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ric Lynn\Desktop\4\"/>
    </mc:Choice>
  </mc:AlternateContent>
  <xr:revisionPtr revIDLastSave="0" documentId="13_ncr:1_{864B1E35-FB4D-4AFE-88F1-BA414D62282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1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826" i="1" l="1"/>
  <c r="B49827" i="1"/>
  <c r="B49828" i="1"/>
  <c r="B49829" i="1"/>
  <c r="B49830" i="1"/>
  <c r="B49831" i="1"/>
  <c r="B49832" i="1"/>
  <c r="B49833" i="1"/>
  <c r="B49834" i="1"/>
  <c r="B49835" i="1"/>
  <c r="B49836" i="1"/>
  <c r="B49837" i="1"/>
  <c r="B49838" i="1"/>
  <c r="B49839" i="1"/>
  <c r="B49840" i="1"/>
  <c r="B49841" i="1"/>
  <c r="B49842" i="1"/>
  <c r="B49843" i="1"/>
  <c r="B49844" i="1"/>
  <c r="B49845" i="1"/>
  <c r="B49846" i="1"/>
  <c r="B49847" i="1"/>
  <c r="B49848" i="1"/>
  <c r="B49849" i="1"/>
  <c r="B49850" i="1"/>
  <c r="B49851" i="1"/>
  <c r="B49852" i="1"/>
  <c r="B49853" i="1"/>
  <c r="B49854" i="1"/>
  <c r="B49855" i="1"/>
  <c r="B49856" i="1"/>
  <c r="B49857" i="1"/>
  <c r="B49858" i="1"/>
  <c r="B49859" i="1"/>
  <c r="B49860" i="1"/>
  <c r="B49861" i="1"/>
  <c r="B49862" i="1"/>
  <c r="B49863" i="1"/>
  <c r="B49864" i="1"/>
  <c r="B49865" i="1"/>
  <c r="B49866" i="1"/>
  <c r="B49867" i="1"/>
  <c r="B49868" i="1"/>
  <c r="B49869" i="1"/>
  <c r="B49870" i="1"/>
  <c r="B49871" i="1"/>
  <c r="B49872" i="1"/>
  <c r="B49873" i="1"/>
  <c r="B49874" i="1"/>
  <c r="B49875" i="1"/>
  <c r="B49876" i="1"/>
  <c r="B49877" i="1"/>
  <c r="B49878" i="1"/>
  <c r="B49879" i="1"/>
  <c r="B49880" i="1"/>
  <c r="B49881" i="1"/>
  <c r="B49882" i="1"/>
  <c r="B49883" i="1"/>
  <c r="B49884" i="1"/>
  <c r="B49885" i="1"/>
  <c r="B49886" i="1"/>
  <c r="B49887" i="1"/>
  <c r="B49888" i="1"/>
  <c r="B49889" i="1"/>
  <c r="B49890" i="1"/>
  <c r="B49891" i="1"/>
  <c r="B49892" i="1"/>
  <c r="B49893" i="1"/>
  <c r="B49894" i="1"/>
  <c r="B49895" i="1"/>
  <c r="B49896" i="1"/>
  <c r="B49897" i="1"/>
  <c r="B49898" i="1"/>
  <c r="B49899" i="1"/>
  <c r="B49900" i="1"/>
  <c r="B49901" i="1"/>
  <c r="B49902" i="1"/>
  <c r="B49903" i="1"/>
  <c r="B49904" i="1"/>
  <c r="B49905" i="1"/>
  <c r="B49906" i="1"/>
  <c r="B49907" i="1"/>
  <c r="B49908" i="1"/>
  <c r="B49909" i="1"/>
  <c r="B49910" i="1"/>
  <c r="B49911" i="1"/>
  <c r="B49912" i="1"/>
  <c r="B49913" i="1"/>
  <c r="B49914" i="1"/>
  <c r="B49915" i="1"/>
  <c r="B49916" i="1"/>
  <c r="B49917" i="1"/>
  <c r="B49918" i="1"/>
  <c r="B49919" i="1"/>
  <c r="B49920" i="1"/>
  <c r="B49921" i="1"/>
  <c r="B49922" i="1"/>
  <c r="B49923" i="1"/>
  <c r="B49924" i="1"/>
  <c r="B49925" i="1"/>
  <c r="B49926" i="1"/>
  <c r="B49927" i="1"/>
  <c r="B49928" i="1"/>
  <c r="B49929" i="1"/>
  <c r="B49930" i="1"/>
  <c r="B49931" i="1"/>
  <c r="B49932" i="1"/>
  <c r="B49933" i="1"/>
  <c r="B49934" i="1"/>
  <c r="B49935" i="1"/>
  <c r="B49936" i="1"/>
  <c r="B49937" i="1"/>
  <c r="B49938" i="1"/>
  <c r="B49939" i="1"/>
  <c r="B49940" i="1"/>
  <c r="B49941" i="1"/>
  <c r="B49942" i="1"/>
  <c r="B49943" i="1"/>
  <c r="B49944" i="1"/>
  <c r="B49945" i="1"/>
  <c r="B49946" i="1"/>
  <c r="B49947" i="1"/>
  <c r="B49948" i="1"/>
  <c r="B49949" i="1"/>
  <c r="B49950" i="1"/>
  <c r="B49951" i="1"/>
  <c r="B49952" i="1"/>
  <c r="B49953" i="1"/>
  <c r="B49954" i="1"/>
  <c r="B49955" i="1"/>
  <c r="B49956" i="1"/>
  <c r="B49957" i="1"/>
  <c r="B49958" i="1"/>
  <c r="B49959" i="1"/>
  <c r="B49960" i="1"/>
  <c r="B49961" i="1"/>
  <c r="B49962" i="1"/>
  <c r="B49963" i="1"/>
  <c r="B49964" i="1"/>
  <c r="B49965" i="1"/>
  <c r="B49966" i="1"/>
  <c r="B49967" i="1"/>
  <c r="B49968" i="1"/>
  <c r="B49969" i="1"/>
  <c r="B49970" i="1"/>
  <c r="B49971" i="1"/>
  <c r="B49972" i="1"/>
  <c r="B49973" i="1"/>
  <c r="B49974" i="1"/>
  <c r="B49975" i="1"/>
  <c r="B49976" i="1"/>
  <c r="B49977" i="1"/>
  <c r="B49978" i="1"/>
  <c r="B49979" i="1"/>
  <c r="B49980" i="1"/>
  <c r="B49981" i="1"/>
  <c r="B49982" i="1"/>
  <c r="B49983" i="1"/>
  <c r="B49984" i="1"/>
  <c r="B49985" i="1"/>
  <c r="B49986" i="1"/>
  <c r="B49987" i="1"/>
  <c r="B49988" i="1"/>
  <c r="B49989" i="1"/>
  <c r="B49990" i="1"/>
  <c r="B49991" i="1"/>
  <c r="B49992" i="1"/>
  <c r="B49993" i="1"/>
  <c r="B49994" i="1"/>
  <c r="B49995" i="1"/>
  <c r="B49996" i="1"/>
  <c r="B49997" i="1"/>
  <c r="B49998" i="1"/>
  <c r="B49999" i="1"/>
  <c r="B48932" i="1"/>
  <c r="B48933" i="1"/>
  <c r="B48934" i="1"/>
  <c r="B48935" i="1"/>
  <c r="B48936" i="1"/>
  <c r="B48937" i="1"/>
  <c r="B48938" i="1"/>
  <c r="B48939" i="1"/>
  <c r="B48940" i="1"/>
  <c r="B48941" i="1"/>
  <c r="B48942" i="1"/>
  <c r="B48943" i="1"/>
  <c r="B48944" i="1"/>
  <c r="B48945" i="1"/>
  <c r="B48946" i="1"/>
  <c r="B48947" i="1"/>
  <c r="B48948" i="1"/>
  <c r="B48949" i="1"/>
  <c r="B48950" i="1"/>
  <c r="B48951" i="1"/>
  <c r="B48952" i="1"/>
  <c r="B48953" i="1"/>
  <c r="B48954" i="1"/>
  <c r="B48955" i="1"/>
  <c r="B48956" i="1"/>
  <c r="B48957" i="1"/>
  <c r="B48958" i="1"/>
  <c r="B48959" i="1"/>
  <c r="B48960" i="1"/>
  <c r="B48961" i="1"/>
  <c r="B48962" i="1"/>
  <c r="B48963" i="1"/>
  <c r="B48964" i="1"/>
  <c r="B48965" i="1"/>
  <c r="B48966" i="1"/>
  <c r="B48967" i="1"/>
  <c r="B48968" i="1"/>
  <c r="B48969" i="1"/>
  <c r="B48970" i="1"/>
  <c r="B48971" i="1"/>
  <c r="B48972" i="1"/>
  <c r="B48973" i="1"/>
  <c r="B48974" i="1"/>
  <c r="B48975" i="1"/>
  <c r="B48976" i="1"/>
  <c r="B48977" i="1"/>
  <c r="B48978" i="1"/>
  <c r="B48979" i="1"/>
  <c r="B48980" i="1"/>
  <c r="B48981" i="1"/>
  <c r="B48982" i="1"/>
  <c r="B48983" i="1"/>
  <c r="B48984" i="1"/>
  <c r="B48985" i="1"/>
  <c r="B48986" i="1"/>
  <c r="B48987" i="1"/>
  <c r="B48988" i="1"/>
  <c r="B48989" i="1"/>
  <c r="B48990" i="1"/>
  <c r="B48991" i="1"/>
  <c r="B48992" i="1"/>
  <c r="B48993" i="1"/>
  <c r="B48994" i="1"/>
  <c r="B48995" i="1"/>
  <c r="B48996" i="1"/>
  <c r="B48997" i="1"/>
  <c r="B48998" i="1"/>
  <c r="B48999" i="1"/>
  <c r="B49000" i="1"/>
  <c r="B49001" i="1"/>
  <c r="B49002" i="1"/>
  <c r="B49003" i="1"/>
  <c r="B49004" i="1"/>
  <c r="B49005" i="1"/>
  <c r="B49006" i="1"/>
  <c r="B49007" i="1"/>
  <c r="B49008" i="1"/>
  <c r="B49009" i="1"/>
  <c r="B49010" i="1"/>
  <c r="B49011" i="1"/>
  <c r="B49012" i="1"/>
  <c r="B49013" i="1"/>
  <c r="B49014" i="1"/>
  <c r="B49015" i="1"/>
  <c r="B49016" i="1"/>
  <c r="B49017" i="1"/>
  <c r="B49018" i="1"/>
  <c r="B49019" i="1"/>
  <c r="B49020" i="1"/>
  <c r="B49021" i="1"/>
  <c r="B49022" i="1"/>
  <c r="B49023" i="1"/>
  <c r="B49024" i="1"/>
  <c r="B49025" i="1"/>
  <c r="B49026" i="1"/>
  <c r="B49027" i="1"/>
  <c r="B49028" i="1"/>
  <c r="B49029" i="1"/>
  <c r="B49030" i="1"/>
  <c r="B49031" i="1"/>
  <c r="B49032" i="1"/>
  <c r="B49033" i="1"/>
  <c r="B49034" i="1"/>
  <c r="B49035" i="1"/>
  <c r="B49036" i="1"/>
  <c r="B49037" i="1"/>
  <c r="B49038" i="1"/>
  <c r="B49039" i="1"/>
  <c r="B49040" i="1"/>
  <c r="B49041" i="1"/>
  <c r="B49042" i="1"/>
  <c r="B49043" i="1"/>
  <c r="B49044" i="1"/>
  <c r="B49045" i="1"/>
  <c r="B49046" i="1"/>
  <c r="B49047" i="1"/>
  <c r="B49048" i="1"/>
  <c r="B49049" i="1"/>
  <c r="B49050" i="1"/>
  <c r="B49051" i="1"/>
  <c r="B49052" i="1"/>
  <c r="B49053" i="1"/>
  <c r="B49054" i="1"/>
  <c r="B49055" i="1"/>
  <c r="B49056" i="1"/>
  <c r="B49057" i="1"/>
  <c r="B49058" i="1"/>
  <c r="B49059" i="1"/>
  <c r="B49060" i="1"/>
  <c r="B49061" i="1"/>
  <c r="B49062" i="1"/>
  <c r="B49063" i="1"/>
  <c r="B49064" i="1"/>
  <c r="B49065" i="1"/>
  <c r="B49066" i="1"/>
  <c r="B49067" i="1"/>
  <c r="B49068" i="1"/>
  <c r="B49069" i="1"/>
  <c r="B49070" i="1"/>
  <c r="B49071" i="1"/>
  <c r="B49072" i="1"/>
  <c r="B49073" i="1"/>
  <c r="B49074" i="1"/>
  <c r="B49075" i="1"/>
  <c r="B49076" i="1"/>
  <c r="B49077" i="1"/>
  <c r="B49078" i="1"/>
  <c r="B49079" i="1"/>
  <c r="B49080" i="1"/>
  <c r="B49081" i="1"/>
  <c r="B49082" i="1"/>
  <c r="B49083" i="1"/>
  <c r="B49084" i="1"/>
  <c r="B49085" i="1"/>
  <c r="B49086" i="1"/>
  <c r="B49087" i="1"/>
  <c r="B49088" i="1"/>
  <c r="B49089" i="1"/>
  <c r="B49090" i="1"/>
  <c r="B49091" i="1"/>
  <c r="B49092" i="1"/>
  <c r="B49093" i="1"/>
  <c r="B49094" i="1"/>
  <c r="B49095" i="1"/>
  <c r="B49096" i="1"/>
  <c r="B49097" i="1"/>
  <c r="B49098" i="1"/>
  <c r="B49099" i="1"/>
  <c r="B49100" i="1"/>
  <c r="B49101" i="1"/>
  <c r="B49102" i="1"/>
  <c r="B49103" i="1"/>
  <c r="B49104" i="1"/>
  <c r="B49105" i="1"/>
  <c r="B49106" i="1"/>
  <c r="B49107" i="1"/>
  <c r="B49108" i="1"/>
  <c r="B49109" i="1"/>
  <c r="B49110" i="1"/>
  <c r="B49111" i="1"/>
  <c r="B49112" i="1"/>
  <c r="B49113" i="1"/>
  <c r="B49114" i="1"/>
  <c r="B49115" i="1"/>
  <c r="B49116" i="1"/>
  <c r="B49117" i="1"/>
  <c r="B49118" i="1"/>
  <c r="B49119" i="1"/>
  <c r="B49120" i="1"/>
  <c r="B49121" i="1"/>
  <c r="B49122" i="1"/>
  <c r="B49123" i="1"/>
  <c r="B49124" i="1"/>
  <c r="B49125" i="1"/>
  <c r="B49126" i="1"/>
  <c r="B49127" i="1"/>
  <c r="B49128" i="1"/>
  <c r="B49129" i="1"/>
  <c r="B49130" i="1"/>
  <c r="B49131" i="1"/>
  <c r="B49132" i="1"/>
  <c r="B49133" i="1"/>
  <c r="B49134" i="1"/>
  <c r="B49135" i="1"/>
  <c r="B49136" i="1"/>
  <c r="B49137" i="1"/>
  <c r="B49138" i="1"/>
  <c r="B49139" i="1"/>
  <c r="B49140" i="1"/>
  <c r="B49141" i="1"/>
  <c r="B49142" i="1"/>
  <c r="B49143" i="1"/>
  <c r="B49144" i="1"/>
  <c r="B49145" i="1"/>
  <c r="B49146" i="1"/>
  <c r="B49147" i="1"/>
  <c r="B49148" i="1"/>
  <c r="B49149" i="1"/>
  <c r="B49150" i="1"/>
  <c r="B49151" i="1"/>
  <c r="B49152" i="1"/>
  <c r="B49153" i="1"/>
  <c r="B49154" i="1"/>
  <c r="B49155" i="1"/>
  <c r="B49156" i="1"/>
  <c r="B49157" i="1"/>
  <c r="B49158" i="1"/>
  <c r="B49159" i="1"/>
  <c r="B49160" i="1"/>
  <c r="B49161" i="1"/>
  <c r="B49162" i="1"/>
  <c r="B49163" i="1"/>
  <c r="B49164" i="1"/>
  <c r="B49165" i="1"/>
  <c r="B49166" i="1"/>
  <c r="B49167" i="1"/>
  <c r="B49168" i="1"/>
  <c r="B49169" i="1"/>
  <c r="B49170" i="1"/>
  <c r="B49171" i="1"/>
  <c r="B49172" i="1"/>
  <c r="B49173" i="1"/>
  <c r="B49174" i="1"/>
  <c r="B49175" i="1"/>
  <c r="B49176" i="1"/>
  <c r="B49177" i="1"/>
  <c r="B49178" i="1"/>
  <c r="B49179" i="1"/>
  <c r="B49180" i="1"/>
  <c r="B49181" i="1"/>
  <c r="B49182" i="1"/>
  <c r="B49183" i="1"/>
  <c r="B49184" i="1"/>
  <c r="B49185" i="1"/>
  <c r="B49186" i="1"/>
  <c r="B49187" i="1"/>
  <c r="B49188" i="1"/>
  <c r="B49189" i="1"/>
  <c r="B49190" i="1"/>
  <c r="B49191" i="1"/>
  <c r="B49192" i="1"/>
  <c r="B49193" i="1"/>
  <c r="B49194" i="1"/>
  <c r="B49195" i="1"/>
  <c r="B49196" i="1"/>
  <c r="B49197" i="1"/>
  <c r="B49198" i="1"/>
  <c r="B49199" i="1"/>
  <c r="B49200" i="1"/>
  <c r="B49201" i="1"/>
  <c r="B49202" i="1"/>
  <c r="B49203" i="1"/>
  <c r="B49204" i="1"/>
  <c r="B49205" i="1"/>
  <c r="B49206" i="1"/>
  <c r="B49207" i="1"/>
  <c r="B49208" i="1"/>
  <c r="B49209" i="1"/>
  <c r="B49210" i="1"/>
  <c r="B49211" i="1"/>
  <c r="B49212" i="1"/>
  <c r="B49213" i="1"/>
  <c r="B49214" i="1"/>
  <c r="B49215" i="1"/>
  <c r="B49216" i="1"/>
  <c r="B49217" i="1"/>
  <c r="B49218" i="1"/>
  <c r="B49219" i="1"/>
  <c r="B49220" i="1"/>
  <c r="B49221" i="1"/>
  <c r="B49222" i="1"/>
  <c r="B49223" i="1"/>
  <c r="B49224" i="1"/>
  <c r="B49225" i="1"/>
  <c r="B49226" i="1"/>
  <c r="B49227" i="1"/>
  <c r="B49228" i="1"/>
  <c r="B49229" i="1"/>
  <c r="B49230" i="1"/>
  <c r="B49231" i="1"/>
  <c r="B49232" i="1"/>
  <c r="B49233" i="1"/>
  <c r="B49234" i="1"/>
  <c r="B49235" i="1"/>
  <c r="B49236" i="1"/>
  <c r="B49237" i="1"/>
  <c r="B49238" i="1"/>
  <c r="B49239" i="1"/>
  <c r="B49240" i="1"/>
  <c r="B49241" i="1"/>
  <c r="B49242" i="1"/>
  <c r="B49243" i="1"/>
  <c r="B49244" i="1"/>
  <c r="B49245" i="1"/>
  <c r="B49246" i="1"/>
  <c r="B49247" i="1"/>
  <c r="B49248" i="1"/>
  <c r="B49249" i="1"/>
  <c r="B49250" i="1"/>
  <c r="B49251" i="1"/>
  <c r="B49252" i="1"/>
  <c r="B49253" i="1"/>
  <c r="B49254" i="1"/>
  <c r="B49255" i="1"/>
  <c r="B49256" i="1"/>
  <c r="B49257" i="1"/>
  <c r="B49258" i="1"/>
  <c r="B49259" i="1"/>
  <c r="B49260" i="1"/>
  <c r="B49261" i="1"/>
  <c r="B49262" i="1"/>
  <c r="B49263" i="1"/>
  <c r="B49264" i="1"/>
  <c r="B49265" i="1"/>
  <c r="B49266" i="1"/>
  <c r="B49267" i="1"/>
  <c r="B49268" i="1"/>
  <c r="B49269" i="1"/>
  <c r="B49270" i="1"/>
  <c r="B49271" i="1"/>
  <c r="B49272" i="1"/>
  <c r="B49273" i="1"/>
  <c r="B49274" i="1"/>
  <c r="B49275" i="1"/>
  <c r="B49276" i="1"/>
  <c r="B49277" i="1"/>
  <c r="B49278" i="1"/>
  <c r="B49279" i="1"/>
  <c r="B49280" i="1"/>
  <c r="B49281" i="1"/>
  <c r="B49282" i="1"/>
  <c r="B49283" i="1"/>
  <c r="B49284" i="1"/>
  <c r="B49285" i="1"/>
  <c r="B49286" i="1"/>
  <c r="B49287" i="1"/>
  <c r="B49288" i="1"/>
  <c r="B49289" i="1"/>
  <c r="B49290" i="1"/>
  <c r="B49291" i="1"/>
  <c r="B49292" i="1"/>
  <c r="B49293" i="1"/>
  <c r="B49294" i="1"/>
  <c r="B49295" i="1"/>
  <c r="B49296" i="1"/>
  <c r="B49297" i="1"/>
  <c r="B49298" i="1"/>
  <c r="B49299" i="1"/>
  <c r="B49300" i="1"/>
  <c r="B49301" i="1"/>
  <c r="B49302" i="1"/>
  <c r="B49303" i="1"/>
  <c r="B49304" i="1"/>
  <c r="B49305" i="1"/>
  <c r="B49306" i="1"/>
  <c r="B49307" i="1"/>
  <c r="B49308" i="1"/>
  <c r="B49309" i="1"/>
  <c r="B49310" i="1"/>
  <c r="B49311" i="1"/>
  <c r="B49312" i="1"/>
  <c r="B49313" i="1"/>
  <c r="B49314" i="1"/>
  <c r="B49315" i="1"/>
  <c r="B49316" i="1"/>
  <c r="B49317" i="1"/>
  <c r="B49318" i="1"/>
  <c r="B49319" i="1"/>
  <c r="B49320" i="1"/>
  <c r="B49321" i="1"/>
  <c r="B49322" i="1"/>
  <c r="B49323" i="1"/>
  <c r="B49324" i="1"/>
  <c r="B49325" i="1"/>
  <c r="B49326" i="1"/>
  <c r="B49327" i="1"/>
  <c r="B49328" i="1"/>
  <c r="B49329" i="1"/>
  <c r="B49330" i="1"/>
  <c r="B49331" i="1"/>
  <c r="B49332" i="1"/>
  <c r="B49333" i="1"/>
  <c r="B49334" i="1"/>
  <c r="B49335" i="1"/>
  <c r="B49336" i="1"/>
  <c r="B49337" i="1"/>
  <c r="B49338" i="1"/>
  <c r="B49339" i="1"/>
  <c r="B49340" i="1"/>
  <c r="B49341" i="1"/>
  <c r="B49342" i="1"/>
  <c r="B49343" i="1"/>
  <c r="B49344" i="1"/>
  <c r="B49345" i="1"/>
  <c r="B49346" i="1"/>
  <c r="B49347" i="1"/>
  <c r="B49348" i="1"/>
  <c r="B49349" i="1"/>
  <c r="B49350" i="1"/>
  <c r="B49351" i="1"/>
  <c r="B49352" i="1"/>
  <c r="B49353" i="1"/>
  <c r="B49354" i="1"/>
  <c r="B49355" i="1"/>
  <c r="B49356" i="1"/>
  <c r="B49357" i="1"/>
  <c r="B49358" i="1"/>
  <c r="B49359" i="1"/>
  <c r="B49360" i="1"/>
  <c r="B49361" i="1"/>
  <c r="B49362" i="1"/>
  <c r="B49363" i="1"/>
  <c r="B49364" i="1"/>
  <c r="B49365" i="1"/>
  <c r="B49366" i="1"/>
  <c r="B49367" i="1"/>
  <c r="B49368" i="1"/>
  <c r="B49369" i="1"/>
  <c r="B49370" i="1"/>
  <c r="B49371" i="1"/>
  <c r="B49372" i="1"/>
  <c r="B49373" i="1"/>
  <c r="B49374" i="1"/>
  <c r="B49375" i="1"/>
  <c r="B49376" i="1"/>
  <c r="B49377" i="1"/>
  <c r="B49378" i="1"/>
  <c r="B49379" i="1"/>
  <c r="B49380" i="1"/>
  <c r="B49381" i="1"/>
  <c r="B49382" i="1"/>
  <c r="B49383" i="1"/>
  <c r="B49384" i="1"/>
  <c r="B49385" i="1"/>
  <c r="B49386" i="1"/>
  <c r="B49387" i="1"/>
  <c r="B49388" i="1"/>
  <c r="B49389" i="1"/>
  <c r="B49390" i="1"/>
  <c r="B49391" i="1"/>
  <c r="B49392" i="1"/>
  <c r="B49393" i="1"/>
  <c r="B49394" i="1"/>
  <c r="B49395" i="1"/>
  <c r="B49396" i="1"/>
  <c r="B49397" i="1"/>
  <c r="B49398" i="1"/>
  <c r="B49399" i="1"/>
  <c r="B49400" i="1"/>
  <c r="B49401" i="1"/>
  <c r="B49402" i="1"/>
  <c r="B49403" i="1"/>
  <c r="B49404" i="1"/>
  <c r="B49405" i="1"/>
  <c r="B49406" i="1"/>
  <c r="B49407" i="1"/>
  <c r="B49408" i="1"/>
  <c r="B49409" i="1"/>
  <c r="B49410" i="1"/>
  <c r="B49411" i="1"/>
  <c r="B49412" i="1"/>
  <c r="B49413" i="1"/>
  <c r="B49414" i="1"/>
  <c r="B49415" i="1"/>
  <c r="B49416" i="1"/>
  <c r="B49417" i="1"/>
  <c r="B49418" i="1"/>
  <c r="B49419" i="1"/>
  <c r="B49420" i="1"/>
  <c r="B49421" i="1"/>
  <c r="B49422" i="1"/>
  <c r="B49423" i="1"/>
  <c r="B49424" i="1"/>
  <c r="B49425" i="1"/>
  <c r="B49426" i="1"/>
  <c r="B49427" i="1"/>
  <c r="B49428" i="1"/>
  <c r="B49429" i="1"/>
  <c r="B49430" i="1"/>
  <c r="B49431" i="1"/>
  <c r="B49432" i="1"/>
  <c r="B49433" i="1"/>
  <c r="B49434" i="1"/>
  <c r="B49435" i="1"/>
  <c r="B49436" i="1"/>
  <c r="B49437" i="1"/>
  <c r="B49438" i="1"/>
  <c r="B49439" i="1"/>
  <c r="B49440" i="1"/>
  <c r="B49441" i="1"/>
  <c r="B49442" i="1"/>
  <c r="B49443" i="1"/>
  <c r="B49444" i="1"/>
  <c r="B49445" i="1"/>
  <c r="B49446" i="1"/>
  <c r="B49447" i="1"/>
  <c r="B49448" i="1"/>
  <c r="B49449" i="1"/>
  <c r="B49450" i="1"/>
  <c r="B49451" i="1"/>
  <c r="B49452" i="1"/>
  <c r="B49453" i="1"/>
  <c r="B49454" i="1"/>
  <c r="B49455" i="1"/>
  <c r="B49456" i="1"/>
  <c r="B49457" i="1"/>
  <c r="B49458" i="1"/>
  <c r="B49459" i="1"/>
  <c r="B49460" i="1"/>
  <c r="B49461" i="1"/>
  <c r="B49462" i="1"/>
  <c r="B49463" i="1"/>
  <c r="B49464" i="1"/>
  <c r="B49465" i="1"/>
  <c r="B49466" i="1"/>
  <c r="B49467" i="1"/>
  <c r="B49468" i="1"/>
  <c r="B49469" i="1"/>
  <c r="B49470" i="1"/>
  <c r="B49471" i="1"/>
  <c r="B49472" i="1"/>
  <c r="B49473" i="1"/>
  <c r="B49474" i="1"/>
  <c r="B49475" i="1"/>
  <c r="B49476" i="1"/>
  <c r="B49477" i="1"/>
  <c r="B49478" i="1"/>
  <c r="B49479" i="1"/>
  <c r="B49480" i="1"/>
  <c r="B49481" i="1"/>
  <c r="B49482" i="1"/>
  <c r="B49483" i="1"/>
  <c r="B49484" i="1"/>
  <c r="B49485" i="1"/>
  <c r="B49486" i="1"/>
  <c r="B49487" i="1"/>
  <c r="B49488" i="1"/>
  <c r="B49489" i="1"/>
  <c r="B49490" i="1"/>
  <c r="B49491" i="1"/>
  <c r="B49492" i="1"/>
  <c r="B49493" i="1"/>
  <c r="B49494" i="1"/>
  <c r="B49495" i="1"/>
  <c r="B49496" i="1"/>
  <c r="B49497" i="1"/>
  <c r="B49498" i="1"/>
  <c r="B49499" i="1"/>
  <c r="B49500" i="1"/>
  <c r="B49501" i="1"/>
  <c r="B49502" i="1"/>
  <c r="B49503" i="1"/>
  <c r="B49504" i="1"/>
  <c r="B49505" i="1"/>
  <c r="B49506" i="1"/>
  <c r="B49507" i="1"/>
  <c r="B49508" i="1"/>
  <c r="B49509" i="1"/>
  <c r="B49510" i="1"/>
  <c r="B49511" i="1"/>
  <c r="B49512" i="1"/>
  <c r="B49513" i="1"/>
  <c r="B49514" i="1"/>
  <c r="B49515" i="1"/>
  <c r="B49516" i="1"/>
  <c r="B49517" i="1"/>
  <c r="B49518" i="1"/>
  <c r="B49519" i="1"/>
  <c r="B49520" i="1"/>
  <c r="B49521" i="1"/>
  <c r="B49522" i="1"/>
  <c r="B49523" i="1"/>
  <c r="B49524" i="1"/>
  <c r="B49525" i="1"/>
  <c r="B49526" i="1"/>
  <c r="B49527" i="1"/>
  <c r="B49528" i="1"/>
  <c r="B49529" i="1"/>
  <c r="B49530" i="1"/>
  <c r="B49531" i="1"/>
  <c r="B49532" i="1"/>
  <c r="B49533" i="1"/>
  <c r="B49534" i="1"/>
  <c r="B49535" i="1"/>
  <c r="B49536" i="1"/>
  <c r="B49537" i="1"/>
  <c r="B49538" i="1"/>
  <c r="B49539" i="1"/>
  <c r="B49540" i="1"/>
  <c r="B49541" i="1"/>
  <c r="B49542" i="1"/>
  <c r="B49543" i="1"/>
  <c r="B49544" i="1"/>
  <c r="B49545" i="1"/>
  <c r="B49546" i="1"/>
  <c r="B49547" i="1"/>
  <c r="B49548" i="1"/>
  <c r="B49549" i="1"/>
  <c r="B49550" i="1"/>
  <c r="B49551" i="1"/>
  <c r="B49552" i="1"/>
  <c r="B49553" i="1"/>
  <c r="B49554" i="1"/>
  <c r="B49555" i="1"/>
  <c r="B49556" i="1"/>
  <c r="B49557" i="1"/>
  <c r="B49558" i="1"/>
  <c r="B49559" i="1"/>
  <c r="B49560" i="1"/>
  <c r="B49561" i="1"/>
  <c r="B49562" i="1"/>
  <c r="B49563" i="1"/>
  <c r="B49564" i="1"/>
  <c r="B49565" i="1"/>
  <c r="B49566" i="1"/>
  <c r="B49567" i="1"/>
  <c r="B49568" i="1"/>
  <c r="B49569" i="1"/>
  <c r="B49570" i="1"/>
  <c r="B49571" i="1"/>
  <c r="B49572" i="1"/>
  <c r="B49573" i="1"/>
  <c r="B49574" i="1"/>
  <c r="B49575" i="1"/>
  <c r="B49576" i="1"/>
  <c r="B49577" i="1"/>
  <c r="B49578" i="1"/>
  <c r="B49579" i="1"/>
  <c r="B49580" i="1"/>
  <c r="B49581" i="1"/>
  <c r="B49582" i="1"/>
  <c r="B49583" i="1"/>
  <c r="B49584" i="1"/>
  <c r="B49585" i="1"/>
  <c r="B49586" i="1"/>
  <c r="B49587" i="1"/>
  <c r="B49588" i="1"/>
  <c r="B49589" i="1"/>
  <c r="B49590" i="1"/>
  <c r="B49591" i="1"/>
  <c r="B49592" i="1"/>
  <c r="B49593" i="1"/>
  <c r="B49594" i="1"/>
  <c r="B49595" i="1"/>
  <c r="B49596" i="1"/>
  <c r="B49597" i="1"/>
  <c r="B49598" i="1"/>
  <c r="B49599" i="1"/>
  <c r="B49600" i="1"/>
  <c r="B49601" i="1"/>
  <c r="B49602" i="1"/>
  <c r="B49603" i="1"/>
  <c r="B49604" i="1"/>
  <c r="B49605" i="1"/>
  <c r="B49606" i="1"/>
  <c r="B49607" i="1"/>
  <c r="B49608" i="1"/>
  <c r="B49609" i="1"/>
  <c r="B49610" i="1"/>
  <c r="B49611" i="1"/>
  <c r="B49612" i="1"/>
  <c r="B49613" i="1"/>
  <c r="B49614" i="1"/>
  <c r="B49615" i="1"/>
  <c r="B49616" i="1"/>
  <c r="B49617" i="1"/>
  <c r="B49618" i="1"/>
  <c r="B49619" i="1"/>
  <c r="B49620" i="1"/>
  <c r="B49621" i="1"/>
  <c r="B49622" i="1"/>
  <c r="B49623" i="1"/>
  <c r="B49624" i="1"/>
  <c r="B49625" i="1"/>
  <c r="B49626" i="1"/>
  <c r="B49627" i="1"/>
  <c r="B49628" i="1"/>
  <c r="B49629" i="1"/>
  <c r="B49630" i="1"/>
  <c r="B49631" i="1"/>
  <c r="B49632" i="1"/>
  <c r="B49633" i="1"/>
  <c r="B49634" i="1"/>
  <c r="B49635" i="1"/>
  <c r="B49636" i="1"/>
  <c r="B49637" i="1"/>
  <c r="B49638" i="1"/>
  <c r="B49639" i="1"/>
  <c r="B49640" i="1"/>
  <c r="B49641" i="1"/>
  <c r="B49642" i="1"/>
  <c r="B49643" i="1"/>
  <c r="B49644" i="1"/>
  <c r="B49645" i="1"/>
  <c r="B49646" i="1"/>
  <c r="B49647" i="1"/>
  <c r="B49648" i="1"/>
  <c r="B49649" i="1"/>
  <c r="B49650" i="1"/>
  <c r="B49651" i="1"/>
  <c r="B49652" i="1"/>
  <c r="B49653" i="1"/>
  <c r="B49654" i="1"/>
  <c r="B49655" i="1"/>
  <c r="B49656" i="1"/>
  <c r="B49657" i="1"/>
  <c r="B49658" i="1"/>
  <c r="B49659" i="1"/>
  <c r="B49660" i="1"/>
  <c r="B49661" i="1"/>
  <c r="B49662" i="1"/>
  <c r="B49663" i="1"/>
  <c r="B49664" i="1"/>
  <c r="B49665" i="1"/>
  <c r="B49666" i="1"/>
  <c r="B49667" i="1"/>
  <c r="B49668" i="1"/>
  <c r="B49669" i="1"/>
  <c r="B49670" i="1"/>
  <c r="B49671" i="1"/>
  <c r="B49672" i="1"/>
  <c r="B49673" i="1"/>
  <c r="B49674" i="1"/>
  <c r="B49675" i="1"/>
  <c r="B49676" i="1"/>
  <c r="B49677" i="1"/>
  <c r="B49678" i="1"/>
  <c r="B49679" i="1"/>
  <c r="B49680" i="1"/>
  <c r="B49681" i="1"/>
  <c r="B49682" i="1"/>
  <c r="B49683" i="1"/>
  <c r="B49684" i="1"/>
  <c r="B49685" i="1"/>
  <c r="B49686" i="1"/>
  <c r="B49687" i="1"/>
  <c r="B49688" i="1"/>
  <c r="B49689" i="1"/>
  <c r="B49690" i="1"/>
  <c r="B49691" i="1"/>
  <c r="B49692" i="1"/>
  <c r="B49693" i="1"/>
  <c r="B49694" i="1"/>
  <c r="B49695" i="1"/>
  <c r="B49696" i="1"/>
  <c r="B49697" i="1"/>
  <c r="B49698" i="1"/>
  <c r="B49699" i="1"/>
  <c r="B49700" i="1"/>
  <c r="B49701" i="1"/>
  <c r="B49702" i="1"/>
  <c r="B49703" i="1"/>
  <c r="B49704" i="1"/>
  <c r="B49705" i="1"/>
  <c r="B49706" i="1"/>
  <c r="B49707" i="1"/>
  <c r="B49708" i="1"/>
  <c r="B49709" i="1"/>
  <c r="B49710" i="1"/>
  <c r="B49711" i="1"/>
  <c r="B49712" i="1"/>
  <c r="B49713" i="1"/>
  <c r="B49714" i="1"/>
  <c r="B49715" i="1"/>
  <c r="B49716" i="1"/>
  <c r="B49717" i="1"/>
  <c r="B49718" i="1"/>
  <c r="B49719" i="1"/>
  <c r="B49720" i="1"/>
  <c r="B49721" i="1"/>
  <c r="B49722" i="1"/>
  <c r="B49723" i="1"/>
  <c r="B49724" i="1"/>
  <c r="B49725" i="1"/>
  <c r="B49726" i="1"/>
  <c r="B49727" i="1"/>
  <c r="B49728" i="1"/>
  <c r="B49729" i="1"/>
  <c r="B49730" i="1"/>
  <c r="B49731" i="1"/>
  <c r="B49732" i="1"/>
  <c r="B49733" i="1"/>
  <c r="B49734" i="1"/>
  <c r="B49735" i="1"/>
  <c r="B49736" i="1"/>
  <c r="B49737" i="1"/>
  <c r="B49738" i="1"/>
  <c r="B49739" i="1"/>
  <c r="B49740" i="1"/>
  <c r="B49741" i="1"/>
  <c r="B49742" i="1"/>
  <c r="B49743" i="1"/>
  <c r="B49744" i="1"/>
  <c r="B49745" i="1"/>
  <c r="B49746" i="1"/>
  <c r="B49747" i="1"/>
  <c r="B49748" i="1"/>
  <c r="B49749" i="1"/>
  <c r="B49750" i="1"/>
  <c r="B49751" i="1"/>
  <c r="B49752" i="1"/>
  <c r="B49753" i="1"/>
  <c r="B49754" i="1"/>
  <c r="B49755" i="1"/>
  <c r="B49756" i="1"/>
  <c r="B49757" i="1"/>
  <c r="B49758" i="1"/>
  <c r="B49759" i="1"/>
  <c r="B49760" i="1"/>
  <c r="B49761" i="1"/>
  <c r="B49762" i="1"/>
  <c r="B49763" i="1"/>
  <c r="B49764" i="1"/>
  <c r="B49765" i="1"/>
  <c r="B49766" i="1"/>
  <c r="B49767" i="1"/>
  <c r="B49768" i="1"/>
  <c r="B49769" i="1"/>
  <c r="B49770" i="1"/>
  <c r="B49771" i="1"/>
  <c r="B49772" i="1"/>
  <c r="B49773" i="1"/>
  <c r="B49774" i="1"/>
  <c r="B49775" i="1"/>
  <c r="B49776" i="1"/>
  <c r="B49777" i="1"/>
  <c r="B49778" i="1"/>
  <c r="B49779" i="1"/>
  <c r="B49780" i="1"/>
  <c r="B49781" i="1"/>
  <c r="B49782" i="1"/>
  <c r="B49783" i="1"/>
  <c r="B49784" i="1"/>
  <c r="B49785" i="1"/>
  <c r="B49786" i="1"/>
  <c r="B49787" i="1"/>
  <c r="B49788" i="1"/>
  <c r="B49789" i="1"/>
  <c r="B49790" i="1"/>
  <c r="B49791" i="1"/>
  <c r="B49792" i="1"/>
  <c r="B49793" i="1"/>
  <c r="B49794" i="1"/>
  <c r="B49795" i="1"/>
  <c r="B49796" i="1"/>
  <c r="B49797" i="1"/>
  <c r="B49798" i="1"/>
  <c r="B49799" i="1"/>
  <c r="B49800" i="1"/>
  <c r="B49801" i="1"/>
  <c r="B49802" i="1"/>
  <c r="B49803" i="1"/>
  <c r="B49804" i="1"/>
  <c r="B49805" i="1"/>
  <c r="B49806" i="1"/>
  <c r="B49807" i="1"/>
  <c r="B49808" i="1"/>
  <c r="B49809" i="1"/>
  <c r="B49810" i="1"/>
  <c r="B49811" i="1"/>
  <c r="B49812" i="1"/>
  <c r="B49813" i="1"/>
  <c r="B49814" i="1"/>
  <c r="B49815" i="1"/>
  <c r="B49816" i="1"/>
  <c r="B49817" i="1"/>
  <c r="B49818" i="1"/>
  <c r="B49819" i="1"/>
  <c r="B49820" i="1"/>
  <c r="B49821" i="1"/>
  <c r="B49822" i="1"/>
  <c r="B49823" i="1"/>
  <c r="B49824" i="1"/>
  <c r="B49825" i="1"/>
  <c r="B48038" i="1"/>
  <c r="B48039" i="1"/>
  <c r="B48040" i="1"/>
  <c r="B48041" i="1"/>
  <c r="B48042" i="1"/>
  <c r="B48043" i="1"/>
  <c r="B48044" i="1"/>
  <c r="B48045" i="1"/>
  <c r="B48046" i="1"/>
  <c r="B48047" i="1"/>
  <c r="B48048" i="1"/>
  <c r="B48049" i="1"/>
  <c r="B48050" i="1"/>
  <c r="B48051" i="1"/>
  <c r="B48052" i="1"/>
  <c r="B48053" i="1"/>
  <c r="B48054" i="1"/>
  <c r="B48055" i="1"/>
  <c r="B48056" i="1"/>
  <c r="B48057" i="1"/>
  <c r="B48058" i="1"/>
  <c r="B48059" i="1"/>
  <c r="B48060" i="1"/>
  <c r="B48061" i="1"/>
  <c r="B48062" i="1"/>
  <c r="B48063" i="1"/>
  <c r="B48064" i="1"/>
  <c r="B48065" i="1"/>
  <c r="B48066" i="1"/>
  <c r="B48067" i="1"/>
  <c r="B48068" i="1"/>
  <c r="B48069" i="1"/>
  <c r="B48070" i="1"/>
  <c r="B48071" i="1"/>
  <c r="B48072" i="1"/>
  <c r="B48073" i="1"/>
  <c r="B48074" i="1"/>
  <c r="B48075" i="1"/>
  <c r="B48076" i="1"/>
  <c r="B48077" i="1"/>
  <c r="B48078" i="1"/>
  <c r="B48079" i="1"/>
  <c r="B48080" i="1"/>
  <c r="B48081" i="1"/>
  <c r="B48082" i="1"/>
  <c r="B48083" i="1"/>
  <c r="B48084" i="1"/>
  <c r="B48085" i="1"/>
  <c r="B48086" i="1"/>
  <c r="B48087" i="1"/>
  <c r="B48088" i="1"/>
  <c r="B48089" i="1"/>
  <c r="B48090" i="1"/>
  <c r="B48091" i="1"/>
  <c r="B48092" i="1"/>
  <c r="B48093" i="1"/>
  <c r="B48094" i="1"/>
  <c r="B48095" i="1"/>
  <c r="B48096" i="1"/>
  <c r="B48097" i="1"/>
  <c r="B48098" i="1"/>
  <c r="B48099" i="1"/>
  <c r="B48100" i="1"/>
  <c r="B48101" i="1"/>
  <c r="B48102" i="1"/>
  <c r="B48103" i="1"/>
  <c r="B48104" i="1"/>
  <c r="B48105" i="1"/>
  <c r="B48106" i="1"/>
  <c r="B48107" i="1"/>
  <c r="B48108" i="1"/>
  <c r="B48109" i="1"/>
  <c r="B48110" i="1"/>
  <c r="B48111" i="1"/>
  <c r="B48112" i="1"/>
  <c r="B48113" i="1"/>
  <c r="B48114" i="1"/>
  <c r="B48115" i="1"/>
  <c r="B48116" i="1"/>
  <c r="B48117" i="1"/>
  <c r="B48118" i="1"/>
  <c r="B48119" i="1"/>
  <c r="B48120" i="1"/>
  <c r="B48121" i="1"/>
  <c r="B48122" i="1"/>
  <c r="B48123" i="1"/>
  <c r="B48124" i="1"/>
  <c r="B48125" i="1"/>
  <c r="B48126" i="1"/>
  <c r="B48127" i="1"/>
  <c r="B48128" i="1"/>
  <c r="B48129" i="1"/>
  <c r="B48130" i="1"/>
  <c r="B48131" i="1"/>
  <c r="B48132" i="1"/>
  <c r="B48133" i="1"/>
  <c r="B48134" i="1"/>
  <c r="B48135" i="1"/>
  <c r="B48136" i="1"/>
  <c r="B48137" i="1"/>
  <c r="B48138" i="1"/>
  <c r="B48139" i="1"/>
  <c r="B48140" i="1"/>
  <c r="B48141" i="1"/>
  <c r="B48142" i="1"/>
  <c r="B48143" i="1"/>
  <c r="B48144" i="1"/>
  <c r="B48145" i="1"/>
  <c r="B48146" i="1"/>
  <c r="B48147" i="1"/>
  <c r="B48148" i="1"/>
  <c r="B48149" i="1"/>
  <c r="B48150" i="1"/>
  <c r="B48151" i="1"/>
  <c r="B48152" i="1"/>
  <c r="B48153" i="1"/>
  <c r="B48154" i="1"/>
  <c r="B48155" i="1"/>
  <c r="B48156" i="1"/>
  <c r="B48157" i="1"/>
  <c r="B48158" i="1"/>
  <c r="B48159" i="1"/>
  <c r="B48160" i="1"/>
  <c r="B48161" i="1"/>
  <c r="B48162" i="1"/>
  <c r="B48163" i="1"/>
  <c r="B48164" i="1"/>
  <c r="B48165" i="1"/>
  <c r="B48166" i="1"/>
  <c r="B48167" i="1"/>
  <c r="B48168" i="1"/>
  <c r="B48169" i="1"/>
  <c r="B48170" i="1"/>
  <c r="B48171" i="1"/>
  <c r="B48172" i="1"/>
  <c r="B48173" i="1"/>
  <c r="B48174" i="1"/>
  <c r="B48175" i="1"/>
  <c r="B48176" i="1"/>
  <c r="B48177" i="1"/>
  <c r="B48178" i="1"/>
  <c r="B48179" i="1"/>
  <c r="B48180" i="1"/>
  <c r="B48181" i="1"/>
  <c r="B48182" i="1"/>
  <c r="B48183" i="1"/>
  <c r="B48184" i="1"/>
  <c r="B48185" i="1"/>
  <c r="B48186" i="1"/>
  <c r="B48187" i="1"/>
  <c r="B48188" i="1"/>
  <c r="B48189" i="1"/>
  <c r="B48190" i="1"/>
  <c r="B48191" i="1"/>
  <c r="B48192" i="1"/>
  <c r="B48193" i="1"/>
  <c r="B48194" i="1"/>
  <c r="B48195" i="1"/>
  <c r="B48196" i="1"/>
  <c r="B48197" i="1"/>
  <c r="B48198" i="1"/>
  <c r="B48199" i="1"/>
  <c r="B48200" i="1"/>
  <c r="B48201" i="1"/>
  <c r="B48202" i="1"/>
  <c r="B48203" i="1"/>
  <c r="B48204" i="1"/>
  <c r="B48205" i="1"/>
  <c r="B48206" i="1"/>
  <c r="B48207" i="1"/>
  <c r="B48208" i="1"/>
  <c r="B48209" i="1"/>
  <c r="B48210" i="1"/>
  <c r="B48211" i="1"/>
  <c r="B48212" i="1"/>
  <c r="B48213" i="1"/>
  <c r="B48214" i="1"/>
  <c r="B48215" i="1"/>
  <c r="B48216" i="1"/>
  <c r="B48217" i="1"/>
  <c r="B48218" i="1"/>
  <c r="B48219" i="1"/>
  <c r="B48220" i="1"/>
  <c r="B48221" i="1"/>
  <c r="B48222" i="1"/>
  <c r="B48223" i="1"/>
  <c r="B48224" i="1"/>
  <c r="B48225" i="1"/>
  <c r="B48226" i="1"/>
  <c r="B48227" i="1"/>
  <c r="B48228" i="1"/>
  <c r="B48229" i="1"/>
  <c r="B48230" i="1"/>
  <c r="B48231" i="1"/>
  <c r="B48232" i="1"/>
  <c r="B48233" i="1"/>
  <c r="B48234" i="1"/>
  <c r="B48235" i="1"/>
  <c r="B48236" i="1"/>
  <c r="B48237" i="1"/>
  <c r="B48238" i="1"/>
  <c r="B48239" i="1"/>
  <c r="B48240" i="1"/>
  <c r="B48241" i="1"/>
  <c r="B48242" i="1"/>
  <c r="B48243" i="1"/>
  <c r="B48244" i="1"/>
  <c r="B48245" i="1"/>
  <c r="B48246" i="1"/>
  <c r="B48247" i="1"/>
  <c r="B48248" i="1"/>
  <c r="B48249" i="1"/>
  <c r="B48250" i="1"/>
  <c r="B48251" i="1"/>
  <c r="B48252" i="1"/>
  <c r="B48253" i="1"/>
  <c r="B48254" i="1"/>
  <c r="B48255" i="1"/>
  <c r="B48256" i="1"/>
  <c r="B48257" i="1"/>
  <c r="B48258" i="1"/>
  <c r="B48259" i="1"/>
  <c r="B48260" i="1"/>
  <c r="B48261" i="1"/>
  <c r="B48262" i="1"/>
  <c r="B48263" i="1"/>
  <c r="B48264" i="1"/>
  <c r="B48265" i="1"/>
  <c r="B48266" i="1"/>
  <c r="B48267" i="1"/>
  <c r="B48268" i="1"/>
  <c r="B48269" i="1"/>
  <c r="B48270" i="1"/>
  <c r="B48271" i="1"/>
  <c r="B48272" i="1"/>
  <c r="B48273" i="1"/>
  <c r="B48274" i="1"/>
  <c r="B48275" i="1"/>
  <c r="B48276" i="1"/>
  <c r="B48277" i="1"/>
  <c r="B48278" i="1"/>
  <c r="B48279" i="1"/>
  <c r="B48280" i="1"/>
  <c r="B48281" i="1"/>
  <c r="B48282" i="1"/>
  <c r="B48283" i="1"/>
  <c r="B48284" i="1"/>
  <c r="B48285" i="1"/>
  <c r="B48286" i="1"/>
  <c r="B48287" i="1"/>
  <c r="B48288" i="1"/>
  <c r="B48289" i="1"/>
  <c r="B48290" i="1"/>
  <c r="B48291" i="1"/>
  <c r="B48292" i="1"/>
  <c r="B48293" i="1"/>
  <c r="B48294" i="1"/>
  <c r="B48295" i="1"/>
  <c r="B48296" i="1"/>
  <c r="B48297" i="1"/>
  <c r="B48298" i="1"/>
  <c r="B48299" i="1"/>
  <c r="B48300" i="1"/>
  <c r="B48301" i="1"/>
  <c r="B48302" i="1"/>
  <c r="B48303" i="1"/>
  <c r="B48304" i="1"/>
  <c r="B48305" i="1"/>
  <c r="B48306" i="1"/>
  <c r="B48307" i="1"/>
  <c r="B48308" i="1"/>
  <c r="B48309" i="1"/>
  <c r="B48310" i="1"/>
  <c r="B48311" i="1"/>
  <c r="B48312" i="1"/>
  <c r="B48313" i="1"/>
  <c r="B48314" i="1"/>
  <c r="B48315" i="1"/>
  <c r="B48316" i="1"/>
  <c r="B48317" i="1"/>
  <c r="B48318" i="1"/>
  <c r="B48319" i="1"/>
  <c r="B48320" i="1"/>
  <c r="B48321" i="1"/>
  <c r="B48322" i="1"/>
  <c r="B48323" i="1"/>
  <c r="B48324" i="1"/>
  <c r="B48325" i="1"/>
  <c r="B48326" i="1"/>
  <c r="B48327" i="1"/>
  <c r="B48328" i="1"/>
  <c r="B48329" i="1"/>
  <c r="B48330" i="1"/>
  <c r="B48331" i="1"/>
  <c r="B48332" i="1"/>
  <c r="B48333" i="1"/>
  <c r="B48334" i="1"/>
  <c r="B48335" i="1"/>
  <c r="B48336" i="1"/>
  <c r="B48337" i="1"/>
  <c r="B48338" i="1"/>
  <c r="B48339" i="1"/>
  <c r="B48340" i="1"/>
  <c r="B48341" i="1"/>
  <c r="B48342" i="1"/>
  <c r="B48343" i="1"/>
  <c r="B48344" i="1"/>
  <c r="B48345" i="1"/>
  <c r="B48346" i="1"/>
  <c r="B48347" i="1"/>
  <c r="B48348" i="1"/>
  <c r="B48349" i="1"/>
  <c r="B48350" i="1"/>
  <c r="B48351" i="1"/>
  <c r="B48352" i="1"/>
  <c r="B48353" i="1"/>
  <c r="B48354" i="1"/>
  <c r="B48355" i="1"/>
  <c r="B48356" i="1"/>
  <c r="B48357" i="1"/>
  <c r="B48358" i="1"/>
  <c r="B48359" i="1"/>
  <c r="B48360" i="1"/>
  <c r="B48361" i="1"/>
  <c r="B48362" i="1"/>
  <c r="B48363" i="1"/>
  <c r="B48364" i="1"/>
  <c r="B48365" i="1"/>
  <c r="B48366" i="1"/>
  <c r="B48367" i="1"/>
  <c r="B48368" i="1"/>
  <c r="B48369" i="1"/>
  <c r="B48370" i="1"/>
  <c r="B48371" i="1"/>
  <c r="B48372" i="1"/>
  <c r="B48373" i="1"/>
  <c r="B48374" i="1"/>
  <c r="B48375" i="1"/>
  <c r="B48376" i="1"/>
  <c r="B48377" i="1"/>
  <c r="B48378" i="1"/>
  <c r="B48379" i="1"/>
  <c r="B48380" i="1"/>
  <c r="B48381" i="1"/>
  <c r="B48382" i="1"/>
  <c r="B48383" i="1"/>
  <c r="B48384" i="1"/>
  <c r="B48385" i="1"/>
  <c r="B48386" i="1"/>
  <c r="B48387" i="1"/>
  <c r="B48388" i="1"/>
  <c r="B48389" i="1"/>
  <c r="B48390" i="1"/>
  <c r="B48391" i="1"/>
  <c r="B48392" i="1"/>
  <c r="B48393" i="1"/>
  <c r="B48394" i="1"/>
  <c r="B48395" i="1"/>
  <c r="B48396" i="1"/>
  <c r="B48397" i="1"/>
  <c r="B48398" i="1"/>
  <c r="B48399" i="1"/>
  <c r="B48400" i="1"/>
  <c r="B48401" i="1"/>
  <c r="B48402" i="1"/>
  <c r="B48403" i="1"/>
  <c r="B48404" i="1"/>
  <c r="B48405" i="1"/>
  <c r="B48406" i="1"/>
  <c r="B48407" i="1"/>
  <c r="B48408" i="1"/>
  <c r="B48409" i="1"/>
  <c r="B48410" i="1"/>
  <c r="B48411" i="1"/>
  <c r="B48412" i="1"/>
  <c r="B48413" i="1"/>
  <c r="B48414" i="1"/>
  <c r="B48415" i="1"/>
  <c r="B48416" i="1"/>
  <c r="B48417" i="1"/>
  <c r="B48418" i="1"/>
  <c r="B48419" i="1"/>
  <c r="B48420" i="1"/>
  <c r="B48421" i="1"/>
  <c r="B48422" i="1"/>
  <c r="B48423" i="1"/>
  <c r="B48424" i="1"/>
  <c r="B48425" i="1"/>
  <c r="B48426" i="1"/>
  <c r="B48427" i="1"/>
  <c r="B48428" i="1"/>
  <c r="B48429" i="1"/>
  <c r="B48430" i="1"/>
  <c r="B48431" i="1"/>
  <c r="B48432" i="1"/>
  <c r="B48433" i="1"/>
  <c r="B48434" i="1"/>
  <c r="B48435" i="1"/>
  <c r="B48436" i="1"/>
  <c r="B48437" i="1"/>
  <c r="B48438" i="1"/>
  <c r="B48439" i="1"/>
  <c r="B48440" i="1"/>
  <c r="B48441" i="1"/>
  <c r="B48442" i="1"/>
  <c r="B48443" i="1"/>
  <c r="B48444" i="1"/>
  <c r="B48445" i="1"/>
  <c r="B48446" i="1"/>
  <c r="B48447" i="1"/>
  <c r="B48448" i="1"/>
  <c r="B48449" i="1"/>
  <c r="B48450" i="1"/>
  <c r="B48451" i="1"/>
  <c r="B48452" i="1"/>
  <c r="B48453" i="1"/>
  <c r="B48454" i="1"/>
  <c r="B48455" i="1"/>
  <c r="B48456" i="1"/>
  <c r="B48457" i="1"/>
  <c r="B48458" i="1"/>
  <c r="B48459" i="1"/>
  <c r="B48460" i="1"/>
  <c r="B48461" i="1"/>
  <c r="B48462" i="1"/>
  <c r="B48463" i="1"/>
  <c r="B48464" i="1"/>
  <c r="B48465" i="1"/>
  <c r="B48466" i="1"/>
  <c r="B48467" i="1"/>
  <c r="B48468" i="1"/>
  <c r="B48469" i="1"/>
  <c r="B48470" i="1"/>
  <c r="B48471" i="1"/>
  <c r="B48472" i="1"/>
  <c r="B48473" i="1"/>
  <c r="B48474" i="1"/>
  <c r="B48475" i="1"/>
  <c r="B48476" i="1"/>
  <c r="B48477" i="1"/>
  <c r="B48478" i="1"/>
  <c r="B48479" i="1"/>
  <c r="B48480" i="1"/>
  <c r="B48481" i="1"/>
  <c r="B48482" i="1"/>
  <c r="B48483" i="1"/>
  <c r="B48484" i="1"/>
  <c r="B48485" i="1"/>
  <c r="B48486" i="1"/>
  <c r="B48487" i="1"/>
  <c r="B48488" i="1"/>
  <c r="B48489" i="1"/>
  <c r="B48490" i="1"/>
  <c r="B48491" i="1"/>
  <c r="B48492" i="1"/>
  <c r="B48493" i="1"/>
  <c r="B48494" i="1"/>
  <c r="B48495" i="1"/>
  <c r="B48496" i="1"/>
  <c r="B48497" i="1"/>
  <c r="B48498" i="1"/>
  <c r="B48499" i="1"/>
  <c r="B48500" i="1"/>
  <c r="B48501" i="1"/>
  <c r="B48502" i="1"/>
  <c r="B48503" i="1"/>
  <c r="B48504" i="1"/>
  <c r="B48505" i="1"/>
  <c r="B48506" i="1"/>
  <c r="B48507" i="1"/>
  <c r="B48508" i="1"/>
  <c r="B48509" i="1"/>
  <c r="B48510" i="1"/>
  <c r="B48511" i="1"/>
  <c r="B48512" i="1"/>
  <c r="B48513" i="1"/>
  <c r="B48514" i="1"/>
  <c r="B48515" i="1"/>
  <c r="B48516" i="1"/>
  <c r="B48517" i="1"/>
  <c r="B48518" i="1"/>
  <c r="B48519" i="1"/>
  <c r="B48520" i="1"/>
  <c r="B48521" i="1"/>
  <c r="B48522" i="1"/>
  <c r="B48523" i="1"/>
  <c r="B48524" i="1"/>
  <c r="B48525" i="1"/>
  <c r="B48526" i="1"/>
  <c r="B48527" i="1"/>
  <c r="B48528" i="1"/>
  <c r="B48529" i="1"/>
  <c r="B48530" i="1"/>
  <c r="B48531" i="1"/>
  <c r="B48532" i="1"/>
  <c r="B48533" i="1"/>
  <c r="B48534" i="1"/>
  <c r="B48535" i="1"/>
  <c r="B48536" i="1"/>
  <c r="B48537" i="1"/>
  <c r="B48538" i="1"/>
  <c r="B48539" i="1"/>
  <c r="B48540" i="1"/>
  <c r="B48541" i="1"/>
  <c r="B48542" i="1"/>
  <c r="B48543" i="1"/>
  <c r="B48544" i="1"/>
  <c r="B48545" i="1"/>
  <c r="B48546" i="1"/>
  <c r="B48547" i="1"/>
  <c r="B48548" i="1"/>
  <c r="B48549" i="1"/>
  <c r="B48550" i="1"/>
  <c r="B48551" i="1"/>
  <c r="B48552" i="1"/>
  <c r="B48553" i="1"/>
  <c r="B48554" i="1"/>
  <c r="B48555" i="1"/>
  <c r="B48556" i="1"/>
  <c r="B48557" i="1"/>
  <c r="B48558" i="1"/>
  <c r="B48559" i="1"/>
  <c r="B48560" i="1"/>
  <c r="B48561" i="1"/>
  <c r="B48562" i="1"/>
  <c r="B48563" i="1"/>
  <c r="B48564" i="1"/>
  <c r="B48565" i="1"/>
  <c r="B48566" i="1"/>
  <c r="B48567" i="1"/>
  <c r="B48568" i="1"/>
  <c r="B48569" i="1"/>
  <c r="B48570" i="1"/>
  <c r="B48571" i="1"/>
  <c r="B48572" i="1"/>
  <c r="B48573" i="1"/>
  <c r="B48574" i="1"/>
  <c r="B48575" i="1"/>
  <c r="B48576" i="1"/>
  <c r="B48577" i="1"/>
  <c r="B48578" i="1"/>
  <c r="B48579" i="1"/>
  <c r="B48580" i="1"/>
  <c r="B48581" i="1"/>
  <c r="B48582" i="1"/>
  <c r="B48583" i="1"/>
  <c r="B48584" i="1"/>
  <c r="B48585" i="1"/>
  <c r="B48586" i="1"/>
  <c r="B48587" i="1"/>
  <c r="B48588" i="1"/>
  <c r="B48589" i="1"/>
  <c r="B48590" i="1"/>
  <c r="B48591" i="1"/>
  <c r="B48592" i="1"/>
  <c r="B48593" i="1"/>
  <c r="B48594" i="1"/>
  <c r="B48595" i="1"/>
  <c r="B48596" i="1"/>
  <c r="B48597" i="1"/>
  <c r="B48598" i="1"/>
  <c r="B48599" i="1"/>
  <c r="B48600" i="1"/>
  <c r="B48601" i="1"/>
  <c r="B48602" i="1"/>
  <c r="B48603" i="1"/>
  <c r="B48604" i="1"/>
  <c r="B48605" i="1"/>
  <c r="B48606" i="1"/>
  <c r="B48607" i="1"/>
  <c r="B48608" i="1"/>
  <c r="B48609" i="1"/>
  <c r="B48610" i="1"/>
  <c r="B48611" i="1"/>
  <c r="B48612" i="1"/>
  <c r="B48613" i="1"/>
  <c r="B48614" i="1"/>
  <c r="B48615" i="1"/>
  <c r="B48616" i="1"/>
  <c r="B48617" i="1"/>
  <c r="B48618" i="1"/>
  <c r="B48619" i="1"/>
  <c r="B48620" i="1"/>
  <c r="B48621" i="1"/>
  <c r="B48622" i="1"/>
  <c r="B48623" i="1"/>
  <c r="B48624" i="1"/>
  <c r="B48625" i="1"/>
  <c r="B48626" i="1"/>
  <c r="B48627" i="1"/>
  <c r="B48628" i="1"/>
  <c r="B48629" i="1"/>
  <c r="B48630" i="1"/>
  <c r="B48631" i="1"/>
  <c r="B48632" i="1"/>
  <c r="B48633" i="1"/>
  <c r="B48634" i="1"/>
  <c r="B48635" i="1"/>
  <c r="B48636" i="1"/>
  <c r="B48637" i="1"/>
  <c r="B48638" i="1"/>
  <c r="B48639" i="1"/>
  <c r="B48640" i="1"/>
  <c r="B48641" i="1"/>
  <c r="B48642" i="1"/>
  <c r="B48643" i="1"/>
  <c r="B48644" i="1"/>
  <c r="B48645" i="1"/>
  <c r="B48646" i="1"/>
  <c r="B48647" i="1"/>
  <c r="B48648" i="1"/>
  <c r="B48649" i="1"/>
  <c r="B48650" i="1"/>
  <c r="B48651" i="1"/>
  <c r="B48652" i="1"/>
  <c r="B48653" i="1"/>
  <c r="B48654" i="1"/>
  <c r="B48655" i="1"/>
  <c r="B48656" i="1"/>
  <c r="B48657" i="1"/>
  <c r="B48658" i="1"/>
  <c r="B48659" i="1"/>
  <c r="B48660" i="1"/>
  <c r="B48661" i="1"/>
  <c r="B48662" i="1"/>
  <c r="B48663" i="1"/>
  <c r="B48664" i="1"/>
  <c r="B48665" i="1"/>
  <c r="B48666" i="1"/>
  <c r="B48667" i="1"/>
  <c r="B48668" i="1"/>
  <c r="B48669" i="1"/>
  <c r="B48670" i="1"/>
  <c r="B48671" i="1"/>
  <c r="B48672" i="1"/>
  <c r="B48673" i="1"/>
  <c r="B48674" i="1"/>
  <c r="B48675" i="1"/>
  <c r="B48676" i="1"/>
  <c r="B48677" i="1"/>
  <c r="B48678" i="1"/>
  <c r="B48679" i="1"/>
  <c r="B48680" i="1"/>
  <c r="B48681" i="1"/>
  <c r="B48682" i="1"/>
  <c r="B48683" i="1"/>
  <c r="B48684" i="1"/>
  <c r="B48685" i="1"/>
  <c r="B48686" i="1"/>
  <c r="B48687" i="1"/>
  <c r="B48688" i="1"/>
  <c r="B48689" i="1"/>
  <c r="B48690" i="1"/>
  <c r="B48691" i="1"/>
  <c r="B48692" i="1"/>
  <c r="B48693" i="1"/>
  <c r="B48694" i="1"/>
  <c r="B48695" i="1"/>
  <c r="B48696" i="1"/>
  <c r="B48697" i="1"/>
  <c r="B48698" i="1"/>
  <c r="B48699" i="1"/>
  <c r="B48700" i="1"/>
  <c r="B48701" i="1"/>
  <c r="B48702" i="1"/>
  <c r="B48703" i="1"/>
  <c r="B48704" i="1"/>
  <c r="B48705" i="1"/>
  <c r="B48706" i="1"/>
  <c r="B48707" i="1"/>
  <c r="B48708" i="1"/>
  <c r="B48709" i="1"/>
  <c r="B48710" i="1"/>
  <c r="B48711" i="1"/>
  <c r="B48712" i="1"/>
  <c r="B48713" i="1"/>
  <c r="B48714" i="1"/>
  <c r="B48715" i="1"/>
  <c r="B48716" i="1"/>
  <c r="B48717" i="1"/>
  <c r="B48718" i="1"/>
  <c r="B48719" i="1"/>
  <c r="B48720" i="1"/>
  <c r="B48721" i="1"/>
  <c r="B48722" i="1"/>
  <c r="B48723" i="1"/>
  <c r="B48724" i="1"/>
  <c r="B48725" i="1"/>
  <c r="B48726" i="1"/>
  <c r="B48727" i="1"/>
  <c r="B48728" i="1"/>
  <c r="B48729" i="1"/>
  <c r="B48730" i="1"/>
  <c r="B48731" i="1"/>
  <c r="B48732" i="1"/>
  <c r="B48733" i="1"/>
  <c r="B48734" i="1"/>
  <c r="B48735" i="1"/>
  <c r="B48736" i="1"/>
  <c r="B48737" i="1"/>
  <c r="B48738" i="1"/>
  <c r="B48739" i="1"/>
  <c r="B48740" i="1"/>
  <c r="B48741" i="1"/>
  <c r="B48742" i="1"/>
  <c r="B48743" i="1"/>
  <c r="B48744" i="1"/>
  <c r="B48745" i="1"/>
  <c r="B48746" i="1"/>
  <c r="B48747" i="1"/>
  <c r="B48748" i="1"/>
  <c r="B48749" i="1"/>
  <c r="B48750" i="1"/>
  <c r="B48751" i="1"/>
  <c r="B48752" i="1"/>
  <c r="B48753" i="1"/>
  <c r="B48754" i="1"/>
  <c r="B48755" i="1"/>
  <c r="B48756" i="1"/>
  <c r="B48757" i="1"/>
  <c r="B48758" i="1"/>
  <c r="B48759" i="1"/>
  <c r="B48760" i="1"/>
  <c r="B48761" i="1"/>
  <c r="B48762" i="1"/>
  <c r="B48763" i="1"/>
  <c r="B48764" i="1"/>
  <c r="B48765" i="1"/>
  <c r="B48766" i="1"/>
  <c r="B48767" i="1"/>
  <c r="B48768" i="1"/>
  <c r="B48769" i="1"/>
  <c r="B48770" i="1"/>
  <c r="B48771" i="1"/>
  <c r="B48772" i="1"/>
  <c r="B48773" i="1"/>
  <c r="B48774" i="1"/>
  <c r="B48775" i="1"/>
  <c r="B48776" i="1"/>
  <c r="B48777" i="1"/>
  <c r="B48778" i="1"/>
  <c r="B48779" i="1"/>
  <c r="B48780" i="1"/>
  <c r="B48781" i="1"/>
  <c r="B48782" i="1"/>
  <c r="B48783" i="1"/>
  <c r="B48784" i="1"/>
  <c r="B48785" i="1"/>
  <c r="B48786" i="1"/>
  <c r="B48787" i="1"/>
  <c r="B48788" i="1"/>
  <c r="B48789" i="1"/>
  <c r="B48790" i="1"/>
  <c r="B48791" i="1"/>
  <c r="B48792" i="1"/>
  <c r="B48793" i="1"/>
  <c r="B48794" i="1"/>
  <c r="B48795" i="1"/>
  <c r="B48796" i="1"/>
  <c r="B48797" i="1"/>
  <c r="B48798" i="1"/>
  <c r="B48799" i="1"/>
  <c r="B48800" i="1"/>
  <c r="B48801" i="1"/>
  <c r="B48802" i="1"/>
  <c r="B48803" i="1"/>
  <c r="B48804" i="1"/>
  <c r="B48805" i="1"/>
  <c r="B48806" i="1"/>
  <c r="B48807" i="1"/>
  <c r="B48808" i="1"/>
  <c r="B48809" i="1"/>
  <c r="B48810" i="1"/>
  <c r="B48811" i="1"/>
  <c r="B48812" i="1"/>
  <c r="B48813" i="1"/>
  <c r="B48814" i="1"/>
  <c r="B48815" i="1"/>
  <c r="B48816" i="1"/>
  <c r="B48817" i="1"/>
  <c r="B48818" i="1"/>
  <c r="B48819" i="1"/>
  <c r="B48820" i="1"/>
  <c r="B48821" i="1"/>
  <c r="B48822" i="1"/>
  <c r="B48823" i="1"/>
  <c r="B48824" i="1"/>
  <c r="B48825" i="1"/>
  <c r="B48826" i="1"/>
  <c r="B48827" i="1"/>
  <c r="B48828" i="1"/>
  <c r="B48829" i="1"/>
  <c r="B48830" i="1"/>
  <c r="B48831" i="1"/>
  <c r="B48832" i="1"/>
  <c r="B48833" i="1"/>
  <c r="B48834" i="1"/>
  <c r="B48835" i="1"/>
  <c r="B48836" i="1"/>
  <c r="B48837" i="1"/>
  <c r="B48838" i="1"/>
  <c r="B48839" i="1"/>
  <c r="B48840" i="1"/>
  <c r="B48841" i="1"/>
  <c r="B48842" i="1"/>
  <c r="B48843" i="1"/>
  <c r="B48844" i="1"/>
  <c r="B48845" i="1"/>
  <c r="B48846" i="1"/>
  <c r="B48847" i="1"/>
  <c r="B48848" i="1"/>
  <c r="B48849" i="1"/>
  <c r="B48850" i="1"/>
  <c r="B48851" i="1"/>
  <c r="B48852" i="1"/>
  <c r="B48853" i="1"/>
  <c r="B48854" i="1"/>
  <c r="B48855" i="1"/>
  <c r="B48856" i="1"/>
  <c r="B48857" i="1"/>
  <c r="B48858" i="1"/>
  <c r="B48859" i="1"/>
  <c r="B48860" i="1"/>
  <c r="B48861" i="1"/>
  <c r="B48862" i="1"/>
  <c r="B48863" i="1"/>
  <c r="B48864" i="1"/>
  <c r="B48865" i="1"/>
  <c r="B48866" i="1"/>
  <c r="B48867" i="1"/>
  <c r="B48868" i="1"/>
  <c r="B48869" i="1"/>
  <c r="B48870" i="1"/>
  <c r="B48871" i="1"/>
  <c r="B48872" i="1"/>
  <c r="B48873" i="1"/>
  <c r="B48874" i="1"/>
  <c r="B48875" i="1"/>
  <c r="B48876" i="1"/>
  <c r="B48877" i="1"/>
  <c r="B48878" i="1"/>
  <c r="B48879" i="1"/>
  <c r="B48880" i="1"/>
  <c r="B48881" i="1"/>
  <c r="B48882" i="1"/>
  <c r="B48883" i="1"/>
  <c r="B48884" i="1"/>
  <c r="B48885" i="1"/>
  <c r="B48886" i="1"/>
  <c r="B48887" i="1"/>
  <c r="B48888" i="1"/>
  <c r="B48889" i="1"/>
  <c r="B48890" i="1"/>
  <c r="B48891" i="1"/>
  <c r="B48892" i="1"/>
  <c r="B48893" i="1"/>
  <c r="B48894" i="1"/>
  <c r="B48895" i="1"/>
  <c r="B48896" i="1"/>
  <c r="B48897" i="1"/>
  <c r="B48898" i="1"/>
  <c r="B48899" i="1"/>
  <c r="B48900" i="1"/>
  <c r="B48901" i="1"/>
  <c r="B48902" i="1"/>
  <c r="B48903" i="1"/>
  <c r="B48904" i="1"/>
  <c r="B48905" i="1"/>
  <c r="B48906" i="1"/>
  <c r="B48907" i="1"/>
  <c r="B48908" i="1"/>
  <c r="B48909" i="1"/>
  <c r="B48910" i="1"/>
  <c r="B48911" i="1"/>
  <c r="B48912" i="1"/>
  <c r="B48913" i="1"/>
  <c r="B48914" i="1"/>
  <c r="B48915" i="1"/>
  <c r="B48916" i="1"/>
  <c r="B48917" i="1"/>
  <c r="B48918" i="1"/>
  <c r="B48919" i="1"/>
  <c r="B48920" i="1"/>
  <c r="B48921" i="1"/>
  <c r="B48922" i="1"/>
  <c r="B48923" i="1"/>
  <c r="B48924" i="1"/>
  <c r="B48925" i="1"/>
  <c r="B48926" i="1"/>
  <c r="B48927" i="1"/>
  <c r="B48928" i="1"/>
  <c r="B48929" i="1"/>
  <c r="B48930" i="1"/>
  <c r="B48931" i="1"/>
  <c r="B47144" i="1"/>
  <c r="B47145" i="1"/>
  <c r="B47146" i="1"/>
  <c r="B47147" i="1"/>
  <c r="B47148" i="1"/>
  <c r="B47149" i="1"/>
  <c r="B47150" i="1"/>
  <c r="B47151" i="1"/>
  <c r="B47152" i="1"/>
  <c r="B47153" i="1"/>
  <c r="B47154" i="1"/>
  <c r="B47155" i="1"/>
  <c r="B47156" i="1"/>
  <c r="B47157" i="1"/>
  <c r="B47158" i="1"/>
  <c r="B47159" i="1"/>
  <c r="B47160" i="1"/>
  <c r="B47161" i="1"/>
  <c r="B47162" i="1"/>
  <c r="B47163" i="1"/>
  <c r="B47164" i="1"/>
  <c r="B47165" i="1"/>
  <c r="B47166" i="1"/>
  <c r="B47167" i="1"/>
  <c r="B47168" i="1"/>
  <c r="B47169" i="1"/>
  <c r="B47170" i="1"/>
  <c r="B47171" i="1"/>
  <c r="B47172" i="1"/>
  <c r="B47173" i="1"/>
  <c r="B47174" i="1"/>
  <c r="B47175" i="1"/>
  <c r="B47176" i="1"/>
  <c r="B47177" i="1"/>
  <c r="B47178" i="1"/>
  <c r="B47179" i="1"/>
  <c r="B47180" i="1"/>
  <c r="B47181" i="1"/>
  <c r="B47182" i="1"/>
  <c r="B47183" i="1"/>
  <c r="B47184" i="1"/>
  <c r="B47185" i="1"/>
  <c r="B47186" i="1"/>
  <c r="B47187" i="1"/>
  <c r="B47188" i="1"/>
  <c r="B47189" i="1"/>
  <c r="B47190" i="1"/>
  <c r="B47191" i="1"/>
  <c r="B47192" i="1"/>
  <c r="B47193" i="1"/>
  <c r="B47194" i="1"/>
  <c r="B47195" i="1"/>
  <c r="B47196" i="1"/>
  <c r="B47197" i="1"/>
  <c r="B47198" i="1"/>
  <c r="B47199" i="1"/>
  <c r="B47200" i="1"/>
  <c r="B47201" i="1"/>
  <c r="B47202" i="1"/>
  <c r="B47203" i="1"/>
  <c r="B47204" i="1"/>
  <c r="B47205" i="1"/>
  <c r="B47206" i="1"/>
  <c r="B47207" i="1"/>
  <c r="B47208" i="1"/>
  <c r="B47209" i="1"/>
  <c r="B47210" i="1"/>
  <c r="B47211" i="1"/>
  <c r="B47212" i="1"/>
  <c r="B47213" i="1"/>
  <c r="B47214" i="1"/>
  <c r="B47215" i="1"/>
  <c r="B47216" i="1"/>
  <c r="B47217" i="1"/>
  <c r="B47218" i="1"/>
  <c r="B47219" i="1"/>
  <c r="B47220" i="1"/>
  <c r="B47221" i="1"/>
  <c r="B47222" i="1"/>
  <c r="B47223" i="1"/>
  <c r="B47224" i="1"/>
  <c r="B47225" i="1"/>
  <c r="B47226" i="1"/>
  <c r="B47227" i="1"/>
  <c r="B47228" i="1"/>
  <c r="B47229" i="1"/>
  <c r="B47230" i="1"/>
  <c r="B47231" i="1"/>
  <c r="B47232" i="1"/>
  <c r="B47233" i="1"/>
  <c r="B47234" i="1"/>
  <c r="B47235" i="1"/>
  <c r="B47236" i="1"/>
  <c r="B47237" i="1"/>
  <c r="B47238" i="1"/>
  <c r="B47239" i="1"/>
  <c r="B47240" i="1"/>
  <c r="B47241" i="1"/>
  <c r="B47242" i="1"/>
  <c r="B47243" i="1"/>
  <c r="B47244" i="1"/>
  <c r="B47245" i="1"/>
  <c r="B47246" i="1"/>
  <c r="B47247" i="1"/>
  <c r="B47248" i="1"/>
  <c r="B47249" i="1"/>
  <c r="B47250" i="1"/>
  <c r="B47251" i="1"/>
  <c r="B47252" i="1"/>
  <c r="B47253" i="1"/>
  <c r="B47254" i="1"/>
  <c r="B47255" i="1"/>
  <c r="B47256" i="1"/>
  <c r="B47257" i="1"/>
  <c r="B47258" i="1"/>
  <c r="B47259" i="1"/>
  <c r="B47260" i="1"/>
  <c r="B47261" i="1"/>
  <c r="B47262" i="1"/>
  <c r="B47263" i="1"/>
  <c r="B47264" i="1"/>
  <c r="B47265" i="1"/>
  <c r="B47266" i="1"/>
  <c r="B47267" i="1"/>
  <c r="B47268" i="1"/>
  <c r="B47269" i="1"/>
  <c r="B47270" i="1"/>
  <c r="B47271" i="1"/>
  <c r="B47272" i="1"/>
  <c r="B47273" i="1"/>
  <c r="B47274" i="1"/>
  <c r="B47275" i="1"/>
  <c r="B47276" i="1"/>
  <c r="B47277" i="1"/>
  <c r="B47278" i="1"/>
  <c r="B47279" i="1"/>
  <c r="B47280" i="1"/>
  <c r="B47281" i="1"/>
  <c r="B47282" i="1"/>
  <c r="B47283" i="1"/>
  <c r="B47284" i="1"/>
  <c r="B47285" i="1"/>
  <c r="B47286" i="1"/>
  <c r="B47287" i="1"/>
  <c r="B47288" i="1"/>
  <c r="B47289" i="1"/>
  <c r="B47290" i="1"/>
  <c r="B47291" i="1"/>
  <c r="B47292" i="1"/>
  <c r="B47293" i="1"/>
  <c r="B47294" i="1"/>
  <c r="B47295" i="1"/>
  <c r="B47296" i="1"/>
  <c r="B47297" i="1"/>
  <c r="B47298" i="1"/>
  <c r="B47299" i="1"/>
  <c r="B47300" i="1"/>
  <c r="B47301" i="1"/>
  <c r="B47302" i="1"/>
  <c r="B47303" i="1"/>
  <c r="B47304" i="1"/>
  <c r="B47305" i="1"/>
  <c r="B47306" i="1"/>
  <c r="B47307" i="1"/>
  <c r="B47308" i="1"/>
  <c r="B47309" i="1"/>
  <c r="B47310" i="1"/>
  <c r="B47311" i="1"/>
  <c r="B47312" i="1"/>
  <c r="B47313" i="1"/>
  <c r="B47314" i="1"/>
  <c r="B47315" i="1"/>
  <c r="B47316" i="1"/>
  <c r="B47317" i="1"/>
  <c r="B47318" i="1"/>
  <c r="B47319" i="1"/>
  <c r="B47320" i="1"/>
  <c r="B47321" i="1"/>
  <c r="B47322" i="1"/>
  <c r="B47323" i="1"/>
  <c r="B47324" i="1"/>
  <c r="B47325" i="1"/>
  <c r="B47326" i="1"/>
  <c r="B47327" i="1"/>
  <c r="B47328" i="1"/>
  <c r="B47329" i="1"/>
  <c r="B47330" i="1"/>
  <c r="B47331" i="1"/>
  <c r="B47332" i="1"/>
  <c r="B47333" i="1"/>
  <c r="B47334" i="1"/>
  <c r="B47335" i="1"/>
  <c r="B47336" i="1"/>
  <c r="B47337" i="1"/>
  <c r="B47338" i="1"/>
  <c r="B47339" i="1"/>
  <c r="B47340" i="1"/>
  <c r="B47341" i="1"/>
  <c r="B47342" i="1"/>
  <c r="B47343" i="1"/>
  <c r="B47344" i="1"/>
  <c r="B47345" i="1"/>
  <c r="B47346" i="1"/>
  <c r="B47347" i="1"/>
  <c r="B47348" i="1"/>
  <c r="B47349" i="1"/>
  <c r="B47350" i="1"/>
  <c r="B47351" i="1"/>
  <c r="B47352" i="1"/>
  <c r="B47353" i="1"/>
  <c r="B47354" i="1"/>
  <c r="B47355" i="1"/>
  <c r="B47356" i="1"/>
  <c r="B47357" i="1"/>
  <c r="B47358" i="1"/>
  <c r="B47359" i="1"/>
  <c r="B47360" i="1"/>
  <c r="B47361" i="1"/>
  <c r="B47362" i="1"/>
  <c r="B47363" i="1"/>
  <c r="B47364" i="1"/>
  <c r="B47365" i="1"/>
  <c r="B47366" i="1"/>
  <c r="B47367" i="1"/>
  <c r="B47368" i="1"/>
  <c r="B47369" i="1"/>
  <c r="B47370" i="1"/>
  <c r="B47371" i="1"/>
  <c r="B47372" i="1"/>
  <c r="B47373" i="1"/>
  <c r="B47374" i="1"/>
  <c r="B47375" i="1"/>
  <c r="B47376" i="1"/>
  <c r="B47377" i="1"/>
  <c r="B47378" i="1"/>
  <c r="B47379" i="1"/>
  <c r="B47380" i="1"/>
  <c r="B47381" i="1"/>
  <c r="B47382" i="1"/>
  <c r="B47383" i="1"/>
  <c r="B47384" i="1"/>
  <c r="B47385" i="1"/>
  <c r="B47386" i="1"/>
  <c r="B47387" i="1"/>
  <c r="B47388" i="1"/>
  <c r="B47389" i="1"/>
  <c r="B47390" i="1"/>
  <c r="B47391" i="1"/>
  <c r="B47392" i="1"/>
  <c r="B47393" i="1"/>
  <c r="B47394" i="1"/>
  <c r="B47395" i="1"/>
  <c r="B47396" i="1"/>
  <c r="B47397" i="1"/>
  <c r="B47398" i="1"/>
  <c r="B47399" i="1"/>
  <c r="B47400" i="1"/>
  <c r="B47401" i="1"/>
  <c r="B47402" i="1"/>
  <c r="B47403" i="1"/>
  <c r="B47404" i="1"/>
  <c r="B47405" i="1"/>
  <c r="B47406" i="1"/>
  <c r="B47407" i="1"/>
  <c r="B47408" i="1"/>
  <c r="B47409" i="1"/>
  <c r="B47410" i="1"/>
  <c r="B47411" i="1"/>
  <c r="B47412" i="1"/>
  <c r="B47413" i="1"/>
  <c r="B47414" i="1"/>
  <c r="B47415" i="1"/>
  <c r="B47416" i="1"/>
  <c r="B47417" i="1"/>
  <c r="B47418" i="1"/>
  <c r="B47419" i="1"/>
  <c r="B47420" i="1"/>
  <c r="B47421" i="1"/>
  <c r="B47422" i="1"/>
  <c r="B47423" i="1"/>
  <c r="B47424" i="1"/>
  <c r="B47425" i="1"/>
  <c r="B47426" i="1"/>
  <c r="B47427" i="1"/>
  <c r="B47428" i="1"/>
  <c r="B47429" i="1"/>
  <c r="B47430" i="1"/>
  <c r="B47431" i="1"/>
  <c r="B47432" i="1"/>
  <c r="B47433" i="1"/>
  <c r="B47434" i="1"/>
  <c r="B47435" i="1"/>
  <c r="B47436" i="1"/>
  <c r="B47437" i="1"/>
  <c r="B47438" i="1"/>
  <c r="B47439" i="1"/>
  <c r="B47440" i="1"/>
  <c r="B47441" i="1"/>
  <c r="B47442" i="1"/>
  <c r="B47443" i="1"/>
  <c r="B47444" i="1"/>
  <c r="B47445" i="1"/>
  <c r="B47446" i="1"/>
  <c r="B47447" i="1"/>
  <c r="B47448" i="1"/>
  <c r="B47449" i="1"/>
  <c r="B47450" i="1"/>
  <c r="B47451" i="1"/>
  <c r="B47452" i="1"/>
  <c r="B47453" i="1"/>
  <c r="B47454" i="1"/>
  <c r="B47455" i="1"/>
  <c r="B47456" i="1"/>
  <c r="B47457" i="1"/>
  <c r="B47458" i="1"/>
  <c r="B47459" i="1"/>
  <c r="B47460" i="1"/>
  <c r="B47461" i="1"/>
  <c r="B47462" i="1"/>
  <c r="B47463" i="1"/>
  <c r="B47464" i="1"/>
  <c r="B47465" i="1"/>
  <c r="B47466" i="1"/>
  <c r="B47467" i="1"/>
  <c r="B47468" i="1"/>
  <c r="B47469" i="1"/>
  <c r="B47470" i="1"/>
  <c r="B47471" i="1"/>
  <c r="B47472" i="1"/>
  <c r="B47473" i="1"/>
  <c r="B47474" i="1"/>
  <c r="B47475" i="1"/>
  <c r="B47476" i="1"/>
  <c r="B47477" i="1"/>
  <c r="B47478" i="1"/>
  <c r="B47479" i="1"/>
  <c r="B47480" i="1"/>
  <c r="B47481" i="1"/>
  <c r="B47482" i="1"/>
  <c r="B47483" i="1"/>
  <c r="B47484" i="1"/>
  <c r="B47485" i="1"/>
  <c r="B47486" i="1"/>
  <c r="B47487" i="1"/>
  <c r="B47488" i="1"/>
  <c r="B47489" i="1"/>
  <c r="B47490" i="1"/>
  <c r="B47491" i="1"/>
  <c r="B47492" i="1"/>
  <c r="B47493" i="1"/>
  <c r="B47494" i="1"/>
  <c r="B47495" i="1"/>
  <c r="B47496" i="1"/>
  <c r="B47497" i="1"/>
  <c r="B47498" i="1"/>
  <c r="B47499" i="1"/>
  <c r="B47500" i="1"/>
  <c r="B47501" i="1"/>
  <c r="B47502" i="1"/>
  <c r="B47503" i="1"/>
  <c r="B47504" i="1"/>
  <c r="B47505" i="1"/>
  <c r="B47506" i="1"/>
  <c r="B47507" i="1"/>
  <c r="B47508" i="1"/>
  <c r="B47509" i="1"/>
  <c r="B47510" i="1"/>
  <c r="B47511" i="1"/>
  <c r="B47512" i="1"/>
  <c r="B47513" i="1"/>
  <c r="B47514" i="1"/>
  <c r="B47515" i="1"/>
  <c r="B47516" i="1"/>
  <c r="B47517" i="1"/>
  <c r="B47518" i="1"/>
  <c r="B47519" i="1"/>
  <c r="B47520" i="1"/>
  <c r="B47521" i="1"/>
  <c r="B47522" i="1"/>
  <c r="B47523" i="1"/>
  <c r="B47524" i="1"/>
  <c r="B47525" i="1"/>
  <c r="B47526" i="1"/>
  <c r="B47527" i="1"/>
  <c r="B47528" i="1"/>
  <c r="B47529" i="1"/>
  <c r="B47530" i="1"/>
  <c r="B47531" i="1"/>
  <c r="B47532" i="1"/>
  <c r="B47533" i="1"/>
  <c r="B47534" i="1"/>
  <c r="B47535" i="1"/>
  <c r="B47536" i="1"/>
  <c r="B47537" i="1"/>
  <c r="B47538" i="1"/>
  <c r="B47539" i="1"/>
  <c r="B47540" i="1"/>
  <c r="B47541" i="1"/>
  <c r="B47542" i="1"/>
  <c r="B47543" i="1"/>
  <c r="B47544" i="1"/>
  <c r="B47545" i="1"/>
  <c r="B47546" i="1"/>
  <c r="B47547" i="1"/>
  <c r="B47548" i="1"/>
  <c r="B47549" i="1"/>
  <c r="B47550" i="1"/>
  <c r="B47551" i="1"/>
  <c r="B47552" i="1"/>
  <c r="B47553" i="1"/>
  <c r="B47554" i="1"/>
  <c r="B47555" i="1"/>
  <c r="B47556" i="1"/>
  <c r="B47557" i="1"/>
  <c r="B47558" i="1"/>
  <c r="B47559" i="1"/>
  <c r="B47560" i="1"/>
  <c r="B47561" i="1"/>
  <c r="B47562" i="1"/>
  <c r="B47563" i="1"/>
  <c r="B47564" i="1"/>
  <c r="B47565" i="1"/>
  <c r="B47566" i="1"/>
  <c r="B47567" i="1"/>
  <c r="B47568" i="1"/>
  <c r="B47569" i="1"/>
  <c r="B47570" i="1"/>
  <c r="B47571" i="1"/>
  <c r="B47572" i="1"/>
  <c r="B47573" i="1"/>
  <c r="B47574" i="1"/>
  <c r="B47575" i="1"/>
  <c r="B47576" i="1"/>
  <c r="B47577" i="1"/>
  <c r="B47578" i="1"/>
  <c r="B47579" i="1"/>
  <c r="B47580" i="1"/>
  <c r="B47581" i="1"/>
  <c r="B47582" i="1"/>
  <c r="B47583" i="1"/>
  <c r="B47584" i="1"/>
  <c r="B47585" i="1"/>
  <c r="B47586" i="1"/>
  <c r="B47587" i="1"/>
  <c r="B47588" i="1"/>
  <c r="B47589" i="1"/>
  <c r="B47590" i="1"/>
  <c r="B47591" i="1"/>
  <c r="B47592" i="1"/>
  <c r="B47593" i="1"/>
  <c r="B47594" i="1"/>
  <c r="B47595" i="1"/>
  <c r="B47596" i="1"/>
  <c r="B47597" i="1"/>
  <c r="B47598" i="1"/>
  <c r="B47599" i="1"/>
  <c r="B47600" i="1"/>
  <c r="B47601" i="1"/>
  <c r="B47602" i="1"/>
  <c r="B47603" i="1"/>
  <c r="B47604" i="1"/>
  <c r="B47605" i="1"/>
  <c r="B47606" i="1"/>
  <c r="B47607" i="1"/>
  <c r="B47608" i="1"/>
  <c r="B47609" i="1"/>
  <c r="B47610" i="1"/>
  <c r="B47611" i="1"/>
  <c r="B47612" i="1"/>
  <c r="B47613" i="1"/>
  <c r="B47614" i="1"/>
  <c r="B47615" i="1"/>
  <c r="B47616" i="1"/>
  <c r="B47617" i="1"/>
  <c r="B47618" i="1"/>
  <c r="B47619" i="1"/>
  <c r="B47620" i="1"/>
  <c r="B47621" i="1"/>
  <c r="B47622" i="1"/>
  <c r="B47623" i="1"/>
  <c r="B47624" i="1"/>
  <c r="B47625" i="1"/>
  <c r="B47626" i="1"/>
  <c r="B47627" i="1"/>
  <c r="B47628" i="1"/>
  <c r="B47629" i="1"/>
  <c r="B47630" i="1"/>
  <c r="B47631" i="1"/>
  <c r="B47632" i="1"/>
  <c r="B47633" i="1"/>
  <c r="B47634" i="1"/>
  <c r="B47635" i="1"/>
  <c r="B47636" i="1"/>
  <c r="B47637" i="1"/>
  <c r="B47638" i="1"/>
  <c r="B47639" i="1"/>
  <c r="B47640" i="1"/>
  <c r="B47641" i="1"/>
  <c r="B47642" i="1"/>
  <c r="B47643" i="1"/>
  <c r="B47644" i="1"/>
  <c r="B47645" i="1"/>
  <c r="B47646" i="1"/>
  <c r="B47647" i="1"/>
  <c r="B47648" i="1"/>
  <c r="B47649" i="1"/>
  <c r="B47650" i="1"/>
  <c r="B47651" i="1"/>
  <c r="B47652" i="1"/>
  <c r="B47653" i="1"/>
  <c r="B47654" i="1"/>
  <c r="B47655" i="1"/>
  <c r="B47656" i="1"/>
  <c r="B47657" i="1"/>
  <c r="B47658" i="1"/>
  <c r="B47659" i="1"/>
  <c r="B47660" i="1"/>
  <c r="B47661" i="1"/>
  <c r="B47662" i="1"/>
  <c r="B47663" i="1"/>
  <c r="B47664" i="1"/>
  <c r="B47665" i="1"/>
  <c r="B47666" i="1"/>
  <c r="B47667" i="1"/>
  <c r="B47668" i="1"/>
  <c r="B47669" i="1"/>
  <c r="B47670" i="1"/>
  <c r="B47671" i="1"/>
  <c r="B47672" i="1"/>
  <c r="B47673" i="1"/>
  <c r="B47674" i="1"/>
  <c r="B47675" i="1"/>
  <c r="B47676" i="1"/>
  <c r="B47677" i="1"/>
  <c r="B47678" i="1"/>
  <c r="B47679" i="1"/>
  <c r="B47680" i="1"/>
  <c r="B47681" i="1"/>
  <c r="B47682" i="1"/>
  <c r="B47683" i="1"/>
  <c r="B47684" i="1"/>
  <c r="B47685" i="1"/>
  <c r="B47686" i="1"/>
  <c r="B47687" i="1"/>
  <c r="B47688" i="1"/>
  <c r="B47689" i="1"/>
  <c r="B47690" i="1"/>
  <c r="B47691" i="1"/>
  <c r="B47692" i="1"/>
  <c r="B47693" i="1"/>
  <c r="B47694" i="1"/>
  <c r="B47695" i="1"/>
  <c r="B47696" i="1"/>
  <c r="B47697" i="1"/>
  <c r="B47698" i="1"/>
  <c r="B47699" i="1"/>
  <c r="B47700" i="1"/>
  <c r="B47701" i="1"/>
  <c r="B47702" i="1"/>
  <c r="B47703" i="1"/>
  <c r="B47704" i="1"/>
  <c r="B47705" i="1"/>
  <c r="B47706" i="1"/>
  <c r="B47707" i="1"/>
  <c r="B47708" i="1"/>
  <c r="B47709" i="1"/>
  <c r="B47710" i="1"/>
  <c r="B47711" i="1"/>
  <c r="B47712" i="1"/>
  <c r="B47713" i="1"/>
  <c r="B47714" i="1"/>
  <c r="B47715" i="1"/>
  <c r="B47716" i="1"/>
  <c r="B47717" i="1"/>
  <c r="B47718" i="1"/>
  <c r="B47719" i="1"/>
  <c r="B47720" i="1"/>
  <c r="B47721" i="1"/>
  <c r="B47722" i="1"/>
  <c r="B47723" i="1"/>
  <c r="B47724" i="1"/>
  <c r="B47725" i="1"/>
  <c r="B47726" i="1"/>
  <c r="B47727" i="1"/>
  <c r="B47728" i="1"/>
  <c r="B47729" i="1"/>
  <c r="B47730" i="1"/>
  <c r="B47731" i="1"/>
  <c r="B47732" i="1"/>
  <c r="B47733" i="1"/>
  <c r="B47734" i="1"/>
  <c r="B47735" i="1"/>
  <c r="B47736" i="1"/>
  <c r="B47737" i="1"/>
  <c r="B47738" i="1"/>
  <c r="B47739" i="1"/>
  <c r="B47740" i="1"/>
  <c r="B47741" i="1"/>
  <c r="B47742" i="1"/>
  <c r="B47743" i="1"/>
  <c r="B47744" i="1"/>
  <c r="B47745" i="1"/>
  <c r="B47746" i="1"/>
  <c r="B47747" i="1"/>
  <c r="B47748" i="1"/>
  <c r="B47749" i="1"/>
  <c r="B47750" i="1"/>
  <c r="B47751" i="1"/>
  <c r="B47752" i="1"/>
  <c r="B47753" i="1"/>
  <c r="B47754" i="1"/>
  <c r="B47755" i="1"/>
  <c r="B47756" i="1"/>
  <c r="B47757" i="1"/>
  <c r="B47758" i="1"/>
  <c r="B47759" i="1"/>
  <c r="B47760" i="1"/>
  <c r="B47761" i="1"/>
  <c r="B47762" i="1"/>
  <c r="B47763" i="1"/>
  <c r="B47764" i="1"/>
  <c r="B47765" i="1"/>
  <c r="B47766" i="1"/>
  <c r="B47767" i="1"/>
  <c r="B47768" i="1"/>
  <c r="B47769" i="1"/>
  <c r="B47770" i="1"/>
  <c r="B47771" i="1"/>
  <c r="B47772" i="1"/>
  <c r="B47773" i="1"/>
  <c r="B47774" i="1"/>
  <c r="B47775" i="1"/>
  <c r="B47776" i="1"/>
  <c r="B47777" i="1"/>
  <c r="B47778" i="1"/>
  <c r="B47779" i="1"/>
  <c r="B47780" i="1"/>
  <c r="B47781" i="1"/>
  <c r="B47782" i="1"/>
  <c r="B47783" i="1"/>
  <c r="B47784" i="1"/>
  <c r="B47785" i="1"/>
  <c r="B47786" i="1"/>
  <c r="B47787" i="1"/>
  <c r="B47788" i="1"/>
  <c r="B47789" i="1"/>
  <c r="B47790" i="1"/>
  <c r="B47791" i="1"/>
  <c r="B47792" i="1"/>
  <c r="B47793" i="1"/>
  <c r="B47794" i="1"/>
  <c r="B47795" i="1"/>
  <c r="B47796" i="1"/>
  <c r="B47797" i="1"/>
  <c r="B47798" i="1"/>
  <c r="B47799" i="1"/>
  <c r="B47800" i="1"/>
  <c r="B47801" i="1"/>
  <c r="B47802" i="1"/>
  <c r="B47803" i="1"/>
  <c r="B47804" i="1"/>
  <c r="B47805" i="1"/>
  <c r="B47806" i="1"/>
  <c r="B47807" i="1"/>
  <c r="B47808" i="1"/>
  <c r="B47809" i="1"/>
  <c r="B47810" i="1"/>
  <c r="B47811" i="1"/>
  <c r="B47812" i="1"/>
  <c r="B47813" i="1"/>
  <c r="B47814" i="1"/>
  <c r="B47815" i="1"/>
  <c r="B47816" i="1"/>
  <c r="B47817" i="1"/>
  <c r="B47818" i="1"/>
  <c r="B47819" i="1"/>
  <c r="B47820" i="1"/>
  <c r="B47821" i="1"/>
  <c r="B47822" i="1"/>
  <c r="B47823" i="1"/>
  <c r="B47824" i="1"/>
  <c r="B47825" i="1"/>
  <c r="B47826" i="1"/>
  <c r="B47827" i="1"/>
  <c r="B47828" i="1"/>
  <c r="B47829" i="1"/>
  <c r="B47830" i="1"/>
  <c r="B47831" i="1"/>
  <c r="B47832" i="1"/>
  <c r="B47833" i="1"/>
  <c r="B47834" i="1"/>
  <c r="B47835" i="1"/>
  <c r="B47836" i="1"/>
  <c r="B47837" i="1"/>
  <c r="B47838" i="1"/>
  <c r="B47839" i="1"/>
  <c r="B47840" i="1"/>
  <c r="B47841" i="1"/>
  <c r="B47842" i="1"/>
  <c r="B47843" i="1"/>
  <c r="B47844" i="1"/>
  <c r="B47845" i="1"/>
  <c r="B47846" i="1"/>
  <c r="B47847" i="1"/>
  <c r="B47848" i="1"/>
  <c r="B47849" i="1"/>
  <c r="B47850" i="1"/>
  <c r="B47851" i="1"/>
  <c r="B47852" i="1"/>
  <c r="B47853" i="1"/>
  <c r="B47854" i="1"/>
  <c r="B47855" i="1"/>
  <c r="B47856" i="1"/>
  <c r="B47857" i="1"/>
  <c r="B47858" i="1"/>
  <c r="B47859" i="1"/>
  <c r="B47860" i="1"/>
  <c r="B47861" i="1"/>
  <c r="B47862" i="1"/>
  <c r="B47863" i="1"/>
  <c r="B47864" i="1"/>
  <c r="B47865" i="1"/>
  <c r="B47866" i="1"/>
  <c r="B47867" i="1"/>
  <c r="B47868" i="1"/>
  <c r="B47869" i="1"/>
  <c r="B47870" i="1"/>
  <c r="B47871" i="1"/>
  <c r="B47872" i="1"/>
  <c r="B47873" i="1"/>
  <c r="B47874" i="1"/>
  <c r="B47875" i="1"/>
  <c r="B47876" i="1"/>
  <c r="B47877" i="1"/>
  <c r="B47878" i="1"/>
  <c r="B47879" i="1"/>
  <c r="B47880" i="1"/>
  <c r="B47881" i="1"/>
  <c r="B47882" i="1"/>
  <c r="B47883" i="1"/>
  <c r="B47884" i="1"/>
  <c r="B47885" i="1"/>
  <c r="B47886" i="1"/>
  <c r="B47887" i="1"/>
  <c r="B47888" i="1"/>
  <c r="B47889" i="1"/>
  <c r="B47890" i="1"/>
  <c r="B47891" i="1"/>
  <c r="B47892" i="1"/>
  <c r="B47893" i="1"/>
  <c r="B47894" i="1"/>
  <c r="B47895" i="1"/>
  <c r="B47896" i="1"/>
  <c r="B47897" i="1"/>
  <c r="B47898" i="1"/>
  <c r="B47899" i="1"/>
  <c r="B47900" i="1"/>
  <c r="B47901" i="1"/>
  <c r="B47902" i="1"/>
  <c r="B47903" i="1"/>
  <c r="B47904" i="1"/>
  <c r="B47905" i="1"/>
  <c r="B47906" i="1"/>
  <c r="B47907" i="1"/>
  <c r="B47908" i="1"/>
  <c r="B47909" i="1"/>
  <c r="B47910" i="1"/>
  <c r="B47911" i="1"/>
  <c r="B47912" i="1"/>
  <c r="B47913" i="1"/>
  <c r="B47914" i="1"/>
  <c r="B47915" i="1"/>
  <c r="B47916" i="1"/>
  <c r="B47917" i="1"/>
  <c r="B47918" i="1"/>
  <c r="B47919" i="1"/>
  <c r="B47920" i="1"/>
  <c r="B47921" i="1"/>
  <c r="B47922" i="1"/>
  <c r="B47923" i="1"/>
  <c r="B47924" i="1"/>
  <c r="B47925" i="1"/>
  <c r="B47926" i="1"/>
  <c r="B47927" i="1"/>
  <c r="B47928" i="1"/>
  <c r="B47929" i="1"/>
  <c r="B47930" i="1"/>
  <c r="B47931" i="1"/>
  <c r="B47932" i="1"/>
  <c r="B47933" i="1"/>
  <c r="B47934" i="1"/>
  <c r="B47935" i="1"/>
  <c r="B47936" i="1"/>
  <c r="B47937" i="1"/>
  <c r="B47938" i="1"/>
  <c r="B47939" i="1"/>
  <c r="B47940" i="1"/>
  <c r="B47941" i="1"/>
  <c r="B47942" i="1"/>
  <c r="B47943" i="1"/>
  <c r="B47944" i="1"/>
  <c r="B47945" i="1"/>
  <c r="B47946" i="1"/>
  <c r="B47947" i="1"/>
  <c r="B47948" i="1"/>
  <c r="B47949" i="1"/>
  <c r="B47950" i="1"/>
  <c r="B47951" i="1"/>
  <c r="B47952" i="1"/>
  <c r="B47953" i="1"/>
  <c r="B47954" i="1"/>
  <c r="B47955" i="1"/>
  <c r="B47956" i="1"/>
  <c r="B47957" i="1"/>
  <c r="B47958" i="1"/>
  <c r="B47959" i="1"/>
  <c r="B47960" i="1"/>
  <c r="B47961" i="1"/>
  <c r="B47962" i="1"/>
  <c r="B47963" i="1"/>
  <c r="B47964" i="1"/>
  <c r="B47965" i="1"/>
  <c r="B47966" i="1"/>
  <c r="B47967" i="1"/>
  <c r="B47968" i="1"/>
  <c r="B47969" i="1"/>
  <c r="B47970" i="1"/>
  <c r="B47971" i="1"/>
  <c r="B47972" i="1"/>
  <c r="B47973" i="1"/>
  <c r="B47974" i="1"/>
  <c r="B47975" i="1"/>
  <c r="B47976" i="1"/>
  <c r="B47977" i="1"/>
  <c r="B47978" i="1"/>
  <c r="B47979" i="1"/>
  <c r="B47980" i="1"/>
  <c r="B47981" i="1"/>
  <c r="B47982" i="1"/>
  <c r="B47983" i="1"/>
  <c r="B47984" i="1"/>
  <c r="B47985" i="1"/>
  <c r="B47986" i="1"/>
  <c r="B47987" i="1"/>
  <c r="B47988" i="1"/>
  <c r="B47989" i="1"/>
  <c r="B47990" i="1"/>
  <c r="B47991" i="1"/>
  <c r="B47992" i="1"/>
  <c r="B47993" i="1"/>
  <c r="B47994" i="1"/>
  <c r="B47995" i="1"/>
  <c r="B47996" i="1"/>
  <c r="B47997" i="1"/>
  <c r="B47998" i="1"/>
  <c r="B47999" i="1"/>
  <c r="B48000" i="1"/>
  <c r="B48001" i="1"/>
  <c r="B48002" i="1"/>
  <c r="B48003" i="1"/>
  <c r="B48004" i="1"/>
  <c r="B48005" i="1"/>
  <c r="B48006" i="1"/>
  <c r="B48007" i="1"/>
  <c r="B48008" i="1"/>
  <c r="B48009" i="1"/>
  <c r="B48010" i="1"/>
  <c r="B48011" i="1"/>
  <c r="B48012" i="1"/>
  <c r="B48013" i="1"/>
  <c r="B48014" i="1"/>
  <c r="B48015" i="1"/>
  <c r="B48016" i="1"/>
  <c r="B48017" i="1"/>
  <c r="B48018" i="1"/>
  <c r="B48019" i="1"/>
  <c r="B48020" i="1"/>
  <c r="B48021" i="1"/>
  <c r="B48022" i="1"/>
  <c r="B48023" i="1"/>
  <c r="B48024" i="1"/>
  <c r="B48025" i="1"/>
  <c r="B48026" i="1"/>
  <c r="B48027" i="1"/>
  <c r="B48028" i="1"/>
  <c r="B48029" i="1"/>
  <c r="B48030" i="1"/>
  <c r="B48031" i="1"/>
  <c r="B48032" i="1"/>
  <c r="B48033" i="1"/>
  <c r="B48034" i="1"/>
  <c r="B48035" i="1"/>
  <c r="B48036" i="1"/>
  <c r="B48037" i="1"/>
  <c r="B42759" i="1"/>
  <c r="B42760" i="1"/>
  <c r="B42761" i="1"/>
  <c r="B42762" i="1"/>
  <c r="B42763" i="1"/>
  <c r="B42764" i="1"/>
  <c r="B42765" i="1"/>
  <c r="B42766" i="1"/>
  <c r="B42767" i="1"/>
  <c r="B42768" i="1"/>
  <c r="B42769" i="1"/>
  <c r="B42770" i="1"/>
  <c r="B42771" i="1"/>
  <c r="B42772" i="1"/>
  <c r="B42773" i="1"/>
  <c r="B42774" i="1"/>
  <c r="B42775" i="1"/>
  <c r="B42776" i="1"/>
  <c r="B42777" i="1"/>
  <c r="B42778" i="1"/>
  <c r="B42779" i="1"/>
  <c r="B42780" i="1"/>
  <c r="B42781" i="1"/>
  <c r="B42782" i="1"/>
  <c r="B42783" i="1"/>
  <c r="B42784" i="1"/>
  <c r="B42785" i="1"/>
  <c r="B42786" i="1"/>
  <c r="B42787" i="1"/>
  <c r="B42788" i="1"/>
  <c r="B42789" i="1"/>
  <c r="B42790" i="1"/>
  <c r="B42791" i="1"/>
  <c r="B42792" i="1"/>
  <c r="B42793" i="1"/>
  <c r="B42794" i="1"/>
  <c r="B42795" i="1"/>
  <c r="B42796" i="1"/>
  <c r="B42797" i="1"/>
  <c r="B42798" i="1"/>
  <c r="B42799" i="1"/>
  <c r="B42800" i="1"/>
  <c r="B42801" i="1"/>
  <c r="B42802" i="1"/>
  <c r="B42803" i="1"/>
  <c r="B42804" i="1"/>
  <c r="B42805" i="1"/>
  <c r="B42806" i="1"/>
  <c r="B42807" i="1"/>
  <c r="B42808" i="1"/>
  <c r="B42809" i="1"/>
  <c r="B42810" i="1"/>
  <c r="B42811" i="1"/>
  <c r="B42812" i="1"/>
  <c r="B42813" i="1"/>
  <c r="B42814" i="1"/>
  <c r="B42815" i="1"/>
  <c r="B42816" i="1"/>
  <c r="B42817" i="1"/>
  <c r="B42818" i="1"/>
  <c r="B42819" i="1"/>
  <c r="B42820" i="1"/>
  <c r="B42821" i="1"/>
  <c r="B42822" i="1"/>
  <c r="B42823" i="1"/>
  <c r="B42824" i="1"/>
  <c r="B42825" i="1"/>
  <c r="B42826" i="1"/>
  <c r="B42827" i="1"/>
  <c r="B42828" i="1"/>
  <c r="B42829" i="1"/>
  <c r="B42830" i="1"/>
  <c r="B42831" i="1"/>
  <c r="B42832" i="1"/>
  <c r="B42833" i="1"/>
  <c r="B42834" i="1"/>
  <c r="B42835" i="1"/>
  <c r="B42836" i="1"/>
  <c r="B42837" i="1"/>
  <c r="B42838" i="1"/>
  <c r="B42839" i="1"/>
  <c r="B42840" i="1"/>
  <c r="B42841" i="1"/>
  <c r="B42842" i="1"/>
  <c r="B42843" i="1"/>
  <c r="B42844" i="1"/>
  <c r="B42845" i="1"/>
  <c r="B42846" i="1"/>
  <c r="B42847" i="1"/>
  <c r="B42848" i="1"/>
  <c r="B42849" i="1"/>
  <c r="B42850" i="1"/>
  <c r="B42851" i="1"/>
  <c r="B42852" i="1"/>
  <c r="B42853" i="1"/>
  <c r="B42854" i="1"/>
  <c r="B42855" i="1"/>
  <c r="B42856" i="1"/>
  <c r="B42857" i="1"/>
  <c r="B42858" i="1"/>
  <c r="B42859" i="1"/>
  <c r="B42860" i="1"/>
  <c r="B42861" i="1"/>
  <c r="B42862" i="1"/>
  <c r="B42863" i="1"/>
  <c r="B42864" i="1"/>
  <c r="B42865" i="1"/>
  <c r="B42866" i="1"/>
  <c r="B42867" i="1"/>
  <c r="B42868" i="1"/>
  <c r="B42869" i="1"/>
  <c r="B42870" i="1"/>
  <c r="B42871" i="1"/>
  <c r="B42872" i="1"/>
  <c r="B42873" i="1"/>
  <c r="B42874" i="1"/>
  <c r="B42875" i="1"/>
  <c r="B42876" i="1"/>
  <c r="B42877" i="1"/>
  <c r="B42878" i="1"/>
  <c r="B42879" i="1"/>
  <c r="B42880" i="1"/>
  <c r="B42881" i="1"/>
  <c r="B42882" i="1"/>
  <c r="B42883" i="1"/>
  <c r="B42884" i="1"/>
  <c r="B42885" i="1"/>
  <c r="B42886" i="1"/>
  <c r="B42887" i="1"/>
  <c r="B42888" i="1"/>
  <c r="B42889" i="1"/>
  <c r="B42890" i="1"/>
  <c r="B42891" i="1"/>
  <c r="B42892" i="1"/>
  <c r="B42893" i="1"/>
  <c r="B42894" i="1"/>
  <c r="B42895" i="1"/>
  <c r="B42896" i="1"/>
  <c r="B42897" i="1"/>
  <c r="B42898" i="1"/>
  <c r="B42899" i="1"/>
  <c r="B42900" i="1"/>
  <c r="B42901" i="1"/>
  <c r="B42902" i="1"/>
  <c r="B42903" i="1"/>
  <c r="B42904" i="1"/>
  <c r="B42905" i="1"/>
  <c r="B42906" i="1"/>
  <c r="B42907" i="1"/>
  <c r="B42908" i="1"/>
  <c r="B42909" i="1"/>
  <c r="B42910" i="1"/>
  <c r="B42911" i="1"/>
  <c r="B42912" i="1"/>
  <c r="B42913" i="1"/>
  <c r="B42914" i="1"/>
  <c r="B42915" i="1"/>
  <c r="B42916" i="1"/>
  <c r="B42917" i="1"/>
  <c r="B42918" i="1"/>
  <c r="B42919" i="1"/>
  <c r="B42920" i="1"/>
  <c r="B42921" i="1"/>
  <c r="B42922" i="1"/>
  <c r="B42923" i="1"/>
  <c r="B42924" i="1"/>
  <c r="B42925" i="1"/>
  <c r="B42926" i="1"/>
  <c r="B42927" i="1"/>
  <c r="B42928" i="1"/>
  <c r="B42929" i="1"/>
  <c r="B42930" i="1"/>
  <c r="B42931" i="1"/>
  <c r="B42932" i="1"/>
  <c r="B42933" i="1"/>
  <c r="B42934" i="1"/>
  <c r="B42935" i="1"/>
  <c r="B42936" i="1"/>
  <c r="B42937" i="1"/>
  <c r="B42938" i="1"/>
  <c r="B42939" i="1"/>
  <c r="B42940" i="1"/>
  <c r="B42941" i="1"/>
  <c r="B42942" i="1"/>
  <c r="B42943" i="1"/>
  <c r="B42944" i="1"/>
  <c r="B42945" i="1"/>
  <c r="B42946" i="1"/>
  <c r="B42947" i="1"/>
  <c r="B42948" i="1"/>
  <c r="B42949" i="1"/>
  <c r="B42950" i="1"/>
  <c r="B42951" i="1"/>
  <c r="B42952" i="1"/>
  <c r="B42953" i="1"/>
  <c r="B42954" i="1"/>
  <c r="B42955" i="1"/>
  <c r="B42956" i="1"/>
  <c r="B42957" i="1"/>
  <c r="B42958" i="1"/>
  <c r="B42959" i="1"/>
  <c r="B42960" i="1"/>
  <c r="B42961" i="1"/>
  <c r="B42962" i="1"/>
  <c r="B42963" i="1"/>
  <c r="B42964" i="1"/>
  <c r="B42965" i="1"/>
  <c r="B42966" i="1"/>
  <c r="B42967" i="1"/>
  <c r="B42968" i="1"/>
  <c r="B42969" i="1"/>
  <c r="B42970" i="1"/>
  <c r="B42971" i="1"/>
  <c r="B42972" i="1"/>
  <c r="B42973" i="1"/>
  <c r="B42974" i="1"/>
  <c r="B42975" i="1"/>
  <c r="B42976" i="1"/>
  <c r="B42977" i="1"/>
  <c r="B42978" i="1"/>
  <c r="B42979" i="1"/>
  <c r="B42980" i="1"/>
  <c r="B42981" i="1"/>
  <c r="B42982" i="1"/>
  <c r="B42983" i="1"/>
  <c r="B42984" i="1"/>
  <c r="B42985" i="1"/>
  <c r="B42986" i="1"/>
  <c r="B42987" i="1"/>
  <c r="B42988" i="1"/>
  <c r="B42989" i="1"/>
  <c r="B42990" i="1"/>
  <c r="B42991" i="1"/>
  <c r="B42992" i="1"/>
  <c r="B42993" i="1"/>
  <c r="B42994" i="1"/>
  <c r="B42995" i="1"/>
  <c r="B42996" i="1"/>
  <c r="B42997" i="1"/>
  <c r="B42998" i="1"/>
  <c r="B42999" i="1"/>
  <c r="B43000" i="1"/>
  <c r="B43001" i="1"/>
  <c r="B43002" i="1"/>
  <c r="B43003" i="1"/>
  <c r="B43004" i="1"/>
  <c r="B43005" i="1"/>
  <c r="B43006" i="1"/>
  <c r="B43007" i="1"/>
  <c r="B43008" i="1"/>
  <c r="B43009" i="1"/>
  <c r="B43010" i="1"/>
  <c r="B43011" i="1"/>
  <c r="B43012" i="1"/>
  <c r="B43013" i="1"/>
  <c r="B43014" i="1"/>
  <c r="B43015" i="1"/>
  <c r="B43016" i="1"/>
  <c r="B43017" i="1"/>
  <c r="B43018" i="1"/>
  <c r="B43019" i="1"/>
  <c r="B43020" i="1"/>
  <c r="B43021" i="1"/>
  <c r="B43022" i="1"/>
  <c r="B43023" i="1"/>
  <c r="B43024" i="1"/>
  <c r="B43025" i="1"/>
  <c r="B43026" i="1"/>
  <c r="B43027" i="1"/>
  <c r="B43028" i="1"/>
  <c r="B43029" i="1"/>
  <c r="B43030" i="1"/>
  <c r="B43031" i="1"/>
  <c r="B43032" i="1"/>
  <c r="B43033" i="1"/>
  <c r="B43034" i="1"/>
  <c r="B43035" i="1"/>
  <c r="B43036" i="1"/>
  <c r="B43037" i="1"/>
  <c r="B43038" i="1"/>
  <c r="B43039" i="1"/>
  <c r="B43040" i="1"/>
  <c r="B43041" i="1"/>
  <c r="B43042" i="1"/>
  <c r="B43043" i="1"/>
  <c r="B43044" i="1"/>
  <c r="B43045" i="1"/>
  <c r="B43046" i="1"/>
  <c r="B43047" i="1"/>
  <c r="B43048" i="1"/>
  <c r="B43049" i="1"/>
  <c r="B43050" i="1"/>
  <c r="B43051" i="1"/>
  <c r="B43052" i="1"/>
  <c r="B43053" i="1"/>
  <c r="B43054" i="1"/>
  <c r="B43055" i="1"/>
  <c r="B43056" i="1"/>
  <c r="B43057" i="1"/>
  <c r="B43058" i="1"/>
  <c r="B43059" i="1"/>
  <c r="B43060" i="1"/>
  <c r="B43061" i="1"/>
  <c r="B43062" i="1"/>
  <c r="B43063" i="1"/>
  <c r="B43064" i="1"/>
  <c r="B43065" i="1"/>
  <c r="B43066" i="1"/>
  <c r="B43067" i="1"/>
  <c r="B43068" i="1"/>
  <c r="B43069" i="1"/>
  <c r="B43070" i="1"/>
  <c r="B43071" i="1"/>
  <c r="B43072" i="1"/>
  <c r="B43073" i="1"/>
  <c r="B43074" i="1"/>
  <c r="B43075" i="1"/>
  <c r="B43076" i="1"/>
  <c r="B43077" i="1"/>
  <c r="B43078" i="1"/>
  <c r="B43079" i="1"/>
  <c r="B43080" i="1"/>
  <c r="B43081" i="1"/>
  <c r="B43082" i="1"/>
  <c r="B43083" i="1"/>
  <c r="B43084" i="1"/>
  <c r="B43085" i="1"/>
  <c r="B43086" i="1"/>
  <c r="B43087" i="1"/>
  <c r="B43088" i="1"/>
  <c r="B43089" i="1"/>
  <c r="B43090" i="1"/>
  <c r="B43091" i="1"/>
  <c r="B43092" i="1"/>
  <c r="B43093" i="1"/>
  <c r="B43094" i="1"/>
  <c r="B43095" i="1"/>
  <c r="B43096" i="1"/>
  <c r="B43097" i="1"/>
  <c r="B43098" i="1"/>
  <c r="B43099" i="1"/>
  <c r="B43100" i="1"/>
  <c r="B43101" i="1"/>
  <c r="B43102" i="1"/>
  <c r="B43103" i="1"/>
  <c r="B43104" i="1"/>
  <c r="B43105" i="1"/>
  <c r="B43106" i="1"/>
  <c r="B43107" i="1"/>
  <c r="B43108" i="1"/>
  <c r="B43109" i="1"/>
  <c r="B43110" i="1"/>
  <c r="B43111" i="1"/>
  <c r="B43112" i="1"/>
  <c r="B43113" i="1"/>
  <c r="B43114" i="1"/>
  <c r="B43115" i="1"/>
  <c r="B43116" i="1"/>
  <c r="B43117" i="1"/>
  <c r="B43118" i="1"/>
  <c r="B43119" i="1"/>
  <c r="B43120" i="1"/>
  <c r="B43121" i="1"/>
  <c r="B43122" i="1"/>
  <c r="B43123" i="1"/>
  <c r="B43124" i="1"/>
  <c r="B43125" i="1"/>
  <c r="B43126" i="1"/>
  <c r="B43127" i="1"/>
  <c r="B43128" i="1"/>
  <c r="B43129" i="1"/>
  <c r="B43130" i="1"/>
  <c r="B43131" i="1"/>
  <c r="B43132" i="1"/>
  <c r="B43133" i="1"/>
  <c r="B43134" i="1"/>
  <c r="B43135" i="1"/>
  <c r="B43136" i="1"/>
  <c r="B43137" i="1"/>
  <c r="B43138" i="1"/>
  <c r="B43139" i="1"/>
  <c r="B43140" i="1"/>
  <c r="B43141" i="1"/>
  <c r="B43142" i="1"/>
  <c r="B43143" i="1"/>
  <c r="B43144" i="1"/>
  <c r="B43145" i="1"/>
  <c r="B43146" i="1"/>
  <c r="B43147" i="1"/>
  <c r="B43148" i="1"/>
  <c r="B43149" i="1"/>
  <c r="B43150" i="1"/>
  <c r="B43151" i="1"/>
  <c r="B43152" i="1"/>
  <c r="B43153" i="1"/>
  <c r="B43154" i="1"/>
  <c r="B43155" i="1"/>
  <c r="B43156" i="1"/>
  <c r="B43157" i="1"/>
  <c r="B43158" i="1"/>
  <c r="B43159" i="1"/>
  <c r="B43160" i="1"/>
  <c r="B43161" i="1"/>
  <c r="B43162" i="1"/>
  <c r="B43163" i="1"/>
  <c r="B43164" i="1"/>
  <c r="B43165" i="1"/>
  <c r="B43166" i="1"/>
  <c r="B43167" i="1"/>
  <c r="B43168" i="1"/>
  <c r="B43169" i="1"/>
  <c r="B43170" i="1"/>
  <c r="B43171" i="1"/>
  <c r="B43172" i="1"/>
  <c r="B43173" i="1"/>
  <c r="B43174" i="1"/>
  <c r="B43175" i="1"/>
  <c r="B43176" i="1"/>
  <c r="B43177" i="1"/>
  <c r="B43178" i="1"/>
  <c r="B43179" i="1"/>
  <c r="B43180" i="1"/>
  <c r="B43181" i="1"/>
  <c r="B43182" i="1"/>
  <c r="B43183" i="1"/>
  <c r="B43184" i="1"/>
  <c r="B43185" i="1"/>
  <c r="B43186" i="1"/>
  <c r="B43187" i="1"/>
  <c r="B43188" i="1"/>
  <c r="B43189" i="1"/>
  <c r="B43190" i="1"/>
  <c r="B43191" i="1"/>
  <c r="B43192" i="1"/>
  <c r="B43193" i="1"/>
  <c r="B43194" i="1"/>
  <c r="B43195" i="1"/>
  <c r="B43196" i="1"/>
  <c r="B43197" i="1"/>
  <c r="B43198" i="1"/>
  <c r="B43199" i="1"/>
  <c r="B43200" i="1"/>
  <c r="B43201" i="1"/>
  <c r="B43202" i="1"/>
  <c r="B43203" i="1"/>
  <c r="B43204" i="1"/>
  <c r="B43205" i="1"/>
  <c r="B43206" i="1"/>
  <c r="B43207" i="1"/>
  <c r="B43208" i="1"/>
  <c r="B43209" i="1"/>
  <c r="B43210" i="1"/>
  <c r="B43211" i="1"/>
  <c r="B43212" i="1"/>
  <c r="B43213" i="1"/>
  <c r="B43214" i="1"/>
  <c r="B43215" i="1"/>
  <c r="B43216" i="1"/>
  <c r="B43217" i="1"/>
  <c r="B43218" i="1"/>
  <c r="B43219" i="1"/>
  <c r="B43220" i="1"/>
  <c r="B43221" i="1"/>
  <c r="B43222" i="1"/>
  <c r="B43223" i="1"/>
  <c r="B43224" i="1"/>
  <c r="B43225" i="1"/>
  <c r="B43226" i="1"/>
  <c r="B43227" i="1"/>
  <c r="B43228" i="1"/>
  <c r="B43229" i="1"/>
  <c r="B43230" i="1"/>
  <c r="B43231" i="1"/>
  <c r="B43232" i="1"/>
  <c r="B43233" i="1"/>
  <c r="B43234" i="1"/>
  <c r="B43235" i="1"/>
  <c r="B43236" i="1"/>
  <c r="B43237" i="1"/>
  <c r="B43238" i="1"/>
  <c r="B43239" i="1"/>
  <c r="B43240" i="1"/>
  <c r="B43241" i="1"/>
  <c r="B43242" i="1"/>
  <c r="B43243" i="1"/>
  <c r="B43244" i="1"/>
  <c r="B43245" i="1"/>
  <c r="B43246" i="1"/>
  <c r="B43247" i="1"/>
  <c r="B43248" i="1"/>
  <c r="B43249" i="1"/>
  <c r="B43250" i="1"/>
  <c r="B43251" i="1"/>
  <c r="B43252" i="1"/>
  <c r="B43253" i="1"/>
  <c r="B43254" i="1"/>
  <c r="B43255" i="1"/>
  <c r="B43256" i="1"/>
  <c r="B43257" i="1"/>
  <c r="B43258" i="1"/>
  <c r="B43259" i="1"/>
  <c r="B43260" i="1"/>
  <c r="B43261" i="1"/>
  <c r="B43262" i="1"/>
  <c r="B43263" i="1"/>
  <c r="B43264" i="1"/>
  <c r="B43265" i="1"/>
  <c r="B43266" i="1"/>
  <c r="B43267" i="1"/>
  <c r="B43268" i="1"/>
  <c r="B43269" i="1"/>
  <c r="B43270" i="1"/>
  <c r="B43271" i="1"/>
  <c r="B43272" i="1"/>
  <c r="B43273" i="1"/>
  <c r="B43274" i="1"/>
  <c r="B43275" i="1"/>
  <c r="B43276" i="1"/>
  <c r="B43277" i="1"/>
  <c r="B43278" i="1"/>
  <c r="B43279" i="1"/>
  <c r="B43280" i="1"/>
  <c r="B43281" i="1"/>
  <c r="B43282" i="1"/>
  <c r="B43283" i="1"/>
  <c r="B43284" i="1"/>
  <c r="B43285" i="1"/>
  <c r="B43286" i="1"/>
  <c r="B43287" i="1"/>
  <c r="B43288" i="1"/>
  <c r="B43289" i="1"/>
  <c r="B43290" i="1"/>
  <c r="B43291" i="1"/>
  <c r="B43292" i="1"/>
  <c r="B43293" i="1"/>
  <c r="B43294" i="1"/>
  <c r="B43295" i="1"/>
  <c r="B43296" i="1"/>
  <c r="B43297" i="1"/>
  <c r="B43298" i="1"/>
  <c r="B43299" i="1"/>
  <c r="B43300" i="1"/>
  <c r="B43301" i="1"/>
  <c r="B43302" i="1"/>
  <c r="B43303" i="1"/>
  <c r="B43304" i="1"/>
  <c r="B43305" i="1"/>
  <c r="B43306" i="1"/>
  <c r="B43307" i="1"/>
  <c r="B43308" i="1"/>
  <c r="B43309" i="1"/>
  <c r="B43310" i="1"/>
  <c r="B43311" i="1"/>
  <c r="B43312" i="1"/>
  <c r="B43313" i="1"/>
  <c r="B43314" i="1"/>
  <c r="B43315" i="1"/>
  <c r="B43316" i="1"/>
  <c r="B43317" i="1"/>
  <c r="B43318" i="1"/>
  <c r="B43319" i="1"/>
  <c r="B43320" i="1"/>
  <c r="B43321" i="1"/>
  <c r="B43322" i="1"/>
  <c r="B43323" i="1"/>
  <c r="B43324" i="1"/>
  <c r="B43325" i="1"/>
  <c r="B43326" i="1"/>
  <c r="B43327" i="1"/>
  <c r="B43328" i="1"/>
  <c r="B43329" i="1"/>
  <c r="B43330" i="1"/>
  <c r="B43331" i="1"/>
  <c r="B43332" i="1"/>
  <c r="B43333" i="1"/>
  <c r="B43334" i="1"/>
  <c r="B43335" i="1"/>
  <c r="B43336" i="1"/>
  <c r="B43337" i="1"/>
  <c r="B43338" i="1"/>
  <c r="B43339" i="1"/>
  <c r="B43340" i="1"/>
  <c r="B43341" i="1"/>
  <c r="B43342" i="1"/>
  <c r="B43343" i="1"/>
  <c r="B43344" i="1"/>
  <c r="B43345" i="1"/>
  <c r="B43346" i="1"/>
  <c r="B43347" i="1"/>
  <c r="B43348" i="1"/>
  <c r="B43349" i="1"/>
  <c r="B43350" i="1"/>
  <c r="B43351" i="1"/>
  <c r="B43352" i="1"/>
  <c r="B43353" i="1"/>
  <c r="B43354" i="1"/>
  <c r="B43355" i="1"/>
  <c r="B43356" i="1"/>
  <c r="B43357" i="1"/>
  <c r="B43358" i="1"/>
  <c r="B43359" i="1"/>
  <c r="B43360" i="1"/>
  <c r="B43361" i="1"/>
  <c r="B43362" i="1"/>
  <c r="B43363" i="1"/>
  <c r="B43364" i="1"/>
  <c r="B43365" i="1"/>
  <c r="B43366" i="1"/>
  <c r="B43367" i="1"/>
  <c r="B43368" i="1"/>
  <c r="B43369" i="1"/>
  <c r="B43370" i="1"/>
  <c r="B43371" i="1"/>
  <c r="B43372" i="1"/>
  <c r="B43373" i="1"/>
  <c r="B43374" i="1"/>
  <c r="B43375" i="1"/>
  <c r="B43376" i="1"/>
  <c r="B43377" i="1"/>
  <c r="B43378" i="1"/>
  <c r="B43379" i="1"/>
  <c r="B43380" i="1"/>
  <c r="B43381" i="1"/>
  <c r="B43382" i="1"/>
  <c r="B43383" i="1"/>
  <c r="B43384" i="1"/>
  <c r="B43385" i="1"/>
  <c r="B43386" i="1"/>
  <c r="B43387" i="1"/>
  <c r="B43388" i="1"/>
  <c r="B43389" i="1"/>
  <c r="B43390" i="1"/>
  <c r="B43391" i="1"/>
  <c r="B43392" i="1"/>
  <c r="B43393" i="1"/>
  <c r="B43394" i="1"/>
  <c r="B43395" i="1"/>
  <c r="B43396" i="1"/>
  <c r="B43397" i="1"/>
  <c r="B43398" i="1"/>
  <c r="B43399" i="1"/>
  <c r="B43400" i="1"/>
  <c r="B43401" i="1"/>
  <c r="B43402" i="1"/>
  <c r="B43403" i="1"/>
  <c r="B43404" i="1"/>
  <c r="B43405" i="1"/>
  <c r="B43406" i="1"/>
  <c r="B43407" i="1"/>
  <c r="B43408" i="1"/>
  <c r="B43409" i="1"/>
  <c r="B43410" i="1"/>
  <c r="B43411" i="1"/>
  <c r="B43412" i="1"/>
  <c r="B43413" i="1"/>
  <c r="B43414" i="1"/>
  <c r="B43415" i="1"/>
  <c r="B43416" i="1"/>
  <c r="B43417" i="1"/>
  <c r="B43418" i="1"/>
  <c r="B43419" i="1"/>
  <c r="B43420" i="1"/>
  <c r="B43421" i="1"/>
  <c r="B43422" i="1"/>
  <c r="B43423" i="1"/>
  <c r="B43424" i="1"/>
  <c r="B43425" i="1"/>
  <c r="B43426" i="1"/>
  <c r="B43427" i="1"/>
  <c r="B43428" i="1"/>
  <c r="B43429" i="1"/>
  <c r="B43430" i="1"/>
  <c r="B43431" i="1"/>
  <c r="B43432" i="1"/>
  <c r="B43433" i="1"/>
  <c r="B43434" i="1"/>
  <c r="B43435" i="1"/>
  <c r="B43436" i="1"/>
  <c r="B43437" i="1"/>
  <c r="B43438" i="1"/>
  <c r="B43439" i="1"/>
  <c r="B43440" i="1"/>
  <c r="B43441" i="1"/>
  <c r="B43442" i="1"/>
  <c r="B43443" i="1"/>
  <c r="B43444" i="1"/>
  <c r="B43445" i="1"/>
  <c r="B43446" i="1"/>
  <c r="B43447" i="1"/>
  <c r="B43448" i="1"/>
  <c r="B43449" i="1"/>
  <c r="B43450" i="1"/>
  <c r="B43451" i="1"/>
  <c r="B43452" i="1"/>
  <c r="B43453" i="1"/>
  <c r="B43454" i="1"/>
  <c r="B43455" i="1"/>
  <c r="B43456" i="1"/>
  <c r="B43457" i="1"/>
  <c r="B43458" i="1"/>
  <c r="B43459" i="1"/>
  <c r="B43460" i="1"/>
  <c r="B43461" i="1"/>
  <c r="B43462" i="1"/>
  <c r="B43463" i="1"/>
  <c r="B43464" i="1"/>
  <c r="B43465" i="1"/>
  <c r="B43466" i="1"/>
  <c r="B43467" i="1"/>
  <c r="B43468" i="1"/>
  <c r="B43469" i="1"/>
  <c r="B43470" i="1"/>
  <c r="B43471" i="1"/>
  <c r="B43472" i="1"/>
  <c r="B43473" i="1"/>
  <c r="B43474" i="1"/>
  <c r="B43475" i="1"/>
  <c r="B43476" i="1"/>
  <c r="B43477" i="1"/>
  <c r="B43478" i="1"/>
  <c r="B43479" i="1"/>
  <c r="B43480" i="1"/>
  <c r="B43481" i="1"/>
  <c r="B43482" i="1"/>
  <c r="B43483" i="1"/>
  <c r="B43484" i="1"/>
  <c r="B43485" i="1"/>
  <c r="B43486" i="1"/>
  <c r="B43487" i="1"/>
  <c r="B43488" i="1"/>
  <c r="B43489" i="1"/>
  <c r="B43490" i="1"/>
  <c r="B43491" i="1"/>
  <c r="B43492" i="1"/>
  <c r="B43493" i="1"/>
  <c r="B43494" i="1"/>
  <c r="B43495" i="1"/>
  <c r="B43496" i="1"/>
  <c r="B43497" i="1"/>
  <c r="B43498" i="1"/>
  <c r="B43499" i="1"/>
  <c r="B43500" i="1"/>
  <c r="B43501" i="1"/>
  <c r="B43502" i="1"/>
  <c r="B43503" i="1"/>
  <c r="B43504" i="1"/>
  <c r="B43505" i="1"/>
  <c r="B43506" i="1"/>
  <c r="B43507" i="1"/>
  <c r="B43508" i="1"/>
  <c r="B43509" i="1"/>
  <c r="B43510" i="1"/>
  <c r="B43511" i="1"/>
  <c r="B43512" i="1"/>
  <c r="B43513" i="1"/>
  <c r="B43514" i="1"/>
  <c r="B43515" i="1"/>
  <c r="B43516" i="1"/>
  <c r="B43517" i="1"/>
  <c r="B43518" i="1"/>
  <c r="B43519" i="1"/>
  <c r="B43520" i="1"/>
  <c r="B43521" i="1"/>
  <c r="B43522" i="1"/>
  <c r="B43523" i="1"/>
  <c r="B43524" i="1"/>
  <c r="B43525" i="1"/>
  <c r="B43526" i="1"/>
  <c r="B43527" i="1"/>
  <c r="B43528" i="1"/>
  <c r="B43529" i="1"/>
  <c r="B43530" i="1"/>
  <c r="B43531" i="1"/>
  <c r="B43532" i="1"/>
  <c r="B43533" i="1"/>
  <c r="B43534" i="1"/>
  <c r="B43535" i="1"/>
  <c r="B43536" i="1"/>
  <c r="B43537" i="1"/>
  <c r="B43538" i="1"/>
  <c r="B43539" i="1"/>
  <c r="B43540" i="1"/>
  <c r="B43541" i="1"/>
  <c r="B43542" i="1"/>
  <c r="B43543" i="1"/>
  <c r="B43544" i="1"/>
  <c r="B43545" i="1"/>
  <c r="B43546" i="1"/>
  <c r="B43547" i="1"/>
  <c r="B43548" i="1"/>
  <c r="B43549" i="1"/>
  <c r="B43550" i="1"/>
  <c r="B43551" i="1"/>
  <c r="B43552" i="1"/>
  <c r="B43553" i="1"/>
  <c r="B43554" i="1"/>
  <c r="B43555" i="1"/>
  <c r="B43556" i="1"/>
  <c r="B43557" i="1"/>
  <c r="B43558" i="1"/>
  <c r="B43559" i="1"/>
  <c r="B43560" i="1"/>
  <c r="B43561" i="1"/>
  <c r="B43562" i="1"/>
  <c r="B43563" i="1"/>
  <c r="B43564" i="1"/>
  <c r="B43565" i="1"/>
  <c r="B43566" i="1"/>
  <c r="B43567" i="1"/>
  <c r="B43568" i="1"/>
  <c r="B43569" i="1"/>
  <c r="B43570" i="1"/>
  <c r="B43571" i="1"/>
  <c r="B43572" i="1"/>
  <c r="B43573" i="1"/>
  <c r="B43574" i="1"/>
  <c r="B43575" i="1"/>
  <c r="B43576" i="1"/>
  <c r="B43577" i="1"/>
  <c r="B43578" i="1"/>
  <c r="B43579" i="1"/>
  <c r="B43580" i="1"/>
  <c r="B43581" i="1"/>
  <c r="B43582" i="1"/>
  <c r="B43583" i="1"/>
  <c r="B43584" i="1"/>
  <c r="B43585" i="1"/>
  <c r="B43586" i="1"/>
  <c r="B43587" i="1"/>
  <c r="B43588" i="1"/>
  <c r="B43589" i="1"/>
  <c r="B43590" i="1"/>
  <c r="B43591" i="1"/>
  <c r="B43592" i="1"/>
  <c r="B43593" i="1"/>
  <c r="B43594" i="1"/>
  <c r="B43595" i="1"/>
  <c r="B43596" i="1"/>
  <c r="B43597" i="1"/>
  <c r="B43598" i="1"/>
  <c r="B43599" i="1"/>
  <c r="B43600" i="1"/>
  <c r="B43601" i="1"/>
  <c r="B43602" i="1"/>
  <c r="B43603" i="1"/>
  <c r="B43604" i="1"/>
  <c r="B43605" i="1"/>
  <c r="B43606" i="1"/>
  <c r="B43607" i="1"/>
  <c r="B43608" i="1"/>
  <c r="B43609" i="1"/>
  <c r="B43610" i="1"/>
  <c r="B43611" i="1"/>
  <c r="B43612" i="1"/>
  <c r="B43613" i="1"/>
  <c r="B43614" i="1"/>
  <c r="B43615" i="1"/>
  <c r="B43616" i="1"/>
  <c r="B43617" i="1"/>
  <c r="B43618" i="1"/>
  <c r="B43619" i="1"/>
  <c r="B43620" i="1"/>
  <c r="B43621" i="1"/>
  <c r="B43622" i="1"/>
  <c r="B43623" i="1"/>
  <c r="B43624" i="1"/>
  <c r="B43625" i="1"/>
  <c r="B43626" i="1"/>
  <c r="B43627" i="1"/>
  <c r="B43628" i="1"/>
  <c r="B43629" i="1"/>
  <c r="B43630" i="1"/>
  <c r="B43631" i="1"/>
  <c r="B43632" i="1"/>
  <c r="B43633" i="1"/>
  <c r="B43634" i="1"/>
  <c r="B43635" i="1"/>
  <c r="B43636" i="1"/>
  <c r="B43637" i="1"/>
  <c r="B43638" i="1"/>
  <c r="B43639" i="1"/>
  <c r="B43640" i="1"/>
  <c r="B43641" i="1"/>
  <c r="B43642" i="1"/>
  <c r="B43643" i="1"/>
  <c r="B43644" i="1"/>
  <c r="B43645" i="1"/>
  <c r="B43646" i="1"/>
  <c r="B43647" i="1"/>
  <c r="B43648" i="1"/>
  <c r="B43649" i="1"/>
  <c r="B43650" i="1"/>
  <c r="B43651" i="1"/>
  <c r="B43652" i="1"/>
  <c r="B43653" i="1"/>
  <c r="B43654" i="1"/>
  <c r="B43655" i="1"/>
  <c r="B43656" i="1"/>
  <c r="B43657" i="1"/>
  <c r="B43658" i="1"/>
  <c r="B43659" i="1"/>
  <c r="B43660" i="1"/>
  <c r="B43661" i="1"/>
  <c r="B43662" i="1"/>
  <c r="B43663" i="1"/>
  <c r="B43664" i="1"/>
  <c r="B43665" i="1"/>
  <c r="B43666" i="1"/>
  <c r="B43667" i="1"/>
  <c r="B43668" i="1"/>
  <c r="B43669" i="1"/>
  <c r="B43670" i="1"/>
  <c r="B43671" i="1"/>
  <c r="B43672" i="1"/>
  <c r="B43673" i="1"/>
  <c r="B43674" i="1"/>
  <c r="B43675" i="1"/>
  <c r="B43676" i="1"/>
  <c r="B43677" i="1"/>
  <c r="B43678" i="1"/>
  <c r="B43679" i="1"/>
  <c r="B43680" i="1"/>
  <c r="B43681" i="1"/>
  <c r="B43682" i="1"/>
  <c r="B43683" i="1"/>
  <c r="B43684" i="1"/>
  <c r="B43685" i="1"/>
  <c r="B43686" i="1"/>
  <c r="B43687" i="1"/>
  <c r="B43688" i="1"/>
  <c r="B43689" i="1"/>
  <c r="B43690" i="1"/>
  <c r="B43691" i="1"/>
  <c r="B43692" i="1"/>
  <c r="B43693" i="1"/>
  <c r="B43694" i="1"/>
  <c r="B43695" i="1"/>
  <c r="B43696" i="1"/>
  <c r="B43697" i="1"/>
  <c r="B43698" i="1"/>
  <c r="B43699" i="1"/>
  <c r="B43700" i="1"/>
  <c r="B43701" i="1"/>
  <c r="B43702" i="1"/>
  <c r="B43703" i="1"/>
  <c r="B43704" i="1"/>
  <c r="B43705" i="1"/>
  <c r="B43706" i="1"/>
  <c r="B43707" i="1"/>
  <c r="B43708" i="1"/>
  <c r="B43709" i="1"/>
  <c r="B43710" i="1"/>
  <c r="B43711" i="1"/>
  <c r="B43712" i="1"/>
  <c r="B43713" i="1"/>
  <c r="B43714" i="1"/>
  <c r="B43715" i="1"/>
  <c r="B43716" i="1"/>
  <c r="B43717" i="1"/>
  <c r="B43718" i="1"/>
  <c r="B43719" i="1"/>
  <c r="B43720" i="1"/>
  <c r="B43721" i="1"/>
  <c r="B43722" i="1"/>
  <c r="B43723" i="1"/>
  <c r="B43724" i="1"/>
  <c r="B43725" i="1"/>
  <c r="B43726" i="1"/>
  <c r="B43727" i="1"/>
  <c r="B43728" i="1"/>
  <c r="B43729" i="1"/>
  <c r="B43730" i="1"/>
  <c r="B43731" i="1"/>
  <c r="B43732" i="1"/>
  <c r="B43733" i="1"/>
  <c r="B43734" i="1"/>
  <c r="B43735" i="1"/>
  <c r="B43736" i="1"/>
  <c r="B43737" i="1"/>
  <c r="B43738" i="1"/>
  <c r="B43739" i="1"/>
  <c r="B43740" i="1"/>
  <c r="B43741" i="1"/>
  <c r="B43742" i="1"/>
  <c r="B43743" i="1"/>
  <c r="B43744" i="1"/>
  <c r="B43745" i="1"/>
  <c r="B43746" i="1"/>
  <c r="B43747" i="1"/>
  <c r="B43748" i="1"/>
  <c r="B43749" i="1"/>
  <c r="B43750" i="1"/>
  <c r="B43751" i="1"/>
  <c r="B43752" i="1"/>
  <c r="B43753" i="1"/>
  <c r="B43754" i="1"/>
  <c r="B43755" i="1"/>
  <c r="B43756" i="1"/>
  <c r="B43757" i="1"/>
  <c r="B43758" i="1"/>
  <c r="B43759" i="1"/>
  <c r="B43760" i="1"/>
  <c r="B43761" i="1"/>
  <c r="B43762" i="1"/>
  <c r="B43763" i="1"/>
  <c r="B43764" i="1"/>
  <c r="B43765" i="1"/>
  <c r="B43766" i="1"/>
  <c r="B43767" i="1"/>
  <c r="B43768" i="1"/>
  <c r="B43769" i="1"/>
  <c r="B43770" i="1"/>
  <c r="B43771" i="1"/>
  <c r="B43772" i="1"/>
  <c r="B43773" i="1"/>
  <c r="B43774" i="1"/>
  <c r="B43775" i="1"/>
  <c r="B43776" i="1"/>
  <c r="B43777" i="1"/>
  <c r="B43778" i="1"/>
  <c r="B43779" i="1"/>
  <c r="B43780" i="1"/>
  <c r="B43781" i="1"/>
  <c r="B43782" i="1"/>
  <c r="B43783" i="1"/>
  <c r="B43784" i="1"/>
  <c r="B43785" i="1"/>
  <c r="B43786" i="1"/>
  <c r="B43787" i="1"/>
  <c r="B43788" i="1"/>
  <c r="B43789" i="1"/>
  <c r="B43790" i="1"/>
  <c r="B43791" i="1"/>
  <c r="B43792" i="1"/>
  <c r="B43793" i="1"/>
  <c r="B43794" i="1"/>
  <c r="B43795" i="1"/>
  <c r="B43796" i="1"/>
  <c r="B43797" i="1"/>
  <c r="B43798" i="1"/>
  <c r="B43799" i="1"/>
  <c r="B43800" i="1"/>
  <c r="B43801" i="1"/>
  <c r="B43802" i="1"/>
  <c r="B43803" i="1"/>
  <c r="B43804" i="1"/>
  <c r="B43805" i="1"/>
  <c r="B43806" i="1"/>
  <c r="B43807" i="1"/>
  <c r="B43808" i="1"/>
  <c r="B43809" i="1"/>
  <c r="B43810" i="1"/>
  <c r="B43811" i="1"/>
  <c r="B43812" i="1"/>
  <c r="B43813" i="1"/>
  <c r="B43814" i="1"/>
  <c r="B43815" i="1"/>
  <c r="B43816" i="1"/>
  <c r="B43817" i="1"/>
  <c r="B43818" i="1"/>
  <c r="B43819" i="1"/>
  <c r="B43820" i="1"/>
  <c r="B43821" i="1"/>
  <c r="B43822" i="1"/>
  <c r="B43823" i="1"/>
  <c r="B43824" i="1"/>
  <c r="B43825" i="1"/>
  <c r="B43826" i="1"/>
  <c r="B43827" i="1"/>
  <c r="B43828" i="1"/>
  <c r="B43829" i="1"/>
  <c r="B43830" i="1"/>
  <c r="B43831" i="1"/>
  <c r="B43832" i="1"/>
  <c r="B43833" i="1"/>
  <c r="B43834" i="1"/>
  <c r="B43835" i="1"/>
  <c r="B43836" i="1"/>
  <c r="B43837" i="1"/>
  <c r="B43838" i="1"/>
  <c r="B43839" i="1"/>
  <c r="B43840" i="1"/>
  <c r="B43841" i="1"/>
  <c r="B43842" i="1"/>
  <c r="B43843" i="1"/>
  <c r="B43844" i="1"/>
  <c r="B43845" i="1"/>
  <c r="B43846" i="1"/>
  <c r="B43847" i="1"/>
  <c r="B43848" i="1"/>
  <c r="B43849" i="1"/>
  <c r="B43850" i="1"/>
  <c r="B43851" i="1"/>
  <c r="B43852" i="1"/>
  <c r="B43853" i="1"/>
  <c r="B43854" i="1"/>
  <c r="B43855" i="1"/>
  <c r="B43856" i="1"/>
  <c r="B43857" i="1"/>
  <c r="B43858" i="1"/>
  <c r="B43859" i="1"/>
  <c r="B43860" i="1"/>
  <c r="B43861" i="1"/>
  <c r="B43862" i="1"/>
  <c r="B43863" i="1"/>
  <c r="B43864" i="1"/>
  <c r="B43865" i="1"/>
  <c r="B43866" i="1"/>
  <c r="B43867" i="1"/>
  <c r="B43868" i="1"/>
  <c r="B43869" i="1"/>
  <c r="B43870" i="1"/>
  <c r="B43871" i="1"/>
  <c r="B43872" i="1"/>
  <c r="B43873" i="1"/>
  <c r="B43874" i="1"/>
  <c r="B43875" i="1"/>
  <c r="B43876" i="1"/>
  <c r="B43877" i="1"/>
  <c r="B43878" i="1"/>
  <c r="B43879" i="1"/>
  <c r="B43880" i="1"/>
  <c r="B43881" i="1"/>
  <c r="B43882" i="1"/>
  <c r="B43883" i="1"/>
  <c r="B43884" i="1"/>
  <c r="B43885" i="1"/>
  <c r="B43886" i="1"/>
  <c r="B43887" i="1"/>
  <c r="B43888" i="1"/>
  <c r="B43889" i="1"/>
  <c r="B43890" i="1"/>
  <c r="B43891" i="1"/>
  <c r="B43892" i="1"/>
  <c r="B43893" i="1"/>
  <c r="B43894" i="1"/>
  <c r="B43895" i="1"/>
  <c r="B43896" i="1"/>
  <c r="B43897" i="1"/>
  <c r="B43898" i="1"/>
  <c r="B43899" i="1"/>
  <c r="B43900" i="1"/>
  <c r="B43901" i="1"/>
  <c r="B43902" i="1"/>
  <c r="B43903" i="1"/>
  <c r="B43904" i="1"/>
  <c r="B43905" i="1"/>
  <c r="B43906" i="1"/>
  <c r="B43907" i="1"/>
  <c r="B43908" i="1"/>
  <c r="B43909" i="1"/>
  <c r="B43910" i="1"/>
  <c r="B43911" i="1"/>
  <c r="B43912" i="1"/>
  <c r="B43913" i="1"/>
  <c r="B43914" i="1"/>
  <c r="B43915" i="1"/>
  <c r="B43916" i="1"/>
  <c r="B43917" i="1"/>
  <c r="B43918" i="1"/>
  <c r="B43919" i="1"/>
  <c r="B43920" i="1"/>
  <c r="B43921" i="1"/>
  <c r="B43922" i="1"/>
  <c r="B43923" i="1"/>
  <c r="B43924" i="1"/>
  <c r="B43925" i="1"/>
  <c r="B43926" i="1"/>
  <c r="B43927" i="1"/>
  <c r="B43928" i="1"/>
  <c r="B43929" i="1"/>
  <c r="B43930" i="1"/>
  <c r="B43931" i="1"/>
  <c r="B43932" i="1"/>
  <c r="B43933" i="1"/>
  <c r="B43934" i="1"/>
  <c r="B43935" i="1"/>
  <c r="B43936" i="1"/>
  <c r="B43937" i="1"/>
  <c r="B43938" i="1"/>
  <c r="B43939" i="1"/>
  <c r="B43940" i="1"/>
  <c r="B43941" i="1"/>
  <c r="B43942" i="1"/>
  <c r="B43943" i="1"/>
  <c r="B43944" i="1"/>
  <c r="B43945" i="1"/>
  <c r="B43946" i="1"/>
  <c r="B43947" i="1"/>
  <c r="B43948" i="1"/>
  <c r="B43949" i="1"/>
  <c r="B43950" i="1"/>
  <c r="B43951" i="1"/>
  <c r="B43952" i="1"/>
  <c r="B43953" i="1"/>
  <c r="B43954" i="1"/>
  <c r="B43955" i="1"/>
  <c r="B43956" i="1"/>
  <c r="B43957" i="1"/>
  <c r="B43958" i="1"/>
  <c r="B43959" i="1"/>
  <c r="B43960" i="1"/>
  <c r="B43961" i="1"/>
  <c r="B43962" i="1"/>
  <c r="B43963" i="1"/>
  <c r="B43964" i="1"/>
  <c r="B43965" i="1"/>
  <c r="B43966" i="1"/>
  <c r="B43967" i="1"/>
  <c r="B43968" i="1"/>
  <c r="B43969" i="1"/>
  <c r="B43970" i="1"/>
  <c r="B43971" i="1"/>
  <c r="B43972" i="1"/>
  <c r="B43973" i="1"/>
  <c r="B43974" i="1"/>
  <c r="B43975" i="1"/>
  <c r="B43976" i="1"/>
  <c r="B43977" i="1"/>
  <c r="B43978" i="1"/>
  <c r="B43979" i="1"/>
  <c r="B43980" i="1"/>
  <c r="B43981" i="1"/>
  <c r="B43982" i="1"/>
  <c r="B43983" i="1"/>
  <c r="B43984" i="1"/>
  <c r="B43985" i="1"/>
  <c r="B43986" i="1"/>
  <c r="B43987" i="1"/>
  <c r="B43988" i="1"/>
  <c r="B43989" i="1"/>
  <c r="B43990" i="1"/>
  <c r="B43991" i="1"/>
  <c r="B43992" i="1"/>
  <c r="B43993" i="1"/>
  <c r="B43994" i="1"/>
  <c r="B43995" i="1"/>
  <c r="B43996" i="1"/>
  <c r="B43997" i="1"/>
  <c r="B43998" i="1"/>
  <c r="B43999" i="1"/>
  <c r="B44000" i="1"/>
  <c r="B44001" i="1"/>
  <c r="B44002" i="1"/>
  <c r="B44003" i="1"/>
  <c r="B44004" i="1"/>
  <c r="B44005" i="1"/>
  <c r="B44006" i="1"/>
  <c r="B44007" i="1"/>
  <c r="B44008" i="1"/>
  <c r="B44009" i="1"/>
  <c r="B44010" i="1"/>
  <c r="B44011" i="1"/>
  <c r="B44012" i="1"/>
  <c r="B44013" i="1"/>
  <c r="B44014" i="1"/>
  <c r="B44015" i="1"/>
  <c r="B44016" i="1"/>
  <c r="B44017" i="1"/>
  <c r="B44018" i="1"/>
  <c r="B44019" i="1"/>
  <c r="B44020" i="1"/>
  <c r="B44021" i="1"/>
  <c r="B44022" i="1"/>
  <c r="B44023" i="1"/>
  <c r="B44024" i="1"/>
  <c r="B44025" i="1"/>
  <c r="B44026" i="1"/>
  <c r="B44027" i="1"/>
  <c r="B44028" i="1"/>
  <c r="B44029" i="1"/>
  <c r="B44030" i="1"/>
  <c r="B44031" i="1"/>
  <c r="B44032" i="1"/>
  <c r="B44033" i="1"/>
  <c r="B44034" i="1"/>
  <c r="B44035" i="1"/>
  <c r="B44036" i="1"/>
  <c r="B44037" i="1"/>
  <c r="B44038" i="1"/>
  <c r="B44039" i="1"/>
  <c r="B44040" i="1"/>
  <c r="B44041" i="1"/>
  <c r="B44042" i="1"/>
  <c r="B44043" i="1"/>
  <c r="B44044" i="1"/>
  <c r="B44045" i="1"/>
  <c r="B44046" i="1"/>
  <c r="B44047" i="1"/>
  <c r="B44048" i="1"/>
  <c r="B44049" i="1"/>
  <c r="B44050" i="1"/>
  <c r="B44051" i="1"/>
  <c r="B44052" i="1"/>
  <c r="B44053" i="1"/>
  <c r="B44054" i="1"/>
  <c r="B44055" i="1"/>
  <c r="B44056" i="1"/>
  <c r="B44057" i="1"/>
  <c r="B44058" i="1"/>
  <c r="B44059" i="1"/>
  <c r="B44060" i="1"/>
  <c r="B44061" i="1"/>
  <c r="B44062" i="1"/>
  <c r="B44063" i="1"/>
  <c r="B44064" i="1"/>
  <c r="B44065" i="1"/>
  <c r="B44066" i="1"/>
  <c r="B44067" i="1"/>
  <c r="B44068" i="1"/>
  <c r="B44069" i="1"/>
  <c r="B44070" i="1"/>
  <c r="B44071" i="1"/>
  <c r="B44072" i="1"/>
  <c r="B44073" i="1"/>
  <c r="B44074" i="1"/>
  <c r="B44075" i="1"/>
  <c r="B44076" i="1"/>
  <c r="B44077" i="1"/>
  <c r="B44078" i="1"/>
  <c r="B44079" i="1"/>
  <c r="B44080" i="1"/>
  <c r="B44081" i="1"/>
  <c r="B44082" i="1"/>
  <c r="B44083" i="1"/>
  <c r="B44084" i="1"/>
  <c r="B44085" i="1"/>
  <c r="B44086" i="1"/>
  <c r="B44087" i="1"/>
  <c r="B44088" i="1"/>
  <c r="B44089" i="1"/>
  <c r="B44090" i="1"/>
  <c r="B44091" i="1"/>
  <c r="B44092" i="1"/>
  <c r="B44093" i="1"/>
  <c r="B44094" i="1"/>
  <c r="B44095" i="1"/>
  <c r="B44096" i="1"/>
  <c r="B44097" i="1"/>
  <c r="B44098" i="1"/>
  <c r="B44099" i="1"/>
  <c r="B44100" i="1"/>
  <c r="B44101" i="1"/>
  <c r="B44102" i="1"/>
  <c r="B44103" i="1"/>
  <c r="B44104" i="1"/>
  <c r="B44105" i="1"/>
  <c r="B44106" i="1"/>
  <c r="B44107" i="1"/>
  <c r="B44108" i="1"/>
  <c r="B44109" i="1"/>
  <c r="B44110" i="1"/>
  <c r="B44111" i="1"/>
  <c r="B44112" i="1"/>
  <c r="B44113" i="1"/>
  <c r="B44114" i="1"/>
  <c r="B44115" i="1"/>
  <c r="B44116" i="1"/>
  <c r="B44117" i="1"/>
  <c r="B44118" i="1"/>
  <c r="B44119" i="1"/>
  <c r="B44120" i="1"/>
  <c r="B44121" i="1"/>
  <c r="B44122" i="1"/>
  <c r="B44123" i="1"/>
  <c r="B44124" i="1"/>
  <c r="B44125" i="1"/>
  <c r="B44126" i="1"/>
  <c r="B44127" i="1"/>
  <c r="B44128" i="1"/>
  <c r="B44129" i="1"/>
  <c r="B44130" i="1"/>
  <c r="B44131" i="1"/>
  <c r="B44132" i="1"/>
  <c r="B44133" i="1"/>
  <c r="B44134" i="1"/>
  <c r="B44135" i="1"/>
  <c r="B44136" i="1"/>
  <c r="B44137" i="1"/>
  <c r="B44138" i="1"/>
  <c r="B44139" i="1"/>
  <c r="B44140" i="1"/>
  <c r="B44141" i="1"/>
  <c r="B44142" i="1"/>
  <c r="B44143" i="1"/>
  <c r="B44144" i="1"/>
  <c r="B44145" i="1"/>
  <c r="B44146" i="1"/>
  <c r="B44147" i="1"/>
  <c r="B44148" i="1"/>
  <c r="B44149" i="1"/>
  <c r="B44150" i="1"/>
  <c r="B44151" i="1"/>
  <c r="B44152" i="1"/>
  <c r="B44153" i="1"/>
  <c r="B44154" i="1"/>
  <c r="B44155" i="1"/>
  <c r="B44156" i="1"/>
  <c r="B44157" i="1"/>
  <c r="B44158" i="1"/>
  <c r="B44159" i="1"/>
  <c r="B44160" i="1"/>
  <c r="B44161" i="1"/>
  <c r="B44162" i="1"/>
  <c r="B44163" i="1"/>
  <c r="B44164" i="1"/>
  <c r="B44165" i="1"/>
  <c r="B44166" i="1"/>
  <c r="B44167" i="1"/>
  <c r="B44168" i="1"/>
  <c r="B44169" i="1"/>
  <c r="B44170" i="1"/>
  <c r="B44171" i="1"/>
  <c r="B44172" i="1"/>
  <c r="B44173" i="1"/>
  <c r="B44174" i="1"/>
  <c r="B44175" i="1"/>
  <c r="B44176" i="1"/>
  <c r="B44177" i="1"/>
  <c r="B44178" i="1"/>
  <c r="B44179" i="1"/>
  <c r="B44180" i="1"/>
  <c r="B44181" i="1"/>
  <c r="B44182" i="1"/>
  <c r="B44183" i="1"/>
  <c r="B44184" i="1"/>
  <c r="B44185" i="1"/>
  <c r="B44186" i="1"/>
  <c r="B44187" i="1"/>
  <c r="B44188" i="1"/>
  <c r="B44189" i="1"/>
  <c r="B44190" i="1"/>
  <c r="B44191" i="1"/>
  <c r="B44192" i="1"/>
  <c r="B44193" i="1"/>
  <c r="B44194" i="1"/>
  <c r="B44195" i="1"/>
  <c r="B44196" i="1"/>
  <c r="B44197" i="1"/>
  <c r="B44198" i="1"/>
  <c r="B44199" i="1"/>
  <c r="B44200" i="1"/>
  <c r="B44201" i="1"/>
  <c r="B44202" i="1"/>
  <c r="B44203" i="1"/>
  <c r="B44204" i="1"/>
  <c r="B44205" i="1"/>
  <c r="B44206" i="1"/>
  <c r="B44207" i="1"/>
  <c r="B44208" i="1"/>
  <c r="B44209" i="1"/>
  <c r="B44210" i="1"/>
  <c r="B44211" i="1"/>
  <c r="B44212" i="1"/>
  <c r="B44213" i="1"/>
  <c r="B44214" i="1"/>
  <c r="B44215" i="1"/>
  <c r="B44216" i="1"/>
  <c r="B44217" i="1"/>
  <c r="B44218" i="1"/>
  <c r="B44219" i="1"/>
  <c r="B44220" i="1"/>
  <c r="B44221" i="1"/>
  <c r="B44222" i="1"/>
  <c r="B44223" i="1"/>
  <c r="B44224" i="1"/>
  <c r="B44225" i="1"/>
  <c r="B44226" i="1"/>
  <c r="B44227" i="1"/>
  <c r="B44228" i="1"/>
  <c r="B44229" i="1"/>
  <c r="B44230" i="1"/>
  <c r="B44231" i="1"/>
  <c r="B44232" i="1"/>
  <c r="B44233" i="1"/>
  <c r="B44234" i="1"/>
  <c r="B44235" i="1"/>
  <c r="B44236" i="1"/>
  <c r="B44237" i="1"/>
  <c r="B44238" i="1"/>
  <c r="B44239" i="1"/>
  <c r="B44240" i="1"/>
  <c r="B44241" i="1"/>
  <c r="B44242" i="1"/>
  <c r="B44243" i="1"/>
  <c r="B44244" i="1"/>
  <c r="B44245" i="1"/>
  <c r="B44246" i="1"/>
  <c r="B44247" i="1"/>
  <c r="B44248" i="1"/>
  <c r="B44249" i="1"/>
  <c r="B44250" i="1"/>
  <c r="B44251" i="1"/>
  <c r="B44252" i="1"/>
  <c r="B44253" i="1"/>
  <c r="B44254" i="1"/>
  <c r="B44255" i="1"/>
  <c r="B44256" i="1"/>
  <c r="B44257" i="1"/>
  <c r="B44258" i="1"/>
  <c r="B44259" i="1"/>
  <c r="B44260" i="1"/>
  <c r="B44261" i="1"/>
  <c r="B44262" i="1"/>
  <c r="B44263" i="1"/>
  <c r="B44264" i="1"/>
  <c r="B44265" i="1"/>
  <c r="B44266" i="1"/>
  <c r="B44267" i="1"/>
  <c r="B44268" i="1"/>
  <c r="B44269" i="1"/>
  <c r="B44270" i="1"/>
  <c r="B44271" i="1"/>
  <c r="B44272" i="1"/>
  <c r="B44273" i="1"/>
  <c r="B44274" i="1"/>
  <c r="B44275" i="1"/>
  <c r="B44276" i="1"/>
  <c r="B44277" i="1"/>
  <c r="B44278" i="1"/>
  <c r="B44279" i="1"/>
  <c r="B44280" i="1"/>
  <c r="B44281" i="1"/>
  <c r="B44282" i="1"/>
  <c r="B44283" i="1"/>
  <c r="B44284" i="1"/>
  <c r="B44285" i="1"/>
  <c r="B44286" i="1"/>
  <c r="B44287" i="1"/>
  <c r="B44288" i="1"/>
  <c r="B44289" i="1"/>
  <c r="B44290" i="1"/>
  <c r="B44291" i="1"/>
  <c r="B44292" i="1"/>
  <c r="B44293" i="1"/>
  <c r="B44294" i="1"/>
  <c r="B44295" i="1"/>
  <c r="B44296" i="1"/>
  <c r="B44297" i="1"/>
  <c r="B44298" i="1"/>
  <c r="B44299" i="1"/>
  <c r="B44300" i="1"/>
  <c r="B44301" i="1"/>
  <c r="B44302" i="1"/>
  <c r="B44303" i="1"/>
  <c r="B44304" i="1"/>
  <c r="B44305" i="1"/>
  <c r="B44306" i="1"/>
  <c r="B44307" i="1"/>
  <c r="B44308" i="1"/>
  <c r="B44309" i="1"/>
  <c r="B44310" i="1"/>
  <c r="B44311" i="1"/>
  <c r="B44312" i="1"/>
  <c r="B44313" i="1"/>
  <c r="B44314" i="1"/>
  <c r="B44315" i="1"/>
  <c r="B44316" i="1"/>
  <c r="B44317" i="1"/>
  <c r="B44318" i="1"/>
  <c r="B44319" i="1"/>
  <c r="B44320" i="1"/>
  <c r="B44321" i="1"/>
  <c r="B44322" i="1"/>
  <c r="B44323" i="1"/>
  <c r="B44324" i="1"/>
  <c r="B44325" i="1"/>
  <c r="B44326" i="1"/>
  <c r="B44327" i="1"/>
  <c r="B44328" i="1"/>
  <c r="B44329" i="1"/>
  <c r="B44330" i="1"/>
  <c r="B44331" i="1"/>
  <c r="B44332" i="1"/>
  <c r="B44333" i="1"/>
  <c r="B44334" i="1"/>
  <c r="B44335" i="1"/>
  <c r="B44336" i="1"/>
  <c r="B44337" i="1"/>
  <c r="B44338" i="1"/>
  <c r="B44339" i="1"/>
  <c r="B44340" i="1"/>
  <c r="B44341" i="1"/>
  <c r="B44342" i="1"/>
  <c r="B44343" i="1"/>
  <c r="B44344" i="1"/>
  <c r="B44345" i="1"/>
  <c r="B44346" i="1"/>
  <c r="B44347" i="1"/>
  <c r="B44348" i="1"/>
  <c r="B44349" i="1"/>
  <c r="B44350" i="1"/>
  <c r="B44351" i="1"/>
  <c r="B44352" i="1"/>
  <c r="B44353" i="1"/>
  <c r="B44354" i="1"/>
  <c r="B44355" i="1"/>
  <c r="B44356" i="1"/>
  <c r="B44357" i="1"/>
  <c r="B44358" i="1"/>
  <c r="B44359" i="1"/>
  <c r="B44360" i="1"/>
  <c r="B44361" i="1"/>
  <c r="B44362" i="1"/>
  <c r="B44363" i="1"/>
  <c r="B44364" i="1"/>
  <c r="B44365" i="1"/>
  <c r="B44366" i="1"/>
  <c r="B44367" i="1"/>
  <c r="B44368" i="1"/>
  <c r="B44369" i="1"/>
  <c r="B44370" i="1"/>
  <c r="B44371" i="1"/>
  <c r="B44372" i="1"/>
  <c r="B44373" i="1"/>
  <c r="B44374" i="1"/>
  <c r="B44375" i="1"/>
  <c r="B44376" i="1"/>
  <c r="B44377" i="1"/>
  <c r="B44378" i="1"/>
  <c r="B44379" i="1"/>
  <c r="B44380" i="1"/>
  <c r="B44381" i="1"/>
  <c r="B44382" i="1"/>
  <c r="B44383" i="1"/>
  <c r="B44384" i="1"/>
  <c r="B44385" i="1"/>
  <c r="B44386" i="1"/>
  <c r="B44387" i="1"/>
  <c r="B44388" i="1"/>
  <c r="B44389" i="1"/>
  <c r="B44390" i="1"/>
  <c r="B44391" i="1"/>
  <c r="B44392" i="1"/>
  <c r="B44393" i="1"/>
  <c r="B44394" i="1"/>
  <c r="B44395" i="1"/>
  <c r="B44396" i="1"/>
  <c r="B44397" i="1"/>
  <c r="B44398" i="1"/>
  <c r="B44399" i="1"/>
  <c r="B44400" i="1"/>
  <c r="B44401" i="1"/>
  <c r="B44402" i="1"/>
  <c r="B44403" i="1"/>
  <c r="B44404" i="1"/>
  <c r="B44405" i="1"/>
  <c r="B44406" i="1"/>
  <c r="B44407" i="1"/>
  <c r="B44408" i="1"/>
  <c r="B44409" i="1"/>
  <c r="B44410" i="1"/>
  <c r="B44411" i="1"/>
  <c r="B44412" i="1"/>
  <c r="B44413" i="1"/>
  <c r="B44414" i="1"/>
  <c r="B44415" i="1"/>
  <c r="B44416" i="1"/>
  <c r="B44417" i="1"/>
  <c r="B44418" i="1"/>
  <c r="B44419" i="1"/>
  <c r="B44420" i="1"/>
  <c r="B44421" i="1"/>
  <c r="B44422" i="1"/>
  <c r="B44423" i="1"/>
  <c r="B44424" i="1"/>
  <c r="B44425" i="1"/>
  <c r="B44426" i="1"/>
  <c r="B44427" i="1"/>
  <c r="B44428" i="1"/>
  <c r="B44429" i="1"/>
  <c r="B44430" i="1"/>
  <c r="B44431" i="1"/>
  <c r="B44432" i="1"/>
  <c r="B44433" i="1"/>
  <c r="B44434" i="1"/>
  <c r="B44435" i="1"/>
  <c r="B44436" i="1"/>
  <c r="B44437" i="1"/>
  <c r="B44438" i="1"/>
  <c r="B44439" i="1"/>
  <c r="B44440" i="1"/>
  <c r="B44441" i="1"/>
  <c r="B44442" i="1"/>
  <c r="B44443" i="1"/>
  <c r="B44444" i="1"/>
  <c r="B44445" i="1"/>
  <c r="B44446" i="1"/>
  <c r="B44447" i="1"/>
  <c r="B44448" i="1"/>
  <c r="B44449" i="1"/>
  <c r="B44450" i="1"/>
  <c r="B44451" i="1"/>
  <c r="B44452" i="1"/>
  <c r="B44453" i="1"/>
  <c r="B44454" i="1"/>
  <c r="B44455" i="1"/>
  <c r="B44456" i="1"/>
  <c r="B44457" i="1"/>
  <c r="B44458" i="1"/>
  <c r="B44459" i="1"/>
  <c r="B44460" i="1"/>
  <c r="B44461" i="1"/>
  <c r="B44462" i="1"/>
  <c r="B44463" i="1"/>
  <c r="B44464" i="1"/>
  <c r="B44465" i="1"/>
  <c r="B44466" i="1"/>
  <c r="B44467" i="1"/>
  <c r="B44468" i="1"/>
  <c r="B44469" i="1"/>
  <c r="B44470" i="1"/>
  <c r="B44471" i="1"/>
  <c r="B44472" i="1"/>
  <c r="B44473" i="1"/>
  <c r="B44474" i="1"/>
  <c r="B44475" i="1"/>
  <c r="B44476" i="1"/>
  <c r="B44477" i="1"/>
  <c r="B44478" i="1"/>
  <c r="B44479" i="1"/>
  <c r="B44480" i="1"/>
  <c r="B44481" i="1"/>
  <c r="B44482" i="1"/>
  <c r="B44483" i="1"/>
  <c r="B44484" i="1"/>
  <c r="B44485" i="1"/>
  <c r="B44486" i="1"/>
  <c r="B44487" i="1"/>
  <c r="B44488" i="1"/>
  <c r="B44489" i="1"/>
  <c r="B44490" i="1"/>
  <c r="B44491" i="1"/>
  <c r="B44492" i="1"/>
  <c r="B44493" i="1"/>
  <c r="B44494" i="1"/>
  <c r="B44495" i="1"/>
  <c r="B44496" i="1"/>
  <c r="B44497" i="1"/>
  <c r="B44498" i="1"/>
  <c r="B44499" i="1"/>
  <c r="B44500" i="1"/>
  <c r="B44501" i="1"/>
  <c r="B44502" i="1"/>
  <c r="B44503" i="1"/>
  <c r="B44504" i="1"/>
  <c r="B44505" i="1"/>
  <c r="B44506" i="1"/>
  <c r="B44507" i="1"/>
  <c r="B44508" i="1"/>
  <c r="B44509" i="1"/>
  <c r="B44510" i="1"/>
  <c r="B44511" i="1"/>
  <c r="B44512" i="1"/>
  <c r="B44513" i="1"/>
  <c r="B44514" i="1"/>
  <c r="B44515" i="1"/>
  <c r="B44516" i="1"/>
  <c r="B44517" i="1"/>
  <c r="B44518" i="1"/>
  <c r="B44519" i="1"/>
  <c r="B44520" i="1"/>
  <c r="B44521" i="1"/>
  <c r="B44522" i="1"/>
  <c r="B44523" i="1"/>
  <c r="B44524" i="1"/>
  <c r="B44525" i="1"/>
  <c r="B44526" i="1"/>
  <c r="B44527" i="1"/>
  <c r="B44528" i="1"/>
  <c r="B44529" i="1"/>
  <c r="B44530" i="1"/>
  <c r="B44531" i="1"/>
  <c r="B44532" i="1"/>
  <c r="B44533" i="1"/>
  <c r="B44534" i="1"/>
  <c r="B44535" i="1"/>
  <c r="B44536" i="1"/>
  <c r="B44537" i="1"/>
  <c r="B44538" i="1"/>
  <c r="B44539" i="1"/>
  <c r="B44540" i="1"/>
  <c r="B44541" i="1"/>
  <c r="B44542" i="1"/>
  <c r="B44543" i="1"/>
  <c r="B44544" i="1"/>
  <c r="B44545" i="1"/>
  <c r="B44546" i="1"/>
  <c r="B44547" i="1"/>
  <c r="B44548" i="1"/>
  <c r="B44549" i="1"/>
  <c r="B44550" i="1"/>
  <c r="B44551" i="1"/>
  <c r="B44552" i="1"/>
  <c r="B44553" i="1"/>
  <c r="B44554" i="1"/>
  <c r="B44555" i="1"/>
  <c r="B44556" i="1"/>
  <c r="B44557" i="1"/>
  <c r="B44558" i="1"/>
  <c r="B44559" i="1"/>
  <c r="B44560" i="1"/>
  <c r="B44561" i="1"/>
  <c r="B44562" i="1"/>
  <c r="B44563" i="1"/>
  <c r="B44564" i="1"/>
  <c r="B44565" i="1"/>
  <c r="B44566" i="1"/>
  <c r="B44567" i="1"/>
  <c r="B44568" i="1"/>
  <c r="B44569" i="1"/>
  <c r="B44570" i="1"/>
  <c r="B44571" i="1"/>
  <c r="B44572" i="1"/>
  <c r="B44573" i="1"/>
  <c r="B44574" i="1"/>
  <c r="B44575" i="1"/>
  <c r="B44576" i="1"/>
  <c r="B44577" i="1"/>
  <c r="B44578" i="1"/>
  <c r="B44579" i="1"/>
  <c r="B44580" i="1"/>
  <c r="B44581" i="1"/>
  <c r="B44582" i="1"/>
  <c r="B44583" i="1"/>
  <c r="B44584" i="1"/>
  <c r="B44585" i="1"/>
  <c r="B44586" i="1"/>
  <c r="B44587" i="1"/>
  <c r="B44588" i="1"/>
  <c r="B44589" i="1"/>
  <c r="B44590" i="1"/>
  <c r="B44591" i="1"/>
  <c r="B44592" i="1"/>
  <c r="B44593" i="1"/>
  <c r="B44594" i="1"/>
  <c r="B44595" i="1"/>
  <c r="B44596" i="1"/>
  <c r="B44597" i="1"/>
  <c r="B44598" i="1"/>
  <c r="B44599" i="1"/>
  <c r="B44600" i="1"/>
  <c r="B44601" i="1"/>
  <c r="B44602" i="1"/>
  <c r="B44603" i="1"/>
  <c r="B44604" i="1"/>
  <c r="B44605" i="1"/>
  <c r="B44606" i="1"/>
  <c r="B44607" i="1"/>
  <c r="B44608" i="1"/>
  <c r="B44609" i="1"/>
  <c r="B44610" i="1"/>
  <c r="B44611" i="1"/>
  <c r="B44612" i="1"/>
  <c r="B44613" i="1"/>
  <c r="B44614" i="1"/>
  <c r="B44615" i="1"/>
  <c r="B44616" i="1"/>
  <c r="B44617" i="1"/>
  <c r="B44618" i="1"/>
  <c r="B44619" i="1"/>
  <c r="B44620" i="1"/>
  <c r="B44621" i="1"/>
  <c r="B44622" i="1"/>
  <c r="B44623" i="1"/>
  <c r="B44624" i="1"/>
  <c r="B44625" i="1"/>
  <c r="B44626" i="1"/>
  <c r="B44627" i="1"/>
  <c r="B44628" i="1"/>
  <c r="B44629" i="1"/>
  <c r="B44630" i="1"/>
  <c r="B44631" i="1"/>
  <c r="B44632" i="1"/>
  <c r="B44633" i="1"/>
  <c r="B44634" i="1"/>
  <c r="B44635" i="1"/>
  <c r="B44636" i="1"/>
  <c r="B44637" i="1"/>
  <c r="B44638" i="1"/>
  <c r="B44639" i="1"/>
  <c r="B44640" i="1"/>
  <c r="B44641" i="1"/>
  <c r="B44642" i="1"/>
  <c r="B44643" i="1"/>
  <c r="B44644" i="1"/>
  <c r="B44645" i="1"/>
  <c r="B44646" i="1"/>
  <c r="B44647" i="1"/>
  <c r="B44648" i="1"/>
  <c r="B44649" i="1"/>
  <c r="B44650" i="1"/>
  <c r="B44651" i="1"/>
  <c r="B44652" i="1"/>
  <c r="B44653" i="1"/>
  <c r="B44654" i="1"/>
  <c r="B44655" i="1"/>
  <c r="B44656" i="1"/>
  <c r="B44657" i="1"/>
  <c r="B44658" i="1"/>
  <c r="B44659" i="1"/>
  <c r="B44660" i="1"/>
  <c r="B44661" i="1"/>
  <c r="B44662" i="1"/>
  <c r="B44663" i="1"/>
  <c r="B44664" i="1"/>
  <c r="B44665" i="1"/>
  <c r="B44666" i="1"/>
  <c r="B44667" i="1"/>
  <c r="B44668" i="1"/>
  <c r="B44669" i="1"/>
  <c r="B44670" i="1"/>
  <c r="B44671" i="1"/>
  <c r="B44672" i="1"/>
  <c r="B44673" i="1"/>
  <c r="B44674" i="1"/>
  <c r="B44675" i="1"/>
  <c r="B44676" i="1"/>
  <c r="B44677" i="1"/>
  <c r="B44678" i="1"/>
  <c r="B44679" i="1"/>
  <c r="B44680" i="1"/>
  <c r="B44681" i="1"/>
  <c r="B44682" i="1"/>
  <c r="B44683" i="1"/>
  <c r="B44684" i="1"/>
  <c r="B44685" i="1"/>
  <c r="B44686" i="1"/>
  <c r="B44687" i="1"/>
  <c r="B44688" i="1"/>
  <c r="B44689" i="1"/>
  <c r="B44690" i="1"/>
  <c r="B44691" i="1"/>
  <c r="B44692" i="1"/>
  <c r="B44693" i="1"/>
  <c r="B44694" i="1"/>
  <c r="B44695" i="1"/>
  <c r="B44696" i="1"/>
  <c r="B44697" i="1"/>
  <c r="B44698" i="1"/>
  <c r="B44699" i="1"/>
  <c r="B44700" i="1"/>
  <c r="B44701" i="1"/>
  <c r="B44702" i="1"/>
  <c r="B44703" i="1"/>
  <c r="B44704" i="1"/>
  <c r="B44705" i="1"/>
  <c r="B44706" i="1"/>
  <c r="B44707" i="1"/>
  <c r="B44708" i="1"/>
  <c r="B44709" i="1"/>
  <c r="B44710" i="1"/>
  <c r="B44711" i="1"/>
  <c r="B44712" i="1"/>
  <c r="B44713" i="1"/>
  <c r="B44714" i="1"/>
  <c r="B44715" i="1"/>
  <c r="B44716" i="1"/>
  <c r="B44717" i="1"/>
  <c r="B44718" i="1"/>
  <c r="B44719" i="1"/>
  <c r="B44720" i="1"/>
  <c r="B44721" i="1"/>
  <c r="B44722" i="1"/>
  <c r="B44723" i="1"/>
  <c r="B44724" i="1"/>
  <c r="B44725" i="1"/>
  <c r="B44726" i="1"/>
  <c r="B44727" i="1"/>
  <c r="B44728" i="1"/>
  <c r="B44729" i="1"/>
  <c r="B44730" i="1"/>
  <c r="B44731" i="1"/>
  <c r="B44732" i="1"/>
  <c r="B44733" i="1"/>
  <c r="B44734" i="1"/>
  <c r="B44735" i="1"/>
  <c r="B44736" i="1"/>
  <c r="B44737" i="1"/>
  <c r="B44738" i="1"/>
  <c r="B44739" i="1"/>
  <c r="B44740" i="1"/>
  <c r="B44741" i="1"/>
  <c r="B44742" i="1"/>
  <c r="B44743" i="1"/>
  <c r="B44744" i="1"/>
  <c r="B44745" i="1"/>
  <c r="B44746" i="1"/>
  <c r="B44747" i="1"/>
  <c r="B44748" i="1"/>
  <c r="B44749" i="1"/>
  <c r="B44750" i="1"/>
  <c r="B44751" i="1"/>
  <c r="B44752" i="1"/>
  <c r="B44753" i="1"/>
  <c r="B44754" i="1"/>
  <c r="B44755" i="1"/>
  <c r="B44756" i="1"/>
  <c r="B44757" i="1"/>
  <c r="B44758" i="1"/>
  <c r="B44759" i="1"/>
  <c r="B44760" i="1"/>
  <c r="B44761" i="1"/>
  <c r="B44762" i="1"/>
  <c r="B44763" i="1"/>
  <c r="B44764" i="1"/>
  <c r="B44765" i="1"/>
  <c r="B44766" i="1"/>
  <c r="B44767" i="1"/>
  <c r="B44768" i="1"/>
  <c r="B44769" i="1"/>
  <c r="B44770" i="1"/>
  <c r="B44771" i="1"/>
  <c r="B44772" i="1"/>
  <c r="B44773" i="1"/>
  <c r="B44774" i="1"/>
  <c r="B44775" i="1"/>
  <c r="B44776" i="1"/>
  <c r="B44777" i="1"/>
  <c r="B44778" i="1"/>
  <c r="B44779" i="1"/>
  <c r="B44780" i="1"/>
  <c r="B44781" i="1"/>
  <c r="B44782" i="1"/>
  <c r="B44783" i="1"/>
  <c r="B44784" i="1"/>
  <c r="B44785" i="1"/>
  <c r="B44786" i="1"/>
  <c r="B44787" i="1"/>
  <c r="B44788" i="1"/>
  <c r="B44789" i="1"/>
  <c r="B44790" i="1"/>
  <c r="B44791" i="1"/>
  <c r="B44792" i="1"/>
  <c r="B44793" i="1"/>
  <c r="B44794" i="1"/>
  <c r="B44795" i="1"/>
  <c r="B44796" i="1"/>
  <c r="B44797" i="1"/>
  <c r="B44798" i="1"/>
  <c r="B44799" i="1"/>
  <c r="B44800" i="1"/>
  <c r="B44801" i="1"/>
  <c r="B44802" i="1"/>
  <c r="B44803" i="1"/>
  <c r="B44804" i="1"/>
  <c r="B44805" i="1"/>
  <c r="B44806" i="1"/>
  <c r="B44807" i="1"/>
  <c r="B44808" i="1"/>
  <c r="B44809" i="1"/>
  <c r="B44810" i="1"/>
  <c r="B44811" i="1"/>
  <c r="B44812" i="1"/>
  <c r="B44813" i="1"/>
  <c r="B44814" i="1"/>
  <c r="B44815" i="1"/>
  <c r="B44816" i="1"/>
  <c r="B44817" i="1"/>
  <c r="B44818" i="1"/>
  <c r="B44819" i="1"/>
  <c r="B44820" i="1"/>
  <c r="B44821" i="1"/>
  <c r="B44822" i="1"/>
  <c r="B44823" i="1"/>
  <c r="B44824" i="1"/>
  <c r="B44825" i="1"/>
  <c r="B44826" i="1"/>
  <c r="B44827" i="1"/>
  <c r="B44828" i="1"/>
  <c r="B44829" i="1"/>
  <c r="B44830" i="1"/>
  <c r="B44831" i="1"/>
  <c r="B44832" i="1"/>
  <c r="B44833" i="1"/>
  <c r="B44834" i="1"/>
  <c r="B44835" i="1"/>
  <c r="B44836" i="1"/>
  <c r="B44837" i="1"/>
  <c r="B44838" i="1"/>
  <c r="B44839" i="1"/>
  <c r="B44840" i="1"/>
  <c r="B44841" i="1"/>
  <c r="B44842" i="1"/>
  <c r="B44843" i="1"/>
  <c r="B44844" i="1"/>
  <c r="B44845" i="1"/>
  <c r="B44846" i="1"/>
  <c r="B44847" i="1"/>
  <c r="B44848" i="1"/>
  <c r="B44849" i="1"/>
  <c r="B44850" i="1"/>
  <c r="B44851" i="1"/>
  <c r="B44852" i="1"/>
  <c r="B44853" i="1"/>
  <c r="B44854" i="1"/>
  <c r="B44855" i="1"/>
  <c r="B44856" i="1"/>
  <c r="B44857" i="1"/>
  <c r="B44858" i="1"/>
  <c r="B44859" i="1"/>
  <c r="B44860" i="1"/>
  <c r="B44861" i="1"/>
  <c r="B44862" i="1"/>
  <c r="B44863" i="1"/>
  <c r="B44864" i="1"/>
  <c r="B44865" i="1"/>
  <c r="B44866" i="1"/>
  <c r="B44867" i="1"/>
  <c r="B44868" i="1"/>
  <c r="B44869" i="1"/>
  <c r="B44870" i="1"/>
  <c r="B44871" i="1"/>
  <c r="B44872" i="1"/>
  <c r="B44873" i="1"/>
  <c r="B44874" i="1"/>
  <c r="B44875" i="1"/>
  <c r="B44876" i="1"/>
  <c r="B44877" i="1"/>
  <c r="B44878" i="1"/>
  <c r="B44879" i="1"/>
  <c r="B44880" i="1"/>
  <c r="B44881" i="1"/>
  <c r="B44882" i="1"/>
  <c r="B44883" i="1"/>
  <c r="B44884" i="1"/>
  <c r="B44885" i="1"/>
  <c r="B44886" i="1"/>
  <c r="B44887" i="1"/>
  <c r="B44888" i="1"/>
  <c r="B44889" i="1"/>
  <c r="B44890" i="1"/>
  <c r="B44891" i="1"/>
  <c r="B44892" i="1"/>
  <c r="B44893" i="1"/>
  <c r="B44894" i="1"/>
  <c r="B44895" i="1"/>
  <c r="B44896" i="1"/>
  <c r="B44897" i="1"/>
  <c r="B44898" i="1"/>
  <c r="B44899" i="1"/>
  <c r="B44900" i="1"/>
  <c r="B44901" i="1"/>
  <c r="B44902" i="1"/>
  <c r="B44903" i="1"/>
  <c r="B44904" i="1"/>
  <c r="B44905" i="1"/>
  <c r="B44906" i="1"/>
  <c r="B44907" i="1"/>
  <c r="B44908" i="1"/>
  <c r="B44909" i="1"/>
  <c r="B44910" i="1"/>
  <c r="B44911" i="1"/>
  <c r="B44912" i="1"/>
  <c r="B44913" i="1"/>
  <c r="B44914" i="1"/>
  <c r="B44915" i="1"/>
  <c r="B44916" i="1"/>
  <c r="B44917" i="1"/>
  <c r="B44918" i="1"/>
  <c r="B44919" i="1"/>
  <c r="B44920" i="1"/>
  <c r="B44921" i="1"/>
  <c r="B44922" i="1"/>
  <c r="B44923" i="1"/>
  <c r="B44924" i="1"/>
  <c r="B44925" i="1"/>
  <c r="B44926" i="1"/>
  <c r="B44927" i="1"/>
  <c r="B44928" i="1"/>
  <c r="B44929" i="1"/>
  <c r="B44930" i="1"/>
  <c r="B44931" i="1"/>
  <c r="B44932" i="1"/>
  <c r="B44933" i="1"/>
  <c r="B44934" i="1"/>
  <c r="B44935" i="1"/>
  <c r="B44936" i="1"/>
  <c r="B44937" i="1"/>
  <c r="B44938" i="1"/>
  <c r="B44939" i="1"/>
  <c r="B44940" i="1"/>
  <c r="B44941" i="1"/>
  <c r="B44942" i="1"/>
  <c r="B44943" i="1"/>
  <c r="B44944" i="1"/>
  <c r="B44945" i="1"/>
  <c r="B44946" i="1"/>
  <c r="B44947" i="1"/>
  <c r="B44948" i="1"/>
  <c r="B44949" i="1"/>
  <c r="B44950" i="1"/>
  <c r="B44951" i="1"/>
  <c r="B44952" i="1"/>
  <c r="B44953" i="1"/>
  <c r="B44954" i="1"/>
  <c r="B44955" i="1"/>
  <c r="B44956" i="1"/>
  <c r="B44957" i="1"/>
  <c r="B44958" i="1"/>
  <c r="B44959" i="1"/>
  <c r="B44960" i="1"/>
  <c r="B44961" i="1"/>
  <c r="B44962" i="1"/>
  <c r="B44963" i="1"/>
  <c r="B44964" i="1"/>
  <c r="B44965" i="1"/>
  <c r="B44966" i="1"/>
  <c r="B44967" i="1"/>
  <c r="B44968" i="1"/>
  <c r="B44969" i="1"/>
  <c r="B44970" i="1"/>
  <c r="B44971" i="1"/>
  <c r="B44972" i="1"/>
  <c r="B44973" i="1"/>
  <c r="B44974" i="1"/>
  <c r="B44975" i="1"/>
  <c r="B44976" i="1"/>
  <c r="B44977" i="1"/>
  <c r="B44978" i="1"/>
  <c r="B44979" i="1"/>
  <c r="B44980" i="1"/>
  <c r="B44981" i="1"/>
  <c r="B44982" i="1"/>
  <c r="B44983" i="1"/>
  <c r="B44984" i="1"/>
  <c r="B44985" i="1"/>
  <c r="B44986" i="1"/>
  <c r="B44987" i="1"/>
  <c r="B44988" i="1"/>
  <c r="B44989" i="1"/>
  <c r="B44990" i="1"/>
  <c r="B44991" i="1"/>
  <c r="B44992" i="1"/>
  <c r="B44993" i="1"/>
  <c r="B44994" i="1"/>
  <c r="B44995" i="1"/>
  <c r="B44996" i="1"/>
  <c r="B44997" i="1"/>
  <c r="B44998" i="1"/>
  <c r="B44999" i="1"/>
  <c r="B45000" i="1"/>
  <c r="B45001" i="1"/>
  <c r="B45002" i="1"/>
  <c r="B45003" i="1"/>
  <c r="B45004" i="1"/>
  <c r="B45005" i="1"/>
  <c r="B45006" i="1"/>
  <c r="B45007" i="1"/>
  <c r="B45008" i="1"/>
  <c r="B45009" i="1"/>
  <c r="B45010" i="1"/>
  <c r="B45011" i="1"/>
  <c r="B45012" i="1"/>
  <c r="B45013" i="1"/>
  <c r="B45014" i="1"/>
  <c r="B45015" i="1"/>
  <c r="B45016" i="1"/>
  <c r="B45017" i="1"/>
  <c r="B45018" i="1"/>
  <c r="B45019" i="1"/>
  <c r="B45020" i="1"/>
  <c r="B45021" i="1"/>
  <c r="B45022" i="1"/>
  <c r="B45023" i="1"/>
  <c r="B45024" i="1"/>
  <c r="B45025" i="1"/>
  <c r="B45026" i="1"/>
  <c r="B45027" i="1"/>
  <c r="B45028" i="1"/>
  <c r="B45029" i="1"/>
  <c r="B45030" i="1"/>
  <c r="B45031" i="1"/>
  <c r="B45032" i="1"/>
  <c r="B45033" i="1"/>
  <c r="B45034" i="1"/>
  <c r="B45035" i="1"/>
  <c r="B45036" i="1"/>
  <c r="B45037" i="1"/>
  <c r="B45038" i="1"/>
  <c r="B45039" i="1"/>
  <c r="B45040" i="1"/>
  <c r="B45041" i="1"/>
  <c r="B45042" i="1"/>
  <c r="B45043" i="1"/>
  <c r="B45044" i="1"/>
  <c r="B45045" i="1"/>
  <c r="B45046" i="1"/>
  <c r="B45047" i="1"/>
  <c r="B45048" i="1"/>
  <c r="B45049" i="1"/>
  <c r="B45050" i="1"/>
  <c r="B45051" i="1"/>
  <c r="B45052" i="1"/>
  <c r="B45053" i="1"/>
  <c r="B45054" i="1"/>
  <c r="B45055" i="1"/>
  <c r="B45056" i="1"/>
  <c r="B45057" i="1"/>
  <c r="B45058" i="1"/>
  <c r="B45059" i="1"/>
  <c r="B45060" i="1"/>
  <c r="B45061" i="1"/>
  <c r="B45062" i="1"/>
  <c r="B45063" i="1"/>
  <c r="B45064" i="1"/>
  <c r="B45065" i="1"/>
  <c r="B45066" i="1"/>
  <c r="B45067" i="1"/>
  <c r="B45068" i="1"/>
  <c r="B45069" i="1"/>
  <c r="B45070" i="1"/>
  <c r="B45071" i="1"/>
  <c r="B45072" i="1"/>
  <c r="B45073" i="1"/>
  <c r="B45074" i="1"/>
  <c r="B45075" i="1"/>
  <c r="B45076" i="1"/>
  <c r="B45077" i="1"/>
  <c r="B45078" i="1"/>
  <c r="B45079" i="1"/>
  <c r="B45080" i="1"/>
  <c r="B45081" i="1"/>
  <c r="B45082" i="1"/>
  <c r="B45083" i="1"/>
  <c r="B45084" i="1"/>
  <c r="B45085" i="1"/>
  <c r="B45086" i="1"/>
  <c r="B45087" i="1"/>
  <c r="B45088" i="1"/>
  <c r="B45089" i="1"/>
  <c r="B45090" i="1"/>
  <c r="B45091" i="1"/>
  <c r="B45092" i="1"/>
  <c r="B45093" i="1"/>
  <c r="B45094" i="1"/>
  <c r="B45095" i="1"/>
  <c r="B45096" i="1"/>
  <c r="B45097" i="1"/>
  <c r="B45098" i="1"/>
  <c r="B45099" i="1"/>
  <c r="B45100" i="1"/>
  <c r="B45101" i="1"/>
  <c r="B45102" i="1"/>
  <c r="B45103" i="1"/>
  <c r="B45104" i="1"/>
  <c r="B45105" i="1"/>
  <c r="B45106" i="1"/>
  <c r="B45107" i="1"/>
  <c r="B45108" i="1"/>
  <c r="B45109" i="1"/>
  <c r="B45110" i="1"/>
  <c r="B45111" i="1"/>
  <c r="B45112" i="1"/>
  <c r="B45113" i="1"/>
  <c r="B45114" i="1"/>
  <c r="B45115" i="1"/>
  <c r="B45116" i="1"/>
  <c r="B45117" i="1"/>
  <c r="B45118" i="1"/>
  <c r="B45119" i="1"/>
  <c r="B45120" i="1"/>
  <c r="B45121" i="1"/>
  <c r="B45122" i="1"/>
  <c r="B45123" i="1"/>
  <c r="B45124" i="1"/>
  <c r="B45125" i="1"/>
  <c r="B45126" i="1"/>
  <c r="B45127" i="1"/>
  <c r="B45128" i="1"/>
  <c r="B45129" i="1"/>
  <c r="B45130" i="1"/>
  <c r="B45131" i="1"/>
  <c r="B45132" i="1"/>
  <c r="B45133" i="1"/>
  <c r="B45134" i="1"/>
  <c r="B45135" i="1"/>
  <c r="B45136" i="1"/>
  <c r="B45137" i="1"/>
  <c r="B45138" i="1"/>
  <c r="B45139" i="1"/>
  <c r="B45140" i="1"/>
  <c r="B45141" i="1"/>
  <c r="B45142" i="1"/>
  <c r="B45143" i="1"/>
  <c r="B45144" i="1"/>
  <c r="B45145" i="1"/>
  <c r="B45146" i="1"/>
  <c r="B45147" i="1"/>
  <c r="B45148" i="1"/>
  <c r="B45149" i="1"/>
  <c r="B45150" i="1"/>
  <c r="B45151" i="1"/>
  <c r="B45152" i="1"/>
  <c r="B45153" i="1"/>
  <c r="B45154" i="1"/>
  <c r="B45155" i="1"/>
  <c r="B45156" i="1"/>
  <c r="B45157" i="1"/>
  <c r="B45158" i="1"/>
  <c r="B45159" i="1"/>
  <c r="B45160" i="1"/>
  <c r="B45161" i="1"/>
  <c r="B45162" i="1"/>
  <c r="B45163" i="1"/>
  <c r="B45164" i="1"/>
  <c r="B45165" i="1"/>
  <c r="B45166" i="1"/>
  <c r="B45167" i="1"/>
  <c r="B45168" i="1"/>
  <c r="B45169" i="1"/>
  <c r="B45170" i="1"/>
  <c r="B45171" i="1"/>
  <c r="B45172" i="1"/>
  <c r="B45173" i="1"/>
  <c r="B45174" i="1"/>
  <c r="B45175" i="1"/>
  <c r="B45176" i="1"/>
  <c r="B45177" i="1"/>
  <c r="B45178" i="1"/>
  <c r="B45179" i="1"/>
  <c r="B45180" i="1"/>
  <c r="B45181" i="1"/>
  <c r="B45182" i="1"/>
  <c r="B45183" i="1"/>
  <c r="B45184" i="1"/>
  <c r="B45185" i="1"/>
  <c r="B45186" i="1"/>
  <c r="B45187" i="1"/>
  <c r="B45188" i="1"/>
  <c r="B45189" i="1"/>
  <c r="B45190" i="1"/>
  <c r="B45191" i="1"/>
  <c r="B45192" i="1"/>
  <c r="B45193" i="1"/>
  <c r="B45194" i="1"/>
  <c r="B45195" i="1"/>
  <c r="B45196" i="1"/>
  <c r="B45197" i="1"/>
  <c r="B45198" i="1"/>
  <c r="B45199" i="1"/>
  <c r="B45200" i="1"/>
  <c r="B45201" i="1"/>
  <c r="B45202" i="1"/>
  <c r="B45203" i="1"/>
  <c r="B45204" i="1"/>
  <c r="B45205" i="1"/>
  <c r="B45206" i="1"/>
  <c r="B45207" i="1"/>
  <c r="B45208" i="1"/>
  <c r="B45209" i="1"/>
  <c r="B45210" i="1"/>
  <c r="B45211" i="1"/>
  <c r="B45212" i="1"/>
  <c r="B45213" i="1"/>
  <c r="B45214" i="1"/>
  <c r="B45215" i="1"/>
  <c r="B45216" i="1"/>
  <c r="B45217" i="1"/>
  <c r="B45218" i="1"/>
  <c r="B45219" i="1"/>
  <c r="B45220" i="1"/>
  <c r="B45221" i="1"/>
  <c r="B45222" i="1"/>
  <c r="B45223" i="1"/>
  <c r="B45224" i="1"/>
  <c r="B45225" i="1"/>
  <c r="B45226" i="1"/>
  <c r="B45227" i="1"/>
  <c r="B45228" i="1"/>
  <c r="B45229" i="1"/>
  <c r="B45230" i="1"/>
  <c r="B45231" i="1"/>
  <c r="B45232" i="1"/>
  <c r="B45233" i="1"/>
  <c r="B45234" i="1"/>
  <c r="B45235" i="1"/>
  <c r="B45236" i="1"/>
  <c r="B45237" i="1"/>
  <c r="B45238" i="1"/>
  <c r="B45239" i="1"/>
  <c r="B45240" i="1"/>
  <c r="B45241" i="1"/>
  <c r="B45242" i="1"/>
  <c r="B45243" i="1"/>
  <c r="B45244" i="1"/>
  <c r="B45245" i="1"/>
  <c r="B45246" i="1"/>
  <c r="B45247" i="1"/>
  <c r="B45248" i="1"/>
  <c r="B45249" i="1"/>
  <c r="B45250" i="1"/>
  <c r="B45251" i="1"/>
  <c r="B45252" i="1"/>
  <c r="B45253" i="1"/>
  <c r="B45254" i="1"/>
  <c r="B45255" i="1"/>
  <c r="B45256" i="1"/>
  <c r="B45257" i="1"/>
  <c r="B45258" i="1"/>
  <c r="B45259" i="1"/>
  <c r="B45260" i="1"/>
  <c r="B45261" i="1"/>
  <c r="B45262" i="1"/>
  <c r="B45263" i="1"/>
  <c r="B45264" i="1"/>
  <c r="B45265" i="1"/>
  <c r="B45266" i="1"/>
  <c r="B45267" i="1"/>
  <c r="B45268" i="1"/>
  <c r="B45269" i="1"/>
  <c r="B45270" i="1"/>
  <c r="B45271" i="1"/>
  <c r="B45272" i="1"/>
  <c r="B45273" i="1"/>
  <c r="B45274" i="1"/>
  <c r="B45275" i="1"/>
  <c r="B45276" i="1"/>
  <c r="B45277" i="1"/>
  <c r="B45278" i="1"/>
  <c r="B45279" i="1"/>
  <c r="B45280" i="1"/>
  <c r="B45281" i="1"/>
  <c r="B45282" i="1"/>
  <c r="B45283" i="1"/>
  <c r="B45284" i="1"/>
  <c r="B45285" i="1"/>
  <c r="B45286" i="1"/>
  <c r="B45287" i="1"/>
  <c r="B45288" i="1"/>
  <c r="B45289" i="1"/>
  <c r="B45290" i="1"/>
  <c r="B45291" i="1"/>
  <c r="B45292" i="1"/>
  <c r="B45293" i="1"/>
  <c r="B45294" i="1"/>
  <c r="B45295" i="1"/>
  <c r="B45296" i="1"/>
  <c r="B45297" i="1"/>
  <c r="B45298" i="1"/>
  <c r="B45299" i="1"/>
  <c r="B45300" i="1"/>
  <c r="B45301" i="1"/>
  <c r="B45302" i="1"/>
  <c r="B45303" i="1"/>
  <c r="B45304" i="1"/>
  <c r="B45305" i="1"/>
  <c r="B45306" i="1"/>
  <c r="B45307" i="1"/>
  <c r="B45308" i="1"/>
  <c r="B45309" i="1"/>
  <c r="B45310" i="1"/>
  <c r="B45311" i="1"/>
  <c r="B45312" i="1"/>
  <c r="B45313" i="1"/>
  <c r="B45314" i="1"/>
  <c r="B45315" i="1"/>
  <c r="B45316" i="1"/>
  <c r="B45317" i="1"/>
  <c r="B45318" i="1"/>
  <c r="B45319" i="1"/>
  <c r="B45320" i="1"/>
  <c r="B45321" i="1"/>
  <c r="B45322" i="1"/>
  <c r="B45323" i="1"/>
  <c r="B45324" i="1"/>
  <c r="B45325" i="1"/>
  <c r="B45326" i="1"/>
  <c r="B45327" i="1"/>
  <c r="B45328" i="1"/>
  <c r="B45329" i="1"/>
  <c r="B45330" i="1"/>
  <c r="B45331" i="1"/>
  <c r="B45332" i="1"/>
  <c r="B45333" i="1"/>
  <c r="B45334" i="1"/>
  <c r="B45335" i="1"/>
  <c r="B45336" i="1"/>
  <c r="B45337" i="1"/>
  <c r="B45338" i="1"/>
  <c r="B45339" i="1"/>
  <c r="B45340" i="1"/>
  <c r="B45341" i="1"/>
  <c r="B45342" i="1"/>
  <c r="B45343" i="1"/>
  <c r="B45344" i="1"/>
  <c r="B45345" i="1"/>
  <c r="B45346" i="1"/>
  <c r="B45347" i="1"/>
  <c r="B45348" i="1"/>
  <c r="B45349" i="1"/>
  <c r="B45350" i="1"/>
  <c r="B45351" i="1"/>
  <c r="B45352" i="1"/>
  <c r="B45353" i="1"/>
  <c r="B45354" i="1"/>
  <c r="B45355" i="1"/>
  <c r="B45356" i="1"/>
  <c r="B45357" i="1"/>
  <c r="B45358" i="1"/>
  <c r="B45359" i="1"/>
  <c r="B45360" i="1"/>
  <c r="B45361" i="1"/>
  <c r="B45362" i="1"/>
  <c r="B45363" i="1"/>
  <c r="B45364" i="1"/>
  <c r="B45365" i="1"/>
  <c r="B45366" i="1"/>
  <c r="B45367" i="1"/>
  <c r="B45368" i="1"/>
  <c r="B45369" i="1"/>
  <c r="B45370" i="1"/>
  <c r="B45371" i="1"/>
  <c r="B45372" i="1"/>
  <c r="B45373" i="1"/>
  <c r="B45374" i="1"/>
  <c r="B45375" i="1"/>
  <c r="B45376" i="1"/>
  <c r="B45377" i="1"/>
  <c r="B45378" i="1"/>
  <c r="B45379" i="1"/>
  <c r="B45380" i="1"/>
  <c r="B45381" i="1"/>
  <c r="B45382" i="1"/>
  <c r="B45383" i="1"/>
  <c r="B45384" i="1"/>
  <c r="B45385" i="1"/>
  <c r="B45386" i="1"/>
  <c r="B45387" i="1"/>
  <c r="B45388" i="1"/>
  <c r="B45389" i="1"/>
  <c r="B45390" i="1"/>
  <c r="B45391" i="1"/>
  <c r="B45392" i="1"/>
  <c r="B45393" i="1"/>
  <c r="B45394" i="1"/>
  <c r="B45395" i="1"/>
  <c r="B45396" i="1"/>
  <c r="B45397" i="1"/>
  <c r="B45398" i="1"/>
  <c r="B45399" i="1"/>
  <c r="B45400" i="1"/>
  <c r="B45401" i="1"/>
  <c r="B45402" i="1"/>
  <c r="B45403" i="1"/>
  <c r="B45404" i="1"/>
  <c r="B45405" i="1"/>
  <c r="B45406" i="1"/>
  <c r="B45407" i="1"/>
  <c r="B45408" i="1"/>
  <c r="B45409" i="1"/>
  <c r="B45410" i="1"/>
  <c r="B45411" i="1"/>
  <c r="B45412" i="1"/>
  <c r="B45413" i="1"/>
  <c r="B45414" i="1"/>
  <c r="B45415" i="1"/>
  <c r="B45416" i="1"/>
  <c r="B45417" i="1"/>
  <c r="B45418" i="1"/>
  <c r="B45419" i="1"/>
  <c r="B45420" i="1"/>
  <c r="B45421" i="1"/>
  <c r="B45422" i="1"/>
  <c r="B45423" i="1"/>
  <c r="B45424" i="1"/>
  <c r="B45425" i="1"/>
  <c r="B45426" i="1"/>
  <c r="B45427" i="1"/>
  <c r="B45428" i="1"/>
  <c r="B45429" i="1"/>
  <c r="B45430" i="1"/>
  <c r="B45431" i="1"/>
  <c r="B45432" i="1"/>
  <c r="B45433" i="1"/>
  <c r="B45434" i="1"/>
  <c r="B45435" i="1"/>
  <c r="B45436" i="1"/>
  <c r="B45437" i="1"/>
  <c r="B45438" i="1"/>
  <c r="B45439" i="1"/>
  <c r="B45440" i="1"/>
  <c r="B45441" i="1"/>
  <c r="B45442" i="1"/>
  <c r="B45443" i="1"/>
  <c r="B45444" i="1"/>
  <c r="B45445" i="1"/>
  <c r="B45446" i="1"/>
  <c r="B45447" i="1"/>
  <c r="B45448" i="1"/>
  <c r="B45449" i="1"/>
  <c r="B45450" i="1"/>
  <c r="B45451" i="1"/>
  <c r="B45452" i="1"/>
  <c r="B45453" i="1"/>
  <c r="B45454" i="1"/>
  <c r="B45455" i="1"/>
  <c r="B45456" i="1"/>
  <c r="B45457" i="1"/>
  <c r="B45458" i="1"/>
  <c r="B45459" i="1"/>
  <c r="B45460" i="1"/>
  <c r="B45461" i="1"/>
  <c r="B45462" i="1"/>
  <c r="B45463" i="1"/>
  <c r="B45464" i="1"/>
  <c r="B45465" i="1"/>
  <c r="B45466" i="1"/>
  <c r="B45467" i="1"/>
  <c r="B45468" i="1"/>
  <c r="B45469" i="1"/>
  <c r="B45470" i="1"/>
  <c r="B45471" i="1"/>
  <c r="B45472" i="1"/>
  <c r="B45473" i="1"/>
  <c r="B45474" i="1"/>
  <c r="B45475" i="1"/>
  <c r="B45476" i="1"/>
  <c r="B45477" i="1"/>
  <c r="B45478" i="1"/>
  <c r="B45479" i="1"/>
  <c r="B45480" i="1"/>
  <c r="B45481" i="1"/>
  <c r="B45482" i="1"/>
  <c r="B45483" i="1"/>
  <c r="B45484" i="1"/>
  <c r="B45485" i="1"/>
  <c r="B45486" i="1"/>
  <c r="B45487" i="1"/>
  <c r="B45488" i="1"/>
  <c r="B45489" i="1"/>
  <c r="B45490" i="1"/>
  <c r="B45491" i="1"/>
  <c r="B45492" i="1"/>
  <c r="B45493" i="1"/>
  <c r="B45494" i="1"/>
  <c r="B45495" i="1"/>
  <c r="B45496" i="1"/>
  <c r="B45497" i="1"/>
  <c r="B45498" i="1"/>
  <c r="B45499" i="1"/>
  <c r="B45500" i="1"/>
  <c r="B45501" i="1"/>
  <c r="B45502" i="1"/>
  <c r="B45503" i="1"/>
  <c r="B45504" i="1"/>
  <c r="B45505" i="1"/>
  <c r="B45506" i="1"/>
  <c r="B45507" i="1"/>
  <c r="B45508" i="1"/>
  <c r="B45509" i="1"/>
  <c r="B45510" i="1"/>
  <c r="B45511" i="1"/>
  <c r="B45512" i="1"/>
  <c r="B45513" i="1"/>
  <c r="B45514" i="1"/>
  <c r="B45515" i="1"/>
  <c r="B45516" i="1"/>
  <c r="B45517" i="1"/>
  <c r="B45518" i="1"/>
  <c r="B45519" i="1"/>
  <c r="B45520" i="1"/>
  <c r="B45521" i="1"/>
  <c r="B45522" i="1"/>
  <c r="B45523" i="1"/>
  <c r="B45524" i="1"/>
  <c r="B45525" i="1"/>
  <c r="B45526" i="1"/>
  <c r="B45527" i="1"/>
  <c r="B45528" i="1"/>
  <c r="B45529" i="1"/>
  <c r="B45530" i="1"/>
  <c r="B45531" i="1"/>
  <c r="B45532" i="1"/>
  <c r="B45533" i="1"/>
  <c r="B45534" i="1"/>
  <c r="B45535" i="1"/>
  <c r="B45536" i="1"/>
  <c r="B45537" i="1"/>
  <c r="B45538" i="1"/>
  <c r="B45539" i="1"/>
  <c r="B45540" i="1"/>
  <c r="B45541" i="1"/>
  <c r="B45542" i="1"/>
  <c r="B45543" i="1"/>
  <c r="B45544" i="1"/>
  <c r="B45545" i="1"/>
  <c r="B45546" i="1"/>
  <c r="B45547" i="1"/>
  <c r="B45548" i="1"/>
  <c r="B45549" i="1"/>
  <c r="B45550" i="1"/>
  <c r="B45551" i="1"/>
  <c r="B45552" i="1"/>
  <c r="B45553" i="1"/>
  <c r="B45554" i="1"/>
  <c r="B45555" i="1"/>
  <c r="B45556" i="1"/>
  <c r="B45557" i="1"/>
  <c r="B45558" i="1"/>
  <c r="B45559" i="1"/>
  <c r="B45560" i="1"/>
  <c r="B45561" i="1"/>
  <c r="B45562" i="1"/>
  <c r="B45563" i="1"/>
  <c r="B45564" i="1"/>
  <c r="B45565" i="1"/>
  <c r="B45566" i="1"/>
  <c r="B45567" i="1"/>
  <c r="B45568" i="1"/>
  <c r="B45569" i="1"/>
  <c r="B45570" i="1"/>
  <c r="B45571" i="1"/>
  <c r="B45572" i="1"/>
  <c r="B45573" i="1"/>
  <c r="B45574" i="1"/>
  <c r="B45575" i="1"/>
  <c r="B45576" i="1"/>
  <c r="B45577" i="1"/>
  <c r="B45578" i="1"/>
  <c r="B45579" i="1"/>
  <c r="B45580" i="1"/>
  <c r="B45581" i="1"/>
  <c r="B45582" i="1"/>
  <c r="B45583" i="1"/>
  <c r="B45584" i="1"/>
  <c r="B45585" i="1"/>
  <c r="B45586" i="1"/>
  <c r="B45587" i="1"/>
  <c r="B45588" i="1"/>
  <c r="B45589" i="1"/>
  <c r="B45590" i="1"/>
  <c r="B45591" i="1"/>
  <c r="B45592" i="1"/>
  <c r="B45593" i="1"/>
  <c r="B45594" i="1"/>
  <c r="B45595" i="1"/>
  <c r="B45596" i="1"/>
  <c r="B45597" i="1"/>
  <c r="B45598" i="1"/>
  <c r="B45599" i="1"/>
  <c r="B45600" i="1"/>
  <c r="B45601" i="1"/>
  <c r="B45602" i="1"/>
  <c r="B45603" i="1"/>
  <c r="B45604" i="1"/>
  <c r="B45605" i="1"/>
  <c r="B45606" i="1"/>
  <c r="B45607" i="1"/>
  <c r="B45608" i="1"/>
  <c r="B45609" i="1"/>
  <c r="B45610" i="1"/>
  <c r="B45611" i="1"/>
  <c r="B45612" i="1"/>
  <c r="B45613" i="1"/>
  <c r="B45614" i="1"/>
  <c r="B45615" i="1"/>
  <c r="B45616" i="1"/>
  <c r="B45617" i="1"/>
  <c r="B45618" i="1"/>
  <c r="B45619" i="1"/>
  <c r="B45620" i="1"/>
  <c r="B45621" i="1"/>
  <c r="B45622" i="1"/>
  <c r="B45623" i="1"/>
  <c r="B45624" i="1"/>
  <c r="B45625" i="1"/>
  <c r="B45626" i="1"/>
  <c r="B45627" i="1"/>
  <c r="B45628" i="1"/>
  <c r="B45629" i="1"/>
  <c r="B45630" i="1"/>
  <c r="B45631" i="1"/>
  <c r="B45632" i="1"/>
  <c r="B45633" i="1"/>
  <c r="B45634" i="1"/>
  <c r="B45635" i="1"/>
  <c r="B45636" i="1"/>
  <c r="B45637" i="1"/>
  <c r="B45638" i="1"/>
  <c r="B45639" i="1"/>
  <c r="B45640" i="1"/>
  <c r="B45641" i="1"/>
  <c r="B45642" i="1"/>
  <c r="B45643" i="1"/>
  <c r="B45644" i="1"/>
  <c r="B45645" i="1"/>
  <c r="B45646" i="1"/>
  <c r="B45647" i="1"/>
  <c r="B45648" i="1"/>
  <c r="B45649" i="1"/>
  <c r="B45650" i="1"/>
  <c r="B45651" i="1"/>
  <c r="B45652" i="1"/>
  <c r="B45653" i="1"/>
  <c r="B45654" i="1"/>
  <c r="B45655" i="1"/>
  <c r="B45656" i="1"/>
  <c r="B45657" i="1"/>
  <c r="B45658" i="1"/>
  <c r="B45659" i="1"/>
  <c r="B45660" i="1"/>
  <c r="B45661" i="1"/>
  <c r="B45662" i="1"/>
  <c r="B45663" i="1"/>
  <c r="B45664" i="1"/>
  <c r="B45665" i="1"/>
  <c r="B45666" i="1"/>
  <c r="B45667" i="1"/>
  <c r="B45668" i="1"/>
  <c r="B45669" i="1"/>
  <c r="B45670" i="1"/>
  <c r="B45671" i="1"/>
  <c r="B45672" i="1"/>
  <c r="B45673" i="1"/>
  <c r="B45674" i="1"/>
  <c r="B45675" i="1"/>
  <c r="B45676" i="1"/>
  <c r="B45677" i="1"/>
  <c r="B45678" i="1"/>
  <c r="B45679" i="1"/>
  <c r="B45680" i="1"/>
  <c r="B45681" i="1"/>
  <c r="B45682" i="1"/>
  <c r="B45683" i="1"/>
  <c r="B45684" i="1"/>
  <c r="B45685" i="1"/>
  <c r="B45686" i="1"/>
  <c r="B45687" i="1"/>
  <c r="B45688" i="1"/>
  <c r="B45689" i="1"/>
  <c r="B45690" i="1"/>
  <c r="B45691" i="1"/>
  <c r="B45692" i="1"/>
  <c r="B45693" i="1"/>
  <c r="B45694" i="1"/>
  <c r="B45695" i="1"/>
  <c r="B45696" i="1"/>
  <c r="B45697" i="1"/>
  <c r="B45698" i="1"/>
  <c r="B45699" i="1"/>
  <c r="B45700" i="1"/>
  <c r="B45701" i="1"/>
  <c r="B45702" i="1"/>
  <c r="B45703" i="1"/>
  <c r="B45704" i="1"/>
  <c r="B45705" i="1"/>
  <c r="B45706" i="1"/>
  <c r="B45707" i="1"/>
  <c r="B45708" i="1"/>
  <c r="B45709" i="1"/>
  <c r="B45710" i="1"/>
  <c r="B45711" i="1"/>
  <c r="B45712" i="1"/>
  <c r="B45713" i="1"/>
  <c r="B45714" i="1"/>
  <c r="B45715" i="1"/>
  <c r="B45716" i="1"/>
  <c r="B45717" i="1"/>
  <c r="B45718" i="1"/>
  <c r="B45719" i="1"/>
  <c r="B45720" i="1"/>
  <c r="B45721" i="1"/>
  <c r="B45722" i="1"/>
  <c r="B45723" i="1"/>
  <c r="B45724" i="1"/>
  <c r="B45725" i="1"/>
  <c r="B45726" i="1"/>
  <c r="B45727" i="1"/>
  <c r="B45728" i="1"/>
  <c r="B45729" i="1"/>
  <c r="B45730" i="1"/>
  <c r="B45731" i="1"/>
  <c r="B45732" i="1"/>
  <c r="B45733" i="1"/>
  <c r="B45734" i="1"/>
  <c r="B45735" i="1"/>
  <c r="B45736" i="1"/>
  <c r="B45737" i="1"/>
  <c r="B45738" i="1"/>
  <c r="B45739" i="1"/>
  <c r="B45740" i="1"/>
  <c r="B45741" i="1"/>
  <c r="B45742" i="1"/>
  <c r="B45743" i="1"/>
  <c r="B45744" i="1"/>
  <c r="B45745" i="1"/>
  <c r="B45746" i="1"/>
  <c r="B45747" i="1"/>
  <c r="B45748" i="1"/>
  <c r="B45749" i="1"/>
  <c r="B45750" i="1"/>
  <c r="B45751" i="1"/>
  <c r="B45752" i="1"/>
  <c r="B45753" i="1"/>
  <c r="B45754" i="1"/>
  <c r="B45755" i="1"/>
  <c r="B45756" i="1"/>
  <c r="B45757" i="1"/>
  <c r="B45758" i="1"/>
  <c r="B45759" i="1"/>
  <c r="B45760" i="1"/>
  <c r="B45761" i="1"/>
  <c r="B45762" i="1"/>
  <c r="B45763" i="1"/>
  <c r="B45764" i="1"/>
  <c r="B45765" i="1"/>
  <c r="B45766" i="1"/>
  <c r="B45767" i="1"/>
  <c r="B45768" i="1"/>
  <c r="B45769" i="1"/>
  <c r="B45770" i="1"/>
  <c r="B45771" i="1"/>
  <c r="B45772" i="1"/>
  <c r="B45773" i="1"/>
  <c r="B45774" i="1"/>
  <c r="B45775" i="1"/>
  <c r="B45776" i="1"/>
  <c r="B45777" i="1"/>
  <c r="B45778" i="1"/>
  <c r="B45779" i="1"/>
  <c r="B45780" i="1"/>
  <c r="B45781" i="1"/>
  <c r="B45782" i="1"/>
  <c r="B45783" i="1"/>
  <c r="B45784" i="1"/>
  <c r="B45785" i="1"/>
  <c r="B45786" i="1"/>
  <c r="B45787" i="1"/>
  <c r="B45788" i="1"/>
  <c r="B45789" i="1"/>
  <c r="B45790" i="1"/>
  <c r="B45791" i="1"/>
  <c r="B45792" i="1"/>
  <c r="B45793" i="1"/>
  <c r="B45794" i="1"/>
  <c r="B45795" i="1"/>
  <c r="B45796" i="1"/>
  <c r="B45797" i="1"/>
  <c r="B45798" i="1"/>
  <c r="B45799" i="1"/>
  <c r="B45800" i="1"/>
  <c r="B45801" i="1"/>
  <c r="B45802" i="1"/>
  <c r="B45803" i="1"/>
  <c r="B45804" i="1"/>
  <c r="B45805" i="1"/>
  <c r="B45806" i="1"/>
  <c r="B45807" i="1"/>
  <c r="B45808" i="1"/>
  <c r="B45809" i="1"/>
  <c r="B45810" i="1"/>
  <c r="B45811" i="1"/>
  <c r="B45812" i="1"/>
  <c r="B45813" i="1"/>
  <c r="B45814" i="1"/>
  <c r="B45815" i="1"/>
  <c r="B45816" i="1"/>
  <c r="B45817" i="1"/>
  <c r="B45818" i="1"/>
  <c r="B45819" i="1"/>
  <c r="B45820" i="1"/>
  <c r="B45821" i="1"/>
  <c r="B45822" i="1"/>
  <c r="B45823" i="1"/>
  <c r="B45824" i="1"/>
  <c r="B45825" i="1"/>
  <c r="B45826" i="1"/>
  <c r="B45827" i="1"/>
  <c r="B45828" i="1"/>
  <c r="B45829" i="1"/>
  <c r="B45830" i="1"/>
  <c r="B45831" i="1"/>
  <c r="B45832" i="1"/>
  <c r="B45833" i="1"/>
  <c r="B45834" i="1"/>
  <c r="B45835" i="1"/>
  <c r="B45836" i="1"/>
  <c r="B45837" i="1"/>
  <c r="B45838" i="1"/>
  <c r="B45839" i="1"/>
  <c r="B45840" i="1"/>
  <c r="B45841" i="1"/>
  <c r="B45842" i="1"/>
  <c r="B45843" i="1"/>
  <c r="B45844" i="1"/>
  <c r="B45845" i="1"/>
  <c r="B45846" i="1"/>
  <c r="B45847" i="1"/>
  <c r="B45848" i="1"/>
  <c r="B45849" i="1"/>
  <c r="B45850" i="1"/>
  <c r="B45851" i="1"/>
  <c r="B45852" i="1"/>
  <c r="B45853" i="1"/>
  <c r="B45854" i="1"/>
  <c r="B45855" i="1"/>
  <c r="B45856" i="1"/>
  <c r="B45857" i="1"/>
  <c r="B45858" i="1"/>
  <c r="B45859" i="1"/>
  <c r="B45860" i="1"/>
  <c r="B45861" i="1"/>
  <c r="B45862" i="1"/>
  <c r="B45863" i="1"/>
  <c r="B45864" i="1"/>
  <c r="B45865" i="1"/>
  <c r="B45866" i="1"/>
  <c r="B45867" i="1"/>
  <c r="B45868" i="1"/>
  <c r="B45869" i="1"/>
  <c r="B45870" i="1"/>
  <c r="B45871" i="1"/>
  <c r="B45872" i="1"/>
  <c r="B45873" i="1"/>
  <c r="B45874" i="1"/>
  <c r="B45875" i="1"/>
  <c r="B45876" i="1"/>
  <c r="B45877" i="1"/>
  <c r="B45878" i="1"/>
  <c r="B45879" i="1"/>
  <c r="B45880" i="1"/>
  <c r="B45881" i="1"/>
  <c r="B45882" i="1"/>
  <c r="B45883" i="1"/>
  <c r="B45884" i="1"/>
  <c r="B45885" i="1"/>
  <c r="B45886" i="1"/>
  <c r="B45887" i="1"/>
  <c r="B45888" i="1"/>
  <c r="B45889" i="1"/>
  <c r="B45890" i="1"/>
  <c r="B45891" i="1"/>
  <c r="B45892" i="1"/>
  <c r="B45893" i="1"/>
  <c r="B45894" i="1"/>
  <c r="B45895" i="1"/>
  <c r="B45896" i="1"/>
  <c r="B45897" i="1"/>
  <c r="B45898" i="1"/>
  <c r="B45899" i="1"/>
  <c r="B45900" i="1"/>
  <c r="B45901" i="1"/>
  <c r="B45902" i="1"/>
  <c r="B45903" i="1"/>
  <c r="B45904" i="1"/>
  <c r="B45905" i="1"/>
  <c r="B45906" i="1"/>
  <c r="B45907" i="1"/>
  <c r="B45908" i="1"/>
  <c r="B45909" i="1"/>
  <c r="B45910" i="1"/>
  <c r="B45911" i="1"/>
  <c r="B45912" i="1"/>
  <c r="B45913" i="1"/>
  <c r="B45914" i="1"/>
  <c r="B45915" i="1"/>
  <c r="B45916" i="1"/>
  <c r="B45917" i="1"/>
  <c r="B45918" i="1"/>
  <c r="B45919" i="1"/>
  <c r="B45920" i="1"/>
  <c r="B45921" i="1"/>
  <c r="B45922" i="1"/>
  <c r="B45923" i="1"/>
  <c r="B45924" i="1"/>
  <c r="B45925" i="1"/>
  <c r="B45926" i="1"/>
  <c r="B45927" i="1"/>
  <c r="B45928" i="1"/>
  <c r="B45929" i="1"/>
  <c r="B45930" i="1"/>
  <c r="B45931" i="1"/>
  <c r="B45932" i="1"/>
  <c r="B45933" i="1"/>
  <c r="B45934" i="1"/>
  <c r="B45935" i="1"/>
  <c r="B45936" i="1"/>
  <c r="B45937" i="1"/>
  <c r="B45938" i="1"/>
  <c r="B45939" i="1"/>
  <c r="B45940" i="1"/>
  <c r="B45941" i="1"/>
  <c r="B45942" i="1"/>
  <c r="B45943" i="1"/>
  <c r="B45944" i="1"/>
  <c r="B45945" i="1"/>
  <c r="B45946" i="1"/>
  <c r="B45947" i="1"/>
  <c r="B45948" i="1"/>
  <c r="B45949" i="1"/>
  <c r="B45950" i="1"/>
  <c r="B45951" i="1"/>
  <c r="B45952" i="1"/>
  <c r="B45953" i="1"/>
  <c r="B45954" i="1"/>
  <c r="B45955" i="1"/>
  <c r="B45956" i="1"/>
  <c r="B45957" i="1"/>
  <c r="B45958" i="1"/>
  <c r="B45959" i="1"/>
  <c r="B45960" i="1"/>
  <c r="B45961" i="1"/>
  <c r="B45962" i="1"/>
  <c r="B45963" i="1"/>
  <c r="B45964" i="1"/>
  <c r="B45965" i="1"/>
  <c r="B45966" i="1"/>
  <c r="B45967" i="1"/>
  <c r="B45968" i="1"/>
  <c r="B45969" i="1"/>
  <c r="B45970" i="1"/>
  <c r="B45971" i="1"/>
  <c r="B45972" i="1"/>
  <c r="B45973" i="1"/>
  <c r="B45974" i="1"/>
  <c r="B45975" i="1"/>
  <c r="B45976" i="1"/>
  <c r="B45977" i="1"/>
  <c r="B45978" i="1"/>
  <c r="B45979" i="1"/>
  <c r="B45980" i="1"/>
  <c r="B45981" i="1"/>
  <c r="B45982" i="1"/>
  <c r="B45983" i="1"/>
  <c r="B45984" i="1"/>
  <c r="B45985" i="1"/>
  <c r="B45986" i="1"/>
  <c r="B45987" i="1"/>
  <c r="B45988" i="1"/>
  <c r="B45989" i="1"/>
  <c r="B45990" i="1"/>
  <c r="B45991" i="1"/>
  <c r="B45992" i="1"/>
  <c r="B45993" i="1"/>
  <c r="B45994" i="1"/>
  <c r="B45995" i="1"/>
  <c r="B45996" i="1"/>
  <c r="B45997" i="1"/>
  <c r="B45998" i="1"/>
  <c r="B45999" i="1"/>
  <c r="B46000" i="1"/>
  <c r="B46001" i="1"/>
  <c r="B46002" i="1"/>
  <c r="B46003" i="1"/>
  <c r="B46004" i="1"/>
  <c r="B46005" i="1"/>
  <c r="B46006" i="1"/>
  <c r="B46007" i="1"/>
  <c r="B46008" i="1"/>
  <c r="B46009" i="1"/>
  <c r="B46010" i="1"/>
  <c r="B46011" i="1"/>
  <c r="B46012" i="1"/>
  <c r="B46013" i="1"/>
  <c r="B46014" i="1"/>
  <c r="B46015" i="1"/>
  <c r="B46016" i="1"/>
  <c r="B46017" i="1"/>
  <c r="B46018" i="1"/>
  <c r="B46019" i="1"/>
  <c r="B46020" i="1"/>
  <c r="B46021" i="1"/>
  <c r="B46022" i="1"/>
  <c r="B46023" i="1"/>
  <c r="B46024" i="1"/>
  <c r="B46025" i="1"/>
  <c r="B46026" i="1"/>
  <c r="B46027" i="1"/>
  <c r="B46028" i="1"/>
  <c r="B46029" i="1"/>
  <c r="B46030" i="1"/>
  <c r="B46031" i="1"/>
  <c r="B46032" i="1"/>
  <c r="B46033" i="1"/>
  <c r="B46034" i="1"/>
  <c r="B46035" i="1"/>
  <c r="B46036" i="1"/>
  <c r="B46037" i="1"/>
  <c r="B46038" i="1"/>
  <c r="B46039" i="1"/>
  <c r="B46040" i="1"/>
  <c r="B46041" i="1"/>
  <c r="B46042" i="1"/>
  <c r="B46043" i="1"/>
  <c r="B46044" i="1"/>
  <c r="B46045" i="1"/>
  <c r="B46046" i="1"/>
  <c r="B46047" i="1"/>
  <c r="B46048" i="1"/>
  <c r="B46049" i="1"/>
  <c r="B46050" i="1"/>
  <c r="B46051" i="1"/>
  <c r="B46052" i="1"/>
  <c r="B46053" i="1"/>
  <c r="B46054" i="1"/>
  <c r="B46055" i="1"/>
  <c r="B46056" i="1"/>
  <c r="B46057" i="1"/>
  <c r="B46058" i="1"/>
  <c r="B46059" i="1"/>
  <c r="B46060" i="1"/>
  <c r="B46061" i="1"/>
  <c r="B46062" i="1"/>
  <c r="B46063" i="1"/>
  <c r="B46064" i="1"/>
  <c r="B46065" i="1"/>
  <c r="B46066" i="1"/>
  <c r="B46067" i="1"/>
  <c r="B46068" i="1"/>
  <c r="B46069" i="1"/>
  <c r="B46070" i="1"/>
  <c r="B46071" i="1"/>
  <c r="B46072" i="1"/>
  <c r="B46073" i="1"/>
  <c r="B46074" i="1"/>
  <c r="B46075" i="1"/>
  <c r="B46076" i="1"/>
  <c r="B46077" i="1"/>
  <c r="B46078" i="1"/>
  <c r="B46079" i="1"/>
  <c r="B46080" i="1"/>
  <c r="B46081" i="1"/>
  <c r="B46082" i="1"/>
  <c r="B46083" i="1"/>
  <c r="B46084" i="1"/>
  <c r="B46085" i="1"/>
  <c r="B46086" i="1"/>
  <c r="B46087" i="1"/>
  <c r="B46088" i="1"/>
  <c r="B46089" i="1"/>
  <c r="B46090" i="1"/>
  <c r="B46091" i="1"/>
  <c r="B46092" i="1"/>
  <c r="B46093" i="1"/>
  <c r="B46094" i="1"/>
  <c r="B46095" i="1"/>
  <c r="B46096" i="1"/>
  <c r="B46097" i="1"/>
  <c r="B46098" i="1"/>
  <c r="B46099" i="1"/>
  <c r="B46100" i="1"/>
  <c r="B46101" i="1"/>
  <c r="B46102" i="1"/>
  <c r="B46103" i="1"/>
  <c r="B46104" i="1"/>
  <c r="B46105" i="1"/>
  <c r="B46106" i="1"/>
  <c r="B46107" i="1"/>
  <c r="B46108" i="1"/>
  <c r="B46109" i="1"/>
  <c r="B46110" i="1"/>
  <c r="B46111" i="1"/>
  <c r="B46112" i="1"/>
  <c r="B46113" i="1"/>
  <c r="B46114" i="1"/>
  <c r="B46115" i="1"/>
  <c r="B46116" i="1"/>
  <c r="B46117" i="1"/>
  <c r="B46118" i="1"/>
  <c r="B46119" i="1"/>
  <c r="B46120" i="1"/>
  <c r="B46121" i="1"/>
  <c r="B46122" i="1"/>
  <c r="B46123" i="1"/>
  <c r="B46124" i="1"/>
  <c r="B46125" i="1"/>
  <c r="B46126" i="1"/>
  <c r="B46127" i="1"/>
  <c r="B46128" i="1"/>
  <c r="B46129" i="1"/>
  <c r="B46130" i="1"/>
  <c r="B46131" i="1"/>
  <c r="B46132" i="1"/>
  <c r="B46133" i="1"/>
  <c r="B46134" i="1"/>
  <c r="B46135" i="1"/>
  <c r="B46136" i="1"/>
  <c r="B46137" i="1"/>
  <c r="B46138" i="1"/>
  <c r="B46139" i="1"/>
  <c r="B46140" i="1"/>
  <c r="B46141" i="1"/>
  <c r="B46142" i="1"/>
  <c r="B46143" i="1"/>
  <c r="B46144" i="1"/>
  <c r="B46145" i="1"/>
  <c r="B46146" i="1"/>
  <c r="B46147" i="1"/>
  <c r="B46148" i="1"/>
  <c r="B46149" i="1"/>
  <c r="B46150" i="1"/>
  <c r="B46151" i="1"/>
  <c r="B46152" i="1"/>
  <c r="B46153" i="1"/>
  <c r="B46154" i="1"/>
  <c r="B46155" i="1"/>
  <c r="B46156" i="1"/>
  <c r="B46157" i="1"/>
  <c r="B46158" i="1"/>
  <c r="B46159" i="1"/>
  <c r="B46160" i="1"/>
  <c r="B46161" i="1"/>
  <c r="B46162" i="1"/>
  <c r="B46163" i="1"/>
  <c r="B46164" i="1"/>
  <c r="B46165" i="1"/>
  <c r="B46166" i="1"/>
  <c r="B46167" i="1"/>
  <c r="B46168" i="1"/>
  <c r="B46169" i="1"/>
  <c r="B46170" i="1"/>
  <c r="B46171" i="1"/>
  <c r="B46172" i="1"/>
  <c r="B46173" i="1"/>
  <c r="B46174" i="1"/>
  <c r="B46175" i="1"/>
  <c r="B46176" i="1"/>
  <c r="B46177" i="1"/>
  <c r="B46178" i="1"/>
  <c r="B46179" i="1"/>
  <c r="B46180" i="1"/>
  <c r="B46181" i="1"/>
  <c r="B46182" i="1"/>
  <c r="B46183" i="1"/>
  <c r="B46184" i="1"/>
  <c r="B46185" i="1"/>
  <c r="B46186" i="1"/>
  <c r="B46187" i="1"/>
  <c r="B46188" i="1"/>
  <c r="B46189" i="1"/>
  <c r="B46190" i="1"/>
  <c r="B46191" i="1"/>
  <c r="B46192" i="1"/>
  <c r="B46193" i="1"/>
  <c r="B46194" i="1"/>
  <c r="B46195" i="1"/>
  <c r="B46196" i="1"/>
  <c r="B46197" i="1"/>
  <c r="B46198" i="1"/>
  <c r="B46199" i="1"/>
  <c r="B46200" i="1"/>
  <c r="B46201" i="1"/>
  <c r="B46202" i="1"/>
  <c r="B46203" i="1"/>
  <c r="B46204" i="1"/>
  <c r="B46205" i="1"/>
  <c r="B46206" i="1"/>
  <c r="B46207" i="1"/>
  <c r="B46208" i="1"/>
  <c r="B46209" i="1"/>
  <c r="B46210" i="1"/>
  <c r="B46211" i="1"/>
  <c r="B46212" i="1"/>
  <c r="B46213" i="1"/>
  <c r="B46214" i="1"/>
  <c r="B46215" i="1"/>
  <c r="B46216" i="1"/>
  <c r="B46217" i="1"/>
  <c r="B46218" i="1"/>
  <c r="B46219" i="1"/>
  <c r="B46220" i="1"/>
  <c r="B46221" i="1"/>
  <c r="B46222" i="1"/>
  <c r="B46223" i="1"/>
  <c r="B46224" i="1"/>
  <c r="B46225" i="1"/>
  <c r="B46226" i="1"/>
  <c r="B46227" i="1"/>
  <c r="B46228" i="1"/>
  <c r="B46229" i="1"/>
  <c r="B46230" i="1"/>
  <c r="B46231" i="1"/>
  <c r="B46232" i="1"/>
  <c r="B46233" i="1"/>
  <c r="B46234" i="1"/>
  <c r="B46235" i="1"/>
  <c r="B46236" i="1"/>
  <c r="B46237" i="1"/>
  <c r="B46238" i="1"/>
  <c r="B46239" i="1"/>
  <c r="B46240" i="1"/>
  <c r="B46241" i="1"/>
  <c r="B46242" i="1"/>
  <c r="B46243" i="1"/>
  <c r="B46244" i="1"/>
  <c r="B46245" i="1"/>
  <c r="B46246" i="1"/>
  <c r="B46247" i="1"/>
  <c r="B46248" i="1"/>
  <c r="B46249" i="1"/>
  <c r="B46250" i="1"/>
  <c r="B46251" i="1"/>
  <c r="B46252" i="1"/>
  <c r="B46253" i="1"/>
  <c r="B46254" i="1"/>
  <c r="B46255" i="1"/>
  <c r="B46256" i="1"/>
  <c r="B46257" i="1"/>
  <c r="B46258" i="1"/>
  <c r="B46259" i="1"/>
  <c r="B46260" i="1"/>
  <c r="B46261" i="1"/>
  <c r="B46262" i="1"/>
  <c r="B46263" i="1"/>
  <c r="B46264" i="1"/>
  <c r="B46265" i="1"/>
  <c r="B46266" i="1"/>
  <c r="B46267" i="1"/>
  <c r="B46268" i="1"/>
  <c r="B46269" i="1"/>
  <c r="B46270" i="1"/>
  <c r="B46271" i="1"/>
  <c r="B46272" i="1"/>
  <c r="B46273" i="1"/>
  <c r="B46274" i="1"/>
  <c r="B46275" i="1"/>
  <c r="B46276" i="1"/>
  <c r="B46277" i="1"/>
  <c r="B46278" i="1"/>
  <c r="B46279" i="1"/>
  <c r="B46280" i="1"/>
  <c r="B46281" i="1"/>
  <c r="B46282" i="1"/>
  <c r="B46283" i="1"/>
  <c r="B46284" i="1"/>
  <c r="B46285" i="1"/>
  <c r="B46286" i="1"/>
  <c r="B46287" i="1"/>
  <c r="B46288" i="1"/>
  <c r="B46289" i="1"/>
  <c r="B46290" i="1"/>
  <c r="B46291" i="1"/>
  <c r="B46292" i="1"/>
  <c r="B46293" i="1"/>
  <c r="B46294" i="1"/>
  <c r="B46295" i="1"/>
  <c r="B46296" i="1"/>
  <c r="B46297" i="1"/>
  <c r="B46298" i="1"/>
  <c r="B46299" i="1"/>
  <c r="B46300" i="1"/>
  <c r="B46301" i="1"/>
  <c r="B46302" i="1"/>
  <c r="B46303" i="1"/>
  <c r="B46304" i="1"/>
  <c r="B46305" i="1"/>
  <c r="B46306" i="1"/>
  <c r="B46307" i="1"/>
  <c r="B46308" i="1"/>
  <c r="B46309" i="1"/>
  <c r="B46310" i="1"/>
  <c r="B46311" i="1"/>
  <c r="B46312" i="1"/>
  <c r="B46313" i="1"/>
  <c r="B46314" i="1"/>
  <c r="B46315" i="1"/>
  <c r="B46316" i="1"/>
  <c r="B46317" i="1"/>
  <c r="B46318" i="1"/>
  <c r="B46319" i="1"/>
  <c r="B46320" i="1"/>
  <c r="B46321" i="1"/>
  <c r="B46322" i="1"/>
  <c r="B46323" i="1"/>
  <c r="B46324" i="1"/>
  <c r="B46325" i="1"/>
  <c r="B46326" i="1"/>
  <c r="B46327" i="1"/>
  <c r="B46328" i="1"/>
  <c r="B46329" i="1"/>
  <c r="B46330" i="1"/>
  <c r="B46331" i="1"/>
  <c r="B46332" i="1"/>
  <c r="B46333" i="1"/>
  <c r="B46334" i="1"/>
  <c r="B46335" i="1"/>
  <c r="B46336" i="1"/>
  <c r="B46337" i="1"/>
  <c r="B46338" i="1"/>
  <c r="B46339" i="1"/>
  <c r="B46340" i="1"/>
  <c r="B46341" i="1"/>
  <c r="B46342" i="1"/>
  <c r="B46343" i="1"/>
  <c r="B46344" i="1"/>
  <c r="B46345" i="1"/>
  <c r="B46346" i="1"/>
  <c r="B46347" i="1"/>
  <c r="B46348" i="1"/>
  <c r="B46349" i="1"/>
  <c r="B46350" i="1"/>
  <c r="B46351" i="1"/>
  <c r="B46352" i="1"/>
  <c r="B46353" i="1"/>
  <c r="B46354" i="1"/>
  <c r="B46355" i="1"/>
  <c r="B46356" i="1"/>
  <c r="B46357" i="1"/>
  <c r="B46358" i="1"/>
  <c r="B46359" i="1"/>
  <c r="B46360" i="1"/>
  <c r="B46361" i="1"/>
  <c r="B46362" i="1"/>
  <c r="B46363" i="1"/>
  <c r="B46364" i="1"/>
  <c r="B46365" i="1"/>
  <c r="B46366" i="1"/>
  <c r="B46367" i="1"/>
  <c r="B46368" i="1"/>
  <c r="B46369" i="1"/>
  <c r="B46370" i="1"/>
  <c r="B46371" i="1"/>
  <c r="B46372" i="1"/>
  <c r="B46373" i="1"/>
  <c r="B46374" i="1"/>
  <c r="B46375" i="1"/>
  <c r="B46376" i="1"/>
  <c r="B46377" i="1"/>
  <c r="B46378" i="1"/>
  <c r="B46379" i="1"/>
  <c r="B46380" i="1"/>
  <c r="B46381" i="1"/>
  <c r="B46382" i="1"/>
  <c r="B46383" i="1"/>
  <c r="B46384" i="1"/>
  <c r="B46385" i="1"/>
  <c r="B46386" i="1"/>
  <c r="B46387" i="1"/>
  <c r="B46388" i="1"/>
  <c r="B46389" i="1"/>
  <c r="B46390" i="1"/>
  <c r="B46391" i="1"/>
  <c r="B46392" i="1"/>
  <c r="B46393" i="1"/>
  <c r="B46394" i="1"/>
  <c r="B46395" i="1"/>
  <c r="B46396" i="1"/>
  <c r="B46397" i="1"/>
  <c r="B46398" i="1"/>
  <c r="B46399" i="1"/>
  <c r="B46400" i="1"/>
  <c r="B46401" i="1"/>
  <c r="B46402" i="1"/>
  <c r="B46403" i="1"/>
  <c r="B46404" i="1"/>
  <c r="B46405" i="1"/>
  <c r="B46406" i="1"/>
  <c r="B46407" i="1"/>
  <c r="B46408" i="1"/>
  <c r="B46409" i="1"/>
  <c r="B46410" i="1"/>
  <c r="B46411" i="1"/>
  <c r="B46412" i="1"/>
  <c r="B46413" i="1"/>
  <c r="B46414" i="1"/>
  <c r="B46415" i="1"/>
  <c r="B46416" i="1"/>
  <c r="B46417" i="1"/>
  <c r="B46418" i="1"/>
  <c r="B46419" i="1"/>
  <c r="B46420" i="1"/>
  <c r="B46421" i="1"/>
  <c r="B46422" i="1"/>
  <c r="B46423" i="1"/>
  <c r="B46424" i="1"/>
  <c r="B46425" i="1"/>
  <c r="B46426" i="1"/>
  <c r="B46427" i="1"/>
  <c r="B46428" i="1"/>
  <c r="B46429" i="1"/>
  <c r="B46430" i="1"/>
  <c r="B46431" i="1"/>
  <c r="B46432" i="1"/>
  <c r="B46433" i="1"/>
  <c r="B46434" i="1"/>
  <c r="B46435" i="1"/>
  <c r="B46436" i="1"/>
  <c r="B46437" i="1"/>
  <c r="B46438" i="1"/>
  <c r="B46439" i="1"/>
  <c r="B46440" i="1"/>
  <c r="B46441" i="1"/>
  <c r="B46442" i="1"/>
  <c r="B46443" i="1"/>
  <c r="B46444" i="1"/>
  <c r="B46445" i="1"/>
  <c r="B46446" i="1"/>
  <c r="B46447" i="1"/>
  <c r="B46448" i="1"/>
  <c r="B46449" i="1"/>
  <c r="B46450" i="1"/>
  <c r="B46451" i="1"/>
  <c r="B46452" i="1"/>
  <c r="B46453" i="1"/>
  <c r="B46454" i="1"/>
  <c r="B46455" i="1"/>
  <c r="B46456" i="1"/>
  <c r="B46457" i="1"/>
  <c r="B46458" i="1"/>
  <c r="B46459" i="1"/>
  <c r="B46460" i="1"/>
  <c r="B46461" i="1"/>
  <c r="B46462" i="1"/>
  <c r="B46463" i="1"/>
  <c r="B46464" i="1"/>
  <c r="B46465" i="1"/>
  <c r="B46466" i="1"/>
  <c r="B46467" i="1"/>
  <c r="B46468" i="1"/>
  <c r="B46469" i="1"/>
  <c r="B46470" i="1"/>
  <c r="B46471" i="1"/>
  <c r="B46472" i="1"/>
  <c r="B46473" i="1"/>
  <c r="B46474" i="1"/>
  <c r="B46475" i="1"/>
  <c r="B46476" i="1"/>
  <c r="B46477" i="1"/>
  <c r="B46478" i="1"/>
  <c r="B46479" i="1"/>
  <c r="B46480" i="1"/>
  <c r="B46481" i="1"/>
  <c r="B46482" i="1"/>
  <c r="B46483" i="1"/>
  <c r="B46484" i="1"/>
  <c r="B46485" i="1"/>
  <c r="B46486" i="1"/>
  <c r="B46487" i="1"/>
  <c r="B46488" i="1"/>
  <c r="B46489" i="1"/>
  <c r="B46490" i="1"/>
  <c r="B46491" i="1"/>
  <c r="B46492" i="1"/>
  <c r="B46493" i="1"/>
  <c r="B46494" i="1"/>
  <c r="B46495" i="1"/>
  <c r="B46496" i="1"/>
  <c r="B46497" i="1"/>
  <c r="B46498" i="1"/>
  <c r="B46499" i="1"/>
  <c r="B46500" i="1"/>
  <c r="B46501" i="1"/>
  <c r="B46502" i="1"/>
  <c r="B46503" i="1"/>
  <c r="B46504" i="1"/>
  <c r="B46505" i="1"/>
  <c r="B46506" i="1"/>
  <c r="B46507" i="1"/>
  <c r="B46508" i="1"/>
  <c r="B46509" i="1"/>
  <c r="B46510" i="1"/>
  <c r="B46511" i="1"/>
  <c r="B46512" i="1"/>
  <c r="B46513" i="1"/>
  <c r="B46514" i="1"/>
  <c r="B46515" i="1"/>
  <c r="B46516" i="1"/>
  <c r="B46517" i="1"/>
  <c r="B46518" i="1"/>
  <c r="B46519" i="1"/>
  <c r="B46520" i="1"/>
  <c r="B46521" i="1"/>
  <c r="B46522" i="1"/>
  <c r="B46523" i="1"/>
  <c r="B46524" i="1"/>
  <c r="B46525" i="1"/>
  <c r="B46526" i="1"/>
  <c r="B46527" i="1"/>
  <c r="B46528" i="1"/>
  <c r="B46529" i="1"/>
  <c r="B46530" i="1"/>
  <c r="B46531" i="1"/>
  <c r="B46532" i="1"/>
  <c r="B46533" i="1"/>
  <c r="B46534" i="1"/>
  <c r="B46535" i="1"/>
  <c r="B46536" i="1"/>
  <c r="B46537" i="1"/>
  <c r="B46538" i="1"/>
  <c r="B46539" i="1"/>
  <c r="B46540" i="1"/>
  <c r="B46541" i="1"/>
  <c r="B46542" i="1"/>
  <c r="B46543" i="1"/>
  <c r="B46544" i="1"/>
  <c r="B46545" i="1"/>
  <c r="B46546" i="1"/>
  <c r="B46547" i="1"/>
  <c r="B46548" i="1"/>
  <c r="B46549" i="1"/>
  <c r="B46550" i="1"/>
  <c r="B46551" i="1"/>
  <c r="B46552" i="1"/>
  <c r="B46553" i="1"/>
  <c r="B46554" i="1"/>
  <c r="B46555" i="1"/>
  <c r="B46556" i="1"/>
  <c r="B46557" i="1"/>
  <c r="B46558" i="1"/>
  <c r="B46559" i="1"/>
  <c r="B46560" i="1"/>
  <c r="B46561" i="1"/>
  <c r="B46562" i="1"/>
  <c r="B46563" i="1"/>
  <c r="B46564" i="1"/>
  <c r="B46565" i="1"/>
  <c r="B46566" i="1"/>
  <c r="B46567" i="1"/>
  <c r="B46568" i="1"/>
  <c r="B46569" i="1"/>
  <c r="B46570" i="1"/>
  <c r="B46571" i="1"/>
  <c r="B46572" i="1"/>
  <c r="B46573" i="1"/>
  <c r="B46574" i="1"/>
  <c r="B46575" i="1"/>
  <c r="B46576" i="1"/>
  <c r="B46577" i="1"/>
  <c r="B46578" i="1"/>
  <c r="B46579" i="1"/>
  <c r="B46580" i="1"/>
  <c r="B46581" i="1"/>
  <c r="B46582" i="1"/>
  <c r="B46583" i="1"/>
  <c r="B46584" i="1"/>
  <c r="B46585" i="1"/>
  <c r="B46586" i="1"/>
  <c r="B46587" i="1"/>
  <c r="B46588" i="1"/>
  <c r="B46589" i="1"/>
  <c r="B46590" i="1"/>
  <c r="B46591" i="1"/>
  <c r="B46592" i="1"/>
  <c r="B46593" i="1"/>
  <c r="B46594" i="1"/>
  <c r="B46595" i="1"/>
  <c r="B46596" i="1"/>
  <c r="B46597" i="1"/>
  <c r="B46598" i="1"/>
  <c r="B46599" i="1"/>
  <c r="B46600" i="1"/>
  <c r="B46601" i="1"/>
  <c r="B46602" i="1"/>
  <c r="B46603" i="1"/>
  <c r="B46604" i="1"/>
  <c r="B46605" i="1"/>
  <c r="B46606" i="1"/>
  <c r="B46607" i="1"/>
  <c r="B46608" i="1"/>
  <c r="B46609" i="1"/>
  <c r="B46610" i="1"/>
  <c r="B46611" i="1"/>
  <c r="B46612" i="1"/>
  <c r="B46613" i="1"/>
  <c r="B46614" i="1"/>
  <c r="B46615" i="1"/>
  <c r="B46616" i="1"/>
  <c r="B46617" i="1"/>
  <c r="B46618" i="1"/>
  <c r="B46619" i="1"/>
  <c r="B46620" i="1"/>
  <c r="B46621" i="1"/>
  <c r="B46622" i="1"/>
  <c r="B46623" i="1"/>
  <c r="B46624" i="1"/>
  <c r="B46625" i="1"/>
  <c r="B46626" i="1"/>
  <c r="B46627" i="1"/>
  <c r="B46628" i="1"/>
  <c r="B46629" i="1"/>
  <c r="B46630" i="1"/>
  <c r="B46631" i="1"/>
  <c r="B46632" i="1"/>
  <c r="B46633" i="1"/>
  <c r="B46634" i="1"/>
  <c r="B46635" i="1"/>
  <c r="B46636" i="1"/>
  <c r="B46637" i="1"/>
  <c r="B46638" i="1"/>
  <c r="B46639" i="1"/>
  <c r="B46640" i="1"/>
  <c r="B46641" i="1"/>
  <c r="B46642" i="1"/>
  <c r="B46643" i="1"/>
  <c r="B46644" i="1"/>
  <c r="B46645" i="1"/>
  <c r="B46646" i="1"/>
  <c r="B46647" i="1"/>
  <c r="B46648" i="1"/>
  <c r="B46649" i="1"/>
  <c r="B46650" i="1"/>
  <c r="B46651" i="1"/>
  <c r="B46652" i="1"/>
  <c r="B46653" i="1"/>
  <c r="B46654" i="1"/>
  <c r="B46655" i="1"/>
  <c r="B46656" i="1"/>
  <c r="B46657" i="1"/>
  <c r="B46658" i="1"/>
  <c r="B46659" i="1"/>
  <c r="B46660" i="1"/>
  <c r="B46661" i="1"/>
  <c r="B46662" i="1"/>
  <c r="B46663" i="1"/>
  <c r="B46664" i="1"/>
  <c r="B46665" i="1"/>
  <c r="B46666" i="1"/>
  <c r="B46667" i="1"/>
  <c r="B46668" i="1"/>
  <c r="B46669" i="1"/>
  <c r="B46670" i="1"/>
  <c r="B46671" i="1"/>
  <c r="B46672" i="1"/>
  <c r="B46673" i="1"/>
  <c r="B46674" i="1"/>
  <c r="B46675" i="1"/>
  <c r="B46676" i="1"/>
  <c r="B46677" i="1"/>
  <c r="B46678" i="1"/>
  <c r="B46679" i="1"/>
  <c r="B46680" i="1"/>
  <c r="B46681" i="1"/>
  <c r="B46682" i="1"/>
  <c r="B46683" i="1"/>
  <c r="B46684" i="1"/>
  <c r="B46685" i="1"/>
  <c r="B46686" i="1"/>
  <c r="B46687" i="1"/>
  <c r="B46688" i="1"/>
  <c r="B46689" i="1"/>
  <c r="B46690" i="1"/>
  <c r="B46691" i="1"/>
  <c r="B46692" i="1"/>
  <c r="B46693" i="1"/>
  <c r="B46694" i="1"/>
  <c r="B46695" i="1"/>
  <c r="B46696" i="1"/>
  <c r="B46697" i="1"/>
  <c r="B46698" i="1"/>
  <c r="B46699" i="1"/>
  <c r="B46700" i="1"/>
  <c r="B46701" i="1"/>
  <c r="B46702" i="1"/>
  <c r="B46703" i="1"/>
  <c r="B46704" i="1"/>
  <c r="B46705" i="1"/>
  <c r="B46706" i="1"/>
  <c r="B46707" i="1"/>
  <c r="B46708" i="1"/>
  <c r="B46709" i="1"/>
  <c r="B46710" i="1"/>
  <c r="B46711" i="1"/>
  <c r="B46712" i="1"/>
  <c r="B46713" i="1"/>
  <c r="B46714" i="1"/>
  <c r="B46715" i="1"/>
  <c r="B46716" i="1"/>
  <c r="B46717" i="1"/>
  <c r="B46718" i="1"/>
  <c r="B46719" i="1"/>
  <c r="B46720" i="1"/>
  <c r="B46721" i="1"/>
  <c r="B46722" i="1"/>
  <c r="B46723" i="1"/>
  <c r="B46724" i="1"/>
  <c r="B46725" i="1"/>
  <c r="B46726" i="1"/>
  <c r="B46727" i="1"/>
  <c r="B46728" i="1"/>
  <c r="B46729" i="1"/>
  <c r="B46730" i="1"/>
  <c r="B46731" i="1"/>
  <c r="B46732" i="1"/>
  <c r="B46733" i="1"/>
  <c r="B46734" i="1"/>
  <c r="B46735" i="1"/>
  <c r="B46736" i="1"/>
  <c r="B46737" i="1"/>
  <c r="B46738" i="1"/>
  <c r="B46739" i="1"/>
  <c r="B46740" i="1"/>
  <c r="B46741" i="1"/>
  <c r="B46742" i="1"/>
  <c r="B46743" i="1"/>
  <c r="B46744" i="1"/>
  <c r="B46745" i="1"/>
  <c r="B46746" i="1"/>
  <c r="B46747" i="1"/>
  <c r="B46748" i="1"/>
  <c r="B46749" i="1"/>
  <c r="B46750" i="1"/>
  <c r="B46751" i="1"/>
  <c r="B46752" i="1"/>
  <c r="B46753" i="1"/>
  <c r="B46754" i="1"/>
  <c r="B46755" i="1"/>
  <c r="B46756" i="1"/>
  <c r="B46757" i="1"/>
  <c r="B46758" i="1"/>
  <c r="B46759" i="1"/>
  <c r="B46760" i="1"/>
  <c r="B46761" i="1"/>
  <c r="B46762" i="1"/>
  <c r="B46763" i="1"/>
  <c r="B46764" i="1"/>
  <c r="B46765" i="1"/>
  <c r="B46766" i="1"/>
  <c r="B46767" i="1"/>
  <c r="B46768" i="1"/>
  <c r="B46769" i="1"/>
  <c r="B46770" i="1"/>
  <c r="B46771" i="1"/>
  <c r="B46772" i="1"/>
  <c r="B46773" i="1"/>
  <c r="B46774" i="1"/>
  <c r="B46775" i="1"/>
  <c r="B46776" i="1"/>
  <c r="B46777" i="1"/>
  <c r="B46778" i="1"/>
  <c r="B46779" i="1"/>
  <c r="B46780" i="1"/>
  <c r="B46781" i="1"/>
  <c r="B46782" i="1"/>
  <c r="B46783" i="1"/>
  <c r="B46784" i="1"/>
  <c r="B46785" i="1"/>
  <c r="B46786" i="1"/>
  <c r="B46787" i="1"/>
  <c r="B46788" i="1"/>
  <c r="B46789" i="1"/>
  <c r="B46790" i="1"/>
  <c r="B46791" i="1"/>
  <c r="B46792" i="1"/>
  <c r="B46793" i="1"/>
  <c r="B46794" i="1"/>
  <c r="B46795" i="1"/>
  <c r="B46796" i="1"/>
  <c r="B46797" i="1"/>
  <c r="B46798" i="1"/>
  <c r="B46799" i="1"/>
  <c r="B46800" i="1"/>
  <c r="B46801" i="1"/>
  <c r="B46802" i="1"/>
  <c r="B37945" i="1"/>
  <c r="B37946" i="1"/>
  <c r="B37947" i="1"/>
  <c r="B37948" i="1"/>
  <c r="B37949" i="1"/>
  <c r="B37950" i="1"/>
  <c r="B37951" i="1"/>
  <c r="B37952" i="1"/>
  <c r="B37953" i="1"/>
  <c r="B37954" i="1"/>
  <c r="B37955" i="1"/>
  <c r="B37956" i="1"/>
  <c r="B37957" i="1"/>
  <c r="B37958" i="1"/>
  <c r="B37959" i="1"/>
  <c r="B37960" i="1"/>
  <c r="B37961" i="1"/>
  <c r="B37962" i="1"/>
  <c r="B37963" i="1"/>
  <c r="B37964" i="1"/>
  <c r="B37965" i="1"/>
  <c r="B37966" i="1"/>
  <c r="B37967" i="1"/>
  <c r="B37968" i="1"/>
  <c r="B37969" i="1"/>
  <c r="B37970" i="1"/>
  <c r="B37971" i="1"/>
  <c r="B37972" i="1"/>
  <c r="B37973" i="1"/>
  <c r="B37974" i="1"/>
  <c r="B37975" i="1"/>
  <c r="B37976" i="1"/>
  <c r="B37977" i="1"/>
  <c r="B37978" i="1"/>
  <c r="B37979" i="1"/>
  <c r="B37980" i="1"/>
  <c r="B37981" i="1"/>
  <c r="B37982" i="1"/>
  <c r="B37983" i="1"/>
  <c r="B37984" i="1"/>
  <c r="B37985" i="1"/>
  <c r="B37986" i="1"/>
  <c r="B37987" i="1"/>
  <c r="B37988" i="1"/>
  <c r="B37989" i="1"/>
  <c r="B37990" i="1"/>
  <c r="B37991" i="1"/>
  <c r="B37992" i="1"/>
  <c r="B37993" i="1"/>
  <c r="B37994" i="1"/>
  <c r="B37995" i="1"/>
  <c r="B37996" i="1"/>
  <c r="B37997" i="1"/>
  <c r="B37998" i="1"/>
  <c r="B37999" i="1"/>
  <c r="B38000" i="1"/>
  <c r="B38001" i="1"/>
  <c r="B38002" i="1"/>
  <c r="B38003" i="1"/>
  <c r="B38004" i="1"/>
  <c r="B38005" i="1"/>
  <c r="B38006" i="1"/>
  <c r="B38007" i="1"/>
  <c r="B38008" i="1"/>
  <c r="B38009" i="1"/>
  <c r="B38010" i="1"/>
  <c r="B38011" i="1"/>
  <c r="B38012" i="1"/>
  <c r="B38013" i="1"/>
  <c r="B38014" i="1"/>
  <c r="B38015" i="1"/>
  <c r="B38016" i="1"/>
  <c r="B38017" i="1"/>
  <c r="B38018" i="1"/>
  <c r="B38019" i="1"/>
  <c r="B38020" i="1"/>
  <c r="B38021" i="1"/>
  <c r="B38022" i="1"/>
  <c r="B38023" i="1"/>
  <c r="B38024" i="1"/>
  <c r="B38025" i="1"/>
  <c r="B38026" i="1"/>
  <c r="B38027" i="1"/>
  <c r="B38028" i="1"/>
  <c r="B38029" i="1"/>
  <c r="B38030" i="1"/>
  <c r="B38031" i="1"/>
  <c r="B38032" i="1"/>
  <c r="B38033" i="1"/>
  <c r="B38034" i="1"/>
  <c r="B38035" i="1"/>
  <c r="B38036" i="1"/>
  <c r="B38037" i="1"/>
  <c r="B38038" i="1"/>
  <c r="B38039" i="1"/>
  <c r="B38040" i="1"/>
  <c r="B38041" i="1"/>
  <c r="B38042" i="1"/>
  <c r="B38043" i="1"/>
  <c r="B38044" i="1"/>
  <c r="B38045" i="1"/>
  <c r="B38046" i="1"/>
  <c r="B38047" i="1"/>
  <c r="B38048" i="1"/>
  <c r="B38049" i="1"/>
  <c r="B38050" i="1"/>
  <c r="B38051" i="1"/>
  <c r="B38052" i="1"/>
  <c r="B38053" i="1"/>
  <c r="B38054" i="1"/>
  <c r="B38055" i="1"/>
  <c r="B38056" i="1"/>
  <c r="B38057" i="1"/>
  <c r="B38058" i="1"/>
  <c r="B38059" i="1"/>
  <c r="B38060" i="1"/>
  <c r="B38061" i="1"/>
  <c r="B38062" i="1"/>
  <c r="B38063" i="1"/>
  <c r="B38064" i="1"/>
  <c r="B38065" i="1"/>
  <c r="B38066" i="1"/>
  <c r="B38067" i="1"/>
  <c r="B38068" i="1"/>
  <c r="B38069" i="1"/>
  <c r="B38070" i="1"/>
  <c r="B38071" i="1"/>
  <c r="B38072" i="1"/>
  <c r="B38073" i="1"/>
  <c r="B38074" i="1"/>
  <c r="B38075" i="1"/>
  <c r="B38076" i="1"/>
  <c r="B38077" i="1"/>
  <c r="B38078" i="1"/>
  <c r="B38079" i="1"/>
  <c r="B38080" i="1"/>
  <c r="B38081" i="1"/>
  <c r="B38082" i="1"/>
  <c r="B38083" i="1"/>
  <c r="B38084" i="1"/>
  <c r="B38085" i="1"/>
  <c r="B38086" i="1"/>
  <c r="B38087" i="1"/>
  <c r="B38088" i="1"/>
  <c r="B38089" i="1"/>
  <c r="B38090" i="1"/>
  <c r="B38091" i="1"/>
  <c r="B38092" i="1"/>
  <c r="B38093" i="1"/>
  <c r="B38094" i="1"/>
  <c r="B38095" i="1"/>
  <c r="B38096" i="1"/>
  <c r="B38097" i="1"/>
  <c r="B38098" i="1"/>
  <c r="B38099" i="1"/>
  <c r="B38100" i="1"/>
  <c r="B38101" i="1"/>
  <c r="B38102" i="1"/>
  <c r="B38103" i="1"/>
  <c r="B38104" i="1"/>
  <c r="B38105" i="1"/>
  <c r="B38106" i="1"/>
  <c r="B38107" i="1"/>
  <c r="B38108" i="1"/>
  <c r="B38109" i="1"/>
  <c r="B38110" i="1"/>
  <c r="B38111" i="1"/>
  <c r="B38112" i="1"/>
  <c r="B38113" i="1"/>
  <c r="B38114" i="1"/>
  <c r="B38115" i="1"/>
  <c r="B38116" i="1"/>
  <c r="B38117" i="1"/>
  <c r="B38118" i="1"/>
  <c r="B38119" i="1"/>
  <c r="B38120" i="1"/>
  <c r="B38121" i="1"/>
  <c r="B38122" i="1"/>
  <c r="B38123" i="1"/>
  <c r="B38124" i="1"/>
  <c r="B38125" i="1"/>
  <c r="B38126" i="1"/>
  <c r="B38127" i="1"/>
  <c r="B38128" i="1"/>
  <c r="B38129" i="1"/>
  <c r="B38130" i="1"/>
  <c r="B38131" i="1"/>
  <c r="B38132" i="1"/>
  <c r="B38133" i="1"/>
  <c r="B38134" i="1"/>
  <c r="B38135" i="1"/>
  <c r="B38136" i="1"/>
  <c r="B38137" i="1"/>
  <c r="B38138" i="1"/>
  <c r="B38139" i="1"/>
  <c r="B38140" i="1"/>
  <c r="B38141" i="1"/>
  <c r="B38142" i="1"/>
  <c r="B38143" i="1"/>
  <c r="B38144" i="1"/>
  <c r="B38145" i="1"/>
  <c r="B38146" i="1"/>
  <c r="B38147" i="1"/>
  <c r="B38148" i="1"/>
  <c r="B38149" i="1"/>
  <c r="B38150" i="1"/>
  <c r="B38151" i="1"/>
  <c r="B38152" i="1"/>
  <c r="B38153" i="1"/>
  <c r="B38154" i="1"/>
  <c r="B38155" i="1"/>
  <c r="B38156" i="1"/>
  <c r="B38157" i="1"/>
  <c r="B38158" i="1"/>
  <c r="B38159" i="1"/>
  <c r="B38160" i="1"/>
  <c r="B38161" i="1"/>
  <c r="B38162" i="1"/>
  <c r="B38163" i="1"/>
  <c r="B38164" i="1"/>
  <c r="B38165" i="1"/>
  <c r="B38166" i="1"/>
  <c r="B38167" i="1"/>
  <c r="B38168" i="1"/>
  <c r="B38169" i="1"/>
  <c r="B38170" i="1"/>
  <c r="B38171" i="1"/>
  <c r="B38172" i="1"/>
  <c r="B38173" i="1"/>
  <c r="B38174" i="1"/>
  <c r="B38175" i="1"/>
  <c r="B38176" i="1"/>
  <c r="B38177" i="1"/>
  <c r="B38178" i="1"/>
  <c r="B38179" i="1"/>
  <c r="B38180" i="1"/>
  <c r="B38181" i="1"/>
  <c r="B38182" i="1"/>
  <c r="B38183" i="1"/>
  <c r="B38184" i="1"/>
  <c r="B38185" i="1"/>
  <c r="B38186" i="1"/>
  <c r="B38187" i="1"/>
  <c r="B38188" i="1"/>
  <c r="B38189" i="1"/>
  <c r="B38190" i="1"/>
  <c r="B38191" i="1"/>
  <c r="B38192" i="1"/>
  <c r="B38193" i="1"/>
  <c r="B38194" i="1"/>
  <c r="B38195" i="1"/>
  <c r="B38196" i="1"/>
  <c r="B38197" i="1"/>
  <c r="B38198" i="1"/>
  <c r="B38199" i="1"/>
  <c r="B38200" i="1"/>
  <c r="B38201" i="1"/>
  <c r="B38202" i="1"/>
  <c r="B38203" i="1"/>
  <c r="B38204" i="1"/>
  <c r="B38205" i="1"/>
  <c r="B38206" i="1"/>
  <c r="B38207" i="1"/>
  <c r="B38208" i="1"/>
  <c r="B38209" i="1"/>
  <c r="B38210" i="1"/>
  <c r="B38211" i="1"/>
  <c r="B38212" i="1"/>
  <c r="B38213" i="1"/>
  <c r="B38214" i="1"/>
  <c r="B38215" i="1"/>
  <c r="B38216" i="1"/>
  <c r="B38217" i="1"/>
  <c r="B38218" i="1"/>
  <c r="B38219" i="1"/>
  <c r="B38220" i="1"/>
  <c r="B38221" i="1"/>
  <c r="B38222" i="1"/>
  <c r="B38223" i="1"/>
  <c r="B38224" i="1"/>
  <c r="B38225" i="1"/>
  <c r="B38226" i="1"/>
  <c r="B38227" i="1"/>
  <c r="B38228" i="1"/>
  <c r="B38229" i="1"/>
  <c r="B38230" i="1"/>
  <c r="B38231" i="1"/>
  <c r="B38232" i="1"/>
  <c r="B38233" i="1"/>
  <c r="B38234" i="1"/>
  <c r="B38235" i="1"/>
  <c r="B38236" i="1"/>
  <c r="B38237" i="1"/>
  <c r="B38238" i="1"/>
  <c r="B38239" i="1"/>
  <c r="B38240" i="1"/>
  <c r="B38241" i="1"/>
  <c r="B38242" i="1"/>
  <c r="B38243" i="1"/>
  <c r="B38244" i="1"/>
  <c r="B38245" i="1"/>
  <c r="B38246" i="1"/>
  <c r="B38247" i="1"/>
  <c r="B38248" i="1"/>
  <c r="B38249" i="1"/>
  <c r="B38250" i="1"/>
  <c r="B38251" i="1"/>
  <c r="B38252" i="1"/>
  <c r="B38253" i="1"/>
  <c r="B38254" i="1"/>
  <c r="B38255" i="1"/>
  <c r="B38256" i="1"/>
  <c r="B38257" i="1"/>
  <c r="B38258" i="1"/>
  <c r="B38259" i="1"/>
  <c r="B38260" i="1"/>
  <c r="B38261" i="1"/>
  <c r="B38262" i="1"/>
  <c r="B38263" i="1"/>
  <c r="B38264" i="1"/>
  <c r="B38265" i="1"/>
  <c r="B38266" i="1"/>
  <c r="B38267" i="1"/>
  <c r="B38268" i="1"/>
  <c r="B38269" i="1"/>
  <c r="B38270" i="1"/>
  <c r="B38271" i="1"/>
  <c r="B38272" i="1"/>
  <c r="B38273" i="1"/>
  <c r="B38274" i="1"/>
  <c r="B38275" i="1"/>
  <c r="B38276" i="1"/>
  <c r="B38277" i="1"/>
  <c r="B38278" i="1"/>
  <c r="B38279" i="1"/>
  <c r="B38280" i="1"/>
  <c r="B38281" i="1"/>
  <c r="B38282" i="1"/>
  <c r="B38283" i="1"/>
  <c r="B38284" i="1"/>
  <c r="B38285" i="1"/>
  <c r="B38286" i="1"/>
  <c r="B38287" i="1"/>
  <c r="B38288" i="1"/>
  <c r="B38289" i="1"/>
  <c r="B38290" i="1"/>
  <c r="B38291" i="1"/>
  <c r="B38292" i="1"/>
  <c r="B38293" i="1"/>
  <c r="B38294" i="1"/>
  <c r="B38295" i="1"/>
  <c r="B38296" i="1"/>
  <c r="B38297" i="1"/>
  <c r="B38298" i="1"/>
  <c r="B38299" i="1"/>
  <c r="B38300" i="1"/>
  <c r="B38301" i="1"/>
  <c r="B38302" i="1"/>
  <c r="B38303" i="1"/>
  <c r="B38304" i="1"/>
  <c r="B38305" i="1"/>
  <c r="B38306" i="1"/>
  <c r="B38307" i="1"/>
  <c r="B38308" i="1"/>
  <c r="B38309" i="1"/>
  <c r="B38310" i="1"/>
  <c r="B38311" i="1"/>
  <c r="B38312" i="1"/>
  <c r="B38313" i="1"/>
  <c r="B38314" i="1"/>
  <c r="B38315" i="1"/>
  <c r="B38316" i="1"/>
  <c r="B38317" i="1"/>
  <c r="B38318" i="1"/>
  <c r="B38319" i="1"/>
  <c r="B38320" i="1"/>
  <c r="B38321" i="1"/>
  <c r="B38322" i="1"/>
  <c r="B38323" i="1"/>
  <c r="B38324" i="1"/>
  <c r="B38325" i="1"/>
  <c r="B38326" i="1"/>
  <c r="B38327" i="1"/>
  <c r="B38328" i="1"/>
  <c r="B38329" i="1"/>
  <c r="B38330" i="1"/>
  <c r="B38331" i="1"/>
  <c r="B38332" i="1"/>
  <c r="B38333" i="1"/>
  <c r="B38334" i="1"/>
  <c r="B38335" i="1"/>
  <c r="B38336" i="1"/>
  <c r="B38337" i="1"/>
  <c r="B38338" i="1"/>
  <c r="B38339" i="1"/>
  <c r="B38340" i="1"/>
  <c r="B38341" i="1"/>
  <c r="B38342" i="1"/>
  <c r="B38343" i="1"/>
  <c r="B38344" i="1"/>
  <c r="B38345" i="1"/>
  <c r="B38346" i="1"/>
  <c r="B38347" i="1"/>
  <c r="B38348" i="1"/>
  <c r="B38349" i="1"/>
  <c r="B38350" i="1"/>
  <c r="B38351" i="1"/>
  <c r="B38352" i="1"/>
  <c r="B38353" i="1"/>
  <c r="B38354" i="1"/>
  <c r="B38355" i="1"/>
  <c r="B38356" i="1"/>
  <c r="B38357" i="1"/>
  <c r="B38358" i="1"/>
  <c r="B38359" i="1"/>
  <c r="B38360" i="1"/>
  <c r="B38361" i="1"/>
  <c r="B38362" i="1"/>
  <c r="B38363" i="1"/>
  <c r="B38364" i="1"/>
  <c r="B38365" i="1"/>
  <c r="B38366" i="1"/>
  <c r="B38367" i="1"/>
  <c r="B38368" i="1"/>
  <c r="B38369" i="1"/>
  <c r="B38370" i="1"/>
  <c r="B38371" i="1"/>
  <c r="B38372" i="1"/>
  <c r="B38373" i="1"/>
  <c r="B38374" i="1"/>
  <c r="B38375" i="1"/>
  <c r="B38376" i="1"/>
  <c r="B38377" i="1"/>
  <c r="B38378" i="1"/>
  <c r="B38379" i="1"/>
  <c r="B38380" i="1"/>
  <c r="B38381" i="1"/>
  <c r="B38382" i="1"/>
  <c r="B38383" i="1"/>
  <c r="B38384" i="1"/>
  <c r="B38385" i="1"/>
  <c r="B38386" i="1"/>
  <c r="B38387" i="1"/>
  <c r="B38388" i="1"/>
  <c r="B38389" i="1"/>
  <c r="B38390" i="1"/>
  <c r="B38391" i="1"/>
  <c r="B38392" i="1"/>
  <c r="B38393" i="1"/>
  <c r="B38394" i="1"/>
  <c r="B38395" i="1"/>
  <c r="B38396" i="1"/>
  <c r="B38397" i="1"/>
  <c r="B38398" i="1"/>
  <c r="B38399" i="1"/>
  <c r="B38400" i="1"/>
  <c r="B38401" i="1"/>
  <c r="B38402" i="1"/>
  <c r="B38403" i="1"/>
  <c r="B38404" i="1"/>
  <c r="B38405" i="1"/>
  <c r="B38406" i="1"/>
  <c r="B38407" i="1"/>
  <c r="B38408" i="1"/>
  <c r="B38409" i="1"/>
  <c r="B38410" i="1"/>
  <c r="B38411" i="1"/>
  <c r="B38412" i="1"/>
  <c r="B38413" i="1"/>
  <c r="B38414" i="1"/>
  <c r="B38415" i="1"/>
  <c r="B38416" i="1"/>
  <c r="B38417" i="1"/>
  <c r="B38418" i="1"/>
  <c r="B38419" i="1"/>
  <c r="B38420" i="1"/>
  <c r="B38421" i="1"/>
  <c r="B38422" i="1"/>
  <c r="B38423" i="1"/>
  <c r="B38424" i="1"/>
  <c r="B38425" i="1"/>
  <c r="B38426" i="1"/>
  <c r="B38427" i="1"/>
  <c r="B38428" i="1"/>
  <c r="B38429" i="1"/>
  <c r="B38430" i="1"/>
  <c r="B38431" i="1"/>
  <c r="B38432" i="1"/>
  <c r="B38433" i="1"/>
  <c r="B38434" i="1"/>
  <c r="B38435" i="1"/>
  <c r="B38436" i="1"/>
  <c r="B38437" i="1"/>
  <c r="B38438" i="1"/>
  <c r="B38439" i="1"/>
  <c r="B38440" i="1"/>
  <c r="B38441" i="1"/>
  <c r="B38442" i="1"/>
  <c r="B38443" i="1"/>
  <c r="B38444" i="1"/>
  <c r="B38445" i="1"/>
  <c r="B38446" i="1"/>
  <c r="B38447" i="1"/>
  <c r="B38448" i="1"/>
  <c r="B38449" i="1"/>
  <c r="B38450" i="1"/>
  <c r="B38451" i="1"/>
  <c r="B38452" i="1"/>
  <c r="B38453" i="1"/>
  <c r="B38454" i="1"/>
  <c r="B38455" i="1"/>
  <c r="B38456" i="1"/>
  <c r="B38457" i="1"/>
  <c r="B38458" i="1"/>
  <c r="B38459" i="1"/>
  <c r="B38460" i="1"/>
  <c r="B38461" i="1"/>
  <c r="B38462" i="1"/>
  <c r="B38463" i="1"/>
  <c r="B38464" i="1"/>
  <c r="B38465" i="1"/>
  <c r="B38466" i="1"/>
  <c r="B38467" i="1"/>
  <c r="B38468" i="1"/>
  <c r="B38469" i="1"/>
  <c r="B38470" i="1"/>
  <c r="B38471" i="1"/>
  <c r="B38472" i="1"/>
  <c r="B38473" i="1"/>
  <c r="B38474" i="1"/>
  <c r="B38475" i="1"/>
  <c r="B38476" i="1"/>
  <c r="B38477" i="1"/>
  <c r="B38478" i="1"/>
  <c r="B38479" i="1"/>
  <c r="B38480" i="1"/>
  <c r="B38481" i="1"/>
  <c r="B38482" i="1"/>
  <c r="B38483" i="1"/>
  <c r="B38484" i="1"/>
  <c r="B38485" i="1"/>
  <c r="B38486" i="1"/>
  <c r="B38487" i="1"/>
  <c r="B38488" i="1"/>
  <c r="B38489" i="1"/>
  <c r="B38490" i="1"/>
  <c r="B38491" i="1"/>
  <c r="B38492" i="1"/>
  <c r="B38493" i="1"/>
  <c r="B38494" i="1"/>
  <c r="B38495" i="1"/>
  <c r="B38496" i="1"/>
  <c r="B38497" i="1"/>
  <c r="B38498" i="1"/>
  <c r="B38499" i="1"/>
  <c r="B38500" i="1"/>
  <c r="B38501" i="1"/>
  <c r="B38502" i="1"/>
  <c r="B38503" i="1"/>
  <c r="B38504" i="1"/>
  <c r="B38505" i="1"/>
  <c r="B38506" i="1"/>
  <c r="B38507" i="1"/>
  <c r="B38508" i="1"/>
  <c r="B38509" i="1"/>
  <c r="B38510" i="1"/>
  <c r="B38511" i="1"/>
  <c r="B38512" i="1"/>
  <c r="B38513" i="1"/>
  <c r="B38514" i="1"/>
  <c r="B38515" i="1"/>
  <c r="B38516" i="1"/>
  <c r="B38517" i="1"/>
  <c r="B38518" i="1"/>
  <c r="B38519" i="1"/>
  <c r="B38520" i="1"/>
  <c r="B38521" i="1"/>
  <c r="B38522" i="1"/>
  <c r="B38523" i="1"/>
  <c r="B38524" i="1"/>
  <c r="B38525" i="1"/>
  <c r="B38526" i="1"/>
  <c r="B38527" i="1"/>
  <c r="B38528" i="1"/>
  <c r="B38529" i="1"/>
  <c r="B38530" i="1"/>
  <c r="B38531" i="1"/>
  <c r="B38532" i="1"/>
  <c r="B38533" i="1"/>
  <c r="B38534" i="1"/>
  <c r="B38535" i="1"/>
  <c r="B38536" i="1"/>
  <c r="B38537" i="1"/>
  <c r="B38538" i="1"/>
  <c r="B38539" i="1"/>
  <c r="B38540" i="1"/>
  <c r="B38541" i="1"/>
  <c r="B38542" i="1"/>
  <c r="B38543" i="1"/>
  <c r="B38544" i="1"/>
  <c r="B38545" i="1"/>
  <c r="B38546" i="1"/>
  <c r="B38547" i="1"/>
  <c r="B38548" i="1"/>
  <c r="B38549" i="1"/>
  <c r="B38550" i="1"/>
  <c r="B38551" i="1"/>
  <c r="B38552" i="1"/>
  <c r="B38553" i="1"/>
  <c r="B38554" i="1"/>
  <c r="B38555" i="1"/>
  <c r="B38556" i="1"/>
  <c r="B38557" i="1"/>
  <c r="B38558" i="1"/>
  <c r="B38559" i="1"/>
  <c r="B38560" i="1"/>
  <c r="B38561" i="1"/>
  <c r="B38562" i="1"/>
  <c r="B38563" i="1"/>
  <c r="B38564" i="1"/>
  <c r="B38565" i="1"/>
  <c r="B38566" i="1"/>
  <c r="B38567" i="1"/>
  <c r="B38568" i="1"/>
  <c r="B38569" i="1"/>
  <c r="B38570" i="1"/>
  <c r="B38571" i="1"/>
  <c r="B38572" i="1"/>
  <c r="B38573" i="1"/>
  <c r="B38574" i="1"/>
  <c r="B38575" i="1"/>
  <c r="B38576" i="1"/>
  <c r="B38577" i="1"/>
  <c r="B38578" i="1"/>
  <c r="B38579" i="1"/>
  <c r="B38580" i="1"/>
  <c r="B38581" i="1"/>
  <c r="B38582" i="1"/>
  <c r="B38583" i="1"/>
  <c r="B38584" i="1"/>
  <c r="B38585" i="1"/>
  <c r="B38586" i="1"/>
  <c r="B38587" i="1"/>
  <c r="B38588" i="1"/>
  <c r="B38589" i="1"/>
  <c r="B38590" i="1"/>
  <c r="B38591" i="1"/>
  <c r="B38592" i="1"/>
  <c r="B38593" i="1"/>
  <c r="B38594" i="1"/>
  <c r="B38595" i="1"/>
  <c r="B38596" i="1"/>
  <c r="B38597" i="1"/>
  <c r="B38598" i="1"/>
  <c r="B38599" i="1"/>
  <c r="B38600" i="1"/>
  <c r="B38601" i="1"/>
  <c r="B38602" i="1"/>
  <c r="B38603" i="1"/>
  <c r="B38604" i="1"/>
  <c r="B38605" i="1"/>
  <c r="B38606" i="1"/>
  <c r="B38607" i="1"/>
  <c r="B38608" i="1"/>
  <c r="B38609" i="1"/>
  <c r="B38610" i="1"/>
  <c r="B38611" i="1"/>
  <c r="B38612" i="1"/>
  <c r="B38613" i="1"/>
  <c r="B38614" i="1"/>
  <c r="B38615" i="1"/>
  <c r="B38616" i="1"/>
  <c r="B38617" i="1"/>
  <c r="B38618" i="1"/>
  <c r="B38619" i="1"/>
  <c r="B38620" i="1"/>
  <c r="B38621" i="1"/>
  <c r="B38622" i="1"/>
  <c r="B38623" i="1"/>
  <c r="B38624" i="1"/>
  <c r="B38625" i="1"/>
  <c r="B38626" i="1"/>
  <c r="B38627" i="1"/>
  <c r="B38628" i="1"/>
  <c r="B38629" i="1"/>
  <c r="B38630" i="1"/>
  <c r="B38631" i="1"/>
  <c r="B38632" i="1"/>
  <c r="B38633" i="1"/>
  <c r="B38634" i="1"/>
  <c r="B38635" i="1"/>
  <c r="B38636" i="1"/>
  <c r="B38637" i="1"/>
  <c r="B38638" i="1"/>
  <c r="B38639" i="1"/>
  <c r="B38640" i="1"/>
  <c r="B38641" i="1"/>
  <c r="B38642" i="1"/>
  <c r="B38643" i="1"/>
  <c r="B38644" i="1"/>
  <c r="B38645" i="1"/>
  <c r="B38646" i="1"/>
  <c r="B38647" i="1"/>
  <c r="B38648" i="1"/>
  <c r="B38649" i="1"/>
  <c r="B38650" i="1"/>
  <c r="B38651" i="1"/>
  <c r="B38652" i="1"/>
  <c r="B38653" i="1"/>
  <c r="B38654" i="1"/>
  <c r="B38655" i="1"/>
  <c r="B38656" i="1"/>
  <c r="B38657" i="1"/>
  <c r="B38658" i="1"/>
  <c r="B38659" i="1"/>
  <c r="B38660" i="1"/>
  <c r="B38661" i="1"/>
  <c r="B38662" i="1"/>
  <c r="B38663" i="1"/>
  <c r="B38664" i="1"/>
  <c r="B38665" i="1"/>
  <c r="B38666" i="1"/>
  <c r="B38667" i="1"/>
  <c r="B38668" i="1"/>
  <c r="B38669" i="1"/>
  <c r="B38670" i="1"/>
  <c r="B38671" i="1"/>
  <c r="B38672" i="1"/>
  <c r="B38673" i="1"/>
  <c r="B38674" i="1"/>
  <c r="B38675" i="1"/>
  <c r="B38676" i="1"/>
  <c r="B38677" i="1"/>
  <c r="B38678" i="1"/>
  <c r="B38679" i="1"/>
  <c r="B38680" i="1"/>
  <c r="B38681" i="1"/>
  <c r="B38682" i="1"/>
  <c r="B38683" i="1"/>
  <c r="B38684" i="1"/>
  <c r="B38685" i="1"/>
  <c r="B38686" i="1"/>
  <c r="B38687" i="1"/>
  <c r="B38688" i="1"/>
  <c r="B38689" i="1"/>
  <c r="B38690" i="1"/>
  <c r="B38691" i="1"/>
  <c r="B38692" i="1"/>
  <c r="B38693" i="1"/>
  <c r="B38694" i="1"/>
  <c r="B38695" i="1"/>
  <c r="B38696" i="1"/>
  <c r="B38697" i="1"/>
  <c r="B38698" i="1"/>
  <c r="B38699" i="1"/>
  <c r="B38700" i="1"/>
  <c r="B38701" i="1"/>
  <c r="B38702" i="1"/>
  <c r="B38703" i="1"/>
  <c r="B38704" i="1"/>
  <c r="B38705" i="1"/>
  <c r="B38706" i="1"/>
  <c r="B38707" i="1"/>
  <c r="B38708" i="1"/>
  <c r="B38709" i="1"/>
  <c r="B38710" i="1"/>
  <c r="B38711" i="1"/>
  <c r="B38712" i="1"/>
  <c r="B38713" i="1"/>
  <c r="B38714" i="1"/>
  <c r="B38715" i="1"/>
  <c r="B38716" i="1"/>
  <c r="B38717" i="1"/>
  <c r="B38718" i="1"/>
  <c r="B38719" i="1"/>
  <c r="B38720" i="1"/>
  <c r="B38721" i="1"/>
  <c r="B38722" i="1"/>
  <c r="B38723" i="1"/>
  <c r="B38724" i="1"/>
  <c r="B38725" i="1"/>
  <c r="B38726" i="1"/>
  <c r="B38727" i="1"/>
  <c r="B38728" i="1"/>
  <c r="B38729" i="1"/>
  <c r="B38730" i="1"/>
  <c r="B38731" i="1"/>
  <c r="B38732" i="1"/>
  <c r="B38733" i="1"/>
  <c r="B38734" i="1"/>
  <c r="B38735" i="1"/>
  <c r="B38736" i="1"/>
  <c r="B38737" i="1"/>
  <c r="B38738" i="1"/>
  <c r="B38739" i="1"/>
  <c r="B38740" i="1"/>
  <c r="B38741" i="1"/>
  <c r="B38742" i="1"/>
  <c r="B38743" i="1"/>
  <c r="B38744" i="1"/>
  <c r="B38745" i="1"/>
  <c r="B38746" i="1"/>
  <c r="B38747" i="1"/>
  <c r="B38748" i="1"/>
  <c r="B38749" i="1"/>
  <c r="B38750" i="1"/>
  <c r="B38751" i="1"/>
  <c r="B38752" i="1"/>
  <c r="B38753" i="1"/>
  <c r="B38754" i="1"/>
  <c r="B38755" i="1"/>
  <c r="B38756" i="1"/>
  <c r="B38757" i="1"/>
  <c r="B38758" i="1"/>
  <c r="B38759" i="1"/>
  <c r="B38760" i="1"/>
  <c r="B38761" i="1"/>
  <c r="B38762" i="1"/>
  <c r="B38763" i="1"/>
  <c r="B38764" i="1"/>
  <c r="B38765" i="1"/>
  <c r="B38766" i="1"/>
  <c r="B38767" i="1"/>
  <c r="B38768" i="1"/>
  <c r="B38769" i="1"/>
  <c r="B38770" i="1"/>
  <c r="B38771" i="1"/>
  <c r="B38772" i="1"/>
  <c r="B38773" i="1"/>
  <c r="B38774" i="1"/>
  <c r="B38775" i="1"/>
  <c r="B38776" i="1"/>
  <c r="B38777" i="1"/>
  <c r="B38778" i="1"/>
  <c r="B38779" i="1"/>
  <c r="B38780" i="1"/>
  <c r="B38781" i="1"/>
  <c r="B38782" i="1"/>
  <c r="B38783" i="1"/>
  <c r="B38784" i="1"/>
  <c r="B38785" i="1"/>
  <c r="B38786" i="1"/>
  <c r="B38787" i="1"/>
  <c r="B38788" i="1"/>
  <c r="B38789" i="1"/>
  <c r="B38790" i="1"/>
  <c r="B38791" i="1"/>
  <c r="B38792" i="1"/>
  <c r="B38793" i="1"/>
  <c r="B38794" i="1"/>
  <c r="B38795" i="1"/>
  <c r="B38796" i="1"/>
  <c r="B38797" i="1"/>
  <c r="B38798" i="1"/>
  <c r="B38799" i="1"/>
  <c r="B38800" i="1"/>
  <c r="B38801" i="1"/>
  <c r="B38802" i="1"/>
  <c r="B38803" i="1"/>
  <c r="B38804" i="1"/>
  <c r="B38805" i="1"/>
  <c r="B38806" i="1"/>
  <c r="B38807" i="1"/>
  <c r="B38808" i="1"/>
  <c r="B38809" i="1"/>
  <c r="B38810" i="1"/>
  <c r="B38811" i="1"/>
  <c r="B38812" i="1"/>
  <c r="B38813" i="1"/>
  <c r="B38814" i="1"/>
  <c r="B38815" i="1"/>
  <c r="B38816" i="1"/>
  <c r="B38817" i="1"/>
  <c r="B38818" i="1"/>
  <c r="B38819" i="1"/>
  <c r="B38820" i="1"/>
  <c r="B38821" i="1"/>
  <c r="B38822" i="1"/>
  <c r="B38823" i="1"/>
  <c r="B38824" i="1"/>
  <c r="B38825" i="1"/>
  <c r="B38826" i="1"/>
  <c r="B38827" i="1"/>
  <c r="B38828" i="1"/>
  <c r="B38829" i="1"/>
  <c r="B38830" i="1"/>
  <c r="B38831" i="1"/>
  <c r="B38832" i="1"/>
  <c r="B38833" i="1"/>
  <c r="B38834" i="1"/>
  <c r="B38835" i="1"/>
  <c r="B38836" i="1"/>
  <c r="B38837" i="1"/>
  <c r="B38838" i="1"/>
  <c r="B38839" i="1"/>
  <c r="B38840" i="1"/>
  <c r="B38841" i="1"/>
  <c r="B38842" i="1"/>
  <c r="B38843" i="1"/>
  <c r="B38844" i="1"/>
  <c r="B38845" i="1"/>
  <c r="B38846" i="1"/>
  <c r="B38847" i="1"/>
  <c r="B38848" i="1"/>
  <c r="B38849" i="1"/>
  <c r="B38850" i="1"/>
  <c r="B38851" i="1"/>
  <c r="B38852" i="1"/>
  <c r="B38853" i="1"/>
  <c r="B38854" i="1"/>
  <c r="B38855" i="1"/>
  <c r="B38856" i="1"/>
  <c r="B38857" i="1"/>
  <c r="B38858" i="1"/>
  <c r="B38859" i="1"/>
  <c r="B38860" i="1"/>
  <c r="B38861" i="1"/>
  <c r="B38862" i="1"/>
  <c r="B38863" i="1"/>
  <c r="B38864" i="1"/>
  <c r="B38865" i="1"/>
  <c r="B38866" i="1"/>
  <c r="B38867" i="1"/>
  <c r="B38868" i="1"/>
  <c r="B38869" i="1"/>
  <c r="B38870" i="1"/>
  <c r="B38871" i="1"/>
  <c r="B38872" i="1"/>
  <c r="B38873" i="1"/>
  <c r="B38874" i="1"/>
  <c r="B38875" i="1"/>
  <c r="B38876" i="1"/>
  <c r="B38877" i="1"/>
  <c r="B38878" i="1"/>
  <c r="B38879" i="1"/>
  <c r="B38880" i="1"/>
  <c r="B38881" i="1"/>
  <c r="B38882" i="1"/>
  <c r="B38883" i="1"/>
  <c r="B38884" i="1"/>
  <c r="B38885" i="1"/>
  <c r="B38886" i="1"/>
  <c r="B38887" i="1"/>
  <c r="B38888" i="1"/>
  <c r="B38889" i="1"/>
  <c r="B38890" i="1"/>
  <c r="B38891" i="1"/>
  <c r="B38892" i="1"/>
  <c r="B38893" i="1"/>
  <c r="B38894" i="1"/>
  <c r="B38895" i="1"/>
  <c r="B38896" i="1"/>
  <c r="B38897" i="1"/>
  <c r="B38898" i="1"/>
  <c r="B38899" i="1"/>
  <c r="B38900" i="1"/>
  <c r="B38901" i="1"/>
  <c r="B38902" i="1"/>
  <c r="B38903" i="1"/>
  <c r="B38904" i="1"/>
  <c r="B38905" i="1"/>
  <c r="B38906" i="1"/>
  <c r="B38907" i="1"/>
  <c r="B38908" i="1"/>
  <c r="B38909" i="1"/>
  <c r="B38910" i="1"/>
  <c r="B38911" i="1"/>
  <c r="B38912" i="1"/>
  <c r="B38913" i="1"/>
  <c r="B38914" i="1"/>
  <c r="B38915" i="1"/>
  <c r="B38916" i="1"/>
  <c r="B38917" i="1"/>
  <c r="B38918" i="1"/>
  <c r="B38919" i="1"/>
  <c r="B38920" i="1"/>
  <c r="B38921" i="1"/>
  <c r="B38922" i="1"/>
  <c r="B38923" i="1"/>
  <c r="B38924" i="1"/>
  <c r="B38925" i="1"/>
  <c r="B38926" i="1"/>
  <c r="B38927" i="1"/>
  <c r="B38928" i="1"/>
  <c r="B38929" i="1"/>
  <c r="B38930" i="1"/>
  <c r="B38931" i="1"/>
  <c r="B38932" i="1"/>
  <c r="B38933" i="1"/>
  <c r="B38934" i="1"/>
  <c r="B38935" i="1"/>
  <c r="B38936" i="1"/>
  <c r="B38937" i="1"/>
  <c r="B38938" i="1"/>
  <c r="B38939" i="1"/>
  <c r="B38940" i="1"/>
  <c r="B38941" i="1"/>
  <c r="B38942" i="1"/>
  <c r="B38943" i="1"/>
  <c r="B38944" i="1"/>
  <c r="B38945" i="1"/>
  <c r="B38946" i="1"/>
  <c r="B38947" i="1"/>
  <c r="B38948" i="1"/>
  <c r="B38949" i="1"/>
  <c r="B38950" i="1"/>
  <c r="B38951" i="1"/>
  <c r="B38952" i="1"/>
  <c r="B38953" i="1"/>
  <c r="B38954" i="1"/>
  <c r="B38955" i="1"/>
  <c r="B38956" i="1"/>
  <c r="B38957" i="1"/>
  <c r="B38958" i="1"/>
  <c r="B38959" i="1"/>
  <c r="B38960" i="1"/>
  <c r="B38961" i="1"/>
  <c r="B38962" i="1"/>
  <c r="B38963" i="1"/>
  <c r="B38964" i="1"/>
  <c r="B38965" i="1"/>
  <c r="B38966" i="1"/>
  <c r="B38967" i="1"/>
  <c r="B38968" i="1"/>
  <c r="B38969" i="1"/>
  <c r="B38970" i="1"/>
  <c r="B38971" i="1"/>
  <c r="B38972" i="1"/>
  <c r="B38973" i="1"/>
  <c r="B38974" i="1"/>
  <c r="B38975" i="1"/>
  <c r="B38976" i="1"/>
  <c r="B38977" i="1"/>
  <c r="B38978" i="1"/>
  <c r="B38979" i="1"/>
  <c r="B38980" i="1"/>
  <c r="B38981" i="1"/>
  <c r="B38982" i="1"/>
  <c r="B38983" i="1"/>
  <c r="B38984" i="1"/>
  <c r="B38985" i="1"/>
  <c r="B38986" i="1"/>
  <c r="B38987" i="1"/>
  <c r="B38988" i="1"/>
  <c r="B38989" i="1"/>
  <c r="B38990" i="1"/>
  <c r="B38991" i="1"/>
  <c r="B38992" i="1"/>
  <c r="B38993" i="1"/>
  <c r="B38994" i="1"/>
  <c r="B38995" i="1"/>
  <c r="B38996" i="1"/>
  <c r="B38997" i="1"/>
  <c r="B38998" i="1"/>
  <c r="B38999" i="1"/>
  <c r="B39000" i="1"/>
  <c r="B39001" i="1"/>
  <c r="B39002" i="1"/>
  <c r="B39003" i="1"/>
  <c r="B39004" i="1"/>
  <c r="B39005" i="1"/>
  <c r="B39006" i="1"/>
  <c r="B39007" i="1"/>
  <c r="B39008" i="1"/>
  <c r="B39009" i="1"/>
  <c r="B39010" i="1"/>
  <c r="B39011" i="1"/>
  <c r="B39012" i="1"/>
  <c r="B39013" i="1"/>
  <c r="B39014" i="1"/>
  <c r="B39015" i="1"/>
  <c r="B39016" i="1"/>
  <c r="B39017" i="1"/>
  <c r="B39018" i="1"/>
  <c r="B39019" i="1"/>
  <c r="B39020" i="1"/>
  <c r="B39021" i="1"/>
  <c r="B39022" i="1"/>
  <c r="B39023" i="1"/>
  <c r="B39024" i="1"/>
  <c r="B39025" i="1"/>
  <c r="B39026" i="1"/>
  <c r="B39027" i="1"/>
  <c r="B39028" i="1"/>
  <c r="B39029" i="1"/>
  <c r="B39030" i="1"/>
  <c r="B39031" i="1"/>
  <c r="B39032" i="1"/>
  <c r="B39033" i="1"/>
  <c r="B39034" i="1"/>
  <c r="B39035" i="1"/>
  <c r="B39036" i="1"/>
  <c r="B39037" i="1"/>
  <c r="B39038" i="1"/>
  <c r="B39039" i="1"/>
  <c r="B39040" i="1"/>
  <c r="B39041" i="1"/>
  <c r="B39042" i="1"/>
  <c r="B39043" i="1"/>
  <c r="B39044" i="1"/>
  <c r="B39045" i="1"/>
  <c r="B39046" i="1"/>
  <c r="B39047" i="1"/>
  <c r="B39048" i="1"/>
  <c r="B39049" i="1"/>
  <c r="B39050" i="1"/>
  <c r="B39051" i="1"/>
  <c r="B39052" i="1"/>
  <c r="B39053" i="1"/>
  <c r="B39054" i="1"/>
  <c r="B39055" i="1"/>
  <c r="B39056" i="1"/>
  <c r="B39057" i="1"/>
  <c r="B39058" i="1"/>
  <c r="B39059" i="1"/>
  <c r="B39060" i="1"/>
  <c r="B39061" i="1"/>
  <c r="B39062" i="1"/>
  <c r="B39063" i="1"/>
  <c r="B39064" i="1"/>
  <c r="B39065" i="1"/>
  <c r="B39066" i="1"/>
  <c r="B39067" i="1"/>
  <c r="B39068" i="1"/>
  <c r="B39069" i="1"/>
  <c r="B39070" i="1"/>
  <c r="B39071" i="1"/>
  <c r="B39072" i="1"/>
  <c r="B39073" i="1"/>
  <c r="B39074" i="1"/>
  <c r="B39075" i="1"/>
  <c r="B39076" i="1"/>
  <c r="B39077" i="1"/>
  <c r="B39078" i="1"/>
  <c r="B39079" i="1"/>
  <c r="B39080" i="1"/>
  <c r="B39081" i="1"/>
  <c r="B39082" i="1"/>
  <c r="B39083" i="1"/>
  <c r="B39084" i="1"/>
  <c r="B39085" i="1"/>
  <c r="B39086" i="1"/>
  <c r="B39087" i="1"/>
  <c r="B39088" i="1"/>
  <c r="B39089" i="1"/>
  <c r="B39090" i="1"/>
  <c r="B39091" i="1"/>
  <c r="B39092" i="1"/>
  <c r="B39093" i="1"/>
  <c r="B39094" i="1"/>
  <c r="B39095" i="1"/>
  <c r="B39096" i="1"/>
  <c r="B39097" i="1"/>
  <c r="B39098" i="1"/>
  <c r="B39099" i="1"/>
  <c r="B39100" i="1"/>
  <c r="B39101" i="1"/>
  <c r="B39102" i="1"/>
  <c r="B39103" i="1"/>
  <c r="B39104" i="1"/>
  <c r="B39105" i="1"/>
  <c r="B39106" i="1"/>
  <c r="B39107" i="1"/>
  <c r="B39108" i="1"/>
  <c r="B39109" i="1"/>
  <c r="B39110" i="1"/>
  <c r="B39111" i="1"/>
  <c r="B39112" i="1"/>
  <c r="B39113" i="1"/>
  <c r="B39114" i="1"/>
  <c r="B39115" i="1"/>
  <c r="B39116" i="1"/>
  <c r="B39117" i="1"/>
  <c r="B39118" i="1"/>
  <c r="B39119" i="1"/>
  <c r="B39120" i="1"/>
  <c r="B39121" i="1"/>
  <c r="B39122" i="1"/>
  <c r="B39123" i="1"/>
  <c r="B39124" i="1"/>
  <c r="B39125" i="1"/>
  <c r="B39126" i="1"/>
  <c r="B39127" i="1"/>
  <c r="B39128" i="1"/>
  <c r="B39129" i="1"/>
  <c r="B39130" i="1"/>
  <c r="B39131" i="1"/>
  <c r="B39132" i="1"/>
  <c r="B39133" i="1"/>
  <c r="B39134" i="1"/>
  <c r="B39135" i="1"/>
  <c r="B39136" i="1"/>
  <c r="B39137" i="1"/>
  <c r="B39138" i="1"/>
  <c r="B39139" i="1"/>
  <c r="B39140" i="1"/>
  <c r="B39141" i="1"/>
  <c r="B39142" i="1"/>
  <c r="B39143" i="1"/>
  <c r="B39144" i="1"/>
  <c r="B39145" i="1"/>
  <c r="B39146" i="1"/>
  <c r="B39147" i="1"/>
  <c r="B39148" i="1"/>
  <c r="B39149" i="1"/>
  <c r="B39150" i="1"/>
  <c r="B39151" i="1"/>
  <c r="B39152" i="1"/>
  <c r="B39153" i="1"/>
  <c r="B39154" i="1"/>
  <c r="B39155" i="1"/>
  <c r="B39156" i="1"/>
  <c r="B39157" i="1"/>
  <c r="B39158" i="1"/>
  <c r="B39159" i="1"/>
  <c r="B39160" i="1"/>
  <c r="B39161" i="1"/>
  <c r="B39162" i="1"/>
  <c r="B39163" i="1"/>
  <c r="B39164" i="1"/>
  <c r="B39165" i="1"/>
  <c r="B39166" i="1"/>
  <c r="B39167" i="1"/>
  <c r="B39168" i="1"/>
  <c r="B39169" i="1"/>
  <c r="B39170" i="1"/>
  <c r="B39171" i="1"/>
  <c r="B39172" i="1"/>
  <c r="B39173" i="1"/>
  <c r="B39174" i="1"/>
  <c r="B39175" i="1"/>
  <c r="B39176" i="1"/>
  <c r="B39177" i="1"/>
  <c r="B39178" i="1"/>
  <c r="B39179" i="1"/>
  <c r="B39180" i="1"/>
  <c r="B39181" i="1"/>
  <c r="B39182" i="1"/>
  <c r="B39183" i="1"/>
  <c r="B39184" i="1"/>
  <c r="B39185" i="1"/>
  <c r="B39186" i="1"/>
  <c r="B39187" i="1"/>
  <c r="B39188" i="1"/>
  <c r="B39189" i="1"/>
  <c r="B39190" i="1"/>
  <c r="B39191" i="1"/>
  <c r="B39192" i="1"/>
  <c r="B39193" i="1"/>
  <c r="B39194" i="1"/>
  <c r="B39195" i="1"/>
  <c r="B39196" i="1"/>
  <c r="B39197" i="1"/>
  <c r="B39198" i="1"/>
  <c r="B39199" i="1"/>
  <c r="B39200" i="1"/>
  <c r="B39201" i="1"/>
  <c r="B39202" i="1"/>
  <c r="B39203" i="1"/>
  <c r="B39204" i="1"/>
  <c r="B39205" i="1"/>
  <c r="B39206" i="1"/>
  <c r="B39207" i="1"/>
  <c r="B39208" i="1"/>
  <c r="B39209" i="1"/>
  <c r="B39210" i="1"/>
  <c r="B39211" i="1"/>
  <c r="B39212" i="1"/>
  <c r="B39213" i="1"/>
  <c r="B39214" i="1"/>
  <c r="B39215" i="1"/>
  <c r="B39216" i="1"/>
  <c r="B39217" i="1"/>
  <c r="B39218" i="1"/>
  <c r="B39219" i="1"/>
  <c r="B39220" i="1"/>
  <c r="B39221" i="1"/>
  <c r="B39222" i="1"/>
  <c r="B39223" i="1"/>
  <c r="B39224" i="1"/>
  <c r="B39225" i="1"/>
  <c r="B39226" i="1"/>
  <c r="B39227" i="1"/>
  <c r="B39228" i="1"/>
  <c r="B39229" i="1"/>
  <c r="B39230" i="1"/>
  <c r="B39231" i="1"/>
  <c r="B39232" i="1"/>
  <c r="B39233" i="1"/>
  <c r="B39234" i="1"/>
  <c r="B39235" i="1"/>
  <c r="B39236" i="1"/>
  <c r="B39237" i="1"/>
  <c r="B39238" i="1"/>
  <c r="B39239" i="1"/>
  <c r="B39240" i="1"/>
  <c r="B39241" i="1"/>
  <c r="B39242" i="1"/>
  <c r="B39243" i="1"/>
  <c r="B39244" i="1"/>
  <c r="B39245" i="1"/>
  <c r="B39246" i="1"/>
  <c r="B39247" i="1"/>
  <c r="B39248" i="1"/>
  <c r="B39249" i="1"/>
  <c r="B39250" i="1"/>
  <c r="B39251" i="1"/>
  <c r="B39252" i="1"/>
  <c r="B39253" i="1"/>
  <c r="B39254" i="1"/>
  <c r="B39255" i="1"/>
  <c r="B39256" i="1"/>
  <c r="B39257" i="1"/>
  <c r="B39258" i="1"/>
  <c r="B39259" i="1"/>
  <c r="B39260" i="1"/>
  <c r="B39261" i="1"/>
  <c r="B39262" i="1"/>
  <c r="B39263" i="1"/>
  <c r="B39264" i="1"/>
  <c r="B39265" i="1"/>
  <c r="B39266" i="1"/>
  <c r="B39267" i="1"/>
  <c r="B39268" i="1"/>
  <c r="B39269" i="1"/>
  <c r="B39270" i="1"/>
  <c r="B39271" i="1"/>
  <c r="B39272" i="1"/>
  <c r="B39273" i="1"/>
  <c r="B39274" i="1"/>
  <c r="B39275" i="1"/>
  <c r="B39276" i="1"/>
  <c r="B39277" i="1"/>
  <c r="B39278" i="1"/>
  <c r="B39279" i="1"/>
  <c r="B39280" i="1"/>
  <c r="B39281" i="1"/>
  <c r="B39282" i="1"/>
  <c r="B39283" i="1"/>
  <c r="B39284" i="1"/>
  <c r="B39285" i="1"/>
  <c r="B39286" i="1"/>
  <c r="B39287" i="1"/>
  <c r="B39288" i="1"/>
  <c r="B39289" i="1"/>
  <c r="B39290" i="1"/>
  <c r="B39291" i="1"/>
  <c r="B39292" i="1"/>
  <c r="B39293" i="1"/>
  <c r="B39294" i="1"/>
  <c r="B39295" i="1"/>
  <c r="B39296" i="1"/>
  <c r="B39297" i="1"/>
  <c r="B39298" i="1"/>
  <c r="B39299" i="1"/>
  <c r="B39300" i="1"/>
  <c r="B39301" i="1"/>
  <c r="B39302" i="1"/>
  <c r="B39303" i="1"/>
  <c r="B39304" i="1"/>
  <c r="B39305" i="1"/>
  <c r="B39306" i="1"/>
  <c r="B39307" i="1"/>
  <c r="B39308" i="1"/>
  <c r="B39309" i="1"/>
  <c r="B39310" i="1"/>
  <c r="B39311" i="1"/>
  <c r="B39312" i="1"/>
  <c r="B39313" i="1"/>
  <c r="B39314" i="1"/>
  <c r="B39315" i="1"/>
  <c r="B39316" i="1"/>
  <c r="B39317" i="1"/>
  <c r="B39318" i="1"/>
  <c r="B39319" i="1"/>
  <c r="B39320" i="1"/>
  <c r="B39321" i="1"/>
  <c r="B39322" i="1"/>
  <c r="B39323" i="1"/>
  <c r="B39324" i="1"/>
  <c r="B39325" i="1"/>
  <c r="B39326" i="1"/>
  <c r="B39327" i="1"/>
  <c r="B39328" i="1"/>
  <c r="B39329" i="1"/>
  <c r="B39330" i="1"/>
  <c r="B39331" i="1"/>
  <c r="B39332" i="1"/>
  <c r="B39333" i="1"/>
  <c r="B39334" i="1"/>
  <c r="B39335" i="1"/>
  <c r="B39336" i="1"/>
  <c r="B39337" i="1"/>
  <c r="B39338" i="1"/>
  <c r="B39339" i="1"/>
  <c r="B39340" i="1"/>
  <c r="B39341" i="1"/>
  <c r="B39342" i="1"/>
  <c r="B39343" i="1"/>
  <c r="B39344" i="1"/>
  <c r="B39345" i="1"/>
  <c r="B39346" i="1"/>
  <c r="B39347" i="1"/>
  <c r="B39348" i="1"/>
  <c r="B39349" i="1"/>
  <c r="B39350" i="1"/>
  <c r="B39351" i="1"/>
  <c r="B39352" i="1"/>
  <c r="B39353" i="1"/>
  <c r="B39354" i="1"/>
  <c r="B39355" i="1"/>
  <c r="B39356" i="1"/>
  <c r="B39357" i="1"/>
  <c r="B39358" i="1"/>
  <c r="B39359" i="1"/>
  <c r="B39360" i="1"/>
  <c r="B39361" i="1"/>
  <c r="B39362" i="1"/>
  <c r="B39363" i="1"/>
  <c r="B39364" i="1"/>
  <c r="B39365" i="1"/>
  <c r="B39366" i="1"/>
  <c r="B39367" i="1"/>
  <c r="B39368" i="1"/>
  <c r="B39369" i="1"/>
  <c r="B39370" i="1"/>
  <c r="B39371" i="1"/>
  <c r="B39372" i="1"/>
  <c r="B39373" i="1"/>
  <c r="B39374" i="1"/>
  <c r="B39375" i="1"/>
  <c r="B39376" i="1"/>
  <c r="B39377" i="1"/>
  <c r="B39378" i="1"/>
  <c r="B39379" i="1"/>
  <c r="B39380" i="1"/>
  <c r="B39381" i="1"/>
  <c r="B39382" i="1"/>
  <c r="B39383" i="1"/>
  <c r="B39384" i="1"/>
  <c r="B39385" i="1"/>
  <c r="B39386" i="1"/>
  <c r="B39387" i="1"/>
  <c r="B39388" i="1"/>
  <c r="B39389" i="1"/>
  <c r="B39390" i="1"/>
  <c r="B39391" i="1"/>
  <c r="B39392" i="1"/>
  <c r="B39393" i="1"/>
  <c r="B39394" i="1"/>
  <c r="B39395" i="1"/>
  <c r="B39396" i="1"/>
  <c r="B39397" i="1"/>
  <c r="B39398" i="1"/>
  <c r="B39399" i="1"/>
  <c r="B39400" i="1"/>
  <c r="B39401" i="1"/>
  <c r="B39402" i="1"/>
  <c r="B39403" i="1"/>
  <c r="B39404" i="1"/>
  <c r="B39405" i="1"/>
  <c r="B39406" i="1"/>
  <c r="B39407" i="1"/>
  <c r="B39408" i="1"/>
  <c r="B39409" i="1"/>
  <c r="B39410" i="1"/>
  <c r="B39411" i="1"/>
  <c r="B39412" i="1"/>
  <c r="B39413" i="1"/>
  <c r="B39414" i="1"/>
  <c r="B39415" i="1"/>
  <c r="B39416" i="1"/>
  <c r="B39417" i="1"/>
  <c r="B39418" i="1"/>
  <c r="B39419" i="1"/>
  <c r="B39420" i="1"/>
  <c r="B39421" i="1"/>
  <c r="B39422" i="1"/>
  <c r="B39423" i="1"/>
  <c r="B39424" i="1"/>
  <c r="B39425" i="1"/>
  <c r="B39426" i="1"/>
  <c r="B39427" i="1"/>
  <c r="B39428" i="1"/>
  <c r="B39429" i="1"/>
  <c r="B39430" i="1"/>
  <c r="B39431" i="1"/>
  <c r="B39432" i="1"/>
  <c r="B39433" i="1"/>
  <c r="B39434" i="1"/>
  <c r="B39435" i="1"/>
  <c r="B39436" i="1"/>
  <c r="B39437" i="1"/>
  <c r="B39438" i="1"/>
  <c r="B39439" i="1"/>
  <c r="B39440" i="1"/>
  <c r="B39441" i="1"/>
  <c r="B39442" i="1"/>
  <c r="B39443" i="1"/>
  <c r="B39444" i="1"/>
  <c r="B39445" i="1"/>
  <c r="B39446" i="1"/>
  <c r="B39447" i="1"/>
  <c r="B39448" i="1"/>
  <c r="B39449" i="1"/>
  <c r="B39450" i="1"/>
  <c r="B39451" i="1"/>
  <c r="B39452" i="1"/>
  <c r="B39453" i="1"/>
  <c r="B39454" i="1"/>
  <c r="B39455" i="1"/>
  <c r="B39456" i="1"/>
  <c r="B39457" i="1"/>
  <c r="B39458" i="1"/>
  <c r="B39459" i="1"/>
  <c r="B39460" i="1"/>
  <c r="B39461" i="1"/>
  <c r="B39462" i="1"/>
  <c r="B39463" i="1"/>
  <c r="B39464" i="1"/>
  <c r="B39465" i="1"/>
  <c r="B39466" i="1"/>
  <c r="B39467" i="1"/>
  <c r="B39468" i="1"/>
  <c r="B39469" i="1"/>
  <c r="B39470" i="1"/>
  <c r="B39471" i="1"/>
  <c r="B39472" i="1"/>
  <c r="B39473" i="1"/>
  <c r="B39474" i="1"/>
  <c r="B39475" i="1"/>
  <c r="B39476" i="1"/>
  <c r="B39477" i="1"/>
  <c r="B39478" i="1"/>
  <c r="B39479" i="1"/>
  <c r="B39480" i="1"/>
  <c r="B39481" i="1"/>
  <c r="B39482" i="1"/>
  <c r="B39483" i="1"/>
  <c r="B39484" i="1"/>
  <c r="B39485" i="1"/>
  <c r="B39486" i="1"/>
  <c r="B39487" i="1"/>
  <c r="B39488" i="1"/>
  <c r="B39489" i="1"/>
  <c r="B39490" i="1"/>
  <c r="B39491" i="1"/>
  <c r="B39492" i="1"/>
  <c r="B39493" i="1"/>
  <c r="B39494" i="1"/>
  <c r="B39495" i="1"/>
  <c r="B39496" i="1"/>
  <c r="B39497" i="1"/>
  <c r="B39498" i="1"/>
  <c r="B39499" i="1"/>
  <c r="B39500" i="1"/>
  <c r="B39501" i="1"/>
  <c r="B39502" i="1"/>
  <c r="B39503" i="1"/>
  <c r="B39504" i="1"/>
  <c r="B39505" i="1"/>
  <c r="B39506" i="1"/>
  <c r="B39507" i="1"/>
  <c r="B39508" i="1"/>
  <c r="B39509" i="1"/>
  <c r="B39510" i="1"/>
  <c r="B39511" i="1"/>
  <c r="B39512" i="1"/>
  <c r="B39513" i="1"/>
  <c r="B39514" i="1"/>
  <c r="B39515" i="1"/>
  <c r="B39516" i="1"/>
  <c r="B39517" i="1"/>
  <c r="B39518" i="1"/>
  <c r="B39519" i="1"/>
  <c r="B39520" i="1"/>
  <c r="B39521" i="1"/>
  <c r="B39522" i="1"/>
  <c r="B39523" i="1"/>
  <c r="B39524" i="1"/>
  <c r="B39525" i="1"/>
  <c r="B39526" i="1"/>
  <c r="B39527" i="1"/>
  <c r="B39528" i="1"/>
  <c r="B39529" i="1"/>
  <c r="B39530" i="1"/>
  <c r="B39531" i="1"/>
  <c r="B39532" i="1"/>
  <c r="B39533" i="1"/>
  <c r="B39534" i="1"/>
  <c r="B39535" i="1"/>
  <c r="B39536" i="1"/>
  <c r="B39537" i="1"/>
  <c r="B39538" i="1"/>
  <c r="B39539" i="1"/>
  <c r="B39540" i="1"/>
  <c r="B39541" i="1"/>
  <c r="B39542" i="1"/>
  <c r="B39543" i="1"/>
  <c r="B39544" i="1"/>
  <c r="B39545" i="1"/>
  <c r="B39546" i="1"/>
  <c r="B39547" i="1"/>
  <c r="B39548" i="1"/>
  <c r="B39549" i="1"/>
  <c r="B39550" i="1"/>
  <c r="B39551" i="1"/>
  <c r="B39552" i="1"/>
  <c r="B39553" i="1"/>
  <c r="B39554" i="1"/>
  <c r="B39555" i="1"/>
  <c r="B39556" i="1"/>
  <c r="B39557" i="1"/>
  <c r="B39558" i="1"/>
  <c r="B39559" i="1"/>
  <c r="B39560" i="1"/>
  <c r="B39561" i="1"/>
  <c r="B39562" i="1"/>
  <c r="B39563" i="1"/>
  <c r="B39564" i="1"/>
  <c r="B39565" i="1"/>
  <c r="B39566" i="1"/>
  <c r="B39567" i="1"/>
  <c r="B39568" i="1"/>
  <c r="B39569" i="1"/>
  <c r="B39570" i="1"/>
  <c r="B39571" i="1"/>
  <c r="B39572" i="1"/>
  <c r="B39573" i="1"/>
  <c r="B39574" i="1"/>
  <c r="B39575" i="1"/>
  <c r="B39576" i="1"/>
  <c r="B39577" i="1"/>
  <c r="B39578" i="1"/>
  <c r="B39579" i="1"/>
  <c r="B39580" i="1"/>
  <c r="B39581" i="1"/>
  <c r="B39582" i="1"/>
  <c r="B39583" i="1"/>
  <c r="B39584" i="1"/>
  <c r="B39585" i="1"/>
  <c r="B39586" i="1"/>
  <c r="B39587" i="1"/>
  <c r="B39588" i="1"/>
  <c r="B39589" i="1"/>
  <c r="B39590" i="1"/>
  <c r="B39591" i="1"/>
  <c r="B39592" i="1"/>
  <c r="B39593" i="1"/>
  <c r="B39594" i="1"/>
  <c r="B39595" i="1"/>
  <c r="B39596" i="1"/>
  <c r="B39597" i="1"/>
  <c r="B39598" i="1"/>
  <c r="B39599" i="1"/>
  <c r="B39600" i="1"/>
  <c r="B39601" i="1"/>
  <c r="B39602" i="1"/>
  <c r="B39603" i="1"/>
  <c r="B39604" i="1"/>
  <c r="B39605" i="1"/>
  <c r="B39606" i="1"/>
  <c r="B39607" i="1"/>
  <c r="B39608" i="1"/>
  <c r="B39609" i="1"/>
  <c r="B39610" i="1"/>
  <c r="B39611" i="1"/>
  <c r="B39612" i="1"/>
  <c r="B39613" i="1"/>
  <c r="B39614" i="1"/>
  <c r="B39615" i="1"/>
  <c r="B39616" i="1"/>
  <c r="B39617" i="1"/>
  <c r="B39618" i="1"/>
  <c r="B39619" i="1"/>
  <c r="B39620" i="1"/>
  <c r="B39621" i="1"/>
  <c r="B39622" i="1"/>
  <c r="B39623" i="1"/>
  <c r="B39624" i="1"/>
  <c r="B39625" i="1"/>
  <c r="B39626" i="1"/>
  <c r="B39627" i="1"/>
  <c r="B39628" i="1"/>
  <c r="B39629" i="1"/>
  <c r="B39630" i="1"/>
  <c r="B39631" i="1"/>
  <c r="B39632" i="1"/>
  <c r="B39633" i="1"/>
  <c r="B39634" i="1"/>
  <c r="B39635" i="1"/>
  <c r="B39636" i="1"/>
  <c r="B39637" i="1"/>
  <c r="B39638" i="1"/>
  <c r="B39639" i="1"/>
  <c r="B39640" i="1"/>
  <c r="B39641" i="1"/>
  <c r="B39642" i="1"/>
  <c r="B39643" i="1"/>
  <c r="B39644" i="1"/>
  <c r="B39645" i="1"/>
  <c r="B39646" i="1"/>
  <c r="B39647" i="1"/>
  <c r="B39648" i="1"/>
  <c r="B39649" i="1"/>
  <c r="B39650" i="1"/>
  <c r="B39651" i="1"/>
  <c r="B39652" i="1"/>
  <c r="B39653" i="1"/>
  <c r="B39654" i="1"/>
  <c r="B39655" i="1"/>
  <c r="B39656" i="1"/>
  <c r="B39657" i="1"/>
  <c r="B39658" i="1"/>
  <c r="B39659" i="1"/>
  <c r="B39660" i="1"/>
  <c r="B39661" i="1"/>
  <c r="B39662" i="1"/>
  <c r="B39663" i="1"/>
  <c r="B39664" i="1"/>
  <c r="B39665" i="1"/>
  <c r="B39666" i="1"/>
  <c r="B39667" i="1"/>
  <c r="B39668" i="1"/>
  <c r="B39669" i="1"/>
  <c r="B39670" i="1"/>
  <c r="B39671" i="1"/>
  <c r="B39672" i="1"/>
  <c r="B39673" i="1"/>
  <c r="B39674" i="1"/>
  <c r="B39675" i="1"/>
  <c r="B39676" i="1"/>
  <c r="B39677" i="1"/>
  <c r="B39678" i="1"/>
  <c r="B39679" i="1"/>
  <c r="B39680" i="1"/>
  <c r="B39681" i="1"/>
  <c r="B39682" i="1"/>
  <c r="B39683" i="1"/>
  <c r="B39684" i="1"/>
  <c r="B39685" i="1"/>
  <c r="B39686" i="1"/>
  <c r="B39687" i="1"/>
  <c r="B39688" i="1"/>
  <c r="B39689" i="1"/>
  <c r="B39690" i="1"/>
  <c r="B39691" i="1"/>
  <c r="B39692" i="1"/>
  <c r="B39693" i="1"/>
  <c r="B39694" i="1"/>
  <c r="B39695" i="1"/>
  <c r="B39696" i="1"/>
  <c r="B39697" i="1"/>
  <c r="B39698" i="1"/>
  <c r="B39699" i="1"/>
  <c r="B39700" i="1"/>
  <c r="B39701" i="1"/>
  <c r="B39702" i="1"/>
  <c r="B39703" i="1"/>
  <c r="B39704" i="1"/>
  <c r="B39705" i="1"/>
  <c r="B39706" i="1"/>
  <c r="B39707" i="1"/>
  <c r="B39708" i="1"/>
  <c r="B39709" i="1"/>
  <c r="B39710" i="1"/>
  <c r="B39711" i="1"/>
  <c r="B39712" i="1"/>
  <c r="B39713" i="1"/>
  <c r="B39714" i="1"/>
  <c r="B39715" i="1"/>
  <c r="B39716" i="1"/>
  <c r="B39717" i="1"/>
  <c r="B39718" i="1"/>
  <c r="B39719" i="1"/>
  <c r="B39720" i="1"/>
  <c r="B39721" i="1"/>
  <c r="B39722" i="1"/>
  <c r="B39723" i="1"/>
  <c r="B39724" i="1"/>
  <c r="B39725" i="1"/>
  <c r="B39726" i="1"/>
  <c r="B39727" i="1"/>
  <c r="B39728" i="1"/>
  <c r="B39729" i="1"/>
  <c r="B39730" i="1"/>
  <c r="B39731" i="1"/>
  <c r="B39732" i="1"/>
  <c r="B39733" i="1"/>
  <c r="B39734" i="1"/>
  <c r="B39735" i="1"/>
  <c r="B39736" i="1"/>
  <c r="B39737" i="1"/>
  <c r="B39738" i="1"/>
  <c r="B39739" i="1"/>
  <c r="B39740" i="1"/>
  <c r="B39741" i="1"/>
  <c r="B39742" i="1"/>
  <c r="B39743" i="1"/>
  <c r="B39744" i="1"/>
  <c r="B39745" i="1"/>
  <c r="B39746" i="1"/>
  <c r="B39747" i="1"/>
  <c r="B39748" i="1"/>
  <c r="B39749" i="1"/>
  <c r="B39750" i="1"/>
  <c r="B39751" i="1"/>
  <c r="B39752" i="1"/>
  <c r="B39753" i="1"/>
  <c r="B39754" i="1"/>
  <c r="B39755" i="1"/>
  <c r="B39756" i="1"/>
  <c r="B39757" i="1"/>
  <c r="B39758" i="1"/>
  <c r="B39759" i="1"/>
  <c r="B39760" i="1"/>
  <c r="B39761" i="1"/>
  <c r="B39762" i="1"/>
  <c r="B39763" i="1"/>
  <c r="B39764" i="1"/>
  <c r="B39765" i="1"/>
  <c r="B39766" i="1"/>
  <c r="B39767" i="1"/>
  <c r="B39768" i="1"/>
  <c r="B39769" i="1"/>
  <c r="B39770" i="1"/>
  <c r="B39771" i="1"/>
  <c r="B39772" i="1"/>
  <c r="B39773" i="1"/>
  <c r="B39774" i="1"/>
  <c r="B39775" i="1"/>
  <c r="B39776" i="1"/>
  <c r="B39777" i="1"/>
  <c r="B39778" i="1"/>
  <c r="B39779" i="1"/>
  <c r="B39780" i="1"/>
  <c r="B39781" i="1"/>
  <c r="B39782" i="1"/>
  <c r="B39783" i="1"/>
  <c r="B39784" i="1"/>
  <c r="B39785" i="1"/>
  <c r="B39786" i="1"/>
  <c r="B39787" i="1"/>
  <c r="B39788" i="1"/>
  <c r="B39789" i="1"/>
  <c r="B39790" i="1"/>
  <c r="B39791" i="1"/>
  <c r="B39792" i="1"/>
  <c r="B39793" i="1"/>
  <c r="B39794" i="1"/>
  <c r="B39795" i="1"/>
  <c r="B39796" i="1"/>
  <c r="B39797" i="1"/>
  <c r="B39798" i="1"/>
  <c r="B39799" i="1"/>
  <c r="B39800" i="1"/>
  <c r="B39801" i="1"/>
  <c r="B39802" i="1"/>
  <c r="B39803" i="1"/>
  <c r="B39804" i="1"/>
  <c r="B39805" i="1"/>
  <c r="B39806" i="1"/>
  <c r="B39807" i="1"/>
  <c r="B39808" i="1"/>
  <c r="B39809" i="1"/>
  <c r="B39810" i="1"/>
  <c r="B39811" i="1"/>
  <c r="B39812" i="1"/>
  <c r="B39813" i="1"/>
  <c r="B39814" i="1"/>
  <c r="B39815" i="1"/>
  <c r="B39816" i="1"/>
  <c r="B39817" i="1"/>
  <c r="B39818" i="1"/>
  <c r="B39819" i="1"/>
  <c r="B39820" i="1"/>
  <c r="B39821" i="1"/>
  <c r="B39822" i="1"/>
  <c r="B39823" i="1"/>
  <c r="B39824" i="1"/>
  <c r="B39825" i="1"/>
  <c r="B39826" i="1"/>
  <c r="B39827" i="1"/>
  <c r="B39828" i="1"/>
  <c r="B39829" i="1"/>
  <c r="B39830" i="1"/>
  <c r="B39831" i="1"/>
  <c r="B39832" i="1"/>
  <c r="B39833" i="1"/>
  <c r="B39834" i="1"/>
  <c r="B39835" i="1"/>
  <c r="B39836" i="1"/>
  <c r="B39837" i="1"/>
  <c r="B39838" i="1"/>
  <c r="B39839" i="1"/>
  <c r="B39840" i="1"/>
  <c r="B39841" i="1"/>
  <c r="B39842" i="1"/>
  <c r="B39843" i="1"/>
  <c r="B39844" i="1"/>
  <c r="B39845" i="1"/>
  <c r="B39846" i="1"/>
  <c r="B39847" i="1"/>
  <c r="B39848" i="1"/>
  <c r="B39849" i="1"/>
  <c r="B39850" i="1"/>
  <c r="B39851" i="1"/>
  <c r="B39852" i="1"/>
  <c r="B39853" i="1"/>
  <c r="B39854" i="1"/>
  <c r="B39855" i="1"/>
  <c r="B39856" i="1"/>
  <c r="B39857" i="1"/>
  <c r="B39858" i="1"/>
  <c r="B39859" i="1"/>
  <c r="B39860" i="1"/>
  <c r="B39861" i="1"/>
  <c r="B39862" i="1"/>
  <c r="B39863" i="1"/>
  <c r="B39864" i="1"/>
  <c r="B39865" i="1"/>
  <c r="B39866" i="1"/>
  <c r="B39867" i="1"/>
  <c r="B39868" i="1"/>
  <c r="B39869" i="1"/>
  <c r="B39870" i="1"/>
  <c r="B39871" i="1"/>
  <c r="B39872" i="1"/>
  <c r="B39873" i="1"/>
  <c r="B39874" i="1"/>
  <c r="B39875" i="1"/>
  <c r="B39876" i="1"/>
  <c r="B39877" i="1"/>
  <c r="B39878" i="1"/>
  <c r="B39879" i="1"/>
  <c r="B39880" i="1"/>
  <c r="B39881" i="1"/>
  <c r="B39882" i="1"/>
  <c r="B39883" i="1"/>
  <c r="B39884" i="1"/>
  <c r="B39885" i="1"/>
  <c r="B39886" i="1"/>
  <c r="B39887" i="1"/>
  <c r="B39888" i="1"/>
  <c r="B39889" i="1"/>
  <c r="B39890" i="1"/>
  <c r="B39891" i="1"/>
  <c r="B39892" i="1"/>
  <c r="B39893" i="1"/>
  <c r="B39894" i="1"/>
  <c r="B39895" i="1"/>
  <c r="B39896" i="1"/>
  <c r="B39897" i="1"/>
  <c r="B39898" i="1"/>
  <c r="B39899" i="1"/>
  <c r="B39900" i="1"/>
  <c r="B39901" i="1"/>
  <c r="B39902" i="1"/>
  <c r="B39903" i="1"/>
  <c r="B39904" i="1"/>
  <c r="B39905" i="1"/>
  <c r="B39906" i="1"/>
  <c r="B39907" i="1"/>
  <c r="B39908" i="1"/>
  <c r="B39909" i="1"/>
  <c r="B39910" i="1"/>
  <c r="B39911" i="1"/>
  <c r="B39912" i="1"/>
  <c r="B39913" i="1"/>
  <c r="B39914" i="1"/>
  <c r="B39915" i="1"/>
  <c r="B39916" i="1"/>
  <c r="B39917" i="1"/>
  <c r="B39918" i="1"/>
  <c r="B39919" i="1"/>
  <c r="B39920" i="1"/>
  <c r="B39921" i="1"/>
  <c r="B39922" i="1"/>
  <c r="B39923" i="1"/>
  <c r="B39924" i="1"/>
  <c r="B39925" i="1"/>
  <c r="B39926" i="1"/>
  <c r="B39927" i="1"/>
  <c r="B39928" i="1"/>
  <c r="B39929" i="1"/>
  <c r="B39930" i="1"/>
  <c r="B39931" i="1"/>
  <c r="B39932" i="1"/>
  <c r="B39933" i="1"/>
  <c r="B39934" i="1"/>
  <c r="B39935" i="1"/>
  <c r="B39936" i="1"/>
  <c r="B39937" i="1"/>
  <c r="B39938" i="1"/>
  <c r="B39939" i="1"/>
  <c r="B39940" i="1"/>
  <c r="B39941" i="1"/>
  <c r="B39942" i="1"/>
  <c r="B39943" i="1"/>
  <c r="B39944" i="1"/>
  <c r="B39945" i="1"/>
  <c r="B39946" i="1"/>
  <c r="B39947" i="1"/>
  <c r="B39948" i="1"/>
  <c r="B39949" i="1"/>
  <c r="B39950" i="1"/>
  <c r="B39951" i="1"/>
  <c r="B39952" i="1"/>
  <c r="B39953" i="1"/>
  <c r="B39954" i="1"/>
  <c r="B39955" i="1"/>
  <c r="B39956" i="1"/>
  <c r="B39957" i="1"/>
  <c r="B39958" i="1"/>
  <c r="B39959" i="1"/>
  <c r="B39960" i="1"/>
  <c r="B39961" i="1"/>
  <c r="B39962" i="1"/>
  <c r="B39963" i="1"/>
  <c r="B39964" i="1"/>
  <c r="B39965" i="1"/>
  <c r="B39966" i="1"/>
  <c r="B39967" i="1"/>
  <c r="B39968" i="1"/>
  <c r="B39969" i="1"/>
  <c r="B39970" i="1"/>
  <c r="B39971" i="1"/>
  <c r="B39972" i="1"/>
  <c r="B39973" i="1"/>
  <c r="B39974" i="1"/>
  <c r="B39975" i="1"/>
  <c r="B39976" i="1"/>
  <c r="B39977" i="1"/>
  <c r="B39978" i="1"/>
  <c r="B39979" i="1"/>
  <c r="B39980" i="1"/>
  <c r="B39981" i="1"/>
  <c r="B39982" i="1"/>
  <c r="B39983" i="1"/>
  <c r="B39984" i="1"/>
  <c r="B39985" i="1"/>
  <c r="B39986" i="1"/>
  <c r="B39987" i="1"/>
  <c r="B39988" i="1"/>
  <c r="B39989" i="1"/>
  <c r="B39990" i="1"/>
  <c r="B39991" i="1"/>
  <c r="B39992" i="1"/>
  <c r="B39993" i="1"/>
  <c r="B39994" i="1"/>
  <c r="B39995" i="1"/>
  <c r="B39996" i="1"/>
  <c r="B39997" i="1"/>
  <c r="B39998" i="1"/>
  <c r="B39999" i="1"/>
  <c r="B40000" i="1"/>
  <c r="B40001" i="1"/>
  <c r="B40002" i="1"/>
  <c r="B40003" i="1"/>
  <c r="B40004" i="1"/>
  <c r="B40005" i="1"/>
  <c r="B40006" i="1"/>
  <c r="B40007" i="1"/>
  <c r="B40008" i="1"/>
  <c r="B40009" i="1"/>
  <c r="B40010" i="1"/>
  <c r="B40011" i="1"/>
  <c r="B40012" i="1"/>
  <c r="B40013" i="1"/>
  <c r="B40014" i="1"/>
  <c r="B40015" i="1"/>
  <c r="B40016" i="1"/>
  <c r="B40017" i="1"/>
  <c r="B40018" i="1"/>
  <c r="B40019" i="1"/>
  <c r="B40020" i="1"/>
  <c r="B40021" i="1"/>
  <c r="B40022" i="1"/>
  <c r="B40023" i="1"/>
  <c r="B40024" i="1"/>
  <c r="B40025" i="1"/>
  <c r="B40026" i="1"/>
  <c r="B40027" i="1"/>
  <c r="B40028" i="1"/>
  <c r="B40029" i="1"/>
  <c r="B40030" i="1"/>
  <c r="B40031" i="1"/>
  <c r="B40032" i="1"/>
  <c r="B40033" i="1"/>
  <c r="B40034" i="1"/>
  <c r="B40035" i="1"/>
  <c r="B40036" i="1"/>
  <c r="B40037" i="1"/>
  <c r="B40038" i="1"/>
  <c r="B40039" i="1"/>
  <c r="B40040" i="1"/>
  <c r="B40041" i="1"/>
  <c r="B40042" i="1"/>
  <c r="B40043" i="1"/>
  <c r="B40044" i="1"/>
  <c r="B40045" i="1"/>
  <c r="B40046" i="1"/>
  <c r="B40047" i="1"/>
  <c r="B40048" i="1"/>
  <c r="B40049" i="1"/>
  <c r="B40050" i="1"/>
  <c r="B40051" i="1"/>
  <c r="B40052" i="1"/>
  <c r="B40053" i="1"/>
  <c r="B40054" i="1"/>
  <c r="B40055" i="1"/>
  <c r="B40056" i="1"/>
  <c r="B40057" i="1"/>
  <c r="B40058" i="1"/>
  <c r="B40059" i="1"/>
  <c r="B40060" i="1"/>
  <c r="B40061" i="1"/>
  <c r="B40062" i="1"/>
  <c r="B40063" i="1"/>
  <c r="B40064" i="1"/>
  <c r="B40065" i="1"/>
  <c r="B40066" i="1"/>
  <c r="B40067" i="1"/>
  <c r="B40068" i="1"/>
  <c r="B40069" i="1"/>
  <c r="B40070" i="1"/>
  <c r="B40071" i="1"/>
  <c r="B40072" i="1"/>
  <c r="B40073" i="1"/>
  <c r="B40074" i="1"/>
  <c r="B40075" i="1"/>
  <c r="B40076" i="1"/>
  <c r="B40077" i="1"/>
  <c r="B40078" i="1"/>
  <c r="B40079" i="1"/>
  <c r="B40080" i="1"/>
  <c r="B40081" i="1"/>
  <c r="B40082" i="1"/>
  <c r="B40083" i="1"/>
  <c r="B40084" i="1"/>
  <c r="B40085" i="1"/>
  <c r="B40086" i="1"/>
  <c r="B40087" i="1"/>
  <c r="B40088" i="1"/>
  <c r="B40089" i="1"/>
  <c r="B40090" i="1"/>
  <c r="B40091" i="1"/>
  <c r="B40092" i="1"/>
  <c r="B40093" i="1"/>
  <c r="B40094" i="1"/>
  <c r="B40095" i="1"/>
  <c r="B40096" i="1"/>
  <c r="B40097" i="1"/>
  <c r="B40098" i="1"/>
  <c r="B40099" i="1"/>
  <c r="B40100" i="1"/>
  <c r="B40101" i="1"/>
  <c r="B40102" i="1"/>
  <c r="B40103" i="1"/>
  <c r="B40104" i="1"/>
  <c r="B40105" i="1"/>
  <c r="B40106" i="1"/>
  <c r="B40107" i="1"/>
  <c r="B40108" i="1"/>
  <c r="B40109" i="1"/>
  <c r="B40110" i="1"/>
  <c r="B40111" i="1"/>
  <c r="B40112" i="1"/>
  <c r="B40113" i="1"/>
  <c r="B40114" i="1"/>
  <c r="B40115" i="1"/>
  <c r="B40116" i="1"/>
  <c r="B40117" i="1"/>
  <c r="B40118" i="1"/>
  <c r="B40119" i="1"/>
  <c r="B40120" i="1"/>
  <c r="B40121" i="1"/>
  <c r="B40122" i="1"/>
  <c r="B40123" i="1"/>
  <c r="B40124" i="1"/>
  <c r="B40125" i="1"/>
  <c r="B40126" i="1"/>
  <c r="B40127" i="1"/>
  <c r="B40128" i="1"/>
  <c r="B40129" i="1"/>
  <c r="B40130" i="1"/>
  <c r="B40131" i="1"/>
  <c r="B40132" i="1"/>
  <c r="B40133" i="1"/>
  <c r="B40134" i="1"/>
  <c r="B40135" i="1"/>
  <c r="B40136" i="1"/>
  <c r="B40137" i="1"/>
  <c r="B40138" i="1"/>
  <c r="B40139" i="1"/>
  <c r="B40140" i="1"/>
  <c r="B40141" i="1"/>
  <c r="B40142" i="1"/>
  <c r="B40143" i="1"/>
  <c r="B40144" i="1"/>
  <c r="B40145" i="1"/>
  <c r="B40146" i="1"/>
  <c r="B40147" i="1"/>
  <c r="B40148" i="1"/>
  <c r="B40149" i="1"/>
  <c r="B40150" i="1"/>
  <c r="B40151" i="1"/>
  <c r="B40152" i="1"/>
  <c r="B40153" i="1"/>
  <c r="B40154" i="1"/>
  <c r="B40155" i="1"/>
  <c r="B40156" i="1"/>
  <c r="B40157" i="1"/>
  <c r="B40158" i="1"/>
  <c r="B40159" i="1"/>
  <c r="B40160" i="1"/>
  <c r="B40161" i="1"/>
  <c r="B40162" i="1"/>
  <c r="B40163" i="1"/>
  <c r="B40164" i="1"/>
  <c r="B40165" i="1"/>
  <c r="B40166" i="1"/>
  <c r="B40167" i="1"/>
  <c r="B40168" i="1"/>
  <c r="B40169" i="1"/>
  <c r="B40170" i="1"/>
  <c r="B40171" i="1"/>
  <c r="B40172" i="1"/>
  <c r="B40173" i="1"/>
  <c r="B40174" i="1"/>
  <c r="B40175" i="1"/>
  <c r="B40176" i="1"/>
  <c r="B40177" i="1"/>
  <c r="B40178" i="1"/>
  <c r="B40179" i="1"/>
  <c r="B40180" i="1"/>
  <c r="B40181" i="1"/>
  <c r="B40182" i="1"/>
  <c r="B40183" i="1"/>
  <c r="B40184" i="1"/>
  <c r="B40185" i="1"/>
  <c r="B40186" i="1"/>
  <c r="B40187" i="1"/>
  <c r="B40188" i="1"/>
  <c r="B40189" i="1"/>
  <c r="B40190" i="1"/>
  <c r="B40191" i="1"/>
  <c r="B40192" i="1"/>
  <c r="B40193" i="1"/>
  <c r="B40194" i="1"/>
  <c r="B40195" i="1"/>
  <c r="B40196" i="1"/>
  <c r="B40197" i="1"/>
  <c r="B40198" i="1"/>
  <c r="B40199" i="1"/>
  <c r="B40200" i="1"/>
  <c r="B40201" i="1"/>
  <c r="B40202" i="1"/>
  <c r="B40203" i="1"/>
  <c r="B40204" i="1"/>
  <c r="B40205" i="1"/>
  <c r="B40206" i="1"/>
  <c r="B40207" i="1"/>
  <c r="B40208" i="1"/>
  <c r="B40209" i="1"/>
  <c r="B40210" i="1"/>
  <c r="B40211" i="1"/>
  <c r="B40212" i="1"/>
  <c r="B40213" i="1"/>
  <c r="B40214" i="1"/>
  <c r="B40215" i="1"/>
  <c r="B40216" i="1"/>
  <c r="B40217" i="1"/>
  <c r="B40218" i="1"/>
  <c r="B40219" i="1"/>
  <c r="B40220" i="1"/>
  <c r="B40221" i="1"/>
  <c r="B40222" i="1"/>
  <c r="B40223" i="1"/>
  <c r="B40224" i="1"/>
  <c r="B40225" i="1"/>
  <c r="B40226" i="1"/>
  <c r="B40227" i="1"/>
  <c r="B40228" i="1"/>
  <c r="B40229" i="1"/>
  <c r="B40230" i="1"/>
  <c r="B40231" i="1"/>
  <c r="B40232" i="1"/>
  <c r="B40233" i="1"/>
  <c r="B40234" i="1"/>
  <c r="B40235" i="1"/>
  <c r="B40236" i="1"/>
  <c r="B40237" i="1"/>
  <c r="B40238" i="1"/>
  <c r="B40239" i="1"/>
  <c r="B40240" i="1"/>
  <c r="B40241" i="1"/>
  <c r="B40242" i="1"/>
  <c r="B40243" i="1"/>
  <c r="B40244" i="1"/>
  <c r="B40245" i="1"/>
  <c r="B40246" i="1"/>
  <c r="B40247" i="1"/>
  <c r="B40248" i="1"/>
  <c r="B40249" i="1"/>
  <c r="B40250" i="1"/>
  <c r="B40251" i="1"/>
  <c r="B40252" i="1"/>
  <c r="B40253" i="1"/>
  <c r="B40254" i="1"/>
  <c r="B40255" i="1"/>
  <c r="B40256" i="1"/>
  <c r="B40257" i="1"/>
  <c r="B40258" i="1"/>
  <c r="B40259" i="1"/>
  <c r="B40260" i="1"/>
  <c r="B40261" i="1"/>
  <c r="B40262" i="1"/>
  <c r="B40263" i="1"/>
  <c r="B40264" i="1"/>
  <c r="B40265" i="1"/>
  <c r="B40266" i="1"/>
  <c r="B40267" i="1"/>
  <c r="B40268" i="1"/>
  <c r="B40269" i="1"/>
  <c r="B40270" i="1"/>
  <c r="B40271" i="1"/>
  <c r="B40272" i="1"/>
  <c r="B40273" i="1"/>
  <c r="B40274" i="1"/>
  <c r="B40275" i="1"/>
  <c r="B40276" i="1"/>
  <c r="B40277" i="1"/>
  <c r="B40278" i="1"/>
  <c r="B40279" i="1"/>
  <c r="B40280" i="1"/>
  <c r="B40281" i="1"/>
  <c r="B40282" i="1"/>
  <c r="B40283" i="1"/>
  <c r="B40284" i="1"/>
  <c r="B40285" i="1"/>
  <c r="B40286" i="1"/>
  <c r="B40287" i="1"/>
  <c r="B40288" i="1"/>
  <c r="B40289" i="1"/>
  <c r="B40290" i="1"/>
  <c r="B40291" i="1"/>
  <c r="B40292" i="1"/>
  <c r="B40293" i="1"/>
  <c r="B40294" i="1"/>
  <c r="B40295" i="1"/>
  <c r="B40296" i="1"/>
  <c r="B40297" i="1"/>
  <c r="B40298" i="1"/>
  <c r="B40299" i="1"/>
  <c r="B40300" i="1"/>
  <c r="B40301" i="1"/>
  <c r="B40302" i="1"/>
  <c r="B40303" i="1"/>
  <c r="B40304" i="1"/>
  <c r="B40305" i="1"/>
  <c r="B40306" i="1"/>
  <c r="B40307" i="1"/>
  <c r="B40308" i="1"/>
  <c r="B40309" i="1"/>
  <c r="B40310" i="1"/>
  <c r="B40311" i="1"/>
  <c r="B40312" i="1"/>
  <c r="B40313" i="1"/>
  <c r="B40314" i="1"/>
  <c r="B40315" i="1"/>
  <c r="B40316" i="1"/>
  <c r="B40317" i="1"/>
  <c r="B40318" i="1"/>
  <c r="B40319" i="1"/>
  <c r="B40320" i="1"/>
  <c r="B40321" i="1"/>
  <c r="B40322" i="1"/>
  <c r="B40323" i="1"/>
  <c r="B40324" i="1"/>
  <c r="B40325" i="1"/>
  <c r="B40326" i="1"/>
  <c r="B40327" i="1"/>
  <c r="B40328" i="1"/>
  <c r="B40329" i="1"/>
  <c r="B40330" i="1"/>
  <c r="B40331" i="1"/>
  <c r="B40332" i="1"/>
  <c r="B40333" i="1"/>
  <c r="B40334" i="1"/>
  <c r="B40335" i="1"/>
  <c r="B40336" i="1"/>
  <c r="B40337" i="1"/>
  <c r="B40338" i="1"/>
  <c r="B40339" i="1"/>
  <c r="B40340" i="1"/>
  <c r="B40341" i="1"/>
  <c r="B40342" i="1"/>
  <c r="B40343" i="1"/>
  <c r="B40344" i="1"/>
  <c r="B40345" i="1"/>
  <c r="B40346" i="1"/>
  <c r="B40347" i="1"/>
  <c r="B40348" i="1"/>
  <c r="B40349" i="1"/>
  <c r="B40350" i="1"/>
  <c r="B40351" i="1"/>
  <c r="B40352" i="1"/>
  <c r="B40353" i="1"/>
  <c r="B40354" i="1"/>
  <c r="B40355" i="1"/>
  <c r="B40356" i="1"/>
  <c r="B40357" i="1"/>
  <c r="B40358" i="1"/>
  <c r="B40359" i="1"/>
  <c r="B40360" i="1"/>
  <c r="B40361" i="1"/>
  <c r="B40362" i="1"/>
  <c r="B40363" i="1"/>
  <c r="B40364" i="1"/>
  <c r="B40365" i="1"/>
  <c r="B40366" i="1"/>
  <c r="B40367" i="1"/>
  <c r="B40368" i="1"/>
  <c r="B40369" i="1"/>
  <c r="B40370" i="1"/>
  <c r="B40371" i="1"/>
  <c r="B40372" i="1"/>
  <c r="B40373" i="1"/>
  <c r="B40374" i="1"/>
  <c r="B40375" i="1"/>
  <c r="B40376" i="1"/>
  <c r="B40377" i="1"/>
  <c r="B40378" i="1"/>
  <c r="B40379" i="1"/>
  <c r="B40380" i="1"/>
  <c r="B40381" i="1"/>
  <c r="B40382" i="1"/>
  <c r="B40383" i="1"/>
  <c r="B40384" i="1"/>
  <c r="B40385" i="1"/>
  <c r="B40386" i="1"/>
  <c r="B40387" i="1"/>
  <c r="B40388" i="1"/>
  <c r="B40389" i="1"/>
  <c r="B40390" i="1"/>
  <c r="B40391" i="1"/>
  <c r="B40392" i="1"/>
  <c r="B40393" i="1"/>
  <c r="B40394" i="1"/>
  <c r="B40395" i="1"/>
  <c r="B40396" i="1"/>
  <c r="B40397" i="1"/>
  <c r="B40398" i="1"/>
  <c r="B40399" i="1"/>
  <c r="B40400" i="1"/>
  <c r="B40401" i="1"/>
  <c r="B40402" i="1"/>
  <c r="B40403" i="1"/>
  <c r="B40404" i="1"/>
  <c r="B40405" i="1"/>
  <c r="B40406" i="1"/>
  <c r="B40407" i="1"/>
  <c r="B40408" i="1"/>
  <c r="B40409" i="1"/>
  <c r="B40410" i="1"/>
  <c r="B40411" i="1"/>
  <c r="B40412" i="1"/>
  <c r="B40413" i="1"/>
  <c r="B40414" i="1"/>
  <c r="B40415" i="1"/>
  <c r="B40416" i="1"/>
  <c r="B40417" i="1"/>
  <c r="B40418" i="1"/>
  <c r="B40419" i="1"/>
  <c r="B40420" i="1"/>
  <c r="B40421" i="1"/>
  <c r="B40422" i="1"/>
  <c r="B40423" i="1"/>
  <c r="B40424" i="1"/>
  <c r="B40425" i="1"/>
  <c r="B40426" i="1"/>
  <c r="B40427" i="1"/>
  <c r="B40428" i="1"/>
  <c r="B40429" i="1"/>
  <c r="B40430" i="1"/>
  <c r="B40431" i="1"/>
  <c r="B40432" i="1"/>
  <c r="B40433" i="1"/>
  <c r="B40434" i="1"/>
  <c r="B40435" i="1"/>
  <c r="B40436" i="1"/>
  <c r="B40437" i="1"/>
  <c r="B40438" i="1"/>
  <c r="B40439" i="1"/>
  <c r="B40440" i="1"/>
  <c r="B40441" i="1"/>
  <c r="B40442" i="1"/>
  <c r="B40443" i="1"/>
  <c r="B40444" i="1"/>
  <c r="B40445" i="1"/>
  <c r="B40446" i="1"/>
  <c r="B40447" i="1"/>
  <c r="B40448" i="1"/>
  <c r="B40449" i="1"/>
  <c r="B40450" i="1"/>
  <c r="B40451" i="1"/>
  <c r="B40452" i="1"/>
  <c r="B40453" i="1"/>
  <c r="B40454" i="1"/>
  <c r="B40455" i="1"/>
  <c r="B40456" i="1"/>
  <c r="B40457" i="1"/>
  <c r="B40458" i="1"/>
  <c r="B40459" i="1"/>
  <c r="B40460" i="1"/>
  <c r="B40461" i="1"/>
  <c r="B40462" i="1"/>
  <c r="B40463" i="1"/>
  <c r="B40464" i="1"/>
  <c r="B40465" i="1"/>
  <c r="B40466" i="1"/>
  <c r="B40467" i="1"/>
  <c r="B40468" i="1"/>
  <c r="B40469" i="1"/>
  <c r="B40470" i="1"/>
  <c r="B40471" i="1"/>
  <c r="B40472" i="1"/>
  <c r="B40473" i="1"/>
  <c r="B40474" i="1"/>
  <c r="B40475" i="1"/>
  <c r="B40476" i="1"/>
  <c r="B40477" i="1"/>
  <c r="B40478" i="1"/>
  <c r="B40479" i="1"/>
  <c r="B40480" i="1"/>
  <c r="B40481" i="1"/>
  <c r="B40482" i="1"/>
  <c r="B40483" i="1"/>
  <c r="B40484" i="1"/>
  <c r="B40485" i="1"/>
  <c r="B40486" i="1"/>
  <c r="B40487" i="1"/>
  <c r="B40488" i="1"/>
  <c r="B40489" i="1"/>
  <c r="B40490" i="1"/>
  <c r="B40491" i="1"/>
  <c r="B40492" i="1"/>
  <c r="B40493" i="1"/>
  <c r="B40494" i="1"/>
  <c r="B40495" i="1"/>
  <c r="B40496" i="1"/>
  <c r="B40497" i="1"/>
  <c r="B40498" i="1"/>
  <c r="B40499" i="1"/>
  <c r="B40500" i="1"/>
  <c r="B40501" i="1"/>
  <c r="B40502" i="1"/>
  <c r="B40503" i="1"/>
  <c r="B40504" i="1"/>
  <c r="B40505" i="1"/>
  <c r="B40506" i="1"/>
  <c r="B40507" i="1"/>
  <c r="B40508" i="1"/>
  <c r="B40509" i="1"/>
  <c r="B40510" i="1"/>
  <c r="B40511" i="1"/>
  <c r="B40512" i="1"/>
  <c r="B40513" i="1"/>
  <c r="B40514" i="1"/>
  <c r="B40515" i="1"/>
  <c r="B40516" i="1"/>
  <c r="B40517" i="1"/>
  <c r="B40518" i="1"/>
  <c r="B40519" i="1"/>
  <c r="B40520" i="1"/>
  <c r="B40521" i="1"/>
  <c r="B40522" i="1"/>
  <c r="B40523" i="1"/>
  <c r="B40524" i="1"/>
  <c r="B40525" i="1"/>
  <c r="B40526" i="1"/>
  <c r="B40527" i="1"/>
  <c r="B40528" i="1"/>
  <c r="B40529" i="1"/>
  <c r="B40530" i="1"/>
  <c r="B40531" i="1"/>
  <c r="B40532" i="1"/>
  <c r="B40533" i="1"/>
  <c r="B40534" i="1"/>
  <c r="B40535" i="1"/>
  <c r="B40536" i="1"/>
  <c r="B40537" i="1"/>
  <c r="B40538" i="1"/>
  <c r="B40539" i="1"/>
  <c r="B40540" i="1"/>
  <c r="B40541" i="1"/>
  <c r="B40542" i="1"/>
  <c r="B40543" i="1"/>
  <c r="B40544" i="1"/>
  <c r="B40545" i="1"/>
  <c r="B40546" i="1"/>
  <c r="B40547" i="1"/>
  <c r="B40548" i="1"/>
  <c r="B40549" i="1"/>
  <c r="B40550" i="1"/>
  <c r="B40551" i="1"/>
  <c r="B40552" i="1"/>
  <c r="B40553" i="1"/>
  <c r="B40554" i="1"/>
  <c r="B40555" i="1"/>
  <c r="B40556" i="1"/>
  <c r="B40557" i="1"/>
  <c r="B40558" i="1"/>
  <c r="B40559" i="1"/>
  <c r="B40560" i="1"/>
  <c r="B40561" i="1"/>
  <c r="B40562" i="1"/>
  <c r="B40563" i="1"/>
  <c r="B40564" i="1"/>
  <c r="B40565" i="1"/>
  <c r="B40566" i="1"/>
  <c r="B40567" i="1"/>
  <c r="B40568" i="1"/>
  <c r="B40569" i="1"/>
  <c r="B40570" i="1"/>
  <c r="B40571" i="1"/>
  <c r="B40572" i="1"/>
  <c r="B40573" i="1"/>
  <c r="B40574" i="1"/>
  <c r="B40575" i="1"/>
  <c r="B40576" i="1"/>
  <c r="B40577" i="1"/>
  <c r="B40578" i="1"/>
  <c r="B40579" i="1"/>
  <c r="B40580" i="1"/>
  <c r="B40581" i="1"/>
  <c r="B40582" i="1"/>
  <c r="B40583" i="1"/>
  <c r="B40584" i="1"/>
  <c r="B40585" i="1"/>
  <c r="B40586" i="1"/>
  <c r="B40587" i="1"/>
  <c r="B40588" i="1"/>
  <c r="B40589" i="1"/>
  <c r="B40590" i="1"/>
  <c r="B40591" i="1"/>
  <c r="B40592" i="1"/>
  <c r="B40593" i="1"/>
  <c r="B40594" i="1"/>
  <c r="B40595" i="1"/>
  <c r="B40596" i="1"/>
  <c r="B40597" i="1"/>
  <c r="B40598" i="1"/>
  <c r="B40599" i="1"/>
  <c r="B40600" i="1"/>
  <c r="B40601" i="1"/>
  <c r="B40602" i="1"/>
  <c r="B40603" i="1"/>
  <c r="B40604" i="1"/>
  <c r="B40605" i="1"/>
  <c r="B40606" i="1"/>
  <c r="B40607" i="1"/>
  <c r="B40608" i="1"/>
  <c r="B40609" i="1"/>
  <c r="B40610" i="1"/>
  <c r="B40611" i="1"/>
  <c r="B40612" i="1"/>
  <c r="B40613" i="1"/>
  <c r="B40614" i="1"/>
  <c r="B40615" i="1"/>
  <c r="B40616" i="1"/>
  <c r="B40617" i="1"/>
  <c r="B40618" i="1"/>
  <c r="B40619" i="1"/>
  <c r="B40620" i="1"/>
  <c r="B40621" i="1"/>
  <c r="B40622" i="1"/>
  <c r="B40623" i="1"/>
  <c r="B40624" i="1"/>
  <c r="B40625" i="1"/>
  <c r="B40626" i="1"/>
  <c r="B40627" i="1"/>
  <c r="B40628" i="1"/>
  <c r="B40629" i="1"/>
  <c r="B40630" i="1"/>
  <c r="B40631" i="1"/>
  <c r="B40632" i="1"/>
  <c r="B40633" i="1"/>
  <c r="B40634" i="1"/>
  <c r="B40635" i="1"/>
  <c r="B40636" i="1"/>
  <c r="B40637" i="1"/>
  <c r="B40638" i="1"/>
  <c r="B40639" i="1"/>
  <c r="B40640" i="1"/>
  <c r="B40641" i="1"/>
  <c r="B40642" i="1"/>
  <c r="B40643" i="1"/>
  <c r="B40644" i="1"/>
  <c r="B40645" i="1"/>
  <c r="B40646" i="1"/>
  <c r="B40647" i="1"/>
  <c r="B40648" i="1"/>
  <c r="B40649" i="1"/>
  <c r="B40650" i="1"/>
  <c r="B40651" i="1"/>
  <c r="B40652" i="1"/>
  <c r="B40653" i="1"/>
  <c r="B40654" i="1"/>
  <c r="B40655" i="1"/>
  <c r="B40656" i="1"/>
  <c r="B40657" i="1"/>
  <c r="B40658" i="1"/>
  <c r="B40659" i="1"/>
  <c r="B40660" i="1"/>
  <c r="B40661" i="1"/>
  <c r="B40662" i="1"/>
  <c r="B40663" i="1"/>
  <c r="B40664" i="1"/>
  <c r="B40665" i="1"/>
  <c r="B40666" i="1"/>
  <c r="B40667" i="1"/>
  <c r="B40668" i="1"/>
  <c r="B40669" i="1"/>
  <c r="B40670" i="1"/>
  <c r="B40671" i="1"/>
  <c r="B40672" i="1"/>
  <c r="B40673" i="1"/>
  <c r="B40674" i="1"/>
  <c r="B40675" i="1"/>
  <c r="B40676" i="1"/>
  <c r="B40677" i="1"/>
  <c r="B40678" i="1"/>
  <c r="B40679" i="1"/>
  <c r="B40680" i="1"/>
  <c r="B40681" i="1"/>
  <c r="B40682" i="1"/>
  <c r="B40683" i="1"/>
  <c r="B40684" i="1"/>
  <c r="B40685" i="1"/>
  <c r="B40686" i="1"/>
  <c r="B40687" i="1"/>
  <c r="B40688" i="1"/>
  <c r="B40689" i="1"/>
  <c r="B40690" i="1"/>
  <c r="B40691" i="1"/>
  <c r="B40692" i="1"/>
  <c r="B40693" i="1"/>
  <c r="B40694" i="1"/>
  <c r="B40695" i="1"/>
  <c r="B40696" i="1"/>
  <c r="B40697" i="1"/>
  <c r="B40698" i="1"/>
  <c r="B40699" i="1"/>
  <c r="B40700" i="1"/>
  <c r="B40701" i="1"/>
  <c r="B40702" i="1"/>
  <c r="B40703" i="1"/>
  <c r="B40704" i="1"/>
  <c r="B40705" i="1"/>
  <c r="B40706" i="1"/>
  <c r="B40707" i="1"/>
  <c r="B40708" i="1"/>
  <c r="B40709" i="1"/>
  <c r="B40710" i="1"/>
  <c r="B40711" i="1"/>
  <c r="B40712" i="1"/>
  <c r="B40713" i="1"/>
  <c r="B40714" i="1"/>
  <c r="B40715" i="1"/>
  <c r="B40716" i="1"/>
  <c r="B40717" i="1"/>
  <c r="B40718" i="1"/>
  <c r="B40719" i="1"/>
  <c r="B40720" i="1"/>
  <c r="B40721" i="1"/>
  <c r="B40722" i="1"/>
  <c r="B40723" i="1"/>
  <c r="B40724" i="1"/>
  <c r="B40725" i="1"/>
  <c r="B40726" i="1"/>
  <c r="B40727" i="1"/>
  <c r="B40728" i="1"/>
  <c r="B40729" i="1"/>
  <c r="B40730" i="1"/>
  <c r="B40731" i="1"/>
  <c r="B40732" i="1"/>
  <c r="B40733" i="1"/>
  <c r="B40734" i="1"/>
  <c r="B40735" i="1"/>
  <c r="B40736" i="1"/>
  <c r="B40737" i="1"/>
  <c r="B40738" i="1"/>
  <c r="B40739" i="1"/>
  <c r="B40740" i="1"/>
  <c r="B40741" i="1"/>
  <c r="B40742" i="1"/>
  <c r="B40743" i="1"/>
  <c r="B40744" i="1"/>
  <c r="B40745" i="1"/>
  <c r="B40746" i="1"/>
  <c r="B40747" i="1"/>
  <c r="B40748" i="1"/>
  <c r="B40749" i="1"/>
  <c r="B40750" i="1"/>
  <c r="B40751" i="1"/>
  <c r="B40752" i="1"/>
  <c r="B40753" i="1"/>
  <c r="B40754" i="1"/>
  <c r="B40755" i="1"/>
  <c r="B40756" i="1"/>
  <c r="B40757" i="1"/>
  <c r="B40758" i="1"/>
  <c r="B40759" i="1"/>
  <c r="B40760" i="1"/>
  <c r="B40761" i="1"/>
  <c r="B40762" i="1"/>
  <c r="B40763" i="1"/>
  <c r="B40764" i="1"/>
  <c r="B40765" i="1"/>
  <c r="B40766" i="1"/>
  <c r="B40767" i="1"/>
  <c r="B40768" i="1"/>
  <c r="B40769" i="1"/>
  <c r="B40770" i="1"/>
  <c r="B40771" i="1"/>
  <c r="B40772" i="1"/>
  <c r="B40773" i="1"/>
  <c r="B40774" i="1"/>
  <c r="B40775" i="1"/>
  <c r="B40776" i="1"/>
  <c r="B40777" i="1"/>
  <c r="B40778" i="1"/>
  <c r="B40779" i="1"/>
  <c r="B40780" i="1"/>
  <c r="B40781" i="1"/>
  <c r="B40782" i="1"/>
  <c r="B40783" i="1"/>
  <c r="B40784" i="1"/>
  <c r="B40785" i="1"/>
  <c r="B40786" i="1"/>
  <c r="B40787" i="1"/>
  <c r="B40788" i="1"/>
  <c r="B40789" i="1"/>
  <c r="B40790" i="1"/>
  <c r="B40791" i="1"/>
  <c r="B40792" i="1"/>
  <c r="B40793" i="1"/>
  <c r="B40794" i="1"/>
  <c r="B40795" i="1"/>
  <c r="B40796" i="1"/>
  <c r="B40797" i="1"/>
  <c r="B40798" i="1"/>
  <c r="B40799" i="1"/>
  <c r="B40800" i="1"/>
  <c r="B40801" i="1"/>
  <c r="B40802" i="1"/>
  <c r="B40803" i="1"/>
  <c r="B40804" i="1"/>
  <c r="B40805" i="1"/>
  <c r="B40806" i="1"/>
  <c r="B40807" i="1"/>
  <c r="B40808" i="1"/>
  <c r="B40809" i="1"/>
  <c r="B40810" i="1"/>
  <c r="B40811" i="1"/>
  <c r="B40812" i="1"/>
  <c r="B40813" i="1"/>
  <c r="B40814" i="1"/>
  <c r="B40815" i="1"/>
  <c r="B40816" i="1"/>
  <c r="B40817" i="1"/>
  <c r="B40818" i="1"/>
  <c r="B40819" i="1"/>
  <c r="B40820" i="1"/>
  <c r="B40821" i="1"/>
  <c r="B40822" i="1"/>
  <c r="B40823" i="1"/>
  <c r="B40824" i="1"/>
  <c r="B40825" i="1"/>
  <c r="B40826" i="1"/>
  <c r="B40827" i="1"/>
  <c r="B40828" i="1"/>
  <c r="B40829" i="1"/>
  <c r="B40830" i="1"/>
  <c r="B40831" i="1"/>
  <c r="B40832" i="1"/>
  <c r="B40833" i="1"/>
  <c r="B40834" i="1"/>
  <c r="B40835" i="1"/>
  <c r="B40836" i="1"/>
  <c r="B40837" i="1"/>
  <c r="B40838" i="1"/>
  <c r="B40839" i="1"/>
  <c r="B40840" i="1"/>
  <c r="B40841" i="1"/>
  <c r="B40842" i="1"/>
  <c r="B40843" i="1"/>
  <c r="B40844" i="1"/>
  <c r="B40845" i="1"/>
  <c r="B40846" i="1"/>
  <c r="B40847" i="1"/>
  <c r="B40848" i="1"/>
  <c r="B40849" i="1"/>
  <c r="B40850" i="1"/>
  <c r="B40851" i="1"/>
  <c r="B40852" i="1"/>
  <c r="B40853" i="1"/>
  <c r="B40854" i="1"/>
  <c r="B40855" i="1"/>
  <c r="B40856" i="1"/>
  <c r="B40857" i="1"/>
  <c r="B40858" i="1"/>
  <c r="B40859" i="1"/>
  <c r="B40860" i="1"/>
  <c r="B40861" i="1"/>
  <c r="B40862" i="1"/>
  <c r="B40863" i="1"/>
  <c r="B40864" i="1"/>
  <c r="B40865" i="1"/>
  <c r="B40866" i="1"/>
  <c r="B40867" i="1"/>
  <c r="B40868" i="1"/>
  <c r="B40869" i="1"/>
  <c r="B40870" i="1"/>
  <c r="B40871" i="1"/>
  <c r="B40872" i="1"/>
  <c r="B40873" i="1"/>
  <c r="B40874" i="1"/>
  <c r="B40875" i="1"/>
  <c r="B40876" i="1"/>
  <c r="B40877" i="1"/>
  <c r="B40878" i="1"/>
  <c r="B40879" i="1"/>
  <c r="B40880" i="1"/>
  <c r="B40881" i="1"/>
  <c r="B40882" i="1"/>
  <c r="B40883" i="1"/>
  <c r="B40884" i="1"/>
  <c r="B40885" i="1"/>
  <c r="B40886" i="1"/>
  <c r="B40887" i="1"/>
  <c r="B40888" i="1"/>
  <c r="B40889" i="1"/>
  <c r="B40890" i="1"/>
  <c r="B40891" i="1"/>
  <c r="B40892" i="1"/>
  <c r="B40893" i="1"/>
  <c r="B40894" i="1"/>
  <c r="B40895" i="1"/>
  <c r="B40896" i="1"/>
  <c r="B40897" i="1"/>
  <c r="B40898" i="1"/>
  <c r="B40899" i="1"/>
  <c r="B40900" i="1"/>
  <c r="B40901" i="1"/>
  <c r="B40902" i="1"/>
  <c r="B40903" i="1"/>
  <c r="B40904" i="1"/>
  <c r="B40905" i="1"/>
  <c r="B40906" i="1"/>
  <c r="B40907" i="1"/>
  <c r="B40908" i="1"/>
  <c r="B40909" i="1"/>
  <c r="B40910" i="1"/>
  <c r="B40911" i="1"/>
  <c r="B40912" i="1"/>
  <c r="B40913" i="1"/>
  <c r="B40914" i="1"/>
  <c r="B40915" i="1"/>
  <c r="B40916" i="1"/>
  <c r="B40917" i="1"/>
  <c r="B40918" i="1"/>
  <c r="B40919" i="1"/>
  <c r="B40920" i="1"/>
  <c r="B40921" i="1"/>
  <c r="B40922" i="1"/>
  <c r="B40923" i="1"/>
  <c r="B40924" i="1"/>
  <c r="B40925" i="1"/>
  <c r="B40926" i="1"/>
  <c r="B40927" i="1"/>
  <c r="B40928" i="1"/>
  <c r="B40929" i="1"/>
  <c r="B40930" i="1"/>
  <c r="B40931" i="1"/>
  <c r="B40932" i="1"/>
  <c r="B40933" i="1"/>
  <c r="B40934" i="1"/>
  <c r="B40935" i="1"/>
  <c r="B40936" i="1"/>
  <c r="B40937" i="1"/>
  <c r="B40938" i="1"/>
  <c r="B40939" i="1"/>
  <c r="B40940" i="1"/>
  <c r="B40941" i="1"/>
  <c r="B40942" i="1"/>
  <c r="B40943" i="1"/>
  <c r="B40944" i="1"/>
  <c r="B40945" i="1"/>
  <c r="B40946" i="1"/>
  <c r="B40947" i="1"/>
  <c r="B40948" i="1"/>
  <c r="B40949" i="1"/>
  <c r="B40950" i="1"/>
  <c r="B40951" i="1"/>
  <c r="B40952" i="1"/>
  <c r="B40953" i="1"/>
  <c r="B40954" i="1"/>
  <c r="B40955" i="1"/>
  <c r="B40956" i="1"/>
  <c r="B40957" i="1"/>
  <c r="B40958" i="1"/>
  <c r="B40959" i="1"/>
  <c r="B40960" i="1"/>
  <c r="B40961" i="1"/>
  <c r="B40962" i="1"/>
  <c r="B40963" i="1"/>
  <c r="B40964" i="1"/>
  <c r="B40965" i="1"/>
  <c r="B40966" i="1"/>
  <c r="B40967" i="1"/>
  <c r="B40968" i="1"/>
  <c r="B40969" i="1"/>
  <c r="B40970" i="1"/>
  <c r="B40971" i="1"/>
  <c r="B40972" i="1"/>
  <c r="B40973" i="1"/>
  <c r="B40974" i="1"/>
  <c r="B40975" i="1"/>
  <c r="B40976" i="1"/>
  <c r="B40977" i="1"/>
  <c r="B40978" i="1"/>
  <c r="B40979" i="1"/>
  <c r="B40980" i="1"/>
  <c r="B40981" i="1"/>
  <c r="B40982" i="1"/>
  <c r="B40983" i="1"/>
  <c r="B40984" i="1"/>
  <c r="B40985" i="1"/>
  <c r="B40986" i="1"/>
  <c r="B40987" i="1"/>
  <c r="B40988" i="1"/>
  <c r="B40989" i="1"/>
  <c r="B40990" i="1"/>
  <c r="B40991" i="1"/>
  <c r="B40992" i="1"/>
  <c r="B40993" i="1"/>
  <c r="B40994" i="1"/>
  <c r="B40995" i="1"/>
  <c r="B40996" i="1"/>
  <c r="B40997" i="1"/>
  <c r="B40998" i="1"/>
  <c r="B40999" i="1"/>
  <c r="B41000" i="1"/>
  <c r="B41001" i="1"/>
  <c r="B41002" i="1"/>
  <c r="B41003" i="1"/>
  <c r="B41004" i="1"/>
  <c r="B41005" i="1"/>
  <c r="B41006" i="1"/>
  <c r="B41007" i="1"/>
  <c r="B41008" i="1"/>
  <c r="B41009" i="1"/>
  <c r="B41010" i="1"/>
  <c r="B41011" i="1"/>
  <c r="B41012" i="1"/>
  <c r="B41013" i="1"/>
  <c r="B41014" i="1"/>
  <c r="B41015" i="1"/>
  <c r="B41016" i="1"/>
  <c r="B41017" i="1"/>
  <c r="B41018" i="1"/>
  <c r="B41019" i="1"/>
  <c r="B41020" i="1"/>
  <c r="B41021" i="1"/>
  <c r="B41022" i="1"/>
  <c r="B41023" i="1"/>
  <c r="B41024" i="1"/>
  <c r="B41025" i="1"/>
  <c r="B41026" i="1"/>
  <c r="B41027" i="1"/>
  <c r="B41028" i="1"/>
  <c r="B41029" i="1"/>
  <c r="B41030" i="1"/>
  <c r="B41031" i="1"/>
  <c r="B41032" i="1"/>
  <c r="B41033" i="1"/>
  <c r="B41034" i="1"/>
  <c r="B41035" i="1"/>
  <c r="B41036" i="1"/>
  <c r="B41037" i="1"/>
  <c r="B41038" i="1"/>
  <c r="B41039" i="1"/>
  <c r="B41040" i="1"/>
  <c r="B41041" i="1"/>
  <c r="B41042" i="1"/>
  <c r="B41043" i="1"/>
  <c r="B41044" i="1"/>
  <c r="B41045" i="1"/>
  <c r="B41046" i="1"/>
  <c r="B41047" i="1"/>
  <c r="B41048" i="1"/>
  <c r="B41049" i="1"/>
  <c r="B41050" i="1"/>
  <c r="B41051" i="1"/>
  <c r="B41052" i="1"/>
  <c r="B41053" i="1"/>
  <c r="B41054" i="1"/>
  <c r="B41055" i="1"/>
  <c r="B41056" i="1"/>
  <c r="B41057" i="1"/>
  <c r="B41058" i="1"/>
  <c r="B41059" i="1"/>
  <c r="B41060" i="1"/>
  <c r="B41061" i="1"/>
  <c r="B41062" i="1"/>
  <c r="B41063" i="1"/>
  <c r="B41064" i="1"/>
  <c r="B41065" i="1"/>
  <c r="B41066" i="1"/>
  <c r="B41067" i="1"/>
  <c r="B41068" i="1"/>
  <c r="B41069" i="1"/>
  <c r="B41070" i="1"/>
  <c r="B41071" i="1"/>
  <c r="B41072" i="1"/>
  <c r="B41073" i="1"/>
  <c r="B41074" i="1"/>
  <c r="B41075" i="1"/>
  <c r="B41076" i="1"/>
  <c r="B41077" i="1"/>
  <c r="B41078" i="1"/>
  <c r="B41079" i="1"/>
  <c r="B41080" i="1"/>
  <c r="B41081" i="1"/>
  <c r="B41082" i="1"/>
  <c r="B41083" i="1"/>
  <c r="B41084" i="1"/>
  <c r="B41085" i="1"/>
  <c r="B41086" i="1"/>
  <c r="B41087" i="1"/>
  <c r="B41088" i="1"/>
  <c r="B41089" i="1"/>
  <c r="B41090" i="1"/>
  <c r="B41091" i="1"/>
  <c r="B41092" i="1"/>
  <c r="B41093" i="1"/>
  <c r="B41094" i="1"/>
  <c r="B41095" i="1"/>
  <c r="B41096" i="1"/>
  <c r="B41097" i="1"/>
  <c r="B41098" i="1"/>
  <c r="B41099" i="1"/>
  <c r="B41100" i="1"/>
  <c r="B41101" i="1"/>
  <c r="B41102" i="1"/>
  <c r="B41103" i="1"/>
  <c r="B41104" i="1"/>
  <c r="B41105" i="1"/>
  <c r="B41106" i="1"/>
  <c r="B41107" i="1"/>
  <c r="B41108" i="1"/>
  <c r="B41109" i="1"/>
  <c r="B41110" i="1"/>
  <c r="B41111" i="1"/>
  <c r="B41112" i="1"/>
  <c r="B41113" i="1"/>
  <c r="B41114" i="1"/>
  <c r="B41115" i="1"/>
  <c r="B41116" i="1"/>
  <c r="B41117" i="1"/>
  <c r="B41118" i="1"/>
  <c r="B41119" i="1"/>
  <c r="B41120" i="1"/>
  <c r="B41121" i="1"/>
  <c r="B41122" i="1"/>
  <c r="B41123" i="1"/>
  <c r="B41124" i="1"/>
  <c r="B41125" i="1"/>
  <c r="B41126" i="1"/>
  <c r="B41127" i="1"/>
  <c r="B41128" i="1"/>
  <c r="B41129" i="1"/>
  <c r="B41130" i="1"/>
  <c r="B41131" i="1"/>
  <c r="B41132" i="1"/>
  <c r="B41133" i="1"/>
  <c r="B41134" i="1"/>
  <c r="B41135" i="1"/>
  <c r="B41136" i="1"/>
  <c r="B41137" i="1"/>
  <c r="B41138" i="1"/>
  <c r="B41139" i="1"/>
  <c r="B41140" i="1"/>
  <c r="B41141" i="1"/>
  <c r="B41142" i="1"/>
  <c r="B41143" i="1"/>
  <c r="B41144" i="1"/>
  <c r="B41145" i="1"/>
  <c r="B41146" i="1"/>
  <c r="B41147" i="1"/>
  <c r="B41148" i="1"/>
  <c r="B41149" i="1"/>
  <c r="B41150" i="1"/>
  <c r="B41151" i="1"/>
  <c r="B41152" i="1"/>
  <c r="B41153" i="1"/>
  <c r="B41154" i="1"/>
  <c r="B41155" i="1"/>
  <c r="B41156" i="1"/>
  <c r="B41157" i="1"/>
  <c r="B41158" i="1"/>
  <c r="B41159" i="1"/>
  <c r="B41160" i="1"/>
  <c r="B41161" i="1"/>
  <c r="B41162" i="1"/>
  <c r="B41163" i="1"/>
  <c r="B41164" i="1"/>
  <c r="B41165" i="1"/>
  <c r="B41166" i="1"/>
  <c r="B41167" i="1"/>
  <c r="B41168" i="1"/>
  <c r="B41169" i="1"/>
  <c r="B41170" i="1"/>
  <c r="B41171" i="1"/>
  <c r="B41172" i="1"/>
  <c r="B41173" i="1"/>
  <c r="B41174" i="1"/>
  <c r="B41175" i="1"/>
  <c r="B41176" i="1"/>
  <c r="B41177" i="1"/>
  <c r="B41178" i="1"/>
  <c r="B41179" i="1"/>
  <c r="B41180" i="1"/>
  <c r="B41181" i="1"/>
  <c r="B41182" i="1"/>
  <c r="B41183" i="1"/>
  <c r="B41184" i="1"/>
  <c r="B41185" i="1"/>
  <c r="B41186" i="1"/>
  <c r="B41187" i="1"/>
  <c r="B41188" i="1"/>
  <c r="B41189" i="1"/>
  <c r="B41190" i="1"/>
  <c r="B41191" i="1"/>
  <c r="B41192" i="1"/>
  <c r="B41193" i="1"/>
  <c r="B41194" i="1"/>
  <c r="B41195" i="1"/>
  <c r="B41196" i="1"/>
  <c r="B41197" i="1"/>
  <c r="B41198" i="1"/>
  <c r="B41199" i="1"/>
  <c r="B41200" i="1"/>
  <c r="B41201" i="1"/>
  <c r="B41202" i="1"/>
  <c r="B41203" i="1"/>
  <c r="B41204" i="1"/>
  <c r="B41205" i="1"/>
  <c r="B41206" i="1"/>
  <c r="B41207" i="1"/>
  <c r="B41208" i="1"/>
  <c r="B41209" i="1"/>
  <c r="B41210" i="1"/>
  <c r="B41211" i="1"/>
  <c r="B41212" i="1"/>
  <c r="B41213" i="1"/>
  <c r="B41214" i="1"/>
  <c r="B41215" i="1"/>
  <c r="B41216" i="1"/>
  <c r="B41217" i="1"/>
  <c r="B41218" i="1"/>
  <c r="B41219" i="1"/>
  <c r="B41220" i="1"/>
  <c r="B41221" i="1"/>
  <c r="B41222" i="1"/>
  <c r="B41223" i="1"/>
  <c r="B41224" i="1"/>
  <c r="B41225" i="1"/>
  <c r="B41226" i="1"/>
  <c r="B41227" i="1"/>
  <c r="B41228" i="1"/>
  <c r="B41229" i="1"/>
  <c r="B41230" i="1"/>
  <c r="B41231" i="1"/>
  <c r="B41232" i="1"/>
  <c r="B41233" i="1"/>
  <c r="B41234" i="1"/>
  <c r="B41235" i="1"/>
  <c r="B41236" i="1"/>
  <c r="B41237" i="1"/>
  <c r="B41238" i="1"/>
  <c r="B41239" i="1"/>
  <c r="B41240" i="1"/>
  <c r="B41241" i="1"/>
  <c r="B41242" i="1"/>
  <c r="B41243" i="1"/>
  <c r="B41244" i="1"/>
  <c r="B41245" i="1"/>
  <c r="B41246" i="1"/>
  <c r="B41247" i="1"/>
  <c r="B41248" i="1"/>
  <c r="B41249" i="1"/>
  <c r="B41250" i="1"/>
  <c r="B41251" i="1"/>
  <c r="B41252" i="1"/>
  <c r="B41253" i="1"/>
  <c r="B41254" i="1"/>
  <c r="B41255" i="1"/>
  <c r="B41256" i="1"/>
  <c r="B41257" i="1"/>
  <c r="B41258" i="1"/>
  <c r="B41259" i="1"/>
  <c r="B41260" i="1"/>
  <c r="B41261" i="1"/>
  <c r="B41262" i="1"/>
  <c r="B41263" i="1"/>
  <c r="B41264" i="1"/>
  <c r="B41265" i="1"/>
  <c r="B41266" i="1"/>
  <c r="B41267" i="1"/>
  <c r="B41268" i="1"/>
  <c r="B41269" i="1"/>
  <c r="B41270" i="1"/>
  <c r="B41271" i="1"/>
  <c r="B41272" i="1"/>
  <c r="B41273" i="1"/>
  <c r="B41274" i="1"/>
  <c r="B41275" i="1"/>
  <c r="B41276" i="1"/>
  <c r="B41277" i="1"/>
  <c r="B41278" i="1"/>
  <c r="B41279" i="1"/>
  <c r="B41280" i="1"/>
  <c r="B41281" i="1"/>
  <c r="B41282" i="1"/>
  <c r="B41283" i="1"/>
  <c r="B41284" i="1"/>
  <c r="B41285" i="1"/>
  <c r="B41286" i="1"/>
  <c r="B41287" i="1"/>
  <c r="B41288" i="1"/>
  <c r="B41289" i="1"/>
  <c r="B41290" i="1"/>
  <c r="B41291" i="1"/>
  <c r="B41292" i="1"/>
  <c r="B41293" i="1"/>
  <c r="B41294" i="1"/>
  <c r="B41295" i="1"/>
  <c r="B41296" i="1"/>
  <c r="B41297" i="1"/>
  <c r="B41298" i="1"/>
  <c r="B41299" i="1"/>
  <c r="B41300" i="1"/>
  <c r="B41301" i="1"/>
  <c r="B41302" i="1"/>
  <c r="B41303" i="1"/>
  <c r="B41304" i="1"/>
  <c r="B41305" i="1"/>
  <c r="B41306" i="1"/>
  <c r="B41307" i="1"/>
  <c r="B41308" i="1"/>
  <c r="B41309" i="1"/>
  <c r="B41310" i="1"/>
  <c r="B41311" i="1"/>
  <c r="B41312" i="1"/>
  <c r="B41313" i="1"/>
  <c r="B41314" i="1"/>
  <c r="B41315" i="1"/>
  <c r="B41316" i="1"/>
  <c r="B41317" i="1"/>
  <c r="B41318" i="1"/>
  <c r="B41319" i="1"/>
  <c r="B41320" i="1"/>
  <c r="B41321" i="1"/>
  <c r="B41322" i="1"/>
  <c r="B41323" i="1"/>
  <c r="B41324" i="1"/>
  <c r="B41325" i="1"/>
  <c r="B41326" i="1"/>
  <c r="B41327" i="1"/>
  <c r="B41328" i="1"/>
  <c r="B41329" i="1"/>
  <c r="B41330" i="1"/>
  <c r="B41331" i="1"/>
  <c r="B41332" i="1"/>
  <c r="B41333" i="1"/>
  <c r="B41334" i="1"/>
  <c r="B41335" i="1"/>
  <c r="B41336" i="1"/>
  <c r="B41337" i="1"/>
  <c r="B41338" i="1"/>
  <c r="B41339" i="1"/>
  <c r="B41340" i="1"/>
  <c r="B41341" i="1"/>
  <c r="B41342" i="1"/>
  <c r="B41343" i="1"/>
  <c r="B41344" i="1"/>
  <c r="B41345" i="1"/>
  <c r="B41346" i="1"/>
  <c r="B41347" i="1"/>
  <c r="B41348" i="1"/>
  <c r="B41349" i="1"/>
  <c r="B41350" i="1"/>
  <c r="B41351" i="1"/>
  <c r="B41352" i="1"/>
  <c r="B41353" i="1"/>
  <c r="B41354" i="1"/>
  <c r="B41355" i="1"/>
  <c r="B41356" i="1"/>
  <c r="B41357" i="1"/>
  <c r="B41358" i="1"/>
  <c r="B41359" i="1"/>
  <c r="B41360" i="1"/>
  <c r="B41361" i="1"/>
  <c r="B41362" i="1"/>
  <c r="B41363" i="1"/>
  <c r="B41364" i="1"/>
  <c r="B41365" i="1"/>
  <c r="B41366" i="1"/>
  <c r="B41367" i="1"/>
  <c r="B41368" i="1"/>
  <c r="B41369" i="1"/>
  <c r="B41370" i="1"/>
  <c r="B41371" i="1"/>
  <c r="B41372" i="1"/>
  <c r="B41373" i="1"/>
  <c r="B41374" i="1"/>
  <c r="B41375" i="1"/>
  <c r="B41376" i="1"/>
  <c r="B41377" i="1"/>
  <c r="B41378" i="1"/>
  <c r="B41379" i="1"/>
  <c r="B41380" i="1"/>
  <c r="B41381" i="1"/>
  <c r="B41382" i="1"/>
  <c r="B41383" i="1"/>
  <c r="B41384" i="1"/>
  <c r="B41385" i="1"/>
  <c r="B41386" i="1"/>
  <c r="B41387" i="1"/>
  <c r="B41388" i="1"/>
  <c r="B41389" i="1"/>
  <c r="B41390" i="1"/>
  <c r="B41391" i="1"/>
  <c r="B41392" i="1"/>
  <c r="B41393" i="1"/>
  <c r="B41394" i="1"/>
  <c r="B41395" i="1"/>
  <c r="B41396" i="1"/>
  <c r="B41397" i="1"/>
  <c r="B41398" i="1"/>
  <c r="B41399" i="1"/>
  <c r="B41400" i="1"/>
  <c r="B41401" i="1"/>
  <c r="B41402" i="1"/>
  <c r="B41403" i="1"/>
  <c r="B41404" i="1"/>
  <c r="B41405" i="1"/>
  <c r="B41406" i="1"/>
  <c r="B41407" i="1"/>
  <c r="B41408" i="1"/>
  <c r="B41409" i="1"/>
  <c r="B41410" i="1"/>
  <c r="B41411" i="1"/>
  <c r="B41412" i="1"/>
  <c r="B41413" i="1"/>
  <c r="B41414" i="1"/>
  <c r="B41415" i="1"/>
  <c r="B41416" i="1"/>
  <c r="B41417" i="1"/>
  <c r="B41418" i="1"/>
  <c r="B41419" i="1"/>
  <c r="B41420" i="1"/>
  <c r="B41421" i="1"/>
  <c r="B41422" i="1"/>
  <c r="B41423" i="1"/>
  <c r="B41424" i="1"/>
  <c r="B41425" i="1"/>
  <c r="B41426" i="1"/>
  <c r="B41427" i="1"/>
  <c r="B41428" i="1"/>
  <c r="B41429" i="1"/>
  <c r="B41430" i="1"/>
  <c r="B41431" i="1"/>
  <c r="B41432" i="1"/>
  <c r="B41433" i="1"/>
  <c r="B41434" i="1"/>
  <c r="B41435" i="1"/>
  <c r="B41436" i="1"/>
  <c r="B41437" i="1"/>
  <c r="B41438" i="1"/>
  <c r="B41439" i="1"/>
  <c r="B41440" i="1"/>
  <c r="B41441" i="1"/>
  <c r="B41442" i="1"/>
  <c r="B41443" i="1"/>
  <c r="B41444" i="1"/>
  <c r="B41445" i="1"/>
  <c r="B41446" i="1"/>
  <c r="B41447" i="1"/>
  <c r="B41448" i="1"/>
  <c r="B41449" i="1"/>
  <c r="B41450" i="1"/>
  <c r="B41451" i="1"/>
  <c r="B41452" i="1"/>
  <c r="B41453" i="1"/>
  <c r="B41454" i="1"/>
  <c r="B41455" i="1"/>
  <c r="B41456" i="1"/>
  <c r="B41457" i="1"/>
  <c r="B41458" i="1"/>
  <c r="B41459" i="1"/>
  <c r="B41460" i="1"/>
  <c r="B41461" i="1"/>
  <c r="B41462" i="1"/>
  <c r="B41463" i="1"/>
  <c r="B41464" i="1"/>
  <c r="B41465" i="1"/>
  <c r="B41466" i="1"/>
  <c r="B41467" i="1"/>
  <c r="B41468" i="1"/>
  <c r="B41469" i="1"/>
  <c r="B41470" i="1"/>
  <c r="B41471" i="1"/>
  <c r="B41472" i="1"/>
  <c r="B41473" i="1"/>
  <c r="B41474" i="1"/>
  <c r="B41475" i="1"/>
  <c r="B41476" i="1"/>
  <c r="B41477" i="1"/>
  <c r="B41478" i="1"/>
  <c r="B41479" i="1"/>
  <c r="B41480" i="1"/>
  <c r="B41481" i="1"/>
  <c r="B41482" i="1"/>
  <c r="B41483" i="1"/>
  <c r="B41484" i="1"/>
  <c r="B41485" i="1"/>
  <c r="B41486" i="1"/>
  <c r="B41487" i="1"/>
  <c r="B41488" i="1"/>
  <c r="B41489" i="1"/>
  <c r="B41490" i="1"/>
  <c r="B41491" i="1"/>
  <c r="B41492" i="1"/>
  <c r="B41493" i="1"/>
  <c r="B41494" i="1"/>
  <c r="B41495" i="1"/>
  <c r="B41496" i="1"/>
  <c r="B41497" i="1"/>
  <c r="B41498" i="1"/>
  <c r="B41499" i="1"/>
  <c r="B41500" i="1"/>
  <c r="B41501" i="1"/>
  <c r="B41502" i="1"/>
  <c r="B41503" i="1"/>
  <c r="B41504" i="1"/>
  <c r="B41505" i="1"/>
  <c r="B41506" i="1"/>
  <c r="B41507" i="1"/>
  <c r="B41508" i="1"/>
  <c r="B41509" i="1"/>
  <c r="B41510" i="1"/>
  <c r="B41511" i="1"/>
  <c r="B41512" i="1"/>
  <c r="B41513" i="1"/>
  <c r="B41514" i="1"/>
  <c r="B41515" i="1"/>
  <c r="B41516" i="1"/>
  <c r="B41517" i="1"/>
  <c r="B41518" i="1"/>
  <c r="B41519" i="1"/>
  <c r="B41520" i="1"/>
  <c r="B41521" i="1"/>
  <c r="B41522" i="1"/>
  <c r="B41523" i="1"/>
  <c r="B41524" i="1"/>
  <c r="B41525" i="1"/>
  <c r="B41526" i="1"/>
  <c r="B41527" i="1"/>
  <c r="B41528" i="1"/>
  <c r="B41529" i="1"/>
  <c r="B41530" i="1"/>
  <c r="B41531" i="1"/>
  <c r="B41532" i="1"/>
  <c r="B41533" i="1"/>
  <c r="B41534" i="1"/>
  <c r="B41535" i="1"/>
  <c r="B41536" i="1"/>
  <c r="B41537" i="1"/>
  <c r="B41538" i="1"/>
  <c r="B41539" i="1"/>
  <c r="B41540" i="1"/>
  <c r="B41541" i="1"/>
  <c r="B41542" i="1"/>
  <c r="B41543" i="1"/>
  <c r="B41544" i="1"/>
  <c r="B41545" i="1"/>
  <c r="B41546" i="1"/>
  <c r="B41547" i="1"/>
  <c r="B41548" i="1"/>
  <c r="B41549" i="1"/>
  <c r="B41550" i="1"/>
  <c r="B41551" i="1"/>
  <c r="B41552" i="1"/>
  <c r="B41553" i="1"/>
  <c r="B41554" i="1"/>
  <c r="B41555" i="1"/>
  <c r="B41556" i="1"/>
  <c r="B41557" i="1"/>
  <c r="B41558" i="1"/>
  <c r="B41559" i="1"/>
  <c r="B41560" i="1"/>
  <c r="B41561" i="1"/>
  <c r="B41562" i="1"/>
  <c r="B41563" i="1"/>
  <c r="B41564" i="1"/>
  <c r="B41565" i="1"/>
  <c r="B41566" i="1"/>
  <c r="B41567" i="1"/>
  <c r="B41568" i="1"/>
  <c r="B41569" i="1"/>
  <c r="B41570" i="1"/>
  <c r="B41571" i="1"/>
  <c r="B41572" i="1"/>
  <c r="B41573" i="1"/>
  <c r="B41574" i="1"/>
  <c r="B41575" i="1"/>
  <c r="B41576" i="1"/>
  <c r="B41577" i="1"/>
  <c r="B41578" i="1"/>
  <c r="B41579" i="1"/>
  <c r="B41580" i="1"/>
  <c r="B41581" i="1"/>
  <c r="B41582" i="1"/>
  <c r="B41583" i="1"/>
  <c r="B41584" i="1"/>
  <c r="B41585" i="1"/>
  <c r="B41586" i="1"/>
  <c r="B41587" i="1"/>
  <c r="B41588" i="1"/>
  <c r="B41589" i="1"/>
  <c r="B41590" i="1"/>
  <c r="B41591" i="1"/>
  <c r="B41592" i="1"/>
  <c r="B41593" i="1"/>
  <c r="B41594" i="1"/>
  <c r="B41595" i="1"/>
  <c r="B41596" i="1"/>
  <c r="B41597" i="1"/>
  <c r="B41598" i="1"/>
  <c r="B41599" i="1"/>
  <c r="B41600" i="1"/>
  <c r="B41601" i="1"/>
  <c r="B41602" i="1"/>
  <c r="B41603" i="1"/>
  <c r="B41604" i="1"/>
  <c r="B41605" i="1"/>
  <c r="B41606" i="1"/>
  <c r="B41607" i="1"/>
  <c r="B41608" i="1"/>
  <c r="B41609" i="1"/>
  <c r="B41610" i="1"/>
  <c r="B41611" i="1"/>
  <c r="B41612" i="1"/>
  <c r="B41613" i="1"/>
  <c r="B41614" i="1"/>
  <c r="B41615" i="1"/>
  <c r="B41616" i="1"/>
  <c r="B41617" i="1"/>
  <c r="B41618" i="1"/>
  <c r="B41619" i="1"/>
  <c r="B41620" i="1"/>
  <c r="B41621" i="1"/>
  <c r="B41622" i="1"/>
  <c r="B41623" i="1"/>
  <c r="B41624" i="1"/>
  <c r="B41625" i="1"/>
  <c r="B41626" i="1"/>
  <c r="B41627" i="1"/>
  <c r="B41628" i="1"/>
  <c r="B41629" i="1"/>
  <c r="B41630" i="1"/>
  <c r="B41631" i="1"/>
  <c r="B41632" i="1"/>
  <c r="B41633" i="1"/>
  <c r="B41634" i="1"/>
  <c r="B41635" i="1"/>
  <c r="B41636" i="1"/>
  <c r="B41637" i="1"/>
  <c r="B41638" i="1"/>
  <c r="B41639" i="1"/>
  <c r="B41640" i="1"/>
  <c r="B41641" i="1"/>
  <c r="B41642" i="1"/>
  <c r="B41643" i="1"/>
  <c r="B41644" i="1"/>
  <c r="B41645" i="1"/>
  <c r="B41646" i="1"/>
  <c r="B41647" i="1"/>
  <c r="B41648" i="1"/>
  <c r="B41649" i="1"/>
  <c r="B41650" i="1"/>
  <c r="B41651" i="1"/>
  <c r="B41652" i="1"/>
  <c r="B41653" i="1"/>
  <c r="B41654" i="1"/>
  <c r="B41655" i="1"/>
  <c r="B41656" i="1"/>
  <c r="B41657" i="1"/>
  <c r="B41658" i="1"/>
  <c r="B41659" i="1"/>
  <c r="B41660" i="1"/>
  <c r="B41661" i="1"/>
  <c r="B41662" i="1"/>
  <c r="B41663" i="1"/>
  <c r="B41664" i="1"/>
  <c r="B41665" i="1"/>
  <c r="B41666" i="1"/>
  <c r="B41667" i="1"/>
  <c r="B41668" i="1"/>
  <c r="B41669" i="1"/>
  <c r="B41670" i="1"/>
  <c r="B41671" i="1"/>
  <c r="B41672" i="1"/>
  <c r="B41673" i="1"/>
  <c r="B41674" i="1"/>
  <c r="B41675" i="1"/>
  <c r="B41676" i="1"/>
  <c r="B41677" i="1"/>
  <c r="B41678" i="1"/>
  <c r="B41679" i="1"/>
  <c r="B41680" i="1"/>
  <c r="B41681" i="1"/>
  <c r="B41682" i="1"/>
  <c r="B41683" i="1"/>
  <c r="B41684" i="1"/>
  <c r="B41685" i="1"/>
  <c r="B41686" i="1"/>
  <c r="B41687" i="1"/>
  <c r="B41688" i="1"/>
  <c r="B41689" i="1"/>
  <c r="B41690" i="1"/>
  <c r="B41691" i="1"/>
  <c r="B41692" i="1"/>
  <c r="B41693" i="1"/>
  <c r="B41694" i="1"/>
  <c r="B41695" i="1"/>
  <c r="B41696" i="1"/>
  <c r="B41697" i="1"/>
  <c r="B41698" i="1"/>
  <c r="B41699" i="1"/>
  <c r="B41700" i="1"/>
  <c r="B41701" i="1"/>
  <c r="B41702" i="1"/>
  <c r="B41703" i="1"/>
  <c r="B41704" i="1"/>
  <c r="B41705" i="1"/>
  <c r="B41706" i="1"/>
  <c r="B41707" i="1"/>
  <c r="B41708" i="1"/>
  <c r="B41709" i="1"/>
  <c r="B41710" i="1"/>
  <c r="B41711" i="1"/>
  <c r="B41712" i="1"/>
  <c r="B41713" i="1"/>
  <c r="B41714" i="1"/>
  <c r="B41715" i="1"/>
  <c r="B41716" i="1"/>
  <c r="B41717" i="1"/>
  <c r="B41718" i="1"/>
  <c r="B41719" i="1"/>
  <c r="B41720" i="1"/>
  <c r="B41721" i="1"/>
  <c r="B41722" i="1"/>
  <c r="B41723" i="1"/>
  <c r="B41724" i="1"/>
  <c r="B41725" i="1"/>
  <c r="B41726" i="1"/>
  <c r="B41727" i="1"/>
  <c r="B41728" i="1"/>
  <c r="B41729" i="1"/>
  <c r="B41730" i="1"/>
  <c r="B41731" i="1"/>
  <c r="B41732" i="1"/>
  <c r="B41733" i="1"/>
  <c r="B41734" i="1"/>
  <c r="B41735" i="1"/>
  <c r="B41736" i="1"/>
  <c r="B41737" i="1"/>
  <c r="B41738" i="1"/>
  <c r="B41739" i="1"/>
  <c r="B41740" i="1"/>
  <c r="B41741" i="1"/>
  <c r="B41742" i="1"/>
  <c r="B41743" i="1"/>
  <c r="B41744" i="1"/>
  <c r="B41745" i="1"/>
  <c r="B41746" i="1"/>
  <c r="B41747" i="1"/>
  <c r="B41748" i="1"/>
  <c r="B41749" i="1"/>
  <c r="B41750" i="1"/>
  <c r="B41751" i="1"/>
  <c r="B41752" i="1"/>
  <c r="B41753" i="1"/>
  <c r="B41754" i="1"/>
  <c r="B41755" i="1"/>
  <c r="B41756" i="1"/>
  <c r="B41757" i="1"/>
  <c r="B41758" i="1"/>
  <c r="B41759" i="1"/>
  <c r="B41760" i="1"/>
  <c r="B41761" i="1"/>
  <c r="B41762" i="1"/>
  <c r="B41763" i="1"/>
  <c r="B41764" i="1"/>
  <c r="B41765" i="1"/>
  <c r="B41766" i="1"/>
  <c r="B41767" i="1"/>
  <c r="B41768" i="1"/>
  <c r="B41769" i="1"/>
  <c r="B41770" i="1"/>
  <c r="B41771" i="1"/>
  <c r="B41772" i="1"/>
  <c r="B41773" i="1"/>
  <c r="B41774" i="1"/>
  <c r="B41775" i="1"/>
  <c r="B41776" i="1"/>
  <c r="B41777" i="1"/>
  <c r="B41778" i="1"/>
  <c r="B41779" i="1"/>
  <c r="B41780" i="1"/>
  <c r="B41781" i="1"/>
  <c r="B41782" i="1"/>
  <c r="B41783" i="1"/>
  <c r="B41784" i="1"/>
  <c r="B41785" i="1"/>
  <c r="B41786" i="1"/>
  <c r="B41787" i="1"/>
  <c r="B41788" i="1"/>
  <c r="B41789" i="1"/>
  <c r="B41790" i="1"/>
  <c r="B41791" i="1"/>
  <c r="B41792" i="1"/>
  <c r="B41793" i="1"/>
  <c r="B41794" i="1"/>
  <c r="B41795" i="1"/>
  <c r="B41796" i="1"/>
  <c r="B41797" i="1"/>
  <c r="B41798" i="1"/>
  <c r="B41799" i="1"/>
  <c r="B41800" i="1"/>
  <c r="B41801" i="1"/>
  <c r="B41802" i="1"/>
  <c r="B41803" i="1"/>
  <c r="B41804" i="1"/>
  <c r="B41805" i="1"/>
  <c r="B41806" i="1"/>
  <c r="B41807" i="1"/>
  <c r="B41808" i="1"/>
  <c r="B41809" i="1"/>
  <c r="B41810" i="1"/>
  <c r="B41811" i="1"/>
  <c r="B41812" i="1"/>
  <c r="B41813" i="1"/>
  <c r="B41814" i="1"/>
  <c r="B41815" i="1"/>
  <c r="B41816" i="1"/>
  <c r="B41817" i="1"/>
  <c r="B41818" i="1"/>
  <c r="B41819" i="1"/>
  <c r="B41820" i="1"/>
  <c r="B41821" i="1"/>
  <c r="B41822" i="1"/>
  <c r="B41823" i="1"/>
  <c r="B41824" i="1"/>
  <c r="B41825" i="1"/>
  <c r="B41826" i="1"/>
  <c r="B41827" i="1"/>
  <c r="B41828" i="1"/>
  <c r="B41829" i="1"/>
  <c r="B41830" i="1"/>
  <c r="B41831" i="1"/>
  <c r="B41832" i="1"/>
  <c r="B41833" i="1"/>
  <c r="B41834" i="1"/>
  <c r="B41835" i="1"/>
  <c r="B41836" i="1"/>
  <c r="B41837" i="1"/>
  <c r="B41838" i="1"/>
  <c r="B41839" i="1"/>
  <c r="B41840" i="1"/>
  <c r="B41841" i="1"/>
  <c r="B41842" i="1"/>
  <c r="B41843" i="1"/>
  <c r="B41844" i="1"/>
  <c r="B41845" i="1"/>
  <c r="B41846" i="1"/>
  <c r="B41847" i="1"/>
  <c r="B41848" i="1"/>
  <c r="B41849" i="1"/>
  <c r="B41850" i="1"/>
  <c r="B41851" i="1"/>
  <c r="B41852" i="1"/>
  <c r="B41853" i="1"/>
  <c r="B41854" i="1"/>
  <c r="B41855" i="1"/>
  <c r="B41856" i="1"/>
  <c r="B41857" i="1"/>
  <c r="B41858" i="1"/>
  <c r="B41859" i="1"/>
  <c r="B41860" i="1"/>
  <c r="B41861" i="1"/>
  <c r="B41862" i="1"/>
  <c r="B41863" i="1"/>
  <c r="B41864" i="1"/>
  <c r="B41865" i="1"/>
  <c r="B41866" i="1"/>
  <c r="B41867" i="1"/>
  <c r="B41868" i="1"/>
  <c r="B41869" i="1"/>
  <c r="B41870" i="1"/>
  <c r="B41871" i="1"/>
  <c r="B41872" i="1"/>
  <c r="B41873" i="1"/>
  <c r="B41874" i="1"/>
  <c r="B41875" i="1"/>
  <c r="B41876" i="1"/>
  <c r="B41877" i="1"/>
  <c r="B41878" i="1"/>
  <c r="B41879" i="1"/>
  <c r="B41880" i="1"/>
  <c r="B41881" i="1"/>
  <c r="B41882" i="1"/>
  <c r="B41883" i="1"/>
  <c r="B41884" i="1"/>
  <c r="B41885" i="1"/>
  <c r="B41886" i="1"/>
  <c r="B41887" i="1"/>
  <c r="B41888" i="1"/>
  <c r="B41889" i="1"/>
  <c r="B41890" i="1"/>
  <c r="B41891" i="1"/>
  <c r="B41892" i="1"/>
  <c r="B41893" i="1"/>
  <c r="B41894" i="1"/>
  <c r="B41895" i="1"/>
  <c r="B41896" i="1"/>
  <c r="B41897" i="1"/>
  <c r="B41898" i="1"/>
  <c r="B41899" i="1"/>
  <c r="B41900" i="1"/>
  <c r="B41901" i="1"/>
  <c r="B41902" i="1"/>
  <c r="B41903" i="1"/>
  <c r="B41904" i="1"/>
  <c r="B41905" i="1"/>
  <c r="B41906" i="1"/>
  <c r="B41907" i="1"/>
  <c r="B41908" i="1"/>
  <c r="B41909" i="1"/>
  <c r="B41910" i="1"/>
  <c r="B41911" i="1"/>
  <c r="B41912" i="1"/>
  <c r="B41913" i="1"/>
  <c r="B41914" i="1"/>
  <c r="B41915" i="1"/>
  <c r="B41916" i="1"/>
  <c r="B41917" i="1"/>
  <c r="B41918" i="1"/>
  <c r="B41919" i="1"/>
  <c r="B41920" i="1"/>
  <c r="B41921" i="1"/>
  <c r="B41922" i="1"/>
  <c r="B41923" i="1"/>
  <c r="B41924" i="1"/>
  <c r="B41925" i="1"/>
  <c r="B41926" i="1"/>
  <c r="B41927" i="1"/>
  <c r="B41928" i="1"/>
  <c r="B41929" i="1"/>
  <c r="B41930" i="1"/>
  <c r="B41931" i="1"/>
  <c r="B41932" i="1"/>
  <c r="B41933" i="1"/>
  <c r="B41934" i="1"/>
  <c r="B41935" i="1"/>
  <c r="B41936" i="1"/>
  <c r="B41937" i="1"/>
  <c r="B41938" i="1"/>
  <c r="B41939" i="1"/>
  <c r="B41940" i="1"/>
  <c r="B41941" i="1"/>
  <c r="B41942" i="1"/>
  <c r="B41943" i="1"/>
  <c r="B41944" i="1"/>
  <c r="B41945" i="1"/>
  <c r="B41946" i="1"/>
  <c r="B41947" i="1"/>
  <c r="B41948" i="1"/>
  <c r="B41949" i="1"/>
  <c r="B41950" i="1"/>
  <c r="B41951" i="1"/>
  <c r="B41952" i="1"/>
  <c r="B41953" i="1"/>
  <c r="B41954" i="1"/>
  <c r="B41955" i="1"/>
  <c r="B41956" i="1"/>
  <c r="B41957" i="1"/>
  <c r="B41958" i="1"/>
  <c r="B41959" i="1"/>
  <c r="B41960" i="1"/>
  <c r="B41961" i="1"/>
  <c r="B41962" i="1"/>
  <c r="B41963" i="1"/>
  <c r="B41964" i="1"/>
  <c r="B41965" i="1"/>
  <c r="B41966" i="1"/>
  <c r="B41967" i="1"/>
  <c r="B41968" i="1"/>
  <c r="B41969" i="1"/>
  <c r="B41970" i="1"/>
  <c r="B41971" i="1"/>
  <c r="B41972" i="1"/>
  <c r="B41973" i="1"/>
  <c r="B41974" i="1"/>
  <c r="B41975" i="1"/>
  <c r="B41976" i="1"/>
  <c r="B41977" i="1"/>
  <c r="B41978" i="1"/>
  <c r="B41979" i="1"/>
  <c r="B41980" i="1"/>
  <c r="B41981" i="1"/>
  <c r="B41982" i="1"/>
  <c r="B41983" i="1"/>
  <c r="B41984" i="1"/>
  <c r="B41985" i="1"/>
  <c r="B41986" i="1"/>
  <c r="B41987" i="1"/>
  <c r="B41988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30348" i="1"/>
  <c r="A30349" i="1"/>
  <c r="A30350" i="1"/>
  <c r="A30351" i="1"/>
  <c r="A30352" i="1"/>
  <c r="A30353" i="1"/>
  <c r="A30354" i="1"/>
  <c r="A30355" i="1"/>
  <c r="A30356" i="1"/>
  <c r="A30357" i="1"/>
  <c r="A30358" i="1"/>
  <c r="A30359" i="1"/>
  <c r="A30360" i="1"/>
  <c r="A30361" i="1"/>
  <c r="A30362" i="1"/>
  <c r="A30363" i="1"/>
  <c r="A30364" i="1"/>
  <c r="A30365" i="1"/>
  <c r="A30366" i="1"/>
  <c r="A30367" i="1"/>
  <c r="A30368" i="1"/>
  <c r="A30369" i="1"/>
  <c r="A30370" i="1"/>
  <c r="A30371" i="1"/>
  <c r="A30372" i="1"/>
  <c r="A30373" i="1"/>
  <c r="A30374" i="1"/>
  <c r="A30375" i="1"/>
  <c r="A30376" i="1"/>
  <c r="A30377" i="1"/>
  <c r="A30378" i="1"/>
  <c r="A30379" i="1"/>
  <c r="A30380" i="1"/>
  <c r="A30381" i="1"/>
  <c r="A30382" i="1"/>
  <c r="A30383" i="1"/>
  <c r="A30384" i="1"/>
  <c r="A30385" i="1"/>
  <c r="A30386" i="1"/>
  <c r="A30387" i="1"/>
  <c r="A30388" i="1"/>
  <c r="A30389" i="1"/>
  <c r="A30390" i="1"/>
  <c r="A30391" i="1"/>
  <c r="A30392" i="1"/>
  <c r="A30393" i="1"/>
  <c r="A30394" i="1"/>
  <c r="A30395" i="1"/>
  <c r="A30396" i="1"/>
  <c r="A30397" i="1"/>
  <c r="A30398" i="1"/>
  <c r="A30399" i="1"/>
  <c r="A30400" i="1"/>
  <c r="A30401" i="1"/>
  <c r="A30402" i="1"/>
  <c r="A30403" i="1"/>
  <c r="A30404" i="1"/>
  <c r="A30405" i="1"/>
  <c r="A30406" i="1"/>
  <c r="A30407" i="1"/>
  <c r="A30408" i="1"/>
  <c r="A30409" i="1"/>
  <c r="A30410" i="1"/>
  <c r="A30411" i="1"/>
  <c r="A30412" i="1"/>
  <c r="A30413" i="1"/>
  <c r="A30414" i="1"/>
  <c r="A30415" i="1"/>
  <c r="A30416" i="1"/>
  <c r="A30417" i="1"/>
  <c r="A30418" i="1"/>
  <c r="A30419" i="1"/>
  <c r="A30420" i="1"/>
  <c r="A30421" i="1"/>
  <c r="A30422" i="1"/>
  <c r="A30423" i="1"/>
  <c r="A30424" i="1"/>
  <c r="A30425" i="1"/>
  <c r="A30426" i="1"/>
  <c r="A30427" i="1"/>
  <c r="A30428" i="1"/>
  <c r="A30429" i="1"/>
  <c r="A30430" i="1"/>
  <c r="A30431" i="1"/>
  <c r="A30432" i="1"/>
  <c r="A30433" i="1"/>
  <c r="A30434" i="1"/>
  <c r="A30435" i="1"/>
  <c r="A30436" i="1"/>
  <c r="A30437" i="1"/>
  <c r="A30438" i="1"/>
  <c r="A30439" i="1"/>
  <c r="A30440" i="1"/>
  <c r="A30441" i="1"/>
  <c r="A30442" i="1"/>
  <c r="A30443" i="1"/>
  <c r="A30444" i="1"/>
  <c r="A30445" i="1"/>
  <c r="A30446" i="1"/>
  <c r="A30447" i="1"/>
  <c r="A30448" i="1"/>
  <c r="A30449" i="1"/>
  <c r="A30450" i="1"/>
  <c r="A30451" i="1"/>
  <c r="A30452" i="1"/>
  <c r="A30453" i="1"/>
  <c r="A30454" i="1"/>
  <c r="A30455" i="1"/>
  <c r="A30456" i="1"/>
  <c r="A30457" i="1"/>
  <c r="A30458" i="1"/>
  <c r="A30459" i="1"/>
  <c r="A30460" i="1"/>
  <c r="A30461" i="1"/>
  <c r="A30462" i="1"/>
  <c r="A30463" i="1"/>
  <c r="A30464" i="1"/>
  <c r="A30465" i="1"/>
  <c r="A30466" i="1"/>
  <c r="A30467" i="1"/>
  <c r="A30468" i="1"/>
  <c r="A30469" i="1"/>
  <c r="A30470" i="1"/>
  <c r="A30471" i="1"/>
  <c r="A30472" i="1"/>
  <c r="A30473" i="1"/>
  <c r="A30474" i="1"/>
  <c r="A30475" i="1"/>
  <c r="A30476" i="1"/>
  <c r="A30477" i="1"/>
  <c r="A30478" i="1"/>
  <c r="A30479" i="1"/>
  <c r="A30480" i="1"/>
  <c r="A30481" i="1"/>
  <c r="A30482" i="1"/>
  <c r="A30483" i="1"/>
  <c r="A30484" i="1"/>
  <c r="A30485" i="1"/>
  <c r="A30486" i="1"/>
  <c r="A30487" i="1"/>
  <c r="A30488" i="1"/>
  <c r="A30489" i="1"/>
  <c r="A30490" i="1"/>
  <c r="A30491" i="1"/>
  <c r="A30492" i="1"/>
  <c r="A30493" i="1"/>
  <c r="A30494" i="1"/>
  <c r="A30495" i="1"/>
  <c r="A30496" i="1"/>
  <c r="A30497" i="1"/>
  <c r="A30498" i="1"/>
  <c r="A30499" i="1"/>
  <c r="A30500" i="1"/>
  <c r="A30501" i="1"/>
  <c r="A30502" i="1"/>
  <c r="A30503" i="1"/>
  <c r="A30504" i="1"/>
  <c r="A30505" i="1"/>
  <c r="A30506" i="1"/>
  <c r="A30507" i="1"/>
  <c r="A30508" i="1"/>
  <c r="A30509" i="1"/>
  <c r="A30510" i="1"/>
  <c r="A30511" i="1"/>
  <c r="A30512" i="1"/>
  <c r="A30513" i="1"/>
  <c r="A30514" i="1"/>
  <c r="A30515" i="1"/>
  <c r="A30516" i="1"/>
  <c r="A30517" i="1"/>
  <c r="A30518" i="1"/>
  <c r="A30519" i="1"/>
  <c r="A30520" i="1"/>
  <c r="A30521" i="1"/>
  <c r="A30522" i="1"/>
  <c r="A30523" i="1"/>
  <c r="A30524" i="1"/>
  <c r="A30525" i="1"/>
  <c r="A30526" i="1"/>
  <c r="A30527" i="1"/>
  <c r="A30528" i="1"/>
  <c r="A30529" i="1"/>
  <c r="A30530" i="1"/>
  <c r="A30531" i="1"/>
  <c r="A30532" i="1"/>
  <c r="A30533" i="1"/>
  <c r="A30534" i="1"/>
  <c r="A30535" i="1"/>
  <c r="A30536" i="1"/>
  <c r="A30537" i="1"/>
  <c r="A30538" i="1"/>
  <c r="A30539" i="1"/>
  <c r="A30540" i="1"/>
  <c r="A30541" i="1"/>
  <c r="A30542" i="1"/>
  <c r="A30543" i="1"/>
  <c r="A30544" i="1"/>
  <c r="A30545" i="1"/>
  <c r="A30546" i="1"/>
  <c r="A30547" i="1"/>
  <c r="A30548" i="1"/>
  <c r="A30549" i="1"/>
  <c r="A30550" i="1"/>
  <c r="A30551" i="1"/>
  <c r="A30552" i="1"/>
  <c r="A30553" i="1"/>
  <c r="A30554" i="1"/>
  <c r="A30555" i="1"/>
  <c r="A30556" i="1"/>
  <c r="A30557" i="1"/>
  <c r="A30558" i="1"/>
  <c r="A30559" i="1"/>
  <c r="A30560" i="1"/>
  <c r="A30561" i="1"/>
  <c r="A30562" i="1"/>
  <c r="A30563" i="1"/>
  <c r="A30564" i="1"/>
  <c r="A30565" i="1"/>
  <c r="A30566" i="1"/>
  <c r="A30567" i="1"/>
  <c r="A30568" i="1"/>
  <c r="A30569" i="1"/>
  <c r="A30570" i="1"/>
  <c r="A30571" i="1"/>
  <c r="A30572" i="1"/>
  <c r="A30573" i="1"/>
  <c r="A30574" i="1"/>
  <c r="A30575" i="1"/>
  <c r="A30576" i="1"/>
  <c r="A30577" i="1"/>
  <c r="A30578" i="1"/>
  <c r="A30579" i="1"/>
  <c r="A30580" i="1"/>
  <c r="A30581" i="1"/>
  <c r="A30582" i="1"/>
  <c r="A30583" i="1"/>
  <c r="A30584" i="1"/>
  <c r="A30585" i="1"/>
  <c r="A30586" i="1"/>
  <c r="A30587" i="1"/>
  <c r="A30588" i="1"/>
  <c r="A30589" i="1"/>
  <c r="A30590" i="1"/>
  <c r="A30591" i="1"/>
  <c r="A30592" i="1"/>
  <c r="A30593" i="1"/>
  <c r="A30594" i="1"/>
  <c r="A30595" i="1"/>
  <c r="A30596" i="1"/>
  <c r="A30597" i="1"/>
  <c r="A30598" i="1"/>
  <c r="A30599" i="1"/>
  <c r="A30600" i="1"/>
  <c r="A30601" i="1"/>
  <c r="A30602" i="1"/>
  <c r="A30603" i="1"/>
  <c r="A30604" i="1"/>
  <c r="A30605" i="1"/>
  <c r="A30606" i="1"/>
  <c r="A30607" i="1"/>
  <c r="A30608" i="1"/>
  <c r="A30609" i="1"/>
  <c r="A30610" i="1"/>
  <c r="A30611" i="1"/>
  <c r="A30612" i="1"/>
  <c r="A30613" i="1"/>
  <c r="A30614" i="1"/>
  <c r="A30615" i="1"/>
  <c r="A30616" i="1"/>
  <c r="A30617" i="1"/>
  <c r="A30618" i="1"/>
  <c r="A30619" i="1"/>
  <c r="A30620" i="1"/>
  <c r="A30621" i="1"/>
  <c r="A30622" i="1"/>
  <c r="A30623" i="1"/>
  <c r="A30624" i="1"/>
  <c r="A30625" i="1"/>
  <c r="A30626" i="1"/>
  <c r="A30627" i="1"/>
  <c r="A30628" i="1"/>
  <c r="A30629" i="1"/>
  <c r="A30630" i="1"/>
  <c r="A30631" i="1"/>
  <c r="A30632" i="1"/>
  <c r="A30633" i="1"/>
  <c r="A30634" i="1"/>
  <c r="A30635" i="1"/>
  <c r="A30636" i="1"/>
  <c r="A30637" i="1"/>
  <c r="A30638" i="1"/>
  <c r="A30639" i="1"/>
  <c r="A30640" i="1"/>
  <c r="A30641" i="1"/>
  <c r="A30642" i="1"/>
  <c r="A30643" i="1"/>
  <c r="A30644" i="1"/>
  <c r="A30645" i="1"/>
  <c r="A30646" i="1"/>
  <c r="A30647" i="1"/>
  <c r="A30648" i="1"/>
  <c r="A30649" i="1"/>
  <c r="A30650" i="1"/>
  <c r="A30651" i="1"/>
  <c r="A30652" i="1"/>
  <c r="A30653" i="1"/>
  <c r="A30654" i="1"/>
  <c r="A30655" i="1"/>
  <c r="A30656" i="1"/>
  <c r="A30657" i="1"/>
  <c r="A30658" i="1"/>
  <c r="A30659" i="1"/>
  <c r="A30660" i="1"/>
  <c r="A30661" i="1"/>
  <c r="A30662" i="1"/>
  <c r="A30663" i="1"/>
  <c r="A30664" i="1"/>
  <c r="A30665" i="1"/>
  <c r="A30666" i="1"/>
  <c r="A30667" i="1"/>
  <c r="A30668" i="1"/>
  <c r="A30669" i="1"/>
  <c r="A30670" i="1"/>
  <c r="A30671" i="1"/>
  <c r="A30672" i="1"/>
  <c r="A30673" i="1"/>
  <c r="A30674" i="1"/>
  <c r="A30675" i="1"/>
  <c r="A30676" i="1"/>
  <c r="A30677" i="1"/>
  <c r="A30678" i="1"/>
  <c r="A30679" i="1"/>
  <c r="A30680" i="1"/>
  <c r="A30681" i="1"/>
  <c r="A30682" i="1"/>
  <c r="A30683" i="1"/>
  <c r="A30684" i="1"/>
  <c r="A30685" i="1"/>
  <c r="A30686" i="1"/>
  <c r="A30687" i="1"/>
  <c r="A30688" i="1"/>
  <c r="A30689" i="1"/>
  <c r="A30690" i="1"/>
  <c r="A30691" i="1"/>
  <c r="A30692" i="1"/>
  <c r="A30693" i="1"/>
  <c r="A30694" i="1"/>
  <c r="A30695" i="1"/>
  <c r="A30696" i="1"/>
  <c r="A30697" i="1"/>
  <c r="A30698" i="1"/>
  <c r="A30699" i="1"/>
  <c r="A30700" i="1"/>
  <c r="A30701" i="1"/>
  <c r="A30702" i="1"/>
  <c r="A30703" i="1"/>
  <c r="A30704" i="1"/>
  <c r="A30705" i="1"/>
  <c r="A30706" i="1"/>
  <c r="A30707" i="1"/>
  <c r="A30708" i="1"/>
  <c r="A30709" i="1"/>
  <c r="A30710" i="1"/>
  <c r="A30711" i="1"/>
  <c r="A30712" i="1"/>
  <c r="A30713" i="1"/>
  <c r="A30714" i="1"/>
  <c r="A30715" i="1"/>
  <c r="A30716" i="1"/>
  <c r="A30717" i="1"/>
  <c r="A30718" i="1"/>
  <c r="A30719" i="1"/>
  <c r="A30720" i="1"/>
  <c r="A30721" i="1"/>
  <c r="A30722" i="1"/>
  <c r="A30723" i="1"/>
  <c r="A30724" i="1"/>
  <c r="A30725" i="1"/>
  <c r="A30726" i="1"/>
  <c r="A30727" i="1"/>
  <c r="A30728" i="1"/>
  <c r="A30729" i="1"/>
  <c r="A30730" i="1"/>
  <c r="A30731" i="1"/>
  <c r="A30732" i="1"/>
  <c r="A30733" i="1"/>
  <c r="A30734" i="1"/>
  <c r="A30735" i="1"/>
  <c r="A30736" i="1"/>
  <c r="A30737" i="1"/>
  <c r="A30738" i="1"/>
  <c r="A30739" i="1"/>
  <c r="A30740" i="1"/>
  <c r="A30741" i="1"/>
  <c r="A30742" i="1"/>
  <c r="A30743" i="1"/>
  <c r="A30744" i="1"/>
  <c r="A30745" i="1"/>
  <c r="A30746" i="1"/>
  <c r="A30747" i="1"/>
  <c r="A30748" i="1"/>
  <c r="A30749" i="1"/>
  <c r="A30750" i="1"/>
  <c r="A30751" i="1"/>
  <c r="A30752" i="1"/>
  <c r="A30753" i="1"/>
  <c r="A30754" i="1"/>
  <c r="A30755" i="1"/>
  <c r="A30756" i="1"/>
  <c r="A30757" i="1"/>
  <c r="A30758" i="1"/>
  <c r="A30759" i="1"/>
  <c r="A30760" i="1"/>
  <c r="A30761" i="1"/>
  <c r="A30762" i="1"/>
  <c r="A30763" i="1"/>
  <c r="A30764" i="1"/>
  <c r="A30765" i="1"/>
  <c r="A30766" i="1"/>
  <c r="A30767" i="1"/>
  <c r="A30768" i="1"/>
  <c r="A30769" i="1"/>
  <c r="A30770" i="1"/>
  <c r="A30771" i="1"/>
  <c r="A30772" i="1"/>
  <c r="A30773" i="1"/>
  <c r="A30774" i="1"/>
  <c r="A30775" i="1"/>
  <c r="A30776" i="1"/>
  <c r="A30777" i="1"/>
  <c r="A30778" i="1"/>
  <c r="A30779" i="1"/>
  <c r="A30780" i="1"/>
  <c r="A30781" i="1"/>
  <c r="A30782" i="1"/>
  <c r="A30783" i="1"/>
  <c r="A30784" i="1"/>
  <c r="A30785" i="1"/>
  <c r="A30786" i="1"/>
  <c r="A30787" i="1"/>
  <c r="A30788" i="1"/>
  <c r="A30789" i="1"/>
  <c r="A30790" i="1"/>
  <c r="A30791" i="1"/>
  <c r="A30792" i="1"/>
  <c r="A30793" i="1"/>
  <c r="A30794" i="1"/>
  <c r="A30795" i="1"/>
  <c r="A30796" i="1"/>
  <c r="A30797" i="1"/>
  <c r="A30798" i="1"/>
  <c r="A30799" i="1"/>
  <c r="A30800" i="1"/>
  <c r="A30801" i="1"/>
  <c r="A30802" i="1"/>
  <c r="A30803" i="1"/>
  <c r="A30804" i="1"/>
  <c r="A30805" i="1"/>
  <c r="A30806" i="1"/>
  <c r="A30807" i="1"/>
  <c r="A30808" i="1"/>
  <c r="A30809" i="1"/>
  <c r="A30810" i="1"/>
  <c r="A30811" i="1"/>
  <c r="A30812" i="1"/>
  <c r="A30813" i="1"/>
  <c r="A30814" i="1"/>
  <c r="A30815" i="1"/>
  <c r="A30816" i="1"/>
  <c r="A30817" i="1"/>
  <c r="A30818" i="1"/>
  <c r="A30819" i="1"/>
  <c r="A30820" i="1"/>
  <c r="A30821" i="1"/>
  <c r="A30822" i="1"/>
  <c r="A30823" i="1"/>
  <c r="A30824" i="1"/>
  <c r="A30825" i="1"/>
  <c r="A30826" i="1"/>
  <c r="A30827" i="1"/>
  <c r="A30828" i="1"/>
  <c r="A30829" i="1"/>
  <c r="A30830" i="1"/>
  <c r="A30831" i="1"/>
  <c r="A30832" i="1"/>
  <c r="A30833" i="1"/>
  <c r="A30834" i="1"/>
  <c r="A30835" i="1"/>
  <c r="A30836" i="1"/>
  <c r="A30837" i="1"/>
  <c r="A30838" i="1"/>
  <c r="A30839" i="1"/>
  <c r="A30840" i="1"/>
  <c r="A30841" i="1"/>
  <c r="A30842" i="1"/>
  <c r="A30843" i="1"/>
  <c r="A30844" i="1"/>
  <c r="A30845" i="1"/>
  <c r="A30846" i="1"/>
  <c r="A30847" i="1"/>
  <c r="A30848" i="1"/>
  <c r="A30849" i="1"/>
  <c r="A30850" i="1"/>
  <c r="A30851" i="1"/>
  <c r="A30852" i="1"/>
  <c r="A30853" i="1"/>
  <c r="A30854" i="1"/>
  <c r="A30855" i="1"/>
  <c r="A30856" i="1"/>
  <c r="A30857" i="1"/>
  <c r="A30858" i="1"/>
  <c r="A30859" i="1"/>
  <c r="A30860" i="1"/>
  <c r="A30861" i="1"/>
  <c r="A30862" i="1"/>
  <c r="A30863" i="1"/>
  <c r="A30864" i="1"/>
  <c r="A30865" i="1"/>
  <c r="A30866" i="1"/>
  <c r="A30867" i="1"/>
  <c r="A30868" i="1"/>
  <c r="A30869" i="1"/>
  <c r="A30870" i="1"/>
  <c r="A30871" i="1"/>
  <c r="A30872" i="1"/>
  <c r="A30873" i="1"/>
  <c r="A30874" i="1"/>
  <c r="A30875" i="1"/>
  <c r="A30876" i="1"/>
  <c r="A30877" i="1"/>
  <c r="A30878" i="1"/>
  <c r="A30879" i="1"/>
  <c r="A30880" i="1"/>
  <c r="A30881" i="1"/>
  <c r="A30882" i="1"/>
  <c r="A30883" i="1"/>
  <c r="A30884" i="1"/>
  <c r="A30885" i="1"/>
  <c r="A30886" i="1"/>
  <c r="A30887" i="1"/>
  <c r="A30888" i="1"/>
  <c r="A30889" i="1"/>
  <c r="A30890" i="1"/>
  <c r="A30891" i="1"/>
  <c r="A30892" i="1"/>
  <c r="A30893" i="1"/>
  <c r="A30894" i="1"/>
  <c r="A30895" i="1"/>
  <c r="A30896" i="1"/>
  <c r="A30897" i="1"/>
  <c r="A30898" i="1"/>
  <c r="A30899" i="1"/>
  <c r="A30900" i="1"/>
  <c r="A30901" i="1"/>
  <c r="A30902" i="1"/>
  <c r="A30903" i="1"/>
  <c r="A30904" i="1"/>
  <c r="A30905" i="1"/>
  <c r="A30906" i="1"/>
  <c r="A30907" i="1"/>
  <c r="A30908" i="1"/>
  <c r="A30909" i="1"/>
  <c r="A30910" i="1"/>
  <c r="A30911" i="1"/>
  <c r="A30912" i="1"/>
  <c r="A30913" i="1"/>
  <c r="A30914" i="1"/>
  <c r="A30915" i="1"/>
  <c r="A30916" i="1"/>
  <c r="A30917" i="1"/>
  <c r="A30918" i="1"/>
  <c r="A30919" i="1"/>
  <c r="A30920" i="1"/>
  <c r="A30921" i="1"/>
  <c r="A30922" i="1"/>
  <c r="A30923" i="1"/>
  <c r="A30924" i="1"/>
  <c r="A30925" i="1"/>
  <c r="A30926" i="1"/>
  <c r="A30927" i="1"/>
  <c r="A30928" i="1"/>
  <c r="A30929" i="1"/>
  <c r="A30930" i="1"/>
  <c r="A30931" i="1"/>
  <c r="A30932" i="1"/>
  <c r="A30933" i="1"/>
  <c r="A30934" i="1"/>
  <c r="A30935" i="1"/>
  <c r="A30936" i="1"/>
  <c r="A30937" i="1"/>
  <c r="A30938" i="1"/>
  <c r="A30939" i="1"/>
  <c r="A30940" i="1"/>
  <c r="A30941" i="1"/>
  <c r="A30942" i="1"/>
  <c r="A30943" i="1"/>
  <c r="A30944" i="1"/>
  <c r="A30945" i="1"/>
  <c r="A30946" i="1"/>
  <c r="A30947" i="1"/>
  <c r="A30948" i="1"/>
  <c r="A30949" i="1"/>
  <c r="A30950" i="1"/>
  <c r="A30951" i="1"/>
  <c r="A30952" i="1"/>
  <c r="A30953" i="1"/>
  <c r="A30954" i="1"/>
  <c r="A30955" i="1"/>
  <c r="A30956" i="1"/>
  <c r="A30957" i="1"/>
  <c r="A30958" i="1"/>
  <c r="A30959" i="1"/>
  <c r="A30960" i="1"/>
  <c r="A30961" i="1"/>
  <c r="A30962" i="1"/>
  <c r="A30963" i="1"/>
  <c r="A30964" i="1"/>
  <c r="A30965" i="1"/>
  <c r="A30966" i="1"/>
  <c r="A30967" i="1"/>
  <c r="A30968" i="1"/>
  <c r="A30969" i="1"/>
  <c r="A30970" i="1"/>
  <c r="A30971" i="1"/>
  <c r="A30972" i="1"/>
  <c r="A30973" i="1"/>
  <c r="A30974" i="1"/>
  <c r="A30975" i="1"/>
  <c r="A30976" i="1"/>
  <c r="A30977" i="1"/>
  <c r="A30978" i="1"/>
  <c r="A30979" i="1"/>
  <c r="A30980" i="1"/>
  <c r="A30981" i="1"/>
  <c r="A30982" i="1"/>
  <c r="A30983" i="1"/>
  <c r="A30984" i="1"/>
  <c r="A30985" i="1"/>
  <c r="A30986" i="1"/>
  <c r="A30987" i="1"/>
  <c r="A30988" i="1"/>
  <c r="A30989" i="1"/>
  <c r="A30990" i="1"/>
  <c r="A30991" i="1"/>
  <c r="A30992" i="1"/>
  <c r="A30993" i="1"/>
  <c r="A30994" i="1"/>
  <c r="A30995" i="1"/>
  <c r="A30996" i="1"/>
  <c r="A30997" i="1"/>
  <c r="A30998" i="1"/>
  <c r="A30999" i="1"/>
  <c r="A31000" i="1"/>
  <c r="A31001" i="1"/>
  <c r="A31002" i="1"/>
  <c r="A31003" i="1"/>
  <c r="A31004" i="1"/>
  <c r="A31005" i="1"/>
  <c r="A31006" i="1"/>
  <c r="A31007" i="1"/>
  <c r="A31008" i="1"/>
  <c r="A31009" i="1"/>
  <c r="A31010" i="1"/>
  <c r="A31011" i="1"/>
  <c r="A31012" i="1"/>
  <c r="A31013" i="1"/>
  <c r="A31014" i="1"/>
  <c r="A31015" i="1"/>
  <c r="A31016" i="1"/>
  <c r="A31017" i="1"/>
  <c r="A31018" i="1"/>
  <c r="A31019" i="1"/>
  <c r="A31020" i="1"/>
  <c r="A31021" i="1"/>
  <c r="A31022" i="1"/>
  <c r="A31023" i="1"/>
  <c r="A31024" i="1"/>
  <c r="A31025" i="1"/>
  <c r="A31026" i="1"/>
  <c r="A31027" i="1"/>
  <c r="A31028" i="1"/>
  <c r="A31029" i="1"/>
  <c r="A31030" i="1"/>
  <c r="A31031" i="1"/>
  <c r="A31032" i="1"/>
  <c r="A31033" i="1"/>
  <c r="A31034" i="1"/>
  <c r="A31035" i="1"/>
  <c r="A31036" i="1"/>
  <c r="A31037" i="1"/>
  <c r="A31038" i="1"/>
  <c r="A31039" i="1"/>
  <c r="A31040" i="1"/>
  <c r="A31041" i="1"/>
  <c r="A31042" i="1"/>
  <c r="A31043" i="1"/>
  <c r="A31044" i="1"/>
  <c r="A31045" i="1"/>
  <c r="A31046" i="1"/>
  <c r="A31047" i="1"/>
  <c r="A31048" i="1"/>
  <c r="A31049" i="1"/>
  <c r="A31050" i="1"/>
  <c r="A31051" i="1"/>
  <c r="A31052" i="1"/>
  <c r="A31053" i="1"/>
  <c r="A31054" i="1"/>
  <c r="A31055" i="1"/>
  <c r="A31056" i="1"/>
  <c r="A31057" i="1"/>
  <c r="A31058" i="1"/>
  <c r="A31059" i="1"/>
  <c r="A31060" i="1"/>
  <c r="A31061" i="1"/>
  <c r="A31062" i="1"/>
  <c r="A31063" i="1"/>
  <c r="A31064" i="1"/>
  <c r="A31065" i="1"/>
  <c r="A31066" i="1"/>
  <c r="A31067" i="1"/>
  <c r="A31068" i="1"/>
  <c r="A31069" i="1"/>
  <c r="A31070" i="1"/>
  <c r="A31071" i="1"/>
  <c r="A31072" i="1"/>
  <c r="A31073" i="1"/>
  <c r="A31074" i="1"/>
  <c r="A31075" i="1"/>
  <c r="A31076" i="1"/>
  <c r="A31077" i="1"/>
  <c r="A31078" i="1"/>
  <c r="A31079" i="1"/>
  <c r="A31080" i="1"/>
  <c r="A31081" i="1"/>
  <c r="A31082" i="1"/>
  <c r="A31083" i="1"/>
  <c r="A31084" i="1"/>
  <c r="A31085" i="1"/>
  <c r="A31086" i="1"/>
  <c r="A31087" i="1"/>
  <c r="A31088" i="1"/>
  <c r="A31089" i="1"/>
  <c r="A31090" i="1"/>
  <c r="A31091" i="1"/>
  <c r="A31092" i="1"/>
  <c r="A31093" i="1"/>
  <c r="A31094" i="1"/>
  <c r="A31095" i="1"/>
  <c r="A31096" i="1"/>
  <c r="A31097" i="1"/>
  <c r="A31098" i="1"/>
  <c r="A31099" i="1"/>
  <c r="A31100" i="1"/>
  <c r="A31101" i="1"/>
  <c r="A31102" i="1"/>
  <c r="A31103" i="1"/>
  <c r="A31104" i="1"/>
  <c r="A31105" i="1"/>
  <c r="A31106" i="1"/>
  <c r="A31107" i="1"/>
  <c r="A31108" i="1"/>
  <c r="A31109" i="1"/>
  <c r="A31110" i="1"/>
  <c r="A31111" i="1"/>
  <c r="A31112" i="1"/>
  <c r="A31113" i="1"/>
  <c r="A31114" i="1"/>
  <c r="A31115" i="1"/>
  <c r="A31116" i="1"/>
  <c r="A31117" i="1"/>
  <c r="A31118" i="1"/>
  <c r="A31119" i="1"/>
  <c r="A31120" i="1"/>
  <c r="A31121" i="1"/>
  <c r="A31122" i="1"/>
  <c r="A31123" i="1"/>
  <c r="A31124" i="1"/>
  <c r="A31125" i="1"/>
  <c r="A31126" i="1"/>
  <c r="A31127" i="1"/>
  <c r="A31128" i="1"/>
  <c r="A31129" i="1"/>
  <c r="A31130" i="1"/>
  <c r="A31131" i="1"/>
  <c r="A31132" i="1"/>
  <c r="A31133" i="1"/>
  <c r="A31134" i="1"/>
  <c r="A31135" i="1"/>
  <c r="A31136" i="1"/>
  <c r="A31137" i="1"/>
  <c r="A31138" i="1"/>
  <c r="A31139" i="1"/>
  <c r="A31140" i="1"/>
  <c r="A31141" i="1"/>
  <c r="A31142" i="1"/>
  <c r="A31143" i="1"/>
  <c r="A31144" i="1"/>
  <c r="A31145" i="1"/>
  <c r="A31146" i="1"/>
  <c r="A31147" i="1"/>
  <c r="A31148" i="1"/>
  <c r="A31149" i="1"/>
  <c r="A31150" i="1"/>
  <c r="A31151" i="1"/>
  <c r="A31152" i="1"/>
  <c r="A31153" i="1"/>
  <c r="A31154" i="1"/>
  <c r="A31155" i="1"/>
  <c r="A31156" i="1"/>
  <c r="A31157" i="1"/>
  <c r="A31158" i="1"/>
  <c r="A31159" i="1"/>
  <c r="A31160" i="1"/>
  <c r="A31161" i="1"/>
  <c r="A31162" i="1"/>
  <c r="A31163" i="1"/>
  <c r="A31164" i="1"/>
  <c r="A31165" i="1"/>
  <c r="A31166" i="1"/>
  <c r="A31167" i="1"/>
  <c r="A31168" i="1"/>
  <c r="A31169" i="1"/>
  <c r="A31170" i="1"/>
  <c r="A31171" i="1"/>
  <c r="A31172" i="1"/>
  <c r="A31173" i="1"/>
  <c r="A31174" i="1"/>
  <c r="A31175" i="1"/>
  <c r="A31176" i="1"/>
  <c r="A31177" i="1"/>
  <c r="A31178" i="1"/>
  <c r="A31179" i="1"/>
  <c r="A31180" i="1"/>
  <c r="A31181" i="1"/>
  <c r="A31182" i="1"/>
  <c r="A31183" i="1"/>
  <c r="A31184" i="1"/>
  <c r="A31185" i="1"/>
  <c r="A31186" i="1"/>
  <c r="A31187" i="1"/>
  <c r="A31188" i="1"/>
  <c r="A31189" i="1"/>
  <c r="A31190" i="1"/>
  <c r="A31191" i="1"/>
  <c r="A31192" i="1"/>
  <c r="A31193" i="1"/>
  <c r="A31194" i="1"/>
  <c r="A31195" i="1"/>
  <c r="A31196" i="1"/>
  <c r="A31197" i="1"/>
  <c r="A31198" i="1"/>
  <c r="A31199" i="1"/>
  <c r="A31200" i="1"/>
  <c r="A31201" i="1"/>
  <c r="A31202" i="1"/>
  <c r="A31203" i="1"/>
  <c r="A31204" i="1"/>
  <c r="A31205" i="1"/>
  <c r="A31206" i="1"/>
  <c r="A31207" i="1"/>
  <c r="A31208" i="1"/>
  <c r="A31209" i="1"/>
  <c r="A31210" i="1"/>
  <c r="A31211" i="1"/>
  <c r="A31212" i="1"/>
  <c r="A31213" i="1"/>
  <c r="A31214" i="1"/>
  <c r="A31215" i="1"/>
  <c r="A31216" i="1"/>
  <c r="A31217" i="1"/>
  <c r="A31218" i="1"/>
  <c r="A31219" i="1"/>
  <c r="A31220" i="1"/>
  <c r="A31221" i="1"/>
  <c r="A31222" i="1"/>
  <c r="A31223" i="1"/>
  <c r="A31224" i="1"/>
  <c r="A31225" i="1"/>
  <c r="A31226" i="1"/>
  <c r="A31227" i="1"/>
  <c r="A31228" i="1"/>
  <c r="A31229" i="1"/>
  <c r="A31230" i="1"/>
  <c r="A31231" i="1"/>
  <c r="A31232" i="1"/>
  <c r="A31233" i="1"/>
  <c r="A31234" i="1"/>
  <c r="A31235" i="1"/>
  <c r="A31236" i="1"/>
  <c r="A31237" i="1"/>
  <c r="A31238" i="1"/>
  <c r="A31239" i="1"/>
  <c r="A31240" i="1"/>
  <c r="A31241" i="1"/>
  <c r="A31242" i="1"/>
  <c r="A31243" i="1"/>
  <c r="A31244" i="1"/>
  <c r="A31245" i="1"/>
  <c r="A31246" i="1"/>
  <c r="A31247" i="1"/>
  <c r="A31248" i="1"/>
  <c r="A31249" i="1"/>
  <c r="A31250" i="1"/>
  <c r="A31251" i="1"/>
  <c r="A31252" i="1"/>
  <c r="A31253" i="1"/>
  <c r="A31254" i="1"/>
  <c r="A31255" i="1"/>
  <c r="A31256" i="1"/>
  <c r="A31257" i="1"/>
  <c r="A31258" i="1"/>
  <c r="A31259" i="1"/>
  <c r="A31260" i="1"/>
  <c r="A31261" i="1"/>
  <c r="A31262" i="1"/>
  <c r="A31263" i="1"/>
  <c r="A31264" i="1"/>
  <c r="A31265" i="1"/>
  <c r="A31266" i="1"/>
  <c r="A31267" i="1"/>
  <c r="A31268" i="1"/>
  <c r="A31269" i="1"/>
  <c r="A31270" i="1"/>
  <c r="A31271" i="1"/>
  <c r="A31272" i="1"/>
  <c r="A31273" i="1"/>
  <c r="A31274" i="1"/>
  <c r="A31275" i="1"/>
  <c r="A31276" i="1"/>
  <c r="A31277" i="1"/>
  <c r="A31278" i="1"/>
  <c r="A31279" i="1"/>
  <c r="A31280" i="1"/>
  <c r="A31281" i="1"/>
  <c r="A31282" i="1"/>
  <c r="A31283" i="1"/>
  <c r="A31284" i="1"/>
  <c r="A31285" i="1"/>
  <c r="A31286" i="1"/>
  <c r="A31287" i="1"/>
  <c r="A31288" i="1"/>
  <c r="A31289" i="1"/>
  <c r="A31290" i="1"/>
  <c r="A31291" i="1"/>
  <c r="A31292" i="1"/>
  <c r="A31293" i="1"/>
  <c r="A31294" i="1"/>
  <c r="A31295" i="1"/>
  <c r="A31296" i="1"/>
  <c r="A31297" i="1"/>
  <c r="A31298" i="1"/>
  <c r="A31299" i="1"/>
  <c r="A31300" i="1"/>
  <c r="A31301" i="1"/>
  <c r="A31302" i="1"/>
  <c r="A31303" i="1"/>
  <c r="A31304" i="1"/>
  <c r="A31305" i="1"/>
  <c r="A31306" i="1"/>
  <c r="A31307" i="1"/>
  <c r="A31308" i="1"/>
  <c r="A31309" i="1"/>
  <c r="A31310" i="1"/>
  <c r="A31311" i="1"/>
  <c r="A31312" i="1"/>
  <c r="A31313" i="1"/>
  <c r="A31314" i="1"/>
  <c r="A31315" i="1"/>
  <c r="A31316" i="1"/>
  <c r="A31317" i="1"/>
  <c r="A31318" i="1"/>
  <c r="A31319" i="1"/>
  <c r="A31320" i="1"/>
  <c r="A31321" i="1"/>
  <c r="A31322" i="1"/>
  <c r="A31323" i="1"/>
  <c r="A31324" i="1"/>
  <c r="A31325" i="1"/>
  <c r="A31326" i="1"/>
  <c r="A31327" i="1"/>
  <c r="A31328" i="1"/>
  <c r="A31329" i="1"/>
  <c r="A31330" i="1"/>
  <c r="A31331" i="1"/>
  <c r="A31332" i="1"/>
  <c r="A31333" i="1"/>
  <c r="A31334" i="1"/>
  <c r="A31335" i="1"/>
  <c r="A31336" i="1"/>
  <c r="A31337" i="1"/>
  <c r="A31338" i="1"/>
  <c r="A31339" i="1"/>
  <c r="A31340" i="1"/>
  <c r="A31341" i="1"/>
  <c r="A31342" i="1"/>
  <c r="A31343" i="1"/>
  <c r="A31344" i="1"/>
  <c r="A31345" i="1"/>
  <c r="A31346" i="1"/>
  <c r="A31347" i="1"/>
  <c r="A31348" i="1"/>
  <c r="A31349" i="1"/>
  <c r="A31350" i="1"/>
  <c r="A31351" i="1"/>
  <c r="A31352" i="1"/>
  <c r="A31353" i="1"/>
  <c r="A31354" i="1"/>
  <c r="A31355" i="1"/>
  <c r="A31356" i="1"/>
  <c r="A31357" i="1"/>
  <c r="A31358" i="1"/>
  <c r="A31359" i="1"/>
  <c r="A31360" i="1"/>
  <c r="A31361" i="1"/>
  <c r="A31362" i="1"/>
  <c r="A31363" i="1"/>
  <c r="A31364" i="1"/>
  <c r="A31365" i="1"/>
  <c r="A31366" i="1"/>
  <c r="A31367" i="1"/>
  <c r="A31368" i="1"/>
  <c r="A31369" i="1"/>
  <c r="A31370" i="1"/>
  <c r="A31371" i="1"/>
  <c r="A31372" i="1"/>
  <c r="A31373" i="1"/>
  <c r="A31374" i="1"/>
  <c r="A31375" i="1"/>
  <c r="A31376" i="1"/>
  <c r="A31377" i="1"/>
  <c r="A31378" i="1"/>
  <c r="A31379" i="1"/>
  <c r="A31380" i="1"/>
  <c r="A31381" i="1"/>
  <c r="A31382" i="1"/>
  <c r="A31383" i="1"/>
  <c r="A31384" i="1"/>
  <c r="A31385" i="1"/>
  <c r="A31386" i="1"/>
  <c r="A31387" i="1"/>
  <c r="A31388" i="1"/>
  <c r="A31389" i="1"/>
  <c r="A31390" i="1"/>
  <c r="A31391" i="1"/>
  <c r="A31392" i="1"/>
  <c r="A31393" i="1"/>
  <c r="A31394" i="1"/>
  <c r="A31395" i="1"/>
  <c r="A31396" i="1"/>
  <c r="A31397" i="1"/>
  <c r="A31398" i="1"/>
  <c r="A31399" i="1"/>
  <c r="A31400" i="1"/>
  <c r="A31401" i="1"/>
  <c r="A31402" i="1"/>
  <c r="A31403" i="1"/>
  <c r="A31404" i="1"/>
  <c r="A31405" i="1"/>
  <c r="A31406" i="1"/>
  <c r="A31407" i="1"/>
  <c r="A31408" i="1"/>
  <c r="A31409" i="1"/>
  <c r="A31410" i="1"/>
  <c r="A31411" i="1"/>
  <c r="A31412" i="1"/>
  <c r="A31413" i="1"/>
  <c r="A31414" i="1"/>
  <c r="A31415" i="1"/>
  <c r="A31416" i="1"/>
  <c r="A31417" i="1"/>
  <c r="A31418" i="1"/>
  <c r="A31419" i="1"/>
  <c r="A31420" i="1"/>
  <c r="A31421" i="1"/>
  <c r="A31422" i="1"/>
  <c r="A31423" i="1"/>
  <c r="A31424" i="1"/>
  <c r="A31425" i="1"/>
  <c r="A31426" i="1"/>
  <c r="A31427" i="1"/>
  <c r="A31428" i="1"/>
  <c r="A31429" i="1"/>
  <c r="A31430" i="1"/>
  <c r="A31431" i="1"/>
  <c r="A31432" i="1"/>
  <c r="A31433" i="1"/>
  <c r="A31434" i="1"/>
  <c r="A31435" i="1"/>
  <c r="A31436" i="1"/>
  <c r="A31437" i="1"/>
  <c r="A31438" i="1"/>
  <c r="A31439" i="1"/>
  <c r="A31440" i="1"/>
  <c r="A31441" i="1"/>
  <c r="A31442" i="1"/>
  <c r="A31443" i="1"/>
  <c r="A31444" i="1"/>
  <c r="A31445" i="1"/>
  <c r="A31446" i="1"/>
  <c r="A31447" i="1"/>
  <c r="A31448" i="1"/>
  <c r="A31449" i="1"/>
  <c r="A31450" i="1"/>
  <c r="A31451" i="1"/>
  <c r="A31452" i="1"/>
  <c r="A31453" i="1"/>
  <c r="A31454" i="1"/>
  <c r="A31455" i="1"/>
  <c r="A31456" i="1"/>
  <c r="A31457" i="1"/>
  <c r="A31458" i="1"/>
  <c r="A31459" i="1"/>
  <c r="A31460" i="1"/>
  <c r="A31461" i="1"/>
  <c r="A31462" i="1"/>
  <c r="A31463" i="1"/>
  <c r="A31464" i="1"/>
  <c r="A31465" i="1"/>
  <c r="A31466" i="1"/>
  <c r="A31467" i="1"/>
  <c r="A31468" i="1"/>
  <c r="A31469" i="1"/>
  <c r="A31470" i="1"/>
  <c r="A31471" i="1"/>
  <c r="A31472" i="1"/>
  <c r="A31473" i="1"/>
  <c r="A31474" i="1"/>
  <c r="A31475" i="1"/>
  <c r="A31476" i="1"/>
  <c r="A31477" i="1"/>
  <c r="A31478" i="1"/>
  <c r="A31479" i="1"/>
  <c r="A31480" i="1"/>
  <c r="A31481" i="1"/>
  <c r="A31482" i="1"/>
  <c r="A31483" i="1"/>
  <c r="A31484" i="1"/>
  <c r="A31485" i="1"/>
  <c r="A31486" i="1"/>
  <c r="A31487" i="1"/>
  <c r="A31488" i="1"/>
  <c r="A31489" i="1"/>
  <c r="A31490" i="1"/>
  <c r="A31491" i="1"/>
  <c r="A31492" i="1"/>
  <c r="A31493" i="1"/>
  <c r="A31494" i="1"/>
  <c r="A31495" i="1"/>
  <c r="A31496" i="1"/>
  <c r="A31497" i="1"/>
  <c r="A31498" i="1"/>
  <c r="A31499" i="1"/>
  <c r="A31500" i="1"/>
  <c r="A31501" i="1"/>
  <c r="A31502" i="1"/>
  <c r="A31503" i="1"/>
  <c r="A31504" i="1"/>
  <c r="A31505" i="1"/>
  <c r="A31506" i="1"/>
  <c r="A31507" i="1"/>
  <c r="A31508" i="1"/>
  <c r="A31509" i="1"/>
  <c r="A31510" i="1"/>
  <c r="A31511" i="1"/>
  <c r="A31512" i="1"/>
  <c r="A31513" i="1"/>
  <c r="A31514" i="1"/>
  <c r="A31515" i="1"/>
  <c r="A31516" i="1"/>
  <c r="A31517" i="1"/>
  <c r="A31518" i="1"/>
  <c r="A31519" i="1"/>
  <c r="A31520" i="1"/>
  <c r="A31521" i="1"/>
  <c r="A31522" i="1"/>
  <c r="A31523" i="1"/>
  <c r="A31524" i="1"/>
  <c r="A31525" i="1"/>
  <c r="A31526" i="1"/>
  <c r="A31527" i="1"/>
  <c r="A31528" i="1"/>
  <c r="A31529" i="1"/>
  <c r="A31530" i="1"/>
  <c r="A31531" i="1"/>
  <c r="A31532" i="1"/>
  <c r="A31533" i="1"/>
  <c r="A31534" i="1"/>
  <c r="A31535" i="1"/>
  <c r="A31536" i="1"/>
  <c r="A31537" i="1"/>
  <c r="A31538" i="1"/>
  <c r="A31539" i="1"/>
  <c r="A31540" i="1"/>
  <c r="A31541" i="1"/>
  <c r="A31542" i="1"/>
  <c r="A31543" i="1"/>
  <c r="A31544" i="1"/>
  <c r="A31545" i="1"/>
  <c r="A31546" i="1"/>
  <c r="A31547" i="1"/>
  <c r="A31548" i="1"/>
  <c r="A31549" i="1"/>
  <c r="A31550" i="1"/>
  <c r="A31551" i="1"/>
  <c r="A31552" i="1"/>
  <c r="A31553" i="1"/>
  <c r="A31554" i="1"/>
  <c r="A31555" i="1"/>
  <c r="A31556" i="1"/>
  <c r="A31557" i="1"/>
  <c r="A31558" i="1"/>
  <c r="A31559" i="1"/>
  <c r="A31560" i="1"/>
  <c r="A31561" i="1"/>
  <c r="A31562" i="1"/>
  <c r="A31563" i="1"/>
  <c r="A31564" i="1"/>
  <c r="A31565" i="1"/>
  <c r="A31566" i="1"/>
  <c r="A31567" i="1"/>
  <c r="A31568" i="1"/>
  <c r="A31569" i="1"/>
  <c r="A31570" i="1"/>
  <c r="A31571" i="1"/>
  <c r="A31572" i="1"/>
  <c r="A31573" i="1"/>
  <c r="A31574" i="1"/>
  <c r="A31575" i="1"/>
  <c r="A31576" i="1"/>
  <c r="A31577" i="1"/>
  <c r="A31578" i="1"/>
  <c r="A31579" i="1"/>
  <c r="A31580" i="1"/>
  <c r="A31581" i="1"/>
  <c r="A31582" i="1"/>
  <c r="A31583" i="1"/>
  <c r="A31584" i="1"/>
  <c r="A31585" i="1"/>
  <c r="A31586" i="1"/>
  <c r="A31587" i="1"/>
  <c r="A31588" i="1"/>
  <c r="A31589" i="1"/>
  <c r="A31590" i="1"/>
  <c r="A31591" i="1"/>
  <c r="A31592" i="1"/>
  <c r="A31593" i="1"/>
  <c r="A31594" i="1"/>
  <c r="A31595" i="1"/>
  <c r="A31596" i="1"/>
  <c r="A31597" i="1"/>
  <c r="A31598" i="1"/>
  <c r="A31599" i="1"/>
  <c r="A31600" i="1"/>
  <c r="A31601" i="1"/>
  <c r="A31602" i="1"/>
  <c r="A31603" i="1"/>
  <c r="A31604" i="1"/>
  <c r="A31605" i="1"/>
  <c r="A31606" i="1"/>
  <c r="A31607" i="1"/>
  <c r="A31608" i="1"/>
  <c r="A31609" i="1"/>
  <c r="A31610" i="1"/>
  <c r="A31611" i="1"/>
  <c r="A31612" i="1"/>
  <c r="A31613" i="1"/>
  <c r="A31614" i="1"/>
  <c r="A31615" i="1"/>
  <c r="A31616" i="1"/>
  <c r="A31617" i="1"/>
  <c r="A31618" i="1"/>
  <c r="A31619" i="1"/>
  <c r="A31620" i="1"/>
  <c r="A31621" i="1"/>
  <c r="A31622" i="1"/>
  <c r="A31623" i="1"/>
  <c r="A31624" i="1"/>
  <c r="A31625" i="1"/>
  <c r="A31626" i="1"/>
  <c r="A31627" i="1"/>
  <c r="A31628" i="1"/>
  <c r="A31629" i="1"/>
  <c r="A31630" i="1"/>
  <c r="A31631" i="1"/>
  <c r="A31632" i="1"/>
  <c r="A31633" i="1"/>
  <c r="A31634" i="1"/>
  <c r="A31635" i="1"/>
  <c r="A31636" i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1842" i="1"/>
  <c r="A31843" i="1"/>
  <c r="A31844" i="1"/>
  <c r="A31845" i="1"/>
  <c r="A31846" i="1"/>
  <c r="A31847" i="1"/>
  <c r="A31848" i="1"/>
  <c r="A31849" i="1"/>
  <c r="A31850" i="1"/>
  <c r="A31851" i="1"/>
  <c r="A31852" i="1"/>
  <c r="A31853" i="1"/>
  <c r="A31854" i="1"/>
  <c r="A31855" i="1"/>
  <c r="A31856" i="1"/>
  <c r="A31857" i="1"/>
  <c r="A31858" i="1"/>
  <c r="A31859" i="1"/>
  <c r="A31860" i="1"/>
  <c r="A31861" i="1"/>
  <c r="A31862" i="1"/>
  <c r="A31863" i="1"/>
  <c r="A31864" i="1"/>
  <c r="A31865" i="1"/>
  <c r="A31866" i="1"/>
  <c r="A31867" i="1"/>
  <c r="A31868" i="1"/>
  <c r="A31869" i="1"/>
  <c r="A31870" i="1"/>
  <c r="A31871" i="1"/>
  <c r="A31872" i="1"/>
  <c r="A31873" i="1"/>
  <c r="A31874" i="1"/>
  <c r="A31875" i="1"/>
  <c r="A31876" i="1"/>
  <c r="A31877" i="1"/>
  <c r="A31878" i="1"/>
  <c r="A31879" i="1"/>
  <c r="A31880" i="1"/>
  <c r="A31881" i="1"/>
  <c r="A31882" i="1"/>
  <c r="A31883" i="1"/>
  <c r="A31884" i="1"/>
  <c r="A31885" i="1"/>
  <c r="A31886" i="1"/>
  <c r="A31887" i="1"/>
  <c r="A31888" i="1"/>
  <c r="A31889" i="1"/>
  <c r="A31890" i="1"/>
  <c r="A31891" i="1"/>
  <c r="A31892" i="1"/>
  <c r="A31893" i="1"/>
  <c r="A31894" i="1"/>
  <c r="A31895" i="1"/>
  <c r="A31896" i="1"/>
  <c r="A31897" i="1"/>
  <c r="A31898" i="1"/>
  <c r="A31899" i="1"/>
  <c r="A31900" i="1"/>
  <c r="A31901" i="1"/>
  <c r="A31902" i="1"/>
  <c r="A31903" i="1"/>
  <c r="A31904" i="1"/>
  <c r="A31905" i="1"/>
  <c r="A31906" i="1"/>
  <c r="A31907" i="1"/>
  <c r="A31908" i="1"/>
  <c r="A31909" i="1"/>
  <c r="A31910" i="1"/>
  <c r="A31911" i="1"/>
  <c r="A31912" i="1"/>
  <c r="A31913" i="1"/>
  <c r="A31914" i="1"/>
  <c r="A31915" i="1"/>
  <c r="A31916" i="1"/>
  <c r="A31917" i="1"/>
  <c r="A31918" i="1"/>
  <c r="A31919" i="1"/>
  <c r="A31920" i="1"/>
  <c r="A31921" i="1"/>
  <c r="A31922" i="1"/>
  <c r="A31923" i="1"/>
  <c r="A31924" i="1"/>
  <c r="A31925" i="1"/>
  <c r="A31926" i="1"/>
  <c r="A31927" i="1"/>
  <c r="A31928" i="1"/>
  <c r="A31929" i="1"/>
  <c r="A31930" i="1"/>
  <c r="A31931" i="1"/>
  <c r="A31932" i="1"/>
  <c r="A31933" i="1"/>
  <c r="A31934" i="1"/>
  <c r="A31935" i="1"/>
  <c r="A31936" i="1"/>
  <c r="A31937" i="1"/>
  <c r="A31938" i="1"/>
  <c r="A31939" i="1"/>
  <c r="A31940" i="1"/>
  <c r="A31941" i="1"/>
  <c r="A31942" i="1"/>
  <c r="A31943" i="1"/>
  <c r="A31944" i="1"/>
  <c r="A31945" i="1"/>
  <c r="A31946" i="1"/>
  <c r="A31947" i="1"/>
  <c r="A31948" i="1"/>
  <c r="A31949" i="1"/>
  <c r="A31950" i="1"/>
  <c r="A31951" i="1"/>
  <c r="A31952" i="1"/>
  <c r="A31953" i="1"/>
  <c r="A31954" i="1"/>
  <c r="A31955" i="1"/>
  <c r="A31956" i="1"/>
  <c r="A31957" i="1"/>
  <c r="A31958" i="1"/>
  <c r="A31959" i="1"/>
  <c r="A31960" i="1"/>
  <c r="A31961" i="1"/>
  <c r="A31962" i="1"/>
  <c r="A31963" i="1"/>
  <c r="A31964" i="1"/>
  <c r="A31965" i="1"/>
  <c r="A31966" i="1"/>
  <c r="A31967" i="1"/>
  <c r="A31968" i="1"/>
  <c r="A31969" i="1"/>
  <c r="A31970" i="1"/>
  <c r="A31971" i="1"/>
  <c r="A31972" i="1"/>
  <c r="A31973" i="1"/>
  <c r="A31974" i="1"/>
  <c r="A31975" i="1"/>
  <c r="A31976" i="1"/>
  <c r="A31977" i="1"/>
  <c r="A31978" i="1"/>
  <c r="A31979" i="1"/>
  <c r="A31980" i="1"/>
  <c r="A31981" i="1"/>
  <c r="A31982" i="1"/>
  <c r="A31983" i="1"/>
  <c r="A31984" i="1"/>
  <c r="A31985" i="1"/>
  <c r="A31986" i="1"/>
  <c r="A31987" i="1"/>
  <c r="A31988" i="1"/>
  <c r="A31989" i="1"/>
  <c r="A31990" i="1"/>
  <c r="A31991" i="1"/>
  <c r="A31992" i="1"/>
  <c r="A31993" i="1"/>
  <c r="A31994" i="1"/>
  <c r="A31995" i="1"/>
  <c r="A31996" i="1"/>
  <c r="A31997" i="1"/>
  <c r="A31998" i="1"/>
  <c r="A31999" i="1"/>
  <c r="A32000" i="1"/>
  <c r="A32001" i="1"/>
  <c r="A32002" i="1"/>
  <c r="A32003" i="1"/>
  <c r="A32004" i="1"/>
  <c r="A32005" i="1"/>
  <c r="A32006" i="1"/>
  <c r="A32007" i="1"/>
  <c r="A32008" i="1"/>
  <c r="A32009" i="1"/>
  <c r="A32010" i="1"/>
  <c r="A32011" i="1"/>
  <c r="A32012" i="1"/>
  <c r="A32013" i="1"/>
  <c r="A32014" i="1"/>
  <c r="A32015" i="1"/>
  <c r="A32016" i="1"/>
  <c r="A32017" i="1"/>
  <c r="A32018" i="1"/>
  <c r="A32019" i="1"/>
  <c r="A32020" i="1"/>
  <c r="A32021" i="1"/>
  <c r="A32022" i="1"/>
  <c r="A32023" i="1"/>
  <c r="A32024" i="1"/>
  <c r="A32025" i="1"/>
  <c r="A32026" i="1"/>
  <c r="A32027" i="1"/>
  <c r="A32028" i="1"/>
  <c r="A32029" i="1"/>
  <c r="A32030" i="1"/>
  <c r="A32031" i="1"/>
  <c r="A32032" i="1"/>
  <c r="A32033" i="1"/>
  <c r="A32034" i="1"/>
  <c r="A32035" i="1"/>
  <c r="A32036" i="1"/>
  <c r="A32037" i="1"/>
  <c r="A32038" i="1"/>
  <c r="A32039" i="1"/>
  <c r="A32040" i="1"/>
  <c r="A32041" i="1"/>
  <c r="A32042" i="1"/>
  <c r="A32043" i="1"/>
  <c r="A32044" i="1"/>
  <c r="A32045" i="1"/>
  <c r="A32046" i="1"/>
  <c r="A32047" i="1"/>
  <c r="A32048" i="1"/>
  <c r="A32049" i="1"/>
  <c r="A32050" i="1"/>
  <c r="A32051" i="1"/>
  <c r="A32052" i="1"/>
  <c r="A32053" i="1"/>
  <c r="A32054" i="1"/>
  <c r="A32055" i="1"/>
  <c r="A32056" i="1"/>
  <c r="A32057" i="1"/>
  <c r="A32058" i="1"/>
  <c r="A32059" i="1"/>
  <c r="A32060" i="1"/>
  <c r="A32061" i="1"/>
  <c r="A32062" i="1"/>
  <c r="A32063" i="1"/>
  <c r="A32064" i="1"/>
  <c r="A32065" i="1"/>
  <c r="A32066" i="1"/>
  <c r="A32067" i="1"/>
  <c r="A32068" i="1"/>
  <c r="A32069" i="1"/>
  <c r="A32070" i="1"/>
  <c r="A32071" i="1"/>
  <c r="A32072" i="1"/>
  <c r="A32073" i="1"/>
  <c r="A32074" i="1"/>
  <c r="A32075" i="1"/>
  <c r="A32076" i="1"/>
  <c r="A32077" i="1"/>
  <c r="A32078" i="1"/>
  <c r="A32079" i="1"/>
  <c r="A32080" i="1"/>
  <c r="A32081" i="1"/>
  <c r="A32082" i="1"/>
  <c r="A32083" i="1"/>
  <c r="A32084" i="1"/>
  <c r="A32085" i="1"/>
  <c r="A32086" i="1"/>
  <c r="A32087" i="1"/>
  <c r="A32088" i="1"/>
  <c r="A32089" i="1"/>
  <c r="A32090" i="1"/>
  <c r="A32091" i="1"/>
  <c r="A32092" i="1"/>
  <c r="A32093" i="1"/>
  <c r="A32094" i="1"/>
  <c r="A32095" i="1"/>
  <c r="A32096" i="1"/>
  <c r="A32097" i="1"/>
  <c r="A32098" i="1"/>
  <c r="A32099" i="1"/>
  <c r="A32100" i="1"/>
  <c r="A32101" i="1"/>
  <c r="A32102" i="1"/>
  <c r="A32103" i="1"/>
  <c r="A32104" i="1"/>
  <c r="A32105" i="1"/>
  <c r="A32106" i="1"/>
  <c r="A32107" i="1"/>
  <c r="A32108" i="1"/>
  <c r="A32109" i="1"/>
  <c r="A32110" i="1"/>
  <c r="A32111" i="1"/>
  <c r="A32112" i="1"/>
  <c r="A32113" i="1"/>
  <c r="A32114" i="1"/>
  <c r="A32115" i="1"/>
  <c r="A32116" i="1"/>
  <c r="A32117" i="1"/>
  <c r="A32118" i="1"/>
  <c r="A32119" i="1"/>
  <c r="A32120" i="1"/>
  <c r="A32121" i="1"/>
  <c r="A32122" i="1"/>
  <c r="A32123" i="1"/>
  <c r="A32124" i="1"/>
  <c r="A32125" i="1"/>
  <c r="A32126" i="1"/>
  <c r="A32127" i="1"/>
  <c r="A32128" i="1"/>
  <c r="A32129" i="1"/>
  <c r="A32130" i="1"/>
  <c r="A32131" i="1"/>
  <c r="A32132" i="1"/>
  <c r="A32133" i="1"/>
  <c r="A32134" i="1"/>
  <c r="A32135" i="1"/>
  <c r="A32136" i="1"/>
  <c r="A32137" i="1"/>
  <c r="A32138" i="1"/>
  <c r="A32139" i="1"/>
  <c r="A32140" i="1"/>
  <c r="A32141" i="1"/>
  <c r="A32142" i="1"/>
  <c r="A32143" i="1"/>
  <c r="A32144" i="1"/>
  <c r="A32145" i="1"/>
  <c r="A32146" i="1"/>
  <c r="A32147" i="1"/>
  <c r="A32148" i="1"/>
  <c r="A32149" i="1"/>
  <c r="A32150" i="1"/>
  <c r="A32151" i="1"/>
  <c r="A32152" i="1"/>
  <c r="A32153" i="1"/>
  <c r="A32154" i="1"/>
  <c r="A32155" i="1"/>
  <c r="A32156" i="1"/>
  <c r="A32157" i="1"/>
  <c r="A32158" i="1"/>
  <c r="A32159" i="1"/>
  <c r="A32160" i="1"/>
  <c r="A32161" i="1"/>
  <c r="A32162" i="1"/>
  <c r="A32163" i="1"/>
  <c r="A32164" i="1"/>
  <c r="A32165" i="1"/>
  <c r="A32166" i="1"/>
  <c r="A32167" i="1"/>
  <c r="A32168" i="1"/>
  <c r="A32169" i="1"/>
  <c r="A32170" i="1"/>
  <c r="A32171" i="1"/>
  <c r="A32172" i="1"/>
  <c r="A32173" i="1"/>
  <c r="A32174" i="1"/>
  <c r="A32175" i="1"/>
  <c r="A32176" i="1"/>
  <c r="A32177" i="1"/>
  <c r="A32178" i="1"/>
  <c r="A32179" i="1"/>
  <c r="A32180" i="1"/>
  <c r="A32181" i="1"/>
  <c r="A32182" i="1"/>
  <c r="A32183" i="1"/>
  <c r="A32184" i="1"/>
  <c r="A32185" i="1"/>
  <c r="A32186" i="1"/>
  <c r="A32187" i="1"/>
  <c r="A32188" i="1"/>
  <c r="A32189" i="1"/>
  <c r="A32190" i="1"/>
  <c r="A32191" i="1"/>
  <c r="A32192" i="1"/>
  <c r="A32193" i="1"/>
  <c r="A32194" i="1"/>
  <c r="A32195" i="1"/>
  <c r="A32196" i="1"/>
  <c r="A32197" i="1"/>
  <c r="A32198" i="1"/>
  <c r="A32199" i="1"/>
  <c r="A32200" i="1"/>
  <c r="A32201" i="1"/>
  <c r="A32202" i="1"/>
  <c r="A32203" i="1"/>
  <c r="A32204" i="1"/>
  <c r="A32205" i="1"/>
  <c r="A32206" i="1"/>
  <c r="A32207" i="1"/>
  <c r="A32208" i="1"/>
  <c r="A32209" i="1"/>
  <c r="A32210" i="1"/>
  <c r="A32211" i="1"/>
  <c r="A32212" i="1"/>
  <c r="A32213" i="1"/>
  <c r="A32214" i="1"/>
  <c r="A32215" i="1"/>
  <c r="A32216" i="1"/>
  <c r="A32217" i="1"/>
  <c r="A32218" i="1"/>
  <c r="A32219" i="1"/>
  <c r="A32220" i="1"/>
  <c r="A32221" i="1"/>
  <c r="A32222" i="1"/>
  <c r="A32223" i="1"/>
  <c r="A32224" i="1"/>
  <c r="A32225" i="1"/>
  <c r="A32226" i="1"/>
  <c r="A32227" i="1"/>
  <c r="A32228" i="1"/>
  <c r="A32229" i="1"/>
  <c r="A32230" i="1"/>
  <c r="A32231" i="1"/>
  <c r="A32232" i="1"/>
  <c r="A32233" i="1"/>
  <c r="A32234" i="1"/>
  <c r="A32235" i="1"/>
  <c r="A32236" i="1"/>
  <c r="A32237" i="1"/>
  <c r="A32238" i="1"/>
  <c r="A32239" i="1"/>
  <c r="A32240" i="1"/>
  <c r="A32241" i="1"/>
  <c r="A32242" i="1"/>
  <c r="A32243" i="1"/>
  <c r="A32244" i="1"/>
  <c r="A32245" i="1"/>
  <c r="A32246" i="1"/>
  <c r="A32247" i="1"/>
  <c r="A32248" i="1"/>
  <c r="A32249" i="1"/>
  <c r="A32250" i="1"/>
  <c r="A32251" i="1"/>
  <c r="A32252" i="1"/>
  <c r="A32253" i="1"/>
  <c r="A32254" i="1"/>
  <c r="A32255" i="1"/>
  <c r="A32256" i="1"/>
  <c r="A32257" i="1"/>
  <c r="A32258" i="1"/>
  <c r="A32259" i="1"/>
  <c r="A32260" i="1"/>
  <c r="A32261" i="1"/>
  <c r="A32262" i="1"/>
  <c r="A32263" i="1"/>
  <c r="A32264" i="1"/>
  <c r="A32265" i="1"/>
  <c r="A32266" i="1"/>
  <c r="A32267" i="1"/>
  <c r="A32268" i="1"/>
  <c r="A32269" i="1"/>
  <c r="A32270" i="1"/>
  <c r="A32271" i="1"/>
  <c r="A32272" i="1"/>
  <c r="A32273" i="1"/>
  <c r="A32274" i="1"/>
  <c r="A32275" i="1"/>
  <c r="A32276" i="1"/>
  <c r="A32277" i="1"/>
  <c r="A32278" i="1"/>
  <c r="A32279" i="1"/>
  <c r="A32280" i="1"/>
  <c r="A32281" i="1"/>
  <c r="A32282" i="1"/>
  <c r="A32283" i="1"/>
  <c r="A32284" i="1"/>
  <c r="A32285" i="1"/>
  <c r="A32286" i="1"/>
  <c r="A32287" i="1"/>
  <c r="A32288" i="1"/>
  <c r="A32289" i="1"/>
  <c r="A32290" i="1"/>
  <c r="A32291" i="1"/>
  <c r="A32292" i="1"/>
  <c r="A32293" i="1"/>
  <c r="A32294" i="1"/>
  <c r="A32295" i="1"/>
  <c r="A32296" i="1"/>
  <c r="A32297" i="1"/>
  <c r="A32298" i="1"/>
  <c r="A32299" i="1"/>
  <c r="A32300" i="1"/>
  <c r="A32301" i="1"/>
  <c r="A32302" i="1"/>
  <c r="A32303" i="1"/>
  <c r="A32304" i="1"/>
  <c r="A32305" i="1"/>
  <c r="A32306" i="1"/>
  <c r="A32307" i="1"/>
  <c r="A32308" i="1"/>
  <c r="A32309" i="1"/>
  <c r="A32310" i="1"/>
  <c r="A32311" i="1"/>
  <c r="A32312" i="1"/>
  <c r="A32313" i="1"/>
  <c r="A32314" i="1"/>
  <c r="A32315" i="1"/>
  <c r="A32316" i="1"/>
  <c r="A32317" i="1"/>
  <c r="A32318" i="1"/>
  <c r="A32319" i="1"/>
  <c r="A32320" i="1"/>
  <c r="A32321" i="1"/>
  <c r="A32322" i="1"/>
  <c r="A32323" i="1"/>
  <c r="A32324" i="1"/>
  <c r="A32325" i="1"/>
  <c r="A32326" i="1"/>
  <c r="A32327" i="1"/>
  <c r="A32328" i="1"/>
  <c r="A32329" i="1"/>
  <c r="A32330" i="1"/>
  <c r="A32331" i="1"/>
  <c r="A32332" i="1"/>
  <c r="A32333" i="1"/>
  <c r="A32334" i="1"/>
  <c r="A32335" i="1"/>
  <c r="A32336" i="1"/>
  <c r="A32337" i="1"/>
  <c r="A32338" i="1"/>
  <c r="A32339" i="1"/>
  <c r="A32340" i="1"/>
  <c r="A32341" i="1"/>
  <c r="A32342" i="1"/>
  <c r="A32343" i="1"/>
  <c r="A32344" i="1"/>
  <c r="A32345" i="1"/>
  <c r="A32346" i="1"/>
  <c r="A32347" i="1"/>
  <c r="A32348" i="1"/>
  <c r="A32349" i="1"/>
  <c r="A32350" i="1"/>
  <c r="A32351" i="1"/>
  <c r="A32352" i="1"/>
  <c r="A32353" i="1"/>
  <c r="A32354" i="1"/>
  <c r="A32355" i="1"/>
  <c r="A32356" i="1"/>
  <c r="A32357" i="1"/>
  <c r="A32358" i="1"/>
  <c r="A32359" i="1"/>
  <c r="A32360" i="1"/>
  <c r="A32361" i="1"/>
  <c r="A32362" i="1"/>
  <c r="A32363" i="1"/>
  <c r="A32364" i="1"/>
  <c r="A32365" i="1"/>
  <c r="A32366" i="1"/>
  <c r="A32367" i="1"/>
  <c r="A32368" i="1"/>
  <c r="A32369" i="1"/>
  <c r="A32370" i="1"/>
  <c r="A32371" i="1"/>
  <c r="A32372" i="1"/>
  <c r="A32373" i="1"/>
  <c r="A32374" i="1"/>
  <c r="A32375" i="1"/>
  <c r="A32376" i="1"/>
  <c r="A32377" i="1"/>
  <c r="A32378" i="1"/>
  <c r="A32379" i="1"/>
  <c r="A32380" i="1"/>
  <c r="A32381" i="1"/>
  <c r="A32382" i="1"/>
  <c r="A32383" i="1"/>
  <c r="A32384" i="1"/>
  <c r="A32385" i="1"/>
  <c r="A32386" i="1"/>
  <c r="A32387" i="1"/>
  <c r="A32388" i="1"/>
  <c r="A32389" i="1"/>
  <c r="A32390" i="1"/>
  <c r="A32391" i="1"/>
  <c r="A32392" i="1"/>
  <c r="A32393" i="1"/>
  <c r="A32394" i="1"/>
  <c r="A32395" i="1"/>
  <c r="A32396" i="1"/>
  <c r="A32397" i="1"/>
  <c r="A32398" i="1"/>
  <c r="A32399" i="1"/>
  <c r="A32400" i="1"/>
  <c r="A32401" i="1"/>
  <c r="A32402" i="1"/>
  <c r="A32403" i="1"/>
  <c r="A32404" i="1"/>
  <c r="A32405" i="1"/>
  <c r="A32406" i="1"/>
  <c r="A32407" i="1"/>
  <c r="A32408" i="1"/>
  <c r="A32409" i="1"/>
  <c r="A32410" i="1"/>
  <c r="A32411" i="1"/>
  <c r="A32412" i="1"/>
  <c r="A32413" i="1"/>
  <c r="A32414" i="1"/>
  <c r="A32415" i="1"/>
  <c r="A32416" i="1"/>
  <c r="A32417" i="1"/>
  <c r="A32418" i="1"/>
  <c r="A32419" i="1"/>
  <c r="A32420" i="1"/>
  <c r="A32421" i="1"/>
  <c r="A32422" i="1"/>
  <c r="A32423" i="1"/>
  <c r="A32424" i="1"/>
  <c r="A32425" i="1"/>
  <c r="A32426" i="1"/>
  <c r="A32427" i="1"/>
  <c r="A32428" i="1"/>
  <c r="A32429" i="1"/>
  <c r="A32430" i="1"/>
  <c r="A32431" i="1"/>
  <c r="A32432" i="1"/>
  <c r="A32433" i="1"/>
  <c r="A32434" i="1"/>
  <c r="A32435" i="1"/>
  <c r="A32436" i="1"/>
  <c r="A32437" i="1"/>
  <c r="A32438" i="1"/>
  <c r="A32439" i="1"/>
  <c r="A32440" i="1"/>
  <c r="A32441" i="1"/>
  <c r="A32442" i="1"/>
  <c r="A32443" i="1"/>
  <c r="A32444" i="1"/>
  <c r="A32445" i="1"/>
  <c r="A32446" i="1"/>
  <c r="A32447" i="1"/>
  <c r="A32448" i="1"/>
  <c r="A32449" i="1"/>
  <c r="A32450" i="1"/>
  <c r="A32451" i="1"/>
  <c r="A32452" i="1"/>
  <c r="A32453" i="1"/>
  <c r="A32454" i="1"/>
  <c r="A32455" i="1"/>
  <c r="A32456" i="1"/>
  <c r="A32457" i="1"/>
  <c r="A32458" i="1"/>
  <c r="A32459" i="1"/>
  <c r="A32460" i="1"/>
  <c r="A32461" i="1"/>
  <c r="A32462" i="1"/>
  <c r="A32463" i="1"/>
  <c r="A32464" i="1"/>
  <c r="A32465" i="1"/>
  <c r="A32466" i="1"/>
  <c r="A32467" i="1"/>
  <c r="A32468" i="1"/>
  <c r="A32469" i="1"/>
  <c r="A32470" i="1"/>
  <c r="A32471" i="1"/>
  <c r="A32472" i="1"/>
  <c r="A32473" i="1"/>
  <c r="A32474" i="1"/>
  <c r="A32475" i="1"/>
  <c r="A32476" i="1"/>
  <c r="A32477" i="1"/>
  <c r="A32478" i="1"/>
  <c r="A32479" i="1"/>
  <c r="A32480" i="1"/>
  <c r="A32481" i="1"/>
  <c r="A32482" i="1"/>
  <c r="A32483" i="1"/>
  <c r="A32484" i="1"/>
  <c r="A32485" i="1"/>
  <c r="A32486" i="1"/>
  <c r="A32487" i="1"/>
  <c r="A32488" i="1"/>
  <c r="A32489" i="1"/>
  <c r="A32490" i="1"/>
  <c r="A32491" i="1"/>
  <c r="A32492" i="1"/>
  <c r="A32493" i="1"/>
  <c r="A32494" i="1"/>
  <c r="A32495" i="1"/>
  <c r="A32496" i="1"/>
  <c r="A32497" i="1"/>
  <c r="A32498" i="1"/>
  <c r="A32499" i="1"/>
  <c r="A32500" i="1"/>
  <c r="A32501" i="1"/>
  <c r="A32502" i="1"/>
  <c r="A32503" i="1"/>
  <c r="A32504" i="1"/>
  <c r="A32505" i="1"/>
  <c r="A32506" i="1"/>
  <c r="A32507" i="1"/>
  <c r="A32508" i="1"/>
  <c r="A32509" i="1"/>
  <c r="A32510" i="1"/>
  <c r="A32511" i="1"/>
  <c r="A32512" i="1"/>
  <c r="A32513" i="1"/>
  <c r="A32514" i="1"/>
  <c r="A32515" i="1"/>
  <c r="A32516" i="1"/>
  <c r="A32517" i="1"/>
  <c r="A32518" i="1"/>
  <c r="A32519" i="1"/>
  <c r="A32520" i="1"/>
  <c r="A32521" i="1"/>
  <c r="A32522" i="1"/>
  <c r="A32523" i="1"/>
  <c r="A32524" i="1"/>
  <c r="A32525" i="1"/>
  <c r="A32526" i="1"/>
  <c r="A32527" i="1"/>
  <c r="A32528" i="1"/>
  <c r="A32529" i="1"/>
  <c r="A32530" i="1"/>
  <c r="A32531" i="1"/>
  <c r="A32532" i="1"/>
  <c r="A32533" i="1"/>
  <c r="A32534" i="1"/>
  <c r="A32535" i="1"/>
  <c r="A32536" i="1"/>
  <c r="A32537" i="1"/>
  <c r="A32538" i="1"/>
  <c r="A32539" i="1"/>
  <c r="A32540" i="1"/>
  <c r="A32541" i="1"/>
  <c r="A32542" i="1"/>
  <c r="A32543" i="1"/>
  <c r="A32544" i="1"/>
  <c r="A32545" i="1"/>
  <c r="A32546" i="1"/>
  <c r="A32547" i="1"/>
  <c r="A32548" i="1"/>
  <c r="A32549" i="1"/>
  <c r="A32550" i="1"/>
  <c r="A32551" i="1"/>
  <c r="A32552" i="1"/>
  <c r="A32553" i="1"/>
  <c r="A32554" i="1"/>
  <c r="A32555" i="1"/>
  <c r="A32556" i="1"/>
  <c r="A32557" i="1"/>
  <c r="A32558" i="1"/>
  <c r="A32559" i="1"/>
  <c r="A32560" i="1"/>
  <c r="A32561" i="1"/>
  <c r="A32562" i="1"/>
  <c r="A32563" i="1"/>
  <c r="A32564" i="1"/>
  <c r="A32565" i="1"/>
  <c r="A32566" i="1"/>
  <c r="A32567" i="1"/>
  <c r="A32568" i="1"/>
  <c r="A32569" i="1"/>
  <c r="A32570" i="1"/>
  <c r="A32571" i="1"/>
  <c r="A32572" i="1"/>
  <c r="A32573" i="1"/>
  <c r="A32574" i="1"/>
  <c r="A32575" i="1"/>
  <c r="A32576" i="1"/>
  <c r="A32577" i="1"/>
  <c r="A32578" i="1"/>
  <c r="A32579" i="1"/>
  <c r="A32580" i="1"/>
  <c r="A32581" i="1"/>
  <c r="A32582" i="1"/>
  <c r="A32583" i="1"/>
  <c r="A32584" i="1"/>
  <c r="A32585" i="1"/>
  <c r="A32586" i="1"/>
  <c r="A32587" i="1"/>
  <c r="A32588" i="1"/>
  <c r="A32589" i="1"/>
  <c r="A32590" i="1"/>
  <c r="A32591" i="1"/>
  <c r="A32592" i="1"/>
  <c r="A32593" i="1"/>
  <c r="A32594" i="1"/>
  <c r="A32595" i="1"/>
  <c r="A32596" i="1"/>
  <c r="A32597" i="1"/>
  <c r="A32598" i="1"/>
  <c r="A32599" i="1"/>
  <c r="A32600" i="1"/>
  <c r="A32601" i="1"/>
  <c r="A32602" i="1"/>
  <c r="A32603" i="1"/>
  <c r="A32604" i="1"/>
  <c r="A32605" i="1"/>
  <c r="A32606" i="1"/>
  <c r="A32607" i="1"/>
  <c r="A32608" i="1"/>
  <c r="A32609" i="1"/>
  <c r="A32610" i="1"/>
  <c r="A32611" i="1"/>
  <c r="A32612" i="1"/>
  <c r="A32613" i="1"/>
  <c r="A32614" i="1"/>
  <c r="A32615" i="1"/>
  <c r="A32616" i="1"/>
  <c r="A32617" i="1"/>
  <c r="A32618" i="1"/>
  <c r="A32619" i="1"/>
  <c r="A32620" i="1"/>
  <c r="A32621" i="1"/>
  <c r="A32622" i="1"/>
  <c r="A32623" i="1"/>
  <c r="A32624" i="1"/>
  <c r="A32625" i="1"/>
  <c r="A32626" i="1"/>
  <c r="A32627" i="1"/>
  <c r="A32628" i="1"/>
  <c r="A32629" i="1"/>
  <c r="A32630" i="1"/>
  <c r="A32631" i="1"/>
  <c r="A32632" i="1"/>
  <c r="A32633" i="1"/>
  <c r="A32634" i="1"/>
  <c r="A32635" i="1"/>
  <c r="A32636" i="1"/>
  <c r="A32637" i="1"/>
  <c r="A32638" i="1"/>
  <c r="A32639" i="1"/>
  <c r="A32640" i="1"/>
  <c r="A32641" i="1"/>
  <c r="A32642" i="1"/>
  <c r="A32643" i="1"/>
  <c r="A32644" i="1"/>
  <c r="A32645" i="1"/>
  <c r="A32646" i="1"/>
  <c r="A32647" i="1"/>
  <c r="A32648" i="1"/>
  <c r="A32649" i="1"/>
  <c r="A32650" i="1"/>
  <c r="A32651" i="1"/>
  <c r="A32652" i="1"/>
  <c r="A32653" i="1"/>
  <c r="A32654" i="1"/>
  <c r="A32655" i="1"/>
  <c r="A32656" i="1"/>
  <c r="A32657" i="1"/>
  <c r="A32658" i="1"/>
  <c r="A32659" i="1"/>
  <c r="A32660" i="1"/>
  <c r="A32661" i="1"/>
  <c r="A32662" i="1"/>
  <c r="A32663" i="1"/>
  <c r="A32664" i="1"/>
  <c r="A32665" i="1"/>
  <c r="A32666" i="1"/>
  <c r="A32667" i="1"/>
  <c r="A32668" i="1"/>
  <c r="A32669" i="1"/>
  <c r="A32670" i="1"/>
  <c r="A32671" i="1"/>
  <c r="A32672" i="1"/>
  <c r="A32673" i="1"/>
  <c r="A32674" i="1"/>
  <c r="A32675" i="1"/>
  <c r="A32676" i="1"/>
  <c r="A32677" i="1"/>
  <c r="A32678" i="1"/>
  <c r="A32679" i="1"/>
  <c r="A32680" i="1"/>
  <c r="A32681" i="1"/>
  <c r="A32682" i="1"/>
  <c r="A32683" i="1"/>
  <c r="A32684" i="1"/>
  <c r="A32685" i="1"/>
  <c r="A32686" i="1"/>
  <c r="A32687" i="1"/>
  <c r="A32688" i="1"/>
  <c r="A32689" i="1"/>
  <c r="A32690" i="1"/>
  <c r="A32691" i="1"/>
  <c r="A32692" i="1"/>
  <c r="A32693" i="1"/>
  <c r="A32694" i="1"/>
  <c r="A32695" i="1"/>
  <c r="A32696" i="1"/>
  <c r="A32697" i="1"/>
  <c r="A32698" i="1"/>
  <c r="A32699" i="1"/>
  <c r="A32700" i="1"/>
  <c r="A32701" i="1"/>
  <c r="A32702" i="1"/>
  <c r="A32703" i="1"/>
  <c r="A32704" i="1"/>
  <c r="A32705" i="1"/>
  <c r="A32706" i="1"/>
  <c r="A32707" i="1"/>
  <c r="A32708" i="1"/>
  <c r="A32709" i="1"/>
  <c r="A32710" i="1"/>
  <c r="A32711" i="1"/>
  <c r="A32712" i="1"/>
  <c r="A32713" i="1"/>
  <c r="A32714" i="1"/>
  <c r="A32715" i="1"/>
  <c r="A32716" i="1"/>
  <c r="A32717" i="1"/>
  <c r="A32718" i="1"/>
  <c r="A32719" i="1"/>
  <c r="A32720" i="1"/>
  <c r="A32721" i="1"/>
  <c r="A32722" i="1"/>
  <c r="A32723" i="1"/>
  <c r="A32724" i="1"/>
  <c r="A32725" i="1"/>
  <c r="A32726" i="1"/>
  <c r="A32727" i="1"/>
  <c r="A32728" i="1"/>
  <c r="A32729" i="1"/>
  <c r="A32730" i="1"/>
  <c r="A32731" i="1"/>
  <c r="A32732" i="1"/>
  <c r="A32733" i="1"/>
  <c r="A32734" i="1"/>
  <c r="A32735" i="1"/>
  <c r="A32736" i="1"/>
  <c r="A32737" i="1"/>
  <c r="A32738" i="1"/>
  <c r="A32739" i="1"/>
  <c r="A32740" i="1"/>
  <c r="A32741" i="1"/>
  <c r="A32742" i="1"/>
  <c r="A32743" i="1"/>
  <c r="A32744" i="1"/>
  <c r="A32745" i="1"/>
  <c r="A32746" i="1"/>
  <c r="A32747" i="1"/>
  <c r="A32748" i="1"/>
  <c r="A32749" i="1"/>
  <c r="A32750" i="1"/>
  <c r="A32751" i="1"/>
  <c r="A32752" i="1"/>
  <c r="A32753" i="1"/>
  <c r="A32754" i="1"/>
  <c r="A32755" i="1"/>
  <c r="A32756" i="1"/>
  <c r="A32757" i="1"/>
  <c r="A32758" i="1"/>
  <c r="A32759" i="1"/>
  <c r="A32760" i="1"/>
  <c r="A32761" i="1"/>
  <c r="A32762" i="1"/>
  <c r="A32763" i="1"/>
  <c r="A32764" i="1"/>
  <c r="A32765" i="1"/>
  <c r="A32766" i="1"/>
  <c r="A32767" i="1"/>
  <c r="A32768" i="1"/>
  <c r="A32769" i="1"/>
  <c r="A32770" i="1"/>
  <c r="A32771" i="1"/>
  <c r="A32772" i="1"/>
  <c r="A32773" i="1"/>
  <c r="A32774" i="1"/>
  <c r="A32775" i="1"/>
  <c r="A32776" i="1"/>
  <c r="A32777" i="1"/>
  <c r="A32778" i="1"/>
  <c r="A32779" i="1"/>
  <c r="A32780" i="1"/>
  <c r="A32781" i="1"/>
  <c r="A32782" i="1"/>
  <c r="A32783" i="1"/>
  <c r="A32784" i="1"/>
  <c r="A32785" i="1"/>
  <c r="A32786" i="1"/>
  <c r="A32787" i="1"/>
  <c r="A32788" i="1"/>
  <c r="A32789" i="1"/>
  <c r="A32790" i="1"/>
  <c r="A32791" i="1"/>
  <c r="A32792" i="1"/>
  <c r="A32793" i="1"/>
  <c r="A32794" i="1"/>
  <c r="A32795" i="1"/>
  <c r="A32796" i="1"/>
  <c r="A32797" i="1"/>
  <c r="A32798" i="1"/>
  <c r="A32799" i="1"/>
  <c r="A32800" i="1"/>
  <c r="A32801" i="1"/>
  <c r="A32802" i="1"/>
  <c r="A32803" i="1"/>
  <c r="A32804" i="1"/>
  <c r="A32805" i="1"/>
  <c r="A32806" i="1"/>
  <c r="A32807" i="1"/>
  <c r="A32808" i="1"/>
  <c r="A32809" i="1"/>
  <c r="A32810" i="1"/>
  <c r="A32811" i="1"/>
  <c r="A32812" i="1"/>
  <c r="A32813" i="1"/>
  <c r="A32814" i="1"/>
  <c r="A32815" i="1"/>
  <c r="A32816" i="1"/>
  <c r="A32817" i="1"/>
  <c r="A32818" i="1"/>
  <c r="A32819" i="1"/>
  <c r="A32820" i="1"/>
  <c r="A32821" i="1"/>
  <c r="A32822" i="1"/>
  <c r="A32823" i="1"/>
  <c r="A32824" i="1"/>
  <c r="A32825" i="1"/>
  <c r="A32826" i="1"/>
  <c r="A32827" i="1"/>
  <c r="A32828" i="1"/>
  <c r="A32829" i="1"/>
  <c r="A32830" i="1"/>
  <c r="A32831" i="1"/>
  <c r="A32832" i="1"/>
  <c r="A32833" i="1"/>
  <c r="A32834" i="1"/>
  <c r="A32835" i="1"/>
  <c r="A32836" i="1"/>
  <c r="A32837" i="1"/>
  <c r="A32838" i="1"/>
  <c r="A32839" i="1"/>
  <c r="A32840" i="1"/>
  <c r="A32841" i="1"/>
  <c r="A32842" i="1"/>
  <c r="A32843" i="1"/>
  <c r="A32844" i="1"/>
  <c r="A32845" i="1"/>
  <c r="A32846" i="1"/>
  <c r="A32847" i="1"/>
  <c r="A32848" i="1"/>
  <c r="A32849" i="1"/>
  <c r="A32850" i="1"/>
  <c r="A32851" i="1"/>
  <c r="A32852" i="1"/>
  <c r="A32853" i="1"/>
  <c r="A32854" i="1"/>
  <c r="A32855" i="1"/>
  <c r="A32856" i="1"/>
  <c r="A32857" i="1"/>
  <c r="A32858" i="1"/>
  <c r="A32859" i="1"/>
  <c r="A32860" i="1"/>
  <c r="A32861" i="1"/>
  <c r="A32862" i="1"/>
  <c r="A32863" i="1"/>
  <c r="A32864" i="1"/>
  <c r="A32865" i="1"/>
  <c r="A32866" i="1"/>
  <c r="A32867" i="1"/>
  <c r="A32868" i="1"/>
  <c r="A32869" i="1"/>
  <c r="A32870" i="1"/>
  <c r="A32871" i="1"/>
  <c r="A32872" i="1"/>
  <c r="A32873" i="1"/>
  <c r="A32874" i="1"/>
  <c r="A32875" i="1"/>
  <c r="A32876" i="1"/>
  <c r="A32877" i="1"/>
  <c r="A32878" i="1"/>
  <c r="A32879" i="1"/>
  <c r="A32880" i="1"/>
  <c r="A32881" i="1"/>
  <c r="A32882" i="1"/>
  <c r="A32883" i="1"/>
  <c r="A32884" i="1"/>
  <c r="A32885" i="1"/>
  <c r="A32886" i="1"/>
  <c r="A32887" i="1"/>
  <c r="A32888" i="1"/>
  <c r="A32889" i="1"/>
  <c r="A32890" i="1"/>
  <c r="A32891" i="1"/>
  <c r="A32892" i="1"/>
  <c r="A32893" i="1"/>
  <c r="A32894" i="1"/>
  <c r="A32895" i="1"/>
  <c r="A32896" i="1"/>
  <c r="A32897" i="1"/>
  <c r="A32898" i="1"/>
  <c r="A32899" i="1"/>
  <c r="A32900" i="1"/>
  <c r="A32901" i="1"/>
  <c r="A32902" i="1"/>
  <c r="A32903" i="1"/>
  <c r="A32904" i="1"/>
  <c r="A32905" i="1"/>
  <c r="A32906" i="1"/>
  <c r="A32907" i="1"/>
  <c r="A32908" i="1"/>
  <c r="A32909" i="1"/>
  <c r="A32910" i="1"/>
  <c r="A32911" i="1"/>
  <c r="A32912" i="1"/>
  <c r="A32913" i="1"/>
  <c r="A32914" i="1"/>
  <c r="A32915" i="1"/>
  <c r="A32916" i="1"/>
  <c r="A32917" i="1"/>
  <c r="A32918" i="1"/>
  <c r="A32919" i="1"/>
  <c r="A32920" i="1"/>
  <c r="A32921" i="1"/>
  <c r="A32922" i="1"/>
  <c r="A32923" i="1"/>
  <c r="A32924" i="1"/>
  <c r="A32925" i="1"/>
  <c r="A32926" i="1"/>
  <c r="A32927" i="1"/>
  <c r="A32928" i="1"/>
  <c r="A32929" i="1"/>
  <c r="A32930" i="1"/>
  <c r="A32931" i="1"/>
  <c r="A32932" i="1"/>
  <c r="A32933" i="1"/>
  <c r="A32934" i="1"/>
  <c r="A32935" i="1"/>
  <c r="A32936" i="1"/>
  <c r="A32937" i="1"/>
  <c r="A32938" i="1"/>
  <c r="A32939" i="1"/>
  <c r="A32940" i="1"/>
  <c r="A32941" i="1"/>
  <c r="A32942" i="1"/>
  <c r="A32943" i="1"/>
  <c r="A32944" i="1"/>
  <c r="A32945" i="1"/>
  <c r="A32946" i="1"/>
  <c r="A32947" i="1"/>
  <c r="A32948" i="1"/>
  <c r="A32949" i="1"/>
  <c r="A32950" i="1"/>
  <c r="A32951" i="1"/>
  <c r="A32952" i="1"/>
  <c r="A32953" i="1"/>
  <c r="A32954" i="1"/>
  <c r="A32955" i="1"/>
  <c r="A32956" i="1"/>
  <c r="A32957" i="1"/>
  <c r="A32958" i="1"/>
  <c r="A32959" i="1"/>
  <c r="A32960" i="1"/>
  <c r="A32961" i="1"/>
  <c r="A32962" i="1"/>
  <c r="A32963" i="1"/>
  <c r="A32964" i="1"/>
  <c r="A32965" i="1"/>
  <c r="A32966" i="1"/>
  <c r="A32967" i="1"/>
  <c r="A32968" i="1"/>
  <c r="A32969" i="1"/>
  <c r="A32970" i="1"/>
  <c r="A32971" i="1"/>
  <c r="A32972" i="1"/>
  <c r="A32973" i="1"/>
  <c r="A32974" i="1"/>
  <c r="A32975" i="1"/>
  <c r="A32976" i="1"/>
  <c r="A32977" i="1"/>
  <c r="A32978" i="1"/>
  <c r="A32979" i="1"/>
  <c r="A32980" i="1"/>
  <c r="A32981" i="1"/>
  <c r="A32982" i="1"/>
  <c r="A32983" i="1"/>
  <c r="A32984" i="1"/>
  <c r="A32985" i="1"/>
  <c r="A32986" i="1"/>
  <c r="A32987" i="1"/>
  <c r="A32988" i="1"/>
  <c r="A32989" i="1"/>
  <c r="A32990" i="1"/>
  <c r="A32991" i="1"/>
  <c r="A32992" i="1"/>
  <c r="A32993" i="1"/>
  <c r="A32994" i="1"/>
  <c r="A32995" i="1"/>
  <c r="A32996" i="1"/>
  <c r="A32997" i="1"/>
  <c r="A32998" i="1"/>
  <c r="A32999" i="1"/>
  <c r="A33000" i="1"/>
  <c r="A33001" i="1"/>
  <c r="A33002" i="1"/>
  <c r="A33003" i="1"/>
  <c r="A33004" i="1"/>
  <c r="A33005" i="1"/>
  <c r="A33006" i="1"/>
  <c r="A33007" i="1"/>
  <c r="A33008" i="1"/>
  <c r="A33009" i="1"/>
  <c r="A33010" i="1"/>
  <c r="A33011" i="1"/>
  <c r="A33012" i="1"/>
  <c r="A33013" i="1"/>
  <c r="A33014" i="1"/>
  <c r="A33015" i="1"/>
  <c r="A33016" i="1"/>
  <c r="A33017" i="1"/>
  <c r="A33018" i="1"/>
  <c r="A33019" i="1"/>
  <c r="A33020" i="1"/>
  <c r="A33021" i="1"/>
  <c r="A33022" i="1"/>
  <c r="A33023" i="1"/>
  <c r="A33024" i="1"/>
  <c r="A33025" i="1"/>
  <c r="A33026" i="1"/>
  <c r="A33027" i="1"/>
  <c r="A33028" i="1"/>
  <c r="A33029" i="1"/>
  <c r="A33030" i="1"/>
  <c r="A33031" i="1"/>
  <c r="A33032" i="1"/>
  <c r="A33033" i="1"/>
  <c r="A33034" i="1"/>
  <c r="A33035" i="1"/>
  <c r="A33036" i="1"/>
  <c r="A33037" i="1"/>
  <c r="A33038" i="1"/>
  <c r="A33039" i="1"/>
  <c r="A33040" i="1"/>
  <c r="A33041" i="1"/>
  <c r="A33042" i="1"/>
  <c r="A33043" i="1"/>
  <c r="A33044" i="1"/>
  <c r="A33045" i="1"/>
  <c r="A33046" i="1"/>
  <c r="A33047" i="1"/>
  <c r="A33048" i="1"/>
  <c r="A33049" i="1"/>
  <c r="A33050" i="1"/>
  <c r="A33051" i="1"/>
  <c r="A33052" i="1"/>
  <c r="A33053" i="1"/>
  <c r="A33054" i="1"/>
  <c r="A33055" i="1"/>
  <c r="A33056" i="1"/>
  <c r="A33057" i="1"/>
  <c r="A33058" i="1"/>
  <c r="A33059" i="1"/>
  <c r="A33060" i="1"/>
  <c r="A33061" i="1"/>
  <c r="A33062" i="1"/>
  <c r="A33063" i="1"/>
  <c r="A33064" i="1"/>
  <c r="A33065" i="1"/>
  <c r="A33066" i="1"/>
  <c r="A33067" i="1"/>
  <c r="A33068" i="1"/>
  <c r="A33069" i="1"/>
  <c r="A33070" i="1"/>
  <c r="A33071" i="1"/>
  <c r="A33072" i="1"/>
  <c r="A33073" i="1"/>
  <c r="A33074" i="1"/>
  <c r="A33075" i="1"/>
  <c r="A33076" i="1"/>
  <c r="A33077" i="1"/>
  <c r="A33078" i="1"/>
  <c r="A33079" i="1"/>
  <c r="A33080" i="1"/>
  <c r="A33081" i="1"/>
  <c r="A33082" i="1"/>
  <c r="A33083" i="1"/>
  <c r="A33084" i="1"/>
  <c r="A33085" i="1"/>
  <c r="A33086" i="1"/>
  <c r="A33087" i="1"/>
  <c r="A33088" i="1"/>
  <c r="A33089" i="1"/>
  <c r="A33090" i="1"/>
  <c r="A33091" i="1"/>
  <c r="A33092" i="1"/>
  <c r="A33093" i="1"/>
  <c r="A33094" i="1"/>
  <c r="A33095" i="1"/>
  <c r="A33096" i="1"/>
  <c r="A33097" i="1"/>
  <c r="A33098" i="1"/>
  <c r="A33099" i="1"/>
  <c r="A33100" i="1"/>
  <c r="A33101" i="1"/>
  <c r="A33102" i="1"/>
  <c r="A33103" i="1"/>
  <c r="A33104" i="1"/>
  <c r="A33105" i="1"/>
  <c r="A33106" i="1"/>
  <c r="A33107" i="1"/>
  <c r="A33108" i="1"/>
  <c r="A33109" i="1"/>
  <c r="A33110" i="1"/>
  <c r="A33111" i="1"/>
  <c r="A33112" i="1"/>
  <c r="A33113" i="1"/>
  <c r="A33114" i="1"/>
  <c r="A33115" i="1"/>
  <c r="A33116" i="1"/>
  <c r="A33117" i="1"/>
  <c r="A33118" i="1"/>
  <c r="A33119" i="1"/>
  <c r="A33120" i="1"/>
  <c r="A33121" i="1"/>
  <c r="A33122" i="1"/>
  <c r="A33123" i="1"/>
  <c r="A33124" i="1"/>
  <c r="A33125" i="1"/>
  <c r="A33126" i="1"/>
  <c r="A33127" i="1"/>
  <c r="A33128" i="1"/>
  <c r="A33129" i="1"/>
  <c r="A33130" i="1"/>
  <c r="A33131" i="1"/>
  <c r="A33132" i="1"/>
  <c r="A33133" i="1"/>
  <c r="A33134" i="1"/>
  <c r="A33135" i="1"/>
  <c r="A33136" i="1"/>
  <c r="A33137" i="1"/>
  <c r="A33138" i="1"/>
  <c r="A33139" i="1"/>
  <c r="A33140" i="1"/>
  <c r="A33141" i="1"/>
  <c r="A33142" i="1"/>
  <c r="A33143" i="1"/>
  <c r="A33144" i="1"/>
  <c r="A33145" i="1"/>
  <c r="A33146" i="1"/>
  <c r="A33147" i="1"/>
  <c r="A33148" i="1"/>
  <c r="A33149" i="1"/>
  <c r="A33150" i="1"/>
  <c r="A33151" i="1"/>
  <c r="A33152" i="1"/>
  <c r="A33153" i="1"/>
  <c r="A33154" i="1"/>
  <c r="A33155" i="1"/>
  <c r="A33156" i="1"/>
  <c r="A33157" i="1"/>
  <c r="A33158" i="1"/>
  <c r="A33159" i="1"/>
  <c r="A33160" i="1"/>
  <c r="A33161" i="1"/>
  <c r="A33162" i="1"/>
  <c r="A33163" i="1"/>
  <c r="A33164" i="1"/>
  <c r="A33165" i="1"/>
  <c r="A33166" i="1"/>
  <c r="A33167" i="1"/>
  <c r="A33168" i="1"/>
  <c r="A33169" i="1"/>
  <c r="A33170" i="1"/>
  <c r="A33171" i="1"/>
  <c r="A33172" i="1"/>
  <c r="A33173" i="1"/>
  <c r="A33174" i="1"/>
  <c r="A33175" i="1"/>
  <c r="A33176" i="1"/>
  <c r="A33177" i="1"/>
  <c r="A33178" i="1"/>
  <c r="A33179" i="1"/>
  <c r="A33180" i="1"/>
  <c r="A33181" i="1"/>
  <c r="A33182" i="1"/>
  <c r="A33183" i="1"/>
  <c r="A33184" i="1"/>
  <c r="A33185" i="1"/>
  <c r="A33186" i="1"/>
  <c r="A33187" i="1"/>
  <c r="A33188" i="1"/>
  <c r="A33189" i="1"/>
  <c r="A33190" i="1"/>
  <c r="A33191" i="1"/>
  <c r="A33192" i="1"/>
  <c r="A33193" i="1"/>
  <c r="A33194" i="1"/>
  <c r="A33195" i="1"/>
  <c r="A33196" i="1"/>
  <c r="A33197" i="1"/>
  <c r="A33198" i="1"/>
  <c r="A33199" i="1"/>
  <c r="A33200" i="1"/>
  <c r="A33201" i="1"/>
  <c r="A33202" i="1"/>
  <c r="A33203" i="1"/>
  <c r="A33204" i="1"/>
  <c r="A33205" i="1"/>
  <c r="A33206" i="1"/>
  <c r="A33207" i="1"/>
  <c r="A33208" i="1"/>
  <c r="A33209" i="1"/>
  <c r="A33210" i="1"/>
  <c r="A33211" i="1"/>
  <c r="A33212" i="1"/>
  <c r="A33213" i="1"/>
  <c r="A33214" i="1"/>
  <c r="A33215" i="1"/>
  <c r="A33216" i="1"/>
  <c r="A33217" i="1"/>
  <c r="A33218" i="1"/>
  <c r="A33219" i="1"/>
  <c r="A33220" i="1"/>
  <c r="A33221" i="1"/>
  <c r="A33222" i="1"/>
  <c r="A33223" i="1"/>
  <c r="A33224" i="1"/>
  <c r="A33225" i="1"/>
  <c r="A33226" i="1"/>
  <c r="A33227" i="1"/>
  <c r="A33228" i="1"/>
  <c r="A33229" i="1"/>
  <c r="A33230" i="1"/>
  <c r="A33231" i="1"/>
  <c r="A33232" i="1"/>
  <c r="A33233" i="1"/>
  <c r="A33234" i="1"/>
  <c r="A33235" i="1"/>
  <c r="A33236" i="1"/>
  <c r="A33237" i="1"/>
  <c r="A33238" i="1"/>
  <c r="A33239" i="1"/>
  <c r="A33240" i="1"/>
  <c r="A33241" i="1"/>
  <c r="A33242" i="1"/>
  <c r="A33243" i="1"/>
  <c r="A33244" i="1"/>
  <c r="A33245" i="1"/>
  <c r="A33246" i="1"/>
  <c r="A33247" i="1"/>
  <c r="A33248" i="1"/>
  <c r="A33249" i="1"/>
  <c r="A33250" i="1"/>
  <c r="A33251" i="1"/>
  <c r="A33252" i="1"/>
  <c r="A33253" i="1"/>
  <c r="A33254" i="1"/>
  <c r="A33255" i="1"/>
  <c r="A33256" i="1"/>
  <c r="A33257" i="1"/>
  <c r="A33258" i="1"/>
  <c r="A33259" i="1"/>
  <c r="A33260" i="1"/>
  <c r="A33261" i="1"/>
  <c r="A33262" i="1"/>
  <c r="A33263" i="1"/>
  <c r="A33264" i="1"/>
  <c r="A33265" i="1"/>
  <c r="A33266" i="1"/>
  <c r="A33267" i="1"/>
  <c r="A33268" i="1"/>
  <c r="A33269" i="1"/>
  <c r="A33270" i="1"/>
  <c r="A33271" i="1"/>
  <c r="A33272" i="1"/>
  <c r="A33273" i="1"/>
  <c r="A33274" i="1"/>
  <c r="A33275" i="1"/>
  <c r="A33276" i="1"/>
  <c r="A33277" i="1"/>
  <c r="A33278" i="1"/>
  <c r="A33279" i="1"/>
  <c r="A33280" i="1"/>
  <c r="A33281" i="1"/>
  <c r="A33282" i="1"/>
  <c r="A33283" i="1"/>
  <c r="A33284" i="1"/>
  <c r="A33285" i="1"/>
  <c r="A33286" i="1"/>
  <c r="A33287" i="1"/>
  <c r="A33288" i="1"/>
  <c r="A33289" i="1"/>
  <c r="A33290" i="1"/>
  <c r="A33291" i="1"/>
  <c r="A33292" i="1"/>
  <c r="A33293" i="1"/>
  <c r="A33294" i="1"/>
  <c r="A33295" i="1"/>
  <c r="A33296" i="1"/>
  <c r="A33297" i="1"/>
  <c r="A33298" i="1"/>
  <c r="A33299" i="1"/>
  <c r="A33300" i="1"/>
  <c r="A33301" i="1"/>
  <c r="A33302" i="1"/>
  <c r="A33303" i="1"/>
  <c r="A33304" i="1"/>
  <c r="A33305" i="1"/>
  <c r="A33306" i="1"/>
  <c r="A33307" i="1"/>
  <c r="A33308" i="1"/>
  <c r="A33309" i="1"/>
  <c r="A33310" i="1"/>
  <c r="A33311" i="1"/>
  <c r="A33312" i="1"/>
  <c r="A33313" i="1"/>
  <c r="A33314" i="1"/>
  <c r="A33315" i="1"/>
  <c r="A33316" i="1"/>
  <c r="A33317" i="1"/>
  <c r="A33318" i="1"/>
  <c r="A33319" i="1"/>
  <c r="A33320" i="1"/>
  <c r="A33321" i="1"/>
  <c r="A33322" i="1"/>
  <c r="A33323" i="1"/>
  <c r="A33324" i="1"/>
  <c r="A33325" i="1"/>
  <c r="A33326" i="1"/>
  <c r="A33327" i="1"/>
  <c r="A33328" i="1"/>
  <c r="A33329" i="1"/>
  <c r="A33330" i="1"/>
  <c r="A33331" i="1"/>
  <c r="A33332" i="1"/>
  <c r="A33333" i="1"/>
  <c r="A33334" i="1"/>
  <c r="A33335" i="1"/>
  <c r="A33336" i="1"/>
  <c r="A33337" i="1"/>
  <c r="A33338" i="1"/>
  <c r="A33339" i="1"/>
  <c r="A33340" i="1"/>
  <c r="A33341" i="1"/>
  <c r="A33342" i="1"/>
  <c r="A33343" i="1"/>
  <c r="A33344" i="1"/>
  <c r="A33345" i="1"/>
  <c r="A33346" i="1"/>
  <c r="A33347" i="1"/>
  <c r="A33348" i="1"/>
  <c r="A33349" i="1"/>
  <c r="A33350" i="1"/>
  <c r="A33351" i="1"/>
  <c r="A33352" i="1"/>
  <c r="A33353" i="1"/>
  <c r="A33354" i="1"/>
  <c r="A33355" i="1"/>
  <c r="A33356" i="1"/>
  <c r="A33357" i="1"/>
  <c r="A33358" i="1"/>
  <c r="A33359" i="1"/>
  <c r="A33360" i="1"/>
  <c r="A33361" i="1"/>
  <c r="A33362" i="1"/>
  <c r="A33363" i="1"/>
  <c r="A33364" i="1"/>
  <c r="A33365" i="1"/>
  <c r="A33366" i="1"/>
  <c r="A33367" i="1"/>
  <c r="A33368" i="1"/>
  <c r="A33369" i="1"/>
  <c r="A33370" i="1"/>
  <c r="A33371" i="1"/>
  <c r="A33372" i="1"/>
  <c r="A33373" i="1"/>
  <c r="A33374" i="1"/>
  <c r="A33375" i="1"/>
  <c r="A33376" i="1"/>
  <c r="A33377" i="1"/>
  <c r="A33378" i="1"/>
  <c r="A33379" i="1"/>
  <c r="A33380" i="1"/>
  <c r="A33381" i="1"/>
  <c r="A33382" i="1"/>
  <c r="A33383" i="1"/>
  <c r="A33384" i="1"/>
  <c r="A33385" i="1"/>
  <c r="A33386" i="1"/>
  <c r="A33387" i="1"/>
  <c r="A33388" i="1"/>
  <c r="A33389" i="1"/>
  <c r="A33390" i="1"/>
  <c r="A33391" i="1"/>
  <c r="A33392" i="1"/>
  <c r="A33393" i="1"/>
  <c r="A33394" i="1"/>
  <c r="A33395" i="1"/>
  <c r="A33396" i="1"/>
  <c r="A33397" i="1"/>
  <c r="A33398" i="1"/>
  <c r="A33399" i="1"/>
  <c r="A33400" i="1"/>
  <c r="A33401" i="1"/>
  <c r="A33402" i="1"/>
  <c r="A33403" i="1"/>
  <c r="A33404" i="1"/>
  <c r="A33405" i="1"/>
  <c r="A33406" i="1"/>
  <c r="A33407" i="1"/>
  <c r="A33408" i="1"/>
  <c r="A33409" i="1"/>
  <c r="A33410" i="1"/>
  <c r="A33411" i="1"/>
  <c r="A33412" i="1"/>
  <c r="A33413" i="1"/>
  <c r="A33414" i="1"/>
  <c r="A33415" i="1"/>
  <c r="A33416" i="1"/>
  <c r="A33417" i="1"/>
  <c r="A33418" i="1"/>
  <c r="A33419" i="1"/>
  <c r="A33420" i="1"/>
  <c r="A33421" i="1"/>
  <c r="A33422" i="1"/>
  <c r="A33423" i="1"/>
  <c r="A33424" i="1"/>
  <c r="A33425" i="1"/>
  <c r="A33426" i="1"/>
  <c r="A33427" i="1"/>
  <c r="A33428" i="1"/>
  <c r="A33429" i="1"/>
  <c r="A33430" i="1"/>
  <c r="A33431" i="1"/>
  <c r="A33432" i="1"/>
  <c r="A33433" i="1"/>
  <c r="A33434" i="1"/>
  <c r="A33435" i="1"/>
  <c r="A33436" i="1"/>
  <c r="A33437" i="1"/>
  <c r="A33438" i="1"/>
  <c r="A33439" i="1"/>
  <c r="A33440" i="1"/>
  <c r="A33441" i="1"/>
  <c r="A33442" i="1"/>
  <c r="A33443" i="1"/>
  <c r="A33444" i="1"/>
  <c r="A33445" i="1"/>
  <c r="A33446" i="1"/>
  <c r="A33447" i="1"/>
  <c r="A33448" i="1"/>
  <c r="A33449" i="1"/>
  <c r="A33450" i="1"/>
  <c r="A33451" i="1"/>
  <c r="A33452" i="1"/>
  <c r="A33453" i="1"/>
  <c r="A33454" i="1"/>
  <c r="A33455" i="1"/>
  <c r="A33456" i="1"/>
  <c r="A33457" i="1"/>
  <c r="A33458" i="1"/>
  <c r="A33459" i="1"/>
  <c r="A33460" i="1"/>
  <c r="A33461" i="1"/>
  <c r="A33462" i="1"/>
  <c r="A33463" i="1"/>
  <c r="A33464" i="1"/>
  <c r="A33465" i="1"/>
  <c r="A33466" i="1"/>
  <c r="A33467" i="1"/>
  <c r="A33468" i="1"/>
  <c r="A33469" i="1"/>
  <c r="A33470" i="1"/>
  <c r="A33471" i="1"/>
  <c r="A33472" i="1"/>
  <c r="A33473" i="1"/>
  <c r="A33474" i="1"/>
  <c r="A33475" i="1"/>
  <c r="A33476" i="1"/>
  <c r="A33477" i="1"/>
  <c r="A33478" i="1"/>
  <c r="A33479" i="1"/>
  <c r="A33480" i="1"/>
  <c r="A33481" i="1"/>
  <c r="A33482" i="1"/>
  <c r="A33483" i="1"/>
  <c r="A33484" i="1"/>
  <c r="A33485" i="1"/>
  <c r="A33486" i="1"/>
  <c r="A33487" i="1"/>
  <c r="A33488" i="1"/>
  <c r="A33489" i="1"/>
  <c r="A33490" i="1"/>
  <c r="A33491" i="1"/>
  <c r="A33492" i="1"/>
  <c r="A33493" i="1"/>
  <c r="A33494" i="1"/>
  <c r="A33495" i="1"/>
  <c r="A33496" i="1"/>
  <c r="A33497" i="1"/>
  <c r="A33498" i="1"/>
  <c r="A33499" i="1"/>
  <c r="A33500" i="1"/>
  <c r="A33501" i="1"/>
  <c r="A33502" i="1"/>
  <c r="A33503" i="1"/>
  <c r="A33504" i="1"/>
  <c r="A33505" i="1"/>
  <c r="A33506" i="1"/>
  <c r="A33507" i="1"/>
  <c r="A33508" i="1"/>
  <c r="A33509" i="1"/>
  <c r="A33510" i="1"/>
  <c r="A33511" i="1"/>
  <c r="A33512" i="1"/>
  <c r="A33513" i="1"/>
  <c r="A33514" i="1"/>
  <c r="A33515" i="1"/>
  <c r="A33516" i="1"/>
  <c r="A33517" i="1"/>
  <c r="A33518" i="1"/>
  <c r="A33519" i="1"/>
  <c r="A33520" i="1"/>
  <c r="A33521" i="1"/>
  <c r="A33522" i="1"/>
  <c r="A33523" i="1"/>
  <c r="A33524" i="1"/>
  <c r="A33525" i="1"/>
  <c r="A33526" i="1"/>
  <c r="A33527" i="1"/>
  <c r="A33528" i="1"/>
  <c r="A33529" i="1"/>
  <c r="A33530" i="1"/>
  <c r="A33531" i="1"/>
  <c r="A33532" i="1"/>
  <c r="A33533" i="1"/>
  <c r="A33534" i="1"/>
  <c r="A33535" i="1"/>
  <c r="A33536" i="1"/>
  <c r="A33537" i="1"/>
  <c r="A33538" i="1"/>
  <c r="A33539" i="1"/>
  <c r="A33540" i="1"/>
  <c r="A33541" i="1"/>
  <c r="A33542" i="1"/>
  <c r="A33543" i="1"/>
  <c r="A33544" i="1"/>
  <c r="A33545" i="1"/>
  <c r="A33546" i="1"/>
  <c r="A33547" i="1"/>
  <c r="A33548" i="1"/>
  <c r="A33549" i="1"/>
  <c r="A33550" i="1"/>
  <c r="A33551" i="1"/>
  <c r="A33552" i="1"/>
  <c r="A33553" i="1"/>
  <c r="A33554" i="1"/>
  <c r="A33555" i="1"/>
  <c r="A33556" i="1"/>
  <c r="A33557" i="1"/>
  <c r="A33558" i="1"/>
  <c r="A33559" i="1"/>
  <c r="A33560" i="1"/>
  <c r="A33561" i="1"/>
  <c r="A33562" i="1"/>
  <c r="A33563" i="1"/>
  <c r="A33564" i="1"/>
  <c r="A33565" i="1"/>
  <c r="A33566" i="1"/>
  <c r="A33567" i="1"/>
  <c r="A33568" i="1"/>
  <c r="A33569" i="1"/>
  <c r="A33570" i="1"/>
  <c r="A33571" i="1"/>
  <c r="A33572" i="1"/>
  <c r="A33573" i="1"/>
  <c r="A33574" i="1"/>
  <c r="A33575" i="1"/>
  <c r="A33576" i="1"/>
  <c r="A33577" i="1"/>
  <c r="A33578" i="1"/>
  <c r="A33579" i="1"/>
  <c r="A33580" i="1"/>
  <c r="A33581" i="1"/>
  <c r="A33582" i="1"/>
  <c r="A33583" i="1"/>
  <c r="A33584" i="1"/>
  <c r="A33585" i="1"/>
  <c r="A33586" i="1"/>
  <c r="A33587" i="1"/>
  <c r="A33588" i="1"/>
  <c r="A33589" i="1"/>
  <c r="A33590" i="1"/>
  <c r="A33591" i="1"/>
  <c r="A33592" i="1"/>
  <c r="A33593" i="1"/>
  <c r="A33594" i="1"/>
  <c r="A33595" i="1"/>
  <c r="A33596" i="1"/>
  <c r="A33597" i="1"/>
  <c r="A33598" i="1"/>
  <c r="A33599" i="1"/>
  <c r="A33600" i="1"/>
  <c r="A33601" i="1"/>
  <c r="A33602" i="1"/>
  <c r="A33603" i="1"/>
  <c r="A33604" i="1"/>
  <c r="A33605" i="1"/>
  <c r="A33606" i="1"/>
  <c r="A33607" i="1"/>
  <c r="A33608" i="1"/>
  <c r="A33609" i="1"/>
  <c r="A33610" i="1"/>
  <c r="A33611" i="1"/>
  <c r="A33612" i="1"/>
  <c r="A33613" i="1"/>
  <c r="A33614" i="1"/>
  <c r="A33615" i="1"/>
  <c r="A33616" i="1"/>
  <c r="A33617" i="1"/>
  <c r="A33618" i="1"/>
  <c r="A33619" i="1"/>
  <c r="A33620" i="1"/>
  <c r="A33621" i="1"/>
  <c r="A33622" i="1"/>
  <c r="A33623" i="1"/>
  <c r="A33624" i="1"/>
  <c r="A33625" i="1"/>
  <c r="A33626" i="1"/>
  <c r="A33627" i="1"/>
  <c r="A33628" i="1"/>
  <c r="A33629" i="1"/>
  <c r="A33630" i="1"/>
  <c r="A33631" i="1"/>
  <c r="A33632" i="1"/>
  <c r="A33633" i="1"/>
  <c r="A33634" i="1"/>
  <c r="A33635" i="1"/>
  <c r="A33636" i="1"/>
  <c r="A33637" i="1"/>
  <c r="A33638" i="1"/>
  <c r="A33639" i="1"/>
  <c r="A33640" i="1"/>
  <c r="A33641" i="1"/>
  <c r="A33642" i="1"/>
  <c r="A33643" i="1"/>
  <c r="A33644" i="1"/>
  <c r="A33645" i="1"/>
  <c r="A33646" i="1"/>
  <c r="A33647" i="1"/>
  <c r="A33648" i="1"/>
  <c r="A33649" i="1"/>
  <c r="A33650" i="1"/>
  <c r="A33651" i="1"/>
  <c r="A33652" i="1"/>
  <c r="A33653" i="1"/>
  <c r="A33654" i="1"/>
  <c r="A33655" i="1"/>
  <c r="A33656" i="1"/>
  <c r="A33657" i="1"/>
  <c r="A33658" i="1"/>
  <c r="A33659" i="1"/>
  <c r="A33660" i="1"/>
  <c r="A33661" i="1"/>
  <c r="A33662" i="1"/>
  <c r="A33663" i="1"/>
  <c r="A33664" i="1"/>
  <c r="A33665" i="1"/>
  <c r="A33666" i="1"/>
  <c r="A33667" i="1"/>
  <c r="A33668" i="1"/>
  <c r="A33669" i="1"/>
  <c r="A33670" i="1"/>
  <c r="A33671" i="1"/>
  <c r="A33672" i="1"/>
  <c r="A33673" i="1"/>
  <c r="A33674" i="1"/>
  <c r="A33675" i="1"/>
  <c r="A33676" i="1"/>
  <c r="A33677" i="1"/>
  <c r="A33678" i="1"/>
  <c r="A33679" i="1"/>
  <c r="A33680" i="1"/>
  <c r="A33681" i="1"/>
  <c r="A33682" i="1"/>
  <c r="A33683" i="1"/>
  <c r="A33684" i="1"/>
  <c r="A33685" i="1"/>
  <c r="A33686" i="1"/>
  <c r="A33687" i="1"/>
  <c r="A33688" i="1"/>
  <c r="A33689" i="1"/>
  <c r="A33690" i="1"/>
  <c r="A33691" i="1"/>
  <c r="A33692" i="1"/>
  <c r="A33693" i="1"/>
  <c r="A33694" i="1"/>
  <c r="A33695" i="1"/>
  <c r="A33696" i="1"/>
  <c r="A33697" i="1"/>
  <c r="A33698" i="1"/>
  <c r="A33699" i="1"/>
  <c r="A33700" i="1"/>
  <c r="A33701" i="1"/>
  <c r="A33702" i="1"/>
  <c r="A33703" i="1"/>
  <c r="A33704" i="1"/>
  <c r="A33705" i="1"/>
  <c r="A33706" i="1"/>
  <c r="A33707" i="1"/>
  <c r="A33708" i="1"/>
  <c r="A33709" i="1"/>
  <c r="A33710" i="1"/>
  <c r="A33711" i="1"/>
  <c r="A33712" i="1"/>
  <c r="A33713" i="1"/>
  <c r="A33714" i="1"/>
  <c r="A33715" i="1"/>
  <c r="A33716" i="1"/>
  <c r="A33717" i="1"/>
  <c r="A33718" i="1"/>
  <c r="A33719" i="1"/>
  <c r="A33720" i="1"/>
  <c r="A33721" i="1"/>
  <c r="A33722" i="1"/>
  <c r="A33723" i="1"/>
  <c r="A33724" i="1"/>
  <c r="A33725" i="1"/>
  <c r="A33726" i="1"/>
  <c r="A33727" i="1"/>
  <c r="A33728" i="1"/>
  <c r="A33729" i="1"/>
  <c r="A33730" i="1"/>
  <c r="A33731" i="1"/>
  <c r="A33732" i="1"/>
  <c r="A33733" i="1"/>
  <c r="A33734" i="1"/>
  <c r="A33735" i="1"/>
  <c r="A33736" i="1"/>
  <c r="A33737" i="1"/>
  <c r="A33738" i="1"/>
  <c r="A33739" i="1"/>
  <c r="A33740" i="1"/>
  <c r="A33741" i="1"/>
  <c r="A33742" i="1"/>
  <c r="A33743" i="1"/>
  <c r="A33744" i="1"/>
  <c r="A33745" i="1"/>
  <c r="A33746" i="1"/>
  <c r="A33747" i="1"/>
  <c r="A33748" i="1"/>
  <c r="A33749" i="1"/>
  <c r="A33750" i="1"/>
  <c r="A33751" i="1"/>
  <c r="A33752" i="1"/>
  <c r="A33753" i="1"/>
  <c r="A33754" i="1"/>
  <c r="A33755" i="1"/>
  <c r="A33756" i="1"/>
  <c r="A33757" i="1"/>
  <c r="A33758" i="1"/>
  <c r="A33759" i="1"/>
  <c r="A33760" i="1"/>
  <c r="A33761" i="1"/>
  <c r="A33762" i="1"/>
  <c r="A33763" i="1"/>
  <c r="A33764" i="1"/>
  <c r="A33765" i="1"/>
  <c r="A33766" i="1"/>
  <c r="A33767" i="1"/>
  <c r="A33768" i="1"/>
  <c r="A33769" i="1"/>
  <c r="A33770" i="1"/>
  <c r="A33771" i="1"/>
  <c r="A33772" i="1"/>
  <c r="A33773" i="1"/>
  <c r="A33774" i="1"/>
  <c r="A33775" i="1"/>
  <c r="A33776" i="1"/>
  <c r="A33777" i="1"/>
  <c r="A33778" i="1"/>
  <c r="A33779" i="1"/>
  <c r="A33780" i="1"/>
  <c r="A33781" i="1"/>
  <c r="A33782" i="1"/>
  <c r="A33783" i="1"/>
  <c r="A33784" i="1"/>
  <c r="A33785" i="1"/>
  <c r="A33786" i="1"/>
  <c r="A33787" i="1"/>
  <c r="A33788" i="1"/>
  <c r="A33789" i="1"/>
  <c r="A33790" i="1"/>
  <c r="A33791" i="1"/>
  <c r="A33792" i="1"/>
  <c r="A33793" i="1"/>
  <c r="A33794" i="1"/>
  <c r="A33795" i="1"/>
  <c r="A33796" i="1"/>
  <c r="A33797" i="1"/>
  <c r="A33798" i="1"/>
  <c r="A33799" i="1"/>
  <c r="A33800" i="1"/>
  <c r="A33801" i="1"/>
  <c r="A33802" i="1"/>
  <c r="A33803" i="1"/>
  <c r="A33804" i="1"/>
  <c r="A33805" i="1"/>
  <c r="A33806" i="1"/>
  <c r="A33807" i="1"/>
  <c r="A33808" i="1"/>
  <c r="A33809" i="1"/>
  <c r="A33810" i="1"/>
  <c r="A33811" i="1"/>
  <c r="A33812" i="1"/>
  <c r="A33813" i="1"/>
  <c r="A33814" i="1"/>
  <c r="A33815" i="1"/>
  <c r="A33816" i="1"/>
  <c r="A33817" i="1"/>
  <c r="A33818" i="1"/>
  <c r="A33819" i="1"/>
  <c r="A33820" i="1"/>
  <c r="A33821" i="1"/>
  <c r="A33822" i="1"/>
  <c r="A33823" i="1"/>
  <c r="A33824" i="1"/>
  <c r="A33825" i="1"/>
  <c r="A33826" i="1"/>
  <c r="A33827" i="1"/>
  <c r="A33828" i="1"/>
  <c r="A33829" i="1"/>
  <c r="A33830" i="1"/>
  <c r="A33831" i="1"/>
  <c r="A33832" i="1"/>
  <c r="A33833" i="1"/>
  <c r="A33834" i="1"/>
  <c r="A33835" i="1"/>
  <c r="A33836" i="1"/>
  <c r="A33837" i="1"/>
  <c r="A33838" i="1"/>
  <c r="A33839" i="1"/>
  <c r="A33840" i="1"/>
  <c r="A33841" i="1"/>
  <c r="A33842" i="1"/>
  <c r="A33843" i="1"/>
  <c r="A33844" i="1"/>
  <c r="A33845" i="1"/>
  <c r="A33846" i="1"/>
  <c r="A33847" i="1"/>
  <c r="A33848" i="1"/>
  <c r="A33849" i="1"/>
  <c r="A33850" i="1"/>
  <c r="A33851" i="1"/>
  <c r="A33852" i="1"/>
  <c r="A33853" i="1"/>
  <c r="A33854" i="1"/>
  <c r="A33855" i="1"/>
  <c r="A33856" i="1"/>
  <c r="A33857" i="1"/>
  <c r="A33858" i="1"/>
  <c r="A33859" i="1"/>
  <c r="A33860" i="1"/>
  <c r="A33861" i="1"/>
  <c r="A33862" i="1"/>
  <c r="A33863" i="1"/>
  <c r="A33864" i="1"/>
  <c r="A33865" i="1"/>
  <c r="A33866" i="1"/>
  <c r="A33867" i="1"/>
  <c r="A33868" i="1"/>
  <c r="A33869" i="1"/>
  <c r="A33870" i="1"/>
  <c r="A33871" i="1"/>
  <c r="A33872" i="1"/>
  <c r="A33873" i="1"/>
  <c r="A33874" i="1"/>
  <c r="A33875" i="1"/>
  <c r="A33876" i="1"/>
  <c r="A33877" i="1"/>
  <c r="A33878" i="1"/>
  <c r="A33879" i="1"/>
  <c r="A33880" i="1"/>
  <c r="A33881" i="1"/>
  <c r="A33882" i="1"/>
  <c r="A33883" i="1"/>
  <c r="A33884" i="1"/>
  <c r="A33885" i="1"/>
  <c r="A33886" i="1"/>
  <c r="A33887" i="1"/>
  <c r="A33888" i="1"/>
  <c r="A33889" i="1"/>
  <c r="A33890" i="1"/>
  <c r="A33891" i="1"/>
  <c r="A33892" i="1"/>
  <c r="A33893" i="1"/>
  <c r="A33894" i="1"/>
  <c r="A33895" i="1"/>
  <c r="A33896" i="1"/>
  <c r="A33897" i="1"/>
  <c r="A33898" i="1"/>
  <c r="A33899" i="1"/>
  <c r="A33900" i="1"/>
  <c r="A33901" i="1"/>
  <c r="A33902" i="1"/>
  <c r="A33903" i="1"/>
  <c r="A33904" i="1"/>
  <c r="A33905" i="1"/>
  <c r="A33906" i="1"/>
  <c r="A33907" i="1"/>
  <c r="A33908" i="1"/>
  <c r="A33909" i="1"/>
  <c r="A33910" i="1"/>
  <c r="A33911" i="1"/>
  <c r="A33912" i="1"/>
  <c r="A33913" i="1"/>
  <c r="A33914" i="1"/>
  <c r="A33915" i="1"/>
  <c r="A33916" i="1"/>
  <c r="A33917" i="1"/>
  <c r="A33918" i="1"/>
  <c r="A33919" i="1"/>
  <c r="A33920" i="1"/>
  <c r="A33921" i="1"/>
  <c r="A33922" i="1"/>
  <c r="A33923" i="1"/>
  <c r="A33924" i="1"/>
  <c r="A33925" i="1"/>
  <c r="A33926" i="1"/>
  <c r="A33927" i="1"/>
  <c r="A33928" i="1"/>
  <c r="A33929" i="1"/>
  <c r="A33930" i="1"/>
  <c r="A33931" i="1"/>
  <c r="A33932" i="1"/>
  <c r="A33933" i="1"/>
  <c r="A33934" i="1"/>
  <c r="A33935" i="1"/>
  <c r="A33936" i="1"/>
  <c r="A33937" i="1"/>
  <c r="A33938" i="1"/>
  <c r="A33939" i="1"/>
  <c r="A33940" i="1"/>
  <c r="A33941" i="1"/>
  <c r="A33942" i="1"/>
  <c r="A33943" i="1"/>
  <c r="A33944" i="1"/>
  <c r="A33945" i="1"/>
  <c r="A33946" i="1"/>
  <c r="A33947" i="1"/>
  <c r="A33948" i="1"/>
  <c r="A33949" i="1"/>
  <c r="A33950" i="1"/>
  <c r="A33951" i="1"/>
  <c r="A33952" i="1"/>
  <c r="A33953" i="1"/>
  <c r="A33954" i="1"/>
  <c r="A33955" i="1"/>
  <c r="A33956" i="1"/>
  <c r="A33957" i="1"/>
  <c r="A33958" i="1"/>
  <c r="A33959" i="1"/>
  <c r="A33960" i="1"/>
  <c r="A33961" i="1"/>
  <c r="A33962" i="1"/>
  <c r="A33963" i="1"/>
  <c r="A33964" i="1"/>
  <c r="A33965" i="1"/>
  <c r="A33966" i="1"/>
  <c r="A33967" i="1"/>
  <c r="A33968" i="1"/>
  <c r="A33969" i="1"/>
  <c r="A33970" i="1"/>
  <c r="A33971" i="1"/>
  <c r="A33972" i="1"/>
  <c r="A33973" i="1"/>
  <c r="A33974" i="1"/>
  <c r="A33975" i="1"/>
  <c r="A33976" i="1"/>
  <c r="A33977" i="1"/>
  <c r="A33978" i="1"/>
  <c r="A33979" i="1"/>
  <c r="A33980" i="1"/>
  <c r="A33981" i="1"/>
  <c r="A33982" i="1"/>
  <c r="A33983" i="1"/>
  <c r="A33984" i="1"/>
  <c r="A33985" i="1"/>
  <c r="A33986" i="1"/>
  <c r="A33987" i="1"/>
  <c r="A33988" i="1"/>
  <c r="A33989" i="1"/>
  <c r="A33990" i="1"/>
  <c r="A33991" i="1"/>
  <c r="A33992" i="1"/>
  <c r="A33993" i="1"/>
  <c r="A33994" i="1"/>
  <c r="A33995" i="1"/>
  <c r="A33996" i="1"/>
  <c r="A33997" i="1"/>
  <c r="A33998" i="1"/>
  <c r="A33999" i="1"/>
  <c r="A34000" i="1"/>
  <c r="A34001" i="1"/>
  <c r="A34002" i="1"/>
  <c r="A34003" i="1"/>
  <c r="A34004" i="1"/>
  <c r="A34005" i="1"/>
  <c r="A34006" i="1"/>
  <c r="A34007" i="1"/>
  <c r="A34008" i="1"/>
  <c r="A34009" i="1"/>
  <c r="A34010" i="1"/>
  <c r="A34011" i="1"/>
  <c r="A34012" i="1"/>
  <c r="A34013" i="1"/>
  <c r="A34014" i="1"/>
  <c r="A34015" i="1"/>
  <c r="A34016" i="1"/>
  <c r="A34017" i="1"/>
  <c r="A34018" i="1"/>
  <c r="A34019" i="1"/>
  <c r="A34020" i="1"/>
  <c r="A34021" i="1"/>
  <c r="A34022" i="1"/>
  <c r="A34023" i="1"/>
  <c r="A34024" i="1"/>
  <c r="A34025" i="1"/>
  <c r="A34026" i="1"/>
  <c r="A34027" i="1"/>
  <c r="A34028" i="1"/>
  <c r="A34029" i="1"/>
  <c r="A34030" i="1"/>
  <c r="A34031" i="1"/>
  <c r="A34032" i="1"/>
  <c r="A34033" i="1"/>
  <c r="A34034" i="1"/>
  <c r="A34035" i="1"/>
  <c r="A34036" i="1"/>
  <c r="A34037" i="1"/>
  <c r="A34038" i="1"/>
  <c r="A34039" i="1"/>
  <c r="A34040" i="1"/>
  <c r="A34041" i="1"/>
  <c r="A34042" i="1"/>
  <c r="A34043" i="1"/>
  <c r="A34044" i="1"/>
  <c r="A34045" i="1"/>
  <c r="A34046" i="1"/>
  <c r="A34047" i="1"/>
  <c r="A34048" i="1"/>
  <c r="A34049" i="1"/>
  <c r="A34050" i="1"/>
  <c r="A34051" i="1"/>
  <c r="A34052" i="1"/>
  <c r="A34053" i="1"/>
  <c r="A34054" i="1"/>
  <c r="A34055" i="1"/>
  <c r="A34056" i="1"/>
  <c r="A34057" i="1"/>
  <c r="A34058" i="1"/>
  <c r="A34059" i="1"/>
  <c r="A34060" i="1"/>
  <c r="A34061" i="1"/>
  <c r="A34062" i="1"/>
  <c r="A34063" i="1"/>
  <c r="A34064" i="1"/>
  <c r="A34065" i="1"/>
  <c r="A34066" i="1"/>
  <c r="A34067" i="1"/>
  <c r="A34068" i="1"/>
  <c r="A34069" i="1"/>
  <c r="A34070" i="1"/>
  <c r="A34071" i="1"/>
  <c r="A34072" i="1"/>
  <c r="A34073" i="1"/>
  <c r="A34074" i="1"/>
  <c r="A34075" i="1"/>
  <c r="A34076" i="1"/>
  <c r="A34077" i="1"/>
  <c r="A34078" i="1"/>
  <c r="A34079" i="1"/>
  <c r="A34080" i="1"/>
  <c r="A34081" i="1"/>
  <c r="A34082" i="1"/>
  <c r="A34083" i="1"/>
  <c r="A34084" i="1"/>
  <c r="A34085" i="1"/>
  <c r="A34086" i="1"/>
  <c r="A34087" i="1"/>
  <c r="A34088" i="1"/>
  <c r="A34089" i="1"/>
  <c r="A34090" i="1"/>
  <c r="A34091" i="1"/>
  <c r="A34092" i="1"/>
  <c r="A34093" i="1"/>
  <c r="A34094" i="1"/>
  <c r="A34095" i="1"/>
  <c r="A34096" i="1"/>
  <c r="A34097" i="1"/>
  <c r="A34098" i="1"/>
  <c r="A34099" i="1"/>
  <c r="A34100" i="1"/>
  <c r="A34101" i="1"/>
  <c r="A34102" i="1"/>
  <c r="A34103" i="1"/>
  <c r="A34104" i="1"/>
  <c r="A34105" i="1"/>
  <c r="A34106" i="1"/>
  <c r="A34107" i="1"/>
  <c r="A34108" i="1"/>
  <c r="A34109" i="1"/>
  <c r="A34110" i="1"/>
  <c r="A34111" i="1"/>
  <c r="A34112" i="1"/>
  <c r="A34113" i="1"/>
  <c r="A34114" i="1"/>
  <c r="A34115" i="1"/>
  <c r="A34116" i="1"/>
  <c r="A34117" i="1"/>
  <c r="A34118" i="1"/>
  <c r="A34119" i="1"/>
  <c r="A34120" i="1"/>
  <c r="A34121" i="1"/>
  <c r="A34122" i="1"/>
  <c r="A34123" i="1"/>
  <c r="A34124" i="1"/>
  <c r="A34125" i="1"/>
  <c r="A34126" i="1"/>
  <c r="A34127" i="1"/>
  <c r="A34128" i="1"/>
  <c r="A34129" i="1"/>
  <c r="A34130" i="1"/>
  <c r="A34131" i="1"/>
  <c r="A34132" i="1"/>
  <c r="A34133" i="1"/>
  <c r="A34134" i="1"/>
  <c r="A34135" i="1"/>
  <c r="A34136" i="1"/>
  <c r="A34137" i="1"/>
  <c r="A34138" i="1"/>
  <c r="A34139" i="1"/>
  <c r="A34140" i="1"/>
  <c r="A34141" i="1"/>
  <c r="A34142" i="1"/>
  <c r="A34143" i="1"/>
  <c r="A34144" i="1"/>
  <c r="A34145" i="1"/>
  <c r="A34146" i="1"/>
  <c r="A34147" i="1"/>
  <c r="A34148" i="1"/>
  <c r="A34149" i="1"/>
  <c r="A34150" i="1"/>
  <c r="A34151" i="1"/>
  <c r="A34152" i="1"/>
  <c r="A34153" i="1"/>
  <c r="A34154" i="1"/>
  <c r="A34155" i="1"/>
  <c r="A34156" i="1"/>
  <c r="A34157" i="1"/>
  <c r="A34158" i="1"/>
  <c r="A34159" i="1"/>
  <c r="A34160" i="1"/>
  <c r="A34161" i="1"/>
  <c r="A34162" i="1"/>
  <c r="A34163" i="1"/>
  <c r="A34164" i="1"/>
  <c r="A34165" i="1"/>
  <c r="A34166" i="1"/>
  <c r="A34167" i="1"/>
  <c r="A34168" i="1"/>
  <c r="A34169" i="1"/>
  <c r="A34170" i="1"/>
  <c r="A34171" i="1"/>
  <c r="A34172" i="1"/>
  <c r="A34173" i="1"/>
  <c r="A34174" i="1"/>
  <c r="A34175" i="1"/>
  <c r="A34176" i="1"/>
  <c r="A34177" i="1"/>
  <c r="A34178" i="1"/>
  <c r="A34179" i="1"/>
  <c r="A34180" i="1"/>
  <c r="A34181" i="1"/>
  <c r="A34182" i="1"/>
  <c r="A34183" i="1"/>
  <c r="A34184" i="1"/>
  <c r="A34185" i="1"/>
  <c r="A34186" i="1"/>
  <c r="A34187" i="1"/>
  <c r="A34188" i="1"/>
  <c r="A34189" i="1"/>
  <c r="A34190" i="1"/>
  <c r="A34191" i="1"/>
  <c r="A34192" i="1"/>
  <c r="A34193" i="1"/>
  <c r="A34194" i="1"/>
  <c r="A34195" i="1"/>
  <c r="A34196" i="1"/>
  <c r="A34197" i="1"/>
  <c r="A34198" i="1"/>
  <c r="A34199" i="1"/>
  <c r="A34200" i="1"/>
  <c r="A34201" i="1"/>
  <c r="A34202" i="1"/>
  <c r="A34203" i="1"/>
  <c r="A34204" i="1"/>
  <c r="A34205" i="1"/>
  <c r="A34206" i="1"/>
  <c r="A34207" i="1"/>
  <c r="A34208" i="1"/>
  <c r="A34209" i="1"/>
  <c r="A34210" i="1"/>
  <c r="A34211" i="1"/>
  <c r="A34212" i="1"/>
  <c r="A34213" i="1"/>
  <c r="A34214" i="1"/>
  <c r="A34215" i="1"/>
  <c r="A34216" i="1"/>
  <c r="A34217" i="1"/>
  <c r="A34218" i="1"/>
  <c r="A34219" i="1"/>
  <c r="A34220" i="1"/>
  <c r="A34221" i="1"/>
  <c r="A34222" i="1"/>
  <c r="A34223" i="1"/>
  <c r="A34224" i="1"/>
  <c r="A34225" i="1"/>
  <c r="A34226" i="1"/>
  <c r="A34227" i="1"/>
  <c r="A34228" i="1"/>
  <c r="A34229" i="1"/>
  <c r="A34230" i="1"/>
  <c r="A34231" i="1"/>
  <c r="A34232" i="1"/>
  <c r="A34233" i="1"/>
  <c r="A34234" i="1"/>
  <c r="A34235" i="1"/>
  <c r="A34236" i="1"/>
  <c r="A34237" i="1"/>
  <c r="A34238" i="1"/>
  <c r="A34239" i="1"/>
  <c r="A34240" i="1"/>
  <c r="A34241" i="1"/>
  <c r="A34242" i="1"/>
  <c r="A34243" i="1"/>
  <c r="A34244" i="1"/>
  <c r="A34245" i="1"/>
  <c r="A34246" i="1"/>
  <c r="A34247" i="1"/>
  <c r="A34248" i="1"/>
  <c r="A34249" i="1"/>
  <c r="A34250" i="1"/>
  <c r="A34251" i="1"/>
  <c r="A34252" i="1"/>
  <c r="A34253" i="1"/>
  <c r="A34254" i="1"/>
  <c r="A34255" i="1"/>
  <c r="A34256" i="1"/>
  <c r="A34257" i="1"/>
  <c r="A34258" i="1"/>
  <c r="A34259" i="1"/>
  <c r="A34260" i="1"/>
  <c r="A34261" i="1"/>
  <c r="A34262" i="1"/>
  <c r="A34263" i="1"/>
  <c r="A34264" i="1"/>
  <c r="A34265" i="1"/>
  <c r="A34266" i="1"/>
  <c r="A34267" i="1"/>
  <c r="A34268" i="1"/>
  <c r="A34269" i="1"/>
  <c r="A34270" i="1"/>
  <c r="A34271" i="1"/>
  <c r="A34272" i="1"/>
  <c r="A34273" i="1"/>
  <c r="A34274" i="1"/>
  <c r="A34275" i="1"/>
  <c r="A34276" i="1"/>
  <c r="A34277" i="1"/>
  <c r="A34278" i="1"/>
  <c r="A34279" i="1"/>
  <c r="A34280" i="1"/>
  <c r="A34281" i="1"/>
  <c r="A34282" i="1"/>
  <c r="A34283" i="1"/>
  <c r="A34284" i="1"/>
  <c r="A34285" i="1"/>
  <c r="A34286" i="1"/>
  <c r="A34287" i="1"/>
  <c r="A34288" i="1"/>
  <c r="A34289" i="1"/>
  <c r="A34290" i="1"/>
  <c r="A34291" i="1"/>
  <c r="A34292" i="1"/>
  <c r="A34293" i="1"/>
  <c r="A34294" i="1"/>
  <c r="A34295" i="1"/>
  <c r="A34296" i="1"/>
  <c r="A34297" i="1"/>
  <c r="A34298" i="1"/>
  <c r="A34299" i="1"/>
  <c r="A34300" i="1"/>
  <c r="A34301" i="1"/>
  <c r="A34302" i="1"/>
  <c r="A34303" i="1"/>
  <c r="A34304" i="1"/>
  <c r="A34305" i="1"/>
  <c r="A34306" i="1"/>
  <c r="A34307" i="1"/>
  <c r="A34308" i="1"/>
  <c r="A34309" i="1"/>
  <c r="A34310" i="1"/>
  <c r="A34311" i="1"/>
  <c r="A34312" i="1"/>
  <c r="A34313" i="1"/>
  <c r="A34314" i="1"/>
  <c r="A34315" i="1"/>
  <c r="A34316" i="1"/>
  <c r="A34317" i="1"/>
  <c r="A34318" i="1"/>
  <c r="A34319" i="1"/>
  <c r="A34320" i="1"/>
  <c r="A34321" i="1"/>
  <c r="A34322" i="1"/>
  <c r="A34323" i="1"/>
  <c r="A34324" i="1"/>
  <c r="A34325" i="1"/>
  <c r="A34326" i="1"/>
  <c r="A34327" i="1"/>
  <c r="A34328" i="1"/>
  <c r="A34329" i="1"/>
  <c r="A34330" i="1"/>
  <c r="A34331" i="1"/>
  <c r="A34332" i="1"/>
  <c r="A34333" i="1"/>
  <c r="A34334" i="1"/>
  <c r="A34335" i="1"/>
  <c r="A34336" i="1"/>
  <c r="A34337" i="1"/>
  <c r="A34338" i="1"/>
  <c r="A34339" i="1"/>
  <c r="A34340" i="1"/>
  <c r="A34341" i="1"/>
  <c r="A34342" i="1"/>
  <c r="A34343" i="1"/>
  <c r="A34344" i="1"/>
  <c r="A34345" i="1"/>
  <c r="A34346" i="1"/>
  <c r="A34347" i="1"/>
  <c r="A34348" i="1"/>
  <c r="A34349" i="1"/>
  <c r="A34350" i="1"/>
  <c r="A34351" i="1"/>
  <c r="A34352" i="1"/>
  <c r="A34353" i="1"/>
  <c r="A34354" i="1"/>
  <c r="A34355" i="1"/>
  <c r="A34356" i="1"/>
  <c r="A34357" i="1"/>
  <c r="A34358" i="1"/>
  <c r="A34359" i="1"/>
  <c r="A34360" i="1"/>
  <c r="A34361" i="1"/>
  <c r="A34362" i="1"/>
  <c r="A34363" i="1"/>
  <c r="A34364" i="1"/>
  <c r="A34365" i="1"/>
  <c r="A34366" i="1"/>
  <c r="A34367" i="1"/>
  <c r="A34368" i="1"/>
  <c r="A34369" i="1"/>
  <c r="A34370" i="1"/>
  <c r="A34371" i="1"/>
  <c r="A34372" i="1"/>
  <c r="A34373" i="1"/>
  <c r="A34374" i="1"/>
  <c r="A34375" i="1"/>
  <c r="A34376" i="1"/>
  <c r="A34377" i="1"/>
  <c r="A34378" i="1"/>
  <c r="A34379" i="1"/>
  <c r="A34380" i="1"/>
  <c r="A34381" i="1"/>
  <c r="A34382" i="1"/>
  <c r="A34383" i="1"/>
  <c r="A34384" i="1"/>
  <c r="A34385" i="1"/>
  <c r="A34386" i="1"/>
  <c r="A34387" i="1"/>
  <c r="A34388" i="1"/>
  <c r="A34389" i="1"/>
  <c r="A34390" i="1"/>
  <c r="A34391" i="1"/>
  <c r="A34392" i="1"/>
  <c r="A34393" i="1"/>
  <c r="A34394" i="1"/>
  <c r="A34395" i="1"/>
  <c r="A34396" i="1"/>
  <c r="A34397" i="1"/>
  <c r="A34398" i="1"/>
  <c r="A34399" i="1"/>
  <c r="A34400" i="1"/>
  <c r="A34401" i="1"/>
  <c r="A34402" i="1"/>
  <c r="A34403" i="1"/>
  <c r="A34404" i="1"/>
  <c r="A34405" i="1"/>
  <c r="A34406" i="1"/>
  <c r="A34407" i="1"/>
  <c r="A34408" i="1"/>
  <c r="A34409" i="1"/>
  <c r="A34410" i="1"/>
  <c r="A34411" i="1"/>
  <c r="A34412" i="1"/>
  <c r="A34413" i="1"/>
  <c r="A34414" i="1"/>
  <c r="A34415" i="1"/>
  <c r="A34416" i="1"/>
  <c r="A34417" i="1"/>
  <c r="A34418" i="1"/>
  <c r="A34419" i="1"/>
  <c r="A34420" i="1"/>
  <c r="A34421" i="1"/>
  <c r="A34422" i="1"/>
  <c r="A34423" i="1"/>
  <c r="A34424" i="1"/>
  <c r="A34425" i="1"/>
  <c r="A34426" i="1"/>
  <c r="A34427" i="1"/>
  <c r="A34428" i="1"/>
  <c r="A34429" i="1"/>
  <c r="A34430" i="1"/>
  <c r="A34431" i="1"/>
  <c r="A34432" i="1"/>
  <c r="A34433" i="1"/>
  <c r="A34434" i="1"/>
  <c r="A34435" i="1"/>
  <c r="A34436" i="1"/>
  <c r="A34437" i="1"/>
  <c r="A34438" i="1"/>
  <c r="A34439" i="1"/>
  <c r="A34440" i="1"/>
  <c r="A34441" i="1"/>
  <c r="A34442" i="1"/>
  <c r="A34443" i="1"/>
  <c r="A34444" i="1"/>
  <c r="A34445" i="1"/>
  <c r="A34446" i="1"/>
  <c r="A34447" i="1"/>
  <c r="A34448" i="1"/>
  <c r="A34449" i="1"/>
  <c r="A34450" i="1"/>
  <c r="A34451" i="1"/>
  <c r="A34452" i="1"/>
  <c r="A34453" i="1"/>
  <c r="A34454" i="1"/>
  <c r="A34455" i="1"/>
  <c r="A34456" i="1"/>
  <c r="A34457" i="1"/>
  <c r="A34458" i="1"/>
  <c r="A34459" i="1"/>
  <c r="A34460" i="1"/>
  <c r="A34461" i="1"/>
  <c r="A34462" i="1"/>
  <c r="A34463" i="1"/>
  <c r="A34464" i="1"/>
  <c r="A34465" i="1"/>
  <c r="A34466" i="1"/>
  <c r="A34467" i="1"/>
  <c r="A34468" i="1"/>
  <c r="A34469" i="1"/>
  <c r="A34470" i="1"/>
  <c r="A34471" i="1"/>
  <c r="A34472" i="1"/>
  <c r="A34473" i="1"/>
  <c r="A34474" i="1"/>
  <c r="A34475" i="1"/>
  <c r="A34476" i="1"/>
  <c r="A34477" i="1"/>
  <c r="A34478" i="1"/>
  <c r="A34479" i="1"/>
  <c r="A34480" i="1"/>
  <c r="A34481" i="1"/>
  <c r="A34482" i="1"/>
  <c r="A34483" i="1"/>
  <c r="A34484" i="1"/>
  <c r="A34485" i="1"/>
  <c r="A34486" i="1"/>
  <c r="A34487" i="1"/>
  <c r="A34488" i="1"/>
  <c r="A34489" i="1"/>
  <c r="A34490" i="1"/>
  <c r="A34491" i="1"/>
  <c r="A34492" i="1"/>
  <c r="A34493" i="1"/>
  <c r="A34494" i="1"/>
  <c r="A34495" i="1"/>
  <c r="A34496" i="1"/>
  <c r="A34497" i="1"/>
  <c r="A34498" i="1"/>
  <c r="A34499" i="1"/>
  <c r="A34500" i="1"/>
  <c r="A34501" i="1"/>
  <c r="A34502" i="1"/>
  <c r="A34503" i="1"/>
  <c r="A34504" i="1"/>
  <c r="A34505" i="1"/>
  <c r="A34506" i="1"/>
  <c r="A34507" i="1"/>
  <c r="A34508" i="1"/>
  <c r="A34509" i="1"/>
  <c r="A34510" i="1"/>
  <c r="A34511" i="1"/>
  <c r="A34512" i="1"/>
  <c r="A34513" i="1"/>
  <c r="A34514" i="1"/>
  <c r="A34515" i="1"/>
  <c r="A34516" i="1"/>
  <c r="A34517" i="1"/>
  <c r="A34518" i="1"/>
  <c r="A34519" i="1"/>
  <c r="A34520" i="1"/>
  <c r="A34521" i="1"/>
  <c r="A34522" i="1"/>
  <c r="A34523" i="1"/>
  <c r="A34524" i="1"/>
  <c r="A34525" i="1"/>
  <c r="A34526" i="1"/>
  <c r="A34527" i="1"/>
  <c r="A34528" i="1"/>
  <c r="A34529" i="1"/>
  <c r="A34530" i="1"/>
  <c r="A34531" i="1"/>
  <c r="A34532" i="1"/>
  <c r="A34533" i="1"/>
  <c r="A34534" i="1"/>
  <c r="A34535" i="1"/>
  <c r="A34536" i="1"/>
  <c r="A34537" i="1"/>
  <c r="A34538" i="1"/>
  <c r="A34539" i="1"/>
  <c r="A34540" i="1"/>
  <c r="A34541" i="1"/>
  <c r="A34542" i="1"/>
  <c r="A34543" i="1"/>
  <c r="A34544" i="1"/>
  <c r="A34545" i="1"/>
  <c r="A34546" i="1"/>
  <c r="A34547" i="1"/>
  <c r="A34548" i="1"/>
  <c r="A34549" i="1"/>
  <c r="A34550" i="1"/>
  <c r="A34551" i="1"/>
  <c r="A34552" i="1"/>
  <c r="A34553" i="1"/>
  <c r="A34554" i="1"/>
  <c r="A34555" i="1"/>
  <c r="A34556" i="1"/>
  <c r="A34557" i="1"/>
  <c r="A34558" i="1"/>
  <c r="A34559" i="1"/>
  <c r="A34560" i="1"/>
  <c r="A34561" i="1"/>
  <c r="A34562" i="1"/>
  <c r="A34563" i="1"/>
  <c r="A34564" i="1"/>
  <c r="A34565" i="1"/>
  <c r="A34566" i="1"/>
  <c r="A34567" i="1"/>
  <c r="A34568" i="1"/>
  <c r="A34569" i="1"/>
  <c r="A34570" i="1"/>
  <c r="A34571" i="1"/>
  <c r="A34572" i="1"/>
  <c r="A34573" i="1"/>
  <c r="A34574" i="1"/>
  <c r="A34575" i="1"/>
  <c r="A34576" i="1"/>
  <c r="A34577" i="1"/>
  <c r="A34578" i="1"/>
  <c r="A34579" i="1"/>
  <c r="A34580" i="1"/>
  <c r="A34581" i="1"/>
  <c r="A34582" i="1"/>
  <c r="A34583" i="1"/>
  <c r="A34584" i="1"/>
  <c r="A34585" i="1"/>
  <c r="A34586" i="1"/>
  <c r="A34587" i="1"/>
  <c r="A34588" i="1"/>
  <c r="A34589" i="1"/>
  <c r="A34590" i="1"/>
  <c r="A34591" i="1"/>
  <c r="A34592" i="1"/>
  <c r="A34593" i="1"/>
  <c r="A34594" i="1"/>
  <c r="A34595" i="1"/>
  <c r="A34596" i="1"/>
  <c r="A34597" i="1"/>
  <c r="A34598" i="1"/>
  <c r="A34599" i="1"/>
  <c r="A34600" i="1"/>
  <c r="A34601" i="1"/>
  <c r="A34602" i="1"/>
  <c r="A34603" i="1"/>
  <c r="A34604" i="1"/>
  <c r="A34605" i="1"/>
  <c r="A34606" i="1"/>
  <c r="A34607" i="1"/>
  <c r="A34608" i="1"/>
  <c r="A34609" i="1"/>
  <c r="A34610" i="1"/>
  <c r="A34611" i="1"/>
  <c r="A34612" i="1"/>
  <c r="A34613" i="1"/>
  <c r="A34614" i="1"/>
  <c r="A34615" i="1"/>
  <c r="A34616" i="1"/>
  <c r="A34617" i="1"/>
  <c r="A34618" i="1"/>
  <c r="A34619" i="1"/>
  <c r="A34620" i="1"/>
  <c r="A34621" i="1"/>
  <c r="A34622" i="1"/>
  <c r="A34623" i="1"/>
  <c r="A34624" i="1"/>
  <c r="A34625" i="1"/>
  <c r="A34626" i="1"/>
  <c r="A34627" i="1"/>
  <c r="A34628" i="1"/>
  <c r="A34629" i="1"/>
  <c r="A34630" i="1"/>
  <c r="A34631" i="1"/>
  <c r="A34632" i="1"/>
  <c r="A34633" i="1"/>
  <c r="A34634" i="1"/>
  <c r="A34635" i="1"/>
  <c r="A34636" i="1"/>
  <c r="A34637" i="1"/>
  <c r="A34638" i="1"/>
  <c r="A34639" i="1"/>
  <c r="A34640" i="1"/>
  <c r="A34641" i="1"/>
  <c r="A34642" i="1"/>
  <c r="A34643" i="1"/>
  <c r="A34644" i="1"/>
  <c r="A34645" i="1"/>
  <c r="A34646" i="1"/>
  <c r="A34647" i="1"/>
  <c r="A34648" i="1"/>
  <c r="A34649" i="1"/>
  <c r="A34650" i="1"/>
  <c r="A34651" i="1"/>
  <c r="A34652" i="1"/>
  <c r="A34653" i="1"/>
  <c r="A34654" i="1"/>
  <c r="A34655" i="1"/>
  <c r="A34656" i="1"/>
  <c r="A34657" i="1"/>
  <c r="A34658" i="1"/>
  <c r="A34659" i="1"/>
  <c r="A34660" i="1"/>
  <c r="A34661" i="1"/>
  <c r="A34662" i="1"/>
  <c r="A34663" i="1"/>
  <c r="A34664" i="1"/>
  <c r="A34665" i="1"/>
  <c r="A34666" i="1"/>
  <c r="A34667" i="1"/>
  <c r="A34668" i="1"/>
  <c r="A34669" i="1"/>
  <c r="A34670" i="1"/>
  <c r="A34671" i="1"/>
  <c r="A34672" i="1"/>
  <c r="A34673" i="1"/>
  <c r="A34674" i="1"/>
  <c r="A34675" i="1"/>
  <c r="A34676" i="1"/>
  <c r="A34677" i="1"/>
  <c r="A34678" i="1"/>
  <c r="A34679" i="1"/>
  <c r="A34680" i="1"/>
  <c r="A34681" i="1"/>
  <c r="A34682" i="1"/>
  <c r="A34683" i="1"/>
  <c r="A34684" i="1"/>
  <c r="A34685" i="1"/>
  <c r="A34686" i="1"/>
  <c r="A34687" i="1"/>
  <c r="A34688" i="1"/>
  <c r="A34689" i="1"/>
  <c r="A34690" i="1"/>
  <c r="A34691" i="1"/>
  <c r="A34692" i="1"/>
  <c r="A34693" i="1"/>
  <c r="A34694" i="1"/>
  <c r="A34695" i="1"/>
  <c r="A34696" i="1"/>
  <c r="A34697" i="1"/>
  <c r="A34698" i="1"/>
  <c r="A34699" i="1"/>
  <c r="A34700" i="1"/>
  <c r="A34701" i="1"/>
  <c r="A34702" i="1"/>
  <c r="A34703" i="1"/>
  <c r="A34704" i="1"/>
  <c r="A34705" i="1"/>
  <c r="A34706" i="1"/>
  <c r="A34707" i="1"/>
  <c r="A34708" i="1"/>
  <c r="A34709" i="1"/>
  <c r="A34710" i="1"/>
  <c r="A34711" i="1"/>
  <c r="A34712" i="1"/>
  <c r="A34713" i="1"/>
  <c r="A34714" i="1"/>
  <c r="A34715" i="1"/>
  <c r="A34716" i="1"/>
  <c r="A34717" i="1"/>
  <c r="A34718" i="1"/>
  <c r="A34719" i="1"/>
  <c r="A34720" i="1"/>
  <c r="A34721" i="1"/>
  <c r="A34722" i="1"/>
  <c r="A34723" i="1"/>
  <c r="A34724" i="1"/>
  <c r="A34725" i="1"/>
  <c r="A34726" i="1"/>
  <c r="A34727" i="1"/>
  <c r="A34728" i="1"/>
  <c r="A34729" i="1"/>
  <c r="A34730" i="1"/>
  <c r="A34731" i="1"/>
  <c r="A34732" i="1"/>
  <c r="A34733" i="1"/>
  <c r="A34734" i="1"/>
  <c r="A34735" i="1"/>
  <c r="A34736" i="1"/>
  <c r="A34737" i="1"/>
  <c r="A34738" i="1"/>
  <c r="A34739" i="1"/>
  <c r="A34740" i="1"/>
  <c r="A34741" i="1"/>
  <c r="A34742" i="1"/>
  <c r="A34743" i="1"/>
  <c r="A34744" i="1"/>
  <c r="A34745" i="1"/>
  <c r="A34746" i="1"/>
  <c r="A34747" i="1"/>
  <c r="A34748" i="1"/>
  <c r="A34749" i="1"/>
  <c r="A34750" i="1"/>
  <c r="A34751" i="1"/>
  <c r="A34752" i="1"/>
  <c r="A34753" i="1"/>
  <c r="A34754" i="1"/>
  <c r="A34755" i="1"/>
  <c r="A34756" i="1"/>
  <c r="A34757" i="1"/>
  <c r="A34758" i="1"/>
  <c r="A34759" i="1"/>
  <c r="A34760" i="1"/>
  <c r="A34761" i="1"/>
  <c r="A34762" i="1"/>
  <c r="A34763" i="1"/>
  <c r="A34764" i="1"/>
  <c r="A34765" i="1"/>
  <c r="A34766" i="1"/>
  <c r="A34767" i="1"/>
  <c r="A34768" i="1"/>
  <c r="A34769" i="1"/>
  <c r="A34770" i="1"/>
  <c r="A34771" i="1"/>
  <c r="A34772" i="1"/>
  <c r="A34773" i="1"/>
  <c r="A34774" i="1"/>
  <c r="A34775" i="1"/>
  <c r="A34776" i="1"/>
  <c r="A34777" i="1"/>
  <c r="A34778" i="1"/>
  <c r="A34779" i="1"/>
  <c r="A34780" i="1"/>
  <c r="A34781" i="1"/>
  <c r="A34782" i="1"/>
  <c r="A34783" i="1"/>
  <c r="A34784" i="1"/>
  <c r="A34785" i="1"/>
  <c r="A34786" i="1"/>
  <c r="A34787" i="1"/>
  <c r="A34788" i="1"/>
  <c r="A34789" i="1"/>
  <c r="A34790" i="1"/>
  <c r="A34791" i="1"/>
  <c r="A34792" i="1"/>
  <c r="A34793" i="1"/>
  <c r="A34794" i="1"/>
  <c r="A34795" i="1"/>
  <c r="A34796" i="1"/>
  <c r="A34797" i="1"/>
  <c r="A34798" i="1"/>
  <c r="A34799" i="1"/>
  <c r="A34800" i="1"/>
  <c r="A34801" i="1"/>
  <c r="A34802" i="1"/>
  <c r="A34803" i="1"/>
  <c r="A34804" i="1"/>
  <c r="A34805" i="1"/>
  <c r="A34806" i="1"/>
  <c r="A34807" i="1"/>
  <c r="A34808" i="1"/>
  <c r="A34809" i="1"/>
  <c r="A34810" i="1"/>
  <c r="A34811" i="1"/>
  <c r="A34812" i="1"/>
  <c r="A34813" i="1"/>
  <c r="A34814" i="1"/>
  <c r="A34815" i="1"/>
  <c r="A34816" i="1"/>
  <c r="A34817" i="1"/>
  <c r="A34818" i="1"/>
  <c r="A34819" i="1"/>
  <c r="A34820" i="1"/>
  <c r="A34821" i="1"/>
  <c r="A34822" i="1"/>
  <c r="A34823" i="1"/>
  <c r="A34824" i="1"/>
  <c r="A34825" i="1"/>
  <c r="A34826" i="1"/>
  <c r="A34827" i="1"/>
  <c r="A34828" i="1"/>
  <c r="A34829" i="1"/>
  <c r="A34830" i="1"/>
  <c r="A34831" i="1"/>
  <c r="A34832" i="1"/>
  <c r="A34833" i="1"/>
  <c r="A34834" i="1"/>
  <c r="A34835" i="1"/>
  <c r="A34836" i="1"/>
  <c r="A34837" i="1"/>
  <c r="A34838" i="1"/>
  <c r="A34839" i="1"/>
  <c r="A34840" i="1"/>
  <c r="A34841" i="1"/>
  <c r="A34842" i="1"/>
  <c r="A34843" i="1"/>
  <c r="A34844" i="1"/>
  <c r="A34845" i="1"/>
  <c r="A34846" i="1"/>
  <c r="A34847" i="1"/>
  <c r="A34848" i="1"/>
  <c r="A34849" i="1"/>
  <c r="A34850" i="1"/>
  <c r="A34851" i="1"/>
  <c r="A34852" i="1"/>
  <c r="A34853" i="1"/>
  <c r="A34854" i="1"/>
  <c r="A34855" i="1"/>
  <c r="A34856" i="1"/>
  <c r="A34857" i="1"/>
  <c r="A34858" i="1"/>
  <c r="A34859" i="1"/>
  <c r="A34860" i="1"/>
  <c r="A34861" i="1"/>
  <c r="A34862" i="1"/>
  <c r="A34863" i="1"/>
  <c r="A34864" i="1"/>
  <c r="A34865" i="1"/>
  <c r="A34866" i="1"/>
  <c r="A34867" i="1"/>
  <c r="A34868" i="1"/>
  <c r="A34869" i="1"/>
  <c r="A34870" i="1"/>
  <c r="A34871" i="1"/>
  <c r="A34872" i="1"/>
  <c r="A34873" i="1"/>
  <c r="A34874" i="1"/>
  <c r="A34875" i="1"/>
  <c r="A34876" i="1"/>
  <c r="A34877" i="1"/>
  <c r="A34878" i="1"/>
  <c r="A34879" i="1"/>
  <c r="A34880" i="1"/>
  <c r="A34881" i="1"/>
  <c r="A34882" i="1"/>
  <c r="A34883" i="1"/>
  <c r="A34884" i="1"/>
  <c r="A34885" i="1"/>
  <c r="A34886" i="1"/>
  <c r="A34887" i="1"/>
  <c r="A34888" i="1"/>
  <c r="A34889" i="1"/>
  <c r="A34890" i="1"/>
  <c r="A34891" i="1"/>
  <c r="A34892" i="1"/>
  <c r="A34893" i="1"/>
  <c r="A34894" i="1"/>
  <c r="A34895" i="1"/>
  <c r="A34896" i="1"/>
  <c r="A34897" i="1"/>
  <c r="A34898" i="1"/>
  <c r="A34899" i="1"/>
  <c r="A34900" i="1"/>
  <c r="A34901" i="1"/>
  <c r="A34902" i="1"/>
  <c r="A34903" i="1"/>
  <c r="A34904" i="1"/>
  <c r="A34905" i="1"/>
  <c r="A34906" i="1"/>
  <c r="A34907" i="1"/>
  <c r="A34908" i="1"/>
  <c r="A34909" i="1"/>
  <c r="A34910" i="1"/>
  <c r="A34911" i="1"/>
  <c r="A34912" i="1"/>
  <c r="A34913" i="1"/>
  <c r="A34914" i="1"/>
  <c r="A34915" i="1"/>
  <c r="A34916" i="1"/>
  <c r="A34917" i="1"/>
  <c r="A34918" i="1"/>
  <c r="A34919" i="1"/>
  <c r="A34920" i="1"/>
  <c r="A34921" i="1"/>
  <c r="A34922" i="1"/>
  <c r="A34923" i="1"/>
  <c r="A34924" i="1"/>
  <c r="A34925" i="1"/>
  <c r="A34926" i="1"/>
  <c r="A34927" i="1"/>
  <c r="A34928" i="1"/>
  <c r="A34929" i="1"/>
  <c r="A34930" i="1"/>
  <c r="A34931" i="1"/>
  <c r="A34932" i="1"/>
  <c r="A34933" i="1"/>
  <c r="A34934" i="1"/>
  <c r="A34935" i="1"/>
  <c r="A34936" i="1"/>
  <c r="A34937" i="1"/>
  <c r="A34938" i="1"/>
  <c r="A34939" i="1"/>
  <c r="A34940" i="1"/>
  <c r="A34941" i="1"/>
  <c r="A34942" i="1"/>
  <c r="A34943" i="1"/>
  <c r="A34944" i="1"/>
  <c r="A34945" i="1"/>
  <c r="A34946" i="1"/>
  <c r="A34947" i="1"/>
  <c r="A34948" i="1"/>
  <c r="A34949" i="1"/>
  <c r="A34950" i="1"/>
  <c r="A34951" i="1"/>
  <c r="A34952" i="1"/>
  <c r="A34953" i="1"/>
  <c r="A34954" i="1"/>
  <c r="A34955" i="1"/>
  <c r="A34956" i="1"/>
  <c r="A34957" i="1"/>
  <c r="A34958" i="1"/>
  <c r="A34959" i="1"/>
  <c r="A34960" i="1"/>
  <c r="A34961" i="1"/>
  <c r="A34962" i="1"/>
  <c r="A34963" i="1"/>
  <c r="A34964" i="1"/>
  <c r="A34965" i="1"/>
  <c r="A34966" i="1"/>
  <c r="A34967" i="1"/>
  <c r="A34968" i="1"/>
  <c r="A34969" i="1"/>
  <c r="A34970" i="1"/>
  <c r="A34971" i="1"/>
  <c r="A34972" i="1"/>
  <c r="A34973" i="1"/>
  <c r="A34974" i="1"/>
  <c r="A34975" i="1"/>
  <c r="A34976" i="1"/>
  <c r="A34977" i="1"/>
  <c r="A34978" i="1"/>
  <c r="A34979" i="1"/>
  <c r="A34980" i="1"/>
  <c r="A34981" i="1"/>
  <c r="A34982" i="1"/>
  <c r="A34983" i="1"/>
  <c r="A34984" i="1"/>
  <c r="A34985" i="1"/>
  <c r="A34986" i="1"/>
  <c r="A34987" i="1"/>
  <c r="A34988" i="1"/>
  <c r="A34989" i="1"/>
  <c r="A34990" i="1"/>
  <c r="A34991" i="1"/>
  <c r="A34992" i="1"/>
  <c r="A34993" i="1"/>
  <c r="A34994" i="1"/>
  <c r="A34995" i="1"/>
  <c r="A34996" i="1"/>
  <c r="A34997" i="1"/>
  <c r="A34998" i="1"/>
  <c r="A34999" i="1"/>
  <c r="A35000" i="1"/>
  <c r="A35001" i="1"/>
  <c r="A35002" i="1"/>
  <c r="A35003" i="1"/>
  <c r="A35004" i="1"/>
  <c r="A35005" i="1"/>
  <c r="A35006" i="1"/>
  <c r="A35007" i="1"/>
  <c r="A35008" i="1"/>
  <c r="A35009" i="1"/>
  <c r="A35010" i="1"/>
  <c r="A35011" i="1"/>
  <c r="A35012" i="1"/>
  <c r="A35013" i="1"/>
  <c r="A35014" i="1"/>
  <c r="A35015" i="1"/>
  <c r="A35016" i="1"/>
  <c r="A35017" i="1"/>
  <c r="A35018" i="1"/>
  <c r="A35019" i="1"/>
  <c r="A35020" i="1"/>
  <c r="A35021" i="1"/>
  <c r="A35022" i="1"/>
  <c r="A35023" i="1"/>
  <c r="A35024" i="1"/>
  <c r="A35025" i="1"/>
  <c r="A35026" i="1"/>
  <c r="A35027" i="1"/>
  <c r="A35028" i="1"/>
  <c r="A35029" i="1"/>
  <c r="A35030" i="1"/>
  <c r="A35031" i="1"/>
  <c r="A35032" i="1"/>
  <c r="A35033" i="1"/>
  <c r="A35034" i="1"/>
  <c r="A35035" i="1"/>
  <c r="A35036" i="1"/>
  <c r="A35037" i="1"/>
  <c r="A35038" i="1"/>
  <c r="A35039" i="1"/>
  <c r="A35040" i="1"/>
  <c r="A35041" i="1"/>
  <c r="A35042" i="1"/>
  <c r="A35043" i="1"/>
  <c r="A35044" i="1"/>
  <c r="A35045" i="1"/>
  <c r="A35046" i="1"/>
  <c r="A35047" i="1"/>
  <c r="A35048" i="1"/>
  <c r="A35049" i="1"/>
  <c r="A35050" i="1"/>
  <c r="A35051" i="1"/>
  <c r="A35052" i="1"/>
  <c r="A35053" i="1"/>
  <c r="A35054" i="1"/>
  <c r="A35055" i="1"/>
  <c r="A35056" i="1"/>
  <c r="A35057" i="1"/>
  <c r="A35058" i="1"/>
  <c r="A35059" i="1"/>
  <c r="A35060" i="1"/>
  <c r="A35061" i="1"/>
  <c r="A35062" i="1"/>
  <c r="A35063" i="1"/>
  <c r="A35064" i="1"/>
  <c r="A35065" i="1"/>
  <c r="A35066" i="1"/>
  <c r="A35067" i="1"/>
  <c r="A35068" i="1"/>
  <c r="A35069" i="1"/>
  <c r="A35070" i="1"/>
  <c r="A35071" i="1"/>
  <c r="A35072" i="1"/>
  <c r="A35073" i="1"/>
  <c r="A35074" i="1"/>
  <c r="A35075" i="1"/>
  <c r="A35076" i="1"/>
  <c r="A35077" i="1"/>
  <c r="A35078" i="1"/>
  <c r="A35079" i="1"/>
  <c r="A35080" i="1"/>
  <c r="A35081" i="1"/>
  <c r="A35082" i="1"/>
  <c r="A35083" i="1"/>
  <c r="A35084" i="1"/>
  <c r="A35085" i="1"/>
  <c r="A35086" i="1"/>
  <c r="A35087" i="1"/>
  <c r="A35088" i="1"/>
  <c r="A35089" i="1"/>
  <c r="A35090" i="1"/>
  <c r="A35091" i="1"/>
  <c r="A35092" i="1"/>
  <c r="A35093" i="1"/>
  <c r="A35094" i="1"/>
  <c r="A35095" i="1"/>
  <c r="A35096" i="1"/>
  <c r="A35097" i="1"/>
  <c r="A35098" i="1"/>
  <c r="A35099" i="1"/>
  <c r="A35100" i="1"/>
  <c r="A35101" i="1"/>
  <c r="A35102" i="1"/>
  <c r="A35103" i="1"/>
  <c r="A35104" i="1"/>
  <c r="A35105" i="1"/>
  <c r="A35106" i="1"/>
  <c r="A35107" i="1"/>
  <c r="A35108" i="1"/>
  <c r="A35109" i="1"/>
  <c r="A35110" i="1"/>
  <c r="A35111" i="1"/>
  <c r="A35112" i="1"/>
  <c r="A35113" i="1"/>
  <c r="A35114" i="1"/>
  <c r="A35115" i="1"/>
  <c r="A35116" i="1"/>
  <c r="A35117" i="1"/>
  <c r="A35118" i="1"/>
  <c r="A35119" i="1"/>
  <c r="A35120" i="1"/>
  <c r="A35121" i="1"/>
  <c r="A35122" i="1"/>
  <c r="A35123" i="1"/>
  <c r="A35124" i="1"/>
  <c r="A35125" i="1"/>
  <c r="A35126" i="1"/>
  <c r="A35127" i="1"/>
  <c r="A35128" i="1"/>
  <c r="A35129" i="1"/>
  <c r="A35130" i="1"/>
  <c r="A35131" i="1"/>
  <c r="A35132" i="1"/>
  <c r="A35133" i="1"/>
  <c r="A35134" i="1"/>
  <c r="A35135" i="1"/>
  <c r="A35136" i="1"/>
  <c r="A35137" i="1"/>
  <c r="A35138" i="1"/>
  <c r="A35139" i="1"/>
  <c r="A35140" i="1"/>
  <c r="A35141" i="1"/>
  <c r="A35142" i="1"/>
  <c r="A35143" i="1"/>
  <c r="A35144" i="1"/>
  <c r="A35145" i="1"/>
  <c r="A35146" i="1"/>
  <c r="A35147" i="1"/>
  <c r="A35148" i="1"/>
  <c r="A35149" i="1"/>
  <c r="A35150" i="1"/>
  <c r="A35151" i="1"/>
  <c r="A35152" i="1"/>
  <c r="A35153" i="1"/>
  <c r="A35154" i="1"/>
  <c r="A35155" i="1"/>
  <c r="A35156" i="1"/>
  <c r="A35157" i="1"/>
  <c r="A35158" i="1"/>
  <c r="A35159" i="1"/>
  <c r="A35160" i="1"/>
  <c r="A35161" i="1"/>
  <c r="A35162" i="1"/>
  <c r="A35163" i="1"/>
  <c r="A35164" i="1"/>
  <c r="A35165" i="1"/>
  <c r="A35166" i="1"/>
  <c r="A35167" i="1"/>
  <c r="A35168" i="1"/>
  <c r="A35169" i="1"/>
  <c r="A35170" i="1"/>
  <c r="A35171" i="1"/>
  <c r="A35172" i="1"/>
  <c r="A35173" i="1"/>
  <c r="A35174" i="1"/>
  <c r="A35175" i="1"/>
  <c r="A35176" i="1"/>
  <c r="A35177" i="1"/>
  <c r="A35178" i="1"/>
  <c r="A35179" i="1"/>
  <c r="A35180" i="1"/>
  <c r="A35181" i="1"/>
  <c r="A35182" i="1"/>
  <c r="A35183" i="1"/>
  <c r="A35184" i="1"/>
  <c r="A35185" i="1"/>
  <c r="A35186" i="1"/>
  <c r="A35187" i="1"/>
  <c r="A35188" i="1"/>
  <c r="A35189" i="1"/>
  <c r="A35190" i="1"/>
  <c r="A35191" i="1"/>
  <c r="A35192" i="1"/>
  <c r="A35193" i="1"/>
  <c r="A35194" i="1"/>
  <c r="A35195" i="1"/>
  <c r="A35196" i="1"/>
  <c r="A35197" i="1"/>
  <c r="A35198" i="1"/>
  <c r="A35199" i="1"/>
  <c r="A35200" i="1"/>
  <c r="A35201" i="1"/>
  <c r="A35202" i="1"/>
  <c r="A35203" i="1"/>
  <c r="A35204" i="1"/>
  <c r="A35205" i="1"/>
  <c r="A35206" i="1"/>
  <c r="A35207" i="1"/>
  <c r="A35208" i="1"/>
  <c r="A35209" i="1"/>
  <c r="A35210" i="1"/>
  <c r="A35211" i="1"/>
  <c r="A35212" i="1"/>
  <c r="A35213" i="1"/>
  <c r="A35214" i="1"/>
  <c r="A35215" i="1"/>
  <c r="A35216" i="1"/>
  <c r="A35217" i="1"/>
  <c r="A35218" i="1"/>
  <c r="A35219" i="1"/>
  <c r="A35220" i="1"/>
  <c r="A35221" i="1"/>
  <c r="A35222" i="1"/>
  <c r="A35223" i="1"/>
  <c r="A35224" i="1"/>
  <c r="A35225" i="1"/>
  <c r="A35226" i="1"/>
  <c r="A35227" i="1"/>
  <c r="A35228" i="1"/>
  <c r="A35229" i="1"/>
  <c r="A35230" i="1"/>
  <c r="A35231" i="1"/>
  <c r="A35232" i="1"/>
  <c r="A35233" i="1"/>
  <c r="A35234" i="1"/>
  <c r="A35235" i="1"/>
  <c r="A35236" i="1"/>
  <c r="A35237" i="1"/>
  <c r="A35238" i="1"/>
  <c r="A35239" i="1"/>
  <c r="A35240" i="1"/>
  <c r="A35241" i="1"/>
  <c r="A35242" i="1"/>
  <c r="A35243" i="1"/>
  <c r="A35244" i="1"/>
  <c r="A35245" i="1"/>
  <c r="A35246" i="1"/>
  <c r="A35247" i="1"/>
  <c r="A35248" i="1"/>
  <c r="A35249" i="1"/>
  <c r="A35250" i="1"/>
  <c r="A35251" i="1"/>
  <c r="A35252" i="1"/>
  <c r="A35253" i="1"/>
  <c r="A35254" i="1"/>
  <c r="A35255" i="1"/>
  <c r="A35256" i="1"/>
  <c r="A35257" i="1"/>
  <c r="A35258" i="1"/>
  <c r="A35259" i="1"/>
  <c r="A35260" i="1"/>
  <c r="A35261" i="1"/>
  <c r="A35262" i="1"/>
  <c r="A35263" i="1"/>
  <c r="A35264" i="1"/>
  <c r="A35265" i="1"/>
  <c r="A35266" i="1"/>
  <c r="A35267" i="1"/>
  <c r="A35268" i="1"/>
  <c r="A35269" i="1"/>
  <c r="A35270" i="1"/>
  <c r="A35271" i="1"/>
  <c r="A35272" i="1"/>
  <c r="A35273" i="1"/>
  <c r="A35274" i="1"/>
  <c r="A35275" i="1"/>
  <c r="A35276" i="1"/>
  <c r="A35277" i="1"/>
  <c r="A35278" i="1"/>
  <c r="A35279" i="1"/>
  <c r="A35280" i="1"/>
  <c r="A35281" i="1"/>
  <c r="A35282" i="1"/>
  <c r="A35283" i="1"/>
  <c r="A35284" i="1"/>
  <c r="A35285" i="1"/>
  <c r="A35286" i="1"/>
  <c r="A35287" i="1"/>
  <c r="A35288" i="1"/>
  <c r="A35289" i="1"/>
  <c r="A35290" i="1"/>
  <c r="A35291" i="1"/>
  <c r="A35292" i="1"/>
  <c r="A35293" i="1"/>
  <c r="A35294" i="1"/>
  <c r="A35295" i="1"/>
  <c r="A35296" i="1"/>
  <c r="A35297" i="1"/>
  <c r="A35298" i="1"/>
  <c r="A35299" i="1"/>
  <c r="A35300" i="1"/>
  <c r="A35301" i="1"/>
  <c r="A35302" i="1"/>
  <c r="A35303" i="1"/>
  <c r="A35304" i="1"/>
  <c r="A35305" i="1"/>
  <c r="A35306" i="1"/>
  <c r="A35307" i="1"/>
  <c r="A35308" i="1"/>
  <c r="A35309" i="1"/>
  <c r="A35310" i="1"/>
  <c r="A35311" i="1"/>
  <c r="A35312" i="1"/>
  <c r="A35313" i="1"/>
  <c r="A35314" i="1"/>
  <c r="A35315" i="1"/>
  <c r="A35316" i="1"/>
  <c r="A35317" i="1"/>
  <c r="A35318" i="1"/>
  <c r="A35319" i="1"/>
  <c r="A35320" i="1"/>
  <c r="A35321" i="1"/>
  <c r="A35322" i="1"/>
  <c r="A35323" i="1"/>
  <c r="A35324" i="1"/>
  <c r="A35325" i="1"/>
  <c r="A35326" i="1"/>
  <c r="A35327" i="1"/>
  <c r="A35328" i="1"/>
  <c r="A35329" i="1"/>
  <c r="A35330" i="1"/>
  <c r="A35331" i="1"/>
  <c r="A35332" i="1"/>
  <c r="A35333" i="1"/>
  <c r="A35334" i="1"/>
  <c r="A35335" i="1"/>
  <c r="A35336" i="1"/>
  <c r="A35337" i="1"/>
  <c r="A35338" i="1"/>
  <c r="A35339" i="1"/>
  <c r="A35340" i="1"/>
  <c r="A35341" i="1"/>
  <c r="A35342" i="1"/>
  <c r="A35343" i="1"/>
  <c r="A35344" i="1"/>
  <c r="A35345" i="1"/>
  <c r="A35346" i="1"/>
  <c r="A35347" i="1"/>
  <c r="A35348" i="1"/>
  <c r="A35349" i="1"/>
  <c r="A35350" i="1"/>
  <c r="A35351" i="1"/>
  <c r="A35352" i="1"/>
  <c r="A35353" i="1"/>
  <c r="A35354" i="1"/>
  <c r="A35355" i="1"/>
  <c r="A35356" i="1"/>
  <c r="A35357" i="1"/>
  <c r="A35358" i="1"/>
  <c r="A35359" i="1"/>
  <c r="A35360" i="1"/>
  <c r="A35361" i="1"/>
  <c r="A35362" i="1"/>
  <c r="A35363" i="1"/>
  <c r="A35364" i="1"/>
  <c r="A35365" i="1"/>
  <c r="A35366" i="1"/>
  <c r="A35367" i="1"/>
  <c r="A35368" i="1"/>
  <c r="A35369" i="1"/>
  <c r="A35370" i="1"/>
  <c r="A35371" i="1"/>
  <c r="A35372" i="1"/>
  <c r="A35373" i="1"/>
  <c r="A35374" i="1"/>
  <c r="A35375" i="1"/>
  <c r="A35376" i="1"/>
  <c r="A35377" i="1"/>
  <c r="A35378" i="1"/>
  <c r="A35379" i="1"/>
  <c r="A35380" i="1"/>
  <c r="A35381" i="1"/>
  <c r="A35382" i="1"/>
  <c r="A35383" i="1"/>
  <c r="A35384" i="1"/>
  <c r="A35385" i="1"/>
  <c r="A35386" i="1"/>
  <c r="A35387" i="1"/>
  <c r="A35388" i="1"/>
  <c r="A35389" i="1"/>
  <c r="A35390" i="1"/>
  <c r="A35391" i="1"/>
  <c r="A35392" i="1"/>
  <c r="A35393" i="1"/>
  <c r="A35394" i="1"/>
  <c r="A35395" i="1"/>
  <c r="A35396" i="1"/>
  <c r="A35397" i="1"/>
  <c r="A35398" i="1"/>
  <c r="A35399" i="1"/>
  <c r="A35400" i="1"/>
  <c r="A35401" i="1"/>
  <c r="A35402" i="1"/>
  <c r="A35403" i="1"/>
  <c r="A35404" i="1"/>
  <c r="A35405" i="1"/>
  <c r="A35406" i="1"/>
  <c r="A35407" i="1"/>
  <c r="A35408" i="1"/>
  <c r="A35409" i="1"/>
  <c r="A35410" i="1"/>
  <c r="A35411" i="1"/>
  <c r="A35412" i="1"/>
  <c r="A35413" i="1"/>
  <c r="A35414" i="1"/>
  <c r="A35415" i="1"/>
  <c r="A35416" i="1"/>
  <c r="A35417" i="1"/>
  <c r="A35418" i="1"/>
  <c r="A35419" i="1"/>
  <c r="A35420" i="1"/>
  <c r="A35421" i="1"/>
  <c r="A35422" i="1"/>
  <c r="A35423" i="1"/>
  <c r="A35424" i="1"/>
  <c r="A35425" i="1"/>
  <c r="A35426" i="1"/>
  <c r="A35427" i="1"/>
  <c r="A35428" i="1"/>
  <c r="A35429" i="1"/>
  <c r="A35430" i="1"/>
  <c r="A35431" i="1"/>
  <c r="A35432" i="1"/>
  <c r="A35433" i="1"/>
  <c r="A35434" i="1"/>
  <c r="A35435" i="1"/>
  <c r="A35436" i="1"/>
  <c r="A35437" i="1"/>
  <c r="A35438" i="1"/>
  <c r="A35439" i="1"/>
  <c r="A35440" i="1"/>
  <c r="A35441" i="1"/>
  <c r="A35442" i="1"/>
  <c r="A35443" i="1"/>
  <c r="A35444" i="1"/>
  <c r="A35445" i="1"/>
  <c r="A35446" i="1"/>
  <c r="A35447" i="1"/>
  <c r="A35448" i="1"/>
  <c r="A35449" i="1"/>
  <c r="A35450" i="1"/>
  <c r="A35451" i="1"/>
  <c r="A35452" i="1"/>
  <c r="A35453" i="1"/>
  <c r="A35454" i="1"/>
  <c r="A35455" i="1"/>
  <c r="A35456" i="1"/>
  <c r="A35457" i="1"/>
  <c r="A35458" i="1"/>
  <c r="A35459" i="1"/>
  <c r="A35460" i="1"/>
  <c r="A35461" i="1"/>
  <c r="A35462" i="1"/>
  <c r="A35463" i="1"/>
  <c r="A35464" i="1"/>
  <c r="A35465" i="1"/>
  <c r="A35466" i="1"/>
  <c r="A35467" i="1"/>
  <c r="A35468" i="1"/>
  <c r="A35469" i="1"/>
  <c r="A35470" i="1"/>
  <c r="A35471" i="1"/>
  <c r="A35472" i="1"/>
  <c r="A35473" i="1"/>
  <c r="A35474" i="1"/>
  <c r="A35475" i="1"/>
  <c r="A35476" i="1"/>
  <c r="A35477" i="1"/>
  <c r="A35478" i="1"/>
  <c r="A35479" i="1"/>
  <c r="A35480" i="1"/>
  <c r="A35481" i="1"/>
  <c r="A35482" i="1"/>
  <c r="A35483" i="1"/>
  <c r="A35484" i="1"/>
  <c r="A35485" i="1"/>
  <c r="A35486" i="1"/>
  <c r="A35487" i="1"/>
  <c r="A35488" i="1"/>
  <c r="A35489" i="1"/>
  <c r="A35490" i="1"/>
  <c r="A35491" i="1"/>
  <c r="A35492" i="1"/>
  <c r="A35493" i="1"/>
  <c r="A35494" i="1"/>
  <c r="A35495" i="1"/>
  <c r="A35496" i="1"/>
  <c r="A35497" i="1"/>
  <c r="A35498" i="1"/>
  <c r="A35499" i="1"/>
  <c r="A35500" i="1"/>
  <c r="A35501" i="1"/>
  <c r="A35502" i="1"/>
  <c r="A35503" i="1"/>
  <c r="A35504" i="1"/>
  <c r="A35505" i="1"/>
  <c r="A35506" i="1"/>
  <c r="A35507" i="1"/>
  <c r="A35508" i="1"/>
  <c r="A35509" i="1"/>
  <c r="A35510" i="1"/>
  <c r="A35511" i="1"/>
  <c r="A35512" i="1"/>
  <c r="A35513" i="1"/>
  <c r="A35514" i="1"/>
  <c r="A35515" i="1"/>
  <c r="A35516" i="1"/>
  <c r="A35517" i="1"/>
  <c r="A35518" i="1"/>
  <c r="A35519" i="1"/>
  <c r="A35520" i="1"/>
  <c r="A35521" i="1"/>
  <c r="A35522" i="1"/>
  <c r="A35523" i="1"/>
  <c r="A35524" i="1"/>
  <c r="A35525" i="1"/>
  <c r="A35526" i="1"/>
  <c r="A35527" i="1"/>
  <c r="A35528" i="1"/>
  <c r="A35529" i="1"/>
  <c r="A35530" i="1"/>
  <c r="A35531" i="1"/>
  <c r="A35532" i="1"/>
  <c r="A35533" i="1"/>
  <c r="A35534" i="1"/>
  <c r="A35535" i="1"/>
  <c r="A35536" i="1"/>
  <c r="A35537" i="1"/>
  <c r="A35538" i="1"/>
  <c r="A35539" i="1"/>
  <c r="A35540" i="1"/>
  <c r="A35541" i="1"/>
  <c r="A35542" i="1"/>
  <c r="A35543" i="1"/>
  <c r="A35544" i="1"/>
  <c r="A35545" i="1"/>
  <c r="A35546" i="1"/>
  <c r="A35547" i="1"/>
  <c r="A35548" i="1"/>
  <c r="A35549" i="1"/>
  <c r="A35550" i="1"/>
  <c r="A35551" i="1"/>
  <c r="A35552" i="1"/>
  <c r="A35553" i="1"/>
  <c r="A35554" i="1"/>
  <c r="A35555" i="1"/>
  <c r="A35556" i="1"/>
  <c r="A35557" i="1"/>
  <c r="A35558" i="1"/>
  <c r="A35559" i="1"/>
  <c r="A35560" i="1"/>
  <c r="A35561" i="1"/>
  <c r="A35562" i="1"/>
  <c r="A35563" i="1"/>
  <c r="A35564" i="1"/>
  <c r="A35565" i="1"/>
  <c r="A35566" i="1"/>
  <c r="A35567" i="1"/>
  <c r="A35568" i="1"/>
  <c r="A35569" i="1"/>
  <c r="A35570" i="1"/>
  <c r="A35571" i="1"/>
  <c r="A35572" i="1"/>
  <c r="A35573" i="1"/>
  <c r="A35574" i="1"/>
  <c r="A35575" i="1"/>
  <c r="A35576" i="1"/>
  <c r="A35577" i="1"/>
  <c r="A35578" i="1"/>
  <c r="A35579" i="1"/>
  <c r="A35580" i="1"/>
  <c r="A35581" i="1"/>
  <c r="A35582" i="1"/>
  <c r="A35583" i="1"/>
  <c r="A35584" i="1"/>
  <c r="A35585" i="1"/>
  <c r="A35586" i="1"/>
  <c r="A35587" i="1"/>
  <c r="A35588" i="1"/>
  <c r="A35589" i="1"/>
  <c r="A35590" i="1"/>
  <c r="A35591" i="1"/>
  <c r="A35592" i="1"/>
  <c r="A35593" i="1"/>
  <c r="A35594" i="1"/>
  <c r="A35595" i="1"/>
  <c r="A35596" i="1"/>
  <c r="A35597" i="1"/>
  <c r="A35598" i="1"/>
  <c r="A35599" i="1"/>
  <c r="A35600" i="1"/>
  <c r="A35601" i="1"/>
  <c r="A35602" i="1"/>
  <c r="A35603" i="1"/>
  <c r="A35604" i="1"/>
  <c r="A35605" i="1"/>
  <c r="A35606" i="1"/>
  <c r="A35607" i="1"/>
  <c r="A35608" i="1"/>
  <c r="A35609" i="1"/>
  <c r="A35610" i="1"/>
  <c r="A35611" i="1"/>
  <c r="A35612" i="1"/>
  <c r="A35613" i="1"/>
  <c r="A35614" i="1"/>
  <c r="A35615" i="1"/>
  <c r="A35616" i="1"/>
  <c r="A35617" i="1"/>
  <c r="A35618" i="1"/>
  <c r="A35619" i="1"/>
  <c r="A35620" i="1"/>
  <c r="A35621" i="1"/>
  <c r="A35622" i="1"/>
  <c r="A35623" i="1"/>
  <c r="A35624" i="1"/>
  <c r="A35625" i="1"/>
  <c r="A35626" i="1"/>
  <c r="A35627" i="1"/>
  <c r="A35628" i="1"/>
  <c r="A35629" i="1"/>
  <c r="A35630" i="1"/>
  <c r="A35631" i="1"/>
  <c r="A35632" i="1"/>
  <c r="A35633" i="1"/>
  <c r="A35634" i="1"/>
  <c r="A35635" i="1"/>
  <c r="A35636" i="1"/>
  <c r="A35637" i="1"/>
  <c r="A35638" i="1"/>
  <c r="A35639" i="1"/>
  <c r="A35640" i="1"/>
  <c r="A35641" i="1"/>
  <c r="A35642" i="1"/>
  <c r="A35643" i="1"/>
  <c r="A35644" i="1"/>
  <c r="A35645" i="1"/>
  <c r="A35646" i="1"/>
  <c r="A35647" i="1"/>
  <c r="A35648" i="1"/>
  <c r="A35649" i="1"/>
  <c r="A35650" i="1"/>
  <c r="A35651" i="1"/>
  <c r="A35652" i="1"/>
  <c r="A35653" i="1"/>
  <c r="A35654" i="1"/>
  <c r="A35655" i="1"/>
  <c r="A35656" i="1"/>
  <c r="A35657" i="1"/>
  <c r="A35658" i="1"/>
  <c r="A35659" i="1"/>
  <c r="A35660" i="1"/>
  <c r="A35661" i="1"/>
  <c r="A35662" i="1"/>
  <c r="A35663" i="1"/>
  <c r="A35664" i="1"/>
  <c r="A35665" i="1"/>
  <c r="A35666" i="1"/>
  <c r="A35667" i="1"/>
  <c r="A35668" i="1"/>
  <c r="A35669" i="1"/>
  <c r="A35670" i="1"/>
  <c r="A35671" i="1"/>
  <c r="A35672" i="1"/>
  <c r="A35673" i="1"/>
  <c r="A35674" i="1"/>
  <c r="A35675" i="1"/>
  <c r="A35676" i="1"/>
  <c r="A35677" i="1"/>
  <c r="A35678" i="1"/>
  <c r="A35679" i="1"/>
  <c r="A35680" i="1"/>
  <c r="A35681" i="1"/>
  <c r="A35682" i="1"/>
  <c r="A35683" i="1"/>
  <c r="A35684" i="1"/>
  <c r="A35685" i="1"/>
  <c r="A35686" i="1"/>
  <c r="A35687" i="1"/>
  <c r="A35688" i="1"/>
  <c r="A35689" i="1"/>
  <c r="A35690" i="1"/>
  <c r="A35691" i="1"/>
  <c r="A35692" i="1"/>
  <c r="A35693" i="1"/>
  <c r="A35694" i="1"/>
  <c r="A35695" i="1"/>
  <c r="A35696" i="1"/>
  <c r="A35697" i="1"/>
  <c r="A35698" i="1"/>
  <c r="A35699" i="1"/>
  <c r="A35700" i="1"/>
  <c r="A35701" i="1"/>
  <c r="A35702" i="1"/>
  <c r="A35703" i="1"/>
  <c r="A35704" i="1"/>
  <c r="A35705" i="1"/>
  <c r="A35706" i="1"/>
  <c r="A35707" i="1"/>
  <c r="A35708" i="1"/>
  <c r="A35709" i="1"/>
  <c r="A35710" i="1"/>
  <c r="A35711" i="1"/>
  <c r="A35712" i="1"/>
  <c r="A35713" i="1"/>
  <c r="A35714" i="1"/>
  <c r="A35715" i="1"/>
  <c r="A35716" i="1"/>
  <c r="A35717" i="1"/>
  <c r="A35718" i="1"/>
  <c r="A35719" i="1"/>
  <c r="A35720" i="1"/>
  <c r="A35721" i="1"/>
  <c r="A35722" i="1"/>
  <c r="A35723" i="1"/>
  <c r="A35724" i="1"/>
  <c r="A35725" i="1"/>
  <c r="A35726" i="1"/>
  <c r="A35727" i="1"/>
  <c r="A35728" i="1"/>
  <c r="A35729" i="1"/>
  <c r="A35730" i="1"/>
  <c r="A35731" i="1"/>
  <c r="A35732" i="1"/>
  <c r="A35733" i="1"/>
  <c r="A35734" i="1"/>
  <c r="A35735" i="1"/>
  <c r="A35736" i="1"/>
  <c r="A35737" i="1"/>
  <c r="A35738" i="1"/>
  <c r="A35739" i="1"/>
  <c r="A35740" i="1"/>
  <c r="A35741" i="1"/>
  <c r="A35742" i="1"/>
  <c r="A35743" i="1"/>
  <c r="A35744" i="1"/>
  <c r="A35745" i="1"/>
  <c r="A35746" i="1"/>
  <c r="A35747" i="1"/>
  <c r="A35748" i="1"/>
  <c r="A35749" i="1"/>
  <c r="A35750" i="1"/>
  <c r="A35751" i="1"/>
  <c r="A35752" i="1"/>
  <c r="A35753" i="1"/>
  <c r="A35754" i="1"/>
  <c r="A35755" i="1"/>
  <c r="A35756" i="1"/>
  <c r="A35757" i="1"/>
  <c r="A35758" i="1"/>
  <c r="A35759" i="1"/>
  <c r="A35760" i="1"/>
  <c r="A35761" i="1"/>
  <c r="A35762" i="1"/>
  <c r="A35763" i="1"/>
  <c r="A35764" i="1"/>
  <c r="A35765" i="1"/>
  <c r="A35766" i="1"/>
  <c r="A35767" i="1"/>
  <c r="A35768" i="1"/>
  <c r="A35769" i="1"/>
  <c r="A35770" i="1"/>
  <c r="A35771" i="1"/>
  <c r="A35772" i="1"/>
  <c r="A35773" i="1"/>
  <c r="A35774" i="1"/>
  <c r="A35775" i="1"/>
  <c r="A35776" i="1"/>
  <c r="A35777" i="1"/>
  <c r="A35778" i="1"/>
  <c r="A35779" i="1"/>
  <c r="A35780" i="1"/>
  <c r="A35781" i="1"/>
  <c r="A35782" i="1"/>
  <c r="A35783" i="1"/>
  <c r="A35784" i="1"/>
  <c r="A35785" i="1"/>
  <c r="A35786" i="1"/>
  <c r="A35787" i="1"/>
  <c r="A35788" i="1"/>
  <c r="A35789" i="1"/>
  <c r="A35790" i="1"/>
  <c r="A35791" i="1"/>
  <c r="A35792" i="1"/>
  <c r="A35793" i="1"/>
  <c r="A35794" i="1"/>
  <c r="A35795" i="1"/>
  <c r="A35796" i="1"/>
  <c r="A35797" i="1"/>
  <c r="A35798" i="1"/>
  <c r="A35799" i="1"/>
  <c r="A35800" i="1"/>
  <c r="A35801" i="1"/>
  <c r="A35802" i="1"/>
  <c r="A35803" i="1"/>
  <c r="A35804" i="1"/>
  <c r="A35805" i="1"/>
  <c r="A35806" i="1"/>
  <c r="A35807" i="1"/>
  <c r="A35808" i="1"/>
  <c r="A35809" i="1"/>
  <c r="A35810" i="1"/>
  <c r="A35811" i="1"/>
  <c r="A35812" i="1"/>
  <c r="A35813" i="1"/>
  <c r="A35814" i="1"/>
  <c r="A35815" i="1"/>
  <c r="A35816" i="1"/>
  <c r="A35817" i="1"/>
  <c r="A35818" i="1"/>
  <c r="A35819" i="1"/>
  <c r="A35820" i="1"/>
  <c r="A35821" i="1"/>
  <c r="A35822" i="1"/>
  <c r="A35823" i="1"/>
  <c r="A35824" i="1"/>
  <c r="A35825" i="1"/>
  <c r="A35826" i="1"/>
  <c r="A35827" i="1"/>
  <c r="A35828" i="1"/>
  <c r="A35829" i="1"/>
  <c r="A35830" i="1"/>
  <c r="A35831" i="1"/>
  <c r="A35832" i="1"/>
  <c r="A35833" i="1"/>
  <c r="A35834" i="1"/>
  <c r="A35835" i="1"/>
  <c r="A35836" i="1"/>
  <c r="A35837" i="1"/>
  <c r="A35838" i="1"/>
  <c r="A35839" i="1"/>
  <c r="A35840" i="1"/>
  <c r="A35841" i="1"/>
  <c r="A35842" i="1"/>
  <c r="A35843" i="1"/>
  <c r="A35844" i="1"/>
  <c r="A35845" i="1"/>
  <c r="A35846" i="1"/>
  <c r="A35847" i="1"/>
  <c r="A35848" i="1"/>
  <c r="A35849" i="1"/>
  <c r="A35850" i="1"/>
  <c r="A35851" i="1"/>
  <c r="A35852" i="1"/>
  <c r="A35853" i="1"/>
  <c r="A35854" i="1"/>
  <c r="A35855" i="1"/>
  <c r="A35856" i="1"/>
  <c r="A35857" i="1"/>
  <c r="A35858" i="1"/>
  <c r="A35859" i="1"/>
  <c r="A35860" i="1"/>
  <c r="A35861" i="1"/>
  <c r="A35862" i="1"/>
  <c r="A35863" i="1"/>
  <c r="A35864" i="1"/>
  <c r="A35865" i="1"/>
  <c r="A35866" i="1"/>
  <c r="A35867" i="1"/>
  <c r="A35868" i="1"/>
  <c r="A35869" i="1"/>
  <c r="A35870" i="1"/>
  <c r="A35871" i="1"/>
  <c r="A35872" i="1"/>
  <c r="A35873" i="1"/>
  <c r="A35874" i="1"/>
  <c r="A35875" i="1"/>
  <c r="A35876" i="1"/>
  <c r="A35877" i="1"/>
  <c r="A35878" i="1"/>
  <c r="A35879" i="1"/>
  <c r="A35880" i="1"/>
  <c r="A35881" i="1"/>
  <c r="A35882" i="1"/>
  <c r="A35883" i="1"/>
  <c r="A35884" i="1"/>
  <c r="A35885" i="1"/>
  <c r="A35886" i="1"/>
  <c r="A35887" i="1"/>
  <c r="A35888" i="1"/>
  <c r="A35889" i="1"/>
  <c r="A35890" i="1"/>
  <c r="A35891" i="1"/>
  <c r="A35892" i="1"/>
  <c r="A35893" i="1"/>
  <c r="A35894" i="1"/>
  <c r="A35895" i="1"/>
  <c r="A35896" i="1"/>
  <c r="A35897" i="1"/>
  <c r="A35898" i="1"/>
  <c r="A35899" i="1"/>
  <c r="A35900" i="1"/>
  <c r="A35901" i="1"/>
  <c r="A35902" i="1"/>
  <c r="A35903" i="1"/>
  <c r="A35904" i="1"/>
  <c r="A35905" i="1"/>
  <c r="A35906" i="1"/>
  <c r="A35907" i="1"/>
  <c r="A35908" i="1"/>
  <c r="A35909" i="1"/>
  <c r="A35910" i="1"/>
  <c r="A35911" i="1"/>
  <c r="A35912" i="1"/>
  <c r="A35913" i="1"/>
  <c r="A35914" i="1"/>
  <c r="A35915" i="1"/>
  <c r="A35916" i="1"/>
  <c r="A35917" i="1"/>
  <c r="A35918" i="1"/>
  <c r="A35919" i="1"/>
  <c r="A35920" i="1"/>
  <c r="A35921" i="1"/>
  <c r="A35922" i="1"/>
  <c r="A35923" i="1"/>
  <c r="A35924" i="1"/>
  <c r="A35925" i="1"/>
  <c r="A35926" i="1"/>
  <c r="A35927" i="1"/>
  <c r="A35928" i="1"/>
  <c r="A35929" i="1"/>
  <c r="A35930" i="1"/>
  <c r="A35931" i="1"/>
  <c r="A35932" i="1"/>
  <c r="A35933" i="1"/>
  <c r="A35934" i="1"/>
  <c r="A35935" i="1"/>
  <c r="A35936" i="1"/>
  <c r="A35937" i="1"/>
  <c r="A35938" i="1"/>
  <c r="A35939" i="1"/>
  <c r="A35940" i="1"/>
  <c r="A35941" i="1"/>
  <c r="A35942" i="1"/>
  <c r="A35943" i="1"/>
  <c r="A35944" i="1"/>
  <c r="A35945" i="1"/>
  <c r="A35946" i="1"/>
  <c r="A35947" i="1"/>
  <c r="A35948" i="1"/>
  <c r="A35949" i="1"/>
  <c r="A35950" i="1"/>
  <c r="A35951" i="1"/>
  <c r="A35952" i="1"/>
  <c r="A35953" i="1"/>
  <c r="A35954" i="1"/>
  <c r="A35955" i="1"/>
  <c r="A35956" i="1"/>
  <c r="A35957" i="1"/>
  <c r="A35958" i="1"/>
  <c r="A35959" i="1"/>
  <c r="A35960" i="1"/>
  <c r="A35961" i="1"/>
  <c r="A35962" i="1"/>
  <c r="A35963" i="1"/>
  <c r="A35964" i="1"/>
  <c r="A35965" i="1"/>
  <c r="A35966" i="1"/>
  <c r="A35967" i="1"/>
  <c r="A35968" i="1"/>
  <c r="A35969" i="1"/>
  <c r="A35970" i="1"/>
  <c r="A35971" i="1"/>
  <c r="A35972" i="1"/>
  <c r="A35973" i="1"/>
  <c r="A35974" i="1"/>
  <c r="A35975" i="1"/>
  <c r="A35976" i="1"/>
  <c r="A35977" i="1"/>
  <c r="A35978" i="1"/>
  <c r="A35979" i="1"/>
  <c r="A35980" i="1"/>
  <c r="A35981" i="1"/>
  <c r="A35982" i="1"/>
  <c r="A35983" i="1"/>
  <c r="A35984" i="1"/>
  <c r="A35985" i="1"/>
  <c r="A35986" i="1"/>
  <c r="A35987" i="1"/>
  <c r="A35988" i="1"/>
  <c r="A35989" i="1"/>
  <c r="A35990" i="1"/>
  <c r="A35991" i="1"/>
  <c r="A35992" i="1"/>
  <c r="A35993" i="1"/>
  <c r="A35994" i="1"/>
  <c r="A35995" i="1"/>
  <c r="A35996" i="1"/>
  <c r="A35997" i="1"/>
  <c r="A35998" i="1"/>
  <c r="A35999" i="1"/>
  <c r="A36000" i="1"/>
  <c r="A36001" i="1"/>
  <c r="A36002" i="1"/>
  <c r="A36003" i="1"/>
  <c r="A36004" i="1"/>
  <c r="A36005" i="1"/>
  <c r="A36006" i="1"/>
  <c r="A36007" i="1"/>
  <c r="A36008" i="1"/>
  <c r="A36009" i="1"/>
  <c r="A36010" i="1"/>
  <c r="A36011" i="1"/>
  <c r="A36012" i="1"/>
  <c r="A36013" i="1"/>
  <c r="A36014" i="1"/>
  <c r="A36015" i="1"/>
  <c r="A36016" i="1"/>
  <c r="A36017" i="1"/>
  <c r="A36018" i="1"/>
  <c r="A36019" i="1"/>
  <c r="A36020" i="1"/>
  <c r="A36021" i="1"/>
  <c r="A36022" i="1"/>
  <c r="A36023" i="1"/>
  <c r="A36024" i="1"/>
  <c r="A36025" i="1"/>
  <c r="A36026" i="1"/>
  <c r="A36027" i="1"/>
  <c r="A36028" i="1"/>
  <c r="A36029" i="1"/>
  <c r="A36030" i="1"/>
  <c r="A36031" i="1"/>
  <c r="A36032" i="1"/>
  <c r="A36033" i="1"/>
  <c r="A36034" i="1"/>
  <c r="A36035" i="1"/>
  <c r="A36036" i="1"/>
  <c r="A36037" i="1"/>
  <c r="A36038" i="1"/>
  <c r="A36039" i="1"/>
  <c r="A36040" i="1"/>
  <c r="A36041" i="1"/>
  <c r="A36042" i="1"/>
  <c r="A36043" i="1"/>
  <c r="A36044" i="1"/>
  <c r="A36045" i="1"/>
  <c r="A36046" i="1"/>
  <c r="A36047" i="1"/>
  <c r="A36048" i="1"/>
  <c r="A36049" i="1"/>
  <c r="A36050" i="1"/>
  <c r="A36051" i="1"/>
  <c r="A36052" i="1"/>
  <c r="A36053" i="1"/>
  <c r="A36054" i="1"/>
  <c r="A36055" i="1"/>
  <c r="A36056" i="1"/>
  <c r="A36057" i="1"/>
  <c r="A36058" i="1"/>
  <c r="A36059" i="1"/>
  <c r="A36060" i="1"/>
  <c r="A36061" i="1"/>
  <c r="A36062" i="1"/>
  <c r="A36063" i="1"/>
  <c r="A36064" i="1"/>
  <c r="A36065" i="1"/>
  <c r="A36066" i="1"/>
  <c r="A36067" i="1"/>
  <c r="A36068" i="1"/>
  <c r="A36069" i="1"/>
  <c r="A36070" i="1"/>
  <c r="A36071" i="1"/>
  <c r="A36072" i="1"/>
  <c r="A36073" i="1"/>
  <c r="A36074" i="1"/>
  <c r="A36075" i="1"/>
  <c r="A36076" i="1"/>
  <c r="A36077" i="1"/>
  <c r="A36078" i="1"/>
  <c r="A36079" i="1"/>
  <c r="A36080" i="1"/>
  <c r="A36081" i="1"/>
  <c r="A36082" i="1"/>
  <c r="A36083" i="1"/>
  <c r="A36084" i="1"/>
  <c r="A36085" i="1"/>
  <c r="A36086" i="1"/>
  <c r="A36087" i="1"/>
  <c r="A36088" i="1"/>
  <c r="A36089" i="1"/>
  <c r="A36090" i="1"/>
  <c r="A36091" i="1"/>
  <c r="A36092" i="1"/>
  <c r="A36093" i="1"/>
  <c r="A36094" i="1"/>
  <c r="A36095" i="1"/>
  <c r="A36096" i="1"/>
  <c r="A36097" i="1"/>
  <c r="A36098" i="1"/>
  <c r="A36099" i="1"/>
  <c r="A36100" i="1"/>
  <c r="A36101" i="1"/>
  <c r="A36102" i="1"/>
  <c r="A36103" i="1"/>
  <c r="A36104" i="1"/>
  <c r="A36105" i="1"/>
  <c r="A36106" i="1"/>
  <c r="A36107" i="1"/>
  <c r="A36108" i="1"/>
  <c r="A36109" i="1"/>
  <c r="A36110" i="1"/>
  <c r="A36111" i="1"/>
  <c r="A36112" i="1"/>
  <c r="A36113" i="1"/>
  <c r="A36114" i="1"/>
  <c r="A36115" i="1"/>
  <c r="A36116" i="1"/>
  <c r="A36117" i="1"/>
  <c r="A36118" i="1"/>
  <c r="A36119" i="1"/>
  <c r="A36120" i="1"/>
  <c r="A36121" i="1"/>
  <c r="A36122" i="1"/>
  <c r="A36123" i="1"/>
  <c r="A36124" i="1"/>
  <c r="A36125" i="1"/>
  <c r="A36126" i="1"/>
  <c r="A36127" i="1"/>
  <c r="A36128" i="1"/>
  <c r="A36129" i="1"/>
  <c r="A36130" i="1"/>
  <c r="A36131" i="1"/>
  <c r="A36132" i="1"/>
  <c r="A36133" i="1"/>
  <c r="A36134" i="1"/>
  <c r="A36135" i="1"/>
  <c r="A36136" i="1"/>
  <c r="A36137" i="1"/>
  <c r="A36138" i="1"/>
  <c r="A36139" i="1"/>
  <c r="A36140" i="1"/>
  <c r="A36141" i="1"/>
  <c r="A36142" i="1"/>
  <c r="A36143" i="1"/>
  <c r="A36144" i="1"/>
  <c r="A36145" i="1"/>
  <c r="A36146" i="1"/>
  <c r="A36147" i="1"/>
  <c r="A36148" i="1"/>
  <c r="A36149" i="1"/>
  <c r="A36150" i="1"/>
  <c r="A36151" i="1"/>
  <c r="A36152" i="1"/>
  <c r="A36153" i="1"/>
  <c r="A36154" i="1"/>
  <c r="A36155" i="1"/>
  <c r="A36156" i="1"/>
  <c r="A36157" i="1"/>
  <c r="A36158" i="1"/>
  <c r="A36159" i="1"/>
  <c r="A36160" i="1"/>
  <c r="A36161" i="1"/>
  <c r="A36162" i="1"/>
  <c r="A36163" i="1"/>
  <c r="A36164" i="1"/>
  <c r="A36165" i="1"/>
  <c r="A36166" i="1"/>
  <c r="A36167" i="1"/>
  <c r="A36168" i="1"/>
  <c r="A36169" i="1"/>
  <c r="A36170" i="1"/>
  <c r="A36171" i="1"/>
  <c r="A36172" i="1"/>
  <c r="A36173" i="1"/>
  <c r="A36174" i="1"/>
  <c r="A36175" i="1"/>
  <c r="A36176" i="1"/>
  <c r="A36177" i="1"/>
  <c r="A36178" i="1"/>
  <c r="A36179" i="1"/>
  <c r="A36180" i="1"/>
  <c r="A36181" i="1"/>
  <c r="A36182" i="1"/>
  <c r="A36183" i="1"/>
  <c r="A36184" i="1"/>
  <c r="A36185" i="1"/>
  <c r="A36186" i="1"/>
  <c r="A36187" i="1"/>
  <c r="A36188" i="1"/>
  <c r="A36189" i="1"/>
  <c r="A36190" i="1"/>
  <c r="A36191" i="1"/>
  <c r="A36192" i="1"/>
  <c r="A36193" i="1"/>
  <c r="A36194" i="1"/>
  <c r="A36195" i="1"/>
  <c r="A36196" i="1"/>
  <c r="A36197" i="1"/>
  <c r="A36198" i="1"/>
  <c r="A36199" i="1"/>
  <c r="A36200" i="1"/>
  <c r="A36201" i="1"/>
  <c r="A36202" i="1"/>
  <c r="A36203" i="1"/>
  <c r="A36204" i="1"/>
  <c r="A36205" i="1"/>
  <c r="A36206" i="1"/>
  <c r="A36207" i="1"/>
  <c r="A36208" i="1"/>
  <c r="A36209" i="1"/>
  <c r="A36210" i="1"/>
  <c r="A36211" i="1"/>
  <c r="A36212" i="1"/>
  <c r="A36213" i="1"/>
  <c r="A36214" i="1"/>
  <c r="A36215" i="1"/>
  <c r="A36216" i="1"/>
  <c r="A36217" i="1"/>
  <c r="A36218" i="1"/>
  <c r="A36219" i="1"/>
  <c r="A36220" i="1"/>
  <c r="A36221" i="1"/>
  <c r="A36222" i="1"/>
  <c r="A36223" i="1"/>
  <c r="A36224" i="1"/>
  <c r="A36225" i="1"/>
  <c r="A36226" i="1"/>
  <c r="A36227" i="1"/>
  <c r="A36228" i="1"/>
  <c r="A36229" i="1"/>
  <c r="A36230" i="1"/>
  <c r="A36231" i="1"/>
  <c r="A36232" i="1"/>
  <c r="A36233" i="1"/>
  <c r="A36234" i="1"/>
  <c r="A36235" i="1"/>
  <c r="A36236" i="1"/>
  <c r="A36237" i="1"/>
  <c r="A36238" i="1"/>
  <c r="A36239" i="1"/>
  <c r="A36240" i="1"/>
  <c r="A36241" i="1"/>
  <c r="A36242" i="1"/>
  <c r="A36243" i="1"/>
  <c r="A36244" i="1"/>
  <c r="A36245" i="1"/>
  <c r="A36246" i="1"/>
  <c r="A36247" i="1"/>
  <c r="A36248" i="1"/>
  <c r="A36249" i="1"/>
  <c r="A36250" i="1"/>
  <c r="A36251" i="1"/>
  <c r="A36252" i="1"/>
  <c r="A36253" i="1"/>
  <c r="A36254" i="1"/>
  <c r="A36255" i="1"/>
  <c r="A36256" i="1"/>
  <c r="A36257" i="1"/>
  <c r="A36258" i="1"/>
  <c r="A36259" i="1"/>
  <c r="A36260" i="1"/>
  <c r="A36261" i="1"/>
  <c r="A36262" i="1"/>
  <c r="A36263" i="1"/>
  <c r="A36264" i="1"/>
  <c r="A36265" i="1"/>
  <c r="A36266" i="1"/>
  <c r="A36267" i="1"/>
  <c r="A36268" i="1"/>
  <c r="A36269" i="1"/>
  <c r="A36270" i="1"/>
  <c r="A36271" i="1"/>
  <c r="A36272" i="1"/>
  <c r="A36273" i="1"/>
  <c r="A36274" i="1"/>
  <c r="A36275" i="1"/>
  <c r="A36276" i="1"/>
  <c r="A36277" i="1"/>
  <c r="A36278" i="1"/>
  <c r="A36279" i="1"/>
  <c r="A36280" i="1"/>
  <c r="A36281" i="1"/>
  <c r="A36282" i="1"/>
  <c r="A36283" i="1"/>
  <c r="A36284" i="1"/>
  <c r="A36285" i="1"/>
  <c r="A36286" i="1"/>
  <c r="A36287" i="1"/>
  <c r="A36288" i="1"/>
  <c r="A36289" i="1"/>
  <c r="A36290" i="1"/>
  <c r="A36291" i="1"/>
  <c r="A36292" i="1"/>
  <c r="A36293" i="1"/>
  <c r="A36294" i="1"/>
  <c r="A36295" i="1"/>
  <c r="A36296" i="1"/>
  <c r="A36297" i="1"/>
  <c r="A36298" i="1"/>
  <c r="A36299" i="1"/>
  <c r="A36300" i="1"/>
  <c r="A36301" i="1"/>
  <c r="A36302" i="1"/>
  <c r="A36303" i="1"/>
  <c r="A36304" i="1"/>
  <c r="A36305" i="1"/>
  <c r="A36306" i="1"/>
  <c r="A36307" i="1"/>
  <c r="A36308" i="1"/>
  <c r="A36309" i="1"/>
  <c r="A36310" i="1"/>
  <c r="A36311" i="1"/>
  <c r="A36312" i="1"/>
  <c r="A36313" i="1"/>
  <c r="A36314" i="1"/>
  <c r="A36315" i="1"/>
  <c r="A36316" i="1"/>
  <c r="A36317" i="1"/>
  <c r="A36318" i="1"/>
  <c r="A36319" i="1"/>
  <c r="A36320" i="1"/>
  <c r="A36321" i="1"/>
  <c r="A36322" i="1"/>
  <c r="A36323" i="1"/>
  <c r="A36324" i="1"/>
  <c r="A36325" i="1"/>
  <c r="A36326" i="1"/>
  <c r="A36327" i="1"/>
  <c r="A36328" i="1"/>
  <c r="A36329" i="1"/>
  <c r="A36330" i="1"/>
  <c r="A36331" i="1"/>
  <c r="A36332" i="1"/>
  <c r="A36333" i="1"/>
  <c r="A36334" i="1"/>
  <c r="A36335" i="1"/>
  <c r="A36336" i="1"/>
  <c r="A36337" i="1"/>
  <c r="A36338" i="1"/>
  <c r="A36339" i="1"/>
  <c r="A36340" i="1"/>
  <c r="A36341" i="1"/>
  <c r="A36342" i="1"/>
  <c r="A36343" i="1"/>
  <c r="A36344" i="1"/>
  <c r="A36345" i="1"/>
  <c r="A36346" i="1"/>
  <c r="A36347" i="1"/>
  <c r="A36348" i="1"/>
  <c r="A36349" i="1"/>
  <c r="A36350" i="1"/>
  <c r="A36351" i="1"/>
  <c r="A36352" i="1"/>
  <c r="A36353" i="1"/>
  <c r="A36354" i="1"/>
  <c r="A36355" i="1"/>
  <c r="A36356" i="1"/>
  <c r="A36357" i="1"/>
  <c r="A36358" i="1"/>
  <c r="A36359" i="1"/>
  <c r="A36360" i="1"/>
  <c r="A36361" i="1"/>
  <c r="A36362" i="1"/>
  <c r="A36363" i="1"/>
  <c r="A36364" i="1"/>
  <c r="A36365" i="1"/>
  <c r="A36366" i="1"/>
  <c r="A36367" i="1"/>
  <c r="A36368" i="1"/>
  <c r="A36369" i="1"/>
  <c r="A36370" i="1"/>
  <c r="A36371" i="1"/>
  <c r="A36372" i="1"/>
  <c r="A36373" i="1"/>
  <c r="A36374" i="1"/>
  <c r="A36375" i="1"/>
  <c r="A36376" i="1"/>
  <c r="A36377" i="1"/>
  <c r="A36378" i="1"/>
  <c r="A36379" i="1"/>
  <c r="A36380" i="1"/>
  <c r="A36381" i="1"/>
  <c r="A36382" i="1"/>
  <c r="A36383" i="1"/>
  <c r="A36384" i="1"/>
  <c r="A36385" i="1"/>
  <c r="A36386" i="1"/>
  <c r="A36387" i="1"/>
  <c r="A36388" i="1"/>
  <c r="A36389" i="1"/>
  <c r="A36390" i="1"/>
  <c r="A36391" i="1"/>
  <c r="A36392" i="1"/>
  <c r="A36393" i="1"/>
  <c r="A36394" i="1"/>
  <c r="A36395" i="1"/>
  <c r="A36396" i="1"/>
  <c r="A36397" i="1"/>
  <c r="A36398" i="1"/>
  <c r="A36399" i="1"/>
  <c r="A36400" i="1"/>
  <c r="A36401" i="1"/>
  <c r="A36402" i="1"/>
  <c r="A36403" i="1"/>
  <c r="A36404" i="1"/>
  <c r="A36405" i="1"/>
  <c r="A36406" i="1"/>
  <c r="A36407" i="1"/>
  <c r="A36408" i="1"/>
  <c r="A36409" i="1"/>
  <c r="A36410" i="1"/>
  <c r="A36411" i="1"/>
  <c r="A36412" i="1"/>
  <c r="A36413" i="1"/>
  <c r="A36414" i="1"/>
  <c r="A36415" i="1"/>
  <c r="A36416" i="1"/>
  <c r="A36417" i="1"/>
  <c r="A36418" i="1"/>
  <c r="A36419" i="1"/>
  <c r="A36420" i="1"/>
  <c r="A36421" i="1"/>
  <c r="A36422" i="1"/>
  <c r="A36423" i="1"/>
  <c r="A36424" i="1"/>
  <c r="A36425" i="1"/>
  <c r="A36426" i="1"/>
  <c r="A36427" i="1"/>
  <c r="A36428" i="1"/>
  <c r="A36429" i="1"/>
  <c r="A36430" i="1"/>
  <c r="A36431" i="1"/>
  <c r="A36432" i="1"/>
  <c r="A36433" i="1"/>
  <c r="A36434" i="1"/>
  <c r="A36435" i="1"/>
  <c r="A36436" i="1"/>
  <c r="A36437" i="1"/>
  <c r="A36438" i="1"/>
  <c r="A36439" i="1"/>
  <c r="A36440" i="1"/>
  <c r="A36441" i="1"/>
  <c r="A36442" i="1"/>
  <c r="A36443" i="1"/>
  <c r="A36444" i="1"/>
  <c r="A36445" i="1"/>
  <c r="A36446" i="1"/>
  <c r="A36447" i="1"/>
  <c r="A36448" i="1"/>
  <c r="A36449" i="1"/>
  <c r="A36450" i="1"/>
  <c r="A36451" i="1"/>
  <c r="A36452" i="1"/>
  <c r="A36453" i="1"/>
  <c r="A36454" i="1"/>
  <c r="A36455" i="1"/>
  <c r="A36456" i="1"/>
  <c r="A36457" i="1"/>
  <c r="A36458" i="1"/>
  <c r="A36459" i="1"/>
  <c r="A36460" i="1"/>
  <c r="A36461" i="1"/>
  <c r="A36462" i="1"/>
  <c r="A36463" i="1"/>
  <c r="A36464" i="1"/>
  <c r="A36465" i="1"/>
  <c r="A36466" i="1"/>
  <c r="A36467" i="1"/>
  <c r="A36468" i="1"/>
  <c r="A36469" i="1"/>
  <c r="A36470" i="1"/>
  <c r="A36471" i="1"/>
  <c r="A36472" i="1"/>
  <c r="A36473" i="1"/>
  <c r="A36474" i="1"/>
  <c r="A36475" i="1"/>
  <c r="A36476" i="1"/>
  <c r="A36477" i="1"/>
  <c r="A36478" i="1"/>
  <c r="A36479" i="1"/>
  <c r="A36480" i="1"/>
  <c r="A36481" i="1"/>
  <c r="A36482" i="1"/>
  <c r="A36483" i="1"/>
  <c r="A36484" i="1"/>
  <c r="A36485" i="1"/>
  <c r="A36486" i="1"/>
  <c r="A36487" i="1"/>
  <c r="A36488" i="1"/>
  <c r="A36489" i="1"/>
  <c r="A36490" i="1"/>
  <c r="A36491" i="1"/>
  <c r="A36492" i="1"/>
  <c r="A36493" i="1"/>
  <c r="A36494" i="1"/>
  <c r="A36495" i="1"/>
  <c r="A36496" i="1"/>
  <c r="A36497" i="1"/>
  <c r="A36498" i="1"/>
  <c r="A36499" i="1"/>
  <c r="A36500" i="1"/>
  <c r="A36501" i="1"/>
  <c r="A36502" i="1"/>
  <c r="A36503" i="1"/>
  <c r="A36504" i="1"/>
  <c r="A36505" i="1"/>
  <c r="A36506" i="1"/>
  <c r="A36507" i="1"/>
  <c r="A36508" i="1"/>
  <c r="A36509" i="1"/>
  <c r="A36510" i="1"/>
  <c r="A36511" i="1"/>
  <c r="A36512" i="1"/>
  <c r="A36513" i="1"/>
  <c r="A36514" i="1"/>
  <c r="A36515" i="1"/>
  <c r="A36516" i="1"/>
  <c r="A36517" i="1"/>
  <c r="A36518" i="1"/>
  <c r="A36519" i="1"/>
  <c r="A36520" i="1"/>
  <c r="A36521" i="1"/>
  <c r="A36522" i="1"/>
  <c r="A36523" i="1"/>
  <c r="A36524" i="1"/>
  <c r="A36525" i="1"/>
  <c r="A36526" i="1"/>
  <c r="A36527" i="1"/>
  <c r="A36528" i="1"/>
  <c r="A36529" i="1"/>
  <c r="A36530" i="1"/>
  <c r="A36531" i="1"/>
  <c r="A36532" i="1"/>
  <c r="A36533" i="1"/>
  <c r="A36534" i="1"/>
  <c r="A36535" i="1"/>
  <c r="A36536" i="1"/>
  <c r="A36537" i="1"/>
  <c r="A36538" i="1"/>
  <c r="A36539" i="1"/>
  <c r="A36540" i="1"/>
  <c r="A36541" i="1"/>
  <c r="A36542" i="1"/>
  <c r="A36543" i="1"/>
  <c r="A36544" i="1"/>
  <c r="A36545" i="1"/>
  <c r="A36546" i="1"/>
  <c r="A36547" i="1"/>
  <c r="A36548" i="1"/>
  <c r="A36549" i="1"/>
  <c r="A36550" i="1"/>
  <c r="A36551" i="1"/>
  <c r="A36552" i="1"/>
  <c r="A36553" i="1"/>
  <c r="A36554" i="1"/>
  <c r="A36555" i="1"/>
  <c r="A36556" i="1"/>
  <c r="A36557" i="1"/>
  <c r="A36558" i="1"/>
  <c r="A36559" i="1"/>
  <c r="A36560" i="1"/>
  <c r="A36561" i="1"/>
  <c r="A36562" i="1"/>
  <c r="A36563" i="1"/>
  <c r="A36564" i="1"/>
  <c r="A36565" i="1"/>
  <c r="A36566" i="1"/>
  <c r="A36567" i="1"/>
  <c r="A36568" i="1"/>
  <c r="A36569" i="1"/>
  <c r="A36570" i="1"/>
  <c r="A36571" i="1"/>
  <c r="A36572" i="1"/>
  <c r="A36573" i="1"/>
  <c r="A36574" i="1"/>
  <c r="A36575" i="1"/>
  <c r="A36576" i="1"/>
  <c r="A36577" i="1"/>
  <c r="A36578" i="1"/>
  <c r="A36579" i="1"/>
  <c r="A36580" i="1"/>
  <c r="A36581" i="1"/>
  <c r="A36582" i="1"/>
  <c r="A36583" i="1"/>
  <c r="A36584" i="1"/>
  <c r="A36585" i="1"/>
  <c r="A36586" i="1"/>
  <c r="A36587" i="1"/>
  <c r="A36588" i="1"/>
  <c r="A36589" i="1"/>
  <c r="A36590" i="1"/>
  <c r="A36591" i="1"/>
  <c r="A36592" i="1"/>
  <c r="A36593" i="1"/>
  <c r="A36594" i="1"/>
  <c r="A36595" i="1"/>
  <c r="A36596" i="1"/>
  <c r="A36597" i="1"/>
  <c r="A36598" i="1"/>
  <c r="A36599" i="1"/>
  <c r="A36600" i="1"/>
  <c r="A36601" i="1"/>
  <c r="A36602" i="1"/>
  <c r="A36603" i="1"/>
  <c r="A36604" i="1"/>
  <c r="A36605" i="1"/>
  <c r="A36606" i="1"/>
  <c r="A36607" i="1"/>
  <c r="A36608" i="1"/>
  <c r="A36609" i="1"/>
  <c r="A36610" i="1"/>
  <c r="A36611" i="1"/>
  <c r="A36612" i="1"/>
  <c r="A36613" i="1"/>
  <c r="A36614" i="1"/>
  <c r="A36615" i="1"/>
  <c r="A36616" i="1"/>
  <c r="A36617" i="1"/>
  <c r="A36618" i="1"/>
  <c r="A36619" i="1"/>
  <c r="A36620" i="1"/>
  <c r="A36621" i="1"/>
  <c r="A36622" i="1"/>
  <c r="A36623" i="1"/>
  <c r="A36624" i="1"/>
  <c r="A36625" i="1"/>
  <c r="A36626" i="1"/>
  <c r="A36627" i="1"/>
  <c r="A36628" i="1"/>
  <c r="A36629" i="1"/>
  <c r="A36630" i="1"/>
  <c r="A36631" i="1"/>
  <c r="A36632" i="1"/>
  <c r="A36633" i="1"/>
  <c r="A36634" i="1"/>
  <c r="A36635" i="1"/>
  <c r="A36636" i="1"/>
  <c r="A36637" i="1"/>
  <c r="A36638" i="1"/>
  <c r="A36639" i="1"/>
  <c r="A36640" i="1"/>
  <c r="A36641" i="1"/>
  <c r="A36642" i="1"/>
  <c r="A36643" i="1"/>
  <c r="A36644" i="1"/>
  <c r="A36645" i="1"/>
  <c r="A36646" i="1"/>
  <c r="A36647" i="1"/>
  <c r="A36648" i="1"/>
  <c r="A36649" i="1"/>
  <c r="A36650" i="1"/>
  <c r="A36651" i="1"/>
  <c r="A36652" i="1"/>
  <c r="A36653" i="1"/>
  <c r="A36654" i="1"/>
  <c r="A36655" i="1"/>
  <c r="A36656" i="1"/>
  <c r="A36657" i="1"/>
  <c r="A36658" i="1"/>
  <c r="A36659" i="1"/>
  <c r="A36660" i="1"/>
  <c r="A36661" i="1"/>
  <c r="A36662" i="1"/>
  <c r="A36663" i="1"/>
  <c r="A36664" i="1"/>
  <c r="A36665" i="1"/>
  <c r="A36666" i="1"/>
  <c r="A36667" i="1"/>
  <c r="A36668" i="1"/>
  <c r="A36669" i="1"/>
  <c r="A36670" i="1"/>
  <c r="A36671" i="1"/>
  <c r="A36672" i="1"/>
  <c r="A36673" i="1"/>
  <c r="A36674" i="1"/>
  <c r="A36675" i="1"/>
  <c r="A36676" i="1"/>
  <c r="A36677" i="1"/>
  <c r="A36678" i="1"/>
  <c r="A36679" i="1"/>
  <c r="A36680" i="1"/>
  <c r="A36681" i="1"/>
  <c r="A36682" i="1"/>
  <c r="A36683" i="1"/>
  <c r="A36684" i="1"/>
  <c r="A36685" i="1"/>
  <c r="A36686" i="1"/>
  <c r="A36687" i="1"/>
  <c r="A36688" i="1"/>
  <c r="A36689" i="1"/>
  <c r="A36690" i="1"/>
  <c r="A36691" i="1"/>
  <c r="A36692" i="1"/>
  <c r="A36693" i="1"/>
  <c r="A36694" i="1"/>
  <c r="A36695" i="1"/>
  <c r="A36696" i="1"/>
  <c r="A36697" i="1"/>
  <c r="A36698" i="1"/>
  <c r="A36699" i="1"/>
  <c r="A36700" i="1"/>
  <c r="A36701" i="1"/>
  <c r="A36702" i="1"/>
  <c r="A36703" i="1"/>
  <c r="A36704" i="1"/>
  <c r="A36705" i="1"/>
  <c r="A36706" i="1"/>
  <c r="A36707" i="1"/>
  <c r="A36708" i="1"/>
  <c r="A36709" i="1"/>
  <c r="A36710" i="1"/>
  <c r="A36711" i="1"/>
  <c r="A36712" i="1"/>
  <c r="A36713" i="1"/>
  <c r="A36714" i="1"/>
  <c r="A36715" i="1"/>
  <c r="A36716" i="1"/>
  <c r="A36717" i="1"/>
  <c r="A36718" i="1"/>
  <c r="A36719" i="1"/>
  <c r="A36720" i="1"/>
  <c r="A36721" i="1"/>
  <c r="A36722" i="1"/>
  <c r="A36723" i="1"/>
  <c r="A36724" i="1"/>
  <c r="A36725" i="1"/>
  <c r="A36726" i="1"/>
  <c r="A36727" i="1"/>
  <c r="A36728" i="1"/>
  <c r="A36729" i="1"/>
  <c r="A36730" i="1"/>
  <c r="A36731" i="1"/>
  <c r="A36732" i="1"/>
  <c r="A36733" i="1"/>
  <c r="A36734" i="1"/>
  <c r="A36735" i="1"/>
  <c r="A36736" i="1"/>
  <c r="A36737" i="1"/>
  <c r="A36738" i="1"/>
  <c r="A36739" i="1"/>
  <c r="A36740" i="1"/>
  <c r="A36741" i="1"/>
  <c r="A36742" i="1"/>
  <c r="A36743" i="1"/>
  <c r="A36744" i="1"/>
  <c r="A36745" i="1"/>
  <c r="A36746" i="1"/>
  <c r="A36747" i="1"/>
  <c r="A36748" i="1"/>
  <c r="A36749" i="1"/>
  <c r="A36750" i="1"/>
  <c r="A36751" i="1"/>
  <c r="A36752" i="1"/>
  <c r="A36753" i="1"/>
  <c r="A36754" i="1"/>
  <c r="A36755" i="1"/>
  <c r="A36756" i="1"/>
  <c r="A36757" i="1"/>
  <c r="A36758" i="1"/>
  <c r="A36759" i="1"/>
  <c r="A36760" i="1"/>
  <c r="A36761" i="1"/>
  <c r="A36762" i="1"/>
  <c r="A36763" i="1"/>
  <c r="A36764" i="1"/>
  <c r="A36765" i="1"/>
  <c r="A36766" i="1"/>
  <c r="A36767" i="1"/>
  <c r="A36768" i="1"/>
  <c r="A36769" i="1"/>
  <c r="A36770" i="1"/>
  <c r="A36771" i="1"/>
  <c r="A36772" i="1"/>
  <c r="A36773" i="1"/>
  <c r="A36774" i="1"/>
  <c r="A36775" i="1"/>
  <c r="A36776" i="1"/>
  <c r="A36777" i="1"/>
  <c r="A36778" i="1"/>
  <c r="A36779" i="1"/>
  <c r="A36780" i="1"/>
  <c r="A36781" i="1"/>
  <c r="A36782" i="1"/>
  <c r="A36783" i="1"/>
  <c r="A36784" i="1"/>
  <c r="A36785" i="1"/>
  <c r="A36786" i="1"/>
  <c r="A36787" i="1"/>
  <c r="A36788" i="1"/>
  <c r="A36789" i="1"/>
  <c r="A36790" i="1"/>
  <c r="A36791" i="1"/>
  <c r="A36792" i="1"/>
  <c r="A36793" i="1"/>
  <c r="A36794" i="1"/>
  <c r="A36795" i="1"/>
  <c r="A36796" i="1"/>
  <c r="A36797" i="1"/>
  <c r="A36798" i="1"/>
  <c r="A36799" i="1"/>
  <c r="A36800" i="1"/>
  <c r="A36801" i="1"/>
  <c r="A36802" i="1"/>
  <c r="A36803" i="1"/>
  <c r="A36804" i="1"/>
  <c r="A36805" i="1"/>
  <c r="A36806" i="1"/>
  <c r="A36807" i="1"/>
  <c r="A36808" i="1"/>
  <c r="A36809" i="1"/>
  <c r="A36810" i="1"/>
  <c r="A36811" i="1"/>
  <c r="A36812" i="1"/>
  <c r="A36813" i="1"/>
  <c r="A36814" i="1"/>
  <c r="A36815" i="1"/>
  <c r="A36816" i="1"/>
  <c r="A36817" i="1"/>
  <c r="A36818" i="1"/>
  <c r="A36819" i="1"/>
  <c r="A36820" i="1"/>
  <c r="A36821" i="1"/>
  <c r="A36822" i="1"/>
  <c r="A36823" i="1"/>
  <c r="A36824" i="1"/>
  <c r="A36825" i="1"/>
  <c r="A36826" i="1"/>
  <c r="A36827" i="1"/>
  <c r="A36828" i="1"/>
  <c r="A36829" i="1"/>
  <c r="A36830" i="1"/>
  <c r="A36831" i="1"/>
  <c r="A36832" i="1"/>
  <c r="A36833" i="1"/>
  <c r="A36834" i="1"/>
  <c r="A36835" i="1"/>
  <c r="A36836" i="1"/>
  <c r="A36837" i="1"/>
  <c r="A36838" i="1"/>
  <c r="A36839" i="1"/>
  <c r="A36840" i="1"/>
  <c r="A36841" i="1"/>
  <c r="A36842" i="1"/>
  <c r="A36843" i="1"/>
  <c r="A36844" i="1"/>
  <c r="A36845" i="1"/>
  <c r="A36846" i="1"/>
  <c r="A36847" i="1"/>
  <c r="A36848" i="1"/>
  <c r="A36849" i="1"/>
  <c r="A36850" i="1"/>
  <c r="A36851" i="1"/>
  <c r="A36852" i="1"/>
  <c r="A36853" i="1"/>
  <c r="A36854" i="1"/>
  <c r="A36855" i="1"/>
  <c r="A36856" i="1"/>
  <c r="A36857" i="1"/>
  <c r="A36858" i="1"/>
  <c r="A36859" i="1"/>
  <c r="A36860" i="1"/>
  <c r="A36861" i="1"/>
  <c r="A36862" i="1"/>
  <c r="A36863" i="1"/>
  <c r="A36864" i="1"/>
  <c r="A36865" i="1"/>
  <c r="A36866" i="1"/>
  <c r="A36867" i="1"/>
  <c r="A36868" i="1"/>
  <c r="A36869" i="1"/>
  <c r="A36870" i="1"/>
  <c r="A36871" i="1"/>
  <c r="A36872" i="1"/>
  <c r="A36873" i="1"/>
  <c r="A36874" i="1"/>
  <c r="A36875" i="1"/>
  <c r="A36876" i="1"/>
  <c r="A36877" i="1"/>
  <c r="A36878" i="1"/>
  <c r="A36879" i="1"/>
  <c r="A36880" i="1"/>
  <c r="A36881" i="1"/>
  <c r="A36882" i="1"/>
  <c r="A36883" i="1"/>
  <c r="A36884" i="1"/>
  <c r="A36885" i="1"/>
  <c r="A36886" i="1"/>
  <c r="A36887" i="1"/>
  <c r="A36888" i="1"/>
  <c r="A36889" i="1"/>
  <c r="A36890" i="1"/>
  <c r="A36891" i="1"/>
  <c r="A36892" i="1"/>
  <c r="A36893" i="1"/>
  <c r="A36894" i="1"/>
  <c r="A36895" i="1"/>
  <c r="A36896" i="1"/>
  <c r="A36897" i="1"/>
  <c r="A36898" i="1"/>
  <c r="A36899" i="1"/>
  <c r="A36900" i="1"/>
  <c r="A36901" i="1"/>
  <c r="A36902" i="1"/>
  <c r="A36903" i="1"/>
  <c r="A36904" i="1"/>
  <c r="A36905" i="1"/>
  <c r="A36906" i="1"/>
  <c r="A36907" i="1"/>
  <c r="A36908" i="1"/>
  <c r="A36909" i="1"/>
  <c r="A36910" i="1"/>
  <c r="A36911" i="1"/>
  <c r="A36912" i="1"/>
  <c r="A36913" i="1"/>
  <c r="A36914" i="1"/>
  <c r="A36915" i="1"/>
  <c r="A36916" i="1"/>
  <c r="A36917" i="1"/>
  <c r="A36918" i="1"/>
  <c r="A36919" i="1"/>
  <c r="A36920" i="1"/>
  <c r="A36921" i="1"/>
  <c r="A36922" i="1"/>
  <c r="A36923" i="1"/>
  <c r="A36924" i="1"/>
  <c r="A36925" i="1"/>
  <c r="A36926" i="1"/>
  <c r="A36927" i="1"/>
  <c r="A36928" i="1"/>
  <c r="A36929" i="1"/>
  <c r="A36930" i="1"/>
  <c r="A36931" i="1"/>
  <c r="A36932" i="1"/>
  <c r="A36933" i="1"/>
  <c r="A36934" i="1"/>
  <c r="A36935" i="1"/>
  <c r="A36936" i="1"/>
  <c r="A36937" i="1"/>
  <c r="A36938" i="1"/>
  <c r="A36939" i="1"/>
  <c r="A36940" i="1"/>
  <c r="A36941" i="1"/>
  <c r="A36942" i="1"/>
  <c r="A36943" i="1"/>
  <c r="A36944" i="1"/>
  <c r="A36945" i="1"/>
  <c r="A36946" i="1"/>
  <c r="A36947" i="1"/>
  <c r="A36948" i="1"/>
  <c r="A36949" i="1"/>
  <c r="A36950" i="1"/>
  <c r="A36951" i="1"/>
  <c r="A36952" i="1"/>
  <c r="A36953" i="1"/>
  <c r="A36954" i="1"/>
  <c r="A36955" i="1"/>
  <c r="A36956" i="1"/>
  <c r="A36957" i="1"/>
  <c r="A36958" i="1"/>
  <c r="A36959" i="1"/>
  <c r="A36960" i="1"/>
  <c r="A36961" i="1"/>
  <c r="A36962" i="1"/>
  <c r="A36963" i="1"/>
  <c r="A36964" i="1"/>
  <c r="A36965" i="1"/>
  <c r="A36966" i="1"/>
  <c r="A36967" i="1"/>
  <c r="A36968" i="1"/>
  <c r="A36969" i="1"/>
  <c r="A36970" i="1"/>
  <c r="A36971" i="1"/>
  <c r="A36972" i="1"/>
  <c r="A36973" i="1"/>
  <c r="A36974" i="1"/>
  <c r="A36975" i="1"/>
  <c r="A36976" i="1"/>
  <c r="A36977" i="1"/>
  <c r="A36978" i="1"/>
  <c r="A36979" i="1"/>
  <c r="A36980" i="1"/>
  <c r="A36981" i="1"/>
  <c r="A36982" i="1"/>
  <c r="A36983" i="1"/>
  <c r="A36984" i="1"/>
  <c r="A36985" i="1"/>
  <c r="A36986" i="1"/>
  <c r="A36987" i="1"/>
  <c r="A36988" i="1"/>
  <c r="A36989" i="1"/>
  <c r="A36990" i="1"/>
  <c r="A36991" i="1"/>
  <c r="A36992" i="1"/>
  <c r="A36993" i="1"/>
  <c r="A36994" i="1"/>
  <c r="A36995" i="1"/>
  <c r="A36996" i="1"/>
  <c r="A36997" i="1"/>
  <c r="A36998" i="1"/>
  <c r="A36999" i="1"/>
  <c r="A37000" i="1"/>
  <c r="A37001" i="1"/>
  <c r="A37002" i="1"/>
  <c r="A37003" i="1"/>
  <c r="A37004" i="1"/>
  <c r="A37005" i="1"/>
  <c r="A37006" i="1"/>
  <c r="A37007" i="1"/>
  <c r="A37008" i="1"/>
  <c r="A37009" i="1"/>
  <c r="A37010" i="1"/>
  <c r="A37011" i="1"/>
  <c r="A37012" i="1"/>
  <c r="A37013" i="1"/>
  <c r="A37014" i="1"/>
  <c r="A37015" i="1"/>
  <c r="A37016" i="1"/>
  <c r="A37017" i="1"/>
  <c r="A37018" i="1"/>
  <c r="A37019" i="1"/>
  <c r="A37020" i="1"/>
  <c r="A37021" i="1"/>
  <c r="A37022" i="1"/>
  <c r="A37023" i="1"/>
  <c r="A37024" i="1"/>
  <c r="A37025" i="1"/>
  <c r="A37026" i="1"/>
  <c r="A37027" i="1"/>
  <c r="A37028" i="1"/>
  <c r="A37029" i="1"/>
  <c r="A37030" i="1"/>
  <c r="A37031" i="1"/>
  <c r="A37032" i="1"/>
  <c r="A37033" i="1"/>
  <c r="A37034" i="1"/>
  <c r="A37035" i="1"/>
  <c r="A37036" i="1"/>
  <c r="A37037" i="1"/>
  <c r="A37038" i="1"/>
  <c r="A37039" i="1"/>
  <c r="A37040" i="1"/>
  <c r="A37041" i="1"/>
  <c r="A37042" i="1"/>
  <c r="A37043" i="1"/>
  <c r="A37044" i="1"/>
  <c r="A37045" i="1"/>
  <c r="A37046" i="1"/>
  <c r="A37047" i="1"/>
  <c r="A37048" i="1"/>
  <c r="A37049" i="1"/>
  <c r="A37050" i="1"/>
  <c r="A37051" i="1"/>
  <c r="A37052" i="1"/>
  <c r="A37053" i="1"/>
  <c r="A37054" i="1"/>
  <c r="A37055" i="1"/>
  <c r="A37056" i="1"/>
  <c r="A37057" i="1"/>
  <c r="A37058" i="1"/>
  <c r="A37059" i="1"/>
  <c r="A37060" i="1"/>
  <c r="A37061" i="1"/>
  <c r="A37062" i="1"/>
  <c r="A37063" i="1"/>
  <c r="A37064" i="1"/>
  <c r="A37065" i="1"/>
  <c r="A37066" i="1"/>
  <c r="A37067" i="1"/>
  <c r="A37068" i="1"/>
  <c r="A37069" i="1"/>
  <c r="A37070" i="1"/>
  <c r="A37071" i="1"/>
  <c r="A37072" i="1"/>
  <c r="A37073" i="1"/>
  <c r="A37074" i="1"/>
  <c r="A37075" i="1"/>
  <c r="A37076" i="1"/>
  <c r="A37077" i="1"/>
  <c r="A37078" i="1"/>
  <c r="A37079" i="1"/>
  <c r="A37080" i="1"/>
  <c r="A37081" i="1"/>
  <c r="A37082" i="1"/>
  <c r="A37083" i="1"/>
  <c r="A37084" i="1"/>
  <c r="A37085" i="1"/>
  <c r="A37086" i="1"/>
  <c r="A37087" i="1"/>
  <c r="A37088" i="1"/>
  <c r="A37089" i="1"/>
  <c r="A37090" i="1"/>
  <c r="A37091" i="1"/>
  <c r="A37092" i="1"/>
  <c r="A37093" i="1"/>
  <c r="A37094" i="1"/>
  <c r="A37095" i="1"/>
  <c r="A37096" i="1"/>
  <c r="A37097" i="1"/>
  <c r="A37098" i="1"/>
  <c r="A37099" i="1"/>
  <c r="A37100" i="1"/>
  <c r="A37101" i="1"/>
  <c r="A37102" i="1"/>
  <c r="A37103" i="1"/>
  <c r="A37104" i="1"/>
  <c r="A37105" i="1"/>
  <c r="A37106" i="1"/>
  <c r="A37107" i="1"/>
  <c r="A37108" i="1"/>
  <c r="A37109" i="1"/>
  <c r="A37110" i="1"/>
  <c r="A37111" i="1"/>
  <c r="A37112" i="1"/>
  <c r="A37113" i="1"/>
  <c r="A37114" i="1"/>
  <c r="A37115" i="1"/>
  <c r="A37116" i="1"/>
  <c r="A37117" i="1"/>
  <c r="A37118" i="1"/>
  <c r="A37119" i="1"/>
  <c r="A37120" i="1"/>
  <c r="A37121" i="1"/>
  <c r="A37122" i="1"/>
  <c r="A37123" i="1"/>
  <c r="A37124" i="1"/>
  <c r="A37125" i="1"/>
  <c r="A37126" i="1"/>
  <c r="A37127" i="1"/>
  <c r="A37128" i="1"/>
  <c r="A37129" i="1"/>
  <c r="A37130" i="1"/>
  <c r="A37131" i="1"/>
  <c r="A37132" i="1"/>
  <c r="A37133" i="1"/>
  <c r="A37134" i="1"/>
  <c r="A37135" i="1"/>
  <c r="A37136" i="1"/>
  <c r="A37137" i="1"/>
  <c r="A37138" i="1"/>
  <c r="A37139" i="1"/>
  <c r="A37140" i="1"/>
  <c r="A37141" i="1"/>
  <c r="A37142" i="1"/>
  <c r="A37143" i="1"/>
  <c r="A37144" i="1"/>
  <c r="A37145" i="1"/>
  <c r="A37146" i="1"/>
  <c r="A37147" i="1"/>
  <c r="A37148" i="1"/>
  <c r="A37149" i="1"/>
  <c r="A37150" i="1"/>
  <c r="A37151" i="1"/>
  <c r="A37152" i="1"/>
  <c r="A37153" i="1"/>
  <c r="A37154" i="1"/>
  <c r="A37155" i="1"/>
  <c r="A37156" i="1"/>
  <c r="A37157" i="1"/>
  <c r="A37158" i="1"/>
  <c r="A37159" i="1"/>
  <c r="A37160" i="1"/>
  <c r="A37161" i="1"/>
  <c r="A37162" i="1"/>
  <c r="A37163" i="1"/>
  <c r="A37164" i="1"/>
  <c r="A37165" i="1"/>
  <c r="A37166" i="1"/>
  <c r="A37167" i="1"/>
  <c r="A37168" i="1"/>
  <c r="A37169" i="1"/>
  <c r="A37170" i="1"/>
  <c r="A37171" i="1"/>
  <c r="A37172" i="1"/>
  <c r="A37173" i="1"/>
  <c r="A37174" i="1"/>
  <c r="A37175" i="1"/>
  <c r="A37176" i="1"/>
  <c r="A37177" i="1"/>
  <c r="A37178" i="1"/>
  <c r="A37179" i="1"/>
  <c r="A37180" i="1"/>
  <c r="A37181" i="1"/>
  <c r="A37182" i="1"/>
  <c r="A37183" i="1"/>
  <c r="A37184" i="1"/>
  <c r="A37185" i="1"/>
  <c r="A37186" i="1"/>
  <c r="A37187" i="1"/>
  <c r="A37188" i="1"/>
  <c r="A37189" i="1"/>
  <c r="A37190" i="1"/>
  <c r="A37191" i="1"/>
  <c r="A37192" i="1"/>
  <c r="A37193" i="1"/>
  <c r="A37194" i="1"/>
  <c r="A37195" i="1"/>
  <c r="A37196" i="1"/>
  <c r="A37197" i="1"/>
  <c r="A37198" i="1"/>
  <c r="A37199" i="1"/>
  <c r="A37200" i="1"/>
  <c r="A37201" i="1"/>
  <c r="A37202" i="1"/>
  <c r="A37203" i="1"/>
  <c r="A37204" i="1"/>
  <c r="A37205" i="1"/>
  <c r="A37206" i="1"/>
  <c r="A37207" i="1"/>
  <c r="A37208" i="1"/>
  <c r="A37209" i="1"/>
  <c r="A37210" i="1"/>
  <c r="A37211" i="1"/>
  <c r="A37212" i="1"/>
  <c r="A37213" i="1"/>
  <c r="A37214" i="1"/>
  <c r="A37215" i="1"/>
  <c r="A37216" i="1"/>
  <c r="A37217" i="1"/>
  <c r="A37218" i="1"/>
  <c r="A37219" i="1"/>
  <c r="A37220" i="1"/>
  <c r="A37221" i="1"/>
  <c r="A37222" i="1"/>
  <c r="A37223" i="1"/>
  <c r="A37224" i="1"/>
  <c r="A37225" i="1"/>
  <c r="A37226" i="1"/>
  <c r="A37227" i="1"/>
  <c r="A37228" i="1"/>
  <c r="A37229" i="1"/>
  <c r="A37230" i="1"/>
  <c r="A37231" i="1"/>
  <c r="A37232" i="1"/>
  <c r="A37233" i="1"/>
  <c r="A37234" i="1"/>
  <c r="A37235" i="1"/>
  <c r="A37236" i="1"/>
  <c r="A37237" i="1"/>
  <c r="A37238" i="1"/>
  <c r="A37239" i="1"/>
  <c r="A37240" i="1"/>
  <c r="A37241" i="1"/>
  <c r="A37242" i="1"/>
  <c r="A37243" i="1"/>
  <c r="A37244" i="1"/>
  <c r="A37245" i="1"/>
  <c r="A37246" i="1"/>
  <c r="A37247" i="1"/>
  <c r="A37248" i="1"/>
  <c r="A37249" i="1"/>
  <c r="A37250" i="1"/>
  <c r="A37251" i="1"/>
  <c r="A37252" i="1"/>
  <c r="A37253" i="1"/>
  <c r="A37254" i="1"/>
  <c r="A37255" i="1"/>
  <c r="A37256" i="1"/>
  <c r="A37257" i="1"/>
  <c r="A37258" i="1"/>
  <c r="A37259" i="1"/>
  <c r="A37260" i="1"/>
  <c r="A37261" i="1"/>
  <c r="A37262" i="1"/>
  <c r="A37263" i="1"/>
  <c r="A37264" i="1"/>
  <c r="A37265" i="1"/>
  <c r="A37266" i="1"/>
  <c r="A37267" i="1"/>
  <c r="A37268" i="1"/>
  <c r="A37269" i="1"/>
  <c r="A37270" i="1"/>
  <c r="A37271" i="1"/>
  <c r="A37272" i="1"/>
  <c r="A37273" i="1"/>
  <c r="A37274" i="1"/>
  <c r="A37275" i="1"/>
  <c r="A37276" i="1"/>
  <c r="A37277" i="1"/>
  <c r="A37278" i="1"/>
  <c r="A37279" i="1"/>
  <c r="A37280" i="1"/>
  <c r="A37281" i="1"/>
  <c r="A37282" i="1"/>
  <c r="A37283" i="1"/>
  <c r="A37284" i="1"/>
  <c r="A37285" i="1"/>
  <c r="A37286" i="1"/>
  <c r="A37287" i="1"/>
  <c r="A37288" i="1"/>
  <c r="A37289" i="1"/>
  <c r="A37290" i="1"/>
  <c r="A37291" i="1"/>
  <c r="A37292" i="1"/>
  <c r="A37293" i="1"/>
  <c r="A37294" i="1"/>
  <c r="A37295" i="1"/>
  <c r="A37296" i="1"/>
  <c r="A37297" i="1"/>
  <c r="A37298" i="1"/>
  <c r="A37299" i="1"/>
  <c r="A37300" i="1"/>
  <c r="A37301" i="1"/>
  <c r="A37302" i="1"/>
  <c r="A37303" i="1"/>
  <c r="A37304" i="1"/>
  <c r="A37305" i="1"/>
  <c r="A37306" i="1"/>
  <c r="A37307" i="1"/>
  <c r="A37308" i="1"/>
  <c r="A37309" i="1"/>
  <c r="A37310" i="1"/>
  <c r="A37311" i="1"/>
  <c r="A37312" i="1"/>
  <c r="A37313" i="1"/>
  <c r="A37314" i="1"/>
  <c r="A37315" i="1"/>
  <c r="A37316" i="1"/>
  <c r="A37317" i="1"/>
  <c r="A37318" i="1"/>
  <c r="A37319" i="1"/>
  <c r="A37320" i="1"/>
  <c r="A37321" i="1"/>
  <c r="A37322" i="1"/>
  <c r="A37323" i="1"/>
  <c r="A37324" i="1"/>
  <c r="A37325" i="1"/>
  <c r="A37326" i="1"/>
  <c r="A37327" i="1"/>
  <c r="A37328" i="1"/>
  <c r="A37329" i="1"/>
  <c r="A37330" i="1"/>
  <c r="A37331" i="1"/>
  <c r="A37332" i="1"/>
  <c r="A37333" i="1"/>
  <c r="A37334" i="1"/>
  <c r="A37335" i="1"/>
  <c r="A37336" i="1"/>
  <c r="A37337" i="1"/>
  <c r="A37338" i="1"/>
  <c r="A37339" i="1"/>
  <c r="A37340" i="1"/>
  <c r="A37341" i="1"/>
  <c r="A37342" i="1"/>
  <c r="A37343" i="1"/>
  <c r="A37344" i="1"/>
  <c r="A37345" i="1"/>
  <c r="A37346" i="1"/>
  <c r="A37347" i="1"/>
  <c r="A37348" i="1"/>
  <c r="A37349" i="1"/>
  <c r="A37350" i="1"/>
  <c r="A37351" i="1"/>
  <c r="A37352" i="1"/>
  <c r="A37353" i="1"/>
  <c r="A37354" i="1"/>
  <c r="A37355" i="1"/>
  <c r="A37356" i="1"/>
  <c r="A37357" i="1"/>
  <c r="A37358" i="1"/>
  <c r="A37359" i="1"/>
  <c r="A37360" i="1"/>
  <c r="A37361" i="1"/>
  <c r="A37362" i="1"/>
  <c r="A37363" i="1"/>
  <c r="A37364" i="1"/>
  <c r="A37365" i="1"/>
  <c r="A37366" i="1"/>
  <c r="A37367" i="1"/>
  <c r="A37368" i="1"/>
  <c r="A37369" i="1"/>
  <c r="A37370" i="1"/>
  <c r="A37371" i="1"/>
  <c r="A37372" i="1"/>
  <c r="A37373" i="1"/>
  <c r="A37374" i="1"/>
  <c r="A37375" i="1"/>
  <c r="A37376" i="1"/>
  <c r="A37377" i="1"/>
  <c r="A37378" i="1"/>
  <c r="A37379" i="1"/>
  <c r="A37380" i="1"/>
  <c r="A37381" i="1"/>
  <c r="A37382" i="1"/>
  <c r="A37383" i="1"/>
  <c r="A37384" i="1"/>
  <c r="A37385" i="1"/>
  <c r="A37386" i="1"/>
  <c r="A37387" i="1"/>
  <c r="A37388" i="1"/>
  <c r="A37389" i="1"/>
  <c r="A37390" i="1"/>
  <c r="A37391" i="1"/>
  <c r="A37392" i="1"/>
  <c r="A37393" i="1"/>
  <c r="A37394" i="1"/>
  <c r="A37395" i="1"/>
  <c r="A37396" i="1"/>
  <c r="A37397" i="1"/>
  <c r="A37398" i="1"/>
  <c r="A37399" i="1"/>
  <c r="A37400" i="1"/>
  <c r="A37401" i="1"/>
  <c r="A37402" i="1"/>
  <c r="A37403" i="1"/>
  <c r="A37404" i="1"/>
  <c r="A37405" i="1"/>
  <c r="A37406" i="1"/>
  <c r="A37407" i="1"/>
  <c r="A37408" i="1"/>
  <c r="A37409" i="1"/>
  <c r="A37410" i="1"/>
  <c r="A37411" i="1"/>
  <c r="A37412" i="1"/>
  <c r="A37413" i="1"/>
  <c r="A37414" i="1"/>
  <c r="A37415" i="1"/>
  <c r="A37416" i="1"/>
  <c r="A37417" i="1"/>
  <c r="A37418" i="1"/>
  <c r="A37419" i="1"/>
  <c r="A37420" i="1"/>
  <c r="A37421" i="1"/>
  <c r="A37422" i="1"/>
  <c r="A37423" i="1"/>
  <c r="A37424" i="1"/>
  <c r="A37425" i="1"/>
  <c r="A37426" i="1"/>
  <c r="A37427" i="1"/>
  <c r="A37428" i="1"/>
  <c r="A37429" i="1"/>
  <c r="A37430" i="1"/>
  <c r="A37431" i="1"/>
  <c r="A37432" i="1"/>
  <c r="A37433" i="1"/>
  <c r="A37434" i="1"/>
  <c r="A37435" i="1"/>
  <c r="A37436" i="1"/>
  <c r="A37437" i="1"/>
  <c r="A37438" i="1"/>
  <c r="A37439" i="1"/>
  <c r="A37440" i="1"/>
  <c r="A37441" i="1"/>
  <c r="A37442" i="1"/>
  <c r="A37443" i="1"/>
  <c r="A37444" i="1"/>
  <c r="A37445" i="1"/>
  <c r="A37446" i="1"/>
  <c r="A37447" i="1"/>
  <c r="A37448" i="1"/>
  <c r="A37449" i="1"/>
  <c r="A37450" i="1"/>
  <c r="A37451" i="1"/>
  <c r="A37452" i="1"/>
  <c r="A37453" i="1"/>
  <c r="A37454" i="1"/>
  <c r="A37455" i="1"/>
  <c r="A37456" i="1"/>
  <c r="A37457" i="1"/>
  <c r="A37458" i="1"/>
  <c r="A37459" i="1"/>
  <c r="A37460" i="1"/>
  <c r="A37461" i="1"/>
  <c r="A37462" i="1"/>
  <c r="A37463" i="1"/>
  <c r="A37464" i="1"/>
  <c r="A37465" i="1"/>
  <c r="A37466" i="1"/>
  <c r="A37467" i="1"/>
  <c r="A37468" i="1"/>
  <c r="A37469" i="1"/>
  <c r="A37470" i="1"/>
  <c r="A37471" i="1"/>
  <c r="A37472" i="1"/>
  <c r="A37473" i="1"/>
  <c r="A37474" i="1"/>
  <c r="A37475" i="1"/>
  <c r="A37476" i="1"/>
  <c r="A37477" i="1"/>
  <c r="A37478" i="1"/>
  <c r="A37479" i="1"/>
  <c r="A37480" i="1"/>
  <c r="A37481" i="1"/>
  <c r="A37482" i="1"/>
  <c r="A37483" i="1"/>
  <c r="A37484" i="1"/>
  <c r="A37485" i="1"/>
  <c r="A37486" i="1"/>
  <c r="A37487" i="1"/>
  <c r="A37488" i="1"/>
  <c r="A37489" i="1"/>
  <c r="A37490" i="1"/>
  <c r="A37491" i="1"/>
  <c r="A37492" i="1"/>
  <c r="A37493" i="1"/>
  <c r="A37494" i="1"/>
  <c r="A37495" i="1"/>
  <c r="A37496" i="1"/>
  <c r="A37497" i="1"/>
  <c r="A37498" i="1"/>
  <c r="A37499" i="1"/>
  <c r="A37500" i="1"/>
  <c r="A37501" i="1"/>
  <c r="A37502" i="1"/>
  <c r="A37503" i="1"/>
  <c r="A37504" i="1"/>
  <c r="A37505" i="1"/>
  <c r="A37506" i="1"/>
  <c r="A37507" i="1"/>
  <c r="A37508" i="1"/>
  <c r="A37509" i="1"/>
  <c r="A37510" i="1"/>
  <c r="A37511" i="1"/>
  <c r="A37512" i="1"/>
  <c r="A37513" i="1"/>
  <c r="A37514" i="1"/>
  <c r="A37515" i="1"/>
  <c r="A37516" i="1"/>
  <c r="A37517" i="1"/>
  <c r="A37518" i="1"/>
  <c r="A37519" i="1"/>
  <c r="A37520" i="1"/>
  <c r="A37521" i="1"/>
  <c r="A37522" i="1"/>
  <c r="A37523" i="1"/>
  <c r="A37524" i="1"/>
  <c r="A37525" i="1"/>
  <c r="A37526" i="1"/>
  <c r="A37527" i="1"/>
  <c r="A37528" i="1"/>
  <c r="A37529" i="1"/>
  <c r="A37530" i="1"/>
  <c r="A37531" i="1"/>
  <c r="A37532" i="1"/>
  <c r="A37533" i="1"/>
  <c r="A37534" i="1"/>
  <c r="A37535" i="1"/>
  <c r="A37536" i="1"/>
  <c r="A37537" i="1"/>
  <c r="A37538" i="1"/>
  <c r="A37539" i="1"/>
  <c r="A37540" i="1"/>
  <c r="A37541" i="1"/>
  <c r="A37542" i="1"/>
  <c r="A37543" i="1"/>
  <c r="A37544" i="1"/>
  <c r="A37545" i="1"/>
  <c r="A37546" i="1"/>
  <c r="A37547" i="1"/>
  <c r="A37548" i="1"/>
  <c r="A37549" i="1"/>
  <c r="A37550" i="1"/>
  <c r="A37551" i="1"/>
  <c r="A37552" i="1"/>
  <c r="A37553" i="1"/>
  <c r="A37554" i="1"/>
  <c r="A37555" i="1"/>
  <c r="A37556" i="1"/>
  <c r="A37557" i="1"/>
  <c r="A37558" i="1"/>
  <c r="A37559" i="1"/>
  <c r="A37560" i="1"/>
  <c r="A37561" i="1"/>
  <c r="A37562" i="1"/>
  <c r="A37563" i="1"/>
  <c r="A37564" i="1"/>
  <c r="A37565" i="1"/>
  <c r="A37566" i="1"/>
  <c r="A37567" i="1"/>
  <c r="A37568" i="1"/>
  <c r="A37569" i="1"/>
  <c r="A37570" i="1"/>
  <c r="A37571" i="1"/>
  <c r="A37572" i="1"/>
  <c r="A37573" i="1"/>
  <c r="A37574" i="1"/>
  <c r="A37575" i="1"/>
  <c r="A37576" i="1"/>
  <c r="A37577" i="1"/>
  <c r="A37578" i="1"/>
  <c r="A37579" i="1"/>
  <c r="A37580" i="1"/>
  <c r="A37581" i="1"/>
  <c r="A37582" i="1"/>
  <c r="A37583" i="1"/>
  <c r="A37584" i="1"/>
  <c r="A37585" i="1"/>
  <c r="A37586" i="1"/>
  <c r="A37587" i="1"/>
  <c r="A37588" i="1"/>
  <c r="A37589" i="1"/>
  <c r="A37590" i="1"/>
  <c r="A37591" i="1"/>
  <c r="A37592" i="1"/>
  <c r="A37593" i="1"/>
  <c r="A37594" i="1"/>
  <c r="A37595" i="1"/>
  <c r="A37596" i="1"/>
  <c r="A37597" i="1"/>
  <c r="A37598" i="1"/>
  <c r="A37599" i="1"/>
  <c r="A37600" i="1"/>
  <c r="A37601" i="1"/>
  <c r="A37602" i="1"/>
  <c r="A37603" i="1"/>
  <c r="A37604" i="1"/>
  <c r="A37605" i="1"/>
  <c r="A37606" i="1"/>
  <c r="A37607" i="1"/>
  <c r="A37608" i="1"/>
  <c r="A37609" i="1"/>
  <c r="A37610" i="1"/>
  <c r="A37611" i="1"/>
  <c r="A37612" i="1"/>
  <c r="A37613" i="1"/>
  <c r="A37614" i="1"/>
  <c r="A37615" i="1"/>
  <c r="A37616" i="1"/>
  <c r="A37617" i="1"/>
  <c r="A37618" i="1"/>
  <c r="A37619" i="1"/>
  <c r="A37620" i="1"/>
  <c r="A37621" i="1"/>
  <c r="A37622" i="1"/>
  <c r="A37623" i="1"/>
  <c r="A37624" i="1"/>
  <c r="A37625" i="1"/>
  <c r="A37626" i="1"/>
  <c r="A37627" i="1"/>
  <c r="A37628" i="1"/>
  <c r="A37629" i="1"/>
  <c r="A37630" i="1"/>
  <c r="A37631" i="1"/>
  <c r="A37632" i="1"/>
  <c r="A37633" i="1"/>
  <c r="A37634" i="1"/>
  <c r="A37635" i="1"/>
  <c r="A37636" i="1"/>
  <c r="A37637" i="1"/>
  <c r="A37638" i="1"/>
  <c r="A37639" i="1"/>
  <c r="A37640" i="1"/>
  <c r="A37641" i="1"/>
  <c r="A37642" i="1"/>
  <c r="A37643" i="1"/>
  <c r="A37644" i="1"/>
  <c r="A37645" i="1"/>
  <c r="A37646" i="1"/>
  <c r="A37647" i="1"/>
  <c r="A37648" i="1"/>
  <c r="A37649" i="1"/>
  <c r="A37650" i="1"/>
  <c r="A37651" i="1"/>
  <c r="A37652" i="1"/>
  <c r="A37653" i="1"/>
  <c r="A37654" i="1"/>
  <c r="A37655" i="1"/>
  <c r="A37656" i="1"/>
  <c r="A37657" i="1"/>
  <c r="A37658" i="1"/>
  <c r="A37659" i="1"/>
  <c r="A37660" i="1"/>
  <c r="A37661" i="1"/>
  <c r="A37662" i="1"/>
  <c r="A37663" i="1"/>
  <c r="A37664" i="1"/>
  <c r="A37665" i="1"/>
  <c r="A37666" i="1"/>
  <c r="A37667" i="1"/>
  <c r="A37668" i="1"/>
  <c r="A37669" i="1"/>
  <c r="A37670" i="1"/>
  <c r="A37671" i="1"/>
  <c r="A37672" i="1"/>
  <c r="A37673" i="1"/>
  <c r="A37674" i="1"/>
  <c r="A37675" i="1"/>
  <c r="A37676" i="1"/>
  <c r="A37677" i="1"/>
  <c r="A37678" i="1"/>
  <c r="A37679" i="1"/>
  <c r="A37680" i="1"/>
  <c r="A37681" i="1"/>
  <c r="A37682" i="1"/>
  <c r="A37683" i="1"/>
  <c r="A37684" i="1"/>
  <c r="A37685" i="1"/>
  <c r="A37686" i="1"/>
  <c r="A37687" i="1"/>
  <c r="A37688" i="1"/>
  <c r="A37689" i="1"/>
  <c r="A37690" i="1"/>
  <c r="A37691" i="1"/>
  <c r="A37692" i="1"/>
  <c r="A37693" i="1"/>
  <c r="A37694" i="1"/>
  <c r="A37695" i="1"/>
  <c r="A37696" i="1"/>
  <c r="A37697" i="1"/>
  <c r="A37698" i="1"/>
  <c r="A37699" i="1"/>
  <c r="A37700" i="1"/>
  <c r="A37701" i="1"/>
  <c r="A37702" i="1"/>
  <c r="A37703" i="1"/>
  <c r="A37704" i="1"/>
  <c r="A37705" i="1"/>
  <c r="A37706" i="1"/>
  <c r="A37707" i="1"/>
  <c r="A37708" i="1"/>
  <c r="A37709" i="1"/>
  <c r="A37710" i="1"/>
  <c r="A37711" i="1"/>
  <c r="A37712" i="1"/>
  <c r="A37713" i="1"/>
  <c r="A37714" i="1"/>
  <c r="A37715" i="1"/>
  <c r="A37716" i="1"/>
  <c r="A37717" i="1"/>
  <c r="A37718" i="1"/>
  <c r="A37719" i="1"/>
  <c r="A37720" i="1"/>
  <c r="A37721" i="1"/>
  <c r="A37722" i="1"/>
  <c r="A37723" i="1"/>
  <c r="A37724" i="1"/>
  <c r="A37725" i="1"/>
  <c r="A37726" i="1"/>
  <c r="A37727" i="1"/>
  <c r="A37728" i="1"/>
  <c r="A37729" i="1"/>
  <c r="A37730" i="1"/>
  <c r="A37731" i="1"/>
  <c r="A37732" i="1"/>
  <c r="A37733" i="1"/>
  <c r="A37734" i="1"/>
  <c r="A37735" i="1"/>
  <c r="A37736" i="1"/>
  <c r="A37737" i="1"/>
  <c r="A37738" i="1"/>
  <c r="A37739" i="1"/>
  <c r="A37740" i="1"/>
  <c r="A37741" i="1"/>
  <c r="A37742" i="1"/>
  <c r="A37743" i="1"/>
  <c r="A37744" i="1"/>
  <c r="A37745" i="1"/>
  <c r="A37746" i="1"/>
  <c r="A37747" i="1"/>
  <c r="A37748" i="1"/>
  <c r="A37749" i="1"/>
  <c r="A37750" i="1"/>
  <c r="A37751" i="1"/>
  <c r="A37752" i="1"/>
  <c r="A37753" i="1"/>
  <c r="A37754" i="1"/>
  <c r="A37755" i="1"/>
  <c r="A37756" i="1"/>
  <c r="A37757" i="1"/>
  <c r="A37758" i="1"/>
  <c r="A37759" i="1"/>
  <c r="A37760" i="1"/>
  <c r="A37761" i="1"/>
  <c r="A37762" i="1"/>
  <c r="A37763" i="1"/>
  <c r="A37764" i="1"/>
  <c r="A37765" i="1"/>
  <c r="A37766" i="1"/>
  <c r="A37767" i="1"/>
  <c r="A37768" i="1"/>
  <c r="A37769" i="1"/>
  <c r="A37770" i="1"/>
  <c r="A37771" i="1"/>
  <c r="A37772" i="1"/>
  <c r="A37773" i="1"/>
  <c r="A37774" i="1"/>
  <c r="A37775" i="1"/>
  <c r="A37776" i="1"/>
  <c r="A37777" i="1"/>
  <c r="A37778" i="1"/>
  <c r="A37779" i="1"/>
  <c r="A37780" i="1"/>
  <c r="A37781" i="1"/>
  <c r="A37782" i="1"/>
  <c r="A37783" i="1"/>
  <c r="A37784" i="1"/>
  <c r="A37785" i="1"/>
  <c r="A37786" i="1"/>
  <c r="A37787" i="1"/>
  <c r="A37788" i="1"/>
  <c r="A37789" i="1"/>
  <c r="A37790" i="1"/>
  <c r="A37791" i="1"/>
  <c r="A37792" i="1"/>
  <c r="A37793" i="1"/>
  <c r="A37794" i="1"/>
  <c r="A37795" i="1"/>
  <c r="A37796" i="1"/>
  <c r="A37797" i="1"/>
  <c r="A37798" i="1"/>
  <c r="A37799" i="1"/>
  <c r="A37800" i="1"/>
  <c r="A37801" i="1"/>
  <c r="A37802" i="1"/>
  <c r="A37803" i="1"/>
  <c r="A37804" i="1"/>
  <c r="A37805" i="1"/>
  <c r="A37806" i="1"/>
  <c r="A37807" i="1"/>
  <c r="A37808" i="1"/>
  <c r="A37809" i="1"/>
  <c r="A37810" i="1"/>
  <c r="A37811" i="1"/>
  <c r="A37812" i="1"/>
  <c r="A37813" i="1"/>
  <c r="A37814" i="1"/>
  <c r="A37815" i="1"/>
  <c r="A37816" i="1"/>
  <c r="A37817" i="1"/>
  <c r="A37818" i="1"/>
  <c r="A37819" i="1"/>
  <c r="A37820" i="1"/>
  <c r="A37821" i="1"/>
  <c r="A37822" i="1"/>
  <c r="A37823" i="1"/>
  <c r="A37824" i="1"/>
  <c r="A37825" i="1"/>
  <c r="A37826" i="1"/>
  <c r="A37827" i="1"/>
  <c r="A37828" i="1"/>
  <c r="A37829" i="1"/>
  <c r="A37830" i="1"/>
  <c r="A37831" i="1"/>
  <c r="A37832" i="1"/>
  <c r="A37833" i="1"/>
  <c r="A37834" i="1"/>
  <c r="A37835" i="1"/>
  <c r="A37836" i="1"/>
  <c r="A37837" i="1"/>
  <c r="A37838" i="1"/>
  <c r="A37839" i="1"/>
  <c r="A37840" i="1"/>
  <c r="A37841" i="1"/>
  <c r="A37842" i="1"/>
  <c r="A37843" i="1"/>
  <c r="A37844" i="1"/>
  <c r="A37845" i="1"/>
  <c r="A37846" i="1"/>
  <c r="A37847" i="1"/>
  <c r="A37848" i="1"/>
  <c r="A37849" i="1"/>
  <c r="A37850" i="1"/>
  <c r="A37851" i="1"/>
  <c r="A37852" i="1"/>
  <c r="A37853" i="1"/>
  <c r="A37854" i="1"/>
  <c r="A37855" i="1"/>
  <c r="A37856" i="1"/>
  <c r="A37857" i="1"/>
  <c r="A37858" i="1"/>
  <c r="A37859" i="1"/>
  <c r="A37860" i="1"/>
  <c r="A37861" i="1"/>
  <c r="A37862" i="1"/>
  <c r="A37863" i="1"/>
  <c r="A37864" i="1"/>
  <c r="A37865" i="1"/>
  <c r="A37866" i="1"/>
  <c r="A37867" i="1"/>
  <c r="A37868" i="1"/>
  <c r="A37869" i="1"/>
  <c r="A37870" i="1"/>
  <c r="A37871" i="1"/>
  <c r="A37872" i="1"/>
  <c r="A37873" i="1"/>
  <c r="A37874" i="1"/>
  <c r="A37875" i="1"/>
  <c r="A37876" i="1"/>
  <c r="A37877" i="1"/>
  <c r="A37878" i="1"/>
  <c r="A37879" i="1"/>
  <c r="A37880" i="1"/>
  <c r="A37881" i="1"/>
  <c r="A37882" i="1"/>
  <c r="A37883" i="1"/>
  <c r="A37884" i="1"/>
  <c r="A37885" i="1"/>
  <c r="A37886" i="1"/>
  <c r="A37887" i="1"/>
  <c r="A37888" i="1"/>
  <c r="A37889" i="1"/>
  <c r="A37890" i="1"/>
  <c r="A37891" i="1"/>
  <c r="A37892" i="1"/>
  <c r="A37893" i="1"/>
  <c r="A37894" i="1"/>
  <c r="A37895" i="1"/>
  <c r="A37896" i="1"/>
  <c r="A37897" i="1"/>
  <c r="A37898" i="1"/>
  <c r="A37899" i="1"/>
  <c r="A37900" i="1"/>
  <c r="A37901" i="1"/>
  <c r="A37902" i="1"/>
  <c r="A37903" i="1"/>
  <c r="A37904" i="1"/>
  <c r="A37905" i="1"/>
  <c r="A37906" i="1"/>
  <c r="A37907" i="1"/>
  <c r="A37908" i="1"/>
  <c r="A37909" i="1"/>
  <c r="A37910" i="1"/>
  <c r="A37911" i="1"/>
  <c r="A37912" i="1"/>
  <c r="A37913" i="1"/>
  <c r="A37914" i="1"/>
  <c r="A37915" i="1"/>
  <c r="A37916" i="1"/>
  <c r="A37917" i="1"/>
  <c r="A37918" i="1"/>
  <c r="A37919" i="1"/>
  <c r="A37920" i="1"/>
  <c r="A37921" i="1"/>
  <c r="A37922" i="1"/>
  <c r="A37923" i="1"/>
  <c r="A37924" i="1"/>
  <c r="A37925" i="1"/>
  <c r="A37926" i="1"/>
  <c r="A37927" i="1"/>
  <c r="A37928" i="1"/>
  <c r="A37929" i="1"/>
  <c r="A37930" i="1"/>
  <c r="A37931" i="1"/>
  <c r="A37932" i="1"/>
  <c r="A37933" i="1"/>
  <c r="A37934" i="1"/>
  <c r="A37935" i="1"/>
  <c r="A37936" i="1"/>
  <c r="A37937" i="1"/>
  <c r="A37938" i="1"/>
  <c r="A37939" i="1"/>
  <c r="A37940" i="1"/>
  <c r="A37941" i="1"/>
  <c r="A37942" i="1"/>
  <c r="A37943" i="1"/>
  <c r="A37944" i="1"/>
  <c r="A37945" i="1"/>
  <c r="A37946" i="1"/>
  <c r="A37947" i="1"/>
  <c r="A37948" i="1"/>
  <c r="A37949" i="1"/>
  <c r="A37950" i="1"/>
  <c r="A37951" i="1"/>
  <c r="A37952" i="1"/>
  <c r="A37953" i="1"/>
  <c r="A37954" i="1"/>
  <c r="A37955" i="1"/>
  <c r="A37956" i="1"/>
  <c r="A37957" i="1"/>
  <c r="A37958" i="1"/>
  <c r="A37959" i="1"/>
  <c r="A37960" i="1"/>
  <c r="A37961" i="1"/>
  <c r="A37962" i="1"/>
  <c r="A37963" i="1"/>
  <c r="A37964" i="1"/>
  <c r="A37965" i="1"/>
  <c r="A37966" i="1"/>
  <c r="A37967" i="1"/>
  <c r="A37968" i="1"/>
  <c r="A37969" i="1"/>
  <c r="A37970" i="1"/>
  <c r="A37971" i="1"/>
  <c r="A37972" i="1"/>
  <c r="A37973" i="1"/>
  <c r="A37974" i="1"/>
  <c r="A37975" i="1"/>
  <c r="A37976" i="1"/>
  <c r="A37977" i="1"/>
  <c r="A37978" i="1"/>
  <c r="A37979" i="1"/>
  <c r="A37980" i="1"/>
  <c r="A37981" i="1"/>
  <c r="A37982" i="1"/>
  <c r="A37983" i="1"/>
  <c r="A37984" i="1"/>
  <c r="A37985" i="1"/>
  <c r="A37986" i="1"/>
  <c r="A37987" i="1"/>
  <c r="A37988" i="1"/>
  <c r="A37989" i="1"/>
  <c r="A37990" i="1"/>
  <c r="A37991" i="1"/>
  <c r="A37992" i="1"/>
  <c r="A37993" i="1"/>
  <c r="A37994" i="1"/>
  <c r="A37995" i="1"/>
  <c r="A37996" i="1"/>
  <c r="A37997" i="1"/>
  <c r="A37998" i="1"/>
  <c r="A37999" i="1"/>
  <c r="A38000" i="1"/>
  <c r="A38001" i="1"/>
  <c r="A38002" i="1"/>
  <c r="A38003" i="1"/>
  <c r="A38004" i="1"/>
  <c r="A38005" i="1"/>
  <c r="A38006" i="1"/>
  <c r="A38007" i="1"/>
  <c r="A38008" i="1"/>
  <c r="A38009" i="1"/>
  <c r="A38010" i="1"/>
  <c r="A38011" i="1"/>
  <c r="A38012" i="1"/>
  <c r="A38013" i="1"/>
  <c r="A38014" i="1"/>
  <c r="A38015" i="1"/>
  <c r="A38016" i="1"/>
  <c r="A38017" i="1"/>
  <c r="A38018" i="1"/>
  <c r="A38019" i="1"/>
  <c r="A38020" i="1"/>
  <c r="A38021" i="1"/>
  <c r="A38022" i="1"/>
  <c r="A38023" i="1"/>
  <c r="A38024" i="1"/>
  <c r="A38025" i="1"/>
  <c r="A38026" i="1"/>
  <c r="A38027" i="1"/>
  <c r="A38028" i="1"/>
  <c r="A38029" i="1"/>
  <c r="A38030" i="1"/>
  <c r="A38031" i="1"/>
  <c r="A38032" i="1"/>
  <c r="A38033" i="1"/>
  <c r="A38034" i="1"/>
  <c r="A38035" i="1"/>
  <c r="A38036" i="1"/>
  <c r="A38037" i="1"/>
  <c r="A38038" i="1"/>
  <c r="A38039" i="1"/>
  <c r="A38040" i="1"/>
  <c r="A38041" i="1"/>
  <c r="A38042" i="1"/>
  <c r="A38043" i="1"/>
  <c r="A38044" i="1"/>
  <c r="A38045" i="1"/>
  <c r="A38046" i="1"/>
  <c r="A38047" i="1"/>
  <c r="A38048" i="1"/>
  <c r="A38049" i="1"/>
  <c r="A38050" i="1"/>
  <c r="A38051" i="1"/>
  <c r="A38052" i="1"/>
  <c r="A38053" i="1"/>
  <c r="A38054" i="1"/>
  <c r="A38055" i="1"/>
  <c r="A38056" i="1"/>
  <c r="A38057" i="1"/>
  <c r="A38058" i="1"/>
  <c r="A38059" i="1"/>
  <c r="A38060" i="1"/>
  <c r="A38061" i="1"/>
  <c r="A38062" i="1"/>
  <c r="A38063" i="1"/>
  <c r="A38064" i="1"/>
  <c r="A38065" i="1"/>
  <c r="A38066" i="1"/>
  <c r="A38067" i="1"/>
  <c r="A38068" i="1"/>
  <c r="A38069" i="1"/>
  <c r="A38070" i="1"/>
  <c r="A38071" i="1"/>
  <c r="A38072" i="1"/>
  <c r="A38073" i="1"/>
  <c r="A38074" i="1"/>
  <c r="A38075" i="1"/>
  <c r="A38076" i="1"/>
  <c r="A38077" i="1"/>
  <c r="A38078" i="1"/>
  <c r="A38079" i="1"/>
  <c r="A38080" i="1"/>
  <c r="A38081" i="1"/>
  <c r="A38082" i="1"/>
  <c r="A38083" i="1"/>
  <c r="A38084" i="1"/>
  <c r="A38085" i="1"/>
  <c r="A38086" i="1"/>
  <c r="A38087" i="1"/>
  <c r="A38088" i="1"/>
  <c r="A38089" i="1"/>
  <c r="A38090" i="1"/>
  <c r="A38091" i="1"/>
  <c r="A38092" i="1"/>
  <c r="A38093" i="1"/>
  <c r="A38094" i="1"/>
  <c r="A38095" i="1"/>
  <c r="A38096" i="1"/>
  <c r="A38097" i="1"/>
  <c r="A38098" i="1"/>
  <c r="A38099" i="1"/>
  <c r="A38100" i="1"/>
  <c r="A38101" i="1"/>
  <c r="A38102" i="1"/>
  <c r="A38103" i="1"/>
  <c r="A38104" i="1"/>
  <c r="A38105" i="1"/>
  <c r="A38106" i="1"/>
  <c r="A38107" i="1"/>
  <c r="A38108" i="1"/>
  <c r="A38109" i="1"/>
  <c r="A38110" i="1"/>
  <c r="A38111" i="1"/>
  <c r="A38112" i="1"/>
  <c r="A38113" i="1"/>
  <c r="A38114" i="1"/>
  <c r="A38115" i="1"/>
  <c r="A38116" i="1"/>
  <c r="A38117" i="1"/>
  <c r="A38118" i="1"/>
  <c r="A38119" i="1"/>
  <c r="A38120" i="1"/>
  <c r="A38121" i="1"/>
  <c r="A38122" i="1"/>
  <c r="A38123" i="1"/>
  <c r="A38124" i="1"/>
  <c r="A38125" i="1"/>
  <c r="A38126" i="1"/>
  <c r="A38127" i="1"/>
  <c r="A38128" i="1"/>
  <c r="A38129" i="1"/>
  <c r="A38130" i="1"/>
  <c r="A38131" i="1"/>
  <c r="A38132" i="1"/>
  <c r="A38133" i="1"/>
  <c r="A38134" i="1"/>
  <c r="A38135" i="1"/>
  <c r="A38136" i="1"/>
  <c r="A38137" i="1"/>
  <c r="A38138" i="1"/>
  <c r="A38139" i="1"/>
  <c r="A38140" i="1"/>
  <c r="A38141" i="1"/>
  <c r="A38142" i="1"/>
  <c r="A38143" i="1"/>
  <c r="A38144" i="1"/>
  <c r="A38145" i="1"/>
  <c r="A38146" i="1"/>
  <c r="A38147" i="1"/>
  <c r="A38148" i="1"/>
  <c r="A38149" i="1"/>
  <c r="A38150" i="1"/>
  <c r="A38151" i="1"/>
  <c r="A38152" i="1"/>
  <c r="A38153" i="1"/>
  <c r="A38154" i="1"/>
  <c r="A38155" i="1"/>
  <c r="A38156" i="1"/>
  <c r="A38157" i="1"/>
  <c r="A38158" i="1"/>
  <c r="A38159" i="1"/>
  <c r="A38160" i="1"/>
  <c r="A38161" i="1"/>
  <c r="A38162" i="1"/>
  <c r="A38163" i="1"/>
  <c r="A38164" i="1"/>
  <c r="A38165" i="1"/>
  <c r="A38166" i="1"/>
  <c r="A38167" i="1"/>
  <c r="A38168" i="1"/>
  <c r="A38169" i="1"/>
  <c r="A38170" i="1"/>
  <c r="A38171" i="1"/>
  <c r="A38172" i="1"/>
  <c r="A38173" i="1"/>
  <c r="A38174" i="1"/>
  <c r="A38175" i="1"/>
  <c r="A38176" i="1"/>
  <c r="A38177" i="1"/>
  <c r="A38178" i="1"/>
  <c r="A38179" i="1"/>
  <c r="A38180" i="1"/>
  <c r="A38181" i="1"/>
  <c r="A38182" i="1"/>
  <c r="A38183" i="1"/>
  <c r="A38184" i="1"/>
  <c r="A38185" i="1"/>
  <c r="A38186" i="1"/>
  <c r="A38187" i="1"/>
  <c r="A38188" i="1"/>
  <c r="A38189" i="1"/>
  <c r="A38190" i="1"/>
  <c r="A38191" i="1"/>
  <c r="A38192" i="1"/>
  <c r="A38193" i="1"/>
  <c r="A38194" i="1"/>
  <c r="A38195" i="1"/>
  <c r="A38196" i="1"/>
  <c r="A38197" i="1"/>
  <c r="A38198" i="1"/>
  <c r="A38199" i="1"/>
  <c r="A38200" i="1"/>
  <c r="A38201" i="1"/>
  <c r="A38202" i="1"/>
  <c r="A38203" i="1"/>
  <c r="A38204" i="1"/>
  <c r="A38205" i="1"/>
  <c r="A38206" i="1"/>
  <c r="A38207" i="1"/>
  <c r="A38208" i="1"/>
  <c r="A38209" i="1"/>
  <c r="A38210" i="1"/>
  <c r="A38211" i="1"/>
  <c r="A38212" i="1"/>
  <c r="A38213" i="1"/>
  <c r="A38214" i="1"/>
  <c r="A38215" i="1"/>
  <c r="A38216" i="1"/>
  <c r="A38217" i="1"/>
  <c r="A38218" i="1"/>
  <c r="A38219" i="1"/>
  <c r="A38220" i="1"/>
  <c r="A38221" i="1"/>
  <c r="A38222" i="1"/>
  <c r="A38223" i="1"/>
  <c r="A38224" i="1"/>
  <c r="A38225" i="1"/>
  <c r="A38226" i="1"/>
  <c r="A38227" i="1"/>
  <c r="A38228" i="1"/>
  <c r="A38229" i="1"/>
  <c r="A38230" i="1"/>
  <c r="A38231" i="1"/>
  <c r="A38232" i="1"/>
  <c r="A38233" i="1"/>
  <c r="A38234" i="1"/>
  <c r="A38235" i="1"/>
  <c r="A38236" i="1"/>
  <c r="A38237" i="1"/>
  <c r="A38238" i="1"/>
  <c r="A38239" i="1"/>
  <c r="A38240" i="1"/>
  <c r="A38241" i="1"/>
  <c r="A38242" i="1"/>
  <c r="A38243" i="1"/>
  <c r="A38244" i="1"/>
  <c r="A38245" i="1"/>
  <c r="A38246" i="1"/>
  <c r="A38247" i="1"/>
  <c r="A38248" i="1"/>
  <c r="A38249" i="1"/>
  <c r="A38250" i="1"/>
  <c r="A38251" i="1"/>
  <c r="A38252" i="1"/>
  <c r="A38253" i="1"/>
  <c r="A38254" i="1"/>
  <c r="A38255" i="1"/>
  <c r="A38256" i="1"/>
  <c r="A38257" i="1"/>
  <c r="A38258" i="1"/>
  <c r="A38259" i="1"/>
  <c r="A38260" i="1"/>
  <c r="A38261" i="1"/>
  <c r="A38262" i="1"/>
  <c r="A38263" i="1"/>
  <c r="A38264" i="1"/>
  <c r="A38265" i="1"/>
  <c r="A38266" i="1"/>
  <c r="A38267" i="1"/>
  <c r="A38268" i="1"/>
  <c r="A38269" i="1"/>
  <c r="A38270" i="1"/>
  <c r="A38271" i="1"/>
  <c r="A38272" i="1"/>
  <c r="A38273" i="1"/>
  <c r="A38274" i="1"/>
  <c r="A38275" i="1"/>
  <c r="A38276" i="1"/>
  <c r="A38277" i="1"/>
  <c r="A38278" i="1"/>
  <c r="A38279" i="1"/>
  <c r="A38280" i="1"/>
  <c r="A38281" i="1"/>
  <c r="A38282" i="1"/>
  <c r="A38283" i="1"/>
  <c r="A38284" i="1"/>
  <c r="A38285" i="1"/>
  <c r="A38286" i="1"/>
  <c r="A38287" i="1"/>
  <c r="A38288" i="1"/>
  <c r="A38289" i="1"/>
  <c r="A38290" i="1"/>
  <c r="A38291" i="1"/>
  <c r="A38292" i="1"/>
  <c r="A38293" i="1"/>
  <c r="A38294" i="1"/>
  <c r="A38295" i="1"/>
  <c r="A38296" i="1"/>
  <c r="A38297" i="1"/>
  <c r="A38298" i="1"/>
  <c r="A38299" i="1"/>
  <c r="A38300" i="1"/>
  <c r="A38301" i="1"/>
  <c r="A38302" i="1"/>
  <c r="A38303" i="1"/>
  <c r="A38304" i="1"/>
  <c r="A38305" i="1"/>
  <c r="A38306" i="1"/>
  <c r="A38307" i="1"/>
  <c r="A38308" i="1"/>
  <c r="A38309" i="1"/>
  <c r="A38310" i="1"/>
  <c r="A38311" i="1"/>
  <c r="A38312" i="1"/>
  <c r="A38313" i="1"/>
  <c r="A38314" i="1"/>
  <c r="A38315" i="1"/>
  <c r="A38316" i="1"/>
  <c r="A38317" i="1"/>
  <c r="A38318" i="1"/>
  <c r="A38319" i="1"/>
  <c r="A38320" i="1"/>
  <c r="A38321" i="1"/>
  <c r="A38322" i="1"/>
  <c r="A38323" i="1"/>
  <c r="A38324" i="1"/>
  <c r="A38325" i="1"/>
  <c r="A38326" i="1"/>
  <c r="A38327" i="1"/>
  <c r="A38328" i="1"/>
  <c r="A38329" i="1"/>
  <c r="A38330" i="1"/>
  <c r="A38331" i="1"/>
  <c r="A38332" i="1"/>
  <c r="A38333" i="1"/>
  <c r="A38334" i="1"/>
  <c r="A38335" i="1"/>
  <c r="A38336" i="1"/>
  <c r="A38337" i="1"/>
  <c r="A38338" i="1"/>
  <c r="A38339" i="1"/>
  <c r="A38340" i="1"/>
  <c r="A38341" i="1"/>
  <c r="A38342" i="1"/>
  <c r="A38343" i="1"/>
  <c r="A38344" i="1"/>
  <c r="A38345" i="1"/>
  <c r="A38346" i="1"/>
  <c r="A38347" i="1"/>
  <c r="A38348" i="1"/>
  <c r="A38349" i="1"/>
  <c r="A38350" i="1"/>
  <c r="A38351" i="1"/>
  <c r="A38352" i="1"/>
  <c r="A38353" i="1"/>
  <c r="A38354" i="1"/>
  <c r="A38355" i="1"/>
  <c r="A38356" i="1"/>
  <c r="A38357" i="1"/>
  <c r="A38358" i="1"/>
  <c r="A38359" i="1"/>
  <c r="A38360" i="1"/>
  <c r="A38361" i="1"/>
  <c r="A38362" i="1"/>
  <c r="A38363" i="1"/>
  <c r="A38364" i="1"/>
  <c r="A38365" i="1"/>
  <c r="A38366" i="1"/>
  <c r="A38367" i="1"/>
  <c r="A38368" i="1"/>
  <c r="A38369" i="1"/>
  <c r="A38370" i="1"/>
  <c r="A38371" i="1"/>
  <c r="A38372" i="1"/>
  <c r="A38373" i="1"/>
  <c r="A38374" i="1"/>
  <c r="A38375" i="1"/>
  <c r="A38376" i="1"/>
  <c r="A38377" i="1"/>
  <c r="A38378" i="1"/>
  <c r="A38379" i="1"/>
  <c r="A38380" i="1"/>
  <c r="A38381" i="1"/>
  <c r="A38382" i="1"/>
  <c r="A38383" i="1"/>
  <c r="A38384" i="1"/>
  <c r="A38385" i="1"/>
  <c r="A38386" i="1"/>
  <c r="A38387" i="1"/>
  <c r="A38388" i="1"/>
  <c r="A38389" i="1"/>
  <c r="A38390" i="1"/>
  <c r="A38391" i="1"/>
  <c r="A38392" i="1"/>
  <c r="A38393" i="1"/>
  <c r="A38394" i="1"/>
  <c r="A38395" i="1"/>
  <c r="A38396" i="1"/>
  <c r="A38397" i="1"/>
  <c r="A38398" i="1"/>
  <c r="A38399" i="1"/>
  <c r="A38400" i="1"/>
  <c r="A38401" i="1"/>
  <c r="A38402" i="1"/>
  <c r="A38403" i="1"/>
  <c r="A38404" i="1"/>
  <c r="A38405" i="1"/>
  <c r="A38406" i="1"/>
  <c r="A38407" i="1"/>
  <c r="A38408" i="1"/>
  <c r="A38409" i="1"/>
  <c r="A38410" i="1"/>
  <c r="A38411" i="1"/>
  <c r="A38412" i="1"/>
  <c r="A38413" i="1"/>
  <c r="A38414" i="1"/>
  <c r="A38415" i="1"/>
  <c r="A38416" i="1"/>
  <c r="A38417" i="1"/>
  <c r="A38418" i="1"/>
  <c r="A38419" i="1"/>
  <c r="A38420" i="1"/>
  <c r="A38421" i="1"/>
  <c r="A38422" i="1"/>
  <c r="A38423" i="1"/>
  <c r="A38424" i="1"/>
  <c r="A38425" i="1"/>
  <c r="A38426" i="1"/>
  <c r="A38427" i="1"/>
  <c r="A38428" i="1"/>
  <c r="A38429" i="1"/>
  <c r="A38430" i="1"/>
  <c r="A38431" i="1"/>
  <c r="A38432" i="1"/>
  <c r="A38433" i="1"/>
  <c r="A38434" i="1"/>
  <c r="A38435" i="1"/>
  <c r="A38436" i="1"/>
  <c r="A38437" i="1"/>
  <c r="A38438" i="1"/>
  <c r="A38439" i="1"/>
  <c r="A38440" i="1"/>
  <c r="A38441" i="1"/>
  <c r="A38442" i="1"/>
  <c r="A38443" i="1"/>
  <c r="A38444" i="1"/>
  <c r="A38445" i="1"/>
  <c r="A38446" i="1"/>
  <c r="A38447" i="1"/>
  <c r="A38448" i="1"/>
  <c r="A38449" i="1"/>
  <c r="A38450" i="1"/>
  <c r="A38451" i="1"/>
  <c r="A38452" i="1"/>
  <c r="A38453" i="1"/>
  <c r="A38454" i="1"/>
  <c r="A38455" i="1"/>
  <c r="A38456" i="1"/>
  <c r="A38457" i="1"/>
  <c r="A38458" i="1"/>
  <c r="A38459" i="1"/>
  <c r="A38460" i="1"/>
  <c r="A38461" i="1"/>
  <c r="A38462" i="1"/>
  <c r="A38463" i="1"/>
  <c r="A38464" i="1"/>
  <c r="A38465" i="1"/>
  <c r="A38466" i="1"/>
  <c r="A38467" i="1"/>
  <c r="A38468" i="1"/>
  <c r="A38469" i="1"/>
  <c r="A38470" i="1"/>
  <c r="A38471" i="1"/>
  <c r="A38472" i="1"/>
  <c r="A38473" i="1"/>
  <c r="A38474" i="1"/>
  <c r="A38475" i="1"/>
  <c r="A38476" i="1"/>
  <c r="A38477" i="1"/>
  <c r="A38478" i="1"/>
  <c r="A38479" i="1"/>
  <c r="A38480" i="1"/>
  <c r="A38481" i="1"/>
  <c r="A38482" i="1"/>
  <c r="A38483" i="1"/>
  <c r="A38484" i="1"/>
  <c r="A38485" i="1"/>
  <c r="A38486" i="1"/>
  <c r="A38487" i="1"/>
  <c r="A38488" i="1"/>
  <c r="A38489" i="1"/>
  <c r="A38490" i="1"/>
  <c r="A38491" i="1"/>
  <c r="A38492" i="1"/>
  <c r="A38493" i="1"/>
  <c r="A38494" i="1"/>
  <c r="A38495" i="1"/>
  <c r="A38496" i="1"/>
  <c r="A38497" i="1"/>
  <c r="A38498" i="1"/>
  <c r="A38499" i="1"/>
  <c r="A38500" i="1"/>
  <c r="A38501" i="1"/>
  <c r="A38502" i="1"/>
  <c r="A38503" i="1"/>
  <c r="A38504" i="1"/>
  <c r="A38505" i="1"/>
  <c r="A38506" i="1"/>
  <c r="A38507" i="1"/>
  <c r="A38508" i="1"/>
  <c r="A38509" i="1"/>
  <c r="A38510" i="1"/>
  <c r="A38511" i="1"/>
  <c r="A38512" i="1"/>
  <c r="A38513" i="1"/>
  <c r="A38514" i="1"/>
  <c r="A38515" i="1"/>
  <c r="A38516" i="1"/>
  <c r="A38517" i="1"/>
  <c r="A38518" i="1"/>
  <c r="A38519" i="1"/>
  <c r="A38520" i="1"/>
  <c r="A38521" i="1"/>
  <c r="A38522" i="1"/>
  <c r="A38523" i="1"/>
  <c r="A38524" i="1"/>
  <c r="A38525" i="1"/>
  <c r="A38526" i="1"/>
  <c r="A38527" i="1"/>
  <c r="A38528" i="1"/>
  <c r="A38529" i="1"/>
  <c r="A38530" i="1"/>
  <c r="A38531" i="1"/>
  <c r="A38532" i="1"/>
  <c r="A38533" i="1"/>
  <c r="A38534" i="1"/>
  <c r="A38535" i="1"/>
  <c r="A38536" i="1"/>
  <c r="A38537" i="1"/>
  <c r="A38538" i="1"/>
  <c r="A38539" i="1"/>
  <c r="A38540" i="1"/>
  <c r="A38541" i="1"/>
  <c r="A38542" i="1"/>
  <c r="A38543" i="1"/>
  <c r="A38544" i="1"/>
  <c r="A38545" i="1"/>
  <c r="A38546" i="1"/>
  <c r="A38547" i="1"/>
  <c r="A38548" i="1"/>
  <c r="A38549" i="1"/>
  <c r="A38550" i="1"/>
  <c r="A38551" i="1"/>
  <c r="A38552" i="1"/>
  <c r="A38553" i="1"/>
  <c r="A38554" i="1"/>
  <c r="A38555" i="1"/>
  <c r="A38556" i="1"/>
  <c r="A38557" i="1"/>
  <c r="A38558" i="1"/>
  <c r="A38559" i="1"/>
  <c r="A38560" i="1"/>
  <c r="A38561" i="1"/>
  <c r="A38562" i="1"/>
  <c r="A38563" i="1"/>
  <c r="A38564" i="1"/>
  <c r="A38565" i="1"/>
  <c r="A38566" i="1"/>
  <c r="A38567" i="1"/>
  <c r="A38568" i="1"/>
  <c r="A38569" i="1"/>
  <c r="A38570" i="1"/>
  <c r="A38571" i="1"/>
  <c r="A38572" i="1"/>
  <c r="A38573" i="1"/>
  <c r="A38574" i="1"/>
  <c r="A38575" i="1"/>
  <c r="A38576" i="1"/>
  <c r="A38577" i="1"/>
  <c r="A38578" i="1"/>
  <c r="A38579" i="1"/>
  <c r="A38580" i="1"/>
  <c r="A38581" i="1"/>
  <c r="A38582" i="1"/>
  <c r="A38583" i="1"/>
  <c r="A38584" i="1"/>
  <c r="A38585" i="1"/>
  <c r="A38586" i="1"/>
  <c r="A38587" i="1"/>
  <c r="A38588" i="1"/>
  <c r="A38589" i="1"/>
  <c r="A38590" i="1"/>
  <c r="A38591" i="1"/>
  <c r="A38592" i="1"/>
  <c r="A38593" i="1"/>
  <c r="A38594" i="1"/>
  <c r="A38595" i="1"/>
  <c r="A38596" i="1"/>
  <c r="A38597" i="1"/>
  <c r="A38598" i="1"/>
  <c r="A38599" i="1"/>
  <c r="A38600" i="1"/>
  <c r="A38601" i="1"/>
  <c r="A38602" i="1"/>
  <c r="A38603" i="1"/>
  <c r="A38604" i="1"/>
  <c r="A38605" i="1"/>
  <c r="A38606" i="1"/>
  <c r="A38607" i="1"/>
  <c r="A38608" i="1"/>
  <c r="A38609" i="1"/>
  <c r="A38610" i="1"/>
  <c r="A38611" i="1"/>
  <c r="A38612" i="1"/>
  <c r="A38613" i="1"/>
  <c r="A38614" i="1"/>
  <c r="A38615" i="1"/>
  <c r="A38616" i="1"/>
  <c r="A38617" i="1"/>
  <c r="A38618" i="1"/>
  <c r="A38619" i="1"/>
  <c r="A38620" i="1"/>
  <c r="A38621" i="1"/>
  <c r="A38622" i="1"/>
  <c r="A38623" i="1"/>
  <c r="A38624" i="1"/>
  <c r="A38625" i="1"/>
  <c r="A38626" i="1"/>
  <c r="A38627" i="1"/>
  <c r="A38628" i="1"/>
  <c r="A38629" i="1"/>
  <c r="A38630" i="1"/>
  <c r="A38631" i="1"/>
  <c r="A38632" i="1"/>
  <c r="A38633" i="1"/>
  <c r="A38634" i="1"/>
  <c r="A38635" i="1"/>
  <c r="A38636" i="1"/>
  <c r="A38637" i="1"/>
  <c r="A38638" i="1"/>
  <c r="A38639" i="1"/>
  <c r="A38640" i="1"/>
  <c r="A38641" i="1"/>
  <c r="A38642" i="1"/>
  <c r="A38643" i="1"/>
  <c r="A38644" i="1"/>
  <c r="A38645" i="1"/>
  <c r="A38646" i="1"/>
  <c r="A38647" i="1"/>
  <c r="A38648" i="1"/>
  <c r="A38649" i="1"/>
  <c r="A38650" i="1"/>
  <c r="A38651" i="1"/>
  <c r="A38652" i="1"/>
  <c r="A38653" i="1"/>
  <c r="A38654" i="1"/>
  <c r="A38655" i="1"/>
  <c r="A38656" i="1"/>
  <c r="A38657" i="1"/>
  <c r="A38658" i="1"/>
  <c r="A38659" i="1"/>
  <c r="A38660" i="1"/>
  <c r="A38661" i="1"/>
  <c r="A38662" i="1"/>
  <c r="A38663" i="1"/>
  <c r="A38664" i="1"/>
  <c r="A38665" i="1"/>
  <c r="A38666" i="1"/>
  <c r="A38667" i="1"/>
  <c r="A38668" i="1"/>
  <c r="A38669" i="1"/>
  <c r="A38670" i="1"/>
  <c r="A38671" i="1"/>
  <c r="A38672" i="1"/>
  <c r="A38673" i="1"/>
  <c r="A38674" i="1"/>
  <c r="A38675" i="1"/>
  <c r="A38676" i="1"/>
  <c r="A38677" i="1"/>
  <c r="A38678" i="1"/>
  <c r="A38679" i="1"/>
  <c r="A38680" i="1"/>
  <c r="A38681" i="1"/>
  <c r="A38682" i="1"/>
  <c r="A38683" i="1"/>
  <c r="A38684" i="1"/>
  <c r="A38685" i="1"/>
  <c r="A38686" i="1"/>
  <c r="A38687" i="1"/>
  <c r="A38688" i="1"/>
  <c r="A38689" i="1"/>
  <c r="A38690" i="1"/>
  <c r="A38691" i="1"/>
  <c r="A38692" i="1"/>
  <c r="A38693" i="1"/>
  <c r="A38694" i="1"/>
  <c r="A38695" i="1"/>
  <c r="A38696" i="1"/>
  <c r="A38697" i="1"/>
  <c r="A38698" i="1"/>
  <c r="A38699" i="1"/>
  <c r="A38700" i="1"/>
  <c r="A38701" i="1"/>
  <c r="A38702" i="1"/>
  <c r="A38703" i="1"/>
  <c r="A38704" i="1"/>
  <c r="A38705" i="1"/>
  <c r="A38706" i="1"/>
  <c r="A38707" i="1"/>
  <c r="A38708" i="1"/>
  <c r="A38709" i="1"/>
  <c r="A38710" i="1"/>
  <c r="A38711" i="1"/>
  <c r="A38712" i="1"/>
  <c r="A38713" i="1"/>
  <c r="A38714" i="1"/>
  <c r="A38715" i="1"/>
  <c r="A38716" i="1"/>
  <c r="A38717" i="1"/>
  <c r="A38718" i="1"/>
  <c r="A38719" i="1"/>
  <c r="A38720" i="1"/>
  <c r="A38721" i="1"/>
  <c r="A38722" i="1"/>
  <c r="A38723" i="1"/>
  <c r="A38724" i="1"/>
  <c r="A38725" i="1"/>
  <c r="A38726" i="1"/>
  <c r="A38727" i="1"/>
  <c r="A38728" i="1"/>
  <c r="A38729" i="1"/>
  <c r="A38730" i="1"/>
  <c r="A38731" i="1"/>
  <c r="A38732" i="1"/>
  <c r="A38733" i="1"/>
  <c r="A38734" i="1"/>
  <c r="A38735" i="1"/>
  <c r="A38736" i="1"/>
  <c r="A38737" i="1"/>
  <c r="A38738" i="1"/>
  <c r="A38739" i="1"/>
  <c r="A38740" i="1"/>
  <c r="A38741" i="1"/>
  <c r="A38742" i="1"/>
  <c r="A38743" i="1"/>
  <c r="A38744" i="1"/>
  <c r="A38745" i="1"/>
  <c r="A38746" i="1"/>
  <c r="A38747" i="1"/>
  <c r="A38748" i="1"/>
  <c r="A38749" i="1"/>
  <c r="A38750" i="1"/>
  <c r="A38751" i="1"/>
  <c r="A38752" i="1"/>
  <c r="A38753" i="1"/>
  <c r="A38754" i="1"/>
  <c r="A38755" i="1"/>
  <c r="A38756" i="1"/>
  <c r="A38757" i="1"/>
  <c r="A38758" i="1"/>
  <c r="A38759" i="1"/>
  <c r="A38760" i="1"/>
  <c r="A38761" i="1"/>
  <c r="A38762" i="1"/>
  <c r="A38763" i="1"/>
  <c r="A38764" i="1"/>
  <c r="A38765" i="1"/>
  <c r="A38766" i="1"/>
  <c r="A38767" i="1"/>
  <c r="A38768" i="1"/>
  <c r="A38769" i="1"/>
  <c r="A38770" i="1"/>
  <c r="A38771" i="1"/>
  <c r="A38772" i="1"/>
  <c r="A38773" i="1"/>
  <c r="A38774" i="1"/>
  <c r="A38775" i="1"/>
  <c r="A38776" i="1"/>
  <c r="A38777" i="1"/>
  <c r="A38778" i="1"/>
  <c r="A38779" i="1"/>
  <c r="A38780" i="1"/>
  <c r="A38781" i="1"/>
  <c r="A38782" i="1"/>
  <c r="A38783" i="1"/>
  <c r="A38784" i="1"/>
  <c r="A38785" i="1"/>
  <c r="A38786" i="1"/>
  <c r="A38787" i="1"/>
  <c r="A38788" i="1"/>
  <c r="A38789" i="1"/>
  <c r="A38790" i="1"/>
  <c r="A38791" i="1"/>
  <c r="A38792" i="1"/>
  <c r="A38793" i="1"/>
  <c r="A38794" i="1"/>
  <c r="A38795" i="1"/>
  <c r="A38796" i="1"/>
  <c r="A38797" i="1"/>
  <c r="A38798" i="1"/>
  <c r="A38799" i="1"/>
  <c r="A38800" i="1"/>
  <c r="A38801" i="1"/>
  <c r="A38802" i="1"/>
  <c r="A38803" i="1"/>
  <c r="A38804" i="1"/>
  <c r="A38805" i="1"/>
  <c r="A38806" i="1"/>
  <c r="A38807" i="1"/>
  <c r="A38808" i="1"/>
  <c r="A38809" i="1"/>
  <c r="A38810" i="1"/>
  <c r="A38811" i="1"/>
  <c r="A38812" i="1"/>
  <c r="A38813" i="1"/>
  <c r="A38814" i="1"/>
  <c r="A38815" i="1"/>
  <c r="A38816" i="1"/>
  <c r="A38817" i="1"/>
  <c r="A38818" i="1"/>
  <c r="A38819" i="1"/>
  <c r="A38820" i="1"/>
  <c r="A38821" i="1"/>
  <c r="A38822" i="1"/>
  <c r="A38823" i="1"/>
  <c r="A38824" i="1"/>
  <c r="A38825" i="1"/>
  <c r="A38826" i="1"/>
  <c r="A38827" i="1"/>
  <c r="A38828" i="1"/>
  <c r="A38829" i="1"/>
  <c r="A38830" i="1"/>
  <c r="A38831" i="1"/>
  <c r="A38832" i="1"/>
  <c r="A38833" i="1"/>
  <c r="A38834" i="1"/>
  <c r="A38835" i="1"/>
  <c r="A38836" i="1"/>
  <c r="A38837" i="1"/>
  <c r="A38838" i="1"/>
  <c r="A38839" i="1"/>
  <c r="A38840" i="1"/>
  <c r="A38841" i="1"/>
  <c r="A38842" i="1"/>
  <c r="A38843" i="1"/>
  <c r="A38844" i="1"/>
  <c r="A38845" i="1"/>
  <c r="A38846" i="1"/>
  <c r="A38847" i="1"/>
  <c r="A38848" i="1"/>
  <c r="A38849" i="1"/>
  <c r="A38850" i="1"/>
  <c r="A38851" i="1"/>
  <c r="A38852" i="1"/>
  <c r="A38853" i="1"/>
  <c r="A38854" i="1"/>
  <c r="A38855" i="1"/>
  <c r="A38856" i="1"/>
  <c r="A38857" i="1"/>
  <c r="A38858" i="1"/>
  <c r="A38859" i="1"/>
  <c r="A38860" i="1"/>
  <c r="A38861" i="1"/>
  <c r="A38862" i="1"/>
  <c r="A38863" i="1"/>
  <c r="A38864" i="1"/>
  <c r="A38865" i="1"/>
  <c r="A38866" i="1"/>
  <c r="A38867" i="1"/>
  <c r="A38868" i="1"/>
  <c r="A38869" i="1"/>
  <c r="A38870" i="1"/>
  <c r="A38871" i="1"/>
  <c r="A38872" i="1"/>
  <c r="A38873" i="1"/>
  <c r="A38874" i="1"/>
  <c r="A38875" i="1"/>
  <c r="A38876" i="1"/>
  <c r="A38877" i="1"/>
  <c r="A38878" i="1"/>
  <c r="A38879" i="1"/>
  <c r="A38880" i="1"/>
  <c r="A38881" i="1"/>
  <c r="A38882" i="1"/>
  <c r="A38883" i="1"/>
  <c r="A38884" i="1"/>
  <c r="A38885" i="1"/>
  <c r="A38886" i="1"/>
  <c r="A38887" i="1"/>
  <c r="A38888" i="1"/>
  <c r="A38889" i="1"/>
  <c r="A38890" i="1"/>
  <c r="A38891" i="1"/>
  <c r="A38892" i="1"/>
  <c r="A38893" i="1"/>
  <c r="A38894" i="1"/>
  <c r="A38895" i="1"/>
  <c r="A38896" i="1"/>
  <c r="A38897" i="1"/>
  <c r="A38898" i="1"/>
  <c r="A38899" i="1"/>
  <c r="A38900" i="1"/>
  <c r="A38901" i="1"/>
  <c r="A38902" i="1"/>
  <c r="A38903" i="1"/>
  <c r="A38904" i="1"/>
  <c r="A38905" i="1"/>
  <c r="A38906" i="1"/>
  <c r="A38907" i="1"/>
  <c r="A38908" i="1"/>
  <c r="A38909" i="1"/>
  <c r="A38910" i="1"/>
  <c r="A38911" i="1"/>
  <c r="A38912" i="1"/>
  <c r="A38913" i="1"/>
  <c r="A38914" i="1"/>
  <c r="A38915" i="1"/>
  <c r="A38916" i="1"/>
  <c r="A38917" i="1"/>
  <c r="A38918" i="1"/>
  <c r="A38919" i="1"/>
  <c r="A38920" i="1"/>
  <c r="A38921" i="1"/>
  <c r="A38922" i="1"/>
  <c r="A38923" i="1"/>
  <c r="A38924" i="1"/>
  <c r="A38925" i="1"/>
  <c r="A38926" i="1"/>
  <c r="A38927" i="1"/>
  <c r="A38928" i="1"/>
  <c r="A38929" i="1"/>
  <c r="A38930" i="1"/>
  <c r="A38931" i="1"/>
  <c r="A38932" i="1"/>
  <c r="A38933" i="1"/>
  <c r="A38934" i="1"/>
  <c r="A38935" i="1"/>
  <c r="A38936" i="1"/>
  <c r="A38937" i="1"/>
  <c r="A38938" i="1"/>
  <c r="A38939" i="1"/>
  <c r="A38940" i="1"/>
  <c r="A38941" i="1"/>
  <c r="A38942" i="1"/>
  <c r="A38943" i="1"/>
  <c r="A38944" i="1"/>
  <c r="A38945" i="1"/>
  <c r="A38946" i="1"/>
  <c r="A38947" i="1"/>
  <c r="A38948" i="1"/>
  <c r="A38949" i="1"/>
  <c r="A38950" i="1"/>
  <c r="A38951" i="1"/>
  <c r="A38952" i="1"/>
  <c r="A38953" i="1"/>
  <c r="A38954" i="1"/>
  <c r="A38955" i="1"/>
  <c r="A38956" i="1"/>
  <c r="A38957" i="1"/>
  <c r="A38958" i="1"/>
  <c r="A38959" i="1"/>
  <c r="A38960" i="1"/>
  <c r="A38961" i="1"/>
  <c r="A38962" i="1"/>
  <c r="A38963" i="1"/>
  <c r="A38964" i="1"/>
  <c r="A38965" i="1"/>
  <c r="A38966" i="1"/>
  <c r="A38967" i="1"/>
  <c r="A38968" i="1"/>
  <c r="A38969" i="1"/>
  <c r="A38970" i="1"/>
  <c r="A38971" i="1"/>
  <c r="A38972" i="1"/>
  <c r="A38973" i="1"/>
  <c r="A38974" i="1"/>
  <c r="A38975" i="1"/>
  <c r="A38976" i="1"/>
  <c r="A38977" i="1"/>
  <c r="A38978" i="1"/>
  <c r="A38979" i="1"/>
  <c r="A38980" i="1"/>
  <c r="A38981" i="1"/>
  <c r="A38982" i="1"/>
  <c r="A38983" i="1"/>
  <c r="A38984" i="1"/>
  <c r="A38985" i="1"/>
  <c r="A38986" i="1"/>
  <c r="A38987" i="1"/>
  <c r="A38988" i="1"/>
  <c r="A38989" i="1"/>
  <c r="A38990" i="1"/>
  <c r="A38991" i="1"/>
  <c r="A38992" i="1"/>
  <c r="A38993" i="1"/>
  <c r="A38994" i="1"/>
  <c r="A38995" i="1"/>
  <c r="A38996" i="1"/>
  <c r="A38997" i="1"/>
  <c r="A38998" i="1"/>
  <c r="A38999" i="1"/>
  <c r="A39000" i="1"/>
  <c r="A39001" i="1"/>
  <c r="A39002" i="1"/>
  <c r="A39003" i="1"/>
  <c r="A39004" i="1"/>
  <c r="A39005" i="1"/>
  <c r="A39006" i="1"/>
  <c r="A39007" i="1"/>
  <c r="A39008" i="1"/>
  <c r="A39009" i="1"/>
  <c r="A39010" i="1"/>
  <c r="A39011" i="1"/>
  <c r="A39012" i="1"/>
  <c r="A39013" i="1"/>
  <c r="A39014" i="1"/>
  <c r="A39015" i="1"/>
  <c r="A39016" i="1"/>
  <c r="A39017" i="1"/>
  <c r="A39018" i="1"/>
  <c r="A39019" i="1"/>
  <c r="A39020" i="1"/>
  <c r="A39021" i="1"/>
  <c r="A39022" i="1"/>
  <c r="A39023" i="1"/>
  <c r="A39024" i="1"/>
  <c r="A39025" i="1"/>
  <c r="A39026" i="1"/>
  <c r="A39027" i="1"/>
  <c r="A39028" i="1"/>
  <c r="A39029" i="1"/>
  <c r="A39030" i="1"/>
  <c r="A39031" i="1"/>
  <c r="A39032" i="1"/>
  <c r="A39033" i="1"/>
  <c r="A39034" i="1"/>
  <c r="A39035" i="1"/>
  <c r="A39036" i="1"/>
  <c r="A39037" i="1"/>
  <c r="A39038" i="1"/>
  <c r="A39039" i="1"/>
  <c r="A39040" i="1"/>
  <c r="A39041" i="1"/>
  <c r="A39042" i="1"/>
  <c r="A39043" i="1"/>
  <c r="A39044" i="1"/>
  <c r="A39045" i="1"/>
  <c r="A39046" i="1"/>
  <c r="A39047" i="1"/>
  <c r="A39048" i="1"/>
  <c r="A39049" i="1"/>
  <c r="A39050" i="1"/>
  <c r="A39051" i="1"/>
  <c r="A39052" i="1"/>
  <c r="A39053" i="1"/>
  <c r="A39054" i="1"/>
  <c r="A39055" i="1"/>
  <c r="A39056" i="1"/>
  <c r="A39057" i="1"/>
  <c r="A39058" i="1"/>
  <c r="A39059" i="1"/>
  <c r="A39060" i="1"/>
  <c r="A39061" i="1"/>
  <c r="A39062" i="1"/>
  <c r="A39063" i="1"/>
  <c r="A39064" i="1"/>
  <c r="A39065" i="1"/>
  <c r="A39066" i="1"/>
  <c r="A39067" i="1"/>
  <c r="A39068" i="1"/>
  <c r="A39069" i="1"/>
  <c r="A39070" i="1"/>
  <c r="A39071" i="1"/>
  <c r="A39072" i="1"/>
  <c r="A39073" i="1"/>
  <c r="A39074" i="1"/>
  <c r="A39075" i="1"/>
  <c r="A39076" i="1"/>
  <c r="A39077" i="1"/>
  <c r="A39078" i="1"/>
  <c r="A39079" i="1"/>
  <c r="A39080" i="1"/>
  <c r="A39081" i="1"/>
  <c r="A39082" i="1"/>
  <c r="A39083" i="1"/>
  <c r="A39084" i="1"/>
  <c r="A39085" i="1"/>
  <c r="A39086" i="1"/>
  <c r="A39087" i="1"/>
  <c r="A39088" i="1"/>
  <c r="A39089" i="1"/>
  <c r="A39090" i="1"/>
  <c r="A39091" i="1"/>
  <c r="A39092" i="1"/>
  <c r="A39093" i="1"/>
  <c r="A39094" i="1"/>
  <c r="A39095" i="1"/>
  <c r="A39096" i="1"/>
  <c r="A39097" i="1"/>
  <c r="A39098" i="1"/>
  <c r="A39099" i="1"/>
  <c r="A39100" i="1"/>
  <c r="A39101" i="1"/>
  <c r="A39102" i="1"/>
  <c r="A39103" i="1"/>
  <c r="A39104" i="1"/>
  <c r="A39105" i="1"/>
  <c r="A39106" i="1"/>
  <c r="A39107" i="1"/>
  <c r="A39108" i="1"/>
  <c r="A39109" i="1"/>
  <c r="A39110" i="1"/>
  <c r="A39111" i="1"/>
  <c r="A39112" i="1"/>
  <c r="A39113" i="1"/>
  <c r="A39114" i="1"/>
  <c r="A39115" i="1"/>
  <c r="A39116" i="1"/>
  <c r="A39117" i="1"/>
  <c r="A39118" i="1"/>
  <c r="A39119" i="1"/>
  <c r="A39120" i="1"/>
  <c r="A39121" i="1"/>
  <c r="A39122" i="1"/>
  <c r="A39123" i="1"/>
  <c r="A39124" i="1"/>
  <c r="A39125" i="1"/>
  <c r="A39126" i="1"/>
  <c r="A39127" i="1"/>
  <c r="A39128" i="1"/>
  <c r="A39129" i="1"/>
  <c r="A39130" i="1"/>
  <c r="A39131" i="1"/>
  <c r="A39132" i="1"/>
  <c r="A39133" i="1"/>
  <c r="A39134" i="1"/>
  <c r="A39135" i="1"/>
  <c r="A39136" i="1"/>
  <c r="A39137" i="1"/>
  <c r="A39138" i="1"/>
  <c r="A39139" i="1"/>
  <c r="A39140" i="1"/>
  <c r="A39141" i="1"/>
  <c r="A39142" i="1"/>
  <c r="A39143" i="1"/>
  <c r="A39144" i="1"/>
  <c r="A39145" i="1"/>
  <c r="A39146" i="1"/>
  <c r="A39147" i="1"/>
  <c r="A39148" i="1"/>
  <c r="A39149" i="1"/>
  <c r="A39150" i="1"/>
  <c r="A39151" i="1"/>
  <c r="A39152" i="1"/>
  <c r="A39153" i="1"/>
  <c r="A39154" i="1"/>
  <c r="A39155" i="1"/>
  <c r="A39156" i="1"/>
  <c r="A39157" i="1"/>
  <c r="A39158" i="1"/>
  <c r="A39159" i="1"/>
  <c r="A39160" i="1"/>
  <c r="A39161" i="1"/>
  <c r="A39162" i="1"/>
  <c r="A39163" i="1"/>
  <c r="A39164" i="1"/>
  <c r="A39165" i="1"/>
  <c r="A39166" i="1"/>
  <c r="A39167" i="1"/>
  <c r="A39168" i="1"/>
  <c r="A39169" i="1"/>
  <c r="A39170" i="1"/>
  <c r="A39171" i="1"/>
  <c r="A39172" i="1"/>
  <c r="A39173" i="1"/>
  <c r="A39174" i="1"/>
  <c r="A39175" i="1"/>
  <c r="A39176" i="1"/>
  <c r="A39177" i="1"/>
  <c r="A39178" i="1"/>
  <c r="A39179" i="1"/>
  <c r="A39180" i="1"/>
  <c r="A39181" i="1"/>
  <c r="A39182" i="1"/>
  <c r="A39183" i="1"/>
  <c r="A39184" i="1"/>
  <c r="A39185" i="1"/>
  <c r="A39186" i="1"/>
  <c r="A39187" i="1"/>
  <c r="A39188" i="1"/>
  <c r="A39189" i="1"/>
  <c r="A39190" i="1"/>
  <c r="A39191" i="1"/>
  <c r="A39192" i="1"/>
  <c r="A39193" i="1"/>
  <c r="A39194" i="1"/>
  <c r="A39195" i="1"/>
  <c r="A39196" i="1"/>
  <c r="A39197" i="1"/>
  <c r="A39198" i="1"/>
  <c r="A39199" i="1"/>
  <c r="A39200" i="1"/>
  <c r="A39201" i="1"/>
  <c r="A39202" i="1"/>
  <c r="A39203" i="1"/>
  <c r="A39204" i="1"/>
  <c r="A39205" i="1"/>
  <c r="A39206" i="1"/>
  <c r="A39207" i="1"/>
  <c r="A39208" i="1"/>
  <c r="A39209" i="1"/>
  <c r="A39210" i="1"/>
  <c r="A39211" i="1"/>
  <c r="A39212" i="1"/>
  <c r="A39213" i="1"/>
  <c r="A39214" i="1"/>
  <c r="A39215" i="1"/>
  <c r="A39216" i="1"/>
  <c r="A39217" i="1"/>
  <c r="A39218" i="1"/>
  <c r="A39219" i="1"/>
  <c r="A39220" i="1"/>
  <c r="A39221" i="1"/>
  <c r="A39222" i="1"/>
  <c r="A39223" i="1"/>
  <c r="A39224" i="1"/>
  <c r="A39225" i="1"/>
  <c r="A39226" i="1"/>
  <c r="A39227" i="1"/>
  <c r="A39228" i="1"/>
  <c r="A39229" i="1"/>
  <c r="A39230" i="1"/>
  <c r="A39231" i="1"/>
  <c r="A39232" i="1"/>
  <c r="A39233" i="1"/>
  <c r="A39234" i="1"/>
  <c r="A39235" i="1"/>
  <c r="A39236" i="1"/>
  <c r="A39237" i="1"/>
  <c r="A39238" i="1"/>
  <c r="A39239" i="1"/>
  <c r="A39240" i="1"/>
  <c r="A39241" i="1"/>
  <c r="A39242" i="1"/>
  <c r="A39243" i="1"/>
  <c r="A39244" i="1"/>
  <c r="A39245" i="1"/>
  <c r="A39246" i="1"/>
  <c r="A39247" i="1"/>
  <c r="A39248" i="1"/>
  <c r="A39249" i="1"/>
  <c r="A39250" i="1"/>
  <c r="A39251" i="1"/>
  <c r="A39252" i="1"/>
  <c r="A39253" i="1"/>
  <c r="A39254" i="1"/>
  <c r="A39255" i="1"/>
  <c r="A39256" i="1"/>
  <c r="A39257" i="1"/>
  <c r="A39258" i="1"/>
  <c r="A39259" i="1"/>
  <c r="A39260" i="1"/>
  <c r="A39261" i="1"/>
  <c r="A39262" i="1"/>
  <c r="A39263" i="1"/>
  <c r="A39264" i="1"/>
  <c r="A39265" i="1"/>
  <c r="A39266" i="1"/>
  <c r="A39267" i="1"/>
  <c r="A39268" i="1"/>
  <c r="A39269" i="1"/>
  <c r="A39270" i="1"/>
  <c r="A39271" i="1"/>
  <c r="A39272" i="1"/>
  <c r="A39273" i="1"/>
  <c r="A39274" i="1"/>
  <c r="A39275" i="1"/>
  <c r="A39276" i="1"/>
  <c r="A39277" i="1"/>
  <c r="A39278" i="1"/>
  <c r="A39279" i="1"/>
  <c r="A39280" i="1"/>
  <c r="A39281" i="1"/>
  <c r="A39282" i="1"/>
  <c r="A39283" i="1"/>
  <c r="A39284" i="1"/>
  <c r="A39285" i="1"/>
  <c r="A39286" i="1"/>
  <c r="A39287" i="1"/>
  <c r="A39288" i="1"/>
  <c r="A39289" i="1"/>
  <c r="A39290" i="1"/>
  <c r="A39291" i="1"/>
  <c r="A39292" i="1"/>
  <c r="A39293" i="1"/>
  <c r="A39294" i="1"/>
  <c r="A39295" i="1"/>
  <c r="A39296" i="1"/>
  <c r="A39297" i="1"/>
  <c r="A39298" i="1"/>
  <c r="A39299" i="1"/>
  <c r="A39300" i="1"/>
  <c r="A39301" i="1"/>
  <c r="A39302" i="1"/>
  <c r="A39303" i="1"/>
  <c r="A39304" i="1"/>
  <c r="A39305" i="1"/>
  <c r="A39306" i="1"/>
  <c r="A39307" i="1"/>
  <c r="A39308" i="1"/>
  <c r="A39309" i="1"/>
  <c r="A39310" i="1"/>
  <c r="A39311" i="1"/>
  <c r="A39312" i="1"/>
  <c r="A39313" i="1"/>
  <c r="A39314" i="1"/>
  <c r="A39315" i="1"/>
  <c r="A39316" i="1"/>
  <c r="A39317" i="1"/>
  <c r="A39318" i="1"/>
  <c r="A39319" i="1"/>
  <c r="A39320" i="1"/>
  <c r="A39321" i="1"/>
  <c r="A39322" i="1"/>
  <c r="A39323" i="1"/>
  <c r="A39324" i="1"/>
  <c r="A39325" i="1"/>
  <c r="A39326" i="1"/>
  <c r="A39327" i="1"/>
  <c r="A39328" i="1"/>
  <c r="A39329" i="1"/>
  <c r="A39330" i="1"/>
  <c r="A39331" i="1"/>
  <c r="A39332" i="1"/>
  <c r="A39333" i="1"/>
  <c r="A39334" i="1"/>
  <c r="A39335" i="1"/>
  <c r="A39336" i="1"/>
  <c r="A39337" i="1"/>
  <c r="A39338" i="1"/>
  <c r="A39339" i="1"/>
  <c r="A39340" i="1"/>
  <c r="A39341" i="1"/>
  <c r="A39342" i="1"/>
  <c r="A39343" i="1"/>
  <c r="A39344" i="1"/>
  <c r="A39345" i="1"/>
  <c r="A39346" i="1"/>
  <c r="A39347" i="1"/>
  <c r="A39348" i="1"/>
  <c r="A39349" i="1"/>
  <c r="A39350" i="1"/>
  <c r="A39351" i="1"/>
  <c r="A39352" i="1"/>
  <c r="A39353" i="1"/>
  <c r="A39354" i="1"/>
  <c r="A39355" i="1"/>
  <c r="A39356" i="1"/>
  <c r="A39357" i="1"/>
  <c r="A39358" i="1"/>
  <c r="A39359" i="1"/>
  <c r="A39360" i="1"/>
  <c r="A39361" i="1"/>
  <c r="A39362" i="1"/>
  <c r="A39363" i="1"/>
  <c r="A39364" i="1"/>
  <c r="A39365" i="1"/>
  <c r="A39366" i="1"/>
  <c r="A39367" i="1"/>
  <c r="A39368" i="1"/>
  <c r="A39369" i="1"/>
  <c r="A39370" i="1"/>
  <c r="A39371" i="1"/>
  <c r="A39372" i="1"/>
  <c r="A39373" i="1"/>
  <c r="A39374" i="1"/>
  <c r="A39375" i="1"/>
  <c r="A39376" i="1"/>
  <c r="A39377" i="1"/>
  <c r="A39378" i="1"/>
  <c r="A39379" i="1"/>
  <c r="A39380" i="1"/>
  <c r="A39381" i="1"/>
  <c r="A39382" i="1"/>
  <c r="A39383" i="1"/>
  <c r="A39384" i="1"/>
  <c r="A39385" i="1"/>
  <c r="A39386" i="1"/>
  <c r="A39387" i="1"/>
  <c r="A39388" i="1"/>
  <c r="A39389" i="1"/>
  <c r="A39390" i="1"/>
  <c r="A39391" i="1"/>
  <c r="A39392" i="1"/>
  <c r="A39393" i="1"/>
  <c r="A39394" i="1"/>
  <c r="A39395" i="1"/>
  <c r="A39396" i="1"/>
  <c r="A39397" i="1"/>
  <c r="A39398" i="1"/>
  <c r="A39399" i="1"/>
  <c r="A39400" i="1"/>
  <c r="A39401" i="1"/>
  <c r="A39402" i="1"/>
  <c r="A39403" i="1"/>
  <c r="A39404" i="1"/>
  <c r="A39405" i="1"/>
  <c r="A39406" i="1"/>
  <c r="A39407" i="1"/>
  <c r="A39408" i="1"/>
  <c r="A39409" i="1"/>
  <c r="A39410" i="1"/>
  <c r="A39411" i="1"/>
  <c r="A39412" i="1"/>
  <c r="A39413" i="1"/>
  <c r="A39414" i="1"/>
  <c r="A39415" i="1"/>
  <c r="A39416" i="1"/>
  <c r="A39417" i="1"/>
  <c r="A39418" i="1"/>
  <c r="A39419" i="1"/>
  <c r="A39420" i="1"/>
  <c r="A39421" i="1"/>
  <c r="A39422" i="1"/>
  <c r="A39423" i="1"/>
  <c r="A39424" i="1"/>
  <c r="A39425" i="1"/>
  <c r="A39426" i="1"/>
  <c r="A39427" i="1"/>
  <c r="A39428" i="1"/>
  <c r="A39429" i="1"/>
  <c r="A39430" i="1"/>
  <c r="A39431" i="1"/>
  <c r="A39432" i="1"/>
  <c r="A39433" i="1"/>
  <c r="A39434" i="1"/>
  <c r="A39435" i="1"/>
  <c r="A39436" i="1"/>
  <c r="A39437" i="1"/>
  <c r="A39438" i="1"/>
  <c r="A39439" i="1"/>
  <c r="A39440" i="1"/>
  <c r="A39441" i="1"/>
  <c r="A39442" i="1"/>
  <c r="A39443" i="1"/>
  <c r="A39444" i="1"/>
  <c r="A39445" i="1"/>
  <c r="A39446" i="1"/>
  <c r="A39447" i="1"/>
  <c r="A39448" i="1"/>
  <c r="A39449" i="1"/>
  <c r="A39450" i="1"/>
  <c r="A39451" i="1"/>
  <c r="A39452" i="1"/>
  <c r="A39453" i="1"/>
  <c r="A39454" i="1"/>
  <c r="A39455" i="1"/>
  <c r="A39456" i="1"/>
  <c r="A39457" i="1"/>
  <c r="A39458" i="1"/>
  <c r="A39459" i="1"/>
  <c r="A39460" i="1"/>
  <c r="A39461" i="1"/>
  <c r="A39462" i="1"/>
  <c r="A39463" i="1"/>
  <c r="A39464" i="1"/>
  <c r="A39465" i="1"/>
  <c r="A39466" i="1"/>
  <c r="A39467" i="1"/>
  <c r="A39468" i="1"/>
  <c r="A39469" i="1"/>
  <c r="A39470" i="1"/>
  <c r="A39471" i="1"/>
  <c r="A39472" i="1"/>
  <c r="A39473" i="1"/>
  <c r="A39474" i="1"/>
  <c r="A39475" i="1"/>
  <c r="A39476" i="1"/>
  <c r="A39477" i="1"/>
  <c r="A39478" i="1"/>
  <c r="A39479" i="1"/>
  <c r="A39480" i="1"/>
  <c r="A39481" i="1"/>
  <c r="A39482" i="1"/>
  <c r="A39483" i="1"/>
  <c r="A39484" i="1"/>
  <c r="A39485" i="1"/>
  <c r="A39486" i="1"/>
  <c r="A39487" i="1"/>
  <c r="A39488" i="1"/>
  <c r="A39489" i="1"/>
  <c r="A39490" i="1"/>
  <c r="A39491" i="1"/>
  <c r="A39492" i="1"/>
  <c r="A39493" i="1"/>
  <c r="A39494" i="1"/>
  <c r="A39495" i="1"/>
  <c r="A39496" i="1"/>
  <c r="A39497" i="1"/>
  <c r="A39498" i="1"/>
  <c r="A39499" i="1"/>
  <c r="A39500" i="1"/>
  <c r="A39501" i="1"/>
  <c r="A39502" i="1"/>
  <c r="A39503" i="1"/>
  <c r="A39504" i="1"/>
  <c r="A39505" i="1"/>
  <c r="A39506" i="1"/>
  <c r="A39507" i="1"/>
  <c r="A39508" i="1"/>
  <c r="A39509" i="1"/>
  <c r="A39510" i="1"/>
  <c r="A39511" i="1"/>
  <c r="A39512" i="1"/>
  <c r="A39513" i="1"/>
  <c r="A39514" i="1"/>
  <c r="A39515" i="1"/>
  <c r="A39516" i="1"/>
  <c r="A39517" i="1"/>
  <c r="A39518" i="1"/>
  <c r="A39519" i="1"/>
  <c r="A39520" i="1"/>
  <c r="A39521" i="1"/>
  <c r="A39522" i="1"/>
  <c r="A39523" i="1"/>
  <c r="A39524" i="1"/>
  <c r="A39525" i="1"/>
  <c r="A39526" i="1"/>
  <c r="A39527" i="1"/>
  <c r="A39528" i="1"/>
  <c r="A39529" i="1"/>
  <c r="A39530" i="1"/>
  <c r="A39531" i="1"/>
  <c r="A39532" i="1"/>
  <c r="A39533" i="1"/>
  <c r="A39534" i="1"/>
  <c r="A39535" i="1"/>
  <c r="A39536" i="1"/>
  <c r="A39537" i="1"/>
  <c r="A39538" i="1"/>
  <c r="A39539" i="1"/>
  <c r="A39540" i="1"/>
  <c r="A39541" i="1"/>
  <c r="A39542" i="1"/>
  <c r="A39543" i="1"/>
  <c r="A39544" i="1"/>
  <c r="A39545" i="1"/>
  <c r="A39546" i="1"/>
  <c r="A39547" i="1"/>
  <c r="A39548" i="1"/>
  <c r="A39549" i="1"/>
  <c r="A39550" i="1"/>
  <c r="A39551" i="1"/>
  <c r="A39552" i="1"/>
  <c r="A39553" i="1"/>
  <c r="A39554" i="1"/>
  <c r="A39555" i="1"/>
  <c r="A39556" i="1"/>
  <c r="A39557" i="1"/>
  <c r="A39558" i="1"/>
  <c r="A39559" i="1"/>
  <c r="A39560" i="1"/>
  <c r="A39561" i="1"/>
  <c r="A39562" i="1"/>
  <c r="A39563" i="1"/>
  <c r="A39564" i="1"/>
  <c r="A39565" i="1"/>
  <c r="A39566" i="1"/>
  <c r="A39567" i="1"/>
  <c r="A39568" i="1"/>
  <c r="A39569" i="1"/>
  <c r="A39570" i="1"/>
  <c r="A39571" i="1"/>
  <c r="A39572" i="1"/>
  <c r="A39573" i="1"/>
  <c r="A39574" i="1"/>
  <c r="A39575" i="1"/>
  <c r="A39576" i="1"/>
  <c r="A39577" i="1"/>
  <c r="A39578" i="1"/>
  <c r="A39579" i="1"/>
  <c r="A39580" i="1"/>
  <c r="A39581" i="1"/>
  <c r="A39582" i="1"/>
  <c r="A39583" i="1"/>
  <c r="A39584" i="1"/>
  <c r="A39585" i="1"/>
  <c r="A39586" i="1"/>
  <c r="A39587" i="1"/>
  <c r="A39588" i="1"/>
  <c r="A39589" i="1"/>
  <c r="A39590" i="1"/>
  <c r="A39591" i="1"/>
  <c r="A39592" i="1"/>
  <c r="A39593" i="1"/>
  <c r="A39594" i="1"/>
  <c r="A39595" i="1"/>
  <c r="A39596" i="1"/>
  <c r="A39597" i="1"/>
  <c r="A39598" i="1"/>
  <c r="A39599" i="1"/>
  <c r="A39600" i="1"/>
  <c r="A39601" i="1"/>
  <c r="A39602" i="1"/>
  <c r="A39603" i="1"/>
  <c r="A39604" i="1"/>
  <c r="A39605" i="1"/>
  <c r="A39606" i="1"/>
  <c r="A39607" i="1"/>
  <c r="A39608" i="1"/>
  <c r="A39609" i="1"/>
  <c r="A39610" i="1"/>
  <c r="A39611" i="1"/>
  <c r="A39612" i="1"/>
  <c r="A39613" i="1"/>
  <c r="A39614" i="1"/>
  <c r="A39615" i="1"/>
  <c r="A39616" i="1"/>
  <c r="A39617" i="1"/>
  <c r="A39618" i="1"/>
  <c r="A39619" i="1"/>
  <c r="A39620" i="1"/>
  <c r="A39621" i="1"/>
  <c r="A39622" i="1"/>
  <c r="A39623" i="1"/>
  <c r="A39624" i="1"/>
  <c r="A39625" i="1"/>
  <c r="A39626" i="1"/>
  <c r="A39627" i="1"/>
  <c r="A39628" i="1"/>
  <c r="A39629" i="1"/>
  <c r="A39630" i="1"/>
  <c r="A39631" i="1"/>
  <c r="A39632" i="1"/>
  <c r="A39633" i="1"/>
  <c r="A39634" i="1"/>
  <c r="A39635" i="1"/>
  <c r="A39636" i="1"/>
  <c r="A39637" i="1"/>
  <c r="A39638" i="1"/>
  <c r="A39639" i="1"/>
  <c r="A39640" i="1"/>
  <c r="A39641" i="1"/>
  <c r="A39642" i="1"/>
  <c r="A39643" i="1"/>
  <c r="A39644" i="1"/>
  <c r="A39645" i="1"/>
  <c r="A39646" i="1"/>
  <c r="A39647" i="1"/>
  <c r="A39648" i="1"/>
  <c r="A39649" i="1"/>
  <c r="A39650" i="1"/>
  <c r="A39651" i="1"/>
  <c r="A39652" i="1"/>
  <c r="A39653" i="1"/>
  <c r="A39654" i="1"/>
  <c r="A39655" i="1"/>
  <c r="A39656" i="1"/>
  <c r="A39657" i="1"/>
  <c r="A39658" i="1"/>
  <c r="A39659" i="1"/>
  <c r="A39660" i="1"/>
  <c r="A39661" i="1"/>
  <c r="A39662" i="1"/>
  <c r="A39663" i="1"/>
  <c r="A39664" i="1"/>
  <c r="A39665" i="1"/>
  <c r="A39666" i="1"/>
  <c r="A39667" i="1"/>
  <c r="A39668" i="1"/>
  <c r="A39669" i="1"/>
  <c r="A39670" i="1"/>
  <c r="A39671" i="1"/>
  <c r="A39672" i="1"/>
  <c r="A39673" i="1"/>
  <c r="A39674" i="1"/>
  <c r="A39675" i="1"/>
  <c r="A39676" i="1"/>
  <c r="A39677" i="1"/>
  <c r="A39678" i="1"/>
  <c r="A39679" i="1"/>
  <c r="A39680" i="1"/>
  <c r="A39681" i="1"/>
  <c r="A39682" i="1"/>
  <c r="A39683" i="1"/>
  <c r="A39684" i="1"/>
  <c r="A39685" i="1"/>
  <c r="A39686" i="1"/>
  <c r="A39687" i="1"/>
  <c r="A39688" i="1"/>
  <c r="A39689" i="1"/>
  <c r="A39690" i="1"/>
  <c r="A39691" i="1"/>
  <c r="A39692" i="1"/>
  <c r="A39693" i="1"/>
  <c r="A39694" i="1"/>
  <c r="A39695" i="1"/>
  <c r="A39696" i="1"/>
  <c r="A39697" i="1"/>
  <c r="A39698" i="1"/>
  <c r="A39699" i="1"/>
  <c r="A39700" i="1"/>
  <c r="A39701" i="1"/>
  <c r="A39702" i="1"/>
  <c r="A39703" i="1"/>
  <c r="A39704" i="1"/>
  <c r="A39705" i="1"/>
  <c r="A39706" i="1"/>
  <c r="A39707" i="1"/>
  <c r="A39708" i="1"/>
  <c r="A39709" i="1"/>
  <c r="A39710" i="1"/>
  <c r="A39711" i="1"/>
  <c r="A39712" i="1"/>
  <c r="A39713" i="1"/>
  <c r="A39714" i="1"/>
  <c r="A39715" i="1"/>
  <c r="A39716" i="1"/>
  <c r="A39717" i="1"/>
  <c r="A39718" i="1"/>
  <c r="A39719" i="1"/>
  <c r="A39720" i="1"/>
  <c r="A39721" i="1"/>
  <c r="A39722" i="1"/>
  <c r="A39723" i="1"/>
  <c r="A39724" i="1"/>
  <c r="A39725" i="1"/>
  <c r="A39726" i="1"/>
  <c r="A39727" i="1"/>
  <c r="A39728" i="1"/>
  <c r="A39729" i="1"/>
  <c r="A39730" i="1"/>
  <c r="A39731" i="1"/>
  <c r="A39732" i="1"/>
  <c r="A39733" i="1"/>
  <c r="A39734" i="1"/>
  <c r="A39735" i="1"/>
  <c r="A39736" i="1"/>
  <c r="A39737" i="1"/>
  <c r="A39738" i="1"/>
  <c r="A39739" i="1"/>
  <c r="A39740" i="1"/>
  <c r="A39741" i="1"/>
  <c r="A39742" i="1"/>
  <c r="A39743" i="1"/>
  <c r="A39744" i="1"/>
  <c r="A39745" i="1"/>
  <c r="A39746" i="1"/>
  <c r="A39747" i="1"/>
  <c r="A39748" i="1"/>
  <c r="A39749" i="1"/>
  <c r="A39750" i="1"/>
  <c r="A39751" i="1"/>
  <c r="A39752" i="1"/>
  <c r="A39753" i="1"/>
  <c r="A39754" i="1"/>
  <c r="A39755" i="1"/>
  <c r="A39756" i="1"/>
  <c r="A39757" i="1"/>
  <c r="A39758" i="1"/>
  <c r="A39759" i="1"/>
  <c r="A39760" i="1"/>
  <c r="A39761" i="1"/>
  <c r="A39762" i="1"/>
  <c r="A39763" i="1"/>
  <c r="A39764" i="1"/>
  <c r="A39765" i="1"/>
  <c r="A39766" i="1"/>
  <c r="A39767" i="1"/>
  <c r="A39768" i="1"/>
  <c r="A39769" i="1"/>
  <c r="A39770" i="1"/>
  <c r="A39771" i="1"/>
  <c r="A39772" i="1"/>
  <c r="A39773" i="1"/>
  <c r="A39774" i="1"/>
  <c r="A39775" i="1"/>
  <c r="A39776" i="1"/>
  <c r="A39777" i="1"/>
  <c r="A39778" i="1"/>
  <c r="A39779" i="1"/>
  <c r="A39780" i="1"/>
  <c r="A39781" i="1"/>
  <c r="A39782" i="1"/>
  <c r="A39783" i="1"/>
  <c r="A39784" i="1"/>
  <c r="A39785" i="1"/>
  <c r="A39786" i="1"/>
  <c r="A39787" i="1"/>
  <c r="A39788" i="1"/>
  <c r="A39789" i="1"/>
  <c r="A39790" i="1"/>
  <c r="A39791" i="1"/>
  <c r="A39792" i="1"/>
  <c r="A39793" i="1"/>
  <c r="A39794" i="1"/>
  <c r="A39795" i="1"/>
  <c r="A39796" i="1"/>
  <c r="A39797" i="1"/>
  <c r="A39798" i="1"/>
  <c r="A39799" i="1"/>
  <c r="A39800" i="1"/>
  <c r="A39801" i="1"/>
  <c r="A39802" i="1"/>
  <c r="A39803" i="1"/>
  <c r="A39804" i="1"/>
  <c r="A39805" i="1"/>
  <c r="A39806" i="1"/>
  <c r="A39807" i="1"/>
  <c r="A39808" i="1"/>
  <c r="A39809" i="1"/>
  <c r="A39810" i="1"/>
  <c r="A39811" i="1"/>
  <c r="A39812" i="1"/>
  <c r="A39813" i="1"/>
  <c r="A39814" i="1"/>
  <c r="A39815" i="1"/>
  <c r="A39816" i="1"/>
  <c r="A39817" i="1"/>
  <c r="A39818" i="1"/>
  <c r="A39819" i="1"/>
  <c r="A39820" i="1"/>
  <c r="A39821" i="1"/>
  <c r="A39822" i="1"/>
  <c r="A39823" i="1"/>
  <c r="A39824" i="1"/>
  <c r="A39825" i="1"/>
  <c r="A39826" i="1"/>
  <c r="A39827" i="1"/>
  <c r="A39828" i="1"/>
  <c r="A39829" i="1"/>
  <c r="A39830" i="1"/>
  <c r="A39831" i="1"/>
  <c r="A39832" i="1"/>
  <c r="A39833" i="1"/>
  <c r="A39834" i="1"/>
  <c r="A39835" i="1"/>
  <c r="A39836" i="1"/>
  <c r="A39837" i="1"/>
  <c r="A39838" i="1"/>
  <c r="A39839" i="1"/>
  <c r="A39840" i="1"/>
  <c r="A39841" i="1"/>
  <c r="A39842" i="1"/>
  <c r="A39843" i="1"/>
  <c r="A39844" i="1"/>
  <c r="A39845" i="1"/>
  <c r="A39846" i="1"/>
  <c r="A39847" i="1"/>
  <c r="A39848" i="1"/>
  <c r="A39849" i="1"/>
  <c r="A39850" i="1"/>
  <c r="A39851" i="1"/>
  <c r="A39852" i="1"/>
  <c r="A39853" i="1"/>
  <c r="A39854" i="1"/>
  <c r="A39855" i="1"/>
  <c r="A39856" i="1"/>
  <c r="A39857" i="1"/>
  <c r="A39858" i="1"/>
  <c r="A39859" i="1"/>
  <c r="A39860" i="1"/>
  <c r="A39861" i="1"/>
  <c r="A39862" i="1"/>
  <c r="A39863" i="1"/>
  <c r="A39864" i="1"/>
  <c r="A39865" i="1"/>
  <c r="A39866" i="1"/>
  <c r="A39867" i="1"/>
  <c r="A39868" i="1"/>
  <c r="A39869" i="1"/>
  <c r="A39870" i="1"/>
  <c r="A39871" i="1"/>
  <c r="A39872" i="1"/>
  <c r="A39873" i="1"/>
  <c r="A39874" i="1"/>
  <c r="A39875" i="1"/>
  <c r="A39876" i="1"/>
  <c r="A39877" i="1"/>
  <c r="A39878" i="1"/>
  <c r="A39879" i="1"/>
  <c r="A39880" i="1"/>
  <c r="A39881" i="1"/>
  <c r="A39882" i="1"/>
  <c r="A39883" i="1"/>
  <c r="A39884" i="1"/>
  <c r="A39885" i="1"/>
  <c r="A39886" i="1"/>
  <c r="A39887" i="1"/>
  <c r="A39888" i="1"/>
  <c r="A39889" i="1"/>
  <c r="A39890" i="1"/>
  <c r="A39891" i="1"/>
  <c r="A39892" i="1"/>
  <c r="A39893" i="1"/>
  <c r="A39894" i="1"/>
  <c r="A39895" i="1"/>
  <c r="A39896" i="1"/>
  <c r="A39897" i="1"/>
  <c r="A39898" i="1"/>
  <c r="A39899" i="1"/>
  <c r="A39900" i="1"/>
  <c r="A39901" i="1"/>
  <c r="A39902" i="1"/>
  <c r="A39903" i="1"/>
  <c r="A39904" i="1"/>
  <c r="A39905" i="1"/>
  <c r="A39906" i="1"/>
  <c r="A39907" i="1"/>
  <c r="A39908" i="1"/>
  <c r="A39909" i="1"/>
  <c r="A39910" i="1"/>
  <c r="A39911" i="1"/>
  <c r="A39912" i="1"/>
  <c r="A39913" i="1"/>
  <c r="A39914" i="1"/>
  <c r="A39915" i="1"/>
  <c r="A39916" i="1"/>
  <c r="A39917" i="1"/>
  <c r="A39918" i="1"/>
  <c r="A39919" i="1"/>
  <c r="A39920" i="1"/>
  <c r="A39921" i="1"/>
  <c r="A39922" i="1"/>
  <c r="A39923" i="1"/>
  <c r="A39924" i="1"/>
  <c r="A39925" i="1"/>
  <c r="A39926" i="1"/>
  <c r="A39927" i="1"/>
  <c r="A39928" i="1"/>
  <c r="A39929" i="1"/>
  <c r="A39930" i="1"/>
  <c r="A39931" i="1"/>
  <c r="A39932" i="1"/>
  <c r="A39933" i="1"/>
  <c r="A39934" i="1"/>
  <c r="A39935" i="1"/>
  <c r="A39936" i="1"/>
  <c r="A39937" i="1"/>
  <c r="A39938" i="1"/>
  <c r="A39939" i="1"/>
  <c r="A39940" i="1"/>
  <c r="A39941" i="1"/>
  <c r="A39942" i="1"/>
  <c r="A39943" i="1"/>
  <c r="A39944" i="1"/>
  <c r="A39945" i="1"/>
  <c r="A39946" i="1"/>
  <c r="A39947" i="1"/>
  <c r="A39948" i="1"/>
  <c r="A39949" i="1"/>
  <c r="A39950" i="1"/>
  <c r="A39951" i="1"/>
  <c r="A39952" i="1"/>
  <c r="A39953" i="1"/>
  <c r="A39954" i="1"/>
  <c r="A39955" i="1"/>
  <c r="A39956" i="1"/>
  <c r="A39957" i="1"/>
  <c r="A39958" i="1"/>
  <c r="A39959" i="1"/>
  <c r="A39960" i="1"/>
  <c r="A39961" i="1"/>
  <c r="A39962" i="1"/>
  <c r="A39963" i="1"/>
  <c r="A39964" i="1"/>
  <c r="A39965" i="1"/>
  <c r="A39966" i="1"/>
  <c r="A39967" i="1"/>
  <c r="A39968" i="1"/>
  <c r="A39969" i="1"/>
  <c r="A39970" i="1"/>
  <c r="A39971" i="1"/>
  <c r="A39972" i="1"/>
  <c r="A39973" i="1"/>
  <c r="A39974" i="1"/>
  <c r="A39975" i="1"/>
  <c r="A39976" i="1"/>
  <c r="A39977" i="1"/>
  <c r="A39978" i="1"/>
  <c r="A39979" i="1"/>
  <c r="A39980" i="1"/>
  <c r="A39981" i="1"/>
  <c r="A39982" i="1"/>
  <c r="A39983" i="1"/>
  <c r="A39984" i="1"/>
  <c r="A39985" i="1"/>
  <c r="A39986" i="1"/>
  <c r="A39987" i="1"/>
  <c r="A39988" i="1"/>
  <c r="A39989" i="1"/>
  <c r="A39990" i="1"/>
  <c r="A39991" i="1"/>
  <c r="A39992" i="1"/>
  <c r="A39993" i="1"/>
  <c r="A39994" i="1"/>
  <c r="A39995" i="1"/>
  <c r="A39996" i="1"/>
  <c r="A39997" i="1"/>
  <c r="A39998" i="1"/>
  <c r="A39999" i="1"/>
  <c r="A40000" i="1"/>
  <c r="A40001" i="1"/>
  <c r="A40002" i="1"/>
  <c r="A40003" i="1"/>
  <c r="A40004" i="1"/>
  <c r="A40005" i="1"/>
  <c r="A40006" i="1"/>
  <c r="A40007" i="1"/>
  <c r="A40008" i="1"/>
  <c r="A40009" i="1"/>
  <c r="A40010" i="1"/>
  <c r="A40011" i="1"/>
  <c r="A40012" i="1"/>
  <c r="A40013" i="1"/>
  <c r="A40014" i="1"/>
  <c r="A40015" i="1"/>
  <c r="A40016" i="1"/>
  <c r="A40017" i="1"/>
  <c r="A40018" i="1"/>
  <c r="A40019" i="1"/>
  <c r="A40020" i="1"/>
  <c r="A40021" i="1"/>
  <c r="A40022" i="1"/>
  <c r="A40023" i="1"/>
  <c r="A40024" i="1"/>
  <c r="A40025" i="1"/>
  <c r="A40026" i="1"/>
  <c r="A40027" i="1"/>
  <c r="A40028" i="1"/>
  <c r="A40029" i="1"/>
  <c r="A40030" i="1"/>
  <c r="A40031" i="1"/>
  <c r="A40032" i="1"/>
  <c r="A40033" i="1"/>
  <c r="A40034" i="1"/>
  <c r="A40035" i="1"/>
  <c r="A40036" i="1"/>
  <c r="A40037" i="1"/>
  <c r="A40038" i="1"/>
  <c r="A40039" i="1"/>
  <c r="A40040" i="1"/>
  <c r="A40041" i="1"/>
  <c r="A40042" i="1"/>
  <c r="A40043" i="1"/>
  <c r="A40044" i="1"/>
  <c r="A40045" i="1"/>
  <c r="A40046" i="1"/>
  <c r="A40047" i="1"/>
  <c r="A40048" i="1"/>
  <c r="A40049" i="1"/>
  <c r="A40050" i="1"/>
  <c r="A40051" i="1"/>
  <c r="A40052" i="1"/>
  <c r="A40053" i="1"/>
  <c r="A40054" i="1"/>
  <c r="A40055" i="1"/>
  <c r="A40056" i="1"/>
  <c r="A40057" i="1"/>
  <c r="A40058" i="1"/>
  <c r="A40059" i="1"/>
  <c r="A40060" i="1"/>
  <c r="A40061" i="1"/>
  <c r="A40062" i="1"/>
  <c r="A40063" i="1"/>
  <c r="A40064" i="1"/>
  <c r="A40065" i="1"/>
  <c r="A40066" i="1"/>
  <c r="A40067" i="1"/>
  <c r="A40068" i="1"/>
  <c r="A40069" i="1"/>
  <c r="A40070" i="1"/>
  <c r="A40071" i="1"/>
  <c r="A40072" i="1"/>
  <c r="A40073" i="1"/>
  <c r="A40074" i="1"/>
  <c r="A40075" i="1"/>
  <c r="A40076" i="1"/>
  <c r="A40077" i="1"/>
  <c r="A40078" i="1"/>
  <c r="A40079" i="1"/>
  <c r="A40080" i="1"/>
  <c r="A40081" i="1"/>
  <c r="A40082" i="1"/>
  <c r="A40083" i="1"/>
  <c r="A40084" i="1"/>
  <c r="A40085" i="1"/>
  <c r="A40086" i="1"/>
  <c r="A40087" i="1"/>
  <c r="A40088" i="1"/>
  <c r="A40089" i="1"/>
  <c r="A40090" i="1"/>
  <c r="A40091" i="1"/>
  <c r="A40092" i="1"/>
  <c r="A40093" i="1"/>
  <c r="A40094" i="1"/>
  <c r="A40095" i="1"/>
  <c r="A40096" i="1"/>
  <c r="A40097" i="1"/>
  <c r="A40098" i="1"/>
  <c r="A40099" i="1"/>
  <c r="A40100" i="1"/>
  <c r="A40101" i="1"/>
  <c r="A40102" i="1"/>
  <c r="A40103" i="1"/>
  <c r="A40104" i="1"/>
  <c r="A40105" i="1"/>
  <c r="A40106" i="1"/>
  <c r="A40107" i="1"/>
  <c r="A40108" i="1"/>
  <c r="A40109" i="1"/>
  <c r="A40110" i="1"/>
  <c r="A40111" i="1"/>
  <c r="A40112" i="1"/>
  <c r="A40113" i="1"/>
  <c r="A40114" i="1"/>
  <c r="A40115" i="1"/>
  <c r="A40116" i="1"/>
  <c r="A40117" i="1"/>
  <c r="A40118" i="1"/>
  <c r="A40119" i="1"/>
  <c r="A40120" i="1"/>
  <c r="A40121" i="1"/>
  <c r="A40122" i="1"/>
  <c r="A40123" i="1"/>
  <c r="A40124" i="1"/>
  <c r="A40125" i="1"/>
  <c r="A40126" i="1"/>
  <c r="A40127" i="1"/>
  <c r="A40128" i="1"/>
  <c r="A40129" i="1"/>
  <c r="A40130" i="1"/>
  <c r="A40131" i="1"/>
  <c r="A40132" i="1"/>
  <c r="A40133" i="1"/>
  <c r="A40134" i="1"/>
  <c r="A40135" i="1"/>
  <c r="A40136" i="1"/>
  <c r="A40137" i="1"/>
  <c r="A40138" i="1"/>
  <c r="A40139" i="1"/>
  <c r="A40140" i="1"/>
  <c r="A40141" i="1"/>
  <c r="A40142" i="1"/>
  <c r="A40143" i="1"/>
  <c r="A40144" i="1"/>
  <c r="A40145" i="1"/>
  <c r="A40146" i="1"/>
  <c r="A40147" i="1"/>
  <c r="A40148" i="1"/>
  <c r="A40149" i="1"/>
  <c r="A40150" i="1"/>
  <c r="A40151" i="1"/>
  <c r="A40152" i="1"/>
  <c r="A40153" i="1"/>
  <c r="A40154" i="1"/>
  <c r="A40155" i="1"/>
  <c r="A40156" i="1"/>
  <c r="A40157" i="1"/>
  <c r="A40158" i="1"/>
  <c r="A40159" i="1"/>
  <c r="A40160" i="1"/>
  <c r="A40161" i="1"/>
  <c r="A40162" i="1"/>
  <c r="A40163" i="1"/>
  <c r="A40164" i="1"/>
  <c r="A40165" i="1"/>
  <c r="A40166" i="1"/>
  <c r="A40167" i="1"/>
  <c r="A40168" i="1"/>
  <c r="A40169" i="1"/>
  <c r="A40170" i="1"/>
  <c r="A40171" i="1"/>
  <c r="A40172" i="1"/>
  <c r="A40173" i="1"/>
  <c r="A40174" i="1"/>
  <c r="A40175" i="1"/>
  <c r="A40176" i="1"/>
  <c r="A40177" i="1"/>
  <c r="A40178" i="1"/>
  <c r="A40179" i="1"/>
  <c r="A40180" i="1"/>
  <c r="A40181" i="1"/>
  <c r="A40182" i="1"/>
  <c r="A40183" i="1"/>
  <c r="A40184" i="1"/>
  <c r="A40185" i="1"/>
  <c r="A40186" i="1"/>
  <c r="A40187" i="1"/>
  <c r="A40188" i="1"/>
  <c r="A40189" i="1"/>
  <c r="A40190" i="1"/>
  <c r="A40191" i="1"/>
  <c r="A40192" i="1"/>
  <c r="A40193" i="1"/>
  <c r="A40194" i="1"/>
  <c r="A40195" i="1"/>
  <c r="A40196" i="1"/>
  <c r="A40197" i="1"/>
  <c r="A40198" i="1"/>
  <c r="A40199" i="1"/>
  <c r="A40200" i="1"/>
  <c r="A40201" i="1"/>
  <c r="A40202" i="1"/>
  <c r="A40203" i="1"/>
  <c r="A40204" i="1"/>
  <c r="A40205" i="1"/>
  <c r="A40206" i="1"/>
  <c r="A40207" i="1"/>
  <c r="A40208" i="1"/>
  <c r="A40209" i="1"/>
  <c r="A40210" i="1"/>
  <c r="A40211" i="1"/>
  <c r="A40212" i="1"/>
  <c r="A40213" i="1"/>
  <c r="A40214" i="1"/>
  <c r="A40215" i="1"/>
  <c r="A40216" i="1"/>
  <c r="A40217" i="1"/>
  <c r="A40218" i="1"/>
  <c r="A40219" i="1"/>
  <c r="A40220" i="1"/>
  <c r="A40221" i="1"/>
  <c r="A40222" i="1"/>
  <c r="A40223" i="1"/>
  <c r="A40224" i="1"/>
  <c r="A40225" i="1"/>
  <c r="A40226" i="1"/>
  <c r="A40227" i="1"/>
  <c r="A40228" i="1"/>
  <c r="A40229" i="1"/>
  <c r="A40230" i="1"/>
  <c r="A40231" i="1"/>
  <c r="A40232" i="1"/>
  <c r="A40233" i="1"/>
  <c r="A40234" i="1"/>
  <c r="A40235" i="1"/>
  <c r="A40236" i="1"/>
  <c r="A40237" i="1"/>
  <c r="A40238" i="1"/>
  <c r="A40239" i="1"/>
  <c r="A40240" i="1"/>
  <c r="A40241" i="1"/>
  <c r="A40242" i="1"/>
  <c r="A40243" i="1"/>
  <c r="A40244" i="1"/>
  <c r="A40245" i="1"/>
  <c r="A40246" i="1"/>
  <c r="A40247" i="1"/>
  <c r="A40248" i="1"/>
  <c r="A40249" i="1"/>
  <c r="A40250" i="1"/>
  <c r="A40251" i="1"/>
  <c r="A40252" i="1"/>
  <c r="A40253" i="1"/>
  <c r="A40254" i="1"/>
  <c r="A40255" i="1"/>
  <c r="A40256" i="1"/>
  <c r="A40257" i="1"/>
  <c r="A40258" i="1"/>
  <c r="A40259" i="1"/>
  <c r="A40260" i="1"/>
  <c r="A40261" i="1"/>
  <c r="A40262" i="1"/>
  <c r="A40263" i="1"/>
  <c r="A40264" i="1"/>
  <c r="A40265" i="1"/>
  <c r="A40266" i="1"/>
  <c r="A40267" i="1"/>
  <c r="A40268" i="1"/>
  <c r="A40269" i="1"/>
  <c r="A40270" i="1"/>
  <c r="A40271" i="1"/>
  <c r="A40272" i="1"/>
  <c r="A40273" i="1"/>
  <c r="A40274" i="1"/>
  <c r="A40275" i="1"/>
  <c r="A40276" i="1"/>
  <c r="A40277" i="1"/>
  <c r="A40278" i="1"/>
  <c r="A40279" i="1"/>
  <c r="A40280" i="1"/>
  <c r="A40281" i="1"/>
  <c r="A40282" i="1"/>
  <c r="A40283" i="1"/>
  <c r="A40284" i="1"/>
  <c r="A40285" i="1"/>
  <c r="A40286" i="1"/>
  <c r="A40287" i="1"/>
  <c r="A40288" i="1"/>
  <c r="A40289" i="1"/>
  <c r="A40290" i="1"/>
  <c r="A40291" i="1"/>
  <c r="A40292" i="1"/>
  <c r="A40293" i="1"/>
  <c r="A40294" i="1"/>
  <c r="A40295" i="1"/>
  <c r="A40296" i="1"/>
  <c r="A40297" i="1"/>
  <c r="A40298" i="1"/>
  <c r="A40299" i="1"/>
  <c r="A40300" i="1"/>
  <c r="A40301" i="1"/>
  <c r="A40302" i="1"/>
  <c r="A40303" i="1"/>
  <c r="A40304" i="1"/>
  <c r="A40305" i="1"/>
  <c r="A40306" i="1"/>
  <c r="A40307" i="1"/>
  <c r="A40308" i="1"/>
  <c r="A40309" i="1"/>
  <c r="A40310" i="1"/>
  <c r="A40311" i="1"/>
  <c r="A40312" i="1"/>
  <c r="A40313" i="1"/>
  <c r="A40314" i="1"/>
  <c r="A40315" i="1"/>
  <c r="A40316" i="1"/>
  <c r="A40317" i="1"/>
  <c r="A40318" i="1"/>
  <c r="A40319" i="1"/>
  <c r="A40320" i="1"/>
  <c r="A40321" i="1"/>
  <c r="A40322" i="1"/>
  <c r="A40323" i="1"/>
  <c r="A40324" i="1"/>
  <c r="A40325" i="1"/>
  <c r="A40326" i="1"/>
  <c r="A40327" i="1"/>
  <c r="A40328" i="1"/>
  <c r="A40329" i="1"/>
  <c r="A40330" i="1"/>
  <c r="A40331" i="1"/>
  <c r="A40332" i="1"/>
  <c r="A40333" i="1"/>
  <c r="A40334" i="1"/>
  <c r="A40335" i="1"/>
  <c r="A40336" i="1"/>
  <c r="A40337" i="1"/>
  <c r="A40338" i="1"/>
  <c r="A40339" i="1"/>
  <c r="A40340" i="1"/>
  <c r="A40341" i="1"/>
  <c r="A40342" i="1"/>
  <c r="A40343" i="1"/>
  <c r="A40344" i="1"/>
  <c r="A40345" i="1"/>
  <c r="A40346" i="1"/>
  <c r="A40347" i="1"/>
  <c r="A40348" i="1"/>
  <c r="A40349" i="1"/>
  <c r="A40350" i="1"/>
  <c r="A40351" i="1"/>
  <c r="A40352" i="1"/>
  <c r="A40353" i="1"/>
  <c r="A40354" i="1"/>
  <c r="A40355" i="1"/>
  <c r="A40356" i="1"/>
  <c r="A40357" i="1"/>
  <c r="A40358" i="1"/>
  <c r="A40359" i="1"/>
  <c r="A40360" i="1"/>
  <c r="A40361" i="1"/>
  <c r="A40362" i="1"/>
  <c r="A40363" i="1"/>
  <c r="A40364" i="1"/>
  <c r="A40365" i="1"/>
  <c r="A40366" i="1"/>
  <c r="A40367" i="1"/>
  <c r="A40368" i="1"/>
  <c r="A40369" i="1"/>
  <c r="A40370" i="1"/>
  <c r="A40371" i="1"/>
  <c r="A40372" i="1"/>
  <c r="A40373" i="1"/>
  <c r="A40374" i="1"/>
  <c r="A40375" i="1"/>
  <c r="A40376" i="1"/>
  <c r="A40377" i="1"/>
  <c r="A40378" i="1"/>
  <c r="A40379" i="1"/>
  <c r="A40380" i="1"/>
  <c r="A40381" i="1"/>
  <c r="A40382" i="1"/>
  <c r="A40383" i="1"/>
  <c r="A40384" i="1"/>
  <c r="A40385" i="1"/>
  <c r="A40386" i="1"/>
  <c r="A40387" i="1"/>
  <c r="A40388" i="1"/>
  <c r="A40389" i="1"/>
  <c r="A40390" i="1"/>
  <c r="A40391" i="1"/>
  <c r="A40392" i="1"/>
  <c r="A40393" i="1"/>
  <c r="A40394" i="1"/>
  <c r="A40395" i="1"/>
  <c r="A40396" i="1"/>
  <c r="A40397" i="1"/>
  <c r="A40398" i="1"/>
  <c r="A40399" i="1"/>
  <c r="A40400" i="1"/>
  <c r="A40401" i="1"/>
  <c r="A40402" i="1"/>
  <c r="A40403" i="1"/>
  <c r="A40404" i="1"/>
  <c r="A40405" i="1"/>
  <c r="A40406" i="1"/>
  <c r="A40407" i="1"/>
  <c r="A40408" i="1"/>
  <c r="A40409" i="1"/>
  <c r="A40410" i="1"/>
  <c r="A40411" i="1"/>
  <c r="A40412" i="1"/>
  <c r="A40413" i="1"/>
  <c r="A40414" i="1"/>
  <c r="A40415" i="1"/>
  <c r="A40416" i="1"/>
  <c r="A40417" i="1"/>
  <c r="A40418" i="1"/>
  <c r="A40419" i="1"/>
  <c r="A40420" i="1"/>
  <c r="A40421" i="1"/>
  <c r="A40422" i="1"/>
  <c r="A40423" i="1"/>
  <c r="A40424" i="1"/>
  <c r="A40425" i="1"/>
  <c r="A40426" i="1"/>
  <c r="A40427" i="1"/>
  <c r="A40428" i="1"/>
  <c r="A40429" i="1"/>
  <c r="A40430" i="1"/>
  <c r="A40431" i="1"/>
  <c r="A40432" i="1"/>
  <c r="A40433" i="1"/>
  <c r="A40434" i="1"/>
  <c r="A40435" i="1"/>
  <c r="A40436" i="1"/>
  <c r="A40437" i="1"/>
  <c r="A40438" i="1"/>
  <c r="A40439" i="1"/>
  <c r="A40440" i="1"/>
  <c r="A40441" i="1"/>
  <c r="A40442" i="1"/>
  <c r="A40443" i="1"/>
  <c r="A40444" i="1"/>
  <c r="A40445" i="1"/>
  <c r="A40446" i="1"/>
  <c r="A40447" i="1"/>
  <c r="A40448" i="1"/>
  <c r="A40449" i="1"/>
  <c r="A40450" i="1"/>
  <c r="A40451" i="1"/>
  <c r="A40452" i="1"/>
  <c r="A40453" i="1"/>
  <c r="A40454" i="1"/>
  <c r="A40455" i="1"/>
  <c r="A40456" i="1"/>
  <c r="A40457" i="1"/>
  <c r="A40458" i="1"/>
  <c r="A40459" i="1"/>
  <c r="A40460" i="1"/>
  <c r="A40461" i="1"/>
  <c r="A40462" i="1"/>
  <c r="A40463" i="1"/>
  <c r="A40464" i="1"/>
  <c r="A40465" i="1"/>
  <c r="A40466" i="1"/>
  <c r="A40467" i="1"/>
  <c r="A40468" i="1"/>
  <c r="A40469" i="1"/>
  <c r="A40470" i="1"/>
  <c r="A40471" i="1"/>
  <c r="A40472" i="1"/>
  <c r="A40473" i="1"/>
  <c r="A40474" i="1"/>
  <c r="A40475" i="1"/>
  <c r="A40476" i="1"/>
  <c r="A40477" i="1"/>
  <c r="A40478" i="1"/>
  <c r="A40479" i="1"/>
  <c r="A40480" i="1"/>
  <c r="A40481" i="1"/>
  <c r="A40482" i="1"/>
  <c r="A40483" i="1"/>
  <c r="A40484" i="1"/>
  <c r="A40485" i="1"/>
  <c r="A40486" i="1"/>
  <c r="A40487" i="1"/>
  <c r="A40488" i="1"/>
  <c r="A40489" i="1"/>
  <c r="A40490" i="1"/>
  <c r="A40491" i="1"/>
  <c r="A40492" i="1"/>
  <c r="A40493" i="1"/>
  <c r="A40494" i="1"/>
  <c r="A40495" i="1"/>
  <c r="A40496" i="1"/>
  <c r="A40497" i="1"/>
  <c r="A40498" i="1"/>
  <c r="A40499" i="1"/>
  <c r="A40500" i="1"/>
  <c r="A40501" i="1"/>
  <c r="A40502" i="1"/>
  <c r="A40503" i="1"/>
  <c r="A40504" i="1"/>
  <c r="A40505" i="1"/>
  <c r="A40506" i="1"/>
  <c r="A40507" i="1"/>
  <c r="A40508" i="1"/>
  <c r="A40509" i="1"/>
  <c r="A40510" i="1"/>
  <c r="A40511" i="1"/>
  <c r="A40512" i="1"/>
  <c r="A40513" i="1"/>
  <c r="A40514" i="1"/>
  <c r="A40515" i="1"/>
  <c r="A40516" i="1"/>
  <c r="A40517" i="1"/>
  <c r="A40518" i="1"/>
  <c r="A40519" i="1"/>
  <c r="A40520" i="1"/>
  <c r="A40521" i="1"/>
  <c r="A40522" i="1"/>
  <c r="A40523" i="1"/>
  <c r="A40524" i="1"/>
  <c r="A40525" i="1"/>
  <c r="A40526" i="1"/>
  <c r="A40527" i="1"/>
  <c r="A40528" i="1"/>
  <c r="A40529" i="1"/>
  <c r="A40530" i="1"/>
  <c r="A40531" i="1"/>
  <c r="A40532" i="1"/>
  <c r="A40533" i="1"/>
  <c r="A40534" i="1"/>
  <c r="A40535" i="1"/>
  <c r="A40536" i="1"/>
  <c r="A40537" i="1"/>
  <c r="A40538" i="1"/>
  <c r="A40539" i="1"/>
  <c r="A40540" i="1"/>
  <c r="A40541" i="1"/>
  <c r="A40542" i="1"/>
  <c r="A40543" i="1"/>
  <c r="A40544" i="1"/>
  <c r="A40545" i="1"/>
  <c r="A40546" i="1"/>
  <c r="A40547" i="1"/>
  <c r="A40548" i="1"/>
  <c r="A40549" i="1"/>
  <c r="A40550" i="1"/>
  <c r="A40551" i="1"/>
  <c r="A40552" i="1"/>
  <c r="A40553" i="1"/>
  <c r="A40554" i="1"/>
  <c r="A40555" i="1"/>
  <c r="A40556" i="1"/>
  <c r="A40557" i="1"/>
  <c r="A40558" i="1"/>
  <c r="A40559" i="1"/>
  <c r="A40560" i="1"/>
  <c r="A40561" i="1"/>
  <c r="A40562" i="1"/>
  <c r="A40563" i="1"/>
  <c r="A40564" i="1"/>
  <c r="A40565" i="1"/>
  <c r="A40566" i="1"/>
  <c r="A40567" i="1"/>
  <c r="A40568" i="1"/>
  <c r="A40569" i="1"/>
  <c r="A40570" i="1"/>
  <c r="A40571" i="1"/>
  <c r="A40572" i="1"/>
  <c r="A40573" i="1"/>
  <c r="A40574" i="1"/>
  <c r="A40575" i="1"/>
  <c r="A40576" i="1"/>
  <c r="A40577" i="1"/>
  <c r="A40578" i="1"/>
  <c r="A40579" i="1"/>
  <c r="A40580" i="1"/>
  <c r="A40581" i="1"/>
  <c r="A40582" i="1"/>
  <c r="A40583" i="1"/>
  <c r="A40584" i="1"/>
  <c r="A40585" i="1"/>
  <c r="A40586" i="1"/>
  <c r="A40587" i="1"/>
  <c r="A40588" i="1"/>
  <c r="A40589" i="1"/>
  <c r="A40590" i="1"/>
  <c r="A40591" i="1"/>
  <c r="A40592" i="1"/>
  <c r="A40593" i="1"/>
  <c r="A40594" i="1"/>
  <c r="A40595" i="1"/>
  <c r="A40596" i="1"/>
  <c r="A40597" i="1"/>
  <c r="A40598" i="1"/>
  <c r="A40599" i="1"/>
  <c r="A40600" i="1"/>
  <c r="A40601" i="1"/>
  <c r="A40602" i="1"/>
  <c r="A40603" i="1"/>
  <c r="A40604" i="1"/>
  <c r="A40605" i="1"/>
  <c r="A40606" i="1"/>
  <c r="A40607" i="1"/>
  <c r="A40608" i="1"/>
  <c r="A40609" i="1"/>
  <c r="A40610" i="1"/>
  <c r="A40611" i="1"/>
  <c r="A40612" i="1"/>
  <c r="A40613" i="1"/>
  <c r="A40614" i="1"/>
  <c r="A40615" i="1"/>
  <c r="A40616" i="1"/>
  <c r="A40617" i="1"/>
  <c r="A40618" i="1"/>
  <c r="A40619" i="1"/>
  <c r="A40620" i="1"/>
  <c r="A40621" i="1"/>
  <c r="A40622" i="1"/>
  <c r="A40623" i="1"/>
  <c r="A40624" i="1"/>
  <c r="A40625" i="1"/>
  <c r="A40626" i="1"/>
  <c r="A40627" i="1"/>
  <c r="A40628" i="1"/>
  <c r="A40629" i="1"/>
  <c r="A40630" i="1"/>
  <c r="A40631" i="1"/>
  <c r="A40632" i="1"/>
  <c r="A40633" i="1"/>
  <c r="A40634" i="1"/>
  <c r="A40635" i="1"/>
  <c r="A40636" i="1"/>
  <c r="A40637" i="1"/>
  <c r="A40638" i="1"/>
  <c r="A40639" i="1"/>
  <c r="A40640" i="1"/>
  <c r="A40641" i="1"/>
  <c r="A40642" i="1"/>
  <c r="A40643" i="1"/>
  <c r="A40644" i="1"/>
  <c r="A40645" i="1"/>
  <c r="A40646" i="1"/>
  <c r="A40647" i="1"/>
  <c r="A40648" i="1"/>
  <c r="A40649" i="1"/>
  <c r="A40650" i="1"/>
  <c r="A40651" i="1"/>
  <c r="A40652" i="1"/>
  <c r="A40653" i="1"/>
  <c r="A40654" i="1"/>
  <c r="A40655" i="1"/>
  <c r="A40656" i="1"/>
  <c r="A40657" i="1"/>
  <c r="A40658" i="1"/>
  <c r="A40659" i="1"/>
  <c r="A40660" i="1"/>
  <c r="A40661" i="1"/>
  <c r="A40662" i="1"/>
  <c r="A40663" i="1"/>
  <c r="A40664" i="1"/>
  <c r="A40665" i="1"/>
  <c r="A40666" i="1"/>
  <c r="A40667" i="1"/>
  <c r="A40668" i="1"/>
  <c r="A40669" i="1"/>
  <c r="A40670" i="1"/>
  <c r="A40671" i="1"/>
  <c r="A40672" i="1"/>
  <c r="A40673" i="1"/>
  <c r="A40674" i="1"/>
  <c r="A40675" i="1"/>
  <c r="A40676" i="1"/>
  <c r="A40677" i="1"/>
  <c r="A40678" i="1"/>
  <c r="A40679" i="1"/>
  <c r="A40680" i="1"/>
  <c r="A40681" i="1"/>
  <c r="A40682" i="1"/>
  <c r="A40683" i="1"/>
  <c r="A40684" i="1"/>
  <c r="A40685" i="1"/>
  <c r="A40686" i="1"/>
  <c r="A40687" i="1"/>
  <c r="A40688" i="1"/>
  <c r="A40689" i="1"/>
  <c r="A40690" i="1"/>
  <c r="A40691" i="1"/>
  <c r="A40692" i="1"/>
  <c r="A40693" i="1"/>
  <c r="A40694" i="1"/>
  <c r="A40695" i="1"/>
  <c r="A40696" i="1"/>
  <c r="A40697" i="1"/>
  <c r="A40698" i="1"/>
  <c r="A40699" i="1"/>
  <c r="A40700" i="1"/>
  <c r="A40701" i="1"/>
  <c r="A40702" i="1"/>
  <c r="A40703" i="1"/>
  <c r="A40704" i="1"/>
  <c r="A40705" i="1"/>
  <c r="A40706" i="1"/>
  <c r="A40707" i="1"/>
  <c r="A40708" i="1"/>
  <c r="A40709" i="1"/>
  <c r="A40710" i="1"/>
  <c r="A40711" i="1"/>
  <c r="A40712" i="1"/>
  <c r="A40713" i="1"/>
  <c r="A40714" i="1"/>
  <c r="A40715" i="1"/>
  <c r="A40716" i="1"/>
  <c r="A40717" i="1"/>
  <c r="A40718" i="1"/>
  <c r="A40719" i="1"/>
  <c r="A40720" i="1"/>
  <c r="A40721" i="1"/>
  <c r="A40722" i="1"/>
  <c r="A40723" i="1"/>
  <c r="A40724" i="1"/>
  <c r="A40725" i="1"/>
  <c r="A40726" i="1"/>
  <c r="A40727" i="1"/>
  <c r="A40728" i="1"/>
  <c r="A40729" i="1"/>
  <c r="A40730" i="1"/>
  <c r="A40731" i="1"/>
  <c r="A40732" i="1"/>
  <c r="A40733" i="1"/>
  <c r="A40734" i="1"/>
  <c r="A40735" i="1"/>
  <c r="A40736" i="1"/>
  <c r="A40737" i="1"/>
  <c r="A40738" i="1"/>
  <c r="A40739" i="1"/>
  <c r="A40740" i="1"/>
  <c r="A40741" i="1"/>
  <c r="A40742" i="1"/>
  <c r="A40743" i="1"/>
  <c r="A40744" i="1"/>
  <c r="A40745" i="1"/>
  <c r="A40746" i="1"/>
  <c r="A40747" i="1"/>
  <c r="A40748" i="1"/>
  <c r="A40749" i="1"/>
  <c r="A40750" i="1"/>
  <c r="A40751" i="1"/>
  <c r="A40752" i="1"/>
  <c r="A40753" i="1"/>
  <c r="A40754" i="1"/>
  <c r="A40755" i="1"/>
  <c r="A40756" i="1"/>
  <c r="A40757" i="1"/>
  <c r="A40758" i="1"/>
  <c r="A40759" i="1"/>
  <c r="A40760" i="1"/>
  <c r="A40761" i="1"/>
  <c r="A40762" i="1"/>
  <c r="A40763" i="1"/>
  <c r="A40764" i="1"/>
  <c r="A40765" i="1"/>
  <c r="A40766" i="1"/>
  <c r="A40767" i="1"/>
  <c r="A40768" i="1"/>
  <c r="A40769" i="1"/>
  <c r="A40770" i="1"/>
  <c r="A40771" i="1"/>
  <c r="A40772" i="1"/>
  <c r="A40773" i="1"/>
  <c r="A40774" i="1"/>
  <c r="A40775" i="1"/>
  <c r="A40776" i="1"/>
  <c r="A40777" i="1"/>
  <c r="A40778" i="1"/>
  <c r="A40779" i="1"/>
  <c r="A40780" i="1"/>
  <c r="A40781" i="1"/>
  <c r="A40782" i="1"/>
  <c r="A40783" i="1"/>
  <c r="A40784" i="1"/>
  <c r="A40785" i="1"/>
  <c r="A40786" i="1"/>
  <c r="A40787" i="1"/>
  <c r="A40788" i="1"/>
  <c r="A40789" i="1"/>
  <c r="A40790" i="1"/>
  <c r="A40791" i="1"/>
  <c r="A40792" i="1"/>
  <c r="A40793" i="1"/>
  <c r="A40794" i="1"/>
  <c r="A40795" i="1"/>
  <c r="A40796" i="1"/>
  <c r="A40797" i="1"/>
  <c r="A40798" i="1"/>
  <c r="A40799" i="1"/>
  <c r="A40800" i="1"/>
  <c r="A40801" i="1"/>
  <c r="A40802" i="1"/>
  <c r="A40803" i="1"/>
  <c r="A40804" i="1"/>
  <c r="A40805" i="1"/>
  <c r="A40806" i="1"/>
  <c r="A40807" i="1"/>
  <c r="A40808" i="1"/>
  <c r="A40809" i="1"/>
  <c r="A40810" i="1"/>
  <c r="A40811" i="1"/>
  <c r="A40812" i="1"/>
  <c r="A40813" i="1"/>
  <c r="A40814" i="1"/>
  <c r="A40815" i="1"/>
  <c r="A40816" i="1"/>
  <c r="A40817" i="1"/>
  <c r="A40818" i="1"/>
  <c r="A40819" i="1"/>
  <c r="A40820" i="1"/>
  <c r="A40821" i="1"/>
  <c r="A40822" i="1"/>
  <c r="A40823" i="1"/>
  <c r="A40824" i="1"/>
  <c r="A40825" i="1"/>
  <c r="A40826" i="1"/>
  <c r="A40827" i="1"/>
  <c r="A40828" i="1"/>
  <c r="A40829" i="1"/>
  <c r="A40830" i="1"/>
  <c r="A40831" i="1"/>
  <c r="A40832" i="1"/>
  <c r="A40833" i="1"/>
  <c r="A40834" i="1"/>
  <c r="A40835" i="1"/>
  <c r="A40836" i="1"/>
  <c r="A40837" i="1"/>
  <c r="A40838" i="1"/>
  <c r="A40839" i="1"/>
  <c r="A40840" i="1"/>
  <c r="A40841" i="1"/>
  <c r="A40842" i="1"/>
  <c r="A40843" i="1"/>
  <c r="A40844" i="1"/>
  <c r="A40845" i="1"/>
  <c r="A40846" i="1"/>
  <c r="A40847" i="1"/>
  <c r="A40848" i="1"/>
  <c r="A40849" i="1"/>
  <c r="A40850" i="1"/>
  <c r="A40851" i="1"/>
  <c r="A40852" i="1"/>
  <c r="A40853" i="1"/>
  <c r="A40854" i="1"/>
  <c r="A40855" i="1"/>
  <c r="A40856" i="1"/>
  <c r="A40857" i="1"/>
  <c r="A40858" i="1"/>
  <c r="A40859" i="1"/>
  <c r="A40860" i="1"/>
  <c r="A40861" i="1"/>
  <c r="A40862" i="1"/>
  <c r="A40863" i="1"/>
  <c r="A40864" i="1"/>
  <c r="A40865" i="1"/>
  <c r="A40866" i="1"/>
  <c r="A40867" i="1"/>
  <c r="A40868" i="1"/>
  <c r="A40869" i="1"/>
  <c r="A40870" i="1"/>
  <c r="A40871" i="1"/>
  <c r="A40872" i="1"/>
  <c r="A40873" i="1"/>
  <c r="A40874" i="1"/>
  <c r="A40875" i="1"/>
  <c r="A40876" i="1"/>
  <c r="A40877" i="1"/>
  <c r="A40878" i="1"/>
  <c r="A40879" i="1"/>
  <c r="A40880" i="1"/>
  <c r="A40881" i="1"/>
  <c r="A40882" i="1"/>
  <c r="A40883" i="1"/>
  <c r="A40884" i="1"/>
  <c r="A40885" i="1"/>
  <c r="A40886" i="1"/>
  <c r="A40887" i="1"/>
  <c r="A40888" i="1"/>
  <c r="A40889" i="1"/>
  <c r="A40890" i="1"/>
  <c r="A40891" i="1"/>
  <c r="A40892" i="1"/>
  <c r="A40893" i="1"/>
  <c r="A40894" i="1"/>
  <c r="A40895" i="1"/>
  <c r="A40896" i="1"/>
  <c r="A40897" i="1"/>
  <c r="A40898" i="1"/>
  <c r="A40899" i="1"/>
  <c r="A40900" i="1"/>
  <c r="A40901" i="1"/>
  <c r="A40902" i="1"/>
  <c r="A40903" i="1"/>
  <c r="A40904" i="1"/>
  <c r="A40905" i="1"/>
  <c r="A40906" i="1"/>
  <c r="A40907" i="1"/>
  <c r="A40908" i="1"/>
  <c r="A40909" i="1"/>
  <c r="A40910" i="1"/>
  <c r="A40911" i="1"/>
  <c r="A40912" i="1"/>
  <c r="A40913" i="1"/>
  <c r="A40914" i="1"/>
  <c r="A40915" i="1"/>
  <c r="A40916" i="1"/>
  <c r="A40917" i="1"/>
  <c r="A40918" i="1"/>
  <c r="A40919" i="1"/>
  <c r="A40920" i="1"/>
  <c r="A40921" i="1"/>
  <c r="A40922" i="1"/>
  <c r="A40923" i="1"/>
  <c r="A40924" i="1"/>
  <c r="A40925" i="1"/>
  <c r="A40926" i="1"/>
  <c r="A40927" i="1"/>
  <c r="A40928" i="1"/>
  <c r="A40929" i="1"/>
  <c r="A40930" i="1"/>
  <c r="A40931" i="1"/>
  <c r="A40932" i="1"/>
  <c r="A40933" i="1"/>
  <c r="A40934" i="1"/>
  <c r="A40935" i="1"/>
  <c r="A40936" i="1"/>
  <c r="A40937" i="1"/>
  <c r="A40938" i="1"/>
  <c r="A40939" i="1"/>
  <c r="A40940" i="1"/>
  <c r="A40941" i="1"/>
  <c r="A40942" i="1"/>
  <c r="A40943" i="1"/>
  <c r="A40944" i="1"/>
  <c r="A40945" i="1"/>
  <c r="A40946" i="1"/>
  <c r="A40947" i="1"/>
  <c r="A40948" i="1"/>
  <c r="A40949" i="1"/>
  <c r="A40950" i="1"/>
  <c r="A40951" i="1"/>
  <c r="A40952" i="1"/>
  <c r="A40953" i="1"/>
  <c r="A40954" i="1"/>
  <c r="A40955" i="1"/>
  <c r="A40956" i="1"/>
  <c r="A40957" i="1"/>
  <c r="A40958" i="1"/>
  <c r="A40959" i="1"/>
  <c r="A40960" i="1"/>
  <c r="A40961" i="1"/>
  <c r="A40962" i="1"/>
  <c r="A40963" i="1"/>
  <c r="A40964" i="1"/>
  <c r="A40965" i="1"/>
  <c r="A40966" i="1"/>
  <c r="A40967" i="1"/>
  <c r="A40968" i="1"/>
  <c r="A40969" i="1"/>
  <c r="A40970" i="1"/>
  <c r="A40971" i="1"/>
  <c r="A40972" i="1"/>
  <c r="A40973" i="1"/>
  <c r="A40974" i="1"/>
  <c r="A40975" i="1"/>
  <c r="A40976" i="1"/>
  <c r="A40977" i="1"/>
  <c r="A40978" i="1"/>
  <c r="A40979" i="1"/>
  <c r="A40980" i="1"/>
  <c r="A40981" i="1"/>
  <c r="A40982" i="1"/>
  <c r="A40983" i="1"/>
  <c r="A40984" i="1"/>
  <c r="A40985" i="1"/>
  <c r="A40986" i="1"/>
  <c r="A40987" i="1"/>
  <c r="A40988" i="1"/>
  <c r="A40989" i="1"/>
  <c r="A40990" i="1"/>
  <c r="A40991" i="1"/>
  <c r="A40992" i="1"/>
  <c r="A40993" i="1"/>
  <c r="A40994" i="1"/>
  <c r="A40995" i="1"/>
  <c r="A40996" i="1"/>
  <c r="A40997" i="1"/>
  <c r="A40998" i="1"/>
  <c r="A40999" i="1"/>
  <c r="A41000" i="1"/>
  <c r="A41001" i="1"/>
  <c r="A41002" i="1"/>
  <c r="A41003" i="1"/>
  <c r="A41004" i="1"/>
  <c r="A41005" i="1"/>
  <c r="A41006" i="1"/>
  <c r="A41007" i="1"/>
  <c r="A41008" i="1"/>
  <c r="A41009" i="1"/>
  <c r="A41010" i="1"/>
  <c r="A41011" i="1"/>
  <c r="A41012" i="1"/>
  <c r="A41013" i="1"/>
  <c r="A41014" i="1"/>
  <c r="A41015" i="1"/>
  <c r="A41016" i="1"/>
  <c r="A41017" i="1"/>
  <c r="A41018" i="1"/>
  <c r="A41019" i="1"/>
  <c r="A41020" i="1"/>
  <c r="A41021" i="1"/>
  <c r="A41022" i="1"/>
  <c r="A41023" i="1"/>
  <c r="A41024" i="1"/>
  <c r="A41025" i="1"/>
  <c r="A41026" i="1"/>
  <c r="A41027" i="1"/>
  <c r="A41028" i="1"/>
  <c r="A41029" i="1"/>
  <c r="A41030" i="1"/>
  <c r="A41031" i="1"/>
  <c r="A41032" i="1"/>
  <c r="A41033" i="1"/>
  <c r="A41034" i="1"/>
  <c r="A41035" i="1"/>
  <c r="A41036" i="1"/>
  <c r="A41037" i="1"/>
  <c r="A41038" i="1"/>
  <c r="A41039" i="1"/>
  <c r="A41040" i="1"/>
  <c r="A41041" i="1"/>
  <c r="A41042" i="1"/>
  <c r="A41043" i="1"/>
  <c r="A41044" i="1"/>
  <c r="A41045" i="1"/>
  <c r="A41046" i="1"/>
  <c r="A41047" i="1"/>
  <c r="A41048" i="1"/>
  <c r="A41049" i="1"/>
  <c r="A41050" i="1"/>
  <c r="A41051" i="1"/>
  <c r="A41052" i="1"/>
  <c r="A41053" i="1"/>
  <c r="A41054" i="1"/>
  <c r="A41055" i="1"/>
  <c r="A41056" i="1"/>
  <c r="A41057" i="1"/>
  <c r="A41058" i="1"/>
  <c r="A41059" i="1"/>
  <c r="A41060" i="1"/>
  <c r="A41061" i="1"/>
  <c r="A41062" i="1"/>
  <c r="A41063" i="1"/>
  <c r="A41064" i="1"/>
  <c r="A41065" i="1"/>
  <c r="A41066" i="1"/>
  <c r="A41067" i="1"/>
  <c r="A41068" i="1"/>
  <c r="A41069" i="1"/>
  <c r="A41070" i="1"/>
  <c r="A41071" i="1"/>
  <c r="A41072" i="1"/>
  <c r="A41073" i="1"/>
  <c r="A41074" i="1"/>
  <c r="A41075" i="1"/>
  <c r="A41076" i="1"/>
  <c r="A41077" i="1"/>
  <c r="A41078" i="1"/>
  <c r="A41079" i="1"/>
  <c r="A41080" i="1"/>
  <c r="A41081" i="1"/>
  <c r="A41082" i="1"/>
  <c r="A41083" i="1"/>
  <c r="A41084" i="1"/>
  <c r="A41085" i="1"/>
  <c r="A41086" i="1"/>
  <c r="A41087" i="1"/>
  <c r="A41088" i="1"/>
  <c r="A41089" i="1"/>
  <c r="A41090" i="1"/>
  <c r="A41091" i="1"/>
  <c r="A41092" i="1"/>
  <c r="A41093" i="1"/>
  <c r="A41094" i="1"/>
  <c r="A41095" i="1"/>
  <c r="A41096" i="1"/>
  <c r="A41097" i="1"/>
  <c r="A41098" i="1"/>
  <c r="A41099" i="1"/>
  <c r="A41100" i="1"/>
  <c r="A41101" i="1"/>
  <c r="A41102" i="1"/>
  <c r="A41103" i="1"/>
  <c r="A41104" i="1"/>
  <c r="A41105" i="1"/>
  <c r="A41106" i="1"/>
  <c r="A41107" i="1"/>
  <c r="A41108" i="1"/>
  <c r="A41109" i="1"/>
  <c r="A41110" i="1"/>
  <c r="A41111" i="1"/>
  <c r="A41112" i="1"/>
  <c r="A41113" i="1"/>
  <c r="A41114" i="1"/>
  <c r="A41115" i="1"/>
  <c r="A41116" i="1"/>
  <c r="A41117" i="1"/>
  <c r="A41118" i="1"/>
  <c r="A41119" i="1"/>
  <c r="A41120" i="1"/>
  <c r="A41121" i="1"/>
  <c r="A41122" i="1"/>
  <c r="A41123" i="1"/>
  <c r="A41124" i="1"/>
  <c r="A41125" i="1"/>
  <c r="A41126" i="1"/>
  <c r="A41127" i="1"/>
  <c r="A41128" i="1"/>
  <c r="A41129" i="1"/>
  <c r="A41130" i="1"/>
  <c r="A41131" i="1"/>
  <c r="A41132" i="1"/>
  <c r="A41133" i="1"/>
  <c r="A41134" i="1"/>
  <c r="A41135" i="1"/>
  <c r="A41136" i="1"/>
  <c r="A41137" i="1"/>
  <c r="A41138" i="1"/>
  <c r="A41139" i="1"/>
  <c r="A41140" i="1"/>
  <c r="A41141" i="1"/>
  <c r="A41142" i="1"/>
  <c r="A41143" i="1"/>
  <c r="A41144" i="1"/>
  <c r="A41145" i="1"/>
  <c r="A41146" i="1"/>
  <c r="A41147" i="1"/>
  <c r="A41148" i="1"/>
  <c r="A41149" i="1"/>
  <c r="A41150" i="1"/>
  <c r="A41151" i="1"/>
  <c r="A41152" i="1"/>
  <c r="A41153" i="1"/>
  <c r="A41154" i="1"/>
  <c r="A41155" i="1"/>
  <c r="A41156" i="1"/>
  <c r="A41157" i="1"/>
  <c r="A41158" i="1"/>
  <c r="A41159" i="1"/>
  <c r="A41160" i="1"/>
  <c r="A41161" i="1"/>
  <c r="A41162" i="1"/>
  <c r="A41163" i="1"/>
  <c r="A41164" i="1"/>
  <c r="A41165" i="1"/>
  <c r="A41166" i="1"/>
  <c r="A41167" i="1"/>
  <c r="A41168" i="1"/>
  <c r="A41169" i="1"/>
  <c r="A41170" i="1"/>
  <c r="A41171" i="1"/>
  <c r="A41172" i="1"/>
  <c r="A41173" i="1"/>
  <c r="A41174" i="1"/>
  <c r="A41175" i="1"/>
  <c r="A41176" i="1"/>
  <c r="A41177" i="1"/>
  <c r="A41178" i="1"/>
  <c r="A41179" i="1"/>
  <c r="A41180" i="1"/>
  <c r="A41181" i="1"/>
  <c r="A41182" i="1"/>
  <c r="A41183" i="1"/>
  <c r="A41184" i="1"/>
  <c r="A41185" i="1"/>
  <c r="A41186" i="1"/>
  <c r="A41187" i="1"/>
  <c r="A41188" i="1"/>
  <c r="A41189" i="1"/>
  <c r="A41190" i="1"/>
  <c r="A41191" i="1"/>
  <c r="A41192" i="1"/>
  <c r="A41193" i="1"/>
  <c r="A41194" i="1"/>
  <c r="A41195" i="1"/>
  <c r="A41196" i="1"/>
  <c r="A41197" i="1"/>
  <c r="A41198" i="1"/>
  <c r="A41199" i="1"/>
  <c r="A41200" i="1"/>
  <c r="A41201" i="1"/>
  <c r="A41202" i="1"/>
  <c r="A41203" i="1"/>
  <c r="A41204" i="1"/>
  <c r="A41205" i="1"/>
  <c r="A41206" i="1"/>
  <c r="A41207" i="1"/>
  <c r="A41208" i="1"/>
  <c r="A41209" i="1"/>
  <c r="A41210" i="1"/>
  <c r="A41211" i="1"/>
  <c r="A41212" i="1"/>
  <c r="A41213" i="1"/>
  <c r="A41214" i="1"/>
  <c r="A41215" i="1"/>
  <c r="A41216" i="1"/>
  <c r="A41217" i="1"/>
  <c r="A41218" i="1"/>
  <c r="A41219" i="1"/>
  <c r="A41220" i="1"/>
  <c r="A41221" i="1"/>
  <c r="A41222" i="1"/>
  <c r="A41223" i="1"/>
  <c r="A41224" i="1"/>
  <c r="A41225" i="1"/>
  <c r="A41226" i="1"/>
  <c r="A41227" i="1"/>
  <c r="A41228" i="1"/>
  <c r="A41229" i="1"/>
  <c r="A41230" i="1"/>
  <c r="A41231" i="1"/>
  <c r="A41232" i="1"/>
  <c r="A41233" i="1"/>
  <c r="A41234" i="1"/>
  <c r="A41235" i="1"/>
  <c r="A41236" i="1"/>
  <c r="A41237" i="1"/>
  <c r="A41238" i="1"/>
  <c r="A41239" i="1"/>
  <c r="A41240" i="1"/>
  <c r="A41241" i="1"/>
  <c r="A41242" i="1"/>
  <c r="A41243" i="1"/>
  <c r="A41244" i="1"/>
  <c r="A41245" i="1"/>
  <c r="A41246" i="1"/>
  <c r="A41247" i="1"/>
  <c r="A41248" i="1"/>
  <c r="A41249" i="1"/>
  <c r="A41250" i="1"/>
  <c r="A41251" i="1"/>
  <c r="A41252" i="1"/>
  <c r="A41253" i="1"/>
  <c r="A41254" i="1"/>
  <c r="A41255" i="1"/>
  <c r="A41256" i="1"/>
  <c r="A41257" i="1"/>
  <c r="A41258" i="1"/>
  <c r="A41259" i="1"/>
  <c r="A41260" i="1"/>
  <c r="A41261" i="1"/>
  <c r="A41262" i="1"/>
  <c r="A41263" i="1"/>
  <c r="A41264" i="1"/>
  <c r="A41265" i="1"/>
  <c r="A41266" i="1"/>
  <c r="A41267" i="1"/>
  <c r="A41268" i="1"/>
  <c r="A41269" i="1"/>
  <c r="A41270" i="1"/>
  <c r="A41271" i="1"/>
  <c r="A41272" i="1"/>
  <c r="A41273" i="1"/>
  <c r="A41274" i="1"/>
  <c r="A41275" i="1"/>
  <c r="A41276" i="1"/>
  <c r="A41277" i="1"/>
  <c r="A41278" i="1"/>
  <c r="A41279" i="1"/>
  <c r="A41280" i="1"/>
  <c r="A41281" i="1"/>
  <c r="A41282" i="1"/>
  <c r="A41283" i="1"/>
  <c r="A41284" i="1"/>
  <c r="A41285" i="1"/>
  <c r="A41286" i="1"/>
  <c r="A41287" i="1"/>
  <c r="A41288" i="1"/>
  <c r="A41289" i="1"/>
  <c r="A41290" i="1"/>
  <c r="A41291" i="1"/>
  <c r="A41292" i="1"/>
  <c r="A41293" i="1"/>
  <c r="A41294" i="1"/>
  <c r="A41295" i="1"/>
  <c r="A41296" i="1"/>
  <c r="A41297" i="1"/>
  <c r="A41298" i="1"/>
  <c r="A41299" i="1"/>
  <c r="A41300" i="1"/>
  <c r="A41301" i="1"/>
  <c r="A41302" i="1"/>
  <c r="A41303" i="1"/>
  <c r="A41304" i="1"/>
  <c r="A41305" i="1"/>
  <c r="A41306" i="1"/>
  <c r="A41307" i="1"/>
  <c r="A41308" i="1"/>
  <c r="A41309" i="1"/>
  <c r="A41310" i="1"/>
  <c r="A41311" i="1"/>
  <c r="A41312" i="1"/>
  <c r="A41313" i="1"/>
  <c r="A41314" i="1"/>
  <c r="A41315" i="1"/>
  <c r="A41316" i="1"/>
  <c r="A41317" i="1"/>
  <c r="A41318" i="1"/>
  <c r="A41319" i="1"/>
  <c r="A41320" i="1"/>
  <c r="A41321" i="1"/>
  <c r="A41322" i="1"/>
  <c r="A41323" i="1"/>
  <c r="A41324" i="1"/>
  <c r="A41325" i="1"/>
  <c r="A41326" i="1"/>
  <c r="A41327" i="1"/>
  <c r="A41328" i="1"/>
  <c r="A41329" i="1"/>
  <c r="A41330" i="1"/>
  <c r="A41331" i="1"/>
  <c r="A41332" i="1"/>
  <c r="A41333" i="1"/>
  <c r="A41334" i="1"/>
  <c r="A41335" i="1"/>
  <c r="A41336" i="1"/>
  <c r="A41337" i="1"/>
  <c r="A41338" i="1"/>
  <c r="A41339" i="1"/>
  <c r="A41340" i="1"/>
  <c r="A41341" i="1"/>
  <c r="A41342" i="1"/>
  <c r="A41343" i="1"/>
  <c r="A41344" i="1"/>
  <c r="A41345" i="1"/>
  <c r="A41346" i="1"/>
  <c r="A41347" i="1"/>
  <c r="A41348" i="1"/>
  <c r="A41349" i="1"/>
  <c r="A41350" i="1"/>
  <c r="A41351" i="1"/>
  <c r="A41352" i="1"/>
  <c r="A41353" i="1"/>
  <c r="A41354" i="1"/>
  <c r="A41355" i="1"/>
  <c r="A41356" i="1"/>
  <c r="A41357" i="1"/>
  <c r="A41358" i="1"/>
  <c r="A41359" i="1"/>
  <c r="A41360" i="1"/>
  <c r="A41361" i="1"/>
  <c r="A41362" i="1"/>
  <c r="A41363" i="1"/>
  <c r="A41364" i="1"/>
  <c r="A41365" i="1"/>
  <c r="A41366" i="1"/>
  <c r="A41367" i="1"/>
  <c r="A41368" i="1"/>
  <c r="A41369" i="1"/>
  <c r="A41370" i="1"/>
  <c r="A41371" i="1"/>
  <c r="A41372" i="1"/>
  <c r="A41373" i="1"/>
  <c r="A41374" i="1"/>
  <c r="A41375" i="1"/>
  <c r="A41376" i="1"/>
  <c r="A41377" i="1"/>
  <c r="A41378" i="1"/>
  <c r="A41379" i="1"/>
  <c r="A41380" i="1"/>
  <c r="A41381" i="1"/>
  <c r="A41382" i="1"/>
  <c r="A41383" i="1"/>
  <c r="A41384" i="1"/>
  <c r="A41385" i="1"/>
  <c r="A41386" i="1"/>
  <c r="A41387" i="1"/>
  <c r="A41388" i="1"/>
  <c r="A41389" i="1"/>
  <c r="A41390" i="1"/>
  <c r="A41391" i="1"/>
  <c r="A41392" i="1"/>
  <c r="A41393" i="1"/>
  <c r="A41394" i="1"/>
  <c r="A41395" i="1"/>
  <c r="A41396" i="1"/>
  <c r="A41397" i="1"/>
  <c r="A41398" i="1"/>
  <c r="A41399" i="1"/>
  <c r="A41400" i="1"/>
  <c r="A41401" i="1"/>
  <c r="A41402" i="1"/>
  <c r="A41403" i="1"/>
  <c r="A41404" i="1"/>
  <c r="A41405" i="1"/>
  <c r="A41406" i="1"/>
  <c r="A41407" i="1"/>
  <c r="A41408" i="1"/>
  <c r="A41409" i="1"/>
  <c r="A41410" i="1"/>
  <c r="A41411" i="1"/>
  <c r="A41412" i="1"/>
  <c r="A41413" i="1"/>
  <c r="A41414" i="1"/>
  <c r="A41415" i="1"/>
  <c r="A41416" i="1"/>
  <c r="A41417" i="1"/>
  <c r="A41418" i="1"/>
  <c r="A41419" i="1"/>
  <c r="A41420" i="1"/>
  <c r="A41421" i="1"/>
  <c r="A41422" i="1"/>
  <c r="A41423" i="1"/>
  <c r="A41424" i="1"/>
  <c r="A41425" i="1"/>
  <c r="A41426" i="1"/>
  <c r="A41427" i="1"/>
  <c r="A41428" i="1"/>
  <c r="A41429" i="1"/>
  <c r="A41430" i="1"/>
  <c r="A41431" i="1"/>
  <c r="A41432" i="1"/>
  <c r="A41433" i="1"/>
  <c r="A41434" i="1"/>
  <c r="A41435" i="1"/>
  <c r="A41436" i="1"/>
  <c r="A41437" i="1"/>
  <c r="A41438" i="1"/>
  <c r="A41439" i="1"/>
  <c r="A41440" i="1"/>
  <c r="A41441" i="1"/>
  <c r="A41442" i="1"/>
  <c r="A41443" i="1"/>
  <c r="A41444" i="1"/>
  <c r="A41445" i="1"/>
  <c r="A41446" i="1"/>
  <c r="A41447" i="1"/>
  <c r="A41448" i="1"/>
  <c r="A41449" i="1"/>
  <c r="A41450" i="1"/>
  <c r="A41451" i="1"/>
  <c r="A41452" i="1"/>
  <c r="A41453" i="1"/>
  <c r="A41454" i="1"/>
  <c r="A41455" i="1"/>
  <c r="A41456" i="1"/>
  <c r="A41457" i="1"/>
  <c r="A41458" i="1"/>
  <c r="A41459" i="1"/>
  <c r="A41460" i="1"/>
  <c r="A41461" i="1"/>
  <c r="A41462" i="1"/>
  <c r="A41463" i="1"/>
  <c r="A41464" i="1"/>
  <c r="A41465" i="1"/>
  <c r="A41466" i="1"/>
  <c r="A41467" i="1"/>
  <c r="A41468" i="1"/>
  <c r="A41469" i="1"/>
  <c r="A41470" i="1"/>
  <c r="A41471" i="1"/>
  <c r="A41472" i="1"/>
  <c r="A41473" i="1"/>
  <c r="A41474" i="1"/>
  <c r="A41475" i="1"/>
  <c r="A41476" i="1"/>
  <c r="A41477" i="1"/>
  <c r="A41478" i="1"/>
  <c r="A41479" i="1"/>
  <c r="A41480" i="1"/>
  <c r="A41481" i="1"/>
  <c r="A41482" i="1"/>
  <c r="A41483" i="1"/>
  <c r="A41484" i="1"/>
  <c r="A41485" i="1"/>
  <c r="A41486" i="1"/>
  <c r="A41487" i="1"/>
  <c r="A41488" i="1"/>
  <c r="A41489" i="1"/>
  <c r="A41490" i="1"/>
  <c r="A41491" i="1"/>
  <c r="A41492" i="1"/>
  <c r="A41493" i="1"/>
  <c r="A41494" i="1"/>
  <c r="A41495" i="1"/>
  <c r="A41496" i="1"/>
  <c r="A41497" i="1"/>
  <c r="A41498" i="1"/>
  <c r="A41499" i="1"/>
  <c r="A41500" i="1"/>
  <c r="A41501" i="1"/>
  <c r="A41502" i="1"/>
  <c r="A41503" i="1"/>
  <c r="A41504" i="1"/>
  <c r="A41505" i="1"/>
  <c r="A41506" i="1"/>
  <c r="A41507" i="1"/>
  <c r="A41508" i="1"/>
  <c r="A41509" i="1"/>
  <c r="A41510" i="1"/>
  <c r="A41511" i="1"/>
  <c r="A41512" i="1"/>
  <c r="A41513" i="1"/>
  <c r="A41514" i="1"/>
  <c r="A41515" i="1"/>
  <c r="A41516" i="1"/>
  <c r="A41517" i="1"/>
  <c r="A41518" i="1"/>
  <c r="A41519" i="1"/>
  <c r="A41520" i="1"/>
  <c r="A41521" i="1"/>
  <c r="A41522" i="1"/>
  <c r="A41523" i="1"/>
  <c r="A41524" i="1"/>
  <c r="A41525" i="1"/>
  <c r="A41526" i="1"/>
  <c r="A41527" i="1"/>
  <c r="A41528" i="1"/>
  <c r="A41529" i="1"/>
  <c r="A41530" i="1"/>
  <c r="A41531" i="1"/>
  <c r="A41532" i="1"/>
  <c r="A41533" i="1"/>
  <c r="A41534" i="1"/>
  <c r="A41535" i="1"/>
  <c r="A41536" i="1"/>
  <c r="A41537" i="1"/>
  <c r="A41538" i="1"/>
  <c r="A41539" i="1"/>
  <c r="A41540" i="1"/>
  <c r="A41541" i="1"/>
  <c r="A41542" i="1"/>
  <c r="A41543" i="1"/>
  <c r="A41544" i="1"/>
  <c r="A41545" i="1"/>
  <c r="A41546" i="1"/>
  <c r="A41547" i="1"/>
  <c r="A41548" i="1"/>
  <c r="A41549" i="1"/>
  <c r="A41550" i="1"/>
  <c r="A41551" i="1"/>
  <c r="A41552" i="1"/>
  <c r="A41553" i="1"/>
  <c r="A41554" i="1"/>
  <c r="A41555" i="1"/>
  <c r="A41556" i="1"/>
  <c r="A41557" i="1"/>
  <c r="A41558" i="1"/>
  <c r="A41559" i="1"/>
  <c r="A41560" i="1"/>
  <c r="A41561" i="1"/>
  <c r="A41562" i="1"/>
  <c r="A41563" i="1"/>
  <c r="A41564" i="1"/>
  <c r="A41565" i="1"/>
  <c r="A41566" i="1"/>
  <c r="A41567" i="1"/>
  <c r="A41568" i="1"/>
  <c r="A41569" i="1"/>
  <c r="A41570" i="1"/>
  <c r="A41571" i="1"/>
  <c r="A41572" i="1"/>
  <c r="A41573" i="1"/>
  <c r="A41574" i="1"/>
  <c r="A41575" i="1"/>
  <c r="A41576" i="1"/>
  <c r="A41577" i="1"/>
  <c r="A41578" i="1"/>
  <c r="A41579" i="1"/>
  <c r="A41580" i="1"/>
  <c r="A41581" i="1"/>
  <c r="A41582" i="1"/>
  <c r="A41583" i="1"/>
  <c r="A41584" i="1"/>
  <c r="A41585" i="1"/>
  <c r="A41586" i="1"/>
  <c r="A41587" i="1"/>
  <c r="A41588" i="1"/>
  <c r="A41589" i="1"/>
  <c r="A41590" i="1"/>
  <c r="A41591" i="1"/>
  <c r="A41592" i="1"/>
  <c r="A41593" i="1"/>
  <c r="A41594" i="1"/>
  <c r="A41595" i="1"/>
  <c r="A41596" i="1"/>
  <c r="A41597" i="1"/>
  <c r="A41598" i="1"/>
  <c r="A41599" i="1"/>
  <c r="A41600" i="1"/>
  <c r="A41601" i="1"/>
  <c r="A41602" i="1"/>
  <c r="A41603" i="1"/>
  <c r="A41604" i="1"/>
  <c r="A41605" i="1"/>
  <c r="A41606" i="1"/>
  <c r="A41607" i="1"/>
  <c r="A41608" i="1"/>
  <c r="A41609" i="1"/>
  <c r="A41610" i="1"/>
  <c r="A41611" i="1"/>
  <c r="A41612" i="1"/>
  <c r="A41613" i="1"/>
  <c r="A41614" i="1"/>
  <c r="A41615" i="1"/>
  <c r="A41616" i="1"/>
  <c r="A41617" i="1"/>
  <c r="A41618" i="1"/>
  <c r="A41619" i="1"/>
  <c r="A41620" i="1"/>
  <c r="A41621" i="1"/>
  <c r="A41622" i="1"/>
  <c r="A41623" i="1"/>
  <c r="A41624" i="1"/>
  <c r="A41625" i="1"/>
  <c r="A41626" i="1"/>
  <c r="A41627" i="1"/>
  <c r="A41628" i="1"/>
  <c r="A41629" i="1"/>
  <c r="A41630" i="1"/>
  <c r="A41631" i="1"/>
  <c r="A41632" i="1"/>
  <c r="A41633" i="1"/>
  <c r="A41634" i="1"/>
  <c r="A41635" i="1"/>
  <c r="A41636" i="1"/>
  <c r="A41637" i="1"/>
  <c r="A41638" i="1"/>
  <c r="A41639" i="1"/>
  <c r="A41640" i="1"/>
  <c r="A41641" i="1"/>
  <c r="A41642" i="1"/>
  <c r="A41643" i="1"/>
  <c r="A41644" i="1"/>
  <c r="A41645" i="1"/>
  <c r="A41646" i="1"/>
  <c r="A41647" i="1"/>
  <c r="A41648" i="1"/>
  <c r="A41649" i="1"/>
  <c r="A41650" i="1"/>
  <c r="A41651" i="1"/>
  <c r="A41652" i="1"/>
  <c r="A41653" i="1"/>
  <c r="A41654" i="1"/>
  <c r="A41655" i="1"/>
  <c r="A41656" i="1"/>
  <c r="A41657" i="1"/>
  <c r="A41658" i="1"/>
  <c r="A41659" i="1"/>
  <c r="A41660" i="1"/>
  <c r="A41661" i="1"/>
  <c r="A41662" i="1"/>
  <c r="A41663" i="1"/>
  <c r="A41664" i="1"/>
  <c r="A41665" i="1"/>
  <c r="A41666" i="1"/>
  <c r="A41667" i="1"/>
  <c r="A41668" i="1"/>
  <c r="A41669" i="1"/>
  <c r="A41670" i="1"/>
  <c r="A41671" i="1"/>
  <c r="A41672" i="1"/>
  <c r="A41673" i="1"/>
  <c r="A41674" i="1"/>
  <c r="A41675" i="1"/>
  <c r="A41676" i="1"/>
  <c r="A41677" i="1"/>
  <c r="A41678" i="1"/>
  <c r="A41679" i="1"/>
  <c r="A41680" i="1"/>
  <c r="A41681" i="1"/>
  <c r="A41682" i="1"/>
  <c r="A41683" i="1"/>
  <c r="A41684" i="1"/>
  <c r="A41685" i="1"/>
  <c r="A41686" i="1"/>
  <c r="A41687" i="1"/>
  <c r="A41688" i="1"/>
  <c r="A41689" i="1"/>
  <c r="A41690" i="1"/>
  <c r="A41691" i="1"/>
  <c r="A41692" i="1"/>
  <c r="A41693" i="1"/>
  <c r="A41694" i="1"/>
  <c r="A41695" i="1"/>
  <c r="A41696" i="1"/>
  <c r="A41697" i="1"/>
  <c r="A41698" i="1"/>
  <c r="A41699" i="1"/>
  <c r="A41700" i="1"/>
  <c r="A41701" i="1"/>
  <c r="A41702" i="1"/>
  <c r="A41703" i="1"/>
  <c r="A41704" i="1"/>
  <c r="A41705" i="1"/>
  <c r="A41706" i="1"/>
  <c r="A41707" i="1"/>
  <c r="A41708" i="1"/>
  <c r="A41709" i="1"/>
  <c r="A41710" i="1"/>
  <c r="A41711" i="1"/>
  <c r="A41712" i="1"/>
  <c r="A41713" i="1"/>
  <c r="A41714" i="1"/>
  <c r="A41715" i="1"/>
  <c r="A41716" i="1"/>
  <c r="A41717" i="1"/>
  <c r="A41718" i="1"/>
  <c r="A41719" i="1"/>
  <c r="A41720" i="1"/>
  <c r="A41721" i="1"/>
  <c r="A41722" i="1"/>
  <c r="A41723" i="1"/>
  <c r="A41724" i="1"/>
  <c r="A41725" i="1"/>
  <c r="A41726" i="1"/>
  <c r="A41727" i="1"/>
  <c r="A41728" i="1"/>
  <c r="A41729" i="1"/>
  <c r="A41730" i="1"/>
  <c r="A41731" i="1"/>
  <c r="A41732" i="1"/>
  <c r="A41733" i="1"/>
  <c r="A41734" i="1"/>
  <c r="A41735" i="1"/>
  <c r="A41736" i="1"/>
  <c r="A41737" i="1"/>
  <c r="A41738" i="1"/>
  <c r="A41739" i="1"/>
  <c r="A41740" i="1"/>
  <c r="A41741" i="1"/>
  <c r="A41742" i="1"/>
  <c r="A41743" i="1"/>
  <c r="A41744" i="1"/>
  <c r="A41745" i="1"/>
  <c r="A41746" i="1"/>
  <c r="A41747" i="1"/>
  <c r="A41748" i="1"/>
  <c r="A41749" i="1"/>
  <c r="A41750" i="1"/>
  <c r="A41751" i="1"/>
  <c r="A41752" i="1"/>
  <c r="A41753" i="1"/>
  <c r="A41754" i="1"/>
  <c r="A41755" i="1"/>
  <c r="A41756" i="1"/>
  <c r="A41757" i="1"/>
  <c r="A41758" i="1"/>
  <c r="A41759" i="1"/>
  <c r="A41760" i="1"/>
  <c r="A41761" i="1"/>
  <c r="A41762" i="1"/>
  <c r="A41763" i="1"/>
  <c r="A41764" i="1"/>
  <c r="A41765" i="1"/>
  <c r="A41766" i="1"/>
  <c r="A41767" i="1"/>
  <c r="A41768" i="1"/>
  <c r="A41769" i="1"/>
  <c r="A41770" i="1"/>
  <c r="A41771" i="1"/>
  <c r="A41772" i="1"/>
  <c r="A41773" i="1"/>
  <c r="A41774" i="1"/>
  <c r="A41775" i="1"/>
  <c r="A41776" i="1"/>
  <c r="A41777" i="1"/>
  <c r="A41778" i="1"/>
  <c r="A41779" i="1"/>
  <c r="A41780" i="1"/>
  <c r="A41781" i="1"/>
  <c r="A41782" i="1"/>
  <c r="A41783" i="1"/>
  <c r="A41784" i="1"/>
  <c r="A41785" i="1"/>
  <c r="A41786" i="1"/>
  <c r="A41787" i="1"/>
  <c r="A41788" i="1"/>
  <c r="A41789" i="1"/>
  <c r="A41790" i="1"/>
  <c r="A41791" i="1"/>
  <c r="A41792" i="1"/>
  <c r="A41793" i="1"/>
  <c r="A41794" i="1"/>
  <c r="A41795" i="1"/>
  <c r="A41796" i="1"/>
  <c r="A41797" i="1"/>
  <c r="A41798" i="1"/>
  <c r="A41799" i="1"/>
  <c r="A41800" i="1"/>
  <c r="A41801" i="1"/>
  <c r="A41802" i="1"/>
  <c r="A41803" i="1"/>
  <c r="A41804" i="1"/>
  <c r="A41805" i="1"/>
  <c r="A41806" i="1"/>
  <c r="A41807" i="1"/>
  <c r="A41808" i="1"/>
  <c r="A41809" i="1"/>
  <c r="A41810" i="1"/>
  <c r="A41811" i="1"/>
  <c r="A41812" i="1"/>
  <c r="A41813" i="1"/>
  <c r="A41814" i="1"/>
  <c r="A41815" i="1"/>
  <c r="A41816" i="1"/>
  <c r="A41817" i="1"/>
  <c r="A41818" i="1"/>
  <c r="A41819" i="1"/>
  <c r="A41820" i="1"/>
  <c r="A41821" i="1"/>
  <c r="A41822" i="1"/>
  <c r="A41823" i="1"/>
  <c r="A41824" i="1"/>
  <c r="A41825" i="1"/>
  <c r="A41826" i="1"/>
  <c r="A41827" i="1"/>
  <c r="A41828" i="1"/>
  <c r="A41829" i="1"/>
  <c r="A41830" i="1"/>
  <c r="A41831" i="1"/>
  <c r="A41832" i="1"/>
  <c r="A41833" i="1"/>
  <c r="A41834" i="1"/>
  <c r="A41835" i="1"/>
  <c r="A41836" i="1"/>
  <c r="A41837" i="1"/>
  <c r="A41838" i="1"/>
  <c r="A41839" i="1"/>
  <c r="A41840" i="1"/>
  <c r="A41841" i="1"/>
  <c r="A41842" i="1"/>
  <c r="A41843" i="1"/>
  <c r="A41844" i="1"/>
  <c r="A41845" i="1"/>
  <c r="A41846" i="1"/>
  <c r="A41847" i="1"/>
  <c r="A41848" i="1"/>
  <c r="A41849" i="1"/>
  <c r="A41850" i="1"/>
  <c r="A41851" i="1"/>
  <c r="A41852" i="1"/>
  <c r="A41853" i="1"/>
  <c r="A41854" i="1"/>
  <c r="A41855" i="1"/>
  <c r="A41856" i="1"/>
  <c r="A41857" i="1"/>
  <c r="A41858" i="1"/>
  <c r="A41859" i="1"/>
  <c r="A41860" i="1"/>
  <c r="A41861" i="1"/>
  <c r="A41862" i="1"/>
  <c r="A41863" i="1"/>
  <c r="A41864" i="1"/>
  <c r="A41865" i="1"/>
  <c r="A41866" i="1"/>
  <c r="A41867" i="1"/>
  <c r="A41868" i="1"/>
  <c r="A41869" i="1"/>
  <c r="A41870" i="1"/>
  <c r="A41871" i="1"/>
  <c r="A41872" i="1"/>
  <c r="A41873" i="1"/>
  <c r="A41874" i="1"/>
  <c r="A41875" i="1"/>
  <c r="A41876" i="1"/>
  <c r="A41877" i="1"/>
  <c r="A41878" i="1"/>
  <c r="A41879" i="1"/>
  <c r="A41880" i="1"/>
  <c r="A41881" i="1"/>
  <c r="A41882" i="1"/>
  <c r="A41883" i="1"/>
  <c r="A41884" i="1"/>
  <c r="A41885" i="1"/>
  <c r="A41886" i="1"/>
  <c r="A41887" i="1"/>
  <c r="A41888" i="1"/>
  <c r="A41889" i="1"/>
  <c r="A41890" i="1"/>
  <c r="A41891" i="1"/>
  <c r="A41892" i="1"/>
  <c r="A41893" i="1"/>
  <c r="A41894" i="1"/>
  <c r="A41895" i="1"/>
  <c r="A41896" i="1"/>
  <c r="A41897" i="1"/>
  <c r="A41898" i="1"/>
  <c r="A41899" i="1"/>
  <c r="A41900" i="1"/>
  <c r="A41901" i="1"/>
  <c r="A41902" i="1"/>
  <c r="A41903" i="1"/>
  <c r="A41904" i="1"/>
  <c r="A41905" i="1"/>
  <c r="A41906" i="1"/>
  <c r="A41907" i="1"/>
  <c r="A41908" i="1"/>
  <c r="A41909" i="1"/>
  <c r="A41910" i="1"/>
  <c r="A41911" i="1"/>
  <c r="A41912" i="1"/>
  <c r="A41913" i="1"/>
  <c r="A41914" i="1"/>
  <c r="A41915" i="1"/>
  <c r="A41916" i="1"/>
  <c r="A41917" i="1"/>
  <c r="A41918" i="1"/>
  <c r="A41919" i="1"/>
  <c r="A41920" i="1"/>
  <c r="A41921" i="1"/>
  <c r="A41922" i="1"/>
  <c r="A41923" i="1"/>
  <c r="A41924" i="1"/>
  <c r="A41925" i="1"/>
  <c r="A41926" i="1"/>
  <c r="A41927" i="1"/>
  <c r="A41928" i="1"/>
  <c r="A41929" i="1"/>
  <c r="A41930" i="1"/>
  <c r="A41931" i="1"/>
  <c r="A41932" i="1"/>
  <c r="A41933" i="1"/>
  <c r="A41934" i="1"/>
  <c r="A41935" i="1"/>
  <c r="A41936" i="1"/>
  <c r="A41937" i="1"/>
  <c r="A41938" i="1"/>
  <c r="A41939" i="1"/>
  <c r="A41940" i="1"/>
  <c r="A41941" i="1"/>
  <c r="A41942" i="1"/>
  <c r="A41943" i="1"/>
  <c r="A41944" i="1"/>
  <c r="A41945" i="1"/>
  <c r="A41946" i="1"/>
  <c r="A41947" i="1"/>
  <c r="A41948" i="1"/>
  <c r="A41949" i="1"/>
  <c r="A41950" i="1"/>
  <c r="A41951" i="1"/>
  <c r="A41952" i="1"/>
  <c r="A41953" i="1"/>
  <c r="A41954" i="1"/>
  <c r="A41955" i="1"/>
  <c r="A41956" i="1"/>
  <c r="A41957" i="1"/>
  <c r="A41958" i="1"/>
  <c r="A41959" i="1"/>
  <c r="A41960" i="1"/>
  <c r="A41961" i="1"/>
  <c r="A41962" i="1"/>
  <c r="A41963" i="1"/>
  <c r="A41964" i="1"/>
  <c r="A41965" i="1"/>
  <c r="A41966" i="1"/>
  <c r="A41967" i="1"/>
  <c r="A41968" i="1"/>
  <c r="A41969" i="1"/>
  <c r="A41970" i="1"/>
  <c r="A41971" i="1"/>
  <c r="A41972" i="1"/>
  <c r="A41973" i="1"/>
  <c r="A41974" i="1"/>
  <c r="A41975" i="1"/>
  <c r="A41976" i="1"/>
  <c r="A41977" i="1"/>
  <c r="A41978" i="1"/>
  <c r="A41979" i="1"/>
  <c r="A41980" i="1"/>
  <c r="A41981" i="1"/>
  <c r="A41982" i="1"/>
  <c r="A41983" i="1"/>
  <c r="A41984" i="1"/>
  <c r="A41985" i="1"/>
  <c r="A41986" i="1"/>
  <c r="A41987" i="1"/>
  <c r="A41988" i="1"/>
  <c r="A41989" i="1"/>
  <c r="A41990" i="1"/>
  <c r="A41991" i="1"/>
  <c r="A41992" i="1"/>
  <c r="A41993" i="1"/>
  <c r="A41994" i="1"/>
  <c r="A41995" i="1"/>
  <c r="A41996" i="1"/>
  <c r="A41997" i="1"/>
  <c r="A41998" i="1"/>
  <c r="A41999" i="1"/>
  <c r="A42000" i="1"/>
  <c r="A42001" i="1"/>
  <c r="A42002" i="1"/>
  <c r="A42003" i="1"/>
  <c r="A42004" i="1"/>
  <c r="A42005" i="1"/>
  <c r="A42006" i="1"/>
  <c r="A42007" i="1"/>
  <c r="A42008" i="1"/>
  <c r="A42009" i="1"/>
  <c r="A42010" i="1"/>
  <c r="A42011" i="1"/>
  <c r="A42012" i="1"/>
  <c r="A42013" i="1"/>
  <c r="A42014" i="1"/>
  <c r="A42015" i="1"/>
  <c r="A42016" i="1"/>
  <c r="A42017" i="1"/>
  <c r="A42018" i="1"/>
  <c r="A42019" i="1"/>
  <c r="A42020" i="1"/>
  <c r="A42021" i="1"/>
  <c r="A42022" i="1"/>
  <c r="A42023" i="1"/>
  <c r="A42024" i="1"/>
  <c r="A42025" i="1"/>
  <c r="A42026" i="1"/>
  <c r="A42027" i="1"/>
  <c r="A42028" i="1"/>
  <c r="A42029" i="1"/>
  <c r="A42030" i="1"/>
  <c r="A42031" i="1"/>
  <c r="A42032" i="1"/>
  <c r="A42033" i="1"/>
  <c r="A42034" i="1"/>
  <c r="A42035" i="1"/>
  <c r="A42036" i="1"/>
  <c r="A42037" i="1"/>
  <c r="A42038" i="1"/>
  <c r="A42039" i="1"/>
  <c r="A42040" i="1"/>
  <c r="A42041" i="1"/>
  <c r="A42042" i="1"/>
  <c r="A42043" i="1"/>
  <c r="A42044" i="1"/>
  <c r="A42045" i="1"/>
  <c r="A42046" i="1"/>
  <c r="A42047" i="1"/>
  <c r="A42048" i="1"/>
  <c r="A42049" i="1"/>
  <c r="A42050" i="1"/>
  <c r="A42051" i="1"/>
  <c r="A42052" i="1"/>
  <c r="A42053" i="1"/>
  <c r="A42054" i="1"/>
  <c r="A42055" i="1"/>
  <c r="A42056" i="1"/>
  <c r="A42057" i="1"/>
  <c r="A42058" i="1"/>
  <c r="A42059" i="1"/>
  <c r="A42060" i="1"/>
  <c r="A42061" i="1"/>
  <c r="A42062" i="1"/>
  <c r="A42063" i="1"/>
  <c r="A42064" i="1"/>
  <c r="A42065" i="1"/>
  <c r="A42066" i="1"/>
  <c r="A42067" i="1"/>
  <c r="A42068" i="1"/>
  <c r="A42069" i="1"/>
  <c r="A42070" i="1"/>
  <c r="A42071" i="1"/>
  <c r="A42072" i="1"/>
  <c r="A42073" i="1"/>
  <c r="A42074" i="1"/>
  <c r="A42075" i="1"/>
  <c r="A42076" i="1"/>
  <c r="A42077" i="1"/>
  <c r="A42078" i="1"/>
  <c r="A42079" i="1"/>
  <c r="A42080" i="1"/>
  <c r="A42081" i="1"/>
  <c r="A42082" i="1"/>
  <c r="A42083" i="1"/>
  <c r="A42084" i="1"/>
  <c r="A42085" i="1"/>
  <c r="A42086" i="1"/>
  <c r="A42087" i="1"/>
  <c r="A42088" i="1"/>
  <c r="A42089" i="1"/>
  <c r="A42090" i="1"/>
  <c r="A42091" i="1"/>
  <c r="A42092" i="1"/>
  <c r="A42093" i="1"/>
  <c r="A42094" i="1"/>
  <c r="A42095" i="1"/>
  <c r="A42096" i="1"/>
  <c r="A42097" i="1"/>
  <c r="A42098" i="1"/>
  <c r="A42099" i="1"/>
  <c r="A42100" i="1"/>
  <c r="A42101" i="1"/>
  <c r="A42102" i="1"/>
  <c r="A42103" i="1"/>
  <c r="A42104" i="1"/>
  <c r="A42105" i="1"/>
  <c r="A42106" i="1"/>
  <c r="A42107" i="1"/>
  <c r="A42108" i="1"/>
  <c r="A42109" i="1"/>
  <c r="A42110" i="1"/>
  <c r="A42111" i="1"/>
  <c r="A42112" i="1"/>
  <c r="A42113" i="1"/>
  <c r="A42114" i="1"/>
  <c r="A42115" i="1"/>
  <c r="A42116" i="1"/>
  <c r="A42117" i="1"/>
  <c r="A42118" i="1"/>
  <c r="A42119" i="1"/>
  <c r="A42120" i="1"/>
  <c r="A42121" i="1"/>
  <c r="A42122" i="1"/>
  <c r="A42123" i="1"/>
  <c r="A42124" i="1"/>
  <c r="A42125" i="1"/>
  <c r="A42126" i="1"/>
  <c r="A42127" i="1"/>
  <c r="A42128" i="1"/>
  <c r="A42129" i="1"/>
  <c r="A42130" i="1"/>
  <c r="A42131" i="1"/>
  <c r="A42132" i="1"/>
  <c r="A42133" i="1"/>
  <c r="A42134" i="1"/>
  <c r="A42135" i="1"/>
  <c r="A42136" i="1"/>
  <c r="A42137" i="1"/>
  <c r="A42138" i="1"/>
  <c r="A42139" i="1"/>
  <c r="A42140" i="1"/>
  <c r="A42141" i="1"/>
  <c r="A42142" i="1"/>
  <c r="A42143" i="1"/>
  <c r="A42144" i="1"/>
  <c r="A42145" i="1"/>
  <c r="A42146" i="1"/>
  <c r="A42147" i="1"/>
  <c r="A42148" i="1"/>
  <c r="A42149" i="1"/>
  <c r="A42150" i="1"/>
  <c r="A42151" i="1"/>
  <c r="A42152" i="1"/>
  <c r="A42153" i="1"/>
  <c r="A42154" i="1"/>
  <c r="A42155" i="1"/>
  <c r="A42156" i="1"/>
  <c r="A42157" i="1"/>
  <c r="A42158" i="1"/>
  <c r="A42159" i="1"/>
  <c r="A42160" i="1"/>
  <c r="A42161" i="1"/>
  <c r="A42162" i="1"/>
  <c r="A42163" i="1"/>
  <c r="A42164" i="1"/>
  <c r="A42165" i="1"/>
  <c r="A42166" i="1"/>
  <c r="A42167" i="1"/>
  <c r="A42168" i="1"/>
  <c r="A42169" i="1"/>
  <c r="A42170" i="1"/>
  <c r="A42171" i="1"/>
  <c r="A42172" i="1"/>
  <c r="A42173" i="1"/>
  <c r="A42174" i="1"/>
  <c r="A42175" i="1"/>
  <c r="A42176" i="1"/>
  <c r="A42177" i="1"/>
  <c r="A42178" i="1"/>
  <c r="A42179" i="1"/>
  <c r="A42180" i="1"/>
  <c r="A42181" i="1"/>
  <c r="A42182" i="1"/>
  <c r="A42183" i="1"/>
  <c r="A42184" i="1"/>
  <c r="A42185" i="1"/>
  <c r="A42186" i="1"/>
  <c r="A42187" i="1"/>
  <c r="A42188" i="1"/>
  <c r="A42189" i="1"/>
  <c r="A42190" i="1"/>
  <c r="A42191" i="1"/>
  <c r="A42192" i="1"/>
  <c r="A42193" i="1"/>
  <c r="A42194" i="1"/>
  <c r="A42195" i="1"/>
  <c r="A42196" i="1"/>
  <c r="A42197" i="1"/>
  <c r="A42198" i="1"/>
  <c r="A42199" i="1"/>
  <c r="A42200" i="1"/>
  <c r="A42201" i="1"/>
  <c r="A42202" i="1"/>
  <c r="A42203" i="1"/>
  <c r="A42204" i="1"/>
  <c r="A42205" i="1"/>
  <c r="A42206" i="1"/>
  <c r="A42207" i="1"/>
  <c r="A42208" i="1"/>
  <c r="A42209" i="1"/>
  <c r="A42210" i="1"/>
  <c r="A42211" i="1"/>
  <c r="A42212" i="1"/>
  <c r="A42213" i="1"/>
  <c r="A42214" i="1"/>
  <c r="A42215" i="1"/>
  <c r="A42216" i="1"/>
  <c r="A42217" i="1"/>
  <c r="A42218" i="1"/>
  <c r="A42219" i="1"/>
  <c r="A42220" i="1"/>
  <c r="A42221" i="1"/>
  <c r="A42222" i="1"/>
  <c r="A42223" i="1"/>
  <c r="A42224" i="1"/>
  <c r="A42225" i="1"/>
  <c r="A42226" i="1"/>
  <c r="A42227" i="1"/>
  <c r="A42228" i="1"/>
  <c r="A42229" i="1"/>
  <c r="A42230" i="1"/>
  <c r="A42231" i="1"/>
  <c r="A42232" i="1"/>
  <c r="A42233" i="1"/>
  <c r="A42234" i="1"/>
  <c r="A42235" i="1"/>
  <c r="A42236" i="1"/>
  <c r="A42237" i="1"/>
  <c r="A42238" i="1"/>
  <c r="A42239" i="1"/>
  <c r="A42240" i="1"/>
  <c r="A42241" i="1"/>
  <c r="A42242" i="1"/>
  <c r="A42243" i="1"/>
  <c r="A42244" i="1"/>
  <c r="A42245" i="1"/>
  <c r="A42246" i="1"/>
  <c r="A42247" i="1"/>
  <c r="A42248" i="1"/>
  <c r="A42249" i="1"/>
  <c r="A42250" i="1"/>
  <c r="A42251" i="1"/>
  <c r="A42252" i="1"/>
  <c r="A42253" i="1"/>
  <c r="A42254" i="1"/>
  <c r="A42255" i="1"/>
  <c r="A42256" i="1"/>
  <c r="A42257" i="1"/>
  <c r="A42258" i="1"/>
  <c r="A42259" i="1"/>
  <c r="A42260" i="1"/>
  <c r="A42261" i="1"/>
  <c r="A42262" i="1"/>
  <c r="A42263" i="1"/>
  <c r="A42264" i="1"/>
  <c r="A42265" i="1"/>
  <c r="A42266" i="1"/>
  <c r="A42267" i="1"/>
  <c r="A42268" i="1"/>
  <c r="A42269" i="1"/>
  <c r="A42270" i="1"/>
  <c r="A42271" i="1"/>
  <c r="A42272" i="1"/>
  <c r="A42273" i="1"/>
  <c r="A42274" i="1"/>
  <c r="A42275" i="1"/>
  <c r="A42276" i="1"/>
  <c r="A42277" i="1"/>
  <c r="A42278" i="1"/>
  <c r="A42279" i="1"/>
  <c r="A42280" i="1"/>
  <c r="A42281" i="1"/>
  <c r="A42282" i="1"/>
  <c r="A42283" i="1"/>
  <c r="A42284" i="1"/>
  <c r="A42285" i="1"/>
  <c r="A42286" i="1"/>
  <c r="A42287" i="1"/>
  <c r="A42288" i="1"/>
  <c r="A42289" i="1"/>
  <c r="A42290" i="1"/>
  <c r="A42291" i="1"/>
  <c r="A42292" i="1"/>
  <c r="A42293" i="1"/>
  <c r="A42294" i="1"/>
  <c r="A42295" i="1"/>
  <c r="A42296" i="1"/>
  <c r="A42297" i="1"/>
  <c r="A42298" i="1"/>
  <c r="A42299" i="1"/>
  <c r="A42300" i="1"/>
  <c r="A42301" i="1"/>
  <c r="A42302" i="1"/>
  <c r="A42303" i="1"/>
  <c r="A42304" i="1"/>
  <c r="A42305" i="1"/>
  <c r="A42306" i="1"/>
  <c r="A42307" i="1"/>
  <c r="A42308" i="1"/>
  <c r="A42309" i="1"/>
  <c r="A42310" i="1"/>
  <c r="A42311" i="1"/>
  <c r="A42312" i="1"/>
  <c r="A42313" i="1"/>
  <c r="A42314" i="1"/>
  <c r="A42315" i="1"/>
  <c r="A42316" i="1"/>
  <c r="A42317" i="1"/>
  <c r="A42318" i="1"/>
  <c r="A42319" i="1"/>
  <c r="A42320" i="1"/>
  <c r="A42321" i="1"/>
  <c r="A42322" i="1"/>
  <c r="A42323" i="1"/>
  <c r="A42324" i="1"/>
  <c r="A42325" i="1"/>
  <c r="A42326" i="1"/>
  <c r="A42327" i="1"/>
  <c r="A42328" i="1"/>
  <c r="A42329" i="1"/>
  <c r="A42330" i="1"/>
  <c r="A42331" i="1"/>
  <c r="A42332" i="1"/>
  <c r="A42333" i="1"/>
  <c r="A42334" i="1"/>
  <c r="A42335" i="1"/>
  <c r="A42336" i="1"/>
  <c r="A42337" i="1"/>
  <c r="A42338" i="1"/>
  <c r="A42339" i="1"/>
  <c r="A42340" i="1"/>
  <c r="A42341" i="1"/>
  <c r="A42342" i="1"/>
  <c r="A42343" i="1"/>
  <c r="A42344" i="1"/>
  <c r="A42345" i="1"/>
  <c r="A42346" i="1"/>
  <c r="A42347" i="1"/>
  <c r="A42348" i="1"/>
  <c r="A42349" i="1"/>
  <c r="A42350" i="1"/>
  <c r="A42351" i="1"/>
  <c r="A42352" i="1"/>
  <c r="A42353" i="1"/>
  <c r="A42354" i="1"/>
  <c r="A42355" i="1"/>
  <c r="A42356" i="1"/>
  <c r="A42357" i="1"/>
  <c r="A42358" i="1"/>
  <c r="A42359" i="1"/>
  <c r="A42360" i="1"/>
  <c r="A42361" i="1"/>
  <c r="A42362" i="1"/>
  <c r="A42363" i="1"/>
  <c r="A42364" i="1"/>
  <c r="A42365" i="1"/>
  <c r="A42366" i="1"/>
  <c r="A42367" i="1"/>
  <c r="A42368" i="1"/>
  <c r="A42369" i="1"/>
  <c r="A42370" i="1"/>
  <c r="A42371" i="1"/>
  <c r="A42372" i="1"/>
  <c r="A42373" i="1"/>
  <c r="A42374" i="1"/>
  <c r="A42375" i="1"/>
  <c r="A42376" i="1"/>
  <c r="A42377" i="1"/>
  <c r="A42378" i="1"/>
  <c r="A42379" i="1"/>
  <c r="A42380" i="1"/>
  <c r="A42381" i="1"/>
  <c r="A42382" i="1"/>
  <c r="A42383" i="1"/>
  <c r="A42384" i="1"/>
  <c r="A42385" i="1"/>
  <c r="A42386" i="1"/>
  <c r="A42387" i="1"/>
  <c r="A42388" i="1"/>
  <c r="A42389" i="1"/>
  <c r="A42390" i="1"/>
  <c r="A42391" i="1"/>
  <c r="A42392" i="1"/>
  <c r="A42393" i="1"/>
  <c r="A42394" i="1"/>
  <c r="A42395" i="1"/>
  <c r="A42396" i="1"/>
  <c r="A42397" i="1"/>
  <c r="A42398" i="1"/>
  <c r="A42399" i="1"/>
  <c r="A42400" i="1"/>
  <c r="A42401" i="1"/>
  <c r="A42402" i="1"/>
  <c r="A42403" i="1"/>
  <c r="A42404" i="1"/>
  <c r="A42405" i="1"/>
  <c r="A42406" i="1"/>
  <c r="A42407" i="1"/>
  <c r="A42408" i="1"/>
  <c r="A42409" i="1"/>
  <c r="A42410" i="1"/>
  <c r="A42411" i="1"/>
  <c r="A42412" i="1"/>
  <c r="A42413" i="1"/>
  <c r="A42414" i="1"/>
  <c r="A42415" i="1"/>
  <c r="A42416" i="1"/>
  <c r="A42417" i="1"/>
  <c r="A42418" i="1"/>
  <c r="A42419" i="1"/>
  <c r="A42420" i="1"/>
  <c r="A42421" i="1"/>
  <c r="A42422" i="1"/>
  <c r="A42423" i="1"/>
  <c r="A42424" i="1"/>
  <c r="A42425" i="1"/>
  <c r="A42426" i="1"/>
  <c r="A42427" i="1"/>
  <c r="A42428" i="1"/>
  <c r="A42429" i="1"/>
  <c r="A42430" i="1"/>
  <c r="A42431" i="1"/>
  <c r="A42432" i="1"/>
  <c r="A42433" i="1"/>
  <c r="A42434" i="1"/>
  <c r="A42435" i="1"/>
  <c r="A42436" i="1"/>
  <c r="A42437" i="1"/>
  <c r="A42438" i="1"/>
  <c r="A42439" i="1"/>
  <c r="A42440" i="1"/>
  <c r="A42441" i="1"/>
  <c r="A42442" i="1"/>
  <c r="A42443" i="1"/>
  <c r="A42444" i="1"/>
  <c r="A42445" i="1"/>
  <c r="A42446" i="1"/>
  <c r="A42447" i="1"/>
  <c r="A42448" i="1"/>
  <c r="A42449" i="1"/>
  <c r="A42450" i="1"/>
  <c r="A42451" i="1"/>
  <c r="A42452" i="1"/>
  <c r="A42453" i="1"/>
  <c r="A42454" i="1"/>
  <c r="A42455" i="1"/>
  <c r="A42456" i="1"/>
  <c r="A42457" i="1"/>
  <c r="A42458" i="1"/>
  <c r="A42459" i="1"/>
  <c r="A42460" i="1"/>
  <c r="A42461" i="1"/>
  <c r="A42462" i="1"/>
  <c r="A42463" i="1"/>
  <c r="A42464" i="1"/>
  <c r="A42465" i="1"/>
  <c r="A42466" i="1"/>
  <c r="A42467" i="1"/>
  <c r="A42468" i="1"/>
  <c r="A42469" i="1"/>
  <c r="A42470" i="1"/>
  <c r="A42471" i="1"/>
  <c r="A42472" i="1"/>
  <c r="A42473" i="1"/>
  <c r="A42474" i="1"/>
  <c r="A42475" i="1"/>
  <c r="A42476" i="1"/>
  <c r="A42477" i="1"/>
  <c r="A42478" i="1"/>
  <c r="A42479" i="1"/>
  <c r="A42480" i="1"/>
  <c r="A42481" i="1"/>
  <c r="A42482" i="1"/>
  <c r="A42483" i="1"/>
  <c r="A42484" i="1"/>
  <c r="A42485" i="1"/>
  <c r="A42486" i="1"/>
  <c r="A42487" i="1"/>
  <c r="A42488" i="1"/>
  <c r="A42489" i="1"/>
  <c r="A42490" i="1"/>
  <c r="A42491" i="1"/>
  <c r="A42492" i="1"/>
  <c r="A42493" i="1"/>
  <c r="A42494" i="1"/>
  <c r="A42495" i="1"/>
  <c r="A42496" i="1"/>
  <c r="A42497" i="1"/>
  <c r="A42498" i="1"/>
  <c r="A42499" i="1"/>
  <c r="A42500" i="1"/>
  <c r="A42501" i="1"/>
  <c r="A42502" i="1"/>
  <c r="A42503" i="1"/>
  <c r="A42504" i="1"/>
  <c r="A42505" i="1"/>
  <c r="A42506" i="1"/>
  <c r="A42507" i="1"/>
  <c r="A42508" i="1"/>
  <c r="A42509" i="1"/>
  <c r="A42510" i="1"/>
  <c r="A42511" i="1"/>
  <c r="A42512" i="1"/>
  <c r="A42513" i="1"/>
  <c r="A42514" i="1"/>
  <c r="A42515" i="1"/>
  <c r="A42516" i="1"/>
  <c r="A42517" i="1"/>
  <c r="A42518" i="1"/>
  <c r="A42519" i="1"/>
  <c r="A42520" i="1"/>
  <c r="A42521" i="1"/>
  <c r="A42522" i="1"/>
  <c r="A42523" i="1"/>
  <c r="A42524" i="1"/>
  <c r="A42525" i="1"/>
  <c r="A42526" i="1"/>
  <c r="A42527" i="1"/>
  <c r="A42528" i="1"/>
  <c r="A42529" i="1"/>
  <c r="A42530" i="1"/>
  <c r="A42531" i="1"/>
  <c r="A42532" i="1"/>
  <c r="A42533" i="1"/>
  <c r="A42534" i="1"/>
  <c r="A42535" i="1"/>
  <c r="A42536" i="1"/>
  <c r="A42537" i="1"/>
  <c r="A42538" i="1"/>
  <c r="A42539" i="1"/>
  <c r="A42540" i="1"/>
  <c r="A42541" i="1"/>
  <c r="A42542" i="1"/>
  <c r="A42543" i="1"/>
  <c r="A42544" i="1"/>
  <c r="A42545" i="1"/>
  <c r="A42546" i="1"/>
  <c r="A42547" i="1"/>
  <c r="A42548" i="1"/>
  <c r="A42549" i="1"/>
  <c r="A42550" i="1"/>
  <c r="A42551" i="1"/>
  <c r="A42552" i="1"/>
  <c r="A42553" i="1"/>
  <c r="A42554" i="1"/>
  <c r="A42555" i="1"/>
  <c r="A42556" i="1"/>
  <c r="A42557" i="1"/>
  <c r="A42558" i="1"/>
  <c r="A42559" i="1"/>
  <c r="A42560" i="1"/>
  <c r="A42561" i="1"/>
  <c r="A42562" i="1"/>
  <c r="A42563" i="1"/>
  <c r="A42564" i="1"/>
  <c r="A42565" i="1"/>
  <c r="A42566" i="1"/>
  <c r="A42567" i="1"/>
  <c r="A42568" i="1"/>
  <c r="A42569" i="1"/>
  <c r="A42570" i="1"/>
  <c r="A42571" i="1"/>
  <c r="A42572" i="1"/>
  <c r="A42573" i="1"/>
  <c r="A42574" i="1"/>
  <c r="A42575" i="1"/>
  <c r="A42576" i="1"/>
  <c r="A42577" i="1"/>
  <c r="A42578" i="1"/>
  <c r="A42579" i="1"/>
  <c r="A42580" i="1"/>
  <c r="A42581" i="1"/>
  <c r="A42582" i="1"/>
  <c r="A42583" i="1"/>
  <c r="A42584" i="1"/>
  <c r="A42585" i="1"/>
  <c r="A42586" i="1"/>
  <c r="A42587" i="1"/>
  <c r="A42588" i="1"/>
  <c r="A42589" i="1"/>
  <c r="A42590" i="1"/>
  <c r="A42591" i="1"/>
  <c r="A42592" i="1"/>
  <c r="A42593" i="1"/>
  <c r="A42594" i="1"/>
  <c r="A42595" i="1"/>
  <c r="A42596" i="1"/>
  <c r="A42597" i="1"/>
  <c r="A42598" i="1"/>
  <c r="A42599" i="1"/>
  <c r="A42600" i="1"/>
  <c r="A42601" i="1"/>
  <c r="A42602" i="1"/>
  <c r="A42603" i="1"/>
  <c r="A42604" i="1"/>
  <c r="A42605" i="1"/>
  <c r="A42606" i="1"/>
  <c r="A42607" i="1"/>
  <c r="A42608" i="1"/>
  <c r="A42609" i="1"/>
  <c r="A42610" i="1"/>
  <c r="A42611" i="1"/>
  <c r="A42612" i="1"/>
  <c r="A42613" i="1"/>
  <c r="A42614" i="1"/>
  <c r="A42615" i="1"/>
  <c r="A42616" i="1"/>
  <c r="A42617" i="1"/>
  <c r="A42618" i="1"/>
  <c r="A42619" i="1"/>
  <c r="A42620" i="1"/>
  <c r="A42621" i="1"/>
  <c r="A42622" i="1"/>
  <c r="A42623" i="1"/>
  <c r="A42624" i="1"/>
  <c r="A42625" i="1"/>
  <c r="A42626" i="1"/>
  <c r="A42627" i="1"/>
  <c r="A42628" i="1"/>
  <c r="A42629" i="1"/>
  <c r="A42630" i="1"/>
  <c r="A42631" i="1"/>
  <c r="A42632" i="1"/>
  <c r="A42633" i="1"/>
  <c r="A42634" i="1"/>
  <c r="A42635" i="1"/>
  <c r="A42636" i="1"/>
  <c r="A42637" i="1"/>
  <c r="A42638" i="1"/>
  <c r="A42639" i="1"/>
  <c r="A42640" i="1"/>
  <c r="A42641" i="1"/>
  <c r="A42642" i="1"/>
  <c r="A42643" i="1"/>
  <c r="A42644" i="1"/>
  <c r="A42645" i="1"/>
  <c r="A42646" i="1"/>
  <c r="A42647" i="1"/>
  <c r="A42648" i="1"/>
  <c r="A42649" i="1"/>
  <c r="A42650" i="1"/>
  <c r="A42651" i="1"/>
  <c r="A42652" i="1"/>
  <c r="A42653" i="1"/>
  <c r="A42654" i="1"/>
  <c r="A42655" i="1"/>
  <c r="A42656" i="1"/>
  <c r="A42657" i="1"/>
  <c r="A42658" i="1"/>
  <c r="A42659" i="1"/>
  <c r="A42660" i="1"/>
  <c r="A42661" i="1"/>
  <c r="A42662" i="1"/>
  <c r="A42663" i="1"/>
  <c r="A42664" i="1"/>
  <c r="A42665" i="1"/>
  <c r="A42666" i="1"/>
  <c r="A42667" i="1"/>
  <c r="A42668" i="1"/>
  <c r="A42669" i="1"/>
  <c r="A42670" i="1"/>
  <c r="A42671" i="1"/>
  <c r="A42672" i="1"/>
  <c r="A42673" i="1"/>
  <c r="A42674" i="1"/>
  <c r="A42675" i="1"/>
  <c r="A42676" i="1"/>
  <c r="A42677" i="1"/>
  <c r="A42678" i="1"/>
  <c r="A42679" i="1"/>
  <c r="A42680" i="1"/>
  <c r="A42681" i="1"/>
  <c r="A42682" i="1"/>
  <c r="A42683" i="1"/>
  <c r="A42684" i="1"/>
  <c r="A42685" i="1"/>
  <c r="A42686" i="1"/>
  <c r="A42687" i="1"/>
  <c r="A42688" i="1"/>
  <c r="A42689" i="1"/>
  <c r="A42690" i="1"/>
  <c r="A42691" i="1"/>
  <c r="A42692" i="1"/>
  <c r="A42693" i="1"/>
  <c r="A42694" i="1"/>
  <c r="A42695" i="1"/>
  <c r="A42696" i="1"/>
  <c r="A42697" i="1"/>
  <c r="A42698" i="1"/>
  <c r="A42699" i="1"/>
  <c r="A42700" i="1"/>
  <c r="A42701" i="1"/>
  <c r="A42702" i="1"/>
  <c r="A42703" i="1"/>
  <c r="A42704" i="1"/>
  <c r="A42705" i="1"/>
  <c r="A42706" i="1"/>
  <c r="A42707" i="1"/>
  <c r="A42708" i="1"/>
  <c r="A42709" i="1"/>
  <c r="A42710" i="1"/>
  <c r="A42711" i="1"/>
  <c r="A42712" i="1"/>
  <c r="A42713" i="1"/>
  <c r="A42714" i="1"/>
  <c r="A42715" i="1"/>
  <c r="A42716" i="1"/>
  <c r="A42717" i="1"/>
  <c r="A42718" i="1"/>
  <c r="A42719" i="1"/>
  <c r="A42720" i="1"/>
  <c r="A42721" i="1"/>
  <c r="A42722" i="1"/>
  <c r="A42723" i="1"/>
  <c r="A42724" i="1"/>
  <c r="A42725" i="1"/>
  <c r="A42726" i="1"/>
  <c r="A42727" i="1"/>
  <c r="A42728" i="1"/>
  <c r="A42729" i="1"/>
  <c r="A42730" i="1"/>
  <c r="A42731" i="1"/>
  <c r="A42732" i="1"/>
  <c r="A42733" i="1"/>
  <c r="A42734" i="1"/>
  <c r="A42735" i="1"/>
  <c r="A42736" i="1"/>
  <c r="A42737" i="1"/>
  <c r="A42738" i="1"/>
  <c r="A42739" i="1"/>
  <c r="A42740" i="1"/>
  <c r="A42741" i="1"/>
  <c r="A42742" i="1"/>
  <c r="A42743" i="1"/>
  <c r="A42744" i="1"/>
  <c r="A42745" i="1"/>
  <c r="A42746" i="1"/>
  <c r="A42747" i="1"/>
  <c r="A42748" i="1"/>
  <c r="A42749" i="1"/>
  <c r="A42750" i="1"/>
  <c r="A42751" i="1"/>
  <c r="A42752" i="1"/>
  <c r="A42753" i="1"/>
  <c r="A42754" i="1"/>
  <c r="A42755" i="1"/>
  <c r="A42756" i="1"/>
  <c r="A42757" i="1"/>
  <c r="A42758" i="1"/>
  <c r="A42759" i="1"/>
  <c r="A42760" i="1"/>
  <c r="A42761" i="1"/>
  <c r="A42762" i="1"/>
  <c r="A42763" i="1"/>
  <c r="A42764" i="1"/>
  <c r="A42765" i="1"/>
  <c r="A42766" i="1"/>
  <c r="A42767" i="1"/>
  <c r="A42768" i="1"/>
  <c r="A42769" i="1"/>
  <c r="A42770" i="1"/>
  <c r="A42771" i="1"/>
  <c r="A42772" i="1"/>
  <c r="A42773" i="1"/>
  <c r="A42774" i="1"/>
  <c r="A42775" i="1"/>
  <c r="A42776" i="1"/>
  <c r="A42777" i="1"/>
  <c r="A42778" i="1"/>
  <c r="A42779" i="1"/>
  <c r="A42780" i="1"/>
  <c r="A42781" i="1"/>
  <c r="A42782" i="1"/>
  <c r="A42783" i="1"/>
  <c r="A42784" i="1"/>
  <c r="A42785" i="1"/>
  <c r="A42786" i="1"/>
  <c r="A42787" i="1"/>
  <c r="A42788" i="1"/>
  <c r="A42789" i="1"/>
  <c r="A42790" i="1"/>
  <c r="A42791" i="1"/>
  <c r="A42792" i="1"/>
  <c r="A42793" i="1"/>
  <c r="A42794" i="1"/>
  <c r="A42795" i="1"/>
  <c r="A42796" i="1"/>
  <c r="A42797" i="1"/>
  <c r="A42798" i="1"/>
  <c r="A42799" i="1"/>
  <c r="A42800" i="1"/>
  <c r="A42801" i="1"/>
  <c r="A42802" i="1"/>
  <c r="A42803" i="1"/>
  <c r="A42804" i="1"/>
  <c r="A42805" i="1"/>
  <c r="A42806" i="1"/>
  <c r="A42807" i="1"/>
  <c r="A42808" i="1"/>
  <c r="A42809" i="1"/>
  <c r="A42810" i="1"/>
  <c r="A42811" i="1"/>
  <c r="A42812" i="1"/>
  <c r="A42813" i="1"/>
  <c r="A42814" i="1"/>
  <c r="A42815" i="1"/>
  <c r="A42816" i="1"/>
  <c r="A42817" i="1"/>
  <c r="A42818" i="1"/>
  <c r="A42819" i="1"/>
  <c r="A42820" i="1"/>
  <c r="A42821" i="1"/>
  <c r="A42822" i="1"/>
  <c r="A42823" i="1"/>
  <c r="A42824" i="1"/>
  <c r="A42825" i="1"/>
  <c r="A42826" i="1"/>
  <c r="A42827" i="1"/>
  <c r="A42828" i="1"/>
  <c r="A42829" i="1"/>
  <c r="A42830" i="1"/>
  <c r="A42831" i="1"/>
  <c r="A42832" i="1"/>
  <c r="A42833" i="1"/>
  <c r="A42834" i="1"/>
  <c r="A42835" i="1"/>
  <c r="A42836" i="1"/>
  <c r="A42837" i="1"/>
  <c r="A42838" i="1"/>
  <c r="A42839" i="1"/>
  <c r="A42840" i="1"/>
  <c r="A42841" i="1"/>
  <c r="A42842" i="1"/>
  <c r="A42843" i="1"/>
  <c r="A42844" i="1"/>
  <c r="A42845" i="1"/>
  <c r="A42846" i="1"/>
  <c r="A42847" i="1"/>
  <c r="A42848" i="1"/>
  <c r="A42849" i="1"/>
  <c r="A42850" i="1"/>
  <c r="A42851" i="1"/>
  <c r="A42852" i="1"/>
  <c r="A42853" i="1"/>
  <c r="A42854" i="1"/>
  <c r="A42855" i="1"/>
  <c r="A42856" i="1"/>
  <c r="A42857" i="1"/>
  <c r="A42858" i="1"/>
  <c r="A42859" i="1"/>
  <c r="A42860" i="1"/>
  <c r="A42861" i="1"/>
  <c r="A42862" i="1"/>
  <c r="A42863" i="1"/>
  <c r="A42864" i="1"/>
  <c r="A42865" i="1"/>
  <c r="A42866" i="1"/>
  <c r="A42867" i="1"/>
  <c r="A42868" i="1"/>
  <c r="A42869" i="1"/>
  <c r="A42870" i="1"/>
  <c r="A42871" i="1"/>
  <c r="A42872" i="1"/>
  <c r="A42873" i="1"/>
  <c r="A42874" i="1"/>
  <c r="A42875" i="1"/>
  <c r="A42876" i="1"/>
  <c r="A42877" i="1"/>
  <c r="A42878" i="1"/>
  <c r="A42879" i="1"/>
  <c r="A42880" i="1"/>
  <c r="A42881" i="1"/>
  <c r="A42882" i="1"/>
  <c r="A42883" i="1"/>
  <c r="A42884" i="1"/>
  <c r="A42885" i="1"/>
  <c r="A42886" i="1"/>
  <c r="A42887" i="1"/>
  <c r="A42888" i="1"/>
  <c r="A42889" i="1"/>
  <c r="A42890" i="1"/>
  <c r="A42891" i="1"/>
  <c r="A42892" i="1"/>
  <c r="A42893" i="1"/>
  <c r="A42894" i="1"/>
  <c r="A42895" i="1"/>
  <c r="A42896" i="1"/>
  <c r="A42897" i="1"/>
  <c r="A42898" i="1"/>
  <c r="A42899" i="1"/>
  <c r="A42900" i="1"/>
  <c r="A42901" i="1"/>
  <c r="A42902" i="1"/>
  <c r="A42903" i="1"/>
  <c r="A42904" i="1"/>
  <c r="A42905" i="1"/>
  <c r="A42906" i="1"/>
  <c r="A42907" i="1"/>
  <c r="A42908" i="1"/>
  <c r="A42909" i="1"/>
  <c r="A42910" i="1"/>
  <c r="A42911" i="1"/>
  <c r="A42912" i="1"/>
  <c r="A42913" i="1"/>
  <c r="A42914" i="1"/>
  <c r="A42915" i="1"/>
  <c r="A42916" i="1"/>
  <c r="A42917" i="1"/>
  <c r="A42918" i="1"/>
  <c r="A42919" i="1"/>
  <c r="A42920" i="1"/>
  <c r="A42921" i="1"/>
  <c r="A42922" i="1"/>
  <c r="A42923" i="1"/>
  <c r="A42924" i="1"/>
  <c r="A42925" i="1"/>
  <c r="A42926" i="1"/>
  <c r="A42927" i="1"/>
  <c r="A42928" i="1"/>
  <c r="A42929" i="1"/>
  <c r="A42930" i="1"/>
  <c r="A42931" i="1"/>
  <c r="A42932" i="1"/>
  <c r="A42933" i="1"/>
  <c r="A42934" i="1"/>
  <c r="A42935" i="1"/>
  <c r="A42936" i="1"/>
  <c r="A42937" i="1"/>
  <c r="A42938" i="1"/>
  <c r="A42939" i="1"/>
  <c r="A42940" i="1"/>
  <c r="A42941" i="1"/>
  <c r="A42942" i="1"/>
  <c r="A42943" i="1"/>
  <c r="A42944" i="1"/>
  <c r="A42945" i="1"/>
  <c r="A42946" i="1"/>
  <c r="A42947" i="1"/>
  <c r="A42948" i="1"/>
  <c r="A42949" i="1"/>
  <c r="A42950" i="1"/>
  <c r="A42951" i="1"/>
  <c r="A42952" i="1"/>
  <c r="A42953" i="1"/>
  <c r="A42954" i="1"/>
  <c r="A42955" i="1"/>
  <c r="A42956" i="1"/>
  <c r="A42957" i="1"/>
  <c r="A42958" i="1"/>
  <c r="A42959" i="1"/>
  <c r="A42960" i="1"/>
  <c r="A42961" i="1"/>
  <c r="A42962" i="1"/>
  <c r="A42963" i="1"/>
  <c r="A42964" i="1"/>
  <c r="A42965" i="1"/>
  <c r="A42966" i="1"/>
  <c r="A42967" i="1"/>
  <c r="A42968" i="1"/>
  <c r="A42969" i="1"/>
  <c r="A42970" i="1"/>
  <c r="A42971" i="1"/>
  <c r="A42972" i="1"/>
  <c r="A42973" i="1"/>
  <c r="A42974" i="1"/>
  <c r="A42975" i="1"/>
  <c r="A42976" i="1"/>
  <c r="A42977" i="1"/>
  <c r="A42978" i="1"/>
  <c r="A42979" i="1"/>
  <c r="A42980" i="1"/>
  <c r="A42981" i="1"/>
  <c r="A42982" i="1"/>
  <c r="A42983" i="1"/>
  <c r="A42984" i="1"/>
  <c r="A42985" i="1"/>
  <c r="A42986" i="1"/>
  <c r="A42987" i="1"/>
  <c r="A42988" i="1"/>
  <c r="A42989" i="1"/>
  <c r="A42990" i="1"/>
  <c r="A42991" i="1"/>
  <c r="A42992" i="1"/>
  <c r="A42993" i="1"/>
  <c r="A42994" i="1"/>
  <c r="A42995" i="1"/>
  <c r="A42996" i="1"/>
  <c r="A42997" i="1"/>
  <c r="A42998" i="1"/>
  <c r="A42999" i="1"/>
  <c r="A43000" i="1"/>
  <c r="A43001" i="1"/>
  <c r="A43002" i="1"/>
  <c r="A43003" i="1"/>
  <c r="A43004" i="1"/>
  <c r="A43005" i="1"/>
  <c r="A43006" i="1"/>
  <c r="A43007" i="1"/>
  <c r="A43008" i="1"/>
  <c r="A43009" i="1"/>
  <c r="A43010" i="1"/>
  <c r="A43011" i="1"/>
  <c r="A43012" i="1"/>
  <c r="A43013" i="1"/>
  <c r="A43014" i="1"/>
  <c r="A43015" i="1"/>
  <c r="A43016" i="1"/>
  <c r="A43017" i="1"/>
  <c r="A43018" i="1"/>
  <c r="A43019" i="1"/>
  <c r="A43020" i="1"/>
  <c r="A43021" i="1"/>
  <c r="A43022" i="1"/>
  <c r="A43023" i="1"/>
  <c r="A43024" i="1"/>
  <c r="A43025" i="1"/>
  <c r="A43026" i="1"/>
  <c r="A43027" i="1"/>
  <c r="A43028" i="1"/>
  <c r="A43029" i="1"/>
  <c r="A43030" i="1"/>
  <c r="A43031" i="1"/>
  <c r="A43032" i="1"/>
  <c r="A43033" i="1"/>
  <c r="A43034" i="1"/>
  <c r="A43035" i="1"/>
  <c r="A43036" i="1"/>
  <c r="A43037" i="1"/>
  <c r="A43038" i="1"/>
  <c r="A43039" i="1"/>
  <c r="A43040" i="1"/>
  <c r="A43041" i="1"/>
  <c r="A43042" i="1"/>
  <c r="A43043" i="1"/>
  <c r="A43044" i="1"/>
  <c r="A43045" i="1"/>
  <c r="A43046" i="1"/>
  <c r="A43047" i="1"/>
  <c r="A43048" i="1"/>
  <c r="A43049" i="1"/>
  <c r="A43050" i="1"/>
  <c r="A43051" i="1"/>
  <c r="A43052" i="1"/>
  <c r="A43053" i="1"/>
  <c r="A43054" i="1"/>
  <c r="A43055" i="1"/>
  <c r="A43056" i="1"/>
  <c r="A43057" i="1"/>
  <c r="A43058" i="1"/>
  <c r="A43059" i="1"/>
  <c r="A43060" i="1"/>
  <c r="A43061" i="1"/>
  <c r="A43062" i="1"/>
  <c r="A43063" i="1"/>
  <c r="A43064" i="1"/>
  <c r="A43065" i="1"/>
  <c r="A43066" i="1"/>
  <c r="A43067" i="1"/>
  <c r="A43068" i="1"/>
  <c r="A43069" i="1"/>
  <c r="A43070" i="1"/>
  <c r="A43071" i="1"/>
  <c r="A43072" i="1"/>
  <c r="A43073" i="1"/>
  <c r="A43074" i="1"/>
  <c r="A43075" i="1"/>
  <c r="A43076" i="1"/>
  <c r="A43077" i="1"/>
  <c r="A43078" i="1"/>
  <c r="A43079" i="1"/>
  <c r="A43080" i="1"/>
  <c r="A43081" i="1"/>
  <c r="A43082" i="1"/>
  <c r="A43083" i="1"/>
  <c r="A43084" i="1"/>
  <c r="A43085" i="1"/>
  <c r="A43086" i="1"/>
  <c r="A43087" i="1"/>
  <c r="A43088" i="1"/>
  <c r="A43089" i="1"/>
  <c r="A43090" i="1"/>
  <c r="A43091" i="1"/>
  <c r="A43092" i="1"/>
  <c r="A43093" i="1"/>
  <c r="A43094" i="1"/>
  <c r="A43095" i="1"/>
  <c r="A43096" i="1"/>
  <c r="A43097" i="1"/>
  <c r="A43098" i="1"/>
  <c r="A43099" i="1"/>
  <c r="A43100" i="1"/>
  <c r="A43101" i="1"/>
  <c r="A43102" i="1"/>
  <c r="A43103" i="1"/>
  <c r="A43104" i="1"/>
  <c r="A43105" i="1"/>
  <c r="A43106" i="1"/>
  <c r="A43107" i="1"/>
  <c r="A43108" i="1"/>
  <c r="A43109" i="1"/>
  <c r="A43110" i="1"/>
  <c r="A43111" i="1"/>
  <c r="A43112" i="1"/>
  <c r="A43113" i="1"/>
  <c r="A43114" i="1"/>
  <c r="A43115" i="1"/>
  <c r="A43116" i="1"/>
  <c r="A43117" i="1"/>
  <c r="A43118" i="1"/>
  <c r="A43119" i="1"/>
  <c r="A43120" i="1"/>
  <c r="A43121" i="1"/>
  <c r="A43122" i="1"/>
  <c r="A43123" i="1"/>
  <c r="A43124" i="1"/>
  <c r="A43125" i="1"/>
  <c r="A43126" i="1"/>
  <c r="A43127" i="1"/>
  <c r="A43128" i="1"/>
  <c r="A43129" i="1"/>
  <c r="A43130" i="1"/>
  <c r="A43131" i="1"/>
  <c r="A43132" i="1"/>
  <c r="A43133" i="1"/>
  <c r="A43134" i="1"/>
  <c r="A43135" i="1"/>
  <c r="A43136" i="1"/>
  <c r="A43137" i="1"/>
  <c r="A43138" i="1"/>
  <c r="A43139" i="1"/>
  <c r="A43140" i="1"/>
  <c r="A43141" i="1"/>
  <c r="A43142" i="1"/>
  <c r="A43143" i="1"/>
  <c r="A43144" i="1"/>
  <c r="A43145" i="1"/>
  <c r="A43146" i="1"/>
  <c r="A43147" i="1"/>
  <c r="A43148" i="1"/>
  <c r="A43149" i="1"/>
  <c r="A43150" i="1"/>
  <c r="A43151" i="1"/>
  <c r="A43152" i="1"/>
  <c r="A43153" i="1"/>
  <c r="A43154" i="1"/>
  <c r="A43155" i="1"/>
  <c r="A43156" i="1"/>
  <c r="A43157" i="1"/>
  <c r="A43158" i="1"/>
  <c r="A43159" i="1"/>
  <c r="A43160" i="1"/>
  <c r="A43161" i="1"/>
  <c r="A43162" i="1"/>
  <c r="A43163" i="1"/>
  <c r="A43164" i="1"/>
  <c r="A43165" i="1"/>
  <c r="A43166" i="1"/>
  <c r="A43167" i="1"/>
  <c r="A43168" i="1"/>
  <c r="A43169" i="1"/>
  <c r="A43170" i="1"/>
  <c r="A43171" i="1"/>
  <c r="A43172" i="1"/>
  <c r="A43173" i="1"/>
  <c r="A43174" i="1"/>
  <c r="A43175" i="1"/>
  <c r="A43176" i="1"/>
  <c r="A43177" i="1"/>
  <c r="A43178" i="1"/>
  <c r="A43179" i="1"/>
  <c r="A43180" i="1"/>
  <c r="A43181" i="1"/>
  <c r="A43182" i="1"/>
  <c r="A43183" i="1"/>
  <c r="A43184" i="1"/>
  <c r="A43185" i="1"/>
  <c r="A43186" i="1"/>
  <c r="A43187" i="1"/>
  <c r="A43188" i="1"/>
  <c r="A43189" i="1"/>
  <c r="A43190" i="1"/>
  <c r="A43191" i="1"/>
  <c r="A43192" i="1"/>
  <c r="A43193" i="1"/>
  <c r="A43194" i="1"/>
  <c r="A43195" i="1"/>
  <c r="A43196" i="1"/>
  <c r="A43197" i="1"/>
  <c r="A43198" i="1"/>
  <c r="A43199" i="1"/>
  <c r="A43200" i="1"/>
  <c r="A43201" i="1"/>
  <c r="A43202" i="1"/>
  <c r="A43203" i="1"/>
  <c r="A43204" i="1"/>
  <c r="A43205" i="1"/>
  <c r="A43206" i="1"/>
  <c r="A43207" i="1"/>
  <c r="A43208" i="1"/>
  <c r="A43209" i="1"/>
  <c r="A43210" i="1"/>
  <c r="A43211" i="1"/>
  <c r="A43212" i="1"/>
  <c r="A43213" i="1"/>
  <c r="A43214" i="1"/>
  <c r="A43215" i="1"/>
  <c r="A43216" i="1"/>
  <c r="A43217" i="1"/>
  <c r="A43218" i="1"/>
  <c r="A43219" i="1"/>
  <c r="A43220" i="1"/>
  <c r="A43221" i="1"/>
  <c r="A43222" i="1"/>
  <c r="A43223" i="1"/>
  <c r="A43224" i="1"/>
  <c r="A43225" i="1"/>
  <c r="A43226" i="1"/>
  <c r="A43227" i="1"/>
  <c r="A43228" i="1"/>
  <c r="A43229" i="1"/>
  <c r="A43230" i="1"/>
  <c r="A43231" i="1"/>
  <c r="A43232" i="1"/>
  <c r="A43233" i="1"/>
  <c r="A43234" i="1"/>
  <c r="A43235" i="1"/>
  <c r="A43236" i="1"/>
  <c r="A43237" i="1"/>
  <c r="A43238" i="1"/>
  <c r="A43239" i="1"/>
  <c r="A43240" i="1"/>
  <c r="A43241" i="1"/>
  <c r="A43242" i="1"/>
  <c r="A43243" i="1"/>
  <c r="A43244" i="1"/>
  <c r="A43245" i="1"/>
  <c r="A43246" i="1"/>
  <c r="A43247" i="1"/>
  <c r="A43248" i="1"/>
  <c r="A43249" i="1"/>
  <c r="A43250" i="1"/>
  <c r="A43251" i="1"/>
  <c r="A43252" i="1"/>
  <c r="A43253" i="1"/>
  <c r="A43254" i="1"/>
  <c r="A43255" i="1"/>
  <c r="A43256" i="1"/>
  <c r="A43257" i="1"/>
  <c r="A43258" i="1"/>
  <c r="A43259" i="1"/>
  <c r="A43260" i="1"/>
  <c r="A43261" i="1"/>
  <c r="A43262" i="1"/>
  <c r="A43263" i="1"/>
  <c r="A43264" i="1"/>
  <c r="A43265" i="1"/>
  <c r="A43266" i="1"/>
  <c r="A43267" i="1"/>
  <c r="A43268" i="1"/>
  <c r="A43269" i="1"/>
  <c r="A43270" i="1"/>
  <c r="A43271" i="1"/>
  <c r="A43272" i="1"/>
  <c r="A43273" i="1"/>
  <c r="A43274" i="1"/>
  <c r="A43275" i="1"/>
  <c r="A43276" i="1"/>
  <c r="A43277" i="1"/>
  <c r="A43278" i="1"/>
  <c r="A43279" i="1"/>
  <c r="A43280" i="1"/>
  <c r="A43281" i="1"/>
  <c r="A43282" i="1"/>
  <c r="A43283" i="1"/>
  <c r="A43284" i="1"/>
  <c r="A43285" i="1"/>
  <c r="A43286" i="1"/>
  <c r="A43287" i="1"/>
  <c r="A43288" i="1"/>
  <c r="A43289" i="1"/>
  <c r="A43290" i="1"/>
  <c r="A43291" i="1"/>
  <c r="A43292" i="1"/>
  <c r="A43293" i="1"/>
  <c r="A43294" i="1"/>
  <c r="A43295" i="1"/>
  <c r="A43296" i="1"/>
  <c r="A43297" i="1"/>
  <c r="A43298" i="1"/>
  <c r="A43299" i="1"/>
  <c r="A43300" i="1"/>
  <c r="A43301" i="1"/>
  <c r="A43302" i="1"/>
  <c r="A43303" i="1"/>
  <c r="A43304" i="1"/>
  <c r="A43305" i="1"/>
  <c r="A43306" i="1"/>
  <c r="A43307" i="1"/>
  <c r="A43308" i="1"/>
  <c r="A43309" i="1"/>
  <c r="A43310" i="1"/>
  <c r="A43311" i="1"/>
  <c r="A43312" i="1"/>
  <c r="A43313" i="1"/>
  <c r="A43314" i="1"/>
  <c r="A43315" i="1"/>
  <c r="A43316" i="1"/>
  <c r="A43317" i="1"/>
  <c r="A43318" i="1"/>
  <c r="A43319" i="1"/>
  <c r="A43320" i="1"/>
  <c r="A43321" i="1"/>
  <c r="A43322" i="1"/>
  <c r="A43323" i="1"/>
  <c r="A43324" i="1"/>
  <c r="A43325" i="1"/>
  <c r="A43326" i="1"/>
  <c r="A43327" i="1"/>
  <c r="A43328" i="1"/>
  <c r="A43329" i="1"/>
  <c r="A43330" i="1"/>
  <c r="A43331" i="1"/>
  <c r="A43332" i="1"/>
  <c r="A43333" i="1"/>
  <c r="A43334" i="1"/>
  <c r="A43335" i="1"/>
  <c r="A43336" i="1"/>
  <c r="A43337" i="1"/>
  <c r="A43338" i="1"/>
  <c r="A43339" i="1"/>
  <c r="A43340" i="1"/>
  <c r="A43341" i="1"/>
  <c r="A43342" i="1"/>
  <c r="A43343" i="1"/>
  <c r="A43344" i="1"/>
  <c r="A43345" i="1"/>
  <c r="A43346" i="1"/>
  <c r="A43347" i="1"/>
  <c r="A43348" i="1"/>
  <c r="A43349" i="1"/>
  <c r="A43350" i="1"/>
  <c r="A43351" i="1"/>
  <c r="A43352" i="1"/>
  <c r="A43353" i="1"/>
  <c r="A43354" i="1"/>
  <c r="A43355" i="1"/>
  <c r="A43356" i="1"/>
  <c r="A43357" i="1"/>
  <c r="A43358" i="1"/>
  <c r="A43359" i="1"/>
  <c r="A43360" i="1"/>
  <c r="A43361" i="1"/>
  <c r="A43362" i="1"/>
  <c r="A43363" i="1"/>
  <c r="A43364" i="1"/>
  <c r="A43365" i="1"/>
  <c r="A43366" i="1"/>
  <c r="A43367" i="1"/>
  <c r="A43368" i="1"/>
  <c r="A43369" i="1"/>
  <c r="A43370" i="1"/>
  <c r="A43371" i="1"/>
  <c r="A43372" i="1"/>
  <c r="A43373" i="1"/>
  <c r="A43374" i="1"/>
  <c r="A43375" i="1"/>
  <c r="A43376" i="1"/>
  <c r="A43377" i="1"/>
  <c r="A43378" i="1"/>
  <c r="A43379" i="1"/>
  <c r="A43380" i="1"/>
  <c r="A43381" i="1"/>
  <c r="A43382" i="1"/>
  <c r="A43383" i="1"/>
  <c r="A43384" i="1"/>
  <c r="A43385" i="1"/>
  <c r="A43386" i="1"/>
  <c r="A43387" i="1"/>
  <c r="A43388" i="1"/>
  <c r="A43389" i="1"/>
  <c r="A43390" i="1"/>
  <c r="A43391" i="1"/>
  <c r="A43392" i="1"/>
  <c r="A43393" i="1"/>
  <c r="A43394" i="1"/>
  <c r="A43395" i="1"/>
  <c r="A43396" i="1"/>
  <c r="A43397" i="1"/>
  <c r="A43398" i="1"/>
  <c r="A43399" i="1"/>
  <c r="A43400" i="1"/>
  <c r="A43401" i="1"/>
  <c r="A43402" i="1"/>
  <c r="A43403" i="1"/>
  <c r="A43404" i="1"/>
  <c r="A43405" i="1"/>
  <c r="A43406" i="1"/>
  <c r="A43407" i="1"/>
  <c r="A43408" i="1"/>
  <c r="A43409" i="1"/>
  <c r="A43410" i="1"/>
  <c r="A43411" i="1"/>
  <c r="A43412" i="1"/>
  <c r="A43413" i="1"/>
  <c r="A43414" i="1"/>
  <c r="A43415" i="1"/>
  <c r="A43416" i="1"/>
  <c r="A43417" i="1"/>
  <c r="A43418" i="1"/>
  <c r="A43419" i="1"/>
  <c r="A43420" i="1"/>
  <c r="A43421" i="1"/>
  <c r="A43422" i="1"/>
  <c r="A43423" i="1"/>
  <c r="A43424" i="1"/>
  <c r="A43425" i="1"/>
  <c r="A43426" i="1"/>
  <c r="A43427" i="1"/>
  <c r="A43428" i="1"/>
  <c r="A43429" i="1"/>
  <c r="A43430" i="1"/>
  <c r="A43431" i="1"/>
  <c r="A43432" i="1"/>
  <c r="A43433" i="1"/>
  <c r="A43434" i="1"/>
  <c r="A43435" i="1"/>
  <c r="A43436" i="1"/>
  <c r="A43437" i="1"/>
  <c r="A43438" i="1"/>
  <c r="A43439" i="1"/>
  <c r="A43440" i="1"/>
  <c r="A43441" i="1"/>
  <c r="A43442" i="1"/>
  <c r="A43443" i="1"/>
  <c r="A43444" i="1"/>
  <c r="A43445" i="1"/>
  <c r="A43446" i="1"/>
  <c r="A43447" i="1"/>
  <c r="A43448" i="1"/>
  <c r="A43449" i="1"/>
  <c r="A43450" i="1"/>
  <c r="A43451" i="1"/>
  <c r="A43452" i="1"/>
  <c r="A43453" i="1"/>
  <c r="A43454" i="1"/>
  <c r="A43455" i="1"/>
  <c r="A43456" i="1"/>
  <c r="A43457" i="1"/>
  <c r="A43458" i="1"/>
  <c r="A43459" i="1"/>
  <c r="A43460" i="1"/>
  <c r="A43461" i="1"/>
  <c r="A43462" i="1"/>
  <c r="A43463" i="1"/>
  <c r="A43464" i="1"/>
  <c r="A43465" i="1"/>
  <c r="A43466" i="1"/>
  <c r="A43467" i="1"/>
  <c r="A43468" i="1"/>
  <c r="A43469" i="1"/>
  <c r="A43470" i="1"/>
  <c r="A43471" i="1"/>
  <c r="A43472" i="1"/>
  <c r="A43473" i="1"/>
  <c r="A43474" i="1"/>
  <c r="A43475" i="1"/>
  <c r="A43476" i="1"/>
  <c r="A43477" i="1"/>
  <c r="A43478" i="1"/>
  <c r="A43479" i="1"/>
  <c r="A43480" i="1"/>
  <c r="A43481" i="1"/>
  <c r="A43482" i="1"/>
  <c r="A43483" i="1"/>
  <c r="A43484" i="1"/>
  <c r="A43485" i="1"/>
  <c r="A43486" i="1"/>
  <c r="A43487" i="1"/>
  <c r="A43488" i="1"/>
  <c r="A43489" i="1"/>
  <c r="A43490" i="1"/>
  <c r="A43491" i="1"/>
  <c r="A43492" i="1"/>
  <c r="A43493" i="1"/>
  <c r="A43494" i="1"/>
  <c r="A43495" i="1"/>
  <c r="A43496" i="1"/>
  <c r="A43497" i="1"/>
  <c r="A43498" i="1"/>
  <c r="A43499" i="1"/>
  <c r="A43500" i="1"/>
  <c r="A43501" i="1"/>
  <c r="A43502" i="1"/>
  <c r="A43503" i="1"/>
  <c r="A43504" i="1"/>
  <c r="A43505" i="1"/>
  <c r="A43506" i="1"/>
  <c r="A43507" i="1"/>
  <c r="A43508" i="1"/>
  <c r="A43509" i="1"/>
  <c r="A43510" i="1"/>
  <c r="A43511" i="1"/>
  <c r="A43512" i="1"/>
  <c r="A43513" i="1"/>
  <c r="A43514" i="1"/>
  <c r="A43515" i="1"/>
  <c r="A43516" i="1"/>
  <c r="A43517" i="1"/>
  <c r="A43518" i="1"/>
  <c r="A43519" i="1"/>
  <c r="A43520" i="1"/>
  <c r="A43521" i="1"/>
  <c r="A43522" i="1"/>
  <c r="A43523" i="1"/>
  <c r="A43524" i="1"/>
  <c r="A43525" i="1"/>
  <c r="A43526" i="1"/>
  <c r="A43527" i="1"/>
  <c r="A43528" i="1"/>
  <c r="A43529" i="1"/>
  <c r="A43530" i="1"/>
  <c r="A43531" i="1"/>
  <c r="A43532" i="1"/>
  <c r="A43533" i="1"/>
  <c r="A43534" i="1"/>
  <c r="A43535" i="1"/>
  <c r="A43536" i="1"/>
  <c r="A43537" i="1"/>
  <c r="A43538" i="1"/>
  <c r="A43539" i="1"/>
  <c r="A43540" i="1"/>
  <c r="A43541" i="1"/>
  <c r="A43542" i="1"/>
  <c r="A43543" i="1"/>
  <c r="A43544" i="1"/>
  <c r="A43545" i="1"/>
  <c r="A43546" i="1"/>
  <c r="A43547" i="1"/>
  <c r="A43548" i="1"/>
  <c r="A43549" i="1"/>
  <c r="A43550" i="1"/>
  <c r="A43551" i="1"/>
  <c r="A43552" i="1"/>
  <c r="A43553" i="1"/>
  <c r="A43554" i="1"/>
  <c r="A43555" i="1"/>
  <c r="A43556" i="1"/>
  <c r="A43557" i="1"/>
  <c r="A43558" i="1"/>
  <c r="A43559" i="1"/>
  <c r="A43560" i="1"/>
  <c r="A43561" i="1"/>
  <c r="A43562" i="1"/>
  <c r="A43563" i="1"/>
  <c r="A43564" i="1"/>
  <c r="A43565" i="1"/>
  <c r="A43566" i="1"/>
  <c r="A43567" i="1"/>
  <c r="A43568" i="1"/>
  <c r="A43569" i="1"/>
  <c r="A43570" i="1"/>
  <c r="A43571" i="1"/>
  <c r="A43572" i="1"/>
  <c r="A43573" i="1"/>
  <c r="A43574" i="1"/>
  <c r="A43575" i="1"/>
  <c r="A43576" i="1"/>
  <c r="A43577" i="1"/>
  <c r="A43578" i="1"/>
  <c r="A43579" i="1"/>
  <c r="A43580" i="1"/>
  <c r="A43581" i="1"/>
  <c r="A43582" i="1"/>
  <c r="A43583" i="1"/>
  <c r="A43584" i="1"/>
  <c r="A43585" i="1"/>
  <c r="A43586" i="1"/>
  <c r="A43587" i="1"/>
  <c r="A43588" i="1"/>
  <c r="A43589" i="1"/>
  <c r="A43590" i="1"/>
  <c r="A43591" i="1"/>
  <c r="A43592" i="1"/>
  <c r="A43593" i="1"/>
  <c r="A43594" i="1"/>
  <c r="A43595" i="1"/>
  <c r="A43596" i="1"/>
  <c r="A43597" i="1"/>
  <c r="A43598" i="1"/>
  <c r="A43599" i="1"/>
  <c r="A43600" i="1"/>
  <c r="A43601" i="1"/>
  <c r="A43602" i="1"/>
  <c r="A43603" i="1"/>
  <c r="A43604" i="1"/>
  <c r="A43605" i="1"/>
  <c r="A43606" i="1"/>
  <c r="A43607" i="1"/>
  <c r="A43608" i="1"/>
  <c r="A43609" i="1"/>
  <c r="A43610" i="1"/>
  <c r="A43611" i="1"/>
  <c r="A43612" i="1"/>
  <c r="A43613" i="1"/>
  <c r="A43614" i="1"/>
  <c r="A43615" i="1"/>
  <c r="A43616" i="1"/>
  <c r="A43617" i="1"/>
  <c r="A43618" i="1"/>
  <c r="A43619" i="1"/>
  <c r="A43620" i="1"/>
  <c r="A43621" i="1"/>
  <c r="A43622" i="1"/>
  <c r="A43623" i="1"/>
  <c r="A43624" i="1"/>
  <c r="A43625" i="1"/>
  <c r="A43626" i="1"/>
  <c r="A43627" i="1"/>
  <c r="A43628" i="1"/>
  <c r="A43629" i="1"/>
  <c r="A43630" i="1"/>
  <c r="A43631" i="1"/>
  <c r="A43632" i="1"/>
  <c r="A43633" i="1"/>
  <c r="A43634" i="1"/>
  <c r="A43635" i="1"/>
  <c r="A43636" i="1"/>
  <c r="A43637" i="1"/>
  <c r="A43638" i="1"/>
  <c r="A43639" i="1"/>
  <c r="A43640" i="1"/>
  <c r="A43641" i="1"/>
  <c r="A43642" i="1"/>
  <c r="A43643" i="1"/>
  <c r="A43644" i="1"/>
  <c r="A43645" i="1"/>
  <c r="A43646" i="1"/>
  <c r="A43647" i="1"/>
  <c r="A43648" i="1"/>
  <c r="A43649" i="1"/>
  <c r="A43650" i="1"/>
  <c r="A43651" i="1"/>
  <c r="A43652" i="1"/>
  <c r="A43653" i="1"/>
  <c r="A43654" i="1"/>
  <c r="A43655" i="1"/>
  <c r="A43656" i="1"/>
  <c r="A43657" i="1"/>
  <c r="A43658" i="1"/>
  <c r="A43659" i="1"/>
  <c r="A43660" i="1"/>
  <c r="A43661" i="1"/>
  <c r="A43662" i="1"/>
  <c r="A43663" i="1"/>
  <c r="A43664" i="1"/>
  <c r="A43665" i="1"/>
  <c r="A43666" i="1"/>
  <c r="A43667" i="1"/>
  <c r="A43668" i="1"/>
  <c r="A43669" i="1"/>
  <c r="A43670" i="1"/>
  <c r="A43671" i="1"/>
  <c r="A43672" i="1"/>
  <c r="A43673" i="1"/>
  <c r="A43674" i="1"/>
  <c r="A43675" i="1"/>
  <c r="A43676" i="1"/>
  <c r="A43677" i="1"/>
  <c r="A43678" i="1"/>
  <c r="A43679" i="1"/>
  <c r="A43680" i="1"/>
  <c r="A43681" i="1"/>
  <c r="A43682" i="1"/>
  <c r="A43683" i="1"/>
  <c r="A43684" i="1"/>
  <c r="A43685" i="1"/>
  <c r="A43686" i="1"/>
  <c r="A43687" i="1"/>
  <c r="A43688" i="1"/>
  <c r="A43689" i="1"/>
  <c r="A43690" i="1"/>
  <c r="A43691" i="1"/>
  <c r="A43692" i="1"/>
  <c r="A43693" i="1"/>
  <c r="A43694" i="1"/>
  <c r="A43695" i="1"/>
  <c r="A43696" i="1"/>
  <c r="A43697" i="1"/>
  <c r="A43698" i="1"/>
  <c r="A43699" i="1"/>
  <c r="A43700" i="1"/>
  <c r="A43701" i="1"/>
  <c r="A43702" i="1"/>
  <c r="A43703" i="1"/>
  <c r="A43704" i="1"/>
  <c r="A43705" i="1"/>
  <c r="A43706" i="1"/>
  <c r="A43707" i="1"/>
  <c r="A43708" i="1"/>
  <c r="A43709" i="1"/>
  <c r="A43710" i="1"/>
  <c r="A43711" i="1"/>
  <c r="A43712" i="1"/>
  <c r="A43713" i="1"/>
  <c r="A43714" i="1"/>
  <c r="A43715" i="1"/>
  <c r="A43716" i="1"/>
  <c r="A43717" i="1"/>
  <c r="A43718" i="1"/>
  <c r="A43719" i="1"/>
  <c r="A43720" i="1"/>
  <c r="A43721" i="1"/>
  <c r="A43722" i="1"/>
  <c r="A43723" i="1"/>
  <c r="A43724" i="1"/>
  <c r="A43725" i="1"/>
  <c r="A43726" i="1"/>
  <c r="A43727" i="1"/>
  <c r="A43728" i="1"/>
  <c r="A43729" i="1"/>
  <c r="A43730" i="1"/>
  <c r="A43731" i="1"/>
  <c r="A43732" i="1"/>
  <c r="A43733" i="1"/>
  <c r="A43734" i="1"/>
  <c r="A43735" i="1"/>
  <c r="A43736" i="1"/>
  <c r="A43737" i="1"/>
  <c r="A43738" i="1"/>
  <c r="A43739" i="1"/>
  <c r="A43740" i="1"/>
  <c r="A43741" i="1"/>
  <c r="A43742" i="1"/>
  <c r="A43743" i="1"/>
  <c r="A43744" i="1"/>
  <c r="A43745" i="1"/>
  <c r="A43746" i="1"/>
  <c r="A43747" i="1"/>
  <c r="A43748" i="1"/>
  <c r="A43749" i="1"/>
  <c r="A43750" i="1"/>
  <c r="A43751" i="1"/>
  <c r="A43752" i="1"/>
  <c r="A43753" i="1"/>
  <c r="A43754" i="1"/>
  <c r="A43755" i="1"/>
  <c r="A43756" i="1"/>
  <c r="A43757" i="1"/>
  <c r="A43758" i="1"/>
  <c r="A43759" i="1"/>
  <c r="A43760" i="1"/>
  <c r="A43761" i="1"/>
  <c r="A43762" i="1"/>
  <c r="A43763" i="1"/>
  <c r="A43764" i="1"/>
  <c r="A43765" i="1"/>
  <c r="A43766" i="1"/>
  <c r="A43767" i="1"/>
  <c r="A43768" i="1"/>
  <c r="A43769" i="1"/>
  <c r="A43770" i="1"/>
  <c r="A43771" i="1"/>
  <c r="A43772" i="1"/>
  <c r="A43773" i="1"/>
  <c r="A43774" i="1"/>
  <c r="A43775" i="1"/>
  <c r="A43776" i="1"/>
  <c r="A43777" i="1"/>
  <c r="A43778" i="1"/>
  <c r="A43779" i="1"/>
  <c r="A43780" i="1"/>
  <c r="A43781" i="1"/>
  <c r="A43782" i="1"/>
  <c r="A43783" i="1"/>
  <c r="A43784" i="1"/>
  <c r="A43785" i="1"/>
  <c r="A43786" i="1"/>
  <c r="A43787" i="1"/>
  <c r="A43788" i="1"/>
  <c r="A43789" i="1"/>
  <c r="A43790" i="1"/>
  <c r="A43791" i="1"/>
  <c r="A43792" i="1"/>
  <c r="A43793" i="1"/>
  <c r="A43794" i="1"/>
  <c r="A43795" i="1"/>
  <c r="A43796" i="1"/>
  <c r="A43797" i="1"/>
  <c r="A43798" i="1"/>
  <c r="A43799" i="1"/>
  <c r="A43800" i="1"/>
  <c r="A43801" i="1"/>
  <c r="A43802" i="1"/>
  <c r="A43803" i="1"/>
  <c r="A43804" i="1"/>
  <c r="A43805" i="1"/>
  <c r="A43806" i="1"/>
  <c r="A43807" i="1"/>
  <c r="A43808" i="1"/>
  <c r="A43809" i="1"/>
  <c r="A43810" i="1"/>
  <c r="A43811" i="1"/>
  <c r="A43812" i="1"/>
  <c r="A43813" i="1"/>
  <c r="A43814" i="1"/>
  <c r="A43815" i="1"/>
  <c r="A43816" i="1"/>
  <c r="A43817" i="1"/>
  <c r="A43818" i="1"/>
  <c r="A43819" i="1"/>
  <c r="A43820" i="1"/>
  <c r="A43821" i="1"/>
  <c r="A43822" i="1"/>
  <c r="A43823" i="1"/>
  <c r="A43824" i="1"/>
  <c r="A43825" i="1"/>
  <c r="A43826" i="1"/>
  <c r="A43827" i="1"/>
  <c r="A43828" i="1"/>
  <c r="A43829" i="1"/>
  <c r="A43830" i="1"/>
  <c r="A43831" i="1"/>
  <c r="A43832" i="1"/>
  <c r="A43833" i="1"/>
  <c r="A43834" i="1"/>
  <c r="A43835" i="1"/>
  <c r="A43836" i="1"/>
  <c r="A43837" i="1"/>
  <c r="A43838" i="1"/>
  <c r="A43839" i="1"/>
  <c r="A43840" i="1"/>
  <c r="A43841" i="1"/>
  <c r="A43842" i="1"/>
  <c r="A43843" i="1"/>
  <c r="A43844" i="1"/>
  <c r="A43845" i="1"/>
  <c r="A43846" i="1"/>
  <c r="A43847" i="1"/>
  <c r="A43848" i="1"/>
  <c r="A43849" i="1"/>
  <c r="A43850" i="1"/>
  <c r="A43851" i="1"/>
  <c r="A43852" i="1"/>
  <c r="A43853" i="1"/>
  <c r="A43854" i="1"/>
  <c r="A43855" i="1"/>
  <c r="A43856" i="1"/>
  <c r="A43857" i="1"/>
  <c r="A43858" i="1"/>
  <c r="A43859" i="1"/>
  <c r="A43860" i="1"/>
  <c r="A43861" i="1"/>
  <c r="A43862" i="1"/>
  <c r="A43863" i="1"/>
  <c r="A43864" i="1"/>
  <c r="A43865" i="1"/>
  <c r="A43866" i="1"/>
  <c r="A43867" i="1"/>
  <c r="A43868" i="1"/>
  <c r="A43869" i="1"/>
  <c r="A43870" i="1"/>
  <c r="A43871" i="1"/>
  <c r="A43872" i="1"/>
  <c r="A43873" i="1"/>
  <c r="A43874" i="1"/>
  <c r="A43875" i="1"/>
  <c r="A43876" i="1"/>
  <c r="A43877" i="1"/>
  <c r="A43878" i="1"/>
  <c r="A43879" i="1"/>
  <c r="A43880" i="1"/>
  <c r="A43881" i="1"/>
  <c r="A43882" i="1"/>
  <c r="A43883" i="1"/>
  <c r="A43884" i="1"/>
  <c r="A43885" i="1"/>
  <c r="A43886" i="1"/>
  <c r="A43887" i="1"/>
  <c r="A43888" i="1"/>
  <c r="A43889" i="1"/>
  <c r="A43890" i="1"/>
  <c r="A43891" i="1"/>
  <c r="A43892" i="1"/>
  <c r="A43893" i="1"/>
  <c r="A43894" i="1"/>
  <c r="A43895" i="1"/>
  <c r="A43896" i="1"/>
  <c r="A43897" i="1"/>
  <c r="A43898" i="1"/>
  <c r="A43899" i="1"/>
  <c r="A43900" i="1"/>
  <c r="A43901" i="1"/>
  <c r="A43902" i="1"/>
  <c r="A43903" i="1"/>
  <c r="A43904" i="1"/>
  <c r="A43905" i="1"/>
  <c r="A43906" i="1"/>
  <c r="A43907" i="1"/>
  <c r="A43908" i="1"/>
  <c r="A43909" i="1"/>
  <c r="A43910" i="1"/>
  <c r="A43911" i="1"/>
  <c r="A43912" i="1"/>
  <c r="A43913" i="1"/>
  <c r="A43914" i="1"/>
  <c r="A43915" i="1"/>
  <c r="A43916" i="1"/>
  <c r="A43917" i="1"/>
  <c r="A43918" i="1"/>
  <c r="A43919" i="1"/>
  <c r="A43920" i="1"/>
  <c r="A43921" i="1"/>
  <c r="A43922" i="1"/>
  <c r="A43923" i="1"/>
  <c r="A43924" i="1"/>
  <c r="A43925" i="1"/>
  <c r="A43926" i="1"/>
  <c r="A43927" i="1"/>
  <c r="A43928" i="1"/>
  <c r="A43929" i="1"/>
  <c r="A43930" i="1"/>
  <c r="A43931" i="1"/>
  <c r="A43932" i="1"/>
  <c r="A43933" i="1"/>
  <c r="A43934" i="1"/>
  <c r="A43935" i="1"/>
  <c r="A43936" i="1"/>
  <c r="A43937" i="1"/>
  <c r="A43938" i="1"/>
  <c r="A43939" i="1"/>
  <c r="A43940" i="1"/>
  <c r="A43941" i="1"/>
  <c r="A43942" i="1"/>
  <c r="A43943" i="1"/>
  <c r="A43944" i="1"/>
  <c r="A43945" i="1"/>
  <c r="A43946" i="1"/>
  <c r="A43947" i="1"/>
  <c r="A43948" i="1"/>
  <c r="A43949" i="1"/>
  <c r="A43950" i="1"/>
  <c r="A43951" i="1"/>
  <c r="A43952" i="1"/>
  <c r="A43953" i="1"/>
  <c r="A43954" i="1"/>
  <c r="A43955" i="1"/>
  <c r="A43956" i="1"/>
  <c r="A43957" i="1"/>
  <c r="A43958" i="1"/>
  <c r="A43959" i="1"/>
  <c r="A43960" i="1"/>
  <c r="A43961" i="1"/>
  <c r="A43962" i="1"/>
  <c r="A43963" i="1"/>
  <c r="A43964" i="1"/>
  <c r="A43965" i="1"/>
  <c r="A43966" i="1"/>
  <c r="A43967" i="1"/>
  <c r="A43968" i="1"/>
  <c r="A43969" i="1"/>
  <c r="A43970" i="1"/>
  <c r="A43971" i="1"/>
  <c r="A43972" i="1"/>
  <c r="A43973" i="1"/>
  <c r="A43974" i="1"/>
  <c r="A43975" i="1"/>
  <c r="A43976" i="1"/>
  <c r="A43977" i="1"/>
  <c r="A43978" i="1"/>
  <c r="A43979" i="1"/>
  <c r="A43980" i="1"/>
  <c r="A43981" i="1"/>
  <c r="A43982" i="1"/>
  <c r="A43983" i="1"/>
  <c r="A43984" i="1"/>
  <c r="A43985" i="1"/>
  <c r="A43986" i="1"/>
  <c r="A43987" i="1"/>
  <c r="A43988" i="1"/>
  <c r="A43989" i="1"/>
  <c r="A43990" i="1"/>
  <c r="A43991" i="1"/>
  <c r="A43992" i="1"/>
  <c r="A43993" i="1"/>
  <c r="A43994" i="1"/>
  <c r="A43995" i="1"/>
  <c r="A43996" i="1"/>
  <c r="A43997" i="1"/>
  <c r="A43998" i="1"/>
  <c r="A43999" i="1"/>
  <c r="A44000" i="1"/>
  <c r="A44001" i="1"/>
  <c r="A44002" i="1"/>
  <c r="A44003" i="1"/>
  <c r="A44004" i="1"/>
  <c r="A44005" i="1"/>
  <c r="A44006" i="1"/>
  <c r="A44007" i="1"/>
  <c r="A44008" i="1"/>
  <c r="A44009" i="1"/>
  <c r="A44010" i="1"/>
  <c r="A44011" i="1"/>
  <c r="A44012" i="1"/>
  <c r="A44013" i="1"/>
  <c r="A44014" i="1"/>
  <c r="A44015" i="1"/>
  <c r="A44016" i="1"/>
  <c r="A44017" i="1"/>
  <c r="A44018" i="1"/>
  <c r="A44019" i="1"/>
  <c r="A44020" i="1"/>
  <c r="A44021" i="1"/>
  <c r="A44022" i="1"/>
  <c r="A44023" i="1"/>
  <c r="A44024" i="1"/>
  <c r="A44025" i="1"/>
  <c r="A44026" i="1"/>
  <c r="A44027" i="1"/>
  <c r="A44028" i="1"/>
  <c r="A44029" i="1"/>
  <c r="A44030" i="1"/>
  <c r="A44031" i="1"/>
  <c r="A44032" i="1"/>
  <c r="A44033" i="1"/>
  <c r="A44034" i="1"/>
  <c r="A44035" i="1"/>
  <c r="A44036" i="1"/>
  <c r="A44037" i="1"/>
  <c r="A44038" i="1"/>
  <c r="A44039" i="1"/>
  <c r="A44040" i="1"/>
  <c r="A44041" i="1"/>
  <c r="A44042" i="1"/>
  <c r="A44043" i="1"/>
  <c r="A44044" i="1"/>
  <c r="A44045" i="1"/>
  <c r="A44046" i="1"/>
  <c r="A44047" i="1"/>
  <c r="A44048" i="1"/>
  <c r="A44049" i="1"/>
  <c r="A44050" i="1"/>
  <c r="A44051" i="1"/>
  <c r="A44052" i="1"/>
  <c r="A44053" i="1"/>
  <c r="A44054" i="1"/>
  <c r="A44055" i="1"/>
  <c r="A44056" i="1"/>
  <c r="A44057" i="1"/>
  <c r="A44058" i="1"/>
  <c r="A44059" i="1"/>
  <c r="A44060" i="1"/>
  <c r="A44061" i="1"/>
  <c r="A44062" i="1"/>
  <c r="A44063" i="1"/>
  <c r="A44064" i="1"/>
  <c r="A44065" i="1"/>
  <c r="A44066" i="1"/>
  <c r="A44067" i="1"/>
  <c r="A44068" i="1"/>
  <c r="A44069" i="1"/>
  <c r="A44070" i="1"/>
  <c r="A44071" i="1"/>
  <c r="A44072" i="1"/>
  <c r="A44073" i="1"/>
  <c r="A44074" i="1"/>
  <c r="A44075" i="1"/>
  <c r="A44076" i="1"/>
  <c r="A44077" i="1"/>
  <c r="A44078" i="1"/>
  <c r="A44079" i="1"/>
  <c r="A44080" i="1"/>
  <c r="A44081" i="1"/>
  <c r="A44082" i="1"/>
  <c r="A44083" i="1"/>
  <c r="A44084" i="1"/>
  <c r="A44085" i="1"/>
  <c r="A44086" i="1"/>
  <c r="A44087" i="1"/>
  <c r="A44088" i="1"/>
  <c r="A44089" i="1"/>
  <c r="A44090" i="1"/>
  <c r="A44091" i="1"/>
  <c r="A44092" i="1"/>
  <c r="A44093" i="1"/>
  <c r="A44094" i="1"/>
  <c r="A44095" i="1"/>
  <c r="A44096" i="1"/>
  <c r="A44097" i="1"/>
  <c r="A44098" i="1"/>
  <c r="A44099" i="1"/>
  <c r="A44100" i="1"/>
  <c r="A44101" i="1"/>
  <c r="A44102" i="1"/>
  <c r="A44103" i="1"/>
  <c r="A44104" i="1"/>
  <c r="A44105" i="1"/>
  <c r="A44106" i="1"/>
  <c r="A44107" i="1"/>
  <c r="A44108" i="1"/>
  <c r="A44109" i="1"/>
  <c r="A44110" i="1"/>
  <c r="A44111" i="1"/>
  <c r="A44112" i="1"/>
  <c r="A44113" i="1"/>
  <c r="A44114" i="1"/>
  <c r="A44115" i="1"/>
  <c r="A44116" i="1"/>
  <c r="A44117" i="1"/>
  <c r="A44118" i="1"/>
  <c r="A44119" i="1"/>
  <c r="A44120" i="1"/>
  <c r="A44121" i="1"/>
  <c r="A44122" i="1"/>
  <c r="A44123" i="1"/>
  <c r="A44124" i="1"/>
  <c r="A44125" i="1"/>
  <c r="A44126" i="1"/>
  <c r="A44127" i="1"/>
  <c r="A44128" i="1"/>
  <c r="A44129" i="1"/>
  <c r="A44130" i="1"/>
  <c r="A44131" i="1"/>
  <c r="A44132" i="1"/>
  <c r="A44133" i="1"/>
  <c r="A44134" i="1"/>
  <c r="A44135" i="1"/>
  <c r="A44136" i="1"/>
  <c r="A44137" i="1"/>
  <c r="A44138" i="1"/>
  <c r="A44139" i="1"/>
  <c r="A44140" i="1"/>
  <c r="A44141" i="1"/>
  <c r="A44142" i="1"/>
  <c r="A44143" i="1"/>
  <c r="A44144" i="1"/>
  <c r="A44145" i="1"/>
  <c r="A44146" i="1"/>
  <c r="A44147" i="1"/>
  <c r="A44148" i="1"/>
  <c r="A44149" i="1"/>
  <c r="A44150" i="1"/>
  <c r="A44151" i="1"/>
  <c r="A44152" i="1"/>
  <c r="A44153" i="1"/>
  <c r="A44154" i="1"/>
  <c r="A44155" i="1"/>
  <c r="A44156" i="1"/>
  <c r="A44157" i="1"/>
  <c r="A44158" i="1"/>
  <c r="A44159" i="1"/>
  <c r="A44160" i="1"/>
  <c r="A44161" i="1"/>
  <c r="A44162" i="1"/>
  <c r="A44163" i="1"/>
  <c r="A44164" i="1"/>
  <c r="A44165" i="1"/>
  <c r="A44166" i="1"/>
  <c r="A44167" i="1"/>
  <c r="A44168" i="1"/>
  <c r="A44169" i="1"/>
  <c r="A44170" i="1"/>
  <c r="A44171" i="1"/>
  <c r="A44172" i="1"/>
  <c r="A44173" i="1"/>
  <c r="A44174" i="1"/>
  <c r="A44175" i="1"/>
  <c r="A44176" i="1"/>
  <c r="A44177" i="1"/>
  <c r="A44178" i="1"/>
  <c r="A44179" i="1"/>
  <c r="A44180" i="1"/>
  <c r="A44181" i="1"/>
  <c r="A44182" i="1"/>
  <c r="A44183" i="1"/>
  <c r="A44184" i="1"/>
  <c r="A44185" i="1"/>
  <c r="A44186" i="1"/>
  <c r="A44187" i="1"/>
  <c r="A44188" i="1"/>
  <c r="A44189" i="1"/>
  <c r="A44190" i="1"/>
  <c r="A44191" i="1"/>
  <c r="A44192" i="1"/>
  <c r="A44193" i="1"/>
  <c r="A44194" i="1"/>
  <c r="A44195" i="1"/>
  <c r="A44196" i="1"/>
  <c r="A44197" i="1"/>
  <c r="A44198" i="1"/>
  <c r="A44199" i="1"/>
  <c r="A44200" i="1"/>
  <c r="A44201" i="1"/>
  <c r="A44202" i="1"/>
  <c r="A44203" i="1"/>
  <c r="A44204" i="1"/>
  <c r="A44205" i="1"/>
  <c r="A44206" i="1"/>
  <c r="A44207" i="1"/>
  <c r="A44208" i="1"/>
  <c r="A44209" i="1"/>
  <c r="A44210" i="1"/>
  <c r="A44211" i="1"/>
  <c r="A44212" i="1"/>
  <c r="A44213" i="1"/>
  <c r="A44214" i="1"/>
  <c r="A44215" i="1"/>
  <c r="A44216" i="1"/>
  <c r="A44217" i="1"/>
  <c r="A44218" i="1"/>
  <c r="A44219" i="1"/>
  <c r="A44220" i="1"/>
  <c r="A44221" i="1"/>
  <c r="A44222" i="1"/>
  <c r="A44223" i="1"/>
  <c r="A44224" i="1"/>
  <c r="A44225" i="1"/>
  <c r="A44226" i="1"/>
  <c r="A44227" i="1"/>
  <c r="A44228" i="1"/>
  <c r="A44229" i="1"/>
  <c r="A44230" i="1"/>
  <c r="A44231" i="1"/>
  <c r="A44232" i="1"/>
  <c r="A44233" i="1"/>
  <c r="A44234" i="1"/>
  <c r="A44235" i="1"/>
  <c r="A44236" i="1"/>
  <c r="A44237" i="1"/>
  <c r="A44238" i="1"/>
  <c r="A44239" i="1"/>
  <c r="A44240" i="1"/>
  <c r="A44241" i="1"/>
  <c r="A44242" i="1"/>
  <c r="A44243" i="1"/>
  <c r="A44244" i="1"/>
  <c r="A44245" i="1"/>
  <c r="A44246" i="1"/>
  <c r="A44247" i="1"/>
  <c r="A44248" i="1"/>
  <c r="A44249" i="1"/>
  <c r="A44250" i="1"/>
  <c r="A44251" i="1"/>
  <c r="A44252" i="1"/>
  <c r="A44253" i="1"/>
  <c r="A44254" i="1"/>
  <c r="A44255" i="1"/>
  <c r="A44256" i="1"/>
  <c r="A44257" i="1"/>
  <c r="A44258" i="1"/>
  <c r="A44259" i="1"/>
  <c r="A44260" i="1"/>
  <c r="A44261" i="1"/>
  <c r="A44262" i="1"/>
  <c r="A44263" i="1"/>
  <c r="A44264" i="1"/>
  <c r="A44265" i="1"/>
  <c r="A44266" i="1"/>
  <c r="A44267" i="1"/>
  <c r="A44268" i="1"/>
  <c r="A44269" i="1"/>
  <c r="A44270" i="1"/>
  <c r="A44271" i="1"/>
  <c r="A44272" i="1"/>
  <c r="A44273" i="1"/>
  <c r="A44274" i="1"/>
  <c r="A44275" i="1"/>
  <c r="A44276" i="1"/>
  <c r="A44277" i="1"/>
  <c r="A44278" i="1"/>
  <c r="A44279" i="1"/>
  <c r="A44280" i="1"/>
  <c r="A44281" i="1"/>
  <c r="A44282" i="1"/>
  <c r="A44283" i="1"/>
  <c r="A44284" i="1"/>
  <c r="A44285" i="1"/>
  <c r="A44286" i="1"/>
  <c r="A44287" i="1"/>
  <c r="A44288" i="1"/>
  <c r="A44289" i="1"/>
  <c r="A44290" i="1"/>
  <c r="A44291" i="1"/>
  <c r="A44292" i="1"/>
  <c r="A44293" i="1"/>
  <c r="A44294" i="1"/>
  <c r="A44295" i="1"/>
  <c r="A44296" i="1"/>
  <c r="A44297" i="1"/>
  <c r="A44298" i="1"/>
  <c r="A44299" i="1"/>
  <c r="A44300" i="1"/>
  <c r="A44301" i="1"/>
  <c r="A44302" i="1"/>
  <c r="A44303" i="1"/>
  <c r="A44304" i="1"/>
  <c r="A44305" i="1"/>
  <c r="A44306" i="1"/>
  <c r="A44307" i="1"/>
  <c r="A44308" i="1"/>
  <c r="A44309" i="1"/>
  <c r="A44310" i="1"/>
  <c r="A44311" i="1"/>
  <c r="A44312" i="1"/>
  <c r="A44313" i="1"/>
  <c r="A44314" i="1"/>
  <c r="A44315" i="1"/>
  <c r="A44316" i="1"/>
  <c r="A44317" i="1"/>
  <c r="A44318" i="1"/>
  <c r="A44319" i="1"/>
  <c r="A44320" i="1"/>
  <c r="A44321" i="1"/>
  <c r="A44322" i="1"/>
  <c r="A44323" i="1"/>
  <c r="A44324" i="1"/>
  <c r="A44325" i="1"/>
  <c r="A44326" i="1"/>
  <c r="A44327" i="1"/>
  <c r="A44328" i="1"/>
  <c r="A44329" i="1"/>
  <c r="A44330" i="1"/>
  <c r="A44331" i="1"/>
  <c r="A44332" i="1"/>
  <c r="A44333" i="1"/>
  <c r="A44334" i="1"/>
  <c r="A44335" i="1"/>
  <c r="A44336" i="1"/>
  <c r="A44337" i="1"/>
  <c r="A44338" i="1"/>
  <c r="A44339" i="1"/>
  <c r="A44340" i="1"/>
  <c r="A44341" i="1"/>
  <c r="A44342" i="1"/>
  <c r="A44343" i="1"/>
  <c r="A44344" i="1"/>
  <c r="A44345" i="1"/>
  <c r="A44346" i="1"/>
  <c r="A44347" i="1"/>
  <c r="A44348" i="1"/>
  <c r="A44349" i="1"/>
  <c r="A44350" i="1"/>
  <c r="A44351" i="1"/>
  <c r="A44352" i="1"/>
  <c r="A44353" i="1"/>
  <c r="A44354" i="1"/>
  <c r="A44355" i="1"/>
  <c r="A44356" i="1"/>
  <c r="A44357" i="1"/>
  <c r="A44358" i="1"/>
  <c r="A44359" i="1"/>
  <c r="A44360" i="1"/>
  <c r="A44361" i="1"/>
  <c r="A44362" i="1"/>
  <c r="A44363" i="1"/>
  <c r="A44364" i="1"/>
  <c r="A44365" i="1"/>
  <c r="A44366" i="1"/>
  <c r="A44367" i="1"/>
  <c r="A44368" i="1"/>
  <c r="A44369" i="1"/>
  <c r="A44370" i="1"/>
  <c r="A44371" i="1"/>
  <c r="A44372" i="1"/>
  <c r="A44373" i="1"/>
  <c r="A44374" i="1"/>
  <c r="A44375" i="1"/>
  <c r="A44376" i="1"/>
  <c r="A44377" i="1"/>
  <c r="A44378" i="1"/>
  <c r="A44379" i="1"/>
  <c r="A44380" i="1"/>
  <c r="A44381" i="1"/>
  <c r="A44382" i="1"/>
  <c r="A44383" i="1"/>
  <c r="A44384" i="1"/>
  <c r="A44385" i="1"/>
  <c r="A44386" i="1"/>
  <c r="A44387" i="1"/>
  <c r="A44388" i="1"/>
  <c r="A44389" i="1"/>
  <c r="A44390" i="1"/>
  <c r="A44391" i="1"/>
  <c r="A44392" i="1"/>
  <c r="A44393" i="1"/>
  <c r="A44394" i="1"/>
  <c r="A44395" i="1"/>
  <c r="A44396" i="1"/>
  <c r="A44397" i="1"/>
  <c r="A44398" i="1"/>
  <c r="A44399" i="1"/>
  <c r="A44400" i="1"/>
  <c r="A44401" i="1"/>
  <c r="A44402" i="1"/>
  <c r="A44403" i="1"/>
  <c r="A44404" i="1"/>
  <c r="A44405" i="1"/>
  <c r="A44406" i="1"/>
  <c r="A44407" i="1"/>
  <c r="A44408" i="1"/>
  <c r="A44409" i="1"/>
  <c r="A44410" i="1"/>
  <c r="A44411" i="1"/>
  <c r="A44412" i="1"/>
  <c r="A44413" i="1"/>
  <c r="A44414" i="1"/>
  <c r="A44415" i="1"/>
  <c r="A44416" i="1"/>
  <c r="A44417" i="1"/>
  <c r="A44418" i="1"/>
  <c r="A44419" i="1"/>
  <c r="A44420" i="1"/>
  <c r="A44421" i="1"/>
  <c r="A44422" i="1"/>
  <c r="A44423" i="1"/>
  <c r="A44424" i="1"/>
  <c r="A44425" i="1"/>
  <c r="A44426" i="1"/>
  <c r="A44427" i="1"/>
  <c r="A44428" i="1"/>
  <c r="A44429" i="1"/>
  <c r="A44430" i="1"/>
  <c r="A44431" i="1"/>
  <c r="A44432" i="1"/>
  <c r="A44433" i="1"/>
  <c r="A44434" i="1"/>
  <c r="A44435" i="1"/>
  <c r="A44436" i="1"/>
  <c r="A44437" i="1"/>
  <c r="A44438" i="1"/>
  <c r="A44439" i="1"/>
  <c r="A44440" i="1"/>
  <c r="A44441" i="1"/>
  <c r="A44442" i="1"/>
  <c r="A44443" i="1"/>
  <c r="A44444" i="1"/>
  <c r="A44445" i="1"/>
  <c r="A44446" i="1"/>
  <c r="A44447" i="1"/>
  <c r="A44448" i="1"/>
  <c r="A44449" i="1"/>
  <c r="A44450" i="1"/>
  <c r="A44451" i="1"/>
  <c r="A44452" i="1"/>
  <c r="A44453" i="1"/>
  <c r="A44454" i="1"/>
  <c r="A44455" i="1"/>
  <c r="A44456" i="1"/>
  <c r="A44457" i="1"/>
  <c r="A44458" i="1"/>
  <c r="A44459" i="1"/>
  <c r="A44460" i="1"/>
  <c r="A44461" i="1"/>
  <c r="A44462" i="1"/>
  <c r="A44463" i="1"/>
  <c r="A44464" i="1"/>
  <c r="A44465" i="1"/>
  <c r="A44466" i="1"/>
  <c r="A44467" i="1"/>
  <c r="A44468" i="1"/>
  <c r="A44469" i="1"/>
  <c r="A44470" i="1"/>
  <c r="A44471" i="1"/>
  <c r="A44472" i="1"/>
  <c r="A44473" i="1"/>
  <c r="A44474" i="1"/>
  <c r="A44475" i="1"/>
  <c r="A44476" i="1"/>
  <c r="A44477" i="1"/>
  <c r="A44478" i="1"/>
  <c r="A44479" i="1"/>
  <c r="A44480" i="1"/>
  <c r="A44481" i="1"/>
  <c r="A44482" i="1"/>
  <c r="A44483" i="1"/>
  <c r="A44484" i="1"/>
  <c r="A44485" i="1"/>
  <c r="A44486" i="1"/>
  <c r="A44487" i="1"/>
  <c r="A44488" i="1"/>
  <c r="A44489" i="1"/>
  <c r="A44490" i="1"/>
  <c r="A44491" i="1"/>
  <c r="A44492" i="1"/>
  <c r="A44493" i="1"/>
  <c r="A44494" i="1"/>
  <c r="A44495" i="1"/>
  <c r="A44496" i="1"/>
  <c r="A44497" i="1"/>
  <c r="A44498" i="1"/>
  <c r="A44499" i="1"/>
  <c r="A44500" i="1"/>
  <c r="A44501" i="1"/>
  <c r="A44502" i="1"/>
  <c r="A44503" i="1"/>
  <c r="A44504" i="1"/>
  <c r="A44505" i="1"/>
  <c r="A44506" i="1"/>
  <c r="A44507" i="1"/>
  <c r="A44508" i="1"/>
  <c r="A44509" i="1"/>
  <c r="A44510" i="1"/>
  <c r="A44511" i="1"/>
  <c r="A44512" i="1"/>
  <c r="A44513" i="1"/>
  <c r="A44514" i="1"/>
  <c r="A44515" i="1"/>
  <c r="A44516" i="1"/>
  <c r="A44517" i="1"/>
  <c r="A44518" i="1"/>
  <c r="A44519" i="1"/>
  <c r="A44520" i="1"/>
  <c r="A44521" i="1"/>
  <c r="A44522" i="1"/>
  <c r="A44523" i="1"/>
  <c r="A44524" i="1"/>
  <c r="A44525" i="1"/>
  <c r="A44526" i="1"/>
  <c r="A44527" i="1"/>
  <c r="A44528" i="1"/>
  <c r="A44529" i="1"/>
  <c r="A44530" i="1"/>
  <c r="A44531" i="1"/>
  <c r="A44532" i="1"/>
  <c r="A44533" i="1"/>
  <c r="A44534" i="1"/>
  <c r="A44535" i="1"/>
  <c r="A44536" i="1"/>
  <c r="A44537" i="1"/>
  <c r="A44538" i="1"/>
  <c r="A44539" i="1"/>
  <c r="A44540" i="1"/>
  <c r="A44541" i="1"/>
  <c r="A44542" i="1"/>
  <c r="A44543" i="1"/>
  <c r="A44544" i="1"/>
  <c r="A44545" i="1"/>
  <c r="A44546" i="1"/>
  <c r="A44547" i="1"/>
  <c r="A44548" i="1"/>
  <c r="A44549" i="1"/>
  <c r="A44550" i="1"/>
  <c r="A44551" i="1"/>
  <c r="A44552" i="1"/>
  <c r="A44553" i="1"/>
  <c r="A44554" i="1"/>
  <c r="A44555" i="1"/>
  <c r="A44556" i="1"/>
  <c r="A44557" i="1"/>
  <c r="A44558" i="1"/>
  <c r="A44559" i="1"/>
  <c r="A44560" i="1"/>
  <c r="A44561" i="1"/>
  <c r="A44562" i="1"/>
  <c r="A44563" i="1"/>
  <c r="A44564" i="1"/>
  <c r="A44565" i="1"/>
  <c r="A44566" i="1"/>
  <c r="A44567" i="1"/>
  <c r="A44568" i="1"/>
  <c r="A44569" i="1"/>
  <c r="A44570" i="1"/>
  <c r="A44571" i="1"/>
  <c r="A44572" i="1"/>
  <c r="A44573" i="1"/>
  <c r="A44574" i="1"/>
  <c r="A44575" i="1"/>
  <c r="A44576" i="1"/>
  <c r="A44577" i="1"/>
  <c r="A44578" i="1"/>
  <c r="A44579" i="1"/>
  <c r="A44580" i="1"/>
  <c r="A44581" i="1"/>
  <c r="A44582" i="1"/>
  <c r="A44583" i="1"/>
  <c r="A44584" i="1"/>
  <c r="A44585" i="1"/>
  <c r="A44586" i="1"/>
  <c r="A44587" i="1"/>
  <c r="A44588" i="1"/>
  <c r="A44589" i="1"/>
  <c r="A44590" i="1"/>
  <c r="A44591" i="1"/>
  <c r="A44592" i="1"/>
  <c r="A44593" i="1"/>
  <c r="A44594" i="1"/>
  <c r="A44595" i="1"/>
  <c r="A44596" i="1"/>
  <c r="A44597" i="1"/>
  <c r="A44598" i="1"/>
  <c r="A44599" i="1"/>
  <c r="A44600" i="1"/>
  <c r="A44601" i="1"/>
  <c r="A44602" i="1"/>
  <c r="A44603" i="1"/>
  <c r="A44604" i="1"/>
  <c r="A44605" i="1"/>
  <c r="A44606" i="1"/>
  <c r="A44607" i="1"/>
  <c r="A44608" i="1"/>
  <c r="A44609" i="1"/>
  <c r="A44610" i="1"/>
  <c r="A44611" i="1"/>
  <c r="A44612" i="1"/>
  <c r="A44613" i="1"/>
  <c r="A44614" i="1"/>
  <c r="A44615" i="1"/>
  <c r="A44616" i="1"/>
  <c r="A44617" i="1"/>
  <c r="A44618" i="1"/>
  <c r="A44619" i="1"/>
  <c r="A44620" i="1"/>
  <c r="A44621" i="1"/>
  <c r="A44622" i="1"/>
  <c r="A44623" i="1"/>
  <c r="A44624" i="1"/>
  <c r="A44625" i="1"/>
  <c r="A44626" i="1"/>
  <c r="A44627" i="1"/>
  <c r="A44628" i="1"/>
  <c r="A44629" i="1"/>
  <c r="A44630" i="1"/>
  <c r="A44631" i="1"/>
  <c r="A44632" i="1"/>
  <c r="A44633" i="1"/>
  <c r="A44634" i="1"/>
  <c r="A44635" i="1"/>
  <c r="A44636" i="1"/>
  <c r="A44637" i="1"/>
  <c r="A44638" i="1"/>
  <c r="A44639" i="1"/>
  <c r="A44640" i="1"/>
  <c r="A44641" i="1"/>
  <c r="A44642" i="1"/>
  <c r="A44643" i="1"/>
  <c r="A44644" i="1"/>
  <c r="A44645" i="1"/>
  <c r="A44646" i="1"/>
  <c r="A44647" i="1"/>
  <c r="A44648" i="1"/>
  <c r="A44649" i="1"/>
  <c r="A44650" i="1"/>
  <c r="A44651" i="1"/>
  <c r="A44652" i="1"/>
  <c r="A44653" i="1"/>
  <c r="A44654" i="1"/>
  <c r="A44655" i="1"/>
  <c r="A44656" i="1"/>
  <c r="A44657" i="1"/>
  <c r="A44658" i="1"/>
  <c r="A44659" i="1"/>
  <c r="A44660" i="1"/>
  <c r="A44661" i="1"/>
  <c r="A44662" i="1"/>
  <c r="A44663" i="1"/>
  <c r="A44664" i="1"/>
  <c r="A44665" i="1"/>
  <c r="A44666" i="1"/>
  <c r="A44667" i="1"/>
  <c r="A44668" i="1"/>
  <c r="A44669" i="1"/>
  <c r="A44670" i="1"/>
  <c r="A44671" i="1"/>
  <c r="A44672" i="1"/>
  <c r="A44673" i="1"/>
  <c r="A44674" i="1"/>
  <c r="A44675" i="1"/>
  <c r="A44676" i="1"/>
  <c r="A44677" i="1"/>
  <c r="A44678" i="1"/>
  <c r="A44679" i="1"/>
  <c r="A44680" i="1"/>
  <c r="A44681" i="1"/>
  <c r="A44682" i="1"/>
  <c r="A44683" i="1"/>
  <c r="A44684" i="1"/>
  <c r="A44685" i="1"/>
  <c r="A44686" i="1"/>
  <c r="A44687" i="1"/>
  <c r="A44688" i="1"/>
  <c r="A44689" i="1"/>
  <c r="A44690" i="1"/>
  <c r="A44691" i="1"/>
  <c r="A44692" i="1"/>
  <c r="A44693" i="1"/>
  <c r="A44694" i="1"/>
  <c r="A44695" i="1"/>
  <c r="A44696" i="1"/>
  <c r="A44697" i="1"/>
  <c r="A44698" i="1"/>
  <c r="A44699" i="1"/>
  <c r="A44700" i="1"/>
  <c r="A44701" i="1"/>
  <c r="A44702" i="1"/>
  <c r="A44703" i="1"/>
  <c r="A44704" i="1"/>
  <c r="A44705" i="1"/>
  <c r="A44706" i="1"/>
  <c r="A44707" i="1"/>
  <c r="A44708" i="1"/>
  <c r="A44709" i="1"/>
  <c r="A44710" i="1"/>
  <c r="A44711" i="1"/>
  <c r="A44712" i="1"/>
  <c r="A44713" i="1"/>
  <c r="A44714" i="1"/>
  <c r="A44715" i="1"/>
  <c r="A44716" i="1"/>
  <c r="A44717" i="1"/>
  <c r="A44718" i="1"/>
  <c r="A44719" i="1"/>
  <c r="A44720" i="1"/>
  <c r="A44721" i="1"/>
  <c r="A44722" i="1"/>
  <c r="A44723" i="1"/>
  <c r="A44724" i="1"/>
  <c r="A44725" i="1"/>
  <c r="A44726" i="1"/>
  <c r="A44727" i="1"/>
  <c r="A44728" i="1"/>
  <c r="A44729" i="1"/>
  <c r="A44730" i="1"/>
  <c r="A44731" i="1"/>
  <c r="A44732" i="1"/>
  <c r="A44733" i="1"/>
  <c r="A44734" i="1"/>
  <c r="A44735" i="1"/>
  <c r="A44736" i="1"/>
  <c r="A44737" i="1"/>
  <c r="A44738" i="1"/>
  <c r="A44739" i="1"/>
  <c r="A44740" i="1"/>
  <c r="A44741" i="1"/>
  <c r="A44742" i="1"/>
  <c r="A44743" i="1"/>
  <c r="A44744" i="1"/>
  <c r="A44745" i="1"/>
  <c r="A44746" i="1"/>
  <c r="A44747" i="1"/>
  <c r="A44748" i="1"/>
  <c r="A44749" i="1"/>
  <c r="A44750" i="1"/>
  <c r="A44751" i="1"/>
  <c r="A44752" i="1"/>
  <c r="A44753" i="1"/>
  <c r="A44754" i="1"/>
  <c r="A44755" i="1"/>
  <c r="A44756" i="1"/>
  <c r="A44757" i="1"/>
  <c r="A44758" i="1"/>
  <c r="A44759" i="1"/>
  <c r="A44760" i="1"/>
  <c r="A44761" i="1"/>
  <c r="A44762" i="1"/>
  <c r="A44763" i="1"/>
  <c r="A44764" i="1"/>
  <c r="A44765" i="1"/>
  <c r="A44766" i="1"/>
  <c r="A44767" i="1"/>
  <c r="A44768" i="1"/>
  <c r="A44769" i="1"/>
  <c r="A44770" i="1"/>
  <c r="A44771" i="1"/>
  <c r="A44772" i="1"/>
  <c r="A44773" i="1"/>
  <c r="A44774" i="1"/>
  <c r="A44775" i="1"/>
  <c r="A44776" i="1"/>
  <c r="A44777" i="1"/>
  <c r="A44778" i="1"/>
  <c r="A44779" i="1"/>
  <c r="A44780" i="1"/>
  <c r="A44781" i="1"/>
  <c r="A44782" i="1"/>
  <c r="A44783" i="1"/>
  <c r="A44784" i="1"/>
  <c r="A44785" i="1"/>
  <c r="A44786" i="1"/>
  <c r="A44787" i="1"/>
  <c r="A44788" i="1"/>
  <c r="A44789" i="1"/>
  <c r="A44790" i="1"/>
  <c r="A44791" i="1"/>
  <c r="A44792" i="1"/>
  <c r="A44793" i="1"/>
  <c r="A44794" i="1"/>
  <c r="A44795" i="1"/>
  <c r="A44796" i="1"/>
  <c r="A44797" i="1"/>
  <c r="A44798" i="1"/>
  <c r="A44799" i="1"/>
  <c r="A44800" i="1"/>
  <c r="A44801" i="1"/>
  <c r="A44802" i="1"/>
  <c r="A44803" i="1"/>
  <c r="A44804" i="1"/>
  <c r="A44805" i="1"/>
  <c r="A44806" i="1"/>
  <c r="A44807" i="1"/>
  <c r="A44808" i="1"/>
  <c r="A44809" i="1"/>
  <c r="A44810" i="1"/>
  <c r="A44811" i="1"/>
  <c r="A44812" i="1"/>
  <c r="A44813" i="1"/>
  <c r="A44814" i="1"/>
  <c r="A44815" i="1"/>
  <c r="A44816" i="1"/>
  <c r="A44817" i="1"/>
  <c r="A44818" i="1"/>
  <c r="A44819" i="1"/>
  <c r="A44820" i="1"/>
  <c r="A44821" i="1"/>
  <c r="A44822" i="1"/>
  <c r="A44823" i="1"/>
  <c r="A44824" i="1"/>
  <c r="A44825" i="1"/>
  <c r="A44826" i="1"/>
  <c r="A44827" i="1"/>
  <c r="A44828" i="1"/>
  <c r="A44829" i="1"/>
  <c r="A44830" i="1"/>
  <c r="A44831" i="1"/>
  <c r="A44832" i="1"/>
  <c r="A44833" i="1"/>
  <c r="A44834" i="1"/>
  <c r="A44835" i="1"/>
  <c r="A44836" i="1"/>
  <c r="A44837" i="1"/>
  <c r="A44838" i="1"/>
  <c r="A44839" i="1"/>
  <c r="A44840" i="1"/>
  <c r="A44841" i="1"/>
  <c r="A44842" i="1"/>
  <c r="A44843" i="1"/>
  <c r="A44844" i="1"/>
  <c r="A44845" i="1"/>
  <c r="A44846" i="1"/>
  <c r="A44847" i="1"/>
  <c r="A44848" i="1"/>
  <c r="A44849" i="1"/>
  <c r="A44850" i="1"/>
  <c r="A44851" i="1"/>
  <c r="A44852" i="1"/>
  <c r="A44853" i="1"/>
  <c r="A44854" i="1"/>
  <c r="A44855" i="1"/>
  <c r="A44856" i="1"/>
  <c r="A44857" i="1"/>
  <c r="A44858" i="1"/>
  <c r="A44859" i="1"/>
  <c r="A44860" i="1"/>
  <c r="A44861" i="1"/>
  <c r="A44862" i="1"/>
  <c r="A44863" i="1"/>
  <c r="A44864" i="1"/>
  <c r="A44865" i="1"/>
  <c r="A44866" i="1"/>
  <c r="A44867" i="1"/>
  <c r="A44868" i="1"/>
  <c r="A44869" i="1"/>
  <c r="A44870" i="1"/>
  <c r="A44871" i="1"/>
  <c r="A44872" i="1"/>
  <c r="A44873" i="1"/>
  <c r="A44874" i="1"/>
  <c r="A44875" i="1"/>
  <c r="A44876" i="1"/>
  <c r="A44877" i="1"/>
  <c r="A44878" i="1"/>
  <c r="A44879" i="1"/>
  <c r="A44880" i="1"/>
  <c r="A44881" i="1"/>
  <c r="A44882" i="1"/>
  <c r="A44883" i="1"/>
  <c r="A44884" i="1"/>
  <c r="A44885" i="1"/>
  <c r="A44886" i="1"/>
  <c r="A44887" i="1"/>
  <c r="A44888" i="1"/>
  <c r="A44889" i="1"/>
  <c r="A44890" i="1"/>
  <c r="A44891" i="1"/>
  <c r="A44892" i="1"/>
  <c r="A44893" i="1"/>
  <c r="A44894" i="1"/>
  <c r="A44895" i="1"/>
  <c r="A44896" i="1"/>
  <c r="A44897" i="1"/>
  <c r="A44898" i="1"/>
  <c r="A44899" i="1"/>
  <c r="A44900" i="1"/>
  <c r="A44901" i="1"/>
  <c r="A44902" i="1"/>
  <c r="A44903" i="1"/>
  <c r="A44904" i="1"/>
  <c r="A44905" i="1"/>
  <c r="A44906" i="1"/>
  <c r="A44907" i="1"/>
  <c r="A44908" i="1"/>
  <c r="A44909" i="1"/>
  <c r="A44910" i="1"/>
  <c r="A44911" i="1"/>
  <c r="A44912" i="1"/>
  <c r="A44913" i="1"/>
  <c r="A44914" i="1"/>
  <c r="A44915" i="1"/>
  <c r="A44916" i="1"/>
  <c r="A44917" i="1"/>
  <c r="A44918" i="1"/>
  <c r="A44919" i="1"/>
  <c r="A44920" i="1"/>
  <c r="A44921" i="1"/>
  <c r="A44922" i="1"/>
  <c r="A44923" i="1"/>
  <c r="A44924" i="1"/>
  <c r="A44925" i="1"/>
  <c r="A44926" i="1"/>
  <c r="A44927" i="1"/>
  <c r="A44928" i="1"/>
  <c r="A44929" i="1"/>
  <c r="A44930" i="1"/>
  <c r="A44931" i="1"/>
  <c r="A44932" i="1"/>
  <c r="A44933" i="1"/>
  <c r="A44934" i="1"/>
  <c r="A44935" i="1"/>
  <c r="A44936" i="1"/>
  <c r="A44937" i="1"/>
  <c r="A44938" i="1"/>
  <c r="A44939" i="1"/>
  <c r="A44940" i="1"/>
  <c r="A44941" i="1"/>
  <c r="A44942" i="1"/>
  <c r="A44943" i="1"/>
  <c r="A44944" i="1"/>
  <c r="A44945" i="1"/>
  <c r="A44946" i="1"/>
  <c r="A44947" i="1"/>
  <c r="A44948" i="1"/>
  <c r="A44949" i="1"/>
  <c r="A44950" i="1"/>
  <c r="A44951" i="1"/>
  <c r="A44952" i="1"/>
  <c r="A44953" i="1"/>
  <c r="A44954" i="1"/>
  <c r="A44955" i="1"/>
  <c r="A44956" i="1"/>
  <c r="A44957" i="1"/>
  <c r="A44958" i="1"/>
  <c r="A44959" i="1"/>
  <c r="A44960" i="1"/>
  <c r="A44961" i="1"/>
  <c r="A44962" i="1"/>
  <c r="A44963" i="1"/>
  <c r="A44964" i="1"/>
  <c r="A44965" i="1"/>
  <c r="A44966" i="1"/>
  <c r="A44967" i="1"/>
  <c r="A44968" i="1"/>
  <c r="A44969" i="1"/>
  <c r="A44970" i="1"/>
  <c r="A44971" i="1"/>
  <c r="A44972" i="1"/>
  <c r="A44973" i="1"/>
  <c r="A44974" i="1"/>
  <c r="A44975" i="1"/>
  <c r="A44976" i="1"/>
  <c r="A44977" i="1"/>
  <c r="A44978" i="1"/>
  <c r="A44979" i="1"/>
  <c r="A44980" i="1"/>
  <c r="A44981" i="1"/>
  <c r="A44982" i="1"/>
  <c r="A44983" i="1"/>
  <c r="A44984" i="1"/>
  <c r="A44985" i="1"/>
  <c r="A44986" i="1"/>
  <c r="A44987" i="1"/>
  <c r="A44988" i="1"/>
  <c r="A44989" i="1"/>
  <c r="A44990" i="1"/>
  <c r="A44991" i="1"/>
  <c r="A44992" i="1"/>
  <c r="A44993" i="1"/>
  <c r="A44994" i="1"/>
  <c r="A44995" i="1"/>
  <c r="A44996" i="1"/>
  <c r="A44997" i="1"/>
  <c r="A44998" i="1"/>
  <c r="A44999" i="1"/>
  <c r="A45000" i="1"/>
  <c r="A45001" i="1"/>
  <c r="A45002" i="1"/>
  <c r="A45003" i="1"/>
  <c r="A45004" i="1"/>
  <c r="A45005" i="1"/>
  <c r="A45006" i="1"/>
  <c r="A45007" i="1"/>
  <c r="A45008" i="1"/>
  <c r="A45009" i="1"/>
  <c r="A45010" i="1"/>
  <c r="A45011" i="1"/>
  <c r="A45012" i="1"/>
  <c r="A45013" i="1"/>
  <c r="A45014" i="1"/>
  <c r="A45015" i="1"/>
  <c r="A45016" i="1"/>
  <c r="A45017" i="1"/>
  <c r="A45018" i="1"/>
  <c r="A45019" i="1"/>
  <c r="A45020" i="1"/>
  <c r="A45021" i="1"/>
  <c r="A45022" i="1"/>
  <c r="A45023" i="1"/>
  <c r="A45024" i="1"/>
  <c r="A45025" i="1"/>
  <c r="A45026" i="1"/>
  <c r="A45027" i="1"/>
  <c r="A45028" i="1"/>
  <c r="A45029" i="1"/>
  <c r="A45030" i="1"/>
  <c r="A45031" i="1"/>
  <c r="A45032" i="1"/>
  <c r="A45033" i="1"/>
  <c r="A45034" i="1"/>
  <c r="A45035" i="1"/>
  <c r="A45036" i="1"/>
  <c r="A45037" i="1"/>
  <c r="A45038" i="1"/>
  <c r="A45039" i="1"/>
  <c r="A45040" i="1"/>
  <c r="A45041" i="1"/>
  <c r="A45042" i="1"/>
  <c r="A45043" i="1"/>
  <c r="A45044" i="1"/>
  <c r="A45045" i="1"/>
  <c r="A45046" i="1"/>
  <c r="A45047" i="1"/>
  <c r="A45048" i="1"/>
  <c r="A45049" i="1"/>
  <c r="A45050" i="1"/>
  <c r="A45051" i="1"/>
  <c r="A45052" i="1"/>
  <c r="A45053" i="1"/>
  <c r="A45054" i="1"/>
  <c r="A45055" i="1"/>
  <c r="A45056" i="1"/>
  <c r="A45057" i="1"/>
  <c r="A45058" i="1"/>
  <c r="A45059" i="1"/>
  <c r="A45060" i="1"/>
  <c r="A45061" i="1"/>
  <c r="A45062" i="1"/>
  <c r="A45063" i="1"/>
  <c r="A45064" i="1"/>
  <c r="A45065" i="1"/>
  <c r="A45066" i="1"/>
  <c r="A45067" i="1"/>
  <c r="A45068" i="1"/>
  <c r="A45069" i="1"/>
  <c r="A45070" i="1"/>
  <c r="A45071" i="1"/>
  <c r="A45072" i="1"/>
  <c r="A45073" i="1"/>
  <c r="A45074" i="1"/>
  <c r="A45075" i="1"/>
  <c r="A45076" i="1"/>
  <c r="A45077" i="1"/>
  <c r="A45078" i="1"/>
  <c r="A45079" i="1"/>
  <c r="A45080" i="1"/>
  <c r="A45081" i="1"/>
  <c r="A45082" i="1"/>
  <c r="A45083" i="1"/>
  <c r="A45084" i="1"/>
  <c r="A45085" i="1"/>
  <c r="A45086" i="1"/>
  <c r="A45087" i="1"/>
  <c r="A45088" i="1"/>
  <c r="A45089" i="1"/>
  <c r="A45090" i="1"/>
  <c r="A45091" i="1"/>
  <c r="A45092" i="1"/>
  <c r="A45093" i="1"/>
  <c r="A45094" i="1"/>
  <c r="A45095" i="1"/>
  <c r="A45096" i="1"/>
  <c r="A45097" i="1"/>
  <c r="A45098" i="1"/>
  <c r="A45099" i="1"/>
  <c r="A45100" i="1"/>
  <c r="A45101" i="1"/>
  <c r="A45102" i="1"/>
  <c r="A45103" i="1"/>
  <c r="A45104" i="1"/>
  <c r="A45105" i="1"/>
  <c r="A45106" i="1"/>
  <c r="A45107" i="1"/>
  <c r="A45108" i="1"/>
  <c r="A45109" i="1"/>
  <c r="A45110" i="1"/>
  <c r="A45111" i="1"/>
  <c r="A45112" i="1"/>
  <c r="A45113" i="1"/>
  <c r="A45114" i="1"/>
  <c r="A45115" i="1"/>
  <c r="A45116" i="1"/>
  <c r="A45117" i="1"/>
  <c r="A45118" i="1"/>
  <c r="A45119" i="1"/>
  <c r="A45120" i="1"/>
  <c r="A45121" i="1"/>
  <c r="A45122" i="1"/>
  <c r="A45123" i="1"/>
  <c r="A45124" i="1"/>
  <c r="A45125" i="1"/>
  <c r="A45126" i="1"/>
  <c r="A45127" i="1"/>
  <c r="A45128" i="1"/>
  <c r="A45129" i="1"/>
  <c r="A45130" i="1"/>
  <c r="A45131" i="1"/>
  <c r="A45132" i="1"/>
  <c r="A45133" i="1"/>
  <c r="A45134" i="1"/>
  <c r="A45135" i="1"/>
  <c r="A45136" i="1"/>
  <c r="A45137" i="1"/>
  <c r="A45138" i="1"/>
  <c r="A45139" i="1"/>
  <c r="A45140" i="1"/>
  <c r="A45141" i="1"/>
  <c r="A45142" i="1"/>
  <c r="A45143" i="1"/>
  <c r="A45144" i="1"/>
  <c r="A45145" i="1"/>
  <c r="A45146" i="1"/>
  <c r="A45147" i="1"/>
  <c r="A45148" i="1"/>
  <c r="A45149" i="1"/>
  <c r="A45150" i="1"/>
  <c r="A45151" i="1"/>
  <c r="A45152" i="1"/>
  <c r="A45153" i="1"/>
  <c r="A45154" i="1"/>
  <c r="A45155" i="1"/>
  <c r="A45156" i="1"/>
  <c r="A45157" i="1"/>
  <c r="A45158" i="1"/>
  <c r="A45159" i="1"/>
  <c r="A45160" i="1"/>
  <c r="A45161" i="1"/>
  <c r="A45162" i="1"/>
  <c r="A45163" i="1"/>
  <c r="A45164" i="1"/>
  <c r="A45165" i="1"/>
  <c r="A45166" i="1"/>
  <c r="A45167" i="1"/>
  <c r="A45168" i="1"/>
  <c r="A45169" i="1"/>
  <c r="A45170" i="1"/>
  <c r="A45171" i="1"/>
  <c r="A45172" i="1"/>
  <c r="A45173" i="1"/>
  <c r="A45174" i="1"/>
  <c r="A45175" i="1"/>
  <c r="A45176" i="1"/>
  <c r="A45177" i="1"/>
  <c r="A45178" i="1"/>
  <c r="A45179" i="1"/>
  <c r="A45180" i="1"/>
  <c r="A45181" i="1"/>
  <c r="A45182" i="1"/>
  <c r="A45183" i="1"/>
  <c r="A45184" i="1"/>
  <c r="A45185" i="1"/>
  <c r="A45186" i="1"/>
  <c r="A45187" i="1"/>
  <c r="A45188" i="1"/>
  <c r="A45189" i="1"/>
  <c r="A45190" i="1"/>
  <c r="A45191" i="1"/>
  <c r="A45192" i="1"/>
  <c r="A45193" i="1"/>
  <c r="A45194" i="1"/>
  <c r="A45195" i="1"/>
  <c r="A45196" i="1"/>
  <c r="A45197" i="1"/>
  <c r="A45198" i="1"/>
  <c r="A45199" i="1"/>
  <c r="A45200" i="1"/>
  <c r="A45201" i="1"/>
  <c r="A45202" i="1"/>
  <c r="A45203" i="1"/>
  <c r="A45204" i="1"/>
  <c r="A45205" i="1"/>
  <c r="A45206" i="1"/>
  <c r="A45207" i="1"/>
  <c r="A45208" i="1"/>
  <c r="A45209" i="1"/>
  <c r="A45210" i="1"/>
  <c r="A45211" i="1"/>
  <c r="A45212" i="1"/>
  <c r="A45213" i="1"/>
  <c r="A45214" i="1"/>
  <c r="A45215" i="1"/>
  <c r="A45216" i="1"/>
  <c r="A45217" i="1"/>
  <c r="A45218" i="1"/>
  <c r="A45219" i="1"/>
  <c r="A45220" i="1"/>
  <c r="A45221" i="1"/>
  <c r="A45222" i="1"/>
  <c r="A45223" i="1"/>
  <c r="A45224" i="1"/>
  <c r="A45225" i="1"/>
  <c r="A45226" i="1"/>
  <c r="A45227" i="1"/>
  <c r="A45228" i="1"/>
  <c r="A45229" i="1"/>
  <c r="A45230" i="1"/>
  <c r="A45231" i="1"/>
  <c r="A45232" i="1"/>
  <c r="A45233" i="1"/>
  <c r="A45234" i="1"/>
  <c r="A45235" i="1"/>
  <c r="A45236" i="1"/>
  <c r="A45237" i="1"/>
  <c r="A45238" i="1"/>
  <c r="A45239" i="1"/>
  <c r="A45240" i="1"/>
  <c r="A45241" i="1"/>
  <c r="A45242" i="1"/>
  <c r="A45243" i="1"/>
  <c r="A45244" i="1"/>
  <c r="A45245" i="1"/>
  <c r="A45246" i="1"/>
  <c r="A45247" i="1"/>
  <c r="A45248" i="1"/>
  <c r="A45249" i="1"/>
  <c r="A45250" i="1"/>
  <c r="A45251" i="1"/>
  <c r="A45252" i="1"/>
  <c r="A45253" i="1"/>
  <c r="A45254" i="1"/>
  <c r="A45255" i="1"/>
  <c r="A45256" i="1"/>
  <c r="A45257" i="1"/>
  <c r="A45258" i="1"/>
  <c r="A45259" i="1"/>
  <c r="A45260" i="1"/>
  <c r="A45261" i="1"/>
  <c r="A45262" i="1"/>
  <c r="A45263" i="1"/>
  <c r="A45264" i="1"/>
  <c r="A45265" i="1"/>
  <c r="A45266" i="1"/>
  <c r="A45267" i="1"/>
  <c r="A45268" i="1"/>
  <c r="A45269" i="1"/>
  <c r="A45270" i="1"/>
  <c r="A45271" i="1"/>
  <c r="A45272" i="1"/>
  <c r="A45273" i="1"/>
  <c r="A45274" i="1"/>
  <c r="A45275" i="1"/>
  <c r="A45276" i="1"/>
  <c r="A45277" i="1"/>
  <c r="A45278" i="1"/>
  <c r="A45279" i="1"/>
  <c r="A45280" i="1"/>
  <c r="A45281" i="1"/>
  <c r="A45282" i="1"/>
  <c r="A45283" i="1"/>
  <c r="A45284" i="1"/>
  <c r="A45285" i="1"/>
  <c r="A45286" i="1"/>
  <c r="A45287" i="1"/>
  <c r="A45288" i="1"/>
  <c r="A45289" i="1"/>
  <c r="A45290" i="1"/>
  <c r="A45291" i="1"/>
  <c r="A45292" i="1"/>
  <c r="A45293" i="1"/>
  <c r="A45294" i="1"/>
  <c r="A45295" i="1"/>
  <c r="A45296" i="1"/>
  <c r="A45297" i="1"/>
  <c r="A45298" i="1"/>
  <c r="A45299" i="1"/>
  <c r="A45300" i="1"/>
  <c r="A45301" i="1"/>
  <c r="A45302" i="1"/>
  <c r="A45303" i="1"/>
  <c r="A45304" i="1"/>
  <c r="A45305" i="1"/>
  <c r="A45306" i="1"/>
  <c r="A45307" i="1"/>
  <c r="A45308" i="1"/>
  <c r="A45309" i="1"/>
  <c r="A45310" i="1"/>
  <c r="A45311" i="1"/>
  <c r="A45312" i="1"/>
  <c r="A45313" i="1"/>
  <c r="A45314" i="1"/>
  <c r="A45315" i="1"/>
  <c r="A45316" i="1"/>
  <c r="A45317" i="1"/>
  <c r="A45318" i="1"/>
  <c r="A45319" i="1"/>
  <c r="A45320" i="1"/>
  <c r="A45321" i="1"/>
  <c r="A45322" i="1"/>
  <c r="A45323" i="1"/>
  <c r="A45324" i="1"/>
  <c r="A45325" i="1"/>
  <c r="A45326" i="1"/>
  <c r="A45327" i="1"/>
  <c r="A45328" i="1"/>
  <c r="A45329" i="1"/>
  <c r="A45330" i="1"/>
  <c r="A45331" i="1"/>
  <c r="A45332" i="1"/>
  <c r="A45333" i="1"/>
  <c r="A45334" i="1"/>
  <c r="A45335" i="1"/>
  <c r="A45336" i="1"/>
  <c r="A45337" i="1"/>
  <c r="A45338" i="1"/>
  <c r="A45339" i="1"/>
  <c r="A45340" i="1"/>
  <c r="A45341" i="1"/>
  <c r="A45342" i="1"/>
  <c r="A45343" i="1"/>
  <c r="A45344" i="1"/>
  <c r="A45345" i="1"/>
  <c r="A45346" i="1"/>
  <c r="A45347" i="1"/>
  <c r="A45348" i="1"/>
  <c r="A45349" i="1"/>
  <c r="A45350" i="1"/>
  <c r="A45351" i="1"/>
  <c r="A45352" i="1"/>
  <c r="A45353" i="1"/>
  <c r="A45354" i="1"/>
  <c r="A45355" i="1"/>
  <c r="A45356" i="1"/>
  <c r="A45357" i="1"/>
  <c r="A45358" i="1"/>
  <c r="A45359" i="1"/>
  <c r="A45360" i="1"/>
  <c r="A45361" i="1"/>
  <c r="A45362" i="1"/>
  <c r="A45363" i="1"/>
  <c r="A45364" i="1"/>
  <c r="A45365" i="1"/>
  <c r="A45366" i="1"/>
  <c r="A45367" i="1"/>
  <c r="A45368" i="1"/>
  <c r="A45369" i="1"/>
  <c r="A45370" i="1"/>
  <c r="A45371" i="1"/>
  <c r="A45372" i="1"/>
  <c r="A45373" i="1"/>
  <c r="A45374" i="1"/>
  <c r="A45375" i="1"/>
  <c r="A45376" i="1"/>
  <c r="A45377" i="1"/>
  <c r="A45378" i="1"/>
  <c r="A45379" i="1"/>
  <c r="A45380" i="1"/>
  <c r="A45381" i="1"/>
  <c r="A45382" i="1"/>
  <c r="A45383" i="1"/>
  <c r="A45384" i="1"/>
  <c r="A45385" i="1"/>
  <c r="A45386" i="1"/>
  <c r="A45387" i="1"/>
  <c r="A45388" i="1"/>
  <c r="A45389" i="1"/>
  <c r="A45390" i="1"/>
  <c r="A45391" i="1"/>
  <c r="A45392" i="1"/>
  <c r="A45393" i="1"/>
  <c r="A45394" i="1"/>
  <c r="A45395" i="1"/>
  <c r="A45396" i="1"/>
  <c r="A45397" i="1"/>
  <c r="A45398" i="1"/>
  <c r="A45399" i="1"/>
  <c r="A45400" i="1"/>
  <c r="A45401" i="1"/>
  <c r="A45402" i="1"/>
  <c r="A45403" i="1"/>
  <c r="A45404" i="1"/>
  <c r="A45405" i="1"/>
  <c r="A45406" i="1"/>
  <c r="A45407" i="1"/>
  <c r="A45408" i="1"/>
  <c r="A45409" i="1"/>
  <c r="A45410" i="1"/>
  <c r="A45411" i="1"/>
  <c r="A45412" i="1"/>
  <c r="A45413" i="1"/>
  <c r="A45414" i="1"/>
  <c r="A45415" i="1"/>
  <c r="A45416" i="1"/>
  <c r="A45417" i="1"/>
  <c r="A45418" i="1"/>
  <c r="A45419" i="1"/>
  <c r="A45420" i="1"/>
  <c r="A45421" i="1"/>
  <c r="A45422" i="1"/>
  <c r="A45423" i="1"/>
  <c r="A45424" i="1"/>
  <c r="A45425" i="1"/>
  <c r="A45426" i="1"/>
  <c r="A45427" i="1"/>
  <c r="A45428" i="1"/>
  <c r="A45429" i="1"/>
  <c r="A45430" i="1"/>
  <c r="A45431" i="1"/>
  <c r="A45432" i="1"/>
  <c r="A45433" i="1"/>
  <c r="A45434" i="1"/>
  <c r="A45435" i="1"/>
  <c r="A45436" i="1"/>
  <c r="A45437" i="1"/>
  <c r="A45438" i="1"/>
  <c r="A45439" i="1"/>
  <c r="A45440" i="1"/>
  <c r="A45441" i="1"/>
  <c r="A45442" i="1"/>
  <c r="A45443" i="1"/>
  <c r="A45444" i="1"/>
  <c r="A45445" i="1"/>
  <c r="A45446" i="1"/>
  <c r="A45447" i="1"/>
  <c r="A45448" i="1"/>
  <c r="A45449" i="1"/>
  <c r="A45450" i="1"/>
  <c r="A45451" i="1"/>
  <c r="A45452" i="1"/>
  <c r="A45453" i="1"/>
  <c r="A45454" i="1"/>
  <c r="A45455" i="1"/>
  <c r="A45456" i="1"/>
  <c r="A45457" i="1"/>
  <c r="A45458" i="1"/>
  <c r="A45459" i="1"/>
  <c r="A45460" i="1"/>
  <c r="A45461" i="1"/>
  <c r="A45462" i="1"/>
  <c r="A45463" i="1"/>
  <c r="A45464" i="1"/>
  <c r="A45465" i="1"/>
  <c r="A45466" i="1"/>
  <c r="A45467" i="1"/>
  <c r="A45468" i="1"/>
  <c r="A45469" i="1"/>
  <c r="A45470" i="1"/>
  <c r="A45471" i="1"/>
  <c r="A45472" i="1"/>
  <c r="A45473" i="1"/>
  <c r="A45474" i="1"/>
  <c r="A45475" i="1"/>
  <c r="A45476" i="1"/>
  <c r="A45477" i="1"/>
  <c r="A45478" i="1"/>
  <c r="A45479" i="1"/>
  <c r="A45480" i="1"/>
  <c r="A45481" i="1"/>
  <c r="A45482" i="1"/>
  <c r="A45483" i="1"/>
  <c r="A45484" i="1"/>
  <c r="A45485" i="1"/>
  <c r="A45486" i="1"/>
  <c r="A45487" i="1"/>
  <c r="A45488" i="1"/>
  <c r="A45489" i="1"/>
  <c r="A45490" i="1"/>
  <c r="A45491" i="1"/>
  <c r="A45492" i="1"/>
  <c r="A45493" i="1"/>
  <c r="A45494" i="1"/>
  <c r="A45495" i="1"/>
  <c r="A45496" i="1"/>
  <c r="A45497" i="1"/>
  <c r="A45498" i="1"/>
  <c r="A45499" i="1"/>
  <c r="A45500" i="1"/>
  <c r="A45501" i="1"/>
  <c r="A45502" i="1"/>
  <c r="A45503" i="1"/>
  <c r="A45504" i="1"/>
  <c r="A45505" i="1"/>
  <c r="A45506" i="1"/>
  <c r="A45507" i="1"/>
  <c r="A45508" i="1"/>
  <c r="A45509" i="1"/>
  <c r="A45510" i="1"/>
  <c r="A45511" i="1"/>
  <c r="A45512" i="1"/>
  <c r="A45513" i="1"/>
  <c r="A45514" i="1"/>
  <c r="A45515" i="1"/>
  <c r="A45516" i="1"/>
  <c r="A45517" i="1"/>
  <c r="A45518" i="1"/>
  <c r="A45519" i="1"/>
  <c r="A45520" i="1"/>
  <c r="A45521" i="1"/>
  <c r="A45522" i="1"/>
  <c r="A45523" i="1"/>
  <c r="A45524" i="1"/>
  <c r="A45525" i="1"/>
  <c r="A45526" i="1"/>
  <c r="A45527" i="1"/>
  <c r="A45528" i="1"/>
  <c r="A45529" i="1"/>
  <c r="A45530" i="1"/>
  <c r="A45531" i="1"/>
  <c r="A45532" i="1"/>
  <c r="A45533" i="1"/>
  <c r="A45534" i="1"/>
  <c r="A45535" i="1"/>
  <c r="A45536" i="1"/>
  <c r="A45537" i="1"/>
  <c r="A45538" i="1"/>
  <c r="A45539" i="1"/>
  <c r="A45540" i="1"/>
  <c r="A45541" i="1"/>
  <c r="A45542" i="1"/>
  <c r="A45543" i="1"/>
  <c r="A45544" i="1"/>
  <c r="A45545" i="1"/>
  <c r="A45546" i="1"/>
  <c r="A45547" i="1"/>
  <c r="A45548" i="1"/>
  <c r="A45549" i="1"/>
  <c r="A45550" i="1"/>
  <c r="A45551" i="1"/>
  <c r="A45552" i="1"/>
  <c r="A45553" i="1"/>
  <c r="A45554" i="1"/>
  <c r="A45555" i="1"/>
  <c r="A45556" i="1"/>
  <c r="A45557" i="1"/>
  <c r="A45558" i="1"/>
  <c r="A45559" i="1"/>
  <c r="A45560" i="1"/>
  <c r="A45561" i="1"/>
  <c r="A45562" i="1"/>
  <c r="A45563" i="1"/>
  <c r="A45564" i="1"/>
  <c r="A45565" i="1"/>
  <c r="A45566" i="1"/>
  <c r="A45567" i="1"/>
  <c r="A45568" i="1"/>
  <c r="A45569" i="1"/>
  <c r="A45570" i="1"/>
  <c r="A45571" i="1"/>
  <c r="A45572" i="1"/>
  <c r="A45573" i="1"/>
  <c r="A45574" i="1"/>
  <c r="A45575" i="1"/>
  <c r="A45576" i="1"/>
  <c r="A45577" i="1"/>
  <c r="A45578" i="1"/>
  <c r="A45579" i="1"/>
  <c r="A45580" i="1"/>
  <c r="A45581" i="1"/>
  <c r="A45582" i="1"/>
  <c r="A45583" i="1"/>
  <c r="A45584" i="1"/>
  <c r="A45585" i="1"/>
  <c r="A45586" i="1"/>
  <c r="A45587" i="1"/>
  <c r="A45588" i="1"/>
  <c r="A45589" i="1"/>
  <c r="A45590" i="1"/>
  <c r="A45591" i="1"/>
  <c r="A45592" i="1"/>
  <c r="A45593" i="1"/>
  <c r="A45594" i="1"/>
  <c r="A45595" i="1"/>
  <c r="A45596" i="1"/>
  <c r="A45597" i="1"/>
  <c r="A45598" i="1"/>
  <c r="A45599" i="1"/>
  <c r="A45600" i="1"/>
  <c r="A45601" i="1"/>
  <c r="A45602" i="1"/>
  <c r="A45603" i="1"/>
  <c r="A45604" i="1"/>
  <c r="A45605" i="1"/>
  <c r="A45606" i="1"/>
  <c r="A45607" i="1"/>
  <c r="A45608" i="1"/>
  <c r="A45609" i="1"/>
  <c r="A45610" i="1"/>
  <c r="A45611" i="1"/>
  <c r="A45612" i="1"/>
  <c r="A45613" i="1"/>
  <c r="A45614" i="1"/>
  <c r="A45615" i="1"/>
  <c r="A45616" i="1"/>
  <c r="A45617" i="1"/>
  <c r="A45618" i="1"/>
  <c r="A45619" i="1"/>
  <c r="A45620" i="1"/>
  <c r="A45621" i="1"/>
  <c r="A45622" i="1"/>
  <c r="A45623" i="1"/>
  <c r="A45624" i="1"/>
  <c r="A45625" i="1"/>
  <c r="A45626" i="1"/>
  <c r="A45627" i="1"/>
  <c r="A45628" i="1"/>
  <c r="A45629" i="1"/>
  <c r="A45630" i="1"/>
  <c r="A45631" i="1"/>
  <c r="A45632" i="1"/>
  <c r="A45633" i="1"/>
  <c r="A45634" i="1"/>
  <c r="A45635" i="1"/>
  <c r="A45636" i="1"/>
  <c r="A45637" i="1"/>
  <c r="A45638" i="1"/>
  <c r="A45639" i="1"/>
  <c r="A45640" i="1"/>
  <c r="A45641" i="1"/>
  <c r="A45642" i="1"/>
  <c r="A45643" i="1"/>
  <c r="A45644" i="1"/>
  <c r="A45645" i="1"/>
  <c r="A45646" i="1"/>
  <c r="A45647" i="1"/>
  <c r="A45648" i="1"/>
  <c r="A45649" i="1"/>
  <c r="A45650" i="1"/>
  <c r="A45651" i="1"/>
  <c r="A45652" i="1"/>
  <c r="A45653" i="1"/>
  <c r="A45654" i="1"/>
  <c r="A45655" i="1"/>
  <c r="A45656" i="1"/>
  <c r="A45657" i="1"/>
  <c r="A45658" i="1"/>
  <c r="A45659" i="1"/>
  <c r="A45660" i="1"/>
  <c r="A45661" i="1"/>
  <c r="A45662" i="1"/>
  <c r="A45663" i="1"/>
  <c r="A45664" i="1"/>
  <c r="A45665" i="1"/>
  <c r="A45666" i="1"/>
  <c r="A45667" i="1"/>
  <c r="A45668" i="1"/>
  <c r="A45669" i="1"/>
  <c r="A45670" i="1"/>
  <c r="A45671" i="1"/>
  <c r="A45672" i="1"/>
  <c r="A45673" i="1"/>
  <c r="A45674" i="1"/>
  <c r="A45675" i="1"/>
  <c r="A45676" i="1"/>
  <c r="A45677" i="1"/>
  <c r="A45678" i="1"/>
  <c r="A45679" i="1"/>
  <c r="A45680" i="1"/>
  <c r="A45681" i="1"/>
  <c r="A45682" i="1"/>
  <c r="A45683" i="1"/>
  <c r="A45684" i="1"/>
  <c r="A45685" i="1"/>
  <c r="A45686" i="1"/>
  <c r="A45687" i="1"/>
  <c r="A45688" i="1"/>
  <c r="A45689" i="1"/>
  <c r="A45690" i="1"/>
  <c r="A45691" i="1"/>
  <c r="A45692" i="1"/>
  <c r="A45693" i="1"/>
  <c r="A45694" i="1"/>
  <c r="A45695" i="1"/>
  <c r="A45696" i="1"/>
  <c r="A45697" i="1"/>
  <c r="A45698" i="1"/>
  <c r="A45699" i="1"/>
  <c r="A45700" i="1"/>
  <c r="A45701" i="1"/>
  <c r="A45702" i="1"/>
  <c r="A45703" i="1"/>
  <c r="A45704" i="1"/>
  <c r="A45705" i="1"/>
  <c r="A45706" i="1"/>
  <c r="A45707" i="1"/>
  <c r="A45708" i="1"/>
  <c r="A45709" i="1"/>
  <c r="A45710" i="1"/>
  <c r="A45711" i="1"/>
  <c r="A45712" i="1"/>
  <c r="A45713" i="1"/>
  <c r="A45714" i="1"/>
  <c r="A45715" i="1"/>
  <c r="A45716" i="1"/>
  <c r="A45717" i="1"/>
  <c r="A45718" i="1"/>
  <c r="A45719" i="1"/>
  <c r="A45720" i="1"/>
  <c r="A45721" i="1"/>
  <c r="A45722" i="1"/>
  <c r="A45723" i="1"/>
  <c r="A45724" i="1"/>
  <c r="A45725" i="1"/>
  <c r="A45726" i="1"/>
  <c r="A45727" i="1"/>
  <c r="A45728" i="1"/>
  <c r="A45729" i="1"/>
  <c r="A45730" i="1"/>
  <c r="A45731" i="1"/>
  <c r="A45732" i="1"/>
  <c r="A45733" i="1"/>
  <c r="A45734" i="1"/>
  <c r="A45735" i="1"/>
  <c r="A45736" i="1"/>
  <c r="A45737" i="1"/>
  <c r="A45738" i="1"/>
  <c r="A45739" i="1"/>
  <c r="A45740" i="1"/>
  <c r="A45741" i="1"/>
  <c r="A45742" i="1"/>
  <c r="A45743" i="1"/>
  <c r="A45744" i="1"/>
  <c r="A45745" i="1"/>
  <c r="A45746" i="1"/>
  <c r="A45747" i="1"/>
  <c r="A45748" i="1"/>
  <c r="A45749" i="1"/>
  <c r="A45750" i="1"/>
  <c r="A45751" i="1"/>
  <c r="A45752" i="1"/>
  <c r="A45753" i="1"/>
  <c r="A45754" i="1"/>
  <c r="A45755" i="1"/>
  <c r="A45756" i="1"/>
  <c r="A45757" i="1"/>
  <c r="A45758" i="1"/>
  <c r="A45759" i="1"/>
  <c r="A45760" i="1"/>
  <c r="A45761" i="1"/>
  <c r="A45762" i="1"/>
  <c r="A45763" i="1"/>
  <c r="A45764" i="1"/>
  <c r="A45765" i="1"/>
  <c r="A45766" i="1"/>
  <c r="A45767" i="1"/>
  <c r="A45768" i="1"/>
  <c r="A45769" i="1"/>
  <c r="A45770" i="1"/>
  <c r="A45771" i="1"/>
  <c r="A45772" i="1"/>
  <c r="A45773" i="1"/>
  <c r="A45774" i="1"/>
  <c r="A45775" i="1"/>
  <c r="A45776" i="1"/>
  <c r="A45777" i="1"/>
  <c r="A45778" i="1"/>
  <c r="A45779" i="1"/>
  <c r="A45780" i="1"/>
  <c r="A45781" i="1"/>
  <c r="A45782" i="1"/>
  <c r="A45783" i="1"/>
  <c r="A45784" i="1"/>
  <c r="A45785" i="1"/>
  <c r="A45786" i="1"/>
  <c r="A45787" i="1"/>
  <c r="A45788" i="1"/>
  <c r="A45789" i="1"/>
  <c r="A45790" i="1"/>
  <c r="A45791" i="1"/>
  <c r="A45792" i="1"/>
  <c r="A45793" i="1"/>
  <c r="A45794" i="1"/>
  <c r="A45795" i="1"/>
  <c r="A45796" i="1"/>
  <c r="A45797" i="1"/>
  <c r="A45798" i="1"/>
  <c r="A45799" i="1"/>
  <c r="A45800" i="1"/>
  <c r="A45801" i="1"/>
  <c r="A45802" i="1"/>
  <c r="A45803" i="1"/>
  <c r="A45804" i="1"/>
  <c r="A45805" i="1"/>
  <c r="A45806" i="1"/>
  <c r="A45807" i="1"/>
  <c r="A45808" i="1"/>
  <c r="A45809" i="1"/>
  <c r="A45810" i="1"/>
  <c r="A45811" i="1"/>
  <c r="A45812" i="1"/>
  <c r="A45813" i="1"/>
  <c r="A45814" i="1"/>
  <c r="A45815" i="1"/>
  <c r="A45816" i="1"/>
  <c r="A45817" i="1"/>
  <c r="A45818" i="1"/>
  <c r="A45819" i="1"/>
  <c r="A45820" i="1"/>
  <c r="A45821" i="1"/>
  <c r="A45822" i="1"/>
  <c r="A45823" i="1"/>
  <c r="A45824" i="1"/>
  <c r="A45825" i="1"/>
  <c r="A45826" i="1"/>
  <c r="A45827" i="1"/>
  <c r="A45828" i="1"/>
  <c r="A45829" i="1"/>
  <c r="A45830" i="1"/>
  <c r="A45831" i="1"/>
  <c r="A45832" i="1"/>
  <c r="A45833" i="1"/>
  <c r="A45834" i="1"/>
  <c r="A45835" i="1"/>
  <c r="A45836" i="1"/>
  <c r="A45837" i="1"/>
  <c r="A45838" i="1"/>
  <c r="A45839" i="1"/>
  <c r="A45840" i="1"/>
  <c r="A45841" i="1"/>
  <c r="A45842" i="1"/>
  <c r="A45843" i="1"/>
  <c r="A45844" i="1"/>
  <c r="A45845" i="1"/>
  <c r="A45846" i="1"/>
  <c r="A45847" i="1"/>
  <c r="A45848" i="1"/>
  <c r="A45849" i="1"/>
  <c r="A45850" i="1"/>
  <c r="A45851" i="1"/>
  <c r="A45852" i="1"/>
  <c r="A45853" i="1"/>
  <c r="A45854" i="1"/>
  <c r="A45855" i="1"/>
  <c r="A45856" i="1"/>
  <c r="A45857" i="1"/>
  <c r="A45858" i="1"/>
  <c r="A45859" i="1"/>
  <c r="A45860" i="1"/>
  <c r="A45861" i="1"/>
  <c r="A45862" i="1"/>
  <c r="A45863" i="1"/>
  <c r="A45864" i="1"/>
  <c r="A45865" i="1"/>
  <c r="A45866" i="1"/>
  <c r="A45867" i="1"/>
  <c r="A45868" i="1"/>
  <c r="A45869" i="1"/>
  <c r="A45870" i="1"/>
  <c r="A45871" i="1"/>
  <c r="A45872" i="1"/>
  <c r="A45873" i="1"/>
  <c r="A45874" i="1"/>
  <c r="A45875" i="1"/>
  <c r="A45876" i="1"/>
  <c r="A45877" i="1"/>
  <c r="A45878" i="1"/>
  <c r="A45879" i="1"/>
  <c r="A45880" i="1"/>
  <c r="A45881" i="1"/>
  <c r="A45882" i="1"/>
  <c r="A45883" i="1"/>
  <c r="A45884" i="1"/>
  <c r="A45885" i="1"/>
  <c r="A45886" i="1"/>
  <c r="A45887" i="1"/>
  <c r="A45888" i="1"/>
  <c r="A45889" i="1"/>
  <c r="A45890" i="1"/>
  <c r="A45891" i="1"/>
  <c r="A45892" i="1"/>
  <c r="A45893" i="1"/>
  <c r="A45894" i="1"/>
  <c r="A45895" i="1"/>
  <c r="A45896" i="1"/>
  <c r="A45897" i="1"/>
  <c r="A45898" i="1"/>
  <c r="A45899" i="1"/>
  <c r="A45900" i="1"/>
  <c r="A45901" i="1"/>
  <c r="A45902" i="1"/>
  <c r="A45903" i="1"/>
  <c r="A45904" i="1"/>
  <c r="A45905" i="1"/>
  <c r="A45906" i="1"/>
  <c r="A45907" i="1"/>
  <c r="A45908" i="1"/>
  <c r="A45909" i="1"/>
  <c r="A45910" i="1"/>
  <c r="A45911" i="1"/>
  <c r="A45912" i="1"/>
  <c r="A45913" i="1"/>
  <c r="A45914" i="1"/>
  <c r="A45915" i="1"/>
  <c r="A45916" i="1"/>
  <c r="A45917" i="1"/>
  <c r="A45918" i="1"/>
  <c r="A45919" i="1"/>
  <c r="A45920" i="1"/>
  <c r="A45921" i="1"/>
  <c r="A45922" i="1"/>
  <c r="A45923" i="1"/>
  <c r="A45924" i="1"/>
  <c r="A45925" i="1"/>
  <c r="A45926" i="1"/>
  <c r="A45927" i="1"/>
  <c r="A45928" i="1"/>
  <c r="A45929" i="1"/>
  <c r="A45930" i="1"/>
  <c r="A45931" i="1"/>
  <c r="A45932" i="1"/>
  <c r="A45933" i="1"/>
  <c r="A45934" i="1"/>
  <c r="A45935" i="1"/>
  <c r="A45936" i="1"/>
  <c r="A45937" i="1"/>
  <c r="A45938" i="1"/>
  <c r="A45939" i="1"/>
  <c r="A45940" i="1"/>
  <c r="A45941" i="1"/>
  <c r="A45942" i="1"/>
  <c r="A45943" i="1"/>
  <c r="A45944" i="1"/>
  <c r="A45945" i="1"/>
  <c r="A45946" i="1"/>
  <c r="A45947" i="1"/>
  <c r="A45948" i="1"/>
  <c r="A45949" i="1"/>
  <c r="A45950" i="1"/>
  <c r="A45951" i="1"/>
  <c r="A45952" i="1"/>
  <c r="A45953" i="1"/>
  <c r="A45954" i="1"/>
  <c r="A45955" i="1"/>
  <c r="A45956" i="1"/>
  <c r="A45957" i="1"/>
  <c r="A45958" i="1"/>
  <c r="A45959" i="1"/>
  <c r="A45960" i="1"/>
  <c r="A45961" i="1"/>
  <c r="A45962" i="1"/>
  <c r="A45963" i="1"/>
  <c r="A45964" i="1"/>
  <c r="A45965" i="1"/>
  <c r="A45966" i="1"/>
  <c r="A45967" i="1"/>
  <c r="A45968" i="1"/>
  <c r="A45969" i="1"/>
  <c r="A45970" i="1"/>
  <c r="A45971" i="1"/>
  <c r="A45972" i="1"/>
  <c r="A45973" i="1"/>
  <c r="A45974" i="1"/>
  <c r="A45975" i="1"/>
  <c r="A45976" i="1"/>
  <c r="A45977" i="1"/>
  <c r="A45978" i="1"/>
  <c r="A45979" i="1"/>
  <c r="A45980" i="1"/>
  <c r="A45981" i="1"/>
  <c r="A45982" i="1"/>
  <c r="A45983" i="1"/>
  <c r="A45984" i="1"/>
  <c r="A45985" i="1"/>
  <c r="A45986" i="1"/>
  <c r="A45987" i="1"/>
  <c r="A45988" i="1"/>
  <c r="A45989" i="1"/>
  <c r="A45990" i="1"/>
  <c r="A45991" i="1"/>
  <c r="A45992" i="1"/>
  <c r="A45993" i="1"/>
  <c r="A45994" i="1"/>
  <c r="A45995" i="1"/>
  <c r="A45996" i="1"/>
  <c r="A45997" i="1"/>
  <c r="A45998" i="1"/>
  <c r="A45999" i="1"/>
  <c r="A46000" i="1"/>
  <c r="A46001" i="1"/>
  <c r="A46002" i="1"/>
  <c r="A46003" i="1"/>
  <c r="A46004" i="1"/>
  <c r="A46005" i="1"/>
  <c r="A46006" i="1"/>
  <c r="A46007" i="1"/>
  <c r="A46008" i="1"/>
  <c r="A46009" i="1"/>
  <c r="A46010" i="1"/>
  <c r="A46011" i="1"/>
  <c r="A46012" i="1"/>
  <c r="A46013" i="1"/>
  <c r="A46014" i="1"/>
  <c r="A46015" i="1"/>
  <c r="A46016" i="1"/>
  <c r="A46017" i="1"/>
  <c r="A46018" i="1"/>
  <c r="A46019" i="1"/>
  <c r="A46020" i="1"/>
  <c r="A46021" i="1"/>
  <c r="A46022" i="1"/>
  <c r="A46023" i="1"/>
  <c r="A46024" i="1"/>
  <c r="A46025" i="1"/>
  <c r="A46026" i="1"/>
  <c r="A46027" i="1"/>
  <c r="A46028" i="1"/>
  <c r="A46029" i="1"/>
  <c r="A46030" i="1"/>
  <c r="A46031" i="1"/>
  <c r="A46032" i="1"/>
  <c r="A46033" i="1"/>
  <c r="A46034" i="1"/>
  <c r="A46035" i="1"/>
  <c r="A46036" i="1"/>
  <c r="A46037" i="1"/>
  <c r="A46038" i="1"/>
  <c r="A46039" i="1"/>
  <c r="A46040" i="1"/>
  <c r="A46041" i="1"/>
  <c r="A46042" i="1"/>
  <c r="A46043" i="1"/>
  <c r="A46044" i="1"/>
  <c r="A46045" i="1"/>
  <c r="A46046" i="1"/>
  <c r="A46047" i="1"/>
  <c r="A46048" i="1"/>
  <c r="A46049" i="1"/>
  <c r="A46050" i="1"/>
  <c r="A46051" i="1"/>
  <c r="A46052" i="1"/>
  <c r="A46053" i="1"/>
  <c r="A46054" i="1"/>
  <c r="A46055" i="1"/>
  <c r="A46056" i="1"/>
  <c r="A46057" i="1"/>
  <c r="A46058" i="1"/>
  <c r="A46059" i="1"/>
  <c r="A46060" i="1"/>
  <c r="A46061" i="1"/>
  <c r="A46062" i="1"/>
  <c r="A46063" i="1"/>
  <c r="A46064" i="1"/>
  <c r="A46065" i="1"/>
  <c r="A46066" i="1"/>
  <c r="A46067" i="1"/>
  <c r="A46068" i="1"/>
  <c r="A46069" i="1"/>
  <c r="A46070" i="1"/>
  <c r="A46071" i="1"/>
  <c r="A46072" i="1"/>
  <c r="A46073" i="1"/>
  <c r="A46074" i="1"/>
  <c r="A46075" i="1"/>
  <c r="A46076" i="1"/>
  <c r="A46077" i="1"/>
  <c r="A46078" i="1"/>
  <c r="A46079" i="1"/>
  <c r="A46080" i="1"/>
  <c r="A46081" i="1"/>
  <c r="A46082" i="1"/>
  <c r="A46083" i="1"/>
  <c r="A46084" i="1"/>
  <c r="A46085" i="1"/>
  <c r="A46086" i="1"/>
  <c r="A46087" i="1"/>
  <c r="A46088" i="1"/>
  <c r="A46089" i="1"/>
  <c r="A46090" i="1"/>
  <c r="A46091" i="1"/>
  <c r="A46092" i="1"/>
  <c r="A46093" i="1"/>
  <c r="A46094" i="1"/>
  <c r="A46095" i="1"/>
  <c r="A46096" i="1"/>
  <c r="A46097" i="1"/>
  <c r="A46098" i="1"/>
  <c r="A46099" i="1"/>
  <c r="A46100" i="1"/>
  <c r="A46101" i="1"/>
  <c r="A46102" i="1"/>
  <c r="A46103" i="1"/>
  <c r="A46104" i="1"/>
  <c r="A46105" i="1"/>
  <c r="A46106" i="1"/>
  <c r="A46107" i="1"/>
  <c r="A46108" i="1"/>
  <c r="A46109" i="1"/>
  <c r="A46110" i="1"/>
  <c r="A46111" i="1"/>
  <c r="A46112" i="1"/>
  <c r="A46113" i="1"/>
  <c r="A46114" i="1"/>
  <c r="A46115" i="1"/>
  <c r="A46116" i="1"/>
  <c r="A46117" i="1"/>
  <c r="A46118" i="1"/>
  <c r="A46119" i="1"/>
  <c r="A46120" i="1"/>
  <c r="A46121" i="1"/>
  <c r="A46122" i="1"/>
  <c r="A46123" i="1"/>
  <c r="A46124" i="1"/>
  <c r="A46125" i="1"/>
  <c r="A46126" i="1"/>
  <c r="A46127" i="1"/>
  <c r="A46128" i="1"/>
  <c r="A46129" i="1"/>
  <c r="A46130" i="1"/>
  <c r="A46131" i="1"/>
  <c r="A46132" i="1"/>
  <c r="A46133" i="1"/>
  <c r="A46134" i="1"/>
  <c r="A46135" i="1"/>
  <c r="A46136" i="1"/>
  <c r="A46137" i="1"/>
  <c r="A46138" i="1"/>
  <c r="A46139" i="1"/>
  <c r="A46140" i="1"/>
  <c r="A46141" i="1"/>
  <c r="A46142" i="1"/>
  <c r="A46143" i="1"/>
  <c r="A46144" i="1"/>
  <c r="A46145" i="1"/>
  <c r="A46146" i="1"/>
  <c r="A46147" i="1"/>
  <c r="A46148" i="1"/>
  <c r="A46149" i="1"/>
  <c r="A46150" i="1"/>
  <c r="A46151" i="1"/>
  <c r="A46152" i="1"/>
  <c r="A46153" i="1"/>
  <c r="A46154" i="1"/>
  <c r="A46155" i="1"/>
  <c r="A46156" i="1"/>
  <c r="A46157" i="1"/>
  <c r="A46158" i="1"/>
  <c r="A46159" i="1"/>
  <c r="A46160" i="1"/>
  <c r="A46161" i="1"/>
  <c r="A46162" i="1"/>
  <c r="A46163" i="1"/>
  <c r="A46164" i="1"/>
  <c r="A46165" i="1"/>
  <c r="A46166" i="1"/>
  <c r="A46167" i="1"/>
  <c r="A46168" i="1"/>
  <c r="A46169" i="1"/>
  <c r="A46170" i="1"/>
  <c r="A46171" i="1"/>
  <c r="A46172" i="1"/>
  <c r="A46173" i="1"/>
  <c r="A46174" i="1"/>
  <c r="A46175" i="1"/>
  <c r="A46176" i="1"/>
  <c r="A46177" i="1"/>
  <c r="A46178" i="1"/>
  <c r="A46179" i="1"/>
  <c r="A46180" i="1"/>
  <c r="A46181" i="1"/>
  <c r="A46182" i="1"/>
  <c r="A46183" i="1"/>
  <c r="A46184" i="1"/>
  <c r="A46185" i="1"/>
  <c r="A46186" i="1"/>
  <c r="A46187" i="1"/>
  <c r="A46188" i="1"/>
  <c r="A46189" i="1"/>
  <c r="A46190" i="1"/>
  <c r="A46191" i="1"/>
  <c r="A46192" i="1"/>
  <c r="A46193" i="1"/>
  <c r="A46194" i="1"/>
  <c r="A46195" i="1"/>
  <c r="A46196" i="1"/>
  <c r="A46197" i="1"/>
  <c r="A46198" i="1"/>
  <c r="A46199" i="1"/>
  <c r="A46200" i="1"/>
  <c r="A46201" i="1"/>
  <c r="A46202" i="1"/>
  <c r="A46203" i="1"/>
  <c r="A46204" i="1"/>
  <c r="A46205" i="1"/>
  <c r="A46206" i="1"/>
  <c r="A46207" i="1"/>
  <c r="A46208" i="1"/>
  <c r="A46209" i="1"/>
  <c r="A46210" i="1"/>
  <c r="A46211" i="1"/>
  <c r="A46212" i="1"/>
  <c r="A46213" i="1"/>
  <c r="A46214" i="1"/>
  <c r="A46215" i="1"/>
  <c r="A46216" i="1"/>
  <c r="A46217" i="1"/>
  <c r="A46218" i="1"/>
  <c r="A46219" i="1"/>
  <c r="A46220" i="1"/>
  <c r="A46221" i="1"/>
  <c r="A46222" i="1"/>
  <c r="A46223" i="1"/>
  <c r="A46224" i="1"/>
  <c r="A46225" i="1"/>
  <c r="A46226" i="1"/>
  <c r="A46227" i="1"/>
  <c r="A46228" i="1"/>
  <c r="A46229" i="1"/>
  <c r="A46230" i="1"/>
  <c r="A46231" i="1"/>
  <c r="A46232" i="1"/>
  <c r="A46233" i="1"/>
  <c r="A46234" i="1"/>
  <c r="A46235" i="1"/>
  <c r="A46236" i="1"/>
  <c r="A46237" i="1"/>
  <c r="A46238" i="1"/>
  <c r="A46239" i="1"/>
  <c r="A46240" i="1"/>
  <c r="A46241" i="1"/>
  <c r="A46242" i="1"/>
  <c r="A46243" i="1"/>
  <c r="A46244" i="1"/>
  <c r="A46245" i="1"/>
  <c r="A46246" i="1"/>
  <c r="A46247" i="1"/>
  <c r="A46248" i="1"/>
  <c r="A46249" i="1"/>
  <c r="A46250" i="1"/>
  <c r="A46251" i="1"/>
  <c r="A46252" i="1"/>
  <c r="A46253" i="1"/>
  <c r="A46254" i="1"/>
  <c r="A46255" i="1"/>
  <c r="A46256" i="1"/>
  <c r="A46257" i="1"/>
  <c r="A46258" i="1"/>
  <c r="A46259" i="1"/>
  <c r="A46260" i="1"/>
  <c r="A46261" i="1"/>
  <c r="A46262" i="1"/>
  <c r="A46263" i="1"/>
  <c r="A46264" i="1"/>
  <c r="A46265" i="1"/>
  <c r="A46266" i="1"/>
  <c r="A46267" i="1"/>
  <c r="A46268" i="1"/>
  <c r="A46269" i="1"/>
  <c r="A46270" i="1"/>
  <c r="A46271" i="1"/>
  <c r="A46272" i="1"/>
  <c r="A46273" i="1"/>
  <c r="A46274" i="1"/>
  <c r="A46275" i="1"/>
  <c r="A46276" i="1"/>
  <c r="A46277" i="1"/>
  <c r="A46278" i="1"/>
  <c r="A46279" i="1"/>
  <c r="A46280" i="1"/>
  <c r="A46281" i="1"/>
  <c r="A46282" i="1"/>
  <c r="A46283" i="1"/>
  <c r="A46284" i="1"/>
  <c r="A46285" i="1"/>
  <c r="A46286" i="1"/>
  <c r="A46287" i="1"/>
  <c r="A46288" i="1"/>
  <c r="A46289" i="1"/>
  <c r="A46290" i="1"/>
  <c r="A46291" i="1"/>
  <c r="A46292" i="1"/>
  <c r="A46293" i="1"/>
  <c r="A46294" i="1"/>
  <c r="A46295" i="1"/>
  <c r="A46296" i="1"/>
  <c r="A46297" i="1"/>
  <c r="A46298" i="1"/>
  <c r="A46299" i="1"/>
  <c r="A46300" i="1"/>
  <c r="A46301" i="1"/>
  <c r="A46302" i="1"/>
  <c r="A46303" i="1"/>
  <c r="A46304" i="1"/>
  <c r="A46305" i="1"/>
  <c r="A46306" i="1"/>
  <c r="A46307" i="1"/>
  <c r="A46308" i="1"/>
  <c r="A46309" i="1"/>
  <c r="A46310" i="1"/>
  <c r="A46311" i="1"/>
  <c r="A46312" i="1"/>
  <c r="A46313" i="1"/>
  <c r="A46314" i="1"/>
  <c r="A46315" i="1"/>
  <c r="A46316" i="1"/>
  <c r="A46317" i="1"/>
  <c r="A46318" i="1"/>
  <c r="A46319" i="1"/>
  <c r="A46320" i="1"/>
  <c r="A46321" i="1"/>
  <c r="A46322" i="1"/>
  <c r="A46323" i="1"/>
  <c r="A46324" i="1"/>
  <c r="A46325" i="1"/>
  <c r="A46326" i="1"/>
  <c r="A46327" i="1"/>
  <c r="A46328" i="1"/>
  <c r="A46329" i="1"/>
  <c r="A46330" i="1"/>
  <c r="A46331" i="1"/>
  <c r="A46332" i="1"/>
  <c r="A46333" i="1"/>
  <c r="A46334" i="1"/>
  <c r="A46335" i="1"/>
  <c r="A46336" i="1"/>
  <c r="A46337" i="1"/>
  <c r="A46338" i="1"/>
  <c r="A46339" i="1"/>
  <c r="A46340" i="1"/>
  <c r="A46341" i="1"/>
  <c r="A46342" i="1"/>
  <c r="A46343" i="1"/>
  <c r="A46344" i="1"/>
  <c r="A46345" i="1"/>
  <c r="A46346" i="1"/>
  <c r="A46347" i="1"/>
  <c r="A46348" i="1"/>
  <c r="A46349" i="1"/>
  <c r="A46350" i="1"/>
  <c r="A46351" i="1"/>
  <c r="A46352" i="1"/>
  <c r="A46353" i="1"/>
  <c r="A46354" i="1"/>
  <c r="A46355" i="1"/>
  <c r="A46356" i="1"/>
  <c r="A46357" i="1"/>
  <c r="A46358" i="1"/>
  <c r="A46359" i="1"/>
  <c r="A46360" i="1"/>
  <c r="A46361" i="1"/>
  <c r="A46362" i="1"/>
  <c r="A46363" i="1"/>
  <c r="A46364" i="1"/>
  <c r="A46365" i="1"/>
  <c r="A46366" i="1"/>
  <c r="A46367" i="1"/>
  <c r="A46368" i="1"/>
  <c r="A46369" i="1"/>
  <c r="A46370" i="1"/>
  <c r="A46371" i="1"/>
  <c r="A46372" i="1"/>
  <c r="A46373" i="1"/>
  <c r="A46374" i="1"/>
  <c r="A46375" i="1"/>
  <c r="A46376" i="1"/>
  <c r="A46377" i="1"/>
  <c r="A46378" i="1"/>
  <c r="A46379" i="1"/>
  <c r="A46380" i="1"/>
  <c r="A46381" i="1"/>
  <c r="A46382" i="1"/>
  <c r="A46383" i="1"/>
  <c r="A46384" i="1"/>
  <c r="A46385" i="1"/>
  <c r="A46386" i="1"/>
  <c r="A46387" i="1"/>
  <c r="A46388" i="1"/>
  <c r="A46389" i="1"/>
  <c r="A46390" i="1"/>
  <c r="A46391" i="1"/>
  <c r="A46392" i="1"/>
  <c r="A46393" i="1"/>
  <c r="A46394" i="1"/>
  <c r="A46395" i="1"/>
  <c r="A46396" i="1"/>
  <c r="A46397" i="1"/>
  <c r="A46398" i="1"/>
  <c r="A46399" i="1"/>
  <c r="A46400" i="1"/>
  <c r="A46401" i="1"/>
  <c r="A46402" i="1"/>
  <c r="A46403" i="1"/>
  <c r="A46404" i="1"/>
  <c r="A46405" i="1"/>
  <c r="A46406" i="1"/>
  <c r="A46407" i="1"/>
  <c r="A46408" i="1"/>
  <c r="A46409" i="1"/>
  <c r="A46410" i="1"/>
  <c r="A46411" i="1"/>
  <c r="A46412" i="1"/>
  <c r="A46413" i="1"/>
  <c r="A46414" i="1"/>
  <c r="A46415" i="1"/>
  <c r="A46416" i="1"/>
  <c r="A46417" i="1"/>
  <c r="A46418" i="1"/>
  <c r="A46419" i="1"/>
  <c r="A46420" i="1"/>
  <c r="A46421" i="1"/>
  <c r="A46422" i="1"/>
  <c r="A46423" i="1"/>
  <c r="A46424" i="1"/>
  <c r="A46425" i="1"/>
  <c r="A46426" i="1"/>
  <c r="A46427" i="1"/>
  <c r="A46428" i="1"/>
  <c r="A46429" i="1"/>
  <c r="A46430" i="1"/>
  <c r="A46431" i="1"/>
  <c r="A46432" i="1"/>
  <c r="A46433" i="1"/>
  <c r="A46434" i="1"/>
  <c r="A46435" i="1"/>
  <c r="A46436" i="1"/>
  <c r="A46437" i="1"/>
  <c r="A46438" i="1"/>
  <c r="A46439" i="1"/>
  <c r="A46440" i="1"/>
  <c r="A46441" i="1"/>
  <c r="A46442" i="1"/>
  <c r="A46443" i="1"/>
  <c r="A46444" i="1"/>
  <c r="A46445" i="1"/>
  <c r="A46446" i="1"/>
  <c r="A46447" i="1"/>
  <c r="A46448" i="1"/>
  <c r="A46449" i="1"/>
  <c r="A46450" i="1"/>
  <c r="A46451" i="1"/>
  <c r="A46452" i="1"/>
  <c r="A46453" i="1"/>
  <c r="A46454" i="1"/>
  <c r="A46455" i="1"/>
  <c r="A46456" i="1"/>
  <c r="A46457" i="1"/>
  <c r="A46458" i="1"/>
  <c r="A46459" i="1"/>
  <c r="A46460" i="1"/>
  <c r="A46461" i="1"/>
  <c r="A46462" i="1"/>
  <c r="A46463" i="1"/>
  <c r="A46464" i="1"/>
  <c r="A46465" i="1"/>
  <c r="A46466" i="1"/>
  <c r="A46467" i="1"/>
  <c r="A46468" i="1"/>
  <c r="A46469" i="1"/>
  <c r="A46470" i="1"/>
  <c r="A46471" i="1"/>
  <c r="A46472" i="1"/>
  <c r="A46473" i="1"/>
  <c r="A46474" i="1"/>
  <c r="A46475" i="1"/>
  <c r="A46476" i="1"/>
  <c r="A46477" i="1"/>
  <c r="A46478" i="1"/>
  <c r="A46479" i="1"/>
  <c r="A46480" i="1"/>
  <c r="A46481" i="1"/>
  <c r="A46482" i="1"/>
  <c r="A46483" i="1"/>
  <c r="A46484" i="1"/>
  <c r="A46485" i="1"/>
  <c r="A46486" i="1"/>
  <c r="A46487" i="1"/>
  <c r="A46488" i="1"/>
  <c r="A46489" i="1"/>
  <c r="A46490" i="1"/>
  <c r="A46491" i="1"/>
  <c r="A46492" i="1"/>
  <c r="A46493" i="1"/>
  <c r="A46494" i="1"/>
  <c r="A46495" i="1"/>
  <c r="A46496" i="1"/>
  <c r="A46497" i="1"/>
  <c r="A46498" i="1"/>
  <c r="A46499" i="1"/>
  <c r="A46500" i="1"/>
  <c r="A46501" i="1"/>
  <c r="A46502" i="1"/>
  <c r="A46503" i="1"/>
  <c r="A46504" i="1"/>
  <c r="A46505" i="1"/>
  <c r="A46506" i="1"/>
  <c r="A46507" i="1"/>
  <c r="A46508" i="1"/>
  <c r="A46509" i="1"/>
  <c r="A46510" i="1"/>
  <c r="A46511" i="1"/>
  <c r="A46512" i="1"/>
  <c r="A46513" i="1"/>
  <c r="A46514" i="1"/>
  <c r="A46515" i="1"/>
  <c r="A46516" i="1"/>
  <c r="A46517" i="1"/>
  <c r="A46518" i="1"/>
  <c r="A46519" i="1"/>
  <c r="A46520" i="1"/>
  <c r="A46521" i="1"/>
  <c r="A46522" i="1"/>
  <c r="A46523" i="1"/>
  <c r="A46524" i="1"/>
  <c r="A46525" i="1"/>
  <c r="A46526" i="1"/>
  <c r="A46527" i="1"/>
  <c r="A46528" i="1"/>
  <c r="A46529" i="1"/>
  <c r="A46530" i="1"/>
  <c r="A46531" i="1"/>
  <c r="A46532" i="1"/>
  <c r="A46533" i="1"/>
  <c r="A46534" i="1"/>
  <c r="A46535" i="1"/>
  <c r="A46536" i="1"/>
  <c r="A46537" i="1"/>
  <c r="A46538" i="1"/>
  <c r="A46539" i="1"/>
  <c r="A46540" i="1"/>
  <c r="A46541" i="1"/>
  <c r="A46542" i="1"/>
  <c r="A46543" i="1"/>
  <c r="A46544" i="1"/>
  <c r="A46545" i="1"/>
  <c r="A46546" i="1"/>
  <c r="A46547" i="1"/>
  <c r="A46548" i="1"/>
  <c r="A46549" i="1"/>
  <c r="A46550" i="1"/>
  <c r="A46551" i="1"/>
  <c r="A46552" i="1"/>
  <c r="A46553" i="1"/>
  <c r="A46554" i="1"/>
  <c r="A46555" i="1"/>
  <c r="A46556" i="1"/>
  <c r="A46557" i="1"/>
  <c r="A46558" i="1"/>
  <c r="A46559" i="1"/>
  <c r="A46560" i="1"/>
  <c r="A46561" i="1"/>
  <c r="A46562" i="1"/>
  <c r="A46563" i="1"/>
  <c r="A46564" i="1"/>
  <c r="A46565" i="1"/>
  <c r="A46566" i="1"/>
  <c r="A46567" i="1"/>
  <c r="A46568" i="1"/>
  <c r="A46569" i="1"/>
  <c r="A46570" i="1"/>
  <c r="A46571" i="1"/>
  <c r="A46572" i="1"/>
  <c r="A46573" i="1"/>
  <c r="A46574" i="1"/>
  <c r="A46575" i="1"/>
  <c r="A46576" i="1"/>
  <c r="A46577" i="1"/>
  <c r="A46578" i="1"/>
  <c r="A46579" i="1"/>
  <c r="A46580" i="1"/>
  <c r="A46581" i="1"/>
  <c r="A46582" i="1"/>
  <c r="A46583" i="1"/>
  <c r="A46584" i="1"/>
  <c r="A46585" i="1"/>
  <c r="A46586" i="1"/>
  <c r="A46587" i="1"/>
  <c r="A46588" i="1"/>
  <c r="A46589" i="1"/>
  <c r="A46590" i="1"/>
  <c r="A46591" i="1"/>
  <c r="A46592" i="1"/>
  <c r="A46593" i="1"/>
  <c r="A46594" i="1"/>
  <c r="A46595" i="1"/>
  <c r="A46596" i="1"/>
  <c r="A46597" i="1"/>
  <c r="A46598" i="1"/>
  <c r="A46599" i="1"/>
  <c r="A46600" i="1"/>
  <c r="A46601" i="1"/>
  <c r="A46602" i="1"/>
  <c r="A46603" i="1"/>
  <c r="A46604" i="1"/>
  <c r="A46605" i="1"/>
  <c r="A46606" i="1"/>
  <c r="A46607" i="1"/>
  <c r="A46608" i="1"/>
  <c r="A46609" i="1"/>
  <c r="A46610" i="1"/>
  <c r="A46611" i="1"/>
  <c r="A46612" i="1"/>
  <c r="A46613" i="1"/>
  <c r="A46614" i="1"/>
  <c r="A46615" i="1"/>
  <c r="A46616" i="1"/>
  <c r="A46617" i="1"/>
  <c r="A46618" i="1"/>
  <c r="A46619" i="1"/>
  <c r="A46620" i="1"/>
  <c r="A46621" i="1"/>
  <c r="A46622" i="1"/>
  <c r="A46623" i="1"/>
  <c r="A46624" i="1"/>
  <c r="A46625" i="1"/>
  <c r="A46626" i="1"/>
  <c r="A46627" i="1"/>
  <c r="A46628" i="1"/>
  <c r="A46629" i="1"/>
  <c r="A46630" i="1"/>
  <c r="A46631" i="1"/>
  <c r="A46632" i="1"/>
  <c r="A46633" i="1"/>
  <c r="A46634" i="1"/>
  <c r="A46635" i="1"/>
  <c r="A46636" i="1"/>
  <c r="A46637" i="1"/>
  <c r="A46638" i="1"/>
  <c r="A46639" i="1"/>
  <c r="A46640" i="1"/>
  <c r="A46641" i="1"/>
  <c r="A46642" i="1"/>
  <c r="A46643" i="1"/>
  <c r="A46644" i="1"/>
  <c r="A46645" i="1"/>
  <c r="A46646" i="1"/>
  <c r="A46647" i="1"/>
  <c r="A46648" i="1"/>
  <c r="A46649" i="1"/>
  <c r="A46650" i="1"/>
  <c r="A46651" i="1"/>
  <c r="A46652" i="1"/>
  <c r="A46653" i="1"/>
  <c r="A46654" i="1"/>
  <c r="A46655" i="1"/>
  <c r="A46656" i="1"/>
  <c r="A46657" i="1"/>
  <c r="A46658" i="1"/>
  <c r="A46659" i="1"/>
  <c r="A46660" i="1"/>
  <c r="A46661" i="1"/>
  <c r="A46662" i="1"/>
  <c r="A46663" i="1"/>
  <c r="A46664" i="1"/>
  <c r="A46665" i="1"/>
  <c r="A46666" i="1"/>
  <c r="A46667" i="1"/>
  <c r="A46668" i="1"/>
  <c r="A46669" i="1"/>
  <c r="A46670" i="1"/>
  <c r="A46671" i="1"/>
  <c r="A46672" i="1"/>
  <c r="A46673" i="1"/>
  <c r="A46674" i="1"/>
  <c r="A46675" i="1"/>
  <c r="A46676" i="1"/>
  <c r="A46677" i="1"/>
  <c r="A46678" i="1"/>
  <c r="A46679" i="1"/>
  <c r="A46680" i="1"/>
  <c r="A46681" i="1"/>
  <c r="A46682" i="1"/>
  <c r="A46683" i="1"/>
  <c r="A46684" i="1"/>
  <c r="A46685" i="1"/>
  <c r="A46686" i="1"/>
  <c r="A46687" i="1"/>
  <c r="A46688" i="1"/>
  <c r="A46689" i="1"/>
  <c r="A46690" i="1"/>
  <c r="A46691" i="1"/>
  <c r="A46692" i="1"/>
  <c r="A46693" i="1"/>
  <c r="A46694" i="1"/>
  <c r="A46695" i="1"/>
  <c r="A46696" i="1"/>
  <c r="A46697" i="1"/>
  <c r="A46698" i="1"/>
  <c r="A46699" i="1"/>
  <c r="A46700" i="1"/>
  <c r="A46701" i="1"/>
  <c r="A46702" i="1"/>
  <c r="A46703" i="1"/>
  <c r="A46704" i="1"/>
  <c r="A46705" i="1"/>
  <c r="A46706" i="1"/>
  <c r="A46707" i="1"/>
  <c r="A46708" i="1"/>
  <c r="A46709" i="1"/>
  <c r="A46710" i="1"/>
  <c r="A46711" i="1"/>
  <c r="A46712" i="1"/>
  <c r="A46713" i="1"/>
  <c r="A46714" i="1"/>
  <c r="A46715" i="1"/>
  <c r="A46716" i="1"/>
  <c r="A46717" i="1"/>
  <c r="A46718" i="1"/>
  <c r="A46719" i="1"/>
  <c r="A46720" i="1"/>
  <c r="A46721" i="1"/>
  <c r="A46722" i="1"/>
  <c r="A46723" i="1"/>
  <c r="A46724" i="1"/>
  <c r="A46725" i="1"/>
  <c r="A46726" i="1"/>
  <c r="A46727" i="1"/>
  <c r="A46728" i="1"/>
  <c r="A46729" i="1"/>
  <c r="A46730" i="1"/>
  <c r="A46731" i="1"/>
  <c r="A46732" i="1"/>
  <c r="A46733" i="1"/>
  <c r="A46734" i="1"/>
  <c r="A46735" i="1"/>
  <c r="A46736" i="1"/>
  <c r="A46737" i="1"/>
  <c r="A46738" i="1"/>
  <c r="A46739" i="1"/>
  <c r="A46740" i="1"/>
  <c r="A46741" i="1"/>
  <c r="A46742" i="1"/>
  <c r="A46743" i="1"/>
  <c r="A46744" i="1"/>
  <c r="A46745" i="1"/>
  <c r="A46746" i="1"/>
  <c r="A46747" i="1"/>
  <c r="A46748" i="1"/>
  <c r="A46749" i="1"/>
  <c r="A46750" i="1"/>
  <c r="A46751" i="1"/>
  <c r="A46752" i="1"/>
  <c r="A46753" i="1"/>
  <c r="A46754" i="1"/>
  <c r="A46755" i="1"/>
  <c r="A46756" i="1"/>
  <c r="A46757" i="1"/>
  <c r="A46758" i="1"/>
  <c r="A46759" i="1"/>
  <c r="A46760" i="1"/>
  <c r="A46761" i="1"/>
  <c r="A46762" i="1"/>
  <c r="A46763" i="1"/>
  <c r="A46764" i="1"/>
  <c r="A46765" i="1"/>
  <c r="A46766" i="1"/>
  <c r="A46767" i="1"/>
  <c r="A46768" i="1"/>
  <c r="A46769" i="1"/>
  <c r="A46770" i="1"/>
  <c r="A46771" i="1"/>
  <c r="A46772" i="1"/>
  <c r="A46773" i="1"/>
  <c r="A46774" i="1"/>
  <c r="A46775" i="1"/>
  <c r="A46776" i="1"/>
  <c r="A46777" i="1"/>
  <c r="A46778" i="1"/>
  <c r="A46779" i="1"/>
  <c r="A46780" i="1"/>
  <c r="A46781" i="1"/>
  <c r="A46782" i="1"/>
  <c r="A46783" i="1"/>
  <c r="A46784" i="1"/>
  <c r="A46785" i="1"/>
  <c r="A46786" i="1"/>
  <c r="A46787" i="1"/>
  <c r="A46788" i="1"/>
  <c r="A46789" i="1"/>
  <c r="A46790" i="1"/>
  <c r="A46791" i="1"/>
  <c r="A46792" i="1"/>
  <c r="A46793" i="1"/>
  <c r="A46794" i="1"/>
  <c r="A46795" i="1"/>
  <c r="A46796" i="1"/>
  <c r="A46797" i="1"/>
  <c r="A46798" i="1"/>
  <c r="A46799" i="1"/>
  <c r="A46800" i="1"/>
  <c r="A46801" i="1"/>
  <c r="A46802" i="1"/>
  <c r="A46803" i="1"/>
  <c r="A46804" i="1"/>
  <c r="A46805" i="1"/>
  <c r="A46806" i="1"/>
  <c r="A46807" i="1"/>
  <c r="A46808" i="1"/>
  <c r="A46809" i="1"/>
  <c r="A46810" i="1"/>
  <c r="A46811" i="1"/>
  <c r="A46812" i="1"/>
  <c r="A46813" i="1"/>
  <c r="A46814" i="1"/>
  <c r="A46815" i="1"/>
  <c r="A46816" i="1"/>
  <c r="A46817" i="1"/>
  <c r="A46818" i="1"/>
  <c r="A46819" i="1"/>
  <c r="A46820" i="1"/>
  <c r="A46821" i="1"/>
  <c r="A46822" i="1"/>
  <c r="A46823" i="1"/>
  <c r="A46824" i="1"/>
  <c r="A46825" i="1"/>
  <c r="A46826" i="1"/>
  <c r="A46827" i="1"/>
  <c r="A46828" i="1"/>
  <c r="A46829" i="1"/>
  <c r="A46830" i="1"/>
  <c r="A46831" i="1"/>
  <c r="A46832" i="1"/>
  <c r="A46833" i="1"/>
  <c r="A46834" i="1"/>
  <c r="A46835" i="1"/>
  <c r="A46836" i="1"/>
  <c r="A46837" i="1"/>
  <c r="A46838" i="1"/>
  <c r="A46839" i="1"/>
  <c r="A46840" i="1"/>
  <c r="A46841" i="1"/>
  <c r="A46842" i="1"/>
  <c r="A46843" i="1"/>
  <c r="A46844" i="1"/>
  <c r="A46845" i="1"/>
  <c r="A46846" i="1"/>
  <c r="A46847" i="1"/>
  <c r="A46848" i="1"/>
  <c r="A46849" i="1"/>
  <c r="A46850" i="1"/>
  <c r="A46851" i="1"/>
  <c r="A46852" i="1"/>
  <c r="A46853" i="1"/>
  <c r="A46854" i="1"/>
  <c r="A46855" i="1"/>
  <c r="A46856" i="1"/>
  <c r="A46857" i="1"/>
  <c r="A46858" i="1"/>
  <c r="A46859" i="1"/>
  <c r="A46860" i="1"/>
  <c r="A46861" i="1"/>
  <c r="A46862" i="1"/>
  <c r="A46863" i="1"/>
  <c r="A46864" i="1"/>
  <c r="A46865" i="1"/>
  <c r="A46866" i="1"/>
  <c r="A46867" i="1"/>
  <c r="A46868" i="1"/>
  <c r="A46869" i="1"/>
  <c r="A46870" i="1"/>
  <c r="A46871" i="1"/>
  <c r="A46872" i="1"/>
  <c r="A46873" i="1"/>
  <c r="A46874" i="1"/>
  <c r="A46875" i="1"/>
  <c r="A46876" i="1"/>
  <c r="A46877" i="1"/>
  <c r="A46878" i="1"/>
  <c r="A46879" i="1"/>
  <c r="A46880" i="1"/>
  <c r="A46881" i="1"/>
  <c r="A46882" i="1"/>
  <c r="A46883" i="1"/>
  <c r="A46884" i="1"/>
  <c r="A46885" i="1"/>
  <c r="A46886" i="1"/>
  <c r="A46887" i="1"/>
  <c r="A46888" i="1"/>
  <c r="A46889" i="1"/>
  <c r="A46890" i="1"/>
  <c r="A46891" i="1"/>
  <c r="A46892" i="1"/>
  <c r="A46893" i="1"/>
  <c r="A46894" i="1"/>
  <c r="A46895" i="1"/>
  <c r="A46896" i="1"/>
  <c r="A46897" i="1"/>
  <c r="A46898" i="1"/>
  <c r="A46899" i="1"/>
  <c r="A46900" i="1"/>
  <c r="A46901" i="1"/>
  <c r="A46902" i="1"/>
  <c r="A46903" i="1"/>
  <c r="A46904" i="1"/>
  <c r="A46905" i="1"/>
  <c r="A46906" i="1"/>
  <c r="A46907" i="1"/>
  <c r="A46908" i="1"/>
  <c r="A46909" i="1"/>
  <c r="A46910" i="1"/>
  <c r="A46911" i="1"/>
  <c r="A46912" i="1"/>
  <c r="A46913" i="1"/>
  <c r="A46914" i="1"/>
  <c r="A46915" i="1"/>
  <c r="A46916" i="1"/>
  <c r="A46917" i="1"/>
  <c r="A46918" i="1"/>
  <c r="A46919" i="1"/>
  <c r="A46920" i="1"/>
  <c r="A46921" i="1"/>
  <c r="A46922" i="1"/>
  <c r="A46923" i="1"/>
  <c r="A46924" i="1"/>
  <c r="A46925" i="1"/>
  <c r="A46926" i="1"/>
  <c r="A46927" i="1"/>
  <c r="A46928" i="1"/>
  <c r="A46929" i="1"/>
  <c r="A46930" i="1"/>
  <c r="A46931" i="1"/>
  <c r="A46932" i="1"/>
  <c r="A46933" i="1"/>
  <c r="A46934" i="1"/>
  <c r="A46935" i="1"/>
  <c r="A46936" i="1"/>
  <c r="A46937" i="1"/>
  <c r="A46938" i="1"/>
  <c r="A46939" i="1"/>
  <c r="A46940" i="1"/>
  <c r="A46941" i="1"/>
  <c r="A46942" i="1"/>
  <c r="A46943" i="1"/>
  <c r="A46944" i="1"/>
  <c r="A46945" i="1"/>
  <c r="A46946" i="1"/>
  <c r="A46947" i="1"/>
  <c r="A46948" i="1"/>
  <c r="A46949" i="1"/>
  <c r="A46950" i="1"/>
  <c r="A46951" i="1"/>
  <c r="A46952" i="1"/>
  <c r="A46953" i="1"/>
  <c r="A46954" i="1"/>
  <c r="A46955" i="1"/>
  <c r="A46956" i="1"/>
  <c r="A46957" i="1"/>
  <c r="A46958" i="1"/>
  <c r="A46959" i="1"/>
  <c r="A46960" i="1"/>
  <c r="A46961" i="1"/>
  <c r="A46962" i="1"/>
  <c r="A46963" i="1"/>
  <c r="A46964" i="1"/>
  <c r="A46965" i="1"/>
  <c r="A46966" i="1"/>
  <c r="A46967" i="1"/>
  <c r="A46968" i="1"/>
  <c r="A46969" i="1"/>
  <c r="A46970" i="1"/>
  <c r="A46971" i="1"/>
  <c r="A46972" i="1"/>
  <c r="A46973" i="1"/>
  <c r="A46974" i="1"/>
  <c r="A46975" i="1"/>
  <c r="A46976" i="1"/>
  <c r="A46977" i="1"/>
  <c r="A46978" i="1"/>
  <c r="A46979" i="1"/>
  <c r="A46980" i="1"/>
  <c r="A46981" i="1"/>
  <c r="A46982" i="1"/>
  <c r="A46983" i="1"/>
  <c r="A46984" i="1"/>
  <c r="A46985" i="1"/>
  <c r="A46986" i="1"/>
  <c r="A46987" i="1"/>
  <c r="A46988" i="1"/>
  <c r="A46989" i="1"/>
  <c r="A46990" i="1"/>
  <c r="A46991" i="1"/>
  <c r="A46992" i="1"/>
  <c r="A46993" i="1"/>
  <c r="A46994" i="1"/>
  <c r="A46995" i="1"/>
  <c r="A46996" i="1"/>
  <c r="A46997" i="1"/>
  <c r="A46998" i="1"/>
  <c r="A46999" i="1"/>
  <c r="A47000" i="1"/>
  <c r="A47001" i="1"/>
  <c r="A47002" i="1"/>
  <c r="A47003" i="1"/>
  <c r="A47004" i="1"/>
  <c r="A47005" i="1"/>
  <c r="A47006" i="1"/>
  <c r="A47007" i="1"/>
  <c r="A47008" i="1"/>
  <c r="A47009" i="1"/>
  <c r="A47010" i="1"/>
  <c r="A47011" i="1"/>
  <c r="A47012" i="1"/>
  <c r="A47013" i="1"/>
  <c r="A47014" i="1"/>
  <c r="A47015" i="1"/>
  <c r="A47016" i="1"/>
  <c r="A47017" i="1"/>
  <c r="A47018" i="1"/>
  <c r="A47019" i="1"/>
  <c r="A47020" i="1"/>
  <c r="A47021" i="1"/>
  <c r="A47022" i="1"/>
  <c r="A47023" i="1"/>
  <c r="A47024" i="1"/>
  <c r="A47025" i="1"/>
  <c r="A47026" i="1"/>
  <c r="A47027" i="1"/>
  <c r="A47028" i="1"/>
  <c r="A47029" i="1"/>
  <c r="A47030" i="1"/>
  <c r="A47031" i="1"/>
  <c r="A47032" i="1"/>
  <c r="A47033" i="1"/>
  <c r="A47034" i="1"/>
  <c r="A47035" i="1"/>
  <c r="A47036" i="1"/>
  <c r="A47037" i="1"/>
  <c r="A47038" i="1"/>
  <c r="A47039" i="1"/>
  <c r="A47040" i="1"/>
  <c r="A47041" i="1"/>
  <c r="A47042" i="1"/>
  <c r="A47043" i="1"/>
  <c r="A47044" i="1"/>
  <c r="A47045" i="1"/>
  <c r="A47046" i="1"/>
  <c r="A47047" i="1"/>
  <c r="A47048" i="1"/>
  <c r="A47049" i="1"/>
  <c r="A47050" i="1"/>
  <c r="A47051" i="1"/>
  <c r="A47052" i="1"/>
  <c r="A47053" i="1"/>
  <c r="A47054" i="1"/>
  <c r="A47055" i="1"/>
  <c r="A47056" i="1"/>
  <c r="A47057" i="1"/>
  <c r="A47058" i="1"/>
  <c r="A47059" i="1"/>
  <c r="A47060" i="1"/>
  <c r="A47061" i="1"/>
  <c r="A47062" i="1"/>
  <c r="A47063" i="1"/>
  <c r="A47064" i="1"/>
  <c r="A47065" i="1"/>
  <c r="A47066" i="1"/>
  <c r="A47067" i="1"/>
  <c r="A47068" i="1"/>
  <c r="A47069" i="1"/>
  <c r="A47070" i="1"/>
  <c r="A47071" i="1"/>
  <c r="A47072" i="1"/>
  <c r="A47073" i="1"/>
  <c r="A47074" i="1"/>
  <c r="A47075" i="1"/>
  <c r="A47076" i="1"/>
  <c r="A47077" i="1"/>
  <c r="A47078" i="1"/>
  <c r="A47079" i="1"/>
  <c r="A47080" i="1"/>
  <c r="A47081" i="1"/>
  <c r="A47082" i="1"/>
  <c r="A47083" i="1"/>
  <c r="A47084" i="1"/>
  <c r="A47085" i="1"/>
  <c r="A47086" i="1"/>
  <c r="A47087" i="1"/>
  <c r="A47088" i="1"/>
  <c r="A47089" i="1"/>
  <c r="A47090" i="1"/>
  <c r="A47091" i="1"/>
  <c r="A47092" i="1"/>
  <c r="A47093" i="1"/>
  <c r="A47094" i="1"/>
  <c r="A47095" i="1"/>
  <c r="A47096" i="1"/>
  <c r="A47097" i="1"/>
  <c r="A47098" i="1"/>
  <c r="A47099" i="1"/>
  <c r="A47100" i="1"/>
  <c r="A47101" i="1"/>
  <c r="A47102" i="1"/>
  <c r="A47103" i="1"/>
  <c r="A47104" i="1"/>
  <c r="A47105" i="1"/>
  <c r="A47106" i="1"/>
  <c r="A47107" i="1"/>
  <c r="A47108" i="1"/>
  <c r="A47109" i="1"/>
  <c r="A47110" i="1"/>
  <c r="A47111" i="1"/>
  <c r="A47112" i="1"/>
  <c r="A47113" i="1"/>
  <c r="A47114" i="1"/>
  <c r="A47115" i="1"/>
  <c r="A47116" i="1"/>
  <c r="A47117" i="1"/>
  <c r="A47118" i="1"/>
  <c r="A47119" i="1"/>
  <c r="A47120" i="1"/>
  <c r="A47121" i="1"/>
  <c r="A47122" i="1"/>
  <c r="A47123" i="1"/>
  <c r="A47124" i="1"/>
  <c r="A47125" i="1"/>
  <c r="A47126" i="1"/>
  <c r="A47127" i="1"/>
  <c r="A47128" i="1"/>
  <c r="A47129" i="1"/>
  <c r="A47130" i="1"/>
  <c r="A47131" i="1"/>
  <c r="A47132" i="1"/>
  <c r="A47133" i="1"/>
  <c r="A47134" i="1"/>
  <c r="A47135" i="1"/>
  <c r="A47136" i="1"/>
  <c r="A47137" i="1"/>
  <c r="A47138" i="1"/>
  <c r="A47139" i="1"/>
  <c r="A47140" i="1"/>
  <c r="A47141" i="1"/>
  <c r="A47142" i="1"/>
  <c r="A47143" i="1"/>
  <c r="A47144" i="1"/>
  <c r="A47145" i="1"/>
  <c r="A47146" i="1"/>
  <c r="A47147" i="1"/>
  <c r="A47148" i="1"/>
  <c r="A47149" i="1"/>
  <c r="A47150" i="1"/>
  <c r="A47151" i="1"/>
  <c r="A47152" i="1"/>
  <c r="A47153" i="1"/>
  <c r="A47154" i="1"/>
  <c r="A47155" i="1"/>
  <c r="A47156" i="1"/>
  <c r="A47157" i="1"/>
  <c r="A47158" i="1"/>
  <c r="A47159" i="1"/>
  <c r="A47160" i="1"/>
  <c r="A47161" i="1"/>
  <c r="A47162" i="1"/>
  <c r="A47163" i="1"/>
  <c r="A47164" i="1"/>
  <c r="A47165" i="1"/>
  <c r="A47166" i="1"/>
  <c r="A47167" i="1"/>
  <c r="A47168" i="1"/>
  <c r="A47169" i="1"/>
  <c r="A47170" i="1"/>
  <c r="A47171" i="1"/>
  <c r="A47172" i="1"/>
  <c r="A47173" i="1"/>
  <c r="A47174" i="1"/>
  <c r="A47175" i="1"/>
  <c r="A47176" i="1"/>
  <c r="A47177" i="1"/>
  <c r="A47178" i="1"/>
  <c r="A47179" i="1"/>
  <c r="A47180" i="1"/>
  <c r="A47181" i="1"/>
  <c r="A47182" i="1"/>
  <c r="A47183" i="1"/>
  <c r="A47184" i="1"/>
  <c r="A47185" i="1"/>
  <c r="A47186" i="1"/>
  <c r="A47187" i="1"/>
  <c r="A47188" i="1"/>
  <c r="A47189" i="1"/>
  <c r="A47190" i="1"/>
  <c r="A47191" i="1"/>
  <c r="A47192" i="1"/>
  <c r="A47193" i="1"/>
  <c r="A47194" i="1"/>
  <c r="A47195" i="1"/>
  <c r="A47196" i="1"/>
  <c r="A47197" i="1"/>
  <c r="A47198" i="1"/>
  <c r="A47199" i="1"/>
  <c r="A47200" i="1"/>
  <c r="A47201" i="1"/>
  <c r="A47202" i="1"/>
  <c r="A47203" i="1"/>
  <c r="A47204" i="1"/>
  <c r="A47205" i="1"/>
  <c r="A47206" i="1"/>
  <c r="A47207" i="1"/>
  <c r="A47208" i="1"/>
  <c r="A47209" i="1"/>
  <c r="A47210" i="1"/>
  <c r="A47211" i="1"/>
  <c r="A47212" i="1"/>
  <c r="A47213" i="1"/>
  <c r="A47214" i="1"/>
  <c r="A47215" i="1"/>
  <c r="A47216" i="1"/>
  <c r="A47217" i="1"/>
  <c r="A47218" i="1"/>
  <c r="A47219" i="1"/>
  <c r="A47220" i="1"/>
  <c r="A47221" i="1"/>
  <c r="A47222" i="1"/>
  <c r="A47223" i="1"/>
  <c r="A47224" i="1"/>
  <c r="A47225" i="1"/>
  <c r="A47226" i="1"/>
  <c r="A47227" i="1"/>
  <c r="A47228" i="1"/>
  <c r="A47229" i="1"/>
  <c r="A47230" i="1"/>
  <c r="A47231" i="1"/>
  <c r="A47232" i="1"/>
  <c r="A47233" i="1"/>
  <c r="A47234" i="1"/>
  <c r="A47235" i="1"/>
  <c r="A47236" i="1"/>
  <c r="A47237" i="1"/>
  <c r="A47238" i="1"/>
  <c r="A47239" i="1"/>
  <c r="A47240" i="1"/>
  <c r="A47241" i="1"/>
  <c r="A47242" i="1"/>
  <c r="A47243" i="1"/>
  <c r="A47244" i="1"/>
  <c r="A47245" i="1"/>
  <c r="A47246" i="1"/>
  <c r="A47247" i="1"/>
  <c r="A47248" i="1"/>
  <c r="A47249" i="1"/>
  <c r="A47250" i="1"/>
  <c r="A47251" i="1"/>
  <c r="A47252" i="1"/>
  <c r="A47253" i="1"/>
  <c r="A47254" i="1"/>
  <c r="A47255" i="1"/>
  <c r="A47256" i="1"/>
  <c r="A47257" i="1"/>
  <c r="A47258" i="1"/>
  <c r="A47259" i="1"/>
  <c r="A47260" i="1"/>
  <c r="A47261" i="1"/>
  <c r="A47262" i="1"/>
  <c r="A47263" i="1"/>
  <c r="A47264" i="1"/>
  <c r="A47265" i="1"/>
  <c r="A47266" i="1"/>
  <c r="A47267" i="1"/>
  <c r="A47268" i="1"/>
  <c r="A47269" i="1"/>
  <c r="A47270" i="1"/>
  <c r="A47271" i="1"/>
  <c r="A47272" i="1"/>
  <c r="A47273" i="1"/>
  <c r="A47274" i="1"/>
  <c r="A47275" i="1"/>
  <c r="A47276" i="1"/>
  <c r="A47277" i="1"/>
  <c r="A47278" i="1"/>
  <c r="A47279" i="1"/>
  <c r="A47280" i="1"/>
  <c r="A47281" i="1"/>
  <c r="A47282" i="1"/>
  <c r="A47283" i="1"/>
  <c r="A47284" i="1"/>
  <c r="A47285" i="1"/>
  <c r="A47286" i="1"/>
  <c r="A47287" i="1"/>
  <c r="A47288" i="1"/>
  <c r="A47289" i="1"/>
  <c r="A47290" i="1"/>
  <c r="A47291" i="1"/>
  <c r="A47292" i="1"/>
  <c r="A47293" i="1"/>
  <c r="A47294" i="1"/>
  <c r="A47295" i="1"/>
  <c r="A47296" i="1"/>
  <c r="A47297" i="1"/>
  <c r="A47298" i="1"/>
  <c r="A47299" i="1"/>
  <c r="A47300" i="1"/>
  <c r="A47301" i="1"/>
  <c r="A47302" i="1"/>
  <c r="A47303" i="1"/>
  <c r="A47304" i="1"/>
  <c r="A47305" i="1"/>
  <c r="A47306" i="1"/>
  <c r="A47307" i="1"/>
  <c r="A47308" i="1"/>
  <c r="A47309" i="1"/>
  <c r="A47310" i="1"/>
  <c r="A47311" i="1"/>
  <c r="A47312" i="1"/>
  <c r="A47313" i="1"/>
  <c r="A47314" i="1"/>
  <c r="A47315" i="1"/>
  <c r="A47316" i="1"/>
  <c r="A47317" i="1"/>
  <c r="A47318" i="1"/>
  <c r="A47319" i="1"/>
  <c r="A47320" i="1"/>
  <c r="A47321" i="1"/>
  <c r="A47322" i="1"/>
  <c r="A47323" i="1"/>
  <c r="A47324" i="1"/>
  <c r="A47325" i="1"/>
  <c r="A47326" i="1"/>
  <c r="A47327" i="1"/>
  <c r="A47328" i="1"/>
  <c r="A47329" i="1"/>
  <c r="A47330" i="1"/>
  <c r="A47331" i="1"/>
  <c r="A47332" i="1"/>
  <c r="A47333" i="1"/>
  <c r="A47334" i="1"/>
  <c r="A47335" i="1"/>
  <c r="A47336" i="1"/>
  <c r="A47337" i="1"/>
  <c r="A47338" i="1"/>
  <c r="A47339" i="1"/>
  <c r="A47340" i="1"/>
  <c r="A47341" i="1"/>
  <c r="A47342" i="1"/>
  <c r="A47343" i="1"/>
  <c r="A47344" i="1"/>
  <c r="A47345" i="1"/>
  <c r="A47346" i="1"/>
  <c r="A47347" i="1"/>
  <c r="A47348" i="1"/>
  <c r="A47349" i="1"/>
  <c r="A47350" i="1"/>
  <c r="A47351" i="1"/>
  <c r="A47352" i="1"/>
  <c r="A47353" i="1"/>
  <c r="A47354" i="1"/>
  <c r="A47355" i="1"/>
  <c r="A47356" i="1"/>
  <c r="A47357" i="1"/>
  <c r="A47358" i="1"/>
  <c r="A47359" i="1"/>
  <c r="A47360" i="1"/>
  <c r="A47361" i="1"/>
  <c r="A47362" i="1"/>
  <c r="A47363" i="1"/>
  <c r="A47364" i="1"/>
  <c r="A47365" i="1"/>
  <c r="A47366" i="1"/>
  <c r="A47367" i="1"/>
  <c r="A47368" i="1"/>
  <c r="A47369" i="1"/>
  <c r="A47370" i="1"/>
  <c r="A47371" i="1"/>
  <c r="A47372" i="1"/>
  <c r="A47373" i="1"/>
  <c r="A47374" i="1"/>
  <c r="A47375" i="1"/>
  <c r="A47376" i="1"/>
  <c r="A47377" i="1"/>
  <c r="A47378" i="1"/>
  <c r="A47379" i="1"/>
  <c r="A47380" i="1"/>
  <c r="A47381" i="1"/>
  <c r="A47382" i="1"/>
  <c r="A47383" i="1"/>
  <c r="A47384" i="1"/>
  <c r="A47385" i="1"/>
  <c r="A47386" i="1"/>
  <c r="A47387" i="1"/>
  <c r="A47388" i="1"/>
  <c r="A47389" i="1"/>
  <c r="A47390" i="1"/>
  <c r="A47391" i="1"/>
  <c r="A47392" i="1"/>
  <c r="A47393" i="1"/>
  <c r="A47394" i="1"/>
  <c r="A47395" i="1"/>
  <c r="A47396" i="1"/>
  <c r="A47397" i="1"/>
  <c r="A47398" i="1"/>
  <c r="A47399" i="1"/>
  <c r="A47400" i="1"/>
  <c r="A47401" i="1"/>
  <c r="A47402" i="1"/>
  <c r="A47403" i="1"/>
  <c r="A47404" i="1"/>
  <c r="A47405" i="1"/>
  <c r="A47406" i="1"/>
  <c r="A47407" i="1"/>
  <c r="A47408" i="1"/>
  <c r="A47409" i="1"/>
  <c r="A47410" i="1"/>
  <c r="A47411" i="1"/>
  <c r="A47412" i="1"/>
  <c r="A47413" i="1"/>
  <c r="A47414" i="1"/>
  <c r="A47415" i="1"/>
  <c r="A47416" i="1"/>
  <c r="A47417" i="1"/>
  <c r="A47418" i="1"/>
  <c r="A47419" i="1"/>
  <c r="A47420" i="1"/>
  <c r="A47421" i="1"/>
  <c r="A47422" i="1"/>
  <c r="A47423" i="1"/>
  <c r="A47424" i="1"/>
  <c r="A47425" i="1"/>
  <c r="A47426" i="1"/>
  <c r="A47427" i="1"/>
  <c r="A47428" i="1"/>
  <c r="A47429" i="1"/>
  <c r="A47430" i="1"/>
  <c r="A47431" i="1"/>
  <c r="A47432" i="1"/>
  <c r="A47433" i="1"/>
  <c r="A47434" i="1"/>
  <c r="A47435" i="1"/>
  <c r="A47436" i="1"/>
  <c r="A47437" i="1"/>
  <c r="A47438" i="1"/>
  <c r="A47439" i="1"/>
  <c r="A47440" i="1"/>
  <c r="A47441" i="1"/>
  <c r="A47442" i="1"/>
  <c r="A47443" i="1"/>
  <c r="A47444" i="1"/>
  <c r="A47445" i="1"/>
  <c r="A47446" i="1"/>
  <c r="A47447" i="1"/>
  <c r="A47448" i="1"/>
  <c r="A47449" i="1"/>
  <c r="A47450" i="1"/>
  <c r="A47451" i="1"/>
  <c r="A47452" i="1"/>
  <c r="A47453" i="1"/>
  <c r="A47454" i="1"/>
  <c r="A47455" i="1"/>
  <c r="A47456" i="1"/>
  <c r="A47457" i="1"/>
  <c r="A47458" i="1"/>
  <c r="A47459" i="1"/>
  <c r="A47460" i="1"/>
  <c r="A47461" i="1"/>
  <c r="A47462" i="1"/>
  <c r="A47463" i="1"/>
  <c r="A47464" i="1"/>
  <c r="A47465" i="1"/>
  <c r="A47466" i="1"/>
  <c r="A47467" i="1"/>
  <c r="A47468" i="1"/>
  <c r="A47469" i="1"/>
  <c r="A47470" i="1"/>
  <c r="A47471" i="1"/>
  <c r="A47472" i="1"/>
  <c r="A47473" i="1"/>
  <c r="A47474" i="1"/>
  <c r="A47475" i="1"/>
  <c r="A47476" i="1"/>
  <c r="A47477" i="1"/>
  <c r="A47478" i="1"/>
  <c r="A47479" i="1"/>
  <c r="A47480" i="1"/>
  <c r="A47481" i="1"/>
  <c r="A47482" i="1"/>
  <c r="A47483" i="1"/>
  <c r="A47484" i="1"/>
  <c r="A47485" i="1"/>
  <c r="A47486" i="1"/>
  <c r="A47487" i="1"/>
  <c r="A47488" i="1"/>
  <c r="A47489" i="1"/>
  <c r="A47490" i="1"/>
  <c r="A47491" i="1"/>
  <c r="A47492" i="1"/>
  <c r="A47493" i="1"/>
  <c r="A47494" i="1"/>
  <c r="A47495" i="1"/>
  <c r="A47496" i="1"/>
  <c r="A47497" i="1"/>
  <c r="A47498" i="1"/>
  <c r="A47499" i="1"/>
  <c r="A47500" i="1"/>
  <c r="A47501" i="1"/>
  <c r="A47502" i="1"/>
  <c r="A47503" i="1"/>
  <c r="A47504" i="1"/>
  <c r="A47505" i="1"/>
  <c r="A47506" i="1"/>
  <c r="A47507" i="1"/>
  <c r="A47508" i="1"/>
  <c r="A47509" i="1"/>
  <c r="A47510" i="1"/>
  <c r="A47511" i="1"/>
  <c r="A47512" i="1"/>
  <c r="A47513" i="1"/>
  <c r="A47514" i="1"/>
  <c r="A47515" i="1"/>
  <c r="A47516" i="1"/>
  <c r="A47517" i="1"/>
  <c r="A47518" i="1"/>
  <c r="A47519" i="1"/>
  <c r="A47520" i="1"/>
  <c r="A47521" i="1"/>
  <c r="A47522" i="1"/>
  <c r="A47523" i="1"/>
  <c r="A47524" i="1"/>
  <c r="A47525" i="1"/>
  <c r="A47526" i="1"/>
  <c r="A47527" i="1"/>
  <c r="A47528" i="1"/>
  <c r="A47529" i="1"/>
  <c r="A47530" i="1"/>
  <c r="A47531" i="1"/>
  <c r="A47532" i="1"/>
  <c r="A47533" i="1"/>
  <c r="A47534" i="1"/>
  <c r="A47535" i="1"/>
  <c r="A47536" i="1"/>
  <c r="A47537" i="1"/>
  <c r="A47538" i="1"/>
  <c r="A47539" i="1"/>
  <c r="A47540" i="1"/>
  <c r="A47541" i="1"/>
  <c r="A47542" i="1"/>
  <c r="A47543" i="1"/>
  <c r="A47544" i="1"/>
  <c r="A47545" i="1"/>
  <c r="A47546" i="1"/>
  <c r="A47547" i="1"/>
  <c r="A47548" i="1"/>
  <c r="A47549" i="1"/>
  <c r="A47550" i="1"/>
  <c r="A47551" i="1"/>
  <c r="A47552" i="1"/>
  <c r="A47553" i="1"/>
  <c r="A47554" i="1"/>
  <c r="A47555" i="1"/>
  <c r="A47556" i="1"/>
  <c r="A47557" i="1"/>
  <c r="A47558" i="1"/>
  <c r="A47559" i="1"/>
  <c r="A47560" i="1"/>
  <c r="A47561" i="1"/>
  <c r="A47562" i="1"/>
  <c r="A47563" i="1"/>
  <c r="A47564" i="1"/>
  <c r="A47565" i="1"/>
  <c r="A47566" i="1"/>
  <c r="A47567" i="1"/>
  <c r="A47568" i="1"/>
  <c r="A47569" i="1"/>
  <c r="A47570" i="1"/>
  <c r="A47571" i="1"/>
  <c r="A47572" i="1"/>
  <c r="A47573" i="1"/>
  <c r="A47574" i="1"/>
  <c r="A47575" i="1"/>
  <c r="A47576" i="1"/>
  <c r="A47577" i="1"/>
  <c r="A47578" i="1"/>
  <c r="A47579" i="1"/>
  <c r="A47580" i="1"/>
  <c r="A47581" i="1"/>
  <c r="A47582" i="1"/>
  <c r="A47583" i="1"/>
  <c r="A47584" i="1"/>
  <c r="A47585" i="1"/>
  <c r="A47586" i="1"/>
  <c r="A47587" i="1"/>
  <c r="A47588" i="1"/>
  <c r="A47589" i="1"/>
  <c r="A47590" i="1"/>
  <c r="A47591" i="1"/>
  <c r="A47592" i="1"/>
  <c r="A47593" i="1"/>
  <c r="A47594" i="1"/>
  <c r="A47595" i="1"/>
  <c r="A47596" i="1"/>
  <c r="A47597" i="1"/>
  <c r="A47598" i="1"/>
  <c r="A47599" i="1"/>
  <c r="A47600" i="1"/>
  <c r="A47601" i="1"/>
  <c r="A47602" i="1"/>
  <c r="A47603" i="1"/>
  <c r="A47604" i="1"/>
  <c r="A47605" i="1"/>
  <c r="A47606" i="1"/>
  <c r="A47607" i="1"/>
  <c r="A47608" i="1"/>
  <c r="A47609" i="1"/>
  <c r="A47610" i="1"/>
  <c r="A47611" i="1"/>
  <c r="A47612" i="1"/>
  <c r="A47613" i="1"/>
  <c r="A47614" i="1"/>
  <c r="A47615" i="1"/>
  <c r="A47616" i="1"/>
  <c r="A47617" i="1"/>
  <c r="A47618" i="1"/>
  <c r="A47619" i="1"/>
  <c r="A47620" i="1"/>
  <c r="A47621" i="1"/>
  <c r="A47622" i="1"/>
  <c r="A47623" i="1"/>
  <c r="A47624" i="1"/>
  <c r="A47625" i="1"/>
  <c r="A47626" i="1"/>
  <c r="A47627" i="1"/>
  <c r="A47628" i="1"/>
  <c r="A47629" i="1"/>
  <c r="A47630" i="1"/>
  <c r="A47631" i="1"/>
  <c r="A47632" i="1"/>
  <c r="A47633" i="1"/>
  <c r="A47634" i="1"/>
  <c r="A47635" i="1"/>
  <c r="A47636" i="1"/>
  <c r="A47637" i="1"/>
  <c r="A47638" i="1"/>
  <c r="A47639" i="1"/>
  <c r="A47640" i="1"/>
  <c r="A47641" i="1"/>
  <c r="A47642" i="1"/>
  <c r="A47643" i="1"/>
  <c r="A47644" i="1"/>
  <c r="A47645" i="1"/>
  <c r="A47646" i="1"/>
  <c r="A47647" i="1"/>
  <c r="A47648" i="1"/>
  <c r="A47649" i="1"/>
  <c r="A47650" i="1"/>
  <c r="A47651" i="1"/>
  <c r="A47652" i="1"/>
  <c r="A47653" i="1"/>
  <c r="A47654" i="1"/>
  <c r="A47655" i="1"/>
  <c r="A47656" i="1"/>
  <c r="A47657" i="1"/>
  <c r="A47658" i="1"/>
  <c r="A47659" i="1"/>
  <c r="A47660" i="1"/>
  <c r="A47661" i="1"/>
  <c r="A47662" i="1"/>
  <c r="A47663" i="1"/>
  <c r="A47664" i="1"/>
  <c r="A47665" i="1"/>
  <c r="A47666" i="1"/>
  <c r="A47667" i="1"/>
  <c r="A47668" i="1"/>
  <c r="A47669" i="1"/>
  <c r="A47670" i="1"/>
  <c r="A47671" i="1"/>
  <c r="A47672" i="1"/>
  <c r="A47673" i="1"/>
  <c r="A47674" i="1"/>
  <c r="A47675" i="1"/>
  <c r="A47676" i="1"/>
  <c r="A47677" i="1"/>
  <c r="A47678" i="1"/>
  <c r="A47679" i="1"/>
  <c r="A47680" i="1"/>
  <c r="A47681" i="1"/>
  <c r="A47682" i="1"/>
  <c r="A47683" i="1"/>
  <c r="A47684" i="1"/>
  <c r="A47685" i="1"/>
  <c r="A47686" i="1"/>
  <c r="A47687" i="1"/>
  <c r="A47688" i="1"/>
  <c r="A47689" i="1"/>
  <c r="A47690" i="1"/>
  <c r="A47691" i="1"/>
  <c r="A47692" i="1"/>
  <c r="A47693" i="1"/>
  <c r="A47694" i="1"/>
  <c r="A47695" i="1"/>
  <c r="A47696" i="1"/>
  <c r="A47697" i="1"/>
  <c r="A47698" i="1"/>
  <c r="A47699" i="1"/>
  <c r="A47700" i="1"/>
  <c r="A47701" i="1"/>
  <c r="A47702" i="1"/>
  <c r="A47703" i="1"/>
  <c r="A47704" i="1"/>
  <c r="A47705" i="1"/>
  <c r="A47706" i="1"/>
  <c r="A47707" i="1"/>
  <c r="A47708" i="1"/>
  <c r="A47709" i="1"/>
  <c r="A47710" i="1"/>
  <c r="A47711" i="1"/>
  <c r="A47712" i="1"/>
  <c r="A47713" i="1"/>
  <c r="A47714" i="1"/>
  <c r="A47715" i="1"/>
  <c r="A47716" i="1"/>
  <c r="A47717" i="1"/>
  <c r="A47718" i="1"/>
  <c r="A47719" i="1"/>
  <c r="A47720" i="1"/>
  <c r="A47721" i="1"/>
  <c r="A47722" i="1"/>
  <c r="A47723" i="1"/>
  <c r="A47724" i="1"/>
  <c r="A47725" i="1"/>
  <c r="A47726" i="1"/>
  <c r="A47727" i="1"/>
  <c r="A47728" i="1"/>
  <c r="A47729" i="1"/>
  <c r="A47730" i="1"/>
  <c r="A47731" i="1"/>
  <c r="A47732" i="1"/>
  <c r="A47733" i="1"/>
  <c r="A47734" i="1"/>
  <c r="A47735" i="1"/>
  <c r="A47736" i="1"/>
  <c r="A47737" i="1"/>
  <c r="A47738" i="1"/>
  <c r="A47739" i="1"/>
  <c r="A47740" i="1"/>
  <c r="A47741" i="1"/>
  <c r="A47742" i="1"/>
  <c r="A47743" i="1"/>
  <c r="A47744" i="1"/>
  <c r="A47745" i="1"/>
  <c r="A47746" i="1"/>
  <c r="A47747" i="1"/>
  <c r="A47748" i="1"/>
  <c r="A47749" i="1"/>
  <c r="A47750" i="1"/>
  <c r="A47751" i="1"/>
  <c r="A47752" i="1"/>
  <c r="A47753" i="1"/>
  <c r="A47754" i="1"/>
  <c r="A47755" i="1"/>
  <c r="A47756" i="1"/>
  <c r="A47757" i="1"/>
  <c r="A47758" i="1"/>
  <c r="A47759" i="1"/>
  <c r="A47760" i="1"/>
  <c r="A47761" i="1"/>
  <c r="A47762" i="1"/>
  <c r="A47763" i="1"/>
  <c r="A47764" i="1"/>
  <c r="A47765" i="1"/>
  <c r="A47766" i="1"/>
  <c r="A47767" i="1"/>
  <c r="A47768" i="1"/>
  <c r="A47769" i="1"/>
  <c r="A47770" i="1"/>
  <c r="A47771" i="1"/>
  <c r="A47772" i="1"/>
  <c r="A47773" i="1"/>
  <c r="A47774" i="1"/>
  <c r="A47775" i="1"/>
  <c r="A47776" i="1"/>
  <c r="A47777" i="1"/>
  <c r="A47778" i="1"/>
  <c r="A47779" i="1"/>
  <c r="A47780" i="1"/>
  <c r="A47781" i="1"/>
  <c r="A47782" i="1"/>
  <c r="A47783" i="1"/>
  <c r="A47784" i="1"/>
  <c r="A47785" i="1"/>
  <c r="A47786" i="1"/>
  <c r="A47787" i="1"/>
  <c r="A47788" i="1"/>
  <c r="A47789" i="1"/>
  <c r="A47790" i="1"/>
  <c r="A47791" i="1"/>
  <c r="A47792" i="1"/>
  <c r="A47793" i="1"/>
  <c r="A47794" i="1"/>
  <c r="A47795" i="1"/>
  <c r="A47796" i="1"/>
  <c r="A47797" i="1"/>
  <c r="A47798" i="1"/>
  <c r="A47799" i="1"/>
  <c r="A47800" i="1"/>
  <c r="A47801" i="1"/>
  <c r="A47802" i="1"/>
  <c r="A47803" i="1"/>
  <c r="A47804" i="1"/>
  <c r="A47805" i="1"/>
  <c r="A47806" i="1"/>
  <c r="A47807" i="1"/>
  <c r="A47808" i="1"/>
  <c r="A47809" i="1"/>
  <c r="A47810" i="1"/>
  <c r="A47811" i="1"/>
  <c r="A47812" i="1"/>
  <c r="A47813" i="1"/>
  <c r="A47814" i="1"/>
  <c r="A47815" i="1"/>
  <c r="A47816" i="1"/>
  <c r="A47817" i="1"/>
  <c r="A47818" i="1"/>
  <c r="A47819" i="1"/>
  <c r="A47820" i="1"/>
  <c r="A47821" i="1"/>
  <c r="A47822" i="1"/>
  <c r="A47823" i="1"/>
  <c r="A47824" i="1"/>
  <c r="A47825" i="1"/>
  <c r="A47826" i="1"/>
  <c r="A47827" i="1"/>
  <c r="A47828" i="1"/>
  <c r="A47829" i="1"/>
  <c r="A47830" i="1"/>
  <c r="A47831" i="1"/>
  <c r="A47832" i="1"/>
  <c r="A47833" i="1"/>
  <c r="A47834" i="1"/>
  <c r="A47835" i="1"/>
  <c r="A47836" i="1"/>
  <c r="A47837" i="1"/>
  <c r="A47838" i="1"/>
  <c r="A47839" i="1"/>
  <c r="A47840" i="1"/>
  <c r="A47841" i="1"/>
  <c r="A47842" i="1"/>
  <c r="A47843" i="1"/>
  <c r="A47844" i="1"/>
  <c r="A47845" i="1"/>
  <c r="A47846" i="1"/>
  <c r="A47847" i="1"/>
  <c r="A47848" i="1"/>
  <c r="A47849" i="1"/>
  <c r="A47850" i="1"/>
  <c r="A47851" i="1"/>
  <c r="A47852" i="1"/>
  <c r="A47853" i="1"/>
  <c r="A47854" i="1"/>
  <c r="A47855" i="1"/>
  <c r="A47856" i="1"/>
  <c r="A47857" i="1"/>
  <c r="A47858" i="1"/>
  <c r="A47859" i="1"/>
  <c r="A47860" i="1"/>
  <c r="A47861" i="1"/>
  <c r="A47862" i="1"/>
  <c r="A47863" i="1"/>
  <c r="A47864" i="1"/>
  <c r="A47865" i="1"/>
  <c r="A47866" i="1"/>
  <c r="A47867" i="1"/>
  <c r="A47868" i="1"/>
  <c r="A47869" i="1"/>
  <c r="A47870" i="1"/>
  <c r="A47871" i="1"/>
  <c r="A47872" i="1"/>
  <c r="A47873" i="1"/>
  <c r="A47874" i="1"/>
  <c r="A47875" i="1"/>
  <c r="A47876" i="1"/>
  <c r="A47877" i="1"/>
  <c r="A47878" i="1"/>
  <c r="A47879" i="1"/>
  <c r="A47880" i="1"/>
  <c r="A47881" i="1"/>
  <c r="A47882" i="1"/>
  <c r="A47883" i="1"/>
  <c r="A47884" i="1"/>
  <c r="A47885" i="1"/>
  <c r="A47886" i="1"/>
  <c r="A47887" i="1"/>
  <c r="A47888" i="1"/>
  <c r="A47889" i="1"/>
  <c r="A47890" i="1"/>
  <c r="A47891" i="1"/>
  <c r="A47892" i="1"/>
  <c r="A47893" i="1"/>
  <c r="A47894" i="1"/>
  <c r="A47895" i="1"/>
  <c r="A47896" i="1"/>
  <c r="A47897" i="1"/>
  <c r="A47898" i="1"/>
  <c r="A47899" i="1"/>
  <c r="A47900" i="1"/>
  <c r="A47901" i="1"/>
  <c r="A47902" i="1"/>
  <c r="A47903" i="1"/>
  <c r="A47904" i="1"/>
  <c r="A47905" i="1"/>
  <c r="A47906" i="1"/>
  <c r="A47907" i="1"/>
  <c r="A47908" i="1"/>
  <c r="A47909" i="1"/>
  <c r="A47910" i="1"/>
  <c r="A47911" i="1"/>
  <c r="A47912" i="1"/>
  <c r="A47913" i="1"/>
  <c r="A47914" i="1"/>
  <c r="A47915" i="1"/>
  <c r="A47916" i="1"/>
  <c r="A47917" i="1"/>
  <c r="A47918" i="1"/>
  <c r="A47919" i="1"/>
  <c r="A47920" i="1"/>
  <c r="A47921" i="1"/>
  <c r="A47922" i="1"/>
  <c r="A47923" i="1"/>
  <c r="A47924" i="1"/>
  <c r="A47925" i="1"/>
  <c r="A47926" i="1"/>
  <c r="A47927" i="1"/>
  <c r="A47928" i="1"/>
  <c r="A47929" i="1"/>
  <c r="A47930" i="1"/>
  <c r="A47931" i="1"/>
  <c r="A47932" i="1"/>
  <c r="A47933" i="1"/>
  <c r="A47934" i="1"/>
  <c r="A47935" i="1"/>
  <c r="A47936" i="1"/>
  <c r="A47937" i="1"/>
  <c r="A47938" i="1"/>
  <c r="A47939" i="1"/>
  <c r="A47940" i="1"/>
  <c r="A47941" i="1"/>
  <c r="A47942" i="1"/>
  <c r="A47943" i="1"/>
  <c r="A47944" i="1"/>
  <c r="A47945" i="1"/>
  <c r="A47946" i="1"/>
  <c r="A47947" i="1"/>
  <c r="A47948" i="1"/>
  <c r="A47949" i="1"/>
  <c r="A47950" i="1"/>
  <c r="A47951" i="1"/>
  <c r="A47952" i="1"/>
  <c r="A47953" i="1"/>
  <c r="A47954" i="1"/>
  <c r="A47955" i="1"/>
  <c r="A47956" i="1"/>
  <c r="A47957" i="1"/>
  <c r="A47958" i="1"/>
  <c r="A47959" i="1"/>
  <c r="A47960" i="1"/>
  <c r="A47961" i="1"/>
  <c r="A47962" i="1"/>
  <c r="A47963" i="1"/>
  <c r="A47964" i="1"/>
  <c r="A47965" i="1"/>
  <c r="A47966" i="1"/>
  <c r="A47967" i="1"/>
  <c r="A47968" i="1"/>
  <c r="A47969" i="1"/>
  <c r="A47970" i="1"/>
  <c r="A47971" i="1"/>
  <c r="A47972" i="1"/>
  <c r="A47973" i="1"/>
  <c r="A47974" i="1"/>
  <c r="A47975" i="1"/>
  <c r="A47976" i="1"/>
  <c r="A47977" i="1"/>
  <c r="A47978" i="1"/>
  <c r="A47979" i="1"/>
  <c r="A47980" i="1"/>
  <c r="A47981" i="1"/>
  <c r="A47982" i="1"/>
  <c r="A47983" i="1"/>
  <c r="A47984" i="1"/>
  <c r="A47985" i="1"/>
  <c r="A47986" i="1"/>
  <c r="A47987" i="1"/>
  <c r="A47988" i="1"/>
  <c r="A47989" i="1"/>
  <c r="A47990" i="1"/>
  <c r="A47991" i="1"/>
  <c r="A47992" i="1"/>
  <c r="A47993" i="1"/>
  <c r="A47994" i="1"/>
  <c r="A47995" i="1"/>
  <c r="A47996" i="1"/>
  <c r="A47997" i="1"/>
  <c r="A47998" i="1"/>
  <c r="A47999" i="1"/>
  <c r="A48000" i="1"/>
  <c r="A48001" i="1"/>
  <c r="A48002" i="1"/>
  <c r="A48003" i="1"/>
  <c r="A48004" i="1"/>
  <c r="A48005" i="1"/>
  <c r="A48006" i="1"/>
  <c r="A48007" i="1"/>
  <c r="A48008" i="1"/>
  <c r="A48009" i="1"/>
  <c r="A48010" i="1"/>
  <c r="A48011" i="1"/>
  <c r="A48012" i="1"/>
  <c r="A48013" i="1"/>
  <c r="A48014" i="1"/>
  <c r="A48015" i="1"/>
  <c r="A48016" i="1"/>
  <c r="A48017" i="1"/>
  <c r="A48018" i="1"/>
  <c r="A48019" i="1"/>
  <c r="A48020" i="1"/>
  <c r="A48021" i="1"/>
  <c r="A48022" i="1"/>
  <c r="A48023" i="1"/>
  <c r="A48024" i="1"/>
  <c r="A48025" i="1"/>
  <c r="A48026" i="1"/>
  <c r="A48027" i="1"/>
  <c r="A48028" i="1"/>
  <c r="A48029" i="1"/>
  <c r="A48030" i="1"/>
  <c r="A48031" i="1"/>
  <c r="A48032" i="1"/>
  <c r="A48033" i="1"/>
  <c r="A48034" i="1"/>
  <c r="A48035" i="1"/>
  <c r="A48036" i="1"/>
  <c r="A48037" i="1"/>
  <c r="A48038" i="1"/>
  <c r="A48039" i="1"/>
  <c r="A48040" i="1"/>
  <c r="A48041" i="1"/>
  <c r="A48042" i="1"/>
  <c r="A48043" i="1"/>
  <c r="A48044" i="1"/>
  <c r="A48045" i="1"/>
  <c r="A48046" i="1"/>
  <c r="A48047" i="1"/>
  <c r="A48048" i="1"/>
  <c r="A48049" i="1"/>
  <c r="A48050" i="1"/>
  <c r="A48051" i="1"/>
  <c r="A48052" i="1"/>
  <c r="A48053" i="1"/>
  <c r="A48054" i="1"/>
  <c r="A48055" i="1"/>
  <c r="A48056" i="1"/>
  <c r="A48057" i="1"/>
  <c r="A48058" i="1"/>
  <c r="A48059" i="1"/>
  <c r="A48060" i="1"/>
  <c r="A48061" i="1"/>
  <c r="A48062" i="1"/>
  <c r="A48063" i="1"/>
  <c r="A48064" i="1"/>
  <c r="A48065" i="1"/>
  <c r="A48066" i="1"/>
  <c r="A48067" i="1"/>
  <c r="A48068" i="1"/>
  <c r="A48069" i="1"/>
  <c r="A48070" i="1"/>
  <c r="A48071" i="1"/>
  <c r="A48072" i="1"/>
  <c r="A48073" i="1"/>
  <c r="A48074" i="1"/>
  <c r="A48075" i="1"/>
  <c r="A48076" i="1"/>
  <c r="A48077" i="1"/>
  <c r="A48078" i="1"/>
  <c r="A48079" i="1"/>
  <c r="A48080" i="1"/>
  <c r="A48081" i="1"/>
  <c r="A48082" i="1"/>
  <c r="A48083" i="1"/>
  <c r="A48084" i="1"/>
  <c r="A48085" i="1"/>
  <c r="A48086" i="1"/>
  <c r="A48087" i="1"/>
  <c r="A48088" i="1"/>
  <c r="A48089" i="1"/>
  <c r="A48090" i="1"/>
  <c r="A48091" i="1"/>
  <c r="A48092" i="1"/>
  <c r="A48093" i="1"/>
  <c r="A48094" i="1"/>
  <c r="A48095" i="1"/>
  <c r="A48096" i="1"/>
  <c r="A48097" i="1"/>
  <c r="A48098" i="1"/>
  <c r="A48099" i="1"/>
  <c r="A48100" i="1"/>
  <c r="A48101" i="1"/>
  <c r="A48102" i="1"/>
  <c r="A48103" i="1"/>
  <c r="A48104" i="1"/>
  <c r="A48105" i="1"/>
  <c r="A48106" i="1"/>
  <c r="A48107" i="1"/>
  <c r="A48108" i="1"/>
  <c r="A48109" i="1"/>
  <c r="A48110" i="1"/>
  <c r="A48111" i="1"/>
  <c r="A48112" i="1"/>
  <c r="A48113" i="1"/>
  <c r="A48114" i="1"/>
  <c r="A48115" i="1"/>
  <c r="A48116" i="1"/>
  <c r="A48117" i="1"/>
  <c r="A48118" i="1"/>
  <c r="A48119" i="1"/>
  <c r="A48120" i="1"/>
  <c r="A48121" i="1"/>
  <c r="A48122" i="1"/>
  <c r="A48123" i="1"/>
  <c r="A48124" i="1"/>
  <c r="A48125" i="1"/>
  <c r="A48126" i="1"/>
  <c r="A48127" i="1"/>
  <c r="A48128" i="1"/>
  <c r="A48129" i="1"/>
  <c r="A48130" i="1"/>
  <c r="A48131" i="1"/>
  <c r="A48132" i="1"/>
  <c r="A48133" i="1"/>
  <c r="A48134" i="1"/>
  <c r="A48135" i="1"/>
  <c r="A48136" i="1"/>
  <c r="A48137" i="1"/>
  <c r="A48138" i="1"/>
  <c r="A48139" i="1"/>
  <c r="A48140" i="1"/>
  <c r="A48141" i="1"/>
  <c r="A48142" i="1"/>
  <c r="A48143" i="1"/>
  <c r="A48144" i="1"/>
  <c r="A48145" i="1"/>
  <c r="A48146" i="1"/>
  <c r="A48147" i="1"/>
  <c r="A48148" i="1"/>
  <c r="A48149" i="1"/>
  <c r="A48150" i="1"/>
  <c r="A48151" i="1"/>
  <c r="A48152" i="1"/>
  <c r="A48153" i="1"/>
  <c r="A48154" i="1"/>
  <c r="A48155" i="1"/>
  <c r="A48156" i="1"/>
  <c r="A48157" i="1"/>
  <c r="A48158" i="1"/>
  <c r="A48159" i="1"/>
  <c r="A48160" i="1"/>
  <c r="A48161" i="1"/>
  <c r="A48162" i="1"/>
  <c r="A48163" i="1"/>
  <c r="A48164" i="1"/>
  <c r="A48165" i="1"/>
  <c r="A48166" i="1"/>
  <c r="A48167" i="1"/>
  <c r="A48168" i="1"/>
  <c r="A48169" i="1"/>
  <c r="A48170" i="1"/>
  <c r="A48171" i="1"/>
  <c r="A48172" i="1"/>
  <c r="A48173" i="1"/>
  <c r="A48174" i="1"/>
  <c r="A48175" i="1"/>
  <c r="A48176" i="1"/>
  <c r="A48177" i="1"/>
  <c r="A48178" i="1"/>
  <c r="A48179" i="1"/>
  <c r="A48180" i="1"/>
  <c r="A48181" i="1"/>
  <c r="A48182" i="1"/>
  <c r="A48183" i="1"/>
  <c r="A48184" i="1"/>
  <c r="A48185" i="1"/>
  <c r="A48186" i="1"/>
  <c r="A48187" i="1"/>
  <c r="A48188" i="1"/>
  <c r="A48189" i="1"/>
  <c r="A48190" i="1"/>
  <c r="A48191" i="1"/>
  <c r="A48192" i="1"/>
  <c r="A48193" i="1"/>
  <c r="A48194" i="1"/>
  <c r="A48195" i="1"/>
  <c r="A48196" i="1"/>
  <c r="A48197" i="1"/>
  <c r="A48198" i="1"/>
  <c r="A48199" i="1"/>
  <c r="A48200" i="1"/>
  <c r="A48201" i="1"/>
  <c r="A48202" i="1"/>
  <c r="A48203" i="1"/>
  <c r="A48204" i="1"/>
  <c r="A48205" i="1"/>
  <c r="A48206" i="1"/>
  <c r="A48207" i="1"/>
  <c r="A48208" i="1"/>
  <c r="A48209" i="1"/>
  <c r="A48210" i="1"/>
  <c r="A48211" i="1"/>
  <c r="A48212" i="1"/>
  <c r="A48213" i="1"/>
  <c r="A48214" i="1"/>
  <c r="A48215" i="1"/>
  <c r="A48216" i="1"/>
  <c r="A48217" i="1"/>
  <c r="A48218" i="1"/>
  <c r="A48219" i="1"/>
  <c r="A48220" i="1"/>
  <c r="A48221" i="1"/>
  <c r="A48222" i="1"/>
  <c r="A48223" i="1"/>
  <c r="A48224" i="1"/>
  <c r="A48225" i="1"/>
  <c r="A48226" i="1"/>
  <c r="A48227" i="1"/>
  <c r="A48228" i="1"/>
  <c r="A48229" i="1"/>
  <c r="A48230" i="1"/>
  <c r="A48231" i="1"/>
  <c r="A48232" i="1"/>
  <c r="A48233" i="1"/>
  <c r="A48234" i="1"/>
  <c r="A48235" i="1"/>
  <c r="A48236" i="1"/>
  <c r="A48237" i="1"/>
  <c r="A48238" i="1"/>
  <c r="A48239" i="1"/>
  <c r="A48240" i="1"/>
  <c r="A48241" i="1"/>
  <c r="A48242" i="1"/>
  <c r="A48243" i="1"/>
  <c r="A48244" i="1"/>
  <c r="A48245" i="1"/>
  <c r="A48246" i="1"/>
  <c r="A48247" i="1"/>
  <c r="A48248" i="1"/>
  <c r="A48249" i="1"/>
  <c r="A48250" i="1"/>
  <c r="A48251" i="1"/>
  <c r="A48252" i="1"/>
  <c r="A48253" i="1"/>
  <c r="A48254" i="1"/>
  <c r="A48255" i="1"/>
  <c r="A48256" i="1"/>
  <c r="A48257" i="1"/>
  <c r="A48258" i="1"/>
  <c r="A48259" i="1"/>
  <c r="A48260" i="1"/>
  <c r="A48261" i="1"/>
  <c r="A48262" i="1"/>
  <c r="A48263" i="1"/>
  <c r="A48264" i="1"/>
  <c r="A48265" i="1"/>
  <c r="A48266" i="1"/>
  <c r="A48267" i="1"/>
  <c r="A48268" i="1"/>
  <c r="A48269" i="1"/>
  <c r="A48270" i="1"/>
  <c r="A48271" i="1"/>
  <c r="A48272" i="1"/>
  <c r="A48273" i="1"/>
  <c r="A48274" i="1"/>
  <c r="A48275" i="1"/>
  <c r="A48276" i="1"/>
  <c r="A48277" i="1"/>
  <c r="A48278" i="1"/>
  <c r="A48279" i="1"/>
  <c r="A48280" i="1"/>
  <c r="A48281" i="1"/>
  <c r="A48282" i="1"/>
  <c r="A48283" i="1"/>
  <c r="A48284" i="1"/>
  <c r="A48285" i="1"/>
  <c r="A48286" i="1"/>
  <c r="A48287" i="1"/>
  <c r="A48288" i="1"/>
  <c r="A48289" i="1"/>
  <c r="A48290" i="1"/>
  <c r="A48291" i="1"/>
  <c r="A48292" i="1"/>
  <c r="A48293" i="1"/>
  <c r="A48294" i="1"/>
  <c r="A48295" i="1"/>
  <c r="A48296" i="1"/>
  <c r="A48297" i="1"/>
  <c r="A48298" i="1"/>
  <c r="A48299" i="1"/>
  <c r="A48300" i="1"/>
  <c r="A48301" i="1"/>
  <c r="A48302" i="1"/>
  <c r="A48303" i="1"/>
  <c r="A48304" i="1"/>
  <c r="A48305" i="1"/>
  <c r="A48306" i="1"/>
  <c r="A48307" i="1"/>
  <c r="A48308" i="1"/>
  <c r="A48309" i="1"/>
  <c r="A48310" i="1"/>
  <c r="A48311" i="1"/>
  <c r="A48312" i="1"/>
  <c r="A48313" i="1"/>
  <c r="A48314" i="1"/>
  <c r="A48315" i="1"/>
  <c r="A48316" i="1"/>
  <c r="A48317" i="1"/>
  <c r="A48318" i="1"/>
  <c r="A48319" i="1"/>
  <c r="A48320" i="1"/>
  <c r="A48321" i="1"/>
  <c r="A48322" i="1"/>
  <c r="A48323" i="1"/>
  <c r="A48324" i="1"/>
  <c r="A48325" i="1"/>
  <c r="A48326" i="1"/>
  <c r="A48327" i="1"/>
  <c r="A48328" i="1"/>
  <c r="A48329" i="1"/>
  <c r="A48330" i="1"/>
  <c r="A48331" i="1"/>
  <c r="A48332" i="1"/>
  <c r="A48333" i="1"/>
  <c r="A48334" i="1"/>
  <c r="A48335" i="1"/>
  <c r="A48336" i="1"/>
  <c r="A48337" i="1"/>
  <c r="A48338" i="1"/>
  <c r="A48339" i="1"/>
  <c r="A48340" i="1"/>
  <c r="A48341" i="1"/>
  <c r="A48342" i="1"/>
  <c r="A48343" i="1"/>
  <c r="A48344" i="1"/>
  <c r="A48345" i="1"/>
  <c r="A48346" i="1"/>
  <c r="A48347" i="1"/>
  <c r="A48348" i="1"/>
  <c r="A48349" i="1"/>
  <c r="A48350" i="1"/>
  <c r="A48351" i="1"/>
  <c r="A48352" i="1"/>
  <c r="A48353" i="1"/>
  <c r="A48354" i="1"/>
  <c r="A48355" i="1"/>
  <c r="A48356" i="1"/>
  <c r="A48357" i="1"/>
  <c r="A48358" i="1"/>
  <c r="A48359" i="1"/>
  <c r="A48360" i="1"/>
  <c r="A48361" i="1"/>
  <c r="A48362" i="1"/>
  <c r="A48363" i="1"/>
  <c r="A48364" i="1"/>
  <c r="A48365" i="1"/>
  <c r="A48366" i="1"/>
  <c r="A48367" i="1"/>
  <c r="A48368" i="1"/>
  <c r="A48369" i="1"/>
  <c r="A48370" i="1"/>
  <c r="A48371" i="1"/>
  <c r="A48372" i="1"/>
  <c r="A48373" i="1"/>
  <c r="A48374" i="1"/>
  <c r="A48375" i="1"/>
  <c r="A48376" i="1"/>
  <c r="A48377" i="1"/>
  <c r="A48378" i="1"/>
  <c r="A48379" i="1"/>
  <c r="A48380" i="1"/>
  <c r="A48381" i="1"/>
  <c r="A48382" i="1"/>
  <c r="A48383" i="1"/>
  <c r="A48384" i="1"/>
  <c r="A48385" i="1"/>
  <c r="A48386" i="1"/>
  <c r="A48387" i="1"/>
  <c r="A48388" i="1"/>
  <c r="A48389" i="1"/>
  <c r="A48390" i="1"/>
  <c r="A48391" i="1"/>
  <c r="A48392" i="1"/>
  <c r="A48393" i="1"/>
  <c r="A48394" i="1"/>
  <c r="A48395" i="1"/>
  <c r="A48396" i="1"/>
  <c r="A48397" i="1"/>
  <c r="A48398" i="1"/>
  <c r="A48399" i="1"/>
  <c r="A48400" i="1"/>
  <c r="A48401" i="1"/>
  <c r="A48402" i="1"/>
  <c r="A48403" i="1"/>
  <c r="A48404" i="1"/>
  <c r="A48405" i="1"/>
  <c r="A48406" i="1"/>
  <c r="A48407" i="1"/>
  <c r="A48408" i="1"/>
  <c r="A48409" i="1"/>
  <c r="A48410" i="1"/>
  <c r="A48411" i="1"/>
  <c r="A48412" i="1"/>
  <c r="A48413" i="1"/>
  <c r="A48414" i="1"/>
  <c r="A48415" i="1"/>
  <c r="A48416" i="1"/>
  <c r="A48417" i="1"/>
  <c r="A48418" i="1"/>
  <c r="A48419" i="1"/>
  <c r="A48420" i="1"/>
  <c r="A48421" i="1"/>
  <c r="A48422" i="1"/>
  <c r="A48423" i="1"/>
  <c r="A48424" i="1"/>
  <c r="A48425" i="1"/>
  <c r="A48426" i="1"/>
  <c r="A48427" i="1"/>
  <c r="A48428" i="1"/>
  <c r="A48429" i="1"/>
  <c r="A48430" i="1"/>
  <c r="A48431" i="1"/>
  <c r="A48432" i="1"/>
  <c r="A48433" i="1"/>
  <c r="A48434" i="1"/>
  <c r="A48435" i="1"/>
  <c r="A48436" i="1"/>
  <c r="A48437" i="1"/>
  <c r="A48438" i="1"/>
  <c r="A48439" i="1"/>
  <c r="A48440" i="1"/>
  <c r="A48441" i="1"/>
  <c r="A48442" i="1"/>
  <c r="A48443" i="1"/>
  <c r="A48444" i="1"/>
  <c r="A48445" i="1"/>
  <c r="A48446" i="1"/>
  <c r="A48447" i="1"/>
  <c r="A48448" i="1"/>
  <c r="A48449" i="1"/>
  <c r="A48450" i="1"/>
  <c r="A48451" i="1"/>
  <c r="A48452" i="1"/>
  <c r="A48453" i="1"/>
  <c r="A48454" i="1"/>
  <c r="A48455" i="1"/>
  <c r="A48456" i="1"/>
  <c r="A48457" i="1"/>
  <c r="A48458" i="1"/>
  <c r="A48459" i="1"/>
  <c r="A48460" i="1"/>
  <c r="A48461" i="1"/>
  <c r="A48462" i="1"/>
  <c r="A48463" i="1"/>
  <c r="A48464" i="1"/>
  <c r="A48465" i="1"/>
  <c r="A48466" i="1"/>
  <c r="A48467" i="1"/>
  <c r="A48468" i="1"/>
  <c r="A48469" i="1"/>
  <c r="A48470" i="1"/>
  <c r="A48471" i="1"/>
  <c r="A48472" i="1"/>
  <c r="A48473" i="1"/>
  <c r="A48474" i="1"/>
  <c r="A48475" i="1"/>
  <c r="A48476" i="1"/>
  <c r="A48477" i="1"/>
  <c r="A48478" i="1"/>
  <c r="A48479" i="1"/>
  <c r="A48480" i="1"/>
  <c r="A48481" i="1"/>
  <c r="A48482" i="1"/>
  <c r="A48483" i="1"/>
  <c r="A48484" i="1"/>
  <c r="A48485" i="1"/>
  <c r="A48486" i="1"/>
  <c r="A48487" i="1"/>
  <c r="A48488" i="1"/>
  <c r="A48489" i="1"/>
  <c r="A48490" i="1"/>
  <c r="A48491" i="1"/>
  <c r="A48492" i="1"/>
  <c r="A48493" i="1"/>
  <c r="A48494" i="1"/>
  <c r="A48495" i="1"/>
  <c r="A48496" i="1"/>
  <c r="A48497" i="1"/>
  <c r="A48498" i="1"/>
  <c r="A48499" i="1"/>
  <c r="A48500" i="1"/>
  <c r="A48501" i="1"/>
  <c r="A48502" i="1"/>
  <c r="A48503" i="1"/>
  <c r="A48504" i="1"/>
  <c r="A48505" i="1"/>
  <c r="A48506" i="1"/>
  <c r="A48507" i="1"/>
  <c r="A48508" i="1"/>
  <c r="A48509" i="1"/>
  <c r="A48510" i="1"/>
  <c r="A48511" i="1"/>
  <c r="A48512" i="1"/>
  <c r="A48513" i="1"/>
  <c r="A48514" i="1"/>
  <c r="A48515" i="1"/>
  <c r="A48516" i="1"/>
  <c r="A48517" i="1"/>
  <c r="A48518" i="1"/>
  <c r="A48519" i="1"/>
  <c r="A48520" i="1"/>
  <c r="A48521" i="1"/>
  <c r="A48522" i="1"/>
  <c r="A48523" i="1"/>
  <c r="A48524" i="1"/>
  <c r="A48525" i="1"/>
  <c r="A48526" i="1"/>
  <c r="A48527" i="1"/>
  <c r="A48528" i="1"/>
  <c r="A48529" i="1"/>
  <c r="A48530" i="1"/>
  <c r="A48531" i="1"/>
  <c r="A48532" i="1"/>
  <c r="A48533" i="1"/>
  <c r="A48534" i="1"/>
  <c r="A48535" i="1"/>
  <c r="A48536" i="1"/>
  <c r="A48537" i="1"/>
  <c r="A48538" i="1"/>
  <c r="A48539" i="1"/>
  <c r="A48540" i="1"/>
  <c r="A48541" i="1"/>
  <c r="A48542" i="1"/>
  <c r="A48543" i="1"/>
  <c r="A48544" i="1"/>
  <c r="A48545" i="1"/>
  <c r="A48546" i="1"/>
  <c r="A48547" i="1"/>
  <c r="A48548" i="1"/>
  <c r="A48549" i="1"/>
  <c r="A48550" i="1"/>
  <c r="A48551" i="1"/>
  <c r="A48552" i="1"/>
  <c r="A48553" i="1"/>
  <c r="A48554" i="1"/>
  <c r="A48555" i="1"/>
  <c r="A48556" i="1"/>
  <c r="A48557" i="1"/>
  <c r="A48558" i="1"/>
  <c r="A48559" i="1"/>
  <c r="A48560" i="1"/>
  <c r="A48561" i="1"/>
  <c r="A48562" i="1"/>
  <c r="A48563" i="1"/>
  <c r="A48564" i="1"/>
  <c r="A48565" i="1"/>
  <c r="A48566" i="1"/>
  <c r="A48567" i="1"/>
  <c r="A48568" i="1"/>
  <c r="A48569" i="1"/>
  <c r="A48570" i="1"/>
  <c r="A48571" i="1"/>
  <c r="A48572" i="1"/>
  <c r="A48573" i="1"/>
  <c r="A48574" i="1"/>
  <c r="A48575" i="1"/>
  <c r="A48576" i="1"/>
  <c r="A48577" i="1"/>
  <c r="A48578" i="1"/>
  <c r="A48579" i="1"/>
  <c r="A48580" i="1"/>
  <c r="A48581" i="1"/>
  <c r="A48582" i="1"/>
  <c r="A48583" i="1"/>
  <c r="A48584" i="1"/>
  <c r="A48585" i="1"/>
  <c r="A48586" i="1"/>
  <c r="A48587" i="1"/>
  <c r="A48588" i="1"/>
  <c r="A48589" i="1"/>
  <c r="A48590" i="1"/>
  <c r="A48591" i="1"/>
  <c r="A48592" i="1"/>
  <c r="A48593" i="1"/>
  <c r="A48594" i="1"/>
  <c r="A48595" i="1"/>
  <c r="A48596" i="1"/>
  <c r="A48597" i="1"/>
  <c r="A48598" i="1"/>
  <c r="A48599" i="1"/>
  <c r="A48600" i="1"/>
  <c r="A48601" i="1"/>
  <c r="A48602" i="1"/>
  <c r="A48603" i="1"/>
  <c r="A48604" i="1"/>
  <c r="A48605" i="1"/>
  <c r="A48606" i="1"/>
  <c r="A48607" i="1"/>
  <c r="A48608" i="1"/>
  <c r="A48609" i="1"/>
  <c r="A48610" i="1"/>
  <c r="A48611" i="1"/>
  <c r="A48612" i="1"/>
  <c r="A48613" i="1"/>
  <c r="A48614" i="1"/>
  <c r="A48615" i="1"/>
  <c r="A48616" i="1"/>
  <c r="A48617" i="1"/>
  <c r="A48618" i="1"/>
  <c r="A48619" i="1"/>
  <c r="A48620" i="1"/>
  <c r="A48621" i="1"/>
  <c r="A48622" i="1"/>
  <c r="A48623" i="1"/>
  <c r="A48624" i="1"/>
  <c r="A48625" i="1"/>
  <c r="A48626" i="1"/>
  <c r="A48627" i="1"/>
  <c r="A48628" i="1"/>
  <c r="A48629" i="1"/>
  <c r="A48630" i="1"/>
  <c r="A48631" i="1"/>
  <c r="A48632" i="1"/>
  <c r="A48633" i="1"/>
  <c r="A48634" i="1"/>
  <c r="A48635" i="1"/>
  <c r="A48636" i="1"/>
  <c r="A48637" i="1"/>
  <c r="A48638" i="1"/>
  <c r="A48639" i="1"/>
  <c r="A48640" i="1"/>
  <c r="A48641" i="1"/>
  <c r="A48642" i="1"/>
  <c r="A48643" i="1"/>
  <c r="A48644" i="1"/>
  <c r="A48645" i="1"/>
  <c r="A48646" i="1"/>
  <c r="A48647" i="1"/>
  <c r="A48648" i="1"/>
  <c r="A48649" i="1"/>
  <c r="A48650" i="1"/>
  <c r="A48651" i="1"/>
  <c r="A48652" i="1"/>
  <c r="A48653" i="1"/>
  <c r="A48654" i="1"/>
  <c r="A48655" i="1"/>
  <c r="A48656" i="1"/>
  <c r="A48657" i="1"/>
  <c r="A48658" i="1"/>
  <c r="A48659" i="1"/>
  <c r="A48660" i="1"/>
  <c r="A48661" i="1"/>
  <c r="A48662" i="1"/>
  <c r="A48663" i="1"/>
  <c r="A48664" i="1"/>
  <c r="A48665" i="1"/>
  <c r="A48666" i="1"/>
  <c r="A48667" i="1"/>
  <c r="A48668" i="1"/>
  <c r="A48669" i="1"/>
  <c r="A48670" i="1"/>
  <c r="A48671" i="1"/>
  <c r="A48672" i="1"/>
  <c r="A48673" i="1"/>
  <c r="A48674" i="1"/>
  <c r="A48675" i="1"/>
  <c r="A48676" i="1"/>
  <c r="A48677" i="1"/>
  <c r="A48678" i="1"/>
  <c r="A48679" i="1"/>
  <c r="A48680" i="1"/>
  <c r="A48681" i="1"/>
  <c r="A48682" i="1"/>
  <c r="A48683" i="1"/>
  <c r="A48684" i="1"/>
  <c r="A48685" i="1"/>
  <c r="A48686" i="1"/>
  <c r="A48687" i="1"/>
  <c r="A48688" i="1"/>
  <c r="A48689" i="1"/>
  <c r="A48690" i="1"/>
  <c r="A48691" i="1"/>
  <c r="A48692" i="1"/>
  <c r="A48693" i="1"/>
  <c r="A48694" i="1"/>
  <c r="A48695" i="1"/>
  <c r="A48696" i="1"/>
  <c r="A48697" i="1"/>
  <c r="A48698" i="1"/>
  <c r="A48699" i="1"/>
  <c r="A48700" i="1"/>
  <c r="A48701" i="1"/>
  <c r="A48702" i="1"/>
  <c r="A48703" i="1"/>
  <c r="A48704" i="1"/>
  <c r="A48705" i="1"/>
  <c r="A48706" i="1"/>
  <c r="A48707" i="1"/>
  <c r="A48708" i="1"/>
  <c r="A48709" i="1"/>
  <c r="A48710" i="1"/>
  <c r="A48711" i="1"/>
  <c r="A48712" i="1"/>
  <c r="A48713" i="1"/>
  <c r="A48714" i="1"/>
  <c r="A48715" i="1"/>
  <c r="A48716" i="1"/>
  <c r="A48717" i="1"/>
  <c r="A48718" i="1"/>
  <c r="A48719" i="1"/>
  <c r="A48720" i="1"/>
  <c r="A48721" i="1"/>
  <c r="A48722" i="1"/>
  <c r="A48723" i="1"/>
  <c r="A48724" i="1"/>
  <c r="A48725" i="1"/>
  <c r="A48726" i="1"/>
  <c r="A48727" i="1"/>
  <c r="A48728" i="1"/>
  <c r="A48729" i="1"/>
  <c r="A48730" i="1"/>
  <c r="A48731" i="1"/>
  <c r="A48732" i="1"/>
  <c r="A48733" i="1"/>
  <c r="A48734" i="1"/>
  <c r="A48735" i="1"/>
  <c r="A48736" i="1"/>
  <c r="A48737" i="1"/>
  <c r="A48738" i="1"/>
  <c r="A48739" i="1"/>
  <c r="A48740" i="1"/>
  <c r="A48741" i="1"/>
  <c r="A48742" i="1"/>
  <c r="A48743" i="1"/>
  <c r="A48744" i="1"/>
  <c r="A48745" i="1"/>
  <c r="A48746" i="1"/>
  <c r="A48747" i="1"/>
  <c r="A48748" i="1"/>
  <c r="A48749" i="1"/>
  <c r="A48750" i="1"/>
  <c r="A48751" i="1"/>
  <c r="A48752" i="1"/>
  <c r="A48753" i="1"/>
  <c r="A48754" i="1"/>
  <c r="A48755" i="1"/>
  <c r="A48756" i="1"/>
  <c r="A48757" i="1"/>
  <c r="A48758" i="1"/>
  <c r="A48759" i="1"/>
  <c r="A48760" i="1"/>
  <c r="A48761" i="1"/>
  <c r="A48762" i="1"/>
  <c r="A48763" i="1"/>
  <c r="A48764" i="1"/>
  <c r="A48765" i="1"/>
  <c r="A48766" i="1"/>
  <c r="A48767" i="1"/>
  <c r="A48768" i="1"/>
  <c r="A48769" i="1"/>
  <c r="A48770" i="1"/>
  <c r="A48771" i="1"/>
  <c r="A48772" i="1"/>
  <c r="A48773" i="1"/>
  <c r="A48774" i="1"/>
  <c r="A48775" i="1"/>
  <c r="A48776" i="1"/>
  <c r="A48777" i="1"/>
  <c r="A48778" i="1"/>
  <c r="A48779" i="1"/>
  <c r="A48780" i="1"/>
  <c r="A48781" i="1"/>
  <c r="A48782" i="1"/>
  <c r="A48783" i="1"/>
  <c r="A48784" i="1"/>
  <c r="A48785" i="1"/>
  <c r="A48786" i="1"/>
  <c r="A48787" i="1"/>
  <c r="A48788" i="1"/>
  <c r="A48789" i="1"/>
  <c r="A48790" i="1"/>
  <c r="A48791" i="1"/>
  <c r="A48792" i="1"/>
  <c r="A48793" i="1"/>
  <c r="A48794" i="1"/>
  <c r="A48795" i="1"/>
  <c r="A48796" i="1"/>
  <c r="A48797" i="1"/>
  <c r="A48798" i="1"/>
  <c r="A48799" i="1"/>
  <c r="A48800" i="1"/>
  <c r="A48801" i="1"/>
  <c r="A48802" i="1"/>
  <c r="A48803" i="1"/>
  <c r="A48804" i="1"/>
  <c r="A48805" i="1"/>
  <c r="A48806" i="1"/>
  <c r="A48807" i="1"/>
  <c r="A48808" i="1"/>
  <c r="A48809" i="1"/>
  <c r="A48810" i="1"/>
  <c r="A48811" i="1"/>
  <c r="A48812" i="1"/>
  <c r="A48813" i="1"/>
  <c r="A48814" i="1"/>
  <c r="A48815" i="1"/>
  <c r="A48816" i="1"/>
  <c r="A48817" i="1"/>
  <c r="A48818" i="1"/>
  <c r="A48819" i="1"/>
  <c r="A48820" i="1"/>
  <c r="A48821" i="1"/>
  <c r="A48822" i="1"/>
  <c r="A48823" i="1"/>
  <c r="A48824" i="1"/>
  <c r="A48825" i="1"/>
  <c r="A48826" i="1"/>
  <c r="A48827" i="1"/>
  <c r="A48828" i="1"/>
  <c r="A48829" i="1"/>
  <c r="A48830" i="1"/>
  <c r="A48831" i="1"/>
  <c r="A48832" i="1"/>
  <c r="A48833" i="1"/>
  <c r="A48834" i="1"/>
  <c r="A48835" i="1"/>
  <c r="A48836" i="1"/>
  <c r="A48837" i="1"/>
  <c r="A48838" i="1"/>
  <c r="A48839" i="1"/>
  <c r="A48840" i="1"/>
  <c r="A48841" i="1"/>
  <c r="A48842" i="1"/>
  <c r="A48843" i="1"/>
  <c r="A48844" i="1"/>
  <c r="A48845" i="1"/>
  <c r="A48846" i="1"/>
  <c r="A48847" i="1"/>
  <c r="A48848" i="1"/>
  <c r="A48849" i="1"/>
  <c r="A48850" i="1"/>
  <c r="A48851" i="1"/>
  <c r="A48852" i="1"/>
  <c r="A48853" i="1"/>
  <c r="A48854" i="1"/>
  <c r="A48855" i="1"/>
  <c r="A48856" i="1"/>
  <c r="A48857" i="1"/>
  <c r="A48858" i="1"/>
  <c r="A48859" i="1"/>
  <c r="A48860" i="1"/>
  <c r="A48861" i="1"/>
  <c r="A48862" i="1"/>
  <c r="A48863" i="1"/>
  <c r="A48864" i="1"/>
  <c r="A48865" i="1"/>
  <c r="A48866" i="1"/>
  <c r="A48867" i="1"/>
  <c r="A48868" i="1"/>
  <c r="A48869" i="1"/>
  <c r="A48870" i="1"/>
  <c r="A48871" i="1"/>
  <c r="A48872" i="1"/>
  <c r="A48873" i="1"/>
  <c r="A48874" i="1"/>
  <c r="A48875" i="1"/>
  <c r="A48876" i="1"/>
  <c r="A48877" i="1"/>
  <c r="A48878" i="1"/>
  <c r="A48879" i="1"/>
  <c r="A48880" i="1"/>
  <c r="A48881" i="1"/>
  <c r="A48882" i="1"/>
  <c r="A48883" i="1"/>
  <c r="A48884" i="1"/>
  <c r="A48885" i="1"/>
  <c r="A48886" i="1"/>
  <c r="A48887" i="1"/>
  <c r="A48888" i="1"/>
  <c r="A48889" i="1"/>
  <c r="A48890" i="1"/>
  <c r="A48891" i="1"/>
  <c r="A48892" i="1"/>
  <c r="A48893" i="1"/>
  <c r="A48894" i="1"/>
  <c r="A48895" i="1"/>
  <c r="A48896" i="1"/>
  <c r="A48897" i="1"/>
  <c r="A48898" i="1"/>
  <c r="A48899" i="1"/>
  <c r="A48900" i="1"/>
  <c r="A48901" i="1"/>
  <c r="A48902" i="1"/>
  <c r="A48903" i="1"/>
  <c r="A48904" i="1"/>
  <c r="A48905" i="1"/>
  <c r="A48906" i="1"/>
  <c r="A48907" i="1"/>
  <c r="A48908" i="1"/>
  <c r="A48909" i="1"/>
  <c r="A48910" i="1"/>
  <c r="A48911" i="1"/>
  <c r="A48912" i="1"/>
  <c r="A48913" i="1"/>
  <c r="A48914" i="1"/>
  <c r="A48915" i="1"/>
  <c r="A48916" i="1"/>
  <c r="A48917" i="1"/>
  <c r="A48918" i="1"/>
  <c r="A48919" i="1"/>
  <c r="A48920" i="1"/>
  <c r="A48921" i="1"/>
  <c r="A48922" i="1"/>
  <c r="A48923" i="1"/>
  <c r="A48924" i="1"/>
  <c r="A48925" i="1"/>
  <c r="A48926" i="1"/>
  <c r="A48927" i="1"/>
  <c r="A48928" i="1"/>
  <c r="A48929" i="1"/>
  <c r="A48930" i="1"/>
  <c r="A48931" i="1"/>
  <c r="A48932" i="1"/>
  <c r="A48933" i="1"/>
  <c r="A48934" i="1"/>
  <c r="A48935" i="1"/>
  <c r="A48936" i="1"/>
  <c r="A48937" i="1"/>
  <c r="A48938" i="1"/>
  <c r="A48939" i="1"/>
  <c r="A48940" i="1"/>
  <c r="A48941" i="1"/>
  <c r="A48942" i="1"/>
  <c r="A48943" i="1"/>
  <c r="A48944" i="1"/>
  <c r="A48945" i="1"/>
  <c r="A48946" i="1"/>
  <c r="A48947" i="1"/>
  <c r="A48948" i="1"/>
  <c r="A48949" i="1"/>
  <c r="A48950" i="1"/>
  <c r="A48951" i="1"/>
  <c r="A48952" i="1"/>
  <c r="A48953" i="1"/>
  <c r="A48954" i="1"/>
  <c r="A48955" i="1"/>
  <c r="A48956" i="1"/>
  <c r="A48957" i="1"/>
  <c r="A48958" i="1"/>
  <c r="A48959" i="1"/>
  <c r="A48960" i="1"/>
  <c r="A48961" i="1"/>
  <c r="A48962" i="1"/>
  <c r="A48963" i="1"/>
  <c r="A48964" i="1"/>
  <c r="A48965" i="1"/>
  <c r="A48966" i="1"/>
  <c r="A48967" i="1"/>
  <c r="A48968" i="1"/>
  <c r="A48969" i="1"/>
  <c r="A48970" i="1"/>
  <c r="A48971" i="1"/>
  <c r="A48972" i="1"/>
  <c r="A48973" i="1"/>
  <c r="A48974" i="1"/>
  <c r="A48975" i="1"/>
  <c r="A48976" i="1"/>
  <c r="A48977" i="1"/>
  <c r="A48978" i="1"/>
  <c r="A48979" i="1"/>
  <c r="A48980" i="1"/>
  <c r="A48981" i="1"/>
  <c r="A48982" i="1"/>
  <c r="A48983" i="1"/>
  <c r="A48984" i="1"/>
  <c r="A48985" i="1"/>
  <c r="A48986" i="1"/>
  <c r="A48987" i="1"/>
  <c r="A48988" i="1"/>
  <c r="A48989" i="1"/>
  <c r="A48990" i="1"/>
  <c r="A48991" i="1"/>
  <c r="A48992" i="1"/>
  <c r="A48993" i="1"/>
  <c r="A48994" i="1"/>
  <c r="A48995" i="1"/>
  <c r="A48996" i="1"/>
  <c r="A48997" i="1"/>
  <c r="A48998" i="1"/>
  <c r="A48999" i="1"/>
  <c r="A49000" i="1"/>
  <c r="A49001" i="1"/>
  <c r="A49002" i="1"/>
  <c r="A49003" i="1"/>
  <c r="A49004" i="1"/>
  <c r="A49005" i="1"/>
  <c r="A49006" i="1"/>
  <c r="A49007" i="1"/>
  <c r="A49008" i="1"/>
  <c r="A49009" i="1"/>
  <c r="A49010" i="1"/>
  <c r="A49011" i="1"/>
  <c r="A49012" i="1"/>
  <c r="A49013" i="1"/>
  <c r="A49014" i="1"/>
  <c r="A49015" i="1"/>
  <c r="A49016" i="1"/>
  <c r="A49017" i="1"/>
  <c r="A49018" i="1"/>
  <c r="A49019" i="1"/>
  <c r="A49020" i="1"/>
  <c r="A49021" i="1"/>
  <c r="A49022" i="1"/>
  <c r="A49023" i="1"/>
  <c r="A49024" i="1"/>
  <c r="A49025" i="1"/>
  <c r="A49026" i="1"/>
  <c r="A49027" i="1"/>
  <c r="A49028" i="1"/>
  <c r="A49029" i="1"/>
  <c r="A49030" i="1"/>
  <c r="A49031" i="1"/>
  <c r="A49032" i="1"/>
  <c r="A49033" i="1"/>
  <c r="A49034" i="1"/>
  <c r="A49035" i="1"/>
  <c r="A49036" i="1"/>
  <c r="A49037" i="1"/>
  <c r="A49038" i="1"/>
  <c r="A49039" i="1"/>
  <c r="A49040" i="1"/>
  <c r="A49041" i="1"/>
  <c r="A49042" i="1"/>
  <c r="A49043" i="1"/>
  <c r="A49044" i="1"/>
  <c r="A49045" i="1"/>
  <c r="A49046" i="1"/>
  <c r="A49047" i="1"/>
  <c r="A49048" i="1"/>
  <c r="A49049" i="1"/>
  <c r="A49050" i="1"/>
  <c r="A49051" i="1"/>
  <c r="A49052" i="1"/>
  <c r="A49053" i="1"/>
  <c r="A49054" i="1"/>
  <c r="A49055" i="1"/>
  <c r="A49056" i="1"/>
  <c r="A49057" i="1"/>
  <c r="A49058" i="1"/>
  <c r="A49059" i="1"/>
  <c r="A49060" i="1"/>
  <c r="A49061" i="1"/>
  <c r="A49062" i="1"/>
  <c r="A49063" i="1"/>
  <c r="A49064" i="1"/>
  <c r="A49065" i="1"/>
  <c r="A49066" i="1"/>
  <c r="A49067" i="1"/>
  <c r="A49068" i="1"/>
  <c r="A49069" i="1"/>
  <c r="A49070" i="1"/>
  <c r="A49071" i="1"/>
  <c r="A49072" i="1"/>
  <c r="A49073" i="1"/>
  <c r="A49074" i="1"/>
  <c r="A49075" i="1"/>
  <c r="A49076" i="1"/>
  <c r="A49077" i="1"/>
  <c r="A49078" i="1"/>
  <c r="A49079" i="1"/>
  <c r="A49080" i="1"/>
  <c r="A49081" i="1"/>
  <c r="A49082" i="1"/>
  <c r="A49083" i="1"/>
  <c r="A49084" i="1"/>
  <c r="A49085" i="1"/>
  <c r="A49086" i="1"/>
  <c r="A49087" i="1"/>
  <c r="A49088" i="1"/>
  <c r="A49089" i="1"/>
  <c r="A49090" i="1"/>
  <c r="A49091" i="1"/>
  <c r="A49092" i="1"/>
  <c r="A49093" i="1"/>
  <c r="A49094" i="1"/>
  <c r="A49095" i="1"/>
  <c r="A49096" i="1"/>
  <c r="A49097" i="1"/>
  <c r="A49098" i="1"/>
  <c r="A49099" i="1"/>
  <c r="A49100" i="1"/>
  <c r="A49101" i="1"/>
  <c r="A49102" i="1"/>
  <c r="A49103" i="1"/>
  <c r="A49104" i="1"/>
  <c r="A49105" i="1"/>
  <c r="A49106" i="1"/>
  <c r="A49107" i="1"/>
  <c r="A49108" i="1"/>
  <c r="A49109" i="1"/>
  <c r="A49110" i="1"/>
  <c r="A49111" i="1"/>
  <c r="A49112" i="1"/>
  <c r="A49113" i="1"/>
  <c r="A49114" i="1"/>
  <c r="A49115" i="1"/>
  <c r="A49116" i="1"/>
  <c r="A49117" i="1"/>
  <c r="A49118" i="1"/>
  <c r="A49119" i="1"/>
  <c r="A49120" i="1"/>
  <c r="A49121" i="1"/>
  <c r="A49122" i="1"/>
  <c r="A49123" i="1"/>
  <c r="A49124" i="1"/>
  <c r="A49125" i="1"/>
  <c r="A49126" i="1"/>
  <c r="A49127" i="1"/>
  <c r="A49128" i="1"/>
  <c r="A49129" i="1"/>
  <c r="A49130" i="1"/>
  <c r="A49131" i="1"/>
  <c r="A49132" i="1"/>
  <c r="A49133" i="1"/>
  <c r="A49134" i="1"/>
  <c r="A49135" i="1"/>
  <c r="A49136" i="1"/>
  <c r="A49137" i="1"/>
  <c r="A49138" i="1"/>
  <c r="A49139" i="1"/>
  <c r="A49140" i="1"/>
  <c r="A49141" i="1"/>
  <c r="A49142" i="1"/>
  <c r="A49143" i="1"/>
  <c r="A49144" i="1"/>
  <c r="A49145" i="1"/>
  <c r="A49146" i="1"/>
  <c r="A49147" i="1"/>
  <c r="A49148" i="1"/>
  <c r="A49149" i="1"/>
  <c r="A49150" i="1"/>
  <c r="A49151" i="1"/>
  <c r="A49152" i="1"/>
  <c r="A49153" i="1"/>
  <c r="A49154" i="1"/>
  <c r="A49155" i="1"/>
  <c r="A49156" i="1"/>
  <c r="A49157" i="1"/>
  <c r="A49158" i="1"/>
  <c r="A49159" i="1"/>
  <c r="A49160" i="1"/>
  <c r="A49161" i="1"/>
  <c r="A49162" i="1"/>
  <c r="A49163" i="1"/>
  <c r="A49164" i="1"/>
  <c r="A49165" i="1"/>
  <c r="A49166" i="1"/>
  <c r="A49167" i="1"/>
  <c r="A49168" i="1"/>
  <c r="A49169" i="1"/>
  <c r="A49170" i="1"/>
  <c r="A49171" i="1"/>
  <c r="A49172" i="1"/>
  <c r="A49173" i="1"/>
  <c r="A49174" i="1"/>
  <c r="A49175" i="1"/>
  <c r="A49176" i="1"/>
  <c r="A49177" i="1"/>
  <c r="A49178" i="1"/>
  <c r="A49179" i="1"/>
  <c r="A49180" i="1"/>
  <c r="A49181" i="1"/>
  <c r="A49182" i="1"/>
  <c r="A49183" i="1"/>
  <c r="A49184" i="1"/>
  <c r="A49185" i="1"/>
  <c r="A49186" i="1"/>
  <c r="A49187" i="1"/>
  <c r="A49188" i="1"/>
  <c r="A49189" i="1"/>
  <c r="A49190" i="1"/>
  <c r="A49191" i="1"/>
  <c r="A49192" i="1"/>
  <c r="A49193" i="1"/>
  <c r="A49194" i="1"/>
  <c r="A49195" i="1"/>
  <c r="A49196" i="1"/>
  <c r="A49197" i="1"/>
  <c r="A49198" i="1"/>
  <c r="A49199" i="1"/>
  <c r="A49200" i="1"/>
  <c r="A49201" i="1"/>
  <c r="A49202" i="1"/>
  <c r="A49203" i="1"/>
  <c r="A49204" i="1"/>
  <c r="A49205" i="1"/>
  <c r="A49206" i="1"/>
  <c r="A49207" i="1"/>
  <c r="A49208" i="1"/>
  <c r="A49209" i="1"/>
  <c r="A49210" i="1"/>
  <c r="A49211" i="1"/>
  <c r="A49212" i="1"/>
  <c r="A49213" i="1"/>
  <c r="A49214" i="1"/>
  <c r="A49215" i="1"/>
  <c r="A49216" i="1"/>
  <c r="A49217" i="1"/>
  <c r="A49218" i="1"/>
  <c r="A49219" i="1"/>
  <c r="A49220" i="1"/>
  <c r="A49221" i="1"/>
  <c r="A49222" i="1"/>
  <c r="A49223" i="1"/>
  <c r="A49224" i="1"/>
  <c r="A49225" i="1"/>
  <c r="A49226" i="1"/>
  <c r="A49227" i="1"/>
  <c r="A49228" i="1"/>
  <c r="A49229" i="1"/>
  <c r="A49230" i="1"/>
  <c r="A49231" i="1"/>
  <c r="A49232" i="1"/>
  <c r="A49233" i="1"/>
  <c r="A49234" i="1"/>
  <c r="A49235" i="1"/>
  <c r="A49236" i="1"/>
  <c r="A49237" i="1"/>
  <c r="A49238" i="1"/>
  <c r="A49239" i="1"/>
  <c r="A49240" i="1"/>
  <c r="A49241" i="1"/>
  <c r="A49242" i="1"/>
  <c r="A49243" i="1"/>
  <c r="A49244" i="1"/>
  <c r="A49245" i="1"/>
  <c r="A49246" i="1"/>
  <c r="A49247" i="1"/>
  <c r="A49248" i="1"/>
  <c r="A49249" i="1"/>
  <c r="A49250" i="1"/>
  <c r="A49251" i="1"/>
  <c r="A49252" i="1"/>
  <c r="A49253" i="1"/>
  <c r="A49254" i="1"/>
  <c r="A49255" i="1"/>
  <c r="A49256" i="1"/>
  <c r="A49257" i="1"/>
  <c r="A49258" i="1"/>
  <c r="A49259" i="1"/>
  <c r="A49260" i="1"/>
  <c r="A49261" i="1"/>
  <c r="A49262" i="1"/>
  <c r="A49263" i="1"/>
  <c r="A49264" i="1"/>
  <c r="A49265" i="1"/>
  <c r="A49266" i="1"/>
  <c r="A49267" i="1"/>
  <c r="A49268" i="1"/>
  <c r="A49269" i="1"/>
  <c r="A49270" i="1"/>
  <c r="A49271" i="1"/>
  <c r="A49272" i="1"/>
  <c r="A49273" i="1"/>
  <c r="A49274" i="1"/>
  <c r="A49275" i="1"/>
  <c r="A49276" i="1"/>
  <c r="A49277" i="1"/>
  <c r="A49278" i="1"/>
  <c r="A49279" i="1"/>
  <c r="A49280" i="1"/>
  <c r="A49281" i="1"/>
  <c r="A49282" i="1"/>
  <c r="A49283" i="1"/>
  <c r="A49284" i="1"/>
  <c r="A49285" i="1"/>
  <c r="A49286" i="1"/>
  <c r="A49287" i="1"/>
  <c r="A49288" i="1"/>
  <c r="A49289" i="1"/>
  <c r="A49290" i="1"/>
  <c r="A49291" i="1"/>
  <c r="A49292" i="1"/>
  <c r="A49293" i="1"/>
  <c r="A49294" i="1"/>
  <c r="A49295" i="1"/>
  <c r="A49296" i="1"/>
  <c r="A49297" i="1"/>
  <c r="A49298" i="1"/>
  <c r="A49299" i="1"/>
  <c r="A49300" i="1"/>
  <c r="A49301" i="1"/>
  <c r="A49302" i="1"/>
  <c r="A49303" i="1"/>
  <c r="A49304" i="1"/>
  <c r="A49305" i="1"/>
  <c r="A49306" i="1"/>
  <c r="A49307" i="1"/>
  <c r="A49308" i="1"/>
  <c r="A49309" i="1"/>
  <c r="A49310" i="1"/>
  <c r="A49311" i="1"/>
  <c r="A49312" i="1"/>
  <c r="A49313" i="1"/>
  <c r="A49314" i="1"/>
  <c r="A49315" i="1"/>
  <c r="A49316" i="1"/>
  <c r="A49317" i="1"/>
  <c r="A49318" i="1"/>
  <c r="A49319" i="1"/>
  <c r="A49320" i="1"/>
  <c r="A49321" i="1"/>
  <c r="A49322" i="1"/>
  <c r="A49323" i="1"/>
  <c r="A49324" i="1"/>
  <c r="A49325" i="1"/>
  <c r="A49326" i="1"/>
  <c r="A49327" i="1"/>
  <c r="A49328" i="1"/>
  <c r="A49329" i="1"/>
  <c r="A49330" i="1"/>
  <c r="A49331" i="1"/>
  <c r="A49332" i="1"/>
  <c r="A49333" i="1"/>
  <c r="A49334" i="1"/>
  <c r="A49335" i="1"/>
  <c r="A49336" i="1"/>
  <c r="A49337" i="1"/>
  <c r="A49338" i="1"/>
  <c r="A49339" i="1"/>
  <c r="A49340" i="1"/>
  <c r="A49341" i="1"/>
  <c r="A49342" i="1"/>
  <c r="A49343" i="1"/>
  <c r="A49344" i="1"/>
  <c r="A49345" i="1"/>
  <c r="A49346" i="1"/>
  <c r="A49347" i="1"/>
  <c r="A49348" i="1"/>
  <c r="A49349" i="1"/>
  <c r="A49350" i="1"/>
  <c r="A49351" i="1"/>
  <c r="A49352" i="1"/>
  <c r="A49353" i="1"/>
  <c r="A49354" i="1"/>
  <c r="A49355" i="1"/>
  <c r="A49356" i="1"/>
  <c r="A49357" i="1"/>
  <c r="A49358" i="1"/>
  <c r="A49359" i="1"/>
  <c r="A49360" i="1"/>
  <c r="A49361" i="1"/>
  <c r="A49362" i="1"/>
  <c r="A49363" i="1"/>
  <c r="A49364" i="1"/>
  <c r="A49365" i="1"/>
  <c r="A49366" i="1"/>
  <c r="A49367" i="1"/>
  <c r="A49368" i="1"/>
  <c r="A49369" i="1"/>
  <c r="A49370" i="1"/>
  <c r="A49371" i="1"/>
  <c r="A49372" i="1"/>
  <c r="A49373" i="1"/>
  <c r="A49374" i="1"/>
  <c r="A49375" i="1"/>
  <c r="A49376" i="1"/>
  <c r="A49377" i="1"/>
  <c r="A49378" i="1"/>
  <c r="A49379" i="1"/>
  <c r="A49380" i="1"/>
  <c r="A49381" i="1"/>
  <c r="A49382" i="1"/>
  <c r="A49383" i="1"/>
  <c r="A49384" i="1"/>
  <c r="A49385" i="1"/>
  <c r="A49386" i="1"/>
  <c r="A49387" i="1"/>
  <c r="A49388" i="1"/>
  <c r="A49389" i="1"/>
  <c r="A49390" i="1"/>
  <c r="A49391" i="1"/>
  <c r="A49392" i="1"/>
  <c r="A49393" i="1"/>
  <c r="A49394" i="1"/>
  <c r="A49395" i="1"/>
  <c r="A49396" i="1"/>
  <c r="A49397" i="1"/>
  <c r="A49398" i="1"/>
  <c r="A49399" i="1"/>
  <c r="A49400" i="1"/>
  <c r="A49401" i="1"/>
  <c r="A49402" i="1"/>
  <c r="A49403" i="1"/>
  <c r="A49404" i="1"/>
  <c r="A49405" i="1"/>
  <c r="A49406" i="1"/>
  <c r="A49407" i="1"/>
  <c r="A49408" i="1"/>
  <c r="A49409" i="1"/>
  <c r="A49410" i="1"/>
  <c r="A49411" i="1"/>
  <c r="A49412" i="1"/>
  <c r="A49413" i="1"/>
  <c r="A49414" i="1"/>
  <c r="A49415" i="1"/>
  <c r="A49416" i="1"/>
  <c r="A49417" i="1"/>
  <c r="A49418" i="1"/>
  <c r="A49419" i="1"/>
  <c r="A49420" i="1"/>
  <c r="A49421" i="1"/>
  <c r="A49422" i="1"/>
  <c r="A49423" i="1"/>
  <c r="A49424" i="1"/>
  <c r="A49425" i="1"/>
  <c r="A49426" i="1"/>
  <c r="A49427" i="1"/>
  <c r="A49428" i="1"/>
  <c r="A49429" i="1"/>
  <c r="A49430" i="1"/>
  <c r="A49431" i="1"/>
  <c r="A49432" i="1"/>
  <c r="A49433" i="1"/>
  <c r="A49434" i="1"/>
  <c r="A49435" i="1"/>
  <c r="A49436" i="1"/>
  <c r="A49437" i="1"/>
  <c r="A49438" i="1"/>
  <c r="A49439" i="1"/>
  <c r="A49440" i="1"/>
  <c r="A49441" i="1"/>
  <c r="A49442" i="1"/>
  <c r="A49443" i="1"/>
  <c r="A49444" i="1"/>
  <c r="A49445" i="1"/>
  <c r="A49446" i="1"/>
  <c r="A49447" i="1"/>
  <c r="A49448" i="1"/>
  <c r="A49449" i="1"/>
  <c r="A49450" i="1"/>
  <c r="A49451" i="1"/>
  <c r="A49452" i="1"/>
  <c r="A49453" i="1"/>
  <c r="A49454" i="1"/>
  <c r="A49455" i="1"/>
  <c r="A49456" i="1"/>
  <c r="A49457" i="1"/>
  <c r="A49458" i="1"/>
  <c r="A49459" i="1"/>
  <c r="A49460" i="1"/>
  <c r="A49461" i="1"/>
  <c r="A49462" i="1"/>
  <c r="A49463" i="1"/>
  <c r="A49464" i="1"/>
  <c r="A49465" i="1"/>
  <c r="A49466" i="1"/>
  <c r="A49467" i="1"/>
  <c r="A49468" i="1"/>
  <c r="A49469" i="1"/>
  <c r="A49470" i="1"/>
  <c r="A49471" i="1"/>
  <c r="A49472" i="1"/>
  <c r="A49473" i="1"/>
  <c r="A49474" i="1"/>
  <c r="A49475" i="1"/>
  <c r="A49476" i="1"/>
  <c r="A49477" i="1"/>
  <c r="A49478" i="1"/>
  <c r="A49479" i="1"/>
  <c r="A49480" i="1"/>
  <c r="A49481" i="1"/>
  <c r="A49482" i="1"/>
  <c r="A49483" i="1"/>
  <c r="A49484" i="1"/>
  <c r="A49485" i="1"/>
  <c r="A49486" i="1"/>
  <c r="A49487" i="1"/>
  <c r="A49488" i="1"/>
  <c r="A49489" i="1"/>
  <c r="A49490" i="1"/>
  <c r="A49491" i="1"/>
  <c r="A49492" i="1"/>
  <c r="A49493" i="1"/>
  <c r="A49494" i="1"/>
  <c r="A49495" i="1"/>
  <c r="A49496" i="1"/>
  <c r="A49497" i="1"/>
  <c r="A49498" i="1"/>
  <c r="A49499" i="1"/>
  <c r="A49500" i="1"/>
  <c r="A49501" i="1"/>
  <c r="A49502" i="1"/>
  <c r="A49503" i="1"/>
  <c r="A49504" i="1"/>
  <c r="A49505" i="1"/>
  <c r="A49506" i="1"/>
  <c r="A49507" i="1"/>
  <c r="A49508" i="1"/>
  <c r="A49509" i="1"/>
  <c r="A49510" i="1"/>
  <c r="A49511" i="1"/>
  <c r="A49512" i="1"/>
  <c r="A49513" i="1"/>
  <c r="A49514" i="1"/>
  <c r="A49515" i="1"/>
  <c r="A49516" i="1"/>
  <c r="A49517" i="1"/>
  <c r="A49518" i="1"/>
  <c r="A49519" i="1"/>
  <c r="A49520" i="1"/>
  <c r="A49521" i="1"/>
  <c r="A49522" i="1"/>
  <c r="A49523" i="1"/>
  <c r="A49524" i="1"/>
  <c r="A49525" i="1"/>
  <c r="A49526" i="1"/>
  <c r="A49527" i="1"/>
  <c r="A49528" i="1"/>
  <c r="A49529" i="1"/>
  <c r="A49530" i="1"/>
  <c r="A49531" i="1"/>
  <c r="A49532" i="1"/>
  <c r="A49533" i="1"/>
  <c r="A49534" i="1"/>
  <c r="A49535" i="1"/>
  <c r="A49536" i="1"/>
  <c r="A49537" i="1"/>
  <c r="A49538" i="1"/>
  <c r="A49539" i="1"/>
  <c r="A49540" i="1"/>
  <c r="A49541" i="1"/>
  <c r="A49542" i="1"/>
  <c r="A49543" i="1"/>
  <c r="A49544" i="1"/>
  <c r="A49545" i="1"/>
  <c r="A49546" i="1"/>
  <c r="A49547" i="1"/>
  <c r="A49548" i="1"/>
  <c r="A49549" i="1"/>
  <c r="A49550" i="1"/>
  <c r="A49551" i="1"/>
  <c r="A49552" i="1"/>
  <c r="A49553" i="1"/>
  <c r="A49554" i="1"/>
  <c r="A49555" i="1"/>
  <c r="A49556" i="1"/>
  <c r="A49557" i="1"/>
  <c r="A49558" i="1"/>
  <c r="A49559" i="1"/>
  <c r="A49560" i="1"/>
  <c r="A49561" i="1"/>
  <c r="A49562" i="1"/>
  <c r="A49563" i="1"/>
  <c r="A49564" i="1"/>
  <c r="A49565" i="1"/>
  <c r="A49566" i="1"/>
  <c r="A49567" i="1"/>
  <c r="A49568" i="1"/>
  <c r="A49569" i="1"/>
  <c r="A49570" i="1"/>
  <c r="A49571" i="1"/>
  <c r="A49572" i="1"/>
  <c r="A49573" i="1"/>
  <c r="A49574" i="1"/>
  <c r="A49575" i="1"/>
  <c r="A49576" i="1"/>
  <c r="A49577" i="1"/>
  <c r="A49578" i="1"/>
  <c r="A49579" i="1"/>
  <c r="A49580" i="1"/>
  <c r="A49581" i="1"/>
  <c r="A49582" i="1"/>
  <c r="A49583" i="1"/>
  <c r="A49584" i="1"/>
  <c r="A49585" i="1"/>
  <c r="A49586" i="1"/>
  <c r="A49587" i="1"/>
  <c r="A49588" i="1"/>
  <c r="A49589" i="1"/>
  <c r="A49590" i="1"/>
  <c r="A49591" i="1"/>
  <c r="A49592" i="1"/>
  <c r="A49593" i="1"/>
  <c r="A49594" i="1"/>
  <c r="A49595" i="1"/>
  <c r="A49596" i="1"/>
  <c r="A49597" i="1"/>
  <c r="A49598" i="1"/>
  <c r="A49599" i="1"/>
  <c r="A49600" i="1"/>
  <c r="A49601" i="1"/>
  <c r="A49602" i="1"/>
  <c r="A49603" i="1"/>
  <c r="A49604" i="1"/>
  <c r="A49605" i="1"/>
  <c r="A49606" i="1"/>
  <c r="A49607" i="1"/>
  <c r="A49608" i="1"/>
  <c r="A49609" i="1"/>
  <c r="A49610" i="1"/>
  <c r="A49611" i="1"/>
  <c r="A49612" i="1"/>
  <c r="A49613" i="1"/>
  <c r="A49614" i="1"/>
  <c r="A49615" i="1"/>
  <c r="A49616" i="1"/>
  <c r="A49617" i="1"/>
  <c r="A49618" i="1"/>
  <c r="A49619" i="1"/>
  <c r="A49620" i="1"/>
  <c r="A49621" i="1"/>
  <c r="A49622" i="1"/>
  <c r="A49623" i="1"/>
  <c r="A49624" i="1"/>
  <c r="A49625" i="1"/>
  <c r="A49626" i="1"/>
  <c r="A49627" i="1"/>
  <c r="A49628" i="1"/>
  <c r="A49629" i="1"/>
  <c r="A49630" i="1"/>
  <c r="A49631" i="1"/>
  <c r="A49632" i="1"/>
  <c r="A49633" i="1"/>
  <c r="A49634" i="1"/>
  <c r="A49635" i="1"/>
  <c r="A49636" i="1"/>
  <c r="A49637" i="1"/>
  <c r="A49638" i="1"/>
  <c r="A49639" i="1"/>
  <c r="A49640" i="1"/>
  <c r="A49641" i="1"/>
  <c r="A49642" i="1"/>
  <c r="A49643" i="1"/>
  <c r="A49644" i="1"/>
  <c r="A49645" i="1"/>
  <c r="A49646" i="1"/>
  <c r="A49647" i="1"/>
  <c r="A49648" i="1"/>
  <c r="A49649" i="1"/>
  <c r="A49650" i="1"/>
  <c r="A49651" i="1"/>
  <c r="A49652" i="1"/>
  <c r="A49653" i="1"/>
  <c r="A49654" i="1"/>
  <c r="A49655" i="1"/>
  <c r="A49656" i="1"/>
  <c r="A49657" i="1"/>
  <c r="A49658" i="1"/>
  <c r="A49659" i="1"/>
  <c r="A49660" i="1"/>
  <c r="A49661" i="1"/>
  <c r="A49662" i="1"/>
  <c r="A49663" i="1"/>
  <c r="A49664" i="1"/>
  <c r="A49665" i="1"/>
  <c r="A49666" i="1"/>
  <c r="A49667" i="1"/>
  <c r="A49668" i="1"/>
  <c r="A49669" i="1"/>
  <c r="A49670" i="1"/>
  <c r="A49671" i="1"/>
  <c r="A49672" i="1"/>
  <c r="A49673" i="1"/>
  <c r="A49674" i="1"/>
  <c r="A49675" i="1"/>
  <c r="A49676" i="1"/>
  <c r="A49677" i="1"/>
  <c r="A49678" i="1"/>
  <c r="A49679" i="1"/>
  <c r="A49680" i="1"/>
  <c r="A49681" i="1"/>
  <c r="A49682" i="1"/>
  <c r="A49683" i="1"/>
  <c r="A49684" i="1"/>
  <c r="A49685" i="1"/>
  <c r="A49686" i="1"/>
  <c r="A49687" i="1"/>
  <c r="A49688" i="1"/>
  <c r="A49689" i="1"/>
  <c r="A49690" i="1"/>
  <c r="A49691" i="1"/>
  <c r="A49692" i="1"/>
  <c r="A49693" i="1"/>
  <c r="A49694" i="1"/>
  <c r="A49695" i="1"/>
  <c r="A49696" i="1"/>
  <c r="A49697" i="1"/>
  <c r="A49698" i="1"/>
  <c r="A49699" i="1"/>
  <c r="A49700" i="1"/>
  <c r="A49701" i="1"/>
  <c r="A49702" i="1"/>
  <c r="A49703" i="1"/>
  <c r="A49704" i="1"/>
  <c r="A49705" i="1"/>
  <c r="A49706" i="1"/>
  <c r="A49707" i="1"/>
  <c r="A49708" i="1"/>
  <c r="A49709" i="1"/>
  <c r="A49710" i="1"/>
  <c r="A49711" i="1"/>
  <c r="A49712" i="1"/>
  <c r="A49713" i="1"/>
  <c r="A49714" i="1"/>
  <c r="A49715" i="1"/>
  <c r="A49716" i="1"/>
  <c r="A49717" i="1"/>
  <c r="A49718" i="1"/>
  <c r="A49719" i="1"/>
  <c r="A49720" i="1"/>
  <c r="A49721" i="1"/>
  <c r="A49722" i="1"/>
  <c r="A49723" i="1"/>
  <c r="A49724" i="1"/>
  <c r="A49725" i="1"/>
  <c r="A49726" i="1"/>
  <c r="A49727" i="1"/>
  <c r="A49728" i="1"/>
  <c r="A49729" i="1"/>
  <c r="A49730" i="1"/>
  <c r="A49731" i="1"/>
  <c r="A49732" i="1"/>
  <c r="A49733" i="1"/>
  <c r="A49734" i="1"/>
  <c r="A49735" i="1"/>
  <c r="A49736" i="1"/>
  <c r="A49737" i="1"/>
  <c r="A49738" i="1"/>
  <c r="A49739" i="1"/>
  <c r="A49740" i="1"/>
  <c r="A49741" i="1"/>
  <c r="A49742" i="1"/>
  <c r="A49743" i="1"/>
  <c r="A49744" i="1"/>
  <c r="A49745" i="1"/>
  <c r="A49746" i="1"/>
  <c r="A49747" i="1"/>
  <c r="A49748" i="1"/>
  <c r="A49749" i="1"/>
  <c r="A49750" i="1"/>
  <c r="A49751" i="1"/>
  <c r="A49752" i="1"/>
  <c r="A49753" i="1"/>
  <c r="A49754" i="1"/>
  <c r="A49755" i="1"/>
  <c r="A49756" i="1"/>
  <c r="A49757" i="1"/>
  <c r="A49758" i="1"/>
  <c r="A49759" i="1"/>
  <c r="A49760" i="1"/>
  <c r="A49761" i="1"/>
  <c r="A49762" i="1"/>
  <c r="A49763" i="1"/>
  <c r="A49764" i="1"/>
  <c r="A49765" i="1"/>
  <c r="A49766" i="1"/>
  <c r="A49767" i="1"/>
  <c r="A49768" i="1"/>
  <c r="A49769" i="1"/>
  <c r="A49770" i="1"/>
  <c r="A49771" i="1"/>
  <c r="A49772" i="1"/>
  <c r="A49773" i="1"/>
  <c r="A49774" i="1"/>
  <c r="A49775" i="1"/>
  <c r="A49776" i="1"/>
  <c r="A49777" i="1"/>
  <c r="A49778" i="1"/>
  <c r="A49779" i="1"/>
  <c r="A49780" i="1"/>
  <c r="A49781" i="1"/>
  <c r="A49782" i="1"/>
  <c r="A49783" i="1"/>
  <c r="A49784" i="1"/>
  <c r="A49785" i="1"/>
  <c r="A49786" i="1"/>
  <c r="A49787" i="1"/>
  <c r="A49788" i="1"/>
  <c r="A49789" i="1"/>
  <c r="A49790" i="1"/>
  <c r="A49791" i="1"/>
  <c r="A49792" i="1"/>
  <c r="A49793" i="1"/>
  <c r="A49794" i="1"/>
  <c r="A49795" i="1"/>
  <c r="A49796" i="1"/>
  <c r="A49797" i="1"/>
  <c r="A49798" i="1"/>
  <c r="A49799" i="1"/>
  <c r="A49800" i="1"/>
  <c r="A49801" i="1"/>
  <c r="A49802" i="1"/>
  <c r="A49803" i="1"/>
  <c r="A49804" i="1"/>
  <c r="A49805" i="1"/>
  <c r="A49806" i="1"/>
  <c r="A49807" i="1"/>
  <c r="A49808" i="1"/>
  <c r="A49809" i="1"/>
  <c r="A49810" i="1"/>
  <c r="A49811" i="1"/>
  <c r="A49812" i="1"/>
  <c r="A49813" i="1"/>
  <c r="A49814" i="1"/>
  <c r="A49815" i="1"/>
  <c r="A49816" i="1"/>
  <c r="A49817" i="1"/>
  <c r="A49818" i="1"/>
  <c r="A49819" i="1"/>
  <c r="A49820" i="1"/>
  <c r="A49821" i="1"/>
  <c r="A49822" i="1"/>
  <c r="A49823" i="1"/>
  <c r="A49824" i="1"/>
  <c r="A49825" i="1"/>
  <c r="A49826" i="1"/>
  <c r="A49827" i="1"/>
  <c r="A49828" i="1"/>
  <c r="A49829" i="1"/>
  <c r="A49830" i="1"/>
  <c r="A49831" i="1"/>
  <c r="A49832" i="1"/>
  <c r="A49833" i="1"/>
  <c r="A49834" i="1"/>
  <c r="A49835" i="1"/>
  <c r="A49836" i="1"/>
  <c r="A49837" i="1"/>
  <c r="A49838" i="1"/>
  <c r="A49839" i="1"/>
  <c r="A49840" i="1"/>
  <c r="A49841" i="1"/>
  <c r="A49842" i="1"/>
  <c r="A49843" i="1"/>
  <c r="A49844" i="1"/>
  <c r="A49845" i="1"/>
  <c r="A49846" i="1"/>
  <c r="A49847" i="1"/>
  <c r="A49848" i="1"/>
  <c r="A49849" i="1"/>
  <c r="A49850" i="1"/>
  <c r="A49851" i="1"/>
  <c r="A49852" i="1"/>
  <c r="A49853" i="1"/>
  <c r="A49854" i="1"/>
  <c r="A49855" i="1"/>
  <c r="A49856" i="1"/>
  <c r="A49857" i="1"/>
  <c r="A49858" i="1"/>
  <c r="A49859" i="1"/>
  <c r="A49860" i="1"/>
  <c r="A49861" i="1"/>
  <c r="A49862" i="1"/>
  <c r="A49863" i="1"/>
  <c r="A49864" i="1"/>
  <c r="A49865" i="1"/>
  <c r="A49866" i="1"/>
  <c r="A49867" i="1"/>
  <c r="A49868" i="1"/>
  <c r="A49869" i="1"/>
  <c r="A49870" i="1"/>
  <c r="A49871" i="1"/>
  <c r="A49872" i="1"/>
  <c r="A49873" i="1"/>
  <c r="A49874" i="1"/>
  <c r="A49875" i="1"/>
  <c r="A49876" i="1"/>
  <c r="A49877" i="1"/>
  <c r="A49878" i="1"/>
  <c r="A49879" i="1"/>
  <c r="A49880" i="1"/>
  <c r="A49881" i="1"/>
  <c r="A49882" i="1"/>
  <c r="A49883" i="1"/>
  <c r="A49884" i="1"/>
  <c r="A49885" i="1"/>
  <c r="A49886" i="1"/>
  <c r="A49887" i="1"/>
  <c r="A49888" i="1"/>
  <c r="A49889" i="1"/>
  <c r="A49890" i="1"/>
  <c r="A49891" i="1"/>
  <c r="A49892" i="1"/>
  <c r="A49893" i="1"/>
  <c r="A49894" i="1"/>
  <c r="A49895" i="1"/>
  <c r="A49896" i="1"/>
  <c r="A49897" i="1"/>
  <c r="A49898" i="1"/>
  <c r="A49899" i="1"/>
  <c r="A49900" i="1"/>
  <c r="A49901" i="1"/>
  <c r="A49902" i="1"/>
  <c r="A49903" i="1"/>
  <c r="A49904" i="1"/>
  <c r="A49905" i="1"/>
  <c r="A49906" i="1"/>
  <c r="A49907" i="1"/>
  <c r="A49908" i="1"/>
  <c r="A49909" i="1"/>
  <c r="A49910" i="1"/>
  <c r="A49911" i="1"/>
  <c r="A49912" i="1"/>
  <c r="A49913" i="1"/>
  <c r="A49914" i="1"/>
  <c r="A49915" i="1"/>
  <c r="A49916" i="1"/>
  <c r="A49917" i="1"/>
  <c r="A49918" i="1"/>
  <c r="A49919" i="1"/>
  <c r="A49920" i="1"/>
  <c r="A49921" i="1"/>
  <c r="A49922" i="1"/>
  <c r="A49923" i="1"/>
  <c r="A49924" i="1"/>
  <c r="A49925" i="1"/>
  <c r="A49926" i="1"/>
  <c r="A49927" i="1"/>
  <c r="A49928" i="1"/>
  <c r="A49929" i="1"/>
  <c r="A49930" i="1"/>
  <c r="A49931" i="1"/>
  <c r="A49932" i="1"/>
  <c r="A49933" i="1"/>
  <c r="A49934" i="1"/>
  <c r="A49935" i="1"/>
  <c r="A49936" i="1"/>
  <c r="A49937" i="1"/>
  <c r="A49938" i="1"/>
  <c r="A49939" i="1"/>
  <c r="A49940" i="1"/>
  <c r="A49941" i="1"/>
  <c r="A49942" i="1"/>
  <c r="A49943" i="1"/>
  <c r="A49944" i="1"/>
  <c r="A49945" i="1"/>
  <c r="A49946" i="1"/>
  <c r="A49947" i="1"/>
  <c r="A49948" i="1"/>
  <c r="A49949" i="1"/>
  <c r="A49950" i="1"/>
  <c r="A49951" i="1"/>
  <c r="A49952" i="1"/>
  <c r="A49953" i="1"/>
  <c r="A49954" i="1"/>
  <c r="A49955" i="1"/>
  <c r="A49956" i="1"/>
  <c r="A49957" i="1"/>
  <c r="A49958" i="1"/>
  <c r="A49959" i="1"/>
  <c r="A49960" i="1"/>
  <c r="A49961" i="1"/>
  <c r="A49962" i="1"/>
  <c r="A49963" i="1"/>
  <c r="A49964" i="1"/>
  <c r="A49965" i="1"/>
  <c r="A49966" i="1"/>
  <c r="A49967" i="1"/>
  <c r="A49968" i="1"/>
  <c r="A49969" i="1"/>
  <c r="A49970" i="1"/>
  <c r="A49971" i="1"/>
  <c r="A49972" i="1"/>
  <c r="A49973" i="1"/>
  <c r="A49974" i="1"/>
  <c r="A49975" i="1"/>
  <c r="A49976" i="1"/>
  <c r="A49977" i="1"/>
  <c r="A49978" i="1"/>
  <c r="A49979" i="1"/>
  <c r="A49980" i="1"/>
  <c r="A49981" i="1"/>
  <c r="A49982" i="1"/>
  <c r="A49983" i="1"/>
  <c r="A49984" i="1"/>
  <c r="A49985" i="1"/>
  <c r="A49986" i="1"/>
  <c r="A49987" i="1"/>
  <c r="A49988" i="1"/>
  <c r="A49989" i="1"/>
  <c r="A49990" i="1"/>
  <c r="A49991" i="1"/>
  <c r="A49992" i="1"/>
  <c r="A49993" i="1"/>
  <c r="A49994" i="1"/>
  <c r="A49995" i="1"/>
  <c r="A49996" i="1"/>
  <c r="A49997" i="1"/>
  <c r="A49998" i="1"/>
  <c r="A49999" i="1"/>
  <c r="A25000" i="1"/>
  <c r="A24999" i="1"/>
  <c r="A24998" i="1"/>
  <c r="A24997" i="1"/>
  <c r="A24996" i="1"/>
  <c r="A24995" i="1"/>
  <c r="A24994" i="1"/>
  <c r="A24993" i="1"/>
  <c r="A24992" i="1"/>
  <c r="A24991" i="1"/>
  <c r="A24990" i="1"/>
  <c r="A24989" i="1"/>
  <c r="A24988" i="1"/>
  <c r="A24987" i="1"/>
  <c r="A24986" i="1"/>
  <c r="A24985" i="1"/>
  <c r="A24984" i="1"/>
  <c r="A24983" i="1"/>
  <c r="A24982" i="1"/>
  <c r="A24981" i="1"/>
  <c r="A24980" i="1"/>
  <c r="A24979" i="1"/>
  <c r="A24978" i="1"/>
  <c r="A24977" i="1"/>
  <c r="A24976" i="1"/>
  <c r="A24975" i="1"/>
  <c r="A24974" i="1"/>
  <c r="A24973" i="1"/>
  <c r="A24972" i="1"/>
  <c r="A24971" i="1"/>
  <c r="A24970" i="1"/>
  <c r="A24969" i="1"/>
  <c r="A24968" i="1"/>
  <c r="A24967" i="1"/>
  <c r="A24966" i="1"/>
  <c r="A24965" i="1"/>
  <c r="A24964" i="1"/>
  <c r="A24963" i="1"/>
  <c r="A24962" i="1"/>
  <c r="A24961" i="1"/>
  <c r="A24960" i="1"/>
  <c r="A24959" i="1"/>
  <c r="A24958" i="1"/>
  <c r="A24957" i="1"/>
  <c r="A24956" i="1"/>
  <c r="A24955" i="1"/>
  <c r="A24954" i="1"/>
  <c r="A24953" i="1"/>
  <c r="A24952" i="1"/>
  <c r="A24951" i="1"/>
  <c r="A24950" i="1"/>
  <c r="A24949" i="1"/>
  <c r="A24948" i="1"/>
  <c r="A24947" i="1"/>
  <c r="A24946" i="1"/>
  <c r="A24945" i="1"/>
  <c r="A24944" i="1"/>
  <c r="A24943" i="1"/>
  <c r="A24942" i="1"/>
  <c r="A24941" i="1"/>
  <c r="A24940" i="1"/>
  <c r="A24939" i="1"/>
  <c r="A24938" i="1"/>
  <c r="A24937" i="1"/>
  <c r="A24936" i="1"/>
  <c r="A24935" i="1"/>
  <c r="A24934" i="1"/>
  <c r="A24933" i="1"/>
  <c r="A24932" i="1"/>
  <c r="A24931" i="1"/>
  <c r="A24930" i="1"/>
  <c r="A24929" i="1"/>
  <c r="A24928" i="1"/>
  <c r="A24927" i="1"/>
  <c r="A24926" i="1"/>
  <c r="A24925" i="1"/>
  <c r="A24924" i="1"/>
  <c r="A24923" i="1"/>
  <c r="A24922" i="1"/>
  <c r="A24921" i="1"/>
  <c r="A24920" i="1"/>
  <c r="A24919" i="1"/>
  <c r="A24918" i="1"/>
  <c r="A24917" i="1"/>
  <c r="A24916" i="1"/>
  <c r="A24915" i="1"/>
  <c r="A24914" i="1"/>
  <c r="A24913" i="1"/>
  <c r="A24912" i="1"/>
  <c r="A24911" i="1"/>
  <c r="A24910" i="1"/>
  <c r="A24909" i="1"/>
  <c r="A24908" i="1"/>
  <c r="A24907" i="1"/>
  <c r="A24906" i="1"/>
  <c r="A24905" i="1"/>
  <c r="A24904" i="1"/>
  <c r="A24903" i="1"/>
  <c r="A24902" i="1"/>
  <c r="A24901" i="1"/>
  <c r="A24900" i="1"/>
  <c r="A24899" i="1"/>
  <c r="A24898" i="1"/>
  <c r="A24897" i="1"/>
  <c r="A24896" i="1"/>
  <c r="A24895" i="1"/>
  <c r="A24894" i="1"/>
  <c r="A24893" i="1"/>
  <c r="A24892" i="1"/>
  <c r="A24891" i="1"/>
  <c r="A24890" i="1"/>
  <c r="A24889" i="1"/>
  <c r="A24888" i="1"/>
  <c r="A24887" i="1"/>
  <c r="A24886" i="1"/>
  <c r="A24885" i="1"/>
  <c r="A24884" i="1"/>
  <c r="A24883" i="1"/>
  <c r="A24882" i="1"/>
  <c r="A24881" i="1"/>
  <c r="A24880" i="1"/>
  <c r="A24879" i="1"/>
  <c r="A24878" i="1"/>
  <c r="A24877" i="1"/>
  <c r="A24876" i="1"/>
  <c r="A24875" i="1"/>
  <c r="A24874" i="1"/>
  <c r="A24873" i="1"/>
  <c r="A24872" i="1"/>
  <c r="A24871" i="1"/>
  <c r="A24870" i="1"/>
  <c r="A24869" i="1"/>
  <c r="A24868" i="1"/>
  <c r="A24867" i="1"/>
  <c r="A24866" i="1"/>
  <c r="A24865" i="1"/>
  <c r="A24864" i="1"/>
  <c r="A24863" i="1"/>
  <c r="A24862" i="1"/>
  <c r="A24861" i="1"/>
  <c r="A24860" i="1"/>
  <c r="A24859" i="1"/>
  <c r="A24858" i="1"/>
  <c r="A24857" i="1"/>
  <c r="A24856" i="1"/>
  <c r="A24855" i="1"/>
  <c r="A24854" i="1"/>
  <c r="A24853" i="1"/>
  <c r="A24852" i="1"/>
  <c r="A24851" i="1"/>
  <c r="A24850" i="1"/>
  <c r="A24849" i="1"/>
  <c r="A24848" i="1"/>
  <c r="A24847" i="1"/>
  <c r="A24846" i="1"/>
  <c r="A24845" i="1"/>
  <c r="A24844" i="1"/>
  <c r="A24843" i="1"/>
  <c r="A24842" i="1"/>
  <c r="A24841" i="1"/>
  <c r="A24840" i="1"/>
  <c r="A24839" i="1"/>
  <c r="A24838" i="1"/>
  <c r="A24837" i="1"/>
  <c r="A24836" i="1"/>
  <c r="A24835" i="1"/>
  <c r="A24834" i="1"/>
  <c r="A24833" i="1"/>
  <c r="A24832" i="1"/>
  <c r="A24831" i="1"/>
  <c r="A24830" i="1"/>
  <c r="A24829" i="1"/>
  <c r="A24828" i="1"/>
  <c r="A24827" i="1"/>
  <c r="A24826" i="1"/>
  <c r="A24825" i="1"/>
  <c r="A24824" i="1"/>
  <c r="A24823" i="1"/>
  <c r="A24822" i="1"/>
  <c r="A24821" i="1"/>
  <c r="A24820" i="1"/>
  <c r="A24819" i="1"/>
  <c r="A24818" i="1"/>
  <c r="A24817" i="1"/>
  <c r="A24816" i="1"/>
  <c r="A24815" i="1"/>
  <c r="A24814" i="1"/>
  <c r="A24813" i="1"/>
  <c r="A24812" i="1"/>
  <c r="A24811" i="1"/>
  <c r="A24810" i="1"/>
  <c r="A24809" i="1"/>
  <c r="A24808" i="1"/>
  <c r="A24807" i="1"/>
  <c r="A24806" i="1"/>
  <c r="A24805" i="1"/>
  <c r="A24804" i="1"/>
  <c r="A24803" i="1"/>
  <c r="A24802" i="1"/>
  <c r="A24801" i="1"/>
  <c r="A24800" i="1"/>
  <c r="A24799" i="1"/>
  <c r="A24798" i="1"/>
  <c r="A24797" i="1"/>
  <c r="A24796" i="1"/>
  <c r="A24795" i="1"/>
  <c r="A24794" i="1"/>
  <c r="A24793" i="1"/>
  <c r="A24792" i="1"/>
  <c r="A24791" i="1"/>
  <c r="A24790" i="1"/>
  <c r="A24789" i="1"/>
  <c r="A24788" i="1"/>
  <c r="A24787" i="1"/>
  <c r="A24786" i="1"/>
  <c r="A24785" i="1"/>
  <c r="A24784" i="1"/>
  <c r="A24783" i="1"/>
  <c r="A24782" i="1"/>
  <c r="A24781" i="1"/>
  <c r="A24780" i="1"/>
  <c r="A24779" i="1"/>
  <c r="A24778" i="1"/>
  <c r="A24777" i="1"/>
  <c r="A24776" i="1"/>
  <c r="A24775" i="1"/>
  <c r="A24774" i="1"/>
  <c r="A24773" i="1"/>
  <c r="A24772" i="1"/>
  <c r="A24771" i="1"/>
  <c r="A24770" i="1"/>
  <c r="A24769" i="1"/>
  <c r="A24768" i="1"/>
  <c r="A24767" i="1"/>
  <c r="A24766" i="1"/>
  <c r="A24765" i="1"/>
  <c r="A24764" i="1"/>
  <c r="A24763" i="1"/>
  <c r="A24762" i="1"/>
  <c r="A24761" i="1"/>
  <c r="A24760" i="1"/>
  <c r="A24759" i="1"/>
  <c r="A24758" i="1"/>
  <c r="A24757" i="1"/>
  <c r="A24756" i="1"/>
  <c r="A24755" i="1"/>
  <c r="A24754" i="1"/>
  <c r="A24753" i="1"/>
  <c r="A24752" i="1"/>
  <c r="A24751" i="1"/>
  <c r="A24750" i="1"/>
  <c r="A24749" i="1"/>
  <c r="A24748" i="1"/>
  <c r="A24747" i="1"/>
  <c r="A24746" i="1"/>
  <c r="A24745" i="1"/>
  <c r="A24744" i="1"/>
  <c r="A24743" i="1"/>
  <c r="A24742" i="1"/>
  <c r="A24741" i="1"/>
  <c r="A24740" i="1"/>
  <c r="A24739" i="1"/>
  <c r="A24738" i="1"/>
  <c r="A24737" i="1"/>
  <c r="A24736" i="1"/>
  <c r="A24735" i="1"/>
  <c r="A24734" i="1"/>
  <c r="A24733" i="1"/>
  <c r="A24732" i="1"/>
  <c r="A24731" i="1"/>
  <c r="A24730" i="1"/>
  <c r="A24729" i="1"/>
  <c r="A24728" i="1"/>
  <c r="A24727" i="1"/>
  <c r="A24726" i="1"/>
  <c r="A24725" i="1"/>
  <c r="A24724" i="1"/>
  <c r="A24723" i="1"/>
  <c r="A24722" i="1"/>
  <c r="A24721" i="1"/>
  <c r="A24720" i="1"/>
  <c r="A24719" i="1"/>
  <c r="A24718" i="1"/>
  <c r="A24717" i="1"/>
  <c r="A24716" i="1"/>
  <c r="A24715" i="1"/>
  <c r="A24714" i="1"/>
  <c r="A24713" i="1"/>
  <c r="A24712" i="1"/>
  <c r="A24711" i="1"/>
  <c r="A24710" i="1"/>
  <c r="A24709" i="1"/>
  <c r="A24708" i="1"/>
  <c r="A24707" i="1"/>
  <c r="A24706" i="1"/>
  <c r="A24705" i="1"/>
  <c r="A24704" i="1"/>
  <c r="A24703" i="1"/>
  <c r="A24702" i="1"/>
  <c r="A24701" i="1"/>
  <c r="A24700" i="1"/>
  <c r="A24699" i="1"/>
  <c r="A24698" i="1"/>
  <c r="A24697" i="1"/>
  <c r="A24696" i="1"/>
  <c r="A24695" i="1"/>
  <c r="A24694" i="1"/>
  <c r="A24693" i="1"/>
  <c r="A24692" i="1"/>
  <c r="A24691" i="1"/>
  <c r="A24690" i="1"/>
  <c r="A24689" i="1"/>
  <c r="A24688" i="1"/>
  <c r="A24687" i="1"/>
  <c r="A24686" i="1"/>
  <c r="A24685" i="1"/>
  <c r="A24684" i="1"/>
  <c r="A24683" i="1"/>
  <c r="A24682" i="1"/>
  <c r="A24681" i="1"/>
  <c r="A24680" i="1"/>
  <c r="A24679" i="1"/>
  <c r="A24678" i="1"/>
  <c r="A24677" i="1"/>
  <c r="A24676" i="1"/>
  <c r="A24675" i="1"/>
  <c r="A24674" i="1"/>
  <c r="A24673" i="1"/>
  <c r="A24672" i="1"/>
  <c r="A24671" i="1"/>
  <c r="A24670" i="1"/>
  <c r="A24669" i="1"/>
  <c r="A24668" i="1"/>
  <c r="A24667" i="1"/>
  <c r="A24666" i="1"/>
  <c r="A24665" i="1"/>
  <c r="A24664" i="1"/>
  <c r="A24663" i="1"/>
  <c r="A24662" i="1"/>
  <c r="A24661" i="1"/>
  <c r="A24660" i="1"/>
  <c r="A24659" i="1"/>
  <c r="A24658" i="1"/>
  <c r="A24657" i="1"/>
  <c r="A24656" i="1"/>
  <c r="A24655" i="1"/>
  <c r="A24654" i="1"/>
  <c r="A24653" i="1"/>
  <c r="A24652" i="1"/>
  <c r="A24651" i="1"/>
  <c r="A24650" i="1"/>
  <c r="A24649" i="1"/>
  <c r="A24648" i="1"/>
  <c r="A24647" i="1"/>
  <c r="A24646" i="1"/>
  <c r="A24645" i="1"/>
  <c r="A24644" i="1"/>
  <c r="A24643" i="1"/>
  <c r="A24642" i="1"/>
  <c r="A24641" i="1"/>
  <c r="A24640" i="1"/>
  <c r="A24639" i="1"/>
  <c r="A24638" i="1"/>
  <c r="A24637" i="1"/>
  <c r="A24636" i="1"/>
  <c r="A24635" i="1"/>
  <c r="A24634" i="1"/>
  <c r="A24633" i="1"/>
  <c r="A24632" i="1"/>
  <c r="A24631" i="1"/>
  <c r="A24630" i="1"/>
  <c r="A24629" i="1"/>
  <c r="A24628" i="1"/>
  <c r="A24627" i="1"/>
  <c r="A24626" i="1"/>
  <c r="A24625" i="1"/>
  <c r="A24624" i="1"/>
  <c r="A24623" i="1"/>
  <c r="A24622" i="1"/>
  <c r="A24621" i="1"/>
  <c r="A24620" i="1"/>
  <c r="A24619" i="1"/>
  <c r="A24618" i="1"/>
  <c r="A24617" i="1"/>
  <c r="A24616" i="1"/>
  <c r="A24615" i="1"/>
  <c r="A24614" i="1"/>
  <c r="A24613" i="1"/>
  <c r="A24612" i="1"/>
  <c r="A24611" i="1"/>
  <c r="A24610" i="1"/>
  <c r="A24609" i="1"/>
  <c r="A24608" i="1"/>
  <c r="A24607" i="1"/>
  <c r="A24606" i="1"/>
  <c r="A24605" i="1"/>
  <c r="A24604" i="1"/>
  <c r="A24603" i="1"/>
  <c r="A24602" i="1"/>
  <c r="A24601" i="1"/>
  <c r="A24600" i="1"/>
  <c r="A24599" i="1"/>
  <c r="A24598" i="1"/>
  <c r="A24597" i="1"/>
  <c r="A24596" i="1"/>
  <c r="A24595" i="1"/>
  <c r="A24594" i="1"/>
  <c r="A24593" i="1"/>
  <c r="A24592" i="1"/>
  <c r="A24591" i="1"/>
  <c r="A24590" i="1"/>
  <c r="A24589" i="1"/>
  <c r="A24588" i="1"/>
  <c r="A24587" i="1"/>
  <c r="A24586" i="1"/>
  <c r="A24585" i="1"/>
  <c r="A24584" i="1"/>
  <c r="A24583" i="1"/>
  <c r="A24582" i="1"/>
  <c r="A24581" i="1"/>
  <c r="A24580" i="1"/>
  <c r="A24579" i="1"/>
  <c r="A24578" i="1"/>
  <c r="A24577" i="1"/>
  <c r="A24576" i="1"/>
  <c r="A24575" i="1"/>
  <c r="A24574" i="1"/>
  <c r="A24573" i="1"/>
  <c r="A24572" i="1"/>
  <c r="A24571" i="1"/>
  <c r="A24570" i="1"/>
  <c r="A24569" i="1"/>
  <c r="A24568" i="1"/>
  <c r="A24567" i="1"/>
  <c r="A24566" i="1"/>
  <c r="A24565" i="1"/>
  <c r="A24564" i="1"/>
  <c r="A24563" i="1"/>
  <c r="A24562" i="1"/>
  <c r="A24561" i="1"/>
  <c r="A24560" i="1"/>
  <c r="A24559" i="1"/>
  <c r="A24558" i="1"/>
  <c r="A24557" i="1"/>
  <c r="A24556" i="1"/>
  <c r="A24555" i="1"/>
  <c r="A24554" i="1"/>
  <c r="A24553" i="1"/>
  <c r="A24552" i="1"/>
  <c r="A24551" i="1"/>
  <c r="A24550" i="1"/>
  <c r="A24549" i="1"/>
  <c r="A24548" i="1"/>
  <c r="A24547" i="1"/>
  <c r="A24546" i="1"/>
  <c r="A24545" i="1"/>
  <c r="A24544" i="1"/>
  <c r="A24543" i="1"/>
  <c r="A24542" i="1"/>
  <c r="A24541" i="1"/>
  <c r="A24540" i="1"/>
  <c r="A24539" i="1"/>
  <c r="A24538" i="1"/>
  <c r="A24537" i="1"/>
  <c r="A24536" i="1"/>
  <c r="A24535" i="1"/>
  <c r="A24534" i="1"/>
  <c r="A24533" i="1"/>
  <c r="A24532" i="1"/>
  <c r="A24531" i="1"/>
  <c r="A24530" i="1"/>
  <c r="A24529" i="1"/>
  <c r="A24528" i="1"/>
  <c r="A24527" i="1"/>
  <c r="A24526" i="1"/>
  <c r="A24525" i="1"/>
  <c r="A24524" i="1"/>
  <c r="A24523" i="1"/>
  <c r="A24522" i="1"/>
  <c r="A24521" i="1"/>
  <c r="A24520" i="1"/>
  <c r="A24519" i="1"/>
  <c r="A24518" i="1"/>
  <c r="A24517" i="1"/>
  <c r="A24516" i="1"/>
  <c r="A24515" i="1"/>
  <c r="A24514" i="1"/>
  <c r="A24513" i="1"/>
  <c r="A24512" i="1"/>
  <c r="A24511" i="1"/>
  <c r="A24510" i="1"/>
  <c r="A24509" i="1"/>
  <c r="A24508" i="1"/>
  <c r="A24507" i="1"/>
  <c r="A24506" i="1"/>
  <c r="A24505" i="1"/>
  <c r="A24504" i="1"/>
  <c r="A24503" i="1"/>
  <c r="A24502" i="1"/>
  <c r="A24501" i="1"/>
  <c r="A24500" i="1"/>
  <c r="A24499" i="1"/>
  <c r="A24498" i="1"/>
  <c r="A24497" i="1"/>
  <c r="A24496" i="1"/>
  <c r="A24495" i="1"/>
  <c r="A24494" i="1"/>
  <c r="A24493" i="1"/>
  <c r="A24492" i="1"/>
  <c r="A24491" i="1"/>
  <c r="A24490" i="1"/>
  <c r="A24489" i="1"/>
  <c r="A24488" i="1"/>
  <c r="A24487" i="1"/>
  <c r="A24486" i="1"/>
  <c r="A24485" i="1"/>
  <c r="A24484" i="1"/>
  <c r="A24483" i="1"/>
  <c r="A24482" i="1"/>
  <c r="A24481" i="1"/>
  <c r="A24480" i="1"/>
  <c r="A24479" i="1"/>
  <c r="A24478" i="1"/>
  <c r="A24477" i="1"/>
  <c r="A24476" i="1"/>
  <c r="A24475" i="1"/>
  <c r="A24474" i="1"/>
  <c r="A24473" i="1"/>
  <c r="A24472" i="1"/>
  <c r="A24471" i="1"/>
  <c r="A24470" i="1"/>
  <c r="A24469" i="1"/>
  <c r="A24468" i="1"/>
  <c r="A24467" i="1"/>
  <c r="A24466" i="1"/>
  <c r="A24465" i="1"/>
  <c r="A24464" i="1"/>
  <c r="A24463" i="1"/>
  <c r="A24462" i="1"/>
  <c r="A24461" i="1"/>
  <c r="A24460" i="1"/>
  <c r="A24459" i="1"/>
  <c r="A24458" i="1"/>
  <c r="A24457" i="1"/>
  <c r="A24456" i="1"/>
  <c r="A24455" i="1"/>
  <c r="A24454" i="1"/>
  <c r="A24453" i="1"/>
  <c r="A24452" i="1"/>
  <c r="A24451" i="1"/>
  <c r="A24450" i="1"/>
  <c r="A24449" i="1"/>
  <c r="A24448" i="1"/>
  <c r="A24447" i="1"/>
  <c r="A24446" i="1"/>
  <c r="A24445" i="1"/>
  <c r="A24444" i="1"/>
  <c r="A24443" i="1"/>
  <c r="A24442" i="1"/>
  <c r="A24441" i="1"/>
  <c r="A24440" i="1"/>
  <c r="A24439" i="1"/>
  <c r="A24438" i="1"/>
  <c r="A24437" i="1"/>
  <c r="A24436" i="1"/>
  <c r="A24435" i="1"/>
  <c r="A24434" i="1"/>
  <c r="A24433" i="1"/>
  <c r="A24432" i="1"/>
  <c r="A24431" i="1"/>
  <c r="A24430" i="1"/>
  <c r="A24429" i="1"/>
  <c r="A24428" i="1"/>
  <c r="A24427" i="1"/>
  <c r="A24426" i="1"/>
  <c r="A24425" i="1"/>
  <c r="A24424" i="1"/>
  <c r="A24423" i="1"/>
  <c r="A24422" i="1"/>
  <c r="A24421" i="1"/>
  <c r="A24420" i="1"/>
  <c r="A24419" i="1"/>
  <c r="A24418" i="1"/>
  <c r="A24417" i="1"/>
  <c r="A24416" i="1"/>
  <c r="A24415" i="1"/>
  <c r="A24414" i="1"/>
  <c r="A24413" i="1"/>
  <c r="A24412" i="1"/>
  <c r="A24411" i="1"/>
  <c r="A24410" i="1"/>
  <c r="A24409" i="1"/>
  <c r="A24408" i="1"/>
  <c r="A24407" i="1"/>
  <c r="A24406" i="1"/>
  <c r="A24405" i="1"/>
  <c r="A24404" i="1"/>
  <c r="A24403" i="1"/>
  <c r="A24402" i="1"/>
  <c r="A24401" i="1"/>
  <c r="A24400" i="1"/>
  <c r="A24399" i="1"/>
  <c r="A24398" i="1"/>
  <c r="A24397" i="1"/>
  <c r="A24396" i="1"/>
  <c r="A24395" i="1"/>
  <c r="A24394" i="1"/>
  <c r="A24393" i="1"/>
  <c r="A24392" i="1"/>
  <c r="A24391" i="1"/>
  <c r="A24390" i="1"/>
  <c r="A24389" i="1"/>
  <c r="A24388" i="1"/>
  <c r="A24387" i="1"/>
  <c r="A24386" i="1"/>
  <c r="A24385" i="1"/>
  <c r="A24384" i="1"/>
  <c r="A24383" i="1"/>
  <c r="A24382" i="1"/>
  <c r="A24381" i="1"/>
  <c r="A24380" i="1"/>
  <c r="A24379" i="1"/>
  <c r="A24378" i="1"/>
  <c r="A24377" i="1"/>
  <c r="A24376" i="1"/>
  <c r="A24375" i="1"/>
  <c r="A24374" i="1"/>
  <c r="A24373" i="1"/>
  <c r="A24372" i="1"/>
  <c r="A24371" i="1"/>
  <c r="A24370" i="1"/>
  <c r="A24369" i="1"/>
  <c r="A24368" i="1"/>
  <c r="A24367" i="1"/>
  <c r="A24366" i="1"/>
  <c r="A24365" i="1"/>
  <c r="A24364" i="1"/>
  <c r="A24363" i="1"/>
  <c r="A24362" i="1"/>
  <c r="A24361" i="1"/>
  <c r="A24360" i="1"/>
  <c r="A24359" i="1"/>
  <c r="A24358" i="1"/>
  <c r="A24357" i="1"/>
  <c r="A24356" i="1"/>
  <c r="A24355" i="1"/>
  <c r="A24354" i="1"/>
  <c r="A24353" i="1"/>
  <c r="A24352" i="1"/>
  <c r="A24351" i="1"/>
  <c r="A24350" i="1"/>
  <c r="A24349" i="1"/>
  <c r="A24348" i="1"/>
  <c r="A24347" i="1"/>
  <c r="A24346" i="1"/>
  <c r="A24345" i="1"/>
  <c r="A24344" i="1"/>
  <c r="A24343" i="1"/>
  <c r="A24342" i="1"/>
  <c r="A24341" i="1"/>
  <c r="A24340" i="1"/>
  <c r="A24339" i="1"/>
  <c r="A24338" i="1"/>
  <c r="A24337" i="1"/>
  <c r="A24336" i="1"/>
  <c r="A24335" i="1"/>
  <c r="A24334" i="1"/>
  <c r="A24333" i="1"/>
  <c r="A24332" i="1"/>
  <c r="A24331" i="1"/>
  <c r="A24330" i="1"/>
  <c r="A24329" i="1"/>
  <c r="A24328" i="1"/>
  <c r="A24327" i="1"/>
  <c r="A24326" i="1"/>
  <c r="A24325" i="1"/>
  <c r="A24324" i="1"/>
  <c r="A24323" i="1"/>
  <c r="A24322" i="1"/>
  <c r="A24321" i="1"/>
  <c r="A24320" i="1"/>
  <c r="A24319" i="1"/>
  <c r="A24318" i="1"/>
  <c r="A24317" i="1"/>
  <c r="A24316" i="1"/>
  <c r="A24315" i="1"/>
  <c r="A24314" i="1"/>
  <c r="A24313" i="1"/>
  <c r="A24312" i="1"/>
  <c r="A24311" i="1"/>
  <c r="A24310" i="1"/>
  <c r="A24309" i="1"/>
  <c r="A24308" i="1"/>
  <c r="A24307" i="1"/>
  <c r="A24306" i="1"/>
  <c r="A24305" i="1"/>
  <c r="A24304" i="1"/>
  <c r="A24303" i="1"/>
  <c r="A24302" i="1"/>
  <c r="A24301" i="1"/>
  <c r="A24300" i="1"/>
  <c r="A24299" i="1"/>
  <c r="A24298" i="1"/>
  <c r="A24297" i="1"/>
  <c r="A24296" i="1"/>
  <c r="A24295" i="1"/>
  <c r="A24294" i="1"/>
  <c r="A24293" i="1"/>
  <c r="A24292" i="1"/>
  <c r="A24291" i="1"/>
  <c r="A24290" i="1"/>
  <c r="A24289" i="1"/>
  <c r="A24288" i="1"/>
  <c r="A24287" i="1"/>
  <c r="A24286" i="1"/>
  <c r="A24285" i="1"/>
  <c r="A24284" i="1"/>
  <c r="A24283" i="1"/>
  <c r="A24282" i="1"/>
  <c r="A24281" i="1"/>
  <c r="A24280" i="1"/>
  <c r="A24279" i="1"/>
  <c r="A24278" i="1"/>
  <c r="A24277" i="1"/>
  <c r="A24276" i="1"/>
  <c r="A24275" i="1"/>
  <c r="A24274" i="1"/>
  <c r="A24273" i="1"/>
  <c r="A24272" i="1"/>
  <c r="A24271" i="1"/>
  <c r="A24270" i="1"/>
  <c r="A24269" i="1"/>
  <c r="A24268" i="1"/>
  <c r="A24267" i="1"/>
  <c r="A24266" i="1"/>
  <c r="A24265" i="1"/>
  <c r="A24264" i="1"/>
  <c r="A24263" i="1"/>
  <c r="A24262" i="1"/>
  <c r="A24261" i="1"/>
  <c r="A24260" i="1"/>
  <c r="A24259" i="1"/>
  <c r="A24258" i="1"/>
  <c r="A24257" i="1"/>
  <c r="A24256" i="1"/>
  <c r="A24255" i="1"/>
  <c r="A24254" i="1"/>
  <c r="A24253" i="1"/>
  <c r="A24252" i="1"/>
  <c r="A24251" i="1"/>
  <c r="A24250" i="1"/>
  <c r="A24249" i="1"/>
  <c r="A24248" i="1"/>
  <c r="A24247" i="1"/>
  <c r="A24246" i="1"/>
  <c r="A24245" i="1"/>
  <c r="A24244" i="1"/>
  <c r="A24243" i="1"/>
  <c r="A24242" i="1"/>
  <c r="A24241" i="1"/>
  <c r="A24240" i="1"/>
  <c r="A24239" i="1"/>
  <c r="A24238" i="1"/>
  <c r="A24237" i="1"/>
  <c r="A24236" i="1"/>
  <c r="A24235" i="1"/>
  <c r="A24234" i="1"/>
  <c r="A24233" i="1"/>
  <c r="A24232" i="1"/>
  <c r="A24231" i="1"/>
  <c r="A24230" i="1"/>
  <c r="A24229" i="1"/>
  <c r="A24228" i="1"/>
  <c r="A24227" i="1"/>
  <c r="A24226" i="1"/>
  <c r="A24225" i="1"/>
  <c r="A24224" i="1"/>
  <c r="A24223" i="1"/>
  <c r="A24222" i="1"/>
  <c r="A24221" i="1"/>
  <c r="A24220" i="1"/>
  <c r="A24219" i="1"/>
  <c r="A24218" i="1"/>
  <c r="A24217" i="1"/>
  <c r="A24216" i="1"/>
  <c r="A24215" i="1"/>
  <c r="A24214" i="1"/>
  <c r="A24213" i="1"/>
  <c r="A24212" i="1"/>
  <c r="A24211" i="1"/>
  <c r="A24210" i="1"/>
  <c r="A24209" i="1"/>
  <c r="A24208" i="1"/>
  <c r="A24207" i="1"/>
  <c r="A24206" i="1"/>
  <c r="A24205" i="1"/>
  <c r="A24204" i="1"/>
  <c r="A24203" i="1"/>
  <c r="A24202" i="1"/>
  <c r="A24201" i="1"/>
  <c r="A24200" i="1"/>
  <c r="A24199" i="1"/>
  <c r="A24198" i="1"/>
  <c r="A24197" i="1"/>
  <c r="A24196" i="1"/>
  <c r="A24195" i="1"/>
  <c r="A24194" i="1"/>
  <c r="A24193" i="1"/>
  <c r="A24192" i="1"/>
  <c r="A24191" i="1"/>
  <c r="A24190" i="1"/>
  <c r="A24189" i="1"/>
  <c r="A24188" i="1"/>
  <c r="A24187" i="1"/>
  <c r="A24186" i="1"/>
  <c r="A24185" i="1"/>
  <c r="A24184" i="1"/>
  <c r="A24183" i="1"/>
  <c r="A24182" i="1"/>
  <c r="A24181" i="1"/>
  <c r="A24180" i="1"/>
  <c r="A24179" i="1"/>
  <c r="A24178" i="1"/>
  <c r="A24177" i="1"/>
  <c r="A24176" i="1"/>
  <c r="A24175" i="1"/>
  <c r="A24174" i="1"/>
  <c r="A24173" i="1"/>
  <c r="A24172" i="1"/>
  <c r="A24171" i="1"/>
  <c r="A24170" i="1"/>
  <c r="A24169" i="1"/>
  <c r="A24168" i="1"/>
  <c r="A24167" i="1"/>
  <c r="A24166" i="1"/>
  <c r="A24165" i="1"/>
  <c r="A24164" i="1"/>
  <c r="A24163" i="1"/>
  <c r="A24162" i="1"/>
  <c r="A24161" i="1"/>
  <c r="A24160" i="1"/>
  <c r="A24159" i="1"/>
  <c r="A24158" i="1"/>
  <c r="A24157" i="1"/>
  <c r="A24156" i="1"/>
  <c r="A24155" i="1"/>
  <c r="A24154" i="1"/>
  <c r="A24153" i="1"/>
  <c r="A24152" i="1"/>
  <c r="A24151" i="1"/>
  <c r="A24150" i="1"/>
  <c r="A24149" i="1"/>
  <c r="A24148" i="1"/>
  <c r="A24147" i="1"/>
  <c r="A24146" i="1"/>
  <c r="A24145" i="1"/>
  <c r="A24144" i="1"/>
  <c r="A24143" i="1"/>
  <c r="A24142" i="1"/>
  <c r="A24141" i="1"/>
  <c r="A24140" i="1"/>
  <c r="A24139" i="1"/>
  <c r="A24138" i="1"/>
  <c r="A24137" i="1"/>
  <c r="A24136" i="1"/>
  <c r="A24135" i="1"/>
  <c r="A24134" i="1"/>
  <c r="A24133" i="1"/>
  <c r="A24132" i="1"/>
  <c r="A24131" i="1"/>
  <c r="A24130" i="1"/>
  <c r="A24129" i="1"/>
  <c r="A24128" i="1"/>
  <c r="A24127" i="1"/>
  <c r="A24126" i="1"/>
  <c r="A24125" i="1"/>
  <c r="A24124" i="1"/>
  <c r="A24123" i="1"/>
  <c r="A24122" i="1"/>
  <c r="A24121" i="1"/>
  <c r="A24120" i="1"/>
  <c r="A24119" i="1"/>
  <c r="A24118" i="1"/>
  <c r="A24117" i="1"/>
  <c r="A24116" i="1"/>
  <c r="A24115" i="1"/>
  <c r="A24114" i="1"/>
  <c r="A24113" i="1"/>
  <c r="A24112" i="1"/>
  <c r="A24111" i="1"/>
  <c r="A24110" i="1"/>
  <c r="A24109" i="1"/>
  <c r="A24108" i="1"/>
  <c r="A24107" i="1"/>
  <c r="A24106" i="1"/>
  <c r="A24105" i="1"/>
  <c r="A24104" i="1"/>
  <c r="A24103" i="1"/>
  <c r="A24102" i="1"/>
  <c r="A24101" i="1"/>
  <c r="A24100" i="1"/>
  <c r="A24099" i="1"/>
  <c r="A24098" i="1"/>
  <c r="A24097" i="1"/>
  <c r="A24096" i="1"/>
  <c r="A24095" i="1"/>
  <c r="A24094" i="1"/>
  <c r="A24093" i="1"/>
  <c r="A24092" i="1"/>
  <c r="A24091" i="1"/>
  <c r="A24090" i="1"/>
  <c r="A24089" i="1"/>
  <c r="A24088" i="1"/>
  <c r="A24087" i="1"/>
  <c r="A24086" i="1"/>
  <c r="A24085" i="1"/>
  <c r="A24084" i="1"/>
  <c r="A24083" i="1"/>
  <c r="A24082" i="1"/>
  <c r="A24081" i="1"/>
  <c r="A24080" i="1"/>
  <c r="A24079" i="1"/>
  <c r="A24078" i="1"/>
  <c r="A24077" i="1"/>
  <c r="A24076" i="1"/>
  <c r="A24075" i="1"/>
  <c r="A24074" i="1"/>
  <c r="A24073" i="1"/>
  <c r="A24072" i="1"/>
  <c r="A24071" i="1"/>
  <c r="A24070" i="1"/>
  <c r="A24069" i="1"/>
  <c r="A24068" i="1"/>
  <c r="A24067" i="1"/>
  <c r="A24066" i="1"/>
  <c r="A24065" i="1"/>
  <c r="A24064" i="1"/>
  <c r="A24063" i="1"/>
  <c r="A24062" i="1"/>
  <c r="A24061" i="1"/>
  <c r="A24060" i="1"/>
  <c r="A24059" i="1"/>
  <c r="A24058" i="1"/>
  <c r="A24057" i="1"/>
  <c r="A24056" i="1"/>
  <c r="A24055" i="1"/>
  <c r="A24054" i="1"/>
  <c r="A24053" i="1"/>
  <c r="A24052" i="1"/>
  <c r="A24051" i="1"/>
  <c r="A24050" i="1"/>
  <c r="A24049" i="1"/>
  <c r="A24048" i="1"/>
  <c r="A24047" i="1"/>
  <c r="A24046" i="1"/>
  <c r="A24045" i="1"/>
  <c r="A24044" i="1"/>
  <c r="A24043" i="1"/>
  <c r="A24042" i="1"/>
  <c r="A24041" i="1"/>
  <c r="A24040" i="1"/>
  <c r="A24039" i="1"/>
  <c r="A24038" i="1"/>
  <c r="A24037" i="1"/>
  <c r="A24036" i="1"/>
  <c r="A24035" i="1"/>
  <c r="A24034" i="1"/>
  <c r="A24033" i="1"/>
  <c r="A24032" i="1"/>
  <c r="A24031" i="1"/>
  <c r="A24030" i="1"/>
  <c r="A24029" i="1"/>
  <c r="A24028" i="1"/>
  <c r="A24027" i="1"/>
  <c r="A24026" i="1"/>
  <c r="A24025" i="1"/>
  <c r="A24024" i="1"/>
  <c r="A24023" i="1"/>
  <c r="A24022" i="1"/>
  <c r="A24021" i="1"/>
  <c r="A24020" i="1"/>
  <c r="A24019" i="1"/>
  <c r="A24018" i="1"/>
  <c r="A24017" i="1"/>
  <c r="A24016" i="1"/>
  <c r="A24015" i="1"/>
  <c r="A24014" i="1"/>
  <c r="A24013" i="1"/>
  <c r="A24012" i="1"/>
  <c r="A24011" i="1"/>
  <c r="A24010" i="1"/>
  <c r="A24009" i="1"/>
  <c r="A24008" i="1"/>
  <c r="A24007" i="1"/>
  <c r="A24006" i="1"/>
  <c r="A24005" i="1"/>
  <c r="A24004" i="1"/>
  <c r="A24003" i="1"/>
  <c r="A24002" i="1"/>
  <c r="A24001" i="1"/>
  <c r="A24000" i="1"/>
  <c r="A23999" i="1"/>
  <c r="A23998" i="1"/>
  <c r="A23997" i="1"/>
  <c r="A23996" i="1"/>
  <c r="A23995" i="1"/>
  <c r="A23994" i="1"/>
  <c r="A23993" i="1"/>
  <c r="A23992" i="1"/>
  <c r="A23991" i="1"/>
  <c r="A23990" i="1"/>
  <c r="A23989" i="1"/>
  <c r="A23988" i="1"/>
  <c r="A23987" i="1"/>
  <c r="A23986" i="1"/>
  <c r="A23985" i="1"/>
  <c r="A23984" i="1"/>
  <c r="A23983" i="1"/>
  <c r="A23982" i="1"/>
  <c r="A23981" i="1"/>
  <c r="A23980" i="1"/>
  <c r="A23979" i="1"/>
  <c r="A23978" i="1"/>
  <c r="A23977" i="1"/>
  <c r="A23976" i="1"/>
  <c r="A23975" i="1"/>
  <c r="A23974" i="1"/>
  <c r="A23973" i="1"/>
  <c r="A23972" i="1"/>
  <c r="A23971" i="1"/>
  <c r="A23970" i="1"/>
  <c r="A23969" i="1"/>
  <c r="A23968" i="1"/>
  <c r="A23967" i="1"/>
  <c r="A23966" i="1"/>
  <c r="A23965" i="1"/>
  <c r="A23964" i="1"/>
  <c r="A23963" i="1"/>
  <c r="A23962" i="1"/>
  <c r="A23961" i="1"/>
  <c r="A23960" i="1"/>
  <c r="A23959" i="1"/>
  <c r="A23958" i="1"/>
  <c r="A23957" i="1"/>
  <c r="A23956" i="1"/>
  <c r="A23955" i="1"/>
  <c r="A23954" i="1"/>
  <c r="A23953" i="1"/>
  <c r="A23952" i="1"/>
  <c r="A23951" i="1"/>
  <c r="A23950" i="1"/>
  <c r="A23949" i="1"/>
  <c r="A23948" i="1"/>
  <c r="A23947" i="1"/>
  <c r="A23946" i="1"/>
  <c r="A23945" i="1"/>
  <c r="A23944" i="1"/>
  <c r="A23943" i="1"/>
  <c r="A23942" i="1"/>
  <c r="A23941" i="1"/>
  <c r="A23940" i="1"/>
  <c r="A23939" i="1"/>
  <c r="A23938" i="1"/>
  <c r="A23937" i="1"/>
  <c r="A23936" i="1"/>
  <c r="A23935" i="1"/>
  <c r="A23934" i="1"/>
  <c r="A23933" i="1"/>
  <c r="A23932" i="1"/>
  <c r="A23931" i="1"/>
  <c r="A23930" i="1"/>
  <c r="A23929" i="1"/>
  <c r="A23928" i="1"/>
  <c r="A23927" i="1"/>
  <c r="A23926" i="1"/>
  <c r="A23925" i="1"/>
  <c r="A23924" i="1"/>
  <c r="A23923" i="1"/>
  <c r="A23922" i="1"/>
  <c r="A23921" i="1"/>
  <c r="A23920" i="1"/>
  <c r="A23919" i="1"/>
  <c r="A23918" i="1"/>
  <c r="A23917" i="1"/>
  <c r="A23916" i="1"/>
  <c r="A23915" i="1"/>
  <c r="A23914" i="1"/>
  <c r="A23913" i="1"/>
  <c r="A23912" i="1"/>
  <c r="A23911" i="1"/>
  <c r="A23910" i="1"/>
  <c r="A23909" i="1"/>
  <c r="A23908" i="1"/>
  <c r="A23907" i="1"/>
  <c r="A23906" i="1"/>
  <c r="A23905" i="1"/>
  <c r="A23904" i="1"/>
  <c r="A23903" i="1"/>
  <c r="A23902" i="1"/>
  <c r="A23901" i="1"/>
  <c r="A23900" i="1"/>
  <c r="A23899" i="1"/>
  <c r="A23898" i="1"/>
  <c r="A23897" i="1"/>
  <c r="A23896" i="1"/>
  <c r="A23895" i="1"/>
  <c r="A23894" i="1"/>
  <c r="A23893" i="1"/>
  <c r="A23892" i="1"/>
  <c r="A23891" i="1"/>
  <c r="A23890" i="1"/>
  <c r="A23889" i="1"/>
  <c r="A23888" i="1"/>
  <c r="A23887" i="1"/>
  <c r="A23886" i="1"/>
  <c r="A23885" i="1"/>
  <c r="A23884" i="1"/>
  <c r="A23883" i="1"/>
  <c r="A23882" i="1"/>
  <c r="A23881" i="1"/>
  <c r="A23880" i="1"/>
  <c r="A23879" i="1"/>
  <c r="A23878" i="1"/>
  <c r="A23877" i="1"/>
  <c r="A23876" i="1"/>
  <c r="A23875" i="1"/>
  <c r="A23874" i="1"/>
  <c r="A23873" i="1"/>
  <c r="A23872" i="1"/>
  <c r="A23871" i="1"/>
  <c r="A23870" i="1"/>
  <c r="A23869" i="1"/>
  <c r="A23868" i="1"/>
  <c r="A23867" i="1"/>
  <c r="A23866" i="1"/>
  <c r="A23865" i="1"/>
  <c r="A23864" i="1"/>
  <c r="A23863" i="1"/>
  <c r="A23862" i="1"/>
  <c r="A23861" i="1"/>
  <c r="A23860" i="1"/>
  <c r="A23859" i="1"/>
  <c r="A23858" i="1"/>
  <c r="A23857" i="1"/>
  <c r="A23856" i="1"/>
  <c r="A23855" i="1"/>
  <c r="A23854" i="1"/>
  <c r="A23853" i="1"/>
  <c r="A23852" i="1"/>
  <c r="A23851" i="1"/>
  <c r="A23850" i="1"/>
  <c r="A23849" i="1"/>
  <c r="A23848" i="1"/>
  <c r="A23847" i="1"/>
  <c r="A23846" i="1"/>
  <c r="A23845" i="1"/>
  <c r="A23844" i="1"/>
  <c r="A23843" i="1"/>
  <c r="A23842" i="1"/>
  <c r="A23841" i="1"/>
  <c r="A23840" i="1"/>
  <c r="A23839" i="1"/>
  <c r="A23838" i="1"/>
  <c r="A23837" i="1"/>
  <c r="A23836" i="1"/>
  <c r="A23835" i="1"/>
  <c r="A23834" i="1"/>
  <c r="A23833" i="1"/>
  <c r="A23832" i="1"/>
  <c r="A23831" i="1"/>
  <c r="A23830" i="1"/>
  <c r="A23829" i="1"/>
  <c r="A23828" i="1"/>
  <c r="A23827" i="1"/>
  <c r="A23826" i="1"/>
  <c r="A23825" i="1"/>
  <c r="A23824" i="1"/>
  <c r="A23823" i="1"/>
  <c r="A23822" i="1"/>
  <c r="A23821" i="1"/>
  <c r="A23820" i="1"/>
  <c r="A23819" i="1"/>
  <c r="A23818" i="1"/>
  <c r="A23817" i="1"/>
  <c r="A23816" i="1"/>
  <c r="A23815" i="1"/>
  <c r="A23814" i="1"/>
  <c r="A23813" i="1"/>
  <c r="A23812" i="1"/>
  <c r="A23811" i="1"/>
  <c r="A23810" i="1"/>
  <c r="A23809" i="1"/>
  <c r="A23808" i="1"/>
  <c r="A23807" i="1"/>
  <c r="A23806" i="1"/>
  <c r="A23805" i="1"/>
  <c r="A23804" i="1"/>
  <c r="A23803" i="1"/>
  <c r="A23802" i="1"/>
  <c r="A23801" i="1"/>
  <c r="A23800" i="1"/>
  <c r="A23799" i="1"/>
  <c r="A23798" i="1"/>
  <c r="A23797" i="1"/>
  <c r="A23796" i="1"/>
  <c r="A23795" i="1"/>
  <c r="A23794" i="1"/>
  <c r="A23793" i="1"/>
  <c r="A23792" i="1"/>
  <c r="A23791" i="1"/>
  <c r="A23790" i="1"/>
  <c r="A23789" i="1"/>
  <c r="A23788" i="1"/>
  <c r="A23787" i="1"/>
  <c r="A23786" i="1"/>
  <c r="A23785" i="1"/>
  <c r="A23784" i="1"/>
  <c r="A23783" i="1"/>
  <c r="A23782" i="1"/>
  <c r="A23781" i="1"/>
  <c r="A23780" i="1"/>
  <c r="A23779" i="1"/>
  <c r="A23778" i="1"/>
  <c r="A23777" i="1"/>
  <c r="A23776" i="1"/>
  <c r="A23775" i="1"/>
  <c r="A23774" i="1"/>
  <c r="A23773" i="1"/>
  <c r="A23772" i="1"/>
  <c r="A23771" i="1"/>
  <c r="A23770" i="1"/>
  <c r="A23769" i="1"/>
  <c r="A23768" i="1"/>
  <c r="A23767" i="1"/>
  <c r="A23766" i="1"/>
  <c r="A23765" i="1"/>
  <c r="A23764" i="1"/>
  <c r="A23763" i="1"/>
  <c r="A23762" i="1"/>
  <c r="A23761" i="1"/>
  <c r="A23760" i="1"/>
  <c r="A23759" i="1"/>
  <c r="A23758" i="1"/>
  <c r="A23757" i="1"/>
  <c r="A23756" i="1"/>
  <c r="A23755" i="1"/>
  <c r="A23754" i="1"/>
  <c r="A23753" i="1"/>
  <c r="A23752" i="1"/>
  <c r="A23751" i="1"/>
  <c r="A23750" i="1"/>
  <c r="A23749" i="1"/>
  <c r="A23748" i="1"/>
  <c r="A23747" i="1"/>
  <c r="A23746" i="1"/>
  <c r="A23745" i="1"/>
  <c r="A23744" i="1"/>
  <c r="A23743" i="1"/>
  <c r="A23742" i="1"/>
  <c r="A23741" i="1"/>
  <c r="A23740" i="1"/>
  <c r="A23739" i="1"/>
  <c r="A23738" i="1"/>
  <c r="A23737" i="1"/>
  <c r="A23736" i="1"/>
  <c r="A23735" i="1"/>
  <c r="A23734" i="1"/>
  <c r="A23733" i="1"/>
  <c r="A23732" i="1"/>
  <c r="A23731" i="1"/>
  <c r="A23730" i="1"/>
  <c r="A23729" i="1"/>
  <c r="A23728" i="1"/>
  <c r="A23727" i="1"/>
  <c r="A23726" i="1"/>
  <c r="A23725" i="1"/>
  <c r="A23724" i="1"/>
  <c r="A23723" i="1"/>
  <c r="A23722" i="1"/>
  <c r="A23721" i="1"/>
  <c r="A23720" i="1"/>
  <c r="A23719" i="1"/>
  <c r="A23718" i="1"/>
  <c r="A23717" i="1"/>
  <c r="A23716" i="1"/>
  <c r="A23715" i="1"/>
  <c r="A23714" i="1"/>
  <c r="A23713" i="1"/>
  <c r="A23712" i="1"/>
  <c r="A23711" i="1"/>
  <c r="A23710" i="1"/>
  <c r="A23709" i="1"/>
  <c r="A23708" i="1"/>
  <c r="A23707" i="1"/>
  <c r="A23706" i="1"/>
  <c r="A23705" i="1"/>
  <c r="A23704" i="1"/>
  <c r="A23703" i="1"/>
  <c r="A23702" i="1"/>
  <c r="A23701" i="1"/>
  <c r="A23700" i="1"/>
  <c r="A23699" i="1"/>
  <c r="A23698" i="1"/>
  <c r="A23697" i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9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8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23314" i="1"/>
  <c r="A23313" i="1"/>
  <c r="A23312" i="1"/>
  <c r="A23311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5" i="1"/>
  <c r="A23284" i="1"/>
  <c r="A23283" i="1"/>
  <c r="A23282" i="1"/>
  <c r="A23281" i="1"/>
  <c r="A23280" i="1"/>
  <c r="A23279" i="1"/>
  <c r="A23278" i="1"/>
  <c r="A23277" i="1"/>
  <c r="A23276" i="1"/>
  <c r="A23275" i="1"/>
  <c r="A23274" i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81" i="1"/>
  <c r="A23180" i="1"/>
  <c r="A23179" i="1"/>
  <c r="A23178" i="1"/>
  <c r="A23177" i="1"/>
  <c r="A23176" i="1"/>
  <c r="A23175" i="1"/>
  <c r="A23174" i="1"/>
  <c r="A23173" i="1"/>
  <c r="A23172" i="1"/>
  <c r="A23171" i="1"/>
  <c r="A23170" i="1"/>
  <c r="A23169" i="1"/>
  <c r="A23168" i="1"/>
  <c r="A23167" i="1"/>
  <c r="A23166" i="1"/>
  <c r="A23165" i="1"/>
  <c r="A23164" i="1"/>
  <c r="A23163" i="1"/>
  <c r="A23162" i="1"/>
  <c r="A23161" i="1"/>
  <c r="A23160" i="1"/>
  <c r="A23159" i="1"/>
  <c r="A23158" i="1"/>
  <c r="A23157" i="1"/>
  <c r="A23156" i="1"/>
  <c r="A23155" i="1"/>
  <c r="A23154" i="1"/>
  <c r="A23153" i="1"/>
  <c r="A23152" i="1"/>
  <c r="A23151" i="1"/>
  <c r="A23150" i="1"/>
  <c r="A23149" i="1"/>
  <c r="A23148" i="1"/>
  <c r="A23147" i="1"/>
  <c r="A23146" i="1"/>
  <c r="A23145" i="1"/>
  <c r="A23144" i="1"/>
  <c r="A23143" i="1"/>
  <c r="A23142" i="1"/>
  <c r="A23141" i="1"/>
  <c r="A23140" i="1"/>
  <c r="A23139" i="1"/>
  <c r="A23138" i="1"/>
  <c r="A23137" i="1"/>
  <c r="A23136" i="1"/>
  <c r="A23135" i="1"/>
  <c r="A23134" i="1"/>
  <c r="A23133" i="1"/>
  <c r="A23132" i="1"/>
  <c r="A23131" i="1"/>
  <c r="A23130" i="1"/>
  <c r="A23129" i="1"/>
  <c r="A23128" i="1"/>
  <c r="A23127" i="1"/>
  <c r="A23126" i="1"/>
  <c r="A23125" i="1"/>
  <c r="A23124" i="1"/>
  <c r="A23123" i="1"/>
  <c r="A23122" i="1"/>
  <c r="A23121" i="1"/>
  <c r="A23120" i="1"/>
  <c r="A23119" i="1"/>
  <c r="A23118" i="1"/>
  <c r="A23117" i="1"/>
  <c r="A23116" i="1"/>
  <c r="A23115" i="1"/>
  <c r="A23114" i="1"/>
  <c r="A23113" i="1"/>
  <c r="A23112" i="1"/>
  <c r="A23111" i="1"/>
  <c r="A23110" i="1"/>
  <c r="A23109" i="1"/>
  <c r="A23108" i="1"/>
  <c r="A23107" i="1"/>
  <c r="A23106" i="1"/>
  <c r="A23105" i="1"/>
  <c r="A23104" i="1"/>
  <c r="A23103" i="1"/>
  <c r="A23102" i="1"/>
  <c r="A23101" i="1"/>
  <c r="A23100" i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8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3031" i="1"/>
  <c r="A23030" i="1"/>
  <c r="A23029" i="1"/>
  <c r="A23028" i="1"/>
  <c r="A23027" i="1"/>
  <c r="A23026" i="1"/>
  <c r="A23025" i="1"/>
  <c r="A23024" i="1"/>
  <c r="A23023" i="1"/>
  <c r="A23022" i="1"/>
  <c r="A23021" i="1"/>
  <c r="A23020" i="1"/>
  <c r="A23019" i="1"/>
  <c r="A23018" i="1"/>
  <c r="A23017" i="1"/>
  <c r="A23016" i="1"/>
  <c r="A23015" i="1"/>
  <c r="A23014" i="1"/>
  <c r="A23013" i="1"/>
  <c r="A23012" i="1"/>
  <c r="A23011" i="1"/>
  <c r="A23010" i="1"/>
  <c r="A23009" i="1"/>
  <c r="A23008" i="1"/>
  <c r="A23007" i="1"/>
  <c r="A23006" i="1"/>
  <c r="A23005" i="1"/>
  <c r="A23004" i="1"/>
  <c r="A23003" i="1"/>
  <c r="A23002" i="1"/>
  <c r="A23001" i="1"/>
  <c r="A23000" i="1"/>
  <c r="A22999" i="1"/>
  <c r="A22998" i="1"/>
  <c r="A22997" i="1"/>
  <c r="A22996" i="1"/>
  <c r="A22995" i="1"/>
  <c r="A22994" i="1"/>
  <c r="A22993" i="1"/>
  <c r="A22992" i="1"/>
  <c r="A22991" i="1"/>
  <c r="A22990" i="1"/>
  <c r="A22989" i="1"/>
  <c r="A22988" i="1"/>
  <c r="A22987" i="1"/>
  <c r="A22986" i="1"/>
  <c r="A22985" i="1"/>
  <c r="A22984" i="1"/>
  <c r="A22983" i="1"/>
  <c r="A22982" i="1"/>
  <c r="A22981" i="1"/>
  <c r="A22980" i="1"/>
  <c r="A22979" i="1"/>
  <c r="A22978" i="1"/>
  <c r="A22977" i="1"/>
  <c r="A22976" i="1"/>
  <c r="A22975" i="1"/>
  <c r="A22974" i="1"/>
  <c r="A22973" i="1"/>
  <c r="A22972" i="1"/>
  <c r="A22971" i="1"/>
  <c r="A22970" i="1"/>
  <c r="A22969" i="1"/>
  <c r="A22968" i="1"/>
  <c r="A22967" i="1"/>
  <c r="A22966" i="1"/>
  <c r="A22965" i="1"/>
  <c r="A22964" i="1"/>
  <c r="A22963" i="1"/>
  <c r="A22962" i="1"/>
  <c r="A22961" i="1"/>
  <c r="A22960" i="1"/>
  <c r="A22959" i="1"/>
  <c r="A22958" i="1"/>
  <c r="A22957" i="1"/>
  <c r="A22956" i="1"/>
  <c r="A22955" i="1"/>
  <c r="A22954" i="1"/>
  <c r="A22953" i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82" i="1"/>
  <c r="A22881" i="1"/>
  <c r="A22880" i="1"/>
  <c r="A22879" i="1"/>
  <c r="A22878" i="1"/>
  <c r="A22877" i="1"/>
  <c r="A22876" i="1"/>
  <c r="A22875" i="1"/>
  <c r="A22874" i="1"/>
  <c r="A22873" i="1"/>
  <c r="A22872" i="1"/>
  <c r="A22871" i="1"/>
  <c r="A22870" i="1"/>
  <c r="A22869" i="1"/>
  <c r="A22868" i="1"/>
  <c r="A22867" i="1"/>
  <c r="A22866" i="1"/>
  <c r="A22865" i="1"/>
  <c r="A22864" i="1"/>
  <c r="A22863" i="1"/>
  <c r="A22862" i="1"/>
  <c r="A22861" i="1"/>
  <c r="A22860" i="1"/>
  <c r="A22859" i="1"/>
  <c r="A22858" i="1"/>
  <c r="A22857" i="1"/>
  <c r="A22856" i="1"/>
  <c r="A22855" i="1"/>
  <c r="A22854" i="1"/>
  <c r="A22853" i="1"/>
  <c r="A22852" i="1"/>
  <c r="A22851" i="1"/>
  <c r="A22850" i="1"/>
  <c r="A22849" i="1"/>
  <c r="A22848" i="1"/>
  <c r="A22847" i="1"/>
  <c r="A22846" i="1"/>
  <c r="A22845" i="1"/>
  <c r="A22844" i="1"/>
  <c r="A22843" i="1"/>
  <c r="A22842" i="1"/>
  <c r="A22841" i="1"/>
  <c r="A22840" i="1"/>
  <c r="A22839" i="1"/>
  <c r="A22838" i="1"/>
  <c r="A22837" i="1"/>
  <c r="A22836" i="1"/>
  <c r="A22835" i="1"/>
  <c r="A22834" i="1"/>
  <c r="A22833" i="1"/>
  <c r="A22832" i="1"/>
  <c r="A22831" i="1"/>
  <c r="A22830" i="1"/>
  <c r="A22829" i="1"/>
  <c r="A22828" i="1"/>
  <c r="A22827" i="1"/>
  <c r="A22826" i="1"/>
  <c r="A22825" i="1"/>
  <c r="A22824" i="1"/>
  <c r="A22823" i="1"/>
  <c r="A22822" i="1"/>
  <c r="A22821" i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4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2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8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9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60" i="1"/>
  <c r="A22259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8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3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2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82" i="1"/>
  <c r="A21081" i="1"/>
  <c r="A21080" i="1"/>
  <c r="A21079" i="1"/>
  <c r="A21078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1061" i="1"/>
  <c r="A21060" i="1"/>
  <c r="A21059" i="1"/>
  <c r="A21058" i="1"/>
  <c r="A21057" i="1"/>
  <c r="A21056" i="1"/>
  <c r="A21055" i="1"/>
  <c r="A21054" i="1"/>
  <c r="A21053" i="1"/>
  <c r="A21052" i="1"/>
  <c r="A21051" i="1"/>
  <c r="A21050" i="1"/>
  <c r="A21049" i="1"/>
  <c r="A21048" i="1"/>
  <c r="A21047" i="1"/>
  <c r="A21046" i="1"/>
  <c r="A21045" i="1"/>
  <c r="A21044" i="1"/>
  <c r="A21043" i="1"/>
  <c r="A21042" i="1"/>
  <c r="A21041" i="1"/>
  <c r="A21040" i="1"/>
  <c r="A21039" i="1"/>
  <c r="A21038" i="1"/>
  <c r="A21037" i="1"/>
  <c r="A21036" i="1"/>
  <c r="A21035" i="1"/>
  <c r="A21034" i="1"/>
  <c r="A21033" i="1"/>
  <c r="A21032" i="1"/>
  <c r="A21031" i="1"/>
  <c r="A21030" i="1"/>
  <c r="A21029" i="1"/>
  <c r="A21028" i="1"/>
  <c r="A21027" i="1"/>
  <c r="A21026" i="1"/>
  <c r="A21025" i="1"/>
  <c r="A21024" i="1"/>
  <c r="A21023" i="1"/>
  <c r="A21022" i="1"/>
  <c r="A21021" i="1"/>
  <c r="A21020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21007" i="1"/>
  <c r="A21006" i="1"/>
  <c r="A21005" i="1"/>
  <c r="A21004" i="1"/>
  <c r="A21003" i="1"/>
  <c r="A21002" i="1"/>
  <c r="A21001" i="1"/>
  <c r="A21000" i="1"/>
  <c r="A20999" i="1"/>
  <c r="A20998" i="1"/>
  <c r="A20997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20984" i="1"/>
  <c r="A20983" i="1"/>
  <c r="A20982" i="1"/>
  <c r="A20981" i="1"/>
  <c r="A20980" i="1"/>
  <c r="A20979" i="1"/>
  <c r="A20978" i="1"/>
  <c r="A20977" i="1"/>
  <c r="A20976" i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20894" i="1"/>
  <c r="A20893" i="1"/>
  <c r="A20892" i="1"/>
  <c r="A20891" i="1"/>
  <c r="A20890" i="1"/>
  <c r="A20889" i="1"/>
  <c r="A20888" i="1"/>
  <c r="A20887" i="1"/>
  <c r="A20886" i="1"/>
  <c r="A20885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20849" i="1"/>
  <c r="A20848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20828" i="1"/>
  <c r="A20827" i="1"/>
  <c r="A20826" i="1"/>
  <c r="A20825" i="1"/>
  <c r="A20824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8" i="1"/>
  <c r="A20797" i="1"/>
  <c r="A20796" i="1"/>
  <c r="A20795" i="1"/>
  <c r="A20794" i="1"/>
  <c r="A20793" i="1"/>
  <c r="A20792" i="1"/>
  <c r="A20791" i="1"/>
  <c r="A2079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20772" i="1"/>
  <c r="A20771" i="1"/>
  <c r="A20770" i="1"/>
  <c r="A20769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0744" i="1"/>
  <c r="A20743" i="1"/>
  <c r="A20742" i="1"/>
  <c r="A20741" i="1"/>
  <c r="A20740" i="1"/>
  <c r="A20739" i="1"/>
  <c r="A20738" i="1"/>
  <c r="A20737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10" i="1"/>
  <c r="A20709" i="1"/>
  <c r="A20708" i="1"/>
  <c r="A20707" i="1"/>
  <c r="A20706" i="1"/>
  <c r="A20705" i="1"/>
  <c r="A20704" i="1"/>
  <c r="A20703" i="1"/>
  <c r="A20702" i="1"/>
  <c r="A20701" i="1"/>
  <c r="A20700" i="1"/>
  <c r="A20699" i="1"/>
  <c r="A20698" i="1"/>
  <c r="A20697" i="1"/>
  <c r="A20696" i="1"/>
  <c r="A20695" i="1"/>
  <c r="A20694" i="1"/>
  <c r="A20693" i="1"/>
  <c r="A20692" i="1"/>
  <c r="A20691" i="1"/>
  <c r="A20690" i="1"/>
  <c r="A20689" i="1"/>
  <c r="A20688" i="1"/>
  <c r="A20687" i="1"/>
  <c r="A20686" i="1"/>
  <c r="A20685" i="1"/>
  <c r="A20684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20615" i="1"/>
  <c r="A20614" i="1"/>
  <c r="A20613" i="1"/>
  <c r="A20612" i="1"/>
  <c r="A20611" i="1"/>
  <c r="A20610" i="1"/>
  <c r="A20609" i="1"/>
  <c r="A20608" i="1"/>
  <c r="A20607" i="1"/>
  <c r="A20606" i="1"/>
  <c r="A20605" i="1"/>
  <c r="A20604" i="1"/>
  <c r="A20603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8" i="1"/>
  <c r="A20587" i="1"/>
  <c r="A20586" i="1"/>
  <c r="A20585" i="1"/>
  <c r="A20584" i="1"/>
  <c r="A20583" i="1"/>
  <c r="A20582" i="1"/>
  <c r="A20581" i="1"/>
  <c r="A20580" i="1"/>
  <c r="A20579" i="1"/>
  <c r="A20578" i="1"/>
  <c r="A20577" i="1"/>
  <c r="A20576" i="1"/>
  <c r="A20575" i="1"/>
  <c r="A20574" i="1"/>
  <c r="A20573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20559" i="1"/>
  <c r="A20558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20545" i="1"/>
  <c r="A20544" i="1"/>
  <c r="A20543" i="1"/>
  <c r="A20542" i="1"/>
  <c r="A20541" i="1"/>
  <c r="A20540" i="1"/>
  <c r="A20539" i="1"/>
  <c r="A20538" i="1"/>
  <c r="A20537" i="1"/>
  <c r="A20536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20522" i="1"/>
  <c r="A20521" i="1"/>
  <c r="A20520" i="1"/>
  <c r="A20519" i="1"/>
  <c r="A20518" i="1"/>
  <c r="A20517" i="1"/>
  <c r="A20516" i="1"/>
  <c r="A20515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20501" i="1"/>
  <c r="A20500" i="1"/>
  <c r="A20499" i="1"/>
  <c r="A20498" i="1"/>
  <c r="A20497" i="1"/>
  <c r="A20496" i="1"/>
  <c r="A20495" i="1"/>
  <c r="A20494" i="1"/>
  <c r="A20493" i="1"/>
  <c r="A20492" i="1"/>
  <c r="A20491" i="1"/>
  <c r="A20490" i="1"/>
  <c r="A20489" i="1"/>
  <c r="A20488" i="1"/>
  <c r="A20487" i="1"/>
  <c r="A20486" i="1"/>
  <c r="A20485" i="1"/>
  <c r="A20484" i="1"/>
  <c r="A20483" i="1"/>
  <c r="A20482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0461" i="1"/>
  <c r="A20460" i="1"/>
  <c r="A20459" i="1"/>
  <c r="A20458" i="1"/>
  <c r="A20457" i="1"/>
  <c r="A20456" i="1"/>
  <c r="A20455" i="1"/>
  <c r="A20454" i="1"/>
  <c r="A20453" i="1"/>
  <c r="A20452" i="1"/>
  <c r="A20451" i="1"/>
  <c r="A20450" i="1"/>
  <c r="A20449" i="1"/>
  <c r="A20448" i="1"/>
  <c r="A20447" i="1"/>
  <c r="A20446" i="1"/>
  <c r="A20445" i="1"/>
  <c r="A20444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2040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20389" i="1"/>
  <c r="A20388" i="1"/>
  <c r="A20387" i="1"/>
  <c r="A20386" i="1"/>
  <c r="A20385" i="1"/>
  <c r="A20384" i="1"/>
  <c r="A20383" i="1"/>
  <c r="A20382" i="1"/>
  <c r="A20381" i="1"/>
  <c r="A20380" i="1"/>
  <c r="A20379" i="1"/>
  <c r="A20378" i="1"/>
  <c r="A20377" i="1"/>
  <c r="A20376" i="1"/>
  <c r="A20375" i="1"/>
  <c r="A20374" i="1"/>
  <c r="A20373" i="1"/>
  <c r="A20372" i="1"/>
  <c r="A20371" i="1"/>
  <c r="A20370" i="1"/>
  <c r="A20369" i="1"/>
  <c r="A20368" i="1"/>
  <c r="A20367" i="1"/>
  <c r="A20366" i="1"/>
  <c r="A20365" i="1"/>
  <c r="A20364" i="1"/>
  <c r="A20363" i="1"/>
  <c r="A20362" i="1"/>
  <c r="A20361" i="1"/>
  <c r="A20360" i="1"/>
  <c r="A20359" i="1"/>
  <c r="A20358" i="1"/>
  <c r="A20357" i="1"/>
  <c r="A20356" i="1"/>
  <c r="A20355" i="1"/>
  <c r="A20354" i="1"/>
  <c r="A20353" i="1"/>
  <c r="A20352" i="1"/>
  <c r="A20351" i="1"/>
  <c r="A20350" i="1"/>
  <c r="A20349" i="1"/>
  <c r="A20348" i="1"/>
  <c r="A20347" i="1"/>
  <c r="A20346" i="1"/>
  <c r="A20345" i="1"/>
  <c r="A20344" i="1"/>
  <c r="A20343" i="1"/>
  <c r="A20342" i="1"/>
  <c r="A20341" i="1"/>
  <c r="A20340" i="1"/>
  <c r="A20339" i="1"/>
  <c r="A20338" i="1"/>
  <c r="A20337" i="1"/>
  <c r="A20336" i="1"/>
  <c r="A20335" i="1"/>
  <c r="A20334" i="1"/>
  <c r="A20333" i="1"/>
  <c r="A20332" i="1"/>
  <c r="A20331" i="1"/>
  <c r="A20330" i="1"/>
  <c r="A20329" i="1"/>
  <c r="A20328" i="1"/>
  <c r="A20327" i="1"/>
  <c r="A20326" i="1"/>
  <c r="A20325" i="1"/>
  <c r="A20324" i="1"/>
  <c r="A20323" i="1"/>
  <c r="A20322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20297" i="1"/>
  <c r="A20296" i="1"/>
  <c r="A20295" i="1"/>
  <c r="A20294" i="1"/>
  <c r="A20293" i="1"/>
  <c r="A20292" i="1"/>
  <c r="A20291" i="1"/>
  <c r="A20290" i="1"/>
  <c r="A20289" i="1"/>
  <c r="A20288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20272" i="1"/>
  <c r="A20271" i="1"/>
  <c r="A20270" i="1"/>
  <c r="A20269" i="1"/>
  <c r="A20268" i="1"/>
  <c r="A20267" i="1"/>
  <c r="A20266" i="1"/>
  <c r="A20265" i="1"/>
  <c r="A20264" i="1"/>
  <c r="A20263" i="1"/>
  <c r="A20262" i="1"/>
  <c r="A20261" i="1"/>
  <c r="A20260" i="1"/>
  <c r="A20259" i="1"/>
  <c r="A20258" i="1"/>
  <c r="A20257" i="1"/>
  <c r="A20256" i="1"/>
  <c r="A20255" i="1"/>
  <c r="A20254" i="1"/>
  <c r="A20253" i="1"/>
  <c r="A20252" i="1"/>
  <c r="A20251" i="1"/>
  <c r="A20250" i="1"/>
  <c r="A20249" i="1"/>
  <c r="A20248" i="1"/>
  <c r="A20247" i="1"/>
  <c r="A20246" i="1"/>
  <c r="A20245" i="1"/>
  <c r="A20244" i="1"/>
  <c r="A20243" i="1"/>
  <c r="A20242" i="1"/>
  <c r="A20241" i="1"/>
  <c r="A20240" i="1"/>
  <c r="A20239" i="1"/>
  <c r="A20238" i="1"/>
  <c r="A20237" i="1"/>
  <c r="A20236" i="1"/>
  <c r="A20235" i="1"/>
  <c r="A20234" i="1"/>
  <c r="A20233" i="1"/>
  <c r="A20232" i="1"/>
  <c r="A20231" i="1"/>
  <c r="A20230" i="1"/>
  <c r="A20229" i="1"/>
  <c r="A20228" i="1"/>
  <c r="A20227" i="1"/>
  <c r="A20226" i="1"/>
  <c r="A20225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20212" i="1"/>
  <c r="A20211" i="1"/>
  <c r="A20210" i="1"/>
  <c r="A20209" i="1"/>
  <c r="A20208" i="1"/>
  <c r="A20207" i="1"/>
  <c r="A20206" i="1"/>
  <c r="A20205" i="1"/>
  <c r="A20204" i="1"/>
  <c r="A20203" i="1"/>
  <c r="A20202" i="1"/>
  <c r="A20201" i="1"/>
  <c r="A20200" i="1"/>
  <c r="A20199" i="1"/>
  <c r="A20198" i="1"/>
  <c r="A20197" i="1"/>
  <c r="A20196" i="1"/>
  <c r="A20195" i="1"/>
  <c r="A20194" i="1"/>
  <c r="A20193" i="1"/>
  <c r="A20192" i="1"/>
  <c r="A20191" i="1"/>
  <c r="A20190" i="1"/>
  <c r="A20189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20157" i="1"/>
  <c r="A20156" i="1"/>
  <c r="A20155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20143" i="1"/>
  <c r="A20142" i="1"/>
  <c r="A20141" i="1"/>
  <c r="A20140" i="1"/>
  <c r="A20139" i="1"/>
  <c r="A20138" i="1"/>
  <c r="A20137" i="1"/>
  <c r="A20136" i="1"/>
  <c r="A20135" i="1"/>
  <c r="A20134" i="1"/>
  <c r="A20133" i="1"/>
  <c r="A20132" i="1"/>
  <c r="A20131" i="1"/>
  <c r="A20130" i="1"/>
  <c r="A20129" i="1"/>
  <c r="A20128" i="1"/>
  <c r="A20127" i="1"/>
  <c r="A20126" i="1"/>
  <c r="A20125" i="1"/>
  <c r="A20124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20109" i="1"/>
  <c r="A20108" i="1"/>
  <c r="A20107" i="1"/>
  <c r="A20106" i="1"/>
  <c r="A20105" i="1"/>
  <c r="A20104" i="1"/>
  <c r="A20103" i="1"/>
  <c r="A20102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0073" i="1"/>
  <c r="A20072" i="1"/>
  <c r="A20071" i="1"/>
  <c r="A20070" i="1"/>
  <c r="A20069" i="1"/>
  <c r="A20068" i="1"/>
  <c r="A20067" i="1"/>
  <c r="A20066" i="1"/>
  <c r="A20065" i="1"/>
  <c r="A20064" i="1"/>
  <c r="A20063" i="1"/>
  <c r="A20062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20050" i="1"/>
  <c r="A20049" i="1"/>
  <c r="A20048" i="1"/>
  <c r="A20047" i="1"/>
  <c r="A20046" i="1"/>
  <c r="A20045" i="1"/>
  <c r="A20044" i="1"/>
  <c r="A20043" i="1"/>
  <c r="A20042" i="1"/>
  <c r="A20041" i="1"/>
  <c r="A20040" i="1"/>
  <c r="A20039" i="1"/>
  <c r="A20038" i="1"/>
  <c r="A20037" i="1"/>
  <c r="A20036" i="1"/>
  <c r="A20035" i="1"/>
  <c r="A20034" i="1"/>
  <c r="A20033" i="1"/>
  <c r="A20032" i="1"/>
  <c r="A20031" i="1"/>
  <c r="A20030" i="1"/>
  <c r="A20029" i="1"/>
  <c r="A20028" i="1"/>
  <c r="A20027" i="1"/>
  <c r="A20026" i="1"/>
  <c r="A20025" i="1"/>
  <c r="A20024" i="1"/>
  <c r="A20023" i="1"/>
  <c r="A20022" i="1"/>
  <c r="A20021" i="1"/>
  <c r="A20020" i="1"/>
  <c r="A20019" i="1"/>
  <c r="A20018" i="1"/>
  <c r="A20017" i="1"/>
  <c r="A20016" i="1"/>
  <c r="A20015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0002" i="1"/>
  <c r="A20001" i="1"/>
  <c r="A20000" i="1"/>
  <c r="A19999" i="1"/>
  <c r="A19998" i="1"/>
  <c r="A19997" i="1"/>
  <c r="A19996" i="1"/>
  <c r="A19995" i="1"/>
  <c r="A19994" i="1"/>
  <c r="A19993" i="1"/>
  <c r="A19992" i="1"/>
  <c r="A19991" i="1"/>
  <c r="A19990" i="1"/>
  <c r="A19989" i="1"/>
  <c r="A19988" i="1"/>
  <c r="A19987" i="1"/>
  <c r="A19986" i="1"/>
  <c r="A19985" i="1"/>
  <c r="A19984" i="1"/>
  <c r="A19983" i="1"/>
  <c r="A19982" i="1"/>
  <c r="A19981" i="1"/>
  <c r="A19980" i="1"/>
  <c r="A19979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3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19938" i="1"/>
  <c r="A19937" i="1"/>
  <c r="A19936" i="1"/>
  <c r="A19935" i="1"/>
  <c r="A19934" i="1"/>
  <c r="A19933" i="1"/>
  <c r="A19932" i="1"/>
  <c r="A19931" i="1"/>
  <c r="A19930" i="1"/>
  <c r="A19929" i="1"/>
  <c r="A19928" i="1"/>
  <c r="A19927" i="1"/>
  <c r="A19926" i="1"/>
  <c r="A19925" i="1"/>
  <c r="A19924" i="1"/>
  <c r="A19923" i="1"/>
  <c r="A19922" i="1"/>
  <c r="A19921" i="1"/>
  <c r="A19920" i="1"/>
  <c r="A19919" i="1"/>
  <c r="A19918" i="1"/>
  <c r="A19917" i="1"/>
  <c r="A19916" i="1"/>
  <c r="A19915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9887" i="1"/>
  <c r="A19886" i="1"/>
  <c r="A19885" i="1"/>
  <c r="A19884" i="1"/>
  <c r="A19883" i="1"/>
  <c r="A19882" i="1"/>
  <c r="A19881" i="1"/>
  <c r="A19880" i="1"/>
  <c r="A19879" i="1"/>
  <c r="A19878" i="1"/>
  <c r="A19877" i="1"/>
  <c r="A19876" i="1"/>
  <c r="A19875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62" i="1"/>
  <c r="A19861" i="1"/>
  <c r="A19860" i="1"/>
  <c r="A19859" i="1"/>
  <c r="A19858" i="1"/>
  <c r="A19857" i="1"/>
  <c r="A19856" i="1"/>
  <c r="A19855" i="1"/>
  <c r="A19854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9833" i="1"/>
  <c r="A19832" i="1"/>
  <c r="A19831" i="1"/>
  <c r="A19830" i="1"/>
  <c r="A19829" i="1"/>
  <c r="A19828" i="1"/>
  <c r="A19827" i="1"/>
  <c r="A19826" i="1"/>
  <c r="A19825" i="1"/>
  <c r="A19824" i="1"/>
  <c r="A19823" i="1"/>
  <c r="A19822" i="1"/>
  <c r="A19821" i="1"/>
  <c r="A19820" i="1"/>
  <c r="A19819" i="1"/>
  <c r="A19818" i="1"/>
  <c r="A19817" i="1"/>
  <c r="A19816" i="1"/>
  <c r="A19815" i="1"/>
  <c r="A19814" i="1"/>
  <c r="A19813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9799" i="1"/>
  <c r="A19798" i="1"/>
  <c r="A19797" i="1"/>
  <c r="A19796" i="1"/>
  <c r="A19795" i="1"/>
  <c r="A19794" i="1"/>
  <c r="A19793" i="1"/>
  <c r="A19792" i="1"/>
  <c r="A19791" i="1"/>
  <c r="A19790" i="1"/>
  <c r="A19789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19758" i="1"/>
  <c r="A19757" i="1"/>
  <c r="A19756" i="1"/>
  <c r="A19755" i="1"/>
  <c r="A19754" i="1"/>
  <c r="A19753" i="1"/>
  <c r="A19752" i="1"/>
  <c r="A19751" i="1"/>
  <c r="A19750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9716" i="1"/>
  <c r="A19715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19678" i="1"/>
  <c r="A19677" i="1"/>
  <c r="A19676" i="1"/>
  <c r="A19675" i="1"/>
  <c r="A19674" i="1"/>
  <c r="A19673" i="1"/>
  <c r="A19672" i="1"/>
  <c r="A19671" i="1"/>
  <c r="A19670" i="1"/>
  <c r="A19669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9656" i="1"/>
  <c r="A19655" i="1"/>
  <c r="A19654" i="1"/>
  <c r="A19653" i="1"/>
  <c r="A19652" i="1"/>
  <c r="A19651" i="1"/>
  <c r="A19650" i="1"/>
  <c r="A19649" i="1"/>
  <c r="A19648" i="1"/>
  <c r="A19647" i="1"/>
  <c r="A19646" i="1"/>
  <c r="A19645" i="1"/>
  <c r="A19644" i="1"/>
  <c r="A19643" i="1"/>
  <c r="A19642" i="1"/>
  <c r="A19641" i="1"/>
  <c r="A19640" i="1"/>
  <c r="A19639" i="1"/>
  <c r="A19638" i="1"/>
  <c r="A19637" i="1"/>
  <c r="A19636" i="1"/>
  <c r="A19635" i="1"/>
  <c r="A19634" i="1"/>
  <c r="A19633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19608" i="1"/>
  <c r="A19607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9583" i="1"/>
  <c r="A19582" i="1"/>
  <c r="A19581" i="1"/>
  <c r="A19580" i="1"/>
  <c r="A19579" i="1"/>
  <c r="A19578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9566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9554" i="1"/>
  <c r="A19553" i="1"/>
  <c r="A19552" i="1"/>
  <c r="A19551" i="1"/>
  <c r="A19550" i="1"/>
  <c r="A19549" i="1"/>
  <c r="A1954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19532" i="1"/>
  <c r="A19531" i="1"/>
  <c r="A19530" i="1"/>
  <c r="A19529" i="1"/>
  <c r="A19528" i="1"/>
  <c r="A19527" i="1"/>
  <c r="A19526" i="1"/>
  <c r="A19525" i="1"/>
  <c r="A19524" i="1"/>
  <c r="A19523" i="1"/>
  <c r="A19522" i="1"/>
  <c r="A19521" i="1"/>
  <c r="A19520" i="1"/>
  <c r="A19519" i="1"/>
  <c r="A19518" i="1"/>
  <c r="A19517" i="1"/>
  <c r="A19516" i="1"/>
  <c r="A19515" i="1"/>
  <c r="A19514" i="1"/>
  <c r="A19513" i="1"/>
  <c r="A19512" i="1"/>
  <c r="A19511" i="1"/>
  <c r="A19510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19487" i="1"/>
  <c r="A19486" i="1"/>
  <c r="A19485" i="1"/>
  <c r="A19484" i="1"/>
  <c r="A19483" i="1"/>
  <c r="A19482" i="1"/>
  <c r="A19481" i="1"/>
  <c r="A19480" i="1"/>
  <c r="A19479" i="1"/>
  <c r="A19478" i="1"/>
  <c r="A19477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9434" i="1"/>
  <c r="A19433" i="1"/>
  <c r="A19432" i="1"/>
  <c r="A19431" i="1"/>
  <c r="A19430" i="1"/>
  <c r="A19429" i="1"/>
  <c r="A19428" i="1"/>
  <c r="A19427" i="1"/>
  <c r="A19426" i="1"/>
  <c r="A19425" i="1"/>
  <c r="A19424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9404" i="1"/>
  <c r="A19403" i="1"/>
  <c r="A19402" i="1"/>
  <c r="A19401" i="1"/>
  <c r="A19400" i="1"/>
  <c r="A19399" i="1"/>
  <c r="A19398" i="1"/>
  <c r="A19397" i="1"/>
  <c r="A19396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19380" i="1"/>
  <c r="A19379" i="1"/>
  <c r="A19378" i="1"/>
  <c r="A19377" i="1"/>
  <c r="A19376" i="1"/>
  <c r="A19375" i="1"/>
  <c r="A19374" i="1"/>
  <c r="A19373" i="1"/>
  <c r="A19372" i="1"/>
  <c r="A19371" i="1"/>
  <c r="A19370" i="1"/>
  <c r="A19369" i="1"/>
  <c r="A19368" i="1"/>
  <c r="A19367" i="1"/>
  <c r="A19366" i="1"/>
  <c r="A19365" i="1"/>
  <c r="A19364" i="1"/>
  <c r="A19363" i="1"/>
  <c r="A19362" i="1"/>
  <c r="A19361" i="1"/>
  <c r="A19360" i="1"/>
  <c r="A19359" i="1"/>
  <c r="A19358" i="1"/>
  <c r="A19357" i="1"/>
  <c r="A19356" i="1"/>
  <c r="A19355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321" i="1"/>
  <c r="A19320" i="1"/>
  <c r="A19319" i="1"/>
  <c r="A19318" i="1"/>
  <c r="A19317" i="1"/>
  <c r="A19316" i="1"/>
  <c r="A19315" i="1"/>
  <c r="A19314" i="1"/>
  <c r="A19313" i="1"/>
  <c r="A19312" i="1"/>
  <c r="A19311" i="1"/>
  <c r="A19310" i="1"/>
  <c r="A19309" i="1"/>
  <c r="A19308" i="1"/>
  <c r="A19307" i="1"/>
  <c r="A19306" i="1"/>
  <c r="A19305" i="1"/>
  <c r="A19304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19291" i="1"/>
  <c r="A19290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5" i="1"/>
  <c r="A19264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19245" i="1"/>
  <c r="A19244" i="1"/>
  <c r="A19243" i="1"/>
  <c r="A19242" i="1"/>
  <c r="A19241" i="1"/>
  <c r="A19240" i="1"/>
  <c r="A19239" i="1"/>
  <c r="A19238" i="1"/>
  <c r="A19237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90" i="1"/>
  <c r="A19189" i="1"/>
  <c r="A19188" i="1"/>
  <c r="A19187" i="1"/>
  <c r="A19186" i="1"/>
  <c r="A19185" i="1"/>
  <c r="A19184" i="1"/>
  <c r="A19183" i="1"/>
  <c r="A19182" i="1"/>
  <c r="A19181" i="1"/>
  <c r="A19180" i="1"/>
  <c r="A19179" i="1"/>
  <c r="A19178" i="1"/>
  <c r="A19177" i="1"/>
  <c r="A19176" i="1"/>
  <c r="A19175" i="1"/>
  <c r="A19174" i="1"/>
  <c r="A19173" i="1"/>
  <c r="A19172" i="1"/>
  <c r="A19171" i="1"/>
  <c r="A19170" i="1"/>
  <c r="A19169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19120" i="1"/>
  <c r="A19119" i="1"/>
  <c r="A19118" i="1"/>
  <c r="A19117" i="1"/>
  <c r="A19116" i="1"/>
  <c r="A19115" i="1"/>
  <c r="A19114" i="1"/>
  <c r="A19113" i="1"/>
  <c r="A19112" i="1"/>
  <c r="A19111" i="1"/>
  <c r="A19110" i="1"/>
  <c r="A19109" i="1"/>
  <c r="A19108" i="1"/>
  <c r="A19107" i="1"/>
  <c r="A19106" i="1"/>
  <c r="A19105" i="1"/>
  <c r="A19104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19064" i="1"/>
  <c r="A19063" i="1"/>
  <c r="A19062" i="1"/>
  <c r="A19061" i="1"/>
  <c r="A19060" i="1"/>
  <c r="A19059" i="1"/>
  <c r="A19058" i="1"/>
  <c r="A19057" i="1"/>
  <c r="A19056" i="1"/>
  <c r="A19055" i="1"/>
  <c r="A19054" i="1"/>
  <c r="A19053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9010" i="1"/>
  <c r="A19009" i="1"/>
  <c r="A19008" i="1"/>
  <c r="A19007" i="1"/>
  <c r="A19006" i="1"/>
  <c r="A19005" i="1"/>
  <c r="A19004" i="1"/>
  <c r="A19003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18900" i="1"/>
  <c r="A18899" i="1"/>
  <c r="A18898" i="1"/>
  <c r="A18897" i="1"/>
  <c r="A18896" i="1"/>
  <c r="A18895" i="1"/>
  <c r="A18894" i="1"/>
  <c r="A18893" i="1"/>
  <c r="A18892" i="1"/>
  <c r="A18891" i="1"/>
  <c r="A18890" i="1"/>
  <c r="A18889" i="1"/>
  <c r="A18888" i="1"/>
  <c r="A18887" i="1"/>
  <c r="A18886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18857" i="1"/>
  <c r="A18856" i="1"/>
  <c r="A18855" i="1"/>
  <c r="A18854" i="1"/>
  <c r="A18853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8787" i="1"/>
  <c r="A18786" i="1"/>
  <c r="A18785" i="1"/>
  <c r="A18784" i="1"/>
  <c r="A18783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8762" i="1"/>
  <c r="A18761" i="1"/>
  <c r="A18760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8723" i="1"/>
  <c r="A18722" i="1"/>
  <c r="A18721" i="1"/>
  <c r="A18720" i="1"/>
  <c r="A18719" i="1"/>
  <c r="A18718" i="1"/>
  <c r="A18717" i="1"/>
  <c r="A18716" i="1"/>
  <c r="A18715" i="1"/>
  <c r="A18714" i="1"/>
  <c r="A18713" i="1"/>
  <c r="A18712" i="1"/>
  <c r="A18711" i="1"/>
  <c r="A18710" i="1"/>
  <c r="A18709" i="1"/>
  <c r="A18708" i="1"/>
  <c r="A18707" i="1"/>
  <c r="A18706" i="1"/>
  <c r="A18705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8679" i="1"/>
  <c r="A18678" i="1"/>
  <c r="A18677" i="1"/>
  <c r="A18676" i="1"/>
  <c r="A18675" i="1"/>
  <c r="A18674" i="1"/>
  <c r="A18673" i="1"/>
  <c r="A18672" i="1"/>
  <c r="A18671" i="1"/>
  <c r="A18670" i="1"/>
  <c r="A18669" i="1"/>
  <c r="A18668" i="1"/>
  <c r="A18667" i="1"/>
  <c r="A18666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5" i="1"/>
  <c r="A18574" i="1"/>
  <c r="A18573" i="1"/>
  <c r="A18572" i="1"/>
  <c r="A18571" i="1"/>
  <c r="A18570" i="1"/>
  <c r="A18569" i="1"/>
  <c r="A18568" i="1"/>
  <c r="A18567" i="1"/>
  <c r="A18566" i="1"/>
  <c r="A18565" i="1"/>
  <c r="A18564" i="1"/>
  <c r="A18563" i="1"/>
  <c r="A18562" i="1"/>
  <c r="A18561" i="1"/>
  <c r="A18560" i="1"/>
  <c r="A18559" i="1"/>
  <c r="A18558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9" i="1"/>
  <c r="A18528" i="1"/>
  <c r="A18527" i="1"/>
  <c r="A18526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18450" i="1"/>
  <c r="A18449" i="1"/>
  <c r="A18448" i="1"/>
  <c r="A18447" i="1"/>
  <c r="A18446" i="1"/>
  <c r="A18445" i="1"/>
  <c r="A18444" i="1"/>
  <c r="A18443" i="1"/>
  <c r="A18442" i="1"/>
  <c r="A18441" i="1"/>
  <c r="A18440" i="1"/>
  <c r="A18439" i="1"/>
  <c r="A18438" i="1"/>
  <c r="A18437" i="1"/>
  <c r="A18436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8410" i="1"/>
  <c r="A18409" i="1"/>
  <c r="A18408" i="1"/>
  <c r="A18407" i="1"/>
  <c r="A18406" i="1"/>
  <c r="A18405" i="1"/>
  <c r="A18404" i="1"/>
  <c r="A18403" i="1"/>
  <c r="A18402" i="1"/>
  <c r="A18401" i="1"/>
  <c r="A18400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18376" i="1"/>
  <c r="A18375" i="1"/>
  <c r="A18374" i="1"/>
  <c r="A18373" i="1"/>
  <c r="A18372" i="1"/>
  <c r="A18371" i="1"/>
  <c r="A18370" i="1"/>
  <c r="A18369" i="1"/>
  <c r="A18368" i="1"/>
  <c r="A18367" i="1"/>
  <c r="A18366" i="1"/>
  <c r="A18365" i="1"/>
  <c r="A18364" i="1"/>
  <c r="A18363" i="1"/>
  <c r="A18362" i="1"/>
  <c r="A18361" i="1"/>
  <c r="A18360" i="1"/>
  <c r="A18359" i="1"/>
  <c r="A18358" i="1"/>
  <c r="A18357" i="1"/>
  <c r="A18356" i="1"/>
  <c r="A18355" i="1"/>
  <c r="A18354" i="1"/>
  <c r="A18353" i="1"/>
  <c r="A18352" i="1"/>
  <c r="A18351" i="1"/>
  <c r="A18350" i="1"/>
  <c r="A18349" i="1"/>
  <c r="A18348" i="1"/>
  <c r="A18347" i="1"/>
  <c r="A18346" i="1"/>
  <c r="A18345" i="1"/>
  <c r="A18344" i="1"/>
  <c r="A18343" i="1"/>
  <c r="A18342" i="1"/>
  <c r="A18341" i="1"/>
  <c r="A18340" i="1"/>
  <c r="A18339" i="1"/>
  <c r="A18338" i="1"/>
  <c r="A18337" i="1"/>
  <c r="A18336" i="1"/>
  <c r="A18335" i="1"/>
  <c r="A18334" i="1"/>
  <c r="A18333" i="1"/>
  <c r="A18332" i="1"/>
  <c r="A18331" i="1"/>
  <c r="A18330" i="1"/>
  <c r="A18329" i="1"/>
  <c r="A18328" i="1"/>
  <c r="A18327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18290" i="1"/>
  <c r="A18289" i="1"/>
  <c r="A18288" i="1"/>
  <c r="A18287" i="1"/>
  <c r="A18286" i="1"/>
  <c r="A18285" i="1"/>
  <c r="A18284" i="1"/>
  <c r="A18283" i="1"/>
  <c r="A18282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8265" i="1"/>
  <c r="A18264" i="1"/>
  <c r="A18263" i="1"/>
  <c r="A18262" i="1"/>
  <c r="A18261" i="1"/>
  <c r="A18260" i="1"/>
  <c r="A18259" i="1"/>
  <c r="A18258" i="1"/>
  <c r="A18257" i="1"/>
  <c r="A18256" i="1"/>
  <c r="A18255" i="1"/>
  <c r="A18254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7" i="1"/>
  <c r="A18236" i="1"/>
  <c r="A18235" i="1"/>
  <c r="A18234" i="1"/>
  <c r="A18233" i="1"/>
  <c r="A18232" i="1"/>
  <c r="A18231" i="1"/>
  <c r="A18230" i="1"/>
  <c r="A18229" i="1"/>
  <c r="A18228" i="1"/>
  <c r="A18227" i="1"/>
  <c r="A18226" i="1"/>
  <c r="A18225" i="1"/>
  <c r="A18224" i="1"/>
  <c r="A18223" i="1"/>
  <c r="A18222" i="1"/>
  <c r="A18221" i="1"/>
  <c r="A18220" i="1"/>
  <c r="A18219" i="1"/>
  <c r="A18218" i="1"/>
  <c r="A18217" i="1"/>
  <c r="A18216" i="1"/>
  <c r="A18215" i="1"/>
  <c r="A18214" i="1"/>
  <c r="A18213" i="1"/>
  <c r="A18212" i="1"/>
  <c r="A18211" i="1"/>
  <c r="A18210" i="1"/>
  <c r="A18209" i="1"/>
  <c r="A18208" i="1"/>
  <c r="A18207" i="1"/>
  <c r="A18206" i="1"/>
  <c r="A18205" i="1"/>
  <c r="A18204" i="1"/>
  <c r="A18203" i="1"/>
  <c r="A18202" i="1"/>
  <c r="A18201" i="1"/>
  <c r="A18200" i="1"/>
  <c r="A18199" i="1"/>
  <c r="A18198" i="1"/>
  <c r="A18197" i="1"/>
  <c r="A18196" i="1"/>
  <c r="A18195" i="1"/>
  <c r="A18194" i="1"/>
  <c r="A18193" i="1"/>
  <c r="A18192" i="1"/>
  <c r="A18191" i="1"/>
  <c r="A18190" i="1"/>
  <c r="A18189" i="1"/>
  <c r="A18188" i="1"/>
  <c r="A18187" i="1"/>
  <c r="A18186" i="1"/>
  <c r="A18185" i="1"/>
  <c r="A18184" i="1"/>
  <c r="A18183" i="1"/>
  <c r="A18182" i="1"/>
  <c r="A18181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4" i="1"/>
  <c r="A18163" i="1"/>
  <c r="A18162" i="1"/>
  <c r="A18161" i="1"/>
  <c r="A18160" i="1"/>
  <c r="A18159" i="1"/>
  <c r="A18158" i="1"/>
  <c r="A18157" i="1"/>
  <c r="A18156" i="1"/>
  <c r="A18155" i="1"/>
  <c r="A18154" i="1"/>
  <c r="A18153" i="1"/>
  <c r="A18152" i="1"/>
  <c r="A18151" i="1"/>
  <c r="A18150" i="1"/>
  <c r="A18149" i="1"/>
  <c r="A18148" i="1"/>
  <c r="A18147" i="1"/>
  <c r="A18146" i="1"/>
  <c r="A18145" i="1"/>
  <c r="A18144" i="1"/>
  <c r="A18143" i="1"/>
  <c r="A18142" i="1"/>
  <c r="A18141" i="1"/>
  <c r="A18140" i="1"/>
  <c r="A18139" i="1"/>
  <c r="A18138" i="1"/>
  <c r="A18137" i="1"/>
  <c r="A18136" i="1"/>
  <c r="A18135" i="1"/>
  <c r="A18134" i="1"/>
  <c r="A18133" i="1"/>
  <c r="A18132" i="1"/>
  <c r="A18131" i="1"/>
  <c r="A18130" i="1"/>
  <c r="A18129" i="1"/>
  <c r="A18128" i="1"/>
  <c r="A18127" i="1"/>
  <c r="A18126" i="1"/>
  <c r="A18125" i="1"/>
  <c r="A18124" i="1"/>
  <c r="A18123" i="1"/>
  <c r="A18122" i="1"/>
  <c r="A18121" i="1"/>
  <c r="A18120" i="1"/>
  <c r="A18119" i="1"/>
  <c r="A18118" i="1"/>
  <c r="A18117" i="1"/>
  <c r="A18116" i="1"/>
  <c r="A18115" i="1"/>
  <c r="A18114" i="1"/>
  <c r="A18113" i="1"/>
  <c r="A18112" i="1"/>
  <c r="A18111" i="1"/>
  <c r="A18110" i="1"/>
  <c r="A18109" i="1"/>
  <c r="A18108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1" i="1"/>
  <c r="A18090" i="1"/>
  <c r="A18089" i="1"/>
  <c r="A18088" i="1"/>
  <c r="A18087" i="1"/>
  <c r="A18086" i="1"/>
  <c r="A18085" i="1"/>
  <c r="A18084" i="1"/>
  <c r="A18083" i="1"/>
  <c r="A18082" i="1"/>
  <c r="A18081" i="1"/>
  <c r="A18080" i="1"/>
  <c r="A18079" i="1"/>
  <c r="A18078" i="1"/>
  <c r="A18077" i="1"/>
  <c r="A18076" i="1"/>
  <c r="A18075" i="1"/>
  <c r="A18074" i="1"/>
  <c r="A18073" i="1"/>
  <c r="A18072" i="1"/>
  <c r="A18071" i="1"/>
  <c r="A18070" i="1"/>
  <c r="A18069" i="1"/>
  <c r="A18068" i="1"/>
  <c r="A18067" i="1"/>
  <c r="A18066" i="1"/>
  <c r="A18065" i="1"/>
  <c r="A18064" i="1"/>
  <c r="A18063" i="1"/>
  <c r="A18062" i="1"/>
  <c r="A18061" i="1"/>
  <c r="A18060" i="1"/>
  <c r="A18059" i="1"/>
  <c r="A18058" i="1"/>
  <c r="A18057" i="1"/>
  <c r="A18056" i="1"/>
  <c r="A18055" i="1"/>
  <c r="A18054" i="1"/>
  <c r="A18053" i="1"/>
  <c r="A18052" i="1"/>
  <c r="A18051" i="1"/>
  <c r="A18050" i="1"/>
  <c r="A18049" i="1"/>
  <c r="A18048" i="1"/>
  <c r="A18047" i="1"/>
  <c r="A18046" i="1"/>
  <c r="A18045" i="1"/>
  <c r="A18044" i="1"/>
  <c r="A18043" i="1"/>
  <c r="A18042" i="1"/>
  <c r="A18041" i="1"/>
  <c r="A18040" i="1"/>
  <c r="A18039" i="1"/>
  <c r="A18038" i="1"/>
  <c r="A18037" i="1"/>
  <c r="A18036" i="1"/>
  <c r="A18035" i="1"/>
  <c r="A18034" i="1"/>
  <c r="A18033" i="1"/>
  <c r="A18032" i="1"/>
  <c r="A18031" i="1"/>
  <c r="A18030" i="1"/>
  <c r="A18029" i="1"/>
  <c r="A18028" i="1"/>
  <c r="A18027" i="1"/>
  <c r="A18026" i="1"/>
  <c r="A18025" i="1"/>
  <c r="A18024" i="1"/>
  <c r="A18023" i="1"/>
  <c r="A18022" i="1"/>
  <c r="A18021" i="1"/>
  <c r="A18020" i="1"/>
  <c r="A18019" i="1"/>
  <c r="A18018" i="1"/>
  <c r="A18017" i="1"/>
  <c r="A18016" i="1"/>
  <c r="A18015" i="1"/>
  <c r="A18014" i="1"/>
  <c r="A18013" i="1"/>
  <c r="A18012" i="1"/>
  <c r="A18011" i="1"/>
  <c r="A18010" i="1"/>
  <c r="A18009" i="1"/>
  <c r="A18008" i="1"/>
  <c r="A18007" i="1"/>
  <c r="A18006" i="1"/>
  <c r="A18005" i="1"/>
  <c r="A18004" i="1"/>
  <c r="A18003" i="1"/>
  <c r="A18002" i="1"/>
  <c r="A18001" i="1"/>
  <c r="A18000" i="1"/>
  <c r="A17999" i="1"/>
  <c r="A17998" i="1"/>
  <c r="A17997" i="1"/>
  <c r="A17996" i="1"/>
  <c r="A17995" i="1"/>
  <c r="A17994" i="1"/>
  <c r="A17993" i="1"/>
  <c r="A17992" i="1"/>
  <c r="A17991" i="1"/>
  <c r="A17990" i="1"/>
  <c r="A17989" i="1"/>
  <c r="A17988" i="1"/>
  <c r="A17987" i="1"/>
  <c r="A17986" i="1"/>
  <c r="A17985" i="1"/>
  <c r="A17984" i="1"/>
  <c r="A17983" i="1"/>
  <c r="A17982" i="1"/>
  <c r="A17981" i="1"/>
  <c r="A17980" i="1"/>
  <c r="A17979" i="1"/>
  <c r="A17978" i="1"/>
  <c r="A17977" i="1"/>
  <c r="A17976" i="1"/>
  <c r="A17975" i="1"/>
  <c r="A17974" i="1"/>
  <c r="A17973" i="1"/>
  <c r="A17972" i="1"/>
  <c r="A17971" i="1"/>
  <c r="A17970" i="1"/>
  <c r="A17969" i="1"/>
  <c r="A17968" i="1"/>
  <c r="A17967" i="1"/>
  <c r="A17966" i="1"/>
  <c r="A17965" i="1"/>
  <c r="A17964" i="1"/>
  <c r="A17963" i="1"/>
  <c r="A17962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5" i="1"/>
  <c r="A17944" i="1"/>
  <c r="A17943" i="1"/>
  <c r="A17942" i="1"/>
  <c r="A17941" i="1"/>
  <c r="A17940" i="1"/>
  <c r="A17939" i="1"/>
  <c r="A17938" i="1"/>
  <c r="A17937" i="1"/>
  <c r="A17936" i="1"/>
  <c r="A17935" i="1"/>
  <c r="A17934" i="1"/>
  <c r="A17933" i="1"/>
  <c r="A17932" i="1"/>
  <c r="A17931" i="1"/>
  <c r="A17930" i="1"/>
  <c r="A17929" i="1"/>
  <c r="A17928" i="1"/>
  <c r="A17927" i="1"/>
  <c r="A17926" i="1"/>
  <c r="A17925" i="1"/>
  <c r="A17924" i="1"/>
  <c r="A17923" i="1"/>
  <c r="A17922" i="1"/>
  <c r="A17921" i="1"/>
  <c r="A17920" i="1"/>
  <c r="A17919" i="1"/>
  <c r="A17918" i="1"/>
  <c r="A17917" i="1"/>
  <c r="A17916" i="1"/>
  <c r="A17915" i="1"/>
  <c r="A17914" i="1"/>
  <c r="A17913" i="1"/>
  <c r="A17912" i="1"/>
  <c r="A17911" i="1"/>
  <c r="A17910" i="1"/>
  <c r="A17909" i="1"/>
  <c r="A17908" i="1"/>
  <c r="A17907" i="1"/>
  <c r="A17906" i="1"/>
  <c r="A17905" i="1"/>
  <c r="A17904" i="1"/>
  <c r="A17903" i="1"/>
  <c r="A17902" i="1"/>
  <c r="A17901" i="1"/>
  <c r="A17900" i="1"/>
  <c r="A17899" i="1"/>
  <c r="A17898" i="1"/>
  <c r="A17897" i="1"/>
  <c r="A17896" i="1"/>
  <c r="A17895" i="1"/>
  <c r="A17894" i="1"/>
  <c r="A17893" i="1"/>
  <c r="A17892" i="1"/>
  <c r="A17891" i="1"/>
  <c r="A17890" i="1"/>
  <c r="A17889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2" i="1"/>
  <c r="A17871" i="1"/>
  <c r="A17870" i="1"/>
  <c r="A17869" i="1"/>
  <c r="A17868" i="1"/>
  <c r="A17867" i="1"/>
  <c r="A17866" i="1"/>
  <c r="A17865" i="1"/>
  <c r="A17864" i="1"/>
  <c r="A17863" i="1"/>
  <c r="A17862" i="1"/>
  <c r="A17861" i="1"/>
  <c r="A17860" i="1"/>
  <c r="A17859" i="1"/>
  <c r="A17858" i="1"/>
  <c r="A17857" i="1"/>
  <c r="A17856" i="1"/>
  <c r="A17855" i="1"/>
  <c r="A17854" i="1"/>
  <c r="A17853" i="1"/>
  <c r="A17852" i="1"/>
  <c r="A17851" i="1"/>
  <c r="A17850" i="1"/>
  <c r="A17849" i="1"/>
  <c r="A17848" i="1"/>
  <c r="A17847" i="1"/>
  <c r="A17846" i="1"/>
  <c r="A17845" i="1"/>
  <c r="A17844" i="1"/>
  <c r="A17843" i="1"/>
  <c r="A17842" i="1"/>
  <c r="A17841" i="1"/>
  <c r="A17840" i="1"/>
  <c r="A17839" i="1"/>
  <c r="A17838" i="1"/>
  <c r="A17837" i="1"/>
  <c r="A17836" i="1"/>
  <c r="A17835" i="1"/>
  <c r="A17834" i="1"/>
  <c r="A17833" i="1"/>
  <c r="A17832" i="1"/>
  <c r="A17831" i="1"/>
  <c r="A17830" i="1"/>
  <c r="A17829" i="1"/>
  <c r="A17828" i="1"/>
  <c r="A17827" i="1"/>
  <c r="A17826" i="1"/>
  <c r="A17825" i="1"/>
  <c r="A17824" i="1"/>
  <c r="A17823" i="1"/>
  <c r="A17822" i="1"/>
  <c r="A17821" i="1"/>
  <c r="A17820" i="1"/>
  <c r="A17819" i="1"/>
  <c r="A17818" i="1"/>
  <c r="A17817" i="1"/>
  <c r="A17816" i="1"/>
  <c r="A17815" i="1"/>
  <c r="A17814" i="1"/>
  <c r="A17813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9" i="1"/>
  <c r="A17798" i="1"/>
  <c r="A17797" i="1"/>
  <c r="A17796" i="1"/>
  <c r="A17795" i="1"/>
  <c r="A17794" i="1"/>
  <c r="A17793" i="1"/>
  <c r="A17792" i="1"/>
  <c r="A17791" i="1"/>
  <c r="A17790" i="1"/>
  <c r="A17789" i="1"/>
  <c r="A17788" i="1"/>
  <c r="A17787" i="1"/>
  <c r="A17786" i="1"/>
  <c r="A17785" i="1"/>
  <c r="A17784" i="1"/>
  <c r="A17783" i="1"/>
  <c r="A17782" i="1"/>
  <c r="A17781" i="1"/>
  <c r="A17780" i="1"/>
  <c r="A17779" i="1"/>
  <c r="A17778" i="1"/>
  <c r="A17777" i="1"/>
  <c r="A17776" i="1"/>
  <c r="A17775" i="1"/>
  <c r="A17774" i="1"/>
  <c r="A17773" i="1"/>
  <c r="A17772" i="1"/>
  <c r="A17771" i="1"/>
  <c r="A17770" i="1"/>
  <c r="A17769" i="1"/>
  <c r="A17768" i="1"/>
  <c r="A17767" i="1"/>
  <c r="A17766" i="1"/>
  <c r="A17765" i="1"/>
  <c r="A17764" i="1"/>
  <c r="A17763" i="1"/>
  <c r="A17762" i="1"/>
  <c r="A17761" i="1"/>
  <c r="A17760" i="1"/>
  <c r="A17759" i="1"/>
  <c r="A17758" i="1"/>
  <c r="A17757" i="1"/>
  <c r="A17756" i="1"/>
  <c r="A17755" i="1"/>
  <c r="A17754" i="1"/>
  <c r="A17753" i="1"/>
  <c r="A17752" i="1"/>
  <c r="A17751" i="1"/>
  <c r="A17750" i="1"/>
  <c r="A17749" i="1"/>
  <c r="A17748" i="1"/>
  <c r="A17747" i="1"/>
  <c r="A17746" i="1"/>
  <c r="A17745" i="1"/>
  <c r="A17744" i="1"/>
  <c r="A17743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6" i="1"/>
  <c r="A17725" i="1"/>
  <c r="A17724" i="1"/>
  <c r="A17723" i="1"/>
  <c r="A17722" i="1"/>
  <c r="A17721" i="1"/>
  <c r="A17720" i="1"/>
  <c r="A17719" i="1"/>
  <c r="A17718" i="1"/>
  <c r="A17717" i="1"/>
  <c r="A17716" i="1"/>
  <c r="A17715" i="1"/>
  <c r="A17714" i="1"/>
  <c r="A17713" i="1"/>
  <c r="A17712" i="1"/>
  <c r="A17711" i="1"/>
  <c r="A17710" i="1"/>
  <c r="A17709" i="1"/>
  <c r="A17708" i="1"/>
  <c r="A17707" i="1"/>
  <c r="A17706" i="1"/>
  <c r="A17705" i="1"/>
  <c r="A17704" i="1"/>
  <c r="A17703" i="1"/>
  <c r="A17702" i="1"/>
  <c r="A17701" i="1"/>
  <c r="A17700" i="1"/>
  <c r="A17699" i="1"/>
  <c r="A17698" i="1"/>
  <c r="A17697" i="1"/>
  <c r="A17696" i="1"/>
  <c r="A17695" i="1"/>
  <c r="A17694" i="1"/>
  <c r="A17693" i="1"/>
  <c r="A17692" i="1"/>
  <c r="A17691" i="1"/>
  <c r="A17690" i="1"/>
  <c r="A17689" i="1"/>
  <c r="A17688" i="1"/>
  <c r="A17687" i="1"/>
  <c r="A17686" i="1"/>
  <c r="A17685" i="1"/>
  <c r="A17684" i="1"/>
  <c r="A17683" i="1"/>
  <c r="A17682" i="1"/>
  <c r="A17681" i="1"/>
  <c r="A17680" i="1"/>
  <c r="A17679" i="1"/>
  <c r="A17678" i="1"/>
  <c r="A17677" i="1"/>
  <c r="A17676" i="1"/>
  <c r="A17675" i="1"/>
  <c r="A17674" i="1"/>
  <c r="A17673" i="1"/>
  <c r="A17672" i="1"/>
  <c r="A17671" i="1"/>
  <c r="A17670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3" i="1"/>
  <c r="A17652" i="1"/>
  <c r="A17651" i="1"/>
  <c r="A17650" i="1"/>
  <c r="A17649" i="1"/>
  <c r="A17648" i="1"/>
  <c r="A17647" i="1"/>
  <c r="A17646" i="1"/>
  <c r="A17645" i="1"/>
  <c r="A17644" i="1"/>
  <c r="A17643" i="1"/>
  <c r="A17642" i="1"/>
  <c r="A17641" i="1"/>
  <c r="A17640" i="1"/>
  <c r="A17639" i="1"/>
  <c r="A17638" i="1"/>
  <c r="A17637" i="1"/>
  <c r="A17636" i="1"/>
  <c r="A17635" i="1"/>
  <c r="A17634" i="1"/>
  <c r="A17633" i="1"/>
  <c r="A17632" i="1"/>
  <c r="A17631" i="1"/>
  <c r="A17630" i="1"/>
  <c r="A17629" i="1"/>
  <c r="A17628" i="1"/>
  <c r="A17627" i="1"/>
  <c r="A17626" i="1"/>
  <c r="A17625" i="1"/>
  <c r="A17624" i="1"/>
  <c r="A17623" i="1"/>
  <c r="A17622" i="1"/>
  <c r="A17621" i="1"/>
  <c r="A17620" i="1"/>
  <c r="A17619" i="1"/>
  <c r="A17618" i="1"/>
  <c r="A17617" i="1"/>
  <c r="A17616" i="1"/>
  <c r="A17615" i="1"/>
  <c r="A17614" i="1"/>
  <c r="A17613" i="1"/>
  <c r="A17612" i="1"/>
  <c r="A17611" i="1"/>
  <c r="A17610" i="1"/>
  <c r="A17609" i="1"/>
  <c r="A17608" i="1"/>
  <c r="A17607" i="1"/>
  <c r="A17606" i="1"/>
  <c r="A17605" i="1"/>
  <c r="A17604" i="1"/>
  <c r="A17603" i="1"/>
  <c r="A17602" i="1"/>
  <c r="A17601" i="1"/>
  <c r="A17600" i="1"/>
  <c r="A17599" i="1"/>
  <c r="A17598" i="1"/>
  <c r="A17597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80" i="1"/>
  <c r="A17579" i="1"/>
  <c r="A17578" i="1"/>
  <c r="A17577" i="1"/>
  <c r="A17576" i="1"/>
  <c r="A17575" i="1"/>
  <c r="A17574" i="1"/>
  <c r="A17573" i="1"/>
  <c r="A17572" i="1"/>
  <c r="A17571" i="1"/>
  <c r="A17570" i="1"/>
  <c r="A17569" i="1"/>
  <c r="A17568" i="1"/>
  <c r="A17567" i="1"/>
  <c r="A17566" i="1"/>
  <c r="A17565" i="1"/>
  <c r="A17564" i="1"/>
  <c r="A17563" i="1"/>
  <c r="A17562" i="1"/>
  <c r="A17561" i="1"/>
  <c r="A17560" i="1"/>
  <c r="A17559" i="1"/>
  <c r="A17558" i="1"/>
  <c r="A17557" i="1"/>
  <c r="A17556" i="1"/>
  <c r="A17555" i="1"/>
  <c r="A17554" i="1"/>
  <c r="A17553" i="1"/>
  <c r="A17552" i="1"/>
  <c r="A17551" i="1"/>
  <c r="A17550" i="1"/>
  <c r="A17549" i="1"/>
  <c r="A17548" i="1"/>
  <c r="A17547" i="1"/>
  <c r="A17546" i="1"/>
  <c r="A17545" i="1"/>
  <c r="A17544" i="1"/>
  <c r="A17543" i="1"/>
  <c r="A17542" i="1"/>
  <c r="A17541" i="1"/>
  <c r="A17540" i="1"/>
  <c r="A17539" i="1"/>
  <c r="A17538" i="1"/>
  <c r="A17537" i="1"/>
  <c r="A17536" i="1"/>
  <c r="A17535" i="1"/>
  <c r="A17534" i="1"/>
  <c r="A17533" i="1"/>
  <c r="A17532" i="1"/>
  <c r="A17531" i="1"/>
  <c r="A17530" i="1"/>
  <c r="A17529" i="1"/>
  <c r="A17528" i="1"/>
  <c r="A17527" i="1"/>
  <c r="A17526" i="1"/>
  <c r="A17525" i="1"/>
  <c r="A17524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3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<sst xmlns="http://schemas.openxmlformats.org/spreadsheetml/2006/main" count="37402" uniqueCount="131">
  <si>
    <t>Part Number-SKU</t>
  </si>
  <si>
    <t>Manufature</t>
  </si>
  <si>
    <t>Qty</t>
  </si>
  <si>
    <t>Description</t>
  </si>
  <si>
    <t>Price</t>
  </si>
  <si>
    <t>National Semiconductor</t>
  </si>
  <si>
    <t>Sample and Hold Circuit</t>
  </si>
  <si>
    <t>Switching Regulator or Controller</t>
  </si>
  <si>
    <t>Analog Temperature Sensor</t>
  </si>
  <si>
    <t>Comparator</t>
  </si>
  <si>
    <t>Display Driver</t>
  </si>
  <si>
    <t>Peripheral Driver</t>
  </si>
  <si>
    <t>Switch/Digital Output Temperature Sensor</t>
  </si>
  <si>
    <t>Operational Amplifier</t>
  </si>
  <si>
    <t>Bus Driver/Transceiver</t>
  </si>
  <si>
    <t>Signal Separator IC</t>
  </si>
  <si>
    <t>MOSFET Driver</t>
  </si>
  <si>
    <t>Voltage Reference</t>
  </si>
  <si>
    <t>Audio/Video Amplifier</t>
  </si>
  <si>
    <t>Fixed Positive Single Output LDO Regulator</t>
  </si>
  <si>
    <t>Multiplexer/Demultiplexer</t>
  </si>
  <si>
    <t>Line Driver or Receiver</t>
  </si>
  <si>
    <t>Adjustable Positive Single Output Standard Regulator</t>
  </si>
  <si>
    <t>Consumer IC:Other</t>
  </si>
  <si>
    <t>Bus Terminator</t>
  </si>
  <si>
    <t>Adjustable Positive Single Output LDO Regulator</t>
  </si>
  <si>
    <t>Counter</t>
  </si>
  <si>
    <t>Fixed/Adjustable Positive Single Output LDO Regulator</t>
  </si>
  <si>
    <t>Fixed Positive Single Output Standard Regulator</t>
  </si>
  <si>
    <t>Analog Waveform Generation Function</t>
  </si>
  <si>
    <t>Power Management Circuit</t>
  </si>
  <si>
    <t>Gate</t>
  </si>
  <si>
    <t>Shift Register</t>
  </si>
  <si>
    <t>Digital to Analog Converter</t>
  </si>
  <si>
    <t>Clock Driver</t>
  </si>
  <si>
    <t>FF/Latch</t>
  </si>
  <si>
    <t>Decoder/Driver</t>
  </si>
  <si>
    <t>Adjustable Negative Single Output Standard Regulator</t>
  </si>
  <si>
    <t>PLL or Frequency Synthesis Circuit</t>
  </si>
  <si>
    <t>Analog to Digital Converter</t>
  </si>
  <si>
    <t>Analog IC:Other</t>
  </si>
  <si>
    <t>Audio Control IC</t>
  </si>
  <si>
    <t>Microprocessor IC:Other</t>
  </si>
  <si>
    <t>Arithmetic Circuit</t>
  </si>
  <si>
    <t>Fixed Positive Multiple Output LDO Regulator</t>
  </si>
  <si>
    <t>Analog Special Function Converter</t>
  </si>
  <si>
    <t>Terminal Block</t>
  </si>
  <si>
    <t>Telecom Signaling Circuit</t>
  </si>
  <si>
    <t>Buffer Amplifier</t>
  </si>
  <si>
    <t>Fixed Negative Single Output LDO Regulator</t>
  </si>
  <si>
    <t>Adjustable Negative Single Output LDO Regulator</t>
  </si>
  <si>
    <t>Programmable Logic Device</t>
  </si>
  <si>
    <t>Microcontroller</t>
  </si>
  <si>
    <t>Deflection IC</t>
  </si>
  <si>
    <t>Prescaler/Multivibrator</t>
  </si>
  <si>
    <t>Network Interface</t>
  </si>
  <si>
    <t>Multiplexer or Switch</t>
  </si>
  <si>
    <t>Voltage Controlled Oscillator</t>
  </si>
  <si>
    <t>Active Filter</t>
  </si>
  <si>
    <t>BIP General Purpose Power</t>
  </si>
  <si>
    <t>Receiver IC</t>
  </si>
  <si>
    <t>BIP RF Small Signal</t>
  </si>
  <si>
    <t>Motion Control Electronics</t>
  </si>
  <si>
    <t>Fixed/Adjustable Positive Multiple Output LDO Regulator</t>
  </si>
  <si>
    <t>Programmable ROM</t>
  </si>
  <si>
    <t>Fixed Negative Single Output Standard Regulator</t>
  </si>
  <si>
    <t>Codec</t>
  </si>
  <si>
    <t>Telecom IC:Other</t>
  </si>
  <si>
    <t>Bus Controller</t>
  </si>
  <si>
    <t>BIP General Purpose Small Signal</t>
  </si>
  <si>
    <t>Instrumentation Amplifier</t>
  </si>
  <si>
    <t>Serial IO/Communication Controller</t>
  </si>
  <si>
    <t>Multifunction Peripheral</t>
  </si>
  <si>
    <t>Level Translator</t>
  </si>
  <si>
    <t>Interface IC:Other</t>
  </si>
  <si>
    <t>Static RAM</t>
  </si>
  <si>
    <t>Cellular Telephone Circuit</t>
  </si>
  <si>
    <t>Drive Electronics</t>
  </si>
  <si>
    <t>Analog Transmission Interface</t>
  </si>
  <si>
    <t>Clock Generator</t>
  </si>
  <si>
    <t>Digital Transmission Interface</t>
  </si>
  <si>
    <t>Microprocessor</t>
  </si>
  <si>
    <t>Timer or RTC</t>
  </si>
  <si>
    <t>Logic IC:Other</t>
  </si>
  <si>
    <t>Bridge Rectifier Diode</t>
  </si>
  <si>
    <t>Secondary Storage Controller</t>
  </si>
  <si>
    <t>Digital Transmission Controller</t>
  </si>
  <si>
    <t>Memory Controller</t>
  </si>
  <si>
    <t>RF/Microwave Up/Down Converter</t>
  </si>
  <si>
    <t>FIFO</t>
  </si>
  <si>
    <t>Parallel IO Port</t>
  </si>
  <si>
    <t>System Interface Logic</t>
  </si>
  <si>
    <t>Numonyx</t>
  </si>
  <si>
    <t>NXP Semiconductors</t>
  </si>
  <si>
    <t>Signal Diode</t>
  </si>
  <si>
    <t>ON Semiconductor</t>
  </si>
  <si>
    <t>Transient Suppressor</t>
  </si>
  <si>
    <t>Silicon Controlled Rectifier</t>
  </si>
  <si>
    <t>Voltage Regulator Diode</t>
  </si>
  <si>
    <t>Digital Potentiometer</t>
  </si>
  <si>
    <t>Data Line Filter</t>
  </si>
  <si>
    <t>Variable Capacitance Diode</t>
  </si>
  <si>
    <t>TRIAC</t>
  </si>
  <si>
    <t>Rectifier Diode</t>
  </si>
  <si>
    <t>FET RF Small Signal</t>
  </si>
  <si>
    <t>FET General Purpose Power</t>
  </si>
  <si>
    <t>FET General Purpose Small Signal</t>
  </si>
  <si>
    <t>Dynamic RAM</t>
  </si>
  <si>
    <t>Microwave Mixer Diode</t>
  </si>
  <si>
    <t>Silicon Surge Protector</t>
  </si>
  <si>
    <t>PIN Diode</t>
  </si>
  <si>
    <t>SIDAC</t>
  </si>
  <si>
    <t>DIAC</t>
  </si>
  <si>
    <t>Programmable Unijunction Transistor</t>
  </si>
  <si>
    <t>BIP RF Power</t>
  </si>
  <si>
    <t>Insulated Gate BIP Transistor</t>
  </si>
  <si>
    <t>Adjustable Positive Multiple Output LDO Regulator</t>
  </si>
  <si>
    <t>Fixed Positive Multiple Output Standard Regulator</t>
  </si>
  <si>
    <t>Analog Computational Function</t>
  </si>
  <si>
    <t>Delay Line</t>
  </si>
  <si>
    <t>Modem</t>
  </si>
  <si>
    <t>XO, Clock</t>
  </si>
  <si>
    <t>Wire Wound Resistor</t>
  </si>
  <si>
    <t>Interrupt Controller</t>
  </si>
  <si>
    <t>Digital Signal Processor</t>
  </si>
  <si>
    <t>Math Processor</t>
  </si>
  <si>
    <t>ATM/SONET/SDH IC</t>
  </si>
  <si>
    <t>Quality Semiconductor</t>
  </si>
  <si>
    <t>DSP Peripheral</t>
  </si>
  <si>
    <t>Ramtron</t>
  </si>
  <si>
    <t>RCA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</si>
</sst>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0">
    <xf numFmtId="0" fontId="0" fillId="0" borderId="0" xfId="0"/>
    <xf numFmtId="0" fontId="16" fillId="0" borderId="0" xfId="0" applyFont="1"/>
    <xf numFmtId="0" fontId="19" fillId="0" borderId="0" xfId="0" applyFont="1"/>
    <xf numFmtId="0" fontId="20" fillId="0" borderId="0" xfId="0" applyFont="1"/>
    <xf numFmtId="0" fontId="20" fillId="0" borderId="0" xfId="42" applyFont="1"/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8" fontId="0" fillId="0" borderId="0" xfId="0" applyNumberFormat="1" applyAlignment="1">
      <alignment horizontal="left"/>
    </xf>
    <xf numFmtId="0" fontId="20" fillId="0" borderId="0" xfId="42" applyFont="1" applyFill="1"/>
    <xf numFmtId="0" fontId="18" fillId="0" borderId="0" xfId="42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  <wetp:taskpane dockstate="right" visibility="0" width="350" row="3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D3E46D3B-C31B-4E0A-87B5-426414B73498}">
  <we:reference id="wa200005502" version="1.0.0.11" store="en-US" storeType="OMEX"/>
  <we:alternateReferences>
    <we:reference id="wa200005502" version="1.0.0.11" store="WA200005502" storeType="OMEX"/>
  </we:alternateReferences>
  <we:properties>
    <we:property name="docId" value="&quot;MSSeYzJJrNeFTKIDVSCdr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  <we:customFunctionIds>_xldudf_GPT_MATCH</we:customFunctionIds>
        <we:customFunctionIds>_xldudf_GPT_VISION</we:customFunctionIds>
        <we:customFunctionIds>_xldudf_GPT_WEB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DCC1F9EB-FFC7-4130-B6EF-F8F5B4CEFAD5}">
  <we:reference id="wa200006575" version="1.0.0.3" store="en-US" storeType="OMEX"/>
  <we:alternateReferences>
    <we:reference id="wa200006575" version="1.0.0.3" store="WA200006575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9999"/>
  <sheetViews>
    <sheetView tabSelected="1" workbookViewId="0"/>
  </sheetViews>
  <sheetFormatPr defaultRowHeight="15" x14ac:dyDescent="0.25"/>
  <cols>
    <col min="1" max="1" width="31.7109375" bestFit="1" customWidth="1"/>
    <col min="2" max="2" width="24.5703125" style="3" bestFit="1" customWidth="1"/>
    <col min="3" max="3" width="9" style="6" bestFit="1" customWidth="1"/>
    <col min="4" max="4" width="10.85546875" style="6" bestFit="1" customWidth="1"/>
    <col min="5" max="5" width="53" bestFit="1" customWidth="1"/>
  </cols>
  <sheetData>
    <row r="1" spans="1:5" x14ac:dyDescent="0.25">
      <c r="A1" s="1" t="s">
        <v>0</v>
      </c>
      <c r="B1" s="2" t="s">
        <v>1</v>
      </c>
      <c r="C1" s="5" t="s">
        <v>2</v>
      </c>
      <c r="D1" s="5" t="s">
        <v>4</v>
      </c>
      <c r="E1" s="1" t="s">
        <v>3</v>
      </c>
    </row>
    <row r="2" spans="1:5" x14ac:dyDescent="0.25">
      <c r="A2" t="str">
        <f>HYPERLINK("https://www.773grp.com/globalSearch/LF398AN/page-1", "LF398AN")</f>
        <v>LF398AN</v>
      </c>
      <c r="B2" s="8" t="str">
        <f>HYPERLINK("https://www.773grp.com/manufacturer/national-semiconductor?pageNo=1", "National Semiconductor")</f>
        <v>National Semiconductor</v>
      </c>
      <c r="C2" s="6">
        <v>42</v>
      </c>
      <c r="D2" s="7">
        <v>3.09</v>
      </c>
      <c r="E2" t="s">
        <v>6</v>
      </c>
    </row>
    <row r="3" spans="1:5" x14ac:dyDescent="0.25">
      <c r="A3" t="str">
        <f>HYPERLINK("https://www.773grp.com/globalSearch/LM25115AMT/page-1", "LM25115AMT")</f>
        <v>LM25115AMT</v>
      </c>
      <c r="B3" s="4" t="str">
        <f>HYPERLINK("https://www.773grp.com/manufacturer/national-semiconductor?pageNo=2", "National Semiconductor")</f>
        <v>National Semiconductor</v>
      </c>
      <c r="C3" s="6">
        <v>269</v>
      </c>
      <c r="D3" s="7">
        <v>3.09</v>
      </c>
      <c r="E3" t="s">
        <v>7</v>
      </c>
    </row>
    <row r="4" spans="1:5" x14ac:dyDescent="0.25">
      <c r="A4" t="str">
        <f>HYPERLINK("https://www.773grp.com/globalSearch/LM27341MY-NOPB/page-1", "LM27341MY-NOPB")</f>
        <v>LM27341MY-NOPB</v>
      </c>
      <c r="B4" s="4" t="str">
        <f>HYPERLINK("https://www.773grp.com/manufacturer/national-semiconductor?pageNo=3", "National Semiconductor")</f>
        <v>National Semiconductor</v>
      </c>
      <c r="C4" s="6">
        <v>1948</v>
      </c>
      <c r="D4" s="7">
        <v>3.09</v>
      </c>
    </row>
    <row r="5" spans="1:5" x14ac:dyDescent="0.25">
      <c r="A5" t="str">
        <f>HYPERLINK("https://www.773grp.com/globalSearch/LM27341SD-NOPB/page-1", "LM27341SD-NOPB")</f>
        <v>LM27341SD-NOPB</v>
      </c>
      <c r="B5" s="4" t="str">
        <f>HYPERLINK("https://www.773grp.com/manufacturer/national-semiconductor?pageNo=4", "National Semiconductor")</f>
        <v>National Semiconductor</v>
      </c>
      <c r="C5" s="6">
        <v>3000</v>
      </c>
      <c r="D5" s="7">
        <v>3.09</v>
      </c>
    </row>
    <row r="6" spans="1:5" x14ac:dyDescent="0.25">
      <c r="A6" t="str">
        <f>HYPERLINK("https://www.773grp.com/globalSearch/LM27402SQ/page-1", "LM27402SQ")</f>
        <v>LM27402SQ</v>
      </c>
      <c r="B6" s="3" t="str">
        <f>HYPERLINK("https://www.773grp.com/manufacturer/national-semiconductor?pageNo=5", "National Semiconductor")</f>
        <v>National Semiconductor</v>
      </c>
      <c r="C6" s="6">
        <v>820</v>
      </c>
      <c r="D6" s="7">
        <v>3.09</v>
      </c>
      <c r="E6" t="s">
        <v>7</v>
      </c>
    </row>
    <row r="7" spans="1:5" x14ac:dyDescent="0.25">
      <c r="A7" t="str">
        <f>HYPERLINK("https://www.773grp.com/globalSearch/LM27402SQ-NOPB/page-1", "LM27402SQ-NOPB")</f>
        <v>LM27402SQ-NOPB</v>
      </c>
      <c r="B7" s="4" t="str">
        <f>HYPERLINK("https://www.773grp.com/manufacturer/national-semiconductor?pageNo=6", "National Semiconductor")</f>
        <v>National Semiconductor</v>
      </c>
      <c r="C7" s="6">
        <v>7000</v>
      </c>
      <c r="D7" s="7">
        <v>3.09</v>
      </c>
    </row>
    <row r="8" spans="1:5" x14ac:dyDescent="0.25">
      <c r="A8" t="str">
        <f>HYPERLINK("https://www.773grp.com/globalSearch/LM2841XMK-ADJL-NOPB/page-1", "LM2841XMK-ADJL-NOPB")</f>
        <v>LM2841XMK-ADJL-NOPB</v>
      </c>
      <c r="B8" s="3" t="str">
        <f>HYPERLINK("https://www.773grp.com/manufacturer/national-semiconductor?pageNo=7", "National Semiconductor")</f>
        <v>National Semiconductor</v>
      </c>
      <c r="C8" s="6">
        <v>41670</v>
      </c>
      <c r="D8" s="7">
        <v>3.09</v>
      </c>
      <c r="E8" t="s">
        <v>7</v>
      </c>
    </row>
    <row r="9" spans="1:5" x14ac:dyDescent="0.25">
      <c r="A9" t="str">
        <f>HYPERLINK("https://www.773grp.com/globalSearch/LM3218SEX-NOPB/page-1", "LM3218SEX-NOPB")</f>
        <v>LM3218SEX-NOPB</v>
      </c>
      <c r="B9" s="3" t="str">
        <f>HYPERLINK("https://www.773grp.com/manufacturer/national-semiconductor?pageNo=8", "National Semiconductor")</f>
        <v>National Semiconductor</v>
      </c>
      <c r="C9" s="6">
        <v>2000</v>
      </c>
      <c r="D9" s="7">
        <v>3.09</v>
      </c>
    </row>
    <row r="10" spans="1:5" x14ac:dyDescent="0.25">
      <c r="A10" t="str">
        <f>HYPERLINK("https://www.773grp.com/globalSearch/LM3410XQMF-NOPB/page-1", "LM3410XQMF-NOPB")</f>
        <v>LM3410XQMF-NOPB</v>
      </c>
      <c r="B10" s="3" t="str">
        <f>HYPERLINK("https://www.773grp.com/manufacturer/national-semiconductor?pageNo=9", "National Semiconductor")</f>
        <v>National Semiconductor</v>
      </c>
      <c r="C10" s="6">
        <v>1000</v>
      </c>
      <c r="D10" s="7">
        <v>3.09</v>
      </c>
    </row>
    <row r="11" spans="1:5" x14ac:dyDescent="0.25">
      <c r="A11" t="str">
        <f>HYPERLINK("https://www.773grp.com/globalSearch/LM3410YQMF-NOPB/page-1", "LM3410YQMF-NOPB")</f>
        <v>LM3410YQMF-NOPB</v>
      </c>
      <c r="B11" s="3" t="str">
        <f>HYPERLINK("https://www.773grp.com/manufacturer/national-semiconductor?pageNo=10", "National Semiconductor")</f>
        <v>National Semiconductor</v>
      </c>
      <c r="C11" s="6">
        <v>1000</v>
      </c>
      <c r="D11" s="7">
        <v>3.09</v>
      </c>
    </row>
    <row r="12" spans="1:5" x14ac:dyDescent="0.25">
      <c r="A12" t="str">
        <f>HYPERLINK("https://www.773grp.com/globalSearch/LM34DM-NOPB/page-1", "LM34DM-NOPB")</f>
        <v>LM34DM-NOPB</v>
      </c>
      <c r="B12" s="4" t="str">
        <f>HYPERLINK("https://www.773grp.com/manufacturer/national-semiconductor?pageNo=11", "National Semiconductor")</f>
        <v>National Semiconductor</v>
      </c>
      <c r="C12" s="6">
        <v>3619</v>
      </c>
      <c r="D12" s="7">
        <v>3.09</v>
      </c>
      <c r="E12" t="s">
        <v>8</v>
      </c>
    </row>
    <row r="13" spans="1:5" x14ac:dyDescent="0.25">
      <c r="A13" t="str">
        <f>HYPERLINK("https://www.773grp.com/globalSearch/LM3502SQ-16-NOPB/page-1", "LM3502SQ-16-NOPB")</f>
        <v>LM3502SQ-16-NOPB</v>
      </c>
      <c r="B13" s="3" t="str">
        <f>HYPERLINK("https://www.773grp.com/manufacturer/national-semiconductor?pageNo=12", "National Semiconductor")</f>
        <v>National Semiconductor</v>
      </c>
      <c r="C13" s="6">
        <v>2277</v>
      </c>
      <c r="D13" s="7">
        <v>3.09</v>
      </c>
    </row>
    <row r="14" spans="1:5" x14ac:dyDescent="0.25">
      <c r="A14" t="str">
        <f>HYPERLINK("https://www.773grp.com/globalSearch/LM3502SQ-25-NOPB/page-1", "LM3502SQ-25-NOPB")</f>
        <v>LM3502SQ-25-NOPB</v>
      </c>
      <c r="B14" s="3" t="str">
        <f>HYPERLINK("https://www.773grp.com/manufacturer/national-semiconductor?pageNo=13", "National Semiconductor")</f>
        <v>National Semiconductor</v>
      </c>
      <c r="C14" s="6">
        <v>2000</v>
      </c>
      <c r="D14" s="7">
        <v>3.09</v>
      </c>
    </row>
    <row r="15" spans="1:5" x14ac:dyDescent="0.25">
      <c r="A15" t="str">
        <f>HYPERLINK("https://www.773grp.com/globalSearch/LM3502SQ-35-NOPB/page-1", "LM3502SQ-35-NOPB")</f>
        <v>LM3502SQ-35-NOPB</v>
      </c>
      <c r="B15" s="3" t="str">
        <f>HYPERLINK("https://www.773grp.com/manufacturer/national-semiconductor?pageNo=14", "National Semiconductor")</f>
        <v>National Semiconductor</v>
      </c>
      <c r="C15" s="6">
        <v>3053</v>
      </c>
      <c r="D15" s="7">
        <v>3.09</v>
      </c>
    </row>
    <row r="16" spans="1:5" x14ac:dyDescent="0.25">
      <c r="A16" t="str">
        <f>HYPERLINK("https://www.773grp.com/globalSearch/LM3502SQ-44-NOPB/page-1", "LM3502SQ-44-NOPB")</f>
        <v>LM3502SQ-44-NOPB</v>
      </c>
      <c r="B16" s="3" t="str">
        <f>HYPERLINK("https://www.773grp.com/manufacturer/national-semiconductor?pageNo=15", "National Semiconductor")</f>
        <v>National Semiconductor</v>
      </c>
      <c r="C16" s="6">
        <v>2671</v>
      </c>
      <c r="D16" s="7">
        <v>3.09</v>
      </c>
    </row>
    <row r="17" spans="1:5" x14ac:dyDescent="0.25">
      <c r="A17" t="str">
        <f>HYPERLINK("https://www.773grp.com/globalSearch/LM361M-NOPB/page-1", "LM361M-NOPB")</f>
        <v>LM361M-NOPB</v>
      </c>
      <c r="B17" s="3" t="str">
        <f>HYPERLINK("https://www.773grp.com/manufacturer/national-semiconductor?pageNo=16", "National Semiconductor")</f>
        <v>National Semiconductor</v>
      </c>
      <c r="C17" s="6">
        <v>497</v>
      </c>
      <c r="D17" s="7">
        <v>3.09</v>
      </c>
      <c r="E17" t="s">
        <v>9</v>
      </c>
    </row>
    <row r="18" spans="1:5" x14ac:dyDescent="0.25">
      <c r="A18" t="str">
        <f>HYPERLINK("https://www.773grp.com/globalSearch/LM361N/page-1", "LM361N")</f>
        <v>LM361N</v>
      </c>
      <c r="B18" s="3" t="str">
        <f>HYPERLINK("https://www.773grp.com/manufacturer/national-semiconductor?pageNo=17", "National Semiconductor")</f>
        <v>National Semiconductor</v>
      </c>
      <c r="C18" s="6">
        <v>1258</v>
      </c>
      <c r="D18" s="7">
        <v>3.09</v>
      </c>
      <c r="E18" t="s">
        <v>9</v>
      </c>
    </row>
    <row r="19" spans="1:5" x14ac:dyDescent="0.25">
      <c r="A19" t="str">
        <f>HYPERLINK("https://www.773grp.com/globalSearch/LM3916N-1-NOPB/page-1", "LM3916N-1-NOPB")</f>
        <v>LM3916N-1-NOPB</v>
      </c>
      <c r="B19" s="3" t="str">
        <f>HYPERLINK("https://www.773grp.com/manufacturer/national-semiconductor?pageNo=18", "National Semiconductor")</f>
        <v>National Semiconductor</v>
      </c>
      <c r="C19" s="6">
        <v>56</v>
      </c>
      <c r="D19" s="7">
        <v>3.09</v>
      </c>
      <c r="E19" t="s">
        <v>10</v>
      </c>
    </row>
    <row r="20" spans="1:5" x14ac:dyDescent="0.25">
      <c r="A20" t="str">
        <f>HYPERLINK("https://www.773grp.com/globalSearch/LM5009AMM-NOPB/page-1", "LM5009AMM-NOPB")</f>
        <v>LM5009AMM-NOPB</v>
      </c>
      <c r="B20" s="3" t="str">
        <f>HYPERLINK("https://www.773grp.com/manufacturer/national-semiconductor?pageNo=19", "National Semiconductor")</f>
        <v>National Semiconductor</v>
      </c>
      <c r="C20" s="6">
        <v>7000</v>
      </c>
      <c r="D20" s="7">
        <v>3.09</v>
      </c>
    </row>
    <row r="21" spans="1:5" x14ac:dyDescent="0.25">
      <c r="A21" t="str">
        <f>HYPERLINK("https://www.773grp.com/globalSearch/LM5009MM-NOPB/page-1", "LM5009MM-NOPB")</f>
        <v>LM5009MM-NOPB</v>
      </c>
      <c r="B21" s="3" t="str">
        <f>HYPERLINK("https://www.773grp.com/manufacturer/national-semiconductor?pageNo=20", "National Semiconductor")</f>
        <v>National Semiconductor</v>
      </c>
      <c r="C21" s="6">
        <v>11600</v>
      </c>
      <c r="D21" s="7">
        <v>3.09</v>
      </c>
      <c r="E21" t="s">
        <v>7</v>
      </c>
    </row>
    <row r="22" spans="1:5" x14ac:dyDescent="0.25">
      <c r="A22" t="str">
        <f>HYPERLINK("https://www.773grp.com/globalSearch/LM5009MMX-NOPB/page-1", "LM5009MMX-NOPB")</f>
        <v>LM5009MMX-NOPB</v>
      </c>
      <c r="B22" s="3" t="str">
        <f>HYPERLINK("https://www.773grp.com/manufacturer/national-semiconductor?pageNo=21", "National Semiconductor")</f>
        <v>National Semiconductor</v>
      </c>
      <c r="C22" s="6">
        <v>11000</v>
      </c>
      <c r="D22" s="7">
        <v>3.09</v>
      </c>
      <c r="E22" t="s">
        <v>7</v>
      </c>
    </row>
    <row r="23" spans="1:5" x14ac:dyDescent="0.25">
      <c r="A23" t="str">
        <f>HYPERLINK("https://www.773grp.com/globalSearch/LM5009SDC/page-1", "LM5009SDC")</f>
        <v>LM5009SDC</v>
      </c>
      <c r="B23" s="4" t="str">
        <f>HYPERLINK("https://www.773grp.com/manufacturer/national-semiconductor?pageNo=22", "National Semiconductor")</f>
        <v>National Semiconductor</v>
      </c>
      <c r="C23" s="6">
        <v>1000</v>
      </c>
      <c r="D23" s="7">
        <v>3.09</v>
      </c>
      <c r="E23" t="s">
        <v>7</v>
      </c>
    </row>
    <row r="24" spans="1:5" x14ac:dyDescent="0.25">
      <c r="A24" t="str">
        <f>HYPERLINK("https://www.773grp.com/globalSearch/LM5009SDC-NOPB/page-1", "LM5009SDC-NOPB")</f>
        <v>LM5009SDC-NOPB</v>
      </c>
      <c r="B24" s="3" t="str">
        <f>HYPERLINK("https://www.773grp.com/manufacturer/national-semiconductor?pageNo=23", "National Semiconductor")</f>
        <v>National Semiconductor</v>
      </c>
      <c r="C24" s="6">
        <v>6022</v>
      </c>
      <c r="D24" s="7">
        <v>3.09</v>
      </c>
      <c r="E24" t="s">
        <v>7</v>
      </c>
    </row>
    <row r="25" spans="1:5" x14ac:dyDescent="0.25">
      <c r="A25" t="str">
        <f>HYPERLINK("https://www.773grp.com/globalSearch/LM5026MTX-NOPB/page-1", "LM5026MTX-NOPB")</f>
        <v>LM5026MTX-NOPB</v>
      </c>
      <c r="B25" s="3" t="str">
        <f>HYPERLINK("https://www.773grp.com/manufacturer/national-semiconductor?pageNo=24", "National Semiconductor")</f>
        <v>National Semiconductor</v>
      </c>
      <c r="C25" s="6">
        <v>14575</v>
      </c>
      <c r="D25" s="7">
        <v>3.09</v>
      </c>
      <c r="E25" t="s">
        <v>7</v>
      </c>
    </row>
    <row r="26" spans="1:5" x14ac:dyDescent="0.25">
      <c r="A26" t="str">
        <f>HYPERLINK("https://www.773grp.com/globalSearch/LM5026SD-NOPB/page-1", "LM5026SD-NOPB")</f>
        <v>LM5026SD-NOPB</v>
      </c>
      <c r="B26" s="3" t="str">
        <f>HYPERLINK("https://www.773grp.com/manufacturer/national-semiconductor?pageNo=25", "National Semiconductor")</f>
        <v>National Semiconductor</v>
      </c>
      <c r="C26" s="6">
        <v>2040</v>
      </c>
      <c r="D26" s="7">
        <v>3.09</v>
      </c>
    </row>
    <row r="27" spans="1:5" x14ac:dyDescent="0.25">
      <c r="A27" t="str">
        <f>HYPERLINK("https://www.773grp.com/globalSearch/LM5101CMYE-NOPB/page-1", "LM5101CMYE-NOPB")</f>
        <v>LM5101CMYE-NOPB</v>
      </c>
      <c r="B27" s="3" t="str">
        <f>HYPERLINK("https://www.773grp.com/manufacturer/national-semiconductor?pageNo=26", "National Semiconductor")</f>
        <v>National Semiconductor</v>
      </c>
      <c r="C27" s="6">
        <v>399</v>
      </c>
      <c r="D27" s="7">
        <v>3.09</v>
      </c>
    </row>
    <row r="28" spans="1:5" x14ac:dyDescent="0.25">
      <c r="A28" t="str">
        <f>HYPERLINK("https://www.773grp.com/globalSearch/LM5104SD-NOPB/page-1", "LM5104SD-NOPB")</f>
        <v>LM5104SD-NOPB</v>
      </c>
      <c r="B28" s="3" t="str">
        <f>HYPERLINK("https://www.773grp.com/manufacturer/national-semiconductor?pageNo=27", "National Semiconductor")</f>
        <v>National Semiconductor</v>
      </c>
      <c r="C28" s="6">
        <v>2859</v>
      </c>
      <c r="D28" s="7">
        <v>3.09</v>
      </c>
      <c r="E28" t="s">
        <v>11</v>
      </c>
    </row>
    <row r="29" spans="1:5" x14ac:dyDescent="0.25">
      <c r="A29" t="str">
        <f>HYPERLINK("https://www.773grp.com/globalSearch/LM6511IMX-NOPB/page-1", "LM6511IMX-NOPB")</f>
        <v>LM6511IMX-NOPB</v>
      </c>
      <c r="B29" s="3" t="str">
        <f>HYPERLINK("https://www.773grp.com/manufacturer/national-semiconductor?pageNo=28", "National Semiconductor")</f>
        <v>National Semiconductor</v>
      </c>
      <c r="C29" s="6">
        <v>5000</v>
      </c>
      <c r="D29" s="7">
        <v>3.09</v>
      </c>
      <c r="E29" t="s">
        <v>9</v>
      </c>
    </row>
    <row r="30" spans="1:5" x14ac:dyDescent="0.25">
      <c r="A30" t="str">
        <f>HYPERLINK("https://www.773grp.com/globalSearch/LM99-1CIMM/page-1", "LM99-1CIMM")</f>
        <v>LM99-1CIMM</v>
      </c>
      <c r="B30" s="3" t="str">
        <f>HYPERLINK("https://www.773grp.com/manufacturer/national-semiconductor?pageNo=29", "National Semiconductor")</f>
        <v>National Semiconductor</v>
      </c>
      <c r="C30" s="6">
        <v>3992</v>
      </c>
      <c r="D30" s="7">
        <v>3.09</v>
      </c>
      <c r="E30" t="s">
        <v>12</v>
      </c>
    </row>
    <row r="31" spans="1:5" x14ac:dyDescent="0.25">
      <c r="A31" t="str">
        <f>HYPERLINK("https://www.773grp.com/globalSearch/LM99CIMM-NOPB/page-1", "LM99CIMM-NOPB")</f>
        <v>LM99CIMM-NOPB</v>
      </c>
      <c r="B31" s="3" t="str">
        <f>HYPERLINK("https://www.773grp.com/manufacturer/national-semiconductor?pageNo=30", "National Semiconductor")</f>
        <v>National Semiconductor</v>
      </c>
      <c r="C31" s="6">
        <v>50</v>
      </c>
      <c r="D31" s="7">
        <v>3.09</v>
      </c>
      <c r="E31" t="s">
        <v>12</v>
      </c>
    </row>
    <row r="32" spans="1:5" x14ac:dyDescent="0.25">
      <c r="A32" t="str">
        <f>HYPERLINK("https://www.773grp.com/globalSearch/LM99CIMMX-NOPB/page-1", "LM99CIMMX-NOPB")</f>
        <v>LM99CIMMX-NOPB</v>
      </c>
      <c r="B32" s="3" t="str">
        <f>HYPERLINK("https://www.773grp.com/manufacturer/national-semiconductor?pageNo=31", "National Semiconductor")</f>
        <v>National Semiconductor</v>
      </c>
      <c r="C32" s="6">
        <v>7000</v>
      </c>
      <c r="D32" s="7">
        <v>3.09</v>
      </c>
    </row>
    <row r="33" spans="1:5" x14ac:dyDescent="0.25">
      <c r="A33" t="str">
        <f>HYPERLINK("https://www.773grp.com/globalSearch/LME49720MAX-NOPB/page-1", "LME49720MAX-NOPB")</f>
        <v>LME49720MAX-NOPB</v>
      </c>
      <c r="B33" s="3" t="str">
        <f>HYPERLINK("https://www.773grp.com/manufacturer/national-semiconductor?pageNo=32", "National Semiconductor")</f>
        <v>National Semiconductor</v>
      </c>
      <c r="C33" s="6">
        <v>64600</v>
      </c>
      <c r="D33" s="7">
        <v>3.09</v>
      </c>
      <c r="E33" t="s">
        <v>13</v>
      </c>
    </row>
    <row r="34" spans="1:5" x14ac:dyDescent="0.25">
      <c r="A34" t="str">
        <f>HYPERLINK("https://www.773grp.com/globalSearch/LME49720NA-NOPB/page-1", "LME49720NA-NOPB")</f>
        <v>LME49720NA-NOPB</v>
      </c>
      <c r="B34" s="3" t="str">
        <f>HYPERLINK("https://www.773grp.com/manufacturer/national-semiconductor?pageNo=33", "National Semiconductor")</f>
        <v>National Semiconductor</v>
      </c>
      <c r="C34" s="6">
        <v>1196</v>
      </c>
      <c r="D34" s="7">
        <v>3.09</v>
      </c>
      <c r="E34" t="s">
        <v>13</v>
      </c>
    </row>
    <row r="35" spans="1:5" x14ac:dyDescent="0.25">
      <c r="A35" t="str">
        <f>HYPERLINK("https://www.773grp.com/globalSearch/LMP2232BMM-NOPB/page-1", "LMP2232BMM-NOPB")</f>
        <v>LMP2232BMM-NOPB</v>
      </c>
      <c r="B35" s="3" t="str">
        <f>HYPERLINK("https://www.773grp.com/manufacturer/national-semiconductor?pageNo=34", "National Semiconductor")</f>
        <v>National Semiconductor</v>
      </c>
      <c r="C35" s="6">
        <v>1000</v>
      </c>
      <c r="D35" s="7">
        <v>3.09</v>
      </c>
    </row>
    <row r="36" spans="1:5" x14ac:dyDescent="0.25">
      <c r="A36" t="str">
        <f>HYPERLINK("https://www.773grp.com/globalSearch/LMX2322SLBX/page-1", "LMX2322SLBX")</f>
        <v>LMX2322SLBX</v>
      </c>
      <c r="B36" s="3" t="str">
        <f>HYPERLINK("https://www.773grp.com/manufacturer/national-semiconductor?pageNo=35", "National Semiconductor")</f>
        <v>National Semiconductor</v>
      </c>
      <c r="C36" s="6">
        <v>112500</v>
      </c>
      <c r="D36" s="7">
        <v>3.09</v>
      </c>
    </row>
    <row r="37" spans="1:5" x14ac:dyDescent="0.25">
      <c r="A37" t="str">
        <f>HYPERLINK("https://www.773grp.com/globalSearch/LP3907QSQ-JXIP-NOPB/page-1", "LP3907QSQ-JXIP-NOPB")</f>
        <v>LP3907QSQ-JXIP-NOPB</v>
      </c>
      <c r="B37" s="3" t="str">
        <f>HYPERLINK("https://www.773grp.com/manufacturer/national-semiconductor?pageNo=36", "National Semiconductor")</f>
        <v>National Semiconductor</v>
      </c>
      <c r="C37" s="6">
        <v>48000</v>
      </c>
      <c r="D37" s="7">
        <v>3.09</v>
      </c>
    </row>
    <row r="38" spans="1:5" x14ac:dyDescent="0.25">
      <c r="A38" t="str">
        <f>HYPERLINK("https://www.773grp.com/globalSearch/LP3947ISD-09-NOPB/page-1", "LP3947ISD-09-NOPB")</f>
        <v>LP3947ISD-09-NOPB</v>
      </c>
      <c r="B38" s="3" t="str">
        <f>HYPERLINK("https://www.773grp.com/manufacturer/national-semiconductor?pageNo=37", "National Semiconductor")</f>
        <v>National Semiconductor</v>
      </c>
      <c r="C38" s="6">
        <v>2820</v>
      </c>
      <c r="D38" s="7">
        <v>3.09</v>
      </c>
    </row>
    <row r="39" spans="1:5" x14ac:dyDescent="0.25">
      <c r="A39" t="str">
        <f>HYPERLINK("https://www.773grp.com/globalSearch/LP3947ISD-51-NOPB/page-1", "LP3947ISD-51-NOPB")</f>
        <v>LP3947ISD-51-NOPB</v>
      </c>
      <c r="B39" s="3" t="str">
        <f>HYPERLINK("https://www.773grp.com/manufacturer/national-semiconductor?pageNo=38", "National Semiconductor")</f>
        <v>National Semiconductor</v>
      </c>
      <c r="C39" s="6">
        <v>1677</v>
      </c>
      <c r="D39" s="7">
        <v>3.09</v>
      </c>
    </row>
    <row r="40" spans="1:5" x14ac:dyDescent="0.25">
      <c r="A40" t="str">
        <f>HYPERLINK("https://www.773grp.com/globalSearch/DAC101S101CIMM/page-1", "DAC101S101CIMM")</f>
        <v>DAC101S101CIMM</v>
      </c>
      <c r="B40" s="3" t="str">
        <f>HYPERLINK("https://www.773grp.com/manufacturer/national-semiconductor?pageNo=39", "National Semiconductor")</f>
        <v>National Semiconductor</v>
      </c>
      <c r="C40" s="6">
        <v>2000</v>
      </c>
      <c r="D40" s="7">
        <v>3.09</v>
      </c>
    </row>
    <row r="41" spans="1:5" x14ac:dyDescent="0.25">
      <c r="A41" t="str">
        <f>HYPERLINK("https://www.773grp.com/globalSearch/LM10CWMX-NOPB/page-1", "LM10CWMX-NOPB")</f>
        <v>LM10CWMX-NOPB</v>
      </c>
      <c r="B41" s="3" t="str">
        <f>HYPERLINK("https://www.773grp.com/manufacturer/national-semiconductor?pageNo=40", "National Semiconductor")</f>
        <v>National Semiconductor</v>
      </c>
      <c r="C41" s="6">
        <v>1189</v>
      </c>
      <c r="D41" s="7">
        <v>3.09</v>
      </c>
    </row>
    <row r="42" spans="1:5" x14ac:dyDescent="0.25">
      <c r="A42" t="str">
        <f>HYPERLINK("https://www.773grp.com/globalSearch/LM25010Q0MH/page-1", "LM25010Q0MH")</f>
        <v>LM25010Q0MH</v>
      </c>
      <c r="B42" s="3" t="str">
        <f>HYPERLINK("https://www.773grp.com/manufacturer/national-semiconductor?pageNo=41", "National Semiconductor")</f>
        <v>National Semiconductor</v>
      </c>
      <c r="C42" s="6">
        <v>286</v>
      </c>
      <c r="D42" s="7">
        <v>3.09</v>
      </c>
    </row>
    <row r="43" spans="1:5" x14ac:dyDescent="0.25">
      <c r="A43" t="str">
        <f>HYPERLINK("https://www.773grp.com/globalSearch/LM25010Q0MH-NOPB/page-1", "LM25010Q0MH-NOPB")</f>
        <v>LM25010Q0MH-NOPB</v>
      </c>
      <c r="B43" s="3" t="str">
        <f>HYPERLINK("https://www.773grp.com/manufacturer/national-semiconductor?pageNo=42", "National Semiconductor")</f>
        <v>National Semiconductor</v>
      </c>
      <c r="C43" s="6">
        <v>500</v>
      </c>
      <c r="D43" s="7">
        <v>3.09</v>
      </c>
    </row>
    <row r="44" spans="1:5" x14ac:dyDescent="0.25">
      <c r="A44" t="str">
        <f>HYPERLINK("https://www.773grp.com/globalSearch/LM25010Q1MH-NOPB/page-1", "LM25010Q1MH-NOPB")</f>
        <v>LM25010Q1MH-NOPB</v>
      </c>
      <c r="B44" s="3" t="str">
        <f>HYPERLINK("https://www.773grp.com/manufacturer/national-semiconductor?pageNo=43", "National Semiconductor")</f>
        <v>National Semiconductor</v>
      </c>
      <c r="C44" s="6">
        <v>2987</v>
      </c>
      <c r="D44" s="7">
        <v>3.09</v>
      </c>
    </row>
    <row r="45" spans="1:5" x14ac:dyDescent="0.25">
      <c r="A45" t="str">
        <f>HYPERLINK("https://www.773grp.com/globalSearch/LM25115AMT/page-1", "LM25115AMT")</f>
        <v>LM25115AMT</v>
      </c>
      <c r="B45" s="3" t="str">
        <f>HYPERLINK("https://www.773grp.com/manufacturer/national-semiconductor?pageNo=44", "National Semiconductor")</f>
        <v>National Semiconductor</v>
      </c>
      <c r="C45" s="6">
        <v>534</v>
      </c>
      <c r="D45" s="7">
        <v>3.09</v>
      </c>
      <c r="E45" t="s">
        <v>7</v>
      </c>
    </row>
    <row r="46" spans="1:5" x14ac:dyDescent="0.25">
      <c r="A46" t="str">
        <f>HYPERLINK("https://www.773grp.com/globalSearch/LM26480QSQ-CF-NOPB/page-1", "LM26480QSQ-CF-NOPB")</f>
        <v>LM26480QSQ-CF-NOPB</v>
      </c>
      <c r="B46" s="3" t="str">
        <f>HYPERLINK("https://www.773grp.com/manufacturer/national-semiconductor?pageNo=45", "National Semiconductor")</f>
        <v>National Semiconductor</v>
      </c>
      <c r="C46" s="6">
        <v>750</v>
      </c>
      <c r="D46" s="7">
        <v>3.09</v>
      </c>
    </row>
    <row r="47" spans="1:5" x14ac:dyDescent="0.25">
      <c r="A47" t="str">
        <f>HYPERLINK("https://www.773grp.com/globalSearch/LM26480QSQX-CF-NOPB/page-1", "LM26480QSQX-CF-NOPB")</f>
        <v>LM26480QSQX-CF-NOPB</v>
      </c>
      <c r="B47" s="3" t="str">
        <f>HYPERLINK("https://www.773grp.com/manufacturer/national-semiconductor?pageNo=46", "National Semiconductor")</f>
        <v>National Semiconductor</v>
      </c>
      <c r="C47" s="6">
        <v>4500</v>
      </c>
      <c r="D47" s="7">
        <v>3.09</v>
      </c>
    </row>
    <row r="48" spans="1:5" x14ac:dyDescent="0.25">
      <c r="A48" t="str">
        <f>HYPERLINK("https://www.773grp.com/globalSearch/LM27341MY-NOPB/page-1", "LM27341MY-NOPB")</f>
        <v>LM27341MY-NOPB</v>
      </c>
      <c r="B48" s="3" t="str">
        <f>HYPERLINK("https://www.773grp.com/manufacturer/national-semiconductor?pageNo=47", "National Semiconductor")</f>
        <v>National Semiconductor</v>
      </c>
      <c r="C48" s="6">
        <v>3598</v>
      </c>
      <c r="D48" s="7">
        <v>3.09</v>
      </c>
    </row>
    <row r="49" spans="1:5" x14ac:dyDescent="0.25">
      <c r="A49" t="str">
        <f>HYPERLINK("https://www.773grp.com/globalSearch/LM27341SD-NOPB/page-1", "LM27341SD-NOPB")</f>
        <v>LM27341SD-NOPB</v>
      </c>
      <c r="B49" s="3" t="str">
        <f>HYPERLINK("https://www.773grp.com/manufacturer/national-semiconductor?pageNo=48", "National Semiconductor")</f>
        <v>National Semiconductor</v>
      </c>
      <c r="C49" s="6">
        <v>2960</v>
      </c>
      <c r="D49" s="7">
        <v>3.09</v>
      </c>
    </row>
    <row r="50" spans="1:5" x14ac:dyDescent="0.25">
      <c r="A50" t="str">
        <f>HYPERLINK("https://www.773grp.com/globalSearch/LM2841XMK-ADJL-NOPB/page-1", "LM2841XMK-ADJL-NOPB")</f>
        <v>LM2841XMK-ADJL-NOPB</v>
      </c>
      <c r="B50" s="3" t="str">
        <f>HYPERLINK("https://www.773grp.com/manufacturer/national-semiconductor?pageNo=49", "National Semiconductor")</f>
        <v>National Semiconductor</v>
      </c>
      <c r="C50" s="6">
        <v>23000</v>
      </c>
      <c r="D50" s="7">
        <v>3.09</v>
      </c>
      <c r="E50" t="s">
        <v>7</v>
      </c>
    </row>
    <row r="51" spans="1:5" x14ac:dyDescent="0.25">
      <c r="A51" t="str">
        <f>HYPERLINK("https://www.773grp.com/globalSearch/LM3217TLX-NOPB/page-1", "LM3217TLX-NOPB")</f>
        <v>LM3217TLX-NOPB</v>
      </c>
      <c r="B51" s="3" t="str">
        <f>HYPERLINK("https://www.773grp.com/manufacturer/national-semiconductor?pageNo=50", "National Semiconductor")</f>
        <v>National Semiconductor</v>
      </c>
      <c r="C51" s="6">
        <v>3000</v>
      </c>
      <c r="D51" s="7">
        <v>3.09</v>
      </c>
    </row>
    <row r="52" spans="1:5" x14ac:dyDescent="0.25">
      <c r="A52" t="str">
        <f>HYPERLINK("https://www.773grp.com/globalSearch/LM3410YQMF-NOPB/page-1", "LM3410YQMF-NOPB")</f>
        <v>LM3410YQMF-NOPB</v>
      </c>
      <c r="B52" s="3" t="str">
        <f>HYPERLINK("https://www.773grp.com/manufacturer/national-semiconductor?pageNo=51", "National Semiconductor")</f>
        <v>National Semiconductor</v>
      </c>
      <c r="C52" s="6">
        <v>9000</v>
      </c>
      <c r="D52" s="7">
        <v>3.09</v>
      </c>
    </row>
    <row r="53" spans="1:5" x14ac:dyDescent="0.25">
      <c r="A53" t="str">
        <f>HYPERLINK("https://www.773grp.com/globalSearch/LM34DM-NOPB/page-1", "LM34DM-NOPB")</f>
        <v>LM34DM-NOPB</v>
      </c>
      <c r="B53" s="3" t="str">
        <f>HYPERLINK("https://www.773grp.com/manufacturer/national-semiconductor?pageNo=52", "National Semiconductor")</f>
        <v>National Semiconductor</v>
      </c>
      <c r="C53" s="6">
        <v>5788</v>
      </c>
      <c r="D53" s="7">
        <v>3.09</v>
      </c>
      <c r="E53" t="s">
        <v>8</v>
      </c>
    </row>
    <row r="54" spans="1:5" x14ac:dyDescent="0.25">
      <c r="A54" t="str">
        <f>HYPERLINK("https://www.773grp.com/globalSearch/LM3502SQ-16-NOPB/page-1", "LM3502SQ-16-NOPB")</f>
        <v>LM3502SQ-16-NOPB</v>
      </c>
      <c r="B54" s="3" t="str">
        <f>HYPERLINK("https://www.773grp.com/manufacturer/national-semiconductor?pageNo=53", "National Semiconductor")</f>
        <v>National Semiconductor</v>
      </c>
      <c r="C54" s="6">
        <v>2000</v>
      </c>
      <c r="D54" s="7">
        <v>3.09</v>
      </c>
    </row>
    <row r="55" spans="1:5" x14ac:dyDescent="0.25">
      <c r="A55" t="str">
        <f>HYPERLINK("https://www.773grp.com/globalSearch/LM3502SQ-25-NOPB/page-1", "LM3502SQ-25-NOPB")</f>
        <v>LM3502SQ-25-NOPB</v>
      </c>
      <c r="B55" s="3" t="str">
        <f>HYPERLINK("https://www.773grp.com/manufacturer/national-semiconductor?pageNo=54", "National Semiconductor")</f>
        <v>National Semiconductor</v>
      </c>
      <c r="C55" s="6">
        <v>1000</v>
      </c>
      <c r="D55" s="7">
        <v>3.09</v>
      </c>
    </row>
    <row r="56" spans="1:5" x14ac:dyDescent="0.25">
      <c r="A56" t="str">
        <f>HYPERLINK("https://www.773grp.com/globalSearch/LM3502SQ-35-NOPB/page-1", "LM3502SQ-35-NOPB")</f>
        <v>LM3502SQ-35-NOPB</v>
      </c>
      <c r="B56" s="3" t="str">
        <f>HYPERLINK("https://www.773grp.com/manufacturer/national-semiconductor?pageNo=55", "National Semiconductor")</f>
        <v>National Semiconductor</v>
      </c>
      <c r="C56" s="6">
        <v>1000</v>
      </c>
      <c r="D56" s="7">
        <v>3.09</v>
      </c>
    </row>
    <row r="57" spans="1:5" x14ac:dyDescent="0.25">
      <c r="A57" t="str">
        <f>HYPERLINK("https://www.773grp.com/globalSearch/LM361M-NOPB/page-1", "LM361M-NOPB")</f>
        <v>LM361M-NOPB</v>
      </c>
      <c r="B57" s="3" t="str">
        <f>HYPERLINK("https://www.773grp.com/manufacturer/national-semiconductor?pageNo=56", "National Semiconductor")</f>
        <v>National Semiconductor</v>
      </c>
      <c r="C57" s="6">
        <v>879</v>
      </c>
      <c r="D57" s="7">
        <v>3.09</v>
      </c>
      <c r="E57" t="s">
        <v>9</v>
      </c>
    </row>
    <row r="58" spans="1:5" x14ac:dyDescent="0.25">
      <c r="A58" t="str">
        <f>HYPERLINK("https://www.773grp.com/globalSearch/LM361N/page-1", "LM361N")</f>
        <v>LM361N</v>
      </c>
      <c r="B58" s="3" t="str">
        <f>HYPERLINK("https://www.773grp.com/manufacturer/national-semiconductor?pageNo=57", "National Semiconductor")</f>
        <v>National Semiconductor</v>
      </c>
      <c r="C58" s="6">
        <v>333</v>
      </c>
      <c r="D58" s="7">
        <v>3.09</v>
      </c>
      <c r="E58" t="s">
        <v>9</v>
      </c>
    </row>
    <row r="59" spans="1:5" x14ac:dyDescent="0.25">
      <c r="A59" t="str">
        <f>HYPERLINK("https://www.773grp.com/globalSearch/LM3916N-1-NOPB/page-1", "LM3916N-1-NOPB")</f>
        <v>LM3916N-1-NOPB</v>
      </c>
      <c r="B59" s="3" t="str">
        <f>HYPERLINK("https://www.773grp.com/manufacturer/national-semiconductor?pageNo=58", "National Semiconductor")</f>
        <v>National Semiconductor</v>
      </c>
      <c r="C59" s="6">
        <v>1024</v>
      </c>
      <c r="D59" s="7">
        <v>3.09</v>
      </c>
      <c r="E59" t="s">
        <v>10</v>
      </c>
    </row>
    <row r="60" spans="1:5" x14ac:dyDescent="0.25">
      <c r="A60" t="str">
        <f>HYPERLINK("https://www.773grp.com/globalSearch/LM4924SD-NOPB/page-1", "LM4924SD-NOPB")</f>
        <v>LM4924SD-NOPB</v>
      </c>
      <c r="B60" s="3" t="str">
        <f>HYPERLINK("https://www.773grp.com/manufacturer/national-semiconductor?pageNo=59", "National Semiconductor")</f>
        <v>National Semiconductor</v>
      </c>
      <c r="C60" s="6">
        <v>1000</v>
      </c>
      <c r="D60" s="7">
        <v>3.09</v>
      </c>
    </row>
    <row r="61" spans="1:5" x14ac:dyDescent="0.25">
      <c r="A61" t="str">
        <f>HYPERLINK("https://www.773grp.com/globalSearch/LM5009AMM-NOPB/page-1", "LM5009AMM-NOPB")</f>
        <v>LM5009AMM-NOPB</v>
      </c>
      <c r="B61" s="3" t="str">
        <f>HYPERLINK("https://www.773grp.com/manufacturer/national-semiconductor?pageNo=60", "National Semiconductor")</f>
        <v>National Semiconductor</v>
      </c>
      <c r="C61" s="6">
        <v>641</v>
      </c>
      <c r="D61" s="7">
        <v>3.09</v>
      </c>
    </row>
    <row r="62" spans="1:5" x14ac:dyDescent="0.25">
      <c r="A62" t="str">
        <f>HYPERLINK("https://www.773grp.com/globalSearch/LM5009AMMX-NOPB/page-1", "LM5009AMMX-NOPB")</f>
        <v>LM5009AMMX-NOPB</v>
      </c>
      <c r="B62" s="3" t="str">
        <f>HYPERLINK("https://www.773grp.com/manufacturer/national-semiconductor?pageNo=61", "National Semiconductor")</f>
        <v>National Semiconductor</v>
      </c>
      <c r="C62" s="6">
        <v>3500</v>
      </c>
      <c r="D62" s="7">
        <v>3.09</v>
      </c>
    </row>
    <row r="63" spans="1:5" x14ac:dyDescent="0.25">
      <c r="A63" t="str">
        <f>HYPERLINK("https://www.773grp.com/globalSearch/LM5009MMX-NOPB/page-1", "LM5009MMX-NOPB")</f>
        <v>LM5009MMX-NOPB</v>
      </c>
      <c r="B63" s="3" t="str">
        <f>HYPERLINK("https://www.773grp.com/manufacturer/national-semiconductor?pageNo=62", "National Semiconductor")</f>
        <v>National Semiconductor</v>
      </c>
      <c r="C63" s="6">
        <v>2345</v>
      </c>
      <c r="D63" s="7">
        <v>3.09</v>
      </c>
      <c r="E63" t="s">
        <v>7</v>
      </c>
    </row>
    <row r="64" spans="1:5" x14ac:dyDescent="0.25">
      <c r="A64" t="str">
        <f>HYPERLINK("https://www.773grp.com/globalSearch/LM5026MTX-NOPB/page-1", "LM5026MTX-NOPB")</f>
        <v>LM5026MTX-NOPB</v>
      </c>
      <c r="B64" s="3" t="str">
        <f>HYPERLINK("https://www.773grp.com/manufacturer/national-semiconductor?pageNo=63", "National Semiconductor")</f>
        <v>National Semiconductor</v>
      </c>
      <c r="C64" s="6">
        <v>5000</v>
      </c>
      <c r="D64" s="7">
        <v>3.09</v>
      </c>
      <c r="E64" t="s">
        <v>7</v>
      </c>
    </row>
    <row r="65" spans="1:5" x14ac:dyDescent="0.25">
      <c r="A65" t="str">
        <f>HYPERLINK("https://www.773grp.com/globalSearch/LM5026SD-NOPB/page-1", "LM5026SD-NOPB")</f>
        <v>LM5026SD-NOPB</v>
      </c>
      <c r="B65" s="3" t="str">
        <f>HYPERLINK("https://www.773grp.com/manufacturer/national-semiconductor?pageNo=64", "National Semiconductor")</f>
        <v>National Semiconductor</v>
      </c>
      <c r="C65" s="6">
        <v>2000</v>
      </c>
      <c r="D65" s="7">
        <v>3.09</v>
      </c>
    </row>
    <row r="66" spans="1:5" x14ac:dyDescent="0.25">
      <c r="A66" t="str">
        <f>HYPERLINK("https://www.773grp.com/globalSearch/LM5100CMYE-NOPB/page-1", "LM5100CMYE-NOPB")</f>
        <v>LM5100CMYE-NOPB</v>
      </c>
      <c r="B66" s="3" t="str">
        <f>HYPERLINK("https://www.773grp.com/manufacturer/national-semiconductor?pageNo=65", "National Semiconductor")</f>
        <v>National Semiconductor</v>
      </c>
      <c r="C66" s="6">
        <v>3500</v>
      </c>
      <c r="D66" s="7">
        <v>3.09</v>
      </c>
    </row>
    <row r="67" spans="1:5" x14ac:dyDescent="0.25">
      <c r="A67" t="str">
        <f>HYPERLINK("https://www.773grp.com/globalSearch/LM5101CMYE-NOPB/page-1", "LM5101CMYE-NOPB")</f>
        <v>LM5101CMYE-NOPB</v>
      </c>
      <c r="B67" s="3" t="str">
        <f>HYPERLINK("https://www.773grp.com/manufacturer/national-semiconductor?pageNo=66", "National Semiconductor")</f>
        <v>National Semiconductor</v>
      </c>
      <c r="C67" s="6">
        <v>2250</v>
      </c>
      <c r="D67" s="7">
        <v>3.09</v>
      </c>
    </row>
    <row r="68" spans="1:5" x14ac:dyDescent="0.25">
      <c r="A68" t="str">
        <f>HYPERLINK("https://www.773grp.com/globalSearch/LM5104MX-NOPB/page-1", "LM5104MX-NOPB")</f>
        <v>LM5104MX-NOPB</v>
      </c>
      <c r="B68" s="3" t="str">
        <f>HYPERLINK("https://www.773grp.com/manufacturer/national-semiconductor?pageNo=67", "National Semiconductor")</f>
        <v>National Semiconductor</v>
      </c>
      <c r="C68" s="6">
        <v>1783</v>
      </c>
      <c r="D68" s="7">
        <v>3.09</v>
      </c>
      <c r="E68" t="s">
        <v>11</v>
      </c>
    </row>
    <row r="69" spans="1:5" x14ac:dyDescent="0.25">
      <c r="A69" t="str">
        <f>HYPERLINK("https://www.773grp.com/globalSearch/LM5104SD-NOPB/page-1", "LM5104SD-NOPB")</f>
        <v>LM5104SD-NOPB</v>
      </c>
      <c r="B69" s="3" t="str">
        <f>HYPERLINK("https://www.773grp.com/manufacturer/national-semiconductor?pageNo=68", "National Semiconductor")</f>
        <v>National Semiconductor</v>
      </c>
      <c r="C69" s="6">
        <v>2000</v>
      </c>
      <c r="D69" s="7">
        <v>3.09</v>
      </c>
      <c r="E69" t="s">
        <v>11</v>
      </c>
    </row>
    <row r="70" spans="1:5" x14ac:dyDescent="0.25">
      <c r="A70" t="str">
        <f>HYPERLINK("https://www.773grp.com/globalSearch/LM7332MM-NOPB/page-1", "LM7332MM-NOPB")</f>
        <v>LM7332MM-NOPB</v>
      </c>
      <c r="B70" s="3" t="str">
        <f>HYPERLINK("https://www.773grp.com/manufacturer/national-semiconductor?pageNo=69", "National Semiconductor")</f>
        <v>National Semiconductor</v>
      </c>
      <c r="C70" s="6">
        <v>26</v>
      </c>
      <c r="D70" s="7">
        <v>3.09</v>
      </c>
    </row>
    <row r="71" spans="1:5" x14ac:dyDescent="0.25">
      <c r="A71" t="str">
        <f>HYPERLINK("https://www.773grp.com/globalSearch/LM99-1CIMM-NOPB/page-1", "LM99-1CIMM-NOPB")</f>
        <v>LM99-1CIMM-NOPB</v>
      </c>
      <c r="B71" s="3" t="str">
        <f>HYPERLINK("https://www.773grp.com/manufacturer/national-semiconductor?pageNo=70", "National Semiconductor")</f>
        <v>National Semiconductor</v>
      </c>
      <c r="C71" s="6">
        <v>3000</v>
      </c>
      <c r="D71" s="7">
        <v>3.09</v>
      </c>
    </row>
    <row r="72" spans="1:5" x14ac:dyDescent="0.25">
      <c r="A72" t="str">
        <f>HYPERLINK("https://www.773grp.com/globalSearch/LMC6062AIMX-NOPB/page-1", "LMC6062AIMX-NOPB")</f>
        <v>LMC6062AIMX-NOPB</v>
      </c>
      <c r="B72" s="3" t="str">
        <f>HYPERLINK("https://www.773grp.com/manufacturer/national-semiconductor?pageNo=71", "National Semiconductor")</f>
        <v>National Semiconductor</v>
      </c>
      <c r="C72" s="6">
        <v>229</v>
      </c>
      <c r="D72" s="7">
        <v>3.09</v>
      </c>
    </row>
    <row r="73" spans="1:5" x14ac:dyDescent="0.25">
      <c r="A73" t="str">
        <f>HYPERLINK("https://www.773grp.com/globalSearch/LME49720NA-NOPB/page-1", "LME49720NA-NOPB")</f>
        <v>LME49720NA-NOPB</v>
      </c>
      <c r="B73" s="3" t="str">
        <f>HYPERLINK("https://www.773grp.com/manufacturer/national-semiconductor?pageNo=72", "National Semiconductor")</f>
        <v>National Semiconductor</v>
      </c>
      <c r="C73" s="6">
        <v>174</v>
      </c>
      <c r="D73" s="7">
        <v>3.09</v>
      </c>
      <c r="E73" t="s">
        <v>13</v>
      </c>
    </row>
    <row r="74" spans="1:5" x14ac:dyDescent="0.25">
      <c r="A74" t="str">
        <f>HYPERLINK("https://www.773grp.com/globalSearch/LMP2232BMAX-NOPB/page-1", "LMP2232BMAX-NOPB")</f>
        <v>LMP2232BMAX-NOPB</v>
      </c>
      <c r="B74" s="3" t="str">
        <f>HYPERLINK("https://www.773grp.com/manufacturer/national-semiconductor?pageNo=73", "National Semiconductor")</f>
        <v>National Semiconductor</v>
      </c>
      <c r="C74" s="6">
        <v>12500</v>
      </c>
      <c r="D74" s="7">
        <v>3.09</v>
      </c>
    </row>
    <row r="75" spans="1:5" x14ac:dyDescent="0.25">
      <c r="A75" t="str">
        <f>HYPERLINK("https://www.773grp.com/globalSearch/LMP2232BMM-NOPB/page-1", "LMP2232BMM-NOPB")</f>
        <v>LMP2232BMM-NOPB</v>
      </c>
      <c r="B75" s="3" t="str">
        <f>HYPERLINK("https://www.773grp.com/manufacturer/national-semiconductor?pageNo=74", "National Semiconductor")</f>
        <v>National Semiconductor</v>
      </c>
      <c r="C75" s="6">
        <v>8081</v>
      </c>
      <c r="D75" s="7">
        <v>3.09</v>
      </c>
    </row>
    <row r="76" spans="1:5" x14ac:dyDescent="0.25">
      <c r="A76" t="str">
        <f>HYPERLINK("https://www.773grp.com/globalSearch/LMP2232BMMX-NOPB/page-1", "LMP2232BMMX-NOPB")</f>
        <v>LMP2232BMMX-NOPB</v>
      </c>
      <c r="B76" s="3" t="str">
        <f>HYPERLINK("https://www.773grp.com/manufacturer/national-semiconductor?pageNo=75", "National Semiconductor")</f>
        <v>National Semiconductor</v>
      </c>
      <c r="C76" s="6">
        <v>31500</v>
      </c>
      <c r="D76" s="7">
        <v>3.09</v>
      </c>
    </row>
    <row r="77" spans="1:5" x14ac:dyDescent="0.25">
      <c r="A77" t="str">
        <f>HYPERLINK("https://www.773grp.com/globalSearch/LP3907QTL-VXSS/page-1", "LP3907QTL-VXSS")</f>
        <v>LP3907QTL-VXSS</v>
      </c>
      <c r="B77" s="3" t="str">
        <f>HYPERLINK("https://www.773grp.com/manufacturer/national-semiconductor?pageNo=76", "National Semiconductor")</f>
        <v>National Semiconductor</v>
      </c>
      <c r="C77" s="6">
        <v>250</v>
      </c>
      <c r="D77" s="7">
        <v>3.09</v>
      </c>
    </row>
    <row r="78" spans="1:5" x14ac:dyDescent="0.25">
      <c r="A78" t="str">
        <f>HYPERLINK("https://www.773grp.com/globalSearch/LP3947ISD-09/page-1", "LP3947ISD-09")</f>
        <v>LP3947ISD-09</v>
      </c>
      <c r="B78" s="3" t="str">
        <f>HYPERLINK("https://www.773grp.com/manufacturer/national-semiconductor?pageNo=77", "National Semiconductor")</f>
        <v>National Semiconductor</v>
      </c>
      <c r="C78" s="6">
        <v>412</v>
      </c>
      <c r="D78" s="7">
        <v>3.09</v>
      </c>
    </row>
    <row r="79" spans="1:5" x14ac:dyDescent="0.25">
      <c r="A79" t="str">
        <f>HYPERLINK("https://www.773grp.com/globalSearch/LP3947ISD-51-NOPB/page-1", "LP3947ISD-51-NOPB")</f>
        <v>LP3947ISD-51-NOPB</v>
      </c>
      <c r="B79" s="3" t="str">
        <f>HYPERLINK("https://www.773grp.com/manufacturer/national-semiconductor?pageNo=78", "National Semiconductor")</f>
        <v>National Semiconductor</v>
      </c>
      <c r="C79" s="6">
        <v>2000</v>
      </c>
      <c r="D79" s="7">
        <v>3.09</v>
      </c>
    </row>
    <row r="80" spans="1:5" x14ac:dyDescent="0.25">
      <c r="A80" t="str">
        <f>HYPERLINK("https://www.773grp.com/globalSearch/TLV2422CD/page-1", "TLV2422CD")</f>
        <v>TLV2422CD</v>
      </c>
      <c r="B80" s="3" t="str">
        <f>HYPERLINK("https://www.773grp.com/manufacturer/national-semiconductor?pageNo=79", "National Semiconductor")</f>
        <v>National Semiconductor</v>
      </c>
      <c r="C80" s="6">
        <v>150</v>
      </c>
      <c r="D80" s="7">
        <v>3.09</v>
      </c>
    </row>
    <row r="81" spans="1:5" x14ac:dyDescent="0.25">
      <c r="A81" t="str">
        <f>HYPERLINK("https://www.773grp.com/globalSearch/74F240SCX/page-1", "74F240SCX")</f>
        <v>74F240SCX</v>
      </c>
      <c r="B81" s="3" t="str">
        <f>HYPERLINK("https://www.773grp.com/manufacturer/national-semiconductor?pageNo=80", "National Semiconductor")</f>
        <v>National Semiconductor</v>
      </c>
      <c r="C81" s="6">
        <v>6000</v>
      </c>
      <c r="D81" s="7">
        <v>3.13</v>
      </c>
      <c r="E81" t="s">
        <v>14</v>
      </c>
    </row>
    <row r="82" spans="1:5" x14ac:dyDescent="0.25">
      <c r="A82" t="str">
        <f>HYPERLINK("https://www.773grp.com/globalSearch/74F374SCX/page-1", "74F374SCX")</f>
        <v>74F374SCX</v>
      </c>
      <c r="B82" s="3" t="str">
        <f>HYPERLINK("https://www.773grp.com/manufacturer/national-semiconductor?pageNo=81", "National Semiconductor")</f>
        <v>National Semiconductor</v>
      </c>
      <c r="C82" s="6">
        <v>23990</v>
      </c>
      <c r="D82" s="7">
        <v>3.13</v>
      </c>
      <c r="E82" t="s">
        <v>14</v>
      </c>
    </row>
    <row r="83" spans="1:5" x14ac:dyDescent="0.25">
      <c r="A83" t="str">
        <f>HYPERLINK("https://www.773grp.com/globalSearch/74S132DC/page-1", "74S132DC")</f>
        <v>74S132DC</v>
      </c>
      <c r="B83" s="3" t="str">
        <f>HYPERLINK("https://www.773grp.com/manufacturer/national-semiconductor?pageNo=82", "National Semiconductor")</f>
        <v>National Semiconductor</v>
      </c>
      <c r="C83" s="6">
        <v>3977</v>
      </c>
      <c r="D83" s="7">
        <v>3.13</v>
      </c>
    </row>
    <row r="84" spans="1:5" x14ac:dyDescent="0.25">
      <c r="A84" t="str">
        <f>HYPERLINK("https://www.773grp.com/globalSearch/LM1881M-X-NOPB/page-1", "LM1881M-X-NOPB")</f>
        <v>LM1881M-X-NOPB</v>
      </c>
      <c r="B84" s="3" t="str">
        <f>HYPERLINK("https://www.773grp.com/manufacturer/national-semiconductor?pageNo=83", "National Semiconductor")</f>
        <v>National Semiconductor</v>
      </c>
      <c r="C84" s="6">
        <v>1655</v>
      </c>
      <c r="D84" s="7">
        <v>3.13</v>
      </c>
      <c r="E84" t="s">
        <v>15</v>
      </c>
    </row>
    <row r="85" spans="1:5" x14ac:dyDescent="0.25">
      <c r="A85" t="str">
        <f>HYPERLINK("https://www.773grp.com/globalSearch/LM2574M-12/page-1", "LM2574M-12")</f>
        <v>LM2574M-12</v>
      </c>
      <c r="B85" s="3" t="str">
        <f>HYPERLINK("https://www.773grp.com/manufacturer/national-semiconductor?pageNo=84", "National Semiconductor")</f>
        <v>National Semiconductor</v>
      </c>
      <c r="C85" s="6">
        <v>3982</v>
      </c>
      <c r="D85" s="7">
        <v>3.13</v>
      </c>
      <c r="E85" t="s">
        <v>7</v>
      </c>
    </row>
    <row r="86" spans="1:5" x14ac:dyDescent="0.25">
      <c r="A86" t="str">
        <f>HYPERLINK("https://www.773grp.com/globalSearch/LM2574M-5.0/page-1", "LM2574M-5.0")</f>
        <v>LM2574M-5.0</v>
      </c>
      <c r="B86" s="3" t="str">
        <f>HYPERLINK("https://www.773grp.com/manufacturer/national-semiconductor?pageNo=85", "National Semiconductor")</f>
        <v>National Semiconductor</v>
      </c>
      <c r="C86" s="6">
        <v>35</v>
      </c>
      <c r="D86" s="7">
        <v>3.13</v>
      </c>
      <c r="E86" t="s">
        <v>7</v>
      </c>
    </row>
    <row r="87" spans="1:5" x14ac:dyDescent="0.25">
      <c r="A87" t="str">
        <f>HYPERLINK("https://www.773grp.com/globalSearch/LM2574M-ADJ/page-1", "LM2574M-ADJ")</f>
        <v>LM2574M-ADJ</v>
      </c>
      <c r="B87" s="3" t="str">
        <f>HYPERLINK("https://www.773grp.com/manufacturer/national-semiconductor?pageNo=86", "National Semiconductor")</f>
        <v>National Semiconductor</v>
      </c>
      <c r="C87" s="6">
        <v>71</v>
      </c>
      <c r="D87" s="7">
        <v>3.13</v>
      </c>
      <c r="E87" t="s">
        <v>7</v>
      </c>
    </row>
    <row r="88" spans="1:5" x14ac:dyDescent="0.25">
      <c r="A88" t="str">
        <f>HYPERLINK("https://www.773grp.com/globalSearch/LM2724AM/page-1", "LM2724AM")</f>
        <v>LM2724AM</v>
      </c>
      <c r="B88" s="3" t="str">
        <f>HYPERLINK("https://www.773grp.com/manufacturer/national-semiconductor?pageNo=87", "National Semiconductor")</f>
        <v>National Semiconductor</v>
      </c>
      <c r="C88" s="6">
        <v>17</v>
      </c>
      <c r="D88" s="7">
        <v>3.13</v>
      </c>
      <c r="E88" t="s">
        <v>16</v>
      </c>
    </row>
    <row r="89" spans="1:5" x14ac:dyDescent="0.25">
      <c r="A89" t="str">
        <f>HYPERLINK("https://www.773grp.com/globalSearch/LM2724AM-NOPB/page-1", "LM2724AM-NOPB")</f>
        <v>LM2724AM-NOPB</v>
      </c>
      <c r="B89" s="3" t="str">
        <f>HYPERLINK("https://www.773grp.com/manufacturer/national-semiconductor?pageNo=88", "National Semiconductor")</f>
        <v>National Semiconductor</v>
      </c>
      <c r="C89" s="6">
        <v>2549</v>
      </c>
      <c r="D89" s="7">
        <v>3.13</v>
      </c>
      <c r="E89" t="s">
        <v>16</v>
      </c>
    </row>
    <row r="90" spans="1:5" x14ac:dyDescent="0.25">
      <c r="A90" t="str">
        <f>HYPERLINK("https://www.773grp.com/globalSearch/LM2724MX-NOPB/page-1", "LM2724MX-NOPB")</f>
        <v>LM2724MX-NOPB</v>
      </c>
      <c r="B90" s="3" t="str">
        <f>HYPERLINK("https://www.773grp.com/manufacturer/national-semiconductor?pageNo=89", "National Semiconductor")</f>
        <v>National Semiconductor</v>
      </c>
      <c r="C90" s="6">
        <v>2500</v>
      </c>
      <c r="D90" s="7">
        <v>3.13</v>
      </c>
    </row>
    <row r="91" spans="1:5" x14ac:dyDescent="0.25">
      <c r="A91" t="str">
        <f>HYPERLINK("https://www.773grp.com/globalSearch/LM3410XMF/page-1", "LM3410XMF")</f>
        <v>LM3410XMF</v>
      </c>
      <c r="B91" s="3" t="str">
        <f>HYPERLINK("https://www.773grp.com/manufacturer/national-semiconductor?pageNo=90", "National Semiconductor")</f>
        <v>National Semiconductor</v>
      </c>
      <c r="C91" s="6">
        <v>2000</v>
      </c>
      <c r="D91" s="7">
        <v>3.13</v>
      </c>
      <c r="E91" t="s">
        <v>10</v>
      </c>
    </row>
    <row r="92" spans="1:5" x14ac:dyDescent="0.25">
      <c r="A92" t="str">
        <f>HYPERLINK("https://www.773grp.com/globalSearch/LM3622AM-4.1-NOPB/page-1", "LM3622AM-4.1-NOPB")</f>
        <v>LM3622AM-4.1-NOPB</v>
      </c>
      <c r="B92" s="3" t="str">
        <f>HYPERLINK("https://www.773grp.com/manufacturer/national-semiconductor?pageNo=91", "National Semiconductor")</f>
        <v>National Semiconductor</v>
      </c>
      <c r="C92" s="6">
        <v>86</v>
      </c>
      <c r="D92" s="7">
        <v>3.13</v>
      </c>
      <c r="E92" t="s">
        <v>7</v>
      </c>
    </row>
    <row r="93" spans="1:5" x14ac:dyDescent="0.25">
      <c r="A93" t="str">
        <f>HYPERLINK("https://www.773grp.com/globalSearch/LM385BXMX-1.2-NOPB/page-1", "LM385BXMX-1.2-NOPB")</f>
        <v>LM385BXMX-1.2-NOPB</v>
      </c>
      <c r="B93" s="3" t="str">
        <f>HYPERLINK("https://www.773grp.com/manufacturer/national-semiconductor?pageNo=92", "National Semiconductor")</f>
        <v>National Semiconductor</v>
      </c>
      <c r="C93" s="6">
        <v>5000</v>
      </c>
      <c r="D93" s="7">
        <v>3.13</v>
      </c>
      <c r="E93" t="s">
        <v>17</v>
      </c>
    </row>
    <row r="94" spans="1:5" x14ac:dyDescent="0.25">
      <c r="A94" t="str">
        <f>HYPERLINK("https://www.773grp.com/globalSearch/LM385BXMX-2.5-NOPB/page-1", "LM385BXMX-2.5-NOPB")</f>
        <v>LM385BXMX-2.5-NOPB</v>
      </c>
      <c r="B94" s="3" t="str">
        <f>HYPERLINK("https://www.773grp.com/manufacturer/national-semiconductor?pageNo=93", "National Semiconductor")</f>
        <v>National Semiconductor</v>
      </c>
      <c r="C94" s="6">
        <v>2500</v>
      </c>
      <c r="D94" s="7">
        <v>3.13</v>
      </c>
      <c r="E94" t="s">
        <v>17</v>
      </c>
    </row>
    <row r="95" spans="1:5" x14ac:dyDescent="0.25">
      <c r="A95" t="str">
        <f>HYPERLINK("https://www.773grp.com/globalSearch/LM4866MTEX-NOPB/page-1", "LM4866MTEX-NOPB")</f>
        <v>LM4866MTEX-NOPB</v>
      </c>
      <c r="B95" s="3" t="str">
        <f>HYPERLINK("https://www.773grp.com/manufacturer/national-semiconductor?pageNo=94", "National Semiconductor")</f>
        <v>National Semiconductor</v>
      </c>
      <c r="C95" s="6">
        <v>5000</v>
      </c>
      <c r="D95" s="7">
        <v>3.13</v>
      </c>
      <c r="E95" t="s">
        <v>18</v>
      </c>
    </row>
    <row r="96" spans="1:5" x14ac:dyDescent="0.25">
      <c r="A96" t="str">
        <f>HYPERLINK("https://www.773grp.com/globalSearch/LM4947TLX-NOPB/page-1", "LM4947TLX-NOPB")</f>
        <v>LM4947TLX-NOPB</v>
      </c>
      <c r="B96" s="3" t="str">
        <f>HYPERLINK("https://www.773grp.com/manufacturer/national-semiconductor?pageNo=95", "National Semiconductor")</f>
        <v>National Semiconductor</v>
      </c>
      <c r="C96" s="6">
        <v>12000</v>
      </c>
      <c r="D96" s="7">
        <v>3.13</v>
      </c>
    </row>
    <row r="97" spans="1:5" x14ac:dyDescent="0.25">
      <c r="A97" t="str">
        <f>HYPERLINK("https://www.773grp.com/globalSearch/LP2989AILD-285/page-1", "LP2989AILD-285")</f>
        <v>LP2989AILD-285</v>
      </c>
      <c r="B97" s="3" t="str">
        <f>HYPERLINK("https://www.773grp.com/manufacturer/national-semiconductor?pageNo=96", "National Semiconductor")</f>
        <v>National Semiconductor</v>
      </c>
      <c r="C97" s="6">
        <v>17000</v>
      </c>
      <c r="D97" s="7">
        <v>3.13</v>
      </c>
      <c r="E97" t="s">
        <v>19</v>
      </c>
    </row>
    <row r="98" spans="1:5" x14ac:dyDescent="0.25">
      <c r="A98" t="str">
        <f>HYPERLINK("https://www.773grp.com/globalSearch/LP2989ILD-285/page-1", "LP2989ILD-285")</f>
        <v>LP2989ILD-285</v>
      </c>
      <c r="B98" s="3" t="str">
        <f>HYPERLINK("https://www.773grp.com/manufacturer/national-semiconductor?pageNo=97", "National Semiconductor")</f>
        <v>National Semiconductor</v>
      </c>
      <c r="C98" s="6">
        <v>12000</v>
      </c>
      <c r="D98" s="7">
        <v>3.13</v>
      </c>
      <c r="E98" t="s">
        <v>19</v>
      </c>
    </row>
    <row r="99" spans="1:5" x14ac:dyDescent="0.25">
      <c r="A99" t="str">
        <f>HYPERLINK("https://www.773grp.com/globalSearch/DS1487M/page-1", "DS1487M")</f>
        <v>DS1487M</v>
      </c>
      <c r="B99" s="3" t="str">
        <f>HYPERLINK("https://www.773grp.com/manufacturer/national-semiconductor?pageNo=98", "National Semiconductor")</f>
        <v>National Semiconductor</v>
      </c>
      <c r="C99" s="6">
        <v>2565</v>
      </c>
      <c r="D99" s="7">
        <v>3.13</v>
      </c>
    </row>
    <row r="100" spans="1:5" x14ac:dyDescent="0.25">
      <c r="A100" t="str">
        <f>HYPERLINK("https://www.773grp.com/globalSearch/LM2574M-ADJ/page-1", "LM2574M-ADJ")</f>
        <v>LM2574M-ADJ</v>
      </c>
      <c r="B100" s="3" t="str">
        <f>HYPERLINK("https://www.773grp.com/manufacturer/national-semiconductor?pageNo=99", "National Semiconductor")</f>
        <v>National Semiconductor</v>
      </c>
      <c r="C100" s="6">
        <v>243</v>
      </c>
      <c r="D100" s="7">
        <v>3.13</v>
      </c>
      <c r="E100" t="s">
        <v>7</v>
      </c>
    </row>
    <row r="101" spans="1:5" x14ac:dyDescent="0.25">
      <c r="A101" t="str">
        <f>HYPERLINK("https://www.773grp.com/globalSearch/LM385BXMX-1.2-NOPB/page-1", "LM385BXMX-1.2-NOPB")</f>
        <v>LM385BXMX-1.2-NOPB</v>
      </c>
      <c r="B101" s="3" t="str">
        <f>HYPERLINK("https://www.773grp.com/manufacturer/national-semiconductor?pageNo=100", "National Semiconductor")</f>
        <v>National Semiconductor</v>
      </c>
      <c r="C101" s="6">
        <v>2500</v>
      </c>
      <c r="D101" s="7">
        <v>3.13</v>
      </c>
      <c r="E101" t="s">
        <v>17</v>
      </c>
    </row>
    <row r="102" spans="1:5" x14ac:dyDescent="0.25">
      <c r="A102" t="str">
        <f>HYPERLINK("https://www.773grp.com/globalSearch/LM385BXMX-2.5/page-1", "LM385BXMX-2.5")</f>
        <v>LM385BXMX-2.5</v>
      </c>
      <c r="B102" s="3" t="str">
        <f>HYPERLINK("https://www.773grp.com/manufacturer/national-semiconductor?pageNo=101", "National Semiconductor")</f>
        <v>National Semiconductor</v>
      </c>
      <c r="C102" s="6">
        <v>2500</v>
      </c>
      <c r="D102" s="7">
        <v>3.13</v>
      </c>
    </row>
    <row r="103" spans="1:5" x14ac:dyDescent="0.25">
      <c r="A103" t="str">
        <f>HYPERLINK("https://www.773grp.com/globalSearch/LM4857ITL-NOPB/page-1", "LM4857ITL-NOPB")</f>
        <v>LM4857ITL-NOPB</v>
      </c>
      <c r="B103" s="3" t="str">
        <f>HYPERLINK("https://www.773grp.com/manufacturer/national-semiconductor?pageNo=102", "National Semiconductor")</f>
        <v>National Semiconductor</v>
      </c>
      <c r="C103" s="6">
        <v>496</v>
      </c>
      <c r="D103" s="7">
        <v>3.13</v>
      </c>
    </row>
    <row r="104" spans="1:5" x14ac:dyDescent="0.25">
      <c r="A104" t="str">
        <f>HYPERLINK("https://www.773grp.com/globalSearch/LM9061M/page-1", "LM9061M")</f>
        <v>LM9061M</v>
      </c>
      <c r="B104" s="3" t="str">
        <f>HYPERLINK("https://www.773grp.com/manufacturer/national-semiconductor?pageNo=103", "National Semiconductor")</f>
        <v>National Semiconductor</v>
      </c>
      <c r="C104" s="6">
        <v>450</v>
      </c>
      <c r="D104" s="7">
        <v>3.13</v>
      </c>
      <c r="E104" t="s">
        <v>16</v>
      </c>
    </row>
    <row r="105" spans="1:5" x14ac:dyDescent="0.25">
      <c r="A105" t="str">
        <f>HYPERLINK("https://www.773grp.com/globalSearch/74S194DC/page-1", "74S194DC")</f>
        <v>74S194DC</v>
      </c>
      <c r="B105" s="3" t="str">
        <f>HYPERLINK("https://www.773grp.com/manufacturer/national-semiconductor?pageNo=104", "National Semiconductor")</f>
        <v>National Semiconductor</v>
      </c>
      <c r="C105" s="6">
        <v>1412</v>
      </c>
      <c r="D105" s="7">
        <v>3.48</v>
      </c>
    </row>
    <row r="106" spans="1:5" x14ac:dyDescent="0.25">
      <c r="A106" t="str">
        <f>HYPERLINK("https://www.773grp.com/globalSearch/DM74157N/page-1", "DM74157N")</f>
        <v>DM74157N</v>
      </c>
      <c r="B106" s="3" t="str">
        <f>HYPERLINK("https://www.773grp.com/manufacturer/national-semiconductor?pageNo=105", "National Semiconductor")</f>
        <v>National Semiconductor</v>
      </c>
      <c r="C106" s="6">
        <v>113</v>
      </c>
      <c r="D106" s="7">
        <v>3.48</v>
      </c>
      <c r="E106" t="s">
        <v>20</v>
      </c>
    </row>
    <row r="107" spans="1:5" x14ac:dyDescent="0.25">
      <c r="A107" t="str">
        <f>HYPERLINK("https://www.773grp.com/globalSearch/DS3695N-NOPB/page-1", "DS3695N-NOPB")</f>
        <v>DS3695N-NOPB</v>
      </c>
      <c r="B107" s="3" t="str">
        <f>HYPERLINK("https://www.773grp.com/manufacturer/national-semiconductor?pageNo=106", "National Semiconductor")</f>
        <v>National Semiconductor</v>
      </c>
      <c r="C107" s="6">
        <v>513</v>
      </c>
      <c r="D107" s="7">
        <v>3.48</v>
      </c>
      <c r="E107" t="s">
        <v>21</v>
      </c>
    </row>
    <row r="108" spans="1:5" x14ac:dyDescent="0.25">
      <c r="A108" t="str">
        <f>HYPERLINK("https://www.773grp.com/globalSearch/DS8921AM-NOPB/page-1", "DS8921AM-NOPB")</f>
        <v>DS8921AM-NOPB</v>
      </c>
      <c r="B108" s="3" t="str">
        <f>HYPERLINK("https://www.773grp.com/manufacturer/national-semiconductor?pageNo=107", "National Semiconductor")</f>
        <v>National Semiconductor</v>
      </c>
      <c r="C108" s="6">
        <v>1425</v>
      </c>
      <c r="D108" s="7">
        <v>3.48</v>
      </c>
      <c r="E108" t="s">
        <v>21</v>
      </c>
    </row>
    <row r="109" spans="1:5" x14ac:dyDescent="0.25">
      <c r="A109" t="str">
        <f>HYPERLINK("https://www.773grp.com/globalSearch/DS8921AMX/page-1", "DS8921AMX")</f>
        <v>DS8921AMX</v>
      </c>
      <c r="B109" s="3" t="str">
        <f>HYPERLINK("https://www.773grp.com/manufacturer/national-semiconductor?pageNo=108", "National Semiconductor")</f>
        <v>National Semiconductor</v>
      </c>
      <c r="C109" s="6">
        <v>5000</v>
      </c>
      <c r="D109" s="7">
        <v>3.48</v>
      </c>
      <c r="E109" t="s">
        <v>21</v>
      </c>
    </row>
    <row r="110" spans="1:5" x14ac:dyDescent="0.25">
      <c r="A110" t="str">
        <f>HYPERLINK("https://www.773grp.com/globalSearch/LM2661MX/page-1", "LM2661MX")</f>
        <v>LM2661MX</v>
      </c>
      <c r="B110" s="3" t="str">
        <f>HYPERLINK("https://www.773grp.com/manufacturer/national-semiconductor?pageNo=109", "National Semiconductor")</f>
        <v>National Semiconductor</v>
      </c>
      <c r="C110" s="6">
        <v>30</v>
      </c>
      <c r="D110" s="7">
        <v>3.48</v>
      </c>
      <c r="E110" t="s">
        <v>7</v>
      </c>
    </row>
    <row r="111" spans="1:5" x14ac:dyDescent="0.25">
      <c r="A111" t="str">
        <f>HYPERLINK("https://www.773grp.com/globalSearch/LM317S-NOPB/page-1", "LM317S-NOPB")</f>
        <v>LM317S-NOPB</v>
      </c>
      <c r="B111" s="3" t="str">
        <f>HYPERLINK("https://www.773grp.com/manufacturer/national-semiconductor?pageNo=110", "National Semiconductor")</f>
        <v>National Semiconductor</v>
      </c>
      <c r="C111" s="6">
        <v>1608</v>
      </c>
      <c r="D111" s="7">
        <v>3.48</v>
      </c>
      <c r="E111" t="s">
        <v>22</v>
      </c>
    </row>
    <row r="112" spans="1:5" x14ac:dyDescent="0.25">
      <c r="A112" t="str">
        <f>HYPERLINK("https://www.773grp.com/globalSearch/LM317SX-NOPB/page-1", "LM317SX-NOPB")</f>
        <v>LM317SX-NOPB</v>
      </c>
      <c r="B112" s="3" t="str">
        <f>HYPERLINK("https://www.773grp.com/manufacturer/national-semiconductor?pageNo=111", "National Semiconductor")</f>
        <v>National Semiconductor</v>
      </c>
      <c r="C112" s="6">
        <v>12089</v>
      </c>
      <c r="D112" s="7">
        <v>3.48</v>
      </c>
      <c r="E112" t="s">
        <v>22</v>
      </c>
    </row>
    <row r="113" spans="1:5" x14ac:dyDescent="0.25">
      <c r="A113" t="str">
        <f>HYPERLINK("https://www.773grp.com/globalSearch/LM3524DN-NOPB/page-1", "LM3524DN-NOPB")</f>
        <v>LM3524DN-NOPB</v>
      </c>
      <c r="B113" s="3" t="str">
        <f>HYPERLINK("https://www.773grp.com/manufacturer/national-semiconductor?pageNo=112", "National Semiconductor")</f>
        <v>National Semiconductor</v>
      </c>
      <c r="C113" s="6">
        <v>4384</v>
      </c>
      <c r="D113" s="7">
        <v>3.48</v>
      </c>
      <c r="E113" t="s">
        <v>7</v>
      </c>
    </row>
    <row r="114" spans="1:5" x14ac:dyDescent="0.25">
      <c r="A114" t="str">
        <f>HYPERLINK("https://www.773grp.com/globalSearch/LM3578AN-J5000259/page-1", "LM3578AN-J5000259")</f>
        <v>LM3578AN-J5000259</v>
      </c>
      <c r="B114" s="3" t="str">
        <f>HYPERLINK("https://www.773grp.com/manufacturer/national-semiconductor?pageNo=113", "National Semiconductor")</f>
        <v>National Semiconductor</v>
      </c>
      <c r="C114" s="6">
        <v>20</v>
      </c>
      <c r="D114" s="7">
        <v>3.48</v>
      </c>
    </row>
    <row r="115" spans="1:5" x14ac:dyDescent="0.25">
      <c r="A115" t="str">
        <f>HYPERLINK("https://www.773grp.com/globalSearch/LM4041AIM3-1.2-NOPB/page-1", "LM4041AIM3-1.2-NOPB")</f>
        <v>LM4041AIM3-1.2-NOPB</v>
      </c>
      <c r="B115" s="3" t="str">
        <f>HYPERLINK("https://www.773grp.com/manufacturer/national-semiconductor?pageNo=114", "National Semiconductor")</f>
        <v>National Semiconductor</v>
      </c>
      <c r="C115" s="6">
        <v>8478</v>
      </c>
      <c r="D115" s="7">
        <v>3.48</v>
      </c>
      <c r="E115" t="s">
        <v>17</v>
      </c>
    </row>
    <row r="116" spans="1:5" x14ac:dyDescent="0.25">
      <c r="A116" t="str">
        <f>HYPERLINK("https://www.773grp.com/globalSearch/LM4861MX-NOPB/page-1", "LM4861MX-NOPB")</f>
        <v>LM4861MX-NOPB</v>
      </c>
      <c r="B116" s="3" t="str">
        <f>HYPERLINK("https://www.773grp.com/manufacturer/national-semiconductor?pageNo=115", "National Semiconductor")</f>
        <v>National Semiconductor</v>
      </c>
      <c r="C116" s="6">
        <v>10192</v>
      </c>
      <c r="D116" s="7">
        <v>3.48</v>
      </c>
      <c r="E116" t="s">
        <v>18</v>
      </c>
    </row>
    <row r="117" spans="1:5" x14ac:dyDescent="0.25">
      <c r="A117" t="str">
        <f>HYPERLINK("https://www.773grp.com/globalSearch/LM56CIMX-NOPB/page-1", "LM56CIMX-NOPB")</f>
        <v>LM56CIMX-NOPB</v>
      </c>
      <c r="B117" s="3" t="str">
        <f>HYPERLINK("https://www.773grp.com/manufacturer/national-semiconductor?pageNo=116", "National Semiconductor")</f>
        <v>National Semiconductor</v>
      </c>
      <c r="C117" s="6">
        <v>12500</v>
      </c>
      <c r="D117" s="7">
        <v>3.48</v>
      </c>
      <c r="E117" t="s">
        <v>12</v>
      </c>
    </row>
    <row r="118" spans="1:5" x14ac:dyDescent="0.25">
      <c r="A118" t="str">
        <f>HYPERLINK("https://www.773grp.com/globalSearch/LM8342SD/page-1", "LM8342SD")</f>
        <v>LM8342SD</v>
      </c>
      <c r="B118" s="3" t="str">
        <f>HYPERLINK("https://www.773grp.com/manufacturer/national-semiconductor?pageNo=117", "National Semiconductor")</f>
        <v>National Semiconductor</v>
      </c>
      <c r="C118" s="6">
        <v>2000</v>
      </c>
      <c r="D118" s="7">
        <v>3.48</v>
      </c>
      <c r="E118" t="s">
        <v>23</v>
      </c>
    </row>
    <row r="119" spans="1:5" x14ac:dyDescent="0.25">
      <c r="A119" t="str">
        <f>HYPERLINK("https://www.773grp.com/globalSearch/LM8342SD-NOPB/page-1", "LM8342SD-NOPB")</f>
        <v>LM8342SD-NOPB</v>
      </c>
      <c r="B119" s="3" t="str">
        <f>HYPERLINK("https://www.773grp.com/manufacturer/national-semiconductor?pageNo=118", "National Semiconductor")</f>
        <v>National Semiconductor</v>
      </c>
      <c r="C119" s="6">
        <v>652</v>
      </c>
      <c r="D119" s="7">
        <v>3.48</v>
      </c>
    </row>
    <row r="120" spans="1:5" x14ac:dyDescent="0.25">
      <c r="A120" t="str">
        <f>HYPERLINK("https://www.773grp.com/globalSearch/LMC6061IM-NOPB/page-1", "LMC6061IM-NOPB")</f>
        <v>LMC6061IM-NOPB</v>
      </c>
      <c r="B120" s="3" t="str">
        <f>HYPERLINK("https://www.773grp.com/manufacturer/national-semiconductor?pageNo=119", "National Semiconductor")</f>
        <v>National Semiconductor</v>
      </c>
      <c r="C120" s="6">
        <v>305</v>
      </c>
      <c r="D120" s="7">
        <v>3.48</v>
      </c>
      <c r="E120" t="s">
        <v>13</v>
      </c>
    </row>
    <row r="121" spans="1:5" x14ac:dyDescent="0.25">
      <c r="A121" t="str">
        <f>HYPERLINK("https://www.773grp.com/globalSearch/LMC6572BIM/page-1", "LMC6572BIM")</f>
        <v>LMC6572BIM</v>
      </c>
      <c r="B121" s="3" t="str">
        <f>HYPERLINK("https://www.773grp.com/manufacturer/national-semiconductor?pageNo=120", "National Semiconductor")</f>
        <v>National Semiconductor</v>
      </c>
      <c r="C121" s="6">
        <v>1055</v>
      </c>
      <c r="D121" s="7">
        <v>3.48</v>
      </c>
      <c r="E121" t="s">
        <v>13</v>
      </c>
    </row>
    <row r="122" spans="1:5" x14ac:dyDescent="0.25">
      <c r="A122" t="str">
        <f>HYPERLINK("https://www.773grp.com/globalSearch/LMC662AIN-NOPB/page-1", "LMC662AIN-NOPB")</f>
        <v>LMC662AIN-NOPB</v>
      </c>
      <c r="B122" s="3" t="str">
        <f>HYPERLINK("https://www.773grp.com/manufacturer/national-semiconductor?pageNo=121", "National Semiconductor")</f>
        <v>National Semiconductor</v>
      </c>
      <c r="C122" s="6">
        <v>6675</v>
      </c>
      <c r="D122" s="7">
        <v>3.48</v>
      </c>
      <c r="E122" t="s">
        <v>13</v>
      </c>
    </row>
    <row r="123" spans="1:5" x14ac:dyDescent="0.25">
      <c r="A123" t="str">
        <f>HYPERLINK("https://www.773grp.com/globalSearch/LP2996M-NOPB/page-1", "LP2996M-NOPB")</f>
        <v>LP2996M-NOPB</v>
      </c>
      <c r="B123" s="3" t="str">
        <f>HYPERLINK("https://www.773grp.com/manufacturer/national-semiconductor?pageNo=122", "National Semiconductor")</f>
        <v>National Semiconductor</v>
      </c>
      <c r="C123" s="6">
        <v>2671</v>
      </c>
      <c r="D123" s="7">
        <v>3.48</v>
      </c>
      <c r="E123" t="s">
        <v>24</v>
      </c>
    </row>
    <row r="124" spans="1:5" x14ac:dyDescent="0.25">
      <c r="A124" t="str">
        <f>HYPERLINK("https://www.773grp.com/globalSearch/LP2996MR-NOPB/page-1", "LP2996MR-NOPB")</f>
        <v>LP2996MR-NOPB</v>
      </c>
      <c r="B124" s="3" t="str">
        <f>HYPERLINK("https://www.773grp.com/manufacturer/national-semiconductor?pageNo=123", "National Semiconductor")</f>
        <v>National Semiconductor</v>
      </c>
      <c r="C124" s="6">
        <v>695</v>
      </c>
      <c r="D124" s="7">
        <v>3.48</v>
      </c>
      <c r="E124" t="s">
        <v>24</v>
      </c>
    </row>
    <row r="125" spans="1:5" x14ac:dyDescent="0.25">
      <c r="A125" t="str">
        <f>HYPERLINK("https://www.773grp.com/globalSearch/MAX660M-NOPB/page-1", "MAX660M-NOPB")</f>
        <v>MAX660M-NOPB</v>
      </c>
      <c r="B125" s="4" t="str">
        <f>HYPERLINK("https://www.773grp.com/manufacturer/national-semiconductor?pageNo=124", "National Semiconductor")</f>
        <v>National Semiconductor</v>
      </c>
      <c r="C125" s="6">
        <v>1597</v>
      </c>
      <c r="D125" s="7">
        <v>3.48</v>
      </c>
      <c r="E125" t="s">
        <v>7</v>
      </c>
    </row>
    <row r="126" spans="1:5" x14ac:dyDescent="0.25">
      <c r="A126" t="str">
        <f>HYPERLINK("https://www.773grp.com/globalSearch/SM72480SDE-120-NOPB/page-1", "SM72480SDE-120-NOPB")</f>
        <v>SM72480SDE-120-NOPB</v>
      </c>
      <c r="B126" s="3" t="str">
        <f>HYPERLINK("https://www.773grp.com/manufacturer/national-semiconductor?pageNo=125", "National Semiconductor")</f>
        <v>National Semiconductor</v>
      </c>
      <c r="C126" s="6">
        <v>362</v>
      </c>
      <c r="D126" s="7">
        <v>3.48</v>
      </c>
    </row>
    <row r="127" spans="1:5" x14ac:dyDescent="0.25">
      <c r="A127" t="str">
        <f>HYPERLINK("https://www.773grp.com/globalSearch/DS3695N-NOPB/page-1", "DS3695N-NOPB")</f>
        <v>DS3695N-NOPB</v>
      </c>
      <c r="B127" s="3" t="str">
        <f>HYPERLINK("https://www.773grp.com/manufacturer/national-semiconductor?pageNo=126", "National Semiconductor")</f>
        <v>National Semiconductor</v>
      </c>
      <c r="C127" s="6">
        <v>292</v>
      </c>
      <c r="D127" s="7">
        <v>3.48</v>
      </c>
      <c r="E127" t="s">
        <v>21</v>
      </c>
    </row>
    <row r="128" spans="1:5" x14ac:dyDescent="0.25">
      <c r="A128" t="str">
        <f>HYPERLINK("https://www.773grp.com/globalSearch/DS8921AM-NOPB/page-1", "DS8921AM-NOPB")</f>
        <v>DS8921AM-NOPB</v>
      </c>
      <c r="B128" s="3" t="str">
        <f>HYPERLINK("https://www.773grp.com/manufacturer/national-semiconductor?pageNo=127", "National Semiconductor")</f>
        <v>National Semiconductor</v>
      </c>
      <c r="C128" s="6">
        <v>243</v>
      </c>
      <c r="D128" s="7">
        <v>3.48</v>
      </c>
      <c r="E128" t="s">
        <v>21</v>
      </c>
    </row>
    <row r="129" spans="1:5" x14ac:dyDescent="0.25">
      <c r="A129" t="str">
        <f>HYPERLINK("https://www.773grp.com/globalSearch/DS8921ATM/page-1", "DS8921ATM")</f>
        <v>DS8921ATM</v>
      </c>
      <c r="B129" s="3" t="str">
        <f>HYPERLINK("https://www.773grp.com/manufacturer/national-semiconductor?pageNo=128", "National Semiconductor")</f>
        <v>National Semiconductor</v>
      </c>
      <c r="C129" s="6">
        <v>95</v>
      </c>
      <c r="D129" s="7">
        <v>3.48</v>
      </c>
    </row>
    <row r="130" spans="1:5" x14ac:dyDescent="0.25">
      <c r="A130" t="str">
        <f>HYPERLINK("https://www.773grp.com/globalSearch/LF444CMX-NOPB/page-1", "LF444CMX-NOPB")</f>
        <v>LF444CMX-NOPB</v>
      </c>
      <c r="B130" s="3" t="str">
        <f>HYPERLINK("https://www.773grp.com/manufacturer/national-semiconductor?pageNo=129", "National Semiconductor")</f>
        <v>National Semiconductor</v>
      </c>
      <c r="C130" s="6">
        <v>1404</v>
      </c>
      <c r="D130" s="7">
        <v>3.48</v>
      </c>
    </row>
    <row r="131" spans="1:5" x14ac:dyDescent="0.25">
      <c r="A131" t="str">
        <f>HYPERLINK("https://www.773grp.com/globalSearch/LM317S-NOPB/page-1", "LM317S-NOPB")</f>
        <v>LM317S-NOPB</v>
      </c>
      <c r="B131" s="3" t="str">
        <f>HYPERLINK("https://www.773grp.com/manufacturer/national-semiconductor?pageNo=130", "National Semiconductor")</f>
        <v>National Semiconductor</v>
      </c>
      <c r="C131" s="6">
        <v>470</v>
      </c>
      <c r="D131" s="7">
        <v>3.48</v>
      </c>
      <c r="E131" t="s">
        <v>22</v>
      </c>
    </row>
    <row r="132" spans="1:5" x14ac:dyDescent="0.25">
      <c r="A132" t="str">
        <f>HYPERLINK("https://www.773grp.com/globalSearch/LM317SX-NOPB/page-1", "LM317SX-NOPB")</f>
        <v>LM317SX-NOPB</v>
      </c>
      <c r="B132" s="3" t="str">
        <f>HYPERLINK("https://www.773grp.com/manufacturer/national-semiconductor?pageNo=131", "National Semiconductor")</f>
        <v>National Semiconductor</v>
      </c>
      <c r="C132" s="6">
        <v>65</v>
      </c>
      <c r="D132" s="7">
        <v>3.48</v>
      </c>
      <c r="E132" t="s">
        <v>22</v>
      </c>
    </row>
    <row r="133" spans="1:5" x14ac:dyDescent="0.25">
      <c r="A133" t="str">
        <f>HYPERLINK("https://www.773grp.com/globalSearch/LM3444MA-NOPB/page-1", "LM3444MA-NOPB")</f>
        <v>LM3444MA-NOPB</v>
      </c>
      <c r="B133" s="4" t="str">
        <f>HYPERLINK("https://www.773grp.com/manufacturer/national-semiconductor?pageNo=132", "National Semiconductor")</f>
        <v>National Semiconductor</v>
      </c>
      <c r="C133" s="6">
        <v>2275</v>
      </c>
      <c r="D133" s="7">
        <v>3.48</v>
      </c>
    </row>
    <row r="134" spans="1:5" x14ac:dyDescent="0.25">
      <c r="A134" t="str">
        <f>HYPERLINK("https://www.773grp.com/globalSearch/LM3524DN-NOPB/page-1", "LM3524DN-NOPB")</f>
        <v>LM3524DN-NOPB</v>
      </c>
      <c r="B134" s="4" t="str">
        <f>HYPERLINK("https://www.773grp.com/manufacturer/national-semiconductor?pageNo=133", "National Semiconductor")</f>
        <v>National Semiconductor</v>
      </c>
      <c r="C134" s="6">
        <v>173</v>
      </c>
      <c r="D134" s="7">
        <v>3.48</v>
      </c>
      <c r="E134" t="s">
        <v>7</v>
      </c>
    </row>
    <row r="135" spans="1:5" x14ac:dyDescent="0.25">
      <c r="A135" t="str">
        <f>HYPERLINK("https://www.773grp.com/globalSearch/LM4041AIM3-1.2-NOPB/page-1", "LM4041AIM3-1.2-NOPB")</f>
        <v>LM4041AIM3-1.2-NOPB</v>
      </c>
      <c r="B135" s="4" t="str">
        <f>HYPERLINK("https://www.773grp.com/manufacturer/national-semiconductor?pageNo=134", "National Semiconductor")</f>
        <v>National Semiconductor</v>
      </c>
      <c r="C135" s="6">
        <v>177</v>
      </c>
      <c r="D135" s="7">
        <v>3.48</v>
      </c>
      <c r="E135" t="s">
        <v>17</v>
      </c>
    </row>
    <row r="136" spans="1:5" x14ac:dyDescent="0.25">
      <c r="A136" t="str">
        <f>HYPERLINK("https://www.773grp.com/globalSearch/LM4041AIZ-1.2-NOPB/page-1", "LM4041AIZ-1.2-NOPB")</f>
        <v>LM4041AIZ-1.2-NOPB</v>
      </c>
      <c r="B136" s="3" t="str">
        <f>HYPERLINK("https://www.773grp.com/manufacturer/national-semiconductor?pageNo=1", "National Semiconductor")</f>
        <v>National Semiconductor</v>
      </c>
      <c r="C136" s="6">
        <v>245</v>
      </c>
      <c r="D136" s="7">
        <v>3.48</v>
      </c>
    </row>
    <row r="137" spans="1:5" x14ac:dyDescent="0.25">
      <c r="A137" t="str">
        <f>HYPERLINK("https://www.773grp.com/globalSearch/LM56CIMX-NOPB/page-1", "LM56CIMX-NOPB")</f>
        <v>LM56CIMX-NOPB</v>
      </c>
      <c r="B137" s="3" t="str">
        <f>HYPERLINK("https://www.773grp.com/manufacturer/national-semiconductor?pageNo=2", "National Semiconductor")</f>
        <v>National Semiconductor</v>
      </c>
      <c r="C137" s="6">
        <v>2500</v>
      </c>
      <c r="D137" s="7">
        <v>3.48</v>
      </c>
      <c r="E137" t="s">
        <v>12</v>
      </c>
    </row>
    <row r="138" spans="1:5" x14ac:dyDescent="0.25">
      <c r="A138" t="str">
        <f>HYPERLINK("https://www.773grp.com/globalSearch/LMC6061IM-NOPB/page-1", "LMC6061IM-NOPB")</f>
        <v>LMC6061IM-NOPB</v>
      </c>
      <c r="B138" s="3" t="str">
        <f>HYPERLINK("https://www.773grp.com/manufacturer/national-semiconductor?pageNo=3", "National Semiconductor")</f>
        <v>National Semiconductor</v>
      </c>
      <c r="C138" s="6">
        <v>2665</v>
      </c>
      <c r="D138" s="7">
        <v>3.48</v>
      </c>
      <c r="E138" t="s">
        <v>13</v>
      </c>
    </row>
    <row r="139" spans="1:5" x14ac:dyDescent="0.25">
      <c r="A139" t="str">
        <f>HYPERLINK("https://www.773grp.com/globalSearch/LMC662AIN-NOPB/page-1", "LMC662AIN-NOPB")</f>
        <v>LMC662AIN-NOPB</v>
      </c>
      <c r="B139" s="3" t="str">
        <f>HYPERLINK("https://www.773grp.com/manufacturer/national-semiconductor?pageNo=4", "National Semiconductor")</f>
        <v>National Semiconductor</v>
      </c>
      <c r="C139" s="6">
        <v>904</v>
      </c>
      <c r="D139" s="7">
        <v>3.48</v>
      </c>
      <c r="E139" t="s">
        <v>13</v>
      </c>
    </row>
    <row r="140" spans="1:5" x14ac:dyDescent="0.25">
      <c r="A140" t="str">
        <f>HYPERLINK("https://www.773grp.com/globalSearch/LP2996M-NOPB/page-1", "LP2996M-NOPB")</f>
        <v>LP2996M-NOPB</v>
      </c>
      <c r="B140" s="3" t="str">
        <f>HYPERLINK("https://www.773grp.com/manufacturer/national-semiconductor?pageNo=5", "National Semiconductor")</f>
        <v>National Semiconductor</v>
      </c>
      <c r="C140" s="6">
        <v>39049</v>
      </c>
      <c r="D140" s="7">
        <v>3.48</v>
      </c>
      <c r="E140" t="s">
        <v>24</v>
      </c>
    </row>
    <row r="141" spans="1:5" x14ac:dyDescent="0.25">
      <c r="A141" t="str">
        <f>HYPERLINK("https://www.773grp.com/globalSearch/LP2996MR-NOPB/page-1", "LP2996MR-NOPB")</f>
        <v>LP2996MR-NOPB</v>
      </c>
      <c r="B141" s="3" t="str">
        <f>HYPERLINK("https://www.773grp.com/manufacturer/national-semiconductor?pageNo=6", "National Semiconductor")</f>
        <v>National Semiconductor</v>
      </c>
      <c r="C141" s="6">
        <v>1379</v>
      </c>
      <c r="D141" s="7">
        <v>3.48</v>
      </c>
      <c r="E141" t="s">
        <v>24</v>
      </c>
    </row>
    <row r="142" spans="1:5" x14ac:dyDescent="0.25">
      <c r="A142" t="str">
        <f>HYPERLINK("https://www.773grp.com/globalSearch/MAX660M-NOPB/page-1", "MAX660M-NOPB")</f>
        <v>MAX660M-NOPB</v>
      </c>
      <c r="B142" s="3" t="str">
        <f>HYPERLINK("https://www.773grp.com/manufacturer/national-semiconductor?pageNo=7", "National Semiconductor")</f>
        <v>National Semiconductor</v>
      </c>
      <c r="C142" s="6">
        <v>241</v>
      </c>
      <c r="D142" s="7">
        <v>3.48</v>
      </c>
      <c r="E142" t="s">
        <v>7</v>
      </c>
    </row>
    <row r="143" spans="1:5" x14ac:dyDescent="0.25">
      <c r="A143" t="str">
        <f>HYPERLINK("https://www.773grp.com/globalSearch/SM72480SDE-120-NOPB/page-1", "SM72480SDE-120-NOPB")</f>
        <v>SM72480SDE-120-NOPB</v>
      </c>
      <c r="B143" s="3" t="str">
        <f>HYPERLINK("https://www.773grp.com/manufacturer/national-semiconductor?pageNo=8", "National Semiconductor")</f>
        <v>National Semiconductor</v>
      </c>
      <c r="C143" s="6">
        <v>750</v>
      </c>
      <c r="D143" s="7">
        <v>3.48</v>
      </c>
    </row>
    <row r="144" spans="1:5" x14ac:dyDescent="0.25">
      <c r="A144" t="str">
        <f>HYPERLINK("https://www.773grp.com/globalSearch/DM54S03J-MIL/page-1", "DM54S03J-MIL")</f>
        <v>DM54S03J-MIL</v>
      </c>
      <c r="B144" s="3" t="str">
        <f>HYPERLINK("https://www.773grp.com/manufacturer/national-semiconductor?pageNo=9", "National Semiconductor")</f>
        <v>National Semiconductor</v>
      </c>
      <c r="C144" s="6">
        <v>82</v>
      </c>
      <c r="D144" s="7">
        <v>3.15</v>
      </c>
    </row>
    <row r="145" spans="1:5" x14ac:dyDescent="0.25">
      <c r="A145" t="str">
        <f>HYPERLINK("https://www.773grp.com/globalSearch/DM7005J-883/page-1", "DM7005J-883")</f>
        <v>DM7005J-883</v>
      </c>
      <c r="B145" s="3" t="str">
        <f>HYPERLINK("https://www.773grp.com/manufacturer/national-semiconductor?pageNo=10", "National Semiconductor")</f>
        <v>National Semiconductor</v>
      </c>
      <c r="C145" s="6">
        <v>136</v>
      </c>
      <c r="D145" s="7">
        <v>3.15</v>
      </c>
    </row>
    <row r="146" spans="1:5" x14ac:dyDescent="0.25">
      <c r="A146" t="str">
        <f>HYPERLINK("https://www.773grp.com/globalSearch/DS8933M/page-1", "DS8933M")</f>
        <v>DS8933M</v>
      </c>
      <c r="B146" s="3" t="str">
        <f>HYPERLINK("https://www.773grp.com/manufacturer/national-semiconductor?pageNo=11", "National Semiconductor")</f>
        <v>National Semiconductor</v>
      </c>
      <c r="C146" s="6">
        <v>550</v>
      </c>
      <c r="D146" s="7">
        <v>3.15</v>
      </c>
      <c r="E146" t="s">
        <v>21</v>
      </c>
    </row>
    <row r="147" spans="1:5" x14ac:dyDescent="0.25">
      <c r="A147" t="str">
        <f>HYPERLINK("https://www.773grp.com/globalSearch/DS8933MX/page-1", "DS8933MX")</f>
        <v>DS8933MX</v>
      </c>
      <c r="B147" s="3" t="str">
        <f>HYPERLINK("https://www.773grp.com/manufacturer/national-semiconductor?pageNo=12", "National Semiconductor")</f>
        <v>National Semiconductor</v>
      </c>
      <c r="C147" s="6">
        <v>5000</v>
      </c>
      <c r="D147" s="7">
        <v>3.15</v>
      </c>
      <c r="E147" t="s">
        <v>21</v>
      </c>
    </row>
    <row r="148" spans="1:5" x14ac:dyDescent="0.25">
      <c r="A148" t="str">
        <f>HYPERLINK("https://www.773grp.com/globalSearch/LF444ACN/page-1", "LF444ACN")</f>
        <v>LF444ACN</v>
      </c>
      <c r="B148" s="3" t="str">
        <f>HYPERLINK("https://www.773grp.com/manufacturer/national-semiconductor?pageNo=13", "National Semiconductor")</f>
        <v>National Semiconductor</v>
      </c>
      <c r="C148" s="6">
        <v>34</v>
      </c>
      <c r="D148" s="7">
        <v>3.15</v>
      </c>
      <c r="E148" t="s">
        <v>13</v>
      </c>
    </row>
    <row r="149" spans="1:5" x14ac:dyDescent="0.25">
      <c r="A149" t="str">
        <f>HYPERLINK("https://www.773grp.com/globalSearch/LM1085ISX-3.3/page-1", "LM1085ISX-3.3")</f>
        <v>LM1085ISX-3.3</v>
      </c>
      <c r="B149" s="3" t="str">
        <f>HYPERLINK("https://www.773grp.com/manufacturer/national-semiconductor?pageNo=14", "National Semiconductor")</f>
        <v>National Semiconductor</v>
      </c>
      <c r="C149" s="6">
        <v>2351</v>
      </c>
      <c r="D149" s="7">
        <v>3.15</v>
      </c>
      <c r="E149" t="s">
        <v>19</v>
      </c>
    </row>
    <row r="150" spans="1:5" x14ac:dyDescent="0.25">
      <c r="A150" t="str">
        <f>HYPERLINK("https://www.773grp.com/globalSearch/LM1085ISX-ADJ/page-1", "LM1085ISX-ADJ")</f>
        <v>LM1085ISX-ADJ</v>
      </c>
      <c r="B150" s="3" t="str">
        <f>HYPERLINK("https://www.773grp.com/manufacturer/national-semiconductor?pageNo=15", "National Semiconductor")</f>
        <v>National Semiconductor</v>
      </c>
      <c r="C150" s="6">
        <v>450</v>
      </c>
      <c r="D150" s="7">
        <v>3.15</v>
      </c>
      <c r="E150" t="s">
        <v>25</v>
      </c>
    </row>
    <row r="151" spans="1:5" x14ac:dyDescent="0.25">
      <c r="A151" t="str">
        <f>HYPERLINK("https://www.773grp.com/globalSearch/LM2575T-12/page-1", "LM2575T-12")</f>
        <v>LM2575T-12</v>
      </c>
      <c r="B151" s="3" t="str">
        <f>HYPERLINK("https://www.773grp.com/manufacturer/national-semiconductor?pageNo=16", "National Semiconductor")</f>
        <v>National Semiconductor</v>
      </c>
      <c r="C151" s="6">
        <v>1807</v>
      </c>
      <c r="D151" s="7">
        <v>3.15</v>
      </c>
      <c r="E151" t="s">
        <v>7</v>
      </c>
    </row>
    <row r="152" spans="1:5" x14ac:dyDescent="0.25">
      <c r="A152" t="str">
        <f>HYPERLINK("https://www.773grp.com/globalSearch/LM2575T-15/page-1", "LM2575T-15")</f>
        <v>LM2575T-15</v>
      </c>
      <c r="B152" s="3" t="str">
        <f>HYPERLINK("https://www.773grp.com/manufacturer/national-semiconductor?pageNo=17", "National Semiconductor")</f>
        <v>National Semiconductor</v>
      </c>
      <c r="C152" s="6">
        <v>202</v>
      </c>
      <c r="D152" s="7">
        <v>3.15</v>
      </c>
      <c r="E152" t="s">
        <v>7</v>
      </c>
    </row>
    <row r="153" spans="1:5" x14ac:dyDescent="0.25">
      <c r="A153" t="str">
        <f>HYPERLINK("https://www.773grp.com/globalSearch/LM2575T-5.0/page-1", "LM2575T-5.0")</f>
        <v>LM2575T-5.0</v>
      </c>
      <c r="B153" s="3" t="str">
        <f>HYPERLINK("https://www.773grp.com/manufacturer/national-semiconductor?pageNo=18", "National Semiconductor")</f>
        <v>National Semiconductor</v>
      </c>
      <c r="C153" s="6">
        <v>176</v>
      </c>
      <c r="D153" s="7">
        <v>3.15</v>
      </c>
      <c r="E153" t="s">
        <v>7</v>
      </c>
    </row>
    <row r="154" spans="1:5" x14ac:dyDescent="0.25">
      <c r="A154" t="str">
        <f>HYPERLINK("https://www.773grp.com/globalSearch/LM2575T-5.0-LB03/page-1", "LM2575T-5.0-LB03")</f>
        <v>LM2575T-5.0-LB03</v>
      </c>
      <c r="B154" s="3" t="str">
        <f>HYPERLINK("https://www.773grp.com/manufacturer/national-semiconductor?pageNo=19", "National Semiconductor")</f>
        <v>National Semiconductor</v>
      </c>
      <c r="C154" s="6">
        <v>38</v>
      </c>
      <c r="D154" s="7">
        <v>3.15</v>
      </c>
    </row>
    <row r="155" spans="1:5" x14ac:dyDescent="0.25">
      <c r="A155" t="str">
        <f>HYPERLINK("https://www.773grp.com/globalSearch/LM2575T-ADJ/page-1", "LM2575T-ADJ")</f>
        <v>LM2575T-ADJ</v>
      </c>
      <c r="B155" s="3" t="str">
        <f>HYPERLINK("https://www.773grp.com/manufacturer/national-semiconductor?pageNo=20", "National Semiconductor")</f>
        <v>National Semiconductor</v>
      </c>
      <c r="C155" s="6">
        <v>7261</v>
      </c>
      <c r="D155" s="7">
        <v>3.15</v>
      </c>
      <c r="E155" t="s">
        <v>7</v>
      </c>
    </row>
    <row r="156" spans="1:5" x14ac:dyDescent="0.25">
      <c r="A156" t="str">
        <f>HYPERLINK("https://www.773grp.com/globalSearch/LMC6081IN/page-1", "LMC6081IN")</f>
        <v>LMC6081IN</v>
      </c>
      <c r="B156" s="3" t="str">
        <f>HYPERLINK("https://www.773grp.com/manufacturer/national-semiconductor?pageNo=21", "National Semiconductor")</f>
        <v>National Semiconductor</v>
      </c>
      <c r="C156" s="6">
        <v>40</v>
      </c>
      <c r="D156" s="7">
        <v>3.15</v>
      </c>
      <c r="E156" t="s">
        <v>13</v>
      </c>
    </row>
    <row r="157" spans="1:5" x14ac:dyDescent="0.25">
      <c r="A157" t="str">
        <f>HYPERLINK("https://www.773grp.com/globalSearch/LMH6658MA-NOPB/page-1", "LMH6658MA-NOPB")</f>
        <v>LMH6658MA-NOPB</v>
      </c>
      <c r="B157" s="3" t="str">
        <f>HYPERLINK("https://www.773grp.com/manufacturer/national-semiconductor?pageNo=22", "National Semiconductor")</f>
        <v>National Semiconductor</v>
      </c>
      <c r="C157" s="6">
        <v>507</v>
      </c>
      <c r="D157" s="7">
        <v>3.15</v>
      </c>
      <c r="E157" t="s">
        <v>18</v>
      </c>
    </row>
    <row r="158" spans="1:5" x14ac:dyDescent="0.25">
      <c r="A158" t="str">
        <f>HYPERLINK("https://www.773grp.com/globalSearch/LMS1587IT-1.5/page-1", "LMS1587IT-1.5")</f>
        <v>LMS1587IT-1.5</v>
      </c>
      <c r="B158" s="3" t="str">
        <f>HYPERLINK("https://www.773grp.com/manufacturer/national-semiconductor?pageNo=23", "National Semiconductor")</f>
        <v>National Semiconductor</v>
      </c>
      <c r="C158" s="6">
        <v>76</v>
      </c>
      <c r="D158" s="7">
        <v>3.15</v>
      </c>
      <c r="E158" t="s">
        <v>19</v>
      </c>
    </row>
    <row r="159" spans="1:5" x14ac:dyDescent="0.25">
      <c r="A159" t="str">
        <f>HYPERLINK("https://www.773grp.com/globalSearch/LP2954IT-NOPB/page-1", "LP2954IT-NOPB")</f>
        <v>LP2954IT-NOPB</v>
      </c>
      <c r="B159" s="3" t="str">
        <f>HYPERLINK("https://www.773grp.com/manufacturer/national-semiconductor?pageNo=24", "National Semiconductor")</f>
        <v>National Semiconductor</v>
      </c>
      <c r="C159" s="6">
        <v>679</v>
      </c>
      <c r="D159" s="7">
        <v>3.15</v>
      </c>
      <c r="E159" t="s">
        <v>19</v>
      </c>
    </row>
    <row r="160" spans="1:5" x14ac:dyDescent="0.25">
      <c r="A160" t="str">
        <f>HYPERLINK("https://www.773grp.com/globalSearch/MM74HCT151N/page-1", "MM74HCT151N")</f>
        <v>MM74HCT151N</v>
      </c>
      <c r="B160" s="3" t="str">
        <f>HYPERLINK("https://www.773grp.com/manufacturer/national-semiconductor?pageNo=25", "National Semiconductor")</f>
        <v>National Semiconductor</v>
      </c>
      <c r="C160" s="6">
        <v>1425</v>
      </c>
      <c r="D160" s="7">
        <v>3.15</v>
      </c>
      <c r="E160" t="s">
        <v>20</v>
      </c>
    </row>
    <row r="161" spans="1:5" x14ac:dyDescent="0.25">
      <c r="A161" t="str">
        <f>HYPERLINK("https://www.773grp.com/globalSearch/MM74HCT251N/page-1", "MM74HCT251N")</f>
        <v>MM74HCT251N</v>
      </c>
      <c r="B161" s="3" t="str">
        <f>HYPERLINK("https://www.773grp.com/manufacturer/national-semiconductor?pageNo=26", "National Semiconductor")</f>
        <v>National Semiconductor</v>
      </c>
      <c r="C161" s="6">
        <v>24170</v>
      </c>
      <c r="D161" s="7">
        <v>3.15</v>
      </c>
      <c r="E161" t="s">
        <v>20</v>
      </c>
    </row>
    <row r="162" spans="1:5" x14ac:dyDescent="0.25">
      <c r="A162" t="str">
        <f>HYPERLINK("https://www.773grp.com/globalSearch/LM1085ISX-ADJ/page-1", "LM1085ISX-ADJ")</f>
        <v>LM1085ISX-ADJ</v>
      </c>
      <c r="B162" s="3" t="str">
        <f>HYPERLINK("https://www.773grp.com/manufacturer/national-semiconductor?pageNo=27", "National Semiconductor")</f>
        <v>National Semiconductor</v>
      </c>
      <c r="C162" s="6">
        <v>500</v>
      </c>
      <c r="D162" s="7">
        <v>3.15</v>
      </c>
      <c r="E162" t="s">
        <v>25</v>
      </c>
    </row>
    <row r="163" spans="1:5" x14ac:dyDescent="0.25">
      <c r="A163" t="str">
        <f>HYPERLINK("https://www.773grp.com/globalSearch/LM2575T-15/page-1", "LM2575T-15")</f>
        <v>LM2575T-15</v>
      </c>
      <c r="B163" s="3" t="str">
        <f>HYPERLINK("https://www.773grp.com/manufacturer/national-semiconductor?pageNo=28", "National Semiconductor")</f>
        <v>National Semiconductor</v>
      </c>
      <c r="C163" s="6">
        <v>342</v>
      </c>
      <c r="D163" s="7">
        <v>3.15</v>
      </c>
      <c r="E163" t="s">
        <v>7</v>
      </c>
    </row>
    <row r="164" spans="1:5" x14ac:dyDescent="0.25">
      <c r="A164" t="str">
        <f>HYPERLINK("https://www.773grp.com/globalSearch/LM2575T-ADJ/page-1", "LM2575T-ADJ")</f>
        <v>LM2575T-ADJ</v>
      </c>
      <c r="B164" s="3" t="str">
        <f>HYPERLINK("https://www.773grp.com/manufacturer/national-semiconductor?pageNo=29", "National Semiconductor")</f>
        <v>National Semiconductor</v>
      </c>
      <c r="C164" s="6">
        <v>1809</v>
      </c>
      <c r="D164" s="7">
        <v>3.15</v>
      </c>
      <c r="E164" t="s">
        <v>7</v>
      </c>
    </row>
    <row r="165" spans="1:5" x14ac:dyDescent="0.25">
      <c r="A165" t="str">
        <f>HYPERLINK("https://www.773grp.com/globalSearch/LM2575T-ADJ-LB03/page-1", "LM2575T-ADJ-LB03")</f>
        <v>LM2575T-ADJ-LB03</v>
      </c>
      <c r="B165" s="3" t="str">
        <f>HYPERLINK("https://www.773grp.com/manufacturer/national-semiconductor?pageNo=30", "National Semiconductor")</f>
        <v>National Semiconductor</v>
      </c>
      <c r="C165" s="6">
        <v>540</v>
      </c>
      <c r="D165" s="7">
        <v>3.15</v>
      </c>
    </row>
    <row r="166" spans="1:5" x14ac:dyDescent="0.25">
      <c r="A166" t="str">
        <f>HYPERLINK("https://www.773grp.com/globalSearch/LM4940TSX-NOPB/page-1", "LM4940TSX-NOPB")</f>
        <v>LM4940TSX-NOPB</v>
      </c>
      <c r="B166" s="3" t="str">
        <f>HYPERLINK("https://www.773grp.com/manufacturer/national-semiconductor?pageNo=31", "National Semiconductor")</f>
        <v>National Semiconductor</v>
      </c>
      <c r="C166" s="6">
        <v>150</v>
      </c>
      <c r="D166" s="7">
        <v>3.15</v>
      </c>
    </row>
    <row r="167" spans="1:5" x14ac:dyDescent="0.25">
      <c r="A167" t="str">
        <f>HYPERLINK("https://www.773grp.com/globalSearch/LM8323JGR8AXM-NOPB/page-1", "LM8323JGR8AXM-NOPB")</f>
        <v>LM8323JGR8AXM-NOPB</v>
      </c>
      <c r="B167" s="3" t="str">
        <f>HYPERLINK("https://www.773grp.com/manufacturer/national-semiconductor?pageNo=32", "National Semiconductor")</f>
        <v>National Semiconductor</v>
      </c>
      <c r="C167" s="6">
        <v>2000</v>
      </c>
      <c r="D167" s="7">
        <v>3.15</v>
      </c>
    </row>
    <row r="168" spans="1:5" x14ac:dyDescent="0.25">
      <c r="A168" t="str">
        <f>HYPERLINK("https://www.773grp.com/globalSearch/LM8323JGR8AXMX-NOPB/page-1", "LM8323JGR8AXMX-NOPB")</f>
        <v>LM8323JGR8AXMX-NOPB</v>
      </c>
      <c r="B168" s="3" t="str">
        <f>HYPERLINK("https://www.773grp.com/manufacturer/national-semiconductor?pageNo=33", "National Semiconductor")</f>
        <v>National Semiconductor</v>
      </c>
      <c r="C168" s="6">
        <v>276500</v>
      </c>
      <c r="D168" s="7">
        <v>3.15</v>
      </c>
    </row>
    <row r="169" spans="1:5" x14ac:dyDescent="0.25">
      <c r="A169" t="str">
        <f>HYPERLINK("https://www.773grp.com/globalSearch/LMC6081IN/page-1", "LMC6081IN")</f>
        <v>LMC6081IN</v>
      </c>
      <c r="B169" s="3" t="str">
        <f>HYPERLINK("https://www.773grp.com/manufacturer/national-semiconductor?pageNo=34", "National Semiconductor")</f>
        <v>National Semiconductor</v>
      </c>
      <c r="C169" s="6">
        <v>560</v>
      </c>
      <c r="D169" s="7">
        <v>3.15</v>
      </c>
      <c r="E169" t="s">
        <v>13</v>
      </c>
    </row>
    <row r="170" spans="1:5" x14ac:dyDescent="0.25">
      <c r="A170" t="str">
        <f>HYPERLINK("https://www.773grp.com/globalSearch/LMH6658MA-NOPB/page-1", "LMH6658MA-NOPB")</f>
        <v>LMH6658MA-NOPB</v>
      </c>
      <c r="B170" s="3" t="str">
        <f>HYPERLINK("https://www.773grp.com/manufacturer/national-semiconductor?pageNo=35", "National Semiconductor")</f>
        <v>National Semiconductor</v>
      </c>
      <c r="C170" s="6">
        <v>2390</v>
      </c>
      <c r="D170" s="7">
        <v>3.15</v>
      </c>
      <c r="E170" t="s">
        <v>18</v>
      </c>
    </row>
    <row r="171" spans="1:5" x14ac:dyDescent="0.25">
      <c r="A171" t="str">
        <f>HYPERLINK("https://www.773grp.com/globalSearch/LMH6658MAX/page-1", "LMH6658MAX")</f>
        <v>LMH6658MAX</v>
      </c>
      <c r="B171" s="3" t="str">
        <f>HYPERLINK("https://www.773grp.com/manufacturer/national-semiconductor?pageNo=36", "National Semiconductor")</f>
        <v>National Semiconductor</v>
      </c>
      <c r="C171" s="6">
        <v>2500</v>
      </c>
      <c r="D171" s="7">
        <v>3.15</v>
      </c>
    </row>
    <row r="172" spans="1:5" x14ac:dyDescent="0.25">
      <c r="A172" t="str">
        <f>HYPERLINK("https://www.773grp.com/globalSearch/LP2954ISX-NOPB/page-1", "LP2954ISX-NOPB")</f>
        <v>LP2954ISX-NOPB</v>
      </c>
      <c r="B172" s="3" t="str">
        <f>HYPERLINK("https://www.773grp.com/manufacturer/national-semiconductor?pageNo=37", "National Semiconductor")</f>
        <v>National Semiconductor</v>
      </c>
      <c r="C172" s="6">
        <v>6000</v>
      </c>
      <c r="D172" s="7">
        <v>3.15</v>
      </c>
    </row>
    <row r="173" spans="1:5" x14ac:dyDescent="0.25">
      <c r="A173" t="str">
        <f>HYPERLINK("https://www.773grp.com/globalSearch/LP2954IT-NOPB/page-1", "LP2954IT-NOPB")</f>
        <v>LP2954IT-NOPB</v>
      </c>
      <c r="B173" s="3" t="str">
        <f>HYPERLINK("https://www.773grp.com/manufacturer/national-semiconductor?pageNo=38", "National Semiconductor")</f>
        <v>National Semiconductor</v>
      </c>
      <c r="C173" s="6">
        <v>932</v>
      </c>
      <c r="D173" s="7">
        <v>3.15</v>
      </c>
      <c r="E173" t="s">
        <v>19</v>
      </c>
    </row>
    <row r="174" spans="1:5" x14ac:dyDescent="0.25">
      <c r="A174" t="str">
        <f>HYPERLINK("https://www.773grp.com/globalSearch/74148DC/page-1", "74148DC")</f>
        <v>74148DC</v>
      </c>
      <c r="B174" s="3" t="str">
        <f>HYPERLINK("https://www.773grp.com/manufacturer/national-semiconductor?pageNo=39", "National Semiconductor")</f>
        <v>National Semiconductor</v>
      </c>
      <c r="C174" s="6">
        <v>47</v>
      </c>
      <c r="D174" s="7">
        <v>3.18</v>
      </c>
    </row>
    <row r="175" spans="1:5" x14ac:dyDescent="0.25">
      <c r="A175" t="str">
        <f>HYPERLINK("https://www.773grp.com/globalSearch/74F161ASCX/page-1", "74F161ASCX")</f>
        <v>74F161ASCX</v>
      </c>
      <c r="B175" s="3" t="str">
        <f>HYPERLINK("https://www.773grp.com/manufacturer/national-semiconductor?pageNo=40", "National Semiconductor")</f>
        <v>National Semiconductor</v>
      </c>
      <c r="C175" s="6">
        <v>22500</v>
      </c>
      <c r="D175" s="7">
        <v>3.18</v>
      </c>
      <c r="E175" t="s">
        <v>26</v>
      </c>
    </row>
    <row r="176" spans="1:5" x14ac:dyDescent="0.25">
      <c r="A176" t="str">
        <f>HYPERLINK("https://www.773grp.com/globalSearch/74F161SCX/page-1", "74F161SCX")</f>
        <v>74F161SCX</v>
      </c>
      <c r="B176" s="3" t="str">
        <f>HYPERLINK("https://www.773grp.com/manufacturer/national-semiconductor?pageNo=41", "National Semiconductor")</f>
        <v>National Semiconductor</v>
      </c>
      <c r="C176" s="6">
        <v>2500</v>
      </c>
      <c r="D176" s="7">
        <v>3.18</v>
      </c>
    </row>
    <row r="177" spans="1:5" x14ac:dyDescent="0.25">
      <c r="A177" t="str">
        <f>HYPERLINK("https://www.773grp.com/globalSearch/96101DC/page-1", "96101DC")</f>
        <v>96101DC</v>
      </c>
      <c r="B177" s="3" t="str">
        <f>HYPERLINK("https://www.773grp.com/manufacturer/national-semiconductor?pageNo=42", "National Semiconductor")</f>
        <v>National Semiconductor</v>
      </c>
      <c r="C177" s="6">
        <v>3809</v>
      </c>
      <c r="D177" s="7">
        <v>3.18</v>
      </c>
    </row>
    <row r="178" spans="1:5" x14ac:dyDescent="0.25">
      <c r="A178" t="str">
        <f>HYPERLINK("https://www.773grp.com/globalSearch/DS36276M/page-1", "DS36276M")</f>
        <v>DS36276M</v>
      </c>
      <c r="B178" s="3" t="str">
        <f>HYPERLINK("https://www.773grp.com/manufacturer/national-semiconductor?pageNo=43", "National Semiconductor")</f>
        <v>National Semiconductor</v>
      </c>
      <c r="C178" s="6">
        <v>160</v>
      </c>
      <c r="D178" s="7">
        <v>3.18</v>
      </c>
      <c r="E178" t="s">
        <v>21</v>
      </c>
    </row>
    <row r="179" spans="1:5" x14ac:dyDescent="0.25">
      <c r="A179" t="str">
        <f>HYPERLINK("https://www.773grp.com/globalSearch/DS481TM-NOPB/page-1", "DS481TM-NOPB")</f>
        <v>DS481TM-NOPB</v>
      </c>
      <c r="B179" s="3" t="str">
        <f>HYPERLINK("https://www.773grp.com/manufacturer/national-semiconductor?pageNo=44", "National Semiconductor")</f>
        <v>National Semiconductor</v>
      </c>
      <c r="C179" s="6">
        <v>190</v>
      </c>
      <c r="D179" s="7">
        <v>3.18</v>
      </c>
      <c r="E179" t="s">
        <v>21</v>
      </c>
    </row>
    <row r="180" spans="1:5" x14ac:dyDescent="0.25">
      <c r="A180" t="str">
        <f>HYPERLINK("https://www.773grp.com/globalSearch/LM2743MTCX/page-1", "LM2743MTCX")</f>
        <v>LM2743MTCX</v>
      </c>
      <c r="B180" s="3" t="str">
        <f>HYPERLINK("https://www.773grp.com/manufacturer/national-semiconductor?pageNo=45", "National Semiconductor")</f>
        <v>National Semiconductor</v>
      </c>
      <c r="C180" s="6">
        <v>2500</v>
      </c>
      <c r="D180" s="7">
        <v>3.18</v>
      </c>
      <c r="E180" t="s">
        <v>7</v>
      </c>
    </row>
    <row r="181" spans="1:5" x14ac:dyDescent="0.25">
      <c r="A181" t="str">
        <f>HYPERLINK("https://www.773grp.com/globalSearch/LM3478MM/page-1", "LM3478MM")</f>
        <v>LM3478MM</v>
      </c>
      <c r="B181" s="3" t="str">
        <f>HYPERLINK("https://www.773grp.com/manufacturer/national-semiconductor?pageNo=46", "National Semiconductor")</f>
        <v>National Semiconductor</v>
      </c>
      <c r="C181" s="6">
        <v>11246</v>
      </c>
      <c r="D181" s="7">
        <v>3.18</v>
      </c>
      <c r="E181" t="s">
        <v>7</v>
      </c>
    </row>
    <row r="182" spans="1:5" x14ac:dyDescent="0.25">
      <c r="A182" t="str">
        <f>HYPERLINK("https://www.773grp.com/globalSearch/LM4050BIM3-5.0/page-1", "LM4050BIM3-5.0")</f>
        <v>LM4050BIM3-5.0</v>
      </c>
      <c r="B182" s="3" t="str">
        <f>HYPERLINK("https://www.773grp.com/manufacturer/national-semiconductor?pageNo=47", "National Semiconductor")</f>
        <v>National Semiconductor</v>
      </c>
      <c r="C182" s="6">
        <v>2000</v>
      </c>
      <c r="D182" s="7">
        <v>3.18</v>
      </c>
      <c r="E182" t="s">
        <v>17</v>
      </c>
    </row>
    <row r="183" spans="1:5" x14ac:dyDescent="0.25">
      <c r="A183" t="str">
        <f>HYPERLINK("https://www.773grp.com/globalSearch/LM5020MM-1/page-1", "LM5020MM-1")</f>
        <v>LM5020MM-1</v>
      </c>
      <c r="B183" s="3" t="str">
        <f>HYPERLINK("https://www.773grp.com/manufacturer/national-semiconductor?pageNo=48", "National Semiconductor")</f>
        <v>National Semiconductor</v>
      </c>
      <c r="C183" s="6">
        <v>650</v>
      </c>
      <c r="D183" s="7">
        <v>3.18</v>
      </c>
      <c r="E183" t="s">
        <v>7</v>
      </c>
    </row>
    <row r="184" spans="1:5" x14ac:dyDescent="0.25">
      <c r="A184" t="str">
        <f>HYPERLINK("https://www.773grp.com/globalSearch/LM5031SD/page-1", "LM5031SD")</f>
        <v>LM5031SD</v>
      </c>
      <c r="B184" s="3" t="str">
        <f>HYPERLINK("https://www.773grp.com/manufacturer/national-semiconductor?pageNo=49", "National Semiconductor")</f>
        <v>National Semiconductor</v>
      </c>
      <c r="C184" s="6">
        <v>1000</v>
      </c>
      <c r="D184" s="7">
        <v>3.18</v>
      </c>
    </row>
    <row r="185" spans="1:5" x14ac:dyDescent="0.25">
      <c r="A185" t="str">
        <f>HYPERLINK("https://www.773grp.com/globalSearch/LM5085QMYE-NOPB/page-1", "LM5085QMYE-NOPB")</f>
        <v>LM5085QMYE-NOPB</v>
      </c>
      <c r="B185" s="3" t="str">
        <f>HYPERLINK("https://www.773grp.com/manufacturer/national-semiconductor?pageNo=50", "National Semiconductor")</f>
        <v>National Semiconductor</v>
      </c>
      <c r="C185" s="6">
        <v>450</v>
      </c>
      <c r="D185" s="7">
        <v>3.18</v>
      </c>
    </row>
    <row r="186" spans="1:5" x14ac:dyDescent="0.25">
      <c r="A186" t="str">
        <f>HYPERLINK("https://www.773grp.com/globalSearch/LM95245CIMM/page-1", "LM95245CIMM")</f>
        <v>LM95245CIMM</v>
      </c>
      <c r="B186" s="3" t="str">
        <f>HYPERLINK("https://www.773grp.com/manufacturer/national-semiconductor?pageNo=51", "National Semiconductor")</f>
        <v>National Semiconductor</v>
      </c>
      <c r="C186" s="6">
        <v>4000</v>
      </c>
      <c r="D186" s="7">
        <v>3.18</v>
      </c>
      <c r="E186" t="s">
        <v>12</v>
      </c>
    </row>
    <row r="187" spans="1:5" x14ac:dyDescent="0.25">
      <c r="A187" t="str">
        <f>HYPERLINK("https://www.773grp.com/globalSearch/LMC6442AIM-NOPB/page-1", "LMC6442AIM-NOPB")</f>
        <v>LMC6442AIM-NOPB</v>
      </c>
      <c r="B187" s="3" t="str">
        <f>HYPERLINK("https://www.773grp.com/manufacturer/national-semiconductor?pageNo=52", "National Semiconductor")</f>
        <v>National Semiconductor</v>
      </c>
      <c r="C187" s="6">
        <v>3130</v>
      </c>
      <c r="D187" s="7">
        <v>3.18</v>
      </c>
      <c r="E187" t="s">
        <v>13</v>
      </c>
    </row>
    <row r="188" spans="1:5" x14ac:dyDescent="0.25">
      <c r="A188" t="str">
        <f>HYPERLINK("https://www.773grp.com/globalSearch/LMC6681BIM/page-1", "LMC6681BIM")</f>
        <v>LMC6681BIM</v>
      </c>
      <c r="B188" s="3" t="str">
        <f>HYPERLINK("https://www.773grp.com/manufacturer/national-semiconductor?pageNo=53", "National Semiconductor")</f>
        <v>National Semiconductor</v>
      </c>
      <c r="C188" s="6">
        <v>1354</v>
      </c>
      <c r="D188" s="7">
        <v>3.18</v>
      </c>
      <c r="E188" t="s">
        <v>13</v>
      </c>
    </row>
    <row r="189" spans="1:5" x14ac:dyDescent="0.25">
      <c r="A189" t="str">
        <f>HYPERLINK("https://www.773grp.com/globalSearch/LMH6618MK-NOPB/page-1", "LMH6618MK-NOPB")</f>
        <v>LMH6618MK-NOPB</v>
      </c>
      <c r="B189" s="3" t="str">
        <f>HYPERLINK("https://www.773grp.com/manufacturer/national-semiconductor?pageNo=54", "National Semiconductor")</f>
        <v>National Semiconductor</v>
      </c>
      <c r="C189" s="6">
        <v>1000</v>
      </c>
      <c r="D189" s="7">
        <v>3.18</v>
      </c>
    </row>
    <row r="190" spans="1:5" x14ac:dyDescent="0.25">
      <c r="A190" t="str">
        <f>HYPERLINK("https://www.773grp.com/globalSearch/LMH6618MKX-NOPB/page-1", "LMH6618MKX-NOPB")</f>
        <v>LMH6618MKX-NOPB</v>
      </c>
      <c r="B190" s="3" t="str">
        <f>HYPERLINK("https://www.773grp.com/manufacturer/national-semiconductor?pageNo=55", "National Semiconductor")</f>
        <v>National Semiconductor</v>
      </c>
      <c r="C190" s="6">
        <v>3000</v>
      </c>
      <c r="D190" s="7">
        <v>3.18</v>
      </c>
    </row>
    <row r="191" spans="1:5" x14ac:dyDescent="0.25">
      <c r="A191" t="str">
        <f>HYPERLINK("https://www.773grp.com/globalSearch/LMS1587CSX-1.5/page-1", "LMS1587CSX-1.5")</f>
        <v>LMS1587CSX-1.5</v>
      </c>
      <c r="B191" s="3" t="str">
        <f>HYPERLINK("https://www.773grp.com/manufacturer/national-semiconductor?pageNo=56", "National Semiconductor")</f>
        <v>National Semiconductor</v>
      </c>
      <c r="C191" s="6">
        <v>9000</v>
      </c>
      <c r="D191" s="7">
        <v>3.18</v>
      </c>
      <c r="E191" t="s">
        <v>19</v>
      </c>
    </row>
    <row r="192" spans="1:5" x14ac:dyDescent="0.25">
      <c r="A192" t="str">
        <f>HYPERLINK("https://www.773grp.com/globalSearch/LMS1587CSX-3.3/page-1", "LMS1587CSX-3.3")</f>
        <v>LMS1587CSX-3.3</v>
      </c>
      <c r="B192" s="3" t="str">
        <f>HYPERLINK("https://www.773grp.com/manufacturer/national-semiconductor?pageNo=57", "National Semiconductor")</f>
        <v>National Semiconductor</v>
      </c>
      <c r="C192" s="6">
        <v>500</v>
      </c>
      <c r="D192" s="7">
        <v>3.18</v>
      </c>
      <c r="E192" t="s">
        <v>19</v>
      </c>
    </row>
    <row r="193" spans="1:5" x14ac:dyDescent="0.25">
      <c r="A193" t="str">
        <f>HYPERLINK("https://www.773grp.com/globalSearch/LP2954AIM-NOPB/page-1", "LP2954AIM-NOPB")</f>
        <v>LP2954AIM-NOPB</v>
      </c>
      <c r="B193" s="3" t="str">
        <f>HYPERLINK("https://www.773grp.com/manufacturer/national-semiconductor?pageNo=58", "National Semiconductor")</f>
        <v>National Semiconductor</v>
      </c>
      <c r="C193" s="6">
        <v>865</v>
      </c>
      <c r="D193" s="7">
        <v>3.18</v>
      </c>
      <c r="E193" t="s">
        <v>25</v>
      </c>
    </row>
    <row r="194" spans="1:5" x14ac:dyDescent="0.25">
      <c r="A194" t="str">
        <f>HYPERLINK("https://www.773grp.com/globalSearch/LP2960IM-3.3-NOPB/page-1", "LP2960IM-3.3-NOPB")</f>
        <v>LP2960IM-3.3-NOPB</v>
      </c>
      <c r="B194" s="3" t="str">
        <f>HYPERLINK("https://www.773grp.com/manufacturer/national-semiconductor?pageNo=59", "National Semiconductor")</f>
        <v>National Semiconductor</v>
      </c>
      <c r="C194" s="6">
        <v>396</v>
      </c>
      <c r="D194" s="7">
        <v>3.18</v>
      </c>
      <c r="E194" t="s">
        <v>27</v>
      </c>
    </row>
    <row r="195" spans="1:5" x14ac:dyDescent="0.25">
      <c r="A195" t="str">
        <f>HYPERLINK("https://www.773grp.com/globalSearch/DS481TM-NOPB/page-1", "DS481TM-NOPB")</f>
        <v>DS481TM-NOPB</v>
      </c>
      <c r="B195" s="3" t="str">
        <f>HYPERLINK("https://www.773grp.com/manufacturer/national-semiconductor?pageNo=60", "National Semiconductor")</f>
        <v>National Semiconductor</v>
      </c>
      <c r="C195" s="6">
        <v>11302</v>
      </c>
      <c r="D195" s="7">
        <v>3.18</v>
      </c>
      <c r="E195" t="s">
        <v>21</v>
      </c>
    </row>
    <row r="196" spans="1:5" x14ac:dyDescent="0.25">
      <c r="A196" t="str">
        <f>HYPERLINK("https://www.773grp.com/globalSearch/LM3488MMX/page-1", "LM3488MMX")</f>
        <v>LM3488MMX</v>
      </c>
      <c r="B196" s="3" t="str">
        <f>HYPERLINK("https://www.773grp.com/manufacturer/national-semiconductor?pageNo=61", "National Semiconductor")</f>
        <v>National Semiconductor</v>
      </c>
      <c r="C196" s="6">
        <v>3500</v>
      </c>
      <c r="D196" s="7">
        <v>3.18</v>
      </c>
    </row>
    <row r="197" spans="1:5" x14ac:dyDescent="0.25">
      <c r="A197" t="str">
        <f>HYPERLINK("https://www.773grp.com/globalSearch/LM4950TA-NOPB/page-1", "LM4950TA-NOPB")</f>
        <v>LM4950TA-NOPB</v>
      </c>
      <c r="B197" s="3" t="str">
        <f>HYPERLINK("https://www.773grp.com/manufacturer/national-semiconductor?pageNo=62", "National Semiconductor")</f>
        <v>National Semiconductor</v>
      </c>
      <c r="C197" s="6">
        <v>6840</v>
      </c>
      <c r="D197" s="7">
        <v>3.18</v>
      </c>
    </row>
    <row r="198" spans="1:5" x14ac:dyDescent="0.25">
      <c r="A198" t="str">
        <f>HYPERLINK("https://www.773grp.com/globalSearch/LM5085QMYE-NOPB/page-1", "LM5085QMYE-NOPB")</f>
        <v>LM5085QMYE-NOPB</v>
      </c>
      <c r="B198" s="3" t="str">
        <f>HYPERLINK("https://www.773grp.com/manufacturer/national-semiconductor?pageNo=63", "National Semiconductor")</f>
        <v>National Semiconductor</v>
      </c>
      <c r="C198" s="6">
        <v>1040</v>
      </c>
      <c r="D198" s="7">
        <v>3.18</v>
      </c>
    </row>
    <row r="199" spans="1:5" x14ac:dyDescent="0.25">
      <c r="A199" t="str">
        <f>HYPERLINK("https://www.773grp.com/globalSearch/LM95245CIMM/page-1", "LM95245CIMM")</f>
        <v>LM95245CIMM</v>
      </c>
      <c r="B199" s="3" t="str">
        <f>HYPERLINK("https://www.773grp.com/manufacturer/national-semiconductor?pageNo=64", "National Semiconductor")</f>
        <v>National Semiconductor</v>
      </c>
      <c r="C199" s="6">
        <v>638</v>
      </c>
      <c r="D199" s="7">
        <v>3.18</v>
      </c>
      <c r="E199" t="s">
        <v>12</v>
      </c>
    </row>
    <row r="200" spans="1:5" x14ac:dyDescent="0.25">
      <c r="A200" t="str">
        <f>HYPERLINK("https://www.773grp.com/globalSearch/LMC6442AIM-NOPB/page-1", "LMC6442AIM-NOPB")</f>
        <v>LMC6442AIM-NOPB</v>
      </c>
      <c r="B200" s="3" t="str">
        <f>HYPERLINK("https://www.773grp.com/manufacturer/national-semiconductor?pageNo=65", "National Semiconductor")</f>
        <v>National Semiconductor</v>
      </c>
      <c r="C200" s="6">
        <v>250</v>
      </c>
      <c r="D200" s="7">
        <v>3.18</v>
      </c>
      <c r="E200" t="s">
        <v>13</v>
      </c>
    </row>
    <row r="201" spans="1:5" x14ac:dyDescent="0.25">
      <c r="A201" t="str">
        <f>HYPERLINK("https://www.773grp.com/globalSearch/LMS1587CSX-1.5/page-1", "LMS1587CSX-1.5")</f>
        <v>LMS1587CSX-1.5</v>
      </c>
      <c r="B201" s="3" t="str">
        <f>HYPERLINK("https://www.773grp.com/manufacturer/national-semiconductor?pageNo=66", "National Semiconductor")</f>
        <v>National Semiconductor</v>
      </c>
      <c r="C201" s="6">
        <v>1000</v>
      </c>
      <c r="D201" s="7">
        <v>3.18</v>
      </c>
      <c r="E201" t="s">
        <v>19</v>
      </c>
    </row>
    <row r="202" spans="1:5" x14ac:dyDescent="0.25">
      <c r="A202" t="str">
        <f>HYPERLINK("https://www.773grp.com/globalSearch/LMS1587ISX-ADJ/page-1", "LMS1587ISX-ADJ")</f>
        <v>LMS1587ISX-ADJ</v>
      </c>
      <c r="B202" s="3" t="str">
        <f>HYPERLINK("https://www.773grp.com/manufacturer/national-semiconductor?pageNo=67", "National Semiconductor")</f>
        <v>National Semiconductor</v>
      </c>
      <c r="C202" s="6">
        <v>624</v>
      </c>
      <c r="D202" s="7">
        <v>3.18</v>
      </c>
    </row>
    <row r="203" spans="1:5" x14ac:dyDescent="0.25">
      <c r="A203" t="str">
        <f>HYPERLINK("https://www.773grp.com/globalSearch/LP2954AIM-NOPB/page-1", "LP2954AIM-NOPB")</f>
        <v>LP2954AIM-NOPB</v>
      </c>
      <c r="B203" s="3" t="str">
        <f>HYPERLINK("https://www.773grp.com/manufacturer/national-semiconductor?pageNo=68", "National Semiconductor")</f>
        <v>National Semiconductor</v>
      </c>
      <c r="C203" s="6">
        <v>514</v>
      </c>
      <c r="D203" s="7">
        <v>3.18</v>
      </c>
      <c r="E203" t="s">
        <v>25</v>
      </c>
    </row>
    <row r="204" spans="1:5" x14ac:dyDescent="0.25">
      <c r="A204" t="str">
        <f>HYPERLINK("https://www.773grp.com/globalSearch/DM74194N/page-1", "DM74194N")</f>
        <v>DM74194N</v>
      </c>
      <c r="B204" s="3" t="str">
        <f>HYPERLINK("https://www.773grp.com/manufacturer/national-semiconductor?pageNo=69", "National Semiconductor")</f>
        <v>National Semiconductor</v>
      </c>
      <c r="C204" s="6">
        <v>664</v>
      </c>
      <c r="D204" s="7">
        <v>3.53</v>
      </c>
    </row>
    <row r="205" spans="1:5" x14ac:dyDescent="0.25">
      <c r="A205" t="str">
        <f>HYPERLINK("https://www.773grp.com/globalSearch/DS9637ACM/page-1", "DS9637ACM")</f>
        <v>DS9637ACM</v>
      </c>
      <c r="B205" s="3" t="str">
        <f>HYPERLINK("https://www.773grp.com/manufacturer/national-semiconductor?pageNo=70", "National Semiconductor")</f>
        <v>National Semiconductor</v>
      </c>
      <c r="C205" s="6">
        <v>433</v>
      </c>
      <c r="D205" s="7">
        <v>3.53</v>
      </c>
      <c r="E205" t="s">
        <v>21</v>
      </c>
    </row>
    <row r="206" spans="1:5" x14ac:dyDescent="0.25">
      <c r="A206" t="str">
        <f>HYPERLINK("https://www.773grp.com/globalSearch/LF444CN-NOPB/page-1", "LF444CN-NOPB")</f>
        <v>LF444CN-NOPB</v>
      </c>
      <c r="B206" s="3" t="str">
        <f>HYPERLINK("https://www.773grp.com/manufacturer/national-semiconductor?pageNo=71", "National Semiconductor")</f>
        <v>National Semiconductor</v>
      </c>
      <c r="C206" s="6">
        <v>1312</v>
      </c>
      <c r="D206" s="7">
        <v>3.53</v>
      </c>
      <c r="E206" t="s">
        <v>13</v>
      </c>
    </row>
    <row r="207" spans="1:5" x14ac:dyDescent="0.25">
      <c r="A207" t="str">
        <f>HYPERLINK("https://www.773grp.com/globalSearch/LM1496MX/page-1", "LM1496MX")</f>
        <v>LM1496MX</v>
      </c>
      <c r="B207" s="3" t="str">
        <f>HYPERLINK("https://www.773grp.com/manufacturer/national-semiconductor?pageNo=72", "National Semiconductor")</f>
        <v>National Semiconductor</v>
      </c>
      <c r="C207" s="6">
        <v>8892</v>
      </c>
      <c r="D207" s="7">
        <v>3.53</v>
      </c>
      <c r="E207" t="s">
        <v>23</v>
      </c>
    </row>
    <row r="208" spans="1:5" x14ac:dyDescent="0.25">
      <c r="A208" t="str">
        <f>HYPERLINK("https://www.773grp.com/globalSearch/LM2439T/page-1", "LM2439T")</f>
        <v>LM2439T</v>
      </c>
      <c r="B208" s="3" t="str">
        <f>HYPERLINK("https://www.773grp.com/manufacturer/national-semiconductor?pageNo=73", "National Semiconductor")</f>
        <v>National Semiconductor</v>
      </c>
      <c r="C208" s="6">
        <v>5398</v>
      </c>
      <c r="D208" s="7">
        <v>3.53</v>
      </c>
      <c r="E208" t="s">
        <v>18</v>
      </c>
    </row>
    <row r="209" spans="1:5" x14ac:dyDescent="0.25">
      <c r="A209" t="str">
        <f>HYPERLINK("https://www.773grp.com/globalSearch/LM2794BL/page-1", "LM2794BL")</f>
        <v>LM2794BL</v>
      </c>
      <c r="B209" s="3" t="str">
        <f>HYPERLINK("https://www.773grp.com/manufacturer/national-semiconductor?pageNo=74", "National Semiconductor")</f>
        <v>National Semiconductor</v>
      </c>
      <c r="C209" s="6">
        <v>12</v>
      </c>
      <c r="D209" s="7">
        <v>3.53</v>
      </c>
      <c r="E209" t="s">
        <v>7</v>
      </c>
    </row>
    <row r="210" spans="1:5" x14ac:dyDescent="0.25">
      <c r="A210" t="str">
        <f>HYPERLINK("https://www.773grp.com/globalSearch/LM2940CT-12/page-1", "LM2940CT-12")</f>
        <v>LM2940CT-12</v>
      </c>
      <c r="B210" s="3" t="str">
        <f>HYPERLINK("https://www.773grp.com/manufacturer/national-semiconductor?pageNo=75", "National Semiconductor")</f>
        <v>National Semiconductor</v>
      </c>
      <c r="C210" s="6">
        <v>1676</v>
      </c>
      <c r="D210" s="7">
        <v>3.53</v>
      </c>
      <c r="E210" t="s">
        <v>19</v>
      </c>
    </row>
    <row r="211" spans="1:5" x14ac:dyDescent="0.25">
      <c r="A211" t="str">
        <f>HYPERLINK("https://www.773grp.com/globalSearch/LM2940CT-15/page-1", "LM2940CT-15")</f>
        <v>LM2940CT-15</v>
      </c>
      <c r="B211" s="3" t="str">
        <f>HYPERLINK("https://www.773grp.com/manufacturer/national-semiconductor?pageNo=76", "National Semiconductor")</f>
        <v>National Semiconductor</v>
      </c>
      <c r="C211" s="6">
        <v>2423</v>
      </c>
      <c r="D211" s="7">
        <v>3.53</v>
      </c>
      <c r="E211" t="s">
        <v>19</v>
      </c>
    </row>
    <row r="212" spans="1:5" x14ac:dyDescent="0.25">
      <c r="A212" t="str">
        <f>HYPERLINK("https://www.773grp.com/globalSearch/LM2940CT-5.0/page-1", "LM2940CT-5.0")</f>
        <v>LM2940CT-5.0</v>
      </c>
      <c r="B212" s="3" t="str">
        <f>HYPERLINK("https://www.773grp.com/manufacturer/national-semiconductor?pageNo=77", "National Semiconductor")</f>
        <v>National Semiconductor</v>
      </c>
      <c r="C212" s="6">
        <v>1550</v>
      </c>
      <c r="D212" s="7">
        <v>3.53</v>
      </c>
      <c r="E212" t="s">
        <v>19</v>
      </c>
    </row>
    <row r="213" spans="1:5" x14ac:dyDescent="0.25">
      <c r="A213" t="str">
        <f>HYPERLINK("https://www.773grp.com/globalSearch/LM2940T-10.0/page-1", "LM2940T-10.0")</f>
        <v>LM2940T-10.0</v>
      </c>
      <c r="B213" s="3" t="str">
        <f>HYPERLINK("https://www.773grp.com/manufacturer/national-semiconductor?pageNo=78", "National Semiconductor")</f>
        <v>National Semiconductor</v>
      </c>
      <c r="C213" s="6">
        <v>1464</v>
      </c>
      <c r="D213" s="7">
        <v>3.53</v>
      </c>
      <c r="E213" t="s">
        <v>19</v>
      </c>
    </row>
    <row r="214" spans="1:5" x14ac:dyDescent="0.25">
      <c r="A214" t="str">
        <f>HYPERLINK("https://www.773grp.com/globalSearch/LM2940T-12.0/page-1", "LM2940T-12.0")</f>
        <v>LM2940T-12.0</v>
      </c>
      <c r="B214" s="3" t="str">
        <f>HYPERLINK("https://www.773grp.com/manufacturer/national-semiconductor?pageNo=79", "National Semiconductor")</f>
        <v>National Semiconductor</v>
      </c>
      <c r="C214" s="6">
        <v>1330</v>
      </c>
      <c r="D214" s="7">
        <v>3.53</v>
      </c>
      <c r="E214" t="s">
        <v>19</v>
      </c>
    </row>
    <row r="215" spans="1:5" x14ac:dyDescent="0.25">
      <c r="A215" t="str">
        <f>HYPERLINK("https://www.773grp.com/globalSearch/LM2940T-5.0/page-1", "LM2940T-5.0")</f>
        <v>LM2940T-5.0</v>
      </c>
      <c r="B215" s="3" t="str">
        <f>HYPERLINK("https://www.773grp.com/manufacturer/national-semiconductor?pageNo=80", "National Semiconductor")</f>
        <v>National Semiconductor</v>
      </c>
      <c r="C215" s="6">
        <v>5744</v>
      </c>
      <c r="D215" s="7">
        <v>3.53</v>
      </c>
      <c r="E215" t="s">
        <v>19</v>
      </c>
    </row>
    <row r="216" spans="1:5" x14ac:dyDescent="0.25">
      <c r="A216" t="str">
        <f>HYPERLINK("https://www.773grp.com/globalSearch/LM2940T-8.0/page-1", "LM2940T-8.0")</f>
        <v>LM2940T-8.0</v>
      </c>
      <c r="B216" s="3" t="str">
        <f>HYPERLINK("https://www.773grp.com/manufacturer/national-semiconductor?pageNo=81", "National Semiconductor")</f>
        <v>National Semiconductor</v>
      </c>
      <c r="C216" s="6">
        <v>106</v>
      </c>
      <c r="D216" s="7">
        <v>3.53</v>
      </c>
      <c r="E216" t="s">
        <v>19</v>
      </c>
    </row>
    <row r="217" spans="1:5" x14ac:dyDescent="0.25">
      <c r="A217" t="str">
        <f>HYPERLINK("https://www.773grp.com/globalSearch/LM2940T-9.0/page-1", "LM2940T-9.0")</f>
        <v>LM2940T-9.0</v>
      </c>
      <c r="B217" s="3" t="str">
        <f>HYPERLINK("https://www.773grp.com/manufacturer/national-semiconductor?pageNo=82", "National Semiconductor")</f>
        <v>National Semiconductor</v>
      </c>
      <c r="C217" s="6">
        <v>90</v>
      </c>
      <c r="D217" s="7">
        <v>3.53</v>
      </c>
      <c r="E217" t="s">
        <v>19</v>
      </c>
    </row>
    <row r="218" spans="1:5" x14ac:dyDescent="0.25">
      <c r="A218" t="str">
        <f>HYPERLINK("https://www.773grp.com/globalSearch/LM340SX-12/page-1", "LM340SX-12")</f>
        <v>LM340SX-12</v>
      </c>
      <c r="B218" s="3" t="str">
        <f>HYPERLINK("https://www.773grp.com/manufacturer/national-semiconductor?pageNo=83", "National Semiconductor")</f>
        <v>National Semiconductor</v>
      </c>
      <c r="C218" s="6">
        <v>683</v>
      </c>
      <c r="D218" s="7">
        <v>3.53</v>
      </c>
      <c r="E218" t="s">
        <v>28</v>
      </c>
    </row>
    <row r="219" spans="1:5" x14ac:dyDescent="0.25">
      <c r="A219" t="str">
        <f>HYPERLINK("https://www.773grp.com/globalSearch/LM340SX-5.0/page-1", "LM340SX-5.0")</f>
        <v>LM340SX-5.0</v>
      </c>
      <c r="B219" s="3" t="str">
        <f>HYPERLINK("https://www.773grp.com/manufacturer/national-semiconductor?pageNo=84", "National Semiconductor")</f>
        <v>National Semiconductor</v>
      </c>
      <c r="C219" s="6">
        <v>2500</v>
      </c>
      <c r="D219" s="7">
        <v>3.53</v>
      </c>
      <c r="E219" t="s">
        <v>28</v>
      </c>
    </row>
    <row r="220" spans="1:5" x14ac:dyDescent="0.25">
      <c r="A220" t="str">
        <f>HYPERLINK("https://www.773grp.com/globalSearch/LM340T-12/page-1", "LM340T-12")</f>
        <v>LM340T-12</v>
      </c>
      <c r="B220" s="3" t="str">
        <f>HYPERLINK("https://www.773grp.com/manufacturer/national-semiconductor?pageNo=85", "National Semiconductor")</f>
        <v>National Semiconductor</v>
      </c>
      <c r="C220" s="6">
        <v>384</v>
      </c>
      <c r="D220" s="7">
        <v>3.53</v>
      </c>
      <c r="E220" t="s">
        <v>28</v>
      </c>
    </row>
    <row r="221" spans="1:5" x14ac:dyDescent="0.25">
      <c r="A221" t="str">
        <f>HYPERLINK("https://www.773grp.com/globalSearch/LM340T-15/page-1", "LM340T-15")</f>
        <v>LM340T-15</v>
      </c>
      <c r="B221" s="3" t="str">
        <f>HYPERLINK("https://www.773grp.com/manufacturer/national-semiconductor?pageNo=86", "National Semiconductor")</f>
        <v>National Semiconductor</v>
      </c>
      <c r="C221" s="6">
        <v>1060</v>
      </c>
      <c r="D221" s="7">
        <v>3.53</v>
      </c>
      <c r="E221" t="s">
        <v>28</v>
      </c>
    </row>
    <row r="222" spans="1:5" x14ac:dyDescent="0.25">
      <c r="A222" t="str">
        <f>HYPERLINK("https://www.773grp.com/globalSearch/LM340T-5.0/page-1", "LM340T-5.0")</f>
        <v>LM340T-5.0</v>
      </c>
      <c r="B222" s="3" t="str">
        <f>HYPERLINK("https://www.773grp.com/manufacturer/national-semiconductor?pageNo=87", "National Semiconductor")</f>
        <v>National Semiconductor</v>
      </c>
      <c r="C222" s="6">
        <v>3736</v>
      </c>
      <c r="D222" s="7">
        <v>3.53</v>
      </c>
      <c r="E222" t="s">
        <v>28</v>
      </c>
    </row>
    <row r="223" spans="1:5" x14ac:dyDescent="0.25">
      <c r="A223" t="str">
        <f>HYPERLINK("https://www.773grp.com/globalSearch/LM3475MF/page-1", "LM3475MF")</f>
        <v>LM3475MF</v>
      </c>
      <c r="B223" s="3" t="str">
        <f>HYPERLINK("https://www.773grp.com/manufacturer/national-semiconductor?pageNo=88", "National Semiconductor")</f>
        <v>National Semiconductor</v>
      </c>
      <c r="C223" s="6">
        <v>7000</v>
      </c>
      <c r="D223" s="7">
        <v>3.53</v>
      </c>
      <c r="E223" t="s">
        <v>7</v>
      </c>
    </row>
    <row r="224" spans="1:5" x14ac:dyDescent="0.25">
      <c r="A224" t="str">
        <f>HYPERLINK("https://www.773grp.com/globalSearch/LM3670MFX-ADJ/page-1", "LM3670MFX-ADJ")</f>
        <v>LM3670MFX-ADJ</v>
      </c>
      <c r="B224" s="3" t="str">
        <f>HYPERLINK("https://www.773grp.com/manufacturer/national-semiconductor?pageNo=89", "National Semiconductor")</f>
        <v>National Semiconductor</v>
      </c>
      <c r="C224" s="6">
        <v>23540</v>
      </c>
      <c r="D224" s="7">
        <v>3.53</v>
      </c>
      <c r="E224" t="s">
        <v>7</v>
      </c>
    </row>
    <row r="225" spans="1:5" x14ac:dyDescent="0.25">
      <c r="A225" t="str">
        <f>HYPERLINK("https://www.773grp.com/globalSearch/LM4040AIZ-10.0/page-1", "LM4040AIZ-10.0")</f>
        <v>LM4040AIZ-10.0</v>
      </c>
      <c r="B225" s="3" t="str">
        <f>HYPERLINK("https://www.773grp.com/manufacturer/national-semiconductor?pageNo=90", "National Semiconductor")</f>
        <v>National Semiconductor</v>
      </c>
      <c r="C225" s="6">
        <v>3561</v>
      </c>
      <c r="D225" s="7">
        <v>3.53</v>
      </c>
      <c r="E225" t="s">
        <v>17</v>
      </c>
    </row>
    <row r="226" spans="1:5" x14ac:dyDescent="0.25">
      <c r="A226" t="str">
        <f>HYPERLINK("https://www.773grp.com/globalSearch/LM4040AIZ-2.5/page-1", "LM4040AIZ-2.5")</f>
        <v>LM4040AIZ-2.5</v>
      </c>
      <c r="B226" s="3" t="str">
        <f>HYPERLINK("https://www.773grp.com/manufacturer/national-semiconductor?pageNo=91", "National Semiconductor")</f>
        <v>National Semiconductor</v>
      </c>
      <c r="C226" s="6">
        <v>3582</v>
      </c>
      <c r="D226" s="7">
        <v>3.53</v>
      </c>
      <c r="E226" t="s">
        <v>17</v>
      </c>
    </row>
    <row r="227" spans="1:5" x14ac:dyDescent="0.25">
      <c r="A227" t="str">
        <f>HYPERLINK("https://www.773grp.com/globalSearch/LM4040AIZ-4.1/page-1", "LM4040AIZ-4.1")</f>
        <v>LM4040AIZ-4.1</v>
      </c>
      <c r="B227" s="3" t="str">
        <f>HYPERLINK("https://www.773grp.com/manufacturer/national-semiconductor?pageNo=92", "National Semiconductor")</f>
        <v>National Semiconductor</v>
      </c>
      <c r="C227" s="6">
        <v>1707</v>
      </c>
      <c r="D227" s="7">
        <v>3.53</v>
      </c>
      <c r="E227" t="s">
        <v>17</v>
      </c>
    </row>
    <row r="228" spans="1:5" x14ac:dyDescent="0.25">
      <c r="A228" t="str">
        <f>HYPERLINK("https://www.773grp.com/globalSearch/LM4674ATL-NOPB/page-1", "LM4674ATL-NOPB")</f>
        <v>LM4674ATL-NOPB</v>
      </c>
      <c r="B228" s="3" t="str">
        <f>HYPERLINK("https://www.773grp.com/manufacturer/national-semiconductor?pageNo=93", "National Semiconductor")</f>
        <v>National Semiconductor</v>
      </c>
      <c r="C228" s="6">
        <v>592</v>
      </c>
      <c r="D228" s="7">
        <v>3.53</v>
      </c>
      <c r="E228" t="s">
        <v>18</v>
      </c>
    </row>
    <row r="229" spans="1:5" x14ac:dyDescent="0.25">
      <c r="A229" t="str">
        <f>HYPERLINK("https://www.773grp.com/globalSearch/LM4871M/page-1", "LM4871M")</f>
        <v>LM4871M</v>
      </c>
      <c r="B229" s="3" t="str">
        <f>HYPERLINK("https://www.773grp.com/manufacturer/national-semiconductor?pageNo=94", "National Semiconductor")</f>
        <v>National Semiconductor</v>
      </c>
      <c r="C229" s="6">
        <v>358</v>
      </c>
      <c r="D229" s="7">
        <v>3.53</v>
      </c>
      <c r="E229" t="s">
        <v>18</v>
      </c>
    </row>
    <row r="230" spans="1:5" x14ac:dyDescent="0.25">
      <c r="A230" t="str">
        <f>HYPERLINK("https://www.773grp.com/globalSearch/LM4877IBP/page-1", "LM4877IBP")</f>
        <v>LM4877IBP</v>
      </c>
      <c r="B230" s="3" t="str">
        <f>HYPERLINK("https://www.773grp.com/manufacturer/national-semiconductor?pageNo=95", "National Semiconductor")</f>
        <v>National Semiconductor</v>
      </c>
      <c r="C230" s="6">
        <v>1500</v>
      </c>
      <c r="D230" s="7">
        <v>3.53</v>
      </c>
      <c r="E230" t="s">
        <v>18</v>
      </c>
    </row>
    <row r="231" spans="1:5" x14ac:dyDescent="0.25">
      <c r="A231" t="str">
        <f>HYPERLINK("https://www.773grp.com/globalSearch/LM556CM/page-1", "LM556CM")</f>
        <v>LM556CM</v>
      </c>
      <c r="B231" s="3" t="str">
        <f>HYPERLINK("https://www.773grp.com/manufacturer/national-semiconductor?pageNo=96", "National Semiconductor")</f>
        <v>National Semiconductor</v>
      </c>
      <c r="C231" s="6">
        <v>261</v>
      </c>
      <c r="D231" s="7">
        <v>3.53</v>
      </c>
      <c r="E231" t="s">
        <v>29</v>
      </c>
    </row>
    <row r="232" spans="1:5" x14ac:dyDescent="0.25">
      <c r="A232" t="str">
        <f>HYPERLINK("https://www.773grp.com/globalSearch/LM7815CT/page-1", "LM7815CT")</f>
        <v>LM7815CT</v>
      </c>
      <c r="B232" s="3" t="str">
        <f>HYPERLINK("https://www.773grp.com/manufacturer/national-semiconductor?pageNo=97", "National Semiconductor")</f>
        <v>National Semiconductor</v>
      </c>
      <c r="C232" s="6">
        <v>500</v>
      </c>
      <c r="D232" s="7">
        <v>3.53</v>
      </c>
      <c r="E232" t="s">
        <v>28</v>
      </c>
    </row>
    <row r="233" spans="1:5" x14ac:dyDescent="0.25">
      <c r="A233" t="str">
        <f>HYPERLINK("https://www.773grp.com/globalSearch/LM95071CIMF-NOPB/page-1", "LM95071CIMF-NOPB")</f>
        <v>LM95071CIMF-NOPB</v>
      </c>
      <c r="B233" s="3" t="str">
        <f>HYPERLINK("https://www.773grp.com/manufacturer/national-semiconductor?pageNo=98", "National Semiconductor")</f>
        <v>National Semiconductor</v>
      </c>
      <c r="C233" s="6">
        <v>65</v>
      </c>
      <c r="D233" s="7">
        <v>3.53</v>
      </c>
    </row>
    <row r="234" spans="1:5" x14ac:dyDescent="0.25">
      <c r="A234" t="str">
        <f>HYPERLINK("https://www.773grp.com/globalSearch/LM95071CIMFX-NOPB/page-1", "LM95071CIMFX-NOPB")</f>
        <v>LM95071CIMFX-NOPB</v>
      </c>
      <c r="B234" s="3" t="str">
        <f>HYPERLINK("https://www.773grp.com/manufacturer/national-semiconductor?pageNo=99", "National Semiconductor")</f>
        <v>National Semiconductor</v>
      </c>
      <c r="C234" s="6">
        <v>4</v>
      </c>
      <c r="D234" s="7">
        <v>3.53</v>
      </c>
      <c r="E234" t="s">
        <v>12</v>
      </c>
    </row>
    <row r="235" spans="1:5" x14ac:dyDescent="0.25">
      <c r="A235" t="str">
        <f>HYPERLINK("https://www.773grp.com/globalSearch/LMV712LD-NOPB/page-1", "LMV712LD-NOPB")</f>
        <v>LMV712LD-NOPB</v>
      </c>
      <c r="B235" s="3" t="str">
        <f>HYPERLINK("https://www.773grp.com/manufacturer/national-semiconductor?pageNo=100", "National Semiconductor")</f>
        <v>National Semiconductor</v>
      </c>
      <c r="C235" s="6">
        <v>498</v>
      </c>
      <c r="D235" s="7">
        <v>3.53</v>
      </c>
      <c r="E235" t="s">
        <v>13</v>
      </c>
    </row>
    <row r="236" spans="1:5" x14ac:dyDescent="0.25">
      <c r="A236" t="str">
        <f>HYPERLINK("https://www.773grp.com/globalSearch/LMV712LDX/page-1", "LMV712LDX")</f>
        <v>LMV712LDX</v>
      </c>
      <c r="B236" s="3" t="str">
        <f>HYPERLINK("https://www.773grp.com/manufacturer/national-semiconductor?pageNo=101", "National Semiconductor")</f>
        <v>National Semiconductor</v>
      </c>
      <c r="C236" s="6">
        <v>13000</v>
      </c>
      <c r="D236" s="7">
        <v>3.53</v>
      </c>
      <c r="E236" t="s">
        <v>13</v>
      </c>
    </row>
    <row r="237" spans="1:5" x14ac:dyDescent="0.25">
      <c r="A237" t="str">
        <f>HYPERLINK("https://www.773grp.com/globalSearch/LMV712TL-NOPB/page-1", "LMV712TL-NOPB")</f>
        <v>LMV712TL-NOPB</v>
      </c>
      <c r="B237" s="3" t="str">
        <f>HYPERLINK("https://www.773grp.com/manufacturer/national-semiconductor?pageNo=102", "National Semiconductor")</f>
        <v>National Semiconductor</v>
      </c>
      <c r="C237" s="6">
        <v>1500</v>
      </c>
      <c r="D237" s="7">
        <v>3.53</v>
      </c>
    </row>
    <row r="238" spans="1:5" x14ac:dyDescent="0.25">
      <c r="A238" t="str">
        <f>HYPERLINK("https://www.773grp.com/globalSearch/LMV792MM/page-1", "LMV792MM")</f>
        <v>LMV792MM</v>
      </c>
      <c r="B238" s="3" t="str">
        <f>HYPERLINK("https://www.773grp.com/manufacturer/national-semiconductor?pageNo=103", "National Semiconductor")</f>
        <v>National Semiconductor</v>
      </c>
      <c r="C238" s="6">
        <v>2000</v>
      </c>
      <c r="D238" s="7">
        <v>3.53</v>
      </c>
      <c r="E238" t="s">
        <v>13</v>
      </c>
    </row>
    <row r="239" spans="1:5" x14ac:dyDescent="0.25">
      <c r="A239" t="str">
        <f>HYPERLINK("https://www.773grp.com/globalSearch/LMV792MM-NOPB/page-1", "LMV792MM-NOPB")</f>
        <v>LMV792MM-NOPB</v>
      </c>
      <c r="B239" s="3" t="str">
        <f>HYPERLINK("https://www.773grp.com/manufacturer/national-semiconductor?pageNo=104", "National Semiconductor")</f>
        <v>National Semiconductor</v>
      </c>
      <c r="C239" s="6">
        <v>950</v>
      </c>
      <c r="D239" s="7">
        <v>3.53</v>
      </c>
    </row>
    <row r="240" spans="1:5" x14ac:dyDescent="0.25">
      <c r="A240" t="str">
        <f>HYPERLINK("https://www.773grp.com/globalSearch/LMV822MMX/page-1", "LMV822MMX")</f>
        <v>LMV822MMX</v>
      </c>
      <c r="B240" s="3" t="str">
        <f>HYPERLINK("https://www.773grp.com/manufacturer/national-semiconductor?pageNo=105", "National Semiconductor")</f>
        <v>National Semiconductor</v>
      </c>
      <c r="C240" s="6">
        <v>17500</v>
      </c>
      <c r="D240" s="7">
        <v>3.53</v>
      </c>
      <c r="E240" t="s">
        <v>13</v>
      </c>
    </row>
    <row r="241" spans="1:5" x14ac:dyDescent="0.25">
      <c r="A241" t="str">
        <f>HYPERLINK("https://www.773grp.com/globalSearch/LMV822MX/page-1", "LMV822MX")</f>
        <v>LMV822MX</v>
      </c>
      <c r="B241" s="3" t="str">
        <f>HYPERLINK("https://www.773grp.com/manufacturer/national-semiconductor?pageNo=106", "National Semiconductor")</f>
        <v>National Semiconductor</v>
      </c>
      <c r="C241" s="6">
        <v>17000</v>
      </c>
      <c r="D241" s="7">
        <v>3.53</v>
      </c>
      <c r="E241" t="s">
        <v>13</v>
      </c>
    </row>
    <row r="242" spans="1:5" x14ac:dyDescent="0.25">
      <c r="A242" t="str">
        <f>HYPERLINK("https://www.773grp.com/globalSearch/LMV841MG/page-1", "LMV841MG")</f>
        <v>LMV841MG</v>
      </c>
      <c r="B242" s="3" t="str">
        <f>HYPERLINK("https://www.773grp.com/manufacturer/national-semiconductor?pageNo=107", "National Semiconductor")</f>
        <v>National Semiconductor</v>
      </c>
      <c r="C242" s="6">
        <v>1000</v>
      </c>
      <c r="D242" s="7">
        <v>3.53</v>
      </c>
      <c r="E242" t="s">
        <v>13</v>
      </c>
    </row>
    <row r="243" spans="1:5" x14ac:dyDescent="0.25">
      <c r="A243" t="str">
        <f>HYPERLINK("https://www.773grp.com/globalSearch/LMV924M/page-1", "LMV924M")</f>
        <v>LMV924M</v>
      </c>
      <c r="B243" s="3" t="str">
        <f>HYPERLINK("https://www.773grp.com/manufacturer/national-semiconductor?pageNo=108", "National Semiconductor")</f>
        <v>National Semiconductor</v>
      </c>
      <c r="C243" s="6">
        <v>387</v>
      </c>
      <c r="D243" s="7">
        <v>3.53</v>
      </c>
      <c r="E243" t="s">
        <v>13</v>
      </c>
    </row>
    <row r="244" spans="1:5" x14ac:dyDescent="0.25">
      <c r="A244" t="str">
        <f>HYPERLINK("https://www.773grp.com/globalSearch/LMV924MX/page-1", "LMV924MX")</f>
        <v>LMV924MX</v>
      </c>
      <c r="B244" s="3" t="str">
        <f>HYPERLINK("https://www.773grp.com/manufacturer/national-semiconductor?pageNo=109", "National Semiconductor")</f>
        <v>National Semiconductor</v>
      </c>
      <c r="C244" s="6">
        <v>4853</v>
      </c>
      <c r="D244" s="7">
        <v>3.53</v>
      </c>
      <c r="E244" t="s">
        <v>13</v>
      </c>
    </row>
    <row r="245" spans="1:5" x14ac:dyDescent="0.25">
      <c r="A245" t="str">
        <f>HYPERLINK("https://www.773grp.com/globalSearch/LP2987IMX-5.0-NOPB/page-1", "LP2987IMX-5.0-NOPB")</f>
        <v>LP2987IMX-5.0-NOPB</v>
      </c>
      <c r="B245" s="3" t="str">
        <f>HYPERLINK("https://www.773grp.com/manufacturer/national-semiconductor?pageNo=110", "National Semiconductor")</f>
        <v>National Semiconductor</v>
      </c>
      <c r="C245" s="6">
        <v>2500</v>
      </c>
      <c r="D245" s="7">
        <v>3.53</v>
      </c>
      <c r="E245" t="s">
        <v>19</v>
      </c>
    </row>
    <row r="246" spans="1:5" x14ac:dyDescent="0.25">
      <c r="A246" t="str">
        <f>HYPERLINK("https://www.773grp.com/globalSearch/DS34C86TMX-NOPB/page-1", "DS34C86TMX-NOPB")</f>
        <v>DS34C86TMX-NOPB</v>
      </c>
      <c r="B246" s="3" t="str">
        <f>HYPERLINK("https://www.773grp.com/manufacturer/national-semiconductor?pageNo=111", "National Semiconductor")</f>
        <v>National Semiconductor</v>
      </c>
      <c r="C246" s="6">
        <v>2500</v>
      </c>
      <c r="D246" s="7">
        <v>3.53</v>
      </c>
    </row>
    <row r="247" spans="1:5" x14ac:dyDescent="0.25">
      <c r="A247" t="str">
        <f>HYPERLINK("https://www.773grp.com/globalSearch/DS9637ACM/page-1", "DS9637ACM")</f>
        <v>DS9637ACM</v>
      </c>
      <c r="B247" s="3" t="str">
        <f>HYPERLINK("https://www.773grp.com/manufacturer/national-semiconductor?pageNo=112", "National Semiconductor")</f>
        <v>National Semiconductor</v>
      </c>
      <c r="C247" s="6">
        <v>95</v>
      </c>
      <c r="D247" s="7">
        <v>3.53</v>
      </c>
      <c r="E247" t="s">
        <v>21</v>
      </c>
    </row>
    <row r="248" spans="1:5" x14ac:dyDescent="0.25">
      <c r="A248" t="str">
        <f>HYPERLINK("https://www.773grp.com/globalSearch/DS9637ACM/page-1", "DS9637ACM")</f>
        <v>DS9637ACM</v>
      </c>
      <c r="B248" s="3" t="str">
        <f>HYPERLINK("https://www.773grp.com/manufacturer/national-semiconductor?pageNo=113", "National Semiconductor")</f>
        <v>National Semiconductor</v>
      </c>
      <c r="C248" s="6">
        <v>380</v>
      </c>
      <c r="D248" s="7">
        <v>3.53</v>
      </c>
      <c r="E248" t="s">
        <v>21</v>
      </c>
    </row>
    <row r="249" spans="1:5" x14ac:dyDescent="0.25">
      <c r="A249" t="str">
        <f>HYPERLINK("https://www.773grp.com/globalSearch/LF444CN-NOPB/page-1", "LF444CN-NOPB")</f>
        <v>LF444CN-NOPB</v>
      </c>
      <c r="B249" s="3" t="str">
        <f>HYPERLINK("https://www.773grp.com/manufacturer/national-semiconductor?pageNo=114", "National Semiconductor")</f>
        <v>National Semiconductor</v>
      </c>
      <c r="C249" s="6">
        <v>255</v>
      </c>
      <c r="D249" s="7">
        <v>3.53</v>
      </c>
      <c r="E249" t="s">
        <v>13</v>
      </c>
    </row>
    <row r="250" spans="1:5" x14ac:dyDescent="0.25">
      <c r="A250" t="str">
        <f>HYPERLINK("https://www.773grp.com/globalSearch/LM2940CT-12/page-1", "LM2940CT-12")</f>
        <v>LM2940CT-12</v>
      </c>
      <c r="B250" s="3" t="str">
        <f>HYPERLINK("https://www.773grp.com/manufacturer/national-semiconductor?pageNo=115", "National Semiconductor")</f>
        <v>National Semiconductor</v>
      </c>
      <c r="C250" s="6">
        <v>2</v>
      </c>
      <c r="D250" s="7">
        <v>3.53</v>
      </c>
      <c r="E250" t="s">
        <v>19</v>
      </c>
    </row>
    <row r="251" spans="1:5" x14ac:dyDescent="0.25">
      <c r="A251" t="str">
        <f>HYPERLINK("https://www.773grp.com/globalSearch/LM2940CT-5.0/page-1", "LM2940CT-5.0")</f>
        <v>LM2940CT-5.0</v>
      </c>
      <c r="B251" s="3" t="str">
        <f>HYPERLINK("https://www.773grp.com/manufacturer/national-semiconductor?pageNo=116", "National Semiconductor")</f>
        <v>National Semiconductor</v>
      </c>
      <c r="C251" s="6">
        <v>639</v>
      </c>
      <c r="D251" s="7">
        <v>3.53</v>
      </c>
      <c r="E251" t="s">
        <v>19</v>
      </c>
    </row>
    <row r="252" spans="1:5" x14ac:dyDescent="0.25">
      <c r="A252" t="str">
        <f>HYPERLINK("https://www.773grp.com/globalSearch/LM2940T-5.0/page-1", "LM2940T-5.0")</f>
        <v>LM2940T-5.0</v>
      </c>
      <c r="B252" s="3" t="str">
        <f>HYPERLINK("https://www.773grp.com/manufacturer/national-semiconductor?pageNo=117", "National Semiconductor")</f>
        <v>National Semiconductor</v>
      </c>
      <c r="C252" s="6">
        <v>36</v>
      </c>
      <c r="D252" s="7">
        <v>3.53</v>
      </c>
      <c r="E252" t="s">
        <v>19</v>
      </c>
    </row>
    <row r="253" spans="1:5" x14ac:dyDescent="0.25">
      <c r="A253" t="str">
        <f>HYPERLINK("https://www.773grp.com/globalSearch/LM2940T-8.0/page-1", "LM2940T-8.0")</f>
        <v>LM2940T-8.0</v>
      </c>
      <c r="B253" s="3" t="str">
        <f>HYPERLINK("https://www.773grp.com/manufacturer/national-semiconductor?pageNo=118", "National Semiconductor")</f>
        <v>National Semiconductor</v>
      </c>
      <c r="C253" s="6">
        <v>600</v>
      </c>
      <c r="D253" s="7">
        <v>3.53</v>
      </c>
      <c r="E253" t="s">
        <v>19</v>
      </c>
    </row>
    <row r="254" spans="1:5" x14ac:dyDescent="0.25">
      <c r="A254" t="str">
        <f>HYPERLINK("https://www.773grp.com/globalSearch/LM340T-5.0/page-1", "LM340T-5.0")</f>
        <v>LM340T-5.0</v>
      </c>
      <c r="B254" s="3" t="str">
        <f>HYPERLINK("https://www.773grp.com/manufacturer/national-semiconductor?pageNo=119", "National Semiconductor")</f>
        <v>National Semiconductor</v>
      </c>
      <c r="C254" s="6">
        <v>43</v>
      </c>
      <c r="D254" s="7">
        <v>3.53</v>
      </c>
      <c r="E254" t="s">
        <v>28</v>
      </c>
    </row>
    <row r="255" spans="1:5" x14ac:dyDescent="0.25">
      <c r="A255" t="str">
        <f>HYPERLINK("https://www.773grp.com/globalSearch/LM3475MF/page-1", "LM3475MF")</f>
        <v>LM3475MF</v>
      </c>
      <c r="B255" s="3" t="str">
        <f>HYPERLINK("https://www.773grp.com/manufacturer/national-semiconductor?pageNo=120", "National Semiconductor")</f>
        <v>National Semiconductor</v>
      </c>
      <c r="C255" s="6">
        <v>1470</v>
      </c>
      <c r="D255" s="7">
        <v>3.53</v>
      </c>
      <c r="E255" t="s">
        <v>7</v>
      </c>
    </row>
    <row r="256" spans="1:5" x14ac:dyDescent="0.25">
      <c r="A256" t="str">
        <f>HYPERLINK("https://www.773grp.com/globalSearch/LM4674ATL-NOPB/page-1", "LM4674ATL-NOPB")</f>
        <v>LM4674ATL-NOPB</v>
      </c>
      <c r="B256" s="3" t="str">
        <f>HYPERLINK("https://www.773grp.com/manufacturer/national-semiconductor?pageNo=121", "National Semiconductor")</f>
        <v>National Semiconductor</v>
      </c>
      <c r="C256" s="6">
        <v>3000</v>
      </c>
      <c r="D256" s="7">
        <v>3.53</v>
      </c>
      <c r="E256" t="s">
        <v>18</v>
      </c>
    </row>
    <row r="257" spans="1:5" x14ac:dyDescent="0.25">
      <c r="A257" t="str">
        <f>HYPERLINK("https://www.773grp.com/globalSearch/LM4871M/page-1", "LM4871M")</f>
        <v>LM4871M</v>
      </c>
      <c r="B257" s="3" t="str">
        <f>HYPERLINK("https://www.773grp.com/manufacturer/national-semiconductor?pageNo=122", "National Semiconductor")</f>
        <v>National Semiconductor</v>
      </c>
      <c r="C257" s="6">
        <v>4</v>
      </c>
      <c r="D257" s="7">
        <v>3.53</v>
      </c>
      <c r="E257" t="s">
        <v>18</v>
      </c>
    </row>
    <row r="258" spans="1:5" x14ac:dyDescent="0.25">
      <c r="A258" t="str">
        <f>HYPERLINK("https://www.773grp.com/globalSearch/LM5080MM-NOPB/page-1", "LM5080MM-NOPB")</f>
        <v>LM5080MM-NOPB</v>
      </c>
      <c r="B258" s="3" t="str">
        <f>HYPERLINK("https://www.773grp.com/manufacturer/national-semiconductor?pageNo=123", "National Semiconductor")</f>
        <v>National Semiconductor</v>
      </c>
      <c r="C258" s="6">
        <v>1790</v>
      </c>
      <c r="D258" s="7">
        <v>3.53</v>
      </c>
    </row>
    <row r="259" spans="1:5" x14ac:dyDescent="0.25">
      <c r="A259" t="str">
        <f>HYPERLINK("https://www.773grp.com/globalSearch/LMV712LD-NOPB/page-1", "LMV712LD-NOPB")</f>
        <v>LMV712LD-NOPB</v>
      </c>
      <c r="B259" s="3" t="str">
        <f>HYPERLINK("https://www.773grp.com/manufacturer/national-semiconductor?pageNo=124", "National Semiconductor")</f>
        <v>National Semiconductor</v>
      </c>
      <c r="C259" s="6">
        <v>2000</v>
      </c>
      <c r="D259" s="7">
        <v>3.53</v>
      </c>
      <c r="E259" t="s">
        <v>13</v>
      </c>
    </row>
    <row r="260" spans="1:5" x14ac:dyDescent="0.25">
      <c r="A260" t="str">
        <f>HYPERLINK("https://www.773grp.com/globalSearch/LMV712TL-NOPB/page-1", "LMV712TL-NOPB")</f>
        <v>LMV712TL-NOPB</v>
      </c>
      <c r="B260" s="3" t="str">
        <f>HYPERLINK("https://www.773grp.com/manufacturer/national-semiconductor?pageNo=125", "National Semiconductor")</f>
        <v>National Semiconductor</v>
      </c>
      <c r="C260" s="6">
        <v>650</v>
      </c>
      <c r="D260" s="7">
        <v>3.53</v>
      </c>
    </row>
    <row r="261" spans="1:5" x14ac:dyDescent="0.25">
      <c r="A261" t="str">
        <f>HYPERLINK("https://www.773grp.com/globalSearch/LMV792MM-NOPB/page-1", "LMV792MM-NOPB")</f>
        <v>LMV792MM-NOPB</v>
      </c>
      <c r="B261" s="3" t="str">
        <f>HYPERLINK("https://www.773grp.com/manufacturer/national-semiconductor?pageNo=126", "National Semiconductor")</f>
        <v>National Semiconductor</v>
      </c>
      <c r="C261" s="6">
        <v>3762</v>
      </c>
      <c r="D261" s="7">
        <v>3.53</v>
      </c>
    </row>
    <row r="262" spans="1:5" x14ac:dyDescent="0.25">
      <c r="A262" t="str">
        <f>HYPERLINK("https://www.773grp.com/globalSearch/LMV821IDBVR/page-1", "LMV821IDBVR")</f>
        <v>LMV821IDBVR</v>
      </c>
      <c r="B262" s="3" t="str">
        <f>HYPERLINK("https://www.773grp.com/manufacturer/national-semiconductor?pageNo=127", "National Semiconductor")</f>
        <v>National Semiconductor</v>
      </c>
      <c r="C262" s="6">
        <v>3000</v>
      </c>
      <c r="D262" s="7">
        <v>3.53</v>
      </c>
    </row>
    <row r="263" spans="1:5" x14ac:dyDescent="0.25">
      <c r="A263" t="str">
        <f>HYPERLINK("https://www.773grp.com/globalSearch/LMV822MM/page-1", "LMV822MM")</f>
        <v>LMV822MM</v>
      </c>
      <c r="B263" s="3" t="str">
        <f>HYPERLINK("https://www.773grp.com/manufacturer/national-semiconductor?pageNo=128", "National Semiconductor")</f>
        <v>National Semiconductor</v>
      </c>
      <c r="C263" s="6">
        <v>26000</v>
      </c>
      <c r="D263" s="7">
        <v>3.53</v>
      </c>
    </row>
    <row r="264" spans="1:5" x14ac:dyDescent="0.25">
      <c r="A264" t="str">
        <f>HYPERLINK("https://www.773grp.com/globalSearch/LMV822MMX/page-1", "LMV822MMX")</f>
        <v>LMV822MMX</v>
      </c>
      <c r="B264" s="3" t="str">
        <f>HYPERLINK("https://www.773grp.com/manufacturer/national-semiconductor?pageNo=129", "National Semiconductor")</f>
        <v>National Semiconductor</v>
      </c>
      <c r="C264" s="6">
        <v>3500</v>
      </c>
      <c r="D264" s="7">
        <v>3.53</v>
      </c>
      <c r="E264" t="s">
        <v>13</v>
      </c>
    </row>
    <row r="265" spans="1:5" x14ac:dyDescent="0.25">
      <c r="A265" t="str">
        <f>HYPERLINK("https://www.773grp.com/globalSearch/LP2987IMX-5.0-NOPB/page-1", "LP2987IMX-5.0-NOPB")</f>
        <v>LP2987IMX-5.0-NOPB</v>
      </c>
      <c r="B265" s="3" t="str">
        <f>HYPERLINK("https://www.773grp.com/manufacturer/national-semiconductor?pageNo=130", "National Semiconductor")</f>
        <v>National Semiconductor</v>
      </c>
      <c r="C265" s="6">
        <v>7500</v>
      </c>
      <c r="D265" s="7">
        <v>3.53</v>
      </c>
      <c r="E265" t="s">
        <v>19</v>
      </c>
    </row>
    <row r="266" spans="1:5" x14ac:dyDescent="0.25">
      <c r="A266" t="str">
        <f>HYPERLINK("https://www.773grp.com/globalSearch/5447ADM/page-1", "5447ADM")</f>
        <v>5447ADM</v>
      </c>
      <c r="B266" s="3" t="str">
        <f>HYPERLINK("https://www.773grp.com/manufacturer/national-semiconductor?pageNo=131", "National Semiconductor")</f>
        <v>National Semiconductor</v>
      </c>
      <c r="C266" s="6">
        <v>4856</v>
      </c>
      <c r="D266" s="7">
        <v>3.21</v>
      </c>
    </row>
    <row r="267" spans="1:5" x14ac:dyDescent="0.25">
      <c r="A267" t="str">
        <f>HYPERLINK("https://www.773grp.com/globalSearch/5447DM/page-1", "5447DM")</f>
        <v>5447DM</v>
      </c>
      <c r="B267" s="3" t="str">
        <f>HYPERLINK("https://www.773grp.com/manufacturer/national-semiconductor?pageNo=132", "National Semiconductor")</f>
        <v>National Semiconductor</v>
      </c>
      <c r="C267" s="6">
        <v>1164</v>
      </c>
      <c r="D267" s="7">
        <v>3.21</v>
      </c>
    </row>
    <row r="268" spans="1:5" x14ac:dyDescent="0.25">
      <c r="A268" t="str">
        <f>HYPERLINK("https://www.773grp.com/globalSearch/54LS161ADMQB/page-1", "54LS161ADMQB")</f>
        <v>54LS161ADMQB</v>
      </c>
      <c r="B268" s="3" t="str">
        <f>HYPERLINK("https://www.773grp.com/manufacturer/national-semiconductor?pageNo=133", "National Semiconductor")</f>
        <v>National Semiconductor</v>
      </c>
      <c r="C268" s="6">
        <v>25</v>
      </c>
      <c r="D268" s="7">
        <v>3.21</v>
      </c>
      <c r="E268" t="s">
        <v>26</v>
      </c>
    </row>
    <row r="269" spans="1:5" x14ac:dyDescent="0.25">
      <c r="A269" t="str">
        <f>HYPERLINK("https://www.773grp.com/globalSearch/54LS163ADMQB/page-1", "54LS163ADMQB")</f>
        <v>54LS163ADMQB</v>
      </c>
      <c r="B269" s="3" t="str">
        <f>HYPERLINK("https://www.773grp.com/manufacturer/national-semiconductor?pageNo=134", "National Semiconductor")</f>
        <v>National Semiconductor</v>
      </c>
      <c r="C269" s="6">
        <v>195</v>
      </c>
      <c r="D269" s="7">
        <v>3.21</v>
      </c>
      <c r="E269" t="s">
        <v>26</v>
      </c>
    </row>
    <row r="270" spans="1:5" x14ac:dyDescent="0.25">
      <c r="A270" t="str">
        <f>HYPERLINK("https://www.773grp.com/globalSearch/ADC084S051CIMM-NOPB/page-1", "ADC084S051CIMM-NOPB")</f>
        <v>ADC084S051CIMM-NOPB</v>
      </c>
      <c r="B270" s="3" t="str">
        <f>HYPERLINK("https://www.773grp.com/manufacturer/national-semiconductor?pageNo=1", "National Semiconductor")</f>
        <v>National Semiconductor</v>
      </c>
      <c r="C270" s="6">
        <v>900</v>
      </c>
      <c r="D270" s="7">
        <v>3.21</v>
      </c>
    </row>
    <row r="271" spans="1:5" x14ac:dyDescent="0.25">
      <c r="A271" t="str">
        <f>HYPERLINK("https://www.773grp.com/globalSearch/DM74S112J/page-1", "DM74S112J")</f>
        <v>DM74S112J</v>
      </c>
      <c r="B271" s="3" t="str">
        <f>HYPERLINK("https://www.773grp.com/manufacturer/national-semiconductor?pageNo=2", "National Semiconductor")</f>
        <v>National Semiconductor</v>
      </c>
      <c r="C271" s="6">
        <v>204</v>
      </c>
      <c r="D271" s="7">
        <v>3.21</v>
      </c>
    </row>
    <row r="272" spans="1:5" x14ac:dyDescent="0.25">
      <c r="A272" t="str">
        <f>HYPERLINK("https://www.773grp.com/globalSearch/DS3650M/page-1", "DS3650M")</f>
        <v>DS3650M</v>
      </c>
      <c r="B272" s="3" t="str">
        <f>HYPERLINK("https://www.773grp.com/manufacturer/national-semiconductor?pageNo=3", "National Semiconductor")</f>
        <v>National Semiconductor</v>
      </c>
      <c r="C272" s="6">
        <v>7</v>
      </c>
      <c r="D272" s="7">
        <v>3.21</v>
      </c>
      <c r="E272" t="s">
        <v>21</v>
      </c>
    </row>
    <row r="273" spans="1:5" x14ac:dyDescent="0.25">
      <c r="A273" t="str">
        <f>HYPERLINK("https://www.773grp.com/globalSearch/DS3650MX/page-1", "DS3650MX")</f>
        <v>DS3650MX</v>
      </c>
      <c r="B273" s="3" t="str">
        <f>HYPERLINK("https://www.773grp.com/manufacturer/national-semiconductor?pageNo=4", "National Semiconductor")</f>
        <v>National Semiconductor</v>
      </c>
      <c r="C273" s="6">
        <v>2500</v>
      </c>
      <c r="D273" s="7">
        <v>3.21</v>
      </c>
      <c r="E273" t="s">
        <v>21</v>
      </c>
    </row>
    <row r="274" spans="1:5" x14ac:dyDescent="0.25">
      <c r="A274" t="str">
        <f>HYPERLINK("https://www.773grp.com/globalSearch/LM2619MTC/page-1", "LM2619MTC")</f>
        <v>LM2619MTC</v>
      </c>
      <c r="B274" s="3" t="str">
        <f>HYPERLINK("https://www.773grp.com/manufacturer/national-semiconductor?pageNo=5", "National Semiconductor")</f>
        <v>National Semiconductor</v>
      </c>
      <c r="C274" s="6">
        <v>55</v>
      </c>
      <c r="D274" s="7">
        <v>3.21</v>
      </c>
      <c r="E274" t="s">
        <v>7</v>
      </c>
    </row>
    <row r="275" spans="1:5" x14ac:dyDescent="0.25">
      <c r="A275" t="str">
        <f>HYPERLINK("https://www.773grp.com/globalSearch/LM2841XMKX-ADJL/page-1", "LM2841XMKX-ADJL")</f>
        <v>LM2841XMKX-ADJL</v>
      </c>
      <c r="B275" s="3" t="str">
        <f>HYPERLINK("https://www.773grp.com/manufacturer/national-semiconductor?pageNo=6", "National Semiconductor")</f>
        <v>National Semiconductor</v>
      </c>
      <c r="C275" s="6">
        <v>3000</v>
      </c>
      <c r="D275" s="7">
        <v>3.21</v>
      </c>
      <c r="E275" t="s">
        <v>7</v>
      </c>
    </row>
    <row r="276" spans="1:5" x14ac:dyDescent="0.25">
      <c r="A276" t="str">
        <f>HYPERLINK("https://www.773grp.com/globalSearch/LM3406MH-NOPB/page-1", "LM3406MH-NOPB")</f>
        <v>LM3406MH-NOPB</v>
      </c>
      <c r="B276" s="3" t="str">
        <f>HYPERLINK("https://www.773grp.com/manufacturer/national-semiconductor?pageNo=7", "National Semiconductor")</f>
        <v>National Semiconductor</v>
      </c>
      <c r="C276" s="6">
        <v>1009</v>
      </c>
      <c r="D276" s="7">
        <v>3.21</v>
      </c>
    </row>
    <row r="277" spans="1:5" x14ac:dyDescent="0.25">
      <c r="A277" t="str">
        <f>HYPERLINK("https://www.773grp.com/globalSearch/LM3710XQBP-308/page-1", "LM3710XQBP-308")</f>
        <v>LM3710XQBP-308</v>
      </c>
      <c r="B277" s="3" t="str">
        <f>HYPERLINK("https://www.773grp.com/manufacturer/national-semiconductor?pageNo=8", "National Semiconductor")</f>
        <v>National Semiconductor</v>
      </c>
      <c r="C277" s="6">
        <v>32</v>
      </c>
      <c r="D277" s="7">
        <v>3.21</v>
      </c>
      <c r="E277" t="s">
        <v>30</v>
      </c>
    </row>
    <row r="278" spans="1:5" x14ac:dyDescent="0.25">
      <c r="A278" t="str">
        <f>HYPERLINK("https://www.773grp.com/globalSearch/LM3710XQTP-308-NOPB/page-1", "LM3710XQTP-308-NOPB")</f>
        <v>LM3710XQTP-308-NOPB</v>
      </c>
      <c r="B278" s="3" t="str">
        <f>HYPERLINK("https://www.773grp.com/manufacturer/national-semiconductor?pageNo=9", "National Semiconductor")</f>
        <v>National Semiconductor</v>
      </c>
      <c r="C278" s="6">
        <v>240</v>
      </c>
      <c r="D278" s="7">
        <v>3.21</v>
      </c>
    </row>
    <row r="279" spans="1:5" x14ac:dyDescent="0.25">
      <c r="A279" t="str">
        <f>HYPERLINK("https://www.773grp.com/globalSearch/LM3712XQTP-308-NOPB/page-1", "LM3712XQTP-308-NOPB")</f>
        <v>LM3712XQTP-308-NOPB</v>
      </c>
      <c r="B279" s="3" t="str">
        <f>HYPERLINK("https://www.773grp.com/manufacturer/national-semiconductor?pageNo=10", "National Semiconductor")</f>
        <v>National Semiconductor</v>
      </c>
      <c r="C279" s="6">
        <v>1249</v>
      </c>
      <c r="D279" s="7">
        <v>3.21</v>
      </c>
    </row>
    <row r="280" spans="1:5" x14ac:dyDescent="0.25">
      <c r="A280" t="str">
        <f>HYPERLINK("https://www.773grp.com/globalSearch/LM4951SD-NOPB/page-1", "LM4951SD-NOPB")</f>
        <v>LM4951SD-NOPB</v>
      </c>
      <c r="B280" s="3" t="str">
        <f>HYPERLINK("https://www.773grp.com/manufacturer/national-semiconductor?pageNo=11", "National Semiconductor")</f>
        <v>National Semiconductor</v>
      </c>
      <c r="C280" s="6">
        <v>7521</v>
      </c>
      <c r="D280" s="7">
        <v>3.21</v>
      </c>
      <c r="E280" t="s">
        <v>18</v>
      </c>
    </row>
    <row r="281" spans="1:5" x14ac:dyDescent="0.25">
      <c r="A281" t="str">
        <f>HYPERLINK("https://www.773grp.com/globalSearch/LM5025AMTC-NOPB/page-1", "LM5025AMTC-NOPB")</f>
        <v>LM5025AMTC-NOPB</v>
      </c>
      <c r="B281" s="3" t="str">
        <f>HYPERLINK("https://www.773grp.com/manufacturer/national-semiconductor?pageNo=12", "National Semiconductor")</f>
        <v>National Semiconductor</v>
      </c>
      <c r="C281" s="6">
        <v>92</v>
      </c>
      <c r="D281" s="7">
        <v>3.21</v>
      </c>
      <c r="E281" t="s">
        <v>7</v>
      </c>
    </row>
    <row r="282" spans="1:5" x14ac:dyDescent="0.25">
      <c r="A282" t="str">
        <f>HYPERLINK("https://www.773grp.com/globalSearch/LM5025MTC-NOPB/page-1", "LM5025MTC-NOPB")</f>
        <v>LM5025MTC-NOPB</v>
      </c>
      <c r="B282" s="3" t="str">
        <f>HYPERLINK("https://www.773grp.com/manufacturer/national-semiconductor?pageNo=13", "National Semiconductor")</f>
        <v>National Semiconductor</v>
      </c>
      <c r="C282" s="6">
        <v>368</v>
      </c>
      <c r="D282" s="7">
        <v>3.21</v>
      </c>
      <c r="E282" t="s">
        <v>7</v>
      </c>
    </row>
    <row r="283" spans="1:5" x14ac:dyDescent="0.25">
      <c r="A283" t="str">
        <f>HYPERLINK("https://www.773grp.com/globalSearch/LM5073MHX-NOPB/page-1", "LM5073MHX-NOPB")</f>
        <v>LM5073MHX-NOPB</v>
      </c>
      <c r="B283" s="3" t="str">
        <f>HYPERLINK("https://www.773grp.com/manufacturer/national-semiconductor?pageNo=14", "National Semiconductor")</f>
        <v>National Semiconductor</v>
      </c>
      <c r="C283" s="6">
        <v>1720</v>
      </c>
      <c r="D283" s="7">
        <v>3.21</v>
      </c>
      <c r="E283" t="s">
        <v>7</v>
      </c>
    </row>
    <row r="284" spans="1:5" x14ac:dyDescent="0.25">
      <c r="A284" t="str">
        <f>HYPERLINK("https://www.773grp.com/globalSearch/LM741EN/page-1", "LM741EN")</f>
        <v>LM741EN</v>
      </c>
      <c r="B284" s="3" t="str">
        <f>HYPERLINK("https://www.773grp.com/manufacturer/national-semiconductor?pageNo=15", "National Semiconductor")</f>
        <v>National Semiconductor</v>
      </c>
      <c r="C284" s="6">
        <v>100</v>
      </c>
      <c r="D284" s="7">
        <v>3.21</v>
      </c>
      <c r="E284" t="s">
        <v>13</v>
      </c>
    </row>
    <row r="285" spans="1:5" x14ac:dyDescent="0.25">
      <c r="A285" t="str">
        <f>HYPERLINK("https://www.773grp.com/globalSearch/LM96163CISD-NOPB/page-1", "LM96163CISD-NOPB")</f>
        <v>LM96163CISD-NOPB</v>
      </c>
      <c r="B285" s="3" t="str">
        <f>HYPERLINK("https://www.773grp.com/manufacturer/national-semiconductor?pageNo=16", "National Semiconductor")</f>
        <v>National Semiconductor</v>
      </c>
      <c r="C285" s="6">
        <v>720</v>
      </c>
      <c r="D285" s="7">
        <v>3.21</v>
      </c>
    </row>
    <row r="286" spans="1:5" x14ac:dyDescent="0.25">
      <c r="A286" t="str">
        <f>HYPERLINK("https://www.773grp.com/globalSearch/LMH6612MA-NOPB/page-1", "LMH6612MA-NOPB")</f>
        <v>LMH6612MA-NOPB</v>
      </c>
      <c r="B286" s="3" t="str">
        <f>HYPERLINK("https://www.773grp.com/manufacturer/national-semiconductor?pageNo=17", "National Semiconductor")</f>
        <v>National Semiconductor</v>
      </c>
      <c r="C286" s="6">
        <v>36</v>
      </c>
      <c r="D286" s="7">
        <v>3.21</v>
      </c>
    </row>
    <row r="287" spans="1:5" x14ac:dyDescent="0.25">
      <c r="A287" t="str">
        <f>HYPERLINK("https://www.773grp.com/globalSearch/LMP7300MME-NOPB/page-1", "LMP7300MME-NOPB")</f>
        <v>LMP7300MME-NOPB</v>
      </c>
      <c r="B287" s="3" t="str">
        <f>HYPERLINK("https://www.773grp.com/manufacturer/national-semiconductor?pageNo=18", "National Semiconductor")</f>
        <v>National Semiconductor</v>
      </c>
      <c r="C287" s="6">
        <v>700</v>
      </c>
      <c r="D287" s="7">
        <v>3.21</v>
      </c>
    </row>
    <row r="288" spans="1:5" x14ac:dyDescent="0.25">
      <c r="A288" t="str">
        <f>HYPERLINK("https://www.773grp.com/globalSearch/LMP7716MME-NOPB/page-1", "LMP7716MME-NOPB")</f>
        <v>LMP7716MME-NOPB</v>
      </c>
      <c r="B288" s="3" t="str">
        <f>HYPERLINK("https://www.773grp.com/manufacturer/national-semiconductor?pageNo=19", "National Semiconductor")</f>
        <v>National Semiconductor</v>
      </c>
      <c r="C288" s="6">
        <v>450</v>
      </c>
      <c r="D288" s="7">
        <v>3.21</v>
      </c>
      <c r="E288" t="s">
        <v>13</v>
      </c>
    </row>
    <row r="289" spans="1:5" x14ac:dyDescent="0.25">
      <c r="A289" t="str">
        <f>HYPERLINK("https://www.773grp.com/globalSearch/LMR12010YMKE-NOPB/page-1", "LMR12010YMKE-NOPB")</f>
        <v>LMR12010YMKE-NOPB</v>
      </c>
      <c r="B289" s="3" t="str">
        <f>HYPERLINK("https://www.773grp.com/manufacturer/national-semiconductor?pageNo=20", "National Semiconductor")</f>
        <v>National Semiconductor</v>
      </c>
      <c r="C289" s="6">
        <v>500</v>
      </c>
      <c r="D289" s="7">
        <v>3.21</v>
      </c>
    </row>
    <row r="290" spans="1:5" x14ac:dyDescent="0.25">
      <c r="A290" t="str">
        <f>HYPERLINK("https://www.773grp.com/globalSearch/LMS1585ACT-3.3/page-1", "LMS1585ACT-3.3")</f>
        <v>LMS1585ACT-3.3</v>
      </c>
      <c r="B290" s="3" t="str">
        <f>HYPERLINK("https://www.773grp.com/manufacturer/national-semiconductor?pageNo=21", "National Semiconductor")</f>
        <v>National Semiconductor</v>
      </c>
      <c r="C290" s="6">
        <v>565</v>
      </c>
      <c r="D290" s="7">
        <v>3.21</v>
      </c>
      <c r="E290" t="s">
        <v>19</v>
      </c>
    </row>
    <row r="291" spans="1:5" x14ac:dyDescent="0.25">
      <c r="A291" t="str">
        <f>HYPERLINK("https://www.773grp.com/globalSearch/LMS202CM/page-1", "LMS202CM")</f>
        <v>LMS202CM</v>
      </c>
      <c r="B291" s="3" t="str">
        <f>HYPERLINK("https://www.773grp.com/manufacturer/national-semiconductor?pageNo=22", "National Semiconductor")</f>
        <v>National Semiconductor</v>
      </c>
      <c r="C291" s="6">
        <v>167</v>
      </c>
      <c r="D291" s="7">
        <v>3.21</v>
      </c>
      <c r="E291" t="s">
        <v>21</v>
      </c>
    </row>
    <row r="292" spans="1:5" x14ac:dyDescent="0.25">
      <c r="A292" t="str">
        <f>HYPERLINK("https://www.773grp.com/globalSearch/LMS202IMX/page-1", "LMS202IMX")</f>
        <v>LMS202IMX</v>
      </c>
      <c r="B292" s="3" t="str">
        <f>HYPERLINK("https://www.773grp.com/manufacturer/national-semiconductor?pageNo=23", "National Semiconductor")</f>
        <v>National Semiconductor</v>
      </c>
      <c r="C292" s="6">
        <v>1541</v>
      </c>
      <c r="D292" s="7">
        <v>3.21</v>
      </c>
      <c r="E292" t="s">
        <v>21</v>
      </c>
    </row>
    <row r="293" spans="1:5" x14ac:dyDescent="0.25">
      <c r="A293" t="str">
        <f>HYPERLINK("https://www.773grp.com/globalSearch/LMV2011MA-NOPB/page-1", "LMV2011MA-NOPB")</f>
        <v>LMV2011MA-NOPB</v>
      </c>
      <c r="B293" s="3" t="str">
        <f>HYPERLINK("https://www.773grp.com/manufacturer/national-semiconductor?pageNo=24", "National Semiconductor")</f>
        <v>National Semiconductor</v>
      </c>
      <c r="C293" s="6">
        <v>5700</v>
      </c>
      <c r="D293" s="7">
        <v>3.21</v>
      </c>
    </row>
    <row r="294" spans="1:5" x14ac:dyDescent="0.25">
      <c r="A294" t="str">
        <f>HYPERLINK("https://www.773grp.com/globalSearch/LMV751M5/page-1", "LMV751M5")</f>
        <v>LMV751M5</v>
      </c>
      <c r="B294" s="3" t="str">
        <f>HYPERLINK("https://www.773grp.com/manufacturer/national-semiconductor?pageNo=25", "National Semiconductor")</f>
        <v>National Semiconductor</v>
      </c>
      <c r="C294" s="6">
        <v>19000</v>
      </c>
      <c r="D294" s="7">
        <v>3.21</v>
      </c>
      <c r="E294" t="s">
        <v>13</v>
      </c>
    </row>
    <row r="295" spans="1:5" x14ac:dyDescent="0.25">
      <c r="A295" t="str">
        <f>HYPERLINK("https://www.773grp.com/globalSearch/LMV751M5X/page-1", "LMV751M5X")</f>
        <v>LMV751M5X</v>
      </c>
      <c r="B295" s="3" t="str">
        <f>HYPERLINK("https://www.773grp.com/manufacturer/national-semiconductor?pageNo=26", "National Semiconductor")</f>
        <v>National Semiconductor</v>
      </c>
      <c r="C295" s="6">
        <v>3000</v>
      </c>
      <c r="D295" s="7">
        <v>3.21</v>
      </c>
      <c r="E295" t="s">
        <v>13</v>
      </c>
    </row>
    <row r="296" spans="1:5" x14ac:dyDescent="0.25">
      <c r="A296" t="str">
        <f>HYPERLINK("https://www.773grp.com/globalSearch/LP2967ITP-1833-NOPB/page-1", "LP2967ITP-1833-NOPB")</f>
        <v>LP2967ITP-1833-NOPB</v>
      </c>
      <c r="B296" s="3" t="str">
        <f>HYPERLINK("https://www.773grp.com/manufacturer/national-semiconductor?pageNo=27", "National Semiconductor")</f>
        <v>National Semiconductor</v>
      </c>
      <c r="C296" s="6">
        <v>443</v>
      </c>
      <c r="D296" s="7">
        <v>3.21</v>
      </c>
    </row>
    <row r="297" spans="1:5" x14ac:dyDescent="0.25">
      <c r="A297" t="str">
        <f>HYPERLINK("https://www.773grp.com/globalSearch/LP2967ITP-2830-NOPB/page-1", "LP2967ITP-2830-NOPB")</f>
        <v>LP2967ITP-2830-NOPB</v>
      </c>
      <c r="B297" s="3" t="str">
        <f>HYPERLINK("https://www.773grp.com/manufacturer/national-semiconductor?pageNo=28", "National Semiconductor")</f>
        <v>National Semiconductor</v>
      </c>
      <c r="C297" s="6">
        <v>500</v>
      </c>
      <c r="D297" s="7">
        <v>3.21</v>
      </c>
    </row>
    <row r="298" spans="1:5" x14ac:dyDescent="0.25">
      <c r="A298" t="str">
        <f>HYPERLINK("https://www.773grp.com/globalSearch/LP2967ITP-2833-NOPB/page-1", "LP2967ITP-2833-NOPB")</f>
        <v>LP2967ITP-2833-NOPB</v>
      </c>
      <c r="B298" s="3" t="str">
        <f>HYPERLINK("https://www.773grp.com/manufacturer/national-semiconductor?pageNo=29", "National Semiconductor")</f>
        <v>National Semiconductor</v>
      </c>
      <c r="C298" s="6">
        <v>495</v>
      </c>
      <c r="D298" s="7">
        <v>3.21</v>
      </c>
    </row>
    <row r="299" spans="1:5" x14ac:dyDescent="0.25">
      <c r="A299" t="str">
        <f>HYPERLINK("https://www.773grp.com/globalSearch/LP3871ES-1.8-NOPB/page-1", "LP3871ES-1.8-NOPB")</f>
        <v>LP3871ES-1.8-NOPB</v>
      </c>
      <c r="B299" s="3" t="str">
        <f>HYPERLINK("https://www.773grp.com/manufacturer/national-semiconductor?pageNo=30", "National Semiconductor")</f>
        <v>National Semiconductor</v>
      </c>
      <c r="C299" s="6">
        <v>395</v>
      </c>
      <c r="D299" s="7">
        <v>3.21</v>
      </c>
      <c r="E299" t="s">
        <v>19</v>
      </c>
    </row>
    <row r="300" spans="1:5" x14ac:dyDescent="0.25">
      <c r="A300" t="str">
        <f>HYPERLINK("https://www.773grp.com/globalSearch/LP3871ES-2.5-NOPB/page-1", "LP3871ES-2.5-NOPB")</f>
        <v>LP3871ES-2.5-NOPB</v>
      </c>
      <c r="B300" s="3" t="str">
        <f>HYPERLINK("https://www.773grp.com/manufacturer/national-semiconductor?pageNo=31", "National Semiconductor")</f>
        <v>National Semiconductor</v>
      </c>
      <c r="C300" s="6">
        <v>319</v>
      </c>
      <c r="D300" s="7">
        <v>3.21</v>
      </c>
      <c r="E300" t="s">
        <v>19</v>
      </c>
    </row>
    <row r="301" spans="1:5" x14ac:dyDescent="0.25">
      <c r="A301" t="str">
        <f>HYPERLINK("https://www.773grp.com/globalSearch/LP3871ES-3.3-NOPB/page-1", "LP3871ES-3.3-NOPB")</f>
        <v>LP3871ES-3.3-NOPB</v>
      </c>
      <c r="B301" s="3" t="str">
        <f>HYPERLINK("https://www.773grp.com/manufacturer/national-semiconductor?pageNo=32", "National Semiconductor")</f>
        <v>National Semiconductor</v>
      </c>
      <c r="C301" s="6">
        <v>10</v>
      </c>
      <c r="D301" s="7">
        <v>3.21</v>
      </c>
      <c r="E301" t="s">
        <v>19</v>
      </c>
    </row>
    <row r="302" spans="1:5" x14ac:dyDescent="0.25">
      <c r="A302" t="str">
        <f>HYPERLINK("https://www.773grp.com/globalSearch/LP38842S-1.2-NOPB/page-1", "LP38842S-1.2-NOPB")</f>
        <v>LP38842S-1.2-NOPB</v>
      </c>
      <c r="B302" s="3" t="str">
        <f>HYPERLINK("https://www.773grp.com/manufacturer/national-semiconductor?pageNo=33", "National Semiconductor")</f>
        <v>National Semiconductor</v>
      </c>
      <c r="C302" s="6">
        <v>64</v>
      </c>
      <c r="D302" s="7">
        <v>3.21</v>
      </c>
      <c r="E302" t="s">
        <v>19</v>
      </c>
    </row>
    <row r="303" spans="1:5" x14ac:dyDescent="0.25">
      <c r="A303" t="str">
        <f>HYPERLINK("https://www.773grp.com/globalSearch/LP38842S-1.5-NOPB/page-1", "LP38842S-1.5-NOPB")</f>
        <v>LP38842S-1.5-NOPB</v>
      </c>
      <c r="B303" s="3" t="str">
        <f>HYPERLINK("https://www.773grp.com/manufacturer/national-semiconductor?pageNo=34", "National Semiconductor")</f>
        <v>National Semiconductor</v>
      </c>
      <c r="C303" s="6">
        <v>2</v>
      </c>
      <c r="D303" s="7">
        <v>3.21</v>
      </c>
      <c r="E303" t="s">
        <v>19</v>
      </c>
    </row>
    <row r="304" spans="1:5" x14ac:dyDescent="0.25">
      <c r="A304" t="str">
        <f>HYPERLINK("https://www.773grp.com/globalSearch/LP8545SQE-NOPB/page-1", "LP8545SQE-NOPB")</f>
        <v>LP8545SQE-NOPB</v>
      </c>
      <c r="B304" s="3" t="str">
        <f>HYPERLINK("https://www.773grp.com/manufacturer/national-semiconductor?pageNo=35", "National Semiconductor")</f>
        <v>National Semiconductor</v>
      </c>
      <c r="C304" s="6">
        <v>341</v>
      </c>
      <c r="D304" s="7">
        <v>3.21</v>
      </c>
    </row>
    <row r="305" spans="1:5" x14ac:dyDescent="0.25">
      <c r="A305" t="str">
        <f>HYPERLINK("https://www.773grp.com/globalSearch/MM74HC00J/page-1", "MM74HC00J")</f>
        <v>MM74HC00J</v>
      </c>
      <c r="B305" s="3" t="str">
        <f>HYPERLINK("https://www.773grp.com/manufacturer/national-semiconductor?pageNo=36", "National Semiconductor")</f>
        <v>National Semiconductor</v>
      </c>
      <c r="C305" s="6">
        <v>184</v>
      </c>
      <c r="D305" s="7">
        <v>3.21</v>
      </c>
      <c r="E305" t="s">
        <v>31</v>
      </c>
    </row>
    <row r="306" spans="1:5" x14ac:dyDescent="0.25">
      <c r="A306" t="str">
        <f>HYPERLINK("https://www.773grp.com/globalSearch/MM74HC11J/page-1", "MM74HC11J")</f>
        <v>MM74HC11J</v>
      </c>
      <c r="B306" s="3" t="str">
        <f>HYPERLINK("https://www.773grp.com/manufacturer/national-semiconductor?pageNo=37", "National Semiconductor")</f>
        <v>National Semiconductor</v>
      </c>
      <c r="C306" s="6">
        <v>94</v>
      </c>
      <c r="D306" s="7">
        <v>3.21</v>
      </c>
      <c r="E306" t="s">
        <v>31</v>
      </c>
    </row>
    <row r="307" spans="1:5" x14ac:dyDescent="0.25">
      <c r="A307" t="str">
        <f>HYPERLINK("https://www.773grp.com/globalSearch/ADC084S051CIMM-NOPB/page-1", "ADC084S051CIMM-NOPB")</f>
        <v>ADC084S051CIMM-NOPB</v>
      </c>
      <c r="B307" s="3" t="str">
        <f>HYPERLINK("https://www.773grp.com/manufacturer/national-semiconductor?pageNo=38", "National Semiconductor")</f>
        <v>National Semiconductor</v>
      </c>
      <c r="C307" s="6">
        <v>2990</v>
      </c>
      <c r="D307" s="7">
        <v>3.21</v>
      </c>
    </row>
    <row r="308" spans="1:5" x14ac:dyDescent="0.25">
      <c r="A308" t="str">
        <f>HYPERLINK("https://www.773grp.com/globalSearch/LM48822TLX-NOPB/page-1", "LM48822TLX-NOPB")</f>
        <v>LM48822TLX-NOPB</v>
      </c>
      <c r="B308" s="3" t="str">
        <f>HYPERLINK("https://www.773grp.com/manufacturer/national-semiconductor?pageNo=39", "National Semiconductor")</f>
        <v>National Semiconductor</v>
      </c>
      <c r="C308" s="6">
        <v>3000</v>
      </c>
      <c r="D308" s="7">
        <v>3.21</v>
      </c>
    </row>
    <row r="309" spans="1:5" x14ac:dyDescent="0.25">
      <c r="A309" t="str">
        <f>HYPERLINK("https://www.773grp.com/globalSearch/LM4951SD-NOPB/page-1", "LM4951SD-NOPB")</f>
        <v>LM4951SD-NOPB</v>
      </c>
      <c r="B309" s="3" t="str">
        <f>HYPERLINK("https://www.773grp.com/manufacturer/national-semiconductor?pageNo=40", "National Semiconductor")</f>
        <v>National Semiconductor</v>
      </c>
      <c r="C309" s="6">
        <v>2000</v>
      </c>
      <c r="D309" s="7">
        <v>3.21</v>
      </c>
      <c r="E309" t="s">
        <v>18</v>
      </c>
    </row>
    <row r="310" spans="1:5" x14ac:dyDescent="0.25">
      <c r="A310" t="str">
        <f>HYPERLINK("https://www.773grp.com/globalSearch/LM5025AMTC-NOPB/page-1", "LM5025AMTC-NOPB")</f>
        <v>LM5025AMTC-NOPB</v>
      </c>
      <c r="B310" s="3" t="str">
        <f>HYPERLINK("https://www.773grp.com/manufacturer/national-semiconductor?pageNo=41", "National Semiconductor")</f>
        <v>National Semiconductor</v>
      </c>
      <c r="C310" s="6">
        <v>1144</v>
      </c>
      <c r="D310" s="7">
        <v>3.21</v>
      </c>
      <c r="E310" t="s">
        <v>7</v>
      </c>
    </row>
    <row r="311" spans="1:5" x14ac:dyDescent="0.25">
      <c r="A311" t="str">
        <f>HYPERLINK("https://www.773grp.com/globalSearch/LM5025MTC-NOPB/page-1", "LM5025MTC-NOPB")</f>
        <v>LM5025MTC-NOPB</v>
      </c>
      <c r="B311" s="3" t="str">
        <f>HYPERLINK("https://www.773grp.com/manufacturer/national-semiconductor?pageNo=42", "National Semiconductor")</f>
        <v>National Semiconductor</v>
      </c>
      <c r="C311" s="6">
        <v>5814</v>
      </c>
      <c r="D311" s="7">
        <v>3.21</v>
      </c>
      <c r="E311" t="s">
        <v>7</v>
      </c>
    </row>
    <row r="312" spans="1:5" x14ac:dyDescent="0.25">
      <c r="A312" t="str">
        <f>HYPERLINK("https://www.773grp.com/globalSearch/LM5073MHX-NOPB/page-1", "LM5073MHX-NOPB")</f>
        <v>LM5073MHX-NOPB</v>
      </c>
      <c r="B312" s="3" t="str">
        <f>HYPERLINK("https://www.773grp.com/manufacturer/national-semiconductor?pageNo=43", "National Semiconductor")</f>
        <v>National Semiconductor</v>
      </c>
      <c r="C312" s="6">
        <v>2500</v>
      </c>
      <c r="D312" s="7">
        <v>3.21</v>
      </c>
      <c r="E312" t="s">
        <v>7</v>
      </c>
    </row>
    <row r="313" spans="1:5" x14ac:dyDescent="0.25">
      <c r="A313" t="str">
        <f>HYPERLINK("https://www.773grp.com/globalSearch/LM96063CISDX-NOPB/page-1", "LM96063CISDX-NOPB")</f>
        <v>LM96063CISDX-NOPB</v>
      </c>
      <c r="B313" s="3" t="str">
        <f>HYPERLINK("https://www.773grp.com/manufacturer/national-semiconductor?pageNo=44", "National Semiconductor")</f>
        <v>National Semiconductor</v>
      </c>
      <c r="C313" s="6">
        <v>9000</v>
      </c>
      <c r="D313" s="7">
        <v>3.21</v>
      </c>
    </row>
    <row r="314" spans="1:5" x14ac:dyDescent="0.25">
      <c r="A314" t="str">
        <f>HYPERLINK("https://www.773grp.com/globalSearch/LM96163CISD-NOPB/page-1", "LM96163CISD-NOPB")</f>
        <v>LM96163CISD-NOPB</v>
      </c>
      <c r="B314" s="3" t="str">
        <f>HYPERLINK("https://www.773grp.com/manufacturer/national-semiconductor?pageNo=45", "National Semiconductor")</f>
        <v>National Semiconductor</v>
      </c>
      <c r="C314" s="6">
        <v>1272</v>
      </c>
      <c r="D314" s="7">
        <v>3.21</v>
      </c>
    </row>
    <row r="315" spans="1:5" x14ac:dyDescent="0.25">
      <c r="A315" t="str">
        <f>HYPERLINK("https://www.773grp.com/globalSearch/LMH6612MA-NOPB/page-1", "LMH6612MA-NOPB")</f>
        <v>LMH6612MA-NOPB</v>
      </c>
      <c r="B315" s="3" t="str">
        <f>HYPERLINK("https://www.773grp.com/manufacturer/national-semiconductor?pageNo=46", "National Semiconductor")</f>
        <v>National Semiconductor</v>
      </c>
      <c r="C315" s="6">
        <v>325</v>
      </c>
      <c r="D315" s="7">
        <v>3.21</v>
      </c>
    </row>
    <row r="316" spans="1:5" x14ac:dyDescent="0.25">
      <c r="A316" t="str">
        <f>HYPERLINK("https://www.773grp.com/globalSearch/LMH6654MF/page-1", "LMH6654MF")</f>
        <v>LMH6654MF</v>
      </c>
      <c r="B316" s="3" t="str">
        <f>HYPERLINK("https://www.773grp.com/manufacturer/national-semiconductor?pageNo=47", "National Semiconductor")</f>
        <v>National Semiconductor</v>
      </c>
      <c r="C316" s="6">
        <v>3000</v>
      </c>
      <c r="D316" s="7">
        <v>3.21</v>
      </c>
    </row>
    <row r="317" spans="1:5" x14ac:dyDescent="0.25">
      <c r="A317" t="str">
        <f>HYPERLINK("https://www.773grp.com/globalSearch/LMP2231AMA/page-1", "LMP2231AMA")</f>
        <v>LMP2231AMA</v>
      </c>
      <c r="B317" s="3" t="str">
        <f>HYPERLINK("https://www.773grp.com/manufacturer/national-semiconductor?pageNo=48", "National Semiconductor")</f>
        <v>National Semiconductor</v>
      </c>
      <c r="C317" s="6">
        <v>1235</v>
      </c>
      <c r="D317" s="7">
        <v>3.21</v>
      </c>
      <c r="E317" t="s">
        <v>13</v>
      </c>
    </row>
    <row r="318" spans="1:5" x14ac:dyDescent="0.25">
      <c r="A318" t="str">
        <f>HYPERLINK("https://www.773grp.com/globalSearch/LMP7300MME-NOPB/page-1", "LMP7300MME-NOPB")</f>
        <v>LMP7300MME-NOPB</v>
      </c>
      <c r="B318" s="3" t="str">
        <f>HYPERLINK("https://www.773grp.com/manufacturer/national-semiconductor?pageNo=49", "National Semiconductor")</f>
        <v>National Semiconductor</v>
      </c>
      <c r="C318" s="6">
        <v>250</v>
      </c>
      <c r="D318" s="7">
        <v>3.21</v>
      </c>
    </row>
    <row r="319" spans="1:5" x14ac:dyDescent="0.25">
      <c r="A319" t="str">
        <f>HYPERLINK("https://www.773grp.com/globalSearch/LMP7718MAE-NOPB/page-1", "LMP7718MAE-NOPB")</f>
        <v>LMP7718MAE-NOPB</v>
      </c>
      <c r="B319" s="3" t="str">
        <f>HYPERLINK("https://www.773grp.com/manufacturer/national-semiconductor?pageNo=50", "National Semiconductor")</f>
        <v>National Semiconductor</v>
      </c>
      <c r="C319" s="6">
        <v>12500</v>
      </c>
      <c r="D319" s="7">
        <v>3.21</v>
      </c>
    </row>
    <row r="320" spans="1:5" x14ac:dyDescent="0.25">
      <c r="A320" t="str">
        <f>HYPERLINK("https://www.773grp.com/globalSearch/LMP7718MME-NOPB/page-1", "LMP7718MME-NOPB")</f>
        <v>LMP7718MME-NOPB</v>
      </c>
      <c r="B320" s="3" t="str">
        <f>HYPERLINK("https://www.773grp.com/manufacturer/national-semiconductor?pageNo=51", "National Semiconductor")</f>
        <v>National Semiconductor</v>
      </c>
      <c r="C320" s="6">
        <v>12750</v>
      </c>
      <c r="D320" s="7">
        <v>3.21</v>
      </c>
    </row>
    <row r="321" spans="1:5" x14ac:dyDescent="0.25">
      <c r="A321" t="str">
        <f>HYPERLINK("https://www.773grp.com/globalSearch/LMR12010YMKE-NOPB/page-1", "LMR12010YMKE-NOPB")</f>
        <v>LMR12010YMKE-NOPB</v>
      </c>
      <c r="B321" s="3" t="str">
        <f>HYPERLINK("https://www.773grp.com/manufacturer/national-semiconductor?pageNo=52", "National Semiconductor")</f>
        <v>National Semiconductor</v>
      </c>
      <c r="C321" s="6">
        <v>250</v>
      </c>
      <c r="D321" s="7">
        <v>3.21</v>
      </c>
    </row>
    <row r="322" spans="1:5" x14ac:dyDescent="0.25">
      <c r="A322" t="str">
        <f>HYPERLINK("https://www.773grp.com/globalSearch/LMV2011MA-NOPB/page-1", "LMV2011MA-NOPB")</f>
        <v>LMV2011MA-NOPB</v>
      </c>
      <c r="B322" s="3" t="str">
        <f>HYPERLINK("https://www.773grp.com/manufacturer/national-semiconductor?pageNo=53", "National Semiconductor")</f>
        <v>National Semiconductor</v>
      </c>
      <c r="C322" s="6">
        <v>477</v>
      </c>
      <c r="D322" s="7">
        <v>3.21</v>
      </c>
    </row>
    <row r="323" spans="1:5" x14ac:dyDescent="0.25">
      <c r="A323" t="str">
        <f>HYPERLINK("https://www.773grp.com/globalSearch/LMV751M5/page-1", "LMV751M5")</f>
        <v>LMV751M5</v>
      </c>
      <c r="B323" s="3" t="str">
        <f>HYPERLINK("https://www.773grp.com/manufacturer/national-semiconductor?pageNo=54", "National Semiconductor")</f>
        <v>National Semiconductor</v>
      </c>
      <c r="C323" s="6">
        <v>1000</v>
      </c>
      <c r="D323" s="7">
        <v>3.21</v>
      </c>
      <c r="E323" t="s">
        <v>13</v>
      </c>
    </row>
    <row r="324" spans="1:5" x14ac:dyDescent="0.25">
      <c r="A324" t="str">
        <f>HYPERLINK("https://www.773grp.com/globalSearch/LP3871ES-2.5-NOPB/page-1", "LP3871ES-2.5-NOPB")</f>
        <v>LP3871ES-2.5-NOPB</v>
      </c>
      <c r="B324" s="3" t="str">
        <f>HYPERLINK("https://www.773grp.com/manufacturer/national-semiconductor?pageNo=55", "National Semiconductor")</f>
        <v>National Semiconductor</v>
      </c>
      <c r="C324" s="6">
        <v>765</v>
      </c>
      <c r="D324" s="7">
        <v>3.21</v>
      </c>
      <c r="E324" t="s">
        <v>19</v>
      </c>
    </row>
    <row r="325" spans="1:5" x14ac:dyDescent="0.25">
      <c r="A325" t="str">
        <f>HYPERLINK("https://www.773grp.com/globalSearch/LP3871ES-3.3-NOPB/page-1", "LP3871ES-3.3-NOPB")</f>
        <v>LP3871ES-3.3-NOPB</v>
      </c>
      <c r="B325" s="3" t="str">
        <f>HYPERLINK("https://www.773grp.com/manufacturer/national-semiconductor?pageNo=56", "National Semiconductor")</f>
        <v>National Semiconductor</v>
      </c>
      <c r="C325" s="6">
        <v>250</v>
      </c>
      <c r="D325" s="7">
        <v>3.21</v>
      </c>
      <c r="E325" t="s">
        <v>19</v>
      </c>
    </row>
    <row r="326" spans="1:5" x14ac:dyDescent="0.25">
      <c r="A326" t="str">
        <f>HYPERLINK("https://www.773grp.com/globalSearch/LP3874ES-ADJ-NOPB/page-1", "LP3874ES-ADJ-NOPB")</f>
        <v>LP3874ES-ADJ-NOPB</v>
      </c>
      <c r="B326" s="3" t="str">
        <f>HYPERLINK("https://www.773grp.com/manufacturer/national-semiconductor?pageNo=57", "National Semiconductor")</f>
        <v>National Semiconductor</v>
      </c>
      <c r="C326" s="6">
        <v>33</v>
      </c>
      <c r="D326" s="7">
        <v>3.21</v>
      </c>
    </row>
    <row r="327" spans="1:5" x14ac:dyDescent="0.25">
      <c r="A327" t="str">
        <f>HYPERLINK("https://www.773grp.com/globalSearch/LP38842S-0.8-NOPB/page-1", "LP38842S-0.8-NOPB")</f>
        <v>LP38842S-0.8-NOPB</v>
      </c>
      <c r="B327" s="3" t="str">
        <f>HYPERLINK("https://www.773grp.com/manufacturer/national-semiconductor?pageNo=58", "National Semiconductor")</f>
        <v>National Semiconductor</v>
      </c>
      <c r="C327" s="6">
        <v>2810</v>
      </c>
      <c r="D327" s="7">
        <v>3.21</v>
      </c>
      <c r="E327" t="s">
        <v>19</v>
      </c>
    </row>
    <row r="328" spans="1:5" x14ac:dyDescent="0.25">
      <c r="A328" t="str">
        <f>HYPERLINK("https://www.773grp.com/globalSearch/LP38842S-1.2-NOPB/page-1", "LP38842S-1.2-NOPB")</f>
        <v>LP38842S-1.2-NOPB</v>
      </c>
      <c r="B328" s="3" t="str">
        <f>HYPERLINK("https://www.773grp.com/manufacturer/national-semiconductor?pageNo=59", "National Semiconductor")</f>
        <v>National Semiconductor</v>
      </c>
      <c r="C328" s="6">
        <v>106</v>
      </c>
      <c r="D328" s="7">
        <v>3.21</v>
      </c>
      <c r="E328" t="s">
        <v>19</v>
      </c>
    </row>
    <row r="329" spans="1:5" x14ac:dyDescent="0.25">
      <c r="A329" t="str">
        <f>HYPERLINK("https://www.773grp.com/globalSearch/LP38842S-1.5-NOPB/page-1", "LP38842S-1.5-NOPB")</f>
        <v>LP38842S-1.5-NOPB</v>
      </c>
      <c r="B329" s="3" t="str">
        <f>HYPERLINK("https://www.773grp.com/manufacturer/national-semiconductor?pageNo=60", "National Semiconductor")</f>
        <v>National Semiconductor</v>
      </c>
      <c r="C329" s="6">
        <v>942</v>
      </c>
      <c r="D329" s="7">
        <v>3.21</v>
      </c>
      <c r="E329" t="s">
        <v>19</v>
      </c>
    </row>
    <row r="330" spans="1:5" x14ac:dyDescent="0.25">
      <c r="A330" t="str">
        <f>HYPERLINK("https://www.773grp.com/globalSearch/LP8545SQE-NOPB/page-1", "LP8545SQE-NOPB")</f>
        <v>LP8545SQE-NOPB</v>
      </c>
      <c r="B330" s="3" t="str">
        <f>HYPERLINK("https://www.773grp.com/manufacturer/national-semiconductor?pageNo=61", "National Semiconductor")</f>
        <v>National Semiconductor</v>
      </c>
      <c r="C330" s="6">
        <v>1238</v>
      </c>
      <c r="D330" s="7">
        <v>3.21</v>
      </c>
    </row>
    <row r="331" spans="1:5" x14ac:dyDescent="0.25">
      <c r="A331" t="str">
        <f>HYPERLINK("https://www.773grp.com/globalSearch/SN74ABT833NT/page-1", "SN74ABT833NT")</f>
        <v>SN74ABT833NT</v>
      </c>
      <c r="B331" s="3" t="str">
        <f>HYPERLINK("https://www.773grp.com/manufacturer/national-semiconductor?pageNo=62", "National Semiconductor")</f>
        <v>National Semiconductor</v>
      </c>
      <c r="C331" s="6">
        <v>240</v>
      </c>
      <c r="D331" s="7">
        <v>3.21</v>
      </c>
    </row>
    <row r="332" spans="1:5" x14ac:dyDescent="0.25">
      <c r="A332" t="str">
        <f>HYPERLINK("https://www.773grp.com/globalSearch/SN74AVCA406GQCR/page-1", "SN74AVCA406GQCR")</f>
        <v>SN74AVCA406GQCR</v>
      </c>
      <c r="B332" s="3" t="str">
        <f>HYPERLINK("https://www.773grp.com/manufacturer/national-semiconductor?pageNo=63", "National Semiconductor")</f>
        <v>National Semiconductor</v>
      </c>
      <c r="C332" s="6">
        <v>2500</v>
      </c>
      <c r="D332" s="7">
        <v>3.21</v>
      </c>
    </row>
    <row r="333" spans="1:5" x14ac:dyDescent="0.25">
      <c r="A333" t="str">
        <f>HYPERLINK("https://www.773grp.com/globalSearch/54LS174DM/page-1", "54LS174DM")</f>
        <v>54LS174DM</v>
      </c>
      <c r="B333" s="3" t="str">
        <f>HYPERLINK("https://www.773grp.com/manufacturer/national-semiconductor?pageNo=64", "National Semiconductor")</f>
        <v>National Semiconductor</v>
      </c>
      <c r="C333" s="6">
        <v>848</v>
      </c>
      <c r="D333" s="7">
        <v>3.24</v>
      </c>
    </row>
    <row r="334" spans="1:5" x14ac:dyDescent="0.25">
      <c r="A334" t="str">
        <f>HYPERLINK("https://www.773grp.com/globalSearch/54LS174J-883/page-1", "54LS174J-883")</f>
        <v>54LS174J-883</v>
      </c>
      <c r="B334" s="3" t="str">
        <f>HYPERLINK("https://www.773grp.com/manufacturer/national-semiconductor?pageNo=65", "National Semiconductor")</f>
        <v>National Semiconductor</v>
      </c>
      <c r="C334" s="6">
        <v>166</v>
      </c>
      <c r="D334" s="7">
        <v>3.24</v>
      </c>
    </row>
    <row r="335" spans="1:5" x14ac:dyDescent="0.25">
      <c r="A335" t="str">
        <f>HYPERLINK("https://www.773grp.com/globalSearch/54LS193DM/page-1", "54LS193DM")</f>
        <v>54LS193DM</v>
      </c>
      <c r="B335" s="3" t="str">
        <f>HYPERLINK("https://www.773grp.com/manufacturer/national-semiconductor?pageNo=66", "National Semiconductor")</f>
        <v>National Semiconductor</v>
      </c>
      <c r="C335" s="6">
        <v>858</v>
      </c>
      <c r="D335" s="7">
        <v>3.24</v>
      </c>
    </row>
    <row r="336" spans="1:5" x14ac:dyDescent="0.25">
      <c r="A336" t="str">
        <f>HYPERLINK("https://www.773grp.com/globalSearch/54LS193DMQB/page-1", "54LS193DMQB")</f>
        <v>54LS193DMQB</v>
      </c>
      <c r="B336" s="3" t="str">
        <f>HYPERLINK("https://www.773grp.com/manufacturer/national-semiconductor?pageNo=67", "National Semiconductor")</f>
        <v>National Semiconductor</v>
      </c>
      <c r="C336" s="6">
        <v>1869</v>
      </c>
      <c r="D336" s="7">
        <v>3.24</v>
      </c>
      <c r="E336" t="s">
        <v>26</v>
      </c>
    </row>
    <row r="337" spans="1:5" x14ac:dyDescent="0.25">
      <c r="A337" t="str">
        <f>HYPERLINK("https://www.773grp.com/globalSearch/74F194DC/page-1", "74F194DC")</f>
        <v>74F194DC</v>
      </c>
      <c r="B337" s="3" t="str">
        <f>HYPERLINK("https://www.773grp.com/manufacturer/national-semiconductor?pageNo=68", "National Semiconductor")</f>
        <v>National Semiconductor</v>
      </c>
      <c r="C337" s="6">
        <v>432</v>
      </c>
      <c r="D337" s="7">
        <v>3.24</v>
      </c>
      <c r="E337" t="s">
        <v>32</v>
      </c>
    </row>
    <row r="338" spans="1:5" x14ac:dyDescent="0.25">
      <c r="A338" t="str">
        <f>HYPERLINK("https://www.773grp.com/globalSearch/DAC121C081CIMK-NOPB/page-1", "DAC121C081CIMK-NOPB")</f>
        <v>DAC121C081CIMK-NOPB</v>
      </c>
      <c r="B338" s="3" t="str">
        <f>HYPERLINK("https://www.773grp.com/manufacturer/national-semiconductor?pageNo=69", "National Semiconductor")</f>
        <v>National Semiconductor</v>
      </c>
      <c r="C338" s="6">
        <v>2657</v>
      </c>
      <c r="D338" s="7">
        <v>3.24</v>
      </c>
    </row>
    <row r="339" spans="1:5" x14ac:dyDescent="0.25">
      <c r="A339" t="str">
        <f>HYPERLINK("https://www.773grp.com/globalSearch/DAC121C081CISD-NOPB/page-1", "DAC121C081CISD-NOPB")</f>
        <v>DAC121C081CISD-NOPB</v>
      </c>
      <c r="B339" s="3" t="str">
        <f>HYPERLINK("https://www.773grp.com/manufacturer/national-semiconductor?pageNo=70", "National Semiconductor")</f>
        <v>National Semiconductor</v>
      </c>
      <c r="C339" s="6">
        <v>2000</v>
      </c>
      <c r="D339" s="7">
        <v>3.24</v>
      </c>
    </row>
    <row r="340" spans="1:5" x14ac:dyDescent="0.25">
      <c r="A340" t="str">
        <f>HYPERLINK("https://www.773grp.com/globalSearch/DAC121C085CIMM-NOPB/page-1", "DAC121C085CIMM-NOPB")</f>
        <v>DAC121C085CIMM-NOPB</v>
      </c>
      <c r="B340" s="3" t="str">
        <f>HYPERLINK("https://www.773grp.com/manufacturer/national-semiconductor?pageNo=71", "National Semiconductor")</f>
        <v>National Semiconductor</v>
      </c>
      <c r="C340" s="6">
        <v>11000</v>
      </c>
      <c r="D340" s="7">
        <v>3.24</v>
      </c>
    </row>
    <row r="341" spans="1:5" x14ac:dyDescent="0.25">
      <c r="A341" t="str">
        <f>HYPERLINK("https://www.773grp.com/globalSearch/DAC121S101CIMK-NOPB/page-1", "DAC121S101CIMK-NOPB")</f>
        <v>DAC121S101CIMK-NOPB</v>
      </c>
      <c r="B341" s="3" t="str">
        <f>HYPERLINK("https://www.773grp.com/manufacturer/national-semiconductor?pageNo=72", "National Semiconductor")</f>
        <v>National Semiconductor</v>
      </c>
      <c r="C341" s="6">
        <v>700</v>
      </c>
      <c r="D341" s="7">
        <v>3.24</v>
      </c>
      <c r="E341" t="s">
        <v>33</v>
      </c>
    </row>
    <row r="342" spans="1:5" x14ac:dyDescent="0.25">
      <c r="A342" t="str">
        <f>HYPERLINK("https://www.773grp.com/globalSearch/DAC121S101CIMKX-NOPB/page-1", "DAC121S101CIMKX-NOPB")</f>
        <v>DAC121S101CIMKX-NOPB</v>
      </c>
      <c r="B342" s="3" t="str">
        <f>HYPERLINK("https://www.773grp.com/manufacturer/national-semiconductor?pageNo=73", "National Semiconductor")</f>
        <v>National Semiconductor</v>
      </c>
      <c r="C342" s="6">
        <v>3000</v>
      </c>
      <c r="D342" s="7">
        <v>3.24</v>
      </c>
      <c r="E342" t="s">
        <v>33</v>
      </c>
    </row>
    <row r="343" spans="1:5" x14ac:dyDescent="0.25">
      <c r="A343" t="str">
        <f>HYPERLINK("https://www.773grp.com/globalSearch/DAC121S101CIMM-NOPB/page-1", "DAC121S101CIMM-NOPB")</f>
        <v>DAC121S101CIMM-NOPB</v>
      </c>
      <c r="B343" s="3" t="str">
        <f>HYPERLINK("https://www.773grp.com/manufacturer/national-semiconductor?pageNo=74", "National Semiconductor")</f>
        <v>National Semiconductor</v>
      </c>
      <c r="C343" s="6">
        <v>6000</v>
      </c>
      <c r="D343" s="7">
        <v>3.24</v>
      </c>
      <c r="E343" t="s">
        <v>33</v>
      </c>
    </row>
    <row r="344" spans="1:5" x14ac:dyDescent="0.25">
      <c r="A344" t="str">
        <f>HYPERLINK("https://www.773grp.com/globalSearch/DS36C278TM/page-1", "DS36C278TM")</f>
        <v>DS36C278TM</v>
      </c>
      <c r="B344" s="3" t="str">
        <f>HYPERLINK("https://www.773grp.com/manufacturer/national-semiconductor?pageNo=75", "National Semiconductor")</f>
        <v>National Semiconductor</v>
      </c>
      <c r="C344" s="6">
        <v>96</v>
      </c>
      <c r="D344" s="7">
        <v>3.24</v>
      </c>
      <c r="E344" t="s">
        <v>21</v>
      </c>
    </row>
    <row r="345" spans="1:5" x14ac:dyDescent="0.25">
      <c r="A345" t="str">
        <f>HYPERLINK("https://www.773grp.com/globalSearch/LF398AN-NOPB/page-1", "LF398AN-NOPB")</f>
        <v>LF398AN-NOPB</v>
      </c>
      <c r="B345" s="3" t="str">
        <f>HYPERLINK("https://www.773grp.com/manufacturer/national-semiconductor?pageNo=76", "National Semiconductor")</f>
        <v>National Semiconductor</v>
      </c>
      <c r="C345" s="6">
        <v>363</v>
      </c>
      <c r="D345" s="7">
        <v>3.24</v>
      </c>
      <c r="E345" t="s">
        <v>6</v>
      </c>
    </row>
    <row r="346" spans="1:5" x14ac:dyDescent="0.25">
      <c r="A346" t="str">
        <f>HYPERLINK("https://www.773grp.com/globalSearch/LM2735XMF-NOPB/page-1", "LM2735XMF-NOPB")</f>
        <v>LM2735XMF-NOPB</v>
      </c>
      <c r="B346" s="3" t="str">
        <f>HYPERLINK("https://www.773grp.com/manufacturer/national-semiconductor?pageNo=77", "National Semiconductor")</f>
        <v>National Semiconductor</v>
      </c>
      <c r="C346" s="6">
        <v>3473</v>
      </c>
      <c r="D346" s="7">
        <v>3.24</v>
      </c>
      <c r="E346" t="s">
        <v>7</v>
      </c>
    </row>
    <row r="347" spans="1:5" x14ac:dyDescent="0.25">
      <c r="A347" t="str">
        <f>HYPERLINK("https://www.773grp.com/globalSearch/LM2735XMY/page-1", "LM2735XMY")</f>
        <v>LM2735XMY</v>
      </c>
      <c r="B347" s="3" t="str">
        <f>HYPERLINK("https://www.773grp.com/manufacturer/national-semiconductor?pageNo=78", "National Semiconductor")</f>
        <v>National Semiconductor</v>
      </c>
      <c r="C347" s="6">
        <v>984</v>
      </c>
      <c r="D347" s="7">
        <v>3.24</v>
      </c>
      <c r="E347" t="s">
        <v>7</v>
      </c>
    </row>
    <row r="348" spans="1:5" x14ac:dyDescent="0.25">
      <c r="A348" t="str">
        <f>HYPERLINK("https://www.773grp.com/globalSearch/LM2735XMY-NOPB/page-1", "LM2735XMY-NOPB")</f>
        <v>LM2735XMY-NOPB</v>
      </c>
      <c r="B348" s="3" t="str">
        <f>HYPERLINK("https://www.773grp.com/manufacturer/national-semiconductor?pageNo=79", "National Semiconductor")</f>
        <v>National Semiconductor</v>
      </c>
      <c r="C348" s="6">
        <v>1000</v>
      </c>
      <c r="D348" s="7">
        <v>3.24</v>
      </c>
      <c r="E348" t="s">
        <v>7</v>
      </c>
    </row>
    <row r="349" spans="1:5" x14ac:dyDescent="0.25">
      <c r="A349" t="str">
        <f>HYPERLINK("https://www.773grp.com/globalSearch/LM2735XSD-NOPB/page-1", "LM2735XSD-NOPB")</f>
        <v>LM2735XSD-NOPB</v>
      </c>
      <c r="B349" s="3" t="str">
        <f>HYPERLINK("https://www.773grp.com/manufacturer/national-semiconductor?pageNo=80", "National Semiconductor")</f>
        <v>National Semiconductor</v>
      </c>
      <c r="C349" s="6">
        <v>4000</v>
      </c>
      <c r="D349" s="7">
        <v>3.24</v>
      </c>
      <c r="E349" t="s">
        <v>7</v>
      </c>
    </row>
    <row r="350" spans="1:5" x14ac:dyDescent="0.25">
      <c r="A350" t="str">
        <f>HYPERLINK("https://www.773grp.com/globalSearch/LM2735YMF-NOPB/page-1", "LM2735YMF-NOPB")</f>
        <v>LM2735YMF-NOPB</v>
      </c>
      <c r="B350" s="3" t="str">
        <f>HYPERLINK("https://www.773grp.com/manufacturer/national-semiconductor?pageNo=81", "National Semiconductor")</f>
        <v>National Semiconductor</v>
      </c>
      <c r="C350" s="6">
        <v>1375</v>
      </c>
      <c r="D350" s="7">
        <v>3.24</v>
      </c>
      <c r="E350" t="s">
        <v>7</v>
      </c>
    </row>
    <row r="351" spans="1:5" x14ac:dyDescent="0.25">
      <c r="A351" t="str">
        <f>HYPERLINK("https://www.773grp.com/globalSearch/LM2735YMY-NOPB/page-1", "LM2735YMY-NOPB")</f>
        <v>LM2735YMY-NOPB</v>
      </c>
      <c r="B351" s="3" t="str">
        <f>HYPERLINK("https://www.773grp.com/manufacturer/national-semiconductor?pageNo=82", "National Semiconductor")</f>
        <v>National Semiconductor</v>
      </c>
      <c r="C351" s="6">
        <v>976</v>
      </c>
      <c r="D351" s="7">
        <v>3.24</v>
      </c>
      <c r="E351" t="s">
        <v>7</v>
      </c>
    </row>
    <row r="352" spans="1:5" x14ac:dyDescent="0.25">
      <c r="A352" t="str">
        <f>HYPERLINK("https://www.773grp.com/globalSearch/LM2735YSD-NOPB/page-1", "LM2735YSD-NOPB")</f>
        <v>LM2735YSD-NOPB</v>
      </c>
      <c r="B352" s="3" t="str">
        <f>HYPERLINK("https://www.773grp.com/manufacturer/national-semiconductor?pageNo=83", "National Semiconductor")</f>
        <v>National Semiconductor</v>
      </c>
      <c r="C352" s="6">
        <v>1248</v>
      </c>
      <c r="D352" s="7">
        <v>3.24</v>
      </c>
      <c r="E352" t="s">
        <v>7</v>
      </c>
    </row>
    <row r="353" spans="1:5" x14ac:dyDescent="0.25">
      <c r="A353" t="str">
        <f>HYPERLINK("https://www.773grp.com/globalSearch/LM2832XMY-NOPB/page-1", "LM2832XMY-NOPB")</f>
        <v>LM2832XMY-NOPB</v>
      </c>
      <c r="B353" s="3" t="str">
        <f>HYPERLINK("https://www.773grp.com/manufacturer/national-semiconductor?pageNo=84", "National Semiconductor")</f>
        <v>National Semiconductor</v>
      </c>
      <c r="C353" s="6">
        <v>7633</v>
      </c>
      <c r="D353" s="7">
        <v>3.24</v>
      </c>
      <c r="E353" t="s">
        <v>7</v>
      </c>
    </row>
    <row r="354" spans="1:5" x14ac:dyDescent="0.25">
      <c r="A354" t="str">
        <f>HYPERLINK("https://www.773grp.com/globalSearch/LM2832YMY-NOPB/page-1", "LM2832YMY-NOPB")</f>
        <v>LM2832YMY-NOPB</v>
      </c>
      <c r="B354" s="3" t="str">
        <f>HYPERLINK("https://www.773grp.com/manufacturer/national-semiconductor?pageNo=85", "National Semiconductor")</f>
        <v>National Semiconductor</v>
      </c>
      <c r="C354" s="6">
        <v>2489</v>
      </c>
      <c r="D354" s="7">
        <v>3.24</v>
      </c>
      <c r="E354" t="s">
        <v>7</v>
      </c>
    </row>
    <row r="355" spans="1:5" x14ac:dyDescent="0.25">
      <c r="A355" t="str">
        <f>HYPERLINK("https://www.773grp.com/globalSearch/LM2832YSD-NOPB/page-1", "LM2832YSD-NOPB")</f>
        <v>LM2832YSD-NOPB</v>
      </c>
      <c r="B355" s="3" t="str">
        <f>HYPERLINK("https://www.773grp.com/manufacturer/national-semiconductor?pageNo=86", "National Semiconductor")</f>
        <v>National Semiconductor</v>
      </c>
      <c r="C355" s="6">
        <v>1000</v>
      </c>
      <c r="D355" s="7">
        <v>3.24</v>
      </c>
      <c r="E355" t="s">
        <v>7</v>
      </c>
    </row>
    <row r="356" spans="1:5" x14ac:dyDescent="0.25">
      <c r="A356" t="str">
        <f>HYPERLINK("https://www.773grp.com/globalSearch/LM2832ZMY-NOPB/page-1", "LM2832ZMY-NOPB")</f>
        <v>LM2832ZMY-NOPB</v>
      </c>
      <c r="B356" s="3" t="str">
        <f>HYPERLINK("https://www.773grp.com/manufacturer/national-semiconductor?pageNo=87", "National Semiconductor")</f>
        <v>National Semiconductor</v>
      </c>
      <c r="C356" s="6">
        <v>3555</v>
      </c>
      <c r="D356" s="7">
        <v>3.24</v>
      </c>
      <c r="E356" t="s">
        <v>7</v>
      </c>
    </row>
    <row r="357" spans="1:5" x14ac:dyDescent="0.25">
      <c r="A357" t="str">
        <f>HYPERLINK("https://www.773grp.com/globalSearch/LM2832ZSD-NOPB/page-1", "LM2832ZSD-NOPB")</f>
        <v>LM2832ZSD-NOPB</v>
      </c>
      <c r="B357" s="3" t="str">
        <f>HYPERLINK("https://www.773grp.com/manufacturer/national-semiconductor?pageNo=88", "National Semiconductor")</f>
        <v>National Semiconductor</v>
      </c>
      <c r="C357" s="6">
        <v>1000</v>
      </c>
      <c r="D357" s="7">
        <v>3.24</v>
      </c>
      <c r="E357" t="s">
        <v>7</v>
      </c>
    </row>
    <row r="358" spans="1:5" x14ac:dyDescent="0.25">
      <c r="A358" t="str">
        <f>HYPERLINK("https://www.773grp.com/globalSearch/LM2841YMK-ADJL-NOPB/page-1", "LM2841YMK-ADJL-NOPB")</f>
        <v>LM2841YMK-ADJL-NOPB</v>
      </c>
      <c r="B358" s="3" t="str">
        <f>HYPERLINK("https://www.773grp.com/manufacturer/national-semiconductor?pageNo=89", "National Semiconductor")</f>
        <v>National Semiconductor</v>
      </c>
      <c r="C358" s="6">
        <v>650</v>
      </c>
      <c r="D358" s="7">
        <v>3.24</v>
      </c>
      <c r="E358" t="s">
        <v>7</v>
      </c>
    </row>
    <row r="359" spans="1:5" x14ac:dyDescent="0.25">
      <c r="A359" t="str">
        <f>HYPERLINK("https://www.773grp.com/globalSearch/LM285BYM-NOPB/page-1", "LM285BYM-NOPB")</f>
        <v>LM285BYM-NOPB</v>
      </c>
      <c r="B359" s="3" t="str">
        <f>HYPERLINK("https://www.773grp.com/manufacturer/national-semiconductor?pageNo=90", "National Semiconductor")</f>
        <v>National Semiconductor</v>
      </c>
      <c r="C359" s="6">
        <v>250</v>
      </c>
      <c r="D359" s="7">
        <v>3.24</v>
      </c>
      <c r="E359" t="s">
        <v>17</v>
      </c>
    </row>
    <row r="360" spans="1:5" x14ac:dyDescent="0.25">
      <c r="A360" t="str">
        <f>HYPERLINK("https://www.773grp.com/globalSearch/LM2936DT-3.0/page-1", "LM2936DT-3.0")</f>
        <v>LM2936DT-3.0</v>
      </c>
      <c r="B360" s="3" t="str">
        <f>HYPERLINK("https://www.773grp.com/manufacturer/national-semiconductor?pageNo=91", "National Semiconductor")</f>
        <v>National Semiconductor</v>
      </c>
      <c r="C360" s="6">
        <v>208</v>
      </c>
      <c r="D360" s="7">
        <v>3.24</v>
      </c>
      <c r="E360" t="s">
        <v>19</v>
      </c>
    </row>
    <row r="361" spans="1:5" x14ac:dyDescent="0.25">
      <c r="A361" t="str">
        <f>HYPERLINK("https://www.773grp.com/globalSearch/LM2941CS/page-1", "LM2941CS")</f>
        <v>LM2941CS</v>
      </c>
      <c r="B361" s="3" t="str">
        <f>HYPERLINK("https://www.773grp.com/manufacturer/national-semiconductor?pageNo=92", "National Semiconductor")</f>
        <v>National Semiconductor</v>
      </c>
      <c r="C361" s="6">
        <v>2516</v>
      </c>
      <c r="D361" s="7">
        <v>3.24</v>
      </c>
      <c r="E361" t="s">
        <v>25</v>
      </c>
    </row>
    <row r="362" spans="1:5" x14ac:dyDescent="0.25">
      <c r="A362" t="str">
        <f>HYPERLINK("https://www.773grp.com/globalSearch/LM3410XMFE-NOPB/page-1", "LM3410XMFE-NOPB")</f>
        <v>LM3410XMFE-NOPB</v>
      </c>
      <c r="B362" s="3" t="str">
        <f>HYPERLINK("https://www.773grp.com/manufacturer/national-semiconductor?pageNo=93", "National Semiconductor")</f>
        <v>National Semiconductor</v>
      </c>
      <c r="C362" s="6">
        <v>500</v>
      </c>
      <c r="D362" s="7">
        <v>3.24</v>
      </c>
    </row>
    <row r="363" spans="1:5" x14ac:dyDescent="0.25">
      <c r="A363" t="str">
        <f>HYPERLINK("https://www.773grp.com/globalSearch/LM3410XMYE-NOPB/page-1", "LM3410XMYE-NOPB")</f>
        <v>LM3410XMYE-NOPB</v>
      </c>
      <c r="B363" s="3" t="str">
        <f>HYPERLINK("https://www.773grp.com/manufacturer/national-semiconductor?pageNo=94", "National Semiconductor")</f>
        <v>National Semiconductor</v>
      </c>
      <c r="C363" s="6">
        <v>300</v>
      </c>
      <c r="D363" s="7">
        <v>3.24</v>
      </c>
    </row>
    <row r="364" spans="1:5" x14ac:dyDescent="0.25">
      <c r="A364" t="str">
        <f>HYPERLINK("https://www.773grp.com/globalSearch/LM3410XSDE-NOPB/page-1", "LM3410XSDE-NOPB")</f>
        <v>LM3410XSDE-NOPB</v>
      </c>
      <c r="B364" s="3" t="str">
        <f>HYPERLINK("https://www.773grp.com/manufacturer/national-semiconductor?pageNo=95", "National Semiconductor")</f>
        <v>National Semiconductor</v>
      </c>
      <c r="C364" s="6">
        <v>750</v>
      </c>
      <c r="D364" s="7">
        <v>3.24</v>
      </c>
    </row>
    <row r="365" spans="1:5" x14ac:dyDescent="0.25">
      <c r="A365" t="str">
        <f>HYPERLINK("https://www.773grp.com/globalSearch/LM3410YMYE-NOPB/page-1", "LM3410YMYE-NOPB")</f>
        <v>LM3410YMYE-NOPB</v>
      </c>
      <c r="B365" s="3" t="str">
        <f>HYPERLINK("https://www.773grp.com/manufacturer/national-semiconductor?pageNo=96", "National Semiconductor")</f>
        <v>National Semiconductor</v>
      </c>
      <c r="C365" s="6">
        <v>750</v>
      </c>
      <c r="D365" s="7">
        <v>3.24</v>
      </c>
    </row>
    <row r="366" spans="1:5" x14ac:dyDescent="0.25">
      <c r="A366" t="str">
        <f>HYPERLINK("https://www.773grp.com/globalSearch/LM3410YSDE-NOPB/page-1", "LM3410YSDE-NOPB")</f>
        <v>LM3410YSDE-NOPB</v>
      </c>
      <c r="B366" s="3" t="str">
        <f>HYPERLINK("https://www.773grp.com/manufacturer/national-semiconductor?pageNo=97", "National Semiconductor")</f>
        <v>National Semiconductor</v>
      </c>
      <c r="C366" s="6">
        <v>748</v>
      </c>
      <c r="D366" s="7">
        <v>3.24</v>
      </c>
    </row>
    <row r="367" spans="1:5" x14ac:dyDescent="0.25">
      <c r="A367" t="str">
        <f>HYPERLINK("https://www.773grp.com/globalSearch/LM3421MHX-NOPB/page-1", "LM3421MHX-NOPB")</f>
        <v>LM3421MHX-NOPB</v>
      </c>
      <c r="B367" s="3" t="str">
        <f>HYPERLINK("https://www.773grp.com/manufacturer/national-semiconductor?pageNo=98", "National Semiconductor")</f>
        <v>National Semiconductor</v>
      </c>
      <c r="C367" s="6">
        <v>7500</v>
      </c>
      <c r="D367" s="7">
        <v>3.24</v>
      </c>
    </row>
    <row r="368" spans="1:5" x14ac:dyDescent="0.25">
      <c r="A368" t="str">
        <f>HYPERLINK("https://www.773grp.com/globalSearch/LM3500TL-21-NOPB/page-1", "LM3500TL-21-NOPB")</f>
        <v>LM3500TL-21-NOPB</v>
      </c>
      <c r="B368" s="3" t="str">
        <f>HYPERLINK("https://www.773grp.com/manufacturer/national-semiconductor?pageNo=99", "National Semiconductor")</f>
        <v>National Semiconductor</v>
      </c>
      <c r="C368" s="6">
        <v>223</v>
      </c>
      <c r="D368" s="7">
        <v>3.24</v>
      </c>
      <c r="E368" t="s">
        <v>10</v>
      </c>
    </row>
    <row r="369" spans="1:5" x14ac:dyDescent="0.25">
      <c r="A369" t="str">
        <f>HYPERLINK("https://www.773grp.com/globalSearch/LM3501TL-21-NOPB/page-1", "LM3501TL-21-NOPB")</f>
        <v>LM3501TL-21-NOPB</v>
      </c>
      <c r="B369" s="3" t="str">
        <f>HYPERLINK("https://www.773grp.com/manufacturer/national-semiconductor?pageNo=100", "National Semiconductor")</f>
        <v>National Semiconductor</v>
      </c>
      <c r="C369" s="6">
        <v>250</v>
      </c>
      <c r="D369" s="7">
        <v>3.24</v>
      </c>
    </row>
    <row r="370" spans="1:5" x14ac:dyDescent="0.25">
      <c r="A370" t="str">
        <f>HYPERLINK("https://www.773grp.com/globalSearch/LM361N-NOPB/page-1", "LM361N-NOPB")</f>
        <v>LM361N-NOPB</v>
      </c>
      <c r="B370" s="3" t="str">
        <f>HYPERLINK("https://www.773grp.com/manufacturer/national-semiconductor?pageNo=101", "National Semiconductor")</f>
        <v>National Semiconductor</v>
      </c>
      <c r="C370" s="6">
        <v>4621</v>
      </c>
      <c r="D370" s="7">
        <v>3.24</v>
      </c>
      <c r="E370" t="s">
        <v>9</v>
      </c>
    </row>
    <row r="371" spans="1:5" x14ac:dyDescent="0.25">
      <c r="A371" t="str">
        <f>HYPERLINK("https://www.773grp.com/globalSearch/LM4050AEM3-10/page-1", "LM4050AEM3-10")</f>
        <v>LM4050AEM3-10</v>
      </c>
      <c r="B371" s="3" t="str">
        <f>HYPERLINK("https://www.773grp.com/manufacturer/national-semiconductor?pageNo=102", "National Semiconductor")</f>
        <v>National Semiconductor</v>
      </c>
      <c r="C371" s="6">
        <v>1000</v>
      </c>
      <c r="D371" s="7">
        <v>3.24</v>
      </c>
      <c r="E371" t="s">
        <v>17</v>
      </c>
    </row>
    <row r="372" spans="1:5" x14ac:dyDescent="0.25">
      <c r="A372" t="str">
        <f>HYPERLINK("https://www.773grp.com/globalSearch/LM4050AEM3-10-NOPB/page-1", "LM4050AEM3-10-NOPB")</f>
        <v>LM4050AEM3-10-NOPB</v>
      </c>
      <c r="B372" s="3" t="str">
        <f>HYPERLINK("https://www.773grp.com/manufacturer/national-semiconductor?pageNo=103", "National Semiconductor")</f>
        <v>National Semiconductor</v>
      </c>
      <c r="C372" s="6">
        <v>1756</v>
      </c>
      <c r="D372" s="7">
        <v>3.24</v>
      </c>
      <c r="E372" t="s">
        <v>17</v>
      </c>
    </row>
    <row r="373" spans="1:5" x14ac:dyDescent="0.25">
      <c r="A373" t="str">
        <f>HYPERLINK("https://www.773grp.com/globalSearch/LM4050AEM3-2.0-NOPB/page-1", "LM4050AEM3-2.0-NOPB")</f>
        <v>LM4050AEM3-2.0-NOPB</v>
      </c>
      <c r="B373" s="3" t="str">
        <f>HYPERLINK("https://www.773grp.com/manufacturer/national-semiconductor?pageNo=104", "National Semiconductor")</f>
        <v>National Semiconductor</v>
      </c>
      <c r="C373" s="6">
        <v>920</v>
      </c>
      <c r="D373" s="7">
        <v>3.24</v>
      </c>
      <c r="E373" t="s">
        <v>17</v>
      </c>
    </row>
    <row r="374" spans="1:5" x14ac:dyDescent="0.25">
      <c r="A374" t="str">
        <f>HYPERLINK("https://www.773grp.com/globalSearch/LM4050AEM3-2.5-NOPB/page-1", "LM4050AEM3-2.5-NOPB")</f>
        <v>LM4050AEM3-2.5-NOPB</v>
      </c>
      <c r="B374" s="3" t="str">
        <f>HYPERLINK("https://www.773grp.com/manufacturer/national-semiconductor?pageNo=105", "National Semiconductor")</f>
        <v>National Semiconductor</v>
      </c>
      <c r="C374" s="6">
        <v>3934</v>
      </c>
      <c r="D374" s="7">
        <v>3.24</v>
      </c>
      <c r="E374" t="s">
        <v>17</v>
      </c>
    </row>
    <row r="375" spans="1:5" x14ac:dyDescent="0.25">
      <c r="A375" t="str">
        <f>HYPERLINK("https://www.773grp.com/globalSearch/LM4050AEM3-5.0-NOPB/page-1", "LM4050AEM3-5.0-NOPB")</f>
        <v>LM4050AEM3-5.0-NOPB</v>
      </c>
      <c r="B375" s="3" t="str">
        <f>HYPERLINK("https://www.773grp.com/manufacturer/national-semiconductor?pageNo=106", "National Semiconductor")</f>
        <v>National Semiconductor</v>
      </c>
      <c r="C375" s="6">
        <v>7002</v>
      </c>
      <c r="D375" s="7">
        <v>3.24</v>
      </c>
      <c r="E375" t="s">
        <v>17</v>
      </c>
    </row>
    <row r="376" spans="1:5" x14ac:dyDescent="0.25">
      <c r="A376" t="str">
        <f>HYPERLINK("https://www.773grp.com/globalSearch/LM4050AEM3X-2.5-NOPB/page-1", "LM4050AEM3X-2.5-NOPB")</f>
        <v>LM4050AEM3X-2.5-NOPB</v>
      </c>
      <c r="B376" s="3" t="str">
        <f>HYPERLINK("https://www.773grp.com/manufacturer/national-semiconductor?pageNo=107", "National Semiconductor")</f>
        <v>National Semiconductor</v>
      </c>
      <c r="C376" s="6">
        <v>45000</v>
      </c>
      <c r="D376" s="7">
        <v>3.24</v>
      </c>
      <c r="E376" t="s">
        <v>17</v>
      </c>
    </row>
    <row r="377" spans="1:5" x14ac:dyDescent="0.25">
      <c r="A377" t="str">
        <f>HYPERLINK("https://www.773grp.com/globalSearch/LM48555TL-NOPB/page-1", "LM48555TL-NOPB")</f>
        <v>LM48555TL-NOPB</v>
      </c>
      <c r="B377" s="3" t="str">
        <f>HYPERLINK("https://www.773grp.com/manufacturer/national-semiconductor?pageNo=108", "National Semiconductor")</f>
        <v>National Semiconductor</v>
      </c>
      <c r="C377" s="6">
        <v>624</v>
      </c>
      <c r="D377" s="7">
        <v>3.24</v>
      </c>
      <c r="E377" t="s">
        <v>18</v>
      </c>
    </row>
    <row r="378" spans="1:5" x14ac:dyDescent="0.25">
      <c r="A378" t="str">
        <f>HYPERLINK("https://www.773grp.com/globalSearch/LM5008MM-NOPB/page-1", "LM5008MM-NOPB")</f>
        <v>LM5008MM-NOPB</v>
      </c>
      <c r="B378" s="3" t="str">
        <f>HYPERLINK("https://www.773grp.com/manufacturer/national-semiconductor?pageNo=109", "National Semiconductor")</f>
        <v>National Semiconductor</v>
      </c>
      <c r="C378" s="6">
        <v>25096</v>
      </c>
      <c r="D378" s="7">
        <v>3.24</v>
      </c>
      <c r="E378" t="s">
        <v>7</v>
      </c>
    </row>
    <row r="379" spans="1:5" x14ac:dyDescent="0.25">
      <c r="A379" t="str">
        <f>HYPERLINK("https://www.773grp.com/globalSearch/LM5008SDC-NOPB/page-1", "LM5008SDC-NOPB")</f>
        <v>LM5008SDC-NOPB</v>
      </c>
      <c r="B379" s="3" t="str">
        <f>HYPERLINK("https://www.773grp.com/manufacturer/national-semiconductor?pageNo=110", "National Semiconductor")</f>
        <v>National Semiconductor</v>
      </c>
      <c r="C379" s="6">
        <v>2000</v>
      </c>
      <c r="D379" s="7">
        <v>3.24</v>
      </c>
    </row>
    <row r="380" spans="1:5" x14ac:dyDescent="0.25">
      <c r="A380" t="str">
        <f>HYPERLINK("https://www.773grp.com/globalSearch/LM5008SDCX-NOPB/page-1", "LM5008SDCX-NOPB")</f>
        <v>LM5008SDCX-NOPB</v>
      </c>
      <c r="B380" s="3" t="str">
        <f>HYPERLINK("https://www.773grp.com/manufacturer/national-semiconductor?pageNo=111", "National Semiconductor")</f>
        <v>National Semiconductor</v>
      </c>
      <c r="C380" s="6">
        <v>9000</v>
      </c>
      <c r="D380" s="7">
        <v>3.24</v>
      </c>
    </row>
    <row r="381" spans="1:5" x14ac:dyDescent="0.25">
      <c r="A381" t="str">
        <f>HYPERLINK("https://www.773grp.com/globalSearch/LM5025CMTCX-NOPB/page-1", "LM5025CMTCX-NOPB")</f>
        <v>LM5025CMTCX-NOPB</v>
      </c>
      <c r="B381" s="3" t="str">
        <f>HYPERLINK("https://www.773grp.com/manufacturer/national-semiconductor?pageNo=112", "National Semiconductor")</f>
        <v>National Semiconductor</v>
      </c>
      <c r="C381" s="6">
        <v>7500</v>
      </c>
      <c r="D381" s="7">
        <v>3.24</v>
      </c>
    </row>
    <row r="382" spans="1:5" x14ac:dyDescent="0.25">
      <c r="A382" t="str">
        <f>HYPERLINK("https://www.773grp.com/globalSearch/LM5101CMA-NOPB/page-1", "LM5101CMA-NOPB")</f>
        <v>LM5101CMA-NOPB</v>
      </c>
      <c r="B382" s="3" t="str">
        <f>HYPERLINK("https://www.773grp.com/manufacturer/national-semiconductor?pageNo=113", "National Semiconductor")</f>
        <v>National Semiconductor</v>
      </c>
      <c r="C382" s="6">
        <v>565</v>
      </c>
      <c r="D382" s="7">
        <v>3.24</v>
      </c>
    </row>
    <row r="383" spans="1:5" x14ac:dyDescent="0.25">
      <c r="A383" t="str">
        <f>HYPERLINK("https://www.773grp.com/globalSearch/LMC6036IM/page-1", "LMC6036IM")</f>
        <v>LMC6036IM</v>
      </c>
      <c r="B383" s="3" t="str">
        <f>HYPERLINK("https://www.773grp.com/manufacturer/national-semiconductor?pageNo=114", "National Semiconductor")</f>
        <v>National Semiconductor</v>
      </c>
      <c r="C383" s="6">
        <v>670</v>
      </c>
      <c r="D383" s="7">
        <v>3.24</v>
      </c>
      <c r="E383" t="s">
        <v>13</v>
      </c>
    </row>
    <row r="384" spans="1:5" x14ac:dyDescent="0.25">
      <c r="A384" t="str">
        <f>HYPERLINK("https://www.773grp.com/globalSearch/LMC6484AIMX-NOPB/page-1", "LMC6484AIMX-NOPB")</f>
        <v>LMC6484AIMX-NOPB</v>
      </c>
      <c r="B384" s="3" t="str">
        <f>HYPERLINK("https://www.773grp.com/manufacturer/national-semiconductor?pageNo=115", "National Semiconductor")</f>
        <v>National Semiconductor</v>
      </c>
      <c r="C384" s="6">
        <v>1633</v>
      </c>
      <c r="D384" s="7">
        <v>3.24</v>
      </c>
      <c r="E384" t="s">
        <v>13</v>
      </c>
    </row>
    <row r="385" spans="1:5" x14ac:dyDescent="0.25">
      <c r="A385" t="str">
        <f>HYPERLINK("https://www.773grp.com/globalSearch/LMH2180SDE-NOPB/page-1", "LMH2180SDE-NOPB")</f>
        <v>LMH2180SDE-NOPB</v>
      </c>
      <c r="B385" s="3" t="str">
        <f>HYPERLINK("https://www.773grp.com/manufacturer/national-semiconductor?pageNo=116", "National Semiconductor")</f>
        <v>National Semiconductor</v>
      </c>
      <c r="C385" s="6">
        <v>1360</v>
      </c>
      <c r="D385" s="7">
        <v>3.24</v>
      </c>
      <c r="E385" t="s">
        <v>34</v>
      </c>
    </row>
    <row r="386" spans="1:5" x14ac:dyDescent="0.25">
      <c r="A386" t="str">
        <f>HYPERLINK("https://www.773grp.com/globalSearch/LMS1585AIS-1.5/page-1", "LMS1585AIS-1.5")</f>
        <v>LMS1585AIS-1.5</v>
      </c>
      <c r="B386" s="3" t="str">
        <f>HYPERLINK("https://www.773grp.com/manufacturer/national-semiconductor?pageNo=117", "National Semiconductor")</f>
        <v>National Semiconductor</v>
      </c>
      <c r="C386" s="6">
        <v>382</v>
      </c>
      <c r="D386" s="7">
        <v>3.24</v>
      </c>
      <c r="E386" t="s">
        <v>19</v>
      </c>
    </row>
    <row r="387" spans="1:5" x14ac:dyDescent="0.25">
      <c r="A387" t="str">
        <f>HYPERLINK("https://www.773grp.com/globalSearch/LMV842MM-NOPB/page-1", "LMV842MM-NOPB")</f>
        <v>LMV842MM-NOPB</v>
      </c>
      <c r="B387" s="3" t="str">
        <f>HYPERLINK("https://www.773grp.com/manufacturer/national-semiconductor?pageNo=118", "National Semiconductor")</f>
        <v>National Semiconductor</v>
      </c>
      <c r="C387" s="6">
        <v>3800</v>
      </c>
      <c r="D387" s="7">
        <v>3.24</v>
      </c>
    </row>
    <row r="388" spans="1:5" x14ac:dyDescent="0.25">
      <c r="A388" t="str">
        <f>HYPERLINK("https://www.773grp.com/globalSearch/LMV854MTX-NOPB/page-1", "LMV854MTX-NOPB")</f>
        <v>LMV854MTX-NOPB</v>
      </c>
      <c r="B388" s="3" t="str">
        <f>HYPERLINK("https://www.773grp.com/manufacturer/national-semiconductor?pageNo=119", "National Semiconductor")</f>
        <v>National Semiconductor</v>
      </c>
      <c r="C388" s="6">
        <v>2500</v>
      </c>
      <c r="D388" s="7">
        <v>3.24</v>
      </c>
    </row>
    <row r="389" spans="1:5" x14ac:dyDescent="0.25">
      <c r="A389" t="str">
        <f>HYPERLINK("https://www.773grp.com/globalSearch/LP3875EMP-2.5-NOPB/page-1", "LP3875EMP-2.5-NOPB")</f>
        <v>LP3875EMP-2.5-NOPB</v>
      </c>
      <c r="B389" s="3" t="str">
        <f>HYPERLINK("https://www.773grp.com/manufacturer/national-semiconductor?pageNo=120", "National Semiconductor")</f>
        <v>National Semiconductor</v>
      </c>
      <c r="C389" s="6">
        <v>2437</v>
      </c>
      <c r="D389" s="7">
        <v>3.24</v>
      </c>
      <c r="E389" t="s">
        <v>19</v>
      </c>
    </row>
    <row r="390" spans="1:5" x14ac:dyDescent="0.25">
      <c r="A390" t="str">
        <f>HYPERLINK("https://www.773grp.com/globalSearch/LP3875EMP-3.3/page-1", "LP3875EMP-3.3")</f>
        <v>LP3875EMP-3.3</v>
      </c>
      <c r="B390" s="3" t="str">
        <f>HYPERLINK("https://www.773grp.com/manufacturer/national-semiconductor?pageNo=121", "National Semiconductor")</f>
        <v>National Semiconductor</v>
      </c>
      <c r="C390" s="6">
        <v>852</v>
      </c>
      <c r="D390" s="7">
        <v>3.24</v>
      </c>
      <c r="E390" t="s">
        <v>19</v>
      </c>
    </row>
    <row r="391" spans="1:5" x14ac:dyDescent="0.25">
      <c r="A391" t="str">
        <f>HYPERLINK("https://www.773grp.com/globalSearch/LP3875EMP-3.3-NOPB/page-1", "LP3875EMP-3.3-NOPB")</f>
        <v>LP3875EMP-3.3-NOPB</v>
      </c>
      <c r="B391" s="3" t="str">
        <f>HYPERLINK("https://www.773grp.com/manufacturer/national-semiconductor?pageNo=122", "National Semiconductor")</f>
        <v>National Semiconductor</v>
      </c>
      <c r="C391" s="6">
        <v>650</v>
      </c>
      <c r="D391" s="7">
        <v>3.24</v>
      </c>
      <c r="E391" t="s">
        <v>19</v>
      </c>
    </row>
    <row r="392" spans="1:5" x14ac:dyDescent="0.25">
      <c r="A392" t="str">
        <f>HYPERLINK("https://www.773grp.com/globalSearch/LP3875EMP-5.0-NOPB/page-1", "LP3875EMP-5.0-NOPB")</f>
        <v>LP3875EMP-5.0-NOPB</v>
      </c>
      <c r="B392" s="3" t="str">
        <f>HYPERLINK("https://www.773grp.com/manufacturer/national-semiconductor?pageNo=123", "National Semiconductor")</f>
        <v>National Semiconductor</v>
      </c>
      <c r="C392" s="6">
        <v>1579</v>
      </c>
      <c r="D392" s="7">
        <v>3.24</v>
      </c>
      <c r="E392" t="s">
        <v>19</v>
      </c>
    </row>
    <row r="393" spans="1:5" x14ac:dyDescent="0.25">
      <c r="A393" t="str">
        <f>HYPERLINK("https://www.773grp.com/globalSearch/LP3875EMP-ADJ/page-1", "LP3875EMP-ADJ")</f>
        <v>LP3875EMP-ADJ</v>
      </c>
      <c r="B393" s="3" t="str">
        <f>HYPERLINK("https://www.773grp.com/manufacturer/national-semiconductor?pageNo=124", "National Semiconductor")</f>
        <v>National Semiconductor</v>
      </c>
      <c r="C393" s="6">
        <v>698</v>
      </c>
      <c r="D393" s="7">
        <v>3.24</v>
      </c>
      <c r="E393" t="s">
        <v>25</v>
      </c>
    </row>
    <row r="394" spans="1:5" x14ac:dyDescent="0.25">
      <c r="A394" t="str">
        <f>HYPERLINK("https://www.773grp.com/globalSearch/LP3875EMPX-ADJ-NOPB/page-1", "LP3875EMPX-ADJ-NOPB")</f>
        <v>LP3875EMPX-ADJ-NOPB</v>
      </c>
      <c r="B394" s="3" t="str">
        <f>HYPERLINK("https://www.773grp.com/manufacturer/national-semiconductor?pageNo=125", "National Semiconductor")</f>
        <v>National Semiconductor</v>
      </c>
      <c r="C394" s="6">
        <v>4000</v>
      </c>
      <c r="D394" s="7">
        <v>3.24</v>
      </c>
      <c r="E394" t="s">
        <v>25</v>
      </c>
    </row>
    <row r="395" spans="1:5" x14ac:dyDescent="0.25">
      <c r="A395" t="str">
        <f>HYPERLINK("https://www.773grp.com/globalSearch/LP3952RL-NOPB/page-1", "LP3952RL-NOPB")</f>
        <v>LP3952RL-NOPB</v>
      </c>
      <c r="B395" s="3" t="str">
        <f>HYPERLINK("https://www.773grp.com/manufacturer/national-semiconductor?pageNo=126", "National Semiconductor")</f>
        <v>National Semiconductor</v>
      </c>
      <c r="C395" s="6">
        <v>499</v>
      </c>
      <c r="D395" s="7">
        <v>3.24</v>
      </c>
    </row>
    <row r="396" spans="1:5" x14ac:dyDescent="0.25">
      <c r="A396" t="str">
        <f>HYPERLINK("https://www.773grp.com/globalSearch/LP3965EMP-1.8-NOPB/page-1", "LP3965EMP-1.8-NOPB")</f>
        <v>LP3965EMP-1.8-NOPB</v>
      </c>
      <c r="B396" s="3" t="str">
        <f>HYPERLINK("https://www.773grp.com/manufacturer/national-semiconductor?pageNo=127", "National Semiconductor")</f>
        <v>National Semiconductor</v>
      </c>
      <c r="C396" s="6">
        <v>6800</v>
      </c>
      <c r="D396" s="7">
        <v>3.24</v>
      </c>
      <c r="E396" t="s">
        <v>19</v>
      </c>
    </row>
    <row r="397" spans="1:5" x14ac:dyDescent="0.25">
      <c r="A397" t="str">
        <f>HYPERLINK("https://www.773grp.com/globalSearch/LP3965EMP-2.5-NOPB/page-1", "LP3965EMP-2.5-NOPB")</f>
        <v>LP3965EMP-2.5-NOPB</v>
      </c>
      <c r="B397" s="3" t="str">
        <f>HYPERLINK("https://www.773grp.com/manufacturer/national-semiconductor?pageNo=128", "National Semiconductor")</f>
        <v>National Semiconductor</v>
      </c>
      <c r="C397" s="6">
        <v>1133</v>
      </c>
      <c r="D397" s="7">
        <v>3.24</v>
      </c>
      <c r="E397" t="s">
        <v>19</v>
      </c>
    </row>
    <row r="398" spans="1:5" x14ac:dyDescent="0.25">
      <c r="A398" t="str">
        <f>HYPERLINK("https://www.773grp.com/globalSearch/LP3965EMP-3.3-NOPB/page-1", "LP3965EMP-3.3-NOPB")</f>
        <v>LP3965EMP-3.3-NOPB</v>
      </c>
      <c r="B398" s="3" t="str">
        <f>HYPERLINK("https://www.773grp.com/manufacturer/national-semiconductor?pageNo=129", "National Semiconductor")</f>
        <v>National Semiconductor</v>
      </c>
      <c r="C398" s="6">
        <v>15000</v>
      </c>
      <c r="D398" s="7">
        <v>3.24</v>
      </c>
      <c r="E398" t="s">
        <v>19</v>
      </c>
    </row>
    <row r="399" spans="1:5" x14ac:dyDescent="0.25">
      <c r="A399" t="str">
        <f>HYPERLINK("https://www.773grp.com/globalSearch/LP3965EMP-ADJ-NOPB/page-1", "LP3965EMP-ADJ-NOPB")</f>
        <v>LP3965EMP-ADJ-NOPB</v>
      </c>
      <c r="B399" s="3" t="str">
        <f>HYPERLINK("https://www.773grp.com/manufacturer/national-semiconductor?pageNo=130", "National Semiconductor")</f>
        <v>National Semiconductor</v>
      </c>
      <c r="C399" s="6">
        <v>16000</v>
      </c>
      <c r="D399" s="7">
        <v>3.24</v>
      </c>
      <c r="E399" t="s">
        <v>25</v>
      </c>
    </row>
    <row r="400" spans="1:5" x14ac:dyDescent="0.25">
      <c r="A400" t="str">
        <f>HYPERLINK("https://www.773grp.com/globalSearch/DAC121C081CIMK-NOPB/page-1", "DAC121C081CIMK-NOPB")</f>
        <v>DAC121C081CIMK-NOPB</v>
      </c>
      <c r="B400" s="3" t="str">
        <f>HYPERLINK("https://www.773grp.com/manufacturer/national-semiconductor?pageNo=131", "National Semiconductor")</f>
        <v>National Semiconductor</v>
      </c>
      <c r="C400" s="6">
        <v>900</v>
      </c>
      <c r="D400" s="7">
        <v>3.24</v>
      </c>
    </row>
    <row r="401" spans="1:5" x14ac:dyDescent="0.25">
      <c r="A401" t="str">
        <f>HYPERLINK("https://www.773grp.com/globalSearch/DAC121C081CISD-NOPB/page-1", "DAC121C081CISD-NOPB")</f>
        <v>DAC121C081CISD-NOPB</v>
      </c>
      <c r="B401" s="3" t="str">
        <f>HYPERLINK("https://www.773grp.com/manufacturer/national-semiconductor?pageNo=132", "National Semiconductor")</f>
        <v>National Semiconductor</v>
      </c>
      <c r="C401" s="6">
        <v>22169</v>
      </c>
      <c r="D401" s="7">
        <v>3.24</v>
      </c>
    </row>
    <row r="402" spans="1:5" x14ac:dyDescent="0.25">
      <c r="A402" t="str">
        <f>HYPERLINK("https://www.773grp.com/globalSearch/DAC121S101CIMKX-NOPB/page-1", "DAC121S101CIMKX-NOPB")</f>
        <v>DAC121S101CIMKX-NOPB</v>
      </c>
      <c r="B402" s="3" t="str">
        <f>HYPERLINK("https://www.773grp.com/manufacturer/national-semiconductor?pageNo=133", "National Semiconductor")</f>
        <v>National Semiconductor</v>
      </c>
      <c r="C402" s="6">
        <v>6000</v>
      </c>
      <c r="D402" s="7">
        <v>3.24</v>
      </c>
      <c r="E402" t="s">
        <v>33</v>
      </c>
    </row>
    <row r="403" spans="1:5" x14ac:dyDescent="0.25">
      <c r="A403" t="str">
        <f>HYPERLINK("https://www.773grp.com/globalSearch/DAC121S101CIMM-NOPB/page-1", "DAC121S101CIMM-NOPB")</f>
        <v>DAC121S101CIMM-NOPB</v>
      </c>
      <c r="B403" s="3" t="str">
        <f>HYPERLINK("https://www.773grp.com/manufacturer/national-semiconductor?pageNo=134", "National Semiconductor")</f>
        <v>National Semiconductor</v>
      </c>
      <c r="C403" s="6">
        <v>1000</v>
      </c>
      <c r="D403" s="7">
        <v>3.24</v>
      </c>
      <c r="E403" t="s">
        <v>33</v>
      </c>
    </row>
    <row r="404" spans="1:5" x14ac:dyDescent="0.25">
      <c r="A404" t="str">
        <f>HYPERLINK("https://www.773grp.com/globalSearch/LF398AN-NOPB/page-1", "LF398AN-NOPB")</f>
        <v>LF398AN-NOPB</v>
      </c>
      <c r="B404" s="3" t="str">
        <f>HYPERLINK("https://www.773grp.com/manufacturer/national-semiconductor?pageNo=1", "National Semiconductor")</f>
        <v>National Semiconductor</v>
      </c>
      <c r="C404" s="6">
        <v>300</v>
      </c>
      <c r="D404" s="7">
        <v>3.24</v>
      </c>
      <c r="E404" t="s">
        <v>6</v>
      </c>
    </row>
    <row r="405" spans="1:5" x14ac:dyDescent="0.25">
      <c r="A405" t="str">
        <f>HYPERLINK("https://www.773grp.com/globalSearch/LM2735XMF-NOPB/page-1", "LM2735XMF-NOPB")</f>
        <v>LM2735XMF-NOPB</v>
      </c>
      <c r="B405" s="3" t="str">
        <f>HYPERLINK("https://www.773grp.com/manufacturer/national-semiconductor?pageNo=2", "National Semiconductor")</f>
        <v>National Semiconductor</v>
      </c>
      <c r="C405" s="6">
        <v>6000</v>
      </c>
      <c r="D405" s="7">
        <v>3.24</v>
      </c>
      <c r="E405" t="s">
        <v>7</v>
      </c>
    </row>
    <row r="406" spans="1:5" x14ac:dyDescent="0.25">
      <c r="A406" t="str">
        <f>HYPERLINK("https://www.773grp.com/globalSearch/LM2735XMFX-NOPB/page-1", "LM2735XMFX-NOPB")</f>
        <v>LM2735XMFX-NOPB</v>
      </c>
      <c r="B406" s="3" t="str">
        <f>HYPERLINK("https://www.773grp.com/manufacturer/national-semiconductor?pageNo=3", "National Semiconductor")</f>
        <v>National Semiconductor</v>
      </c>
      <c r="C406" s="6">
        <v>3000</v>
      </c>
      <c r="D406" s="7">
        <v>3.24</v>
      </c>
    </row>
    <row r="407" spans="1:5" x14ac:dyDescent="0.25">
      <c r="A407" t="str">
        <f>HYPERLINK("https://www.773grp.com/globalSearch/LM2735XMY-NOPB/page-1", "LM2735XMY-NOPB")</f>
        <v>LM2735XMY-NOPB</v>
      </c>
      <c r="B407" s="3" t="str">
        <f>HYPERLINK("https://www.773grp.com/manufacturer/national-semiconductor?pageNo=4", "National Semiconductor")</f>
        <v>National Semiconductor</v>
      </c>
      <c r="C407" s="6">
        <v>1815</v>
      </c>
      <c r="D407" s="7">
        <v>3.24</v>
      </c>
      <c r="E407" t="s">
        <v>7</v>
      </c>
    </row>
    <row r="408" spans="1:5" x14ac:dyDescent="0.25">
      <c r="A408" t="str">
        <f>HYPERLINK("https://www.773grp.com/globalSearch/LM2735XSD-NOPB/page-1", "LM2735XSD-NOPB")</f>
        <v>LM2735XSD-NOPB</v>
      </c>
      <c r="B408" s="3" t="str">
        <f>HYPERLINK("https://www.773grp.com/manufacturer/national-semiconductor?pageNo=5", "National Semiconductor")</f>
        <v>National Semiconductor</v>
      </c>
      <c r="C408" s="6">
        <v>1719</v>
      </c>
      <c r="D408" s="7">
        <v>3.24</v>
      </c>
      <c r="E408" t="s">
        <v>7</v>
      </c>
    </row>
    <row r="409" spans="1:5" x14ac:dyDescent="0.25">
      <c r="A409" t="str">
        <f>HYPERLINK("https://www.773grp.com/globalSearch/LM2735YMF-NOPB/page-1", "LM2735YMF-NOPB")</f>
        <v>LM2735YMF-NOPB</v>
      </c>
      <c r="B409" s="3" t="str">
        <f>HYPERLINK("https://www.773grp.com/manufacturer/national-semiconductor?pageNo=6", "National Semiconductor")</f>
        <v>National Semiconductor</v>
      </c>
      <c r="C409" s="6">
        <v>3000</v>
      </c>
      <c r="D409" s="7">
        <v>3.24</v>
      </c>
      <c r="E409" t="s">
        <v>7</v>
      </c>
    </row>
    <row r="410" spans="1:5" x14ac:dyDescent="0.25">
      <c r="A410" t="str">
        <f>HYPERLINK("https://www.773grp.com/globalSearch/LM2735YMY-NOPB/page-1", "LM2735YMY-NOPB")</f>
        <v>LM2735YMY-NOPB</v>
      </c>
      <c r="B410" s="3" t="str">
        <f>HYPERLINK("https://www.773grp.com/manufacturer/national-semiconductor?pageNo=7", "National Semiconductor")</f>
        <v>National Semiconductor</v>
      </c>
      <c r="C410" s="6">
        <v>1000</v>
      </c>
      <c r="D410" s="7">
        <v>3.24</v>
      </c>
      <c r="E410" t="s">
        <v>7</v>
      </c>
    </row>
    <row r="411" spans="1:5" x14ac:dyDescent="0.25">
      <c r="A411" t="str">
        <f>HYPERLINK("https://www.773grp.com/globalSearch/LM2735YSD-NOPB/page-1", "LM2735YSD-NOPB")</f>
        <v>LM2735YSD-NOPB</v>
      </c>
      <c r="B411" s="3" t="str">
        <f>HYPERLINK("https://www.773grp.com/manufacturer/national-semiconductor?pageNo=8", "National Semiconductor")</f>
        <v>National Semiconductor</v>
      </c>
      <c r="C411" s="6">
        <v>2000</v>
      </c>
      <c r="D411" s="7">
        <v>3.24</v>
      </c>
      <c r="E411" t="s">
        <v>7</v>
      </c>
    </row>
    <row r="412" spans="1:5" x14ac:dyDescent="0.25">
      <c r="A412" t="str">
        <f>HYPERLINK("https://www.773grp.com/globalSearch/LM2832XMY-NOPB/page-1", "LM2832XMY-NOPB")</f>
        <v>LM2832XMY-NOPB</v>
      </c>
      <c r="B412" s="3" t="str">
        <f>HYPERLINK("https://www.773grp.com/manufacturer/national-semiconductor?pageNo=9", "National Semiconductor")</f>
        <v>National Semiconductor</v>
      </c>
      <c r="C412" s="6">
        <v>670</v>
      </c>
      <c r="D412" s="7">
        <v>3.24</v>
      </c>
      <c r="E412" t="s">
        <v>7</v>
      </c>
    </row>
    <row r="413" spans="1:5" x14ac:dyDescent="0.25">
      <c r="A413" t="str">
        <f>HYPERLINK("https://www.773grp.com/globalSearch/LM2832XMYX-NOPB/page-1", "LM2832XMYX-NOPB")</f>
        <v>LM2832XMYX-NOPB</v>
      </c>
      <c r="B413" s="3" t="str">
        <f>HYPERLINK("https://www.773grp.com/manufacturer/national-semiconductor?pageNo=10", "National Semiconductor")</f>
        <v>National Semiconductor</v>
      </c>
      <c r="C413" s="6">
        <v>3500</v>
      </c>
      <c r="D413" s="7">
        <v>3.24</v>
      </c>
    </row>
    <row r="414" spans="1:5" x14ac:dyDescent="0.25">
      <c r="A414" t="str">
        <f>HYPERLINK("https://www.773grp.com/globalSearch/LM2832XSDX-NOPB/page-1", "LM2832XSDX-NOPB")</f>
        <v>LM2832XSDX-NOPB</v>
      </c>
      <c r="B414" s="3" t="str">
        <f>HYPERLINK("https://www.773grp.com/manufacturer/national-semiconductor?pageNo=11", "National Semiconductor")</f>
        <v>National Semiconductor</v>
      </c>
      <c r="C414" s="6">
        <v>9000</v>
      </c>
      <c r="D414" s="7">
        <v>3.24</v>
      </c>
    </row>
    <row r="415" spans="1:5" x14ac:dyDescent="0.25">
      <c r="A415" t="str">
        <f>HYPERLINK("https://www.773grp.com/globalSearch/LM2832YMY-NOPB/page-1", "LM2832YMY-NOPB")</f>
        <v>LM2832YMY-NOPB</v>
      </c>
      <c r="B415" s="3" t="str">
        <f>HYPERLINK("https://www.773grp.com/manufacturer/national-semiconductor?pageNo=12", "National Semiconductor")</f>
        <v>National Semiconductor</v>
      </c>
      <c r="C415" s="6">
        <v>1000</v>
      </c>
      <c r="D415" s="7">
        <v>3.24</v>
      </c>
      <c r="E415" t="s">
        <v>7</v>
      </c>
    </row>
    <row r="416" spans="1:5" x14ac:dyDescent="0.25">
      <c r="A416" t="str">
        <f>HYPERLINK("https://www.773grp.com/globalSearch/LM2832ZMY-NOPB/page-1", "LM2832ZMY-NOPB")</f>
        <v>LM2832ZMY-NOPB</v>
      </c>
      <c r="B416" s="3" t="str">
        <f>HYPERLINK("https://www.773grp.com/manufacturer/national-semiconductor?pageNo=13", "National Semiconductor")</f>
        <v>National Semiconductor</v>
      </c>
      <c r="C416" s="6">
        <v>1410</v>
      </c>
      <c r="D416" s="7">
        <v>3.24</v>
      </c>
      <c r="E416" t="s">
        <v>7</v>
      </c>
    </row>
    <row r="417" spans="1:5" x14ac:dyDescent="0.25">
      <c r="A417" t="str">
        <f>HYPERLINK("https://www.773grp.com/globalSearch/LM2841YMK-ADJL-NOPB/page-1", "LM2841YMK-ADJL-NOPB")</f>
        <v>LM2841YMK-ADJL-NOPB</v>
      </c>
      <c r="B417" s="3" t="str">
        <f>HYPERLINK("https://www.773grp.com/manufacturer/national-semiconductor?pageNo=14", "National Semiconductor")</f>
        <v>National Semiconductor</v>
      </c>
      <c r="C417" s="6">
        <v>529</v>
      </c>
      <c r="D417" s="7">
        <v>3.24</v>
      </c>
      <c r="E417" t="s">
        <v>7</v>
      </c>
    </row>
    <row r="418" spans="1:5" x14ac:dyDescent="0.25">
      <c r="A418" t="str">
        <f>HYPERLINK("https://www.773grp.com/globalSearch/LM3410XMFE-NOPB/page-1", "LM3410XMFE-NOPB")</f>
        <v>LM3410XMFE-NOPB</v>
      </c>
      <c r="B418" s="3" t="str">
        <f>HYPERLINK("https://www.773grp.com/manufacturer/national-semiconductor?pageNo=15", "National Semiconductor")</f>
        <v>National Semiconductor</v>
      </c>
      <c r="C418" s="6">
        <v>250</v>
      </c>
      <c r="D418" s="7">
        <v>3.24</v>
      </c>
    </row>
    <row r="419" spans="1:5" x14ac:dyDescent="0.25">
      <c r="A419" t="str">
        <f>HYPERLINK("https://www.773grp.com/globalSearch/LM3410XMYE-NOPB/page-1", "LM3410XMYE-NOPB")</f>
        <v>LM3410XMYE-NOPB</v>
      </c>
      <c r="B419" s="3" t="str">
        <f>HYPERLINK("https://www.773grp.com/manufacturer/national-semiconductor?pageNo=16", "National Semiconductor")</f>
        <v>National Semiconductor</v>
      </c>
      <c r="C419" s="6">
        <v>750</v>
      </c>
      <c r="D419" s="7">
        <v>3.24</v>
      </c>
    </row>
    <row r="420" spans="1:5" x14ac:dyDescent="0.25">
      <c r="A420" t="str">
        <f>HYPERLINK("https://www.773grp.com/globalSearch/LM3410YMYE-NOPB/page-1", "LM3410YMYE-NOPB")</f>
        <v>LM3410YMYE-NOPB</v>
      </c>
      <c r="B420" s="3" t="str">
        <f>HYPERLINK("https://www.773grp.com/manufacturer/national-semiconductor?pageNo=17", "National Semiconductor")</f>
        <v>National Semiconductor</v>
      </c>
      <c r="C420" s="6">
        <v>1396</v>
      </c>
      <c r="D420" s="7">
        <v>3.24</v>
      </c>
    </row>
    <row r="421" spans="1:5" x14ac:dyDescent="0.25">
      <c r="A421" t="str">
        <f>HYPERLINK("https://www.773grp.com/globalSearch/LM3421MHX-NOPB/page-1", "LM3421MHX-NOPB")</f>
        <v>LM3421MHX-NOPB</v>
      </c>
      <c r="B421" s="3" t="str">
        <f>HYPERLINK("https://www.773grp.com/manufacturer/national-semiconductor?pageNo=18", "National Semiconductor")</f>
        <v>National Semiconductor</v>
      </c>
      <c r="C421" s="6">
        <v>5000</v>
      </c>
      <c r="D421" s="7">
        <v>3.24</v>
      </c>
    </row>
    <row r="422" spans="1:5" x14ac:dyDescent="0.25">
      <c r="A422" t="str">
        <f>HYPERLINK("https://www.773grp.com/globalSearch/LM3501TL-16-NOPB/page-1", "LM3501TL-16-NOPB")</f>
        <v>LM3501TL-16-NOPB</v>
      </c>
      <c r="B422" s="3" t="str">
        <f>HYPERLINK("https://www.773grp.com/manufacturer/national-semiconductor?pageNo=19", "National Semiconductor")</f>
        <v>National Semiconductor</v>
      </c>
      <c r="C422" s="6">
        <v>372</v>
      </c>
      <c r="D422" s="7">
        <v>3.24</v>
      </c>
    </row>
    <row r="423" spans="1:5" x14ac:dyDescent="0.25">
      <c r="A423" t="str">
        <f>HYPERLINK("https://www.773grp.com/globalSearch/LM3501TL-21-NOPB/page-1", "LM3501TL-21-NOPB")</f>
        <v>LM3501TL-21-NOPB</v>
      </c>
      <c r="B423" s="3" t="str">
        <f>HYPERLINK("https://www.773grp.com/manufacturer/national-semiconductor?pageNo=20", "National Semiconductor")</f>
        <v>National Semiconductor</v>
      </c>
      <c r="C423" s="6">
        <v>500</v>
      </c>
      <c r="D423" s="7">
        <v>3.24</v>
      </c>
    </row>
    <row r="424" spans="1:5" x14ac:dyDescent="0.25">
      <c r="A424" t="str">
        <f>HYPERLINK("https://www.773grp.com/globalSearch/LM361N-NOPB/page-1", "LM361N-NOPB")</f>
        <v>LM361N-NOPB</v>
      </c>
      <c r="B424" s="3" t="str">
        <f>HYPERLINK("https://www.773grp.com/manufacturer/national-semiconductor?pageNo=21", "National Semiconductor")</f>
        <v>National Semiconductor</v>
      </c>
      <c r="C424" s="6">
        <v>621</v>
      </c>
      <c r="D424" s="7">
        <v>3.24</v>
      </c>
      <c r="E424" t="s">
        <v>9</v>
      </c>
    </row>
    <row r="425" spans="1:5" x14ac:dyDescent="0.25">
      <c r="A425" t="str">
        <f>HYPERLINK("https://www.773grp.com/globalSearch/LM4050AEM3-10/page-1", "LM4050AEM3-10")</f>
        <v>LM4050AEM3-10</v>
      </c>
      <c r="B425" s="3" t="str">
        <f>HYPERLINK("https://www.773grp.com/manufacturer/national-semiconductor?pageNo=22", "National Semiconductor")</f>
        <v>National Semiconductor</v>
      </c>
      <c r="C425" s="6">
        <v>595</v>
      </c>
      <c r="D425" s="7">
        <v>3.24</v>
      </c>
      <c r="E425" t="s">
        <v>17</v>
      </c>
    </row>
    <row r="426" spans="1:5" x14ac:dyDescent="0.25">
      <c r="A426" t="str">
        <f>HYPERLINK("https://www.773grp.com/globalSearch/LM4050AEM3-10-NOPB/page-1", "LM4050AEM3-10-NOPB")</f>
        <v>LM4050AEM3-10-NOPB</v>
      </c>
      <c r="B426" s="3" t="str">
        <f>HYPERLINK("https://www.773grp.com/manufacturer/national-semiconductor?pageNo=23", "National Semiconductor")</f>
        <v>National Semiconductor</v>
      </c>
      <c r="C426" s="6">
        <v>950</v>
      </c>
      <c r="D426" s="7">
        <v>3.24</v>
      </c>
      <c r="E426" t="s">
        <v>17</v>
      </c>
    </row>
    <row r="427" spans="1:5" x14ac:dyDescent="0.25">
      <c r="A427" t="str">
        <f>HYPERLINK("https://www.773grp.com/globalSearch/LM4050AEM3-2.0-NOPB/page-1", "LM4050AEM3-2.0-NOPB")</f>
        <v>LM4050AEM3-2.0-NOPB</v>
      </c>
      <c r="B427" s="3" t="str">
        <f>HYPERLINK("https://www.773grp.com/manufacturer/national-semiconductor?pageNo=24", "National Semiconductor")</f>
        <v>National Semiconductor</v>
      </c>
      <c r="C427" s="6">
        <v>1623</v>
      </c>
      <c r="D427" s="7">
        <v>3.24</v>
      </c>
      <c r="E427" t="s">
        <v>17</v>
      </c>
    </row>
    <row r="428" spans="1:5" x14ac:dyDescent="0.25">
      <c r="A428" t="str">
        <f>HYPERLINK("https://www.773grp.com/globalSearch/LM4050AEM3-2.5-NOPB/page-1", "LM4050AEM3-2.5-NOPB")</f>
        <v>LM4050AEM3-2.5-NOPB</v>
      </c>
      <c r="B428" s="3" t="str">
        <f>HYPERLINK("https://www.773grp.com/manufacturer/national-semiconductor?pageNo=25", "National Semiconductor")</f>
        <v>National Semiconductor</v>
      </c>
      <c r="C428" s="6">
        <v>1750</v>
      </c>
      <c r="D428" s="7">
        <v>3.24</v>
      </c>
      <c r="E428" t="s">
        <v>17</v>
      </c>
    </row>
    <row r="429" spans="1:5" x14ac:dyDescent="0.25">
      <c r="A429" t="str">
        <f>HYPERLINK("https://www.773grp.com/globalSearch/LM4050AEM3-5.0-NOPB/page-1", "LM4050AEM3-5.0-NOPB")</f>
        <v>LM4050AEM3-5.0-NOPB</v>
      </c>
      <c r="B429" s="3" t="str">
        <f>HYPERLINK("https://www.773grp.com/manufacturer/national-semiconductor?pageNo=26", "National Semiconductor")</f>
        <v>National Semiconductor</v>
      </c>
      <c r="C429" s="6">
        <v>568</v>
      </c>
      <c r="D429" s="7">
        <v>3.24</v>
      </c>
      <c r="E429" t="s">
        <v>17</v>
      </c>
    </row>
    <row r="430" spans="1:5" x14ac:dyDescent="0.25">
      <c r="A430" t="str">
        <f>HYPERLINK("https://www.773grp.com/globalSearch/LM4050AEM3-8.2-NOPB/page-1", "LM4050AEM3-8.2-NOPB")</f>
        <v>LM4050AEM3-8.2-NOPB</v>
      </c>
      <c r="B430" s="3" t="str">
        <f>HYPERLINK("https://www.773grp.com/manufacturer/national-semiconductor?pageNo=27", "National Semiconductor")</f>
        <v>National Semiconductor</v>
      </c>
      <c r="C430" s="6">
        <v>1280</v>
      </c>
      <c r="D430" s="7">
        <v>3.24</v>
      </c>
    </row>
    <row r="431" spans="1:5" x14ac:dyDescent="0.25">
      <c r="A431" t="str">
        <f>HYPERLINK("https://www.773grp.com/globalSearch/LM4050AEM3-8.2-NOPB/page-1", "LM4050AEM3-8.2-NOPB")</f>
        <v>LM4050AEM3-8.2-NOPB</v>
      </c>
      <c r="B431" s="3" t="str">
        <f>HYPERLINK("https://www.773grp.com/manufacturer/national-semiconductor?pageNo=28", "National Semiconductor")</f>
        <v>National Semiconductor</v>
      </c>
      <c r="C431" s="6">
        <v>210</v>
      </c>
      <c r="D431" s="7">
        <v>3.24</v>
      </c>
    </row>
    <row r="432" spans="1:5" x14ac:dyDescent="0.25">
      <c r="A432" t="str">
        <f>HYPERLINK("https://www.773grp.com/globalSearch/LM4050AEM3X-2.5-NOPB/page-1", "LM4050AEM3X-2.5-NOPB")</f>
        <v>LM4050AEM3X-2.5-NOPB</v>
      </c>
      <c r="B432" s="3" t="str">
        <f>HYPERLINK("https://www.773grp.com/manufacturer/national-semiconductor?pageNo=29", "National Semiconductor")</f>
        <v>National Semiconductor</v>
      </c>
      <c r="C432" s="6">
        <v>1764</v>
      </c>
      <c r="D432" s="7">
        <v>3.24</v>
      </c>
      <c r="E432" t="s">
        <v>17</v>
      </c>
    </row>
    <row r="433" spans="1:5" x14ac:dyDescent="0.25">
      <c r="A433" t="str">
        <f>HYPERLINK("https://www.773grp.com/globalSearch/LM48555TL-NOPB/page-1", "LM48555TL-NOPB")</f>
        <v>LM48555TL-NOPB</v>
      </c>
      <c r="B433" s="3" t="str">
        <f>HYPERLINK("https://www.773grp.com/manufacturer/national-semiconductor?pageNo=30", "National Semiconductor")</f>
        <v>National Semiconductor</v>
      </c>
      <c r="C433" s="6">
        <v>2750</v>
      </c>
      <c r="D433" s="7">
        <v>3.24</v>
      </c>
      <c r="E433" t="s">
        <v>18</v>
      </c>
    </row>
    <row r="434" spans="1:5" x14ac:dyDescent="0.25">
      <c r="A434" t="str">
        <f>HYPERLINK("https://www.773grp.com/globalSearch/LM49101TM-NOPB/page-1", "LM49101TM-NOPB")</f>
        <v>LM49101TM-NOPB</v>
      </c>
      <c r="B434" s="3" t="str">
        <f>HYPERLINK("https://www.773grp.com/manufacturer/national-semiconductor?pageNo=31", "National Semiconductor")</f>
        <v>National Semiconductor</v>
      </c>
      <c r="C434" s="6">
        <v>250</v>
      </c>
      <c r="D434" s="7">
        <v>3.24</v>
      </c>
    </row>
    <row r="435" spans="1:5" x14ac:dyDescent="0.25">
      <c r="A435" t="str">
        <f>HYPERLINK("https://www.773grp.com/globalSearch/LM5008MM-NOPB/page-1", "LM5008MM-NOPB")</f>
        <v>LM5008MM-NOPB</v>
      </c>
      <c r="B435" s="3" t="str">
        <f>HYPERLINK("https://www.773grp.com/manufacturer/national-semiconductor?pageNo=32", "National Semiconductor")</f>
        <v>National Semiconductor</v>
      </c>
      <c r="C435" s="6">
        <v>1000</v>
      </c>
      <c r="D435" s="7">
        <v>3.24</v>
      </c>
      <c r="E435" t="s">
        <v>7</v>
      </c>
    </row>
    <row r="436" spans="1:5" x14ac:dyDescent="0.25">
      <c r="A436" t="str">
        <f>HYPERLINK("https://www.773grp.com/globalSearch/LM5008MMX-NOPB/page-1", "LM5008MMX-NOPB")</f>
        <v>LM5008MMX-NOPB</v>
      </c>
      <c r="B436" s="3" t="str">
        <f>HYPERLINK("https://www.773grp.com/manufacturer/national-semiconductor?pageNo=33", "National Semiconductor")</f>
        <v>National Semiconductor</v>
      </c>
      <c r="C436" s="6">
        <v>3500</v>
      </c>
      <c r="D436" s="7">
        <v>3.24</v>
      </c>
    </row>
    <row r="437" spans="1:5" x14ac:dyDescent="0.25">
      <c r="A437" t="str">
        <f>HYPERLINK("https://www.773grp.com/globalSearch/LM5008SDC-NOPB/page-1", "LM5008SDC-NOPB")</f>
        <v>LM5008SDC-NOPB</v>
      </c>
      <c r="B437" s="3" t="str">
        <f>HYPERLINK("https://www.773grp.com/manufacturer/national-semiconductor?pageNo=34", "National Semiconductor")</f>
        <v>National Semiconductor</v>
      </c>
      <c r="C437" s="6">
        <v>530</v>
      </c>
      <c r="D437" s="7">
        <v>3.24</v>
      </c>
    </row>
    <row r="438" spans="1:5" x14ac:dyDescent="0.25">
      <c r="A438" t="str">
        <f>HYPERLINK("https://www.773grp.com/globalSearch/LM5025CMTCX-NOPB/page-1", "LM5025CMTCX-NOPB")</f>
        <v>LM5025CMTCX-NOPB</v>
      </c>
      <c r="B438" s="3" t="str">
        <f>HYPERLINK("https://www.773grp.com/manufacturer/national-semiconductor?pageNo=35", "National Semiconductor")</f>
        <v>National Semiconductor</v>
      </c>
      <c r="C438" s="6">
        <v>2500</v>
      </c>
      <c r="D438" s="7">
        <v>3.24</v>
      </c>
    </row>
    <row r="439" spans="1:5" x14ac:dyDescent="0.25">
      <c r="A439" t="str">
        <f>HYPERLINK("https://www.773grp.com/globalSearch/LM5100CMA-NOPB/page-1", "LM5100CMA-NOPB")</f>
        <v>LM5100CMA-NOPB</v>
      </c>
      <c r="B439" s="3" t="str">
        <f>HYPERLINK("https://www.773grp.com/manufacturer/national-semiconductor?pageNo=36", "National Semiconductor")</f>
        <v>National Semiconductor</v>
      </c>
      <c r="C439" s="6">
        <v>791</v>
      </c>
      <c r="D439" s="7">
        <v>3.24</v>
      </c>
    </row>
    <row r="440" spans="1:5" x14ac:dyDescent="0.25">
      <c r="A440" t="str">
        <f>HYPERLINK("https://www.773grp.com/globalSearch/LM5101CMA-NOPB/page-1", "LM5101CMA-NOPB")</f>
        <v>LM5101CMA-NOPB</v>
      </c>
      <c r="B440" s="3" t="str">
        <f>HYPERLINK("https://www.773grp.com/manufacturer/national-semiconductor?pageNo=37", "National Semiconductor")</f>
        <v>National Semiconductor</v>
      </c>
      <c r="C440" s="6">
        <v>461</v>
      </c>
      <c r="D440" s="7">
        <v>3.24</v>
      </c>
    </row>
    <row r="441" spans="1:5" x14ac:dyDescent="0.25">
      <c r="A441" t="str">
        <f>HYPERLINK("https://www.773grp.com/globalSearch/LMC6062IN-NOPB/page-1", "LMC6062IN-NOPB")</f>
        <v>LMC6062IN-NOPB</v>
      </c>
      <c r="B441" s="3" t="str">
        <f>HYPERLINK("https://www.773grp.com/manufacturer/national-semiconductor?pageNo=38", "National Semiconductor")</f>
        <v>National Semiconductor</v>
      </c>
      <c r="C441" s="6">
        <v>239</v>
      </c>
      <c r="D441" s="7">
        <v>3.24</v>
      </c>
      <c r="E441" t="s">
        <v>13</v>
      </c>
    </row>
    <row r="442" spans="1:5" x14ac:dyDescent="0.25">
      <c r="A442" t="str">
        <f>HYPERLINK("https://www.773grp.com/globalSearch/LMC6484AIMX-NOPB/page-1", "LMC6484AIMX-NOPB")</f>
        <v>LMC6484AIMX-NOPB</v>
      </c>
      <c r="B442" s="3" t="str">
        <f>HYPERLINK("https://www.773grp.com/manufacturer/national-semiconductor?pageNo=39", "National Semiconductor")</f>
        <v>National Semiconductor</v>
      </c>
      <c r="C442" s="6">
        <v>6092</v>
      </c>
      <c r="D442" s="7">
        <v>3.24</v>
      </c>
      <c r="E442" t="s">
        <v>13</v>
      </c>
    </row>
    <row r="443" spans="1:5" x14ac:dyDescent="0.25">
      <c r="A443" t="str">
        <f>HYPERLINK("https://www.773grp.com/globalSearch/LME49743MTX-NOPB/page-1", "LME49743MTX-NOPB")</f>
        <v>LME49743MTX-NOPB</v>
      </c>
      <c r="B443" s="3" t="str">
        <f>HYPERLINK("https://www.773grp.com/manufacturer/national-semiconductor?pageNo=40", "National Semiconductor")</f>
        <v>National Semiconductor</v>
      </c>
      <c r="C443" s="6">
        <v>12500</v>
      </c>
      <c r="D443" s="7">
        <v>3.24</v>
      </c>
    </row>
    <row r="444" spans="1:5" x14ac:dyDescent="0.25">
      <c r="A444" t="str">
        <f>HYPERLINK("https://www.773grp.com/globalSearch/LMH2180SDE-NOPB/page-1", "LMH2180SDE-NOPB")</f>
        <v>LMH2180SDE-NOPB</v>
      </c>
      <c r="B444" s="3" t="str">
        <f>HYPERLINK("https://www.773grp.com/manufacturer/national-semiconductor?pageNo=41", "National Semiconductor")</f>
        <v>National Semiconductor</v>
      </c>
      <c r="C444" s="6">
        <v>250</v>
      </c>
      <c r="D444" s="7">
        <v>3.24</v>
      </c>
      <c r="E444" t="s">
        <v>34</v>
      </c>
    </row>
    <row r="445" spans="1:5" x14ac:dyDescent="0.25">
      <c r="A445" t="str">
        <f>HYPERLINK("https://www.773grp.com/globalSearch/LMH2180TM-NOPB/page-1", "LMH2180TM-NOPB")</f>
        <v>LMH2180TM-NOPB</v>
      </c>
      <c r="B445" s="3" t="str">
        <f>HYPERLINK("https://www.773grp.com/manufacturer/national-semiconductor?pageNo=42", "National Semiconductor")</f>
        <v>National Semiconductor</v>
      </c>
      <c r="C445" s="6">
        <v>761</v>
      </c>
      <c r="D445" s="7">
        <v>3.24</v>
      </c>
    </row>
    <row r="446" spans="1:5" x14ac:dyDescent="0.25">
      <c r="A446" t="str">
        <f>HYPERLINK("https://www.773grp.com/globalSearch/LMP2021MFE-NOPB/page-1", "LMP2021MFE-NOPB")</f>
        <v>LMP2021MFE-NOPB</v>
      </c>
      <c r="B446" s="3" t="str">
        <f>HYPERLINK("https://www.773grp.com/manufacturer/national-semiconductor?pageNo=43", "National Semiconductor")</f>
        <v>National Semiconductor</v>
      </c>
      <c r="C446" s="6">
        <v>511</v>
      </c>
      <c r="D446" s="7">
        <v>3.24</v>
      </c>
    </row>
    <row r="447" spans="1:5" x14ac:dyDescent="0.25">
      <c r="A447" t="str">
        <f>HYPERLINK("https://www.773grp.com/globalSearch/LMR70503TMX-NOPB/page-1", "LMR70503TMX-NOPB")</f>
        <v>LMR70503TMX-NOPB</v>
      </c>
      <c r="B447" s="3" t="str">
        <f>HYPERLINK("https://www.773grp.com/manufacturer/national-semiconductor?pageNo=44", "National Semiconductor")</f>
        <v>National Semiconductor</v>
      </c>
      <c r="C447" s="6">
        <v>3000</v>
      </c>
      <c r="D447" s="7">
        <v>3.24</v>
      </c>
    </row>
    <row r="448" spans="1:5" x14ac:dyDescent="0.25">
      <c r="A448" t="str">
        <f>HYPERLINK("https://www.773grp.com/globalSearch/LMS1585ACSX-3.3/page-1", "LMS1585ACSX-3.3")</f>
        <v>LMS1585ACSX-3.3</v>
      </c>
      <c r="B448" s="3" t="str">
        <f>HYPERLINK("https://www.773grp.com/manufacturer/national-semiconductor?pageNo=45", "National Semiconductor")</f>
        <v>National Semiconductor</v>
      </c>
      <c r="C448" s="6">
        <v>500</v>
      </c>
      <c r="D448" s="7">
        <v>3.24</v>
      </c>
    </row>
    <row r="449" spans="1:5" x14ac:dyDescent="0.25">
      <c r="A449" t="str">
        <f>HYPERLINK("https://www.773grp.com/globalSearch/LMV842MM-NOPB/page-1", "LMV842MM-NOPB")</f>
        <v>LMV842MM-NOPB</v>
      </c>
      <c r="B449" s="3" t="str">
        <f>HYPERLINK("https://www.773grp.com/manufacturer/national-semiconductor?pageNo=46", "National Semiconductor")</f>
        <v>National Semiconductor</v>
      </c>
      <c r="C449" s="6">
        <v>1000</v>
      </c>
      <c r="D449" s="7">
        <v>3.24</v>
      </c>
    </row>
    <row r="450" spans="1:5" x14ac:dyDescent="0.25">
      <c r="A450" t="str">
        <f>HYPERLINK("https://www.773grp.com/globalSearch/LMV842MMX-NOPB/page-1", "LMV842MMX-NOPB")</f>
        <v>LMV842MMX-NOPB</v>
      </c>
      <c r="B450" s="3" t="str">
        <f>HYPERLINK("https://www.773grp.com/manufacturer/national-semiconductor?pageNo=47", "National Semiconductor")</f>
        <v>National Semiconductor</v>
      </c>
      <c r="C450" s="6">
        <v>7000</v>
      </c>
      <c r="D450" s="7">
        <v>3.24</v>
      </c>
    </row>
    <row r="451" spans="1:5" x14ac:dyDescent="0.25">
      <c r="A451" t="str">
        <f>HYPERLINK("https://www.773grp.com/globalSearch/LP3875EMP-1.8-NOPB/page-1", "LP3875EMP-1.8-NOPB")</f>
        <v>LP3875EMP-1.8-NOPB</v>
      </c>
      <c r="B451" s="3" t="str">
        <f>HYPERLINK("https://www.773grp.com/manufacturer/national-semiconductor?pageNo=48", "National Semiconductor")</f>
        <v>National Semiconductor</v>
      </c>
      <c r="C451" s="6">
        <v>14906</v>
      </c>
      <c r="D451" s="7">
        <v>3.24</v>
      </c>
    </row>
    <row r="452" spans="1:5" x14ac:dyDescent="0.25">
      <c r="A452" t="str">
        <f>HYPERLINK("https://www.773grp.com/globalSearch/LP3875EMP-2.5-NOPB/page-1", "LP3875EMP-2.5-NOPB")</f>
        <v>LP3875EMP-2.5-NOPB</v>
      </c>
      <c r="B452" s="3" t="str">
        <f>HYPERLINK("https://www.773grp.com/manufacturer/national-semiconductor?pageNo=49", "National Semiconductor")</f>
        <v>National Semiconductor</v>
      </c>
      <c r="C452" s="6">
        <v>1789</v>
      </c>
      <c r="D452" s="7">
        <v>3.24</v>
      </c>
      <c r="E452" t="s">
        <v>19</v>
      </c>
    </row>
    <row r="453" spans="1:5" x14ac:dyDescent="0.25">
      <c r="A453" t="str">
        <f>HYPERLINK("https://www.773grp.com/globalSearch/LP3875EMP-3.3-NOPB/page-1", "LP3875EMP-3.3-NOPB")</f>
        <v>LP3875EMP-3.3-NOPB</v>
      </c>
      <c r="B453" s="3" t="str">
        <f>HYPERLINK("https://www.773grp.com/manufacturer/national-semiconductor?pageNo=50", "National Semiconductor")</f>
        <v>National Semiconductor</v>
      </c>
      <c r="C453" s="6">
        <v>824</v>
      </c>
      <c r="D453" s="7">
        <v>3.24</v>
      </c>
      <c r="E453" t="s">
        <v>19</v>
      </c>
    </row>
    <row r="454" spans="1:5" x14ac:dyDescent="0.25">
      <c r="A454" t="str">
        <f>HYPERLINK("https://www.773grp.com/globalSearch/LP3875EMP-5.0-NOPB/page-1", "LP3875EMP-5.0-NOPB")</f>
        <v>LP3875EMP-5.0-NOPB</v>
      </c>
      <c r="B454" s="3" t="str">
        <f>HYPERLINK("https://www.773grp.com/manufacturer/national-semiconductor?pageNo=51", "National Semiconductor")</f>
        <v>National Semiconductor</v>
      </c>
      <c r="C454" s="6">
        <v>820</v>
      </c>
      <c r="D454" s="7">
        <v>3.24</v>
      </c>
      <c r="E454" t="s">
        <v>19</v>
      </c>
    </row>
    <row r="455" spans="1:5" x14ac:dyDescent="0.25">
      <c r="A455" t="str">
        <f>HYPERLINK("https://www.773grp.com/globalSearch/LP3875EMP-ADJ-NOPB/page-1", "LP3875EMP-ADJ-NOPB")</f>
        <v>LP3875EMP-ADJ-NOPB</v>
      </c>
      <c r="B455" s="3" t="str">
        <f>HYPERLINK("https://www.773grp.com/manufacturer/national-semiconductor?pageNo=52", "National Semiconductor")</f>
        <v>National Semiconductor</v>
      </c>
      <c r="C455" s="6">
        <v>7000</v>
      </c>
      <c r="D455" s="7">
        <v>3.24</v>
      </c>
    </row>
    <row r="456" spans="1:5" x14ac:dyDescent="0.25">
      <c r="A456" t="str">
        <f>HYPERLINK("https://www.773grp.com/globalSearch/LP3879MR-1.2/page-1", "LP3879MR-1.2")</f>
        <v>LP3879MR-1.2</v>
      </c>
      <c r="B456" s="3" t="str">
        <f>HYPERLINK("https://www.773grp.com/manufacturer/national-semiconductor?pageNo=53", "National Semiconductor")</f>
        <v>National Semiconductor</v>
      </c>
      <c r="C456" s="6">
        <v>5255</v>
      </c>
      <c r="D456" s="7">
        <v>3.24</v>
      </c>
    </row>
    <row r="457" spans="1:5" x14ac:dyDescent="0.25">
      <c r="A457" t="str">
        <f>HYPERLINK("https://www.773grp.com/globalSearch/LP3952RL-NOPB/page-1", "LP3952RL-NOPB")</f>
        <v>LP3952RL-NOPB</v>
      </c>
      <c r="B457" s="3" t="str">
        <f>HYPERLINK("https://www.773grp.com/manufacturer/national-semiconductor?pageNo=54", "National Semiconductor")</f>
        <v>National Semiconductor</v>
      </c>
      <c r="C457" s="6">
        <v>727</v>
      </c>
      <c r="D457" s="7">
        <v>3.24</v>
      </c>
    </row>
    <row r="458" spans="1:5" x14ac:dyDescent="0.25">
      <c r="A458" t="str">
        <f>HYPERLINK("https://www.773grp.com/globalSearch/LP3965EMP-2.5-NOPB/page-1", "LP3965EMP-2.5-NOPB")</f>
        <v>LP3965EMP-2.5-NOPB</v>
      </c>
      <c r="B458" s="3" t="str">
        <f>HYPERLINK("https://www.773grp.com/manufacturer/national-semiconductor?pageNo=55", "National Semiconductor")</f>
        <v>National Semiconductor</v>
      </c>
      <c r="C458" s="6">
        <v>1000</v>
      </c>
      <c r="D458" s="7">
        <v>3.24</v>
      </c>
      <c r="E458" t="s">
        <v>19</v>
      </c>
    </row>
    <row r="459" spans="1:5" x14ac:dyDescent="0.25">
      <c r="A459" t="str">
        <f>HYPERLINK("https://www.773grp.com/globalSearch/LP3965EMPX-3.3-NOPB/page-1", "LP3965EMPX-3.3-NOPB")</f>
        <v>LP3965EMPX-3.3-NOPB</v>
      </c>
      <c r="B459" s="3" t="str">
        <f>HYPERLINK("https://www.773grp.com/manufacturer/national-semiconductor?pageNo=56", "National Semiconductor")</f>
        <v>National Semiconductor</v>
      </c>
      <c r="C459" s="6">
        <v>4000</v>
      </c>
      <c r="D459" s="7">
        <v>3.24</v>
      </c>
    </row>
    <row r="460" spans="1:5" x14ac:dyDescent="0.25">
      <c r="A460" t="str">
        <f>HYPERLINK("https://www.773grp.com/globalSearch/TLV2624ID/page-1", "TLV2624ID")</f>
        <v>TLV2624ID</v>
      </c>
      <c r="B460" s="3" t="str">
        <f>HYPERLINK("https://www.773grp.com/manufacturer/national-semiconductor?pageNo=57", "National Semiconductor")</f>
        <v>National Semiconductor</v>
      </c>
      <c r="C460" s="6">
        <v>6350</v>
      </c>
      <c r="D460" s="7">
        <v>3.24</v>
      </c>
    </row>
    <row r="461" spans="1:5" x14ac:dyDescent="0.25">
      <c r="A461" t="str">
        <f>HYPERLINK("https://www.773grp.com/globalSearch/54LS109DMQB/page-1", "54LS109DMQB")</f>
        <v>54LS109DMQB</v>
      </c>
      <c r="B461" s="3" t="str">
        <f>HYPERLINK("https://www.773grp.com/manufacturer/national-semiconductor?pageNo=58", "National Semiconductor")</f>
        <v>National Semiconductor</v>
      </c>
      <c r="C461" s="6">
        <v>50</v>
      </c>
      <c r="D461" s="7">
        <v>3.6</v>
      </c>
      <c r="E461" t="s">
        <v>35</v>
      </c>
    </row>
    <row r="462" spans="1:5" x14ac:dyDescent="0.25">
      <c r="A462" t="str">
        <f>HYPERLINK("https://www.773grp.com/globalSearch/DAC0800LCM/page-1", "DAC0800LCM")</f>
        <v>DAC0800LCM</v>
      </c>
      <c r="B462" s="3" t="str">
        <f>HYPERLINK("https://www.773grp.com/manufacturer/national-semiconductor?pageNo=59", "National Semiconductor")</f>
        <v>National Semiconductor</v>
      </c>
      <c r="C462" s="6">
        <v>705</v>
      </c>
      <c r="D462" s="7">
        <v>3.6</v>
      </c>
      <c r="E462" t="s">
        <v>33</v>
      </c>
    </row>
    <row r="463" spans="1:5" x14ac:dyDescent="0.25">
      <c r="A463" t="str">
        <f>HYPERLINK("https://www.773grp.com/globalSearch/DM74LS155N/page-1", "DM74LS155N")</f>
        <v>DM74LS155N</v>
      </c>
      <c r="B463" s="3" t="str">
        <f>HYPERLINK("https://www.773grp.com/manufacturer/national-semiconductor?pageNo=60", "National Semiconductor")</f>
        <v>National Semiconductor</v>
      </c>
      <c r="C463" s="6">
        <v>2</v>
      </c>
      <c r="D463" s="7">
        <v>3.6</v>
      </c>
      <c r="E463" t="s">
        <v>36</v>
      </c>
    </row>
    <row r="464" spans="1:5" x14ac:dyDescent="0.25">
      <c r="A464" t="str">
        <f>HYPERLINK("https://www.773grp.com/globalSearch/DS34C87TM-NOPB/page-1", "DS34C87TM-NOPB")</f>
        <v>DS34C87TM-NOPB</v>
      </c>
      <c r="B464" s="3" t="str">
        <f>HYPERLINK("https://www.773grp.com/manufacturer/national-semiconductor?pageNo=61", "National Semiconductor")</f>
        <v>National Semiconductor</v>
      </c>
      <c r="C464" s="6">
        <v>522</v>
      </c>
      <c r="D464" s="7">
        <v>3.6</v>
      </c>
      <c r="E464" t="s">
        <v>21</v>
      </c>
    </row>
    <row r="465" spans="1:5" x14ac:dyDescent="0.25">
      <c r="A465" t="str">
        <f>HYPERLINK("https://www.773grp.com/globalSearch/DS34C87TMX/page-1", "DS34C87TMX")</f>
        <v>DS34C87TMX</v>
      </c>
      <c r="B465" s="3" t="str">
        <f>HYPERLINK("https://www.773grp.com/manufacturer/national-semiconductor?pageNo=62", "National Semiconductor")</f>
        <v>National Semiconductor</v>
      </c>
      <c r="C465" s="6">
        <v>4490</v>
      </c>
      <c r="D465" s="7">
        <v>3.6</v>
      </c>
      <c r="E465" t="s">
        <v>21</v>
      </c>
    </row>
    <row r="466" spans="1:5" x14ac:dyDescent="0.25">
      <c r="A466" t="str">
        <f>HYPERLINK("https://www.773grp.com/globalSearch/DS3695AM-NOPB/page-1", "DS3695AM-NOPB")</f>
        <v>DS3695AM-NOPB</v>
      </c>
      <c r="B466" s="3" t="str">
        <f>HYPERLINK("https://www.773grp.com/manufacturer/national-semiconductor?pageNo=63", "National Semiconductor")</f>
        <v>National Semiconductor</v>
      </c>
      <c r="C466" s="6">
        <v>940</v>
      </c>
      <c r="D466" s="7">
        <v>3.6</v>
      </c>
      <c r="E466" t="s">
        <v>21</v>
      </c>
    </row>
    <row r="467" spans="1:5" x14ac:dyDescent="0.25">
      <c r="A467" t="str">
        <f>HYPERLINK("https://www.773grp.com/globalSearch/DS90LT012AQMFE-NOPB/page-1", "DS90LT012AQMFE-NOPB")</f>
        <v>DS90LT012AQMFE-NOPB</v>
      </c>
      <c r="B467" s="3" t="str">
        <f>HYPERLINK("https://www.773grp.com/manufacturer/national-semiconductor?pageNo=64", "National Semiconductor")</f>
        <v>National Semiconductor</v>
      </c>
      <c r="C467" s="6">
        <v>250</v>
      </c>
      <c r="D467" s="7">
        <v>3.6</v>
      </c>
    </row>
    <row r="468" spans="1:5" x14ac:dyDescent="0.25">
      <c r="A468" t="str">
        <f>HYPERLINK("https://www.773grp.com/globalSearch/LM2485NA/page-1", "LM2485NA")</f>
        <v>LM2485NA</v>
      </c>
      <c r="B468" s="3" t="str">
        <f>HYPERLINK("https://www.773grp.com/manufacturer/national-semiconductor?pageNo=65", "National Semiconductor")</f>
        <v>National Semiconductor</v>
      </c>
      <c r="C468" s="6">
        <v>7505</v>
      </c>
      <c r="D468" s="7">
        <v>3.6</v>
      </c>
      <c r="E468" t="s">
        <v>23</v>
      </c>
    </row>
    <row r="469" spans="1:5" x14ac:dyDescent="0.25">
      <c r="A469" t="str">
        <f>HYPERLINK("https://www.773grp.com/globalSearch/LM2937IMP-10-NOPB/page-1", "LM2937IMP-10-NOPB")</f>
        <v>LM2937IMP-10-NOPB</v>
      </c>
      <c r="B469" s="3" t="str">
        <f>HYPERLINK("https://www.773grp.com/manufacturer/national-semiconductor?pageNo=66", "National Semiconductor")</f>
        <v>National Semiconductor</v>
      </c>
      <c r="C469" s="6">
        <v>1000</v>
      </c>
      <c r="D469" s="7">
        <v>3.6</v>
      </c>
      <c r="E469" t="s">
        <v>19</v>
      </c>
    </row>
    <row r="470" spans="1:5" x14ac:dyDescent="0.25">
      <c r="A470" t="str">
        <f>HYPERLINK("https://www.773grp.com/globalSearch/LM2937IMP-12-NOPB/page-1", "LM2937IMP-12-NOPB")</f>
        <v>LM2937IMP-12-NOPB</v>
      </c>
      <c r="B470" s="3" t="str">
        <f>HYPERLINK("https://www.773grp.com/manufacturer/national-semiconductor?pageNo=67", "National Semiconductor")</f>
        <v>National Semiconductor</v>
      </c>
      <c r="C470" s="6">
        <v>3015</v>
      </c>
      <c r="D470" s="7">
        <v>3.6</v>
      </c>
      <c r="E470" t="s">
        <v>19</v>
      </c>
    </row>
    <row r="471" spans="1:5" x14ac:dyDescent="0.25">
      <c r="A471" t="str">
        <f>HYPERLINK("https://www.773grp.com/globalSearch/LM2937IMP-8.0/page-1", "LM2937IMP-8.0")</f>
        <v>LM2937IMP-8.0</v>
      </c>
      <c r="B471" s="3" t="str">
        <f>HYPERLINK("https://www.773grp.com/manufacturer/national-semiconductor?pageNo=68", "National Semiconductor")</f>
        <v>National Semiconductor</v>
      </c>
      <c r="C471" s="6">
        <v>18500</v>
      </c>
      <c r="D471" s="7">
        <v>3.6</v>
      </c>
      <c r="E471" t="s">
        <v>19</v>
      </c>
    </row>
    <row r="472" spans="1:5" x14ac:dyDescent="0.25">
      <c r="A472" t="str">
        <f>HYPERLINK("https://www.773grp.com/globalSearch/LM2937IMP-8.0-NOPB/page-1", "LM2937IMP-8.0-NOPB")</f>
        <v>LM2937IMP-8.0-NOPB</v>
      </c>
      <c r="B472" s="3" t="str">
        <f>HYPERLINK("https://www.773grp.com/manufacturer/national-semiconductor?pageNo=69", "National Semiconductor")</f>
        <v>National Semiconductor</v>
      </c>
      <c r="C472" s="6">
        <v>9000</v>
      </c>
      <c r="D472" s="7">
        <v>3.6</v>
      </c>
      <c r="E472" t="s">
        <v>19</v>
      </c>
    </row>
    <row r="473" spans="1:5" x14ac:dyDescent="0.25">
      <c r="A473" t="str">
        <f>HYPERLINK("https://www.773grp.com/globalSearch/LM2937IMPX-10-NOPB/page-1", "LM2937IMPX-10-NOPB")</f>
        <v>LM2937IMPX-10-NOPB</v>
      </c>
      <c r="B473" s="3" t="str">
        <f>HYPERLINK("https://www.773grp.com/manufacturer/national-semiconductor?pageNo=70", "National Semiconductor")</f>
        <v>National Semiconductor</v>
      </c>
      <c r="C473" s="6">
        <v>42000</v>
      </c>
      <c r="D473" s="7">
        <v>3.6</v>
      </c>
      <c r="E473" t="s">
        <v>19</v>
      </c>
    </row>
    <row r="474" spans="1:5" x14ac:dyDescent="0.25">
      <c r="A474" t="str">
        <f>HYPERLINK("https://www.773grp.com/globalSearch/LM2937IMPX-12-NOPB/page-1", "LM2937IMPX-12-NOPB")</f>
        <v>LM2937IMPX-12-NOPB</v>
      </c>
      <c r="B474" s="3" t="str">
        <f>HYPERLINK("https://www.773grp.com/manufacturer/national-semiconductor?pageNo=71", "National Semiconductor")</f>
        <v>National Semiconductor</v>
      </c>
      <c r="C474" s="6">
        <v>4000</v>
      </c>
      <c r="D474" s="7">
        <v>3.6</v>
      </c>
      <c r="E474" t="s">
        <v>19</v>
      </c>
    </row>
    <row r="475" spans="1:5" x14ac:dyDescent="0.25">
      <c r="A475" t="str">
        <f>HYPERLINK("https://www.773grp.com/globalSearch/LM2937IMPX-15-NOPB/page-1", "LM2937IMPX-15-NOPB")</f>
        <v>LM2937IMPX-15-NOPB</v>
      </c>
      <c r="B475" s="3" t="str">
        <f>HYPERLINK("https://www.773grp.com/manufacturer/national-semiconductor?pageNo=72", "National Semiconductor")</f>
        <v>National Semiconductor</v>
      </c>
      <c r="C475" s="6">
        <v>1501</v>
      </c>
      <c r="D475" s="7">
        <v>3.6</v>
      </c>
      <c r="E475" t="s">
        <v>19</v>
      </c>
    </row>
    <row r="476" spans="1:5" x14ac:dyDescent="0.25">
      <c r="A476" t="str">
        <f>HYPERLINK("https://www.773grp.com/globalSearch/LM2937IMPX-2.5/page-1", "LM2937IMPX-2.5")</f>
        <v>LM2937IMPX-2.5</v>
      </c>
      <c r="B476" s="3" t="str">
        <f>HYPERLINK("https://www.773grp.com/manufacturer/national-semiconductor?pageNo=73", "National Semiconductor")</f>
        <v>National Semiconductor</v>
      </c>
      <c r="C476" s="6">
        <v>2000</v>
      </c>
      <c r="D476" s="7">
        <v>3.6</v>
      </c>
      <c r="E476" t="s">
        <v>19</v>
      </c>
    </row>
    <row r="477" spans="1:5" x14ac:dyDescent="0.25">
      <c r="A477" t="str">
        <f>HYPERLINK("https://www.773grp.com/globalSearch/LM2937IMPX-3.3-NOPB/page-1", "LM2937IMPX-3.3-NOPB")</f>
        <v>LM2937IMPX-3.3-NOPB</v>
      </c>
      <c r="B477" s="3" t="str">
        <f>HYPERLINK("https://www.773grp.com/manufacturer/national-semiconductor?pageNo=74", "National Semiconductor")</f>
        <v>National Semiconductor</v>
      </c>
      <c r="C477" s="6">
        <v>2000</v>
      </c>
      <c r="D477" s="7">
        <v>3.6</v>
      </c>
      <c r="E477" t="s">
        <v>19</v>
      </c>
    </row>
    <row r="478" spans="1:5" x14ac:dyDescent="0.25">
      <c r="A478" t="str">
        <f>HYPERLINK("https://www.773grp.com/globalSearch/LM2937IMPX-5.0-NOPB/page-1", "LM2937IMPX-5.0-NOPB")</f>
        <v>LM2937IMPX-5.0-NOPB</v>
      </c>
      <c r="B478" s="3" t="str">
        <f>HYPERLINK("https://www.773grp.com/manufacturer/national-semiconductor?pageNo=75", "National Semiconductor")</f>
        <v>National Semiconductor</v>
      </c>
      <c r="C478" s="6">
        <v>22000</v>
      </c>
      <c r="D478" s="7">
        <v>3.6</v>
      </c>
      <c r="E478" t="s">
        <v>19</v>
      </c>
    </row>
    <row r="479" spans="1:5" x14ac:dyDescent="0.25">
      <c r="A479" t="str">
        <f>HYPERLINK("https://www.773grp.com/globalSearch/LM2941LD-NOPB/page-1", "LM2941LD-NOPB")</f>
        <v>LM2941LD-NOPB</v>
      </c>
      <c r="B479" s="3" t="str">
        <f>HYPERLINK("https://www.773grp.com/manufacturer/national-semiconductor?pageNo=76", "National Semiconductor")</f>
        <v>National Semiconductor</v>
      </c>
      <c r="C479" s="6">
        <v>2</v>
      </c>
      <c r="D479" s="7">
        <v>3.6</v>
      </c>
      <c r="E479" t="s">
        <v>25</v>
      </c>
    </row>
    <row r="480" spans="1:5" x14ac:dyDescent="0.25">
      <c r="A480" t="str">
        <f>HYPERLINK("https://www.773grp.com/globalSearch/LM2941LDX-NOPB/page-1", "LM2941LDX-NOPB")</f>
        <v>LM2941LDX-NOPB</v>
      </c>
      <c r="B480" s="3" t="str">
        <f>HYPERLINK("https://www.773grp.com/manufacturer/national-semiconductor?pageNo=77", "National Semiconductor")</f>
        <v>National Semiconductor</v>
      </c>
      <c r="C480" s="6">
        <v>24000</v>
      </c>
      <c r="D480" s="7">
        <v>3.6</v>
      </c>
      <c r="E480" t="s">
        <v>25</v>
      </c>
    </row>
    <row r="481" spans="1:5" x14ac:dyDescent="0.25">
      <c r="A481" t="str">
        <f>HYPERLINK("https://www.773grp.com/globalSearch/LM337T-NOPB/page-1", "LM337T-NOPB")</f>
        <v>LM337T-NOPB</v>
      </c>
      <c r="B481" s="3" t="str">
        <f>HYPERLINK("https://www.773grp.com/manufacturer/national-semiconductor?pageNo=78", "National Semiconductor")</f>
        <v>National Semiconductor</v>
      </c>
      <c r="C481" s="6">
        <v>2383</v>
      </c>
      <c r="D481" s="7">
        <v>3.6</v>
      </c>
      <c r="E481" t="s">
        <v>37</v>
      </c>
    </row>
    <row r="482" spans="1:5" x14ac:dyDescent="0.25">
      <c r="A482" t="str">
        <f>HYPERLINK("https://www.773grp.com/globalSearch/LM3557SD-2-NOPB/page-1", "LM3557SD-2-NOPB")</f>
        <v>LM3557SD-2-NOPB</v>
      </c>
      <c r="B482" s="3" t="str">
        <f>HYPERLINK("https://www.773grp.com/manufacturer/national-semiconductor?pageNo=79", "National Semiconductor")</f>
        <v>National Semiconductor</v>
      </c>
      <c r="C482" s="6">
        <v>1505</v>
      </c>
      <c r="D482" s="7">
        <v>3.6</v>
      </c>
    </row>
    <row r="483" spans="1:5" x14ac:dyDescent="0.25">
      <c r="A483" t="str">
        <f>HYPERLINK("https://www.773grp.com/globalSearch/LM35DMX/page-1", "LM35DMX")</f>
        <v>LM35DMX</v>
      </c>
      <c r="B483" s="3" t="str">
        <f>HYPERLINK("https://www.773grp.com/manufacturer/national-semiconductor?pageNo=80", "National Semiconductor")</f>
        <v>National Semiconductor</v>
      </c>
      <c r="C483" s="6">
        <v>2500</v>
      </c>
      <c r="D483" s="7">
        <v>3.6</v>
      </c>
      <c r="E483" t="s">
        <v>8</v>
      </c>
    </row>
    <row r="484" spans="1:5" x14ac:dyDescent="0.25">
      <c r="A484" t="str">
        <f>HYPERLINK("https://www.773grp.com/globalSearch/LM4674SQ-NOPB/page-1", "LM4674SQ-NOPB")</f>
        <v>LM4674SQ-NOPB</v>
      </c>
      <c r="B484" s="3" t="str">
        <f>HYPERLINK("https://www.773grp.com/manufacturer/national-semiconductor?pageNo=81", "National Semiconductor")</f>
        <v>National Semiconductor</v>
      </c>
      <c r="C484" s="6">
        <v>11400</v>
      </c>
      <c r="D484" s="7">
        <v>3.6</v>
      </c>
    </row>
    <row r="485" spans="1:5" x14ac:dyDescent="0.25">
      <c r="A485" t="str">
        <f>HYPERLINK("https://www.773grp.com/globalSearch/LM4850MM-NOPB/page-1", "LM4850MM-NOPB")</f>
        <v>LM4850MM-NOPB</v>
      </c>
      <c r="B485" s="3" t="str">
        <f>HYPERLINK("https://www.773grp.com/manufacturer/national-semiconductor?pageNo=82", "National Semiconductor")</f>
        <v>National Semiconductor</v>
      </c>
      <c r="C485" s="6">
        <v>2000</v>
      </c>
      <c r="D485" s="7">
        <v>3.6</v>
      </c>
      <c r="E485" t="s">
        <v>18</v>
      </c>
    </row>
    <row r="486" spans="1:5" x14ac:dyDescent="0.25">
      <c r="A486" t="str">
        <f>HYPERLINK("https://www.773grp.com/globalSearch/LM4876M-NOPB/page-1", "LM4876M-NOPB")</f>
        <v>LM4876M-NOPB</v>
      </c>
      <c r="B486" s="3" t="str">
        <f>HYPERLINK("https://www.773grp.com/manufacturer/national-semiconductor?pageNo=83", "National Semiconductor")</f>
        <v>National Semiconductor</v>
      </c>
      <c r="C486" s="6">
        <v>235</v>
      </c>
      <c r="D486" s="7">
        <v>3.6</v>
      </c>
      <c r="E486" t="s">
        <v>18</v>
      </c>
    </row>
    <row r="487" spans="1:5" x14ac:dyDescent="0.25">
      <c r="A487" t="str">
        <f>HYPERLINK("https://www.773grp.com/globalSearch/LM48820TM-NOPB/page-1", "LM48820TM-NOPB")</f>
        <v>LM48820TM-NOPB</v>
      </c>
      <c r="B487" s="3" t="str">
        <f>HYPERLINK("https://www.773grp.com/manufacturer/national-semiconductor?pageNo=84", "National Semiconductor")</f>
        <v>National Semiconductor</v>
      </c>
      <c r="C487" s="6">
        <v>9860</v>
      </c>
      <c r="D487" s="7">
        <v>3.6</v>
      </c>
      <c r="E487" t="s">
        <v>18</v>
      </c>
    </row>
    <row r="488" spans="1:5" x14ac:dyDescent="0.25">
      <c r="A488" t="str">
        <f>HYPERLINK("https://www.773grp.com/globalSearch/LM4894MM-NOPB/page-1", "LM4894MM-NOPB")</f>
        <v>LM4894MM-NOPB</v>
      </c>
      <c r="B488" s="3" t="str">
        <f>HYPERLINK("https://www.773grp.com/manufacturer/national-semiconductor?pageNo=85", "National Semiconductor")</f>
        <v>National Semiconductor</v>
      </c>
      <c r="C488" s="6">
        <v>12</v>
      </c>
      <c r="D488" s="7">
        <v>3.6</v>
      </c>
      <c r="E488" t="s">
        <v>18</v>
      </c>
    </row>
    <row r="489" spans="1:5" x14ac:dyDescent="0.25">
      <c r="A489" t="str">
        <f>HYPERLINK("https://www.773grp.com/globalSearch/LM4990ITLX-NOPB/page-1", "LM4990ITLX-NOPB")</f>
        <v>LM4990ITLX-NOPB</v>
      </c>
      <c r="B489" s="3" t="str">
        <f>HYPERLINK("https://www.773grp.com/manufacturer/national-semiconductor?pageNo=86", "National Semiconductor")</f>
        <v>National Semiconductor</v>
      </c>
      <c r="C489" s="6">
        <v>1563000</v>
      </c>
      <c r="D489" s="7">
        <v>3.6</v>
      </c>
      <c r="E489" t="s">
        <v>18</v>
      </c>
    </row>
    <row r="490" spans="1:5" x14ac:dyDescent="0.25">
      <c r="A490" t="str">
        <f>HYPERLINK("https://www.773grp.com/globalSearch/LM4990LD-NOPB/page-1", "LM4990LD-NOPB")</f>
        <v>LM4990LD-NOPB</v>
      </c>
      <c r="B490" s="3" t="str">
        <f>HYPERLINK("https://www.773grp.com/manufacturer/national-semiconductor?pageNo=87", "National Semiconductor")</f>
        <v>National Semiconductor</v>
      </c>
      <c r="C490" s="6">
        <v>106</v>
      </c>
      <c r="D490" s="7">
        <v>3.6</v>
      </c>
      <c r="E490" t="s">
        <v>18</v>
      </c>
    </row>
    <row r="491" spans="1:5" x14ac:dyDescent="0.25">
      <c r="A491" t="str">
        <f>HYPERLINK("https://www.773grp.com/globalSearch/LM4990MH-NOPB/page-1", "LM4990MH-NOPB")</f>
        <v>LM4990MH-NOPB</v>
      </c>
      <c r="B491" s="3" t="str">
        <f>HYPERLINK("https://www.773grp.com/manufacturer/national-semiconductor?pageNo=88", "National Semiconductor")</f>
        <v>National Semiconductor</v>
      </c>
      <c r="C491" s="6">
        <v>7500</v>
      </c>
      <c r="D491" s="7">
        <v>3.6</v>
      </c>
      <c r="E491" t="s">
        <v>18</v>
      </c>
    </row>
    <row r="492" spans="1:5" x14ac:dyDescent="0.25">
      <c r="A492" t="str">
        <f>HYPERLINK("https://www.773grp.com/globalSearch/LM4990MM-NOPB/page-1", "LM4990MM-NOPB")</f>
        <v>LM4990MM-NOPB</v>
      </c>
      <c r="B492" s="3" t="str">
        <f>HYPERLINK("https://www.773grp.com/manufacturer/national-semiconductor?pageNo=89", "National Semiconductor")</f>
        <v>National Semiconductor</v>
      </c>
      <c r="C492" s="6">
        <v>139</v>
      </c>
      <c r="D492" s="7">
        <v>3.6</v>
      </c>
      <c r="E492" t="s">
        <v>18</v>
      </c>
    </row>
    <row r="493" spans="1:5" x14ac:dyDescent="0.25">
      <c r="A493" t="str">
        <f>HYPERLINK("https://www.773grp.com/globalSearch/LM4991MA-NOPB/page-1", "LM4991MA-NOPB")</f>
        <v>LM4991MA-NOPB</v>
      </c>
      <c r="B493" s="3" t="str">
        <f>HYPERLINK("https://www.773grp.com/manufacturer/national-semiconductor?pageNo=90", "National Semiconductor")</f>
        <v>National Semiconductor</v>
      </c>
      <c r="C493" s="6">
        <v>2512</v>
      </c>
      <c r="D493" s="7">
        <v>3.6</v>
      </c>
      <c r="E493" t="s">
        <v>18</v>
      </c>
    </row>
    <row r="494" spans="1:5" x14ac:dyDescent="0.25">
      <c r="A494" t="str">
        <f>HYPERLINK("https://www.773grp.com/globalSearch/LMH6643MAX-NOPB/page-1", "LMH6643MAX-NOPB")</f>
        <v>LMH6643MAX-NOPB</v>
      </c>
      <c r="B494" s="3" t="str">
        <f>HYPERLINK("https://www.773grp.com/manufacturer/national-semiconductor?pageNo=91", "National Semiconductor")</f>
        <v>National Semiconductor</v>
      </c>
      <c r="C494" s="6">
        <v>760</v>
      </c>
      <c r="D494" s="7">
        <v>3.6</v>
      </c>
      <c r="E494" t="s">
        <v>18</v>
      </c>
    </row>
    <row r="495" spans="1:5" x14ac:dyDescent="0.25">
      <c r="A495" t="str">
        <f>HYPERLINK("https://www.773grp.com/globalSearch/LMH6643MM-NOPB/page-1", "LMH6643MM-NOPB")</f>
        <v>LMH6643MM-NOPB</v>
      </c>
      <c r="B495" s="3" t="str">
        <f>HYPERLINK("https://www.773grp.com/manufacturer/national-semiconductor?pageNo=92", "National Semiconductor")</f>
        <v>National Semiconductor</v>
      </c>
      <c r="C495" s="6">
        <v>5689</v>
      </c>
      <c r="D495" s="7">
        <v>3.6</v>
      </c>
      <c r="E495" t="s">
        <v>18</v>
      </c>
    </row>
    <row r="496" spans="1:5" x14ac:dyDescent="0.25">
      <c r="A496" t="str">
        <f>HYPERLINK("https://www.773grp.com/globalSearch/LMH6643MMX-NOPB/page-1", "LMH6643MMX-NOPB")</f>
        <v>LMH6643MMX-NOPB</v>
      </c>
      <c r="B496" s="3" t="str">
        <f>HYPERLINK("https://www.773grp.com/manufacturer/national-semiconductor?pageNo=93", "National Semiconductor")</f>
        <v>National Semiconductor</v>
      </c>
      <c r="C496" s="6">
        <v>20500</v>
      </c>
      <c r="D496" s="7">
        <v>3.6</v>
      </c>
      <c r="E496" t="s">
        <v>18</v>
      </c>
    </row>
    <row r="497" spans="1:5" x14ac:dyDescent="0.25">
      <c r="A497" t="str">
        <f>HYPERLINK("https://www.773grp.com/globalSearch/LMX1600SLBX/page-1", "LMX1600SLBX")</f>
        <v>LMX1600SLBX</v>
      </c>
      <c r="B497" s="3" t="str">
        <f>HYPERLINK("https://www.773grp.com/manufacturer/national-semiconductor?pageNo=94", "National Semiconductor")</f>
        <v>National Semiconductor</v>
      </c>
      <c r="C497" s="6">
        <v>2500</v>
      </c>
      <c r="D497" s="7">
        <v>3.6</v>
      </c>
      <c r="E497" t="s">
        <v>38</v>
      </c>
    </row>
    <row r="498" spans="1:5" x14ac:dyDescent="0.25">
      <c r="A498" t="str">
        <f>HYPERLINK("https://www.773grp.com/globalSearch/DS34C87TM-NOPB/page-1", "DS34C87TM-NOPB")</f>
        <v>DS34C87TM-NOPB</v>
      </c>
      <c r="B498" s="3" t="str">
        <f>HYPERLINK("https://www.773grp.com/manufacturer/national-semiconductor?pageNo=95", "National Semiconductor")</f>
        <v>National Semiconductor</v>
      </c>
      <c r="C498" s="6">
        <v>845</v>
      </c>
      <c r="D498" s="7">
        <v>3.6</v>
      </c>
      <c r="E498" t="s">
        <v>21</v>
      </c>
    </row>
    <row r="499" spans="1:5" x14ac:dyDescent="0.25">
      <c r="A499" t="str">
        <f>HYPERLINK("https://www.773grp.com/globalSearch/DS3695AM-NOPB/page-1", "DS3695AM-NOPB")</f>
        <v>DS3695AM-NOPB</v>
      </c>
      <c r="B499" s="3" t="str">
        <f>HYPERLINK("https://www.773grp.com/manufacturer/national-semiconductor?pageNo=96", "National Semiconductor")</f>
        <v>National Semiconductor</v>
      </c>
      <c r="C499" s="6">
        <v>609</v>
      </c>
      <c r="D499" s="7">
        <v>3.6</v>
      </c>
      <c r="E499" t="s">
        <v>21</v>
      </c>
    </row>
    <row r="500" spans="1:5" x14ac:dyDescent="0.25">
      <c r="A500" t="str">
        <f>HYPERLINK("https://www.773grp.com/globalSearch/LM2937IMP-2.5-NOPB/page-1", "LM2937IMP-2.5-NOPB")</f>
        <v>LM2937IMP-2.5-NOPB</v>
      </c>
      <c r="B500" s="3" t="str">
        <f>HYPERLINK("https://www.773grp.com/manufacturer/national-semiconductor?pageNo=97", "National Semiconductor")</f>
        <v>National Semiconductor</v>
      </c>
      <c r="C500" s="6">
        <v>192</v>
      </c>
      <c r="D500" s="7">
        <v>3.6</v>
      </c>
    </row>
    <row r="501" spans="1:5" x14ac:dyDescent="0.25">
      <c r="A501" t="str">
        <f>HYPERLINK("https://www.773grp.com/globalSearch/LM2937IMP-3.3-NOPB/page-1", "LM2937IMP-3.3-NOPB")</f>
        <v>LM2937IMP-3.3-NOPB</v>
      </c>
      <c r="B501" s="3" t="str">
        <f>HYPERLINK("https://www.773grp.com/manufacturer/national-semiconductor?pageNo=98", "National Semiconductor")</f>
        <v>National Semiconductor</v>
      </c>
      <c r="C501" s="6">
        <v>27</v>
      </c>
      <c r="D501" s="7">
        <v>3.6</v>
      </c>
    </row>
    <row r="502" spans="1:5" x14ac:dyDescent="0.25">
      <c r="A502" t="str">
        <f>HYPERLINK("https://www.773grp.com/globalSearch/LM2937IMPX-10-NOPB/page-1", "LM2937IMPX-10-NOPB")</f>
        <v>LM2937IMPX-10-NOPB</v>
      </c>
      <c r="B502" s="3" t="str">
        <f>HYPERLINK("https://www.773grp.com/manufacturer/national-semiconductor?pageNo=99", "National Semiconductor")</f>
        <v>National Semiconductor</v>
      </c>
      <c r="C502" s="6">
        <v>1885</v>
      </c>
      <c r="D502" s="7">
        <v>3.6</v>
      </c>
      <c r="E502" t="s">
        <v>19</v>
      </c>
    </row>
    <row r="503" spans="1:5" x14ac:dyDescent="0.25">
      <c r="A503" t="str">
        <f>HYPERLINK("https://www.773grp.com/globalSearch/LM2937IMPX-12-NOPB/page-1", "LM2937IMPX-12-NOPB")</f>
        <v>LM2937IMPX-12-NOPB</v>
      </c>
      <c r="B503" s="3" t="str">
        <f>HYPERLINK("https://www.773grp.com/manufacturer/national-semiconductor?pageNo=100", "National Semiconductor")</f>
        <v>National Semiconductor</v>
      </c>
      <c r="C503" s="6">
        <v>2102</v>
      </c>
      <c r="D503" s="7">
        <v>3.6</v>
      </c>
      <c r="E503" t="s">
        <v>19</v>
      </c>
    </row>
    <row r="504" spans="1:5" x14ac:dyDescent="0.25">
      <c r="A504" t="str">
        <f>HYPERLINK("https://www.773grp.com/globalSearch/LM2937IMPX-8.0-NOPB/page-1", "LM2937IMPX-8.0-NOPB")</f>
        <v>LM2937IMPX-8.0-NOPB</v>
      </c>
      <c r="B504" s="3" t="str">
        <f>HYPERLINK("https://www.773grp.com/manufacturer/national-semiconductor?pageNo=101", "National Semiconductor")</f>
        <v>National Semiconductor</v>
      </c>
      <c r="C504" s="6">
        <v>891</v>
      </c>
      <c r="D504" s="7">
        <v>3.6</v>
      </c>
    </row>
    <row r="505" spans="1:5" x14ac:dyDescent="0.25">
      <c r="A505" t="str">
        <f>HYPERLINK("https://www.773grp.com/globalSearch/LM2937IMPX-8.0-NOPB/page-1", "LM2937IMPX-8.0-NOPB")</f>
        <v>LM2937IMPX-8.0-NOPB</v>
      </c>
      <c r="B505" s="3" t="str">
        <f>HYPERLINK("https://www.773grp.com/manufacturer/national-semiconductor?pageNo=102", "National Semiconductor")</f>
        <v>National Semiconductor</v>
      </c>
      <c r="C505" s="6">
        <v>4300</v>
      </c>
      <c r="D505" s="7">
        <v>3.6</v>
      </c>
    </row>
    <row r="506" spans="1:5" x14ac:dyDescent="0.25">
      <c r="A506" t="str">
        <f>HYPERLINK("https://www.773grp.com/globalSearch/LM2941LD-NOPB/page-1", "LM2941LD-NOPB")</f>
        <v>LM2941LD-NOPB</v>
      </c>
      <c r="B506" s="3" t="str">
        <f>HYPERLINK("https://www.773grp.com/manufacturer/national-semiconductor?pageNo=103", "National Semiconductor")</f>
        <v>National Semiconductor</v>
      </c>
      <c r="C506" s="6">
        <v>2002</v>
      </c>
      <c r="D506" s="7">
        <v>3.6</v>
      </c>
      <c r="E506" t="s">
        <v>25</v>
      </c>
    </row>
    <row r="507" spans="1:5" x14ac:dyDescent="0.25">
      <c r="A507" t="str">
        <f>HYPERLINK("https://www.773grp.com/globalSearch/LM2941LDX-NOPB/page-1", "LM2941LDX-NOPB")</f>
        <v>LM2941LDX-NOPB</v>
      </c>
      <c r="B507" s="3" t="str">
        <f>HYPERLINK("https://www.773grp.com/manufacturer/national-semiconductor?pageNo=104", "National Semiconductor")</f>
        <v>National Semiconductor</v>
      </c>
      <c r="C507" s="6">
        <v>21174</v>
      </c>
      <c r="D507" s="7">
        <v>3.6</v>
      </c>
      <c r="E507" t="s">
        <v>25</v>
      </c>
    </row>
    <row r="508" spans="1:5" x14ac:dyDescent="0.25">
      <c r="A508" t="str">
        <f>HYPERLINK("https://www.773grp.com/globalSearch/LM337T-NOPB/page-1", "LM337T-NOPB")</f>
        <v>LM337T-NOPB</v>
      </c>
      <c r="B508" s="3" t="str">
        <f>HYPERLINK("https://www.773grp.com/manufacturer/national-semiconductor?pageNo=105", "National Semiconductor")</f>
        <v>National Semiconductor</v>
      </c>
      <c r="C508" s="6">
        <v>254</v>
      </c>
      <c r="D508" s="7">
        <v>3.6</v>
      </c>
      <c r="E508" t="s">
        <v>37</v>
      </c>
    </row>
    <row r="509" spans="1:5" x14ac:dyDescent="0.25">
      <c r="A509" t="str">
        <f>HYPERLINK("https://www.773grp.com/globalSearch/LM35DMX/page-1", "LM35DMX")</f>
        <v>LM35DMX</v>
      </c>
      <c r="B509" s="3" t="str">
        <f>HYPERLINK("https://www.773grp.com/manufacturer/national-semiconductor?pageNo=106", "National Semiconductor")</f>
        <v>National Semiconductor</v>
      </c>
      <c r="C509" s="6">
        <v>1499</v>
      </c>
      <c r="D509" s="7">
        <v>3.6</v>
      </c>
      <c r="E509" t="s">
        <v>8</v>
      </c>
    </row>
    <row r="510" spans="1:5" x14ac:dyDescent="0.25">
      <c r="A510" t="str">
        <f>HYPERLINK("https://www.773grp.com/globalSearch/LM4876M-NOPB/page-1", "LM4876M-NOPB")</f>
        <v>LM4876M-NOPB</v>
      </c>
      <c r="B510" s="3" t="str">
        <f>HYPERLINK("https://www.773grp.com/manufacturer/national-semiconductor?pageNo=107", "National Semiconductor")</f>
        <v>National Semiconductor</v>
      </c>
      <c r="C510" s="6">
        <v>225</v>
      </c>
      <c r="D510" s="7">
        <v>3.6</v>
      </c>
      <c r="E510" t="s">
        <v>18</v>
      </c>
    </row>
    <row r="511" spans="1:5" x14ac:dyDescent="0.25">
      <c r="A511" t="str">
        <f>HYPERLINK("https://www.773grp.com/globalSearch/LM4990ITLX-NOPB/page-1", "LM4990ITLX-NOPB")</f>
        <v>LM4990ITLX-NOPB</v>
      </c>
      <c r="B511" s="3" t="str">
        <f>HYPERLINK("https://www.773grp.com/manufacturer/national-semiconductor?pageNo=108", "National Semiconductor")</f>
        <v>National Semiconductor</v>
      </c>
      <c r="C511" s="6">
        <v>3000</v>
      </c>
      <c r="D511" s="7">
        <v>3.6</v>
      </c>
      <c r="E511" t="s">
        <v>18</v>
      </c>
    </row>
    <row r="512" spans="1:5" x14ac:dyDescent="0.25">
      <c r="A512" t="str">
        <f>HYPERLINK("https://www.773grp.com/globalSearch/LM4990LD-NOPB/page-1", "LM4990LD-NOPB")</f>
        <v>LM4990LD-NOPB</v>
      </c>
      <c r="B512" s="3" t="str">
        <f>HYPERLINK("https://www.773grp.com/manufacturer/national-semiconductor?pageNo=109", "National Semiconductor")</f>
        <v>National Semiconductor</v>
      </c>
      <c r="C512" s="6">
        <v>1000</v>
      </c>
      <c r="D512" s="7">
        <v>3.6</v>
      </c>
      <c r="E512" t="s">
        <v>18</v>
      </c>
    </row>
    <row r="513" spans="1:5" x14ac:dyDescent="0.25">
      <c r="A513" t="str">
        <f>HYPERLINK("https://www.773grp.com/globalSearch/LM4991MA-NOPB/page-1", "LM4991MA-NOPB")</f>
        <v>LM4991MA-NOPB</v>
      </c>
      <c r="B513" s="3" t="str">
        <f>HYPERLINK("https://www.773grp.com/manufacturer/national-semiconductor?pageNo=110", "National Semiconductor")</f>
        <v>National Semiconductor</v>
      </c>
      <c r="C513" s="6">
        <v>215</v>
      </c>
      <c r="D513" s="7">
        <v>3.6</v>
      </c>
      <c r="E513" t="s">
        <v>18</v>
      </c>
    </row>
    <row r="514" spans="1:5" x14ac:dyDescent="0.25">
      <c r="A514" t="str">
        <f>HYPERLINK("https://www.773grp.com/globalSearch/LM567CM-NOPB/page-1", "LM567CM-NOPB")</f>
        <v>LM567CM-NOPB</v>
      </c>
      <c r="B514" s="3" t="str">
        <f>HYPERLINK("https://www.773grp.com/manufacturer/national-semiconductor?pageNo=111", "National Semiconductor")</f>
        <v>National Semiconductor</v>
      </c>
      <c r="C514" s="6">
        <v>1038</v>
      </c>
      <c r="D514" s="7">
        <v>3.6</v>
      </c>
    </row>
    <row r="515" spans="1:5" x14ac:dyDescent="0.25">
      <c r="A515" t="str">
        <f>HYPERLINK("https://www.773grp.com/globalSearch/LMH6643MAX-NOPB/page-1", "LMH6643MAX-NOPB")</f>
        <v>LMH6643MAX-NOPB</v>
      </c>
      <c r="B515" s="3" t="str">
        <f>HYPERLINK("https://www.773grp.com/manufacturer/national-semiconductor?pageNo=112", "National Semiconductor")</f>
        <v>National Semiconductor</v>
      </c>
      <c r="C515" s="6">
        <v>2500</v>
      </c>
      <c r="D515" s="7">
        <v>3.6</v>
      </c>
      <c r="E515" t="s">
        <v>18</v>
      </c>
    </row>
    <row r="516" spans="1:5" x14ac:dyDescent="0.25">
      <c r="A516" t="str">
        <f>HYPERLINK("https://www.773grp.com/globalSearch/SM72480SDE-105-NOPB/page-1", "SM72480SDE-105-NOPB")</f>
        <v>SM72480SDE-105-NOPB</v>
      </c>
      <c r="B516" s="3" t="str">
        <f>HYPERLINK("https://www.773grp.com/manufacturer/national-semiconductor?pageNo=113", "National Semiconductor")</f>
        <v>National Semiconductor</v>
      </c>
      <c r="C516" s="6">
        <v>750</v>
      </c>
      <c r="D516" s="7">
        <v>3.6</v>
      </c>
    </row>
    <row r="517" spans="1:5" x14ac:dyDescent="0.25">
      <c r="A517" t="str">
        <f>HYPERLINK("https://www.773grp.com/globalSearch/54LS175DM/page-1", "54LS175DM")</f>
        <v>54LS175DM</v>
      </c>
      <c r="B517" s="3" t="str">
        <f>HYPERLINK("https://www.773grp.com/manufacturer/national-semiconductor?pageNo=114", "National Semiconductor")</f>
        <v>National Semiconductor</v>
      </c>
      <c r="C517" s="6">
        <v>103</v>
      </c>
      <c r="D517" s="7">
        <v>3.26</v>
      </c>
    </row>
    <row r="518" spans="1:5" x14ac:dyDescent="0.25">
      <c r="A518" t="str">
        <f>HYPERLINK("https://www.773grp.com/globalSearch/ADC121C021CIMK-NOPB/page-1", "ADC121C021CIMK-NOPB")</f>
        <v>ADC121C021CIMK-NOPB</v>
      </c>
      <c r="B518" s="3" t="str">
        <f>HYPERLINK("https://www.773grp.com/manufacturer/national-semiconductor?pageNo=115", "National Semiconductor")</f>
        <v>National Semiconductor</v>
      </c>
      <c r="C518" s="6">
        <v>1000</v>
      </c>
      <c r="D518" s="7">
        <v>3.26</v>
      </c>
    </row>
    <row r="519" spans="1:5" x14ac:dyDescent="0.25">
      <c r="A519" t="str">
        <f>HYPERLINK("https://www.773grp.com/globalSearch/ADC121C021CIMM-NOPB/page-1", "ADC121C021CIMM-NOPB")</f>
        <v>ADC121C021CIMM-NOPB</v>
      </c>
      <c r="B519" s="3" t="str">
        <f>HYPERLINK("https://www.773grp.com/manufacturer/national-semiconductor?pageNo=116", "National Semiconductor")</f>
        <v>National Semiconductor</v>
      </c>
      <c r="C519" s="6">
        <v>4529</v>
      </c>
      <c r="D519" s="7">
        <v>3.26</v>
      </c>
      <c r="E519" t="s">
        <v>39</v>
      </c>
    </row>
    <row r="520" spans="1:5" x14ac:dyDescent="0.25">
      <c r="A520" t="str">
        <f>HYPERLINK("https://www.773grp.com/globalSearch/ADC121C027CIMK-NOPB/page-1", "ADC121C027CIMK-NOPB")</f>
        <v>ADC121C027CIMK-NOPB</v>
      </c>
      <c r="B520" s="3" t="str">
        <f>HYPERLINK("https://www.773grp.com/manufacturer/national-semiconductor?pageNo=117", "National Semiconductor")</f>
        <v>National Semiconductor</v>
      </c>
      <c r="C520" s="6">
        <v>2858</v>
      </c>
      <c r="D520" s="7">
        <v>3.26</v>
      </c>
    </row>
    <row r="521" spans="1:5" x14ac:dyDescent="0.25">
      <c r="A521" t="str">
        <f>HYPERLINK("https://www.773grp.com/globalSearch/ADC121S021CIMFX-NOPB/page-1", "ADC121S021CIMFX-NOPB")</f>
        <v>ADC121S021CIMFX-NOPB</v>
      </c>
      <c r="B521" s="3" t="str">
        <f>HYPERLINK("https://www.773grp.com/manufacturer/national-semiconductor?pageNo=118", "National Semiconductor")</f>
        <v>National Semiconductor</v>
      </c>
      <c r="C521" s="6">
        <v>12000</v>
      </c>
      <c r="D521" s="7">
        <v>3.26</v>
      </c>
    </row>
    <row r="522" spans="1:5" x14ac:dyDescent="0.25">
      <c r="A522" t="str">
        <f>HYPERLINK("https://www.773grp.com/globalSearch/DS3695ATM-NOPB/page-1", "DS3695ATM-NOPB")</f>
        <v>DS3695ATM-NOPB</v>
      </c>
      <c r="B522" s="3" t="str">
        <f>HYPERLINK("https://www.773grp.com/manufacturer/national-semiconductor?pageNo=119", "National Semiconductor")</f>
        <v>National Semiconductor</v>
      </c>
      <c r="C522" s="6">
        <v>4516</v>
      </c>
      <c r="D522" s="7">
        <v>3.26</v>
      </c>
      <c r="E522" t="s">
        <v>21</v>
      </c>
    </row>
    <row r="523" spans="1:5" x14ac:dyDescent="0.25">
      <c r="A523" t="str">
        <f>HYPERLINK("https://www.773grp.com/globalSearch/LF444ACN-NOPB/page-1", "LF444ACN-NOPB")</f>
        <v>LF444ACN-NOPB</v>
      </c>
      <c r="B523" s="3" t="str">
        <f>HYPERLINK("https://www.773grp.com/manufacturer/national-semiconductor?pageNo=120", "National Semiconductor")</f>
        <v>National Semiconductor</v>
      </c>
      <c r="C523" s="6">
        <v>1075</v>
      </c>
      <c r="D523" s="7">
        <v>3.26</v>
      </c>
      <c r="E523" t="s">
        <v>13</v>
      </c>
    </row>
    <row r="524" spans="1:5" x14ac:dyDescent="0.25">
      <c r="A524" t="str">
        <f>HYPERLINK("https://www.773grp.com/globalSearch/LM10CN-NOPB/page-1", "LM10CN-NOPB")</f>
        <v>LM10CN-NOPB</v>
      </c>
      <c r="B524" s="3" t="str">
        <f>HYPERLINK("https://www.773grp.com/manufacturer/national-semiconductor?pageNo=121", "National Semiconductor")</f>
        <v>National Semiconductor</v>
      </c>
      <c r="C524" s="6">
        <v>708</v>
      </c>
      <c r="D524" s="7">
        <v>3.26</v>
      </c>
      <c r="E524" t="s">
        <v>13</v>
      </c>
    </row>
    <row r="525" spans="1:5" x14ac:dyDescent="0.25">
      <c r="A525" t="str">
        <f>HYPERLINK("https://www.773grp.com/globalSearch/LM334SM-NOPB/page-1", "LM334SM-NOPB")</f>
        <v>LM334SM-NOPB</v>
      </c>
      <c r="B525" s="3" t="str">
        <f>HYPERLINK("https://www.773grp.com/manufacturer/national-semiconductor?pageNo=122", "National Semiconductor")</f>
        <v>National Semiconductor</v>
      </c>
      <c r="C525" s="6">
        <v>4470</v>
      </c>
      <c r="D525" s="7">
        <v>3.26</v>
      </c>
      <c r="E525" t="s">
        <v>40</v>
      </c>
    </row>
    <row r="526" spans="1:5" x14ac:dyDescent="0.25">
      <c r="A526" t="str">
        <f>HYPERLINK("https://www.773grp.com/globalSearch/LM4752TS-NOPB/page-1", "LM4752TS-NOPB")</f>
        <v>LM4752TS-NOPB</v>
      </c>
      <c r="B526" s="3" t="str">
        <f>HYPERLINK("https://www.773grp.com/manufacturer/national-semiconductor?pageNo=123", "National Semiconductor")</f>
        <v>National Semiconductor</v>
      </c>
      <c r="C526" s="6">
        <v>26108</v>
      </c>
      <c r="D526" s="7">
        <v>3.26</v>
      </c>
    </row>
    <row r="527" spans="1:5" x14ac:dyDescent="0.25">
      <c r="A527" t="str">
        <f>HYPERLINK("https://www.773grp.com/globalSearch/LM5100BSD-NOPB/page-1", "LM5100BSD-NOPB")</f>
        <v>LM5100BSD-NOPB</v>
      </c>
      <c r="B527" s="3" t="str">
        <f>HYPERLINK("https://www.773grp.com/manufacturer/national-semiconductor?pageNo=124", "National Semiconductor")</f>
        <v>National Semiconductor</v>
      </c>
      <c r="C527" s="6">
        <v>965</v>
      </c>
      <c r="D527" s="7">
        <v>3.26</v>
      </c>
    </row>
    <row r="528" spans="1:5" x14ac:dyDescent="0.25">
      <c r="A528" t="str">
        <f>HYPERLINK("https://www.773grp.com/globalSearch/LM5101BMA/page-1", "LM5101BMA")</f>
        <v>LM5101BMA</v>
      </c>
      <c r="B528" s="3" t="str">
        <f>HYPERLINK("https://www.773grp.com/manufacturer/national-semiconductor?pageNo=125", "National Semiconductor")</f>
        <v>National Semiconductor</v>
      </c>
      <c r="C528" s="6">
        <v>95</v>
      </c>
      <c r="D528" s="7">
        <v>3.26</v>
      </c>
      <c r="E528" t="s">
        <v>16</v>
      </c>
    </row>
    <row r="529" spans="1:5" x14ac:dyDescent="0.25">
      <c r="A529" t="str">
        <f>HYPERLINK("https://www.773grp.com/globalSearch/LM5101BMAX-NOPB/page-1", "LM5101BMAX-NOPB")</f>
        <v>LM5101BMAX-NOPB</v>
      </c>
      <c r="B529" s="3" t="str">
        <f>HYPERLINK("https://www.773grp.com/manufacturer/national-semiconductor?pageNo=126", "National Semiconductor")</f>
        <v>National Semiconductor</v>
      </c>
      <c r="C529" s="6">
        <v>20000</v>
      </c>
      <c r="D529" s="7">
        <v>3.26</v>
      </c>
    </row>
    <row r="530" spans="1:5" x14ac:dyDescent="0.25">
      <c r="A530" t="str">
        <f>HYPERLINK("https://www.773grp.com/globalSearch/LM5101BSD-NOPB/page-1", "LM5101BSD-NOPB")</f>
        <v>LM5101BSD-NOPB</v>
      </c>
      <c r="B530" s="3" t="str">
        <f>HYPERLINK("https://www.773grp.com/manufacturer/national-semiconductor?pageNo=127", "National Semiconductor")</f>
        <v>National Semiconductor</v>
      </c>
      <c r="C530" s="6">
        <v>275</v>
      </c>
      <c r="D530" s="7">
        <v>3.26</v>
      </c>
    </row>
    <row r="531" spans="1:5" x14ac:dyDescent="0.25">
      <c r="A531" t="str">
        <f>HYPERLINK("https://www.773grp.com/globalSearch/LM95235DIMM/page-1", "LM95235DIMM")</f>
        <v>LM95235DIMM</v>
      </c>
      <c r="B531" s="3" t="str">
        <f>HYPERLINK("https://www.773grp.com/manufacturer/national-semiconductor?pageNo=128", "National Semiconductor")</f>
        <v>National Semiconductor</v>
      </c>
      <c r="C531" s="6">
        <v>15500</v>
      </c>
      <c r="D531" s="7">
        <v>3.26</v>
      </c>
      <c r="E531" t="s">
        <v>12</v>
      </c>
    </row>
    <row r="532" spans="1:5" x14ac:dyDescent="0.25">
      <c r="A532" t="str">
        <f>HYPERLINK("https://www.773grp.com/globalSearch/LM95235DIMM-NOPB/page-1", "LM95235DIMM-NOPB")</f>
        <v>LM95235DIMM-NOPB</v>
      </c>
      <c r="B532" s="3" t="str">
        <f>HYPERLINK("https://www.773grp.com/manufacturer/national-semiconductor?pageNo=129", "National Semiconductor")</f>
        <v>National Semiconductor</v>
      </c>
      <c r="C532" s="6">
        <v>1301</v>
      </c>
      <c r="D532" s="7">
        <v>3.26</v>
      </c>
    </row>
    <row r="533" spans="1:5" x14ac:dyDescent="0.25">
      <c r="A533" t="str">
        <f>HYPERLINK("https://www.773grp.com/globalSearch/LMC6462BIN-NOPB/page-1", "LMC6462BIN-NOPB")</f>
        <v>LMC6462BIN-NOPB</v>
      </c>
      <c r="B533" s="3" t="str">
        <f>HYPERLINK("https://www.773grp.com/manufacturer/national-semiconductor?pageNo=130", "National Semiconductor")</f>
        <v>National Semiconductor</v>
      </c>
      <c r="C533" s="6">
        <v>367</v>
      </c>
      <c r="D533" s="7">
        <v>3.26</v>
      </c>
      <c r="E533" t="s">
        <v>13</v>
      </c>
    </row>
    <row r="534" spans="1:5" x14ac:dyDescent="0.25">
      <c r="A534" t="str">
        <f>HYPERLINK("https://www.773grp.com/globalSearch/LP2988IMM-3.0/page-1", "LP2988IMM-3.0")</f>
        <v>LP2988IMM-3.0</v>
      </c>
      <c r="B534" s="3" t="str">
        <f>HYPERLINK("https://www.773grp.com/manufacturer/national-semiconductor?pageNo=131", "National Semiconductor")</f>
        <v>National Semiconductor</v>
      </c>
      <c r="C534" s="6">
        <v>2078</v>
      </c>
      <c r="D534" s="7">
        <v>3.26</v>
      </c>
      <c r="E534" t="s">
        <v>19</v>
      </c>
    </row>
    <row r="535" spans="1:5" x14ac:dyDescent="0.25">
      <c r="A535" t="str">
        <f>HYPERLINK("https://www.773grp.com/globalSearch/LP3871ES-5.0/page-1", "LP3871ES-5.0")</f>
        <v>LP3871ES-5.0</v>
      </c>
      <c r="B535" s="3" t="str">
        <f>HYPERLINK("https://www.773grp.com/manufacturer/national-semiconductor?pageNo=132", "National Semiconductor")</f>
        <v>National Semiconductor</v>
      </c>
      <c r="C535" s="6">
        <v>630</v>
      </c>
      <c r="D535" s="7">
        <v>3.26</v>
      </c>
      <c r="E535" t="s">
        <v>19</v>
      </c>
    </row>
    <row r="536" spans="1:5" x14ac:dyDescent="0.25">
      <c r="A536" t="str">
        <f>HYPERLINK("https://www.773grp.com/globalSearch/LP3871ES-5.0-NOPB/page-1", "LP3871ES-5.0-NOPB")</f>
        <v>LP3871ES-5.0-NOPB</v>
      </c>
      <c r="B536" s="3" t="str">
        <f>HYPERLINK("https://www.773grp.com/manufacturer/national-semiconductor?pageNo=133", "National Semiconductor")</f>
        <v>National Semiconductor</v>
      </c>
      <c r="C536" s="6">
        <v>45</v>
      </c>
      <c r="D536" s="7">
        <v>3.26</v>
      </c>
      <c r="E536" t="s">
        <v>19</v>
      </c>
    </row>
    <row r="537" spans="1:5" x14ac:dyDescent="0.25">
      <c r="A537" t="str">
        <f>HYPERLINK("https://www.773grp.com/globalSearch/LP3871ET-5.0-NOPB/page-1", "LP3871ET-5.0-NOPB")</f>
        <v>LP3871ET-5.0-NOPB</v>
      </c>
      <c r="B537" s="3" t="str">
        <f>HYPERLINK("https://www.773grp.com/manufacturer/national-semiconductor?pageNo=134", "National Semiconductor")</f>
        <v>National Semiconductor</v>
      </c>
      <c r="C537" s="6">
        <v>44</v>
      </c>
      <c r="D537" s="7">
        <v>3.26</v>
      </c>
      <c r="E537" t="s">
        <v>19</v>
      </c>
    </row>
    <row r="538" spans="1:5" x14ac:dyDescent="0.25">
      <c r="A538" t="str">
        <f>HYPERLINK("https://www.773grp.com/globalSearch/LP3874ESX-5.0-NOPB/page-1", "LP3874ESX-5.0-NOPB")</f>
        <v>LP3874ESX-5.0-NOPB</v>
      </c>
      <c r="B538" s="3" t="str">
        <f>HYPERLINK("https://www.773grp.com/manufacturer/national-semiconductor?pageNo=1", "National Semiconductor")</f>
        <v>National Semiconductor</v>
      </c>
      <c r="C538" s="6">
        <v>5000</v>
      </c>
      <c r="D538" s="7">
        <v>3.26</v>
      </c>
      <c r="E538" t="s">
        <v>19</v>
      </c>
    </row>
    <row r="539" spans="1:5" x14ac:dyDescent="0.25">
      <c r="A539" t="str">
        <f>HYPERLINK("https://www.773grp.com/globalSearch/LP3962ET-3.3-NOPB/page-1", "LP3962ET-3.3-NOPB")</f>
        <v>LP3962ET-3.3-NOPB</v>
      </c>
      <c r="B539" s="3" t="str">
        <f>HYPERLINK("https://www.773grp.com/manufacturer/national-semiconductor?pageNo=2", "National Semiconductor")</f>
        <v>National Semiconductor</v>
      </c>
      <c r="C539" s="6">
        <v>280</v>
      </c>
      <c r="D539" s="7">
        <v>3.26</v>
      </c>
      <c r="E539" t="s">
        <v>19</v>
      </c>
    </row>
    <row r="540" spans="1:5" x14ac:dyDescent="0.25">
      <c r="A540" t="str">
        <f>HYPERLINK("https://www.773grp.com/globalSearch/LP3964ES-1.8-NOPB/page-1", "LP3964ES-1.8-NOPB")</f>
        <v>LP3964ES-1.8-NOPB</v>
      </c>
      <c r="B540" s="3" t="str">
        <f>HYPERLINK("https://www.773grp.com/manufacturer/national-semiconductor?pageNo=3", "National Semiconductor")</f>
        <v>National Semiconductor</v>
      </c>
      <c r="C540" s="6">
        <v>387</v>
      </c>
      <c r="D540" s="7">
        <v>3.26</v>
      </c>
      <c r="E540" t="s">
        <v>19</v>
      </c>
    </row>
    <row r="541" spans="1:5" x14ac:dyDescent="0.25">
      <c r="A541" t="str">
        <f>HYPERLINK("https://www.773grp.com/globalSearch/LP3964ESX-2.5-NOPB/page-1", "LP3964ESX-2.5-NOPB")</f>
        <v>LP3964ESX-2.5-NOPB</v>
      </c>
      <c r="B541" s="3" t="str">
        <f>HYPERLINK("https://www.773grp.com/manufacturer/national-semiconductor?pageNo=4", "National Semiconductor")</f>
        <v>National Semiconductor</v>
      </c>
      <c r="C541" s="6">
        <v>500</v>
      </c>
      <c r="D541" s="7">
        <v>3.26</v>
      </c>
      <c r="E541" t="s">
        <v>19</v>
      </c>
    </row>
    <row r="542" spans="1:5" x14ac:dyDescent="0.25">
      <c r="A542" t="str">
        <f>HYPERLINK("https://www.773grp.com/globalSearch/LP3964ET-ADJ-E7000867/page-1", "LP3964ET-ADJ-E7000867")</f>
        <v>LP3964ET-ADJ-E7000867</v>
      </c>
      <c r="B542" s="3" t="str">
        <f>HYPERLINK("https://www.773grp.com/manufacturer/national-semiconductor?pageNo=5", "National Semiconductor")</f>
        <v>National Semiconductor</v>
      </c>
      <c r="C542" s="6">
        <v>9500</v>
      </c>
      <c r="D542" s="7">
        <v>3.26</v>
      </c>
    </row>
    <row r="543" spans="1:5" x14ac:dyDescent="0.25">
      <c r="A543" t="str">
        <f>HYPERLINK("https://www.773grp.com/globalSearch/LPC662IM-NOPB/page-1", "LPC662IM-NOPB")</f>
        <v>LPC662IM-NOPB</v>
      </c>
      <c r="B543" s="3" t="str">
        <f>HYPERLINK("https://www.773grp.com/manufacturer/national-semiconductor?pageNo=6", "National Semiconductor")</f>
        <v>National Semiconductor</v>
      </c>
      <c r="C543" s="6">
        <v>576</v>
      </c>
      <c r="D543" s="7">
        <v>3.26</v>
      </c>
      <c r="E543" t="s">
        <v>13</v>
      </c>
    </row>
    <row r="544" spans="1:5" x14ac:dyDescent="0.25">
      <c r="A544" t="str">
        <f>HYPERLINK("https://www.773grp.com/globalSearch/ADC121C021CIMK-NOPB/page-1", "ADC121C021CIMK-NOPB")</f>
        <v>ADC121C021CIMK-NOPB</v>
      </c>
      <c r="B544" s="3" t="str">
        <f>HYPERLINK("https://www.773grp.com/manufacturer/national-semiconductor?pageNo=7", "National Semiconductor")</f>
        <v>National Semiconductor</v>
      </c>
      <c r="C544" s="6">
        <v>2000</v>
      </c>
      <c r="D544" s="7">
        <v>3.26</v>
      </c>
    </row>
    <row r="545" spans="1:5" x14ac:dyDescent="0.25">
      <c r="A545" t="str">
        <f>HYPERLINK("https://www.773grp.com/globalSearch/ADC121C021CIMM-NOPB/page-1", "ADC121C021CIMM-NOPB")</f>
        <v>ADC121C021CIMM-NOPB</v>
      </c>
      <c r="B545" s="3" t="str">
        <f>HYPERLINK("https://www.773grp.com/manufacturer/national-semiconductor?pageNo=8", "National Semiconductor")</f>
        <v>National Semiconductor</v>
      </c>
      <c r="C545" s="6">
        <v>7800</v>
      </c>
      <c r="D545" s="7">
        <v>3.26</v>
      </c>
      <c r="E545" t="s">
        <v>39</v>
      </c>
    </row>
    <row r="546" spans="1:5" x14ac:dyDescent="0.25">
      <c r="A546" t="str">
        <f>HYPERLINK("https://www.773grp.com/globalSearch/ADC121C027CIMK-NOPB/page-1", "ADC121C027CIMK-NOPB")</f>
        <v>ADC121C027CIMK-NOPB</v>
      </c>
      <c r="B546" s="3" t="str">
        <f>HYPERLINK("https://www.773grp.com/manufacturer/national-semiconductor?pageNo=9", "National Semiconductor")</f>
        <v>National Semiconductor</v>
      </c>
      <c r="C546" s="6">
        <v>2155</v>
      </c>
      <c r="D546" s="7">
        <v>3.26</v>
      </c>
    </row>
    <row r="547" spans="1:5" x14ac:dyDescent="0.25">
      <c r="A547" t="str">
        <f>HYPERLINK("https://www.773grp.com/globalSearch/ADC121C027CIMKX-NOPB/page-1", "ADC121C027CIMKX-NOPB")</f>
        <v>ADC121C027CIMKX-NOPB</v>
      </c>
      <c r="B547" s="3" t="str">
        <f>HYPERLINK("https://www.773grp.com/manufacturer/national-semiconductor?pageNo=10", "National Semiconductor")</f>
        <v>National Semiconductor</v>
      </c>
      <c r="C547" s="6">
        <v>15000</v>
      </c>
      <c r="D547" s="7">
        <v>3.26</v>
      </c>
    </row>
    <row r="548" spans="1:5" x14ac:dyDescent="0.25">
      <c r="A548" t="str">
        <f>HYPERLINK("https://www.773grp.com/globalSearch/ADC121S021CIMF-NOPB/page-1", "ADC121S021CIMF-NOPB")</f>
        <v>ADC121S021CIMF-NOPB</v>
      </c>
      <c r="B548" s="3" t="str">
        <f>HYPERLINK("https://www.773grp.com/manufacturer/national-semiconductor?pageNo=11", "National Semiconductor")</f>
        <v>National Semiconductor</v>
      </c>
      <c r="C548" s="6">
        <v>7351</v>
      </c>
      <c r="D548" s="7">
        <v>3.26</v>
      </c>
    </row>
    <row r="549" spans="1:5" x14ac:dyDescent="0.25">
      <c r="A549" t="str">
        <f>HYPERLINK("https://www.773grp.com/globalSearch/ADC121S021CISD-NOPB/page-1", "ADC121S021CISD-NOPB")</f>
        <v>ADC121S021CISD-NOPB</v>
      </c>
      <c r="B549" s="3" t="str">
        <f>HYPERLINK("https://www.773grp.com/manufacturer/national-semiconductor?pageNo=12", "National Semiconductor")</f>
        <v>National Semiconductor</v>
      </c>
      <c r="C549" s="6">
        <v>2669</v>
      </c>
      <c r="D549" s="7">
        <v>3.26</v>
      </c>
    </row>
    <row r="550" spans="1:5" x14ac:dyDescent="0.25">
      <c r="A550" t="str">
        <f>HYPERLINK("https://www.773grp.com/globalSearch/DS3695ATM-NOPB/page-1", "DS3695ATM-NOPB")</f>
        <v>DS3695ATM-NOPB</v>
      </c>
      <c r="B550" s="3" t="str">
        <f>HYPERLINK("https://www.773grp.com/manufacturer/national-semiconductor?pageNo=13", "National Semiconductor")</f>
        <v>National Semiconductor</v>
      </c>
      <c r="C550" s="6">
        <v>4956</v>
      </c>
      <c r="D550" s="7">
        <v>3.26</v>
      </c>
      <c r="E550" t="s">
        <v>21</v>
      </c>
    </row>
    <row r="551" spans="1:5" x14ac:dyDescent="0.25">
      <c r="A551" t="str">
        <f>HYPERLINK("https://www.773grp.com/globalSearch/LF444ACN-NOPB/page-1", "LF444ACN-NOPB")</f>
        <v>LF444ACN-NOPB</v>
      </c>
      <c r="B551" s="3" t="str">
        <f>HYPERLINK("https://www.773grp.com/manufacturer/national-semiconductor?pageNo=14", "National Semiconductor")</f>
        <v>National Semiconductor</v>
      </c>
      <c r="C551" s="6">
        <v>250</v>
      </c>
      <c r="D551" s="7">
        <v>3.26</v>
      </c>
      <c r="E551" t="s">
        <v>13</v>
      </c>
    </row>
    <row r="552" spans="1:5" x14ac:dyDescent="0.25">
      <c r="A552" t="str">
        <f>HYPERLINK("https://www.773grp.com/globalSearch/LM334SM-NOPB/page-1", "LM334SM-NOPB")</f>
        <v>LM334SM-NOPB</v>
      </c>
      <c r="B552" s="3" t="str">
        <f>HYPERLINK("https://www.773grp.com/manufacturer/national-semiconductor?pageNo=15", "National Semiconductor")</f>
        <v>National Semiconductor</v>
      </c>
      <c r="C552" s="6">
        <v>250</v>
      </c>
      <c r="D552" s="7">
        <v>3.26</v>
      </c>
      <c r="E552" t="s">
        <v>40</v>
      </c>
    </row>
    <row r="553" spans="1:5" x14ac:dyDescent="0.25">
      <c r="A553" t="str">
        <f>HYPERLINK("https://www.773grp.com/globalSearch/LM4562NA-NOPB/page-1", "LM4562NA-NOPB")</f>
        <v>LM4562NA-NOPB</v>
      </c>
      <c r="B553" s="3" t="str">
        <f>HYPERLINK("https://www.773grp.com/manufacturer/national-semiconductor?pageNo=16", "National Semiconductor")</f>
        <v>National Semiconductor</v>
      </c>
      <c r="C553" s="6">
        <v>808</v>
      </c>
      <c r="D553" s="7">
        <v>3.26</v>
      </c>
    </row>
    <row r="554" spans="1:5" x14ac:dyDescent="0.25">
      <c r="A554" t="str">
        <f>HYPERLINK("https://www.773grp.com/globalSearch/LM4752TS-NOPB/page-1", "LM4752TS-NOPB")</f>
        <v>LM4752TS-NOPB</v>
      </c>
      <c r="B554" s="3" t="str">
        <f>HYPERLINK("https://www.773grp.com/manufacturer/national-semiconductor?pageNo=17", "National Semiconductor")</f>
        <v>National Semiconductor</v>
      </c>
      <c r="C554" s="6">
        <v>240</v>
      </c>
      <c r="D554" s="7">
        <v>3.26</v>
      </c>
    </row>
    <row r="555" spans="1:5" x14ac:dyDescent="0.25">
      <c r="A555" t="str">
        <f>HYPERLINK("https://www.773grp.com/globalSearch/LMC6462BIN-NOPB/page-1", "LMC6462BIN-NOPB")</f>
        <v>LMC6462BIN-NOPB</v>
      </c>
      <c r="B555" s="3" t="str">
        <f>HYPERLINK("https://www.773grp.com/manufacturer/national-semiconductor?pageNo=18", "National Semiconductor")</f>
        <v>National Semiconductor</v>
      </c>
      <c r="C555" s="6">
        <v>250</v>
      </c>
      <c r="D555" s="7">
        <v>3.26</v>
      </c>
      <c r="E555" t="s">
        <v>13</v>
      </c>
    </row>
    <row r="556" spans="1:5" x14ac:dyDescent="0.25">
      <c r="A556" t="str">
        <f>HYPERLINK("https://www.773grp.com/globalSearch/LMP8646MKE-NOPB/page-1", "LMP8646MKE-NOPB")</f>
        <v>LMP8646MKE-NOPB</v>
      </c>
      <c r="B556" s="3" t="str">
        <f>HYPERLINK("https://www.773grp.com/manufacturer/national-semiconductor?pageNo=19", "National Semiconductor")</f>
        <v>National Semiconductor</v>
      </c>
      <c r="C556" s="6">
        <v>250</v>
      </c>
      <c r="D556" s="7">
        <v>3.26</v>
      </c>
    </row>
    <row r="557" spans="1:5" x14ac:dyDescent="0.25">
      <c r="A557" t="str">
        <f>HYPERLINK("https://www.773grp.com/globalSearch/LP2957ISX-NOPB/page-1", "LP2957ISX-NOPB")</f>
        <v>LP2957ISX-NOPB</v>
      </c>
      <c r="B557" s="3" t="str">
        <f>HYPERLINK("https://www.773grp.com/manufacturer/national-semiconductor?pageNo=20", "National Semiconductor")</f>
        <v>National Semiconductor</v>
      </c>
      <c r="C557" s="6">
        <v>6500</v>
      </c>
      <c r="D557" s="7">
        <v>3.26</v>
      </c>
    </row>
    <row r="558" spans="1:5" x14ac:dyDescent="0.25">
      <c r="A558" t="str">
        <f>HYPERLINK("https://www.773grp.com/globalSearch/LP2988IMM-3.0/page-1", "LP2988IMM-3.0")</f>
        <v>LP2988IMM-3.0</v>
      </c>
      <c r="B558" s="3" t="str">
        <f>HYPERLINK("https://www.773grp.com/manufacturer/national-semiconductor?pageNo=21", "National Semiconductor")</f>
        <v>National Semiconductor</v>
      </c>
      <c r="C558" s="6">
        <v>4000</v>
      </c>
      <c r="D558" s="7">
        <v>3.26</v>
      </c>
      <c r="E558" t="s">
        <v>19</v>
      </c>
    </row>
    <row r="559" spans="1:5" x14ac:dyDescent="0.25">
      <c r="A559" t="str">
        <f>HYPERLINK("https://www.773grp.com/globalSearch/LP3962ET-3.3-NOPB/page-1", "LP3962ET-3.3-NOPB")</f>
        <v>LP3962ET-3.3-NOPB</v>
      </c>
      <c r="B559" s="3" t="str">
        <f>HYPERLINK("https://www.773grp.com/manufacturer/national-semiconductor?pageNo=22", "National Semiconductor")</f>
        <v>National Semiconductor</v>
      </c>
      <c r="C559" s="6">
        <v>764</v>
      </c>
      <c r="D559" s="7">
        <v>3.26</v>
      </c>
      <c r="E559" t="s">
        <v>19</v>
      </c>
    </row>
    <row r="560" spans="1:5" x14ac:dyDescent="0.25">
      <c r="A560" t="str">
        <f>HYPERLINK("https://www.773grp.com/globalSearch/LP3964ES-1.8-NOPB/page-1", "LP3964ES-1.8-NOPB")</f>
        <v>LP3964ES-1.8-NOPB</v>
      </c>
      <c r="B560" s="3" t="str">
        <f>HYPERLINK("https://www.773grp.com/manufacturer/national-semiconductor?pageNo=23", "National Semiconductor")</f>
        <v>National Semiconductor</v>
      </c>
      <c r="C560" s="6">
        <v>357</v>
      </c>
      <c r="D560" s="7">
        <v>3.26</v>
      </c>
      <c r="E560" t="s">
        <v>19</v>
      </c>
    </row>
    <row r="561" spans="1:5" x14ac:dyDescent="0.25">
      <c r="A561" t="str">
        <f>HYPERLINK("https://www.773grp.com/globalSearch/LP3964ESX-3.3-NOPB/page-1", "LP3964ESX-3.3-NOPB")</f>
        <v>LP3964ESX-3.3-NOPB</v>
      </c>
      <c r="B561" s="3" t="str">
        <f>HYPERLINK("https://www.773grp.com/manufacturer/national-semiconductor?pageNo=24", "National Semiconductor")</f>
        <v>National Semiconductor</v>
      </c>
      <c r="C561" s="6">
        <v>1000</v>
      </c>
      <c r="D561" s="7">
        <v>3.26</v>
      </c>
    </row>
    <row r="562" spans="1:5" x14ac:dyDescent="0.25">
      <c r="A562" t="str">
        <f>HYPERLINK("https://www.773grp.com/globalSearch/LP3964ESX-ADJ-NOPB/page-1", "LP3964ESX-ADJ-NOPB")</f>
        <v>LP3964ESX-ADJ-NOPB</v>
      </c>
      <c r="B562" s="3" t="str">
        <f>HYPERLINK("https://www.773grp.com/manufacturer/national-semiconductor?pageNo=25", "National Semiconductor")</f>
        <v>National Semiconductor</v>
      </c>
      <c r="C562" s="6">
        <v>559</v>
      </c>
      <c r="D562" s="7">
        <v>3.26</v>
      </c>
    </row>
    <row r="563" spans="1:5" x14ac:dyDescent="0.25">
      <c r="A563" t="str">
        <f>HYPERLINK("https://www.773grp.com/globalSearch/LP3964ET-ADJ-E7000867/page-1", "LP3964ET-ADJ-E7000867")</f>
        <v>LP3964ET-ADJ-E7000867</v>
      </c>
      <c r="B563" s="3" t="str">
        <f>HYPERLINK("https://www.773grp.com/manufacturer/national-semiconductor?pageNo=26", "National Semiconductor")</f>
        <v>National Semiconductor</v>
      </c>
      <c r="C563" s="6">
        <v>500</v>
      </c>
      <c r="D563" s="7">
        <v>3.26</v>
      </c>
    </row>
    <row r="564" spans="1:5" x14ac:dyDescent="0.25">
      <c r="A564" t="str">
        <f>HYPERLINK("https://www.773grp.com/globalSearch/LP3964ET-ADJ-NOPB/page-1", "LP3964ET-ADJ-NOPB")</f>
        <v>LP3964ET-ADJ-NOPB</v>
      </c>
      <c r="B564" s="3" t="str">
        <f>HYPERLINK("https://www.773grp.com/manufacturer/national-semiconductor?pageNo=27", "National Semiconductor")</f>
        <v>National Semiconductor</v>
      </c>
      <c r="C564" s="6">
        <v>3689</v>
      </c>
      <c r="D564" s="7">
        <v>3.26</v>
      </c>
    </row>
    <row r="565" spans="1:5" x14ac:dyDescent="0.25">
      <c r="A565" t="str">
        <f>HYPERLINK("https://www.773grp.com/globalSearch/LPC662IM-NOPB/page-1", "LPC662IM-NOPB")</f>
        <v>LPC662IM-NOPB</v>
      </c>
      <c r="B565" s="3" t="str">
        <f>HYPERLINK("https://www.773grp.com/manufacturer/national-semiconductor?pageNo=28", "National Semiconductor")</f>
        <v>National Semiconductor</v>
      </c>
      <c r="C565" s="6">
        <v>251</v>
      </c>
      <c r="D565" s="7">
        <v>3.26</v>
      </c>
      <c r="E565" t="s">
        <v>13</v>
      </c>
    </row>
    <row r="566" spans="1:5" x14ac:dyDescent="0.25">
      <c r="A566" t="str">
        <f>HYPERLINK("https://www.773grp.com/globalSearch/ADC0831CCN/page-1", "ADC0831CCN")</f>
        <v>ADC0831CCN</v>
      </c>
      <c r="B566" s="3" t="str">
        <f>HYPERLINK("https://www.773grp.com/manufacturer/national-semiconductor?pageNo=29", "National Semiconductor")</f>
        <v>National Semiconductor</v>
      </c>
      <c r="C566" s="6">
        <v>360</v>
      </c>
      <c r="D566" s="7">
        <v>3.29</v>
      </c>
      <c r="E566" t="s">
        <v>39</v>
      </c>
    </row>
    <row r="567" spans="1:5" x14ac:dyDescent="0.25">
      <c r="A567" t="str">
        <f>HYPERLINK("https://www.773grp.com/globalSearch/LM3404MAX/page-1", "LM3404MAX")</f>
        <v>LM3404MAX</v>
      </c>
      <c r="B567" s="3" t="str">
        <f>HYPERLINK("https://www.773grp.com/manufacturer/national-semiconductor?pageNo=30", "National Semiconductor")</f>
        <v>National Semiconductor</v>
      </c>
      <c r="C567" s="6">
        <v>15000</v>
      </c>
      <c r="D567" s="7">
        <v>3.29</v>
      </c>
      <c r="E567" t="s">
        <v>7</v>
      </c>
    </row>
    <row r="568" spans="1:5" x14ac:dyDescent="0.25">
      <c r="A568" t="str">
        <f>HYPERLINK("https://www.773grp.com/globalSearch/LM4665MM/page-1", "LM4665MM")</f>
        <v>LM4665MM</v>
      </c>
      <c r="B568" s="3" t="str">
        <f>HYPERLINK("https://www.773grp.com/manufacturer/national-semiconductor?pageNo=31", "National Semiconductor")</f>
        <v>National Semiconductor</v>
      </c>
      <c r="C568" s="6">
        <v>124</v>
      </c>
      <c r="D568" s="7">
        <v>3.29</v>
      </c>
      <c r="E568" t="s">
        <v>18</v>
      </c>
    </row>
    <row r="569" spans="1:5" x14ac:dyDescent="0.25">
      <c r="A569" t="str">
        <f>HYPERLINK("https://www.773grp.com/globalSearch/LM76CHMX-5/page-1", "LM76CHMX-5")</f>
        <v>LM76CHMX-5</v>
      </c>
      <c r="B569" s="3" t="str">
        <f>HYPERLINK("https://www.773grp.com/manufacturer/national-semiconductor?pageNo=32", "National Semiconductor")</f>
        <v>National Semiconductor</v>
      </c>
      <c r="C569" s="6">
        <v>2500</v>
      </c>
      <c r="D569" s="7">
        <v>3.29</v>
      </c>
      <c r="E569" t="s">
        <v>12</v>
      </c>
    </row>
    <row r="570" spans="1:5" x14ac:dyDescent="0.25">
      <c r="A570" t="str">
        <f>HYPERLINK("https://www.773grp.com/globalSearch/LMC660AIMX/page-1", "LMC660AIMX")</f>
        <v>LMC660AIMX</v>
      </c>
      <c r="B570" s="3" t="str">
        <f>HYPERLINK("https://www.773grp.com/manufacturer/national-semiconductor?pageNo=33", "National Semiconductor")</f>
        <v>National Semiconductor</v>
      </c>
      <c r="C570" s="6">
        <v>2500</v>
      </c>
      <c r="D570" s="7">
        <v>3.29</v>
      </c>
      <c r="E570" t="s">
        <v>13</v>
      </c>
    </row>
    <row r="571" spans="1:5" x14ac:dyDescent="0.25">
      <c r="A571" t="str">
        <f>HYPERLINK("https://www.773grp.com/globalSearch/LP3905SD-00-NOPB/page-1", "LP3905SD-00-NOPB")</f>
        <v>LP3905SD-00-NOPB</v>
      </c>
      <c r="B571" s="3" t="str">
        <f>HYPERLINK("https://www.773grp.com/manufacturer/national-semiconductor?pageNo=34", "National Semiconductor")</f>
        <v>National Semiconductor</v>
      </c>
      <c r="C571" s="6">
        <v>994</v>
      </c>
      <c r="D571" s="7">
        <v>3.29</v>
      </c>
    </row>
    <row r="572" spans="1:5" x14ac:dyDescent="0.25">
      <c r="A572" t="str">
        <f>HYPERLINK("https://www.773grp.com/globalSearch/LP3905SD-A3-NOPB/page-1", "LP3905SD-A3-NOPB")</f>
        <v>LP3905SD-A3-NOPB</v>
      </c>
      <c r="B572" s="3" t="str">
        <f>HYPERLINK("https://www.773grp.com/manufacturer/national-semiconductor?pageNo=35", "National Semiconductor")</f>
        <v>National Semiconductor</v>
      </c>
      <c r="C572" s="6">
        <v>3041</v>
      </c>
      <c r="D572" s="7">
        <v>3.29</v>
      </c>
    </row>
    <row r="573" spans="1:5" x14ac:dyDescent="0.25">
      <c r="A573" t="str">
        <f>HYPERLINK("https://www.773grp.com/globalSearch/LP3906SQ-DJXI-NOPB/page-1", "LP3906SQ-DJXI-NOPB")</f>
        <v>LP3906SQ-DJXI-NOPB</v>
      </c>
      <c r="B573" s="3" t="str">
        <f>HYPERLINK("https://www.773grp.com/manufacturer/national-semiconductor?pageNo=36", "National Semiconductor")</f>
        <v>National Semiconductor</v>
      </c>
      <c r="C573" s="6">
        <v>2902</v>
      </c>
      <c r="D573" s="7">
        <v>3.29</v>
      </c>
    </row>
    <row r="574" spans="1:5" x14ac:dyDescent="0.25">
      <c r="A574" t="str">
        <f>HYPERLINK("https://www.773grp.com/globalSearch/LP3906SQ-PPXP-NOPB/page-1", "LP3906SQ-PPXP-NOPB")</f>
        <v>LP3906SQ-PPXP-NOPB</v>
      </c>
      <c r="B574" s="3" t="str">
        <f>HYPERLINK("https://www.773grp.com/manufacturer/national-semiconductor?pageNo=37", "National Semiconductor")</f>
        <v>National Semiconductor</v>
      </c>
      <c r="C574" s="6">
        <v>1000</v>
      </c>
      <c r="D574" s="7">
        <v>3.29</v>
      </c>
    </row>
    <row r="575" spans="1:5" x14ac:dyDescent="0.25">
      <c r="A575" t="str">
        <f>HYPERLINK("https://www.773grp.com/globalSearch/LP3906SQ-VPFP-NOPB/page-1", "LP3906SQ-VPFP-NOPB")</f>
        <v>LP3906SQ-VPFP-NOPB</v>
      </c>
      <c r="B575" s="3" t="str">
        <f>HYPERLINK("https://www.773grp.com/manufacturer/national-semiconductor?pageNo=38", "National Semiconductor")</f>
        <v>National Semiconductor</v>
      </c>
      <c r="C575" s="6">
        <v>8377</v>
      </c>
      <c r="D575" s="7">
        <v>3.29</v>
      </c>
    </row>
    <row r="576" spans="1:5" x14ac:dyDescent="0.25">
      <c r="A576" t="str">
        <f>HYPERLINK("https://www.773grp.com/globalSearch/LP3905SD-A3-NOPB/page-1", "LP3905SD-A3-NOPB")</f>
        <v>LP3905SD-A3-NOPB</v>
      </c>
      <c r="B576" s="3" t="str">
        <f>HYPERLINK("https://www.773grp.com/manufacturer/national-semiconductor?pageNo=39", "National Semiconductor")</f>
        <v>National Semiconductor</v>
      </c>
      <c r="C576" s="6">
        <v>1000</v>
      </c>
      <c r="D576" s="7">
        <v>3.29</v>
      </c>
    </row>
    <row r="577" spans="1:5" x14ac:dyDescent="0.25">
      <c r="A577" t="str">
        <f>HYPERLINK("https://www.773grp.com/globalSearch/LP3906SQ-VPFP-NOPB/page-1", "LP3906SQ-VPFP-NOPB")</f>
        <v>LP3906SQ-VPFP-NOPB</v>
      </c>
      <c r="B577" s="3" t="str">
        <f>HYPERLINK("https://www.773grp.com/manufacturer/national-semiconductor?pageNo=40", "National Semiconductor")</f>
        <v>National Semiconductor</v>
      </c>
      <c r="C577" s="6">
        <v>10000</v>
      </c>
      <c r="D577" s="7">
        <v>3.29</v>
      </c>
    </row>
    <row r="578" spans="1:5" x14ac:dyDescent="0.25">
      <c r="A578" t="str">
        <f>HYPERLINK("https://www.773grp.com/globalSearch/74F109DC/page-1", "74F109DC")</f>
        <v>74F109DC</v>
      </c>
      <c r="B578" s="3" t="str">
        <f>HYPERLINK("https://www.773grp.com/manufacturer/national-semiconductor?pageNo=41", "National Semiconductor")</f>
        <v>National Semiconductor</v>
      </c>
      <c r="C578" s="6">
        <v>660</v>
      </c>
      <c r="D578" s="7">
        <v>3.65</v>
      </c>
      <c r="E578" t="s">
        <v>35</v>
      </c>
    </row>
    <row r="579" spans="1:5" x14ac:dyDescent="0.25">
      <c r="A579" t="str">
        <f>HYPERLINK("https://www.773grp.com/globalSearch/DAC0802LCMX-NOPB/page-1", "DAC0802LCMX-NOPB")</f>
        <v>DAC0802LCMX-NOPB</v>
      </c>
      <c r="B579" s="3" t="str">
        <f>HYPERLINK("https://www.773grp.com/manufacturer/national-semiconductor?pageNo=42", "National Semiconductor")</f>
        <v>National Semiconductor</v>
      </c>
      <c r="C579" s="6">
        <v>5000</v>
      </c>
      <c r="D579" s="7">
        <v>3.65</v>
      </c>
      <c r="E579" t="s">
        <v>33</v>
      </c>
    </row>
    <row r="580" spans="1:5" x14ac:dyDescent="0.25">
      <c r="A580" t="str">
        <f>HYPERLINK("https://www.773grp.com/globalSearch/DAC101S101QCMK/page-1", "DAC101S101QCMK")</f>
        <v>DAC101S101QCMK</v>
      </c>
      <c r="B580" s="3" t="str">
        <f>HYPERLINK("https://www.773grp.com/manufacturer/national-semiconductor?pageNo=43", "National Semiconductor")</f>
        <v>National Semiconductor</v>
      </c>
      <c r="C580" s="6">
        <v>1000</v>
      </c>
      <c r="D580" s="7">
        <v>3.65</v>
      </c>
      <c r="E580" t="s">
        <v>33</v>
      </c>
    </row>
    <row r="581" spans="1:5" x14ac:dyDescent="0.25">
      <c r="A581" t="str">
        <f>HYPERLINK("https://www.773grp.com/globalSearch/DS14C88M-NOPB/page-1", "DS14C88M-NOPB")</f>
        <v>DS14C88M-NOPB</v>
      </c>
      <c r="B581" s="3" t="str">
        <f>HYPERLINK("https://www.773grp.com/manufacturer/national-semiconductor?pageNo=44", "National Semiconductor")</f>
        <v>National Semiconductor</v>
      </c>
      <c r="C581" s="6">
        <v>820</v>
      </c>
      <c r="D581" s="7">
        <v>3.65</v>
      </c>
      <c r="E581" t="s">
        <v>21</v>
      </c>
    </row>
    <row r="582" spans="1:5" x14ac:dyDescent="0.25">
      <c r="A582" t="str">
        <f>HYPERLINK("https://www.773grp.com/globalSearch/DS26C32ATMX-NOPB/page-1", "DS26C32ATMX-NOPB")</f>
        <v>DS26C32ATMX-NOPB</v>
      </c>
      <c r="B582" s="3" t="str">
        <f>HYPERLINK("https://www.773grp.com/manufacturer/national-semiconductor?pageNo=45", "National Semiconductor")</f>
        <v>National Semiconductor</v>
      </c>
      <c r="C582" s="6">
        <v>20000</v>
      </c>
      <c r="D582" s="7">
        <v>3.65</v>
      </c>
      <c r="E582" t="s">
        <v>21</v>
      </c>
    </row>
    <row r="583" spans="1:5" x14ac:dyDescent="0.25">
      <c r="A583" t="str">
        <f>HYPERLINK("https://www.773grp.com/globalSearch/DS26LV31TMX-NOPB/page-1", "DS26LV31TMX-NOPB")</f>
        <v>DS26LV31TMX-NOPB</v>
      </c>
      <c r="B583" s="3" t="str">
        <f>HYPERLINK("https://www.773grp.com/manufacturer/national-semiconductor?pageNo=46", "National Semiconductor")</f>
        <v>National Semiconductor</v>
      </c>
      <c r="C583" s="6">
        <v>7500</v>
      </c>
      <c r="D583" s="7">
        <v>3.65</v>
      </c>
      <c r="E583" t="s">
        <v>21</v>
      </c>
    </row>
    <row r="584" spans="1:5" x14ac:dyDescent="0.25">
      <c r="A584" t="str">
        <f>HYPERLINK("https://www.773grp.com/globalSearch/DS26LV32ATMX-NOPB/page-1", "DS26LV32ATMX-NOPB")</f>
        <v>DS26LV32ATMX-NOPB</v>
      </c>
      <c r="B584" s="3" t="str">
        <f>HYPERLINK("https://www.773grp.com/manufacturer/national-semiconductor?pageNo=47", "National Semiconductor")</f>
        <v>National Semiconductor</v>
      </c>
      <c r="C584" s="6">
        <v>2363</v>
      </c>
      <c r="D584" s="7">
        <v>3.65</v>
      </c>
      <c r="E584" t="s">
        <v>21</v>
      </c>
    </row>
    <row r="585" spans="1:5" x14ac:dyDescent="0.25">
      <c r="A585" t="str">
        <f>HYPERLINK("https://www.773grp.com/globalSearch/LM2940CSX-12-NOPB/page-1", "LM2940CSX-12-NOPB")</f>
        <v>LM2940CSX-12-NOPB</v>
      </c>
      <c r="B585" s="3" t="str">
        <f>HYPERLINK("https://www.773grp.com/manufacturer/national-semiconductor?pageNo=48", "National Semiconductor")</f>
        <v>National Semiconductor</v>
      </c>
      <c r="C585" s="6">
        <v>3000</v>
      </c>
      <c r="D585" s="7">
        <v>3.65</v>
      </c>
      <c r="E585" t="s">
        <v>19</v>
      </c>
    </row>
    <row r="586" spans="1:5" x14ac:dyDescent="0.25">
      <c r="A586" t="str">
        <f>HYPERLINK("https://www.773grp.com/globalSearch/LM2940CSX-15-NOPB/page-1", "LM2940CSX-15-NOPB")</f>
        <v>LM2940CSX-15-NOPB</v>
      </c>
      <c r="B586" s="3" t="str">
        <f>HYPERLINK("https://www.773grp.com/manufacturer/national-semiconductor?pageNo=49", "National Semiconductor")</f>
        <v>National Semiconductor</v>
      </c>
      <c r="C586" s="6">
        <v>2000</v>
      </c>
      <c r="D586" s="7">
        <v>3.65</v>
      </c>
      <c r="E586" t="s">
        <v>19</v>
      </c>
    </row>
    <row r="587" spans="1:5" x14ac:dyDescent="0.25">
      <c r="A587" t="str">
        <f>HYPERLINK("https://www.773grp.com/globalSearch/LM2940CSX-5.0-NOPB/page-1", "LM2940CSX-5.0-NOPB")</f>
        <v>LM2940CSX-5.0-NOPB</v>
      </c>
      <c r="B587" s="3" t="str">
        <f>HYPERLINK("https://www.773grp.com/manufacturer/national-semiconductor?pageNo=50", "National Semiconductor")</f>
        <v>National Semiconductor</v>
      </c>
      <c r="C587" s="6">
        <v>2500</v>
      </c>
      <c r="D587" s="7">
        <v>3.65</v>
      </c>
      <c r="E587" t="s">
        <v>19</v>
      </c>
    </row>
    <row r="588" spans="1:5" x14ac:dyDescent="0.25">
      <c r="A588" t="str">
        <f>HYPERLINK("https://www.773grp.com/globalSearch/LM2940CSX-9.0-NOPB/page-1", "LM2940CSX-9.0-NOPB")</f>
        <v>LM2940CSX-9.0-NOPB</v>
      </c>
      <c r="B588" s="3" t="str">
        <f>HYPERLINK("https://www.773grp.com/manufacturer/national-semiconductor?pageNo=51", "National Semiconductor")</f>
        <v>National Semiconductor</v>
      </c>
      <c r="C588" s="6">
        <v>2250</v>
      </c>
      <c r="D588" s="7">
        <v>3.65</v>
      </c>
      <c r="E588" t="s">
        <v>19</v>
      </c>
    </row>
    <row r="589" spans="1:5" x14ac:dyDescent="0.25">
      <c r="A589" t="str">
        <f>HYPERLINK("https://www.773grp.com/globalSearch/LM319AM/page-1", "LM319AM")</f>
        <v>LM319AM</v>
      </c>
      <c r="B589" s="3" t="str">
        <f>HYPERLINK("https://www.773grp.com/manufacturer/national-semiconductor?pageNo=52", "National Semiconductor")</f>
        <v>National Semiconductor</v>
      </c>
      <c r="C589" s="6">
        <v>1835</v>
      </c>
      <c r="D589" s="7">
        <v>3.65</v>
      </c>
      <c r="E589" t="s">
        <v>9</v>
      </c>
    </row>
    <row r="590" spans="1:5" x14ac:dyDescent="0.25">
      <c r="A590" t="str">
        <f>HYPERLINK("https://www.773grp.com/globalSearch/LM3370TL-3006-NOPB/page-1", "LM3370TL-3006-NOPB")</f>
        <v>LM3370TL-3006-NOPB</v>
      </c>
      <c r="B590" s="3" t="str">
        <f>HYPERLINK("https://www.773grp.com/manufacturer/national-semiconductor?pageNo=53", "National Semiconductor")</f>
        <v>National Semiconductor</v>
      </c>
      <c r="C590" s="6">
        <v>449</v>
      </c>
      <c r="D590" s="7">
        <v>3.65</v>
      </c>
      <c r="E590" t="s">
        <v>7</v>
      </c>
    </row>
    <row r="591" spans="1:5" x14ac:dyDescent="0.25">
      <c r="A591" t="str">
        <f>HYPERLINK("https://www.773grp.com/globalSearch/LM3370TL-3008-NOPB/page-1", "LM3370TL-3008-NOPB")</f>
        <v>LM3370TL-3008-NOPB</v>
      </c>
      <c r="B591" s="3" t="str">
        <f>HYPERLINK("https://www.773grp.com/manufacturer/national-semiconductor?pageNo=54", "National Semiconductor")</f>
        <v>National Semiconductor</v>
      </c>
      <c r="C591" s="6">
        <v>500</v>
      </c>
      <c r="D591" s="7">
        <v>3.65</v>
      </c>
      <c r="E591" t="s">
        <v>7</v>
      </c>
    </row>
    <row r="592" spans="1:5" x14ac:dyDescent="0.25">
      <c r="A592" t="str">
        <f>HYPERLINK("https://www.773grp.com/globalSearch/LM3370TL-3022-NOPB/page-1", "LM3370TL-3022-NOPB")</f>
        <v>LM3370TL-3022-NOPB</v>
      </c>
      <c r="B592" s="3" t="str">
        <f>HYPERLINK("https://www.773grp.com/manufacturer/national-semiconductor?pageNo=55", "National Semiconductor")</f>
        <v>National Semiconductor</v>
      </c>
      <c r="C592" s="6">
        <v>750</v>
      </c>
      <c r="D592" s="7">
        <v>3.65</v>
      </c>
      <c r="E592" t="s">
        <v>7</v>
      </c>
    </row>
    <row r="593" spans="1:5" x14ac:dyDescent="0.25">
      <c r="A593" t="str">
        <f>HYPERLINK("https://www.773grp.com/globalSearch/LM3370TL-3206-NOPB/page-1", "LM3370TL-3206-NOPB")</f>
        <v>LM3370TL-3206-NOPB</v>
      </c>
      <c r="B593" s="3" t="str">
        <f>HYPERLINK("https://www.773grp.com/manufacturer/national-semiconductor?pageNo=56", "National Semiconductor")</f>
        <v>National Semiconductor</v>
      </c>
      <c r="C593" s="6">
        <v>500</v>
      </c>
      <c r="D593" s="7">
        <v>3.65</v>
      </c>
      <c r="E593" t="s">
        <v>7</v>
      </c>
    </row>
    <row r="594" spans="1:5" x14ac:dyDescent="0.25">
      <c r="A594" t="str">
        <f>HYPERLINK("https://www.773grp.com/globalSearch/LM3370TL-3607-NOPB/page-1", "LM3370TL-3607-NOPB")</f>
        <v>LM3370TL-3607-NOPB</v>
      </c>
      <c r="B594" s="3" t="str">
        <f>HYPERLINK("https://www.773grp.com/manufacturer/national-semiconductor?pageNo=57", "National Semiconductor")</f>
        <v>National Semiconductor</v>
      </c>
      <c r="C594" s="6">
        <v>500</v>
      </c>
      <c r="D594" s="7">
        <v>3.65</v>
      </c>
      <c r="E594" t="s">
        <v>7</v>
      </c>
    </row>
    <row r="595" spans="1:5" x14ac:dyDescent="0.25">
      <c r="A595" t="str">
        <f>HYPERLINK("https://www.773grp.com/globalSearch/LM3370TL-3806-NOPB/page-1", "LM3370TL-3806-NOPB")</f>
        <v>LM3370TL-3806-NOPB</v>
      </c>
      <c r="B595" s="3" t="str">
        <f>HYPERLINK("https://www.773grp.com/manufacturer/national-semiconductor?pageNo=58", "National Semiconductor")</f>
        <v>National Semiconductor</v>
      </c>
      <c r="C595" s="6">
        <v>500</v>
      </c>
      <c r="D595" s="7">
        <v>3.65</v>
      </c>
      <c r="E595" t="s">
        <v>7</v>
      </c>
    </row>
    <row r="596" spans="1:5" x14ac:dyDescent="0.25">
      <c r="A596" t="str">
        <f>HYPERLINK("https://www.773grp.com/globalSearch/LM3525MX-L/page-1", "LM3525MX-L")</f>
        <v>LM3525MX-L</v>
      </c>
      <c r="B596" s="3" t="str">
        <f>HYPERLINK("https://www.773grp.com/manufacturer/national-semiconductor?pageNo=59", "National Semiconductor")</f>
        <v>National Semiconductor</v>
      </c>
      <c r="C596" s="6">
        <v>2500</v>
      </c>
      <c r="D596" s="7">
        <v>3.65</v>
      </c>
      <c r="E596" t="s">
        <v>11</v>
      </c>
    </row>
    <row r="597" spans="1:5" x14ac:dyDescent="0.25">
      <c r="A597" t="str">
        <f>HYPERLINK("https://www.773grp.com/globalSearch/LM3678SDE-1.2-NOPB/page-1", "LM3678SDE-1.2-NOPB")</f>
        <v>LM3678SDE-1.2-NOPB</v>
      </c>
      <c r="B597" s="3" t="str">
        <f>HYPERLINK("https://www.773grp.com/manufacturer/national-semiconductor?pageNo=60", "National Semiconductor")</f>
        <v>National Semiconductor</v>
      </c>
      <c r="C597" s="6">
        <v>3451</v>
      </c>
      <c r="D597" s="7">
        <v>3.65</v>
      </c>
      <c r="E597" t="s">
        <v>7</v>
      </c>
    </row>
    <row r="598" spans="1:5" x14ac:dyDescent="0.25">
      <c r="A598" t="str">
        <f>HYPERLINK("https://www.773grp.com/globalSearch/LM385BYZ-NOPB/page-1", "LM385BYZ-NOPB")</f>
        <v>LM385BYZ-NOPB</v>
      </c>
      <c r="B598" s="3" t="str">
        <f>HYPERLINK("https://www.773grp.com/manufacturer/national-semiconductor?pageNo=61", "National Semiconductor")</f>
        <v>National Semiconductor</v>
      </c>
      <c r="C598" s="6">
        <v>2437</v>
      </c>
      <c r="D598" s="7">
        <v>3.65</v>
      </c>
      <c r="E598" t="s">
        <v>17</v>
      </c>
    </row>
    <row r="599" spans="1:5" x14ac:dyDescent="0.25">
      <c r="A599" t="str">
        <f>HYPERLINK("https://www.773grp.com/globalSearch/LM385BYZ-1.2-NOPB/page-1", "LM385BYZ-1.2-NOPB")</f>
        <v>LM385BYZ-1.2-NOPB</v>
      </c>
      <c r="B599" s="3" t="str">
        <f>HYPERLINK("https://www.773grp.com/manufacturer/national-semiconductor?pageNo=62", "National Semiconductor")</f>
        <v>National Semiconductor</v>
      </c>
      <c r="C599" s="6">
        <v>581</v>
      </c>
      <c r="D599" s="7">
        <v>3.65</v>
      </c>
      <c r="E599" t="s">
        <v>17</v>
      </c>
    </row>
    <row r="600" spans="1:5" x14ac:dyDescent="0.25">
      <c r="A600" t="str">
        <f>HYPERLINK("https://www.773grp.com/globalSearch/LM385BYZ-2.5-NOPB/page-1", "LM385BYZ-2.5-NOPB")</f>
        <v>LM385BYZ-2.5-NOPB</v>
      </c>
      <c r="B600" s="3" t="str">
        <f>HYPERLINK("https://www.773grp.com/manufacturer/national-semiconductor?pageNo=63", "National Semiconductor")</f>
        <v>National Semiconductor</v>
      </c>
      <c r="C600" s="6">
        <v>3288</v>
      </c>
      <c r="D600" s="7">
        <v>3.65</v>
      </c>
      <c r="E600" t="s">
        <v>17</v>
      </c>
    </row>
    <row r="601" spans="1:5" x14ac:dyDescent="0.25">
      <c r="A601" t="str">
        <f>HYPERLINK("https://www.773grp.com/globalSearch/LM4040AIM3-10.0-NOPB/page-1", "LM4040AIM3-10.0-NOPB")</f>
        <v>LM4040AIM3-10.0-NOPB</v>
      </c>
      <c r="B601" s="3" t="str">
        <f>HYPERLINK("https://www.773grp.com/manufacturer/national-semiconductor?pageNo=64", "National Semiconductor")</f>
        <v>National Semiconductor</v>
      </c>
      <c r="C601" s="6">
        <v>6000</v>
      </c>
      <c r="D601" s="7">
        <v>3.65</v>
      </c>
      <c r="E601" t="s">
        <v>17</v>
      </c>
    </row>
    <row r="602" spans="1:5" x14ac:dyDescent="0.25">
      <c r="A602" t="str">
        <f>HYPERLINK("https://www.773grp.com/globalSearch/LM4040AIM3-2.0-NOPB/page-1", "LM4040AIM3-2.0-NOPB")</f>
        <v>LM4040AIM3-2.0-NOPB</v>
      </c>
      <c r="B602" s="3" t="str">
        <f>HYPERLINK("https://www.773grp.com/manufacturer/national-semiconductor?pageNo=65", "National Semiconductor")</f>
        <v>National Semiconductor</v>
      </c>
      <c r="C602" s="6">
        <v>1746</v>
      </c>
      <c r="D602" s="7">
        <v>3.65</v>
      </c>
      <c r="E602" t="s">
        <v>17</v>
      </c>
    </row>
    <row r="603" spans="1:5" x14ac:dyDescent="0.25">
      <c r="A603" t="str">
        <f>HYPERLINK("https://www.773grp.com/globalSearch/LM4040AIM3-2.5-NOPB/page-1", "LM4040AIM3-2.5-NOPB")</f>
        <v>LM4040AIM3-2.5-NOPB</v>
      </c>
      <c r="B603" s="3" t="str">
        <f>HYPERLINK("https://www.773grp.com/manufacturer/national-semiconductor?pageNo=66", "National Semiconductor")</f>
        <v>National Semiconductor</v>
      </c>
      <c r="C603" s="6">
        <v>2152</v>
      </c>
      <c r="D603" s="7">
        <v>3.65</v>
      </c>
      <c r="E603" t="s">
        <v>17</v>
      </c>
    </row>
    <row r="604" spans="1:5" x14ac:dyDescent="0.25">
      <c r="A604" t="str">
        <f>HYPERLINK("https://www.773grp.com/globalSearch/LM4040AIM3-3.0-NOPB/page-1", "LM4040AIM3-3.0-NOPB")</f>
        <v>LM4040AIM3-3.0-NOPB</v>
      </c>
      <c r="B604" s="3" t="str">
        <f>HYPERLINK("https://www.773grp.com/manufacturer/national-semiconductor?pageNo=67", "National Semiconductor")</f>
        <v>National Semiconductor</v>
      </c>
      <c r="C604" s="6">
        <v>814</v>
      </c>
      <c r="D604" s="7">
        <v>3.65</v>
      </c>
      <c r="E604" t="s">
        <v>17</v>
      </c>
    </row>
    <row r="605" spans="1:5" x14ac:dyDescent="0.25">
      <c r="A605" t="str">
        <f>HYPERLINK("https://www.773grp.com/globalSearch/LM4040AIM3-4.1-NOPB/page-1", "LM4040AIM3-4.1-NOPB")</f>
        <v>LM4040AIM3-4.1-NOPB</v>
      </c>
      <c r="B605" s="3" t="str">
        <f>HYPERLINK("https://www.773grp.com/manufacturer/national-semiconductor?pageNo=68", "National Semiconductor")</f>
        <v>National Semiconductor</v>
      </c>
      <c r="C605" s="6">
        <v>1335</v>
      </c>
      <c r="D605" s="7">
        <v>3.65</v>
      </c>
      <c r="E605" t="s">
        <v>17</v>
      </c>
    </row>
    <row r="606" spans="1:5" x14ac:dyDescent="0.25">
      <c r="A606" t="str">
        <f>HYPERLINK("https://www.773grp.com/globalSearch/LM4040AIM3-5.0-NOPB/page-1", "LM4040AIM3-5.0-NOPB")</f>
        <v>LM4040AIM3-5.0-NOPB</v>
      </c>
      <c r="B606" s="3" t="str">
        <f>HYPERLINK("https://www.773grp.com/manufacturer/national-semiconductor?pageNo=69", "National Semiconductor")</f>
        <v>National Semiconductor</v>
      </c>
      <c r="C606" s="6">
        <v>4033</v>
      </c>
      <c r="D606" s="7">
        <v>3.65</v>
      </c>
      <c r="E606" t="s">
        <v>17</v>
      </c>
    </row>
    <row r="607" spans="1:5" x14ac:dyDescent="0.25">
      <c r="A607" t="str">
        <f>HYPERLINK("https://www.773grp.com/globalSearch/LM4040AIM3X-10-NOPB/page-1", "LM4040AIM3X-10-NOPB")</f>
        <v>LM4040AIM3X-10-NOPB</v>
      </c>
      <c r="B607" s="3" t="str">
        <f>HYPERLINK("https://www.773grp.com/manufacturer/national-semiconductor?pageNo=70", "National Semiconductor")</f>
        <v>National Semiconductor</v>
      </c>
      <c r="C607" s="6">
        <v>13479</v>
      </c>
      <c r="D607" s="7">
        <v>3.65</v>
      </c>
      <c r="E607" t="s">
        <v>17</v>
      </c>
    </row>
    <row r="608" spans="1:5" x14ac:dyDescent="0.25">
      <c r="A608" t="str">
        <f>HYPERLINK("https://www.773grp.com/globalSearch/LM4040AIM3X-2.5-NOPB/page-1", "LM4040AIM3X-2.5-NOPB")</f>
        <v>LM4040AIM3X-2.5-NOPB</v>
      </c>
      <c r="B608" s="3" t="str">
        <f>HYPERLINK("https://www.773grp.com/manufacturer/national-semiconductor?pageNo=71", "National Semiconductor")</f>
        <v>National Semiconductor</v>
      </c>
      <c r="C608" s="6">
        <v>92438</v>
      </c>
      <c r="D608" s="7">
        <v>3.65</v>
      </c>
      <c r="E608" t="s">
        <v>17</v>
      </c>
    </row>
    <row r="609" spans="1:5" x14ac:dyDescent="0.25">
      <c r="A609" t="str">
        <f>HYPERLINK("https://www.773grp.com/globalSearch/LM4040AIM3X-4.1-NOPB/page-1", "LM4040AIM3X-4.1-NOPB")</f>
        <v>LM4040AIM3X-4.1-NOPB</v>
      </c>
      <c r="B609" s="3" t="str">
        <f>HYPERLINK("https://www.773grp.com/manufacturer/national-semiconductor?pageNo=72", "National Semiconductor")</f>
        <v>National Semiconductor</v>
      </c>
      <c r="C609" s="6">
        <v>14865</v>
      </c>
      <c r="D609" s="7">
        <v>3.65</v>
      </c>
      <c r="E609" t="s">
        <v>17</v>
      </c>
    </row>
    <row r="610" spans="1:5" x14ac:dyDescent="0.25">
      <c r="A610" t="str">
        <f>HYPERLINK("https://www.773grp.com/globalSearch/LM4040AIM3X-5.0-NOPB/page-1", "LM4040AIM3X-5.0-NOPB")</f>
        <v>LM4040AIM3X-5.0-NOPB</v>
      </c>
      <c r="B610" s="3" t="str">
        <f>HYPERLINK("https://www.773grp.com/manufacturer/national-semiconductor?pageNo=73", "National Semiconductor")</f>
        <v>National Semiconductor</v>
      </c>
      <c r="C610" s="6">
        <v>24000</v>
      </c>
      <c r="D610" s="7">
        <v>3.65</v>
      </c>
      <c r="E610" t="s">
        <v>17</v>
      </c>
    </row>
    <row r="611" spans="1:5" x14ac:dyDescent="0.25">
      <c r="A611" t="str">
        <f>HYPERLINK("https://www.773grp.com/globalSearch/LM4040AIZ-10.0-NOPB/page-1", "LM4040AIZ-10.0-NOPB")</f>
        <v>LM4040AIZ-10.0-NOPB</v>
      </c>
      <c r="B611" s="3" t="str">
        <f>HYPERLINK("https://www.773grp.com/manufacturer/national-semiconductor?pageNo=74", "National Semiconductor")</f>
        <v>National Semiconductor</v>
      </c>
      <c r="C611" s="6">
        <v>7440</v>
      </c>
      <c r="D611" s="7">
        <v>3.65</v>
      </c>
      <c r="E611" t="s">
        <v>17</v>
      </c>
    </row>
    <row r="612" spans="1:5" x14ac:dyDescent="0.25">
      <c r="A612" t="str">
        <f>HYPERLINK("https://www.773grp.com/globalSearch/LM4040AIZ-2.5-NOPB/page-1", "LM4040AIZ-2.5-NOPB")</f>
        <v>LM4040AIZ-2.5-NOPB</v>
      </c>
      <c r="B612" s="3" t="str">
        <f>HYPERLINK("https://www.773grp.com/manufacturer/national-semiconductor?pageNo=75", "National Semiconductor")</f>
        <v>National Semiconductor</v>
      </c>
      <c r="C612" s="6">
        <v>8740</v>
      </c>
      <c r="D612" s="7">
        <v>3.65</v>
      </c>
      <c r="E612" t="s">
        <v>17</v>
      </c>
    </row>
    <row r="613" spans="1:5" x14ac:dyDescent="0.25">
      <c r="A613" t="str">
        <f>HYPERLINK("https://www.773grp.com/globalSearch/LM4040AIZ-4.1-NOPB/page-1", "LM4040AIZ-4.1-NOPB")</f>
        <v>LM4040AIZ-4.1-NOPB</v>
      </c>
      <c r="B613" s="3" t="str">
        <f>HYPERLINK("https://www.773grp.com/manufacturer/national-semiconductor?pageNo=76", "National Semiconductor")</f>
        <v>National Semiconductor</v>
      </c>
      <c r="C613" s="6">
        <v>573</v>
      </c>
      <c r="D613" s="7">
        <v>3.65</v>
      </c>
      <c r="E613" t="s">
        <v>17</v>
      </c>
    </row>
    <row r="614" spans="1:5" x14ac:dyDescent="0.25">
      <c r="A614" t="str">
        <f>HYPERLINK("https://www.773grp.com/globalSearch/LM4040AIZ-5.0-NOPB/page-1", "LM4040AIZ-5.0-NOPB")</f>
        <v>LM4040AIZ-5.0-NOPB</v>
      </c>
      <c r="B614" s="3" t="str">
        <f>HYPERLINK("https://www.773grp.com/manufacturer/national-semiconductor?pageNo=77", "National Semiconductor")</f>
        <v>National Semiconductor</v>
      </c>
      <c r="C614" s="6">
        <v>588</v>
      </c>
      <c r="D614" s="7">
        <v>3.65</v>
      </c>
      <c r="E614" t="s">
        <v>17</v>
      </c>
    </row>
    <row r="615" spans="1:5" x14ac:dyDescent="0.25">
      <c r="A615" t="str">
        <f>HYPERLINK("https://www.773grp.com/globalSearch/LM4674ATLX/page-1", "LM4674ATLX")</f>
        <v>LM4674ATLX</v>
      </c>
      <c r="B615" s="3" t="str">
        <f>HYPERLINK("https://www.773grp.com/manufacturer/national-semiconductor?pageNo=78", "National Semiconductor")</f>
        <v>National Semiconductor</v>
      </c>
      <c r="C615" s="6">
        <v>80530</v>
      </c>
      <c r="D615" s="7">
        <v>3.65</v>
      </c>
    </row>
    <row r="616" spans="1:5" x14ac:dyDescent="0.25">
      <c r="A616" t="str">
        <f>HYPERLINK("https://www.773grp.com/globalSearch/LM4675TL-NOPB/page-1", "LM4675TL-NOPB")</f>
        <v>LM4675TL-NOPB</v>
      </c>
      <c r="B616" s="3" t="str">
        <f>HYPERLINK("https://www.773grp.com/manufacturer/national-semiconductor?pageNo=79", "National Semiconductor")</f>
        <v>National Semiconductor</v>
      </c>
      <c r="C616" s="6">
        <v>980</v>
      </c>
      <c r="D616" s="7">
        <v>3.65</v>
      </c>
    </row>
    <row r="617" spans="1:5" x14ac:dyDescent="0.25">
      <c r="A617" t="str">
        <f>HYPERLINK("https://www.773grp.com/globalSearch/LM4870M/page-1", "LM4870M")</f>
        <v>LM4870M</v>
      </c>
      <c r="B617" s="3" t="str">
        <f>HYPERLINK("https://www.773grp.com/manufacturer/national-semiconductor?pageNo=80", "National Semiconductor")</f>
        <v>National Semiconductor</v>
      </c>
      <c r="C617" s="6">
        <v>4825</v>
      </c>
      <c r="D617" s="7">
        <v>3.65</v>
      </c>
      <c r="E617" t="s">
        <v>18</v>
      </c>
    </row>
    <row r="618" spans="1:5" x14ac:dyDescent="0.25">
      <c r="A618" t="str">
        <f>HYPERLINK("https://www.773grp.com/globalSearch/LM4870MX/page-1", "LM4870MX")</f>
        <v>LM4870MX</v>
      </c>
      <c r="B618" s="3" t="str">
        <f>HYPERLINK("https://www.773grp.com/manufacturer/national-semiconductor?pageNo=81", "National Semiconductor")</f>
        <v>National Semiconductor</v>
      </c>
      <c r="C618" s="6">
        <v>5175</v>
      </c>
      <c r="D618" s="7">
        <v>3.65</v>
      </c>
      <c r="E618" t="s">
        <v>18</v>
      </c>
    </row>
    <row r="619" spans="1:5" x14ac:dyDescent="0.25">
      <c r="A619" t="str">
        <f>HYPERLINK("https://www.773grp.com/globalSearch/LM4875MM-NOPB/page-1", "LM4875MM-NOPB")</f>
        <v>LM4875MM-NOPB</v>
      </c>
      <c r="B619" s="3" t="str">
        <f>HYPERLINK("https://www.773grp.com/manufacturer/national-semiconductor?pageNo=82", "National Semiconductor")</f>
        <v>National Semiconductor</v>
      </c>
      <c r="C619" s="6">
        <v>64999</v>
      </c>
      <c r="D619" s="7">
        <v>3.65</v>
      </c>
      <c r="E619" t="s">
        <v>41</v>
      </c>
    </row>
    <row r="620" spans="1:5" x14ac:dyDescent="0.25">
      <c r="A620" t="str">
        <f>HYPERLINK("https://www.773grp.com/globalSearch/LM4875MX-NOPB/page-1", "LM4875MX-NOPB")</f>
        <v>LM4875MX-NOPB</v>
      </c>
      <c r="B620" s="3" t="str">
        <f>HYPERLINK("https://www.773grp.com/manufacturer/national-semiconductor?pageNo=83", "National Semiconductor")</f>
        <v>National Semiconductor</v>
      </c>
      <c r="C620" s="6">
        <v>7300</v>
      </c>
      <c r="D620" s="7">
        <v>3.65</v>
      </c>
      <c r="E620" t="s">
        <v>41</v>
      </c>
    </row>
    <row r="621" spans="1:5" x14ac:dyDescent="0.25">
      <c r="A621" t="str">
        <f>HYPERLINK("https://www.773grp.com/globalSearch/LM74CITPX-3/page-1", "LM74CITPX-3")</f>
        <v>LM74CITPX-3</v>
      </c>
      <c r="B621" s="3" t="str">
        <f>HYPERLINK("https://www.773grp.com/manufacturer/national-semiconductor?pageNo=84", "National Semiconductor")</f>
        <v>National Semiconductor</v>
      </c>
      <c r="C621" s="6">
        <v>3000</v>
      </c>
      <c r="D621" s="7">
        <v>3.65</v>
      </c>
      <c r="E621" t="s">
        <v>12</v>
      </c>
    </row>
    <row r="622" spans="1:5" x14ac:dyDescent="0.25">
      <c r="A622" t="str">
        <f>HYPERLINK("https://www.773grp.com/globalSearch/LMC6034IM/page-1", "LMC6034IM")</f>
        <v>LMC6034IM</v>
      </c>
      <c r="B622" s="3" t="str">
        <f>HYPERLINK("https://www.773grp.com/manufacturer/national-semiconductor?pageNo=85", "National Semiconductor")</f>
        <v>National Semiconductor</v>
      </c>
      <c r="C622" s="6">
        <v>3444</v>
      </c>
      <c r="D622" s="7">
        <v>3.65</v>
      </c>
      <c r="E622" t="s">
        <v>13</v>
      </c>
    </row>
    <row r="623" spans="1:5" x14ac:dyDescent="0.25">
      <c r="A623" t="str">
        <f>HYPERLINK("https://www.773grp.com/globalSearch/LMC6482AIMX-NOPB/page-1", "LMC6482AIMX-NOPB")</f>
        <v>LMC6482AIMX-NOPB</v>
      </c>
      <c r="B623" s="3" t="str">
        <f>HYPERLINK("https://www.773grp.com/manufacturer/national-semiconductor?pageNo=86", "National Semiconductor")</f>
        <v>National Semiconductor</v>
      </c>
      <c r="C623" s="6">
        <v>73512</v>
      </c>
      <c r="D623" s="7">
        <v>3.65</v>
      </c>
      <c r="E623" t="s">
        <v>13</v>
      </c>
    </row>
    <row r="624" spans="1:5" x14ac:dyDescent="0.25">
      <c r="A624" t="str">
        <f>HYPERLINK("https://www.773grp.com/globalSearch/LMC662AIM-NOPB/page-1", "LMC662AIM-NOPB")</f>
        <v>LMC662AIM-NOPB</v>
      </c>
      <c r="B624" s="3" t="str">
        <f>HYPERLINK("https://www.773grp.com/manufacturer/national-semiconductor?pageNo=87", "National Semiconductor")</f>
        <v>National Semiconductor</v>
      </c>
      <c r="C624" s="6">
        <v>8455</v>
      </c>
      <c r="D624" s="7">
        <v>3.65</v>
      </c>
      <c r="E624" t="s">
        <v>13</v>
      </c>
    </row>
    <row r="625" spans="1:5" x14ac:dyDescent="0.25">
      <c r="A625" t="str">
        <f>HYPERLINK("https://www.773grp.com/globalSearch/LMC662CN/page-1", "LMC662CN")</f>
        <v>LMC662CN</v>
      </c>
      <c r="B625" s="3" t="str">
        <f>HYPERLINK("https://www.773grp.com/manufacturer/national-semiconductor?pageNo=88", "National Semiconductor")</f>
        <v>National Semiconductor</v>
      </c>
      <c r="C625" s="6">
        <v>1</v>
      </c>
      <c r="D625" s="7">
        <v>3.65</v>
      </c>
      <c r="E625" t="s">
        <v>13</v>
      </c>
    </row>
    <row r="626" spans="1:5" x14ac:dyDescent="0.25">
      <c r="A626" t="str">
        <f>HYPERLINK("https://www.773grp.com/globalSearch/LMC7215IM-NOPB/page-1", "LMC7215IM-NOPB")</f>
        <v>LMC7215IM-NOPB</v>
      </c>
      <c r="B626" s="3" t="str">
        <f>HYPERLINK("https://www.773grp.com/manufacturer/national-semiconductor?pageNo=89", "National Semiconductor")</f>
        <v>National Semiconductor</v>
      </c>
      <c r="C626" s="6">
        <v>553</v>
      </c>
      <c r="D626" s="7">
        <v>3.65</v>
      </c>
      <c r="E626" t="s">
        <v>9</v>
      </c>
    </row>
    <row r="627" spans="1:5" x14ac:dyDescent="0.25">
      <c r="A627" t="str">
        <f>HYPERLINK("https://www.773grp.com/globalSearch/LMC7221BIM/page-1", "LMC7221BIM")</f>
        <v>LMC7221BIM</v>
      </c>
      <c r="B627" s="3" t="str">
        <f>HYPERLINK("https://www.773grp.com/manufacturer/national-semiconductor?pageNo=90", "National Semiconductor")</f>
        <v>National Semiconductor</v>
      </c>
      <c r="C627" s="6">
        <v>470</v>
      </c>
      <c r="D627" s="7">
        <v>3.65</v>
      </c>
      <c r="E627" t="s">
        <v>9</v>
      </c>
    </row>
    <row r="628" spans="1:5" x14ac:dyDescent="0.25">
      <c r="A628" t="str">
        <f>HYPERLINK("https://www.773grp.com/globalSearch/LMR64010XMFE-NOPB/page-1", "LMR64010XMFE-NOPB")</f>
        <v>LMR64010XMFE-NOPB</v>
      </c>
      <c r="B628" s="3" t="str">
        <f>HYPERLINK("https://www.773grp.com/manufacturer/national-semiconductor?pageNo=91", "National Semiconductor")</f>
        <v>National Semiconductor</v>
      </c>
      <c r="C628" s="6">
        <v>500</v>
      </c>
      <c r="D628" s="7">
        <v>3.65</v>
      </c>
    </row>
    <row r="629" spans="1:5" x14ac:dyDescent="0.25">
      <c r="A629" t="str">
        <f>HYPERLINK("https://www.773grp.com/globalSearch/LMS1485IM-NOPB/page-1", "LMS1485IM-NOPB")</f>
        <v>LMS1485IM-NOPB</v>
      </c>
      <c r="B629" s="3" t="str">
        <f>HYPERLINK("https://www.773grp.com/manufacturer/national-semiconductor?pageNo=92", "National Semiconductor")</f>
        <v>National Semiconductor</v>
      </c>
      <c r="C629" s="6">
        <v>38</v>
      </c>
      <c r="D629" s="7">
        <v>3.65</v>
      </c>
      <c r="E629" t="s">
        <v>21</v>
      </c>
    </row>
    <row r="630" spans="1:5" x14ac:dyDescent="0.25">
      <c r="A630" t="str">
        <f>HYPERLINK("https://www.773grp.com/globalSearch/LMV832MME-NOPB/page-1", "LMV832MME-NOPB")</f>
        <v>LMV832MME-NOPB</v>
      </c>
      <c r="B630" s="3" t="str">
        <f>HYPERLINK("https://www.773grp.com/manufacturer/national-semiconductor?pageNo=93", "National Semiconductor")</f>
        <v>National Semiconductor</v>
      </c>
      <c r="C630" s="6">
        <v>25</v>
      </c>
      <c r="D630" s="7">
        <v>3.65</v>
      </c>
    </row>
    <row r="631" spans="1:5" x14ac:dyDescent="0.25">
      <c r="A631" t="str">
        <f>HYPERLINK("https://www.773grp.com/globalSearch/LP2988IM-2.8/page-1", "LP2988IM-2.8")</f>
        <v>LP2988IM-2.8</v>
      </c>
      <c r="B631" s="3" t="str">
        <f>HYPERLINK("https://www.773grp.com/manufacturer/national-semiconductor?pageNo=94", "National Semiconductor")</f>
        <v>National Semiconductor</v>
      </c>
      <c r="C631" s="6">
        <v>29</v>
      </c>
      <c r="D631" s="7">
        <v>3.65</v>
      </c>
      <c r="E631" t="s">
        <v>19</v>
      </c>
    </row>
    <row r="632" spans="1:5" x14ac:dyDescent="0.25">
      <c r="A632" t="str">
        <f>HYPERLINK("https://www.773grp.com/globalSearch/LP2988IM-3.3-NOPB/page-1", "LP2988IM-3.3-NOPB")</f>
        <v>LP2988IM-3.3-NOPB</v>
      </c>
      <c r="B632" s="3" t="str">
        <f>HYPERLINK("https://www.773grp.com/manufacturer/national-semiconductor?pageNo=95", "National Semiconductor")</f>
        <v>National Semiconductor</v>
      </c>
      <c r="C632" s="6">
        <v>338</v>
      </c>
      <c r="D632" s="7">
        <v>3.65</v>
      </c>
      <c r="E632" t="s">
        <v>19</v>
      </c>
    </row>
    <row r="633" spans="1:5" x14ac:dyDescent="0.25">
      <c r="A633" t="str">
        <f>HYPERLINK("https://www.773grp.com/globalSearch/LP2998MR/page-1", "LP2998MR")</f>
        <v>LP2998MR</v>
      </c>
      <c r="B633" s="3" t="str">
        <f>HYPERLINK("https://www.773grp.com/manufacturer/national-semiconductor?pageNo=96", "National Semiconductor")</f>
        <v>National Semiconductor</v>
      </c>
      <c r="C633" s="6">
        <v>311</v>
      </c>
      <c r="D633" s="7">
        <v>3.65</v>
      </c>
      <c r="E633" t="s">
        <v>24</v>
      </c>
    </row>
    <row r="634" spans="1:5" x14ac:dyDescent="0.25">
      <c r="A634" t="str">
        <f>HYPERLINK("https://www.773grp.com/globalSearch/LP3923TL-NOPB/page-1", "LP3923TL-NOPB")</f>
        <v>LP3923TL-NOPB</v>
      </c>
      <c r="B634" s="3" t="str">
        <f>HYPERLINK("https://www.773grp.com/manufacturer/national-semiconductor?pageNo=97", "National Semiconductor")</f>
        <v>National Semiconductor</v>
      </c>
      <c r="C634" s="6">
        <v>1000</v>
      </c>
      <c r="D634" s="7">
        <v>3.65</v>
      </c>
    </row>
    <row r="635" spans="1:5" x14ac:dyDescent="0.25">
      <c r="A635" t="str">
        <f>HYPERLINK("https://www.773grp.com/globalSearch/LP3923TL-VB-NOPB/page-1", "LP3923TL-VB-NOPB")</f>
        <v>LP3923TL-VB-NOPB</v>
      </c>
      <c r="B635" s="3" t="str">
        <f>HYPERLINK("https://www.773grp.com/manufacturer/national-semiconductor?pageNo=98", "National Semiconductor")</f>
        <v>National Semiconductor</v>
      </c>
      <c r="C635" s="6">
        <v>6250</v>
      </c>
      <c r="D635" s="7">
        <v>3.65</v>
      </c>
    </row>
    <row r="636" spans="1:5" x14ac:dyDescent="0.25">
      <c r="A636" t="str">
        <f>HYPERLINK("https://www.773grp.com/globalSearch/LP3923TL-VI-NOPB/page-1", "LP3923TL-VI-NOPB")</f>
        <v>LP3923TL-VI-NOPB</v>
      </c>
      <c r="B636" s="3" t="str">
        <f>HYPERLINK("https://www.773grp.com/manufacturer/national-semiconductor?pageNo=99", "National Semiconductor")</f>
        <v>National Semiconductor</v>
      </c>
      <c r="C636" s="6">
        <v>15750</v>
      </c>
      <c r="D636" s="7">
        <v>3.65</v>
      </c>
    </row>
    <row r="637" spans="1:5" x14ac:dyDescent="0.25">
      <c r="A637" t="str">
        <f>HYPERLINK("https://www.773grp.com/globalSearch/LP5524TM-5-NOPB/page-1", "LP5524TM-5-NOPB")</f>
        <v>LP5524TM-5-NOPB</v>
      </c>
      <c r="B637" s="3" t="str">
        <f>HYPERLINK("https://www.773grp.com/manufacturer/national-semiconductor?pageNo=100", "National Semiconductor")</f>
        <v>National Semiconductor</v>
      </c>
      <c r="C637" s="6">
        <v>284</v>
      </c>
      <c r="D637" s="7">
        <v>3.65</v>
      </c>
    </row>
    <row r="638" spans="1:5" x14ac:dyDescent="0.25">
      <c r="A638" t="str">
        <f>HYPERLINK("https://www.773grp.com/globalSearch/DAC0802LCMX-NOPB/page-1", "DAC0802LCMX-NOPB")</f>
        <v>DAC0802LCMX-NOPB</v>
      </c>
      <c r="B638" s="3" t="str">
        <f>HYPERLINK("https://www.773grp.com/manufacturer/national-semiconductor?pageNo=101", "National Semiconductor")</f>
        <v>National Semiconductor</v>
      </c>
      <c r="C638" s="6">
        <v>2152</v>
      </c>
      <c r="D638" s="7">
        <v>3.65</v>
      </c>
      <c r="E638" t="s">
        <v>33</v>
      </c>
    </row>
    <row r="639" spans="1:5" x14ac:dyDescent="0.25">
      <c r="A639" t="str">
        <f>HYPERLINK("https://www.773grp.com/globalSearch/DS14C88M-NOPB/page-1", "DS14C88M-NOPB")</f>
        <v>DS14C88M-NOPB</v>
      </c>
      <c r="B639" s="3" t="str">
        <f>HYPERLINK("https://www.773grp.com/manufacturer/national-semiconductor?pageNo=102", "National Semiconductor")</f>
        <v>National Semiconductor</v>
      </c>
      <c r="C639" s="6">
        <v>5032</v>
      </c>
      <c r="D639" s="7">
        <v>3.65</v>
      </c>
      <c r="E639" t="s">
        <v>21</v>
      </c>
    </row>
    <row r="640" spans="1:5" x14ac:dyDescent="0.25">
      <c r="A640" t="str">
        <f>HYPERLINK("https://www.773grp.com/globalSearch/DS26C32ATMX-NOPB/page-1", "DS26C32ATMX-NOPB")</f>
        <v>DS26C32ATMX-NOPB</v>
      </c>
      <c r="B640" s="3" t="str">
        <f>HYPERLINK("https://www.773grp.com/manufacturer/national-semiconductor?pageNo=103", "National Semiconductor")</f>
        <v>National Semiconductor</v>
      </c>
      <c r="C640" s="6">
        <v>10000</v>
      </c>
      <c r="D640" s="7">
        <v>3.65</v>
      </c>
      <c r="E640" t="s">
        <v>21</v>
      </c>
    </row>
    <row r="641" spans="1:5" x14ac:dyDescent="0.25">
      <c r="A641" t="str">
        <f>HYPERLINK("https://www.773grp.com/globalSearch/LM2940CSX-12-NOPB/page-1", "LM2940CSX-12-NOPB")</f>
        <v>LM2940CSX-12-NOPB</v>
      </c>
      <c r="B641" s="3" t="str">
        <f>HYPERLINK("https://www.773grp.com/manufacturer/national-semiconductor?pageNo=104", "National Semiconductor")</f>
        <v>National Semiconductor</v>
      </c>
      <c r="C641" s="6">
        <v>54</v>
      </c>
      <c r="D641" s="7">
        <v>3.65</v>
      </c>
      <c r="E641" t="s">
        <v>19</v>
      </c>
    </row>
    <row r="642" spans="1:5" x14ac:dyDescent="0.25">
      <c r="A642" t="str">
        <f>HYPERLINK("https://www.773grp.com/globalSearch/LM2940CSX-15-NOPB/page-1", "LM2940CSX-15-NOPB")</f>
        <v>LM2940CSX-15-NOPB</v>
      </c>
      <c r="B642" s="3" t="str">
        <f>HYPERLINK("https://www.773grp.com/manufacturer/national-semiconductor?pageNo=105", "National Semiconductor")</f>
        <v>National Semiconductor</v>
      </c>
      <c r="C642" s="6">
        <v>849</v>
      </c>
      <c r="D642" s="7">
        <v>3.65</v>
      </c>
      <c r="E642" t="s">
        <v>19</v>
      </c>
    </row>
    <row r="643" spans="1:5" x14ac:dyDescent="0.25">
      <c r="A643" t="str">
        <f>HYPERLINK("https://www.773grp.com/globalSearch/LM2940CSX-5.0-NOPB/page-1", "LM2940CSX-5.0-NOPB")</f>
        <v>LM2940CSX-5.0-NOPB</v>
      </c>
      <c r="B643" s="3" t="str">
        <f>HYPERLINK("https://www.773grp.com/manufacturer/national-semiconductor?pageNo=106", "National Semiconductor")</f>
        <v>National Semiconductor</v>
      </c>
      <c r="C643" s="6">
        <v>462</v>
      </c>
      <c r="D643" s="7">
        <v>3.65</v>
      </c>
      <c r="E643" t="s">
        <v>19</v>
      </c>
    </row>
    <row r="644" spans="1:5" x14ac:dyDescent="0.25">
      <c r="A644" t="str">
        <f>HYPERLINK("https://www.773grp.com/globalSearch/LM2940CSX-9.0-NOPB/page-1", "LM2940CSX-9.0-NOPB")</f>
        <v>LM2940CSX-9.0-NOPB</v>
      </c>
      <c r="B644" s="3" t="str">
        <f>HYPERLINK("https://www.773grp.com/manufacturer/national-semiconductor?pageNo=107", "National Semiconductor")</f>
        <v>National Semiconductor</v>
      </c>
      <c r="C644" s="6">
        <v>1970</v>
      </c>
      <c r="D644" s="7">
        <v>3.65</v>
      </c>
      <c r="E644" t="s">
        <v>19</v>
      </c>
    </row>
    <row r="645" spans="1:5" x14ac:dyDescent="0.25">
      <c r="A645" t="str">
        <f>HYPERLINK("https://www.773grp.com/globalSearch/LM318D/page-1", "LM318D")</f>
        <v>LM318D</v>
      </c>
      <c r="B645" s="3" t="str">
        <f>HYPERLINK("https://www.773grp.com/manufacturer/national-semiconductor?pageNo=108", "National Semiconductor")</f>
        <v>National Semiconductor</v>
      </c>
      <c r="C645" s="6">
        <v>450</v>
      </c>
      <c r="D645" s="7">
        <v>3.65</v>
      </c>
    </row>
    <row r="646" spans="1:5" x14ac:dyDescent="0.25">
      <c r="A646" t="str">
        <f>HYPERLINK("https://www.773grp.com/globalSearch/LM319AM/page-1", "LM319AM")</f>
        <v>LM319AM</v>
      </c>
      <c r="B646" s="3" t="str">
        <f>HYPERLINK("https://www.773grp.com/manufacturer/national-semiconductor?pageNo=109", "National Semiconductor")</f>
        <v>National Semiconductor</v>
      </c>
      <c r="C646" s="6">
        <v>165</v>
      </c>
      <c r="D646" s="7">
        <v>3.65</v>
      </c>
      <c r="E646" t="s">
        <v>9</v>
      </c>
    </row>
    <row r="647" spans="1:5" x14ac:dyDescent="0.25">
      <c r="A647" t="str">
        <f>HYPERLINK("https://www.773grp.com/globalSearch/LM3370TL-3006-NOPB/page-1", "LM3370TL-3006-NOPB")</f>
        <v>LM3370TL-3006-NOPB</v>
      </c>
      <c r="B647" s="3" t="str">
        <f>HYPERLINK("https://www.773grp.com/manufacturer/national-semiconductor?pageNo=110", "National Semiconductor")</f>
        <v>National Semiconductor</v>
      </c>
      <c r="C647" s="6">
        <v>250</v>
      </c>
      <c r="D647" s="7">
        <v>3.65</v>
      </c>
      <c r="E647" t="s">
        <v>7</v>
      </c>
    </row>
    <row r="648" spans="1:5" x14ac:dyDescent="0.25">
      <c r="A648" t="str">
        <f>HYPERLINK("https://www.773grp.com/globalSearch/LM3370TL-3008-NOPB/page-1", "LM3370TL-3008-NOPB")</f>
        <v>LM3370TL-3008-NOPB</v>
      </c>
      <c r="B648" s="3" t="str">
        <f>HYPERLINK("https://www.773grp.com/manufacturer/national-semiconductor?pageNo=111", "National Semiconductor")</f>
        <v>National Semiconductor</v>
      </c>
      <c r="C648" s="6">
        <v>250</v>
      </c>
      <c r="D648" s="7">
        <v>3.65</v>
      </c>
      <c r="E648" t="s">
        <v>7</v>
      </c>
    </row>
    <row r="649" spans="1:5" x14ac:dyDescent="0.25">
      <c r="A649" t="str">
        <f>HYPERLINK("https://www.773grp.com/globalSearch/LM3370TL-3022-NOPB/page-1", "LM3370TL-3022-NOPB")</f>
        <v>LM3370TL-3022-NOPB</v>
      </c>
      <c r="B649" s="3" t="str">
        <f>HYPERLINK("https://www.773grp.com/manufacturer/national-semiconductor?pageNo=112", "National Semiconductor")</f>
        <v>National Semiconductor</v>
      </c>
      <c r="C649" s="6">
        <v>250</v>
      </c>
      <c r="D649" s="7">
        <v>3.65</v>
      </c>
      <c r="E649" t="s">
        <v>7</v>
      </c>
    </row>
    <row r="650" spans="1:5" x14ac:dyDescent="0.25">
      <c r="A650" t="str">
        <f>HYPERLINK("https://www.773grp.com/globalSearch/LM3370TL-3206-NOPB/page-1", "LM3370TL-3206-NOPB")</f>
        <v>LM3370TL-3206-NOPB</v>
      </c>
      <c r="B650" s="3" t="str">
        <f>HYPERLINK("https://www.773grp.com/manufacturer/national-semiconductor?pageNo=113", "National Semiconductor")</f>
        <v>National Semiconductor</v>
      </c>
      <c r="C650" s="6">
        <v>250</v>
      </c>
      <c r="D650" s="7">
        <v>3.65</v>
      </c>
      <c r="E650" t="s">
        <v>7</v>
      </c>
    </row>
    <row r="651" spans="1:5" x14ac:dyDescent="0.25">
      <c r="A651" t="str">
        <f>HYPERLINK("https://www.773grp.com/globalSearch/LM3370TL-3607-NOPB/page-1", "LM3370TL-3607-NOPB")</f>
        <v>LM3370TL-3607-NOPB</v>
      </c>
      <c r="B651" s="3" t="str">
        <f>HYPERLINK("https://www.773grp.com/manufacturer/national-semiconductor?pageNo=114", "National Semiconductor")</f>
        <v>National Semiconductor</v>
      </c>
      <c r="C651" s="6">
        <v>250</v>
      </c>
      <c r="D651" s="7">
        <v>3.65</v>
      </c>
      <c r="E651" t="s">
        <v>7</v>
      </c>
    </row>
    <row r="652" spans="1:5" x14ac:dyDescent="0.25">
      <c r="A652" t="str">
        <f>HYPERLINK("https://www.773grp.com/globalSearch/LM3370TL-3806-NOPB/page-1", "LM3370TL-3806-NOPB")</f>
        <v>LM3370TL-3806-NOPB</v>
      </c>
      <c r="B652" s="3" t="str">
        <f>HYPERLINK("https://www.773grp.com/manufacturer/national-semiconductor?pageNo=115", "National Semiconductor")</f>
        <v>National Semiconductor</v>
      </c>
      <c r="C652" s="6">
        <v>250</v>
      </c>
      <c r="D652" s="7">
        <v>3.65</v>
      </c>
      <c r="E652" t="s">
        <v>7</v>
      </c>
    </row>
    <row r="653" spans="1:5" x14ac:dyDescent="0.25">
      <c r="A653" t="str">
        <f>HYPERLINK("https://www.773grp.com/globalSearch/LM3678SDE-1.2-NOPB/page-1", "LM3678SDE-1.2-NOPB")</f>
        <v>LM3678SDE-1.2-NOPB</v>
      </c>
      <c r="B653" s="3" t="str">
        <f>HYPERLINK("https://www.773grp.com/manufacturer/national-semiconductor?pageNo=116", "National Semiconductor")</f>
        <v>National Semiconductor</v>
      </c>
      <c r="C653" s="6">
        <v>640</v>
      </c>
      <c r="D653" s="7">
        <v>3.65</v>
      </c>
      <c r="E653" t="s">
        <v>7</v>
      </c>
    </row>
    <row r="654" spans="1:5" x14ac:dyDescent="0.25">
      <c r="A654" t="str">
        <f>HYPERLINK("https://www.773grp.com/globalSearch/LM385BYZ-NOPB/page-1", "LM385BYZ-NOPB")</f>
        <v>LM385BYZ-NOPB</v>
      </c>
      <c r="B654" s="3" t="str">
        <f>HYPERLINK("https://www.773grp.com/manufacturer/national-semiconductor?pageNo=117", "National Semiconductor")</f>
        <v>National Semiconductor</v>
      </c>
      <c r="C654" s="6">
        <v>2433</v>
      </c>
      <c r="D654" s="7">
        <v>3.65</v>
      </c>
      <c r="E654" t="s">
        <v>17</v>
      </c>
    </row>
    <row r="655" spans="1:5" x14ac:dyDescent="0.25">
      <c r="A655" t="str">
        <f>HYPERLINK("https://www.773grp.com/globalSearch/LM385BYZ-1.2-NOPB/page-1", "LM385BYZ-1.2-NOPB")</f>
        <v>LM385BYZ-1.2-NOPB</v>
      </c>
      <c r="B655" s="3" t="str">
        <f>HYPERLINK("https://www.773grp.com/manufacturer/national-semiconductor?pageNo=118", "National Semiconductor")</f>
        <v>National Semiconductor</v>
      </c>
      <c r="C655" s="6">
        <v>2619</v>
      </c>
      <c r="D655" s="7">
        <v>3.65</v>
      </c>
      <c r="E655" t="s">
        <v>17</v>
      </c>
    </row>
    <row r="656" spans="1:5" x14ac:dyDescent="0.25">
      <c r="A656" t="str">
        <f>HYPERLINK("https://www.773grp.com/globalSearch/LM385BYZ-2.5-NOPB/page-1", "LM385BYZ-2.5-NOPB")</f>
        <v>LM385BYZ-2.5-NOPB</v>
      </c>
      <c r="B656" s="3" t="str">
        <f>HYPERLINK("https://www.773grp.com/manufacturer/national-semiconductor?pageNo=119", "National Semiconductor")</f>
        <v>National Semiconductor</v>
      </c>
      <c r="C656" s="6">
        <v>250</v>
      </c>
      <c r="D656" s="7">
        <v>3.65</v>
      </c>
      <c r="E656" t="s">
        <v>17</v>
      </c>
    </row>
    <row r="657" spans="1:5" x14ac:dyDescent="0.25">
      <c r="A657" t="str">
        <f>HYPERLINK("https://www.773grp.com/globalSearch/LM4040AIM3-2.5-NOPB/page-1", "LM4040AIM3-2.5-NOPB")</f>
        <v>LM4040AIM3-2.5-NOPB</v>
      </c>
      <c r="B657" s="3" t="str">
        <f>HYPERLINK("https://www.773grp.com/manufacturer/national-semiconductor?pageNo=120", "National Semiconductor")</f>
        <v>National Semiconductor</v>
      </c>
      <c r="C657" s="6">
        <v>4000</v>
      </c>
      <c r="D657" s="7">
        <v>3.65</v>
      </c>
      <c r="E657" t="s">
        <v>17</v>
      </c>
    </row>
    <row r="658" spans="1:5" x14ac:dyDescent="0.25">
      <c r="A658" t="str">
        <f>HYPERLINK("https://www.773grp.com/globalSearch/LM4040AIM3-4.1-NOPB/page-1", "LM4040AIM3-4.1-NOPB")</f>
        <v>LM4040AIM3-4.1-NOPB</v>
      </c>
      <c r="B658" s="3" t="str">
        <f>HYPERLINK("https://www.773grp.com/manufacturer/national-semiconductor?pageNo=121", "National Semiconductor")</f>
        <v>National Semiconductor</v>
      </c>
      <c r="C658" s="6">
        <v>5900</v>
      </c>
      <c r="D658" s="7">
        <v>3.65</v>
      </c>
      <c r="E658" t="s">
        <v>17</v>
      </c>
    </row>
    <row r="659" spans="1:5" x14ac:dyDescent="0.25">
      <c r="A659" t="str">
        <f>HYPERLINK("https://www.773grp.com/globalSearch/LM4040AIM3-5.0-NOPB/page-1", "LM4040AIM3-5.0-NOPB")</f>
        <v>LM4040AIM3-5.0-NOPB</v>
      </c>
      <c r="B659" s="3" t="str">
        <f>HYPERLINK("https://www.773grp.com/manufacturer/national-semiconductor?pageNo=122", "National Semiconductor")</f>
        <v>National Semiconductor</v>
      </c>
      <c r="C659" s="6">
        <v>1000</v>
      </c>
      <c r="D659" s="7">
        <v>3.65</v>
      </c>
      <c r="E659" t="s">
        <v>17</v>
      </c>
    </row>
    <row r="660" spans="1:5" x14ac:dyDescent="0.25">
      <c r="A660" t="str">
        <f>HYPERLINK("https://www.773grp.com/globalSearch/LM4040AIM3X-10-NOPB/page-1", "LM4040AIM3X-10-NOPB")</f>
        <v>LM4040AIM3X-10-NOPB</v>
      </c>
      <c r="B660" s="3" t="str">
        <f>HYPERLINK("https://www.773grp.com/manufacturer/national-semiconductor?pageNo=123", "National Semiconductor")</f>
        <v>National Semiconductor</v>
      </c>
      <c r="C660" s="6">
        <v>3000</v>
      </c>
      <c r="D660" s="7">
        <v>3.65</v>
      </c>
      <c r="E660" t="s">
        <v>17</v>
      </c>
    </row>
    <row r="661" spans="1:5" x14ac:dyDescent="0.25">
      <c r="A661" t="str">
        <f>HYPERLINK("https://www.773grp.com/globalSearch/LM4040AIM3X-2.0-NOPB/page-1", "LM4040AIM3X-2.0-NOPB")</f>
        <v>LM4040AIM3X-2.0-NOPB</v>
      </c>
      <c r="B661" s="3" t="str">
        <f>HYPERLINK("https://www.773grp.com/manufacturer/national-semiconductor?pageNo=124", "National Semiconductor")</f>
        <v>National Semiconductor</v>
      </c>
      <c r="C661" s="6">
        <v>3000</v>
      </c>
      <c r="D661" s="7">
        <v>3.65</v>
      </c>
    </row>
    <row r="662" spans="1:5" x14ac:dyDescent="0.25">
      <c r="A662" t="str">
        <f>HYPERLINK("https://www.773grp.com/globalSearch/LM4040AIM3X-4.1-NOPB/page-1", "LM4040AIM3X-4.1-NOPB")</f>
        <v>LM4040AIM3X-4.1-NOPB</v>
      </c>
      <c r="B662" s="3" t="str">
        <f>HYPERLINK("https://www.773grp.com/manufacturer/national-semiconductor?pageNo=125", "National Semiconductor")</f>
        <v>National Semiconductor</v>
      </c>
      <c r="C662" s="6">
        <v>2579</v>
      </c>
      <c r="D662" s="7">
        <v>3.65</v>
      </c>
      <c r="E662" t="s">
        <v>17</v>
      </c>
    </row>
    <row r="663" spans="1:5" x14ac:dyDescent="0.25">
      <c r="A663" t="str">
        <f>HYPERLINK("https://www.773grp.com/globalSearch/LM4040AIZ-4.1-NOPB/page-1", "LM4040AIZ-4.1-NOPB")</f>
        <v>LM4040AIZ-4.1-NOPB</v>
      </c>
      <c r="B663" s="3" t="str">
        <f>HYPERLINK("https://www.773grp.com/manufacturer/national-semiconductor?pageNo=126", "National Semiconductor")</f>
        <v>National Semiconductor</v>
      </c>
      <c r="C663" s="6">
        <v>2349</v>
      </c>
      <c r="D663" s="7">
        <v>3.65</v>
      </c>
      <c r="E663" t="s">
        <v>17</v>
      </c>
    </row>
    <row r="664" spans="1:5" x14ac:dyDescent="0.25">
      <c r="A664" t="str">
        <f>HYPERLINK("https://www.773grp.com/globalSearch/LM4040AIZ-5.0-NOPB/page-1", "LM4040AIZ-5.0-NOPB")</f>
        <v>LM4040AIZ-5.0-NOPB</v>
      </c>
      <c r="B664" s="3" t="str">
        <f>HYPERLINK("https://www.773grp.com/manufacturer/national-semiconductor?pageNo=127", "National Semiconductor")</f>
        <v>National Semiconductor</v>
      </c>
      <c r="C664" s="6">
        <v>1170</v>
      </c>
      <c r="D664" s="7">
        <v>3.65</v>
      </c>
      <c r="E664" t="s">
        <v>17</v>
      </c>
    </row>
    <row r="665" spans="1:5" x14ac:dyDescent="0.25">
      <c r="A665" t="str">
        <f>HYPERLINK("https://www.773grp.com/globalSearch/LMC6482AIMX-NOPB/page-1", "LMC6482AIMX-NOPB")</f>
        <v>LMC6482AIMX-NOPB</v>
      </c>
      <c r="B665" s="3" t="str">
        <f>HYPERLINK("https://www.773grp.com/manufacturer/national-semiconductor?pageNo=128", "National Semiconductor")</f>
        <v>National Semiconductor</v>
      </c>
      <c r="C665" s="6">
        <v>2499</v>
      </c>
      <c r="D665" s="7">
        <v>3.65</v>
      </c>
      <c r="E665" t="s">
        <v>13</v>
      </c>
    </row>
    <row r="666" spans="1:5" x14ac:dyDescent="0.25">
      <c r="A666" t="str">
        <f>HYPERLINK("https://www.773grp.com/globalSearch/LMC662AIM-NOPB/page-1", "LMC662AIM-NOPB")</f>
        <v>LMC662AIM-NOPB</v>
      </c>
      <c r="B666" s="3" t="str">
        <f>HYPERLINK("https://www.773grp.com/manufacturer/national-semiconductor?pageNo=129", "National Semiconductor")</f>
        <v>National Semiconductor</v>
      </c>
      <c r="C666" s="6">
        <v>10716</v>
      </c>
      <c r="D666" s="7">
        <v>3.65</v>
      </c>
      <c r="E666" t="s">
        <v>13</v>
      </c>
    </row>
    <row r="667" spans="1:5" x14ac:dyDescent="0.25">
      <c r="A667" t="str">
        <f>HYPERLINK("https://www.773grp.com/globalSearch/LMC7211BIM/page-1", "LMC7211BIM")</f>
        <v>LMC7211BIM</v>
      </c>
      <c r="B667" s="3" t="str">
        <f>HYPERLINK("https://www.773grp.com/manufacturer/national-semiconductor?pageNo=130", "National Semiconductor")</f>
        <v>National Semiconductor</v>
      </c>
      <c r="C667" s="6">
        <v>320</v>
      </c>
      <c r="D667" s="7">
        <v>3.65</v>
      </c>
    </row>
    <row r="668" spans="1:5" x14ac:dyDescent="0.25">
      <c r="A668" t="str">
        <f>HYPERLINK("https://www.773grp.com/globalSearch/LMC7215IM-NOPB/page-1", "LMC7215IM-NOPB")</f>
        <v>LMC7215IM-NOPB</v>
      </c>
      <c r="B668" s="3" t="str">
        <f>HYPERLINK("https://www.773grp.com/manufacturer/national-semiconductor?pageNo=131", "National Semiconductor")</f>
        <v>National Semiconductor</v>
      </c>
      <c r="C668" s="6">
        <v>343</v>
      </c>
      <c r="D668" s="7">
        <v>3.65</v>
      </c>
      <c r="E668" t="s">
        <v>9</v>
      </c>
    </row>
    <row r="669" spans="1:5" x14ac:dyDescent="0.25">
      <c r="A669" t="str">
        <f>HYPERLINK("https://www.773grp.com/globalSearch/LMC7221BIM/page-1", "LMC7221BIM")</f>
        <v>LMC7221BIM</v>
      </c>
      <c r="B669" s="3" t="str">
        <f>HYPERLINK("https://www.773grp.com/manufacturer/national-semiconductor?pageNo=132", "National Semiconductor")</f>
        <v>National Semiconductor</v>
      </c>
      <c r="C669" s="6">
        <v>510</v>
      </c>
      <c r="D669" s="7">
        <v>3.65</v>
      </c>
      <c r="E669" t="s">
        <v>9</v>
      </c>
    </row>
    <row r="670" spans="1:5" x14ac:dyDescent="0.25">
      <c r="A670" t="str">
        <f>HYPERLINK("https://www.773grp.com/globalSearch/LMR64010XMFE-NOPB/page-1", "LMR64010XMFE-NOPB")</f>
        <v>LMR64010XMFE-NOPB</v>
      </c>
      <c r="B670" s="3" t="str">
        <f>HYPERLINK("https://www.773grp.com/manufacturer/national-semiconductor?pageNo=133", "National Semiconductor")</f>
        <v>National Semiconductor</v>
      </c>
      <c r="C670" s="6">
        <v>250</v>
      </c>
      <c r="D670" s="7">
        <v>3.65</v>
      </c>
    </row>
    <row r="671" spans="1:5" x14ac:dyDescent="0.25">
      <c r="A671" t="str">
        <f>HYPERLINK("https://www.773grp.com/globalSearch/LMV832MME-NOPB/page-1", "LMV832MME-NOPB")</f>
        <v>LMV832MME-NOPB</v>
      </c>
      <c r="B671" s="3" t="str">
        <f>HYPERLINK("https://www.773grp.com/manufacturer/national-semiconductor?pageNo=134", "National Semiconductor")</f>
        <v>National Semiconductor</v>
      </c>
      <c r="C671" s="6">
        <v>740</v>
      </c>
      <c r="D671" s="7">
        <v>3.65</v>
      </c>
    </row>
    <row r="672" spans="1:5" x14ac:dyDescent="0.25">
      <c r="A672" t="str">
        <f>HYPERLINK("https://www.773grp.com/globalSearch/LP3923TL-NOPB/page-1", "LP3923TL-NOPB")</f>
        <v>LP3923TL-NOPB</v>
      </c>
      <c r="B672" s="3" t="str">
        <f>HYPERLINK("https://www.773grp.com/manufacturer/national-semiconductor?pageNo=1", "National Semiconductor")</f>
        <v>National Semiconductor</v>
      </c>
      <c r="C672" s="6">
        <v>250</v>
      </c>
      <c r="D672" s="7">
        <v>3.65</v>
      </c>
    </row>
    <row r="673" spans="1:5" x14ac:dyDescent="0.25">
      <c r="A673" t="str">
        <f>HYPERLINK("https://www.773grp.com/globalSearch/LP5524TM-5-NOPB/page-1", "LP5524TM-5-NOPB")</f>
        <v>LP5524TM-5-NOPB</v>
      </c>
      <c r="B673" s="3" t="str">
        <f>HYPERLINK("https://www.773grp.com/manufacturer/national-semiconductor?pageNo=2", "National Semiconductor")</f>
        <v>National Semiconductor</v>
      </c>
      <c r="C673" s="6">
        <v>1000</v>
      </c>
      <c r="D673" s="7">
        <v>3.65</v>
      </c>
    </row>
    <row r="674" spans="1:5" x14ac:dyDescent="0.25">
      <c r="A674" t="str">
        <f>HYPERLINK("https://www.773grp.com/globalSearch/ADC0831CCN-NOPB/page-1", "ADC0831CCN-NOPB")</f>
        <v>ADC0831CCN-NOPB</v>
      </c>
      <c r="B674" s="3" t="str">
        <f>HYPERLINK("https://www.773grp.com/manufacturer/national-semiconductor?pageNo=3", "National Semiconductor")</f>
        <v>National Semiconductor</v>
      </c>
      <c r="C674" s="6">
        <v>42065</v>
      </c>
      <c r="D674" s="7">
        <v>3.33</v>
      </c>
      <c r="E674" t="s">
        <v>39</v>
      </c>
    </row>
    <row r="675" spans="1:5" x14ac:dyDescent="0.25">
      <c r="A675" t="str">
        <f>HYPERLINK("https://www.773grp.com/globalSearch/ADC101S051CIMF/page-1", "ADC101S051CIMF")</f>
        <v>ADC101S051CIMF</v>
      </c>
      <c r="B675" s="3" t="str">
        <f>HYPERLINK("https://www.773grp.com/manufacturer/national-semiconductor?pageNo=4", "National Semiconductor")</f>
        <v>National Semiconductor</v>
      </c>
      <c r="C675" s="6">
        <v>1000</v>
      </c>
      <c r="D675" s="7">
        <v>3.33</v>
      </c>
      <c r="E675" t="s">
        <v>39</v>
      </c>
    </row>
    <row r="676" spans="1:5" x14ac:dyDescent="0.25">
      <c r="A676" t="str">
        <f>HYPERLINK("https://www.773grp.com/globalSearch/ADC101S051CIMF-NOPB/page-1", "ADC101S051CIMF-NOPB")</f>
        <v>ADC101S051CIMF-NOPB</v>
      </c>
      <c r="B676" s="3" t="str">
        <f>HYPERLINK("https://www.773grp.com/manufacturer/national-semiconductor?pageNo=5", "National Semiconductor")</f>
        <v>National Semiconductor</v>
      </c>
      <c r="C676" s="6">
        <v>14000</v>
      </c>
      <c r="D676" s="7">
        <v>3.33</v>
      </c>
    </row>
    <row r="677" spans="1:5" x14ac:dyDescent="0.25">
      <c r="A677" t="str">
        <f>HYPERLINK("https://www.773grp.com/globalSearch/ADC101S051CISD-NOPB/page-1", "ADC101S051CISD-NOPB")</f>
        <v>ADC101S051CISD-NOPB</v>
      </c>
      <c r="B677" s="3" t="str">
        <f>HYPERLINK("https://www.773grp.com/manufacturer/national-semiconductor?pageNo=6", "National Semiconductor")</f>
        <v>National Semiconductor</v>
      </c>
      <c r="C677" s="6">
        <v>1909</v>
      </c>
      <c r="D677" s="7">
        <v>3.33</v>
      </c>
    </row>
    <row r="678" spans="1:5" x14ac:dyDescent="0.25">
      <c r="A678" t="str">
        <f>HYPERLINK("https://www.773grp.com/globalSearch/DS34LV86TMX/page-1", "DS34LV86TMX")</f>
        <v>DS34LV86TMX</v>
      </c>
      <c r="B678" s="3" t="str">
        <f>HYPERLINK("https://www.773grp.com/manufacturer/national-semiconductor?pageNo=7", "National Semiconductor")</f>
        <v>National Semiconductor</v>
      </c>
      <c r="C678" s="6">
        <v>2500</v>
      </c>
      <c r="D678" s="7">
        <v>3.33</v>
      </c>
      <c r="E678" t="s">
        <v>21</v>
      </c>
    </row>
    <row r="679" spans="1:5" x14ac:dyDescent="0.25">
      <c r="A679" t="str">
        <f>HYPERLINK("https://www.773grp.com/globalSearch/LF351H/page-1", "LF351H")</f>
        <v>LF351H</v>
      </c>
      <c r="B679" s="3" t="str">
        <f>HYPERLINK("https://www.773grp.com/manufacturer/national-semiconductor?pageNo=8", "National Semiconductor")</f>
        <v>National Semiconductor</v>
      </c>
      <c r="C679" s="6">
        <v>26</v>
      </c>
      <c r="D679" s="7">
        <v>3.33</v>
      </c>
      <c r="E679" t="s">
        <v>13</v>
      </c>
    </row>
    <row r="680" spans="1:5" x14ac:dyDescent="0.25">
      <c r="A680" t="str">
        <f>HYPERLINK("https://www.773grp.com/globalSearch/LM2575M-5.0-NOPB/page-1", "LM2575M-5.0-NOPB")</f>
        <v>LM2575M-5.0-NOPB</v>
      </c>
      <c r="B680" s="3" t="str">
        <f>HYPERLINK("https://www.773grp.com/manufacturer/national-semiconductor?pageNo=9", "National Semiconductor")</f>
        <v>National Semiconductor</v>
      </c>
      <c r="C680" s="6">
        <v>1596</v>
      </c>
      <c r="D680" s="7">
        <v>3.33</v>
      </c>
      <c r="E680" t="s">
        <v>7</v>
      </c>
    </row>
    <row r="681" spans="1:5" x14ac:dyDescent="0.25">
      <c r="A681" t="str">
        <f>HYPERLINK("https://www.773grp.com/globalSearch/LM2575M-ADJ-NOPB/page-1", "LM2575M-ADJ-NOPB")</f>
        <v>LM2575M-ADJ-NOPB</v>
      </c>
      <c r="B681" s="3" t="str">
        <f>HYPERLINK("https://www.773grp.com/manufacturer/national-semiconductor?pageNo=10", "National Semiconductor")</f>
        <v>National Semiconductor</v>
      </c>
      <c r="C681" s="6">
        <v>555</v>
      </c>
      <c r="D681" s="7">
        <v>3.33</v>
      </c>
      <c r="E681" t="s">
        <v>7</v>
      </c>
    </row>
    <row r="682" spans="1:5" x14ac:dyDescent="0.25">
      <c r="A682" t="str">
        <f>HYPERLINK("https://www.773grp.com/globalSearch/LM3411N-3.3/page-1", "LM3411N-3.3")</f>
        <v>LM3411N-3.3</v>
      </c>
      <c r="B682" s="3" t="str">
        <f>HYPERLINK("https://www.773grp.com/manufacturer/national-semiconductor?pageNo=11", "National Semiconductor")</f>
        <v>National Semiconductor</v>
      </c>
      <c r="C682" s="6">
        <v>4976</v>
      </c>
      <c r="D682" s="7">
        <v>3.33</v>
      </c>
      <c r="E682" t="s">
        <v>17</v>
      </c>
    </row>
    <row r="683" spans="1:5" x14ac:dyDescent="0.25">
      <c r="A683" t="str">
        <f>HYPERLINK("https://www.773grp.com/globalSearch/LM3411N-5.0/page-1", "LM3411N-5.0")</f>
        <v>LM3411N-5.0</v>
      </c>
      <c r="B683" s="3" t="str">
        <f>HYPERLINK("https://www.773grp.com/manufacturer/national-semiconductor?pageNo=12", "National Semiconductor")</f>
        <v>National Semiconductor</v>
      </c>
      <c r="C683" s="6">
        <v>104</v>
      </c>
      <c r="D683" s="7">
        <v>3.33</v>
      </c>
      <c r="E683" t="s">
        <v>17</v>
      </c>
    </row>
    <row r="684" spans="1:5" x14ac:dyDescent="0.25">
      <c r="A684" t="str">
        <f>HYPERLINK("https://www.773grp.com/globalSearch/LM3544MX-L/page-1", "LM3544MX-L")</f>
        <v>LM3544MX-L</v>
      </c>
      <c r="B684" s="3" t="str">
        <f>HYPERLINK("https://www.773grp.com/manufacturer/national-semiconductor?pageNo=13", "National Semiconductor")</f>
        <v>National Semiconductor</v>
      </c>
      <c r="C684" s="6">
        <v>2500</v>
      </c>
      <c r="D684" s="7">
        <v>3.33</v>
      </c>
      <c r="E684" t="s">
        <v>30</v>
      </c>
    </row>
    <row r="685" spans="1:5" x14ac:dyDescent="0.25">
      <c r="A685" t="str">
        <f>HYPERLINK("https://www.773grp.com/globalSearch/LM3544MX-L-NOPB/page-1", "LM3544MX-L-NOPB")</f>
        <v>LM3544MX-L-NOPB</v>
      </c>
      <c r="B685" s="3" t="str">
        <f>HYPERLINK("https://www.773grp.com/manufacturer/national-semiconductor?pageNo=14", "National Semiconductor")</f>
        <v>National Semiconductor</v>
      </c>
      <c r="C685" s="6">
        <v>2500</v>
      </c>
      <c r="D685" s="7">
        <v>3.33</v>
      </c>
      <c r="E685" t="s">
        <v>30</v>
      </c>
    </row>
    <row r="686" spans="1:5" x14ac:dyDescent="0.25">
      <c r="A686" t="str">
        <f>HYPERLINK("https://www.773grp.com/globalSearch/LM4854LD-NOPB/page-1", "LM4854LD-NOPB")</f>
        <v>LM4854LD-NOPB</v>
      </c>
      <c r="B686" s="3" t="str">
        <f>HYPERLINK("https://www.773grp.com/manufacturer/national-semiconductor?pageNo=15", "National Semiconductor")</f>
        <v>National Semiconductor</v>
      </c>
      <c r="C686" s="6">
        <v>996</v>
      </c>
      <c r="D686" s="7">
        <v>3.33</v>
      </c>
      <c r="E686" t="s">
        <v>18</v>
      </c>
    </row>
    <row r="687" spans="1:5" x14ac:dyDescent="0.25">
      <c r="A687" t="str">
        <f>HYPERLINK("https://www.773grp.com/globalSearch/LM6181IMX-8-NOPB/page-1", "LM6181IMX-8-NOPB")</f>
        <v>LM6181IMX-8-NOPB</v>
      </c>
      <c r="B687" s="3" t="str">
        <f>HYPERLINK("https://www.773grp.com/manufacturer/national-semiconductor?pageNo=16", "National Semiconductor")</f>
        <v>National Semiconductor</v>
      </c>
      <c r="C687" s="6">
        <v>6674</v>
      </c>
      <c r="D687" s="7">
        <v>3.33</v>
      </c>
      <c r="E687" t="s">
        <v>13</v>
      </c>
    </row>
    <row r="688" spans="1:5" x14ac:dyDescent="0.25">
      <c r="A688" t="str">
        <f>HYPERLINK("https://www.773grp.com/globalSearch/LM6181IN-NOPB/page-1", "LM6181IN-NOPB")</f>
        <v>LM6181IN-NOPB</v>
      </c>
      <c r="B688" s="3" t="str">
        <f>HYPERLINK("https://www.773grp.com/manufacturer/national-semiconductor?pageNo=17", "National Semiconductor")</f>
        <v>National Semiconductor</v>
      </c>
      <c r="C688" s="6">
        <v>390</v>
      </c>
      <c r="D688" s="7">
        <v>3.33</v>
      </c>
      <c r="E688" t="s">
        <v>18</v>
      </c>
    </row>
    <row r="689" spans="1:5" x14ac:dyDescent="0.25">
      <c r="A689" t="str">
        <f>HYPERLINK("https://www.773grp.com/globalSearch/LM7301IM5/page-1", "LM7301IM5")</f>
        <v>LM7301IM5</v>
      </c>
      <c r="B689" s="3" t="str">
        <f>HYPERLINK("https://www.773grp.com/manufacturer/national-semiconductor?pageNo=18", "National Semiconductor")</f>
        <v>National Semiconductor</v>
      </c>
      <c r="C689" s="6">
        <v>1000</v>
      </c>
      <c r="D689" s="7">
        <v>3.33</v>
      </c>
      <c r="E689" t="s">
        <v>13</v>
      </c>
    </row>
    <row r="690" spans="1:5" x14ac:dyDescent="0.25">
      <c r="A690" t="str">
        <f>HYPERLINK("https://www.773grp.com/globalSearch/LM7301IM5X/page-1", "LM7301IM5X")</f>
        <v>LM7301IM5X</v>
      </c>
      <c r="B690" s="3" t="str">
        <f>HYPERLINK("https://www.773grp.com/manufacturer/national-semiconductor?pageNo=19", "National Semiconductor")</f>
        <v>National Semiconductor</v>
      </c>
      <c r="C690" s="6">
        <v>6000</v>
      </c>
      <c r="D690" s="7">
        <v>3.33</v>
      </c>
      <c r="E690" t="s">
        <v>13</v>
      </c>
    </row>
    <row r="691" spans="1:5" x14ac:dyDescent="0.25">
      <c r="A691" t="str">
        <f>HYPERLINK("https://www.773grp.com/globalSearch/LM8333FLQ8X-NOPB/page-1", "LM8333FLQ8X-NOPB")</f>
        <v>LM8333FLQ8X-NOPB</v>
      </c>
      <c r="B691" s="3" t="str">
        <f>HYPERLINK("https://www.773grp.com/manufacturer/national-semiconductor?pageNo=20", "National Semiconductor")</f>
        <v>National Semiconductor</v>
      </c>
      <c r="C691" s="6">
        <v>17500</v>
      </c>
      <c r="D691" s="7">
        <v>3.33</v>
      </c>
      <c r="E691" t="s">
        <v>42</v>
      </c>
    </row>
    <row r="692" spans="1:5" x14ac:dyDescent="0.25">
      <c r="A692" t="str">
        <f>HYPERLINK("https://www.773grp.com/globalSearch/LM8333GGR8-NOPB/page-1", "LM8333GGR8-NOPB")</f>
        <v>LM8333GGR8-NOPB</v>
      </c>
      <c r="B692" s="3" t="str">
        <f>HYPERLINK("https://www.773grp.com/manufacturer/national-semiconductor?pageNo=21", "National Semiconductor")</f>
        <v>National Semiconductor</v>
      </c>
      <c r="C692" s="6">
        <v>1065</v>
      </c>
      <c r="D692" s="7">
        <v>3.33</v>
      </c>
      <c r="E692" t="s">
        <v>42</v>
      </c>
    </row>
    <row r="693" spans="1:5" x14ac:dyDescent="0.25">
      <c r="A693" t="str">
        <f>HYPERLINK("https://www.773grp.com/globalSearch/LM8333GGR8AXS-NOPB/page-1", "LM8333GGR8AXS-NOPB")</f>
        <v>LM8333GGR8AXS-NOPB</v>
      </c>
      <c r="B693" s="3" t="str">
        <f>HYPERLINK("https://www.773grp.com/manufacturer/national-semiconductor?pageNo=22", "National Semiconductor")</f>
        <v>National Semiconductor</v>
      </c>
      <c r="C693" s="6">
        <v>1000</v>
      </c>
      <c r="D693" s="7">
        <v>3.33</v>
      </c>
      <c r="E693" t="s">
        <v>42</v>
      </c>
    </row>
    <row r="694" spans="1:5" x14ac:dyDescent="0.25">
      <c r="A694" t="str">
        <f>HYPERLINK("https://www.773grp.com/globalSearch/LM8333GGR8X-NOPB/page-1", "LM8333GGR8X-NOPB")</f>
        <v>LM8333GGR8X-NOPB</v>
      </c>
      <c r="B694" s="3" t="str">
        <f>HYPERLINK("https://www.773grp.com/manufacturer/national-semiconductor?pageNo=23", "National Semiconductor")</f>
        <v>National Semiconductor</v>
      </c>
      <c r="C694" s="6">
        <v>308000</v>
      </c>
      <c r="D694" s="7">
        <v>3.33</v>
      </c>
    </row>
    <row r="695" spans="1:5" x14ac:dyDescent="0.25">
      <c r="A695" t="str">
        <f>HYPERLINK("https://www.773grp.com/globalSearch/LMC6034IN/page-1", "LMC6034IN")</f>
        <v>LMC6034IN</v>
      </c>
      <c r="B695" s="3" t="str">
        <f>HYPERLINK("https://www.773grp.com/manufacturer/national-semiconductor?pageNo=24", "National Semiconductor")</f>
        <v>National Semiconductor</v>
      </c>
      <c r="C695" s="6">
        <v>6028</v>
      </c>
      <c r="D695" s="7">
        <v>3.33</v>
      </c>
      <c r="E695" t="s">
        <v>13</v>
      </c>
    </row>
    <row r="696" spans="1:5" x14ac:dyDescent="0.25">
      <c r="A696" t="str">
        <f>HYPERLINK("https://www.773grp.com/globalSearch/LMC6762AIM-NOPB/page-1", "LMC6762AIM-NOPB")</f>
        <v>LMC6762AIM-NOPB</v>
      </c>
      <c r="B696" s="3" t="str">
        <f>HYPERLINK("https://www.773grp.com/manufacturer/national-semiconductor?pageNo=25", "National Semiconductor")</f>
        <v>National Semiconductor</v>
      </c>
      <c r="C696" s="6">
        <v>672</v>
      </c>
      <c r="D696" s="7">
        <v>3.33</v>
      </c>
      <c r="E696" t="s">
        <v>9</v>
      </c>
    </row>
    <row r="697" spans="1:5" x14ac:dyDescent="0.25">
      <c r="A697" t="str">
        <f>HYPERLINK("https://www.773grp.com/globalSearch/LMH6683MA/page-1", "LMH6683MA")</f>
        <v>LMH6683MA</v>
      </c>
      <c r="B697" s="3" t="str">
        <f>HYPERLINK("https://www.773grp.com/manufacturer/national-semiconductor?pageNo=26", "National Semiconductor")</f>
        <v>National Semiconductor</v>
      </c>
      <c r="C697" s="6">
        <v>15</v>
      </c>
      <c r="D697" s="7">
        <v>3.33</v>
      </c>
      <c r="E697" t="s">
        <v>18</v>
      </c>
    </row>
    <row r="698" spans="1:5" x14ac:dyDescent="0.25">
      <c r="A698" t="str">
        <f>HYPERLINK("https://www.773grp.com/globalSearch/LMH6683MAX-NOPB/page-1", "LMH6683MAX-NOPB")</f>
        <v>LMH6683MAX-NOPB</v>
      </c>
      <c r="B698" s="3" t="str">
        <f>HYPERLINK("https://www.773grp.com/manufacturer/national-semiconductor?pageNo=27", "National Semiconductor")</f>
        <v>National Semiconductor</v>
      </c>
      <c r="C698" s="6">
        <v>2500</v>
      </c>
      <c r="D698" s="7">
        <v>3.33</v>
      </c>
      <c r="E698" t="s">
        <v>18</v>
      </c>
    </row>
    <row r="699" spans="1:5" x14ac:dyDescent="0.25">
      <c r="A699" t="str">
        <f>HYPERLINK("https://www.773grp.com/globalSearch/LMH6683MTX/page-1", "LMH6683MTX")</f>
        <v>LMH6683MTX</v>
      </c>
      <c r="B699" s="3" t="str">
        <f>HYPERLINK("https://www.773grp.com/manufacturer/national-semiconductor?pageNo=28", "National Semiconductor")</f>
        <v>National Semiconductor</v>
      </c>
      <c r="C699" s="6">
        <v>7500</v>
      </c>
      <c r="D699" s="7">
        <v>3.33</v>
      </c>
      <c r="E699" t="s">
        <v>18</v>
      </c>
    </row>
    <row r="700" spans="1:5" x14ac:dyDescent="0.25">
      <c r="A700" t="str">
        <f>HYPERLINK("https://www.773grp.com/globalSearch/LMH6720MAX/page-1", "LMH6720MAX")</f>
        <v>LMH6720MAX</v>
      </c>
      <c r="B700" s="3" t="str">
        <f>HYPERLINK("https://www.773grp.com/manufacturer/national-semiconductor?pageNo=29", "National Semiconductor")</f>
        <v>National Semiconductor</v>
      </c>
      <c r="C700" s="6">
        <v>2500</v>
      </c>
      <c r="D700" s="7">
        <v>3.33</v>
      </c>
      <c r="E700" t="s">
        <v>18</v>
      </c>
    </row>
    <row r="701" spans="1:5" x14ac:dyDescent="0.25">
      <c r="A701" t="str">
        <f>HYPERLINK("https://www.773grp.com/globalSearch/ADC0831CCN-NOPB/page-1", "ADC0831CCN-NOPB")</f>
        <v>ADC0831CCN-NOPB</v>
      </c>
      <c r="B701" s="3" t="str">
        <f>HYPERLINK("https://www.773grp.com/manufacturer/national-semiconductor?pageNo=30", "National Semiconductor")</f>
        <v>National Semiconductor</v>
      </c>
      <c r="C701" s="6">
        <v>40</v>
      </c>
      <c r="D701" s="7">
        <v>3.33</v>
      </c>
      <c r="E701" t="s">
        <v>39</v>
      </c>
    </row>
    <row r="702" spans="1:5" x14ac:dyDescent="0.25">
      <c r="A702" t="str">
        <f>HYPERLINK("https://www.773grp.com/globalSearch/ADC101S051CIMF-NOPB/page-1", "ADC101S051CIMF-NOPB")</f>
        <v>ADC101S051CIMF-NOPB</v>
      </c>
      <c r="B702" s="3" t="str">
        <f>HYPERLINK("https://www.773grp.com/manufacturer/national-semiconductor?pageNo=31", "National Semiconductor")</f>
        <v>National Semiconductor</v>
      </c>
      <c r="C702" s="6">
        <v>7934</v>
      </c>
      <c r="D702" s="7">
        <v>3.33</v>
      </c>
    </row>
    <row r="703" spans="1:5" x14ac:dyDescent="0.25">
      <c r="A703" t="str">
        <f>HYPERLINK("https://www.773grp.com/globalSearch/ADC101S051CISD-NOPB/page-1", "ADC101S051CISD-NOPB")</f>
        <v>ADC101S051CISD-NOPB</v>
      </c>
      <c r="B703" s="3" t="str">
        <f>HYPERLINK("https://www.773grp.com/manufacturer/national-semiconductor?pageNo=32", "National Semiconductor")</f>
        <v>National Semiconductor</v>
      </c>
      <c r="C703" s="6">
        <v>26000</v>
      </c>
      <c r="D703" s="7">
        <v>3.33</v>
      </c>
    </row>
    <row r="704" spans="1:5" x14ac:dyDescent="0.25">
      <c r="A704" t="str">
        <f>HYPERLINK("https://www.773grp.com/globalSearch/LM2575M-5.0-NOPB/page-1", "LM2575M-5.0-NOPB")</f>
        <v>LM2575M-5.0-NOPB</v>
      </c>
      <c r="B704" s="3" t="str">
        <f>HYPERLINK("https://www.773grp.com/manufacturer/national-semiconductor?pageNo=33", "National Semiconductor")</f>
        <v>National Semiconductor</v>
      </c>
      <c r="C704" s="6">
        <v>2487</v>
      </c>
      <c r="D704" s="7">
        <v>3.33</v>
      </c>
      <c r="E704" t="s">
        <v>7</v>
      </c>
    </row>
    <row r="705" spans="1:5" x14ac:dyDescent="0.25">
      <c r="A705" t="str">
        <f>HYPERLINK("https://www.773grp.com/globalSearch/LM6181IN-NOPB/page-1", "LM6181IN-NOPB")</f>
        <v>LM6181IN-NOPB</v>
      </c>
      <c r="B705" s="3" t="str">
        <f>HYPERLINK("https://www.773grp.com/manufacturer/national-semiconductor?pageNo=34", "National Semiconductor")</f>
        <v>National Semiconductor</v>
      </c>
      <c r="C705" s="6">
        <v>264</v>
      </c>
      <c r="D705" s="7">
        <v>3.33</v>
      </c>
      <c r="E705" t="s">
        <v>18</v>
      </c>
    </row>
    <row r="706" spans="1:5" x14ac:dyDescent="0.25">
      <c r="A706" t="str">
        <f>HYPERLINK("https://www.773grp.com/globalSearch/LM8333GGR8-NOPB/page-1", "LM8333GGR8-NOPB")</f>
        <v>LM8333GGR8-NOPB</v>
      </c>
      <c r="B706" s="3" t="str">
        <f>HYPERLINK("https://www.773grp.com/manufacturer/national-semiconductor?pageNo=35", "National Semiconductor")</f>
        <v>National Semiconductor</v>
      </c>
      <c r="C706" s="6">
        <v>1129</v>
      </c>
      <c r="D706" s="7">
        <v>3.33</v>
      </c>
      <c r="E706" t="s">
        <v>42</v>
      </c>
    </row>
    <row r="707" spans="1:5" x14ac:dyDescent="0.25">
      <c r="A707" t="str">
        <f>HYPERLINK("https://www.773grp.com/globalSearch/LMC6762AIM-NOPB/page-1", "LMC6762AIM-NOPB")</f>
        <v>LMC6762AIM-NOPB</v>
      </c>
      <c r="B707" s="3" t="str">
        <f>HYPERLINK("https://www.773grp.com/manufacturer/national-semiconductor?pageNo=36", "National Semiconductor")</f>
        <v>National Semiconductor</v>
      </c>
      <c r="C707" s="6">
        <v>398</v>
      </c>
      <c r="D707" s="7">
        <v>3.33</v>
      </c>
      <c r="E707" t="s">
        <v>9</v>
      </c>
    </row>
    <row r="708" spans="1:5" x14ac:dyDescent="0.25">
      <c r="A708" t="str">
        <f>HYPERLINK("https://www.773grp.com/globalSearch/LMH6720MAX/page-1", "LMH6720MAX")</f>
        <v>LMH6720MAX</v>
      </c>
      <c r="B708" s="3" t="str">
        <f>HYPERLINK("https://www.773grp.com/manufacturer/national-semiconductor?pageNo=37", "National Semiconductor")</f>
        <v>National Semiconductor</v>
      </c>
      <c r="C708" s="6">
        <v>15000</v>
      </c>
      <c r="D708" s="7">
        <v>3.33</v>
      </c>
      <c r="E708" t="s">
        <v>18</v>
      </c>
    </row>
    <row r="709" spans="1:5" x14ac:dyDescent="0.25">
      <c r="A709" t="str">
        <f>HYPERLINK("https://www.773grp.com/globalSearch/LP38841S-1.5/page-1", "LP38841S-1.5")</f>
        <v>LP38841S-1.5</v>
      </c>
      <c r="B709" s="3" t="str">
        <f>HYPERLINK("https://www.773grp.com/manufacturer/national-semiconductor?pageNo=38", "National Semiconductor")</f>
        <v>National Semiconductor</v>
      </c>
      <c r="C709" s="6">
        <v>422</v>
      </c>
      <c r="D709" s="7">
        <v>3.33</v>
      </c>
    </row>
    <row r="710" spans="1:5" x14ac:dyDescent="0.25">
      <c r="A710" t="str">
        <f>HYPERLINK("https://www.773grp.com/globalSearch/5401DM/page-1", "5401DM")</f>
        <v>5401DM</v>
      </c>
      <c r="B710" s="3" t="str">
        <f>HYPERLINK("https://www.773grp.com/manufacturer/national-semiconductor?pageNo=39", "National Semiconductor")</f>
        <v>National Semiconductor</v>
      </c>
      <c r="C710" s="6">
        <v>777</v>
      </c>
      <c r="D710" s="7">
        <v>3.7</v>
      </c>
    </row>
    <row r="711" spans="1:5" x14ac:dyDescent="0.25">
      <c r="A711" t="str">
        <f>HYPERLINK("https://www.773grp.com/globalSearch/5401DMQCHL51860/page-1", "5401DMQCHL51860")</f>
        <v>5401DMQCHL51860</v>
      </c>
      <c r="B711" s="3" t="str">
        <f>HYPERLINK("https://www.773grp.com/manufacturer/national-semiconductor?pageNo=40", "National Semiconductor")</f>
        <v>National Semiconductor</v>
      </c>
      <c r="C711" s="6">
        <v>187</v>
      </c>
      <c r="D711" s="7">
        <v>3.7</v>
      </c>
    </row>
    <row r="712" spans="1:5" x14ac:dyDescent="0.25">
      <c r="A712" t="str">
        <f>HYPERLINK("https://www.773grp.com/globalSearch/5402DMQB/page-1", "5402DMQB")</f>
        <v>5402DMQB</v>
      </c>
      <c r="B712" s="3" t="str">
        <f>HYPERLINK("https://www.773grp.com/manufacturer/national-semiconductor?pageNo=41", "National Semiconductor")</f>
        <v>National Semiconductor</v>
      </c>
      <c r="C712" s="6">
        <v>11144</v>
      </c>
      <c r="D712" s="7">
        <v>3.7</v>
      </c>
      <c r="E712" t="s">
        <v>31</v>
      </c>
    </row>
    <row r="713" spans="1:5" x14ac:dyDescent="0.25">
      <c r="A713" t="str">
        <f>HYPERLINK("https://www.773grp.com/globalSearch/5420DM/page-1", "5420DM")</f>
        <v>5420DM</v>
      </c>
      <c r="B713" s="3" t="str">
        <f>HYPERLINK("https://www.773grp.com/manufacturer/national-semiconductor?pageNo=42", "National Semiconductor")</f>
        <v>National Semiconductor</v>
      </c>
      <c r="C713" s="6">
        <v>2259</v>
      </c>
      <c r="D713" s="7">
        <v>3.7</v>
      </c>
    </row>
    <row r="714" spans="1:5" x14ac:dyDescent="0.25">
      <c r="A714" t="str">
        <f>HYPERLINK("https://www.773grp.com/globalSearch/5420DMQB/page-1", "5420DMQB")</f>
        <v>5420DMQB</v>
      </c>
      <c r="B714" s="3" t="str">
        <f>HYPERLINK("https://www.773grp.com/manufacturer/national-semiconductor?pageNo=43", "National Semiconductor")</f>
        <v>National Semiconductor</v>
      </c>
      <c r="C714" s="6">
        <v>12</v>
      </c>
      <c r="D714" s="7">
        <v>3.7</v>
      </c>
      <c r="E714" t="s">
        <v>31</v>
      </c>
    </row>
    <row r="715" spans="1:5" x14ac:dyDescent="0.25">
      <c r="A715" t="str">
        <f>HYPERLINK("https://www.773grp.com/globalSearch/5430DM/page-1", "5430DM")</f>
        <v>5430DM</v>
      </c>
      <c r="B715" s="3" t="str">
        <f>HYPERLINK("https://www.773grp.com/manufacturer/national-semiconductor?pageNo=44", "National Semiconductor")</f>
        <v>National Semiconductor</v>
      </c>
      <c r="C715" s="6">
        <v>273</v>
      </c>
      <c r="D715" s="7">
        <v>3.7</v>
      </c>
    </row>
    <row r="716" spans="1:5" x14ac:dyDescent="0.25">
      <c r="A716" t="str">
        <f>HYPERLINK("https://www.773grp.com/globalSearch/5430DMQB/page-1", "5430DMQB")</f>
        <v>5430DMQB</v>
      </c>
      <c r="B716" s="3" t="str">
        <f>HYPERLINK("https://www.773grp.com/manufacturer/national-semiconductor?pageNo=45", "National Semiconductor")</f>
        <v>National Semiconductor</v>
      </c>
      <c r="C716" s="6">
        <v>7</v>
      </c>
      <c r="D716" s="7">
        <v>3.7</v>
      </c>
      <c r="E716" t="s">
        <v>31</v>
      </c>
    </row>
    <row r="717" spans="1:5" x14ac:dyDescent="0.25">
      <c r="A717" t="str">
        <f>HYPERLINK("https://www.773grp.com/globalSearch/5432DM/page-1", "5432DM")</f>
        <v>5432DM</v>
      </c>
      <c r="B717" s="3" t="str">
        <f>HYPERLINK("https://www.773grp.com/manufacturer/national-semiconductor?pageNo=46", "National Semiconductor")</f>
        <v>National Semiconductor</v>
      </c>
      <c r="C717" s="6">
        <v>1520</v>
      </c>
      <c r="D717" s="7">
        <v>3.7</v>
      </c>
    </row>
    <row r="718" spans="1:5" x14ac:dyDescent="0.25">
      <c r="A718" t="str">
        <f>HYPERLINK("https://www.773grp.com/globalSearch/5432DMQB/page-1", "5432DMQB")</f>
        <v>5432DMQB</v>
      </c>
      <c r="B718" s="3" t="str">
        <f>HYPERLINK("https://www.773grp.com/manufacturer/national-semiconductor?pageNo=47", "National Semiconductor")</f>
        <v>National Semiconductor</v>
      </c>
      <c r="C718" s="6">
        <v>191</v>
      </c>
      <c r="D718" s="7">
        <v>3.7</v>
      </c>
      <c r="E718" t="s">
        <v>31</v>
      </c>
    </row>
    <row r="719" spans="1:5" x14ac:dyDescent="0.25">
      <c r="A719" t="str">
        <f>HYPERLINK("https://www.773grp.com/globalSearch/54LS04DMQB/page-1", "54LS04DMQB")</f>
        <v>54LS04DMQB</v>
      </c>
      <c r="B719" s="3" t="str">
        <f>HYPERLINK("https://www.773grp.com/manufacturer/national-semiconductor?pageNo=48", "National Semiconductor")</f>
        <v>National Semiconductor</v>
      </c>
      <c r="C719" s="6">
        <v>2</v>
      </c>
      <c r="D719" s="7">
        <v>3.7</v>
      </c>
      <c r="E719" t="s">
        <v>31</v>
      </c>
    </row>
    <row r="720" spans="1:5" x14ac:dyDescent="0.25">
      <c r="A720" t="str">
        <f>HYPERLINK("https://www.773grp.com/globalSearch/54LS05DMQB  UT/page-1", "54LS05DMQB  UT")</f>
        <v>54LS05DMQB  UT</v>
      </c>
      <c r="B720" s="3" t="str">
        <f>HYPERLINK("https://www.773grp.com/manufacturer/national-semiconductor?pageNo=49", "National Semiconductor")</f>
        <v>National Semiconductor</v>
      </c>
      <c r="C720" s="6">
        <v>258</v>
      </c>
      <c r="D720" s="7">
        <v>3.7</v>
      </c>
    </row>
    <row r="721" spans="1:5" x14ac:dyDescent="0.25">
      <c r="A721" t="str">
        <f>HYPERLINK("https://www.773grp.com/globalSearch/74ACT138PC/page-1", "74ACT138PC")</f>
        <v>74ACT138PC</v>
      </c>
      <c r="B721" s="3" t="str">
        <f>HYPERLINK("https://www.773grp.com/manufacturer/national-semiconductor?pageNo=50", "National Semiconductor")</f>
        <v>National Semiconductor</v>
      </c>
      <c r="C721" s="6">
        <v>100</v>
      </c>
      <c r="D721" s="7">
        <v>3.7</v>
      </c>
      <c r="E721" t="s">
        <v>36</v>
      </c>
    </row>
    <row r="722" spans="1:5" x14ac:dyDescent="0.25">
      <c r="A722" t="str">
        <f>HYPERLINK("https://www.773grp.com/globalSearch/74BCT244SC/page-1", "74BCT244SC")</f>
        <v>74BCT244SC</v>
      </c>
      <c r="B722" s="3" t="str">
        <f>HYPERLINK("https://www.773grp.com/manufacturer/national-semiconductor?pageNo=51", "National Semiconductor")</f>
        <v>National Semiconductor</v>
      </c>
      <c r="C722" s="6">
        <v>176</v>
      </c>
      <c r="D722" s="7">
        <v>3.7</v>
      </c>
    </row>
    <row r="723" spans="1:5" x14ac:dyDescent="0.25">
      <c r="A723" t="str">
        <f>HYPERLINK("https://www.773grp.com/globalSearch/74BCT245PC/page-1", "74BCT245PC")</f>
        <v>74BCT245PC</v>
      </c>
      <c r="B723" s="3" t="str">
        <f>HYPERLINK("https://www.773grp.com/manufacturer/national-semiconductor?pageNo=52", "National Semiconductor")</f>
        <v>National Semiconductor</v>
      </c>
      <c r="C723" s="6">
        <v>5094</v>
      </c>
      <c r="D723" s="7">
        <v>3.7</v>
      </c>
    </row>
    <row r="724" spans="1:5" x14ac:dyDescent="0.25">
      <c r="A724" t="str">
        <f>HYPERLINK("https://www.773grp.com/globalSearch/74BCT245SC/page-1", "74BCT245SC")</f>
        <v>74BCT245SC</v>
      </c>
      <c r="B724" s="3" t="str">
        <f>HYPERLINK("https://www.773grp.com/manufacturer/national-semiconductor?pageNo=53", "National Semiconductor")</f>
        <v>National Semiconductor</v>
      </c>
      <c r="C724" s="6">
        <v>154</v>
      </c>
      <c r="D724" s="7">
        <v>3.7</v>
      </c>
    </row>
    <row r="725" spans="1:5" x14ac:dyDescent="0.25">
      <c r="A725" t="str">
        <f>HYPERLINK("https://www.773grp.com/globalSearch/74BCT373PC/page-1", "74BCT373PC")</f>
        <v>74BCT373PC</v>
      </c>
      <c r="B725" s="3" t="str">
        <f>HYPERLINK("https://www.773grp.com/manufacturer/national-semiconductor?pageNo=54", "National Semiconductor")</f>
        <v>National Semiconductor</v>
      </c>
      <c r="C725" s="6">
        <v>6984</v>
      </c>
      <c r="D725" s="7">
        <v>3.7</v>
      </c>
    </row>
    <row r="726" spans="1:5" x14ac:dyDescent="0.25">
      <c r="A726" t="str">
        <f>HYPERLINK("https://www.773grp.com/globalSearch/74BCT374PC/page-1", "74BCT374PC")</f>
        <v>74BCT374PC</v>
      </c>
      <c r="B726" s="3" t="str">
        <f>HYPERLINK("https://www.773grp.com/manufacturer/national-semiconductor?pageNo=55", "National Semiconductor")</f>
        <v>National Semiconductor</v>
      </c>
      <c r="C726" s="6">
        <v>1291</v>
      </c>
      <c r="D726" s="7">
        <v>3.7</v>
      </c>
    </row>
    <row r="727" spans="1:5" x14ac:dyDescent="0.25">
      <c r="A727" t="str">
        <f>HYPERLINK("https://www.773grp.com/globalSearch/74F151SCX/page-1", "74F151SCX")</f>
        <v>74F151SCX</v>
      </c>
      <c r="B727" s="3" t="str">
        <f>HYPERLINK("https://www.773grp.com/manufacturer/national-semiconductor?pageNo=56", "National Semiconductor")</f>
        <v>National Semiconductor</v>
      </c>
      <c r="C727" s="6">
        <v>2500</v>
      </c>
      <c r="D727" s="7">
        <v>3.7</v>
      </c>
    </row>
    <row r="728" spans="1:5" x14ac:dyDescent="0.25">
      <c r="A728" t="str">
        <f>HYPERLINK("https://www.773grp.com/globalSearch/74F157SCX/page-1", "74F157SCX")</f>
        <v>74F157SCX</v>
      </c>
      <c r="B728" s="3" t="str">
        <f>HYPERLINK("https://www.773grp.com/manufacturer/national-semiconductor?pageNo=57", "National Semiconductor")</f>
        <v>National Semiconductor</v>
      </c>
      <c r="C728" s="6">
        <v>12430</v>
      </c>
      <c r="D728" s="7">
        <v>3.7</v>
      </c>
    </row>
    <row r="729" spans="1:5" x14ac:dyDescent="0.25">
      <c r="A729" t="str">
        <f>HYPERLINK("https://www.773grp.com/globalSearch/74F280SC/page-1", "74F280SC")</f>
        <v>74F280SC</v>
      </c>
      <c r="B729" s="3" t="str">
        <f>HYPERLINK("https://www.773grp.com/manufacturer/national-semiconductor?pageNo=58", "National Semiconductor")</f>
        <v>National Semiconductor</v>
      </c>
      <c r="C729" s="6">
        <v>11283</v>
      </c>
      <c r="D729" s="7">
        <v>3.7</v>
      </c>
      <c r="E729" t="s">
        <v>43</v>
      </c>
    </row>
    <row r="730" spans="1:5" x14ac:dyDescent="0.25">
      <c r="A730" t="str">
        <f>HYPERLINK("https://www.773grp.com/globalSearch/74LS573SC/page-1", "74LS573SC")</f>
        <v>74LS573SC</v>
      </c>
      <c r="B730" s="3" t="str">
        <f>HYPERLINK("https://www.773grp.com/manufacturer/national-semiconductor?pageNo=59", "National Semiconductor")</f>
        <v>National Semiconductor</v>
      </c>
      <c r="C730" s="6">
        <v>4445</v>
      </c>
      <c r="D730" s="7">
        <v>3.7</v>
      </c>
    </row>
    <row r="731" spans="1:5" x14ac:dyDescent="0.25">
      <c r="A731" t="str">
        <f>HYPERLINK("https://www.773grp.com/globalSearch/74LS573SCX/page-1", "74LS573SCX")</f>
        <v>74LS573SCX</v>
      </c>
      <c r="B731" s="3" t="str">
        <f>HYPERLINK("https://www.773grp.com/manufacturer/national-semiconductor?pageNo=60", "National Semiconductor")</f>
        <v>National Semiconductor</v>
      </c>
      <c r="C731" s="6">
        <v>2000</v>
      </c>
      <c r="D731" s="7">
        <v>3.7</v>
      </c>
    </row>
    <row r="732" spans="1:5" x14ac:dyDescent="0.25">
      <c r="A732" t="str">
        <f>HYPERLINK("https://www.773grp.com/globalSearch/74LS574PC/page-1", "74LS574PC")</f>
        <v>74LS574PC</v>
      </c>
      <c r="B732" s="3" t="str">
        <f>HYPERLINK("https://www.773grp.com/manufacturer/national-semiconductor?pageNo=61", "National Semiconductor")</f>
        <v>National Semiconductor</v>
      </c>
      <c r="C732" s="6">
        <v>9</v>
      </c>
      <c r="D732" s="7">
        <v>3.7</v>
      </c>
    </row>
    <row r="733" spans="1:5" x14ac:dyDescent="0.25">
      <c r="A733" t="str">
        <f>HYPERLINK("https://www.773grp.com/globalSearch/74LS574SC/page-1", "74LS574SC")</f>
        <v>74LS574SC</v>
      </c>
      <c r="B733" s="3" t="str">
        <f>HYPERLINK("https://www.773grp.com/manufacturer/national-semiconductor?pageNo=62", "National Semiconductor")</f>
        <v>National Semiconductor</v>
      </c>
      <c r="C733" s="6">
        <v>7565</v>
      </c>
      <c r="D733" s="7">
        <v>3.7</v>
      </c>
    </row>
    <row r="734" spans="1:5" x14ac:dyDescent="0.25">
      <c r="A734" t="str">
        <f>HYPERLINK("https://www.773grp.com/globalSearch/74LS574SCX/page-1", "74LS574SCX")</f>
        <v>74LS574SCX</v>
      </c>
      <c r="B734" s="3" t="str">
        <f>HYPERLINK("https://www.773grp.com/manufacturer/national-semiconductor?pageNo=63", "National Semiconductor")</f>
        <v>National Semiconductor</v>
      </c>
      <c r="C734" s="6">
        <v>2000</v>
      </c>
      <c r="D734" s="7">
        <v>3.7</v>
      </c>
    </row>
    <row r="735" spans="1:5" x14ac:dyDescent="0.25">
      <c r="A735" t="str">
        <f>HYPERLINK("https://www.773grp.com/globalSearch/DAC0800LCN/page-1", "DAC0800LCN")</f>
        <v>DAC0800LCN</v>
      </c>
      <c r="B735" s="3" t="str">
        <f>HYPERLINK("https://www.773grp.com/manufacturer/national-semiconductor?pageNo=64", "National Semiconductor")</f>
        <v>National Semiconductor</v>
      </c>
      <c r="C735" s="6">
        <v>450</v>
      </c>
      <c r="D735" s="7">
        <v>3.7</v>
      </c>
      <c r="E735" t="s">
        <v>33</v>
      </c>
    </row>
    <row r="736" spans="1:5" x14ac:dyDescent="0.25">
      <c r="A736" t="str">
        <f>HYPERLINK("https://www.773grp.com/globalSearch/DAC082S085CISD-NOPB/page-1", "DAC082S085CISD-NOPB")</f>
        <v>DAC082S085CISD-NOPB</v>
      </c>
      <c r="B736" s="3" t="str">
        <f>HYPERLINK("https://www.773grp.com/manufacturer/national-semiconductor?pageNo=65", "National Semiconductor")</f>
        <v>National Semiconductor</v>
      </c>
      <c r="C736" s="6">
        <v>4978</v>
      </c>
      <c r="D736" s="7">
        <v>3.7</v>
      </c>
    </row>
    <row r="737" spans="1:5" x14ac:dyDescent="0.25">
      <c r="A737" t="str">
        <f>HYPERLINK("https://www.773grp.com/globalSearch/LF398M-NOPB/page-1", "LF398M-NOPB")</f>
        <v>LF398M-NOPB</v>
      </c>
      <c r="B737" s="3" t="str">
        <f>HYPERLINK("https://www.773grp.com/manufacturer/national-semiconductor?pageNo=66", "National Semiconductor")</f>
        <v>National Semiconductor</v>
      </c>
      <c r="C737" s="6">
        <v>162</v>
      </c>
      <c r="D737" s="7">
        <v>3.7</v>
      </c>
      <c r="E737" t="s">
        <v>6</v>
      </c>
    </row>
    <row r="738" spans="1:5" x14ac:dyDescent="0.25">
      <c r="A738" t="str">
        <f>HYPERLINK("https://www.773grp.com/globalSearch/LM1770SMF-NOPB/page-1", "LM1770SMF-NOPB")</f>
        <v>LM1770SMF-NOPB</v>
      </c>
      <c r="B738" s="3" t="str">
        <f>HYPERLINK("https://www.773grp.com/manufacturer/national-semiconductor?pageNo=67", "National Semiconductor")</f>
        <v>National Semiconductor</v>
      </c>
      <c r="C738" s="6">
        <v>1106</v>
      </c>
      <c r="D738" s="7">
        <v>3.7</v>
      </c>
    </row>
    <row r="739" spans="1:5" x14ac:dyDescent="0.25">
      <c r="A739" t="str">
        <f>HYPERLINK("https://www.773grp.com/globalSearch/LM1770TMF-NOPB/page-1", "LM1770TMF-NOPB")</f>
        <v>LM1770TMF-NOPB</v>
      </c>
      <c r="B739" s="3" t="str">
        <f>HYPERLINK("https://www.773grp.com/manufacturer/national-semiconductor?pageNo=68", "National Semiconductor")</f>
        <v>National Semiconductor</v>
      </c>
      <c r="C739" s="6">
        <v>1000</v>
      </c>
      <c r="D739" s="7">
        <v>3.7</v>
      </c>
    </row>
    <row r="740" spans="1:5" x14ac:dyDescent="0.25">
      <c r="A740" t="str">
        <f>HYPERLINK("https://www.773grp.com/globalSearch/LM1770TMFX-NOPB/page-1", "LM1770TMFX-NOPB")</f>
        <v>LM1770TMFX-NOPB</v>
      </c>
      <c r="B740" s="3" t="str">
        <f>HYPERLINK("https://www.773grp.com/manufacturer/national-semiconductor?pageNo=69", "National Semiconductor")</f>
        <v>National Semiconductor</v>
      </c>
      <c r="C740" s="6">
        <v>18000</v>
      </c>
      <c r="D740" s="7">
        <v>3.7</v>
      </c>
    </row>
    <row r="741" spans="1:5" x14ac:dyDescent="0.25">
      <c r="A741" t="str">
        <f>HYPERLINK("https://www.773grp.com/globalSearch/LM1770UMF-NOPB/page-1", "LM1770UMF-NOPB")</f>
        <v>LM1770UMF-NOPB</v>
      </c>
      <c r="B741" s="3" t="str">
        <f>HYPERLINK("https://www.773grp.com/manufacturer/national-semiconductor?pageNo=70", "National Semiconductor")</f>
        <v>National Semiconductor</v>
      </c>
      <c r="C741" s="6">
        <v>1000</v>
      </c>
      <c r="D741" s="7">
        <v>3.7</v>
      </c>
    </row>
    <row r="742" spans="1:5" x14ac:dyDescent="0.25">
      <c r="A742" t="str">
        <f>HYPERLINK("https://www.773grp.com/globalSearch/LM1877M-9-NOPB/page-1", "LM1877M-9-NOPB")</f>
        <v>LM1877M-9-NOPB</v>
      </c>
      <c r="B742" s="3" t="str">
        <f>HYPERLINK("https://www.773grp.com/manufacturer/national-semiconductor?pageNo=71", "National Semiconductor")</f>
        <v>National Semiconductor</v>
      </c>
      <c r="C742" s="6">
        <v>100</v>
      </c>
      <c r="D742" s="7">
        <v>3.7</v>
      </c>
      <c r="E742" t="s">
        <v>18</v>
      </c>
    </row>
    <row r="743" spans="1:5" x14ac:dyDescent="0.25">
      <c r="A743" t="str">
        <f>HYPERLINK("https://www.773grp.com/globalSearch/LM25085MM-NOPB/page-1", "LM25085MM-NOPB")</f>
        <v>LM25085MM-NOPB</v>
      </c>
      <c r="B743" s="3" t="str">
        <f>HYPERLINK("https://www.773grp.com/manufacturer/national-semiconductor?pageNo=72", "National Semiconductor")</f>
        <v>National Semiconductor</v>
      </c>
      <c r="C743" s="6">
        <v>1000</v>
      </c>
      <c r="D743" s="7">
        <v>3.7</v>
      </c>
    </row>
    <row r="744" spans="1:5" x14ac:dyDescent="0.25">
      <c r="A744" t="str">
        <f>HYPERLINK("https://www.773grp.com/globalSearch/LM25085MY-NOPB/page-1", "LM25085MY-NOPB")</f>
        <v>LM25085MY-NOPB</v>
      </c>
      <c r="B744" s="3" t="str">
        <f>HYPERLINK("https://www.773grp.com/manufacturer/national-semiconductor?pageNo=73", "National Semiconductor")</f>
        <v>National Semiconductor</v>
      </c>
      <c r="C744" s="6">
        <v>29000</v>
      </c>
      <c r="D744" s="7">
        <v>3.7</v>
      </c>
    </row>
    <row r="745" spans="1:5" x14ac:dyDescent="0.25">
      <c r="A745" t="str">
        <f>HYPERLINK("https://www.773grp.com/globalSearch/LM2660M/page-1", "LM2660M")</f>
        <v>LM2660M</v>
      </c>
      <c r="B745" s="3" t="str">
        <f>HYPERLINK("https://www.773grp.com/manufacturer/national-semiconductor?pageNo=74", "National Semiconductor")</f>
        <v>National Semiconductor</v>
      </c>
      <c r="C745" s="6">
        <v>144</v>
      </c>
      <c r="D745" s="7">
        <v>3.7</v>
      </c>
      <c r="E745" t="s">
        <v>7</v>
      </c>
    </row>
    <row r="746" spans="1:5" x14ac:dyDescent="0.25">
      <c r="A746" t="str">
        <f>HYPERLINK("https://www.773grp.com/globalSearch/LM2705MF-ADJ-NOPB/page-1", "LM2705MF-ADJ-NOPB")</f>
        <v>LM2705MF-ADJ-NOPB</v>
      </c>
      <c r="B746" s="3" t="str">
        <f>HYPERLINK("https://www.773grp.com/manufacturer/national-semiconductor?pageNo=75", "National Semiconductor")</f>
        <v>National Semiconductor</v>
      </c>
      <c r="C746" s="6">
        <v>3000</v>
      </c>
      <c r="D746" s="7">
        <v>3.7</v>
      </c>
      <c r="E746" t="s">
        <v>7</v>
      </c>
    </row>
    <row r="747" spans="1:5" x14ac:dyDescent="0.25">
      <c r="A747" t="str">
        <f>HYPERLINK("https://www.773grp.com/globalSearch/LM2759SDX-NOPB/page-1", "LM2759SDX-NOPB")</f>
        <v>LM2759SDX-NOPB</v>
      </c>
      <c r="B747" s="3" t="str">
        <f>HYPERLINK("https://www.773grp.com/manufacturer/national-semiconductor?pageNo=76", "National Semiconductor")</f>
        <v>National Semiconductor</v>
      </c>
      <c r="C747" s="6">
        <v>90000</v>
      </c>
      <c r="D747" s="7">
        <v>3.7</v>
      </c>
    </row>
    <row r="748" spans="1:5" x14ac:dyDescent="0.25">
      <c r="A748" t="str">
        <f>HYPERLINK("https://www.773grp.com/globalSearch/LM2936DTX-5.0-NOPB/page-1", "LM2936DTX-5.0-NOPB")</f>
        <v>LM2936DTX-5.0-NOPB</v>
      </c>
      <c r="B748" s="3" t="str">
        <f>HYPERLINK("https://www.773grp.com/manufacturer/national-semiconductor?pageNo=77", "National Semiconductor")</f>
        <v>National Semiconductor</v>
      </c>
      <c r="C748" s="6">
        <v>30000</v>
      </c>
      <c r="D748" s="7">
        <v>3.7</v>
      </c>
      <c r="E748" t="s">
        <v>19</v>
      </c>
    </row>
    <row r="749" spans="1:5" x14ac:dyDescent="0.25">
      <c r="A749" t="str">
        <f>HYPERLINK("https://www.773grp.com/globalSearch/LM2936HVBMAX3.3-NOPB/page-1", "LM2936HVBMAX3.3-NOPB")</f>
        <v>LM2936HVBMAX3.3-NOPB</v>
      </c>
      <c r="B749" s="3" t="str">
        <f>HYPERLINK("https://www.773grp.com/manufacturer/national-semiconductor?pageNo=78", "National Semiconductor")</f>
        <v>National Semiconductor</v>
      </c>
      <c r="C749" s="6">
        <v>2500</v>
      </c>
      <c r="D749" s="7">
        <v>3.7</v>
      </c>
      <c r="E749" t="s">
        <v>19</v>
      </c>
    </row>
    <row r="750" spans="1:5" x14ac:dyDescent="0.25">
      <c r="A750" t="str">
        <f>HYPERLINK("https://www.773grp.com/globalSearch/LM2936HVMAX-5.0-NOPB/page-1", "LM2936HVMAX-5.0-NOPB")</f>
        <v>LM2936HVMAX-5.0-NOPB</v>
      </c>
      <c r="B750" s="3" t="str">
        <f>HYPERLINK("https://www.773grp.com/manufacturer/national-semiconductor?pageNo=79", "National Semiconductor")</f>
        <v>National Semiconductor</v>
      </c>
      <c r="C750" s="6">
        <v>12551</v>
      </c>
      <c r="D750" s="7">
        <v>3.7</v>
      </c>
      <c r="E750" t="s">
        <v>19</v>
      </c>
    </row>
    <row r="751" spans="1:5" x14ac:dyDescent="0.25">
      <c r="A751" t="str">
        <f>HYPERLINK("https://www.773grp.com/globalSearch/LM2941CT/page-1", "LM2941CT")</f>
        <v>LM2941CT</v>
      </c>
      <c r="B751" s="3" t="str">
        <f>HYPERLINK("https://www.773grp.com/manufacturer/national-semiconductor?pageNo=80", "National Semiconductor")</f>
        <v>National Semiconductor</v>
      </c>
      <c r="C751" s="6">
        <v>360</v>
      </c>
      <c r="D751" s="7">
        <v>3.7</v>
      </c>
      <c r="E751" t="s">
        <v>25</v>
      </c>
    </row>
    <row r="752" spans="1:5" x14ac:dyDescent="0.25">
      <c r="A752" t="str">
        <f>HYPERLINK("https://www.773grp.com/globalSearch/LM2941CT-LB03/page-1", "LM2941CT-LB03")</f>
        <v>LM2941CT-LB03</v>
      </c>
      <c r="B752" s="3" t="str">
        <f>HYPERLINK("https://www.773grp.com/manufacturer/national-semiconductor?pageNo=81", "National Semiconductor")</f>
        <v>National Semiconductor</v>
      </c>
      <c r="C752" s="6">
        <v>355</v>
      </c>
      <c r="D752" s="7">
        <v>3.7</v>
      </c>
      <c r="E752" t="s">
        <v>25</v>
      </c>
    </row>
    <row r="753" spans="1:5" x14ac:dyDescent="0.25">
      <c r="A753" t="str">
        <f>HYPERLINK("https://www.773grp.com/globalSearch/LM2941SX-NOPB/page-1", "LM2941SX-NOPB")</f>
        <v>LM2941SX-NOPB</v>
      </c>
      <c r="B753" s="3" t="str">
        <f>HYPERLINK("https://www.773grp.com/manufacturer/national-semiconductor?pageNo=82", "National Semiconductor")</f>
        <v>National Semiconductor</v>
      </c>
      <c r="C753" s="6">
        <v>7434</v>
      </c>
      <c r="D753" s="7">
        <v>3.7</v>
      </c>
      <c r="E753" t="s">
        <v>25</v>
      </c>
    </row>
    <row r="754" spans="1:5" x14ac:dyDescent="0.25">
      <c r="A754" t="str">
        <f>HYPERLINK("https://www.773grp.com/globalSearch/LM2941T/page-1", "LM2941T")</f>
        <v>LM2941T</v>
      </c>
      <c r="B754" s="3" t="str">
        <f>HYPERLINK("https://www.773grp.com/manufacturer/national-semiconductor?pageNo=83", "National Semiconductor")</f>
        <v>National Semiconductor</v>
      </c>
      <c r="C754" s="6">
        <v>2080</v>
      </c>
      <c r="D754" s="7">
        <v>3.7</v>
      </c>
      <c r="E754" t="s">
        <v>25</v>
      </c>
    </row>
    <row r="755" spans="1:5" x14ac:dyDescent="0.25">
      <c r="A755" t="str">
        <f>HYPERLINK("https://www.773grp.com/globalSearch/LM2941T-LB03/page-1", "LM2941T-LB03")</f>
        <v>LM2941T-LB03</v>
      </c>
      <c r="B755" s="3" t="str">
        <f>HYPERLINK("https://www.773grp.com/manufacturer/national-semiconductor?pageNo=84", "National Semiconductor")</f>
        <v>National Semiconductor</v>
      </c>
      <c r="C755" s="6">
        <v>623</v>
      </c>
      <c r="D755" s="7">
        <v>3.7</v>
      </c>
    </row>
    <row r="756" spans="1:5" x14ac:dyDescent="0.25">
      <c r="A756" t="str">
        <f>HYPERLINK("https://www.773grp.com/globalSearch/LM2941T-LB08/page-1", "LM2941T-LB08")</f>
        <v>LM2941T-LB08</v>
      </c>
      <c r="B756" s="3" t="str">
        <f>HYPERLINK("https://www.773grp.com/manufacturer/national-semiconductor?pageNo=85", "National Semiconductor")</f>
        <v>National Semiconductor</v>
      </c>
      <c r="C756" s="6">
        <v>630</v>
      </c>
      <c r="D756" s="7">
        <v>3.7</v>
      </c>
      <c r="E756" t="s">
        <v>25</v>
      </c>
    </row>
    <row r="757" spans="1:5" x14ac:dyDescent="0.25">
      <c r="A757" t="str">
        <f>HYPERLINK("https://www.773grp.com/globalSearch/LM317AT/page-1", "LM317AT")</f>
        <v>LM317AT</v>
      </c>
      <c r="B757" s="3" t="str">
        <f>HYPERLINK("https://www.773grp.com/manufacturer/national-semiconductor?pageNo=86", "National Semiconductor")</f>
        <v>National Semiconductor</v>
      </c>
      <c r="C757" s="6">
        <v>440</v>
      </c>
      <c r="D757" s="7">
        <v>3.7</v>
      </c>
      <c r="E757" t="s">
        <v>22</v>
      </c>
    </row>
    <row r="758" spans="1:5" x14ac:dyDescent="0.25">
      <c r="A758" t="str">
        <f>HYPERLINK("https://www.773grp.com/globalSearch/LM317T/page-1", "LM317T")</f>
        <v>LM317T</v>
      </c>
      <c r="B758" s="3" t="str">
        <f>HYPERLINK("https://www.773grp.com/manufacturer/national-semiconductor?pageNo=87", "National Semiconductor")</f>
        <v>National Semiconductor</v>
      </c>
      <c r="C758" s="6">
        <v>385</v>
      </c>
      <c r="D758" s="7">
        <v>3.7</v>
      </c>
      <c r="E758" t="s">
        <v>22</v>
      </c>
    </row>
    <row r="759" spans="1:5" x14ac:dyDescent="0.25">
      <c r="A759" t="str">
        <f>HYPERLINK("https://www.773grp.com/globalSearch/LM3401MMX-S7002590/page-1", "LM3401MMX-S7002590")</f>
        <v>LM3401MMX-S7002590</v>
      </c>
      <c r="B759" s="3" t="str">
        <f>HYPERLINK("https://www.773grp.com/manufacturer/national-semiconductor?pageNo=88", "National Semiconductor")</f>
        <v>National Semiconductor</v>
      </c>
      <c r="C759" s="6">
        <v>252000</v>
      </c>
      <c r="D759" s="7">
        <v>3.7</v>
      </c>
    </row>
    <row r="760" spans="1:5" x14ac:dyDescent="0.25">
      <c r="A760" t="str">
        <f>HYPERLINK("https://www.773grp.com/globalSearch/LM3409MY-NOPB/page-1", "LM3409MY-NOPB")</f>
        <v>LM3409MY-NOPB</v>
      </c>
      <c r="B760" s="3" t="str">
        <f>HYPERLINK("https://www.773grp.com/manufacturer/national-semiconductor?pageNo=89", "National Semiconductor")</f>
        <v>National Semiconductor</v>
      </c>
      <c r="C760" s="6">
        <v>24705</v>
      </c>
      <c r="D760" s="7">
        <v>3.7</v>
      </c>
    </row>
    <row r="761" spans="1:5" x14ac:dyDescent="0.25">
      <c r="A761" t="str">
        <f>HYPERLINK("https://www.773grp.com/globalSearch/LM340AT-5.0/page-1", "LM340AT-5.0")</f>
        <v>LM340AT-5.0</v>
      </c>
      <c r="B761" s="3" t="str">
        <f>HYPERLINK("https://www.773grp.com/manufacturer/national-semiconductor?pageNo=90", "National Semiconductor")</f>
        <v>National Semiconductor</v>
      </c>
      <c r="C761" s="6">
        <v>4483</v>
      </c>
      <c r="D761" s="7">
        <v>3.7</v>
      </c>
      <c r="E761" t="s">
        <v>28</v>
      </c>
    </row>
    <row r="762" spans="1:5" x14ac:dyDescent="0.25">
      <c r="A762" t="str">
        <f>HYPERLINK("https://www.773grp.com/globalSearch/LM3414SD-NOPB/page-1", "LM3414SD-NOPB")</f>
        <v>LM3414SD-NOPB</v>
      </c>
      <c r="B762" s="3" t="str">
        <f>HYPERLINK("https://www.773grp.com/manufacturer/national-semiconductor?pageNo=91", "National Semiconductor")</f>
        <v>National Semiconductor</v>
      </c>
      <c r="C762" s="6">
        <v>25540</v>
      </c>
      <c r="D762" s="7">
        <v>3.7</v>
      </c>
    </row>
    <row r="763" spans="1:5" x14ac:dyDescent="0.25">
      <c r="A763" t="str">
        <f>HYPERLINK("https://www.773grp.com/globalSearch/LM346M/page-1", "LM346M")</f>
        <v>LM346M</v>
      </c>
      <c r="B763" s="3" t="str">
        <f>HYPERLINK("https://www.773grp.com/manufacturer/national-semiconductor?pageNo=92", "National Semiconductor")</f>
        <v>National Semiconductor</v>
      </c>
      <c r="C763" s="6">
        <v>3083</v>
      </c>
      <c r="D763" s="7">
        <v>3.7</v>
      </c>
      <c r="E763" t="s">
        <v>13</v>
      </c>
    </row>
    <row r="764" spans="1:5" x14ac:dyDescent="0.25">
      <c r="A764" t="str">
        <f>HYPERLINK("https://www.773grp.com/globalSearch/LM350T-NOPB/page-1", "LM350T-NOPB")</f>
        <v>LM350T-NOPB</v>
      </c>
      <c r="B764" s="3" t="str">
        <f>HYPERLINK("https://www.773grp.com/manufacturer/national-semiconductor?pageNo=93", "National Semiconductor")</f>
        <v>National Semiconductor</v>
      </c>
      <c r="C764" s="6">
        <v>10793</v>
      </c>
      <c r="D764" s="7">
        <v>3.7</v>
      </c>
      <c r="E764" t="s">
        <v>22</v>
      </c>
    </row>
    <row r="765" spans="1:5" x14ac:dyDescent="0.25">
      <c r="A765" t="str">
        <f>HYPERLINK("https://www.773grp.com/globalSearch/LM3524DM/page-1", "LM3524DM")</f>
        <v>LM3524DM</v>
      </c>
      <c r="B765" s="3" t="str">
        <f>HYPERLINK("https://www.773grp.com/manufacturer/national-semiconductor?pageNo=94", "National Semiconductor")</f>
        <v>National Semiconductor</v>
      </c>
      <c r="C765" s="6">
        <v>297</v>
      </c>
      <c r="D765" s="7">
        <v>3.7</v>
      </c>
      <c r="E765" t="s">
        <v>7</v>
      </c>
    </row>
    <row r="766" spans="1:5" x14ac:dyDescent="0.25">
      <c r="A766" t="str">
        <f>HYPERLINK("https://www.773grp.com/globalSearch/LM3551SD-NOPB/page-1", "LM3551SD-NOPB")</f>
        <v>LM3551SD-NOPB</v>
      </c>
      <c r="B766" s="3" t="str">
        <f>HYPERLINK("https://www.773grp.com/manufacturer/national-semiconductor?pageNo=95", "National Semiconductor")</f>
        <v>National Semiconductor</v>
      </c>
      <c r="C766" s="6">
        <v>207</v>
      </c>
      <c r="D766" s="7">
        <v>3.7</v>
      </c>
    </row>
    <row r="767" spans="1:5" x14ac:dyDescent="0.25">
      <c r="A767" t="str">
        <f>HYPERLINK("https://www.773grp.com/globalSearch/LM3552SD-NOPB/page-1", "LM3552SD-NOPB")</f>
        <v>LM3552SD-NOPB</v>
      </c>
      <c r="B767" s="3" t="str">
        <f>HYPERLINK("https://www.773grp.com/manufacturer/national-semiconductor?pageNo=96", "National Semiconductor")</f>
        <v>National Semiconductor</v>
      </c>
      <c r="C767" s="6">
        <v>2633</v>
      </c>
      <c r="D767" s="7">
        <v>3.7</v>
      </c>
    </row>
    <row r="768" spans="1:5" x14ac:dyDescent="0.25">
      <c r="A768" t="str">
        <f>HYPERLINK("https://www.773grp.com/globalSearch/LM385BYMX-1.2-NOPB/page-1", "LM385BYMX-1.2-NOPB")</f>
        <v>LM385BYMX-1.2-NOPB</v>
      </c>
      <c r="B768" s="3" t="str">
        <f>HYPERLINK("https://www.773grp.com/manufacturer/national-semiconductor?pageNo=97", "National Semiconductor")</f>
        <v>National Semiconductor</v>
      </c>
      <c r="C768" s="6">
        <v>7500</v>
      </c>
      <c r="D768" s="7">
        <v>3.7</v>
      </c>
      <c r="E768" t="s">
        <v>17</v>
      </c>
    </row>
    <row r="769" spans="1:5" x14ac:dyDescent="0.25">
      <c r="A769" t="str">
        <f>HYPERLINK("https://www.773grp.com/globalSearch/LM3940IT-3.3-NOPB/page-1", "LM3940IT-3.3-NOPB")</f>
        <v>LM3940IT-3.3-NOPB</v>
      </c>
      <c r="B769" s="3" t="str">
        <f>HYPERLINK("https://www.773grp.com/manufacturer/national-semiconductor?pageNo=98", "National Semiconductor")</f>
        <v>National Semiconductor</v>
      </c>
      <c r="C769" s="6">
        <v>1977</v>
      </c>
      <c r="D769" s="7">
        <v>3.7</v>
      </c>
      <c r="E769" t="s">
        <v>19</v>
      </c>
    </row>
    <row r="770" spans="1:5" x14ac:dyDescent="0.25">
      <c r="A770" t="str">
        <f>HYPERLINK("https://www.773grp.com/globalSearch/LM4050CIM3-2.5-NOPB/page-1", "LM4050CIM3-2.5-NOPB")</f>
        <v>LM4050CIM3-2.5-NOPB</v>
      </c>
      <c r="B770" s="3" t="str">
        <f>HYPERLINK("https://www.773grp.com/manufacturer/national-semiconductor?pageNo=99", "National Semiconductor")</f>
        <v>National Semiconductor</v>
      </c>
      <c r="C770" s="6">
        <v>20200</v>
      </c>
      <c r="D770" s="7">
        <v>3.7</v>
      </c>
      <c r="E770" t="s">
        <v>17</v>
      </c>
    </row>
    <row r="771" spans="1:5" x14ac:dyDescent="0.25">
      <c r="A771" t="str">
        <f>HYPERLINK("https://www.773grp.com/globalSearch/LM4050CIM3-5.0-NOPB/page-1", "LM4050CIM3-5.0-NOPB")</f>
        <v>LM4050CIM3-5.0-NOPB</v>
      </c>
      <c r="B771" s="3" t="str">
        <f>HYPERLINK("https://www.773grp.com/manufacturer/national-semiconductor?pageNo=100", "National Semiconductor")</f>
        <v>National Semiconductor</v>
      </c>
      <c r="C771" s="6">
        <v>1000</v>
      </c>
      <c r="D771" s="7">
        <v>3.7</v>
      </c>
      <c r="E771" t="s">
        <v>17</v>
      </c>
    </row>
    <row r="772" spans="1:5" x14ac:dyDescent="0.25">
      <c r="A772" t="str">
        <f>HYPERLINK("https://www.773grp.com/globalSearch/LM4050CIM3X-4.1/page-1", "LM4050CIM3X-4.1")</f>
        <v>LM4050CIM3X-4.1</v>
      </c>
      <c r="B772" s="3" t="str">
        <f>HYPERLINK("https://www.773grp.com/manufacturer/national-semiconductor?pageNo=101", "National Semiconductor")</f>
        <v>National Semiconductor</v>
      </c>
      <c r="C772" s="6">
        <v>3000</v>
      </c>
      <c r="D772" s="7">
        <v>3.7</v>
      </c>
      <c r="E772" t="s">
        <v>17</v>
      </c>
    </row>
    <row r="773" spans="1:5" x14ac:dyDescent="0.25">
      <c r="A773" t="str">
        <f>HYPERLINK("https://www.773grp.com/globalSearch/LM4050CIM3X-5.0/page-1", "LM4050CIM3X-5.0")</f>
        <v>LM4050CIM3X-5.0</v>
      </c>
      <c r="B773" s="3" t="str">
        <f>HYPERLINK("https://www.773grp.com/manufacturer/national-semiconductor?pageNo=102", "National Semiconductor")</f>
        <v>National Semiconductor</v>
      </c>
      <c r="C773" s="6">
        <v>3000</v>
      </c>
      <c r="D773" s="7">
        <v>3.7</v>
      </c>
      <c r="E773" t="s">
        <v>17</v>
      </c>
    </row>
    <row r="774" spans="1:5" x14ac:dyDescent="0.25">
      <c r="A774" t="str">
        <f>HYPERLINK("https://www.773grp.com/globalSearch/LM4050CIM3X-5.0-NOPB/page-1", "LM4050CIM3X-5.0-NOPB")</f>
        <v>LM4050CIM3X-5.0-NOPB</v>
      </c>
      <c r="B774" s="3" t="str">
        <f>HYPERLINK("https://www.773grp.com/manufacturer/national-semiconductor?pageNo=103", "National Semiconductor")</f>
        <v>National Semiconductor</v>
      </c>
      <c r="C774" s="6">
        <v>6000</v>
      </c>
      <c r="D774" s="7">
        <v>3.7</v>
      </c>
      <c r="E774" t="s">
        <v>17</v>
      </c>
    </row>
    <row r="775" spans="1:5" x14ac:dyDescent="0.25">
      <c r="A775" t="str">
        <f>HYPERLINK("https://www.773grp.com/globalSearch/LM4051CIM3-ADJ-NOPB/page-1", "LM4051CIM3-ADJ-NOPB")</f>
        <v>LM4051CIM3-ADJ-NOPB</v>
      </c>
      <c r="B775" s="3" t="str">
        <f>HYPERLINK("https://www.773grp.com/manufacturer/national-semiconductor?pageNo=104", "National Semiconductor")</f>
        <v>National Semiconductor</v>
      </c>
      <c r="C775" s="6">
        <v>1627</v>
      </c>
      <c r="D775" s="7">
        <v>3.7</v>
      </c>
      <c r="E775" t="s">
        <v>17</v>
      </c>
    </row>
    <row r="776" spans="1:5" x14ac:dyDescent="0.25">
      <c r="A776" t="str">
        <f>HYPERLINK("https://www.773grp.com/globalSearch/LM4051CIM3X-ADJ-NOPB/page-1", "LM4051CIM3X-ADJ-NOPB")</f>
        <v>LM4051CIM3X-ADJ-NOPB</v>
      </c>
      <c r="B776" s="3" t="str">
        <f>HYPERLINK("https://www.773grp.com/manufacturer/national-semiconductor?pageNo=105", "National Semiconductor")</f>
        <v>National Semiconductor</v>
      </c>
      <c r="C776" s="6">
        <v>3000</v>
      </c>
      <c r="D776" s="7">
        <v>3.7</v>
      </c>
      <c r="E776" t="s">
        <v>17</v>
      </c>
    </row>
    <row r="777" spans="1:5" x14ac:dyDescent="0.25">
      <c r="A777" t="str">
        <f>HYPERLINK("https://www.773grp.com/globalSearch/LM4120IM5-2.0-NOPB/page-1", "LM4120IM5-2.0-NOPB")</f>
        <v>LM4120IM5-2.0-NOPB</v>
      </c>
      <c r="B777" s="3" t="str">
        <f>HYPERLINK("https://www.773grp.com/manufacturer/national-semiconductor?pageNo=106", "National Semiconductor")</f>
        <v>National Semiconductor</v>
      </c>
      <c r="C777" s="6">
        <v>1000</v>
      </c>
      <c r="D777" s="7">
        <v>3.7</v>
      </c>
    </row>
    <row r="778" spans="1:5" x14ac:dyDescent="0.25">
      <c r="A778" t="str">
        <f>HYPERLINK("https://www.773grp.com/globalSearch/LM4120IM5-3.0-NOPB/page-1", "LM4120IM5-3.0-NOPB")</f>
        <v>LM4120IM5-3.0-NOPB</v>
      </c>
      <c r="B778" s="3" t="str">
        <f>HYPERLINK("https://www.773grp.com/manufacturer/national-semiconductor?pageNo=107", "National Semiconductor")</f>
        <v>National Semiconductor</v>
      </c>
      <c r="C778" s="6">
        <v>1076</v>
      </c>
      <c r="D778" s="7">
        <v>3.7</v>
      </c>
      <c r="E778" t="s">
        <v>17</v>
      </c>
    </row>
    <row r="779" spans="1:5" x14ac:dyDescent="0.25">
      <c r="A779" t="str">
        <f>HYPERLINK("https://www.773grp.com/globalSearch/LM4120IM5-3.3-NOPB/page-1", "LM4120IM5-3.3-NOPB")</f>
        <v>LM4120IM5-3.3-NOPB</v>
      </c>
      <c r="B779" s="3" t="str">
        <f>HYPERLINK("https://www.773grp.com/manufacturer/national-semiconductor?pageNo=108", "National Semiconductor")</f>
        <v>National Semiconductor</v>
      </c>
      <c r="C779" s="6">
        <v>4000</v>
      </c>
      <c r="D779" s="7">
        <v>3.7</v>
      </c>
    </row>
    <row r="780" spans="1:5" x14ac:dyDescent="0.25">
      <c r="A780" t="str">
        <f>HYPERLINK("https://www.773grp.com/globalSearch/LM4120IM5-4.1-NOPB/page-1", "LM4120IM5-4.1-NOPB")</f>
        <v>LM4120IM5-4.1-NOPB</v>
      </c>
      <c r="B780" s="3" t="str">
        <f>HYPERLINK("https://www.773grp.com/manufacturer/national-semiconductor?pageNo=109", "National Semiconductor")</f>
        <v>National Semiconductor</v>
      </c>
      <c r="C780" s="6">
        <v>1529</v>
      </c>
      <c r="D780" s="7">
        <v>3.7</v>
      </c>
    </row>
    <row r="781" spans="1:5" x14ac:dyDescent="0.25">
      <c r="A781" t="str">
        <f>HYPERLINK("https://www.773grp.com/globalSearch/LM4120IM5-5.0-NOPB/page-1", "LM4120IM5-5.0-NOPB")</f>
        <v>LM4120IM5-5.0-NOPB</v>
      </c>
      <c r="B781" s="3" t="str">
        <f>HYPERLINK("https://www.773grp.com/manufacturer/national-semiconductor?pageNo=110", "National Semiconductor")</f>
        <v>National Semiconductor</v>
      </c>
      <c r="C781" s="6">
        <v>1620</v>
      </c>
      <c r="D781" s="7">
        <v>3.7</v>
      </c>
      <c r="E781" t="s">
        <v>17</v>
      </c>
    </row>
    <row r="782" spans="1:5" x14ac:dyDescent="0.25">
      <c r="A782" t="str">
        <f>HYPERLINK("https://www.773grp.com/globalSearch/LM4120IM5X-2.0-NOPB/page-1", "LM4120IM5X-2.0-NOPB")</f>
        <v>LM4120IM5X-2.0-NOPB</v>
      </c>
      <c r="B782" s="3" t="str">
        <f>HYPERLINK("https://www.773grp.com/manufacturer/national-semiconductor?pageNo=111", "National Semiconductor")</f>
        <v>National Semiconductor</v>
      </c>
      <c r="C782" s="6">
        <v>6000</v>
      </c>
      <c r="D782" s="7">
        <v>3.7</v>
      </c>
    </row>
    <row r="783" spans="1:5" x14ac:dyDescent="0.25">
      <c r="A783" t="str">
        <f>HYPERLINK("https://www.773grp.com/globalSearch/LM4120IM5X-3.0-NOPB/page-1", "LM4120IM5X-3.0-NOPB")</f>
        <v>LM4120IM5X-3.0-NOPB</v>
      </c>
      <c r="B783" s="3" t="str">
        <f>HYPERLINK("https://www.773grp.com/manufacturer/national-semiconductor?pageNo=112", "National Semiconductor")</f>
        <v>National Semiconductor</v>
      </c>
      <c r="C783" s="6">
        <v>6000</v>
      </c>
      <c r="D783" s="7">
        <v>3.7</v>
      </c>
    </row>
    <row r="784" spans="1:5" x14ac:dyDescent="0.25">
      <c r="A784" t="str">
        <f>HYPERLINK("https://www.773grp.com/globalSearch/LM4120IM5X-3.3-NOPB/page-1", "LM4120IM5X-3.3-NOPB")</f>
        <v>LM4120IM5X-3.3-NOPB</v>
      </c>
      <c r="B784" s="3" t="str">
        <f>HYPERLINK("https://www.773grp.com/manufacturer/national-semiconductor?pageNo=113", "National Semiconductor")</f>
        <v>National Semiconductor</v>
      </c>
      <c r="C784" s="6">
        <v>5792</v>
      </c>
      <c r="D784" s="7">
        <v>3.7</v>
      </c>
    </row>
    <row r="785" spans="1:5" x14ac:dyDescent="0.25">
      <c r="A785" t="str">
        <f>HYPERLINK("https://www.773grp.com/globalSearch/LM4125AIM5-2.5-NOPB/page-1", "LM4125AIM5-2.5-NOPB")</f>
        <v>LM4125AIM5-2.5-NOPB</v>
      </c>
      <c r="B785" s="3" t="str">
        <f>HYPERLINK("https://www.773grp.com/manufacturer/national-semiconductor?pageNo=114", "National Semiconductor")</f>
        <v>National Semiconductor</v>
      </c>
      <c r="C785" s="6">
        <v>1000</v>
      </c>
      <c r="D785" s="7">
        <v>3.7</v>
      </c>
      <c r="E785" t="s">
        <v>17</v>
      </c>
    </row>
    <row r="786" spans="1:5" x14ac:dyDescent="0.25">
      <c r="A786" t="str">
        <f>HYPERLINK("https://www.773grp.com/globalSearch/LM4128BMF-1.8-NOPB/page-1", "LM4128BMF-1.8-NOPB")</f>
        <v>LM4128BMF-1.8-NOPB</v>
      </c>
      <c r="B786" s="3" t="str">
        <f>HYPERLINK("https://www.773grp.com/manufacturer/national-semiconductor?pageNo=115", "National Semiconductor")</f>
        <v>National Semiconductor</v>
      </c>
      <c r="C786" s="6">
        <v>4000</v>
      </c>
      <c r="D786" s="7">
        <v>3.7</v>
      </c>
    </row>
    <row r="787" spans="1:5" x14ac:dyDescent="0.25">
      <c r="A787" t="str">
        <f>HYPERLINK("https://www.773grp.com/globalSearch/LM4128BMF-2.0-NOPB/page-1", "LM4128BMF-2.0-NOPB")</f>
        <v>LM4128BMF-2.0-NOPB</v>
      </c>
      <c r="B787" s="3" t="str">
        <f>HYPERLINK("https://www.773grp.com/manufacturer/national-semiconductor?pageNo=116", "National Semiconductor")</f>
        <v>National Semiconductor</v>
      </c>
      <c r="C787" s="6">
        <v>2000</v>
      </c>
      <c r="D787" s="7">
        <v>3.7</v>
      </c>
    </row>
    <row r="788" spans="1:5" x14ac:dyDescent="0.25">
      <c r="A788" t="str">
        <f>HYPERLINK("https://www.773grp.com/globalSearch/LM4128BMF-2.5-NOPB/page-1", "LM4128BMF-2.5-NOPB")</f>
        <v>LM4128BMF-2.5-NOPB</v>
      </c>
      <c r="B788" s="3" t="str">
        <f>HYPERLINK("https://www.773grp.com/manufacturer/national-semiconductor?pageNo=117", "National Semiconductor")</f>
        <v>National Semiconductor</v>
      </c>
      <c r="C788" s="6">
        <v>6748</v>
      </c>
      <c r="D788" s="7">
        <v>3.7</v>
      </c>
    </row>
    <row r="789" spans="1:5" x14ac:dyDescent="0.25">
      <c r="A789" t="str">
        <f>HYPERLINK("https://www.773grp.com/globalSearch/LM4128BMF-4.1-NOPB/page-1", "LM4128BMF-4.1-NOPB")</f>
        <v>LM4128BMF-4.1-NOPB</v>
      </c>
      <c r="B789" s="3" t="str">
        <f>HYPERLINK("https://www.773grp.com/manufacturer/national-semiconductor?pageNo=118", "National Semiconductor")</f>
        <v>National Semiconductor</v>
      </c>
      <c r="C789" s="6">
        <v>1000</v>
      </c>
      <c r="D789" s="7">
        <v>3.7</v>
      </c>
    </row>
    <row r="790" spans="1:5" x14ac:dyDescent="0.25">
      <c r="A790" t="str">
        <f>HYPERLINK("https://www.773grp.com/globalSearch/LM4128BMFX-2.5-NOPB/page-1", "LM4128BMFX-2.5-NOPB")</f>
        <v>LM4128BMFX-2.5-NOPB</v>
      </c>
      <c r="B790" s="3" t="str">
        <f>HYPERLINK("https://www.773grp.com/manufacturer/national-semiconductor?pageNo=119", "National Semiconductor")</f>
        <v>National Semiconductor</v>
      </c>
      <c r="C790" s="6">
        <v>3000</v>
      </c>
      <c r="D790" s="7">
        <v>3.7</v>
      </c>
    </row>
    <row r="791" spans="1:5" x14ac:dyDescent="0.25">
      <c r="A791" t="str">
        <f>HYPERLINK("https://www.773grp.com/globalSearch/LM48311TL-NOPB/page-1", "LM48311TL-NOPB")</f>
        <v>LM48311TL-NOPB</v>
      </c>
      <c r="B791" s="3" t="str">
        <f>HYPERLINK("https://www.773grp.com/manufacturer/national-semiconductor?pageNo=120", "National Semiconductor")</f>
        <v>National Semiconductor</v>
      </c>
      <c r="C791" s="6">
        <v>492</v>
      </c>
      <c r="D791" s="7">
        <v>3.7</v>
      </c>
    </row>
    <row r="792" spans="1:5" x14ac:dyDescent="0.25">
      <c r="A792" t="str">
        <f>HYPERLINK("https://www.773grp.com/globalSearch/LM4860M-NOPB/page-1", "LM4860M-NOPB")</f>
        <v>LM4860M-NOPB</v>
      </c>
      <c r="B792" s="3" t="str">
        <f>HYPERLINK("https://www.773grp.com/manufacturer/national-semiconductor?pageNo=121", "National Semiconductor")</f>
        <v>National Semiconductor</v>
      </c>
      <c r="C792" s="6">
        <v>1785</v>
      </c>
      <c r="D792" s="7">
        <v>3.7</v>
      </c>
      <c r="E792" t="s">
        <v>18</v>
      </c>
    </row>
    <row r="793" spans="1:5" x14ac:dyDescent="0.25">
      <c r="A793" t="str">
        <f>HYPERLINK("https://www.773grp.com/globalSearch/LM5110-1M-NOPB/page-1", "LM5110-1M-NOPB")</f>
        <v>LM5110-1M-NOPB</v>
      </c>
      <c r="B793" s="3" t="str">
        <f>HYPERLINK("https://www.773grp.com/manufacturer/national-semiconductor?pageNo=122", "National Semiconductor")</f>
        <v>National Semiconductor</v>
      </c>
      <c r="C793" s="6">
        <v>9947</v>
      </c>
      <c r="D793" s="7">
        <v>3.7</v>
      </c>
      <c r="E793" t="s">
        <v>11</v>
      </c>
    </row>
    <row r="794" spans="1:5" x14ac:dyDescent="0.25">
      <c r="A794" t="str">
        <f>HYPERLINK("https://www.773grp.com/globalSearch/LM5110-2M-NOPB/page-1", "LM5110-2M-NOPB")</f>
        <v>LM5110-2M-NOPB</v>
      </c>
      <c r="B794" s="3" t="str">
        <f>HYPERLINK("https://www.773grp.com/manufacturer/national-semiconductor?pageNo=123", "National Semiconductor")</f>
        <v>National Semiconductor</v>
      </c>
      <c r="C794" s="6">
        <v>5754</v>
      </c>
      <c r="D794" s="7">
        <v>3.7</v>
      </c>
      <c r="E794" t="s">
        <v>11</v>
      </c>
    </row>
    <row r="795" spans="1:5" x14ac:dyDescent="0.25">
      <c r="A795" t="str">
        <f>HYPERLINK("https://www.773grp.com/globalSearch/LM5110-3M-NOPB/page-1", "LM5110-3M-NOPB")</f>
        <v>LM5110-3M-NOPB</v>
      </c>
      <c r="B795" s="3" t="str">
        <f>HYPERLINK("https://www.773grp.com/manufacturer/national-semiconductor?pageNo=124", "National Semiconductor")</f>
        <v>National Semiconductor</v>
      </c>
      <c r="C795" s="6">
        <v>317</v>
      </c>
      <c r="D795" s="7">
        <v>3.7</v>
      </c>
      <c r="E795" t="s">
        <v>11</v>
      </c>
    </row>
    <row r="796" spans="1:5" x14ac:dyDescent="0.25">
      <c r="A796" t="str">
        <f>HYPERLINK("https://www.773grp.com/globalSearch/LM5111-1M-NOPB/page-1", "LM5111-1M-NOPB")</f>
        <v>LM5111-1M-NOPB</v>
      </c>
      <c r="B796" s="3" t="str">
        <f>HYPERLINK("https://www.773grp.com/manufacturer/national-semiconductor?pageNo=125", "National Semiconductor")</f>
        <v>National Semiconductor</v>
      </c>
      <c r="C796" s="6">
        <v>1140</v>
      </c>
      <c r="D796" s="7">
        <v>3.7</v>
      </c>
      <c r="E796" t="s">
        <v>11</v>
      </c>
    </row>
    <row r="797" spans="1:5" x14ac:dyDescent="0.25">
      <c r="A797" t="str">
        <f>HYPERLINK("https://www.773grp.com/globalSearch/LM5111-2M-NOPB/page-1", "LM5111-2M-NOPB")</f>
        <v>LM5111-2M-NOPB</v>
      </c>
      <c r="B797" s="3" t="str">
        <f>HYPERLINK("https://www.773grp.com/manufacturer/national-semiconductor?pageNo=126", "National Semiconductor")</f>
        <v>National Semiconductor</v>
      </c>
      <c r="C797" s="6">
        <v>365</v>
      </c>
      <c r="D797" s="7">
        <v>3.7</v>
      </c>
      <c r="E797" t="s">
        <v>11</v>
      </c>
    </row>
    <row r="798" spans="1:5" x14ac:dyDescent="0.25">
      <c r="A798" t="str">
        <f>HYPERLINK("https://www.773grp.com/globalSearch/LM5111-3M-NOPB/page-1", "LM5111-3M-NOPB")</f>
        <v>LM5111-3M-NOPB</v>
      </c>
      <c r="B798" s="3" t="str">
        <f>HYPERLINK("https://www.773grp.com/manufacturer/national-semiconductor?pageNo=127", "National Semiconductor")</f>
        <v>National Semiconductor</v>
      </c>
      <c r="C798" s="6">
        <v>190</v>
      </c>
      <c r="D798" s="7">
        <v>3.7</v>
      </c>
      <c r="E798" t="s">
        <v>11</v>
      </c>
    </row>
    <row r="799" spans="1:5" x14ac:dyDescent="0.25">
      <c r="A799" t="str">
        <f>HYPERLINK("https://www.773grp.com/globalSearch/LM5111-4M-NOPB/page-1", "LM5111-4M-NOPB")</f>
        <v>LM5111-4M-NOPB</v>
      </c>
      <c r="B799" s="3" t="str">
        <f>HYPERLINK("https://www.773grp.com/manufacturer/national-semiconductor?pageNo=128", "National Semiconductor")</f>
        <v>National Semiconductor</v>
      </c>
      <c r="C799" s="6">
        <v>1022</v>
      </c>
      <c r="D799" s="7">
        <v>3.7</v>
      </c>
    </row>
    <row r="800" spans="1:5" x14ac:dyDescent="0.25">
      <c r="A800" t="str">
        <f>HYPERLINK("https://www.773grp.com/globalSearch/LM75BIMM-3-NOPB/page-1", "LM75BIMM-3-NOPB")</f>
        <v>LM75BIMM-3-NOPB</v>
      </c>
      <c r="B800" s="3" t="str">
        <f>HYPERLINK("https://www.773grp.com/manufacturer/national-semiconductor?pageNo=129", "National Semiconductor")</f>
        <v>National Semiconductor</v>
      </c>
      <c r="C800" s="6">
        <v>16063</v>
      </c>
      <c r="D800" s="7">
        <v>3.7</v>
      </c>
      <c r="E800" t="s">
        <v>12</v>
      </c>
    </row>
    <row r="801" spans="1:5" x14ac:dyDescent="0.25">
      <c r="A801" t="str">
        <f>HYPERLINK("https://www.773grp.com/globalSearch/LM75BIMMX-5-NOPB/page-1", "LM75BIMMX-5-NOPB")</f>
        <v>LM75BIMMX-5-NOPB</v>
      </c>
      <c r="B801" s="3" t="str">
        <f>HYPERLINK("https://www.773grp.com/manufacturer/national-semiconductor?pageNo=130", "National Semiconductor")</f>
        <v>National Semiconductor</v>
      </c>
      <c r="C801" s="6">
        <v>10500</v>
      </c>
      <c r="D801" s="7">
        <v>3.7</v>
      </c>
      <c r="E801" t="s">
        <v>12</v>
      </c>
    </row>
    <row r="802" spans="1:5" x14ac:dyDescent="0.25">
      <c r="A802" t="str">
        <f>HYPERLINK("https://www.773grp.com/globalSearch/LM75BIMX-3-NOPB/page-1", "LM75BIMX-3-NOPB")</f>
        <v>LM75BIMX-3-NOPB</v>
      </c>
      <c r="B802" s="3" t="str">
        <f>HYPERLINK("https://www.773grp.com/manufacturer/national-semiconductor?pageNo=131", "National Semiconductor")</f>
        <v>National Semiconductor</v>
      </c>
      <c r="C802" s="6">
        <v>5793</v>
      </c>
      <c r="D802" s="7">
        <v>3.7</v>
      </c>
      <c r="E802" t="s">
        <v>12</v>
      </c>
    </row>
    <row r="803" spans="1:5" x14ac:dyDescent="0.25">
      <c r="A803" t="str">
        <f>HYPERLINK("https://www.773grp.com/globalSearch/LM75BIMX-5-NOPB/page-1", "LM75BIMX-5-NOPB")</f>
        <v>LM75BIMX-5-NOPB</v>
      </c>
      <c r="B803" s="3" t="str">
        <f>HYPERLINK("https://www.773grp.com/manufacturer/national-semiconductor?pageNo=132", "National Semiconductor")</f>
        <v>National Semiconductor</v>
      </c>
      <c r="C803" s="6">
        <v>7411</v>
      </c>
      <c r="D803" s="7">
        <v>3.7</v>
      </c>
      <c r="E803" t="s">
        <v>12</v>
      </c>
    </row>
    <row r="804" spans="1:5" x14ac:dyDescent="0.25">
      <c r="A804" t="str">
        <f>HYPERLINK("https://www.773grp.com/globalSearch/LM78S40CN/page-1", "LM78S40CN")</f>
        <v>LM78S40CN</v>
      </c>
      <c r="B804" s="3" t="str">
        <f>HYPERLINK("https://www.773grp.com/manufacturer/national-semiconductor?pageNo=133", "National Semiconductor")</f>
        <v>National Semiconductor</v>
      </c>
      <c r="C804" s="6">
        <v>513</v>
      </c>
      <c r="D804" s="7">
        <v>3.7</v>
      </c>
      <c r="E804" t="s">
        <v>7</v>
      </c>
    </row>
    <row r="805" spans="1:5" x14ac:dyDescent="0.25">
      <c r="A805" t="str">
        <f>HYPERLINK("https://www.773grp.com/globalSearch/LM95241CIMM-NOPB/page-1", "LM95241CIMM-NOPB")</f>
        <v>LM95241CIMM-NOPB</v>
      </c>
      <c r="B805" s="3" t="str">
        <f>HYPERLINK("https://www.773grp.com/manufacturer/national-semiconductor?pageNo=134", "National Semiconductor")</f>
        <v>National Semiconductor</v>
      </c>
      <c r="C805" s="6">
        <v>1208</v>
      </c>
      <c r="D805" s="7">
        <v>3.7</v>
      </c>
    </row>
    <row r="806" spans="1:5" x14ac:dyDescent="0.25">
      <c r="A806" t="str">
        <f>HYPERLINK("https://www.773grp.com/globalSearch/LM95241CIMM-2-NOPB/page-1", "LM95241CIMM-2-NOPB")</f>
        <v>LM95241CIMM-2-NOPB</v>
      </c>
      <c r="B806" s="3" t="str">
        <f>HYPERLINK("https://www.773grp.com/manufacturer/national-semiconductor?pageNo=1", "National Semiconductor")</f>
        <v>National Semiconductor</v>
      </c>
      <c r="C806" s="6">
        <v>1350</v>
      </c>
      <c r="D806" s="7">
        <v>3.7</v>
      </c>
    </row>
    <row r="807" spans="1:5" x14ac:dyDescent="0.25">
      <c r="A807" t="str">
        <f>HYPERLINK("https://www.773grp.com/globalSearch/LMH6645MA/page-1", "LMH6645MA")</f>
        <v>LMH6645MA</v>
      </c>
      <c r="B807" s="3" t="str">
        <f>HYPERLINK("https://www.773grp.com/manufacturer/national-semiconductor?pageNo=2", "National Semiconductor")</f>
        <v>National Semiconductor</v>
      </c>
      <c r="C807" s="6">
        <v>285</v>
      </c>
      <c r="D807" s="7">
        <v>3.7</v>
      </c>
      <c r="E807" t="s">
        <v>13</v>
      </c>
    </row>
    <row r="808" spans="1:5" x14ac:dyDescent="0.25">
      <c r="A808" t="str">
        <f>HYPERLINK("https://www.773grp.com/globalSearch/LMH6645MAX-NOPB/page-1", "LMH6645MAX-NOPB")</f>
        <v>LMH6645MAX-NOPB</v>
      </c>
      <c r="B808" s="3" t="str">
        <f>HYPERLINK("https://www.773grp.com/manufacturer/national-semiconductor?pageNo=3", "National Semiconductor")</f>
        <v>National Semiconductor</v>
      </c>
      <c r="C808" s="6">
        <v>5000</v>
      </c>
      <c r="D808" s="7">
        <v>3.7</v>
      </c>
      <c r="E808" t="s">
        <v>13</v>
      </c>
    </row>
    <row r="809" spans="1:5" x14ac:dyDescent="0.25">
      <c r="A809" t="str">
        <f>HYPERLINK("https://www.773grp.com/globalSearch/LMH6645MF-NOPB/page-1", "LMH6645MF-NOPB")</f>
        <v>LMH6645MF-NOPB</v>
      </c>
      <c r="B809" s="3" t="str">
        <f>HYPERLINK("https://www.773grp.com/manufacturer/national-semiconductor?pageNo=4", "National Semiconductor")</f>
        <v>National Semiconductor</v>
      </c>
      <c r="C809" s="6">
        <v>1000</v>
      </c>
      <c r="D809" s="7">
        <v>3.7</v>
      </c>
      <c r="E809" t="s">
        <v>13</v>
      </c>
    </row>
    <row r="810" spans="1:5" x14ac:dyDescent="0.25">
      <c r="A810" t="str">
        <f>HYPERLINK("https://www.773grp.com/globalSearch/LMH6645MFX-NOPB/page-1", "LMH6645MFX-NOPB")</f>
        <v>LMH6645MFX-NOPB</v>
      </c>
      <c r="B810" s="3" t="str">
        <f>HYPERLINK("https://www.773grp.com/manufacturer/national-semiconductor?pageNo=5", "National Semiconductor")</f>
        <v>National Semiconductor</v>
      </c>
      <c r="C810" s="6">
        <v>81000</v>
      </c>
      <c r="D810" s="7">
        <v>3.7</v>
      </c>
      <c r="E810" t="s">
        <v>13</v>
      </c>
    </row>
    <row r="811" spans="1:5" x14ac:dyDescent="0.25">
      <c r="A811" t="str">
        <f>HYPERLINK("https://www.773grp.com/globalSearch/LMV712MM/page-1", "LMV712MM")</f>
        <v>LMV712MM</v>
      </c>
      <c r="B811" s="3" t="str">
        <f>HYPERLINK("https://www.773grp.com/manufacturer/national-semiconductor?pageNo=6", "National Semiconductor")</f>
        <v>National Semiconductor</v>
      </c>
      <c r="C811" s="6">
        <v>2000</v>
      </c>
      <c r="D811" s="7">
        <v>3.7</v>
      </c>
      <c r="E811" t="s">
        <v>13</v>
      </c>
    </row>
    <row r="812" spans="1:5" x14ac:dyDescent="0.25">
      <c r="A812" t="str">
        <f>HYPERLINK("https://www.773grp.com/globalSearch/LMV722M-NOPB/page-1", "LMV722M-NOPB")</f>
        <v>LMV722M-NOPB</v>
      </c>
      <c r="B812" s="3" t="str">
        <f>HYPERLINK("https://www.773grp.com/manufacturer/national-semiconductor?pageNo=7", "National Semiconductor")</f>
        <v>National Semiconductor</v>
      </c>
      <c r="C812" s="6">
        <v>1071</v>
      </c>
      <c r="D812" s="7">
        <v>3.7</v>
      </c>
      <c r="E812" t="s">
        <v>13</v>
      </c>
    </row>
    <row r="813" spans="1:5" x14ac:dyDescent="0.25">
      <c r="A813" t="str">
        <f>HYPERLINK("https://www.773grp.com/globalSearch/LP2966IMM-1833-NOPB/page-1", "LP2966IMM-1833-NOPB")</f>
        <v>LP2966IMM-1833-NOPB</v>
      </c>
      <c r="B813" s="3" t="str">
        <f>HYPERLINK("https://www.773grp.com/manufacturer/national-semiconductor?pageNo=8", "National Semiconductor")</f>
        <v>National Semiconductor</v>
      </c>
      <c r="C813" s="6">
        <v>1004</v>
      </c>
      <c r="D813" s="7">
        <v>3.7</v>
      </c>
      <c r="E813" t="s">
        <v>44</v>
      </c>
    </row>
    <row r="814" spans="1:5" x14ac:dyDescent="0.25">
      <c r="A814" t="str">
        <f>HYPERLINK("https://www.773grp.com/globalSearch/LP2966IMM-2525-NOPB/page-1", "LP2966IMM-2525-NOPB")</f>
        <v>LP2966IMM-2525-NOPB</v>
      </c>
      <c r="B814" s="3" t="str">
        <f>HYPERLINK("https://www.773grp.com/manufacturer/national-semiconductor?pageNo=9", "National Semiconductor")</f>
        <v>National Semiconductor</v>
      </c>
      <c r="C814" s="6">
        <v>4569</v>
      </c>
      <c r="D814" s="7">
        <v>3.7</v>
      </c>
      <c r="E814" t="s">
        <v>44</v>
      </c>
    </row>
    <row r="815" spans="1:5" x14ac:dyDescent="0.25">
      <c r="A815" t="str">
        <f>HYPERLINK("https://www.773grp.com/globalSearch/LP2966IMM-2828-NOPB/page-1", "LP2966IMM-2828-NOPB")</f>
        <v>LP2966IMM-2828-NOPB</v>
      </c>
      <c r="B815" s="3" t="str">
        <f>HYPERLINK("https://www.773grp.com/manufacturer/national-semiconductor?pageNo=10", "National Semiconductor")</f>
        <v>National Semiconductor</v>
      </c>
      <c r="C815" s="6">
        <v>3276</v>
      </c>
      <c r="D815" s="7">
        <v>3.7</v>
      </c>
      <c r="E815" t="s">
        <v>44</v>
      </c>
    </row>
    <row r="816" spans="1:5" x14ac:dyDescent="0.25">
      <c r="A816" t="str">
        <f>HYPERLINK("https://www.773grp.com/globalSearch/LP2966IMM-3325-NOPB/page-1", "LP2966IMM-3325-NOPB")</f>
        <v>LP2966IMM-3325-NOPB</v>
      </c>
      <c r="B816" s="3" t="str">
        <f>HYPERLINK("https://www.773grp.com/manufacturer/national-semiconductor?pageNo=11", "National Semiconductor")</f>
        <v>National Semiconductor</v>
      </c>
      <c r="C816" s="6">
        <v>1670</v>
      </c>
      <c r="D816" s="7">
        <v>3.7</v>
      </c>
    </row>
    <row r="817" spans="1:5" x14ac:dyDescent="0.25">
      <c r="A817" t="str">
        <f>HYPERLINK("https://www.773grp.com/globalSearch/LP2966IMM-5050-NOPB/page-1", "LP2966IMM-5050-NOPB")</f>
        <v>LP2966IMM-5050-NOPB</v>
      </c>
      <c r="B817" s="3" t="str">
        <f>HYPERLINK("https://www.773grp.com/manufacturer/national-semiconductor?pageNo=12", "National Semiconductor")</f>
        <v>National Semiconductor</v>
      </c>
      <c r="C817" s="6">
        <v>1034</v>
      </c>
      <c r="D817" s="7">
        <v>3.7</v>
      </c>
      <c r="E817" t="s">
        <v>44</v>
      </c>
    </row>
    <row r="818" spans="1:5" x14ac:dyDescent="0.25">
      <c r="A818" t="str">
        <f>HYPERLINK("https://www.773grp.com/globalSearch/LP2975AIMM-3.3-NOPB/page-1", "LP2975AIMM-3.3-NOPB")</f>
        <v>LP2975AIMM-3.3-NOPB</v>
      </c>
      <c r="B818" s="3" t="str">
        <f>HYPERLINK("https://www.773grp.com/manufacturer/national-semiconductor?pageNo=13", "National Semiconductor")</f>
        <v>National Semiconductor</v>
      </c>
      <c r="C818" s="6">
        <v>168894</v>
      </c>
      <c r="D818" s="7">
        <v>3.7</v>
      </c>
      <c r="E818" t="s">
        <v>40</v>
      </c>
    </row>
    <row r="819" spans="1:5" x14ac:dyDescent="0.25">
      <c r="A819" t="str">
        <f>HYPERLINK("https://www.773grp.com/globalSearch/LP2975AIMM-5.0-NOPB/page-1", "LP2975AIMM-5.0-NOPB")</f>
        <v>LP2975AIMM-5.0-NOPB</v>
      </c>
      <c r="B819" s="3" t="str">
        <f>HYPERLINK("https://www.773grp.com/manufacturer/national-semiconductor?pageNo=14", "National Semiconductor")</f>
        <v>National Semiconductor</v>
      </c>
      <c r="C819" s="6">
        <v>2010</v>
      </c>
      <c r="D819" s="7">
        <v>3.7</v>
      </c>
      <c r="E819" t="s">
        <v>40</v>
      </c>
    </row>
    <row r="820" spans="1:5" x14ac:dyDescent="0.25">
      <c r="A820" t="str">
        <f>HYPERLINK("https://www.773grp.com/globalSearch/LP2986ILD-3.3/page-1", "LP2986ILD-3.3")</f>
        <v>LP2986ILD-3.3</v>
      </c>
      <c r="B820" s="3" t="str">
        <f>HYPERLINK("https://www.773grp.com/manufacturer/national-semiconductor?pageNo=15", "National Semiconductor")</f>
        <v>National Semiconductor</v>
      </c>
      <c r="C820" s="6">
        <v>1000</v>
      </c>
      <c r="D820" s="7">
        <v>3.7</v>
      </c>
      <c r="E820" t="s">
        <v>27</v>
      </c>
    </row>
    <row r="821" spans="1:5" x14ac:dyDescent="0.25">
      <c r="A821" t="str">
        <f>HYPERLINK("https://www.773grp.com/globalSearch/LP2986ILD-3.3-NOPB/page-1", "LP2986ILD-3.3-NOPB")</f>
        <v>LP2986ILD-3.3-NOPB</v>
      </c>
      <c r="B821" s="3" t="str">
        <f>HYPERLINK("https://www.773grp.com/manufacturer/national-semiconductor?pageNo=16", "National Semiconductor")</f>
        <v>National Semiconductor</v>
      </c>
      <c r="C821" s="6">
        <v>50</v>
      </c>
      <c r="D821" s="7">
        <v>3.7</v>
      </c>
      <c r="E821" t="s">
        <v>27</v>
      </c>
    </row>
    <row r="822" spans="1:5" x14ac:dyDescent="0.25">
      <c r="A822" t="str">
        <f>HYPERLINK("https://www.773grp.com/globalSearch/LP2986IMM-3.0-NOPB/page-1", "LP2986IMM-3.0-NOPB")</f>
        <v>LP2986IMM-3.0-NOPB</v>
      </c>
      <c r="B822" s="3" t="str">
        <f>HYPERLINK("https://www.773grp.com/manufacturer/national-semiconductor?pageNo=17", "National Semiconductor")</f>
        <v>National Semiconductor</v>
      </c>
      <c r="C822" s="6">
        <v>2000</v>
      </c>
      <c r="D822" s="7">
        <v>3.7</v>
      </c>
      <c r="E822" t="s">
        <v>27</v>
      </c>
    </row>
    <row r="823" spans="1:5" x14ac:dyDescent="0.25">
      <c r="A823" t="str">
        <f>HYPERLINK("https://www.773grp.com/globalSearch/LP2986IMM-3.3-NOPB/page-1", "LP2986IMM-3.3-NOPB")</f>
        <v>LP2986IMM-3.3-NOPB</v>
      </c>
      <c r="B823" s="3" t="str">
        <f>HYPERLINK("https://www.773grp.com/manufacturer/national-semiconductor?pageNo=18", "National Semiconductor")</f>
        <v>National Semiconductor</v>
      </c>
      <c r="C823" s="6">
        <v>1000</v>
      </c>
      <c r="D823" s="7">
        <v>3.7</v>
      </c>
      <c r="E823" t="s">
        <v>27</v>
      </c>
    </row>
    <row r="824" spans="1:5" x14ac:dyDescent="0.25">
      <c r="A824" t="str">
        <f>HYPERLINK("https://www.773grp.com/globalSearch/LP2986IMM-5.0/page-1", "LP2986IMM-5.0")</f>
        <v>LP2986IMM-5.0</v>
      </c>
      <c r="B824" s="3" t="str">
        <f>HYPERLINK("https://www.773grp.com/manufacturer/national-semiconductor?pageNo=19", "National Semiconductor")</f>
        <v>National Semiconductor</v>
      </c>
      <c r="C824" s="6">
        <v>1000</v>
      </c>
      <c r="D824" s="7">
        <v>3.7</v>
      </c>
      <c r="E824" t="s">
        <v>27</v>
      </c>
    </row>
    <row r="825" spans="1:5" x14ac:dyDescent="0.25">
      <c r="A825" t="str">
        <f>HYPERLINK("https://www.773grp.com/globalSearch/LP2986IMM-5.0-NOPB/page-1", "LP2986IMM-5.0-NOPB")</f>
        <v>LP2986IMM-5.0-NOPB</v>
      </c>
      <c r="B825" s="3" t="str">
        <f>HYPERLINK("https://www.773grp.com/manufacturer/national-semiconductor?pageNo=20", "National Semiconductor")</f>
        <v>National Semiconductor</v>
      </c>
      <c r="C825" s="6">
        <v>939</v>
      </c>
      <c r="D825" s="7">
        <v>3.7</v>
      </c>
      <c r="E825" t="s">
        <v>27</v>
      </c>
    </row>
    <row r="826" spans="1:5" x14ac:dyDescent="0.25">
      <c r="A826" t="str">
        <f>HYPERLINK("https://www.773grp.com/globalSearch/LP2986IMMX-3.3-NOPB/page-1", "LP2986IMMX-3.3-NOPB")</f>
        <v>LP2986IMMX-3.3-NOPB</v>
      </c>
      <c r="B826" s="3" t="str">
        <f>HYPERLINK("https://www.773grp.com/manufacturer/national-semiconductor?pageNo=21", "National Semiconductor")</f>
        <v>National Semiconductor</v>
      </c>
      <c r="C826" s="6">
        <v>7000</v>
      </c>
      <c r="D826" s="7">
        <v>3.7</v>
      </c>
      <c r="E826" t="s">
        <v>27</v>
      </c>
    </row>
    <row r="827" spans="1:5" x14ac:dyDescent="0.25">
      <c r="A827" t="str">
        <f>HYPERLINK("https://www.773grp.com/globalSearch/LP38691DT-5.0/page-1", "LP38691DT-5.0")</f>
        <v>LP38691DT-5.0</v>
      </c>
      <c r="B827" s="3" t="str">
        <f>HYPERLINK("https://www.773grp.com/manufacturer/national-semiconductor?pageNo=22", "National Semiconductor")</f>
        <v>National Semiconductor</v>
      </c>
      <c r="C827" s="6">
        <v>112</v>
      </c>
      <c r="D827" s="7">
        <v>3.7</v>
      </c>
      <c r="E827" t="s">
        <v>19</v>
      </c>
    </row>
    <row r="828" spans="1:5" x14ac:dyDescent="0.25">
      <c r="A828" t="str">
        <f>HYPERLINK("https://www.773grp.com/globalSearch/LP3879MRX-1.2-NOPB/page-1", "LP3879MRX-1.2-NOPB")</f>
        <v>LP3879MRX-1.2-NOPB</v>
      </c>
      <c r="B828" s="3" t="str">
        <f>HYPERLINK("https://www.773grp.com/manufacturer/national-semiconductor?pageNo=23", "National Semiconductor")</f>
        <v>National Semiconductor</v>
      </c>
      <c r="C828" s="6">
        <v>2500</v>
      </c>
      <c r="D828" s="7">
        <v>3.7</v>
      </c>
    </row>
    <row r="829" spans="1:5" x14ac:dyDescent="0.25">
      <c r="A829" t="str">
        <f>HYPERLINK("https://www.773grp.com/globalSearch/LP3879SD-1.0-NOPB/page-1", "LP3879SD-1.0-NOPB")</f>
        <v>LP3879SD-1.0-NOPB</v>
      </c>
      <c r="B829" s="3" t="str">
        <f>HYPERLINK("https://www.773grp.com/manufacturer/national-semiconductor?pageNo=24", "National Semiconductor")</f>
        <v>National Semiconductor</v>
      </c>
      <c r="C829" s="6">
        <v>1635</v>
      </c>
      <c r="D829" s="7">
        <v>3.7</v>
      </c>
    </row>
    <row r="830" spans="1:5" x14ac:dyDescent="0.25">
      <c r="A830" t="str">
        <f>HYPERLINK("https://www.773grp.com/globalSearch/LP3879SD-1.2/page-1", "LP3879SD-1.2")</f>
        <v>LP3879SD-1.2</v>
      </c>
      <c r="B830" s="3" t="str">
        <f>HYPERLINK("https://www.773grp.com/manufacturer/national-semiconductor?pageNo=25", "National Semiconductor")</f>
        <v>National Semiconductor</v>
      </c>
      <c r="C830" s="6">
        <v>880</v>
      </c>
      <c r="D830" s="7">
        <v>3.7</v>
      </c>
      <c r="E830" t="s">
        <v>28</v>
      </c>
    </row>
    <row r="831" spans="1:5" x14ac:dyDescent="0.25">
      <c r="A831" t="str">
        <f>HYPERLINK("https://www.773grp.com/globalSearch/MM74HC563WM/page-1", "MM74HC563WM")</f>
        <v>MM74HC563WM</v>
      </c>
      <c r="B831" s="3" t="str">
        <f>HYPERLINK("https://www.773grp.com/manufacturer/national-semiconductor?pageNo=26", "National Semiconductor")</f>
        <v>National Semiconductor</v>
      </c>
      <c r="C831" s="6">
        <v>324</v>
      </c>
      <c r="D831" s="7">
        <v>3.7</v>
      </c>
      <c r="E831" t="s">
        <v>14</v>
      </c>
    </row>
    <row r="832" spans="1:5" x14ac:dyDescent="0.25">
      <c r="A832" t="str">
        <f>HYPERLINK("https://www.773grp.com/globalSearch/MM74HC643AN/page-1", "MM74HC643AN")</f>
        <v>MM74HC643AN</v>
      </c>
      <c r="B832" s="3" t="str">
        <f>HYPERLINK("https://www.773grp.com/manufacturer/national-semiconductor?pageNo=27", "National Semiconductor")</f>
        <v>National Semiconductor</v>
      </c>
      <c r="C832" s="6">
        <v>578</v>
      </c>
      <c r="D832" s="7">
        <v>3.7</v>
      </c>
    </row>
    <row r="833" spans="1:5" x14ac:dyDescent="0.25">
      <c r="A833" t="str">
        <f>HYPERLINK("https://www.773grp.com/globalSearch/DAC082S085CIMM-NOPB/page-1", "DAC082S085CIMM-NOPB")</f>
        <v>DAC082S085CIMM-NOPB</v>
      </c>
      <c r="B833" s="3" t="str">
        <f>HYPERLINK("https://www.773grp.com/manufacturer/national-semiconductor?pageNo=28", "National Semiconductor")</f>
        <v>National Semiconductor</v>
      </c>
      <c r="C833" s="6">
        <v>318</v>
      </c>
      <c r="D833" s="7">
        <v>3.7</v>
      </c>
    </row>
    <row r="834" spans="1:5" x14ac:dyDescent="0.25">
      <c r="A834" t="str">
        <f>HYPERLINK("https://www.773grp.com/globalSearch/LF398M-NOPB/page-1", "LF398M-NOPB")</f>
        <v>LF398M-NOPB</v>
      </c>
      <c r="B834" s="3" t="str">
        <f>HYPERLINK("https://www.773grp.com/manufacturer/national-semiconductor?pageNo=29", "National Semiconductor")</f>
        <v>National Semiconductor</v>
      </c>
      <c r="C834" s="6">
        <v>240</v>
      </c>
      <c r="D834" s="7">
        <v>3.7</v>
      </c>
      <c r="E834" t="s">
        <v>6</v>
      </c>
    </row>
    <row r="835" spans="1:5" x14ac:dyDescent="0.25">
      <c r="A835" t="str">
        <f>HYPERLINK("https://www.773grp.com/globalSearch/LM1770SMF-NOPB/page-1", "LM1770SMF-NOPB")</f>
        <v>LM1770SMF-NOPB</v>
      </c>
      <c r="B835" s="3" t="str">
        <f>HYPERLINK("https://www.773grp.com/manufacturer/national-semiconductor?pageNo=30", "National Semiconductor")</f>
        <v>National Semiconductor</v>
      </c>
      <c r="C835" s="6">
        <v>1000</v>
      </c>
      <c r="D835" s="7">
        <v>3.7</v>
      </c>
    </row>
    <row r="836" spans="1:5" x14ac:dyDescent="0.25">
      <c r="A836" t="str">
        <f>HYPERLINK("https://www.773grp.com/globalSearch/LM1770TMF-NOPB/page-1", "LM1770TMF-NOPB")</f>
        <v>LM1770TMF-NOPB</v>
      </c>
      <c r="B836" s="3" t="str">
        <f>HYPERLINK("https://www.773grp.com/manufacturer/national-semiconductor?pageNo=31", "National Semiconductor")</f>
        <v>National Semiconductor</v>
      </c>
      <c r="C836" s="6">
        <v>500</v>
      </c>
      <c r="D836" s="7">
        <v>3.7</v>
      </c>
    </row>
    <row r="837" spans="1:5" x14ac:dyDescent="0.25">
      <c r="A837" t="str">
        <f>HYPERLINK("https://www.773grp.com/globalSearch/LM1770UMF-NOPB/page-1", "LM1770UMF-NOPB")</f>
        <v>LM1770UMF-NOPB</v>
      </c>
      <c r="B837" s="3" t="str">
        <f>HYPERLINK("https://www.773grp.com/manufacturer/national-semiconductor?pageNo=32", "National Semiconductor")</f>
        <v>National Semiconductor</v>
      </c>
      <c r="C837" s="6">
        <v>2618</v>
      </c>
      <c r="D837" s="7">
        <v>3.7</v>
      </c>
    </row>
    <row r="838" spans="1:5" x14ac:dyDescent="0.25">
      <c r="A838" t="str">
        <f>HYPERLINK("https://www.773grp.com/globalSearch/LM1877M-9-NOPB/page-1", "LM1877M-9-NOPB")</f>
        <v>LM1877M-9-NOPB</v>
      </c>
      <c r="B838" s="3" t="str">
        <f>HYPERLINK("https://www.773grp.com/manufacturer/national-semiconductor?pageNo=33", "National Semiconductor")</f>
        <v>National Semiconductor</v>
      </c>
      <c r="C838" s="6">
        <v>200</v>
      </c>
      <c r="D838" s="7">
        <v>3.7</v>
      </c>
      <c r="E838" t="s">
        <v>18</v>
      </c>
    </row>
    <row r="839" spans="1:5" x14ac:dyDescent="0.25">
      <c r="A839" t="str">
        <f>HYPERLINK("https://www.773grp.com/globalSearch/LM25085MY-NOPB/page-1", "LM25085MY-NOPB")</f>
        <v>LM25085MY-NOPB</v>
      </c>
      <c r="B839" s="3" t="str">
        <f>HYPERLINK("https://www.773grp.com/manufacturer/national-semiconductor?pageNo=34", "National Semiconductor")</f>
        <v>National Semiconductor</v>
      </c>
      <c r="C839" s="6">
        <v>1000</v>
      </c>
      <c r="D839" s="7">
        <v>3.7</v>
      </c>
    </row>
    <row r="840" spans="1:5" x14ac:dyDescent="0.25">
      <c r="A840" t="str">
        <f>HYPERLINK("https://www.773grp.com/globalSearch/LM2759SD-NOPB/page-1", "LM2759SD-NOPB")</f>
        <v>LM2759SD-NOPB</v>
      </c>
      <c r="B840" s="3" t="str">
        <f>HYPERLINK("https://www.773grp.com/manufacturer/national-semiconductor?pageNo=35", "National Semiconductor")</f>
        <v>National Semiconductor</v>
      </c>
      <c r="C840" s="6">
        <v>1252</v>
      </c>
      <c r="D840" s="7">
        <v>3.7</v>
      </c>
    </row>
    <row r="841" spans="1:5" x14ac:dyDescent="0.25">
      <c r="A841" t="str">
        <f>HYPERLINK("https://www.773grp.com/globalSearch/LM2936DTX-5.0-NOPB/page-1", "LM2936DTX-5.0-NOPB")</f>
        <v>LM2936DTX-5.0-NOPB</v>
      </c>
      <c r="B841" s="3" t="str">
        <f>HYPERLINK("https://www.773grp.com/manufacturer/national-semiconductor?pageNo=36", "National Semiconductor")</f>
        <v>National Semiconductor</v>
      </c>
      <c r="C841" s="6">
        <v>2200</v>
      </c>
      <c r="D841" s="7">
        <v>3.7</v>
      </c>
      <c r="E841" t="s">
        <v>19</v>
      </c>
    </row>
    <row r="842" spans="1:5" x14ac:dyDescent="0.25">
      <c r="A842" t="str">
        <f>HYPERLINK("https://www.773grp.com/globalSearch/LM2941SX-NOPB/page-1", "LM2941SX-NOPB")</f>
        <v>LM2941SX-NOPB</v>
      </c>
      <c r="B842" s="3" t="str">
        <f>HYPERLINK("https://www.773grp.com/manufacturer/national-semiconductor?pageNo=37", "National Semiconductor")</f>
        <v>National Semiconductor</v>
      </c>
      <c r="C842" s="6">
        <v>775</v>
      </c>
      <c r="D842" s="7">
        <v>3.7</v>
      </c>
      <c r="E842" t="s">
        <v>25</v>
      </c>
    </row>
    <row r="843" spans="1:5" x14ac:dyDescent="0.25">
      <c r="A843" t="str">
        <f>HYPERLINK("https://www.773grp.com/globalSearch/LM2941T/page-1", "LM2941T")</f>
        <v>LM2941T</v>
      </c>
      <c r="B843" s="3" t="str">
        <f>HYPERLINK("https://www.773grp.com/manufacturer/national-semiconductor?pageNo=38", "National Semiconductor")</f>
        <v>National Semiconductor</v>
      </c>
      <c r="C843" s="6">
        <v>630</v>
      </c>
      <c r="D843" s="7">
        <v>3.7</v>
      </c>
      <c r="E843" t="s">
        <v>25</v>
      </c>
    </row>
    <row r="844" spans="1:5" x14ac:dyDescent="0.25">
      <c r="A844" t="str">
        <f>HYPERLINK("https://www.773grp.com/globalSearch/LM317T/page-1", "LM317T")</f>
        <v>LM317T</v>
      </c>
      <c r="B844" s="3" t="str">
        <f>HYPERLINK("https://www.773grp.com/manufacturer/national-semiconductor?pageNo=39", "National Semiconductor")</f>
        <v>National Semiconductor</v>
      </c>
      <c r="C844" s="6">
        <v>315</v>
      </c>
      <c r="D844" s="7">
        <v>3.7</v>
      </c>
      <c r="E844" t="s">
        <v>22</v>
      </c>
    </row>
    <row r="845" spans="1:5" x14ac:dyDescent="0.25">
      <c r="A845" t="str">
        <f>HYPERLINK("https://www.773grp.com/globalSearch/LM337IMPX/page-1", "LM337IMPX")</f>
        <v>LM337IMPX</v>
      </c>
      <c r="B845" s="3" t="str">
        <f>HYPERLINK("https://www.773grp.com/manufacturer/national-semiconductor?pageNo=40", "National Semiconductor")</f>
        <v>National Semiconductor</v>
      </c>
      <c r="C845" s="6">
        <v>825</v>
      </c>
      <c r="D845" s="7">
        <v>3.7</v>
      </c>
    </row>
    <row r="846" spans="1:5" x14ac:dyDescent="0.25">
      <c r="A846" t="str">
        <f>HYPERLINK("https://www.773grp.com/globalSearch/LM3401MMX-S7002590/page-1", "LM3401MMX-S7002590")</f>
        <v>LM3401MMX-S7002590</v>
      </c>
      <c r="B846" s="3" t="str">
        <f>HYPERLINK("https://www.773grp.com/manufacturer/national-semiconductor?pageNo=41", "National Semiconductor")</f>
        <v>National Semiconductor</v>
      </c>
      <c r="C846" s="6">
        <v>150500</v>
      </c>
      <c r="D846" s="7">
        <v>3.7</v>
      </c>
    </row>
    <row r="847" spans="1:5" x14ac:dyDescent="0.25">
      <c r="A847" t="str">
        <f>HYPERLINK("https://www.773grp.com/globalSearch/LM340AT-5.0/page-1", "LM340AT-5.0")</f>
        <v>LM340AT-5.0</v>
      </c>
      <c r="B847" s="3" t="str">
        <f>HYPERLINK("https://www.773grp.com/manufacturer/national-semiconductor?pageNo=42", "National Semiconductor")</f>
        <v>National Semiconductor</v>
      </c>
      <c r="C847" s="6">
        <v>80</v>
      </c>
      <c r="D847" s="7">
        <v>3.7</v>
      </c>
      <c r="E847" t="s">
        <v>28</v>
      </c>
    </row>
    <row r="848" spans="1:5" x14ac:dyDescent="0.25">
      <c r="A848" t="str">
        <f>HYPERLINK("https://www.773grp.com/globalSearch/LM350T-NOPB/page-1", "LM350T-NOPB")</f>
        <v>LM350T-NOPB</v>
      </c>
      <c r="B848" s="3" t="str">
        <f>HYPERLINK("https://www.773grp.com/manufacturer/national-semiconductor?pageNo=43", "National Semiconductor")</f>
        <v>National Semiconductor</v>
      </c>
      <c r="C848" s="6">
        <v>178</v>
      </c>
      <c r="D848" s="7">
        <v>3.7</v>
      </c>
      <c r="E848" t="s">
        <v>22</v>
      </c>
    </row>
    <row r="849" spans="1:5" x14ac:dyDescent="0.25">
      <c r="A849" t="str">
        <f>HYPERLINK("https://www.773grp.com/globalSearch/LM3551SD-NOPB/page-1", "LM3551SD-NOPB")</f>
        <v>LM3551SD-NOPB</v>
      </c>
      <c r="B849" s="3" t="str">
        <f>HYPERLINK("https://www.773grp.com/manufacturer/national-semiconductor?pageNo=44", "National Semiconductor")</f>
        <v>National Semiconductor</v>
      </c>
      <c r="C849" s="6">
        <v>2002</v>
      </c>
      <c r="D849" s="7">
        <v>3.7</v>
      </c>
    </row>
    <row r="850" spans="1:5" x14ac:dyDescent="0.25">
      <c r="A850" t="str">
        <f>HYPERLINK("https://www.773grp.com/globalSearch/LM3552SD-NOPB/page-1", "LM3552SD-NOPB")</f>
        <v>LM3552SD-NOPB</v>
      </c>
      <c r="B850" s="3" t="str">
        <f>HYPERLINK("https://www.773grp.com/manufacturer/national-semiconductor?pageNo=45", "National Semiconductor")</f>
        <v>National Semiconductor</v>
      </c>
      <c r="C850" s="6">
        <v>1000</v>
      </c>
      <c r="D850" s="7">
        <v>3.7</v>
      </c>
    </row>
    <row r="851" spans="1:5" x14ac:dyDescent="0.25">
      <c r="A851" t="str">
        <f>HYPERLINK("https://www.773grp.com/globalSearch/LM3940IT-3.3-NOPB/page-1", "LM3940IT-3.3-NOPB")</f>
        <v>LM3940IT-3.3-NOPB</v>
      </c>
      <c r="B851" s="3" t="str">
        <f>HYPERLINK("https://www.773grp.com/manufacturer/national-semiconductor?pageNo=46", "National Semiconductor")</f>
        <v>National Semiconductor</v>
      </c>
      <c r="C851" s="6">
        <v>3905</v>
      </c>
      <c r="D851" s="7">
        <v>3.7</v>
      </c>
      <c r="E851" t="s">
        <v>19</v>
      </c>
    </row>
    <row r="852" spans="1:5" x14ac:dyDescent="0.25">
      <c r="A852" t="str">
        <f>HYPERLINK("https://www.773grp.com/globalSearch/LM4050CIM3-2.5-NOPB/page-1", "LM4050CIM3-2.5-NOPB")</f>
        <v>LM4050CIM3-2.5-NOPB</v>
      </c>
      <c r="B852" s="3" t="str">
        <f>HYPERLINK("https://www.773grp.com/manufacturer/national-semiconductor?pageNo=47", "National Semiconductor")</f>
        <v>National Semiconductor</v>
      </c>
      <c r="C852" s="6">
        <v>1594</v>
      </c>
      <c r="D852" s="7">
        <v>3.7</v>
      </c>
      <c r="E852" t="s">
        <v>17</v>
      </c>
    </row>
    <row r="853" spans="1:5" x14ac:dyDescent="0.25">
      <c r="A853" t="str">
        <f>HYPERLINK("https://www.773grp.com/globalSearch/LM4050CIM3-4.1-NOPB/page-1", "LM4050CIM3-4.1-NOPB")</f>
        <v>LM4050CIM3-4.1-NOPB</v>
      </c>
      <c r="B853" s="3" t="str">
        <f>HYPERLINK("https://www.773grp.com/manufacturer/national-semiconductor?pageNo=48", "National Semiconductor")</f>
        <v>National Semiconductor</v>
      </c>
      <c r="C853" s="6">
        <v>112000</v>
      </c>
      <c r="D853" s="7">
        <v>3.7</v>
      </c>
    </row>
    <row r="854" spans="1:5" x14ac:dyDescent="0.25">
      <c r="A854" t="str">
        <f>HYPERLINK("https://www.773grp.com/globalSearch/LM4050CIM3-5.0-NOPB/page-1", "LM4050CIM3-5.0-NOPB")</f>
        <v>LM4050CIM3-5.0-NOPB</v>
      </c>
      <c r="B854" s="3" t="str">
        <f>HYPERLINK("https://www.773grp.com/manufacturer/national-semiconductor?pageNo=49", "National Semiconductor")</f>
        <v>National Semiconductor</v>
      </c>
      <c r="C854" s="6">
        <v>5000</v>
      </c>
      <c r="D854" s="7">
        <v>3.7</v>
      </c>
      <c r="E854" t="s">
        <v>17</v>
      </c>
    </row>
    <row r="855" spans="1:5" x14ac:dyDescent="0.25">
      <c r="A855" t="str">
        <f>HYPERLINK("https://www.773grp.com/globalSearch/LM4051CIM3-1.2-NOPB/page-1", "LM4051CIM3-1.2-NOPB")</f>
        <v>LM4051CIM3-1.2-NOPB</v>
      </c>
      <c r="B855" s="3" t="str">
        <f>HYPERLINK("https://www.773grp.com/manufacturer/national-semiconductor?pageNo=50", "National Semiconductor")</f>
        <v>National Semiconductor</v>
      </c>
      <c r="C855" s="6">
        <v>1000</v>
      </c>
      <c r="D855" s="7">
        <v>3.7</v>
      </c>
    </row>
    <row r="856" spans="1:5" x14ac:dyDescent="0.25">
      <c r="A856" t="str">
        <f>HYPERLINK("https://www.773grp.com/globalSearch/LM4051CIM3-ADJ-NOPB/page-1", "LM4051CIM3-ADJ-NOPB")</f>
        <v>LM4051CIM3-ADJ-NOPB</v>
      </c>
      <c r="B856" s="3" t="str">
        <f>HYPERLINK("https://www.773grp.com/manufacturer/national-semiconductor?pageNo=51", "National Semiconductor")</f>
        <v>National Semiconductor</v>
      </c>
      <c r="C856" s="6">
        <v>15000</v>
      </c>
      <c r="D856" s="7">
        <v>3.7</v>
      </c>
      <c r="E856" t="s">
        <v>17</v>
      </c>
    </row>
    <row r="857" spans="1:5" x14ac:dyDescent="0.25">
      <c r="A857" t="str">
        <f>HYPERLINK("https://www.773grp.com/globalSearch/LM4120IM5-1.8-NOPB/page-1", "LM4120IM5-1.8-NOPB")</f>
        <v>LM4120IM5-1.8-NOPB</v>
      </c>
      <c r="B857" s="3" t="str">
        <f>HYPERLINK("https://www.773grp.com/manufacturer/national-semiconductor?pageNo=52", "National Semiconductor")</f>
        <v>National Semiconductor</v>
      </c>
      <c r="C857" s="6">
        <v>308444</v>
      </c>
      <c r="D857" s="7">
        <v>3.7</v>
      </c>
    </row>
    <row r="858" spans="1:5" x14ac:dyDescent="0.25">
      <c r="A858" t="str">
        <f>HYPERLINK("https://www.773grp.com/globalSearch/LM4120IM5-2.0-NOPB/page-1", "LM4120IM5-2.0-NOPB")</f>
        <v>LM4120IM5-2.0-NOPB</v>
      </c>
      <c r="B858" s="3" t="str">
        <f>HYPERLINK("https://www.773grp.com/manufacturer/national-semiconductor?pageNo=53", "National Semiconductor")</f>
        <v>National Semiconductor</v>
      </c>
      <c r="C858" s="6">
        <v>3711</v>
      </c>
      <c r="D858" s="7">
        <v>3.7</v>
      </c>
    </row>
    <row r="859" spans="1:5" x14ac:dyDescent="0.25">
      <c r="A859" t="str">
        <f>HYPERLINK("https://www.773grp.com/globalSearch/LM4120IM5-3.0-NOPB/page-1", "LM4120IM5-3.0-NOPB")</f>
        <v>LM4120IM5-3.0-NOPB</v>
      </c>
      <c r="B859" s="3" t="str">
        <f>HYPERLINK("https://www.773grp.com/manufacturer/national-semiconductor?pageNo=54", "National Semiconductor")</f>
        <v>National Semiconductor</v>
      </c>
      <c r="C859" s="6">
        <v>149</v>
      </c>
      <c r="D859" s="7">
        <v>3.7</v>
      </c>
      <c r="E859" t="s">
        <v>17</v>
      </c>
    </row>
    <row r="860" spans="1:5" x14ac:dyDescent="0.25">
      <c r="A860" t="str">
        <f>HYPERLINK("https://www.773grp.com/globalSearch/LM4120IM5-3.3-NOPB/page-1", "LM4120IM5-3.3-NOPB")</f>
        <v>LM4120IM5-3.3-NOPB</v>
      </c>
      <c r="B860" s="3" t="str">
        <f>HYPERLINK("https://www.773grp.com/manufacturer/national-semiconductor?pageNo=55", "National Semiconductor")</f>
        <v>National Semiconductor</v>
      </c>
      <c r="C860" s="6">
        <v>1061</v>
      </c>
      <c r="D860" s="7">
        <v>3.7</v>
      </c>
    </row>
    <row r="861" spans="1:5" x14ac:dyDescent="0.25">
      <c r="A861" t="str">
        <f>HYPERLINK("https://www.773grp.com/globalSearch/LM4120IM5-3.3-NOPB/page-1", "LM4120IM5-3.3-NOPB")</f>
        <v>LM4120IM5-3.3-NOPB</v>
      </c>
      <c r="B861" s="3" t="str">
        <f>HYPERLINK("https://www.773grp.com/manufacturer/national-semiconductor?pageNo=56", "National Semiconductor")</f>
        <v>National Semiconductor</v>
      </c>
      <c r="C861" s="6">
        <v>7000</v>
      </c>
      <c r="D861" s="7">
        <v>3.7</v>
      </c>
    </row>
    <row r="862" spans="1:5" x14ac:dyDescent="0.25">
      <c r="A862" t="str">
        <f>HYPERLINK("https://www.773grp.com/globalSearch/LM4120IM5-4.1-NOPB/page-1", "LM4120IM5-4.1-NOPB")</f>
        <v>LM4120IM5-4.1-NOPB</v>
      </c>
      <c r="B862" s="3" t="str">
        <f>HYPERLINK("https://www.773grp.com/manufacturer/national-semiconductor?pageNo=57", "National Semiconductor")</f>
        <v>National Semiconductor</v>
      </c>
      <c r="C862" s="6">
        <v>2000</v>
      </c>
      <c r="D862" s="7">
        <v>3.7</v>
      </c>
    </row>
    <row r="863" spans="1:5" x14ac:dyDescent="0.25">
      <c r="A863" t="str">
        <f>HYPERLINK("https://www.773grp.com/globalSearch/LM4120IM5-5.0-NOPB/page-1", "LM4120IM5-5.0-NOPB")</f>
        <v>LM4120IM5-5.0-NOPB</v>
      </c>
      <c r="B863" s="3" t="str">
        <f>HYPERLINK("https://www.773grp.com/manufacturer/national-semiconductor?pageNo=58", "National Semiconductor")</f>
        <v>National Semiconductor</v>
      </c>
      <c r="C863" s="6">
        <v>1350</v>
      </c>
      <c r="D863" s="7">
        <v>3.7</v>
      </c>
      <c r="E863" t="s">
        <v>17</v>
      </c>
    </row>
    <row r="864" spans="1:5" x14ac:dyDescent="0.25">
      <c r="A864" t="str">
        <f>HYPERLINK("https://www.773grp.com/globalSearch/LM4120IM5X-3.0-NOPB/page-1", "LM4120IM5X-3.0-NOPB")</f>
        <v>LM4120IM5X-3.0-NOPB</v>
      </c>
      <c r="B864" s="3" t="str">
        <f>HYPERLINK("https://www.773grp.com/manufacturer/national-semiconductor?pageNo=59", "National Semiconductor")</f>
        <v>National Semiconductor</v>
      </c>
      <c r="C864" s="6">
        <v>15000</v>
      </c>
      <c r="D864" s="7">
        <v>3.7</v>
      </c>
    </row>
    <row r="865" spans="1:5" x14ac:dyDescent="0.25">
      <c r="A865" t="str">
        <f>HYPERLINK("https://www.773grp.com/globalSearch/LM4120IM5X-4.1-NOPB/page-1", "LM4120IM5X-4.1-NOPB")</f>
        <v>LM4120IM5X-4.1-NOPB</v>
      </c>
      <c r="B865" s="3" t="str">
        <f>HYPERLINK("https://www.773grp.com/manufacturer/national-semiconductor?pageNo=60", "National Semiconductor")</f>
        <v>National Semiconductor</v>
      </c>
      <c r="C865" s="6">
        <v>3000</v>
      </c>
      <c r="D865" s="7">
        <v>3.7</v>
      </c>
    </row>
    <row r="866" spans="1:5" x14ac:dyDescent="0.25">
      <c r="A866" t="str">
        <f>HYPERLINK("https://www.773grp.com/globalSearch/LM4120IM5X-5.0-NOPB/page-1", "LM4120IM5X-5.0-NOPB")</f>
        <v>LM4120IM5X-5.0-NOPB</v>
      </c>
      <c r="B866" s="3" t="str">
        <f>HYPERLINK("https://www.773grp.com/manufacturer/national-semiconductor?pageNo=61", "National Semiconductor")</f>
        <v>National Semiconductor</v>
      </c>
      <c r="C866" s="6">
        <v>3000</v>
      </c>
      <c r="D866" s="7">
        <v>3.7</v>
      </c>
    </row>
    <row r="867" spans="1:5" x14ac:dyDescent="0.25">
      <c r="A867" t="str">
        <f>HYPERLINK("https://www.773grp.com/globalSearch/LM4125AIM5-2.5-NOPB/page-1", "LM4125AIM5-2.5-NOPB")</f>
        <v>LM4125AIM5-2.5-NOPB</v>
      </c>
      <c r="B867" s="3" t="str">
        <f>HYPERLINK("https://www.773grp.com/manufacturer/national-semiconductor?pageNo=62", "National Semiconductor")</f>
        <v>National Semiconductor</v>
      </c>
      <c r="C867" s="6">
        <v>70</v>
      </c>
      <c r="D867" s="7">
        <v>3.7</v>
      </c>
      <c r="E867" t="s">
        <v>17</v>
      </c>
    </row>
    <row r="868" spans="1:5" x14ac:dyDescent="0.25">
      <c r="A868" t="str">
        <f>HYPERLINK("https://www.773grp.com/globalSearch/LM4128BMF-1.8-NOPB/page-1", "LM4128BMF-1.8-NOPB")</f>
        <v>LM4128BMF-1.8-NOPB</v>
      </c>
      <c r="B868" s="3" t="str">
        <f>HYPERLINK("https://www.773grp.com/manufacturer/national-semiconductor?pageNo=63", "National Semiconductor")</f>
        <v>National Semiconductor</v>
      </c>
      <c r="C868" s="6">
        <v>2828</v>
      </c>
      <c r="D868" s="7">
        <v>3.7</v>
      </c>
    </row>
    <row r="869" spans="1:5" x14ac:dyDescent="0.25">
      <c r="A869" t="str">
        <f>HYPERLINK("https://www.773grp.com/globalSearch/LM4128BMF-2.0-NOPB/page-1", "LM4128BMF-2.0-NOPB")</f>
        <v>LM4128BMF-2.0-NOPB</v>
      </c>
      <c r="B869" s="3" t="str">
        <f>HYPERLINK("https://www.773grp.com/manufacturer/national-semiconductor?pageNo=64", "National Semiconductor")</f>
        <v>National Semiconductor</v>
      </c>
      <c r="C869" s="6">
        <v>3615</v>
      </c>
      <c r="D869" s="7">
        <v>3.7</v>
      </c>
    </row>
    <row r="870" spans="1:5" x14ac:dyDescent="0.25">
      <c r="A870" t="str">
        <f>HYPERLINK("https://www.773grp.com/globalSearch/LM4128BMF-3.0-NOPB/page-1", "LM4128BMF-3.0-NOPB")</f>
        <v>LM4128BMF-3.0-NOPB</v>
      </c>
      <c r="B870" s="3" t="str">
        <f>HYPERLINK("https://www.773grp.com/manufacturer/national-semiconductor?pageNo=65", "National Semiconductor")</f>
        <v>National Semiconductor</v>
      </c>
      <c r="C870" s="6">
        <v>346</v>
      </c>
      <c r="D870" s="7">
        <v>3.7</v>
      </c>
    </row>
    <row r="871" spans="1:5" x14ac:dyDescent="0.25">
      <c r="A871" t="str">
        <f>HYPERLINK("https://www.773grp.com/globalSearch/LM4128BMF-3.3-NOPB/page-1", "LM4128BMF-3.3-NOPB")</f>
        <v>LM4128BMF-3.3-NOPB</v>
      </c>
      <c r="B871" s="3" t="str">
        <f>HYPERLINK("https://www.773grp.com/manufacturer/national-semiconductor?pageNo=66", "National Semiconductor")</f>
        <v>National Semiconductor</v>
      </c>
      <c r="C871" s="6">
        <v>289</v>
      </c>
      <c r="D871" s="7">
        <v>3.7</v>
      </c>
    </row>
    <row r="872" spans="1:5" x14ac:dyDescent="0.25">
      <c r="A872" t="str">
        <f>HYPERLINK("https://www.773grp.com/globalSearch/LM4128BMFX-3.3-NOPB/page-1", "LM4128BMFX-3.3-NOPB")</f>
        <v>LM4128BMFX-3.3-NOPB</v>
      </c>
      <c r="B872" s="3" t="str">
        <f>HYPERLINK("https://www.773grp.com/manufacturer/national-semiconductor?pageNo=67", "National Semiconductor")</f>
        <v>National Semiconductor</v>
      </c>
      <c r="C872" s="6">
        <v>6000</v>
      </c>
      <c r="D872" s="7">
        <v>3.7</v>
      </c>
    </row>
    <row r="873" spans="1:5" x14ac:dyDescent="0.25">
      <c r="A873" t="str">
        <f>HYPERLINK("https://www.773grp.com/globalSearch/LM4860M-NOPB/page-1", "LM4860M-NOPB")</f>
        <v>LM4860M-NOPB</v>
      </c>
      <c r="B873" s="3" t="str">
        <f>HYPERLINK("https://www.773grp.com/manufacturer/national-semiconductor?pageNo=68", "National Semiconductor")</f>
        <v>National Semiconductor</v>
      </c>
      <c r="C873" s="6">
        <v>250</v>
      </c>
      <c r="D873" s="7">
        <v>3.7</v>
      </c>
      <c r="E873" t="s">
        <v>18</v>
      </c>
    </row>
    <row r="874" spans="1:5" x14ac:dyDescent="0.25">
      <c r="A874" t="str">
        <f>HYPERLINK("https://www.773grp.com/globalSearch/LM5110-1M-NOPB/page-1", "LM5110-1M-NOPB")</f>
        <v>LM5110-1M-NOPB</v>
      </c>
      <c r="B874" s="3" t="str">
        <f>HYPERLINK("https://www.773grp.com/manufacturer/national-semiconductor?pageNo=69", "National Semiconductor")</f>
        <v>National Semiconductor</v>
      </c>
      <c r="C874" s="6">
        <v>479</v>
      </c>
      <c r="D874" s="7">
        <v>3.7</v>
      </c>
      <c r="E874" t="s">
        <v>11</v>
      </c>
    </row>
    <row r="875" spans="1:5" x14ac:dyDescent="0.25">
      <c r="A875" t="str">
        <f>HYPERLINK("https://www.773grp.com/globalSearch/LM5110-2M-NOPB/page-1", "LM5110-2M-NOPB")</f>
        <v>LM5110-2M-NOPB</v>
      </c>
      <c r="B875" s="3" t="str">
        <f>HYPERLINK("https://www.773grp.com/manufacturer/national-semiconductor?pageNo=70", "National Semiconductor")</f>
        <v>National Semiconductor</v>
      </c>
      <c r="C875" s="6">
        <v>588</v>
      </c>
      <c r="D875" s="7">
        <v>3.7</v>
      </c>
      <c r="E875" t="s">
        <v>11</v>
      </c>
    </row>
    <row r="876" spans="1:5" x14ac:dyDescent="0.25">
      <c r="A876" t="str">
        <f>HYPERLINK("https://www.773grp.com/globalSearch/LM5110-2M-NOPB/page-1", "LM5110-2M-NOPB")</f>
        <v>LM5110-2M-NOPB</v>
      </c>
      <c r="B876" s="3" t="str">
        <f>HYPERLINK("https://www.773grp.com/manufacturer/national-semiconductor?pageNo=71", "National Semiconductor")</f>
        <v>National Semiconductor</v>
      </c>
      <c r="C876" s="6">
        <v>1000</v>
      </c>
      <c r="D876" s="7">
        <v>3.7</v>
      </c>
      <c r="E876" t="s">
        <v>11</v>
      </c>
    </row>
    <row r="877" spans="1:5" x14ac:dyDescent="0.25">
      <c r="A877" t="str">
        <f>HYPERLINK("https://www.773grp.com/globalSearch/LM5110-3M-NOPB/page-1", "LM5110-3M-NOPB")</f>
        <v>LM5110-3M-NOPB</v>
      </c>
      <c r="B877" s="3" t="str">
        <f>HYPERLINK("https://www.773grp.com/manufacturer/national-semiconductor?pageNo=72", "National Semiconductor")</f>
        <v>National Semiconductor</v>
      </c>
      <c r="C877" s="6">
        <v>170</v>
      </c>
      <c r="D877" s="7">
        <v>3.7</v>
      </c>
      <c r="E877" t="s">
        <v>11</v>
      </c>
    </row>
    <row r="878" spans="1:5" x14ac:dyDescent="0.25">
      <c r="A878" t="str">
        <f>HYPERLINK("https://www.773grp.com/globalSearch/LM5111-1M-NOPB/page-1", "LM5111-1M-NOPB")</f>
        <v>LM5111-1M-NOPB</v>
      </c>
      <c r="B878" s="3" t="str">
        <f>HYPERLINK("https://www.773grp.com/manufacturer/national-semiconductor?pageNo=73", "National Semiconductor")</f>
        <v>National Semiconductor</v>
      </c>
      <c r="C878" s="6">
        <v>6093</v>
      </c>
      <c r="D878" s="7">
        <v>3.7</v>
      </c>
      <c r="E878" t="s">
        <v>11</v>
      </c>
    </row>
    <row r="879" spans="1:5" x14ac:dyDescent="0.25">
      <c r="A879" t="str">
        <f>HYPERLINK("https://www.773grp.com/globalSearch/LM5111-2M-NOPB/page-1", "LM5111-2M-NOPB")</f>
        <v>LM5111-2M-NOPB</v>
      </c>
      <c r="B879" s="3" t="str">
        <f>HYPERLINK("https://www.773grp.com/manufacturer/national-semiconductor?pageNo=74", "National Semiconductor")</f>
        <v>National Semiconductor</v>
      </c>
      <c r="C879" s="6">
        <v>577</v>
      </c>
      <c r="D879" s="7">
        <v>3.7</v>
      </c>
      <c r="E879" t="s">
        <v>11</v>
      </c>
    </row>
    <row r="880" spans="1:5" x14ac:dyDescent="0.25">
      <c r="A880" t="str">
        <f>HYPERLINK("https://www.773grp.com/globalSearch/LM5111-3M-NOPB/page-1", "LM5111-3M-NOPB")</f>
        <v>LM5111-3M-NOPB</v>
      </c>
      <c r="B880" s="3" t="str">
        <f>HYPERLINK("https://www.773grp.com/manufacturer/national-semiconductor?pageNo=75", "National Semiconductor")</f>
        <v>National Semiconductor</v>
      </c>
      <c r="C880" s="6">
        <v>1185</v>
      </c>
      <c r="D880" s="7">
        <v>3.7</v>
      </c>
      <c r="E880" t="s">
        <v>11</v>
      </c>
    </row>
    <row r="881" spans="1:5" x14ac:dyDescent="0.25">
      <c r="A881" t="str">
        <f>HYPERLINK("https://www.773grp.com/globalSearch/LM5111-4M-NOPB/page-1", "LM5111-4M-NOPB")</f>
        <v>LM5111-4M-NOPB</v>
      </c>
      <c r="B881" s="3" t="str">
        <f>HYPERLINK("https://www.773grp.com/manufacturer/national-semiconductor?pageNo=76", "National Semiconductor")</f>
        <v>National Semiconductor</v>
      </c>
      <c r="C881" s="6">
        <v>2197</v>
      </c>
      <c r="D881" s="7">
        <v>3.7</v>
      </c>
    </row>
    <row r="882" spans="1:5" x14ac:dyDescent="0.25">
      <c r="A882" t="str">
        <f>HYPERLINK("https://www.773grp.com/globalSearch/LM75BIMM-5-NOPB/page-1", "LM75BIMM-5-NOPB")</f>
        <v>LM75BIMM-5-NOPB</v>
      </c>
      <c r="B882" s="3" t="str">
        <f>HYPERLINK("https://www.773grp.com/manufacturer/national-semiconductor?pageNo=77", "National Semiconductor")</f>
        <v>National Semiconductor</v>
      </c>
      <c r="C882" s="6">
        <v>1000</v>
      </c>
      <c r="D882" s="7">
        <v>3.7</v>
      </c>
    </row>
    <row r="883" spans="1:5" x14ac:dyDescent="0.25">
      <c r="A883" t="str">
        <f>HYPERLINK("https://www.773grp.com/globalSearch/LM75BIMMX-3-NOPB/page-1", "LM75BIMMX-3-NOPB")</f>
        <v>LM75BIMMX-3-NOPB</v>
      </c>
      <c r="B883" s="3" t="str">
        <f>HYPERLINK("https://www.773grp.com/manufacturer/national-semiconductor?pageNo=78", "National Semiconductor")</f>
        <v>National Semiconductor</v>
      </c>
      <c r="C883" s="6">
        <v>10500</v>
      </c>
      <c r="D883" s="7">
        <v>3.7</v>
      </c>
    </row>
    <row r="884" spans="1:5" x14ac:dyDescent="0.25">
      <c r="A884" t="str">
        <f>HYPERLINK("https://www.773grp.com/globalSearch/LM75BIMMX-3-NOPB/page-1", "LM75BIMMX-3-NOPB")</f>
        <v>LM75BIMMX-3-NOPB</v>
      </c>
      <c r="B884" s="3" t="str">
        <f>HYPERLINK("https://www.773grp.com/manufacturer/national-semiconductor?pageNo=79", "National Semiconductor")</f>
        <v>National Semiconductor</v>
      </c>
      <c r="C884" s="6">
        <v>8866</v>
      </c>
      <c r="D884" s="7">
        <v>3.7</v>
      </c>
    </row>
    <row r="885" spans="1:5" x14ac:dyDescent="0.25">
      <c r="A885" t="str">
        <f>HYPERLINK("https://www.773grp.com/globalSearch/LM75BIMMX-5-NOPB/page-1", "LM75BIMMX-5-NOPB")</f>
        <v>LM75BIMMX-5-NOPB</v>
      </c>
      <c r="B885" s="3" t="str">
        <f>HYPERLINK("https://www.773grp.com/manufacturer/national-semiconductor?pageNo=80", "National Semiconductor")</f>
        <v>National Semiconductor</v>
      </c>
      <c r="C885" s="6">
        <v>7000</v>
      </c>
      <c r="D885" s="7">
        <v>3.7</v>
      </c>
      <c r="E885" t="s">
        <v>12</v>
      </c>
    </row>
    <row r="886" spans="1:5" x14ac:dyDescent="0.25">
      <c r="A886" t="str">
        <f>HYPERLINK("https://www.773grp.com/globalSearch/LM75BIMX-5-NOPB/page-1", "LM75BIMX-5-NOPB")</f>
        <v>LM75BIMX-5-NOPB</v>
      </c>
      <c r="B886" s="3" t="str">
        <f>HYPERLINK("https://www.773grp.com/manufacturer/national-semiconductor?pageNo=81", "National Semiconductor")</f>
        <v>National Semiconductor</v>
      </c>
      <c r="C886" s="6">
        <v>4720</v>
      </c>
      <c r="D886" s="7">
        <v>3.7</v>
      </c>
      <c r="E886" t="s">
        <v>12</v>
      </c>
    </row>
    <row r="887" spans="1:5" x14ac:dyDescent="0.25">
      <c r="A887" t="str">
        <f>HYPERLINK("https://www.773grp.com/globalSearch/LM95241CIMM-NOPB/page-1", "LM95241CIMM-NOPB")</f>
        <v>LM95241CIMM-NOPB</v>
      </c>
      <c r="B887" s="3" t="str">
        <f>HYPERLINK("https://www.773grp.com/manufacturer/national-semiconductor?pageNo=82", "National Semiconductor")</f>
        <v>National Semiconductor</v>
      </c>
      <c r="C887" s="6">
        <v>1870</v>
      </c>
      <c r="D887" s="7">
        <v>3.7</v>
      </c>
    </row>
    <row r="888" spans="1:5" x14ac:dyDescent="0.25">
      <c r="A888" t="str">
        <f>HYPERLINK("https://www.773grp.com/globalSearch/LM95241CIMM-1-NOPB/page-1", "LM95241CIMM-1-NOPB")</f>
        <v>LM95241CIMM-1-NOPB</v>
      </c>
      <c r="B888" s="3" t="str">
        <f>HYPERLINK("https://www.773grp.com/manufacturer/national-semiconductor?pageNo=83", "National Semiconductor")</f>
        <v>National Semiconductor</v>
      </c>
      <c r="C888" s="6">
        <v>1543</v>
      </c>
      <c r="D888" s="7">
        <v>3.7</v>
      </c>
    </row>
    <row r="889" spans="1:5" x14ac:dyDescent="0.25">
      <c r="A889" t="str">
        <f>HYPERLINK("https://www.773grp.com/globalSearch/LMH6645MF-NOPB/page-1", "LMH6645MF-NOPB")</f>
        <v>LMH6645MF-NOPB</v>
      </c>
      <c r="B889" s="3" t="str">
        <f>HYPERLINK("https://www.773grp.com/manufacturer/national-semiconductor?pageNo=84", "National Semiconductor")</f>
        <v>National Semiconductor</v>
      </c>
      <c r="C889" s="6">
        <v>9000</v>
      </c>
      <c r="D889" s="7">
        <v>3.7</v>
      </c>
      <c r="E889" t="s">
        <v>13</v>
      </c>
    </row>
    <row r="890" spans="1:5" x14ac:dyDescent="0.25">
      <c r="A890" t="str">
        <f>HYPERLINK("https://www.773grp.com/globalSearch/LMV712MMX/page-1", "LMV712MMX")</f>
        <v>LMV712MMX</v>
      </c>
      <c r="B890" s="3" t="str">
        <f>HYPERLINK("https://www.773grp.com/manufacturer/national-semiconductor?pageNo=85", "National Semiconductor")</f>
        <v>National Semiconductor</v>
      </c>
      <c r="C890" s="6">
        <v>7000</v>
      </c>
      <c r="D890" s="7">
        <v>3.7</v>
      </c>
    </row>
    <row r="891" spans="1:5" x14ac:dyDescent="0.25">
      <c r="A891" t="str">
        <f>HYPERLINK("https://www.773grp.com/globalSearch/LMV722M-NOPB/page-1", "LMV722M-NOPB")</f>
        <v>LMV722M-NOPB</v>
      </c>
      <c r="B891" s="3" t="str">
        <f>HYPERLINK("https://www.773grp.com/manufacturer/national-semiconductor?pageNo=86", "National Semiconductor")</f>
        <v>National Semiconductor</v>
      </c>
      <c r="C891" s="6">
        <v>285</v>
      </c>
      <c r="D891" s="7">
        <v>3.7</v>
      </c>
      <c r="E891" t="s">
        <v>13</v>
      </c>
    </row>
    <row r="892" spans="1:5" x14ac:dyDescent="0.25">
      <c r="A892" t="str">
        <f>HYPERLINK("https://www.773grp.com/globalSearch/LP2966IMM-1833-NOPB/page-1", "LP2966IMM-1833-NOPB")</f>
        <v>LP2966IMM-1833-NOPB</v>
      </c>
      <c r="B892" s="3" t="str">
        <f>HYPERLINK("https://www.773grp.com/manufacturer/national-semiconductor?pageNo=87", "National Semiconductor")</f>
        <v>National Semiconductor</v>
      </c>
      <c r="C892" s="6">
        <v>2890</v>
      </c>
      <c r="D892" s="7">
        <v>3.7</v>
      </c>
      <c r="E892" t="s">
        <v>44</v>
      </c>
    </row>
    <row r="893" spans="1:5" x14ac:dyDescent="0.25">
      <c r="A893" t="str">
        <f>HYPERLINK("https://www.773grp.com/globalSearch/LP2966IMM-2518-NOPB/page-1", "LP2966IMM-2518-NOPB")</f>
        <v>LP2966IMM-2518-NOPB</v>
      </c>
      <c r="B893" s="3" t="str">
        <f>HYPERLINK("https://www.773grp.com/manufacturer/national-semiconductor?pageNo=88", "National Semiconductor")</f>
        <v>National Semiconductor</v>
      </c>
      <c r="C893" s="6">
        <v>6870</v>
      </c>
      <c r="D893" s="7">
        <v>3.7</v>
      </c>
    </row>
    <row r="894" spans="1:5" x14ac:dyDescent="0.25">
      <c r="A894" t="str">
        <f>HYPERLINK("https://www.773grp.com/globalSearch/LP2966IMM-2525-NOPB/page-1", "LP2966IMM-2525-NOPB")</f>
        <v>LP2966IMM-2525-NOPB</v>
      </c>
      <c r="B894" s="3" t="str">
        <f>HYPERLINK("https://www.773grp.com/manufacturer/national-semiconductor?pageNo=89", "National Semiconductor")</f>
        <v>National Semiconductor</v>
      </c>
      <c r="C894" s="6">
        <v>950</v>
      </c>
      <c r="D894" s="7">
        <v>3.7</v>
      </c>
      <c r="E894" t="s">
        <v>44</v>
      </c>
    </row>
    <row r="895" spans="1:5" x14ac:dyDescent="0.25">
      <c r="A895" t="str">
        <f>HYPERLINK("https://www.773grp.com/globalSearch/LP2966IMM-2828-NOPB/page-1", "LP2966IMM-2828-NOPB")</f>
        <v>LP2966IMM-2828-NOPB</v>
      </c>
      <c r="B895" s="3" t="str">
        <f>HYPERLINK("https://www.773grp.com/manufacturer/national-semiconductor?pageNo=90", "National Semiconductor")</f>
        <v>National Semiconductor</v>
      </c>
      <c r="C895" s="6">
        <v>5000</v>
      </c>
      <c r="D895" s="7">
        <v>3.7</v>
      </c>
      <c r="E895" t="s">
        <v>44</v>
      </c>
    </row>
    <row r="896" spans="1:5" x14ac:dyDescent="0.25">
      <c r="A896" t="str">
        <f>HYPERLINK("https://www.773grp.com/globalSearch/LP2966IMM-3325-NOPB/page-1", "LP2966IMM-3325-NOPB")</f>
        <v>LP2966IMM-3325-NOPB</v>
      </c>
      <c r="B896" s="3" t="str">
        <f>HYPERLINK("https://www.773grp.com/manufacturer/national-semiconductor?pageNo=91", "National Semiconductor")</f>
        <v>National Semiconductor</v>
      </c>
      <c r="C896" s="6">
        <v>1000</v>
      </c>
      <c r="D896" s="7">
        <v>3.7</v>
      </c>
    </row>
    <row r="897" spans="1:5" x14ac:dyDescent="0.25">
      <c r="A897" t="str">
        <f>HYPERLINK("https://www.773grp.com/globalSearch/LP2966IMM-3325-NOPB/page-1", "LP2966IMM-3325-NOPB")</f>
        <v>LP2966IMM-3325-NOPB</v>
      </c>
      <c r="B897" s="3" t="str">
        <f>HYPERLINK("https://www.773grp.com/manufacturer/national-semiconductor?pageNo=92", "National Semiconductor")</f>
        <v>National Semiconductor</v>
      </c>
      <c r="C897" s="6">
        <v>874</v>
      </c>
      <c r="D897" s="7">
        <v>3.7</v>
      </c>
    </row>
    <row r="898" spans="1:5" x14ac:dyDescent="0.25">
      <c r="A898" t="str">
        <f>HYPERLINK("https://www.773grp.com/globalSearch/LP2966IMM-5050/page-1", "LP2966IMM-5050")</f>
        <v>LP2966IMM-5050</v>
      </c>
      <c r="B898" s="3" t="str">
        <f>HYPERLINK("https://www.773grp.com/manufacturer/national-semiconductor?pageNo=93", "National Semiconductor")</f>
        <v>National Semiconductor</v>
      </c>
      <c r="C898" s="6">
        <v>1000</v>
      </c>
      <c r="D898" s="7">
        <v>3.7</v>
      </c>
    </row>
    <row r="899" spans="1:5" x14ac:dyDescent="0.25">
      <c r="A899" t="str">
        <f>HYPERLINK("https://www.773grp.com/globalSearch/LP2966IMM-5050-NOPB/page-1", "LP2966IMM-5050-NOPB")</f>
        <v>LP2966IMM-5050-NOPB</v>
      </c>
      <c r="B899" s="3" t="str">
        <f>HYPERLINK("https://www.773grp.com/manufacturer/national-semiconductor?pageNo=94", "National Semiconductor")</f>
        <v>National Semiconductor</v>
      </c>
      <c r="C899" s="6">
        <v>1999</v>
      </c>
      <c r="D899" s="7">
        <v>3.7</v>
      </c>
      <c r="E899" t="s">
        <v>44</v>
      </c>
    </row>
    <row r="900" spans="1:5" x14ac:dyDescent="0.25">
      <c r="A900" t="str">
        <f>HYPERLINK("https://www.773grp.com/globalSearch/LP2975AIMM-3.3-NOPB/page-1", "LP2975AIMM-3.3-NOPB")</f>
        <v>LP2975AIMM-3.3-NOPB</v>
      </c>
      <c r="B900" s="3" t="str">
        <f>HYPERLINK("https://www.773grp.com/manufacturer/national-semiconductor?pageNo=95", "National Semiconductor")</f>
        <v>National Semiconductor</v>
      </c>
      <c r="C900" s="6">
        <v>20000</v>
      </c>
      <c r="D900" s="7">
        <v>3.7</v>
      </c>
      <c r="E900" t="s">
        <v>40</v>
      </c>
    </row>
    <row r="901" spans="1:5" x14ac:dyDescent="0.25">
      <c r="A901" t="str">
        <f>HYPERLINK("https://www.773grp.com/globalSearch/LP2975AIMMX-5.0-NOPB/page-1", "LP2975AIMMX-5.0-NOPB")</f>
        <v>LP2975AIMMX-5.0-NOPB</v>
      </c>
      <c r="B901" s="3" t="str">
        <f>HYPERLINK("https://www.773grp.com/manufacturer/national-semiconductor?pageNo=96", "National Semiconductor")</f>
        <v>National Semiconductor</v>
      </c>
      <c r="C901" s="6">
        <v>7000</v>
      </c>
      <c r="D901" s="7">
        <v>3.7</v>
      </c>
    </row>
    <row r="902" spans="1:5" x14ac:dyDescent="0.25">
      <c r="A902" t="str">
        <f>HYPERLINK("https://www.773grp.com/globalSearch/LP2986ILD-3.3-NOPB/page-1", "LP2986ILD-3.3-NOPB")</f>
        <v>LP2986ILD-3.3-NOPB</v>
      </c>
      <c r="B902" s="3" t="str">
        <f>HYPERLINK("https://www.773grp.com/manufacturer/national-semiconductor?pageNo=97", "National Semiconductor")</f>
        <v>National Semiconductor</v>
      </c>
      <c r="C902" s="6">
        <v>1000</v>
      </c>
      <c r="D902" s="7">
        <v>3.7</v>
      </c>
      <c r="E902" t="s">
        <v>27</v>
      </c>
    </row>
    <row r="903" spans="1:5" x14ac:dyDescent="0.25">
      <c r="A903" t="str">
        <f>HYPERLINK("https://www.773grp.com/globalSearch/LP2986IMM-3.0-NOPB/page-1", "LP2986IMM-3.0-NOPB")</f>
        <v>LP2986IMM-3.0-NOPB</v>
      </c>
      <c r="B903" s="3" t="str">
        <f>HYPERLINK("https://www.773grp.com/manufacturer/national-semiconductor?pageNo=98", "National Semiconductor")</f>
        <v>National Semiconductor</v>
      </c>
      <c r="C903" s="6">
        <v>1159</v>
      </c>
      <c r="D903" s="7">
        <v>3.7</v>
      </c>
      <c r="E903" t="s">
        <v>27</v>
      </c>
    </row>
    <row r="904" spans="1:5" x14ac:dyDescent="0.25">
      <c r="A904" t="str">
        <f>HYPERLINK("https://www.773grp.com/globalSearch/LP2986IMM-3.3-NOPB/page-1", "LP2986IMM-3.3-NOPB")</f>
        <v>LP2986IMM-3.3-NOPB</v>
      </c>
      <c r="B904" s="3" t="str">
        <f>HYPERLINK("https://www.773grp.com/manufacturer/national-semiconductor?pageNo=99", "National Semiconductor")</f>
        <v>National Semiconductor</v>
      </c>
      <c r="C904" s="6">
        <v>1755</v>
      </c>
      <c r="D904" s="7">
        <v>3.7</v>
      </c>
      <c r="E904" t="s">
        <v>27</v>
      </c>
    </row>
    <row r="905" spans="1:5" x14ac:dyDescent="0.25">
      <c r="A905" t="str">
        <f>HYPERLINK("https://www.773grp.com/globalSearch/LP3879MRX-1.0-NOPB/page-1", "LP3879MRX-1.0-NOPB")</f>
        <v>LP3879MRX-1.0-NOPB</v>
      </c>
      <c r="B905" s="3" t="str">
        <f>HYPERLINK("https://www.773grp.com/manufacturer/national-semiconductor?pageNo=100", "National Semiconductor")</f>
        <v>National Semiconductor</v>
      </c>
      <c r="C905" s="6">
        <v>2500</v>
      </c>
      <c r="D905" s="7">
        <v>3.7</v>
      </c>
    </row>
    <row r="906" spans="1:5" x14ac:dyDescent="0.25">
      <c r="A906" t="str">
        <f>HYPERLINK("https://www.773grp.com/globalSearch/LP3879MRX-1.2-NOPB/page-1", "LP3879MRX-1.2-NOPB")</f>
        <v>LP3879MRX-1.2-NOPB</v>
      </c>
      <c r="B906" s="3" t="str">
        <f>HYPERLINK("https://www.773grp.com/manufacturer/national-semiconductor?pageNo=101", "National Semiconductor")</f>
        <v>National Semiconductor</v>
      </c>
      <c r="C906" s="6">
        <v>7500</v>
      </c>
      <c r="D906" s="7">
        <v>3.7</v>
      </c>
    </row>
    <row r="907" spans="1:5" x14ac:dyDescent="0.25">
      <c r="A907" t="str">
        <f>HYPERLINK("https://www.773grp.com/globalSearch/LP3879SD-1.0-NOPB/page-1", "LP3879SD-1.0-NOPB")</f>
        <v>LP3879SD-1.0-NOPB</v>
      </c>
      <c r="B907" s="3" t="str">
        <f>HYPERLINK("https://www.773grp.com/manufacturer/national-semiconductor?pageNo=102", "National Semiconductor")</f>
        <v>National Semiconductor</v>
      </c>
      <c r="C907" s="6">
        <v>1743</v>
      </c>
      <c r="D907" s="7">
        <v>3.7</v>
      </c>
    </row>
    <row r="908" spans="1:5" x14ac:dyDescent="0.25">
      <c r="A908" t="str">
        <f>HYPERLINK("https://www.773grp.com/globalSearch/LP3879SD-1.2-NOPB/page-1", "LP3879SD-1.2-NOPB")</f>
        <v>LP3879SD-1.2-NOPB</v>
      </c>
      <c r="B908" s="3" t="str">
        <f>HYPERLINK("https://www.773grp.com/manufacturer/national-semiconductor?pageNo=103", "National Semiconductor")</f>
        <v>National Semiconductor</v>
      </c>
      <c r="C908" s="6">
        <v>7</v>
      </c>
      <c r="D908" s="7">
        <v>3.7</v>
      </c>
    </row>
    <row r="909" spans="1:5" x14ac:dyDescent="0.25">
      <c r="A909" t="str">
        <f>HYPERLINK("https://www.773grp.com/globalSearch/TXS0104EGXUR/page-1", "TXS0104EGXUR")</f>
        <v>TXS0104EGXUR</v>
      </c>
      <c r="B909" s="3" t="str">
        <f>HYPERLINK("https://www.773grp.com/manufacturer/national-semiconductor?pageNo=104", "National Semiconductor")</f>
        <v>National Semiconductor</v>
      </c>
      <c r="C909" s="6">
        <v>20000</v>
      </c>
      <c r="D909" s="7">
        <v>3.7</v>
      </c>
    </row>
    <row r="910" spans="1:5" x14ac:dyDescent="0.25">
      <c r="A910" t="str">
        <f>HYPERLINK("https://www.773grp.com/globalSearch/DM54LS08-1E-MIL/page-1", "DM54LS08-1E-MIL")</f>
        <v>DM54LS08-1E-MIL</v>
      </c>
      <c r="B910" s="3" t="str">
        <f>HYPERLINK("https://www.773grp.com/manufacturer/national-semiconductor?pageNo=105", "National Semiconductor")</f>
        <v>National Semiconductor</v>
      </c>
      <c r="C910" s="6">
        <v>121</v>
      </c>
      <c r="D910" s="7">
        <v>3.34</v>
      </c>
    </row>
    <row r="911" spans="1:5" x14ac:dyDescent="0.25">
      <c r="A911" t="str">
        <f>HYPERLINK("https://www.773grp.com/globalSearch/DM54LS27-1E-MIL/page-1", "DM54LS27-1E-MIL")</f>
        <v>DM54LS27-1E-MIL</v>
      </c>
      <c r="B911" s="3" t="str">
        <f>HYPERLINK("https://www.773grp.com/manufacturer/national-semiconductor?pageNo=106", "National Semiconductor")</f>
        <v>National Semiconductor</v>
      </c>
      <c r="C911" s="6">
        <v>45</v>
      </c>
      <c r="D911" s="7">
        <v>3.34</v>
      </c>
    </row>
    <row r="912" spans="1:5" x14ac:dyDescent="0.25">
      <c r="A912" t="str">
        <f>HYPERLINK("https://www.773grp.com/globalSearch/DS0026CMM/page-1", "DS0026CMM")</f>
        <v>DS0026CMM</v>
      </c>
      <c r="B912" s="3" t="str">
        <f>HYPERLINK("https://www.773grp.com/manufacturer/national-semiconductor?pageNo=107", "National Semiconductor")</f>
        <v>National Semiconductor</v>
      </c>
      <c r="C912" s="6">
        <v>17000</v>
      </c>
      <c r="D912" s="7">
        <v>3.34</v>
      </c>
      <c r="E912" t="s">
        <v>34</v>
      </c>
    </row>
    <row r="913" spans="1:5" x14ac:dyDescent="0.25">
      <c r="A913" t="str">
        <f>HYPERLINK("https://www.773grp.com/globalSearch/DS26LV31TN/page-1", "DS26LV31TN")</f>
        <v>DS26LV31TN</v>
      </c>
      <c r="B913" s="3" t="str">
        <f>HYPERLINK("https://www.773grp.com/manufacturer/national-semiconductor?pageNo=108", "National Semiconductor")</f>
        <v>National Semiconductor</v>
      </c>
      <c r="C913" s="6">
        <v>4550</v>
      </c>
      <c r="D913" s="7">
        <v>3.34</v>
      </c>
      <c r="E913" t="s">
        <v>21</v>
      </c>
    </row>
    <row r="914" spans="1:5" x14ac:dyDescent="0.25">
      <c r="A914" t="str">
        <f>HYPERLINK("https://www.773grp.com/globalSearch/DS90LV019TM-NOPB/page-1", "DS90LV019TM-NOPB")</f>
        <v>DS90LV019TM-NOPB</v>
      </c>
      <c r="B914" s="3" t="str">
        <f>HYPERLINK("https://www.773grp.com/manufacturer/national-semiconductor?pageNo=109", "National Semiconductor")</f>
        <v>National Semiconductor</v>
      </c>
      <c r="C914" s="6">
        <v>1980</v>
      </c>
      <c r="D914" s="7">
        <v>3.34</v>
      </c>
      <c r="E914" t="s">
        <v>21</v>
      </c>
    </row>
    <row r="915" spans="1:5" x14ac:dyDescent="0.25">
      <c r="A915" t="str">
        <f>HYPERLINK("https://www.773grp.com/globalSearch/DS90LV019TMTC-NOPB/page-1", "DS90LV019TMTC-NOPB")</f>
        <v>DS90LV019TMTC-NOPB</v>
      </c>
      <c r="B915" s="3" t="str">
        <f>HYPERLINK("https://www.773grp.com/manufacturer/national-semiconductor?pageNo=110", "National Semiconductor")</f>
        <v>National Semiconductor</v>
      </c>
      <c r="C915" s="6">
        <v>342</v>
      </c>
      <c r="D915" s="7">
        <v>3.34</v>
      </c>
      <c r="E915" t="s">
        <v>21</v>
      </c>
    </row>
    <row r="916" spans="1:5" x14ac:dyDescent="0.25">
      <c r="A916" t="str">
        <f>HYPERLINK("https://www.773grp.com/globalSearch/DS90LV027ATM/page-1", "DS90LV027ATM")</f>
        <v>DS90LV027ATM</v>
      </c>
      <c r="B916" s="3" t="str">
        <f>HYPERLINK("https://www.773grp.com/manufacturer/national-semiconductor?pageNo=111", "National Semiconductor")</f>
        <v>National Semiconductor</v>
      </c>
      <c r="C916" s="6">
        <v>2361</v>
      </c>
      <c r="D916" s="7">
        <v>3.34</v>
      </c>
      <c r="E916" t="s">
        <v>21</v>
      </c>
    </row>
    <row r="917" spans="1:5" x14ac:dyDescent="0.25">
      <c r="A917" t="str">
        <f>HYPERLINK("https://www.773grp.com/globalSearch/DS90LV028ATMX/page-1", "DS90LV028ATMX")</f>
        <v>DS90LV028ATMX</v>
      </c>
      <c r="B917" s="3" t="str">
        <f>HYPERLINK("https://www.773grp.com/manufacturer/national-semiconductor?pageNo=112", "National Semiconductor")</f>
        <v>National Semiconductor</v>
      </c>
      <c r="C917" s="6">
        <v>5000</v>
      </c>
      <c r="D917" s="7">
        <v>3.34</v>
      </c>
      <c r="E917" t="s">
        <v>21</v>
      </c>
    </row>
    <row r="918" spans="1:5" x14ac:dyDescent="0.25">
      <c r="A918" t="str">
        <f>HYPERLINK("https://www.773grp.com/globalSearch/LM2576S-12-NOPB/page-1", "LM2576S-12-NOPB")</f>
        <v>LM2576S-12-NOPB</v>
      </c>
      <c r="B918" s="3" t="str">
        <f>HYPERLINK("https://www.773grp.com/manufacturer/national-semiconductor?pageNo=113", "National Semiconductor")</f>
        <v>National Semiconductor</v>
      </c>
      <c r="C918" s="6">
        <v>7195</v>
      </c>
      <c r="D918" s="7">
        <v>3.34</v>
      </c>
      <c r="E918" t="s">
        <v>7</v>
      </c>
    </row>
    <row r="919" spans="1:5" x14ac:dyDescent="0.25">
      <c r="A919" t="str">
        <f>HYPERLINK("https://www.773grp.com/globalSearch/LM2576SX-3.3/page-1", "LM2576SX-3.3")</f>
        <v>LM2576SX-3.3</v>
      </c>
      <c r="B919" s="3" t="str">
        <f>HYPERLINK("https://www.773grp.com/manufacturer/national-semiconductor?pageNo=114", "National Semiconductor")</f>
        <v>National Semiconductor</v>
      </c>
      <c r="C919" s="6">
        <v>7500</v>
      </c>
      <c r="D919" s="7">
        <v>3.34</v>
      </c>
      <c r="E919" t="s">
        <v>7</v>
      </c>
    </row>
    <row r="920" spans="1:5" x14ac:dyDescent="0.25">
      <c r="A920" t="str">
        <f>HYPERLINK("https://www.773grp.com/globalSearch/LM2576SX-5.0/page-1", "LM2576SX-5.0")</f>
        <v>LM2576SX-5.0</v>
      </c>
      <c r="B920" s="3" t="str">
        <f>HYPERLINK("https://www.773grp.com/manufacturer/national-semiconductor?pageNo=115", "National Semiconductor")</f>
        <v>National Semiconductor</v>
      </c>
      <c r="C920" s="6">
        <v>20000</v>
      </c>
      <c r="D920" s="7">
        <v>3.34</v>
      </c>
      <c r="E920" t="s">
        <v>7</v>
      </c>
    </row>
    <row r="921" spans="1:5" x14ac:dyDescent="0.25">
      <c r="A921" t="str">
        <f>HYPERLINK("https://www.773grp.com/globalSearch/LM2576SX-5.0-NOPB/page-1", "LM2576SX-5.0-NOPB")</f>
        <v>LM2576SX-5.0-NOPB</v>
      </c>
      <c r="B921" s="3" t="str">
        <f>HYPERLINK("https://www.773grp.com/manufacturer/national-semiconductor?pageNo=116", "National Semiconductor")</f>
        <v>National Semiconductor</v>
      </c>
      <c r="C921" s="6">
        <v>2673</v>
      </c>
      <c r="D921" s="7">
        <v>3.34</v>
      </c>
      <c r="E921" t="s">
        <v>7</v>
      </c>
    </row>
    <row r="922" spans="1:5" x14ac:dyDescent="0.25">
      <c r="A922" t="str">
        <f>HYPERLINK("https://www.773grp.com/globalSearch/LM2576SX-ADJ/page-1", "LM2576SX-ADJ")</f>
        <v>LM2576SX-ADJ</v>
      </c>
      <c r="B922" s="3" t="str">
        <f>HYPERLINK("https://www.773grp.com/manufacturer/national-semiconductor?pageNo=117", "National Semiconductor")</f>
        <v>National Semiconductor</v>
      </c>
      <c r="C922" s="6">
        <v>7500</v>
      </c>
      <c r="D922" s="7">
        <v>3.34</v>
      </c>
      <c r="E922" t="s">
        <v>7</v>
      </c>
    </row>
    <row r="923" spans="1:5" x14ac:dyDescent="0.25">
      <c r="A923" t="str">
        <f>HYPERLINK("https://www.773grp.com/globalSearch/LM2576SX-ADJ-NOPB/page-1", "LM2576SX-ADJ-NOPB")</f>
        <v>LM2576SX-ADJ-NOPB</v>
      </c>
      <c r="B923" s="3" t="str">
        <f>HYPERLINK("https://www.773grp.com/manufacturer/national-semiconductor?pageNo=118", "National Semiconductor")</f>
        <v>National Semiconductor</v>
      </c>
      <c r="C923" s="6">
        <v>14037</v>
      </c>
      <c r="D923" s="7">
        <v>3.34</v>
      </c>
      <c r="E923" t="s">
        <v>7</v>
      </c>
    </row>
    <row r="924" spans="1:5" x14ac:dyDescent="0.25">
      <c r="A924" t="str">
        <f>HYPERLINK("https://www.773grp.com/globalSearch/LM2576T-12-LF03/page-1", "LM2576T-12-LF03")</f>
        <v>LM2576T-12-LF03</v>
      </c>
      <c r="B924" s="3" t="str">
        <f>HYPERLINK("https://www.773grp.com/manufacturer/national-semiconductor?pageNo=119", "National Semiconductor")</f>
        <v>National Semiconductor</v>
      </c>
      <c r="C924" s="6">
        <v>4</v>
      </c>
      <c r="D924" s="7">
        <v>3.34</v>
      </c>
    </row>
    <row r="925" spans="1:5" x14ac:dyDescent="0.25">
      <c r="A925" t="str">
        <f>HYPERLINK("https://www.773grp.com/globalSearch/LM2576T-12-NOPB/page-1", "LM2576T-12-NOPB")</f>
        <v>LM2576T-12-NOPB</v>
      </c>
      <c r="B925" s="3" t="str">
        <f>HYPERLINK("https://www.773grp.com/manufacturer/national-semiconductor?pageNo=120", "National Semiconductor")</f>
        <v>National Semiconductor</v>
      </c>
      <c r="C925" s="6">
        <v>4559</v>
      </c>
      <c r="D925" s="7">
        <v>3.34</v>
      </c>
    </row>
    <row r="926" spans="1:5" x14ac:dyDescent="0.25">
      <c r="A926" t="str">
        <f>HYPERLINK("https://www.773grp.com/globalSearch/LM2576T-15-NOPB/page-1", "LM2576T-15-NOPB")</f>
        <v>LM2576T-15-NOPB</v>
      </c>
      <c r="B926" s="3" t="str">
        <f>HYPERLINK("https://www.773grp.com/manufacturer/national-semiconductor?pageNo=121", "National Semiconductor")</f>
        <v>National Semiconductor</v>
      </c>
      <c r="C926" s="6">
        <v>177</v>
      </c>
      <c r="D926" s="7">
        <v>3.34</v>
      </c>
      <c r="E926" t="s">
        <v>7</v>
      </c>
    </row>
    <row r="927" spans="1:5" x14ac:dyDescent="0.25">
      <c r="A927" t="str">
        <f>HYPERLINK("https://www.773grp.com/globalSearch/LM2576T-3.3/page-1", "LM2576T-3.3")</f>
        <v>LM2576T-3.3</v>
      </c>
      <c r="B927" s="3" t="str">
        <f>HYPERLINK("https://www.773grp.com/manufacturer/national-semiconductor?pageNo=122", "National Semiconductor")</f>
        <v>National Semiconductor</v>
      </c>
      <c r="C927" s="6">
        <v>13138</v>
      </c>
      <c r="D927" s="7">
        <v>3.34</v>
      </c>
      <c r="E927" t="s">
        <v>7</v>
      </c>
    </row>
    <row r="928" spans="1:5" x14ac:dyDescent="0.25">
      <c r="A928" t="str">
        <f>HYPERLINK("https://www.773grp.com/globalSearch/LM2576T-3.3-LF03/page-1", "LM2576T-3.3-LF03")</f>
        <v>LM2576T-3.3-LF03</v>
      </c>
      <c r="B928" s="3" t="str">
        <f>HYPERLINK("https://www.773grp.com/manufacturer/national-semiconductor?pageNo=123", "National Semiconductor")</f>
        <v>National Semiconductor</v>
      </c>
      <c r="C928" s="6">
        <v>1097</v>
      </c>
      <c r="D928" s="7">
        <v>3.34</v>
      </c>
    </row>
    <row r="929" spans="1:5" x14ac:dyDescent="0.25">
      <c r="A929" t="str">
        <f>HYPERLINK("https://www.773grp.com/globalSearch/LM2576T-3.3-NOPB/page-1", "LM2576T-3.3-NOPB")</f>
        <v>LM2576T-3.3-NOPB</v>
      </c>
      <c r="B929" s="3" t="str">
        <f>HYPERLINK("https://www.773grp.com/manufacturer/national-semiconductor?pageNo=124", "National Semiconductor")</f>
        <v>National Semiconductor</v>
      </c>
      <c r="C929" s="6">
        <v>6038</v>
      </c>
      <c r="D929" s="7">
        <v>3.34</v>
      </c>
      <c r="E929" t="s">
        <v>7</v>
      </c>
    </row>
    <row r="930" spans="1:5" x14ac:dyDescent="0.25">
      <c r="A930" t="str">
        <f>HYPERLINK("https://www.773grp.com/globalSearch/LM2576T-5.0-LF03/page-1", "LM2576T-5.0-LF03")</f>
        <v>LM2576T-5.0-LF03</v>
      </c>
      <c r="B930" s="3" t="str">
        <f>HYPERLINK("https://www.773grp.com/manufacturer/national-semiconductor?pageNo=125", "National Semiconductor")</f>
        <v>National Semiconductor</v>
      </c>
      <c r="C930" s="6">
        <v>1674</v>
      </c>
      <c r="D930" s="7">
        <v>3.34</v>
      </c>
    </row>
    <row r="931" spans="1:5" x14ac:dyDescent="0.25">
      <c r="A931" t="str">
        <f>HYPERLINK("https://www.773grp.com/globalSearch/LM2576T-5.0-NOPB/page-1", "LM2576T-5.0-NOPB")</f>
        <v>LM2576T-5.0-NOPB</v>
      </c>
      <c r="B931" s="3" t="str">
        <f>HYPERLINK("https://www.773grp.com/manufacturer/national-semiconductor?pageNo=126", "National Semiconductor")</f>
        <v>National Semiconductor</v>
      </c>
      <c r="C931" s="6">
        <v>5157</v>
      </c>
      <c r="D931" s="7">
        <v>3.34</v>
      </c>
      <c r="E931" t="s">
        <v>7</v>
      </c>
    </row>
    <row r="932" spans="1:5" x14ac:dyDescent="0.25">
      <c r="A932" t="str">
        <f>HYPERLINK("https://www.773grp.com/globalSearch/LM2576T-ADJ-NOPB/page-1", "LM2576T-ADJ-NOPB")</f>
        <v>LM2576T-ADJ-NOPB</v>
      </c>
      <c r="B932" s="3" t="str">
        <f>HYPERLINK("https://www.773grp.com/manufacturer/national-semiconductor?pageNo=127", "National Semiconductor")</f>
        <v>National Semiconductor</v>
      </c>
      <c r="C932" s="6">
        <v>3145</v>
      </c>
      <c r="D932" s="7">
        <v>3.34</v>
      </c>
      <c r="E932" t="s">
        <v>7</v>
      </c>
    </row>
    <row r="933" spans="1:5" x14ac:dyDescent="0.25">
      <c r="A933" t="str">
        <f>HYPERLINK("https://www.773grp.com/globalSearch/LM285BXM-1.2-NOPB/page-1", "LM285BXM-1.2-NOPB")</f>
        <v>LM285BXM-1.2-NOPB</v>
      </c>
      <c r="B933" s="3" t="str">
        <f>HYPERLINK("https://www.773grp.com/manufacturer/national-semiconductor?pageNo=128", "National Semiconductor")</f>
        <v>National Semiconductor</v>
      </c>
      <c r="C933" s="6">
        <v>2105</v>
      </c>
      <c r="D933" s="7">
        <v>3.34</v>
      </c>
      <c r="E933" t="s">
        <v>17</v>
      </c>
    </row>
    <row r="934" spans="1:5" x14ac:dyDescent="0.25">
      <c r="A934" t="str">
        <f>HYPERLINK("https://www.773grp.com/globalSearch/LM285BXM-2.5-NOPB/page-1", "LM285BXM-2.5-NOPB")</f>
        <v>LM285BXM-2.5-NOPB</v>
      </c>
      <c r="B934" s="3" t="str">
        <f>HYPERLINK("https://www.773grp.com/manufacturer/national-semiconductor?pageNo=129", "National Semiconductor")</f>
        <v>National Semiconductor</v>
      </c>
      <c r="C934" s="6">
        <v>343</v>
      </c>
      <c r="D934" s="7">
        <v>3.34</v>
      </c>
      <c r="E934" t="s">
        <v>17</v>
      </c>
    </row>
    <row r="935" spans="1:5" x14ac:dyDescent="0.25">
      <c r="A935" t="str">
        <f>HYPERLINK("https://www.773grp.com/globalSearch/LM3621M/page-1", "LM3621M")</f>
        <v>LM3621M</v>
      </c>
      <c r="B935" s="3" t="str">
        <f>HYPERLINK("https://www.773grp.com/manufacturer/national-semiconductor?pageNo=130", "National Semiconductor")</f>
        <v>National Semiconductor</v>
      </c>
      <c r="C935" s="6">
        <v>86</v>
      </c>
      <c r="D935" s="7">
        <v>3.34</v>
      </c>
      <c r="E935" t="s">
        <v>7</v>
      </c>
    </row>
    <row r="936" spans="1:5" x14ac:dyDescent="0.25">
      <c r="A936" t="str">
        <f>HYPERLINK("https://www.773grp.com/globalSearch/LM3915N-1-NOPB/page-1", "LM3915N-1-NOPB")</f>
        <v>LM3915N-1-NOPB</v>
      </c>
      <c r="B936" s="3" t="str">
        <f>HYPERLINK("https://www.773grp.com/manufacturer/national-semiconductor?pageNo=131", "National Semiconductor")</f>
        <v>National Semiconductor</v>
      </c>
      <c r="C936" s="6">
        <v>86</v>
      </c>
      <c r="D936" s="7">
        <v>3.34</v>
      </c>
      <c r="E936" t="s">
        <v>10</v>
      </c>
    </row>
    <row r="937" spans="1:5" x14ac:dyDescent="0.25">
      <c r="A937" t="str">
        <f>HYPERLINK("https://www.773grp.com/globalSearch/LM4050AEM3-4.1-NOPB/page-1", "LM4050AEM3-4.1-NOPB")</f>
        <v>LM4050AEM3-4.1-NOPB</v>
      </c>
      <c r="B937" s="3" t="str">
        <f>HYPERLINK("https://www.773grp.com/manufacturer/national-semiconductor?pageNo=132", "National Semiconductor")</f>
        <v>National Semiconductor</v>
      </c>
      <c r="C937" s="6">
        <v>1809</v>
      </c>
      <c r="D937" s="7">
        <v>3.34</v>
      </c>
      <c r="E937" t="s">
        <v>17</v>
      </c>
    </row>
    <row r="938" spans="1:5" x14ac:dyDescent="0.25">
      <c r="A938" t="str">
        <f>HYPERLINK("https://www.773grp.com/globalSearch/LM4873MTE/page-1", "LM4873MTE")</f>
        <v>LM4873MTE</v>
      </c>
      <c r="B938" s="3" t="str">
        <f>HYPERLINK("https://www.773grp.com/manufacturer/national-semiconductor?pageNo=133", "National Semiconductor")</f>
        <v>National Semiconductor</v>
      </c>
      <c r="C938" s="6">
        <v>145</v>
      </c>
      <c r="D938" s="7">
        <v>3.34</v>
      </c>
      <c r="E938" t="s">
        <v>18</v>
      </c>
    </row>
    <row r="939" spans="1:5" x14ac:dyDescent="0.25">
      <c r="A939" t="str">
        <f>HYPERLINK("https://www.773grp.com/globalSearch/LM5027SQ-NOPB/page-1", "LM5027SQ-NOPB")</f>
        <v>LM5027SQ-NOPB</v>
      </c>
      <c r="B939" s="3" t="str">
        <f>HYPERLINK("https://www.773grp.com/manufacturer/national-semiconductor?pageNo=134", "National Semiconductor")</f>
        <v>National Semiconductor</v>
      </c>
      <c r="C939" s="6">
        <v>1000</v>
      </c>
      <c r="D939" s="7">
        <v>3.34</v>
      </c>
    </row>
    <row r="940" spans="1:5" x14ac:dyDescent="0.25">
      <c r="A940" t="str">
        <f>HYPERLINK("https://www.773grp.com/globalSearch/LM5068MM-1-NOPB/page-1", "LM5068MM-1-NOPB")</f>
        <v>LM5068MM-1-NOPB</v>
      </c>
      <c r="B940" s="3" t="str">
        <f>HYPERLINK("https://www.773grp.com/manufacturer/national-semiconductor?pageNo=1", "National Semiconductor")</f>
        <v>National Semiconductor</v>
      </c>
      <c r="C940" s="6">
        <v>191</v>
      </c>
      <c r="D940" s="7">
        <v>3.34</v>
      </c>
      <c r="E940" t="s">
        <v>30</v>
      </c>
    </row>
    <row r="941" spans="1:5" x14ac:dyDescent="0.25">
      <c r="A941" t="str">
        <f>HYPERLINK("https://www.773grp.com/globalSearch/LM5068MM-3-NOPB/page-1", "LM5068MM-3-NOPB")</f>
        <v>LM5068MM-3-NOPB</v>
      </c>
      <c r="B941" s="3" t="str">
        <f>HYPERLINK("https://www.773grp.com/manufacturer/national-semiconductor?pageNo=2", "National Semiconductor")</f>
        <v>National Semiconductor</v>
      </c>
      <c r="C941" s="6">
        <v>507</v>
      </c>
      <c r="D941" s="7">
        <v>3.34</v>
      </c>
      <c r="E941" t="s">
        <v>30</v>
      </c>
    </row>
    <row r="942" spans="1:5" x14ac:dyDescent="0.25">
      <c r="A942" t="str">
        <f>HYPERLINK("https://www.773grp.com/globalSearch/LM5068MM-4-NOPB/page-1", "LM5068MM-4-NOPB")</f>
        <v>LM5068MM-4-NOPB</v>
      </c>
      <c r="B942" s="3" t="str">
        <f>HYPERLINK("https://www.773grp.com/manufacturer/national-semiconductor?pageNo=3", "National Semiconductor")</f>
        <v>National Semiconductor</v>
      </c>
      <c r="C942" s="6">
        <v>3264</v>
      </c>
      <c r="D942" s="7">
        <v>3.34</v>
      </c>
      <c r="E942" t="s">
        <v>30</v>
      </c>
    </row>
    <row r="943" spans="1:5" x14ac:dyDescent="0.25">
      <c r="A943" t="str">
        <f>HYPERLINK("https://www.773grp.com/globalSearch/LMH6646MA-NOPB/page-1", "LMH6646MA-NOPB")</f>
        <v>LMH6646MA-NOPB</v>
      </c>
      <c r="B943" s="3" t="str">
        <f>HYPERLINK("https://www.773grp.com/manufacturer/national-semiconductor?pageNo=4", "National Semiconductor")</f>
        <v>National Semiconductor</v>
      </c>
      <c r="C943" s="6">
        <v>579</v>
      </c>
      <c r="D943" s="7">
        <v>3.34</v>
      </c>
      <c r="E943" t="s">
        <v>13</v>
      </c>
    </row>
    <row r="944" spans="1:5" x14ac:dyDescent="0.25">
      <c r="A944" t="str">
        <f>HYPERLINK("https://www.773grp.com/globalSearch/LMP7300MA-NOPB/page-1", "LMP7300MA-NOPB")</f>
        <v>LMP7300MA-NOPB</v>
      </c>
      <c r="B944" s="3" t="str">
        <f>HYPERLINK("https://www.773grp.com/manufacturer/national-semiconductor?pageNo=5", "National Semiconductor")</f>
        <v>National Semiconductor</v>
      </c>
      <c r="C944" s="6">
        <v>495</v>
      </c>
      <c r="D944" s="7">
        <v>3.34</v>
      </c>
    </row>
    <row r="945" spans="1:5" x14ac:dyDescent="0.25">
      <c r="A945" t="str">
        <f>HYPERLINK("https://www.773grp.com/globalSearch/LMP7701MA-NOPB/page-1", "LMP7701MA-NOPB")</f>
        <v>LMP7701MA-NOPB</v>
      </c>
      <c r="B945" s="3" t="str">
        <f>HYPERLINK("https://www.773grp.com/manufacturer/national-semiconductor?pageNo=6", "National Semiconductor")</f>
        <v>National Semiconductor</v>
      </c>
      <c r="C945" s="6">
        <v>3204</v>
      </c>
      <c r="D945" s="7">
        <v>3.34</v>
      </c>
    </row>
    <row r="946" spans="1:5" x14ac:dyDescent="0.25">
      <c r="A946" t="str">
        <f>HYPERLINK("https://www.773grp.com/globalSearch/LMP7718MA/page-1", "LMP7718MA")</f>
        <v>LMP7718MA</v>
      </c>
      <c r="B946" s="3" t="str">
        <f>HYPERLINK("https://www.773grp.com/manufacturer/national-semiconductor?pageNo=7", "National Semiconductor")</f>
        <v>National Semiconductor</v>
      </c>
      <c r="C946" s="6">
        <v>93</v>
      </c>
      <c r="D946" s="7">
        <v>3.34</v>
      </c>
      <c r="E946" t="s">
        <v>13</v>
      </c>
    </row>
    <row r="947" spans="1:5" x14ac:dyDescent="0.25">
      <c r="A947" t="str">
        <f>HYPERLINK("https://www.773grp.com/globalSearch/LMP7718MA-NOPB/page-1", "LMP7718MA-NOPB")</f>
        <v>LMP7718MA-NOPB</v>
      </c>
      <c r="B947" s="3" t="str">
        <f>HYPERLINK("https://www.773grp.com/manufacturer/national-semiconductor?pageNo=8", "National Semiconductor")</f>
        <v>National Semiconductor</v>
      </c>
      <c r="C947" s="6">
        <v>176</v>
      </c>
      <c r="D947" s="7">
        <v>3.34</v>
      </c>
      <c r="E947" t="s">
        <v>13</v>
      </c>
    </row>
    <row r="948" spans="1:5" x14ac:dyDescent="0.25">
      <c r="A948" t="str">
        <f>HYPERLINK("https://www.773grp.com/globalSearch/MM54HC10J/page-1", "MM54HC10J")</f>
        <v>MM54HC10J</v>
      </c>
      <c r="B948" s="3" t="str">
        <f>HYPERLINK("https://www.773grp.com/manufacturer/national-semiconductor?pageNo=9", "National Semiconductor")</f>
        <v>National Semiconductor</v>
      </c>
      <c r="C948" s="6">
        <v>130</v>
      </c>
      <c r="D948" s="7">
        <v>3.34</v>
      </c>
      <c r="E948" t="s">
        <v>31</v>
      </c>
    </row>
    <row r="949" spans="1:5" x14ac:dyDescent="0.25">
      <c r="A949" t="str">
        <f>HYPERLINK("https://www.773grp.com/globalSearch/SM72375MME/page-1", "SM72375MME")</f>
        <v>SM72375MME</v>
      </c>
      <c r="B949" s="3" t="str">
        <f>HYPERLINK("https://www.773grp.com/manufacturer/national-semiconductor?pageNo=10", "National Semiconductor")</f>
        <v>National Semiconductor</v>
      </c>
      <c r="C949" s="6">
        <v>250</v>
      </c>
      <c r="D949" s="7">
        <v>3.34</v>
      </c>
      <c r="E949" t="s">
        <v>9</v>
      </c>
    </row>
    <row r="950" spans="1:5" x14ac:dyDescent="0.25">
      <c r="A950" t="str">
        <f>HYPERLINK("https://www.773grp.com/globalSearch/DS90LV019TM-NOPB/page-1", "DS90LV019TM-NOPB")</f>
        <v>DS90LV019TM-NOPB</v>
      </c>
      <c r="B950" s="3" t="str">
        <f>HYPERLINK("https://www.773grp.com/manufacturer/national-semiconductor?pageNo=11", "National Semiconductor")</f>
        <v>National Semiconductor</v>
      </c>
      <c r="C950" s="6">
        <v>363</v>
      </c>
      <c r="D950" s="7">
        <v>3.34</v>
      </c>
      <c r="E950" t="s">
        <v>21</v>
      </c>
    </row>
    <row r="951" spans="1:5" x14ac:dyDescent="0.25">
      <c r="A951" t="str">
        <f>HYPERLINK("https://www.773grp.com/globalSearch/DS90LV019TMTC-NOPB/page-1", "DS90LV019TMTC-NOPB")</f>
        <v>DS90LV019TMTC-NOPB</v>
      </c>
      <c r="B951" s="3" t="str">
        <f>HYPERLINK("https://www.773grp.com/manufacturer/national-semiconductor?pageNo=12", "National Semiconductor")</f>
        <v>National Semiconductor</v>
      </c>
      <c r="C951" s="6">
        <v>2696</v>
      </c>
      <c r="D951" s="7">
        <v>3.34</v>
      </c>
      <c r="E951" t="s">
        <v>21</v>
      </c>
    </row>
    <row r="952" spans="1:5" x14ac:dyDescent="0.25">
      <c r="A952" t="str">
        <f>HYPERLINK("https://www.773grp.com/globalSearch/DS90LV027ATM/page-1", "DS90LV027ATM")</f>
        <v>DS90LV027ATM</v>
      </c>
      <c r="B952" s="3" t="str">
        <f>HYPERLINK("https://www.773grp.com/manufacturer/national-semiconductor?pageNo=13", "National Semiconductor")</f>
        <v>National Semiconductor</v>
      </c>
      <c r="C952" s="6">
        <v>2185</v>
      </c>
      <c r="D952" s="7">
        <v>3.34</v>
      </c>
      <c r="E952" t="s">
        <v>21</v>
      </c>
    </row>
    <row r="953" spans="1:5" x14ac:dyDescent="0.25">
      <c r="A953" t="str">
        <f>HYPERLINK("https://www.773grp.com/globalSearch/DS90LV028ATLD/page-1", "DS90LV028ATLD")</f>
        <v>DS90LV028ATLD</v>
      </c>
      <c r="B953" s="3" t="str">
        <f>HYPERLINK("https://www.773grp.com/manufacturer/national-semiconductor?pageNo=14", "National Semiconductor")</f>
        <v>National Semiconductor</v>
      </c>
      <c r="C953" s="6">
        <v>9000</v>
      </c>
      <c r="D953" s="7">
        <v>3.34</v>
      </c>
    </row>
    <row r="954" spans="1:5" x14ac:dyDescent="0.25">
      <c r="A954" t="str">
        <f>HYPERLINK("https://www.773grp.com/globalSearch/DS90LV028ATMX/page-1", "DS90LV028ATMX")</f>
        <v>DS90LV028ATMX</v>
      </c>
      <c r="B954" s="3" t="str">
        <f>HYPERLINK("https://www.773grp.com/manufacturer/national-semiconductor?pageNo=15", "National Semiconductor")</f>
        <v>National Semiconductor</v>
      </c>
      <c r="C954" s="6">
        <v>2500</v>
      </c>
      <c r="D954" s="7">
        <v>3.34</v>
      </c>
      <c r="E954" t="s">
        <v>21</v>
      </c>
    </row>
    <row r="955" spans="1:5" x14ac:dyDescent="0.25">
      <c r="A955" t="str">
        <f>HYPERLINK("https://www.773grp.com/globalSearch/LM2576S-12-NOPB/page-1", "LM2576S-12-NOPB")</f>
        <v>LM2576S-12-NOPB</v>
      </c>
      <c r="B955" s="3" t="str">
        <f>HYPERLINK("https://www.773grp.com/manufacturer/national-semiconductor?pageNo=16", "National Semiconductor")</f>
        <v>National Semiconductor</v>
      </c>
      <c r="C955" s="6">
        <v>28</v>
      </c>
      <c r="D955" s="7">
        <v>3.34</v>
      </c>
      <c r="E955" t="s">
        <v>7</v>
      </c>
    </row>
    <row r="956" spans="1:5" x14ac:dyDescent="0.25">
      <c r="A956" t="str">
        <f>HYPERLINK("https://www.773grp.com/globalSearch/LM2576SX-3.3-NOPB/page-1", "LM2576SX-3.3-NOPB")</f>
        <v>LM2576SX-3.3-NOPB</v>
      </c>
      <c r="B956" s="3" t="str">
        <f>HYPERLINK("https://www.773grp.com/manufacturer/national-semiconductor?pageNo=17", "National Semiconductor")</f>
        <v>National Semiconductor</v>
      </c>
      <c r="C956" s="6">
        <v>1500</v>
      </c>
      <c r="D956" s="7">
        <v>3.34</v>
      </c>
    </row>
    <row r="957" spans="1:5" x14ac:dyDescent="0.25">
      <c r="A957" t="str">
        <f>HYPERLINK("https://www.773grp.com/globalSearch/LM2576SX-ADJ/page-1", "LM2576SX-ADJ")</f>
        <v>LM2576SX-ADJ</v>
      </c>
      <c r="B957" s="3" t="str">
        <f>HYPERLINK("https://www.773grp.com/manufacturer/national-semiconductor?pageNo=18", "National Semiconductor")</f>
        <v>National Semiconductor</v>
      </c>
      <c r="C957" s="6">
        <v>358</v>
      </c>
      <c r="D957" s="7">
        <v>3.34</v>
      </c>
      <c r="E957" t="s">
        <v>7</v>
      </c>
    </row>
    <row r="958" spans="1:5" x14ac:dyDescent="0.25">
      <c r="A958" t="str">
        <f>HYPERLINK("https://www.773grp.com/globalSearch/LM2576T-12-NOPB/page-1", "LM2576T-12-NOPB")</f>
        <v>LM2576T-12-NOPB</v>
      </c>
      <c r="B958" s="3" t="str">
        <f>HYPERLINK("https://www.773grp.com/manufacturer/national-semiconductor?pageNo=19", "National Semiconductor")</f>
        <v>National Semiconductor</v>
      </c>
      <c r="C958" s="6">
        <v>240</v>
      </c>
      <c r="D958" s="7">
        <v>3.34</v>
      </c>
    </row>
    <row r="959" spans="1:5" x14ac:dyDescent="0.25">
      <c r="A959" t="str">
        <f>HYPERLINK("https://www.773grp.com/globalSearch/LM2576T-3.3-NOPB/page-1", "LM2576T-3.3-NOPB")</f>
        <v>LM2576T-3.3-NOPB</v>
      </c>
      <c r="B959" s="3" t="str">
        <f>HYPERLINK("https://www.773grp.com/manufacturer/national-semiconductor?pageNo=20", "National Semiconductor")</f>
        <v>National Semiconductor</v>
      </c>
      <c r="C959" s="6">
        <v>941</v>
      </c>
      <c r="D959" s="7">
        <v>3.34</v>
      </c>
      <c r="E959" t="s">
        <v>7</v>
      </c>
    </row>
    <row r="960" spans="1:5" x14ac:dyDescent="0.25">
      <c r="A960" t="str">
        <f>HYPERLINK("https://www.773grp.com/globalSearch/LM2576T-5.0-NOPB/page-1", "LM2576T-5.0-NOPB")</f>
        <v>LM2576T-5.0-NOPB</v>
      </c>
      <c r="B960" s="3" t="str">
        <f>HYPERLINK("https://www.773grp.com/manufacturer/national-semiconductor?pageNo=21", "National Semiconductor")</f>
        <v>National Semiconductor</v>
      </c>
      <c r="C960" s="6">
        <v>15310</v>
      </c>
      <c r="D960" s="7">
        <v>3.34</v>
      </c>
      <c r="E960" t="s">
        <v>7</v>
      </c>
    </row>
    <row r="961" spans="1:5" x14ac:dyDescent="0.25">
      <c r="A961" t="str">
        <f>HYPERLINK("https://www.773grp.com/globalSearch/LM2576T-ADJ-LF03/page-1", "LM2576T-ADJ-LF03")</f>
        <v>LM2576T-ADJ-LF03</v>
      </c>
      <c r="B961" s="3" t="str">
        <f>HYPERLINK("https://www.773grp.com/manufacturer/national-semiconductor?pageNo=22", "National Semiconductor")</f>
        <v>National Semiconductor</v>
      </c>
      <c r="C961" s="6">
        <v>45</v>
      </c>
      <c r="D961" s="7">
        <v>3.34</v>
      </c>
    </row>
    <row r="962" spans="1:5" x14ac:dyDescent="0.25">
      <c r="A962" t="str">
        <f>HYPERLINK("https://www.773grp.com/globalSearch/LM2576T-ADJ-NOPB/page-1", "LM2576T-ADJ-NOPB")</f>
        <v>LM2576T-ADJ-NOPB</v>
      </c>
      <c r="B962" s="3" t="str">
        <f>HYPERLINK("https://www.773grp.com/manufacturer/national-semiconductor?pageNo=23", "National Semiconductor")</f>
        <v>National Semiconductor</v>
      </c>
      <c r="C962" s="6">
        <v>3569</v>
      </c>
      <c r="D962" s="7">
        <v>3.34</v>
      </c>
      <c r="E962" t="s">
        <v>7</v>
      </c>
    </row>
    <row r="963" spans="1:5" x14ac:dyDescent="0.25">
      <c r="A963" t="str">
        <f>HYPERLINK("https://www.773grp.com/globalSearch/LM285BXM-1.2-NOPB/page-1", "LM285BXM-1.2-NOPB")</f>
        <v>LM285BXM-1.2-NOPB</v>
      </c>
      <c r="B963" s="3" t="str">
        <f>HYPERLINK("https://www.773grp.com/manufacturer/national-semiconductor?pageNo=24", "National Semiconductor")</f>
        <v>National Semiconductor</v>
      </c>
      <c r="C963" s="6">
        <v>1140</v>
      </c>
      <c r="D963" s="7">
        <v>3.34</v>
      </c>
      <c r="E963" t="s">
        <v>17</v>
      </c>
    </row>
    <row r="964" spans="1:5" x14ac:dyDescent="0.25">
      <c r="A964" t="str">
        <f>HYPERLINK("https://www.773grp.com/globalSearch/LM285BXM-2.5-NOPB/page-1", "LM285BXM-2.5-NOPB")</f>
        <v>LM285BXM-2.5-NOPB</v>
      </c>
      <c r="B964" s="3" t="str">
        <f>HYPERLINK("https://www.773grp.com/manufacturer/national-semiconductor?pageNo=25", "National Semiconductor")</f>
        <v>National Semiconductor</v>
      </c>
      <c r="C964" s="6">
        <v>30</v>
      </c>
      <c r="D964" s="7">
        <v>3.34</v>
      </c>
      <c r="E964" t="s">
        <v>17</v>
      </c>
    </row>
    <row r="965" spans="1:5" x14ac:dyDescent="0.25">
      <c r="A965" t="str">
        <f>HYPERLINK("https://www.773grp.com/globalSearch/LM3915N-1-NOPB/page-1", "LM3915N-1-NOPB")</f>
        <v>LM3915N-1-NOPB</v>
      </c>
      <c r="B965" s="3" t="str">
        <f>HYPERLINK("https://www.773grp.com/manufacturer/national-semiconductor?pageNo=26", "National Semiconductor")</f>
        <v>National Semiconductor</v>
      </c>
      <c r="C965" s="6">
        <v>11416</v>
      </c>
      <c r="D965" s="7">
        <v>3.34</v>
      </c>
      <c r="E965" t="s">
        <v>10</v>
      </c>
    </row>
    <row r="966" spans="1:5" x14ac:dyDescent="0.25">
      <c r="A966" t="str">
        <f>HYPERLINK("https://www.773grp.com/globalSearch/LM4950TSX-NOPB/page-1", "LM4950TSX-NOPB")</f>
        <v>LM4950TSX-NOPB</v>
      </c>
      <c r="B966" s="3" t="str">
        <f>HYPERLINK("https://www.773grp.com/manufacturer/national-semiconductor?pageNo=27", "National Semiconductor")</f>
        <v>National Semiconductor</v>
      </c>
      <c r="C966" s="6">
        <v>49</v>
      </c>
      <c r="D966" s="7">
        <v>3.34</v>
      </c>
      <c r="E966" t="s">
        <v>18</v>
      </c>
    </row>
    <row r="967" spans="1:5" x14ac:dyDescent="0.25">
      <c r="A967" t="str">
        <f>HYPERLINK("https://www.773grp.com/globalSearch/LM5068MM-2-NOPB/page-1", "LM5068MM-2-NOPB")</f>
        <v>LM5068MM-2-NOPB</v>
      </c>
      <c r="B967" s="3" t="str">
        <f>HYPERLINK("https://www.773grp.com/manufacturer/national-semiconductor?pageNo=28", "National Semiconductor")</f>
        <v>National Semiconductor</v>
      </c>
      <c r="C967" s="6">
        <v>15660</v>
      </c>
      <c r="D967" s="7">
        <v>3.34</v>
      </c>
    </row>
    <row r="968" spans="1:5" x14ac:dyDescent="0.25">
      <c r="A968" t="str">
        <f>HYPERLINK("https://www.773grp.com/globalSearch/LM5068MM-3-NOPB/page-1", "LM5068MM-3-NOPB")</f>
        <v>LM5068MM-3-NOPB</v>
      </c>
      <c r="B968" s="3" t="str">
        <f>HYPERLINK("https://www.773grp.com/manufacturer/national-semiconductor?pageNo=29", "National Semiconductor")</f>
        <v>National Semiconductor</v>
      </c>
      <c r="C968" s="6">
        <v>1000</v>
      </c>
      <c r="D968" s="7">
        <v>3.34</v>
      </c>
      <c r="E968" t="s">
        <v>30</v>
      </c>
    </row>
    <row r="969" spans="1:5" x14ac:dyDescent="0.25">
      <c r="A969" t="str">
        <f>HYPERLINK("https://www.773grp.com/globalSearch/LM6181IN/page-1", "LM6181IN")</f>
        <v>LM6181IN</v>
      </c>
      <c r="B969" s="3" t="str">
        <f>HYPERLINK("https://www.773grp.com/manufacturer/national-semiconductor?pageNo=30", "National Semiconductor")</f>
        <v>National Semiconductor</v>
      </c>
      <c r="C969" s="6">
        <v>80</v>
      </c>
      <c r="D969" s="7">
        <v>3.34</v>
      </c>
    </row>
    <row r="970" spans="1:5" x14ac:dyDescent="0.25">
      <c r="A970" t="str">
        <f>HYPERLINK("https://www.773grp.com/globalSearch/LMC6772QMM-NOPB/page-1", "LMC6772QMM-NOPB")</f>
        <v>LMC6772QMM-NOPB</v>
      </c>
      <c r="B970" s="3" t="str">
        <f>HYPERLINK("https://www.773grp.com/manufacturer/national-semiconductor?pageNo=31", "National Semiconductor")</f>
        <v>National Semiconductor</v>
      </c>
      <c r="C970" s="6">
        <v>2000</v>
      </c>
      <c r="D970" s="7">
        <v>3.34</v>
      </c>
    </row>
    <row r="971" spans="1:5" x14ac:dyDescent="0.25">
      <c r="A971" t="str">
        <f>HYPERLINK("https://www.773grp.com/globalSearch/LMH6646MA-NOPB/page-1", "LMH6646MA-NOPB")</f>
        <v>LMH6646MA-NOPB</v>
      </c>
      <c r="B971" s="3" t="str">
        <f>HYPERLINK("https://www.773grp.com/manufacturer/national-semiconductor?pageNo=32", "National Semiconductor")</f>
        <v>National Semiconductor</v>
      </c>
      <c r="C971" s="6">
        <v>317</v>
      </c>
      <c r="D971" s="7">
        <v>3.34</v>
      </c>
      <c r="E971" t="s">
        <v>13</v>
      </c>
    </row>
    <row r="972" spans="1:5" x14ac:dyDescent="0.25">
      <c r="A972" t="str">
        <f>HYPERLINK("https://www.773grp.com/globalSearch/LMP7300MA-NOPB/page-1", "LMP7300MA-NOPB")</f>
        <v>LMP7300MA-NOPB</v>
      </c>
      <c r="B972" s="3" t="str">
        <f>HYPERLINK("https://www.773grp.com/manufacturer/national-semiconductor?pageNo=33", "National Semiconductor")</f>
        <v>National Semiconductor</v>
      </c>
      <c r="C972" s="6">
        <v>204</v>
      </c>
      <c r="D972" s="7">
        <v>3.34</v>
      </c>
    </row>
    <row r="973" spans="1:5" x14ac:dyDescent="0.25">
      <c r="A973" t="str">
        <f>HYPERLINK("https://www.773grp.com/globalSearch/LMP7701MA-NOPB/page-1", "LMP7701MA-NOPB")</f>
        <v>LMP7701MA-NOPB</v>
      </c>
      <c r="B973" s="3" t="str">
        <f>HYPERLINK("https://www.773grp.com/manufacturer/national-semiconductor?pageNo=34", "National Semiconductor")</f>
        <v>National Semiconductor</v>
      </c>
      <c r="C973" s="6">
        <v>264</v>
      </c>
      <c r="D973" s="7">
        <v>3.34</v>
      </c>
    </row>
    <row r="974" spans="1:5" x14ac:dyDescent="0.25">
      <c r="A974" t="str">
        <f>HYPERLINK("https://www.773grp.com/globalSearch/LMP7718MA-NOPB/page-1", "LMP7718MA-NOPB")</f>
        <v>LMP7718MA-NOPB</v>
      </c>
      <c r="B974" s="3" t="str">
        <f>HYPERLINK("https://www.773grp.com/manufacturer/national-semiconductor?pageNo=35", "National Semiconductor")</f>
        <v>National Semiconductor</v>
      </c>
      <c r="C974" s="6">
        <v>1900</v>
      </c>
      <c r="D974" s="7">
        <v>3.34</v>
      </c>
      <c r="E974" t="s">
        <v>13</v>
      </c>
    </row>
    <row r="975" spans="1:5" x14ac:dyDescent="0.25">
      <c r="A975" t="str">
        <f>HYPERLINK("https://www.773grp.com/globalSearch/2N2218AJTX/page-1", "2N2218AJTX")</f>
        <v>2N2218AJTX</v>
      </c>
      <c r="B975" s="3" t="str">
        <f>HYPERLINK("https://www.773grp.com/manufacturer/national-semiconductor?pageNo=36", "National Semiconductor")</f>
        <v>National Semiconductor</v>
      </c>
      <c r="C975" s="6">
        <v>407</v>
      </c>
      <c r="D975" s="7">
        <v>3.38</v>
      </c>
    </row>
    <row r="976" spans="1:5" x14ac:dyDescent="0.25">
      <c r="A976" t="str">
        <f>HYPERLINK("https://www.773grp.com/globalSearch/54195DM/page-1", "54195DM")</f>
        <v>54195DM</v>
      </c>
      <c r="B976" s="3" t="str">
        <f>HYPERLINK("https://www.773grp.com/manufacturer/national-semiconductor?pageNo=37", "National Semiconductor")</f>
        <v>National Semiconductor</v>
      </c>
      <c r="C976" s="6">
        <v>608</v>
      </c>
      <c r="D976" s="7">
        <v>3.38</v>
      </c>
    </row>
    <row r="977" spans="1:5" x14ac:dyDescent="0.25">
      <c r="A977" t="str">
        <f>HYPERLINK("https://www.773grp.com/globalSearch/54LS283DM/page-1", "54LS283DM")</f>
        <v>54LS283DM</v>
      </c>
      <c r="B977" s="3" t="str">
        <f>HYPERLINK("https://www.773grp.com/manufacturer/national-semiconductor?pageNo=38", "National Semiconductor")</f>
        <v>National Semiconductor</v>
      </c>
      <c r="C977" s="6">
        <v>10</v>
      </c>
      <c r="D977" s="7">
        <v>3.38</v>
      </c>
    </row>
    <row r="978" spans="1:5" x14ac:dyDescent="0.25">
      <c r="A978" t="str">
        <f>HYPERLINK("https://www.773grp.com/globalSearch/54LS283J-883/page-1", "54LS283J-883")</f>
        <v>54LS283J-883</v>
      </c>
      <c r="B978" s="3" t="str">
        <f>HYPERLINK("https://www.773grp.com/manufacturer/national-semiconductor?pageNo=39", "National Semiconductor")</f>
        <v>National Semiconductor</v>
      </c>
      <c r="C978" s="6">
        <v>94</v>
      </c>
      <c r="D978" s="7">
        <v>3.38</v>
      </c>
    </row>
    <row r="979" spans="1:5" x14ac:dyDescent="0.25">
      <c r="A979" t="str">
        <f>HYPERLINK("https://www.773grp.com/globalSearch/54LS377DM/page-1", "54LS377DM")</f>
        <v>54LS377DM</v>
      </c>
      <c r="B979" s="3" t="str">
        <f>HYPERLINK("https://www.773grp.com/manufacturer/national-semiconductor?pageNo=40", "National Semiconductor")</f>
        <v>National Semiconductor</v>
      </c>
      <c r="C979" s="6">
        <v>321</v>
      </c>
      <c r="D979" s="7">
        <v>3.38</v>
      </c>
    </row>
    <row r="980" spans="1:5" x14ac:dyDescent="0.25">
      <c r="A980" t="str">
        <f>HYPERLINK("https://www.773grp.com/globalSearch/9312PC/page-1", "9312PC")</f>
        <v>9312PC</v>
      </c>
      <c r="B980" s="3" t="str">
        <f>HYPERLINK("https://www.773grp.com/manufacturer/national-semiconductor?pageNo=41", "National Semiconductor")</f>
        <v>National Semiconductor</v>
      </c>
      <c r="C980" s="6">
        <v>1715</v>
      </c>
      <c r="D980" s="7">
        <v>3.38</v>
      </c>
      <c r="E980" t="s">
        <v>20</v>
      </c>
    </row>
    <row r="981" spans="1:5" x14ac:dyDescent="0.25">
      <c r="A981" t="str">
        <f>HYPERLINK("https://www.773grp.com/globalSearch/ADC102S021CIMM-NOPB/page-1", "ADC102S021CIMM-NOPB")</f>
        <v>ADC102S021CIMM-NOPB</v>
      </c>
      <c r="B981" s="3" t="str">
        <f>HYPERLINK("https://www.773grp.com/manufacturer/national-semiconductor?pageNo=42", "National Semiconductor")</f>
        <v>National Semiconductor</v>
      </c>
      <c r="C981" s="6">
        <v>3000</v>
      </c>
      <c r="D981" s="7">
        <v>3.38</v>
      </c>
      <c r="E981" t="s">
        <v>39</v>
      </c>
    </row>
    <row r="982" spans="1:5" x14ac:dyDescent="0.25">
      <c r="A982" t="str">
        <f>HYPERLINK("https://www.773grp.com/globalSearch/ADC102S021CIMMX-NOPB/page-1", "ADC102S021CIMMX-NOPB")</f>
        <v>ADC102S021CIMMX-NOPB</v>
      </c>
      <c r="B982" s="3" t="str">
        <f>HYPERLINK("https://www.773grp.com/manufacturer/national-semiconductor?pageNo=43", "National Semiconductor")</f>
        <v>National Semiconductor</v>
      </c>
      <c r="C982" s="6">
        <v>500</v>
      </c>
      <c r="D982" s="7">
        <v>3.38</v>
      </c>
    </row>
    <row r="983" spans="1:5" x14ac:dyDescent="0.25">
      <c r="A983" t="str">
        <f>HYPERLINK("https://www.773grp.com/globalSearch/DM9312N/page-1", "DM9312N")</f>
        <v>DM9312N</v>
      </c>
      <c r="B983" s="3" t="str">
        <f>HYPERLINK("https://www.773grp.com/manufacturer/national-semiconductor?pageNo=44", "National Semiconductor")</f>
        <v>National Semiconductor</v>
      </c>
      <c r="C983" s="6">
        <v>620</v>
      </c>
      <c r="D983" s="7">
        <v>3.38</v>
      </c>
      <c r="E983" t="s">
        <v>20</v>
      </c>
    </row>
    <row r="984" spans="1:5" x14ac:dyDescent="0.25">
      <c r="A984" t="str">
        <f>HYPERLINK("https://www.773grp.com/globalSearch/DS14C88TM/page-1", "DS14C88TM")</f>
        <v>DS14C88TM</v>
      </c>
      <c r="B984" s="3" t="str">
        <f>HYPERLINK("https://www.773grp.com/manufacturer/national-semiconductor?pageNo=45", "National Semiconductor")</f>
        <v>National Semiconductor</v>
      </c>
      <c r="C984" s="6">
        <v>4299</v>
      </c>
      <c r="D984" s="7">
        <v>3.38</v>
      </c>
      <c r="E984" t="s">
        <v>21</v>
      </c>
    </row>
    <row r="985" spans="1:5" x14ac:dyDescent="0.25">
      <c r="A985" t="str">
        <f>HYPERLINK("https://www.773grp.com/globalSearch/DS90LV031ATM-NOPB/page-1", "DS90LV031ATM-NOPB")</f>
        <v>DS90LV031ATM-NOPB</v>
      </c>
      <c r="B985" s="3" t="str">
        <f>HYPERLINK("https://www.773grp.com/manufacturer/national-semiconductor?pageNo=46", "National Semiconductor")</f>
        <v>National Semiconductor</v>
      </c>
      <c r="C985" s="6">
        <v>3500</v>
      </c>
      <c r="D985" s="7">
        <v>3.38</v>
      </c>
      <c r="E985" t="s">
        <v>21</v>
      </c>
    </row>
    <row r="986" spans="1:5" x14ac:dyDescent="0.25">
      <c r="A986" t="str">
        <f>HYPERLINK("https://www.773grp.com/globalSearch/DS90LV031ATMTC-NOPB/page-1", "DS90LV031ATMTC-NOPB")</f>
        <v>DS90LV031ATMTC-NOPB</v>
      </c>
      <c r="B986" s="3" t="str">
        <f>HYPERLINK("https://www.773grp.com/manufacturer/national-semiconductor?pageNo=47", "National Semiconductor")</f>
        <v>National Semiconductor</v>
      </c>
      <c r="C986" s="6">
        <v>796</v>
      </c>
      <c r="D986" s="7">
        <v>3.38</v>
      </c>
      <c r="E986" t="s">
        <v>21</v>
      </c>
    </row>
    <row r="987" spans="1:5" x14ac:dyDescent="0.25">
      <c r="A987" t="str">
        <f>HYPERLINK("https://www.773grp.com/globalSearch/DS90LV032ATM-NOPB/page-1", "DS90LV032ATM-NOPB")</f>
        <v>DS90LV032ATM-NOPB</v>
      </c>
      <c r="B987" s="3" t="str">
        <f>HYPERLINK("https://www.773grp.com/manufacturer/national-semiconductor?pageNo=48", "National Semiconductor")</f>
        <v>National Semiconductor</v>
      </c>
      <c r="C987" s="6">
        <v>274</v>
      </c>
      <c r="D987" s="7">
        <v>3.38</v>
      </c>
      <c r="E987" t="s">
        <v>21</v>
      </c>
    </row>
    <row r="988" spans="1:5" x14ac:dyDescent="0.25">
      <c r="A988" t="str">
        <f>HYPERLINK("https://www.773grp.com/globalSearch/DS90LV032ATMTC-NOPB/page-1", "DS90LV032ATMTC-NOPB")</f>
        <v>DS90LV032ATMTC-NOPB</v>
      </c>
      <c r="B988" s="3" t="str">
        <f>HYPERLINK("https://www.773grp.com/manufacturer/national-semiconductor?pageNo=49", "National Semiconductor")</f>
        <v>National Semiconductor</v>
      </c>
      <c r="C988" s="6">
        <v>612</v>
      </c>
      <c r="D988" s="7">
        <v>3.38</v>
      </c>
      <c r="E988" t="s">
        <v>21</v>
      </c>
    </row>
    <row r="989" spans="1:5" x14ac:dyDescent="0.25">
      <c r="A989" t="str">
        <f>HYPERLINK("https://www.773grp.com/globalSearch/DS90LV049TMT-NOPB/page-1", "DS90LV049TMT-NOPB")</f>
        <v>DS90LV049TMT-NOPB</v>
      </c>
      <c r="B989" s="3" t="str">
        <f>HYPERLINK("https://www.773grp.com/manufacturer/national-semiconductor?pageNo=50", "National Semiconductor")</f>
        <v>National Semiconductor</v>
      </c>
      <c r="C989" s="6">
        <v>304</v>
      </c>
      <c r="D989" s="7">
        <v>3.38</v>
      </c>
      <c r="E989" t="s">
        <v>21</v>
      </c>
    </row>
    <row r="990" spans="1:5" x14ac:dyDescent="0.25">
      <c r="A990" t="str">
        <f>HYPERLINK("https://www.773grp.com/globalSearch/DS92001TMA-NOPB/page-1", "DS92001TMA-NOPB")</f>
        <v>DS92001TMA-NOPB</v>
      </c>
      <c r="B990" s="3" t="str">
        <f>HYPERLINK("https://www.773grp.com/manufacturer/national-semiconductor?pageNo=51", "National Semiconductor")</f>
        <v>National Semiconductor</v>
      </c>
      <c r="C990" s="6">
        <v>59</v>
      </c>
      <c r="D990" s="7">
        <v>3.38</v>
      </c>
      <c r="E990" t="s">
        <v>21</v>
      </c>
    </row>
    <row r="991" spans="1:5" x14ac:dyDescent="0.25">
      <c r="A991" t="str">
        <f>HYPERLINK("https://www.773grp.com/globalSearch/LM1084IS-3.3-NOPB/page-1", "LM1084IS-3.3-NOPB")</f>
        <v>LM1084IS-3.3-NOPB</v>
      </c>
      <c r="B991" s="3" t="str">
        <f>HYPERLINK("https://www.773grp.com/manufacturer/national-semiconductor?pageNo=52", "National Semiconductor")</f>
        <v>National Semiconductor</v>
      </c>
      <c r="C991" s="6">
        <v>1055</v>
      </c>
      <c r="D991" s="7">
        <v>3.38</v>
      </c>
      <c r="E991" t="s">
        <v>19</v>
      </c>
    </row>
    <row r="992" spans="1:5" x14ac:dyDescent="0.25">
      <c r="A992" t="str">
        <f>HYPERLINK("https://www.773grp.com/globalSearch/LM1084IS-5.0-NOPB/page-1", "LM1084IS-5.0-NOPB")</f>
        <v>LM1084IS-5.0-NOPB</v>
      </c>
      <c r="B992" s="3" t="str">
        <f>HYPERLINK("https://www.773grp.com/manufacturer/national-semiconductor?pageNo=53", "National Semiconductor")</f>
        <v>National Semiconductor</v>
      </c>
      <c r="C992" s="6">
        <v>844</v>
      </c>
      <c r="D992" s="7">
        <v>3.38</v>
      </c>
      <c r="E992" t="s">
        <v>19</v>
      </c>
    </row>
    <row r="993" spans="1:5" x14ac:dyDescent="0.25">
      <c r="A993" t="str">
        <f>HYPERLINK("https://www.773grp.com/globalSearch/LM1084IS-ADJ-NOPB/page-1", "LM1084IS-ADJ-NOPB")</f>
        <v>LM1084IS-ADJ-NOPB</v>
      </c>
      <c r="B993" s="3" t="str">
        <f>HYPERLINK("https://www.773grp.com/manufacturer/national-semiconductor?pageNo=54", "National Semiconductor")</f>
        <v>National Semiconductor</v>
      </c>
      <c r="C993" s="6">
        <v>2693</v>
      </c>
      <c r="D993" s="7">
        <v>3.38</v>
      </c>
      <c r="E993" t="s">
        <v>25</v>
      </c>
    </row>
    <row r="994" spans="1:5" x14ac:dyDescent="0.25">
      <c r="A994" t="str">
        <f>HYPERLINK("https://www.773grp.com/globalSearch/LM10CLN/page-1", "LM10CLN")</f>
        <v>LM10CLN</v>
      </c>
      <c r="B994" s="3" t="str">
        <f>HYPERLINK("https://www.773grp.com/manufacturer/national-semiconductor?pageNo=55", "National Semiconductor")</f>
        <v>National Semiconductor</v>
      </c>
      <c r="C994" s="6">
        <v>1284</v>
      </c>
      <c r="D994" s="7">
        <v>3.38</v>
      </c>
      <c r="E994" t="s">
        <v>13</v>
      </c>
    </row>
    <row r="995" spans="1:5" x14ac:dyDescent="0.25">
      <c r="A995" t="str">
        <f>HYPERLINK("https://www.773grp.com/globalSearch/LM2594MX-12-NOPB/page-1", "LM2594MX-12-NOPB")</f>
        <v>LM2594MX-12-NOPB</v>
      </c>
      <c r="B995" s="3" t="str">
        <f>HYPERLINK("https://www.773grp.com/manufacturer/national-semiconductor?pageNo=56", "National Semiconductor")</f>
        <v>National Semiconductor</v>
      </c>
      <c r="C995" s="6">
        <v>15006</v>
      </c>
      <c r="D995" s="7">
        <v>3.38</v>
      </c>
      <c r="E995" t="s">
        <v>7</v>
      </c>
    </row>
    <row r="996" spans="1:5" x14ac:dyDescent="0.25">
      <c r="A996" t="str">
        <f>HYPERLINK("https://www.773grp.com/globalSearch/LM2594MX-3.3-NOPB/page-1", "LM2594MX-3.3-NOPB")</f>
        <v>LM2594MX-3.3-NOPB</v>
      </c>
      <c r="B996" s="3" t="str">
        <f>HYPERLINK("https://www.773grp.com/manufacturer/national-semiconductor?pageNo=57", "National Semiconductor")</f>
        <v>National Semiconductor</v>
      </c>
      <c r="C996" s="6">
        <v>20000</v>
      </c>
      <c r="D996" s="7">
        <v>3.38</v>
      </c>
      <c r="E996" t="s">
        <v>7</v>
      </c>
    </row>
    <row r="997" spans="1:5" x14ac:dyDescent="0.25">
      <c r="A997" t="str">
        <f>HYPERLINK("https://www.773grp.com/globalSearch/LM2594MX-5.0-NOPB/page-1", "LM2594MX-5.0-NOPB")</f>
        <v>LM2594MX-5.0-NOPB</v>
      </c>
      <c r="B997" s="3" t="str">
        <f>HYPERLINK("https://www.773grp.com/manufacturer/national-semiconductor?pageNo=58", "National Semiconductor")</f>
        <v>National Semiconductor</v>
      </c>
      <c r="C997" s="6">
        <v>13498</v>
      </c>
      <c r="D997" s="7">
        <v>3.38</v>
      </c>
      <c r="E997" t="s">
        <v>7</v>
      </c>
    </row>
    <row r="998" spans="1:5" x14ac:dyDescent="0.25">
      <c r="A998" t="str">
        <f>HYPERLINK("https://www.773grp.com/globalSearch/LM2594MX-ADJ-NOPB/page-1", "LM2594MX-ADJ-NOPB")</f>
        <v>LM2594MX-ADJ-NOPB</v>
      </c>
      <c r="B998" s="3" t="str">
        <f>HYPERLINK("https://www.773grp.com/manufacturer/national-semiconductor?pageNo=59", "National Semiconductor")</f>
        <v>National Semiconductor</v>
      </c>
      <c r="C998" s="6">
        <v>10000</v>
      </c>
      <c r="D998" s="7">
        <v>3.38</v>
      </c>
      <c r="E998" t="s">
        <v>7</v>
      </c>
    </row>
    <row r="999" spans="1:5" x14ac:dyDescent="0.25">
      <c r="A999" t="str">
        <f>HYPERLINK("https://www.773grp.com/globalSearch/LM2594N-12-NOPB/page-1", "LM2594N-12-NOPB")</f>
        <v>LM2594N-12-NOPB</v>
      </c>
      <c r="B999" s="3" t="str">
        <f>HYPERLINK("https://www.773grp.com/manufacturer/national-semiconductor?pageNo=60", "National Semiconductor")</f>
        <v>National Semiconductor</v>
      </c>
      <c r="C999" s="6">
        <v>649</v>
      </c>
      <c r="D999" s="7">
        <v>3.38</v>
      </c>
      <c r="E999" t="s">
        <v>7</v>
      </c>
    </row>
    <row r="1000" spans="1:5" x14ac:dyDescent="0.25">
      <c r="A1000" t="str">
        <f>HYPERLINK("https://www.773grp.com/globalSearch/LM2594N-3.3/page-1", "LM2594N-3.3")</f>
        <v>LM2594N-3.3</v>
      </c>
      <c r="B1000" s="3" t="str">
        <f>HYPERLINK("https://www.773grp.com/manufacturer/national-semiconductor?pageNo=61", "National Semiconductor")</f>
        <v>National Semiconductor</v>
      </c>
      <c r="C1000" s="6">
        <v>352</v>
      </c>
      <c r="D1000" s="7">
        <v>3.38</v>
      </c>
      <c r="E1000" t="s">
        <v>7</v>
      </c>
    </row>
    <row r="1001" spans="1:5" x14ac:dyDescent="0.25">
      <c r="A1001" t="str">
        <f>HYPERLINK("https://www.773grp.com/globalSearch/LM2594N-5.0-NOPB/page-1", "LM2594N-5.0-NOPB")</f>
        <v>LM2594N-5.0-NOPB</v>
      </c>
      <c r="B1001" s="3" t="str">
        <f>HYPERLINK("https://www.773grp.com/manufacturer/national-semiconductor?pageNo=62", "National Semiconductor")</f>
        <v>National Semiconductor</v>
      </c>
      <c r="C1001" s="6">
        <v>36</v>
      </c>
      <c r="D1001" s="7">
        <v>3.38</v>
      </c>
      <c r="E1001" t="s">
        <v>7</v>
      </c>
    </row>
    <row r="1002" spans="1:5" x14ac:dyDescent="0.25">
      <c r="A1002" t="str">
        <f>HYPERLINK("https://www.773grp.com/globalSearch/LM2674LD-3.3-NOPB/page-1", "LM2674LD-3.3-NOPB")</f>
        <v>LM2674LD-3.3-NOPB</v>
      </c>
      <c r="B1002" s="3" t="str">
        <f>HYPERLINK("https://www.773grp.com/manufacturer/national-semiconductor?pageNo=63", "National Semiconductor")</f>
        <v>National Semiconductor</v>
      </c>
      <c r="C1002" s="6">
        <v>1000</v>
      </c>
      <c r="D1002" s="7">
        <v>3.38</v>
      </c>
    </row>
    <row r="1003" spans="1:5" x14ac:dyDescent="0.25">
      <c r="A1003" t="str">
        <f>HYPERLINK("https://www.773grp.com/globalSearch/LM2674LD-ADJ/page-1", "LM2674LD-ADJ")</f>
        <v>LM2674LD-ADJ</v>
      </c>
      <c r="B1003" s="3" t="str">
        <f>HYPERLINK("https://www.773grp.com/manufacturer/national-semiconductor?pageNo=64", "National Semiconductor")</f>
        <v>National Semiconductor</v>
      </c>
      <c r="C1003" s="6">
        <v>431</v>
      </c>
      <c r="D1003" s="7">
        <v>3.38</v>
      </c>
      <c r="E1003" t="s">
        <v>7</v>
      </c>
    </row>
    <row r="1004" spans="1:5" x14ac:dyDescent="0.25">
      <c r="A1004" t="str">
        <f>HYPERLINK("https://www.773grp.com/globalSearch/LM2674LD-ADJ-NOPB/page-1", "LM2674LD-ADJ-NOPB")</f>
        <v>LM2674LD-ADJ-NOPB</v>
      </c>
      <c r="B1004" s="3" t="str">
        <f>HYPERLINK("https://www.773grp.com/manufacturer/national-semiconductor?pageNo=65", "National Semiconductor")</f>
        <v>National Semiconductor</v>
      </c>
      <c r="C1004" s="6">
        <v>6790</v>
      </c>
      <c r="D1004" s="7">
        <v>3.38</v>
      </c>
    </row>
    <row r="1005" spans="1:5" x14ac:dyDescent="0.25">
      <c r="A1005" t="str">
        <f>HYPERLINK("https://www.773grp.com/globalSearch/LM2674LDX-5.0-NOPB/page-1", "LM2674LDX-5.0-NOPB")</f>
        <v>LM2674LDX-5.0-NOPB</v>
      </c>
      <c r="B1005" s="3" t="str">
        <f>HYPERLINK("https://www.773grp.com/manufacturer/national-semiconductor?pageNo=66", "National Semiconductor")</f>
        <v>National Semiconductor</v>
      </c>
      <c r="C1005" s="6">
        <v>3700</v>
      </c>
      <c r="D1005" s="7">
        <v>3.38</v>
      </c>
    </row>
    <row r="1006" spans="1:5" x14ac:dyDescent="0.25">
      <c r="A1006" t="str">
        <f>HYPERLINK("https://www.773grp.com/globalSearch/LM2674MX-3.3-NOPB/page-1", "LM2674MX-3.3-NOPB")</f>
        <v>LM2674MX-3.3-NOPB</v>
      </c>
      <c r="B1006" s="3" t="str">
        <f>HYPERLINK("https://www.773grp.com/manufacturer/national-semiconductor?pageNo=67", "National Semiconductor")</f>
        <v>National Semiconductor</v>
      </c>
      <c r="C1006" s="6">
        <v>11990</v>
      </c>
      <c r="D1006" s="7">
        <v>3.38</v>
      </c>
      <c r="E1006" t="s">
        <v>7</v>
      </c>
    </row>
    <row r="1007" spans="1:5" x14ac:dyDescent="0.25">
      <c r="A1007" t="str">
        <f>HYPERLINK("https://www.773grp.com/globalSearch/LM2674MX-5.0-NOPB/page-1", "LM2674MX-5.0-NOPB")</f>
        <v>LM2674MX-5.0-NOPB</v>
      </c>
      <c r="B1007" s="3" t="str">
        <f>HYPERLINK("https://www.773grp.com/manufacturer/national-semiconductor?pageNo=68", "National Semiconductor")</f>
        <v>National Semiconductor</v>
      </c>
      <c r="C1007" s="6">
        <v>7470</v>
      </c>
      <c r="D1007" s="7">
        <v>3.38</v>
      </c>
      <c r="E1007" t="s">
        <v>7</v>
      </c>
    </row>
    <row r="1008" spans="1:5" x14ac:dyDescent="0.25">
      <c r="A1008" t="str">
        <f>HYPERLINK("https://www.773grp.com/globalSearch/LM2674MX-ADJ-NOPB/page-1", "LM2674MX-ADJ-NOPB")</f>
        <v>LM2674MX-ADJ-NOPB</v>
      </c>
      <c r="B1008" s="3" t="str">
        <f>HYPERLINK("https://www.773grp.com/manufacturer/national-semiconductor?pageNo=69", "National Semiconductor")</f>
        <v>National Semiconductor</v>
      </c>
      <c r="C1008" s="6">
        <v>2500</v>
      </c>
      <c r="D1008" s="7">
        <v>3.38</v>
      </c>
      <c r="E1008" t="s">
        <v>7</v>
      </c>
    </row>
    <row r="1009" spans="1:5" x14ac:dyDescent="0.25">
      <c r="A1009" t="str">
        <f>HYPERLINK("https://www.773grp.com/globalSearch/LM2674N-12-NOPB/page-1", "LM2674N-12-NOPB")</f>
        <v>LM2674N-12-NOPB</v>
      </c>
      <c r="B1009" s="3" t="str">
        <f>HYPERLINK("https://www.773grp.com/manufacturer/national-semiconductor?pageNo=70", "National Semiconductor")</f>
        <v>National Semiconductor</v>
      </c>
      <c r="C1009" s="6">
        <v>164</v>
      </c>
      <c r="D1009" s="7">
        <v>3.38</v>
      </c>
      <c r="E1009" t="s">
        <v>7</v>
      </c>
    </row>
    <row r="1010" spans="1:5" x14ac:dyDescent="0.25">
      <c r="A1010" t="str">
        <f>HYPERLINK("https://www.773grp.com/globalSearch/LM2674N-3.3-NOPB/page-1", "LM2674N-3.3-NOPB")</f>
        <v>LM2674N-3.3-NOPB</v>
      </c>
      <c r="B1010" s="3" t="str">
        <f>HYPERLINK("https://www.773grp.com/manufacturer/national-semiconductor?pageNo=71", "National Semiconductor")</f>
        <v>National Semiconductor</v>
      </c>
      <c r="C1010" s="6">
        <v>232</v>
      </c>
      <c r="D1010" s="7">
        <v>3.38</v>
      </c>
      <c r="E1010" t="s">
        <v>7</v>
      </c>
    </row>
    <row r="1011" spans="1:5" x14ac:dyDescent="0.25">
      <c r="A1011" t="str">
        <f>HYPERLINK("https://www.773grp.com/globalSearch/LM2674N-5.0-NOPB/page-1", "LM2674N-5.0-NOPB")</f>
        <v>LM2674N-5.0-NOPB</v>
      </c>
      <c r="B1011" s="3" t="str">
        <f>HYPERLINK("https://www.773grp.com/manufacturer/national-semiconductor?pageNo=72", "National Semiconductor")</f>
        <v>National Semiconductor</v>
      </c>
      <c r="C1011" s="6">
        <v>20</v>
      </c>
      <c r="D1011" s="7">
        <v>3.38</v>
      </c>
      <c r="E1011" t="s">
        <v>7</v>
      </c>
    </row>
    <row r="1012" spans="1:5" x14ac:dyDescent="0.25">
      <c r="A1012" t="str">
        <f>HYPERLINK("https://www.773grp.com/globalSearch/LM2674N-ADJ/page-1", "LM2674N-ADJ")</f>
        <v>LM2674N-ADJ</v>
      </c>
      <c r="B1012" s="3" t="str">
        <f>HYPERLINK("https://www.773grp.com/manufacturer/national-semiconductor?pageNo=73", "National Semiconductor")</f>
        <v>National Semiconductor</v>
      </c>
      <c r="C1012" s="6">
        <v>20</v>
      </c>
      <c r="D1012" s="7">
        <v>3.38</v>
      </c>
      <c r="E1012" t="s">
        <v>7</v>
      </c>
    </row>
    <row r="1013" spans="1:5" x14ac:dyDescent="0.25">
      <c r="A1013" t="str">
        <f>HYPERLINK("https://www.773grp.com/globalSearch/LM2674N-ADJ-NOPB/page-1", "LM2674N-ADJ-NOPB")</f>
        <v>LM2674N-ADJ-NOPB</v>
      </c>
      <c r="B1013" s="3" t="str">
        <f>HYPERLINK("https://www.773grp.com/manufacturer/national-semiconductor?pageNo=74", "National Semiconductor")</f>
        <v>National Semiconductor</v>
      </c>
      <c r="C1013" s="6">
        <v>2619</v>
      </c>
      <c r="D1013" s="7">
        <v>3.38</v>
      </c>
      <c r="E1013" t="s">
        <v>7</v>
      </c>
    </row>
    <row r="1014" spans="1:5" x14ac:dyDescent="0.25">
      <c r="A1014" t="str">
        <f>HYPERLINK("https://www.773grp.com/globalSearch/LM2694MT-NOPB/page-1", "LM2694MT-NOPB")</f>
        <v>LM2694MT-NOPB</v>
      </c>
      <c r="B1014" s="3" t="str">
        <f>HYPERLINK("https://www.773grp.com/manufacturer/national-semiconductor?pageNo=75", "National Semiconductor")</f>
        <v>National Semiconductor</v>
      </c>
      <c r="C1014" s="6">
        <v>45</v>
      </c>
      <c r="D1014" s="7">
        <v>3.38</v>
      </c>
    </row>
    <row r="1015" spans="1:5" x14ac:dyDescent="0.25">
      <c r="A1015" t="str">
        <f>HYPERLINK("https://www.773grp.com/globalSearch/LM27222M-NOPB/page-1", "LM27222M-NOPB")</f>
        <v>LM27222M-NOPB</v>
      </c>
      <c r="B1015" s="3" t="str">
        <f>HYPERLINK("https://www.773grp.com/manufacturer/national-semiconductor?pageNo=76", "National Semiconductor")</f>
        <v>National Semiconductor</v>
      </c>
      <c r="C1015" s="6">
        <v>1140</v>
      </c>
      <c r="D1015" s="7">
        <v>3.38</v>
      </c>
      <c r="E1015" t="s">
        <v>16</v>
      </c>
    </row>
    <row r="1016" spans="1:5" x14ac:dyDescent="0.25">
      <c r="A1016" t="str">
        <f>HYPERLINK("https://www.773grp.com/globalSearch/LM2733XMF/page-1", "LM2733XMF")</f>
        <v>LM2733XMF</v>
      </c>
      <c r="B1016" s="3" t="str">
        <f>HYPERLINK("https://www.773grp.com/manufacturer/national-semiconductor?pageNo=77", "National Semiconductor")</f>
        <v>National Semiconductor</v>
      </c>
      <c r="C1016" s="6">
        <v>4000</v>
      </c>
      <c r="D1016" s="7">
        <v>3.38</v>
      </c>
      <c r="E1016" t="s">
        <v>7</v>
      </c>
    </row>
    <row r="1017" spans="1:5" x14ac:dyDescent="0.25">
      <c r="A1017" t="str">
        <f>HYPERLINK("https://www.773grp.com/globalSearch/LM2733YMF/page-1", "LM2733YMF")</f>
        <v>LM2733YMF</v>
      </c>
      <c r="B1017" s="3" t="str">
        <f>HYPERLINK("https://www.773grp.com/manufacturer/national-semiconductor?pageNo=78", "National Semiconductor")</f>
        <v>National Semiconductor</v>
      </c>
      <c r="C1017" s="6">
        <v>2750</v>
      </c>
      <c r="D1017" s="7">
        <v>3.38</v>
      </c>
      <c r="E1017" t="s">
        <v>7</v>
      </c>
    </row>
    <row r="1018" spans="1:5" x14ac:dyDescent="0.25">
      <c r="A1018" t="str">
        <f>HYPERLINK("https://www.773grp.com/globalSearch/LM27342SD-NOPB/page-1", "LM27342SD-NOPB")</f>
        <v>LM27342SD-NOPB</v>
      </c>
      <c r="B1018" s="3" t="str">
        <f>HYPERLINK("https://www.773grp.com/manufacturer/national-semiconductor?pageNo=79", "National Semiconductor")</f>
        <v>National Semiconductor</v>
      </c>
      <c r="C1018" s="6">
        <v>3000</v>
      </c>
      <c r="D1018" s="7">
        <v>3.38</v>
      </c>
    </row>
    <row r="1019" spans="1:5" x14ac:dyDescent="0.25">
      <c r="A1019" t="str">
        <f>HYPERLINK("https://www.773grp.com/globalSearch/LM2734XMK-NOPB/page-1", "LM2734XMK-NOPB")</f>
        <v>LM2734XMK-NOPB</v>
      </c>
      <c r="B1019" s="3" t="str">
        <f>HYPERLINK("https://www.773grp.com/manufacturer/national-semiconductor?pageNo=80", "National Semiconductor")</f>
        <v>National Semiconductor</v>
      </c>
      <c r="C1019" s="6">
        <v>34831</v>
      </c>
      <c r="D1019" s="7">
        <v>3.38</v>
      </c>
      <c r="E1019" t="s">
        <v>7</v>
      </c>
    </row>
    <row r="1020" spans="1:5" x14ac:dyDescent="0.25">
      <c r="A1020" t="str">
        <f>HYPERLINK("https://www.773grp.com/globalSearch/LM2734XMKX-NOPB/page-1", "LM2734XMKX-NOPB")</f>
        <v>LM2734XMKX-NOPB</v>
      </c>
      <c r="B1020" s="3" t="str">
        <f>HYPERLINK("https://www.773grp.com/manufacturer/national-semiconductor?pageNo=81", "National Semiconductor")</f>
        <v>National Semiconductor</v>
      </c>
      <c r="C1020" s="6">
        <v>2800</v>
      </c>
      <c r="D1020" s="7">
        <v>3.38</v>
      </c>
      <c r="E1020" t="s">
        <v>7</v>
      </c>
    </row>
    <row r="1021" spans="1:5" x14ac:dyDescent="0.25">
      <c r="A1021" t="str">
        <f>HYPERLINK("https://www.773grp.com/globalSearch/LM2737MTCX/page-1", "LM2737MTCX")</f>
        <v>LM2737MTCX</v>
      </c>
      <c r="B1021" s="3" t="str">
        <f>HYPERLINK("https://www.773grp.com/manufacturer/national-semiconductor?pageNo=82", "National Semiconductor")</f>
        <v>National Semiconductor</v>
      </c>
      <c r="C1021" s="6">
        <v>47500</v>
      </c>
      <c r="D1021" s="7">
        <v>3.38</v>
      </c>
      <c r="E1021" t="s">
        <v>7</v>
      </c>
    </row>
    <row r="1022" spans="1:5" x14ac:dyDescent="0.25">
      <c r="A1022" t="str">
        <f>HYPERLINK("https://www.773grp.com/globalSearch/LM2738XMY-NOPB/page-1", "LM2738XMY-NOPB")</f>
        <v>LM2738XMY-NOPB</v>
      </c>
      <c r="B1022" s="3" t="str">
        <f>HYPERLINK("https://www.773grp.com/manufacturer/national-semiconductor?pageNo=83", "National Semiconductor")</f>
        <v>National Semiconductor</v>
      </c>
      <c r="C1022" s="6">
        <v>2800</v>
      </c>
      <c r="D1022" s="7">
        <v>3.38</v>
      </c>
    </row>
    <row r="1023" spans="1:5" x14ac:dyDescent="0.25">
      <c r="A1023" t="str">
        <f>HYPERLINK("https://www.773grp.com/globalSearch/LM2738XSD-NOPB/page-1", "LM2738XSD-NOPB")</f>
        <v>LM2738XSD-NOPB</v>
      </c>
      <c r="B1023" s="3" t="str">
        <f>HYPERLINK("https://www.773grp.com/manufacturer/national-semiconductor?pageNo=84", "National Semiconductor")</f>
        <v>National Semiconductor</v>
      </c>
      <c r="C1023" s="6">
        <v>2860</v>
      </c>
      <c r="D1023" s="7">
        <v>3.38</v>
      </c>
    </row>
    <row r="1024" spans="1:5" x14ac:dyDescent="0.25">
      <c r="A1024" t="str">
        <f>HYPERLINK("https://www.773grp.com/globalSearch/LM2738YMY-NOPB/page-1", "LM2738YMY-NOPB")</f>
        <v>LM2738YMY-NOPB</v>
      </c>
      <c r="B1024" s="3" t="str">
        <f>HYPERLINK("https://www.773grp.com/manufacturer/national-semiconductor?pageNo=85", "National Semiconductor")</f>
        <v>National Semiconductor</v>
      </c>
      <c r="C1024" s="6">
        <v>1000</v>
      </c>
      <c r="D1024" s="7">
        <v>3.38</v>
      </c>
    </row>
    <row r="1025" spans="1:5" x14ac:dyDescent="0.25">
      <c r="A1025" t="str">
        <f>HYPERLINK("https://www.773grp.com/globalSearch/LM2738YSD-NOPB/page-1", "LM2738YSD-NOPB")</f>
        <v>LM2738YSD-NOPB</v>
      </c>
      <c r="B1025" s="3" t="str">
        <f>HYPERLINK("https://www.773grp.com/manufacturer/national-semiconductor?pageNo=86", "National Semiconductor")</f>
        <v>National Semiconductor</v>
      </c>
      <c r="C1025" s="6">
        <v>3786</v>
      </c>
      <c r="D1025" s="7">
        <v>3.38</v>
      </c>
    </row>
    <row r="1026" spans="1:5" x14ac:dyDescent="0.25">
      <c r="A1026" t="str">
        <f>HYPERLINK("https://www.773grp.com/globalSearch/LM3354MM-1.8-NOPB/page-1", "LM3354MM-1.8-NOPB")</f>
        <v>LM3354MM-1.8-NOPB</v>
      </c>
      <c r="B1026" s="3" t="str">
        <f>HYPERLINK("https://www.773grp.com/manufacturer/national-semiconductor?pageNo=87", "National Semiconductor")</f>
        <v>National Semiconductor</v>
      </c>
      <c r="C1026" s="6">
        <v>969</v>
      </c>
      <c r="D1026" s="7">
        <v>3.38</v>
      </c>
      <c r="E1026" t="s">
        <v>7</v>
      </c>
    </row>
    <row r="1027" spans="1:5" x14ac:dyDescent="0.25">
      <c r="A1027" t="str">
        <f>HYPERLINK("https://www.773grp.com/globalSearch/LM3354MM-3.3/page-1", "LM3354MM-3.3")</f>
        <v>LM3354MM-3.3</v>
      </c>
      <c r="B1027" s="3" t="str">
        <f>HYPERLINK("https://www.773grp.com/manufacturer/national-semiconductor?pageNo=88", "National Semiconductor")</f>
        <v>National Semiconductor</v>
      </c>
      <c r="C1027" s="6">
        <v>810</v>
      </c>
      <c r="D1027" s="7">
        <v>3.38</v>
      </c>
      <c r="E1027" t="s">
        <v>7</v>
      </c>
    </row>
    <row r="1028" spans="1:5" x14ac:dyDescent="0.25">
      <c r="A1028" t="str">
        <f>HYPERLINK("https://www.773grp.com/globalSearch/LM3354MM-3.3-NOPB/page-1", "LM3354MM-3.3-NOPB")</f>
        <v>LM3354MM-3.3-NOPB</v>
      </c>
      <c r="B1028" s="3" t="str">
        <f>HYPERLINK("https://www.773grp.com/manufacturer/national-semiconductor?pageNo=89", "National Semiconductor")</f>
        <v>National Semiconductor</v>
      </c>
      <c r="C1028" s="6">
        <v>720</v>
      </c>
      <c r="D1028" s="7">
        <v>3.38</v>
      </c>
      <c r="E1028" t="s">
        <v>7</v>
      </c>
    </row>
    <row r="1029" spans="1:5" x14ac:dyDescent="0.25">
      <c r="A1029" t="str">
        <f>HYPERLINK("https://www.773grp.com/globalSearch/LM3429MH-NOPB/page-1", "LM3429MH-NOPB")</f>
        <v>LM3429MH-NOPB</v>
      </c>
      <c r="B1029" s="3" t="str">
        <f>HYPERLINK("https://www.773grp.com/manufacturer/national-semiconductor?pageNo=90", "National Semiconductor")</f>
        <v>National Semiconductor</v>
      </c>
      <c r="C1029" s="6">
        <v>360</v>
      </c>
      <c r="D1029" s="7">
        <v>3.38</v>
      </c>
      <c r="E1029" t="s">
        <v>10</v>
      </c>
    </row>
    <row r="1030" spans="1:5" x14ac:dyDescent="0.25">
      <c r="A1030" t="str">
        <f>HYPERLINK("https://www.773grp.com/globalSearch/LM3431MHX-NOPB/page-1", "LM3431MHX-NOPB")</f>
        <v>LM3431MHX-NOPB</v>
      </c>
      <c r="B1030" s="3" t="str">
        <f>HYPERLINK("https://www.773grp.com/manufacturer/national-semiconductor?pageNo=91", "National Semiconductor")</f>
        <v>National Semiconductor</v>
      </c>
      <c r="C1030" s="6">
        <v>10000</v>
      </c>
      <c r="D1030" s="7">
        <v>3.38</v>
      </c>
    </row>
    <row r="1031" spans="1:5" x14ac:dyDescent="0.25">
      <c r="A1031" t="str">
        <f>HYPERLINK("https://www.773grp.com/globalSearch/LM3432SQ-NOPB/page-1", "LM3432SQ-NOPB")</f>
        <v>LM3432SQ-NOPB</v>
      </c>
      <c r="B1031" s="3" t="str">
        <f>HYPERLINK("https://www.773grp.com/manufacturer/national-semiconductor?pageNo=92", "National Semiconductor")</f>
        <v>National Semiconductor</v>
      </c>
      <c r="C1031" s="6">
        <v>1504</v>
      </c>
      <c r="D1031" s="7">
        <v>3.38</v>
      </c>
      <c r="E1031" t="s">
        <v>7</v>
      </c>
    </row>
    <row r="1032" spans="1:5" x14ac:dyDescent="0.25">
      <c r="A1032" t="str">
        <f>HYPERLINK("https://www.773grp.com/globalSearch/LM3450AMT-NOPB/page-1", "LM3450AMT-NOPB")</f>
        <v>LM3450AMT-NOPB</v>
      </c>
      <c r="B1032" s="3" t="str">
        <f>HYPERLINK("https://www.773grp.com/manufacturer/national-semiconductor?pageNo=93", "National Semiconductor")</f>
        <v>National Semiconductor</v>
      </c>
      <c r="C1032" s="6">
        <v>69</v>
      </c>
      <c r="D1032" s="7">
        <v>3.38</v>
      </c>
      <c r="E1032" t="s">
        <v>10</v>
      </c>
    </row>
    <row r="1033" spans="1:5" x14ac:dyDescent="0.25">
      <c r="A1033" t="str">
        <f>HYPERLINK("https://www.773grp.com/globalSearch/LM3477MM/page-1", "LM3477MM")</f>
        <v>LM3477MM</v>
      </c>
      <c r="B1033" s="3" t="str">
        <f>HYPERLINK("https://www.773grp.com/manufacturer/national-semiconductor?pageNo=94", "National Semiconductor")</f>
        <v>National Semiconductor</v>
      </c>
      <c r="C1033" s="6">
        <v>3000</v>
      </c>
      <c r="D1033" s="7">
        <v>3.38</v>
      </c>
      <c r="E1033" t="s">
        <v>7</v>
      </c>
    </row>
    <row r="1034" spans="1:5" x14ac:dyDescent="0.25">
      <c r="A1034" t="str">
        <f>HYPERLINK("https://www.773grp.com/globalSearch/LM34919TLX-NOPB/page-1", "LM34919TLX-NOPB")</f>
        <v>LM34919TLX-NOPB</v>
      </c>
      <c r="B1034" s="3" t="str">
        <f>HYPERLINK("https://www.773grp.com/manufacturer/national-semiconductor?pageNo=95", "National Semiconductor")</f>
        <v>National Semiconductor</v>
      </c>
      <c r="C1034" s="6">
        <v>30000</v>
      </c>
      <c r="D1034" s="7">
        <v>3.38</v>
      </c>
      <c r="E1034" t="s">
        <v>7</v>
      </c>
    </row>
    <row r="1035" spans="1:5" x14ac:dyDescent="0.25">
      <c r="A1035" t="str">
        <f>HYPERLINK("https://www.773grp.com/globalSearch/LM3492MH-NOPB/page-1", "LM3492MH-NOPB")</f>
        <v>LM3492MH-NOPB</v>
      </c>
      <c r="B1035" s="3" t="str">
        <f>HYPERLINK("https://www.773grp.com/manufacturer/national-semiconductor?pageNo=96", "National Semiconductor")</f>
        <v>National Semiconductor</v>
      </c>
      <c r="C1035" s="6">
        <v>153</v>
      </c>
      <c r="D1035" s="7">
        <v>3.38</v>
      </c>
    </row>
    <row r="1036" spans="1:5" x14ac:dyDescent="0.25">
      <c r="A1036" t="str">
        <f>HYPERLINK("https://www.773grp.com/globalSearch/LM361M/page-1", "LM361M")</f>
        <v>LM361M</v>
      </c>
      <c r="B1036" s="3" t="str">
        <f>HYPERLINK("https://www.773grp.com/manufacturer/national-semiconductor?pageNo=97", "National Semiconductor")</f>
        <v>National Semiconductor</v>
      </c>
      <c r="C1036" s="6">
        <v>2285</v>
      </c>
      <c r="D1036" s="7">
        <v>3.38</v>
      </c>
      <c r="E1036" t="s">
        <v>9</v>
      </c>
    </row>
    <row r="1037" spans="1:5" x14ac:dyDescent="0.25">
      <c r="A1037" t="str">
        <f>HYPERLINK("https://www.773grp.com/globalSearch/LM4050BEM3-2.5/page-1", "LM4050BEM3-2.5")</f>
        <v>LM4050BEM3-2.5</v>
      </c>
      <c r="B1037" s="3" t="str">
        <f>HYPERLINK("https://www.773grp.com/manufacturer/national-semiconductor?pageNo=98", "National Semiconductor")</f>
        <v>National Semiconductor</v>
      </c>
      <c r="C1037" s="6">
        <v>1000</v>
      </c>
      <c r="D1037" s="7">
        <v>3.38</v>
      </c>
      <c r="E1037" t="s">
        <v>17</v>
      </c>
    </row>
    <row r="1038" spans="1:5" x14ac:dyDescent="0.25">
      <c r="A1038" t="str">
        <f>HYPERLINK("https://www.773grp.com/globalSearch/LM4050BEM3-5.0/page-1", "LM4050BEM3-5.0")</f>
        <v>LM4050BEM3-5.0</v>
      </c>
      <c r="B1038" s="3" t="str">
        <f>HYPERLINK("https://www.773grp.com/manufacturer/national-semiconductor?pageNo=99", "National Semiconductor")</f>
        <v>National Semiconductor</v>
      </c>
      <c r="C1038" s="6">
        <v>3000</v>
      </c>
      <c r="D1038" s="7">
        <v>3.38</v>
      </c>
      <c r="E1038" t="s">
        <v>17</v>
      </c>
    </row>
    <row r="1039" spans="1:5" x14ac:dyDescent="0.25">
      <c r="A1039" t="str">
        <f>HYPERLINK("https://www.773grp.com/globalSearch/LM5008AMM-NOPB/page-1", "LM5008AMM-NOPB")</f>
        <v>LM5008AMM-NOPB</v>
      </c>
      <c r="B1039" s="3" t="str">
        <f>HYPERLINK("https://www.773grp.com/manufacturer/national-semiconductor?pageNo=100", "National Semiconductor")</f>
        <v>National Semiconductor</v>
      </c>
      <c r="C1039" s="6">
        <v>955</v>
      </c>
      <c r="D1039" s="7">
        <v>3.38</v>
      </c>
    </row>
    <row r="1040" spans="1:5" x14ac:dyDescent="0.25">
      <c r="A1040" t="str">
        <f>HYPERLINK("https://www.773grp.com/globalSearch/LM5008ASD-NOPB/page-1", "LM5008ASD-NOPB")</f>
        <v>LM5008ASD-NOPB</v>
      </c>
      <c r="B1040" s="3" t="str">
        <f>HYPERLINK("https://www.773grp.com/manufacturer/national-semiconductor?pageNo=101", "National Semiconductor")</f>
        <v>National Semiconductor</v>
      </c>
      <c r="C1040" s="6">
        <v>1000</v>
      </c>
      <c r="D1040" s="7">
        <v>3.38</v>
      </c>
    </row>
    <row r="1041" spans="1:5" x14ac:dyDescent="0.25">
      <c r="A1041" t="str">
        <f>HYPERLINK("https://www.773grp.com/globalSearch/LM5060Q1MM-NOPB/page-1", "LM5060Q1MM-NOPB")</f>
        <v>LM5060Q1MM-NOPB</v>
      </c>
      <c r="B1041" s="3" t="str">
        <f>HYPERLINK("https://www.773grp.com/manufacturer/national-semiconductor?pageNo=102", "National Semiconductor")</f>
        <v>National Semiconductor</v>
      </c>
      <c r="C1041" s="6">
        <v>1300</v>
      </c>
      <c r="D1041" s="7">
        <v>3.38</v>
      </c>
    </row>
    <row r="1042" spans="1:5" x14ac:dyDescent="0.25">
      <c r="A1042" t="str">
        <f>HYPERLINK("https://www.773grp.com/globalSearch/LM5101M/page-1", "LM5101M")</f>
        <v>LM5101M</v>
      </c>
      <c r="B1042" s="3" t="str">
        <f>HYPERLINK("https://www.773grp.com/manufacturer/national-semiconductor?pageNo=103", "National Semiconductor")</f>
        <v>National Semiconductor</v>
      </c>
      <c r="C1042" s="6">
        <v>214</v>
      </c>
      <c r="D1042" s="7">
        <v>3.38</v>
      </c>
      <c r="E1042" t="s">
        <v>11</v>
      </c>
    </row>
    <row r="1043" spans="1:5" x14ac:dyDescent="0.25">
      <c r="A1043" t="str">
        <f>HYPERLINK("https://www.773grp.com/globalSearch/LM63DIMA-NOPB/page-1", "LM63DIMA-NOPB")</f>
        <v>LM63DIMA-NOPB</v>
      </c>
      <c r="B1043" s="3" t="str">
        <f>HYPERLINK("https://www.773grp.com/manufacturer/national-semiconductor?pageNo=104", "National Semiconductor")</f>
        <v>National Semiconductor</v>
      </c>
      <c r="C1043" s="6">
        <v>536</v>
      </c>
      <c r="D1043" s="7">
        <v>3.38</v>
      </c>
      <c r="E1043" t="s">
        <v>12</v>
      </c>
    </row>
    <row r="1044" spans="1:5" x14ac:dyDescent="0.25">
      <c r="A1044" t="str">
        <f>HYPERLINK("https://www.773grp.com/globalSearch/LM7131ACM5/page-1", "LM7131ACM5")</f>
        <v>LM7131ACM5</v>
      </c>
      <c r="B1044" s="3" t="str">
        <f>HYPERLINK("https://www.773grp.com/manufacturer/national-semiconductor?pageNo=105", "National Semiconductor")</f>
        <v>National Semiconductor</v>
      </c>
      <c r="C1044" s="6">
        <v>81389</v>
      </c>
      <c r="D1044" s="7">
        <v>3.38</v>
      </c>
      <c r="E1044" t="s">
        <v>18</v>
      </c>
    </row>
    <row r="1045" spans="1:5" x14ac:dyDescent="0.25">
      <c r="A1045" t="str">
        <f>HYPERLINK("https://www.773grp.com/globalSearch/LM7322MME-NOPB/page-1", "LM7322MME-NOPB")</f>
        <v>LM7322MME-NOPB</v>
      </c>
      <c r="B1045" s="3" t="str">
        <f>HYPERLINK("https://www.773grp.com/manufacturer/national-semiconductor?pageNo=106", "National Semiconductor")</f>
        <v>National Semiconductor</v>
      </c>
      <c r="C1045" s="6">
        <v>200</v>
      </c>
      <c r="D1045" s="7">
        <v>3.38</v>
      </c>
    </row>
    <row r="1046" spans="1:5" x14ac:dyDescent="0.25">
      <c r="A1046" t="str">
        <f>HYPERLINK("https://www.773grp.com/globalSearch/LMC6042AIMX-NOPB/page-1", "LMC6042AIMX-NOPB")</f>
        <v>LMC6042AIMX-NOPB</v>
      </c>
      <c r="B1046" s="3" t="str">
        <f>HYPERLINK("https://www.773grp.com/manufacturer/national-semiconductor?pageNo=107", "National Semiconductor")</f>
        <v>National Semiconductor</v>
      </c>
      <c r="C1046" s="6">
        <v>7500</v>
      </c>
      <c r="D1046" s="7">
        <v>3.38</v>
      </c>
      <c r="E1046" t="s">
        <v>13</v>
      </c>
    </row>
    <row r="1047" spans="1:5" x14ac:dyDescent="0.25">
      <c r="A1047" t="str">
        <f>HYPERLINK("https://www.773grp.com/globalSearch/LMC6062IM-NOPB/page-1", "LMC6062IM-NOPB")</f>
        <v>LMC6062IM-NOPB</v>
      </c>
      <c r="B1047" s="3" t="str">
        <f>HYPERLINK("https://www.773grp.com/manufacturer/national-semiconductor?pageNo=108", "National Semiconductor")</f>
        <v>National Semiconductor</v>
      </c>
      <c r="C1047" s="6">
        <v>4873</v>
      </c>
      <c r="D1047" s="7">
        <v>3.38</v>
      </c>
      <c r="E1047" t="s">
        <v>13</v>
      </c>
    </row>
    <row r="1048" spans="1:5" x14ac:dyDescent="0.25">
      <c r="A1048" t="str">
        <f>HYPERLINK("https://www.773grp.com/globalSearch/LMC6492BEM-NOPB/page-1", "LMC6492BEM-NOPB")</f>
        <v>LMC6492BEM-NOPB</v>
      </c>
      <c r="B1048" s="3" t="str">
        <f>HYPERLINK("https://www.773grp.com/manufacturer/national-semiconductor?pageNo=109", "National Semiconductor")</f>
        <v>National Semiconductor</v>
      </c>
      <c r="C1048" s="6">
        <v>1884</v>
      </c>
      <c r="D1048" s="7">
        <v>3.38</v>
      </c>
      <c r="E1048" t="s">
        <v>13</v>
      </c>
    </row>
    <row r="1049" spans="1:5" x14ac:dyDescent="0.25">
      <c r="A1049" t="str">
        <f>HYPERLINK("https://www.773grp.com/globalSearch/LMC6492BEMX/page-1", "LMC6492BEMX")</f>
        <v>LMC6492BEMX</v>
      </c>
      <c r="B1049" s="3" t="str">
        <f>HYPERLINK("https://www.773grp.com/manufacturer/national-semiconductor?pageNo=110", "National Semiconductor")</f>
        <v>National Semiconductor</v>
      </c>
      <c r="C1049" s="6">
        <v>2500</v>
      </c>
      <c r="D1049" s="7">
        <v>3.38</v>
      </c>
      <c r="E1049" t="s">
        <v>13</v>
      </c>
    </row>
    <row r="1050" spans="1:5" x14ac:dyDescent="0.25">
      <c r="A1050" t="str">
        <f>HYPERLINK("https://www.773grp.com/globalSearch/LME49880MR-NOPB/page-1", "LME49880MR-NOPB")</f>
        <v>LME49880MR-NOPB</v>
      </c>
      <c r="B1050" s="3" t="str">
        <f>HYPERLINK("https://www.773grp.com/manufacturer/national-semiconductor?pageNo=111", "National Semiconductor")</f>
        <v>National Semiconductor</v>
      </c>
      <c r="C1050" s="6">
        <v>285</v>
      </c>
      <c r="D1050" s="7">
        <v>3.38</v>
      </c>
    </row>
    <row r="1051" spans="1:5" x14ac:dyDescent="0.25">
      <c r="A1051" t="str">
        <f>HYPERLINK("https://www.773grp.com/globalSearch/LMH6714MA/page-1", "LMH6714MA")</f>
        <v>LMH6714MA</v>
      </c>
      <c r="B1051" s="3" t="str">
        <f>HYPERLINK("https://www.773grp.com/manufacturer/national-semiconductor?pageNo=112", "National Semiconductor")</f>
        <v>National Semiconductor</v>
      </c>
      <c r="C1051" s="6">
        <v>19</v>
      </c>
      <c r="D1051" s="7">
        <v>3.38</v>
      </c>
      <c r="E1051" t="s">
        <v>18</v>
      </c>
    </row>
    <row r="1052" spans="1:5" x14ac:dyDescent="0.25">
      <c r="A1052" t="str">
        <f>HYPERLINK("https://www.773grp.com/globalSearch/LMH6724MA-NOPB/page-1", "LMH6724MA-NOPB")</f>
        <v>LMH6724MA-NOPB</v>
      </c>
      <c r="B1052" s="3" t="str">
        <f>HYPERLINK("https://www.773grp.com/manufacturer/national-semiconductor?pageNo=113", "National Semiconductor")</f>
        <v>National Semiconductor</v>
      </c>
      <c r="C1052" s="6">
        <v>190</v>
      </c>
      <c r="D1052" s="7">
        <v>3.38</v>
      </c>
      <c r="E1052" t="s">
        <v>13</v>
      </c>
    </row>
    <row r="1053" spans="1:5" x14ac:dyDescent="0.25">
      <c r="A1053" t="str">
        <f>HYPERLINK("https://www.773grp.com/globalSearch/LMP2021MA-NOPB/page-1", "LMP2021MA-NOPB")</f>
        <v>LMP2021MA-NOPB</v>
      </c>
      <c r="B1053" s="3" t="str">
        <f>HYPERLINK("https://www.773grp.com/manufacturer/national-semiconductor?pageNo=114", "National Semiconductor")</f>
        <v>National Semiconductor</v>
      </c>
      <c r="C1053" s="6">
        <v>655</v>
      </c>
      <c r="D1053" s="7">
        <v>3.38</v>
      </c>
    </row>
    <row r="1054" spans="1:5" x14ac:dyDescent="0.25">
      <c r="A1054" t="str">
        <f>HYPERLINK("https://www.773grp.com/globalSearch/LMS1587CS-1.5-NOPB/page-1", "LMS1587CS-1.5-NOPB")</f>
        <v>LMS1587CS-1.5-NOPB</v>
      </c>
      <c r="B1054" s="3" t="str">
        <f>HYPERLINK("https://www.773grp.com/manufacturer/national-semiconductor?pageNo=115", "National Semiconductor")</f>
        <v>National Semiconductor</v>
      </c>
      <c r="C1054" s="6">
        <v>720</v>
      </c>
      <c r="D1054" s="7">
        <v>3.38</v>
      </c>
      <c r="E1054" t="s">
        <v>19</v>
      </c>
    </row>
    <row r="1055" spans="1:5" x14ac:dyDescent="0.25">
      <c r="A1055" t="str">
        <f>HYPERLINK("https://www.773grp.com/globalSearch/LMS1587CS-3.3-NOPB/page-1", "LMS1587CS-3.3-NOPB")</f>
        <v>LMS1587CS-3.3-NOPB</v>
      </c>
      <c r="B1055" s="3" t="str">
        <f>HYPERLINK("https://www.773grp.com/manufacturer/national-semiconductor?pageNo=116", "National Semiconductor")</f>
        <v>National Semiconductor</v>
      </c>
      <c r="C1055" s="6">
        <v>984</v>
      </c>
      <c r="D1055" s="7">
        <v>3.38</v>
      </c>
      <c r="E1055" t="s">
        <v>19</v>
      </c>
    </row>
    <row r="1056" spans="1:5" x14ac:dyDescent="0.25">
      <c r="A1056" t="str">
        <f>HYPERLINK("https://www.773grp.com/globalSearch/LMS1587CS-ADJ-NOPB/page-1", "LMS1587CS-ADJ-NOPB")</f>
        <v>LMS1587CS-ADJ-NOPB</v>
      </c>
      <c r="B1056" s="3" t="str">
        <f>HYPERLINK("https://www.773grp.com/manufacturer/national-semiconductor?pageNo=117", "National Semiconductor")</f>
        <v>National Semiconductor</v>
      </c>
      <c r="C1056" s="6">
        <v>475</v>
      </c>
      <c r="D1056" s="7">
        <v>3.38</v>
      </c>
      <c r="E1056" t="s">
        <v>25</v>
      </c>
    </row>
    <row r="1057" spans="1:5" x14ac:dyDescent="0.25">
      <c r="A1057" t="str">
        <f>HYPERLINK("https://www.773grp.com/globalSearch/LMS1587IS-1.5-NOPB/page-1", "LMS1587IS-1.5-NOPB")</f>
        <v>LMS1587IS-1.5-NOPB</v>
      </c>
      <c r="B1057" s="3" t="str">
        <f>HYPERLINK("https://www.773grp.com/manufacturer/national-semiconductor?pageNo=118", "National Semiconductor")</f>
        <v>National Semiconductor</v>
      </c>
      <c r="C1057" s="6">
        <v>135</v>
      </c>
      <c r="D1057" s="7">
        <v>3.38</v>
      </c>
      <c r="E1057" t="s">
        <v>19</v>
      </c>
    </row>
    <row r="1058" spans="1:5" x14ac:dyDescent="0.25">
      <c r="A1058" t="str">
        <f>HYPERLINK("https://www.773grp.com/globalSearch/LMS1587IS-ADJ-NOPB/page-1", "LMS1587IS-ADJ-NOPB")</f>
        <v>LMS1587IS-ADJ-NOPB</v>
      </c>
      <c r="B1058" s="3" t="str">
        <f>HYPERLINK("https://www.773grp.com/manufacturer/national-semiconductor?pageNo=119", "National Semiconductor")</f>
        <v>National Semiconductor</v>
      </c>
      <c r="C1058" s="6">
        <v>1603</v>
      </c>
      <c r="D1058" s="7">
        <v>3.38</v>
      </c>
      <c r="E1058" t="s">
        <v>25</v>
      </c>
    </row>
    <row r="1059" spans="1:5" x14ac:dyDescent="0.25">
      <c r="A1059" t="str">
        <f>HYPERLINK("https://www.773grp.com/globalSearch/LMV762MA/page-1", "LMV762MA")</f>
        <v>LMV762MA</v>
      </c>
      <c r="B1059" s="3" t="str">
        <f>HYPERLINK("https://www.773grp.com/manufacturer/national-semiconductor?pageNo=120", "National Semiconductor")</f>
        <v>National Semiconductor</v>
      </c>
      <c r="C1059" s="6">
        <v>257</v>
      </c>
      <c r="D1059" s="7">
        <v>3.38</v>
      </c>
      <c r="E1059" t="s">
        <v>9</v>
      </c>
    </row>
    <row r="1060" spans="1:5" x14ac:dyDescent="0.25">
      <c r="A1060" t="str">
        <f>HYPERLINK("https://www.773grp.com/globalSearch/LP38513S-1.8-NOPB/page-1", "LP38513S-1.8-NOPB")</f>
        <v>LP38513S-1.8-NOPB</v>
      </c>
      <c r="B1060" s="3" t="str">
        <f>HYPERLINK("https://www.773grp.com/manufacturer/national-semiconductor?pageNo=121", "National Semiconductor")</f>
        <v>National Semiconductor</v>
      </c>
      <c r="C1060" s="6">
        <v>902</v>
      </c>
      <c r="D1060" s="7">
        <v>3.38</v>
      </c>
      <c r="E1060" t="s">
        <v>19</v>
      </c>
    </row>
    <row r="1061" spans="1:5" x14ac:dyDescent="0.25">
      <c r="A1061" t="str">
        <f>HYPERLINK("https://www.773grp.com/globalSearch/LP38513T-1.8-NOPB/page-1", "LP38513T-1.8-NOPB")</f>
        <v>LP38513T-1.8-NOPB</v>
      </c>
      <c r="B1061" s="3" t="str">
        <f>HYPERLINK("https://www.773grp.com/manufacturer/national-semiconductor?pageNo=122", "National Semiconductor")</f>
        <v>National Semiconductor</v>
      </c>
      <c r="C1061" s="6">
        <v>360</v>
      </c>
      <c r="D1061" s="7">
        <v>3.38</v>
      </c>
    </row>
    <row r="1062" spans="1:5" x14ac:dyDescent="0.25">
      <c r="A1062" t="str">
        <f>HYPERLINK("https://www.773grp.com/globalSearch/LP38842MR-ADJ-NOPB/page-1", "LP38842MR-ADJ-NOPB")</f>
        <v>LP38842MR-ADJ-NOPB</v>
      </c>
      <c r="B1062" s="3" t="str">
        <f>HYPERLINK("https://www.773grp.com/manufacturer/national-semiconductor?pageNo=123", "National Semiconductor")</f>
        <v>National Semiconductor</v>
      </c>
      <c r="C1062" s="6">
        <v>1195</v>
      </c>
      <c r="D1062" s="7">
        <v>3.38</v>
      </c>
    </row>
    <row r="1063" spans="1:5" x14ac:dyDescent="0.25">
      <c r="A1063" t="str">
        <f>HYPERLINK("https://www.773grp.com/globalSearch/MM74HC181WM/page-1", "MM74HC181WM")</f>
        <v>MM74HC181WM</v>
      </c>
      <c r="B1063" s="3" t="str">
        <f>HYPERLINK("https://www.773grp.com/manufacturer/national-semiconductor?pageNo=124", "National Semiconductor")</f>
        <v>National Semiconductor</v>
      </c>
      <c r="C1063" s="6">
        <v>1410</v>
      </c>
      <c r="D1063" s="7">
        <v>3.38</v>
      </c>
      <c r="E1063" t="s">
        <v>43</v>
      </c>
    </row>
    <row r="1064" spans="1:5" x14ac:dyDescent="0.25">
      <c r="A1064" t="str">
        <f>HYPERLINK("https://www.773grp.com/globalSearch/ADC101S021CISD/page-1", "ADC101S021CISD")</f>
        <v>ADC101S021CISD</v>
      </c>
      <c r="B1064" s="3" t="str">
        <f>HYPERLINK("https://www.773grp.com/manufacturer/national-semiconductor?pageNo=125", "National Semiconductor")</f>
        <v>National Semiconductor</v>
      </c>
      <c r="C1064" s="6">
        <v>2000</v>
      </c>
      <c r="D1064" s="7">
        <v>3.38</v>
      </c>
    </row>
    <row r="1065" spans="1:5" x14ac:dyDescent="0.25">
      <c r="A1065" t="str">
        <f>HYPERLINK("https://www.773grp.com/globalSearch/ADC102S021CIMM-NOPB/page-1", "ADC102S021CIMM-NOPB")</f>
        <v>ADC102S021CIMM-NOPB</v>
      </c>
      <c r="B1065" s="3" t="str">
        <f>HYPERLINK("https://www.773grp.com/manufacturer/national-semiconductor?pageNo=126", "National Semiconductor")</f>
        <v>National Semiconductor</v>
      </c>
      <c r="C1065" s="6">
        <v>2000</v>
      </c>
      <c r="D1065" s="7">
        <v>3.38</v>
      </c>
      <c r="E1065" t="s">
        <v>39</v>
      </c>
    </row>
    <row r="1066" spans="1:5" x14ac:dyDescent="0.25">
      <c r="A1066" t="str">
        <f>HYPERLINK("https://www.773grp.com/globalSearch/DS90LV031ATM-NOPB/page-1", "DS90LV031ATM-NOPB")</f>
        <v>DS90LV031ATM-NOPB</v>
      </c>
      <c r="B1066" s="3" t="str">
        <f>HYPERLINK("https://www.773grp.com/manufacturer/national-semiconductor?pageNo=127", "National Semiconductor")</f>
        <v>National Semiconductor</v>
      </c>
      <c r="C1066" s="6">
        <v>471</v>
      </c>
      <c r="D1066" s="7">
        <v>3.38</v>
      </c>
      <c r="E1066" t="s">
        <v>21</v>
      </c>
    </row>
    <row r="1067" spans="1:5" x14ac:dyDescent="0.25">
      <c r="A1067" t="str">
        <f>HYPERLINK("https://www.773grp.com/globalSearch/DS90LV031ATMTC-NOPB/page-1", "DS90LV031ATMTC-NOPB")</f>
        <v>DS90LV031ATMTC-NOPB</v>
      </c>
      <c r="B1067" s="3" t="str">
        <f>HYPERLINK("https://www.773grp.com/manufacturer/national-semiconductor?pageNo=128", "National Semiconductor")</f>
        <v>National Semiconductor</v>
      </c>
      <c r="C1067" s="6">
        <v>235</v>
      </c>
      <c r="D1067" s="7">
        <v>3.38</v>
      </c>
      <c r="E1067" t="s">
        <v>21</v>
      </c>
    </row>
    <row r="1068" spans="1:5" x14ac:dyDescent="0.25">
      <c r="A1068" t="str">
        <f>HYPERLINK("https://www.773grp.com/globalSearch/DS90LV032ATM-NOPB/page-1", "DS90LV032ATM-NOPB")</f>
        <v>DS90LV032ATM-NOPB</v>
      </c>
      <c r="B1068" s="3" t="str">
        <f>HYPERLINK("https://www.773grp.com/manufacturer/national-semiconductor?pageNo=129", "National Semiconductor")</f>
        <v>National Semiconductor</v>
      </c>
      <c r="C1068" s="6">
        <v>143</v>
      </c>
      <c r="D1068" s="7">
        <v>3.38</v>
      </c>
      <c r="E1068" t="s">
        <v>21</v>
      </c>
    </row>
    <row r="1069" spans="1:5" x14ac:dyDescent="0.25">
      <c r="A1069" t="str">
        <f>HYPERLINK("https://www.773grp.com/globalSearch/DS90LV032ATMTC-NOPB/page-1", "DS90LV032ATMTC-NOPB")</f>
        <v>DS90LV032ATMTC-NOPB</v>
      </c>
      <c r="B1069" s="3" t="str">
        <f>HYPERLINK("https://www.773grp.com/manufacturer/national-semiconductor?pageNo=130", "National Semiconductor")</f>
        <v>National Semiconductor</v>
      </c>
      <c r="C1069" s="6">
        <v>299</v>
      </c>
      <c r="D1069" s="7">
        <v>3.38</v>
      </c>
      <c r="E1069" t="s">
        <v>21</v>
      </c>
    </row>
    <row r="1070" spans="1:5" x14ac:dyDescent="0.25">
      <c r="A1070" t="str">
        <f>HYPERLINK("https://www.773grp.com/globalSearch/DS90LV049TMT-NOPB/page-1", "DS90LV049TMT-NOPB")</f>
        <v>DS90LV049TMT-NOPB</v>
      </c>
      <c r="B1070" s="3" t="str">
        <f>HYPERLINK("https://www.773grp.com/manufacturer/national-semiconductor?pageNo=131", "National Semiconductor")</f>
        <v>National Semiconductor</v>
      </c>
      <c r="C1070" s="6">
        <v>222</v>
      </c>
      <c r="D1070" s="7">
        <v>3.38</v>
      </c>
      <c r="E1070" t="s">
        <v>21</v>
      </c>
    </row>
    <row r="1071" spans="1:5" x14ac:dyDescent="0.25">
      <c r="A1071" t="str">
        <f>HYPERLINK("https://www.773grp.com/globalSearch/DS92001TMA-NOPB/page-1", "DS92001TMA-NOPB")</f>
        <v>DS92001TMA-NOPB</v>
      </c>
      <c r="B1071" s="3" t="str">
        <f>HYPERLINK("https://www.773grp.com/manufacturer/national-semiconductor?pageNo=132", "National Semiconductor")</f>
        <v>National Semiconductor</v>
      </c>
      <c r="C1071" s="6">
        <v>177</v>
      </c>
      <c r="D1071" s="7">
        <v>3.38</v>
      </c>
      <c r="E1071" t="s">
        <v>21</v>
      </c>
    </row>
    <row r="1072" spans="1:5" x14ac:dyDescent="0.25">
      <c r="A1072" t="str">
        <f>HYPERLINK("https://www.773grp.com/globalSearch/LM10506TMX-A-NOPB/page-1", "LM10506TMX-A-NOPB")</f>
        <v>LM10506TMX-A-NOPB</v>
      </c>
      <c r="B1072" s="3" t="str">
        <f>HYPERLINK("https://www.773grp.com/manufacturer/national-semiconductor?pageNo=133", "National Semiconductor")</f>
        <v>National Semiconductor</v>
      </c>
      <c r="C1072" s="6">
        <v>1249</v>
      </c>
      <c r="D1072" s="7">
        <v>3.38</v>
      </c>
    </row>
    <row r="1073" spans="1:5" x14ac:dyDescent="0.25">
      <c r="A1073" t="str">
        <f>HYPERLINK("https://www.773grp.com/globalSearch/LM1084IS-3.3-NOPB/page-1", "LM1084IS-3.3-NOPB")</f>
        <v>LM1084IS-3.3-NOPB</v>
      </c>
      <c r="B1073" s="3" t="str">
        <f>HYPERLINK("https://www.773grp.com/manufacturer/national-semiconductor?pageNo=134", "National Semiconductor")</f>
        <v>National Semiconductor</v>
      </c>
      <c r="C1073" s="6">
        <v>361</v>
      </c>
      <c r="D1073" s="7">
        <v>3.38</v>
      </c>
      <c r="E1073" t="s">
        <v>19</v>
      </c>
    </row>
    <row r="1074" spans="1:5" x14ac:dyDescent="0.25">
      <c r="A1074" t="str">
        <f>HYPERLINK("https://www.773grp.com/globalSearch/LM1084IS-5.0-NOPB/page-1", "LM1084IS-5.0-NOPB")</f>
        <v>LM1084IS-5.0-NOPB</v>
      </c>
      <c r="B1074" s="3" t="str">
        <f>HYPERLINK("https://www.773grp.com/manufacturer/national-semiconductor?pageNo=1", "National Semiconductor")</f>
        <v>National Semiconductor</v>
      </c>
      <c r="C1074" s="6">
        <v>285</v>
      </c>
      <c r="D1074" s="7">
        <v>3.38</v>
      </c>
      <c r="E1074" t="s">
        <v>19</v>
      </c>
    </row>
    <row r="1075" spans="1:5" x14ac:dyDescent="0.25">
      <c r="A1075" t="str">
        <f>HYPERLINK("https://www.773grp.com/globalSearch/LM1084IS-ADJ-NOPB/page-1", "LM1084IS-ADJ-NOPB")</f>
        <v>LM1084IS-ADJ-NOPB</v>
      </c>
      <c r="B1075" s="3" t="str">
        <f>HYPERLINK("https://www.773grp.com/manufacturer/national-semiconductor?pageNo=2", "National Semiconductor")</f>
        <v>National Semiconductor</v>
      </c>
      <c r="C1075" s="6">
        <v>615</v>
      </c>
      <c r="D1075" s="7">
        <v>3.38</v>
      </c>
      <c r="E1075" t="s">
        <v>25</v>
      </c>
    </row>
    <row r="1076" spans="1:5" x14ac:dyDescent="0.25">
      <c r="A1076" t="str">
        <f>HYPERLINK("https://www.773grp.com/globalSearch/LM1084IS-ADJ-NOPB/page-1", "LM1084IS-ADJ-NOPB")</f>
        <v>LM1084IS-ADJ-NOPB</v>
      </c>
      <c r="B1076" s="3" t="str">
        <f>HYPERLINK("https://www.773grp.com/manufacturer/national-semiconductor?pageNo=3", "National Semiconductor")</f>
        <v>National Semiconductor</v>
      </c>
      <c r="C1076" s="6">
        <v>701</v>
      </c>
      <c r="D1076" s="7">
        <v>3.38</v>
      </c>
      <c r="E1076" t="s">
        <v>25</v>
      </c>
    </row>
    <row r="1077" spans="1:5" x14ac:dyDescent="0.25">
      <c r="A1077" t="str">
        <f>HYPERLINK("https://www.773grp.com/globalSearch/LM2594MX-5.0-NOPB/page-1", "LM2594MX-5.0-NOPB")</f>
        <v>LM2594MX-5.0-NOPB</v>
      </c>
      <c r="B1077" s="3" t="str">
        <f>HYPERLINK("https://www.773grp.com/manufacturer/national-semiconductor?pageNo=4", "National Semiconductor")</f>
        <v>National Semiconductor</v>
      </c>
      <c r="C1077" s="6">
        <v>790</v>
      </c>
      <c r="D1077" s="7">
        <v>3.38</v>
      </c>
      <c r="E1077" t="s">
        <v>7</v>
      </c>
    </row>
    <row r="1078" spans="1:5" x14ac:dyDescent="0.25">
      <c r="A1078" t="str">
        <f>HYPERLINK("https://www.773grp.com/globalSearch/LM2594N-12-NOPB/page-1", "LM2594N-12-NOPB")</f>
        <v>LM2594N-12-NOPB</v>
      </c>
      <c r="B1078" s="3" t="str">
        <f>HYPERLINK("https://www.773grp.com/manufacturer/national-semiconductor?pageNo=5", "National Semiconductor")</f>
        <v>National Semiconductor</v>
      </c>
      <c r="C1078" s="6">
        <v>477</v>
      </c>
      <c r="D1078" s="7">
        <v>3.38</v>
      </c>
      <c r="E1078" t="s">
        <v>7</v>
      </c>
    </row>
    <row r="1079" spans="1:5" x14ac:dyDescent="0.25">
      <c r="A1079" t="str">
        <f>HYPERLINK("https://www.773grp.com/globalSearch/LM2594N-3.3-NOPB/page-1", "LM2594N-3.3-NOPB")</f>
        <v>LM2594N-3.3-NOPB</v>
      </c>
      <c r="B1079" s="3" t="str">
        <f>HYPERLINK("https://www.773grp.com/manufacturer/national-semiconductor?pageNo=6", "National Semiconductor")</f>
        <v>National Semiconductor</v>
      </c>
      <c r="C1079" s="6">
        <v>714</v>
      </c>
      <c r="D1079" s="7">
        <v>3.38</v>
      </c>
    </row>
    <row r="1080" spans="1:5" x14ac:dyDescent="0.25">
      <c r="A1080" t="str">
        <f>HYPERLINK("https://www.773grp.com/globalSearch/LM2594N-5.0-NOPB/page-1", "LM2594N-5.0-NOPB")</f>
        <v>LM2594N-5.0-NOPB</v>
      </c>
      <c r="B1080" s="3" t="str">
        <f>HYPERLINK("https://www.773grp.com/manufacturer/national-semiconductor?pageNo=7", "National Semiconductor")</f>
        <v>National Semiconductor</v>
      </c>
      <c r="C1080" s="6">
        <v>250</v>
      </c>
      <c r="D1080" s="7">
        <v>3.38</v>
      </c>
      <c r="E1080" t="s">
        <v>7</v>
      </c>
    </row>
    <row r="1081" spans="1:5" x14ac:dyDescent="0.25">
      <c r="A1081" t="str">
        <f>HYPERLINK("https://www.773grp.com/globalSearch/LM2594N-ADJ-NOPB/page-1", "LM2594N-ADJ-NOPB")</f>
        <v>LM2594N-ADJ-NOPB</v>
      </c>
      <c r="B1081" s="3" t="str">
        <f>HYPERLINK("https://www.773grp.com/manufacturer/national-semiconductor?pageNo=8", "National Semiconductor")</f>
        <v>National Semiconductor</v>
      </c>
      <c r="C1081" s="6">
        <v>245</v>
      </c>
      <c r="D1081" s="7">
        <v>3.38</v>
      </c>
    </row>
    <row r="1082" spans="1:5" x14ac:dyDescent="0.25">
      <c r="A1082" t="str">
        <f>HYPERLINK("https://www.773grp.com/globalSearch/LM2674LDX-5.0/page-1", "LM2674LDX-5.0")</f>
        <v>LM2674LDX-5.0</v>
      </c>
      <c r="B1082" s="3" t="str">
        <f>HYPERLINK("https://www.773grp.com/manufacturer/national-semiconductor?pageNo=9", "National Semiconductor")</f>
        <v>National Semiconductor</v>
      </c>
      <c r="C1082" s="6">
        <v>22500</v>
      </c>
      <c r="D1082" s="7">
        <v>3.38</v>
      </c>
    </row>
    <row r="1083" spans="1:5" x14ac:dyDescent="0.25">
      <c r="A1083" t="str">
        <f>HYPERLINK("https://www.773grp.com/globalSearch/LM2674MX-12-NOPB/page-1", "LM2674MX-12-NOPB")</f>
        <v>LM2674MX-12-NOPB</v>
      </c>
      <c r="B1083" s="3" t="str">
        <f>HYPERLINK("https://www.773grp.com/manufacturer/national-semiconductor?pageNo=10", "National Semiconductor")</f>
        <v>National Semiconductor</v>
      </c>
      <c r="C1083" s="6">
        <v>2500</v>
      </c>
      <c r="D1083" s="7">
        <v>3.38</v>
      </c>
    </row>
    <row r="1084" spans="1:5" x14ac:dyDescent="0.25">
      <c r="A1084" t="str">
        <f>HYPERLINK("https://www.773grp.com/globalSearch/LM2674MX-3.3-NOPB/page-1", "LM2674MX-3.3-NOPB")</f>
        <v>LM2674MX-3.3-NOPB</v>
      </c>
      <c r="B1084" s="3" t="str">
        <f>HYPERLINK("https://www.773grp.com/manufacturer/national-semiconductor?pageNo=11", "National Semiconductor")</f>
        <v>National Semiconductor</v>
      </c>
      <c r="C1084" s="6">
        <v>2500</v>
      </c>
      <c r="D1084" s="7">
        <v>3.38</v>
      </c>
      <c r="E1084" t="s">
        <v>7</v>
      </c>
    </row>
    <row r="1085" spans="1:5" x14ac:dyDescent="0.25">
      <c r="A1085" t="str">
        <f>HYPERLINK("https://www.773grp.com/globalSearch/LM2674MX-5.0-NOPB/page-1", "LM2674MX-5.0-NOPB")</f>
        <v>LM2674MX-5.0-NOPB</v>
      </c>
      <c r="B1085" s="3" t="str">
        <f>HYPERLINK("https://www.773grp.com/manufacturer/national-semiconductor?pageNo=12", "National Semiconductor")</f>
        <v>National Semiconductor</v>
      </c>
      <c r="C1085" s="6">
        <v>2500</v>
      </c>
      <c r="D1085" s="7">
        <v>3.38</v>
      </c>
      <c r="E1085" t="s">
        <v>7</v>
      </c>
    </row>
    <row r="1086" spans="1:5" x14ac:dyDescent="0.25">
      <c r="A1086" t="str">
        <f>HYPERLINK("https://www.773grp.com/globalSearch/LM2674N-12-NOPB/page-1", "LM2674N-12-NOPB")</f>
        <v>LM2674N-12-NOPB</v>
      </c>
      <c r="B1086" s="3" t="str">
        <f>HYPERLINK("https://www.773grp.com/manufacturer/national-semiconductor?pageNo=13", "National Semiconductor")</f>
        <v>National Semiconductor</v>
      </c>
      <c r="C1086" s="6">
        <v>501</v>
      </c>
      <c r="D1086" s="7">
        <v>3.38</v>
      </c>
      <c r="E1086" t="s">
        <v>7</v>
      </c>
    </row>
    <row r="1087" spans="1:5" x14ac:dyDescent="0.25">
      <c r="A1087" t="str">
        <f>HYPERLINK("https://www.773grp.com/globalSearch/LM2674N-3.3-NOPB/page-1", "LM2674N-3.3-NOPB")</f>
        <v>LM2674N-3.3-NOPB</v>
      </c>
      <c r="B1087" s="3" t="str">
        <f>HYPERLINK("https://www.773grp.com/manufacturer/national-semiconductor?pageNo=14", "National Semiconductor")</f>
        <v>National Semiconductor</v>
      </c>
      <c r="C1087" s="6">
        <v>665</v>
      </c>
      <c r="D1087" s="7">
        <v>3.38</v>
      </c>
      <c r="E1087" t="s">
        <v>7</v>
      </c>
    </row>
    <row r="1088" spans="1:5" x14ac:dyDescent="0.25">
      <c r="A1088" t="str">
        <f>HYPERLINK("https://www.773grp.com/globalSearch/LM2674N-5.0-NOPB/page-1", "LM2674N-5.0-NOPB")</f>
        <v>LM2674N-5.0-NOPB</v>
      </c>
      <c r="B1088" s="3" t="str">
        <f>HYPERLINK("https://www.773grp.com/manufacturer/national-semiconductor?pageNo=15", "National Semiconductor")</f>
        <v>National Semiconductor</v>
      </c>
      <c r="C1088" s="6">
        <v>606</v>
      </c>
      <c r="D1088" s="7">
        <v>3.38</v>
      </c>
      <c r="E1088" t="s">
        <v>7</v>
      </c>
    </row>
    <row r="1089" spans="1:5" x14ac:dyDescent="0.25">
      <c r="A1089" t="str">
        <f>HYPERLINK("https://www.773grp.com/globalSearch/LM2674N-ADJ-NOPB/page-1", "LM2674N-ADJ-NOPB")</f>
        <v>LM2674N-ADJ-NOPB</v>
      </c>
      <c r="B1089" s="3" t="str">
        <f>HYPERLINK("https://www.773grp.com/manufacturer/national-semiconductor?pageNo=16", "National Semiconductor")</f>
        <v>National Semiconductor</v>
      </c>
      <c r="C1089" s="6">
        <v>140</v>
      </c>
      <c r="D1089" s="7">
        <v>3.38</v>
      </c>
      <c r="E1089" t="s">
        <v>7</v>
      </c>
    </row>
    <row r="1090" spans="1:5" x14ac:dyDescent="0.25">
      <c r="A1090" t="str">
        <f>HYPERLINK("https://www.773grp.com/globalSearch/LM2694MT-NOPB/page-1", "LM2694MT-NOPB")</f>
        <v>LM2694MT-NOPB</v>
      </c>
      <c r="B1090" s="3" t="str">
        <f>HYPERLINK("https://www.773grp.com/manufacturer/national-semiconductor?pageNo=17", "National Semiconductor")</f>
        <v>National Semiconductor</v>
      </c>
      <c r="C1090" s="6">
        <v>642</v>
      </c>
      <c r="D1090" s="7">
        <v>3.38</v>
      </c>
    </row>
    <row r="1091" spans="1:5" x14ac:dyDescent="0.25">
      <c r="A1091" t="str">
        <f>HYPERLINK("https://www.773grp.com/globalSearch/LM27222M-NOPB/page-1", "LM27222M-NOPB")</f>
        <v>LM27222M-NOPB</v>
      </c>
      <c r="B1091" s="3" t="str">
        <f>HYPERLINK("https://www.773grp.com/manufacturer/national-semiconductor?pageNo=18", "National Semiconductor")</f>
        <v>National Semiconductor</v>
      </c>
      <c r="C1091" s="6">
        <v>45</v>
      </c>
      <c r="D1091" s="7">
        <v>3.38</v>
      </c>
      <c r="E1091" t="s">
        <v>16</v>
      </c>
    </row>
    <row r="1092" spans="1:5" x14ac:dyDescent="0.25">
      <c r="A1092" t="str">
        <f>HYPERLINK("https://www.773grp.com/globalSearch/LM2733XMF/page-1", "LM2733XMF")</f>
        <v>LM2733XMF</v>
      </c>
      <c r="B1092" s="3" t="str">
        <f>HYPERLINK("https://www.773grp.com/manufacturer/national-semiconductor?pageNo=19", "National Semiconductor")</f>
        <v>National Semiconductor</v>
      </c>
      <c r="C1092" s="6">
        <v>992</v>
      </c>
      <c r="D1092" s="7">
        <v>3.38</v>
      </c>
      <c r="E1092" t="s">
        <v>7</v>
      </c>
    </row>
    <row r="1093" spans="1:5" x14ac:dyDescent="0.25">
      <c r="A1093" t="str">
        <f>HYPERLINK("https://www.773grp.com/globalSearch/LM27342MY-NOPB/page-1", "LM27342MY-NOPB")</f>
        <v>LM27342MY-NOPB</v>
      </c>
      <c r="B1093" s="3" t="str">
        <f>HYPERLINK("https://www.773grp.com/manufacturer/national-semiconductor?pageNo=20", "National Semiconductor")</f>
        <v>National Semiconductor</v>
      </c>
      <c r="C1093" s="6">
        <v>631</v>
      </c>
      <c r="D1093" s="7">
        <v>3.38</v>
      </c>
    </row>
    <row r="1094" spans="1:5" x14ac:dyDescent="0.25">
      <c r="A1094" t="str">
        <f>HYPERLINK("https://www.773grp.com/globalSearch/LM27342SD-NOPB/page-1", "LM27342SD-NOPB")</f>
        <v>LM27342SD-NOPB</v>
      </c>
      <c r="B1094" s="3" t="str">
        <f>HYPERLINK("https://www.773grp.com/manufacturer/national-semiconductor?pageNo=21", "National Semiconductor")</f>
        <v>National Semiconductor</v>
      </c>
      <c r="C1094" s="6">
        <v>2000</v>
      </c>
      <c r="D1094" s="7">
        <v>3.38</v>
      </c>
    </row>
    <row r="1095" spans="1:5" x14ac:dyDescent="0.25">
      <c r="A1095" t="str">
        <f>HYPERLINK("https://www.773grp.com/globalSearch/LM2734XMK-NOPB/page-1", "LM2734XMK-NOPB")</f>
        <v>LM2734XMK-NOPB</v>
      </c>
      <c r="B1095" s="3" t="str">
        <f>HYPERLINK("https://www.773grp.com/manufacturer/national-semiconductor?pageNo=22", "National Semiconductor")</f>
        <v>National Semiconductor</v>
      </c>
      <c r="C1095" s="6">
        <v>8650</v>
      </c>
      <c r="D1095" s="7">
        <v>3.38</v>
      </c>
      <c r="E1095" t="s">
        <v>7</v>
      </c>
    </row>
    <row r="1096" spans="1:5" x14ac:dyDescent="0.25">
      <c r="A1096" t="str">
        <f>HYPERLINK("https://www.773grp.com/globalSearch/LM2734XMKX-NOPB/page-1", "LM2734XMKX-NOPB")</f>
        <v>LM2734XMKX-NOPB</v>
      </c>
      <c r="B1096" s="3" t="str">
        <f>HYPERLINK("https://www.773grp.com/manufacturer/national-semiconductor?pageNo=23", "National Semiconductor")</f>
        <v>National Semiconductor</v>
      </c>
      <c r="C1096" s="6">
        <v>6000</v>
      </c>
      <c r="D1096" s="7">
        <v>3.38</v>
      </c>
      <c r="E1096" t="s">
        <v>7</v>
      </c>
    </row>
    <row r="1097" spans="1:5" x14ac:dyDescent="0.25">
      <c r="A1097" t="str">
        <f>HYPERLINK("https://www.773grp.com/globalSearch/LM2738XMY-NOPB/page-1", "LM2738XMY-NOPB")</f>
        <v>LM2738XMY-NOPB</v>
      </c>
      <c r="B1097" s="3" t="str">
        <f>HYPERLINK("https://www.773grp.com/manufacturer/national-semiconductor?pageNo=24", "National Semiconductor")</f>
        <v>National Semiconductor</v>
      </c>
      <c r="C1097" s="6">
        <v>4000</v>
      </c>
      <c r="D1097" s="7">
        <v>3.38</v>
      </c>
    </row>
    <row r="1098" spans="1:5" x14ac:dyDescent="0.25">
      <c r="A1098" t="str">
        <f>HYPERLINK("https://www.773grp.com/globalSearch/LM2738XSD/page-1", "LM2738XSD")</f>
        <v>LM2738XSD</v>
      </c>
      <c r="B1098" s="3" t="str">
        <f>HYPERLINK("https://www.773grp.com/manufacturer/national-semiconductor?pageNo=25", "National Semiconductor")</f>
        <v>National Semiconductor</v>
      </c>
      <c r="C1098" s="6">
        <v>553</v>
      </c>
      <c r="D1098" s="7">
        <v>3.38</v>
      </c>
    </row>
    <row r="1099" spans="1:5" x14ac:dyDescent="0.25">
      <c r="A1099" t="str">
        <f>HYPERLINK("https://www.773grp.com/globalSearch/LM2738XSD-NOPB/page-1", "LM2738XSD-NOPB")</f>
        <v>LM2738XSD-NOPB</v>
      </c>
      <c r="B1099" s="3" t="str">
        <f>HYPERLINK("https://www.773grp.com/manufacturer/national-semiconductor?pageNo=26", "National Semiconductor")</f>
        <v>National Semiconductor</v>
      </c>
      <c r="C1099" s="6">
        <v>1000</v>
      </c>
      <c r="D1099" s="7">
        <v>3.38</v>
      </c>
    </row>
    <row r="1100" spans="1:5" x14ac:dyDescent="0.25">
      <c r="A1100" t="str">
        <f>HYPERLINK("https://www.773grp.com/globalSearch/LM2738YMY-NOPB/page-1", "LM2738YMY-NOPB")</f>
        <v>LM2738YMY-NOPB</v>
      </c>
      <c r="B1100" s="3" t="str">
        <f>HYPERLINK("https://www.773grp.com/manufacturer/national-semiconductor?pageNo=27", "National Semiconductor")</f>
        <v>National Semiconductor</v>
      </c>
      <c r="C1100" s="6">
        <v>2000</v>
      </c>
      <c r="D1100" s="7">
        <v>3.38</v>
      </c>
    </row>
    <row r="1101" spans="1:5" x14ac:dyDescent="0.25">
      <c r="A1101" t="str">
        <f>HYPERLINK("https://www.773grp.com/globalSearch/LM2738YSD/page-1", "LM2738YSD")</f>
        <v>LM2738YSD</v>
      </c>
      <c r="B1101" s="3" t="str">
        <f>HYPERLINK("https://www.773grp.com/manufacturer/national-semiconductor?pageNo=28", "National Semiconductor")</f>
        <v>National Semiconductor</v>
      </c>
      <c r="C1101" s="6">
        <v>572</v>
      </c>
      <c r="D1101" s="7">
        <v>3.38</v>
      </c>
    </row>
    <row r="1102" spans="1:5" x14ac:dyDescent="0.25">
      <c r="A1102" t="str">
        <f>HYPERLINK("https://www.773grp.com/globalSearch/LM3429MH-NOPB/page-1", "LM3429MH-NOPB")</f>
        <v>LM3429MH-NOPB</v>
      </c>
      <c r="B1102" s="3" t="str">
        <f>HYPERLINK("https://www.773grp.com/manufacturer/national-semiconductor?pageNo=29", "National Semiconductor")</f>
        <v>National Semiconductor</v>
      </c>
      <c r="C1102" s="6">
        <v>4681</v>
      </c>
      <c r="D1102" s="7">
        <v>3.38</v>
      </c>
      <c r="E1102" t="s">
        <v>10</v>
      </c>
    </row>
    <row r="1103" spans="1:5" x14ac:dyDescent="0.25">
      <c r="A1103" t="str">
        <f>HYPERLINK("https://www.773grp.com/globalSearch/LM3432BSQE-NOPB/page-1", "LM3432BSQE-NOPB")</f>
        <v>LM3432BSQE-NOPB</v>
      </c>
      <c r="B1103" s="3" t="str">
        <f>HYPERLINK("https://www.773grp.com/manufacturer/national-semiconductor?pageNo=30", "National Semiconductor")</f>
        <v>National Semiconductor</v>
      </c>
      <c r="C1103" s="6">
        <v>250</v>
      </c>
      <c r="D1103" s="7">
        <v>3.38</v>
      </c>
    </row>
    <row r="1104" spans="1:5" x14ac:dyDescent="0.25">
      <c r="A1104" t="str">
        <f>HYPERLINK("https://www.773grp.com/globalSearch/LM3432SQ-NOPB/page-1", "LM3432SQ-NOPB")</f>
        <v>LM3432SQ-NOPB</v>
      </c>
      <c r="B1104" s="3" t="str">
        <f>HYPERLINK("https://www.773grp.com/manufacturer/national-semiconductor?pageNo=31", "National Semiconductor")</f>
        <v>National Semiconductor</v>
      </c>
      <c r="C1104" s="6">
        <v>1126</v>
      </c>
      <c r="D1104" s="7">
        <v>3.38</v>
      </c>
      <c r="E1104" t="s">
        <v>7</v>
      </c>
    </row>
    <row r="1105" spans="1:5" x14ac:dyDescent="0.25">
      <c r="A1105" t="str">
        <f>HYPERLINK("https://www.773grp.com/globalSearch/LM3450AMT-NOPB/page-1", "LM3450AMT-NOPB")</f>
        <v>LM3450AMT-NOPB</v>
      </c>
      <c r="B1105" s="3" t="str">
        <f>HYPERLINK("https://www.773grp.com/manufacturer/national-semiconductor?pageNo=32", "National Semiconductor")</f>
        <v>National Semiconductor</v>
      </c>
      <c r="C1105" s="6">
        <v>297</v>
      </c>
      <c r="D1105" s="7">
        <v>3.38</v>
      </c>
      <c r="E1105" t="s">
        <v>10</v>
      </c>
    </row>
    <row r="1106" spans="1:5" x14ac:dyDescent="0.25">
      <c r="A1106" t="str">
        <f>HYPERLINK("https://www.773grp.com/globalSearch/LM3450MT-NOPB/page-1", "LM3450MT-NOPB")</f>
        <v>LM3450MT-NOPB</v>
      </c>
      <c r="B1106" s="3" t="str">
        <f>HYPERLINK("https://www.773grp.com/manufacturer/national-semiconductor?pageNo=33", "National Semiconductor")</f>
        <v>National Semiconductor</v>
      </c>
      <c r="C1106" s="6">
        <v>184</v>
      </c>
      <c r="D1106" s="7">
        <v>3.38</v>
      </c>
    </row>
    <row r="1107" spans="1:5" x14ac:dyDescent="0.25">
      <c r="A1107" t="str">
        <f>HYPERLINK("https://www.773grp.com/globalSearch/LM3492MH-NOPB/page-1", "LM3492MH-NOPB")</f>
        <v>LM3492MH-NOPB</v>
      </c>
      <c r="B1107" s="3" t="str">
        <f>HYPERLINK("https://www.773grp.com/manufacturer/national-semiconductor?pageNo=34", "National Semiconductor")</f>
        <v>National Semiconductor</v>
      </c>
      <c r="C1107" s="6">
        <v>1387</v>
      </c>
      <c r="D1107" s="7">
        <v>3.38</v>
      </c>
    </row>
    <row r="1108" spans="1:5" x14ac:dyDescent="0.25">
      <c r="A1108" t="str">
        <f>HYPERLINK("https://www.773grp.com/globalSearch/LM4755TS-NOPB/page-1", "LM4755TS-NOPB")</f>
        <v>LM4755TS-NOPB</v>
      </c>
      <c r="B1108" s="3" t="str">
        <f>HYPERLINK("https://www.773grp.com/manufacturer/national-semiconductor?pageNo=35", "National Semiconductor")</f>
        <v>National Semiconductor</v>
      </c>
      <c r="C1108" s="6">
        <v>243</v>
      </c>
      <c r="D1108" s="7">
        <v>3.38</v>
      </c>
    </row>
    <row r="1109" spans="1:5" x14ac:dyDescent="0.25">
      <c r="A1109" t="str">
        <f>HYPERLINK("https://www.773grp.com/globalSearch/LM5008AMM-NOPB/page-1", "LM5008AMM-NOPB")</f>
        <v>LM5008AMM-NOPB</v>
      </c>
      <c r="B1109" s="3" t="str">
        <f>HYPERLINK("https://www.773grp.com/manufacturer/national-semiconductor?pageNo=36", "National Semiconductor")</f>
        <v>National Semiconductor</v>
      </c>
      <c r="C1109" s="6">
        <v>226</v>
      </c>
      <c r="D1109" s="7">
        <v>3.38</v>
      </c>
    </row>
    <row r="1110" spans="1:5" x14ac:dyDescent="0.25">
      <c r="A1110" t="str">
        <f>HYPERLINK("https://www.773grp.com/globalSearch/LM5008ASD-NOPB/page-1", "LM5008ASD-NOPB")</f>
        <v>LM5008ASD-NOPB</v>
      </c>
      <c r="B1110" s="3" t="str">
        <f>HYPERLINK("https://www.773grp.com/manufacturer/national-semiconductor?pageNo=37", "National Semiconductor")</f>
        <v>National Semiconductor</v>
      </c>
      <c r="C1110" s="6">
        <v>563</v>
      </c>
      <c r="D1110" s="7">
        <v>3.38</v>
      </c>
    </row>
    <row r="1111" spans="1:5" x14ac:dyDescent="0.25">
      <c r="A1111" t="str">
        <f>HYPERLINK("https://www.773grp.com/globalSearch/LM5060Q1MM-NOPB/page-1", "LM5060Q1MM-NOPB")</f>
        <v>LM5060Q1MM-NOPB</v>
      </c>
      <c r="B1111" s="3" t="str">
        <f>HYPERLINK("https://www.773grp.com/manufacturer/national-semiconductor?pageNo=38", "National Semiconductor")</f>
        <v>National Semiconductor</v>
      </c>
      <c r="C1111" s="6">
        <v>463</v>
      </c>
      <c r="D1111" s="7">
        <v>3.38</v>
      </c>
    </row>
    <row r="1112" spans="1:5" x14ac:dyDescent="0.25">
      <c r="A1112" t="str">
        <f>HYPERLINK("https://www.773grp.com/globalSearch/LM63DIMA-NOPB/page-1", "LM63DIMA-NOPB")</f>
        <v>LM63DIMA-NOPB</v>
      </c>
      <c r="B1112" s="3" t="str">
        <f>HYPERLINK("https://www.773grp.com/manufacturer/national-semiconductor?pageNo=39", "National Semiconductor")</f>
        <v>National Semiconductor</v>
      </c>
      <c r="C1112" s="6">
        <v>250</v>
      </c>
      <c r="D1112" s="7">
        <v>3.38</v>
      </c>
      <c r="E1112" t="s">
        <v>12</v>
      </c>
    </row>
    <row r="1113" spans="1:5" x14ac:dyDescent="0.25">
      <c r="A1113" t="str">
        <f>HYPERLINK("https://www.773grp.com/globalSearch/LM6584MA-NOPB/page-1", "LM6584MA-NOPB")</f>
        <v>LM6584MA-NOPB</v>
      </c>
      <c r="B1113" s="3" t="str">
        <f>HYPERLINK("https://www.773grp.com/manufacturer/national-semiconductor?pageNo=40", "National Semiconductor")</f>
        <v>National Semiconductor</v>
      </c>
      <c r="C1113" s="6">
        <v>44</v>
      </c>
      <c r="D1113" s="7">
        <v>3.38</v>
      </c>
    </row>
    <row r="1114" spans="1:5" x14ac:dyDescent="0.25">
      <c r="A1114" t="str">
        <f>HYPERLINK("https://www.773grp.com/globalSearch/LM7322MME-NOPB/page-1", "LM7322MME-NOPB")</f>
        <v>LM7322MME-NOPB</v>
      </c>
      <c r="B1114" s="3" t="str">
        <f>HYPERLINK("https://www.773grp.com/manufacturer/national-semiconductor?pageNo=41", "National Semiconductor")</f>
        <v>National Semiconductor</v>
      </c>
      <c r="C1114" s="6">
        <v>725</v>
      </c>
      <c r="D1114" s="7">
        <v>3.38</v>
      </c>
    </row>
    <row r="1115" spans="1:5" x14ac:dyDescent="0.25">
      <c r="A1115" t="str">
        <f>HYPERLINK("https://www.773grp.com/globalSearch/LMC6042AIMX-NOPB/page-1", "LMC6042AIMX-NOPB")</f>
        <v>LMC6042AIMX-NOPB</v>
      </c>
      <c r="B1115" s="3" t="str">
        <f>HYPERLINK("https://www.773grp.com/manufacturer/national-semiconductor?pageNo=42", "National Semiconductor")</f>
        <v>National Semiconductor</v>
      </c>
      <c r="C1115" s="6">
        <v>15000</v>
      </c>
      <c r="D1115" s="7">
        <v>3.38</v>
      </c>
      <c r="E1115" t="s">
        <v>13</v>
      </c>
    </row>
    <row r="1116" spans="1:5" x14ac:dyDescent="0.25">
      <c r="A1116" t="str">
        <f>HYPERLINK("https://www.773grp.com/globalSearch/LMC6042AIMX-NOPB/page-1", "LMC6042AIMX-NOPB")</f>
        <v>LMC6042AIMX-NOPB</v>
      </c>
      <c r="B1116" s="3" t="str">
        <f>HYPERLINK("https://www.773grp.com/manufacturer/national-semiconductor?pageNo=43", "National Semiconductor")</f>
        <v>National Semiconductor</v>
      </c>
      <c r="C1116" s="6">
        <v>259</v>
      </c>
      <c r="D1116" s="7">
        <v>3.38</v>
      </c>
      <c r="E1116" t="s">
        <v>13</v>
      </c>
    </row>
    <row r="1117" spans="1:5" x14ac:dyDescent="0.25">
      <c r="A1117" t="str">
        <f>HYPERLINK("https://www.773grp.com/globalSearch/LMC6062IM-NOPB/page-1", "LMC6062IM-NOPB")</f>
        <v>LMC6062IM-NOPB</v>
      </c>
      <c r="B1117" s="3" t="str">
        <f>HYPERLINK("https://www.773grp.com/manufacturer/national-semiconductor?pageNo=44", "National Semiconductor")</f>
        <v>National Semiconductor</v>
      </c>
      <c r="C1117" s="6">
        <v>3099</v>
      </c>
      <c r="D1117" s="7">
        <v>3.38</v>
      </c>
      <c r="E1117" t="s">
        <v>13</v>
      </c>
    </row>
    <row r="1118" spans="1:5" x14ac:dyDescent="0.25">
      <c r="A1118" t="str">
        <f>HYPERLINK("https://www.773grp.com/globalSearch/LMC6492BEM-NOPB/page-1", "LMC6492BEM-NOPB")</f>
        <v>LMC6492BEM-NOPB</v>
      </c>
      <c r="B1118" s="3" t="str">
        <f>HYPERLINK("https://www.773grp.com/manufacturer/national-semiconductor?pageNo=45", "National Semiconductor")</f>
        <v>National Semiconductor</v>
      </c>
      <c r="C1118" s="6">
        <v>236</v>
      </c>
      <c r="D1118" s="7">
        <v>3.38</v>
      </c>
      <c r="E1118" t="s">
        <v>13</v>
      </c>
    </row>
    <row r="1119" spans="1:5" x14ac:dyDescent="0.25">
      <c r="A1119" t="str">
        <f>HYPERLINK("https://www.773grp.com/globalSearch/LMC6492BEMX/page-1", "LMC6492BEMX")</f>
        <v>LMC6492BEMX</v>
      </c>
      <c r="B1119" s="3" t="str">
        <f>HYPERLINK("https://www.773grp.com/manufacturer/national-semiconductor?pageNo=46", "National Semiconductor")</f>
        <v>National Semiconductor</v>
      </c>
      <c r="C1119" s="6">
        <v>2275</v>
      </c>
      <c r="D1119" s="7">
        <v>3.38</v>
      </c>
      <c r="E1119" t="s">
        <v>13</v>
      </c>
    </row>
    <row r="1120" spans="1:5" x14ac:dyDescent="0.25">
      <c r="A1120" t="str">
        <f>HYPERLINK("https://www.773grp.com/globalSearch/LME49880MR-NOPB/page-1", "LME49880MR-NOPB")</f>
        <v>LME49880MR-NOPB</v>
      </c>
      <c r="B1120" s="3" t="str">
        <f>HYPERLINK("https://www.773grp.com/manufacturer/national-semiconductor?pageNo=47", "National Semiconductor")</f>
        <v>National Semiconductor</v>
      </c>
      <c r="C1120" s="6">
        <v>734</v>
      </c>
      <c r="D1120" s="7">
        <v>3.38</v>
      </c>
    </row>
    <row r="1121" spans="1:5" x14ac:dyDescent="0.25">
      <c r="A1121" t="str">
        <f>HYPERLINK("https://www.773grp.com/globalSearch/LME49880MR-NOPB/page-1", "LME49880MR-NOPB")</f>
        <v>LME49880MR-NOPB</v>
      </c>
      <c r="B1121" s="3" t="str">
        <f>HYPERLINK("https://www.773grp.com/manufacturer/national-semiconductor?pageNo=48", "National Semiconductor")</f>
        <v>National Semiconductor</v>
      </c>
      <c r="C1121" s="6">
        <v>637</v>
      </c>
      <c r="D1121" s="7">
        <v>3.38</v>
      </c>
    </row>
    <row r="1122" spans="1:5" x14ac:dyDescent="0.25">
      <c r="A1122" t="str">
        <f>HYPERLINK("https://www.773grp.com/globalSearch/LMH6724MA-NOPB/page-1", "LMH6724MA-NOPB")</f>
        <v>LMH6724MA-NOPB</v>
      </c>
      <c r="B1122" s="3" t="str">
        <f>HYPERLINK("https://www.773grp.com/manufacturer/national-semiconductor?pageNo=49", "National Semiconductor")</f>
        <v>National Semiconductor</v>
      </c>
      <c r="C1122" s="6">
        <v>4761</v>
      </c>
      <c r="D1122" s="7">
        <v>3.38</v>
      </c>
      <c r="E1122" t="s">
        <v>13</v>
      </c>
    </row>
    <row r="1123" spans="1:5" x14ac:dyDescent="0.25">
      <c r="A1123" t="str">
        <f>HYPERLINK("https://www.773grp.com/globalSearch/LMP2021MA-NOPB/page-1", "LMP2021MA-NOPB")</f>
        <v>LMP2021MA-NOPB</v>
      </c>
      <c r="B1123" s="3" t="str">
        <f>HYPERLINK("https://www.773grp.com/manufacturer/national-semiconductor?pageNo=50", "National Semiconductor")</f>
        <v>National Semiconductor</v>
      </c>
      <c r="C1123" s="6">
        <v>715</v>
      </c>
      <c r="D1123" s="7">
        <v>3.38</v>
      </c>
    </row>
    <row r="1124" spans="1:5" x14ac:dyDescent="0.25">
      <c r="A1124" t="str">
        <f>HYPERLINK("https://www.773grp.com/globalSearch/LMS1587CS-ADJ-NOPB/page-1", "LMS1587CS-ADJ-NOPB")</f>
        <v>LMS1587CS-ADJ-NOPB</v>
      </c>
      <c r="B1124" s="3" t="str">
        <f>HYPERLINK("https://www.773grp.com/manufacturer/national-semiconductor?pageNo=51", "National Semiconductor")</f>
        <v>National Semiconductor</v>
      </c>
      <c r="C1124" s="6">
        <v>515</v>
      </c>
      <c r="D1124" s="7">
        <v>3.38</v>
      </c>
      <c r="E1124" t="s">
        <v>25</v>
      </c>
    </row>
    <row r="1125" spans="1:5" x14ac:dyDescent="0.25">
      <c r="A1125" t="str">
        <f>HYPERLINK("https://www.773grp.com/globalSearch/LMS1587IS-3.3-NOPB/page-1", "LMS1587IS-3.3-NOPB")</f>
        <v>LMS1587IS-3.3-NOPB</v>
      </c>
      <c r="B1125" s="3" t="str">
        <f>HYPERLINK("https://www.773grp.com/manufacturer/national-semiconductor?pageNo=52", "National Semiconductor")</f>
        <v>National Semiconductor</v>
      </c>
      <c r="C1125" s="6">
        <v>270</v>
      </c>
      <c r="D1125" s="7">
        <v>3.38</v>
      </c>
    </row>
    <row r="1126" spans="1:5" x14ac:dyDescent="0.25">
      <c r="A1126" t="str">
        <f>HYPERLINK("https://www.773grp.com/globalSearch/LMV1099TLX-NOPB/page-1", "LMV1099TLX-NOPB")</f>
        <v>LMV1099TLX-NOPB</v>
      </c>
      <c r="B1126" s="3" t="str">
        <f>HYPERLINK("https://www.773grp.com/manufacturer/national-semiconductor?pageNo=53", "National Semiconductor")</f>
        <v>National Semiconductor</v>
      </c>
      <c r="C1126" s="6">
        <v>3000</v>
      </c>
      <c r="D1126" s="7">
        <v>3.38</v>
      </c>
    </row>
    <row r="1127" spans="1:5" x14ac:dyDescent="0.25">
      <c r="A1127" t="str">
        <f>HYPERLINK("https://www.773grp.com/globalSearch/LMV762MA/page-1", "LMV762MA")</f>
        <v>LMV762MA</v>
      </c>
      <c r="B1127" s="3" t="str">
        <f>HYPERLINK("https://www.773grp.com/manufacturer/national-semiconductor?pageNo=54", "National Semiconductor")</f>
        <v>National Semiconductor</v>
      </c>
      <c r="C1127" s="6">
        <v>13369</v>
      </c>
      <c r="D1127" s="7">
        <v>3.38</v>
      </c>
      <c r="E1127" t="s">
        <v>9</v>
      </c>
    </row>
    <row r="1128" spans="1:5" x14ac:dyDescent="0.25">
      <c r="A1128" t="str">
        <f>HYPERLINK("https://www.773grp.com/globalSearch/LP38513S-1.8-NOPB/page-1", "LP38513S-1.8-NOPB")</f>
        <v>LP38513S-1.8-NOPB</v>
      </c>
      <c r="B1128" s="3" t="str">
        <f>HYPERLINK("https://www.773grp.com/manufacturer/national-semiconductor?pageNo=55", "National Semiconductor")</f>
        <v>National Semiconductor</v>
      </c>
      <c r="C1128" s="6">
        <v>1720</v>
      </c>
      <c r="D1128" s="7">
        <v>3.38</v>
      </c>
      <c r="E1128" t="s">
        <v>19</v>
      </c>
    </row>
    <row r="1129" spans="1:5" x14ac:dyDescent="0.25">
      <c r="A1129" t="str">
        <f>HYPERLINK("https://www.773grp.com/globalSearch/LP38513T-1.8-NOPB/page-1", "LP38513T-1.8-NOPB")</f>
        <v>LP38513T-1.8-NOPB</v>
      </c>
      <c r="B1129" s="3" t="str">
        <f>HYPERLINK("https://www.773grp.com/manufacturer/national-semiconductor?pageNo=56", "National Semiconductor")</f>
        <v>National Semiconductor</v>
      </c>
      <c r="C1129" s="6">
        <v>4540</v>
      </c>
      <c r="D1129" s="7">
        <v>3.38</v>
      </c>
    </row>
    <row r="1130" spans="1:5" x14ac:dyDescent="0.25">
      <c r="A1130" t="str">
        <f>HYPERLINK("https://www.773grp.com/globalSearch/LP38842MR-ADJ-NOPB/page-1", "LP38842MR-ADJ-NOPB")</f>
        <v>LP38842MR-ADJ-NOPB</v>
      </c>
      <c r="B1130" s="3" t="str">
        <f>HYPERLINK("https://www.773grp.com/manufacturer/national-semiconductor?pageNo=57", "National Semiconductor")</f>
        <v>National Semiconductor</v>
      </c>
      <c r="C1130" s="6">
        <v>182</v>
      </c>
      <c r="D1130" s="7">
        <v>3.38</v>
      </c>
    </row>
    <row r="1131" spans="1:5" x14ac:dyDescent="0.25">
      <c r="A1131" t="str">
        <f>HYPERLINK("https://www.773grp.com/globalSearch/MSP430F2131IDW/page-1", "MSP430F2131IDW")</f>
        <v>MSP430F2131IDW</v>
      </c>
      <c r="B1131" s="3" t="str">
        <f>HYPERLINK("https://www.773grp.com/manufacturer/national-semiconductor?pageNo=58", "National Semiconductor")</f>
        <v>National Semiconductor</v>
      </c>
      <c r="C1131" s="6">
        <v>92</v>
      </c>
      <c r="D1131" s="7">
        <v>3.38</v>
      </c>
    </row>
    <row r="1132" spans="1:5" x14ac:dyDescent="0.25">
      <c r="A1132" t="str">
        <f>HYPERLINK("https://www.773grp.com/globalSearch/OPA353UA/page-1", "OPA353UA")</f>
        <v>OPA353UA</v>
      </c>
      <c r="B1132" s="3" t="str">
        <f>HYPERLINK("https://www.773grp.com/manufacturer/national-semiconductor?pageNo=59", "National Semiconductor")</f>
        <v>National Semiconductor</v>
      </c>
      <c r="C1132" s="6">
        <v>25</v>
      </c>
      <c r="D1132" s="7">
        <v>3.38</v>
      </c>
    </row>
    <row r="1133" spans="1:5" x14ac:dyDescent="0.25">
      <c r="A1133" t="str">
        <f>HYPERLINK("https://www.773grp.com/globalSearch/5406DM/page-1", "5406DM")</f>
        <v>5406DM</v>
      </c>
      <c r="B1133" s="3" t="str">
        <f>HYPERLINK("https://www.773grp.com/manufacturer/national-semiconductor?pageNo=60", "National Semiconductor")</f>
        <v>National Semiconductor</v>
      </c>
      <c r="C1133" s="6">
        <v>7054</v>
      </c>
      <c r="D1133" s="7">
        <v>3.75</v>
      </c>
    </row>
    <row r="1134" spans="1:5" x14ac:dyDescent="0.25">
      <c r="A1134" t="str">
        <f>HYPERLINK("https://www.773grp.com/globalSearch/5417DM/page-1", "5417DM")</f>
        <v>5417DM</v>
      </c>
      <c r="B1134" s="3" t="str">
        <f>HYPERLINK("https://www.773grp.com/manufacturer/national-semiconductor?pageNo=61", "National Semiconductor")</f>
        <v>National Semiconductor</v>
      </c>
      <c r="C1134" s="6">
        <v>5130</v>
      </c>
      <c r="D1134" s="7">
        <v>3.75</v>
      </c>
    </row>
    <row r="1135" spans="1:5" x14ac:dyDescent="0.25">
      <c r="A1135" t="str">
        <f>HYPERLINK("https://www.773grp.com/globalSearch/5417FM/page-1", "5417FM")</f>
        <v>5417FM</v>
      </c>
      <c r="B1135" s="3" t="str">
        <f>HYPERLINK("https://www.773grp.com/manufacturer/national-semiconductor?pageNo=62", "National Semiconductor")</f>
        <v>National Semiconductor</v>
      </c>
      <c r="C1135" s="6">
        <v>432</v>
      </c>
      <c r="D1135" s="7">
        <v>3.75</v>
      </c>
    </row>
    <row r="1136" spans="1:5" x14ac:dyDescent="0.25">
      <c r="A1136" t="str">
        <f>HYPERLINK("https://www.773grp.com/globalSearch/74161PC/page-1", "74161PC")</f>
        <v>74161PC</v>
      </c>
      <c r="B1136" s="3" t="str">
        <f>HYPERLINK("https://www.773grp.com/manufacturer/national-semiconductor?pageNo=63", "National Semiconductor")</f>
        <v>National Semiconductor</v>
      </c>
      <c r="C1136" s="6">
        <v>1621</v>
      </c>
      <c r="D1136" s="7">
        <v>3.75</v>
      </c>
    </row>
    <row r="1137" spans="1:5" x14ac:dyDescent="0.25">
      <c r="A1137" t="str">
        <f>HYPERLINK("https://www.773grp.com/globalSearch/74161PC  3/page-1", "74161PC  3")</f>
        <v>74161PC  3</v>
      </c>
      <c r="B1137" s="3" t="str">
        <f>HYPERLINK("https://www.773grp.com/manufacturer/national-semiconductor?pageNo=64", "National Semiconductor")</f>
        <v>National Semiconductor</v>
      </c>
      <c r="C1137" s="6">
        <v>459</v>
      </c>
      <c r="D1137" s="7">
        <v>3.75</v>
      </c>
    </row>
    <row r="1138" spans="1:5" x14ac:dyDescent="0.25">
      <c r="A1138" t="str">
        <f>HYPERLINK("https://www.773grp.com/globalSearch/74AC125SCX/page-1", "74AC125SCX")</f>
        <v>74AC125SCX</v>
      </c>
      <c r="B1138" s="3" t="str">
        <f>HYPERLINK("https://www.773grp.com/manufacturer/national-semiconductor?pageNo=65", "National Semiconductor")</f>
        <v>National Semiconductor</v>
      </c>
      <c r="C1138" s="6">
        <v>2399</v>
      </c>
      <c r="D1138" s="7">
        <v>3.75</v>
      </c>
      <c r="E1138" t="s">
        <v>14</v>
      </c>
    </row>
    <row r="1139" spans="1:5" x14ac:dyDescent="0.25">
      <c r="A1139" t="str">
        <f>HYPERLINK("https://www.773grp.com/globalSearch/DAC0808LCM-NOPB/page-1", "DAC0808LCM-NOPB")</f>
        <v>DAC0808LCM-NOPB</v>
      </c>
      <c r="B1139" s="3" t="str">
        <f>HYPERLINK("https://www.773grp.com/manufacturer/national-semiconductor?pageNo=66", "National Semiconductor")</f>
        <v>National Semiconductor</v>
      </c>
      <c r="C1139" s="6">
        <v>1761</v>
      </c>
      <c r="D1139" s="7">
        <v>3.75</v>
      </c>
      <c r="E1139" t="s">
        <v>33</v>
      </c>
    </row>
    <row r="1140" spans="1:5" x14ac:dyDescent="0.25">
      <c r="A1140" t="str">
        <f>HYPERLINK("https://www.773grp.com/globalSearch/DM74161AN/page-1", "DM74161AN")</f>
        <v>DM74161AN</v>
      </c>
      <c r="B1140" s="3" t="str">
        <f>HYPERLINK("https://www.773grp.com/manufacturer/national-semiconductor?pageNo=67", "National Semiconductor")</f>
        <v>National Semiconductor</v>
      </c>
      <c r="C1140" s="6">
        <v>8290</v>
      </c>
      <c r="D1140" s="7">
        <v>3.75</v>
      </c>
      <c r="E1140" t="s">
        <v>26</v>
      </c>
    </row>
    <row r="1141" spans="1:5" x14ac:dyDescent="0.25">
      <c r="A1141" t="str">
        <f>HYPERLINK("https://www.773grp.com/globalSearch/DS90LV018ATM-NOPB/page-1", "DS90LV018ATM-NOPB")</f>
        <v>DS90LV018ATM-NOPB</v>
      </c>
      <c r="B1141" s="3" t="str">
        <f>HYPERLINK("https://www.773grp.com/manufacturer/national-semiconductor?pageNo=68", "National Semiconductor")</f>
        <v>National Semiconductor</v>
      </c>
      <c r="C1141" s="6">
        <v>592</v>
      </c>
      <c r="D1141" s="7">
        <v>3.75</v>
      </c>
      <c r="E1141" t="s">
        <v>21</v>
      </c>
    </row>
    <row r="1142" spans="1:5" x14ac:dyDescent="0.25">
      <c r="A1142" t="str">
        <f>HYPERLINK("https://www.773grp.com/globalSearch/LM1117S-ADJ-NOPB/page-1", "LM1117S-ADJ-NOPB")</f>
        <v>LM1117S-ADJ-NOPB</v>
      </c>
      <c r="B1142" s="3" t="str">
        <f>HYPERLINK("https://www.773grp.com/manufacturer/national-semiconductor?pageNo=69", "National Semiconductor")</f>
        <v>National Semiconductor</v>
      </c>
      <c r="C1142" s="6">
        <v>8694</v>
      </c>
      <c r="D1142" s="7">
        <v>3.75</v>
      </c>
      <c r="E1142" t="s">
        <v>25</v>
      </c>
    </row>
    <row r="1143" spans="1:5" x14ac:dyDescent="0.25">
      <c r="A1143" t="str">
        <f>HYPERLINK("https://www.773grp.com/globalSearch/LM2623AMM/page-1", "LM2623AMM")</f>
        <v>LM2623AMM</v>
      </c>
      <c r="B1143" s="3" t="str">
        <f>HYPERLINK("https://www.773grp.com/manufacturer/national-semiconductor?pageNo=70", "National Semiconductor")</f>
        <v>National Semiconductor</v>
      </c>
      <c r="C1143" s="6">
        <v>394</v>
      </c>
      <c r="D1143" s="7">
        <v>3.75</v>
      </c>
      <c r="E1143" t="s">
        <v>7</v>
      </c>
    </row>
    <row r="1144" spans="1:5" x14ac:dyDescent="0.25">
      <c r="A1144" t="str">
        <f>HYPERLINK("https://www.773grp.com/globalSearch/LM2907MX-NOPB/page-1", "LM2907MX-NOPB")</f>
        <v>LM2907MX-NOPB</v>
      </c>
      <c r="B1144" s="3" t="str">
        <f>HYPERLINK("https://www.773grp.com/manufacturer/national-semiconductor?pageNo=71", "National Semiconductor")</f>
        <v>National Semiconductor</v>
      </c>
      <c r="C1144" s="6">
        <v>29422</v>
      </c>
      <c r="D1144" s="7">
        <v>3.75</v>
      </c>
    </row>
    <row r="1145" spans="1:5" x14ac:dyDescent="0.25">
      <c r="A1145" t="str">
        <f>HYPERLINK("https://www.773grp.com/globalSearch/LM2907N-8-NOPB/page-1", "LM2907N-8-NOPB")</f>
        <v>LM2907N-8-NOPB</v>
      </c>
      <c r="B1145" s="3" t="str">
        <f>HYPERLINK("https://www.773grp.com/manufacturer/national-semiconductor?pageNo=72", "National Semiconductor")</f>
        <v>National Semiconductor</v>
      </c>
      <c r="C1145" s="6">
        <v>68980</v>
      </c>
      <c r="D1145" s="7">
        <v>3.75</v>
      </c>
      <c r="E1145" t="s">
        <v>45</v>
      </c>
    </row>
    <row r="1146" spans="1:5" x14ac:dyDescent="0.25">
      <c r="A1146" t="str">
        <f>HYPERLINK("https://www.773grp.com/globalSearch/LM2917N-NOPB/page-1", "LM2917N-NOPB")</f>
        <v>LM2917N-NOPB</v>
      </c>
      <c r="B1146" s="3" t="str">
        <f>HYPERLINK("https://www.773grp.com/manufacturer/national-semiconductor?pageNo=73", "National Semiconductor")</f>
        <v>National Semiconductor</v>
      </c>
      <c r="C1146" s="6">
        <v>8248</v>
      </c>
      <c r="D1146" s="7">
        <v>3.75</v>
      </c>
      <c r="E1146" t="s">
        <v>45</v>
      </c>
    </row>
    <row r="1147" spans="1:5" x14ac:dyDescent="0.25">
      <c r="A1147" t="str">
        <f>HYPERLINK("https://www.773grp.com/globalSearch/LM2917N-8-NOPB/page-1", "LM2917N-8-NOPB")</f>
        <v>LM2917N-8-NOPB</v>
      </c>
      <c r="B1147" s="3" t="str">
        <f>HYPERLINK("https://www.773grp.com/manufacturer/national-semiconductor?pageNo=74", "National Semiconductor")</f>
        <v>National Semiconductor</v>
      </c>
      <c r="C1147" s="6">
        <v>4843</v>
      </c>
      <c r="D1147" s="7">
        <v>3.75</v>
      </c>
      <c r="E1147" t="s">
        <v>45</v>
      </c>
    </row>
    <row r="1148" spans="1:5" x14ac:dyDescent="0.25">
      <c r="A1148" t="str">
        <f>HYPERLINK("https://www.773grp.com/globalSearch/LM340S-12-NOPB/page-1", "LM340S-12-NOPB")</f>
        <v>LM340S-12-NOPB</v>
      </c>
      <c r="B1148" s="3" t="str">
        <f>HYPERLINK("https://www.773grp.com/manufacturer/national-semiconductor?pageNo=75", "National Semiconductor")</f>
        <v>National Semiconductor</v>
      </c>
      <c r="C1148" s="6">
        <v>404</v>
      </c>
      <c r="D1148" s="7">
        <v>3.75</v>
      </c>
      <c r="E1148" t="s">
        <v>28</v>
      </c>
    </row>
    <row r="1149" spans="1:5" x14ac:dyDescent="0.25">
      <c r="A1149" t="str">
        <f>HYPERLINK("https://www.773grp.com/globalSearch/LM340S-5.0-NOPB/page-1", "LM340S-5.0-NOPB")</f>
        <v>LM340S-5.0-NOPB</v>
      </c>
      <c r="B1149" s="3" t="str">
        <f>HYPERLINK("https://www.773grp.com/manufacturer/national-semiconductor?pageNo=76", "National Semiconductor")</f>
        <v>National Semiconductor</v>
      </c>
      <c r="C1149" s="6">
        <v>107</v>
      </c>
      <c r="D1149" s="7">
        <v>3.75</v>
      </c>
      <c r="E1149" t="s">
        <v>28</v>
      </c>
    </row>
    <row r="1150" spans="1:5" x14ac:dyDescent="0.25">
      <c r="A1150" t="str">
        <f>HYPERLINK("https://www.773grp.com/globalSearch/LM3525M-H-NOPB/page-1", "LM3525M-H-NOPB")</f>
        <v>LM3525M-H-NOPB</v>
      </c>
      <c r="B1150" s="3" t="str">
        <f>HYPERLINK("https://www.773grp.com/manufacturer/national-semiconductor?pageNo=77", "National Semiconductor")</f>
        <v>National Semiconductor</v>
      </c>
      <c r="C1150" s="6">
        <v>747</v>
      </c>
      <c r="D1150" s="7">
        <v>3.75</v>
      </c>
      <c r="E1150" t="s">
        <v>30</v>
      </c>
    </row>
    <row r="1151" spans="1:5" x14ac:dyDescent="0.25">
      <c r="A1151" t="str">
        <f>HYPERLINK("https://www.773grp.com/globalSearch/LM3525M-L-NOPB/page-1", "LM3525M-L-NOPB")</f>
        <v>LM3525M-L-NOPB</v>
      </c>
      <c r="B1151" s="3" t="str">
        <f>HYPERLINK("https://www.773grp.com/manufacturer/national-semiconductor?pageNo=78", "National Semiconductor")</f>
        <v>National Semiconductor</v>
      </c>
      <c r="C1151" s="6">
        <v>4940</v>
      </c>
      <c r="D1151" s="7">
        <v>3.75</v>
      </c>
      <c r="E1151" t="s">
        <v>30</v>
      </c>
    </row>
    <row r="1152" spans="1:5" x14ac:dyDescent="0.25">
      <c r="A1152" t="str">
        <f>HYPERLINK("https://www.773grp.com/globalSearch/LM3525MX-H/page-1", "LM3525MX-H")</f>
        <v>LM3525MX-H</v>
      </c>
      <c r="B1152" s="3" t="str">
        <f>HYPERLINK("https://www.773grp.com/manufacturer/national-semiconductor?pageNo=79", "National Semiconductor")</f>
        <v>National Semiconductor</v>
      </c>
      <c r="C1152" s="6">
        <v>55000</v>
      </c>
      <c r="D1152" s="7">
        <v>3.75</v>
      </c>
      <c r="E1152" t="s">
        <v>11</v>
      </c>
    </row>
    <row r="1153" spans="1:5" x14ac:dyDescent="0.25">
      <c r="A1153" t="str">
        <f>HYPERLINK("https://www.773grp.com/globalSearch/LM3674MF-ADJ/page-1", "LM3674MF-ADJ")</f>
        <v>LM3674MF-ADJ</v>
      </c>
      <c r="B1153" s="3" t="str">
        <f>HYPERLINK("https://www.773grp.com/manufacturer/national-semiconductor?pageNo=80", "National Semiconductor")</f>
        <v>National Semiconductor</v>
      </c>
      <c r="C1153" s="6">
        <v>825</v>
      </c>
      <c r="D1153" s="7">
        <v>3.75</v>
      </c>
      <c r="E1153" t="s">
        <v>7</v>
      </c>
    </row>
    <row r="1154" spans="1:5" x14ac:dyDescent="0.25">
      <c r="A1154" t="str">
        <f>HYPERLINK("https://www.773grp.com/globalSearch/LM3687TL-1812/page-1", "LM3687TL-1812")</f>
        <v>LM3687TL-1812</v>
      </c>
      <c r="B1154" s="3" t="str">
        <f>HYPERLINK("https://www.773grp.com/manufacturer/national-semiconductor?pageNo=81", "National Semiconductor")</f>
        <v>National Semiconductor</v>
      </c>
      <c r="C1154" s="6">
        <v>500</v>
      </c>
      <c r="D1154" s="7">
        <v>3.75</v>
      </c>
    </row>
    <row r="1155" spans="1:5" x14ac:dyDescent="0.25">
      <c r="A1155" t="str">
        <f>HYPERLINK("https://www.773grp.com/globalSearch/LM70CIMMX-5/page-1", "LM70CIMMX-5")</f>
        <v>LM70CIMMX-5</v>
      </c>
      <c r="B1155" s="3" t="str">
        <f>HYPERLINK("https://www.773grp.com/manufacturer/national-semiconductor?pageNo=82", "National Semiconductor")</f>
        <v>National Semiconductor</v>
      </c>
      <c r="C1155" s="6">
        <v>9500</v>
      </c>
      <c r="D1155" s="7">
        <v>3.75</v>
      </c>
      <c r="E1155" t="s">
        <v>12</v>
      </c>
    </row>
    <row r="1156" spans="1:5" x14ac:dyDescent="0.25">
      <c r="A1156" t="str">
        <f>HYPERLINK("https://www.773grp.com/globalSearch/LM71CIMF-NOPB/page-1", "LM71CIMF-NOPB")</f>
        <v>LM71CIMF-NOPB</v>
      </c>
      <c r="B1156" s="3" t="str">
        <f>HYPERLINK("https://www.773grp.com/manufacturer/national-semiconductor?pageNo=83", "National Semiconductor")</f>
        <v>National Semiconductor</v>
      </c>
      <c r="C1156" s="6">
        <v>15000</v>
      </c>
      <c r="D1156" s="7">
        <v>3.75</v>
      </c>
      <c r="E1156" t="s">
        <v>12</v>
      </c>
    </row>
    <row r="1157" spans="1:5" x14ac:dyDescent="0.25">
      <c r="A1157" t="str">
        <f>HYPERLINK("https://www.773grp.com/globalSearch/LM71CISDX-NOPB/page-1", "LM71CISDX-NOPB")</f>
        <v>LM71CISDX-NOPB</v>
      </c>
      <c r="B1157" s="3" t="str">
        <f>HYPERLINK("https://www.773grp.com/manufacturer/national-semiconductor?pageNo=84", "National Semiconductor")</f>
        <v>National Semiconductor</v>
      </c>
      <c r="C1157" s="6">
        <v>4500</v>
      </c>
      <c r="D1157" s="7">
        <v>3.75</v>
      </c>
    </row>
    <row r="1158" spans="1:5" x14ac:dyDescent="0.25">
      <c r="A1158" t="str">
        <f>HYPERLINK("https://www.773grp.com/globalSearch/LM86CIMMX-NOPB/page-1", "LM86CIMMX-NOPB")</f>
        <v>LM86CIMMX-NOPB</v>
      </c>
      <c r="B1158" s="3" t="str">
        <f>HYPERLINK("https://www.773grp.com/manufacturer/national-semiconductor?pageNo=85", "National Semiconductor")</f>
        <v>National Semiconductor</v>
      </c>
      <c r="C1158" s="6">
        <v>3500</v>
      </c>
      <c r="D1158" s="7">
        <v>3.75</v>
      </c>
      <c r="E1158" t="s">
        <v>12</v>
      </c>
    </row>
    <row r="1159" spans="1:5" x14ac:dyDescent="0.25">
      <c r="A1159" t="str">
        <f>HYPERLINK("https://www.773grp.com/globalSearch/LMC6024IM-NOPB/page-1", "LMC6024IM-NOPB")</f>
        <v>LMC6024IM-NOPB</v>
      </c>
      <c r="B1159" s="3" t="str">
        <f>HYPERLINK("https://www.773grp.com/manufacturer/national-semiconductor?pageNo=86", "National Semiconductor")</f>
        <v>National Semiconductor</v>
      </c>
      <c r="C1159" s="6">
        <v>440</v>
      </c>
      <c r="D1159" s="7">
        <v>3.75</v>
      </c>
      <c r="E1159" t="s">
        <v>13</v>
      </c>
    </row>
    <row r="1160" spans="1:5" x14ac:dyDescent="0.25">
      <c r="A1160" t="str">
        <f>HYPERLINK("https://www.773grp.com/globalSearch/LMC6035ITL-NOPB/page-1", "LMC6035ITL-NOPB")</f>
        <v>LMC6035ITL-NOPB</v>
      </c>
      <c r="B1160" s="3" t="str">
        <f>HYPERLINK("https://www.773grp.com/manufacturer/national-semiconductor?pageNo=87", "National Semiconductor")</f>
        <v>National Semiconductor</v>
      </c>
      <c r="C1160" s="6">
        <v>1079</v>
      </c>
      <c r="D1160" s="7">
        <v>3.75</v>
      </c>
      <c r="E1160" t="s">
        <v>13</v>
      </c>
    </row>
    <row r="1161" spans="1:5" x14ac:dyDescent="0.25">
      <c r="A1161" t="str">
        <f>HYPERLINK("https://www.773grp.com/globalSearch/LMV654MTX/page-1", "LMV654MTX")</f>
        <v>LMV654MTX</v>
      </c>
      <c r="B1161" s="3" t="str">
        <f>HYPERLINK("https://www.773grp.com/manufacturer/national-semiconductor?pageNo=88", "National Semiconductor")</f>
        <v>National Semiconductor</v>
      </c>
      <c r="C1161" s="6">
        <v>97500</v>
      </c>
      <c r="D1161" s="7">
        <v>3.75</v>
      </c>
      <c r="E1161" t="s">
        <v>13</v>
      </c>
    </row>
    <row r="1162" spans="1:5" x14ac:dyDescent="0.25">
      <c r="A1162" t="str">
        <f>HYPERLINK("https://www.773grp.com/globalSearch/LMV654MTX-S7002584/page-1", "LMV654MTX-S7002584")</f>
        <v>LMV654MTX-S7002584</v>
      </c>
      <c r="B1162" s="3" t="str">
        <f>HYPERLINK("https://www.773grp.com/manufacturer/national-semiconductor?pageNo=89", "National Semiconductor")</f>
        <v>National Semiconductor</v>
      </c>
      <c r="C1162" s="6">
        <v>42500</v>
      </c>
      <c r="D1162" s="7">
        <v>3.75</v>
      </c>
    </row>
    <row r="1163" spans="1:5" x14ac:dyDescent="0.25">
      <c r="A1163" t="str">
        <f>HYPERLINK("https://www.773grp.com/globalSearch/LMV824MTX/page-1", "LMV824MTX")</f>
        <v>LMV824MTX</v>
      </c>
      <c r="B1163" s="3" t="str">
        <f>HYPERLINK("https://www.773grp.com/manufacturer/national-semiconductor?pageNo=90", "National Semiconductor")</f>
        <v>National Semiconductor</v>
      </c>
      <c r="C1163" s="6">
        <v>15000</v>
      </c>
      <c r="D1163" s="7">
        <v>3.75</v>
      </c>
      <c r="E1163" t="s">
        <v>13</v>
      </c>
    </row>
    <row r="1164" spans="1:5" x14ac:dyDescent="0.25">
      <c r="A1164" t="str">
        <f>HYPERLINK("https://www.773grp.com/globalSearch/LMV841MG-NOPB/page-1", "LMV841MG-NOPB")</f>
        <v>LMV841MG-NOPB</v>
      </c>
      <c r="B1164" s="3" t="str">
        <f>HYPERLINK("https://www.773grp.com/manufacturer/national-semiconductor?pageNo=91", "National Semiconductor")</f>
        <v>National Semiconductor</v>
      </c>
      <c r="C1164" s="6">
        <v>4600</v>
      </c>
      <c r="D1164" s="7">
        <v>3.75</v>
      </c>
      <c r="E1164" t="s">
        <v>13</v>
      </c>
    </row>
    <row r="1165" spans="1:5" x14ac:dyDescent="0.25">
      <c r="A1165" t="str">
        <f>HYPERLINK("https://www.773grp.com/globalSearch/LMV924MT/page-1", "LMV924MT")</f>
        <v>LMV924MT</v>
      </c>
      <c r="B1165" s="3" t="str">
        <f>HYPERLINK("https://www.773grp.com/manufacturer/national-semiconductor?pageNo=92", "National Semiconductor")</f>
        <v>National Semiconductor</v>
      </c>
      <c r="C1165" s="6">
        <v>3124</v>
      </c>
      <c r="D1165" s="7">
        <v>3.75</v>
      </c>
      <c r="E1165" t="s">
        <v>13</v>
      </c>
    </row>
    <row r="1166" spans="1:5" x14ac:dyDescent="0.25">
      <c r="A1166" t="str">
        <f>HYPERLINK("https://www.773grp.com/globalSearch/LMV924MTX/page-1", "LMV924MTX")</f>
        <v>LMV924MTX</v>
      </c>
      <c r="B1166" s="3" t="str">
        <f>HYPERLINK("https://www.773grp.com/manufacturer/national-semiconductor?pageNo=93", "National Semiconductor")</f>
        <v>National Semiconductor</v>
      </c>
      <c r="C1166" s="6">
        <v>8938</v>
      </c>
      <c r="D1166" s="7">
        <v>3.75</v>
      </c>
      <c r="E1166" t="s">
        <v>13</v>
      </c>
    </row>
    <row r="1167" spans="1:5" x14ac:dyDescent="0.25">
      <c r="A1167" t="str">
        <f>HYPERLINK("https://www.773grp.com/globalSearch/LMV932MAX/page-1", "LMV932MAX")</f>
        <v>LMV932MAX</v>
      </c>
      <c r="B1167" s="3" t="str">
        <f>HYPERLINK("https://www.773grp.com/manufacturer/national-semiconductor?pageNo=94", "National Semiconductor")</f>
        <v>National Semiconductor</v>
      </c>
      <c r="C1167" s="6">
        <v>85000</v>
      </c>
      <c r="D1167" s="7">
        <v>3.75</v>
      </c>
      <c r="E1167" t="s">
        <v>13</v>
      </c>
    </row>
    <row r="1168" spans="1:5" x14ac:dyDescent="0.25">
      <c r="A1168" t="str">
        <f>HYPERLINK("https://www.773grp.com/globalSearch/LMV932MM/page-1", "LMV932MM")</f>
        <v>LMV932MM</v>
      </c>
      <c r="B1168" s="3" t="str">
        <f>HYPERLINK("https://www.773grp.com/manufacturer/national-semiconductor?pageNo=95", "National Semiconductor")</f>
        <v>National Semiconductor</v>
      </c>
      <c r="C1168" s="6">
        <v>3000</v>
      </c>
      <c r="D1168" s="7">
        <v>3.75</v>
      </c>
      <c r="E1168" t="s">
        <v>13</v>
      </c>
    </row>
    <row r="1169" spans="1:5" x14ac:dyDescent="0.25">
      <c r="A1169" t="str">
        <f>HYPERLINK("https://www.773grp.com/globalSearch/LP2987AIMX-5.0-NOPB/page-1", "LP2987AIMX-5.0-NOPB")</f>
        <v>LP2987AIMX-5.0-NOPB</v>
      </c>
      <c r="B1169" s="3" t="str">
        <f>HYPERLINK("https://www.773grp.com/manufacturer/national-semiconductor?pageNo=96", "National Semiconductor")</f>
        <v>National Semiconductor</v>
      </c>
      <c r="C1169" s="6">
        <v>11008</v>
      </c>
      <c r="D1169" s="7">
        <v>3.75</v>
      </c>
      <c r="E1169" t="s">
        <v>19</v>
      </c>
    </row>
    <row r="1170" spans="1:5" x14ac:dyDescent="0.25">
      <c r="A1170" t="str">
        <f>HYPERLINK("https://www.773grp.com/globalSearch/LP2987IMM-5.0/page-1", "LP2987IMM-5.0")</f>
        <v>LP2987IMM-5.0</v>
      </c>
      <c r="B1170" s="3" t="str">
        <f>HYPERLINK("https://www.773grp.com/manufacturer/national-semiconductor?pageNo=97", "National Semiconductor")</f>
        <v>National Semiconductor</v>
      </c>
      <c r="C1170" s="6">
        <v>2000</v>
      </c>
      <c r="D1170" s="7">
        <v>3.75</v>
      </c>
      <c r="E1170" t="s">
        <v>19</v>
      </c>
    </row>
    <row r="1171" spans="1:5" x14ac:dyDescent="0.25">
      <c r="A1171" t="str">
        <f>HYPERLINK("https://www.773grp.com/globalSearch/LP2995MRX/page-1", "LP2995MRX")</f>
        <v>LP2995MRX</v>
      </c>
      <c r="B1171" s="3" t="str">
        <f>HYPERLINK("https://www.773grp.com/manufacturer/national-semiconductor?pageNo=98", "National Semiconductor")</f>
        <v>National Semiconductor</v>
      </c>
      <c r="C1171" s="6">
        <v>42500</v>
      </c>
      <c r="D1171" s="7">
        <v>3.75</v>
      </c>
      <c r="E1171" t="s">
        <v>24</v>
      </c>
    </row>
    <row r="1172" spans="1:5" x14ac:dyDescent="0.25">
      <c r="A1172" t="str">
        <f>HYPERLINK("https://www.773grp.com/globalSearch/LP2995MX/page-1", "LP2995MX")</f>
        <v>LP2995MX</v>
      </c>
      <c r="B1172" s="3" t="str">
        <f>HYPERLINK("https://www.773grp.com/manufacturer/national-semiconductor?pageNo=99", "National Semiconductor")</f>
        <v>National Semiconductor</v>
      </c>
      <c r="C1172" s="6">
        <v>17500</v>
      </c>
      <c r="D1172" s="7">
        <v>3.75</v>
      </c>
      <c r="E1172" t="s">
        <v>24</v>
      </c>
    </row>
    <row r="1173" spans="1:5" x14ac:dyDescent="0.25">
      <c r="A1173" t="str">
        <f>HYPERLINK("https://www.773grp.com/globalSearch/LP38693SD-1.8/page-1", "LP38693SD-1.8")</f>
        <v>LP38693SD-1.8</v>
      </c>
      <c r="B1173" s="3" t="str">
        <f>HYPERLINK("https://www.773grp.com/manufacturer/national-semiconductor?pageNo=100", "National Semiconductor")</f>
        <v>National Semiconductor</v>
      </c>
      <c r="C1173" s="6">
        <v>1000</v>
      </c>
      <c r="D1173" s="7">
        <v>3.75</v>
      </c>
      <c r="E1173" t="s">
        <v>19</v>
      </c>
    </row>
    <row r="1174" spans="1:5" x14ac:dyDescent="0.25">
      <c r="A1174" t="str">
        <f>HYPERLINK("https://www.773grp.com/globalSearch/LP38841SX-1.2/page-1", "LP38841SX-1.2")</f>
        <v>LP38841SX-1.2</v>
      </c>
      <c r="B1174" s="3" t="str">
        <f>HYPERLINK("https://www.773grp.com/manufacturer/national-semiconductor?pageNo=101", "National Semiconductor")</f>
        <v>National Semiconductor</v>
      </c>
      <c r="C1174" s="6">
        <v>500</v>
      </c>
      <c r="D1174" s="7">
        <v>3.75</v>
      </c>
      <c r="E1174" t="s">
        <v>19</v>
      </c>
    </row>
    <row r="1175" spans="1:5" x14ac:dyDescent="0.25">
      <c r="A1175" t="str">
        <f>HYPERLINK("https://www.773grp.com/globalSearch/LP38841T-0.8/page-1", "LP38841T-0.8")</f>
        <v>LP38841T-0.8</v>
      </c>
      <c r="B1175" s="3" t="str">
        <f>HYPERLINK("https://www.773grp.com/manufacturer/national-semiconductor?pageNo=102", "National Semiconductor")</f>
        <v>National Semiconductor</v>
      </c>
      <c r="C1175" s="6">
        <v>90</v>
      </c>
      <c r="D1175" s="7">
        <v>3.75</v>
      </c>
      <c r="E1175" t="s">
        <v>19</v>
      </c>
    </row>
    <row r="1176" spans="1:5" x14ac:dyDescent="0.25">
      <c r="A1176" t="str">
        <f>HYPERLINK("https://www.773grp.com/globalSearch/LP38841T-1.2-NOPB/page-1", "LP38841T-1.2-NOPB")</f>
        <v>LP38841T-1.2-NOPB</v>
      </c>
      <c r="B1176" s="3" t="str">
        <f>HYPERLINK("https://www.773grp.com/manufacturer/national-semiconductor?pageNo=103", "National Semiconductor")</f>
        <v>National Semiconductor</v>
      </c>
      <c r="C1176" s="6">
        <v>147</v>
      </c>
      <c r="D1176" s="7">
        <v>3.75</v>
      </c>
      <c r="E1176" t="s">
        <v>19</v>
      </c>
    </row>
    <row r="1177" spans="1:5" x14ac:dyDescent="0.25">
      <c r="A1177" t="str">
        <f>HYPERLINK("https://www.773grp.com/globalSearch/LP38851MRX-ADJ-NOPB/page-1", "LP38851MRX-ADJ-NOPB")</f>
        <v>LP38851MRX-ADJ-NOPB</v>
      </c>
      <c r="B1177" s="3" t="str">
        <f>HYPERLINK("https://www.773grp.com/manufacturer/national-semiconductor?pageNo=104", "National Semiconductor")</f>
        <v>National Semiconductor</v>
      </c>
      <c r="C1177" s="6">
        <v>7500</v>
      </c>
      <c r="D1177" s="7">
        <v>3.75</v>
      </c>
    </row>
    <row r="1178" spans="1:5" x14ac:dyDescent="0.25">
      <c r="A1178" t="str">
        <f>HYPERLINK("https://www.773grp.com/globalSearch/LP38851T-ADJ-NOPB/page-1", "LP38851T-ADJ-NOPB")</f>
        <v>LP38851T-ADJ-NOPB</v>
      </c>
      <c r="B1178" s="3" t="str">
        <f>HYPERLINK("https://www.773grp.com/manufacturer/national-semiconductor?pageNo=105", "National Semiconductor")</f>
        <v>National Semiconductor</v>
      </c>
      <c r="C1178" s="6">
        <v>233</v>
      </c>
      <c r="D1178" s="7">
        <v>3.75</v>
      </c>
      <c r="E1178" t="s">
        <v>25</v>
      </c>
    </row>
    <row r="1179" spans="1:5" x14ac:dyDescent="0.25">
      <c r="A1179" t="str">
        <f>HYPERLINK("https://www.773grp.com/globalSearch/CSD18503KCS/page-1", "CSD18503KCS")</f>
        <v>CSD18503KCS</v>
      </c>
      <c r="B1179" s="3" t="str">
        <f>HYPERLINK("https://www.773grp.com/manufacturer/national-semiconductor?pageNo=106", "National Semiconductor")</f>
        <v>National Semiconductor</v>
      </c>
      <c r="C1179" s="6">
        <v>1000</v>
      </c>
      <c r="D1179" s="7">
        <v>3.75</v>
      </c>
    </row>
    <row r="1180" spans="1:5" x14ac:dyDescent="0.25">
      <c r="A1180" t="str">
        <f>HYPERLINK("https://www.773grp.com/globalSearch/DAC0808LCM-NOPB/page-1", "DAC0808LCM-NOPB")</f>
        <v>DAC0808LCM-NOPB</v>
      </c>
      <c r="B1180" s="3" t="str">
        <f>HYPERLINK("https://www.773grp.com/manufacturer/national-semiconductor?pageNo=107", "National Semiconductor")</f>
        <v>National Semiconductor</v>
      </c>
      <c r="C1180" s="6">
        <v>96</v>
      </c>
      <c r="D1180" s="7">
        <v>3.75</v>
      </c>
      <c r="E1180" t="s">
        <v>33</v>
      </c>
    </row>
    <row r="1181" spans="1:5" x14ac:dyDescent="0.25">
      <c r="A1181" t="str">
        <f>HYPERLINK("https://www.773grp.com/globalSearch/DS90LV018ATM-NOPB/page-1", "DS90LV018ATM-NOPB")</f>
        <v>DS90LV018ATM-NOPB</v>
      </c>
      <c r="B1181" s="3" t="str">
        <f>HYPERLINK("https://www.773grp.com/manufacturer/national-semiconductor?pageNo=108", "National Semiconductor")</f>
        <v>National Semiconductor</v>
      </c>
      <c r="C1181" s="6">
        <v>264</v>
      </c>
      <c r="D1181" s="7">
        <v>3.75</v>
      </c>
      <c r="E1181" t="s">
        <v>21</v>
      </c>
    </row>
    <row r="1182" spans="1:5" x14ac:dyDescent="0.25">
      <c r="A1182" t="str">
        <f>HYPERLINK("https://www.773grp.com/globalSearch/LM1117S-ADJ-NOPB/page-1", "LM1117S-ADJ-NOPB")</f>
        <v>LM1117S-ADJ-NOPB</v>
      </c>
      <c r="B1182" s="3" t="str">
        <f>HYPERLINK("https://www.773grp.com/manufacturer/national-semiconductor?pageNo=109", "National Semiconductor")</f>
        <v>National Semiconductor</v>
      </c>
      <c r="C1182" s="6">
        <v>810</v>
      </c>
      <c r="D1182" s="7">
        <v>3.75</v>
      </c>
      <c r="E1182" t="s">
        <v>25</v>
      </c>
    </row>
    <row r="1183" spans="1:5" x14ac:dyDescent="0.25">
      <c r="A1183" t="str">
        <f>HYPERLINK("https://www.773grp.com/globalSearch/LM2907MX-8-NOPB/page-1", "LM2907MX-8-NOPB")</f>
        <v>LM2907MX-8-NOPB</v>
      </c>
      <c r="B1183" s="3" t="str">
        <f>HYPERLINK("https://www.773grp.com/manufacturer/national-semiconductor?pageNo=110", "National Semiconductor")</f>
        <v>National Semiconductor</v>
      </c>
      <c r="C1183" s="6">
        <v>12060</v>
      </c>
      <c r="D1183" s="7">
        <v>3.75</v>
      </c>
    </row>
    <row r="1184" spans="1:5" x14ac:dyDescent="0.25">
      <c r="A1184" t="str">
        <f>HYPERLINK("https://www.773grp.com/globalSearch/LM2907N-8-NOPB/page-1", "LM2907N-8-NOPB")</f>
        <v>LM2907N-8-NOPB</v>
      </c>
      <c r="B1184" s="3" t="str">
        <f>HYPERLINK("https://www.773grp.com/manufacturer/national-semiconductor?pageNo=111", "National Semiconductor")</f>
        <v>National Semiconductor</v>
      </c>
      <c r="C1184" s="6">
        <v>400</v>
      </c>
      <c r="D1184" s="7">
        <v>3.75</v>
      </c>
      <c r="E1184" t="s">
        <v>45</v>
      </c>
    </row>
    <row r="1185" spans="1:5" x14ac:dyDescent="0.25">
      <c r="A1185" t="str">
        <f>HYPERLINK("https://www.773grp.com/globalSearch/LM2917N-NOPB/page-1", "LM2917N-NOPB")</f>
        <v>LM2917N-NOPB</v>
      </c>
      <c r="B1185" s="3" t="str">
        <f>HYPERLINK("https://www.773grp.com/manufacturer/national-semiconductor?pageNo=112", "National Semiconductor")</f>
        <v>National Semiconductor</v>
      </c>
      <c r="C1185" s="6">
        <v>25</v>
      </c>
      <c r="D1185" s="7">
        <v>3.75</v>
      </c>
      <c r="E1185" t="s">
        <v>45</v>
      </c>
    </row>
    <row r="1186" spans="1:5" x14ac:dyDescent="0.25">
      <c r="A1186" t="str">
        <f>HYPERLINK("https://www.773grp.com/globalSearch/LM340S-12-NOPB/page-1", "LM340S-12-NOPB")</f>
        <v>LM340S-12-NOPB</v>
      </c>
      <c r="B1186" s="3" t="str">
        <f>HYPERLINK("https://www.773grp.com/manufacturer/national-semiconductor?pageNo=113", "National Semiconductor")</f>
        <v>National Semiconductor</v>
      </c>
      <c r="C1186" s="6">
        <v>495</v>
      </c>
      <c r="D1186" s="7">
        <v>3.75</v>
      </c>
      <c r="E1186" t="s">
        <v>28</v>
      </c>
    </row>
    <row r="1187" spans="1:5" x14ac:dyDescent="0.25">
      <c r="A1187" t="str">
        <f>HYPERLINK("https://www.773grp.com/globalSearch/LM340S-5.0-NOPB/page-1", "LM340S-5.0-NOPB")</f>
        <v>LM340S-5.0-NOPB</v>
      </c>
      <c r="B1187" s="3" t="str">
        <f>HYPERLINK("https://www.773grp.com/manufacturer/national-semiconductor?pageNo=114", "National Semiconductor")</f>
        <v>National Semiconductor</v>
      </c>
      <c r="C1187" s="6">
        <v>247</v>
      </c>
      <c r="D1187" s="7">
        <v>3.75</v>
      </c>
      <c r="E1187" t="s">
        <v>28</v>
      </c>
    </row>
    <row r="1188" spans="1:5" x14ac:dyDescent="0.25">
      <c r="A1188" t="str">
        <f>HYPERLINK("https://www.773grp.com/globalSearch/LM3525M-L-NOPB/page-1", "LM3525M-L-NOPB")</f>
        <v>LM3525M-L-NOPB</v>
      </c>
      <c r="B1188" s="3" t="str">
        <f>HYPERLINK("https://www.773grp.com/manufacturer/national-semiconductor?pageNo=115", "National Semiconductor")</f>
        <v>National Semiconductor</v>
      </c>
      <c r="C1188" s="6">
        <v>3</v>
      </c>
      <c r="D1188" s="7">
        <v>3.75</v>
      </c>
      <c r="E1188" t="s">
        <v>30</v>
      </c>
    </row>
    <row r="1189" spans="1:5" x14ac:dyDescent="0.25">
      <c r="A1189" t="str">
        <f>HYPERLINK("https://www.773grp.com/globalSearch/LM3674MF-ADJ/page-1", "LM3674MF-ADJ")</f>
        <v>LM3674MF-ADJ</v>
      </c>
      <c r="B1189" s="3" t="str">
        <f>HYPERLINK("https://www.773grp.com/manufacturer/national-semiconductor?pageNo=116", "National Semiconductor")</f>
        <v>National Semiconductor</v>
      </c>
      <c r="C1189" s="6">
        <v>8000</v>
      </c>
      <c r="D1189" s="7">
        <v>3.75</v>
      </c>
      <c r="E1189" t="s">
        <v>7</v>
      </c>
    </row>
    <row r="1190" spans="1:5" x14ac:dyDescent="0.25">
      <c r="A1190" t="str">
        <f>HYPERLINK("https://www.773grp.com/globalSearch/LM5021MM-2/page-1", "LM5021MM-2")</f>
        <v>LM5021MM-2</v>
      </c>
      <c r="B1190" s="3" t="str">
        <f>HYPERLINK("https://www.773grp.com/manufacturer/national-semiconductor?pageNo=117", "National Semiconductor")</f>
        <v>National Semiconductor</v>
      </c>
      <c r="C1190" s="6">
        <v>1000</v>
      </c>
      <c r="D1190" s="7">
        <v>3.75</v>
      </c>
    </row>
    <row r="1191" spans="1:5" x14ac:dyDescent="0.25">
      <c r="A1191" t="str">
        <f>HYPERLINK("https://www.773grp.com/globalSearch/LM71CISD-NOPB/page-1", "LM71CISD-NOPB")</f>
        <v>LM71CISD-NOPB</v>
      </c>
      <c r="B1191" s="3" t="str">
        <f>HYPERLINK("https://www.773grp.com/manufacturer/national-semiconductor?pageNo=118", "National Semiconductor")</f>
        <v>National Semiconductor</v>
      </c>
      <c r="C1191" s="6">
        <v>1000</v>
      </c>
      <c r="D1191" s="7">
        <v>3.75</v>
      </c>
    </row>
    <row r="1192" spans="1:5" x14ac:dyDescent="0.25">
      <c r="A1192" t="str">
        <f>HYPERLINK("https://www.773grp.com/globalSearch/LM86CIMMX/page-1", "LM86CIMMX")</f>
        <v>LM86CIMMX</v>
      </c>
      <c r="B1192" s="3" t="str">
        <f>HYPERLINK("https://www.773grp.com/manufacturer/national-semiconductor?pageNo=119", "National Semiconductor")</f>
        <v>National Semiconductor</v>
      </c>
      <c r="C1192" s="6">
        <v>6840</v>
      </c>
      <c r="D1192" s="7">
        <v>3.75</v>
      </c>
    </row>
    <row r="1193" spans="1:5" x14ac:dyDescent="0.25">
      <c r="A1193" t="str">
        <f>HYPERLINK("https://www.773grp.com/globalSearch/LMC6024IM-NOPB/page-1", "LMC6024IM-NOPB")</f>
        <v>LMC6024IM-NOPB</v>
      </c>
      <c r="B1193" s="3" t="str">
        <f>HYPERLINK("https://www.773grp.com/manufacturer/national-semiconductor?pageNo=120", "National Semiconductor")</f>
        <v>National Semiconductor</v>
      </c>
      <c r="C1193" s="6">
        <v>1260</v>
      </c>
      <c r="D1193" s="7">
        <v>3.75</v>
      </c>
      <c r="E1193" t="s">
        <v>13</v>
      </c>
    </row>
    <row r="1194" spans="1:5" x14ac:dyDescent="0.25">
      <c r="A1194" t="str">
        <f>HYPERLINK("https://www.773grp.com/globalSearch/LMV932MM/page-1", "LMV932MM")</f>
        <v>LMV932MM</v>
      </c>
      <c r="B1194" s="3" t="str">
        <f>HYPERLINK("https://www.773grp.com/manufacturer/national-semiconductor?pageNo=121", "National Semiconductor")</f>
        <v>National Semiconductor</v>
      </c>
      <c r="C1194" s="6">
        <v>400</v>
      </c>
      <c r="D1194" s="7">
        <v>3.75</v>
      </c>
      <c r="E1194" t="s">
        <v>13</v>
      </c>
    </row>
    <row r="1195" spans="1:5" x14ac:dyDescent="0.25">
      <c r="A1195" t="str">
        <f>HYPERLINK("https://www.773grp.com/globalSearch/LP2995MX/page-1", "LP2995MX")</f>
        <v>LP2995MX</v>
      </c>
      <c r="B1195" s="3" t="str">
        <f>HYPERLINK("https://www.773grp.com/manufacturer/national-semiconductor?pageNo=122", "National Semiconductor")</f>
        <v>National Semiconductor</v>
      </c>
      <c r="C1195" s="6">
        <v>7500</v>
      </c>
      <c r="D1195" s="7">
        <v>3.75</v>
      </c>
      <c r="E1195" t="s">
        <v>24</v>
      </c>
    </row>
    <row r="1196" spans="1:5" x14ac:dyDescent="0.25">
      <c r="A1196" t="str">
        <f>HYPERLINK("https://www.773grp.com/globalSearch/LP38693MP-3.3/page-1", "LP38693MP-3.3")</f>
        <v>LP38693MP-3.3</v>
      </c>
      <c r="B1196" s="3" t="str">
        <f>HYPERLINK("https://www.773grp.com/manufacturer/national-semiconductor?pageNo=123", "National Semiconductor")</f>
        <v>National Semiconductor</v>
      </c>
      <c r="C1196" s="6">
        <v>1000</v>
      </c>
      <c r="D1196" s="7">
        <v>3.75</v>
      </c>
    </row>
    <row r="1197" spans="1:5" x14ac:dyDescent="0.25">
      <c r="A1197" t="str">
        <f>HYPERLINK("https://www.773grp.com/globalSearch/LP38693MPX-3.3/page-1", "LP38693MPX-3.3")</f>
        <v>LP38693MPX-3.3</v>
      </c>
      <c r="B1197" s="3" t="str">
        <f>HYPERLINK("https://www.773grp.com/manufacturer/national-semiconductor?pageNo=124", "National Semiconductor")</f>
        <v>National Semiconductor</v>
      </c>
      <c r="C1197" s="6">
        <v>2000</v>
      </c>
      <c r="D1197" s="7">
        <v>3.75</v>
      </c>
    </row>
    <row r="1198" spans="1:5" x14ac:dyDescent="0.25">
      <c r="A1198" t="str">
        <f>HYPERLINK("https://www.773grp.com/globalSearch/LP38841T-0.8-NOPB/page-1", "LP38841T-0.8-NOPB")</f>
        <v>LP38841T-0.8-NOPB</v>
      </c>
      <c r="B1198" s="3" t="str">
        <f>HYPERLINK("https://www.773grp.com/manufacturer/national-semiconductor?pageNo=125", "National Semiconductor")</f>
        <v>National Semiconductor</v>
      </c>
      <c r="C1198" s="6">
        <v>166</v>
      </c>
      <c r="D1198" s="7">
        <v>3.75</v>
      </c>
    </row>
    <row r="1199" spans="1:5" x14ac:dyDescent="0.25">
      <c r="A1199" t="str">
        <f>HYPERLINK("https://www.773grp.com/globalSearch/LP38851T-ADJ-NOPB/page-1", "LP38851T-ADJ-NOPB")</f>
        <v>LP38851T-ADJ-NOPB</v>
      </c>
      <c r="B1199" s="3" t="str">
        <f>HYPERLINK("https://www.773grp.com/manufacturer/national-semiconductor?pageNo=126", "National Semiconductor")</f>
        <v>National Semiconductor</v>
      </c>
      <c r="C1199" s="6">
        <v>6255</v>
      </c>
      <c r="D1199" s="7">
        <v>3.75</v>
      </c>
      <c r="E1199" t="s">
        <v>25</v>
      </c>
    </row>
    <row r="1200" spans="1:5" x14ac:dyDescent="0.25">
      <c r="A1200" t="str">
        <f>HYPERLINK("https://www.773grp.com/globalSearch/SM72482MAE-4-NOPB/page-1", "SM72482MAE-4-NOPB")</f>
        <v>SM72482MAE-4-NOPB</v>
      </c>
      <c r="B1200" s="3" t="str">
        <f>HYPERLINK("https://www.773grp.com/manufacturer/national-semiconductor?pageNo=127", "National Semiconductor")</f>
        <v>National Semiconductor</v>
      </c>
      <c r="C1200" s="6">
        <v>500</v>
      </c>
      <c r="D1200" s="7">
        <v>3.75</v>
      </c>
    </row>
    <row r="1201" spans="1:5" x14ac:dyDescent="0.25">
      <c r="A1201" t="str">
        <f>HYPERLINK("https://www.773grp.com/globalSearch/SN74LVC16374DL/page-1", "SN74LVC16374DL")</f>
        <v>SN74LVC16374DL</v>
      </c>
      <c r="B1201" s="3" t="str">
        <f>HYPERLINK("https://www.773grp.com/manufacturer/national-semiconductor?pageNo=128", "National Semiconductor")</f>
        <v>National Semiconductor</v>
      </c>
      <c r="C1201" s="6">
        <v>1700</v>
      </c>
      <c r="D1201" s="7">
        <v>3.75</v>
      </c>
    </row>
    <row r="1202" spans="1:5" x14ac:dyDescent="0.25">
      <c r="A1202" t="str">
        <f>HYPERLINK("https://www.773grp.com/globalSearch/DS90C032TM-NOPB/page-1", "DS90C032TM-NOPB")</f>
        <v>DS90C032TM-NOPB</v>
      </c>
      <c r="B1202" s="3" t="str">
        <f>HYPERLINK("https://www.773grp.com/manufacturer/national-semiconductor?pageNo=129", "National Semiconductor")</f>
        <v>National Semiconductor</v>
      </c>
      <c r="C1202" s="6">
        <v>1115</v>
      </c>
      <c r="D1202" s="7">
        <v>3.41</v>
      </c>
      <c r="E1202" t="s">
        <v>21</v>
      </c>
    </row>
    <row r="1203" spans="1:5" x14ac:dyDescent="0.25">
      <c r="A1203" t="str">
        <f>HYPERLINK("https://www.773grp.com/globalSearch/DS90C032TMX/page-1", "DS90C032TMX")</f>
        <v>DS90C032TMX</v>
      </c>
      <c r="B1203" s="3" t="str">
        <f>HYPERLINK("https://www.773grp.com/manufacturer/national-semiconductor?pageNo=130", "National Semiconductor")</f>
        <v>National Semiconductor</v>
      </c>
      <c r="C1203" s="6">
        <v>2500</v>
      </c>
      <c r="D1203" s="7">
        <v>3.41</v>
      </c>
      <c r="E1203" t="s">
        <v>21</v>
      </c>
    </row>
    <row r="1204" spans="1:5" x14ac:dyDescent="0.25">
      <c r="A1204" t="str">
        <f>HYPERLINK("https://www.773grp.com/globalSearch/LM2622MMX-ADJ/page-1", "LM2622MMX-ADJ")</f>
        <v>LM2622MMX-ADJ</v>
      </c>
      <c r="B1204" s="3" t="str">
        <f>HYPERLINK("https://www.773grp.com/manufacturer/national-semiconductor?pageNo=131", "National Semiconductor")</f>
        <v>National Semiconductor</v>
      </c>
      <c r="C1204" s="6">
        <v>7000</v>
      </c>
      <c r="D1204" s="7">
        <v>3.41</v>
      </c>
      <c r="E1204" t="s">
        <v>7</v>
      </c>
    </row>
    <row r="1205" spans="1:5" x14ac:dyDescent="0.25">
      <c r="A1205" t="str">
        <f>HYPERLINK("https://www.773grp.com/globalSearch/LM2830XQMFE-NOPB/page-1", "LM2830XQMFE-NOPB")</f>
        <v>LM2830XQMFE-NOPB</v>
      </c>
      <c r="B1205" s="3" t="str">
        <f>HYPERLINK("https://www.773grp.com/manufacturer/national-semiconductor?pageNo=132", "National Semiconductor")</f>
        <v>National Semiconductor</v>
      </c>
      <c r="C1205" s="6">
        <v>720</v>
      </c>
      <c r="D1205" s="7">
        <v>3.41</v>
      </c>
      <c r="E1205" t="s">
        <v>7</v>
      </c>
    </row>
    <row r="1206" spans="1:5" x14ac:dyDescent="0.25">
      <c r="A1206" t="str">
        <f>HYPERLINK("https://www.773grp.com/globalSearch/LM3503ITL-16-NOPB/page-1", "LM3503ITL-16-NOPB")</f>
        <v>LM3503ITL-16-NOPB</v>
      </c>
      <c r="B1206" s="3" t="str">
        <f>HYPERLINK("https://www.773grp.com/manufacturer/national-semiconductor?pageNo=133", "National Semiconductor")</f>
        <v>National Semiconductor</v>
      </c>
      <c r="C1206" s="6">
        <v>487</v>
      </c>
      <c r="D1206" s="7">
        <v>3.41</v>
      </c>
    </row>
    <row r="1207" spans="1:5" x14ac:dyDescent="0.25">
      <c r="A1207" t="str">
        <f>HYPERLINK("https://www.773grp.com/globalSearch/LM3503ITL-25-NOPB/page-1", "LM3503ITL-25-NOPB")</f>
        <v>LM3503ITL-25-NOPB</v>
      </c>
      <c r="B1207" s="3" t="str">
        <f>HYPERLINK("https://www.773grp.com/manufacturer/national-semiconductor?pageNo=134", "National Semiconductor")</f>
        <v>National Semiconductor</v>
      </c>
      <c r="C1207" s="6">
        <v>750</v>
      </c>
      <c r="D1207" s="7">
        <v>3.41</v>
      </c>
      <c r="E1207" t="s">
        <v>10</v>
      </c>
    </row>
    <row r="1208" spans="1:5" x14ac:dyDescent="0.25">
      <c r="A1208" t="str">
        <f>HYPERLINK("https://www.773grp.com/globalSearch/LM3503ITL-35-NOPB/page-1", "LM3503ITL-35-NOPB")</f>
        <v>LM3503ITL-35-NOPB</v>
      </c>
      <c r="B1208" s="3" t="str">
        <f>HYPERLINK("https://www.773grp.com/manufacturer/national-semiconductor?pageNo=1", "National Semiconductor")</f>
        <v>National Semiconductor</v>
      </c>
      <c r="C1208" s="6">
        <v>246</v>
      </c>
      <c r="D1208" s="7">
        <v>3.41</v>
      </c>
      <c r="E1208" t="s">
        <v>10</v>
      </c>
    </row>
    <row r="1209" spans="1:5" x14ac:dyDescent="0.25">
      <c r="A1209" t="str">
        <f>HYPERLINK("https://www.773grp.com/globalSearch/LM3503ITL-44-NOPB/page-1", "LM3503ITL-44-NOPB")</f>
        <v>LM3503ITL-44-NOPB</v>
      </c>
      <c r="B1209" s="3" t="str">
        <f>HYPERLINK("https://www.773grp.com/manufacturer/national-semiconductor?pageNo=2", "National Semiconductor")</f>
        <v>National Semiconductor</v>
      </c>
      <c r="C1209" s="6">
        <v>185</v>
      </c>
      <c r="D1209" s="7">
        <v>3.41</v>
      </c>
      <c r="E1209" t="s">
        <v>10</v>
      </c>
    </row>
    <row r="1210" spans="1:5" x14ac:dyDescent="0.25">
      <c r="A1210" t="str">
        <f>HYPERLINK("https://www.773grp.com/globalSearch/LM48413TL-NOPB/page-1", "LM48413TL-NOPB")</f>
        <v>LM48413TL-NOPB</v>
      </c>
      <c r="B1210" s="3" t="str">
        <f>HYPERLINK("https://www.773grp.com/manufacturer/national-semiconductor?pageNo=3", "National Semiconductor")</f>
        <v>National Semiconductor</v>
      </c>
      <c r="C1210" s="6">
        <v>1244</v>
      </c>
      <c r="D1210" s="7">
        <v>3.41</v>
      </c>
    </row>
    <row r="1211" spans="1:5" x14ac:dyDescent="0.25">
      <c r="A1211" t="str">
        <f>HYPERLINK("https://www.773grp.com/globalSearch/LM48556TL-NOPB/page-1", "LM48556TL-NOPB")</f>
        <v>LM48556TL-NOPB</v>
      </c>
      <c r="B1211" s="3" t="str">
        <f>HYPERLINK("https://www.773grp.com/manufacturer/national-semiconductor?pageNo=4", "National Semiconductor")</f>
        <v>National Semiconductor</v>
      </c>
      <c r="C1211" s="6">
        <v>1268</v>
      </c>
      <c r="D1211" s="7">
        <v>3.41</v>
      </c>
    </row>
    <row r="1212" spans="1:5" x14ac:dyDescent="0.25">
      <c r="A1212" t="str">
        <f>HYPERLINK("https://www.773grp.com/globalSearch/LM6171BIMX-NOPB/page-1", "LM6171BIMX-NOPB")</f>
        <v>LM6171BIMX-NOPB</v>
      </c>
      <c r="B1212" s="3" t="str">
        <f>HYPERLINK("https://www.773grp.com/manufacturer/national-semiconductor?pageNo=5", "National Semiconductor")</f>
        <v>National Semiconductor</v>
      </c>
      <c r="C1212" s="6">
        <v>7500</v>
      </c>
      <c r="D1212" s="7">
        <v>3.41</v>
      </c>
      <c r="E1212" t="s">
        <v>18</v>
      </c>
    </row>
    <row r="1213" spans="1:5" x14ac:dyDescent="0.25">
      <c r="A1213" t="str">
        <f>HYPERLINK("https://www.773grp.com/globalSearch/LM6171BIN-NOPB/page-1", "LM6171BIN-NOPB")</f>
        <v>LM6171BIN-NOPB</v>
      </c>
      <c r="B1213" s="3" t="str">
        <f>HYPERLINK("https://www.773grp.com/manufacturer/national-semiconductor?pageNo=6", "National Semiconductor")</f>
        <v>National Semiconductor</v>
      </c>
      <c r="C1213" s="6">
        <v>191</v>
      </c>
      <c r="D1213" s="7">
        <v>3.41</v>
      </c>
      <c r="E1213" t="s">
        <v>18</v>
      </c>
    </row>
    <row r="1214" spans="1:5" x14ac:dyDescent="0.25">
      <c r="A1214" t="str">
        <f>HYPERLINK("https://www.773grp.com/globalSearch/LM7121IM-NOPB/page-1", "LM7121IM-NOPB")</f>
        <v>LM7121IM-NOPB</v>
      </c>
      <c r="B1214" s="3" t="str">
        <f>HYPERLINK("https://www.773grp.com/manufacturer/national-semiconductor?pageNo=7", "National Semiconductor")</f>
        <v>National Semiconductor</v>
      </c>
      <c r="C1214" s="6">
        <v>95</v>
      </c>
      <c r="D1214" s="7">
        <v>3.41</v>
      </c>
      <c r="E1214" t="s">
        <v>13</v>
      </c>
    </row>
    <row r="1215" spans="1:5" x14ac:dyDescent="0.25">
      <c r="A1215" t="str">
        <f>HYPERLINK("https://www.773grp.com/globalSearch/LMC6462BIM-NOPB/page-1", "LMC6462BIM-NOPB")</f>
        <v>LMC6462BIM-NOPB</v>
      </c>
      <c r="B1215" s="3" t="str">
        <f>HYPERLINK("https://www.773grp.com/manufacturer/national-semiconductor?pageNo=8", "National Semiconductor")</f>
        <v>National Semiconductor</v>
      </c>
      <c r="C1215" s="6">
        <v>491</v>
      </c>
      <c r="D1215" s="7">
        <v>3.41</v>
      </c>
      <c r="E1215" t="s">
        <v>13</v>
      </c>
    </row>
    <row r="1216" spans="1:5" x14ac:dyDescent="0.25">
      <c r="A1216" t="str">
        <f>HYPERLINK("https://www.773grp.com/globalSearch/LMP7731MFE-NOPB/page-1", "LMP7731MFE-NOPB")</f>
        <v>LMP7731MFE-NOPB</v>
      </c>
      <c r="B1216" s="3" t="str">
        <f>HYPERLINK("https://www.773grp.com/manufacturer/national-semiconductor?pageNo=9", "National Semiconductor")</f>
        <v>National Semiconductor</v>
      </c>
      <c r="C1216" s="6">
        <v>164</v>
      </c>
      <c r="D1216" s="7">
        <v>3.41</v>
      </c>
    </row>
    <row r="1217" spans="1:5" x14ac:dyDescent="0.25">
      <c r="A1217" t="str">
        <f>HYPERLINK("https://www.773grp.com/globalSearch/LP2953IM-NOPB/page-1", "LP2953IM-NOPB")</f>
        <v>LP2953IM-NOPB</v>
      </c>
      <c r="B1217" s="3" t="str">
        <f>HYPERLINK("https://www.773grp.com/manufacturer/national-semiconductor?pageNo=10", "National Semiconductor")</f>
        <v>National Semiconductor</v>
      </c>
      <c r="C1217" s="6">
        <v>274</v>
      </c>
      <c r="D1217" s="7">
        <v>3.41</v>
      </c>
      <c r="E1217" t="s">
        <v>27</v>
      </c>
    </row>
    <row r="1218" spans="1:5" x14ac:dyDescent="0.25">
      <c r="A1218" t="str">
        <f>HYPERLINK("https://www.773grp.com/globalSearch/LP3891ES-1.8/page-1", "LP3891ES-1.8")</f>
        <v>LP3891ES-1.8</v>
      </c>
      <c r="B1218" s="3" t="str">
        <f>HYPERLINK("https://www.773grp.com/manufacturer/national-semiconductor?pageNo=11", "National Semiconductor")</f>
        <v>National Semiconductor</v>
      </c>
      <c r="C1218" s="6">
        <v>4</v>
      </c>
      <c r="D1218" s="7">
        <v>3.41</v>
      </c>
      <c r="E1218" t="s">
        <v>19</v>
      </c>
    </row>
    <row r="1219" spans="1:5" x14ac:dyDescent="0.25">
      <c r="A1219" t="str">
        <f>HYPERLINK("https://www.773grp.com/globalSearch/LP3891ET-1.2/page-1", "LP3891ET-1.2")</f>
        <v>LP3891ET-1.2</v>
      </c>
      <c r="B1219" s="3" t="str">
        <f>HYPERLINK("https://www.773grp.com/manufacturer/national-semiconductor?pageNo=12", "National Semiconductor")</f>
        <v>National Semiconductor</v>
      </c>
      <c r="C1219" s="6">
        <v>219</v>
      </c>
      <c r="D1219" s="7">
        <v>3.41</v>
      </c>
      <c r="E1219" t="s">
        <v>19</v>
      </c>
    </row>
    <row r="1220" spans="1:5" x14ac:dyDescent="0.25">
      <c r="A1220" t="str">
        <f>HYPERLINK("https://www.773grp.com/globalSearch/LP3891ET-1.2-NOPB/page-1", "LP3891ET-1.2-NOPB")</f>
        <v>LP3891ET-1.2-NOPB</v>
      </c>
      <c r="B1220" s="3" t="str">
        <f>HYPERLINK("https://www.773grp.com/manufacturer/national-semiconductor?pageNo=13", "National Semiconductor")</f>
        <v>National Semiconductor</v>
      </c>
      <c r="C1220" s="6">
        <v>85</v>
      </c>
      <c r="D1220" s="7">
        <v>3.41</v>
      </c>
      <c r="E1220" t="s">
        <v>19</v>
      </c>
    </row>
    <row r="1221" spans="1:5" x14ac:dyDescent="0.25">
      <c r="A1221" t="str">
        <f>HYPERLINK("https://www.773grp.com/globalSearch/LP3946LD/page-1", "LP3946LD")</f>
        <v>LP3946LD</v>
      </c>
      <c r="B1221" s="3" t="str">
        <f>HYPERLINK("https://www.773grp.com/manufacturer/national-semiconductor?pageNo=14", "National Semiconductor")</f>
        <v>National Semiconductor</v>
      </c>
      <c r="C1221" s="6">
        <v>20000</v>
      </c>
      <c r="D1221" s="7">
        <v>3.41</v>
      </c>
    </row>
    <row r="1222" spans="1:5" x14ac:dyDescent="0.25">
      <c r="A1222" t="str">
        <f>HYPERLINK("https://www.773grp.com/globalSearch/DS90C032TM-NOPB/page-1", "DS90C032TM-NOPB")</f>
        <v>DS90C032TM-NOPB</v>
      </c>
      <c r="B1222" s="3" t="str">
        <f>HYPERLINK("https://www.773grp.com/manufacturer/national-semiconductor?pageNo=15", "National Semiconductor")</f>
        <v>National Semiconductor</v>
      </c>
      <c r="C1222" s="6">
        <v>141</v>
      </c>
      <c r="D1222" s="7">
        <v>3.41</v>
      </c>
      <c r="E1222" t="s">
        <v>21</v>
      </c>
    </row>
    <row r="1223" spans="1:5" x14ac:dyDescent="0.25">
      <c r="A1223" t="str">
        <f>HYPERLINK("https://www.773grp.com/globalSearch/DS90C032TM-NOPB/page-1", "DS90C032TM-NOPB")</f>
        <v>DS90C032TM-NOPB</v>
      </c>
      <c r="B1223" s="3" t="str">
        <f>HYPERLINK("https://www.773grp.com/manufacturer/national-semiconductor?pageNo=16", "National Semiconductor")</f>
        <v>National Semiconductor</v>
      </c>
      <c r="C1223" s="6">
        <v>336</v>
      </c>
      <c r="D1223" s="7">
        <v>3.41</v>
      </c>
      <c r="E1223" t="s">
        <v>21</v>
      </c>
    </row>
    <row r="1224" spans="1:5" x14ac:dyDescent="0.25">
      <c r="A1224" t="str">
        <f>HYPERLINK("https://www.773grp.com/globalSearch/LM2830XQMFE-NOPB/page-1", "LM2830XQMFE-NOPB")</f>
        <v>LM2830XQMFE-NOPB</v>
      </c>
      <c r="B1224" s="3" t="str">
        <f>HYPERLINK("https://www.773grp.com/manufacturer/national-semiconductor?pageNo=17", "National Semiconductor")</f>
        <v>National Semiconductor</v>
      </c>
      <c r="C1224" s="6">
        <v>3250</v>
      </c>
      <c r="D1224" s="7">
        <v>3.41</v>
      </c>
      <c r="E1224" t="s">
        <v>7</v>
      </c>
    </row>
    <row r="1225" spans="1:5" x14ac:dyDescent="0.25">
      <c r="A1225" t="str">
        <f>HYPERLINK("https://www.773grp.com/globalSearch/LM2830ZQMFE-NOPB/page-1", "LM2830ZQMFE-NOPB")</f>
        <v>LM2830ZQMFE-NOPB</v>
      </c>
      <c r="B1225" s="3" t="str">
        <f>HYPERLINK("https://www.773grp.com/manufacturer/national-semiconductor?pageNo=18", "National Semiconductor")</f>
        <v>National Semiconductor</v>
      </c>
      <c r="C1225" s="6">
        <v>12250</v>
      </c>
      <c r="D1225" s="7">
        <v>3.41</v>
      </c>
    </row>
    <row r="1226" spans="1:5" x14ac:dyDescent="0.25">
      <c r="A1226" t="str">
        <f>HYPERLINK("https://www.773grp.com/globalSearch/LM3209TLE-NOPB/page-1", "LM3209TLE-NOPB")</f>
        <v>LM3209TLE-NOPB</v>
      </c>
      <c r="B1226" s="3" t="str">
        <f>HYPERLINK("https://www.773grp.com/manufacturer/national-semiconductor?pageNo=19", "National Semiconductor")</f>
        <v>National Semiconductor</v>
      </c>
      <c r="C1226" s="6">
        <v>4000</v>
      </c>
      <c r="D1226" s="7">
        <v>3.41</v>
      </c>
    </row>
    <row r="1227" spans="1:5" x14ac:dyDescent="0.25">
      <c r="A1227" t="str">
        <f>HYPERLINK("https://www.773grp.com/globalSearch/LM48413TL-NOPB/page-1", "LM48413TL-NOPB")</f>
        <v>LM48413TL-NOPB</v>
      </c>
      <c r="B1227" s="3" t="str">
        <f>HYPERLINK("https://www.773grp.com/manufacturer/national-semiconductor?pageNo=20", "National Semiconductor")</f>
        <v>National Semiconductor</v>
      </c>
      <c r="C1227" s="6">
        <v>1719</v>
      </c>
      <c r="D1227" s="7">
        <v>3.41</v>
      </c>
    </row>
    <row r="1228" spans="1:5" x14ac:dyDescent="0.25">
      <c r="A1228" t="str">
        <f>HYPERLINK("https://www.773grp.com/globalSearch/LM48556TL-NOPB/page-1", "LM48556TL-NOPB")</f>
        <v>LM48556TL-NOPB</v>
      </c>
      <c r="B1228" s="3" t="str">
        <f>HYPERLINK("https://www.773grp.com/manufacturer/national-semiconductor?pageNo=21", "National Semiconductor")</f>
        <v>National Semiconductor</v>
      </c>
      <c r="C1228" s="6">
        <v>940</v>
      </c>
      <c r="D1228" s="7">
        <v>3.41</v>
      </c>
    </row>
    <row r="1229" spans="1:5" x14ac:dyDescent="0.25">
      <c r="A1229" t="str">
        <f>HYPERLINK("https://www.773grp.com/globalSearch/LM6171BIMX-NOPB/page-1", "LM6171BIMX-NOPB")</f>
        <v>LM6171BIMX-NOPB</v>
      </c>
      <c r="B1229" s="3" t="str">
        <f>HYPERLINK("https://www.773grp.com/manufacturer/national-semiconductor?pageNo=22", "National Semiconductor")</f>
        <v>National Semiconductor</v>
      </c>
      <c r="C1229" s="6">
        <v>4205</v>
      </c>
      <c r="D1229" s="7">
        <v>3.41</v>
      </c>
      <c r="E1229" t="s">
        <v>18</v>
      </c>
    </row>
    <row r="1230" spans="1:5" x14ac:dyDescent="0.25">
      <c r="A1230" t="str">
        <f>HYPERLINK("https://www.773grp.com/globalSearch/LM6171BIN-NOPB/page-1", "LM6171BIN-NOPB")</f>
        <v>LM6171BIN-NOPB</v>
      </c>
      <c r="B1230" s="3" t="str">
        <f>HYPERLINK("https://www.773grp.com/manufacturer/national-semiconductor?pageNo=23", "National Semiconductor")</f>
        <v>National Semiconductor</v>
      </c>
      <c r="C1230" s="6">
        <v>245</v>
      </c>
      <c r="D1230" s="7">
        <v>3.41</v>
      </c>
      <c r="E1230" t="s">
        <v>18</v>
      </c>
    </row>
    <row r="1231" spans="1:5" x14ac:dyDescent="0.25">
      <c r="A1231" t="str">
        <f>HYPERLINK("https://www.773grp.com/globalSearch/LM7121IM-NOPB/page-1", "LM7121IM-NOPB")</f>
        <v>LM7121IM-NOPB</v>
      </c>
      <c r="B1231" s="3" t="str">
        <f>HYPERLINK("https://www.773grp.com/manufacturer/national-semiconductor?pageNo=24", "National Semiconductor")</f>
        <v>National Semiconductor</v>
      </c>
      <c r="C1231" s="6">
        <v>250</v>
      </c>
      <c r="D1231" s="7">
        <v>3.41</v>
      </c>
      <c r="E1231" t="s">
        <v>13</v>
      </c>
    </row>
    <row r="1232" spans="1:5" x14ac:dyDescent="0.25">
      <c r="A1232" t="str">
        <f>HYPERLINK("https://www.773grp.com/globalSearch/LMC6462BIM-NOPB/page-1", "LMC6462BIM-NOPB")</f>
        <v>LMC6462BIM-NOPB</v>
      </c>
      <c r="B1232" s="3" t="str">
        <f>HYPERLINK("https://www.773grp.com/manufacturer/national-semiconductor?pageNo=25", "National Semiconductor")</f>
        <v>National Semiconductor</v>
      </c>
      <c r="C1232" s="6">
        <v>250</v>
      </c>
      <c r="D1232" s="7">
        <v>3.41</v>
      </c>
      <c r="E1232" t="s">
        <v>13</v>
      </c>
    </row>
    <row r="1233" spans="1:5" x14ac:dyDescent="0.25">
      <c r="A1233" t="str">
        <f>HYPERLINK("https://www.773grp.com/globalSearch/LMP7712MME-NOPB/page-1", "LMP7712MME-NOPB")</f>
        <v>LMP7712MME-NOPB</v>
      </c>
      <c r="B1233" s="3" t="str">
        <f>HYPERLINK("https://www.773grp.com/manufacturer/national-semiconductor?pageNo=26", "National Semiconductor")</f>
        <v>National Semiconductor</v>
      </c>
      <c r="C1233" s="6">
        <v>11250</v>
      </c>
      <c r="D1233" s="7">
        <v>3.41</v>
      </c>
    </row>
    <row r="1234" spans="1:5" x14ac:dyDescent="0.25">
      <c r="A1234" t="str">
        <f>HYPERLINK("https://www.773grp.com/globalSearch/LP2953IM-NOPB/page-1", "LP2953IM-NOPB")</f>
        <v>LP2953IM-NOPB</v>
      </c>
      <c r="B1234" s="3" t="str">
        <f>HYPERLINK("https://www.773grp.com/manufacturer/national-semiconductor?pageNo=27", "National Semiconductor")</f>
        <v>National Semiconductor</v>
      </c>
      <c r="C1234" s="6">
        <v>250</v>
      </c>
      <c r="D1234" s="7">
        <v>3.41</v>
      </c>
      <c r="E1234" t="s">
        <v>27</v>
      </c>
    </row>
    <row r="1235" spans="1:5" x14ac:dyDescent="0.25">
      <c r="A1235" t="str">
        <f>HYPERLINK("https://www.773grp.com/globalSearch/SN74ALVC16244ADLR/page-1", "SN74ALVC16244ADLR")</f>
        <v>SN74ALVC16244ADLR</v>
      </c>
      <c r="B1235" s="3" t="str">
        <f>HYPERLINK("https://www.773grp.com/manufacturer/national-semiconductor?pageNo=28", "National Semiconductor")</f>
        <v>National Semiconductor</v>
      </c>
      <c r="C1235" s="6">
        <v>1000</v>
      </c>
      <c r="D1235" s="7">
        <v>3.41</v>
      </c>
    </row>
    <row r="1236" spans="1:5" x14ac:dyDescent="0.25">
      <c r="A1236" t="str">
        <f>HYPERLINK("https://www.773grp.com/globalSearch/74F283PC/page-1", "74F283PC")</f>
        <v>74F283PC</v>
      </c>
      <c r="B1236" s="3" t="str">
        <f>HYPERLINK("https://www.773grp.com/manufacturer/national-semiconductor?pageNo=29", "National Semiconductor")</f>
        <v>National Semiconductor</v>
      </c>
      <c r="C1236" s="6">
        <v>3207</v>
      </c>
      <c r="D1236" s="7">
        <v>3.8</v>
      </c>
      <c r="E1236" t="s">
        <v>43</v>
      </c>
    </row>
    <row r="1237" spans="1:5" x14ac:dyDescent="0.25">
      <c r="A1237" t="str">
        <f>HYPERLINK("https://www.773grp.com/globalSearch/74F521PC/page-1", "74F521PC")</f>
        <v>74F521PC</v>
      </c>
      <c r="B1237" s="3" t="str">
        <f>HYPERLINK("https://www.773grp.com/manufacturer/national-semiconductor?pageNo=30", "National Semiconductor")</f>
        <v>National Semiconductor</v>
      </c>
      <c r="C1237" s="6">
        <v>29548</v>
      </c>
      <c r="D1237" s="7">
        <v>3.8</v>
      </c>
      <c r="E1237" t="s">
        <v>43</v>
      </c>
    </row>
    <row r="1238" spans="1:5" x14ac:dyDescent="0.25">
      <c r="A1238" t="str">
        <f>HYPERLINK("https://www.773grp.com/globalSearch/ADC081S051CIMF-NOPB/page-1", "ADC081S051CIMF-NOPB")</f>
        <v>ADC081S051CIMF-NOPB</v>
      </c>
      <c r="B1238" s="3" t="str">
        <f>HYPERLINK("https://www.773grp.com/manufacturer/national-semiconductor?pageNo=31", "National Semiconductor")</f>
        <v>National Semiconductor</v>
      </c>
      <c r="C1238" s="6">
        <v>3000</v>
      </c>
      <c r="D1238" s="7">
        <v>3.8</v>
      </c>
      <c r="E1238" t="s">
        <v>39</v>
      </c>
    </row>
    <row r="1239" spans="1:5" x14ac:dyDescent="0.25">
      <c r="A1239" t="str">
        <f>HYPERLINK("https://www.773grp.com/globalSearch/ADC081S051CISD-NOPB/page-1", "ADC081S051CISD-NOPB")</f>
        <v>ADC081S051CISD-NOPB</v>
      </c>
      <c r="B1239" s="3" t="str">
        <f>HYPERLINK("https://www.773grp.com/manufacturer/national-semiconductor?pageNo=32", "National Semiconductor")</f>
        <v>National Semiconductor</v>
      </c>
      <c r="C1239" s="6">
        <v>1969</v>
      </c>
      <c r="D1239" s="7">
        <v>3.8</v>
      </c>
    </row>
    <row r="1240" spans="1:5" x14ac:dyDescent="0.25">
      <c r="A1240" t="str">
        <f>HYPERLINK("https://www.773grp.com/globalSearch/DAC0808LCN-NOPB/page-1", "DAC0808LCN-NOPB")</f>
        <v>DAC0808LCN-NOPB</v>
      </c>
      <c r="B1240" s="3" t="str">
        <f>HYPERLINK("https://www.773grp.com/manufacturer/national-semiconductor?pageNo=33", "National Semiconductor")</f>
        <v>National Semiconductor</v>
      </c>
      <c r="C1240" s="6">
        <v>7145</v>
      </c>
      <c r="D1240" s="7">
        <v>3.8</v>
      </c>
      <c r="E1240" t="s">
        <v>33</v>
      </c>
    </row>
    <row r="1241" spans="1:5" x14ac:dyDescent="0.25">
      <c r="A1241" t="str">
        <f>HYPERLINK("https://www.773grp.com/globalSearch/DS14C89AM-NOPB/page-1", "DS14C89AM-NOPB")</f>
        <v>DS14C89AM-NOPB</v>
      </c>
      <c r="B1241" s="3" t="str">
        <f>HYPERLINK("https://www.773grp.com/manufacturer/national-semiconductor?pageNo=34", "National Semiconductor")</f>
        <v>National Semiconductor</v>
      </c>
      <c r="C1241" s="6">
        <v>1308</v>
      </c>
      <c r="D1241" s="7">
        <v>3.8</v>
      </c>
      <c r="E1241" t="s">
        <v>21</v>
      </c>
    </row>
    <row r="1242" spans="1:5" x14ac:dyDescent="0.25">
      <c r="A1242" t="str">
        <f>HYPERLINK("https://www.773grp.com/globalSearch/DS26LS31CN/page-1", "DS26LS31CN")</f>
        <v>DS26LS31CN</v>
      </c>
      <c r="B1242" s="3" t="str">
        <f>HYPERLINK("https://www.773grp.com/manufacturer/national-semiconductor?pageNo=35", "National Semiconductor")</f>
        <v>National Semiconductor</v>
      </c>
      <c r="C1242" s="6">
        <v>557</v>
      </c>
      <c r="D1242" s="7">
        <v>3.8</v>
      </c>
      <c r="E1242" t="s">
        <v>21</v>
      </c>
    </row>
    <row r="1243" spans="1:5" x14ac:dyDescent="0.25">
      <c r="A1243" t="str">
        <f>HYPERLINK("https://www.773grp.com/globalSearch/DS26LS32ACN-NOPB/page-1", "DS26LS32ACN-NOPB")</f>
        <v>DS26LS32ACN-NOPB</v>
      </c>
      <c r="B1243" s="3" t="str">
        <f>HYPERLINK("https://www.773grp.com/manufacturer/national-semiconductor?pageNo=36", "National Semiconductor")</f>
        <v>National Semiconductor</v>
      </c>
      <c r="C1243" s="6">
        <v>1630</v>
      </c>
      <c r="D1243" s="7">
        <v>3.8</v>
      </c>
      <c r="E1243" t="s">
        <v>21</v>
      </c>
    </row>
    <row r="1244" spans="1:5" x14ac:dyDescent="0.25">
      <c r="A1244" t="str">
        <f>HYPERLINK("https://www.773grp.com/globalSearch/DS8921M/page-1", "DS8921M")</f>
        <v>DS8921M</v>
      </c>
      <c r="B1244" s="3" t="str">
        <f>HYPERLINK("https://www.773grp.com/manufacturer/national-semiconductor?pageNo=37", "National Semiconductor")</f>
        <v>National Semiconductor</v>
      </c>
      <c r="C1244" s="6">
        <v>354</v>
      </c>
      <c r="D1244" s="7">
        <v>3.8</v>
      </c>
      <c r="E1244" t="s">
        <v>21</v>
      </c>
    </row>
    <row r="1245" spans="1:5" x14ac:dyDescent="0.25">
      <c r="A1245" t="str">
        <f>HYPERLINK("https://www.773grp.com/globalSearch/DS90LV027ATMX-NOPB/page-1", "DS90LV027ATMX-NOPB")</f>
        <v>DS90LV027ATMX-NOPB</v>
      </c>
      <c r="B1245" s="3" t="str">
        <f>HYPERLINK("https://www.773grp.com/manufacturer/national-semiconductor?pageNo=38", "National Semiconductor")</f>
        <v>National Semiconductor</v>
      </c>
      <c r="C1245" s="6">
        <v>9305</v>
      </c>
      <c r="D1245" s="7">
        <v>3.8</v>
      </c>
      <c r="E1245" t="s">
        <v>21</v>
      </c>
    </row>
    <row r="1246" spans="1:5" x14ac:dyDescent="0.25">
      <c r="A1246" t="str">
        <f>HYPERLINK("https://www.773grp.com/globalSearch/LM1877N-9A/page-1", "LM1877N-9A")</f>
        <v>LM1877N-9A</v>
      </c>
      <c r="B1246" s="3" t="str">
        <f>HYPERLINK("https://www.773grp.com/manufacturer/national-semiconductor?pageNo=39", "National Semiconductor")</f>
        <v>National Semiconductor</v>
      </c>
      <c r="C1246" s="6">
        <v>12223</v>
      </c>
      <c r="D1246" s="7">
        <v>3.8</v>
      </c>
      <c r="E1246" t="s">
        <v>18</v>
      </c>
    </row>
    <row r="1247" spans="1:5" x14ac:dyDescent="0.25">
      <c r="A1247" t="str">
        <f>HYPERLINK("https://www.773grp.com/globalSearch/LM2907N-8/page-1", "LM2907N-8")</f>
        <v>LM2907N-8</v>
      </c>
      <c r="B1247" s="3" t="str">
        <f>HYPERLINK("https://www.773grp.com/manufacturer/national-semiconductor?pageNo=40", "National Semiconductor")</f>
        <v>National Semiconductor</v>
      </c>
      <c r="C1247" s="6">
        <v>356</v>
      </c>
      <c r="D1247" s="7">
        <v>3.8</v>
      </c>
      <c r="E1247" t="s">
        <v>45</v>
      </c>
    </row>
    <row r="1248" spans="1:5" x14ac:dyDescent="0.25">
      <c r="A1248" t="str">
        <f>HYPERLINK("https://www.773grp.com/globalSearch/LM2917N/page-1", "LM2917N")</f>
        <v>LM2917N</v>
      </c>
      <c r="B1248" s="3" t="str">
        <f>HYPERLINK("https://www.773grp.com/manufacturer/national-semiconductor?pageNo=41", "National Semiconductor")</f>
        <v>National Semiconductor</v>
      </c>
      <c r="C1248" s="6">
        <v>1525</v>
      </c>
      <c r="D1248" s="7">
        <v>3.8</v>
      </c>
      <c r="E1248" t="s">
        <v>45</v>
      </c>
    </row>
    <row r="1249" spans="1:5" x14ac:dyDescent="0.25">
      <c r="A1249" t="str">
        <f>HYPERLINK("https://www.773grp.com/globalSearch/LM3445M-NOPB/page-1", "LM3445M-NOPB")</f>
        <v>LM3445M-NOPB</v>
      </c>
      <c r="B1249" s="3" t="str">
        <f>HYPERLINK("https://www.773grp.com/manufacturer/national-semiconductor?pageNo=42", "National Semiconductor")</f>
        <v>National Semiconductor</v>
      </c>
      <c r="C1249" s="6">
        <v>513</v>
      </c>
      <c r="D1249" s="7">
        <v>3.8</v>
      </c>
    </row>
    <row r="1250" spans="1:5" x14ac:dyDescent="0.25">
      <c r="A1250" t="str">
        <f>HYPERLINK("https://www.773grp.com/globalSearch/LM3940ISX-3.3-NOPB/page-1", "LM3940ISX-3.3-NOPB")</f>
        <v>LM3940ISX-3.3-NOPB</v>
      </c>
      <c r="B1250" s="3" t="str">
        <f>HYPERLINK("https://www.773grp.com/manufacturer/national-semiconductor?pageNo=43", "National Semiconductor")</f>
        <v>National Semiconductor</v>
      </c>
      <c r="C1250" s="6">
        <v>25566</v>
      </c>
      <c r="D1250" s="7">
        <v>3.8</v>
      </c>
      <c r="E1250" t="s">
        <v>19</v>
      </c>
    </row>
    <row r="1251" spans="1:5" x14ac:dyDescent="0.25">
      <c r="A1251" t="str">
        <f>HYPERLINK("https://www.773grp.com/globalSearch/LM4888SQ-NOPB/page-1", "LM4888SQ-NOPB")</f>
        <v>LM4888SQ-NOPB</v>
      </c>
      <c r="B1251" s="3" t="str">
        <f>HYPERLINK("https://www.773grp.com/manufacturer/national-semiconductor?pageNo=44", "National Semiconductor")</f>
        <v>National Semiconductor</v>
      </c>
      <c r="C1251" s="6">
        <v>121895</v>
      </c>
      <c r="D1251" s="7">
        <v>3.8</v>
      </c>
      <c r="E1251" t="s">
        <v>18</v>
      </c>
    </row>
    <row r="1252" spans="1:5" x14ac:dyDescent="0.25">
      <c r="A1252" t="str">
        <f>HYPERLINK("https://www.773grp.com/globalSearch/LM4919MM-NOPB/page-1", "LM4919MM-NOPB")</f>
        <v>LM4919MM-NOPB</v>
      </c>
      <c r="B1252" s="3" t="str">
        <f>HYPERLINK("https://www.773grp.com/manufacturer/national-semiconductor?pageNo=45", "National Semiconductor")</f>
        <v>National Semiconductor</v>
      </c>
      <c r="C1252" s="6">
        <v>882</v>
      </c>
      <c r="D1252" s="7">
        <v>3.8</v>
      </c>
      <c r="E1252" t="s">
        <v>18</v>
      </c>
    </row>
    <row r="1253" spans="1:5" x14ac:dyDescent="0.25">
      <c r="A1253" t="str">
        <f>HYPERLINK("https://www.773grp.com/globalSearch/LM56CIMM-NOPB/page-1", "LM56CIMM-NOPB")</f>
        <v>LM56CIMM-NOPB</v>
      </c>
      <c r="B1253" s="3" t="str">
        <f>HYPERLINK("https://www.773grp.com/manufacturer/national-semiconductor?pageNo=46", "National Semiconductor")</f>
        <v>National Semiconductor</v>
      </c>
      <c r="C1253" s="6">
        <v>6000</v>
      </c>
      <c r="D1253" s="7">
        <v>3.8</v>
      </c>
      <c r="E1253" t="s">
        <v>12</v>
      </c>
    </row>
    <row r="1254" spans="1:5" x14ac:dyDescent="0.25">
      <c r="A1254" t="str">
        <f>HYPERLINK("https://www.773grp.com/globalSearch/LMC6035IMX/page-1", "LMC6035IMX")</f>
        <v>LMC6035IMX</v>
      </c>
      <c r="B1254" s="3" t="str">
        <f>HYPERLINK("https://www.773grp.com/manufacturer/national-semiconductor?pageNo=47", "National Semiconductor")</f>
        <v>National Semiconductor</v>
      </c>
      <c r="C1254" s="6">
        <v>7500</v>
      </c>
      <c r="D1254" s="7">
        <v>3.8</v>
      </c>
      <c r="E1254" t="s">
        <v>13</v>
      </c>
    </row>
    <row r="1255" spans="1:5" x14ac:dyDescent="0.25">
      <c r="A1255" t="str">
        <f>HYPERLINK("https://www.773grp.com/globalSearch/LMC6061AIM-NOPB/page-1", "LMC6061AIM-NOPB")</f>
        <v>LMC6061AIM-NOPB</v>
      </c>
      <c r="B1255" s="3" t="str">
        <f>HYPERLINK("https://www.773grp.com/manufacturer/national-semiconductor?pageNo=48", "National Semiconductor")</f>
        <v>National Semiconductor</v>
      </c>
      <c r="C1255" s="6">
        <v>797</v>
      </c>
      <c r="D1255" s="7">
        <v>3.8</v>
      </c>
      <c r="E1255" t="s">
        <v>13</v>
      </c>
    </row>
    <row r="1256" spans="1:5" x14ac:dyDescent="0.25">
      <c r="A1256" t="str">
        <f>HYPERLINK("https://www.773grp.com/globalSearch/LME49710NA-NOPB/page-1", "LME49710NA-NOPB")</f>
        <v>LME49710NA-NOPB</v>
      </c>
      <c r="B1256" s="3" t="str">
        <f>HYPERLINK("https://www.773grp.com/manufacturer/national-semiconductor?pageNo=49", "National Semiconductor")</f>
        <v>National Semiconductor</v>
      </c>
      <c r="C1256" s="6">
        <v>960</v>
      </c>
      <c r="D1256" s="7">
        <v>3.8</v>
      </c>
    </row>
    <row r="1257" spans="1:5" x14ac:dyDescent="0.25">
      <c r="A1257" t="str">
        <f>HYPERLINK("https://www.773grp.com/globalSearch/LMH6639MA-NOPB/page-1", "LMH6639MA-NOPB")</f>
        <v>LMH6639MA-NOPB</v>
      </c>
      <c r="B1257" s="3" t="str">
        <f>HYPERLINK("https://www.773grp.com/manufacturer/national-semiconductor?pageNo=50", "National Semiconductor")</f>
        <v>National Semiconductor</v>
      </c>
      <c r="C1257" s="6">
        <v>675</v>
      </c>
      <c r="D1257" s="7">
        <v>3.8</v>
      </c>
      <c r="E1257" t="s">
        <v>13</v>
      </c>
    </row>
    <row r="1258" spans="1:5" x14ac:dyDescent="0.25">
      <c r="A1258" t="str">
        <f>HYPERLINK("https://www.773grp.com/globalSearch/LMV641MAE-NOPB/page-1", "LMV641MAE-NOPB")</f>
        <v>LMV641MAE-NOPB</v>
      </c>
      <c r="B1258" s="3" t="str">
        <f>HYPERLINK("https://www.773grp.com/manufacturer/national-semiconductor?pageNo=51", "National Semiconductor")</f>
        <v>National Semiconductor</v>
      </c>
      <c r="C1258" s="6">
        <v>250</v>
      </c>
      <c r="D1258" s="7">
        <v>3.8</v>
      </c>
      <c r="E1258" t="s">
        <v>13</v>
      </c>
    </row>
    <row r="1259" spans="1:5" x14ac:dyDescent="0.25">
      <c r="A1259" t="str">
        <f>HYPERLINK("https://www.773grp.com/globalSearch/LMV7239M5-NOPB/page-1", "LMV7239M5-NOPB")</f>
        <v>LMV7239M5-NOPB</v>
      </c>
      <c r="B1259" s="3" t="str">
        <f>HYPERLINK("https://www.773grp.com/manufacturer/national-semiconductor?pageNo=52", "National Semiconductor")</f>
        <v>National Semiconductor</v>
      </c>
      <c r="C1259" s="6">
        <v>37000</v>
      </c>
      <c r="D1259" s="7">
        <v>3.8</v>
      </c>
      <c r="E1259" t="s">
        <v>9</v>
      </c>
    </row>
    <row r="1260" spans="1:5" x14ac:dyDescent="0.25">
      <c r="A1260" t="str">
        <f>HYPERLINK("https://www.773grp.com/globalSearch/LMV7239M7-NOPB/page-1", "LMV7239M7-NOPB")</f>
        <v>LMV7239M7-NOPB</v>
      </c>
      <c r="B1260" s="3" t="str">
        <f>HYPERLINK("https://www.773grp.com/manufacturer/national-semiconductor?pageNo=53", "National Semiconductor")</f>
        <v>National Semiconductor</v>
      </c>
      <c r="C1260" s="6">
        <v>35040</v>
      </c>
      <c r="D1260" s="7">
        <v>3.8</v>
      </c>
      <c r="E1260" t="s">
        <v>9</v>
      </c>
    </row>
    <row r="1261" spans="1:5" x14ac:dyDescent="0.25">
      <c r="A1261" t="str">
        <f>HYPERLINK("https://www.773grp.com/globalSearch/LMV7239M7X-NOPB/page-1", "LMV7239M7X-NOPB")</f>
        <v>LMV7239M7X-NOPB</v>
      </c>
      <c r="B1261" s="3" t="str">
        <f>HYPERLINK("https://www.773grp.com/manufacturer/national-semiconductor?pageNo=54", "National Semiconductor")</f>
        <v>National Semiconductor</v>
      </c>
      <c r="C1261" s="6">
        <v>3000</v>
      </c>
      <c r="D1261" s="7">
        <v>3.8</v>
      </c>
      <c r="E1261" t="s">
        <v>9</v>
      </c>
    </row>
    <row r="1262" spans="1:5" x14ac:dyDescent="0.25">
      <c r="A1262" t="str">
        <f>HYPERLINK("https://www.773grp.com/globalSearch/LMV934MA-NOPB/page-1", "LMV934MA-NOPB")</f>
        <v>LMV934MA-NOPB</v>
      </c>
      <c r="B1262" s="3" t="str">
        <f>HYPERLINK("https://www.773grp.com/manufacturer/national-semiconductor?pageNo=55", "National Semiconductor")</f>
        <v>National Semiconductor</v>
      </c>
      <c r="C1262" s="6">
        <v>2820</v>
      </c>
      <c r="D1262" s="7">
        <v>3.8</v>
      </c>
      <c r="E1262" t="s">
        <v>13</v>
      </c>
    </row>
    <row r="1263" spans="1:5" x14ac:dyDescent="0.25">
      <c r="A1263" t="str">
        <f>HYPERLINK("https://www.773grp.com/globalSearch/LMV934MT-NOPB/page-1", "LMV934MT-NOPB")</f>
        <v>LMV934MT-NOPB</v>
      </c>
      <c r="B1263" s="3" t="str">
        <f>HYPERLINK("https://www.773grp.com/manufacturer/national-semiconductor?pageNo=56", "National Semiconductor")</f>
        <v>National Semiconductor</v>
      </c>
      <c r="C1263" s="6">
        <v>3203</v>
      </c>
      <c r="D1263" s="7">
        <v>3.8</v>
      </c>
      <c r="E1263" t="s">
        <v>13</v>
      </c>
    </row>
    <row r="1264" spans="1:5" x14ac:dyDescent="0.25">
      <c r="A1264" t="str">
        <f>HYPERLINK("https://www.773grp.com/globalSearch/LP2986IM-3.0-NOPB/page-1", "LP2986IM-3.0-NOPB")</f>
        <v>LP2986IM-3.0-NOPB</v>
      </c>
      <c r="B1264" s="3" t="str">
        <f>HYPERLINK("https://www.773grp.com/manufacturer/national-semiconductor?pageNo=57", "National Semiconductor")</f>
        <v>National Semiconductor</v>
      </c>
      <c r="C1264" s="6">
        <v>336</v>
      </c>
      <c r="D1264" s="7">
        <v>3.8</v>
      </c>
      <c r="E1264" t="s">
        <v>27</v>
      </c>
    </row>
    <row r="1265" spans="1:5" x14ac:dyDescent="0.25">
      <c r="A1265" t="str">
        <f>HYPERLINK("https://www.773grp.com/globalSearch/LP2986IM-3.3-NOPB/page-1", "LP2986IM-3.3-NOPB")</f>
        <v>LP2986IM-3.3-NOPB</v>
      </c>
      <c r="B1265" s="3" t="str">
        <f>HYPERLINK("https://www.773grp.com/manufacturer/national-semiconductor?pageNo=58", "National Semiconductor")</f>
        <v>National Semiconductor</v>
      </c>
      <c r="C1265" s="6">
        <v>975</v>
      </c>
      <c r="D1265" s="7">
        <v>3.8</v>
      </c>
      <c r="E1265" t="s">
        <v>27</v>
      </c>
    </row>
    <row r="1266" spans="1:5" x14ac:dyDescent="0.25">
      <c r="A1266" t="str">
        <f>HYPERLINK("https://www.773grp.com/globalSearch/LP2986IM-5.0-NOPB/page-1", "LP2986IM-5.0-NOPB")</f>
        <v>LP2986IM-5.0-NOPB</v>
      </c>
      <c r="B1266" s="3" t="str">
        <f>HYPERLINK("https://www.773grp.com/manufacturer/national-semiconductor?pageNo=59", "National Semiconductor")</f>
        <v>National Semiconductor</v>
      </c>
      <c r="C1266" s="6">
        <v>416</v>
      </c>
      <c r="D1266" s="7">
        <v>3.8</v>
      </c>
      <c r="E1266" t="s">
        <v>27</v>
      </c>
    </row>
    <row r="1267" spans="1:5" x14ac:dyDescent="0.25">
      <c r="A1267" t="str">
        <f>HYPERLINK("https://www.773grp.com/globalSearch/LP38511MR-ADJ-NOPB/page-1", "LP38511MR-ADJ-NOPB")</f>
        <v>LP38511MR-ADJ-NOPB</v>
      </c>
      <c r="B1267" s="3" t="str">
        <f>HYPERLINK("https://www.773grp.com/manufacturer/national-semiconductor?pageNo=60", "National Semiconductor")</f>
        <v>National Semiconductor</v>
      </c>
      <c r="C1267" s="6">
        <v>855</v>
      </c>
      <c r="D1267" s="7">
        <v>3.8</v>
      </c>
      <c r="E1267" t="s">
        <v>25</v>
      </c>
    </row>
    <row r="1268" spans="1:5" x14ac:dyDescent="0.25">
      <c r="A1268" t="str">
        <f>HYPERLINK("https://www.773grp.com/globalSearch/LP38511TS-1.8-NOPB/page-1", "LP38511TS-1.8-NOPB")</f>
        <v>LP38511TS-1.8-NOPB</v>
      </c>
      <c r="B1268" s="3" t="str">
        <f>HYPERLINK("https://www.773grp.com/manufacturer/national-semiconductor?pageNo=61", "National Semiconductor")</f>
        <v>National Semiconductor</v>
      </c>
      <c r="C1268" s="6">
        <v>925</v>
      </c>
      <c r="D1268" s="7">
        <v>3.8</v>
      </c>
    </row>
    <row r="1269" spans="1:5" x14ac:dyDescent="0.25">
      <c r="A1269" t="str">
        <f>HYPERLINK("https://www.773grp.com/globalSearch/LP3918TLX-NOPB/page-1", "LP3918TLX-NOPB")</f>
        <v>LP3918TLX-NOPB</v>
      </c>
      <c r="B1269" s="3" t="str">
        <f>HYPERLINK("https://www.773grp.com/manufacturer/national-semiconductor?pageNo=62", "National Semiconductor")</f>
        <v>National Semiconductor</v>
      </c>
      <c r="C1269" s="6">
        <v>6000</v>
      </c>
      <c r="D1269" s="7">
        <v>3.8</v>
      </c>
    </row>
    <row r="1270" spans="1:5" x14ac:dyDescent="0.25">
      <c r="A1270" t="str">
        <f>HYPERLINK("https://www.773grp.com/globalSearch/ADC081S051CIMF-NOPB/page-1", "ADC081S051CIMF-NOPB")</f>
        <v>ADC081S051CIMF-NOPB</v>
      </c>
      <c r="B1270" s="3" t="str">
        <f>HYPERLINK("https://www.773grp.com/manufacturer/national-semiconductor?pageNo=63", "National Semiconductor")</f>
        <v>National Semiconductor</v>
      </c>
      <c r="C1270" s="6">
        <v>12780</v>
      </c>
      <c r="D1270" s="7">
        <v>3.8</v>
      </c>
      <c r="E1270" t="s">
        <v>39</v>
      </c>
    </row>
    <row r="1271" spans="1:5" x14ac:dyDescent="0.25">
      <c r="A1271" t="str">
        <f>HYPERLINK("https://www.773grp.com/globalSearch/ADC081S051CISD-NOPB/page-1", "ADC081S051CISD-NOPB")</f>
        <v>ADC081S051CISD-NOPB</v>
      </c>
      <c r="B1271" s="3" t="str">
        <f>HYPERLINK("https://www.773grp.com/manufacturer/national-semiconductor?pageNo=64", "National Semiconductor")</f>
        <v>National Semiconductor</v>
      </c>
      <c r="C1271" s="6">
        <v>27000</v>
      </c>
      <c r="D1271" s="7">
        <v>3.8</v>
      </c>
    </row>
    <row r="1272" spans="1:5" x14ac:dyDescent="0.25">
      <c r="A1272" t="str">
        <f>HYPERLINK("https://www.773grp.com/globalSearch/DS14C89AM-NOPB/page-1", "DS14C89AM-NOPB")</f>
        <v>DS14C89AM-NOPB</v>
      </c>
      <c r="B1272" s="3" t="str">
        <f>HYPERLINK("https://www.773grp.com/manufacturer/national-semiconductor?pageNo=65", "National Semiconductor")</f>
        <v>National Semiconductor</v>
      </c>
      <c r="C1272" s="6">
        <v>3986</v>
      </c>
      <c r="D1272" s="7">
        <v>3.8</v>
      </c>
      <c r="E1272" t="s">
        <v>21</v>
      </c>
    </row>
    <row r="1273" spans="1:5" x14ac:dyDescent="0.25">
      <c r="A1273" t="str">
        <f>HYPERLINK("https://www.773grp.com/globalSearch/DS26LS31CN/page-1", "DS26LS31CN")</f>
        <v>DS26LS31CN</v>
      </c>
      <c r="B1273" s="3" t="str">
        <f>HYPERLINK("https://www.773grp.com/manufacturer/national-semiconductor?pageNo=66", "National Semiconductor")</f>
        <v>National Semiconductor</v>
      </c>
      <c r="C1273" s="6">
        <v>150</v>
      </c>
      <c r="D1273" s="7">
        <v>3.8</v>
      </c>
      <c r="E1273" t="s">
        <v>21</v>
      </c>
    </row>
    <row r="1274" spans="1:5" x14ac:dyDescent="0.25">
      <c r="A1274" t="str">
        <f>HYPERLINK("https://www.773grp.com/globalSearch/DS26LS32ACN-NOPB/page-1", "DS26LS32ACN-NOPB")</f>
        <v>DS26LS32ACN-NOPB</v>
      </c>
      <c r="B1274" s="3" t="str">
        <f>HYPERLINK("https://www.773grp.com/manufacturer/national-semiconductor?pageNo=67", "National Semiconductor")</f>
        <v>National Semiconductor</v>
      </c>
      <c r="C1274" s="6">
        <v>250</v>
      </c>
      <c r="D1274" s="7">
        <v>3.8</v>
      </c>
      <c r="E1274" t="s">
        <v>21</v>
      </c>
    </row>
    <row r="1275" spans="1:5" x14ac:dyDescent="0.25">
      <c r="A1275" t="str">
        <f>HYPERLINK("https://www.773grp.com/globalSearch/DS8921M/page-1", "DS8921M")</f>
        <v>DS8921M</v>
      </c>
      <c r="B1275" s="3" t="str">
        <f>HYPERLINK("https://www.773grp.com/manufacturer/national-semiconductor?pageNo=68", "National Semiconductor")</f>
        <v>National Semiconductor</v>
      </c>
      <c r="C1275" s="6">
        <v>5795</v>
      </c>
      <c r="D1275" s="7">
        <v>3.8</v>
      </c>
      <c r="E1275" t="s">
        <v>21</v>
      </c>
    </row>
    <row r="1276" spans="1:5" x14ac:dyDescent="0.25">
      <c r="A1276" t="str">
        <f>HYPERLINK("https://www.773grp.com/globalSearch/LF347N-PB/page-1", "LF347N-PB")</f>
        <v>LF347N-PB</v>
      </c>
      <c r="B1276" s="3" t="str">
        <f>HYPERLINK("https://www.773grp.com/manufacturer/national-semiconductor?pageNo=69", "National Semiconductor")</f>
        <v>National Semiconductor</v>
      </c>
      <c r="C1276" s="6">
        <v>578</v>
      </c>
      <c r="D1276" s="7">
        <v>3.8</v>
      </c>
    </row>
    <row r="1277" spans="1:5" x14ac:dyDescent="0.25">
      <c r="A1277" t="str">
        <f>HYPERLINK("https://www.773grp.com/globalSearch/LM2907N-8/page-1", "LM2907N-8")</f>
        <v>LM2907N-8</v>
      </c>
      <c r="B1277" s="3" t="str">
        <f>HYPERLINK("https://www.773grp.com/manufacturer/national-semiconductor?pageNo=70", "National Semiconductor")</f>
        <v>National Semiconductor</v>
      </c>
      <c r="C1277" s="6">
        <v>2</v>
      </c>
      <c r="D1277" s="7">
        <v>3.8</v>
      </c>
      <c r="E1277" t="s">
        <v>45</v>
      </c>
    </row>
    <row r="1278" spans="1:5" x14ac:dyDescent="0.25">
      <c r="A1278" t="str">
        <f>HYPERLINK("https://www.773grp.com/globalSearch/LM3445M-NOPB/page-1", "LM3445M-NOPB")</f>
        <v>LM3445M-NOPB</v>
      </c>
      <c r="B1278" s="3" t="str">
        <f>HYPERLINK("https://www.773grp.com/manufacturer/national-semiconductor?pageNo=71", "National Semiconductor")</f>
        <v>National Semiconductor</v>
      </c>
      <c r="C1278" s="6">
        <v>7090</v>
      </c>
      <c r="D1278" s="7">
        <v>3.8</v>
      </c>
    </row>
    <row r="1279" spans="1:5" x14ac:dyDescent="0.25">
      <c r="A1279" t="str">
        <f>HYPERLINK("https://www.773grp.com/globalSearch/LM3445MMX/page-1", "LM3445MMX")</f>
        <v>LM3445MMX</v>
      </c>
      <c r="B1279" s="3" t="str">
        <f>HYPERLINK("https://www.773grp.com/manufacturer/national-semiconductor?pageNo=72", "National Semiconductor")</f>
        <v>National Semiconductor</v>
      </c>
      <c r="C1279" s="6">
        <v>3495</v>
      </c>
      <c r="D1279" s="7">
        <v>3.8</v>
      </c>
      <c r="E1279" t="s">
        <v>10</v>
      </c>
    </row>
    <row r="1280" spans="1:5" x14ac:dyDescent="0.25">
      <c r="A1280" t="str">
        <f>HYPERLINK("https://www.773grp.com/globalSearch/LM56CIMM-NOPB/page-1", "LM56CIMM-NOPB")</f>
        <v>LM56CIMM-NOPB</v>
      </c>
      <c r="B1280" s="3" t="str">
        <f>HYPERLINK("https://www.773grp.com/manufacturer/national-semiconductor?pageNo=73", "National Semiconductor")</f>
        <v>National Semiconductor</v>
      </c>
      <c r="C1280" s="6">
        <v>880</v>
      </c>
      <c r="D1280" s="7">
        <v>3.8</v>
      </c>
      <c r="E1280" t="s">
        <v>12</v>
      </c>
    </row>
    <row r="1281" spans="1:5" x14ac:dyDescent="0.25">
      <c r="A1281" t="str">
        <f>HYPERLINK("https://www.773grp.com/globalSearch/LMC6035IMM/page-1", "LMC6035IMM")</f>
        <v>LMC6035IMM</v>
      </c>
      <c r="B1281" s="3" t="str">
        <f>HYPERLINK("https://www.773grp.com/manufacturer/national-semiconductor?pageNo=74", "National Semiconductor")</f>
        <v>National Semiconductor</v>
      </c>
      <c r="C1281" s="6">
        <v>2000</v>
      </c>
      <c r="D1281" s="7">
        <v>3.8</v>
      </c>
    </row>
    <row r="1282" spans="1:5" x14ac:dyDescent="0.25">
      <c r="A1282" t="str">
        <f>HYPERLINK("https://www.773grp.com/globalSearch/LMC6061AIM-NOPB/page-1", "LMC6061AIM-NOPB")</f>
        <v>LMC6061AIM-NOPB</v>
      </c>
      <c r="B1282" s="3" t="str">
        <f>HYPERLINK("https://www.773grp.com/manufacturer/national-semiconductor?pageNo=75", "National Semiconductor")</f>
        <v>National Semiconductor</v>
      </c>
      <c r="C1282" s="6">
        <v>238</v>
      </c>
      <c r="D1282" s="7">
        <v>3.8</v>
      </c>
      <c r="E1282" t="s">
        <v>13</v>
      </c>
    </row>
    <row r="1283" spans="1:5" x14ac:dyDescent="0.25">
      <c r="A1283" t="str">
        <f>HYPERLINK("https://www.773grp.com/globalSearch/LME49710NA-NOPB/page-1", "LME49710NA-NOPB")</f>
        <v>LME49710NA-NOPB</v>
      </c>
      <c r="B1283" s="3" t="str">
        <f>HYPERLINK("https://www.773grp.com/manufacturer/national-semiconductor?pageNo=76", "National Semiconductor")</f>
        <v>National Semiconductor</v>
      </c>
      <c r="C1283" s="6">
        <v>152</v>
      </c>
      <c r="D1283" s="7">
        <v>3.8</v>
      </c>
    </row>
    <row r="1284" spans="1:5" x14ac:dyDescent="0.25">
      <c r="A1284" t="str">
        <f>HYPERLINK("https://www.773grp.com/globalSearch/LMH6639MA-NOPB/page-1", "LMH6639MA-NOPB")</f>
        <v>LMH6639MA-NOPB</v>
      </c>
      <c r="B1284" s="3" t="str">
        <f>HYPERLINK("https://www.773grp.com/manufacturer/national-semiconductor?pageNo=77", "National Semiconductor")</f>
        <v>National Semiconductor</v>
      </c>
      <c r="C1284" s="6">
        <v>1191</v>
      </c>
      <c r="D1284" s="7">
        <v>3.8</v>
      </c>
      <c r="E1284" t="s">
        <v>13</v>
      </c>
    </row>
    <row r="1285" spans="1:5" x14ac:dyDescent="0.25">
      <c r="A1285" t="str">
        <f>HYPERLINK("https://www.773grp.com/globalSearch/LMV641MGE-NOPB/page-1", "LMV641MGE-NOPB")</f>
        <v>LMV641MGE-NOPB</v>
      </c>
      <c r="B1285" s="3" t="str">
        <f>HYPERLINK("https://www.773grp.com/manufacturer/national-semiconductor?pageNo=78", "National Semiconductor")</f>
        <v>National Semiconductor</v>
      </c>
      <c r="C1285" s="6">
        <v>15250</v>
      </c>
      <c r="D1285" s="7">
        <v>3.8</v>
      </c>
    </row>
    <row r="1286" spans="1:5" x14ac:dyDescent="0.25">
      <c r="A1286" t="str">
        <f>HYPERLINK("https://www.773grp.com/globalSearch/LMV7239M5-NOPB/page-1", "LMV7239M5-NOPB")</f>
        <v>LMV7239M5-NOPB</v>
      </c>
      <c r="B1286" s="3" t="str">
        <f>HYPERLINK("https://www.773grp.com/manufacturer/national-semiconductor?pageNo=79", "National Semiconductor")</f>
        <v>National Semiconductor</v>
      </c>
      <c r="C1286" s="6">
        <v>3138</v>
      </c>
      <c r="D1286" s="7">
        <v>3.8</v>
      </c>
      <c r="E1286" t="s">
        <v>9</v>
      </c>
    </row>
    <row r="1287" spans="1:5" x14ac:dyDescent="0.25">
      <c r="A1287" t="str">
        <f>HYPERLINK("https://www.773grp.com/globalSearch/LMV7239M5X-NOPB/page-1", "LMV7239M5X-NOPB")</f>
        <v>LMV7239M5X-NOPB</v>
      </c>
      <c r="B1287" s="3" t="str">
        <f>HYPERLINK("https://www.773grp.com/manufacturer/national-semiconductor?pageNo=80", "National Semiconductor")</f>
        <v>National Semiconductor</v>
      </c>
      <c r="C1287" s="6">
        <v>9000</v>
      </c>
      <c r="D1287" s="7">
        <v>3.8</v>
      </c>
    </row>
    <row r="1288" spans="1:5" x14ac:dyDescent="0.25">
      <c r="A1288" t="str">
        <f>HYPERLINK("https://www.773grp.com/globalSearch/LMV7239M7-NOPB/page-1", "LMV7239M7-NOPB")</f>
        <v>LMV7239M7-NOPB</v>
      </c>
      <c r="B1288" s="3" t="str">
        <f>HYPERLINK("https://www.773grp.com/manufacturer/national-semiconductor?pageNo=81", "National Semiconductor")</f>
        <v>National Semiconductor</v>
      </c>
      <c r="C1288" s="6">
        <v>975</v>
      </c>
      <c r="D1288" s="7">
        <v>3.8</v>
      </c>
      <c r="E1288" t="s">
        <v>9</v>
      </c>
    </row>
    <row r="1289" spans="1:5" x14ac:dyDescent="0.25">
      <c r="A1289" t="str">
        <f>HYPERLINK("https://www.773grp.com/globalSearch/LMV7239M7X-NOPB/page-1", "LMV7239M7X-NOPB")</f>
        <v>LMV7239M7X-NOPB</v>
      </c>
      <c r="B1289" s="3" t="str">
        <f>HYPERLINK("https://www.773grp.com/manufacturer/national-semiconductor?pageNo=82", "National Semiconductor")</f>
        <v>National Semiconductor</v>
      </c>
      <c r="C1289" s="6">
        <v>2877</v>
      </c>
      <c r="D1289" s="7">
        <v>3.8</v>
      </c>
      <c r="E1289" t="s">
        <v>9</v>
      </c>
    </row>
    <row r="1290" spans="1:5" x14ac:dyDescent="0.25">
      <c r="A1290" t="str">
        <f>HYPERLINK("https://www.773grp.com/globalSearch/LMV934MA-NOPB/page-1", "LMV934MA-NOPB")</f>
        <v>LMV934MA-NOPB</v>
      </c>
      <c r="B1290" s="3" t="str">
        <f>HYPERLINK("https://www.773grp.com/manufacturer/national-semiconductor?pageNo=83", "National Semiconductor")</f>
        <v>National Semiconductor</v>
      </c>
      <c r="C1290" s="6">
        <v>163</v>
      </c>
      <c r="D1290" s="7">
        <v>3.8</v>
      </c>
      <c r="E1290" t="s">
        <v>13</v>
      </c>
    </row>
    <row r="1291" spans="1:5" x14ac:dyDescent="0.25">
      <c r="A1291" t="str">
        <f>HYPERLINK("https://www.773grp.com/globalSearch/LMV934MT-NOPB/page-1", "LMV934MT-NOPB")</f>
        <v>LMV934MT-NOPB</v>
      </c>
      <c r="B1291" s="3" t="str">
        <f>HYPERLINK("https://www.773grp.com/manufacturer/national-semiconductor?pageNo=84", "National Semiconductor")</f>
        <v>National Semiconductor</v>
      </c>
      <c r="C1291" s="6">
        <v>1050</v>
      </c>
      <c r="D1291" s="7">
        <v>3.8</v>
      </c>
      <c r="E1291" t="s">
        <v>13</v>
      </c>
    </row>
    <row r="1292" spans="1:5" x14ac:dyDescent="0.25">
      <c r="A1292" t="str">
        <f>HYPERLINK("https://www.773grp.com/globalSearch/LP2986IM-3.0-NOPB/page-1", "LP2986IM-3.0-NOPB")</f>
        <v>LP2986IM-3.0-NOPB</v>
      </c>
      <c r="B1292" s="3" t="str">
        <f>HYPERLINK("https://www.773grp.com/manufacturer/national-semiconductor?pageNo=85", "National Semiconductor")</f>
        <v>National Semiconductor</v>
      </c>
      <c r="C1292" s="6">
        <v>300</v>
      </c>
      <c r="D1292" s="7">
        <v>3.8</v>
      </c>
      <c r="E1292" t="s">
        <v>27</v>
      </c>
    </row>
    <row r="1293" spans="1:5" x14ac:dyDescent="0.25">
      <c r="A1293" t="str">
        <f>HYPERLINK("https://www.773grp.com/globalSearch/LP2986IM-3.0-NOPB/page-1", "LP2986IM-3.0-NOPB")</f>
        <v>LP2986IM-3.0-NOPB</v>
      </c>
      <c r="B1293" s="3" t="str">
        <f>HYPERLINK("https://www.773grp.com/manufacturer/national-semiconductor?pageNo=86", "National Semiconductor")</f>
        <v>National Semiconductor</v>
      </c>
      <c r="C1293" s="6">
        <v>674</v>
      </c>
      <c r="D1293" s="7">
        <v>3.8</v>
      </c>
      <c r="E1293" t="s">
        <v>27</v>
      </c>
    </row>
    <row r="1294" spans="1:5" x14ac:dyDescent="0.25">
      <c r="A1294" t="str">
        <f>HYPERLINK("https://www.773grp.com/globalSearch/LP2986IM-3.3-NOPB/page-1", "LP2986IM-3.3-NOPB")</f>
        <v>LP2986IM-3.3-NOPB</v>
      </c>
      <c r="B1294" s="3" t="str">
        <f>HYPERLINK("https://www.773grp.com/manufacturer/national-semiconductor?pageNo=87", "National Semiconductor")</f>
        <v>National Semiconductor</v>
      </c>
      <c r="C1294" s="6">
        <v>10060</v>
      </c>
      <c r="D1294" s="7">
        <v>3.8</v>
      </c>
      <c r="E1294" t="s">
        <v>27</v>
      </c>
    </row>
    <row r="1295" spans="1:5" x14ac:dyDescent="0.25">
      <c r="A1295" t="str">
        <f>HYPERLINK("https://www.773grp.com/globalSearch/LP2986IM-5.0-NOPB/page-1", "LP2986IM-5.0-NOPB")</f>
        <v>LP2986IM-5.0-NOPB</v>
      </c>
      <c r="B1295" s="3" t="str">
        <f>HYPERLINK("https://www.773grp.com/manufacturer/national-semiconductor?pageNo=88", "National Semiconductor")</f>
        <v>National Semiconductor</v>
      </c>
      <c r="C1295" s="6">
        <v>6966</v>
      </c>
      <c r="D1295" s="7">
        <v>3.8</v>
      </c>
      <c r="E1295" t="s">
        <v>27</v>
      </c>
    </row>
    <row r="1296" spans="1:5" x14ac:dyDescent="0.25">
      <c r="A1296" t="str">
        <f>HYPERLINK("https://www.773grp.com/globalSearch/LP38511MR-ADJ-NOPB/page-1", "LP38511MR-ADJ-NOPB")</f>
        <v>LP38511MR-ADJ-NOPB</v>
      </c>
      <c r="B1296" s="3" t="str">
        <f>HYPERLINK("https://www.773grp.com/manufacturer/national-semiconductor?pageNo=89", "National Semiconductor")</f>
        <v>National Semiconductor</v>
      </c>
      <c r="C1296" s="6">
        <v>500</v>
      </c>
      <c r="D1296" s="7">
        <v>3.8</v>
      </c>
      <c r="E1296" t="s">
        <v>25</v>
      </c>
    </row>
    <row r="1297" spans="1:5" x14ac:dyDescent="0.25">
      <c r="A1297" t="str">
        <f>HYPERLINK("https://www.773grp.com/globalSearch/LP38511TS-1.8-NOPB/page-1", "LP38511TS-1.8-NOPB")</f>
        <v>LP38511TS-1.8-NOPB</v>
      </c>
      <c r="B1297" s="3" t="str">
        <f>HYPERLINK("https://www.773grp.com/manufacturer/national-semiconductor?pageNo=90", "National Semiconductor")</f>
        <v>National Semiconductor</v>
      </c>
      <c r="C1297" s="6">
        <v>9156</v>
      </c>
      <c r="D1297" s="7">
        <v>3.8</v>
      </c>
    </row>
    <row r="1298" spans="1:5" x14ac:dyDescent="0.25">
      <c r="A1298" t="str">
        <f>HYPERLINK("https://www.773grp.com/globalSearch/SN74CBT16214DGGR/page-1", "SN74CBT16214DGGR")</f>
        <v>SN74CBT16214DGGR</v>
      </c>
      <c r="B1298" s="3" t="str">
        <f>HYPERLINK("https://www.773grp.com/manufacturer/national-semiconductor?pageNo=91", "National Semiconductor")</f>
        <v>National Semiconductor</v>
      </c>
      <c r="C1298" s="6">
        <v>640</v>
      </c>
      <c r="D1298" s="7">
        <v>3.8</v>
      </c>
    </row>
    <row r="1299" spans="1:5" x14ac:dyDescent="0.25">
      <c r="A1299" t="str">
        <f>HYPERLINK("https://www.773grp.com/globalSearch/54F00DM/page-1", "54F00DM")</f>
        <v>54F00DM</v>
      </c>
      <c r="B1299" s="3" t="str">
        <f>HYPERLINK("https://www.773grp.com/manufacturer/national-semiconductor?pageNo=92", "National Semiconductor")</f>
        <v>National Semiconductor</v>
      </c>
      <c r="C1299" s="6">
        <v>88</v>
      </c>
      <c r="D1299" s="7">
        <v>3.43</v>
      </c>
      <c r="E1299" t="s">
        <v>31</v>
      </c>
    </row>
    <row r="1300" spans="1:5" x14ac:dyDescent="0.25">
      <c r="A1300" t="str">
        <f>HYPERLINK("https://www.773grp.com/globalSearch/54F109QC/page-1", "54F109QC")</f>
        <v>54F109QC</v>
      </c>
      <c r="B1300" s="3" t="str">
        <f>HYPERLINK("https://www.773grp.com/manufacturer/national-semiconductor?pageNo=93", "National Semiconductor")</f>
        <v>National Semiconductor</v>
      </c>
      <c r="C1300" s="6">
        <v>1853</v>
      </c>
      <c r="D1300" s="7">
        <v>3.43</v>
      </c>
    </row>
    <row r="1301" spans="1:5" x14ac:dyDescent="0.25">
      <c r="A1301" t="str">
        <f>HYPERLINK("https://www.773grp.com/globalSearch/54F10DM/page-1", "54F10DM")</f>
        <v>54F10DM</v>
      </c>
      <c r="B1301" s="3" t="str">
        <f>HYPERLINK("https://www.773grp.com/manufacturer/national-semiconductor?pageNo=94", "National Semiconductor")</f>
        <v>National Semiconductor</v>
      </c>
      <c r="C1301" s="6">
        <v>147</v>
      </c>
      <c r="D1301" s="7">
        <v>3.43</v>
      </c>
      <c r="E1301" t="s">
        <v>31</v>
      </c>
    </row>
    <row r="1302" spans="1:5" x14ac:dyDescent="0.25">
      <c r="A1302" t="str">
        <f>HYPERLINK("https://www.773grp.com/globalSearch/74F151ALC/page-1", "74F151ALC")</f>
        <v>74F151ALC</v>
      </c>
      <c r="B1302" s="3" t="str">
        <f>HYPERLINK("https://www.773grp.com/manufacturer/national-semiconductor?pageNo=95", "National Semiconductor")</f>
        <v>National Semiconductor</v>
      </c>
      <c r="C1302" s="6">
        <v>185</v>
      </c>
      <c r="D1302" s="7">
        <v>3.43</v>
      </c>
      <c r="E1302" t="s">
        <v>20</v>
      </c>
    </row>
    <row r="1303" spans="1:5" x14ac:dyDescent="0.25">
      <c r="A1303" t="str">
        <f>HYPERLINK("https://www.773grp.com/globalSearch/ADC0834CCWMX/page-1", "ADC0834CCWMX")</f>
        <v>ADC0834CCWMX</v>
      </c>
      <c r="B1303" s="3" t="str">
        <f>HYPERLINK("https://www.773grp.com/manufacturer/national-semiconductor?pageNo=96", "National Semiconductor")</f>
        <v>National Semiconductor</v>
      </c>
      <c r="C1303" s="6">
        <v>2000</v>
      </c>
      <c r="D1303" s="7">
        <v>3.43</v>
      </c>
      <c r="E1303" t="s">
        <v>39</v>
      </c>
    </row>
    <row r="1304" spans="1:5" x14ac:dyDescent="0.25">
      <c r="A1304" t="str">
        <f>HYPERLINK("https://www.773grp.com/globalSearch/ADCV08832CIM/page-1", "ADCV08832CIM")</f>
        <v>ADCV08832CIM</v>
      </c>
      <c r="B1304" s="3" t="str">
        <f>HYPERLINK("https://www.773grp.com/manufacturer/national-semiconductor?pageNo=97", "National Semiconductor")</f>
        <v>National Semiconductor</v>
      </c>
      <c r="C1304" s="6">
        <v>4409</v>
      </c>
      <c r="D1304" s="7">
        <v>3.43</v>
      </c>
      <c r="E1304" t="s">
        <v>39</v>
      </c>
    </row>
    <row r="1305" spans="1:5" x14ac:dyDescent="0.25">
      <c r="A1305" t="str">
        <f>HYPERLINK("https://www.773grp.com/globalSearch/ADCV08832CIM-NOPB/page-1", "ADCV08832CIM-NOPB")</f>
        <v>ADCV08832CIM-NOPB</v>
      </c>
      <c r="B1305" s="3" t="str">
        <f>HYPERLINK("https://www.773grp.com/manufacturer/national-semiconductor?pageNo=98", "National Semiconductor")</f>
        <v>National Semiconductor</v>
      </c>
      <c r="C1305" s="6">
        <v>282</v>
      </c>
      <c r="D1305" s="7">
        <v>3.43</v>
      </c>
      <c r="E1305" t="s">
        <v>39</v>
      </c>
    </row>
    <row r="1306" spans="1:5" x14ac:dyDescent="0.25">
      <c r="A1306" t="str">
        <f>HYPERLINK("https://www.773grp.com/globalSearch/DS485M/page-1", "DS485M")</f>
        <v>DS485M</v>
      </c>
      <c r="B1306" s="3" t="str">
        <f>HYPERLINK("https://www.773grp.com/manufacturer/national-semiconductor?pageNo=99", "National Semiconductor")</f>
        <v>National Semiconductor</v>
      </c>
      <c r="C1306" s="6">
        <v>42</v>
      </c>
      <c r="D1306" s="7">
        <v>3.43</v>
      </c>
      <c r="E1306" t="s">
        <v>21</v>
      </c>
    </row>
    <row r="1307" spans="1:5" x14ac:dyDescent="0.25">
      <c r="A1307" t="str">
        <f>HYPERLINK("https://www.773grp.com/globalSearch/DS485TM/page-1", "DS485TM")</f>
        <v>DS485TM</v>
      </c>
      <c r="B1307" s="3" t="str">
        <f>HYPERLINK("https://www.773grp.com/manufacturer/national-semiconductor?pageNo=100", "National Semiconductor")</f>
        <v>National Semiconductor</v>
      </c>
      <c r="C1307" s="6">
        <v>252</v>
      </c>
      <c r="D1307" s="7">
        <v>3.43</v>
      </c>
      <c r="E1307" t="s">
        <v>21</v>
      </c>
    </row>
    <row r="1308" spans="1:5" x14ac:dyDescent="0.25">
      <c r="A1308" t="str">
        <f>HYPERLINK("https://www.773grp.com/globalSearch/LM1036M-NOPB/page-1", "LM1036M-NOPB")</f>
        <v>LM1036M-NOPB</v>
      </c>
      <c r="B1308" s="3" t="str">
        <f>HYPERLINK("https://www.773grp.com/manufacturer/national-semiconductor?pageNo=101", "National Semiconductor")</f>
        <v>National Semiconductor</v>
      </c>
      <c r="C1308" s="6">
        <v>726</v>
      </c>
      <c r="D1308" s="7">
        <v>3.43</v>
      </c>
      <c r="E1308" t="s">
        <v>41</v>
      </c>
    </row>
    <row r="1309" spans="1:5" x14ac:dyDescent="0.25">
      <c r="A1309" t="str">
        <f>HYPERLINK("https://www.773grp.com/globalSearch/LM2575N-5.0-NOPB/page-1", "LM2575N-5.0-NOPB")</f>
        <v>LM2575N-5.0-NOPB</v>
      </c>
      <c r="B1309" s="3" t="str">
        <f>HYPERLINK("https://www.773grp.com/manufacturer/national-semiconductor?pageNo=102", "National Semiconductor")</f>
        <v>National Semiconductor</v>
      </c>
      <c r="C1309" s="6">
        <v>755</v>
      </c>
      <c r="D1309" s="7">
        <v>3.43</v>
      </c>
    </row>
    <row r="1310" spans="1:5" x14ac:dyDescent="0.25">
      <c r="A1310" t="str">
        <f>HYPERLINK("https://www.773grp.com/globalSearch/LM2575N-ADJ-NOPB/page-1", "LM2575N-ADJ-NOPB")</f>
        <v>LM2575N-ADJ-NOPB</v>
      </c>
      <c r="B1310" s="3" t="str">
        <f>HYPERLINK("https://www.773grp.com/manufacturer/national-semiconductor?pageNo=103", "National Semiconductor")</f>
        <v>National Semiconductor</v>
      </c>
      <c r="C1310" s="6">
        <v>200</v>
      </c>
      <c r="D1310" s="7">
        <v>3.43</v>
      </c>
      <c r="E1310" t="s">
        <v>7</v>
      </c>
    </row>
    <row r="1311" spans="1:5" x14ac:dyDescent="0.25">
      <c r="A1311" t="str">
        <f>HYPERLINK("https://www.773grp.com/globalSearch/LM2575SX-5.0/page-1", "LM2575SX-5.0")</f>
        <v>LM2575SX-5.0</v>
      </c>
      <c r="B1311" s="3" t="str">
        <f>HYPERLINK("https://www.773grp.com/manufacturer/national-semiconductor?pageNo=104", "National Semiconductor")</f>
        <v>National Semiconductor</v>
      </c>
      <c r="C1311" s="6">
        <v>500</v>
      </c>
      <c r="D1311" s="7">
        <v>3.43</v>
      </c>
      <c r="E1311" t="s">
        <v>7</v>
      </c>
    </row>
    <row r="1312" spans="1:5" x14ac:dyDescent="0.25">
      <c r="A1312" t="str">
        <f>HYPERLINK("https://www.773grp.com/globalSearch/LM2594MX-5.0/page-1", "LM2594MX-5.0")</f>
        <v>LM2594MX-5.0</v>
      </c>
      <c r="B1312" s="3" t="str">
        <f>HYPERLINK("https://www.773grp.com/manufacturer/national-semiconductor?pageNo=105", "National Semiconductor")</f>
        <v>National Semiconductor</v>
      </c>
      <c r="C1312" s="6">
        <v>17500</v>
      </c>
      <c r="D1312" s="7">
        <v>3.43</v>
      </c>
      <c r="E1312" t="s">
        <v>7</v>
      </c>
    </row>
    <row r="1313" spans="1:5" x14ac:dyDescent="0.25">
      <c r="A1313" t="str">
        <f>HYPERLINK("https://www.773grp.com/globalSearch/LM4836LQ/page-1", "LM4836LQ")</f>
        <v>LM4836LQ</v>
      </c>
      <c r="B1313" s="3" t="str">
        <f>HYPERLINK("https://www.773grp.com/manufacturer/national-semiconductor?pageNo=106", "National Semiconductor")</f>
        <v>National Semiconductor</v>
      </c>
      <c r="C1313" s="6">
        <v>1800</v>
      </c>
      <c r="D1313" s="7">
        <v>3.43</v>
      </c>
      <c r="E1313" t="s">
        <v>41</v>
      </c>
    </row>
    <row r="1314" spans="1:5" x14ac:dyDescent="0.25">
      <c r="A1314" t="str">
        <f>HYPERLINK("https://www.773grp.com/globalSearch/LM4859TL-NOPB/page-1", "LM4859TL-NOPB")</f>
        <v>LM4859TL-NOPB</v>
      </c>
      <c r="B1314" s="3" t="str">
        <f>HYPERLINK("https://www.773grp.com/manufacturer/national-semiconductor?pageNo=107", "National Semiconductor")</f>
        <v>National Semiconductor</v>
      </c>
      <c r="C1314" s="6">
        <v>500</v>
      </c>
      <c r="D1314" s="7">
        <v>3.43</v>
      </c>
    </row>
    <row r="1315" spans="1:5" x14ac:dyDescent="0.25">
      <c r="A1315" t="str">
        <f>HYPERLINK("https://www.773grp.com/globalSearch/LMC6484IN/page-1", "LMC6484IN")</f>
        <v>LMC6484IN</v>
      </c>
      <c r="B1315" s="3" t="str">
        <f>HYPERLINK("https://www.773grp.com/manufacturer/national-semiconductor?pageNo=108", "National Semiconductor")</f>
        <v>National Semiconductor</v>
      </c>
      <c r="C1315" s="6">
        <v>8</v>
      </c>
      <c r="D1315" s="7">
        <v>3.43</v>
      </c>
      <c r="E1315" t="s">
        <v>13</v>
      </c>
    </row>
    <row r="1316" spans="1:5" x14ac:dyDescent="0.25">
      <c r="A1316" t="str">
        <f>HYPERLINK("https://www.773grp.com/globalSearch/LMC660CM/page-1", "LMC660CM")</f>
        <v>LMC660CM</v>
      </c>
      <c r="B1316" s="3" t="str">
        <f>HYPERLINK("https://www.773grp.com/manufacturer/national-semiconductor?pageNo=109", "National Semiconductor")</f>
        <v>National Semiconductor</v>
      </c>
      <c r="C1316" s="6">
        <v>1687</v>
      </c>
      <c r="D1316" s="7">
        <v>3.43</v>
      </c>
      <c r="E1316" t="s">
        <v>13</v>
      </c>
    </row>
    <row r="1317" spans="1:5" x14ac:dyDescent="0.25">
      <c r="A1317" t="str">
        <f>HYPERLINK("https://www.773grp.com/globalSearch/LMH6655MAX-NOPB/page-1", "LMH6655MAX-NOPB")</f>
        <v>LMH6655MAX-NOPB</v>
      </c>
      <c r="B1317" s="3" t="str">
        <f>HYPERLINK("https://www.773grp.com/manufacturer/national-semiconductor?pageNo=110", "National Semiconductor")</f>
        <v>National Semiconductor</v>
      </c>
      <c r="C1317" s="6">
        <v>15000</v>
      </c>
      <c r="D1317" s="7">
        <v>3.43</v>
      </c>
      <c r="E1317" t="s">
        <v>13</v>
      </c>
    </row>
    <row r="1318" spans="1:5" x14ac:dyDescent="0.25">
      <c r="A1318" t="str">
        <f>HYPERLINK("https://www.773grp.com/globalSearch/LMH6655MM-NOPB/page-1", "LMH6655MM-NOPB")</f>
        <v>LMH6655MM-NOPB</v>
      </c>
      <c r="B1318" s="3" t="str">
        <f>HYPERLINK("https://www.773grp.com/manufacturer/national-semiconductor?pageNo=111", "National Semiconductor")</f>
        <v>National Semiconductor</v>
      </c>
      <c r="C1318" s="6">
        <v>1734</v>
      </c>
      <c r="D1318" s="7">
        <v>3.43</v>
      </c>
      <c r="E1318" t="s">
        <v>13</v>
      </c>
    </row>
    <row r="1319" spans="1:5" x14ac:dyDescent="0.25">
      <c r="A1319" t="str">
        <f>HYPERLINK("https://www.773grp.com/globalSearch/LMS1585ACS-1.5-NOPB/page-1", "LMS1585ACS-1.5-NOPB")</f>
        <v>LMS1585ACS-1.5-NOPB</v>
      </c>
      <c r="B1319" s="3" t="str">
        <f>HYPERLINK("https://www.773grp.com/manufacturer/national-semiconductor?pageNo=112", "National Semiconductor")</f>
        <v>National Semiconductor</v>
      </c>
      <c r="C1319" s="6">
        <v>3124</v>
      </c>
      <c r="D1319" s="7">
        <v>3.43</v>
      </c>
      <c r="E1319" t="s">
        <v>19</v>
      </c>
    </row>
    <row r="1320" spans="1:5" x14ac:dyDescent="0.25">
      <c r="A1320" t="str">
        <f>HYPERLINK("https://www.773grp.com/globalSearch/LP2988AIM-5.0/page-1", "LP2988AIM-5.0")</f>
        <v>LP2988AIM-5.0</v>
      </c>
      <c r="B1320" s="3" t="str">
        <f>HYPERLINK("https://www.773grp.com/manufacturer/national-semiconductor?pageNo=113", "National Semiconductor")</f>
        <v>National Semiconductor</v>
      </c>
      <c r="C1320" s="6">
        <v>2625</v>
      </c>
      <c r="D1320" s="7">
        <v>3.43</v>
      </c>
      <c r="E1320" t="s">
        <v>19</v>
      </c>
    </row>
    <row r="1321" spans="1:5" x14ac:dyDescent="0.25">
      <c r="A1321" t="str">
        <f>HYPERLINK("https://www.773grp.com/globalSearch/DS485M/page-1", "DS485M")</f>
        <v>DS485M</v>
      </c>
      <c r="B1321" s="3" t="str">
        <f>HYPERLINK("https://www.773grp.com/manufacturer/national-semiconductor?pageNo=114", "National Semiconductor")</f>
        <v>National Semiconductor</v>
      </c>
      <c r="C1321" s="6">
        <v>515</v>
      </c>
      <c r="D1321" s="7">
        <v>3.43</v>
      </c>
      <c r="E1321" t="s">
        <v>21</v>
      </c>
    </row>
    <row r="1322" spans="1:5" x14ac:dyDescent="0.25">
      <c r="A1322" t="str">
        <f>HYPERLINK("https://www.773grp.com/globalSearch/LM1036M-NOPB/page-1", "LM1036M-NOPB")</f>
        <v>LM1036M-NOPB</v>
      </c>
      <c r="B1322" s="3" t="str">
        <f>HYPERLINK("https://www.773grp.com/manufacturer/national-semiconductor?pageNo=115", "National Semiconductor")</f>
        <v>National Semiconductor</v>
      </c>
      <c r="C1322" s="6">
        <v>618</v>
      </c>
      <c r="D1322" s="7">
        <v>3.43</v>
      </c>
      <c r="E1322" t="s">
        <v>41</v>
      </c>
    </row>
    <row r="1323" spans="1:5" x14ac:dyDescent="0.25">
      <c r="A1323" t="str">
        <f>HYPERLINK("https://www.773grp.com/globalSearch/LM2575N-5.0-NOPB/page-1", "LM2575N-5.0-NOPB")</f>
        <v>LM2575N-5.0-NOPB</v>
      </c>
      <c r="B1323" s="3" t="str">
        <f>HYPERLINK("https://www.773grp.com/manufacturer/national-semiconductor?pageNo=116", "National Semiconductor")</f>
        <v>National Semiconductor</v>
      </c>
      <c r="C1323" s="6">
        <v>187</v>
      </c>
      <c r="D1323" s="7">
        <v>3.43</v>
      </c>
    </row>
    <row r="1324" spans="1:5" x14ac:dyDescent="0.25">
      <c r="A1324" t="str">
        <f>HYPERLINK("https://www.773grp.com/globalSearch/LM2575SX-5.0/page-1", "LM2575SX-5.0")</f>
        <v>LM2575SX-5.0</v>
      </c>
      <c r="B1324" s="3" t="str">
        <f>HYPERLINK("https://www.773grp.com/manufacturer/national-semiconductor?pageNo=117", "National Semiconductor")</f>
        <v>National Semiconductor</v>
      </c>
      <c r="C1324" s="6">
        <v>2500</v>
      </c>
      <c r="D1324" s="7">
        <v>3.43</v>
      </c>
      <c r="E1324" t="s">
        <v>7</v>
      </c>
    </row>
    <row r="1325" spans="1:5" x14ac:dyDescent="0.25">
      <c r="A1325" t="str">
        <f>HYPERLINK("https://www.773grp.com/globalSearch/LMC660CM/page-1", "LMC660CM")</f>
        <v>LMC660CM</v>
      </c>
      <c r="B1325" s="3" t="str">
        <f>HYPERLINK("https://www.773grp.com/manufacturer/national-semiconductor?pageNo=118", "National Semiconductor")</f>
        <v>National Semiconductor</v>
      </c>
      <c r="C1325" s="6">
        <v>2695</v>
      </c>
      <c r="D1325" s="7">
        <v>3.43</v>
      </c>
      <c r="E1325" t="s">
        <v>13</v>
      </c>
    </row>
    <row r="1326" spans="1:5" x14ac:dyDescent="0.25">
      <c r="A1326" t="str">
        <f>HYPERLINK("https://www.773grp.com/globalSearch/LMH6655MAX-NOPB/page-1", "LMH6655MAX-NOPB")</f>
        <v>LMH6655MAX-NOPB</v>
      </c>
      <c r="B1326" s="3" t="str">
        <f>HYPERLINK("https://www.773grp.com/manufacturer/national-semiconductor?pageNo=119", "National Semiconductor")</f>
        <v>National Semiconductor</v>
      </c>
      <c r="C1326" s="6">
        <v>2500</v>
      </c>
      <c r="D1326" s="7">
        <v>3.43</v>
      </c>
      <c r="E1326" t="s">
        <v>13</v>
      </c>
    </row>
    <row r="1327" spans="1:5" x14ac:dyDescent="0.25">
      <c r="A1327" t="str">
        <f>HYPERLINK("https://www.773grp.com/globalSearch/LMH6655MM-NOPB/page-1", "LMH6655MM-NOPB")</f>
        <v>LMH6655MM-NOPB</v>
      </c>
      <c r="B1327" s="3" t="str">
        <f>HYPERLINK("https://www.773grp.com/manufacturer/national-semiconductor?pageNo=120", "National Semiconductor")</f>
        <v>National Semiconductor</v>
      </c>
      <c r="C1327" s="6">
        <v>1000</v>
      </c>
      <c r="D1327" s="7">
        <v>3.43</v>
      </c>
      <c r="E1327" t="s">
        <v>13</v>
      </c>
    </row>
    <row r="1328" spans="1:5" x14ac:dyDescent="0.25">
      <c r="A1328" t="str">
        <f>HYPERLINK("https://www.773grp.com/globalSearch/LMH6655MMX-NOPB/page-1", "LMH6655MMX-NOPB")</f>
        <v>LMH6655MMX-NOPB</v>
      </c>
      <c r="B1328" s="3" t="str">
        <f>HYPERLINK("https://www.773grp.com/manufacturer/national-semiconductor?pageNo=121", "National Semiconductor")</f>
        <v>National Semiconductor</v>
      </c>
      <c r="C1328" s="6">
        <v>3500</v>
      </c>
      <c r="D1328" s="7">
        <v>3.43</v>
      </c>
    </row>
    <row r="1329" spans="1:5" x14ac:dyDescent="0.25">
      <c r="A1329" t="str">
        <f>HYPERLINK("https://www.773grp.com/globalSearch/LMS1585ACS-3.3-NOPB/page-1", "LMS1585ACS-3.3-NOPB")</f>
        <v>LMS1585ACS-3.3-NOPB</v>
      </c>
      <c r="B1329" s="3" t="str">
        <f>HYPERLINK("https://www.773grp.com/manufacturer/national-semiconductor?pageNo=122", "National Semiconductor")</f>
        <v>National Semiconductor</v>
      </c>
      <c r="C1329" s="6">
        <v>135</v>
      </c>
      <c r="D1329" s="7">
        <v>3.43</v>
      </c>
      <c r="E1329" t="s">
        <v>19</v>
      </c>
    </row>
    <row r="1330" spans="1:5" x14ac:dyDescent="0.25">
      <c r="A1330" t="str">
        <f>HYPERLINK("https://www.773grp.com/globalSearch/LP2988AIM-5.0/page-1", "LP2988AIM-5.0")</f>
        <v>LP2988AIM-5.0</v>
      </c>
      <c r="B1330" s="3" t="str">
        <f>HYPERLINK("https://www.773grp.com/manufacturer/national-semiconductor?pageNo=123", "National Semiconductor")</f>
        <v>National Semiconductor</v>
      </c>
      <c r="C1330" s="6">
        <v>5787</v>
      </c>
      <c r="D1330" s="7">
        <v>3.43</v>
      </c>
      <c r="E1330" t="s">
        <v>19</v>
      </c>
    </row>
    <row r="1331" spans="1:5" x14ac:dyDescent="0.25">
      <c r="A1331" t="str">
        <f>HYPERLINK("https://www.773grp.com/globalSearch/LP3961EMPX-1.8/page-1", "LP3961EMPX-1.8")</f>
        <v>LP3961EMPX-1.8</v>
      </c>
      <c r="B1331" s="3" t="str">
        <f>HYPERLINK("https://www.773grp.com/manufacturer/national-semiconductor?pageNo=124", "National Semiconductor")</f>
        <v>National Semiconductor</v>
      </c>
      <c r="C1331" s="6">
        <v>4000</v>
      </c>
      <c r="D1331" s="7">
        <v>3.43</v>
      </c>
    </row>
    <row r="1332" spans="1:5" x14ac:dyDescent="0.25">
      <c r="A1332" t="str">
        <f>HYPERLINK("https://www.773grp.com/globalSearch/5492DM/page-1", "5492DM")</f>
        <v>5492DM</v>
      </c>
      <c r="B1332" s="3" t="str">
        <f>HYPERLINK("https://www.773grp.com/manufacturer/national-semiconductor?pageNo=125", "National Semiconductor")</f>
        <v>National Semiconductor</v>
      </c>
      <c r="C1332" s="6">
        <v>570</v>
      </c>
      <c r="D1332" s="7">
        <v>3.46</v>
      </c>
    </row>
    <row r="1333" spans="1:5" x14ac:dyDescent="0.25">
      <c r="A1333" t="str">
        <f>HYPERLINK("https://www.773grp.com/globalSearch/54LS11J-883/page-1", "54LS11J-883")</f>
        <v>54LS11J-883</v>
      </c>
      <c r="B1333" s="3" t="str">
        <f>HYPERLINK("https://www.773grp.com/manufacturer/national-semiconductor?pageNo=126", "National Semiconductor")</f>
        <v>National Semiconductor</v>
      </c>
      <c r="C1333" s="6">
        <v>231</v>
      </c>
      <c r="D1333" s="7">
        <v>3.46</v>
      </c>
    </row>
    <row r="1334" spans="1:5" x14ac:dyDescent="0.25">
      <c r="A1334" t="str">
        <f>HYPERLINK("https://www.773grp.com/globalSearch/74F139DC/page-1", "74F139DC")</f>
        <v>74F139DC</v>
      </c>
      <c r="B1334" s="3" t="str">
        <f>HYPERLINK("https://www.773grp.com/manufacturer/national-semiconductor?pageNo=127", "National Semiconductor")</f>
        <v>National Semiconductor</v>
      </c>
      <c r="C1334" s="6">
        <v>155</v>
      </c>
      <c r="D1334" s="7">
        <v>3.46</v>
      </c>
      <c r="E1334" t="s">
        <v>36</v>
      </c>
    </row>
    <row r="1335" spans="1:5" x14ac:dyDescent="0.25">
      <c r="A1335" t="str">
        <f>HYPERLINK("https://www.773grp.com/globalSearch/74F139LC/page-1", "74F139LC")</f>
        <v>74F139LC</v>
      </c>
      <c r="B1335" s="3" t="str">
        <f>HYPERLINK("https://www.773grp.com/manufacturer/national-semiconductor?pageNo=128", "National Semiconductor")</f>
        <v>National Semiconductor</v>
      </c>
      <c r="C1335" s="6">
        <v>247</v>
      </c>
      <c r="D1335" s="7">
        <v>3.46</v>
      </c>
    </row>
    <row r="1336" spans="1:5" x14ac:dyDescent="0.25">
      <c r="A1336" t="str">
        <f>HYPERLINK("https://www.773grp.com/globalSearch/74F157ALC/page-1", "74F157ALC")</f>
        <v>74F157ALC</v>
      </c>
      <c r="B1336" s="3" t="str">
        <f>HYPERLINK("https://www.773grp.com/manufacturer/national-semiconductor?pageNo=129", "National Semiconductor")</f>
        <v>National Semiconductor</v>
      </c>
      <c r="C1336" s="6">
        <v>191</v>
      </c>
      <c r="D1336" s="7">
        <v>3.46</v>
      </c>
    </row>
    <row r="1337" spans="1:5" x14ac:dyDescent="0.25">
      <c r="A1337" t="str">
        <f>HYPERLINK("https://www.773grp.com/globalSearch/LM1283N/page-1", "LM1283N")</f>
        <v>LM1283N</v>
      </c>
      <c r="B1337" s="3" t="str">
        <f>HYPERLINK("https://www.773grp.com/manufacturer/national-semiconductor?pageNo=130", "National Semiconductor")</f>
        <v>National Semiconductor</v>
      </c>
      <c r="C1337" s="6">
        <v>2272</v>
      </c>
      <c r="D1337" s="7">
        <v>3.46</v>
      </c>
      <c r="E1337" t="s">
        <v>18</v>
      </c>
    </row>
    <row r="1338" spans="1:5" x14ac:dyDescent="0.25">
      <c r="A1338" t="str">
        <f>HYPERLINK("https://www.773grp.com/globalSearch/LM25069PMME-1-NOPB/page-1", "LM25069PMME-1-NOPB")</f>
        <v>LM25069PMME-1-NOPB</v>
      </c>
      <c r="B1338" s="3" t="str">
        <f>HYPERLINK("https://www.773grp.com/manufacturer/national-semiconductor?pageNo=131", "National Semiconductor")</f>
        <v>National Semiconductor</v>
      </c>
      <c r="C1338" s="6">
        <v>3922</v>
      </c>
      <c r="D1338" s="7">
        <v>3.46</v>
      </c>
      <c r="E1338" t="s">
        <v>30</v>
      </c>
    </row>
    <row r="1339" spans="1:5" x14ac:dyDescent="0.25">
      <c r="A1339" t="str">
        <f>HYPERLINK("https://www.773grp.com/globalSearch/LM25069PMME-2-NOPB/page-1", "LM25069PMME-2-NOPB")</f>
        <v>LM25069PMME-2-NOPB</v>
      </c>
      <c r="B1339" s="3" t="str">
        <f>HYPERLINK("https://www.773grp.com/manufacturer/national-semiconductor?pageNo=132", "National Semiconductor")</f>
        <v>National Semiconductor</v>
      </c>
      <c r="C1339" s="6">
        <v>500</v>
      </c>
      <c r="D1339" s="7">
        <v>3.46</v>
      </c>
    </row>
    <row r="1340" spans="1:5" x14ac:dyDescent="0.25">
      <c r="A1340" t="str">
        <f>HYPERLINK("https://www.773grp.com/globalSearch/LM2575S-12-NOPB/page-1", "LM2575S-12-NOPB")</f>
        <v>LM2575S-12-NOPB</v>
      </c>
      <c r="B1340" s="3" t="str">
        <f>HYPERLINK("https://www.773grp.com/manufacturer/national-semiconductor?pageNo=133", "National Semiconductor")</f>
        <v>National Semiconductor</v>
      </c>
      <c r="C1340" s="6">
        <v>2190</v>
      </c>
      <c r="D1340" s="7">
        <v>3.46</v>
      </c>
      <c r="E1340" t="s">
        <v>7</v>
      </c>
    </row>
    <row r="1341" spans="1:5" x14ac:dyDescent="0.25">
      <c r="A1341" t="str">
        <f>HYPERLINK("https://www.773grp.com/globalSearch/LM2575S-15-NOPB/page-1", "LM2575S-15-NOPB")</f>
        <v>LM2575S-15-NOPB</v>
      </c>
      <c r="B1341" s="3" t="str">
        <f>HYPERLINK("https://www.773grp.com/manufacturer/national-semiconductor?pageNo=134", "National Semiconductor")</f>
        <v>National Semiconductor</v>
      </c>
      <c r="C1341" s="6">
        <v>145</v>
      </c>
      <c r="D1341" s="7">
        <v>3.46</v>
      </c>
      <c r="E1341" t="s">
        <v>7</v>
      </c>
    </row>
    <row r="1342" spans="1:5" x14ac:dyDescent="0.25">
      <c r="A1342" t="str">
        <f>HYPERLINK("https://www.773grp.com/globalSearch/LM2575S-3.3-NOPB/page-1", "LM2575S-3.3-NOPB")</f>
        <v>LM2575S-3.3-NOPB</v>
      </c>
      <c r="B1342" s="3" t="str">
        <f>HYPERLINK("https://www.773grp.com/manufacturer/national-semiconductor?pageNo=1", "National Semiconductor")</f>
        <v>National Semiconductor</v>
      </c>
      <c r="C1342" s="6">
        <v>2059</v>
      </c>
      <c r="D1342" s="7">
        <v>3.46</v>
      </c>
      <c r="E1342" t="s">
        <v>7</v>
      </c>
    </row>
    <row r="1343" spans="1:5" x14ac:dyDescent="0.25">
      <c r="A1343" t="str">
        <f>HYPERLINK("https://www.773grp.com/globalSearch/LM2575S-5.0-NOPB/page-1", "LM2575S-5.0-NOPB")</f>
        <v>LM2575S-5.0-NOPB</v>
      </c>
      <c r="B1343" s="3" t="str">
        <f>HYPERLINK("https://www.773grp.com/manufacturer/national-semiconductor?pageNo=2", "National Semiconductor")</f>
        <v>National Semiconductor</v>
      </c>
      <c r="C1343" s="6">
        <v>2161</v>
      </c>
      <c r="D1343" s="7">
        <v>3.46</v>
      </c>
      <c r="E1343" t="s">
        <v>7</v>
      </c>
    </row>
    <row r="1344" spans="1:5" x14ac:dyDescent="0.25">
      <c r="A1344" t="str">
        <f>HYPERLINK("https://www.773grp.com/globalSearch/LM2575S-ADJ-NOPB/page-1", "LM2575S-ADJ-NOPB")</f>
        <v>LM2575S-ADJ-NOPB</v>
      </c>
      <c r="B1344" s="3" t="str">
        <f>HYPERLINK("https://www.773grp.com/manufacturer/national-semiconductor?pageNo=3", "National Semiconductor")</f>
        <v>National Semiconductor</v>
      </c>
      <c r="C1344" s="6">
        <v>3695</v>
      </c>
      <c r="D1344" s="7">
        <v>3.46</v>
      </c>
      <c r="E1344" t="s">
        <v>7</v>
      </c>
    </row>
    <row r="1345" spans="1:5" x14ac:dyDescent="0.25">
      <c r="A1345" t="str">
        <f>HYPERLINK("https://www.773grp.com/globalSearch/LM2576S-ADJ-AULF/page-1", "LM2576S-ADJ-AULF")</f>
        <v>LM2576S-ADJ-AULF</v>
      </c>
      <c r="B1345" s="3" t="str">
        <f>HYPERLINK("https://www.773grp.com/manufacturer/national-semiconductor?pageNo=4", "National Semiconductor")</f>
        <v>National Semiconductor</v>
      </c>
      <c r="C1345" s="6">
        <v>2183</v>
      </c>
      <c r="D1345" s="7">
        <v>3.46</v>
      </c>
    </row>
    <row r="1346" spans="1:5" x14ac:dyDescent="0.25">
      <c r="A1346" t="str">
        <f>HYPERLINK("https://www.773grp.com/globalSearch/LM2576SX-3.3-J7000922/page-1", "LM2576SX-3.3-J7000922")</f>
        <v>LM2576SX-3.3-J7000922</v>
      </c>
      <c r="B1346" s="3" t="str">
        <f>HYPERLINK("https://www.773grp.com/manufacturer/national-semiconductor?pageNo=5", "National Semiconductor")</f>
        <v>National Semiconductor</v>
      </c>
      <c r="C1346" s="6">
        <v>6000</v>
      </c>
      <c r="D1346" s="7">
        <v>3.46</v>
      </c>
    </row>
    <row r="1347" spans="1:5" x14ac:dyDescent="0.25">
      <c r="A1347" t="str">
        <f>HYPERLINK("https://www.773grp.com/globalSearch/LM2576SX-5.0-AULF/page-1", "LM2576SX-5.0-AULF")</f>
        <v>LM2576SX-5.0-AULF</v>
      </c>
      <c r="B1347" s="3" t="str">
        <f>HYPERLINK("https://www.773grp.com/manufacturer/national-semiconductor?pageNo=6", "National Semiconductor")</f>
        <v>National Semiconductor</v>
      </c>
      <c r="C1347" s="6">
        <v>5500</v>
      </c>
      <c r="D1347" s="7">
        <v>3.46</v>
      </c>
    </row>
    <row r="1348" spans="1:5" x14ac:dyDescent="0.25">
      <c r="A1348" t="str">
        <f>HYPERLINK("https://www.773grp.com/globalSearch/LM49350RLX/page-1", "LM49350RLX")</f>
        <v>LM49350RLX</v>
      </c>
      <c r="B1348" s="3" t="str">
        <f>HYPERLINK("https://www.773grp.com/manufacturer/national-semiconductor?pageNo=7", "National Semiconductor")</f>
        <v>National Semiconductor</v>
      </c>
      <c r="C1348" s="6">
        <v>2000</v>
      </c>
      <c r="D1348" s="7">
        <v>3.46</v>
      </c>
      <c r="E1348" t="s">
        <v>23</v>
      </c>
    </row>
    <row r="1349" spans="1:5" x14ac:dyDescent="0.25">
      <c r="A1349" t="str">
        <f>HYPERLINK("https://www.773grp.com/globalSearch/LM49350RLX-NOPB/page-1", "LM49350RLX-NOPB")</f>
        <v>LM49350RLX-NOPB</v>
      </c>
      <c r="B1349" s="3" t="str">
        <f>HYPERLINK("https://www.773grp.com/manufacturer/national-semiconductor?pageNo=8", "National Semiconductor")</f>
        <v>National Semiconductor</v>
      </c>
      <c r="C1349" s="6">
        <v>2630</v>
      </c>
      <c r="D1349" s="7">
        <v>3.46</v>
      </c>
    </row>
    <row r="1350" spans="1:5" x14ac:dyDescent="0.25">
      <c r="A1350" t="str">
        <f>HYPERLINK("https://www.773grp.com/globalSearch/LM76CHMX-5-NOPB/page-1", "LM76CHMX-5-NOPB")</f>
        <v>LM76CHMX-5-NOPB</v>
      </c>
      <c r="B1350" s="3" t="str">
        <f>HYPERLINK("https://www.773grp.com/manufacturer/national-semiconductor?pageNo=9", "National Semiconductor")</f>
        <v>National Semiconductor</v>
      </c>
      <c r="C1350" s="6">
        <v>15000</v>
      </c>
      <c r="D1350" s="7">
        <v>3.46</v>
      </c>
      <c r="E1350" t="s">
        <v>12</v>
      </c>
    </row>
    <row r="1351" spans="1:5" x14ac:dyDescent="0.25">
      <c r="A1351" t="str">
        <f>HYPERLINK("https://www.773grp.com/globalSearch/LMH6643MA/page-1", "LMH6643MA")</f>
        <v>LMH6643MA</v>
      </c>
      <c r="B1351" s="3" t="str">
        <f>HYPERLINK("https://www.773grp.com/manufacturer/national-semiconductor?pageNo=10", "National Semiconductor")</f>
        <v>National Semiconductor</v>
      </c>
      <c r="C1351" s="6">
        <v>1955</v>
      </c>
      <c r="D1351" s="7">
        <v>3.46</v>
      </c>
      <c r="E1351" t="s">
        <v>18</v>
      </c>
    </row>
    <row r="1352" spans="1:5" x14ac:dyDescent="0.25">
      <c r="A1352" t="str">
        <f>HYPERLINK("https://www.773grp.com/globalSearch/LMP8601QMAX-NOPB/page-1", "LMP8601QMAX-NOPB")</f>
        <v>LMP8601QMAX-NOPB</v>
      </c>
      <c r="B1352" s="3" t="str">
        <f>HYPERLINK("https://www.773grp.com/manufacturer/national-semiconductor?pageNo=11", "National Semiconductor")</f>
        <v>National Semiconductor</v>
      </c>
      <c r="C1352" s="6">
        <v>7200</v>
      </c>
      <c r="D1352" s="7">
        <v>3.46</v>
      </c>
    </row>
    <row r="1353" spans="1:5" x14ac:dyDescent="0.25">
      <c r="A1353" t="str">
        <f>HYPERLINK("https://www.773grp.com/globalSearch/LP3965ET-2.5/page-1", "LP3965ET-2.5")</f>
        <v>LP3965ET-2.5</v>
      </c>
      <c r="B1353" s="3" t="str">
        <f>HYPERLINK("https://www.773grp.com/manufacturer/national-semiconductor?pageNo=12", "National Semiconductor")</f>
        <v>National Semiconductor</v>
      </c>
      <c r="C1353" s="6">
        <v>360</v>
      </c>
      <c r="D1353" s="7">
        <v>3.46</v>
      </c>
      <c r="E1353" t="s">
        <v>19</v>
      </c>
    </row>
    <row r="1354" spans="1:5" x14ac:dyDescent="0.25">
      <c r="A1354" t="str">
        <f>HYPERLINK("https://www.773grp.com/globalSearch/LM25069PMME-1-NOPB/page-1", "LM25069PMME-1-NOPB")</f>
        <v>LM25069PMME-1-NOPB</v>
      </c>
      <c r="B1354" s="3" t="str">
        <f>HYPERLINK("https://www.773grp.com/manufacturer/national-semiconductor?pageNo=13", "National Semiconductor")</f>
        <v>National Semiconductor</v>
      </c>
      <c r="C1354" s="6">
        <v>250</v>
      </c>
      <c r="D1354" s="7">
        <v>3.46</v>
      </c>
      <c r="E1354" t="s">
        <v>30</v>
      </c>
    </row>
    <row r="1355" spans="1:5" x14ac:dyDescent="0.25">
      <c r="A1355" t="str">
        <f>HYPERLINK("https://www.773grp.com/globalSearch/LM25069PMME-2-NOPB/page-1", "LM25069PMME-2-NOPB")</f>
        <v>LM25069PMME-2-NOPB</v>
      </c>
      <c r="B1355" s="3" t="str">
        <f>HYPERLINK("https://www.773grp.com/manufacturer/national-semiconductor?pageNo=14", "National Semiconductor")</f>
        <v>National Semiconductor</v>
      </c>
      <c r="C1355" s="6">
        <v>213</v>
      </c>
      <c r="D1355" s="7">
        <v>3.46</v>
      </c>
    </row>
    <row r="1356" spans="1:5" x14ac:dyDescent="0.25">
      <c r="A1356" t="str">
        <f>HYPERLINK("https://www.773grp.com/globalSearch/LM2575S-12-NOPB/page-1", "LM2575S-12-NOPB")</f>
        <v>LM2575S-12-NOPB</v>
      </c>
      <c r="B1356" s="3" t="str">
        <f>HYPERLINK("https://www.773grp.com/manufacturer/national-semiconductor?pageNo=15", "National Semiconductor")</f>
        <v>National Semiconductor</v>
      </c>
      <c r="C1356" s="6">
        <v>527</v>
      </c>
      <c r="D1356" s="7">
        <v>3.46</v>
      </c>
      <c r="E1356" t="s">
        <v>7</v>
      </c>
    </row>
    <row r="1357" spans="1:5" x14ac:dyDescent="0.25">
      <c r="A1357" t="str">
        <f>HYPERLINK("https://www.773grp.com/globalSearch/LM2575S-15-NOPB/page-1", "LM2575S-15-NOPB")</f>
        <v>LM2575S-15-NOPB</v>
      </c>
      <c r="B1357" s="3" t="str">
        <f>HYPERLINK("https://www.773grp.com/manufacturer/national-semiconductor?pageNo=16", "National Semiconductor")</f>
        <v>National Semiconductor</v>
      </c>
      <c r="C1357" s="6">
        <v>203</v>
      </c>
      <c r="D1357" s="7">
        <v>3.46</v>
      </c>
      <c r="E1357" t="s">
        <v>7</v>
      </c>
    </row>
    <row r="1358" spans="1:5" x14ac:dyDescent="0.25">
      <c r="A1358" t="str">
        <f>HYPERLINK("https://www.773grp.com/globalSearch/LM2575S-3.3-NOPB/page-1", "LM2575S-3.3-NOPB")</f>
        <v>LM2575S-3.3-NOPB</v>
      </c>
      <c r="B1358" s="3" t="str">
        <f>HYPERLINK("https://www.773grp.com/manufacturer/national-semiconductor?pageNo=17", "National Semiconductor")</f>
        <v>National Semiconductor</v>
      </c>
      <c r="C1358" s="6">
        <v>3216</v>
      </c>
      <c r="D1358" s="7">
        <v>3.46</v>
      </c>
      <c r="E1358" t="s">
        <v>7</v>
      </c>
    </row>
    <row r="1359" spans="1:5" x14ac:dyDescent="0.25">
      <c r="A1359" t="str">
        <f>HYPERLINK("https://www.773grp.com/globalSearch/LM2575S-5.0-NOPB/page-1", "LM2575S-5.0-NOPB")</f>
        <v>LM2575S-5.0-NOPB</v>
      </c>
      <c r="B1359" s="3" t="str">
        <f>HYPERLINK("https://www.773grp.com/manufacturer/national-semiconductor?pageNo=18", "National Semiconductor")</f>
        <v>National Semiconductor</v>
      </c>
      <c r="C1359" s="6">
        <v>240</v>
      </c>
      <c r="D1359" s="7">
        <v>3.46</v>
      </c>
      <c r="E1359" t="s">
        <v>7</v>
      </c>
    </row>
    <row r="1360" spans="1:5" x14ac:dyDescent="0.25">
      <c r="A1360" t="str">
        <f>HYPERLINK("https://www.773grp.com/globalSearch/LM2575S-ADJ-NOPB/page-1", "LM2575S-ADJ-NOPB")</f>
        <v>LM2575S-ADJ-NOPB</v>
      </c>
      <c r="B1360" s="3" t="str">
        <f>HYPERLINK("https://www.773grp.com/manufacturer/national-semiconductor?pageNo=19", "National Semiconductor")</f>
        <v>National Semiconductor</v>
      </c>
      <c r="C1360" s="6">
        <v>90</v>
      </c>
      <c r="D1360" s="7">
        <v>3.46</v>
      </c>
      <c r="E1360" t="s">
        <v>7</v>
      </c>
    </row>
    <row r="1361" spans="1:5" x14ac:dyDescent="0.25">
      <c r="A1361" t="str">
        <f>HYPERLINK("https://www.773grp.com/globalSearch/LM49150TL-NOPB/page-1", "LM49150TL-NOPB")</f>
        <v>LM49150TL-NOPB</v>
      </c>
      <c r="B1361" s="3" t="str">
        <f>HYPERLINK("https://www.773grp.com/manufacturer/national-semiconductor?pageNo=20", "National Semiconductor")</f>
        <v>National Semiconductor</v>
      </c>
      <c r="C1361" s="6">
        <v>250</v>
      </c>
      <c r="D1361" s="7">
        <v>3.46</v>
      </c>
    </row>
    <row r="1362" spans="1:5" x14ac:dyDescent="0.25">
      <c r="A1362" t="str">
        <f>HYPERLINK("https://www.773grp.com/globalSearch/LM49350RLX-NOPB/page-1", "LM49350RLX-NOPB")</f>
        <v>LM49350RLX-NOPB</v>
      </c>
      <c r="B1362" s="3" t="str">
        <f>HYPERLINK("https://www.773grp.com/manufacturer/national-semiconductor?pageNo=21", "National Semiconductor")</f>
        <v>National Semiconductor</v>
      </c>
      <c r="C1362" s="6">
        <v>876000</v>
      </c>
      <c r="D1362" s="7">
        <v>3.46</v>
      </c>
    </row>
    <row r="1363" spans="1:5" x14ac:dyDescent="0.25">
      <c r="A1363" t="str">
        <f>HYPERLINK("https://www.773grp.com/globalSearch/LM76CHMX-5-NOPB/page-1", "LM76CHMX-5-NOPB")</f>
        <v>LM76CHMX-5-NOPB</v>
      </c>
      <c r="B1363" s="3" t="str">
        <f>HYPERLINK("https://www.773grp.com/manufacturer/national-semiconductor?pageNo=22", "National Semiconductor")</f>
        <v>National Semiconductor</v>
      </c>
      <c r="C1363" s="6">
        <v>2500</v>
      </c>
      <c r="D1363" s="7">
        <v>3.46</v>
      </c>
      <c r="E1363" t="s">
        <v>12</v>
      </c>
    </row>
    <row r="1364" spans="1:5" x14ac:dyDescent="0.25">
      <c r="A1364" t="str">
        <f>HYPERLINK("https://www.773grp.com/globalSearch/LMC6772AIMMX/page-1", "LMC6772AIMMX")</f>
        <v>LMC6772AIMMX</v>
      </c>
      <c r="B1364" s="3" t="str">
        <f>HYPERLINK("https://www.773grp.com/manufacturer/national-semiconductor?pageNo=23", "National Semiconductor")</f>
        <v>National Semiconductor</v>
      </c>
      <c r="C1364" s="6">
        <v>7000</v>
      </c>
      <c r="D1364" s="7">
        <v>3.46</v>
      </c>
    </row>
    <row r="1365" spans="1:5" x14ac:dyDescent="0.25">
      <c r="A1365" t="str">
        <f>HYPERLINK("https://www.773grp.com/globalSearch/LMH6643MA/page-1", "LMH6643MA")</f>
        <v>LMH6643MA</v>
      </c>
      <c r="B1365" s="3" t="str">
        <f>HYPERLINK("https://www.773grp.com/manufacturer/national-semiconductor?pageNo=24", "National Semiconductor")</f>
        <v>National Semiconductor</v>
      </c>
      <c r="C1365" s="6">
        <v>6993</v>
      </c>
      <c r="D1365" s="7">
        <v>3.46</v>
      </c>
      <c r="E1365" t="s">
        <v>18</v>
      </c>
    </row>
    <row r="1366" spans="1:5" x14ac:dyDescent="0.25">
      <c r="A1366" t="str">
        <f>HYPERLINK("https://www.773grp.com/globalSearch/4070BDM/page-1", "4070BDM")</f>
        <v>4070BDM</v>
      </c>
      <c r="B1366" s="3" t="str">
        <f>HYPERLINK("https://www.773grp.com/manufacturer/national-semiconductor?pageNo=25", "National Semiconductor")</f>
        <v>National Semiconductor</v>
      </c>
      <c r="C1366" s="6">
        <v>6955</v>
      </c>
      <c r="D1366" s="7">
        <v>3.85</v>
      </c>
    </row>
    <row r="1367" spans="1:5" x14ac:dyDescent="0.25">
      <c r="A1367" t="str">
        <f>HYPERLINK("https://www.773grp.com/globalSearch/74107DC/page-1", "74107DC")</f>
        <v>74107DC</v>
      </c>
      <c r="B1367" s="3" t="str">
        <f>HYPERLINK("https://www.773grp.com/manufacturer/national-semiconductor?pageNo=26", "National Semiconductor")</f>
        <v>National Semiconductor</v>
      </c>
      <c r="C1367" s="6">
        <v>23</v>
      </c>
      <c r="D1367" s="7">
        <v>3.85</v>
      </c>
    </row>
    <row r="1368" spans="1:5" x14ac:dyDescent="0.25">
      <c r="A1368" t="str">
        <f>HYPERLINK("https://www.773grp.com/globalSearch/74123/page-1", "74123")</f>
        <v>74123</v>
      </c>
      <c r="B1368" s="3" t="str">
        <f>HYPERLINK("https://www.773grp.com/manufacturer/national-semiconductor?pageNo=27", "National Semiconductor")</f>
        <v>National Semiconductor</v>
      </c>
      <c r="C1368" s="6">
        <v>8209</v>
      </c>
      <c r="D1368" s="7">
        <v>3.85</v>
      </c>
      <c r="E1368" t="s">
        <v>46</v>
      </c>
    </row>
    <row r="1369" spans="1:5" x14ac:dyDescent="0.25">
      <c r="A1369" t="str">
        <f>HYPERLINK("https://www.773grp.com/globalSearch/74123DC/page-1", "74123DC")</f>
        <v>74123DC</v>
      </c>
      <c r="B1369" s="3" t="str">
        <f>HYPERLINK("https://www.773grp.com/manufacturer/national-semiconductor?pageNo=28", "National Semiconductor")</f>
        <v>National Semiconductor</v>
      </c>
      <c r="C1369" s="6">
        <v>45636</v>
      </c>
      <c r="D1369" s="7">
        <v>3.85</v>
      </c>
    </row>
    <row r="1370" spans="1:5" x14ac:dyDescent="0.25">
      <c r="A1370" t="str">
        <f>HYPERLINK("https://www.773grp.com/globalSearch/74BCT244SCX/page-1", "74BCT244SCX")</f>
        <v>74BCT244SCX</v>
      </c>
      <c r="B1370" s="3" t="str">
        <f>HYPERLINK("https://www.773grp.com/manufacturer/national-semiconductor?pageNo=29", "National Semiconductor")</f>
        <v>National Semiconductor</v>
      </c>
      <c r="C1370" s="6">
        <v>3000</v>
      </c>
      <c r="D1370" s="7">
        <v>3.85</v>
      </c>
    </row>
    <row r="1371" spans="1:5" x14ac:dyDescent="0.25">
      <c r="A1371" t="str">
        <f>HYPERLINK("https://www.773grp.com/globalSearch/74BCT374SCX/page-1", "74BCT374SCX")</f>
        <v>74BCT374SCX</v>
      </c>
      <c r="B1371" s="3" t="str">
        <f>HYPERLINK("https://www.773grp.com/manufacturer/national-semiconductor?pageNo=30", "National Semiconductor")</f>
        <v>National Semiconductor</v>
      </c>
      <c r="C1371" s="6">
        <v>3000</v>
      </c>
      <c r="D1371" s="7">
        <v>3.85</v>
      </c>
    </row>
    <row r="1372" spans="1:5" x14ac:dyDescent="0.25">
      <c r="A1372" t="str">
        <f>HYPERLINK("https://www.773grp.com/globalSearch/CD4520BCWMX/page-1", "CD4520BCWMX")</f>
        <v>CD4520BCWMX</v>
      </c>
      <c r="B1372" s="3" t="str">
        <f>HYPERLINK("https://www.773grp.com/manufacturer/national-semiconductor?pageNo=31", "National Semiconductor")</f>
        <v>National Semiconductor</v>
      </c>
      <c r="C1372" s="6">
        <v>3132</v>
      </c>
      <c r="D1372" s="7">
        <v>3.85</v>
      </c>
      <c r="E1372" t="s">
        <v>26</v>
      </c>
    </row>
    <row r="1373" spans="1:5" x14ac:dyDescent="0.25">
      <c r="A1373" t="str">
        <f>HYPERLINK("https://www.773grp.com/globalSearch/DM54LS112J-883/page-1", "DM54LS112J-883")</f>
        <v>DM54LS112J-883</v>
      </c>
      <c r="B1373" s="3" t="str">
        <f>HYPERLINK("https://www.773grp.com/manufacturer/national-semiconductor?pageNo=32", "National Semiconductor")</f>
        <v>National Semiconductor</v>
      </c>
      <c r="C1373" s="6">
        <v>4</v>
      </c>
      <c r="D1373" s="7">
        <v>3.85</v>
      </c>
    </row>
    <row r="1374" spans="1:5" x14ac:dyDescent="0.25">
      <c r="A1374" t="str">
        <f>HYPERLINK("https://www.773grp.com/globalSearch/DM74LS165N/page-1", "DM74LS165N")</f>
        <v>DM74LS165N</v>
      </c>
      <c r="B1374" s="3" t="str">
        <f>HYPERLINK("https://www.773grp.com/manufacturer/national-semiconductor?pageNo=33", "National Semiconductor")</f>
        <v>National Semiconductor</v>
      </c>
      <c r="C1374" s="6">
        <v>3</v>
      </c>
      <c r="D1374" s="7">
        <v>3.85</v>
      </c>
      <c r="E1374" t="s">
        <v>32</v>
      </c>
    </row>
    <row r="1375" spans="1:5" x14ac:dyDescent="0.25">
      <c r="A1375" t="str">
        <f>HYPERLINK("https://www.773grp.com/globalSearch/DS26LS32CN/page-1", "DS26LS32CN")</f>
        <v>DS26LS32CN</v>
      </c>
      <c r="B1375" s="3" t="str">
        <f>HYPERLINK("https://www.773grp.com/manufacturer/national-semiconductor?pageNo=34", "National Semiconductor")</f>
        <v>National Semiconductor</v>
      </c>
      <c r="C1375" s="6">
        <v>868</v>
      </c>
      <c r="D1375" s="7">
        <v>3.85</v>
      </c>
      <c r="E1375" t="s">
        <v>21</v>
      </c>
    </row>
    <row r="1376" spans="1:5" x14ac:dyDescent="0.25">
      <c r="A1376" t="str">
        <f>HYPERLINK("https://www.773grp.com/globalSearch/DS36277TMX/page-1", "DS36277TMX")</f>
        <v>DS36277TMX</v>
      </c>
      <c r="B1376" s="3" t="str">
        <f>HYPERLINK("https://www.773grp.com/manufacturer/national-semiconductor?pageNo=35", "National Semiconductor")</f>
        <v>National Semiconductor</v>
      </c>
      <c r="C1376" s="6">
        <v>2500</v>
      </c>
      <c r="D1376" s="7">
        <v>3.85</v>
      </c>
      <c r="E1376" t="s">
        <v>21</v>
      </c>
    </row>
    <row r="1377" spans="1:5" x14ac:dyDescent="0.25">
      <c r="A1377" t="str">
        <f>HYPERLINK("https://www.773grp.com/globalSearch/DS36277TMX-NOPB/page-1", "DS36277TMX-NOPB")</f>
        <v>DS36277TMX-NOPB</v>
      </c>
      <c r="B1377" s="3" t="str">
        <f>HYPERLINK("https://www.773grp.com/manufacturer/national-semiconductor?pageNo=36", "National Semiconductor")</f>
        <v>National Semiconductor</v>
      </c>
      <c r="C1377" s="6">
        <v>7768</v>
      </c>
      <c r="D1377" s="7">
        <v>3.85</v>
      </c>
      <c r="E1377" t="s">
        <v>21</v>
      </c>
    </row>
    <row r="1378" spans="1:5" x14ac:dyDescent="0.25">
      <c r="A1378" t="str">
        <f>HYPERLINK("https://www.773grp.com/globalSearch/DS75176BM/page-1", "DS75176BM")</f>
        <v>DS75176BM</v>
      </c>
      <c r="B1378" s="3" t="str">
        <f>HYPERLINK("https://www.773grp.com/manufacturer/national-semiconductor?pageNo=37", "National Semiconductor")</f>
        <v>National Semiconductor</v>
      </c>
      <c r="C1378" s="6">
        <v>2782</v>
      </c>
      <c r="D1378" s="7">
        <v>3.85</v>
      </c>
      <c r="E1378" t="s">
        <v>21</v>
      </c>
    </row>
    <row r="1379" spans="1:5" x14ac:dyDescent="0.25">
      <c r="A1379" t="str">
        <f>HYPERLINK("https://www.773grp.com/globalSearch/DS75176BTM/page-1", "DS75176BTM")</f>
        <v>DS75176BTM</v>
      </c>
      <c r="B1379" s="3" t="str">
        <f>HYPERLINK("https://www.773grp.com/manufacturer/national-semiconductor?pageNo=38", "National Semiconductor")</f>
        <v>National Semiconductor</v>
      </c>
      <c r="C1379" s="6">
        <v>720</v>
      </c>
      <c r="D1379" s="7">
        <v>3.85</v>
      </c>
      <c r="E1379" t="s">
        <v>21</v>
      </c>
    </row>
    <row r="1380" spans="1:5" x14ac:dyDescent="0.25">
      <c r="A1380" t="str">
        <f>HYPERLINK("https://www.773grp.com/globalSearch/LM1770SMF/page-1", "LM1770SMF")</f>
        <v>LM1770SMF</v>
      </c>
      <c r="B1380" s="3" t="str">
        <f>HYPERLINK("https://www.773grp.com/manufacturer/national-semiconductor?pageNo=39", "National Semiconductor")</f>
        <v>National Semiconductor</v>
      </c>
      <c r="C1380" s="6">
        <v>487</v>
      </c>
      <c r="D1380" s="7">
        <v>3.85</v>
      </c>
      <c r="E1380" t="s">
        <v>7</v>
      </c>
    </row>
    <row r="1381" spans="1:5" x14ac:dyDescent="0.25">
      <c r="A1381" t="str">
        <f>HYPERLINK("https://www.773grp.com/globalSearch/LM1770UMF/page-1", "LM1770UMF")</f>
        <v>LM1770UMF</v>
      </c>
      <c r="B1381" s="3" t="str">
        <f>HYPERLINK("https://www.773grp.com/manufacturer/national-semiconductor?pageNo=40", "National Semiconductor")</f>
        <v>National Semiconductor</v>
      </c>
      <c r="C1381" s="6">
        <v>585</v>
      </c>
      <c r="D1381" s="7">
        <v>3.85</v>
      </c>
      <c r="E1381" t="s">
        <v>7</v>
      </c>
    </row>
    <row r="1382" spans="1:5" x14ac:dyDescent="0.25">
      <c r="A1382" t="str">
        <f>HYPERLINK("https://www.773grp.com/globalSearch/LM2704MF-ADJ-NOPB/page-1", "LM2704MF-ADJ-NOPB")</f>
        <v>LM2704MF-ADJ-NOPB</v>
      </c>
      <c r="B1382" s="3" t="str">
        <f>HYPERLINK("https://www.773grp.com/manufacturer/national-semiconductor?pageNo=41", "National Semiconductor")</f>
        <v>National Semiconductor</v>
      </c>
      <c r="C1382" s="6">
        <v>46900</v>
      </c>
      <c r="D1382" s="7">
        <v>3.85</v>
      </c>
      <c r="E1382" t="s">
        <v>7</v>
      </c>
    </row>
    <row r="1383" spans="1:5" x14ac:dyDescent="0.25">
      <c r="A1383" t="str">
        <f>HYPERLINK("https://www.773grp.com/globalSearch/LM2937ET-15/page-1", "LM2937ET-15")</f>
        <v>LM2937ET-15</v>
      </c>
      <c r="B1383" s="3" t="str">
        <f>HYPERLINK("https://www.773grp.com/manufacturer/national-semiconductor?pageNo=42", "National Semiconductor")</f>
        <v>National Semiconductor</v>
      </c>
      <c r="C1383" s="6">
        <v>1422</v>
      </c>
      <c r="D1383" s="7">
        <v>3.85</v>
      </c>
      <c r="E1383" t="s">
        <v>19</v>
      </c>
    </row>
    <row r="1384" spans="1:5" x14ac:dyDescent="0.25">
      <c r="A1384" t="str">
        <f>HYPERLINK("https://www.773grp.com/globalSearch/LM2937ET-2.5/page-1", "LM2937ET-2.5")</f>
        <v>LM2937ET-2.5</v>
      </c>
      <c r="B1384" s="3" t="str">
        <f>HYPERLINK("https://www.773grp.com/manufacturer/national-semiconductor?pageNo=43", "National Semiconductor")</f>
        <v>National Semiconductor</v>
      </c>
      <c r="C1384" s="6">
        <v>121</v>
      </c>
      <c r="D1384" s="7">
        <v>3.85</v>
      </c>
      <c r="E1384" t="s">
        <v>19</v>
      </c>
    </row>
    <row r="1385" spans="1:5" x14ac:dyDescent="0.25">
      <c r="A1385" t="str">
        <f>HYPERLINK("https://www.773grp.com/globalSearch/LM2937ET-5.0/page-1", "LM2937ET-5.0")</f>
        <v>LM2937ET-5.0</v>
      </c>
      <c r="B1385" s="3" t="str">
        <f>HYPERLINK("https://www.773grp.com/manufacturer/national-semiconductor?pageNo=44", "National Semiconductor")</f>
        <v>National Semiconductor</v>
      </c>
      <c r="C1385" s="6">
        <v>3245</v>
      </c>
      <c r="D1385" s="7">
        <v>3.85</v>
      </c>
      <c r="E1385" t="s">
        <v>19</v>
      </c>
    </row>
    <row r="1386" spans="1:5" x14ac:dyDescent="0.25">
      <c r="A1386" t="str">
        <f>HYPERLINK("https://www.773grp.com/globalSearch/LM2937ET-8.0/page-1", "LM2937ET-8.0")</f>
        <v>LM2937ET-8.0</v>
      </c>
      <c r="B1386" s="3" t="str">
        <f>HYPERLINK("https://www.773grp.com/manufacturer/national-semiconductor?pageNo=45", "National Semiconductor")</f>
        <v>National Semiconductor</v>
      </c>
      <c r="C1386" s="6">
        <v>986</v>
      </c>
      <c r="D1386" s="7">
        <v>3.85</v>
      </c>
      <c r="E1386" t="s">
        <v>19</v>
      </c>
    </row>
    <row r="1387" spans="1:5" x14ac:dyDescent="0.25">
      <c r="A1387" t="str">
        <f>HYPERLINK("https://www.773grp.com/globalSearch/LM2940SX-10-NOPB/page-1", "LM2940SX-10-NOPB")</f>
        <v>LM2940SX-10-NOPB</v>
      </c>
      <c r="B1387" s="3" t="str">
        <f>HYPERLINK("https://www.773grp.com/manufacturer/national-semiconductor?pageNo=46", "National Semiconductor")</f>
        <v>National Semiconductor</v>
      </c>
      <c r="C1387" s="6">
        <v>2000</v>
      </c>
      <c r="D1387" s="7">
        <v>3.85</v>
      </c>
      <c r="E1387" t="s">
        <v>19</v>
      </c>
    </row>
    <row r="1388" spans="1:5" x14ac:dyDescent="0.25">
      <c r="A1388" t="str">
        <f>HYPERLINK("https://www.773grp.com/globalSearch/LM2940SX-12-NOPB/page-1", "LM2940SX-12-NOPB")</f>
        <v>LM2940SX-12-NOPB</v>
      </c>
      <c r="B1388" s="3" t="str">
        <f>HYPERLINK("https://www.773grp.com/manufacturer/national-semiconductor?pageNo=47", "National Semiconductor")</f>
        <v>National Semiconductor</v>
      </c>
      <c r="C1388" s="6">
        <v>490</v>
      </c>
      <c r="D1388" s="7">
        <v>3.85</v>
      </c>
      <c r="E1388" t="s">
        <v>19</v>
      </c>
    </row>
    <row r="1389" spans="1:5" x14ac:dyDescent="0.25">
      <c r="A1389" t="str">
        <f>HYPERLINK("https://www.773grp.com/globalSearch/LM2940SX-5.0-NOPB/page-1", "LM2940SX-5.0-NOPB")</f>
        <v>LM2940SX-5.0-NOPB</v>
      </c>
      <c r="B1389" s="3" t="str">
        <f>HYPERLINK("https://www.773grp.com/manufacturer/national-semiconductor?pageNo=48", "National Semiconductor")</f>
        <v>National Semiconductor</v>
      </c>
      <c r="C1389" s="6">
        <v>7962</v>
      </c>
      <c r="D1389" s="7">
        <v>3.85</v>
      </c>
      <c r="E1389" t="s">
        <v>19</v>
      </c>
    </row>
    <row r="1390" spans="1:5" x14ac:dyDescent="0.25">
      <c r="A1390" t="str">
        <f>HYPERLINK("https://www.773grp.com/globalSearch/LM3485MM/page-1", "LM3485MM")</f>
        <v>LM3485MM</v>
      </c>
      <c r="B1390" s="3" t="str">
        <f>HYPERLINK("https://www.773grp.com/manufacturer/national-semiconductor?pageNo=49", "National Semiconductor")</f>
        <v>National Semiconductor</v>
      </c>
      <c r="C1390" s="6">
        <v>3975</v>
      </c>
      <c r="D1390" s="7">
        <v>3.85</v>
      </c>
      <c r="E1390" t="s">
        <v>7</v>
      </c>
    </row>
    <row r="1391" spans="1:5" x14ac:dyDescent="0.25">
      <c r="A1391" t="str">
        <f>HYPERLINK("https://www.773grp.com/globalSearch/LM35DM-NOPB/page-1", "LM35DM-NOPB")</f>
        <v>LM35DM-NOPB</v>
      </c>
      <c r="B1391" s="3" t="str">
        <f>HYPERLINK("https://www.773grp.com/manufacturer/national-semiconductor?pageNo=50", "National Semiconductor")</f>
        <v>National Semiconductor</v>
      </c>
      <c r="C1391" s="6">
        <v>1073</v>
      </c>
      <c r="D1391" s="7">
        <v>3.85</v>
      </c>
      <c r="E1391" t="s">
        <v>8</v>
      </c>
    </row>
    <row r="1392" spans="1:5" x14ac:dyDescent="0.25">
      <c r="A1392" t="str">
        <f>HYPERLINK("https://www.773grp.com/globalSearch/LM3704YCMM-232/page-1", "LM3704YCMM-232")</f>
        <v>LM3704YCMM-232</v>
      </c>
      <c r="B1392" s="3" t="str">
        <f>HYPERLINK("https://www.773grp.com/manufacturer/national-semiconductor?pageNo=51", "National Semiconductor")</f>
        <v>National Semiconductor</v>
      </c>
      <c r="C1392" s="6">
        <v>1000</v>
      </c>
      <c r="D1392" s="7">
        <v>3.85</v>
      </c>
      <c r="E1392" t="s">
        <v>30</v>
      </c>
    </row>
    <row r="1393" spans="1:5" x14ac:dyDescent="0.25">
      <c r="A1393" t="str">
        <f>HYPERLINK("https://www.773grp.com/globalSearch/LM4865IBP/page-1", "LM4865IBP")</f>
        <v>LM4865IBP</v>
      </c>
      <c r="B1393" s="3" t="str">
        <f>HYPERLINK("https://www.773grp.com/manufacturer/national-semiconductor?pageNo=52", "National Semiconductor")</f>
        <v>National Semiconductor</v>
      </c>
      <c r="C1393" s="6">
        <v>250</v>
      </c>
      <c r="D1393" s="7">
        <v>3.85</v>
      </c>
      <c r="E1393" t="s">
        <v>41</v>
      </c>
    </row>
    <row r="1394" spans="1:5" x14ac:dyDescent="0.25">
      <c r="A1394" t="str">
        <f>HYPERLINK("https://www.773grp.com/globalSearch/LM4913MH/page-1", "LM4913MH")</f>
        <v>LM4913MH</v>
      </c>
      <c r="B1394" s="3" t="str">
        <f>HYPERLINK("https://www.773grp.com/manufacturer/national-semiconductor?pageNo=53", "National Semiconductor")</f>
        <v>National Semiconductor</v>
      </c>
      <c r="C1394" s="6">
        <v>1000</v>
      </c>
      <c r="D1394" s="7">
        <v>3.85</v>
      </c>
      <c r="E1394" t="s">
        <v>18</v>
      </c>
    </row>
    <row r="1395" spans="1:5" x14ac:dyDescent="0.25">
      <c r="A1395" t="str">
        <f>HYPERLINK("https://www.773grp.com/globalSearch/LM4913MH-NOPB/page-1", "LM4913MH-NOPB")</f>
        <v>LM4913MH-NOPB</v>
      </c>
      <c r="B1395" s="3" t="str">
        <f>HYPERLINK("https://www.773grp.com/manufacturer/national-semiconductor?pageNo=54", "National Semiconductor")</f>
        <v>National Semiconductor</v>
      </c>
      <c r="C1395" s="6">
        <v>26</v>
      </c>
      <c r="D1395" s="7">
        <v>3.85</v>
      </c>
      <c r="E1395" t="s">
        <v>18</v>
      </c>
    </row>
    <row r="1396" spans="1:5" x14ac:dyDescent="0.25">
      <c r="A1396" t="str">
        <f>HYPERLINK("https://www.773grp.com/globalSearch/LM66CIM-RLSKB/page-1", "LM66CIM-RLSKB")</f>
        <v>LM66CIM-RLSKB</v>
      </c>
      <c r="B1396" s="3" t="str">
        <f>HYPERLINK("https://www.773grp.com/manufacturer/national-semiconductor?pageNo=55", "National Semiconductor")</f>
        <v>National Semiconductor</v>
      </c>
      <c r="C1396" s="6">
        <v>5351</v>
      </c>
      <c r="D1396" s="7">
        <v>3.85</v>
      </c>
      <c r="E1396" t="s">
        <v>12</v>
      </c>
    </row>
    <row r="1397" spans="1:5" x14ac:dyDescent="0.25">
      <c r="A1397" t="str">
        <f>HYPERLINK("https://www.773grp.com/globalSearch/LM66CIMX-RLSKB/page-1", "LM66CIMX-RLSKB")</f>
        <v>LM66CIMX-RLSKB</v>
      </c>
      <c r="B1397" s="3" t="str">
        <f>HYPERLINK("https://www.773grp.com/manufacturer/national-semiconductor?pageNo=56", "National Semiconductor")</f>
        <v>National Semiconductor</v>
      </c>
      <c r="C1397" s="6">
        <v>5606</v>
      </c>
      <c r="D1397" s="7">
        <v>3.85</v>
      </c>
      <c r="E1397" t="s">
        <v>12</v>
      </c>
    </row>
    <row r="1398" spans="1:5" x14ac:dyDescent="0.25">
      <c r="A1398" t="str">
        <f>HYPERLINK("https://www.773grp.com/globalSearch/LM75CIM-5-NOPB/page-1", "LM75CIM-5-NOPB")</f>
        <v>LM75CIM-5-NOPB</v>
      </c>
      <c r="B1398" s="3" t="str">
        <f>HYPERLINK("https://www.773grp.com/manufacturer/national-semiconductor?pageNo=57", "National Semiconductor")</f>
        <v>National Semiconductor</v>
      </c>
      <c r="C1398" s="6">
        <v>26409</v>
      </c>
      <c r="D1398" s="7">
        <v>3.85</v>
      </c>
      <c r="E1398" t="s">
        <v>12</v>
      </c>
    </row>
    <row r="1399" spans="1:5" x14ac:dyDescent="0.25">
      <c r="A1399" t="str">
        <f>HYPERLINK("https://www.773grp.com/globalSearch/LM75CIMX-3/page-1", "LM75CIMX-3")</f>
        <v>LM75CIMX-3</v>
      </c>
      <c r="B1399" s="3" t="str">
        <f>HYPERLINK("https://www.773grp.com/manufacturer/national-semiconductor?pageNo=58", "National Semiconductor")</f>
        <v>National Semiconductor</v>
      </c>
      <c r="C1399" s="6">
        <v>4700</v>
      </c>
      <c r="D1399" s="7">
        <v>3.85</v>
      </c>
      <c r="E1399" t="s">
        <v>12</v>
      </c>
    </row>
    <row r="1400" spans="1:5" x14ac:dyDescent="0.25">
      <c r="A1400" t="str">
        <f>HYPERLINK("https://www.773grp.com/globalSearch/LM75CIMX-3-NOPB/page-1", "LM75CIMX-3-NOPB")</f>
        <v>LM75CIMX-3-NOPB</v>
      </c>
      <c r="B1400" s="3" t="str">
        <f>HYPERLINK("https://www.773grp.com/manufacturer/national-semiconductor?pageNo=59", "National Semiconductor")</f>
        <v>National Semiconductor</v>
      </c>
      <c r="C1400" s="6">
        <v>4809</v>
      </c>
      <c r="D1400" s="7">
        <v>3.85</v>
      </c>
      <c r="E1400" t="s">
        <v>12</v>
      </c>
    </row>
    <row r="1401" spans="1:5" x14ac:dyDescent="0.25">
      <c r="A1401" t="str">
        <f>HYPERLINK("https://www.773grp.com/globalSearch/LM75CIMX-5/page-1", "LM75CIMX-5")</f>
        <v>LM75CIMX-5</v>
      </c>
      <c r="B1401" s="3" t="str">
        <f>HYPERLINK("https://www.773grp.com/manufacturer/national-semiconductor?pageNo=60", "National Semiconductor")</f>
        <v>National Semiconductor</v>
      </c>
      <c r="C1401" s="6">
        <v>6450</v>
      </c>
      <c r="D1401" s="7">
        <v>3.85</v>
      </c>
      <c r="E1401" t="s">
        <v>12</v>
      </c>
    </row>
    <row r="1402" spans="1:5" x14ac:dyDescent="0.25">
      <c r="A1402" t="str">
        <f>HYPERLINK("https://www.773grp.com/globalSearch/LM75CIMX-5-NOPB/page-1", "LM75CIMX-5-NOPB")</f>
        <v>LM75CIMX-5-NOPB</v>
      </c>
      <c r="B1402" s="3" t="str">
        <f>HYPERLINK("https://www.773grp.com/manufacturer/national-semiconductor?pageNo=61", "National Semiconductor")</f>
        <v>National Semiconductor</v>
      </c>
      <c r="C1402" s="6">
        <v>79050</v>
      </c>
      <c r="D1402" s="7">
        <v>3.85</v>
      </c>
      <c r="E1402" t="s">
        <v>12</v>
      </c>
    </row>
    <row r="1403" spans="1:5" x14ac:dyDescent="0.25">
      <c r="A1403" t="str">
        <f>HYPERLINK("https://www.773grp.com/globalSearch/LM837M/page-1", "LM837M")</f>
        <v>LM837M</v>
      </c>
      <c r="B1403" s="3" t="str">
        <f>HYPERLINK("https://www.773grp.com/manufacturer/national-semiconductor?pageNo=62", "National Semiconductor")</f>
        <v>National Semiconductor</v>
      </c>
      <c r="C1403" s="6">
        <v>1885</v>
      </c>
      <c r="D1403" s="7">
        <v>3.85</v>
      </c>
      <c r="E1403" t="s">
        <v>13</v>
      </c>
    </row>
    <row r="1404" spans="1:5" x14ac:dyDescent="0.25">
      <c r="A1404" t="str">
        <f>HYPERLINK("https://www.773grp.com/globalSearch/LMC6482IN/page-1", "LMC6482IN")</f>
        <v>LMC6482IN</v>
      </c>
      <c r="B1404" s="3" t="str">
        <f>HYPERLINK("https://www.773grp.com/manufacturer/national-semiconductor?pageNo=63", "National Semiconductor")</f>
        <v>National Semiconductor</v>
      </c>
      <c r="C1404" s="6">
        <v>1653</v>
      </c>
      <c r="D1404" s="7">
        <v>3.85</v>
      </c>
      <c r="E1404" t="s">
        <v>13</v>
      </c>
    </row>
    <row r="1405" spans="1:5" x14ac:dyDescent="0.25">
      <c r="A1405" t="str">
        <f>HYPERLINK("https://www.773grp.com/globalSearch/LMC6572AIM/page-1", "LMC6572AIM")</f>
        <v>LMC6572AIM</v>
      </c>
      <c r="B1405" s="3" t="str">
        <f>HYPERLINK("https://www.773grp.com/manufacturer/national-semiconductor?pageNo=64", "National Semiconductor")</f>
        <v>National Semiconductor</v>
      </c>
      <c r="C1405" s="6">
        <v>847</v>
      </c>
      <c r="D1405" s="7">
        <v>3.85</v>
      </c>
      <c r="E1405" t="s">
        <v>13</v>
      </c>
    </row>
    <row r="1406" spans="1:5" x14ac:dyDescent="0.25">
      <c r="A1406" t="str">
        <f>HYPERLINK("https://www.773grp.com/globalSearch/LMC6572BIN/page-1", "LMC6572BIN")</f>
        <v>LMC6572BIN</v>
      </c>
      <c r="B1406" s="3" t="str">
        <f>HYPERLINK("https://www.773grp.com/manufacturer/national-semiconductor?pageNo=65", "National Semiconductor")</f>
        <v>National Semiconductor</v>
      </c>
      <c r="C1406" s="6">
        <v>315</v>
      </c>
      <c r="D1406" s="7">
        <v>3.85</v>
      </c>
      <c r="E1406" t="s">
        <v>13</v>
      </c>
    </row>
    <row r="1407" spans="1:5" x14ac:dyDescent="0.25">
      <c r="A1407" t="str">
        <f>HYPERLINK("https://www.773grp.com/globalSearch/LMH6647MA-NOPB/page-1", "LMH6647MA-NOPB")</f>
        <v>LMH6647MA-NOPB</v>
      </c>
      <c r="B1407" s="3" t="str">
        <f>HYPERLINK("https://www.773grp.com/manufacturer/national-semiconductor?pageNo=66", "National Semiconductor")</f>
        <v>National Semiconductor</v>
      </c>
      <c r="C1407" s="6">
        <v>1258</v>
      </c>
      <c r="D1407" s="7">
        <v>3.85</v>
      </c>
      <c r="E1407" t="s">
        <v>13</v>
      </c>
    </row>
    <row r="1408" spans="1:5" x14ac:dyDescent="0.25">
      <c r="A1408" t="str">
        <f>HYPERLINK("https://www.773grp.com/globalSearch/LMH6714MAX-NOPB/page-1", "LMH6714MAX-NOPB")</f>
        <v>LMH6714MAX-NOPB</v>
      </c>
      <c r="B1408" s="3" t="str">
        <f>HYPERLINK("https://www.773grp.com/manufacturer/national-semiconductor?pageNo=67", "National Semiconductor")</f>
        <v>National Semiconductor</v>
      </c>
      <c r="C1408" s="6">
        <v>12500</v>
      </c>
      <c r="D1408" s="7">
        <v>3.85</v>
      </c>
      <c r="E1408" t="s">
        <v>18</v>
      </c>
    </row>
    <row r="1409" spans="1:5" x14ac:dyDescent="0.25">
      <c r="A1409" t="str">
        <f>HYPERLINK("https://www.773grp.com/globalSearch/LMH6714MF-NOPB/page-1", "LMH6714MF-NOPB")</f>
        <v>LMH6714MF-NOPB</v>
      </c>
      <c r="B1409" s="3" t="str">
        <f>HYPERLINK("https://www.773grp.com/manufacturer/national-semiconductor?pageNo=68", "National Semiconductor")</f>
        <v>National Semiconductor</v>
      </c>
      <c r="C1409" s="6">
        <v>3000</v>
      </c>
      <c r="D1409" s="7">
        <v>3.85</v>
      </c>
      <c r="E1409" t="s">
        <v>18</v>
      </c>
    </row>
    <row r="1410" spans="1:5" x14ac:dyDescent="0.25">
      <c r="A1410" t="str">
        <f>HYPERLINK("https://www.773grp.com/globalSearch/LMH6714MFX-NOPB/page-1", "LMH6714MFX-NOPB")</f>
        <v>LMH6714MFX-NOPB</v>
      </c>
      <c r="B1410" s="3" t="str">
        <f>HYPERLINK("https://www.773grp.com/manufacturer/national-semiconductor?pageNo=69", "National Semiconductor")</f>
        <v>National Semiconductor</v>
      </c>
      <c r="C1410" s="6">
        <v>3000</v>
      </c>
      <c r="D1410" s="7">
        <v>3.85</v>
      </c>
      <c r="E1410" t="s">
        <v>18</v>
      </c>
    </row>
    <row r="1411" spans="1:5" x14ac:dyDescent="0.25">
      <c r="A1411" t="str">
        <f>HYPERLINK("https://www.773grp.com/globalSearch/LMP2231BMAX-NOPB/page-1", "LMP2231BMAX-NOPB")</f>
        <v>LMP2231BMAX-NOPB</v>
      </c>
      <c r="B1411" s="3" t="str">
        <f>HYPERLINK("https://www.773grp.com/manufacturer/national-semiconductor?pageNo=70", "National Semiconductor")</f>
        <v>National Semiconductor</v>
      </c>
      <c r="C1411" s="6">
        <v>5000</v>
      </c>
      <c r="D1411" s="7">
        <v>3.85</v>
      </c>
    </row>
    <row r="1412" spans="1:5" x14ac:dyDescent="0.25">
      <c r="A1412" t="str">
        <f>HYPERLINK("https://www.773grp.com/globalSearch/LMV762MAX-NOPB/page-1", "LMV762MAX-NOPB")</f>
        <v>LMV762MAX-NOPB</v>
      </c>
      <c r="B1412" s="3" t="str">
        <f>HYPERLINK("https://www.773grp.com/manufacturer/national-semiconductor?pageNo=71", "National Semiconductor")</f>
        <v>National Semiconductor</v>
      </c>
      <c r="C1412" s="6">
        <v>2400</v>
      </c>
      <c r="D1412" s="7">
        <v>3.85</v>
      </c>
      <c r="E1412" t="s">
        <v>9</v>
      </c>
    </row>
    <row r="1413" spans="1:5" x14ac:dyDescent="0.25">
      <c r="A1413" t="str">
        <f>HYPERLINK("https://www.773grp.com/globalSearch/LMV762MM-NOPB/page-1", "LMV762MM-NOPB")</f>
        <v>LMV762MM-NOPB</v>
      </c>
      <c r="B1413" s="3" t="str">
        <f>HYPERLINK("https://www.773grp.com/manufacturer/national-semiconductor?pageNo=72", "National Semiconductor")</f>
        <v>National Semiconductor</v>
      </c>
      <c r="C1413" s="6">
        <v>19637</v>
      </c>
      <c r="D1413" s="7">
        <v>3.85</v>
      </c>
      <c r="E1413" t="s">
        <v>9</v>
      </c>
    </row>
    <row r="1414" spans="1:5" x14ac:dyDescent="0.25">
      <c r="A1414" t="str">
        <f>HYPERLINK("https://www.773grp.com/globalSearch/LMV762MMX-NOPB/page-1", "LMV762MMX-NOPB")</f>
        <v>LMV762MMX-NOPB</v>
      </c>
      <c r="B1414" s="3" t="str">
        <f>HYPERLINK("https://www.773grp.com/manufacturer/national-semiconductor?pageNo=73", "National Semiconductor")</f>
        <v>National Semiconductor</v>
      </c>
      <c r="C1414" s="6">
        <v>3500</v>
      </c>
      <c r="D1414" s="7">
        <v>3.85</v>
      </c>
      <c r="E1414" t="s">
        <v>9</v>
      </c>
    </row>
    <row r="1415" spans="1:5" x14ac:dyDescent="0.25">
      <c r="A1415" t="str">
        <f>HYPERLINK("https://www.773grp.com/globalSearch/MAX660M/page-1", "MAX660M")</f>
        <v>MAX660M</v>
      </c>
      <c r="B1415" s="3" t="str">
        <f>HYPERLINK("https://www.773grp.com/manufacturer/national-semiconductor?pageNo=74", "National Semiconductor")</f>
        <v>National Semiconductor</v>
      </c>
      <c r="C1415" s="6">
        <v>3685</v>
      </c>
      <c r="D1415" s="7">
        <v>3.85</v>
      </c>
      <c r="E1415" t="s">
        <v>7</v>
      </c>
    </row>
    <row r="1416" spans="1:5" x14ac:dyDescent="0.25">
      <c r="A1416" t="str">
        <f>HYPERLINK("https://www.773grp.com/globalSearch/MM74HCT251M/page-1", "MM74HCT251M")</f>
        <v>MM74HCT251M</v>
      </c>
      <c r="B1416" s="3" t="str">
        <f>HYPERLINK("https://www.773grp.com/manufacturer/national-semiconductor?pageNo=75", "National Semiconductor")</f>
        <v>National Semiconductor</v>
      </c>
      <c r="C1416" s="6">
        <v>40</v>
      </c>
      <c r="D1416" s="7">
        <v>3.85</v>
      </c>
      <c r="E1416" t="s">
        <v>20</v>
      </c>
    </row>
    <row r="1417" spans="1:5" x14ac:dyDescent="0.25">
      <c r="A1417" t="str">
        <f>HYPERLINK("https://www.773grp.com/globalSearch/MM74HCT257M/page-1", "MM74HCT257M")</f>
        <v>MM74HCT257M</v>
      </c>
      <c r="B1417" s="3" t="str">
        <f>HYPERLINK("https://www.773grp.com/manufacturer/national-semiconductor?pageNo=76", "National Semiconductor")</f>
        <v>National Semiconductor</v>
      </c>
      <c r="C1417" s="6">
        <v>1659</v>
      </c>
      <c r="D1417" s="7">
        <v>3.85</v>
      </c>
    </row>
    <row r="1418" spans="1:5" x14ac:dyDescent="0.25">
      <c r="A1418" t="str">
        <f>HYPERLINK("https://www.773grp.com/globalSearch/DAC101S101QCMK-NOPB/page-1", "DAC101S101QCMK-NOPB")</f>
        <v>DAC101S101QCMK-NOPB</v>
      </c>
      <c r="B1418" s="3" t="str">
        <f>HYPERLINK("https://www.773grp.com/manufacturer/national-semiconductor?pageNo=77", "National Semiconductor")</f>
        <v>National Semiconductor</v>
      </c>
      <c r="C1418" s="6">
        <v>24000</v>
      </c>
      <c r="D1418" s="7">
        <v>3.85</v>
      </c>
    </row>
    <row r="1419" spans="1:5" x14ac:dyDescent="0.25">
      <c r="A1419" t="str">
        <f>HYPERLINK("https://www.773grp.com/globalSearch/DS26LS32CN/page-1", "DS26LS32CN")</f>
        <v>DS26LS32CN</v>
      </c>
      <c r="B1419" s="3" t="str">
        <f>HYPERLINK("https://www.773grp.com/manufacturer/national-semiconductor?pageNo=78", "National Semiconductor")</f>
        <v>National Semiconductor</v>
      </c>
      <c r="C1419" s="6">
        <v>448</v>
      </c>
      <c r="D1419" s="7">
        <v>3.85</v>
      </c>
      <c r="E1419" t="s">
        <v>21</v>
      </c>
    </row>
    <row r="1420" spans="1:5" x14ac:dyDescent="0.25">
      <c r="A1420" t="str">
        <f>HYPERLINK("https://www.773grp.com/globalSearch/DS36277TMX-NOPB/page-1", "DS36277TMX-NOPB")</f>
        <v>DS36277TMX-NOPB</v>
      </c>
      <c r="B1420" s="3" t="str">
        <f>HYPERLINK("https://www.773grp.com/manufacturer/national-semiconductor?pageNo=79", "National Semiconductor")</f>
        <v>National Semiconductor</v>
      </c>
      <c r="C1420" s="6">
        <v>829</v>
      </c>
      <c r="D1420" s="7">
        <v>3.85</v>
      </c>
      <c r="E1420" t="s">
        <v>21</v>
      </c>
    </row>
    <row r="1421" spans="1:5" x14ac:dyDescent="0.25">
      <c r="A1421" t="str">
        <f>HYPERLINK("https://www.773grp.com/globalSearch/DS75176BM/page-1", "DS75176BM")</f>
        <v>DS75176BM</v>
      </c>
      <c r="B1421" s="3" t="str">
        <f>HYPERLINK("https://www.773grp.com/manufacturer/national-semiconductor?pageNo=80", "National Semiconductor")</f>
        <v>National Semiconductor</v>
      </c>
      <c r="C1421" s="6">
        <v>300</v>
      </c>
      <c r="D1421" s="7">
        <v>3.85</v>
      </c>
      <c r="E1421" t="s">
        <v>21</v>
      </c>
    </row>
    <row r="1422" spans="1:5" x14ac:dyDescent="0.25">
      <c r="A1422" t="str">
        <f>HYPERLINK("https://www.773grp.com/globalSearch/LM2937ET-2.5/page-1", "LM2937ET-2.5")</f>
        <v>LM2937ET-2.5</v>
      </c>
      <c r="B1422" s="3" t="str">
        <f>HYPERLINK("https://www.773grp.com/manufacturer/national-semiconductor?pageNo=81", "National Semiconductor")</f>
        <v>National Semiconductor</v>
      </c>
      <c r="C1422" s="6">
        <v>405</v>
      </c>
      <c r="D1422" s="7">
        <v>3.85</v>
      </c>
      <c r="E1422" t="s">
        <v>19</v>
      </c>
    </row>
    <row r="1423" spans="1:5" x14ac:dyDescent="0.25">
      <c r="A1423" t="str">
        <f>HYPERLINK("https://www.773grp.com/globalSearch/LM2940SX-10-NOPB/page-1", "LM2940SX-10-NOPB")</f>
        <v>LM2940SX-10-NOPB</v>
      </c>
      <c r="B1423" s="3" t="str">
        <f>HYPERLINK("https://www.773grp.com/manufacturer/national-semiconductor?pageNo=82", "National Semiconductor")</f>
        <v>National Semiconductor</v>
      </c>
      <c r="C1423" s="6">
        <v>2500</v>
      </c>
      <c r="D1423" s="7">
        <v>3.85</v>
      </c>
      <c r="E1423" t="s">
        <v>19</v>
      </c>
    </row>
    <row r="1424" spans="1:5" x14ac:dyDescent="0.25">
      <c r="A1424" t="str">
        <f>HYPERLINK("https://www.773grp.com/globalSearch/LM3485MM/page-1", "LM3485MM")</f>
        <v>LM3485MM</v>
      </c>
      <c r="B1424" s="3" t="str">
        <f>HYPERLINK("https://www.773grp.com/manufacturer/national-semiconductor?pageNo=83", "National Semiconductor")</f>
        <v>National Semiconductor</v>
      </c>
      <c r="C1424" s="6">
        <v>1459</v>
      </c>
      <c r="D1424" s="7">
        <v>3.85</v>
      </c>
      <c r="E1424" t="s">
        <v>7</v>
      </c>
    </row>
    <row r="1425" spans="1:5" x14ac:dyDescent="0.25">
      <c r="A1425" t="str">
        <f>HYPERLINK("https://www.773grp.com/globalSearch/LM3485MMX/page-1", "LM3485MMX")</f>
        <v>LM3485MMX</v>
      </c>
      <c r="B1425" s="3" t="str">
        <f>HYPERLINK("https://www.773grp.com/manufacturer/national-semiconductor?pageNo=84", "National Semiconductor")</f>
        <v>National Semiconductor</v>
      </c>
      <c r="C1425" s="6">
        <v>10500</v>
      </c>
      <c r="D1425" s="7">
        <v>3.85</v>
      </c>
    </row>
    <row r="1426" spans="1:5" x14ac:dyDescent="0.25">
      <c r="A1426" t="str">
        <f>HYPERLINK("https://www.773grp.com/globalSearch/LM35DM-NOPB/page-1", "LM35DM-NOPB")</f>
        <v>LM35DM-NOPB</v>
      </c>
      <c r="B1426" s="3" t="str">
        <f>HYPERLINK("https://www.773grp.com/manufacturer/national-semiconductor?pageNo=85", "National Semiconductor")</f>
        <v>National Semiconductor</v>
      </c>
      <c r="C1426" s="6">
        <v>146</v>
      </c>
      <c r="D1426" s="7">
        <v>3.85</v>
      </c>
      <c r="E1426" t="s">
        <v>8</v>
      </c>
    </row>
    <row r="1427" spans="1:5" x14ac:dyDescent="0.25">
      <c r="A1427" t="str">
        <f>HYPERLINK("https://www.773grp.com/globalSearch/LM74CIMX-3/page-1", "LM74CIMX-3")</f>
        <v>LM74CIMX-3</v>
      </c>
      <c r="B1427" s="3" t="str">
        <f>HYPERLINK("https://www.773grp.com/manufacturer/national-semiconductor?pageNo=86", "National Semiconductor")</f>
        <v>National Semiconductor</v>
      </c>
      <c r="C1427" s="6">
        <v>2500</v>
      </c>
      <c r="D1427" s="7">
        <v>3.85</v>
      </c>
    </row>
    <row r="1428" spans="1:5" x14ac:dyDescent="0.25">
      <c r="A1428" t="str">
        <f>HYPERLINK("https://www.773grp.com/globalSearch/LM74CIMX-5/page-1", "LM74CIMX-5")</f>
        <v>LM74CIMX-5</v>
      </c>
      <c r="B1428" s="3" t="str">
        <f>HYPERLINK("https://www.773grp.com/manufacturer/national-semiconductor?pageNo=87", "National Semiconductor")</f>
        <v>National Semiconductor</v>
      </c>
      <c r="C1428" s="6">
        <v>80000</v>
      </c>
      <c r="D1428" s="7">
        <v>3.85</v>
      </c>
    </row>
    <row r="1429" spans="1:5" x14ac:dyDescent="0.25">
      <c r="A1429" t="str">
        <f>HYPERLINK("https://www.773grp.com/globalSearch/LM75CIMX-3/page-1", "LM75CIMX-3")</f>
        <v>LM75CIMX-3</v>
      </c>
      <c r="B1429" s="3" t="str">
        <f>HYPERLINK("https://www.773grp.com/manufacturer/national-semiconductor?pageNo=88", "National Semiconductor")</f>
        <v>National Semiconductor</v>
      </c>
      <c r="C1429" s="6">
        <v>9</v>
      </c>
      <c r="D1429" s="7">
        <v>3.85</v>
      </c>
      <c r="E1429" t="s">
        <v>12</v>
      </c>
    </row>
    <row r="1430" spans="1:5" x14ac:dyDescent="0.25">
      <c r="A1430" t="str">
        <f>HYPERLINK("https://www.773grp.com/globalSearch/LMC6482IN/page-1", "LMC6482IN")</f>
        <v>LMC6482IN</v>
      </c>
      <c r="B1430" s="3" t="str">
        <f>HYPERLINK("https://www.773grp.com/manufacturer/national-semiconductor?pageNo=89", "National Semiconductor")</f>
        <v>National Semiconductor</v>
      </c>
      <c r="C1430" s="6">
        <v>2289</v>
      </c>
      <c r="D1430" s="7">
        <v>3.85</v>
      </c>
      <c r="E1430" t="s">
        <v>13</v>
      </c>
    </row>
    <row r="1431" spans="1:5" x14ac:dyDescent="0.25">
      <c r="A1431" t="str">
        <f>HYPERLINK("https://www.773grp.com/globalSearch/LMH6647MA-NOPB/page-1", "LMH6647MA-NOPB")</f>
        <v>LMH6647MA-NOPB</v>
      </c>
      <c r="B1431" s="3" t="str">
        <f>HYPERLINK("https://www.773grp.com/manufacturer/national-semiconductor?pageNo=90", "National Semiconductor")</f>
        <v>National Semiconductor</v>
      </c>
      <c r="C1431" s="6">
        <v>836</v>
      </c>
      <c r="D1431" s="7">
        <v>3.85</v>
      </c>
      <c r="E1431" t="s">
        <v>13</v>
      </c>
    </row>
    <row r="1432" spans="1:5" x14ac:dyDescent="0.25">
      <c r="A1432" t="str">
        <f>HYPERLINK("https://www.773grp.com/globalSearch/LMH6714MAX-NOPB/page-1", "LMH6714MAX-NOPB")</f>
        <v>LMH6714MAX-NOPB</v>
      </c>
      <c r="B1432" s="3" t="str">
        <f>HYPERLINK("https://www.773grp.com/manufacturer/national-semiconductor?pageNo=91", "National Semiconductor")</f>
        <v>National Semiconductor</v>
      </c>
      <c r="C1432" s="6">
        <v>87500</v>
      </c>
      <c r="D1432" s="7">
        <v>3.85</v>
      </c>
      <c r="E1432" t="s">
        <v>18</v>
      </c>
    </row>
    <row r="1433" spans="1:5" x14ac:dyDescent="0.25">
      <c r="A1433" t="str">
        <f>HYPERLINK("https://www.773grp.com/globalSearch/LMH6714MF-NOPB/page-1", "LMH6714MF-NOPB")</f>
        <v>LMH6714MF-NOPB</v>
      </c>
      <c r="B1433" s="3" t="str">
        <f>HYPERLINK("https://www.773grp.com/manufacturer/national-semiconductor?pageNo=92", "National Semiconductor")</f>
        <v>National Semiconductor</v>
      </c>
      <c r="C1433" s="6">
        <v>7000</v>
      </c>
      <c r="D1433" s="7">
        <v>3.85</v>
      </c>
      <c r="E1433" t="s">
        <v>18</v>
      </c>
    </row>
    <row r="1434" spans="1:5" x14ac:dyDescent="0.25">
      <c r="A1434" t="str">
        <f>HYPERLINK("https://www.773grp.com/globalSearch/LMP2231BMAX-NOPB/page-1", "LMP2231BMAX-NOPB")</f>
        <v>LMP2231BMAX-NOPB</v>
      </c>
      <c r="B1434" s="3" t="str">
        <f>HYPERLINK("https://www.773grp.com/manufacturer/national-semiconductor?pageNo=93", "National Semiconductor")</f>
        <v>National Semiconductor</v>
      </c>
      <c r="C1434" s="6">
        <v>7500</v>
      </c>
      <c r="D1434" s="7">
        <v>3.85</v>
      </c>
    </row>
    <row r="1435" spans="1:5" x14ac:dyDescent="0.25">
      <c r="A1435" t="str">
        <f>HYPERLINK("https://www.773grp.com/globalSearch/LMP2231BMF-NOPB/page-1", "LMP2231BMF-NOPB")</f>
        <v>LMP2231BMF-NOPB</v>
      </c>
      <c r="B1435" s="3" t="str">
        <f>HYPERLINK("https://www.773grp.com/manufacturer/national-semiconductor?pageNo=94", "National Semiconductor")</f>
        <v>National Semiconductor</v>
      </c>
      <c r="C1435" s="6">
        <v>2000</v>
      </c>
      <c r="D1435" s="7">
        <v>3.85</v>
      </c>
    </row>
    <row r="1436" spans="1:5" x14ac:dyDescent="0.25">
      <c r="A1436" t="str">
        <f>HYPERLINK("https://www.773grp.com/globalSearch/LMV762MAX-NOPB/page-1", "LMV762MAX-NOPB")</f>
        <v>LMV762MAX-NOPB</v>
      </c>
      <c r="B1436" s="3" t="str">
        <f>HYPERLINK("https://www.773grp.com/manufacturer/national-semiconductor?pageNo=95", "National Semiconductor")</f>
        <v>National Semiconductor</v>
      </c>
      <c r="C1436" s="6">
        <v>4032</v>
      </c>
      <c r="D1436" s="7">
        <v>3.85</v>
      </c>
      <c r="E1436" t="s">
        <v>9</v>
      </c>
    </row>
    <row r="1437" spans="1:5" x14ac:dyDescent="0.25">
      <c r="A1437" t="str">
        <f>HYPERLINK("https://www.773grp.com/globalSearch/LMV762MM-NOPB/page-1", "LMV762MM-NOPB")</f>
        <v>LMV762MM-NOPB</v>
      </c>
      <c r="B1437" s="3" t="str">
        <f>HYPERLINK("https://www.773grp.com/manufacturer/national-semiconductor?pageNo=96", "National Semiconductor")</f>
        <v>National Semiconductor</v>
      </c>
      <c r="C1437" s="6">
        <v>887</v>
      </c>
      <c r="D1437" s="7">
        <v>3.85</v>
      </c>
      <c r="E1437" t="s">
        <v>9</v>
      </c>
    </row>
    <row r="1438" spans="1:5" x14ac:dyDescent="0.25">
      <c r="A1438" t="str">
        <f>HYPERLINK("https://www.773grp.com/globalSearch/LMV851MGE-NOPB/page-1", "LMV851MGE-NOPB")</f>
        <v>LMV851MGE-NOPB</v>
      </c>
      <c r="B1438" s="3" t="str">
        <f>HYPERLINK("https://www.773grp.com/manufacturer/national-semiconductor?pageNo=97", "National Semiconductor")</f>
        <v>National Semiconductor</v>
      </c>
      <c r="C1438" s="6">
        <v>45000</v>
      </c>
      <c r="D1438" s="7">
        <v>3.85</v>
      </c>
    </row>
    <row r="1439" spans="1:5" x14ac:dyDescent="0.25">
      <c r="A1439" t="str">
        <f>HYPERLINK("https://www.773grp.com/globalSearch/LP2988IMM-2.8-NOPB/page-1", "LP2988IMM-2.8-NOPB")</f>
        <v>LP2988IMM-2.8-NOPB</v>
      </c>
      <c r="B1439" s="3" t="str">
        <f>HYPERLINK("https://www.773grp.com/manufacturer/national-semiconductor?pageNo=98", "National Semiconductor")</f>
        <v>National Semiconductor</v>
      </c>
      <c r="C1439" s="6">
        <v>6000</v>
      </c>
      <c r="D1439" s="7">
        <v>3.85</v>
      </c>
    </row>
    <row r="1440" spans="1:5" x14ac:dyDescent="0.25">
      <c r="A1440" t="str">
        <f>HYPERLINK("https://www.773grp.com/globalSearch/TLE2425CPS/page-1", "TLE2425CPS")</f>
        <v>TLE2425CPS</v>
      </c>
      <c r="B1440" s="3" t="str">
        <f>HYPERLINK("https://www.773grp.com/manufacturer/national-semiconductor?pageNo=99", "National Semiconductor")</f>
        <v>National Semiconductor</v>
      </c>
      <c r="C1440" s="6">
        <v>1120</v>
      </c>
      <c r="D1440" s="7">
        <v>3.85</v>
      </c>
    </row>
    <row r="1441" spans="1:5" x14ac:dyDescent="0.25">
      <c r="A1441" t="str">
        <f>HYPERLINK("https://www.773grp.com/globalSearch/ADC0838CCWW-NOPB/page-1", "ADC0838CCWW-NOPB")</f>
        <v>ADC0838CCWW-NOPB</v>
      </c>
      <c r="B1441" s="3" t="str">
        <f>HYPERLINK("https://www.773grp.com/manufacturer/national-semiconductor?pageNo=100", "National Semiconductor")</f>
        <v>National Semiconductor</v>
      </c>
      <c r="C1441" s="6">
        <v>612</v>
      </c>
      <c r="D1441" s="7">
        <v>3.49</v>
      </c>
    </row>
    <row r="1442" spans="1:5" x14ac:dyDescent="0.25">
      <c r="A1442" t="str">
        <f>HYPERLINK("https://www.773grp.com/globalSearch/ADC08832IMM/page-1", "ADC08832IMM")</f>
        <v>ADC08832IMM</v>
      </c>
      <c r="B1442" s="3" t="str">
        <f>HYPERLINK("https://www.773grp.com/manufacturer/national-semiconductor?pageNo=101", "National Semiconductor")</f>
        <v>National Semiconductor</v>
      </c>
      <c r="C1442" s="6">
        <v>4000</v>
      </c>
      <c r="D1442" s="7">
        <v>3.49</v>
      </c>
      <c r="E1442" t="s">
        <v>39</v>
      </c>
    </row>
    <row r="1443" spans="1:5" x14ac:dyDescent="0.25">
      <c r="A1443" t="str">
        <f>HYPERLINK("https://www.773grp.com/globalSearch/DAC121S101QCMK-NOPB/page-1", "DAC121S101QCMK-NOPB")</f>
        <v>DAC121S101QCMK-NOPB</v>
      </c>
      <c r="B1443" s="3" t="str">
        <f>HYPERLINK("https://www.773grp.com/manufacturer/national-semiconductor?pageNo=102", "National Semiconductor")</f>
        <v>National Semiconductor</v>
      </c>
      <c r="C1443" s="6">
        <v>2900</v>
      </c>
      <c r="D1443" s="7">
        <v>3.49</v>
      </c>
    </row>
    <row r="1444" spans="1:5" x14ac:dyDescent="0.25">
      <c r="A1444" t="str">
        <f>HYPERLINK("https://www.773grp.com/globalSearch/DS36C278M-NOPB/page-1", "DS36C278M-NOPB")</f>
        <v>DS36C278M-NOPB</v>
      </c>
      <c r="B1444" s="3" t="str">
        <f>HYPERLINK("https://www.773grp.com/manufacturer/national-semiconductor?pageNo=103", "National Semiconductor")</f>
        <v>National Semiconductor</v>
      </c>
      <c r="C1444" s="6">
        <v>1496</v>
      </c>
      <c r="D1444" s="7">
        <v>3.49</v>
      </c>
      <c r="E1444" t="s">
        <v>21</v>
      </c>
    </row>
    <row r="1445" spans="1:5" x14ac:dyDescent="0.25">
      <c r="A1445" t="str">
        <f>HYPERLINK("https://www.773grp.com/globalSearch/LM1881MX-NOPB/page-1", "LM1881MX-NOPB")</f>
        <v>LM1881MX-NOPB</v>
      </c>
      <c r="B1445" s="3" t="str">
        <f>HYPERLINK("https://www.773grp.com/manufacturer/national-semiconductor?pageNo=104", "National Semiconductor")</f>
        <v>National Semiconductor</v>
      </c>
      <c r="C1445" s="6">
        <v>24862</v>
      </c>
      <c r="D1445" s="7">
        <v>3.49</v>
      </c>
      <c r="E1445" t="s">
        <v>15</v>
      </c>
    </row>
    <row r="1446" spans="1:5" x14ac:dyDescent="0.25">
      <c r="A1446" t="str">
        <f>HYPERLINK("https://www.773grp.com/globalSearch/LM1881N-NOPB/page-1", "LM1881N-NOPB")</f>
        <v>LM1881N-NOPB</v>
      </c>
      <c r="B1446" s="3" t="str">
        <f>HYPERLINK("https://www.773grp.com/manufacturer/national-semiconductor?pageNo=105", "National Semiconductor")</f>
        <v>National Semiconductor</v>
      </c>
      <c r="C1446" s="6">
        <v>19661</v>
      </c>
      <c r="D1446" s="7">
        <v>3.49</v>
      </c>
      <c r="E1446" t="s">
        <v>15</v>
      </c>
    </row>
    <row r="1447" spans="1:5" x14ac:dyDescent="0.25">
      <c r="A1447" t="str">
        <f>HYPERLINK("https://www.773grp.com/globalSearch/LM22674MRX-5.0/page-1", "LM22674MRX-5.0")</f>
        <v>LM22674MRX-5.0</v>
      </c>
      <c r="B1447" s="3" t="str">
        <f>HYPERLINK("https://www.773grp.com/manufacturer/national-semiconductor?pageNo=106", "National Semiconductor")</f>
        <v>National Semiconductor</v>
      </c>
      <c r="C1447" s="6">
        <v>7500</v>
      </c>
      <c r="D1447" s="7">
        <v>3.49</v>
      </c>
      <c r="E1447" t="s">
        <v>7</v>
      </c>
    </row>
    <row r="1448" spans="1:5" x14ac:dyDescent="0.25">
      <c r="A1448" t="str">
        <f>HYPERLINK("https://www.773grp.com/globalSearch/LM25037MT/page-1", "LM25037MT")</f>
        <v>LM25037MT</v>
      </c>
      <c r="B1448" s="3" t="str">
        <f>HYPERLINK("https://www.773grp.com/manufacturer/national-semiconductor?pageNo=107", "National Semiconductor")</f>
        <v>National Semiconductor</v>
      </c>
      <c r="C1448" s="6">
        <v>154</v>
      </c>
      <c r="D1448" s="7">
        <v>3.49</v>
      </c>
      <c r="E1448" t="s">
        <v>7</v>
      </c>
    </row>
    <row r="1449" spans="1:5" x14ac:dyDescent="0.25">
      <c r="A1449" t="str">
        <f>HYPERLINK("https://www.773grp.com/globalSearch/LM25037MTX-NOPB/page-1", "LM25037MTX-NOPB")</f>
        <v>LM25037MTX-NOPB</v>
      </c>
      <c r="B1449" s="3" t="str">
        <f>HYPERLINK("https://www.773grp.com/manufacturer/national-semiconductor?pageNo=108", "National Semiconductor")</f>
        <v>National Semiconductor</v>
      </c>
      <c r="C1449" s="6">
        <v>12500</v>
      </c>
      <c r="D1449" s="7">
        <v>3.49</v>
      </c>
    </row>
    <row r="1450" spans="1:5" x14ac:dyDescent="0.25">
      <c r="A1450" t="str">
        <f>HYPERLINK("https://www.773grp.com/globalSearch/LM2506GR-NOPB/page-1", "LM2506GR-NOPB")</f>
        <v>LM2506GR-NOPB</v>
      </c>
      <c r="B1450" s="3" t="str">
        <f>HYPERLINK("https://www.773grp.com/manufacturer/national-semiconductor?pageNo=109", "National Semiconductor")</f>
        <v>National Semiconductor</v>
      </c>
      <c r="C1450" s="6">
        <v>989</v>
      </c>
      <c r="D1450" s="7">
        <v>3.49</v>
      </c>
    </row>
    <row r="1451" spans="1:5" x14ac:dyDescent="0.25">
      <c r="A1451" t="str">
        <f>HYPERLINK("https://www.773grp.com/globalSearch/LM2506SQ/page-1", "LM2506SQ")</f>
        <v>LM2506SQ</v>
      </c>
      <c r="B1451" s="3" t="str">
        <f>HYPERLINK("https://www.773grp.com/manufacturer/national-semiconductor?pageNo=110", "National Semiconductor")</f>
        <v>National Semiconductor</v>
      </c>
      <c r="C1451" s="6">
        <v>1000</v>
      </c>
      <c r="D1451" s="7">
        <v>3.49</v>
      </c>
      <c r="E1451" t="s">
        <v>21</v>
      </c>
    </row>
    <row r="1452" spans="1:5" x14ac:dyDescent="0.25">
      <c r="A1452" t="str">
        <f>HYPERLINK("https://www.773grp.com/globalSearch/LM2506SQ-NOPB/page-1", "LM2506SQ-NOPB")</f>
        <v>LM2506SQ-NOPB</v>
      </c>
      <c r="B1452" s="3" t="str">
        <f>HYPERLINK("https://www.773grp.com/manufacturer/national-semiconductor?pageNo=111", "National Semiconductor")</f>
        <v>National Semiconductor</v>
      </c>
      <c r="C1452" s="6">
        <v>406</v>
      </c>
      <c r="D1452" s="7">
        <v>3.49</v>
      </c>
    </row>
    <row r="1453" spans="1:5" x14ac:dyDescent="0.25">
      <c r="A1453" t="str">
        <f>HYPERLINK("https://www.773grp.com/globalSearch/LM2674M-3.3/page-1", "LM2674M-3.3")</f>
        <v>LM2674M-3.3</v>
      </c>
      <c r="B1453" s="3" t="str">
        <f>HYPERLINK("https://www.773grp.com/manufacturer/national-semiconductor?pageNo=112", "National Semiconductor")</f>
        <v>National Semiconductor</v>
      </c>
      <c r="C1453" s="6">
        <v>3944</v>
      </c>
      <c r="D1453" s="7">
        <v>3.49</v>
      </c>
      <c r="E1453" t="s">
        <v>7</v>
      </c>
    </row>
    <row r="1454" spans="1:5" x14ac:dyDescent="0.25">
      <c r="A1454" t="str">
        <f>HYPERLINK("https://www.773grp.com/globalSearch/LM2674MX-5.0/page-1", "LM2674MX-5.0")</f>
        <v>LM2674MX-5.0</v>
      </c>
      <c r="B1454" s="3" t="str">
        <f>HYPERLINK("https://www.773grp.com/manufacturer/national-semiconductor?pageNo=113", "National Semiconductor")</f>
        <v>National Semiconductor</v>
      </c>
      <c r="C1454" s="6">
        <v>10000</v>
      </c>
      <c r="D1454" s="7">
        <v>3.49</v>
      </c>
      <c r="E1454" t="s">
        <v>7</v>
      </c>
    </row>
    <row r="1455" spans="1:5" x14ac:dyDescent="0.25">
      <c r="A1455" t="str">
        <f>HYPERLINK("https://www.773grp.com/globalSearch/LM2674MX-ADJ/page-1", "LM2674MX-ADJ")</f>
        <v>LM2674MX-ADJ</v>
      </c>
      <c r="B1455" s="3" t="str">
        <f>HYPERLINK("https://www.773grp.com/manufacturer/national-semiconductor?pageNo=114", "National Semiconductor")</f>
        <v>National Semiconductor</v>
      </c>
      <c r="C1455" s="6">
        <v>5000</v>
      </c>
      <c r="D1455" s="7">
        <v>3.49</v>
      </c>
      <c r="E1455" t="s">
        <v>7</v>
      </c>
    </row>
    <row r="1456" spans="1:5" x14ac:dyDescent="0.25">
      <c r="A1456" t="str">
        <f>HYPERLINK("https://www.773grp.com/globalSearch/LM2674N-3.3/page-1", "LM2674N-3.3")</f>
        <v>LM2674N-3.3</v>
      </c>
      <c r="B1456" s="3" t="str">
        <f>HYPERLINK("https://www.773grp.com/manufacturer/national-semiconductor?pageNo=115", "National Semiconductor")</f>
        <v>National Semiconductor</v>
      </c>
      <c r="C1456" s="6">
        <v>280</v>
      </c>
      <c r="D1456" s="7">
        <v>3.49</v>
      </c>
      <c r="E1456" t="s">
        <v>7</v>
      </c>
    </row>
    <row r="1457" spans="1:5" x14ac:dyDescent="0.25">
      <c r="A1457" t="str">
        <f>HYPERLINK("https://www.773grp.com/globalSearch/LM32CIMT/page-1", "LM32CIMT")</f>
        <v>LM32CIMT</v>
      </c>
      <c r="B1457" s="3" t="str">
        <f>HYPERLINK("https://www.773grp.com/manufacturer/national-semiconductor?pageNo=116", "National Semiconductor")</f>
        <v>National Semiconductor</v>
      </c>
      <c r="C1457" s="6">
        <v>234</v>
      </c>
      <c r="D1457" s="7">
        <v>3.49</v>
      </c>
      <c r="E1457" t="s">
        <v>12</v>
      </c>
    </row>
    <row r="1458" spans="1:5" x14ac:dyDescent="0.25">
      <c r="A1458" t="str">
        <f>HYPERLINK("https://www.773grp.com/globalSearch/LM32CIMTX/page-1", "LM32CIMTX")</f>
        <v>LM32CIMTX</v>
      </c>
      <c r="B1458" s="3" t="str">
        <f>HYPERLINK("https://www.773grp.com/manufacturer/national-semiconductor?pageNo=117", "National Semiconductor")</f>
        <v>National Semiconductor</v>
      </c>
      <c r="C1458" s="6">
        <v>1555</v>
      </c>
      <c r="D1458" s="7">
        <v>3.49</v>
      </c>
      <c r="E1458" t="s">
        <v>12</v>
      </c>
    </row>
    <row r="1459" spans="1:5" x14ac:dyDescent="0.25">
      <c r="A1459" t="str">
        <f>HYPERLINK("https://www.773grp.com/globalSearch/LM32CIMTX-NOPB/page-1", "LM32CIMTX-NOPB")</f>
        <v>LM32CIMTX-NOPB</v>
      </c>
      <c r="B1459" s="3" t="str">
        <f>HYPERLINK("https://www.773grp.com/manufacturer/national-semiconductor?pageNo=118", "National Semiconductor")</f>
        <v>National Semiconductor</v>
      </c>
      <c r="C1459" s="6">
        <v>2500</v>
      </c>
      <c r="D1459" s="7">
        <v>3.49</v>
      </c>
      <c r="E1459" t="s">
        <v>12</v>
      </c>
    </row>
    <row r="1460" spans="1:5" x14ac:dyDescent="0.25">
      <c r="A1460" t="str">
        <f>HYPERLINK("https://www.773grp.com/globalSearch/LM3370SD-3013/page-1", "LM3370SD-3013")</f>
        <v>LM3370SD-3013</v>
      </c>
      <c r="B1460" s="3" t="str">
        <f>HYPERLINK("https://www.773grp.com/manufacturer/national-semiconductor?pageNo=119", "National Semiconductor")</f>
        <v>National Semiconductor</v>
      </c>
      <c r="C1460" s="6">
        <v>15</v>
      </c>
      <c r="D1460" s="7">
        <v>3.49</v>
      </c>
      <c r="E1460" t="s">
        <v>7</v>
      </c>
    </row>
    <row r="1461" spans="1:5" x14ac:dyDescent="0.25">
      <c r="A1461" t="str">
        <f>HYPERLINK("https://www.773grp.com/globalSearch/LM4841LQ-NOPB/page-1", "LM4841LQ-NOPB")</f>
        <v>LM4841LQ-NOPB</v>
      </c>
      <c r="B1461" s="3" t="str">
        <f>HYPERLINK("https://www.773grp.com/manufacturer/national-semiconductor?pageNo=120", "National Semiconductor")</f>
        <v>National Semiconductor</v>
      </c>
      <c r="C1461" s="6">
        <v>1997</v>
      </c>
      <c r="D1461" s="7">
        <v>3.49</v>
      </c>
      <c r="E1461" t="s">
        <v>41</v>
      </c>
    </row>
    <row r="1462" spans="1:5" x14ac:dyDescent="0.25">
      <c r="A1462" t="str">
        <f>HYPERLINK("https://www.773grp.com/globalSearch/LM4842LQ-NOPB/page-1", "LM4842LQ-NOPB")</f>
        <v>LM4842LQ-NOPB</v>
      </c>
      <c r="B1462" s="3" t="str">
        <f>HYPERLINK("https://www.773grp.com/manufacturer/national-semiconductor?pageNo=121", "National Semiconductor")</f>
        <v>National Semiconductor</v>
      </c>
      <c r="C1462" s="6">
        <v>994</v>
      </c>
      <c r="D1462" s="7">
        <v>3.49</v>
      </c>
      <c r="E1462" t="s">
        <v>41</v>
      </c>
    </row>
    <row r="1463" spans="1:5" x14ac:dyDescent="0.25">
      <c r="A1463" t="str">
        <f>HYPERLINK("https://www.773grp.com/globalSearch/LM4851ITL/page-1", "LM4851ITL")</f>
        <v>LM4851ITL</v>
      </c>
      <c r="B1463" s="3" t="str">
        <f>HYPERLINK("https://www.773grp.com/manufacturer/national-semiconductor?pageNo=122", "National Semiconductor")</f>
        <v>National Semiconductor</v>
      </c>
      <c r="C1463" s="6">
        <v>658</v>
      </c>
      <c r="D1463" s="7">
        <v>3.49</v>
      </c>
      <c r="E1463" t="s">
        <v>18</v>
      </c>
    </row>
    <row r="1464" spans="1:5" x14ac:dyDescent="0.25">
      <c r="A1464" t="str">
        <f>HYPERLINK("https://www.773grp.com/globalSearch/LM4852ITL-NOPB/page-1", "LM4852ITL-NOPB")</f>
        <v>LM4852ITL-NOPB</v>
      </c>
      <c r="B1464" s="3" t="str">
        <f>HYPERLINK("https://www.773grp.com/manufacturer/national-semiconductor?pageNo=123", "National Semiconductor")</f>
        <v>National Semiconductor</v>
      </c>
      <c r="C1464" s="6">
        <v>249</v>
      </c>
      <c r="D1464" s="7">
        <v>3.49</v>
      </c>
      <c r="E1464" t="s">
        <v>18</v>
      </c>
    </row>
    <row r="1465" spans="1:5" x14ac:dyDescent="0.25">
      <c r="A1465" t="str">
        <f>HYPERLINK("https://www.773grp.com/globalSearch/LM4852LQ-NOPB/page-1", "LM4852LQ-NOPB")</f>
        <v>LM4852LQ-NOPB</v>
      </c>
      <c r="B1465" s="3" t="str">
        <f>HYPERLINK("https://www.773grp.com/manufacturer/national-semiconductor?pageNo=124", "National Semiconductor")</f>
        <v>National Semiconductor</v>
      </c>
      <c r="C1465" s="6">
        <v>3000</v>
      </c>
      <c r="D1465" s="7">
        <v>3.49</v>
      </c>
      <c r="E1465" t="s">
        <v>18</v>
      </c>
    </row>
    <row r="1466" spans="1:5" x14ac:dyDescent="0.25">
      <c r="A1466" t="str">
        <f>HYPERLINK("https://www.773grp.com/globalSearch/LM4924MM-NOPB/page-1", "LM4924MM-NOPB")</f>
        <v>LM4924MM-NOPB</v>
      </c>
      <c r="B1466" s="3" t="str">
        <f>HYPERLINK("https://www.773grp.com/manufacturer/national-semiconductor?pageNo=125", "National Semiconductor")</f>
        <v>National Semiconductor</v>
      </c>
      <c r="C1466" s="6">
        <v>1970</v>
      </c>
      <c r="D1466" s="7">
        <v>3.49</v>
      </c>
      <c r="E1466" t="s">
        <v>18</v>
      </c>
    </row>
    <row r="1467" spans="1:5" x14ac:dyDescent="0.25">
      <c r="A1467" t="str">
        <f>HYPERLINK("https://www.773grp.com/globalSearch/LM5100AMX-NOPB/page-1", "LM5100AMX-NOPB")</f>
        <v>LM5100AMX-NOPB</v>
      </c>
      <c r="B1467" s="3" t="str">
        <f>HYPERLINK("https://www.773grp.com/manufacturer/national-semiconductor?pageNo=126", "National Semiconductor")</f>
        <v>National Semiconductor</v>
      </c>
      <c r="C1467" s="6">
        <v>7500</v>
      </c>
      <c r="D1467" s="7">
        <v>3.49</v>
      </c>
      <c r="E1467" t="s">
        <v>16</v>
      </c>
    </row>
    <row r="1468" spans="1:5" x14ac:dyDescent="0.25">
      <c r="A1468" t="str">
        <f>HYPERLINK("https://www.773grp.com/globalSearch/LM5100ASD-NOPB/page-1", "LM5100ASD-NOPB")</f>
        <v>LM5100ASD-NOPB</v>
      </c>
      <c r="B1468" s="3" t="str">
        <f>HYPERLINK("https://www.773grp.com/manufacturer/national-semiconductor?pageNo=127", "National Semiconductor")</f>
        <v>National Semiconductor</v>
      </c>
      <c r="C1468" s="6">
        <v>2070</v>
      </c>
      <c r="D1468" s="7">
        <v>3.49</v>
      </c>
      <c r="E1468" t="s">
        <v>16</v>
      </c>
    </row>
    <row r="1469" spans="1:5" x14ac:dyDescent="0.25">
      <c r="A1469" t="str">
        <f>HYPERLINK("https://www.773grp.com/globalSearch/LM5101AMX-NOPB/page-1", "LM5101AMX-NOPB")</f>
        <v>LM5101AMX-NOPB</v>
      </c>
      <c r="B1469" s="3" t="str">
        <f>HYPERLINK("https://www.773grp.com/manufacturer/national-semiconductor?pageNo=128", "National Semiconductor")</f>
        <v>National Semiconductor</v>
      </c>
      <c r="C1469" s="6">
        <v>67500</v>
      </c>
      <c r="D1469" s="7">
        <v>3.49</v>
      </c>
      <c r="E1469" t="s">
        <v>16</v>
      </c>
    </row>
    <row r="1470" spans="1:5" x14ac:dyDescent="0.25">
      <c r="A1470" t="str">
        <f>HYPERLINK("https://www.773grp.com/globalSearch/LM5101ASD-NOPB/page-1", "LM5101ASD-NOPB")</f>
        <v>LM5101ASD-NOPB</v>
      </c>
      <c r="B1470" s="3" t="str">
        <f>HYPERLINK("https://www.773grp.com/manufacturer/national-semiconductor?pageNo=129", "National Semiconductor")</f>
        <v>National Semiconductor</v>
      </c>
      <c r="C1470" s="6">
        <v>138000</v>
      </c>
      <c r="D1470" s="7">
        <v>3.49</v>
      </c>
      <c r="E1470" t="s">
        <v>16</v>
      </c>
    </row>
    <row r="1471" spans="1:5" x14ac:dyDescent="0.25">
      <c r="A1471" t="str">
        <f>HYPERLINK("https://www.773grp.com/globalSearch/LM5101ASD-1-NOPB/page-1", "LM5101ASD-1-NOPB")</f>
        <v>LM5101ASD-1-NOPB</v>
      </c>
      <c r="B1471" s="3" t="str">
        <f>HYPERLINK("https://www.773grp.com/manufacturer/national-semiconductor?pageNo=130", "National Semiconductor")</f>
        <v>National Semiconductor</v>
      </c>
      <c r="C1471" s="6">
        <v>760</v>
      </c>
      <c r="D1471" s="7">
        <v>3.49</v>
      </c>
    </row>
    <row r="1472" spans="1:5" x14ac:dyDescent="0.25">
      <c r="A1472" t="str">
        <f>HYPERLINK("https://www.773grp.com/globalSearch/LM5101ASDX-NOPB/page-1", "LM5101ASDX-NOPB")</f>
        <v>LM5101ASDX-NOPB</v>
      </c>
      <c r="B1472" s="3" t="str">
        <f>HYPERLINK("https://www.773grp.com/manufacturer/national-semiconductor?pageNo=131", "National Semiconductor")</f>
        <v>National Semiconductor</v>
      </c>
      <c r="C1472" s="6">
        <v>13500</v>
      </c>
      <c r="D1472" s="7">
        <v>3.49</v>
      </c>
      <c r="E1472" t="s">
        <v>16</v>
      </c>
    </row>
    <row r="1473" spans="1:5" x14ac:dyDescent="0.25">
      <c r="A1473" t="str">
        <f>HYPERLINK("https://www.773grp.com/globalSearch/LM8272MM-NOPB/page-1", "LM8272MM-NOPB")</f>
        <v>LM8272MM-NOPB</v>
      </c>
      <c r="B1473" s="3" t="str">
        <f>HYPERLINK("https://www.773grp.com/manufacturer/national-semiconductor?pageNo=132", "National Semiconductor")</f>
        <v>National Semiconductor</v>
      </c>
      <c r="C1473" s="6">
        <v>9452</v>
      </c>
      <c r="D1473" s="7">
        <v>3.49</v>
      </c>
      <c r="E1473" t="s">
        <v>13</v>
      </c>
    </row>
    <row r="1474" spans="1:5" x14ac:dyDescent="0.25">
      <c r="A1474" t="str">
        <f>HYPERLINK("https://www.773grp.com/globalSearch/LM8272MMX-NOPB/page-1", "LM8272MMX-NOPB")</f>
        <v>LM8272MMX-NOPB</v>
      </c>
      <c r="B1474" s="3" t="str">
        <f>HYPERLINK("https://www.773grp.com/manufacturer/national-semiconductor?pageNo=133", "National Semiconductor")</f>
        <v>National Semiconductor</v>
      </c>
      <c r="C1474" s="6">
        <v>10500</v>
      </c>
      <c r="D1474" s="7">
        <v>3.49</v>
      </c>
      <c r="E1474" t="s">
        <v>13</v>
      </c>
    </row>
    <row r="1475" spans="1:5" x14ac:dyDescent="0.25">
      <c r="A1475" t="str">
        <f>HYPERLINK("https://www.773grp.com/globalSearch/LM9070SX/page-1", "LM9070SX")</f>
        <v>LM9070SX</v>
      </c>
      <c r="B1475" s="3" t="str">
        <f>HYPERLINK("https://www.773grp.com/manufacturer/national-semiconductor?pageNo=134", "National Semiconductor")</f>
        <v>National Semiconductor</v>
      </c>
      <c r="C1475" s="6">
        <v>5</v>
      </c>
      <c r="D1475" s="7">
        <v>3.49</v>
      </c>
      <c r="E1475" t="s">
        <v>19</v>
      </c>
    </row>
    <row r="1476" spans="1:5" x14ac:dyDescent="0.25">
      <c r="A1476" t="str">
        <f>HYPERLINK("https://www.773grp.com/globalSearch/LM9070SX-NOPB/page-1", "LM9070SX-NOPB")</f>
        <v>LM9070SX-NOPB</v>
      </c>
      <c r="B1476" s="3" t="str">
        <f>HYPERLINK("https://www.773grp.com/manufacturer/national-semiconductor?pageNo=1", "National Semiconductor")</f>
        <v>National Semiconductor</v>
      </c>
      <c r="C1476" s="6">
        <v>500</v>
      </c>
      <c r="D1476" s="7">
        <v>3.49</v>
      </c>
      <c r="E1476" t="s">
        <v>19</v>
      </c>
    </row>
    <row r="1477" spans="1:5" x14ac:dyDescent="0.25">
      <c r="A1477" t="str">
        <f>HYPERLINK("https://www.773grp.com/globalSearch/LMC6772AIM-NOPB/page-1", "LMC6772AIM-NOPB")</f>
        <v>LMC6772AIM-NOPB</v>
      </c>
      <c r="B1477" s="3" t="str">
        <f>HYPERLINK("https://www.773grp.com/manufacturer/national-semiconductor?pageNo=2", "National Semiconductor")</f>
        <v>National Semiconductor</v>
      </c>
      <c r="C1477" s="6">
        <v>429</v>
      </c>
      <c r="D1477" s="7">
        <v>3.49</v>
      </c>
      <c r="E1477" t="s">
        <v>9</v>
      </c>
    </row>
    <row r="1478" spans="1:5" x14ac:dyDescent="0.25">
      <c r="A1478" t="str">
        <f>HYPERLINK("https://www.773grp.com/globalSearch/LMH6644MA/page-1", "LMH6644MA")</f>
        <v>LMH6644MA</v>
      </c>
      <c r="B1478" s="3" t="str">
        <f>HYPERLINK("https://www.773grp.com/manufacturer/national-semiconductor?pageNo=3", "National Semiconductor")</f>
        <v>National Semiconductor</v>
      </c>
      <c r="C1478" s="6">
        <v>275</v>
      </c>
      <c r="D1478" s="7">
        <v>3.49</v>
      </c>
      <c r="E1478" t="s">
        <v>18</v>
      </c>
    </row>
    <row r="1479" spans="1:5" x14ac:dyDescent="0.25">
      <c r="A1479" t="str">
        <f>HYPERLINK("https://www.773grp.com/globalSearch/LMH6644MAX-NOPB/page-1", "LMH6644MAX-NOPB")</f>
        <v>LMH6644MAX-NOPB</v>
      </c>
      <c r="B1479" s="3" t="str">
        <f>HYPERLINK("https://www.773grp.com/manufacturer/national-semiconductor?pageNo=4", "National Semiconductor")</f>
        <v>National Semiconductor</v>
      </c>
      <c r="C1479" s="6">
        <v>12500</v>
      </c>
      <c r="D1479" s="7">
        <v>3.49</v>
      </c>
      <c r="E1479" t="s">
        <v>18</v>
      </c>
    </row>
    <row r="1480" spans="1:5" x14ac:dyDescent="0.25">
      <c r="A1480" t="str">
        <f>HYPERLINK("https://www.773grp.com/globalSearch/LMH6644MT/page-1", "LMH6644MT")</f>
        <v>LMH6644MT</v>
      </c>
      <c r="B1480" s="3" t="str">
        <f>HYPERLINK("https://www.773grp.com/manufacturer/national-semiconductor?pageNo=5", "National Semiconductor")</f>
        <v>National Semiconductor</v>
      </c>
      <c r="C1480" s="6">
        <v>94</v>
      </c>
      <c r="D1480" s="7">
        <v>3.49</v>
      </c>
      <c r="E1480" t="s">
        <v>18</v>
      </c>
    </row>
    <row r="1481" spans="1:5" x14ac:dyDescent="0.25">
      <c r="A1481" t="str">
        <f>HYPERLINK("https://www.773grp.com/globalSearch/LMH6644MTX-NOPB/page-1", "LMH6644MTX-NOPB")</f>
        <v>LMH6644MTX-NOPB</v>
      </c>
      <c r="B1481" s="3" t="str">
        <f>HYPERLINK("https://www.773grp.com/manufacturer/national-semiconductor?pageNo=6", "National Semiconductor")</f>
        <v>National Semiconductor</v>
      </c>
      <c r="C1481" s="6">
        <v>4500</v>
      </c>
      <c r="D1481" s="7">
        <v>3.49</v>
      </c>
      <c r="E1481" t="s">
        <v>18</v>
      </c>
    </row>
    <row r="1482" spans="1:5" x14ac:dyDescent="0.25">
      <c r="A1482" t="str">
        <f>HYPERLINK("https://www.773grp.com/globalSearch/LMH6704MF-NOPB/page-1", "LMH6704MF-NOPB")</f>
        <v>LMH6704MF-NOPB</v>
      </c>
      <c r="B1482" s="3" t="str">
        <f>HYPERLINK("https://www.773grp.com/manufacturer/national-semiconductor?pageNo=7", "National Semiconductor")</f>
        <v>National Semiconductor</v>
      </c>
      <c r="C1482" s="6">
        <v>9874</v>
      </c>
      <c r="D1482" s="7">
        <v>3.49</v>
      </c>
    </row>
    <row r="1483" spans="1:5" x14ac:dyDescent="0.25">
      <c r="A1483" t="str">
        <f>HYPERLINK("https://www.773grp.com/globalSearch/LMH6704MFX-NOPB/page-1", "LMH6704MFX-NOPB")</f>
        <v>LMH6704MFX-NOPB</v>
      </c>
      <c r="B1483" s="3" t="str">
        <f>HYPERLINK("https://www.773grp.com/manufacturer/national-semiconductor?pageNo=8", "National Semiconductor")</f>
        <v>National Semiconductor</v>
      </c>
      <c r="C1483" s="6">
        <v>15000</v>
      </c>
      <c r="D1483" s="7">
        <v>3.49</v>
      </c>
    </row>
    <row r="1484" spans="1:5" x14ac:dyDescent="0.25">
      <c r="A1484" t="str">
        <f>HYPERLINK("https://www.773grp.com/globalSearch/LMP7712MM/page-1", "LMP7712MM")</f>
        <v>LMP7712MM</v>
      </c>
      <c r="B1484" s="3" t="str">
        <f>HYPERLINK("https://www.773grp.com/manufacturer/national-semiconductor?pageNo=9", "National Semiconductor")</f>
        <v>National Semiconductor</v>
      </c>
      <c r="C1484" s="6">
        <v>1000</v>
      </c>
      <c r="D1484" s="7">
        <v>3.49</v>
      </c>
      <c r="E1484" t="s">
        <v>13</v>
      </c>
    </row>
    <row r="1485" spans="1:5" x14ac:dyDescent="0.25">
      <c r="A1485" t="str">
        <f>HYPERLINK("https://www.773grp.com/globalSearch/LP3872EMP-1.8-NOPB/page-1", "LP3872EMP-1.8-NOPB")</f>
        <v>LP3872EMP-1.8-NOPB</v>
      </c>
      <c r="B1485" s="3" t="str">
        <f>HYPERLINK("https://www.773grp.com/manufacturer/national-semiconductor?pageNo=10", "National Semiconductor")</f>
        <v>National Semiconductor</v>
      </c>
      <c r="C1485" s="6">
        <v>1000</v>
      </c>
      <c r="D1485" s="7">
        <v>3.49</v>
      </c>
      <c r="E1485" t="s">
        <v>19</v>
      </c>
    </row>
    <row r="1486" spans="1:5" x14ac:dyDescent="0.25">
      <c r="A1486" t="str">
        <f>HYPERLINK("https://www.773grp.com/globalSearch/LP3872EMP-2.5-NOPB/page-1", "LP3872EMP-2.5-NOPB")</f>
        <v>LP3872EMP-2.5-NOPB</v>
      </c>
      <c r="B1486" s="3" t="str">
        <f>HYPERLINK("https://www.773grp.com/manufacturer/national-semiconductor?pageNo=11", "National Semiconductor")</f>
        <v>National Semiconductor</v>
      </c>
      <c r="C1486" s="6">
        <v>4000</v>
      </c>
      <c r="D1486" s="7">
        <v>3.49</v>
      </c>
      <c r="E1486" t="s">
        <v>19</v>
      </c>
    </row>
    <row r="1487" spans="1:5" x14ac:dyDescent="0.25">
      <c r="A1487" t="str">
        <f>HYPERLINK("https://www.773grp.com/globalSearch/LP3872EMP-3.3-NOPB/page-1", "LP3872EMP-3.3-NOPB")</f>
        <v>LP3872EMP-3.3-NOPB</v>
      </c>
      <c r="B1487" s="3" t="str">
        <f>HYPERLINK("https://www.773grp.com/manufacturer/national-semiconductor?pageNo=12", "National Semiconductor")</f>
        <v>National Semiconductor</v>
      </c>
      <c r="C1487" s="6">
        <v>4008</v>
      </c>
      <c r="D1487" s="7">
        <v>3.49</v>
      </c>
      <c r="E1487" t="s">
        <v>19</v>
      </c>
    </row>
    <row r="1488" spans="1:5" x14ac:dyDescent="0.25">
      <c r="A1488" t="str">
        <f>HYPERLINK("https://www.773grp.com/globalSearch/LP3872EMP-5.0-NOPB/page-1", "LP3872EMP-5.0-NOPB")</f>
        <v>LP3872EMP-5.0-NOPB</v>
      </c>
      <c r="B1488" s="3" t="str">
        <f>HYPERLINK("https://www.773grp.com/manufacturer/national-semiconductor?pageNo=13", "National Semiconductor")</f>
        <v>National Semiconductor</v>
      </c>
      <c r="C1488" s="6">
        <v>306</v>
      </c>
      <c r="D1488" s="7">
        <v>3.49</v>
      </c>
      <c r="E1488" t="s">
        <v>19</v>
      </c>
    </row>
    <row r="1489" spans="1:5" x14ac:dyDescent="0.25">
      <c r="A1489" t="str">
        <f>HYPERLINK("https://www.773grp.com/globalSearch/LP3962ESX-1.8-NOPB/page-1", "LP3962ESX-1.8-NOPB")</f>
        <v>LP3962ESX-1.8-NOPB</v>
      </c>
      <c r="B1489" s="3" t="str">
        <f>HYPERLINK("https://www.773grp.com/manufacturer/national-semiconductor?pageNo=14", "National Semiconductor")</f>
        <v>National Semiconductor</v>
      </c>
      <c r="C1489" s="6">
        <v>6500</v>
      </c>
      <c r="D1489" s="7">
        <v>3.49</v>
      </c>
      <c r="E1489" t="s">
        <v>19</v>
      </c>
    </row>
    <row r="1490" spans="1:5" x14ac:dyDescent="0.25">
      <c r="A1490" t="str">
        <f>HYPERLINK("https://www.773grp.com/globalSearch/LP3962ESX-2.5-NOPB/page-1", "LP3962ESX-2.5-NOPB")</f>
        <v>LP3962ESX-2.5-NOPB</v>
      </c>
      <c r="B1490" s="3" t="str">
        <f>HYPERLINK("https://www.773grp.com/manufacturer/national-semiconductor?pageNo=15", "National Semiconductor")</f>
        <v>National Semiconductor</v>
      </c>
      <c r="C1490" s="6">
        <v>6500</v>
      </c>
      <c r="D1490" s="7">
        <v>3.49</v>
      </c>
      <c r="E1490" t="s">
        <v>19</v>
      </c>
    </row>
    <row r="1491" spans="1:5" x14ac:dyDescent="0.25">
      <c r="A1491" t="str">
        <f>HYPERLINK("https://www.773grp.com/globalSearch/LP3962ESX-5.0-NOPB/page-1", "LP3962ESX-5.0-NOPB")</f>
        <v>LP3962ESX-5.0-NOPB</v>
      </c>
      <c r="B1491" s="3" t="str">
        <f>HYPERLINK("https://www.773grp.com/manufacturer/national-semiconductor?pageNo=16", "National Semiconductor")</f>
        <v>National Semiconductor</v>
      </c>
      <c r="C1491" s="6">
        <v>500</v>
      </c>
      <c r="D1491" s="7">
        <v>3.49</v>
      </c>
      <c r="E1491" t="s">
        <v>19</v>
      </c>
    </row>
    <row r="1492" spans="1:5" x14ac:dyDescent="0.25">
      <c r="A1492" t="str">
        <f>HYPERLINK("https://www.773grp.com/globalSearch/LP3965ES-5.0-NOPB/page-1", "LP3965ES-5.0-NOPB")</f>
        <v>LP3965ES-5.0-NOPB</v>
      </c>
      <c r="B1492" s="3" t="str">
        <f>HYPERLINK("https://www.773grp.com/manufacturer/national-semiconductor?pageNo=17", "National Semiconductor")</f>
        <v>National Semiconductor</v>
      </c>
      <c r="C1492" s="6">
        <v>74</v>
      </c>
      <c r="D1492" s="7">
        <v>3.49</v>
      </c>
      <c r="E1492" t="s">
        <v>19</v>
      </c>
    </row>
    <row r="1493" spans="1:5" x14ac:dyDescent="0.25">
      <c r="A1493" t="str">
        <f>HYPERLINK("https://www.773grp.com/globalSearch/ADC08832IMM/page-1", "ADC08832IMM")</f>
        <v>ADC08832IMM</v>
      </c>
      <c r="B1493" s="3" t="str">
        <f>HYPERLINK("https://www.773grp.com/manufacturer/national-semiconductor?pageNo=18", "National Semiconductor")</f>
        <v>National Semiconductor</v>
      </c>
      <c r="C1493" s="6">
        <v>18000</v>
      </c>
      <c r="D1493" s="7">
        <v>3.49</v>
      </c>
      <c r="E1493" t="s">
        <v>39</v>
      </c>
    </row>
    <row r="1494" spans="1:5" x14ac:dyDescent="0.25">
      <c r="A1494" t="str">
        <f>HYPERLINK("https://www.773grp.com/globalSearch/DAC121S101QCMK-NOPB/page-1", "DAC121S101QCMK-NOPB")</f>
        <v>DAC121S101QCMK-NOPB</v>
      </c>
      <c r="B1494" s="3" t="str">
        <f>HYPERLINK("https://www.773grp.com/manufacturer/national-semiconductor?pageNo=19", "National Semiconductor")</f>
        <v>National Semiconductor</v>
      </c>
      <c r="C1494" s="6">
        <v>1000</v>
      </c>
      <c r="D1494" s="7">
        <v>3.49</v>
      </c>
    </row>
    <row r="1495" spans="1:5" x14ac:dyDescent="0.25">
      <c r="A1495" t="str">
        <f>HYPERLINK("https://www.773grp.com/globalSearch/DS36C278M-NOPB/page-1", "DS36C278M-NOPB")</f>
        <v>DS36C278M-NOPB</v>
      </c>
      <c r="B1495" s="3" t="str">
        <f>HYPERLINK("https://www.773grp.com/manufacturer/national-semiconductor?pageNo=20", "National Semiconductor")</f>
        <v>National Semiconductor</v>
      </c>
      <c r="C1495" s="6">
        <v>9330</v>
      </c>
      <c r="D1495" s="7">
        <v>3.49</v>
      </c>
      <c r="E1495" t="s">
        <v>21</v>
      </c>
    </row>
    <row r="1496" spans="1:5" x14ac:dyDescent="0.25">
      <c r="A1496" t="str">
        <f>HYPERLINK("https://www.773grp.com/globalSearch/LM1881MX-NOPB/page-1", "LM1881MX-NOPB")</f>
        <v>LM1881MX-NOPB</v>
      </c>
      <c r="B1496" s="3" t="str">
        <f>HYPERLINK("https://www.773grp.com/manufacturer/national-semiconductor?pageNo=21", "National Semiconductor")</f>
        <v>National Semiconductor</v>
      </c>
      <c r="C1496" s="6">
        <v>3440</v>
      </c>
      <c r="D1496" s="7">
        <v>3.49</v>
      </c>
      <c r="E1496" t="s">
        <v>15</v>
      </c>
    </row>
    <row r="1497" spans="1:5" x14ac:dyDescent="0.25">
      <c r="A1497" t="str">
        <f>HYPERLINK("https://www.773grp.com/globalSearch/LM1881N-NOPB/page-1", "LM1881N-NOPB")</f>
        <v>LM1881N-NOPB</v>
      </c>
      <c r="B1497" s="3" t="str">
        <f>HYPERLINK("https://www.773grp.com/manufacturer/national-semiconductor?pageNo=22", "National Semiconductor")</f>
        <v>National Semiconductor</v>
      </c>
      <c r="C1497" s="6">
        <v>5157</v>
      </c>
      <c r="D1497" s="7">
        <v>3.49</v>
      </c>
      <c r="E1497" t="s">
        <v>15</v>
      </c>
    </row>
    <row r="1498" spans="1:5" x14ac:dyDescent="0.25">
      <c r="A1498" t="str">
        <f>HYPERLINK("https://www.773grp.com/globalSearch/LM2506GR-NOPB/page-1", "LM2506GR-NOPB")</f>
        <v>LM2506GR-NOPB</v>
      </c>
      <c r="B1498" s="3" t="str">
        <f>HYPERLINK("https://www.773grp.com/manufacturer/national-semiconductor?pageNo=23", "National Semiconductor")</f>
        <v>National Semiconductor</v>
      </c>
      <c r="C1498" s="6">
        <v>7000</v>
      </c>
      <c r="D1498" s="7">
        <v>3.49</v>
      </c>
    </row>
    <row r="1499" spans="1:5" x14ac:dyDescent="0.25">
      <c r="A1499" t="str">
        <f>HYPERLINK("https://www.773grp.com/globalSearch/LM2674M-3.3/page-1", "LM2674M-3.3")</f>
        <v>LM2674M-3.3</v>
      </c>
      <c r="B1499" s="3" t="str">
        <f>HYPERLINK("https://www.773grp.com/manufacturer/national-semiconductor?pageNo=24", "National Semiconductor")</f>
        <v>National Semiconductor</v>
      </c>
      <c r="C1499" s="6">
        <v>598</v>
      </c>
      <c r="D1499" s="7">
        <v>3.49</v>
      </c>
      <c r="E1499" t="s">
        <v>7</v>
      </c>
    </row>
    <row r="1500" spans="1:5" x14ac:dyDescent="0.25">
      <c r="A1500" t="str">
        <f>HYPERLINK("https://www.773grp.com/globalSearch/LM2746MXA-NOPB/page-1", "LM2746MXA-NOPB")</f>
        <v>LM2746MXA-NOPB</v>
      </c>
      <c r="B1500" s="3" t="str">
        <f>HYPERLINK("https://www.773grp.com/manufacturer/national-semiconductor?pageNo=25", "National Semiconductor")</f>
        <v>National Semiconductor</v>
      </c>
      <c r="C1500" s="6">
        <v>232</v>
      </c>
      <c r="D1500" s="7">
        <v>3.49</v>
      </c>
    </row>
    <row r="1501" spans="1:5" x14ac:dyDescent="0.25">
      <c r="A1501" t="str">
        <f>HYPERLINK("https://www.773grp.com/globalSearch/LM5100ASD-NOPB/page-1", "LM5100ASD-NOPB")</f>
        <v>LM5100ASD-NOPB</v>
      </c>
      <c r="B1501" s="3" t="str">
        <f>HYPERLINK("https://www.773grp.com/manufacturer/national-semiconductor?pageNo=26", "National Semiconductor")</f>
        <v>National Semiconductor</v>
      </c>
      <c r="C1501" s="6">
        <v>3000</v>
      </c>
      <c r="D1501" s="7">
        <v>3.49</v>
      </c>
      <c r="E1501" t="s">
        <v>16</v>
      </c>
    </row>
    <row r="1502" spans="1:5" x14ac:dyDescent="0.25">
      <c r="A1502" t="str">
        <f>HYPERLINK("https://www.773grp.com/globalSearch/LM5101AMX-NOPB/page-1", "LM5101AMX-NOPB")</f>
        <v>LM5101AMX-NOPB</v>
      </c>
      <c r="B1502" s="3" t="str">
        <f>HYPERLINK("https://www.773grp.com/manufacturer/national-semiconductor?pageNo=27", "National Semiconductor")</f>
        <v>National Semiconductor</v>
      </c>
      <c r="C1502" s="6">
        <v>3564</v>
      </c>
      <c r="D1502" s="7">
        <v>3.49</v>
      </c>
      <c r="E1502" t="s">
        <v>16</v>
      </c>
    </row>
    <row r="1503" spans="1:5" x14ac:dyDescent="0.25">
      <c r="A1503" t="str">
        <f>HYPERLINK("https://www.773grp.com/globalSearch/LM5101AMX-NOPB/page-1", "LM5101AMX-NOPB")</f>
        <v>LM5101AMX-NOPB</v>
      </c>
      <c r="B1503" s="3" t="str">
        <f>HYPERLINK("https://www.773grp.com/manufacturer/national-semiconductor?pageNo=28", "National Semiconductor")</f>
        <v>National Semiconductor</v>
      </c>
      <c r="C1503" s="6">
        <v>20000</v>
      </c>
      <c r="D1503" s="7">
        <v>3.49</v>
      </c>
      <c r="E1503" t="s">
        <v>16</v>
      </c>
    </row>
    <row r="1504" spans="1:5" x14ac:dyDescent="0.25">
      <c r="A1504" t="str">
        <f>HYPERLINK("https://www.773grp.com/globalSearch/LM5101ASD-NOPB/page-1", "LM5101ASD-NOPB")</f>
        <v>LM5101ASD-NOPB</v>
      </c>
      <c r="B1504" s="3" t="str">
        <f>HYPERLINK("https://www.773grp.com/manufacturer/national-semiconductor?pageNo=29", "National Semiconductor")</f>
        <v>National Semiconductor</v>
      </c>
      <c r="C1504" s="6">
        <v>55000</v>
      </c>
      <c r="D1504" s="7">
        <v>3.49</v>
      </c>
      <c r="E1504" t="s">
        <v>16</v>
      </c>
    </row>
    <row r="1505" spans="1:5" x14ac:dyDescent="0.25">
      <c r="A1505" t="str">
        <f>HYPERLINK("https://www.773grp.com/globalSearch/LM5101ASD-1-NOPB/page-1", "LM5101ASD-1-NOPB")</f>
        <v>LM5101ASD-1-NOPB</v>
      </c>
      <c r="B1505" s="3" t="str">
        <f>HYPERLINK("https://www.773grp.com/manufacturer/national-semiconductor?pageNo=30", "National Semiconductor")</f>
        <v>National Semiconductor</v>
      </c>
      <c r="C1505" s="6">
        <v>900</v>
      </c>
      <c r="D1505" s="7">
        <v>3.49</v>
      </c>
    </row>
    <row r="1506" spans="1:5" x14ac:dyDescent="0.25">
      <c r="A1506" t="str">
        <f>HYPERLINK("https://www.773grp.com/globalSearch/LM8272MM-NOPB/page-1", "LM8272MM-NOPB")</f>
        <v>LM8272MM-NOPB</v>
      </c>
      <c r="B1506" s="3" t="str">
        <f>HYPERLINK("https://www.773grp.com/manufacturer/national-semiconductor?pageNo=31", "National Semiconductor")</f>
        <v>National Semiconductor</v>
      </c>
      <c r="C1506" s="6">
        <v>26101</v>
      </c>
      <c r="D1506" s="7">
        <v>3.49</v>
      </c>
      <c r="E1506" t="s">
        <v>13</v>
      </c>
    </row>
    <row r="1507" spans="1:5" x14ac:dyDescent="0.25">
      <c r="A1507" t="str">
        <f>HYPERLINK("https://www.773grp.com/globalSearch/LM8272MMX-NOPB/page-1", "LM8272MMX-NOPB")</f>
        <v>LM8272MMX-NOPB</v>
      </c>
      <c r="B1507" s="3" t="str">
        <f>HYPERLINK("https://www.773grp.com/manufacturer/national-semiconductor?pageNo=32", "National Semiconductor")</f>
        <v>National Semiconductor</v>
      </c>
      <c r="C1507" s="6">
        <v>17500</v>
      </c>
      <c r="D1507" s="7">
        <v>3.49</v>
      </c>
      <c r="E1507" t="s">
        <v>13</v>
      </c>
    </row>
    <row r="1508" spans="1:5" x14ac:dyDescent="0.25">
      <c r="A1508" t="str">
        <f>HYPERLINK("https://www.773grp.com/globalSearch/LMC6772AIM-NOPB/page-1", "LMC6772AIM-NOPB")</f>
        <v>LMC6772AIM-NOPB</v>
      </c>
      <c r="B1508" s="3" t="str">
        <f>HYPERLINK("https://www.773grp.com/manufacturer/national-semiconductor?pageNo=33", "National Semiconductor")</f>
        <v>National Semiconductor</v>
      </c>
      <c r="C1508" s="6">
        <v>252</v>
      </c>
      <c r="D1508" s="7">
        <v>3.49</v>
      </c>
      <c r="E1508" t="s">
        <v>9</v>
      </c>
    </row>
    <row r="1509" spans="1:5" x14ac:dyDescent="0.25">
      <c r="A1509" t="str">
        <f>HYPERLINK("https://www.773grp.com/globalSearch/LMH6704MF-NOPB/page-1", "LMH6704MF-NOPB")</f>
        <v>LMH6704MF-NOPB</v>
      </c>
      <c r="B1509" s="3" t="str">
        <f>HYPERLINK("https://www.773grp.com/manufacturer/national-semiconductor?pageNo=34", "National Semiconductor")</f>
        <v>National Semiconductor</v>
      </c>
      <c r="C1509" s="6">
        <v>9000</v>
      </c>
      <c r="D1509" s="7">
        <v>3.49</v>
      </c>
    </row>
    <row r="1510" spans="1:5" x14ac:dyDescent="0.25">
      <c r="A1510" t="str">
        <f>HYPERLINK("https://www.773grp.com/globalSearch/LMH6704MFX-NOPB/page-1", "LMH6704MFX-NOPB")</f>
        <v>LMH6704MFX-NOPB</v>
      </c>
      <c r="B1510" s="3" t="str">
        <f>HYPERLINK("https://www.773grp.com/manufacturer/national-semiconductor?pageNo=35", "National Semiconductor")</f>
        <v>National Semiconductor</v>
      </c>
      <c r="C1510" s="6">
        <v>12000</v>
      </c>
      <c r="D1510" s="7">
        <v>3.49</v>
      </c>
    </row>
    <row r="1511" spans="1:5" x14ac:dyDescent="0.25">
      <c r="A1511" t="str">
        <f>HYPERLINK("https://www.773grp.com/globalSearch/LP3872EMP-1.8-NOPB/page-1", "LP3872EMP-1.8-NOPB")</f>
        <v>LP3872EMP-1.8-NOPB</v>
      </c>
      <c r="B1511" s="3" t="str">
        <f>HYPERLINK("https://www.773grp.com/manufacturer/national-semiconductor?pageNo=36", "National Semiconductor")</f>
        <v>National Semiconductor</v>
      </c>
      <c r="C1511" s="6">
        <v>1990</v>
      </c>
      <c r="D1511" s="7">
        <v>3.49</v>
      </c>
      <c r="E1511" t="s">
        <v>19</v>
      </c>
    </row>
    <row r="1512" spans="1:5" x14ac:dyDescent="0.25">
      <c r="A1512" t="str">
        <f>HYPERLINK("https://www.773grp.com/globalSearch/LP3872EMP-3.3-NOPB/page-1", "LP3872EMP-3.3-NOPB")</f>
        <v>LP3872EMP-3.3-NOPB</v>
      </c>
      <c r="B1512" s="3" t="str">
        <f>HYPERLINK("https://www.773grp.com/manufacturer/national-semiconductor?pageNo=37", "National Semiconductor")</f>
        <v>National Semiconductor</v>
      </c>
      <c r="C1512" s="6">
        <v>182</v>
      </c>
      <c r="D1512" s="7">
        <v>3.49</v>
      </c>
      <c r="E1512" t="s">
        <v>19</v>
      </c>
    </row>
    <row r="1513" spans="1:5" x14ac:dyDescent="0.25">
      <c r="A1513" t="str">
        <f>HYPERLINK("https://www.773grp.com/globalSearch/LP3872EMP-5.0-NOPB/page-1", "LP3872EMP-5.0-NOPB")</f>
        <v>LP3872EMP-5.0-NOPB</v>
      </c>
      <c r="B1513" s="3" t="str">
        <f>HYPERLINK("https://www.773grp.com/manufacturer/national-semiconductor?pageNo=38", "National Semiconductor")</f>
        <v>National Semiconductor</v>
      </c>
      <c r="C1513" s="6">
        <v>720</v>
      </c>
      <c r="D1513" s="7">
        <v>3.49</v>
      </c>
      <c r="E1513" t="s">
        <v>19</v>
      </c>
    </row>
    <row r="1514" spans="1:5" x14ac:dyDescent="0.25">
      <c r="A1514" t="str">
        <f>HYPERLINK("https://www.773grp.com/globalSearch/LP3872EMPX-2.5-NOPB/page-1", "LP3872EMPX-2.5-NOPB")</f>
        <v>LP3872EMPX-2.5-NOPB</v>
      </c>
      <c r="B1514" s="3" t="str">
        <f>HYPERLINK("https://www.773grp.com/manufacturer/national-semiconductor?pageNo=39", "National Semiconductor")</f>
        <v>National Semiconductor</v>
      </c>
      <c r="C1514" s="6">
        <v>2000</v>
      </c>
      <c r="D1514" s="7">
        <v>3.49</v>
      </c>
    </row>
    <row r="1515" spans="1:5" x14ac:dyDescent="0.25">
      <c r="A1515" t="str">
        <f>HYPERLINK("https://www.773grp.com/globalSearch/LP3962ESX-2.5-NOPB/page-1", "LP3962ESX-2.5-NOPB")</f>
        <v>LP3962ESX-2.5-NOPB</v>
      </c>
      <c r="B1515" s="3" t="str">
        <f>HYPERLINK("https://www.773grp.com/manufacturer/national-semiconductor?pageNo=40", "National Semiconductor")</f>
        <v>National Semiconductor</v>
      </c>
      <c r="C1515" s="6">
        <v>500</v>
      </c>
      <c r="D1515" s="7">
        <v>3.49</v>
      </c>
      <c r="E1515" t="s">
        <v>19</v>
      </c>
    </row>
    <row r="1516" spans="1:5" x14ac:dyDescent="0.25">
      <c r="A1516" t="str">
        <f>HYPERLINK("https://www.773grp.com/globalSearch/LP3962ESX-3.3-NOPB/page-1", "LP3962ESX-3.3-NOPB")</f>
        <v>LP3962ESX-3.3-NOPB</v>
      </c>
      <c r="B1516" s="3" t="str">
        <f>HYPERLINK("https://www.773grp.com/manufacturer/national-semiconductor?pageNo=41", "National Semiconductor")</f>
        <v>National Semiconductor</v>
      </c>
      <c r="C1516" s="6">
        <v>500</v>
      </c>
      <c r="D1516" s="7">
        <v>3.49</v>
      </c>
    </row>
    <row r="1517" spans="1:5" x14ac:dyDescent="0.25">
      <c r="A1517" t="str">
        <f>HYPERLINK("https://www.773grp.com/globalSearch/4024BDM/page-1", "4024BDM")</f>
        <v>4024BDM</v>
      </c>
      <c r="B1517" s="3" t="str">
        <f>HYPERLINK("https://www.773grp.com/manufacturer/national-semiconductor?pageNo=42", "National Semiconductor")</f>
        <v>National Semiconductor</v>
      </c>
      <c r="C1517" s="6">
        <v>15963</v>
      </c>
      <c r="D1517" s="7">
        <v>3.51</v>
      </c>
    </row>
    <row r="1518" spans="1:5" x14ac:dyDescent="0.25">
      <c r="A1518" t="str">
        <f>HYPERLINK("https://www.773grp.com/globalSearch/74BCT125SC/page-1", "74BCT125SC")</f>
        <v>74BCT125SC</v>
      </c>
      <c r="B1518" s="3" t="str">
        <f>HYPERLINK("https://www.773grp.com/manufacturer/national-semiconductor?pageNo=43", "National Semiconductor")</f>
        <v>National Semiconductor</v>
      </c>
      <c r="C1518" s="6">
        <v>185</v>
      </c>
      <c r="D1518" s="7">
        <v>3.51</v>
      </c>
    </row>
    <row r="1519" spans="1:5" x14ac:dyDescent="0.25">
      <c r="A1519" t="str">
        <f>HYPERLINK("https://www.773grp.com/globalSearch/ADC0831CCWMX-NOPB/page-1", "ADC0831CCWMX-NOPB")</f>
        <v>ADC0831CCWMX-NOPB</v>
      </c>
      <c r="B1519" s="3" t="str">
        <f>HYPERLINK("https://www.773grp.com/manufacturer/national-semiconductor?pageNo=44", "National Semiconductor")</f>
        <v>National Semiconductor</v>
      </c>
      <c r="C1519" s="6">
        <v>998</v>
      </c>
      <c r="D1519" s="7">
        <v>3.51</v>
      </c>
      <c r="E1519" t="s">
        <v>39</v>
      </c>
    </row>
    <row r="1520" spans="1:5" x14ac:dyDescent="0.25">
      <c r="A1520" t="str">
        <f>HYPERLINK("https://www.773grp.com/globalSearch/ADC084S101CIMM-NOPB/page-1", "ADC084S101CIMM-NOPB")</f>
        <v>ADC084S101CIMM-NOPB</v>
      </c>
      <c r="B1520" s="3" t="str">
        <f>HYPERLINK("https://www.773grp.com/manufacturer/national-semiconductor?pageNo=45", "National Semiconductor")</f>
        <v>National Semiconductor</v>
      </c>
      <c r="C1520" s="6">
        <v>400</v>
      </c>
      <c r="D1520" s="7">
        <v>3.51</v>
      </c>
    </row>
    <row r="1521" spans="1:5" x14ac:dyDescent="0.25">
      <c r="A1521" t="str">
        <f>HYPERLINK("https://www.773grp.com/globalSearch/DM8502N/page-1", "DM8502N")</f>
        <v>DM8502N</v>
      </c>
      <c r="B1521" s="3" t="str">
        <f>HYPERLINK("https://www.773grp.com/manufacturer/national-semiconductor?pageNo=46", "National Semiconductor")</f>
        <v>National Semiconductor</v>
      </c>
      <c r="C1521" s="6">
        <v>16061</v>
      </c>
      <c r="D1521" s="7">
        <v>3.51</v>
      </c>
    </row>
    <row r="1522" spans="1:5" x14ac:dyDescent="0.25">
      <c r="A1522" t="str">
        <f>HYPERLINK("https://www.773grp.com/globalSearch/DS14C232CMX-NOPB/page-1", "DS14C232CMX-NOPB")</f>
        <v>DS14C232CMX-NOPB</v>
      </c>
      <c r="B1522" s="3" t="str">
        <f>HYPERLINK("https://www.773grp.com/manufacturer/national-semiconductor?pageNo=47", "National Semiconductor")</f>
        <v>National Semiconductor</v>
      </c>
      <c r="C1522" s="6">
        <v>2500</v>
      </c>
      <c r="D1522" s="7">
        <v>3.51</v>
      </c>
      <c r="E1522" t="s">
        <v>21</v>
      </c>
    </row>
    <row r="1523" spans="1:5" x14ac:dyDescent="0.25">
      <c r="A1523" t="str">
        <f>HYPERLINK("https://www.773grp.com/globalSearch/DS36C279TM-NOPB/page-1", "DS36C279TM-NOPB")</f>
        <v>DS36C279TM-NOPB</v>
      </c>
      <c r="B1523" s="3" t="str">
        <f>HYPERLINK("https://www.773grp.com/manufacturer/national-semiconductor?pageNo=48", "National Semiconductor")</f>
        <v>National Semiconductor</v>
      </c>
      <c r="C1523" s="6">
        <v>5066</v>
      </c>
      <c r="D1523" s="7">
        <v>3.51</v>
      </c>
      <c r="E1523" t="s">
        <v>21</v>
      </c>
    </row>
    <row r="1524" spans="1:5" x14ac:dyDescent="0.25">
      <c r="A1524" t="str">
        <f>HYPERLINK("https://www.773grp.com/globalSearch/DS75107J/page-1", "DS75107J")</f>
        <v>DS75107J</v>
      </c>
      <c r="B1524" s="3" t="str">
        <f>HYPERLINK("https://www.773grp.com/manufacturer/national-semiconductor?pageNo=49", "National Semiconductor")</f>
        <v>National Semiconductor</v>
      </c>
      <c r="C1524" s="6">
        <v>775</v>
      </c>
      <c r="D1524" s="7">
        <v>3.51</v>
      </c>
      <c r="E1524" t="s">
        <v>21</v>
      </c>
    </row>
    <row r="1525" spans="1:5" x14ac:dyDescent="0.25">
      <c r="A1525" t="str">
        <f>HYPERLINK("https://www.773grp.com/globalSearch/DS90LV001TM/page-1", "DS90LV001TM")</f>
        <v>DS90LV001TM</v>
      </c>
      <c r="B1525" s="3" t="str">
        <f>HYPERLINK("https://www.773grp.com/manufacturer/national-semiconductor?pageNo=50", "National Semiconductor")</f>
        <v>National Semiconductor</v>
      </c>
      <c r="C1525" s="6">
        <v>3</v>
      </c>
      <c r="D1525" s="7">
        <v>3.51</v>
      </c>
      <c r="E1525" t="s">
        <v>21</v>
      </c>
    </row>
    <row r="1526" spans="1:5" x14ac:dyDescent="0.25">
      <c r="A1526" t="str">
        <f>HYPERLINK("https://www.773grp.com/globalSearch/DS90LV027AQMA-NOPB/page-1", "DS90LV027AQMA-NOPB")</f>
        <v>DS90LV027AQMA-NOPB</v>
      </c>
      <c r="B1526" s="3" t="str">
        <f>HYPERLINK("https://www.773grp.com/manufacturer/national-semiconductor?pageNo=51", "National Semiconductor")</f>
        <v>National Semiconductor</v>
      </c>
      <c r="C1526" s="6">
        <v>740</v>
      </c>
      <c r="D1526" s="7">
        <v>3.51</v>
      </c>
    </row>
    <row r="1527" spans="1:5" x14ac:dyDescent="0.25">
      <c r="A1527" t="str">
        <f>HYPERLINK("https://www.773grp.com/globalSearch/DS90LV028AQMA-NOPB/page-1", "DS90LV028AQMA-NOPB")</f>
        <v>DS90LV028AQMA-NOPB</v>
      </c>
      <c r="B1527" s="3" t="str">
        <f>HYPERLINK("https://www.773grp.com/manufacturer/national-semiconductor?pageNo=52", "National Semiconductor")</f>
        <v>National Semiconductor</v>
      </c>
      <c r="C1527" s="6">
        <v>63</v>
      </c>
      <c r="D1527" s="7">
        <v>3.51</v>
      </c>
    </row>
    <row r="1528" spans="1:5" x14ac:dyDescent="0.25">
      <c r="A1528" t="str">
        <f>HYPERLINK("https://www.773grp.com/globalSearch/LM10CLN-NOPB/page-1", "LM10CLN-NOPB")</f>
        <v>LM10CLN-NOPB</v>
      </c>
      <c r="B1528" s="3" t="str">
        <f>HYPERLINK("https://www.773grp.com/manufacturer/national-semiconductor?pageNo=53", "National Semiconductor")</f>
        <v>National Semiconductor</v>
      </c>
      <c r="C1528" s="6">
        <v>290</v>
      </c>
      <c r="D1528" s="7">
        <v>3.51</v>
      </c>
      <c r="E1528" t="s">
        <v>13</v>
      </c>
    </row>
    <row r="1529" spans="1:5" x14ac:dyDescent="0.25">
      <c r="A1529" t="str">
        <f>HYPERLINK("https://www.773grp.com/globalSearch/LM20123MHX-NOPB/page-1", "LM20123MHX-NOPB")</f>
        <v>LM20123MHX-NOPB</v>
      </c>
      <c r="B1529" s="3" t="str">
        <f>HYPERLINK("https://www.773grp.com/manufacturer/national-semiconductor?pageNo=54", "National Semiconductor")</f>
        <v>National Semiconductor</v>
      </c>
      <c r="C1529" s="6">
        <v>9800</v>
      </c>
      <c r="D1529" s="7">
        <v>3.51</v>
      </c>
    </row>
    <row r="1530" spans="1:5" x14ac:dyDescent="0.25">
      <c r="A1530" t="str">
        <f>HYPERLINK("https://www.773grp.com/globalSearch/LM22674MRX-ADJ-NOPB/page-1", "LM22674MRX-ADJ-NOPB")</f>
        <v>LM22674MRX-ADJ-NOPB</v>
      </c>
      <c r="B1530" s="3" t="str">
        <f>HYPERLINK("https://www.773grp.com/manufacturer/national-semiconductor?pageNo=55", "National Semiconductor")</f>
        <v>National Semiconductor</v>
      </c>
      <c r="C1530" s="6">
        <v>17885</v>
      </c>
      <c r="D1530" s="7">
        <v>3.51</v>
      </c>
    </row>
    <row r="1531" spans="1:5" x14ac:dyDescent="0.25">
      <c r="A1531" t="str">
        <f>HYPERLINK("https://www.773grp.com/globalSearch/LM2575N-5.0/page-1", "LM2575N-5.0")</f>
        <v>LM2575N-5.0</v>
      </c>
      <c r="B1531" s="3" t="str">
        <f>HYPERLINK("https://www.773grp.com/manufacturer/national-semiconductor?pageNo=56", "National Semiconductor")</f>
        <v>National Semiconductor</v>
      </c>
      <c r="C1531" s="6">
        <v>2978</v>
      </c>
      <c r="D1531" s="7">
        <v>3.51</v>
      </c>
      <c r="E1531" t="s">
        <v>7</v>
      </c>
    </row>
    <row r="1532" spans="1:5" x14ac:dyDescent="0.25">
      <c r="A1532" t="str">
        <f>HYPERLINK("https://www.773grp.com/globalSearch/LM2575N-ADJ/page-1", "LM2575N-ADJ")</f>
        <v>LM2575N-ADJ</v>
      </c>
      <c r="B1532" s="3" t="str">
        <f>HYPERLINK("https://www.773grp.com/manufacturer/national-semiconductor?pageNo=57", "National Semiconductor")</f>
        <v>National Semiconductor</v>
      </c>
      <c r="C1532" s="6">
        <v>65</v>
      </c>
      <c r="D1532" s="7">
        <v>3.51</v>
      </c>
      <c r="E1532" t="s">
        <v>7</v>
      </c>
    </row>
    <row r="1533" spans="1:5" x14ac:dyDescent="0.25">
      <c r="A1533" t="str">
        <f>HYPERLINK("https://www.773grp.com/globalSearch/LM2842XMK-ADJL-NOPB/page-1", "LM2842XMK-ADJL-NOPB")</f>
        <v>LM2842XMK-ADJL-NOPB</v>
      </c>
      <c r="B1533" s="3" t="str">
        <f>HYPERLINK("https://www.773grp.com/manufacturer/national-semiconductor?pageNo=58", "National Semiconductor")</f>
        <v>National Semiconductor</v>
      </c>
      <c r="C1533" s="6">
        <v>1000</v>
      </c>
      <c r="D1533" s="7">
        <v>3.51</v>
      </c>
      <c r="E1533" t="s">
        <v>7</v>
      </c>
    </row>
    <row r="1534" spans="1:5" x14ac:dyDescent="0.25">
      <c r="A1534" t="str">
        <f>HYPERLINK("https://www.773grp.com/globalSearch/LM3423MHX-NOPB/page-1", "LM3423MHX-NOPB")</f>
        <v>LM3423MHX-NOPB</v>
      </c>
      <c r="B1534" s="3" t="str">
        <f>HYPERLINK("https://www.773grp.com/manufacturer/national-semiconductor?pageNo=59", "National Semiconductor")</f>
        <v>National Semiconductor</v>
      </c>
      <c r="C1534" s="6">
        <v>2500</v>
      </c>
      <c r="D1534" s="7">
        <v>3.51</v>
      </c>
    </row>
    <row r="1535" spans="1:5" x14ac:dyDescent="0.25">
      <c r="A1535" t="str">
        <f>HYPERLINK("https://www.773grp.com/globalSearch/LM6132BIMX-NOPB/page-1", "LM6132BIMX-NOPB")</f>
        <v>LM6132BIMX-NOPB</v>
      </c>
      <c r="B1535" s="3" t="str">
        <f>HYPERLINK("https://www.773grp.com/manufacturer/national-semiconductor?pageNo=60", "National Semiconductor")</f>
        <v>National Semiconductor</v>
      </c>
      <c r="C1535" s="6">
        <v>29728</v>
      </c>
      <c r="D1535" s="7">
        <v>3.51</v>
      </c>
      <c r="E1535" t="s">
        <v>13</v>
      </c>
    </row>
    <row r="1536" spans="1:5" x14ac:dyDescent="0.25">
      <c r="A1536" t="str">
        <f>HYPERLINK("https://www.773grp.com/globalSearch/LM6132BIN-NOPB/page-1", "LM6132BIN-NOPB")</f>
        <v>LM6132BIN-NOPB</v>
      </c>
      <c r="B1536" s="3" t="str">
        <f>HYPERLINK("https://www.773grp.com/manufacturer/national-semiconductor?pageNo=61", "National Semiconductor")</f>
        <v>National Semiconductor</v>
      </c>
      <c r="C1536" s="6">
        <v>807</v>
      </c>
      <c r="D1536" s="7">
        <v>3.51</v>
      </c>
      <c r="E1536" t="s">
        <v>13</v>
      </c>
    </row>
    <row r="1537" spans="1:5" x14ac:dyDescent="0.25">
      <c r="A1537" t="str">
        <f>HYPERLINK("https://www.773grp.com/globalSearch/LM7322MA-NOPB/page-1", "LM7322MA-NOPB")</f>
        <v>LM7322MA-NOPB</v>
      </c>
      <c r="B1537" s="3" t="str">
        <f>HYPERLINK("https://www.773grp.com/manufacturer/national-semiconductor?pageNo=62", "National Semiconductor")</f>
        <v>National Semiconductor</v>
      </c>
      <c r="C1537" s="6">
        <v>620</v>
      </c>
      <c r="D1537" s="7">
        <v>3.51</v>
      </c>
      <c r="E1537" t="s">
        <v>13</v>
      </c>
    </row>
    <row r="1538" spans="1:5" x14ac:dyDescent="0.25">
      <c r="A1538" t="str">
        <f>HYPERLINK("https://www.773grp.com/globalSearch/LM77CIM-3/page-1", "LM77CIM-3")</f>
        <v>LM77CIM-3</v>
      </c>
      <c r="B1538" s="3" t="str">
        <f>HYPERLINK("https://www.773grp.com/manufacturer/national-semiconductor?pageNo=63", "National Semiconductor")</f>
        <v>National Semiconductor</v>
      </c>
      <c r="C1538" s="6">
        <v>74</v>
      </c>
      <c r="D1538" s="7">
        <v>3.51</v>
      </c>
      <c r="E1538" t="s">
        <v>12</v>
      </c>
    </row>
    <row r="1539" spans="1:5" x14ac:dyDescent="0.25">
      <c r="A1539" t="str">
        <f>HYPERLINK("https://www.773grp.com/globalSearch/LMC6042IM-NOPB/page-1", "LMC6042IM-NOPB")</f>
        <v>LMC6042IM-NOPB</v>
      </c>
      <c r="B1539" s="3" t="str">
        <f>HYPERLINK("https://www.773grp.com/manufacturer/national-semiconductor?pageNo=64", "National Semiconductor")</f>
        <v>National Semiconductor</v>
      </c>
      <c r="C1539" s="6">
        <v>231</v>
      </c>
      <c r="D1539" s="7">
        <v>3.51</v>
      </c>
      <c r="E1539" t="s">
        <v>13</v>
      </c>
    </row>
    <row r="1540" spans="1:5" x14ac:dyDescent="0.25">
      <c r="A1540" t="str">
        <f>HYPERLINK("https://www.773grp.com/globalSearch/LMC6492AEMX-NOPB/page-1", "LMC6492AEMX-NOPB")</f>
        <v>LMC6492AEMX-NOPB</v>
      </c>
      <c r="B1540" s="3" t="str">
        <f>HYPERLINK("https://www.773grp.com/manufacturer/national-semiconductor?pageNo=65", "National Semiconductor")</f>
        <v>National Semiconductor</v>
      </c>
      <c r="C1540" s="6">
        <v>2500</v>
      </c>
      <c r="D1540" s="7">
        <v>3.51</v>
      </c>
      <c r="E1540" t="s">
        <v>13</v>
      </c>
    </row>
    <row r="1541" spans="1:5" x14ac:dyDescent="0.25">
      <c r="A1541" t="str">
        <f>HYPERLINK("https://www.773grp.com/globalSearch/LMH6715MA-NOPB/page-1", "LMH6715MA-NOPB")</f>
        <v>LMH6715MA-NOPB</v>
      </c>
      <c r="B1541" s="3" t="str">
        <f>HYPERLINK("https://www.773grp.com/manufacturer/national-semiconductor?pageNo=66", "National Semiconductor")</f>
        <v>National Semiconductor</v>
      </c>
      <c r="C1541" s="6">
        <v>3961</v>
      </c>
      <c r="D1541" s="7">
        <v>3.51</v>
      </c>
      <c r="E1541" t="s">
        <v>18</v>
      </c>
    </row>
    <row r="1542" spans="1:5" x14ac:dyDescent="0.25">
      <c r="A1542" t="str">
        <f>HYPERLINK("https://www.773grp.com/globalSearch/LMP2012MM-NOPB/page-1", "LMP2012MM-NOPB")</f>
        <v>LMP2012MM-NOPB</v>
      </c>
      <c r="B1542" s="3" t="str">
        <f>HYPERLINK("https://www.773grp.com/manufacturer/national-semiconductor?pageNo=67", "National Semiconductor")</f>
        <v>National Semiconductor</v>
      </c>
      <c r="C1542" s="6">
        <v>1199</v>
      </c>
      <c r="D1542" s="7">
        <v>3.51</v>
      </c>
      <c r="E1542" t="s">
        <v>13</v>
      </c>
    </row>
    <row r="1543" spans="1:5" x14ac:dyDescent="0.25">
      <c r="A1543" t="str">
        <f>HYPERLINK("https://www.773grp.com/globalSearch/LMX2331LSLDX-NOPB/page-1", "LMX2331LSLDX-NOPB")</f>
        <v>LMX2331LSLDX-NOPB</v>
      </c>
      <c r="B1543" s="3" t="str">
        <f>HYPERLINK("https://www.773grp.com/manufacturer/national-semiconductor?pageNo=68", "National Semiconductor")</f>
        <v>National Semiconductor</v>
      </c>
      <c r="C1543" s="6">
        <v>12500</v>
      </c>
      <c r="D1543" s="7">
        <v>3.51</v>
      </c>
    </row>
    <row r="1544" spans="1:5" x14ac:dyDescent="0.25">
      <c r="A1544" t="str">
        <f>HYPERLINK("https://www.773grp.com/globalSearch/LP3891EMR-1.8/page-1", "LP3891EMR-1.8")</f>
        <v>LP3891EMR-1.8</v>
      </c>
      <c r="B1544" s="3" t="str">
        <f>HYPERLINK("https://www.773grp.com/manufacturer/national-semiconductor?pageNo=69", "National Semiconductor")</f>
        <v>National Semiconductor</v>
      </c>
      <c r="C1544" s="6">
        <v>62</v>
      </c>
      <c r="D1544" s="7">
        <v>3.51</v>
      </c>
      <c r="E1544" t="s">
        <v>19</v>
      </c>
    </row>
    <row r="1545" spans="1:5" x14ac:dyDescent="0.25">
      <c r="A1545" t="str">
        <f>HYPERLINK("https://www.773grp.com/globalSearch/LP3891EMR-1.8-NOPB/page-1", "LP3891EMR-1.8-NOPB")</f>
        <v>LP3891EMR-1.8-NOPB</v>
      </c>
      <c r="B1545" s="3" t="str">
        <f>HYPERLINK("https://www.773grp.com/manufacturer/national-semiconductor?pageNo=70", "National Semiconductor")</f>
        <v>National Semiconductor</v>
      </c>
      <c r="C1545" s="6">
        <v>285</v>
      </c>
      <c r="D1545" s="7">
        <v>3.51</v>
      </c>
      <c r="E1545" t="s">
        <v>19</v>
      </c>
    </row>
    <row r="1546" spans="1:5" x14ac:dyDescent="0.25">
      <c r="A1546" t="str">
        <f>HYPERLINK("https://www.773grp.com/globalSearch/LP3891ESX-1.2/page-1", "LP3891ESX-1.2")</f>
        <v>LP3891ESX-1.2</v>
      </c>
      <c r="B1546" s="3" t="str">
        <f>HYPERLINK("https://www.773grp.com/manufacturer/national-semiconductor?pageNo=71", "National Semiconductor")</f>
        <v>National Semiconductor</v>
      </c>
      <c r="C1546" s="6">
        <v>500</v>
      </c>
      <c r="D1546" s="7">
        <v>3.51</v>
      </c>
      <c r="E1546" t="s">
        <v>19</v>
      </c>
    </row>
    <row r="1547" spans="1:5" x14ac:dyDescent="0.25">
      <c r="A1547" t="str">
        <f>HYPERLINK("https://www.773grp.com/globalSearch/LP3891ESX-1.2-NOPB/page-1", "LP3891ESX-1.2-NOPB")</f>
        <v>LP3891ESX-1.2-NOPB</v>
      </c>
      <c r="B1547" s="3" t="str">
        <f>HYPERLINK("https://www.773grp.com/manufacturer/national-semiconductor?pageNo=72", "National Semiconductor")</f>
        <v>National Semiconductor</v>
      </c>
      <c r="C1547" s="6">
        <v>3470</v>
      </c>
      <c r="D1547" s="7">
        <v>3.51</v>
      </c>
      <c r="E1547" t="s">
        <v>19</v>
      </c>
    </row>
    <row r="1548" spans="1:5" x14ac:dyDescent="0.25">
      <c r="A1548" t="str">
        <f>HYPERLINK("https://www.773grp.com/globalSearch/LP3891ESX-1.5/page-1", "LP3891ESX-1.5")</f>
        <v>LP3891ESX-1.5</v>
      </c>
      <c r="B1548" s="3" t="str">
        <f>HYPERLINK("https://www.773grp.com/manufacturer/national-semiconductor?pageNo=73", "National Semiconductor")</f>
        <v>National Semiconductor</v>
      </c>
      <c r="C1548" s="6">
        <v>3000</v>
      </c>
      <c r="D1548" s="7">
        <v>3.51</v>
      </c>
      <c r="E1548" t="s">
        <v>19</v>
      </c>
    </row>
    <row r="1549" spans="1:5" x14ac:dyDescent="0.25">
      <c r="A1549" t="str">
        <f>HYPERLINK("https://www.773grp.com/globalSearch/LP3891ESX-1.5-NOPB/page-1", "LP3891ESX-1.5-NOPB")</f>
        <v>LP3891ESX-1.5-NOPB</v>
      </c>
      <c r="B1549" s="3" t="str">
        <f>HYPERLINK("https://www.773grp.com/manufacturer/national-semiconductor?pageNo=74", "National Semiconductor")</f>
        <v>National Semiconductor</v>
      </c>
      <c r="C1549" s="6">
        <v>1000</v>
      </c>
      <c r="D1549" s="7">
        <v>3.51</v>
      </c>
      <c r="E1549" t="s">
        <v>19</v>
      </c>
    </row>
    <row r="1550" spans="1:5" x14ac:dyDescent="0.25">
      <c r="A1550" t="str">
        <f>HYPERLINK("https://www.773grp.com/globalSearch/LP3961ES-2.5-NOPB/page-1", "LP3961ES-2.5-NOPB")</f>
        <v>LP3961ES-2.5-NOPB</v>
      </c>
      <c r="B1550" s="3" t="str">
        <f>HYPERLINK("https://www.773grp.com/manufacturer/national-semiconductor?pageNo=75", "National Semiconductor")</f>
        <v>National Semiconductor</v>
      </c>
      <c r="C1550" s="6">
        <v>1701</v>
      </c>
      <c r="D1550" s="7">
        <v>3.51</v>
      </c>
      <c r="E1550" t="s">
        <v>19</v>
      </c>
    </row>
    <row r="1551" spans="1:5" x14ac:dyDescent="0.25">
      <c r="A1551" t="str">
        <f>HYPERLINK("https://www.773grp.com/globalSearch/LP3961ES-3.3-NOPB/page-1", "LP3961ES-3.3-NOPB")</f>
        <v>LP3961ES-3.3-NOPB</v>
      </c>
      <c r="B1551" s="3" t="str">
        <f>HYPERLINK("https://www.773grp.com/manufacturer/national-semiconductor?pageNo=76", "National Semiconductor")</f>
        <v>National Semiconductor</v>
      </c>
      <c r="C1551" s="6">
        <v>246</v>
      </c>
      <c r="D1551" s="7">
        <v>3.51</v>
      </c>
      <c r="E1551" t="s">
        <v>19</v>
      </c>
    </row>
    <row r="1552" spans="1:5" x14ac:dyDescent="0.25">
      <c r="A1552" t="str">
        <f>HYPERLINK("https://www.773grp.com/globalSearch/ADC0831CCWMX-NOPB/page-1", "ADC0831CCWMX-NOPB")</f>
        <v>ADC0831CCWMX-NOPB</v>
      </c>
      <c r="B1552" s="3" t="str">
        <f>HYPERLINK("https://www.773grp.com/manufacturer/national-semiconductor?pageNo=77", "National Semiconductor")</f>
        <v>National Semiconductor</v>
      </c>
      <c r="C1552" s="6">
        <v>2310</v>
      </c>
      <c r="D1552" s="7">
        <v>3.51</v>
      </c>
      <c r="E1552" t="s">
        <v>39</v>
      </c>
    </row>
    <row r="1553" spans="1:5" x14ac:dyDescent="0.25">
      <c r="A1553" t="str">
        <f>HYPERLINK("https://www.773grp.com/globalSearch/ADC084S101CIMM-NOPB/page-1", "ADC084S101CIMM-NOPB")</f>
        <v>ADC084S101CIMM-NOPB</v>
      </c>
      <c r="B1553" s="3" t="str">
        <f>HYPERLINK("https://www.773grp.com/manufacturer/national-semiconductor?pageNo=78", "National Semiconductor")</f>
        <v>National Semiconductor</v>
      </c>
      <c r="C1553" s="6">
        <v>2053</v>
      </c>
      <c r="D1553" s="7">
        <v>3.51</v>
      </c>
    </row>
    <row r="1554" spans="1:5" x14ac:dyDescent="0.25">
      <c r="A1554" t="str">
        <f>HYPERLINK("https://www.773grp.com/globalSearch/DS14C232CMX-NOPB/page-1", "DS14C232CMX-NOPB")</f>
        <v>DS14C232CMX-NOPB</v>
      </c>
      <c r="B1554" s="3" t="str">
        <f>HYPERLINK("https://www.773grp.com/manufacturer/national-semiconductor?pageNo=79", "National Semiconductor")</f>
        <v>National Semiconductor</v>
      </c>
      <c r="C1554" s="6">
        <v>6660</v>
      </c>
      <c r="D1554" s="7">
        <v>3.51</v>
      </c>
      <c r="E1554" t="s">
        <v>21</v>
      </c>
    </row>
    <row r="1555" spans="1:5" x14ac:dyDescent="0.25">
      <c r="A1555" t="str">
        <f>HYPERLINK("https://www.773grp.com/globalSearch/DS90LV001TM/page-1", "DS90LV001TM")</f>
        <v>DS90LV001TM</v>
      </c>
      <c r="B1555" s="3" t="str">
        <f>HYPERLINK("https://www.773grp.com/manufacturer/national-semiconductor?pageNo=80", "National Semiconductor")</f>
        <v>National Semiconductor</v>
      </c>
      <c r="C1555" s="6">
        <v>6191</v>
      </c>
      <c r="D1555" s="7">
        <v>3.51</v>
      </c>
      <c r="E1555" t="s">
        <v>21</v>
      </c>
    </row>
    <row r="1556" spans="1:5" x14ac:dyDescent="0.25">
      <c r="A1556" t="str">
        <f>HYPERLINK("https://www.773grp.com/globalSearch/DS90LV027AQMA-NOPB/page-1", "DS90LV027AQMA-NOPB")</f>
        <v>DS90LV027AQMA-NOPB</v>
      </c>
      <c r="B1556" s="3" t="str">
        <f>HYPERLINK("https://www.773grp.com/manufacturer/national-semiconductor?pageNo=81", "National Semiconductor")</f>
        <v>National Semiconductor</v>
      </c>
      <c r="C1556" s="6">
        <v>16843</v>
      </c>
      <c r="D1556" s="7">
        <v>3.51</v>
      </c>
    </row>
    <row r="1557" spans="1:5" x14ac:dyDescent="0.25">
      <c r="A1557" t="str">
        <f>HYPERLINK("https://www.773grp.com/globalSearch/DS90LV028AQMA-NOPB/page-1", "DS90LV028AQMA-NOPB")</f>
        <v>DS90LV028AQMA-NOPB</v>
      </c>
      <c r="B1557" s="3" t="str">
        <f>HYPERLINK("https://www.773grp.com/manufacturer/national-semiconductor?pageNo=82", "National Semiconductor")</f>
        <v>National Semiconductor</v>
      </c>
      <c r="C1557" s="6">
        <v>20</v>
      </c>
      <c r="D1557" s="7">
        <v>3.51</v>
      </c>
    </row>
    <row r="1558" spans="1:5" x14ac:dyDescent="0.25">
      <c r="A1558" t="str">
        <f>HYPERLINK("https://www.773grp.com/globalSearch/LM10CLN-NOPB/page-1", "LM10CLN-NOPB")</f>
        <v>LM10CLN-NOPB</v>
      </c>
      <c r="B1558" s="3" t="str">
        <f>HYPERLINK("https://www.773grp.com/manufacturer/national-semiconductor?pageNo=83", "National Semiconductor")</f>
        <v>National Semiconductor</v>
      </c>
      <c r="C1558" s="6">
        <v>254</v>
      </c>
      <c r="D1558" s="7">
        <v>3.51</v>
      </c>
      <c r="E1558" t="s">
        <v>13</v>
      </c>
    </row>
    <row r="1559" spans="1:5" x14ac:dyDescent="0.25">
      <c r="A1559" t="str">
        <f>HYPERLINK("https://www.773grp.com/globalSearch/LM2575N-5.0/page-1", "LM2575N-5.0")</f>
        <v>LM2575N-5.0</v>
      </c>
      <c r="B1559" s="3" t="str">
        <f>HYPERLINK("https://www.773grp.com/manufacturer/national-semiconductor?pageNo=84", "National Semiconductor")</f>
        <v>National Semiconductor</v>
      </c>
      <c r="C1559" s="6">
        <v>5060</v>
      </c>
      <c r="D1559" s="7">
        <v>3.51</v>
      </c>
      <c r="E1559" t="s">
        <v>7</v>
      </c>
    </row>
    <row r="1560" spans="1:5" x14ac:dyDescent="0.25">
      <c r="A1560" t="str">
        <f>HYPERLINK("https://www.773grp.com/globalSearch/LM2842XMKX-ADJL-NOPB/page-1", "LM2842XMKX-ADJL-NOPB")</f>
        <v>LM2842XMKX-ADJL-NOPB</v>
      </c>
      <c r="B1560" s="3" t="str">
        <f>HYPERLINK("https://www.773grp.com/manufacturer/national-semiconductor?pageNo=85", "National Semiconductor")</f>
        <v>National Semiconductor</v>
      </c>
      <c r="C1560" s="6">
        <v>24000</v>
      </c>
      <c r="D1560" s="7">
        <v>3.51</v>
      </c>
    </row>
    <row r="1561" spans="1:5" x14ac:dyDescent="0.25">
      <c r="A1561" t="str">
        <f>HYPERLINK("https://www.773grp.com/globalSearch/LM4051AIM31.2-NOPB/page-1", "LM4051AIM31.2-NOPB")</f>
        <v>LM4051AIM31.2-NOPB</v>
      </c>
      <c r="B1561" s="3" t="str">
        <f>HYPERLINK("https://www.773grp.com/manufacturer/national-semiconductor?pageNo=86", "National Semiconductor")</f>
        <v>National Semiconductor</v>
      </c>
      <c r="C1561" s="6">
        <v>40</v>
      </c>
      <c r="D1561" s="7">
        <v>3.51</v>
      </c>
    </row>
    <row r="1562" spans="1:5" x14ac:dyDescent="0.25">
      <c r="A1562" t="str">
        <f>HYPERLINK("https://www.773grp.com/globalSearch/LM4051AIM3-1.2-NOPB/page-1", "LM4051AIM3-1.2-NOPB")</f>
        <v>LM4051AIM3-1.2-NOPB</v>
      </c>
      <c r="B1562" s="3" t="str">
        <f>HYPERLINK("https://www.773grp.com/manufacturer/national-semiconductor?pageNo=87", "National Semiconductor")</f>
        <v>National Semiconductor</v>
      </c>
      <c r="C1562" s="6">
        <v>739</v>
      </c>
      <c r="D1562" s="7">
        <v>3.51</v>
      </c>
    </row>
    <row r="1563" spans="1:5" x14ac:dyDescent="0.25">
      <c r="A1563" t="str">
        <f>HYPERLINK("https://www.773grp.com/globalSearch/LM4051AIM3-ADJ-NOPB/page-1", "LM4051AIM3-ADJ-NOPB")</f>
        <v>LM4051AIM3-ADJ-NOPB</v>
      </c>
      <c r="B1563" s="3" t="str">
        <f>HYPERLINK("https://www.773grp.com/manufacturer/national-semiconductor?pageNo=88", "National Semiconductor")</f>
        <v>National Semiconductor</v>
      </c>
      <c r="C1563" s="6">
        <v>1000</v>
      </c>
      <c r="D1563" s="7">
        <v>3.51</v>
      </c>
    </row>
    <row r="1564" spans="1:5" x14ac:dyDescent="0.25">
      <c r="A1564" t="str">
        <f>HYPERLINK("https://www.773grp.com/globalSearch/LM4051AIM3-ADJ-NOPB/page-1", "LM4051AIM3-ADJ-NOPB")</f>
        <v>LM4051AIM3-ADJ-NOPB</v>
      </c>
      <c r="B1564" s="3" t="str">
        <f>HYPERLINK("https://www.773grp.com/manufacturer/national-semiconductor?pageNo=89", "National Semiconductor")</f>
        <v>National Semiconductor</v>
      </c>
      <c r="C1564" s="6">
        <v>9000</v>
      </c>
      <c r="D1564" s="7">
        <v>3.51</v>
      </c>
    </row>
    <row r="1565" spans="1:5" x14ac:dyDescent="0.25">
      <c r="A1565" t="str">
        <f>HYPERLINK("https://www.773grp.com/globalSearch/LM48520TL/page-1", "LM48520TL")</f>
        <v>LM48520TL</v>
      </c>
      <c r="B1565" s="3" t="str">
        <f>HYPERLINK("https://www.773grp.com/manufacturer/national-semiconductor?pageNo=90", "National Semiconductor")</f>
        <v>National Semiconductor</v>
      </c>
      <c r="C1565" s="6">
        <v>236</v>
      </c>
      <c r="D1565" s="7">
        <v>3.51</v>
      </c>
    </row>
    <row r="1566" spans="1:5" x14ac:dyDescent="0.25">
      <c r="A1566" t="str">
        <f>HYPERLINK("https://www.773grp.com/globalSearch/LM4952TSX-NOPB/page-1", "LM4952TSX-NOPB")</f>
        <v>LM4952TSX-NOPB</v>
      </c>
      <c r="B1566" s="3" t="str">
        <f>HYPERLINK("https://www.773grp.com/manufacturer/national-semiconductor?pageNo=91", "National Semiconductor")</f>
        <v>National Semiconductor</v>
      </c>
      <c r="C1566" s="6">
        <v>1000</v>
      </c>
      <c r="D1566" s="7">
        <v>3.51</v>
      </c>
    </row>
    <row r="1567" spans="1:5" x14ac:dyDescent="0.25">
      <c r="A1567" t="str">
        <f>HYPERLINK("https://www.773grp.com/globalSearch/LM5051MAX-NOPB/page-1", "LM5051MAX-NOPB")</f>
        <v>LM5051MAX-NOPB</v>
      </c>
      <c r="B1567" s="3" t="str">
        <f>HYPERLINK("https://www.773grp.com/manufacturer/national-semiconductor?pageNo=92", "National Semiconductor")</f>
        <v>National Semiconductor</v>
      </c>
      <c r="C1567" s="6">
        <v>7500</v>
      </c>
      <c r="D1567" s="7">
        <v>3.51</v>
      </c>
    </row>
    <row r="1568" spans="1:5" x14ac:dyDescent="0.25">
      <c r="A1568" t="str">
        <f>HYPERLINK("https://www.773grp.com/globalSearch/LM6132BIN-NOPB/page-1", "LM6132BIN-NOPB")</f>
        <v>LM6132BIN-NOPB</v>
      </c>
      <c r="B1568" s="3" t="str">
        <f>HYPERLINK("https://www.773grp.com/manufacturer/national-semiconductor?pageNo=93", "National Semiconductor")</f>
        <v>National Semiconductor</v>
      </c>
      <c r="C1568" s="6">
        <v>5736</v>
      </c>
      <c r="D1568" s="7">
        <v>3.51</v>
      </c>
      <c r="E1568" t="s">
        <v>13</v>
      </c>
    </row>
    <row r="1569" spans="1:5" x14ac:dyDescent="0.25">
      <c r="A1569" t="str">
        <f>HYPERLINK("https://www.773grp.com/globalSearch/LM7322MA-NOPB/page-1", "LM7322MA-NOPB")</f>
        <v>LM7322MA-NOPB</v>
      </c>
      <c r="B1569" s="3" t="str">
        <f>HYPERLINK("https://www.773grp.com/manufacturer/national-semiconductor?pageNo=94", "National Semiconductor")</f>
        <v>National Semiconductor</v>
      </c>
      <c r="C1569" s="6">
        <v>240</v>
      </c>
      <c r="D1569" s="7">
        <v>3.51</v>
      </c>
      <c r="E1569" t="s">
        <v>13</v>
      </c>
    </row>
    <row r="1570" spans="1:5" x14ac:dyDescent="0.25">
      <c r="A1570" t="str">
        <f>HYPERLINK("https://www.773grp.com/globalSearch/LM77CIM-3/page-1", "LM77CIM-3")</f>
        <v>LM77CIM-3</v>
      </c>
      <c r="B1570" s="3" t="str">
        <f>HYPERLINK("https://www.773grp.com/manufacturer/national-semiconductor?pageNo=95", "National Semiconductor")</f>
        <v>National Semiconductor</v>
      </c>
      <c r="C1570" s="6">
        <v>245</v>
      </c>
      <c r="D1570" s="7">
        <v>3.51</v>
      </c>
      <c r="E1570" t="s">
        <v>12</v>
      </c>
    </row>
    <row r="1571" spans="1:5" x14ac:dyDescent="0.25">
      <c r="A1571" t="str">
        <f>HYPERLINK("https://www.773grp.com/globalSearch/LMC6042IM-NOPB/page-1", "LMC6042IM-NOPB")</f>
        <v>LMC6042IM-NOPB</v>
      </c>
      <c r="B1571" s="3" t="str">
        <f>HYPERLINK("https://www.773grp.com/manufacturer/national-semiconductor?pageNo=96", "National Semiconductor")</f>
        <v>National Semiconductor</v>
      </c>
      <c r="C1571" s="6">
        <v>307</v>
      </c>
      <c r="D1571" s="7">
        <v>3.51</v>
      </c>
      <c r="E1571" t="s">
        <v>13</v>
      </c>
    </row>
    <row r="1572" spans="1:5" x14ac:dyDescent="0.25">
      <c r="A1572" t="str">
        <f>HYPERLINK("https://www.773grp.com/globalSearch/LMC6492AEMX-NOPB/page-1", "LMC6492AEMX-NOPB")</f>
        <v>LMC6492AEMX-NOPB</v>
      </c>
      <c r="B1572" s="3" t="str">
        <f>HYPERLINK("https://www.773grp.com/manufacturer/national-semiconductor?pageNo=97", "National Semiconductor")</f>
        <v>National Semiconductor</v>
      </c>
      <c r="C1572" s="6">
        <v>5000</v>
      </c>
      <c r="D1572" s="7">
        <v>3.51</v>
      </c>
      <c r="E1572" t="s">
        <v>13</v>
      </c>
    </row>
    <row r="1573" spans="1:5" x14ac:dyDescent="0.25">
      <c r="A1573" t="str">
        <f>HYPERLINK("https://www.773grp.com/globalSearch/LMC6772BIMX/page-1", "LMC6772BIMX")</f>
        <v>LMC6772BIMX</v>
      </c>
      <c r="B1573" s="3" t="str">
        <f>HYPERLINK("https://www.773grp.com/manufacturer/national-semiconductor?pageNo=98", "National Semiconductor")</f>
        <v>National Semiconductor</v>
      </c>
      <c r="C1573" s="6">
        <v>10000</v>
      </c>
      <c r="D1573" s="7">
        <v>3.51</v>
      </c>
    </row>
    <row r="1574" spans="1:5" x14ac:dyDescent="0.25">
      <c r="A1574" t="str">
        <f>HYPERLINK("https://www.773grp.com/globalSearch/LMH6715MA-NOPB/page-1", "LMH6715MA-NOPB")</f>
        <v>LMH6715MA-NOPB</v>
      </c>
      <c r="B1574" s="3" t="str">
        <f>HYPERLINK("https://www.773grp.com/manufacturer/national-semiconductor?pageNo=99", "National Semiconductor")</f>
        <v>National Semiconductor</v>
      </c>
      <c r="C1574" s="6">
        <v>632</v>
      </c>
      <c r="D1574" s="7">
        <v>3.51</v>
      </c>
      <c r="E1574" t="s">
        <v>18</v>
      </c>
    </row>
    <row r="1575" spans="1:5" x14ac:dyDescent="0.25">
      <c r="A1575" t="str">
        <f>HYPERLINK("https://www.773grp.com/globalSearch/LMX2331LSLDX-NOPB/page-1", "LMX2331LSLDX-NOPB")</f>
        <v>LMX2331LSLDX-NOPB</v>
      </c>
      <c r="B1575" s="3" t="str">
        <f>HYPERLINK("https://www.773grp.com/manufacturer/national-semiconductor?pageNo=100", "National Semiconductor")</f>
        <v>National Semiconductor</v>
      </c>
      <c r="C1575" s="6">
        <v>57500</v>
      </c>
      <c r="D1575" s="7">
        <v>3.51</v>
      </c>
    </row>
    <row r="1576" spans="1:5" x14ac:dyDescent="0.25">
      <c r="A1576" t="str">
        <f>HYPERLINK("https://www.773grp.com/globalSearch/LP3891EMR-1.8-NOPB/page-1", "LP3891EMR-1.8-NOPB")</f>
        <v>LP3891EMR-1.8-NOPB</v>
      </c>
      <c r="B1576" s="3" t="str">
        <f>HYPERLINK("https://www.773grp.com/manufacturer/national-semiconductor?pageNo=101", "National Semiconductor")</f>
        <v>National Semiconductor</v>
      </c>
      <c r="C1576" s="6">
        <v>620</v>
      </c>
      <c r="D1576" s="7">
        <v>3.51</v>
      </c>
      <c r="E1576" t="s">
        <v>19</v>
      </c>
    </row>
    <row r="1577" spans="1:5" x14ac:dyDescent="0.25">
      <c r="A1577" t="str">
        <f>HYPERLINK("https://www.773grp.com/globalSearch/LP3891EMRX-1.2-NOPB/page-1", "LP3891EMRX-1.2-NOPB")</f>
        <v>LP3891EMRX-1.2-NOPB</v>
      </c>
      <c r="B1577" s="3" t="str">
        <f>HYPERLINK("https://www.773grp.com/manufacturer/national-semiconductor?pageNo=102", "National Semiconductor")</f>
        <v>National Semiconductor</v>
      </c>
      <c r="C1577" s="6">
        <v>12340</v>
      </c>
      <c r="D1577" s="7">
        <v>3.51</v>
      </c>
    </row>
    <row r="1578" spans="1:5" x14ac:dyDescent="0.25">
      <c r="A1578" t="str">
        <f>HYPERLINK("https://www.773grp.com/globalSearch/LP3891ESX-1.2-NOPB/page-1", "LP3891ESX-1.2-NOPB")</f>
        <v>LP3891ESX-1.2-NOPB</v>
      </c>
      <c r="B1578" s="3" t="str">
        <f>HYPERLINK("https://www.773grp.com/manufacturer/national-semiconductor?pageNo=103", "National Semiconductor")</f>
        <v>National Semiconductor</v>
      </c>
      <c r="C1578" s="6">
        <v>1500</v>
      </c>
      <c r="D1578" s="7">
        <v>3.51</v>
      </c>
      <c r="E1578" t="s">
        <v>19</v>
      </c>
    </row>
    <row r="1579" spans="1:5" x14ac:dyDescent="0.25">
      <c r="A1579" t="str">
        <f>HYPERLINK("https://www.773grp.com/globalSearch/LP3891ESX-1.2-NOPB/page-1", "LP3891ESX-1.2-NOPB")</f>
        <v>LP3891ESX-1.2-NOPB</v>
      </c>
      <c r="B1579" s="3" t="str">
        <f>HYPERLINK("https://www.773grp.com/manufacturer/national-semiconductor?pageNo=104", "National Semiconductor")</f>
        <v>National Semiconductor</v>
      </c>
      <c r="C1579" s="6">
        <v>2442</v>
      </c>
      <c r="D1579" s="7">
        <v>3.51</v>
      </c>
      <c r="E1579" t="s">
        <v>19</v>
      </c>
    </row>
    <row r="1580" spans="1:5" x14ac:dyDescent="0.25">
      <c r="A1580" t="str">
        <f>HYPERLINK("https://www.773grp.com/globalSearch/LP3961ES-2.5-NOPB/page-1", "LP3961ES-2.5-NOPB")</f>
        <v>LP3961ES-2.5-NOPB</v>
      </c>
      <c r="B1580" s="3" t="str">
        <f>HYPERLINK("https://www.773grp.com/manufacturer/national-semiconductor?pageNo=105", "National Semiconductor")</f>
        <v>National Semiconductor</v>
      </c>
      <c r="C1580" s="6">
        <v>701</v>
      </c>
      <c r="D1580" s="7">
        <v>3.51</v>
      </c>
      <c r="E1580" t="s">
        <v>19</v>
      </c>
    </row>
    <row r="1581" spans="1:5" x14ac:dyDescent="0.25">
      <c r="A1581" t="str">
        <f>HYPERLINK("https://www.773grp.com/globalSearch/LP3961ES-3.3-NOPB/page-1", "LP3961ES-3.3-NOPB")</f>
        <v>LP3961ES-3.3-NOPB</v>
      </c>
      <c r="B1581" s="3" t="str">
        <f>HYPERLINK("https://www.773grp.com/manufacturer/national-semiconductor?pageNo=106", "National Semiconductor")</f>
        <v>National Semiconductor</v>
      </c>
      <c r="C1581" s="6">
        <v>747</v>
      </c>
      <c r="D1581" s="7">
        <v>3.51</v>
      </c>
      <c r="E1581" t="s">
        <v>19</v>
      </c>
    </row>
    <row r="1582" spans="1:5" x14ac:dyDescent="0.25">
      <c r="A1582" t="str">
        <f>HYPERLINK("https://www.773grp.com/globalSearch/OPA234UA/page-1", "OPA234UA")</f>
        <v>OPA234UA</v>
      </c>
      <c r="B1582" s="3" t="str">
        <f>HYPERLINK("https://www.773grp.com/manufacturer/national-semiconductor?pageNo=107", "National Semiconductor")</f>
        <v>National Semiconductor</v>
      </c>
      <c r="C1582" s="6">
        <v>3750</v>
      </c>
      <c r="D1582" s="7">
        <v>3.51</v>
      </c>
    </row>
    <row r="1583" spans="1:5" x14ac:dyDescent="0.25">
      <c r="A1583" t="str">
        <f>HYPERLINK("https://www.773grp.com/globalSearch/TL1963A-18KTTR/page-1", "TL1963A-18KTTR")</f>
        <v>TL1963A-18KTTR</v>
      </c>
      <c r="B1583" s="3" t="str">
        <f>HYPERLINK("https://www.773grp.com/manufacturer/national-semiconductor?pageNo=108", "National Semiconductor")</f>
        <v>National Semiconductor</v>
      </c>
      <c r="C1583" s="6">
        <v>370</v>
      </c>
      <c r="D1583" s="7">
        <v>3.51</v>
      </c>
    </row>
    <row r="1584" spans="1:5" x14ac:dyDescent="0.25">
      <c r="A1584" t="str">
        <f>HYPERLINK("https://www.773grp.com/globalSearch/TLC084IPWP/page-1", "TLC084IPWP")</f>
        <v>TLC084IPWP</v>
      </c>
      <c r="B1584" s="3" t="str">
        <f>HYPERLINK("https://www.773grp.com/manufacturer/national-semiconductor?pageNo=109", "National Semiconductor")</f>
        <v>National Semiconductor</v>
      </c>
      <c r="C1584" s="6">
        <v>1960</v>
      </c>
      <c r="D1584" s="7">
        <v>3.51</v>
      </c>
    </row>
    <row r="1585" spans="1:5" x14ac:dyDescent="0.25">
      <c r="A1585" t="str">
        <f>HYPERLINK("https://www.773grp.com/globalSearch/DS3695AM/page-1", "DS3695AM")</f>
        <v>DS3695AM</v>
      </c>
      <c r="B1585" s="3" t="str">
        <f>HYPERLINK("https://www.773grp.com/manufacturer/national-semiconductor?pageNo=110", "National Semiconductor")</f>
        <v>National Semiconductor</v>
      </c>
      <c r="C1585" s="6">
        <v>1216</v>
      </c>
      <c r="D1585" s="7">
        <v>3.9</v>
      </c>
      <c r="E1585" t="s">
        <v>21</v>
      </c>
    </row>
    <row r="1586" spans="1:5" x14ac:dyDescent="0.25">
      <c r="A1586" t="str">
        <f>HYPERLINK("https://www.773grp.com/globalSearch/LM1085IT-12/page-1", "LM1085IT-12")</f>
        <v>LM1085IT-12</v>
      </c>
      <c r="B1586" s="3" t="str">
        <f>HYPERLINK("https://www.773grp.com/manufacturer/national-semiconductor?pageNo=111", "National Semiconductor")</f>
        <v>National Semiconductor</v>
      </c>
      <c r="C1586" s="6">
        <v>348</v>
      </c>
      <c r="D1586" s="7">
        <v>3.9</v>
      </c>
      <c r="E1586" t="s">
        <v>19</v>
      </c>
    </row>
    <row r="1587" spans="1:5" x14ac:dyDescent="0.25">
      <c r="A1587" t="str">
        <f>HYPERLINK("https://www.773grp.com/globalSearch/LM1085IT-12-NOPB/page-1", "LM1085IT-12-NOPB")</f>
        <v>LM1085IT-12-NOPB</v>
      </c>
      <c r="B1587" s="3" t="str">
        <f>HYPERLINK("https://www.773grp.com/manufacturer/national-semiconductor?pageNo=112", "National Semiconductor")</f>
        <v>National Semiconductor</v>
      </c>
      <c r="C1587" s="6">
        <v>392</v>
      </c>
      <c r="D1587" s="7">
        <v>3.9</v>
      </c>
      <c r="E1587" t="s">
        <v>19</v>
      </c>
    </row>
    <row r="1588" spans="1:5" x14ac:dyDescent="0.25">
      <c r="A1588" t="str">
        <f>HYPERLINK("https://www.773grp.com/globalSearch/LM1085IT-3.3-NOPB/page-1", "LM1085IT-3.3-NOPB")</f>
        <v>LM1085IT-3.3-NOPB</v>
      </c>
      <c r="B1588" s="3" t="str">
        <f>HYPERLINK("https://www.773grp.com/manufacturer/national-semiconductor?pageNo=113", "National Semiconductor")</f>
        <v>National Semiconductor</v>
      </c>
      <c r="C1588" s="6">
        <v>5186</v>
      </c>
      <c r="D1588" s="7">
        <v>3.9</v>
      </c>
      <c r="E1588" t="s">
        <v>19</v>
      </c>
    </row>
    <row r="1589" spans="1:5" x14ac:dyDescent="0.25">
      <c r="A1589" t="str">
        <f>HYPERLINK("https://www.773grp.com/globalSearch/LM1085IT-5.0-NOPB/page-1", "LM1085IT-5.0-NOPB")</f>
        <v>LM1085IT-5.0-NOPB</v>
      </c>
      <c r="B1589" s="3" t="str">
        <f>HYPERLINK("https://www.773grp.com/manufacturer/national-semiconductor?pageNo=114", "National Semiconductor")</f>
        <v>National Semiconductor</v>
      </c>
      <c r="C1589" s="6">
        <v>80</v>
      </c>
      <c r="D1589" s="7">
        <v>3.9</v>
      </c>
    </row>
    <row r="1590" spans="1:5" x14ac:dyDescent="0.25">
      <c r="A1590" t="str">
        <f>HYPERLINK("https://www.773grp.com/globalSearch/LM1085IT-ADJ-NOPB/page-1", "LM1085IT-ADJ-NOPB")</f>
        <v>LM1085IT-ADJ-NOPB</v>
      </c>
      <c r="B1590" s="3" t="str">
        <f>HYPERLINK("https://www.773grp.com/manufacturer/national-semiconductor?pageNo=115", "National Semiconductor")</f>
        <v>National Semiconductor</v>
      </c>
      <c r="C1590" s="6">
        <v>1650</v>
      </c>
      <c r="D1590" s="7">
        <v>3.9</v>
      </c>
      <c r="E1590" t="s">
        <v>25</v>
      </c>
    </row>
    <row r="1591" spans="1:5" x14ac:dyDescent="0.25">
      <c r="A1591" t="str">
        <f>HYPERLINK("https://www.773grp.com/globalSearch/LM2751SD-A-NOPB/page-1", "LM2751SD-A-NOPB")</f>
        <v>LM2751SD-A-NOPB</v>
      </c>
      <c r="B1591" s="3" t="str">
        <f>HYPERLINK("https://www.773grp.com/manufacturer/national-semiconductor?pageNo=116", "National Semiconductor")</f>
        <v>National Semiconductor</v>
      </c>
      <c r="C1591" s="6">
        <v>10222</v>
      </c>
      <c r="D1591" s="7">
        <v>3.9</v>
      </c>
      <c r="E1591" t="s">
        <v>10</v>
      </c>
    </row>
    <row r="1592" spans="1:5" x14ac:dyDescent="0.25">
      <c r="A1592" t="str">
        <f>HYPERLINK("https://www.773grp.com/globalSearch/LM2751SD-B-NOPB/page-1", "LM2751SD-B-NOPB")</f>
        <v>LM2751SD-B-NOPB</v>
      </c>
      <c r="B1592" s="3" t="str">
        <f>HYPERLINK("https://www.773grp.com/manufacturer/national-semiconductor?pageNo=117", "National Semiconductor")</f>
        <v>National Semiconductor</v>
      </c>
      <c r="C1592" s="6">
        <v>1074</v>
      </c>
      <c r="D1592" s="7">
        <v>3.9</v>
      </c>
      <c r="E1592" t="s">
        <v>10</v>
      </c>
    </row>
    <row r="1593" spans="1:5" x14ac:dyDescent="0.25">
      <c r="A1593" t="str">
        <f>HYPERLINK("https://www.773grp.com/globalSearch/LM3420M5-8.2/page-1", "LM3420M5-8.2")</f>
        <v>LM3420M5-8.2</v>
      </c>
      <c r="B1593" s="3" t="str">
        <f>HYPERLINK("https://www.773grp.com/manufacturer/national-semiconductor?pageNo=118", "National Semiconductor")</f>
        <v>National Semiconductor</v>
      </c>
      <c r="C1593" s="6">
        <v>1000</v>
      </c>
      <c r="D1593" s="7">
        <v>3.9</v>
      </c>
      <c r="E1593" t="s">
        <v>30</v>
      </c>
    </row>
    <row r="1594" spans="1:5" x14ac:dyDescent="0.25">
      <c r="A1594" t="str">
        <f>HYPERLINK("https://www.773grp.com/globalSearch/LM3420M5-8.4-NOPB/page-1", "LM3420M5-8.4-NOPB")</f>
        <v>LM3420M5-8.4-NOPB</v>
      </c>
      <c r="B1594" s="3" t="str">
        <f>HYPERLINK("https://www.773grp.com/manufacturer/national-semiconductor?pageNo=119", "National Semiconductor")</f>
        <v>National Semiconductor</v>
      </c>
      <c r="C1594" s="6">
        <v>6000</v>
      </c>
      <c r="D1594" s="7">
        <v>3.9</v>
      </c>
      <c r="E1594" t="s">
        <v>30</v>
      </c>
    </row>
    <row r="1595" spans="1:5" x14ac:dyDescent="0.25">
      <c r="A1595" t="str">
        <f>HYPERLINK("https://www.773grp.com/globalSearch/LM3519MK-20-NOPB/page-1", "LM3519MK-20-NOPB")</f>
        <v>LM3519MK-20-NOPB</v>
      </c>
      <c r="B1595" s="3" t="str">
        <f>HYPERLINK("https://www.773grp.com/manufacturer/national-semiconductor?pageNo=120", "National Semiconductor")</f>
        <v>National Semiconductor</v>
      </c>
      <c r="C1595" s="6">
        <v>2300</v>
      </c>
      <c r="D1595" s="7">
        <v>3.9</v>
      </c>
    </row>
    <row r="1596" spans="1:5" x14ac:dyDescent="0.25">
      <c r="A1596" t="str">
        <f>HYPERLINK("https://www.773grp.com/globalSearch/LM3524DN/page-1", "LM3524DN")</f>
        <v>LM3524DN</v>
      </c>
      <c r="B1596" s="3" t="str">
        <f>HYPERLINK("https://www.773grp.com/manufacturer/national-semiconductor?pageNo=121", "National Semiconductor")</f>
        <v>National Semiconductor</v>
      </c>
      <c r="C1596" s="6">
        <v>1145</v>
      </c>
      <c r="D1596" s="7">
        <v>3.9</v>
      </c>
      <c r="E1596" t="s">
        <v>7</v>
      </c>
    </row>
    <row r="1597" spans="1:5" x14ac:dyDescent="0.25">
      <c r="A1597" t="str">
        <f>HYPERLINK("https://www.773grp.com/globalSearch/LM3620M5-4/page-1", "LM3620M5-4")</f>
        <v>LM3620M5-4</v>
      </c>
      <c r="B1597" s="3" t="str">
        <f>HYPERLINK("https://www.773grp.com/manufacturer/national-semiconductor?pageNo=122", "National Semiconductor")</f>
        <v>National Semiconductor</v>
      </c>
      <c r="C1597" s="6">
        <v>16000</v>
      </c>
      <c r="D1597" s="7">
        <v>3.9</v>
      </c>
      <c r="E1597" t="s">
        <v>7</v>
      </c>
    </row>
    <row r="1598" spans="1:5" x14ac:dyDescent="0.25">
      <c r="A1598" t="str">
        <f>HYPERLINK("https://www.773grp.com/globalSearch/LM3620M5X-4/page-1", "LM3620M5X-4")</f>
        <v>LM3620M5X-4</v>
      </c>
      <c r="B1598" s="3" t="str">
        <f>HYPERLINK("https://www.773grp.com/manufacturer/national-semiconductor?pageNo=123", "National Semiconductor")</f>
        <v>National Semiconductor</v>
      </c>
      <c r="C1598" s="6">
        <v>5376</v>
      </c>
      <c r="D1598" s="7">
        <v>3.9</v>
      </c>
      <c r="E1598" t="s">
        <v>7</v>
      </c>
    </row>
    <row r="1599" spans="1:5" x14ac:dyDescent="0.25">
      <c r="A1599" t="str">
        <f>HYPERLINK("https://www.773grp.com/globalSearch/LM4128CQ1MF1.8-NOPB/page-1", "LM4128CQ1MF1.8-NOPB")</f>
        <v>LM4128CQ1MF1.8-NOPB</v>
      </c>
      <c r="B1599" s="3" t="str">
        <f>HYPERLINK("https://www.773grp.com/manufacturer/national-semiconductor?pageNo=124", "National Semiconductor")</f>
        <v>National Semiconductor</v>
      </c>
      <c r="C1599" s="6">
        <v>1000</v>
      </c>
      <c r="D1599" s="7">
        <v>3.9</v>
      </c>
    </row>
    <row r="1600" spans="1:5" x14ac:dyDescent="0.25">
      <c r="A1600" t="str">
        <f>HYPERLINK("https://www.773grp.com/globalSearch/LM4128CQ1MF2.0-NOPB/page-1", "LM4128CQ1MF2.0-NOPB")</f>
        <v>LM4128CQ1MF2.0-NOPB</v>
      </c>
      <c r="B1600" s="3" t="str">
        <f>HYPERLINK("https://www.773grp.com/manufacturer/national-semiconductor?pageNo=125", "National Semiconductor")</f>
        <v>National Semiconductor</v>
      </c>
      <c r="C1600" s="6">
        <v>1000</v>
      </c>
      <c r="D1600" s="7">
        <v>3.9</v>
      </c>
    </row>
    <row r="1601" spans="1:5" x14ac:dyDescent="0.25">
      <c r="A1601" t="str">
        <f>HYPERLINK("https://www.773grp.com/globalSearch/LM4128CQ1MF3.0-NOPB/page-1", "LM4128CQ1MF3.0-NOPB")</f>
        <v>LM4128CQ1MF3.0-NOPB</v>
      </c>
      <c r="B1601" s="3" t="str">
        <f>HYPERLINK("https://www.773grp.com/manufacturer/national-semiconductor?pageNo=126", "National Semiconductor")</f>
        <v>National Semiconductor</v>
      </c>
      <c r="C1601" s="6">
        <v>1977</v>
      </c>
      <c r="D1601" s="7">
        <v>3.9</v>
      </c>
    </row>
    <row r="1602" spans="1:5" x14ac:dyDescent="0.25">
      <c r="A1602" t="str">
        <f>HYPERLINK("https://www.773grp.com/globalSearch/LM4128CQ1MF4.1-NOPB/page-1", "LM4128CQ1MF4.1-NOPB")</f>
        <v>LM4128CQ1MF4.1-NOPB</v>
      </c>
      <c r="B1602" s="3" t="str">
        <f>HYPERLINK("https://www.773grp.com/manufacturer/national-semiconductor?pageNo=127", "National Semiconductor")</f>
        <v>National Semiconductor</v>
      </c>
      <c r="C1602" s="6">
        <v>1999</v>
      </c>
      <c r="D1602" s="7">
        <v>3.9</v>
      </c>
    </row>
    <row r="1603" spans="1:5" x14ac:dyDescent="0.25">
      <c r="A1603" t="str">
        <f>HYPERLINK("https://www.773grp.com/globalSearch/LM4891LD/page-1", "LM4891LD")</f>
        <v>LM4891LD</v>
      </c>
      <c r="B1603" s="3" t="str">
        <f>HYPERLINK("https://www.773grp.com/manufacturer/national-semiconductor?pageNo=128", "National Semiconductor")</f>
        <v>National Semiconductor</v>
      </c>
      <c r="C1603" s="6">
        <v>6000</v>
      </c>
      <c r="D1603" s="7">
        <v>3.9</v>
      </c>
      <c r="E1603" t="s">
        <v>18</v>
      </c>
    </row>
    <row r="1604" spans="1:5" x14ac:dyDescent="0.25">
      <c r="A1604" t="str">
        <f>HYPERLINK("https://www.773grp.com/globalSearch/LM4892IBP/page-1", "LM4892IBP")</f>
        <v>LM4892IBP</v>
      </c>
      <c r="B1604" s="3" t="str">
        <f>HYPERLINK("https://www.773grp.com/manufacturer/national-semiconductor?pageNo=129", "National Semiconductor")</f>
        <v>National Semiconductor</v>
      </c>
      <c r="C1604" s="6">
        <v>3500</v>
      </c>
      <c r="D1604" s="7">
        <v>3.9</v>
      </c>
      <c r="E1604" t="s">
        <v>18</v>
      </c>
    </row>
    <row r="1605" spans="1:5" x14ac:dyDescent="0.25">
      <c r="A1605" t="str">
        <f>HYPERLINK("https://www.773grp.com/globalSearch/LM4892IBPX/page-1", "LM4892IBPX")</f>
        <v>LM4892IBPX</v>
      </c>
      <c r="B1605" s="3" t="str">
        <f>HYPERLINK("https://www.773grp.com/manufacturer/national-semiconductor?pageNo=130", "National Semiconductor")</f>
        <v>National Semiconductor</v>
      </c>
      <c r="C1605" s="6">
        <v>6000</v>
      </c>
      <c r="D1605" s="7">
        <v>3.9</v>
      </c>
      <c r="E1605" t="s">
        <v>18</v>
      </c>
    </row>
    <row r="1606" spans="1:5" x14ac:dyDescent="0.25">
      <c r="A1606" t="str">
        <f>HYPERLINK("https://www.773grp.com/globalSearch/LM75CIMM-3/page-1", "LM75CIMM-3")</f>
        <v>LM75CIMM-3</v>
      </c>
      <c r="B1606" s="3" t="str">
        <f>HYPERLINK("https://www.773grp.com/manufacturer/national-semiconductor?pageNo=131", "National Semiconductor")</f>
        <v>National Semiconductor</v>
      </c>
      <c r="C1606" s="6">
        <v>33890</v>
      </c>
      <c r="D1606" s="7">
        <v>3.9</v>
      </c>
      <c r="E1606" t="s">
        <v>12</v>
      </c>
    </row>
    <row r="1607" spans="1:5" x14ac:dyDescent="0.25">
      <c r="A1607" t="str">
        <f>HYPERLINK("https://www.773grp.com/globalSearch/LM95235CIMM/page-1", "LM95235CIMM")</f>
        <v>LM95235CIMM</v>
      </c>
      <c r="B1607" s="3" t="str">
        <f>HYPERLINK("https://www.773grp.com/manufacturer/national-semiconductor?pageNo=132", "National Semiconductor")</f>
        <v>National Semiconductor</v>
      </c>
      <c r="C1607" s="6">
        <v>1000</v>
      </c>
      <c r="D1607" s="7">
        <v>3.9</v>
      </c>
      <c r="E1607" t="s">
        <v>12</v>
      </c>
    </row>
    <row r="1608" spans="1:5" x14ac:dyDescent="0.25">
      <c r="A1608" t="str">
        <f>HYPERLINK("https://www.773grp.com/globalSearch/LM95235CIMM-NOPB/page-1", "LM95235CIMM-NOPB")</f>
        <v>LM95235CIMM-NOPB</v>
      </c>
      <c r="B1608" s="3" t="str">
        <f>HYPERLINK("https://www.773grp.com/manufacturer/national-semiconductor?pageNo=133", "National Semiconductor")</f>
        <v>National Semiconductor</v>
      </c>
      <c r="C1608" s="6">
        <v>12000</v>
      </c>
      <c r="D1608" s="7">
        <v>3.9</v>
      </c>
    </row>
    <row r="1609" spans="1:5" x14ac:dyDescent="0.25">
      <c r="A1609" t="str">
        <f>HYPERLINK("https://www.773grp.com/globalSearch/LM95235CIMMX-NOPB/page-1", "LM95235CIMMX-NOPB")</f>
        <v>LM95235CIMMX-NOPB</v>
      </c>
      <c r="B1609" s="3" t="str">
        <f>HYPERLINK("https://www.773grp.com/manufacturer/national-semiconductor?pageNo=134", "National Semiconductor")</f>
        <v>National Semiconductor</v>
      </c>
      <c r="C1609" s="6">
        <v>3500</v>
      </c>
      <c r="D1609" s="7">
        <v>3.9</v>
      </c>
    </row>
    <row r="1610" spans="1:5" x14ac:dyDescent="0.25">
      <c r="A1610" t="str">
        <f>HYPERLINK("https://www.773grp.com/globalSearch/LMC567CN-NOPB/page-1", "LMC567CN-NOPB")</f>
        <v>LMC567CN-NOPB</v>
      </c>
      <c r="B1610" s="3" t="str">
        <f>HYPERLINK("https://www.773grp.com/manufacturer/national-semiconductor?pageNo=1", "National Semiconductor")</f>
        <v>National Semiconductor</v>
      </c>
      <c r="C1610" s="6">
        <v>672</v>
      </c>
      <c r="D1610" s="7">
        <v>3.9</v>
      </c>
      <c r="E1610" t="s">
        <v>47</v>
      </c>
    </row>
    <row r="1611" spans="1:5" x14ac:dyDescent="0.25">
      <c r="A1611" t="str">
        <f>HYPERLINK("https://www.773grp.com/globalSearch/LMC7211AIM5X/page-1", "LMC7211AIM5X")</f>
        <v>LMC7211AIM5X</v>
      </c>
      <c r="B1611" s="3" t="str">
        <f>HYPERLINK("https://www.773grp.com/manufacturer/national-semiconductor?pageNo=2", "National Semiconductor")</f>
        <v>National Semiconductor</v>
      </c>
      <c r="C1611" s="6">
        <v>6000</v>
      </c>
      <c r="D1611" s="7">
        <v>3.9</v>
      </c>
      <c r="E1611" t="s">
        <v>9</v>
      </c>
    </row>
    <row r="1612" spans="1:5" x14ac:dyDescent="0.25">
      <c r="A1612" t="str">
        <f>HYPERLINK("https://www.773grp.com/globalSearch/LMC7221AIM5/page-1", "LMC7221AIM5")</f>
        <v>LMC7221AIM5</v>
      </c>
      <c r="B1612" s="3" t="str">
        <f>HYPERLINK("https://www.773grp.com/manufacturer/national-semiconductor?pageNo=3", "National Semiconductor")</f>
        <v>National Semiconductor</v>
      </c>
      <c r="C1612" s="6">
        <v>3000</v>
      </c>
      <c r="D1612" s="7">
        <v>3.9</v>
      </c>
      <c r="E1612" t="s">
        <v>9</v>
      </c>
    </row>
    <row r="1613" spans="1:5" x14ac:dyDescent="0.25">
      <c r="A1613" t="str">
        <f>HYPERLINK("https://www.773grp.com/globalSearch/LMC7221AIM5X/page-1", "LMC7221AIM5X")</f>
        <v>LMC7221AIM5X</v>
      </c>
      <c r="B1613" s="3" t="str">
        <f>HYPERLINK("https://www.773grp.com/manufacturer/national-semiconductor?pageNo=4", "National Semiconductor")</f>
        <v>National Semiconductor</v>
      </c>
      <c r="C1613" s="6">
        <v>6000</v>
      </c>
      <c r="D1613" s="7">
        <v>3.9</v>
      </c>
      <c r="E1613" t="s">
        <v>9</v>
      </c>
    </row>
    <row r="1614" spans="1:5" x14ac:dyDescent="0.25">
      <c r="A1614" t="str">
        <f>HYPERLINK("https://www.773grp.com/globalSearch/LP38690SD-1.8/page-1", "LP38690SD-1.8")</f>
        <v>LP38690SD-1.8</v>
      </c>
      <c r="B1614" s="3" t="str">
        <f>HYPERLINK("https://www.773grp.com/manufacturer/national-semiconductor?pageNo=5", "National Semiconductor")</f>
        <v>National Semiconductor</v>
      </c>
      <c r="C1614" s="6">
        <v>1000</v>
      </c>
      <c r="D1614" s="7">
        <v>3.9</v>
      </c>
      <c r="E1614" t="s">
        <v>19</v>
      </c>
    </row>
    <row r="1615" spans="1:5" x14ac:dyDescent="0.25">
      <c r="A1615" t="str">
        <f>HYPERLINK("https://www.773grp.com/globalSearch/LP38690SD-2.5/page-1", "LP38690SD-2.5")</f>
        <v>LP38690SD-2.5</v>
      </c>
      <c r="B1615" s="3" t="str">
        <f>HYPERLINK("https://www.773grp.com/manufacturer/national-semiconductor?pageNo=6", "National Semiconductor")</f>
        <v>National Semiconductor</v>
      </c>
      <c r="C1615" s="6">
        <v>1058</v>
      </c>
      <c r="D1615" s="7">
        <v>3.9</v>
      </c>
      <c r="E1615" t="s">
        <v>19</v>
      </c>
    </row>
    <row r="1616" spans="1:5" x14ac:dyDescent="0.25">
      <c r="A1616" t="str">
        <f>HYPERLINK("https://www.773grp.com/globalSearch/LP38690SDX-2.5/page-1", "LP38690SDX-2.5")</f>
        <v>LP38690SDX-2.5</v>
      </c>
      <c r="B1616" s="3" t="str">
        <f>HYPERLINK("https://www.773grp.com/manufacturer/national-semiconductor?pageNo=7", "National Semiconductor")</f>
        <v>National Semiconductor</v>
      </c>
      <c r="C1616" s="6">
        <v>4500</v>
      </c>
      <c r="D1616" s="7">
        <v>3.9</v>
      </c>
      <c r="E1616" t="s">
        <v>19</v>
      </c>
    </row>
    <row r="1617" spans="1:5" x14ac:dyDescent="0.25">
      <c r="A1617" t="str">
        <f>HYPERLINK("https://www.773grp.com/globalSearch/LP38692MP-2.5/page-1", "LP38692MP-2.5")</f>
        <v>LP38692MP-2.5</v>
      </c>
      <c r="B1617" s="3" t="str">
        <f>HYPERLINK("https://www.773grp.com/manufacturer/national-semiconductor?pageNo=8", "National Semiconductor")</f>
        <v>National Semiconductor</v>
      </c>
      <c r="C1617" s="6">
        <v>979</v>
      </c>
      <c r="D1617" s="7">
        <v>3.9</v>
      </c>
      <c r="E1617" t="s">
        <v>19</v>
      </c>
    </row>
    <row r="1618" spans="1:5" x14ac:dyDescent="0.25">
      <c r="A1618" t="str">
        <f>HYPERLINK("https://www.773grp.com/globalSearch/LP38692MP-5.0/page-1", "LP38692MP-5.0")</f>
        <v>LP38692MP-5.0</v>
      </c>
      <c r="B1618" s="3" t="str">
        <f>HYPERLINK("https://www.773grp.com/manufacturer/national-semiconductor?pageNo=9", "National Semiconductor")</f>
        <v>National Semiconductor</v>
      </c>
      <c r="C1618" s="6">
        <v>1000</v>
      </c>
      <c r="D1618" s="7">
        <v>3.9</v>
      </c>
      <c r="E1618" t="s">
        <v>19</v>
      </c>
    </row>
    <row r="1619" spans="1:5" x14ac:dyDescent="0.25">
      <c r="A1619" t="str">
        <f>HYPERLINK("https://www.773grp.com/globalSearch/LP38692MP-ADJ/page-1", "LP38692MP-ADJ")</f>
        <v>LP38692MP-ADJ</v>
      </c>
      <c r="B1619" s="3" t="str">
        <f>HYPERLINK("https://www.773grp.com/manufacturer/national-semiconductor?pageNo=10", "National Semiconductor")</f>
        <v>National Semiconductor</v>
      </c>
      <c r="C1619" s="6">
        <v>438</v>
      </c>
      <c r="D1619" s="7">
        <v>3.9</v>
      </c>
      <c r="E1619" t="s">
        <v>25</v>
      </c>
    </row>
    <row r="1620" spans="1:5" x14ac:dyDescent="0.25">
      <c r="A1620" t="str">
        <f>HYPERLINK("https://www.773grp.com/globalSearch/LM1085IT-12-NOPB/page-1", "LM1085IT-12-NOPB")</f>
        <v>LM1085IT-12-NOPB</v>
      </c>
      <c r="B1620" s="3" t="str">
        <f>HYPERLINK("https://www.773grp.com/manufacturer/national-semiconductor?pageNo=11", "National Semiconductor")</f>
        <v>National Semiconductor</v>
      </c>
      <c r="C1620" s="6">
        <v>250</v>
      </c>
      <c r="D1620" s="7">
        <v>3.9</v>
      </c>
      <c r="E1620" t="s">
        <v>19</v>
      </c>
    </row>
    <row r="1621" spans="1:5" x14ac:dyDescent="0.25">
      <c r="A1621" t="str">
        <f>HYPERLINK("https://www.773grp.com/globalSearch/LM1085IT-3.3-NOPB/page-1", "LM1085IT-3.3-NOPB")</f>
        <v>LM1085IT-3.3-NOPB</v>
      </c>
      <c r="B1621" s="3" t="str">
        <f>HYPERLINK("https://www.773grp.com/manufacturer/national-semiconductor?pageNo=12", "National Semiconductor")</f>
        <v>National Semiconductor</v>
      </c>
      <c r="C1621" s="6">
        <v>248</v>
      </c>
      <c r="D1621" s="7">
        <v>3.9</v>
      </c>
      <c r="E1621" t="s">
        <v>19</v>
      </c>
    </row>
    <row r="1622" spans="1:5" x14ac:dyDescent="0.25">
      <c r="A1622" t="str">
        <f>HYPERLINK("https://www.773grp.com/globalSearch/LM1085IT-5.0-NOPB/page-1", "LM1085IT-5.0-NOPB")</f>
        <v>LM1085IT-5.0-NOPB</v>
      </c>
      <c r="B1622" s="3" t="str">
        <f>HYPERLINK("https://www.773grp.com/manufacturer/national-semiconductor?pageNo=13", "National Semiconductor")</f>
        <v>National Semiconductor</v>
      </c>
      <c r="C1622" s="6">
        <v>250</v>
      </c>
      <c r="D1622" s="7">
        <v>3.9</v>
      </c>
    </row>
    <row r="1623" spans="1:5" x14ac:dyDescent="0.25">
      <c r="A1623" t="str">
        <f>HYPERLINK("https://www.773grp.com/globalSearch/LM1085IT-ADJ-NOPB/page-1", "LM1085IT-ADJ-NOPB")</f>
        <v>LM1085IT-ADJ-NOPB</v>
      </c>
      <c r="B1623" s="3" t="str">
        <f>HYPERLINK("https://www.773grp.com/manufacturer/national-semiconductor?pageNo=14", "National Semiconductor")</f>
        <v>National Semiconductor</v>
      </c>
      <c r="C1623" s="6">
        <v>232</v>
      </c>
      <c r="D1623" s="7">
        <v>3.9</v>
      </c>
      <c r="E1623" t="s">
        <v>25</v>
      </c>
    </row>
    <row r="1624" spans="1:5" x14ac:dyDescent="0.25">
      <c r="A1624" t="str">
        <f>HYPERLINK("https://www.773grp.com/globalSearch/LM2751SD-A-NOPB/page-1", "LM2751SD-A-NOPB")</f>
        <v>LM2751SD-A-NOPB</v>
      </c>
      <c r="B1624" s="3" t="str">
        <f>HYPERLINK("https://www.773grp.com/manufacturer/national-semiconductor?pageNo=15", "National Semiconductor")</f>
        <v>National Semiconductor</v>
      </c>
      <c r="C1624" s="6">
        <v>3000</v>
      </c>
      <c r="D1624" s="7">
        <v>3.9</v>
      </c>
      <c r="E1624" t="s">
        <v>10</v>
      </c>
    </row>
    <row r="1625" spans="1:5" x14ac:dyDescent="0.25">
      <c r="A1625" t="str">
        <f>HYPERLINK("https://www.773grp.com/globalSearch/LM2794TL-NOPB/page-1", "LM2794TL-NOPB")</f>
        <v>LM2794TL-NOPB</v>
      </c>
      <c r="B1625" s="3" t="str">
        <f>HYPERLINK("https://www.773grp.com/manufacturer/national-semiconductor?pageNo=16", "National Semiconductor")</f>
        <v>National Semiconductor</v>
      </c>
      <c r="C1625" s="6">
        <v>250</v>
      </c>
      <c r="D1625" s="7">
        <v>3.9</v>
      </c>
    </row>
    <row r="1626" spans="1:5" x14ac:dyDescent="0.25">
      <c r="A1626" t="str">
        <f>HYPERLINK("https://www.773grp.com/globalSearch/LM3519MK-20-NOPB/page-1", "LM3519MK-20-NOPB")</f>
        <v>LM3519MK-20-NOPB</v>
      </c>
      <c r="B1626" s="3" t="str">
        <f>HYPERLINK("https://www.773grp.com/manufacturer/national-semiconductor?pageNo=17", "National Semiconductor")</f>
        <v>National Semiconductor</v>
      </c>
      <c r="C1626" s="6">
        <v>5000</v>
      </c>
      <c r="D1626" s="7">
        <v>3.9</v>
      </c>
    </row>
    <row r="1627" spans="1:5" x14ac:dyDescent="0.25">
      <c r="A1627" t="str">
        <f>HYPERLINK("https://www.773grp.com/globalSearch/LM3524DN/page-1", "LM3524DN")</f>
        <v>LM3524DN</v>
      </c>
      <c r="B1627" s="3" t="str">
        <f>HYPERLINK("https://www.773grp.com/manufacturer/national-semiconductor?pageNo=18", "National Semiconductor")</f>
        <v>National Semiconductor</v>
      </c>
      <c r="C1627" s="6">
        <v>315</v>
      </c>
      <c r="D1627" s="7">
        <v>3.9</v>
      </c>
      <c r="E1627" t="s">
        <v>7</v>
      </c>
    </row>
    <row r="1628" spans="1:5" x14ac:dyDescent="0.25">
      <c r="A1628" t="str">
        <f>HYPERLINK("https://www.773grp.com/globalSearch/LM4128CQ1MF3.3-NOPB/page-1", "LM4128CQ1MF3.3-NOPB")</f>
        <v>LM4128CQ1MF3.3-NOPB</v>
      </c>
      <c r="B1628" s="3" t="str">
        <f>HYPERLINK("https://www.773grp.com/manufacturer/national-semiconductor?pageNo=19", "National Semiconductor")</f>
        <v>National Semiconductor</v>
      </c>
      <c r="C1628" s="6">
        <v>17941</v>
      </c>
      <c r="D1628" s="7">
        <v>3.9</v>
      </c>
    </row>
    <row r="1629" spans="1:5" x14ac:dyDescent="0.25">
      <c r="A1629" t="str">
        <f>HYPERLINK("https://www.773grp.com/globalSearch/LM4128CQ1MF4.1-NOPB/page-1", "LM4128CQ1MF4.1-NOPB")</f>
        <v>LM4128CQ1MF4.1-NOPB</v>
      </c>
      <c r="B1629" s="3" t="str">
        <f>HYPERLINK("https://www.773grp.com/manufacturer/national-semiconductor?pageNo=20", "National Semiconductor")</f>
        <v>National Semiconductor</v>
      </c>
      <c r="C1629" s="6">
        <v>1968</v>
      </c>
      <c r="D1629" s="7">
        <v>3.9</v>
      </c>
    </row>
    <row r="1630" spans="1:5" x14ac:dyDescent="0.25">
      <c r="A1630" t="str">
        <f>HYPERLINK("https://www.773grp.com/globalSearch/LM45BIM3/page-1", "LM45BIM3")</f>
        <v>LM45BIM3</v>
      </c>
      <c r="B1630" s="3" t="str">
        <f>HYPERLINK("https://www.773grp.com/manufacturer/national-semiconductor?pageNo=21", "National Semiconductor")</f>
        <v>National Semiconductor</v>
      </c>
      <c r="C1630" s="6">
        <v>5272</v>
      </c>
      <c r="D1630" s="7">
        <v>3.9</v>
      </c>
    </row>
    <row r="1631" spans="1:5" x14ac:dyDescent="0.25">
      <c r="A1631" t="str">
        <f>HYPERLINK("https://www.773grp.com/globalSearch/LM4880M/page-1", "LM4880M")</f>
        <v>LM4880M</v>
      </c>
      <c r="B1631" s="3" t="str">
        <f>HYPERLINK("https://www.773grp.com/manufacturer/national-semiconductor?pageNo=22", "National Semiconductor")</f>
        <v>National Semiconductor</v>
      </c>
      <c r="C1631" s="6">
        <v>9025</v>
      </c>
      <c r="D1631" s="7">
        <v>3.9</v>
      </c>
    </row>
    <row r="1632" spans="1:5" x14ac:dyDescent="0.25">
      <c r="A1632" t="str">
        <f>HYPERLINK("https://www.773grp.com/globalSearch/LM75CIMM-3/page-1", "LM75CIMM-3")</f>
        <v>LM75CIMM-3</v>
      </c>
      <c r="B1632" s="3" t="str">
        <f>HYPERLINK("https://www.773grp.com/manufacturer/national-semiconductor?pageNo=23", "National Semiconductor")</f>
        <v>National Semiconductor</v>
      </c>
      <c r="C1632" s="6">
        <v>4000</v>
      </c>
      <c r="D1632" s="7">
        <v>3.9</v>
      </c>
      <c r="E1632" t="s">
        <v>12</v>
      </c>
    </row>
    <row r="1633" spans="1:5" x14ac:dyDescent="0.25">
      <c r="A1633" t="str">
        <f>HYPERLINK("https://www.773grp.com/globalSearch/LMC660CMX-NOPB/page-1", "LMC660CMX-NOPB")</f>
        <v>LMC660CMX-NOPB</v>
      </c>
      <c r="B1633" s="3" t="str">
        <f>HYPERLINK("https://www.773grp.com/manufacturer/national-semiconductor?pageNo=24", "National Semiconductor")</f>
        <v>National Semiconductor</v>
      </c>
      <c r="C1633" s="6">
        <v>5000</v>
      </c>
      <c r="D1633" s="7">
        <v>3.9</v>
      </c>
    </row>
    <row r="1634" spans="1:5" x14ac:dyDescent="0.25">
      <c r="A1634" t="str">
        <f>HYPERLINK("https://www.773grp.com/globalSearch/LMC7211AIM5X/page-1", "LMC7211AIM5X")</f>
        <v>LMC7211AIM5X</v>
      </c>
      <c r="B1634" s="3" t="str">
        <f>HYPERLINK("https://www.773grp.com/manufacturer/national-semiconductor?pageNo=25", "National Semiconductor")</f>
        <v>National Semiconductor</v>
      </c>
      <c r="C1634" s="6">
        <v>3000</v>
      </c>
      <c r="D1634" s="7">
        <v>3.9</v>
      </c>
      <c r="E1634" t="s">
        <v>9</v>
      </c>
    </row>
    <row r="1635" spans="1:5" x14ac:dyDescent="0.25">
      <c r="A1635" t="str">
        <f>HYPERLINK("https://www.773grp.com/globalSearch/LMC7221AIM5/page-1", "LMC7221AIM5")</f>
        <v>LMC7221AIM5</v>
      </c>
      <c r="B1635" s="3" t="str">
        <f>HYPERLINK("https://www.773grp.com/manufacturer/national-semiconductor?pageNo=26", "National Semiconductor")</f>
        <v>National Semiconductor</v>
      </c>
      <c r="C1635" s="6">
        <v>4000</v>
      </c>
      <c r="D1635" s="7">
        <v>3.9</v>
      </c>
      <c r="E1635" t="s">
        <v>9</v>
      </c>
    </row>
    <row r="1636" spans="1:5" x14ac:dyDescent="0.25">
      <c r="A1636" t="str">
        <f>HYPERLINK("https://www.773grp.com/globalSearch/LMV761MF/page-1", "LMV761MF")</f>
        <v>LMV761MF</v>
      </c>
      <c r="B1636" s="3" t="str">
        <f>HYPERLINK("https://www.773grp.com/manufacturer/national-semiconductor?pageNo=27", "National Semiconductor")</f>
        <v>National Semiconductor</v>
      </c>
      <c r="C1636" s="6">
        <v>834</v>
      </c>
      <c r="D1636" s="7">
        <v>3.9</v>
      </c>
    </row>
    <row r="1637" spans="1:5" x14ac:dyDescent="0.25">
      <c r="A1637" t="str">
        <f>HYPERLINK("https://www.773grp.com/globalSearch/LP38690SD-1.8/page-1", "LP38690SD-1.8")</f>
        <v>LP38690SD-1.8</v>
      </c>
      <c r="B1637" s="3" t="str">
        <f>HYPERLINK("https://www.773grp.com/manufacturer/national-semiconductor?pageNo=28", "National Semiconductor")</f>
        <v>National Semiconductor</v>
      </c>
      <c r="C1637" s="6">
        <v>4990</v>
      </c>
      <c r="D1637" s="7">
        <v>3.9</v>
      </c>
      <c r="E1637" t="s">
        <v>19</v>
      </c>
    </row>
    <row r="1638" spans="1:5" x14ac:dyDescent="0.25">
      <c r="A1638" t="str">
        <f>HYPERLINK("https://www.773grp.com/globalSearch/LP38690SD-2.5/page-1", "LP38690SD-2.5")</f>
        <v>LP38690SD-2.5</v>
      </c>
      <c r="B1638" s="3" t="str">
        <f>HYPERLINK("https://www.773grp.com/manufacturer/national-semiconductor?pageNo=29", "National Semiconductor")</f>
        <v>National Semiconductor</v>
      </c>
      <c r="C1638" s="6">
        <v>4000</v>
      </c>
      <c r="D1638" s="7">
        <v>3.9</v>
      </c>
      <c r="E1638" t="s">
        <v>19</v>
      </c>
    </row>
    <row r="1639" spans="1:5" x14ac:dyDescent="0.25">
      <c r="A1639" t="str">
        <f>HYPERLINK("https://www.773grp.com/globalSearch/LP38692MP-3.3/page-1", "LP38692MP-3.3")</f>
        <v>LP38692MP-3.3</v>
      </c>
      <c r="B1639" s="3" t="str">
        <f>HYPERLINK("https://www.773grp.com/manufacturer/national-semiconductor?pageNo=30", "National Semiconductor")</f>
        <v>National Semiconductor</v>
      </c>
      <c r="C1639" s="6">
        <v>3000</v>
      </c>
      <c r="D1639" s="7">
        <v>3.9</v>
      </c>
    </row>
    <row r="1640" spans="1:5" x14ac:dyDescent="0.25">
      <c r="A1640" t="str">
        <f>HYPERLINK("https://www.773grp.com/globalSearch/LP38692MP-5.0/page-1", "LP38692MP-5.0")</f>
        <v>LP38692MP-5.0</v>
      </c>
      <c r="B1640" s="3" t="str">
        <f>HYPERLINK("https://www.773grp.com/manufacturer/national-semiconductor?pageNo=31", "National Semiconductor")</f>
        <v>National Semiconductor</v>
      </c>
      <c r="C1640" s="6">
        <v>18000</v>
      </c>
      <c r="D1640" s="7">
        <v>3.9</v>
      </c>
      <c r="E1640" t="s">
        <v>19</v>
      </c>
    </row>
    <row r="1641" spans="1:5" x14ac:dyDescent="0.25">
      <c r="A1641" t="str">
        <f>HYPERLINK("https://www.773grp.com/globalSearch/LP38692SD-ADJ/page-1", "LP38692SD-ADJ")</f>
        <v>LP38692SD-ADJ</v>
      </c>
      <c r="B1641" s="3" t="str">
        <f>HYPERLINK("https://www.773grp.com/manufacturer/national-semiconductor?pageNo=32", "National Semiconductor")</f>
        <v>National Semiconductor</v>
      </c>
      <c r="C1641" s="6">
        <v>9000</v>
      </c>
      <c r="D1641" s="7">
        <v>3.9</v>
      </c>
    </row>
    <row r="1642" spans="1:5" x14ac:dyDescent="0.25">
      <c r="A1642" t="str">
        <f>HYPERLINK("https://www.773grp.com/globalSearch/SM72482MA-4-NOPB/page-1", "SM72482MA-4-NOPB")</f>
        <v>SM72482MA-4-NOPB</v>
      </c>
      <c r="B1642" s="3" t="str">
        <f>HYPERLINK("https://www.773grp.com/manufacturer/national-semiconductor?pageNo=33", "National Semiconductor")</f>
        <v>National Semiconductor</v>
      </c>
      <c r="C1642" s="6">
        <v>300</v>
      </c>
      <c r="D1642" s="7">
        <v>3.9</v>
      </c>
    </row>
    <row r="1643" spans="1:5" x14ac:dyDescent="0.25">
      <c r="A1643" t="str">
        <f>HYPERLINK("https://www.773grp.com/globalSearch/74LS323SC/page-1", "74LS323SC")</f>
        <v>74LS323SC</v>
      </c>
      <c r="B1643" s="3" t="str">
        <f>HYPERLINK("https://www.773grp.com/manufacturer/national-semiconductor?pageNo=34", "National Semiconductor")</f>
        <v>National Semiconductor</v>
      </c>
      <c r="C1643" s="6">
        <v>949</v>
      </c>
      <c r="D1643" s="7">
        <v>3.55</v>
      </c>
    </row>
    <row r="1644" spans="1:5" x14ac:dyDescent="0.25">
      <c r="A1644" t="str">
        <f>HYPERLINK("https://www.773grp.com/globalSearch/74LS323SCX/page-1", "74LS323SCX")</f>
        <v>74LS323SCX</v>
      </c>
      <c r="B1644" s="3" t="str">
        <f>HYPERLINK("https://www.773grp.com/manufacturer/national-semiconductor?pageNo=35", "National Semiconductor")</f>
        <v>National Semiconductor</v>
      </c>
      <c r="C1644" s="6">
        <v>1000</v>
      </c>
      <c r="D1644" s="7">
        <v>3.55</v>
      </c>
    </row>
    <row r="1645" spans="1:5" x14ac:dyDescent="0.25">
      <c r="A1645" t="str">
        <f>HYPERLINK("https://www.773grp.com/globalSearch/ADC0838CCN-NOPB/page-1", "ADC0838CCN-NOPB")</f>
        <v>ADC0838CCN-NOPB</v>
      </c>
      <c r="B1645" s="3" t="str">
        <f>HYPERLINK("https://www.773grp.com/manufacturer/national-semiconductor?pageNo=36", "National Semiconductor")</f>
        <v>National Semiconductor</v>
      </c>
      <c r="C1645" s="6">
        <v>25812</v>
      </c>
      <c r="D1645" s="7">
        <v>3.55</v>
      </c>
      <c r="E1645" t="s">
        <v>39</v>
      </c>
    </row>
    <row r="1646" spans="1:5" x14ac:dyDescent="0.25">
      <c r="A1646" t="str">
        <f>HYPERLINK("https://www.773grp.com/globalSearch/ADCS7477AIMF-NOPB/page-1", "ADCS7477AIMF-NOPB")</f>
        <v>ADCS7477AIMF-NOPB</v>
      </c>
      <c r="B1646" s="3" t="str">
        <f>HYPERLINK("https://www.773grp.com/manufacturer/national-semiconductor?pageNo=37", "National Semiconductor")</f>
        <v>National Semiconductor</v>
      </c>
      <c r="C1646" s="6">
        <v>1000</v>
      </c>
      <c r="D1646" s="7">
        <v>3.55</v>
      </c>
    </row>
    <row r="1647" spans="1:5" x14ac:dyDescent="0.25">
      <c r="A1647" t="str">
        <f>HYPERLINK("https://www.773grp.com/globalSearch/DS90C032BTM-NOPB/page-1", "DS90C032BTM-NOPB")</f>
        <v>DS90C032BTM-NOPB</v>
      </c>
      <c r="B1647" s="3" t="str">
        <f>HYPERLINK("https://www.773grp.com/manufacturer/national-semiconductor?pageNo=38", "National Semiconductor")</f>
        <v>National Semiconductor</v>
      </c>
      <c r="C1647" s="6">
        <v>311</v>
      </c>
      <c r="D1647" s="7">
        <v>3.55</v>
      </c>
      <c r="E1647" t="s">
        <v>21</v>
      </c>
    </row>
    <row r="1648" spans="1:5" x14ac:dyDescent="0.25">
      <c r="A1648" t="str">
        <f>HYPERLINK("https://www.773grp.com/globalSearch/DS90C032BTMX/page-1", "DS90C032BTMX")</f>
        <v>DS90C032BTMX</v>
      </c>
      <c r="B1648" s="3" t="str">
        <f>HYPERLINK("https://www.773grp.com/manufacturer/national-semiconductor?pageNo=39", "National Semiconductor")</f>
        <v>National Semiconductor</v>
      </c>
      <c r="C1648" s="6">
        <v>2500</v>
      </c>
      <c r="D1648" s="7">
        <v>3.55</v>
      </c>
      <c r="E1648" t="s">
        <v>21</v>
      </c>
    </row>
    <row r="1649" spans="1:5" x14ac:dyDescent="0.25">
      <c r="A1649" t="str">
        <f>HYPERLINK("https://www.773grp.com/globalSearch/LM1881N/page-1", "LM1881N")</f>
        <v>LM1881N</v>
      </c>
      <c r="B1649" s="3" t="str">
        <f>HYPERLINK("https://www.773grp.com/manufacturer/national-semiconductor?pageNo=40", "National Semiconductor")</f>
        <v>National Semiconductor</v>
      </c>
      <c r="C1649" s="6">
        <v>236</v>
      </c>
      <c r="D1649" s="7">
        <v>3.55</v>
      </c>
      <c r="E1649" t="s">
        <v>15</v>
      </c>
    </row>
    <row r="1650" spans="1:5" x14ac:dyDescent="0.25">
      <c r="A1650" t="str">
        <f>HYPERLINK("https://www.773grp.com/globalSearch/LM25115MT-NOPB/page-1", "LM25115MT-NOPB")</f>
        <v>LM25115MT-NOPB</v>
      </c>
      <c r="B1650" s="3" t="str">
        <f>HYPERLINK("https://www.773grp.com/manufacturer/national-semiconductor?pageNo=41", "National Semiconductor")</f>
        <v>National Semiconductor</v>
      </c>
      <c r="C1650" s="6">
        <v>165</v>
      </c>
      <c r="D1650" s="7">
        <v>3.55</v>
      </c>
    </row>
    <row r="1651" spans="1:5" x14ac:dyDescent="0.25">
      <c r="A1651" t="str">
        <f>HYPERLINK("https://www.773grp.com/globalSearch/LM3502ITL-16-NOPB/page-1", "LM3502ITL-16-NOPB")</f>
        <v>LM3502ITL-16-NOPB</v>
      </c>
      <c r="B1651" s="3" t="str">
        <f>HYPERLINK("https://www.773grp.com/manufacturer/national-semiconductor?pageNo=42", "National Semiconductor")</f>
        <v>National Semiconductor</v>
      </c>
      <c r="C1651" s="6">
        <v>1238</v>
      </c>
      <c r="D1651" s="7">
        <v>3.55</v>
      </c>
    </row>
    <row r="1652" spans="1:5" x14ac:dyDescent="0.25">
      <c r="A1652" t="str">
        <f>HYPERLINK("https://www.773grp.com/globalSearch/LM3502ITL-25-NOPB/page-1", "LM3502ITL-25-NOPB")</f>
        <v>LM3502ITL-25-NOPB</v>
      </c>
      <c r="B1652" s="3" t="str">
        <f>HYPERLINK("https://www.773grp.com/manufacturer/national-semiconductor?pageNo=43", "National Semiconductor")</f>
        <v>National Semiconductor</v>
      </c>
      <c r="C1652" s="6">
        <v>247</v>
      </c>
      <c r="D1652" s="7">
        <v>3.55</v>
      </c>
    </row>
    <row r="1653" spans="1:5" x14ac:dyDescent="0.25">
      <c r="A1653" t="str">
        <f>HYPERLINK("https://www.773grp.com/globalSearch/LM63CIMA-NOPB/page-1", "LM63CIMA-NOPB")</f>
        <v>LM63CIMA-NOPB</v>
      </c>
      <c r="B1653" s="3" t="str">
        <f>HYPERLINK("https://www.773grp.com/manufacturer/national-semiconductor?pageNo=44", "National Semiconductor")</f>
        <v>National Semiconductor</v>
      </c>
      <c r="C1653" s="6">
        <v>2488</v>
      </c>
      <c r="D1653" s="7">
        <v>3.55</v>
      </c>
      <c r="E1653" t="s">
        <v>12</v>
      </c>
    </row>
    <row r="1654" spans="1:5" x14ac:dyDescent="0.25">
      <c r="A1654" t="str">
        <f>HYPERLINK("https://www.773grp.com/globalSearch/LM7171BIM-NOPB/page-1", "LM7171BIM-NOPB")</f>
        <v>LM7171BIM-NOPB</v>
      </c>
      <c r="B1654" s="3" t="str">
        <f>HYPERLINK("https://www.773grp.com/manufacturer/national-semiconductor?pageNo=45", "National Semiconductor")</f>
        <v>National Semiconductor</v>
      </c>
      <c r="C1654" s="6">
        <v>2190</v>
      </c>
      <c r="D1654" s="7">
        <v>3.55</v>
      </c>
      <c r="E1654" t="s">
        <v>13</v>
      </c>
    </row>
    <row r="1655" spans="1:5" x14ac:dyDescent="0.25">
      <c r="A1655" t="str">
        <f>HYPERLINK("https://www.773grp.com/globalSearch/LMP7731MA-NOPB/page-1", "LMP7731MA-NOPB")</f>
        <v>LMP7731MA-NOPB</v>
      </c>
      <c r="B1655" s="3" t="str">
        <f>HYPERLINK("https://www.773grp.com/manufacturer/national-semiconductor?pageNo=46", "National Semiconductor")</f>
        <v>National Semiconductor</v>
      </c>
      <c r="C1655" s="6">
        <v>1110</v>
      </c>
      <c r="D1655" s="7">
        <v>3.55</v>
      </c>
    </row>
    <row r="1656" spans="1:5" x14ac:dyDescent="0.25">
      <c r="A1656" t="str">
        <f>HYPERLINK("https://www.773grp.com/globalSearch/LP38852MR-ADJ-NOPB/page-1", "LP38852MR-ADJ-NOPB")</f>
        <v>LP38852MR-ADJ-NOPB</v>
      </c>
      <c r="B1656" s="3" t="str">
        <f>HYPERLINK("https://www.773grp.com/manufacturer/national-semiconductor?pageNo=47", "National Semiconductor")</f>
        <v>National Semiconductor</v>
      </c>
      <c r="C1656" s="6">
        <v>295</v>
      </c>
      <c r="D1656" s="7">
        <v>3.55</v>
      </c>
    </row>
    <row r="1657" spans="1:5" x14ac:dyDescent="0.25">
      <c r="A1657" t="str">
        <f>HYPERLINK("https://www.773grp.com/globalSearch/LP38852S-ADJ-NOPB/page-1", "LP38852S-ADJ-NOPB")</f>
        <v>LP38852S-ADJ-NOPB</v>
      </c>
      <c r="B1657" s="3" t="str">
        <f>HYPERLINK("https://www.773grp.com/manufacturer/national-semiconductor?pageNo=48", "National Semiconductor")</f>
        <v>National Semiconductor</v>
      </c>
      <c r="C1657" s="6">
        <v>90</v>
      </c>
      <c r="D1657" s="7">
        <v>3.55</v>
      </c>
    </row>
    <row r="1658" spans="1:5" x14ac:dyDescent="0.25">
      <c r="A1658" t="str">
        <f>HYPERLINK("https://www.773grp.com/globalSearch/ADC0838CCN-NOPB/page-1", "ADC0838CCN-NOPB")</f>
        <v>ADC0838CCN-NOPB</v>
      </c>
      <c r="B1658" s="3" t="str">
        <f>HYPERLINK("https://www.773grp.com/manufacturer/national-semiconductor?pageNo=49", "National Semiconductor")</f>
        <v>National Semiconductor</v>
      </c>
      <c r="C1658" s="6">
        <v>144</v>
      </c>
      <c r="D1658" s="7">
        <v>3.55</v>
      </c>
      <c r="E1658" t="s">
        <v>39</v>
      </c>
    </row>
    <row r="1659" spans="1:5" x14ac:dyDescent="0.25">
      <c r="A1659" t="str">
        <f>HYPERLINK("https://www.773grp.com/globalSearch/ADCS7477AIMF-NOPB/page-1", "ADCS7477AIMF-NOPB")</f>
        <v>ADCS7477AIMF-NOPB</v>
      </c>
      <c r="B1659" s="3" t="str">
        <f>HYPERLINK("https://www.773grp.com/manufacturer/national-semiconductor?pageNo=50", "National Semiconductor")</f>
        <v>National Semiconductor</v>
      </c>
      <c r="C1659" s="6">
        <v>3000</v>
      </c>
      <c r="D1659" s="7">
        <v>3.55</v>
      </c>
    </row>
    <row r="1660" spans="1:5" x14ac:dyDescent="0.25">
      <c r="A1660" t="str">
        <f>HYPERLINK("https://www.773grp.com/globalSearch/ADCS7477AIMFX-NOPB/page-1", "ADCS7477AIMFX-NOPB")</f>
        <v>ADCS7477AIMFX-NOPB</v>
      </c>
      <c r="B1660" s="3" t="str">
        <f>HYPERLINK("https://www.773grp.com/manufacturer/national-semiconductor?pageNo=51", "National Semiconductor")</f>
        <v>National Semiconductor</v>
      </c>
      <c r="C1660" s="6">
        <v>6000</v>
      </c>
      <c r="D1660" s="7">
        <v>3.55</v>
      </c>
    </row>
    <row r="1661" spans="1:5" x14ac:dyDescent="0.25">
      <c r="A1661" t="str">
        <f>HYPERLINK("https://www.773grp.com/globalSearch/DS90C032BTM-NOPB/page-1", "DS90C032BTM-NOPB")</f>
        <v>DS90C032BTM-NOPB</v>
      </c>
      <c r="B1661" s="3" t="str">
        <f>HYPERLINK("https://www.773grp.com/manufacturer/national-semiconductor?pageNo=52", "National Semiconductor")</f>
        <v>National Semiconductor</v>
      </c>
      <c r="C1661" s="6">
        <v>242</v>
      </c>
      <c r="D1661" s="7">
        <v>3.55</v>
      </c>
      <c r="E1661" t="s">
        <v>21</v>
      </c>
    </row>
    <row r="1662" spans="1:5" x14ac:dyDescent="0.25">
      <c r="A1662" t="str">
        <f>HYPERLINK("https://www.773grp.com/globalSearch/LM1881N/page-1", "LM1881N")</f>
        <v>LM1881N</v>
      </c>
      <c r="B1662" s="3" t="str">
        <f>HYPERLINK("https://www.773grp.com/manufacturer/national-semiconductor?pageNo=53", "National Semiconductor")</f>
        <v>National Semiconductor</v>
      </c>
      <c r="C1662" s="6">
        <v>4600</v>
      </c>
      <c r="D1662" s="7">
        <v>3.55</v>
      </c>
      <c r="E1662" t="s">
        <v>15</v>
      </c>
    </row>
    <row r="1663" spans="1:5" x14ac:dyDescent="0.25">
      <c r="A1663" t="str">
        <f>HYPERLINK("https://www.773grp.com/globalSearch/LM25115MT-NOPB/page-1", "LM25115MT-NOPB")</f>
        <v>LM25115MT-NOPB</v>
      </c>
      <c r="B1663" s="3" t="str">
        <f>HYPERLINK("https://www.773grp.com/manufacturer/national-semiconductor?pageNo=54", "National Semiconductor")</f>
        <v>National Semiconductor</v>
      </c>
      <c r="C1663" s="6">
        <v>123</v>
      </c>
      <c r="D1663" s="7">
        <v>3.55</v>
      </c>
    </row>
    <row r="1664" spans="1:5" x14ac:dyDescent="0.25">
      <c r="A1664" t="str">
        <f>HYPERLINK("https://www.773grp.com/globalSearch/LM3502ITL-16-NOPB/page-1", "LM3502ITL-16-NOPB")</f>
        <v>LM3502ITL-16-NOPB</v>
      </c>
      <c r="B1664" s="3" t="str">
        <f>HYPERLINK("https://www.773grp.com/manufacturer/national-semiconductor?pageNo=55", "National Semiconductor")</f>
        <v>National Semiconductor</v>
      </c>
      <c r="C1664" s="6">
        <v>250</v>
      </c>
      <c r="D1664" s="7">
        <v>3.55</v>
      </c>
    </row>
    <row r="1665" spans="1:5" x14ac:dyDescent="0.25">
      <c r="A1665" t="str">
        <f>HYPERLINK("https://www.773grp.com/globalSearch/LM3502ITL-25-NOPB/page-1", "LM3502ITL-25-NOPB")</f>
        <v>LM3502ITL-25-NOPB</v>
      </c>
      <c r="B1665" s="3" t="str">
        <f>HYPERLINK("https://www.773grp.com/manufacturer/national-semiconductor?pageNo=56", "National Semiconductor")</f>
        <v>National Semiconductor</v>
      </c>
      <c r="C1665" s="6">
        <v>250</v>
      </c>
      <c r="D1665" s="7">
        <v>3.55</v>
      </c>
    </row>
    <row r="1666" spans="1:5" x14ac:dyDescent="0.25">
      <c r="A1666" t="str">
        <f>HYPERLINK("https://www.773grp.com/globalSearch/LM3502ITL-44-NOPB/page-1", "LM3502ITL-44-NOPB")</f>
        <v>LM3502ITL-44-NOPB</v>
      </c>
      <c r="B1666" s="3" t="str">
        <f>HYPERLINK("https://www.773grp.com/manufacturer/national-semiconductor?pageNo=57", "National Semiconductor")</f>
        <v>National Semiconductor</v>
      </c>
      <c r="C1666" s="6">
        <v>250</v>
      </c>
      <c r="D1666" s="7">
        <v>3.55</v>
      </c>
    </row>
    <row r="1667" spans="1:5" x14ac:dyDescent="0.25">
      <c r="A1667" t="str">
        <f>HYPERLINK("https://www.773grp.com/globalSearch/LM63CIMA-NOPB/page-1", "LM63CIMA-NOPB")</f>
        <v>LM63CIMA-NOPB</v>
      </c>
      <c r="B1667" s="3" t="str">
        <f>HYPERLINK("https://www.773grp.com/manufacturer/national-semiconductor?pageNo=58", "National Semiconductor")</f>
        <v>National Semiconductor</v>
      </c>
      <c r="C1667" s="6">
        <v>324</v>
      </c>
      <c r="D1667" s="7">
        <v>3.55</v>
      </c>
      <c r="E1667" t="s">
        <v>12</v>
      </c>
    </row>
    <row r="1668" spans="1:5" x14ac:dyDescent="0.25">
      <c r="A1668" t="str">
        <f>HYPERLINK("https://www.773grp.com/globalSearch/LM7171BIM-NOPB/page-1", "LM7171BIM-NOPB")</f>
        <v>LM7171BIM-NOPB</v>
      </c>
      <c r="B1668" s="3" t="str">
        <f>HYPERLINK("https://www.773grp.com/manufacturer/national-semiconductor?pageNo=59", "National Semiconductor")</f>
        <v>National Semiconductor</v>
      </c>
      <c r="C1668" s="6">
        <v>13089</v>
      </c>
      <c r="D1668" s="7">
        <v>3.55</v>
      </c>
      <c r="E1668" t="s">
        <v>13</v>
      </c>
    </row>
    <row r="1669" spans="1:5" x14ac:dyDescent="0.25">
      <c r="A1669" t="str">
        <f>HYPERLINK("https://www.773grp.com/globalSearch/LM7171BIN/page-1", "LM7171BIN")</f>
        <v>LM7171BIN</v>
      </c>
      <c r="B1669" s="3" t="str">
        <f>HYPERLINK("https://www.773grp.com/manufacturer/national-semiconductor?pageNo=60", "National Semiconductor")</f>
        <v>National Semiconductor</v>
      </c>
      <c r="C1669" s="6">
        <v>10665</v>
      </c>
      <c r="D1669" s="7">
        <v>3.55</v>
      </c>
    </row>
    <row r="1670" spans="1:5" x14ac:dyDescent="0.25">
      <c r="A1670" t="str">
        <f>HYPERLINK("https://www.773grp.com/globalSearch/LMP7731MA-NOPB/page-1", "LMP7731MA-NOPB")</f>
        <v>LMP7731MA-NOPB</v>
      </c>
      <c r="B1670" s="3" t="str">
        <f>HYPERLINK("https://www.773grp.com/manufacturer/national-semiconductor?pageNo=61", "National Semiconductor")</f>
        <v>National Semiconductor</v>
      </c>
      <c r="C1670" s="6">
        <v>250</v>
      </c>
      <c r="D1670" s="7">
        <v>3.55</v>
      </c>
    </row>
    <row r="1671" spans="1:5" x14ac:dyDescent="0.25">
      <c r="A1671" t="str">
        <f>HYPERLINK("https://www.773grp.com/globalSearch/LP38852MR-ADJ-NOPB/page-1", "LP38852MR-ADJ-NOPB")</f>
        <v>LP38852MR-ADJ-NOPB</v>
      </c>
      <c r="B1671" s="3" t="str">
        <f>HYPERLINK("https://www.773grp.com/manufacturer/national-semiconductor?pageNo=62", "National Semiconductor")</f>
        <v>National Semiconductor</v>
      </c>
      <c r="C1671" s="6">
        <v>378</v>
      </c>
      <c r="D1671" s="7">
        <v>3.55</v>
      </c>
    </row>
    <row r="1672" spans="1:5" x14ac:dyDescent="0.25">
      <c r="A1672" t="str">
        <f>HYPERLINK("https://www.773grp.com/globalSearch/LP38852S-ADJ-NOPB/page-1", "LP38852S-ADJ-NOPB")</f>
        <v>LP38852S-ADJ-NOPB</v>
      </c>
      <c r="B1672" s="3" t="str">
        <f>HYPERLINK("https://www.773grp.com/manufacturer/national-semiconductor?pageNo=63", "National Semiconductor")</f>
        <v>National Semiconductor</v>
      </c>
      <c r="C1672" s="6">
        <v>914</v>
      </c>
      <c r="D1672" s="7">
        <v>3.55</v>
      </c>
    </row>
    <row r="1673" spans="1:5" x14ac:dyDescent="0.25">
      <c r="A1673" t="str">
        <f>HYPERLINK("https://www.773grp.com/globalSearch/54LS109J-883/page-1", "54LS109J-883")</f>
        <v>54LS109J-883</v>
      </c>
      <c r="B1673" s="3" t="str">
        <f>HYPERLINK("https://www.773grp.com/manufacturer/national-semiconductor?pageNo=64", "National Semiconductor")</f>
        <v>National Semiconductor</v>
      </c>
      <c r="C1673" s="6">
        <v>49</v>
      </c>
      <c r="D1673" s="7">
        <v>3.58</v>
      </c>
    </row>
    <row r="1674" spans="1:5" x14ac:dyDescent="0.25">
      <c r="A1674" t="str">
        <f>HYPERLINK("https://www.773grp.com/globalSearch/CLC5665IM/page-1", "CLC5665IM")</f>
        <v>CLC5665IM</v>
      </c>
      <c r="B1674" s="3" t="str">
        <f>HYPERLINK("https://www.773grp.com/manufacturer/national-semiconductor?pageNo=65", "National Semiconductor")</f>
        <v>National Semiconductor</v>
      </c>
      <c r="C1674" s="6">
        <v>17</v>
      </c>
      <c r="D1674" s="7">
        <v>3.58</v>
      </c>
      <c r="E1674" t="s">
        <v>13</v>
      </c>
    </row>
    <row r="1675" spans="1:5" x14ac:dyDescent="0.25">
      <c r="A1675" t="str">
        <f>HYPERLINK("https://www.773grp.com/globalSearch/CLC5665IMX/page-1", "CLC5665IMX")</f>
        <v>CLC5665IMX</v>
      </c>
      <c r="B1675" s="3" t="str">
        <f>HYPERLINK("https://www.773grp.com/manufacturer/national-semiconductor?pageNo=66", "National Semiconductor")</f>
        <v>National Semiconductor</v>
      </c>
      <c r="C1675" s="6">
        <v>4120</v>
      </c>
      <c r="D1675" s="7">
        <v>3.58</v>
      </c>
      <c r="E1675" t="s">
        <v>13</v>
      </c>
    </row>
    <row r="1676" spans="1:5" x14ac:dyDescent="0.25">
      <c r="A1676" t="str">
        <f>HYPERLINK("https://www.773grp.com/globalSearch/CLC5665IN/page-1", "CLC5665IN")</f>
        <v>CLC5665IN</v>
      </c>
      <c r="B1676" s="3" t="str">
        <f>HYPERLINK("https://www.773grp.com/manufacturer/national-semiconductor?pageNo=67", "National Semiconductor")</f>
        <v>National Semiconductor</v>
      </c>
      <c r="C1676" s="6">
        <v>2112</v>
      </c>
      <c r="D1676" s="7">
        <v>3.58</v>
      </c>
      <c r="E1676" t="s">
        <v>13</v>
      </c>
    </row>
    <row r="1677" spans="1:5" x14ac:dyDescent="0.25">
      <c r="A1677" t="str">
        <f>HYPERLINK("https://www.773grp.com/globalSearch/DS3695ATM/page-1", "DS3695ATM")</f>
        <v>DS3695ATM</v>
      </c>
      <c r="B1677" s="3" t="str">
        <f>HYPERLINK("https://www.773grp.com/manufacturer/national-semiconductor?pageNo=68", "National Semiconductor")</f>
        <v>National Semiconductor</v>
      </c>
      <c r="C1677" s="6">
        <v>855</v>
      </c>
      <c r="D1677" s="7">
        <v>3.58</v>
      </c>
      <c r="E1677" t="s">
        <v>21</v>
      </c>
    </row>
    <row r="1678" spans="1:5" x14ac:dyDescent="0.25">
      <c r="A1678" t="str">
        <f>HYPERLINK("https://www.773grp.com/globalSearch/LM1971M/page-1", "LM1971M")</f>
        <v>LM1971M</v>
      </c>
      <c r="B1678" s="3" t="str">
        <f>HYPERLINK("https://www.773grp.com/manufacturer/national-semiconductor?pageNo=69", "National Semiconductor")</f>
        <v>National Semiconductor</v>
      </c>
      <c r="C1678" s="6">
        <v>239</v>
      </c>
      <c r="D1678" s="7">
        <v>3.58</v>
      </c>
      <c r="E1678" t="s">
        <v>23</v>
      </c>
    </row>
    <row r="1679" spans="1:5" x14ac:dyDescent="0.25">
      <c r="A1679" t="str">
        <f>HYPERLINK("https://www.773grp.com/globalSearch/LM4917MT-NOPB/page-1", "LM4917MT-NOPB")</f>
        <v>LM4917MT-NOPB</v>
      </c>
      <c r="B1679" s="3" t="str">
        <f>HYPERLINK("https://www.773grp.com/manufacturer/national-semiconductor?pageNo=70", "National Semiconductor")</f>
        <v>National Semiconductor</v>
      </c>
      <c r="C1679" s="6">
        <v>918</v>
      </c>
      <c r="D1679" s="7">
        <v>3.58</v>
      </c>
      <c r="E1679" t="s">
        <v>18</v>
      </c>
    </row>
    <row r="1680" spans="1:5" x14ac:dyDescent="0.25">
      <c r="A1680" t="str">
        <f>HYPERLINK("https://www.773grp.com/globalSearch/LM7131ACM/page-1", "LM7131ACM")</f>
        <v>LM7131ACM</v>
      </c>
      <c r="B1680" s="3" t="str">
        <f>HYPERLINK("https://www.773grp.com/manufacturer/national-semiconductor?pageNo=71", "National Semiconductor")</f>
        <v>National Semiconductor</v>
      </c>
      <c r="C1680" s="6">
        <v>721</v>
      </c>
      <c r="D1680" s="7">
        <v>3.58</v>
      </c>
      <c r="E1680" t="s">
        <v>18</v>
      </c>
    </row>
    <row r="1681" spans="1:5" x14ac:dyDescent="0.25">
      <c r="A1681" t="str">
        <f>HYPERLINK("https://www.773grp.com/globalSearch/LM7332MME-NOPB/page-1", "LM7332MME-NOPB")</f>
        <v>LM7332MME-NOPB</v>
      </c>
      <c r="B1681" s="3" t="str">
        <f>HYPERLINK("https://www.773grp.com/manufacturer/national-semiconductor?pageNo=72", "National Semiconductor")</f>
        <v>National Semiconductor</v>
      </c>
      <c r="C1681" s="6">
        <v>2500</v>
      </c>
      <c r="D1681" s="7">
        <v>3.58</v>
      </c>
      <c r="E1681" t="s">
        <v>13</v>
      </c>
    </row>
    <row r="1682" spans="1:5" x14ac:dyDescent="0.25">
      <c r="A1682" t="str">
        <f>HYPERLINK("https://www.773grp.com/globalSearch/LMC6462AIMX-NOPB/page-1", "LMC6462AIMX-NOPB")</f>
        <v>LMC6462AIMX-NOPB</v>
      </c>
      <c r="B1682" s="3" t="str">
        <f>HYPERLINK("https://www.773grp.com/manufacturer/national-semiconductor?pageNo=73", "National Semiconductor")</f>
        <v>National Semiconductor</v>
      </c>
      <c r="C1682" s="6">
        <v>2500</v>
      </c>
      <c r="D1682" s="7">
        <v>3.58</v>
      </c>
      <c r="E1682" t="s">
        <v>13</v>
      </c>
    </row>
    <row r="1683" spans="1:5" x14ac:dyDescent="0.25">
      <c r="A1683" t="str">
        <f>HYPERLINK("https://www.773grp.com/globalSearch/LMC6484IMX/page-1", "LMC6484IMX")</f>
        <v>LMC6484IMX</v>
      </c>
      <c r="B1683" s="3" t="str">
        <f>HYPERLINK("https://www.773grp.com/manufacturer/national-semiconductor?pageNo=74", "National Semiconductor")</f>
        <v>National Semiconductor</v>
      </c>
      <c r="C1683" s="6">
        <v>22500</v>
      </c>
      <c r="D1683" s="7">
        <v>3.58</v>
      </c>
      <c r="E1683" t="s">
        <v>13</v>
      </c>
    </row>
    <row r="1684" spans="1:5" x14ac:dyDescent="0.25">
      <c r="A1684" t="str">
        <f>HYPERLINK("https://www.773grp.com/globalSearch/LMH6559MF/page-1", "LMH6559MF")</f>
        <v>LMH6559MF</v>
      </c>
      <c r="B1684" s="3" t="str">
        <f>HYPERLINK("https://www.773grp.com/manufacturer/national-semiconductor?pageNo=75", "National Semiconductor")</f>
        <v>National Semiconductor</v>
      </c>
      <c r="C1684" s="6">
        <v>1000</v>
      </c>
      <c r="D1684" s="7">
        <v>3.58</v>
      </c>
      <c r="E1684" t="s">
        <v>48</v>
      </c>
    </row>
    <row r="1685" spans="1:5" x14ac:dyDescent="0.25">
      <c r="A1685" t="str">
        <f>HYPERLINK("https://www.773grp.com/globalSearch/LMP2232BMAE-NOPB/page-1", "LMP2232BMAE-NOPB")</f>
        <v>LMP2232BMAE-NOPB</v>
      </c>
      <c r="B1685" s="3" t="str">
        <f>HYPERLINK("https://www.773grp.com/manufacturer/national-semiconductor?pageNo=76", "National Semiconductor")</f>
        <v>National Semiconductor</v>
      </c>
      <c r="C1685" s="6">
        <v>49</v>
      </c>
      <c r="D1685" s="7">
        <v>3.58</v>
      </c>
    </row>
    <row r="1686" spans="1:5" x14ac:dyDescent="0.25">
      <c r="A1686" t="str">
        <f>HYPERLINK("https://www.773grp.com/globalSearch/LMP2232BMME-NOPB/page-1", "LMP2232BMME-NOPB")</f>
        <v>LMP2232BMME-NOPB</v>
      </c>
      <c r="B1686" s="3" t="str">
        <f>HYPERLINK("https://www.773grp.com/manufacturer/national-semiconductor?pageNo=77", "National Semiconductor")</f>
        <v>National Semiconductor</v>
      </c>
      <c r="C1686" s="6">
        <v>700</v>
      </c>
      <c r="D1686" s="7">
        <v>3.58</v>
      </c>
    </row>
    <row r="1687" spans="1:5" x14ac:dyDescent="0.25">
      <c r="A1687" t="str">
        <f>HYPERLINK("https://www.773grp.com/globalSearch/LP2989ILD-3.3/page-1", "LP2989ILD-3.3")</f>
        <v>LP2989ILD-3.3</v>
      </c>
      <c r="B1687" s="3" t="str">
        <f>HYPERLINK("https://www.773grp.com/manufacturer/national-semiconductor?pageNo=78", "National Semiconductor")</f>
        <v>National Semiconductor</v>
      </c>
      <c r="C1687" s="6">
        <v>24950</v>
      </c>
      <c r="D1687" s="7">
        <v>3.58</v>
      </c>
      <c r="E1687" t="s">
        <v>19</v>
      </c>
    </row>
    <row r="1688" spans="1:5" x14ac:dyDescent="0.25">
      <c r="A1688" t="str">
        <f>HYPERLINK("https://www.773grp.com/globalSearch/LM1971M/page-1", "LM1971M")</f>
        <v>LM1971M</v>
      </c>
      <c r="B1688" s="3" t="str">
        <f>HYPERLINK("https://www.773grp.com/manufacturer/national-semiconductor?pageNo=79", "National Semiconductor")</f>
        <v>National Semiconductor</v>
      </c>
      <c r="C1688" s="6">
        <v>154</v>
      </c>
      <c r="D1688" s="7">
        <v>3.58</v>
      </c>
      <c r="E1688" t="s">
        <v>23</v>
      </c>
    </row>
    <row r="1689" spans="1:5" x14ac:dyDescent="0.25">
      <c r="A1689" t="str">
        <f>HYPERLINK("https://www.773grp.com/globalSearch/LM2736XMK/page-1", "LM2736XMK")</f>
        <v>LM2736XMK</v>
      </c>
      <c r="B1689" s="3" t="str">
        <f>HYPERLINK("https://www.773grp.com/manufacturer/national-semiconductor?pageNo=80", "National Semiconductor")</f>
        <v>National Semiconductor</v>
      </c>
      <c r="C1689" s="6">
        <v>2000</v>
      </c>
      <c r="D1689" s="7">
        <v>3.58</v>
      </c>
    </row>
    <row r="1690" spans="1:5" x14ac:dyDescent="0.25">
      <c r="A1690" t="str">
        <f>HYPERLINK("https://www.773grp.com/globalSearch/LM3212TL-NOPB/page-1", "LM3212TL-NOPB")</f>
        <v>LM3212TL-NOPB</v>
      </c>
      <c r="B1690" s="3" t="str">
        <f>HYPERLINK("https://www.773grp.com/manufacturer/national-semiconductor?pageNo=81", "National Semiconductor")</f>
        <v>National Semiconductor</v>
      </c>
      <c r="C1690" s="6">
        <v>1750</v>
      </c>
      <c r="D1690" s="7">
        <v>3.58</v>
      </c>
    </row>
    <row r="1691" spans="1:5" x14ac:dyDescent="0.25">
      <c r="A1691" t="str">
        <f>HYPERLINK("https://www.773grp.com/globalSearch/LM3217TLE-NOPB/page-1", "LM3217TLE-NOPB")</f>
        <v>LM3217TLE-NOPB</v>
      </c>
      <c r="B1691" s="3" t="str">
        <f>HYPERLINK("https://www.773grp.com/manufacturer/national-semiconductor?pageNo=82", "National Semiconductor")</f>
        <v>National Semiconductor</v>
      </c>
      <c r="C1691" s="6">
        <v>3750</v>
      </c>
      <c r="D1691" s="7">
        <v>3.58</v>
      </c>
    </row>
    <row r="1692" spans="1:5" x14ac:dyDescent="0.25">
      <c r="A1692" t="str">
        <f>HYPERLINK("https://www.773grp.com/globalSearch/LM334SM/page-1", "LM334SM")</f>
        <v>LM334SM</v>
      </c>
      <c r="B1692" s="3" t="str">
        <f>HYPERLINK("https://www.773grp.com/manufacturer/national-semiconductor?pageNo=83", "National Semiconductor")</f>
        <v>National Semiconductor</v>
      </c>
      <c r="C1692" s="6">
        <v>250</v>
      </c>
      <c r="D1692" s="7">
        <v>3.58</v>
      </c>
    </row>
    <row r="1693" spans="1:5" x14ac:dyDescent="0.25">
      <c r="A1693" t="str">
        <f>HYPERLINK("https://www.773grp.com/globalSearch/LM4917MT-NOPB/page-1", "LM4917MT-NOPB")</f>
        <v>LM4917MT-NOPB</v>
      </c>
      <c r="B1693" s="3" t="str">
        <f>HYPERLINK("https://www.773grp.com/manufacturer/national-semiconductor?pageNo=84", "National Semiconductor")</f>
        <v>National Semiconductor</v>
      </c>
      <c r="C1693" s="6">
        <v>551</v>
      </c>
      <c r="D1693" s="7">
        <v>3.58</v>
      </c>
      <c r="E1693" t="s">
        <v>18</v>
      </c>
    </row>
    <row r="1694" spans="1:5" x14ac:dyDescent="0.25">
      <c r="A1694" t="str">
        <f>HYPERLINK("https://www.773grp.com/globalSearch/LM5022MM/page-1", "LM5022MM")</f>
        <v>LM5022MM</v>
      </c>
      <c r="B1694" s="3" t="str">
        <f>HYPERLINK("https://www.773grp.com/manufacturer/national-semiconductor?pageNo=85", "National Semiconductor")</f>
        <v>National Semiconductor</v>
      </c>
      <c r="C1694" s="6">
        <v>355</v>
      </c>
      <c r="D1694" s="7">
        <v>3.58</v>
      </c>
    </row>
    <row r="1695" spans="1:5" x14ac:dyDescent="0.25">
      <c r="A1695" t="str">
        <f>HYPERLINK("https://www.773grp.com/globalSearch/LM7332MME-NOPB/page-1", "LM7332MME-NOPB")</f>
        <v>LM7332MME-NOPB</v>
      </c>
      <c r="B1695" s="3" t="str">
        <f>HYPERLINK("https://www.773grp.com/manufacturer/national-semiconductor?pageNo=86", "National Semiconductor")</f>
        <v>National Semiconductor</v>
      </c>
      <c r="C1695" s="6">
        <v>65</v>
      </c>
      <c r="D1695" s="7">
        <v>3.58</v>
      </c>
      <c r="E1695" t="s">
        <v>13</v>
      </c>
    </row>
    <row r="1696" spans="1:5" x14ac:dyDescent="0.25">
      <c r="A1696" t="str">
        <f>HYPERLINK("https://www.773grp.com/globalSearch/LMC6462AIM-NOPB/page-1", "LMC6462AIM-NOPB")</f>
        <v>LMC6462AIM-NOPB</v>
      </c>
      <c r="B1696" s="3" t="str">
        <f>HYPERLINK("https://www.773grp.com/manufacturer/national-semiconductor?pageNo=87", "National Semiconductor")</f>
        <v>National Semiconductor</v>
      </c>
      <c r="C1696" s="6">
        <v>269</v>
      </c>
      <c r="D1696" s="7">
        <v>3.58</v>
      </c>
      <c r="E1696" t="s">
        <v>13</v>
      </c>
    </row>
    <row r="1697" spans="1:5" x14ac:dyDescent="0.25">
      <c r="A1697" t="str">
        <f>HYPERLINK("https://www.773grp.com/globalSearch/LMC6462AIMX-NOPB/page-1", "LMC6462AIMX-NOPB")</f>
        <v>LMC6462AIMX-NOPB</v>
      </c>
      <c r="B1697" s="3" t="str">
        <f>HYPERLINK("https://www.773grp.com/manufacturer/national-semiconductor?pageNo=88", "National Semiconductor")</f>
        <v>National Semiconductor</v>
      </c>
      <c r="C1697" s="6">
        <v>1728</v>
      </c>
      <c r="D1697" s="7">
        <v>3.58</v>
      </c>
      <c r="E1697" t="s">
        <v>13</v>
      </c>
    </row>
    <row r="1698" spans="1:5" x14ac:dyDescent="0.25">
      <c r="A1698" t="str">
        <f>HYPERLINK("https://www.773grp.com/globalSearch/LMP2232BMME-NOPB/page-1", "LMP2232BMME-NOPB")</f>
        <v>LMP2232BMME-NOPB</v>
      </c>
      <c r="B1698" s="3" t="str">
        <f>HYPERLINK("https://www.773grp.com/manufacturer/national-semiconductor?pageNo=89", "National Semiconductor")</f>
        <v>National Semiconductor</v>
      </c>
      <c r="C1698" s="6">
        <v>2750</v>
      </c>
      <c r="D1698" s="7">
        <v>3.58</v>
      </c>
    </row>
    <row r="1699" spans="1:5" x14ac:dyDescent="0.25">
      <c r="A1699" t="str">
        <f>HYPERLINK("https://www.773grp.com/globalSearch/LP2989ILD-2.5/page-1", "LP2989ILD-2.5")</f>
        <v>LP2989ILD-2.5</v>
      </c>
      <c r="B1699" s="3" t="str">
        <f>HYPERLINK("https://www.773grp.com/manufacturer/national-semiconductor?pageNo=90", "National Semiconductor")</f>
        <v>National Semiconductor</v>
      </c>
      <c r="C1699" s="6">
        <v>1601</v>
      </c>
      <c r="D1699" s="7">
        <v>3.58</v>
      </c>
    </row>
    <row r="1700" spans="1:5" x14ac:dyDescent="0.25">
      <c r="A1700" t="str">
        <f>HYPERLINK("https://www.773grp.com/globalSearch/LP2989ILD-3.3/page-1", "LP2989ILD-3.3")</f>
        <v>LP2989ILD-3.3</v>
      </c>
      <c r="B1700" s="3" t="str">
        <f>HYPERLINK("https://www.773grp.com/manufacturer/national-semiconductor?pageNo=91", "National Semiconductor")</f>
        <v>National Semiconductor</v>
      </c>
      <c r="C1700" s="6">
        <v>3000</v>
      </c>
      <c r="D1700" s="7">
        <v>3.58</v>
      </c>
      <c r="E1700" t="s">
        <v>19</v>
      </c>
    </row>
    <row r="1701" spans="1:5" x14ac:dyDescent="0.25">
      <c r="A1701" t="str">
        <f>HYPERLINK("https://www.773grp.com/globalSearch/LP3907QTL-VXSS-NOPB/page-1", "LP3907QTL-VXSS-NOPB")</f>
        <v>LP3907QTL-VXSS-NOPB</v>
      </c>
      <c r="B1701" s="3" t="str">
        <f>HYPERLINK("https://www.773grp.com/manufacturer/national-semiconductor?pageNo=92", "National Semiconductor")</f>
        <v>National Semiconductor</v>
      </c>
      <c r="C1701" s="6">
        <v>1250</v>
      </c>
      <c r="D1701" s="7">
        <v>3.58</v>
      </c>
    </row>
    <row r="1702" spans="1:5" x14ac:dyDescent="0.25">
      <c r="A1702" t="str">
        <f>HYPERLINK("https://www.773grp.com/globalSearch/TPS62356YZGT/page-1", "TPS62356YZGT")</f>
        <v>TPS62356YZGT</v>
      </c>
      <c r="B1702" s="3" t="str">
        <f>HYPERLINK("https://www.773grp.com/manufacturer/national-semiconductor?pageNo=93", "National Semiconductor")</f>
        <v>National Semiconductor</v>
      </c>
      <c r="C1702" s="6">
        <v>337</v>
      </c>
      <c r="D1702" s="7">
        <v>3.58</v>
      </c>
    </row>
    <row r="1703" spans="1:5" x14ac:dyDescent="0.25">
      <c r="A1703" t="str">
        <f>HYPERLINK("https://www.773grp.com/globalSearch/4006BDM/page-1", "4006BDM")</f>
        <v>4006BDM</v>
      </c>
      <c r="B1703" s="3" t="str">
        <f>HYPERLINK("https://www.773grp.com/manufacturer/national-semiconductor?pageNo=94", "National Semiconductor")</f>
        <v>National Semiconductor</v>
      </c>
      <c r="C1703" s="6">
        <v>3029</v>
      </c>
      <c r="D1703" s="7">
        <v>3.95</v>
      </c>
    </row>
    <row r="1704" spans="1:5" x14ac:dyDescent="0.25">
      <c r="A1704" t="str">
        <f>HYPERLINK("https://www.773grp.com/globalSearch/4023BDC/page-1", "4023BDC")</f>
        <v>4023BDC</v>
      </c>
      <c r="B1704" s="3" t="str">
        <f>HYPERLINK("https://www.773grp.com/manufacturer/national-semiconductor?pageNo=95", "National Semiconductor")</f>
        <v>National Semiconductor</v>
      </c>
      <c r="C1704" s="6">
        <v>1184</v>
      </c>
      <c r="D1704" s="7">
        <v>3.95</v>
      </c>
    </row>
    <row r="1705" spans="1:5" x14ac:dyDescent="0.25">
      <c r="A1705" t="str">
        <f>HYPERLINK("https://www.773grp.com/globalSearch/4086BDC/page-1", "4086BDC")</f>
        <v>4086BDC</v>
      </c>
      <c r="B1705" s="3" t="str">
        <f>HYPERLINK("https://www.773grp.com/manufacturer/national-semiconductor?pageNo=96", "National Semiconductor")</f>
        <v>National Semiconductor</v>
      </c>
      <c r="C1705" s="6">
        <v>3844</v>
      </c>
      <c r="D1705" s="7">
        <v>3.95</v>
      </c>
    </row>
    <row r="1706" spans="1:5" x14ac:dyDescent="0.25">
      <c r="A1706" t="str">
        <f>HYPERLINK("https://www.773grp.com/globalSearch/5402DM/page-1", "5402DM")</f>
        <v>5402DM</v>
      </c>
      <c r="B1706" s="3" t="str">
        <f>HYPERLINK("https://www.773grp.com/manufacturer/national-semiconductor?pageNo=97", "National Semiconductor")</f>
        <v>National Semiconductor</v>
      </c>
      <c r="C1706" s="6">
        <v>4749</v>
      </c>
      <c r="D1706" s="7">
        <v>3.95</v>
      </c>
    </row>
    <row r="1707" spans="1:5" x14ac:dyDescent="0.25">
      <c r="A1707" t="str">
        <f>HYPERLINK("https://www.773grp.com/globalSearch/5404DM/page-1", "5404DM")</f>
        <v>5404DM</v>
      </c>
      <c r="B1707" s="3" t="str">
        <f>HYPERLINK("https://www.773grp.com/manufacturer/national-semiconductor?pageNo=98", "National Semiconductor")</f>
        <v>National Semiconductor</v>
      </c>
      <c r="C1707" s="6">
        <v>1409</v>
      </c>
      <c r="D1707" s="7">
        <v>3.95</v>
      </c>
    </row>
    <row r="1708" spans="1:5" x14ac:dyDescent="0.25">
      <c r="A1708" t="str">
        <f>HYPERLINK("https://www.773grp.com/globalSearch/5405DM/page-1", "5405DM")</f>
        <v>5405DM</v>
      </c>
      <c r="B1708" s="3" t="str">
        <f>HYPERLINK("https://www.773grp.com/manufacturer/national-semiconductor?pageNo=99", "National Semiconductor")</f>
        <v>National Semiconductor</v>
      </c>
      <c r="C1708" s="6">
        <v>4168</v>
      </c>
      <c r="D1708" s="7">
        <v>3.95</v>
      </c>
    </row>
    <row r="1709" spans="1:5" x14ac:dyDescent="0.25">
      <c r="A1709" t="str">
        <f>HYPERLINK("https://www.773grp.com/globalSearch/5409DM/page-1", "5409DM")</f>
        <v>5409DM</v>
      </c>
      <c r="B1709" s="3" t="str">
        <f>HYPERLINK("https://www.773grp.com/manufacturer/national-semiconductor?pageNo=100", "National Semiconductor")</f>
        <v>National Semiconductor</v>
      </c>
      <c r="C1709" s="6">
        <v>359</v>
      </c>
      <c r="D1709" s="7">
        <v>3.95</v>
      </c>
    </row>
    <row r="1710" spans="1:5" x14ac:dyDescent="0.25">
      <c r="A1710" t="str">
        <f>HYPERLINK("https://www.773grp.com/globalSearch/5410DM/page-1", "5410DM")</f>
        <v>5410DM</v>
      </c>
      <c r="B1710" s="3" t="str">
        <f>HYPERLINK("https://www.773grp.com/manufacturer/national-semiconductor?pageNo=101", "National Semiconductor")</f>
        <v>National Semiconductor</v>
      </c>
      <c r="C1710" s="6">
        <v>6900</v>
      </c>
      <c r="D1710" s="7">
        <v>3.95</v>
      </c>
    </row>
    <row r="1711" spans="1:5" x14ac:dyDescent="0.25">
      <c r="A1711" t="str">
        <f>HYPERLINK("https://www.773grp.com/globalSearch/5410FM/page-1", "5410FM")</f>
        <v>5410FM</v>
      </c>
      <c r="B1711" s="3" t="str">
        <f>HYPERLINK("https://www.773grp.com/manufacturer/national-semiconductor?pageNo=102", "National Semiconductor")</f>
        <v>National Semiconductor</v>
      </c>
      <c r="C1711" s="6">
        <v>131</v>
      </c>
      <c r="D1711" s="7">
        <v>3.95</v>
      </c>
    </row>
    <row r="1712" spans="1:5" x14ac:dyDescent="0.25">
      <c r="A1712" t="str">
        <f>HYPERLINK("https://www.773grp.com/globalSearch/5411DM/page-1", "5411DM")</f>
        <v>5411DM</v>
      </c>
      <c r="B1712" s="3" t="str">
        <f>HYPERLINK("https://www.773grp.com/manufacturer/national-semiconductor?pageNo=103", "National Semiconductor")</f>
        <v>National Semiconductor</v>
      </c>
      <c r="C1712" s="6">
        <v>1</v>
      </c>
      <c r="D1712" s="7">
        <v>3.95</v>
      </c>
    </row>
    <row r="1713" spans="1:5" x14ac:dyDescent="0.25">
      <c r="A1713" t="str">
        <f>HYPERLINK("https://www.773grp.com/globalSearch/5425DM/page-1", "5425DM")</f>
        <v>5425DM</v>
      </c>
      <c r="B1713" s="3" t="str">
        <f>HYPERLINK("https://www.773grp.com/manufacturer/national-semiconductor?pageNo=104", "National Semiconductor")</f>
        <v>National Semiconductor</v>
      </c>
      <c r="C1713" s="6">
        <v>172</v>
      </c>
      <c r="D1713" s="7">
        <v>3.95</v>
      </c>
    </row>
    <row r="1714" spans="1:5" x14ac:dyDescent="0.25">
      <c r="A1714" t="str">
        <f>HYPERLINK("https://www.773grp.com/globalSearch/5425DMQB/page-1", "5425DMQB")</f>
        <v>5425DMQB</v>
      </c>
      <c r="B1714" s="3" t="str">
        <f>HYPERLINK("https://www.773grp.com/manufacturer/national-semiconductor?pageNo=105", "National Semiconductor")</f>
        <v>National Semiconductor</v>
      </c>
      <c r="C1714" s="6">
        <v>4</v>
      </c>
      <c r="D1714" s="7">
        <v>3.95</v>
      </c>
      <c r="E1714" t="s">
        <v>31</v>
      </c>
    </row>
    <row r="1715" spans="1:5" x14ac:dyDescent="0.25">
      <c r="A1715" t="str">
        <f>HYPERLINK("https://www.773grp.com/globalSearch/5427DM/page-1", "5427DM")</f>
        <v>5427DM</v>
      </c>
      <c r="B1715" s="3" t="str">
        <f>HYPERLINK("https://www.773grp.com/manufacturer/national-semiconductor?pageNo=106", "National Semiconductor")</f>
        <v>National Semiconductor</v>
      </c>
      <c r="C1715" s="6">
        <v>1635</v>
      </c>
      <c r="D1715" s="7">
        <v>3.95</v>
      </c>
    </row>
    <row r="1716" spans="1:5" x14ac:dyDescent="0.25">
      <c r="A1716" t="str">
        <f>HYPERLINK("https://www.773grp.com/globalSearch/5437DM/page-1", "5437DM")</f>
        <v>5437DM</v>
      </c>
      <c r="B1716" s="3" t="str">
        <f>HYPERLINK("https://www.773grp.com/manufacturer/national-semiconductor?pageNo=107", "National Semiconductor")</f>
        <v>National Semiconductor</v>
      </c>
      <c r="C1716" s="6">
        <v>356</v>
      </c>
      <c r="D1716" s="7">
        <v>3.95</v>
      </c>
    </row>
    <row r="1717" spans="1:5" x14ac:dyDescent="0.25">
      <c r="A1717" t="str">
        <f>HYPERLINK("https://www.773grp.com/globalSearch/5440DMQB/page-1", "5440DMQB")</f>
        <v>5440DMQB</v>
      </c>
      <c r="B1717" s="3" t="str">
        <f>HYPERLINK("https://www.773grp.com/manufacturer/national-semiconductor?pageNo=108", "National Semiconductor")</f>
        <v>National Semiconductor</v>
      </c>
      <c r="C1717" s="6">
        <v>1</v>
      </c>
      <c r="D1717" s="7">
        <v>3.95</v>
      </c>
      <c r="E1717" t="s">
        <v>31</v>
      </c>
    </row>
    <row r="1718" spans="1:5" x14ac:dyDescent="0.25">
      <c r="A1718" t="str">
        <f>HYPERLINK("https://www.773grp.com/globalSearch/54LS33DMQB/page-1", "54LS33DMQB")</f>
        <v>54LS33DMQB</v>
      </c>
      <c r="B1718" s="3" t="str">
        <f>HYPERLINK("https://www.773grp.com/manufacturer/national-semiconductor?pageNo=109", "National Semiconductor")</f>
        <v>National Semiconductor</v>
      </c>
      <c r="C1718" s="6">
        <v>69</v>
      </c>
      <c r="D1718" s="7">
        <v>3.95</v>
      </c>
      <c r="E1718" t="s">
        <v>31</v>
      </c>
    </row>
    <row r="1719" spans="1:5" x14ac:dyDescent="0.25">
      <c r="A1719" t="str">
        <f>HYPERLINK("https://www.773grp.com/globalSearch/54S00DM/page-1", "54S00DM")</f>
        <v>54S00DM</v>
      </c>
      <c r="B1719" s="3" t="str">
        <f>HYPERLINK("https://www.773grp.com/manufacturer/national-semiconductor?pageNo=110", "National Semiconductor")</f>
        <v>National Semiconductor</v>
      </c>
      <c r="C1719" s="6">
        <v>3309</v>
      </c>
      <c r="D1719" s="7">
        <v>3.95</v>
      </c>
    </row>
    <row r="1720" spans="1:5" x14ac:dyDescent="0.25">
      <c r="A1720" t="str">
        <f>HYPERLINK("https://www.773grp.com/globalSearch/54S02DM/page-1", "54S02DM")</f>
        <v>54S02DM</v>
      </c>
      <c r="B1720" s="3" t="str">
        <f>HYPERLINK("https://www.773grp.com/manufacturer/national-semiconductor?pageNo=111", "National Semiconductor")</f>
        <v>National Semiconductor</v>
      </c>
      <c r="C1720" s="6">
        <v>6579</v>
      </c>
      <c r="D1720" s="7">
        <v>3.95</v>
      </c>
    </row>
    <row r="1721" spans="1:5" x14ac:dyDescent="0.25">
      <c r="A1721" t="str">
        <f>HYPERLINK("https://www.773grp.com/globalSearch/54S05DM/page-1", "54S05DM")</f>
        <v>54S05DM</v>
      </c>
      <c r="B1721" s="3" t="str">
        <f>HYPERLINK("https://www.773grp.com/manufacturer/national-semiconductor?pageNo=112", "National Semiconductor")</f>
        <v>National Semiconductor</v>
      </c>
      <c r="C1721" s="6">
        <v>884</v>
      </c>
      <c r="D1721" s="7">
        <v>3.95</v>
      </c>
    </row>
    <row r="1722" spans="1:5" x14ac:dyDescent="0.25">
      <c r="A1722" t="str">
        <f>HYPERLINK("https://www.773grp.com/globalSearch/54S09DM/page-1", "54S09DM")</f>
        <v>54S09DM</v>
      </c>
      <c r="B1722" s="3" t="str">
        <f>HYPERLINK("https://www.773grp.com/manufacturer/national-semiconductor?pageNo=113", "National Semiconductor")</f>
        <v>National Semiconductor</v>
      </c>
      <c r="C1722" s="6">
        <v>1762</v>
      </c>
      <c r="D1722" s="7">
        <v>3.95</v>
      </c>
    </row>
    <row r="1723" spans="1:5" x14ac:dyDescent="0.25">
      <c r="A1723" t="str">
        <f>HYPERLINK("https://www.773grp.com/globalSearch/54S10DM/page-1", "54S10DM")</f>
        <v>54S10DM</v>
      </c>
      <c r="B1723" s="3" t="str">
        <f>HYPERLINK("https://www.773grp.com/manufacturer/national-semiconductor?pageNo=114", "National Semiconductor")</f>
        <v>National Semiconductor</v>
      </c>
      <c r="C1723" s="6">
        <v>2562</v>
      </c>
      <c r="D1723" s="7">
        <v>3.95</v>
      </c>
    </row>
    <row r="1724" spans="1:5" x14ac:dyDescent="0.25">
      <c r="A1724" t="str">
        <f>HYPERLINK("https://www.773grp.com/globalSearch/54S15DM/page-1", "54S15DM")</f>
        <v>54S15DM</v>
      </c>
      <c r="B1724" s="3" t="str">
        <f>HYPERLINK("https://www.773grp.com/manufacturer/national-semiconductor?pageNo=115", "National Semiconductor")</f>
        <v>National Semiconductor</v>
      </c>
      <c r="C1724" s="6">
        <v>1222</v>
      </c>
      <c r="D1724" s="7">
        <v>3.95</v>
      </c>
    </row>
    <row r="1725" spans="1:5" x14ac:dyDescent="0.25">
      <c r="A1725" t="str">
        <f>HYPERLINK("https://www.773grp.com/globalSearch/54S20DM/page-1", "54S20DM")</f>
        <v>54S20DM</v>
      </c>
      <c r="B1725" s="3" t="str">
        <f>HYPERLINK("https://www.773grp.com/manufacturer/national-semiconductor?pageNo=116", "National Semiconductor")</f>
        <v>National Semiconductor</v>
      </c>
      <c r="C1725" s="6">
        <v>686</v>
      </c>
      <c r="D1725" s="7">
        <v>3.95</v>
      </c>
    </row>
    <row r="1726" spans="1:5" x14ac:dyDescent="0.25">
      <c r="A1726" t="str">
        <f>HYPERLINK("https://www.773grp.com/globalSearch/54S260DM/page-1", "54S260DM")</f>
        <v>54S260DM</v>
      </c>
      <c r="B1726" s="3" t="str">
        <f>HYPERLINK("https://www.773grp.com/manufacturer/national-semiconductor?pageNo=117", "National Semiconductor")</f>
        <v>National Semiconductor</v>
      </c>
      <c r="C1726" s="6">
        <v>369</v>
      </c>
      <c r="D1726" s="7">
        <v>3.95</v>
      </c>
    </row>
    <row r="1727" spans="1:5" x14ac:dyDescent="0.25">
      <c r="A1727" t="str">
        <f>HYPERLINK("https://www.773grp.com/globalSearch/54S30DM/page-1", "54S30DM")</f>
        <v>54S30DM</v>
      </c>
      <c r="B1727" s="3" t="str">
        <f>HYPERLINK("https://www.773grp.com/manufacturer/national-semiconductor?pageNo=118", "National Semiconductor")</f>
        <v>National Semiconductor</v>
      </c>
      <c r="C1727" s="6">
        <v>20</v>
      </c>
      <c r="D1727" s="7">
        <v>3.95</v>
      </c>
    </row>
    <row r="1728" spans="1:5" x14ac:dyDescent="0.25">
      <c r="A1728" t="str">
        <f>HYPERLINK("https://www.773grp.com/globalSearch/54S32DM/page-1", "54S32DM")</f>
        <v>54S32DM</v>
      </c>
      <c r="B1728" s="3" t="str">
        <f>HYPERLINK("https://www.773grp.com/manufacturer/national-semiconductor?pageNo=119", "National Semiconductor")</f>
        <v>National Semiconductor</v>
      </c>
      <c r="C1728" s="6">
        <v>6779</v>
      </c>
      <c r="D1728" s="7">
        <v>3.95</v>
      </c>
    </row>
    <row r="1729" spans="1:5" x14ac:dyDescent="0.25">
      <c r="A1729" t="str">
        <f>HYPERLINK("https://www.773grp.com/globalSearch/54S51DM/page-1", "54S51DM")</f>
        <v>54S51DM</v>
      </c>
      <c r="B1729" s="3" t="str">
        <f>HYPERLINK("https://www.773grp.com/manufacturer/national-semiconductor?pageNo=120", "National Semiconductor")</f>
        <v>National Semiconductor</v>
      </c>
      <c r="C1729" s="6">
        <v>346</v>
      </c>
      <c r="D1729" s="7">
        <v>3.95</v>
      </c>
    </row>
    <row r="1730" spans="1:5" x14ac:dyDescent="0.25">
      <c r="A1730" t="str">
        <f>HYPERLINK("https://www.773grp.com/globalSearch/74F11LC/page-1", "74F11LC")</f>
        <v>74F11LC</v>
      </c>
      <c r="B1730" s="3" t="str">
        <f>HYPERLINK("https://www.773grp.com/manufacturer/national-semiconductor?pageNo=121", "National Semiconductor")</f>
        <v>National Semiconductor</v>
      </c>
      <c r="C1730" s="6">
        <v>288</v>
      </c>
      <c r="D1730" s="7">
        <v>3.95</v>
      </c>
    </row>
    <row r="1731" spans="1:5" x14ac:dyDescent="0.25">
      <c r="A1731" t="str">
        <f>HYPERLINK("https://www.773grp.com/globalSearch/74LS34PC/page-1", "74LS34PC")</f>
        <v>74LS34PC</v>
      </c>
      <c r="B1731" s="3" t="str">
        <f>HYPERLINK("https://www.773grp.com/manufacturer/national-semiconductor?pageNo=122", "National Semiconductor")</f>
        <v>National Semiconductor</v>
      </c>
      <c r="C1731" s="6">
        <v>7015</v>
      </c>
      <c r="D1731" s="7">
        <v>3.95</v>
      </c>
    </row>
    <row r="1732" spans="1:5" x14ac:dyDescent="0.25">
      <c r="A1732" t="str">
        <f>HYPERLINK("https://www.773grp.com/globalSearch/74LS353DC/page-1", "74LS353DC")</f>
        <v>74LS353DC</v>
      </c>
      <c r="B1732" s="3" t="str">
        <f>HYPERLINK("https://www.773grp.com/manufacturer/national-semiconductor?pageNo=123", "National Semiconductor")</f>
        <v>National Semiconductor</v>
      </c>
      <c r="C1732" s="6">
        <v>9375</v>
      </c>
      <c r="D1732" s="7">
        <v>3.95</v>
      </c>
    </row>
    <row r="1733" spans="1:5" x14ac:dyDescent="0.25">
      <c r="A1733" t="str">
        <f>HYPERLINK("https://www.773grp.com/globalSearch/DM5400N/page-1", "DM5400N")</f>
        <v>DM5400N</v>
      </c>
      <c r="B1733" s="3" t="str">
        <f>HYPERLINK("https://www.773grp.com/manufacturer/national-semiconductor?pageNo=124", "National Semiconductor")</f>
        <v>National Semiconductor</v>
      </c>
      <c r="C1733" s="6">
        <v>354</v>
      </c>
      <c r="D1733" s="7">
        <v>3.95</v>
      </c>
      <c r="E1733" t="s">
        <v>31</v>
      </c>
    </row>
    <row r="1734" spans="1:5" x14ac:dyDescent="0.25">
      <c r="A1734" t="str">
        <f>HYPERLINK("https://www.773grp.com/globalSearch/LF347N-NOPB/page-1", "LF347N-NOPB")</f>
        <v>LF347N-NOPB</v>
      </c>
      <c r="B1734" s="3" t="str">
        <f>HYPERLINK("https://www.773grp.com/manufacturer/national-semiconductor?pageNo=125", "National Semiconductor")</f>
        <v>National Semiconductor</v>
      </c>
      <c r="C1734" s="6">
        <v>104756</v>
      </c>
      <c r="D1734" s="7">
        <v>3.95</v>
      </c>
      <c r="E1734" t="s">
        <v>13</v>
      </c>
    </row>
    <row r="1735" spans="1:5" x14ac:dyDescent="0.25">
      <c r="A1735" t="str">
        <f>HYPERLINK("https://www.773grp.com/globalSearch/LM1771SSD-NOPB/page-1", "LM1771SSD-NOPB")</f>
        <v>LM1771SSD-NOPB</v>
      </c>
      <c r="B1735" s="3" t="str">
        <f>HYPERLINK("https://www.773grp.com/manufacturer/national-semiconductor?pageNo=126", "National Semiconductor")</f>
        <v>National Semiconductor</v>
      </c>
      <c r="C1735" s="6">
        <v>1000</v>
      </c>
      <c r="D1735" s="7">
        <v>3.95</v>
      </c>
    </row>
    <row r="1736" spans="1:5" x14ac:dyDescent="0.25">
      <c r="A1736" t="str">
        <f>HYPERLINK("https://www.773grp.com/globalSearch/LM1771TMM-NOPB/page-1", "LM1771TMM-NOPB")</f>
        <v>LM1771TMM-NOPB</v>
      </c>
      <c r="B1736" s="3" t="str">
        <f>HYPERLINK("https://www.773grp.com/manufacturer/national-semiconductor?pageNo=127", "National Semiconductor")</f>
        <v>National Semiconductor</v>
      </c>
      <c r="C1736" s="6">
        <v>1663</v>
      </c>
      <c r="D1736" s="7">
        <v>3.95</v>
      </c>
    </row>
    <row r="1737" spans="1:5" x14ac:dyDescent="0.25">
      <c r="A1737" t="str">
        <f>HYPERLINK("https://www.773grp.com/globalSearch/LM1771TSD-NOPB/page-1", "LM1771TSD-NOPB")</f>
        <v>LM1771TSD-NOPB</v>
      </c>
      <c r="B1737" s="3" t="str">
        <f>HYPERLINK("https://www.773grp.com/manufacturer/national-semiconductor?pageNo=128", "National Semiconductor")</f>
        <v>National Semiconductor</v>
      </c>
      <c r="C1737" s="6">
        <v>1000</v>
      </c>
      <c r="D1737" s="7">
        <v>3.95</v>
      </c>
    </row>
    <row r="1738" spans="1:5" x14ac:dyDescent="0.25">
      <c r="A1738" t="str">
        <f>HYPERLINK("https://www.773grp.com/globalSearch/LM1771UMM-NOPB/page-1", "LM1771UMM-NOPB")</f>
        <v>LM1771UMM-NOPB</v>
      </c>
      <c r="B1738" s="3" t="str">
        <f>HYPERLINK("https://www.773grp.com/manufacturer/national-semiconductor?pageNo=129", "National Semiconductor")</f>
        <v>National Semiconductor</v>
      </c>
      <c r="C1738" s="6">
        <v>1000</v>
      </c>
      <c r="D1738" s="7">
        <v>3.95</v>
      </c>
      <c r="E1738" t="s">
        <v>7</v>
      </c>
    </row>
    <row r="1739" spans="1:5" x14ac:dyDescent="0.25">
      <c r="A1739" t="str">
        <f>HYPERLINK("https://www.773grp.com/globalSearch/LM1771USD-NOPB/page-1", "LM1771USD-NOPB")</f>
        <v>LM1771USD-NOPB</v>
      </c>
      <c r="B1739" s="3" t="str">
        <f>HYPERLINK("https://www.773grp.com/manufacturer/national-semiconductor?pageNo=130", "National Semiconductor")</f>
        <v>National Semiconductor</v>
      </c>
      <c r="C1739" s="6">
        <v>1000</v>
      </c>
      <c r="D1739" s="7">
        <v>3.95</v>
      </c>
    </row>
    <row r="1740" spans="1:5" x14ac:dyDescent="0.25">
      <c r="A1740" t="str">
        <f>HYPERLINK("https://www.773grp.com/globalSearch/LM25085AMY/page-1", "LM25085AMY")</f>
        <v>LM25085AMY</v>
      </c>
      <c r="B1740" s="3" t="str">
        <f>HYPERLINK("https://www.773grp.com/manufacturer/national-semiconductor?pageNo=131", "National Semiconductor")</f>
        <v>National Semiconductor</v>
      </c>
      <c r="C1740" s="6">
        <v>6000</v>
      </c>
      <c r="D1740" s="7">
        <v>3.95</v>
      </c>
      <c r="E1740" t="s">
        <v>7</v>
      </c>
    </row>
    <row r="1741" spans="1:5" x14ac:dyDescent="0.25">
      <c r="A1741" t="str">
        <f>HYPERLINK("https://www.773grp.com/globalSearch/LM2662MX-NOPB/page-1", "LM2662MX-NOPB")</f>
        <v>LM2662MX-NOPB</v>
      </c>
      <c r="B1741" s="3" t="str">
        <f>HYPERLINK("https://www.773grp.com/manufacturer/national-semiconductor?pageNo=132", "National Semiconductor")</f>
        <v>National Semiconductor</v>
      </c>
      <c r="C1741" s="6">
        <v>15000</v>
      </c>
      <c r="D1741" s="7">
        <v>3.95</v>
      </c>
      <c r="E1741" t="s">
        <v>7</v>
      </c>
    </row>
    <row r="1742" spans="1:5" x14ac:dyDescent="0.25">
      <c r="A1742" t="str">
        <f>HYPERLINK("https://www.773grp.com/globalSearch/LM2703MF-ADJ-NOPB/page-1", "LM2703MF-ADJ-NOPB")</f>
        <v>LM2703MF-ADJ-NOPB</v>
      </c>
      <c r="B1742" s="3" t="str">
        <f>HYPERLINK("https://www.773grp.com/manufacturer/national-semiconductor?pageNo=133", "National Semiconductor")</f>
        <v>National Semiconductor</v>
      </c>
      <c r="C1742" s="6">
        <v>2000</v>
      </c>
      <c r="D1742" s="7">
        <v>3.95</v>
      </c>
      <c r="E1742" t="s">
        <v>7</v>
      </c>
    </row>
    <row r="1743" spans="1:5" x14ac:dyDescent="0.25">
      <c r="A1743" t="str">
        <f>HYPERLINK("https://www.773grp.com/globalSearch/LM2750LD-5.0-NOPB/page-1", "LM2750LD-5.0-NOPB")</f>
        <v>LM2750LD-5.0-NOPB</v>
      </c>
      <c r="B1743" s="3" t="str">
        <f>HYPERLINK("https://www.773grp.com/manufacturer/national-semiconductor?pageNo=134", "National Semiconductor")</f>
        <v>National Semiconductor</v>
      </c>
      <c r="C1743" s="6">
        <v>29766</v>
      </c>
      <c r="D1743" s="7">
        <v>3.95</v>
      </c>
      <c r="E1743" t="s">
        <v>7</v>
      </c>
    </row>
    <row r="1744" spans="1:5" x14ac:dyDescent="0.25">
      <c r="A1744" t="str">
        <f>HYPERLINK("https://www.773grp.com/globalSearch/LM2750LD-ADJ-NOPB/page-1", "LM2750LD-ADJ-NOPB")</f>
        <v>LM2750LD-ADJ-NOPB</v>
      </c>
      <c r="B1744" s="3" t="str">
        <f>HYPERLINK("https://www.773grp.com/manufacturer/national-semiconductor?pageNo=1", "National Semiconductor")</f>
        <v>National Semiconductor</v>
      </c>
      <c r="C1744" s="6">
        <v>1000</v>
      </c>
      <c r="D1744" s="7">
        <v>3.95</v>
      </c>
      <c r="E1744" t="s">
        <v>7</v>
      </c>
    </row>
    <row r="1745" spans="1:5" x14ac:dyDescent="0.25">
      <c r="A1745" t="str">
        <f>HYPERLINK("https://www.773grp.com/globalSearch/LM2750SD-5.0-NOPB/page-1", "LM2750SD-5.0-NOPB")</f>
        <v>LM2750SD-5.0-NOPB</v>
      </c>
      <c r="B1745" s="3" t="str">
        <f>HYPERLINK("https://www.773grp.com/manufacturer/national-semiconductor?pageNo=2", "National Semiconductor")</f>
        <v>National Semiconductor</v>
      </c>
      <c r="C1745" s="6">
        <v>3000</v>
      </c>
      <c r="D1745" s="7">
        <v>3.95</v>
      </c>
      <c r="E1745" t="s">
        <v>7</v>
      </c>
    </row>
    <row r="1746" spans="1:5" x14ac:dyDescent="0.25">
      <c r="A1746" t="str">
        <f>HYPERLINK("https://www.773grp.com/globalSearch/LM2750SD-ADJ-NOPB/page-1", "LM2750SD-ADJ-NOPB")</f>
        <v>LM2750SD-ADJ-NOPB</v>
      </c>
      <c r="B1746" s="3" t="str">
        <f>HYPERLINK("https://www.773grp.com/manufacturer/national-semiconductor?pageNo=3", "National Semiconductor")</f>
        <v>National Semiconductor</v>
      </c>
      <c r="C1746" s="6">
        <v>1750</v>
      </c>
      <c r="D1746" s="7">
        <v>3.95</v>
      </c>
      <c r="E1746" t="s">
        <v>7</v>
      </c>
    </row>
    <row r="1747" spans="1:5" x14ac:dyDescent="0.25">
      <c r="A1747" t="str">
        <f>HYPERLINK("https://www.773grp.com/globalSearch/LM2754SQ/page-1", "LM2754SQ")</f>
        <v>LM2754SQ</v>
      </c>
      <c r="B1747" s="3" t="str">
        <f>HYPERLINK("https://www.773grp.com/manufacturer/national-semiconductor?pageNo=4", "National Semiconductor")</f>
        <v>National Semiconductor</v>
      </c>
      <c r="C1747" s="6">
        <v>1000</v>
      </c>
      <c r="D1747" s="7">
        <v>3.95</v>
      </c>
      <c r="E1747" t="s">
        <v>10</v>
      </c>
    </row>
    <row r="1748" spans="1:5" x14ac:dyDescent="0.25">
      <c r="A1748" t="str">
        <f>HYPERLINK("https://www.773grp.com/globalSearch/LM2937ESX-8.0-S5000508/page-1", "LM2937ESX-8.0-S5000508")</f>
        <v>LM2937ESX-8.0-S5000508</v>
      </c>
      <c r="B1748" s="3" t="str">
        <f>HYPERLINK("https://www.773grp.com/manufacturer/national-semiconductor?pageNo=5", "National Semiconductor")</f>
        <v>National Semiconductor</v>
      </c>
      <c r="C1748" s="6">
        <v>2500</v>
      </c>
      <c r="D1748" s="7">
        <v>3.95</v>
      </c>
    </row>
    <row r="1749" spans="1:5" x14ac:dyDescent="0.25">
      <c r="A1749" t="str">
        <f>HYPERLINK("https://www.773grp.com/globalSearch/LM3280TL-NOPB/page-1", "LM3280TL-NOPB")</f>
        <v>LM3280TL-NOPB</v>
      </c>
      <c r="B1749" s="3" t="str">
        <f>HYPERLINK("https://www.773grp.com/manufacturer/national-semiconductor?pageNo=6", "National Semiconductor")</f>
        <v>National Semiconductor</v>
      </c>
      <c r="C1749" s="6">
        <v>500</v>
      </c>
      <c r="D1749" s="7">
        <v>3.95</v>
      </c>
    </row>
    <row r="1750" spans="1:5" x14ac:dyDescent="0.25">
      <c r="A1750" t="str">
        <f>HYPERLINK("https://www.773grp.com/globalSearch/LM3280TL-275-NOPB/page-1", "LM3280TL-275-NOPB")</f>
        <v>LM3280TL-275-NOPB</v>
      </c>
      <c r="B1750" s="3" t="str">
        <f>HYPERLINK("https://www.773grp.com/manufacturer/national-semiconductor?pageNo=7", "National Semiconductor")</f>
        <v>National Semiconductor</v>
      </c>
      <c r="C1750" s="6">
        <v>500</v>
      </c>
      <c r="D1750" s="7">
        <v>3.95</v>
      </c>
    </row>
    <row r="1751" spans="1:5" x14ac:dyDescent="0.25">
      <c r="A1751" t="str">
        <f>HYPERLINK("https://www.773grp.com/globalSearch/LM3280TL-280-NOPB/page-1", "LM3280TL-280-NOPB")</f>
        <v>LM3280TL-280-NOPB</v>
      </c>
      <c r="B1751" s="3" t="str">
        <f>HYPERLINK("https://www.773grp.com/manufacturer/national-semiconductor?pageNo=8", "National Semiconductor")</f>
        <v>National Semiconductor</v>
      </c>
      <c r="C1751" s="6">
        <v>500</v>
      </c>
      <c r="D1751" s="7">
        <v>3.95</v>
      </c>
    </row>
    <row r="1752" spans="1:5" x14ac:dyDescent="0.25">
      <c r="A1752" t="str">
        <f>HYPERLINK("https://www.773grp.com/globalSearch/LM3280TL-290-NOPB/page-1", "LM3280TL-290-NOPB")</f>
        <v>LM3280TL-290-NOPB</v>
      </c>
      <c r="B1752" s="3" t="str">
        <f>HYPERLINK("https://www.773grp.com/manufacturer/national-semiconductor?pageNo=9", "National Semiconductor")</f>
        <v>National Semiconductor</v>
      </c>
      <c r="C1752" s="6">
        <v>500</v>
      </c>
      <c r="D1752" s="7">
        <v>3.95</v>
      </c>
    </row>
    <row r="1753" spans="1:5" x14ac:dyDescent="0.25">
      <c r="A1753" t="str">
        <f>HYPERLINK("https://www.773grp.com/globalSearch/LM3409HVMY-NOPB/page-1", "LM3409HVMY-NOPB")</f>
        <v>LM3409HVMY-NOPB</v>
      </c>
      <c r="B1753" s="3" t="str">
        <f>HYPERLINK("https://www.773grp.com/manufacturer/national-semiconductor?pageNo=10", "National Semiconductor")</f>
        <v>National Semiconductor</v>
      </c>
      <c r="C1753" s="6">
        <v>50</v>
      </c>
      <c r="D1753" s="7">
        <v>3.95</v>
      </c>
      <c r="E1753" t="s">
        <v>10</v>
      </c>
    </row>
    <row r="1754" spans="1:5" x14ac:dyDescent="0.25">
      <c r="A1754" t="str">
        <f>HYPERLINK("https://www.773grp.com/globalSearch/LM3430SD-NOPB/page-1", "LM3430SD-NOPB")</f>
        <v>LM3430SD-NOPB</v>
      </c>
      <c r="B1754" s="3" t="str">
        <f>HYPERLINK("https://www.773grp.com/manufacturer/national-semiconductor?pageNo=11", "National Semiconductor")</f>
        <v>National Semiconductor</v>
      </c>
      <c r="C1754" s="6">
        <v>2041</v>
      </c>
      <c r="D1754" s="7">
        <v>3.95</v>
      </c>
    </row>
    <row r="1755" spans="1:5" x14ac:dyDescent="0.25">
      <c r="A1755" t="str">
        <f>HYPERLINK("https://www.773grp.com/globalSearch/LM3704XCMM-308-NOPB/page-1", "LM3704XCMM-308-NOPB")</f>
        <v>LM3704XCMM-308-NOPB</v>
      </c>
      <c r="B1755" s="3" t="str">
        <f>HYPERLINK("https://www.773grp.com/manufacturer/national-semiconductor?pageNo=12", "National Semiconductor")</f>
        <v>National Semiconductor</v>
      </c>
      <c r="C1755" s="6">
        <v>1000</v>
      </c>
      <c r="D1755" s="7">
        <v>3.95</v>
      </c>
      <c r="E1755" t="s">
        <v>30</v>
      </c>
    </row>
    <row r="1756" spans="1:5" x14ac:dyDescent="0.25">
      <c r="A1756" t="str">
        <f>HYPERLINK("https://www.773grp.com/globalSearch/LM3704YCMM-232-NOPB/page-1", "LM3704YCMM-232-NOPB")</f>
        <v>LM3704YCMM-232-NOPB</v>
      </c>
      <c r="B1756" s="3" t="str">
        <f>HYPERLINK("https://www.773grp.com/manufacturer/national-semiconductor?pageNo=13", "National Semiconductor")</f>
        <v>National Semiconductor</v>
      </c>
      <c r="C1756" s="6">
        <v>227</v>
      </c>
      <c r="D1756" s="7">
        <v>3.95</v>
      </c>
      <c r="E1756" t="s">
        <v>30</v>
      </c>
    </row>
    <row r="1757" spans="1:5" x14ac:dyDescent="0.25">
      <c r="A1757" t="str">
        <f>HYPERLINK("https://www.773grp.com/globalSearch/LM3704YCMM-308-NOPB/page-1", "LM3704YCMM-308-NOPB")</f>
        <v>LM3704YCMM-308-NOPB</v>
      </c>
      <c r="B1757" s="3" t="str">
        <f>HYPERLINK("https://www.773grp.com/manufacturer/national-semiconductor?pageNo=14", "National Semiconductor")</f>
        <v>National Semiconductor</v>
      </c>
      <c r="C1757" s="6">
        <v>3000</v>
      </c>
      <c r="D1757" s="7">
        <v>3.95</v>
      </c>
      <c r="E1757" t="s">
        <v>30</v>
      </c>
    </row>
    <row r="1758" spans="1:5" x14ac:dyDescent="0.25">
      <c r="A1758" t="str">
        <f>HYPERLINK("https://www.773grp.com/globalSearch/LM3724IM5-2.32-NOPB/page-1", "LM3724IM5-2.32-NOPB")</f>
        <v>LM3724IM5-2.32-NOPB</v>
      </c>
      <c r="B1758" s="3" t="str">
        <f>HYPERLINK("https://www.773grp.com/manufacturer/national-semiconductor?pageNo=15", "National Semiconductor")</f>
        <v>National Semiconductor</v>
      </c>
      <c r="C1758" s="6">
        <v>200</v>
      </c>
      <c r="D1758" s="7">
        <v>3.95</v>
      </c>
      <c r="E1758" t="s">
        <v>30</v>
      </c>
    </row>
    <row r="1759" spans="1:5" x14ac:dyDescent="0.25">
      <c r="A1759" t="str">
        <f>HYPERLINK("https://www.773grp.com/globalSearch/LM3724IM5-3.08-NOPB/page-1", "LM3724IM5-3.08-NOPB")</f>
        <v>LM3724IM5-3.08-NOPB</v>
      </c>
      <c r="B1759" s="3" t="str">
        <f>HYPERLINK("https://www.773grp.com/manufacturer/national-semiconductor?pageNo=16", "National Semiconductor")</f>
        <v>National Semiconductor</v>
      </c>
      <c r="C1759" s="6">
        <v>2000</v>
      </c>
      <c r="D1759" s="7">
        <v>3.95</v>
      </c>
      <c r="E1759" t="s">
        <v>30</v>
      </c>
    </row>
    <row r="1760" spans="1:5" x14ac:dyDescent="0.25">
      <c r="A1760" t="str">
        <f>HYPERLINK("https://www.773grp.com/globalSearch/LM3724IM5-4.63-NOPB/page-1", "LM3724IM5-4.63-NOPB")</f>
        <v>LM3724IM5-4.63-NOPB</v>
      </c>
      <c r="B1760" s="3" t="str">
        <f>HYPERLINK("https://www.773grp.com/manufacturer/national-semiconductor?pageNo=17", "National Semiconductor")</f>
        <v>National Semiconductor</v>
      </c>
      <c r="C1760" s="6">
        <v>1039</v>
      </c>
      <c r="D1760" s="7">
        <v>3.95</v>
      </c>
      <c r="E1760" t="s">
        <v>30</v>
      </c>
    </row>
    <row r="1761" spans="1:5" x14ac:dyDescent="0.25">
      <c r="A1761" t="str">
        <f>HYPERLINK("https://www.773grp.com/globalSearch/LM4050CEM3-2.5-NOPB/page-1", "LM4050CEM3-2.5-NOPB")</f>
        <v>LM4050CEM3-2.5-NOPB</v>
      </c>
      <c r="B1761" s="3" t="str">
        <f>HYPERLINK("https://www.773grp.com/manufacturer/national-semiconductor?pageNo=18", "National Semiconductor")</f>
        <v>National Semiconductor</v>
      </c>
      <c r="C1761" s="6">
        <v>3600</v>
      </c>
      <c r="D1761" s="7">
        <v>3.95</v>
      </c>
      <c r="E1761" t="s">
        <v>17</v>
      </c>
    </row>
    <row r="1762" spans="1:5" x14ac:dyDescent="0.25">
      <c r="A1762" t="str">
        <f>HYPERLINK("https://www.773grp.com/globalSearch/LM4120AIM5-1.8-NOPB/page-1", "LM4120AIM5-1.8-NOPB")</f>
        <v>LM4120AIM5-1.8-NOPB</v>
      </c>
      <c r="B1762" s="3" t="str">
        <f>HYPERLINK("https://www.773grp.com/manufacturer/national-semiconductor?pageNo=19", "National Semiconductor")</f>
        <v>National Semiconductor</v>
      </c>
      <c r="C1762" s="6">
        <v>2638</v>
      </c>
      <c r="D1762" s="7">
        <v>3.95</v>
      </c>
      <c r="E1762" t="s">
        <v>17</v>
      </c>
    </row>
    <row r="1763" spans="1:5" x14ac:dyDescent="0.25">
      <c r="A1763" t="str">
        <f>HYPERLINK("https://www.773grp.com/globalSearch/LM4120AIM5-2.0-NOPB/page-1", "LM4120AIM5-2.0-NOPB")</f>
        <v>LM4120AIM5-2.0-NOPB</v>
      </c>
      <c r="B1763" s="3" t="str">
        <f>HYPERLINK("https://www.773grp.com/manufacturer/national-semiconductor?pageNo=20", "National Semiconductor")</f>
        <v>National Semiconductor</v>
      </c>
      <c r="C1763" s="6">
        <v>4000</v>
      </c>
      <c r="D1763" s="7">
        <v>3.95</v>
      </c>
      <c r="E1763" t="s">
        <v>17</v>
      </c>
    </row>
    <row r="1764" spans="1:5" x14ac:dyDescent="0.25">
      <c r="A1764" t="str">
        <f>HYPERLINK("https://www.773grp.com/globalSearch/LM4120AIM5-2.5-NOPB/page-1", "LM4120AIM5-2.5-NOPB")</f>
        <v>LM4120AIM5-2.5-NOPB</v>
      </c>
      <c r="B1764" s="3" t="str">
        <f>HYPERLINK("https://www.773grp.com/manufacturer/national-semiconductor?pageNo=21", "National Semiconductor")</f>
        <v>National Semiconductor</v>
      </c>
      <c r="C1764" s="6">
        <v>7000</v>
      </c>
      <c r="D1764" s="7">
        <v>3.95</v>
      </c>
      <c r="E1764" t="s">
        <v>17</v>
      </c>
    </row>
    <row r="1765" spans="1:5" x14ac:dyDescent="0.25">
      <c r="A1765" t="str">
        <f>HYPERLINK("https://www.773grp.com/globalSearch/LM4120AIM5-3.0-NOPB/page-1", "LM4120AIM5-3.0-NOPB")</f>
        <v>LM4120AIM5-3.0-NOPB</v>
      </c>
      <c r="B1765" s="3" t="str">
        <f>HYPERLINK("https://www.773grp.com/manufacturer/national-semiconductor?pageNo=22", "National Semiconductor")</f>
        <v>National Semiconductor</v>
      </c>
      <c r="C1765" s="6">
        <v>4000</v>
      </c>
      <c r="D1765" s="7">
        <v>3.95</v>
      </c>
      <c r="E1765" t="s">
        <v>17</v>
      </c>
    </row>
    <row r="1766" spans="1:5" x14ac:dyDescent="0.25">
      <c r="A1766" t="str">
        <f>HYPERLINK("https://www.773grp.com/globalSearch/LM4120AIM5-3.3-NOPB/page-1", "LM4120AIM5-3.3-NOPB")</f>
        <v>LM4120AIM5-3.3-NOPB</v>
      </c>
      <c r="B1766" s="3" t="str">
        <f>HYPERLINK("https://www.773grp.com/manufacturer/national-semiconductor?pageNo=23", "National Semiconductor")</f>
        <v>National Semiconductor</v>
      </c>
      <c r="C1766" s="6">
        <v>3057</v>
      </c>
      <c r="D1766" s="7">
        <v>3.95</v>
      </c>
      <c r="E1766" t="s">
        <v>17</v>
      </c>
    </row>
    <row r="1767" spans="1:5" x14ac:dyDescent="0.25">
      <c r="A1767" t="str">
        <f>HYPERLINK("https://www.773grp.com/globalSearch/LM4120AIM5-4.1-NOPB/page-1", "LM4120AIM5-4.1-NOPB")</f>
        <v>LM4120AIM5-4.1-NOPB</v>
      </c>
      <c r="B1767" s="3" t="str">
        <f>HYPERLINK("https://www.773grp.com/manufacturer/national-semiconductor?pageNo=24", "National Semiconductor")</f>
        <v>National Semiconductor</v>
      </c>
      <c r="C1767" s="6">
        <v>2000</v>
      </c>
      <c r="D1767" s="7">
        <v>3.95</v>
      </c>
      <c r="E1767" t="s">
        <v>17</v>
      </c>
    </row>
    <row r="1768" spans="1:5" x14ac:dyDescent="0.25">
      <c r="A1768" t="str">
        <f>HYPERLINK("https://www.773grp.com/globalSearch/LM4120AIM5-5.0-NOPB/page-1", "LM4120AIM5-5.0-NOPB")</f>
        <v>LM4120AIM5-5.0-NOPB</v>
      </c>
      <c r="B1768" s="3" t="str">
        <f>HYPERLINK("https://www.773grp.com/manufacturer/national-semiconductor?pageNo=25", "National Semiconductor")</f>
        <v>National Semiconductor</v>
      </c>
      <c r="C1768" s="6">
        <v>931</v>
      </c>
      <c r="D1768" s="7">
        <v>3.95</v>
      </c>
      <c r="E1768" t="s">
        <v>17</v>
      </c>
    </row>
    <row r="1769" spans="1:5" x14ac:dyDescent="0.25">
      <c r="A1769" t="str">
        <f>HYPERLINK("https://www.773grp.com/globalSearch/LM4120AIM5X-2.5-NOPB/page-1", "LM4120AIM5X-2.5-NOPB")</f>
        <v>LM4120AIM5X-2.5-NOPB</v>
      </c>
      <c r="B1769" s="3" t="str">
        <f>HYPERLINK("https://www.773grp.com/manufacturer/national-semiconductor?pageNo=26", "National Semiconductor")</f>
        <v>National Semiconductor</v>
      </c>
      <c r="C1769" s="6">
        <v>12000</v>
      </c>
      <c r="D1769" s="7">
        <v>3.95</v>
      </c>
      <c r="E1769" t="s">
        <v>17</v>
      </c>
    </row>
    <row r="1770" spans="1:5" x14ac:dyDescent="0.25">
      <c r="A1770" t="str">
        <f>HYPERLINK("https://www.773grp.com/globalSearch/LM4120AIM5X-3.0-NOPB/page-1", "LM4120AIM5X-3.0-NOPB")</f>
        <v>LM4120AIM5X-3.0-NOPB</v>
      </c>
      <c r="B1770" s="3" t="str">
        <f>HYPERLINK("https://www.773grp.com/manufacturer/national-semiconductor?pageNo=27", "National Semiconductor")</f>
        <v>National Semiconductor</v>
      </c>
      <c r="C1770" s="6">
        <v>9000</v>
      </c>
      <c r="D1770" s="7">
        <v>3.95</v>
      </c>
      <c r="E1770" t="s">
        <v>17</v>
      </c>
    </row>
    <row r="1771" spans="1:5" x14ac:dyDescent="0.25">
      <c r="A1771" t="str">
        <f>HYPERLINK("https://www.773grp.com/globalSearch/LM4120AIM5X-3.3-NOPB/page-1", "LM4120AIM5X-3.3-NOPB")</f>
        <v>LM4120AIM5X-3.3-NOPB</v>
      </c>
      <c r="B1771" s="3" t="str">
        <f>HYPERLINK("https://www.773grp.com/manufacturer/national-semiconductor?pageNo=28", "National Semiconductor")</f>
        <v>National Semiconductor</v>
      </c>
      <c r="C1771" s="6">
        <v>3000</v>
      </c>
      <c r="D1771" s="7">
        <v>3.95</v>
      </c>
      <c r="E1771" t="s">
        <v>17</v>
      </c>
    </row>
    <row r="1772" spans="1:5" x14ac:dyDescent="0.25">
      <c r="A1772" t="str">
        <f>HYPERLINK("https://www.773grp.com/globalSearch/LM70CIMM-3-NOPB/page-1", "LM70CIMM-3-NOPB")</f>
        <v>LM70CIMM-3-NOPB</v>
      </c>
      <c r="B1772" s="3" t="str">
        <f>HYPERLINK("https://www.773grp.com/manufacturer/national-semiconductor?pageNo=29", "National Semiconductor")</f>
        <v>National Semiconductor</v>
      </c>
      <c r="C1772" s="6">
        <v>7349</v>
      </c>
      <c r="D1772" s="7">
        <v>3.95</v>
      </c>
      <c r="E1772" t="s">
        <v>12</v>
      </c>
    </row>
    <row r="1773" spans="1:5" x14ac:dyDescent="0.25">
      <c r="A1773" t="str">
        <f>HYPERLINK("https://www.773grp.com/globalSearch/LM70CIMM-5-NOPB/page-1", "LM70CIMM-5-NOPB")</f>
        <v>LM70CIMM-5-NOPB</v>
      </c>
      <c r="B1773" s="3" t="str">
        <f>HYPERLINK("https://www.773grp.com/manufacturer/national-semiconductor?pageNo=30", "National Semiconductor")</f>
        <v>National Semiconductor</v>
      </c>
      <c r="C1773" s="6">
        <v>4002</v>
      </c>
      <c r="D1773" s="7">
        <v>3.95</v>
      </c>
      <c r="E1773" t="s">
        <v>12</v>
      </c>
    </row>
    <row r="1774" spans="1:5" x14ac:dyDescent="0.25">
      <c r="A1774" t="str">
        <f>HYPERLINK("https://www.773grp.com/globalSearch/LM70CIMMX-3-NOPB/page-1", "LM70CIMMX-3-NOPB")</f>
        <v>LM70CIMMX-3-NOPB</v>
      </c>
      <c r="B1774" s="3" t="str">
        <f>HYPERLINK("https://www.773grp.com/manufacturer/national-semiconductor?pageNo=31", "National Semiconductor")</f>
        <v>National Semiconductor</v>
      </c>
      <c r="C1774" s="6">
        <v>7000</v>
      </c>
      <c r="D1774" s="7">
        <v>3.95</v>
      </c>
      <c r="E1774" t="s">
        <v>12</v>
      </c>
    </row>
    <row r="1775" spans="1:5" x14ac:dyDescent="0.25">
      <c r="A1775" t="str">
        <f>HYPERLINK("https://www.773grp.com/globalSearch/LM70CIMMX-5-NOPB/page-1", "LM70CIMMX-5-NOPB")</f>
        <v>LM70CIMMX-5-NOPB</v>
      </c>
      <c r="B1775" s="3" t="str">
        <f>HYPERLINK("https://www.773grp.com/manufacturer/national-semiconductor?pageNo=32", "National Semiconductor")</f>
        <v>National Semiconductor</v>
      </c>
      <c r="C1775" s="6">
        <v>1700</v>
      </c>
      <c r="D1775" s="7">
        <v>3.95</v>
      </c>
      <c r="E1775" t="s">
        <v>12</v>
      </c>
    </row>
    <row r="1776" spans="1:5" x14ac:dyDescent="0.25">
      <c r="A1776" t="str">
        <f>HYPERLINK("https://www.773grp.com/globalSearch/LM73CIMKX-1-NOPB/page-1", "LM73CIMKX-1-NOPB")</f>
        <v>LM73CIMKX-1-NOPB</v>
      </c>
      <c r="B1776" s="3" t="str">
        <f>HYPERLINK("https://www.773grp.com/manufacturer/national-semiconductor?pageNo=33", "National Semiconductor")</f>
        <v>National Semiconductor</v>
      </c>
      <c r="C1776" s="6">
        <v>1910</v>
      </c>
      <c r="D1776" s="7">
        <v>3.95</v>
      </c>
    </row>
    <row r="1777" spans="1:5" x14ac:dyDescent="0.25">
      <c r="A1777" t="str">
        <f>HYPERLINK("https://www.773grp.com/globalSearch/LMH6643MAX-J7002224/page-1", "LMH6643MAX-J7002224")</f>
        <v>LMH6643MAX-J7002224</v>
      </c>
      <c r="B1777" s="3" t="str">
        <f>HYPERLINK("https://www.773grp.com/manufacturer/national-semiconductor?pageNo=34", "National Semiconductor")</f>
        <v>National Semiconductor</v>
      </c>
      <c r="C1777" s="6">
        <v>7500</v>
      </c>
      <c r="D1777" s="7">
        <v>3.95</v>
      </c>
    </row>
    <row r="1778" spans="1:5" x14ac:dyDescent="0.25">
      <c r="A1778" t="str">
        <f>HYPERLINK("https://www.773grp.com/globalSearch/LMH6643MMX/page-1", "LMH6643MMX")</f>
        <v>LMH6643MMX</v>
      </c>
      <c r="B1778" s="3" t="str">
        <f>HYPERLINK("https://www.773grp.com/manufacturer/national-semiconductor?pageNo=35", "National Semiconductor")</f>
        <v>National Semiconductor</v>
      </c>
      <c r="C1778" s="6">
        <v>6700</v>
      </c>
      <c r="D1778" s="7">
        <v>3.95</v>
      </c>
      <c r="E1778" t="s">
        <v>18</v>
      </c>
    </row>
    <row r="1779" spans="1:5" x14ac:dyDescent="0.25">
      <c r="A1779" t="str">
        <f>HYPERLINK("https://www.773grp.com/globalSearch/LMH6643MMX-S7002247/page-1", "LMH6643MMX-S7002247")</f>
        <v>LMH6643MMX-S7002247</v>
      </c>
      <c r="B1779" s="3" t="str">
        <f>HYPERLINK("https://www.773grp.com/manufacturer/national-semiconductor?pageNo=36", "National Semiconductor")</f>
        <v>National Semiconductor</v>
      </c>
      <c r="C1779" s="6">
        <v>7000</v>
      </c>
      <c r="D1779" s="7">
        <v>3.95</v>
      </c>
    </row>
    <row r="1780" spans="1:5" x14ac:dyDescent="0.25">
      <c r="A1780" t="str">
        <f>HYPERLINK("https://www.773grp.com/globalSearch/LMS4684ITLX-NOPB/page-1", "LMS4684ITLX-NOPB")</f>
        <v>LMS4684ITLX-NOPB</v>
      </c>
      <c r="B1780" s="3" t="str">
        <f>HYPERLINK("https://www.773grp.com/manufacturer/national-semiconductor?pageNo=37", "National Semiconductor")</f>
        <v>National Semiconductor</v>
      </c>
      <c r="C1780" s="6">
        <v>15000</v>
      </c>
      <c r="D1780" s="7">
        <v>3.95</v>
      </c>
    </row>
    <row r="1781" spans="1:5" x14ac:dyDescent="0.25">
      <c r="A1781" t="str">
        <f>HYPERLINK("https://www.773grp.com/globalSearch/LP2966IMM-1828/page-1", "LP2966IMM-1828")</f>
        <v>LP2966IMM-1828</v>
      </c>
      <c r="B1781" s="3" t="str">
        <f>HYPERLINK("https://www.773grp.com/manufacturer/national-semiconductor?pageNo=38", "National Semiconductor")</f>
        <v>National Semiconductor</v>
      </c>
      <c r="C1781" s="6">
        <v>1755</v>
      </c>
      <c r="D1781" s="7">
        <v>3.95</v>
      </c>
      <c r="E1781" t="s">
        <v>44</v>
      </c>
    </row>
    <row r="1782" spans="1:5" x14ac:dyDescent="0.25">
      <c r="A1782" t="str">
        <f>HYPERLINK("https://www.773grp.com/globalSearch/LP2966IMM-3030/page-1", "LP2966IMM-3030")</f>
        <v>LP2966IMM-3030</v>
      </c>
      <c r="B1782" s="3" t="str">
        <f>HYPERLINK("https://www.773grp.com/manufacturer/national-semiconductor?pageNo=39", "National Semiconductor")</f>
        <v>National Semiconductor</v>
      </c>
      <c r="C1782" s="6">
        <v>5</v>
      </c>
      <c r="D1782" s="7">
        <v>3.95</v>
      </c>
      <c r="E1782" t="s">
        <v>44</v>
      </c>
    </row>
    <row r="1783" spans="1:5" x14ac:dyDescent="0.25">
      <c r="A1783" t="str">
        <f>HYPERLINK("https://www.773grp.com/globalSearch/LP2966IMM-3336/page-1", "LP2966IMM-3336")</f>
        <v>LP2966IMM-3336</v>
      </c>
      <c r="B1783" s="3" t="str">
        <f>HYPERLINK("https://www.773grp.com/manufacturer/national-semiconductor?pageNo=40", "National Semiconductor")</f>
        <v>National Semiconductor</v>
      </c>
      <c r="C1783" s="6">
        <v>250</v>
      </c>
      <c r="D1783" s="7">
        <v>3.95</v>
      </c>
      <c r="E1783" t="s">
        <v>44</v>
      </c>
    </row>
    <row r="1784" spans="1:5" x14ac:dyDescent="0.25">
      <c r="A1784" t="str">
        <f>HYPERLINK("https://www.773grp.com/globalSearch/LP2987IMM-3.3-NOPB/page-1", "LP2987IMM-3.3-NOPB")</f>
        <v>LP2987IMM-3.3-NOPB</v>
      </c>
      <c r="B1784" s="3" t="str">
        <f>HYPERLINK("https://www.773grp.com/manufacturer/national-semiconductor?pageNo=41", "National Semiconductor")</f>
        <v>National Semiconductor</v>
      </c>
      <c r="C1784" s="6">
        <v>131</v>
      </c>
      <c r="D1784" s="7">
        <v>3.95</v>
      </c>
      <c r="E1784" t="s">
        <v>19</v>
      </c>
    </row>
    <row r="1785" spans="1:5" x14ac:dyDescent="0.25">
      <c r="A1785" t="str">
        <f>HYPERLINK("https://www.773grp.com/globalSearch/LP2988AIMX-3.3-NOPB/page-1", "LP2988AIMX-3.3-NOPB")</f>
        <v>LP2988AIMX-3.3-NOPB</v>
      </c>
      <c r="B1785" s="3" t="str">
        <f>HYPERLINK("https://www.773grp.com/manufacturer/national-semiconductor?pageNo=42", "National Semiconductor")</f>
        <v>National Semiconductor</v>
      </c>
      <c r="C1785" s="6">
        <v>2500</v>
      </c>
      <c r="D1785" s="7">
        <v>3.95</v>
      </c>
      <c r="E1785" t="s">
        <v>19</v>
      </c>
    </row>
    <row r="1786" spans="1:5" x14ac:dyDescent="0.25">
      <c r="A1786" t="str">
        <f>HYPERLINK("https://www.773grp.com/globalSearch/LP2998MAE-NOPB/page-1", "LP2998MAE-NOPB")</f>
        <v>LP2998MAE-NOPB</v>
      </c>
      <c r="B1786" s="3" t="str">
        <f>HYPERLINK("https://www.773grp.com/manufacturer/national-semiconductor?pageNo=43", "National Semiconductor")</f>
        <v>National Semiconductor</v>
      </c>
      <c r="C1786" s="6">
        <v>250</v>
      </c>
      <c r="D1786" s="7">
        <v>3.95</v>
      </c>
      <c r="E1786" t="s">
        <v>24</v>
      </c>
    </row>
    <row r="1787" spans="1:5" x14ac:dyDescent="0.25">
      <c r="A1787" t="str">
        <f>HYPERLINK("https://www.773grp.com/globalSearch/LP38500SDE-ADJ/page-1", "LP38500SDE-ADJ")</f>
        <v>LP38500SDE-ADJ</v>
      </c>
      <c r="B1787" s="3" t="str">
        <f>HYPERLINK("https://www.773grp.com/manufacturer/national-semiconductor?pageNo=44", "National Semiconductor")</f>
        <v>National Semiconductor</v>
      </c>
      <c r="C1787" s="6">
        <v>500</v>
      </c>
      <c r="D1787" s="7">
        <v>3.95</v>
      </c>
    </row>
    <row r="1788" spans="1:5" x14ac:dyDescent="0.25">
      <c r="A1788" t="str">
        <f>HYPERLINK("https://www.773grp.com/globalSearch/LP38512TJ-ADJ-NOPB/page-1", "LP38512TJ-ADJ-NOPB")</f>
        <v>LP38512TJ-ADJ-NOPB</v>
      </c>
      <c r="B1788" s="3" t="str">
        <f>HYPERLINK("https://www.773grp.com/manufacturer/national-semiconductor?pageNo=45", "National Semiconductor")</f>
        <v>National Semiconductor</v>
      </c>
      <c r="C1788" s="6">
        <v>1823</v>
      </c>
      <c r="D1788" s="7">
        <v>3.95</v>
      </c>
    </row>
    <row r="1789" spans="1:5" x14ac:dyDescent="0.25">
      <c r="A1789" t="str">
        <f>HYPERLINK("https://www.773grp.com/globalSearch/LP8501TMX-NOPB/page-1", "LP8501TMX-NOPB")</f>
        <v>LP8501TMX-NOPB</v>
      </c>
      <c r="B1789" s="3" t="str">
        <f>HYPERLINK("https://www.773grp.com/manufacturer/national-semiconductor?pageNo=46", "National Semiconductor")</f>
        <v>National Semiconductor</v>
      </c>
      <c r="C1789" s="6">
        <v>240000</v>
      </c>
      <c r="D1789" s="7">
        <v>3.95</v>
      </c>
    </row>
    <row r="1790" spans="1:5" x14ac:dyDescent="0.25">
      <c r="A1790" t="str">
        <f>HYPERLINK("https://www.773grp.com/globalSearch/MM80C96N/page-1", "MM80C96N")</f>
        <v>MM80C96N</v>
      </c>
      <c r="B1790" s="3" t="str">
        <f>HYPERLINK("https://www.773grp.com/manufacturer/national-semiconductor?pageNo=47", "National Semiconductor")</f>
        <v>National Semiconductor</v>
      </c>
      <c r="C1790" s="6">
        <v>391</v>
      </c>
      <c r="D1790" s="7">
        <v>3.95</v>
      </c>
      <c r="E1790" t="s">
        <v>14</v>
      </c>
    </row>
    <row r="1791" spans="1:5" x14ac:dyDescent="0.25">
      <c r="A1791" t="str">
        <f>HYPERLINK("https://www.773grp.com/globalSearch/LF347N-NOPB/page-1", "LF347N-NOPB")</f>
        <v>LF347N-NOPB</v>
      </c>
      <c r="B1791" s="3" t="str">
        <f>HYPERLINK("https://www.773grp.com/manufacturer/national-semiconductor?pageNo=48", "National Semiconductor")</f>
        <v>National Semiconductor</v>
      </c>
      <c r="C1791" s="6">
        <v>26775</v>
      </c>
      <c r="D1791" s="7">
        <v>3.95</v>
      </c>
      <c r="E1791" t="s">
        <v>13</v>
      </c>
    </row>
    <row r="1792" spans="1:5" x14ac:dyDescent="0.25">
      <c r="A1792" t="str">
        <f>HYPERLINK("https://www.773grp.com/globalSearch/LM1771SMM-NOPB/page-1", "LM1771SMM-NOPB")</f>
        <v>LM1771SMM-NOPB</v>
      </c>
      <c r="B1792" s="3" t="str">
        <f>HYPERLINK("https://www.773grp.com/manufacturer/national-semiconductor?pageNo=49", "National Semiconductor")</f>
        <v>National Semiconductor</v>
      </c>
      <c r="C1792" s="6">
        <v>2755</v>
      </c>
      <c r="D1792" s="7">
        <v>3.95</v>
      </c>
    </row>
    <row r="1793" spans="1:5" x14ac:dyDescent="0.25">
      <c r="A1793" t="str">
        <f>HYPERLINK("https://www.773grp.com/globalSearch/LM1771TMM-NOPB/page-1", "LM1771TMM-NOPB")</f>
        <v>LM1771TMM-NOPB</v>
      </c>
      <c r="B1793" s="3" t="str">
        <f>HYPERLINK("https://www.773grp.com/manufacturer/national-semiconductor?pageNo=50", "National Semiconductor")</f>
        <v>National Semiconductor</v>
      </c>
      <c r="C1793" s="6">
        <v>960</v>
      </c>
      <c r="D1793" s="7">
        <v>3.95</v>
      </c>
    </row>
    <row r="1794" spans="1:5" x14ac:dyDescent="0.25">
      <c r="A1794" t="str">
        <f>HYPERLINK("https://www.773grp.com/globalSearch/LM1771UMM-NOPB/page-1", "LM1771UMM-NOPB")</f>
        <v>LM1771UMM-NOPB</v>
      </c>
      <c r="B1794" s="3" t="str">
        <f>HYPERLINK("https://www.773grp.com/manufacturer/national-semiconductor?pageNo=51", "National Semiconductor")</f>
        <v>National Semiconductor</v>
      </c>
      <c r="C1794" s="6">
        <v>4187</v>
      </c>
      <c r="D1794" s="7">
        <v>3.95</v>
      </c>
      <c r="E1794" t="s">
        <v>7</v>
      </c>
    </row>
    <row r="1795" spans="1:5" x14ac:dyDescent="0.25">
      <c r="A1795" t="str">
        <f>HYPERLINK("https://www.773grp.com/globalSearch/LM1771USD-NOPB/page-1", "LM1771USD-NOPB")</f>
        <v>LM1771USD-NOPB</v>
      </c>
      <c r="B1795" s="3" t="str">
        <f>HYPERLINK("https://www.773grp.com/manufacturer/national-semiconductor?pageNo=52", "National Semiconductor")</f>
        <v>National Semiconductor</v>
      </c>
      <c r="C1795" s="6">
        <v>2000</v>
      </c>
      <c r="D1795" s="7">
        <v>3.95</v>
      </c>
    </row>
    <row r="1796" spans="1:5" x14ac:dyDescent="0.25">
      <c r="A1796" t="str">
        <f>HYPERLINK("https://www.773grp.com/globalSearch/LM2750LD-5.0-NOPB/page-1", "LM2750LD-5.0-NOPB")</f>
        <v>LM2750LD-5.0-NOPB</v>
      </c>
      <c r="B1796" s="3" t="str">
        <f>HYPERLINK("https://www.773grp.com/manufacturer/national-semiconductor?pageNo=53", "National Semiconductor")</f>
        <v>National Semiconductor</v>
      </c>
      <c r="C1796" s="6">
        <v>980</v>
      </c>
      <c r="D1796" s="7">
        <v>3.95</v>
      </c>
      <c r="E1796" t="s">
        <v>7</v>
      </c>
    </row>
    <row r="1797" spans="1:5" x14ac:dyDescent="0.25">
      <c r="A1797" t="str">
        <f>HYPERLINK("https://www.773grp.com/globalSearch/LM2750LD-ADJ-NOPB/page-1", "LM2750LD-ADJ-NOPB")</f>
        <v>LM2750LD-ADJ-NOPB</v>
      </c>
      <c r="B1797" s="3" t="str">
        <f>HYPERLINK("https://www.773grp.com/manufacturer/national-semiconductor?pageNo=54", "National Semiconductor")</f>
        <v>National Semiconductor</v>
      </c>
      <c r="C1797" s="6">
        <v>2000</v>
      </c>
      <c r="D1797" s="7">
        <v>3.95</v>
      </c>
      <c r="E1797" t="s">
        <v>7</v>
      </c>
    </row>
    <row r="1798" spans="1:5" x14ac:dyDescent="0.25">
      <c r="A1798" t="str">
        <f>HYPERLINK("https://www.773grp.com/globalSearch/LM2750LDX-ADJ-NOPB/page-1", "LM2750LDX-ADJ-NOPB")</f>
        <v>LM2750LDX-ADJ-NOPB</v>
      </c>
      <c r="B1798" s="3" t="str">
        <f>HYPERLINK("https://www.773grp.com/manufacturer/national-semiconductor?pageNo=55", "National Semiconductor")</f>
        <v>National Semiconductor</v>
      </c>
      <c r="C1798" s="6">
        <v>4500</v>
      </c>
      <c r="D1798" s="7">
        <v>3.95</v>
      </c>
    </row>
    <row r="1799" spans="1:5" x14ac:dyDescent="0.25">
      <c r="A1799" t="str">
        <f>HYPERLINK("https://www.773grp.com/globalSearch/LM2750SD-5.0-NOPB/page-1", "LM2750SD-5.0-NOPB")</f>
        <v>LM2750SD-5.0-NOPB</v>
      </c>
      <c r="B1799" s="3" t="str">
        <f>HYPERLINK("https://www.773grp.com/manufacturer/national-semiconductor?pageNo=56", "National Semiconductor")</f>
        <v>National Semiconductor</v>
      </c>
      <c r="C1799" s="6">
        <v>8313</v>
      </c>
      <c r="D1799" s="7">
        <v>3.95</v>
      </c>
      <c r="E1799" t="s">
        <v>7</v>
      </c>
    </row>
    <row r="1800" spans="1:5" x14ac:dyDescent="0.25">
      <c r="A1800" t="str">
        <f>HYPERLINK("https://www.773grp.com/globalSearch/LM2750SD-ADJ-NOPB/page-1", "LM2750SD-ADJ-NOPB")</f>
        <v>LM2750SD-ADJ-NOPB</v>
      </c>
      <c r="B1800" s="3" t="str">
        <f>HYPERLINK("https://www.773grp.com/manufacturer/national-semiconductor?pageNo=57", "National Semiconductor")</f>
        <v>National Semiconductor</v>
      </c>
      <c r="C1800" s="6">
        <v>744</v>
      </c>
      <c r="D1800" s="7">
        <v>3.95</v>
      </c>
      <c r="E1800" t="s">
        <v>7</v>
      </c>
    </row>
    <row r="1801" spans="1:5" x14ac:dyDescent="0.25">
      <c r="A1801" t="str">
        <f>HYPERLINK("https://www.773grp.com/globalSearch/LM2750SDX-ADJ-NOPB/page-1", "LM2750SDX-ADJ-NOPB")</f>
        <v>LM2750SDX-ADJ-NOPB</v>
      </c>
      <c r="B1801" s="3" t="str">
        <f>HYPERLINK("https://www.773grp.com/manufacturer/national-semiconductor?pageNo=58", "National Semiconductor")</f>
        <v>National Semiconductor</v>
      </c>
      <c r="C1801" s="6">
        <v>4500</v>
      </c>
      <c r="D1801" s="7">
        <v>3.95</v>
      </c>
    </row>
    <row r="1802" spans="1:5" x14ac:dyDescent="0.25">
      <c r="A1802" t="str">
        <f>HYPERLINK("https://www.773grp.com/globalSearch/LM3430SDX-NOPB/page-1", "LM3430SDX-NOPB")</f>
        <v>LM3430SDX-NOPB</v>
      </c>
      <c r="B1802" s="3" t="str">
        <f>HYPERLINK("https://www.773grp.com/manufacturer/national-semiconductor?pageNo=59", "National Semiconductor")</f>
        <v>National Semiconductor</v>
      </c>
      <c r="C1802" s="6">
        <v>3453</v>
      </c>
      <c r="D1802" s="7">
        <v>3.95</v>
      </c>
    </row>
    <row r="1803" spans="1:5" x14ac:dyDescent="0.25">
      <c r="A1803" t="str">
        <f>HYPERLINK("https://www.773grp.com/globalSearch/LM3447MTE-NOPB/page-1", "LM3447MTE-NOPB")</f>
        <v>LM3447MTE-NOPB</v>
      </c>
      <c r="B1803" s="3" t="str">
        <f>HYPERLINK("https://www.773grp.com/manufacturer/national-semiconductor?pageNo=60", "National Semiconductor")</f>
        <v>National Semiconductor</v>
      </c>
      <c r="C1803" s="6">
        <v>500</v>
      </c>
      <c r="D1803" s="7">
        <v>3.95</v>
      </c>
    </row>
    <row r="1804" spans="1:5" x14ac:dyDescent="0.25">
      <c r="A1804" t="str">
        <f>HYPERLINK("https://www.773grp.com/globalSearch/LM3704XCMM-308-NOPB/page-1", "LM3704XCMM-308-NOPB")</f>
        <v>LM3704XCMM-308-NOPB</v>
      </c>
      <c r="B1804" s="3" t="str">
        <f>HYPERLINK("https://www.773grp.com/manufacturer/national-semiconductor?pageNo=61", "National Semiconductor")</f>
        <v>National Semiconductor</v>
      </c>
      <c r="C1804" s="6">
        <v>518</v>
      </c>
      <c r="D1804" s="7">
        <v>3.95</v>
      </c>
      <c r="E1804" t="s">
        <v>30</v>
      </c>
    </row>
    <row r="1805" spans="1:5" x14ac:dyDescent="0.25">
      <c r="A1805" t="str">
        <f>HYPERLINK("https://www.773grp.com/globalSearch/LM3704YCMM-232-NOPB/page-1", "LM3704YCMM-232-NOPB")</f>
        <v>LM3704YCMM-232-NOPB</v>
      </c>
      <c r="B1805" s="3" t="str">
        <f>HYPERLINK("https://www.773grp.com/manufacturer/national-semiconductor?pageNo=62", "National Semiconductor")</f>
        <v>National Semiconductor</v>
      </c>
      <c r="C1805" s="6">
        <v>1000</v>
      </c>
      <c r="D1805" s="7">
        <v>3.95</v>
      </c>
      <c r="E1805" t="s">
        <v>30</v>
      </c>
    </row>
    <row r="1806" spans="1:5" x14ac:dyDescent="0.25">
      <c r="A1806" t="str">
        <f>HYPERLINK("https://www.773grp.com/globalSearch/LM3704YCMM-308-NOPB/page-1", "LM3704YCMM-308-NOPB")</f>
        <v>LM3704YCMM-308-NOPB</v>
      </c>
      <c r="B1806" s="3" t="str">
        <f>HYPERLINK("https://www.773grp.com/manufacturer/national-semiconductor?pageNo=63", "National Semiconductor")</f>
        <v>National Semiconductor</v>
      </c>
      <c r="C1806" s="6">
        <v>2000</v>
      </c>
      <c r="D1806" s="7">
        <v>3.95</v>
      </c>
      <c r="E1806" t="s">
        <v>30</v>
      </c>
    </row>
    <row r="1807" spans="1:5" x14ac:dyDescent="0.25">
      <c r="A1807" t="str">
        <f>HYPERLINK("https://www.773grp.com/globalSearch/LM3704YCMMX-308-NOPB/page-1", "LM3704YCMMX-308-NOPB")</f>
        <v>LM3704YCMMX-308-NOPB</v>
      </c>
      <c r="B1807" s="3" t="str">
        <f>HYPERLINK("https://www.773grp.com/manufacturer/national-semiconductor?pageNo=64", "National Semiconductor")</f>
        <v>National Semiconductor</v>
      </c>
      <c r="C1807" s="6">
        <v>7000</v>
      </c>
      <c r="D1807" s="7">
        <v>3.95</v>
      </c>
    </row>
    <row r="1808" spans="1:5" x14ac:dyDescent="0.25">
      <c r="A1808" t="str">
        <f>HYPERLINK("https://www.773grp.com/globalSearch/LM3724IM5-2.32-NOPB/page-1", "LM3724IM5-2.32-NOPB")</f>
        <v>LM3724IM5-2.32-NOPB</v>
      </c>
      <c r="B1808" s="3" t="str">
        <f>HYPERLINK("https://www.773grp.com/manufacturer/national-semiconductor?pageNo=65", "National Semiconductor")</f>
        <v>National Semiconductor</v>
      </c>
      <c r="C1808" s="6">
        <v>480</v>
      </c>
      <c r="D1808" s="7">
        <v>3.95</v>
      </c>
      <c r="E1808" t="s">
        <v>30</v>
      </c>
    </row>
    <row r="1809" spans="1:5" x14ac:dyDescent="0.25">
      <c r="A1809" t="str">
        <f>HYPERLINK("https://www.773grp.com/globalSearch/LM3724IM5-4.63-NOPB/page-1", "LM3724IM5-4.63-NOPB")</f>
        <v>LM3724IM5-4.63-NOPB</v>
      </c>
      <c r="B1809" s="3" t="str">
        <f>HYPERLINK("https://www.773grp.com/manufacturer/national-semiconductor?pageNo=66", "National Semiconductor")</f>
        <v>National Semiconductor</v>
      </c>
      <c r="C1809" s="6">
        <v>869</v>
      </c>
      <c r="D1809" s="7">
        <v>3.95</v>
      </c>
      <c r="E1809" t="s">
        <v>30</v>
      </c>
    </row>
    <row r="1810" spans="1:5" x14ac:dyDescent="0.25">
      <c r="A1810" t="str">
        <f>HYPERLINK("https://www.773grp.com/globalSearch/LM4050CEM3-2.5-NOPB/page-1", "LM4050CEM3-2.5-NOPB")</f>
        <v>LM4050CEM3-2.5-NOPB</v>
      </c>
      <c r="B1810" s="3" t="str">
        <f>HYPERLINK("https://www.773grp.com/manufacturer/national-semiconductor?pageNo=67", "National Semiconductor")</f>
        <v>National Semiconductor</v>
      </c>
      <c r="C1810" s="6">
        <v>1000</v>
      </c>
      <c r="D1810" s="7">
        <v>3.95</v>
      </c>
      <c r="E1810" t="s">
        <v>17</v>
      </c>
    </row>
    <row r="1811" spans="1:5" x14ac:dyDescent="0.25">
      <c r="A1811" t="str">
        <f>HYPERLINK("https://www.773grp.com/globalSearch/LM4050CEM3-5.0-NOPB/page-1", "LM4050CEM3-5.0-NOPB")</f>
        <v>LM4050CEM3-5.0-NOPB</v>
      </c>
      <c r="B1811" s="3" t="str">
        <f>HYPERLINK("https://www.773grp.com/manufacturer/national-semiconductor?pageNo=68", "National Semiconductor")</f>
        <v>National Semiconductor</v>
      </c>
      <c r="C1811" s="6">
        <v>34455</v>
      </c>
      <c r="D1811" s="7">
        <v>3.95</v>
      </c>
    </row>
    <row r="1812" spans="1:5" x14ac:dyDescent="0.25">
      <c r="A1812" t="str">
        <f>HYPERLINK("https://www.773grp.com/globalSearch/LM4120AIM5-1.8-NOPB/page-1", "LM4120AIM5-1.8-NOPB")</f>
        <v>LM4120AIM5-1.8-NOPB</v>
      </c>
      <c r="B1812" s="3" t="str">
        <f>HYPERLINK("https://www.773grp.com/manufacturer/national-semiconductor?pageNo=69", "National Semiconductor")</f>
        <v>National Semiconductor</v>
      </c>
      <c r="C1812" s="6">
        <v>719</v>
      </c>
      <c r="D1812" s="7">
        <v>3.95</v>
      </c>
      <c r="E1812" t="s">
        <v>17</v>
      </c>
    </row>
    <row r="1813" spans="1:5" x14ac:dyDescent="0.25">
      <c r="A1813" t="str">
        <f>HYPERLINK("https://www.773grp.com/globalSearch/LM4120AIM5-2.0-NOPB/page-1", "LM4120AIM5-2.0-NOPB")</f>
        <v>LM4120AIM5-2.0-NOPB</v>
      </c>
      <c r="B1813" s="3" t="str">
        <f>HYPERLINK("https://www.773grp.com/manufacturer/national-semiconductor?pageNo=70", "National Semiconductor")</f>
        <v>National Semiconductor</v>
      </c>
      <c r="C1813" s="6">
        <v>1000</v>
      </c>
      <c r="D1813" s="7">
        <v>3.95</v>
      </c>
      <c r="E1813" t="s">
        <v>17</v>
      </c>
    </row>
    <row r="1814" spans="1:5" x14ac:dyDescent="0.25">
      <c r="A1814" t="str">
        <f>HYPERLINK("https://www.773grp.com/globalSearch/LM4120AIM5-3.3-NOPB/page-1", "LM4120AIM5-3.3-NOPB")</f>
        <v>LM4120AIM5-3.3-NOPB</v>
      </c>
      <c r="B1814" s="3" t="str">
        <f>HYPERLINK("https://www.773grp.com/manufacturer/national-semiconductor?pageNo=71", "National Semiconductor")</f>
        <v>National Semiconductor</v>
      </c>
      <c r="C1814" s="6">
        <v>15</v>
      </c>
      <c r="D1814" s="7">
        <v>3.95</v>
      </c>
      <c r="E1814" t="s">
        <v>17</v>
      </c>
    </row>
    <row r="1815" spans="1:5" x14ac:dyDescent="0.25">
      <c r="A1815" t="str">
        <f>HYPERLINK("https://www.773grp.com/globalSearch/LM4120AIM5-5.0-NOPB/page-1", "LM4120AIM5-5.0-NOPB")</f>
        <v>LM4120AIM5-5.0-NOPB</v>
      </c>
      <c r="B1815" s="3" t="str">
        <f>HYPERLINK("https://www.773grp.com/manufacturer/national-semiconductor?pageNo=72", "National Semiconductor")</f>
        <v>National Semiconductor</v>
      </c>
      <c r="C1815" s="6">
        <v>2000</v>
      </c>
      <c r="D1815" s="7">
        <v>3.95</v>
      </c>
      <c r="E1815" t="s">
        <v>17</v>
      </c>
    </row>
    <row r="1816" spans="1:5" x14ac:dyDescent="0.25">
      <c r="A1816" t="str">
        <f>HYPERLINK("https://www.773grp.com/globalSearch/LM4120AIM5X-2.0-NOPB/page-1", "LM4120AIM5X-2.0-NOPB")</f>
        <v>LM4120AIM5X-2.0-NOPB</v>
      </c>
      <c r="B1816" s="3" t="str">
        <f>HYPERLINK("https://www.773grp.com/manufacturer/national-semiconductor?pageNo=73", "National Semiconductor")</f>
        <v>National Semiconductor</v>
      </c>
      <c r="C1816" s="6">
        <v>3000</v>
      </c>
      <c r="D1816" s="7">
        <v>3.95</v>
      </c>
    </row>
    <row r="1817" spans="1:5" x14ac:dyDescent="0.25">
      <c r="A1817" t="str">
        <f>HYPERLINK("https://www.773grp.com/globalSearch/LM4120AIM5X-2.0-NOPB/page-1", "LM4120AIM5X-2.0-NOPB")</f>
        <v>LM4120AIM5X-2.0-NOPB</v>
      </c>
      <c r="B1817" s="3" t="str">
        <f>HYPERLINK("https://www.773grp.com/manufacturer/national-semiconductor?pageNo=74", "National Semiconductor")</f>
        <v>National Semiconductor</v>
      </c>
      <c r="C1817" s="6">
        <v>3967</v>
      </c>
      <c r="D1817" s="7">
        <v>3.95</v>
      </c>
    </row>
    <row r="1818" spans="1:5" x14ac:dyDescent="0.25">
      <c r="A1818" t="str">
        <f>HYPERLINK("https://www.773grp.com/globalSearch/LM4120AIM5X-2.5-NOPB/page-1", "LM4120AIM5X-2.5-NOPB")</f>
        <v>LM4120AIM5X-2.5-NOPB</v>
      </c>
      <c r="B1818" s="3" t="str">
        <f>HYPERLINK("https://www.773grp.com/manufacturer/national-semiconductor?pageNo=75", "National Semiconductor")</f>
        <v>National Semiconductor</v>
      </c>
      <c r="C1818" s="6">
        <v>3000</v>
      </c>
      <c r="D1818" s="7">
        <v>3.95</v>
      </c>
      <c r="E1818" t="s">
        <v>17</v>
      </c>
    </row>
    <row r="1819" spans="1:5" x14ac:dyDescent="0.25">
      <c r="A1819" t="str">
        <f>HYPERLINK("https://www.773grp.com/globalSearch/LM70CILD-3-NOPB/page-1", "LM70CILD-3-NOPB")</f>
        <v>LM70CILD-3-NOPB</v>
      </c>
      <c r="B1819" s="3" t="str">
        <f>HYPERLINK("https://www.773grp.com/manufacturer/national-semiconductor?pageNo=76", "National Semiconductor")</f>
        <v>National Semiconductor</v>
      </c>
      <c r="C1819" s="6">
        <v>5000</v>
      </c>
      <c r="D1819" s="7">
        <v>3.95</v>
      </c>
    </row>
    <row r="1820" spans="1:5" x14ac:dyDescent="0.25">
      <c r="A1820" t="str">
        <f>HYPERLINK("https://www.773grp.com/globalSearch/LM70CIMM-3-NOPB/page-1", "LM70CIMM-3-NOPB")</f>
        <v>LM70CIMM-3-NOPB</v>
      </c>
      <c r="B1820" s="3" t="str">
        <f>HYPERLINK("https://www.773grp.com/manufacturer/national-semiconductor?pageNo=77", "National Semiconductor")</f>
        <v>National Semiconductor</v>
      </c>
      <c r="C1820" s="6">
        <v>588</v>
      </c>
      <c r="D1820" s="7">
        <v>3.95</v>
      </c>
      <c r="E1820" t="s">
        <v>12</v>
      </c>
    </row>
    <row r="1821" spans="1:5" x14ac:dyDescent="0.25">
      <c r="A1821" t="str">
        <f>HYPERLINK("https://www.773grp.com/globalSearch/LM70CIMMX-3-NOPB/page-1", "LM70CIMMX-3-NOPB")</f>
        <v>LM70CIMMX-3-NOPB</v>
      </c>
      <c r="B1821" s="3" t="str">
        <f>HYPERLINK("https://www.773grp.com/manufacturer/national-semiconductor?pageNo=78", "National Semiconductor")</f>
        <v>National Semiconductor</v>
      </c>
      <c r="C1821" s="6">
        <v>13800</v>
      </c>
      <c r="D1821" s="7">
        <v>3.95</v>
      </c>
      <c r="E1821" t="s">
        <v>12</v>
      </c>
    </row>
    <row r="1822" spans="1:5" x14ac:dyDescent="0.25">
      <c r="A1822" t="str">
        <f>HYPERLINK("https://www.773grp.com/globalSearch/LM70CIMMX-5-NOPB/page-1", "LM70CIMMX-5-NOPB")</f>
        <v>LM70CIMMX-5-NOPB</v>
      </c>
      <c r="B1822" s="3" t="str">
        <f>HYPERLINK("https://www.773grp.com/manufacturer/national-semiconductor?pageNo=79", "National Semiconductor")</f>
        <v>National Semiconductor</v>
      </c>
      <c r="C1822" s="6">
        <v>10484</v>
      </c>
      <c r="D1822" s="7">
        <v>3.95</v>
      </c>
      <c r="E1822" t="s">
        <v>12</v>
      </c>
    </row>
    <row r="1823" spans="1:5" x14ac:dyDescent="0.25">
      <c r="A1823" t="str">
        <f>HYPERLINK("https://www.773grp.com/globalSearch/LM73CIMK-0-NOPB/page-1", "LM73CIMK-0-NOPB")</f>
        <v>LM73CIMK-0-NOPB</v>
      </c>
      <c r="B1823" s="3" t="str">
        <f>HYPERLINK("https://www.773grp.com/manufacturer/national-semiconductor?pageNo=80", "National Semiconductor")</f>
        <v>National Semiconductor</v>
      </c>
      <c r="C1823" s="6">
        <v>20</v>
      </c>
      <c r="D1823" s="7">
        <v>3.95</v>
      </c>
    </row>
    <row r="1824" spans="1:5" x14ac:dyDescent="0.25">
      <c r="A1824" t="str">
        <f>HYPERLINK("https://www.773grp.com/globalSearch/LM73CIMK-1-NOPB/page-1", "LM73CIMK-1-NOPB")</f>
        <v>LM73CIMK-1-NOPB</v>
      </c>
      <c r="B1824" s="3" t="str">
        <f>HYPERLINK("https://www.773grp.com/manufacturer/national-semiconductor?pageNo=81", "National Semiconductor")</f>
        <v>National Semiconductor</v>
      </c>
      <c r="C1824" s="6">
        <v>3185</v>
      </c>
      <c r="D1824" s="7">
        <v>3.95</v>
      </c>
    </row>
    <row r="1825" spans="1:5" x14ac:dyDescent="0.25">
      <c r="A1825" t="str">
        <f>HYPERLINK("https://www.773grp.com/globalSearch/LMH6643MMX/page-1", "LMH6643MMX")</f>
        <v>LMH6643MMX</v>
      </c>
      <c r="B1825" s="3" t="str">
        <f>HYPERLINK("https://www.773grp.com/manufacturer/national-semiconductor?pageNo=82", "National Semiconductor")</f>
        <v>National Semiconductor</v>
      </c>
      <c r="C1825" s="6">
        <v>3500</v>
      </c>
      <c r="D1825" s="7">
        <v>3.95</v>
      </c>
      <c r="E1825" t="s">
        <v>18</v>
      </c>
    </row>
    <row r="1826" spans="1:5" x14ac:dyDescent="0.25">
      <c r="A1826" t="str">
        <f>HYPERLINK("https://www.773grp.com/globalSearch/LMH6643MMX-S7002247/page-1", "LMH6643MMX-S7002247")</f>
        <v>LMH6643MMX-S7002247</v>
      </c>
      <c r="B1826" s="3" t="str">
        <f>HYPERLINK("https://www.773grp.com/manufacturer/national-semiconductor?pageNo=83", "National Semiconductor")</f>
        <v>National Semiconductor</v>
      </c>
      <c r="C1826" s="6">
        <v>17500</v>
      </c>
      <c r="D1826" s="7">
        <v>3.95</v>
      </c>
    </row>
    <row r="1827" spans="1:5" x14ac:dyDescent="0.25">
      <c r="A1827" t="str">
        <f>HYPERLINK("https://www.773grp.com/globalSearch/LMP8278QMM-NOPB/page-1", "LMP8278QMM-NOPB")</f>
        <v>LMP8278QMM-NOPB</v>
      </c>
      <c r="B1827" s="3" t="str">
        <f>HYPERLINK("https://www.773grp.com/manufacturer/national-semiconductor?pageNo=84", "National Semiconductor")</f>
        <v>National Semiconductor</v>
      </c>
      <c r="C1827" s="6">
        <v>31000</v>
      </c>
      <c r="D1827" s="7">
        <v>3.95</v>
      </c>
    </row>
    <row r="1828" spans="1:5" x14ac:dyDescent="0.25">
      <c r="A1828" t="str">
        <f>HYPERLINK("https://www.773grp.com/globalSearch/LMR62421XMF-NOPB/page-1", "LMR62421XMF-NOPB")</f>
        <v>LMR62421XMF-NOPB</v>
      </c>
      <c r="B1828" s="3" t="str">
        <f>HYPERLINK("https://www.773grp.com/manufacturer/national-semiconductor?pageNo=85", "National Semiconductor")</f>
        <v>National Semiconductor</v>
      </c>
      <c r="C1828" s="6">
        <v>950</v>
      </c>
      <c r="D1828" s="7">
        <v>3.95</v>
      </c>
    </row>
    <row r="1829" spans="1:5" x14ac:dyDescent="0.25">
      <c r="A1829" t="str">
        <f>HYPERLINK("https://www.773grp.com/globalSearch/LMV772QMMX-NOPB/page-1", "LMV772QMMX-NOPB")</f>
        <v>LMV772QMMX-NOPB</v>
      </c>
      <c r="B1829" s="3" t="str">
        <f>HYPERLINK("https://www.773grp.com/manufacturer/national-semiconductor?pageNo=86", "National Semiconductor")</f>
        <v>National Semiconductor</v>
      </c>
      <c r="C1829" s="6">
        <v>3500</v>
      </c>
      <c r="D1829" s="7">
        <v>3.95</v>
      </c>
    </row>
    <row r="1830" spans="1:5" x14ac:dyDescent="0.25">
      <c r="A1830" t="str">
        <f>HYPERLINK("https://www.773grp.com/globalSearch/LMV861MGE-NOPB/page-1", "LMV861MGE-NOPB")</f>
        <v>LMV861MGE-NOPB</v>
      </c>
      <c r="B1830" s="3" t="str">
        <f>HYPERLINK("https://www.773grp.com/manufacturer/national-semiconductor?pageNo=87", "National Semiconductor")</f>
        <v>National Semiconductor</v>
      </c>
      <c r="C1830" s="6">
        <v>8000</v>
      </c>
      <c r="D1830" s="7">
        <v>3.95</v>
      </c>
    </row>
    <row r="1831" spans="1:5" x14ac:dyDescent="0.25">
      <c r="A1831" t="str">
        <f>HYPERLINK("https://www.773grp.com/globalSearch/LP2987IMM-3.3-NOPB/page-1", "LP2987IMM-3.3-NOPB")</f>
        <v>LP2987IMM-3.3-NOPB</v>
      </c>
      <c r="B1831" s="3" t="str">
        <f>HYPERLINK("https://www.773grp.com/manufacturer/national-semiconductor?pageNo=88", "National Semiconductor")</f>
        <v>National Semiconductor</v>
      </c>
      <c r="C1831" s="6">
        <v>1470</v>
      </c>
      <c r="D1831" s="7">
        <v>3.95</v>
      </c>
      <c r="E1831" t="s">
        <v>19</v>
      </c>
    </row>
    <row r="1832" spans="1:5" x14ac:dyDescent="0.25">
      <c r="A1832" t="str">
        <f>HYPERLINK("https://www.773grp.com/globalSearch/LP2988AIMX-3.3-NOPB/page-1", "LP2988AIMX-3.3-NOPB")</f>
        <v>LP2988AIMX-3.3-NOPB</v>
      </c>
      <c r="B1832" s="3" t="str">
        <f>HYPERLINK("https://www.773grp.com/manufacturer/national-semiconductor?pageNo=89", "National Semiconductor")</f>
        <v>National Semiconductor</v>
      </c>
      <c r="C1832" s="6">
        <v>3896</v>
      </c>
      <c r="D1832" s="7">
        <v>3.95</v>
      </c>
      <c r="E1832" t="s">
        <v>19</v>
      </c>
    </row>
    <row r="1833" spans="1:5" x14ac:dyDescent="0.25">
      <c r="A1833" t="str">
        <f>HYPERLINK("https://www.773grp.com/globalSearch/LP2998MAE-NOPB/page-1", "LP2998MAE-NOPB")</f>
        <v>LP2998MAE-NOPB</v>
      </c>
      <c r="B1833" s="3" t="str">
        <f>HYPERLINK("https://www.773grp.com/manufacturer/national-semiconductor?pageNo=90", "National Semiconductor")</f>
        <v>National Semiconductor</v>
      </c>
      <c r="C1833" s="6">
        <v>40</v>
      </c>
      <c r="D1833" s="7">
        <v>3.95</v>
      </c>
      <c r="E1833" t="s">
        <v>24</v>
      </c>
    </row>
    <row r="1834" spans="1:5" x14ac:dyDescent="0.25">
      <c r="A1834" t="str">
        <f>HYPERLINK("https://www.773grp.com/globalSearch/LP38512TJ-1.8-NOPB/page-1", "LP38512TJ-1.8-NOPB")</f>
        <v>LP38512TJ-1.8-NOPB</v>
      </c>
      <c r="B1834" s="3" t="str">
        <f>HYPERLINK("https://www.773grp.com/manufacturer/national-semiconductor?pageNo=91", "National Semiconductor")</f>
        <v>National Semiconductor</v>
      </c>
      <c r="C1834" s="6">
        <v>1624</v>
      </c>
      <c r="D1834" s="7">
        <v>3.95</v>
      </c>
    </row>
    <row r="1835" spans="1:5" x14ac:dyDescent="0.25">
      <c r="A1835" t="str">
        <f>HYPERLINK("https://www.773grp.com/globalSearch/LP38512TJ-ADJ-NOPB/page-1", "LP38512TJ-ADJ-NOPB")</f>
        <v>LP38512TJ-ADJ-NOPB</v>
      </c>
      <c r="B1835" s="3" t="str">
        <f>HYPERLINK("https://www.773grp.com/manufacturer/national-semiconductor?pageNo=92", "National Semiconductor")</f>
        <v>National Semiconductor</v>
      </c>
      <c r="C1835" s="6">
        <v>1240</v>
      </c>
      <c r="D1835" s="7">
        <v>3.95</v>
      </c>
    </row>
    <row r="1836" spans="1:5" x14ac:dyDescent="0.25">
      <c r="A1836" t="str">
        <f>HYPERLINK("https://www.773grp.com/globalSearch/LP8501TMX-NOPB/page-1", "LP8501TMX-NOPB")</f>
        <v>LP8501TMX-NOPB</v>
      </c>
      <c r="B1836" s="3" t="str">
        <f>HYPERLINK("https://www.773grp.com/manufacturer/national-semiconductor?pageNo=93", "National Semiconductor")</f>
        <v>National Semiconductor</v>
      </c>
      <c r="C1836" s="6">
        <v>9000</v>
      </c>
      <c r="D1836" s="7">
        <v>3.95</v>
      </c>
    </row>
    <row r="1837" spans="1:5" x14ac:dyDescent="0.25">
      <c r="A1837" t="str">
        <f>HYPERLINK("https://www.773grp.com/globalSearch/MSP430G2253IRHB32T/page-1", "MSP430G2253IRHB32T")</f>
        <v>MSP430G2253IRHB32T</v>
      </c>
      <c r="B1837" s="3" t="str">
        <f>HYPERLINK("https://www.773grp.com/manufacturer/national-semiconductor?pageNo=94", "National Semiconductor")</f>
        <v>National Semiconductor</v>
      </c>
      <c r="C1837" s="6">
        <v>93</v>
      </c>
      <c r="D1837" s="7">
        <v>3.95</v>
      </c>
    </row>
    <row r="1838" spans="1:5" x14ac:dyDescent="0.25">
      <c r="A1838" t="str">
        <f>HYPERLINK("https://www.773grp.com/globalSearch/OPA376AIDBVT/page-1", "OPA376AIDBVT")</f>
        <v>OPA376AIDBVT</v>
      </c>
      <c r="B1838" s="3" t="str">
        <f>HYPERLINK("https://www.773grp.com/manufacturer/national-semiconductor?pageNo=95", "National Semiconductor")</f>
        <v>National Semiconductor</v>
      </c>
      <c r="C1838" s="6">
        <v>157</v>
      </c>
      <c r="D1838" s="7">
        <v>3.95</v>
      </c>
    </row>
    <row r="1839" spans="1:5" x14ac:dyDescent="0.25">
      <c r="A1839" t="str">
        <f>HYPERLINK("https://www.773grp.com/globalSearch/TLE2426CLP/page-1", "TLE2426CLP")</f>
        <v>TLE2426CLP</v>
      </c>
      <c r="B1839" s="3" t="str">
        <f>HYPERLINK("https://www.773grp.com/manufacturer/national-semiconductor?pageNo=96", "National Semiconductor")</f>
        <v>National Semiconductor</v>
      </c>
      <c r="C1839" s="6">
        <v>12000</v>
      </c>
      <c r="D1839" s="7">
        <v>3.95</v>
      </c>
    </row>
    <row r="1840" spans="1:5" x14ac:dyDescent="0.25">
      <c r="A1840" t="str">
        <f>HYPERLINK("https://www.773grp.com/globalSearch/TPS3813L30DBVR/page-1", "TPS3813L30DBVR")</f>
        <v>TPS3813L30DBVR</v>
      </c>
      <c r="B1840" s="3" t="str">
        <f>HYPERLINK("https://www.773grp.com/manufacturer/national-semiconductor?pageNo=97", "National Semiconductor")</f>
        <v>National Semiconductor</v>
      </c>
      <c r="C1840" s="6">
        <v>2351</v>
      </c>
      <c r="D1840" s="7">
        <v>3.95</v>
      </c>
    </row>
    <row r="1841" spans="1:5" x14ac:dyDescent="0.25">
      <c r="A1841" t="str">
        <f>HYPERLINK("https://www.773grp.com/globalSearch/TPS61028DRCR/page-1", "TPS61028DRCR")</f>
        <v>TPS61028DRCR</v>
      </c>
      <c r="B1841" s="3" t="str">
        <f>HYPERLINK("https://www.773grp.com/manufacturer/national-semiconductor?pageNo=98", "National Semiconductor")</f>
        <v>National Semiconductor</v>
      </c>
      <c r="C1841" s="6">
        <v>3000</v>
      </c>
      <c r="D1841" s="7">
        <v>3.95</v>
      </c>
    </row>
    <row r="1842" spans="1:5" x14ac:dyDescent="0.25">
      <c r="A1842" t="str">
        <f>HYPERLINK("https://www.773grp.com/globalSearch/TPS62620YFDT/page-1", "TPS62620YFDT")</f>
        <v>TPS62620YFDT</v>
      </c>
      <c r="B1842" s="3" t="str">
        <f>HYPERLINK("https://www.773grp.com/manufacturer/national-semiconductor?pageNo=99", "National Semiconductor")</f>
        <v>National Semiconductor</v>
      </c>
      <c r="C1842" s="6">
        <v>478</v>
      </c>
      <c r="D1842" s="7">
        <v>3.95</v>
      </c>
    </row>
    <row r="1843" spans="1:5" x14ac:dyDescent="0.25">
      <c r="A1843" t="str">
        <f>HYPERLINK("https://www.773grp.com/globalSearch/54LS164J-883/page-1", "54LS164J-883")</f>
        <v>54LS164J-883</v>
      </c>
      <c r="B1843" s="3" t="str">
        <f>HYPERLINK("https://www.773grp.com/manufacturer/national-semiconductor?pageNo=100", "National Semiconductor")</f>
        <v>National Semiconductor</v>
      </c>
      <c r="C1843" s="6">
        <v>1755</v>
      </c>
      <c r="D1843" s="7">
        <v>3.6</v>
      </c>
    </row>
    <row r="1844" spans="1:5" x14ac:dyDescent="0.25">
      <c r="A1844" t="str">
        <f>HYPERLINK("https://www.773grp.com/globalSearch/54LS164J-883C/page-1", "54LS164J-883C")</f>
        <v>54LS164J-883C</v>
      </c>
      <c r="B1844" s="3" t="str">
        <f>HYPERLINK("https://www.773grp.com/manufacturer/national-semiconductor?pageNo=101", "National Semiconductor")</f>
        <v>National Semiconductor</v>
      </c>
      <c r="C1844" s="6">
        <v>161</v>
      </c>
      <c r="D1844" s="7">
        <v>3.6</v>
      </c>
    </row>
    <row r="1845" spans="1:5" x14ac:dyDescent="0.25">
      <c r="A1845" t="str">
        <f>HYPERLINK("https://www.773grp.com/globalSearch/74165DC/page-1", "74165DC")</f>
        <v>74165DC</v>
      </c>
      <c r="B1845" s="3" t="str">
        <f>HYPERLINK("https://www.773grp.com/manufacturer/national-semiconductor?pageNo=102", "National Semiconductor")</f>
        <v>National Semiconductor</v>
      </c>
      <c r="C1845" s="6">
        <v>2204</v>
      </c>
      <c r="D1845" s="7">
        <v>3.6</v>
      </c>
    </row>
    <row r="1846" spans="1:5" x14ac:dyDescent="0.25">
      <c r="A1846" t="str">
        <f>HYPERLINK("https://www.773grp.com/globalSearch/ADC0834CCWMX-NOPB/page-1", "ADC0834CCWMX-NOPB")</f>
        <v>ADC0834CCWMX-NOPB</v>
      </c>
      <c r="B1846" s="3" t="str">
        <f>HYPERLINK("https://www.773grp.com/manufacturer/national-semiconductor?pageNo=103", "National Semiconductor")</f>
        <v>National Semiconductor</v>
      </c>
      <c r="C1846" s="6">
        <v>2000</v>
      </c>
      <c r="D1846" s="7">
        <v>3.6</v>
      </c>
      <c r="E1846" t="s">
        <v>39</v>
      </c>
    </row>
    <row r="1847" spans="1:5" x14ac:dyDescent="0.25">
      <c r="A1847" t="str">
        <f>HYPERLINK("https://www.773grp.com/globalSearch/LM1246AAC-NA/page-1", "LM1246AAC-NA")</f>
        <v>LM1246AAC-NA</v>
      </c>
      <c r="B1847" s="3" t="str">
        <f>HYPERLINK("https://www.773grp.com/manufacturer/national-semiconductor?pageNo=104", "National Semiconductor")</f>
        <v>National Semiconductor</v>
      </c>
      <c r="C1847" s="6">
        <v>1717</v>
      </c>
      <c r="D1847" s="7">
        <v>3.6</v>
      </c>
    </row>
    <row r="1848" spans="1:5" x14ac:dyDescent="0.25">
      <c r="A1848" t="str">
        <f>HYPERLINK("https://www.773grp.com/globalSearch/LM1246AAC-NA-NOPB/page-1", "LM1246AAC-NA-NOPB")</f>
        <v>LM1246AAC-NA-NOPB</v>
      </c>
      <c r="B1848" s="3" t="str">
        <f>HYPERLINK("https://www.773grp.com/manufacturer/national-semiconductor?pageNo=105", "National Semiconductor")</f>
        <v>National Semiconductor</v>
      </c>
      <c r="C1848" s="6">
        <v>15120</v>
      </c>
      <c r="D1848" s="7">
        <v>3.6</v>
      </c>
    </row>
    <row r="1849" spans="1:5" x14ac:dyDescent="0.25">
      <c r="A1849" t="str">
        <f>HYPERLINK("https://www.773grp.com/globalSearch/LM2576SX-12-NOPB/page-1", "LM2576SX-12-NOPB")</f>
        <v>LM2576SX-12-NOPB</v>
      </c>
      <c r="B1849" s="3" t="str">
        <f>HYPERLINK("https://www.773grp.com/manufacturer/national-semiconductor?pageNo=106", "National Semiconductor")</f>
        <v>National Semiconductor</v>
      </c>
      <c r="C1849" s="6">
        <v>1966</v>
      </c>
      <c r="D1849" s="7">
        <v>3.6</v>
      </c>
      <c r="E1849" t="s">
        <v>7</v>
      </c>
    </row>
    <row r="1850" spans="1:5" x14ac:dyDescent="0.25">
      <c r="A1850" t="str">
        <f>HYPERLINK("https://www.773grp.com/globalSearch/LM2990SX-12-NOPB/page-1", "LM2990SX-12-NOPB")</f>
        <v>LM2990SX-12-NOPB</v>
      </c>
      <c r="B1850" s="3" t="str">
        <f>HYPERLINK("https://www.773grp.com/manufacturer/national-semiconductor?pageNo=107", "National Semiconductor")</f>
        <v>National Semiconductor</v>
      </c>
      <c r="C1850" s="6">
        <v>2490</v>
      </c>
      <c r="D1850" s="7">
        <v>3.6</v>
      </c>
      <c r="E1850" t="s">
        <v>49</v>
      </c>
    </row>
    <row r="1851" spans="1:5" x14ac:dyDescent="0.25">
      <c r="A1851" t="str">
        <f>HYPERLINK("https://www.773grp.com/globalSearch/LM2990SX-5.0-NOPB/page-1", "LM2990SX-5.0-NOPB")</f>
        <v>LM2990SX-5.0-NOPB</v>
      </c>
      <c r="B1851" s="3" t="str">
        <f>HYPERLINK("https://www.773grp.com/manufacturer/national-semiconductor?pageNo=108", "National Semiconductor")</f>
        <v>National Semiconductor</v>
      </c>
      <c r="C1851" s="6">
        <v>13626</v>
      </c>
      <c r="D1851" s="7">
        <v>3.6</v>
      </c>
      <c r="E1851" t="s">
        <v>49</v>
      </c>
    </row>
    <row r="1852" spans="1:5" x14ac:dyDescent="0.25">
      <c r="A1852" t="str">
        <f>HYPERLINK("https://www.773grp.com/globalSearch/LM2990T-12-NOPB/page-1", "LM2990T-12-NOPB")</f>
        <v>LM2990T-12-NOPB</v>
      </c>
      <c r="B1852" s="3" t="str">
        <f>HYPERLINK("https://www.773grp.com/manufacturer/national-semiconductor?pageNo=109", "National Semiconductor")</f>
        <v>National Semiconductor</v>
      </c>
      <c r="C1852" s="6">
        <v>2017</v>
      </c>
      <c r="D1852" s="7">
        <v>3.6</v>
      </c>
      <c r="E1852" t="s">
        <v>49</v>
      </c>
    </row>
    <row r="1853" spans="1:5" x14ac:dyDescent="0.25">
      <c r="A1853" t="str">
        <f>HYPERLINK("https://www.773grp.com/globalSearch/LM2990T-15-NOPB/page-1", "LM2990T-15-NOPB")</f>
        <v>LM2990T-15-NOPB</v>
      </c>
      <c r="B1853" s="3" t="str">
        <f>HYPERLINK("https://www.773grp.com/manufacturer/national-semiconductor?pageNo=110", "National Semiconductor")</f>
        <v>National Semiconductor</v>
      </c>
      <c r="C1853" s="6">
        <v>88</v>
      </c>
      <c r="D1853" s="7">
        <v>3.6</v>
      </c>
      <c r="E1853" t="s">
        <v>49</v>
      </c>
    </row>
    <row r="1854" spans="1:5" x14ac:dyDescent="0.25">
      <c r="A1854" t="str">
        <f>HYPERLINK("https://www.773grp.com/globalSearch/LM2990T-5.0-NOPB/page-1", "LM2990T-5.0-NOPB")</f>
        <v>LM2990T-5.0-NOPB</v>
      </c>
      <c r="B1854" s="3" t="str">
        <f>HYPERLINK("https://www.773grp.com/manufacturer/national-semiconductor?pageNo=111", "National Semiconductor")</f>
        <v>National Semiconductor</v>
      </c>
      <c r="C1854" s="6">
        <v>2350</v>
      </c>
      <c r="D1854" s="7">
        <v>3.6</v>
      </c>
      <c r="E1854" t="s">
        <v>49</v>
      </c>
    </row>
    <row r="1855" spans="1:5" x14ac:dyDescent="0.25">
      <c r="A1855" t="str">
        <f>HYPERLINK("https://www.773grp.com/globalSearch/LM2990T-5.2-NOPB/page-1", "LM2990T-5.2-NOPB")</f>
        <v>LM2990T-5.2-NOPB</v>
      </c>
      <c r="B1855" s="3" t="str">
        <f>HYPERLINK("https://www.773grp.com/manufacturer/national-semiconductor?pageNo=112", "National Semiconductor")</f>
        <v>National Semiconductor</v>
      </c>
      <c r="C1855" s="6">
        <v>341</v>
      </c>
      <c r="D1855" s="7">
        <v>3.6</v>
      </c>
      <c r="E1855" t="s">
        <v>49</v>
      </c>
    </row>
    <row r="1856" spans="1:5" x14ac:dyDescent="0.25">
      <c r="A1856" t="str">
        <f>HYPERLINK("https://www.773grp.com/globalSearch/LM2991S-NOPB/page-1", "LM2991S-NOPB")</f>
        <v>LM2991S-NOPB</v>
      </c>
      <c r="B1856" s="3" t="str">
        <f>HYPERLINK("https://www.773grp.com/manufacturer/national-semiconductor?pageNo=113", "National Semiconductor")</f>
        <v>National Semiconductor</v>
      </c>
      <c r="C1856" s="6">
        <v>12</v>
      </c>
      <c r="D1856" s="7">
        <v>3.6</v>
      </c>
      <c r="E1856" t="s">
        <v>50</v>
      </c>
    </row>
    <row r="1857" spans="1:5" x14ac:dyDescent="0.25">
      <c r="A1857" t="str">
        <f>HYPERLINK("https://www.773grp.com/globalSearch/LM2991SX-NOPB/page-1", "LM2991SX-NOPB")</f>
        <v>LM2991SX-NOPB</v>
      </c>
      <c r="B1857" s="3" t="str">
        <f>HYPERLINK("https://www.773grp.com/manufacturer/national-semiconductor?pageNo=114", "National Semiconductor")</f>
        <v>National Semiconductor</v>
      </c>
      <c r="C1857" s="6">
        <v>6412</v>
      </c>
      <c r="D1857" s="7">
        <v>3.6</v>
      </c>
      <c r="E1857" t="s">
        <v>50</v>
      </c>
    </row>
    <row r="1858" spans="1:5" x14ac:dyDescent="0.25">
      <c r="A1858" t="str">
        <f>HYPERLINK("https://www.773grp.com/globalSearch/LM2991T-LF03/page-1", "LM2991T-LF03")</f>
        <v>LM2991T-LF03</v>
      </c>
      <c r="B1858" s="3" t="str">
        <f>HYPERLINK("https://www.773grp.com/manufacturer/national-semiconductor?pageNo=115", "National Semiconductor")</f>
        <v>National Semiconductor</v>
      </c>
      <c r="C1858" s="6">
        <v>2</v>
      </c>
      <c r="D1858" s="7">
        <v>3.6</v>
      </c>
    </row>
    <row r="1859" spans="1:5" x14ac:dyDescent="0.25">
      <c r="A1859" t="str">
        <f>HYPERLINK("https://www.773grp.com/globalSearch/LM2991T-NOPB/page-1", "LM2991T-NOPB")</f>
        <v>LM2991T-NOPB</v>
      </c>
      <c r="B1859" s="3" t="str">
        <f>HYPERLINK("https://www.773grp.com/manufacturer/national-semiconductor?pageNo=116", "National Semiconductor")</f>
        <v>National Semiconductor</v>
      </c>
      <c r="C1859" s="6">
        <v>39</v>
      </c>
      <c r="D1859" s="7">
        <v>3.6</v>
      </c>
      <c r="E1859" t="s">
        <v>50</v>
      </c>
    </row>
    <row r="1860" spans="1:5" x14ac:dyDescent="0.25">
      <c r="A1860" t="str">
        <f>HYPERLINK("https://www.773grp.com/globalSearch/LM3815M-1.0/page-1", "LM3815M-1.0")</f>
        <v>LM3815M-1.0</v>
      </c>
      <c r="B1860" s="3" t="str">
        <f>HYPERLINK("https://www.773grp.com/manufacturer/national-semiconductor?pageNo=117", "National Semiconductor")</f>
        <v>National Semiconductor</v>
      </c>
      <c r="C1860" s="6">
        <v>14</v>
      </c>
      <c r="D1860" s="7">
        <v>3.6</v>
      </c>
      <c r="E1860" t="s">
        <v>30</v>
      </c>
    </row>
    <row r="1861" spans="1:5" x14ac:dyDescent="0.25">
      <c r="A1861" t="str">
        <f>HYPERLINK("https://www.773grp.com/globalSearch/LM3815M-7.0/page-1", "LM3815M-7.0")</f>
        <v>LM3815M-7.0</v>
      </c>
      <c r="B1861" s="3" t="str">
        <f>HYPERLINK("https://www.773grp.com/manufacturer/national-semiconductor?pageNo=118", "National Semiconductor")</f>
        <v>National Semiconductor</v>
      </c>
      <c r="C1861" s="6">
        <v>14</v>
      </c>
      <c r="D1861" s="7">
        <v>3.6</v>
      </c>
      <c r="E1861" t="s">
        <v>30</v>
      </c>
    </row>
    <row r="1862" spans="1:5" x14ac:dyDescent="0.25">
      <c r="A1862" t="str">
        <f>HYPERLINK("https://www.773grp.com/globalSearch/LM4947TL-NOPB/page-1", "LM4947TL-NOPB")</f>
        <v>LM4947TL-NOPB</v>
      </c>
      <c r="B1862" s="3" t="str">
        <f>HYPERLINK("https://www.773grp.com/manufacturer/national-semiconductor?pageNo=119", "National Semiconductor")</f>
        <v>National Semiconductor</v>
      </c>
      <c r="C1862" s="6">
        <v>737</v>
      </c>
      <c r="D1862" s="7">
        <v>3.6</v>
      </c>
    </row>
    <row r="1863" spans="1:5" x14ac:dyDescent="0.25">
      <c r="A1863" t="str">
        <f>HYPERLINK("https://www.773grp.com/globalSearch/LM776CN/page-1", "LM776CN")</f>
        <v>LM776CN</v>
      </c>
      <c r="B1863" s="3" t="str">
        <f>HYPERLINK("https://www.773grp.com/manufacturer/national-semiconductor?pageNo=120", "National Semiconductor")</f>
        <v>National Semiconductor</v>
      </c>
      <c r="C1863" s="6">
        <v>3593</v>
      </c>
      <c r="D1863" s="7">
        <v>3.6</v>
      </c>
      <c r="E1863" t="s">
        <v>13</v>
      </c>
    </row>
    <row r="1864" spans="1:5" x14ac:dyDescent="0.25">
      <c r="A1864" t="str">
        <f>HYPERLINK("https://www.773grp.com/globalSearch/LME49725MA-NOPB/page-1", "LME49725MA-NOPB")</f>
        <v>LME49725MA-NOPB</v>
      </c>
      <c r="B1864" s="3" t="str">
        <f>HYPERLINK("https://www.773grp.com/manufacturer/national-semiconductor?pageNo=121", "National Semiconductor")</f>
        <v>National Semiconductor</v>
      </c>
      <c r="C1864" s="6">
        <v>650</v>
      </c>
      <c r="D1864" s="7">
        <v>3.6</v>
      </c>
    </row>
    <row r="1865" spans="1:5" x14ac:dyDescent="0.25">
      <c r="A1865" t="str">
        <f>HYPERLINK("https://www.773grp.com/globalSearch/LMP2016MA-NOPB/page-1", "LMP2016MA-NOPB")</f>
        <v>LMP2016MA-NOPB</v>
      </c>
      <c r="B1865" s="3" t="str">
        <f>HYPERLINK("https://www.773grp.com/manufacturer/national-semiconductor?pageNo=122", "National Semiconductor")</f>
        <v>National Semiconductor</v>
      </c>
      <c r="C1865" s="6">
        <v>142</v>
      </c>
      <c r="D1865" s="7">
        <v>3.6</v>
      </c>
    </row>
    <row r="1866" spans="1:5" x14ac:dyDescent="0.25">
      <c r="A1866" t="str">
        <f>HYPERLINK("https://www.773grp.com/globalSearch/LMP2016MAX-NOPB/page-1", "LMP2016MAX-NOPB")</f>
        <v>LMP2016MAX-NOPB</v>
      </c>
      <c r="B1866" s="3" t="str">
        <f>HYPERLINK("https://www.773grp.com/manufacturer/national-semiconductor?pageNo=123", "National Semiconductor")</f>
        <v>National Semiconductor</v>
      </c>
      <c r="C1866" s="6">
        <v>262</v>
      </c>
      <c r="D1866" s="7">
        <v>3.6</v>
      </c>
    </row>
    <row r="1867" spans="1:5" x14ac:dyDescent="0.25">
      <c r="A1867" t="str">
        <f>HYPERLINK("https://www.773grp.com/globalSearch/LMP7707MA-NOPB/page-1", "LMP7707MA-NOPB")</f>
        <v>LMP7707MA-NOPB</v>
      </c>
      <c r="B1867" s="3" t="str">
        <f>HYPERLINK("https://www.773grp.com/manufacturer/national-semiconductor?pageNo=124", "National Semiconductor")</f>
        <v>National Semiconductor</v>
      </c>
      <c r="C1867" s="6">
        <v>864</v>
      </c>
      <c r="D1867" s="7">
        <v>3.6</v>
      </c>
    </row>
    <row r="1868" spans="1:5" x14ac:dyDescent="0.25">
      <c r="A1868" t="str">
        <f>HYPERLINK("https://www.773grp.com/globalSearch/LP3917RL-M-NOPB/page-1", "LP3917RL-M-NOPB")</f>
        <v>LP3917RL-M-NOPB</v>
      </c>
      <c r="B1868" s="3" t="str">
        <f>HYPERLINK("https://www.773grp.com/manufacturer/national-semiconductor?pageNo=125", "National Semiconductor")</f>
        <v>National Semiconductor</v>
      </c>
      <c r="C1868" s="6">
        <v>500</v>
      </c>
      <c r="D1868" s="7">
        <v>3.6</v>
      </c>
    </row>
    <row r="1869" spans="1:5" x14ac:dyDescent="0.25">
      <c r="A1869" t="str">
        <f>HYPERLINK("https://www.773grp.com/globalSearch/LP3917RL-N-NOPB/page-1", "LP3917RL-N-NOPB")</f>
        <v>LP3917RL-N-NOPB</v>
      </c>
      <c r="B1869" s="3" t="str">
        <f>HYPERLINK("https://www.773grp.com/manufacturer/national-semiconductor?pageNo=126", "National Semiconductor")</f>
        <v>National Semiconductor</v>
      </c>
      <c r="C1869" s="6">
        <v>500</v>
      </c>
      <c r="D1869" s="7">
        <v>3.6</v>
      </c>
    </row>
    <row r="1870" spans="1:5" x14ac:dyDescent="0.25">
      <c r="A1870" t="str">
        <f>HYPERLINK("https://www.773grp.com/globalSearch/LP3917RL-NL-NOPB/page-1", "LP3917RL-NL-NOPB")</f>
        <v>LP3917RL-NL-NOPB</v>
      </c>
      <c r="B1870" s="3" t="str">
        <f>HYPERLINK("https://www.773grp.com/manufacturer/national-semiconductor?pageNo=127", "National Semiconductor")</f>
        <v>National Semiconductor</v>
      </c>
      <c r="C1870" s="6">
        <v>250</v>
      </c>
      <c r="D1870" s="7">
        <v>3.6</v>
      </c>
    </row>
    <row r="1871" spans="1:5" x14ac:dyDescent="0.25">
      <c r="A1871" t="str">
        <f>HYPERLINK("https://www.773grp.com/globalSearch/LP3917RL-Q-NOPB/page-1", "LP3917RL-Q-NOPB")</f>
        <v>LP3917RL-Q-NOPB</v>
      </c>
      <c r="B1871" s="3" t="str">
        <f>HYPERLINK("https://www.773grp.com/manufacturer/national-semiconductor?pageNo=128", "National Semiconductor")</f>
        <v>National Semiconductor</v>
      </c>
      <c r="C1871" s="6">
        <v>500</v>
      </c>
      <c r="D1871" s="7">
        <v>3.6</v>
      </c>
      <c r="E1871" t="s">
        <v>30</v>
      </c>
    </row>
    <row r="1872" spans="1:5" x14ac:dyDescent="0.25">
      <c r="A1872" t="str">
        <f>HYPERLINK("https://www.773grp.com/globalSearch/LP3917RL-QL-NOPB/page-1", "LP3917RL-QL-NOPB")</f>
        <v>LP3917RL-QL-NOPB</v>
      </c>
      <c r="B1872" s="3" t="str">
        <f>HYPERLINK("https://www.773grp.com/manufacturer/national-semiconductor?pageNo=129", "National Semiconductor")</f>
        <v>National Semiconductor</v>
      </c>
      <c r="C1872" s="6">
        <v>11250</v>
      </c>
      <c r="D1872" s="7">
        <v>3.6</v>
      </c>
    </row>
    <row r="1873" spans="1:5" x14ac:dyDescent="0.25">
      <c r="A1873" t="str">
        <f>HYPERLINK("https://www.773grp.com/globalSearch/LP3917RL-S-NOPB/page-1", "LP3917RL-S-NOPB")</f>
        <v>LP3917RL-S-NOPB</v>
      </c>
      <c r="B1873" s="3" t="str">
        <f>HYPERLINK("https://www.773grp.com/manufacturer/national-semiconductor?pageNo=130", "National Semiconductor")</f>
        <v>National Semiconductor</v>
      </c>
      <c r="C1873" s="6">
        <v>500</v>
      </c>
      <c r="D1873" s="7">
        <v>3.6</v>
      </c>
    </row>
    <row r="1874" spans="1:5" x14ac:dyDescent="0.25">
      <c r="A1874" t="str">
        <f>HYPERLINK("https://www.773grp.com/globalSearch/LP3917RLX-NL-NOPB/page-1", "LP3917RLX-NL-NOPB")</f>
        <v>LP3917RLX-NL-NOPB</v>
      </c>
      <c r="B1874" s="3" t="str">
        <f>HYPERLINK("https://www.773grp.com/manufacturer/national-semiconductor?pageNo=131", "National Semiconductor")</f>
        <v>National Semiconductor</v>
      </c>
      <c r="C1874" s="6">
        <v>1000</v>
      </c>
      <c r="D1874" s="7">
        <v>3.6</v>
      </c>
    </row>
    <row r="1875" spans="1:5" x14ac:dyDescent="0.25">
      <c r="A1875" t="str">
        <f>HYPERLINK("https://www.773grp.com/globalSearch/LP3917RLX-QL-NOPB/page-1", "LP3917RLX-QL-NOPB")</f>
        <v>LP3917RLX-QL-NOPB</v>
      </c>
      <c r="B1875" s="3" t="str">
        <f>HYPERLINK("https://www.773grp.com/manufacturer/national-semiconductor?pageNo=132", "National Semiconductor")</f>
        <v>National Semiconductor</v>
      </c>
      <c r="C1875" s="6">
        <v>1000</v>
      </c>
      <c r="D1875" s="7">
        <v>3.6</v>
      </c>
    </row>
    <row r="1876" spans="1:5" x14ac:dyDescent="0.25">
      <c r="A1876" t="str">
        <f>HYPERLINK("https://www.773grp.com/globalSearch/LPC662AIM-NOPB/page-1", "LPC662AIM-NOPB")</f>
        <v>LPC662AIM-NOPB</v>
      </c>
      <c r="B1876" s="3" t="str">
        <f>HYPERLINK("https://www.773grp.com/manufacturer/national-semiconductor?pageNo=133", "National Semiconductor")</f>
        <v>National Semiconductor</v>
      </c>
      <c r="C1876" s="6">
        <v>1365</v>
      </c>
      <c r="D1876" s="7">
        <v>3.6</v>
      </c>
      <c r="E1876" t="s">
        <v>13</v>
      </c>
    </row>
    <row r="1877" spans="1:5" x14ac:dyDescent="0.25">
      <c r="A1877" t="str">
        <f>HYPERLINK("https://www.773grp.com/globalSearch/DS90C401M-NOPB/page-1", "DS90C401M-NOPB")</f>
        <v>DS90C401M-NOPB</v>
      </c>
      <c r="B1877" s="3" t="str">
        <f>HYPERLINK("https://www.773grp.com/manufacturer/national-semiconductor?pageNo=134", "National Semiconductor")</f>
        <v>National Semiconductor</v>
      </c>
      <c r="C1877" s="6">
        <v>95</v>
      </c>
      <c r="D1877" s="7">
        <v>3.6</v>
      </c>
    </row>
    <row r="1878" spans="1:5" x14ac:dyDescent="0.25">
      <c r="A1878" t="str">
        <f>HYPERLINK("https://www.773grp.com/globalSearch/LM2990SX-12-NOPB/page-1", "LM2990SX-12-NOPB")</f>
        <v>LM2990SX-12-NOPB</v>
      </c>
      <c r="B1878" s="3" t="str">
        <f>HYPERLINK("https://www.773grp.com/manufacturer/national-semiconductor?pageNo=1", "National Semiconductor")</f>
        <v>National Semiconductor</v>
      </c>
      <c r="C1878" s="6">
        <v>4090</v>
      </c>
      <c r="D1878" s="7">
        <v>3.6</v>
      </c>
      <c r="E1878" t="s">
        <v>49</v>
      </c>
    </row>
    <row r="1879" spans="1:5" x14ac:dyDescent="0.25">
      <c r="A1879" t="str">
        <f>HYPERLINK("https://www.773grp.com/globalSearch/LM2990SX-15-NOPB/page-1", "LM2990SX-15-NOPB")</f>
        <v>LM2990SX-15-NOPB</v>
      </c>
      <c r="B1879" s="3" t="str">
        <f>HYPERLINK("https://www.773grp.com/manufacturer/national-semiconductor?pageNo=2", "National Semiconductor")</f>
        <v>National Semiconductor</v>
      </c>
      <c r="C1879" s="6">
        <v>496</v>
      </c>
      <c r="D1879" s="7">
        <v>3.6</v>
      </c>
    </row>
    <row r="1880" spans="1:5" x14ac:dyDescent="0.25">
      <c r="A1880" t="str">
        <f>HYPERLINK("https://www.773grp.com/globalSearch/LM2990T-12-NOPB/page-1", "LM2990T-12-NOPB")</f>
        <v>LM2990T-12-NOPB</v>
      </c>
      <c r="B1880" s="3" t="str">
        <f>HYPERLINK("https://www.773grp.com/manufacturer/national-semiconductor?pageNo=3", "National Semiconductor")</f>
        <v>National Semiconductor</v>
      </c>
      <c r="C1880" s="6">
        <v>601</v>
      </c>
      <c r="D1880" s="7">
        <v>3.6</v>
      </c>
      <c r="E1880" t="s">
        <v>49</v>
      </c>
    </row>
    <row r="1881" spans="1:5" x14ac:dyDescent="0.25">
      <c r="A1881" t="str">
        <f>HYPERLINK("https://www.773grp.com/globalSearch/LM2990T-15-NOPB/page-1", "LM2990T-15-NOPB")</f>
        <v>LM2990T-15-NOPB</v>
      </c>
      <c r="B1881" s="3" t="str">
        <f>HYPERLINK("https://www.773grp.com/manufacturer/national-semiconductor?pageNo=4", "National Semiconductor")</f>
        <v>National Semiconductor</v>
      </c>
      <c r="C1881" s="6">
        <v>250</v>
      </c>
      <c r="D1881" s="7">
        <v>3.6</v>
      </c>
      <c r="E1881" t="s">
        <v>49</v>
      </c>
    </row>
    <row r="1882" spans="1:5" x14ac:dyDescent="0.25">
      <c r="A1882" t="str">
        <f>HYPERLINK("https://www.773grp.com/globalSearch/LM2990T-5.0-NOPB/page-1", "LM2990T-5.0-NOPB")</f>
        <v>LM2990T-5.0-NOPB</v>
      </c>
      <c r="B1882" s="3" t="str">
        <f>HYPERLINK("https://www.773grp.com/manufacturer/national-semiconductor?pageNo=5", "National Semiconductor")</f>
        <v>National Semiconductor</v>
      </c>
      <c r="C1882" s="6">
        <v>385</v>
      </c>
      <c r="D1882" s="7">
        <v>3.6</v>
      </c>
      <c r="E1882" t="s">
        <v>49</v>
      </c>
    </row>
    <row r="1883" spans="1:5" x14ac:dyDescent="0.25">
      <c r="A1883" t="str">
        <f>HYPERLINK("https://www.773grp.com/globalSearch/LM2991S-NOPB/page-1", "LM2991S-NOPB")</f>
        <v>LM2991S-NOPB</v>
      </c>
      <c r="B1883" s="3" t="str">
        <f>HYPERLINK("https://www.773grp.com/manufacturer/national-semiconductor?pageNo=6", "National Semiconductor")</f>
        <v>National Semiconductor</v>
      </c>
      <c r="C1883" s="6">
        <v>183</v>
      </c>
      <c r="D1883" s="7">
        <v>3.6</v>
      </c>
      <c r="E1883" t="s">
        <v>50</v>
      </c>
    </row>
    <row r="1884" spans="1:5" x14ac:dyDescent="0.25">
      <c r="A1884" t="str">
        <f>HYPERLINK("https://www.773grp.com/globalSearch/LM2991SX-NOPB/page-1", "LM2991SX-NOPB")</f>
        <v>LM2991SX-NOPB</v>
      </c>
      <c r="B1884" s="3" t="str">
        <f>HYPERLINK("https://www.773grp.com/manufacturer/national-semiconductor?pageNo=7", "National Semiconductor")</f>
        <v>National Semiconductor</v>
      </c>
      <c r="C1884" s="6">
        <v>145</v>
      </c>
      <c r="D1884" s="7">
        <v>3.6</v>
      </c>
      <c r="E1884" t="s">
        <v>50</v>
      </c>
    </row>
    <row r="1885" spans="1:5" x14ac:dyDescent="0.25">
      <c r="A1885" t="str">
        <f>HYPERLINK("https://www.773grp.com/globalSearch/LM2991T-NOPB/page-1", "LM2991T-NOPB")</f>
        <v>LM2991T-NOPB</v>
      </c>
      <c r="B1885" s="3" t="str">
        <f>HYPERLINK("https://www.773grp.com/manufacturer/national-semiconductor?pageNo=8", "National Semiconductor")</f>
        <v>National Semiconductor</v>
      </c>
      <c r="C1885" s="6">
        <v>750</v>
      </c>
      <c r="D1885" s="7">
        <v>3.6</v>
      </c>
      <c r="E1885" t="s">
        <v>50</v>
      </c>
    </row>
    <row r="1886" spans="1:5" x14ac:dyDescent="0.25">
      <c r="A1886" t="str">
        <f>HYPERLINK("https://www.773grp.com/globalSearch/LM4859SP-NOPB/page-1", "LM4859SP-NOPB")</f>
        <v>LM4859SP-NOPB</v>
      </c>
      <c r="B1886" s="3" t="str">
        <f>HYPERLINK("https://www.773grp.com/manufacturer/national-semiconductor?pageNo=9", "National Semiconductor")</f>
        <v>National Semiconductor</v>
      </c>
      <c r="C1886" s="6">
        <v>1000</v>
      </c>
      <c r="D1886" s="7">
        <v>3.6</v>
      </c>
    </row>
    <row r="1887" spans="1:5" x14ac:dyDescent="0.25">
      <c r="A1887" t="str">
        <f>HYPERLINK("https://www.773grp.com/globalSearch/LM4947TL-NOPB/page-1", "LM4947TL-NOPB")</f>
        <v>LM4947TL-NOPB</v>
      </c>
      <c r="B1887" s="3" t="str">
        <f>HYPERLINK("https://www.773grp.com/manufacturer/national-semiconductor?pageNo=10", "National Semiconductor")</f>
        <v>National Semiconductor</v>
      </c>
      <c r="C1887" s="6">
        <v>250</v>
      </c>
      <c r="D1887" s="7">
        <v>3.6</v>
      </c>
    </row>
    <row r="1888" spans="1:5" x14ac:dyDescent="0.25">
      <c r="A1888" t="str">
        <f>HYPERLINK("https://www.773grp.com/globalSearch/LME49725MA-NOPB/page-1", "LME49725MA-NOPB")</f>
        <v>LME49725MA-NOPB</v>
      </c>
      <c r="B1888" s="3" t="str">
        <f>HYPERLINK("https://www.773grp.com/manufacturer/national-semiconductor?pageNo=11", "National Semiconductor")</f>
        <v>National Semiconductor</v>
      </c>
      <c r="C1888" s="6">
        <v>250</v>
      </c>
      <c r="D1888" s="7">
        <v>3.6</v>
      </c>
    </row>
    <row r="1889" spans="1:5" x14ac:dyDescent="0.25">
      <c r="A1889" t="str">
        <f>HYPERLINK("https://www.773grp.com/globalSearch/LMP7707MA-NOPB/page-1", "LMP7707MA-NOPB")</f>
        <v>LMP7707MA-NOPB</v>
      </c>
      <c r="B1889" s="3" t="str">
        <f>HYPERLINK("https://www.773grp.com/manufacturer/national-semiconductor?pageNo=12", "National Semiconductor")</f>
        <v>National Semiconductor</v>
      </c>
      <c r="C1889" s="6">
        <v>11495</v>
      </c>
      <c r="D1889" s="7">
        <v>3.6</v>
      </c>
    </row>
    <row r="1890" spans="1:5" x14ac:dyDescent="0.25">
      <c r="A1890" t="str">
        <f>HYPERLINK("https://www.773grp.com/globalSearch/LP3917RL-NL-NOPB/page-1", "LP3917RL-NL-NOPB")</f>
        <v>LP3917RL-NL-NOPB</v>
      </c>
      <c r="B1890" s="3" t="str">
        <f>HYPERLINK("https://www.773grp.com/manufacturer/national-semiconductor?pageNo=13", "National Semiconductor")</f>
        <v>National Semiconductor</v>
      </c>
      <c r="C1890" s="6">
        <v>1750</v>
      </c>
      <c r="D1890" s="7">
        <v>3.6</v>
      </c>
    </row>
    <row r="1891" spans="1:5" x14ac:dyDescent="0.25">
      <c r="A1891" t="str">
        <f>HYPERLINK("https://www.773grp.com/globalSearch/LP3917RL-Q-NOPB/page-1", "LP3917RL-Q-NOPB")</f>
        <v>LP3917RL-Q-NOPB</v>
      </c>
      <c r="B1891" s="3" t="str">
        <f>HYPERLINK("https://www.773grp.com/manufacturer/national-semiconductor?pageNo=14", "National Semiconductor")</f>
        <v>National Semiconductor</v>
      </c>
      <c r="C1891" s="6">
        <v>250</v>
      </c>
      <c r="D1891" s="7">
        <v>3.6</v>
      </c>
      <c r="E1891" t="s">
        <v>30</v>
      </c>
    </row>
    <row r="1892" spans="1:5" x14ac:dyDescent="0.25">
      <c r="A1892" t="str">
        <f>HYPERLINK("https://www.773grp.com/globalSearch/LP3917RL-QL-NOPB/page-1", "LP3917RL-QL-NOPB")</f>
        <v>LP3917RL-QL-NOPB</v>
      </c>
      <c r="B1892" s="3" t="str">
        <f>HYPERLINK("https://www.773grp.com/manufacturer/national-semiconductor?pageNo=15", "National Semiconductor")</f>
        <v>National Semiconductor</v>
      </c>
      <c r="C1892" s="6">
        <v>250</v>
      </c>
      <c r="D1892" s="7">
        <v>3.6</v>
      </c>
    </row>
    <row r="1893" spans="1:5" x14ac:dyDescent="0.25">
      <c r="A1893" t="str">
        <f>HYPERLINK("https://www.773grp.com/globalSearch/LPC662AIM-NOPB/page-1", "LPC662AIM-NOPB")</f>
        <v>LPC662AIM-NOPB</v>
      </c>
      <c r="B1893" s="3" t="str">
        <f>HYPERLINK("https://www.773grp.com/manufacturer/national-semiconductor?pageNo=16", "National Semiconductor")</f>
        <v>National Semiconductor</v>
      </c>
      <c r="C1893" s="6">
        <v>162</v>
      </c>
      <c r="D1893" s="7">
        <v>3.6</v>
      </c>
      <c r="E1893" t="s">
        <v>13</v>
      </c>
    </row>
    <row r="1894" spans="1:5" x14ac:dyDescent="0.25">
      <c r="A1894" t="str">
        <f>HYPERLINK("https://www.773grp.com/globalSearch/54F20DM/page-1", "54F20DM")</f>
        <v>54F20DM</v>
      </c>
      <c r="B1894" s="3" t="str">
        <f>HYPERLINK("https://www.773grp.com/manufacturer/national-semiconductor?pageNo=17", "National Semiconductor")</f>
        <v>National Semiconductor</v>
      </c>
      <c r="C1894" s="6">
        <v>1605</v>
      </c>
      <c r="D1894" s="7">
        <v>3.63</v>
      </c>
      <c r="E1894" t="s">
        <v>31</v>
      </c>
    </row>
    <row r="1895" spans="1:5" x14ac:dyDescent="0.25">
      <c r="A1895" t="str">
        <f>HYPERLINK("https://www.773grp.com/globalSearch/74F280LC/page-1", "74F280LC")</f>
        <v>74F280LC</v>
      </c>
      <c r="B1895" s="3" t="str">
        <f>HYPERLINK("https://www.773grp.com/manufacturer/national-semiconductor?pageNo=18", "National Semiconductor")</f>
        <v>National Semiconductor</v>
      </c>
      <c r="C1895" s="6">
        <v>43</v>
      </c>
      <c r="D1895" s="7">
        <v>3.63</v>
      </c>
    </row>
    <row r="1896" spans="1:5" x14ac:dyDescent="0.25">
      <c r="A1896" t="str">
        <f>HYPERLINK("https://www.773grp.com/globalSearch/ADC0838CIWMX-NOPB/page-1", "ADC0838CIWMX-NOPB")</f>
        <v>ADC0838CIWMX-NOPB</v>
      </c>
      <c r="B1896" s="3" t="str">
        <f>HYPERLINK("https://www.773grp.com/manufacturer/national-semiconductor?pageNo=19", "National Semiconductor")</f>
        <v>National Semiconductor</v>
      </c>
      <c r="C1896" s="6">
        <v>2000</v>
      </c>
      <c r="D1896" s="7">
        <v>3.63</v>
      </c>
      <c r="E1896" t="s">
        <v>39</v>
      </c>
    </row>
    <row r="1897" spans="1:5" x14ac:dyDescent="0.25">
      <c r="A1897" t="str">
        <f>HYPERLINK("https://www.773grp.com/globalSearch/DM54S05J-MIL/page-1", "DM54S05J-MIL")</f>
        <v>DM54S05J-MIL</v>
      </c>
      <c r="B1897" s="3" t="str">
        <f>HYPERLINK("https://www.773grp.com/manufacturer/national-semiconductor?pageNo=20", "National Semiconductor")</f>
        <v>National Semiconductor</v>
      </c>
      <c r="C1897" s="6">
        <v>185</v>
      </c>
      <c r="D1897" s="7">
        <v>3.63</v>
      </c>
    </row>
    <row r="1898" spans="1:5" x14ac:dyDescent="0.25">
      <c r="A1898" t="str">
        <f>HYPERLINK("https://www.773grp.com/globalSearch/DS34LV87TM-NOPB/page-1", "DS34LV87TM-NOPB")</f>
        <v>DS34LV87TM-NOPB</v>
      </c>
      <c r="B1898" s="3" t="str">
        <f>HYPERLINK("https://www.773grp.com/manufacturer/national-semiconductor?pageNo=21", "National Semiconductor")</f>
        <v>National Semiconductor</v>
      </c>
      <c r="C1898" s="6">
        <v>453</v>
      </c>
      <c r="D1898" s="7">
        <v>3.63</v>
      </c>
      <c r="E1898" t="s">
        <v>21</v>
      </c>
    </row>
    <row r="1899" spans="1:5" x14ac:dyDescent="0.25">
      <c r="A1899" t="str">
        <f>HYPERLINK("https://www.773grp.com/globalSearch/DS34LV87TMX/page-1", "DS34LV87TMX")</f>
        <v>DS34LV87TMX</v>
      </c>
      <c r="B1899" s="3" t="str">
        <f>HYPERLINK("https://www.773grp.com/manufacturer/national-semiconductor?pageNo=22", "National Semiconductor")</f>
        <v>National Semiconductor</v>
      </c>
      <c r="C1899" s="6">
        <v>5000</v>
      </c>
      <c r="D1899" s="7">
        <v>3.63</v>
      </c>
      <c r="E1899" t="s">
        <v>21</v>
      </c>
    </row>
    <row r="1900" spans="1:5" x14ac:dyDescent="0.25">
      <c r="A1900" t="str">
        <f>HYPERLINK("https://www.773grp.com/globalSearch/DS36C279M-NOPB/page-1", "DS36C279M-NOPB")</f>
        <v>DS36C279M-NOPB</v>
      </c>
      <c r="B1900" s="3" t="str">
        <f>HYPERLINK("https://www.773grp.com/manufacturer/national-semiconductor?pageNo=23", "National Semiconductor")</f>
        <v>National Semiconductor</v>
      </c>
      <c r="C1900" s="6">
        <v>3607</v>
      </c>
      <c r="D1900" s="7">
        <v>3.63</v>
      </c>
      <c r="E1900" t="s">
        <v>21</v>
      </c>
    </row>
    <row r="1901" spans="1:5" x14ac:dyDescent="0.25">
      <c r="A1901" t="str">
        <f>HYPERLINK("https://www.773grp.com/globalSearch/DS36C280M-NOPB/page-1", "DS36C280M-NOPB")</f>
        <v>DS36C280M-NOPB</v>
      </c>
      <c r="B1901" s="3" t="str">
        <f>HYPERLINK("https://www.773grp.com/manufacturer/national-semiconductor?pageNo=24", "National Semiconductor")</f>
        <v>National Semiconductor</v>
      </c>
      <c r="C1901" s="6">
        <v>920</v>
      </c>
      <c r="D1901" s="7">
        <v>3.63</v>
      </c>
      <c r="E1901" t="s">
        <v>21</v>
      </c>
    </row>
    <row r="1902" spans="1:5" x14ac:dyDescent="0.25">
      <c r="A1902" t="str">
        <f>HYPERLINK("https://www.773grp.com/globalSearch/DS36C280TM-NOPB/page-1", "DS36C280TM-NOPB")</f>
        <v>DS36C280TM-NOPB</v>
      </c>
      <c r="B1902" s="3" t="str">
        <f>HYPERLINK("https://www.773grp.com/manufacturer/national-semiconductor?pageNo=25", "National Semiconductor")</f>
        <v>National Semiconductor</v>
      </c>
      <c r="C1902" s="6">
        <v>170</v>
      </c>
      <c r="D1902" s="7">
        <v>3.63</v>
      </c>
      <c r="E1902" t="s">
        <v>21</v>
      </c>
    </row>
    <row r="1903" spans="1:5" x14ac:dyDescent="0.25">
      <c r="A1903" t="str">
        <f>HYPERLINK("https://www.773grp.com/globalSearch/LM1875T-LF03/page-1", "LM1875T-LF03")</f>
        <v>LM1875T-LF03</v>
      </c>
      <c r="B1903" s="3" t="str">
        <f>HYPERLINK("https://www.773grp.com/manufacturer/national-semiconductor?pageNo=26", "National Semiconductor")</f>
        <v>National Semiconductor</v>
      </c>
      <c r="C1903" s="6">
        <v>2131</v>
      </c>
      <c r="D1903" s="7">
        <v>3.63</v>
      </c>
    </row>
    <row r="1904" spans="1:5" x14ac:dyDescent="0.25">
      <c r="A1904" t="str">
        <f>HYPERLINK("https://www.773grp.com/globalSearch/LM1875T-NOPB/page-1", "LM1875T-NOPB")</f>
        <v>LM1875T-NOPB</v>
      </c>
      <c r="B1904" s="3" t="str">
        <f>HYPERLINK("https://www.773grp.com/manufacturer/national-semiconductor?pageNo=27", "National Semiconductor")</f>
        <v>National Semiconductor</v>
      </c>
      <c r="C1904" s="6">
        <v>1371</v>
      </c>
      <c r="D1904" s="7">
        <v>3.63</v>
      </c>
    </row>
    <row r="1905" spans="1:5" x14ac:dyDescent="0.25">
      <c r="A1905" t="str">
        <f>HYPERLINK("https://www.773grp.com/globalSearch/LM34910CSD-NOPB/page-1", "LM34910CSD-NOPB")</f>
        <v>LM34910CSD-NOPB</v>
      </c>
      <c r="B1905" s="3" t="str">
        <f>HYPERLINK("https://www.773grp.com/manufacturer/national-semiconductor?pageNo=28", "National Semiconductor")</f>
        <v>National Semiconductor</v>
      </c>
      <c r="C1905" s="6">
        <v>800</v>
      </c>
      <c r="D1905" s="7">
        <v>3.63</v>
      </c>
      <c r="E1905" t="s">
        <v>7</v>
      </c>
    </row>
    <row r="1906" spans="1:5" x14ac:dyDescent="0.25">
      <c r="A1906" t="str">
        <f>HYPERLINK("https://www.773grp.com/globalSearch/LM4663MT-NOPB/page-1", "LM4663MT-NOPB")</f>
        <v>LM4663MT-NOPB</v>
      </c>
      <c r="B1906" s="3" t="str">
        <f>HYPERLINK("https://www.773grp.com/manufacturer/national-semiconductor?pageNo=29", "National Semiconductor")</f>
        <v>National Semiconductor</v>
      </c>
      <c r="C1906" s="6">
        <v>44</v>
      </c>
      <c r="D1906" s="7">
        <v>3.63</v>
      </c>
      <c r="E1906" t="s">
        <v>18</v>
      </c>
    </row>
    <row r="1907" spans="1:5" x14ac:dyDescent="0.25">
      <c r="A1907" t="str">
        <f>HYPERLINK("https://www.773grp.com/globalSearch/LM5100MX-NOPB/page-1", "LM5100MX-NOPB")</f>
        <v>LM5100MX-NOPB</v>
      </c>
      <c r="B1907" s="3" t="str">
        <f>HYPERLINK("https://www.773grp.com/manufacturer/national-semiconductor?pageNo=30", "National Semiconductor")</f>
        <v>National Semiconductor</v>
      </c>
      <c r="C1907" s="6">
        <v>32100</v>
      </c>
      <c r="D1907" s="7">
        <v>3.63</v>
      </c>
      <c r="E1907" t="s">
        <v>11</v>
      </c>
    </row>
    <row r="1908" spans="1:5" x14ac:dyDescent="0.25">
      <c r="A1908" t="str">
        <f>HYPERLINK("https://www.773grp.com/globalSearch/LM9076BMA-5.0/page-1", "LM9076BMA-5.0")</f>
        <v>LM9076BMA-5.0</v>
      </c>
      <c r="B1908" s="3" t="str">
        <f>HYPERLINK("https://www.773grp.com/manufacturer/national-semiconductor?pageNo=31", "National Semiconductor")</f>
        <v>National Semiconductor</v>
      </c>
      <c r="C1908" s="6">
        <v>196</v>
      </c>
      <c r="D1908" s="7">
        <v>3.63</v>
      </c>
      <c r="E1908" t="s">
        <v>19</v>
      </c>
    </row>
    <row r="1909" spans="1:5" x14ac:dyDescent="0.25">
      <c r="A1909" t="str">
        <f>HYPERLINK("https://www.773grp.com/globalSearch/LM95235QEIMM-NOPB/page-1", "LM95235QEIMM-NOPB")</f>
        <v>LM95235QEIMM-NOPB</v>
      </c>
      <c r="B1909" s="3" t="str">
        <f>HYPERLINK("https://www.773grp.com/manufacturer/national-semiconductor?pageNo=32", "National Semiconductor")</f>
        <v>National Semiconductor</v>
      </c>
      <c r="C1909" s="6">
        <v>850</v>
      </c>
      <c r="D1909" s="7">
        <v>3.63</v>
      </c>
    </row>
    <row r="1910" spans="1:5" x14ac:dyDescent="0.25">
      <c r="A1910" t="str">
        <f>HYPERLINK("https://www.773grp.com/globalSearch/LMC6044IM-NOPB/page-1", "LMC6044IM-NOPB")</f>
        <v>LMC6044IM-NOPB</v>
      </c>
      <c r="B1910" s="3" t="str">
        <f>HYPERLINK("https://www.773grp.com/manufacturer/national-semiconductor?pageNo=33", "National Semiconductor")</f>
        <v>National Semiconductor</v>
      </c>
      <c r="C1910" s="6">
        <v>724</v>
      </c>
      <c r="D1910" s="7">
        <v>3.63</v>
      </c>
      <c r="E1910" t="s">
        <v>13</v>
      </c>
    </row>
    <row r="1911" spans="1:5" x14ac:dyDescent="0.25">
      <c r="A1911" t="str">
        <f>HYPERLINK("https://www.773grp.com/globalSearch/LMC6484AIN-NOPB/page-1", "LMC6484AIN-NOPB")</f>
        <v>LMC6484AIN-NOPB</v>
      </c>
      <c r="B1911" s="3" t="str">
        <f>HYPERLINK("https://www.773grp.com/manufacturer/national-semiconductor?pageNo=34", "National Semiconductor")</f>
        <v>National Semiconductor</v>
      </c>
      <c r="C1911" s="6">
        <v>527</v>
      </c>
      <c r="D1911" s="7">
        <v>3.63</v>
      </c>
      <c r="E1911" t="s">
        <v>13</v>
      </c>
    </row>
    <row r="1912" spans="1:5" x14ac:dyDescent="0.25">
      <c r="A1912" t="str">
        <f>HYPERLINK("https://www.773grp.com/globalSearch/LMC6582AIM/page-1", "LMC6582AIM")</f>
        <v>LMC6582AIM</v>
      </c>
      <c r="B1912" s="3" t="str">
        <f>HYPERLINK("https://www.773grp.com/manufacturer/national-semiconductor?pageNo=35", "National Semiconductor")</f>
        <v>National Semiconductor</v>
      </c>
      <c r="C1912" s="6">
        <v>685</v>
      </c>
      <c r="D1912" s="7">
        <v>3.63</v>
      </c>
      <c r="E1912" t="s">
        <v>13</v>
      </c>
    </row>
    <row r="1913" spans="1:5" x14ac:dyDescent="0.25">
      <c r="A1913" t="str">
        <f>HYPERLINK("https://www.773grp.com/globalSearch/LMH6723MA/page-1", "LMH6723MA")</f>
        <v>LMH6723MA</v>
      </c>
      <c r="B1913" s="3" t="str">
        <f>HYPERLINK("https://www.773grp.com/manufacturer/national-semiconductor?pageNo=36", "National Semiconductor")</f>
        <v>National Semiconductor</v>
      </c>
      <c r="C1913" s="6">
        <v>614</v>
      </c>
      <c r="D1913" s="7">
        <v>3.63</v>
      </c>
      <c r="E1913" t="s">
        <v>13</v>
      </c>
    </row>
    <row r="1914" spans="1:5" x14ac:dyDescent="0.25">
      <c r="A1914" t="str">
        <f>HYPERLINK("https://www.773grp.com/globalSearch/LP3919RLX-C-NOPB/page-1", "LP3919RLX-C-NOPB")</f>
        <v>LP3919RLX-C-NOPB</v>
      </c>
      <c r="B1914" s="3" t="str">
        <f>HYPERLINK("https://www.773grp.com/manufacturer/national-semiconductor?pageNo=37", "National Semiconductor")</f>
        <v>National Semiconductor</v>
      </c>
      <c r="C1914" s="6">
        <v>100</v>
      </c>
      <c r="D1914" s="7">
        <v>3.63</v>
      </c>
    </row>
    <row r="1915" spans="1:5" x14ac:dyDescent="0.25">
      <c r="A1915" t="str">
        <f>HYPERLINK("https://www.773grp.com/globalSearch/LP8725TLX-B-NOPB/page-1", "LP8725TLX-B-NOPB")</f>
        <v>LP8725TLX-B-NOPB</v>
      </c>
      <c r="B1915" s="3" t="str">
        <f>HYPERLINK("https://www.773grp.com/manufacturer/national-semiconductor?pageNo=38", "National Semiconductor")</f>
        <v>National Semiconductor</v>
      </c>
      <c r="C1915" s="6">
        <v>9000</v>
      </c>
      <c r="D1915" s="7">
        <v>3.63</v>
      </c>
    </row>
    <row r="1916" spans="1:5" x14ac:dyDescent="0.25">
      <c r="A1916" t="str">
        <f>HYPERLINK("https://www.773grp.com/globalSearch/LP8725TLX-D-NOPB/page-1", "LP8725TLX-D-NOPB")</f>
        <v>LP8725TLX-D-NOPB</v>
      </c>
      <c r="B1916" s="3" t="str">
        <f>HYPERLINK("https://www.773grp.com/manufacturer/national-semiconductor?pageNo=39", "National Semiconductor")</f>
        <v>National Semiconductor</v>
      </c>
      <c r="C1916" s="6">
        <v>54000</v>
      </c>
      <c r="D1916" s="7">
        <v>3.63</v>
      </c>
    </row>
    <row r="1917" spans="1:5" x14ac:dyDescent="0.25">
      <c r="A1917" t="str">
        <f>HYPERLINK("https://www.773grp.com/globalSearch/DS34LV87TM-NOPB/page-1", "DS34LV87TM-NOPB")</f>
        <v>DS34LV87TM-NOPB</v>
      </c>
      <c r="B1917" s="3" t="str">
        <f>HYPERLINK("https://www.773grp.com/manufacturer/national-semiconductor?pageNo=40", "National Semiconductor")</f>
        <v>National Semiconductor</v>
      </c>
      <c r="C1917" s="6">
        <v>475</v>
      </c>
      <c r="D1917" s="7">
        <v>3.63</v>
      </c>
      <c r="E1917" t="s">
        <v>21</v>
      </c>
    </row>
    <row r="1918" spans="1:5" x14ac:dyDescent="0.25">
      <c r="A1918" t="str">
        <f>HYPERLINK("https://www.773grp.com/globalSearch/DS36C279M-NOPB/page-1", "DS36C279M-NOPB")</f>
        <v>DS36C279M-NOPB</v>
      </c>
      <c r="B1918" s="3" t="str">
        <f>HYPERLINK("https://www.773grp.com/manufacturer/national-semiconductor?pageNo=41", "National Semiconductor")</f>
        <v>National Semiconductor</v>
      </c>
      <c r="C1918" s="6">
        <v>410</v>
      </c>
      <c r="D1918" s="7">
        <v>3.63</v>
      </c>
      <c r="E1918" t="s">
        <v>21</v>
      </c>
    </row>
    <row r="1919" spans="1:5" x14ac:dyDescent="0.25">
      <c r="A1919" t="str">
        <f>HYPERLINK("https://www.773grp.com/globalSearch/DS36C279M-NOPB/page-1", "DS36C279M-NOPB")</f>
        <v>DS36C279M-NOPB</v>
      </c>
      <c r="B1919" s="3" t="str">
        <f>HYPERLINK("https://www.773grp.com/manufacturer/national-semiconductor?pageNo=42", "National Semiconductor")</f>
        <v>National Semiconductor</v>
      </c>
      <c r="C1919" s="6">
        <v>1865</v>
      </c>
      <c r="D1919" s="7">
        <v>3.63</v>
      </c>
      <c r="E1919" t="s">
        <v>21</v>
      </c>
    </row>
    <row r="1920" spans="1:5" x14ac:dyDescent="0.25">
      <c r="A1920" t="str">
        <f>HYPERLINK("https://www.773grp.com/globalSearch/DS36C280M-NOPB/page-1", "DS36C280M-NOPB")</f>
        <v>DS36C280M-NOPB</v>
      </c>
      <c r="B1920" s="3" t="str">
        <f>HYPERLINK("https://www.773grp.com/manufacturer/national-semiconductor?pageNo=43", "National Semiconductor")</f>
        <v>National Semiconductor</v>
      </c>
      <c r="C1920" s="6">
        <v>1120</v>
      </c>
      <c r="D1920" s="7">
        <v>3.63</v>
      </c>
      <c r="E1920" t="s">
        <v>21</v>
      </c>
    </row>
    <row r="1921" spans="1:5" x14ac:dyDescent="0.25">
      <c r="A1921" t="str">
        <f>HYPERLINK("https://www.773grp.com/globalSearch/DS36C280TM-NOPB/page-1", "DS36C280TM-NOPB")</f>
        <v>DS36C280TM-NOPB</v>
      </c>
      <c r="B1921" s="3" t="str">
        <f>HYPERLINK("https://www.773grp.com/manufacturer/national-semiconductor?pageNo=44", "National Semiconductor")</f>
        <v>National Semiconductor</v>
      </c>
      <c r="C1921" s="6">
        <v>10510</v>
      </c>
      <c r="D1921" s="7">
        <v>3.63</v>
      </c>
      <c r="E1921" t="s">
        <v>21</v>
      </c>
    </row>
    <row r="1922" spans="1:5" x14ac:dyDescent="0.25">
      <c r="A1922" t="str">
        <f>HYPERLINK("https://www.773grp.com/globalSearch/EMB1426QMME-NOPB/page-1", "EMB1426QMME-NOPB")</f>
        <v>EMB1426QMME-NOPB</v>
      </c>
      <c r="B1922" s="3" t="str">
        <f>HYPERLINK("https://www.773grp.com/manufacturer/national-semiconductor?pageNo=45", "National Semiconductor")</f>
        <v>National Semiconductor</v>
      </c>
      <c r="C1922" s="6">
        <v>250</v>
      </c>
      <c r="D1922" s="7">
        <v>3.63</v>
      </c>
    </row>
    <row r="1923" spans="1:5" x14ac:dyDescent="0.25">
      <c r="A1923" t="str">
        <f>HYPERLINK("https://www.773grp.com/globalSearch/LM1875T-LB05/page-1", "LM1875T-LB05")</f>
        <v>LM1875T-LB05</v>
      </c>
      <c r="B1923" s="3" t="str">
        <f>HYPERLINK("https://www.773grp.com/manufacturer/national-semiconductor?pageNo=46", "National Semiconductor")</f>
        <v>National Semiconductor</v>
      </c>
      <c r="C1923" s="6">
        <v>128</v>
      </c>
      <c r="D1923" s="7">
        <v>3.63</v>
      </c>
    </row>
    <row r="1924" spans="1:5" x14ac:dyDescent="0.25">
      <c r="A1924" t="str">
        <f>HYPERLINK("https://www.773grp.com/globalSearch/LM1875T-LF02/page-1", "LM1875T-LF02")</f>
        <v>LM1875T-LF02</v>
      </c>
      <c r="B1924" s="3" t="str">
        <f>HYPERLINK("https://www.773grp.com/manufacturer/national-semiconductor?pageNo=47", "National Semiconductor")</f>
        <v>National Semiconductor</v>
      </c>
      <c r="C1924" s="6">
        <v>15</v>
      </c>
      <c r="D1924" s="7">
        <v>3.63</v>
      </c>
    </row>
    <row r="1925" spans="1:5" x14ac:dyDescent="0.25">
      <c r="A1925" t="str">
        <f>HYPERLINK("https://www.773grp.com/globalSearch/LM1875T-NOPB/page-1", "LM1875T-NOPB")</f>
        <v>LM1875T-NOPB</v>
      </c>
      <c r="B1925" s="3" t="str">
        <f>HYPERLINK("https://www.773grp.com/manufacturer/national-semiconductor?pageNo=48", "National Semiconductor")</f>
        <v>National Semiconductor</v>
      </c>
      <c r="C1925" s="6">
        <v>496</v>
      </c>
      <c r="D1925" s="7">
        <v>3.63</v>
      </c>
    </row>
    <row r="1926" spans="1:5" x14ac:dyDescent="0.25">
      <c r="A1926" t="str">
        <f>HYPERLINK("https://www.773grp.com/globalSearch/LM34910CSD/page-1", "LM34910CSD")</f>
        <v>LM34910CSD</v>
      </c>
      <c r="B1926" s="3" t="str">
        <f>HYPERLINK("https://www.773grp.com/manufacturer/national-semiconductor?pageNo=49", "National Semiconductor")</f>
        <v>National Semiconductor</v>
      </c>
      <c r="C1926" s="6">
        <v>4000</v>
      </c>
      <c r="D1926" s="7">
        <v>3.63</v>
      </c>
      <c r="E1926" t="s">
        <v>7</v>
      </c>
    </row>
    <row r="1927" spans="1:5" x14ac:dyDescent="0.25">
      <c r="A1927" t="str">
        <f>HYPERLINK("https://www.773grp.com/globalSearch/LM34910SD-NOPB/page-1", "LM34910SD-NOPB")</f>
        <v>LM34910SD-NOPB</v>
      </c>
      <c r="B1927" s="3" t="str">
        <f>HYPERLINK("https://www.773grp.com/manufacturer/national-semiconductor?pageNo=50", "National Semiconductor")</f>
        <v>National Semiconductor</v>
      </c>
      <c r="C1927" s="6">
        <v>900</v>
      </c>
      <c r="D1927" s="7">
        <v>3.63</v>
      </c>
      <c r="E1927" t="s">
        <v>7</v>
      </c>
    </row>
    <row r="1928" spans="1:5" x14ac:dyDescent="0.25">
      <c r="A1928" t="str">
        <f>HYPERLINK("https://www.773grp.com/globalSearch/LM34DM/page-1", "LM34DM")</f>
        <v>LM34DM</v>
      </c>
      <c r="B1928" s="3" t="str">
        <f>HYPERLINK("https://www.773grp.com/manufacturer/national-semiconductor?pageNo=51", "National Semiconductor")</f>
        <v>National Semiconductor</v>
      </c>
      <c r="C1928" s="6">
        <v>824</v>
      </c>
      <c r="D1928" s="7">
        <v>3.63</v>
      </c>
    </row>
    <row r="1929" spans="1:5" x14ac:dyDescent="0.25">
      <c r="A1929" t="str">
        <f>HYPERLINK("https://www.773grp.com/globalSearch/LM95235QEIMM-NOPB/page-1", "LM95235QEIMM-NOPB")</f>
        <v>LM95235QEIMM-NOPB</v>
      </c>
      <c r="B1929" s="3" t="str">
        <f>HYPERLINK("https://www.773grp.com/manufacturer/national-semiconductor?pageNo=52", "National Semiconductor")</f>
        <v>National Semiconductor</v>
      </c>
      <c r="C1929" s="6">
        <v>8445</v>
      </c>
      <c r="D1929" s="7">
        <v>3.63</v>
      </c>
    </row>
    <row r="1930" spans="1:5" x14ac:dyDescent="0.25">
      <c r="A1930" t="str">
        <f>HYPERLINK("https://www.773grp.com/globalSearch/LMC6044IM-NOPB/page-1", "LMC6044IM-NOPB")</f>
        <v>LMC6044IM-NOPB</v>
      </c>
      <c r="B1930" s="3" t="str">
        <f>HYPERLINK("https://www.773grp.com/manufacturer/national-semiconductor?pageNo=53", "National Semiconductor")</f>
        <v>National Semiconductor</v>
      </c>
      <c r="C1930" s="6">
        <v>1398</v>
      </c>
      <c r="D1930" s="7">
        <v>3.63</v>
      </c>
      <c r="E1930" t="s">
        <v>13</v>
      </c>
    </row>
    <row r="1931" spans="1:5" x14ac:dyDescent="0.25">
      <c r="A1931" t="str">
        <f>HYPERLINK("https://www.773grp.com/globalSearch/LMC6484AIN-NOPB/page-1", "LMC6484AIN-NOPB")</f>
        <v>LMC6484AIN-NOPB</v>
      </c>
      <c r="B1931" s="3" t="str">
        <f>HYPERLINK("https://www.773grp.com/manufacturer/national-semiconductor?pageNo=54", "National Semiconductor")</f>
        <v>National Semiconductor</v>
      </c>
      <c r="C1931" s="6">
        <v>238</v>
      </c>
      <c r="D1931" s="7">
        <v>3.63</v>
      </c>
      <c r="E1931" t="s">
        <v>13</v>
      </c>
    </row>
    <row r="1932" spans="1:5" x14ac:dyDescent="0.25">
      <c r="A1932" t="str">
        <f>HYPERLINK("https://www.773grp.com/globalSearch/LMH6723MA/page-1", "LMH6723MA")</f>
        <v>LMH6723MA</v>
      </c>
      <c r="B1932" s="3" t="str">
        <f>HYPERLINK("https://www.773grp.com/manufacturer/national-semiconductor?pageNo=55", "National Semiconductor")</f>
        <v>National Semiconductor</v>
      </c>
      <c r="C1932" s="6">
        <v>344</v>
      </c>
      <c r="D1932" s="7">
        <v>3.63</v>
      </c>
      <c r="E1932" t="s">
        <v>13</v>
      </c>
    </row>
    <row r="1933" spans="1:5" x14ac:dyDescent="0.25">
      <c r="A1933" t="str">
        <f>HYPERLINK("https://www.773grp.com/globalSearch/LP8725TLX-B-NOPB/page-1", "LP8725TLX-B-NOPB")</f>
        <v>LP8725TLX-B-NOPB</v>
      </c>
      <c r="B1933" s="3" t="str">
        <f>HYPERLINK("https://www.773grp.com/manufacturer/national-semiconductor?pageNo=56", "National Semiconductor")</f>
        <v>National Semiconductor</v>
      </c>
      <c r="C1933" s="6">
        <v>21000</v>
      </c>
      <c r="D1933" s="7">
        <v>3.63</v>
      </c>
    </row>
    <row r="1934" spans="1:5" x14ac:dyDescent="0.25">
      <c r="A1934" t="str">
        <f>HYPERLINK("https://www.773grp.com/globalSearch/PCA9545AGQNR/page-1", "PCA9545AGQNR")</f>
        <v>PCA9545AGQNR</v>
      </c>
      <c r="B1934" s="3" t="str">
        <f>HYPERLINK("https://www.773grp.com/manufacturer/national-semiconductor?pageNo=57", "National Semiconductor")</f>
        <v>National Semiconductor</v>
      </c>
      <c r="C1934" s="6">
        <v>24000</v>
      </c>
      <c r="D1934" s="7">
        <v>3.63</v>
      </c>
    </row>
    <row r="1935" spans="1:5" x14ac:dyDescent="0.25">
      <c r="A1935" t="str">
        <f>HYPERLINK("https://www.773grp.com/globalSearch/54S11DM/page-1", "54S11DM")</f>
        <v>54S11DM</v>
      </c>
      <c r="B1935" s="3" t="str">
        <f>HYPERLINK("https://www.773grp.com/manufacturer/national-semiconductor?pageNo=58", "National Semiconductor")</f>
        <v>National Semiconductor</v>
      </c>
      <c r="C1935" s="6">
        <v>9035</v>
      </c>
      <c r="D1935" s="7">
        <v>4.01</v>
      </c>
      <c r="E1935" t="s">
        <v>31</v>
      </c>
    </row>
    <row r="1936" spans="1:5" x14ac:dyDescent="0.25">
      <c r="A1936" t="str">
        <f>HYPERLINK("https://www.773grp.com/globalSearch/74164PC/page-1", "74164PC")</f>
        <v>74164PC</v>
      </c>
      <c r="B1936" s="3" t="str">
        <f>HYPERLINK("https://www.773grp.com/manufacturer/national-semiconductor?pageNo=59", "National Semiconductor")</f>
        <v>National Semiconductor</v>
      </c>
      <c r="C1936" s="6">
        <v>11863</v>
      </c>
      <c r="D1936" s="7">
        <v>4.01</v>
      </c>
    </row>
    <row r="1937" spans="1:5" x14ac:dyDescent="0.25">
      <c r="A1937" t="str">
        <f>HYPERLINK("https://www.773grp.com/globalSearch/74LS298PC/page-1", "74LS298PC")</f>
        <v>74LS298PC</v>
      </c>
      <c r="B1937" s="3" t="str">
        <f>HYPERLINK("https://www.773grp.com/manufacturer/national-semiconductor?pageNo=60", "National Semiconductor")</f>
        <v>National Semiconductor</v>
      </c>
      <c r="C1937" s="6">
        <v>49718</v>
      </c>
      <c r="D1937" s="7">
        <v>4.01</v>
      </c>
    </row>
    <row r="1938" spans="1:5" x14ac:dyDescent="0.25">
      <c r="A1938" t="str">
        <f>HYPERLINK("https://www.773grp.com/globalSearch/DM74164N/page-1", "DM74164N")</f>
        <v>DM74164N</v>
      </c>
      <c r="B1938" s="3" t="str">
        <f>HYPERLINK("https://www.773grp.com/manufacturer/national-semiconductor?pageNo=61", "National Semiconductor")</f>
        <v>National Semiconductor</v>
      </c>
      <c r="C1938" s="6">
        <v>2499</v>
      </c>
      <c r="D1938" s="7">
        <v>4.01</v>
      </c>
      <c r="E1938" t="s">
        <v>32</v>
      </c>
    </row>
    <row r="1939" spans="1:5" x14ac:dyDescent="0.25">
      <c r="A1939" t="str">
        <f>HYPERLINK("https://www.773grp.com/globalSearch/DS14C88M/page-1", "DS14C88M")</f>
        <v>DS14C88M</v>
      </c>
      <c r="B1939" s="3" t="str">
        <f>HYPERLINK("https://www.773grp.com/manufacturer/national-semiconductor?pageNo=62", "National Semiconductor")</f>
        <v>National Semiconductor</v>
      </c>
      <c r="C1939" s="6">
        <v>2340</v>
      </c>
      <c r="D1939" s="7">
        <v>4.01</v>
      </c>
      <c r="E1939" t="s">
        <v>21</v>
      </c>
    </row>
    <row r="1940" spans="1:5" x14ac:dyDescent="0.25">
      <c r="A1940" t="str">
        <f>HYPERLINK("https://www.773grp.com/globalSearch/DS26C31TM-NOPB/page-1", "DS26C31TM-NOPB")</f>
        <v>DS26C31TM-NOPB</v>
      </c>
      <c r="B1940" s="3" t="str">
        <f>HYPERLINK("https://www.773grp.com/manufacturer/national-semiconductor?pageNo=63", "National Semiconductor")</f>
        <v>National Semiconductor</v>
      </c>
      <c r="C1940" s="6">
        <v>705</v>
      </c>
      <c r="D1940" s="7">
        <v>4.01</v>
      </c>
      <c r="E1940" t="s">
        <v>21</v>
      </c>
    </row>
    <row r="1941" spans="1:5" x14ac:dyDescent="0.25">
      <c r="A1941" t="str">
        <f>HYPERLINK("https://www.773grp.com/globalSearch/DS90LV001TLD-NOPB/page-1", "DS90LV001TLD-NOPB")</f>
        <v>DS90LV001TLD-NOPB</v>
      </c>
      <c r="B1941" s="3" t="str">
        <f>HYPERLINK("https://www.773grp.com/manufacturer/national-semiconductor?pageNo=64", "National Semiconductor")</f>
        <v>National Semiconductor</v>
      </c>
      <c r="C1941" s="6">
        <v>11803</v>
      </c>
      <c r="D1941" s="7">
        <v>4.01</v>
      </c>
      <c r="E1941" t="s">
        <v>21</v>
      </c>
    </row>
    <row r="1942" spans="1:5" x14ac:dyDescent="0.25">
      <c r="A1942" t="str">
        <f>HYPERLINK("https://www.773grp.com/globalSearch/LM1086CS-2.5-NOPB/page-1", "LM1086CS-2.5-NOPB")</f>
        <v>LM1086CS-2.5-NOPB</v>
      </c>
      <c r="B1942" s="3" t="str">
        <f>HYPERLINK("https://www.773grp.com/manufacturer/national-semiconductor?pageNo=65", "National Semiconductor")</f>
        <v>National Semiconductor</v>
      </c>
      <c r="C1942" s="6">
        <v>625</v>
      </c>
      <c r="D1942" s="7">
        <v>4.01</v>
      </c>
      <c r="E1942" t="s">
        <v>19</v>
      </c>
    </row>
    <row r="1943" spans="1:5" x14ac:dyDescent="0.25">
      <c r="A1943" t="str">
        <f>HYPERLINK("https://www.773grp.com/globalSearch/LM1086CS-3.3-NOPB/page-1", "LM1086CS-3.3-NOPB")</f>
        <v>LM1086CS-3.3-NOPB</v>
      </c>
      <c r="B1943" s="3" t="str">
        <f>HYPERLINK("https://www.773grp.com/manufacturer/national-semiconductor?pageNo=66", "National Semiconductor")</f>
        <v>National Semiconductor</v>
      </c>
      <c r="C1943" s="6">
        <v>1745</v>
      </c>
      <c r="D1943" s="7">
        <v>4.01</v>
      </c>
      <c r="E1943" t="s">
        <v>19</v>
      </c>
    </row>
    <row r="1944" spans="1:5" x14ac:dyDescent="0.25">
      <c r="A1944" t="str">
        <f>HYPERLINK("https://www.773grp.com/globalSearch/LM1086CS-5.0-NOPB/page-1", "LM1086CS-5.0-NOPB")</f>
        <v>LM1086CS-5.0-NOPB</v>
      </c>
      <c r="B1944" s="3" t="str">
        <f>HYPERLINK("https://www.773grp.com/manufacturer/national-semiconductor?pageNo=67", "National Semiconductor")</f>
        <v>National Semiconductor</v>
      </c>
      <c r="C1944" s="6">
        <v>450</v>
      </c>
      <c r="D1944" s="7">
        <v>4.01</v>
      </c>
      <c r="E1944" t="s">
        <v>19</v>
      </c>
    </row>
    <row r="1945" spans="1:5" x14ac:dyDescent="0.25">
      <c r="A1945" t="str">
        <f>HYPERLINK("https://www.773grp.com/globalSearch/LM1086CS-ADJ-NOPB/page-1", "LM1086CS-ADJ-NOPB")</f>
        <v>LM1086CS-ADJ-NOPB</v>
      </c>
      <c r="B1945" s="3" t="str">
        <f>HYPERLINK("https://www.773grp.com/manufacturer/national-semiconductor?pageNo=68", "National Semiconductor")</f>
        <v>National Semiconductor</v>
      </c>
      <c r="C1945" s="6">
        <v>5780</v>
      </c>
      <c r="D1945" s="7">
        <v>4.01</v>
      </c>
      <c r="E1945" t="s">
        <v>25</v>
      </c>
    </row>
    <row r="1946" spans="1:5" x14ac:dyDescent="0.25">
      <c r="A1946" t="str">
        <f>HYPERLINK("https://www.773grp.com/globalSearch/LM1086IS-1.8-NOPB/page-1", "LM1086IS-1.8-NOPB")</f>
        <v>LM1086IS-1.8-NOPB</v>
      </c>
      <c r="B1946" s="3" t="str">
        <f>HYPERLINK("https://www.773grp.com/manufacturer/national-semiconductor?pageNo=69", "National Semiconductor")</f>
        <v>National Semiconductor</v>
      </c>
      <c r="C1946" s="6">
        <v>525</v>
      </c>
      <c r="D1946" s="7">
        <v>4.01</v>
      </c>
      <c r="E1946" t="s">
        <v>19</v>
      </c>
    </row>
    <row r="1947" spans="1:5" x14ac:dyDescent="0.25">
      <c r="A1947" t="str">
        <f>HYPERLINK("https://www.773grp.com/globalSearch/LM1086IS-3.3-NOPB/page-1", "LM1086IS-3.3-NOPB")</f>
        <v>LM1086IS-3.3-NOPB</v>
      </c>
      <c r="B1947" s="3" t="str">
        <f>HYPERLINK("https://www.773grp.com/manufacturer/national-semiconductor?pageNo=70", "National Semiconductor")</f>
        <v>National Semiconductor</v>
      </c>
      <c r="C1947" s="6">
        <v>3733</v>
      </c>
      <c r="D1947" s="7">
        <v>4.01</v>
      </c>
      <c r="E1947" t="s">
        <v>19</v>
      </c>
    </row>
    <row r="1948" spans="1:5" x14ac:dyDescent="0.25">
      <c r="A1948" t="str">
        <f>HYPERLINK("https://www.773grp.com/globalSearch/LM1086IS-5.0-NOPB/page-1", "LM1086IS-5.0-NOPB")</f>
        <v>LM1086IS-5.0-NOPB</v>
      </c>
      <c r="B1948" s="3" t="str">
        <f>HYPERLINK("https://www.773grp.com/manufacturer/national-semiconductor?pageNo=71", "National Semiconductor")</f>
        <v>National Semiconductor</v>
      </c>
      <c r="C1948" s="6">
        <v>1515</v>
      </c>
      <c r="D1948" s="7">
        <v>4.01</v>
      </c>
      <c r="E1948" t="s">
        <v>19</v>
      </c>
    </row>
    <row r="1949" spans="1:5" x14ac:dyDescent="0.25">
      <c r="A1949" t="str">
        <f>HYPERLINK("https://www.773grp.com/globalSearch/LM1086IS-ADJ-NOPB/page-1", "LM1086IS-ADJ-NOPB")</f>
        <v>LM1086IS-ADJ-NOPB</v>
      </c>
      <c r="B1949" s="3" t="str">
        <f>HYPERLINK("https://www.773grp.com/manufacturer/national-semiconductor?pageNo=72", "National Semiconductor")</f>
        <v>National Semiconductor</v>
      </c>
      <c r="C1949" s="6">
        <v>136</v>
      </c>
      <c r="D1949" s="7">
        <v>4.01</v>
      </c>
      <c r="E1949" t="s">
        <v>25</v>
      </c>
    </row>
    <row r="1950" spans="1:5" x14ac:dyDescent="0.25">
      <c r="A1950" t="str">
        <f>HYPERLINK("https://www.773grp.com/globalSearch/LM2574N-12-NOPB/page-1", "LM2574N-12-NOPB")</f>
        <v>LM2574N-12-NOPB</v>
      </c>
      <c r="B1950" s="3" t="str">
        <f>HYPERLINK("https://www.773grp.com/manufacturer/national-semiconductor?pageNo=73", "National Semiconductor")</f>
        <v>National Semiconductor</v>
      </c>
      <c r="C1950" s="6">
        <v>524</v>
      </c>
      <c r="D1950" s="7">
        <v>4.01</v>
      </c>
      <c r="E1950" t="s">
        <v>7</v>
      </c>
    </row>
    <row r="1951" spans="1:5" x14ac:dyDescent="0.25">
      <c r="A1951" t="str">
        <f>HYPERLINK("https://www.773grp.com/globalSearch/LM2574N-3.3-NOPB/page-1", "LM2574N-3.3-NOPB")</f>
        <v>LM2574N-3.3-NOPB</v>
      </c>
      <c r="B1951" s="3" t="str">
        <f>HYPERLINK("https://www.773grp.com/manufacturer/national-semiconductor?pageNo=74", "National Semiconductor")</f>
        <v>National Semiconductor</v>
      </c>
      <c r="C1951" s="6">
        <v>360</v>
      </c>
      <c r="D1951" s="7">
        <v>4.01</v>
      </c>
      <c r="E1951" t="s">
        <v>7</v>
      </c>
    </row>
    <row r="1952" spans="1:5" x14ac:dyDescent="0.25">
      <c r="A1952" t="str">
        <f>HYPERLINK("https://www.773grp.com/globalSearch/LM2574N-5.0-NOPB/page-1", "LM2574N-5.0-NOPB")</f>
        <v>LM2574N-5.0-NOPB</v>
      </c>
      <c r="B1952" s="3" t="str">
        <f>HYPERLINK("https://www.773grp.com/manufacturer/national-semiconductor?pageNo=75", "National Semiconductor")</f>
        <v>National Semiconductor</v>
      </c>
      <c r="C1952" s="6">
        <v>563</v>
      </c>
      <c r="D1952" s="7">
        <v>4.01</v>
      </c>
      <c r="E1952" t="s">
        <v>7</v>
      </c>
    </row>
    <row r="1953" spans="1:5" x14ac:dyDescent="0.25">
      <c r="A1953" t="str">
        <f>HYPERLINK("https://www.773grp.com/globalSearch/LM2574N-ADJ-NOPB/page-1", "LM2574N-ADJ-NOPB")</f>
        <v>LM2574N-ADJ-NOPB</v>
      </c>
      <c r="B1953" s="3" t="str">
        <f>HYPERLINK("https://www.773grp.com/manufacturer/national-semiconductor?pageNo=76", "National Semiconductor")</f>
        <v>National Semiconductor</v>
      </c>
      <c r="C1953" s="6">
        <v>4183</v>
      </c>
      <c r="D1953" s="7">
        <v>4.01</v>
      </c>
      <c r="E1953" t="s">
        <v>7</v>
      </c>
    </row>
    <row r="1954" spans="1:5" x14ac:dyDescent="0.25">
      <c r="A1954" t="str">
        <f>HYPERLINK("https://www.773grp.com/globalSearch/LM2753SD/page-1", "LM2753SD")</f>
        <v>LM2753SD</v>
      </c>
      <c r="B1954" s="3" t="str">
        <f>HYPERLINK("https://www.773grp.com/manufacturer/national-semiconductor?pageNo=77", "National Semiconductor")</f>
        <v>National Semiconductor</v>
      </c>
      <c r="C1954" s="6">
        <v>1096</v>
      </c>
      <c r="D1954" s="7">
        <v>4.01</v>
      </c>
      <c r="E1954" t="s">
        <v>10</v>
      </c>
    </row>
    <row r="1955" spans="1:5" x14ac:dyDescent="0.25">
      <c r="A1955" t="str">
        <f>HYPERLINK("https://www.773grp.com/globalSearch/LM2753SD-NOPB/page-1", "LM2753SD-NOPB")</f>
        <v>LM2753SD-NOPB</v>
      </c>
      <c r="B1955" s="3" t="str">
        <f>HYPERLINK("https://www.773grp.com/manufacturer/national-semiconductor?pageNo=78", "National Semiconductor")</f>
        <v>National Semiconductor</v>
      </c>
      <c r="C1955" s="6">
        <v>2685</v>
      </c>
      <c r="D1955" s="7">
        <v>4.01</v>
      </c>
      <c r="E1955" t="s">
        <v>10</v>
      </c>
    </row>
    <row r="1956" spans="1:5" x14ac:dyDescent="0.25">
      <c r="A1956" t="str">
        <f>HYPERLINK("https://www.773grp.com/globalSearch/LM2907N-NOPB/page-1", "LM2907N-NOPB")</f>
        <v>LM2907N-NOPB</v>
      </c>
      <c r="B1956" s="3" t="str">
        <f>HYPERLINK("https://www.773grp.com/manufacturer/national-semiconductor?pageNo=79", "National Semiconductor")</f>
        <v>National Semiconductor</v>
      </c>
      <c r="C1956" s="6">
        <v>3950</v>
      </c>
      <c r="D1956" s="7">
        <v>4.01</v>
      </c>
      <c r="E1956" t="s">
        <v>45</v>
      </c>
    </row>
    <row r="1957" spans="1:5" x14ac:dyDescent="0.25">
      <c r="A1957" t="str">
        <f>HYPERLINK("https://www.773grp.com/globalSearch/LM319N/page-1", "LM319N")</f>
        <v>LM319N</v>
      </c>
      <c r="B1957" s="3" t="str">
        <f>HYPERLINK("https://www.773grp.com/manufacturer/national-semiconductor?pageNo=80", "National Semiconductor")</f>
        <v>National Semiconductor</v>
      </c>
      <c r="C1957" s="6">
        <v>1287</v>
      </c>
      <c r="D1957" s="7">
        <v>4.01</v>
      </c>
      <c r="E1957" t="s">
        <v>9</v>
      </c>
    </row>
    <row r="1958" spans="1:5" x14ac:dyDescent="0.25">
      <c r="A1958" t="str">
        <f>HYPERLINK("https://www.773grp.com/globalSearch/LM3460M5-1.2/page-1", "LM3460M5-1.2")</f>
        <v>LM3460M5-1.2</v>
      </c>
      <c r="B1958" s="3" t="str">
        <f>HYPERLINK("https://www.773grp.com/manufacturer/national-semiconductor?pageNo=81", "National Semiconductor")</f>
        <v>National Semiconductor</v>
      </c>
      <c r="C1958" s="6">
        <v>19000</v>
      </c>
      <c r="D1958" s="7">
        <v>4.01</v>
      </c>
      <c r="E1958" t="s">
        <v>17</v>
      </c>
    </row>
    <row r="1959" spans="1:5" x14ac:dyDescent="0.25">
      <c r="A1959" t="str">
        <f>HYPERLINK("https://www.773grp.com/globalSearch/LM3526M-H/page-1", "LM3526M-H")</f>
        <v>LM3526M-H</v>
      </c>
      <c r="B1959" s="3" t="str">
        <f>HYPERLINK("https://www.773grp.com/manufacturer/national-semiconductor?pageNo=82", "National Semiconductor")</f>
        <v>National Semiconductor</v>
      </c>
      <c r="C1959" s="6">
        <v>610</v>
      </c>
      <c r="D1959" s="7">
        <v>4.01</v>
      </c>
      <c r="E1959" t="s">
        <v>11</v>
      </c>
    </row>
    <row r="1960" spans="1:5" x14ac:dyDescent="0.25">
      <c r="A1960" t="str">
        <f>HYPERLINK("https://www.773grp.com/globalSearch/LM3526M-H-NOPB/page-1", "LM3526M-H-NOPB")</f>
        <v>LM3526M-H-NOPB</v>
      </c>
      <c r="B1960" s="3" t="str">
        <f>HYPERLINK("https://www.773grp.com/manufacturer/national-semiconductor?pageNo=83", "National Semiconductor")</f>
        <v>National Semiconductor</v>
      </c>
      <c r="C1960" s="6">
        <v>177</v>
      </c>
      <c r="D1960" s="7">
        <v>4.01</v>
      </c>
      <c r="E1960" t="s">
        <v>11</v>
      </c>
    </row>
    <row r="1961" spans="1:5" x14ac:dyDescent="0.25">
      <c r="A1961" t="str">
        <f>HYPERLINK("https://www.773grp.com/globalSearch/LM3526M-L-NOPB/page-1", "LM3526M-L-NOPB")</f>
        <v>LM3526M-L-NOPB</v>
      </c>
      <c r="B1961" s="3" t="str">
        <f>HYPERLINK("https://www.773grp.com/manufacturer/national-semiconductor?pageNo=84", "National Semiconductor")</f>
        <v>National Semiconductor</v>
      </c>
      <c r="C1961" s="6">
        <v>2045</v>
      </c>
      <c r="D1961" s="7">
        <v>4.01</v>
      </c>
      <c r="E1961" t="s">
        <v>11</v>
      </c>
    </row>
    <row r="1962" spans="1:5" x14ac:dyDescent="0.25">
      <c r="A1962" t="str">
        <f>HYPERLINK("https://www.773grp.com/globalSearch/LM3722IM5X-4.63-NOPB/page-1", "LM3722IM5X-4.63-NOPB")</f>
        <v>LM3722IM5X-4.63-NOPB</v>
      </c>
      <c r="B1962" s="3" t="str">
        <f>HYPERLINK("https://www.773grp.com/manufacturer/national-semiconductor?pageNo=85", "National Semiconductor")</f>
        <v>National Semiconductor</v>
      </c>
      <c r="C1962" s="6">
        <v>1900</v>
      </c>
      <c r="D1962" s="7">
        <v>4.01</v>
      </c>
      <c r="E1962" t="s">
        <v>30</v>
      </c>
    </row>
    <row r="1963" spans="1:5" x14ac:dyDescent="0.25">
      <c r="A1963" t="str">
        <f>HYPERLINK("https://www.773grp.com/globalSearch/LM3724IM5-4.63/page-1", "LM3724IM5-4.63")</f>
        <v>LM3724IM5-4.63</v>
      </c>
      <c r="B1963" s="3" t="str">
        <f>HYPERLINK("https://www.773grp.com/manufacturer/national-semiconductor?pageNo=86", "National Semiconductor")</f>
        <v>National Semiconductor</v>
      </c>
      <c r="C1963" s="6">
        <v>998</v>
      </c>
      <c r="D1963" s="7">
        <v>4.01</v>
      </c>
      <c r="E1963" t="s">
        <v>30</v>
      </c>
    </row>
    <row r="1964" spans="1:5" x14ac:dyDescent="0.25">
      <c r="A1964" t="str">
        <f>HYPERLINK("https://www.773grp.com/globalSearch/LM4041AIM3-1.2/page-1", "LM4041AIM3-1.2")</f>
        <v>LM4041AIM3-1.2</v>
      </c>
      <c r="B1964" s="3" t="str">
        <f>HYPERLINK("https://www.773grp.com/manufacturer/national-semiconductor?pageNo=87", "National Semiconductor")</f>
        <v>National Semiconductor</v>
      </c>
      <c r="C1964" s="6">
        <v>15000</v>
      </c>
      <c r="D1964" s="7">
        <v>4.01</v>
      </c>
      <c r="E1964" t="s">
        <v>17</v>
      </c>
    </row>
    <row r="1965" spans="1:5" x14ac:dyDescent="0.25">
      <c r="A1965" t="str">
        <f>HYPERLINK("https://www.773grp.com/globalSearch/LM4850LD/page-1", "LM4850LD")</f>
        <v>LM4850LD</v>
      </c>
      <c r="B1965" s="3" t="str">
        <f>HYPERLINK("https://www.773grp.com/manufacturer/national-semiconductor?pageNo=88", "National Semiconductor")</f>
        <v>National Semiconductor</v>
      </c>
      <c r="C1965" s="6">
        <v>33655</v>
      </c>
      <c r="D1965" s="7">
        <v>4.01</v>
      </c>
      <c r="E1965" t="s">
        <v>18</v>
      </c>
    </row>
    <row r="1966" spans="1:5" x14ac:dyDescent="0.25">
      <c r="A1966" t="str">
        <f>HYPERLINK("https://www.773grp.com/globalSearch/LM4970SD-NOPB/page-1", "LM4970SD-NOPB")</f>
        <v>LM4970SD-NOPB</v>
      </c>
      <c r="B1966" s="3" t="str">
        <f>HYPERLINK("https://www.773grp.com/manufacturer/national-semiconductor?pageNo=89", "National Semiconductor")</f>
        <v>National Semiconductor</v>
      </c>
      <c r="C1966" s="6">
        <v>31922</v>
      </c>
      <c r="D1966" s="7">
        <v>4.01</v>
      </c>
    </row>
    <row r="1967" spans="1:5" x14ac:dyDescent="0.25">
      <c r="A1967" t="str">
        <f>HYPERLINK("https://www.773grp.com/globalSearch/LM74CITPX-3-NOPB/page-1", "LM74CITPX-3-NOPB")</f>
        <v>LM74CITPX-3-NOPB</v>
      </c>
      <c r="B1967" s="3" t="str">
        <f>HYPERLINK("https://www.773grp.com/manufacturer/national-semiconductor?pageNo=90", "National Semiconductor")</f>
        <v>National Semiconductor</v>
      </c>
      <c r="C1967" s="6">
        <v>3000</v>
      </c>
      <c r="D1967" s="7">
        <v>4.01</v>
      </c>
    </row>
    <row r="1968" spans="1:5" x14ac:dyDescent="0.25">
      <c r="A1968" t="str">
        <f>HYPERLINK("https://www.773grp.com/globalSearch/LM90CIMM-NOPB/page-1", "LM90CIMM-NOPB")</f>
        <v>LM90CIMM-NOPB</v>
      </c>
      <c r="B1968" s="3" t="str">
        <f>HYPERLINK("https://www.773grp.com/manufacturer/national-semiconductor?pageNo=91", "National Semiconductor")</f>
        <v>National Semiconductor</v>
      </c>
      <c r="C1968" s="6">
        <v>5000</v>
      </c>
      <c r="D1968" s="7">
        <v>4.01</v>
      </c>
      <c r="E1968" t="s">
        <v>12</v>
      </c>
    </row>
    <row r="1969" spans="1:5" x14ac:dyDescent="0.25">
      <c r="A1969" t="str">
        <f>HYPERLINK("https://www.773grp.com/globalSearch/LMC6041IMX-NOPB/page-1", "LMC6041IMX-NOPB")</f>
        <v>LMC6041IMX-NOPB</v>
      </c>
      <c r="B1969" s="3" t="str">
        <f>HYPERLINK("https://www.773grp.com/manufacturer/national-semiconductor?pageNo=92", "National Semiconductor")</f>
        <v>National Semiconductor</v>
      </c>
      <c r="C1969" s="6">
        <v>7500</v>
      </c>
      <c r="D1969" s="7">
        <v>4.01</v>
      </c>
      <c r="E1969" t="s">
        <v>13</v>
      </c>
    </row>
    <row r="1970" spans="1:5" x14ac:dyDescent="0.25">
      <c r="A1970" t="str">
        <f>HYPERLINK("https://www.773grp.com/globalSearch/LMH6642MA-NOPB/page-1", "LMH6642MA-NOPB")</f>
        <v>LMH6642MA-NOPB</v>
      </c>
      <c r="B1970" s="3" t="str">
        <f>HYPERLINK("https://www.773grp.com/manufacturer/national-semiconductor?pageNo=93", "National Semiconductor")</f>
        <v>National Semiconductor</v>
      </c>
      <c r="C1970" s="6">
        <v>7922</v>
      </c>
      <c r="D1970" s="7">
        <v>4.01</v>
      </c>
      <c r="E1970" t="s">
        <v>18</v>
      </c>
    </row>
    <row r="1971" spans="1:5" x14ac:dyDescent="0.25">
      <c r="A1971" t="str">
        <f>HYPERLINK("https://www.773grp.com/globalSearch/LMV641MA-NOPB/page-1", "LMV641MA-NOPB")</f>
        <v>LMV641MA-NOPB</v>
      </c>
      <c r="B1971" s="3" t="str">
        <f>HYPERLINK("https://www.773grp.com/manufacturer/national-semiconductor?pageNo=94", "National Semiconductor")</f>
        <v>National Semiconductor</v>
      </c>
      <c r="C1971" s="6">
        <v>450</v>
      </c>
      <c r="D1971" s="7">
        <v>4.01</v>
      </c>
    </row>
    <row r="1972" spans="1:5" x14ac:dyDescent="0.25">
      <c r="A1972" t="str">
        <f>HYPERLINK("https://www.773grp.com/globalSearch/LMV794MA-NOPB/page-1", "LMV794MA-NOPB")</f>
        <v>LMV794MA-NOPB</v>
      </c>
      <c r="B1972" s="3" t="str">
        <f>HYPERLINK("https://www.773grp.com/manufacturer/national-semiconductor?pageNo=95", "National Semiconductor")</f>
        <v>National Semiconductor</v>
      </c>
      <c r="C1972" s="6">
        <v>380</v>
      </c>
      <c r="D1972" s="7">
        <v>4.01</v>
      </c>
    </row>
    <row r="1973" spans="1:5" x14ac:dyDescent="0.25">
      <c r="A1973" t="str">
        <f>HYPERLINK("https://www.773grp.com/globalSearch/LP2986AILD-3.3-NOPB/page-1", "LP2986AILD-3.3-NOPB")</f>
        <v>LP2986AILD-3.3-NOPB</v>
      </c>
      <c r="B1973" s="3" t="str">
        <f>HYPERLINK("https://www.773grp.com/manufacturer/national-semiconductor?pageNo=96", "National Semiconductor")</f>
        <v>National Semiconductor</v>
      </c>
      <c r="C1973" s="6">
        <v>362</v>
      </c>
      <c r="D1973" s="7">
        <v>4.01</v>
      </c>
      <c r="E1973" t="s">
        <v>27</v>
      </c>
    </row>
    <row r="1974" spans="1:5" x14ac:dyDescent="0.25">
      <c r="A1974" t="str">
        <f>HYPERLINK("https://www.773grp.com/globalSearch/LP2987ILD-3.3-NOPB/page-1", "LP2987ILD-3.3-NOPB")</f>
        <v>LP2987ILD-3.3-NOPB</v>
      </c>
      <c r="B1974" s="3" t="str">
        <f>HYPERLINK("https://www.773grp.com/manufacturer/national-semiconductor?pageNo=97", "National Semiconductor")</f>
        <v>National Semiconductor</v>
      </c>
      <c r="C1974" s="6">
        <v>1721</v>
      </c>
      <c r="D1974" s="7">
        <v>4.01</v>
      </c>
      <c r="E1974" t="s">
        <v>19</v>
      </c>
    </row>
    <row r="1975" spans="1:5" x14ac:dyDescent="0.25">
      <c r="A1975" t="str">
        <f>HYPERLINK("https://www.773grp.com/globalSearch/LM2753SD-NOPB/page-1", "LM2753SD-NOPB")</f>
        <v>LM2753SD-NOPB</v>
      </c>
      <c r="B1975" s="3" t="str">
        <f>HYPERLINK("https://www.773grp.com/manufacturer/national-semiconductor?pageNo=98", "National Semiconductor")</f>
        <v>National Semiconductor</v>
      </c>
      <c r="C1975" s="6">
        <v>12000</v>
      </c>
      <c r="D1975" s="7">
        <v>4.01</v>
      </c>
      <c r="E1975" t="s">
        <v>10</v>
      </c>
    </row>
    <row r="1976" spans="1:5" x14ac:dyDescent="0.25">
      <c r="A1976" t="str">
        <f>HYPERLINK("https://www.773grp.com/globalSearch/DS26C31TM-NOPB/page-1", "DS26C31TM-NOPB")</f>
        <v>DS26C31TM-NOPB</v>
      </c>
      <c r="B1976" s="3" t="str">
        <f>HYPERLINK("https://www.773grp.com/manufacturer/national-semiconductor?pageNo=99", "National Semiconductor")</f>
        <v>National Semiconductor</v>
      </c>
      <c r="C1976" s="6">
        <v>202</v>
      </c>
      <c r="D1976" s="7">
        <v>4.01</v>
      </c>
      <c r="E1976" t="s">
        <v>21</v>
      </c>
    </row>
    <row r="1977" spans="1:5" x14ac:dyDescent="0.25">
      <c r="A1977" t="str">
        <f>HYPERLINK("https://www.773grp.com/globalSearch/DS90LV001TLD-NOPB/page-1", "DS90LV001TLD-NOPB")</f>
        <v>DS90LV001TLD-NOPB</v>
      </c>
      <c r="B1977" s="3" t="str">
        <f>HYPERLINK("https://www.773grp.com/manufacturer/national-semiconductor?pageNo=100", "National Semiconductor")</f>
        <v>National Semiconductor</v>
      </c>
      <c r="C1977" s="6">
        <v>1532</v>
      </c>
      <c r="D1977" s="7">
        <v>4.01</v>
      </c>
      <c r="E1977" t="s">
        <v>21</v>
      </c>
    </row>
    <row r="1978" spans="1:5" x14ac:dyDescent="0.25">
      <c r="A1978" t="str">
        <f>HYPERLINK("https://www.773grp.com/globalSearch/LM1086CS-2.5-NOPB/page-1", "LM1086CS-2.5-NOPB")</f>
        <v>LM1086CS-2.5-NOPB</v>
      </c>
      <c r="B1978" s="3" t="str">
        <f>HYPERLINK("https://www.773grp.com/manufacturer/national-semiconductor?pageNo=101", "National Semiconductor")</f>
        <v>National Semiconductor</v>
      </c>
      <c r="C1978" s="6">
        <v>245</v>
      </c>
      <c r="D1978" s="7">
        <v>4.01</v>
      </c>
      <c r="E1978" t="s">
        <v>19</v>
      </c>
    </row>
    <row r="1979" spans="1:5" x14ac:dyDescent="0.25">
      <c r="A1979" t="str">
        <f>HYPERLINK("https://www.773grp.com/globalSearch/LM1086CS-3.3-NOPB/page-1", "LM1086CS-3.3-NOPB")</f>
        <v>LM1086CS-3.3-NOPB</v>
      </c>
      <c r="B1979" s="3" t="str">
        <f>HYPERLINK("https://www.773grp.com/manufacturer/national-semiconductor?pageNo=102", "National Semiconductor")</f>
        <v>National Semiconductor</v>
      </c>
      <c r="C1979" s="6">
        <v>340</v>
      </c>
      <c r="D1979" s="7">
        <v>4.01</v>
      </c>
      <c r="E1979" t="s">
        <v>19</v>
      </c>
    </row>
    <row r="1980" spans="1:5" x14ac:dyDescent="0.25">
      <c r="A1980" t="str">
        <f>HYPERLINK("https://www.773grp.com/globalSearch/LM1086CS-5.0-NOPB/page-1", "LM1086CS-5.0-NOPB")</f>
        <v>LM1086CS-5.0-NOPB</v>
      </c>
      <c r="B1980" s="3" t="str">
        <f>HYPERLINK("https://www.773grp.com/manufacturer/national-semiconductor?pageNo=103", "National Semiconductor")</f>
        <v>National Semiconductor</v>
      </c>
      <c r="C1980" s="6">
        <v>492</v>
      </c>
      <c r="D1980" s="7">
        <v>4.01</v>
      </c>
      <c r="E1980" t="s">
        <v>19</v>
      </c>
    </row>
    <row r="1981" spans="1:5" x14ac:dyDescent="0.25">
      <c r="A1981" t="str">
        <f>HYPERLINK("https://www.773grp.com/globalSearch/LM1086CS-ADJ-NOPB/page-1", "LM1086CS-ADJ-NOPB")</f>
        <v>LM1086CS-ADJ-NOPB</v>
      </c>
      <c r="B1981" s="3" t="str">
        <f>HYPERLINK("https://www.773grp.com/manufacturer/national-semiconductor?pageNo=104", "National Semiconductor")</f>
        <v>National Semiconductor</v>
      </c>
      <c r="C1981" s="6">
        <v>396</v>
      </c>
      <c r="D1981" s="7">
        <v>4.01</v>
      </c>
      <c r="E1981" t="s">
        <v>25</v>
      </c>
    </row>
    <row r="1982" spans="1:5" x14ac:dyDescent="0.25">
      <c r="A1982" t="str">
        <f>HYPERLINK("https://www.773grp.com/globalSearch/LM1086IS-1.8-NOPB/page-1", "LM1086IS-1.8-NOPB")</f>
        <v>LM1086IS-1.8-NOPB</v>
      </c>
      <c r="B1982" s="3" t="str">
        <f>HYPERLINK("https://www.773grp.com/manufacturer/national-semiconductor?pageNo=105", "National Semiconductor")</f>
        <v>National Semiconductor</v>
      </c>
      <c r="C1982" s="6">
        <v>651</v>
      </c>
      <c r="D1982" s="7">
        <v>4.01</v>
      </c>
      <c r="E1982" t="s">
        <v>19</v>
      </c>
    </row>
    <row r="1983" spans="1:5" x14ac:dyDescent="0.25">
      <c r="A1983" t="str">
        <f>HYPERLINK("https://www.773grp.com/globalSearch/LM1086IS-1.8-NOPB/page-1", "LM1086IS-1.8-NOPB")</f>
        <v>LM1086IS-1.8-NOPB</v>
      </c>
      <c r="B1983" s="3" t="str">
        <f>HYPERLINK("https://www.773grp.com/manufacturer/national-semiconductor?pageNo=106", "National Semiconductor")</f>
        <v>National Semiconductor</v>
      </c>
      <c r="C1983" s="6">
        <v>90</v>
      </c>
      <c r="D1983" s="7">
        <v>4.01</v>
      </c>
      <c r="E1983" t="s">
        <v>19</v>
      </c>
    </row>
    <row r="1984" spans="1:5" x14ac:dyDescent="0.25">
      <c r="A1984" t="str">
        <f>HYPERLINK("https://www.773grp.com/globalSearch/LM1086IS-3.3-NOPB/page-1", "LM1086IS-3.3-NOPB")</f>
        <v>LM1086IS-3.3-NOPB</v>
      </c>
      <c r="B1984" s="3" t="str">
        <f>HYPERLINK("https://www.773grp.com/manufacturer/national-semiconductor?pageNo=107", "National Semiconductor")</f>
        <v>National Semiconductor</v>
      </c>
      <c r="C1984" s="6">
        <v>1723</v>
      </c>
      <c r="D1984" s="7">
        <v>4.01</v>
      </c>
      <c r="E1984" t="s">
        <v>19</v>
      </c>
    </row>
    <row r="1985" spans="1:5" x14ac:dyDescent="0.25">
      <c r="A1985" t="str">
        <f>HYPERLINK("https://www.773grp.com/globalSearch/LM1086IS-5.0-NOPB/page-1", "LM1086IS-5.0-NOPB")</f>
        <v>LM1086IS-5.0-NOPB</v>
      </c>
      <c r="B1985" s="3" t="str">
        <f>HYPERLINK("https://www.773grp.com/manufacturer/national-semiconductor?pageNo=108", "National Semiconductor")</f>
        <v>National Semiconductor</v>
      </c>
      <c r="C1985" s="6">
        <v>250</v>
      </c>
      <c r="D1985" s="7">
        <v>4.01</v>
      </c>
      <c r="E1985" t="s">
        <v>19</v>
      </c>
    </row>
    <row r="1986" spans="1:5" x14ac:dyDescent="0.25">
      <c r="A1986" t="str">
        <f>HYPERLINK("https://www.773grp.com/globalSearch/LM1086IS-ADJ-NOPB/page-1", "LM1086IS-ADJ-NOPB")</f>
        <v>LM1086IS-ADJ-NOPB</v>
      </c>
      <c r="B1986" s="3" t="str">
        <f>HYPERLINK("https://www.773grp.com/manufacturer/national-semiconductor?pageNo=109", "National Semiconductor")</f>
        <v>National Semiconductor</v>
      </c>
      <c r="C1986" s="6">
        <v>570</v>
      </c>
      <c r="D1986" s="7">
        <v>4.01</v>
      </c>
      <c r="E1986" t="s">
        <v>25</v>
      </c>
    </row>
    <row r="1987" spans="1:5" x14ac:dyDescent="0.25">
      <c r="A1987" t="str">
        <f>HYPERLINK("https://www.773grp.com/globalSearch/LM2574N-12-NOPB/page-1", "LM2574N-12-NOPB")</f>
        <v>LM2574N-12-NOPB</v>
      </c>
      <c r="B1987" s="3" t="str">
        <f>HYPERLINK("https://www.773grp.com/manufacturer/national-semiconductor?pageNo=110", "National Semiconductor")</f>
        <v>National Semiconductor</v>
      </c>
      <c r="C1987" s="6">
        <v>245</v>
      </c>
      <c r="D1987" s="7">
        <v>4.01</v>
      </c>
      <c r="E1987" t="s">
        <v>7</v>
      </c>
    </row>
    <row r="1988" spans="1:5" x14ac:dyDescent="0.25">
      <c r="A1988" t="str">
        <f>HYPERLINK("https://www.773grp.com/globalSearch/LM2574N-3.3-NOPB/page-1", "LM2574N-3.3-NOPB")</f>
        <v>LM2574N-3.3-NOPB</v>
      </c>
      <c r="B1988" s="3" t="str">
        <f>HYPERLINK("https://www.773grp.com/manufacturer/national-semiconductor?pageNo=111", "National Semiconductor")</f>
        <v>National Semiconductor</v>
      </c>
      <c r="C1988" s="6">
        <v>480</v>
      </c>
      <c r="D1988" s="7">
        <v>4.01</v>
      </c>
      <c r="E1988" t="s">
        <v>7</v>
      </c>
    </row>
    <row r="1989" spans="1:5" x14ac:dyDescent="0.25">
      <c r="A1989" t="str">
        <f>HYPERLINK("https://www.773grp.com/globalSearch/LM2574N-5.0-NOPB/page-1", "LM2574N-5.0-NOPB")</f>
        <v>LM2574N-5.0-NOPB</v>
      </c>
      <c r="B1989" s="3" t="str">
        <f>HYPERLINK("https://www.773grp.com/manufacturer/national-semiconductor?pageNo=112", "National Semiconductor")</f>
        <v>National Semiconductor</v>
      </c>
      <c r="C1989" s="6">
        <v>586</v>
      </c>
      <c r="D1989" s="7">
        <v>4.01</v>
      </c>
      <c r="E1989" t="s">
        <v>7</v>
      </c>
    </row>
    <row r="1990" spans="1:5" x14ac:dyDescent="0.25">
      <c r="A1990" t="str">
        <f>HYPERLINK("https://www.773grp.com/globalSearch/LM2574N-ADJ-NOPB/page-1", "LM2574N-ADJ-NOPB")</f>
        <v>LM2574N-ADJ-NOPB</v>
      </c>
      <c r="B1990" s="3" t="str">
        <f>HYPERLINK("https://www.773grp.com/manufacturer/national-semiconductor?pageNo=113", "National Semiconductor")</f>
        <v>National Semiconductor</v>
      </c>
      <c r="C1990" s="6">
        <v>281</v>
      </c>
      <c r="D1990" s="7">
        <v>4.01</v>
      </c>
      <c r="E1990" t="s">
        <v>7</v>
      </c>
    </row>
    <row r="1991" spans="1:5" x14ac:dyDescent="0.25">
      <c r="A1991" t="str">
        <f>HYPERLINK("https://www.773grp.com/globalSearch/LM319N/page-1", "LM319N")</f>
        <v>LM319N</v>
      </c>
      <c r="B1991" s="3" t="str">
        <f>HYPERLINK("https://www.773grp.com/manufacturer/national-semiconductor?pageNo=114", "National Semiconductor")</f>
        <v>National Semiconductor</v>
      </c>
      <c r="C1991" s="6">
        <v>997</v>
      </c>
      <c r="D1991" s="7">
        <v>4.01</v>
      </c>
      <c r="E1991" t="s">
        <v>9</v>
      </c>
    </row>
    <row r="1992" spans="1:5" x14ac:dyDescent="0.25">
      <c r="A1992" t="str">
        <f>HYPERLINK("https://www.773grp.com/globalSearch/LM3526M-L-NOPB/page-1", "LM3526M-L-NOPB")</f>
        <v>LM3526M-L-NOPB</v>
      </c>
      <c r="B1992" s="3" t="str">
        <f>HYPERLINK("https://www.773grp.com/manufacturer/national-semiconductor?pageNo=115", "National Semiconductor")</f>
        <v>National Semiconductor</v>
      </c>
      <c r="C1992" s="6">
        <v>88</v>
      </c>
      <c r="D1992" s="7">
        <v>4.01</v>
      </c>
      <c r="E1992" t="s">
        <v>11</v>
      </c>
    </row>
    <row r="1993" spans="1:5" x14ac:dyDescent="0.25">
      <c r="A1993" t="str">
        <f>HYPERLINK("https://www.773grp.com/globalSearch/LM4865MM/page-1", "LM4865MM")</f>
        <v>LM4865MM</v>
      </c>
      <c r="B1993" s="3" t="str">
        <f>HYPERLINK("https://www.773grp.com/manufacturer/national-semiconductor?pageNo=116", "National Semiconductor")</f>
        <v>National Semiconductor</v>
      </c>
      <c r="C1993" s="6">
        <v>14000</v>
      </c>
      <c r="D1993" s="7">
        <v>4.01</v>
      </c>
    </row>
    <row r="1994" spans="1:5" x14ac:dyDescent="0.25">
      <c r="A1994" t="str">
        <f>HYPERLINK("https://www.773grp.com/globalSearch/LM4970SD-NOPB/page-1", "LM4970SD-NOPB")</f>
        <v>LM4970SD-NOPB</v>
      </c>
      <c r="B1994" s="3" t="str">
        <f>HYPERLINK("https://www.773grp.com/manufacturer/national-semiconductor?pageNo=117", "National Semiconductor")</f>
        <v>National Semiconductor</v>
      </c>
      <c r="C1994" s="6">
        <v>9724</v>
      </c>
      <c r="D1994" s="7">
        <v>4.01</v>
      </c>
    </row>
    <row r="1995" spans="1:5" x14ac:dyDescent="0.25">
      <c r="A1995" t="str">
        <f>HYPERLINK("https://www.773grp.com/globalSearch/LM90CIMMX-NOPB/page-1", "LM90CIMMX-NOPB")</f>
        <v>LM90CIMMX-NOPB</v>
      </c>
      <c r="B1995" s="3" t="str">
        <f>HYPERLINK("https://www.773grp.com/manufacturer/national-semiconductor?pageNo=118", "National Semiconductor")</f>
        <v>National Semiconductor</v>
      </c>
      <c r="C1995" s="6">
        <v>3500</v>
      </c>
      <c r="D1995" s="7">
        <v>4.01</v>
      </c>
    </row>
    <row r="1996" spans="1:5" x14ac:dyDescent="0.25">
      <c r="A1996" t="str">
        <f>HYPERLINK("https://www.773grp.com/globalSearch/LMH6642MA-NOPB/page-1", "LMH6642MA-NOPB")</f>
        <v>LMH6642MA-NOPB</v>
      </c>
      <c r="B1996" s="3" t="str">
        <f>HYPERLINK("https://www.773grp.com/manufacturer/national-semiconductor?pageNo=119", "National Semiconductor")</f>
        <v>National Semiconductor</v>
      </c>
      <c r="C1996" s="6">
        <v>501</v>
      </c>
      <c r="D1996" s="7">
        <v>4.01</v>
      </c>
      <c r="E1996" t="s">
        <v>18</v>
      </c>
    </row>
    <row r="1997" spans="1:5" x14ac:dyDescent="0.25">
      <c r="A1997" t="str">
        <f>HYPERLINK("https://www.773grp.com/globalSearch/LMH6682MM-NOPB/page-1", "LMH6682MM-NOPB")</f>
        <v>LMH6682MM-NOPB</v>
      </c>
      <c r="B1997" s="3" t="str">
        <f>HYPERLINK("https://www.773grp.com/manufacturer/national-semiconductor?pageNo=120", "National Semiconductor")</f>
        <v>National Semiconductor</v>
      </c>
      <c r="C1997" s="6">
        <v>1675</v>
      </c>
      <c r="D1997" s="7">
        <v>4.01</v>
      </c>
    </row>
    <row r="1998" spans="1:5" x14ac:dyDescent="0.25">
      <c r="A1998" t="str">
        <f>HYPERLINK("https://www.773grp.com/globalSearch/LMV641MA-NOPB/page-1", "LMV641MA-NOPB")</f>
        <v>LMV641MA-NOPB</v>
      </c>
      <c r="B1998" s="3" t="str">
        <f>HYPERLINK("https://www.773grp.com/manufacturer/national-semiconductor?pageNo=121", "National Semiconductor")</f>
        <v>National Semiconductor</v>
      </c>
      <c r="C1998" s="6">
        <v>38956</v>
      </c>
      <c r="D1998" s="7">
        <v>4.01</v>
      </c>
    </row>
    <row r="1999" spans="1:5" x14ac:dyDescent="0.25">
      <c r="A1999" t="str">
        <f>HYPERLINK("https://www.773grp.com/globalSearch/LMV794MA-NOPB/page-1", "LMV794MA-NOPB")</f>
        <v>LMV794MA-NOPB</v>
      </c>
      <c r="B1999" s="3" t="str">
        <f>HYPERLINK("https://www.773grp.com/manufacturer/national-semiconductor?pageNo=122", "National Semiconductor")</f>
        <v>National Semiconductor</v>
      </c>
      <c r="C1999" s="6">
        <v>440</v>
      </c>
      <c r="D1999" s="7">
        <v>4.01</v>
      </c>
    </row>
    <row r="2000" spans="1:5" x14ac:dyDescent="0.25">
      <c r="A2000" t="str">
        <f>HYPERLINK("https://www.773grp.com/globalSearch/LP2986AILD-3.3-NOPB/page-1", "LP2986AILD-3.3-NOPB")</f>
        <v>LP2986AILD-3.3-NOPB</v>
      </c>
      <c r="B2000" s="3" t="str">
        <f>HYPERLINK("https://www.773grp.com/manufacturer/national-semiconductor?pageNo=123", "National Semiconductor")</f>
        <v>National Semiconductor</v>
      </c>
      <c r="C2000" s="6">
        <v>1740</v>
      </c>
      <c r="D2000" s="7">
        <v>4.01</v>
      </c>
      <c r="E2000" t="s">
        <v>27</v>
      </c>
    </row>
    <row r="2001" spans="1:5" x14ac:dyDescent="0.25">
      <c r="A2001" t="str">
        <f>HYPERLINK("https://www.773grp.com/globalSearch/LP2987ILD-3.3-NOPB/page-1", "LP2987ILD-3.3-NOPB")</f>
        <v>LP2987ILD-3.3-NOPB</v>
      </c>
      <c r="B2001" s="3" t="str">
        <f>HYPERLINK("https://www.773grp.com/manufacturer/national-semiconductor?pageNo=124", "National Semiconductor")</f>
        <v>National Semiconductor</v>
      </c>
      <c r="C2001" s="6">
        <v>1000</v>
      </c>
      <c r="D2001" s="7">
        <v>4.01</v>
      </c>
      <c r="E2001" t="s">
        <v>19</v>
      </c>
    </row>
    <row r="2002" spans="1:5" x14ac:dyDescent="0.25">
      <c r="A2002" t="str">
        <f>HYPERLINK("https://www.773grp.com/globalSearch/54LS298DM/page-1", "54LS298DM")</f>
        <v>54LS298DM</v>
      </c>
      <c r="B2002" s="3" t="str">
        <f>HYPERLINK("https://www.773grp.com/manufacturer/national-semiconductor?pageNo=125", "National Semiconductor")</f>
        <v>National Semiconductor</v>
      </c>
      <c r="C2002" s="6">
        <v>1319</v>
      </c>
      <c r="D2002" s="7">
        <v>3.66</v>
      </c>
    </row>
    <row r="2003" spans="1:5" x14ac:dyDescent="0.25">
      <c r="A2003" t="str">
        <f>HYPERLINK("https://www.773grp.com/globalSearch/54LS298DMQB/page-1", "54LS298DMQB")</f>
        <v>54LS298DMQB</v>
      </c>
      <c r="B2003" s="3" t="str">
        <f>HYPERLINK("https://www.773grp.com/manufacturer/national-semiconductor?pageNo=126", "National Semiconductor")</f>
        <v>National Semiconductor</v>
      </c>
      <c r="C2003" s="6">
        <v>154</v>
      </c>
      <c r="D2003" s="7">
        <v>3.66</v>
      </c>
      <c r="E2003" t="s">
        <v>35</v>
      </c>
    </row>
    <row r="2004" spans="1:5" x14ac:dyDescent="0.25">
      <c r="A2004" t="str">
        <f>HYPERLINK("https://www.773grp.com/globalSearch/54S00FM/page-1", "54S00FM")</f>
        <v>54S00FM</v>
      </c>
      <c r="B2004" s="3" t="str">
        <f>HYPERLINK("https://www.773grp.com/manufacturer/national-semiconductor?pageNo=127", "National Semiconductor")</f>
        <v>National Semiconductor</v>
      </c>
      <c r="C2004" s="6">
        <v>17287</v>
      </c>
      <c r="D2004" s="7">
        <v>3.66</v>
      </c>
    </row>
    <row r="2005" spans="1:5" x14ac:dyDescent="0.25">
      <c r="A2005" t="str">
        <f>HYPERLINK("https://www.773grp.com/globalSearch/54S02FM/page-1", "54S02FM")</f>
        <v>54S02FM</v>
      </c>
      <c r="B2005" s="3" t="str">
        <f>HYPERLINK("https://www.773grp.com/manufacturer/national-semiconductor?pageNo=128", "National Semiconductor")</f>
        <v>National Semiconductor</v>
      </c>
      <c r="C2005" s="6">
        <v>5299</v>
      </c>
      <c r="D2005" s="7">
        <v>3.66</v>
      </c>
    </row>
    <row r="2006" spans="1:5" x14ac:dyDescent="0.25">
      <c r="A2006" t="str">
        <f>HYPERLINK("https://www.773grp.com/globalSearch/54S04FM/page-1", "54S04FM")</f>
        <v>54S04FM</v>
      </c>
      <c r="B2006" s="3" t="str">
        <f>HYPERLINK("https://www.773grp.com/manufacturer/national-semiconductor?pageNo=129", "National Semiconductor")</f>
        <v>National Semiconductor</v>
      </c>
      <c r="C2006" s="6">
        <v>24</v>
      </c>
      <c r="D2006" s="7">
        <v>3.66</v>
      </c>
    </row>
    <row r="2007" spans="1:5" x14ac:dyDescent="0.25">
      <c r="A2007" t="str">
        <f>HYPERLINK("https://www.773grp.com/globalSearch/54S08FM/page-1", "54S08FM")</f>
        <v>54S08FM</v>
      </c>
      <c r="B2007" s="3" t="str">
        <f>HYPERLINK("https://www.773grp.com/manufacturer/national-semiconductor?pageNo=130", "National Semiconductor")</f>
        <v>National Semiconductor</v>
      </c>
      <c r="C2007" s="6">
        <v>17671</v>
      </c>
      <c r="D2007" s="7">
        <v>3.66</v>
      </c>
    </row>
    <row r="2008" spans="1:5" x14ac:dyDescent="0.25">
      <c r="A2008" t="str">
        <f>HYPERLINK("https://www.773grp.com/globalSearch/54S11FM/page-1", "54S11FM")</f>
        <v>54S11FM</v>
      </c>
      <c r="B2008" s="3" t="str">
        <f>HYPERLINK("https://www.773grp.com/manufacturer/national-semiconductor?pageNo=131", "National Semiconductor")</f>
        <v>National Semiconductor</v>
      </c>
      <c r="C2008" s="6">
        <v>964</v>
      </c>
      <c r="D2008" s="7">
        <v>3.66</v>
      </c>
    </row>
    <row r="2009" spans="1:5" x14ac:dyDescent="0.25">
      <c r="A2009" t="str">
        <f>HYPERLINK("https://www.773grp.com/globalSearch/54S20FM/page-1", "54S20FM")</f>
        <v>54S20FM</v>
      </c>
      <c r="B2009" s="3" t="str">
        <f>HYPERLINK("https://www.773grp.com/manufacturer/national-semiconductor?pageNo=132", "National Semiconductor")</f>
        <v>National Semiconductor</v>
      </c>
      <c r="C2009" s="6">
        <v>14019</v>
      </c>
      <c r="D2009" s="7">
        <v>3.66</v>
      </c>
    </row>
    <row r="2010" spans="1:5" x14ac:dyDescent="0.25">
      <c r="A2010" t="str">
        <f>HYPERLINK("https://www.773grp.com/globalSearch/54S30FM/page-1", "54S30FM")</f>
        <v>54S30FM</v>
      </c>
      <c r="B2010" s="3" t="str">
        <f>HYPERLINK("https://www.773grp.com/manufacturer/national-semiconductor?pageNo=133", "National Semiconductor")</f>
        <v>National Semiconductor</v>
      </c>
      <c r="C2010" s="6">
        <v>382</v>
      </c>
      <c r="D2010" s="7">
        <v>3.66</v>
      </c>
    </row>
    <row r="2011" spans="1:5" x14ac:dyDescent="0.25">
      <c r="A2011" t="str">
        <f>HYPERLINK("https://www.773grp.com/globalSearch/54S32FM/page-1", "54S32FM")</f>
        <v>54S32FM</v>
      </c>
      <c r="B2011" s="3" t="str">
        <f>HYPERLINK("https://www.773grp.com/manufacturer/national-semiconductor?pageNo=134", "National Semiconductor")</f>
        <v>National Semiconductor</v>
      </c>
      <c r="C2011" s="6">
        <v>2402</v>
      </c>
      <c r="D2011" s="7">
        <v>3.66</v>
      </c>
    </row>
    <row r="2012" spans="1:5" x14ac:dyDescent="0.25">
      <c r="A2012" t="str">
        <f>HYPERLINK("https://www.773grp.com/globalSearch/54S40FM/page-1", "54S40FM")</f>
        <v>54S40FM</v>
      </c>
      <c r="B2012" s="3" t="str">
        <f>HYPERLINK("https://www.773grp.com/manufacturer/national-semiconductor?pageNo=1", "National Semiconductor")</f>
        <v>National Semiconductor</v>
      </c>
      <c r="C2012" s="6">
        <v>1938</v>
      </c>
      <c r="D2012" s="7">
        <v>3.66</v>
      </c>
    </row>
    <row r="2013" spans="1:5" x14ac:dyDescent="0.25">
      <c r="A2013" t="str">
        <f>HYPERLINK("https://www.773grp.com/globalSearch/74LS170PC/page-1", "74LS170PC")</f>
        <v>74LS170PC</v>
      </c>
      <c r="B2013" s="3" t="str">
        <f>HYPERLINK("https://www.773grp.com/manufacturer/national-semiconductor?pageNo=2", "National Semiconductor")</f>
        <v>National Semiconductor</v>
      </c>
      <c r="C2013" s="6">
        <v>4478</v>
      </c>
      <c r="D2013" s="7">
        <v>3.66</v>
      </c>
    </row>
    <row r="2014" spans="1:5" x14ac:dyDescent="0.25">
      <c r="A2014" t="str">
        <f>HYPERLINK("https://www.773grp.com/globalSearch/9300PC/page-1", "9300PC")</f>
        <v>9300PC</v>
      </c>
      <c r="B2014" s="3" t="str">
        <f>HYPERLINK("https://www.773grp.com/manufacturer/national-semiconductor?pageNo=3", "National Semiconductor")</f>
        <v>National Semiconductor</v>
      </c>
      <c r="C2014" s="6">
        <v>498</v>
      </c>
      <c r="D2014" s="7">
        <v>3.66</v>
      </c>
    </row>
    <row r="2015" spans="1:5" x14ac:dyDescent="0.25">
      <c r="A2015" t="str">
        <f>HYPERLINK("https://www.773grp.com/globalSearch/DS90LV028AHM-NOPB/page-1", "DS90LV028AHM-NOPB")</f>
        <v>DS90LV028AHM-NOPB</v>
      </c>
      <c r="B2015" s="3" t="str">
        <f>HYPERLINK("https://www.773grp.com/manufacturer/national-semiconductor?pageNo=4", "National Semiconductor")</f>
        <v>National Semiconductor</v>
      </c>
      <c r="C2015" s="6">
        <v>4826</v>
      </c>
      <c r="D2015" s="7">
        <v>3.66</v>
      </c>
    </row>
    <row r="2016" spans="1:5" x14ac:dyDescent="0.25">
      <c r="A2016" t="str">
        <f>HYPERLINK("https://www.773grp.com/globalSearch/GAL16V8-20LVC/page-1", "GAL16V8-20LVC")</f>
        <v>GAL16V8-20LVC</v>
      </c>
      <c r="B2016" s="3" t="str">
        <f>HYPERLINK("https://www.773grp.com/manufacturer/national-semiconductor?pageNo=5", "National Semiconductor")</f>
        <v>National Semiconductor</v>
      </c>
      <c r="C2016" s="6">
        <v>4236</v>
      </c>
      <c r="D2016" s="7">
        <v>3.66</v>
      </c>
      <c r="E2016" t="s">
        <v>51</v>
      </c>
    </row>
    <row r="2017" spans="1:5" x14ac:dyDescent="0.25">
      <c r="A2017" t="str">
        <f>HYPERLINK("https://www.773grp.com/globalSearch/GAL16V8QS-15LNC/page-1", "GAL16V8QS-15LNC")</f>
        <v>GAL16V8QS-15LNC</v>
      </c>
      <c r="B2017" s="3" t="str">
        <f>HYPERLINK("https://www.773grp.com/manufacturer/national-semiconductor?pageNo=6", "National Semiconductor")</f>
        <v>National Semiconductor</v>
      </c>
      <c r="C2017" s="6">
        <v>473</v>
      </c>
      <c r="D2017" s="7">
        <v>3.66</v>
      </c>
    </row>
    <row r="2018" spans="1:5" x14ac:dyDescent="0.25">
      <c r="A2018" t="str">
        <f>HYPERLINK("https://www.773grp.com/globalSearch/GAL20V8-20LNC/page-1", "GAL20V8-20LNC")</f>
        <v>GAL20V8-20LNC</v>
      </c>
      <c r="B2018" s="3" t="str">
        <f>HYPERLINK("https://www.773grp.com/manufacturer/national-semiconductor?pageNo=7", "National Semiconductor")</f>
        <v>National Semiconductor</v>
      </c>
      <c r="C2018" s="6">
        <v>14656</v>
      </c>
      <c r="D2018" s="7">
        <v>3.66</v>
      </c>
      <c r="E2018" t="s">
        <v>51</v>
      </c>
    </row>
    <row r="2019" spans="1:5" x14ac:dyDescent="0.25">
      <c r="A2019" t="str">
        <f>HYPERLINK("https://www.773grp.com/globalSearch/GAL20V8QS-15LVI/page-1", "GAL20V8QS-15LVI")</f>
        <v>GAL20V8QS-15LVI</v>
      </c>
      <c r="B2019" s="3" t="str">
        <f>HYPERLINK("https://www.773grp.com/manufacturer/national-semiconductor?pageNo=8", "National Semiconductor")</f>
        <v>National Semiconductor</v>
      </c>
      <c r="C2019" s="6">
        <v>1645</v>
      </c>
      <c r="D2019" s="7">
        <v>3.66</v>
      </c>
    </row>
    <row r="2020" spans="1:5" x14ac:dyDescent="0.25">
      <c r="A2020" t="str">
        <f>HYPERLINK("https://www.773grp.com/globalSearch/LM1085IS-3.3/page-1", "LM1085IS-3.3")</f>
        <v>LM1085IS-3.3</v>
      </c>
      <c r="B2020" s="3" t="str">
        <f>HYPERLINK("https://www.773grp.com/manufacturer/national-semiconductor?pageNo=9", "National Semiconductor")</f>
        <v>National Semiconductor</v>
      </c>
      <c r="C2020" s="6">
        <v>308</v>
      </c>
      <c r="D2020" s="7">
        <v>3.66</v>
      </c>
      <c r="E2020" t="s">
        <v>19</v>
      </c>
    </row>
    <row r="2021" spans="1:5" x14ac:dyDescent="0.25">
      <c r="A2021" t="str">
        <f>HYPERLINK("https://www.773grp.com/globalSearch/LM1085IS-ADJ/page-1", "LM1085IS-ADJ")</f>
        <v>LM1085IS-ADJ</v>
      </c>
      <c r="B2021" s="3" t="str">
        <f>HYPERLINK("https://www.773grp.com/manufacturer/national-semiconductor?pageNo=10", "National Semiconductor")</f>
        <v>National Semiconductor</v>
      </c>
      <c r="C2021" s="6">
        <v>303</v>
      </c>
      <c r="D2021" s="7">
        <v>3.66</v>
      </c>
      <c r="E2021" t="s">
        <v>25</v>
      </c>
    </row>
    <row r="2022" spans="1:5" x14ac:dyDescent="0.25">
      <c r="A2022" t="str">
        <f>HYPERLINK("https://www.773grp.com/globalSearch/LM2671LD-ADJ-NOPB/page-1", "LM2671LD-ADJ-NOPB")</f>
        <v>LM2671LD-ADJ-NOPB</v>
      </c>
      <c r="B2022" s="3" t="str">
        <f>HYPERLINK("https://www.773grp.com/manufacturer/national-semiconductor?pageNo=11", "National Semiconductor")</f>
        <v>National Semiconductor</v>
      </c>
      <c r="C2022" s="6">
        <v>4333</v>
      </c>
      <c r="D2022" s="7">
        <v>3.66</v>
      </c>
    </row>
    <row r="2023" spans="1:5" x14ac:dyDescent="0.25">
      <c r="A2023" t="str">
        <f>HYPERLINK("https://www.773grp.com/globalSearch/LM2671M-12/page-1", "LM2671M-12")</f>
        <v>LM2671M-12</v>
      </c>
      <c r="B2023" s="3" t="str">
        <f>HYPERLINK("https://www.773grp.com/manufacturer/national-semiconductor?pageNo=12", "National Semiconductor")</f>
        <v>National Semiconductor</v>
      </c>
      <c r="C2023" s="6">
        <v>50</v>
      </c>
      <c r="D2023" s="7">
        <v>3.66</v>
      </c>
      <c r="E2023" t="s">
        <v>7</v>
      </c>
    </row>
    <row r="2024" spans="1:5" x14ac:dyDescent="0.25">
      <c r="A2024" t="str">
        <f>HYPERLINK("https://www.773grp.com/globalSearch/LM2671MX-3.3-NOPB/page-1", "LM2671MX-3.3-NOPB")</f>
        <v>LM2671MX-3.3-NOPB</v>
      </c>
      <c r="B2024" s="3" t="str">
        <f>HYPERLINK("https://www.773grp.com/manufacturer/national-semiconductor?pageNo=13", "National Semiconductor")</f>
        <v>National Semiconductor</v>
      </c>
      <c r="C2024" s="6">
        <v>12500</v>
      </c>
      <c r="D2024" s="7">
        <v>3.66</v>
      </c>
      <c r="E2024" t="s">
        <v>7</v>
      </c>
    </row>
    <row r="2025" spans="1:5" x14ac:dyDescent="0.25">
      <c r="A2025" t="str">
        <f>HYPERLINK("https://www.773grp.com/globalSearch/LM2671MX-5.0-NOPB/page-1", "LM2671MX-5.0-NOPB")</f>
        <v>LM2671MX-5.0-NOPB</v>
      </c>
      <c r="B2025" s="3" t="str">
        <f>HYPERLINK("https://www.773grp.com/manufacturer/national-semiconductor?pageNo=14", "National Semiconductor")</f>
        <v>National Semiconductor</v>
      </c>
      <c r="C2025" s="6">
        <v>19900</v>
      </c>
      <c r="D2025" s="7">
        <v>3.66</v>
      </c>
      <c r="E2025" t="s">
        <v>7</v>
      </c>
    </row>
    <row r="2026" spans="1:5" x14ac:dyDescent="0.25">
      <c r="A2026" t="str">
        <f>HYPERLINK("https://www.773grp.com/globalSearch/LM2671MX-ADJ-NOPB/page-1", "LM2671MX-ADJ-NOPB")</f>
        <v>LM2671MX-ADJ-NOPB</v>
      </c>
      <c r="B2026" s="3" t="str">
        <f>HYPERLINK("https://www.773grp.com/manufacturer/national-semiconductor?pageNo=15", "National Semiconductor")</f>
        <v>National Semiconductor</v>
      </c>
      <c r="C2026" s="6">
        <v>10800</v>
      </c>
      <c r="D2026" s="7">
        <v>3.66</v>
      </c>
      <c r="E2026" t="s">
        <v>7</v>
      </c>
    </row>
    <row r="2027" spans="1:5" x14ac:dyDescent="0.25">
      <c r="A2027" t="str">
        <f>HYPERLINK("https://www.773grp.com/globalSearch/LM2671N-12-NOPB/page-1", "LM2671N-12-NOPB")</f>
        <v>LM2671N-12-NOPB</v>
      </c>
      <c r="B2027" s="3" t="str">
        <f>HYPERLINK("https://www.773grp.com/manufacturer/national-semiconductor?pageNo=16", "National Semiconductor")</f>
        <v>National Semiconductor</v>
      </c>
      <c r="C2027" s="6">
        <v>147</v>
      </c>
      <c r="D2027" s="7">
        <v>3.66</v>
      </c>
      <c r="E2027" t="s">
        <v>7</v>
      </c>
    </row>
    <row r="2028" spans="1:5" x14ac:dyDescent="0.25">
      <c r="A2028" t="str">
        <f>HYPERLINK("https://www.773grp.com/globalSearch/LM2671N-5.0-NOPB/page-1", "LM2671N-5.0-NOPB")</f>
        <v>LM2671N-5.0-NOPB</v>
      </c>
      <c r="B2028" s="3" t="str">
        <f>HYPERLINK("https://www.773grp.com/manufacturer/national-semiconductor?pageNo=17", "National Semiconductor")</f>
        <v>National Semiconductor</v>
      </c>
      <c r="C2028" s="6">
        <v>210</v>
      </c>
      <c r="D2028" s="7">
        <v>3.66</v>
      </c>
      <c r="E2028" t="s">
        <v>7</v>
      </c>
    </row>
    <row r="2029" spans="1:5" x14ac:dyDescent="0.25">
      <c r="A2029" t="str">
        <f>HYPERLINK("https://www.773grp.com/globalSearch/LM27341QMY-NOPB/page-1", "LM27341QMY-NOPB")</f>
        <v>LM27341QMY-NOPB</v>
      </c>
      <c r="B2029" s="3" t="str">
        <f>HYPERLINK("https://www.773grp.com/manufacturer/national-semiconductor?pageNo=18", "National Semiconductor")</f>
        <v>National Semiconductor</v>
      </c>
      <c r="C2029" s="6">
        <v>1000</v>
      </c>
      <c r="D2029" s="7">
        <v>3.66</v>
      </c>
    </row>
    <row r="2030" spans="1:5" x14ac:dyDescent="0.25">
      <c r="A2030" t="str">
        <f>HYPERLINK("https://www.773grp.com/globalSearch/LM27341QMYX-NOPB/page-1", "LM27341QMYX-NOPB")</f>
        <v>LM27341QMYX-NOPB</v>
      </c>
      <c r="B2030" s="3" t="str">
        <f>HYPERLINK("https://www.773grp.com/manufacturer/national-semiconductor?pageNo=19", "National Semiconductor")</f>
        <v>National Semiconductor</v>
      </c>
      <c r="C2030" s="6">
        <v>7000</v>
      </c>
      <c r="D2030" s="7">
        <v>3.66</v>
      </c>
    </row>
    <row r="2031" spans="1:5" x14ac:dyDescent="0.25">
      <c r="A2031" t="str">
        <f>HYPERLINK("https://www.773grp.com/globalSearch/LM27964SQ-I/page-1", "LM27964SQ-I")</f>
        <v>LM27964SQ-I</v>
      </c>
      <c r="B2031" s="3" t="str">
        <f>HYPERLINK("https://www.773grp.com/manufacturer/national-semiconductor?pageNo=20", "National Semiconductor")</f>
        <v>National Semiconductor</v>
      </c>
      <c r="C2031" s="6">
        <v>3935</v>
      </c>
      <c r="D2031" s="7">
        <v>3.66</v>
      </c>
      <c r="E2031" t="s">
        <v>10</v>
      </c>
    </row>
    <row r="2032" spans="1:5" x14ac:dyDescent="0.25">
      <c r="A2032" t="str">
        <f>HYPERLINK("https://www.773grp.com/globalSearch/LM27964SQ-I-NOPB/page-1", "LM27964SQ-I-NOPB")</f>
        <v>LM27964SQ-I-NOPB</v>
      </c>
      <c r="B2032" s="3" t="str">
        <f>HYPERLINK("https://www.773grp.com/manufacturer/national-semiconductor?pageNo=21", "National Semiconductor")</f>
        <v>National Semiconductor</v>
      </c>
      <c r="C2032" s="6">
        <v>2787</v>
      </c>
      <c r="D2032" s="7">
        <v>3.66</v>
      </c>
    </row>
    <row r="2033" spans="1:5" x14ac:dyDescent="0.25">
      <c r="A2033" t="str">
        <f>HYPERLINK("https://www.773grp.com/globalSearch/LM2833XMY-NOPB/page-1", "LM2833XMY-NOPB")</f>
        <v>LM2833XMY-NOPB</v>
      </c>
      <c r="B2033" s="3" t="str">
        <f>HYPERLINK("https://www.773grp.com/manufacturer/national-semiconductor?pageNo=22", "National Semiconductor")</f>
        <v>National Semiconductor</v>
      </c>
      <c r="C2033" s="6">
        <v>2000</v>
      </c>
      <c r="D2033" s="7">
        <v>3.66</v>
      </c>
    </row>
    <row r="2034" spans="1:5" x14ac:dyDescent="0.25">
      <c r="A2034" t="str">
        <f>HYPERLINK("https://www.773grp.com/globalSearch/LM2833XSD-NOPB/page-1", "LM2833XSD-NOPB")</f>
        <v>LM2833XSD-NOPB</v>
      </c>
      <c r="B2034" s="3" t="str">
        <f>HYPERLINK("https://www.773grp.com/manufacturer/national-semiconductor?pageNo=23", "National Semiconductor")</f>
        <v>National Semiconductor</v>
      </c>
      <c r="C2034" s="6">
        <v>665</v>
      </c>
      <c r="D2034" s="7">
        <v>3.66</v>
      </c>
    </row>
    <row r="2035" spans="1:5" x14ac:dyDescent="0.25">
      <c r="A2035" t="str">
        <f>HYPERLINK("https://www.773grp.com/globalSearch/LM2833XSDX-NOPB/page-1", "LM2833XSDX-NOPB")</f>
        <v>LM2833XSDX-NOPB</v>
      </c>
      <c r="B2035" s="3" t="str">
        <f>HYPERLINK("https://www.773grp.com/manufacturer/national-semiconductor?pageNo=24", "National Semiconductor")</f>
        <v>National Semiconductor</v>
      </c>
      <c r="C2035" s="6">
        <v>9000</v>
      </c>
      <c r="D2035" s="7">
        <v>3.66</v>
      </c>
    </row>
    <row r="2036" spans="1:5" x14ac:dyDescent="0.25">
      <c r="A2036" t="str">
        <f>HYPERLINK("https://www.773grp.com/globalSearch/LM2842YMK-ADJL-NOPB/page-1", "LM2842YMK-ADJL-NOPB")</f>
        <v>LM2842YMK-ADJL-NOPB</v>
      </c>
      <c r="B2036" s="3" t="str">
        <f>HYPERLINK("https://www.773grp.com/manufacturer/national-semiconductor?pageNo=25", "National Semiconductor")</f>
        <v>National Semiconductor</v>
      </c>
      <c r="C2036" s="6">
        <v>2000</v>
      </c>
      <c r="D2036" s="7">
        <v>3.66</v>
      </c>
      <c r="E2036" t="s">
        <v>7</v>
      </c>
    </row>
    <row r="2037" spans="1:5" x14ac:dyDescent="0.25">
      <c r="A2037" t="str">
        <f>HYPERLINK("https://www.773grp.com/globalSearch/LM3424MHX-NOPB/page-1", "LM3424MHX-NOPB")</f>
        <v>LM3424MHX-NOPB</v>
      </c>
      <c r="B2037" s="3" t="str">
        <f>HYPERLINK("https://www.773grp.com/manufacturer/national-semiconductor?pageNo=26", "National Semiconductor")</f>
        <v>National Semiconductor</v>
      </c>
      <c r="C2037" s="6">
        <v>2500</v>
      </c>
      <c r="D2037" s="7">
        <v>3.66</v>
      </c>
      <c r="E2037" t="s">
        <v>10</v>
      </c>
    </row>
    <row r="2038" spans="1:5" x14ac:dyDescent="0.25">
      <c r="A2038" t="str">
        <f>HYPERLINK("https://www.773grp.com/globalSearch/LM4132AMF-1.8-NOPB/page-1", "LM4132AMF-1.8-NOPB")</f>
        <v>LM4132AMF-1.8-NOPB</v>
      </c>
      <c r="B2038" s="3" t="str">
        <f>HYPERLINK("https://www.773grp.com/manufacturer/national-semiconductor?pageNo=27", "National Semiconductor")</f>
        <v>National Semiconductor</v>
      </c>
      <c r="C2038" s="6">
        <v>720</v>
      </c>
      <c r="D2038" s="7">
        <v>3.66</v>
      </c>
    </row>
    <row r="2039" spans="1:5" x14ac:dyDescent="0.25">
      <c r="A2039" t="str">
        <f>HYPERLINK("https://www.773grp.com/globalSearch/LM4132AMF-2.0-NOPB/page-1", "LM4132AMF-2.0-NOPB")</f>
        <v>LM4132AMF-2.0-NOPB</v>
      </c>
      <c r="B2039" s="3" t="str">
        <f>HYPERLINK("https://www.773grp.com/manufacturer/national-semiconductor?pageNo=28", "National Semiconductor")</f>
        <v>National Semiconductor</v>
      </c>
      <c r="C2039" s="6">
        <v>1000</v>
      </c>
      <c r="D2039" s="7">
        <v>3.66</v>
      </c>
    </row>
    <row r="2040" spans="1:5" x14ac:dyDescent="0.25">
      <c r="A2040" t="str">
        <f>HYPERLINK("https://www.773grp.com/globalSearch/LM4132AMF-2.5-NOPB/page-1", "LM4132AMF-2.5-NOPB")</f>
        <v>LM4132AMF-2.5-NOPB</v>
      </c>
      <c r="B2040" s="3" t="str">
        <f>HYPERLINK("https://www.773grp.com/manufacturer/national-semiconductor?pageNo=29", "National Semiconductor")</f>
        <v>National Semiconductor</v>
      </c>
      <c r="C2040" s="6">
        <v>3436</v>
      </c>
      <c r="D2040" s="7">
        <v>3.66</v>
      </c>
      <c r="E2040" t="s">
        <v>19</v>
      </c>
    </row>
    <row r="2041" spans="1:5" x14ac:dyDescent="0.25">
      <c r="A2041" t="str">
        <f>HYPERLINK("https://www.773grp.com/globalSearch/LM4132AMF-3.0/page-1", "LM4132AMF-3.0")</f>
        <v>LM4132AMF-3.0</v>
      </c>
      <c r="B2041" s="3" t="str">
        <f>HYPERLINK("https://www.773grp.com/manufacturer/national-semiconductor?pageNo=30", "National Semiconductor")</f>
        <v>National Semiconductor</v>
      </c>
      <c r="C2041" s="6">
        <v>1000</v>
      </c>
      <c r="D2041" s="7">
        <v>3.66</v>
      </c>
      <c r="E2041" t="s">
        <v>19</v>
      </c>
    </row>
    <row r="2042" spans="1:5" x14ac:dyDescent="0.25">
      <c r="A2042" t="str">
        <f>HYPERLINK("https://www.773grp.com/globalSearch/LM4132AMF-3.0-NOPB/page-1", "LM4132AMF-3.0-NOPB")</f>
        <v>LM4132AMF-3.0-NOPB</v>
      </c>
      <c r="B2042" s="3" t="str">
        <f>HYPERLINK("https://www.773grp.com/manufacturer/national-semiconductor?pageNo=31", "National Semiconductor")</f>
        <v>National Semiconductor</v>
      </c>
      <c r="C2042" s="6">
        <v>2000</v>
      </c>
      <c r="D2042" s="7">
        <v>3.66</v>
      </c>
    </row>
    <row r="2043" spans="1:5" x14ac:dyDescent="0.25">
      <c r="A2043" t="str">
        <f>HYPERLINK("https://www.773grp.com/globalSearch/LM4132AMF-3.3-NOPB/page-1", "LM4132AMF-3.3-NOPB")</f>
        <v>LM4132AMF-3.3-NOPB</v>
      </c>
      <c r="B2043" s="3" t="str">
        <f>HYPERLINK("https://www.773grp.com/manufacturer/national-semiconductor?pageNo=32", "National Semiconductor")</f>
        <v>National Semiconductor</v>
      </c>
      <c r="C2043" s="6">
        <v>2475</v>
      </c>
      <c r="D2043" s="7">
        <v>3.66</v>
      </c>
    </row>
    <row r="2044" spans="1:5" x14ac:dyDescent="0.25">
      <c r="A2044" t="str">
        <f>HYPERLINK("https://www.773grp.com/globalSearch/LM4132AMF-4.1-NOPB/page-1", "LM4132AMF-4.1-NOPB")</f>
        <v>LM4132AMF-4.1-NOPB</v>
      </c>
      <c r="B2044" s="3" t="str">
        <f>HYPERLINK("https://www.773grp.com/manufacturer/national-semiconductor?pageNo=33", "National Semiconductor")</f>
        <v>National Semiconductor</v>
      </c>
      <c r="C2044" s="6">
        <v>849</v>
      </c>
      <c r="D2044" s="7">
        <v>3.66</v>
      </c>
      <c r="E2044" t="s">
        <v>19</v>
      </c>
    </row>
    <row r="2045" spans="1:5" x14ac:dyDescent="0.25">
      <c r="A2045" t="str">
        <f>HYPERLINK("https://www.773grp.com/globalSearch/LM4857SP-NOPB/page-1", "LM4857SP-NOPB")</f>
        <v>LM4857SP-NOPB</v>
      </c>
      <c r="B2045" s="3" t="str">
        <f>HYPERLINK("https://www.773grp.com/manufacturer/national-semiconductor?pageNo=34", "National Semiconductor")</f>
        <v>National Semiconductor</v>
      </c>
      <c r="C2045" s="6">
        <v>897</v>
      </c>
      <c r="D2045" s="7">
        <v>3.66</v>
      </c>
      <c r="E2045" t="s">
        <v>23</v>
      </c>
    </row>
    <row r="2046" spans="1:5" x14ac:dyDescent="0.25">
      <c r="A2046" t="str">
        <f>HYPERLINK("https://www.773grp.com/globalSearch/LM5007MM-NOPB/page-1", "LM5007MM-NOPB")</f>
        <v>LM5007MM-NOPB</v>
      </c>
      <c r="B2046" s="3" t="str">
        <f>HYPERLINK("https://www.773grp.com/manufacturer/national-semiconductor?pageNo=35", "National Semiconductor")</f>
        <v>National Semiconductor</v>
      </c>
      <c r="C2046" s="6">
        <v>16000</v>
      </c>
      <c r="D2046" s="7">
        <v>3.66</v>
      </c>
      <c r="E2046" t="s">
        <v>7</v>
      </c>
    </row>
    <row r="2047" spans="1:5" x14ac:dyDescent="0.25">
      <c r="A2047" t="str">
        <f>HYPERLINK("https://www.773grp.com/globalSearch/LM5007MMX/page-1", "LM5007MMX")</f>
        <v>LM5007MMX</v>
      </c>
      <c r="B2047" s="3" t="str">
        <f>HYPERLINK("https://www.773grp.com/manufacturer/national-semiconductor?pageNo=36", "National Semiconductor")</f>
        <v>National Semiconductor</v>
      </c>
      <c r="C2047" s="6">
        <v>3500</v>
      </c>
      <c r="D2047" s="7">
        <v>3.66</v>
      </c>
      <c r="E2047" t="s">
        <v>7</v>
      </c>
    </row>
    <row r="2048" spans="1:5" x14ac:dyDescent="0.25">
      <c r="A2048" t="str">
        <f>HYPERLINK("https://www.773grp.com/globalSearch/LM5007MMX-NOPB/page-1", "LM5007MMX-NOPB")</f>
        <v>LM5007MMX-NOPB</v>
      </c>
      <c r="B2048" s="3" t="str">
        <f>HYPERLINK("https://www.773grp.com/manufacturer/national-semiconductor?pageNo=37", "National Semiconductor")</f>
        <v>National Semiconductor</v>
      </c>
      <c r="C2048" s="6">
        <v>7000</v>
      </c>
      <c r="D2048" s="7">
        <v>3.66</v>
      </c>
      <c r="E2048" t="s">
        <v>7</v>
      </c>
    </row>
    <row r="2049" spans="1:5" x14ac:dyDescent="0.25">
      <c r="A2049" t="str">
        <f>HYPERLINK("https://www.773grp.com/globalSearch/LM5007SD-NOPB/page-1", "LM5007SD-NOPB")</f>
        <v>LM5007SD-NOPB</v>
      </c>
      <c r="B2049" s="3" t="str">
        <f>HYPERLINK("https://www.773grp.com/manufacturer/national-semiconductor?pageNo=38", "National Semiconductor")</f>
        <v>National Semiconductor</v>
      </c>
      <c r="C2049" s="6">
        <v>1000</v>
      </c>
      <c r="D2049" s="7">
        <v>3.66</v>
      </c>
      <c r="E2049" t="s">
        <v>7</v>
      </c>
    </row>
    <row r="2050" spans="1:5" x14ac:dyDescent="0.25">
      <c r="A2050" t="str">
        <f>HYPERLINK("https://www.773grp.com/globalSearch/LM5041AMTCX-NOPB/page-1", "LM5041AMTCX-NOPB")</f>
        <v>LM5041AMTCX-NOPB</v>
      </c>
      <c r="B2050" s="3" t="str">
        <f>HYPERLINK("https://www.773grp.com/manufacturer/national-semiconductor?pageNo=39", "National Semiconductor")</f>
        <v>National Semiconductor</v>
      </c>
      <c r="C2050" s="6">
        <v>40000</v>
      </c>
      <c r="D2050" s="7">
        <v>3.66</v>
      </c>
      <c r="E2050" t="s">
        <v>7</v>
      </c>
    </row>
    <row r="2051" spans="1:5" x14ac:dyDescent="0.25">
      <c r="A2051" t="str">
        <f>HYPERLINK("https://www.773grp.com/globalSearch/LM5041ASD/page-1", "LM5041ASD")</f>
        <v>LM5041ASD</v>
      </c>
      <c r="B2051" s="3" t="str">
        <f>HYPERLINK("https://www.773grp.com/manufacturer/national-semiconductor?pageNo=40", "National Semiconductor")</f>
        <v>National Semiconductor</v>
      </c>
      <c r="C2051" s="6">
        <v>1000</v>
      </c>
      <c r="D2051" s="7">
        <v>3.66</v>
      </c>
      <c r="E2051" t="s">
        <v>7</v>
      </c>
    </row>
    <row r="2052" spans="1:5" x14ac:dyDescent="0.25">
      <c r="A2052" t="str">
        <f>HYPERLINK("https://www.773grp.com/globalSearch/LM5041MTCX-NOPB/page-1", "LM5041MTCX-NOPB")</f>
        <v>LM5041MTCX-NOPB</v>
      </c>
      <c r="B2052" s="3" t="str">
        <f>HYPERLINK("https://www.773grp.com/manufacturer/national-semiconductor?pageNo=41", "National Semiconductor")</f>
        <v>National Semiconductor</v>
      </c>
      <c r="C2052" s="6">
        <v>2500</v>
      </c>
      <c r="D2052" s="7">
        <v>3.66</v>
      </c>
      <c r="E2052" t="s">
        <v>7</v>
      </c>
    </row>
    <row r="2053" spans="1:5" x14ac:dyDescent="0.25">
      <c r="A2053" t="str">
        <f>HYPERLINK("https://www.773grp.com/globalSearch/LM5041SD-NOPB/page-1", "LM5041SD-NOPB")</f>
        <v>LM5041SD-NOPB</v>
      </c>
      <c r="B2053" s="3" t="str">
        <f>HYPERLINK("https://www.773grp.com/manufacturer/national-semiconductor?pageNo=42", "National Semiconductor")</f>
        <v>National Semiconductor</v>
      </c>
      <c r="C2053" s="6">
        <v>5000</v>
      </c>
      <c r="D2053" s="7">
        <v>3.66</v>
      </c>
      <c r="E2053" t="s">
        <v>7</v>
      </c>
    </row>
    <row r="2054" spans="1:5" x14ac:dyDescent="0.25">
      <c r="A2054" t="str">
        <f>HYPERLINK("https://www.773grp.com/globalSearch/LM5041SDX-NOPB/page-1", "LM5041SDX-NOPB")</f>
        <v>LM5041SDX-NOPB</v>
      </c>
      <c r="B2054" s="3" t="str">
        <f>HYPERLINK("https://www.773grp.com/manufacturer/national-semiconductor?pageNo=43", "National Semiconductor")</f>
        <v>National Semiconductor</v>
      </c>
      <c r="C2054" s="6">
        <v>4500</v>
      </c>
      <c r="D2054" s="7">
        <v>3.66</v>
      </c>
      <c r="E2054" t="s">
        <v>7</v>
      </c>
    </row>
    <row r="2055" spans="1:5" x14ac:dyDescent="0.25">
      <c r="A2055" t="str">
        <f>HYPERLINK("https://www.773grp.com/globalSearch/LM5070MTCX-80-NOPB/page-1", "LM5070MTCX-80-NOPB")</f>
        <v>LM5070MTCX-80-NOPB</v>
      </c>
      <c r="B2055" s="3" t="str">
        <f>HYPERLINK("https://www.773grp.com/manufacturer/national-semiconductor?pageNo=44", "National Semiconductor")</f>
        <v>National Semiconductor</v>
      </c>
      <c r="C2055" s="6">
        <v>10000</v>
      </c>
      <c r="D2055" s="7">
        <v>3.66</v>
      </c>
      <c r="E2055" t="s">
        <v>7</v>
      </c>
    </row>
    <row r="2056" spans="1:5" x14ac:dyDescent="0.25">
      <c r="A2056" t="str">
        <f>HYPERLINK("https://www.773grp.com/globalSearch/LM5070SD-50-NOPB/page-1", "LM5070SD-50-NOPB")</f>
        <v>LM5070SD-50-NOPB</v>
      </c>
      <c r="B2056" s="3" t="str">
        <f>HYPERLINK("https://www.773grp.com/manufacturer/national-semiconductor?pageNo=45", "National Semiconductor")</f>
        <v>National Semiconductor</v>
      </c>
      <c r="C2056" s="6">
        <v>3524</v>
      </c>
      <c r="D2056" s="7">
        <v>3.66</v>
      </c>
    </row>
    <row r="2057" spans="1:5" x14ac:dyDescent="0.25">
      <c r="A2057" t="str">
        <f>HYPERLINK("https://www.773grp.com/globalSearch/LM5071MTX-80-NOPB/page-1", "LM5071MTX-80-NOPB")</f>
        <v>LM5071MTX-80-NOPB</v>
      </c>
      <c r="B2057" s="3" t="str">
        <f>HYPERLINK("https://www.773grp.com/manufacturer/national-semiconductor?pageNo=46", "National Semiconductor")</f>
        <v>National Semiconductor</v>
      </c>
      <c r="C2057" s="6">
        <v>5000</v>
      </c>
      <c r="D2057" s="7">
        <v>3.66</v>
      </c>
    </row>
    <row r="2058" spans="1:5" x14ac:dyDescent="0.25">
      <c r="A2058" t="str">
        <f>HYPERLINK("https://www.773grp.com/globalSearch/LM614CWM-NOPB/page-1", "LM614CWM-NOPB")</f>
        <v>LM614CWM-NOPB</v>
      </c>
      <c r="B2058" s="3" t="str">
        <f>HYPERLINK("https://www.773grp.com/manufacturer/national-semiconductor?pageNo=47", "National Semiconductor")</f>
        <v>National Semiconductor</v>
      </c>
      <c r="C2058" s="6">
        <v>270</v>
      </c>
      <c r="D2058" s="7">
        <v>3.66</v>
      </c>
      <c r="E2058" t="s">
        <v>13</v>
      </c>
    </row>
    <row r="2059" spans="1:5" x14ac:dyDescent="0.25">
      <c r="A2059" t="str">
        <f>HYPERLINK("https://www.773grp.com/globalSearch/LME49722MA/page-1", "LME49722MA")</f>
        <v>LME49722MA</v>
      </c>
      <c r="B2059" s="3" t="str">
        <f>HYPERLINK("https://www.773grp.com/manufacturer/national-semiconductor?pageNo=48", "National Semiconductor")</f>
        <v>National Semiconductor</v>
      </c>
      <c r="C2059" s="6">
        <v>25</v>
      </c>
      <c r="D2059" s="7">
        <v>3.66</v>
      </c>
      <c r="E2059" t="s">
        <v>13</v>
      </c>
    </row>
    <row r="2060" spans="1:5" x14ac:dyDescent="0.25">
      <c r="A2060" t="str">
        <f>HYPERLINK("https://www.773grp.com/globalSearch/LMH6672MA/page-1", "LMH6672MA")</f>
        <v>LMH6672MA</v>
      </c>
      <c r="B2060" s="3" t="str">
        <f>HYPERLINK("https://www.773grp.com/manufacturer/national-semiconductor?pageNo=49", "National Semiconductor")</f>
        <v>National Semiconductor</v>
      </c>
      <c r="C2060" s="6">
        <v>190</v>
      </c>
      <c r="D2060" s="7">
        <v>3.66</v>
      </c>
      <c r="E2060" t="s">
        <v>13</v>
      </c>
    </row>
    <row r="2061" spans="1:5" x14ac:dyDescent="0.25">
      <c r="A2061" t="str">
        <f>HYPERLINK("https://www.773grp.com/globalSearch/LMH6672MAX-NOPB/page-1", "LMH6672MAX-NOPB")</f>
        <v>LMH6672MAX-NOPB</v>
      </c>
      <c r="B2061" s="3" t="str">
        <f>HYPERLINK("https://www.773grp.com/manufacturer/national-semiconductor?pageNo=50", "National Semiconductor")</f>
        <v>National Semiconductor</v>
      </c>
      <c r="C2061" s="6">
        <v>10000</v>
      </c>
      <c r="D2061" s="7">
        <v>3.66</v>
      </c>
      <c r="E2061" t="s">
        <v>13</v>
      </c>
    </row>
    <row r="2062" spans="1:5" x14ac:dyDescent="0.25">
      <c r="A2062" t="str">
        <f>HYPERLINK("https://www.773grp.com/globalSearch/LMP7702MAX-NOPB/page-1", "LMP7702MAX-NOPB")</f>
        <v>LMP7702MAX-NOPB</v>
      </c>
      <c r="B2062" s="3" t="str">
        <f>HYPERLINK("https://www.773grp.com/manufacturer/national-semiconductor?pageNo=51", "National Semiconductor")</f>
        <v>National Semiconductor</v>
      </c>
      <c r="C2062" s="6">
        <v>2500</v>
      </c>
      <c r="D2062" s="7">
        <v>3.66</v>
      </c>
      <c r="E2062" t="s">
        <v>13</v>
      </c>
    </row>
    <row r="2063" spans="1:5" x14ac:dyDescent="0.25">
      <c r="A2063" t="str">
        <f>HYPERLINK("https://www.773grp.com/globalSearch/LMP7702MM-NOPB/page-1", "LMP7702MM-NOPB")</f>
        <v>LMP7702MM-NOPB</v>
      </c>
      <c r="B2063" s="3" t="str">
        <f>HYPERLINK("https://www.773grp.com/manufacturer/national-semiconductor?pageNo=52", "National Semiconductor")</f>
        <v>National Semiconductor</v>
      </c>
      <c r="C2063" s="6">
        <v>1000</v>
      </c>
      <c r="D2063" s="7">
        <v>3.66</v>
      </c>
      <c r="E2063" t="s">
        <v>13</v>
      </c>
    </row>
    <row r="2064" spans="1:5" x14ac:dyDescent="0.25">
      <c r="A2064" t="str">
        <f>HYPERLINK("https://www.773grp.com/globalSearch/LMP8271MA/page-1", "LMP8271MA")</f>
        <v>LMP8271MA</v>
      </c>
      <c r="B2064" s="3" t="str">
        <f>HYPERLINK("https://www.773grp.com/manufacturer/national-semiconductor?pageNo=53", "National Semiconductor")</f>
        <v>National Semiconductor</v>
      </c>
      <c r="C2064" s="6">
        <v>37</v>
      </c>
      <c r="D2064" s="7">
        <v>3.66</v>
      </c>
      <c r="E2064" t="s">
        <v>13</v>
      </c>
    </row>
    <row r="2065" spans="1:5" x14ac:dyDescent="0.25">
      <c r="A2065" t="str">
        <f>HYPERLINK("https://www.773grp.com/globalSearch/LMP8271MA-NOPB/page-1", "LMP8271MA-NOPB")</f>
        <v>LMP8271MA-NOPB</v>
      </c>
      <c r="B2065" s="3" t="str">
        <f>HYPERLINK("https://www.773grp.com/manufacturer/national-semiconductor?pageNo=54", "National Semiconductor")</f>
        <v>National Semiconductor</v>
      </c>
      <c r="C2065" s="6">
        <v>3135</v>
      </c>
      <c r="D2065" s="7">
        <v>3.66</v>
      </c>
      <c r="E2065" t="s">
        <v>13</v>
      </c>
    </row>
    <row r="2066" spans="1:5" x14ac:dyDescent="0.25">
      <c r="A2066" t="str">
        <f>HYPERLINK("https://www.773grp.com/globalSearch/LMP8271MAX-NOPB/page-1", "LMP8271MAX-NOPB")</f>
        <v>LMP8271MAX-NOPB</v>
      </c>
      <c r="B2066" s="3" t="str">
        <f>HYPERLINK("https://www.773grp.com/manufacturer/national-semiconductor?pageNo=55", "National Semiconductor")</f>
        <v>National Semiconductor</v>
      </c>
      <c r="C2066" s="6">
        <v>7500</v>
      </c>
      <c r="D2066" s="7">
        <v>3.66</v>
      </c>
      <c r="E2066" t="s">
        <v>13</v>
      </c>
    </row>
    <row r="2067" spans="1:5" x14ac:dyDescent="0.25">
      <c r="A2067" t="str">
        <f>HYPERLINK("https://www.773grp.com/globalSearch/MM74HCT04J/page-1", "MM74HCT04J")</f>
        <v>MM74HCT04J</v>
      </c>
      <c r="B2067" s="3" t="str">
        <f>HYPERLINK("https://www.773grp.com/manufacturer/national-semiconductor?pageNo=56", "National Semiconductor")</f>
        <v>National Semiconductor</v>
      </c>
      <c r="C2067" s="6">
        <v>700</v>
      </c>
      <c r="D2067" s="7">
        <v>3.66</v>
      </c>
      <c r="E2067" t="s">
        <v>31</v>
      </c>
    </row>
    <row r="2068" spans="1:5" x14ac:dyDescent="0.25">
      <c r="A2068" t="str">
        <f>HYPERLINK("https://www.773grp.com/globalSearch/ADC0838CCWMX-NOPB/page-1", "ADC0838CCWMX-NOPB")</f>
        <v>ADC0838CCWMX-NOPB</v>
      </c>
      <c r="B2068" s="3" t="str">
        <f>HYPERLINK("https://www.773grp.com/manufacturer/national-semiconductor?pageNo=57", "National Semiconductor")</f>
        <v>National Semiconductor</v>
      </c>
      <c r="C2068" s="6">
        <v>1000</v>
      </c>
      <c r="D2068" s="7">
        <v>3.66</v>
      </c>
    </row>
    <row r="2069" spans="1:5" x14ac:dyDescent="0.25">
      <c r="A2069" t="str">
        <f>HYPERLINK("https://www.773grp.com/globalSearch/DS90LV028AHM-NOPB/page-1", "DS90LV028AHM-NOPB")</f>
        <v>DS90LV028AHM-NOPB</v>
      </c>
      <c r="B2069" s="3" t="str">
        <f>HYPERLINK("https://www.773grp.com/manufacturer/national-semiconductor?pageNo=58", "National Semiconductor")</f>
        <v>National Semiconductor</v>
      </c>
      <c r="C2069" s="6">
        <v>13945</v>
      </c>
      <c r="D2069" s="7">
        <v>3.66</v>
      </c>
    </row>
    <row r="2070" spans="1:5" x14ac:dyDescent="0.25">
      <c r="A2070" t="str">
        <f>HYPERLINK("https://www.773grp.com/globalSearch/LM1085IS-3.3/page-1", "LM1085IS-3.3")</f>
        <v>LM1085IS-3.3</v>
      </c>
      <c r="B2070" s="3" t="str">
        <f>HYPERLINK("https://www.773grp.com/manufacturer/national-semiconductor?pageNo=59", "National Semiconductor")</f>
        <v>National Semiconductor</v>
      </c>
      <c r="C2070" s="6">
        <v>169</v>
      </c>
      <c r="D2070" s="7">
        <v>3.66</v>
      </c>
      <c r="E2070" t="s">
        <v>19</v>
      </c>
    </row>
    <row r="2071" spans="1:5" x14ac:dyDescent="0.25">
      <c r="A2071" t="str">
        <f>HYPERLINK("https://www.773grp.com/globalSearch/LM1085IS-ADJ/page-1", "LM1085IS-ADJ")</f>
        <v>LM1085IS-ADJ</v>
      </c>
      <c r="B2071" s="3" t="str">
        <f>HYPERLINK("https://www.773grp.com/manufacturer/national-semiconductor?pageNo=60", "National Semiconductor")</f>
        <v>National Semiconductor</v>
      </c>
      <c r="C2071" s="6">
        <v>174</v>
      </c>
      <c r="D2071" s="7">
        <v>3.66</v>
      </c>
      <c r="E2071" t="s">
        <v>25</v>
      </c>
    </row>
    <row r="2072" spans="1:5" x14ac:dyDescent="0.25">
      <c r="A2072" t="str">
        <f>HYPERLINK("https://www.773grp.com/globalSearch/LM2671LD-ADJ-NOPB/page-1", "LM2671LD-ADJ-NOPB")</f>
        <v>LM2671LD-ADJ-NOPB</v>
      </c>
      <c r="B2072" s="3" t="str">
        <f>HYPERLINK("https://www.773grp.com/manufacturer/national-semiconductor?pageNo=61", "National Semiconductor")</f>
        <v>National Semiconductor</v>
      </c>
      <c r="C2072" s="6">
        <v>1000</v>
      </c>
      <c r="D2072" s="7">
        <v>3.66</v>
      </c>
    </row>
    <row r="2073" spans="1:5" x14ac:dyDescent="0.25">
      <c r="A2073" t="str">
        <f>HYPERLINK("https://www.773grp.com/globalSearch/LM2671MX-12-NOPB/page-1", "LM2671MX-12-NOPB")</f>
        <v>LM2671MX-12-NOPB</v>
      </c>
      <c r="B2073" s="3" t="str">
        <f>HYPERLINK("https://www.773grp.com/manufacturer/national-semiconductor?pageNo=62", "National Semiconductor")</f>
        <v>National Semiconductor</v>
      </c>
      <c r="C2073" s="6">
        <v>2500</v>
      </c>
      <c r="D2073" s="7">
        <v>3.66</v>
      </c>
    </row>
    <row r="2074" spans="1:5" x14ac:dyDescent="0.25">
      <c r="A2074" t="str">
        <f>HYPERLINK("https://www.773grp.com/globalSearch/LM2671MX-3.3-NOPB/page-1", "LM2671MX-3.3-NOPB")</f>
        <v>LM2671MX-3.3-NOPB</v>
      </c>
      <c r="B2074" s="3" t="str">
        <f>HYPERLINK("https://www.773grp.com/manufacturer/national-semiconductor?pageNo=63", "National Semiconductor")</f>
        <v>National Semiconductor</v>
      </c>
      <c r="C2074" s="6">
        <v>4714</v>
      </c>
      <c r="D2074" s="7">
        <v>3.66</v>
      </c>
      <c r="E2074" t="s">
        <v>7</v>
      </c>
    </row>
    <row r="2075" spans="1:5" x14ac:dyDescent="0.25">
      <c r="A2075" t="str">
        <f>HYPERLINK("https://www.773grp.com/globalSearch/LM2671MX-ADJ-NOPB/page-1", "LM2671MX-ADJ-NOPB")</f>
        <v>LM2671MX-ADJ-NOPB</v>
      </c>
      <c r="B2075" s="3" t="str">
        <f>HYPERLINK("https://www.773grp.com/manufacturer/national-semiconductor?pageNo=64", "National Semiconductor")</f>
        <v>National Semiconductor</v>
      </c>
      <c r="C2075" s="6">
        <v>15000</v>
      </c>
      <c r="D2075" s="7">
        <v>3.66</v>
      </c>
      <c r="E2075" t="s">
        <v>7</v>
      </c>
    </row>
    <row r="2076" spans="1:5" x14ac:dyDescent="0.25">
      <c r="A2076" t="str">
        <f>HYPERLINK("https://www.773grp.com/globalSearch/LM2671N-12-NOPB/page-1", "LM2671N-12-NOPB")</f>
        <v>LM2671N-12-NOPB</v>
      </c>
      <c r="B2076" s="3" t="str">
        <f>HYPERLINK("https://www.773grp.com/manufacturer/national-semiconductor?pageNo=65", "National Semiconductor")</f>
        <v>National Semiconductor</v>
      </c>
      <c r="C2076" s="6">
        <v>1646</v>
      </c>
      <c r="D2076" s="7">
        <v>3.66</v>
      </c>
      <c r="E2076" t="s">
        <v>7</v>
      </c>
    </row>
    <row r="2077" spans="1:5" x14ac:dyDescent="0.25">
      <c r="A2077" t="str">
        <f>HYPERLINK("https://www.773grp.com/globalSearch/LM2671N-3.3/page-1", "LM2671N-3.3")</f>
        <v>LM2671N-3.3</v>
      </c>
      <c r="B2077" s="3" t="str">
        <f>HYPERLINK("https://www.773grp.com/manufacturer/national-semiconductor?pageNo=66", "National Semiconductor")</f>
        <v>National Semiconductor</v>
      </c>
      <c r="C2077" s="6">
        <v>227</v>
      </c>
      <c r="D2077" s="7">
        <v>3.66</v>
      </c>
    </row>
    <row r="2078" spans="1:5" x14ac:dyDescent="0.25">
      <c r="A2078" t="str">
        <f>HYPERLINK("https://www.773grp.com/globalSearch/LM2671N-3.3-NOPB/page-1", "LM2671N-3.3-NOPB")</f>
        <v>LM2671N-3.3-NOPB</v>
      </c>
      <c r="B2078" s="3" t="str">
        <f>HYPERLINK("https://www.773grp.com/manufacturer/national-semiconductor?pageNo=67", "National Semiconductor")</f>
        <v>National Semiconductor</v>
      </c>
      <c r="C2078" s="6">
        <v>240</v>
      </c>
      <c r="D2078" s="7">
        <v>3.66</v>
      </c>
      <c r="E2078" t="s">
        <v>7</v>
      </c>
    </row>
    <row r="2079" spans="1:5" x14ac:dyDescent="0.25">
      <c r="A2079" t="str">
        <f>HYPERLINK("https://www.773grp.com/globalSearch/LM2671N-5.0-NOPB/page-1", "LM2671N-5.0-NOPB")</f>
        <v>LM2671N-5.0-NOPB</v>
      </c>
      <c r="B2079" s="3" t="str">
        <f>HYPERLINK("https://www.773grp.com/manufacturer/national-semiconductor?pageNo=68", "National Semiconductor")</f>
        <v>National Semiconductor</v>
      </c>
      <c r="C2079" s="6">
        <v>517</v>
      </c>
      <c r="D2079" s="7">
        <v>3.66</v>
      </c>
      <c r="E2079" t="s">
        <v>7</v>
      </c>
    </row>
    <row r="2080" spans="1:5" x14ac:dyDescent="0.25">
      <c r="A2080" t="str">
        <f>HYPERLINK("https://www.773grp.com/globalSearch/LM2671N-ADJ-NOPB/page-1", "LM2671N-ADJ-NOPB")</f>
        <v>LM2671N-ADJ-NOPB</v>
      </c>
      <c r="B2080" s="3" t="str">
        <f>HYPERLINK("https://www.773grp.com/manufacturer/national-semiconductor?pageNo=69", "National Semiconductor")</f>
        <v>National Semiconductor</v>
      </c>
      <c r="C2080" s="6">
        <v>312</v>
      </c>
      <c r="D2080" s="7">
        <v>3.66</v>
      </c>
    </row>
    <row r="2081" spans="1:5" x14ac:dyDescent="0.25">
      <c r="A2081" t="str">
        <f>HYPERLINK("https://www.773grp.com/globalSearch/LM27341QMY-NOPB/page-1", "LM27341QMY-NOPB")</f>
        <v>LM27341QMY-NOPB</v>
      </c>
      <c r="B2081" s="3" t="str">
        <f>HYPERLINK("https://www.773grp.com/manufacturer/national-semiconductor?pageNo=70", "National Semiconductor")</f>
        <v>National Semiconductor</v>
      </c>
      <c r="C2081" s="6">
        <v>5000</v>
      </c>
      <c r="D2081" s="7">
        <v>3.66</v>
      </c>
    </row>
    <row r="2082" spans="1:5" x14ac:dyDescent="0.25">
      <c r="A2082" t="str">
        <f>HYPERLINK("https://www.773grp.com/globalSearch/LM27964SQ-I/page-1", "LM27964SQ-I")</f>
        <v>LM27964SQ-I</v>
      </c>
      <c r="B2082" s="3" t="str">
        <f>HYPERLINK("https://www.773grp.com/manufacturer/national-semiconductor?pageNo=71", "National Semiconductor")</f>
        <v>National Semiconductor</v>
      </c>
      <c r="C2082" s="6">
        <v>10000</v>
      </c>
      <c r="D2082" s="7">
        <v>3.66</v>
      </c>
      <c r="E2082" t="s">
        <v>10</v>
      </c>
    </row>
    <row r="2083" spans="1:5" x14ac:dyDescent="0.25">
      <c r="A2083" t="str">
        <f>HYPERLINK("https://www.773grp.com/globalSearch/LM2833XSD-NOPB/page-1", "LM2833XSD-NOPB")</f>
        <v>LM2833XSD-NOPB</v>
      </c>
      <c r="B2083" s="3" t="str">
        <f>HYPERLINK("https://www.773grp.com/manufacturer/national-semiconductor?pageNo=72", "National Semiconductor")</f>
        <v>National Semiconductor</v>
      </c>
      <c r="C2083" s="6">
        <v>1625</v>
      </c>
      <c r="D2083" s="7">
        <v>3.66</v>
      </c>
    </row>
    <row r="2084" spans="1:5" x14ac:dyDescent="0.25">
      <c r="A2084" t="str">
        <f>HYPERLINK("https://www.773grp.com/globalSearch/LM2841XQMK-NOPB/page-1", "LM2841XQMK-NOPB")</f>
        <v>LM2841XQMK-NOPB</v>
      </c>
      <c r="B2084" s="3" t="str">
        <f>HYPERLINK("https://www.773grp.com/manufacturer/national-semiconductor?pageNo=73", "National Semiconductor")</f>
        <v>National Semiconductor</v>
      </c>
      <c r="C2084" s="6">
        <v>6000</v>
      </c>
      <c r="D2084" s="7">
        <v>3.66</v>
      </c>
    </row>
    <row r="2085" spans="1:5" x14ac:dyDescent="0.25">
      <c r="A2085" t="str">
        <f>HYPERLINK("https://www.773grp.com/globalSearch/LM2841YQMK-NOPB/page-1", "LM2841YQMK-NOPB")</f>
        <v>LM2841YQMK-NOPB</v>
      </c>
      <c r="B2085" s="3" t="str">
        <f>HYPERLINK("https://www.773grp.com/manufacturer/national-semiconductor?pageNo=74", "National Semiconductor")</f>
        <v>National Semiconductor</v>
      </c>
      <c r="C2085" s="6">
        <v>2000</v>
      </c>
      <c r="D2085" s="7">
        <v>3.66</v>
      </c>
    </row>
    <row r="2086" spans="1:5" x14ac:dyDescent="0.25">
      <c r="A2086" t="str">
        <f>HYPERLINK("https://www.773grp.com/globalSearch/LM4132AMF-1.8-NOPB/page-1", "LM4132AMF-1.8-NOPB")</f>
        <v>LM4132AMF-1.8-NOPB</v>
      </c>
      <c r="B2086" s="3" t="str">
        <f>HYPERLINK("https://www.773grp.com/manufacturer/national-semiconductor?pageNo=75", "National Semiconductor")</f>
        <v>National Semiconductor</v>
      </c>
      <c r="C2086" s="6">
        <v>340</v>
      </c>
      <c r="D2086" s="7">
        <v>3.66</v>
      </c>
    </row>
    <row r="2087" spans="1:5" x14ac:dyDescent="0.25">
      <c r="A2087" t="str">
        <f>HYPERLINK("https://www.773grp.com/globalSearch/LM4132AMF-2.0-NOPB/page-1", "LM4132AMF-2.0-NOPB")</f>
        <v>LM4132AMF-2.0-NOPB</v>
      </c>
      <c r="B2087" s="3" t="str">
        <f>HYPERLINK("https://www.773grp.com/manufacturer/national-semiconductor?pageNo=76", "National Semiconductor")</f>
        <v>National Semiconductor</v>
      </c>
      <c r="C2087" s="6">
        <v>1409</v>
      </c>
      <c r="D2087" s="7">
        <v>3.66</v>
      </c>
    </row>
    <row r="2088" spans="1:5" x14ac:dyDescent="0.25">
      <c r="A2088" t="str">
        <f>HYPERLINK("https://www.773grp.com/globalSearch/LM4132AMF-2.5-NOPB/page-1", "LM4132AMF-2.5-NOPB")</f>
        <v>LM4132AMF-2.5-NOPB</v>
      </c>
      <c r="B2088" s="3" t="str">
        <f>HYPERLINK("https://www.773grp.com/manufacturer/national-semiconductor?pageNo=77", "National Semiconductor")</f>
        <v>National Semiconductor</v>
      </c>
      <c r="C2088" s="6">
        <v>844</v>
      </c>
      <c r="D2088" s="7">
        <v>3.66</v>
      </c>
      <c r="E2088" t="s">
        <v>19</v>
      </c>
    </row>
    <row r="2089" spans="1:5" x14ac:dyDescent="0.25">
      <c r="A2089" t="str">
        <f>HYPERLINK("https://www.773grp.com/globalSearch/LM4132AMF-3.3-NOPB/page-1", "LM4132AMF-3.3-NOPB")</f>
        <v>LM4132AMF-3.3-NOPB</v>
      </c>
      <c r="B2089" s="3" t="str">
        <f>HYPERLINK("https://www.773grp.com/manufacturer/national-semiconductor?pageNo=78", "National Semiconductor")</f>
        <v>National Semiconductor</v>
      </c>
      <c r="C2089" s="6">
        <v>689</v>
      </c>
      <c r="D2089" s="7">
        <v>3.66</v>
      </c>
    </row>
    <row r="2090" spans="1:5" x14ac:dyDescent="0.25">
      <c r="A2090" t="str">
        <f>HYPERLINK("https://www.773grp.com/globalSearch/LM4132AMF-4.1-NOPB/page-1", "LM4132AMF-4.1-NOPB")</f>
        <v>LM4132AMF-4.1-NOPB</v>
      </c>
      <c r="B2090" s="3" t="str">
        <f>HYPERLINK("https://www.773grp.com/manufacturer/national-semiconductor?pageNo=79", "National Semiconductor")</f>
        <v>National Semiconductor</v>
      </c>
      <c r="C2090" s="6">
        <v>6000</v>
      </c>
      <c r="D2090" s="7">
        <v>3.66</v>
      </c>
      <c r="E2090" t="s">
        <v>19</v>
      </c>
    </row>
    <row r="2091" spans="1:5" x14ac:dyDescent="0.25">
      <c r="A2091" t="str">
        <f>HYPERLINK("https://www.773grp.com/globalSearch/LM48511SQ-NOPB/page-1", "LM48511SQ-NOPB")</f>
        <v>LM48511SQ-NOPB</v>
      </c>
      <c r="B2091" s="3" t="str">
        <f>HYPERLINK("https://www.773grp.com/manufacturer/national-semiconductor?pageNo=80", "National Semiconductor")</f>
        <v>National Semiconductor</v>
      </c>
      <c r="C2091" s="6">
        <v>634</v>
      </c>
      <c r="D2091" s="7">
        <v>3.66</v>
      </c>
    </row>
    <row r="2092" spans="1:5" x14ac:dyDescent="0.25">
      <c r="A2092" t="str">
        <f>HYPERLINK("https://www.773grp.com/globalSearch/LM5007MMX/page-1", "LM5007MMX")</f>
        <v>LM5007MMX</v>
      </c>
      <c r="B2092" s="3" t="str">
        <f>HYPERLINK("https://www.773grp.com/manufacturer/national-semiconductor?pageNo=81", "National Semiconductor")</f>
        <v>National Semiconductor</v>
      </c>
      <c r="C2092" s="6">
        <v>31500</v>
      </c>
      <c r="D2092" s="7">
        <v>3.66</v>
      </c>
      <c r="E2092" t="s">
        <v>7</v>
      </c>
    </row>
    <row r="2093" spans="1:5" x14ac:dyDescent="0.25">
      <c r="A2093" t="str">
        <f>HYPERLINK("https://www.773grp.com/globalSearch/LM5041ASD-NOPB/page-1", "LM5041ASD-NOPB")</f>
        <v>LM5041ASD-NOPB</v>
      </c>
      <c r="B2093" s="3" t="str">
        <f>HYPERLINK("https://www.773grp.com/manufacturer/national-semiconductor?pageNo=82", "National Semiconductor")</f>
        <v>National Semiconductor</v>
      </c>
      <c r="C2093" s="6">
        <v>1000</v>
      </c>
      <c r="D2093" s="7">
        <v>3.66</v>
      </c>
    </row>
    <row r="2094" spans="1:5" x14ac:dyDescent="0.25">
      <c r="A2094" t="str">
        <f>HYPERLINK("https://www.773grp.com/globalSearch/LM5041SD-NOPB/page-1", "LM5041SD-NOPB")</f>
        <v>LM5041SD-NOPB</v>
      </c>
      <c r="B2094" s="3" t="str">
        <f>HYPERLINK("https://www.773grp.com/manufacturer/national-semiconductor?pageNo=83", "National Semiconductor")</f>
        <v>National Semiconductor</v>
      </c>
      <c r="C2094" s="6">
        <v>11127</v>
      </c>
      <c r="D2094" s="7">
        <v>3.66</v>
      </c>
      <c r="E2094" t="s">
        <v>7</v>
      </c>
    </row>
    <row r="2095" spans="1:5" x14ac:dyDescent="0.25">
      <c r="A2095" t="str">
        <f>HYPERLINK("https://www.773grp.com/globalSearch/LM5070MTCX-80-NOPB/page-1", "LM5070MTCX-80-NOPB")</f>
        <v>LM5070MTCX-80-NOPB</v>
      </c>
      <c r="B2095" s="3" t="str">
        <f>HYPERLINK("https://www.773grp.com/manufacturer/national-semiconductor?pageNo=84", "National Semiconductor")</f>
        <v>National Semiconductor</v>
      </c>
      <c r="C2095" s="6">
        <v>2500</v>
      </c>
      <c r="D2095" s="7">
        <v>3.66</v>
      </c>
      <c r="E2095" t="s">
        <v>7</v>
      </c>
    </row>
    <row r="2096" spans="1:5" x14ac:dyDescent="0.25">
      <c r="A2096" t="str">
        <f>HYPERLINK("https://www.773grp.com/globalSearch/LM5070SD-50-NOPB/page-1", "LM5070SD-50-NOPB")</f>
        <v>LM5070SD-50-NOPB</v>
      </c>
      <c r="B2096" s="3" t="str">
        <f>HYPERLINK("https://www.773grp.com/manufacturer/national-semiconductor?pageNo=85", "National Semiconductor")</f>
        <v>National Semiconductor</v>
      </c>
      <c r="C2096" s="6">
        <v>2000</v>
      </c>
      <c r="D2096" s="7">
        <v>3.66</v>
      </c>
    </row>
    <row r="2097" spans="1:5" x14ac:dyDescent="0.25">
      <c r="A2097" t="str">
        <f>HYPERLINK("https://www.773grp.com/globalSearch/LM614CWM-NOPB/page-1", "LM614CWM-NOPB")</f>
        <v>LM614CWM-NOPB</v>
      </c>
      <c r="B2097" s="3" t="str">
        <f>HYPERLINK("https://www.773grp.com/manufacturer/national-semiconductor?pageNo=86", "National Semiconductor")</f>
        <v>National Semiconductor</v>
      </c>
      <c r="C2097" s="6">
        <v>467</v>
      </c>
      <c r="D2097" s="7">
        <v>3.66</v>
      </c>
      <c r="E2097" t="s">
        <v>13</v>
      </c>
    </row>
    <row r="2098" spans="1:5" x14ac:dyDescent="0.25">
      <c r="A2098" t="str">
        <f>HYPERLINK("https://www.773grp.com/globalSearch/LMC6062AIM-NOPB/page-1", "LMC6062AIM-NOPB")</f>
        <v>LMC6062AIM-NOPB</v>
      </c>
      <c r="B2098" s="3" t="str">
        <f>HYPERLINK("https://www.773grp.com/manufacturer/national-semiconductor?pageNo=87", "National Semiconductor")</f>
        <v>National Semiconductor</v>
      </c>
      <c r="C2098" s="6">
        <v>110</v>
      </c>
      <c r="D2098" s="7">
        <v>3.66</v>
      </c>
      <c r="E2098" t="s">
        <v>13</v>
      </c>
    </row>
    <row r="2099" spans="1:5" x14ac:dyDescent="0.25">
      <c r="A2099" t="str">
        <f>HYPERLINK("https://www.773grp.com/globalSearch/LMH6672MAX-NOPB/page-1", "LMH6672MAX-NOPB")</f>
        <v>LMH6672MAX-NOPB</v>
      </c>
      <c r="B2099" s="3" t="str">
        <f>HYPERLINK("https://www.773grp.com/manufacturer/national-semiconductor?pageNo=88", "National Semiconductor")</f>
        <v>National Semiconductor</v>
      </c>
      <c r="C2099" s="6">
        <v>80000</v>
      </c>
      <c r="D2099" s="7">
        <v>3.66</v>
      </c>
      <c r="E2099" t="s">
        <v>13</v>
      </c>
    </row>
    <row r="2100" spans="1:5" x14ac:dyDescent="0.25">
      <c r="A2100" t="str">
        <f>HYPERLINK("https://www.773grp.com/globalSearch/LMP7702MMX-NOPB/page-1", "LMP7702MMX-NOPB")</f>
        <v>LMP7702MMX-NOPB</v>
      </c>
      <c r="B2100" s="3" t="str">
        <f>HYPERLINK("https://www.773grp.com/manufacturer/national-semiconductor?pageNo=89", "National Semiconductor")</f>
        <v>National Semiconductor</v>
      </c>
      <c r="C2100" s="6">
        <v>7000</v>
      </c>
      <c r="D2100" s="7">
        <v>3.66</v>
      </c>
    </row>
    <row r="2101" spans="1:5" x14ac:dyDescent="0.25">
      <c r="A2101" t="str">
        <f>HYPERLINK("https://www.773grp.com/globalSearch/TPS65100PWPR/page-1", "TPS65100PWPR")</f>
        <v>TPS65100PWPR</v>
      </c>
      <c r="B2101" s="3" t="str">
        <f>HYPERLINK("https://www.773grp.com/manufacturer/national-semiconductor?pageNo=90", "National Semiconductor")</f>
        <v>National Semiconductor</v>
      </c>
      <c r="C2101" s="6">
        <v>2000</v>
      </c>
      <c r="D2101" s="7">
        <v>3.66</v>
      </c>
    </row>
    <row r="2102" spans="1:5" x14ac:dyDescent="0.25">
      <c r="A2102" t="str">
        <f>HYPERLINK("https://www.773grp.com/globalSearch/DM8097N/page-1", "DM8097N")</f>
        <v>DM8097N</v>
      </c>
      <c r="B2102" s="3" t="str">
        <f>HYPERLINK("https://www.773grp.com/manufacturer/national-semiconductor?pageNo=91", "National Semiconductor")</f>
        <v>National Semiconductor</v>
      </c>
      <c r="C2102" s="6">
        <v>4929</v>
      </c>
      <c r="D2102" s="7">
        <v>4.0599999999999996</v>
      </c>
      <c r="E2102" t="s">
        <v>31</v>
      </c>
    </row>
    <row r="2103" spans="1:5" x14ac:dyDescent="0.25">
      <c r="A2103" t="str">
        <f>HYPERLINK("https://www.773grp.com/globalSearch/DM8098N/page-1", "DM8098N")</f>
        <v>DM8098N</v>
      </c>
      <c r="B2103" s="3" t="str">
        <f>HYPERLINK("https://www.773grp.com/manufacturer/national-semiconductor?pageNo=92", "National Semiconductor")</f>
        <v>National Semiconductor</v>
      </c>
      <c r="C2103" s="6">
        <v>50</v>
      </c>
      <c r="D2103" s="7">
        <v>4.0599999999999996</v>
      </c>
      <c r="E2103" t="s">
        <v>31</v>
      </c>
    </row>
    <row r="2104" spans="1:5" x14ac:dyDescent="0.25">
      <c r="A2104" t="str">
        <f>HYPERLINK("https://www.773grp.com/globalSearch/DM8213N/page-1", "DM8213N")</f>
        <v>DM8213N</v>
      </c>
      <c r="B2104" s="3" t="str">
        <f>HYPERLINK("https://www.773grp.com/manufacturer/national-semiconductor?pageNo=93", "National Semiconductor")</f>
        <v>National Semiconductor</v>
      </c>
      <c r="C2104" s="6">
        <v>1837</v>
      </c>
      <c r="D2104" s="7">
        <v>4.0599999999999996</v>
      </c>
    </row>
    <row r="2105" spans="1:5" x14ac:dyDescent="0.25">
      <c r="A2105" t="str">
        <f>HYPERLINK("https://www.773grp.com/globalSearch/DS14185WM-NOPB/page-1", "DS14185WM-NOPB")</f>
        <v>DS14185WM-NOPB</v>
      </c>
      <c r="B2105" s="3" t="str">
        <f>HYPERLINK("https://www.773grp.com/manufacturer/national-semiconductor?pageNo=94", "National Semiconductor")</f>
        <v>National Semiconductor</v>
      </c>
      <c r="C2105" s="6">
        <v>2285</v>
      </c>
      <c r="D2105" s="7">
        <v>4.0599999999999996</v>
      </c>
      <c r="E2105" t="s">
        <v>21</v>
      </c>
    </row>
    <row r="2106" spans="1:5" x14ac:dyDescent="0.25">
      <c r="A2106" t="str">
        <f>HYPERLINK("https://www.773grp.com/globalSearch/DS3691M-NOPB/page-1", "DS3691M-NOPB")</f>
        <v>DS3691M-NOPB</v>
      </c>
      <c r="B2106" s="3" t="str">
        <f>HYPERLINK("https://www.773grp.com/manufacturer/national-semiconductor?pageNo=95", "National Semiconductor")</f>
        <v>National Semiconductor</v>
      </c>
      <c r="C2106" s="6">
        <v>91</v>
      </c>
      <c r="D2106" s="7">
        <v>4.0599999999999996</v>
      </c>
      <c r="E2106" t="s">
        <v>21</v>
      </c>
    </row>
    <row r="2107" spans="1:5" x14ac:dyDescent="0.25">
      <c r="A2107" t="str">
        <f>HYPERLINK("https://www.773grp.com/globalSearch/DS8921AM/page-1", "DS8921AM")</f>
        <v>DS8921AM</v>
      </c>
      <c r="B2107" s="3" t="str">
        <f>HYPERLINK("https://www.773grp.com/manufacturer/national-semiconductor?pageNo=96", "National Semiconductor")</f>
        <v>National Semiconductor</v>
      </c>
      <c r="C2107" s="6">
        <v>1765</v>
      </c>
      <c r="D2107" s="7">
        <v>4.0599999999999996</v>
      </c>
      <c r="E2107" t="s">
        <v>21</v>
      </c>
    </row>
    <row r="2108" spans="1:5" x14ac:dyDescent="0.25">
      <c r="A2108" t="str">
        <f>HYPERLINK("https://www.773grp.com/globalSearch/DS89C21TM-NOPB/page-1", "DS89C21TM-NOPB")</f>
        <v>DS89C21TM-NOPB</v>
      </c>
      <c r="B2108" s="3" t="str">
        <f>HYPERLINK("https://www.773grp.com/manufacturer/national-semiconductor?pageNo=97", "National Semiconductor")</f>
        <v>National Semiconductor</v>
      </c>
      <c r="C2108" s="6">
        <v>5095</v>
      </c>
      <c r="D2108" s="7">
        <v>4.0599999999999996</v>
      </c>
      <c r="E2108" t="s">
        <v>21</v>
      </c>
    </row>
    <row r="2109" spans="1:5" x14ac:dyDescent="0.25">
      <c r="A2109" t="str">
        <f>HYPERLINK("https://www.773grp.com/globalSearch/LF398M/page-1", "LF398M")</f>
        <v>LF398M</v>
      </c>
      <c r="B2109" s="3" t="str">
        <f>HYPERLINK("https://www.773grp.com/manufacturer/national-semiconductor?pageNo=98", "National Semiconductor")</f>
        <v>National Semiconductor</v>
      </c>
      <c r="C2109" s="6">
        <v>145</v>
      </c>
      <c r="D2109" s="7">
        <v>4.0599999999999996</v>
      </c>
      <c r="E2109" t="s">
        <v>6</v>
      </c>
    </row>
    <row r="2110" spans="1:5" x14ac:dyDescent="0.25">
      <c r="A2110" t="str">
        <f>HYPERLINK("https://www.773grp.com/globalSearch/LM1771SSD/page-1", "LM1771SSD")</f>
        <v>LM1771SSD</v>
      </c>
      <c r="B2110" s="3" t="str">
        <f>HYPERLINK("https://www.773grp.com/manufacturer/national-semiconductor?pageNo=99", "National Semiconductor")</f>
        <v>National Semiconductor</v>
      </c>
      <c r="C2110" s="6">
        <v>130000</v>
      </c>
      <c r="D2110" s="7">
        <v>4.0599999999999996</v>
      </c>
      <c r="E2110" t="s">
        <v>7</v>
      </c>
    </row>
    <row r="2111" spans="1:5" x14ac:dyDescent="0.25">
      <c r="A2111" t="str">
        <f>HYPERLINK("https://www.773grp.com/globalSearch/LM1771TSD/page-1", "LM1771TSD")</f>
        <v>LM1771TSD</v>
      </c>
      <c r="B2111" s="3" t="str">
        <f>HYPERLINK("https://www.773grp.com/manufacturer/national-semiconductor?pageNo=100", "National Semiconductor")</f>
        <v>National Semiconductor</v>
      </c>
      <c r="C2111" s="6">
        <v>1000</v>
      </c>
      <c r="D2111" s="7">
        <v>4.0599999999999996</v>
      </c>
      <c r="E2111" t="s">
        <v>7</v>
      </c>
    </row>
    <row r="2112" spans="1:5" x14ac:dyDescent="0.25">
      <c r="A2112" t="str">
        <f>HYPERLINK("https://www.773grp.com/globalSearch/LM1771UMM/page-1", "LM1771UMM")</f>
        <v>LM1771UMM</v>
      </c>
      <c r="B2112" s="3" t="str">
        <f>HYPERLINK("https://www.773grp.com/manufacturer/national-semiconductor?pageNo=101", "National Semiconductor")</f>
        <v>National Semiconductor</v>
      </c>
      <c r="C2112" s="6">
        <v>970</v>
      </c>
      <c r="D2112" s="7">
        <v>4.0599999999999996</v>
      </c>
      <c r="E2112" t="s">
        <v>7</v>
      </c>
    </row>
    <row r="2113" spans="1:5" x14ac:dyDescent="0.25">
      <c r="A2113" t="str">
        <f>HYPERLINK("https://www.773grp.com/globalSearch/LM1894M-NOPB/page-1", "LM1894M-NOPB")</f>
        <v>LM1894M-NOPB</v>
      </c>
      <c r="B2113" s="3" t="str">
        <f>HYPERLINK("https://www.773grp.com/manufacturer/national-semiconductor?pageNo=102", "National Semiconductor")</f>
        <v>National Semiconductor</v>
      </c>
      <c r="C2113" s="6">
        <v>1393</v>
      </c>
      <c r="D2113" s="7">
        <v>4.0599999999999996</v>
      </c>
      <c r="E2113" t="s">
        <v>23</v>
      </c>
    </row>
    <row r="2114" spans="1:5" x14ac:dyDescent="0.25">
      <c r="A2114" t="str">
        <f>HYPERLINK("https://www.773grp.com/globalSearch/LM285BXZ-2.5/page-1", "LM285BXZ-2.5")</f>
        <v>LM285BXZ-2.5</v>
      </c>
      <c r="B2114" s="3" t="str">
        <f>HYPERLINK("https://www.773grp.com/manufacturer/national-semiconductor?pageNo=103", "National Semiconductor")</f>
        <v>National Semiconductor</v>
      </c>
      <c r="C2114" s="6">
        <v>3638</v>
      </c>
      <c r="D2114" s="7">
        <v>4.0599999999999996</v>
      </c>
      <c r="E2114" t="s">
        <v>17</v>
      </c>
    </row>
    <row r="2115" spans="1:5" x14ac:dyDescent="0.25">
      <c r="A2115" t="str">
        <f>HYPERLINK("https://www.773grp.com/globalSearch/LM285BYM/page-1", "LM285BYM")</f>
        <v>LM285BYM</v>
      </c>
      <c r="B2115" s="3" t="str">
        <f>HYPERLINK("https://www.773grp.com/manufacturer/national-semiconductor?pageNo=104", "National Semiconductor")</f>
        <v>National Semiconductor</v>
      </c>
      <c r="C2115" s="6">
        <v>252</v>
      </c>
      <c r="D2115" s="7">
        <v>4.0599999999999996</v>
      </c>
      <c r="E2115" t="s">
        <v>17</v>
      </c>
    </row>
    <row r="2116" spans="1:5" x14ac:dyDescent="0.25">
      <c r="A2116" t="str">
        <f>HYPERLINK("https://www.773grp.com/globalSearch/LM2936Z-3.0/page-1", "LM2936Z-3.0")</f>
        <v>LM2936Z-3.0</v>
      </c>
      <c r="B2116" s="3" t="str">
        <f>HYPERLINK("https://www.773grp.com/manufacturer/national-semiconductor?pageNo=105", "National Semiconductor")</f>
        <v>National Semiconductor</v>
      </c>
      <c r="C2116" s="6">
        <v>7514</v>
      </c>
      <c r="D2116" s="7">
        <v>4.0599999999999996</v>
      </c>
      <c r="E2116" t="s">
        <v>19</v>
      </c>
    </row>
    <row r="2117" spans="1:5" x14ac:dyDescent="0.25">
      <c r="A2117" t="str">
        <f>HYPERLINK("https://www.773grp.com/globalSearch/LM2936Z-3.0-NOPB/page-1", "LM2936Z-3.0-NOPB")</f>
        <v>LM2936Z-3.0-NOPB</v>
      </c>
      <c r="B2117" s="3" t="str">
        <f>HYPERLINK("https://www.773grp.com/manufacturer/national-semiconductor?pageNo=106", "National Semiconductor")</f>
        <v>National Semiconductor</v>
      </c>
      <c r="C2117" s="6">
        <v>3741</v>
      </c>
      <c r="D2117" s="7">
        <v>4.0599999999999996</v>
      </c>
      <c r="E2117" t="s">
        <v>19</v>
      </c>
    </row>
    <row r="2118" spans="1:5" x14ac:dyDescent="0.25">
      <c r="A2118" t="str">
        <f>HYPERLINK("https://www.773grp.com/globalSearch/LM2936Z-3.3-NOPB/page-1", "LM2936Z-3.3-NOPB")</f>
        <v>LM2936Z-3.3-NOPB</v>
      </c>
      <c r="B2118" s="3" t="str">
        <f>HYPERLINK("https://www.773grp.com/manufacturer/national-semiconductor?pageNo=107", "National Semiconductor")</f>
        <v>National Semiconductor</v>
      </c>
      <c r="C2118" s="6">
        <v>379</v>
      </c>
      <c r="D2118" s="7">
        <v>4.0599999999999996</v>
      </c>
      <c r="E2118" t="s">
        <v>19</v>
      </c>
    </row>
    <row r="2119" spans="1:5" x14ac:dyDescent="0.25">
      <c r="A2119" t="str">
        <f>HYPERLINK("https://www.773grp.com/globalSearch/LM2936Z-5.0/page-1", "LM2936Z-5.0")</f>
        <v>LM2936Z-5.0</v>
      </c>
      <c r="B2119" s="3" t="str">
        <f>HYPERLINK("https://www.773grp.com/manufacturer/national-semiconductor?pageNo=108", "National Semiconductor")</f>
        <v>National Semiconductor</v>
      </c>
      <c r="C2119" s="6">
        <v>28</v>
      </c>
      <c r="D2119" s="7">
        <v>4.0599999999999996</v>
      </c>
      <c r="E2119" t="s">
        <v>19</v>
      </c>
    </row>
    <row r="2120" spans="1:5" x14ac:dyDescent="0.25">
      <c r="A2120" t="str">
        <f>HYPERLINK("https://www.773grp.com/globalSearch/LM2936Z-5.0-T3/page-1", "LM2936Z-5.0-T3")</f>
        <v>LM2936Z-5.0-T3</v>
      </c>
      <c r="B2120" s="3" t="str">
        <f>HYPERLINK("https://www.773grp.com/manufacturer/national-semiconductor?pageNo=109", "National Semiconductor")</f>
        <v>National Semiconductor</v>
      </c>
      <c r="C2120" s="6">
        <v>1700</v>
      </c>
      <c r="D2120" s="7">
        <v>4.0599999999999996</v>
      </c>
    </row>
    <row r="2121" spans="1:5" x14ac:dyDescent="0.25">
      <c r="A2121" t="str">
        <f>HYPERLINK("https://www.773grp.com/globalSearch/LM2937ES-10-NOPB/page-1", "LM2937ES-10-NOPB")</f>
        <v>LM2937ES-10-NOPB</v>
      </c>
      <c r="B2121" s="3" t="str">
        <f>HYPERLINK("https://www.773grp.com/manufacturer/national-semiconductor?pageNo=110", "National Semiconductor")</f>
        <v>National Semiconductor</v>
      </c>
      <c r="C2121" s="6">
        <v>145</v>
      </c>
      <c r="D2121" s="7">
        <v>4.0599999999999996</v>
      </c>
      <c r="E2121" t="s">
        <v>19</v>
      </c>
    </row>
    <row r="2122" spans="1:5" x14ac:dyDescent="0.25">
      <c r="A2122" t="str">
        <f>HYPERLINK("https://www.773grp.com/globalSearch/LM2937ES-2.5-NOPB/page-1", "LM2937ES-2.5-NOPB")</f>
        <v>LM2937ES-2.5-NOPB</v>
      </c>
      <c r="B2122" s="3" t="str">
        <f>HYPERLINK("https://www.773grp.com/manufacturer/national-semiconductor?pageNo=111", "National Semiconductor")</f>
        <v>National Semiconductor</v>
      </c>
      <c r="C2122" s="6">
        <v>7539</v>
      </c>
      <c r="D2122" s="7">
        <v>4.0599999999999996</v>
      </c>
      <c r="E2122" t="s">
        <v>19</v>
      </c>
    </row>
    <row r="2123" spans="1:5" x14ac:dyDescent="0.25">
      <c r="A2123" t="str">
        <f>HYPERLINK("https://www.773grp.com/globalSearch/LM2937ES-8.0/page-1", "LM2937ES-8.0")</f>
        <v>LM2937ES-8.0</v>
      </c>
      <c r="B2123" s="3" t="str">
        <f>HYPERLINK("https://www.773grp.com/manufacturer/national-semiconductor?pageNo=112", "National Semiconductor")</f>
        <v>National Semiconductor</v>
      </c>
      <c r="C2123" s="6">
        <v>1740</v>
      </c>
      <c r="D2123" s="7">
        <v>4.0599999999999996</v>
      </c>
      <c r="E2123" t="s">
        <v>19</v>
      </c>
    </row>
    <row r="2124" spans="1:5" x14ac:dyDescent="0.25">
      <c r="A2124" t="str">
        <f>HYPERLINK("https://www.773grp.com/globalSearch/LM2937ES-8.0-NOPB/page-1", "LM2937ES-8.0-NOPB")</f>
        <v>LM2937ES-8.0-NOPB</v>
      </c>
      <c r="B2124" s="3" t="str">
        <f>HYPERLINK("https://www.773grp.com/manufacturer/national-semiconductor?pageNo=113", "National Semiconductor")</f>
        <v>National Semiconductor</v>
      </c>
      <c r="C2124" s="6">
        <v>314</v>
      </c>
      <c r="D2124" s="7">
        <v>4.0599999999999996</v>
      </c>
      <c r="E2124" t="s">
        <v>19</v>
      </c>
    </row>
    <row r="2125" spans="1:5" x14ac:dyDescent="0.25">
      <c r="A2125" t="str">
        <f>HYPERLINK("https://www.773grp.com/globalSearch/LM2937ESX-10-NOPB/page-1", "LM2937ESX-10-NOPB")</f>
        <v>LM2937ESX-10-NOPB</v>
      </c>
      <c r="B2125" s="3" t="str">
        <f>HYPERLINK("https://www.773grp.com/manufacturer/national-semiconductor?pageNo=114", "National Semiconductor")</f>
        <v>National Semiconductor</v>
      </c>
      <c r="C2125" s="6">
        <v>500</v>
      </c>
      <c r="D2125" s="7">
        <v>4.0599999999999996</v>
      </c>
      <c r="E2125" t="s">
        <v>19</v>
      </c>
    </row>
    <row r="2126" spans="1:5" x14ac:dyDescent="0.25">
      <c r="A2126" t="str">
        <f>HYPERLINK("https://www.773grp.com/globalSearch/LM2937ESX-12-NOPB/page-1", "LM2937ESX-12-NOPB")</f>
        <v>LM2937ESX-12-NOPB</v>
      </c>
      <c r="B2126" s="3" t="str">
        <f>HYPERLINK("https://www.773grp.com/manufacturer/national-semiconductor?pageNo=115", "National Semiconductor")</f>
        <v>National Semiconductor</v>
      </c>
      <c r="C2126" s="6">
        <v>800</v>
      </c>
      <c r="D2126" s="7">
        <v>4.0599999999999996</v>
      </c>
      <c r="E2126" t="s">
        <v>19</v>
      </c>
    </row>
    <row r="2127" spans="1:5" x14ac:dyDescent="0.25">
      <c r="A2127" t="str">
        <f>HYPERLINK("https://www.773grp.com/globalSearch/LM2937ESX-15-NOPB/page-1", "LM2937ESX-15-NOPB")</f>
        <v>LM2937ESX-15-NOPB</v>
      </c>
      <c r="B2127" s="3" t="str">
        <f>HYPERLINK("https://www.773grp.com/manufacturer/national-semiconductor?pageNo=116", "National Semiconductor")</f>
        <v>National Semiconductor</v>
      </c>
      <c r="C2127" s="6">
        <v>500</v>
      </c>
      <c r="D2127" s="7">
        <v>4.0599999999999996</v>
      </c>
      <c r="E2127" t="s">
        <v>19</v>
      </c>
    </row>
    <row r="2128" spans="1:5" x14ac:dyDescent="0.25">
      <c r="A2128" t="str">
        <f>HYPERLINK("https://www.773grp.com/globalSearch/LM2937ESX-3.3-NOPB/page-1", "LM2937ESX-3.3-NOPB")</f>
        <v>LM2937ESX-3.3-NOPB</v>
      </c>
      <c r="B2128" s="3" t="str">
        <f>HYPERLINK("https://www.773grp.com/manufacturer/national-semiconductor?pageNo=117", "National Semiconductor")</f>
        <v>National Semiconductor</v>
      </c>
      <c r="C2128" s="6">
        <v>14910</v>
      </c>
      <c r="D2128" s="7">
        <v>4.0599999999999996</v>
      </c>
      <c r="E2128" t="s">
        <v>19</v>
      </c>
    </row>
    <row r="2129" spans="1:5" x14ac:dyDescent="0.25">
      <c r="A2129" t="str">
        <f>HYPERLINK("https://www.773grp.com/globalSearch/LM2937ESX-5.0-NOPB/page-1", "LM2937ESX-5.0-NOPB")</f>
        <v>LM2937ESX-5.0-NOPB</v>
      </c>
      <c r="B2129" s="3" t="str">
        <f>HYPERLINK("https://www.773grp.com/manufacturer/national-semiconductor?pageNo=118", "National Semiconductor")</f>
        <v>National Semiconductor</v>
      </c>
      <c r="C2129" s="6">
        <v>3000</v>
      </c>
      <c r="D2129" s="7">
        <v>4.0599999999999996</v>
      </c>
      <c r="E2129" t="s">
        <v>19</v>
      </c>
    </row>
    <row r="2130" spans="1:5" x14ac:dyDescent="0.25">
      <c r="A2130" t="str">
        <f>HYPERLINK("https://www.773grp.com/globalSearch/LM2937ESX-8.0/page-1", "LM2937ESX-8.0")</f>
        <v>LM2937ESX-8.0</v>
      </c>
      <c r="B2130" s="3" t="str">
        <f>HYPERLINK("https://www.773grp.com/manufacturer/national-semiconductor?pageNo=119", "National Semiconductor")</f>
        <v>National Semiconductor</v>
      </c>
      <c r="C2130" s="6">
        <v>10000</v>
      </c>
      <c r="D2130" s="7">
        <v>4.0599999999999996</v>
      </c>
      <c r="E2130" t="s">
        <v>19</v>
      </c>
    </row>
    <row r="2131" spans="1:5" x14ac:dyDescent="0.25">
      <c r="A2131" t="str">
        <f>HYPERLINK("https://www.773grp.com/globalSearch/LM2937ESX-8.0-NOPB/page-1", "LM2937ESX-8.0-NOPB")</f>
        <v>LM2937ESX-8.0-NOPB</v>
      </c>
      <c r="B2131" s="3" t="str">
        <f>HYPERLINK("https://www.773grp.com/manufacturer/national-semiconductor?pageNo=120", "National Semiconductor")</f>
        <v>National Semiconductor</v>
      </c>
      <c r="C2131" s="6">
        <v>1000</v>
      </c>
      <c r="D2131" s="7">
        <v>4.0599999999999996</v>
      </c>
      <c r="E2131" t="s">
        <v>19</v>
      </c>
    </row>
    <row r="2132" spans="1:5" x14ac:dyDescent="0.25">
      <c r="A2132" t="str">
        <f>HYPERLINK("https://www.773grp.com/globalSearch/LM2940S-9.0/page-1", "LM2940S-9.0")</f>
        <v>LM2940S-9.0</v>
      </c>
      <c r="B2132" s="3" t="str">
        <f>HYPERLINK("https://www.773grp.com/manufacturer/national-semiconductor?pageNo=121", "National Semiconductor")</f>
        <v>National Semiconductor</v>
      </c>
      <c r="C2132" s="6">
        <v>350</v>
      </c>
      <c r="D2132" s="7">
        <v>4.0599999999999996</v>
      </c>
      <c r="E2132" t="s">
        <v>19</v>
      </c>
    </row>
    <row r="2133" spans="1:5" x14ac:dyDescent="0.25">
      <c r="A2133" t="str">
        <f>HYPERLINK("https://www.773grp.com/globalSearch/LM2940SX-8.0-NOPB/page-1", "LM2940SX-8.0-NOPB")</f>
        <v>LM2940SX-8.0-NOPB</v>
      </c>
      <c r="B2133" s="3" t="str">
        <f>HYPERLINK("https://www.773grp.com/manufacturer/national-semiconductor?pageNo=122", "National Semiconductor")</f>
        <v>National Semiconductor</v>
      </c>
      <c r="C2133" s="6">
        <v>3000</v>
      </c>
      <c r="D2133" s="7">
        <v>4.0599999999999996</v>
      </c>
      <c r="E2133" t="s">
        <v>19</v>
      </c>
    </row>
    <row r="2134" spans="1:5" x14ac:dyDescent="0.25">
      <c r="A2134" t="str">
        <f>HYPERLINK("https://www.773grp.com/globalSearch/LM2940SX-9.0-NOPB/page-1", "LM2940SX-9.0-NOPB")</f>
        <v>LM2940SX-9.0-NOPB</v>
      </c>
      <c r="B2134" s="3" t="str">
        <f>HYPERLINK("https://www.773grp.com/manufacturer/national-semiconductor?pageNo=123", "National Semiconductor")</f>
        <v>National Semiconductor</v>
      </c>
      <c r="C2134" s="6">
        <v>1000</v>
      </c>
      <c r="D2134" s="7">
        <v>4.0599999999999996</v>
      </c>
      <c r="E2134" t="s">
        <v>19</v>
      </c>
    </row>
    <row r="2135" spans="1:5" x14ac:dyDescent="0.25">
      <c r="A2135" t="str">
        <f>HYPERLINK("https://www.773grp.com/globalSearch/LM2941LD/page-1", "LM2941LD")</f>
        <v>LM2941LD</v>
      </c>
      <c r="B2135" s="3" t="str">
        <f>HYPERLINK("https://www.773grp.com/manufacturer/national-semiconductor?pageNo=124", "National Semiconductor")</f>
        <v>National Semiconductor</v>
      </c>
      <c r="C2135" s="6">
        <v>11000</v>
      </c>
      <c r="D2135" s="7">
        <v>4.0599999999999996</v>
      </c>
      <c r="E2135" t="s">
        <v>25</v>
      </c>
    </row>
    <row r="2136" spans="1:5" x14ac:dyDescent="0.25">
      <c r="A2136" t="str">
        <f>HYPERLINK("https://www.773grp.com/globalSearch/LM337T/page-1", "LM337T")</f>
        <v>LM337T</v>
      </c>
      <c r="B2136" s="3" t="str">
        <f>HYPERLINK("https://www.773grp.com/manufacturer/national-semiconductor?pageNo=125", "National Semiconductor")</f>
        <v>National Semiconductor</v>
      </c>
      <c r="C2136" s="6">
        <v>1195</v>
      </c>
      <c r="D2136" s="7">
        <v>4.0599999999999996</v>
      </c>
      <c r="E2136" t="s">
        <v>37</v>
      </c>
    </row>
    <row r="2137" spans="1:5" x14ac:dyDescent="0.25">
      <c r="A2137" t="str">
        <f>HYPERLINK("https://www.773grp.com/globalSearch/LM3489MMX/page-1", "LM3489MMX")</f>
        <v>LM3489MMX</v>
      </c>
      <c r="B2137" s="3" t="str">
        <f>HYPERLINK("https://www.773grp.com/manufacturer/national-semiconductor?pageNo=126", "National Semiconductor")</f>
        <v>National Semiconductor</v>
      </c>
      <c r="C2137" s="6">
        <v>7000</v>
      </c>
      <c r="D2137" s="7">
        <v>4.0599999999999996</v>
      </c>
      <c r="E2137" t="s">
        <v>7</v>
      </c>
    </row>
    <row r="2138" spans="1:5" x14ac:dyDescent="0.25">
      <c r="A2138" t="str">
        <f>HYPERLINK("https://www.773grp.com/globalSearch/LM385BYZ-1.2/page-1", "LM385BYZ-1.2")</f>
        <v>LM385BYZ-1.2</v>
      </c>
      <c r="B2138" s="3" t="str">
        <f>HYPERLINK("https://www.773grp.com/manufacturer/national-semiconductor?pageNo=127", "National Semiconductor")</f>
        <v>National Semiconductor</v>
      </c>
      <c r="C2138" s="6">
        <v>1993</v>
      </c>
      <c r="D2138" s="7">
        <v>4.0599999999999996</v>
      </c>
      <c r="E2138" t="s">
        <v>17</v>
      </c>
    </row>
    <row r="2139" spans="1:5" x14ac:dyDescent="0.25">
      <c r="A2139" t="str">
        <f>HYPERLINK("https://www.773grp.com/globalSearch/LM385BYZ-2.5/page-1", "LM385BYZ-2.5")</f>
        <v>LM385BYZ-2.5</v>
      </c>
      <c r="B2139" s="3" t="str">
        <f>HYPERLINK("https://www.773grp.com/manufacturer/national-semiconductor?pageNo=128", "National Semiconductor")</f>
        <v>National Semiconductor</v>
      </c>
      <c r="C2139" s="6">
        <v>4564</v>
      </c>
      <c r="D2139" s="7">
        <v>4.0599999999999996</v>
      </c>
      <c r="E2139" t="s">
        <v>17</v>
      </c>
    </row>
    <row r="2140" spans="1:5" x14ac:dyDescent="0.25">
      <c r="A2140" t="str">
        <f>HYPERLINK("https://www.773grp.com/globalSearch/LM74CIM-3-NOPB/page-1", "LM74CIM-3-NOPB")</f>
        <v>LM74CIM-3-NOPB</v>
      </c>
      <c r="B2140" s="3" t="str">
        <f>HYPERLINK("https://www.773grp.com/manufacturer/national-semiconductor?pageNo=129", "National Semiconductor")</f>
        <v>National Semiconductor</v>
      </c>
      <c r="C2140" s="6">
        <v>2850</v>
      </c>
      <c r="D2140" s="7">
        <v>4.0599999999999996</v>
      </c>
      <c r="E2140" t="s">
        <v>12</v>
      </c>
    </row>
    <row r="2141" spans="1:5" x14ac:dyDescent="0.25">
      <c r="A2141" t="str">
        <f>HYPERLINK("https://www.773grp.com/globalSearch/LM78S40N-NOPB/page-1", "LM78S40N-NOPB")</f>
        <v>LM78S40N-NOPB</v>
      </c>
      <c r="B2141" s="3" t="str">
        <f>HYPERLINK("https://www.773grp.com/manufacturer/national-semiconductor?pageNo=130", "National Semiconductor")</f>
        <v>National Semiconductor</v>
      </c>
      <c r="C2141" s="6">
        <v>1170</v>
      </c>
      <c r="D2141" s="7">
        <v>4.0599999999999996</v>
      </c>
      <c r="E2141" t="s">
        <v>7</v>
      </c>
    </row>
    <row r="2142" spans="1:5" x14ac:dyDescent="0.25">
      <c r="A2142" t="str">
        <f>HYPERLINK("https://www.773grp.com/globalSearch/LMC6482AIN-NOPB/page-1", "LMC6482AIN-NOPB")</f>
        <v>LMC6482AIN-NOPB</v>
      </c>
      <c r="B2142" s="3" t="str">
        <f>HYPERLINK("https://www.773grp.com/manufacturer/national-semiconductor?pageNo=131", "National Semiconductor")</f>
        <v>National Semiconductor</v>
      </c>
      <c r="C2142" s="6">
        <v>1611</v>
      </c>
      <c r="D2142" s="7">
        <v>4.0599999999999996</v>
      </c>
      <c r="E2142" t="s">
        <v>13</v>
      </c>
    </row>
    <row r="2143" spans="1:5" x14ac:dyDescent="0.25">
      <c r="A2143" t="str">
        <f>HYPERLINK("https://www.773grp.com/globalSearch/LMC6482IMX/page-1", "LMC6482IMX")</f>
        <v>LMC6482IMX</v>
      </c>
      <c r="B2143" s="3" t="str">
        <f>HYPERLINK("https://www.773grp.com/manufacturer/national-semiconductor?pageNo=132", "National Semiconductor")</f>
        <v>National Semiconductor</v>
      </c>
      <c r="C2143" s="6">
        <v>72497</v>
      </c>
      <c r="D2143" s="7">
        <v>4.0599999999999996</v>
      </c>
      <c r="E2143" t="s">
        <v>13</v>
      </c>
    </row>
    <row r="2144" spans="1:5" x14ac:dyDescent="0.25">
      <c r="A2144" t="str">
        <f>HYPERLINK("https://www.773grp.com/globalSearch/LMC662AIN/page-1", "LMC662AIN")</f>
        <v>LMC662AIN</v>
      </c>
      <c r="B2144" s="3" t="str">
        <f>HYPERLINK("https://www.773grp.com/manufacturer/national-semiconductor?pageNo=133", "National Semiconductor")</f>
        <v>National Semiconductor</v>
      </c>
      <c r="C2144" s="6">
        <v>214</v>
      </c>
      <c r="D2144" s="7">
        <v>4.0599999999999996</v>
      </c>
      <c r="E2144" t="s">
        <v>13</v>
      </c>
    </row>
    <row r="2145" spans="1:5" x14ac:dyDescent="0.25">
      <c r="A2145" t="str">
        <f>HYPERLINK("https://www.773grp.com/globalSearch/LMV772MA-NOPB/page-1", "LMV772MA-NOPB")</f>
        <v>LMV772MA-NOPB</v>
      </c>
      <c r="B2145" s="3" t="str">
        <f>HYPERLINK("https://www.773grp.com/manufacturer/national-semiconductor?pageNo=134", "National Semiconductor")</f>
        <v>National Semiconductor</v>
      </c>
      <c r="C2145" s="6">
        <v>4445</v>
      </c>
      <c r="D2145" s="7">
        <v>4.0599999999999996</v>
      </c>
      <c r="E2145" t="s">
        <v>13</v>
      </c>
    </row>
    <row r="2146" spans="1:5" x14ac:dyDescent="0.25">
      <c r="A2146" t="str">
        <f>HYPERLINK("https://www.773grp.com/globalSearch/LP2988ILD-3.8/page-1", "LP2988ILD-3.8")</f>
        <v>LP2988ILD-3.8</v>
      </c>
      <c r="B2146" s="3" t="str">
        <f>HYPERLINK("https://www.773grp.com/manufacturer/national-semiconductor?pageNo=1", "National Semiconductor")</f>
        <v>National Semiconductor</v>
      </c>
      <c r="C2146" s="6">
        <v>1000</v>
      </c>
      <c r="D2146" s="7">
        <v>4.0599999999999996</v>
      </c>
    </row>
    <row r="2147" spans="1:5" x14ac:dyDescent="0.25">
      <c r="A2147" t="str">
        <f>HYPERLINK("https://www.773grp.com/globalSearch/LP38502TS-ADJ-NOPB/page-1", "LP38502TS-ADJ-NOPB")</f>
        <v>LP38502TS-ADJ-NOPB</v>
      </c>
      <c r="B2147" s="3" t="str">
        <f>HYPERLINK("https://www.773grp.com/manufacturer/national-semiconductor?pageNo=2", "National Semiconductor")</f>
        <v>National Semiconductor</v>
      </c>
      <c r="C2147" s="6">
        <v>330</v>
      </c>
      <c r="D2147" s="7">
        <v>4.0599999999999996</v>
      </c>
    </row>
    <row r="2148" spans="1:5" x14ac:dyDescent="0.25">
      <c r="A2148" t="str">
        <f>HYPERLINK("https://www.773grp.com/globalSearch/MM74HC193WM/page-1", "MM74HC193WM")</f>
        <v>MM74HC193WM</v>
      </c>
      <c r="B2148" s="3" t="str">
        <f>HYPERLINK("https://www.773grp.com/manufacturer/national-semiconductor?pageNo=3", "National Semiconductor")</f>
        <v>National Semiconductor</v>
      </c>
      <c r="C2148" s="6">
        <v>3</v>
      </c>
      <c r="D2148" s="7">
        <v>4.0599999999999996</v>
      </c>
    </row>
    <row r="2149" spans="1:5" x14ac:dyDescent="0.25">
      <c r="A2149" t="str">
        <f>HYPERLINK("https://www.773grp.com/globalSearch/DS14185WM-NOPB/page-1", "DS14185WM-NOPB")</f>
        <v>DS14185WM-NOPB</v>
      </c>
      <c r="B2149" s="3" t="str">
        <f>HYPERLINK("https://www.773grp.com/manufacturer/national-semiconductor?pageNo=4", "National Semiconductor")</f>
        <v>National Semiconductor</v>
      </c>
      <c r="C2149" s="6">
        <v>29855</v>
      </c>
      <c r="D2149" s="7">
        <v>4.0599999999999996</v>
      </c>
      <c r="E2149" t="s">
        <v>21</v>
      </c>
    </row>
    <row r="2150" spans="1:5" x14ac:dyDescent="0.25">
      <c r="A2150" t="str">
        <f>HYPERLINK("https://www.773grp.com/globalSearch/DS3691M-NOPB/page-1", "DS3691M-NOPB")</f>
        <v>DS3691M-NOPB</v>
      </c>
      <c r="B2150" s="3" t="str">
        <f>HYPERLINK("https://www.773grp.com/manufacturer/national-semiconductor?pageNo=5", "National Semiconductor")</f>
        <v>National Semiconductor</v>
      </c>
      <c r="C2150" s="6">
        <v>5741</v>
      </c>
      <c r="D2150" s="7">
        <v>4.0599999999999996</v>
      </c>
      <c r="E2150" t="s">
        <v>21</v>
      </c>
    </row>
    <row r="2151" spans="1:5" x14ac:dyDescent="0.25">
      <c r="A2151" t="str">
        <f>HYPERLINK("https://www.773grp.com/globalSearch/DS8921AM/page-1", "DS8921AM")</f>
        <v>DS8921AM</v>
      </c>
      <c r="B2151" s="3" t="str">
        <f>HYPERLINK("https://www.773grp.com/manufacturer/national-semiconductor?pageNo=6", "National Semiconductor")</f>
        <v>National Semiconductor</v>
      </c>
      <c r="C2151" s="6">
        <v>475</v>
      </c>
      <c r="D2151" s="7">
        <v>4.0599999999999996</v>
      </c>
      <c r="E2151" t="s">
        <v>21</v>
      </c>
    </row>
    <row r="2152" spans="1:5" x14ac:dyDescent="0.25">
      <c r="A2152" t="str">
        <f>HYPERLINK("https://www.773grp.com/globalSearch/DS89C21TM-NOPB/page-1", "DS89C21TM-NOPB")</f>
        <v>DS89C21TM-NOPB</v>
      </c>
      <c r="B2152" s="3" t="str">
        <f>HYPERLINK("https://www.773grp.com/manufacturer/national-semiconductor?pageNo=7", "National Semiconductor")</f>
        <v>National Semiconductor</v>
      </c>
      <c r="C2152" s="6">
        <v>423</v>
      </c>
      <c r="D2152" s="7">
        <v>4.0599999999999996</v>
      </c>
      <c r="E2152" t="s">
        <v>21</v>
      </c>
    </row>
    <row r="2153" spans="1:5" x14ac:dyDescent="0.25">
      <c r="A2153" t="str">
        <f>HYPERLINK("https://www.773grp.com/globalSearch/LF398M/page-1", "LF398M")</f>
        <v>LF398M</v>
      </c>
      <c r="B2153" s="3" t="str">
        <f>HYPERLINK("https://www.773grp.com/manufacturer/national-semiconductor?pageNo=8", "National Semiconductor")</f>
        <v>National Semiconductor</v>
      </c>
      <c r="C2153" s="6">
        <v>982</v>
      </c>
      <c r="D2153" s="7">
        <v>4.0599999999999996</v>
      </c>
      <c r="E2153" t="s">
        <v>6</v>
      </c>
    </row>
    <row r="2154" spans="1:5" x14ac:dyDescent="0.25">
      <c r="A2154" t="str">
        <f>HYPERLINK("https://www.773grp.com/globalSearch/LM285BYM/page-1", "LM285BYM")</f>
        <v>LM285BYM</v>
      </c>
      <c r="B2154" s="3" t="str">
        <f>HYPERLINK("https://www.773grp.com/manufacturer/national-semiconductor?pageNo=9", "National Semiconductor")</f>
        <v>National Semiconductor</v>
      </c>
      <c r="C2154" s="6">
        <v>1805</v>
      </c>
      <c r="D2154" s="7">
        <v>4.0599999999999996</v>
      </c>
      <c r="E2154" t="s">
        <v>17</v>
      </c>
    </row>
    <row r="2155" spans="1:5" x14ac:dyDescent="0.25">
      <c r="A2155" t="str">
        <f>HYPERLINK("https://www.773grp.com/globalSearch/LM2936Z-3.0-NOPB/page-1", "LM2936Z-3.0-NOPB")</f>
        <v>LM2936Z-3.0-NOPB</v>
      </c>
      <c r="B2155" s="3" t="str">
        <f>HYPERLINK("https://www.773grp.com/manufacturer/national-semiconductor?pageNo=10", "National Semiconductor")</f>
        <v>National Semiconductor</v>
      </c>
      <c r="C2155" s="6">
        <v>3160</v>
      </c>
      <c r="D2155" s="7">
        <v>4.0599999999999996</v>
      </c>
      <c r="E2155" t="s">
        <v>19</v>
      </c>
    </row>
    <row r="2156" spans="1:5" x14ac:dyDescent="0.25">
      <c r="A2156" t="str">
        <f>HYPERLINK("https://www.773grp.com/globalSearch/LM2936Z-5.0/page-1", "LM2936Z-5.0")</f>
        <v>LM2936Z-5.0</v>
      </c>
      <c r="B2156" s="3" t="str">
        <f>HYPERLINK("https://www.773grp.com/manufacturer/national-semiconductor?pageNo=11", "National Semiconductor")</f>
        <v>National Semiconductor</v>
      </c>
      <c r="C2156" s="6">
        <v>1780</v>
      </c>
      <c r="D2156" s="7">
        <v>4.0599999999999996</v>
      </c>
      <c r="E2156" t="s">
        <v>19</v>
      </c>
    </row>
    <row r="2157" spans="1:5" x14ac:dyDescent="0.25">
      <c r="A2157" t="str">
        <f>HYPERLINK("https://www.773grp.com/globalSearch/LM2936Z-5.0-NOPB/page-1", "LM2936Z-5.0-NOPB")</f>
        <v>LM2936Z-5.0-NOPB</v>
      </c>
      <c r="B2157" s="3" t="str">
        <f>HYPERLINK("https://www.773grp.com/manufacturer/national-semiconductor?pageNo=12", "National Semiconductor")</f>
        <v>National Semiconductor</v>
      </c>
      <c r="C2157" s="6">
        <v>7460</v>
      </c>
      <c r="D2157" s="7">
        <v>4.0599999999999996</v>
      </c>
      <c r="E2157" t="s">
        <v>19</v>
      </c>
    </row>
    <row r="2158" spans="1:5" x14ac:dyDescent="0.25">
      <c r="A2158" t="str">
        <f>HYPERLINK("https://www.773grp.com/globalSearch/LM2936Z-5.0-T1/page-1", "LM2936Z-5.0-T1")</f>
        <v>LM2936Z-5.0-T1</v>
      </c>
      <c r="B2158" s="3" t="str">
        <f>HYPERLINK("https://www.773grp.com/manufacturer/national-semiconductor?pageNo=13", "National Semiconductor")</f>
        <v>National Semiconductor</v>
      </c>
      <c r="C2158" s="6">
        <v>2000</v>
      </c>
      <c r="D2158" s="7">
        <v>4.0599999999999996</v>
      </c>
    </row>
    <row r="2159" spans="1:5" x14ac:dyDescent="0.25">
      <c r="A2159" t="str">
        <f>HYPERLINK("https://www.773grp.com/globalSearch/LM2936Z-5.0-T3/page-1", "LM2936Z-5.0-T3")</f>
        <v>LM2936Z-5.0-T3</v>
      </c>
      <c r="B2159" s="3" t="str">
        <f>HYPERLINK("https://www.773grp.com/manufacturer/national-semiconductor?pageNo=14", "National Semiconductor")</f>
        <v>National Semiconductor</v>
      </c>
      <c r="C2159" s="6">
        <v>6000</v>
      </c>
      <c r="D2159" s="7">
        <v>4.0599999999999996</v>
      </c>
    </row>
    <row r="2160" spans="1:5" x14ac:dyDescent="0.25">
      <c r="A2160" t="str">
        <f>HYPERLINK("https://www.773grp.com/globalSearch/LM2937ES-2.5-NOPB/page-1", "LM2937ES-2.5-NOPB")</f>
        <v>LM2937ES-2.5-NOPB</v>
      </c>
      <c r="B2160" s="3" t="str">
        <f>HYPERLINK("https://www.773grp.com/manufacturer/national-semiconductor?pageNo=15", "National Semiconductor")</f>
        <v>National Semiconductor</v>
      </c>
      <c r="C2160" s="6">
        <v>45</v>
      </c>
      <c r="D2160" s="7">
        <v>4.0599999999999996</v>
      </c>
      <c r="E2160" t="s">
        <v>19</v>
      </c>
    </row>
    <row r="2161" spans="1:5" x14ac:dyDescent="0.25">
      <c r="A2161" t="str">
        <f>HYPERLINK("https://www.773grp.com/globalSearch/LM2937ES-8.0-NOPB/page-1", "LM2937ES-8.0-NOPB")</f>
        <v>LM2937ES-8.0-NOPB</v>
      </c>
      <c r="B2161" s="3" t="str">
        <f>HYPERLINK("https://www.773grp.com/manufacturer/national-semiconductor?pageNo=16", "National Semiconductor")</f>
        <v>National Semiconductor</v>
      </c>
      <c r="C2161" s="6">
        <v>285</v>
      </c>
      <c r="D2161" s="7">
        <v>4.0599999999999996</v>
      </c>
      <c r="E2161" t="s">
        <v>19</v>
      </c>
    </row>
    <row r="2162" spans="1:5" x14ac:dyDescent="0.25">
      <c r="A2162" t="str">
        <f>HYPERLINK("https://www.773grp.com/globalSearch/LM2937ESX-12-NOPB/page-1", "LM2937ESX-12-NOPB")</f>
        <v>LM2937ESX-12-NOPB</v>
      </c>
      <c r="B2162" s="3" t="str">
        <f>HYPERLINK("https://www.773grp.com/manufacturer/national-semiconductor?pageNo=17", "National Semiconductor")</f>
        <v>National Semiconductor</v>
      </c>
      <c r="C2162" s="6">
        <v>215</v>
      </c>
      <c r="D2162" s="7">
        <v>4.0599999999999996</v>
      </c>
      <c r="E2162" t="s">
        <v>19</v>
      </c>
    </row>
    <row r="2163" spans="1:5" x14ac:dyDescent="0.25">
      <c r="A2163" t="str">
        <f>HYPERLINK("https://www.773grp.com/globalSearch/LM2937ESX-8.0-NOPB/page-1", "LM2937ESX-8.0-NOPB")</f>
        <v>LM2937ESX-8.0-NOPB</v>
      </c>
      <c r="B2163" s="3" t="str">
        <f>HYPERLINK("https://www.773grp.com/manufacturer/national-semiconductor?pageNo=18", "National Semiconductor")</f>
        <v>National Semiconductor</v>
      </c>
      <c r="C2163" s="6">
        <v>83</v>
      </c>
      <c r="D2163" s="7">
        <v>4.0599999999999996</v>
      </c>
      <c r="E2163" t="s">
        <v>19</v>
      </c>
    </row>
    <row r="2164" spans="1:5" x14ac:dyDescent="0.25">
      <c r="A2164" t="str">
        <f>HYPERLINK("https://www.773grp.com/globalSearch/LM2940SX-9.0-NOPB/page-1", "LM2940SX-9.0-NOPB")</f>
        <v>LM2940SX-9.0-NOPB</v>
      </c>
      <c r="B2164" s="3" t="str">
        <f>HYPERLINK("https://www.773grp.com/manufacturer/national-semiconductor?pageNo=19", "National Semiconductor")</f>
        <v>National Semiconductor</v>
      </c>
      <c r="C2164" s="6">
        <v>400</v>
      </c>
      <c r="D2164" s="7">
        <v>4.0599999999999996</v>
      </c>
      <c r="E2164" t="s">
        <v>19</v>
      </c>
    </row>
    <row r="2165" spans="1:5" x14ac:dyDescent="0.25">
      <c r="A2165" t="str">
        <f>HYPERLINK("https://www.773grp.com/globalSearch/LM74CIM-3-NOPB/page-1", "LM74CIM-3-NOPB")</f>
        <v>LM74CIM-3-NOPB</v>
      </c>
      <c r="B2165" s="3" t="str">
        <f>HYPERLINK("https://www.773grp.com/manufacturer/national-semiconductor?pageNo=20", "National Semiconductor")</f>
        <v>National Semiconductor</v>
      </c>
      <c r="C2165" s="6">
        <v>316</v>
      </c>
      <c r="D2165" s="7">
        <v>4.0599999999999996</v>
      </c>
      <c r="E2165" t="s">
        <v>12</v>
      </c>
    </row>
    <row r="2166" spans="1:5" x14ac:dyDescent="0.25">
      <c r="A2166" t="str">
        <f>HYPERLINK("https://www.773grp.com/globalSearch/LM74CIM-5-NOPB/page-1", "LM74CIM-5-NOPB")</f>
        <v>LM74CIM-5-NOPB</v>
      </c>
      <c r="B2166" s="3" t="str">
        <f>HYPERLINK("https://www.773grp.com/manufacturer/national-semiconductor?pageNo=21", "National Semiconductor")</f>
        <v>National Semiconductor</v>
      </c>
      <c r="C2166" s="6">
        <v>236</v>
      </c>
      <c r="D2166" s="7">
        <v>4.0599999999999996</v>
      </c>
      <c r="E2166" t="s">
        <v>12</v>
      </c>
    </row>
    <row r="2167" spans="1:5" x14ac:dyDescent="0.25">
      <c r="A2167" t="str">
        <f>HYPERLINK("https://www.773grp.com/globalSearch/LMC6482AIN-NOPB/page-1", "LMC6482AIN-NOPB")</f>
        <v>LMC6482AIN-NOPB</v>
      </c>
      <c r="B2167" s="3" t="str">
        <f>HYPERLINK("https://www.773grp.com/manufacturer/national-semiconductor?pageNo=22", "National Semiconductor")</f>
        <v>National Semiconductor</v>
      </c>
      <c r="C2167" s="6">
        <v>282</v>
      </c>
      <c r="D2167" s="7">
        <v>4.0599999999999996</v>
      </c>
      <c r="E2167" t="s">
        <v>13</v>
      </c>
    </row>
    <row r="2168" spans="1:5" x14ac:dyDescent="0.25">
      <c r="A2168" t="str">
        <f>HYPERLINK("https://www.773grp.com/globalSearch/LMC6482IMM/page-1", "LMC6482IMM")</f>
        <v>LMC6482IMM</v>
      </c>
      <c r="B2168" s="3" t="str">
        <f>HYPERLINK("https://www.773grp.com/manufacturer/national-semiconductor?pageNo=23", "National Semiconductor")</f>
        <v>National Semiconductor</v>
      </c>
      <c r="C2168" s="6">
        <v>115</v>
      </c>
      <c r="D2168" s="7">
        <v>4.0599999999999996</v>
      </c>
    </row>
    <row r="2169" spans="1:5" x14ac:dyDescent="0.25">
      <c r="A2169" t="str">
        <f>HYPERLINK("https://www.773grp.com/globalSearch/LMC6482IMX/page-1", "LMC6482IMX")</f>
        <v>LMC6482IMX</v>
      </c>
      <c r="B2169" s="3" t="str">
        <f>HYPERLINK("https://www.773grp.com/manufacturer/national-semiconductor?pageNo=24", "National Semiconductor")</f>
        <v>National Semiconductor</v>
      </c>
      <c r="C2169" s="6">
        <v>4331</v>
      </c>
      <c r="D2169" s="7">
        <v>4.0599999999999996</v>
      </c>
      <c r="E2169" t="s">
        <v>13</v>
      </c>
    </row>
    <row r="2170" spans="1:5" x14ac:dyDescent="0.25">
      <c r="A2170" t="str">
        <f>HYPERLINK("https://www.773grp.com/globalSearch/LMV772MA-NOPB/page-1", "LMV772MA-NOPB")</f>
        <v>LMV772MA-NOPB</v>
      </c>
      <c r="B2170" s="3" t="str">
        <f>HYPERLINK("https://www.773grp.com/manufacturer/national-semiconductor?pageNo=25", "National Semiconductor")</f>
        <v>National Semiconductor</v>
      </c>
      <c r="C2170" s="6">
        <v>144</v>
      </c>
      <c r="D2170" s="7">
        <v>4.0599999999999996</v>
      </c>
      <c r="E2170" t="s">
        <v>13</v>
      </c>
    </row>
    <row r="2171" spans="1:5" x14ac:dyDescent="0.25">
      <c r="A2171" t="str">
        <f>HYPERLINK("https://www.773grp.com/globalSearch/LP38500TS-ADJ-NOPB/page-1", "LP38500TS-ADJ-NOPB")</f>
        <v>LP38500TS-ADJ-NOPB</v>
      </c>
      <c r="B2171" s="3" t="str">
        <f>HYPERLINK("https://www.773grp.com/manufacturer/national-semiconductor?pageNo=26", "National Semiconductor")</f>
        <v>National Semiconductor</v>
      </c>
      <c r="C2171" s="6">
        <v>420</v>
      </c>
      <c r="D2171" s="7">
        <v>4.0599999999999996</v>
      </c>
    </row>
    <row r="2172" spans="1:5" x14ac:dyDescent="0.25">
      <c r="A2172" t="str">
        <f>HYPERLINK("https://www.773grp.com/globalSearch/LP38502TS-ADJ-NOPB/page-1", "LP38502TS-ADJ-NOPB")</f>
        <v>LP38502TS-ADJ-NOPB</v>
      </c>
      <c r="B2172" s="3" t="str">
        <f>HYPERLINK("https://www.773grp.com/manufacturer/national-semiconductor?pageNo=27", "National Semiconductor")</f>
        <v>National Semiconductor</v>
      </c>
      <c r="C2172" s="6">
        <v>593</v>
      </c>
      <c r="D2172" s="7">
        <v>4.0599999999999996</v>
      </c>
    </row>
    <row r="2173" spans="1:5" x14ac:dyDescent="0.25">
      <c r="A2173" t="str">
        <f>HYPERLINK("https://www.773grp.com/globalSearch/4066BDC/page-1", "4066BDC")</f>
        <v>4066BDC</v>
      </c>
      <c r="B2173" s="3" t="str">
        <f>HYPERLINK("https://www.773grp.com/manufacturer/national-semiconductor?pageNo=28", "National Semiconductor")</f>
        <v>National Semiconductor</v>
      </c>
      <c r="C2173" s="6">
        <v>3172</v>
      </c>
      <c r="D2173" s="7">
        <v>3.68</v>
      </c>
    </row>
    <row r="2174" spans="1:5" x14ac:dyDescent="0.25">
      <c r="A2174" t="str">
        <f>HYPERLINK("https://www.773grp.com/globalSearch/54155DM/page-1", "54155DM")</f>
        <v>54155DM</v>
      </c>
      <c r="B2174" s="3" t="str">
        <f>HYPERLINK("https://www.773grp.com/manufacturer/national-semiconductor?pageNo=29", "National Semiconductor")</f>
        <v>National Semiconductor</v>
      </c>
      <c r="C2174" s="6">
        <v>1104</v>
      </c>
      <c r="D2174" s="7">
        <v>3.68</v>
      </c>
    </row>
    <row r="2175" spans="1:5" x14ac:dyDescent="0.25">
      <c r="A2175" t="str">
        <f>HYPERLINK("https://www.773grp.com/globalSearch/54164DM/page-1", "54164DM")</f>
        <v>54164DM</v>
      </c>
      <c r="B2175" s="3" t="str">
        <f>HYPERLINK("https://www.773grp.com/manufacturer/national-semiconductor?pageNo=30", "National Semiconductor")</f>
        <v>National Semiconductor</v>
      </c>
      <c r="C2175" s="6">
        <v>180</v>
      </c>
      <c r="D2175" s="7">
        <v>3.68</v>
      </c>
      <c r="E2175" t="s">
        <v>32</v>
      </c>
    </row>
    <row r="2176" spans="1:5" x14ac:dyDescent="0.25">
      <c r="A2176" t="str">
        <f>HYPERLINK("https://www.773grp.com/globalSearch/54166DM/page-1", "54166DM")</f>
        <v>54166DM</v>
      </c>
      <c r="B2176" s="3" t="str">
        <f>HYPERLINK("https://www.773grp.com/manufacturer/national-semiconductor?pageNo=31", "National Semiconductor")</f>
        <v>National Semiconductor</v>
      </c>
      <c r="C2176" s="6">
        <v>286</v>
      </c>
      <c r="D2176" s="7">
        <v>3.68</v>
      </c>
    </row>
    <row r="2177" spans="1:5" x14ac:dyDescent="0.25">
      <c r="A2177" t="str">
        <f>HYPERLINK("https://www.773grp.com/globalSearch/74197DC/page-1", "74197DC")</f>
        <v>74197DC</v>
      </c>
      <c r="B2177" s="3" t="str">
        <f>HYPERLINK("https://www.773grp.com/manufacturer/national-semiconductor?pageNo=32", "National Semiconductor")</f>
        <v>National Semiconductor</v>
      </c>
      <c r="C2177" s="6">
        <v>2208</v>
      </c>
      <c r="D2177" s="7">
        <v>3.68</v>
      </c>
    </row>
    <row r="2178" spans="1:5" x14ac:dyDescent="0.25">
      <c r="A2178" t="str">
        <f>HYPERLINK("https://www.773grp.com/globalSearch/9386PC/page-1", "9386PC")</f>
        <v>9386PC</v>
      </c>
      <c r="B2178" s="3" t="str">
        <f>HYPERLINK("https://www.773grp.com/manufacturer/national-semiconductor?pageNo=33", "National Semiconductor")</f>
        <v>National Semiconductor</v>
      </c>
      <c r="C2178" s="6">
        <v>9807</v>
      </c>
      <c r="D2178" s="7">
        <v>3.68</v>
      </c>
    </row>
    <row r="2179" spans="1:5" x14ac:dyDescent="0.25">
      <c r="A2179" t="str">
        <f>HYPERLINK("https://www.773grp.com/globalSearch/DS90LV047ATM-NOPB/page-1", "DS90LV047ATM-NOPB")</f>
        <v>DS90LV047ATM-NOPB</v>
      </c>
      <c r="B2179" s="3" t="str">
        <f>HYPERLINK("https://www.773grp.com/manufacturer/national-semiconductor?pageNo=34", "National Semiconductor")</f>
        <v>National Semiconductor</v>
      </c>
      <c r="C2179" s="6">
        <v>4542</v>
      </c>
      <c r="D2179" s="7">
        <v>3.68</v>
      </c>
    </row>
    <row r="2180" spans="1:5" x14ac:dyDescent="0.25">
      <c r="A2180" t="str">
        <f>HYPERLINK("https://www.773grp.com/globalSearch/DS90LV047ATMTC-NOPB/page-1", "DS90LV047ATMTC-NOPB")</f>
        <v>DS90LV047ATMTC-NOPB</v>
      </c>
      <c r="B2180" s="3" t="str">
        <f>HYPERLINK("https://www.773grp.com/manufacturer/national-semiconductor?pageNo=35", "National Semiconductor")</f>
        <v>National Semiconductor</v>
      </c>
      <c r="C2180" s="6">
        <v>2186</v>
      </c>
      <c r="D2180" s="7">
        <v>3.68</v>
      </c>
      <c r="E2180" t="s">
        <v>21</v>
      </c>
    </row>
    <row r="2181" spans="1:5" x14ac:dyDescent="0.25">
      <c r="A2181" t="str">
        <f>HYPERLINK("https://www.773grp.com/globalSearch/DS90LV048ATM-NOPB/page-1", "DS90LV048ATM-NOPB")</f>
        <v>DS90LV048ATM-NOPB</v>
      </c>
      <c r="B2181" s="3" t="str">
        <f>HYPERLINK("https://www.773grp.com/manufacturer/national-semiconductor?pageNo=36", "National Semiconductor")</f>
        <v>National Semiconductor</v>
      </c>
      <c r="C2181" s="6">
        <v>3072</v>
      </c>
      <c r="D2181" s="7">
        <v>3.68</v>
      </c>
      <c r="E2181" t="s">
        <v>21</v>
      </c>
    </row>
    <row r="2182" spans="1:5" x14ac:dyDescent="0.25">
      <c r="A2182" t="str">
        <f>HYPERLINK("https://www.773grp.com/globalSearch/DS90LV048ATMTC-NOPB/page-1", "DS90LV048ATMTC-NOPB")</f>
        <v>DS90LV048ATMTC-NOPB</v>
      </c>
      <c r="B2182" s="3" t="str">
        <f>HYPERLINK("https://www.773grp.com/manufacturer/national-semiconductor?pageNo=37", "National Semiconductor")</f>
        <v>National Semiconductor</v>
      </c>
      <c r="C2182" s="6">
        <v>3566</v>
      </c>
      <c r="D2182" s="7">
        <v>3.68</v>
      </c>
      <c r="E2182" t="s">
        <v>21</v>
      </c>
    </row>
    <row r="2183" spans="1:5" x14ac:dyDescent="0.25">
      <c r="A2183" t="str">
        <f>HYPERLINK("https://www.773grp.com/globalSearch/LM22671MR-ADJ/page-1", "LM22671MR-ADJ")</f>
        <v>LM22671MR-ADJ</v>
      </c>
      <c r="B2183" s="3" t="str">
        <f>HYPERLINK("https://www.773grp.com/manufacturer/national-semiconductor?pageNo=38", "National Semiconductor")</f>
        <v>National Semiconductor</v>
      </c>
      <c r="C2183" s="6">
        <v>95</v>
      </c>
      <c r="D2183" s="7">
        <v>3.68</v>
      </c>
      <c r="E2183" t="s">
        <v>7</v>
      </c>
    </row>
    <row r="2184" spans="1:5" x14ac:dyDescent="0.25">
      <c r="A2184" t="str">
        <f>HYPERLINK("https://www.773grp.com/globalSearch/LM2671LD-12-NOPB/page-1", "LM2671LD-12-NOPB")</f>
        <v>LM2671LD-12-NOPB</v>
      </c>
      <c r="B2184" s="3" t="str">
        <f>HYPERLINK("https://www.773grp.com/manufacturer/national-semiconductor?pageNo=39", "National Semiconductor")</f>
        <v>National Semiconductor</v>
      </c>
      <c r="C2184" s="6">
        <v>1000</v>
      </c>
      <c r="D2184" s="7">
        <v>3.68</v>
      </c>
    </row>
    <row r="2185" spans="1:5" x14ac:dyDescent="0.25">
      <c r="A2185" t="str">
        <f>HYPERLINK("https://www.773grp.com/globalSearch/LM2671LD-3.3-NOPB/page-1", "LM2671LD-3.3-NOPB")</f>
        <v>LM2671LD-3.3-NOPB</v>
      </c>
      <c r="B2185" s="3" t="str">
        <f>HYPERLINK("https://www.773grp.com/manufacturer/national-semiconductor?pageNo=40", "National Semiconductor")</f>
        <v>National Semiconductor</v>
      </c>
      <c r="C2185" s="6">
        <v>487</v>
      </c>
      <c r="D2185" s="7">
        <v>3.68</v>
      </c>
    </row>
    <row r="2186" spans="1:5" x14ac:dyDescent="0.25">
      <c r="A2186" t="str">
        <f>HYPERLINK("https://www.773grp.com/globalSearch/LM2671LD-5.0-NOPB/page-1", "LM2671LD-5.0-NOPB")</f>
        <v>LM2671LD-5.0-NOPB</v>
      </c>
      <c r="B2186" s="3" t="str">
        <f>HYPERLINK("https://www.773grp.com/manufacturer/national-semiconductor?pageNo=41", "National Semiconductor")</f>
        <v>National Semiconductor</v>
      </c>
      <c r="C2186" s="6">
        <v>1990</v>
      </c>
      <c r="D2186" s="7">
        <v>3.68</v>
      </c>
    </row>
    <row r="2187" spans="1:5" x14ac:dyDescent="0.25">
      <c r="A2187" t="str">
        <f>HYPERLINK("https://www.773grp.com/globalSearch/LM2671M-3.3/page-1", "LM2671M-3.3")</f>
        <v>LM2671M-3.3</v>
      </c>
      <c r="B2187" s="3" t="str">
        <f>HYPERLINK("https://www.773grp.com/manufacturer/national-semiconductor?pageNo=42", "National Semiconductor")</f>
        <v>National Semiconductor</v>
      </c>
      <c r="C2187" s="6">
        <v>285</v>
      </c>
      <c r="D2187" s="7">
        <v>3.68</v>
      </c>
      <c r="E2187" t="s">
        <v>7</v>
      </c>
    </row>
    <row r="2188" spans="1:5" x14ac:dyDescent="0.25">
      <c r="A2188" t="str">
        <f>HYPERLINK("https://www.773grp.com/globalSearch/LM3311SQ-NOPB/page-1", "LM3311SQ-NOPB")</f>
        <v>LM3311SQ-NOPB</v>
      </c>
      <c r="B2188" s="3" t="str">
        <f>HYPERLINK("https://www.773grp.com/manufacturer/national-semiconductor?pageNo=43", "National Semiconductor")</f>
        <v>National Semiconductor</v>
      </c>
      <c r="C2188" s="6">
        <v>961</v>
      </c>
      <c r="D2188" s="7">
        <v>3.68</v>
      </c>
      <c r="E2188" t="s">
        <v>7</v>
      </c>
    </row>
    <row r="2189" spans="1:5" x14ac:dyDescent="0.25">
      <c r="A2189" t="str">
        <f>HYPERLINK("https://www.773grp.com/globalSearch/LM48822TL-NOPB/page-1", "LM48822TL-NOPB")</f>
        <v>LM48822TL-NOPB</v>
      </c>
      <c r="B2189" s="3" t="str">
        <f>HYPERLINK("https://www.773grp.com/manufacturer/national-semiconductor?pageNo=44", "National Semiconductor")</f>
        <v>National Semiconductor</v>
      </c>
      <c r="C2189" s="6">
        <v>473</v>
      </c>
      <c r="D2189" s="7">
        <v>3.68</v>
      </c>
    </row>
    <row r="2190" spans="1:5" x14ac:dyDescent="0.25">
      <c r="A2190" t="str">
        <f>HYPERLINK("https://www.773grp.com/globalSearch/LM5025BMTC-NOPB/page-1", "LM5025BMTC-NOPB")</f>
        <v>LM5025BMTC-NOPB</v>
      </c>
      <c r="B2190" s="3" t="str">
        <f>HYPERLINK("https://www.773grp.com/manufacturer/national-semiconductor?pageNo=45", "National Semiconductor")</f>
        <v>National Semiconductor</v>
      </c>
      <c r="C2190" s="6">
        <v>9</v>
      </c>
      <c r="D2190" s="7">
        <v>3.68</v>
      </c>
    </row>
    <row r="2191" spans="1:5" x14ac:dyDescent="0.25">
      <c r="A2191" t="str">
        <f>HYPERLINK("https://www.773grp.com/globalSearch/LMX2324SLBX/page-1", "LMX2324SLBX")</f>
        <v>LMX2324SLBX</v>
      </c>
      <c r="B2191" s="3" t="str">
        <f>HYPERLINK("https://www.773grp.com/manufacturer/national-semiconductor?pageNo=46", "National Semiconductor")</f>
        <v>National Semiconductor</v>
      </c>
      <c r="C2191" s="6">
        <v>7500</v>
      </c>
      <c r="D2191" s="7">
        <v>3.68</v>
      </c>
      <c r="E2191" t="s">
        <v>38</v>
      </c>
    </row>
    <row r="2192" spans="1:5" x14ac:dyDescent="0.25">
      <c r="A2192" t="str">
        <f>HYPERLINK("https://www.773grp.com/globalSearch/LMX2335LM/page-1", "LMX2335LM")</f>
        <v>LMX2335LM</v>
      </c>
      <c r="B2192" s="3" t="str">
        <f>HYPERLINK("https://www.773grp.com/manufacturer/national-semiconductor?pageNo=47", "National Semiconductor")</f>
        <v>National Semiconductor</v>
      </c>
      <c r="C2192" s="6">
        <v>72</v>
      </c>
      <c r="D2192" s="7">
        <v>3.68</v>
      </c>
      <c r="E2192" t="s">
        <v>38</v>
      </c>
    </row>
    <row r="2193" spans="1:5" x14ac:dyDescent="0.25">
      <c r="A2193" t="str">
        <f>HYPERLINK("https://www.773grp.com/globalSearch/DS90LV047ATM-NOPB/page-1", "DS90LV047ATM-NOPB")</f>
        <v>DS90LV047ATM-NOPB</v>
      </c>
      <c r="B2193" s="3" t="str">
        <f>HYPERLINK("https://www.773grp.com/manufacturer/national-semiconductor?pageNo=48", "National Semiconductor")</f>
        <v>National Semiconductor</v>
      </c>
      <c r="C2193" s="6">
        <v>21</v>
      </c>
      <c r="D2193" s="7">
        <v>3.68</v>
      </c>
    </row>
    <row r="2194" spans="1:5" x14ac:dyDescent="0.25">
      <c r="A2194" t="str">
        <f>HYPERLINK("https://www.773grp.com/globalSearch/DS90LV047ATMTC-NOPB/page-1", "DS90LV047ATMTC-NOPB")</f>
        <v>DS90LV047ATMTC-NOPB</v>
      </c>
      <c r="B2194" s="3" t="str">
        <f>HYPERLINK("https://www.773grp.com/manufacturer/national-semiconductor?pageNo=49", "National Semiconductor")</f>
        <v>National Semiconductor</v>
      </c>
      <c r="C2194" s="6">
        <v>134</v>
      </c>
      <c r="D2194" s="7">
        <v>3.68</v>
      </c>
      <c r="E2194" t="s">
        <v>21</v>
      </c>
    </row>
    <row r="2195" spans="1:5" x14ac:dyDescent="0.25">
      <c r="A2195" t="str">
        <f>HYPERLINK("https://www.773grp.com/globalSearch/DS90LV048ATM-NOPB/page-1", "DS90LV048ATM-NOPB")</f>
        <v>DS90LV048ATM-NOPB</v>
      </c>
      <c r="B2195" s="3" t="str">
        <f>HYPERLINK("https://www.773grp.com/manufacturer/national-semiconductor?pageNo=50", "National Semiconductor")</f>
        <v>National Semiconductor</v>
      </c>
      <c r="C2195" s="6">
        <v>261</v>
      </c>
      <c r="D2195" s="7">
        <v>3.68</v>
      </c>
      <c r="E2195" t="s">
        <v>21</v>
      </c>
    </row>
    <row r="2196" spans="1:5" x14ac:dyDescent="0.25">
      <c r="A2196" t="str">
        <f>HYPERLINK("https://www.773grp.com/globalSearch/DS90LV048ATMTC-NOPB/page-1", "DS90LV048ATMTC-NOPB")</f>
        <v>DS90LV048ATMTC-NOPB</v>
      </c>
      <c r="B2196" s="3" t="str">
        <f>HYPERLINK("https://www.773grp.com/manufacturer/national-semiconductor?pageNo=51", "National Semiconductor")</f>
        <v>National Semiconductor</v>
      </c>
      <c r="C2196" s="6">
        <v>800</v>
      </c>
      <c r="D2196" s="7">
        <v>3.68</v>
      </c>
      <c r="E2196" t="s">
        <v>21</v>
      </c>
    </row>
    <row r="2197" spans="1:5" x14ac:dyDescent="0.25">
      <c r="A2197" t="str">
        <f>HYPERLINK("https://www.773grp.com/globalSearch/LM2671M-3.3/page-1", "LM2671M-3.3")</f>
        <v>LM2671M-3.3</v>
      </c>
      <c r="B2197" s="3" t="str">
        <f>HYPERLINK("https://www.773grp.com/manufacturer/national-semiconductor?pageNo=52", "National Semiconductor")</f>
        <v>National Semiconductor</v>
      </c>
      <c r="C2197" s="6">
        <v>145</v>
      </c>
      <c r="D2197" s="7">
        <v>3.68</v>
      </c>
      <c r="E2197" t="s">
        <v>7</v>
      </c>
    </row>
    <row r="2198" spans="1:5" x14ac:dyDescent="0.25">
      <c r="A2198" t="str">
        <f>HYPERLINK("https://www.773grp.com/globalSearch/LM3423Q1MHX-NOPB/page-1", "LM3423Q1MHX-NOPB")</f>
        <v>LM3423Q1MHX-NOPB</v>
      </c>
      <c r="B2198" s="3" t="str">
        <f>HYPERLINK("https://www.773grp.com/manufacturer/national-semiconductor?pageNo=53", "National Semiconductor")</f>
        <v>National Semiconductor</v>
      </c>
      <c r="C2198" s="6">
        <v>851</v>
      </c>
      <c r="D2198" s="7">
        <v>3.68</v>
      </c>
    </row>
    <row r="2199" spans="1:5" x14ac:dyDescent="0.25">
      <c r="A2199" t="str">
        <f>HYPERLINK("https://www.773grp.com/globalSearch/LM5025BMTC-NOPB/page-1", "LM5025BMTC-NOPB")</f>
        <v>LM5025BMTC-NOPB</v>
      </c>
      <c r="B2199" s="3" t="str">
        <f>HYPERLINK("https://www.773grp.com/manufacturer/national-semiconductor?pageNo=54", "National Semiconductor")</f>
        <v>National Semiconductor</v>
      </c>
      <c r="C2199" s="6">
        <v>248</v>
      </c>
      <c r="D2199" s="7">
        <v>3.68</v>
      </c>
    </row>
    <row r="2200" spans="1:5" x14ac:dyDescent="0.25">
      <c r="A2200" t="str">
        <f>HYPERLINK("https://www.773grp.com/globalSearch/54LS164DMQB/page-1", "54LS164DMQB")</f>
        <v>54LS164DMQB</v>
      </c>
      <c r="B2200" s="3" t="str">
        <f>HYPERLINK("https://www.773grp.com/manufacturer/national-semiconductor?pageNo=55", "National Semiconductor")</f>
        <v>National Semiconductor</v>
      </c>
      <c r="C2200" s="6">
        <v>1364</v>
      </c>
      <c r="D2200" s="7">
        <v>3.71</v>
      </c>
      <c r="E2200" t="s">
        <v>32</v>
      </c>
    </row>
    <row r="2201" spans="1:5" x14ac:dyDescent="0.25">
      <c r="A2201" t="str">
        <f>HYPERLINK("https://www.773grp.com/globalSearch/ADCS7477AIMF/page-1", "ADCS7477AIMF")</f>
        <v>ADCS7477AIMF</v>
      </c>
      <c r="B2201" s="3" t="str">
        <f>HYPERLINK("https://www.773grp.com/manufacturer/national-semiconductor?pageNo=56", "National Semiconductor")</f>
        <v>National Semiconductor</v>
      </c>
      <c r="C2201" s="6">
        <v>7000</v>
      </c>
      <c r="D2201" s="7">
        <v>3.71</v>
      </c>
      <c r="E2201" t="s">
        <v>39</v>
      </c>
    </row>
    <row r="2202" spans="1:5" x14ac:dyDescent="0.25">
      <c r="A2202" t="str">
        <f>HYPERLINK("https://www.773grp.com/globalSearch/COP8SAA728N8/page-1", "COP8SAA728N8")</f>
        <v>COP8SAA728N8</v>
      </c>
      <c r="B2202" s="3" t="str">
        <f>HYPERLINK("https://www.773grp.com/manufacturer/national-semiconductor?pageNo=57", "National Semiconductor")</f>
        <v>National Semiconductor</v>
      </c>
      <c r="C2202" s="6">
        <v>1909</v>
      </c>
      <c r="D2202" s="7">
        <v>3.71</v>
      </c>
      <c r="E2202" t="s">
        <v>52</v>
      </c>
    </row>
    <row r="2203" spans="1:5" x14ac:dyDescent="0.25">
      <c r="A2203" t="str">
        <f>HYPERLINK("https://www.773grp.com/globalSearch/COP8SAA728N9/page-1", "COP8SAA728N9")</f>
        <v>COP8SAA728N9</v>
      </c>
      <c r="B2203" s="3" t="str">
        <f>HYPERLINK("https://www.773grp.com/manufacturer/national-semiconductor?pageNo=58", "National Semiconductor")</f>
        <v>National Semiconductor</v>
      </c>
      <c r="C2203" s="6">
        <v>1227</v>
      </c>
      <c r="D2203" s="7">
        <v>3.71</v>
      </c>
      <c r="E2203" t="s">
        <v>52</v>
      </c>
    </row>
    <row r="2204" spans="1:5" x14ac:dyDescent="0.25">
      <c r="A2204" t="str">
        <f>HYPERLINK("https://www.773grp.com/globalSearch/DS8838MX/page-1", "DS8838MX")</f>
        <v>DS8838MX</v>
      </c>
      <c r="B2204" s="3" t="str">
        <f>HYPERLINK("https://www.773grp.com/manufacturer/national-semiconductor?pageNo=59", "National Semiconductor")</f>
        <v>National Semiconductor</v>
      </c>
      <c r="C2204" s="6">
        <v>2000</v>
      </c>
      <c r="D2204" s="7">
        <v>3.71</v>
      </c>
      <c r="E2204" t="s">
        <v>21</v>
      </c>
    </row>
    <row r="2205" spans="1:5" x14ac:dyDescent="0.25">
      <c r="A2205" t="str">
        <f>HYPERLINK("https://www.773grp.com/globalSearch/LM10CWM-NOPB/page-1", "LM10CWM-NOPB")</f>
        <v>LM10CWM-NOPB</v>
      </c>
      <c r="B2205" s="3" t="str">
        <f>HYPERLINK("https://www.773grp.com/manufacturer/national-semiconductor?pageNo=60", "National Semiconductor")</f>
        <v>National Semiconductor</v>
      </c>
      <c r="C2205" s="6">
        <v>138</v>
      </c>
      <c r="D2205" s="7">
        <v>3.71</v>
      </c>
      <c r="E2205" t="s">
        <v>13</v>
      </c>
    </row>
    <row r="2206" spans="1:5" x14ac:dyDescent="0.25">
      <c r="A2206" t="str">
        <f>HYPERLINK("https://www.773grp.com/globalSearch/LM1290N/page-1", "LM1290N")</f>
        <v>LM1290N</v>
      </c>
      <c r="B2206" s="3" t="str">
        <f>HYPERLINK("https://www.773grp.com/manufacturer/national-semiconductor?pageNo=61", "National Semiconductor")</f>
        <v>National Semiconductor</v>
      </c>
      <c r="C2206" s="6">
        <v>35603</v>
      </c>
      <c r="D2206" s="7">
        <v>3.71</v>
      </c>
      <c r="E2206" t="s">
        <v>53</v>
      </c>
    </row>
    <row r="2207" spans="1:5" x14ac:dyDescent="0.25">
      <c r="A2207" t="str">
        <f>HYPERLINK("https://www.773grp.com/globalSearch/LM1296N/page-1", "LM1296N")</f>
        <v>LM1296N</v>
      </c>
      <c r="B2207" s="3" t="str">
        <f>HYPERLINK("https://www.773grp.com/manufacturer/national-semiconductor?pageNo=62", "National Semiconductor")</f>
        <v>National Semiconductor</v>
      </c>
      <c r="C2207" s="6">
        <v>10545</v>
      </c>
      <c r="D2207" s="7">
        <v>3.71</v>
      </c>
      <c r="E2207" t="s">
        <v>53</v>
      </c>
    </row>
    <row r="2208" spans="1:5" x14ac:dyDescent="0.25">
      <c r="A2208" t="str">
        <f>HYPERLINK("https://www.773grp.com/globalSearch/LM2608ATL-1.8/page-1", "LM2608ATL-1.8")</f>
        <v>LM2608ATL-1.8</v>
      </c>
      <c r="B2208" s="3" t="str">
        <f>HYPERLINK("https://www.773grp.com/manufacturer/national-semiconductor?pageNo=63", "National Semiconductor")</f>
        <v>National Semiconductor</v>
      </c>
      <c r="C2208" s="6">
        <v>3750</v>
      </c>
      <c r="D2208" s="7">
        <v>3.71</v>
      </c>
      <c r="E2208" t="s">
        <v>7</v>
      </c>
    </row>
    <row r="2209" spans="1:5" x14ac:dyDescent="0.25">
      <c r="A2209" t="str">
        <f>HYPERLINK("https://www.773grp.com/globalSearch/LM2743MTC/page-1", "LM2743MTC")</f>
        <v>LM2743MTC</v>
      </c>
      <c r="B2209" s="3" t="str">
        <f>HYPERLINK("https://www.773grp.com/manufacturer/national-semiconductor?pageNo=64", "National Semiconductor")</f>
        <v>National Semiconductor</v>
      </c>
      <c r="C2209" s="6">
        <v>19104</v>
      </c>
      <c r="D2209" s="7">
        <v>3.71</v>
      </c>
      <c r="E2209" t="s">
        <v>7</v>
      </c>
    </row>
    <row r="2210" spans="1:5" x14ac:dyDescent="0.25">
      <c r="A2210" t="str">
        <f>HYPERLINK("https://www.773grp.com/globalSearch/LM3431AMHX-NOPB/page-1", "LM3431AMHX-NOPB")</f>
        <v>LM3431AMHX-NOPB</v>
      </c>
      <c r="B2210" s="3" t="str">
        <f>HYPERLINK("https://www.773grp.com/manufacturer/national-semiconductor?pageNo=65", "National Semiconductor")</f>
        <v>National Semiconductor</v>
      </c>
      <c r="C2210" s="6">
        <v>1500</v>
      </c>
      <c r="D2210" s="7">
        <v>3.71</v>
      </c>
    </row>
    <row r="2211" spans="1:5" x14ac:dyDescent="0.25">
      <c r="A2211" t="str">
        <f>HYPERLINK("https://www.773grp.com/globalSearch/LM3916N-1/page-1", "LM3916N-1")</f>
        <v>LM3916N-1</v>
      </c>
      <c r="B2211" s="3" t="str">
        <f>HYPERLINK("https://www.773grp.com/manufacturer/national-semiconductor?pageNo=66", "National Semiconductor")</f>
        <v>National Semiconductor</v>
      </c>
      <c r="C2211" s="6">
        <v>447</v>
      </c>
      <c r="D2211" s="7">
        <v>3.71</v>
      </c>
      <c r="E2211" t="s">
        <v>10</v>
      </c>
    </row>
    <row r="2212" spans="1:5" x14ac:dyDescent="0.25">
      <c r="A2212" t="str">
        <f>HYPERLINK("https://www.773grp.com/globalSearch/LM5026MT-NOPB/page-1", "LM5026MT-NOPB")</f>
        <v>LM5026MT-NOPB</v>
      </c>
      <c r="B2212" s="3" t="str">
        <f>HYPERLINK("https://www.773grp.com/manufacturer/national-semiconductor?pageNo=67", "National Semiconductor")</f>
        <v>National Semiconductor</v>
      </c>
      <c r="C2212" s="6">
        <v>31108</v>
      </c>
      <c r="D2212" s="7">
        <v>3.71</v>
      </c>
    </row>
    <row r="2213" spans="1:5" x14ac:dyDescent="0.25">
      <c r="A2213" t="str">
        <f>HYPERLINK("https://www.773grp.com/globalSearch/LM5104M-NOPB/page-1", "LM5104M-NOPB")</f>
        <v>LM5104M-NOPB</v>
      </c>
      <c r="B2213" s="3" t="str">
        <f>HYPERLINK("https://www.773grp.com/manufacturer/national-semiconductor?pageNo=68", "National Semiconductor")</f>
        <v>National Semiconductor</v>
      </c>
      <c r="C2213" s="6">
        <v>685</v>
      </c>
      <c r="D2213" s="7">
        <v>3.71</v>
      </c>
      <c r="E2213" t="s">
        <v>11</v>
      </c>
    </row>
    <row r="2214" spans="1:5" x14ac:dyDescent="0.25">
      <c r="A2214" t="str">
        <f>HYPERLINK("https://www.773grp.com/globalSearch/LM56BIM/page-1", "LM56BIM")</f>
        <v>LM56BIM</v>
      </c>
      <c r="B2214" s="3" t="str">
        <f>HYPERLINK("https://www.773grp.com/manufacturer/national-semiconductor?pageNo=69", "National Semiconductor")</f>
        <v>National Semiconductor</v>
      </c>
      <c r="C2214" s="6">
        <v>942</v>
      </c>
      <c r="D2214" s="7">
        <v>3.71</v>
      </c>
      <c r="E2214" t="s">
        <v>12</v>
      </c>
    </row>
    <row r="2215" spans="1:5" x14ac:dyDescent="0.25">
      <c r="A2215" t="str">
        <f>HYPERLINK("https://www.773grp.com/globalSearch/LM6511IM-NOPB/page-1", "LM6511IM-NOPB")</f>
        <v>LM6511IM-NOPB</v>
      </c>
      <c r="B2215" s="3" t="str">
        <f>HYPERLINK("https://www.773grp.com/manufacturer/national-semiconductor?pageNo=70", "National Semiconductor")</f>
        <v>National Semiconductor</v>
      </c>
      <c r="C2215" s="6">
        <v>1112</v>
      </c>
      <c r="D2215" s="7">
        <v>3.71</v>
      </c>
      <c r="E2215" t="s">
        <v>9</v>
      </c>
    </row>
    <row r="2216" spans="1:5" x14ac:dyDescent="0.25">
      <c r="A2216" t="str">
        <f>HYPERLINK("https://www.773grp.com/globalSearch/LM7332MA-NOPB/page-1", "LM7332MA-NOPB")</f>
        <v>LM7332MA-NOPB</v>
      </c>
      <c r="B2216" s="3" t="str">
        <f>HYPERLINK("https://www.773grp.com/manufacturer/national-semiconductor?pageNo=71", "National Semiconductor")</f>
        <v>National Semiconductor</v>
      </c>
      <c r="C2216" s="6">
        <v>20</v>
      </c>
      <c r="D2216" s="7">
        <v>3.71</v>
      </c>
      <c r="E2216" t="s">
        <v>13</v>
      </c>
    </row>
    <row r="2217" spans="1:5" x14ac:dyDescent="0.25">
      <c r="A2217" t="str">
        <f>HYPERLINK("https://www.773grp.com/globalSearch/LMC6574BIN/page-1", "LMC6574BIN")</f>
        <v>LMC6574BIN</v>
      </c>
      <c r="B2217" s="3" t="str">
        <f>HYPERLINK("https://www.773grp.com/manufacturer/national-semiconductor?pageNo=72", "National Semiconductor")</f>
        <v>National Semiconductor</v>
      </c>
      <c r="C2217" s="6">
        <v>2974</v>
      </c>
      <c r="D2217" s="7">
        <v>3.71</v>
      </c>
      <c r="E2217" t="s">
        <v>13</v>
      </c>
    </row>
    <row r="2218" spans="1:5" x14ac:dyDescent="0.25">
      <c r="A2218" t="str">
        <f>HYPERLINK("https://www.773grp.com/globalSearch/LMP2232BMA-NOPB/page-1", "LMP2232BMA-NOPB")</f>
        <v>LMP2232BMA-NOPB</v>
      </c>
      <c r="B2218" s="3" t="str">
        <f>HYPERLINK("https://www.773grp.com/manufacturer/national-semiconductor?pageNo=73", "National Semiconductor")</f>
        <v>National Semiconductor</v>
      </c>
      <c r="C2218" s="6">
        <v>2705</v>
      </c>
      <c r="D2218" s="7">
        <v>3.71</v>
      </c>
    </row>
    <row r="2219" spans="1:5" x14ac:dyDescent="0.25">
      <c r="A2219" t="str">
        <f>HYPERLINK("https://www.773grp.com/globalSearch/LMP8272MA-NOPB/page-1", "LMP8272MA-NOPB")</f>
        <v>LMP8272MA-NOPB</v>
      </c>
      <c r="B2219" s="3" t="str">
        <f>HYPERLINK("https://www.773grp.com/manufacturer/national-semiconductor?pageNo=74", "National Semiconductor")</f>
        <v>National Semiconductor</v>
      </c>
      <c r="C2219" s="6">
        <v>15960</v>
      </c>
      <c r="D2219" s="7">
        <v>3.71</v>
      </c>
    </row>
    <row r="2220" spans="1:5" x14ac:dyDescent="0.25">
      <c r="A2220" t="str">
        <f>HYPERLINK("https://www.773grp.com/globalSearch/LMS1587CS-1.5/page-1", "LMS1587CS-1.5")</f>
        <v>LMS1587CS-1.5</v>
      </c>
      <c r="B2220" s="3" t="str">
        <f>HYPERLINK("https://www.773grp.com/manufacturer/national-semiconductor?pageNo=75", "National Semiconductor")</f>
        <v>National Semiconductor</v>
      </c>
      <c r="C2220" s="6">
        <v>1642</v>
      </c>
      <c r="D2220" s="7">
        <v>3.71</v>
      </c>
      <c r="E2220" t="s">
        <v>19</v>
      </c>
    </row>
    <row r="2221" spans="1:5" x14ac:dyDescent="0.25">
      <c r="A2221" t="str">
        <f>HYPERLINK("https://www.773grp.com/globalSearch/LMS1587CS-3.3/page-1", "LMS1587CS-3.3")</f>
        <v>LMS1587CS-3.3</v>
      </c>
      <c r="B2221" s="3" t="str">
        <f>HYPERLINK("https://www.773grp.com/manufacturer/national-semiconductor?pageNo=76", "National Semiconductor")</f>
        <v>National Semiconductor</v>
      </c>
      <c r="C2221" s="6">
        <v>385</v>
      </c>
      <c r="D2221" s="7">
        <v>3.71</v>
      </c>
      <c r="E2221" t="s">
        <v>19</v>
      </c>
    </row>
    <row r="2222" spans="1:5" x14ac:dyDescent="0.25">
      <c r="A2222" t="str">
        <f>HYPERLINK("https://www.773grp.com/globalSearch/LMS1587CS-ADJ/page-1", "LMS1587CS-ADJ")</f>
        <v>LMS1587CS-ADJ</v>
      </c>
      <c r="B2222" s="3" t="str">
        <f>HYPERLINK("https://www.773grp.com/manufacturer/national-semiconductor?pageNo=77", "National Semiconductor")</f>
        <v>National Semiconductor</v>
      </c>
      <c r="C2222" s="6">
        <v>2008</v>
      </c>
      <c r="D2222" s="7">
        <v>3.71</v>
      </c>
      <c r="E2222" t="s">
        <v>25</v>
      </c>
    </row>
    <row r="2223" spans="1:5" x14ac:dyDescent="0.25">
      <c r="A2223" t="str">
        <f>HYPERLINK("https://www.773grp.com/globalSearch/LMS1587IS-1.5/page-1", "LMS1587IS-1.5")</f>
        <v>LMS1587IS-1.5</v>
      </c>
      <c r="B2223" s="3" t="str">
        <f>HYPERLINK("https://www.773grp.com/manufacturer/national-semiconductor?pageNo=78", "National Semiconductor")</f>
        <v>National Semiconductor</v>
      </c>
      <c r="C2223" s="6">
        <v>96</v>
      </c>
      <c r="D2223" s="7">
        <v>3.71</v>
      </c>
      <c r="E2223" t="s">
        <v>19</v>
      </c>
    </row>
    <row r="2224" spans="1:5" x14ac:dyDescent="0.25">
      <c r="A2224" t="str">
        <f>HYPERLINK("https://www.773grp.com/globalSearch/LMS1587IS-3.3/page-1", "LMS1587IS-3.3")</f>
        <v>LMS1587IS-3.3</v>
      </c>
      <c r="B2224" s="3" t="str">
        <f>HYPERLINK("https://www.773grp.com/manufacturer/national-semiconductor?pageNo=79", "National Semiconductor")</f>
        <v>National Semiconductor</v>
      </c>
      <c r="C2224" s="6">
        <v>166</v>
      </c>
      <c r="D2224" s="7">
        <v>3.71</v>
      </c>
      <c r="E2224" t="s">
        <v>19</v>
      </c>
    </row>
    <row r="2225" spans="1:5" x14ac:dyDescent="0.25">
      <c r="A2225" t="str">
        <f>HYPERLINK("https://www.773grp.com/globalSearch/LMS1587IS-ADJ/page-1", "LMS1587IS-ADJ")</f>
        <v>LMS1587IS-ADJ</v>
      </c>
      <c r="B2225" s="3" t="str">
        <f>HYPERLINK("https://www.773grp.com/manufacturer/national-semiconductor?pageNo=80", "National Semiconductor")</f>
        <v>National Semiconductor</v>
      </c>
      <c r="C2225" s="6">
        <v>128</v>
      </c>
      <c r="D2225" s="7">
        <v>3.71</v>
      </c>
      <c r="E2225" t="s">
        <v>25</v>
      </c>
    </row>
    <row r="2226" spans="1:5" x14ac:dyDescent="0.25">
      <c r="A2226" t="str">
        <f>HYPERLINK("https://www.773grp.com/globalSearch/LMX2332USLBX/page-1", "LMX2332USLBX")</f>
        <v>LMX2332USLBX</v>
      </c>
      <c r="B2226" s="3" t="str">
        <f>HYPERLINK("https://www.773grp.com/manufacturer/national-semiconductor?pageNo=81", "National Semiconductor")</f>
        <v>National Semiconductor</v>
      </c>
      <c r="C2226" s="6">
        <v>37500</v>
      </c>
      <c r="D2226" s="7">
        <v>3.71</v>
      </c>
      <c r="E2226" t="s">
        <v>38</v>
      </c>
    </row>
    <row r="2227" spans="1:5" x14ac:dyDescent="0.25">
      <c r="A2227" t="str">
        <f>HYPERLINK("https://www.773grp.com/globalSearch/LP2952IM/page-1", "LP2952IM")</f>
        <v>LP2952IM</v>
      </c>
      <c r="B2227" s="3" t="str">
        <f>HYPERLINK("https://www.773grp.com/manufacturer/national-semiconductor?pageNo=82", "National Semiconductor")</f>
        <v>National Semiconductor</v>
      </c>
      <c r="C2227" s="6">
        <v>1091</v>
      </c>
      <c r="D2227" s="7">
        <v>3.71</v>
      </c>
      <c r="E2227" t="s">
        <v>27</v>
      </c>
    </row>
    <row r="2228" spans="1:5" x14ac:dyDescent="0.25">
      <c r="A2228" t="str">
        <f>HYPERLINK("https://www.773grp.com/globalSearch/LM10CWM-NOPB/page-1", "LM10CWM-NOPB")</f>
        <v>LM10CWM-NOPB</v>
      </c>
      <c r="B2228" s="3" t="str">
        <f>HYPERLINK("https://www.773grp.com/manufacturer/national-semiconductor?pageNo=83", "National Semiconductor")</f>
        <v>National Semiconductor</v>
      </c>
      <c r="C2228" s="6">
        <v>452</v>
      </c>
      <c r="D2228" s="7">
        <v>3.71</v>
      </c>
      <c r="E2228" t="s">
        <v>13</v>
      </c>
    </row>
    <row r="2229" spans="1:5" x14ac:dyDescent="0.25">
      <c r="A2229" t="str">
        <f>HYPERLINK("https://www.773grp.com/globalSearch/LM1894MX-NOPB/page-1", "LM1894MX-NOPB")</f>
        <v>LM1894MX-NOPB</v>
      </c>
      <c r="B2229" s="3" t="str">
        <f>HYPERLINK("https://www.773grp.com/manufacturer/national-semiconductor?pageNo=84", "National Semiconductor")</f>
        <v>National Semiconductor</v>
      </c>
      <c r="C2229" s="6">
        <v>1120</v>
      </c>
      <c r="D2229" s="7">
        <v>3.71</v>
      </c>
    </row>
    <row r="2230" spans="1:5" x14ac:dyDescent="0.25">
      <c r="A2230" t="str">
        <f>HYPERLINK("https://www.773grp.com/globalSearch/LM25115AMT-NOPB/page-1", "LM25115AMT-NOPB")</f>
        <v>LM25115AMT-NOPB</v>
      </c>
      <c r="B2230" s="3" t="str">
        <f>HYPERLINK("https://www.773grp.com/manufacturer/national-semiconductor?pageNo=85", "National Semiconductor")</f>
        <v>National Semiconductor</v>
      </c>
      <c r="C2230" s="6">
        <v>184</v>
      </c>
      <c r="D2230" s="7">
        <v>3.71</v>
      </c>
    </row>
    <row r="2231" spans="1:5" x14ac:dyDescent="0.25">
      <c r="A2231" t="str">
        <f>HYPERLINK("https://www.773grp.com/globalSearch/LM27402MH-NOPB/page-1", "LM27402MH-NOPB")</f>
        <v>LM27402MH-NOPB</v>
      </c>
      <c r="B2231" s="3" t="str">
        <f>HYPERLINK("https://www.773grp.com/manufacturer/national-semiconductor?pageNo=86", "National Semiconductor")</f>
        <v>National Semiconductor</v>
      </c>
      <c r="C2231" s="6">
        <v>300</v>
      </c>
      <c r="D2231" s="7">
        <v>3.71</v>
      </c>
    </row>
    <row r="2232" spans="1:5" x14ac:dyDescent="0.25">
      <c r="A2232" t="str">
        <f>HYPERLINK("https://www.773grp.com/globalSearch/LM2743MTC/page-1", "LM2743MTC")</f>
        <v>LM2743MTC</v>
      </c>
      <c r="B2232" s="3" t="str">
        <f>HYPERLINK("https://www.773grp.com/manufacturer/national-semiconductor?pageNo=87", "National Semiconductor")</f>
        <v>National Semiconductor</v>
      </c>
      <c r="C2232" s="6">
        <v>5703</v>
      </c>
      <c r="D2232" s="7">
        <v>3.71</v>
      </c>
      <c r="E2232" t="s">
        <v>7</v>
      </c>
    </row>
    <row r="2233" spans="1:5" x14ac:dyDescent="0.25">
      <c r="A2233" t="str">
        <f>HYPERLINK("https://www.773grp.com/globalSearch/LM5025CMTCE-NOPB/page-1", "LM5025CMTCE-NOPB")</f>
        <v>LM5025CMTCE-NOPB</v>
      </c>
      <c r="B2233" s="3" t="str">
        <f>HYPERLINK("https://www.773grp.com/manufacturer/national-semiconductor?pageNo=88", "National Semiconductor")</f>
        <v>National Semiconductor</v>
      </c>
      <c r="C2233" s="6">
        <v>258</v>
      </c>
      <c r="D2233" s="7">
        <v>3.71</v>
      </c>
    </row>
    <row r="2234" spans="1:5" x14ac:dyDescent="0.25">
      <c r="A2234" t="str">
        <f>HYPERLINK("https://www.773grp.com/globalSearch/LM5026MT-NOPB/page-1", "LM5026MT-NOPB")</f>
        <v>LM5026MT-NOPB</v>
      </c>
      <c r="B2234" s="3" t="str">
        <f>HYPERLINK("https://www.773grp.com/manufacturer/national-semiconductor?pageNo=89", "National Semiconductor")</f>
        <v>National Semiconductor</v>
      </c>
      <c r="C2234" s="6">
        <v>613</v>
      </c>
      <c r="D2234" s="7">
        <v>3.71</v>
      </c>
    </row>
    <row r="2235" spans="1:5" x14ac:dyDescent="0.25">
      <c r="A2235" t="str">
        <f>HYPERLINK("https://www.773grp.com/globalSearch/LM5104M-NOPB/page-1", "LM5104M-NOPB")</f>
        <v>LM5104M-NOPB</v>
      </c>
      <c r="B2235" s="3" t="str">
        <f>HYPERLINK("https://www.773grp.com/manufacturer/national-semiconductor?pageNo=90", "National Semiconductor")</f>
        <v>National Semiconductor</v>
      </c>
      <c r="C2235" s="6">
        <v>630</v>
      </c>
      <c r="D2235" s="7">
        <v>3.71</v>
      </c>
      <c r="E2235" t="s">
        <v>11</v>
      </c>
    </row>
    <row r="2236" spans="1:5" x14ac:dyDescent="0.25">
      <c r="A2236" t="str">
        <f>HYPERLINK("https://www.773grp.com/globalSearch/LM6511IM-NOPB/page-1", "LM6511IM-NOPB")</f>
        <v>LM6511IM-NOPB</v>
      </c>
      <c r="B2236" s="3" t="str">
        <f>HYPERLINK("https://www.773grp.com/manufacturer/national-semiconductor?pageNo=91", "National Semiconductor")</f>
        <v>National Semiconductor</v>
      </c>
      <c r="C2236" s="6">
        <v>1332</v>
      </c>
      <c r="D2236" s="7">
        <v>3.71</v>
      </c>
      <c r="E2236" t="s">
        <v>9</v>
      </c>
    </row>
    <row r="2237" spans="1:5" x14ac:dyDescent="0.25">
      <c r="A2237" t="str">
        <f>HYPERLINK("https://www.773grp.com/globalSearch/LM6511IM-NOPB/page-1", "LM6511IM-NOPB")</f>
        <v>LM6511IM-NOPB</v>
      </c>
      <c r="B2237" s="3" t="str">
        <f>HYPERLINK("https://www.773grp.com/manufacturer/national-semiconductor?pageNo=92", "National Semiconductor")</f>
        <v>National Semiconductor</v>
      </c>
      <c r="C2237" s="6">
        <v>2375</v>
      </c>
      <c r="D2237" s="7">
        <v>3.71</v>
      </c>
      <c r="E2237" t="s">
        <v>9</v>
      </c>
    </row>
    <row r="2238" spans="1:5" x14ac:dyDescent="0.25">
      <c r="A2238" t="str">
        <f>HYPERLINK("https://www.773grp.com/globalSearch/LM7332MA-NOPB/page-1", "LM7332MA-NOPB")</f>
        <v>LM7332MA-NOPB</v>
      </c>
      <c r="B2238" s="3" t="str">
        <f>HYPERLINK("https://www.773grp.com/manufacturer/national-semiconductor?pageNo=93", "National Semiconductor")</f>
        <v>National Semiconductor</v>
      </c>
      <c r="C2238" s="6">
        <v>240</v>
      </c>
      <c r="D2238" s="7">
        <v>3.71</v>
      </c>
      <c r="E2238" t="s">
        <v>13</v>
      </c>
    </row>
    <row r="2239" spans="1:5" x14ac:dyDescent="0.25">
      <c r="A2239" t="str">
        <f>HYPERLINK("https://www.773grp.com/globalSearch/LME49720MA-NOPB/page-1", "LME49720MA-NOPB")</f>
        <v>LME49720MA-NOPB</v>
      </c>
      <c r="B2239" s="3" t="str">
        <f>HYPERLINK("https://www.773grp.com/manufacturer/national-semiconductor?pageNo=94", "National Semiconductor")</f>
        <v>National Semiconductor</v>
      </c>
      <c r="C2239" s="6">
        <v>219</v>
      </c>
      <c r="D2239" s="7">
        <v>3.71</v>
      </c>
    </row>
    <row r="2240" spans="1:5" x14ac:dyDescent="0.25">
      <c r="A2240" t="str">
        <f>HYPERLINK("https://www.773grp.com/globalSearch/LME49860NA-NOPB/page-1", "LME49860NA-NOPB")</f>
        <v>LME49860NA-NOPB</v>
      </c>
      <c r="B2240" s="3" t="str">
        <f>HYPERLINK("https://www.773grp.com/manufacturer/national-semiconductor?pageNo=95", "National Semiconductor")</f>
        <v>National Semiconductor</v>
      </c>
      <c r="C2240" s="6">
        <v>113</v>
      </c>
      <c r="D2240" s="7">
        <v>3.71</v>
      </c>
    </row>
    <row r="2241" spans="1:5" x14ac:dyDescent="0.25">
      <c r="A2241" t="str">
        <f>HYPERLINK("https://www.773grp.com/globalSearch/LME49860NA-NOPB/page-1", "LME49860NA-NOPB")</f>
        <v>LME49860NA-NOPB</v>
      </c>
      <c r="B2241" s="3" t="str">
        <f>HYPERLINK("https://www.773grp.com/manufacturer/national-semiconductor?pageNo=96", "National Semiconductor")</f>
        <v>National Semiconductor</v>
      </c>
      <c r="C2241" s="6">
        <v>198</v>
      </c>
      <c r="D2241" s="7">
        <v>3.71</v>
      </c>
    </row>
    <row r="2242" spans="1:5" x14ac:dyDescent="0.25">
      <c r="A2242" t="str">
        <f>HYPERLINK("https://www.773grp.com/globalSearch/LMP2232BMA-NOPB/page-1", "LMP2232BMA-NOPB")</f>
        <v>LMP2232BMA-NOPB</v>
      </c>
      <c r="B2242" s="3" t="str">
        <f>HYPERLINK("https://www.773grp.com/manufacturer/national-semiconductor?pageNo=97", "National Semiconductor")</f>
        <v>National Semiconductor</v>
      </c>
      <c r="C2242" s="6">
        <v>2520</v>
      </c>
      <c r="D2242" s="7">
        <v>3.71</v>
      </c>
    </row>
    <row r="2243" spans="1:5" x14ac:dyDescent="0.25">
      <c r="A2243" t="str">
        <f>HYPERLINK("https://www.773grp.com/globalSearch/LMS1587CS-3.3/page-1", "LMS1587CS-3.3")</f>
        <v>LMS1587CS-3.3</v>
      </c>
      <c r="B2243" s="3" t="str">
        <f>HYPERLINK("https://www.773grp.com/manufacturer/national-semiconductor?pageNo=98", "National Semiconductor")</f>
        <v>National Semiconductor</v>
      </c>
      <c r="C2243" s="6">
        <v>283</v>
      </c>
      <c r="D2243" s="7">
        <v>3.71</v>
      </c>
      <c r="E2243" t="s">
        <v>19</v>
      </c>
    </row>
    <row r="2244" spans="1:5" x14ac:dyDescent="0.25">
      <c r="A2244" t="str">
        <f>HYPERLINK("https://www.773grp.com/globalSearch/OPA277UA/page-1", "OPA277UA")</f>
        <v>OPA277UA</v>
      </c>
      <c r="B2244" s="3" t="str">
        <f>HYPERLINK("https://www.773grp.com/manufacturer/national-semiconductor?pageNo=99", "National Semiconductor")</f>
        <v>National Semiconductor</v>
      </c>
      <c r="C2244" s="6">
        <v>150</v>
      </c>
      <c r="D2244" s="7">
        <v>3.71</v>
      </c>
    </row>
    <row r="2245" spans="1:5" x14ac:dyDescent="0.25">
      <c r="A2245" t="str">
        <f>HYPERLINK("https://www.773grp.com/globalSearch/MIC4427BM/page-1", "MIC4427BM")</f>
        <v>MIC4427BM</v>
      </c>
      <c r="B2245" s="3" t="str">
        <f>HYPERLINK("https://www.773grp.com/manufacturer/national-semiconductor?pageNo=100", "National Semiconductor")</f>
        <v>National Semiconductor</v>
      </c>
      <c r="C2245" s="6">
        <v>62</v>
      </c>
      <c r="D2245" s="7">
        <v>4.1100000000000003</v>
      </c>
      <c r="E2245" t="s">
        <v>16</v>
      </c>
    </row>
    <row r="2246" spans="1:5" x14ac:dyDescent="0.25">
      <c r="A2246" t="str">
        <f>HYPERLINK("https://www.773grp.com/globalSearch/74S109PC/page-1", "74S109PC")</f>
        <v>74S109PC</v>
      </c>
      <c r="B2246" s="3" t="str">
        <f>HYPERLINK("https://www.773grp.com/manufacturer/national-semiconductor?pageNo=101", "National Semiconductor")</f>
        <v>National Semiconductor</v>
      </c>
      <c r="C2246" s="6">
        <v>6702</v>
      </c>
      <c r="D2246" s="7">
        <v>4.1100000000000003</v>
      </c>
    </row>
    <row r="2247" spans="1:5" x14ac:dyDescent="0.25">
      <c r="A2247" t="str">
        <f>HYPERLINK("https://www.773grp.com/globalSearch/DM74S11J/page-1", "DM74S11J")</f>
        <v>DM74S11J</v>
      </c>
      <c r="B2247" s="3" t="str">
        <f>HYPERLINK("https://www.773grp.com/manufacturer/national-semiconductor?pageNo=102", "National Semiconductor")</f>
        <v>National Semiconductor</v>
      </c>
      <c r="C2247" s="6">
        <v>8844</v>
      </c>
      <c r="D2247" s="7">
        <v>4.1100000000000003</v>
      </c>
    </row>
    <row r="2248" spans="1:5" x14ac:dyDescent="0.25">
      <c r="A2248" t="str">
        <f>HYPERLINK("https://www.773grp.com/globalSearch/DS14C89AM/page-1", "DS14C89AM")</f>
        <v>DS14C89AM</v>
      </c>
      <c r="B2248" s="3" t="str">
        <f>HYPERLINK("https://www.773grp.com/manufacturer/national-semiconductor?pageNo=103", "National Semiconductor")</f>
        <v>National Semiconductor</v>
      </c>
      <c r="C2248" s="6">
        <v>545</v>
      </c>
      <c r="D2248" s="7">
        <v>4.1100000000000003</v>
      </c>
      <c r="E2248" t="s">
        <v>21</v>
      </c>
    </row>
    <row r="2249" spans="1:5" x14ac:dyDescent="0.25">
      <c r="A2249" t="str">
        <f>HYPERLINK("https://www.773grp.com/globalSearch/DS8922AM-NOPB/page-1", "DS8922AM-NOPB")</f>
        <v>DS8922AM-NOPB</v>
      </c>
      <c r="B2249" s="3" t="str">
        <f>HYPERLINK("https://www.773grp.com/manufacturer/national-semiconductor?pageNo=104", "National Semiconductor")</f>
        <v>National Semiconductor</v>
      </c>
      <c r="C2249" s="6">
        <v>3552</v>
      </c>
      <c r="D2249" s="7">
        <v>4.1100000000000003</v>
      </c>
      <c r="E2249" t="s">
        <v>21</v>
      </c>
    </row>
    <row r="2250" spans="1:5" x14ac:dyDescent="0.25">
      <c r="A2250" t="str">
        <f>HYPERLINK("https://www.773grp.com/globalSearch/DS8923AM-NOPB/page-1", "DS8923AM-NOPB")</f>
        <v>DS8923AM-NOPB</v>
      </c>
      <c r="B2250" s="3" t="str">
        <f>HYPERLINK("https://www.773grp.com/manufacturer/national-semiconductor?pageNo=105", "National Semiconductor")</f>
        <v>National Semiconductor</v>
      </c>
      <c r="C2250" s="6">
        <v>18</v>
      </c>
      <c r="D2250" s="7">
        <v>4.1100000000000003</v>
      </c>
      <c r="E2250" t="s">
        <v>21</v>
      </c>
    </row>
    <row r="2251" spans="1:5" x14ac:dyDescent="0.25">
      <c r="A2251" t="str">
        <f>HYPERLINK("https://www.773grp.com/globalSearch/LM1086CS-2.85-NOPB/page-1", "LM1086CS-2.85-NOPB")</f>
        <v>LM1086CS-2.85-NOPB</v>
      </c>
      <c r="B2251" s="3" t="str">
        <f>HYPERLINK("https://www.773grp.com/manufacturer/national-semiconductor?pageNo=106", "National Semiconductor")</f>
        <v>National Semiconductor</v>
      </c>
      <c r="C2251" s="6">
        <v>503</v>
      </c>
      <c r="D2251" s="7">
        <v>4.1100000000000003</v>
      </c>
      <c r="E2251" t="s">
        <v>19</v>
      </c>
    </row>
    <row r="2252" spans="1:5" x14ac:dyDescent="0.25">
      <c r="A2252" t="str">
        <f>HYPERLINK("https://www.773grp.com/globalSearch/LM1086IT-1.8/page-1", "LM1086IT-1.8")</f>
        <v>LM1086IT-1.8</v>
      </c>
      <c r="B2252" s="3" t="str">
        <f>HYPERLINK("https://www.773grp.com/manufacturer/national-semiconductor?pageNo=107", "National Semiconductor")</f>
        <v>National Semiconductor</v>
      </c>
      <c r="C2252" s="6">
        <v>90</v>
      </c>
      <c r="D2252" s="7">
        <v>4.1100000000000003</v>
      </c>
      <c r="E2252" t="s">
        <v>19</v>
      </c>
    </row>
    <row r="2253" spans="1:5" x14ac:dyDescent="0.25">
      <c r="A2253" t="str">
        <f>HYPERLINK("https://www.773grp.com/globalSearch/LM2574N-12/page-1", "LM2574N-12")</f>
        <v>LM2574N-12</v>
      </c>
      <c r="B2253" s="3" t="str">
        <f>HYPERLINK("https://www.773grp.com/manufacturer/national-semiconductor?pageNo=108", "National Semiconductor")</f>
        <v>National Semiconductor</v>
      </c>
      <c r="C2253" s="6">
        <v>308</v>
      </c>
      <c r="D2253" s="7">
        <v>4.1100000000000003</v>
      </c>
      <c r="E2253" t="s">
        <v>7</v>
      </c>
    </row>
    <row r="2254" spans="1:5" x14ac:dyDescent="0.25">
      <c r="A2254" t="str">
        <f>HYPERLINK("https://www.773grp.com/globalSearch/LM2574N-5.0/page-1", "LM2574N-5.0")</f>
        <v>LM2574N-5.0</v>
      </c>
      <c r="B2254" s="3" t="str">
        <f>HYPERLINK("https://www.773grp.com/manufacturer/national-semiconductor?pageNo=109", "National Semiconductor")</f>
        <v>National Semiconductor</v>
      </c>
      <c r="C2254" s="6">
        <v>6065</v>
      </c>
      <c r="D2254" s="7">
        <v>4.1100000000000003</v>
      </c>
      <c r="E2254" t="s">
        <v>7</v>
      </c>
    </row>
    <row r="2255" spans="1:5" x14ac:dyDescent="0.25">
      <c r="A2255" t="str">
        <f>HYPERLINK("https://www.773grp.com/globalSearch/LM2574N-ADJ/page-1", "LM2574N-ADJ")</f>
        <v>LM2574N-ADJ</v>
      </c>
      <c r="B2255" s="3" t="str">
        <f>HYPERLINK("https://www.773grp.com/manufacturer/national-semiconductor?pageNo=110", "National Semiconductor")</f>
        <v>National Semiconductor</v>
      </c>
      <c r="C2255" s="6">
        <v>2650</v>
      </c>
      <c r="D2255" s="7">
        <v>4.1100000000000003</v>
      </c>
      <c r="E2255" t="s">
        <v>7</v>
      </c>
    </row>
    <row r="2256" spans="1:5" x14ac:dyDescent="0.25">
      <c r="A2256" t="str">
        <f>HYPERLINK("https://www.773grp.com/globalSearch/LM2622MM-ADJ-NOPB/page-1", "LM2622MM-ADJ-NOPB")</f>
        <v>LM2622MM-ADJ-NOPB</v>
      </c>
      <c r="B2256" s="3" t="str">
        <f>HYPERLINK("https://www.773grp.com/manufacturer/national-semiconductor?pageNo=111", "National Semiconductor")</f>
        <v>National Semiconductor</v>
      </c>
      <c r="C2256" s="6">
        <v>17023</v>
      </c>
      <c r="D2256" s="7">
        <v>4.1100000000000003</v>
      </c>
      <c r="E2256" t="s">
        <v>7</v>
      </c>
    </row>
    <row r="2257" spans="1:5" x14ac:dyDescent="0.25">
      <c r="A2257" t="str">
        <f>HYPERLINK("https://www.773grp.com/globalSearch/LM2622MMX-ADJ-NOPB/page-1", "LM2622MMX-ADJ-NOPB")</f>
        <v>LM2622MMX-ADJ-NOPB</v>
      </c>
      <c r="B2257" s="3" t="str">
        <f>HYPERLINK("https://www.773grp.com/manufacturer/national-semiconductor?pageNo=112", "National Semiconductor")</f>
        <v>National Semiconductor</v>
      </c>
      <c r="C2257" s="6">
        <v>3500</v>
      </c>
      <c r="D2257" s="7">
        <v>4.1100000000000003</v>
      </c>
      <c r="E2257" t="s">
        <v>7</v>
      </c>
    </row>
    <row r="2258" spans="1:5" x14ac:dyDescent="0.25">
      <c r="A2258" t="str">
        <f>HYPERLINK("https://www.773grp.com/globalSearch/LM285BYZ-2.5-NOPB/page-1", "LM285BYZ-2.5-NOPB")</f>
        <v>LM285BYZ-2.5-NOPB</v>
      </c>
      <c r="B2258" s="3" t="str">
        <f>HYPERLINK("https://www.773grp.com/manufacturer/national-semiconductor?pageNo=113", "National Semiconductor")</f>
        <v>National Semiconductor</v>
      </c>
      <c r="C2258" s="6">
        <v>500</v>
      </c>
      <c r="D2258" s="7">
        <v>4.1100000000000003</v>
      </c>
      <c r="E2258" t="s">
        <v>17</v>
      </c>
    </row>
    <row r="2259" spans="1:5" x14ac:dyDescent="0.25">
      <c r="A2259" t="str">
        <f>HYPERLINK("https://www.773grp.com/globalSearch/LM2907N/page-1", "LM2907N")</f>
        <v>LM2907N</v>
      </c>
      <c r="B2259" s="3" t="str">
        <f>HYPERLINK("https://www.773grp.com/manufacturer/national-semiconductor?pageNo=114", "National Semiconductor")</f>
        <v>National Semiconductor</v>
      </c>
      <c r="C2259" s="6">
        <v>8283</v>
      </c>
      <c r="D2259" s="7">
        <v>4.1100000000000003</v>
      </c>
      <c r="E2259" t="s">
        <v>45</v>
      </c>
    </row>
    <row r="2260" spans="1:5" x14ac:dyDescent="0.25">
      <c r="A2260" t="str">
        <f>HYPERLINK("https://www.773grp.com/globalSearch/LM2917M-NOPB/page-1", "LM2917M-NOPB")</f>
        <v>LM2917M-NOPB</v>
      </c>
      <c r="B2260" s="3" t="str">
        <f>HYPERLINK("https://www.773grp.com/manufacturer/national-semiconductor?pageNo=115", "National Semiconductor")</f>
        <v>National Semiconductor</v>
      </c>
      <c r="C2260" s="6">
        <v>370</v>
      </c>
      <c r="D2260" s="7">
        <v>4.1100000000000003</v>
      </c>
      <c r="E2260" t="s">
        <v>45</v>
      </c>
    </row>
    <row r="2261" spans="1:5" x14ac:dyDescent="0.25">
      <c r="A2261" t="str">
        <f>HYPERLINK("https://www.773grp.com/globalSearch/LM2917M-8-NOPB/page-1", "LM2917M-8-NOPB")</f>
        <v>LM2917M-8-NOPB</v>
      </c>
      <c r="B2261" s="3" t="str">
        <f>HYPERLINK("https://www.773grp.com/manufacturer/national-semiconductor?pageNo=116", "National Semiconductor")</f>
        <v>National Semiconductor</v>
      </c>
      <c r="C2261" s="6">
        <v>933</v>
      </c>
      <c r="D2261" s="7">
        <v>4.1100000000000003</v>
      </c>
      <c r="E2261" t="s">
        <v>45</v>
      </c>
    </row>
    <row r="2262" spans="1:5" x14ac:dyDescent="0.25">
      <c r="A2262" t="str">
        <f>HYPERLINK("https://www.773grp.com/globalSearch/LM2917MX-8/page-1", "LM2917MX-8")</f>
        <v>LM2917MX-8</v>
      </c>
      <c r="B2262" s="3" t="str">
        <f>HYPERLINK("https://www.773grp.com/manufacturer/national-semiconductor?pageNo=117", "National Semiconductor")</f>
        <v>National Semiconductor</v>
      </c>
      <c r="C2262" s="6">
        <v>2500</v>
      </c>
      <c r="D2262" s="7">
        <v>4.1100000000000003</v>
      </c>
      <c r="E2262" t="s">
        <v>45</v>
      </c>
    </row>
    <row r="2263" spans="1:5" x14ac:dyDescent="0.25">
      <c r="A2263" t="str">
        <f>HYPERLINK("https://www.773grp.com/globalSearch/LM2936BM-5.0-NOPB/page-1", "LM2936BM-5.0-NOPB")</f>
        <v>LM2936BM-5.0-NOPB</v>
      </c>
      <c r="B2263" s="3" t="str">
        <f>HYPERLINK("https://www.773grp.com/manufacturer/national-semiconductor?pageNo=118", "National Semiconductor")</f>
        <v>National Semiconductor</v>
      </c>
      <c r="C2263" s="6">
        <v>2410</v>
      </c>
      <c r="D2263" s="7">
        <v>4.1100000000000003</v>
      </c>
      <c r="E2263" t="s">
        <v>19</v>
      </c>
    </row>
    <row r="2264" spans="1:5" x14ac:dyDescent="0.25">
      <c r="A2264" t="str">
        <f>HYPERLINK("https://www.773grp.com/globalSearch/LM2936M-3.0-NOPB/page-1", "LM2936M-3.0-NOPB")</f>
        <v>LM2936M-3.0-NOPB</v>
      </c>
      <c r="B2264" s="3" t="str">
        <f>HYPERLINK("https://www.773grp.com/manufacturer/national-semiconductor?pageNo=119", "National Semiconductor")</f>
        <v>National Semiconductor</v>
      </c>
      <c r="C2264" s="6">
        <v>160</v>
      </c>
      <c r="D2264" s="7">
        <v>4.1100000000000003</v>
      </c>
      <c r="E2264" t="s">
        <v>19</v>
      </c>
    </row>
    <row r="2265" spans="1:5" x14ac:dyDescent="0.25">
      <c r="A2265" t="str">
        <f>HYPERLINK("https://www.773grp.com/globalSearch/LM2936M-3.3-NOPB/page-1", "LM2936M-3.3-NOPB")</f>
        <v>LM2936M-3.3-NOPB</v>
      </c>
      <c r="B2265" s="3" t="str">
        <f>HYPERLINK("https://www.773grp.com/manufacturer/national-semiconductor?pageNo=120", "National Semiconductor")</f>
        <v>National Semiconductor</v>
      </c>
      <c r="C2265" s="6">
        <v>560</v>
      </c>
      <c r="D2265" s="7">
        <v>4.1100000000000003</v>
      </c>
      <c r="E2265" t="s">
        <v>19</v>
      </c>
    </row>
    <row r="2266" spans="1:5" x14ac:dyDescent="0.25">
      <c r="A2266" t="str">
        <f>HYPERLINK("https://www.773grp.com/globalSearch/LM2936M-5.0-NOPB/page-1", "LM2936M-5.0-NOPB")</f>
        <v>LM2936M-5.0-NOPB</v>
      </c>
      <c r="B2266" s="3" t="str">
        <f>HYPERLINK("https://www.773grp.com/manufacturer/national-semiconductor?pageNo=121", "National Semiconductor")</f>
        <v>National Semiconductor</v>
      </c>
      <c r="C2266" s="6">
        <v>22350</v>
      </c>
      <c r="D2266" s="7">
        <v>4.1100000000000003</v>
      </c>
      <c r="E2266" t="s">
        <v>19</v>
      </c>
    </row>
    <row r="2267" spans="1:5" x14ac:dyDescent="0.25">
      <c r="A2267" t="str">
        <f>HYPERLINK("https://www.773grp.com/globalSearch/LM2940CSX-5.0/page-1", "LM2940CSX-5.0")</f>
        <v>LM2940CSX-5.0</v>
      </c>
      <c r="B2267" s="3" t="str">
        <f>HYPERLINK("https://www.773grp.com/manufacturer/national-semiconductor?pageNo=122", "National Semiconductor")</f>
        <v>National Semiconductor</v>
      </c>
      <c r="C2267" s="6">
        <v>500</v>
      </c>
      <c r="D2267" s="7">
        <v>4.1100000000000003</v>
      </c>
      <c r="E2267" t="s">
        <v>19</v>
      </c>
    </row>
    <row r="2268" spans="1:5" x14ac:dyDescent="0.25">
      <c r="A2268" t="str">
        <f>HYPERLINK("https://www.773grp.com/globalSearch/LM301AJ/page-1", "LM301AJ")</f>
        <v>LM301AJ</v>
      </c>
      <c r="B2268" s="3" t="str">
        <f>HYPERLINK("https://www.773grp.com/manufacturer/national-semiconductor?pageNo=123", "National Semiconductor")</f>
        <v>National Semiconductor</v>
      </c>
      <c r="C2268" s="6">
        <v>7385</v>
      </c>
      <c r="D2268" s="7">
        <v>4.1100000000000003</v>
      </c>
      <c r="E2268" t="s">
        <v>13</v>
      </c>
    </row>
    <row r="2269" spans="1:5" x14ac:dyDescent="0.25">
      <c r="A2269" t="str">
        <f>HYPERLINK("https://www.773grp.com/globalSearch/LM317AMDT-NOPB/page-1", "LM317AMDT-NOPB")</f>
        <v>LM317AMDT-NOPB</v>
      </c>
      <c r="B2269" s="3" t="str">
        <f>HYPERLINK("https://www.773grp.com/manufacturer/national-semiconductor?pageNo=124", "National Semiconductor")</f>
        <v>National Semiconductor</v>
      </c>
      <c r="C2269" s="6">
        <v>460</v>
      </c>
      <c r="D2269" s="7">
        <v>4.1100000000000003</v>
      </c>
      <c r="E2269" t="s">
        <v>22</v>
      </c>
    </row>
    <row r="2270" spans="1:5" x14ac:dyDescent="0.25">
      <c r="A2270" t="str">
        <f>HYPERLINK("https://www.773grp.com/globalSearch/LM317HVT/page-1", "LM317HVT")</f>
        <v>LM317HVT</v>
      </c>
      <c r="B2270" s="3" t="str">
        <f>HYPERLINK("https://www.773grp.com/manufacturer/national-semiconductor?pageNo=125", "National Semiconductor")</f>
        <v>National Semiconductor</v>
      </c>
      <c r="C2270" s="6">
        <v>24351</v>
      </c>
      <c r="D2270" s="7">
        <v>4.1100000000000003</v>
      </c>
      <c r="E2270" t="s">
        <v>22</v>
      </c>
    </row>
    <row r="2271" spans="1:5" x14ac:dyDescent="0.25">
      <c r="A2271" t="str">
        <f>HYPERLINK("https://www.773grp.com/globalSearch/LM319N-NOPB/page-1", "LM319N-NOPB")</f>
        <v>LM319N-NOPB</v>
      </c>
      <c r="B2271" s="3" t="str">
        <f>HYPERLINK("https://www.773grp.com/manufacturer/national-semiconductor?pageNo=126", "National Semiconductor")</f>
        <v>National Semiconductor</v>
      </c>
      <c r="C2271" s="6">
        <v>2198</v>
      </c>
      <c r="D2271" s="7">
        <v>4.1100000000000003</v>
      </c>
      <c r="E2271" t="s">
        <v>9</v>
      </c>
    </row>
    <row r="2272" spans="1:5" x14ac:dyDescent="0.25">
      <c r="A2272" t="str">
        <f>HYPERLINK("https://www.773grp.com/globalSearch/LM340S-5.0/page-1", "LM340S-5.0")</f>
        <v>LM340S-5.0</v>
      </c>
      <c r="B2272" s="3" t="str">
        <f>HYPERLINK("https://www.773grp.com/manufacturer/national-semiconductor?pageNo=127", "National Semiconductor")</f>
        <v>National Semiconductor</v>
      </c>
      <c r="C2272" s="6">
        <v>2231</v>
      </c>
      <c r="D2272" s="7">
        <v>4.1100000000000003</v>
      </c>
      <c r="E2272" t="s">
        <v>28</v>
      </c>
    </row>
    <row r="2273" spans="1:5" x14ac:dyDescent="0.25">
      <c r="A2273" t="str">
        <f>HYPERLINK("https://www.773grp.com/globalSearch/LM3578AMX-NOPB/page-1", "LM3578AMX-NOPB")</f>
        <v>LM3578AMX-NOPB</v>
      </c>
      <c r="B2273" s="3" t="str">
        <f>HYPERLINK("https://www.773grp.com/manufacturer/national-semiconductor?pageNo=128", "National Semiconductor")</f>
        <v>National Semiconductor</v>
      </c>
      <c r="C2273" s="6">
        <v>12500</v>
      </c>
      <c r="D2273" s="7">
        <v>4.1100000000000003</v>
      </c>
      <c r="E2273" t="s">
        <v>7</v>
      </c>
    </row>
    <row r="2274" spans="1:5" x14ac:dyDescent="0.25">
      <c r="A2274" t="str">
        <f>HYPERLINK("https://www.773grp.com/globalSearch/LM3578AN-NOPB/page-1", "LM3578AN-NOPB")</f>
        <v>LM3578AN-NOPB</v>
      </c>
      <c r="B2274" s="3" t="str">
        <f>HYPERLINK("https://www.773grp.com/manufacturer/national-semiconductor?pageNo=129", "National Semiconductor")</f>
        <v>National Semiconductor</v>
      </c>
      <c r="C2274" s="6">
        <v>7266</v>
      </c>
      <c r="D2274" s="7">
        <v>4.1100000000000003</v>
      </c>
      <c r="E2274" t="s">
        <v>7</v>
      </c>
    </row>
    <row r="2275" spans="1:5" x14ac:dyDescent="0.25">
      <c r="A2275" t="str">
        <f>HYPERLINK("https://www.773grp.com/globalSearch/LM385BYM-1.2/page-1", "LM385BYM-1.2")</f>
        <v>LM385BYM-1.2</v>
      </c>
      <c r="B2275" s="3" t="str">
        <f>HYPERLINK("https://www.773grp.com/manufacturer/national-semiconductor?pageNo=130", "National Semiconductor")</f>
        <v>National Semiconductor</v>
      </c>
      <c r="C2275" s="6">
        <v>2626</v>
      </c>
      <c r="D2275" s="7">
        <v>4.1100000000000003</v>
      </c>
      <c r="E2275" t="s">
        <v>17</v>
      </c>
    </row>
    <row r="2276" spans="1:5" x14ac:dyDescent="0.25">
      <c r="A2276" t="str">
        <f>HYPERLINK("https://www.773grp.com/globalSearch/LM4040AIM3X-10/page-1", "LM4040AIM3X-10")</f>
        <v>LM4040AIM3X-10</v>
      </c>
      <c r="B2276" s="3" t="str">
        <f>HYPERLINK("https://www.773grp.com/manufacturer/national-semiconductor?pageNo=131", "National Semiconductor")</f>
        <v>National Semiconductor</v>
      </c>
      <c r="C2276" s="6">
        <v>3000</v>
      </c>
      <c r="D2276" s="7">
        <v>4.1100000000000003</v>
      </c>
      <c r="E2276" t="s">
        <v>17</v>
      </c>
    </row>
    <row r="2277" spans="1:5" x14ac:dyDescent="0.25">
      <c r="A2277" t="str">
        <f>HYPERLINK("https://www.773grp.com/globalSearch/LM4040AIM3X-2.5/page-1", "LM4040AIM3X-2.5")</f>
        <v>LM4040AIM3X-2.5</v>
      </c>
      <c r="B2277" s="3" t="str">
        <f>HYPERLINK("https://www.773grp.com/manufacturer/national-semiconductor?pageNo=132", "National Semiconductor")</f>
        <v>National Semiconductor</v>
      </c>
      <c r="C2277" s="6">
        <v>3000</v>
      </c>
      <c r="D2277" s="7">
        <v>4.1100000000000003</v>
      </c>
      <c r="E2277" t="s">
        <v>17</v>
      </c>
    </row>
    <row r="2278" spans="1:5" x14ac:dyDescent="0.25">
      <c r="A2278" t="str">
        <f>HYPERLINK("https://www.773grp.com/globalSearch/LM4040AIM3X-5.0/page-1", "LM4040AIM3X-5.0")</f>
        <v>LM4040AIM3X-5.0</v>
      </c>
      <c r="B2278" s="3" t="str">
        <f>HYPERLINK("https://www.773grp.com/manufacturer/national-semiconductor?pageNo=133", "National Semiconductor")</f>
        <v>National Semiconductor</v>
      </c>
      <c r="C2278" s="6">
        <v>3000</v>
      </c>
      <c r="D2278" s="7">
        <v>4.1100000000000003</v>
      </c>
      <c r="E2278" t="s">
        <v>17</v>
      </c>
    </row>
    <row r="2279" spans="1:5" x14ac:dyDescent="0.25">
      <c r="A2279" t="str">
        <f>HYPERLINK("https://www.773grp.com/globalSearch/LM4132EMF-1.8-NOPB/page-1", "LM4132EMF-1.8-NOPB")</f>
        <v>LM4132EMF-1.8-NOPB</v>
      </c>
      <c r="B2279" s="3" t="str">
        <f>HYPERLINK("https://www.773grp.com/manufacturer/national-semiconductor?pageNo=134", "National Semiconductor")</f>
        <v>National Semiconductor</v>
      </c>
      <c r="C2279" s="6">
        <v>1480</v>
      </c>
      <c r="D2279" s="7">
        <v>4.1100000000000003</v>
      </c>
    </row>
    <row r="2280" spans="1:5" x14ac:dyDescent="0.25">
      <c r="A2280" t="str">
        <f>HYPERLINK("https://www.773grp.com/globalSearch/LM4132EMF-2.0-NOPB/page-1", "LM4132EMF-2.0-NOPB")</f>
        <v>LM4132EMF-2.0-NOPB</v>
      </c>
      <c r="B2280" s="3" t="str">
        <f>HYPERLINK("https://www.773grp.com/manufacturer/national-semiconductor?pageNo=1", "National Semiconductor")</f>
        <v>National Semiconductor</v>
      </c>
      <c r="C2280" s="6">
        <v>441</v>
      </c>
      <c r="D2280" s="7">
        <v>4.1100000000000003</v>
      </c>
    </row>
    <row r="2281" spans="1:5" x14ac:dyDescent="0.25">
      <c r="A2281" t="str">
        <f>HYPERLINK("https://www.773grp.com/globalSearch/LM4132EMF-2.5-NOPB/page-1", "LM4132EMF-2.5-NOPB")</f>
        <v>LM4132EMF-2.5-NOPB</v>
      </c>
      <c r="B2281" s="3" t="str">
        <f>HYPERLINK("https://www.773grp.com/manufacturer/national-semiconductor?pageNo=2", "National Semiconductor")</f>
        <v>National Semiconductor</v>
      </c>
      <c r="C2281" s="6">
        <v>7538</v>
      </c>
      <c r="D2281" s="7">
        <v>4.1100000000000003</v>
      </c>
    </row>
    <row r="2282" spans="1:5" x14ac:dyDescent="0.25">
      <c r="A2282" t="str">
        <f>HYPERLINK("https://www.773grp.com/globalSearch/LM4132EMF-3.0-NOPB/page-1", "LM4132EMF-3.0-NOPB")</f>
        <v>LM4132EMF-3.0-NOPB</v>
      </c>
      <c r="B2282" s="3" t="str">
        <f>HYPERLINK("https://www.773grp.com/manufacturer/national-semiconductor?pageNo=3", "National Semiconductor")</f>
        <v>National Semiconductor</v>
      </c>
      <c r="C2282" s="6">
        <v>1413</v>
      </c>
      <c r="D2282" s="7">
        <v>4.1100000000000003</v>
      </c>
    </row>
    <row r="2283" spans="1:5" x14ac:dyDescent="0.25">
      <c r="A2283" t="str">
        <f>HYPERLINK("https://www.773grp.com/globalSearch/LM4132EMF-3.3-NOPB/page-1", "LM4132EMF-3.3-NOPB")</f>
        <v>LM4132EMF-3.3-NOPB</v>
      </c>
      <c r="B2283" s="3" t="str">
        <f>HYPERLINK("https://www.773grp.com/manufacturer/national-semiconductor?pageNo=4", "National Semiconductor")</f>
        <v>National Semiconductor</v>
      </c>
      <c r="C2283" s="6">
        <v>1000</v>
      </c>
      <c r="D2283" s="7">
        <v>4.1100000000000003</v>
      </c>
    </row>
    <row r="2284" spans="1:5" x14ac:dyDescent="0.25">
      <c r="A2284" t="str">
        <f>HYPERLINK("https://www.773grp.com/globalSearch/LM4132EMFX-2.5-NOPB/page-1", "LM4132EMFX-2.5-NOPB")</f>
        <v>LM4132EMFX-2.5-NOPB</v>
      </c>
      <c r="B2284" s="3" t="str">
        <f>HYPERLINK("https://www.773grp.com/manufacturer/national-semiconductor?pageNo=5", "National Semiconductor")</f>
        <v>National Semiconductor</v>
      </c>
      <c r="C2284" s="6">
        <v>3000</v>
      </c>
      <c r="D2284" s="7">
        <v>4.1100000000000003</v>
      </c>
    </row>
    <row r="2285" spans="1:5" x14ac:dyDescent="0.25">
      <c r="A2285" t="str">
        <f>HYPERLINK("https://www.773grp.com/globalSearch/LM4132EMFX-4.1/page-1", "LM4132EMFX-4.1")</f>
        <v>LM4132EMFX-4.1</v>
      </c>
      <c r="B2285" s="3" t="str">
        <f>HYPERLINK("https://www.773grp.com/manufacturer/national-semiconductor?pageNo=6", "National Semiconductor")</f>
        <v>National Semiconductor</v>
      </c>
      <c r="C2285" s="6">
        <v>9000</v>
      </c>
      <c r="D2285" s="7">
        <v>4.1100000000000003</v>
      </c>
      <c r="E2285" t="s">
        <v>19</v>
      </c>
    </row>
    <row r="2286" spans="1:5" x14ac:dyDescent="0.25">
      <c r="A2286" t="str">
        <f>HYPERLINK("https://www.773grp.com/globalSearch/LM4132EMFX-4.1-NOPB/page-1", "LM4132EMFX-4.1-NOPB")</f>
        <v>LM4132EMFX-4.1-NOPB</v>
      </c>
      <c r="B2286" s="3" t="str">
        <f>HYPERLINK("https://www.773grp.com/manufacturer/national-semiconductor?pageNo=7", "National Semiconductor")</f>
        <v>National Semiconductor</v>
      </c>
      <c r="C2286" s="6">
        <v>8742</v>
      </c>
      <c r="D2286" s="7">
        <v>4.1100000000000003</v>
      </c>
    </row>
    <row r="2287" spans="1:5" x14ac:dyDescent="0.25">
      <c r="A2287" t="str">
        <f>HYPERLINK("https://www.773grp.com/globalSearch/LM4755TSX/page-1", "LM4755TSX")</f>
        <v>LM4755TSX</v>
      </c>
      <c r="B2287" s="3" t="str">
        <f>HYPERLINK("https://www.773grp.com/manufacturer/national-semiconductor?pageNo=8", "National Semiconductor")</f>
        <v>National Semiconductor</v>
      </c>
      <c r="C2287" s="6">
        <v>2880</v>
      </c>
      <c r="D2287" s="7">
        <v>4.1100000000000003</v>
      </c>
      <c r="E2287" t="s">
        <v>18</v>
      </c>
    </row>
    <row r="2288" spans="1:5" x14ac:dyDescent="0.25">
      <c r="A2288" t="str">
        <f>HYPERLINK("https://www.773grp.com/globalSearch/LM4990ITL-NOPB/page-1", "LM4990ITL-NOPB")</f>
        <v>LM4990ITL-NOPB</v>
      </c>
      <c r="B2288" s="3" t="str">
        <f>HYPERLINK("https://www.773grp.com/manufacturer/national-semiconductor?pageNo=9", "National Semiconductor")</f>
        <v>National Semiconductor</v>
      </c>
      <c r="C2288" s="6">
        <v>1250</v>
      </c>
      <c r="D2288" s="7">
        <v>4.1100000000000003</v>
      </c>
      <c r="E2288" t="s">
        <v>18</v>
      </c>
    </row>
    <row r="2289" spans="1:5" x14ac:dyDescent="0.25">
      <c r="A2289" t="str">
        <f>HYPERLINK("https://www.773grp.com/globalSearch/LM9076BMAX-5.0-NOPB/page-1", "LM9076BMAX-5.0-NOPB")</f>
        <v>LM9076BMAX-5.0-NOPB</v>
      </c>
      <c r="B2289" s="3" t="str">
        <f>HYPERLINK("https://www.773grp.com/manufacturer/national-semiconductor?pageNo=10", "National Semiconductor")</f>
        <v>National Semiconductor</v>
      </c>
      <c r="C2289" s="6">
        <v>2502</v>
      </c>
      <c r="D2289" s="7">
        <v>4.1100000000000003</v>
      </c>
    </row>
    <row r="2290" spans="1:5" x14ac:dyDescent="0.25">
      <c r="A2290" t="str">
        <f>HYPERLINK("https://www.773grp.com/globalSearch/LMC568CN/page-1", "LMC568CN")</f>
        <v>LMC568CN</v>
      </c>
      <c r="B2290" s="3" t="str">
        <f>HYPERLINK("https://www.773grp.com/manufacturer/national-semiconductor?pageNo=11", "National Semiconductor")</f>
        <v>National Semiconductor</v>
      </c>
      <c r="C2290" s="6">
        <v>1610</v>
      </c>
      <c r="D2290" s="7">
        <v>4.1100000000000003</v>
      </c>
      <c r="E2290" t="s">
        <v>38</v>
      </c>
    </row>
    <row r="2291" spans="1:5" x14ac:dyDescent="0.25">
      <c r="A2291" t="str">
        <f>HYPERLINK("https://www.773grp.com/globalSearch/LME49721MA-NOPB/page-1", "LME49721MA-NOPB")</f>
        <v>LME49721MA-NOPB</v>
      </c>
      <c r="B2291" s="3" t="str">
        <f>HYPERLINK("https://www.773grp.com/manufacturer/national-semiconductor?pageNo=12", "National Semiconductor")</f>
        <v>National Semiconductor</v>
      </c>
      <c r="C2291" s="6">
        <v>2630</v>
      </c>
      <c r="D2291" s="7">
        <v>4.1100000000000003</v>
      </c>
      <c r="E2291" t="s">
        <v>13</v>
      </c>
    </row>
    <row r="2292" spans="1:5" x14ac:dyDescent="0.25">
      <c r="A2292" t="str">
        <f>HYPERLINK("https://www.773grp.com/globalSearch/LMV118MF/page-1", "LMV118MF")</f>
        <v>LMV118MF</v>
      </c>
      <c r="B2292" s="3" t="str">
        <f>HYPERLINK("https://www.773grp.com/manufacturer/national-semiconductor?pageNo=13", "National Semiconductor")</f>
        <v>National Semiconductor</v>
      </c>
      <c r="C2292" s="6">
        <v>1000</v>
      </c>
      <c r="D2292" s="7">
        <v>4.1100000000000003</v>
      </c>
      <c r="E2292" t="s">
        <v>13</v>
      </c>
    </row>
    <row r="2293" spans="1:5" x14ac:dyDescent="0.25">
      <c r="A2293" t="str">
        <f>HYPERLINK("https://www.773grp.com/globalSearch/LMV554MT-NOPB/page-1", "LMV554MT-NOPB")</f>
        <v>LMV554MT-NOPB</v>
      </c>
      <c r="B2293" s="3" t="str">
        <f>HYPERLINK("https://www.773grp.com/manufacturer/national-semiconductor?pageNo=14", "National Semiconductor")</f>
        <v>National Semiconductor</v>
      </c>
      <c r="C2293" s="6">
        <v>70</v>
      </c>
      <c r="D2293" s="7">
        <v>4.1100000000000003</v>
      </c>
    </row>
    <row r="2294" spans="1:5" x14ac:dyDescent="0.25">
      <c r="A2294" t="str">
        <f>HYPERLINK("https://www.773grp.com/globalSearch/LMV822M/page-1", "LMV822M")</f>
        <v>LMV822M</v>
      </c>
      <c r="B2294" s="3" t="str">
        <f>HYPERLINK("https://www.773grp.com/manufacturer/national-semiconductor?pageNo=15", "National Semiconductor")</f>
        <v>National Semiconductor</v>
      </c>
      <c r="C2294" s="6">
        <v>579</v>
      </c>
      <c r="D2294" s="7">
        <v>4.1100000000000003</v>
      </c>
      <c r="E2294" t="s">
        <v>13</v>
      </c>
    </row>
    <row r="2295" spans="1:5" x14ac:dyDescent="0.25">
      <c r="A2295" t="str">
        <f>HYPERLINK("https://www.773grp.com/globalSearch/LP2986AIM-3.0-NOPB/page-1", "LP2986AIM-3.0-NOPB")</f>
        <v>LP2986AIM-3.0-NOPB</v>
      </c>
      <c r="B2295" s="3" t="str">
        <f>HYPERLINK("https://www.773grp.com/manufacturer/national-semiconductor?pageNo=16", "National Semiconductor")</f>
        <v>National Semiconductor</v>
      </c>
      <c r="C2295" s="6">
        <v>1710</v>
      </c>
      <c r="D2295" s="7">
        <v>4.1100000000000003</v>
      </c>
      <c r="E2295" t="s">
        <v>27</v>
      </c>
    </row>
    <row r="2296" spans="1:5" x14ac:dyDescent="0.25">
      <c r="A2296" t="str">
        <f>HYPERLINK("https://www.773grp.com/globalSearch/LP2986AIM-3.3-NOPB/page-1", "LP2986AIM-3.3-NOPB")</f>
        <v>LP2986AIM-3.3-NOPB</v>
      </c>
      <c r="B2296" s="3" t="str">
        <f>HYPERLINK("https://www.773grp.com/manufacturer/national-semiconductor?pageNo=17", "National Semiconductor")</f>
        <v>National Semiconductor</v>
      </c>
      <c r="C2296" s="6">
        <v>455</v>
      </c>
      <c r="D2296" s="7">
        <v>4.1100000000000003</v>
      </c>
      <c r="E2296" t="s">
        <v>27</v>
      </c>
    </row>
    <row r="2297" spans="1:5" x14ac:dyDescent="0.25">
      <c r="A2297" t="str">
        <f>HYPERLINK("https://www.773grp.com/globalSearch/LP2986AIM-5.0-NOPB/page-1", "LP2986AIM-5.0-NOPB")</f>
        <v>LP2986AIM-5.0-NOPB</v>
      </c>
      <c r="B2297" s="3" t="str">
        <f>HYPERLINK("https://www.773grp.com/manufacturer/national-semiconductor?pageNo=18", "National Semiconductor")</f>
        <v>National Semiconductor</v>
      </c>
      <c r="C2297" s="6">
        <v>14853</v>
      </c>
      <c r="D2297" s="7">
        <v>4.1100000000000003</v>
      </c>
      <c r="E2297" t="s">
        <v>27</v>
      </c>
    </row>
    <row r="2298" spans="1:5" x14ac:dyDescent="0.25">
      <c r="A2298" t="str">
        <f>HYPERLINK("https://www.773grp.com/globalSearch/LP2998MA-NOPB/page-1", "LP2998MA-NOPB")</f>
        <v>LP2998MA-NOPB</v>
      </c>
      <c r="B2298" s="3" t="str">
        <f>HYPERLINK("https://www.773grp.com/manufacturer/national-semiconductor?pageNo=19", "National Semiconductor")</f>
        <v>National Semiconductor</v>
      </c>
      <c r="C2298" s="6">
        <v>1475</v>
      </c>
      <c r="D2298" s="7">
        <v>4.1100000000000003</v>
      </c>
      <c r="E2298" t="s">
        <v>24</v>
      </c>
    </row>
    <row r="2299" spans="1:5" x14ac:dyDescent="0.25">
      <c r="A2299" t="str">
        <f>HYPERLINK("https://www.773grp.com/globalSearch/LP2998MR-NOPB/page-1", "LP2998MR-NOPB")</f>
        <v>LP2998MR-NOPB</v>
      </c>
      <c r="B2299" s="3" t="str">
        <f>HYPERLINK("https://www.773grp.com/manufacturer/national-semiconductor?pageNo=20", "National Semiconductor")</f>
        <v>National Semiconductor</v>
      </c>
      <c r="C2299" s="6">
        <v>1662</v>
      </c>
      <c r="D2299" s="7">
        <v>4.1100000000000003</v>
      </c>
      <c r="E2299" t="s">
        <v>24</v>
      </c>
    </row>
    <row r="2300" spans="1:5" x14ac:dyDescent="0.25">
      <c r="A2300" t="str">
        <f>HYPERLINK("https://www.773grp.com/globalSearch/DS14C89AM/page-1", "DS14C89AM")</f>
        <v>DS14C89AM</v>
      </c>
      <c r="B2300" s="3" t="str">
        <f>HYPERLINK("https://www.773grp.com/manufacturer/national-semiconductor?pageNo=21", "National Semiconductor")</f>
        <v>National Semiconductor</v>
      </c>
      <c r="C2300" s="6">
        <v>753</v>
      </c>
      <c r="D2300" s="7">
        <v>4.1100000000000003</v>
      </c>
      <c r="E2300" t="s">
        <v>21</v>
      </c>
    </row>
    <row r="2301" spans="1:5" x14ac:dyDescent="0.25">
      <c r="A2301" t="str">
        <f>HYPERLINK("https://www.773grp.com/globalSearch/DS8922AM-NOPB/page-1", "DS8922AM-NOPB")</f>
        <v>DS8922AM-NOPB</v>
      </c>
      <c r="B2301" s="3" t="str">
        <f>HYPERLINK("https://www.773grp.com/manufacturer/national-semiconductor?pageNo=22", "National Semiconductor")</f>
        <v>National Semiconductor</v>
      </c>
      <c r="C2301" s="6">
        <v>181</v>
      </c>
      <c r="D2301" s="7">
        <v>4.1100000000000003</v>
      </c>
      <c r="E2301" t="s">
        <v>21</v>
      </c>
    </row>
    <row r="2302" spans="1:5" x14ac:dyDescent="0.25">
      <c r="A2302" t="str">
        <f>HYPERLINK("https://www.773grp.com/globalSearch/DS8923AM-NOPB/page-1", "DS8923AM-NOPB")</f>
        <v>DS8923AM-NOPB</v>
      </c>
      <c r="B2302" s="3" t="str">
        <f>HYPERLINK("https://www.773grp.com/manufacturer/national-semiconductor?pageNo=23", "National Semiconductor")</f>
        <v>National Semiconductor</v>
      </c>
      <c r="C2302" s="6">
        <v>48</v>
      </c>
      <c r="D2302" s="7">
        <v>4.1100000000000003</v>
      </c>
      <c r="E2302" t="s">
        <v>21</v>
      </c>
    </row>
    <row r="2303" spans="1:5" x14ac:dyDescent="0.25">
      <c r="A2303" t="str">
        <f>HYPERLINK("https://www.773grp.com/globalSearch/LM2574N-12/page-1", "LM2574N-12")</f>
        <v>LM2574N-12</v>
      </c>
      <c r="B2303" s="3" t="str">
        <f>HYPERLINK("https://www.773grp.com/manufacturer/national-semiconductor?pageNo=24", "National Semiconductor")</f>
        <v>National Semiconductor</v>
      </c>
      <c r="C2303" s="6">
        <v>415</v>
      </c>
      <c r="D2303" s="7">
        <v>4.1100000000000003</v>
      </c>
      <c r="E2303" t="s">
        <v>7</v>
      </c>
    </row>
    <row r="2304" spans="1:5" x14ac:dyDescent="0.25">
      <c r="A2304" t="str">
        <f>HYPERLINK("https://www.773grp.com/globalSearch/LM2917M-8-NOPB/page-1", "LM2917M-8-NOPB")</f>
        <v>LM2917M-8-NOPB</v>
      </c>
      <c r="B2304" s="3" t="str">
        <f>HYPERLINK("https://www.773grp.com/manufacturer/national-semiconductor?pageNo=25", "National Semiconductor")</f>
        <v>National Semiconductor</v>
      </c>
      <c r="C2304" s="6">
        <v>65</v>
      </c>
      <c r="D2304" s="7">
        <v>4.1100000000000003</v>
      </c>
      <c r="E2304" t="s">
        <v>45</v>
      </c>
    </row>
    <row r="2305" spans="1:5" x14ac:dyDescent="0.25">
      <c r="A2305" t="str">
        <f>HYPERLINK("https://www.773grp.com/globalSearch/LM2936BM-5.0-NOPB/page-1", "LM2936BM-5.0-NOPB")</f>
        <v>LM2936BM-5.0-NOPB</v>
      </c>
      <c r="B2305" s="3" t="str">
        <f>HYPERLINK("https://www.773grp.com/manufacturer/national-semiconductor?pageNo=26", "National Semiconductor")</f>
        <v>National Semiconductor</v>
      </c>
      <c r="C2305" s="6">
        <v>223</v>
      </c>
      <c r="D2305" s="7">
        <v>4.1100000000000003</v>
      </c>
      <c r="E2305" t="s">
        <v>19</v>
      </c>
    </row>
    <row r="2306" spans="1:5" x14ac:dyDescent="0.25">
      <c r="A2306" t="str">
        <f>HYPERLINK("https://www.773grp.com/globalSearch/LM2936M-3.3-NOPB/page-1", "LM2936M-3.3-NOPB")</f>
        <v>LM2936M-3.3-NOPB</v>
      </c>
      <c r="B2306" s="3" t="str">
        <f>HYPERLINK("https://www.773grp.com/manufacturer/national-semiconductor?pageNo=27", "National Semiconductor")</f>
        <v>National Semiconductor</v>
      </c>
      <c r="C2306" s="6">
        <v>85</v>
      </c>
      <c r="D2306" s="7">
        <v>4.1100000000000003</v>
      </c>
      <c r="E2306" t="s">
        <v>19</v>
      </c>
    </row>
    <row r="2307" spans="1:5" x14ac:dyDescent="0.25">
      <c r="A2307" t="str">
        <f>HYPERLINK("https://www.773grp.com/globalSearch/LM2936M-5.0-NOPB/page-1", "LM2936M-5.0-NOPB")</f>
        <v>LM2936M-5.0-NOPB</v>
      </c>
      <c r="B2307" s="3" t="str">
        <f>HYPERLINK("https://www.773grp.com/manufacturer/national-semiconductor?pageNo=28", "National Semiconductor")</f>
        <v>National Semiconductor</v>
      </c>
      <c r="C2307" s="6">
        <v>5010</v>
      </c>
      <c r="D2307" s="7">
        <v>4.1100000000000003</v>
      </c>
      <c r="E2307" t="s">
        <v>19</v>
      </c>
    </row>
    <row r="2308" spans="1:5" x14ac:dyDescent="0.25">
      <c r="A2308" t="str">
        <f>HYPERLINK("https://www.773grp.com/globalSearch/LM2940CSX-5.0/page-1", "LM2940CSX-5.0")</f>
        <v>LM2940CSX-5.0</v>
      </c>
      <c r="B2308" s="3" t="str">
        <f>HYPERLINK("https://www.773grp.com/manufacturer/national-semiconductor?pageNo=29", "National Semiconductor")</f>
        <v>National Semiconductor</v>
      </c>
      <c r="C2308" s="6">
        <v>797</v>
      </c>
      <c r="D2308" s="7">
        <v>4.1100000000000003</v>
      </c>
      <c r="E2308" t="s">
        <v>19</v>
      </c>
    </row>
    <row r="2309" spans="1:5" x14ac:dyDescent="0.25">
      <c r="A2309" t="str">
        <f>HYPERLINK("https://www.773grp.com/globalSearch/LM317AMDT-NOPB/page-1", "LM317AMDT-NOPB")</f>
        <v>LM317AMDT-NOPB</v>
      </c>
      <c r="B2309" s="3" t="str">
        <f>HYPERLINK("https://www.773grp.com/manufacturer/national-semiconductor?pageNo=30", "National Semiconductor")</f>
        <v>National Semiconductor</v>
      </c>
      <c r="C2309" s="6">
        <v>179</v>
      </c>
      <c r="D2309" s="7">
        <v>4.1100000000000003</v>
      </c>
      <c r="E2309" t="s">
        <v>22</v>
      </c>
    </row>
    <row r="2310" spans="1:5" x14ac:dyDescent="0.25">
      <c r="A2310" t="str">
        <f>HYPERLINK("https://www.773grp.com/globalSearch/LM319N-NOPB/page-1", "LM319N-NOPB")</f>
        <v>LM319N-NOPB</v>
      </c>
      <c r="B2310" s="3" t="str">
        <f>HYPERLINK("https://www.773grp.com/manufacturer/national-semiconductor?pageNo=31", "National Semiconductor")</f>
        <v>National Semiconductor</v>
      </c>
      <c r="C2310" s="6">
        <v>1100</v>
      </c>
      <c r="D2310" s="7">
        <v>4.1100000000000003</v>
      </c>
      <c r="E2310" t="s">
        <v>9</v>
      </c>
    </row>
    <row r="2311" spans="1:5" x14ac:dyDescent="0.25">
      <c r="A2311" t="str">
        <f>HYPERLINK("https://www.773grp.com/globalSearch/LM3578AMX-NOPB/page-1", "LM3578AMX-NOPB")</f>
        <v>LM3578AMX-NOPB</v>
      </c>
      <c r="B2311" s="3" t="str">
        <f>HYPERLINK("https://www.773grp.com/manufacturer/national-semiconductor?pageNo=32", "National Semiconductor")</f>
        <v>National Semiconductor</v>
      </c>
      <c r="C2311" s="6">
        <v>2500</v>
      </c>
      <c r="D2311" s="7">
        <v>4.1100000000000003</v>
      </c>
      <c r="E2311" t="s">
        <v>7</v>
      </c>
    </row>
    <row r="2312" spans="1:5" x14ac:dyDescent="0.25">
      <c r="A2312" t="str">
        <f>HYPERLINK("https://www.773grp.com/globalSearch/LM3578AN-NOPB/page-1", "LM3578AN-NOPB")</f>
        <v>LM3578AN-NOPB</v>
      </c>
      <c r="B2312" s="3" t="str">
        <f>HYPERLINK("https://www.773grp.com/manufacturer/national-semiconductor?pageNo=33", "National Semiconductor")</f>
        <v>National Semiconductor</v>
      </c>
      <c r="C2312" s="6">
        <v>853</v>
      </c>
      <c r="D2312" s="7">
        <v>4.1100000000000003</v>
      </c>
      <c r="E2312" t="s">
        <v>7</v>
      </c>
    </row>
    <row r="2313" spans="1:5" x14ac:dyDescent="0.25">
      <c r="A2313" t="str">
        <f>HYPERLINK("https://www.773grp.com/globalSearch/LM4040AIM3-2.0/page-1", "LM4040AIM3-2.0")</f>
        <v>LM4040AIM3-2.0</v>
      </c>
      <c r="B2313" s="3" t="str">
        <f>HYPERLINK("https://www.773grp.com/manufacturer/national-semiconductor?pageNo=34", "National Semiconductor")</f>
        <v>National Semiconductor</v>
      </c>
      <c r="C2313" s="6">
        <v>4000</v>
      </c>
      <c r="D2313" s="7">
        <v>4.1100000000000003</v>
      </c>
    </row>
    <row r="2314" spans="1:5" x14ac:dyDescent="0.25">
      <c r="A2314" t="str">
        <f>HYPERLINK("https://www.773grp.com/globalSearch/LM4132EMF-1.8-NOPB/page-1", "LM4132EMF-1.8-NOPB")</f>
        <v>LM4132EMF-1.8-NOPB</v>
      </c>
      <c r="B2314" s="3" t="str">
        <f>HYPERLINK("https://www.773grp.com/manufacturer/national-semiconductor?pageNo=35", "National Semiconductor")</f>
        <v>National Semiconductor</v>
      </c>
      <c r="C2314" s="6">
        <v>16000</v>
      </c>
      <c r="D2314" s="7">
        <v>4.1100000000000003</v>
      </c>
    </row>
    <row r="2315" spans="1:5" x14ac:dyDescent="0.25">
      <c r="A2315" t="str">
        <f>HYPERLINK("https://www.773grp.com/globalSearch/LM4132EMF-2.0-NOPB/page-1", "LM4132EMF-2.0-NOPB")</f>
        <v>LM4132EMF-2.0-NOPB</v>
      </c>
      <c r="B2315" s="3" t="str">
        <f>HYPERLINK("https://www.773grp.com/manufacturer/national-semiconductor?pageNo=36", "National Semiconductor")</f>
        <v>National Semiconductor</v>
      </c>
      <c r="C2315" s="6">
        <v>1970</v>
      </c>
      <c r="D2315" s="7">
        <v>4.1100000000000003</v>
      </c>
    </row>
    <row r="2316" spans="1:5" x14ac:dyDescent="0.25">
      <c r="A2316" t="str">
        <f>HYPERLINK("https://www.773grp.com/globalSearch/LM4132EMF-2.5-NOPB/page-1", "LM4132EMF-2.5-NOPB")</f>
        <v>LM4132EMF-2.5-NOPB</v>
      </c>
      <c r="B2316" s="3" t="str">
        <f>HYPERLINK("https://www.773grp.com/manufacturer/national-semiconductor?pageNo=37", "National Semiconductor")</f>
        <v>National Semiconductor</v>
      </c>
      <c r="C2316" s="6">
        <v>1730</v>
      </c>
      <c r="D2316" s="7">
        <v>4.1100000000000003</v>
      </c>
    </row>
    <row r="2317" spans="1:5" x14ac:dyDescent="0.25">
      <c r="A2317" t="str">
        <f>HYPERLINK("https://www.773grp.com/globalSearch/LM4132EMF-3.3-NOPB/page-1", "LM4132EMF-3.3-NOPB")</f>
        <v>LM4132EMF-3.3-NOPB</v>
      </c>
      <c r="B2317" s="3" t="str">
        <f>HYPERLINK("https://www.773grp.com/manufacturer/national-semiconductor?pageNo=38", "National Semiconductor")</f>
        <v>National Semiconductor</v>
      </c>
      <c r="C2317" s="6">
        <v>3000</v>
      </c>
      <c r="D2317" s="7">
        <v>4.1100000000000003</v>
      </c>
    </row>
    <row r="2318" spans="1:5" x14ac:dyDescent="0.25">
      <c r="A2318" t="str">
        <f>HYPERLINK("https://www.773grp.com/globalSearch/LM4132EMF-4.1-NOPB/page-1", "LM4132EMF-4.1-NOPB")</f>
        <v>LM4132EMF-4.1-NOPB</v>
      </c>
      <c r="B2318" s="3" t="str">
        <f>HYPERLINK("https://www.773grp.com/manufacturer/national-semiconductor?pageNo=39", "National Semiconductor")</f>
        <v>National Semiconductor</v>
      </c>
      <c r="C2318" s="6">
        <v>1000</v>
      </c>
      <c r="D2318" s="7">
        <v>4.1100000000000003</v>
      </c>
    </row>
    <row r="2319" spans="1:5" x14ac:dyDescent="0.25">
      <c r="A2319" t="str">
        <f>HYPERLINK("https://www.773grp.com/globalSearch/LMC6061IMX/page-1", "LMC6061IMX")</f>
        <v>LMC6061IMX</v>
      </c>
      <c r="B2319" s="3" t="str">
        <f>HYPERLINK("https://www.773grp.com/manufacturer/national-semiconductor?pageNo=40", "National Semiconductor")</f>
        <v>National Semiconductor</v>
      </c>
      <c r="C2319" s="6">
        <v>2500</v>
      </c>
      <c r="D2319" s="7">
        <v>4.1100000000000003</v>
      </c>
      <c r="E2319" t="s">
        <v>13</v>
      </c>
    </row>
    <row r="2320" spans="1:5" x14ac:dyDescent="0.25">
      <c r="A2320" t="str">
        <f>HYPERLINK("https://www.773grp.com/globalSearch/LME49721MA-NOPB/page-1", "LME49721MA-NOPB")</f>
        <v>LME49721MA-NOPB</v>
      </c>
      <c r="B2320" s="3" t="str">
        <f>HYPERLINK("https://www.773grp.com/manufacturer/national-semiconductor?pageNo=41", "National Semiconductor")</f>
        <v>National Semiconductor</v>
      </c>
      <c r="C2320" s="6">
        <v>245</v>
      </c>
      <c r="D2320" s="7">
        <v>4.1100000000000003</v>
      </c>
      <c r="E2320" t="s">
        <v>13</v>
      </c>
    </row>
    <row r="2321" spans="1:5" x14ac:dyDescent="0.25">
      <c r="A2321" t="str">
        <f>HYPERLINK("https://www.773grp.com/globalSearch/LMV554MT-NOPB/page-1", "LMV554MT-NOPB")</f>
        <v>LMV554MT-NOPB</v>
      </c>
      <c r="B2321" s="3" t="str">
        <f>HYPERLINK("https://www.773grp.com/manufacturer/national-semiconductor?pageNo=42", "National Semiconductor")</f>
        <v>National Semiconductor</v>
      </c>
      <c r="C2321" s="6">
        <v>827</v>
      </c>
      <c r="D2321" s="7">
        <v>4.1100000000000003</v>
      </c>
    </row>
    <row r="2322" spans="1:5" x14ac:dyDescent="0.25">
      <c r="A2322" t="str">
        <f>HYPERLINK("https://www.773grp.com/globalSearch/LP2986AIM-3.0-NOPB/page-1", "LP2986AIM-3.0-NOPB")</f>
        <v>LP2986AIM-3.0-NOPB</v>
      </c>
      <c r="B2322" s="3" t="str">
        <f>HYPERLINK("https://www.773grp.com/manufacturer/national-semiconductor?pageNo=43", "National Semiconductor")</f>
        <v>National Semiconductor</v>
      </c>
      <c r="C2322" s="6">
        <v>225</v>
      </c>
      <c r="D2322" s="7">
        <v>4.1100000000000003</v>
      </c>
      <c r="E2322" t="s">
        <v>27</v>
      </c>
    </row>
    <row r="2323" spans="1:5" x14ac:dyDescent="0.25">
      <c r="A2323" t="str">
        <f>HYPERLINK("https://www.773grp.com/globalSearch/LP2986AIM-3.3-NOPB/page-1", "LP2986AIM-3.3-NOPB")</f>
        <v>LP2986AIM-3.3-NOPB</v>
      </c>
      <c r="B2323" s="3" t="str">
        <f>HYPERLINK("https://www.773grp.com/manufacturer/national-semiconductor?pageNo=44", "National Semiconductor")</f>
        <v>National Semiconductor</v>
      </c>
      <c r="C2323" s="6">
        <v>535</v>
      </c>
      <c r="D2323" s="7">
        <v>4.1100000000000003</v>
      </c>
      <c r="E2323" t="s">
        <v>27</v>
      </c>
    </row>
    <row r="2324" spans="1:5" x14ac:dyDescent="0.25">
      <c r="A2324" t="str">
        <f>HYPERLINK("https://www.773grp.com/globalSearch/LP2986AIM-5.0-NOPB/page-1", "LP2986AIM-5.0-NOPB")</f>
        <v>LP2986AIM-5.0-NOPB</v>
      </c>
      <c r="B2324" s="3" t="str">
        <f>HYPERLINK("https://www.773grp.com/manufacturer/national-semiconductor?pageNo=45", "National Semiconductor")</f>
        <v>National Semiconductor</v>
      </c>
      <c r="C2324" s="6">
        <v>320</v>
      </c>
      <c r="D2324" s="7">
        <v>4.1100000000000003</v>
      </c>
      <c r="E2324" t="s">
        <v>27</v>
      </c>
    </row>
    <row r="2325" spans="1:5" x14ac:dyDescent="0.25">
      <c r="A2325" t="str">
        <f>HYPERLINK("https://www.773grp.com/globalSearch/LP2998MA-NOPB/page-1", "LP2998MA-NOPB")</f>
        <v>LP2998MA-NOPB</v>
      </c>
      <c r="B2325" s="3" t="str">
        <f>HYPERLINK("https://www.773grp.com/manufacturer/national-semiconductor?pageNo=46", "National Semiconductor")</f>
        <v>National Semiconductor</v>
      </c>
      <c r="C2325" s="6">
        <v>890</v>
      </c>
      <c r="D2325" s="7">
        <v>4.1100000000000003</v>
      </c>
      <c r="E2325" t="s">
        <v>24</v>
      </c>
    </row>
    <row r="2326" spans="1:5" x14ac:dyDescent="0.25">
      <c r="A2326" t="str">
        <f>HYPERLINK("https://www.773grp.com/globalSearch/LP2998MR-NOPB/page-1", "LP2998MR-NOPB")</f>
        <v>LP2998MR-NOPB</v>
      </c>
      <c r="B2326" s="3" t="str">
        <f>HYPERLINK("https://www.773grp.com/manufacturer/national-semiconductor?pageNo=47", "National Semiconductor")</f>
        <v>National Semiconductor</v>
      </c>
      <c r="C2326" s="6">
        <v>1311</v>
      </c>
      <c r="D2326" s="7">
        <v>4.1100000000000003</v>
      </c>
      <c r="E2326" t="s">
        <v>24</v>
      </c>
    </row>
    <row r="2327" spans="1:5" x14ac:dyDescent="0.25">
      <c r="A2327" t="str">
        <f>HYPERLINK("https://www.773grp.com/globalSearch/LP3470M5-2.93/page-1", "LP3470M5-2.93")</f>
        <v>LP3470M5-2.93</v>
      </c>
      <c r="B2327" s="3" t="str">
        <f>HYPERLINK("https://www.773grp.com/manufacturer/national-semiconductor?pageNo=48", "National Semiconductor")</f>
        <v>National Semiconductor</v>
      </c>
      <c r="C2327" s="6">
        <v>11000</v>
      </c>
      <c r="D2327" s="7">
        <v>4.1100000000000003</v>
      </c>
    </row>
    <row r="2328" spans="1:5" x14ac:dyDescent="0.25">
      <c r="A2328" t="str">
        <f>HYPERLINK("https://www.773grp.com/globalSearch/LP3470M5-4.63/page-1", "LP3470M5-4.63")</f>
        <v>LP3470M5-4.63</v>
      </c>
      <c r="B2328" s="3" t="str">
        <f>HYPERLINK("https://www.773grp.com/manufacturer/national-semiconductor?pageNo=49", "National Semiconductor")</f>
        <v>National Semiconductor</v>
      </c>
      <c r="C2328" s="6">
        <v>9000</v>
      </c>
      <c r="D2328" s="7">
        <v>4.1100000000000003</v>
      </c>
    </row>
    <row r="2329" spans="1:5" x14ac:dyDescent="0.25">
      <c r="A2329" t="str">
        <f>HYPERLINK("https://www.773grp.com/globalSearch/PCA9534DB/page-1", "PCA9534DB")</f>
        <v>PCA9534DB</v>
      </c>
      <c r="B2329" s="3" t="str">
        <f>HYPERLINK("https://www.773grp.com/manufacturer/national-semiconductor?pageNo=50", "National Semiconductor")</f>
        <v>National Semiconductor</v>
      </c>
      <c r="C2329" s="6">
        <v>3120</v>
      </c>
      <c r="D2329" s="7">
        <v>4.1100000000000003</v>
      </c>
    </row>
    <row r="2330" spans="1:5" x14ac:dyDescent="0.25">
      <c r="A2330" t="str">
        <f>HYPERLINK("https://www.773grp.com/globalSearch/54279DMQB/page-1", "54279DMQB")</f>
        <v>54279DMQB</v>
      </c>
      <c r="B2330" s="3" t="str">
        <f>HYPERLINK("https://www.773grp.com/manufacturer/national-semiconductor?pageNo=51", "National Semiconductor")</f>
        <v>National Semiconductor</v>
      </c>
      <c r="C2330" s="6">
        <v>4279</v>
      </c>
      <c r="D2330" s="7">
        <v>3.75</v>
      </c>
      <c r="E2330" t="s">
        <v>35</v>
      </c>
    </row>
    <row r="2331" spans="1:5" x14ac:dyDescent="0.25">
      <c r="A2331" t="str">
        <f>HYPERLINK("https://www.773grp.com/globalSearch/54LS156DM/page-1", "54LS156DM")</f>
        <v>54LS156DM</v>
      </c>
      <c r="B2331" s="3" t="str">
        <f>HYPERLINK("https://www.773grp.com/manufacturer/national-semiconductor?pageNo=52", "National Semiconductor")</f>
        <v>National Semiconductor</v>
      </c>
      <c r="C2331" s="6">
        <v>335</v>
      </c>
      <c r="D2331" s="7">
        <v>3.75</v>
      </c>
    </row>
    <row r="2332" spans="1:5" x14ac:dyDescent="0.25">
      <c r="A2332" t="str">
        <f>HYPERLINK("https://www.773grp.com/globalSearch/54LS156DMQB/page-1", "54LS156DMQB")</f>
        <v>54LS156DMQB</v>
      </c>
      <c r="B2332" s="3" t="str">
        <f>HYPERLINK("https://www.773grp.com/manufacturer/national-semiconductor?pageNo=53", "National Semiconductor")</f>
        <v>National Semiconductor</v>
      </c>
      <c r="C2332" s="6">
        <v>1237</v>
      </c>
      <c r="D2332" s="7">
        <v>3.75</v>
      </c>
      <c r="E2332" t="s">
        <v>36</v>
      </c>
    </row>
    <row r="2333" spans="1:5" x14ac:dyDescent="0.25">
      <c r="A2333" t="str">
        <f>HYPERLINK("https://www.773grp.com/globalSearch/54LS156J-883/page-1", "54LS156J-883")</f>
        <v>54LS156J-883</v>
      </c>
      <c r="B2333" s="3" t="str">
        <f>HYPERLINK("https://www.773grp.com/manufacturer/national-semiconductor?pageNo=54", "National Semiconductor")</f>
        <v>National Semiconductor</v>
      </c>
      <c r="C2333" s="6">
        <v>514</v>
      </c>
      <c r="D2333" s="7">
        <v>3.75</v>
      </c>
    </row>
    <row r="2334" spans="1:5" x14ac:dyDescent="0.25">
      <c r="A2334" t="str">
        <f>HYPERLINK("https://www.773grp.com/globalSearch/54LS395DMQB/page-1", "54LS395DMQB")</f>
        <v>54LS395DMQB</v>
      </c>
      <c r="B2334" s="3" t="str">
        <f>HYPERLINK("https://www.773grp.com/manufacturer/national-semiconductor?pageNo=55", "National Semiconductor")</f>
        <v>National Semiconductor</v>
      </c>
      <c r="C2334" s="6">
        <v>2620</v>
      </c>
      <c r="D2334" s="7">
        <v>3.75</v>
      </c>
      <c r="E2334" t="s">
        <v>32</v>
      </c>
    </row>
    <row r="2335" spans="1:5" x14ac:dyDescent="0.25">
      <c r="A2335" t="str">
        <f>HYPERLINK("https://www.773grp.com/globalSearch/54S22DM/page-1", "54S22DM")</f>
        <v>54S22DM</v>
      </c>
      <c r="B2335" s="3" t="str">
        <f>HYPERLINK("https://www.773grp.com/manufacturer/national-semiconductor?pageNo=56", "National Semiconductor")</f>
        <v>National Semiconductor</v>
      </c>
      <c r="C2335" s="6">
        <v>119</v>
      </c>
      <c r="D2335" s="7">
        <v>3.75</v>
      </c>
    </row>
    <row r="2336" spans="1:5" x14ac:dyDescent="0.25">
      <c r="A2336" t="str">
        <f>HYPERLINK("https://www.773grp.com/globalSearch/LM25088MH-2/page-1", "LM25088MH-2")</f>
        <v>LM25088MH-2</v>
      </c>
      <c r="B2336" s="3" t="str">
        <f>HYPERLINK("https://www.773grp.com/manufacturer/national-semiconductor?pageNo=57", "National Semiconductor")</f>
        <v>National Semiconductor</v>
      </c>
      <c r="C2336" s="6">
        <v>264</v>
      </c>
      <c r="D2336" s="7">
        <v>3.75</v>
      </c>
      <c r="E2336" t="s">
        <v>7</v>
      </c>
    </row>
    <row r="2337" spans="1:5" x14ac:dyDescent="0.25">
      <c r="A2337" t="str">
        <f>HYPERLINK("https://www.773grp.com/globalSearch/LM2612ATL/page-1", "LM2612ATL")</f>
        <v>LM2612ATL</v>
      </c>
      <c r="B2337" s="3" t="str">
        <f>HYPERLINK("https://www.773grp.com/manufacturer/national-semiconductor?pageNo=58", "National Semiconductor")</f>
        <v>National Semiconductor</v>
      </c>
      <c r="C2337" s="6">
        <v>1750</v>
      </c>
      <c r="D2337" s="7">
        <v>3.75</v>
      </c>
      <c r="E2337" t="s">
        <v>7</v>
      </c>
    </row>
    <row r="2338" spans="1:5" x14ac:dyDescent="0.25">
      <c r="A2338" t="str">
        <f>HYPERLINK("https://www.773grp.com/globalSearch/LM2614ATL/page-1", "LM2614ATL")</f>
        <v>LM2614ATL</v>
      </c>
      <c r="B2338" s="3" t="str">
        <f>HYPERLINK("https://www.773grp.com/manufacturer/national-semiconductor?pageNo=59", "National Semiconductor")</f>
        <v>National Semiconductor</v>
      </c>
      <c r="C2338" s="6">
        <v>2000</v>
      </c>
      <c r="D2338" s="7">
        <v>3.75</v>
      </c>
      <c r="E2338" t="s">
        <v>7</v>
      </c>
    </row>
    <row r="2339" spans="1:5" x14ac:dyDescent="0.25">
      <c r="A2339" t="str">
        <f>HYPERLINK("https://www.773grp.com/globalSearch/LM3500TL-21/page-1", "LM3500TL-21")</f>
        <v>LM3500TL-21</v>
      </c>
      <c r="B2339" s="3" t="str">
        <f>HYPERLINK("https://www.773grp.com/manufacturer/national-semiconductor?pageNo=60", "National Semiconductor")</f>
        <v>National Semiconductor</v>
      </c>
      <c r="C2339" s="6">
        <v>84</v>
      </c>
      <c r="D2339" s="7">
        <v>3.75</v>
      </c>
      <c r="E2339" t="s">
        <v>10</v>
      </c>
    </row>
    <row r="2340" spans="1:5" x14ac:dyDescent="0.25">
      <c r="A2340" t="str">
        <f>HYPERLINK("https://www.773grp.com/globalSearch/LM350AT-NOPB/page-1", "LM350AT-NOPB")</f>
        <v>LM350AT-NOPB</v>
      </c>
      <c r="B2340" s="3" t="str">
        <f>HYPERLINK("https://www.773grp.com/manufacturer/national-semiconductor?pageNo=61", "National Semiconductor")</f>
        <v>National Semiconductor</v>
      </c>
      <c r="C2340" s="6">
        <v>1208</v>
      </c>
      <c r="D2340" s="7">
        <v>3.75</v>
      </c>
      <c r="E2340" t="s">
        <v>22</v>
      </c>
    </row>
    <row r="2341" spans="1:5" x14ac:dyDescent="0.25">
      <c r="A2341" t="str">
        <f>HYPERLINK("https://www.773grp.com/globalSearch/LM385BXM-1.2-NOPB/page-1", "LM385BXM-1.2-NOPB")</f>
        <v>LM385BXM-1.2-NOPB</v>
      </c>
      <c r="B2341" s="3" t="str">
        <f>HYPERLINK("https://www.773grp.com/manufacturer/national-semiconductor?pageNo=62", "National Semiconductor")</f>
        <v>National Semiconductor</v>
      </c>
      <c r="C2341" s="6">
        <v>1425</v>
      </c>
      <c r="D2341" s="7">
        <v>3.75</v>
      </c>
      <c r="E2341" t="s">
        <v>17</v>
      </c>
    </row>
    <row r="2342" spans="1:5" x14ac:dyDescent="0.25">
      <c r="A2342" t="str">
        <f>HYPERLINK("https://www.773grp.com/globalSearch/LM385BXM-2.5-NOPB/page-1", "LM385BXM-2.5-NOPB")</f>
        <v>LM385BXM-2.5-NOPB</v>
      </c>
      <c r="B2342" s="3" t="str">
        <f>HYPERLINK("https://www.773grp.com/manufacturer/national-semiconductor?pageNo=63", "National Semiconductor")</f>
        <v>National Semiconductor</v>
      </c>
      <c r="C2342" s="6">
        <v>2368</v>
      </c>
      <c r="D2342" s="7">
        <v>3.75</v>
      </c>
      <c r="E2342" t="s">
        <v>17</v>
      </c>
    </row>
    <row r="2343" spans="1:5" x14ac:dyDescent="0.25">
      <c r="A2343" t="str">
        <f>HYPERLINK("https://www.773grp.com/globalSearch/LM4855ITL/page-1", "LM4855ITL")</f>
        <v>LM4855ITL</v>
      </c>
      <c r="B2343" s="3" t="str">
        <f>HYPERLINK("https://www.773grp.com/manufacturer/national-semiconductor?pageNo=64", "National Semiconductor")</f>
        <v>National Semiconductor</v>
      </c>
      <c r="C2343" s="6">
        <v>500</v>
      </c>
      <c r="D2343" s="7">
        <v>3.75</v>
      </c>
      <c r="E2343" t="s">
        <v>18</v>
      </c>
    </row>
    <row r="2344" spans="1:5" x14ac:dyDescent="0.25">
      <c r="A2344" t="str">
        <f>HYPERLINK("https://www.773grp.com/globalSearch/LM5067MM-1-NOPB/page-1", "LM5067MM-1-NOPB")</f>
        <v>LM5067MM-1-NOPB</v>
      </c>
      <c r="B2344" s="3" t="str">
        <f>HYPERLINK("https://www.773grp.com/manufacturer/national-semiconductor?pageNo=65", "National Semiconductor")</f>
        <v>National Semiconductor</v>
      </c>
      <c r="C2344" s="6">
        <v>347</v>
      </c>
      <c r="D2344" s="7">
        <v>3.75</v>
      </c>
    </row>
    <row r="2345" spans="1:5" x14ac:dyDescent="0.25">
      <c r="A2345" t="str">
        <f>HYPERLINK("https://www.773grp.com/globalSearch/LM5067MM-2-NOPB/page-1", "LM5067MM-2-NOPB")</f>
        <v>LM5067MM-2-NOPB</v>
      </c>
      <c r="B2345" s="3" t="str">
        <f>HYPERLINK("https://www.773grp.com/manufacturer/national-semiconductor?pageNo=66", "National Semiconductor")</f>
        <v>National Semiconductor</v>
      </c>
      <c r="C2345" s="6">
        <v>6434</v>
      </c>
      <c r="D2345" s="7">
        <v>3.75</v>
      </c>
    </row>
    <row r="2346" spans="1:5" x14ac:dyDescent="0.25">
      <c r="A2346" t="str">
        <f>HYPERLINK("https://www.773grp.com/globalSearch/LM5067MWX-1-NOPB/page-1", "LM5067MWX-1-NOPB")</f>
        <v>LM5067MWX-1-NOPB</v>
      </c>
      <c r="B2346" s="3" t="str">
        <f>HYPERLINK("https://www.773grp.com/manufacturer/national-semiconductor?pageNo=67", "National Semiconductor")</f>
        <v>National Semiconductor</v>
      </c>
      <c r="C2346" s="6">
        <v>2000</v>
      </c>
      <c r="D2346" s="7">
        <v>3.75</v>
      </c>
    </row>
    <row r="2347" spans="1:5" x14ac:dyDescent="0.25">
      <c r="A2347" t="str">
        <f>HYPERLINK("https://www.773grp.com/globalSearch/LM5070SD-50/page-1", "LM5070SD-50")</f>
        <v>LM5070SD-50</v>
      </c>
      <c r="B2347" s="3" t="str">
        <f>HYPERLINK("https://www.773grp.com/manufacturer/national-semiconductor?pageNo=68", "National Semiconductor")</f>
        <v>National Semiconductor</v>
      </c>
      <c r="C2347" s="6">
        <v>271</v>
      </c>
      <c r="D2347" s="7">
        <v>3.75</v>
      </c>
      <c r="E2347" t="s">
        <v>7</v>
      </c>
    </row>
    <row r="2348" spans="1:5" x14ac:dyDescent="0.25">
      <c r="A2348" t="str">
        <f>HYPERLINK("https://www.773grp.com/globalSearch/LM99CIMM/page-1", "LM99CIMM")</f>
        <v>LM99CIMM</v>
      </c>
      <c r="B2348" s="3" t="str">
        <f>HYPERLINK("https://www.773grp.com/manufacturer/national-semiconductor?pageNo=69", "National Semiconductor")</f>
        <v>National Semiconductor</v>
      </c>
      <c r="C2348" s="6">
        <v>2464</v>
      </c>
      <c r="D2348" s="7">
        <v>3.75</v>
      </c>
      <c r="E2348" t="s">
        <v>12</v>
      </c>
    </row>
    <row r="2349" spans="1:5" x14ac:dyDescent="0.25">
      <c r="A2349" t="str">
        <f>HYPERLINK("https://www.773grp.com/globalSearch/LMC6484AIM-NOPB/page-1", "LMC6484AIM-NOPB")</f>
        <v>LMC6484AIM-NOPB</v>
      </c>
      <c r="B2349" s="3" t="str">
        <f>HYPERLINK("https://www.773grp.com/manufacturer/national-semiconductor?pageNo=70", "National Semiconductor")</f>
        <v>National Semiconductor</v>
      </c>
      <c r="C2349" s="6">
        <v>4903</v>
      </c>
      <c r="D2349" s="7">
        <v>3.75</v>
      </c>
      <c r="E2349" t="s">
        <v>13</v>
      </c>
    </row>
    <row r="2350" spans="1:5" x14ac:dyDescent="0.25">
      <c r="A2350" t="str">
        <f>HYPERLINK("https://www.773grp.com/globalSearch/LMC6772AIN/page-1", "LMC6772AIN")</f>
        <v>LMC6772AIN</v>
      </c>
      <c r="B2350" s="3" t="str">
        <f>HYPERLINK("https://www.773grp.com/manufacturer/national-semiconductor?pageNo=71", "National Semiconductor")</f>
        <v>National Semiconductor</v>
      </c>
      <c r="C2350" s="6">
        <v>5596</v>
      </c>
      <c r="D2350" s="7">
        <v>3.75</v>
      </c>
      <c r="E2350" t="s">
        <v>9</v>
      </c>
    </row>
    <row r="2351" spans="1:5" x14ac:dyDescent="0.25">
      <c r="A2351" t="str">
        <f>HYPERLINK("https://www.773grp.com/globalSearch/LMP2231AMF/page-1", "LMP2231AMF")</f>
        <v>LMP2231AMF</v>
      </c>
      <c r="B2351" s="3" t="str">
        <f>HYPERLINK("https://www.773grp.com/manufacturer/national-semiconductor?pageNo=72", "National Semiconductor")</f>
        <v>National Semiconductor</v>
      </c>
      <c r="C2351" s="6">
        <v>2000</v>
      </c>
      <c r="D2351" s="7">
        <v>3.75</v>
      </c>
      <c r="E2351" t="s">
        <v>13</v>
      </c>
    </row>
    <row r="2352" spans="1:5" x14ac:dyDescent="0.25">
      <c r="A2352" t="str">
        <f>HYPERLINK("https://www.773grp.com/globalSearch/LMP7732MME/page-1", "LMP7732MME")</f>
        <v>LMP7732MME</v>
      </c>
      <c r="B2352" s="3" t="str">
        <f>HYPERLINK("https://www.773grp.com/manufacturer/national-semiconductor?pageNo=73", "National Semiconductor")</f>
        <v>National Semiconductor</v>
      </c>
      <c r="C2352" s="6">
        <v>150</v>
      </c>
      <c r="D2352" s="7">
        <v>3.75</v>
      </c>
      <c r="E2352" t="s">
        <v>13</v>
      </c>
    </row>
    <row r="2353" spans="1:5" x14ac:dyDescent="0.25">
      <c r="A2353" t="str">
        <f>HYPERLINK("https://www.773grp.com/globalSearch/LMV842QMM-NOPB/page-1", "LMV842QMM-NOPB")</f>
        <v>LMV842QMM-NOPB</v>
      </c>
      <c r="B2353" s="3" t="str">
        <f>HYPERLINK("https://www.773grp.com/manufacturer/national-semiconductor?pageNo=74", "National Semiconductor")</f>
        <v>National Semiconductor</v>
      </c>
      <c r="C2353" s="6">
        <v>1000</v>
      </c>
      <c r="D2353" s="7">
        <v>3.75</v>
      </c>
    </row>
    <row r="2354" spans="1:5" x14ac:dyDescent="0.25">
      <c r="A2354" t="str">
        <f>HYPERLINK("https://www.773grp.com/globalSearch/LP3892ET-1.2/page-1", "LP3892ET-1.2")</f>
        <v>LP3892ET-1.2</v>
      </c>
      <c r="B2354" s="3" t="str">
        <f>HYPERLINK("https://www.773grp.com/manufacturer/national-semiconductor?pageNo=75", "National Semiconductor")</f>
        <v>National Semiconductor</v>
      </c>
      <c r="C2354" s="6">
        <v>100</v>
      </c>
      <c r="D2354" s="7">
        <v>3.75</v>
      </c>
      <c r="E2354" t="s">
        <v>19</v>
      </c>
    </row>
    <row r="2355" spans="1:5" x14ac:dyDescent="0.25">
      <c r="A2355" t="str">
        <f>HYPERLINK("https://www.773grp.com/globalSearch/LM3500TL-21/page-1", "LM3500TL-21")</f>
        <v>LM3500TL-21</v>
      </c>
      <c r="B2355" s="3" t="str">
        <f>HYPERLINK("https://www.773grp.com/manufacturer/national-semiconductor?pageNo=76", "National Semiconductor")</f>
        <v>National Semiconductor</v>
      </c>
      <c r="C2355" s="6">
        <v>250</v>
      </c>
      <c r="D2355" s="7">
        <v>3.75</v>
      </c>
      <c r="E2355" t="s">
        <v>10</v>
      </c>
    </row>
    <row r="2356" spans="1:5" x14ac:dyDescent="0.25">
      <c r="A2356" t="str">
        <f>HYPERLINK("https://www.773grp.com/globalSearch/LM350AT-NOPB/page-1", "LM350AT-NOPB")</f>
        <v>LM350AT-NOPB</v>
      </c>
      <c r="B2356" s="3" t="str">
        <f>HYPERLINK("https://www.773grp.com/manufacturer/national-semiconductor?pageNo=77", "National Semiconductor")</f>
        <v>National Semiconductor</v>
      </c>
      <c r="C2356" s="6">
        <v>233</v>
      </c>
      <c r="D2356" s="7">
        <v>3.75</v>
      </c>
      <c r="E2356" t="s">
        <v>22</v>
      </c>
    </row>
    <row r="2357" spans="1:5" x14ac:dyDescent="0.25">
      <c r="A2357" t="str">
        <f>HYPERLINK("https://www.773grp.com/globalSearch/LM385BXM-1.2-NOPB/page-1", "LM385BXM-1.2-NOPB")</f>
        <v>LM385BXM-1.2-NOPB</v>
      </c>
      <c r="B2357" s="3" t="str">
        <f>HYPERLINK("https://www.773grp.com/manufacturer/national-semiconductor?pageNo=78", "National Semiconductor")</f>
        <v>National Semiconductor</v>
      </c>
      <c r="C2357" s="6">
        <v>440</v>
      </c>
      <c r="D2357" s="7">
        <v>3.75</v>
      </c>
      <c r="E2357" t="s">
        <v>17</v>
      </c>
    </row>
    <row r="2358" spans="1:5" x14ac:dyDescent="0.25">
      <c r="A2358" t="str">
        <f>HYPERLINK("https://www.773grp.com/globalSearch/LM385BXM-2.5-NOPB/page-1", "LM385BXM-2.5-NOPB")</f>
        <v>LM385BXM-2.5-NOPB</v>
      </c>
      <c r="B2358" s="3" t="str">
        <f>HYPERLINK("https://www.773grp.com/manufacturer/national-semiconductor?pageNo=79", "National Semiconductor")</f>
        <v>National Semiconductor</v>
      </c>
      <c r="C2358" s="6">
        <v>1071</v>
      </c>
      <c r="D2358" s="7">
        <v>3.75</v>
      </c>
      <c r="E2358" t="s">
        <v>17</v>
      </c>
    </row>
    <row r="2359" spans="1:5" x14ac:dyDescent="0.25">
      <c r="A2359" t="str">
        <f>HYPERLINK("https://www.773grp.com/globalSearch/LM5067MM-1-NOPB/page-1", "LM5067MM-1-NOPB")</f>
        <v>LM5067MM-1-NOPB</v>
      </c>
      <c r="B2359" s="3" t="str">
        <f>HYPERLINK("https://www.773grp.com/manufacturer/national-semiconductor?pageNo=80", "National Semiconductor")</f>
        <v>National Semiconductor</v>
      </c>
      <c r="C2359" s="6">
        <v>615</v>
      </c>
      <c r="D2359" s="7">
        <v>3.75</v>
      </c>
    </row>
    <row r="2360" spans="1:5" x14ac:dyDescent="0.25">
      <c r="A2360" t="str">
        <f>HYPERLINK("https://www.773grp.com/globalSearch/LM5067MM-2-NOPB/page-1", "LM5067MM-2-NOPB")</f>
        <v>LM5067MM-2-NOPB</v>
      </c>
      <c r="B2360" s="3" t="str">
        <f>HYPERLINK("https://www.773grp.com/manufacturer/national-semiconductor?pageNo=81", "National Semiconductor")</f>
        <v>National Semiconductor</v>
      </c>
      <c r="C2360" s="6">
        <v>2210</v>
      </c>
      <c r="D2360" s="7">
        <v>3.75</v>
      </c>
    </row>
    <row r="2361" spans="1:5" x14ac:dyDescent="0.25">
      <c r="A2361" t="str">
        <f>HYPERLINK("https://www.773grp.com/globalSearch/LM5067MM-2-NOPB/page-1", "LM5067MM-2-NOPB")</f>
        <v>LM5067MM-2-NOPB</v>
      </c>
      <c r="B2361" s="3" t="str">
        <f>HYPERLINK("https://www.773grp.com/manufacturer/national-semiconductor?pageNo=82", "National Semiconductor")</f>
        <v>National Semiconductor</v>
      </c>
      <c r="C2361" s="6">
        <v>120</v>
      </c>
      <c r="D2361" s="7">
        <v>3.75</v>
      </c>
    </row>
    <row r="2362" spans="1:5" x14ac:dyDescent="0.25">
      <c r="A2362" t="str">
        <f>HYPERLINK("https://www.773grp.com/globalSearch/LMC6484AIM-NOPB/page-1", "LMC6484AIM-NOPB")</f>
        <v>LMC6484AIM-NOPB</v>
      </c>
      <c r="B2362" s="3" t="str">
        <f>HYPERLINK("https://www.773grp.com/manufacturer/national-semiconductor?pageNo=83", "National Semiconductor")</f>
        <v>National Semiconductor</v>
      </c>
      <c r="C2362" s="6">
        <v>9520</v>
      </c>
      <c r="D2362" s="7">
        <v>3.75</v>
      </c>
      <c r="E2362" t="s">
        <v>13</v>
      </c>
    </row>
    <row r="2363" spans="1:5" x14ac:dyDescent="0.25">
      <c r="A2363" t="str">
        <f>HYPERLINK("https://www.773grp.com/globalSearch/LP2960IM-5.0/page-1", "LP2960IM-5.0")</f>
        <v>LP2960IM-5.0</v>
      </c>
      <c r="B2363" s="3" t="str">
        <f>HYPERLINK("https://www.773grp.com/manufacturer/national-semiconductor?pageNo=84", "National Semiconductor")</f>
        <v>National Semiconductor</v>
      </c>
      <c r="C2363" s="6">
        <v>1946</v>
      </c>
      <c r="D2363" s="7">
        <v>3.75</v>
      </c>
    </row>
    <row r="2364" spans="1:5" x14ac:dyDescent="0.25">
      <c r="A2364" t="str">
        <f>HYPERLINK("https://www.773grp.com/globalSearch/2N2904AJTX/page-1", "2N2904AJTX")</f>
        <v>2N2904AJTX</v>
      </c>
      <c r="B2364" s="3" t="str">
        <f>HYPERLINK("https://www.773grp.com/manufacturer/national-semiconductor?pageNo=85", "National Semiconductor")</f>
        <v>National Semiconductor</v>
      </c>
      <c r="C2364" s="6">
        <v>28</v>
      </c>
      <c r="D2364" s="7">
        <v>4.16</v>
      </c>
    </row>
    <row r="2365" spans="1:5" x14ac:dyDescent="0.25">
      <c r="A2365" t="str">
        <f>HYPERLINK("https://www.773grp.com/globalSearch/4070BDC/page-1", "4070BDC")</f>
        <v>4070BDC</v>
      </c>
      <c r="B2365" s="3" t="str">
        <f>HYPERLINK("https://www.773grp.com/manufacturer/national-semiconductor?pageNo=86", "National Semiconductor")</f>
        <v>National Semiconductor</v>
      </c>
      <c r="C2365" s="6">
        <v>57239</v>
      </c>
      <c r="D2365" s="7">
        <v>4.16</v>
      </c>
    </row>
    <row r="2366" spans="1:5" x14ac:dyDescent="0.25">
      <c r="A2366" t="str">
        <f>HYPERLINK("https://www.773grp.com/globalSearch/74LS244PC/page-1", "74LS244PC")</f>
        <v>74LS244PC</v>
      </c>
      <c r="B2366" s="3" t="str">
        <f>HYPERLINK("https://www.773grp.com/manufacturer/national-semiconductor?pageNo=87", "National Semiconductor")</f>
        <v>National Semiconductor</v>
      </c>
      <c r="C2366" s="6">
        <v>937</v>
      </c>
      <c r="D2366" s="7">
        <v>4.16</v>
      </c>
      <c r="E2366" t="s">
        <v>14</v>
      </c>
    </row>
    <row r="2367" spans="1:5" x14ac:dyDescent="0.25">
      <c r="A2367" t="str">
        <f>HYPERLINK("https://www.773grp.com/globalSearch/74LS244PC/page-1", "74LS244PC")</f>
        <v>74LS244PC</v>
      </c>
      <c r="B2367" s="3" t="str">
        <f>HYPERLINK("https://www.773grp.com/manufacturer/national-semiconductor?pageNo=88", "National Semiconductor")</f>
        <v>National Semiconductor</v>
      </c>
      <c r="C2367" s="6">
        <v>42943</v>
      </c>
      <c r="D2367" s="7">
        <v>4.16</v>
      </c>
      <c r="E2367" t="s">
        <v>14</v>
      </c>
    </row>
    <row r="2368" spans="1:5" x14ac:dyDescent="0.25">
      <c r="A2368" t="str">
        <f>HYPERLINK("https://www.773grp.com/globalSearch/74LS245PC/page-1", "74LS245PC")</f>
        <v>74LS245PC</v>
      </c>
      <c r="B2368" s="3" t="str">
        <f>HYPERLINK("https://www.773grp.com/manufacturer/national-semiconductor?pageNo=89", "National Semiconductor")</f>
        <v>National Semiconductor</v>
      </c>
      <c r="C2368" s="6">
        <v>2272</v>
      </c>
      <c r="D2368" s="7">
        <v>4.16</v>
      </c>
      <c r="E2368" t="s">
        <v>14</v>
      </c>
    </row>
    <row r="2369" spans="1:5" x14ac:dyDescent="0.25">
      <c r="A2369" t="str">
        <f>HYPERLINK("https://www.773grp.com/globalSearch/74LS273PC/page-1", "74LS273PC")</f>
        <v>74LS273PC</v>
      </c>
      <c r="B2369" s="3" t="str">
        <f>HYPERLINK("https://www.773grp.com/manufacturer/national-semiconductor?pageNo=90", "National Semiconductor")</f>
        <v>National Semiconductor</v>
      </c>
      <c r="C2369" s="6">
        <v>16264</v>
      </c>
      <c r="D2369" s="7">
        <v>4.16</v>
      </c>
      <c r="E2369" t="s">
        <v>32</v>
      </c>
    </row>
    <row r="2370" spans="1:5" x14ac:dyDescent="0.25">
      <c r="A2370" t="str">
        <f>HYPERLINK("https://www.773grp.com/globalSearch/74LS47PC/page-1", "74LS47PC")</f>
        <v>74LS47PC</v>
      </c>
      <c r="B2370" s="3" t="str">
        <f>HYPERLINK("https://www.773grp.com/manufacturer/national-semiconductor?pageNo=91", "National Semiconductor")</f>
        <v>National Semiconductor</v>
      </c>
      <c r="C2370" s="6">
        <v>3794</v>
      </c>
      <c r="D2370" s="7">
        <v>4.16</v>
      </c>
    </row>
    <row r="2371" spans="1:5" x14ac:dyDescent="0.25">
      <c r="A2371" t="str">
        <f>HYPERLINK("https://www.773grp.com/globalSearch/74LS540PC/page-1", "74LS540PC")</f>
        <v>74LS540PC</v>
      </c>
      <c r="B2371" s="3" t="str">
        <f>HYPERLINK("https://www.773grp.com/manufacturer/national-semiconductor?pageNo=92", "National Semiconductor")</f>
        <v>National Semiconductor</v>
      </c>
      <c r="C2371" s="6">
        <v>4211</v>
      </c>
      <c r="D2371" s="7">
        <v>4.16</v>
      </c>
    </row>
    <row r="2372" spans="1:5" x14ac:dyDescent="0.25">
      <c r="A2372" t="str">
        <f>HYPERLINK("https://www.773grp.com/globalSearch/DM54LS21J-883/page-1", "DM54LS21J-883")</f>
        <v>DM54LS21J-883</v>
      </c>
      <c r="B2372" s="3" t="str">
        <f>HYPERLINK("https://www.773grp.com/manufacturer/national-semiconductor?pageNo=93", "National Semiconductor")</f>
        <v>National Semiconductor</v>
      </c>
      <c r="C2372" s="6">
        <v>2655</v>
      </c>
      <c r="D2372" s="7">
        <v>4.16</v>
      </c>
      <c r="E2372" t="s">
        <v>31</v>
      </c>
    </row>
    <row r="2373" spans="1:5" x14ac:dyDescent="0.25">
      <c r="A2373" t="str">
        <f>HYPERLINK("https://www.773grp.com/globalSearch/DS34C87TM/page-1", "DS34C87TM")</f>
        <v>DS34C87TM</v>
      </c>
      <c r="B2373" s="3" t="str">
        <f>HYPERLINK("https://www.773grp.com/manufacturer/national-semiconductor?pageNo=94", "National Semiconductor")</f>
        <v>National Semiconductor</v>
      </c>
      <c r="C2373" s="6">
        <v>768</v>
      </c>
      <c r="D2373" s="7">
        <v>4.16</v>
      </c>
    </row>
    <row r="2374" spans="1:5" x14ac:dyDescent="0.25">
      <c r="A2374" t="str">
        <f>HYPERLINK("https://www.773grp.com/globalSearch/LF444CM-NOPB/page-1", "LF444CM-NOPB")</f>
        <v>LF444CM-NOPB</v>
      </c>
      <c r="B2374" s="3" t="str">
        <f>HYPERLINK("https://www.773grp.com/manufacturer/national-semiconductor?pageNo=95", "National Semiconductor")</f>
        <v>National Semiconductor</v>
      </c>
      <c r="C2374" s="6">
        <v>222</v>
      </c>
      <c r="D2374" s="7">
        <v>4.16</v>
      </c>
      <c r="E2374" t="s">
        <v>13</v>
      </c>
    </row>
    <row r="2375" spans="1:5" x14ac:dyDescent="0.25">
      <c r="A2375" t="str">
        <f>HYPERLINK("https://www.773grp.com/globalSearch/LM1036N/page-1", "LM1036N")</f>
        <v>LM1036N</v>
      </c>
      <c r="B2375" s="3" t="str">
        <f>HYPERLINK("https://www.773grp.com/manufacturer/national-semiconductor?pageNo=96", "National Semiconductor")</f>
        <v>National Semiconductor</v>
      </c>
      <c r="C2375" s="6">
        <v>1382</v>
      </c>
      <c r="D2375" s="7">
        <v>4.16</v>
      </c>
      <c r="E2375" t="s">
        <v>41</v>
      </c>
    </row>
    <row r="2376" spans="1:5" x14ac:dyDescent="0.25">
      <c r="A2376" t="str">
        <f>HYPERLINK("https://www.773grp.com/globalSearch/LM1085ISX-3.3-NOPB/page-1", "LM1085ISX-3.3-NOPB")</f>
        <v>LM1085ISX-3.3-NOPB</v>
      </c>
      <c r="B2376" s="3" t="str">
        <f>HYPERLINK("https://www.773grp.com/manufacturer/national-semiconductor?pageNo=97", "National Semiconductor")</f>
        <v>National Semiconductor</v>
      </c>
      <c r="C2376" s="6">
        <v>16980</v>
      </c>
      <c r="D2376" s="7">
        <v>4.16</v>
      </c>
      <c r="E2376" t="s">
        <v>19</v>
      </c>
    </row>
    <row r="2377" spans="1:5" x14ac:dyDescent="0.25">
      <c r="A2377" t="str">
        <f>HYPERLINK("https://www.773grp.com/globalSearch/LM1085ISX-5.0/page-1", "LM1085ISX-5.0")</f>
        <v>LM1085ISX-5.0</v>
      </c>
      <c r="B2377" s="3" t="str">
        <f>HYPERLINK("https://www.773grp.com/manufacturer/national-semiconductor?pageNo=98", "National Semiconductor")</f>
        <v>National Semiconductor</v>
      </c>
      <c r="C2377" s="6">
        <v>3500</v>
      </c>
      <c r="D2377" s="7">
        <v>4.16</v>
      </c>
      <c r="E2377" t="s">
        <v>19</v>
      </c>
    </row>
    <row r="2378" spans="1:5" x14ac:dyDescent="0.25">
      <c r="A2378" t="str">
        <f>HYPERLINK("https://www.773grp.com/globalSearch/LM1085ISX-5.0-NOPB/page-1", "LM1085ISX-5.0-NOPB")</f>
        <v>LM1085ISX-5.0-NOPB</v>
      </c>
      <c r="B2378" s="3" t="str">
        <f>HYPERLINK("https://www.773grp.com/manufacturer/national-semiconductor?pageNo=99", "National Semiconductor")</f>
        <v>National Semiconductor</v>
      </c>
      <c r="C2378" s="6">
        <v>497</v>
      </c>
      <c r="D2378" s="7">
        <v>4.16</v>
      </c>
      <c r="E2378" t="s">
        <v>19</v>
      </c>
    </row>
    <row r="2379" spans="1:5" x14ac:dyDescent="0.25">
      <c r="A2379" t="str">
        <f>HYPERLINK("https://www.773grp.com/globalSearch/LM1085ISX-ADJ-NOPB/page-1", "LM1085ISX-ADJ-NOPB")</f>
        <v>LM1085ISX-ADJ-NOPB</v>
      </c>
      <c r="B2379" s="3" t="str">
        <f>HYPERLINK("https://www.773grp.com/manufacturer/national-semiconductor?pageNo=100", "National Semiconductor")</f>
        <v>National Semiconductor</v>
      </c>
      <c r="C2379" s="6">
        <v>3009</v>
      </c>
      <c r="D2379" s="7">
        <v>4.16</v>
      </c>
      <c r="E2379" t="s">
        <v>25</v>
      </c>
    </row>
    <row r="2380" spans="1:5" x14ac:dyDescent="0.25">
      <c r="A2380" t="str">
        <f>HYPERLINK("https://www.773grp.com/globalSearch/LM25085QMY-NOPB/page-1", "LM25085QMY-NOPB")</f>
        <v>LM25085QMY-NOPB</v>
      </c>
      <c r="B2380" s="3" t="str">
        <f>HYPERLINK("https://www.773grp.com/manufacturer/national-semiconductor?pageNo=101", "National Semiconductor")</f>
        <v>National Semiconductor</v>
      </c>
      <c r="C2380" s="6">
        <v>1000</v>
      </c>
      <c r="D2380" s="7">
        <v>4.16</v>
      </c>
    </row>
    <row r="2381" spans="1:5" x14ac:dyDescent="0.25">
      <c r="A2381" t="str">
        <f>HYPERLINK("https://www.773grp.com/globalSearch/LM25085QMYX-NOPB/page-1", "LM25085QMYX-NOPB")</f>
        <v>LM25085QMYX-NOPB</v>
      </c>
      <c r="B2381" s="3" t="str">
        <f>HYPERLINK("https://www.773grp.com/manufacturer/national-semiconductor?pageNo=102", "National Semiconductor")</f>
        <v>National Semiconductor</v>
      </c>
      <c r="C2381" s="6">
        <v>3500</v>
      </c>
      <c r="D2381" s="7">
        <v>4.16</v>
      </c>
    </row>
    <row r="2382" spans="1:5" x14ac:dyDescent="0.25">
      <c r="A2382" t="str">
        <f>HYPERLINK("https://www.773grp.com/globalSearch/LM2574MX-12-NOPB/page-1", "LM2574MX-12-NOPB")</f>
        <v>LM2574MX-12-NOPB</v>
      </c>
      <c r="B2382" s="3" t="str">
        <f>HYPERLINK("https://www.773grp.com/manufacturer/national-semiconductor?pageNo=103", "National Semiconductor")</f>
        <v>National Semiconductor</v>
      </c>
      <c r="C2382" s="6">
        <v>2000</v>
      </c>
      <c r="D2382" s="7">
        <v>4.16</v>
      </c>
      <c r="E2382" t="s">
        <v>7</v>
      </c>
    </row>
    <row r="2383" spans="1:5" x14ac:dyDescent="0.25">
      <c r="A2383" t="str">
        <f>HYPERLINK("https://www.773grp.com/globalSearch/LM2574MX-3.3-NOPB/page-1", "LM2574MX-3.3-NOPB")</f>
        <v>LM2574MX-3.3-NOPB</v>
      </c>
      <c r="B2383" s="3" t="str">
        <f>HYPERLINK("https://www.773grp.com/manufacturer/national-semiconductor?pageNo=104", "National Semiconductor")</f>
        <v>National Semiconductor</v>
      </c>
      <c r="C2383" s="6">
        <v>4909</v>
      </c>
      <c r="D2383" s="7">
        <v>4.16</v>
      </c>
      <c r="E2383" t="s">
        <v>7</v>
      </c>
    </row>
    <row r="2384" spans="1:5" x14ac:dyDescent="0.25">
      <c r="A2384" t="str">
        <f>HYPERLINK("https://www.773grp.com/globalSearch/LM2574MX-5.0-NOPB/page-1", "LM2574MX-5.0-NOPB")</f>
        <v>LM2574MX-5.0-NOPB</v>
      </c>
      <c r="B2384" s="3" t="str">
        <f>HYPERLINK("https://www.773grp.com/manufacturer/national-semiconductor?pageNo=105", "National Semiconductor")</f>
        <v>National Semiconductor</v>
      </c>
      <c r="C2384" s="6">
        <v>21000</v>
      </c>
      <c r="D2384" s="7">
        <v>4.16</v>
      </c>
      <c r="E2384" t="s">
        <v>7</v>
      </c>
    </row>
    <row r="2385" spans="1:5" x14ac:dyDescent="0.25">
      <c r="A2385" t="str">
        <f>HYPERLINK("https://www.773grp.com/globalSearch/LM2574MX-ADJ-NOPB/page-1", "LM2574MX-ADJ-NOPB")</f>
        <v>LM2574MX-ADJ-NOPB</v>
      </c>
      <c r="B2385" s="3" t="str">
        <f>HYPERLINK("https://www.773grp.com/manufacturer/national-semiconductor?pageNo=106", "National Semiconductor")</f>
        <v>National Semiconductor</v>
      </c>
      <c r="C2385" s="6">
        <v>6000</v>
      </c>
      <c r="D2385" s="7">
        <v>4.16</v>
      </c>
      <c r="E2385" t="s">
        <v>7</v>
      </c>
    </row>
    <row r="2386" spans="1:5" x14ac:dyDescent="0.25">
      <c r="A2386" t="str">
        <f>HYPERLINK("https://www.773grp.com/globalSearch/LM2791LD-L-NOPB/page-1", "LM2791LD-L-NOPB")</f>
        <v>LM2791LD-L-NOPB</v>
      </c>
      <c r="B2386" s="3" t="str">
        <f>HYPERLINK("https://www.773grp.com/manufacturer/national-semiconductor?pageNo=107", "National Semiconductor")</f>
        <v>National Semiconductor</v>
      </c>
      <c r="C2386" s="6">
        <v>330</v>
      </c>
      <c r="D2386" s="7">
        <v>4.16</v>
      </c>
      <c r="E2386" t="s">
        <v>10</v>
      </c>
    </row>
    <row r="2387" spans="1:5" x14ac:dyDescent="0.25">
      <c r="A2387" t="str">
        <f>HYPERLINK("https://www.773grp.com/globalSearch/LM2931ASX-5.0-NOPB/page-1", "LM2931ASX-5.0-NOPB")</f>
        <v>LM2931ASX-5.0-NOPB</v>
      </c>
      <c r="B2387" s="3" t="str">
        <f>HYPERLINK("https://www.773grp.com/manufacturer/national-semiconductor?pageNo=108", "National Semiconductor")</f>
        <v>National Semiconductor</v>
      </c>
      <c r="C2387" s="6">
        <v>1000</v>
      </c>
      <c r="D2387" s="7">
        <v>4.16</v>
      </c>
      <c r="E2387" t="s">
        <v>19</v>
      </c>
    </row>
    <row r="2388" spans="1:5" x14ac:dyDescent="0.25">
      <c r="A2388" t="str">
        <f>HYPERLINK("https://www.773grp.com/globalSearch/LM2941SX/page-1", "LM2941SX")</f>
        <v>LM2941SX</v>
      </c>
      <c r="B2388" s="3" t="str">
        <f>HYPERLINK("https://www.773grp.com/manufacturer/national-semiconductor?pageNo=109", "National Semiconductor")</f>
        <v>National Semiconductor</v>
      </c>
      <c r="C2388" s="6">
        <v>5558</v>
      </c>
      <c r="D2388" s="7">
        <v>4.16</v>
      </c>
      <c r="E2388" t="s">
        <v>25</v>
      </c>
    </row>
    <row r="2389" spans="1:5" x14ac:dyDescent="0.25">
      <c r="A2389" t="str">
        <f>HYPERLINK("https://www.773grp.com/globalSearch/LM3420AM5X-4.2-NOPB/page-1", "LM3420AM5X-4.2-NOPB")</f>
        <v>LM3420AM5X-4.2-NOPB</v>
      </c>
      <c r="B2389" s="3" t="str">
        <f>HYPERLINK("https://www.773grp.com/manufacturer/national-semiconductor?pageNo=110", "National Semiconductor")</f>
        <v>National Semiconductor</v>
      </c>
      <c r="C2389" s="6">
        <v>17730</v>
      </c>
      <c r="D2389" s="7">
        <v>4.16</v>
      </c>
      <c r="E2389" t="s">
        <v>30</v>
      </c>
    </row>
    <row r="2390" spans="1:5" x14ac:dyDescent="0.25">
      <c r="A2390" t="str">
        <f>HYPERLINK("https://www.773grp.com/globalSearch/LM3578AN/page-1", "LM3578AN")</f>
        <v>LM3578AN</v>
      </c>
      <c r="B2390" s="3" t="str">
        <f>HYPERLINK("https://www.773grp.com/manufacturer/national-semiconductor?pageNo=111", "National Semiconductor")</f>
        <v>National Semiconductor</v>
      </c>
      <c r="C2390" s="6">
        <v>41375</v>
      </c>
      <c r="D2390" s="7">
        <v>4.16</v>
      </c>
      <c r="E2390" t="s">
        <v>7</v>
      </c>
    </row>
    <row r="2391" spans="1:5" x14ac:dyDescent="0.25">
      <c r="A2391" t="str">
        <f>HYPERLINK("https://www.773grp.com/globalSearch/LM3940IT-3.3/page-1", "LM3940IT-3.3")</f>
        <v>LM3940IT-3.3</v>
      </c>
      <c r="B2391" s="3" t="str">
        <f>HYPERLINK("https://www.773grp.com/manufacturer/national-semiconductor?pageNo=112", "National Semiconductor")</f>
        <v>National Semiconductor</v>
      </c>
      <c r="C2391" s="6">
        <v>2046</v>
      </c>
      <c r="D2391" s="7">
        <v>4.16</v>
      </c>
      <c r="E2391" t="s">
        <v>19</v>
      </c>
    </row>
    <row r="2392" spans="1:5" x14ac:dyDescent="0.25">
      <c r="A2392" t="str">
        <f>HYPERLINK("https://www.773grp.com/globalSearch/LM4861M-NOPB/page-1", "LM4861M-NOPB")</f>
        <v>LM4861M-NOPB</v>
      </c>
      <c r="B2392" s="3" t="str">
        <f>HYPERLINK("https://www.773grp.com/manufacturer/national-semiconductor?pageNo=113", "National Semiconductor")</f>
        <v>National Semiconductor</v>
      </c>
      <c r="C2392" s="6">
        <v>321</v>
      </c>
      <c r="D2392" s="7">
        <v>4.16</v>
      </c>
      <c r="E2392" t="s">
        <v>18</v>
      </c>
    </row>
    <row r="2393" spans="1:5" x14ac:dyDescent="0.25">
      <c r="A2393" t="str">
        <f>HYPERLINK("https://www.773grp.com/globalSearch/LM4861MX/page-1", "LM4861MX")</f>
        <v>LM4861MX</v>
      </c>
      <c r="B2393" s="3" t="str">
        <f>HYPERLINK("https://www.773grp.com/manufacturer/national-semiconductor?pageNo=114", "National Semiconductor")</f>
        <v>National Semiconductor</v>
      </c>
      <c r="C2393" s="6">
        <v>5000</v>
      </c>
      <c r="D2393" s="7">
        <v>4.16</v>
      </c>
      <c r="E2393" t="s">
        <v>18</v>
      </c>
    </row>
    <row r="2394" spans="1:5" x14ac:dyDescent="0.25">
      <c r="A2394" t="str">
        <f>HYPERLINK("https://www.773grp.com/globalSearch/LM5107MA/page-1", "LM5107MA")</f>
        <v>LM5107MA</v>
      </c>
      <c r="B2394" s="3" t="str">
        <f>HYPERLINK("https://www.773grp.com/manufacturer/national-semiconductor?pageNo=115", "National Semiconductor")</f>
        <v>National Semiconductor</v>
      </c>
      <c r="C2394" s="6">
        <v>5</v>
      </c>
      <c r="D2394" s="7">
        <v>4.16</v>
      </c>
      <c r="E2394" t="s">
        <v>16</v>
      </c>
    </row>
    <row r="2395" spans="1:5" x14ac:dyDescent="0.25">
      <c r="A2395" t="str">
        <f>HYPERLINK("https://www.773grp.com/globalSearch/LM5107SD-NOPB/page-1", "LM5107SD-NOPB")</f>
        <v>LM5107SD-NOPB</v>
      </c>
      <c r="B2395" s="3" t="str">
        <f>HYPERLINK("https://www.773grp.com/manufacturer/national-semiconductor?pageNo=116", "National Semiconductor")</f>
        <v>National Semiconductor</v>
      </c>
      <c r="C2395" s="6">
        <v>1000</v>
      </c>
      <c r="D2395" s="7">
        <v>4.16</v>
      </c>
    </row>
    <row r="2396" spans="1:5" x14ac:dyDescent="0.25">
      <c r="A2396" t="str">
        <f>HYPERLINK("https://www.773grp.com/globalSearch/LM56CIM-NOPB/page-1", "LM56CIM-NOPB")</f>
        <v>LM56CIM-NOPB</v>
      </c>
      <c r="B2396" s="3" t="str">
        <f>HYPERLINK("https://www.773grp.com/manufacturer/national-semiconductor?pageNo=117", "National Semiconductor")</f>
        <v>National Semiconductor</v>
      </c>
      <c r="C2396" s="6">
        <v>1710</v>
      </c>
      <c r="D2396" s="7">
        <v>4.16</v>
      </c>
      <c r="E2396" t="s">
        <v>12</v>
      </c>
    </row>
    <row r="2397" spans="1:5" x14ac:dyDescent="0.25">
      <c r="A2397" t="str">
        <f>HYPERLINK("https://www.773grp.com/globalSearch/LM9061MX-NOPB/page-1", "LM9061MX-NOPB")</f>
        <v>LM9061MX-NOPB</v>
      </c>
      <c r="B2397" s="3" t="str">
        <f>HYPERLINK("https://www.773grp.com/manufacturer/national-semiconductor?pageNo=118", "National Semiconductor")</f>
        <v>National Semiconductor</v>
      </c>
      <c r="C2397" s="6">
        <v>5000</v>
      </c>
      <c r="D2397" s="7">
        <v>4.16</v>
      </c>
      <c r="E2397" t="s">
        <v>16</v>
      </c>
    </row>
    <row r="2398" spans="1:5" x14ac:dyDescent="0.25">
      <c r="A2398" t="str">
        <f>HYPERLINK("https://www.773grp.com/globalSearch/LMH6723MF/page-1", "LMH6723MF")</f>
        <v>LMH6723MF</v>
      </c>
      <c r="B2398" s="3" t="str">
        <f>HYPERLINK("https://www.773grp.com/manufacturer/national-semiconductor?pageNo=119", "National Semiconductor")</f>
        <v>National Semiconductor</v>
      </c>
      <c r="C2398" s="6">
        <v>2000</v>
      </c>
      <c r="D2398" s="7">
        <v>4.16</v>
      </c>
      <c r="E2398" t="s">
        <v>13</v>
      </c>
    </row>
    <row r="2399" spans="1:5" x14ac:dyDescent="0.25">
      <c r="A2399" t="str">
        <f>HYPERLINK("https://www.773grp.com/globalSearch/LMH6723MF-NOPB/page-1", "LMH6723MF-NOPB")</f>
        <v>LMH6723MF-NOPB</v>
      </c>
      <c r="B2399" s="3" t="str">
        <f>HYPERLINK("https://www.773grp.com/manufacturer/national-semiconductor?pageNo=120", "National Semiconductor")</f>
        <v>National Semiconductor</v>
      </c>
      <c r="C2399" s="6">
        <v>4000</v>
      </c>
      <c r="D2399" s="7">
        <v>4.16</v>
      </c>
      <c r="E2399" t="s">
        <v>13</v>
      </c>
    </row>
    <row r="2400" spans="1:5" x14ac:dyDescent="0.25">
      <c r="A2400" t="str">
        <f>HYPERLINK("https://www.773grp.com/globalSearch/LP2987IMM-2.5/page-1", "LP2987IMM-2.5")</f>
        <v>LP2987IMM-2.5</v>
      </c>
      <c r="B2400" s="3" t="str">
        <f>HYPERLINK("https://www.773grp.com/manufacturer/national-semiconductor?pageNo=121", "National Semiconductor")</f>
        <v>National Semiconductor</v>
      </c>
      <c r="C2400" s="6">
        <v>900</v>
      </c>
      <c r="D2400" s="7">
        <v>4.16</v>
      </c>
      <c r="E2400" t="s">
        <v>19</v>
      </c>
    </row>
    <row r="2401" spans="1:5" x14ac:dyDescent="0.25">
      <c r="A2401" t="str">
        <f>HYPERLINK("https://www.773grp.com/globalSearch/LP2987IMM-3.2/page-1", "LP2987IMM-3.2")</f>
        <v>LP2987IMM-3.2</v>
      </c>
      <c r="B2401" s="3" t="str">
        <f>HYPERLINK("https://www.773grp.com/manufacturer/national-semiconductor?pageNo=122", "National Semiconductor")</f>
        <v>National Semiconductor</v>
      </c>
      <c r="C2401" s="6">
        <v>4000</v>
      </c>
      <c r="D2401" s="7">
        <v>4.16</v>
      </c>
      <c r="E2401" t="s">
        <v>19</v>
      </c>
    </row>
    <row r="2402" spans="1:5" x14ac:dyDescent="0.25">
      <c r="A2402" t="str">
        <f>HYPERLINK("https://www.773grp.com/globalSearch/LP2988AIM-2.5/page-1", "LP2988AIM-2.5")</f>
        <v>LP2988AIM-2.5</v>
      </c>
      <c r="B2402" s="3" t="str">
        <f>HYPERLINK("https://www.773grp.com/manufacturer/national-semiconductor?pageNo=123", "National Semiconductor")</f>
        <v>National Semiconductor</v>
      </c>
      <c r="C2402" s="6">
        <v>3289</v>
      </c>
      <c r="D2402" s="7">
        <v>4.16</v>
      </c>
      <c r="E2402" t="s">
        <v>19</v>
      </c>
    </row>
    <row r="2403" spans="1:5" x14ac:dyDescent="0.25">
      <c r="A2403" t="str">
        <f>HYPERLINK("https://www.773grp.com/globalSearch/LF411CP/page-1", "LF411CP")</f>
        <v>LF411CP</v>
      </c>
      <c r="B2403" s="3" t="str">
        <f>HYPERLINK("https://www.773grp.com/manufacturer/national-semiconductor?pageNo=124", "National Semiconductor")</f>
        <v>National Semiconductor</v>
      </c>
      <c r="C2403" s="6">
        <v>250</v>
      </c>
      <c r="D2403" s="7">
        <v>4.16</v>
      </c>
    </row>
    <row r="2404" spans="1:5" x14ac:dyDescent="0.25">
      <c r="A2404" t="str">
        <f>HYPERLINK("https://www.773grp.com/globalSearch/LF444CM-NOPB/page-1", "LF444CM-NOPB")</f>
        <v>LF444CM-NOPB</v>
      </c>
      <c r="B2404" s="3" t="str">
        <f>HYPERLINK("https://www.773grp.com/manufacturer/national-semiconductor?pageNo=125", "National Semiconductor")</f>
        <v>National Semiconductor</v>
      </c>
      <c r="C2404" s="6">
        <v>298</v>
      </c>
      <c r="D2404" s="7">
        <v>4.16</v>
      </c>
      <c r="E2404" t="s">
        <v>13</v>
      </c>
    </row>
    <row r="2405" spans="1:5" x14ac:dyDescent="0.25">
      <c r="A2405" t="str">
        <f>HYPERLINK("https://www.773grp.com/globalSearch/LM1085IS-12/page-1", "LM1085IS-12")</f>
        <v>LM1085IS-12</v>
      </c>
      <c r="B2405" s="3" t="str">
        <f>HYPERLINK("https://www.773grp.com/manufacturer/national-semiconductor?pageNo=126", "National Semiconductor")</f>
        <v>National Semiconductor</v>
      </c>
      <c r="C2405" s="6">
        <v>2867</v>
      </c>
      <c r="D2405" s="7">
        <v>4.16</v>
      </c>
    </row>
    <row r="2406" spans="1:5" x14ac:dyDescent="0.25">
      <c r="A2406" t="str">
        <f>HYPERLINK("https://www.773grp.com/globalSearch/LM1085ISX-3.3-NOPB/page-1", "LM1085ISX-3.3-NOPB")</f>
        <v>LM1085ISX-3.3-NOPB</v>
      </c>
      <c r="B2406" s="3" t="str">
        <f>HYPERLINK("https://www.773grp.com/manufacturer/national-semiconductor?pageNo=127", "National Semiconductor")</f>
        <v>National Semiconductor</v>
      </c>
      <c r="C2406" s="6">
        <v>187</v>
      </c>
      <c r="D2406" s="7">
        <v>4.16</v>
      </c>
      <c r="E2406" t="s">
        <v>19</v>
      </c>
    </row>
    <row r="2407" spans="1:5" x14ac:dyDescent="0.25">
      <c r="A2407" t="str">
        <f>HYPERLINK("https://www.773grp.com/globalSearch/LM1085ISX-5.0-NOPB/page-1", "LM1085ISX-5.0-NOPB")</f>
        <v>LM1085ISX-5.0-NOPB</v>
      </c>
      <c r="B2407" s="3" t="str">
        <f>HYPERLINK("https://www.773grp.com/manufacturer/national-semiconductor?pageNo=128", "National Semiconductor")</f>
        <v>National Semiconductor</v>
      </c>
      <c r="C2407" s="6">
        <v>285</v>
      </c>
      <c r="D2407" s="7">
        <v>4.16</v>
      </c>
      <c r="E2407" t="s">
        <v>19</v>
      </c>
    </row>
    <row r="2408" spans="1:5" x14ac:dyDescent="0.25">
      <c r="A2408" t="str">
        <f>HYPERLINK("https://www.773grp.com/globalSearch/LM1085ISX-ADJ-NOPB/page-1", "LM1085ISX-ADJ-NOPB")</f>
        <v>LM1085ISX-ADJ-NOPB</v>
      </c>
      <c r="B2408" s="3" t="str">
        <f>HYPERLINK("https://www.773grp.com/manufacturer/national-semiconductor?pageNo=129", "National Semiconductor")</f>
        <v>National Semiconductor</v>
      </c>
      <c r="C2408" s="6">
        <v>39</v>
      </c>
      <c r="D2408" s="7">
        <v>4.16</v>
      </c>
      <c r="E2408" t="s">
        <v>25</v>
      </c>
    </row>
    <row r="2409" spans="1:5" x14ac:dyDescent="0.25">
      <c r="A2409" t="str">
        <f>HYPERLINK("https://www.773grp.com/globalSearch/LM25085QMYX/page-1", "LM25085QMYX")</f>
        <v>LM25085QMYX</v>
      </c>
      <c r="B2409" s="3" t="str">
        <f>HYPERLINK("https://www.773grp.com/manufacturer/national-semiconductor?pageNo=130", "National Semiconductor")</f>
        <v>National Semiconductor</v>
      </c>
      <c r="C2409" s="6">
        <v>3500</v>
      </c>
      <c r="D2409" s="7">
        <v>4.16</v>
      </c>
    </row>
    <row r="2410" spans="1:5" x14ac:dyDescent="0.25">
      <c r="A2410" t="str">
        <f>HYPERLINK("https://www.773grp.com/globalSearch/LM2574MX-12-NOPB/page-1", "LM2574MX-12-NOPB")</f>
        <v>LM2574MX-12-NOPB</v>
      </c>
      <c r="B2410" s="3" t="str">
        <f>HYPERLINK("https://www.773grp.com/manufacturer/national-semiconductor?pageNo=131", "National Semiconductor")</f>
        <v>National Semiconductor</v>
      </c>
      <c r="C2410" s="6">
        <v>6000</v>
      </c>
      <c r="D2410" s="7">
        <v>4.16</v>
      </c>
      <c r="E2410" t="s">
        <v>7</v>
      </c>
    </row>
    <row r="2411" spans="1:5" x14ac:dyDescent="0.25">
      <c r="A2411" t="str">
        <f>HYPERLINK("https://www.773grp.com/globalSearch/LM2574MX-3.3-NOPB/page-1", "LM2574MX-3.3-NOPB")</f>
        <v>LM2574MX-3.3-NOPB</v>
      </c>
      <c r="B2411" s="3" t="str">
        <f>HYPERLINK("https://www.773grp.com/manufacturer/national-semiconductor?pageNo=132", "National Semiconductor")</f>
        <v>National Semiconductor</v>
      </c>
      <c r="C2411" s="6">
        <v>450</v>
      </c>
      <c r="D2411" s="7">
        <v>4.16</v>
      </c>
      <c r="E2411" t="s">
        <v>7</v>
      </c>
    </row>
    <row r="2412" spans="1:5" x14ac:dyDescent="0.25">
      <c r="A2412" t="str">
        <f>HYPERLINK("https://www.773grp.com/globalSearch/LM2574MX-5.0-NOPB/page-1", "LM2574MX-5.0-NOPB")</f>
        <v>LM2574MX-5.0-NOPB</v>
      </c>
      <c r="B2412" s="3" t="str">
        <f>HYPERLINK("https://www.773grp.com/manufacturer/national-semiconductor?pageNo=133", "National Semiconductor")</f>
        <v>National Semiconductor</v>
      </c>
      <c r="C2412" s="6">
        <v>1830</v>
      </c>
      <c r="D2412" s="7">
        <v>4.16</v>
      </c>
      <c r="E2412" t="s">
        <v>7</v>
      </c>
    </row>
    <row r="2413" spans="1:5" x14ac:dyDescent="0.25">
      <c r="A2413" t="str">
        <f>HYPERLINK("https://www.773grp.com/globalSearch/LM2574MX-ADJ-NOPB/page-1", "LM2574MX-ADJ-NOPB")</f>
        <v>LM2574MX-ADJ-NOPB</v>
      </c>
      <c r="B2413" s="3" t="str">
        <f>HYPERLINK("https://www.773grp.com/manufacturer/national-semiconductor?pageNo=134", "National Semiconductor")</f>
        <v>National Semiconductor</v>
      </c>
      <c r="C2413" s="6">
        <v>459</v>
      </c>
      <c r="D2413" s="7">
        <v>4.16</v>
      </c>
      <c r="E2413" t="s">
        <v>7</v>
      </c>
    </row>
    <row r="2414" spans="1:5" x14ac:dyDescent="0.25">
      <c r="A2414" t="str">
        <f>HYPERLINK("https://www.773grp.com/globalSearch/LM2931ASX-5.0-NOPB/page-1", "LM2931ASX-5.0-NOPB")</f>
        <v>LM2931ASX-5.0-NOPB</v>
      </c>
      <c r="B2414" s="3" t="str">
        <f>HYPERLINK("https://www.773grp.com/manufacturer/national-semiconductor?pageNo=1", "National Semiconductor")</f>
        <v>National Semiconductor</v>
      </c>
      <c r="C2414" s="6">
        <v>820</v>
      </c>
      <c r="D2414" s="7">
        <v>4.16</v>
      </c>
      <c r="E2414" t="s">
        <v>19</v>
      </c>
    </row>
    <row r="2415" spans="1:5" x14ac:dyDescent="0.25">
      <c r="A2415" t="str">
        <f>HYPERLINK("https://www.773grp.com/globalSearch/LM2941SX/page-1", "LM2941SX")</f>
        <v>LM2941SX</v>
      </c>
      <c r="B2415" s="3" t="str">
        <f>HYPERLINK("https://www.773grp.com/manufacturer/national-semiconductor?pageNo=2", "National Semiconductor")</f>
        <v>National Semiconductor</v>
      </c>
      <c r="C2415" s="6">
        <v>46</v>
      </c>
      <c r="D2415" s="7">
        <v>4.16</v>
      </c>
      <c r="E2415" t="s">
        <v>25</v>
      </c>
    </row>
    <row r="2416" spans="1:5" x14ac:dyDescent="0.25">
      <c r="A2416" t="str">
        <f>HYPERLINK("https://www.773grp.com/globalSearch/LM4853LD-NOPB/page-1", "LM4853LD-NOPB")</f>
        <v>LM4853LD-NOPB</v>
      </c>
      <c r="B2416" s="3" t="str">
        <f>HYPERLINK("https://www.773grp.com/manufacturer/national-semiconductor?pageNo=3", "National Semiconductor")</f>
        <v>National Semiconductor</v>
      </c>
      <c r="C2416" s="6">
        <v>2027</v>
      </c>
      <c r="D2416" s="7">
        <v>4.16</v>
      </c>
    </row>
    <row r="2417" spans="1:5" x14ac:dyDescent="0.25">
      <c r="A2417" t="str">
        <f>HYPERLINK("https://www.773grp.com/globalSearch/LM4861M-NOPB/page-1", "LM4861M-NOPB")</f>
        <v>LM4861M-NOPB</v>
      </c>
      <c r="B2417" s="3" t="str">
        <f>HYPERLINK("https://www.773grp.com/manufacturer/national-semiconductor?pageNo=4", "National Semiconductor")</f>
        <v>National Semiconductor</v>
      </c>
      <c r="C2417" s="6">
        <v>225</v>
      </c>
      <c r="D2417" s="7">
        <v>4.16</v>
      </c>
      <c r="E2417" t="s">
        <v>18</v>
      </c>
    </row>
    <row r="2418" spans="1:5" x14ac:dyDescent="0.25">
      <c r="A2418" t="str">
        <f>HYPERLINK("https://www.773grp.com/globalSearch/LM5107MAX-NOPB/page-1", "LM5107MAX-NOPB")</f>
        <v>LM5107MAX-NOPB</v>
      </c>
      <c r="B2418" s="3" t="str">
        <f>HYPERLINK("https://www.773grp.com/manufacturer/national-semiconductor?pageNo=5", "National Semiconductor")</f>
        <v>National Semiconductor</v>
      </c>
      <c r="C2418" s="6">
        <v>2496</v>
      </c>
      <c r="D2418" s="7">
        <v>4.16</v>
      </c>
    </row>
    <row r="2419" spans="1:5" x14ac:dyDescent="0.25">
      <c r="A2419" t="str">
        <f>HYPERLINK("https://www.773grp.com/globalSearch/LM56CIM-NOPB/page-1", "LM56CIM-NOPB")</f>
        <v>LM56CIM-NOPB</v>
      </c>
      <c r="B2419" s="3" t="str">
        <f>HYPERLINK("https://www.773grp.com/manufacturer/national-semiconductor?pageNo=6", "National Semiconductor")</f>
        <v>National Semiconductor</v>
      </c>
      <c r="C2419" s="6">
        <v>1195</v>
      </c>
      <c r="D2419" s="7">
        <v>4.16</v>
      </c>
      <c r="E2419" t="s">
        <v>12</v>
      </c>
    </row>
    <row r="2420" spans="1:5" x14ac:dyDescent="0.25">
      <c r="A2420" t="str">
        <f>HYPERLINK("https://www.773grp.com/globalSearch/LM9061MX-NOPB/page-1", "LM9061MX-NOPB")</f>
        <v>LM9061MX-NOPB</v>
      </c>
      <c r="B2420" s="3" t="str">
        <f>HYPERLINK("https://www.773grp.com/manufacturer/national-semiconductor?pageNo=7", "National Semiconductor")</f>
        <v>National Semiconductor</v>
      </c>
      <c r="C2420" s="6">
        <v>130</v>
      </c>
      <c r="D2420" s="7">
        <v>4.16</v>
      </c>
      <c r="E2420" t="s">
        <v>16</v>
      </c>
    </row>
    <row r="2421" spans="1:5" x14ac:dyDescent="0.25">
      <c r="A2421" t="str">
        <f>HYPERLINK("https://www.773grp.com/globalSearch/LMH6723MAX/page-1", "LMH6723MAX")</f>
        <v>LMH6723MAX</v>
      </c>
      <c r="B2421" s="3" t="str">
        <f>HYPERLINK("https://www.773grp.com/manufacturer/national-semiconductor?pageNo=8", "National Semiconductor")</f>
        <v>National Semiconductor</v>
      </c>
      <c r="C2421" s="6">
        <v>2500</v>
      </c>
      <c r="D2421" s="7">
        <v>4.16</v>
      </c>
    </row>
    <row r="2422" spans="1:5" x14ac:dyDescent="0.25">
      <c r="A2422" t="str">
        <f>HYPERLINK("https://www.773grp.com/globalSearch/LMH6723MAX-NOPB/page-1", "LMH6723MAX-NOPB")</f>
        <v>LMH6723MAX-NOPB</v>
      </c>
      <c r="B2422" s="3" t="str">
        <f>HYPERLINK("https://www.773grp.com/manufacturer/national-semiconductor?pageNo=9", "National Semiconductor")</f>
        <v>National Semiconductor</v>
      </c>
      <c r="C2422" s="6">
        <v>10000</v>
      </c>
      <c r="D2422" s="7">
        <v>4.16</v>
      </c>
    </row>
    <row r="2423" spans="1:5" x14ac:dyDescent="0.25">
      <c r="A2423" t="str">
        <f>HYPERLINK("https://www.773grp.com/globalSearch/CLC450AJE/page-1", "CLC450AJE")</f>
        <v>CLC450AJE</v>
      </c>
      <c r="B2423" s="3" t="str">
        <f>HYPERLINK("https://www.773grp.com/manufacturer/national-semiconductor?pageNo=10", "National Semiconductor")</f>
        <v>National Semiconductor</v>
      </c>
      <c r="C2423" s="6">
        <v>30351</v>
      </c>
      <c r="D2423" s="7">
        <v>3.76</v>
      </c>
      <c r="E2423" t="s">
        <v>13</v>
      </c>
    </row>
    <row r="2424" spans="1:5" x14ac:dyDescent="0.25">
      <c r="A2424" t="str">
        <f>HYPERLINK("https://www.773grp.com/globalSearch/DS8820N/page-1", "DS8820N")</f>
        <v>DS8820N</v>
      </c>
      <c r="B2424" s="3" t="str">
        <f>HYPERLINK("https://www.773grp.com/manufacturer/national-semiconductor?pageNo=11", "National Semiconductor")</f>
        <v>National Semiconductor</v>
      </c>
      <c r="C2424" s="6">
        <v>2013</v>
      </c>
      <c r="D2424" s="7">
        <v>3.76</v>
      </c>
      <c r="E2424" t="s">
        <v>21</v>
      </c>
    </row>
    <row r="2425" spans="1:5" x14ac:dyDescent="0.25">
      <c r="A2425" t="str">
        <f>HYPERLINK("https://www.773grp.com/globalSearch/LM2724AMX/page-1", "LM2724AMX")</f>
        <v>LM2724AMX</v>
      </c>
      <c r="B2425" s="3" t="str">
        <f>HYPERLINK("https://www.773grp.com/manufacturer/national-semiconductor?pageNo=12", "National Semiconductor")</f>
        <v>National Semiconductor</v>
      </c>
      <c r="C2425" s="6">
        <v>2500</v>
      </c>
      <c r="D2425" s="7">
        <v>3.76</v>
      </c>
      <c r="E2425" t="s">
        <v>16</v>
      </c>
    </row>
    <row r="2426" spans="1:5" x14ac:dyDescent="0.25">
      <c r="A2426" t="str">
        <f>HYPERLINK("https://www.773grp.com/globalSearch/LM2734YMK/page-1", "LM2734YMK")</f>
        <v>LM2734YMK</v>
      </c>
      <c r="B2426" s="3" t="str">
        <f>HYPERLINK("https://www.773grp.com/manufacturer/national-semiconductor?pageNo=13", "National Semiconductor")</f>
        <v>National Semiconductor</v>
      </c>
      <c r="C2426" s="6">
        <v>7000</v>
      </c>
      <c r="D2426" s="7">
        <v>3.76</v>
      </c>
      <c r="E2426" t="s">
        <v>7</v>
      </c>
    </row>
    <row r="2427" spans="1:5" x14ac:dyDescent="0.25">
      <c r="A2427" t="str">
        <f>HYPERLINK("https://www.773grp.com/globalSearch/LM4940TS-NOPB/page-1", "LM4940TS-NOPB")</f>
        <v>LM4940TS-NOPB</v>
      </c>
      <c r="B2427" s="3" t="str">
        <f>HYPERLINK("https://www.773grp.com/manufacturer/national-semiconductor?pageNo=14", "National Semiconductor")</f>
        <v>National Semiconductor</v>
      </c>
      <c r="C2427" s="6">
        <v>15</v>
      </c>
      <c r="D2427" s="7">
        <v>3.76</v>
      </c>
      <c r="E2427" t="s">
        <v>18</v>
      </c>
    </row>
    <row r="2428" spans="1:5" x14ac:dyDescent="0.25">
      <c r="A2428" t="str">
        <f>HYPERLINK("https://www.773grp.com/globalSearch/LM7171AIMX-NOPB/page-1", "LM7171AIMX-NOPB")</f>
        <v>LM7171AIMX-NOPB</v>
      </c>
      <c r="B2428" s="3" t="str">
        <f>HYPERLINK("https://www.773grp.com/manufacturer/national-semiconductor?pageNo=15", "National Semiconductor")</f>
        <v>National Semiconductor</v>
      </c>
      <c r="C2428" s="6">
        <v>7500</v>
      </c>
      <c r="D2428" s="7">
        <v>3.76</v>
      </c>
      <c r="E2428" t="s">
        <v>13</v>
      </c>
    </row>
    <row r="2429" spans="1:5" x14ac:dyDescent="0.25">
      <c r="A2429" t="str">
        <f>HYPERLINK("https://www.773grp.com/globalSearch/LM76CNMX-3/page-1", "LM76CNMX-3")</f>
        <v>LM76CNMX-3</v>
      </c>
      <c r="B2429" s="3" t="str">
        <f>HYPERLINK("https://www.773grp.com/manufacturer/national-semiconductor?pageNo=16", "National Semiconductor")</f>
        <v>National Semiconductor</v>
      </c>
      <c r="C2429" s="6">
        <v>4800</v>
      </c>
      <c r="D2429" s="7">
        <v>3.76</v>
      </c>
      <c r="E2429" t="s">
        <v>12</v>
      </c>
    </row>
    <row r="2430" spans="1:5" x14ac:dyDescent="0.25">
      <c r="A2430" t="str">
        <f>HYPERLINK("https://www.773grp.com/globalSearch/LM8261M5/page-1", "LM8261M5")</f>
        <v>LM8261M5</v>
      </c>
      <c r="B2430" s="3" t="str">
        <f>HYPERLINK("https://www.773grp.com/manufacturer/national-semiconductor?pageNo=17", "National Semiconductor")</f>
        <v>National Semiconductor</v>
      </c>
      <c r="C2430" s="6">
        <v>2000</v>
      </c>
      <c r="D2430" s="7">
        <v>3.76</v>
      </c>
      <c r="E2430" t="s">
        <v>13</v>
      </c>
    </row>
    <row r="2431" spans="1:5" x14ac:dyDescent="0.25">
      <c r="A2431" t="str">
        <f>HYPERLINK("https://www.773grp.com/globalSearch/LM95233CISD/page-1", "LM95233CISD")</f>
        <v>LM95233CISD</v>
      </c>
      <c r="B2431" s="3" t="str">
        <f>HYPERLINK("https://www.773grp.com/manufacturer/national-semiconductor?pageNo=18", "National Semiconductor")</f>
        <v>National Semiconductor</v>
      </c>
      <c r="C2431" s="6">
        <v>5000</v>
      </c>
      <c r="D2431" s="7">
        <v>3.76</v>
      </c>
      <c r="E2431" t="s">
        <v>12</v>
      </c>
    </row>
    <row r="2432" spans="1:5" x14ac:dyDescent="0.25">
      <c r="A2432" t="str">
        <f>HYPERLINK("https://www.773grp.com/globalSearch/LMS1585ACS-1.5/page-1", "LMS1585ACS-1.5")</f>
        <v>LMS1585ACS-1.5</v>
      </c>
      <c r="B2432" s="3" t="str">
        <f>HYPERLINK("https://www.773grp.com/manufacturer/national-semiconductor?pageNo=19", "National Semiconductor")</f>
        <v>National Semiconductor</v>
      </c>
      <c r="C2432" s="6">
        <v>976</v>
      </c>
      <c r="D2432" s="7">
        <v>3.76</v>
      </c>
      <c r="E2432" t="s">
        <v>19</v>
      </c>
    </row>
    <row r="2433" spans="1:5" x14ac:dyDescent="0.25">
      <c r="A2433" t="str">
        <f>HYPERLINK("https://www.773grp.com/globalSearch/LMS1585ACS-3.3/page-1", "LMS1585ACS-3.3")</f>
        <v>LMS1585ACS-3.3</v>
      </c>
      <c r="B2433" s="3" t="str">
        <f>HYPERLINK("https://www.773grp.com/manufacturer/national-semiconductor?pageNo=20", "National Semiconductor")</f>
        <v>National Semiconductor</v>
      </c>
      <c r="C2433" s="6">
        <v>1756</v>
      </c>
      <c r="D2433" s="7">
        <v>3.76</v>
      </c>
      <c r="E2433" t="s">
        <v>19</v>
      </c>
    </row>
    <row r="2434" spans="1:5" x14ac:dyDescent="0.25">
      <c r="A2434" t="str">
        <f>HYPERLINK("https://www.773grp.com/globalSearch/LP2954IS-NOPB/page-1", "LP2954IS-NOPB")</f>
        <v>LP2954IS-NOPB</v>
      </c>
      <c r="B2434" s="3" t="str">
        <f>HYPERLINK("https://www.773grp.com/manufacturer/national-semiconductor?pageNo=21", "National Semiconductor")</f>
        <v>National Semiconductor</v>
      </c>
      <c r="C2434" s="6">
        <v>4610</v>
      </c>
      <c r="D2434" s="7">
        <v>3.76</v>
      </c>
      <c r="E2434" t="s">
        <v>19</v>
      </c>
    </row>
    <row r="2435" spans="1:5" x14ac:dyDescent="0.25">
      <c r="A2435" t="str">
        <f>HYPERLINK("https://www.773grp.com/globalSearch/TP5510N/page-1", "TP5510N")</f>
        <v>TP5510N</v>
      </c>
      <c r="B2435" s="3" t="str">
        <f>HYPERLINK("https://www.773grp.com/manufacturer/national-semiconductor?pageNo=22", "National Semiconductor")</f>
        <v>National Semiconductor</v>
      </c>
      <c r="C2435" s="6">
        <v>5750</v>
      </c>
      <c r="D2435" s="7">
        <v>3.76</v>
      </c>
    </row>
    <row r="2436" spans="1:5" x14ac:dyDescent="0.25">
      <c r="A2436" t="str">
        <f>HYPERLINK("https://www.773grp.com/globalSearch/LM25010MH/page-1", "LM25010MH")</f>
        <v>LM25010MH</v>
      </c>
      <c r="B2436" s="3" t="str">
        <f>HYPERLINK("https://www.773grp.com/manufacturer/national-semiconductor?pageNo=23", "National Semiconductor")</f>
        <v>National Semiconductor</v>
      </c>
      <c r="C2436" s="6">
        <v>200</v>
      </c>
      <c r="D2436" s="7">
        <v>3.76</v>
      </c>
    </row>
    <row r="2437" spans="1:5" x14ac:dyDescent="0.25">
      <c r="A2437" t="str">
        <f>HYPERLINK("https://www.773grp.com/globalSearch/LM25018MR-NOPB/page-1", "LM25018MR-NOPB")</f>
        <v>LM25018MR-NOPB</v>
      </c>
      <c r="B2437" s="3" t="str">
        <f>HYPERLINK("https://www.773grp.com/manufacturer/national-semiconductor?pageNo=24", "National Semiconductor")</f>
        <v>National Semiconductor</v>
      </c>
      <c r="C2437" s="6">
        <v>285</v>
      </c>
      <c r="D2437" s="7">
        <v>3.76</v>
      </c>
    </row>
    <row r="2438" spans="1:5" x14ac:dyDescent="0.25">
      <c r="A2438" t="str">
        <f>HYPERLINK("https://www.773grp.com/globalSearch/LM2734YMK/page-1", "LM2734YMK")</f>
        <v>LM2734YMK</v>
      </c>
      <c r="B2438" s="3" t="str">
        <f>HYPERLINK("https://www.773grp.com/manufacturer/national-semiconductor?pageNo=25", "National Semiconductor")</f>
        <v>National Semiconductor</v>
      </c>
      <c r="C2438" s="6">
        <v>2000</v>
      </c>
      <c r="D2438" s="7">
        <v>3.76</v>
      </c>
      <c r="E2438" t="s">
        <v>7</v>
      </c>
    </row>
    <row r="2439" spans="1:5" x14ac:dyDescent="0.25">
      <c r="A2439" t="str">
        <f>HYPERLINK("https://www.773grp.com/globalSearch/LM4940TS-NOPB/page-1", "LM4940TS-NOPB")</f>
        <v>LM4940TS-NOPB</v>
      </c>
      <c r="B2439" s="3" t="str">
        <f>HYPERLINK("https://www.773grp.com/manufacturer/national-semiconductor?pageNo=26", "National Semiconductor")</f>
        <v>National Semiconductor</v>
      </c>
      <c r="C2439" s="6">
        <v>378</v>
      </c>
      <c r="D2439" s="7">
        <v>3.76</v>
      </c>
      <c r="E2439" t="s">
        <v>18</v>
      </c>
    </row>
    <row r="2440" spans="1:5" x14ac:dyDescent="0.25">
      <c r="A2440" t="str">
        <f>HYPERLINK("https://www.773grp.com/globalSearch/LM9076S-5.0/page-1", "LM9076S-5.0")</f>
        <v>LM9076S-5.0</v>
      </c>
      <c r="B2440" s="3" t="str">
        <f>HYPERLINK("https://www.773grp.com/manufacturer/national-semiconductor?pageNo=27", "National Semiconductor")</f>
        <v>National Semiconductor</v>
      </c>
      <c r="C2440" s="6">
        <v>305</v>
      </c>
      <c r="D2440" s="7">
        <v>3.76</v>
      </c>
    </row>
    <row r="2441" spans="1:5" x14ac:dyDescent="0.25">
      <c r="A2441" t="str">
        <f>HYPERLINK("https://www.773grp.com/globalSearch/LP2954IS-NOPB/page-1", "LP2954IS-NOPB")</f>
        <v>LP2954IS-NOPB</v>
      </c>
      <c r="B2441" s="3" t="str">
        <f>HYPERLINK("https://www.773grp.com/manufacturer/national-semiconductor?pageNo=28", "National Semiconductor")</f>
        <v>National Semiconductor</v>
      </c>
      <c r="C2441" s="6">
        <v>1428</v>
      </c>
      <c r="D2441" s="7">
        <v>3.76</v>
      </c>
      <c r="E2441" t="s">
        <v>19</v>
      </c>
    </row>
    <row r="2442" spans="1:5" x14ac:dyDescent="0.25">
      <c r="A2442" t="str">
        <f>HYPERLINK("https://www.773grp.com/globalSearch/LP2989IMM-2.8/page-1", "LP2989IMM-2.8")</f>
        <v>LP2989IMM-2.8</v>
      </c>
      <c r="B2442" s="3" t="str">
        <f>HYPERLINK("https://www.773grp.com/manufacturer/national-semiconductor?pageNo=29", "National Semiconductor")</f>
        <v>National Semiconductor</v>
      </c>
      <c r="C2442" s="6">
        <v>688</v>
      </c>
      <c r="D2442" s="7">
        <v>3.76</v>
      </c>
    </row>
    <row r="2443" spans="1:5" x14ac:dyDescent="0.25">
      <c r="A2443" t="str">
        <f>HYPERLINK("https://www.773grp.com/globalSearch/54153DM/page-1", "54153DM")</f>
        <v>54153DM</v>
      </c>
      <c r="B2443" s="3" t="str">
        <f>HYPERLINK("https://www.773grp.com/manufacturer/national-semiconductor?pageNo=30", "National Semiconductor")</f>
        <v>National Semiconductor</v>
      </c>
      <c r="C2443" s="6">
        <v>613</v>
      </c>
      <c r="D2443" s="7">
        <v>3.8</v>
      </c>
    </row>
    <row r="2444" spans="1:5" x14ac:dyDescent="0.25">
      <c r="A2444" t="str">
        <f>HYPERLINK("https://www.773grp.com/globalSearch/54153DMQB/page-1", "54153DMQB")</f>
        <v>54153DMQB</v>
      </c>
      <c r="B2444" s="3" t="str">
        <f>HYPERLINK("https://www.773grp.com/manufacturer/national-semiconductor?pageNo=31", "National Semiconductor")</f>
        <v>National Semiconductor</v>
      </c>
      <c r="C2444" s="6">
        <v>2463</v>
      </c>
      <c r="D2444" s="7">
        <v>3.8</v>
      </c>
      <c r="E2444" t="s">
        <v>20</v>
      </c>
    </row>
    <row r="2445" spans="1:5" x14ac:dyDescent="0.25">
      <c r="A2445" t="str">
        <f>HYPERLINK("https://www.773grp.com/globalSearch/54157DMQB/page-1", "54157DMQB")</f>
        <v>54157DMQB</v>
      </c>
      <c r="B2445" s="3" t="str">
        <f>HYPERLINK("https://www.773grp.com/manufacturer/national-semiconductor?pageNo=32", "National Semiconductor")</f>
        <v>National Semiconductor</v>
      </c>
      <c r="C2445" s="6">
        <v>652</v>
      </c>
      <c r="D2445" s="7">
        <v>3.8</v>
      </c>
      <c r="E2445" t="s">
        <v>20</v>
      </c>
    </row>
    <row r="2446" spans="1:5" x14ac:dyDescent="0.25">
      <c r="A2446" t="str">
        <f>HYPERLINK("https://www.773grp.com/globalSearch/74F251ALC/page-1", "74F251ALC")</f>
        <v>74F251ALC</v>
      </c>
      <c r="B2446" s="3" t="str">
        <f>HYPERLINK("https://www.773grp.com/manufacturer/national-semiconductor?pageNo=33", "National Semiconductor")</f>
        <v>National Semiconductor</v>
      </c>
      <c r="C2446" s="6">
        <v>163</v>
      </c>
      <c r="D2446" s="7">
        <v>3.8</v>
      </c>
    </row>
    <row r="2447" spans="1:5" x14ac:dyDescent="0.25">
      <c r="A2447" t="str">
        <f>HYPERLINK("https://www.773grp.com/globalSearch/DS92LV010ATMX-NOPB/page-1", "DS92LV010ATMX-NOPB")</f>
        <v>DS92LV010ATMX-NOPB</v>
      </c>
      <c r="B2447" s="3" t="str">
        <f>HYPERLINK("https://www.773grp.com/manufacturer/national-semiconductor?pageNo=34", "National Semiconductor")</f>
        <v>National Semiconductor</v>
      </c>
      <c r="C2447" s="6">
        <v>2500</v>
      </c>
      <c r="D2447" s="7">
        <v>3.8</v>
      </c>
      <c r="E2447" t="s">
        <v>21</v>
      </c>
    </row>
    <row r="2448" spans="1:5" x14ac:dyDescent="0.25">
      <c r="A2448" t="str">
        <f>HYPERLINK("https://www.773grp.com/globalSearch/GAL16V8QS-25QVC/page-1", "GAL16V8QS-25QVC")</f>
        <v>GAL16V8QS-25QVC</v>
      </c>
      <c r="B2448" s="3" t="str">
        <f>HYPERLINK("https://www.773grp.com/manufacturer/national-semiconductor?pageNo=35", "National Semiconductor")</f>
        <v>National Semiconductor</v>
      </c>
      <c r="C2448" s="6">
        <v>8190</v>
      </c>
      <c r="D2448" s="7">
        <v>3.8</v>
      </c>
    </row>
    <row r="2449" spans="1:5" x14ac:dyDescent="0.25">
      <c r="A2449" t="str">
        <f>HYPERLINK("https://www.773grp.com/globalSearch/LM2502SM-NOPB/page-1", "LM2502SM-NOPB")</f>
        <v>LM2502SM-NOPB</v>
      </c>
      <c r="B2449" s="3" t="str">
        <f>HYPERLINK("https://www.773grp.com/manufacturer/national-semiconductor?pageNo=36", "National Semiconductor")</f>
        <v>National Semiconductor</v>
      </c>
      <c r="C2449" s="6">
        <v>1980</v>
      </c>
      <c r="D2449" s="7">
        <v>3.8</v>
      </c>
    </row>
    <row r="2450" spans="1:5" x14ac:dyDescent="0.25">
      <c r="A2450" t="str">
        <f>HYPERLINK("https://www.773grp.com/globalSearch/LM25574MTX-NOPB/page-1", "LM25574MTX-NOPB")</f>
        <v>LM25574MTX-NOPB</v>
      </c>
      <c r="B2450" s="3" t="str">
        <f>HYPERLINK("https://www.773grp.com/manufacturer/national-semiconductor?pageNo=37", "National Semiconductor")</f>
        <v>National Semiconductor</v>
      </c>
      <c r="C2450" s="6">
        <v>2500</v>
      </c>
      <c r="D2450" s="7">
        <v>3.8</v>
      </c>
    </row>
    <row r="2451" spans="1:5" x14ac:dyDescent="0.25">
      <c r="A2451" t="str">
        <f>HYPERLINK("https://www.773grp.com/globalSearch/LM2734ZMK-NOPB/page-1", "LM2734ZMK-NOPB")</f>
        <v>LM2734ZMK-NOPB</v>
      </c>
      <c r="B2451" s="3" t="str">
        <f>HYPERLINK("https://www.773grp.com/manufacturer/national-semiconductor?pageNo=38", "National Semiconductor")</f>
        <v>National Semiconductor</v>
      </c>
      <c r="C2451" s="6">
        <v>900</v>
      </c>
      <c r="D2451" s="7">
        <v>3.8</v>
      </c>
      <c r="E2451" t="s">
        <v>7</v>
      </c>
    </row>
    <row r="2452" spans="1:5" x14ac:dyDescent="0.25">
      <c r="A2452" t="str">
        <f>HYPERLINK("https://www.773grp.com/globalSearch/LM2734ZMKX/page-1", "LM2734ZMKX")</f>
        <v>LM2734ZMKX</v>
      </c>
      <c r="B2452" s="3" t="str">
        <f>HYPERLINK("https://www.773grp.com/manufacturer/national-semiconductor?pageNo=39", "National Semiconductor")</f>
        <v>National Semiconductor</v>
      </c>
      <c r="C2452" s="6">
        <v>3000</v>
      </c>
      <c r="D2452" s="7">
        <v>3.8</v>
      </c>
      <c r="E2452" t="s">
        <v>7</v>
      </c>
    </row>
    <row r="2453" spans="1:5" x14ac:dyDescent="0.25">
      <c r="A2453" t="str">
        <f>HYPERLINK("https://www.773grp.com/globalSearch/LM2734ZMKX-NOPB/page-1", "LM2734ZMKX-NOPB")</f>
        <v>LM2734ZMKX-NOPB</v>
      </c>
      <c r="B2453" s="3" t="str">
        <f>HYPERLINK("https://www.773grp.com/manufacturer/national-semiconductor?pageNo=40", "National Semiconductor")</f>
        <v>National Semiconductor</v>
      </c>
      <c r="C2453" s="6">
        <v>11500</v>
      </c>
      <c r="D2453" s="7">
        <v>3.8</v>
      </c>
      <c r="E2453" t="s">
        <v>7</v>
      </c>
    </row>
    <row r="2454" spans="1:5" x14ac:dyDescent="0.25">
      <c r="A2454" t="str">
        <f>HYPERLINK("https://www.773grp.com/globalSearch/LM2734ZSD-NOPB/page-1", "LM2734ZSD-NOPB")</f>
        <v>LM2734ZSD-NOPB</v>
      </c>
      <c r="B2454" s="3" t="str">
        <f>HYPERLINK("https://www.773grp.com/manufacturer/national-semiconductor?pageNo=41", "National Semiconductor")</f>
        <v>National Semiconductor</v>
      </c>
      <c r="C2454" s="6">
        <v>3000</v>
      </c>
      <c r="D2454" s="7">
        <v>3.8</v>
      </c>
      <c r="E2454" t="s">
        <v>7</v>
      </c>
    </row>
    <row r="2455" spans="1:5" x14ac:dyDescent="0.25">
      <c r="A2455" t="str">
        <f>HYPERLINK("https://www.773grp.com/globalSearch/LM2757TMX-NOPB/page-1", "LM2757TMX-NOPB")</f>
        <v>LM2757TMX-NOPB</v>
      </c>
      <c r="B2455" s="3" t="str">
        <f>HYPERLINK("https://www.773grp.com/manufacturer/national-semiconductor?pageNo=42", "National Semiconductor")</f>
        <v>National Semiconductor</v>
      </c>
      <c r="C2455" s="6">
        <v>42000</v>
      </c>
      <c r="D2455" s="7">
        <v>3.8</v>
      </c>
    </row>
    <row r="2456" spans="1:5" x14ac:dyDescent="0.25">
      <c r="A2456" t="str">
        <f>HYPERLINK("https://www.773grp.com/globalSearch/LM27965SQ/page-1", "LM27965SQ")</f>
        <v>LM27965SQ</v>
      </c>
      <c r="B2456" s="3" t="str">
        <f>HYPERLINK("https://www.773grp.com/manufacturer/national-semiconductor?pageNo=43", "National Semiconductor")</f>
        <v>National Semiconductor</v>
      </c>
      <c r="C2456" s="6">
        <v>1000</v>
      </c>
      <c r="D2456" s="7">
        <v>3.8</v>
      </c>
      <c r="E2456" t="s">
        <v>10</v>
      </c>
    </row>
    <row r="2457" spans="1:5" x14ac:dyDescent="0.25">
      <c r="A2457" t="str">
        <f>HYPERLINK("https://www.773grp.com/globalSearch/LM27965SQ-NOPB/page-1", "LM27965SQ-NOPB")</f>
        <v>LM27965SQ-NOPB</v>
      </c>
      <c r="B2457" s="3" t="str">
        <f>HYPERLINK("https://www.773grp.com/manufacturer/national-semiconductor?pageNo=44", "National Semiconductor")</f>
        <v>National Semiconductor</v>
      </c>
      <c r="C2457" s="6">
        <v>1269</v>
      </c>
      <c r="D2457" s="7">
        <v>3.8</v>
      </c>
    </row>
    <row r="2458" spans="1:5" x14ac:dyDescent="0.25">
      <c r="A2458" t="str">
        <f>HYPERLINK("https://www.773grp.com/globalSearch/LM27965SQ-M-NOPB/page-1", "LM27965SQ-M-NOPB")</f>
        <v>LM27965SQ-M-NOPB</v>
      </c>
      <c r="B2458" s="3" t="str">
        <f>HYPERLINK("https://www.773grp.com/manufacturer/national-semiconductor?pageNo=45", "National Semiconductor")</f>
        <v>National Semiconductor</v>
      </c>
      <c r="C2458" s="6">
        <v>2000</v>
      </c>
      <c r="D2458" s="7">
        <v>3.8</v>
      </c>
    </row>
    <row r="2459" spans="1:5" x14ac:dyDescent="0.25">
      <c r="A2459" t="str">
        <f>HYPERLINK("https://www.773grp.com/globalSearch/LM3429Q1MH-NOPB/page-1", "LM3429Q1MH-NOPB")</f>
        <v>LM3429Q1MH-NOPB</v>
      </c>
      <c r="B2459" s="3" t="str">
        <f>HYPERLINK("https://www.773grp.com/manufacturer/national-semiconductor?pageNo=46", "National Semiconductor")</f>
        <v>National Semiconductor</v>
      </c>
      <c r="C2459" s="6">
        <v>1278</v>
      </c>
      <c r="D2459" s="7">
        <v>3.8</v>
      </c>
    </row>
    <row r="2460" spans="1:5" x14ac:dyDescent="0.25">
      <c r="A2460" t="str">
        <f>HYPERLINK("https://www.773grp.com/globalSearch/LM34914SD-NOPB/page-1", "LM34914SD-NOPB")</f>
        <v>LM34914SD-NOPB</v>
      </c>
      <c r="B2460" s="3" t="str">
        <f>HYPERLINK("https://www.773grp.com/manufacturer/national-semiconductor?pageNo=47", "National Semiconductor")</f>
        <v>National Semiconductor</v>
      </c>
      <c r="C2460" s="6">
        <v>7000</v>
      </c>
      <c r="D2460" s="7">
        <v>3.8</v>
      </c>
    </row>
    <row r="2461" spans="1:5" x14ac:dyDescent="0.25">
      <c r="A2461" t="str">
        <f>HYPERLINK("https://www.773grp.com/globalSearch/LM3495MTC/page-1", "LM3495MTC")</f>
        <v>LM3495MTC</v>
      </c>
      <c r="B2461" s="3" t="str">
        <f>HYPERLINK("https://www.773grp.com/manufacturer/national-semiconductor?pageNo=48", "National Semiconductor")</f>
        <v>National Semiconductor</v>
      </c>
      <c r="C2461" s="6">
        <v>373</v>
      </c>
      <c r="D2461" s="7">
        <v>3.8</v>
      </c>
      <c r="E2461" t="s">
        <v>7</v>
      </c>
    </row>
    <row r="2462" spans="1:5" x14ac:dyDescent="0.25">
      <c r="A2462" t="str">
        <f>HYPERLINK("https://www.773grp.com/globalSearch/LM3495MTCX-NOPB/page-1", "LM3495MTCX-NOPB")</f>
        <v>LM3495MTCX-NOPB</v>
      </c>
      <c r="B2462" s="3" t="str">
        <f>HYPERLINK("https://www.773grp.com/manufacturer/national-semiconductor?pageNo=49", "National Semiconductor")</f>
        <v>National Semiconductor</v>
      </c>
      <c r="C2462" s="6">
        <v>5072</v>
      </c>
      <c r="D2462" s="7">
        <v>3.8</v>
      </c>
    </row>
    <row r="2463" spans="1:5" x14ac:dyDescent="0.25">
      <c r="A2463" t="str">
        <f>HYPERLINK("https://www.773grp.com/globalSearch/LM4140CCM-2.0-NOPB/page-1", "LM4140CCM-2.0-NOPB")</f>
        <v>LM4140CCM-2.0-NOPB</v>
      </c>
      <c r="B2463" s="3" t="str">
        <f>HYPERLINK("https://www.773grp.com/manufacturer/national-semiconductor?pageNo=50", "National Semiconductor")</f>
        <v>National Semiconductor</v>
      </c>
      <c r="C2463" s="6">
        <v>215</v>
      </c>
      <c r="D2463" s="7">
        <v>3.8</v>
      </c>
      <c r="E2463" t="s">
        <v>17</v>
      </c>
    </row>
    <row r="2464" spans="1:5" x14ac:dyDescent="0.25">
      <c r="A2464" t="str">
        <f>HYPERLINK("https://www.773grp.com/globalSearch/LM4140CCMX-2.5-NOPB/page-1", "LM4140CCMX-2.5-NOPB")</f>
        <v>LM4140CCMX-2.5-NOPB</v>
      </c>
      <c r="B2464" s="3" t="str">
        <f>HYPERLINK("https://www.773grp.com/manufacturer/national-semiconductor?pageNo=51", "National Semiconductor")</f>
        <v>National Semiconductor</v>
      </c>
      <c r="C2464" s="6">
        <v>7400</v>
      </c>
      <c r="D2464" s="7">
        <v>3.8</v>
      </c>
      <c r="E2464" t="s">
        <v>17</v>
      </c>
    </row>
    <row r="2465" spans="1:5" x14ac:dyDescent="0.25">
      <c r="A2465" t="str">
        <f>HYPERLINK("https://www.773grp.com/globalSearch/LM5008SD-NOPB/page-1", "LM5008SD-NOPB")</f>
        <v>LM5008SD-NOPB</v>
      </c>
      <c r="B2465" s="3" t="str">
        <f>HYPERLINK("https://www.773grp.com/manufacturer/national-semiconductor?pageNo=52", "National Semiconductor")</f>
        <v>National Semiconductor</v>
      </c>
      <c r="C2465" s="6">
        <v>2000</v>
      </c>
      <c r="D2465" s="7">
        <v>3.8</v>
      </c>
      <c r="E2465" t="s">
        <v>7</v>
      </c>
    </row>
    <row r="2466" spans="1:5" x14ac:dyDescent="0.25">
      <c r="A2466" t="str">
        <f>HYPERLINK("https://www.773grp.com/globalSearch/LMC6062IN/page-1", "LMC6062IN")</f>
        <v>LMC6062IN</v>
      </c>
      <c r="B2466" s="3" t="str">
        <f>HYPERLINK("https://www.773grp.com/manufacturer/national-semiconductor?pageNo=53", "National Semiconductor")</f>
        <v>National Semiconductor</v>
      </c>
      <c r="C2466" s="6">
        <v>1835</v>
      </c>
      <c r="D2466" s="7">
        <v>3.8</v>
      </c>
      <c r="E2466" t="s">
        <v>13</v>
      </c>
    </row>
    <row r="2467" spans="1:5" x14ac:dyDescent="0.25">
      <c r="A2467" t="str">
        <f>HYPERLINK("https://www.773grp.com/globalSearch/LMC660AIM/page-1", "LMC660AIM")</f>
        <v>LMC660AIM</v>
      </c>
      <c r="B2467" s="3" t="str">
        <f>HYPERLINK("https://www.773grp.com/manufacturer/national-semiconductor?pageNo=54", "National Semiconductor")</f>
        <v>National Semiconductor</v>
      </c>
      <c r="C2467" s="6">
        <v>356</v>
      </c>
      <c r="D2467" s="7">
        <v>3.8</v>
      </c>
      <c r="E2467" t="s">
        <v>13</v>
      </c>
    </row>
    <row r="2468" spans="1:5" x14ac:dyDescent="0.25">
      <c r="A2468" t="str">
        <f>HYPERLINK("https://www.773grp.com/globalSearch/LMH6703MF-NOPB/page-1", "LMH6703MF-NOPB")</f>
        <v>LMH6703MF-NOPB</v>
      </c>
      <c r="B2468" s="3" t="str">
        <f>HYPERLINK("https://www.773grp.com/manufacturer/national-semiconductor?pageNo=55", "National Semiconductor")</f>
        <v>National Semiconductor</v>
      </c>
      <c r="C2468" s="6">
        <v>4800</v>
      </c>
      <c r="D2468" s="7">
        <v>3.8</v>
      </c>
      <c r="E2468" t="s">
        <v>18</v>
      </c>
    </row>
    <row r="2469" spans="1:5" x14ac:dyDescent="0.25">
      <c r="A2469" t="str">
        <f>HYPERLINK("https://www.773grp.com/globalSearch/LMP2016MA/page-1", "LMP2016MA")</f>
        <v>LMP2016MA</v>
      </c>
      <c r="B2469" s="3" t="str">
        <f>HYPERLINK("https://www.773grp.com/manufacturer/national-semiconductor?pageNo=56", "National Semiconductor")</f>
        <v>National Semiconductor</v>
      </c>
      <c r="C2469" s="6">
        <v>85</v>
      </c>
      <c r="D2469" s="7">
        <v>3.8</v>
      </c>
      <c r="E2469" t="s">
        <v>13</v>
      </c>
    </row>
    <row r="2470" spans="1:5" x14ac:dyDescent="0.25">
      <c r="A2470" t="str">
        <f>HYPERLINK("https://www.773grp.com/globalSearch/LPC660IMX-NOPB/page-1", "LPC660IMX-NOPB")</f>
        <v>LPC660IMX-NOPB</v>
      </c>
      <c r="B2470" s="3" t="str">
        <f>HYPERLINK("https://www.773grp.com/manufacturer/national-semiconductor?pageNo=57", "National Semiconductor")</f>
        <v>National Semiconductor</v>
      </c>
      <c r="C2470" s="6">
        <v>2500</v>
      </c>
      <c r="D2470" s="7">
        <v>3.8</v>
      </c>
      <c r="E2470" t="s">
        <v>13</v>
      </c>
    </row>
    <row r="2471" spans="1:5" x14ac:dyDescent="0.25">
      <c r="A2471" t="str">
        <f>HYPERLINK("https://www.773grp.com/globalSearch/DS92LV010ATMX-NOPB/page-1", "DS92LV010ATMX-NOPB")</f>
        <v>DS92LV010ATMX-NOPB</v>
      </c>
      <c r="B2471" s="3" t="str">
        <f>HYPERLINK("https://www.773grp.com/manufacturer/national-semiconductor?pageNo=58", "National Semiconductor")</f>
        <v>National Semiconductor</v>
      </c>
      <c r="C2471" s="6">
        <v>920</v>
      </c>
      <c r="D2471" s="7">
        <v>3.8</v>
      </c>
      <c r="E2471" t="s">
        <v>21</v>
      </c>
    </row>
    <row r="2472" spans="1:5" x14ac:dyDescent="0.25">
      <c r="A2472" t="str">
        <f>HYPERLINK("https://www.773grp.com/globalSearch/LM2734ZSD-NOPB/page-1", "LM2734ZSD-NOPB")</f>
        <v>LM2734ZSD-NOPB</v>
      </c>
      <c r="B2472" s="3" t="str">
        <f>HYPERLINK("https://www.773grp.com/manufacturer/national-semiconductor?pageNo=59", "National Semiconductor")</f>
        <v>National Semiconductor</v>
      </c>
      <c r="C2472" s="6">
        <v>1000</v>
      </c>
      <c r="D2472" s="7">
        <v>3.8</v>
      </c>
      <c r="E2472" t="s">
        <v>7</v>
      </c>
    </row>
    <row r="2473" spans="1:5" x14ac:dyDescent="0.25">
      <c r="A2473" t="str">
        <f>HYPERLINK("https://www.773grp.com/globalSearch/LM34917ATL-NOPB/page-1", "LM34917ATL-NOPB")</f>
        <v>LM34917ATL-NOPB</v>
      </c>
      <c r="B2473" s="3" t="str">
        <f>HYPERLINK("https://www.773grp.com/manufacturer/national-semiconductor?pageNo=60", "National Semiconductor")</f>
        <v>National Semiconductor</v>
      </c>
      <c r="C2473" s="6">
        <v>1173</v>
      </c>
      <c r="D2473" s="7">
        <v>3.8</v>
      </c>
    </row>
    <row r="2474" spans="1:5" x14ac:dyDescent="0.25">
      <c r="A2474" t="str">
        <f>HYPERLINK("https://www.773grp.com/globalSearch/LM3495MTCX-NOPB/page-1", "LM3495MTCX-NOPB")</f>
        <v>LM3495MTCX-NOPB</v>
      </c>
      <c r="B2474" s="3" t="str">
        <f>HYPERLINK("https://www.773grp.com/manufacturer/national-semiconductor?pageNo=61", "National Semiconductor")</f>
        <v>National Semiconductor</v>
      </c>
      <c r="C2474" s="6">
        <v>4</v>
      </c>
      <c r="D2474" s="7">
        <v>3.8</v>
      </c>
    </row>
    <row r="2475" spans="1:5" x14ac:dyDescent="0.25">
      <c r="A2475" t="str">
        <f>HYPERLINK("https://www.773grp.com/globalSearch/LM4140CCM-2.0-NOPB/page-1", "LM4140CCM-2.0-NOPB")</f>
        <v>LM4140CCM-2.0-NOPB</v>
      </c>
      <c r="B2475" s="3" t="str">
        <f>HYPERLINK("https://www.773grp.com/manufacturer/national-semiconductor?pageNo=62", "National Semiconductor")</f>
        <v>National Semiconductor</v>
      </c>
      <c r="C2475" s="6">
        <v>663</v>
      </c>
      <c r="D2475" s="7">
        <v>3.8</v>
      </c>
      <c r="E2475" t="s">
        <v>17</v>
      </c>
    </row>
    <row r="2476" spans="1:5" x14ac:dyDescent="0.25">
      <c r="A2476" t="str">
        <f>HYPERLINK("https://www.773grp.com/globalSearch/LM49370RL/page-1", "LM49370RL")</f>
        <v>LM49370RL</v>
      </c>
      <c r="B2476" s="3" t="str">
        <f>HYPERLINK("https://www.773grp.com/manufacturer/national-semiconductor?pageNo=63", "National Semiconductor")</f>
        <v>National Semiconductor</v>
      </c>
      <c r="C2476" s="6">
        <v>412</v>
      </c>
      <c r="D2476" s="7">
        <v>3.8</v>
      </c>
    </row>
    <row r="2477" spans="1:5" x14ac:dyDescent="0.25">
      <c r="A2477" t="str">
        <f>HYPERLINK("https://www.773grp.com/globalSearch/LM5008SD-NOPB/page-1", "LM5008SD-NOPB")</f>
        <v>LM5008SD-NOPB</v>
      </c>
      <c r="B2477" s="3" t="str">
        <f>HYPERLINK("https://www.773grp.com/manufacturer/national-semiconductor?pageNo=64", "National Semiconductor")</f>
        <v>National Semiconductor</v>
      </c>
      <c r="C2477" s="6">
        <v>30</v>
      </c>
      <c r="D2477" s="7">
        <v>3.8</v>
      </c>
      <c r="E2477" t="s">
        <v>7</v>
      </c>
    </row>
    <row r="2478" spans="1:5" x14ac:dyDescent="0.25">
      <c r="A2478" t="str">
        <f>HYPERLINK("https://www.773grp.com/globalSearch/LMC660AIM/page-1", "LMC660AIM")</f>
        <v>LMC660AIM</v>
      </c>
      <c r="B2478" s="3" t="str">
        <f>HYPERLINK("https://www.773grp.com/manufacturer/national-semiconductor?pageNo=65", "National Semiconductor")</f>
        <v>National Semiconductor</v>
      </c>
      <c r="C2478" s="6">
        <v>330</v>
      </c>
      <c r="D2478" s="7">
        <v>3.8</v>
      </c>
      <c r="E2478" t="s">
        <v>13</v>
      </c>
    </row>
    <row r="2479" spans="1:5" x14ac:dyDescent="0.25">
      <c r="A2479" t="str">
        <f>HYPERLINK("https://www.773grp.com/globalSearch/LMH6703MAX-NOPB/page-1", "LMH6703MAX-NOPB")</f>
        <v>LMH6703MAX-NOPB</v>
      </c>
      <c r="B2479" s="3" t="str">
        <f>HYPERLINK("https://www.773grp.com/manufacturer/national-semiconductor?pageNo=66", "National Semiconductor")</f>
        <v>National Semiconductor</v>
      </c>
      <c r="C2479" s="6">
        <v>32500</v>
      </c>
      <c r="D2479" s="7">
        <v>3.8</v>
      </c>
    </row>
    <row r="2480" spans="1:5" x14ac:dyDescent="0.25">
      <c r="A2480" t="str">
        <f>HYPERLINK("https://www.773grp.com/globalSearch/LMP2022MM-NOPB/page-1", "LMP2022MM-NOPB")</f>
        <v>LMP2022MM-NOPB</v>
      </c>
      <c r="B2480" s="3" t="str">
        <f>HYPERLINK("https://www.773grp.com/manufacturer/national-semiconductor?pageNo=67", "National Semiconductor")</f>
        <v>National Semiconductor</v>
      </c>
      <c r="C2480" s="6">
        <v>1000</v>
      </c>
      <c r="D2480" s="7">
        <v>3.8</v>
      </c>
    </row>
    <row r="2481" spans="1:5" x14ac:dyDescent="0.25">
      <c r="A2481" t="str">
        <f>HYPERLINK("https://www.773grp.com/globalSearch/OPA241UA/page-1", "OPA241UA")</f>
        <v>OPA241UA</v>
      </c>
      <c r="B2481" s="3" t="str">
        <f>HYPERLINK("https://www.773grp.com/manufacturer/national-semiconductor?pageNo=68", "National Semiconductor")</f>
        <v>National Semiconductor</v>
      </c>
      <c r="C2481" s="6">
        <v>1500</v>
      </c>
      <c r="D2481" s="7">
        <v>3.8</v>
      </c>
    </row>
    <row r="2482" spans="1:5" x14ac:dyDescent="0.25">
      <c r="A2482" t="str">
        <f>HYPERLINK("https://www.773grp.com/globalSearch/54107DM/page-1", "54107DM")</f>
        <v>54107DM</v>
      </c>
      <c r="B2482" s="3" t="str">
        <f>HYPERLINK("https://www.773grp.com/manufacturer/national-semiconductor?pageNo=69", "National Semiconductor")</f>
        <v>National Semiconductor</v>
      </c>
      <c r="C2482" s="6">
        <v>2131</v>
      </c>
      <c r="D2482" s="7">
        <v>4.2300000000000004</v>
      </c>
    </row>
    <row r="2483" spans="1:5" x14ac:dyDescent="0.25">
      <c r="A2483" t="str">
        <f>HYPERLINK("https://www.773grp.com/globalSearch/5473DM/page-1", "5473DM")</f>
        <v>5473DM</v>
      </c>
      <c r="B2483" s="3" t="str">
        <f>HYPERLINK("https://www.773grp.com/manufacturer/national-semiconductor?pageNo=70", "National Semiconductor")</f>
        <v>National Semiconductor</v>
      </c>
      <c r="C2483" s="6">
        <v>15</v>
      </c>
      <c r="D2483" s="7">
        <v>4.2300000000000004</v>
      </c>
    </row>
    <row r="2484" spans="1:5" x14ac:dyDescent="0.25">
      <c r="A2484" t="str">
        <f>HYPERLINK("https://www.773grp.com/globalSearch/54LS26DM/page-1", "54LS26DM")</f>
        <v>54LS26DM</v>
      </c>
      <c r="B2484" s="3" t="str">
        <f>HYPERLINK("https://www.773grp.com/manufacturer/national-semiconductor?pageNo=71", "National Semiconductor")</f>
        <v>National Semiconductor</v>
      </c>
      <c r="C2484" s="6">
        <v>2722</v>
      </c>
      <c r="D2484" s="7">
        <v>4.2300000000000004</v>
      </c>
    </row>
    <row r="2485" spans="1:5" x14ac:dyDescent="0.25">
      <c r="A2485" t="str">
        <f>HYPERLINK("https://www.773grp.com/globalSearch/54LS26DMQB/page-1", "54LS26DMQB")</f>
        <v>54LS26DMQB</v>
      </c>
      <c r="B2485" s="3" t="str">
        <f>HYPERLINK("https://www.773grp.com/manufacturer/national-semiconductor?pageNo=72", "National Semiconductor")</f>
        <v>National Semiconductor</v>
      </c>
      <c r="C2485" s="6">
        <v>3461</v>
      </c>
      <c r="D2485" s="7">
        <v>4.2300000000000004</v>
      </c>
      <c r="E2485" t="s">
        <v>31</v>
      </c>
    </row>
    <row r="2486" spans="1:5" x14ac:dyDescent="0.25">
      <c r="A2486" t="str">
        <f>HYPERLINK("https://www.773grp.com/globalSearch/74279PC/page-1", "74279PC")</f>
        <v>74279PC</v>
      </c>
      <c r="B2486" s="3" t="str">
        <f>HYPERLINK("https://www.773grp.com/manufacturer/national-semiconductor?pageNo=73", "National Semiconductor")</f>
        <v>National Semiconductor</v>
      </c>
      <c r="C2486" s="6">
        <v>7948</v>
      </c>
      <c r="D2486" s="7">
        <v>4.2300000000000004</v>
      </c>
    </row>
    <row r="2487" spans="1:5" x14ac:dyDescent="0.25">
      <c r="A2487" t="str">
        <f>HYPERLINK("https://www.773grp.com/globalSearch/74F181PC/page-1", "74F181PC")</f>
        <v>74F181PC</v>
      </c>
      <c r="B2487" s="3" t="str">
        <f>HYPERLINK("https://www.773grp.com/manufacturer/national-semiconductor?pageNo=74", "National Semiconductor")</f>
        <v>National Semiconductor</v>
      </c>
      <c r="C2487" s="6">
        <v>1</v>
      </c>
      <c r="D2487" s="7">
        <v>4.2300000000000004</v>
      </c>
      <c r="E2487" t="s">
        <v>43</v>
      </c>
    </row>
    <row r="2488" spans="1:5" x14ac:dyDescent="0.25">
      <c r="A2488" t="str">
        <f>HYPERLINK("https://www.773grp.com/globalSearch/96L02PC/page-1", "96L02PC")</f>
        <v>96L02PC</v>
      </c>
      <c r="B2488" s="3" t="str">
        <f>HYPERLINK("https://www.773grp.com/manufacturer/national-semiconductor?pageNo=75", "National Semiconductor")</f>
        <v>National Semiconductor</v>
      </c>
      <c r="C2488" s="6">
        <v>72</v>
      </c>
      <c r="D2488" s="7">
        <v>4.2300000000000004</v>
      </c>
      <c r="E2488" t="s">
        <v>54</v>
      </c>
    </row>
    <row r="2489" spans="1:5" x14ac:dyDescent="0.25">
      <c r="A2489" t="str">
        <f>HYPERLINK("https://www.773grp.com/globalSearch/DM74LS166WM/page-1", "DM74LS166WM")</f>
        <v>DM74LS166WM</v>
      </c>
      <c r="B2489" s="3" t="str">
        <f>HYPERLINK("https://www.773grp.com/manufacturer/national-semiconductor?pageNo=76", "National Semiconductor")</f>
        <v>National Semiconductor</v>
      </c>
      <c r="C2489" s="6">
        <v>6948</v>
      </c>
      <c r="D2489" s="7">
        <v>4.2300000000000004</v>
      </c>
      <c r="E2489" t="s">
        <v>32</v>
      </c>
    </row>
    <row r="2490" spans="1:5" x14ac:dyDescent="0.25">
      <c r="A2490" t="str">
        <f>HYPERLINK("https://www.773grp.com/globalSearch/DP83848JSQ-NOPB/page-1", "DP83848JSQ-NOPB")</f>
        <v>DP83848JSQ-NOPB</v>
      </c>
      <c r="B2490" s="3" t="str">
        <f>HYPERLINK("https://www.773grp.com/manufacturer/national-semiconductor?pageNo=77", "National Semiconductor")</f>
        <v>National Semiconductor</v>
      </c>
      <c r="C2490" s="6">
        <v>178</v>
      </c>
      <c r="D2490" s="7">
        <v>4.2300000000000004</v>
      </c>
    </row>
    <row r="2491" spans="1:5" x14ac:dyDescent="0.25">
      <c r="A2491" t="str">
        <f>HYPERLINK("https://www.773grp.com/globalSearch/DP83848MSQ-NOPB/page-1", "DP83848MSQ-NOPB")</f>
        <v>DP83848MSQ-NOPB</v>
      </c>
      <c r="B2491" s="3" t="str">
        <f>HYPERLINK("https://www.773grp.com/manufacturer/national-semiconductor?pageNo=78", "National Semiconductor")</f>
        <v>National Semiconductor</v>
      </c>
      <c r="C2491" s="6">
        <v>632</v>
      </c>
      <c r="D2491" s="7">
        <v>4.2300000000000004</v>
      </c>
      <c r="E2491" t="s">
        <v>55</v>
      </c>
    </row>
    <row r="2492" spans="1:5" x14ac:dyDescent="0.25">
      <c r="A2492" t="str">
        <f>HYPERLINK("https://www.773grp.com/globalSearch/DS26C31CN/page-1", "DS26C31CN")</f>
        <v>DS26C31CN</v>
      </c>
      <c r="B2492" s="3" t="str">
        <f>HYPERLINK("https://www.773grp.com/manufacturer/national-semiconductor?pageNo=79", "National Semiconductor")</f>
        <v>National Semiconductor</v>
      </c>
      <c r="C2492" s="6">
        <v>2758</v>
      </c>
      <c r="D2492" s="7">
        <v>4.2300000000000004</v>
      </c>
      <c r="E2492" t="s">
        <v>21</v>
      </c>
    </row>
    <row r="2493" spans="1:5" x14ac:dyDescent="0.25">
      <c r="A2493" t="str">
        <f>HYPERLINK("https://www.773grp.com/globalSearch/DS34C86TM-NOPB/page-1", "DS34C86TM-NOPB")</f>
        <v>DS34C86TM-NOPB</v>
      </c>
      <c r="B2493" s="3" t="str">
        <f>HYPERLINK("https://www.773grp.com/manufacturer/national-semiconductor?pageNo=80", "National Semiconductor")</f>
        <v>National Semiconductor</v>
      </c>
      <c r="C2493" s="6">
        <v>1252</v>
      </c>
      <c r="D2493" s="7">
        <v>4.2300000000000004</v>
      </c>
      <c r="E2493" t="s">
        <v>21</v>
      </c>
    </row>
    <row r="2494" spans="1:5" x14ac:dyDescent="0.25">
      <c r="A2494" t="str">
        <f>HYPERLINK("https://www.773grp.com/globalSearch/DS34C86TMX/page-1", "DS34C86TMX")</f>
        <v>DS34C86TMX</v>
      </c>
      <c r="B2494" s="3" t="str">
        <f>HYPERLINK("https://www.773grp.com/manufacturer/national-semiconductor?pageNo=81", "National Semiconductor")</f>
        <v>National Semiconductor</v>
      </c>
      <c r="C2494" s="6">
        <v>2500</v>
      </c>
      <c r="D2494" s="7">
        <v>4.2300000000000004</v>
      </c>
      <c r="E2494" t="s">
        <v>21</v>
      </c>
    </row>
    <row r="2495" spans="1:5" x14ac:dyDescent="0.25">
      <c r="A2495" t="str">
        <f>HYPERLINK("https://www.773grp.com/globalSearch/DS86S10N/page-1", "DS86S10N")</f>
        <v>DS86S10N</v>
      </c>
      <c r="B2495" s="3" t="str">
        <f>HYPERLINK("https://www.773grp.com/manufacturer/national-semiconductor?pageNo=82", "National Semiconductor")</f>
        <v>National Semiconductor</v>
      </c>
      <c r="C2495" s="6">
        <v>5150</v>
      </c>
      <c r="D2495" s="7">
        <v>4.2300000000000004</v>
      </c>
    </row>
    <row r="2496" spans="1:5" x14ac:dyDescent="0.25">
      <c r="A2496" t="str">
        <f>HYPERLINK("https://www.773grp.com/globalSearch/LM13700N-NOPB/page-1", "LM13700N-NOPB")</f>
        <v>LM13700N-NOPB</v>
      </c>
      <c r="B2496" s="3" t="str">
        <f>HYPERLINK("https://www.773grp.com/manufacturer/national-semiconductor?pageNo=83", "National Semiconductor")</f>
        <v>National Semiconductor</v>
      </c>
      <c r="C2496" s="6">
        <v>254</v>
      </c>
      <c r="D2496" s="7">
        <v>4.2300000000000004</v>
      </c>
      <c r="E2496" t="s">
        <v>13</v>
      </c>
    </row>
    <row r="2497" spans="1:5" x14ac:dyDescent="0.25">
      <c r="A2497" t="str">
        <f>HYPERLINK("https://www.773grp.com/globalSearch/LM2469TA/page-1", "LM2469TA")</f>
        <v>LM2469TA</v>
      </c>
      <c r="B2497" s="3" t="str">
        <f>HYPERLINK("https://www.773grp.com/manufacturer/national-semiconductor?pageNo=84", "National Semiconductor")</f>
        <v>National Semiconductor</v>
      </c>
      <c r="C2497" s="6">
        <v>41</v>
      </c>
      <c r="D2497" s="7">
        <v>4.2300000000000004</v>
      </c>
      <c r="E2497" t="s">
        <v>18</v>
      </c>
    </row>
    <row r="2498" spans="1:5" x14ac:dyDescent="0.25">
      <c r="A2498" t="str">
        <f>HYPERLINK("https://www.773grp.com/globalSearch/LM2623MM/page-1", "LM2623MM")</f>
        <v>LM2623MM</v>
      </c>
      <c r="B2498" s="3" t="str">
        <f>HYPERLINK("https://www.773grp.com/manufacturer/national-semiconductor?pageNo=85", "National Semiconductor")</f>
        <v>National Semiconductor</v>
      </c>
      <c r="C2498" s="6">
        <v>898</v>
      </c>
      <c r="D2498" s="7">
        <v>4.2300000000000004</v>
      </c>
      <c r="E2498" t="s">
        <v>7</v>
      </c>
    </row>
    <row r="2499" spans="1:5" x14ac:dyDescent="0.25">
      <c r="A2499" t="str">
        <f>HYPERLINK("https://www.773grp.com/globalSearch/LM2743MTCX-NOPB/page-1", "LM2743MTCX-NOPB")</f>
        <v>LM2743MTCX-NOPB</v>
      </c>
      <c r="B2499" s="3" t="str">
        <f>HYPERLINK("https://www.773grp.com/manufacturer/national-semiconductor?pageNo=86", "National Semiconductor")</f>
        <v>National Semiconductor</v>
      </c>
      <c r="C2499" s="6">
        <v>5000</v>
      </c>
      <c r="D2499" s="7">
        <v>4.2300000000000004</v>
      </c>
      <c r="E2499" t="s">
        <v>7</v>
      </c>
    </row>
    <row r="2500" spans="1:5" x14ac:dyDescent="0.25">
      <c r="A2500" t="str">
        <f>HYPERLINK("https://www.773grp.com/globalSearch/LM2788MM-1.8/page-1", "LM2788MM-1.8")</f>
        <v>LM2788MM-1.8</v>
      </c>
      <c r="B2500" s="3" t="str">
        <f>HYPERLINK("https://www.773grp.com/manufacturer/national-semiconductor?pageNo=87", "National Semiconductor")</f>
        <v>National Semiconductor</v>
      </c>
      <c r="C2500" s="6">
        <v>1045</v>
      </c>
      <c r="D2500" s="7">
        <v>4.2300000000000004</v>
      </c>
      <c r="E2500" t="s">
        <v>7</v>
      </c>
    </row>
    <row r="2501" spans="1:5" x14ac:dyDescent="0.25">
      <c r="A2501" t="str">
        <f>HYPERLINK("https://www.773grp.com/globalSearch/LM2788MM-1.8-NOPB/page-1", "LM2788MM-1.8-NOPB")</f>
        <v>LM2788MM-1.8-NOPB</v>
      </c>
      <c r="B2501" s="3" t="str">
        <f>HYPERLINK("https://www.773grp.com/manufacturer/national-semiconductor?pageNo=88", "National Semiconductor")</f>
        <v>National Semiconductor</v>
      </c>
      <c r="C2501" s="6">
        <v>750</v>
      </c>
      <c r="D2501" s="7">
        <v>4.2300000000000004</v>
      </c>
      <c r="E2501" t="s">
        <v>7</v>
      </c>
    </row>
    <row r="2502" spans="1:5" x14ac:dyDescent="0.25">
      <c r="A2502" t="str">
        <f>HYPERLINK("https://www.773grp.com/globalSearch/LM285BXM-1.2/page-1", "LM285BXM-1.2")</f>
        <v>LM285BXM-1.2</v>
      </c>
      <c r="B2502" s="3" t="str">
        <f>HYPERLINK("https://www.773grp.com/manufacturer/national-semiconductor?pageNo=89", "National Semiconductor")</f>
        <v>National Semiconductor</v>
      </c>
      <c r="C2502" s="6">
        <v>313</v>
      </c>
      <c r="D2502" s="7">
        <v>4.2300000000000004</v>
      </c>
      <c r="E2502" t="s">
        <v>17</v>
      </c>
    </row>
    <row r="2503" spans="1:5" x14ac:dyDescent="0.25">
      <c r="A2503" t="str">
        <f>HYPERLINK("https://www.773grp.com/globalSearch/LM285BXM-2.5/page-1", "LM285BXM-2.5")</f>
        <v>LM285BXM-2.5</v>
      </c>
      <c r="B2503" s="3" t="str">
        <f>HYPERLINK("https://www.773grp.com/manufacturer/national-semiconductor?pageNo=90", "National Semiconductor")</f>
        <v>National Semiconductor</v>
      </c>
      <c r="C2503" s="6">
        <v>6</v>
      </c>
      <c r="D2503" s="7">
        <v>4.2300000000000004</v>
      </c>
      <c r="E2503" t="s">
        <v>17</v>
      </c>
    </row>
    <row r="2504" spans="1:5" x14ac:dyDescent="0.25">
      <c r="A2504" t="str">
        <f>HYPERLINK("https://www.773grp.com/globalSearch/LM285BXMX-1.2/page-1", "LM285BXMX-1.2")</f>
        <v>LM285BXMX-1.2</v>
      </c>
      <c r="B2504" s="3" t="str">
        <f>HYPERLINK("https://www.773grp.com/manufacturer/national-semiconductor?pageNo=91", "National Semiconductor")</f>
        <v>National Semiconductor</v>
      </c>
      <c r="C2504" s="6">
        <v>2500</v>
      </c>
      <c r="D2504" s="7">
        <v>4.2300000000000004</v>
      </c>
      <c r="E2504" t="s">
        <v>17</v>
      </c>
    </row>
    <row r="2505" spans="1:5" x14ac:dyDescent="0.25">
      <c r="A2505" t="str">
        <f>HYPERLINK("https://www.773grp.com/globalSearch/LM285BYMX-1.2-NOPB/page-1", "LM285BYMX-1.2-NOPB")</f>
        <v>LM285BYMX-1.2-NOPB</v>
      </c>
      <c r="B2505" s="3" t="str">
        <f>HYPERLINK("https://www.773grp.com/manufacturer/national-semiconductor?pageNo=92", "National Semiconductor")</f>
        <v>National Semiconductor</v>
      </c>
      <c r="C2505" s="6">
        <v>2500</v>
      </c>
      <c r="D2505" s="7">
        <v>4.2300000000000004</v>
      </c>
      <c r="E2505" t="s">
        <v>17</v>
      </c>
    </row>
    <row r="2506" spans="1:5" x14ac:dyDescent="0.25">
      <c r="A2506" t="str">
        <f>HYPERLINK("https://www.773grp.com/globalSearch/LM2931CS-NOPB/page-1", "LM2931CS-NOPB")</f>
        <v>LM2931CS-NOPB</v>
      </c>
      <c r="B2506" s="3" t="str">
        <f>HYPERLINK("https://www.773grp.com/manufacturer/national-semiconductor?pageNo=93", "National Semiconductor")</f>
        <v>National Semiconductor</v>
      </c>
      <c r="C2506" s="6">
        <v>2232</v>
      </c>
      <c r="D2506" s="7">
        <v>4.2300000000000004</v>
      </c>
      <c r="E2506" t="s">
        <v>25</v>
      </c>
    </row>
    <row r="2507" spans="1:5" x14ac:dyDescent="0.25">
      <c r="A2507" t="str">
        <f>HYPERLINK("https://www.773grp.com/globalSearch/LM2931S-5.0-NOPB/page-1", "LM2931S-5.0-NOPB")</f>
        <v>LM2931S-5.0-NOPB</v>
      </c>
      <c r="B2507" s="3" t="str">
        <f>HYPERLINK("https://www.773grp.com/manufacturer/national-semiconductor?pageNo=94", "National Semiconductor")</f>
        <v>National Semiconductor</v>
      </c>
      <c r="C2507" s="6">
        <v>1305</v>
      </c>
      <c r="D2507" s="7">
        <v>4.2300000000000004</v>
      </c>
      <c r="E2507" t="s">
        <v>19</v>
      </c>
    </row>
    <row r="2508" spans="1:5" x14ac:dyDescent="0.25">
      <c r="A2508" t="str">
        <f>HYPERLINK("https://www.773grp.com/globalSearch/LM2931SX-5.0/page-1", "LM2931SX-5.0")</f>
        <v>LM2931SX-5.0</v>
      </c>
      <c r="B2508" s="3" t="str">
        <f>HYPERLINK("https://www.773grp.com/manufacturer/national-semiconductor?pageNo=95", "National Semiconductor")</f>
        <v>National Semiconductor</v>
      </c>
      <c r="C2508" s="6">
        <v>3000</v>
      </c>
      <c r="D2508" s="7">
        <v>4.2300000000000004</v>
      </c>
      <c r="E2508" t="s">
        <v>19</v>
      </c>
    </row>
    <row r="2509" spans="1:5" x14ac:dyDescent="0.25">
      <c r="A2509" t="str">
        <f>HYPERLINK("https://www.773grp.com/globalSearch/LM2931SX-5.0-NOPB/page-1", "LM2931SX-5.0-NOPB")</f>
        <v>LM2931SX-5.0-NOPB</v>
      </c>
      <c r="B2509" s="3" t="str">
        <f>HYPERLINK("https://www.773grp.com/manufacturer/national-semiconductor?pageNo=96", "National Semiconductor")</f>
        <v>National Semiconductor</v>
      </c>
      <c r="C2509" s="6">
        <v>500</v>
      </c>
      <c r="D2509" s="7">
        <v>4.2300000000000004</v>
      </c>
      <c r="E2509" t="s">
        <v>19</v>
      </c>
    </row>
    <row r="2510" spans="1:5" x14ac:dyDescent="0.25">
      <c r="A2510" t="str">
        <f>HYPERLINK("https://www.773grp.com/globalSearch/LM2940LD-12-NOPB/page-1", "LM2940LD-12-NOPB")</f>
        <v>LM2940LD-12-NOPB</v>
      </c>
      <c r="B2510" s="3" t="str">
        <f>HYPERLINK("https://www.773grp.com/manufacturer/national-semiconductor?pageNo=97", "National Semiconductor")</f>
        <v>National Semiconductor</v>
      </c>
      <c r="C2510" s="6">
        <v>2000</v>
      </c>
      <c r="D2510" s="7">
        <v>4.2300000000000004</v>
      </c>
      <c r="E2510" t="s">
        <v>19</v>
      </c>
    </row>
    <row r="2511" spans="1:5" x14ac:dyDescent="0.25">
      <c r="A2511" t="str">
        <f>HYPERLINK("https://www.773grp.com/globalSearch/LM3402MM-NOPB/page-1", "LM3402MM-NOPB")</f>
        <v>LM3402MM-NOPB</v>
      </c>
      <c r="B2511" s="3" t="str">
        <f>HYPERLINK("https://www.773grp.com/manufacturer/national-semiconductor?pageNo=98", "National Semiconductor")</f>
        <v>National Semiconductor</v>
      </c>
      <c r="C2511" s="6">
        <v>44949</v>
      </c>
      <c r="D2511" s="7">
        <v>4.2300000000000004</v>
      </c>
    </row>
    <row r="2512" spans="1:5" x14ac:dyDescent="0.25">
      <c r="A2512" t="str">
        <f>HYPERLINK("https://www.773grp.com/globalSearch/LM3402MRX-NOPB/page-1", "LM3402MRX-NOPB")</f>
        <v>LM3402MRX-NOPB</v>
      </c>
      <c r="B2512" s="3" t="str">
        <f>HYPERLINK("https://www.773grp.com/manufacturer/national-semiconductor?pageNo=99", "National Semiconductor")</f>
        <v>National Semiconductor</v>
      </c>
      <c r="C2512" s="6">
        <v>22500</v>
      </c>
      <c r="D2512" s="7">
        <v>4.2300000000000004</v>
      </c>
      <c r="E2512" t="s">
        <v>7</v>
      </c>
    </row>
    <row r="2513" spans="1:5" x14ac:dyDescent="0.25">
      <c r="A2513" t="str">
        <f>HYPERLINK("https://www.773grp.com/globalSearch/LM3414HVMRX-NOPB/page-1", "LM3414HVMRX-NOPB")</f>
        <v>LM3414HVMRX-NOPB</v>
      </c>
      <c r="B2513" s="3" t="str">
        <f>HYPERLINK("https://www.773grp.com/manufacturer/national-semiconductor?pageNo=100", "National Semiconductor")</f>
        <v>National Semiconductor</v>
      </c>
      <c r="C2513" s="6">
        <v>17800</v>
      </c>
      <c r="D2513" s="7">
        <v>4.2300000000000004</v>
      </c>
      <c r="E2513" t="s">
        <v>10</v>
      </c>
    </row>
    <row r="2514" spans="1:5" x14ac:dyDescent="0.25">
      <c r="A2514" t="str">
        <f>HYPERLINK("https://www.773grp.com/globalSearch/LM3414HVSD-NOPB/page-1", "LM3414HVSD-NOPB")</f>
        <v>LM3414HVSD-NOPB</v>
      </c>
      <c r="B2514" s="3" t="str">
        <f>HYPERLINK("https://www.773grp.com/manufacturer/national-semiconductor?pageNo=101", "National Semiconductor")</f>
        <v>National Semiconductor</v>
      </c>
      <c r="C2514" s="6">
        <v>1000</v>
      </c>
      <c r="D2514" s="7">
        <v>4.2300000000000004</v>
      </c>
      <c r="E2514" t="s">
        <v>10</v>
      </c>
    </row>
    <row r="2515" spans="1:5" x14ac:dyDescent="0.25">
      <c r="A2515" t="str">
        <f>HYPERLINK("https://www.773grp.com/globalSearch/LM3478MM-NOPB/page-1", "LM3478MM-NOPB")</f>
        <v>LM3478MM-NOPB</v>
      </c>
      <c r="B2515" s="3" t="str">
        <f>HYPERLINK("https://www.773grp.com/manufacturer/national-semiconductor?pageNo=102", "National Semiconductor")</f>
        <v>National Semiconductor</v>
      </c>
      <c r="C2515" s="6">
        <v>6800</v>
      </c>
      <c r="D2515" s="7">
        <v>4.2300000000000004</v>
      </c>
      <c r="E2515" t="s">
        <v>7</v>
      </c>
    </row>
    <row r="2516" spans="1:5" x14ac:dyDescent="0.25">
      <c r="A2516" t="str">
        <f>HYPERLINK("https://www.773grp.com/globalSearch/LM3481MM-NOPB/page-1", "LM3481MM-NOPB")</f>
        <v>LM3481MM-NOPB</v>
      </c>
      <c r="B2516" s="3" t="str">
        <f>HYPERLINK("https://www.773grp.com/manufacturer/national-semiconductor?pageNo=103", "National Semiconductor")</f>
        <v>National Semiconductor</v>
      </c>
      <c r="C2516" s="6">
        <v>290</v>
      </c>
      <c r="D2516" s="7">
        <v>4.2300000000000004</v>
      </c>
    </row>
    <row r="2517" spans="1:5" x14ac:dyDescent="0.25">
      <c r="A2517" t="str">
        <f>HYPERLINK("https://www.773grp.com/globalSearch/LM3488MM-NOPB/page-1", "LM3488MM-NOPB")</f>
        <v>LM3488MM-NOPB</v>
      </c>
      <c r="B2517" s="3" t="str">
        <f>HYPERLINK("https://www.773grp.com/manufacturer/national-semiconductor?pageNo=104", "National Semiconductor")</f>
        <v>National Semiconductor</v>
      </c>
      <c r="C2517" s="6">
        <v>2000</v>
      </c>
      <c r="D2517" s="7">
        <v>4.2300000000000004</v>
      </c>
      <c r="E2517" t="s">
        <v>7</v>
      </c>
    </row>
    <row r="2518" spans="1:5" x14ac:dyDescent="0.25">
      <c r="A2518" t="str">
        <f>HYPERLINK("https://www.773grp.com/globalSearch/LM35DM/page-1", "LM35DM")</f>
        <v>LM35DM</v>
      </c>
      <c r="B2518" s="3" t="str">
        <f>HYPERLINK("https://www.773grp.com/manufacturer/national-semiconductor?pageNo=105", "National Semiconductor")</f>
        <v>National Semiconductor</v>
      </c>
      <c r="C2518" s="6">
        <v>340</v>
      </c>
      <c r="D2518" s="7">
        <v>4.2300000000000004</v>
      </c>
      <c r="E2518" t="s">
        <v>8</v>
      </c>
    </row>
    <row r="2519" spans="1:5" x14ac:dyDescent="0.25">
      <c r="A2519" t="str">
        <f>HYPERLINK("https://www.773grp.com/globalSearch/LM4030BMF-2.5-NOPB/page-1", "LM4030BMF-2.5-NOPB")</f>
        <v>LM4030BMF-2.5-NOPB</v>
      </c>
      <c r="B2519" s="3" t="str">
        <f>HYPERLINK("https://www.773grp.com/manufacturer/national-semiconductor?pageNo=106", "National Semiconductor")</f>
        <v>National Semiconductor</v>
      </c>
      <c r="C2519" s="6">
        <v>1620</v>
      </c>
      <c r="D2519" s="7">
        <v>4.2300000000000004</v>
      </c>
    </row>
    <row r="2520" spans="1:5" x14ac:dyDescent="0.25">
      <c r="A2520" t="str">
        <f>HYPERLINK("https://www.773grp.com/globalSearch/LM4030BMF-4.096-NOPB/page-1", "LM4030BMF-4.096-NOPB")</f>
        <v>LM4030BMF-4.096-NOPB</v>
      </c>
      <c r="B2520" s="3" t="str">
        <f>HYPERLINK("https://www.773grp.com/manufacturer/national-semiconductor?pageNo=107", "National Semiconductor")</f>
        <v>National Semiconductor</v>
      </c>
      <c r="C2520" s="6">
        <v>407</v>
      </c>
      <c r="D2520" s="7">
        <v>4.2300000000000004</v>
      </c>
    </row>
    <row r="2521" spans="1:5" x14ac:dyDescent="0.25">
      <c r="A2521" t="str">
        <f>HYPERLINK("https://www.773grp.com/globalSearch/LM4050BIM3-2.5-NOPB/page-1", "LM4050BIM3-2.5-NOPB")</f>
        <v>LM4050BIM3-2.5-NOPB</v>
      </c>
      <c r="B2521" s="3" t="str">
        <f>HYPERLINK("https://www.773grp.com/manufacturer/national-semiconductor?pageNo=108", "National Semiconductor")</f>
        <v>National Semiconductor</v>
      </c>
      <c r="C2521" s="6">
        <v>519</v>
      </c>
      <c r="D2521" s="7">
        <v>4.2300000000000004</v>
      </c>
      <c r="E2521" t="s">
        <v>17</v>
      </c>
    </row>
    <row r="2522" spans="1:5" x14ac:dyDescent="0.25">
      <c r="A2522" t="str">
        <f>HYPERLINK("https://www.773grp.com/globalSearch/LM4050BIM3-4.1-NOPB/page-1", "LM4050BIM3-4.1-NOPB")</f>
        <v>LM4050BIM3-4.1-NOPB</v>
      </c>
      <c r="B2522" s="3" t="str">
        <f>HYPERLINK("https://www.773grp.com/manufacturer/national-semiconductor?pageNo=109", "National Semiconductor")</f>
        <v>National Semiconductor</v>
      </c>
      <c r="C2522" s="6">
        <v>4307</v>
      </c>
      <c r="D2522" s="7">
        <v>4.2300000000000004</v>
      </c>
      <c r="E2522" t="s">
        <v>17</v>
      </c>
    </row>
    <row r="2523" spans="1:5" x14ac:dyDescent="0.25">
      <c r="A2523" t="str">
        <f>HYPERLINK("https://www.773grp.com/globalSearch/LM4050BIM3-5.0-NOPB/page-1", "LM4050BIM3-5.0-NOPB")</f>
        <v>LM4050BIM3-5.0-NOPB</v>
      </c>
      <c r="B2523" s="3" t="str">
        <f>HYPERLINK("https://www.773grp.com/manufacturer/national-semiconductor?pageNo=110", "National Semiconductor")</f>
        <v>National Semiconductor</v>
      </c>
      <c r="C2523" s="6">
        <v>3000</v>
      </c>
      <c r="D2523" s="7">
        <v>4.2300000000000004</v>
      </c>
      <c r="E2523" t="s">
        <v>17</v>
      </c>
    </row>
    <row r="2524" spans="1:5" x14ac:dyDescent="0.25">
      <c r="A2524" t="str">
        <f>HYPERLINK("https://www.773grp.com/globalSearch/LM4050BIM3X-5.0-NOPB/page-1", "LM4050BIM3X-5.0-NOPB")</f>
        <v>LM4050BIM3X-5.0-NOPB</v>
      </c>
      <c r="B2524" s="3" t="str">
        <f>HYPERLINK("https://www.773grp.com/manufacturer/national-semiconductor?pageNo=111", "National Semiconductor")</f>
        <v>National Semiconductor</v>
      </c>
      <c r="C2524" s="6">
        <v>3255</v>
      </c>
      <c r="D2524" s="7">
        <v>4.2300000000000004</v>
      </c>
      <c r="E2524" t="s">
        <v>17</v>
      </c>
    </row>
    <row r="2525" spans="1:5" x14ac:dyDescent="0.25">
      <c r="A2525" t="str">
        <f>HYPERLINK("https://www.773grp.com/globalSearch/LM4051BIM3-1.2-NOPB/page-1", "LM4051BIM3-1.2-NOPB")</f>
        <v>LM4051BIM3-1.2-NOPB</v>
      </c>
      <c r="B2525" s="3" t="str">
        <f>HYPERLINK("https://www.773grp.com/manufacturer/national-semiconductor?pageNo=112", "National Semiconductor")</f>
        <v>National Semiconductor</v>
      </c>
      <c r="C2525" s="6">
        <v>8810</v>
      </c>
      <c r="D2525" s="7">
        <v>4.2300000000000004</v>
      </c>
      <c r="E2525" t="s">
        <v>17</v>
      </c>
    </row>
    <row r="2526" spans="1:5" x14ac:dyDescent="0.25">
      <c r="A2526" t="str">
        <f>HYPERLINK("https://www.773grp.com/globalSearch/LM4120IM5X-3.0/page-1", "LM4120IM5X-3.0")</f>
        <v>LM4120IM5X-3.0</v>
      </c>
      <c r="B2526" s="3" t="str">
        <f>HYPERLINK("https://www.773grp.com/manufacturer/national-semiconductor?pageNo=113", "National Semiconductor")</f>
        <v>National Semiconductor</v>
      </c>
      <c r="C2526" s="6">
        <v>3000</v>
      </c>
      <c r="D2526" s="7">
        <v>4.2300000000000004</v>
      </c>
      <c r="E2526" t="s">
        <v>17</v>
      </c>
    </row>
    <row r="2527" spans="1:5" x14ac:dyDescent="0.25">
      <c r="A2527" t="str">
        <f>HYPERLINK("https://www.773grp.com/globalSearch/LM4128BQ1MF1.8-NOPB/page-1", "LM4128BQ1MF1.8-NOPB")</f>
        <v>LM4128BQ1MF1.8-NOPB</v>
      </c>
      <c r="B2527" s="3" t="str">
        <f>HYPERLINK("https://www.773grp.com/manufacturer/national-semiconductor?pageNo=114", "National Semiconductor")</f>
        <v>National Semiconductor</v>
      </c>
      <c r="C2527" s="6">
        <v>1880</v>
      </c>
      <c r="D2527" s="7">
        <v>4.2300000000000004</v>
      </c>
    </row>
    <row r="2528" spans="1:5" x14ac:dyDescent="0.25">
      <c r="A2528" t="str">
        <f>HYPERLINK("https://www.773grp.com/globalSearch/LM48510SD-NOPB/page-1", "LM48510SD-NOPB")</f>
        <v>LM48510SD-NOPB</v>
      </c>
      <c r="B2528" s="3" t="str">
        <f>HYPERLINK("https://www.773grp.com/manufacturer/national-semiconductor?pageNo=115", "National Semiconductor")</f>
        <v>National Semiconductor</v>
      </c>
      <c r="C2528" s="6">
        <v>3877</v>
      </c>
      <c r="D2528" s="7">
        <v>4.2300000000000004</v>
      </c>
    </row>
    <row r="2529" spans="1:5" x14ac:dyDescent="0.25">
      <c r="A2529" t="str">
        <f>HYPERLINK("https://www.773grp.com/globalSearch/LM4865MM-NOPB/page-1", "LM4865MM-NOPB")</f>
        <v>LM4865MM-NOPB</v>
      </c>
      <c r="B2529" s="3" t="str">
        <f>HYPERLINK("https://www.773grp.com/manufacturer/national-semiconductor?pageNo=116", "National Semiconductor")</f>
        <v>National Semiconductor</v>
      </c>
      <c r="C2529" s="6">
        <v>1000</v>
      </c>
      <c r="D2529" s="7">
        <v>4.2300000000000004</v>
      </c>
      <c r="E2529" t="s">
        <v>41</v>
      </c>
    </row>
    <row r="2530" spans="1:5" x14ac:dyDescent="0.25">
      <c r="A2530" t="str">
        <f>HYPERLINK("https://www.773grp.com/globalSearch/LM4865MX-NOPB/page-1", "LM4865MX-NOPB")</f>
        <v>LM4865MX-NOPB</v>
      </c>
      <c r="B2530" s="3" t="str">
        <f>HYPERLINK("https://www.773grp.com/manufacturer/national-semiconductor?pageNo=117", "National Semiconductor")</f>
        <v>National Semiconductor</v>
      </c>
      <c r="C2530" s="6">
        <v>5000</v>
      </c>
      <c r="D2530" s="7">
        <v>4.2300000000000004</v>
      </c>
      <c r="E2530" t="s">
        <v>41</v>
      </c>
    </row>
    <row r="2531" spans="1:5" x14ac:dyDescent="0.25">
      <c r="A2531" t="str">
        <f>HYPERLINK("https://www.773grp.com/globalSearch/LM4880N/page-1", "LM4880N")</f>
        <v>LM4880N</v>
      </c>
      <c r="B2531" s="3" t="str">
        <f>HYPERLINK("https://www.773grp.com/manufacturer/national-semiconductor?pageNo=118", "National Semiconductor")</f>
        <v>National Semiconductor</v>
      </c>
      <c r="C2531" s="6">
        <v>32413</v>
      </c>
      <c r="D2531" s="7">
        <v>4.2300000000000004</v>
      </c>
      <c r="E2531" t="s">
        <v>18</v>
      </c>
    </row>
    <row r="2532" spans="1:5" x14ac:dyDescent="0.25">
      <c r="A2532" t="str">
        <f>HYPERLINK("https://www.773grp.com/globalSearch/LM5020MM-1-NOPB/page-1", "LM5020MM-1-NOPB")</f>
        <v>LM5020MM-1-NOPB</v>
      </c>
      <c r="B2532" s="3" t="str">
        <f>HYPERLINK("https://www.773grp.com/manufacturer/national-semiconductor?pageNo=119", "National Semiconductor")</f>
        <v>National Semiconductor</v>
      </c>
      <c r="C2532" s="6">
        <v>9700</v>
      </c>
      <c r="D2532" s="7">
        <v>4.2300000000000004</v>
      </c>
      <c r="E2532" t="s">
        <v>7</v>
      </c>
    </row>
    <row r="2533" spans="1:5" x14ac:dyDescent="0.25">
      <c r="A2533" t="str">
        <f>HYPERLINK("https://www.773grp.com/globalSearch/LM5020MM-2-NOPB/page-1", "LM5020MM-2-NOPB")</f>
        <v>LM5020MM-2-NOPB</v>
      </c>
      <c r="B2533" s="3" t="str">
        <f>HYPERLINK("https://www.773grp.com/manufacturer/national-semiconductor?pageNo=120", "National Semiconductor")</f>
        <v>National Semiconductor</v>
      </c>
      <c r="C2533" s="6">
        <v>1684</v>
      </c>
      <c r="D2533" s="7">
        <v>4.2300000000000004</v>
      </c>
      <c r="E2533" t="s">
        <v>7</v>
      </c>
    </row>
    <row r="2534" spans="1:5" x14ac:dyDescent="0.25">
      <c r="A2534" t="str">
        <f>HYPERLINK("https://www.773grp.com/globalSearch/LM5020MMX-1-NOPB/page-1", "LM5020MMX-1-NOPB")</f>
        <v>LM5020MMX-1-NOPB</v>
      </c>
      <c r="B2534" s="3" t="str">
        <f>HYPERLINK("https://www.773grp.com/manufacturer/national-semiconductor?pageNo=121", "National Semiconductor")</f>
        <v>National Semiconductor</v>
      </c>
      <c r="C2534" s="6">
        <v>28000</v>
      </c>
      <c r="D2534" s="7">
        <v>4.2300000000000004</v>
      </c>
      <c r="E2534" t="s">
        <v>7</v>
      </c>
    </row>
    <row r="2535" spans="1:5" x14ac:dyDescent="0.25">
      <c r="A2535" t="str">
        <f>HYPERLINK("https://www.773grp.com/globalSearch/LM5020SD-1-NOPB/page-1", "LM5020SD-1-NOPB")</f>
        <v>LM5020SD-1-NOPB</v>
      </c>
      <c r="B2535" s="3" t="str">
        <f>HYPERLINK("https://www.773grp.com/manufacturer/national-semiconductor?pageNo=122", "National Semiconductor")</f>
        <v>National Semiconductor</v>
      </c>
      <c r="C2535" s="6">
        <v>1899</v>
      </c>
      <c r="D2535" s="7">
        <v>4.2300000000000004</v>
      </c>
      <c r="E2535" t="s">
        <v>7</v>
      </c>
    </row>
    <row r="2536" spans="1:5" x14ac:dyDescent="0.25">
      <c r="A2536" t="str">
        <f>HYPERLINK("https://www.773grp.com/globalSearch/LM567CM/page-1", "LM567CM")</f>
        <v>LM567CM</v>
      </c>
      <c r="B2536" s="3" t="str">
        <f>HYPERLINK("https://www.773grp.com/manufacturer/national-semiconductor?pageNo=123", "National Semiconductor")</f>
        <v>National Semiconductor</v>
      </c>
      <c r="C2536" s="6">
        <v>79</v>
      </c>
      <c r="D2536" s="7">
        <v>4.2300000000000004</v>
      </c>
      <c r="E2536" t="s">
        <v>47</v>
      </c>
    </row>
    <row r="2537" spans="1:5" x14ac:dyDescent="0.25">
      <c r="A2537" t="str">
        <f>HYPERLINK("https://www.773grp.com/globalSearch/LM56BIMX-NAK2/page-1", "LM56BIMX-NAK2")</f>
        <v>LM56BIMX-NAK2</v>
      </c>
      <c r="B2537" s="3" t="str">
        <f>HYPERLINK("https://www.773grp.com/manufacturer/national-semiconductor?pageNo=124", "National Semiconductor")</f>
        <v>National Semiconductor</v>
      </c>
      <c r="C2537" s="6">
        <v>2500</v>
      </c>
      <c r="D2537" s="7">
        <v>4.2300000000000004</v>
      </c>
    </row>
    <row r="2538" spans="1:5" x14ac:dyDescent="0.25">
      <c r="A2538" t="str">
        <f>HYPERLINK("https://www.773grp.com/globalSearch/LM7301IMX/page-1", "LM7301IMX")</f>
        <v>LM7301IMX</v>
      </c>
      <c r="B2538" s="3" t="str">
        <f>HYPERLINK("https://www.773grp.com/manufacturer/national-semiconductor?pageNo=125", "National Semiconductor")</f>
        <v>National Semiconductor</v>
      </c>
      <c r="C2538" s="6">
        <v>2500</v>
      </c>
      <c r="D2538" s="7">
        <v>4.2300000000000004</v>
      </c>
      <c r="E2538" t="s">
        <v>13</v>
      </c>
    </row>
    <row r="2539" spans="1:5" x14ac:dyDescent="0.25">
      <c r="A2539" t="str">
        <f>HYPERLINK("https://www.773grp.com/globalSearch/LM95245CIMM-NOPB/page-1", "LM95245CIMM-NOPB")</f>
        <v>LM95245CIMM-NOPB</v>
      </c>
      <c r="B2539" s="3" t="str">
        <f>HYPERLINK("https://www.773grp.com/manufacturer/national-semiconductor?pageNo=126", "National Semiconductor")</f>
        <v>National Semiconductor</v>
      </c>
      <c r="C2539" s="6">
        <v>19900</v>
      </c>
      <c r="D2539" s="7">
        <v>4.2300000000000004</v>
      </c>
      <c r="E2539" t="s">
        <v>12</v>
      </c>
    </row>
    <row r="2540" spans="1:5" x14ac:dyDescent="0.25">
      <c r="A2540" t="str">
        <f>HYPERLINK("https://www.773grp.com/globalSearch/LM95245CIMM-1-NOPB/page-1", "LM95245CIMM-1-NOPB")</f>
        <v>LM95245CIMM-1-NOPB</v>
      </c>
      <c r="B2540" s="3" t="str">
        <f>HYPERLINK("https://www.773grp.com/manufacturer/national-semiconductor?pageNo=127", "National Semiconductor")</f>
        <v>National Semiconductor</v>
      </c>
      <c r="C2540" s="6">
        <v>900</v>
      </c>
      <c r="D2540" s="7">
        <v>4.2300000000000004</v>
      </c>
    </row>
    <row r="2541" spans="1:5" x14ac:dyDescent="0.25">
      <c r="A2541" t="str">
        <f>HYPERLINK("https://www.773grp.com/globalSearch/LM95245CIMMX-NOPB/page-1", "LM95245CIMMX-NOPB")</f>
        <v>LM95245CIMMX-NOPB</v>
      </c>
      <c r="B2541" s="3" t="str">
        <f>HYPERLINK("https://www.773grp.com/manufacturer/national-semiconductor?pageNo=128", "National Semiconductor")</f>
        <v>National Semiconductor</v>
      </c>
      <c r="C2541" s="6">
        <v>73366</v>
      </c>
      <c r="D2541" s="7">
        <v>4.2300000000000004</v>
      </c>
      <c r="E2541" t="s">
        <v>12</v>
      </c>
    </row>
    <row r="2542" spans="1:5" x14ac:dyDescent="0.25">
      <c r="A2542" t="str">
        <f>HYPERLINK("https://www.773grp.com/globalSearch/LMC6482AIM-NOPB/page-1", "LMC6482AIM-NOPB")</f>
        <v>LMC6482AIM-NOPB</v>
      </c>
      <c r="B2542" s="3" t="str">
        <f>HYPERLINK("https://www.773grp.com/manufacturer/national-semiconductor?pageNo=129", "National Semiconductor")</f>
        <v>National Semiconductor</v>
      </c>
      <c r="C2542" s="6">
        <v>1285</v>
      </c>
      <c r="D2542" s="7">
        <v>4.2300000000000004</v>
      </c>
      <c r="E2542" t="s">
        <v>13</v>
      </c>
    </row>
    <row r="2543" spans="1:5" x14ac:dyDescent="0.25">
      <c r="A2543" t="str">
        <f>HYPERLINK("https://www.773grp.com/globalSearch/LMC7215IM5X/page-1", "LMC7215IM5X")</f>
        <v>LMC7215IM5X</v>
      </c>
      <c r="B2543" s="3" t="str">
        <f>HYPERLINK("https://www.773grp.com/manufacturer/national-semiconductor?pageNo=130", "National Semiconductor")</f>
        <v>National Semiconductor</v>
      </c>
      <c r="C2543" s="6">
        <v>3000</v>
      </c>
      <c r="D2543" s="7">
        <v>4.2300000000000004</v>
      </c>
      <c r="E2543" t="s">
        <v>9</v>
      </c>
    </row>
    <row r="2544" spans="1:5" x14ac:dyDescent="0.25">
      <c r="A2544" t="str">
        <f>HYPERLINK("https://www.773grp.com/globalSearch/LMP7711MK-NOPB/page-1", "LMP7711MK-NOPB")</f>
        <v>LMP7711MK-NOPB</v>
      </c>
      <c r="B2544" s="3" t="str">
        <f>HYPERLINK("https://www.773grp.com/manufacturer/national-semiconductor?pageNo=131", "National Semiconductor")</f>
        <v>National Semiconductor</v>
      </c>
      <c r="C2544" s="6">
        <v>934</v>
      </c>
      <c r="D2544" s="7">
        <v>4.2300000000000004</v>
      </c>
    </row>
    <row r="2545" spans="1:5" x14ac:dyDescent="0.25">
      <c r="A2545" t="str">
        <f>HYPERLINK("https://www.773grp.com/globalSearch/LP2952IMX-NOPB/page-1", "LP2952IMX-NOPB")</f>
        <v>LP2952IMX-NOPB</v>
      </c>
      <c r="B2545" s="3" t="str">
        <f>HYPERLINK("https://www.773grp.com/manufacturer/national-semiconductor?pageNo=132", "National Semiconductor")</f>
        <v>National Semiconductor</v>
      </c>
      <c r="C2545" s="6">
        <v>51167</v>
      </c>
      <c r="D2545" s="7">
        <v>4.2300000000000004</v>
      </c>
      <c r="E2545" t="s">
        <v>27</v>
      </c>
    </row>
    <row r="2546" spans="1:5" x14ac:dyDescent="0.25">
      <c r="A2546" t="str">
        <f>HYPERLINK("https://www.773grp.com/globalSearch/LP2986ILD-3.0/page-1", "LP2986ILD-3.0")</f>
        <v>LP2986ILD-3.0</v>
      </c>
      <c r="B2546" s="3" t="str">
        <f>HYPERLINK("https://www.773grp.com/manufacturer/national-semiconductor?pageNo=133", "National Semiconductor")</f>
        <v>National Semiconductor</v>
      </c>
      <c r="C2546" s="6">
        <v>58000</v>
      </c>
      <c r="D2546" s="7">
        <v>4.2300000000000004</v>
      </c>
      <c r="E2546" t="s">
        <v>27</v>
      </c>
    </row>
    <row r="2547" spans="1:5" x14ac:dyDescent="0.25">
      <c r="A2547" t="str">
        <f>HYPERLINK("https://www.773grp.com/globalSearch/LP2986ILD-5.0/page-1", "LP2986ILD-5.0")</f>
        <v>LP2986ILD-5.0</v>
      </c>
      <c r="B2547" s="3" t="str">
        <f>HYPERLINK("https://www.773grp.com/manufacturer/national-semiconductor?pageNo=134", "National Semiconductor")</f>
        <v>National Semiconductor</v>
      </c>
      <c r="C2547" s="6">
        <v>8698</v>
      </c>
      <c r="D2547" s="7">
        <v>4.2300000000000004</v>
      </c>
    </row>
    <row r="2548" spans="1:5" x14ac:dyDescent="0.25">
      <c r="A2548" t="str">
        <f>HYPERLINK("https://www.773grp.com/globalSearch/LP2986ILDX-5.0/page-1", "LP2986ILDX-5.0")</f>
        <v>LP2986ILDX-5.0</v>
      </c>
      <c r="B2548" s="3" t="str">
        <f>HYPERLINK("https://www.773grp.com/manufacturer/national-semiconductor?pageNo=1", "National Semiconductor")</f>
        <v>National Semiconductor</v>
      </c>
      <c r="C2548" s="6">
        <v>63000</v>
      </c>
      <c r="D2548" s="7">
        <v>4.2300000000000004</v>
      </c>
    </row>
    <row r="2549" spans="1:5" x14ac:dyDescent="0.25">
      <c r="A2549" t="str">
        <f>HYPERLINK("https://www.773grp.com/globalSearch/LP2987ILD-3.0/page-1", "LP2987ILD-3.0")</f>
        <v>LP2987ILD-3.0</v>
      </c>
      <c r="B2549" s="3" t="str">
        <f>HYPERLINK("https://www.773grp.com/manufacturer/national-semiconductor?pageNo=2", "National Semiconductor")</f>
        <v>National Semiconductor</v>
      </c>
      <c r="C2549" s="6">
        <v>3000</v>
      </c>
      <c r="D2549" s="7">
        <v>4.2300000000000004</v>
      </c>
      <c r="E2549" t="s">
        <v>19</v>
      </c>
    </row>
    <row r="2550" spans="1:5" x14ac:dyDescent="0.25">
      <c r="A2550" t="str">
        <f>HYPERLINK("https://www.773grp.com/globalSearch/LP2987IM-5.0-NOPB/page-1", "LP2987IM-5.0-NOPB")</f>
        <v>LP2987IM-5.0-NOPB</v>
      </c>
      <c r="B2550" s="3" t="str">
        <f>HYPERLINK("https://www.773grp.com/manufacturer/national-semiconductor?pageNo=3", "National Semiconductor")</f>
        <v>National Semiconductor</v>
      </c>
      <c r="C2550" s="6">
        <v>450</v>
      </c>
      <c r="D2550" s="7">
        <v>4.2300000000000004</v>
      </c>
      <c r="E2550" t="s">
        <v>19</v>
      </c>
    </row>
    <row r="2551" spans="1:5" x14ac:dyDescent="0.25">
      <c r="A2551" t="str">
        <f>HYPERLINK("https://www.773grp.com/globalSearch/LP38501ATJ-ADJ-NOPB/page-1", "LP38501ATJ-ADJ-NOPB")</f>
        <v>LP38501ATJ-ADJ-NOPB</v>
      </c>
      <c r="B2551" s="3" t="str">
        <f>HYPERLINK("https://www.773grp.com/manufacturer/national-semiconductor?pageNo=4", "National Semiconductor")</f>
        <v>National Semiconductor</v>
      </c>
      <c r="C2551" s="6">
        <v>2000</v>
      </c>
      <c r="D2551" s="7">
        <v>4.2300000000000004</v>
      </c>
    </row>
    <row r="2552" spans="1:5" x14ac:dyDescent="0.25">
      <c r="A2552" t="str">
        <f>HYPERLINK("https://www.773grp.com/globalSearch/LP38501TJ-ADJ-NOPB/page-1", "LP38501TJ-ADJ-NOPB")</f>
        <v>LP38501TJ-ADJ-NOPB</v>
      </c>
      <c r="B2552" s="3" t="str">
        <f>HYPERLINK("https://www.773grp.com/manufacturer/national-semiconductor?pageNo=5", "National Semiconductor")</f>
        <v>National Semiconductor</v>
      </c>
      <c r="C2552" s="6">
        <v>1000</v>
      </c>
      <c r="D2552" s="7">
        <v>4.2300000000000004</v>
      </c>
    </row>
    <row r="2553" spans="1:5" x14ac:dyDescent="0.25">
      <c r="A2553" t="str">
        <f>HYPERLINK("https://www.773grp.com/globalSearch/LP38501TSX-ADJ-NOPB/page-1", "LP38501TSX-ADJ-NOPB")</f>
        <v>LP38501TSX-ADJ-NOPB</v>
      </c>
      <c r="B2553" s="3" t="str">
        <f>HYPERLINK("https://www.773grp.com/manufacturer/national-semiconductor?pageNo=6", "National Semiconductor")</f>
        <v>National Semiconductor</v>
      </c>
      <c r="C2553" s="6">
        <v>40375</v>
      </c>
      <c r="D2553" s="7">
        <v>4.2300000000000004</v>
      </c>
    </row>
    <row r="2554" spans="1:5" x14ac:dyDescent="0.25">
      <c r="A2554" t="str">
        <f>HYPERLINK("https://www.773grp.com/globalSearch/LP38503ATJ-ADJ-NOPB/page-1", "LP38503ATJ-ADJ-NOPB")</f>
        <v>LP38503ATJ-ADJ-NOPB</v>
      </c>
      <c r="B2554" s="3" t="str">
        <f>HYPERLINK("https://www.773grp.com/manufacturer/national-semiconductor?pageNo=7", "National Semiconductor")</f>
        <v>National Semiconductor</v>
      </c>
      <c r="C2554" s="6">
        <v>4582</v>
      </c>
      <c r="D2554" s="7">
        <v>4.2300000000000004</v>
      </c>
    </row>
    <row r="2555" spans="1:5" x14ac:dyDescent="0.25">
      <c r="A2555" t="str">
        <f>HYPERLINK("https://www.773grp.com/globalSearch/LP3878MRX-ADJ-NOPB/page-1", "LP3878MRX-ADJ-NOPB")</f>
        <v>LP3878MRX-ADJ-NOPB</v>
      </c>
      <c r="B2555" s="3" t="str">
        <f>HYPERLINK("https://www.773grp.com/manufacturer/national-semiconductor?pageNo=8", "National Semiconductor")</f>
        <v>National Semiconductor</v>
      </c>
      <c r="C2555" s="6">
        <v>7500</v>
      </c>
      <c r="D2555" s="7">
        <v>4.2300000000000004</v>
      </c>
      <c r="E2555" t="s">
        <v>22</v>
      </c>
    </row>
    <row r="2556" spans="1:5" x14ac:dyDescent="0.25">
      <c r="A2556" t="str">
        <f>HYPERLINK("https://www.773grp.com/globalSearch/LPC662IM/page-1", "LPC662IM")</f>
        <v>LPC662IM</v>
      </c>
      <c r="B2556" s="3" t="str">
        <f>HYPERLINK("https://www.773grp.com/manufacturer/national-semiconductor?pageNo=9", "National Semiconductor")</f>
        <v>National Semiconductor</v>
      </c>
      <c r="C2556" s="6">
        <v>158</v>
      </c>
      <c r="D2556" s="7">
        <v>4.2300000000000004</v>
      </c>
      <c r="E2556" t="s">
        <v>13</v>
      </c>
    </row>
    <row r="2557" spans="1:5" x14ac:dyDescent="0.25">
      <c r="A2557" t="str">
        <f>HYPERLINK("https://www.773grp.com/globalSearch/MM74HCT640WM/page-1", "MM74HCT640WM")</f>
        <v>MM74HCT640WM</v>
      </c>
      <c r="B2557" s="3" t="str">
        <f>HYPERLINK("https://www.773grp.com/manufacturer/national-semiconductor?pageNo=10", "National Semiconductor")</f>
        <v>National Semiconductor</v>
      </c>
      <c r="C2557" s="6">
        <v>1079</v>
      </c>
      <c r="D2557" s="7">
        <v>4.2300000000000004</v>
      </c>
      <c r="E2557" t="s">
        <v>14</v>
      </c>
    </row>
    <row r="2558" spans="1:5" x14ac:dyDescent="0.25">
      <c r="A2558" t="str">
        <f>HYPERLINK("https://www.773grp.com/globalSearch/DP83848JSQ-NOPB/page-1", "DP83848JSQ-NOPB")</f>
        <v>DP83848JSQ-NOPB</v>
      </c>
      <c r="B2558" s="3" t="str">
        <f>HYPERLINK("https://www.773grp.com/manufacturer/national-semiconductor?pageNo=11", "National Semiconductor")</f>
        <v>National Semiconductor</v>
      </c>
      <c r="C2558" s="6">
        <v>611</v>
      </c>
      <c r="D2558" s="7">
        <v>4.2300000000000004</v>
      </c>
    </row>
    <row r="2559" spans="1:5" x14ac:dyDescent="0.25">
      <c r="A2559" t="str">
        <f>HYPERLINK("https://www.773grp.com/globalSearch/DP83848MSQ-NOPB/page-1", "DP83848MSQ-NOPB")</f>
        <v>DP83848MSQ-NOPB</v>
      </c>
      <c r="B2559" s="3" t="str">
        <f>HYPERLINK("https://www.773grp.com/manufacturer/national-semiconductor?pageNo=12", "National Semiconductor")</f>
        <v>National Semiconductor</v>
      </c>
      <c r="C2559" s="6">
        <v>98</v>
      </c>
      <c r="D2559" s="7">
        <v>4.2300000000000004</v>
      </c>
      <c r="E2559" t="s">
        <v>55</v>
      </c>
    </row>
    <row r="2560" spans="1:5" x14ac:dyDescent="0.25">
      <c r="A2560" t="str">
        <f>HYPERLINK("https://www.773grp.com/globalSearch/DS34C86TM-NOPB/page-1", "DS34C86TM-NOPB")</f>
        <v>DS34C86TM-NOPB</v>
      </c>
      <c r="B2560" s="3" t="str">
        <f>HYPERLINK("https://www.773grp.com/manufacturer/national-semiconductor?pageNo=13", "National Semiconductor")</f>
        <v>National Semiconductor</v>
      </c>
      <c r="C2560" s="6">
        <v>385</v>
      </c>
      <c r="D2560" s="7">
        <v>4.2300000000000004</v>
      </c>
      <c r="E2560" t="s">
        <v>21</v>
      </c>
    </row>
    <row r="2561" spans="1:5" x14ac:dyDescent="0.25">
      <c r="A2561" t="str">
        <f>HYPERLINK("https://www.773grp.com/globalSearch/LF347BN-PB/page-1", "LF347BN-PB")</f>
        <v>LF347BN-PB</v>
      </c>
      <c r="B2561" s="3" t="str">
        <f>HYPERLINK("https://www.773grp.com/manufacturer/national-semiconductor?pageNo=14", "National Semiconductor")</f>
        <v>National Semiconductor</v>
      </c>
      <c r="C2561" s="6">
        <v>85</v>
      </c>
      <c r="D2561" s="7">
        <v>4.2300000000000004</v>
      </c>
    </row>
    <row r="2562" spans="1:5" x14ac:dyDescent="0.25">
      <c r="A2562" t="str">
        <f>HYPERLINK("https://www.773grp.com/globalSearch/LM13700N-NOPB/page-1", "LM13700N-NOPB")</f>
        <v>LM13700N-NOPB</v>
      </c>
      <c r="B2562" s="3" t="str">
        <f>HYPERLINK("https://www.773grp.com/manufacturer/national-semiconductor?pageNo=15", "National Semiconductor")</f>
        <v>National Semiconductor</v>
      </c>
      <c r="C2562" s="6">
        <v>1640</v>
      </c>
      <c r="D2562" s="7">
        <v>4.2300000000000004</v>
      </c>
      <c r="E2562" t="s">
        <v>13</v>
      </c>
    </row>
    <row r="2563" spans="1:5" x14ac:dyDescent="0.25">
      <c r="A2563" t="str">
        <f>HYPERLINK("https://www.773grp.com/globalSearch/LM2469TA-NOPB/page-1", "LM2469TA-NOPB")</f>
        <v>LM2469TA-NOPB</v>
      </c>
      <c r="B2563" s="3" t="str">
        <f>HYPERLINK("https://www.773grp.com/manufacturer/national-semiconductor?pageNo=16", "National Semiconductor")</f>
        <v>National Semiconductor</v>
      </c>
      <c r="C2563" s="6">
        <v>345</v>
      </c>
      <c r="D2563" s="7">
        <v>4.2300000000000004</v>
      </c>
    </row>
    <row r="2564" spans="1:5" x14ac:dyDescent="0.25">
      <c r="A2564" t="str">
        <f>HYPERLINK("https://www.773grp.com/globalSearch/LM2742MTCX-NOPB/page-1", "LM2742MTCX-NOPB")</f>
        <v>LM2742MTCX-NOPB</v>
      </c>
      <c r="B2564" s="3" t="str">
        <f>HYPERLINK("https://www.773grp.com/manufacturer/national-semiconductor?pageNo=17", "National Semiconductor")</f>
        <v>National Semiconductor</v>
      </c>
      <c r="C2564" s="6">
        <v>5000</v>
      </c>
      <c r="D2564" s="7">
        <v>4.2300000000000004</v>
      </c>
    </row>
    <row r="2565" spans="1:5" x14ac:dyDescent="0.25">
      <c r="A2565" t="str">
        <f>HYPERLINK("https://www.773grp.com/globalSearch/LM285BYMX-2.5-NOPB/page-1", "LM285BYMX-2.5-NOPB")</f>
        <v>LM285BYMX-2.5-NOPB</v>
      </c>
      <c r="B2565" s="3" t="str">
        <f>HYPERLINK("https://www.773grp.com/manufacturer/national-semiconductor?pageNo=18", "National Semiconductor")</f>
        <v>National Semiconductor</v>
      </c>
      <c r="C2565" s="6">
        <v>24800</v>
      </c>
      <c r="D2565" s="7">
        <v>4.2300000000000004</v>
      </c>
    </row>
    <row r="2566" spans="1:5" x14ac:dyDescent="0.25">
      <c r="A2566" t="str">
        <f>HYPERLINK("https://www.773grp.com/globalSearch/LM2931S-5.0-NOPB/page-1", "LM2931S-5.0-NOPB")</f>
        <v>LM2931S-5.0-NOPB</v>
      </c>
      <c r="B2566" s="3" t="str">
        <f>HYPERLINK("https://www.773grp.com/manufacturer/national-semiconductor?pageNo=19", "National Semiconductor")</f>
        <v>National Semiconductor</v>
      </c>
      <c r="C2566" s="6">
        <v>307</v>
      </c>
      <c r="D2566" s="7">
        <v>4.2300000000000004</v>
      </c>
      <c r="E2566" t="s">
        <v>19</v>
      </c>
    </row>
    <row r="2567" spans="1:5" x14ac:dyDescent="0.25">
      <c r="A2567" t="str">
        <f>HYPERLINK("https://www.773grp.com/globalSearch/LM2940LD-5.0-NOPB/page-1", "LM2940LD-5.0-NOPB")</f>
        <v>LM2940LD-5.0-NOPB</v>
      </c>
      <c r="B2567" s="3" t="str">
        <f>HYPERLINK("https://www.773grp.com/manufacturer/national-semiconductor?pageNo=20", "National Semiconductor")</f>
        <v>National Semiconductor</v>
      </c>
      <c r="C2567" s="6">
        <v>740</v>
      </c>
      <c r="D2567" s="7">
        <v>4.2300000000000004</v>
      </c>
    </row>
    <row r="2568" spans="1:5" x14ac:dyDescent="0.25">
      <c r="A2568" t="str">
        <f>HYPERLINK("https://www.773grp.com/globalSearch/LM3402MM-NOPB/page-1", "LM3402MM-NOPB")</f>
        <v>LM3402MM-NOPB</v>
      </c>
      <c r="B2568" s="3" t="str">
        <f>HYPERLINK("https://www.773grp.com/manufacturer/national-semiconductor?pageNo=21", "National Semiconductor")</f>
        <v>National Semiconductor</v>
      </c>
      <c r="C2568" s="6">
        <v>1000</v>
      </c>
      <c r="D2568" s="7">
        <v>4.2300000000000004</v>
      </c>
    </row>
    <row r="2569" spans="1:5" x14ac:dyDescent="0.25">
      <c r="A2569" t="str">
        <f>HYPERLINK("https://www.773grp.com/globalSearch/LM3402MMX-NOPB/page-1", "LM3402MMX-NOPB")</f>
        <v>LM3402MMX-NOPB</v>
      </c>
      <c r="B2569" s="3" t="str">
        <f>HYPERLINK("https://www.773grp.com/manufacturer/national-semiconductor?pageNo=22", "National Semiconductor")</f>
        <v>National Semiconductor</v>
      </c>
      <c r="C2569" s="6">
        <v>3500</v>
      </c>
      <c r="D2569" s="7">
        <v>4.2300000000000004</v>
      </c>
    </row>
    <row r="2570" spans="1:5" x14ac:dyDescent="0.25">
      <c r="A2570" t="str">
        <f>HYPERLINK("https://www.773grp.com/globalSearch/LM3478MM-NOPB/page-1", "LM3478MM-NOPB")</f>
        <v>LM3478MM-NOPB</v>
      </c>
      <c r="B2570" s="3" t="str">
        <f>HYPERLINK("https://www.773grp.com/manufacturer/national-semiconductor?pageNo=23", "National Semiconductor")</f>
        <v>National Semiconductor</v>
      </c>
      <c r="C2570" s="6">
        <v>59</v>
      </c>
      <c r="D2570" s="7">
        <v>4.2300000000000004</v>
      </c>
      <c r="E2570" t="s">
        <v>7</v>
      </c>
    </row>
    <row r="2571" spans="1:5" x14ac:dyDescent="0.25">
      <c r="A2571" t="str">
        <f>HYPERLINK("https://www.773grp.com/globalSearch/LM3478MMX-NOPB/page-1", "LM3478MMX-NOPB")</f>
        <v>LM3478MMX-NOPB</v>
      </c>
      <c r="B2571" s="3" t="str">
        <f>HYPERLINK("https://www.773grp.com/manufacturer/national-semiconductor?pageNo=24", "National Semiconductor")</f>
        <v>National Semiconductor</v>
      </c>
      <c r="C2571" s="6">
        <v>394</v>
      </c>
      <c r="D2571" s="7">
        <v>4.2300000000000004</v>
      </c>
    </row>
    <row r="2572" spans="1:5" x14ac:dyDescent="0.25">
      <c r="A2572" t="str">
        <f>HYPERLINK("https://www.773grp.com/globalSearch/LM3488MMX-NOPB/page-1", "LM3488MMX-NOPB")</f>
        <v>LM3488MMX-NOPB</v>
      </c>
      <c r="B2572" s="3" t="str">
        <f>HYPERLINK("https://www.773grp.com/manufacturer/national-semiconductor?pageNo=25", "National Semiconductor")</f>
        <v>National Semiconductor</v>
      </c>
      <c r="C2572" s="6">
        <v>6702</v>
      </c>
      <c r="D2572" s="7">
        <v>4.2300000000000004</v>
      </c>
    </row>
    <row r="2573" spans="1:5" x14ac:dyDescent="0.25">
      <c r="A2573" t="str">
        <f>HYPERLINK("https://www.773grp.com/globalSearch/LM35DM/page-1", "LM35DM")</f>
        <v>LM35DM</v>
      </c>
      <c r="B2573" s="3" t="str">
        <f>HYPERLINK("https://www.773grp.com/manufacturer/national-semiconductor?pageNo=26", "National Semiconductor")</f>
        <v>National Semiconductor</v>
      </c>
      <c r="C2573" s="6">
        <v>853</v>
      </c>
      <c r="D2573" s="7">
        <v>4.2300000000000004</v>
      </c>
      <c r="E2573" t="s">
        <v>8</v>
      </c>
    </row>
    <row r="2574" spans="1:5" x14ac:dyDescent="0.25">
      <c r="A2574" t="str">
        <f>HYPERLINK("https://www.773grp.com/globalSearch/LM4030BMF-4.096-NOPB/page-1", "LM4030BMF-4.096-NOPB")</f>
        <v>LM4030BMF-4.096-NOPB</v>
      </c>
      <c r="B2574" s="3" t="str">
        <f>HYPERLINK("https://www.773grp.com/manufacturer/national-semiconductor?pageNo=27", "National Semiconductor")</f>
        <v>National Semiconductor</v>
      </c>
      <c r="C2574" s="6">
        <v>7419</v>
      </c>
      <c r="D2574" s="7">
        <v>4.2300000000000004</v>
      </c>
    </row>
    <row r="2575" spans="1:5" x14ac:dyDescent="0.25">
      <c r="A2575" t="str">
        <f>HYPERLINK("https://www.773grp.com/globalSearch/LM4050BIM3-10-NOPB/page-1", "LM4050BIM3-10-NOPB")</f>
        <v>LM4050BIM3-10-NOPB</v>
      </c>
      <c r="B2575" s="3" t="str">
        <f>HYPERLINK("https://www.773grp.com/manufacturer/national-semiconductor?pageNo=28", "National Semiconductor")</f>
        <v>National Semiconductor</v>
      </c>
      <c r="C2575" s="6">
        <v>1000</v>
      </c>
      <c r="D2575" s="7">
        <v>4.2300000000000004</v>
      </c>
    </row>
    <row r="2576" spans="1:5" x14ac:dyDescent="0.25">
      <c r="A2576" t="str">
        <f>HYPERLINK("https://www.773grp.com/globalSearch/LM4050BIM3-2.5-NOPB/page-1", "LM4050BIM3-2.5-NOPB")</f>
        <v>LM4050BIM3-2.5-NOPB</v>
      </c>
      <c r="B2576" s="3" t="str">
        <f>HYPERLINK("https://www.773grp.com/manufacturer/national-semiconductor?pageNo=29", "National Semiconductor")</f>
        <v>National Semiconductor</v>
      </c>
      <c r="C2576" s="6">
        <v>360</v>
      </c>
      <c r="D2576" s="7">
        <v>4.2300000000000004</v>
      </c>
      <c r="E2576" t="s">
        <v>17</v>
      </c>
    </row>
    <row r="2577" spans="1:5" x14ac:dyDescent="0.25">
      <c r="A2577" t="str">
        <f>HYPERLINK("https://www.773grp.com/globalSearch/LM4050BIM3-4.1-NOPB/page-1", "LM4050BIM3-4.1-NOPB")</f>
        <v>LM4050BIM3-4.1-NOPB</v>
      </c>
      <c r="B2577" s="3" t="str">
        <f>HYPERLINK("https://www.773grp.com/manufacturer/national-semiconductor?pageNo=30", "National Semiconductor")</f>
        <v>National Semiconductor</v>
      </c>
      <c r="C2577" s="6">
        <v>60000</v>
      </c>
      <c r="D2577" s="7">
        <v>4.2300000000000004</v>
      </c>
      <c r="E2577" t="s">
        <v>17</v>
      </c>
    </row>
    <row r="2578" spans="1:5" x14ac:dyDescent="0.25">
      <c r="A2578" t="str">
        <f>HYPERLINK("https://www.773grp.com/globalSearch/LM4050BIM3X-5.0-NOPB/page-1", "LM4050BIM3X-5.0-NOPB")</f>
        <v>LM4050BIM3X-5.0-NOPB</v>
      </c>
      <c r="B2578" s="3" t="str">
        <f>HYPERLINK("https://www.773grp.com/manufacturer/national-semiconductor?pageNo=31", "National Semiconductor")</f>
        <v>National Semiconductor</v>
      </c>
      <c r="C2578" s="6">
        <v>12000</v>
      </c>
      <c r="D2578" s="7">
        <v>4.2300000000000004</v>
      </c>
      <c r="E2578" t="s">
        <v>17</v>
      </c>
    </row>
    <row r="2579" spans="1:5" x14ac:dyDescent="0.25">
      <c r="A2579" t="str">
        <f>HYPERLINK("https://www.773grp.com/globalSearch/LM4051BIM3-1.2-NOPB/page-1", "LM4051BIM3-1.2-NOPB")</f>
        <v>LM4051BIM3-1.2-NOPB</v>
      </c>
      <c r="B2579" s="3" t="str">
        <f>HYPERLINK("https://www.773grp.com/manufacturer/national-semiconductor?pageNo=32", "National Semiconductor")</f>
        <v>National Semiconductor</v>
      </c>
      <c r="C2579" s="6">
        <v>313000</v>
      </c>
      <c r="D2579" s="7">
        <v>4.2300000000000004</v>
      </c>
      <c r="E2579" t="s">
        <v>17</v>
      </c>
    </row>
    <row r="2580" spans="1:5" x14ac:dyDescent="0.25">
      <c r="A2580" t="str">
        <f>HYPERLINK("https://www.773grp.com/globalSearch/LM4051BIM3-ADJ-NOPB/page-1", "LM4051BIM3-ADJ-NOPB")</f>
        <v>LM4051BIM3-ADJ-NOPB</v>
      </c>
      <c r="B2580" s="3" t="str">
        <f>HYPERLINK("https://www.773grp.com/manufacturer/national-semiconductor?pageNo=33", "National Semiconductor")</f>
        <v>National Semiconductor</v>
      </c>
      <c r="C2580" s="6">
        <v>1000</v>
      </c>
      <c r="D2580" s="7">
        <v>4.2300000000000004</v>
      </c>
    </row>
    <row r="2581" spans="1:5" x14ac:dyDescent="0.25">
      <c r="A2581" t="str">
        <f>HYPERLINK("https://www.773grp.com/globalSearch/LM4128BQ1MF2.0-NOPB/page-1", "LM4128BQ1MF2.0-NOPB")</f>
        <v>LM4128BQ1MF2.0-NOPB</v>
      </c>
      <c r="B2581" s="3" t="str">
        <f>HYPERLINK("https://www.773grp.com/manufacturer/national-semiconductor?pageNo=34", "National Semiconductor")</f>
        <v>National Semiconductor</v>
      </c>
      <c r="C2581" s="6">
        <v>1634</v>
      </c>
      <c r="D2581" s="7">
        <v>4.2300000000000004</v>
      </c>
    </row>
    <row r="2582" spans="1:5" x14ac:dyDescent="0.25">
      <c r="A2582" t="str">
        <f>HYPERLINK("https://www.773grp.com/globalSearch/LM4128BQ1MF3.3-NOPB/page-1", "LM4128BQ1MF3.3-NOPB")</f>
        <v>LM4128BQ1MF3.3-NOPB</v>
      </c>
      <c r="B2582" s="3" t="str">
        <f>HYPERLINK("https://www.773grp.com/manufacturer/national-semiconductor?pageNo=35", "National Semiconductor")</f>
        <v>National Semiconductor</v>
      </c>
      <c r="C2582" s="6">
        <v>8809</v>
      </c>
      <c r="D2582" s="7">
        <v>4.2300000000000004</v>
      </c>
    </row>
    <row r="2583" spans="1:5" x14ac:dyDescent="0.25">
      <c r="A2583" t="str">
        <f>HYPERLINK("https://www.773grp.com/globalSearch/LM4128BQ1MF4.1-NOPB/page-1", "LM4128BQ1MF4.1-NOPB")</f>
        <v>LM4128BQ1MF4.1-NOPB</v>
      </c>
      <c r="B2583" s="3" t="str">
        <f>HYPERLINK("https://www.773grp.com/manufacturer/national-semiconductor?pageNo=36", "National Semiconductor")</f>
        <v>National Semiconductor</v>
      </c>
      <c r="C2583" s="6">
        <v>1990</v>
      </c>
      <c r="D2583" s="7">
        <v>4.2300000000000004</v>
      </c>
    </row>
    <row r="2584" spans="1:5" x14ac:dyDescent="0.25">
      <c r="A2584" t="str">
        <f>HYPERLINK("https://www.773grp.com/globalSearch/LM48510SD-NOPB/page-1", "LM48510SD-NOPB")</f>
        <v>LM48510SD-NOPB</v>
      </c>
      <c r="B2584" s="3" t="str">
        <f>HYPERLINK("https://www.773grp.com/manufacturer/national-semiconductor?pageNo=37", "National Semiconductor")</f>
        <v>National Semiconductor</v>
      </c>
      <c r="C2584" s="6">
        <v>10000</v>
      </c>
      <c r="D2584" s="7">
        <v>4.2300000000000004</v>
      </c>
    </row>
    <row r="2585" spans="1:5" x14ac:dyDescent="0.25">
      <c r="A2585" t="str">
        <f>HYPERLINK("https://www.773grp.com/globalSearch/LM4865MM-NOPB/page-1", "LM4865MM-NOPB")</f>
        <v>LM4865MM-NOPB</v>
      </c>
      <c r="B2585" s="3" t="str">
        <f>HYPERLINK("https://www.773grp.com/manufacturer/national-semiconductor?pageNo=38", "National Semiconductor")</f>
        <v>National Semiconductor</v>
      </c>
      <c r="C2585" s="6">
        <v>2918</v>
      </c>
      <c r="D2585" s="7">
        <v>4.2300000000000004</v>
      </c>
      <c r="E2585" t="s">
        <v>41</v>
      </c>
    </row>
    <row r="2586" spans="1:5" x14ac:dyDescent="0.25">
      <c r="A2586" t="str">
        <f>HYPERLINK("https://www.773grp.com/globalSearch/LM5020MM-1-NOPB/page-1", "LM5020MM-1-NOPB")</f>
        <v>LM5020MM-1-NOPB</v>
      </c>
      <c r="B2586" s="3" t="str">
        <f>HYPERLINK("https://www.773grp.com/manufacturer/national-semiconductor?pageNo=39", "National Semiconductor")</f>
        <v>National Semiconductor</v>
      </c>
      <c r="C2586" s="6">
        <v>500</v>
      </c>
      <c r="D2586" s="7">
        <v>4.2300000000000004</v>
      </c>
      <c r="E2586" t="s">
        <v>7</v>
      </c>
    </row>
    <row r="2587" spans="1:5" x14ac:dyDescent="0.25">
      <c r="A2587" t="str">
        <f>HYPERLINK("https://www.773grp.com/globalSearch/LM5020MM-1-NOPB/page-1", "LM5020MM-1-NOPB")</f>
        <v>LM5020MM-1-NOPB</v>
      </c>
      <c r="B2587" s="3" t="str">
        <f>HYPERLINK("https://www.773grp.com/manufacturer/national-semiconductor?pageNo=40", "National Semiconductor")</f>
        <v>National Semiconductor</v>
      </c>
      <c r="C2587" s="6">
        <v>3000</v>
      </c>
      <c r="D2587" s="7">
        <v>4.2300000000000004</v>
      </c>
      <c r="E2587" t="s">
        <v>7</v>
      </c>
    </row>
    <row r="2588" spans="1:5" x14ac:dyDescent="0.25">
      <c r="A2588" t="str">
        <f>HYPERLINK("https://www.773grp.com/globalSearch/LM5020MM-2-NOPB/page-1", "LM5020MM-2-NOPB")</f>
        <v>LM5020MM-2-NOPB</v>
      </c>
      <c r="B2588" s="3" t="str">
        <f>HYPERLINK("https://www.773grp.com/manufacturer/national-semiconductor?pageNo=41", "National Semiconductor")</f>
        <v>National Semiconductor</v>
      </c>
      <c r="C2588" s="6">
        <v>9340</v>
      </c>
      <c r="D2588" s="7">
        <v>4.2300000000000004</v>
      </c>
      <c r="E2588" t="s">
        <v>7</v>
      </c>
    </row>
    <row r="2589" spans="1:5" x14ac:dyDescent="0.25">
      <c r="A2589" t="str">
        <f>HYPERLINK("https://www.773grp.com/globalSearch/LM56BIMX-NOPB/page-1", "LM56BIMX-NOPB")</f>
        <v>LM56BIMX-NOPB</v>
      </c>
      <c r="B2589" s="3" t="str">
        <f>HYPERLINK("https://www.773grp.com/manufacturer/national-semiconductor?pageNo=42", "National Semiconductor")</f>
        <v>National Semiconductor</v>
      </c>
      <c r="C2589" s="6">
        <v>5850</v>
      </c>
      <c r="D2589" s="7">
        <v>4.2300000000000004</v>
      </c>
      <c r="E2589" t="s">
        <v>12</v>
      </c>
    </row>
    <row r="2590" spans="1:5" x14ac:dyDescent="0.25">
      <c r="A2590" t="str">
        <f>HYPERLINK("https://www.773grp.com/globalSearch/LM95245CIMM-1-NOPB/page-1", "LM95245CIMM-1-NOPB")</f>
        <v>LM95245CIMM-1-NOPB</v>
      </c>
      <c r="B2590" s="3" t="str">
        <f>HYPERLINK("https://www.773grp.com/manufacturer/national-semiconductor?pageNo=43", "National Semiconductor")</f>
        <v>National Semiconductor</v>
      </c>
      <c r="C2590" s="6">
        <v>491</v>
      </c>
      <c r="D2590" s="7">
        <v>4.2300000000000004</v>
      </c>
    </row>
    <row r="2591" spans="1:5" x14ac:dyDescent="0.25">
      <c r="A2591" t="str">
        <f>HYPERLINK("https://www.773grp.com/globalSearch/LMC6482AIM-NOPB/page-1", "LMC6482AIM-NOPB")</f>
        <v>LMC6482AIM-NOPB</v>
      </c>
      <c r="B2591" s="3" t="str">
        <f>HYPERLINK("https://www.773grp.com/manufacturer/national-semiconductor?pageNo=44", "National Semiconductor")</f>
        <v>National Semiconductor</v>
      </c>
      <c r="C2591" s="6">
        <v>14</v>
      </c>
      <c r="D2591" s="7">
        <v>4.2300000000000004</v>
      </c>
      <c r="E2591" t="s">
        <v>13</v>
      </c>
    </row>
    <row r="2592" spans="1:5" x14ac:dyDescent="0.25">
      <c r="A2592" t="str">
        <f>HYPERLINK("https://www.773grp.com/globalSearch/LMC7215IM5X/page-1", "LMC7215IM5X")</f>
        <v>LMC7215IM5X</v>
      </c>
      <c r="B2592" s="3" t="str">
        <f>HYPERLINK("https://www.773grp.com/manufacturer/national-semiconductor?pageNo=45", "National Semiconductor")</f>
        <v>National Semiconductor</v>
      </c>
      <c r="C2592" s="6">
        <v>6000</v>
      </c>
      <c r="D2592" s="7">
        <v>4.2300000000000004</v>
      </c>
      <c r="E2592" t="s">
        <v>9</v>
      </c>
    </row>
    <row r="2593" spans="1:5" x14ac:dyDescent="0.25">
      <c r="A2593" t="str">
        <f>HYPERLINK("https://www.773grp.com/globalSearch/LMC7225IM5/page-1", "LMC7225IM5")</f>
        <v>LMC7225IM5</v>
      </c>
      <c r="B2593" s="3" t="str">
        <f>HYPERLINK("https://www.773grp.com/manufacturer/national-semiconductor?pageNo=46", "National Semiconductor")</f>
        <v>National Semiconductor</v>
      </c>
      <c r="C2593" s="6">
        <v>26381</v>
      </c>
      <c r="D2593" s="7">
        <v>4.2300000000000004</v>
      </c>
    </row>
    <row r="2594" spans="1:5" x14ac:dyDescent="0.25">
      <c r="A2594" t="str">
        <f>HYPERLINK("https://www.773grp.com/globalSearch/LMC7225IM5/page-1", "LMC7225IM5")</f>
        <v>LMC7225IM5</v>
      </c>
      <c r="B2594" s="3" t="str">
        <f>HYPERLINK("https://www.773grp.com/manufacturer/national-semiconductor?pageNo=47", "National Semiconductor")</f>
        <v>National Semiconductor</v>
      </c>
      <c r="C2594" s="6">
        <v>1000</v>
      </c>
      <c r="D2594" s="7">
        <v>4.2300000000000004</v>
      </c>
    </row>
    <row r="2595" spans="1:5" x14ac:dyDescent="0.25">
      <c r="A2595" t="str">
        <f>HYPERLINK("https://www.773grp.com/globalSearch/LMH2120UMX-NOPB/page-1", "LMH2120UMX-NOPB")</f>
        <v>LMH2120UMX-NOPB</v>
      </c>
      <c r="B2595" s="3" t="str">
        <f>HYPERLINK("https://www.773grp.com/manufacturer/national-semiconductor?pageNo=48", "National Semiconductor")</f>
        <v>National Semiconductor</v>
      </c>
      <c r="C2595" s="6">
        <v>17700</v>
      </c>
      <c r="D2595" s="7">
        <v>4.2300000000000004</v>
      </c>
    </row>
    <row r="2596" spans="1:5" x14ac:dyDescent="0.25">
      <c r="A2596" t="str">
        <f>HYPERLINK("https://www.773grp.com/globalSearch/LMR12010XMK-NOPB/page-1", "LMR12010XMK-NOPB")</f>
        <v>LMR12010XMK-NOPB</v>
      </c>
      <c r="B2596" s="3" t="str">
        <f>HYPERLINK("https://www.773grp.com/manufacturer/national-semiconductor?pageNo=49", "National Semiconductor")</f>
        <v>National Semiconductor</v>
      </c>
      <c r="C2596" s="6">
        <v>555</v>
      </c>
      <c r="D2596" s="7">
        <v>4.2300000000000004</v>
      </c>
    </row>
    <row r="2597" spans="1:5" x14ac:dyDescent="0.25">
      <c r="A2597" t="str">
        <f>HYPERLINK("https://www.773grp.com/globalSearch/LMV841QMG-NOPB/page-1", "LMV841QMG-NOPB")</f>
        <v>LMV841QMG-NOPB</v>
      </c>
      <c r="B2597" s="3" t="str">
        <f>HYPERLINK("https://www.773grp.com/manufacturer/national-semiconductor?pageNo=50", "National Semiconductor")</f>
        <v>National Semiconductor</v>
      </c>
      <c r="C2597" s="6">
        <v>856</v>
      </c>
      <c r="D2597" s="7">
        <v>4.2300000000000004</v>
      </c>
    </row>
    <row r="2598" spans="1:5" x14ac:dyDescent="0.25">
      <c r="A2598" t="str">
        <f>HYPERLINK("https://www.773grp.com/globalSearch/LP2952IMX-NOPB/page-1", "LP2952IMX-NOPB")</f>
        <v>LP2952IMX-NOPB</v>
      </c>
      <c r="B2598" s="3" t="str">
        <f>HYPERLINK("https://www.773grp.com/manufacturer/national-semiconductor?pageNo=51", "National Semiconductor")</f>
        <v>National Semiconductor</v>
      </c>
      <c r="C2598" s="6">
        <v>2500</v>
      </c>
      <c r="D2598" s="7">
        <v>4.2300000000000004</v>
      </c>
      <c r="E2598" t="s">
        <v>27</v>
      </c>
    </row>
    <row r="2599" spans="1:5" x14ac:dyDescent="0.25">
      <c r="A2599" t="str">
        <f>HYPERLINK("https://www.773grp.com/globalSearch/LP2987AILD-3.0-NOPB/page-1", "LP2987AILD-3.0-NOPB")</f>
        <v>LP2987AILD-3.0-NOPB</v>
      </c>
      <c r="B2599" s="3" t="str">
        <f>HYPERLINK("https://www.773grp.com/manufacturer/national-semiconductor?pageNo=52", "National Semiconductor")</f>
        <v>National Semiconductor</v>
      </c>
      <c r="C2599" s="6">
        <v>2000</v>
      </c>
      <c r="D2599" s="7">
        <v>4.2300000000000004</v>
      </c>
    </row>
    <row r="2600" spans="1:5" x14ac:dyDescent="0.25">
      <c r="A2600" t="str">
        <f>HYPERLINK("https://www.773grp.com/globalSearch/LP2987IM-3.0-NOPB/page-1", "LP2987IM-3.0-NOPB")</f>
        <v>LP2987IM-3.0-NOPB</v>
      </c>
      <c r="B2600" s="3" t="str">
        <f>HYPERLINK("https://www.773grp.com/manufacturer/national-semiconductor?pageNo=53", "National Semiconductor")</f>
        <v>National Semiconductor</v>
      </c>
      <c r="C2600" s="6">
        <v>2587</v>
      </c>
      <c r="D2600" s="7">
        <v>4.2300000000000004</v>
      </c>
    </row>
    <row r="2601" spans="1:5" x14ac:dyDescent="0.25">
      <c r="A2601" t="str">
        <f>HYPERLINK("https://www.773grp.com/globalSearch/LP2987IM-5.0-NOPB/page-1", "LP2987IM-5.0-NOPB")</f>
        <v>LP2987IM-5.0-NOPB</v>
      </c>
      <c r="B2601" s="3" t="str">
        <f>HYPERLINK("https://www.773grp.com/manufacturer/national-semiconductor?pageNo=54", "National Semiconductor")</f>
        <v>National Semiconductor</v>
      </c>
      <c r="C2601" s="6">
        <v>1021</v>
      </c>
      <c r="D2601" s="7">
        <v>4.2300000000000004</v>
      </c>
      <c r="E2601" t="s">
        <v>19</v>
      </c>
    </row>
    <row r="2602" spans="1:5" x14ac:dyDescent="0.25">
      <c r="A2602" t="str">
        <f>HYPERLINK("https://www.773grp.com/globalSearch/LP38501ATJ-ADJ-NOPB/page-1", "LP38501ATJ-ADJ-NOPB")</f>
        <v>LP38501ATJ-ADJ-NOPB</v>
      </c>
      <c r="B2602" s="3" t="str">
        <f>HYPERLINK("https://www.773grp.com/manufacturer/national-semiconductor?pageNo=55", "National Semiconductor")</f>
        <v>National Semiconductor</v>
      </c>
      <c r="C2602" s="6">
        <v>6170</v>
      </c>
      <c r="D2602" s="7">
        <v>4.2300000000000004</v>
      </c>
    </row>
    <row r="2603" spans="1:5" x14ac:dyDescent="0.25">
      <c r="A2603" t="str">
        <f>HYPERLINK("https://www.773grp.com/globalSearch/LP38501TJ-ADJ-NOPB/page-1", "LP38501TJ-ADJ-NOPB")</f>
        <v>LP38501TJ-ADJ-NOPB</v>
      </c>
      <c r="B2603" s="3" t="str">
        <f>HYPERLINK("https://www.773grp.com/manufacturer/national-semiconductor?pageNo=56", "National Semiconductor")</f>
        <v>National Semiconductor</v>
      </c>
      <c r="C2603" s="6">
        <v>341</v>
      </c>
      <c r="D2603" s="7">
        <v>4.2300000000000004</v>
      </c>
    </row>
    <row r="2604" spans="1:5" x14ac:dyDescent="0.25">
      <c r="A2604" t="str">
        <f>HYPERLINK("https://www.773grp.com/globalSearch/LP38503ATJ-ADJ-NOPB/page-1", "LP38503ATJ-ADJ-NOPB")</f>
        <v>LP38503ATJ-ADJ-NOPB</v>
      </c>
      <c r="B2604" s="3" t="str">
        <f>HYPERLINK("https://www.773grp.com/manufacturer/national-semiconductor?pageNo=57", "National Semiconductor")</f>
        <v>National Semiconductor</v>
      </c>
      <c r="C2604" s="6">
        <v>1631</v>
      </c>
      <c r="D2604" s="7">
        <v>4.2300000000000004</v>
      </c>
    </row>
    <row r="2605" spans="1:5" x14ac:dyDescent="0.25">
      <c r="A2605" t="str">
        <f>HYPERLINK("https://www.773grp.com/globalSearch/LP38503TJ-ADJ/page-1", "LP38503TJ-ADJ")</f>
        <v>LP38503TJ-ADJ</v>
      </c>
      <c r="B2605" s="3" t="str">
        <f>HYPERLINK("https://www.773grp.com/manufacturer/national-semiconductor?pageNo=58", "National Semiconductor")</f>
        <v>National Semiconductor</v>
      </c>
      <c r="C2605" s="6">
        <v>702</v>
      </c>
      <c r="D2605" s="7">
        <v>4.2300000000000004</v>
      </c>
    </row>
    <row r="2606" spans="1:5" x14ac:dyDescent="0.25">
      <c r="A2606" t="str">
        <f>HYPERLINK("https://www.773grp.com/globalSearch/LP38503TJ-ADJ-NOPB/page-1", "LP38503TJ-ADJ-NOPB")</f>
        <v>LP38503TJ-ADJ-NOPB</v>
      </c>
      <c r="B2606" s="3" t="str">
        <f>HYPERLINK("https://www.773grp.com/manufacturer/national-semiconductor?pageNo=59", "National Semiconductor")</f>
        <v>National Semiconductor</v>
      </c>
      <c r="C2606" s="6">
        <v>2000</v>
      </c>
      <c r="D2606" s="7">
        <v>4.2300000000000004</v>
      </c>
    </row>
    <row r="2607" spans="1:5" x14ac:dyDescent="0.25">
      <c r="A2607" t="str">
        <f>HYPERLINK("https://www.773grp.com/globalSearch/LP38503TSX-ADJ-NOPB/page-1", "LP38503TSX-ADJ-NOPB")</f>
        <v>LP38503TSX-ADJ-NOPB</v>
      </c>
      <c r="B2607" s="3" t="str">
        <f>HYPERLINK("https://www.773grp.com/manufacturer/national-semiconductor?pageNo=60", "National Semiconductor")</f>
        <v>National Semiconductor</v>
      </c>
      <c r="C2607" s="6">
        <v>1000</v>
      </c>
      <c r="D2607" s="7">
        <v>4.2300000000000004</v>
      </c>
    </row>
    <row r="2608" spans="1:5" x14ac:dyDescent="0.25">
      <c r="A2608" t="str">
        <f>HYPERLINK("https://www.773grp.com/globalSearch/SM73308MGX-NOPB/page-1", "SM73308MGX-NOPB")</f>
        <v>SM73308MGX-NOPB</v>
      </c>
      <c r="B2608" s="3" t="str">
        <f>HYPERLINK("https://www.773grp.com/manufacturer/national-semiconductor?pageNo=61", "National Semiconductor")</f>
        <v>National Semiconductor</v>
      </c>
      <c r="C2608" s="6">
        <v>21000</v>
      </c>
      <c r="D2608" s="7">
        <v>4.2300000000000004</v>
      </c>
    </row>
    <row r="2609" spans="1:5" x14ac:dyDescent="0.25">
      <c r="A2609" t="str">
        <f>HYPERLINK("https://www.773grp.com/globalSearch/TLV2401CD/page-1", "TLV2401CD")</f>
        <v>TLV2401CD</v>
      </c>
      <c r="B2609" s="3" t="str">
        <f>HYPERLINK("https://www.773grp.com/manufacturer/national-semiconductor?pageNo=62", "National Semiconductor")</f>
        <v>National Semiconductor</v>
      </c>
      <c r="C2609" s="6">
        <v>525</v>
      </c>
      <c r="D2609" s="7">
        <v>4.2300000000000004</v>
      </c>
    </row>
    <row r="2610" spans="1:5" x14ac:dyDescent="0.25">
      <c r="A2610" t="str">
        <f>HYPERLINK("https://www.773grp.com/globalSearch/962PC/page-1", "962PC")</f>
        <v>962PC</v>
      </c>
      <c r="B2610" s="3" t="str">
        <f>HYPERLINK("https://www.773grp.com/manufacturer/national-semiconductor?pageNo=63", "National Semiconductor")</f>
        <v>National Semiconductor</v>
      </c>
      <c r="C2610" s="6">
        <v>36657</v>
      </c>
      <c r="D2610" s="7">
        <v>3.83</v>
      </c>
    </row>
    <row r="2611" spans="1:5" x14ac:dyDescent="0.25">
      <c r="A2611" t="str">
        <f>HYPERLINK("https://www.773grp.com/globalSearch/ADC0804LCWM-NOPB/page-1", "ADC0804LCWM-NOPB")</f>
        <v>ADC0804LCWM-NOPB</v>
      </c>
      <c r="B2611" s="3" t="str">
        <f>HYPERLINK("https://www.773grp.com/manufacturer/national-semiconductor?pageNo=64", "National Semiconductor")</f>
        <v>National Semiconductor</v>
      </c>
      <c r="C2611" s="6">
        <v>3360</v>
      </c>
      <c r="D2611" s="7">
        <v>3.83</v>
      </c>
      <c r="E2611" t="s">
        <v>39</v>
      </c>
    </row>
    <row r="2612" spans="1:5" x14ac:dyDescent="0.25">
      <c r="A2612" t="str">
        <f>HYPERLINK("https://www.773grp.com/globalSearch/DM54LS157J-883/page-1", "DM54LS157J-883")</f>
        <v>DM54LS157J-883</v>
      </c>
      <c r="B2612" s="3" t="str">
        <f>HYPERLINK("https://www.773grp.com/manufacturer/national-semiconductor?pageNo=65", "National Semiconductor")</f>
        <v>National Semiconductor</v>
      </c>
      <c r="C2612" s="6">
        <v>2059</v>
      </c>
      <c r="D2612" s="7">
        <v>3.83</v>
      </c>
      <c r="E2612" t="s">
        <v>20</v>
      </c>
    </row>
    <row r="2613" spans="1:5" x14ac:dyDescent="0.25">
      <c r="A2613" t="str">
        <f>HYPERLINK("https://www.773grp.com/globalSearch/DM54LS158J-883/page-1", "DM54LS158J-883")</f>
        <v>DM54LS158J-883</v>
      </c>
      <c r="B2613" s="3" t="str">
        <f>HYPERLINK("https://www.773grp.com/manufacturer/national-semiconductor?pageNo=66", "National Semiconductor")</f>
        <v>National Semiconductor</v>
      </c>
      <c r="C2613" s="6">
        <v>241</v>
      </c>
      <c r="D2613" s="7">
        <v>3.83</v>
      </c>
      <c r="E2613" t="s">
        <v>20</v>
      </c>
    </row>
    <row r="2614" spans="1:5" x14ac:dyDescent="0.25">
      <c r="A2614" t="str">
        <f>HYPERLINK("https://www.773grp.com/globalSearch/DM8123N/page-1", "DM8123N")</f>
        <v>DM8123N</v>
      </c>
      <c r="B2614" s="3" t="str">
        <f>HYPERLINK("https://www.773grp.com/manufacturer/national-semiconductor?pageNo=67", "National Semiconductor")</f>
        <v>National Semiconductor</v>
      </c>
      <c r="C2614" s="6">
        <v>3561</v>
      </c>
      <c r="D2614" s="7">
        <v>3.83</v>
      </c>
    </row>
    <row r="2615" spans="1:5" x14ac:dyDescent="0.25">
      <c r="A2615" t="str">
        <f>HYPERLINK("https://www.773grp.com/globalSearch/LM2635M/page-1", "LM2635M")</f>
        <v>LM2635M</v>
      </c>
      <c r="B2615" s="3" t="str">
        <f>HYPERLINK("https://www.773grp.com/manufacturer/national-semiconductor?pageNo=68", "National Semiconductor")</f>
        <v>National Semiconductor</v>
      </c>
      <c r="C2615" s="6">
        <v>236</v>
      </c>
      <c r="D2615" s="7">
        <v>3.83</v>
      </c>
      <c r="E2615" t="s">
        <v>7</v>
      </c>
    </row>
    <row r="2616" spans="1:5" x14ac:dyDescent="0.25">
      <c r="A2616" t="str">
        <f>HYPERLINK("https://www.773grp.com/globalSearch/LM2636M/page-1", "LM2636M")</f>
        <v>LM2636M</v>
      </c>
      <c r="B2616" s="3" t="str">
        <f>HYPERLINK("https://www.773grp.com/manufacturer/national-semiconductor?pageNo=69", "National Semiconductor")</f>
        <v>National Semiconductor</v>
      </c>
      <c r="C2616" s="6">
        <v>330</v>
      </c>
      <c r="D2616" s="7">
        <v>3.83</v>
      </c>
      <c r="E2616" t="s">
        <v>7</v>
      </c>
    </row>
    <row r="2617" spans="1:5" x14ac:dyDescent="0.25">
      <c r="A2617" t="str">
        <f>HYPERLINK("https://www.773grp.com/globalSearch/LM2636M-NOPB/page-1", "LM2636M-NOPB")</f>
        <v>LM2636M-NOPB</v>
      </c>
      <c r="B2617" s="3" t="str">
        <f>HYPERLINK("https://www.773grp.com/manufacturer/national-semiconductor?pageNo=70", "National Semiconductor")</f>
        <v>National Semiconductor</v>
      </c>
      <c r="C2617" s="6">
        <v>42</v>
      </c>
      <c r="D2617" s="7">
        <v>3.83</v>
      </c>
      <c r="E2617" t="s">
        <v>7</v>
      </c>
    </row>
    <row r="2618" spans="1:5" x14ac:dyDescent="0.25">
      <c r="A2618" t="str">
        <f>HYPERLINK("https://www.773grp.com/globalSearch/LM2636MTC/page-1", "LM2636MTC")</f>
        <v>LM2636MTC</v>
      </c>
      <c r="B2618" s="3" t="str">
        <f>HYPERLINK("https://www.773grp.com/manufacturer/national-semiconductor?pageNo=71", "National Semiconductor")</f>
        <v>National Semiconductor</v>
      </c>
      <c r="C2618" s="6">
        <v>134</v>
      </c>
      <c r="D2618" s="7">
        <v>3.83</v>
      </c>
      <c r="E2618" t="s">
        <v>7</v>
      </c>
    </row>
    <row r="2619" spans="1:5" x14ac:dyDescent="0.25">
      <c r="A2619" t="str">
        <f>HYPERLINK("https://www.773grp.com/globalSearch/LM2636MTC-NOPB/page-1", "LM2636MTC-NOPB")</f>
        <v>LM2636MTC-NOPB</v>
      </c>
      <c r="B2619" s="3" t="str">
        <f>HYPERLINK("https://www.773grp.com/manufacturer/national-semiconductor?pageNo=72", "National Semiconductor")</f>
        <v>National Semiconductor</v>
      </c>
      <c r="C2619" s="6">
        <v>57</v>
      </c>
      <c r="D2619" s="7">
        <v>3.83</v>
      </c>
      <c r="E2619" t="s">
        <v>7</v>
      </c>
    </row>
    <row r="2620" spans="1:5" x14ac:dyDescent="0.25">
      <c r="A2620" t="str">
        <f>HYPERLINK("https://www.773grp.com/globalSearch/LM27965SQ-M/page-1", "LM27965SQ-M")</f>
        <v>LM27965SQ-M</v>
      </c>
      <c r="B2620" s="3" t="str">
        <f>HYPERLINK("https://www.773grp.com/manufacturer/national-semiconductor?pageNo=73", "National Semiconductor")</f>
        <v>National Semiconductor</v>
      </c>
      <c r="C2620" s="6">
        <v>2000</v>
      </c>
      <c r="D2620" s="7">
        <v>3.83</v>
      </c>
      <c r="E2620" t="s">
        <v>10</v>
      </c>
    </row>
    <row r="2621" spans="1:5" x14ac:dyDescent="0.25">
      <c r="A2621" t="str">
        <f>HYPERLINK("https://www.773grp.com/globalSearch/LM3543M-H-NOPB/page-1", "LM3543M-H-NOPB")</f>
        <v>LM3543M-H-NOPB</v>
      </c>
      <c r="B2621" s="3" t="str">
        <f>HYPERLINK("https://www.773grp.com/manufacturer/national-semiconductor?pageNo=74", "National Semiconductor")</f>
        <v>National Semiconductor</v>
      </c>
      <c r="C2621" s="6">
        <v>48</v>
      </c>
      <c r="D2621" s="7">
        <v>3.83</v>
      </c>
    </row>
    <row r="2622" spans="1:5" x14ac:dyDescent="0.25">
      <c r="A2622" t="str">
        <f>HYPERLINK("https://www.773grp.com/globalSearch/LM3543MX-L/page-1", "LM3543MX-L")</f>
        <v>LM3543MX-L</v>
      </c>
      <c r="B2622" s="3" t="str">
        <f>HYPERLINK("https://www.773grp.com/manufacturer/national-semiconductor?pageNo=75", "National Semiconductor")</f>
        <v>National Semiconductor</v>
      </c>
      <c r="C2622" s="6">
        <v>10000</v>
      </c>
      <c r="D2622" s="7">
        <v>3.83</v>
      </c>
      <c r="E2622" t="s">
        <v>30</v>
      </c>
    </row>
    <row r="2623" spans="1:5" x14ac:dyDescent="0.25">
      <c r="A2623" t="str">
        <f>HYPERLINK("https://www.773grp.com/globalSearch/LM4867MTEX-NOPB/page-1", "LM4867MTEX-NOPB")</f>
        <v>LM4867MTEX-NOPB</v>
      </c>
      <c r="B2623" s="3" t="str">
        <f>HYPERLINK("https://www.773grp.com/manufacturer/national-semiconductor?pageNo=76", "National Semiconductor")</f>
        <v>National Semiconductor</v>
      </c>
      <c r="C2623" s="6">
        <v>5000</v>
      </c>
      <c r="D2623" s="7">
        <v>3.83</v>
      </c>
      <c r="E2623" t="s">
        <v>18</v>
      </c>
    </row>
    <row r="2624" spans="1:5" x14ac:dyDescent="0.25">
      <c r="A2624" t="str">
        <f>HYPERLINK("https://www.773grp.com/globalSearch/LM613IWMX-NOPB/page-1", "LM613IWMX-NOPB")</f>
        <v>LM613IWMX-NOPB</v>
      </c>
      <c r="B2624" s="3" t="str">
        <f>HYPERLINK("https://www.773grp.com/manufacturer/national-semiconductor?pageNo=77", "National Semiconductor")</f>
        <v>National Semiconductor</v>
      </c>
      <c r="C2624" s="6">
        <v>1000</v>
      </c>
      <c r="D2624" s="7">
        <v>3.83</v>
      </c>
      <c r="E2624" t="s">
        <v>13</v>
      </c>
    </row>
    <row r="2625" spans="1:5" x14ac:dyDescent="0.25">
      <c r="A2625" t="str">
        <f>HYPERLINK("https://www.773grp.com/globalSearch/LM7301IM/page-1", "LM7301IM")</f>
        <v>LM7301IM</v>
      </c>
      <c r="B2625" s="3" t="str">
        <f>HYPERLINK("https://www.773grp.com/manufacturer/national-semiconductor?pageNo=78", "National Semiconductor")</f>
        <v>National Semiconductor</v>
      </c>
      <c r="C2625" s="6">
        <v>253</v>
      </c>
      <c r="D2625" s="7">
        <v>3.83</v>
      </c>
      <c r="E2625" t="s">
        <v>13</v>
      </c>
    </row>
    <row r="2626" spans="1:5" x14ac:dyDescent="0.25">
      <c r="A2626" t="str">
        <f>HYPERLINK("https://www.773grp.com/globalSearch/LM8333FLQ8Y-NOPB/page-1", "LM8333FLQ8Y-NOPB")</f>
        <v>LM8333FLQ8Y-NOPB</v>
      </c>
      <c r="B2626" s="3" t="str">
        <f>HYPERLINK("https://www.773grp.com/manufacturer/national-semiconductor?pageNo=79", "National Semiconductor")</f>
        <v>National Semiconductor</v>
      </c>
      <c r="C2626" s="6">
        <v>27399</v>
      </c>
      <c r="D2626" s="7">
        <v>3.83</v>
      </c>
      <c r="E2626" t="s">
        <v>42</v>
      </c>
    </row>
    <row r="2627" spans="1:5" x14ac:dyDescent="0.25">
      <c r="A2627" t="str">
        <f>HYPERLINK("https://www.773grp.com/globalSearch/LP3874EMP-3.3/page-1", "LP3874EMP-3.3")</f>
        <v>LP3874EMP-3.3</v>
      </c>
      <c r="B2627" s="3" t="str">
        <f>HYPERLINK("https://www.773grp.com/manufacturer/national-semiconductor?pageNo=80", "National Semiconductor")</f>
        <v>National Semiconductor</v>
      </c>
      <c r="C2627" s="6">
        <v>6000</v>
      </c>
      <c r="D2627" s="7">
        <v>3.83</v>
      </c>
      <c r="E2627" t="s">
        <v>19</v>
      </c>
    </row>
    <row r="2628" spans="1:5" x14ac:dyDescent="0.25">
      <c r="A2628" t="str">
        <f>HYPERLINK("https://www.773grp.com/globalSearch/LP3874ES-3.3/page-1", "LP3874ES-3.3")</f>
        <v>LP3874ES-3.3</v>
      </c>
      <c r="B2628" s="3" t="str">
        <f>HYPERLINK("https://www.773grp.com/manufacturer/national-semiconductor?pageNo=81", "National Semiconductor")</f>
        <v>National Semiconductor</v>
      </c>
      <c r="C2628" s="6">
        <v>40</v>
      </c>
      <c r="D2628" s="7">
        <v>3.83</v>
      </c>
      <c r="E2628" t="s">
        <v>19</v>
      </c>
    </row>
    <row r="2629" spans="1:5" x14ac:dyDescent="0.25">
      <c r="A2629" t="str">
        <f>HYPERLINK("https://www.773grp.com/globalSearch/ADC0804LCWM-NOPB/page-1", "ADC0804LCWM-NOPB")</f>
        <v>ADC0804LCWM-NOPB</v>
      </c>
      <c r="B2629" s="3" t="str">
        <f>HYPERLINK("https://www.773grp.com/manufacturer/national-semiconductor?pageNo=82", "National Semiconductor")</f>
        <v>National Semiconductor</v>
      </c>
      <c r="C2629" s="6">
        <v>1724</v>
      </c>
      <c r="D2629" s="7">
        <v>3.83</v>
      </c>
      <c r="E2629" t="s">
        <v>39</v>
      </c>
    </row>
    <row r="2630" spans="1:5" x14ac:dyDescent="0.25">
      <c r="A2630" t="str">
        <f>HYPERLINK("https://www.773grp.com/globalSearch/LM48100QMHE-NOPB/page-1", "LM48100QMHE-NOPB")</f>
        <v>LM48100QMHE-NOPB</v>
      </c>
      <c r="B2630" s="3" t="str">
        <f>HYPERLINK("https://www.773grp.com/manufacturer/national-semiconductor?pageNo=83", "National Semiconductor")</f>
        <v>National Semiconductor</v>
      </c>
      <c r="C2630" s="6">
        <v>450</v>
      </c>
      <c r="D2630" s="7">
        <v>3.83</v>
      </c>
    </row>
    <row r="2631" spans="1:5" x14ac:dyDescent="0.25">
      <c r="A2631" t="str">
        <f>HYPERLINK("https://www.773grp.com/globalSearch/LM613IWMX-NOPB/page-1", "LM613IWMX-NOPB")</f>
        <v>LM613IWMX-NOPB</v>
      </c>
      <c r="B2631" s="3" t="str">
        <f>HYPERLINK("https://www.773grp.com/manufacturer/national-semiconductor?pageNo=84", "National Semiconductor")</f>
        <v>National Semiconductor</v>
      </c>
      <c r="C2631" s="6">
        <v>400</v>
      </c>
      <c r="D2631" s="7">
        <v>3.83</v>
      </c>
      <c r="E2631" t="s">
        <v>13</v>
      </c>
    </row>
    <row r="2632" spans="1:5" x14ac:dyDescent="0.25">
      <c r="A2632" t="str">
        <f>HYPERLINK("https://www.773grp.com/globalSearch/LM7301IM/page-1", "LM7301IM")</f>
        <v>LM7301IM</v>
      </c>
      <c r="B2632" s="3" t="str">
        <f>HYPERLINK("https://www.773grp.com/manufacturer/national-semiconductor?pageNo=85", "National Semiconductor")</f>
        <v>National Semiconductor</v>
      </c>
      <c r="C2632" s="6">
        <v>310</v>
      </c>
      <c r="D2632" s="7">
        <v>3.83</v>
      </c>
      <c r="E2632" t="s">
        <v>13</v>
      </c>
    </row>
    <row r="2633" spans="1:5" x14ac:dyDescent="0.25">
      <c r="A2633" t="str">
        <f>HYPERLINK("https://www.773grp.com/globalSearch/LM7322QMA-NOPB/page-1", "LM7322QMA-NOPB")</f>
        <v>LM7322QMA-NOPB</v>
      </c>
      <c r="B2633" s="3" t="str">
        <f>HYPERLINK("https://www.773grp.com/manufacturer/national-semiconductor?pageNo=86", "National Semiconductor")</f>
        <v>National Semiconductor</v>
      </c>
      <c r="C2633" s="6">
        <v>75</v>
      </c>
      <c r="D2633" s="7">
        <v>3.83</v>
      </c>
    </row>
    <row r="2634" spans="1:5" x14ac:dyDescent="0.25">
      <c r="A2634" t="str">
        <f>HYPERLINK("https://www.773grp.com/globalSearch/LM8333FLQ8Y-NOPB/page-1", "LM8333FLQ8Y-NOPB")</f>
        <v>LM8333FLQ8Y-NOPB</v>
      </c>
      <c r="B2634" s="3" t="str">
        <f>HYPERLINK("https://www.773grp.com/manufacturer/national-semiconductor?pageNo=87", "National Semiconductor")</f>
        <v>National Semiconductor</v>
      </c>
      <c r="C2634" s="6">
        <v>500</v>
      </c>
      <c r="D2634" s="7">
        <v>3.83</v>
      </c>
      <c r="E2634" t="s">
        <v>42</v>
      </c>
    </row>
    <row r="2635" spans="1:5" x14ac:dyDescent="0.25">
      <c r="A2635" t="str">
        <f>HYPERLINK("https://www.773grp.com/globalSearch/LP3874ES-2.5/page-1", "LP3874ES-2.5")</f>
        <v>LP3874ES-2.5</v>
      </c>
      <c r="B2635" s="3" t="str">
        <f>HYPERLINK("https://www.773grp.com/manufacturer/national-semiconductor?pageNo=88", "National Semiconductor")</f>
        <v>National Semiconductor</v>
      </c>
      <c r="C2635" s="6">
        <v>244</v>
      </c>
      <c r="D2635" s="7">
        <v>3.83</v>
      </c>
    </row>
    <row r="2636" spans="1:5" x14ac:dyDescent="0.25">
      <c r="A2636" t="str">
        <f>HYPERLINK("https://www.773grp.com/globalSearch/9324PC/page-1", "9324PC")</f>
        <v>9324PC</v>
      </c>
      <c r="B2636" s="3" t="str">
        <f>HYPERLINK("https://www.773grp.com/manufacturer/national-semiconductor?pageNo=89", "National Semiconductor")</f>
        <v>National Semiconductor</v>
      </c>
      <c r="C2636" s="6">
        <v>2012</v>
      </c>
      <c r="D2636" s="7">
        <v>3.85</v>
      </c>
      <c r="E2636" t="s">
        <v>43</v>
      </c>
    </row>
    <row r="2637" spans="1:5" x14ac:dyDescent="0.25">
      <c r="A2637" t="str">
        <f>HYPERLINK("https://www.773grp.com/globalSearch/LM1894N/page-1", "LM1894N")</f>
        <v>LM1894N</v>
      </c>
      <c r="B2637" s="3" t="str">
        <f>HYPERLINK("https://www.773grp.com/manufacturer/national-semiconductor?pageNo=90", "National Semiconductor")</f>
        <v>National Semiconductor</v>
      </c>
      <c r="C2637" s="6">
        <v>9285</v>
      </c>
      <c r="D2637" s="7">
        <v>3.85</v>
      </c>
      <c r="E2637" t="s">
        <v>23</v>
      </c>
    </row>
    <row r="2638" spans="1:5" x14ac:dyDescent="0.25">
      <c r="A2638" t="str">
        <f>HYPERLINK("https://www.773grp.com/globalSearch/LM4839LQ/page-1", "LM4839LQ")</f>
        <v>LM4839LQ</v>
      </c>
      <c r="B2638" s="3" t="str">
        <f>HYPERLINK("https://www.773grp.com/manufacturer/national-semiconductor?pageNo=91", "National Semiconductor")</f>
        <v>National Semiconductor</v>
      </c>
      <c r="C2638" s="6">
        <v>25</v>
      </c>
      <c r="D2638" s="7">
        <v>3.85</v>
      </c>
      <c r="E2638" t="s">
        <v>41</v>
      </c>
    </row>
    <row r="2639" spans="1:5" x14ac:dyDescent="0.25">
      <c r="A2639" t="str">
        <f>HYPERLINK("https://www.773grp.com/globalSearch/LP2957AIT-NOPB/page-1", "LP2957AIT-NOPB")</f>
        <v>LP2957AIT-NOPB</v>
      </c>
      <c r="B2639" s="3" t="str">
        <f>HYPERLINK("https://www.773grp.com/manufacturer/national-semiconductor?pageNo=92", "National Semiconductor")</f>
        <v>National Semiconductor</v>
      </c>
      <c r="C2639" s="6">
        <v>14</v>
      </c>
      <c r="D2639" s="7">
        <v>3.85</v>
      </c>
      <c r="E2639" t="s">
        <v>19</v>
      </c>
    </row>
    <row r="2640" spans="1:5" x14ac:dyDescent="0.25">
      <c r="A2640" t="str">
        <f>HYPERLINK("https://www.773grp.com/globalSearch/MM54HC27J/page-1", "MM54HC27J")</f>
        <v>MM54HC27J</v>
      </c>
      <c r="B2640" s="3" t="str">
        <f>HYPERLINK("https://www.773grp.com/manufacturer/national-semiconductor?pageNo=93", "National Semiconductor")</f>
        <v>National Semiconductor</v>
      </c>
      <c r="C2640" s="6">
        <v>238</v>
      </c>
      <c r="D2640" s="7">
        <v>3.85</v>
      </c>
      <c r="E2640" t="s">
        <v>31</v>
      </c>
    </row>
    <row r="2641" spans="1:5" x14ac:dyDescent="0.25">
      <c r="A2641" t="str">
        <f>HYPERLINK("https://www.773grp.com/globalSearch/SM72375MME-NOPB/page-1", "SM72375MME-NOPB")</f>
        <v>SM72375MME-NOPB</v>
      </c>
      <c r="B2641" s="3" t="str">
        <f>HYPERLINK("https://www.773grp.com/manufacturer/national-semiconductor?pageNo=94", "National Semiconductor")</f>
        <v>National Semiconductor</v>
      </c>
      <c r="C2641" s="6">
        <v>388</v>
      </c>
      <c r="D2641" s="7">
        <v>3.85</v>
      </c>
    </row>
    <row r="2642" spans="1:5" x14ac:dyDescent="0.25">
      <c r="A2642" t="str">
        <f>HYPERLINK("https://www.773grp.com/globalSearch/LM5073MH-NOPB/page-1", "LM5073MH-NOPB")</f>
        <v>LM5073MH-NOPB</v>
      </c>
      <c r="B2642" s="3" t="str">
        <f>HYPERLINK("https://www.773grp.com/manufacturer/national-semiconductor?pageNo=95", "National Semiconductor")</f>
        <v>National Semiconductor</v>
      </c>
      <c r="C2642" s="6">
        <v>162</v>
      </c>
      <c r="D2642" s="7">
        <v>3.85</v>
      </c>
    </row>
    <row r="2643" spans="1:5" x14ac:dyDescent="0.25">
      <c r="A2643" t="str">
        <f>HYPERLINK("https://www.773grp.com/globalSearch/LMP8603QMME-NOPB/page-1", "LMP8603QMME-NOPB")</f>
        <v>LMP8603QMME-NOPB</v>
      </c>
      <c r="B2643" s="3" t="str">
        <f>HYPERLINK("https://www.773grp.com/manufacturer/national-semiconductor?pageNo=96", "National Semiconductor")</f>
        <v>National Semiconductor</v>
      </c>
      <c r="C2643" s="6">
        <v>4000</v>
      </c>
      <c r="D2643" s="7">
        <v>3.85</v>
      </c>
    </row>
    <row r="2644" spans="1:5" x14ac:dyDescent="0.25">
      <c r="A2644" t="str">
        <f>HYPERLINK("https://www.773grp.com/globalSearch/LP2957AISX-NOPB/page-1", "LP2957AISX-NOPB")</f>
        <v>LP2957AISX-NOPB</v>
      </c>
      <c r="B2644" s="3" t="str">
        <f>HYPERLINK("https://www.773grp.com/manufacturer/national-semiconductor?pageNo=97", "National Semiconductor")</f>
        <v>National Semiconductor</v>
      </c>
      <c r="C2644" s="6">
        <v>1321</v>
      </c>
      <c r="D2644" s="7">
        <v>3.85</v>
      </c>
    </row>
    <row r="2645" spans="1:5" x14ac:dyDescent="0.25">
      <c r="A2645" t="str">
        <f>HYPERLINK("https://www.773grp.com/globalSearch/LP2957AIT-NOPB/page-1", "LP2957AIT-NOPB")</f>
        <v>LP2957AIT-NOPB</v>
      </c>
      <c r="B2645" s="3" t="str">
        <f>HYPERLINK("https://www.773grp.com/manufacturer/national-semiconductor?pageNo=98", "National Semiconductor")</f>
        <v>National Semiconductor</v>
      </c>
      <c r="C2645" s="6">
        <v>501</v>
      </c>
      <c r="D2645" s="7">
        <v>3.85</v>
      </c>
      <c r="E2645" t="s">
        <v>19</v>
      </c>
    </row>
    <row r="2646" spans="1:5" x14ac:dyDescent="0.25">
      <c r="A2646" t="str">
        <f>HYPERLINK("https://www.773grp.com/globalSearch/SM72375MME-NOPB/page-1", "SM72375MME-NOPB")</f>
        <v>SM72375MME-NOPB</v>
      </c>
      <c r="B2646" s="3" t="str">
        <f>HYPERLINK("https://www.773grp.com/manufacturer/national-semiconductor?pageNo=99", "National Semiconductor")</f>
        <v>National Semiconductor</v>
      </c>
      <c r="C2646" s="6">
        <v>1382</v>
      </c>
      <c r="D2646" s="7">
        <v>3.85</v>
      </c>
    </row>
    <row r="2647" spans="1:5" x14ac:dyDescent="0.25">
      <c r="A2647" t="str">
        <f>HYPERLINK("https://www.773grp.com/globalSearch/SN74ABT16825DL/page-1", "SN74ABT16825DL")</f>
        <v>SN74ABT16825DL</v>
      </c>
      <c r="B2647" s="3" t="str">
        <f>HYPERLINK("https://www.773grp.com/manufacturer/national-semiconductor?pageNo=100", "National Semiconductor")</f>
        <v>National Semiconductor</v>
      </c>
      <c r="C2647" s="6">
        <v>1180</v>
      </c>
      <c r="D2647" s="7">
        <v>3.85</v>
      </c>
    </row>
    <row r="2648" spans="1:5" x14ac:dyDescent="0.25">
      <c r="A2648" t="str">
        <f>HYPERLINK("https://www.773grp.com/globalSearch/54S133D/page-1", "54S133D")</f>
        <v>54S133D</v>
      </c>
      <c r="B2648" s="3" t="str">
        <f>HYPERLINK("https://www.773grp.com/manufacturer/national-semiconductor?pageNo=101", "National Semiconductor")</f>
        <v>National Semiconductor</v>
      </c>
      <c r="C2648" s="6">
        <v>409</v>
      </c>
      <c r="D2648" s="7">
        <v>4.28</v>
      </c>
    </row>
    <row r="2649" spans="1:5" x14ac:dyDescent="0.25">
      <c r="A2649" t="str">
        <f>HYPERLINK("https://www.773grp.com/globalSearch/54S133DM/page-1", "54S133DM")</f>
        <v>54S133DM</v>
      </c>
      <c r="B2649" s="3" t="str">
        <f>HYPERLINK("https://www.773grp.com/manufacturer/national-semiconductor?pageNo=102", "National Semiconductor")</f>
        <v>National Semiconductor</v>
      </c>
      <c r="C2649" s="6">
        <v>37</v>
      </c>
      <c r="D2649" s="7">
        <v>4.28</v>
      </c>
      <c r="E2649" t="s">
        <v>31</v>
      </c>
    </row>
    <row r="2650" spans="1:5" x14ac:dyDescent="0.25">
      <c r="A2650" t="str">
        <f>HYPERLINK("https://www.773grp.com/globalSearch/54S64DM/page-1", "54S64DM")</f>
        <v>54S64DM</v>
      </c>
      <c r="B2650" s="3" t="str">
        <f>HYPERLINK("https://www.773grp.com/manufacturer/national-semiconductor?pageNo=103", "National Semiconductor")</f>
        <v>National Semiconductor</v>
      </c>
      <c r="C2650" s="6">
        <v>2025</v>
      </c>
      <c r="D2650" s="7">
        <v>4.28</v>
      </c>
    </row>
    <row r="2651" spans="1:5" x14ac:dyDescent="0.25">
      <c r="A2651" t="str">
        <f>HYPERLINK("https://www.773grp.com/globalSearch/74161DC/page-1", "74161DC")</f>
        <v>74161DC</v>
      </c>
      <c r="B2651" s="3" t="str">
        <f>HYPERLINK("https://www.773grp.com/manufacturer/national-semiconductor?pageNo=104", "National Semiconductor")</f>
        <v>National Semiconductor</v>
      </c>
      <c r="C2651" s="6">
        <v>11249</v>
      </c>
      <c r="D2651" s="7">
        <v>4.28</v>
      </c>
    </row>
    <row r="2652" spans="1:5" x14ac:dyDescent="0.25">
      <c r="A2652" t="str">
        <f>HYPERLINK("https://www.773grp.com/globalSearch/ADC08831IN-NOPB/page-1", "ADC08831IN-NOPB")</f>
        <v>ADC08831IN-NOPB</v>
      </c>
      <c r="B2652" s="3" t="str">
        <f>HYPERLINK("https://www.773grp.com/manufacturer/national-semiconductor?pageNo=105", "National Semiconductor")</f>
        <v>National Semiconductor</v>
      </c>
      <c r="C2652" s="6">
        <v>1604</v>
      </c>
      <c r="D2652" s="7">
        <v>4.28</v>
      </c>
      <c r="E2652" t="s">
        <v>39</v>
      </c>
    </row>
    <row r="2653" spans="1:5" x14ac:dyDescent="0.25">
      <c r="A2653" t="str">
        <f>HYPERLINK("https://www.773grp.com/globalSearch/ADC08831IWMX/page-1", "ADC08831IWMX")</f>
        <v>ADC08831IWMX</v>
      </c>
      <c r="B2653" s="3" t="str">
        <f>HYPERLINK("https://www.773grp.com/manufacturer/national-semiconductor?pageNo=106", "National Semiconductor")</f>
        <v>National Semiconductor</v>
      </c>
      <c r="C2653" s="6">
        <v>2000</v>
      </c>
      <c r="D2653" s="7">
        <v>4.28</v>
      </c>
      <c r="E2653" t="s">
        <v>39</v>
      </c>
    </row>
    <row r="2654" spans="1:5" x14ac:dyDescent="0.25">
      <c r="A2654" t="str">
        <f>HYPERLINK("https://www.773grp.com/globalSearch/ADC08832IN/page-1", "ADC08832IN")</f>
        <v>ADC08832IN</v>
      </c>
      <c r="B2654" s="3" t="str">
        <f>HYPERLINK("https://www.773grp.com/manufacturer/national-semiconductor?pageNo=107", "National Semiconductor")</f>
        <v>National Semiconductor</v>
      </c>
      <c r="C2654" s="6">
        <v>520</v>
      </c>
      <c r="D2654" s="7">
        <v>4.28</v>
      </c>
      <c r="E2654" t="s">
        <v>39</v>
      </c>
    </row>
    <row r="2655" spans="1:5" x14ac:dyDescent="0.25">
      <c r="A2655" t="str">
        <f>HYPERLINK("https://www.773grp.com/globalSearch/ADC08832IN-NOPB/page-1", "ADC08832IN-NOPB")</f>
        <v>ADC08832IN-NOPB</v>
      </c>
      <c r="B2655" s="3" t="str">
        <f>HYPERLINK("https://www.773grp.com/manufacturer/national-semiconductor?pageNo=108", "National Semiconductor")</f>
        <v>National Semiconductor</v>
      </c>
      <c r="C2655" s="6">
        <v>580</v>
      </c>
      <c r="D2655" s="7">
        <v>4.28</v>
      </c>
      <c r="E2655" t="s">
        <v>39</v>
      </c>
    </row>
    <row r="2656" spans="1:5" x14ac:dyDescent="0.25">
      <c r="A2656" t="str">
        <f>HYPERLINK("https://www.773grp.com/globalSearch/DAC0808LCM/page-1", "DAC0808LCM")</f>
        <v>DAC0808LCM</v>
      </c>
      <c r="B2656" s="3" t="str">
        <f>HYPERLINK("https://www.773grp.com/manufacturer/national-semiconductor?pageNo=109", "National Semiconductor")</f>
        <v>National Semiconductor</v>
      </c>
      <c r="C2656" s="6">
        <v>3290</v>
      </c>
      <c r="D2656" s="7">
        <v>4.28</v>
      </c>
      <c r="E2656" t="s">
        <v>33</v>
      </c>
    </row>
    <row r="2657" spans="1:5" x14ac:dyDescent="0.25">
      <c r="A2657" t="str">
        <f>HYPERLINK("https://www.773grp.com/globalSearch/DS26C31TN-NOPB/page-1", "DS26C31TN-NOPB")</f>
        <v>DS26C31TN-NOPB</v>
      </c>
      <c r="B2657" s="3" t="str">
        <f>HYPERLINK("https://www.773grp.com/manufacturer/national-semiconductor?pageNo=110", "National Semiconductor")</f>
        <v>National Semiconductor</v>
      </c>
      <c r="C2657" s="6">
        <v>616</v>
      </c>
      <c r="D2657" s="7">
        <v>4.28</v>
      </c>
      <c r="E2657" t="s">
        <v>21</v>
      </c>
    </row>
    <row r="2658" spans="1:5" x14ac:dyDescent="0.25">
      <c r="A2658" t="str">
        <f>HYPERLINK("https://www.773grp.com/globalSearch/LM25085MME-NOPB/page-1", "LM25085MME-NOPB")</f>
        <v>LM25085MME-NOPB</v>
      </c>
      <c r="B2658" s="3" t="str">
        <f>HYPERLINK("https://www.773grp.com/manufacturer/national-semiconductor?pageNo=111", "National Semiconductor")</f>
        <v>National Semiconductor</v>
      </c>
      <c r="C2658" s="6">
        <v>250</v>
      </c>
      <c r="D2658" s="7">
        <v>4.28</v>
      </c>
    </row>
    <row r="2659" spans="1:5" x14ac:dyDescent="0.25">
      <c r="A2659" t="str">
        <f>HYPERLINK("https://www.773grp.com/globalSearch/LM25085MYE-NOPB/page-1", "LM25085MYE-NOPB")</f>
        <v>LM25085MYE-NOPB</v>
      </c>
      <c r="B2659" s="3" t="str">
        <f>HYPERLINK("https://www.773grp.com/manufacturer/national-semiconductor?pageNo=112", "National Semiconductor")</f>
        <v>National Semiconductor</v>
      </c>
      <c r="C2659" s="6">
        <v>509</v>
      </c>
      <c r="D2659" s="7">
        <v>4.28</v>
      </c>
    </row>
    <row r="2660" spans="1:5" x14ac:dyDescent="0.25">
      <c r="A2660" t="str">
        <f>HYPERLINK("https://www.773grp.com/globalSearch/LM26484SQE-NOPB/page-1", "LM26484SQE-NOPB")</f>
        <v>LM26484SQE-NOPB</v>
      </c>
      <c r="B2660" s="3" t="str">
        <f>HYPERLINK("https://www.773grp.com/manufacturer/national-semiconductor?pageNo=113", "National Semiconductor")</f>
        <v>National Semiconductor</v>
      </c>
      <c r="C2660" s="6">
        <v>250</v>
      </c>
      <c r="D2660" s="7">
        <v>4.28</v>
      </c>
      <c r="E2660" t="s">
        <v>30</v>
      </c>
    </row>
    <row r="2661" spans="1:5" x14ac:dyDescent="0.25">
      <c r="A2661" t="str">
        <f>HYPERLINK("https://www.773grp.com/globalSearch/LM2940IMP-10-NOPB/page-1", "LM2940IMP-10-NOPB")</f>
        <v>LM2940IMP-10-NOPB</v>
      </c>
      <c r="B2661" s="3" t="str">
        <f>HYPERLINK("https://www.773grp.com/manufacturer/national-semiconductor?pageNo=114", "National Semiconductor")</f>
        <v>National Semiconductor</v>
      </c>
      <c r="C2661" s="6">
        <v>1000</v>
      </c>
      <c r="D2661" s="7">
        <v>4.28</v>
      </c>
      <c r="E2661" t="s">
        <v>19</v>
      </c>
    </row>
    <row r="2662" spans="1:5" x14ac:dyDescent="0.25">
      <c r="A2662" t="str">
        <f>HYPERLINK("https://www.773grp.com/globalSearch/LM2940IMP-5.0-NOPB/page-1", "LM2940IMP-5.0-NOPB")</f>
        <v>LM2940IMP-5.0-NOPB</v>
      </c>
      <c r="B2662" s="3" t="str">
        <f>HYPERLINK("https://www.773grp.com/manufacturer/national-semiconductor?pageNo=115", "National Semiconductor")</f>
        <v>National Semiconductor</v>
      </c>
      <c r="C2662" s="6">
        <v>1668</v>
      </c>
      <c r="D2662" s="7">
        <v>4.28</v>
      </c>
      <c r="E2662" t="s">
        <v>19</v>
      </c>
    </row>
    <row r="2663" spans="1:5" x14ac:dyDescent="0.25">
      <c r="A2663" t="str">
        <f>HYPERLINK("https://www.773grp.com/globalSearch/LM2940IMP-9.0/page-1", "LM2940IMP-9.0")</f>
        <v>LM2940IMP-9.0</v>
      </c>
      <c r="B2663" s="3" t="str">
        <f>HYPERLINK("https://www.773grp.com/manufacturer/national-semiconductor?pageNo=116", "National Semiconductor")</f>
        <v>National Semiconductor</v>
      </c>
      <c r="C2663" s="6">
        <v>12</v>
      </c>
      <c r="D2663" s="7">
        <v>4.28</v>
      </c>
      <c r="E2663" t="s">
        <v>19</v>
      </c>
    </row>
    <row r="2664" spans="1:5" x14ac:dyDescent="0.25">
      <c r="A2664" t="str">
        <f>HYPERLINK("https://www.773grp.com/globalSearch/LM2940IMP-9.0-NOPB/page-1", "LM2940IMP-9.0-NOPB")</f>
        <v>LM2940IMP-9.0-NOPB</v>
      </c>
      <c r="B2664" s="3" t="str">
        <f>HYPERLINK("https://www.773grp.com/manufacturer/national-semiconductor?pageNo=117", "National Semiconductor")</f>
        <v>National Semiconductor</v>
      </c>
      <c r="C2664" s="6">
        <v>6700</v>
      </c>
      <c r="D2664" s="7">
        <v>4.28</v>
      </c>
      <c r="E2664" t="s">
        <v>19</v>
      </c>
    </row>
    <row r="2665" spans="1:5" x14ac:dyDescent="0.25">
      <c r="A2665" t="str">
        <f>HYPERLINK("https://www.773grp.com/globalSearch/LM2940IMPX-12-NOPB/page-1", "LM2940IMPX-12-NOPB")</f>
        <v>LM2940IMPX-12-NOPB</v>
      </c>
      <c r="B2665" s="3" t="str">
        <f>HYPERLINK("https://www.773grp.com/manufacturer/national-semiconductor?pageNo=118", "National Semiconductor")</f>
        <v>National Semiconductor</v>
      </c>
      <c r="C2665" s="6">
        <v>12940</v>
      </c>
      <c r="D2665" s="7">
        <v>4.28</v>
      </c>
      <c r="E2665" t="s">
        <v>19</v>
      </c>
    </row>
    <row r="2666" spans="1:5" x14ac:dyDescent="0.25">
      <c r="A2666" t="str">
        <f>HYPERLINK("https://www.773grp.com/globalSearch/LM2940IMPX-5.0-NOPB/page-1", "LM2940IMPX-5.0-NOPB")</f>
        <v>LM2940IMPX-5.0-NOPB</v>
      </c>
      <c r="B2666" s="3" t="str">
        <f>HYPERLINK("https://www.773grp.com/manufacturer/national-semiconductor?pageNo=119", "National Semiconductor")</f>
        <v>National Semiconductor</v>
      </c>
      <c r="C2666" s="6">
        <v>4000</v>
      </c>
      <c r="D2666" s="7">
        <v>4.28</v>
      </c>
      <c r="E2666" t="s">
        <v>19</v>
      </c>
    </row>
    <row r="2667" spans="1:5" x14ac:dyDescent="0.25">
      <c r="A2667" t="str">
        <f>HYPERLINK("https://www.773grp.com/globalSearch/LM338T-NOPB/page-1", "LM338T-NOPB")</f>
        <v>LM338T-NOPB</v>
      </c>
      <c r="B2667" s="3" t="str">
        <f>HYPERLINK("https://www.773grp.com/manufacturer/national-semiconductor?pageNo=120", "National Semiconductor")</f>
        <v>National Semiconductor</v>
      </c>
      <c r="C2667" s="6">
        <v>467</v>
      </c>
      <c r="D2667" s="7">
        <v>4.28</v>
      </c>
      <c r="E2667" t="s">
        <v>22</v>
      </c>
    </row>
    <row r="2668" spans="1:5" x14ac:dyDescent="0.25">
      <c r="A2668" t="str">
        <f>HYPERLINK("https://www.773grp.com/globalSearch/LM3671TL-1.2/page-1", "LM3671TL-1.2")</f>
        <v>LM3671TL-1.2</v>
      </c>
      <c r="B2668" s="3" t="str">
        <f>HYPERLINK("https://www.773grp.com/manufacturer/national-semiconductor?pageNo=121", "National Semiconductor")</f>
        <v>National Semiconductor</v>
      </c>
      <c r="C2668" s="6">
        <v>250</v>
      </c>
      <c r="D2668" s="7">
        <v>4.28</v>
      </c>
      <c r="E2668" t="s">
        <v>7</v>
      </c>
    </row>
    <row r="2669" spans="1:5" x14ac:dyDescent="0.25">
      <c r="A2669" t="str">
        <f>HYPERLINK("https://www.773grp.com/globalSearch/LM3671TL-2.5/page-1", "LM3671TL-2.5")</f>
        <v>LM3671TL-2.5</v>
      </c>
      <c r="B2669" s="3" t="str">
        <f>HYPERLINK("https://www.773grp.com/manufacturer/national-semiconductor?pageNo=122", "National Semiconductor")</f>
        <v>National Semiconductor</v>
      </c>
      <c r="C2669" s="6">
        <v>250</v>
      </c>
      <c r="D2669" s="7">
        <v>4.28</v>
      </c>
      <c r="E2669" t="s">
        <v>7</v>
      </c>
    </row>
    <row r="2670" spans="1:5" x14ac:dyDescent="0.25">
      <c r="A2670" t="str">
        <f>HYPERLINK("https://www.773grp.com/globalSearch/LM3671TLX-ADJ/page-1", "LM3671TLX-ADJ")</f>
        <v>LM3671TLX-ADJ</v>
      </c>
      <c r="B2670" s="3" t="str">
        <f>HYPERLINK("https://www.773grp.com/manufacturer/national-semiconductor?pageNo=123", "National Semiconductor")</f>
        <v>National Semiconductor</v>
      </c>
      <c r="C2670" s="6">
        <v>18000</v>
      </c>
      <c r="D2670" s="7">
        <v>4.28</v>
      </c>
      <c r="E2670" t="s">
        <v>7</v>
      </c>
    </row>
    <row r="2671" spans="1:5" x14ac:dyDescent="0.25">
      <c r="A2671" t="str">
        <f>HYPERLINK("https://www.773grp.com/globalSearch/LM3673TL-ADJ/page-1", "LM3673TL-ADJ")</f>
        <v>LM3673TL-ADJ</v>
      </c>
      <c r="B2671" s="3" t="str">
        <f>HYPERLINK("https://www.773grp.com/manufacturer/national-semiconductor?pageNo=124", "National Semiconductor")</f>
        <v>National Semiconductor</v>
      </c>
      <c r="C2671" s="6">
        <v>500</v>
      </c>
      <c r="D2671" s="7">
        <v>4.28</v>
      </c>
      <c r="E2671" t="s">
        <v>7</v>
      </c>
    </row>
    <row r="2672" spans="1:5" x14ac:dyDescent="0.25">
      <c r="A2672" t="str">
        <f>HYPERLINK("https://www.773grp.com/globalSearch/LM3704XCMM-263-NOPB/page-1", "LM3704XCMM-263-NOPB")</f>
        <v>LM3704XCMM-263-NOPB</v>
      </c>
      <c r="B2672" s="3" t="str">
        <f>HYPERLINK("https://www.773grp.com/manufacturer/national-semiconductor?pageNo=125", "National Semiconductor")</f>
        <v>National Semiconductor</v>
      </c>
      <c r="C2672" s="6">
        <v>905</v>
      </c>
      <c r="D2672" s="7">
        <v>4.28</v>
      </c>
      <c r="E2672" t="s">
        <v>30</v>
      </c>
    </row>
    <row r="2673" spans="1:5" x14ac:dyDescent="0.25">
      <c r="A2673" t="str">
        <f>HYPERLINK("https://www.773grp.com/globalSearch/LM3704XDMM-220-NOPB/page-1", "LM3704XDMM-220-NOPB")</f>
        <v>LM3704XDMM-220-NOPB</v>
      </c>
      <c r="B2673" s="3" t="str">
        <f>HYPERLINK("https://www.773grp.com/manufacturer/national-semiconductor?pageNo=126", "National Semiconductor")</f>
        <v>National Semiconductor</v>
      </c>
      <c r="C2673" s="6">
        <v>5000</v>
      </c>
      <c r="D2673" s="7">
        <v>4.28</v>
      </c>
      <c r="E2673" t="s">
        <v>30</v>
      </c>
    </row>
    <row r="2674" spans="1:5" x14ac:dyDescent="0.25">
      <c r="A2674" t="str">
        <f>HYPERLINK("https://www.773grp.com/globalSearch/LM385BXZ-NOPB/page-1", "LM385BXZ-NOPB")</f>
        <v>LM385BXZ-NOPB</v>
      </c>
      <c r="B2674" s="3" t="str">
        <f>HYPERLINK("https://www.773grp.com/manufacturer/national-semiconductor?pageNo=127", "National Semiconductor")</f>
        <v>National Semiconductor</v>
      </c>
      <c r="C2674" s="6">
        <v>360</v>
      </c>
      <c r="D2674" s="7">
        <v>4.28</v>
      </c>
      <c r="E2674" t="s">
        <v>17</v>
      </c>
    </row>
    <row r="2675" spans="1:5" x14ac:dyDescent="0.25">
      <c r="A2675" t="str">
        <f>HYPERLINK("https://www.773grp.com/globalSearch/LM385BXZ-1.2-NOPB/page-1", "LM385BXZ-1.2-NOPB")</f>
        <v>LM385BXZ-1.2-NOPB</v>
      </c>
      <c r="B2675" s="3" t="str">
        <f>HYPERLINK("https://www.773grp.com/manufacturer/national-semiconductor?pageNo=128", "National Semiconductor")</f>
        <v>National Semiconductor</v>
      </c>
      <c r="C2675" s="6">
        <v>8367</v>
      </c>
      <c r="D2675" s="7">
        <v>4.28</v>
      </c>
      <c r="E2675" t="s">
        <v>17</v>
      </c>
    </row>
    <row r="2676" spans="1:5" x14ac:dyDescent="0.25">
      <c r="A2676" t="str">
        <f>HYPERLINK("https://www.773grp.com/globalSearch/LM385BXZ-2.5-NOPB/page-1", "LM385BXZ-2.5-NOPB")</f>
        <v>LM385BXZ-2.5-NOPB</v>
      </c>
      <c r="B2676" s="3" t="str">
        <f>HYPERLINK("https://www.773grp.com/manufacturer/national-semiconductor?pageNo=129", "National Semiconductor")</f>
        <v>National Semiconductor</v>
      </c>
      <c r="C2676" s="6">
        <v>3804</v>
      </c>
      <c r="D2676" s="7">
        <v>4.28</v>
      </c>
      <c r="E2676" t="s">
        <v>17</v>
      </c>
    </row>
    <row r="2677" spans="1:5" x14ac:dyDescent="0.25">
      <c r="A2677" t="str">
        <f>HYPERLINK("https://www.773grp.com/globalSearch/LM48310SD/page-1", "LM48310SD")</f>
        <v>LM48310SD</v>
      </c>
      <c r="B2677" s="3" t="str">
        <f>HYPERLINK("https://www.773grp.com/manufacturer/national-semiconductor?pageNo=130", "National Semiconductor")</f>
        <v>National Semiconductor</v>
      </c>
      <c r="C2677" s="6">
        <v>2000</v>
      </c>
      <c r="D2677" s="7">
        <v>4.28</v>
      </c>
      <c r="E2677" t="s">
        <v>18</v>
      </c>
    </row>
    <row r="2678" spans="1:5" x14ac:dyDescent="0.25">
      <c r="A2678" t="str">
        <f>HYPERLINK("https://www.773grp.com/globalSearch/LM4860M/page-1", "LM4860M")</f>
        <v>LM4860M</v>
      </c>
      <c r="B2678" s="3" t="str">
        <f>HYPERLINK("https://www.773grp.com/manufacturer/national-semiconductor?pageNo=131", "National Semiconductor")</f>
        <v>National Semiconductor</v>
      </c>
      <c r="C2678" s="6">
        <v>97</v>
      </c>
      <c r="D2678" s="7">
        <v>4.28</v>
      </c>
      <c r="E2678" t="s">
        <v>18</v>
      </c>
    </row>
    <row r="2679" spans="1:5" x14ac:dyDescent="0.25">
      <c r="A2679" t="str">
        <f>HYPERLINK("https://www.773grp.com/globalSearch/LM7321MA/page-1", "LM7321MA")</f>
        <v>LM7321MA</v>
      </c>
      <c r="B2679" s="3" t="str">
        <f>HYPERLINK("https://www.773grp.com/manufacturer/national-semiconductor?pageNo=132", "National Semiconductor")</f>
        <v>National Semiconductor</v>
      </c>
      <c r="C2679" s="6">
        <v>248</v>
      </c>
      <c r="D2679" s="7">
        <v>4.28</v>
      </c>
      <c r="E2679" t="s">
        <v>13</v>
      </c>
    </row>
    <row r="2680" spans="1:5" x14ac:dyDescent="0.25">
      <c r="A2680" t="str">
        <f>HYPERLINK("https://www.773grp.com/globalSearch/LM9074MX-NOPB/page-1", "LM9074MX-NOPB")</f>
        <v>LM9074MX-NOPB</v>
      </c>
      <c r="B2680" s="3" t="str">
        <f>HYPERLINK("https://www.773grp.com/manufacturer/national-semiconductor?pageNo=133", "National Semiconductor")</f>
        <v>National Semiconductor</v>
      </c>
      <c r="C2680" s="6">
        <v>5000</v>
      </c>
      <c r="D2680" s="7">
        <v>4.28</v>
      </c>
      <c r="E2680" t="s">
        <v>28</v>
      </c>
    </row>
    <row r="2681" spans="1:5" x14ac:dyDescent="0.25">
      <c r="A2681" t="str">
        <f>HYPERLINK("https://www.773grp.com/globalSearch/LMC662AIMX/page-1", "LMC662AIMX")</f>
        <v>LMC662AIMX</v>
      </c>
      <c r="B2681" s="3" t="str">
        <f>HYPERLINK("https://www.773grp.com/manufacturer/national-semiconductor?pageNo=134", "National Semiconductor")</f>
        <v>National Semiconductor</v>
      </c>
      <c r="C2681" s="6">
        <v>12000</v>
      </c>
      <c r="D2681" s="7">
        <v>4.28</v>
      </c>
      <c r="E2681" t="s">
        <v>13</v>
      </c>
    </row>
    <row r="2682" spans="1:5" x14ac:dyDescent="0.25">
      <c r="A2682" t="str">
        <f>HYPERLINK("https://www.773grp.com/globalSearch/LMH6611MKE-NOPB/page-1", "LMH6611MKE-NOPB")</f>
        <v>LMH6611MKE-NOPB</v>
      </c>
      <c r="B2682" s="3" t="str">
        <f>HYPERLINK("https://www.773grp.com/manufacturer/national-semiconductor?pageNo=1", "National Semiconductor")</f>
        <v>National Semiconductor</v>
      </c>
      <c r="C2682" s="6">
        <v>1625</v>
      </c>
      <c r="D2682" s="7">
        <v>4.28</v>
      </c>
    </row>
    <row r="2683" spans="1:5" x14ac:dyDescent="0.25">
      <c r="A2683" t="str">
        <f>HYPERLINK("https://www.773grp.com/globalSearch/LMH6643MA-NOPB/page-1", "LMH6643MA-NOPB")</f>
        <v>LMH6643MA-NOPB</v>
      </c>
      <c r="B2683" s="3" t="str">
        <f>HYPERLINK("https://www.773grp.com/manufacturer/national-semiconductor?pageNo=2", "National Semiconductor")</f>
        <v>National Semiconductor</v>
      </c>
      <c r="C2683" s="6">
        <v>1720</v>
      </c>
      <c r="D2683" s="7">
        <v>4.28</v>
      </c>
      <c r="E2683" t="s">
        <v>18</v>
      </c>
    </row>
    <row r="2684" spans="1:5" x14ac:dyDescent="0.25">
      <c r="A2684" t="str">
        <f>HYPERLINK("https://www.773grp.com/globalSearch/LMH6654MA/page-1", "LMH6654MA")</f>
        <v>LMH6654MA</v>
      </c>
      <c r="B2684" s="3" t="str">
        <f>HYPERLINK("https://www.773grp.com/manufacturer/national-semiconductor?pageNo=3", "National Semiconductor")</f>
        <v>National Semiconductor</v>
      </c>
      <c r="C2684" s="6">
        <v>665</v>
      </c>
      <c r="D2684" s="7">
        <v>4.28</v>
      </c>
      <c r="E2684" t="s">
        <v>18</v>
      </c>
    </row>
    <row r="2685" spans="1:5" x14ac:dyDescent="0.25">
      <c r="A2685" t="str">
        <f>HYPERLINK("https://www.773grp.com/globalSearch/LMH6654MF-NOPB/page-1", "LMH6654MF-NOPB")</f>
        <v>LMH6654MF-NOPB</v>
      </c>
      <c r="B2685" s="3" t="str">
        <f>HYPERLINK("https://www.773grp.com/manufacturer/national-semiconductor?pageNo=4", "National Semiconductor")</f>
        <v>National Semiconductor</v>
      </c>
      <c r="C2685" s="6">
        <v>16000</v>
      </c>
      <c r="D2685" s="7">
        <v>4.28</v>
      </c>
      <c r="E2685" t="s">
        <v>13</v>
      </c>
    </row>
    <row r="2686" spans="1:5" x14ac:dyDescent="0.25">
      <c r="A2686" t="str">
        <f>HYPERLINK("https://www.773grp.com/globalSearch/LMH6654MFX/page-1", "LMH6654MFX")</f>
        <v>LMH6654MFX</v>
      </c>
      <c r="B2686" s="3" t="str">
        <f>HYPERLINK("https://www.773grp.com/manufacturer/national-semiconductor?pageNo=5", "National Semiconductor")</f>
        <v>National Semiconductor</v>
      </c>
      <c r="C2686" s="6">
        <v>2000</v>
      </c>
      <c r="D2686" s="7">
        <v>4.28</v>
      </c>
      <c r="E2686" t="s">
        <v>18</v>
      </c>
    </row>
    <row r="2687" spans="1:5" x14ac:dyDescent="0.25">
      <c r="A2687" t="str">
        <f>HYPERLINK("https://www.773grp.com/globalSearch/LMH6654MFX-NOPB/page-1", "LMH6654MFX-NOPB")</f>
        <v>LMH6654MFX-NOPB</v>
      </c>
      <c r="B2687" s="3" t="str">
        <f>HYPERLINK("https://www.773grp.com/manufacturer/national-semiconductor?pageNo=6", "National Semiconductor")</f>
        <v>National Semiconductor</v>
      </c>
      <c r="C2687" s="6">
        <v>3000</v>
      </c>
      <c r="D2687" s="7">
        <v>4.28</v>
      </c>
      <c r="E2687" t="s">
        <v>13</v>
      </c>
    </row>
    <row r="2688" spans="1:5" x14ac:dyDescent="0.25">
      <c r="A2688" t="str">
        <f>HYPERLINK("https://www.773grp.com/globalSearch/LMP7717MA/page-1", "LMP7717MA")</f>
        <v>LMP7717MA</v>
      </c>
      <c r="B2688" s="3" t="str">
        <f>HYPERLINK("https://www.773grp.com/manufacturer/national-semiconductor?pageNo=7", "National Semiconductor")</f>
        <v>National Semiconductor</v>
      </c>
      <c r="C2688" s="6">
        <v>285</v>
      </c>
      <c r="D2688" s="7">
        <v>4.28</v>
      </c>
      <c r="E2688" t="s">
        <v>13</v>
      </c>
    </row>
    <row r="2689" spans="1:5" x14ac:dyDescent="0.25">
      <c r="A2689" t="str">
        <f>HYPERLINK("https://www.773grp.com/globalSearch/LMS1585ACSX-3.3-J7001770/page-1", "LMS1585ACSX-3.3-J7001770")</f>
        <v>LMS1585ACSX-3.3-J7001770</v>
      </c>
      <c r="B2689" s="3" t="str">
        <f>HYPERLINK("https://www.773grp.com/manufacturer/national-semiconductor?pageNo=8", "National Semiconductor")</f>
        <v>National Semiconductor</v>
      </c>
      <c r="C2689" s="6">
        <v>15000</v>
      </c>
      <c r="D2689" s="7">
        <v>4.28</v>
      </c>
    </row>
    <row r="2690" spans="1:5" x14ac:dyDescent="0.25">
      <c r="A2690" t="str">
        <f>HYPERLINK("https://www.773grp.com/globalSearch/LMV751M5-NOPB/page-1", "LMV751M5-NOPB")</f>
        <v>LMV751M5-NOPB</v>
      </c>
      <c r="B2690" s="3" t="str">
        <f>HYPERLINK("https://www.773grp.com/manufacturer/national-semiconductor?pageNo=9", "National Semiconductor")</f>
        <v>National Semiconductor</v>
      </c>
      <c r="C2690" s="6">
        <v>3072</v>
      </c>
      <c r="D2690" s="7">
        <v>4.28</v>
      </c>
      <c r="E2690" t="s">
        <v>13</v>
      </c>
    </row>
    <row r="2691" spans="1:5" x14ac:dyDescent="0.25">
      <c r="A2691" t="str">
        <f>HYPERLINK("https://www.773grp.com/globalSearch/LP2988AIMM-2.7/page-1", "LP2988AIMM-2.7")</f>
        <v>LP2988AIMM-2.7</v>
      </c>
      <c r="B2691" s="3" t="str">
        <f>HYPERLINK("https://www.773grp.com/manufacturer/national-semiconductor?pageNo=10", "National Semiconductor")</f>
        <v>National Semiconductor</v>
      </c>
      <c r="C2691" s="6">
        <v>16000</v>
      </c>
      <c r="D2691" s="7">
        <v>4.28</v>
      </c>
      <c r="E2691" t="s">
        <v>19</v>
      </c>
    </row>
    <row r="2692" spans="1:5" x14ac:dyDescent="0.25">
      <c r="A2692" t="str">
        <f>HYPERLINK("https://www.773grp.com/globalSearch/LP2988AIMM-5.7/page-1", "LP2988AIMM-5.7")</f>
        <v>LP2988AIMM-5.7</v>
      </c>
      <c r="B2692" s="3" t="str">
        <f>HYPERLINK("https://www.773grp.com/manufacturer/national-semiconductor?pageNo=11", "National Semiconductor")</f>
        <v>National Semiconductor</v>
      </c>
      <c r="C2692" s="6">
        <v>33000</v>
      </c>
      <c r="D2692" s="7">
        <v>4.28</v>
      </c>
      <c r="E2692" t="s">
        <v>19</v>
      </c>
    </row>
    <row r="2693" spans="1:5" x14ac:dyDescent="0.25">
      <c r="A2693" t="str">
        <f>HYPERLINK("https://www.773grp.com/globalSearch/LP3878SD-1.0-NOPB/page-1", "LP3878SD-1.0-NOPB")</f>
        <v>LP3878SD-1.0-NOPB</v>
      </c>
      <c r="B2693" s="3" t="str">
        <f>HYPERLINK("https://www.773grp.com/manufacturer/national-semiconductor?pageNo=12", "National Semiconductor")</f>
        <v>National Semiconductor</v>
      </c>
      <c r="C2693" s="6">
        <v>52437</v>
      </c>
      <c r="D2693" s="7">
        <v>4.28</v>
      </c>
      <c r="E2693" t="s">
        <v>28</v>
      </c>
    </row>
    <row r="2694" spans="1:5" x14ac:dyDescent="0.25">
      <c r="A2694" t="str">
        <f>HYPERLINK("https://www.773grp.com/globalSearch/LP3878SD-ADJ/page-1", "LP3878SD-ADJ")</f>
        <v>LP3878SD-ADJ</v>
      </c>
      <c r="B2694" s="3" t="str">
        <f>HYPERLINK("https://www.773grp.com/manufacturer/national-semiconductor?pageNo=13", "National Semiconductor")</f>
        <v>National Semiconductor</v>
      </c>
      <c r="C2694" s="6">
        <v>1000</v>
      </c>
      <c r="D2694" s="7">
        <v>4.28</v>
      </c>
      <c r="E2694" t="s">
        <v>22</v>
      </c>
    </row>
    <row r="2695" spans="1:5" x14ac:dyDescent="0.25">
      <c r="A2695" t="str">
        <f>HYPERLINK("https://www.773grp.com/globalSearch/LP3878SD-ADJ-NOPB/page-1", "LP3878SD-ADJ-NOPB")</f>
        <v>LP3878SD-ADJ-NOPB</v>
      </c>
      <c r="B2695" s="3" t="str">
        <f>HYPERLINK("https://www.773grp.com/manufacturer/national-semiconductor?pageNo=14", "National Semiconductor")</f>
        <v>National Semiconductor</v>
      </c>
      <c r="C2695" s="6">
        <v>15692</v>
      </c>
      <c r="D2695" s="7">
        <v>4.28</v>
      </c>
      <c r="E2695" t="s">
        <v>22</v>
      </c>
    </row>
    <row r="2696" spans="1:5" x14ac:dyDescent="0.25">
      <c r="A2696" t="str">
        <f>HYPERLINK("https://www.773grp.com/globalSearch/LP5521YQ-S7002688/page-1", "LP5521YQ-S7002688")</f>
        <v>LP5521YQ-S7002688</v>
      </c>
      <c r="B2696" s="3" t="str">
        <f>HYPERLINK("https://www.773grp.com/manufacturer/national-semiconductor?pageNo=15", "National Semiconductor")</f>
        <v>National Semiconductor</v>
      </c>
      <c r="C2696" s="6">
        <v>94000</v>
      </c>
      <c r="D2696" s="7">
        <v>4.28</v>
      </c>
    </row>
    <row r="2697" spans="1:5" x14ac:dyDescent="0.25">
      <c r="A2697" t="str">
        <f>HYPERLINK("https://www.773grp.com/globalSearch/LP55271TL-NOPB/page-1", "LP55271TL-NOPB")</f>
        <v>LP55271TL-NOPB</v>
      </c>
      <c r="B2697" s="3" t="str">
        <f>HYPERLINK("https://www.773grp.com/manufacturer/national-semiconductor?pageNo=16", "National Semiconductor")</f>
        <v>National Semiconductor</v>
      </c>
      <c r="C2697" s="6">
        <v>500</v>
      </c>
      <c r="D2697" s="7">
        <v>4.28</v>
      </c>
    </row>
    <row r="2698" spans="1:5" x14ac:dyDescent="0.25">
      <c r="A2698" t="str">
        <f>HYPERLINK("https://www.773grp.com/globalSearch/LP8720TLE-NOPB/page-1", "LP8720TLE-NOPB")</f>
        <v>LP8720TLE-NOPB</v>
      </c>
      <c r="B2698" s="3" t="str">
        <f>HYPERLINK("https://www.773grp.com/manufacturer/national-semiconductor?pageNo=17", "National Semiconductor")</f>
        <v>National Semiconductor</v>
      </c>
      <c r="C2698" s="6">
        <v>580</v>
      </c>
      <c r="D2698" s="7">
        <v>4.28</v>
      </c>
    </row>
    <row r="2699" spans="1:5" x14ac:dyDescent="0.25">
      <c r="A2699" t="str">
        <f>HYPERLINK("https://www.773grp.com/globalSearch/LM25085SDE-NOPB/page-1", "LM25085SDE-NOPB")</f>
        <v>LM25085SDE-NOPB</v>
      </c>
      <c r="B2699" s="3" t="str">
        <f>HYPERLINK("https://www.773grp.com/manufacturer/national-semiconductor?pageNo=18", "National Semiconductor")</f>
        <v>National Semiconductor</v>
      </c>
      <c r="C2699" s="6">
        <v>44</v>
      </c>
      <c r="D2699" s="7">
        <v>4.28</v>
      </c>
    </row>
    <row r="2700" spans="1:5" x14ac:dyDescent="0.25">
      <c r="A2700" t="str">
        <f>HYPERLINK("https://www.773grp.com/globalSearch/LM26484SQE-NOPB/page-1", "LM26484SQE-NOPB")</f>
        <v>LM26484SQE-NOPB</v>
      </c>
      <c r="B2700" s="3" t="str">
        <f>HYPERLINK("https://www.773grp.com/manufacturer/national-semiconductor?pageNo=19", "National Semiconductor")</f>
        <v>National Semiconductor</v>
      </c>
      <c r="C2700" s="6">
        <v>15000</v>
      </c>
      <c r="D2700" s="7">
        <v>4.28</v>
      </c>
      <c r="E2700" t="s">
        <v>30</v>
      </c>
    </row>
    <row r="2701" spans="1:5" x14ac:dyDescent="0.25">
      <c r="A2701" t="str">
        <f>HYPERLINK("https://www.773grp.com/globalSearch/LM2940IMP-10-NOPB/page-1", "LM2940IMP-10-NOPB")</f>
        <v>LM2940IMP-10-NOPB</v>
      </c>
      <c r="B2701" s="3" t="str">
        <f>HYPERLINK("https://www.773grp.com/manufacturer/national-semiconductor?pageNo=20", "National Semiconductor")</f>
        <v>National Semiconductor</v>
      </c>
      <c r="C2701" s="6">
        <v>655</v>
      </c>
      <c r="D2701" s="7">
        <v>4.28</v>
      </c>
      <c r="E2701" t="s">
        <v>19</v>
      </c>
    </row>
    <row r="2702" spans="1:5" x14ac:dyDescent="0.25">
      <c r="A2702" t="str">
        <f>HYPERLINK("https://www.773grp.com/globalSearch/LM2940IMP-15-NOPB/page-1", "LM2940IMP-15-NOPB")</f>
        <v>LM2940IMP-15-NOPB</v>
      </c>
      <c r="B2702" s="3" t="str">
        <f>HYPERLINK("https://www.773grp.com/manufacturer/national-semiconductor?pageNo=21", "National Semiconductor")</f>
        <v>National Semiconductor</v>
      </c>
      <c r="C2702" s="6">
        <v>1000</v>
      </c>
      <c r="D2702" s="7">
        <v>4.28</v>
      </c>
    </row>
    <row r="2703" spans="1:5" x14ac:dyDescent="0.25">
      <c r="A2703" t="str">
        <f>HYPERLINK("https://www.773grp.com/globalSearch/LM2940IMPX-5.0-NOPB/page-1", "LM2940IMPX-5.0-NOPB")</f>
        <v>LM2940IMPX-5.0-NOPB</v>
      </c>
      <c r="B2703" s="3" t="str">
        <f>HYPERLINK("https://www.773grp.com/manufacturer/national-semiconductor?pageNo=22", "National Semiconductor")</f>
        <v>National Semiconductor</v>
      </c>
      <c r="C2703" s="6">
        <v>5871</v>
      </c>
      <c r="D2703" s="7">
        <v>4.28</v>
      </c>
      <c r="E2703" t="s">
        <v>19</v>
      </c>
    </row>
    <row r="2704" spans="1:5" x14ac:dyDescent="0.25">
      <c r="A2704" t="str">
        <f>HYPERLINK("https://www.773grp.com/globalSearch/LM338T-NOPB/page-1", "LM338T-NOPB")</f>
        <v>LM338T-NOPB</v>
      </c>
      <c r="B2704" s="3" t="str">
        <f>HYPERLINK("https://www.773grp.com/manufacturer/national-semiconductor?pageNo=23", "National Semiconductor")</f>
        <v>National Semiconductor</v>
      </c>
      <c r="C2704" s="6">
        <v>1117</v>
      </c>
      <c r="D2704" s="7">
        <v>4.28</v>
      </c>
      <c r="E2704" t="s">
        <v>22</v>
      </c>
    </row>
    <row r="2705" spans="1:5" x14ac:dyDescent="0.25">
      <c r="A2705" t="str">
        <f>HYPERLINK("https://www.773grp.com/globalSearch/LM3533TME-40A-NOPB/page-1", "LM3533TME-40A-NOPB")</f>
        <v>LM3533TME-40A-NOPB</v>
      </c>
      <c r="B2705" s="3" t="str">
        <f>HYPERLINK("https://www.773grp.com/manufacturer/national-semiconductor?pageNo=24", "National Semiconductor")</f>
        <v>National Semiconductor</v>
      </c>
      <c r="C2705" s="6">
        <v>115</v>
      </c>
      <c r="D2705" s="7">
        <v>4.28</v>
      </c>
    </row>
    <row r="2706" spans="1:5" x14ac:dyDescent="0.25">
      <c r="A2706" t="str">
        <f>HYPERLINK("https://www.773grp.com/globalSearch/LM385BXZ-NOPB/page-1", "LM385BXZ-NOPB")</f>
        <v>LM385BXZ-NOPB</v>
      </c>
      <c r="B2706" s="3" t="str">
        <f>HYPERLINK("https://www.773grp.com/manufacturer/national-semiconductor?pageNo=25", "National Semiconductor")</f>
        <v>National Semiconductor</v>
      </c>
      <c r="C2706" s="6">
        <v>190</v>
      </c>
      <c r="D2706" s="7">
        <v>4.28</v>
      </c>
      <c r="E2706" t="s">
        <v>17</v>
      </c>
    </row>
    <row r="2707" spans="1:5" x14ac:dyDescent="0.25">
      <c r="A2707" t="str">
        <f>HYPERLINK("https://www.773grp.com/globalSearch/LM385BXZ-1.2-NOPB/page-1", "LM385BXZ-1.2-NOPB")</f>
        <v>LM385BXZ-1.2-NOPB</v>
      </c>
      <c r="B2707" s="3" t="str">
        <f>HYPERLINK("https://www.773grp.com/manufacturer/national-semiconductor?pageNo=26", "National Semiconductor")</f>
        <v>National Semiconductor</v>
      </c>
      <c r="C2707" s="6">
        <v>391</v>
      </c>
      <c r="D2707" s="7">
        <v>4.28</v>
      </c>
      <c r="E2707" t="s">
        <v>17</v>
      </c>
    </row>
    <row r="2708" spans="1:5" x14ac:dyDescent="0.25">
      <c r="A2708" t="str">
        <f>HYPERLINK("https://www.773grp.com/globalSearch/LM385BXZ-2.5-NOPB/page-1", "LM385BXZ-2.5-NOPB")</f>
        <v>LM385BXZ-2.5-NOPB</v>
      </c>
      <c r="B2708" s="3" t="str">
        <f>HYPERLINK("https://www.773grp.com/manufacturer/national-semiconductor?pageNo=27", "National Semiconductor")</f>
        <v>National Semiconductor</v>
      </c>
      <c r="C2708" s="6">
        <v>5295</v>
      </c>
      <c r="D2708" s="7">
        <v>4.28</v>
      </c>
      <c r="E2708" t="s">
        <v>17</v>
      </c>
    </row>
    <row r="2709" spans="1:5" x14ac:dyDescent="0.25">
      <c r="A2709" t="str">
        <f>HYPERLINK("https://www.773grp.com/globalSearch/LM385BXZ-2.5-NOPB/page-1", "LM385BXZ-2.5-NOPB")</f>
        <v>LM385BXZ-2.5-NOPB</v>
      </c>
      <c r="B2709" s="3" t="str">
        <f>HYPERLINK("https://www.773grp.com/manufacturer/national-semiconductor?pageNo=28", "National Semiconductor")</f>
        <v>National Semiconductor</v>
      </c>
      <c r="C2709" s="6">
        <v>1634</v>
      </c>
      <c r="D2709" s="7">
        <v>4.28</v>
      </c>
      <c r="E2709" t="s">
        <v>17</v>
      </c>
    </row>
    <row r="2710" spans="1:5" x14ac:dyDescent="0.25">
      <c r="A2710" t="str">
        <f>HYPERLINK("https://www.773grp.com/globalSearch/LM4860M/page-1", "LM4860M")</f>
        <v>LM4860M</v>
      </c>
      <c r="B2710" s="3" t="str">
        <f>HYPERLINK("https://www.773grp.com/manufacturer/national-semiconductor?pageNo=29", "National Semiconductor")</f>
        <v>National Semiconductor</v>
      </c>
      <c r="C2710" s="6">
        <v>161</v>
      </c>
      <c r="D2710" s="7">
        <v>4.28</v>
      </c>
      <c r="E2710" t="s">
        <v>18</v>
      </c>
    </row>
    <row r="2711" spans="1:5" x14ac:dyDescent="0.25">
      <c r="A2711" t="str">
        <f>HYPERLINK("https://www.773grp.com/globalSearch/LMH6601QMG-NOPB/page-1", "LMH6601QMG-NOPB")</f>
        <v>LMH6601QMG-NOPB</v>
      </c>
      <c r="B2711" s="3" t="str">
        <f>HYPERLINK("https://www.773grp.com/manufacturer/national-semiconductor?pageNo=30", "National Semiconductor")</f>
        <v>National Semiconductor</v>
      </c>
      <c r="C2711" s="6">
        <v>1489</v>
      </c>
      <c r="D2711" s="7">
        <v>4.28</v>
      </c>
    </row>
    <row r="2712" spans="1:5" x14ac:dyDescent="0.25">
      <c r="A2712" t="str">
        <f>HYPERLINK("https://www.773grp.com/globalSearch/LMH6643MA-NOPB/page-1", "LMH6643MA-NOPB")</f>
        <v>LMH6643MA-NOPB</v>
      </c>
      <c r="B2712" s="3" t="str">
        <f>HYPERLINK("https://www.773grp.com/manufacturer/national-semiconductor?pageNo=31", "National Semiconductor")</f>
        <v>National Semiconductor</v>
      </c>
      <c r="C2712" s="6">
        <v>965</v>
      </c>
      <c r="D2712" s="7">
        <v>4.28</v>
      </c>
      <c r="E2712" t="s">
        <v>18</v>
      </c>
    </row>
    <row r="2713" spans="1:5" x14ac:dyDescent="0.25">
      <c r="A2713" t="str">
        <f>HYPERLINK("https://www.773grp.com/globalSearch/LMH6654MAX-NOPB/page-1", "LMH6654MAX-NOPB")</f>
        <v>LMH6654MAX-NOPB</v>
      </c>
      <c r="B2713" s="3" t="str">
        <f>HYPERLINK("https://www.773grp.com/manufacturer/national-semiconductor?pageNo=32", "National Semiconductor")</f>
        <v>National Semiconductor</v>
      </c>
      <c r="C2713" s="6">
        <v>5000</v>
      </c>
      <c r="D2713" s="7">
        <v>4.28</v>
      </c>
    </row>
    <row r="2714" spans="1:5" x14ac:dyDescent="0.25">
      <c r="A2714" t="str">
        <f>HYPERLINK("https://www.773grp.com/globalSearch/LMH6654MFX-NOPB/page-1", "LMH6654MFX-NOPB")</f>
        <v>LMH6654MFX-NOPB</v>
      </c>
      <c r="B2714" s="3" t="str">
        <f>HYPERLINK("https://www.773grp.com/manufacturer/national-semiconductor?pageNo=33", "National Semiconductor")</f>
        <v>National Semiconductor</v>
      </c>
      <c r="C2714" s="6">
        <v>15000</v>
      </c>
      <c r="D2714" s="7">
        <v>4.28</v>
      </c>
      <c r="E2714" t="s">
        <v>13</v>
      </c>
    </row>
    <row r="2715" spans="1:5" x14ac:dyDescent="0.25">
      <c r="A2715" t="str">
        <f>HYPERLINK("https://www.773grp.com/globalSearch/LP2954IM/page-1", "LP2954IM")</f>
        <v>LP2954IM</v>
      </c>
      <c r="B2715" s="3" t="str">
        <f>HYPERLINK("https://www.773grp.com/manufacturer/national-semiconductor?pageNo=34", "National Semiconductor")</f>
        <v>National Semiconductor</v>
      </c>
      <c r="C2715" s="6">
        <v>10</v>
      </c>
      <c r="D2715" s="7">
        <v>4.28</v>
      </c>
    </row>
    <row r="2716" spans="1:5" x14ac:dyDescent="0.25">
      <c r="A2716" t="str">
        <f>HYPERLINK("https://www.773grp.com/globalSearch/LP3878SD-ADJ/page-1", "LP3878SD-ADJ")</f>
        <v>LP3878SD-ADJ</v>
      </c>
      <c r="B2716" s="3" t="str">
        <f>HYPERLINK("https://www.773grp.com/manufacturer/national-semiconductor?pageNo=35", "National Semiconductor")</f>
        <v>National Semiconductor</v>
      </c>
      <c r="C2716" s="6">
        <v>21</v>
      </c>
      <c r="D2716" s="7">
        <v>4.28</v>
      </c>
      <c r="E2716" t="s">
        <v>22</v>
      </c>
    </row>
    <row r="2717" spans="1:5" x14ac:dyDescent="0.25">
      <c r="A2717" t="str">
        <f>HYPERLINK("https://www.773grp.com/globalSearch/LP3878SD-ADJ-NOPB/page-1", "LP3878SD-ADJ-NOPB")</f>
        <v>LP3878SD-ADJ-NOPB</v>
      </c>
      <c r="B2717" s="3" t="str">
        <f>HYPERLINK("https://www.773grp.com/manufacturer/national-semiconductor?pageNo=36", "National Semiconductor")</f>
        <v>National Semiconductor</v>
      </c>
      <c r="C2717" s="6">
        <v>60480</v>
      </c>
      <c r="D2717" s="7">
        <v>4.28</v>
      </c>
      <c r="E2717" t="s">
        <v>22</v>
      </c>
    </row>
    <row r="2718" spans="1:5" x14ac:dyDescent="0.25">
      <c r="A2718" t="str">
        <f>HYPERLINK("https://www.773grp.com/globalSearch/LP55271TL-NOPB/page-1", "LP55271TL-NOPB")</f>
        <v>LP55271TL-NOPB</v>
      </c>
      <c r="B2718" s="3" t="str">
        <f>HYPERLINK("https://www.773grp.com/manufacturer/national-semiconductor?pageNo=37", "National Semiconductor")</f>
        <v>National Semiconductor</v>
      </c>
      <c r="C2718" s="6">
        <v>2750</v>
      </c>
      <c r="D2718" s="7">
        <v>4.28</v>
      </c>
    </row>
    <row r="2719" spans="1:5" x14ac:dyDescent="0.25">
      <c r="A2719" t="str">
        <f>HYPERLINK("https://www.773grp.com/globalSearch/54F64DC/page-1", "54F64DC")</f>
        <v>54F64DC</v>
      </c>
      <c r="B2719" s="3" t="str">
        <f>HYPERLINK("https://www.773grp.com/manufacturer/national-semiconductor?pageNo=38", "National Semiconductor")</f>
        <v>National Semiconductor</v>
      </c>
      <c r="C2719" s="6">
        <v>18</v>
      </c>
      <c r="D2719" s="7">
        <v>3.89</v>
      </c>
      <c r="E2719" t="s">
        <v>31</v>
      </c>
    </row>
    <row r="2720" spans="1:5" x14ac:dyDescent="0.25">
      <c r="A2720" t="str">
        <f>HYPERLINK("https://www.773grp.com/globalSearch/54F64DM/page-1", "54F64DM")</f>
        <v>54F64DM</v>
      </c>
      <c r="B2720" s="3" t="str">
        <f>HYPERLINK("https://www.773grp.com/manufacturer/national-semiconductor?pageNo=39", "National Semiconductor")</f>
        <v>National Semiconductor</v>
      </c>
      <c r="C2720" s="6">
        <v>5421</v>
      </c>
      <c r="D2720" s="7">
        <v>3.89</v>
      </c>
      <c r="E2720" t="s">
        <v>31</v>
      </c>
    </row>
    <row r="2721" spans="1:5" x14ac:dyDescent="0.25">
      <c r="A2721" t="str">
        <f>HYPERLINK("https://www.773grp.com/globalSearch/ADC0820CCN/page-1", "ADC0820CCN")</f>
        <v>ADC0820CCN</v>
      </c>
      <c r="B2721" s="3" t="str">
        <f>HYPERLINK("https://www.773grp.com/manufacturer/national-semiconductor?pageNo=40", "National Semiconductor")</f>
        <v>National Semiconductor</v>
      </c>
      <c r="C2721" s="6">
        <v>126</v>
      </c>
      <c r="D2721" s="7">
        <v>3.89</v>
      </c>
      <c r="E2721" t="s">
        <v>39</v>
      </c>
    </row>
    <row r="2722" spans="1:5" x14ac:dyDescent="0.25">
      <c r="A2722" t="str">
        <f>HYPERLINK("https://www.773grp.com/globalSearch/DAC0806LCM/page-1", "DAC0806LCM")</f>
        <v>DAC0806LCM</v>
      </c>
      <c r="B2722" s="3" t="str">
        <f>HYPERLINK("https://www.773grp.com/manufacturer/national-semiconductor?pageNo=41", "National Semiconductor")</f>
        <v>National Semiconductor</v>
      </c>
      <c r="C2722" s="6">
        <v>240</v>
      </c>
      <c r="D2722" s="7">
        <v>3.89</v>
      </c>
      <c r="E2722" t="s">
        <v>33</v>
      </c>
    </row>
    <row r="2723" spans="1:5" x14ac:dyDescent="0.25">
      <c r="A2723" t="str">
        <f>HYPERLINK("https://www.773grp.com/globalSearch/DAC0806LCN/page-1", "DAC0806LCN")</f>
        <v>DAC0806LCN</v>
      </c>
      <c r="B2723" s="3" t="str">
        <f>HYPERLINK("https://www.773grp.com/manufacturer/national-semiconductor?pageNo=42", "National Semiconductor")</f>
        <v>National Semiconductor</v>
      </c>
      <c r="C2723" s="6">
        <v>545</v>
      </c>
      <c r="D2723" s="7">
        <v>3.89</v>
      </c>
      <c r="E2723" t="s">
        <v>33</v>
      </c>
    </row>
    <row r="2724" spans="1:5" x14ac:dyDescent="0.25">
      <c r="A2724" t="str">
        <f>HYPERLINK("https://www.773grp.com/globalSearch/DS36C200M/page-1", "DS36C200M")</f>
        <v>DS36C200M</v>
      </c>
      <c r="B2724" s="3" t="str">
        <f>HYPERLINK("https://www.773grp.com/manufacturer/national-semiconductor?pageNo=43", "National Semiconductor")</f>
        <v>National Semiconductor</v>
      </c>
      <c r="C2724" s="6">
        <v>399</v>
      </c>
      <c r="D2724" s="7">
        <v>3.89</v>
      </c>
      <c r="E2724" t="s">
        <v>21</v>
      </c>
    </row>
    <row r="2725" spans="1:5" x14ac:dyDescent="0.25">
      <c r="A2725" t="str">
        <f>HYPERLINK("https://www.773grp.com/globalSearch/DS90LV049QMT-NOPB/page-1", "DS90LV049QMT-NOPB")</f>
        <v>DS90LV049QMT-NOPB</v>
      </c>
      <c r="B2725" s="3" t="str">
        <f>HYPERLINK("https://www.773grp.com/manufacturer/national-semiconductor?pageNo=44", "National Semiconductor")</f>
        <v>National Semiconductor</v>
      </c>
      <c r="C2725" s="6">
        <v>130</v>
      </c>
      <c r="D2725" s="7">
        <v>3.89</v>
      </c>
    </row>
    <row r="2726" spans="1:5" x14ac:dyDescent="0.25">
      <c r="A2726" t="str">
        <f>HYPERLINK("https://www.773grp.com/globalSearch/LM25061PMME-2-NOPB/page-1", "LM25061PMME-2-NOPB")</f>
        <v>LM25061PMME-2-NOPB</v>
      </c>
      <c r="B2726" s="3" t="str">
        <f>HYPERLINK("https://www.773grp.com/manufacturer/national-semiconductor?pageNo=45", "National Semiconductor")</f>
        <v>National Semiconductor</v>
      </c>
      <c r="C2726" s="6">
        <v>250</v>
      </c>
      <c r="D2726" s="7">
        <v>3.89</v>
      </c>
    </row>
    <row r="2727" spans="1:5" x14ac:dyDescent="0.25">
      <c r="A2727" t="str">
        <f>HYPERLINK("https://www.773grp.com/globalSearch/LM3421MH-NOPB/page-1", "LM3421MH-NOPB")</f>
        <v>LM3421MH-NOPB</v>
      </c>
      <c r="B2727" s="3" t="str">
        <f>HYPERLINK("https://www.773grp.com/manufacturer/national-semiconductor?pageNo=46", "National Semiconductor")</f>
        <v>National Semiconductor</v>
      </c>
      <c r="C2727" s="6">
        <v>10819</v>
      </c>
      <c r="D2727" s="7">
        <v>3.89</v>
      </c>
    </row>
    <row r="2728" spans="1:5" x14ac:dyDescent="0.25">
      <c r="A2728" t="str">
        <f>HYPERLINK("https://www.773grp.com/globalSearch/LM34910CSDE/page-1", "LM34910CSDE")</f>
        <v>LM34910CSDE</v>
      </c>
      <c r="B2728" s="3" t="str">
        <f>HYPERLINK("https://www.773grp.com/manufacturer/national-semiconductor?pageNo=47", "National Semiconductor")</f>
        <v>National Semiconductor</v>
      </c>
      <c r="C2728" s="6">
        <v>250</v>
      </c>
      <c r="D2728" s="7">
        <v>3.89</v>
      </c>
      <c r="E2728" t="s">
        <v>7</v>
      </c>
    </row>
    <row r="2729" spans="1:5" x14ac:dyDescent="0.25">
      <c r="A2729" t="str">
        <f>HYPERLINK("https://www.773grp.com/globalSearch/LM4041CIM-1.2/page-1", "LM4041CIM-1.2")</f>
        <v>LM4041CIM-1.2</v>
      </c>
      <c r="B2729" s="3" t="str">
        <f>HYPERLINK("https://www.773grp.com/manufacturer/national-semiconductor?pageNo=48", "National Semiconductor")</f>
        <v>National Semiconductor</v>
      </c>
      <c r="C2729" s="6">
        <v>9893</v>
      </c>
      <c r="D2729" s="7">
        <v>3.89</v>
      </c>
      <c r="E2729" t="s">
        <v>17</v>
      </c>
    </row>
    <row r="2730" spans="1:5" x14ac:dyDescent="0.25">
      <c r="A2730" t="str">
        <f>HYPERLINK("https://www.773grp.com/globalSearch/LM4041CIMADJ/page-1", "LM4041CIMADJ")</f>
        <v>LM4041CIMADJ</v>
      </c>
      <c r="B2730" s="3" t="str">
        <f>HYPERLINK("https://www.773grp.com/manufacturer/national-semiconductor?pageNo=49", "National Semiconductor")</f>
        <v>National Semiconductor</v>
      </c>
      <c r="C2730" s="6">
        <v>3468</v>
      </c>
      <c r="D2730" s="7">
        <v>3.89</v>
      </c>
      <c r="E2730" t="s">
        <v>17</v>
      </c>
    </row>
    <row r="2731" spans="1:5" x14ac:dyDescent="0.25">
      <c r="A2731" t="str">
        <f>HYPERLINK("https://www.773grp.com/globalSearch/LMC6042IM/page-1", "LMC6042IM")</f>
        <v>LMC6042IM</v>
      </c>
      <c r="B2731" s="3" t="str">
        <f>HYPERLINK("https://www.773grp.com/manufacturer/national-semiconductor?pageNo=50", "National Semiconductor")</f>
        <v>National Semiconductor</v>
      </c>
      <c r="C2731" s="6">
        <v>755</v>
      </c>
      <c r="D2731" s="7">
        <v>3.89</v>
      </c>
      <c r="E2731" t="s">
        <v>13</v>
      </c>
    </row>
    <row r="2732" spans="1:5" x14ac:dyDescent="0.25">
      <c r="A2732" t="str">
        <f>HYPERLINK("https://www.773grp.com/globalSearch/LMC6082IMX-NOPB/page-1", "LMC6082IMX-NOPB")</f>
        <v>LMC6082IMX-NOPB</v>
      </c>
      <c r="B2732" s="3" t="str">
        <f>HYPERLINK("https://www.773grp.com/manufacturer/national-semiconductor?pageNo=51", "National Semiconductor")</f>
        <v>National Semiconductor</v>
      </c>
      <c r="C2732" s="6">
        <v>7500</v>
      </c>
      <c r="D2732" s="7">
        <v>3.89</v>
      </c>
      <c r="E2732" t="s">
        <v>13</v>
      </c>
    </row>
    <row r="2733" spans="1:5" x14ac:dyDescent="0.25">
      <c r="A2733" t="str">
        <f>HYPERLINK("https://www.773grp.com/globalSearch/LME49743MT-NOPB/page-1", "LME49743MT-NOPB")</f>
        <v>LME49743MT-NOPB</v>
      </c>
      <c r="B2733" s="3" t="str">
        <f>HYPERLINK("https://www.773grp.com/manufacturer/national-semiconductor?pageNo=52", "National Semiconductor")</f>
        <v>National Semiconductor</v>
      </c>
      <c r="C2733" s="6">
        <v>1362</v>
      </c>
      <c r="D2733" s="7">
        <v>3.89</v>
      </c>
    </row>
    <row r="2734" spans="1:5" x14ac:dyDescent="0.25">
      <c r="A2734" t="str">
        <f>HYPERLINK("https://www.773grp.com/globalSearch/LMH6720MA/page-1", "LMH6720MA")</f>
        <v>LMH6720MA</v>
      </c>
      <c r="B2734" s="3" t="str">
        <f>HYPERLINK("https://www.773grp.com/manufacturer/national-semiconductor?pageNo=53", "National Semiconductor")</f>
        <v>National Semiconductor</v>
      </c>
      <c r="C2734" s="6">
        <v>55</v>
      </c>
      <c r="D2734" s="7">
        <v>3.89</v>
      </c>
      <c r="E2734" t="s">
        <v>18</v>
      </c>
    </row>
    <row r="2735" spans="1:5" x14ac:dyDescent="0.25">
      <c r="A2735" t="str">
        <f>HYPERLINK("https://www.773grp.com/globalSearch/LMP2021MA/page-1", "LMP2021MA")</f>
        <v>LMP2021MA</v>
      </c>
      <c r="B2735" s="3" t="str">
        <f>HYPERLINK("https://www.773grp.com/manufacturer/national-semiconductor?pageNo=54", "National Semiconductor")</f>
        <v>National Semiconductor</v>
      </c>
      <c r="C2735" s="6">
        <v>215</v>
      </c>
      <c r="D2735" s="7">
        <v>3.89</v>
      </c>
      <c r="E2735" t="s">
        <v>13</v>
      </c>
    </row>
    <row r="2736" spans="1:5" x14ac:dyDescent="0.25">
      <c r="A2736" t="str">
        <f>HYPERLINK("https://www.773grp.com/globalSearch/LMP8270MA-NOPB/page-1", "LMP8270MA-NOPB")</f>
        <v>LMP8270MA-NOPB</v>
      </c>
      <c r="B2736" s="3" t="str">
        <f>HYPERLINK("https://www.773grp.com/manufacturer/national-semiconductor?pageNo=55", "National Semiconductor")</f>
        <v>National Semiconductor</v>
      </c>
      <c r="C2736" s="6">
        <v>1102</v>
      </c>
      <c r="D2736" s="7">
        <v>3.89</v>
      </c>
      <c r="E2736" t="s">
        <v>13</v>
      </c>
    </row>
    <row r="2737" spans="1:5" x14ac:dyDescent="0.25">
      <c r="A2737" t="str">
        <f>HYPERLINK("https://www.773grp.com/globalSearch/LMP8270MAX-E7001108/page-1", "LMP8270MAX-E7001108")</f>
        <v>LMP8270MAX-E7001108</v>
      </c>
      <c r="B2737" s="3" t="str">
        <f>HYPERLINK("https://www.773grp.com/manufacturer/national-semiconductor?pageNo=56", "National Semiconductor")</f>
        <v>National Semiconductor</v>
      </c>
      <c r="C2737" s="6">
        <v>7200</v>
      </c>
      <c r="D2737" s="7">
        <v>3.89</v>
      </c>
    </row>
    <row r="2738" spans="1:5" x14ac:dyDescent="0.25">
      <c r="A2738" t="str">
        <f>HYPERLINK("https://www.773grp.com/globalSearch/LMS202CMWX/page-1", "LMS202CMWX")</f>
        <v>LMS202CMWX</v>
      </c>
      <c r="B2738" s="3" t="str">
        <f>HYPERLINK("https://www.773grp.com/manufacturer/national-semiconductor?pageNo=57", "National Semiconductor")</f>
        <v>National Semiconductor</v>
      </c>
      <c r="C2738" s="6">
        <v>260</v>
      </c>
      <c r="D2738" s="7">
        <v>3.89</v>
      </c>
      <c r="E2738" t="s">
        <v>21</v>
      </c>
    </row>
    <row r="2739" spans="1:5" x14ac:dyDescent="0.25">
      <c r="A2739" t="str">
        <f>HYPERLINK("https://www.773grp.com/globalSearch/LMV1099TL-NOPB/page-1", "LMV1099TL-NOPB")</f>
        <v>LMV1099TL-NOPB</v>
      </c>
      <c r="B2739" s="3" t="str">
        <f>HYPERLINK("https://www.773grp.com/manufacturer/national-semiconductor?pageNo=58", "National Semiconductor")</f>
        <v>National Semiconductor</v>
      </c>
      <c r="C2739" s="6">
        <v>10399</v>
      </c>
      <c r="D2739" s="7">
        <v>3.89</v>
      </c>
    </row>
    <row r="2740" spans="1:5" x14ac:dyDescent="0.25">
      <c r="A2740" t="str">
        <f>HYPERLINK("https://www.773grp.com/globalSearch/LMV7219M5/page-1", "LMV7219M5")</f>
        <v>LMV7219M5</v>
      </c>
      <c r="B2740" s="3" t="str">
        <f>HYPERLINK("https://www.773grp.com/manufacturer/national-semiconductor?pageNo=59", "National Semiconductor")</f>
        <v>National Semiconductor</v>
      </c>
      <c r="C2740" s="6">
        <v>4850</v>
      </c>
      <c r="D2740" s="7">
        <v>3.89</v>
      </c>
      <c r="E2740" t="s">
        <v>9</v>
      </c>
    </row>
    <row r="2741" spans="1:5" x14ac:dyDescent="0.25">
      <c r="A2741" t="str">
        <f>HYPERLINK("https://www.773grp.com/globalSearch/LMV842MA-NOPB/page-1", "LMV842MA-NOPB")</f>
        <v>LMV842MA-NOPB</v>
      </c>
      <c r="B2741" s="3" t="str">
        <f>HYPERLINK("https://www.773grp.com/manufacturer/national-semiconductor?pageNo=60", "National Semiconductor")</f>
        <v>National Semiconductor</v>
      </c>
      <c r="C2741" s="6">
        <v>66870</v>
      </c>
      <c r="D2741" s="7">
        <v>3.89</v>
      </c>
    </row>
    <row r="2742" spans="1:5" x14ac:dyDescent="0.25">
      <c r="A2742" t="str">
        <f>HYPERLINK("https://www.773grp.com/globalSearch/LMV854MT-NOPB/page-1", "LMV854MT-NOPB")</f>
        <v>LMV854MT-NOPB</v>
      </c>
      <c r="B2742" s="3" t="str">
        <f>HYPERLINK("https://www.773grp.com/manufacturer/national-semiconductor?pageNo=61", "National Semiconductor")</f>
        <v>National Semiconductor</v>
      </c>
      <c r="C2742" s="6">
        <v>320</v>
      </c>
      <c r="D2742" s="7">
        <v>3.89</v>
      </c>
      <c r="E2742" t="s">
        <v>13</v>
      </c>
    </row>
    <row r="2743" spans="1:5" x14ac:dyDescent="0.25">
      <c r="A2743" t="str">
        <f>HYPERLINK("https://www.773grp.com/globalSearch/LMX2332USLEX/page-1", "LMX2332USLEX")</f>
        <v>LMX2332USLEX</v>
      </c>
      <c r="B2743" s="3" t="str">
        <f>HYPERLINK("https://www.773grp.com/manufacturer/national-semiconductor?pageNo=62", "National Semiconductor")</f>
        <v>National Semiconductor</v>
      </c>
      <c r="C2743" s="6">
        <v>12490</v>
      </c>
      <c r="D2743" s="7">
        <v>3.89</v>
      </c>
      <c r="E2743" t="s">
        <v>38</v>
      </c>
    </row>
    <row r="2744" spans="1:5" x14ac:dyDescent="0.25">
      <c r="A2744" t="str">
        <f>HYPERLINK("https://www.773grp.com/globalSearch/LP2957IS-NOPB/page-1", "LP2957IS-NOPB")</f>
        <v>LP2957IS-NOPB</v>
      </c>
      <c r="B2744" s="3" t="str">
        <f>HYPERLINK("https://www.773grp.com/manufacturer/national-semiconductor?pageNo=63", "National Semiconductor")</f>
        <v>National Semiconductor</v>
      </c>
      <c r="C2744" s="6">
        <v>823</v>
      </c>
      <c r="D2744" s="7">
        <v>3.89</v>
      </c>
      <c r="E2744" t="s">
        <v>19</v>
      </c>
    </row>
    <row r="2745" spans="1:5" x14ac:dyDescent="0.25">
      <c r="A2745" t="str">
        <f>HYPERLINK("https://www.773grp.com/globalSearch/LP2967IBP-2528/page-1", "LP2967IBP-2528")</f>
        <v>LP2967IBP-2528</v>
      </c>
      <c r="B2745" s="3" t="str">
        <f>HYPERLINK("https://www.773grp.com/manufacturer/national-semiconductor?pageNo=64", "National Semiconductor")</f>
        <v>National Semiconductor</v>
      </c>
      <c r="C2745" s="6">
        <v>4250</v>
      </c>
      <c r="D2745" s="7">
        <v>3.89</v>
      </c>
      <c r="E2745" t="s">
        <v>44</v>
      </c>
    </row>
    <row r="2746" spans="1:5" x14ac:dyDescent="0.25">
      <c r="A2746" t="str">
        <f>HYPERLINK("https://www.773grp.com/globalSearch/LP2967IBP-2533/page-1", "LP2967IBP-2533")</f>
        <v>LP2967IBP-2533</v>
      </c>
      <c r="B2746" s="3" t="str">
        <f>HYPERLINK("https://www.773grp.com/manufacturer/national-semiconductor?pageNo=65", "National Semiconductor")</f>
        <v>National Semiconductor</v>
      </c>
      <c r="C2746" s="6">
        <v>500</v>
      </c>
      <c r="D2746" s="7">
        <v>3.89</v>
      </c>
      <c r="E2746" t="s">
        <v>44</v>
      </c>
    </row>
    <row r="2747" spans="1:5" x14ac:dyDescent="0.25">
      <c r="A2747" t="str">
        <f>HYPERLINK("https://www.773grp.com/globalSearch/LP2967IBP-2626/page-1", "LP2967IBP-2626")</f>
        <v>LP2967IBP-2626</v>
      </c>
      <c r="B2747" s="3" t="str">
        <f>HYPERLINK("https://www.773grp.com/manufacturer/national-semiconductor?pageNo=66", "National Semiconductor")</f>
        <v>National Semiconductor</v>
      </c>
      <c r="C2747" s="6">
        <v>250</v>
      </c>
      <c r="D2747" s="7">
        <v>3.89</v>
      </c>
      <c r="E2747" t="s">
        <v>44</v>
      </c>
    </row>
    <row r="2748" spans="1:5" x14ac:dyDescent="0.25">
      <c r="A2748" t="str">
        <f>HYPERLINK("https://www.773grp.com/globalSearch/LP3872ESX-1.8-NOPB/page-1", "LP3872ESX-1.8-NOPB")</f>
        <v>LP3872ESX-1.8-NOPB</v>
      </c>
      <c r="B2748" s="3" t="str">
        <f>HYPERLINK("https://www.773grp.com/manufacturer/national-semiconductor?pageNo=67", "National Semiconductor")</f>
        <v>National Semiconductor</v>
      </c>
      <c r="C2748" s="6">
        <v>500</v>
      </c>
      <c r="D2748" s="7">
        <v>3.89</v>
      </c>
      <c r="E2748" t="s">
        <v>19</v>
      </c>
    </row>
    <row r="2749" spans="1:5" x14ac:dyDescent="0.25">
      <c r="A2749" t="str">
        <f>HYPERLINK("https://www.773grp.com/globalSearch/LP3872ESX-3.3-NOPB/page-1", "LP3872ESX-3.3-NOPB")</f>
        <v>LP3872ESX-3.3-NOPB</v>
      </c>
      <c r="B2749" s="3" t="str">
        <f>HYPERLINK("https://www.773grp.com/manufacturer/national-semiconductor?pageNo=68", "National Semiconductor")</f>
        <v>National Semiconductor</v>
      </c>
      <c r="C2749" s="6">
        <v>685</v>
      </c>
      <c r="D2749" s="7">
        <v>3.89</v>
      </c>
      <c r="E2749" t="s">
        <v>19</v>
      </c>
    </row>
    <row r="2750" spans="1:5" x14ac:dyDescent="0.25">
      <c r="A2750" t="str">
        <f>HYPERLINK("https://www.773grp.com/globalSearch/LP3872ESX-5.0-NOPB/page-1", "LP3872ESX-5.0-NOPB")</f>
        <v>LP3872ESX-5.0-NOPB</v>
      </c>
      <c r="B2750" s="3" t="str">
        <f>HYPERLINK("https://www.773grp.com/manufacturer/national-semiconductor?pageNo=69", "National Semiconductor")</f>
        <v>National Semiconductor</v>
      </c>
      <c r="C2750" s="6">
        <v>10000</v>
      </c>
      <c r="D2750" s="7">
        <v>3.89</v>
      </c>
      <c r="E2750" t="s">
        <v>19</v>
      </c>
    </row>
    <row r="2751" spans="1:5" x14ac:dyDescent="0.25">
      <c r="A2751" t="str">
        <f>HYPERLINK("https://www.773grp.com/globalSearch/LP3872ET-3.3/page-1", "LP3872ET-3.3")</f>
        <v>LP3872ET-3.3</v>
      </c>
      <c r="B2751" s="3" t="str">
        <f>HYPERLINK("https://www.773grp.com/manufacturer/national-semiconductor?pageNo=70", "National Semiconductor")</f>
        <v>National Semiconductor</v>
      </c>
      <c r="C2751" s="6">
        <v>42</v>
      </c>
      <c r="D2751" s="7">
        <v>3.89</v>
      </c>
      <c r="E2751" t="s">
        <v>19</v>
      </c>
    </row>
    <row r="2752" spans="1:5" x14ac:dyDescent="0.25">
      <c r="A2752" t="str">
        <f>HYPERLINK("https://www.773grp.com/globalSearch/LP3875ESX-2.5/page-1", "LP3875ESX-2.5")</f>
        <v>LP3875ESX-2.5</v>
      </c>
      <c r="B2752" s="3" t="str">
        <f>HYPERLINK("https://www.773grp.com/manufacturer/national-semiconductor?pageNo=71", "National Semiconductor")</f>
        <v>National Semiconductor</v>
      </c>
      <c r="C2752" s="6">
        <v>1496</v>
      </c>
      <c r="D2752" s="7">
        <v>3.89</v>
      </c>
      <c r="E2752" t="s">
        <v>19</v>
      </c>
    </row>
    <row r="2753" spans="1:5" x14ac:dyDescent="0.25">
      <c r="A2753" t="str">
        <f>HYPERLINK("https://www.773grp.com/globalSearch/LP3875ESX-3.3-NOPB/page-1", "LP3875ESX-3.3-NOPB")</f>
        <v>LP3875ESX-3.3-NOPB</v>
      </c>
      <c r="B2753" s="3" t="str">
        <f>HYPERLINK("https://www.773grp.com/manufacturer/national-semiconductor?pageNo=72", "National Semiconductor")</f>
        <v>National Semiconductor</v>
      </c>
      <c r="C2753" s="6">
        <v>1000</v>
      </c>
      <c r="D2753" s="7">
        <v>3.89</v>
      </c>
      <c r="E2753" t="s">
        <v>19</v>
      </c>
    </row>
    <row r="2754" spans="1:5" x14ac:dyDescent="0.25">
      <c r="A2754" t="str">
        <f>HYPERLINK("https://www.773grp.com/globalSearch/LP3875ET-1.8/page-1", "LP3875ET-1.8")</f>
        <v>LP3875ET-1.8</v>
      </c>
      <c r="B2754" s="3" t="str">
        <f>HYPERLINK("https://www.773grp.com/manufacturer/national-semiconductor?pageNo=73", "National Semiconductor")</f>
        <v>National Semiconductor</v>
      </c>
      <c r="C2754" s="6">
        <v>202</v>
      </c>
      <c r="D2754" s="7">
        <v>3.89</v>
      </c>
      <c r="E2754" t="s">
        <v>19</v>
      </c>
    </row>
    <row r="2755" spans="1:5" x14ac:dyDescent="0.25">
      <c r="A2755" t="str">
        <f>HYPERLINK("https://www.773grp.com/globalSearch/LP3875ET-3.3-NOPB/page-1", "LP3875ET-3.3-NOPB")</f>
        <v>LP3875ET-3.3-NOPB</v>
      </c>
      <c r="B2755" s="3" t="str">
        <f>HYPERLINK("https://www.773grp.com/manufacturer/national-semiconductor?pageNo=74", "National Semiconductor")</f>
        <v>National Semiconductor</v>
      </c>
      <c r="C2755" s="6">
        <v>285</v>
      </c>
      <c r="D2755" s="7">
        <v>3.89</v>
      </c>
      <c r="E2755" t="s">
        <v>19</v>
      </c>
    </row>
    <row r="2756" spans="1:5" x14ac:dyDescent="0.25">
      <c r="A2756" t="str">
        <f>HYPERLINK("https://www.773grp.com/globalSearch/LP3875ET-5.0/page-1", "LP3875ET-5.0")</f>
        <v>LP3875ET-5.0</v>
      </c>
      <c r="B2756" s="3" t="str">
        <f>HYPERLINK("https://www.773grp.com/manufacturer/national-semiconductor?pageNo=75", "National Semiconductor")</f>
        <v>National Semiconductor</v>
      </c>
      <c r="C2756" s="6">
        <v>19</v>
      </c>
      <c r="D2756" s="7">
        <v>3.89</v>
      </c>
      <c r="E2756" t="s">
        <v>19</v>
      </c>
    </row>
    <row r="2757" spans="1:5" x14ac:dyDescent="0.25">
      <c r="A2757" t="str">
        <f>HYPERLINK("https://www.773grp.com/globalSearch/LP3875ET-5.0-NOPB/page-1", "LP3875ET-5.0-NOPB")</f>
        <v>LP3875ET-5.0-NOPB</v>
      </c>
      <c r="B2757" s="3" t="str">
        <f>HYPERLINK("https://www.773grp.com/manufacturer/national-semiconductor?pageNo=76", "National Semiconductor")</f>
        <v>National Semiconductor</v>
      </c>
      <c r="C2757" s="6">
        <v>4</v>
      </c>
      <c r="D2757" s="7">
        <v>3.89</v>
      </c>
      <c r="E2757" t="s">
        <v>19</v>
      </c>
    </row>
    <row r="2758" spans="1:5" x14ac:dyDescent="0.25">
      <c r="A2758" t="str">
        <f>HYPERLINK("https://www.773grp.com/globalSearch/LP3928TL-1828/page-1", "LP3928TL-1828")</f>
        <v>LP3928TL-1828</v>
      </c>
      <c r="B2758" s="3" t="str">
        <f>HYPERLINK("https://www.773grp.com/manufacturer/national-semiconductor?pageNo=77", "National Semiconductor")</f>
        <v>National Semiconductor</v>
      </c>
      <c r="C2758" s="6">
        <v>250</v>
      </c>
      <c r="D2758" s="7">
        <v>3.89</v>
      </c>
      <c r="E2758" t="s">
        <v>40</v>
      </c>
    </row>
    <row r="2759" spans="1:5" x14ac:dyDescent="0.25">
      <c r="A2759" t="str">
        <f>HYPERLINK("https://www.773grp.com/globalSearch/LP3965ESX-1.8-NOPB/page-1", "LP3965ESX-1.8-NOPB")</f>
        <v>LP3965ESX-1.8-NOPB</v>
      </c>
      <c r="B2759" s="3" t="str">
        <f>HYPERLINK("https://www.773grp.com/manufacturer/national-semiconductor?pageNo=78", "National Semiconductor")</f>
        <v>National Semiconductor</v>
      </c>
      <c r="C2759" s="6">
        <v>500</v>
      </c>
      <c r="D2759" s="7">
        <v>3.89</v>
      </c>
      <c r="E2759" t="s">
        <v>19</v>
      </c>
    </row>
    <row r="2760" spans="1:5" x14ac:dyDescent="0.25">
      <c r="A2760" t="str">
        <f>HYPERLINK("https://www.773grp.com/globalSearch/LP3965ESX-2.5-NOPB/page-1", "LP3965ESX-2.5-NOPB")</f>
        <v>LP3965ESX-2.5-NOPB</v>
      </c>
      <c r="B2760" s="3" t="str">
        <f>HYPERLINK("https://www.773grp.com/manufacturer/national-semiconductor?pageNo=79", "National Semiconductor")</f>
        <v>National Semiconductor</v>
      </c>
      <c r="C2760" s="6">
        <v>1500</v>
      </c>
      <c r="D2760" s="7">
        <v>3.89</v>
      </c>
      <c r="E2760" t="s">
        <v>19</v>
      </c>
    </row>
    <row r="2761" spans="1:5" x14ac:dyDescent="0.25">
      <c r="A2761" t="str">
        <f>HYPERLINK("https://www.773grp.com/globalSearch/LP3965ESX-3.3-NOPB/page-1", "LP3965ESX-3.3-NOPB")</f>
        <v>LP3965ESX-3.3-NOPB</v>
      </c>
      <c r="B2761" s="3" t="str">
        <f>HYPERLINK("https://www.773grp.com/manufacturer/national-semiconductor?pageNo=80", "National Semiconductor")</f>
        <v>National Semiconductor</v>
      </c>
      <c r="C2761" s="6">
        <v>1000</v>
      </c>
      <c r="D2761" s="7">
        <v>3.89</v>
      </c>
      <c r="E2761" t="s">
        <v>19</v>
      </c>
    </row>
    <row r="2762" spans="1:5" x14ac:dyDescent="0.25">
      <c r="A2762" t="str">
        <f>HYPERLINK("https://www.773grp.com/globalSearch/LP3965ESX-ADJ-NOPB/page-1", "LP3965ESX-ADJ-NOPB")</f>
        <v>LP3965ESX-ADJ-NOPB</v>
      </c>
      <c r="B2762" s="3" t="str">
        <f>HYPERLINK("https://www.773grp.com/manufacturer/national-semiconductor?pageNo=81", "National Semiconductor")</f>
        <v>National Semiconductor</v>
      </c>
      <c r="C2762" s="6">
        <v>1701</v>
      </c>
      <c r="D2762" s="7">
        <v>3.89</v>
      </c>
      <c r="E2762" t="s">
        <v>25</v>
      </c>
    </row>
    <row r="2763" spans="1:5" x14ac:dyDescent="0.25">
      <c r="A2763" t="str">
        <f>HYPERLINK("https://www.773grp.com/globalSearch/LP3965ET-1.8-NOPB/page-1", "LP3965ET-1.8-NOPB")</f>
        <v>LP3965ET-1.8-NOPB</v>
      </c>
      <c r="B2763" s="3" t="str">
        <f>HYPERLINK("https://www.773grp.com/manufacturer/national-semiconductor?pageNo=82", "National Semiconductor")</f>
        <v>National Semiconductor</v>
      </c>
      <c r="C2763" s="6">
        <v>616</v>
      </c>
      <c r="D2763" s="7">
        <v>3.89</v>
      </c>
      <c r="E2763" t="s">
        <v>19</v>
      </c>
    </row>
    <row r="2764" spans="1:5" x14ac:dyDescent="0.25">
      <c r="A2764" t="str">
        <f>HYPERLINK("https://www.773grp.com/globalSearch/LP3965ET-3.3-NOPB/page-1", "LP3965ET-3.3-NOPB")</f>
        <v>LP3965ET-3.3-NOPB</v>
      </c>
      <c r="B2764" s="3" t="str">
        <f>HYPERLINK("https://www.773grp.com/manufacturer/national-semiconductor?pageNo=83", "National Semiconductor")</f>
        <v>National Semiconductor</v>
      </c>
      <c r="C2764" s="6">
        <v>198</v>
      </c>
      <c r="D2764" s="7">
        <v>3.89</v>
      </c>
      <c r="E2764" t="s">
        <v>19</v>
      </c>
    </row>
    <row r="2765" spans="1:5" x14ac:dyDescent="0.25">
      <c r="A2765" t="str">
        <f>HYPERLINK("https://www.773grp.com/globalSearch/LP3965ET-ADJ-NOPB/page-1", "LP3965ET-ADJ-NOPB")</f>
        <v>LP3965ET-ADJ-NOPB</v>
      </c>
      <c r="B2765" s="3" t="str">
        <f>HYPERLINK("https://www.773grp.com/manufacturer/national-semiconductor?pageNo=84", "National Semiconductor")</f>
        <v>National Semiconductor</v>
      </c>
      <c r="C2765" s="6">
        <v>19</v>
      </c>
      <c r="D2765" s="7">
        <v>3.89</v>
      </c>
      <c r="E2765" t="s">
        <v>25</v>
      </c>
    </row>
    <row r="2766" spans="1:5" x14ac:dyDescent="0.25">
      <c r="A2766" t="str">
        <f>HYPERLINK("https://www.773grp.com/globalSearch/MM54HC11J/page-1", "MM54HC11J")</f>
        <v>MM54HC11J</v>
      </c>
      <c r="B2766" s="3" t="str">
        <f>HYPERLINK("https://www.773grp.com/manufacturer/national-semiconductor?pageNo=85", "National Semiconductor")</f>
        <v>National Semiconductor</v>
      </c>
      <c r="C2766" s="6">
        <v>263</v>
      </c>
      <c r="D2766" s="7">
        <v>3.89</v>
      </c>
      <c r="E2766" t="s">
        <v>31</v>
      </c>
    </row>
    <row r="2767" spans="1:5" x14ac:dyDescent="0.25">
      <c r="A2767" t="str">
        <f>HYPERLINK("https://www.773grp.com/globalSearch/ADC0820CCN/page-1", "ADC0820CCN")</f>
        <v>ADC0820CCN</v>
      </c>
      <c r="B2767" s="3" t="str">
        <f>HYPERLINK("https://www.773grp.com/manufacturer/national-semiconductor?pageNo=86", "National Semiconductor")</f>
        <v>National Semiconductor</v>
      </c>
      <c r="C2767" s="6">
        <v>266</v>
      </c>
      <c r="D2767" s="7">
        <v>3.89</v>
      </c>
      <c r="E2767" t="s">
        <v>39</v>
      </c>
    </row>
    <row r="2768" spans="1:5" x14ac:dyDescent="0.25">
      <c r="A2768" t="str">
        <f>HYPERLINK("https://www.773grp.com/globalSearch/DS90LV049QMT-NOPB/page-1", "DS90LV049QMT-NOPB")</f>
        <v>DS90LV049QMT-NOPB</v>
      </c>
      <c r="B2768" s="3" t="str">
        <f>HYPERLINK("https://www.773grp.com/manufacturer/national-semiconductor?pageNo=87", "National Semiconductor")</f>
        <v>National Semiconductor</v>
      </c>
      <c r="C2768" s="6">
        <v>13495</v>
      </c>
      <c r="D2768" s="7">
        <v>3.89</v>
      </c>
    </row>
    <row r="2769" spans="1:5" x14ac:dyDescent="0.25">
      <c r="A2769" t="str">
        <f>HYPERLINK("https://www.773grp.com/globalSearch/LM10504TME-NOPB/page-1", "LM10504TME-NOPB")</f>
        <v>LM10504TME-NOPB</v>
      </c>
      <c r="B2769" s="3" t="str">
        <f>HYPERLINK("https://www.773grp.com/manufacturer/national-semiconductor?pageNo=88", "National Semiconductor")</f>
        <v>National Semiconductor</v>
      </c>
      <c r="C2769" s="6">
        <v>250</v>
      </c>
      <c r="D2769" s="7">
        <v>3.89</v>
      </c>
    </row>
    <row r="2770" spans="1:5" x14ac:dyDescent="0.25">
      <c r="A2770" t="str">
        <f>HYPERLINK("https://www.773grp.com/globalSearch/LM10506TME-NOPB/page-1", "LM10506TME-NOPB")</f>
        <v>LM10506TME-NOPB</v>
      </c>
      <c r="B2770" s="3" t="str">
        <f>HYPERLINK("https://www.773grp.com/manufacturer/national-semiconductor?pageNo=89", "National Semiconductor")</f>
        <v>National Semiconductor</v>
      </c>
      <c r="C2770" s="6">
        <v>80</v>
      </c>
      <c r="D2770" s="7">
        <v>3.89</v>
      </c>
    </row>
    <row r="2771" spans="1:5" x14ac:dyDescent="0.25">
      <c r="A2771" t="str">
        <f>HYPERLINK("https://www.773grp.com/globalSearch/LM3421MH-NOPB/page-1", "LM3421MH-NOPB")</f>
        <v>LM3421MH-NOPB</v>
      </c>
      <c r="B2771" s="3" t="str">
        <f>HYPERLINK("https://www.773grp.com/manufacturer/national-semiconductor?pageNo=90", "National Semiconductor")</f>
        <v>National Semiconductor</v>
      </c>
      <c r="C2771" s="6">
        <v>115</v>
      </c>
      <c r="D2771" s="7">
        <v>3.89</v>
      </c>
    </row>
    <row r="2772" spans="1:5" x14ac:dyDescent="0.25">
      <c r="A2772" t="str">
        <f>HYPERLINK("https://www.773grp.com/globalSearch/LM34919TL-NOPB/page-1", "LM34919TL-NOPB")</f>
        <v>LM34919TL-NOPB</v>
      </c>
      <c r="B2772" s="3" t="str">
        <f>HYPERLINK("https://www.773grp.com/manufacturer/national-semiconductor?pageNo=91", "National Semiconductor")</f>
        <v>National Semiconductor</v>
      </c>
      <c r="C2772" s="6">
        <v>1000</v>
      </c>
      <c r="D2772" s="7">
        <v>3.89</v>
      </c>
    </row>
    <row r="2773" spans="1:5" x14ac:dyDescent="0.25">
      <c r="A2773" t="str">
        <f>HYPERLINK("https://www.773grp.com/globalSearch/LME49743MT-NOPB/page-1", "LME49743MT-NOPB")</f>
        <v>LME49743MT-NOPB</v>
      </c>
      <c r="B2773" s="3" t="str">
        <f>HYPERLINK("https://www.773grp.com/manufacturer/national-semiconductor?pageNo=92", "National Semiconductor")</f>
        <v>National Semiconductor</v>
      </c>
      <c r="C2773" s="6">
        <v>784</v>
      </c>
      <c r="D2773" s="7">
        <v>3.89</v>
      </c>
    </row>
    <row r="2774" spans="1:5" x14ac:dyDescent="0.25">
      <c r="A2774" t="str">
        <f>HYPERLINK("https://www.773grp.com/globalSearch/LME49990MA-NOPB/page-1", "LME49990MA-NOPB")</f>
        <v>LME49990MA-NOPB</v>
      </c>
      <c r="B2774" s="3" t="str">
        <f>HYPERLINK("https://www.773grp.com/manufacturer/national-semiconductor?pageNo=93", "National Semiconductor")</f>
        <v>National Semiconductor</v>
      </c>
      <c r="C2774" s="6">
        <v>1787</v>
      </c>
      <c r="D2774" s="7">
        <v>3.89</v>
      </c>
    </row>
    <row r="2775" spans="1:5" x14ac:dyDescent="0.25">
      <c r="A2775" t="str">
        <f>HYPERLINK("https://www.773grp.com/globalSearch/LMH6720MA/page-1", "LMH6720MA")</f>
        <v>LMH6720MA</v>
      </c>
      <c r="B2775" s="3" t="str">
        <f>HYPERLINK("https://www.773grp.com/manufacturer/national-semiconductor?pageNo=94", "National Semiconductor")</f>
        <v>National Semiconductor</v>
      </c>
      <c r="C2775" s="6">
        <v>280</v>
      </c>
      <c r="D2775" s="7">
        <v>3.89</v>
      </c>
      <c r="E2775" t="s">
        <v>18</v>
      </c>
    </row>
    <row r="2776" spans="1:5" x14ac:dyDescent="0.25">
      <c r="A2776" t="str">
        <f>HYPERLINK("https://www.773grp.com/globalSearch/LMV1099TL-NOPB/page-1", "LMV1099TL-NOPB")</f>
        <v>LMV1099TL-NOPB</v>
      </c>
      <c r="B2776" s="3" t="str">
        <f>HYPERLINK("https://www.773grp.com/manufacturer/national-semiconductor?pageNo=95", "National Semiconductor")</f>
        <v>National Semiconductor</v>
      </c>
      <c r="C2776" s="6">
        <v>500</v>
      </c>
      <c r="D2776" s="7">
        <v>3.89</v>
      </c>
    </row>
    <row r="2777" spans="1:5" x14ac:dyDescent="0.25">
      <c r="A2777" t="str">
        <f>HYPERLINK("https://www.773grp.com/globalSearch/LMV7219M5/page-1", "LMV7219M5")</f>
        <v>LMV7219M5</v>
      </c>
      <c r="B2777" s="3" t="str">
        <f>HYPERLINK("https://www.773grp.com/manufacturer/national-semiconductor?pageNo=96", "National Semiconductor")</f>
        <v>National Semiconductor</v>
      </c>
      <c r="C2777" s="6">
        <v>56000</v>
      </c>
      <c r="D2777" s="7">
        <v>3.89</v>
      </c>
      <c r="E2777" t="s">
        <v>9</v>
      </c>
    </row>
    <row r="2778" spans="1:5" x14ac:dyDescent="0.25">
      <c r="A2778" t="str">
        <f>HYPERLINK("https://www.773grp.com/globalSearch/LMV7219M7/page-1", "LMV7219M7")</f>
        <v>LMV7219M7</v>
      </c>
      <c r="B2778" s="3" t="str">
        <f>HYPERLINK("https://www.773grp.com/manufacturer/national-semiconductor?pageNo=97", "National Semiconductor")</f>
        <v>National Semiconductor</v>
      </c>
      <c r="C2778" s="6">
        <v>4800</v>
      </c>
      <c r="D2778" s="7">
        <v>3.89</v>
      </c>
    </row>
    <row r="2779" spans="1:5" x14ac:dyDescent="0.25">
      <c r="A2779" t="str">
        <f>HYPERLINK("https://www.773grp.com/globalSearch/LMV7219M7X/page-1", "LMV7219M7X")</f>
        <v>LMV7219M7X</v>
      </c>
      <c r="B2779" s="3" t="str">
        <f>HYPERLINK("https://www.773grp.com/manufacturer/national-semiconductor?pageNo=98", "National Semiconductor")</f>
        <v>National Semiconductor</v>
      </c>
      <c r="C2779" s="6">
        <v>12000</v>
      </c>
      <c r="D2779" s="7">
        <v>3.89</v>
      </c>
    </row>
    <row r="2780" spans="1:5" x14ac:dyDescent="0.25">
      <c r="A2780" t="str">
        <f>HYPERLINK("https://www.773grp.com/globalSearch/LMV842MA-NOPB/page-1", "LMV842MA-NOPB")</f>
        <v>LMV842MA-NOPB</v>
      </c>
      <c r="B2780" s="3" t="str">
        <f>HYPERLINK("https://www.773grp.com/manufacturer/national-semiconductor?pageNo=99", "National Semiconductor")</f>
        <v>National Semiconductor</v>
      </c>
      <c r="C2780" s="6">
        <v>515</v>
      </c>
      <c r="D2780" s="7">
        <v>3.89</v>
      </c>
    </row>
    <row r="2781" spans="1:5" x14ac:dyDescent="0.25">
      <c r="A2781" t="str">
        <f>HYPERLINK("https://www.773grp.com/globalSearch/LMV854MT-NOPB/page-1", "LMV854MT-NOPB")</f>
        <v>LMV854MT-NOPB</v>
      </c>
      <c r="B2781" s="3" t="str">
        <f>HYPERLINK("https://www.773grp.com/manufacturer/national-semiconductor?pageNo=100", "National Semiconductor")</f>
        <v>National Semiconductor</v>
      </c>
      <c r="C2781" s="6">
        <v>245</v>
      </c>
      <c r="D2781" s="7">
        <v>3.89</v>
      </c>
      <c r="E2781" t="s">
        <v>13</v>
      </c>
    </row>
    <row r="2782" spans="1:5" x14ac:dyDescent="0.25">
      <c r="A2782" t="str">
        <f>HYPERLINK("https://www.773grp.com/globalSearch/LP2957IS-NOPB/page-1", "LP2957IS-NOPB")</f>
        <v>LP2957IS-NOPB</v>
      </c>
      <c r="B2782" s="3" t="str">
        <f>HYPERLINK("https://www.773grp.com/manufacturer/national-semiconductor?pageNo=101", "National Semiconductor")</f>
        <v>National Semiconductor</v>
      </c>
      <c r="C2782" s="6">
        <v>1492</v>
      </c>
      <c r="D2782" s="7">
        <v>3.89</v>
      </c>
      <c r="E2782" t="s">
        <v>19</v>
      </c>
    </row>
    <row r="2783" spans="1:5" x14ac:dyDescent="0.25">
      <c r="A2783" t="str">
        <f>HYPERLINK("https://www.773grp.com/globalSearch/LP3872ESX-1.8-NOPB/page-1", "LP3872ESX-1.8-NOPB")</f>
        <v>LP3872ESX-1.8-NOPB</v>
      </c>
      <c r="B2783" s="3" t="str">
        <f>HYPERLINK("https://www.773grp.com/manufacturer/national-semiconductor?pageNo=102", "National Semiconductor")</f>
        <v>National Semiconductor</v>
      </c>
      <c r="C2783" s="6">
        <v>3000</v>
      </c>
      <c r="D2783" s="7">
        <v>3.89</v>
      </c>
      <c r="E2783" t="s">
        <v>19</v>
      </c>
    </row>
    <row r="2784" spans="1:5" x14ac:dyDescent="0.25">
      <c r="A2784" t="str">
        <f>HYPERLINK("https://www.773grp.com/globalSearch/LP3872ESX-5.0-NOPB/page-1", "LP3872ESX-5.0-NOPB")</f>
        <v>LP3872ESX-5.0-NOPB</v>
      </c>
      <c r="B2784" s="3" t="str">
        <f>HYPERLINK("https://www.773grp.com/manufacturer/national-semiconductor?pageNo=103", "National Semiconductor")</f>
        <v>National Semiconductor</v>
      </c>
      <c r="C2784" s="6">
        <v>500</v>
      </c>
      <c r="D2784" s="7">
        <v>3.89</v>
      </c>
      <c r="E2784" t="s">
        <v>19</v>
      </c>
    </row>
    <row r="2785" spans="1:5" x14ac:dyDescent="0.25">
      <c r="A2785" t="str">
        <f>HYPERLINK("https://www.773grp.com/globalSearch/LP3875ESX-1.8-NOPB/page-1", "LP3875ESX-1.8-NOPB")</f>
        <v>LP3875ESX-1.8-NOPB</v>
      </c>
      <c r="B2785" s="3" t="str">
        <f>HYPERLINK("https://www.773grp.com/manufacturer/national-semiconductor?pageNo=104", "National Semiconductor")</f>
        <v>National Semiconductor</v>
      </c>
      <c r="C2785" s="6">
        <v>500</v>
      </c>
      <c r="D2785" s="7">
        <v>3.89</v>
      </c>
    </row>
    <row r="2786" spans="1:5" x14ac:dyDescent="0.25">
      <c r="A2786" t="str">
        <f>HYPERLINK("https://www.773grp.com/globalSearch/LP3875ESX-3.3-NOPB/page-1", "LP3875ESX-3.3-NOPB")</f>
        <v>LP3875ESX-3.3-NOPB</v>
      </c>
      <c r="B2786" s="3" t="str">
        <f>HYPERLINK("https://www.773grp.com/manufacturer/national-semiconductor?pageNo=105", "National Semiconductor")</f>
        <v>National Semiconductor</v>
      </c>
      <c r="C2786" s="6">
        <v>500</v>
      </c>
      <c r="D2786" s="7">
        <v>3.89</v>
      </c>
      <c r="E2786" t="s">
        <v>19</v>
      </c>
    </row>
    <row r="2787" spans="1:5" x14ac:dyDescent="0.25">
      <c r="A2787" t="str">
        <f>HYPERLINK("https://www.773grp.com/globalSearch/LP3875ESX-ADJ-NOPB/page-1", "LP3875ESX-ADJ-NOPB")</f>
        <v>LP3875ESX-ADJ-NOPB</v>
      </c>
      <c r="B2787" s="3" t="str">
        <f>HYPERLINK("https://www.773grp.com/manufacturer/national-semiconductor?pageNo=106", "National Semiconductor")</f>
        <v>National Semiconductor</v>
      </c>
      <c r="C2787" s="6">
        <v>500</v>
      </c>
      <c r="D2787" s="7">
        <v>3.89</v>
      </c>
    </row>
    <row r="2788" spans="1:5" x14ac:dyDescent="0.25">
      <c r="A2788" t="str">
        <f>HYPERLINK("https://www.773grp.com/globalSearch/LP3965ESX-2.5-NOPB/page-1", "LP3965ESX-2.5-NOPB")</f>
        <v>LP3965ESX-2.5-NOPB</v>
      </c>
      <c r="B2788" s="3" t="str">
        <f>HYPERLINK("https://www.773grp.com/manufacturer/national-semiconductor?pageNo=107", "National Semiconductor")</f>
        <v>National Semiconductor</v>
      </c>
      <c r="C2788" s="6">
        <v>500</v>
      </c>
      <c r="D2788" s="7">
        <v>3.89</v>
      </c>
      <c r="E2788" t="s">
        <v>19</v>
      </c>
    </row>
    <row r="2789" spans="1:5" x14ac:dyDescent="0.25">
      <c r="A2789" t="str">
        <f>HYPERLINK("https://www.773grp.com/globalSearch/LP3965ESX-3.3-NOPB/page-1", "LP3965ESX-3.3-NOPB")</f>
        <v>LP3965ESX-3.3-NOPB</v>
      </c>
      <c r="B2789" s="3" t="str">
        <f>HYPERLINK("https://www.773grp.com/manufacturer/national-semiconductor?pageNo=108", "National Semiconductor")</f>
        <v>National Semiconductor</v>
      </c>
      <c r="C2789" s="6">
        <v>500</v>
      </c>
      <c r="D2789" s="7">
        <v>3.89</v>
      </c>
      <c r="E2789" t="s">
        <v>19</v>
      </c>
    </row>
    <row r="2790" spans="1:5" x14ac:dyDescent="0.25">
      <c r="A2790" t="str">
        <f>HYPERLINK("https://www.773grp.com/globalSearch/LP3965ET-3.3-NOPB/page-1", "LP3965ET-3.3-NOPB")</f>
        <v>LP3965ET-3.3-NOPB</v>
      </c>
      <c r="B2790" s="3" t="str">
        <f>HYPERLINK("https://www.773grp.com/manufacturer/national-semiconductor?pageNo=109", "National Semiconductor")</f>
        <v>National Semiconductor</v>
      </c>
      <c r="C2790" s="6">
        <v>1064</v>
      </c>
      <c r="D2790" s="7">
        <v>3.89</v>
      </c>
      <c r="E2790" t="s">
        <v>19</v>
      </c>
    </row>
    <row r="2791" spans="1:5" x14ac:dyDescent="0.25">
      <c r="A2791" t="str">
        <f>HYPERLINK("https://www.773grp.com/globalSearch/LP3965ET-ADJ-NOPB/page-1", "LP3965ET-ADJ-NOPB")</f>
        <v>LP3965ET-ADJ-NOPB</v>
      </c>
      <c r="B2791" s="3" t="str">
        <f>HYPERLINK("https://www.773grp.com/manufacturer/national-semiconductor?pageNo=110", "National Semiconductor")</f>
        <v>National Semiconductor</v>
      </c>
      <c r="C2791" s="6">
        <v>452</v>
      </c>
      <c r="D2791" s="7">
        <v>3.89</v>
      </c>
      <c r="E2791" t="s">
        <v>25</v>
      </c>
    </row>
    <row r="2792" spans="1:5" x14ac:dyDescent="0.25">
      <c r="A2792" t="str">
        <f>HYPERLINK("https://www.773grp.com/globalSearch/54LS08DM/page-1", "54LS08DM")</f>
        <v>54LS08DM</v>
      </c>
      <c r="B2792" s="3" t="str">
        <f>HYPERLINK("https://www.773grp.com/manufacturer/national-semiconductor?pageNo=111", "National Semiconductor")</f>
        <v>National Semiconductor</v>
      </c>
      <c r="C2792" s="6">
        <v>2870</v>
      </c>
      <c r="D2792" s="7">
        <v>4.33</v>
      </c>
    </row>
    <row r="2793" spans="1:5" x14ac:dyDescent="0.25">
      <c r="A2793" t="str">
        <f>HYPERLINK("https://www.773grp.com/globalSearch/54LS365ADM/page-1", "54LS365ADM")</f>
        <v>54LS365ADM</v>
      </c>
      <c r="B2793" s="3" t="str">
        <f>HYPERLINK("https://www.773grp.com/manufacturer/national-semiconductor?pageNo=112", "National Semiconductor")</f>
        <v>National Semiconductor</v>
      </c>
      <c r="C2793" s="6">
        <v>10958</v>
      </c>
      <c r="D2793" s="7">
        <v>4.33</v>
      </c>
    </row>
    <row r="2794" spans="1:5" x14ac:dyDescent="0.25">
      <c r="A2794" t="str">
        <f>HYPERLINK("https://www.773grp.com/globalSearch/54LS366ADMQB/page-1", "54LS366ADMQB")</f>
        <v>54LS366ADMQB</v>
      </c>
      <c r="B2794" s="3" t="str">
        <f>HYPERLINK("https://www.773grp.com/manufacturer/national-semiconductor?pageNo=113", "National Semiconductor")</f>
        <v>National Semiconductor</v>
      </c>
      <c r="C2794" s="6">
        <v>731</v>
      </c>
      <c r="D2794" s="7">
        <v>4.33</v>
      </c>
      <c r="E2794" t="s">
        <v>14</v>
      </c>
    </row>
    <row r="2795" spans="1:5" x14ac:dyDescent="0.25">
      <c r="A2795" t="str">
        <f>HYPERLINK("https://www.773grp.com/globalSearch/54LS367ADM/page-1", "54LS367ADM")</f>
        <v>54LS367ADM</v>
      </c>
      <c r="B2795" s="3" t="str">
        <f>HYPERLINK("https://www.773grp.com/manufacturer/national-semiconductor?pageNo=114", "National Semiconductor")</f>
        <v>National Semiconductor</v>
      </c>
      <c r="C2795" s="6">
        <v>3997</v>
      </c>
      <c r="D2795" s="7">
        <v>4.33</v>
      </c>
    </row>
    <row r="2796" spans="1:5" x14ac:dyDescent="0.25">
      <c r="A2796" t="str">
        <f>HYPERLINK("https://www.773grp.com/globalSearch/54LS367ADMQB/page-1", "54LS367ADMQB")</f>
        <v>54LS367ADMQB</v>
      </c>
      <c r="B2796" s="3" t="str">
        <f>HYPERLINK("https://www.773grp.com/manufacturer/national-semiconductor?pageNo=115", "National Semiconductor")</f>
        <v>National Semiconductor</v>
      </c>
      <c r="C2796" s="6">
        <v>3895</v>
      </c>
      <c r="D2796" s="7">
        <v>4.33</v>
      </c>
      <c r="E2796" t="s">
        <v>14</v>
      </c>
    </row>
    <row r="2797" spans="1:5" x14ac:dyDescent="0.25">
      <c r="A2797" t="str">
        <f>HYPERLINK("https://www.773grp.com/globalSearch/54LS367DM/page-1", "54LS367DM")</f>
        <v>54LS367DM</v>
      </c>
      <c r="B2797" s="3" t="str">
        <f>HYPERLINK("https://www.773grp.com/manufacturer/national-semiconductor?pageNo=116", "National Semiconductor")</f>
        <v>National Semiconductor</v>
      </c>
      <c r="C2797" s="6">
        <v>123</v>
      </c>
      <c r="D2797" s="7">
        <v>4.33</v>
      </c>
    </row>
    <row r="2798" spans="1:5" x14ac:dyDescent="0.25">
      <c r="A2798" t="str">
        <f>HYPERLINK("https://www.773grp.com/globalSearch/54LS368ADM/page-1", "54LS368ADM")</f>
        <v>54LS368ADM</v>
      </c>
      <c r="B2798" s="3" t="str">
        <f>HYPERLINK("https://www.773grp.com/manufacturer/national-semiconductor?pageNo=117", "National Semiconductor")</f>
        <v>National Semiconductor</v>
      </c>
      <c r="C2798" s="6">
        <v>392</v>
      </c>
      <c r="D2798" s="7">
        <v>4.33</v>
      </c>
    </row>
    <row r="2799" spans="1:5" x14ac:dyDescent="0.25">
      <c r="A2799" t="str">
        <f>HYPERLINK("https://www.773grp.com/globalSearch/54LS51DM/page-1", "54LS51DM")</f>
        <v>54LS51DM</v>
      </c>
      <c r="B2799" s="3" t="str">
        <f>HYPERLINK("https://www.773grp.com/manufacturer/national-semiconductor?pageNo=118", "National Semiconductor")</f>
        <v>National Semiconductor</v>
      </c>
      <c r="C2799" s="6">
        <v>524</v>
      </c>
      <c r="D2799" s="7">
        <v>4.33</v>
      </c>
    </row>
    <row r="2800" spans="1:5" x14ac:dyDescent="0.25">
      <c r="A2800" t="str">
        <f>HYPERLINK("https://www.773grp.com/globalSearch/54LS54DMQB/page-1", "54LS54DMQB")</f>
        <v>54LS54DMQB</v>
      </c>
      <c r="B2800" s="3" t="str">
        <f>HYPERLINK("https://www.773grp.com/manufacturer/national-semiconductor?pageNo=119", "National Semiconductor")</f>
        <v>National Semiconductor</v>
      </c>
      <c r="C2800" s="6">
        <v>2875</v>
      </c>
      <c r="D2800" s="7">
        <v>4.33</v>
      </c>
      <c r="E2800" t="s">
        <v>31</v>
      </c>
    </row>
    <row r="2801" spans="1:5" x14ac:dyDescent="0.25">
      <c r="A2801" t="str">
        <f>HYPERLINK("https://www.773grp.com/globalSearch/DM74LS540WM/page-1", "DM74LS540WM")</f>
        <v>DM74LS540WM</v>
      </c>
      <c r="B2801" s="3" t="str">
        <f>HYPERLINK("https://www.773grp.com/manufacturer/national-semiconductor?pageNo=120", "National Semiconductor")</f>
        <v>National Semiconductor</v>
      </c>
      <c r="C2801" s="6">
        <v>33</v>
      </c>
      <c r="D2801" s="7">
        <v>4.33</v>
      </c>
      <c r="E2801" t="s">
        <v>14</v>
      </c>
    </row>
    <row r="2802" spans="1:5" x14ac:dyDescent="0.25">
      <c r="A2802" t="str">
        <f>HYPERLINK("https://www.773grp.com/globalSearch/DS26C32ATM-NOPB/page-1", "DS26C32ATM-NOPB")</f>
        <v>DS26C32ATM-NOPB</v>
      </c>
      <c r="B2802" s="3" t="str">
        <f>HYPERLINK("https://www.773grp.com/manufacturer/national-semiconductor?pageNo=121", "National Semiconductor")</f>
        <v>National Semiconductor</v>
      </c>
      <c r="C2802" s="6">
        <v>1614</v>
      </c>
      <c r="D2802" s="7">
        <v>4.33</v>
      </c>
      <c r="E2802" t="s">
        <v>21</v>
      </c>
    </row>
    <row r="2803" spans="1:5" x14ac:dyDescent="0.25">
      <c r="A2803" t="str">
        <f>HYPERLINK("https://www.773grp.com/globalSearch/DS26LS32ACN/page-1", "DS26LS32ACN")</f>
        <v>DS26LS32ACN</v>
      </c>
      <c r="B2803" s="3" t="str">
        <f>HYPERLINK("https://www.773grp.com/manufacturer/national-semiconductor?pageNo=122", "National Semiconductor")</f>
        <v>National Semiconductor</v>
      </c>
      <c r="C2803" s="6">
        <v>1077</v>
      </c>
      <c r="D2803" s="7">
        <v>4.33</v>
      </c>
      <c r="E2803" t="s">
        <v>21</v>
      </c>
    </row>
    <row r="2804" spans="1:5" x14ac:dyDescent="0.25">
      <c r="A2804" t="str">
        <f>HYPERLINK("https://www.773grp.com/globalSearch/LM285BYZ-NOPB/page-1", "LM285BYZ-NOPB")</f>
        <v>LM285BYZ-NOPB</v>
      </c>
      <c r="B2804" s="3" t="str">
        <f>HYPERLINK("https://www.773grp.com/manufacturer/national-semiconductor?pageNo=123", "National Semiconductor")</f>
        <v>National Semiconductor</v>
      </c>
      <c r="C2804" s="6">
        <v>5036</v>
      </c>
      <c r="D2804" s="7">
        <v>4.33</v>
      </c>
      <c r="E2804" t="s">
        <v>17</v>
      </c>
    </row>
    <row r="2805" spans="1:5" x14ac:dyDescent="0.25">
      <c r="A2805" t="str">
        <f>HYPERLINK("https://www.773grp.com/globalSearch/LM2937IMP-10/page-1", "LM2937IMP-10")</f>
        <v>LM2937IMP-10</v>
      </c>
      <c r="B2805" s="3" t="str">
        <f>HYPERLINK("https://www.773grp.com/manufacturer/national-semiconductor?pageNo=124", "National Semiconductor")</f>
        <v>National Semiconductor</v>
      </c>
      <c r="C2805" s="6">
        <v>896</v>
      </c>
      <c r="D2805" s="7">
        <v>4.33</v>
      </c>
      <c r="E2805" t="s">
        <v>19</v>
      </c>
    </row>
    <row r="2806" spans="1:5" x14ac:dyDescent="0.25">
      <c r="A2806" t="str">
        <f>HYPERLINK("https://www.773grp.com/globalSearch/LM2937IMPX-12/page-1", "LM2937IMPX-12")</f>
        <v>LM2937IMPX-12</v>
      </c>
      <c r="B2806" s="3" t="str">
        <f>HYPERLINK("https://www.773grp.com/manufacturer/national-semiconductor?pageNo=125", "National Semiconductor")</f>
        <v>National Semiconductor</v>
      </c>
      <c r="C2806" s="6">
        <v>4000</v>
      </c>
      <c r="D2806" s="7">
        <v>4.33</v>
      </c>
      <c r="E2806" t="s">
        <v>19</v>
      </c>
    </row>
    <row r="2807" spans="1:5" x14ac:dyDescent="0.25">
      <c r="A2807" t="str">
        <f>HYPERLINK("https://www.773grp.com/globalSearch/LM2937IMPX-3.3/page-1", "LM2937IMPX-3.3")</f>
        <v>LM2937IMPX-3.3</v>
      </c>
      <c r="B2807" s="3" t="str">
        <f>HYPERLINK("https://www.773grp.com/manufacturer/national-semiconductor?pageNo=126", "National Semiconductor")</f>
        <v>National Semiconductor</v>
      </c>
      <c r="C2807" s="6">
        <v>878</v>
      </c>
      <c r="D2807" s="7">
        <v>4.33</v>
      </c>
      <c r="E2807" t="s">
        <v>19</v>
      </c>
    </row>
    <row r="2808" spans="1:5" x14ac:dyDescent="0.25">
      <c r="A2808" t="str">
        <f>HYPERLINK("https://www.773grp.com/globalSearch/LM2940CS-12-NOPB/page-1", "LM2940CS-12-NOPB")</f>
        <v>LM2940CS-12-NOPB</v>
      </c>
      <c r="B2808" s="3" t="str">
        <f>HYPERLINK("https://www.773grp.com/manufacturer/national-semiconductor?pageNo=127", "National Semiconductor")</f>
        <v>National Semiconductor</v>
      </c>
      <c r="C2808" s="6">
        <v>20145</v>
      </c>
      <c r="D2808" s="7">
        <v>4.33</v>
      </c>
      <c r="E2808" t="s">
        <v>19</v>
      </c>
    </row>
    <row r="2809" spans="1:5" x14ac:dyDescent="0.25">
      <c r="A2809" t="str">
        <f>HYPERLINK("https://www.773grp.com/globalSearch/LM2940CS-15-NOPB/page-1", "LM2940CS-15-NOPB")</f>
        <v>LM2940CS-15-NOPB</v>
      </c>
      <c r="B2809" s="3" t="str">
        <f>HYPERLINK("https://www.773grp.com/manufacturer/national-semiconductor?pageNo=128", "National Semiconductor")</f>
        <v>National Semiconductor</v>
      </c>
      <c r="C2809" s="6">
        <v>648</v>
      </c>
      <c r="D2809" s="7">
        <v>4.33</v>
      </c>
      <c r="E2809" t="s">
        <v>19</v>
      </c>
    </row>
    <row r="2810" spans="1:5" x14ac:dyDescent="0.25">
      <c r="A2810" t="str">
        <f>HYPERLINK("https://www.773grp.com/globalSearch/LM2940CS-5.0-NOPB/page-1", "LM2940CS-5.0-NOPB")</f>
        <v>LM2940CS-5.0-NOPB</v>
      </c>
      <c r="B2810" s="3" t="str">
        <f>HYPERLINK("https://www.773grp.com/manufacturer/national-semiconductor?pageNo=129", "National Semiconductor")</f>
        <v>National Semiconductor</v>
      </c>
      <c r="C2810" s="6">
        <v>825</v>
      </c>
      <c r="D2810" s="7">
        <v>4.33</v>
      </c>
      <c r="E2810" t="s">
        <v>19</v>
      </c>
    </row>
    <row r="2811" spans="1:5" x14ac:dyDescent="0.25">
      <c r="A2811" t="str">
        <f>HYPERLINK("https://www.773grp.com/globalSearch/LM2940CS-9.0-NOPB/page-1", "LM2940CS-9.0-NOPB")</f>
        <v>LM2940CS-9.0-NOPB</v>
      </c>
      <c r="B2811" s="3" t="str">
        <f>HYPERLINK("https://www.773grp.com/manufacturer/national-semiconductor?pageNo=130", "National Semiconductor")</f>
        <v>National Semiconductor</v>
      </c>
      <c r="C2811" s="6">
        <v>1435</v>
      </c>
      <c r="D2811" s="7">
        <v>4.33</v>
      </c>
      <c r="E2811" t="s">
        <v>19</v>
      </c>
    </row>
    <row r="2812" spans="1:5" x14ac:dyDescent="0.25">
      <c r="A2812" t="str">
        <f>HYPERLINK("https://www.773grp.com/globalSearch/LM3940ISX-3.3/page-1", "LM3940ISX-3.3")</f>
        <v>LM3940ISX-3.3</v>
      </c>
      <c r="B2812" s="3" t="str">
        <f>HYPERLINK("https://www.773grp.com/manufacturer/national-semiconductor?pageNo=131", "National Semiconductor")</f>
        <v>National Semiconductor</v>
      </c>
      <c r="C2812" s="6">
        <v>1246</v>
      </c>
      <c r="D2812" s="7">
        <v>4.33</v>
      </c>
      <c r="E2812" t="s">
        <v>19</v>
      </c>
    </row>
    <row r="2813" spans="1:5" x14ac:dyDescent="0.25">
      <c r="A2813" t="str">
        <f>HYPERLINK("https://www.773grp.com/globalSearch/LM4982TL-NOPB/page-1", "LM4982TL-NOPB")</f>
        <v>LM4982TL-NOPB</v>
      </c>
      <c r="B2813" s="3" t="str">
        <f>HYPERLINK("https://www.773grp.com/manufacturer/national-semiconductor?pageNo=132", "National Semiconductor")</f>
        <v>National Semiconductor</v>
      </c>
      <c r="C2813" s="6">
        <v>305</v>
      </c>
      <c r="D2813" s="7">
        <v>4.33</v>
      </c>
    </row>
    <row r="2814" spans="1:5" x14ac:dyDescent="0.25">
      <c r="A2814" t="str">
        <f>HYPERLINK("https://www.773grp.com/globalSearch/LM4982TLX-NOPB/page-1", "LM4982TLX-NOPB")</f>
        <v>LM4982TLX-NOPB</v>
      </c>
      <c r="B2814" s="3" t="str">
        <f>HYPERLINK("https://www.773grp.com/manufacturer/national-semiconductor?pageNo=133", "National Semiconductor")</f>
        <v>National Semiconductor</v>
      </c>
      <c r="C2814" s="6">
        <v>9000</v>
      </c>
      <c r="D2814" s="7">
        <v>4.33</v>
      </c>
    </row>
    <row r="2815" spans="1:5" x14ac:dyDescent="0.25">
      <c r="A2815" t="str">
        <f>HYPERLINK("https://www.773grp.com/globalSearch/LM9076SX-3.3-NOPB/page-1", "LM9076SX-3.3-NOPB")</f>
        <v>LM9076SX-3.3-NOPB</v>
      </c>
      <c r="B2815" s="3" t="str">
        <f>HYPERLINK("https://www.773grp.com/manufacturer/national-semiconductor?pageNo=134", "National Semiconductor")</f>
        <v>National Semiconductor</v>
      </c>
      <c r="C2815" s="6">
        <v>3664</v>
      </c>
      <c r="D2815" s="7">
        <v>4.33</v>
      </c>
    </row>
    <row r="2816" spans="1:5" x14ac:dyDescent="0.25">
      <c r="A2816" t="str">
        <f>HYPERLINK("https://www.773grp.com/globalSearch/LMV722MM/page-1", "LMV722MM")</f>
        <v>LMV722MM</v>
      </c>
      <c r="B2816" s="3" t="str">
        <f>HYPERLINK("https://www.773grp.com/manufacturer/national-semiconductor?pageNo=1", "National Semiconductor")</f>
        <v>National Semiconductor</v>
      </c>
      <c r="C2816" s="6">
        <v>2000</v>
      </c>
      <c r="D2816" s="7">
        <v>4.33</v>
      </c>
      <c r="E2816" t="s">
        <v>13</v>
      </c>
    </row>
    <row r="2817" spans="1:5" x14ac:dyDescent="0.25">
      <c r="A2817" t="str">
        <f>HYPERLINK("https://www.773grp.com/globalSearch/LMV722MMX/page-1", "LMV722MMX")</f>
        <v>LMV722MMX</v>
      </c>
      <c r="B2817" s="3" t="str">
        <f>HYPERLINK("https://www.773grp.com/manufacturer/national-semiconductor?pageNo=2", "National Semiconductor")</f>
        <v>National Semiconductor</v>
      </c>
      <c r="C2817" s="6">
        <v>6095</v>
      </c>
      <c r="D2817" s="7">
        <v>4.33</v>
      </c>
      <c r="E2817" t="s">
        <v>13</v>
      </c>
    </row>
    <row r="2818" spans="1:5" x14ac:dyDescent="0.25">
      <c r="A2818" t="str">
        <f>HYPERLINK("https://www.773grp.com/globalSearch/LP2988AIMM-3.0/page-1", "LP2988AIMM-3.0")</f>
        <v>LP2988AIMM-3.0</v>
      </c>
      <c r="B2818" s="3" t="str">
        <f>HYPERLINK("https://www.773grp.com/manufacturer/national-semiconductor?pageNo=3", "National Semiconductor")</f>
        <v>National Semiconductor</v>
      </c>
      <c r="C2818" s="6">
        <v>144</v>
      </c>
      <c r="D2818" s="7">
        <v>4.33</v>
      </c>
      <c r="E2818" t="s">
        <v>19</v>
      </c>
    </row>
    <row r="2819" spans="1:5" x14ac:dyDescent="0.25">
      <c r="A2819" t="str">
        <f>HYPERLINK("https://www.773grp.com/globalSearch/LP2988IMM-2.7/page-1", "LP2988IMM-2.7")</f>
        <v>LP2988IMM-2.7</v>
      </c>
      <c r="B2819" s="3" t="str">
        <f>HYPERLINK("https://www.773grp.com/manufacturer/national-semiconductor?pageNo=4", "National Semiconductor")</f>
        <v>National Semiconductor</v>
      </c>
      <c r="C2819" s="6">
        <v>39000</v>
      </c>
      <c r="D2819" s="7">
        <v>4.33</v>
      </c>
      <c r="E2819" t="s">
        <v>19</v>
      </c>
    </row>
    <row r="2820" spans="1:5" x14ac:dyDescent="0.25">
      <c r="A2820" t="str">
        <f>HYPERLINK("https://www.773grp.com/globalSearch/LP8550TLX-NOPB/page-1", "LP8550TLX-NOPB")</f>
        <v>LP8550TLX-NOPB</v>
      </c>
      <c r="B2820" s="3" t="str">
        <f>HYPERLINK("https://www.773grp.com/manufacturer/national-semiconductor?pageNo=5", "National Semiconductor")</f>
        <v>National Semiconductor</v>
      </c>
      <c r="C2820" s="6">
        <v>6000</v>
      </c>
      <c r="D2820" s="7">
        <v>4.33</v>
      </c>
    </row>
    <row r="2821" spans="1:5" x14ac:dyDescent="0.25">
      <c r="A2821" t="str">
        <f>HYPERLINK("https://www.773grp.com/globalSearch/LP8550TLX-A-NOPB/page-1", "LP8550TLX-A-NOPB")</f>
        <v>LP8550TLX-A-NOPB</v>
      </c>
      <c r="B2821" s="3" t="str">
        <f>HYPERLINK("https://www.773grp.com/manufacturer/national-semiconductor?pageNo=6", "National Semiconductor")</f>
        <v>National Semiconductor</v>
      </c>
      <c r="C2821" s="6">
        <v>3000</v>
      </c>
      <c r="D2821" s="7">
        <v>4.33</v>
      </c>
    </row>
    <row r="2822" spans="1:5" x14ac:dyDescent="0.25">
      <c r="A2822" t="str">
        <f>HYPERLINK("https://www.773grp.com/globalSearch/DS26C32ATM-NOPB/page-1", "DS26C32ATM-NOPB")</f>
        <v>DS26C32ATM-NOPB</v>
      </c>
      <c r="B2822" s="3" t="str">
        <f>HYPERLINK("https://www.773grp.com/manufacturer/national-semiconductor?pageNo=7", "National Semiconductor")</f>
        <v>National Semiconductor</v>
      </c>
      <c r="C2822" s="6">
        <v>216</v>
      </c>
      <c r="D2822" s="7">
        <v>4.33</v>
      </c>
      <c r="E2822" t="s">
        <v>21</v>
      </c>
    </row>
    <row r="2823" spans="1:5" x14ac:dyDescent="0.25">
      <c r="A2823" t="str">
        <f>HYPERLINK("https://www.773grp.com/globalSearch/DS26LS32ACN/page-1", "DS26LS32ACN")</f>
        <v>DS26LS32ACN</v>
      </c>
      <c r="B2823" s="3" t="str">
        <f>HYPERLINK("https://www.773grp.com/manufacturer/national-semiconductor?pageNo=8", "National Semiconductor")</f>
        <v>National Semiconductor</v>
      </c>
      <c r="C2823" s="6">
        <v>3675</v>
      </c>
      <c r="D2823" s="7">
        <v>4.33</v>
      </c>
      <c r="E2823" t="s">
        <v>21</v>
      </c>
    </row>
    <row r="2824" spans="1:5" x14ac:dyDescent="0.25">
      <c r="A2824" t="str">
        <f>HYPERLINK("https://www.773grp.com/globalSearch/LM285BYZ-NOPB/page-1", "LM285BYZ-NOPB")</f>
        <v>LM285BYZ-NOPB</v>
      </c>
      <c r="B2824" s="3" t="str">
        <f>HYPERLINK("https://www.773grp.com/manufacturer/national-semiconductor?pageNo=9", "National Semiconductor")</f>
        <v>National Semiconductor</v>
      </c>
      <c r="C2824" s="6">
        <v>169</v>
      </c>
      <c r="D2824" s="7">
        <v>4.33</v>
      </c>
      <c r="E2824" t="s">
        <v>17</v>
      </c>
    </row>
    <row r="2825" spans="1:5" x14ac:dyDescent="0.25">
      <c r="A2825" t="str">
        <f>HYPERLINK("https://www.773grp.com/globalSearch/LM2937IMP-10/page-1", "LM2937IMP-10")</f>
        <v>LM2937IMP-10</v>
      </c>
      <c r="B2825" s="3" t="str">
        <f>HYPERLINK("https://www.773grp.com/manufacturer/national-semiconductor?pageNo=10", "National Semiconductor")</f>
        <v>National Semiconductor</v>
      </c>
      <c r="C2825" s="6">
        <v>1000</v>
      </c>
      <c r="D2825" s="7">
        <v>4.33</v>
      </c>
      <c r="E2825" t="s">
        <v>19</v>
      </c>
    </row>
    <row r="2826" spans="1:5" x14ac:dyDescent="0.25">
      <c r="A2826" t="str">
        <f>HYPERLINK("https://www.773grp.com/globalSearch/LM2937IMP-12/page-1", "LM2937IMP-12")</f>
        <v>LM2937IMP-12</v>
      </c>
      <c r="B2826" s="3" t="str">
        <f>HYPERLINK("https://www.773grp.com/manufacturer/national-semiconductor?pageNo=11", "National Semiconductor")</f>
        <v>National Semiconductor</v>
      </c>
      <c r="C2826" s="6">
        <v>1000</v>
      </c>
      <c r="D2826" s="7">
        <v>4.33</v>
      </c>
    </row>
    <row r="2827" spans="1:5" x14ac:dyDescent="0.25">
      <c r="A2827" t="str">
        <f>HYPERLINK("https://www.773grp.com/globalSearch/LM2937IMPX-12/page-1", "LM2937IMPX-12")</f>
        <v>LM2937IMPX-12</v>
      </c>
      <c r="B2827" s="3" t="str">
        <f>HYPERLINK("https://www.773grp.com/manufacturer/national-semiconductor?pageNo=12", "National Semiconductor")</f>
        <v>National Semiconductor</v>
      </c>
      <c r="C2827" s="6">
        <v>2000</v>
      </c>
      <c r="D2827" s="7">
        <v>4.33</v>
      </c>
      <c r="E2827" t="s">
        <v>19</v>
      </c>
    </row>
    <row r="2828" spans="1:5" x14ac:dyDescent="0.25">
      <c r="A2828" t="str">
        <f>HYPERLINK("https://www.773grp.com/globalSearch/LM2940CS-12-NOPB/page-1", "LM2940CS-12-NOPB")</f>
        <v>LM2940CS-12-NOPB</v>
      </c>
      <c r="B2828" s="3" t="str">
        <f>HYPERLINK("https://www.773grp.com/manufacturer/national-semiconductor?pageNo=13", "National Semiconductor")</f>
        <v>National Semiconductor</v>
      </c>
      <c r="C2828" s="6">
        <v>1026</v>
      </c>
      <c r="D2828" s="7">
        <v>4.33</v>
      </c>
      <c r="E2828" t="s">
        <v>19</v>
      </c>
    </row>
    <row r="2829" spans="1:5" x14ac:dyDescent="0.25">
      <c r="A2829" t="str">
        <f>HYPERLINK("https://www.773grp.com/globalSearch/LM2940CS-15-NOPB/page-1", "LM2940CS-15-NOPB")</f>
        <v>LM2940CS-15-NOPB</v>
      </c>
      <c r="B2829" s="3" t="str">
        <f>HYPERLINK("https://www.773grp.com/manufacturer/national-semiconductor?pageNo=14", "National Semiconductor")</f>
        <v>National Semiconductor</v>
      </c>
      <c r="C2829" s="6">
        <v>920</v>
      </c>
      <c r="D2829" s="7">
        <v>4.33</v>
      </c>
      <c r="E2829" t="s">
        <v>19</v>
      </c>
    </row>
    <row r="2830" spans="1:5" x14ac:dyDescent="0.25">
      <c r="A2830" t="str">
        <f>HYPERLINK("https://www.773grp.com/globalSearch/LM2940CS-5.0-NOPB/page-1", "LM2940CS-5.0-NOPB")</f>
        <v>LM2940CS-5.0-NOPB</v>
      </c>
      <c r="B2830" s="3" t="str">
        <f>HYPERLINK("https://www.773grp.com/manufacturer/national-semiconductor?pageNo=15", "National Semiconductor")</f>
        <v>National Semiconductor</v>
      </c>
      <c r="C2830" s="6">
        <v>222</v>
      </c>
      <c r="D2830" s="7">
        <v>4.33</v>
      </c>
      <c r="E2830" t="s">
        <v>19</v>
      </c>
    </row>
    <row r="2831" spans="1:5" x14ac:dyDescent="0.25">
      <c r="A2831" t="str">
        <f>HYPERLINK("https://www.773grp.com/globalSearch/LM2940CS-9.0-NOPB/page-1", "LM2940CS-9.0-NOPB")</f>
        <v>LM2940CS-9.0-NOPB</v>
      </c>
      <c r="B2831" s="3" t="str">
        <f>HYPERLINK("https://www.773grp.com/manufacturer/national-semiconductor?pageNo=16", "National Semiconductor")</f>
        <v>National Semiconductor</v>
      </c>
      <c r="C2831" s="6">
        <v>1235</v>
      </c>
      <c r="D2831" s="7">
        <v>4.33</v>
      </c>
      <c r="E2831" t="s">
        <v>19</v>
      </c>
    </row>
    <row r="2832" spans="1:5" x14ac:dyDescent="0.25">
      <c r="A2832" t="str">
        <f>HYPERLINK("https://www.773grp.com/globalSearch/LMV722MMX/page-1", "LMV722MMX")</f>
        <v>LMV722MMX</v>
      </c>
      <c r="B2832" s="3" t="str">
        <f>HYPERLINK("https://www.773grp.com/manufacturer/national-semiconductor?pageNo=17", "National Semiconductor")</f>
        <v>National Semiconductor</v>
      </c>
      <c r="C2832" s="6">
        <v>3500</v>
      </c>
      <c r="D2832" s="7">
        <v>4.33</v>
      </c>
      <c r="E2832" t="s">
        <v>13</v>
      </c>
    </row>
    <row r="2833" spans="1:5" x14ac:dyDescent="0.25">
      <c r="A2833" t="str">
        <f>HYPERLINK("https://www.773grp.com/globalSearch/LMV722MX/page-1", "LMV722MX")</f>
        <v>LMV722MX</v>
      </c>
      <c r="B2833" s="3" t="str">
        <f>HYPERLINK("https://www.773grp.com/manufacturer/national-semiconductor?pageNo=18", "National Semiconductor")</f>
        <v>National Semiconductor</v>
      </c>
      <c r="C2833" s="6">
        <v>2500</v>
      </c>
      <c r="D2833" s="7">
        <v>4.33</v>
      </c>
    </row>
    <row r="2834" spans="1:5" x14ac:dyDescent="0.25">
      <c r="A2834" t="str">
        <f>HYPERLINK("https://www.773grp.com/globalSearch/LPC661IM-NOPB/page-1", "LPC661IM-NOPB")</f>
        <v>LPC661IM-NOPB</v>
      </c>
      <c r="B2834" s="3" t="str">
        <f>HYPERLINK("https://www.773grp.com/manufacturer/national-semiconductor?pageNo=19", "National Semiconductor")</f>
        <v>National Semiconductor</v>
      </c>
      <c r="C2834" s="6">
        <v>250</v>
      </c>
      <c r="D2834" s="7">
        <v>4.33</v>
      </c>
    </row>
    <row r="2835" spans="1:5" x14ac:dyDescent="0.25">
      <c r="A2835" t="str">
        <f>HYPERLINK("https://www.773grp.com/globalSearch/54LS49DMQB/page-1", "54LS49DMQB")</f>
        <v>54LS49DMQB</v>
      </c>
      <c r="B2835" s="3" t="str">
        <f>HYPERLINK("https://www.773grp.com/manufacturer/national-semiconductor?pageNo=20", "National Semiconductor")</f>
        <v>National Semiconductor</v>
      </c>
      <c r="C2835" s="6">
        <v>655</v>
      </c>
      <c r="D2835" s="7">
        <v>3.91</v>
      </c>
      <c r="E2835" t="s">
        <v>36</v>
      </c>
    </row>
    <row r="2836" spans="1:5" x14ac:dyDescent="0.25">
      <c r="A2836" t="str">
        <f>HYPERLINK("https://www.773grp.com/globalSearch/ADC0834CCN/page-1", "ADC0834CCN")</f>
        <v>ADC0834CCN</v>
      </c>
      <c r="B2836" s="3" t="str">
        <f>HYPERLINK("https://www.773grp.com/manufacturer/national-semiconductor?pageNo=21", "National Semiconductor")</f>
        <v>National Semiconductor</v>
      </c>
      <c r="C2836" s="6">
        <v>276</v>
      </c>
      <c r="D2836" s="7">
        <v>3.91</v>
      </c>
      <c r="E2836" t="s">
        <v>39</v>
      </c>
    </row>
    <row r="2837" spans="1:5" x14ac:dyDescent="0.25">
      <c r="A2837" t="str">
        <f>HYPERLINK("https://www.773grp.com/globalSearch/ADCS7476AIMF-NOPB/page-1", "ADCS7476AIMF-NOPB")</f>
        <v>ADCS7476AIMF-NOPB</v>
      </c>
      <c r="B2837" s="3" t="str">
        <f>HYPERLINK("https://www.773grp.com/manufacturer/national-semiconductor?pageNo=22", "National Semiconductor")</f>
        <v>National Semiconductor</v>
      </c>
      <c r="C2837" s="6">
        <v>19</v>
      </c>
      <c r="D2837" s="7">
        <v>3.91</v>
      </c>
      <c r="E2837" t="s">
        <v>39</v>
      </c>
    </row>
    <row r="2838" spans="1:5" x14ac:dyDescent="0.25">
      <c r="A2838" t="str">
        <f>HYPERLINK("https://www.773grp.com/globalSearch/CLC452AJE-TR13/page-1", "CLC452AJE-TR13")</f>
        <v>CLC452AJE-TR13</v>
      </c>
      <c r="B2838" s="3" t="str">
        <f>HYPERLINK("https://www.773grp.com/manufacturer/national-semiconductor?pageNo=23", "National Semiconductor")</f>
        <v>National Semiconductor</v>
      </c>
      <c r="C2838" s="6">
        <v>72038</v>
      </c>
      <c r="D2838" s="7">
        <v>3.91</v>
      </c>
      <c r="E2838" t="s">
        <v>13</v>
      </c>
    </row>
    <row r="2839" spans="1:5" x14ac:dyDescent="0.25">
      <c r="A2839" t="str">
        <f>HYPERLINK("https://www.773grp.com/globalSearch/CLC452AJP/page-1", "CLC452AJP")</f>
        <v>CLC452AJP</v>
      </c>
      <c r="B2839" s="3" t="str">
        <f>HYPERLINK("https://www.773grp.com/manufacturer/national-semiconductor?pageNo=24", "National Semiconductor")</f>
        <v>National Semiconductor</v>
      </c>
      <c r="C2839" s="6">
        <v>10612</v>
      </c>
      <c r="D2839" s="7">
        <v>3.91</v>
      </c>
      <c r="E2839" t="s">
        <v>13</v>
      </c>
    </row>
    <row r="2840" spans="1:5" x14ac:dyDescent="0.25">
      <c r="A2840" t="str">
        <f>HYPERLINK("https://www.773grp.com/globalSearch/DS481M/page-1", "DS481M")</f>
        <v>DS481M</v>
      </c>
      <c r="B2840" s="3" t="str">
        <f>HYPERLINK("https://www.773grp.com/manufacturer/national-semiconductor?pageNo=25", "National Semiconductor")</f>
        <v>National Semiconductor</v>
      </c>
      <c r="C2840" s="6">
        <v>1425</v>
      </c>
      <c r="D2840" s="7">
        <v>3.91</v>
      </c>
      <c r="E2840" t="s">
        <v>21</v>
      </c>
    </row>
    <row r="2841" spans="1:5" x14ac:dyDescent="0.25">
      <c r="A2841" t="str">
        <f>HYPERLINK("https://www.773grp.com/globalSearch/DS90LV028ATM/page-1", "DS90LV028ATM")</f>
        <v>DS90LV028ATM</v>
      </c>
      <c r="B2841" s="3" t="str">
        <f>HYPERLINK("https://www.773grp.com/manufacturer/national-semiconductor?pageNo=26", "National Semiconductor")</f>
        <v>National Semiconductor</v>
      </c>
      <c r="C2841" s="6">
        <v>3761</v>
      </c>
      <c r="D2841" s="7">
        <v>3.91</v>
      </c>
      <c r="E2841" t="s">
        <v>21</v>
      </c>
    </row>
    <row r="2842" spans="1:5" x14ac:dyDescent="0.25">
      <c r="A2842" t="str">
        <f>HYPERLINK("https://www.773grp.com/globalSearch/LM2575M-5.0/page-1", "LM2575M-5.0")</f>
        <v>LM2575M-5.0</v>
      </c>
      <c r="B2842" s="3" t="str">
        <f>HYPERLINK("https://www.773grp.com/manufacturer/national-semiconductor?pageNo=27", "National Semiconductor")</f>
        <v>National Semiconductor</v>
      </c>
      <c r="C2842" s="6">
        <v>705</v>
      </c>
      <c r="D2842" s="7">
        <v>3.91</v>
      </c>
      <c r="E2842" t="s">
        <v>7</v>
      </c>
    </row>
    <row r="2843" spans="1:5" x14ac:dyDescent="0.25">
      <c r="A2843" t="str">
        <f>HYPERLINK("https://www.773grp.com/globalSearch/LM2575M-ADJ/page-1", "LM2575M-ADJ")</f>
        <v>LM2575M-ADJ</v>
      </c>
      <c r="B2843" s="3" t="str">
        <f>HYPERLINK("https://www.773grp.com/manufacturer/national-semiconductor?pageNo=28", "National Semiconductor")</f>
        <v>National Semiconductor</v>
      </c>
      <c r="C2843" s="6">
        <v>74</v>
      </c>
      <c r="D2843" s="7">
        <v>3.91</v>
      </c>
      <c r="E2843" t="s">
        <v>7</v>
      </c>
    </row>
    <row r="2844" spans="1:5" x14ac:dyDescent="0.25">
      <c r="A2844" t="str">
        <f>HYPERLINK("https://www.773grp.com/globalSearch/LM2831XSD/page-1", "LM2831XSD")</f>
        <v>LM2831XSD</v>
      </c>
      <c r="B2844" s="3" t="str">
        <f>HYPERLINK("https://www.773grp.com/manufacturer/national-semiconductor?pageNo=29", "National Semiconductor")</f>
        <v>National Semiconductor</v>
      </c>
      <c r="C2844" s="6">
        <v>920</v>
      </c>
      <c r="D2844" s="7">
        <v>3.91</v>
      </c>
      <c r="E2844" t="s">
        <v>7</v>
      </c>
    </row>
    <row r="2845" spans="1:5" x14ac:dyDescent="0.25">
      <c r="A2845" t="str">
        <f>HYPERLINK("https://www.773grp.com/globalSearch/LM3404HVMA/page-1", "LM3404HVMA")</f>
        <v>LM3404HVMA</v>
      </c>
      <c r="B2845" s="3" t="str">
        <f>HYPERLINK("https://www.773grp.com/manufacturer/national-semiconductor?pageNo=30", "National Semiconductor")</f>
        <v>National Semiconductor</v>
      </c>
      <c r="C2845" s="6">
        <v>9</v>
      </c>
      <c r="D2845" s="7">
        <v>3.91</v>
      </c>
      <c r="E2845" t="s">
        <v>7</v>
      </c>
    </row>
    <row r="2846" spans="1:5" x14ac:dyDescent="0.25">
      <c r="A2846" t="str">
        <f>HYPERLINK("https://www.773grp.com/globalSearch/LM3404HVMAX/page-1", "LM3404HVMAX")</f>
        <v>LM3404HVMAX</v>
      </c>
      <c r="B2846" s="3" t="str">
        <f>HYPERLINK("https://www.773grp.com/manufacturer/national-semiconductor?pageNo=31", "National Semiconductor")</f>
        <v>National Semiconductor</v>
      </c>
      <c r="C2846" s="6">
        <v>10000</v>
      </c>
      <c r="D2846" s="7">
        <v>3.91</v>
      </c>
      <c r="E2846" t="s">
        <v>7</v>
      </c>
    </row>
    <row r="2847" spans="1:5" x14ac:dyDescent="0.25">
      <c r="A2847" t="str">
        <f>HYPERLINK("https://www.773grp.com/globalSearch/LM3404HVMRX/page-1", "LM3404HVMRX")</f>
        <v>LM3404HVMRX</v>
      </c>
      <c r="B2847" s="3" t="str">
        <f>HYPERLINK("https://www.773grp.com/manufacturer/national-semiconductor?pageNo=32", "National Semiconductor")</f>
        <v>National Semiconductor</v>
      </c>
      <c r="C2847" s="6">
        <v>20000</v>
      </c>
      <c r="D2847" s="7">
        <v>3.91</v>
      </c>
      <c r="E2847" t="s">
        <v>7</v>
      </c>
    </row>
    <row r="2848" spans="1:5" x14ac:dyDescent="0.25">
      <c r="A2848" t="str">
        <f>HYPERLINK("https://www.773grp.com/globalSearch/LM4873LQ/page-1", "LM4873LQ")</f>
        <v>LM4873LQ</v>
      </c>
      <c r="B2848" s="3" t="str">
        <f>HYPERLINK("https://www.773grp.com/manufacturer/national-semiconductor?pageNo=33", "National Semiconductor")</f>
        <v>National Semiconductor</v>
      </c>
      <c r="C2848" s="6">
        <v>5000</v>
      </c>
      <c r="D2848" s="7">
        <v>3.91</v>
      </c>
      <c r="E2848" t="s">
        <v>18</v>
      </c>
    </row>
    <row r="2849" spans="1:5" x14ac:dyDescent="0.25">
      <c r="A2849" t="str">
        <f>HYPERLINK("https://www.773grp.com/globalSearch/LM4921ITL-NOPB/page-1", "LM4921ITL-NOPB")</f>
        <v>LM4921ITL-NOPB</v>
      </c>
      <c r="B2849" s="3" t="str">
        <f>HYPERLINK("https://www.773grp.com/manufacturer/national-semiconductor?pageNo=34", "National Semiconductor")</f>
        <v>National Semiconductor</v>
      </c>
      <c r="C2849" s="6">
        <v>250</v>
      </c>
      <c r="D2849" s="7">
        <v>3.91</v>
      </c>
      <c r="E2849" t="s">
        <v>23</v>
      </c>
    </row>
    <row r="2850" spans="1:5" x14ac:dyDescent="0.25">
      <c r="A2850" t="str">
        <f>HYPERLINK("https://www.773grp.com/globalSearch/LM5100BMA-NOPB/page-1", "LM5100BMA-NOPB")</f>
        <v>LM5100BMA-NOPB</v>
      </c>
      <c r="B2850" s="3" t="str">
        <f>HYPERLINK("https://www.773grp.com/manufacturer/national-semiconductor?pageNo=35", "National Semiconductor")</f>
        <v>National Semiconductor</v>
      </c>
      <c r="C2850" s="6">
        <v>475</v>
      </c>
      <c r="D2850" s="7">
        <v>3.91</v>
      </c>
    </row>
    <row r="2851" spans="1:5" x14ac:dyDescent="0.25">
      <c r="A2851" t="str">
        <f>HYPERLINK("https://www.773grp.com/globalSearch/LM5101BMA-NOPB/page-1", "LM5101BMA-NOPB")</f>
        <v>LM5101BMA-NOPB</v>
      </c>
      <c r="B2851" s="3" t="str">
        <f>HYPERLINK("https://www.773grp.com/manufacturer/national-semiconductor?pageNo=36", "National Semiconductor")</f>
        <v>National Semiconductor</v>
      </c>
      <c r="C2851" s="6">
        <v>2325</v>
      </c>
      <c r="D2851" s="7">
        <v>3.91</v>
      </c>
    </row>
    <row r="2852" spans="1:5" x14ac:dyDescent="0.25">
      <c r="A2852" t="str">
        <f>HYPERLINK("https://www.773grp.com/globalSearch/LMC6762BIM/page-1", "LMC6762BIM")</f>
        <v>LMC6762BIM</v>
      </c>
      <c r="B2852" s="3" t="str">
        <f>HYPERLINK("https://www.773grp.com/manufacturer/national-semiconductor?pageNo=37", "National Semiconductor")</f>
        <v>National Semiconductor</v>
      </c>
      <c r="C2852" s="6">
        <v>12401</v>
      </c>
      <c r="D2852" s="7">
        <v>3.91</v>
      </c>
      <c r="E2852" t="s">
        <v>9</v>
      </c>
    </row>
    <row r="2853" spans="1:5" x14ac:dyDescent="0.25">
      <c r="A2853" t="str">
        <f>HYPERLINK("https://www.773grp.com/globalSearch/LP3964ES-2.5-NOPB/page-1", "LP3964ES-2.5-NOPB")</f>
        <v>LP3964ES-2.5-NOPB</v>
      </c>
      <c r="B2853" s="3" t="str">
        <f>HYPERLINK("https://www.773grp.com/manufacturer/national-semiconductor?pageNo=38", "National Semiconductor")</f>
        <v>National Semiconductor</v>
      </c>
      <c r="C2853" s="6">
        <v>3079</v>
      </c>
      <c r="D2853" s="7">
        <v>3.91</v>
      </c>
      <c r="E2853" t="s">
        <v>19</v>
      </c>
    </row>
    <row r="2854" spans="1:5" x14ac:dyDescent="0.25">
      <c r="A2854" t="str">
        <f>HYPERLINK("https://www.773grp.com/globalSearch/LP3964ES-3.3-NOPB/page-1", "LP3964ES-3.3-NOPB")</f>
        <v>LP3964ES-3.3-NOPB</v>
      </c>
      <c r="B2854" s="3" t="str">
        <f>HYPERLINK("https://www.773grp.com/manufacturer/national-semiconductor?pageNo=39", "National Semiconductor")</f>
        <v>National Semiconductor</v>
      </c>
      <c r="C2854" s="6">
        <v>486</v>
      </c>
      <c r="D2854" s="7">
        <v>3.91</v>
      </c>
      <c r="E2854" t="s">
        <v>19</v>
      </c>
    </row>
    <row r="2855" spans="1:5" x14ac:dyDescent="0.25">
      <c r="A2855" t="str">
        <f>HYPERLINK("https://www.773grp.com/globalSearch/MM54HC11J-883/page-1", "MM54HC11J-883")</f>
        <v>MM54HC11J-883</v>
      </c>
      <c r="B2855" s="3" t="str">
        <f>HYPERLINK("https://www.773grp.com/manufacturer/national-semiconductor?pageNo=40", "National Semiconductor")</f>
        <v>National Semiconductor</v>
      </c>
      <c r="C2855" s="6">
        <v>6</v>
      </c>
      <c r="D2855" s="7">
        <v>3.91</v>
      </c>
    </row>
    <row r="2856" spans="1:5" x14ac:dyDescent="0.25">
      <c r="A2856" t="str">
        <f>HYPERLINK("https://www.773grp.com/globalSearch/DS90LV028ATM/page-1", "DS90LV028ATM")</f>
        <v>DS90LV028ATM</v>
      </c>
      <c r="B2856" s="3" t="str">
        <f>HYPERLINK("https://www.773grp.com/manufacturer/national-semiconductor?pageNo=41", "National Semiconductor")</f>
        <v>National Semiconductor</v>
      </c>
      <c r="C2856" s="6">
        <v>748</v>
      </c>
      <c r="D2856" s="7">
        <v>3.91</v>
      </c>
      <c r="E2856" t="s">
        <v>21</v>
      </c>
    </row>
    <row r="2857" spans="1:5" x14ac:dyDescent="0.25">
      <c r="A2857" t="str">
        <f>HYPERLINK("https://www.773grp.com/globalSearch/LM2575M-5.0/page-1", "LM2575M-5.0")</f>
        <v>LM2575M-5.0</v>
      </c>
      <c r="B2857" s="3" t="str">
        <f>HYPERLINK("https://www.773grp.com/manufacturer/national-semiconductor?pageNo=42", "National Semiconductor")</f>
        <v>National Semiconductor</v>
      </c>
      <c r="C2857" s="6">
        <v>147</v>
      </c>
      <c r="D2857" s="7">
        <v>3.91</v>
      </c>
      <c r="E2857" t="s">
        <v>7</v>
      </c>
    </row>
    <row r="2858" spans="1:5" x14ac:dyDescent="0.25">
      <c r="A2858" t="str">
        <f>HYPERLINK("https://www.773grp.com/globalSearch/LM4562MA-NOPB/page-1", "LM4562MA-NOPB")</f>
        <v>LM4562MA-NOPB</v>
      </c>
      <c r="B2858" s="3" t="str">
        <f>HYPERLINK("https://www.773grp.com/manufacturer/national-semiconductor?pageNo=43", "National Semiconductor")</f>
        <v>National Semiconductor</v>
      </c>
      <c r="C2858" s="6">
        <v>1792</v>
      </c>
      <c r="D2858" s="7">
        <v>3.91</v>
      </c>
    </row>
    <row r="2859" spans="1:5" x14ac:dyDescent="0.25">
      <c r="A2859" t="str">
        <f>HYPERLINK("https://www.773grp.com/globalSearch/LM5100BMA-NOPB/page-1", "LM5100BMA-NOPB")</f>
        <v>LM5100BMA-NOPB</v>
      </c>
      <c r="B2859" s="3" t="str">
        <f>HYPERLINK("https://www.773grp.com/manufacturer/national-semiconductor?pageNo=44", "National Semiconductor")</f>
        <v>National Semiconductor</v>
      </c>
      <c r="C2859" s="6">
        <v>606</v>
      </c>
      <c r="D2859" s="7">
        <v>3.91</v>
      </c>
    </row>
    <row r="2860" spans="1:5" x14ac:dyDescent="0.25">
      <c r="A2860" t="str">
        <f>HYPERLINK("https://www.773grp.com/globalSearch/LM5101BMA-NOPB/page-1", "LM5101BMA-NOPB")</f>
        <v>LM5101BMA-NOPB</v>
      </c>
      <c r="B2860" s="3" t="str">
        <f>HYPERLINK("https://www.773grp.com/manufacturer/national-semiconductor?pageNo=45", "National Semiconductor")</f>
        <v>National Semiconductor</v>
      </c>
      <c r="C2860" s="6">
        <v>125</v>
      </c>
      <c r="D2860" s="7">
        <v>3.91</v>
      </c>
    </row>
    <row r="2861" spans="1:5" x14ac:dyDescent="0.25">
      <c r="A2861" t="str">
        <f>HYPERLINK("https://www.773grp.com/globalSearch/LMC6762AIMX/page-1", "LMC6762AIMX")</f>
        <v>LMC6762AIMX</v>
      </c>
      <c r="B2861" s="3" t="str">
        <f>HYPERLINK("https://www.773grp.com/manufacturer/national-semiconductor?pageNo=46", "National Semiconductor")</f>
        <v>National Semiconductor</v>
      </c>
      <c r="C2861" s="6">
        <v>2500</v>
      </c>
      <c r="D2861" s="7">
        <v>3.91</v>
      </c>
    </row>
    <row r="2862" spans="1:5" x14ac:dyDescent="0.25">
      <c r="A2862" t="str">
        <f>HYPERLINK("https://www.773grp.com/globalSearch/LMH6646MM/page-1", "LMH6646MM")</f>
        <v>LMH6646MM</v>
      </c>
      <c r="B2862" s="3" t="str">
        <f>HYPERLINK("https://www.773grp.com/manufacturer/national-semiconductor?pageNo=47", "National Semiconductor")</f>
        <v>National Semiconductor</v>
      </c>
      <c r="C2862" s="6">
        <v>33000</v>
      </c>
      <c r="D2862" s="7">
        <v>3.91</v>
      </c>
    </row>
    <row r="2863" spans="1:5" x14ac:dyDescent="0.25">
      <c r="A2863" t="str">
        <f>HYPERLINK("https://www.773grp.com/globalSearch/LP3964ES-2.5-NOPB/page-1", "LP3964ES-2.5-NOPB")</f>
        <v>LP3964ES-2.5-NOPB</v>
      </c>
      <c r="B2863" s="3" t="str">
        <f>HYPERLINK("https://www.773grp.com/manufacturer/national-semiconductor?pageNo=48", "National Semiconductor")</f>
        <v>National Semiconductor</v>
      </c>
      <c r="C2863" s="6">
        <v>250</v>
      </c>
      <c r="D2863" s="7">
        <v>3.91</v>
      </c>
      <c r="E2863" t="s">
        <v>19</v>
      </c>
    </row>
    <row r="2864" spans="1:5" x14ac:dyDescent="0.25">
      <c r="A2864" t="str">
        <f>HYPERLINK("https://www.773grp.com/globalSearch/LP3964ES-3.3-NOPB/page-1", "LP3964ES-3.3-NOPB")</f>
        <v>LP3964ES-3.3-NOPB</v>
      </c>
      <c r="B2864" s="3" t="str">
        <f>HYPERLINK("https://www.773grp.com/manufacturer/national-semiconductor?pageNo=49", "National Semiconductor")</f>
        <v>National Semiconductor</v>
      </c>
      <c r="C2864" s="6">
        <v>946</v>
      </c>
      <c r="D2864" s="7">
        <v>3.91</v>
      </c>
      <c r="E2864" t="s">
        <v>19</v>
      </c>
    </row>
    <row r="2865" spans="1:5" x14ac:dyDescent="0.25">
      <c r="A2865" t="str">
        <f>HYPERLINK("https://www.773grp.com/globalSearch/LP3964ES-ADJ-NOPB/page-1", "LP3964ES-ADJ-NOPB")</f>
        <v>LP3964ES-ADJ-NOPB</v>
      </c>
      <c r="B2865" s="3" t="str">
        <f>HYPERLINK("https://www.773grp.com/manufacturer/national-semiconductor?pageNo=50", "National Semiconductor")</f>
        <v>National Semiconductor</v>
      </c>
      <c r="C2865" s="6">
        <v>265</v>
      </c>
      <c r="D2865" s="7">
        <v>3.91</v>
      </c>
    </row>
    <row r="2866" spans="1:5" x14ac:dyDescent="0.25">
      <c r="A2866" t="str">
        <f>HYPERLINK("https://www.773grp.com/globalSearch/OPA37GP/page-1", "OPA37GP")</f>
        <v>OPA37GP</v>
      </c>
      <c r="B2866" s="3" t="str">
        <f>HYPERLINK("https://www.773grp.com/manufacturer/national-semiconductor?pageNo=51", "National Semiconductor")</f>
        <v>National Semiconductor</v>
      </c>
      <c r="C2866" s="6">
        <v>100</v>
      </c>
      <c r="D2866" s="7">
        <v>3.91</v>
      </c>
    </row>
    <row r="2867" spans="1:5" x14ac:dyDescent="0.25">
      <c r="A2867" t="str">
        <f>HYPERLINK("https://www.773grp.com/globalSearch/5442ADMQB/page-1", "5442ADMQB")</f>
        <v>5442ADMQB</v>
      </c>
      <c r="B2867" s="3" t="str">
        <f>HYPERLINK("https://www.773grp.com/manufacturer/national-semiconductor?pageNo=52", "National Semiconductor")</f>
        <v>National Semiconductor</v>
      </c>
      <c r="C2867" s="6">
        <v>166</v>
      </c>
      <c r="D2867" s="7">
        <v>3.94</v>
      </c>
      <c r="E2867" t="s">
        <v>36</v>
      </c>
    </row>
    <row r="2868" spans="1:5" x14ac:dyDescent="0.25">
      <c r="A2868" t="str">
        <f>HYPERLINK("https://www.773grp.com/globalSearch/54LS21FMQB/page-1", "54LS21FMQB")</f>
        <v>54LS21FMQB</v>
      </c>
      <c r="B2868" s="3" t="str">
        <f>HYPERLINK("https://www.773grp.com/manufacturer/national-semiconductor?pageNo=53", "National Semiconductor")</f>
        <v>National Semiconductor</v>
      </c>
      <c r="C2868" s="6">
        <v>54</v>
      </c>
      <c r="D2868" s="7">
        <v>3.94</v>
      </c>
      <c r="E2868" t="s">
        <v>31</v>
      </c>
    </row>
    <row r="2869" spans="1:5" x14ac:dyDescent="0.25">
      <c r="A2869" t="str">
        <f>HYPERLINK("https://www.773grp.com/globalSearch/54LS21LM/page-1", "54LS21LM")</f>
        <v>54LS21LM</v>
      </c>
      <c r="B2869" s="3" t="str">
        <f>HYPERLINK("https://www.773grp.com/manufacturer/national-semiconductor?pageNo=54", "National Semiconductor")</f>
        <v>National Semiconductor</v>
      </c>
      <c r="C2869" s="6">
        <v>610</v>
      </c>
      <c r="D2869" s="7">
        <v>3.94</v>
      </c>
    </row>
    <row r="2870" spans="1:5" x14ac:dyDescent="0.25">
      <c r="A2870" t="str">
        <f>HYPERLINK("https://www.773grp.com/globalSearch/54LS27FM/page-1", "54LS27FM")</f>
        <v>54LS27FM</v>
      </c>
      <c r="B2870" s="3" t="str">
        <f>HYPERLINK("https://www.773grp.com/manufacturer/national-semiconductor?pageNo=55", "National Semiconductor")</f>
        <v>National Semiconductor</v>
      </c>
      <c r="C2870" s="6">
        <v>591</v>
      </c>
      <c r="D2870" s="7">
        <v>3.94</v>
      </c>
    </row>
    <row r="2871" spans="1:5" x14ac:dyDescent="0.25">
      <c r="A2871" t="str">
        <f>HYPERLINK("https://www.773grp.com/globalSearch/54LS27LM/page-1", "54LS27LM")</f>
        <v>54LS27LM</v>
      </c>
      <c r="B2871" s="3" t="str">
        <f>HYPERLINK("https://www.773grp.com/manufacturer/national-semiconductor?pageNo=56", "National Semiconductor")</f>
        <v>National Semiconductor</v>
      </c>
      <c r="C2871" s="6">
        <v>326</v>
      </c>
      <c r="D2871" s="7">
        <v>3.94</v>
      </c>
    </row>
    <row r="2872" spans="1:5" x14ac:dyDescent="0.25">
      <c r="A2872" t="str">
        <f>HYPERLINK("https://www.773grp.com/globalSearch/54LS30FM/page-1", "54LS30FM")</f>
        <v>54LS30FM</v>
      </c>
      <c r="B2872" s="3" t="str">
        <f>HYPERLINK("https://www.773grp.com/manufacturer/national-semiconductor?pageNo=57", "National Semiconductor")</f>
        <v>National Semiconductor</v>
      </c>
      <c r="C2872" s="6">
        <v>202</v>
      </c>
      <c r="D2872" s="7">
        <v>3.94</v>
      </c>
    </row>
    <row r="2873" spans="1:5" x14ac:dyDescent="0.25">
      <c r="A2873" t="str">
        <f>HYPERLINK("https://www.773grp.com/globalSearch/54LS30FMQB/page-1", "54LS30FMQB")</f>
        <v>54LS30FMQB</v>
      </c>
      <c r="B2873" s="3" t="str">
        <f>HYPERLINK("https://www.773grp.com/manufacturer/national-semiconductor?pageNo=58", "National Semiconductor")</f>
        <v>National Semiconductor</v>
      </c>
      <c r="C2873" s="6">
        <v>4200</v>
      </c>
      <c r="D2873" s="7">
        <v>3.94</v>
      </c>
      <c r="E2873" t="s">
        <v>31</v>
      </c>
    </row>
    <row r="2874" spans="1:5" x14ac:dyDescent="0.25">
      <c r="A2874" t="str">
        <f>HYPERLINK("https://www.773grp.com/globalSearch/54LS32FM/page-1", "54LS32FM")</f>
        <v>54LS32FM</v>
      </c>
      <c r="B2874" s="3" t="str">
        <f>HYPERLINK("https://www.773grp.com/manufacturer/national-semiconductor?pageNo=59", "National Semiconductor")</f>
        <v>National Semiconductor</v>
      </c>
      <c r="C2874" s="6">
        <v>3129</v>
      </c>
      <c r="D2874" s="7">
        <v>3.94</v>
      </c>
    </row>
    <row r="2875" spans="1:5" x14ac:dyDescent="0.25">
      <c r="A2875" t="str">
        <f>HYPERLINK("https://www.773grp.com/globalSearch/54LS32FMQB/page-1", "54LS32FMQB")</f>
        <v>54LS32FMQB</v>
      </c>
      <c r="B2875" s="3" t="str">
        <f>HYPERLINK("https://www.773grp.com/manufacturer/national-semiconductor?pageNo=60", "National Semiconductor")</f>
        <v>National Semiconductor</v>
      </c>
      <c r="C2875" s="6">
        <v>3992</v>
      </c>
      <c r="D2875" s="7">
        <v>3.94</v>
      </c>
      <c r="E2875" t="s">
        <v>31</v>
      </c>
    </row>
    <row r="2876" spans="1:5" x14ac:dyDescent="0.25">
      <c r="A2876" t="str">
        <f>HYPERLINK("https://www.773grp.com/globalSearch/54LS40FMQB/page-1", "54LS40FMQB")</f>
        <v>54LS40FMQB</v>
      </c>
      <c r="B2876" s="3" t="str">
        <f>HYPERLINK("https://www.773grp.com/manufacturer/national-semiconductor?pageNo=61", "National Semiconductor")</f>
        <v>National Semiconductor</v>
      </c>
      <c r="C2876" s="6">
        <v>2454</v>
      </c>
      <c r="D2876" s="7">
        <v>3.94</v>
      </c>
      <c r="E2876" t="s">
        <v>31</v>
      </c>
    </row>
    <row r="2877" spans="1:5" x14ac:dyDescent="0.25">
      <c r="A2877" t="str">
        <f>HYPERLINK("https://www.773grp.com/globalSearch/9301PCQR/page-1", "9301PCQR")</f>
        <v>9301PCQR</v>
      </c>
      <c r="B2877" s="3" t="str">
        <f>HYPERLINK("https://www.773grp.com/manufacturer/national-semiconductor?pageNo=62", "National Semiconductor")</f>
        <v>National Semiconductor</v>
      </c>
      <c r="C2877" s="6">
        <v>2015</v>
      </c>
      <c r="D2877" s="7">
        <v>3.94</v>
      </c>
    </row>
    <row r="2878" spans="1:5" x14ac:dyDescent="0.25">
      <c r="A2878" t="str">
        <f>HYPERLINK("https://www.773grp.com/globalSearch/9309PC/page-1", "9309PC")</f>
        <v>9309PC</v>
      </c>
      <c r="B2878" s="3" t="str">
        <f>HYPERLINK("https://www.773grp.com/manufacturer/national-semiconductor?pageNo=63", "National Semiconductor")</f>
        <v>National Semiconductor</v>
      </c>
      <c r="C2878" s="6">
        <v>3902</v>
      </c>
      <c r="D2878" s="7">
        <v>3.94</v>
      </c>
    </row>
    <row r="2879" spans="1:5" x14ac:dyDescent="0.25">
      <c r="A2879" t="str">
        <f>HYPERLINK("https://www.773grp.com/globalSearch/DAC102S085CISD/page-1", "DAC102S085CISD")</f>
        <v>DAC102S085CISD</v>
      </c>
      <c r="B2879" s="3" t="str">
        <f>HYPERLINK("https://www.773grp.com/manufacturer/national-semiconductor?pageNo=64", "National Semiconductor")</f>
        <v>National Semiconductor</v>
      </c>
      <c r="C2879" s="6">
        <v>2000</v>
      </c>
      <c r="D2879" s="7">
        <v>3.94</v>
      </c>
      <c r="E2879" t="s">
        <v>33</v>
      </c>
    </row>
    <row r="2880" spans="1:5" x14ac:dyDescent="0.25">
      <c r="A2880" t="str">
        <f>HYPERLINK("https://www.773grp.com/globalSearch/DAC102S085CISD-NOPB/page-1", "DAC102S085CISD-NOPB")</f>
        <v>DAC102S085CISD-NOPB</v>
      </c>
      <c r="B2880" s="3" t="str">
        <f>HYPERLINK("https://www.773grp.com/manufacturer/national-semiconductor?pageNo=65", "National Semiconductor")</f>
        <v>National Semiconductor</v>
      </c>
      <c r="C2880" s="6">
        <v>1000</v>
      </c>
      <c r="D2880" s="7">
        <v>3.94</v>
      </c>
    </row>
    <row r="2881" spans="1:5" x14ac:dyDescent="0.25">
      <c r="A2881" t="str">
        <f>HYPERLINK("https://www.773grp.com/globalSearch/DM7001J-883/page-1", "DM7001J-883")</f>
        <v>DM7001J-883</v>
      </c>
      <c r="B2881" s="3" t="str">
        <f>HYPERLINK("https://www.773grp.com/manufacturer/national-semiconductor?pageNo=66", "National Semiconductor")</f>
        <v>National Semiconductor</v>
      </c>
      <c r="C2881" s="6">
        <v>1029</v>
      </c>
      <c r="D2881" s="7">
        <v>3.94</v>
      </c>
    </row>
    <row r="2882" spans="1:5" x14ac:dyDescent="0.25">
      <c r="A2882" t="str">
        <f>HYPERLINK("https://www.773grp.com/globalSearch/DM8301N/page-1", "DM8301N")</f>
        <v>DM8301N</v>
      </c>
      <c r="B2882" s="3" t="str">
        <f>HYPERLINK("https://www.773grp.com/manufacturer/national-semiconductor?pageNo=67", "National Semiconductor")</f>
        <v>National Semiconductor</v>
      </c>
      <c r="C2882" s="6">
        <v>1100</v>
      </c>
      <c r="D2882" s="7">
        <v>3.94</v>
      </c>
    </row>
    <row r="2883" spans="1:5" x14ac:dyDescent="0.25">
      <c r="A2883" t="str">
        <f>HYPERLINK("https://www.773grp.com/globalSearch/DM8309N/page-1", "DM8309N")</f>
        <v>DM8309N</v>
      </c>
      <c r="B2883" s="3" t="str">
        <f>HYPERLINK("https://www.773grp.com/manufacturer/national-semiconductor?pageNo=68", "National Semiconductor")</f>
        <v>National Semiconductor</v>
      </c>
      <c r="C2883" s="6">
        <v>2911</v>
      </c>
      <c r="D2883" s="7">
        <v>3.94</v>
      </c>
    </row>
    <row r="2884" spans="1:5" x14ac:dyDescent="0.25">
      <c r="A2884" t="str">
        <f>HYPERLINK("https://www.773grp.com/globalSearch/DS90C401MX/page-1", "DS90C401MX")</f>
        <v>DS90C401MX</v>
      </c>
      <c r="B2884" s="3" t="str">
        <f>HYPERLINK("https://www.773grp.com/manufacturer/national-semiconductor?pageNo=69", "National Semiconductor")</f>
        <v>National Semiconductor</v>
      </c>
      <c r="C2884" s="6">
        <v>2500</v>
      </c>
      <c r="D2884" s="7">
        <v>3.94</v>
      </c>
      <c r="E2884" t="s">
        <v>21</v>
      </c>
    </row>
    <row r="2885" spans="1:5" x14ac:dyDescent="0.25">
      <c r="A2885" t="str">
        <f>HYPERLINK("https://www.773grp.com/globalSearch/GAL16V8QS-15LVC/page-1", "GAL16V8QS-15LVC")</f>
        <v>GAL16V8QS-15LVC</v>
      </c>
      <c r="B2885" s="3" t="str">
        <f>HYPERLINK("https://www.773grp.com/manufacturer/national-semiconductor?pageNo=70", "National Semiconductor")</f>
        <v>National Semiconductor</v>
      </c>
      <c r="C2885" s="6">
        <v>1898</v>
      </c>
      <c r="D2885" s="7">
        <v>3.94</v>
      </c>
    </row>
    <row r="2886" spans="1:5" x14ac:dyDescent="0.25">
      <c r="A2886" t="str">
        <f>HYPERLINK("https://www.773grp.com/globalSearch/LM2651MTCX-3.3-NOPB/page-1", "LM2651MTCX-3.3-NOPB")</f>
        <v>LM2651MTCX-3.3-NOPB</v>
      </c>
      <c r="B2886" s="3" t="str">
        <f>HYPERLINK("https://www.773grp.com/manufacturer/national-semiconductor?pageNo=71", "National Semiconductor")</f>
        <v>National Semiconductor</v>
      </c>
      <c r="C2886" s="6">
        <v>5000</v>
      </c>
      <c r="D2886" s="7">
        <v>3.94</v>
      </c>
      <c r="E2886" t="s">
        <v>7</v>
      </c>
    </row>
    <row r="2887" spans="1:5" x14ac:dyDescent="0.25">
      <c r="A2887" t="str">
        <f>HYPERLINK("https://www.773grp.com/globalSearch/LM2651MTCX-ADJ-NOPB/page-1", "LM2651MTCX-ADJ-NOPB")</f>
        <v>LM2651MTCX-ADJ-NOPB</v>
      </c>
      <c r="B2887" s="3" t="str">
        <f>HYPERLINK("https://www.773grp.com/manufacturer/national-semiconductor?pageNo=72", "National Semiconductor")</f>
        <v>National Semiconductor</v>
      </c>
      <c r="C2887" s="6">
        <v>10000</v>
      </c>
      <c r="D2887" s="7">
        <v>3.94</v>
      </c>
      <c r="E2887" t="s">
        <v>7</v>
      </c>
    </row>
    <row r="2888" spans="1:5" x14ac:dyDescent="0.25">
      <c r="A2888" t="str">
        <f>HYPERLINK("https://www.773grp.com/globalSearch/LM2695SD-NOPB/page-1", "LM2695SD-NOPB")</f>
        <v>LM2695SD-NOPB</v>
      </c>
      <c r="B2888" s="3" t="str">
        <f>HYPERLINK("https://www.773grp.com/manufacturer/national-semiconductor?pageNo=73", "National Semiconductor")</f>
        <v>National Semiconductor</v>
      </c>
      <c r="C2888" s="6">
        <v>2604</v>
      </c>
      <c r="D2888" s="7">
        <v>3.94</v>
      </c>
    </row>
    <row r="2889" spans="1:5" x14ac:dyDescent="0.25">
      <c r="A2889" t="str">
        <f>HYPERLINK("https://www.773grp.com/globalSearch/LM2727MTC/page-1", "LM2727MTC")</f>
        <v>LM2727MTC</v>
      </c>
      <c r="B2889" s="3" t="str">
        <f>HYPERLINK("https://www.773grp.com/manufacturer/national-semiconductor?pageNo=74", "National Semiconductor")</f>
        <v>National Semiconductor</v>
      </c>
      <c r="C2889" s="6">
        <v>737</v>
      </c>
      <c r="D2889" s="7">
        <v>3.94</v>
      </c>
      <c r="E2889" t="s">
        <v>7</v>
      </c>
    </row>
    <row r="2890" spans="1:5" x14ac:dyDescent="0.25">
      <c r="A2890" t="str">
        <f>HYPERLINK("https://www.773grp.com/globalSearch/LM27342QMYX-NOPB/page-1", "LM27342QMYX-NOPB")</f>
        <v>LM27342QMYX-NOPB</v>
      </c>
      <c r="B2890" s="3" t="str">
        <f>HYPERLINK("https://www.773grp.com/manufacturer/national-semiconductor?pageNo=75", "National Semiconductor")</f>
        <v>National Semiconductor</v>
      </c>
      <c r="C2890" s="6">
        <v>7000</v>
      </c>
      <c r="D2890" s="7">
        <v>3.94</v>
      </c>
    </row>
    <row r="2891" spans="1:5" x14ac:dyDescent="0.25">
      <c r="A2891" t="str">
        <f>HYPERLINK("https://www.773grp.com/globalSearch/LM2737MTC/page-1", "LM2737MTC")</f>
        <v>LM2737MTC</v>
      </c>
      <c r="B2891" s="3" t="str">
        <f>HYPERLINK("https://www.773grp.com/manufacturer/national-semiconductor?pageNo=76", "National Semiconductor")</f>
        <v>National Semiconductor</v>
      </c>
      <c r="C2891" s="6">
        <v>1130</v>
      </c>
      <c r="D2891" s="7">
        <v>3.94</v>
      </c>
      <c r="E2891" t="s">
        <v>7</v>
      </c>
    </row>
    <row r="2892" spans="1:5" x14ac:dyDescent="0.25">
      <c r="A2892" t="str">
        <f>HYPERLINK("https://www.773grp.com/globalSearch/LM2833ZMY-NOPB/page-1", "LM2833ZMY-NOPB")</f>
        <v>LM2833ZMY-NOPB</v>
      </c>
      <c r="B2892" s="3" t="str">
        <f>HYPERLINK("https://www.773grp.com/manufacturer/national-semiconductor?pageNo=77", "National Semiconductor")</f>
        <v>National Semiconductor</v>
      </c>
      <c r="C2892" s="6">
        <v>966</v>
      </c>
      <c r="D2892" s="7">
        <v>3.94</v>
      </c>
    </row>
    <row r="2893" spans="1:5" x14ac:dyDescent="0.25">
      <c r="A2893" t="str">
        <f>HYPERLINK("https://www.773grp.com/globalSearch/LM2833ZSD-NOPB/page-1", "LM2833ZSD-NOPB")</f>
        <v>LM2833ZSD-NOPB</v>
      </c>
      <c r="B2893" s="3" t="str">
        <f>HYPERLINK("https://www.773grp.com/manufacturer/national-semiconductor?pageNo=78", "National Semiconductor")</f>
        <v>National Semiconductor</v>
      </c>
      <c r="C2893" s="6">
        <v>711</v>
      </c>
      <c r="D2893" s="7">
        <v>3.94</v>
      </c>
    </row>
    <row r="2894" spans="1:5" x14ac:dyDescent="0.25">
      <c r="A2894" t="str">
        <f>HYPERLINK("https://www.773grp.com/globalSearch/LM5032MTCX-NOPB/page-1", "LM5032MTCX-NOPB")</f>
        <v>LM5032MTCX-NOPB</v>
      </c>
      <c r="B2894" s="3" t="str">
        <f>HYPERLINK("https://www.773grp.com/manufacturer/national-semiconductor?pageNo=79", "National Semiconductor")</f>
        <v>National Semiconductor</v>
      </c>
      <c r="C2894" s="6">
        <v>2000</v>
      </c>
      <c r="D2894" s="7">
        <v>3.94</v>
      </c>
      <c r="E2894" t="s">
        <v>7</v>
      </c>
    </row>
    <row r="2895" spans="1:5" x14ac:dyDescent="0.25">
      <c r="A2895" t="str">
        <f>HYPERLINK("https://www.773grp.com/globalSearch/LM6132AIMX-NOPB/page-1", "LM6132AIMX-NOPB")</f>
        <v>LM6132AIMX-NOPB</v>
      </c>
      <c r="B2895" s="3" t="str">
        <f>HYPERLINK("https://www.773grp.com/manufacturer/national-semiconductor?pageNo=80", "National Semiconductor")</f>
        <v>National Semiconductor</v>
      </c>
      <c r="C2895" s="6">
        <v>5100</v>
      </c>
      <c r="D2895" s="7">
        <v>3.94</v>
      </c>
      <c r="E2895" t="s">
        <v>13</v>
      </c>
    </row>
    <row r="2896" spans="1:5" x14ac:dyDescent="0.25">
      <c r="A2896" t="str">
        <f>HYPERLINK("https://www.773grp.com/globalSearch/LM6181IM-8-NOPB/page-1", "LM6181IM-8-NOPB")</f>
        <v>LM6181IM-8-NOPB</v>
      </c>
      <c r="B2896" s="3" t="str">
        <f>HYPERLINK("https://www.773grp.com/manufacturer/national-semiconductor?pageNo=81", "National Semiconductor")</f>
        <v>National Semiconductor</v>
      </c>
      <c r="C2896" s="6">
        <v>1741</v>
      </c>
      <c r="D2896" s="7">
        <v>3.94</v>
      </c>
      <c r="E2896" t="s">
        <v>18</v>
      </c>
    </row>
    <row r="2897" spans="1:5" x14ac:dyDescent="0.25">
      <c r="A2897" t="str">
        <f>HYPERLINK("https://www.773grp.com/globalSearch/LM8333GGR8X/page-1", "LM8333GGR8X")</f>
        <v>LM8333GGR8X</v>
      </c>
      <c r="B2897" s="3" t="str">
        <f>HYPERLINK("https://www.773grp.com/manufacturer/national-semiconductor?pageNo=82", "National Semiconductor")</f>
        <v>National Semiconductor</v>
      </c>
      <c r="C2897" s="6">
        <v>14000</v>
      </c>
      <c r="D2897" s="7">
        <v>3.94</v>
      </c>
      <c r="E2897" t="s">
        <v>42</v>
      </c>
    </row>
    <row r="2898" spans="1:5" x14ac:dyDescent="0.25">
      <c r="A2898" t="str">
        <f>HYPERLINK("https://www.773grp.com/globalSearch/LMS202ECMX-NOPB/page-1", "LMS202ECMX-NOPB")</f>
        <v>LMS202ECMX-NOPB</v>
      </c>
      <c r="B2898" s="3" t="str">
        <f>HYPERLINK("https://www.773grp.com/manufacturer/national-semiconductor?pageNo=83", "National Semiconductor")</f>
        <v>National Semiconductor</v>
      </c>
      <c r="C2898" s="6">
        <v>7500</v>
      </c>
      <c r="D2898" s="7">
        <v>3.94</v>
      </c>
      <c r="E2898" t="s">
        <v>21</v>
      </c>
    </row>
    <row r="2899" spans="1:5" x14ac:dyDescent="0.25">
      <c r="A2899" t="str">
        <f>HYPERLINK("https://www.773grp.com/globalSearch/LP38855S-1.2/page-1", "LP38855S-1.2")</f>
        <v>LP38855S-1.2</v>
      </c>
      <c r="B2899" s="3" t="str">
        <f>HYPERLINK("https://www.773grp.com/manufacturer/national-semiconductor?pageNo=84", "National Semiconductor")</f>
        <v>National Semiconductor</v>
      </c>
      <c r="C2899" s="6">
        <v>33</v>
      </c>
      <c r="D2899" s="7">
        <v>3.94</v>
      </c>
      <c r="E2899" t="s">
        <v>19</v>
      </c>
    </row>
    <row r="2900" spans="1:5" x14ac:dyDescent="0.25">
      <c r="A2900" t="str">
        <f>HYPERLINK("https://www.773grp.com/globalSearch/LP3892EMR-1.8/page-1", "LP3892EMR-1.8")</f>
        <v>LP3892EMR-1.8</v>
      </c>
      <c r="B2900" s="3" t="str">
        <f>HYPERLINK("https://www.773grp.com/manufacturer/national-semiconductor?pageNo=85", "National Semiconductor")</f>
        <v>National Semiconductor</v>
      </c>
      <c r="C2900" s="6">
        <v>95</v>
      </c>
      <c r="D2900" s="7">
        <v>3.94</v>
      </c>
      <c r="E2900" t="s">
        <v>19</v>
      </c>
    </row>
    <row r="2901" spans="1:5" x14ac:dyDescent="0.25">
      <c r="A2901" t="str">
        <f>HYPERLINK("https://www.773grp.com/globalSearch/MM54HC03J-883/page-1", "MM54HC03J-883")</f>
        <v>MM54HC03J-883</v>
      </c>
      <c r="B2901" s="3" t="str">
        <f>HYPERLINK("https://www.773grp.com/manufacturer/national-semiconductor?pageNo=86", "National Semiconductor")</f>
        <v>National Semiconductor</v>
      </c>
      <c r="C2901" s="6">
        <v>36</v>
      </c>
      <c r="D2901" s="7">
        <v>3.94</v>
      </c>
    </row>
    <row r="2902" spans="1:5" x14ac:dyDescent="0.25">
      <c r="A2902" t="str">
        <f>HYPERLINK("https://www.773grp.com/globalSearch/MM54HC32J-883/page-1", "MM54HC32J-883")</f>
        <v>MM54HC32J-883</v>
      </c>
      <c r="B2902" s="3" t="str">
        <f>HYPERLINK("https://www.773grp.com/manufacturer/national-semiconductor?pageNo=87", "National Semiconductor")</f>
        <v>National Semiconductor</v>
      </c>
      <c r="C2902" s="6">
        <v>105</v>
      </c>
      <c r="D2902" s="7">
        <v>3.94</v>
      </c>
    </row>
    <row r="2903" spans="1:5" x14ac:dyDescent="0.25">
      <c r="A2903" t="str">
        <f>HYPERLINK("https://www.773grp.com/globalSearch/DS90LV019TMX/page-1", "DS90LV019TMX")</f>
        <v>DS90LV019TMX</v>
      </c>
      <c r="B2903" s="3" t="str">
        <f>HYPERLINK("https://www.773grp.com/manufacturer/national-semiconductor?pageNo=88", "National Semiconductor")</f>
        <v>National Semiconductor</v>
      </c>
      <c r="C2903" s="6">
        <v>2500</v>
      </c>
      <c r="D2903" s="7">
        <v>3.94</v>
      </c>
    </row>
    <row r="2904" spans="1:5" x14ac:dyDescent="0.25">
      <c r="A2904" t="str">
        <f>HYPERLINK("https://www.773grp.com/globalSearch/DS91D176TMAX-NOPB/page-1", "DS91D176TMAX-NOPB")</f>
        <v>DS91D176TMAX-NOPB</v>
      </c>
      <c r="B2904" s="3" t="str">
        <f>HYPERLINK("https://www.773grp.com/manufacturer/national-semiconductor?pageNo=89", "National Semiconductor")</f>
        <v>National Semiconductor</v>
      </c>
      <c r="C2904" s="6">
        <v>2500</v>
      </c>
      <c r="D2904" s="7">
        <v>3.94</v>
      </c>
    </row>
    <row r="2905" spans="1:5" x14ac:dyDescent="0.25">
      <c r="A2905" t="str">
        <f>HYPERLINK("https://www.773grp.com/globalSearch/LM25005MHX-NOPB/page-1", "LM25005MHX-NOPB")</f>
        <v>LM25005MHX-NOPB</v>
      </c>
      <c r="B2905" s="3" t="str">
        <f>HYPERLINK("https://www.773grp.com/manufacturer/national-semiconductor?pageNo=90", "National Semiconductor")</f>
        <v>National Semiconductor</v>
      </c>
      <c r="C2905" s="6">
        <v>2180</v>
      </c>
      <c r="D2905" s="7">
        <v>3.94</v>
      </c>
    </row>
    <row r="2906" spans="1:5" x14ac:dyDescent="0.25">
      <c r="A2906" t="str">
        <f>HYPERLINK("https://www.773grp.com/globalSearch/LM25011AQ1MY-NOPB/page-1", "LM25011AQ1MY-NOPB")</f>
        <v>LM25011AQ1MY-NOPB</v>
      </c>
      <c r="B2906" s="3" t="str">
        <f>HYPERLINK("https://www.773grp.com/manufacturer/national-semiconductor?pageNo=91", "National Semiconductor")</f>
        <v>National Semiconductor</v>
      </c>
      <c r="C2906" s="6">
        <v>1000</v>
      </c>
      <c r="D2906" s="7">
        <v>3.94</v>
      </c>
    </row>
    <row r="2907" spans="1:5" x14ac:dyDescent="0.25">
      <c r="A2907" t="str">
        <f>HYPERLINK("https://www.773grp.com/globalSearch/LM2651MTCX-ADJ-NOPB/page-1", "LM2651MTCX-ADJ-NOPB")</f>
        <v>LM2651MTCX-ADJ-NOPB</v>
      </c>
      <c r="B2907" s="3" t="str">
        <f>HYPERLINK("https://www.773grp.com/manufacturer/national-semiconductor?pageNo=92", "National Semiconductor")</f>
        <v>National Semiconductor</v>
      </c>
      <c r="C2907" s="6">
        <v>17500</v>
      </c>
      <c r="D2907" s="7">
        <v>3.94</v>
      </c>
      <c r="E2907" t="s">
        <v>7</v>
      </c>
    </row>
    <row r="2908" spans="1:5" x14ac:dyDescent="0.25">
      <c r="A2908" t="str">
        <f>HYPERLINK("https://www.773grp.com/globalSearch/LM2695SD-NOPB/page-1", "LM2695SD-NOPB")</f>
        <v>LM2695SD-NOPB</v>
      </c>
      <c r="B2908" s="3" t="str">
        <f>HYPERLINK("https://www.773grp.com/manufacturer/national-semiconductor?pageNo=93", "National Semiconductor")</f>
        <v>National Semiconductor</v>
      </c>
      <c r="C2908" s="6">
        <v>3000</v>
      </c>
      <c r="D2908" s="7">
        <v>3.94</v>
      </c>
    </row>
    <row r="2909" spans="1:5" x14ac:dyDescent="0.25">
      <c r="A2909" t="str">
        <f>HYPERLINK("https://www.773grp.com/globalSearch/LM2727MTC/page-1", "LM2727MTC")</f>
        <v>LM2727MTC</v>
      </c>
      <c r="B2909" s="3" t="str">
        <f>HYPERLINK("https://www.773grp.com/manufacturer/national-semiconductor?pageNo=94", "National Semiconductor")</f>
        <v>National Semiconductor</v>
      </c>
      <c r="C2909" s="6">
        <v>164</v>
      </c>
      <c r="D2909" s="7">
        <v>3.94</v>
      </c>
      <c r="E2909" t="s">
        <v>7</v>
      </c>
    </row>
    <row r="2910" spans="1:5" x14ac:dyDescent="0.25">
      <c r="A2910" t="str">
        <f>HYPERLINK("https://www.773grp.com/globalSearch/LM27342QMY-NOPB/page-1", "LM27342QMY-NOPB")</f>
        <v>LM27342QMY-NOPB</v>
      </c>
      <c r="B2910" s="3" t="str">
        <f>HYPERLINK("https://www.773grp.com/manufacturer/national-semiconductor?pageNo=95", "National Semiconductor")</f>
        <v>National Semiconductor</v>
      </c>
      <c r="C2910" s="6">
        <v>827</v>
      </c>
      <c r="D2910" s="7">
        <v>3.94</v>
      </c>
    </row>
    <row r="2911" spans="1:5" x14ac:dyDescent="0.25">
      <c r="A2911" t="str">
        <f>HYPERLINK("https://www.773grp.com/globalSearch/LM2833ZMY-NOPB/page-1", "LM2833ZMY-NOPB")</f>
        <v>LM2833ZMY-NOPB</v>
      </c>
      <c r="B2911" s="3" t="str">
        <f>HYPERLINK("https://www.773grp.com/manufacturer/national-semiconductor?pageNo=96", "National Semiconductor")</f>
        <v>National Semiconductor</v>
      </c>
      <c r="C2911" s="6">
        <v>1892</v>
      </c>
      <c r="D2911" s="7">
        <v>3.94</v>
      </c>
    </row>
    <row r="2912" spans="1:5" x14ac:dyDescent="0.25">
      <c r="A2912" t="str">
        <f>HYPERLINK("https://www.773grp.com/globalSearch/LM2833ZSD-NOPB/page-1", "LM2833ZSD-NOPB")</f>
        <v>LM2833ZSD-NOPB</v>
      </c>
      <c r="B2912" s="3" t="str">
        <f>HYPERLINK("https://www.773grp.com/manufacturer/national-semiconductor?pageNo=97", "National Semiconductor")</f>
        <v>National Semiconductor</v>
      </c>
      <c r="C2912" s="6">
        <v>636</v>
      </c>
      <c r="D2912" s="7">
        <v>3.94</v>
      </c>
    </row>
    <row r="2913" spans="1:5" x14ac:dyDescent="0.25">
      <c r="A2913" t="str">
        <f>HYPERLINK("https://www.773grp.com/globalSearch/LM3210TLX-NOPB/page-1", "LM3210TLX-NOPB")</f>
        <v>LM3210TLX-NOPB</v>
      </c>
      <c r="B2913" s="3" t="str">
        <f>HYPERLINK("https://www.773grp.com/manufacturer/national-semiconductor?pageNo=98", "National Semiconductor")</f>
        <v>National Semiconductor</v>
      </c>
      <c r="C2913" s="6">
        <v>6000</v>
      </c>
      <c r="D2913" s="7">
        <v>3.94</v>
      </c>
    </row>
    <row r="2914" spans="1:5" x14ac:dyDescent="0.25">
      <c r="A2914" t="str">
        <f>HYPERLINK("https://www.773grp.com/globalSearch/LM5006MM-NOPB/page-1", "LM5006MM-NOPB")</f>
        <v>LM5006MM-NOPB</v>
      </c>
      <c r="B2914" s="3" t="str">
        <f>HYPERLINK("https://www.773grp.com/manufacturer/national-semiconductor?pageNo=99", "National Semiconductor")</f>
        <v>National Semiconductor</v>
      </c>
      <c r="C2914" s="6">
        <v>2491</v>
      </c>
      <c r="D2914" s="7">
        <v>3.94</v>
      </c>
    </row>
    <row r="2915" spans="1:5" x14ac:dyDescent="0.25">
      <c r="A2915" t="str">
        <f>HYPERLINK("https://www.773grp.com/globalSearch/LM5018SD-NOPB/page-1", "LM5018SD-NOPB")</f>
        <v>LM5018SD-NOPB</v>
      </c>
      <c r="B2915" s="3" t="str">
        <f>HYPERLINK("https://www.773grp.com/manufacturer/national-semiconductor?pageNo=100", "National Semiconductor")</f>
        <v>National Semiconductor</v>
      </c>
      <c r="C2915" s="6">
        <v>1000</v>
      </c>
      <c r="D2915" s="7">
        <v>3.94</v>
      </c>
    </row>
    <row r="2916" spans="1:5" x14ac:dyDescent="0.25">
      <c r="A2916" t="str">
        <f>HYPERLINK("https://www.773grp.com/globalSearch/LM6132AIMX-NOPB/page-1", "LM6132AIMX-NOPB")</f>
        <v>LM6132AIMX-NOPB</v>
      </c>
      <c r="B2916" s="3" t="str">
        <f>HYPERLINK("https://www.773grp.com/manufacturer/national-semiconductor?pageNo=101", "National Semiconductor")</f>
        <v>National Semiconductor</v>
      </c>
      <c r="C2916" s="6">
        <v>985</v>
      </c>
      <c r="D2916" s="7">
        <v>3.94</v>
      </c>
      <c r="E2916" t="s">
        <v>13</v>
      </c>
    </row>
    <row r="2917" spans="1:5" x14ac:dyDescent="0.25">
      <c r="A2917" t="str">
        <f>HYPERLINK("https://www.773grp.com/globalSearch/LM6181IM-8-NOPB/page-1", "LM6181IM-8-NOPB")</f>
        <v>LM6181IM-8-NOPB</v>
      </c>
      <c r="B2917" s="3" t="str">
        <f>HYPERLINK("https://www.773grp.com/manufacturer/national-semiconductor?pageNo=102", "National Semiconductor")</f>
        <v>National Semiconductor</v>
      </c>
      <c r="C2917" s="6">
        <v>5668</v>
      </c>
      <c r="D2917" s="7">
        <v>3.94</v>
      </c>
      <c r="E2917" t="s">
        <v>18</v>
      </c>
    </row>
    <row r="2918" spans="1:5" x14ac:dyDescent="0.25">
      <c r="A2918" t="str">
        <f>HYPERLINK("https://www.773grp.com/globalSearch/LMP7701MF/page-1", "LMP7701MF")</f>
        <v>LMP7701MF</v>
      </c>
      <c r="B2918" s="3" t="str">
        <f>HYPERLINK("https://www.773grp.com/manufacturer/national-semiconductor?pageNo=103", "National Semiconductor")</f>
        <v>National Semiconductor</v>
      </c>
      <c r="C2918" s="6">
        <v>225</v>
      </c>
      <c r="D2918" s="7">
        <v>3.94</v>
      </c>
    </row>
    <row r="2919" spans="1:5" x14ac:dyDescent="0.25">
      <c r="A2919" t="str">
        <f>HYPERLINK("https://www.773grp.com/globalSearch/LMS202ECMX-NOPB/page-1", "LMS202ECMX-NOPB")</f>
        <v>LMS202ECMX-NOPB</v>
      </c>
      <c r="B2919" s="3" t="str">
        <f>HYPERLINK("https://www.773grp.com/manufacturer/national-semiconductor?pageNo=104", "National Semiconductor")</f>
        <v>National Semiconductor</v>
      </c>
      <c r="C2919" s="6">
        <v>5000</v>
      </c>
      <c r="D2919" s="7">
        <v>3.94</v>
      </c>
      <c r="E2919" t="s">
        <v>21</v>
      </c>
    </row>
    <row r="2920" spans="1:5" x14ac:dyDescent="0.25">
      <c r="A2920" t="str">
        <f>HYPERLINK("https://www.773grp.com/globalSearch/LP38858S-1.2/page-1", "LP38858S-1.2")</f>
        <v>LP38858S-1.2</v>
      </c>
      <c r="B2920" s="3" t="str">
        <f>HYPERLINK("https://www.773grp.com/manufacturer/national-semiconductor?pageNo=105", "National Semiconductor")</f>
        <v>National Semiconductor</v>
      </c>
      <c r="C2920" s="6">
        <v>360</v>
      </c>
      <c r="D2920" s="7">
        <v>3.94</v>
      </c>
    </row>
    <row r="2921" spans="1:5" x14ac:dyDescent="0.25">
      <c r="A2921" t="str">
        <f>HYPERLINK("https://www.773grp.com/globalSearch/LP3925RMX-A-NOPB/page-1", "LP3925RMX-A-NOPB")</f>
        <v>LP3925RMX-A-NOPB</v>
      </c>
      <c r="B2921" s="3" t="str">
        <f>HYPERLINK("https://www.773grp.com/manufacturer/national-semiconductor?pageNo=106", "National Semiconductor")</f>
        <v>National Semiconductor</v>
      </c>
      <c r="C2921" s="6">
        <v>17000</v>
      </c>
      <c r="D2921" s="7">
        <v>3.94</v>
      </c>
    </row>
    <row r="2922" spans="1:5" x14ac:dyDescent="0.25">
      <c r="A2922" t="str">
        <f>HYPERLINK("https://www.773grp.com/globalSearch/LP3925RMX-E-NOPB/page-1", "LP3925RMX-E-NOPB")</f>
        <v>LP3925RMX-E-NOPB</v>
      </c>
      <c r="B2922" s="3" t="str">
        <f>HYPERLINK("https://www.773grp.com/manufacturer/national-semiconductor?pageNo=107", "National Semiconductor")</f>
        <v>National Semiconductor</v>
      </c>
      <c r="C2922" s="6">
        <v>155000</v>
      </c>
      <c r="D2922" s="7">
        <v>3.94</v>
      </c>
    </row>
    <row r="2923" spans="1:5" x14ac:dyDescent="0.25">
      <c r="A2923" t="str">
        <f>HYPERLINK("https://www.773grp.com/globalSearch/MAX3318ECDB/page-1", "MAX3318ECDB")</f>
        <v>MAX3318ECDB</v>
      </c>
      <c r="B2923" s="3" t="str">
        <f>HYPERLINK("https://www.773grp.com/manufacturer/national-semiconductor?pageNo=108", "National Semiconductor")</f>
        <v>National Semiconductor</v>
      </c>
      <c r="C2923" s="6">
        <v>2240</v>
      </c>
      <c r="D2923" s="7">
        <v>3.94</v>
      </c>
    </row>
    <row r="2924" spans="1:5" x14ac:dyDescent="0.25">
      <c r="A2924" t="str">
        <f>HYPERLINK("https://www.773grp.com/globalSearch/TPS76850MPWPREP/page-1", "TPS76850MPWPREP")</f>
        <v>TPS76850MPWPREP</v>
      </c>
      <c r="B2924" s="3" t="str">
        <f>HYPERLINK("https://www.773grp.com/manufacturer/national-semiconductor?pageNo=109", "National Semiconductor")</f>
        <v>National Semiconductor</v>
      </c>
      <c r="C2924" s="6">
        <v>1800</v>
      </c>
      <c r="D2924" s="7">
        <v>3.94</v>
      </c>
    </row>
    <row r="2925" spans="1:5" x14ac:dyDescent="0.25">
      <c r="A2925" t="str">
        <f>HYPERLINK("https://www.773grp.com/globalSearch/5495ADMQB/page-1", "5495ADMQB")</f>
        <v>5495ADMQB</v>
      </c>
      <c r="B2925" s="3" t="str">
        <f>HYPERLINK("https://www.773grp.com/manufacturer/national-semiconductor?pageNo=110", "National Semiconductor")</f>
        <v>National Semiconductor</v>
      </c>
      <c r="C2925" s="6">
        <v>6</v>
      </c>
      <c r="D2925" s="7">
        <v>3.96</v>
      </c>
      <c r="E2925" t="s">
        <v>32</v>
      </c>
    </row>
    <row r="2926" spans="1:5" x14ac:dyDescent="0.25">
      <c r="A2926" t="str">
        <f>HYPERLINK("https://www.773grp.com/globalSearch/54F32DC/page-1", "54F32DC")</f>
        <v>54F32DC</v>
      </c>
      <c r="B2926" s="3" t="str">
        <f>HYPERLINK("https://www.773grp.com/manufacturer/national-semiconductor?pageNo=111", "National Semiconductor")</f>
        <v>National Semiconductor</v>
      </c>
      <c r="C2926" s="6">
        <v>81</v>
      </c>
      <c r="D2926" s="7">
        <v>3.96</v>
      </c>
      <c r="E2926" t="s">
        <v>31</v>
      </c>
    </row>
    <row r="2927" spans="1:5" x14ac:dyDescent="0.25">
      <c r="A2927" t="str">
        <f>HYPERLINK("https://www.773grp.com/globalSearch/DS90C032TM/page-1", "DS90C032TM")</f>
        <v>DS90C032TM</v>
      </c>
      <c r="B2927" s="3" t="str">
        <f>HYPERLINK("https://www.773grp.com/manufacturer/national-semiconductor?pageNo=112", "National Semiconductor")</f>
        <v>National Semiconductor</v>
      </c>
      <c r="C2927" s="6">
        <v>2269</v>
      </c>
      <c r="D2927" s="7">
        <v>3.96</v>
      </c>
      <c r="E2927" t="s">
        <v>21</v>
      </c>
    </row>
    <row r="2928" spans="1:5" x14ac:dyDescent="0.25">
      <c r="A2928" t="str">
        <f>HYPERLINK("https://www.773grp.com/globalSearch/DS91C176TMAX-NOPB/page-1", "DS91C176TMAX-NOPB")</f>
        <v>DS91C176TMAX-NOPB</v>
      </c>
      <c r="B2928" s="3" t="str">
        <f>HYPERLINK("https://www.773grp.com/manufacturer/national-semiconductor?pageNo=113", "National Semiconductor")</f>
        <v>National Semiconductor</v>
      </c>
      <c r="C2928" s="6">
        <v>2500</v>
      </c>
      <c r="D2928" s="7">
        <v>3.96</v>
      </c>
    </row>
    <row r="2929" spans="1:5" x14ac:dyDescent="0.25">
      <c r="A2929" t="str">
        <f>HYPERLINK("https://www.773grp.com/globalSearch/LM49350RL-NOPB/page-1", "LM49350RL-NOPB")</f>
        <v>LM49350RL-NOPB</v>
      </c>
      <c r="B2929" s="3" t="str">
        <f>HYPERLINK("https://www.773grp.com/manufacturer/national-semiconductor?pageNo=114", "National Semiconductor")</f>
        <v>National Semiconductor</v>
      </c>
      <c r="C2929" s="6">
        <v>3154</v>
      </c>
      <c r="D2929" s="7">
        <v>3.96</v>
      </c>
      <c r="E2929" t="s">
        <v>23</v>
      </c>
    </row>
    <row r="2930" spans="1:5" x14ac:dyDescent="0.25">
      <c r="A2930" t="str">
        <f>HYPERLINK("https://www.773grp.com/globalSearch/LMC6042IN-NOPB/page-1", "LMC6042IN-NOPB")</f>
        <v>LMC6042IN-NOPB</v>
      </c>
      <c r="B2930" s="3" t="str">
        <f>HYPERLINK("https://www.773grp.com/manufacturer/national-semiconductor?pageNo=115", "National Semiconductor")</f>
        <v>National Semiconductor</v>
      </c>
      <c r="C2930" s="6">
        <v>454</v>
      </c>
      <c r="D2930" s="7">
        <v>3.96</v>
      </c>
      <c r="E2930" t="s">
        <v>13</v>
      </c>
    </row>
    <row r="2931" spans="1:5" x14ac:dyDescent="0.25">
      <c r="A2931" t="str">
        <f>HYPERLINK("https://www.773grp.com/globalSearch/LMC6762AIN/page-1", "LMC6762AIN")</f>
        <v>LMC6762AIN</v>
      </c>
      <c r="B2931" s="3" t="str">
        <f>HYPERLINK("https://www.773grp.com/manufacturer/national-semiconductor?pageNo=116", "National Semiconductor")</f>
        <v>National Semiconductor</v>
      </c>
      <c r="C2931" s="6">
        <v>8541</v>
      </c>
      <c r="D2931" s="7">
        <v>3.96</v>
      </c>
      <c r="E2931" t="s">
        <v>9</v>
      </c>
    </row>
    <row r="2932" spans="1:5" x14ac:dyDescent="0.25">
      <c r="A2932" t="str">
        <f>HYPERLINK("https://www.773grp.com/globalSearch/LMH6722MAX-NOPB/page-1", "LMH6722MAX-NOPB")</f>
        <v>LMH6722MAX-NOPB</v>
      </c>
      <c r="B2932" s="3" t="str">
        <f>HYPERLINK("https://www.773grp.com/manufacturer/national-semiconductor?pageNo=117", "National Semiconductor")</f>
        <v>National Semiconductor</v>
      </c>
      <c r="C2932" s="6">
        <v>29097</v>
      </c>
      <c r="D2932" s="7">
        <v>3.96</v>
      </c>
      <c r="E2932" t="s">
        <v>18</v>
      </c>
    </row>
    <row r="2933" spans="1:5" x14ac:dyDescent="0.25">
      <c r="A2933" t="str">
        <f>HYPERLINK("https://www.773grp.com/globalSearch/LMH6725MT/page-1", "LMH6725MT")</f>
        <v>LMH6725MT</v>
      </c>
      <c r="B2933" s="3" t="str">
        <f>HYPERLINK("https://www.773grp.com/manufacturer/national-semiconductor?pageNo=118", "National Semiconductor")</f>
        <v>National Semiconductor</v>
      </c>
      <c r="C2933" s="6">
        <v>131</v>
      </c>
      <c r="D2933" s="7">
        <v>3.96</v>
      </c>
      <c r="E2933" t="s">
        <v>13</v>
      </c>
    </row>
    <row r="2934" spans="1:5" x14ac:dyDescent="0.25">
      <c r="A2934" t="str">
        <f>HYPERLINK("https://www.773grp.com/globalSearch/LMH6725MT-NOPB/page-1", "LMH6725MT-NOPB")</f>
        <v>LMH6725MT-NOPB</v>
      </c>
      <c r="B2934" s="3" t="str">
        <f>HYPERLINK("https://www.773grp.com/manufacturer/national-semiconductor?pageNo=119", "National Semiconductor")</f>
        <v>National Semiconductor</v>
      </c>
      <c r="C2934" s="6">
        <v>311</v>
      </c>
      <c r="D2934" s="7">
        <v>3.96</v>
      </c>
      <c r="E2934" t="s">
        <v>13</v>
      </c>
    </row>
    <row r="2935" spans="1:5" x14ac:dyDescent="0.25">
      <c r="A2935" t="str">
        <f>HYPERLINK("https://www.773grp.com/globalSearch/LMH6725MTX/page-1", "LMH6725MTX")</f>
        <v>LMH6725MTX</v>
      </c>
      <c r="B2935" s="3" t="str">
        <f>HYPERLINK("https://www.773grp.com/manufacturer/national-semiconductor?pageNo=120", "National Semiconductor")</f>
        <v>National Semiconductor</v>
      </c>
      <c r="C2935" s="6">
        <v>2500</v>
      </c>
      <c r="D2935" s="7">
        <v>3.96</v>
      </c>
      <c r="E2935" t="s">
        <v>13</v>
      </c>
    </row>
    <row r="2936" spans="1:5" x14ac:dyDescent="0.25">
      <c r="A2936" t="str">
        <f>HYPERLINK("https://www.773grp.com/globalSearch/LMP8602QMA-NOPB/page-1", "LMP8602QMA-NOPB")</f>
        <v>LMP8602QMA-NOPB</v>
      </c>
      <c r="B2936" s="3" t="str">
        <f>HYPERLINK("https://www.773grp.com/manufacturer/national-semiconductor?pageNo=121", "National Semiconductor")</f>
        <v>National Semiconductor</v>
      </c>
      <c r="C2936" s="6">
        <v>190</v>
      </c>
      <c r="D2936" s="7">
        <v>3.96</v>
      </c>
    </row>
    <row r="2937" spans="1:5" x14ac:dyDescent="0.25">
      <c r="A2937" t="str">
        <f>HYPERLINK("https://www.773grp.com/globalSearch/MM74HC74AJ/page-1", "MM74HC74AJ")</f>
        <v>MM74HC74AJ</v>
      </c>
      <c r="B2937" s="3" t="str">
        <f>HYPERLINK("https://www.773grp.com/manufacturer/national-semiconductor?pageNo=122", "National Semiconductor")</f>
        <v>National Semiconductor</v>
      </c>
      <c r="C2937" s="6">
        <v>478</v>
      </c>
      <c r="D2937" s="7">
        <v>3.96</v>
      </c>
    </row>
    <row r="2938" spans="1:5" x14ac:dyDescent="0.25">
      <c r="A2938" t="str">
        <f>HYPERLINK("https://www.773grp.com/globalSearch/DS90C032TM/page-1", "DS90C032TM")</f>
        <v>DS90C032TM</v>
      </c>
      <c r="B2938" s="3" t="str">
        <f>HYPERLINK("https://www.773grp.com/manufacturer/national-semiconductor?pageNo=123", "National Semiconductor")</f>
        <v>National Semiconductor</v>
      </c>
      <c r="C2938" s="6">
        <v>2090</v>
      </c>
      <c r="D2938" s="7">
        <v>3.96</v>
      </c>
      <c r="E2938" t="s">
        <v>21</v>
      </c>
    </row>
    <row r="2939" spans="1:5" x14ac:dyDescent="0.25">
      <c r="A2939" t="str">
        <f>HYPERLINK("https://www.773grp.com/globalSearch/DS90C032TM/page-1", "DS90C032TM")</f>
        <v>DS90C032TM</v>
      </c>
      <c r="B2939" s="3" t="str">
        <f>HYPERLINK("https://www.773grp.com/manufacturer/national-semiconductor?pageNo=124", "National Semiconductor")</f>
        <v>National Semiconductor</v>
      </c>
      <c r="C2939" s="6">
        <v>19</v>
      </c>
      <c r="D2939" s="7">
        <v>3.96</v>
      </c>
      <c r="E2939" t="s">
        <v>21</v>
      </c>
    </row>
    <row r="2940" spans="1:5" x14ac:dyDescent="0.25">
      <c r="A2940" t="str">
        <f>HYPERLINK("https://www.773grp.com/globalSearch/DS92001TLD/page-1", "DS92001TLD")</f>
        <v>DS92001TLD</v>
      </c>
      <c r="B2940" s="3" t="str">
        <f>HYPERLINK("https://www.773grp.com/manufacturer/national-semiconductor?pageNo=125", "National Semiconductor")</f>
        <v>National Semiconductor</v>
      </c>
      <c r="C2940" s="6">
        <v>9000</v>
      </c>
      <c r="D2940" s="7">
        <v>3.96</v>
      </c>
    </row>
    <row r="2941" spans="1:5" x14ac:dyDescent="0.25">
      <c r="A2941" t="str">
        <f>HYPERLINK("https://www.773grp.com/globalSearch/LM49350RL-NOPB/page-1", "LM49350RL-NOPB")</f>
        <v>LM49350RL-NOPB</v>
      </c>
      <c r="B2941" s="3" t="str">
        <f>HYPERLINK("https://www.773grp.com/manufacturer/national-semiconductor?pageNo=126", "National Semiconductor")</f>
        <v>National Semiconductor</v>
      </c>
      <c r="C2941" s="6">
        <v>3000</v>
      </c>
      <c r="D2941" s="7">
        <v>3.96</v>
      </c>
      <c r="E2941" t="s">
        <v>23</v>
      </c>
    </row>
    <row r="2942" spans="1:5" x14ac:dyDescent="0.25">
      <c r="A2942" t="str">
        <f>HYPERLINK("https://www.773grp.com/globalSearch/LM49352RL-NOPB/page-1", "LM49352RL-NOPB")</f>
        <v>LM49352RL-NOPB</v>
      </c>
      <c r="B2942" s="3" t="str">
        <f>HYPERLINK("https://www.773grp.com/manufacturer/national-semiconductor?pageNo=127", "National Semiconductor")</f>
        <v>National Semiconductor</v>
      </c>
      <c r="C2942" s="6">
        <v>500</v>
      </c>
      <c r="D2942" s="7">
        <v>3.96</v>
      </c>
    </row>
    <row r="2943" spans="1:5" x14ac:dyDescent="0.25">
      <c r="A2943" t="str">
        <f>HYPERLINK("https://www.773grp.com/globalSearch/LMC6042IN-NOPB/page-1", "LMC6042IN-NOPB")</f>
        <v>LMC6042IN-NOPB</v>
      </c>
      <c r="B2943" s="3" t="str">
        <f>HYPERLINK("https://www.773grp.com/manufacturer/national-semiconductor?pageNo=128", "National Semiconductor")</f>
        <v>National Semiconductor</v>
      </c>
      <c r="C2943" s="6">
        <v>10</v>
      </c>
      <c r="D2943" s="7">
        <v>3.96</v>
      </c>
      <c r="E2943" t="s">
        <v>13</v>
      </c>
    </row>
    <row r="2944" spans="1:5" x14ac:dyDescent="0.25">
      <c r="A2944" t="str">
        <f>HYPERLINK("https://www.773grp.com/globalSearch/LMH6722MAX-NOPB/page-1", "LMH6722MAX-NOPB")</f>
        <v>LMH6722MAX-NOPB</v>
      </c>
      <c r="B2944" s="3" t="str">
        <f>HYPERLINK("https://www.773grp.com/manufacturer/national-semiconductor?pageNo=129", "National Semiconductor")</f>
        <v>National Semiconductor</v>
      </c>
      <c r="C2944" s="6">
        <v>5000</v>
      </c>
      <c r="D2944" s="7">
        <v>3.96</v>
      </c>
      <c r="E2944" t="s">
        <v>18</v>
      </c>
    </row>
    <row r="2945" spans="1:5" x14ac:dyDescent="0.25">
      <c r="A2945" t="str">
        <f>HYPERLINK("https://www.773grp.com/globalSearch/LMP8601QMA-NOPB/page-1", "LMP8601QMA-NOPB")</f>
        <v>LMP8601QMA-NOPB</v>
      </c>
      <c r="B2945" s="3" t="str">
        <f>HYPERLINK("https://www.773grp.com/manufacturer/national-semiconductor?pageNo=130", "National Semiconductor")</f>
        <v>National Semiconductor</v>
      </c>
      <c r="C2945" s="6">
        <v>1240</v>
      </c>
      <c r="D2945" s="7">
        <v>3.96</v>
      </c>
    </row>
    <row r="2946" spans="1:5" x14ac:dyDescent="0.25">
      <c r="A2946" t="str">
        <f>HYPERLINK("https://www.773grp.com/globalSearch/LMP8602QMA-NOPB/page-1", "LMP8602QMA-NOPB")</f>
        <v>LMP8602QMA-NOPB</v>
      </c>
      <c r="B2946" s="3" t="str">
        <f>HYPERLINK("https://www.773grp.com/manufacturer/national-semiconductor?pageNo=131", "National Semiconductor")</f>
        <v>National Semiconductor</v>
      </c>
      <c r="C2946" s="6">
        <v>4992</v>
      </c>
      <c r="D2946" s="7">
        <v>3.96</v>
      </c>
    </row>
    <row r="2947" spans="1:5" x14ac:dyDescent="0.25">
      <c r="A2947" t="str">
        <f>HYPERLINK("https://www.773grp.com/globalSearch/LMP8603QMA-NOPB/page-1", "LMP8603QMA-NOPB")</f>
        <v>LMP8603QMA-NOPB</v>
      </c>
      <c r="B2947" s="3" t="str">
        <f>HYPERLINK("https://www.773grp.com/manufacturer/national-semiconductor?pageNo=132", "National Semiconductor")</f>
        <v>National Semiconductor</v>
      </c>
      <c r="C2947" s="6">
        <v>5260</v>
      </c>
      <c r="D2947" s="7">
        <v>3.96</v>
      </c>
    </row>
    <row r="2948" spans="1:5" x14ac:dyDescent="0.25">
      <c r="A2948" t="str">
        <f>HYPERLINK("https://www.773grp.com/globalSearch/74F86LC/page-1", "74F86LC")</f>
        <v>74F86LC</v>
      </c>
      <c r="B2948" s="3" t="str">
        <f>HYPERLINK("https://www.773grp.com/manufacturer/national-semiconductor?pageNo=133", "National Semiconductor")</f>
        <v>National Semiconductor</v>
      </c>
      <c r="C2948" s="6">
        <v>3221</v>
      </c>
      <c r="D2948" s="7">
        <v>4.38</v>
      </c>
    </row>
    <row r="2949" spans="1:5" x14ac:dyDescent="0.25">
      <c r="A2949" t="str">
        <f>HYPERLINK("https://www.773grp.com/globalSearch/74LS247PC/page-1", "74LS247PC")</f>
        <v>74LS247PC</v>
      </c>
      <c r="B2949" s="3" t="str">
        <f>HYPERLINK("https://www.773grp.com/manufacturer/national-semiconductor?pageNo=134", "National Semiconductor")</f>
        <v>National Semiconductor</v>
      </c>
      <c r="C2949" s="6">
        <v>12177</v>
      </c>
      <c r="D2949" s="7">
        <v>4.38</v>
      </c>
    </row>
    <row r="2950" spans="1:5" x14ac:dyDescent="0.25">
      <c r="A2950" t="str">
        <f>HYPERLINK("https://www.773grp.com/globalSearch/ADC081S101CIMF-NOPB/page-1", "ADC081S101CIMF-NOPB")</f>
        <v>ADC081S101CIMF-NOPB</v>
      </c>
      <c r="B2950" s="3" t="str">
        <f>HYPERLINK("https://www.773grp.com/manufacturer/national-semiconductor?pageNo=1", "National Semiconductor")</f>
        <v>National Semiconductor</v>
      </c>
      <c r="C2950" s="6">
        <v>1000</v>
      </c>
      <c r="D2950" s="7">
        <v>4.38</v>
      </c>
      <c r="E2950" t="s">
        <v>39</v>
      </c>
    </row>
    <row r="2951" spans="1:5" x14ac:dyDescent="0.25">
      <c r="A2951" t="str">
        <f>HYPERLINK("https://www.773grp.com/globalSearch/ADC081S101CISD-NOPB/page-1", "ADC081S101CISD-NOPB")</f>
        <v>ADC081S101CISD-NOPB</v>
      </c>
      <c r="B2951" s="3" t="str">
        <f>HYPERLINK("https://www.773grp.com/manufacturer/national-semiconductor?pageNo=2", "National Semiconductor")</f>
        <v>National Semiconductor</v>
      </c>
      <c r="C2951" s="6">
        <v>2000</v>
      </c>
      <c r="D2951" s="7">
        <v>4.38</v>
      </c>
    </row>
    <row r="2952" spans="1:5" x14ac:dyDescent="0.25">
      <c r="A2952" t="str">
        <f>HYPERLINK("https://www.773grp.com/globalSearch/ADC082S021CIMM-NOPB/page-1", "ADC082S021CIMM-NOPB")</f>
        <v>ADC082S021CIMM-NOPB</v>
      </c>
      <c r="B2952" s="3" t="str">
        <f>HYPERLINK("https://www.773grp.com/manufacturer/national-semiconductor?pageNo=3", "National Semiconductor")</f>
        <v>National Semiconductor</v>
      </c>
      <c r="C2952" s="6">
        <v>4343</v>
      </c>
      <c r="D2952" s="7">
        <v>4.38</v>
      </c>
    </row>
    <row r="2953" spans="1:5" x14ac:dyDescent="0.25">
      <c r="A2953" t="str">
        <f>HYPERLINK("https://www.773grp.com/globalSearch/ADC082S021CIMMX/page-1", "ADC082S021CIMMX")</f>
        <v>ADC082S021CIMMX</v>
      </c>
      <c r="B2953" s="3" t="str">
        <f>HYPERLINK("https://www.773grp.com/manufacturer/national-semiconductor?pageNo=4", "National Semiconductor")</f>
        <v>National Semiconductor</v>
      </c>
      <c r="C2953" s="6">
        <v>10120</v>
      </c>
      <c r="D2953" s="7">
        <v>4.38</v>
      </c>
      <c r="E2953" t="s">
        <v>39</v>
      </c>
    </row>
    <row r="2954" spans="1:5" x14ac:dyDescent="0.25">
      <c r="A2954" t="str">
        <f>HYPERLINK("https://www.773grp.com/globalSearch/DM74S00J/page-1", "DM74S00J")</f>
        <v>DM74S00J</v>
      </c>
      <c r="B2954" s="3" t="str">
        <f>HYPERLINK("https://www.773grp.com/manufacturer/national-semiconductor?pageNo=5", "National Semiconductor")</f>
        <v>National Semiconductor</v>
      </c>
      <c r="C2954" s="6">
        <v>750</v>
      </c>
      <c r="D2954" s="7">
        <v>4.38</v>
      </c>
    </row>
    <row r="2955" spans="1:5" x14ac:dyDescent="0.25">
      <c r="A2955" t="str">
        <f>HYPERLINK("https://www.773grp.com/globalSearch/DM74S08J/page-1", "DM74S08J")</f>
        <v>DM74S08J</v>
      </c>
      <c r="B2955" s="3" t="str">
        <f>HYPERLINK("https://www.773grp.com/manufacturer/national-semiconductor?pageNo=6", "National Semiconductor")</f>
        <v>National Semiconductor</v>
      </c>
      <c r="C2955" s="6">
        <v>808</v>
      </c>
      <c r="D2955" s="7">
        <v>4.38</v>
      </c>
    </row>
    <row r="2956" spans="1:5" x14ac:dyDescent="0.25">
      <c r="A2956" t="str">
        <f>HYPERLINK("https://www.773grp.com/globalSearch/DS26LV31TM-NOPB/page-1", "DS26LV31TM-NOPB")</f>
        <v>DS26LV31TM-NOPB</v>
      </c>
      <c r="B2956" s="3" t="str">
        <f>HYPERLINK("https://www.773grp.com/manufacturer/national-semiconductor?pageNo=7", "National Semiconductor")</f>
        <v>National Semiconductor</v>
      </c>
      <c r="C2956" s="6">
        <v>6311</v>
      </c>
      <c r="D2956" s="7">
        <v>4.38</v>
      </c>
      <c r="E2956" t="s">
        <v>21</v>
      </c>
    </row>
    <row r="2957" spans="1:5" x14ac:dyDescent="0.25">
      <c r="A2957" t="str">
        <f>HYPERLINK("https://www.773grp.com/globalSearch/DS26LV32ATM-NOPB/page-1", "DS26LV32ATM-NOPB")</f>
        <v>DS26LV32ATM-NOPB</v>
      </c>
      <c r="B2957" s="3" t="str">
        <f>HYPERLINK("https://www.773grp.com/manufacturer/national-semiconductor?pageNo=8", "National Semiconductor")</f>
        <v>National Semiconductor</v>
      </c>
      <c r="C2957" s="6">
        <v>66942</v>
      </c>
      <c r="D2957" s="7">
        <v>4.38</v>
      </c>
      <c r="E2957" t="s">
        <v>21</v>
      </c>
    </row>
    <row r="2958" spans="1:5" x14ac:dyDescent="0.25">
      <c r="A2958" t="str">
        <f>HYPERLINK("https://www.773grp.com/globalSearch/DS34LV86TMX-NOPB/page-1", "DS34LV86TMX-NOPB")</f>
        <v>DS34LV86TMX-NOPB</v>
      </c>
      <c r="B2958" s="3" t="str">
        <f>HYPERLINK("https://www.773grp.com/manufacturer/national-semiconductor?pageNo=9", "National Semiconductor")</f>
        <v>National Semiconductor</v>
      </c>
      <c r="C2958" s="6">
        <v>25000</v>
      </c>
      <c r="D2958" s="7">
        <v>4.38</v>
      </c>
      <c r="E2958" t="s">
        <v>21</v>
      </c>
    </row>
    <row r="2959" spans="1:5" x14ac:dyDescent="0.25">
      <c r="A2959" t="str">
        <f>HYPERLINK("https://www.773grp.com/globalSearch/DS485TN-NOPB/page-1", "DS485TN-NOPB")</f>
        <v>DS485TN-NOPB</v>
      </c>
      <c r="B2959" s="3" t="str">
        <f>HYPERLINK("https://www.773grp.com/manufacturer/national-semiconductor?pageNo=10", "National Semiconductor")</f>
        <v>National Semiconductor</v>
      </c>
      <c r="C2959" s="6">
        <v>331</v>
      </c>
      <c r="D2959" s="7">
        <v>4.38</v>
      </c>
      <c r="E2959" t="s">
        <v>21</v>
      </c>
    </row>
    <row r="2960" spans="1:5" x14ac:dyDescent="0.25">
      <c r="A2960" t="str">
        <f>HYPERLINK("https://www.773grp.com/globalSearch/DS8923AN-NOPB/page-1", "DS8923AN-NOPB")</f>
        <v>DS8923AN-NOPB</v>
      </c>
      <c r="B2960" s="3" t="str">
        <f>HYPERLINK("https://www.773grp.com/manufacturer/national-semiconductor?pageNo=11", "National Semiconductor")</f>
        <v>National Semiconductor</v>
      </c>
      <c r="C2960" s="6">
        <v>1025</v>
      </c>
      <c r="D2960" s="7">
        <v>4.38</v>
      </c>
      <c r="E2960" t="s">
        <v>21</v>
      </c>
    </row>
    <row r="2961" spans="1:5" x14ac:dyDescent="0.25">
      <c r="A2961" t="str">
        <f>HYPERLINK("https://www.773grp.com/globalSearch/DS90LV018ATMX/page-1", "DS90LV018ATMX")</f>
        <v>DS90LV018ATMX</v>
      </c>
      <c r="B2961" s="3" t="str">
        <f>HYPERLINK("https://www.773grp.com/manufacturer/national-semiconductor?pageNo=12", "National Semiconductor")</f>
        <v>National Semiconductor</v>
      </c>
      <c r="C2961" s="6">
        <v>2500</v>
      </c>
      <c r="D2961" s="7">
        <v>4.38</v>
      </c>
      <c r="E2961" t="s">
        <v>21</v>
      </c>
    </row>
    <row r="2962" spans="1:5" x14ac:dyDescent="0.25">
      <c r="A2962" t="str">
        <f>HYPERLINK("https://www.773grp.com/globalSearch/LM1279N/page-1", "LM1279N")</f>
        <v>LM1279N</v>
      </c>
      <c r="B2962" s="3" t="str">
        <f>HYPERLINK("https://www.773grp.com/manufacturer/national-semiconductor?pageNo=13", "National Semiconductor")</f>
        <v>National Semiconductor</v>
      </c>
      <c r="C2962" s="6">
        <v>296358</v>
      </c>
      <c r="D2962" s="7">
        <v>4.38</v>
      </c>
      <c r="E2962" t="s">
        <v>18</v>
      </c>
    </row>
    <row r="2963" spans="1:5" x14ac:dyDescent="0.25">
      <c r="A2963" t="str">
        <f>HYPERLINK("https://www.773grp.com/globalSearch/LM285BYZ/page-1", "LM285BYZ")</f>
        <v>LM285BYZ</v>
      </c>
      <c r="B2963" s="3" t="str">
        <f>HYPERLINK("https://www.773grp.com/manufacturer/national-semiconductor?pageNo=14", "National Semiconductor")</f>
        <v>National Semiconductor</v>
      </c>
      <c r="C2963" s="6">
        <v>1368</v>
      </c>
      <c r="D2963" s="7">
        <v>4.38</v>
      </c>
      <c r="E2963" t="s">
        <v>17</v>
      </c>
    </row>
    <row r="2964" spans="1:5" x14ac:dyDescent="0.25">
      <c r="A2964" t="str">
        <f>HYPERLINK("https://www.773grp.com/globalSearch/LM3525M-L/page-1", "LM3525M-L")</f>
        <v>LM3525M-L</v>
      </c>
      <c r="B2964" s="3" t="str">
        <f>HYPERLINK("https://www.773grp.com/manufacturer/national-semiconductor?pageNo=15", "National Semiconductor")</f>
        <v>National Semiconductor</v>
      </c>
      <c r="C2964" s="6">
        <v>1589</v>
      </c>
      <c r="D2964" s="7">
        <v>4.38</v>
      </c>
      <c r="E2964" t="s">
        <v>30</v>
      </c>
    </row>
    <row r="2965" spans="1:5" x14ac:dyDescent="0.25">
      <c r="A2965" t="str">
        <f>HYPERLINK("https://www.773grp.com/globalSearch/LM4875M-NOPB/page-1", "LM4875M-NOPB")</f>
        <v>LM4875M-NOPB</v>
      </c>
      <c r="B2965" s="3" t="str">
        <f>HYPERLINK("https://www.773grp.com/manufacturer/national-semiconductor?pageNo=16", "National Semiconductor")</f>
        <v>National Semiconductor</v>
      </c>
      <c r="C2965" s="6">
        <v>274</v>
      </c>
      <c r="D2965" s="7">
        <v>4.38</v>
      </c>
      <c r="E2965" t="s">
        <v>41</v>
      </c>
    </row>
    <row r="2966" spans="1:5" x14ac:dyDescent="0.25">
      <c r="A2966" t="str">
        <f>HYPERLINK("https://www.773grp.com/globalSearch/LMC6081IMX-NOPB/page-1", "LMC6081IMX-NOPB")</f>
        <v>LMC6081IMX-NOPB</v>
      </c>
      <c r="B2966" s="3" t="str">
        <f>HYPERLINK("https://www.773grp.com/manufacturer/national-semiconductor?pageNo=17", "National Semiconductor")</f>
        <v>National Semiconductor</v>
      </c>
      <c r="C2966" s="6">
        <v>2500</v>
      </c>
      <c r="D2966" s="7">
        <v>4.38</v>
      </c>
      <c r="E2966" t="s">
        <v>13</v>
      </c>
    </row>
    <row r="2967" spans="1:5" x14ac:dyDescent="0.25">
      <c r="A2967" t="str">
        <f>HYPERLINK("https://www.773grp.com/globalSearch/LMC7211AIM/page-1", "LMC7211AIM")</f>
        <v>LMC7211AIM</v>
      </c>
      <c r="B2967" s="3" t="str">
        <f>HYPERLINK("https://www.773grp.com/manufacturer/national-semiconductor?pageNo=18", "National Semiconductor")</f>
        <v>National Semiconductor</v>
      </c>
      <c r="C2967" s="6">
        <v>95</v>
      </c>
      <c r="D2967" s="7">
        <v>4.38</v>
      </c>
      <c r="E2967" t="s">
        <v>9</v>
      </c>
    </row>
    <row r="2968" spans="1:5" x14ac:dyDescent="0.25">
      <c r="A2968" t="str">
        <f>HYPERLINK("https://www.773grp.com/globalSearch/LMC7221AIM/page-1", "LMC7221AIM")</f>
        <v>LMC7221AIM</v>
      </c>
      <c r="B2968" s="3" t="str">
        <f>HYPERLINK("https://www.773grp.com/manufacturer/national-semiconductor?pageNo=19", "National Semiconductor")</f>
        <v>National Semiconductor</v>
      </c>
      <c r="C2968" s="6">
        <v>1561</v>
      </c>
      <c r="D2968" s="7">
        <v>4.38</v>
      </c>
      <c r="E2968" t="s">
        <v>9</v>
      </c>
    </row>
    <row r="2969" spans="1:5" x14ac:dyDescent="0.25">
      <c r="A2969" t="str">
        <f>HYPERLINK("https://www.773grp.com/globalSearch/LMS4684LD-NOPB/page-1", "LMS4684LD-NOPB")</f>
        <v>LMS4684LD-NOPB</v>
      </c>
      <c r="B2969" s="3" t="str">
        <f>HYPERLINK("https://www.773grp.com/manufacturer/national-semiconductor?pageNo=20", "National Semiconductor")</f>
        <v>National Semiconductor</v>
      </c>
      <c r="C2969" s="6">
        <v>4193</v>
      </c>
      <c r="D2969" s="7">
        <v>4.38</v>
      </c>
      <c r="E2969" t="s">
        <v>56</v>
      </c>
    </row>
    <row r="2970" spans="1:5" x14ac:dyDescent="0.25">
      <c r="A2970" t="str">
        <f>HYPERLINK("https://www.773grp.com/globalSearch/LMV824M/page-1", "LMV824M")</f>
        <v>LMV824M</v>
      </c>
      <c r="B2970" s="3" t="str">
        <f>HYPERLINK("https://www.773grp.com/manufacturer/national-semiconductor?pageNo=21", "National Semiconductor")</f>
        <v>National Semiconductor</v>
      </c>
      <c r="C2970" s="6">
        <v>343</v>
      </c>
      <c r="D2970" s="7">
        <v>4.38</v>
      </c>
      <c r="E2970" t="s">
        <v>13</v>
      </c>
    </row>
    <row r="2971" spans="1:5" x14ac:dyDescent="0.25">
      <c r="A2971" t="str">
        <f>HYPERLINK("https://www.773grp.com/globalSearch/LMV932MA/page-1", "LMV932MA")</f>
        <v>LMV932MA</v>
      </c>
      <c r="B2971" s="3" t="str">
        <f>HYPERLINK("https://www.773grp.com/manufacturer/national-semiconductor?pageNo=22", "National Semiconductor")</f>
        <v>National Semiconductor</v>
      </c>
      <c r="C2971" s="6">
        <v>92</v>
      </c>
      <c r="D2971" s="7">
        <v>4.38</v>
      </c>
      <c r="E2971" t="s">
        <v>13</v>
      </c>
    </row>
    <row r="2972" spans="1:5" x14ac:dyDescent="0.25">
      <c r="A2972" t="str">
        <f>HYPERLINK("https://www.773grp.com/globalSearch/LP2988IMM-3.0-NOPB/page-1", "LP2988IMM-3.0-NOPB")</f>
        <v>LP2988IMM-3.0-NOPB</v>
      </c>
      <c r="B2972" s="3" t="str">
        <f>HYPERLINK("https://www.773grp.com/manufacturer/national-semiconductor?pageNo=23", "National Semiconductor")</f>
        <v>National Semiconductor</v>
      </c>
      <c r="C2972" s="6">
        <v>950</v>
      </c>
      <c r="D2972" s="7">
        <v>4.38</v>
      </c>
      <c r="E2972" t="s">
        <v>19</v>
      </c>
    </row>
    <row r="2973" spans="1:5" x14ac:dyDescent="0.25">
      <c r="A2973" t="str">
        <f>HYPERLINK("https://www.773grp.com/globalSearch/LP2988IMM-3.3-NOPB/page-1", "LP2988IMM-3.3-NOPB")</f>
        <v>LP2988IMM-3.3-NOPB</v>
      </c>
      <c r="B2973" s="3" t="str">
        <f>HYPERLINK("https://www.773grp.com/manufacturer/national-semiconductor?pageNo=24", "National Semiconductor")</f>
        <v>National Semiconductor</v>
      </c>
      <c r="C2973" s="6">
        <v>6000</v>
      </c>
      <c r="D2973" s="7">
        <v>4.38</v>
      </c>
      <c r="E2973" t="s">
        <v>19</v>
      </c>
    </row>
    <row r="2974" spans="1:5" x14ac:dyDescent="0.25">
      <c r="A2974" t="str">
        <f>HYPERLINK("https://www.773grp.com/globalSearch/LP2995MR/page-1", "LP2995MR")</f>
        <v>LP2995MR</v>
      </c>
      <c r="B2974" s="3" t="str">
        <f>HYPERLINK("https://www.773grp.com/manufacturer/national-semiconductor?pageNo=25", "National Semiconductor")</f>
        <v>National Semiconductor</v>
      </c>
      <c r="C2974" s="6">
        <v>11</v>
      </c>
      <c r="D2974" s="7">
        <v>4.38</v>
      </c>
      <c r="E2974" t="s">
        <v>24</v>
      </c>
    </row>
    <row r="2975" spans="1:5" x14ac:dyDescent="0.25">
      <c r="A2975" t="str">
        <f>HYPERLINK("https://www.773grp.com/globalSearch/LP38691DT-1.8/page-1", "LP38691DT-1.8")</f>
        <v>LP38691DT-1.8</v>
      </c>
      <c r="B2975" s="3" t="str">
        <f>HYPERLINK("https://www.773grp.com/manufacturer/national-semiconductor?pageNo=26", "National Semiconductor")</f>
        <v>National Semiconductor</v>
      </c>
      <c r="C2975" s="6">
        <v>450</v>
      </c>
      <c r="D2975" s="7">
        <v>4.38</v>
      </c>
      <c r="E2975" t="s">
        <v>19</v>
      </c>
    </row>
    <row r="2976" spans="1:5" x14ac:dyDescent="0.25">
      <c r="A2976" t="str">
        <f>HYPERLINK("https://www.773grp.com/globalSearch/LP38691DT-2.5/page-1", "LP38691DT-2.5")</f>
        <v>LP38691DT-2.5</v>
      </c>
      <c r="B2976" s="3" t="str">
        <f>HYPERLINK("https://www.773grp.com/manufacturer/national-semiconductor?pageNo=27", "National Semiconductor")</f>
        <v>National Semiconductor</v>
      </c>
      <c r="C2976" s="6">
        <v>388</v>
      </c>
      <c r="D2976" s="7">
        <v>4.38</v>
      </c>
      <c r="E2976" t="s">
        <v>19</v>
      </c>
    </row>
    <row r="2977" spans="1:5" x14ac:dyDescent="0.25">
      <c r="A2977" t="str">
        <f>HYPERLINK("https://www.773grp.com/globalSearch/DS26LV31TM-NOPB/page-1", "DS26LV31TM-NOPB")</f>
        <v>DS26LV31TM-NOPB</v>
      </c>
      <c r="B2977" s="3" t="str">
        <f>HYPERLINK("https://www.773grp.com/manufacturer/national-semiconductor?pageNo=28", "National Semiconductor")</f>
        <v>National Semiconductor</v>
      </c>
      <c r="C2977" s="6">
        <v>20</v>
      </c>
      <c r="D2977" s="7">
        <v>4.38</v>
      </c>
      <c r="E2977" t="s">
        <v>21</v>
      </c>
    </row>
    <row r="2978" spans="1:5" x14ac:dyDescent="0.25">
      <c r="A2978" t="str">
        <f>HYPERLINK("https://www.773grp.com/globalSearch/DS26LV32ATM-NOPB/page-1", "DS26LV32ATM-NOPB")</f>
        <v>DS26LV32ATM-NOPB</v>
      </c>
      <c r="B2978" s="3" t="str">
        <f>HYPERLINK("https://www.773grp.com/manufacturer/national-semiconductor?pageNo=29", "National Semiconductor")</f>
        <v>National Semiconductor</v>
      </c>
      <c r="C2978" s="6">
        <v>72</v>
      </c>
      <c r="D2978" s="7">
        <v>4.38</v>
      </c>
      <c r="E2978" t="s">
        <v>21</v>
      </c>
    </row>
    <row r="2979" spans="1:5" x14ac:dyDescent="0.25">
      <c r="A2979" t="str">
        <f>HYPERLINK("https://www.773grp.com/globalSearch/DS34LV86TMX-NOPB/page-1", "DS34LV86TMX-NOPB")</f>
        <v>DS34LV86TMX-NOPB</v>
      </c>
      <c r="B2979" s="3" t="str">
        <f>HYPERLINK("https://www.773grp.com/manufacturer/national-semiconductor?pageNo=30", "National Semiconductor")</f>
        <v>National Semiconductor</v>
      </c>
      <c r="C2979" s="6">
        <v>12405</v>
      </c>
      <c r="D2979" s="7">
        <v>4.38</v>
      </c>
      <c r="E2979" t="s">
        <v>21</v>
      </c>
    </row>
    <row r="2980" spans="1:5" x14ac:dyDescent="0.25">
      <c r="A2980" t="str">
        <f>HYPERLINK("https://www.773grp.com/globalSearch/DS8923AN-NOPB/page-1", "DS8923AN-NOPB")</f>
        <v>DS8923AN-NOPB</v>
      </c>
      <c r="B2980" s="3" t="str">
        <f>HYPERLINK("https://www.773grp.com/manufacturer/national-semiconductor?pageNo=31", "National Semiconductor")</f>
        <v>National Semiconductor</v>
      </c>
      <c r="C2980" s="6">
        <v>3675</v>
      </c>
      <c r="D2980" s="7">
        <v>4.38</v>
      </c>
      <c r="E2980" t="s">
        <v>21</v>
      </c>
    </row>
    <row r="2981" spans="1:5" x14ac:dyDescent="0.25">
      <c r="A2981" t="str">
        <f>HYPERLINK("https://www.773grp.com/globalSearch/LM3525M-L/page-1", "LM3525M-L")</f>
        <v>LM3525M-L</v>
      </c>
      <c r="B2981" s="3" t="str">
        <f>HYPERLINK("https://www.773grp.com/manufacturer/national-semiconductor?pageNo=32", "National Semiconductor")</f>
        <v>National Semiconductor</v>
      </c>
      <c r="C2981" s="6">
        <v>285</v>
      </c>
      <c r="D2981" s="7">
        <v>4.38</v>
      </c>
      <c r="E2981" t="s">
        <v>30</v>
      </c>
    </row>
    <row r="2982" spans="1:5" x14ac:dyDescent="0.25">
      <c r="A2982" t="str">
        <f>HYPERLINK("https://www.773grp.com/globalSearch/LM4875M-NOPB/page-1", "LM4875M-NOPB")</f>
        <v>LM4875M-NOPB</v>
      </c>
      <c r="B2982" s="3" t="str">
        <f>HYPERLINK("https://www.773grp.com/manufacturer/national-semiconductor?pageNo=33", "National Semiconductor")</f>
        <v>National Semiconductor</v>
      </c>
      <c r="C2982" s="6">
        <v>5378</v>
      </c>
      <c r="D2982" s="7">
        <v>4.38</v>
      </c>
      <c r="E2982" t="s">
        <v>41</v>
      </c>
    </row>
    <row r="2983" spans="1:5" x14ac:dyDescent="0.25">
      <c r="A2983" t="str">
        <f>HYPERLINK("https://www.773grp.com/globalSearch/LMC6081IMX-NOPB/page-1", "LMC6081IMX-NOPB")</f>
        <v>LMC6081IMX-NOPB</v>
      </c>
      <c r="B2983" s="3" t="str">
        <f>HYPERLINK("https://www.773grp.com/manufacturer/national-semiconductor?pageNo=34", "National Semiconductor")</f>
        <v>National Semiconductor</v>
      </c>
      <c r="C2983" s="6">
        <v>7500</v>
      </c>
      <c r="D2983" s="7">
        <v>4.38</v>
      </c>
      <c r="E2983" t="s">
        <v>13</v>
      </c>
    </row>
    <row r="2984" spans="1:5" x14ac:dyDescent="0.25">
      <c r="A2984" t="str">
        <f>HYPERLINK("https://www.773grp.com/globalSearch/LMV932MA/page-1", "LMV932MA")</f>
        <v>LMV932MA</v>
      </c>
      <c r="B2984" s="3" t="str">
        <f>HYPERLINK("https://www.773grp.com/manufacturer/national-semiconductor?pageNo=35", "National Semiconductor")</f>
        <v>National Semiconductor</v>
      </c>
      <c r="C2984" s="6">
        <v>687</v>
      </c>
      <c r="D2984" s="7">
        <v>4.38</v>
      </c>
      <c r="E2984" t="s">
        <v>13</v>
      </c>
    </row>
    <row r="2985" spans="1:5" x14ac:dyDescent="0.25">
      <c r="A2985" t="str">
        <f>HYPERLINK("https://www.773grp.com/globalSearch/LP2988IMM-3.0-NOPB/page-1", "LP2988IMM-3.0-NOPB")</f>
        <v>LP2988IMM-3.0-NOPB</v>
      </c>
      <c r="B2985" s="3" t="str">
        <f>HYPERLINK("https://www.773grp.com/manufacturer/national-semiconductor?pageNo=36", "National Semiconductor")</f>
        <v>National Semiconductor</v>
      </c>
      <c r="C2985" s="6">
        <v>1000</v>
      </c>
      <c r="D2985" s="7">
        <v>4.38</v>
      </c>
      <c r="E2985" t="s">
        <v>19</v>
      </c>
    </row>
    <row r="2986" spans="1:5" x14ac:dyDescent="0.25">
      <c r="A2986" t="str">
        <f>HYPERLINK("https://www.773grp.com/globalSearch/LP2988IMM-3.3-NOPB/page-1", "LP2988IMM-3.3-NOPB")</f>
        <v>LP2988IMM-3.3-NOPB</v>
      </c>
      <c r="B2986" s="3" t="str">
        <f>HYPERLINK("https://www.773grp.com/manufacturer/national-semiconductor?pageNo=37", "National Semiconductor")</f>
        <v>National Semiconductor</v>
      </c>
      <c r="C2986" s="6">
        <v>3000</v>
      </c>
      <c r="D2986" s="7">
        <v>4.38</v>
      </c>
      <c r="E2986" t="s">
        <v>19</v>
      </c>
    </row>
    <row r="2987" spans="1:5" x14ac:dyDescent="0.25">
      <c r="A2987" t="str">
        <f>HYPERLINK("https://www.773grp.com/globalSearch/LP2988IMMX-5.0-NOPB/page-1", "LP2988IMMX-5.0-NOPB")</f>
        <v>LP2988IMMX-5.0-NOPB</v>
      </c>
      <c r="B2987" s="3" t="str">
        <f>HYPERLINK("https://www.773grp.com/manufacturer/national-semiconductor?pageNo=38", "National Semiconductor")</f>
        <v>National Semiconductor</v>
      </c>
      <c r="C2987" s="6">
        <v>3500</v>
      </c>
      <c r="D2987" s="7">
        <v>4.38</v>
      </c>
    </row>
    <row r="2988" spans="1:5" x14ac:dyDescent="0.25">
      <c r="A2988" t="str">
        <f>HYPERLINK("https://www.773grp.com/globalSearch/LP2995M/page-1", "LP2995M")</f>
        <v>LP2995M</v>
      </c>
      <c r="B2988" s="3" t="str">
        <f>HYPERLINK("https://www.773grp.com/manufacturer/national-semiconductor?pageNo=39", "National Semiconductor")</f>
        <v>National Semiconductor</v>
      </c>
      <c r="C2988" s="6">
        <v>636</v>
      </c>
      <c r="D2988" s="7">
        <v>4.38</v>
      </c>
    </row>
    <row r="2989" spans="1:5" x14ac:dyDescent="0.25">
      <c r="A2989" t="str">
        <f>HYPERLINK("https://www.773grp.com/globalSearch/LP2995MR/page-1", "LP2995MR")</f>
        <v>LP2995MR</v>
      </c>
      <c r="B2989" s="3" t="str">
        <f>HYPERLINK("https://www.773grp.com/manufacturer/national-semiconductor?pageNo=40", "National Semiconductor")</f>
        <v>National Semiconductor</v>
      </c>
      <c r="C2989" s="6">
        <v>570</v>
      </c>
      <c r="D2989" s="7">
        <v>4.38</v>
      </c>
      <c r="E2989" t="s">
        <v>24</v>
      </c>
    </row>
    <row r="2990" spans="1:5" x14ac:dyDescent="0.25">
      <c r="A2990" t="str">
        <f>HYPERLINK("https://www.773grp.com/globalSearch/LP38691DT-2.5/page-1", "LP38691DT-2.5")</f>
        <v>LP38691DT-2.5</v>
      </c>
      <c r="B2990" s="3" t="str">
        <f>HYPERLINK("https://www.773grp.com/manufacturer/national-semiconductor?pageNo=41", "National Semiconductor")</f>
        <v>National Semiconductor</v>
      </c>
      <c r="C2990" s="6">
        <v>9525</v>
      </c>
      <c r="D2990" s="7">
        <v>4.38</v>
      </c>
      <c r="E2990" t="s">
        <v>19</v>
      </c>
    </row>
    <row r="2991" spans="1:5" x14ac:dyDescent="0.25">
      <c r="A2991" t="str">
        <f>HYPERLINK("https://www.773grp.com/globalSearch/LP38691DT-3.3/page-1", "LP38691DT-3.3")</f>
        <v>LP38691DT-3.3</v>
      </c>
      <c r="B2991" s="3" t="str">
        <f>HYPERLINK("https://www.773grp.com/manufacturer/national-semiconductor?pageNo=42", "National Semiconductor")</f>
        <v>National Semiconductor</v>
      </c>
      <c r="C2991" s="6">
        <v>365</v>
      </c>
      <c r="D2991" s="7">
        <v>4.38</v>
      </c>
    </row>
    <row r="2992" spans="1:5" x14ac:dyDescent="0.25">
      <c r="A2992" t="str">
        <f>HYPERLINK("https://www.773grp.com/globalSearch/DS90LV031ATMX/page-1", "DS90LV031ATMX")</f>
        <v>DS90LV031ATMX</v>
      </c>
      <c r="B2992" s="3" t="str">
        <f>HYPERLINK("https://www.773grp.com/manufacturer/national-semiconductor?pageNo=43", "National Semiconductor")</f>
        <v>National Semiconductor</v>
      </c>
      <c r="C2992" s="6">
        <v>4585</v>
      </c>
      <c r="D2992" s="7">
        <v>4</v>
      </c>
      <c r="E2992" t="s">
        <v>21</v>
      </c>
    </row>
    <row r="2993" spans="1:5" x14ac:dyDescent="0.25">
      <c r="A2993" t="str">
        <f>HYPERLINK("https://www.773grp.com/globalSearch/DS90LV032ATMX/page-1", "DS90LV032ATMX")</f>
        <v>DS90LV032ATMX</v>
      </c>
      <c r="B2993" s="3" t="str">
        <f>HYPERLINK("https://www.773grp.com/manufacturer/national-semiconductor?pageNo=44", "National Semiconductor")</f>
        <v>National Semiconductor</v>
      </c>
      <c r="C2993" s="6">
        <v>2500</v>
      </c>
      <c r="D2993" s="7">
        <v>4</v>
      </c>
      <c r="E2993" t="s">
        <v>21</v>
      </c>
    </row>
    <row r="2994" spans="1:5" x14ac:dyDescent="0.25">
      <c r="A2994" t="str">
        <f>HYPERLINK("https://www.773grp.com/globalSearch/LM2578AN-NOPB/page-1", "LM2578AN-NOPB")</f>
        <v>LM2578AN-NOPB</v>
      </c>
      <c r="B2994" s="3" t="str">
        <f>HYPERLINK("https://www.773grp.com/manufacturer/national-semiconductor?pageNo=45", "National Semiconductor")</f>
        <v>National Semiconductor</v>
      </c>
      <c r="C2994" s="6">
        <v>197</v>
      </c>
      <c r="D2994" s="7">
        <v>4</v>
      </c>
      <c r="E2994" t="s">
        <v>7</v>
      </c>
    </row>
    <row r="2995" spans="1:5" x14ac:dyDescent="0.25">
      <c r="A2995" t="str">
        <f>HYPERLINK("https://www.773grp.com/globalSearch/LM3421MH/page-1", "LM3421MH")</f>
        <v>LM3421MH</v>
      </c>
      <c r="B2995" s="3" t="str">
        <f>HYPERLINK("https://www.773grp.com/manufacturer/national-semiconductor?pageNo=46", "National Semiconductor")</f>
        <v>National Semiconductor</v>
      </c>
      <c r="C2995" s="6">
        <v>281</v>
      </c>
      <c r="D2995" s="7">
        <v>4</v>
      </c>
      <c r="E2995" t="s">
        <v>10</v>
      </c>
    </row>
    <row r="2996" spans="1:5" x14ac:dyDescent="0.25">
      <c r="A2996" t="str">
        <f>HYPERLINK("https://www.773grp.com/globalSearch/LM3544M-L-NOPB/page-1", "LM3544M-L-NOPB")</f>
        <v>LM3544M-L-NOPB</v>
      </c>
      <c r="B2996" s="3" t="str">
        <f>HYPERLINK("https://www.773grp.com/manufacturer/national-semiconductor?pageNo=47", "National Semiconductor")</f>
        <v>National Semiconductor</v>
      </c>
      <c r="C2996" s="6">
        <v>2003</v>
      </c>
      <c r="D2996" s="7">
        <v>4</v>
      </c>
    </row>
    <row r="2997" spans="1:5" x14ac:dyDescent="0.25">
      <c r="A2997" t="str">
        <f>HYPERLINK("https://www.773grp.com/globalSearch/LM48100QMH-NOPB/page-1", "LM48100QMH-NOPB")</f>
        <v>LM48100QMH-NOPB</v>
      </c>
      <c r="B2997" s="3" t="str">
        <f>HYPERLINK("https://www.773grp.com/manufacturer/national-semiconductor?pageNo=48", "National Semiconductor")</f>
        <v>National Semiconductor</v>
      </c>
      <c r="C2997" s="6">
        <v>328</v>
      </c>
      <c r="D2997" s="7">
        <v>4</v>
      </c>
      <c r="E2997" t="s">
        <v>41</v>
      </c>
    </row>
    <row r="2998" spans="1:5" x14ac:dyDescent="0.25">
      <c r="A2998" t="str">
        <f>HYPERLINK("https://www.773grp.com/globalSearch/LM6588MTX-NOPB/page-1", "LM6588MTX-NOPB")</f>
        <v>LM6588MTX-NOPB</v>
      </c>
      <c r="B2998" s="3" t="str">
        <f>HYPERLINK("https://www.773grp.com/manufacturer/national-semiconductor?pageNo=49", "National Semiconductor")</f>
        <v>National Semiconductor</v>
      </c>
      <c r="C2998" s="6">
        <v>5000</v>
      </c>
      <c r="D2998" s="7">
        <v>4</v>
      </c>
      <c r="E2998" t="s">
        <v>13</v>
      </c>
    </row>
    <row r="2999" spans="1:5" x14ac:dyDescent="0.25">
      <c r="A2999" t="str">
        <f>HYPERLINK("https://www.773grp.com/globalSearch/LMC6462AIN-NOPB/page-1", "LMC6462AIN-NOPB")</f>
        <v>LMC6462AIN-NOPB</v>
      </c>
      <c r="B2999" s="3" t="str">
        <f>HYPERLINK("https://www.773grp.com/manufacturer/national-semiconductor?pageNo=50", "National Semiconductor")</f>
        <v>National Semiconductor</v>
      </c>
      <c r="C2999" s="6">
        <v>22</v>
      </c>
      <c r="D2999" s="7">
        <v>4</v>
      </c>
      <c r="E2999" t="s">
        <v>13</v>
      </c>
    </row>
    <row r="3000" spans="1:5" x14ac:dyDescent="0.25">
      <c r="A3000" t="str">
        <f>HYPERLINK("https://www.773grp.com/globalSearch/LMH6622MM-NOPB/page-1", "LMH6622MM-NOPB")</f>
        <v>LMH6622MM-NOPB</v>
      </c>
      <c r="B3000" s="3" t="str">
        <f>HYPERLINK("https://www.773grp.com/manufacturer/national-semiconductor?pageNo=51", "National Semiconductor")</f>
        <v>National Semiconductor</v>
      </c>
      <c r="C3000" s="6">
        <v>1000</v>
      </c>
      <c r="D3000" s="7">
        <v>4</v>
      </c>
      <c r="E3000" t="s">
        <v>13</v>
      </c>
    </row>
    <row r="3001" spans="1:5" x14ac:dyDescent="0.25">
      <c r="A3001" t="str">
        <f>HYPERLINK("https://www.773grp.com/globalSearch/LMH6683MA-NOPB/page-1", "LMH6683MA-NOPB")</f>
        <v>LMH6683MA-NOPB</v>
      </c>
      <c r="B3001" s="3" t="str">
        <f>HYPERLINK("https://www.773grp.com/manufacturer/national-semiconductor?pageNo=52", "National Semiconductor")</f>
        <v>National Semiconductor</v>
      </c>
      <c r="C3001" s="6">
        <v>491</v>
      </c>
      <c r="D3001" s="7">
        <v>4</v>
      </c>
      <c r="E3001" t="s">
        <v>18</v>
      </c>
    </row>
    <row r="3002" spans="1:5" x14ac:dyDescent="0.25">
      <c r="A3002" t="str">
        <f>HYPERLINK("https://www.773grp.com/globalSearch/LMH6683MT-NOPB/page-1", "LMH6683MT-NOPB")</f>
        <v>LMH6683MT-NOPB</v>
      </c>
      <c r="B3002" s="3" t="str">
        <f>HYPERLINK("https://www.773grp.com/manufacturer/national-semiconductor?pageNo=53", "National Semiconductor")</f>
        <v>National Semiconductor</v>
      </c>
      <c r="C3002" s="6">
        <v>182</v>
      </c>
      <c r="D3002" s="7">
        <v>4</v>
      </c>
      <c r="E3002" t="s">
        <v>18</v>
      </c>
    </row>
    <row r="3003" spans="1:5" x14ac:dyDescent="0.25">
      <c r="A3003" t="str">
        <f>HYPERLINK("https://www.773grp.com/globalSearch/LMP2232AMM-NOPB/page-1", "LMP2232AMM-NOPB")</f>
        <v>LMP2232AMM-NOPB</v>
      </c>
      <c r="B3003" s="3" t="str">
        <f>HYPERLINK("https://www.773grp.com/manufacturer/national-semiconductor?pageNo=54", "National Semiconductor")</f>
        <v>National Semiconductor</v>
      </c>
      <c r="C3003" s="6">
        <v>2899</v>
      </c>
      <c r="D3003" s="7">
        <v>4</v>
      </c>
    </row>
    <row r="3004" spans="1:5" x14ac:dyDescent="0.25">
      <c r="A3004" t="str">
        <f>HYPERLINK("https://www.773grp.com/globalSearch/LMV7231SQ-NOPB/page-1", "LMV7231SQ-NOPB")</f>
        <v>LMV7231SQ-NOPB</v>
      </c>
      <c r="B3004" s="3" t="str">
        <f>HYPERLINK("https://www.773grp.com/manufacturer/national-semiconductor?pageNo=55", "National Semiconductor")</f>
        <v>National Semiconductor</v>
      </c>
      <c r="C3004" s="6">
        <v>940</v>
      </c>
      <c r="D3004" s="7">
        <v>4</v>
      </c>
    </row>
    <row r="3005" spans="1:5" x14ac:dyDescent="0.25">
      <c r="A3005" t="str">
        <f>HYPERLINK("https://www.773grp.com/globalSearch/LMV7231SQE/page-1", "LMV7231SQE")</f>
        <v>LMV7231SQE</v>
      </c>
      <c r="B3005" s="3" t="str">
        <f>HYPERLINK("https://www.773grp.com/manufacturer/national-semiconductor?pageNo=56", "National Semiconductor")</f>
        <v>National Semiconductor</v>
      </c>
      <c r="C3005" s="6">
        <v>161</v>
      </c>
      <c r="D3005" s="7">
        <v>4</v>
      </c>
      <c r="E3005" t="s">
        <v>9</v>
      </c>
    </row>
    <row r="3006" spans="1:5" x14ac:dyDescent="0.25">
      <c r="A3006" t="str">
        <f>HYPERLINK("https://www.773grp.com/globalSearch/LMX2604LQ/page-1", "LMX2604LQ")</f>
        <v>LMX2604LQ</v>
      </c>
      <c r="B3006" s="3" t="str">
        <f>HYPERLINK("https://www.773grp.com/manufacturer/national-semiconductor?pageNo=57", "National Semiconductor")</f>
        <v>National Semiconductor</v>
      </c>
      <c r="C3006" s="6">
        <v>9900</v>
      </c>
      <c r="D3006" s="7">
        <v>4</v>
      </c>
      <c r="E3006" t="s">
        <v>57</v>
      </c>
    </row>
    <row r="3007" spans="1:5" x14ac:dyDescent="0.25">
      <c r="A3007" t="str">
        <f>HYPERLINK("https://www.773grp.com/globalSearch/DS90LV049TMTX/page-1", "DS90LV049TMTX")</f>
        <v>DS90LV049TMTX</v>
      </c>
      <c r="B3007" s="3" t="str">
        <f>HYPERLINK("https://www.773grp.com/manufacturer/national-semiconductor?pageNo=58", "National Semiconductor")</f>
        <v>National Semiconductor</v>
      </c>
      <c r="C3007" s="6">
        <v>5000</v>
      </c>
      <c r="D3007" s="7">
        <v>4</v>
      </c>
    </row>
    <row r="3008" spans="1:5" x14ac:dyDescent="0.25">
      <c r="A3008" t="str">
        <f>HYPERLINK("https://www.773grp.com/globalSearch/LM2578AN-NOPB/page-1", "LM2578AN-NOPB")</f>
        <v>LM2578AN-NOPB</v>
      </c>
      <c r="B3008" s="3" t="str">
        <f>HYPERLINK("https://www.773grp.com/manufacturer/national-semiconductor?pageNo=59", "National Semiconductor")</f>
        <v>National Semiconductor</v>
      </c>
      <c r="C3008" s="6">
        <v>80</v>
      </c>
      <c r="D3008" s="7">
        <v>4</v>
      </c>
      <c r="E3008" t="s">
        <v>7</v>
      </c>
    </row>
    <row r="3009" spans="1:5" x14ac:dyDescent="0.25">
      <c r="A3009" t="str">
        <f>HYPERLINK("https://www.773grp.com/globalSearch/LM48100QMH-NOPB/page-1", "LM48100QMH-NOPB")</f>
        <v>LM48100QMH-NOPB</v>
      </c>
      <c r="B3009" s="3" t="str">
        <f>HYPERLINK("https://www.773grp.com/manufacturer/national-semiconductor?pageNo=60", "National Semiconductor")</f>
        <v>National Semiconductor</v>
      </c>
      <c r="C3009" s="6">
        <v>113</v>
      </c>
      <c r="D3009" s="7">
        <v>4</v>
      </c>
      <c r="E3009" t="s">
        <v>41</v>
      </c>
    </row>
    <row r="3010" spans="1:5" x14ac:dyDescent="0.25">
      <c r="A3010" t="str">
        <f>HYPERLINK("https://www.773grp.com/globalSearch/LM48100QMH-NOPB/page-1", "LM48100QMH-NOPB")</f>
        <v>LM48100QMH-NOPB</v>
      </c>
      <c r="B3010" s="3" t="str">
        <f>HYPERLINK("https://www.773grp.com/manufacturer/national-semiconductor?pageNo=61", "National Semiconductor")</f>
        <v>National Semiconductor</v>
      </c>
      <c r="C3010" s="6">
        <v>153</v>
      </c>
      <c r="D3010" s="7">
        <v>4</v>
      </c>
      <c r="E3010" t="s">
        <v>41</v>
      </c>
    </row>
    <row r="3011" spans="1:5" x14ac:dyDescent="0.25">
      <c r="A3011" t="str">
        <f>HYPERLINK("https://www.773grp.com/globalSearch/LMC6462AIN-NOPB/page-1", "LMC6462AIN-NOPB")</f>
        <v>LMC6462AIN-NOPB</v>
      </c>
      <c r="B3011" s="3" t="str">
        <f>HYPERLINK("https://www.773grp.com/manufacturer/national-semiconductor?pageNo=62", "National Semiconductor")</f>
        <v>National Semiconductor</v>
      </c>
      <c r="C3011" s="6">
        <v>360</v>
      </c>
      <c r="D3011" s="7">
        <v>4</v>
      </c>
      <c r="E3011" t="s">
        <v>13</v>
      </c>
    </row>
    <row r="3012" spans="1:5" x14ac:dyDescent="0.25">
      <c r="A3012" t="str">
        <f>HYPERLINK("https://www.773grp.com/globalSearch/LMH6551MAX/page-1", "LMH6551MAX")</f>
        <v>LMH6551MAX</v>
      </c>
      <c r="B3012" s="3" t="str">
        <f>HYPERLINK("https://www.773grp.com/manufacturer/national-semiconductor?pageNo=63", "National Semiconductor")</f>
        <v>National Semiconductor</v>
      </c>
      <c r="C3012" s="6">
        <v>2500</v>
      </c>
      <c r="D3012" s="7">
        <v>4</v>
      </c>
    </row>
    <row r="3013" spans="1:5" x14ac:dyDescent="0.25">
      <c r="A3013" t="str">
        <f>HYPERLINK("https://www.773grp.com/globalSearch/LMH6683MA-NOPB/page-1", "LMH6683MA-NOPB")</f>
        <v>LMH6683MA-NOPB</v>
      </c>
      <c r="B3013" s="3" t="str">
        <f>HYPERLINK("https://www.773grp.com/manufacturer/national-semiconductor?pageNo=64", "National Semiconductor")</f>
        <v>National Semiconductor</v>
      </c>
      <c r="C3013" s="6">
        <v>305</v>
      </c>
      <c r="D3013" s="7">
        <v>4</v>
      </c>
      <c r="E3013" t="s">
        <v>18</v>
      </c>
    </row>
    <row r="3014" spans="1:5" x14ac:dyDescent="0.25">
      <c r="A3014" t="str">
        <f>HYPERLINK("https://www.773grp.com/globalSearch/LMH6683MT-NOPB/page-1", "LMH6683MT-NOPB")</f>
        <v>LMH6683MT-NOPB</v>
      </c>
      <c r="B3014" s="3" t="str">
        <f>HYPERLINK("https://www.773grp.com/manufacturer/national-semiconductor?pageNo=65", "National Semiconductor")</f>
        <v>National Semiconductor</v>
      </c>
      <c r="C3014" s="6">
        <v>1676</v>
      </c>
      <c r="D3014" s="7">
        <v>4</v>
      </c>
      <c r="E3014" t="s">
        <v>18</v>
      </c>
    </row>
    <row r="3015" spans="1:5" x14ac:dyDescent="0.25">
      <c r="A3015" t="str">
        <f>HYPERLINK("https://www.773grp.com/globalSearch/LMP2232AMM-NOPB/page-1", "LMP2232AMM-NOPB")</f>
        <v>LMP2232AMM-NOPB</v>
      </c>
      <c r="B3015" s="3" t="str">
        <f>HYPERLINK("https://www.773grp.com/manufacturer/national-semiconductor?pageNo=66", "National Semiconductor")</f>
        <v>National Semiconductor</v>
      </c>
      <c r="C3015" s="6">
        <v>8000</v>
      </c>
      <c r="D3015" s="7">
        <v>4</v>
      </c>
    </row>
    <row r="3016" spans="1:5" x14ac:dyDescent="0.25">
      <c r="A3016" t="str">
        <f>HYPERLINK("https://www.773grp.com/globalSearch/LMP2232AMMX-NOPB/page-1", "LMP2232AMMX-NOPB")</f>
        <v>LMP2232AMMX-NOPB</v>
      </c>
      <c r="B3016" s="3" t="str">
        <f>HYPERLINK("https://www.773grp.com/manufacturer/national-semiconductor?pageNo=67", "National Semiconductor")</f>
        <v>National Semiconductor</v>
      </c>
      <c r="C3016" s="6">
        <v>3500</v>
      </c>
      <c r="D3016" s="7">
        <v>4</v>
      </c>
    </row>
    <row r="3017" spans="1:5" x14ac:dyDescent="0.25">
      <c r="A3017" t="str">
        <f>HYPERLINK("https://www.773grp.com/globalSearch/LMV7231SQX-NOPB/page-1", "LMV7231SQX-NOPB")</f>
        <v>LMV7231SQX-NOPB</v>
      </c>
      <c r="B3017" s="3" t="str">
        <f>HYPERLINK("https://www.773grp.com/manufacturer/national-semiconductor?pageNo=68", "National Semiconductor")</f>
        <v>National Semiconductor</v>
      </c>
      <c r="C3017" s="6">
        <v>18000</v>
      </c>
      <c r="D3017" s="7">
        <v>4</v>
      </c>
    </row>
    <row r="3018" spans="1:5" x14ac:dyDescent="0.25">
      <c r="A3018" t="str">
        <f>HYPERLINK("https://www.773grp.com/globalSearch/TLE2037MD/page-1", "TLE2037MD")</f>
        <v>TLE2037MD</v>
      </c>
      <c r="B3018" s="3" t="str">
        <f>HYPERLINK("https://www.773grp.com/manufacturer/national-semiconductor?pageNo=69", "National Semiconductor")</f>
        <v>National Semiconductor</v>
      </c>
      <c r="C3018" s="6">
        <v>1800</v>
      </c>
      <c r="D3018" s="7">
        <v>4</v>
      </c>
    </row>
    <row r="3019" spans="1:5" x14ac:dyDescent="0.25">
      <c r="A3019" t="str">
        <f>HYPERLINK("https://www.773grp.com/globalSearch/74193PC/page-1", "74193PC")</f>
        <v>74193PC</v>
      </c>
      <c r="B3019" s="3" t="str">
        <f>HYPERLINK("https://www.773grp.com/manufacturer/national-semiconductor?pageNo=70", "National Semiconductor")</f>
        <v>National Semiconductor</v>
      </c>
      <c r="C3019" s="6">
        <v>46012</v>
      </c>
      <c r="D3019" s="7">
        <v>4.4400000000000004</v>
      </c>
    </row>
    <row r="3020" spans="1:5" x14ac:dyDescent="0.25">
      <c r="A3020" t="str">
        <f>HYPERLINK("https://www.773grp.com/globalSearch/ADCS7478AIMF-NOPB/page-1", "ADCS7478AIMF-NOPB")</f>
        <v>ADCS7478AIMF-NOPB</v>
      </c>
      <c r="B3020" s="3" t="str">
        <f>HYPERLINK("https://www.773grp.com/manufacturer/national-semiconductor?pageNo=71", "National Semiconductor")</f>
        <v>National Semiconductor</v>
      </c>
      <c r="C3020" s="6">
        <v>1000</v>
      </c>
      <c r="D3020" s="7">
        <v>4.4400000000000004</v>
      </c>
      <c r="E3020" t="s">
        <v>39</v>
      </c>
    </row>
    <row r="3021" spans="1:5" x14ac:dyDescent="0.25">
      <c r="A3021" t="str">
        <f>HYPERLINK("https://www.773grp.com/globalSearch/ADCS7478AIMFX-NOPB/page-1", "ADCS7478AIMFX-NOPB")</f>
        <v>ADCS7478AIMFX-NOPB</v>
      </c>
      <c r="B3021" s="3" t="str">
        <f>HYPERLINK("https://www.773grp.com/manufacturer/national-semiconductor?pageNo=72", "National Semiconductor")</f>
        <v>National Semiconductor</v>
      </c>
      <c r="C3021" s="6">
        <v>3000</v>
      </c>
      <c r="D3021" s="7">
        <v>4.4400000000000004</v>
      </c>
    </row>
    <row r="3022" spans="1:5" x14ac:dyDescent="0.25">
      <c r="A3022" t="str">
        <f>HYPERLINK("https://www.773grp.com/globalSearch/DAC0808LCN/page-1", "DAC0808LCN")</f>
        <v>DAC0808LCN</v>
      </c>
      <c r="B3022" s="3" t="str">
        <f>HYPERLINK("https://www.773grp.com/manufacturer/national-semiconductor?pageNo=73", "National Semiconductor")</f>
        <v>National Semiconductor</v>
      </c>
      <c r="C3022" s="6">
        <v>2409</v>
      </c>
      <c r="D3022" s="7">
        <v>4.4400000000000004</v>
      </c>
      <c r="E3022" t="s">
        <v>33</v>
      </c>
    </row>
    <row r="3023" spans="1:5" x14ac:dyDescent="0.25">
      <c r="A3023" t="str">
        <f>HYPERLINK("https://www.773grp.com/globalSearch/DS14185WM/page-1", "DS14185WM")</f>
        <v>DS14185WM</v>
      </c>
      <c r="B3023" s="3" t="str">
        <f>HYPERLINK("https://www.773grp.com/manufacturer/national-semiconductor?pageNo=74", "National Semiconductor")</f>
        <v>National Semiconductor</v>
      </c>
      <c r="C3023" s="6">
        <v>648</v>
      </c>
      <c r="D3023" s="7">
        <v>4.4400000000000004</v>
      </c>
      <c r="E3023" t="s">
        <v>21</v>
      </c>
    </row>
    <row r="3024" spans="1:5" x14ac:dyDescent="0.25">
      <c r="A3024" t="str">
        <f>HYPERLINK("https://www.773grp.com/globalSearch/DS90LV028ATLD-NOPB/page-1", "DS90LV028ATLD-NOPB")</f>
        <v>DS90LV028ATLD-NOPB</v>
      </c>
      <c r="B3024" s="3" t="str">
        <f>HYPERLINK("https://www.773grp.com/manufacturer/national-semiconductor?pageNo=75", "National Semiconductor")</f>
        <v>National Semiconductor</v>
      </c>
      <c r="C3024" s="6">
        <v>1722</v>
      </c>
      <c r="D3024" s="7">
        <v>4.4400000000000004</v>
      </c>
      <c r="E3024" t="s">
        <v>21</v>
      </c>
    </row>
    <row r="3025" spans="1:5" x14ac:dyDescent="0.25">
      <c r="A3025" t="str">
        <f>HYPERLINK("https://www.773grp.com/globalSearch/DS90LV028ATMX-NOPB/page-1", "DS90LV028ATMX-NOPB")</f>
        <v>DS90LV028ATMX-NOPB</v>
      </c>
      <c r="B3025" s="3" t="str">
        <f>HYPERLINK("https://www.773grp.com/manufacturer/national-semiconductor?pageNo=76", "National Semiconductor")</f>
        <v>National Semiconductor</v>
      </c>
      <c r="C3025" s="6">
        <v>10000</v>
      </c>
      <c r="D3025" s="7">
        <v>4.4400000000000004</v>
      </c>
      <c r="E3025" t="s">
        <v>21</v>
      </c>
    </row>
    <row r="3026" spans="1:5" x14ac:dyDescent="0.25">
      <c r="A3026" t="str">
        <f>HYPERLINK("https://www.773grp.com/globalSearch/LF347BN-NOPB/page-1", "LF347BN-NOPB")</f>
        <v>LF347BN-NOPB</v>
      </c>
      <c r="B3026" s="3" t="str">
        <f>HYPERLINK("https://www.773grp.com/manufacturer/national-semiconductor?pageNo=77", "National Semiconductor")</f>
        <v>National Semiconductor</v>
      </c>
      <c r="C3026" s="6">
        <v>640</v>
      </c>
      <c r="D3026" s="7">
        <v>4.4400000000000004</v>
      </c>
      <c r="E3026" t="s">
        <v>13</v>
      </c>
    </row>
    <row r="3027" spans="1:5" x14ac:dyDescent="0.25">
      <c r="A3027" t="str">
        <f>HYPERLINK("https://www.773grp.com/globalSearch/LM1269NA/page-1", "LM1269NA")</f>
        <v>LM1269NA</v>
      </c>
      <c r="B3027" s="3" t="str">
        <f>HYPERLINK("https://www.773grp.com/manufacturer/national-semiconductor?pageNo=78", "National Semiconductor")</f>
        <v>National Semiconductor</v>
      </c>
      <c r="C3027" s="6">
        <v>121</v>
      </c>
      <c r="D3027" s="7">
        <v>4.4400000000000004</v>
      </c>
      <c r="E3027" t="s">
        <v>18</v>
      </c>
    </row>
    <row r="3028" spans="1:5" x14ac:dyDescent="0.25">
      <c r="A3028" t="str">
        <f>HYPERLINK("https://www.773grp.com/globalSearch/LM1269NA-NOPB/page-1", "LM1269NA-NOPB")</f>
        <v>LM1269NA-NOPB</v>
      </c>
      <c r="B3028" s="3" t="str">
        <f>HYPERLINK("https://www.773grp.com/manufacturer/national-semiconductor?pageNo=79", "National Semiconductor")</f>
        <v>National Semiconductor</v>
      </c>
      <c r="C3028" s="6">
        <v>330</v>
      </c>
      <c r="D3028" s="7">
        <v>4.4400000000000004</v>
      </c>
      <c r="E3028" t="s">
        <v>18</v>
      </c>
    </row>
    <row r="3029" spans="1:5" x14ac:dyDescent="0.25">
      <c r="A3029" t="str">
        <f>HYPERLINK("https://www.773grp.com/globalSearch/LM2468TA/page-1", "LM2468TA")</f>
        <v>LM2468TA</v>
      </c>
      <c r="B3029" s="3" t="str">
        <f>HYPERLINK("https://www.773grp.com/manufacturer/national-semiconductor?pageNo=80", "National Semiconductor")</f>
        <v>National Semiconductor</v>
      </c>
      <c r="C3029" s="6">
        <v>39032</v>
      </c>
      <c r="D3029" s="7">
        <v>4.4400000000000004</v>
      </c>
      <c r="E3029" t="s">
        <v>18</v>
      </c>
    </row>
    <row r="3030" spans="1:5" x14ac:dyDescent="0.25">
      <c r="A3030" t="str">
        <f>HYPERLINK("https://www.773grp.com/globalSearch/LM2936DT-3.3-NOPB/page-1", "LM2936DT-3.3-NOPB")</f>
        <v>LM2936DT-3.3-NOPB</v>
      </c>
      <c r="B3030" s="3" t="str">
        <f>HYPERLINK("https://www.773grp.com/manufacturer/national-semiconductor?pageNo=81", "National Semiconductor")</f>
        <v>National Semiconductor</v>
      </c>
      <c r="C3030" s="6">
        <v>3635</v>
      </c>
      <c r="D3030" s="7">
        <v>4.4400000000000004</v>
      </c>
      <c r="E3030" t="s">
        <v>19</v>
      </c>
    </row>
    <row r="3031" spans="1:5" x14ac:dyDescent="0.25">
      <c r="A3031" t="str">
        <f>HYPERLINK("https://www.773grp.com/globalSearch/LM2936DT-5.0-NOPB/page-1", "LM2936DT-5.0-NOPB")</f>
        <v>LM2936DT-5.0-NOPB</v>
      </c>
      <c r="B3031" s="3" t="str">
        <f>HYPERLINK("https://www.773grp.com/manufacturer/national-semiconductor?pageNo=82", "National Semiconductor")</f>
        <v>National Semiconductor</v>
      </c>
      <c r="C3031" s="6">
        <v>860</v>
      </c>
      <c r="D3031" s="7">
        <v>4.4400000000000004</v>
      </c>
      <c r="E3031" t="s">
        <v>19</v>
      </c>
    </row>
    <row r="3032" spans="1:5" x14ac:dyDescent="0.25">
      <c r="A3032" t="str">
        <f>HYPERLINK("https://www.773grp.com/globalSearch/LM2936DTX-3.3/page-1", "LM2936DTX-3.3")</f>
        <v>LM2936DTX-3.3</v>
      </c>
      <c r="B3032" s="3" t="str">
        <f>HYPERLINK("https://www.773grp.com/manufacturer/national-semiconductor?pageNo=83", "National Semiconductor")</f>
        <v>National Semiconductor</v>
      </c>
      <c r="C3032" s="6">
        <v>5000</v>
      </c>
      <c r="D3032" s="7">
        <v>4.4400000000000004</v>
      </c>
      <c r="E3032" t="s">
        <v>19</v>
      </c>
    </row>
    <row r="3033" spans="1:5" x14ac:dyDescent="0.25">
      <c r="A3033" t="str">
        <f>HYPERLINK("https://www.773grp.com/globalSearch/LM2936HVBMA-3.3-NOPB/page-1", "LM2936HVBMA-3.3-NOPB")</f>
        <v>LM2936HVBMA-3.3-NOPB</v>
      </c>
      <c r="B3033" s="3" t="str">
        <f>HYPERLINK("https://www.773grp.com/manufacturer/national-semiconductor?pageNo=84", "National Semiconductor")</f>
        <v>National Semiconductor</v>
      </c>
      <c r="C3033" s="6">
        <v>5605</v>
      </c>
      <c r="D3033" s="7">
        <v>4.4400000000000004</v>
      </c>
      <c r="E3033" t="s">
        <v>19</v>
      </c>
    </row>
    <row r="3034" spans="1:5" x14ac:dyDescent="0.25">
      <c r="A3034" t="str">
        <f>HYPERLINK("https://www.773grp.com/globalSearch/LM2936HVBMA-5.0-NOPB/page-1", "LM2936HVBMA-5.0-NOPB")</f>
        <v>LM2936HVBMA-5.0-NOPB</v>
      </c>
      <c r="B3034" s="3" t="str">
        <f>HYPERLINK("https://www.773grp.com/manufacturer/national-semiconductor?pageNo=85", "National Semiconductor")</f>
        <v>National Semiconductor</v>
      </c>
      <c r="C3034" s="6">
        <v>95</v>
      </c>
      <c r="D3034" s="7">
        <v>4.4400000000000004</v>
      </c>
      <c r="E3034" t="s">
        <v>19</v>
      </c>
    </row>
    <row r="3035" spans="1:5" x14ac:dyDescent="0.25">
      <c r="A3035" t="str">
        <f>HYPERLINK("https://www.773grp.com/globalSearch/LM2936HVMA-5.0-NOPB/page-1", "LM2936HVMA-5.0-NOPB")</f>
        <v>LM2936HVMA-5.0-NOPB</v>
      </c>
      <c r="B3035" s="3" t="str">
        <f>HYPERLINK("https://www.773grp.com/manufacturer/national-semiconductor?pageNo=86", "National Semiconductor")</f>
        <v>National Semiconductor</v>
      </c>
      <c r="C3035" s="6">
        <v>633</v>
      </c>
      <c r="D3035" s="7">
        <v>4.4400000000000004</v>
      </c>
      <c r="E3035" t="s">
        <v>19</v>
      </c>
    </row>
    <row r="3036" spans="1:5" x14ac:dyDescent="0.25">
      <c r="A3036" t="str">
        <f>HYPERLINK("https://www.773grp.com/globalSearch/LM2941S-NOPB/page-1", "LM2941S-NOPB")</f>
        <v>LM2941S-NOPB</v>
      </c>
      <c r="B3036" s="3" t="str">
        <f>HYPERLINK("https://www.773grp.com/manufacturer/national-semiconductor?pageNo=87", "National Semiconductor")</f>
        <v>National Semiconductor</v>
      </c>
      <c r="C3036" s="6">
        <v>1170</v>
      </c>
      <c r="D3036" s="7">
        <v>4.4400000000000004</v>
      </c>
      <c r="E3036" t="s">
        <v>25</v>
      </c>
    </row>
    <row r="3037" spans="1:5" x14ac:dyDescent="0.25">
      <c r="A3037" t="str">
        <f>HYPERLINK("https://www.773grp.com/globalSearch/LM3414MR-NOPB/page-1", "LM3414MR-NOPB")</f>
        <v>LM3414MR-NOPB</v>
      </c>
      <c r="B3037" s="3" t="str">
        <f>HYPERLINK("https://www.773grp.com/manufacturer/national-semiconductor?pageNo=88", "National Semiconductor")</f>
        <v>National Semiconductor</v>
      </c>
      <c r="C3037" s="6">
        <v>30</v>
      </c>
      <c r="D3037" s="7">
        <v>4.4400000000000004</v>
      </c>
    </row>
    <row r="3038" spans="1:5" x14ac:dyDescent="0.25">
      <c r="A3038" t="str">
        <f>HYPERLINK("https://www.773grp.com/globalSearch/LM385BYM-1.2-NOPB/page-1", "LM385BYM-1.2-NOPB")</f>
        <v>LM385BYM-1.2-NOPB</v>
      </c>
      <c r="B3038" s="3" t="str">
        <f>HYPERLINK("https://www.773grp.com/manufacturer/national-semiconductor?pageNo=89", "National Semiconductor")</f>
        <v>National Semiconductor</v>
      </c>
      <c r="C3038" s="6">
        <v>1580</v>
      </c>
      <c r="D3038" s="7">
        <v>4.4400000000000004</v>
      </c>
      <c r="E3038" t="s">
        <v>17</v>
      </c>
    </row>
    <row r="3039" spans="1:5" x14ac:dyDescent="0.25">
      <c r="A3039" t="str">
        <f>HYPERLINK("https://www.773grp.com/globalSearch/LM385BYM-2.5-NOPB/page-1", "LM385BYM-2.5-NOPB")</f>
        <v>LM385BYM-2.5-NOPB</v>
      </c>
      <c r="B3039" s="3" t="str">
        <f>HYPERLINK("https://www.773grp.com/manufacturer/national-semiconductor?pageNo=90", "National Semiconductor")</f>
        <v>National Semiconductor</v>
      </c>
      <c r="C3039" s="6">
        <v>1295</v>
      </c>
      <c r="D3039" s="7">
        <v>4.4400000000000004</v>
      </c>
      <c r="E3039" t="s">
        <v>17</v>
      </c>
    </row>
    <row r="3040" spans="1:5" x14ac:dyDescent="0.25">
      <c r="A3040" t="str">
        <f>HYPERLINK("https://www.773grp.com/globalSearch/LM4891MM/page-1", "LM4891MM")</f>
        <v>LM4891MM</v>
      </c>
      <c r="B3040" s="3" t="str">
        <f>HYPERLINK("https://www.773grp.com/manufacturer/national-semiconductor?pageNo=91", "National Semiconductor")</f>
        <v>National Semiconductor</v>
      </c>
      <c r="C3040" s="6">
        <v>6000</v>
      </c>
      <c r="D3040" s="7">
        <v>4.4400000000000004</v>
      </c>
      <c r="E3040" t="s">
        <v>18</v>
      </c>
    </row>
    <row r="3041" spans="1:5" x14ac:dyDescent="0.25">
      <c r="A3041" t="str">
        <f>HYPERLINK("https://www.773grp.com/globalSearch/LM4920TL-NOPB/page-1", "LM4920TL-NOPB")</f>
        <v>LM4920TL-NOPB</v>
      </c>
      <c r="B3041" s="3" t="str">
        <f>HYPERLINK("https://www.773grp.com/manufacturer/national-semiconductor?pageNo=92", "National Semiconductor")</f>
        <v>National Semiconductor</v>
      </c>
      <c r="C3041" s="6">
        <v>369</v>
      </c>
      <c r="D3041" s="7">
        <v>4.4400000000000004</v>
      </c>
    </row>
    <row r="3042" spans="1:5" x14ac:dyDescent="0.25">
      <c r="A3042" t="str">
        <f>HYPERLINK("https://www.773grp.com/globalSearch/LM611CM/page-1", "LM611CM")</f>
        <v>LM611CM</v>
      </c>
      <c r="B3042" s="3" t="str">
        <f>HYPERLINK("https://www.773grp.com/manufacturer/national-semiconductor?pageNo=93", "National Semiconductor")</f>
        <v>National Semiconductor</v>
      </c>
      <c r="C3042" s="6">
        <v>1005</v>
      </c>
      <c r="D3042" s="7">
        <v>4.4400000000000004</v>
      </c>
      <c r="E3042" t="s">
        <v>13</v>
      </c>
    </row>
    <row r="3043" spans="1:5" x14ac:dyDescent="0.25">
      <c r="A3043" t="str">
        <f>HYPERLINK("https://www.773grp.com/globalSearch/LM7301IM5-NOPB/page-1", "LM7301IM5-NOPB")</f>
        <v>LM7301IM5-NOPB</v>
      </c>
      <c r="B3043" s="3" t="str">
        <f>HYPERLINK("https://www.773grp.com/manufacturer/national-semiconductor?pageNo=94", "National Semiconductor")</f>
        <v>National Semiconductor</v>
      </c>
      <c r="C3043" s="6">
        <v>9156</v>
      </c>
      <c r="D3043" s="7">
        <v>4.4400000000000004</v>
      </c>
      <c r="E3043" t="s">
        <v>13</v>
      </c>
    </row>
    <row r="3044" spans="1:5" x14ac:dyDescent="0.25">
      <c r="A3044" t="str">
        <f>HYPERLINK("https://www.773grp.com/globalSearch/LM7301IM5X-NOPB/page-1", "LM7301IM5X-NOPB")</f>
        <v>LM7301IM5X-NOPB</v>
      </c>
      <c r="B3044" s="3" t="str">
        <f>HYPERLINK("https://www.773grp.com/manufacturer/national-semiconductor?pageNo=95", "National Semiconductor")</f>
        <v>National Semiconductor</v>
      </c>
      <c r="C3044" s="6">
        <v>9000</v>
      </c>
      <c r="D3044" s="7">
        <v>4.4400000000000004</v>
      </c>
      <c r="E3044" t="s">
        <v>13</v>
      </c>
    </row>
    <row r="3045" spans="1:5" x14ac:dyDescent="0.25">
      <c r="A3045" t="str">
        <f>HYPERLINK("https://www.773grp.com/globalSearch/LM7301IMX-NOPB/page-1", "LM7301IMX-NOPB")</f>
        <v>LM7301IMX-NOPB</v>
      </c>
      <c r="B3045" s="3" t="str">
        <f>HYPERLINK("https://www.773grp.com/manufacturer/national-semiconductor?pageNo=96", "National Semiconductor")</f>
        <v>National Semiconductor</v>
      </c>
      <c r="C3045" s="6">
        <v>2100</v>
      </c>
      <c r="D3045" s="7">
        <v>4.4400000000000004</v>
      </c>
      <c r="E3045" t="s">
        <v>13</v>
      </c>
    </row>
    <row r="3046" spans="1:5" x14ac:dyDescent="0.25">
      <c r="A3046" t="str">
        <f>HYPERLINK("https://www.773grp.com/globalSearch/LM74CIM-3/page-1", "LM74CIM-3")</f>
        <v>LM74CIM-3</v>
      </c>
      <c r="B3046" s="3" t="str">
        <f>HYPERLINK("https://www.773grp.com/manufacturer/national-semiconductor?pageNo=97", "National Semiconductor")</f>
        <v>National Semiconductor</v>
      </c>
      <c r="C3046" s="6">
        <v>5448</v>
      </c>
      <c r="D3046" s="7">
        <v>4.4400000000000004</v>
      </c>
      <c r="E3046" t="s">
        <v>12</v>
      </c>
    </row>
    <row r="3047" spans="1:5" x14ac:dyDescent="0.25">
      <c r="A3047" t="str">
        <f>HYPERLINK("https://www.773grp.com/globalSearch/LM74CIM-5/page-1", "LM74CIM-5")</f>
        <v>LM74CIM-5</v>
      </c>
      <c r="B3047" s="3" t="str">
        <f>HYPERLINK("https://www.773grp.com/manufacturer/national-semiconductor?pageNo=98", "National Semiconductor")</f>
        <v>National Semiconductor</v>
      </c>
      <c r="C3047" s="6">
        <v>260</v>
      </c>
      <c r="D3047" s="7">
        <v>4.4400000000000004</v>
      </c>
      <c r="E3047" t="s">
        <v>12</v>
      </c>
    </row>
    <row r="3048" spans="1:5" x14ac:dyDescent="0.25">
      <c r="A3048" t="str">
        <f>HYPERLINK("https://www.773grp.com/globalSearch/LM75BIM-3-NOPB/page-1", "LM75BIM-3-NOPB")</f>
        <v>LM75BIM-3-NOPB</v>
      </c>
      <c r="B3048" s="3" t="str">
        <f>HYPERLINK("https://www.773grp.com/manufacturer/national-semiconductor?pageNo=99", "National Semiconductor")</f>
        <v>National Semiconductor</v>
      </c>
      <c r="C3048" s="6">
        <v>30</v>
      </c>
      <c r="D3048" s="7">
        <v>4.4400000000000004</v>
      </c>
      <c r="E3048" t="s">
        <v>12</v>
      </c>
    </row>
    <row r="3049" spans="1:5" x14ac:dyDescent="0.25">
      <c r="A3049" t="str">
        <f>HYPERLINK("https://www.773grp.com/globalSearch/LM75BIM-5-NOPB/page-1", "LM75BIM-5-NOPB")</f>
        <v>LM75BIM-5-NOPB</v>
      </c>
      <c r="B3049" s="3" t="str">
        <f>HYPERLINK("https://www.773grp.com/manufacturer/national-semiconductor?pageNo=100", "National Semiconductor")</f>
        <v>National Semiconductor</v>
      </c>
      <c r="C3049" s="6">
        <v>3834</v>
      </c>
      <c r="D3049" s="7">
        <v>4.4400000000000004</v>
      </c>
      <c r="E3049" t="s">
        <v>12</v>
      </c>
    </row>
    <row r="3050" spans="1:5" x14ac:dyDescent="0.25">
      <c r="A3050" t="str">
        <f>HYPERLINK("https://www.773grp.com/globalSearch/LM75BIMM-3/page-1", "LM75BIMM-3")</f>
        <v>LM75BIMM-3</v>
      </c>
      <c r="B3050" s="3" t="str">
        <f>HYPERLINK("https://www.773grp.com/manufacturer/national-semiconductor?pageNo=101", "National Semiconductor")</f>
        <v>National Semiconductor</v>
      </c>
      <c r="C3050" s="6">
        <v>80000</v>
      </c>
      <c r="D3050" s="7">
        <v>4.4400000000000004</v>
      </c>
      <c r="E3050" t="s">
        <v>12</v>
      </c>
    </row>
    <row r="3051" spans="1:5" x14ac:dyDescent="0.25">
      <c r="A3051" t="str">
        <f>HYPERLINK("https://www.773grp.com/globalSearch/LM75BIMX-3/page-1", "LM75BIMX-3")</f>
        <v>LM75BIMX-3</v>
      </c>
      <c r="B3051" s="3" t="str">
        <f>HYPERLINK("https://www.773grp.com/manufacturer/national-semiconductor?pageNo=102", "National Semiconductor")</f>
        <v>National Semiconductor</v>
      </c>
      <c r="C3051" s="6">
        <v>1300</v>
      </c>
      <c r="D3051" s="7">
        <v>4.4400000000000004</v>
      </c>
      <c r="E3051" t="s">
        <v>12</v>
      </c>
    </row>
    <row r="3052" spans="1:5" x14ac:dyDescent="0.25">
      <c r="A3052" t="str">
        <f>HYPERLINK("https://www.773grp.com/globalSearch/LMC662CM/page-1", "LMC662CM")</f>
        <v>LMC662CM</v>
      </c>
      <c r="B3052" s="3" t="str">
        <f>HYPERLINK("https://www.773grp.com/manufacturer/national-semiconductor?pageNo=103", "National Semiconductor")</f>
        <v>National Semiconductor</v>
      </c>
      <c r="C3052" s="6">
        <v>618</v>
      </c>
      <c r="D3052" s="7">
        <v>4.4400000000000004</v>
      </c>
      <c r="E3052" t="s">
        <v>13</v>
      </c>
    </row>
    <row r="3053" spans="1:5" x14ac:dyDescent="0.25">
      <c r="A3053" t="str">
        <f>HYPERLINK("https://www.773grp.com/globalSearch/LMC6762BIMX-NOPB/page-1", "LMC6762BIMX-NOPB")</f>
        <v>LMC6762BIMX-NOPB</v>
      </c>
      <c r="B3053" s="3" t="str">
        <f>HYPERLINK("https://www.773grp.com/manufacturer/national-semiconductor?pageNo=104", "National Semiconductor")</f>
        <v>National Semiconductor</v>
      </c>
      <c r="C3053" s="6">
        <v>2500</v>
      </c>
      <c r="D3053" s="7">
        <v>4.4400000000000004</v>
      </c>
      <c r="E3053" t="s">
        <v>9</v>
      </c>
    </row>
    <row r="3054" spans="1:5" x14ac:dyDescent="0.25">
      <c r="A3054" t="str">
        <f>HYPERLINK("https://www.773grp.com/globalSearch/LMH6645MA-NOPB/page-1", "LMH6645MA-NOPB")</f>
        <v>LMH6645MA-NOPB</v>
      </c>
      <c r="B3054" s="3" t="str">
        <f>HYPERLINK("https://www.773grp.com/manufacturer/national-semiconductor?pageNo=105", "National Semiconductor")</f>
        <v>National Semiconductor</v>
      </c>
      <c r="C3054" s="6">
        <v>345</v>
      </c>
      <c r="D3054" s="7">
        <v>4.4400000000000004</v>
      </c>
      <c r="E3054" t="s">
        <v>13</v>
      </c>
    </row>
    <row r="3055" spans="1:5" x14ac:dyDescent="0.25">
      <c r="A3055" t="str">
        <f>HYPERLINK("https://www.773grp.com/globalSearch/LMH6720MAX-NOPB/page-1", "LMH6720MAX-NOPB")</f>
        <v>LMH6720MAX-NOPB</v>
      </c>
      <c r="B3055" s="3" t="str">
        <f>HYPERLINK("https://www.773grp.com/manufacturer/national-semiconductor?pageNo=106", "National Semiconductor")</f>
        <v>National Semiconductor</v>
      </c>
      <c r="C3055" s="6">
        <v>2500</v>
      </c>
      <c r="D3055" s="7">
        <v>4.4400000000000004</v>
      </c>
      <c r="E3055" t="s">
        <v>18</v>
      </c>
    </row>
    <row r="3056" spans="1:5" x14ac:dyDescent="0.25">
      <c r="A3056" t="str">
        <f>HYPERLINK("https://www.773grp.com/globalSearch/LMH6720MF-NOPB/page-1", "LMH6720MF-NOPB")</f>
        <v>LMH6720MF-NOPB</v>
      </c>
      <c r="B3056" s="3" t="str">
        <f>HYPERLINK("https://www.773grp.com/manufacturer/national-semiconductor?pageNo=107", "National Semiconductor")</f>
        <v>National Semiconductor</v>
      </c>
      <c r="C3056" s="6">
        <v>2000</v>
      </c>
      <c r="D3056" s="7">
        <v>4.4400000000000004</v>
      </c>
      <c r="E3056" t="s">
        <v>18</v>
      </c>
    </row>
    <row r="3057" spans="1:5" x14ac:dyDescent="0.25">
      <c r="A3057" t="str">
        <f>HYPERLINK("https://www.773grp.com/globalSearch/LMP2231BMAE-NOPB/page-1", "LMP2231BMAE-NOPB")</f>
        <v>LMP2231BMAE-NOPB</v>
      </c>
      <c r="B3057" s="3" t="str">
        <f>HYPERLINK("https://www.773grp.com/manufacturer/national-semiconductor?pageNo=108", "National Semiconductor")</f>
        <v>National Semiconductor</v>
      </c>
      <c r="C3057" s="6">
        <v>549</v>
      </c>
      <c r="D3057" s="7">
        <v>4.4400000000000004</v>
      </c>
    </row>
    <row r="3058" spans="1:5" x14ac:dyDescent="0.25">
      <c r="A3058" t="str">
        <f>HYPERLINK("https://www.773grp.com/globalSearch/LMP2231BMFE-NOPB/page-1", "LMP2231BMFE-NOPB")</f>
        <v>LMP2231BMFE-NOPB</v>
      </c>
      <c r="B3058" s="3" t="str">
        <f>HYPERLINK("https://www.773grp.com/manufacturer/national-semiconductor?pageNo=109", "National Semiconductor")</f>
        <v>National Semiconductor</v>
      </c>
      <c r="C3058" s="6">
        <v>125</v>
      </c>
      <c r="D3058" s="7">
        <v>4.4400000000000004</v>
      </c>
    </row>
    <row r="3059" spans="1:5" x14ac:dyDescent="0.25">
      <c r="A3059" t="str">
        <f>HYPERLINK("https://www.773grp.com/globalSearch/LP3879MR-1.0-NOPB/page-1", "LP3879MR-1.0-NOPB")</f>
        <v>LP3879MR-1.0-NOPB</v>
      </c>
      <c r="B3059" s="3" t="str">
        <f>HYPERLINK("https://www.773grp.com/manufacturer/national-semiconductor?pageNo=110", "National Semiconductor")</f>
        <v>National Semiconductor</v>
      </c>
      <c r="C3059" s="6">
        <v>596</v>
      </c>
      <c r="D3059" s="7">
        <v>4.4400000000000004</v>
      </c>
    </row>
    <row r="3060" spans="1:5" x14ac:dyDescent="0.25">
      <c r="A3060" t="str">
        <f>HYPERLINK("https://www.773grp.com/globalSearch/LP3879MR-1.2-NOPB/page-1", "LP3879MR-1.2-NOPB")</f>
        <v>LP3879MR-1.2-NOPB</v>
      </c>
      <c r="B3060" s="3" t="str">
        <f>HYPERLINK("https://www.773grp.com/manufacturer/national-semiconductor?pageNo=111", "National Semiconductor")</f>
        <v>National Semiconductor</v>
      </c>
      <c r="C3060" s="6">
        <v>4221</v>
      </c>
      <c r="D3060" s="7">
        <v>4.4400000000000004</v>
      </c>
    </row>
    <row r="3061" spans="1:5" x14ac:dyDescent="0.25">
      <c r="A3061" t="str">
        <f>HYPERLINK("https://www.773grp.com/globalSearch/LP38841MR-ADJ-NOPB/page-1", "LP38841MR-ADJ-NOPB")</f>
        <v>LP38841MR-ADJ-NOPB</v>
      </c>
      <c r="B3061" s="3" t="str">
        <f>HYPERLINK("https://www.773grp.com/manufacturer/national-semiconductor?pageNo=112", "National Semiconductor")</f>
        <v>National Semiconductor</v>
      </c>
      <c r="C3061" s="6">
        <v>360</v>
      </c>
      <c r="D3061" s="7">
        <v>4.4400000000000004</v>
      </c>
      <c r="E3061" t="s">
        <v>25</v>
      </c>
    </row>
    <row r="3062" spans="1:5" x14ac:dyDescent="0.25">
      <c r="A3062" t="str">
        <f>HYPERLINK("https://www.773grp.com/globalSearch/LP3943ISQ-NOPB/page-1", "LP3943ISQ-NOPB")</f>
        <v>LP3943ISQ-NOPB</v>
      </c>
      <c r="B3062" s="3" t="str">
        <f>HYPERLINK("https://www.773grp.com/manufacturer/national-semiconductor?pageNo=113", "National Semiconductor")</f>
        <v>National Semiconductor</v>
      </c>
      <c r="C3062" s="6">
        <v>10840</v>
      </c>
      <c r="D3062" s="7">
        <v>4.4400000000000004</v>
      </c>
    </row>
    <row r="3063" spans="1:5" x14ac:dyDescent="0.25">
      <c r="A3063" t="str">
        <f>HYPERLINK("https://www.773grp.com/globalSearch/ADCS7478AIMF-NOPB/page-1", "ADCS7478AIMF-NOPB")</f>
        <v>ADCS7478AIMF-NOPB</v>
      </c>
      <c r="B3063" s="3" t="str">
        <f>HYPERLINK("https://www.773grp.com/manufacturer/national-semiconductor?pageNo=114", "National Semiconductor")</f>
        <v>National Semiconductor</v>
      </c>
      <c r="C3063" s="6">
        <v>2511</v>
      </c>
      <c r="D3063" s="7">
        <v>4.4400000000000004</v>
      </c>
      <c r="E3063" t="s">
        <v>39</v>
      </c>
    </row>
    <row r="3064" spans="1:5" x14ac:dyDescent="0.25">
      <c r="A3064" t="str">
        <f>HYPERLINK("https://www.773grp.com/globalSearch/ADCS7478AIMFX-NOPB/page-1", "ADCS7478AIMFX-NOPB")</f>
        <v>ADCS7478AIMFX-NOPB</v>
      </c>
      <c r="B3064" s="3" t="str">
        <f>HYPERLINK("https://www.773grp.com/manufacturer/national-semiconductor?pageNo=115", "National Semiconductor")</f>
        <v>National Semiconductor</v>
      </c>
      <c r="C3064" s="6">
        <v>6000</v>
      </c>
      <c r="D3064" s="7">
        <v>4.4400000000000004</v>
      </c>
    </row>
    <row r="3065" spans="1:5" x14ac:dyDescent="0.25">
      <c r="A3065" t="str">
        <f>HYPERLINK("https://www.773grp.com/globalSearch/DS1487MX-NOPB/page-1", "DS1487MX-NOPB")</f>
        <v>DS1487MX-NOPB</v>
      </c>
      <c r="B3065" s="3" t="str">
        <f>HYPERLINK("https://www.773grp.com/manufacturer/national-semiconductor?pageNo=116", "National Semiconductor")</f>
        <v>National Semiconductor</v>
      </c>
      <c r="C3065" s="6">
        <v>7500</v>
      </c>
      <c r="D3065" s="7">
        <v>4.4400000000000004</v>
      </c>
    </row>
    <row r="3066" spans="1:5" x14ac:dyDescent="0.25">
      <c r="A3066" t="str">
        <f>HYPERLINK("https://www.773grp.com/globalSearch/DS90LV028ATMX-NOPB/page-1", "DS90LV028ATMX-NOPB")</f>
        <v>DS90LV028ATMX-NOPB</v>
      </c>
      <c r="B3066" s="3" t="str">
        <f>HYPERLINK("https://www.773grp.com/manufacturer/national-semiconductor?pageNo=117", "National Semiconductor")</f>
        <v>National Semiconductor</v>
      </c>
      <c r="C3066" s="6">
        <v>12500</v>
      </c>
      <c r="D3066" s="7">
        <v>4.4400000000000004</v>
      </c>
      <c r="E3066" t="s">
        <v>21</v>
      </c>
    </row>
    <row r="3067" spans="1:5" x14ac:dyDescent="0.25">
      <c r="A3067" t="str">
        <f>HYPERLINK("https://www.773grp.com/globalSearch/LF347BN-NOPB/page-1", "LF347BN-NOPB")</f>
        <v>LF347BN-NOPB</v>
      </c>
      <c r="B3067" s="3" t="str">
        <f>HYPERLINK("https://www.773grp.com/manufacturer/national-semiconductor?pageNo=118", "National Semiconductor")</f>
        <v>National Semiconductor</v>
      </c>
      <c r="C3067" s="6">
        <v>441</v>
      </c>
      <c r="D3067" s="7">
        <v>4.4400000000000004</v>
      </c>
      <c r="E3067" t="s">
        <v>13</v>
      </c>
    </row>
    <row r="3068" spans="1:5" x14ac:dyDescent="0.25">
      <c r="A3068" t="str">
        <f>HYPERLINK("https://www.773grp.com/globalSearch/LM2936DT-5.0-NOPB/page-1", "LM2936DT-5.0-NOPB")</f>
        <v>LM2936DT-5.0-NOPB</v>
      </c>
      <c r="B3068" s="3" t="str">
        <f>HYPERLINK("https://www.773grp.com/manufacturer/national-semiconductor?pageNo=119", "National Semiconductor")</f>
        <v>National Semiconductor</v>
      </c>
      <c r="C3068" s="6">
        <v>50</v>
      </c>
      <c r="D3068" s="7">
        <v>4.4400000000000004</v>
      </c>
      <c r="E3068" t="s">
        <v>19</v>
      </c>
    </row>
    <row r="3069" spans="1:5" x14ac:dyDescent="0.25">
      <c r="A3069" t="str">
        <f>HYPERLINK("https://www.773grp.com/globalSearch/LM2936HVBMA-3.3-NOPB/page-1", "LM2936HVBMA-3.3-NOPB")</f>
        <v>LM2936HVBMA-3.3-NOPB</v>
      </c>
      <c r="B3069" s="3" t="str">
        <f>HYPERLINK("https://www.773grp.com/manufacturer/national-semiconductor?pageNo=120", "National Semiconductor")</f>
        <v>National Semiconductor</v>
      </c>
      <c r="C3069" s="6">
        <v>1020</v>
      </c>
      <c r="D3069" s="7">
        <v>4.4400000000000004</v>
      </c>
      <c r="E3069" t="s">
        <v>19</v>
      </c>
    </row>
    <row r="3070" spans="1:5" x14ac:dyDescent="0.25">
      <c r="A3070" t="str">
        <f>HYPERLINK("https://www.773grp.com/globalSearch/LM2936HVBMA-5.0-NOPB/page-1", "LM2936HVBMA-5.0-NOPB")</f>
        <v>LM2936HVBMA-5.0-NOPB</v>
      </c>
      <c r="B3070" s="3" t="str">
        <f>HYPERLINK("https://www.773grp.com/manufacturer/national-semiconductor?pageNo=121", "National Semiconductor")</f>
        <v>National Semiconductor</v>
      </c>
      <c r="C3070" s="6">
        <v>85</v>
      </c>
      <c r="D3070" s="7">
        <v>4.4400000000000004</v>
      </c>
      <c r="E3070" t="s">
        <v>19</v>
      </c>
    </row>
    <row r="3071" spans="1:5" x14ac:dyDescent="0.25">
      <c r="A3071" t="str">
        <f>HYPERLINK("https://www.773grp.com/globalSearch/LM2936HVMA-5.0-NOPB/page-1", "LM2936HVMA-5.0-NOPB")</f>
        <v>LM2936HVMA-5.0-NOPB</v>
      </c>
      <c r="B3071" s="3" t="str">
        <f>HYPERLINK("https://www.773grp.com/manufacturer/national-semiconductor?pageNo=122", "National Semiconductor")</f>
        <v>National Semiconductor</v>
      </c>
      <c r="C3071" s="6">
        <v>495</v>
      </c>
      <c r="D3071" s="7">
        <v>4.4400000000000004</v>
      </c>
      <c r="E3071" t="s">
        <v>19</v>
      </c>
    </row>
    <row r="3072" spans="1:5" x14ac:dyDescent="0.25">
      <c r="A3072" t="str">
        <f>HYPERLINK("https://www.773grp.com/globalSearch/LM2941S-NOPB/page-1", "LM2941S-NOPB")</f>
        <v>LM2941S-NOPB</v>
      </c>
      <c r="B3072" s="3" t="str">
        <f>HYPERLINK("https://www.773grp.com/manufacturer/national-semiconductor?pageNo=123", "National Semiconductor")</f>
        <v>National Semiconductor</v>
      </c>
      <c r="C3072" s="6">
        <v>200</v>
      </c>
      <c r="D3072" s="7">
        <v>4.4400000000000004</v>
      </c>
      <c r="E3072" t="s">
        <v>25</v>
      </c>
    </row>
    <row r="3073" spans="1:5" x14ac:dyDescent="0.25">
      <c r="A3073" t="str">
        <f>HYPERLINK("https://www.773grp.com/globalSearch/LM385BYM-1.2-NOPB/page-1", "LM385BYM-1.2-NOPB")</f>
        <v>LM385BYM-1.2-NOPB</v>
      </c>
      <c r="B3073" s="3" t="str">
        <f>HYPERLINK("https://www.773grp.com/manufacturer/national-semiconductor?pageNo=124", "National Semiconductor")</f>
        <v>National Semiconductor</v>
      </c>
      <c r="C3073" s="6">
        <v>514</v>
      </c>
      <c r="D3073" s="7">
        <v>4.4400000000000004</v>
      </c>
      <c r="E3073" t="s">
        <v>17</v>
      </c>
    </row>
    <row r="3074" spans="1:5" x14ac:dyDescent="0.25">
      <c r="A3074" t="str">
        <f>HYPERLINK("https://www.773grp.com/globalSearch/LM385BYM-2.5-NOPB/page-1", "LM385BYM-2.5-NOPB")</f>
        <v>LM385BYM-2.5-NOPB</v>
      </c>
      <c r="B3074" s="3" t="str">
        <f>HYPERLINK("https://www.773grp.com/manufacturer/national-semiconductor?pageNo=125", "National Semiconductor")</f>
        <v>National Semiconductor</v>
      </c>
      <c r="C3074" s="6">
        <v>475</v>
      </c>
      <c r="D3074" s="7">
        <v>4.4400000000000004</v>
      </c>
      <c r="E3074" t="s">
        <v>17</v>
      </c>
    </row>
    <row r="3075" spans="1:5" x14ac:dyDescent="0.25">
      <c r="A3075" t="str">
        <f>HYPERLINK("https://www.773grp.com/globalSearch/LM4120IM5-5.0/page-1", "LM4120IM5-5.0")</f>
        <v>LM4120IM5-5.0</v>
      </c>
      <c r="B3075" s="3" t="str">
        <f>HYPERLINK("https://www.773grp.com/manufacturer/national-semiconductor?pageNo=126", "National Semiconductor")</f>
        <v>National Semiconductor</v>
      </c>
      <c r="C3075" s="6">
        <v>2000</v>
      </c>
      <c r="D3075" s="7">
        <v>4.4400000000000004</v>
      </c>
    </row>
    <row r="3076" spans="1:5" x14ac:dyDescent="0.25">
      <c r="A3076" t="str">
        <f>HYPERLINK("https://www.773grp.com/globalSearch/LM4120IM5X-2.5/page-1", "LM4120IM5X-2.5")</f>
        <v>LM4120IM5X-2.5</v>
      </c>
      <c r="B3076" s="3" t="str">
        <f>HYPERLINK("https://www.773grp.com/manufacturer/national-semiconductor?pageNo=127", "National Semiconductor")</f>
        <v>National Semiconductor</v>
      </c>
      <c r="C3076" s="6">
        <v>6000</v>
      </c>
      <c r="D3076" s="7">
        <v>4.4400000000000004</v>
      </c>
    </row>
    <row r="3077" spans="1:5" x14ac:dyDescent="0.25">
      <c r="A3077" t="str">
        <f>HYPERLINK("https://www.773grp.com/globalSearch/LM4920TL-NOPB/page-1", "LM4920TL-NOPB")</f>
        <v>LM4920TL-NOPB</v>
      </c>
      <c r="B3077" s="3" t="str">
        <f>HYPERLINK("https://www.773grp.com/manufacturer/national-semiconductor?pageNo=128", "National Semiconductor")</f>
        <v>National Semiconductor</v>
      </c>
      <c r="C3077" s="6">
        <v>2750</v>
      </c>
      <c r="D3077" s="7">
        <v>4.4400000000000004</v>
      </c>
    </row>
    <row r="3078" spans="1:5" x14ac:dyDescent="0.25">
      <c r="A3078" t="str">
        <f>HYPERLINK("https://www.773grp.com/globalSearch/LM4929MM/page-1", "LM4929MM")</f>
        <v>LM4929MM</v>
      </c>
      <c r="B3078" s="3" t="str">
        <f>HYPERLINK("https://www.773grp.com/manufacturer/national-semiconductor?pageNo=129", "National Semiconductor")</f>
        <v>National Semiconductor</v>
      </c>
      <c r="C3078" s="6">
        <v>425</v>
      </c>
      <c r="D3078" s="7">
        <v>4.4400000000000004</v>
      </c>
    </row>
    <row r="3079" spans="1:5" x14ac:dyDescent="0.25">
      <c r="A3079" t="str">
        <f>HYPERLINK("https://www.773grp.com/globalSearch/LM4929MM-NOPB/page-1", "LM4929MM-NOPB")</f>
        <v>LM4929MM-NOPB</v>
      </c>
      <c r="B3079" s="3" t="str">
        <f>HYPERLINK("https://www.773grp.com/manufacturer/national-semiconductor?pageNo=130", "National Semiconductor")</f>
        <v>National Semiconductor</v>
      </c>
      <c r="C3079" s="6">
        <v>13000</v>
      </c>
      <c r="D3079" s="7">
        <v>4.4400000000000004</v>
      </c>
    </row>
    <row r="3080" spans="1:5" x14ac:dyDescent="0.25">
      <c r="A3080" t="str">
        <f>HYPERLINK("https://www.773grp.com/globalSearch/LM7301IMX-NOPB/page-1", "LM7301IMX-NOPB")</f>
        <v>LM7301IMX-NOPB</v>
      </c>
      <c r="B3080" s="3" t="str">
        <f>HYPERLINK("https://www.773grp.com/manufacturer/national-semiconductor?pageNo=131", "National Semiconductor")</f>
        <v>National Semiconductor</v>
      </c>
      <c r="C3080" s="6">
        <v>3728</v>
      </c>
      <c r="D3080" s="7">
        <v>4.4400000000000004</v>
      </c>
      <c r="E3080" t="s">
        <v>13</v>
      </c>
    </row>
    <row r="3081" spans="1:5" x14ac:dyDescent="0.25">
      <c r="A3081" t="str">
        <f>HYPERLINK("https://www.773grp.com/globalSearch/LM74CIM-5/page-1", "LM74CIM-5")</f>
        <v>LM74CIM-5</v>
      </c>
      <c r="B3081" s="3" t="str">
        <f>HYPERLINK("https://www.773grp.com/manufacturer/national-semiconductor?pageNo=132", "National Semiconductor")</f>
        <v>National Semiconductor</v>
      </c>
      <c r="C3081" s="6">
        <v>650</v>
      </c>
      <c r="D3081" s="7">
        <v>4.4400000000000004</v>
      </c>
      <c r="E3081" t="s">
        <v>12</v>
      </c>
    </row>
    <row r="3082" spans="1:5" x14ac:dyDescent="0.25">
      <c r="A3082" t="str">
        <f>HYPERLINK("https://www.773grp.com/globalSearch/LM75BIM-3-NOPB/page-1", "LM75BIM-3-NOPB")</f>
        <v>LM75BIM-3-NOPB</v>
      </c>
      <c r="B3082" s="3" t="str">
        <f>HYPERLINK("https://www.773grp.com/manufacturer/national-semiconductor?pageNo=133", "National Semiconductor")</f>
        <v>National Semiconductor</v>
      </c>
      <c r="C3082" s="6">
        <v>3629</v>
      </c>
      <c r="D3082" s="7">
        <v>4.4400000000000004</v>
      </c>
      <c r="E3082" t="s">
        <v>12</v>
      </c>
    </row>
    <row r="3083" spans="1:5" x14ac:dyDescent="0.25">
      <c r="A3083" t="str">
        <f>HYPERLINK("https://www.773grp.com/globalSearch/LM75BIM-5-NOPB/page-1", "LM75BIM-5-NOPB")</f>
        <v>LM75BIM-5-NOPB</v>
      </c>
      <c r="B3083" s="3" t="str">
        <f>HYPERLINK("https://www.773grp.com/manufacturer/national-semiconductor?pageNo=134", "National Semiconductor")</f>
        <v>National Semiconductor</v>
      </c>
      <c r="C3083" s="6">
        <v>325</v>
      </c>
      <c r="D3083" s="7">
        <v>4.4400000000000004</v>
      </c>
      <c r="E3083" t="s">
        <v>12</v>
      </c>
    </row>
    <row r="3084" spans="1:5" x14ac:dyDescent="0.25">
      <c r="A3084" t="str">
        <f>HYPERLINK("https://www.773grp.com/globalSearch/LM75BIMM-3/page-1", "LM75BIMM-3")</f>
        <v>LM75BIMM-3</v>
      </c>
      <c r="B3084" s="3" t="str">
        <f>HYPERLINK("https://www.773grp.com/manufacturer/national-semiconductor?pageNo=1", "National Semiconductor")</f>
        <v>National Semiconductor</v>
      </c>
      <c r="C3084" s="6">
        <v>2000</v>
      </c>
      <c r="D3084" s="7">
        <v>4.4400000000000004</v>
      </c>
      <c r="E3084" t="s">
        <v>12</v>
      </c>
    </row>
    <row r="3085" spans="1:5" x14ac:dyDescent="0.25">
      <c r="A3085" t="str">
        <f>HYPERLINK("https://www.773grp.com/globalSearch/LM75BIMX-3/page-1", "LM75BIMX-3")</f>
        <v>LM75BIMX-3</v>
      </c>
      <c r="B3085" s="3" t="str">
        <f>HYPERLINK("https://www.773grp.com/manufacturer/national-semiconductor?pageNo=2", "National Semiconductor")</f>
        <v>National Semiconductor</v>
      </c>
      <c r="C3085" s="6">
        <v>3254</v>
      </c>
      <c r="D3085" s="7">
        <v>4.4400000000000004</v>
      </c>
      <c r="E3085" t="s">
        <v>12</v>
      </c>
    </row>
    <row r="3086" spans="1:5" x14ac:dyDescent="0.25">
      <c r="A3086" t="str">
        <f>HYPERLINK("https://www.773grp.com/globalSearch/LM95241CIMM-1/page-1", "LM95241CIMM-1")</f>
        <v>LM95241CIMM-1</v>
      </c>
      <c r="B3086" s="3" t="str">
        <f>HYPERLINK("https://www.773grp.com/manufacturer/national-semiconductor?pageNo=3", "National Semiconductor")</f>
        <v>National Semiconductor</v>
      </c>
      <c r="C3086" s="6">
        <v>225</v>
      </c>
      <c r="D3086" s="7">
        <v>4.4400000000000004</v>
      </c>
    </row>
    <row r="3087" spans="1:5" x14ac:dyDescent="0.25">
      <c r="A3087" t="str">
        <f>HYPERLINK("https://www.773grp.com/globalSearch/LMC6762BIMX-NOPB/page-1", "LMC6762BIMX-NOPB")</f>
        <v>LMC6762BIMX-NOPB</v>
      </c>
      <c r="B3087" s="3" t="str">
        <f>HYPERLINK("https://www.773grp.com/manufacturer/national-semiconductor?pageNo=4", "National Semiconductor")</f>
        <v>National Semiconductor</v>
      </c>
      <c r="C3087" s="6">
        <v>2280</v>
      </c>
      <c r="D3087" s="7">
        <v>4.4400000000000004</v>
      </c>
      <c r="E3087" t="s">
        <v>9</v>
      </c>
    </row>
    <row r="3088" spans="1:5" x14ac:dyDescent="0.25">
      <c r="A3088" t="str">
        <f>HYPERLINK("https://www.773grp.com/globalSearch/LMH6645MA-NOPB/page-1", "LMH6645MA-NOPB")</f>
        <v>LMH6645MA-NOPB</v>
      </c>
      <c r="B3088" s="3" t="str">
        <f>HYPERLINK("https://www.773grp.com/manufacturer/national-semiconductor?pageNo=5", "National Semiconductor")</f>
        <v>National Semiconductor</v>
      </c>
      <c r="C3088" s="6">
        <v>44255</v>
      </c>
      <c r="D3088" s="7">
        <v>4.4400000000000004</v>
      </c>
      <c r="E3088" t="s">
        <v>13</v>
      </c>
    </row>
    <row r="3089" spans="1:5" x14ac:dyDescent="0.25">
      <c r="A3089" t="str">
        <f>HYPERLINK("https://www.773grp.com/globalSearch/LMH6720MF-NOPB/page-1", "LMH6720MF-NOPB")</f>
        <v>LMH6720MF-NOPB</v>
      </c>
      <c r="B3089" s="3" t="str">
        <f>HYPERLINK("https://www.773grp.com/manufacturer/national-semiconductor?pageNo=6", "National Semiconductor")</f>
        <v>National Semiconductor</v>
      </c>
      <c r="C3089" s="6">
        <v>7976</v>
      </c>
      <c r="D3089" s="7">
        <v>4.4400000000000004</v>
      </c>
      <c r="E3089" t="s">
        <v>18</v>
      </c>
    </row>
    <row r="3090" spans="1:5" x14ac:dyDescent="0.25">
      <c r="A3090" t="str">
        <f>HYPERLINK("https://www.773grp.com/globalSearch/LMP2231BMFE-NOPB/page-1", "LMP2231BMFE-NOPB")</f>
        <v>LMP2231BMFE-NOPB</v>
      </c>
      <c r="B3090" s="3" t="str">
        <f>HYPERLINK("https://www.773grp.com/manufacturer/national-semiconductor?pageNo=7", "National Semiconductor")</f>
        <v>National Semiconductor</v>
      </c>
      <c r="C3090" s="6">
        <v>250</v>
      </c>
      <c r="D3090" s="7">
        <v>4.4400000000000004</v>
      </c>
    </row>
    <row r="3091" spans="1:5" x14ac:dyDescent="0.25">
      <c r="A3091" t="str">
        <f>HYPERLINK("https://www.773grp.com/globalSearch/LP3879MR-1.0/page-1", "LP3879MR-1.0")</f>
        <v>LP3879MR-1.0</v>
      </c>
      <c r="B3091" s="3" t="str">
        <f>HYPERLINK("https://www.773grp.com/manufacturer/national-semiconductor?pageNo=8", "National Semiconductor")</f>
        <v>National Semiconductor</v>
      </c>
      <c r="C3091" s="6">
        <v>4465</v>
      </c>
      <c r="D3091" s="7">
        <v>4.4400000000000004</v>
      </c>
    </row>
    <row r="3092" spans="1:5" x14ac:dyDescent="0.25">
      <c r="A3092" t="str">
        <f>HYPERLINK("https://www.773grp.com/globalSearch/LP3879MR-1.0-NOPB/page-1", "LP3879MR-1.0-NOPB")</f>
        <v>LP3879MR-1.0-NOPB</v>
      </c>
      <c r="B3092" s="3" t="str">
        <f>HYPERLINK("https://www.773grp.com/manufacturer/national-semiconductor?pageNo=9", "National Semiconductor")</f>
        <v>National Semiconductor</v>
      </c>
      <c r="C3092" s="6">
        <v>1460</v>
      </c>
      <c r="D3092" s="7">
        <v>4.4400000000000004</v>
      </c>
    </row>
    <row r="3093" spans="1:5" x14ac:dyDescent="0.25">
      <c r="A3093" t="str">
        <f>HYPERLINK("https://www.773grp.com/globalSearch/LP3879MR-1.2-NOPB/page-1", "LP3879MR-1.2-NOPB")</f>
        <v>LP3879MR-1.2-NOPB</v>
      </c>
      <c r="B3093" s="3" t="str">
        <f>HYPERLINK("https://www.773grp.com/manufacturer/national-semiconductor?pageNo=10", "National Semiconductor")</f>
        <v>National Semiconductor</v>
      </c>
      <c r="C3093" s="6">
        <v>271</v>
      </c>
      <c r="D3093" s="7">
        <v>4.4400000000000004</v>
      </c>
    </row>
    <row r="3094" spans="1:5" x14ac:dyDescent="0.25">
      <c r="A3094" t="str">
        <f>HYPERLINK("https://www.773grp.com/globalSearch/LP38841MR-ADJ-NOPB/page-1", "LP38841MR-ADJ-NOPB")</f>
        <v>LP38841MR-ADJ-NOPB</v>
      </c>
      <c r="B3094" s="3" t="str">
        <f>HYPERLINK("https://www.773grp.com/manufacturer/national-semiconductor?pageNo=11", "National Semiconductor")</f>
        <v>National Semiconductor</v>
      </c>
      <c r="C3094" s="6">
        <v>267</v>
      </c>
      <c r="D3094" s="7">
        <v>4.4400000000000004</v>
      </c>
      <c r="E3094" t="s">
        <v>25</v>
      </c>
    </row>
    <row r="3095" spans="1:5" x14ac:dyDescent="0.25">
      <c r="A3095" t="str">
        <f>HYPERLINK("https://www.773grp.com/globalSearch/LP3943ISQ-NOPB/page-1", "LP3943ISQ-NOPB")</f>
        <v>LP3943ISQ-NOPB</v>
      </c>
      <c r="B3095" s="3" t="str">
        <f>HYPERLINK("https://www.773grp.com/manufacturer/national-semiconductor?pageNo=12", "National Semiconductor")</f>
        <v>National Semiconductor</v>
      </c>
      <c r="C3095" s="6">
        <v>2000</v>
      </c>
      <c r="D3095" s="7">
        <v>4.4400000000000004</v>
      </c>
    </row>
    <row r="3096" spans="1:5" x14ac:dyDescent="0.25">
      <c r="A3096" t="str">
        <f>HYPERLINK("https://www.773grp.com/globalSearch/54LS253J-883/page-1", "54LS253J-883")</f>
        <v>54LS253J-883</v>
      </c>
      <c r="B3096" s="3" t="str">
        <f>HYPERLINK("https://www.773grp.com/manufacturer/national-semiconductor?pageNo=13", "National Semiconductor")</f>
        <v>National Semiconductor</v>
      </c>
      <c r="C3096" s="6">
        <v>382</v>
      </c>
      <c r="D3096" s="7">
        <v>4.01</v>
      </c>
    </row>
    <row r="3097" spans="1:5" x14ac:dyDescent="0.25">
      <c r="A3097" t="str">
        <f>HYPERLINK("https://www.773grp.com/globalSearch/ADC08831IM/page-1", "ADC08831IM")</f>
        <v>ADC08831IM</v>
      </c>
      <c r="B3097" s="3" t="str">
        <f>HYPERLINK("https://www.773grp.com/manufacturer/national-semiconductor?pageNo=14", "National Semiconductor")</f>
        <v>National Semiconductor</v>
      </c>
      <c r="C3097" s="6">
        <v>110</v>
      </c>
      <c r="D3097" s="7">
        <v>4.01</v>
      </c>
      <c r="E3097" t="s">
        <v>39</v>
      </c>
    </row>
    <row r="3098" spans="1:5" x14ac:dyDescent="0.25">
      <c r="A3098" t="str">
        <f>HYPERLINK("https://www.773grp.com/globalSearch/ADC101S101CIMF-NOPB/page-1", "ADC101S101CIMF-NOPB")</f>
        <v>ADC101S101CIMF-NOPB</v>
      </c>
      <c r="B3098" s="3" t="str">
        <f>HYPERLINK("https://www.773grp.com/manufacturer/national-semiconductor?pageNo=15", "National Semiconductor")</f>
        <v>National Semiconductor</v>
      </c>
      <c r="C3098" s="6">
        <v>5021</v>
      </c>
      <c r="D3098" s="7">
        <v>4.01</v>
      </c>
      <c r="E3098" t="s">
        <v>39</v>
      </c>
    </row>
    <row r="3099" spans="1:5" x14ac:dyDescent="0.25">
      <c r="A3099" t="str">
        <f>HYPERLINK("https://www.773grp.com/globalSearch/ADC101S101CISD-NOPB/page-1", "ADC101S101CISD-NOPB")</f>
        <v>ADC101S101CISD-NOPB</v>
      </c>
      <c r="B3099" s="3" t="str">
        <f>HYPERLINK("https://www.773grp.com/manufacturer/national-semiconductor?pageNo=16", "National Semiconductor")</f>
        <v>National Semiconductor</v>
      </c>
      <c r="C3099" s="6">
        <v>2000</v>
      </c>
      <c r="D3099" s="7">
        <v>4.01</v>
      </c>
    </row>
    <row r="3100" spans="1:5" x14ac:dyDescent="0.25">
      <c r="A3100" t="str">
        <f>HYPERLINK("https://www.773grp.com/globalSearch/DM54LS09J-883/page-1", "DM54LS09J-883")</f>
        <v>DM54LS09J-883</v>
      </c>
      <c r="B3100" s="3" t="str">
        <f>HYPERLINK("https://www.773grp.com/manufacturer/national-semiconductor?pageNo=17", "National Semiconductor")</f>
        <v>National Semiconductor</v>
      </c>
      <c r="C3100" s="6">
        <v>444</v>
      </c>
      <c r="D3100" s="7">
        <v>4.01</v>
      </c>
      <c r="E3100" t="s">
        <v>31</v>
      </c>
    </row>
    <row r="3101" spans="1:5" x14ac:dyDescent="0.25">
      <c r="A3101" t="str">
        <f>HYPERLINK("https://www.773grp.com/globalSearch/DM54LS163J-883/page-1", "DM54LS163J-883")</f>
        <v>DM54LS163J-883</v>
      </c>
      <c r="B3101" s="3" t="str">
        <f>HYPERLINK("https://www.773grp.com/manufacturer/national-semiconductor?pageNo=18", "National Semiconductor")</f>
        <v>National Semiconductor</v>
      </c>
      <c r="C3101" s="6">
        <v>2674</v>
      </c>
      <c r="D3101" s="7">
        <v>4.01</v>
      </c>
    </row>
    <row r="3102" spans="1:5" x14ac:dyDescent="0.25">
      <c r="A3102" t="str">
        <f>HYPERLINK("https://www.773grp.com/globalSearch/DM54LS253J-883/page-1", "DM54LS253J-883")</f>
        <v>DM54LS253J-883</v>
      </c>
      <c r="B3102" s="3" t="str">
        <f>HYPERLINK("https://www.773grp.com/manufacturer/national-semiconductor?pageNo=19", "National Semiconductor")</f>
        <v>National Semiconductor</v>
      </c>
      <c r="C3102" s="6">
        <v>1992</v>
      </c>
      <c r="D3102" s="7">
        <v>4.01</v>
      </c>
      <c r="E3102" t="s">
        <v>20</v>
      </c>
    </row>
    <row r="3103" spans="1:5" x14ac:dyDescent="0.25">
      <c r="A3103" t="str">
        <f>HYPERLINK("https://www.773grp.com/globalSearch/LM1815MX-NOPB/page-1", "LM1815MX-NOPB")</f>
        <v>LM1815MX-NOPB</v>
      </c>
      <c r="B3103" s="3" t="str">
        <f>HYPERLINK("https://www.773grp.com/manufacturer/national-semiconductor?pageNo=20", "National Semiconductor")</f>
        <v>National Semiconductor</v>
      </c>
      <c r="C3103" s="6">
        <v>4960</v>
      </c>
      <c r="D3103" s="7">
        <v>4.01</v>
      </c>
      <c r="E3103" t="s">
        <v>40</v>
      </c>
    </row>
    <row r="3104" spans="1:5" x14ac:dyDescent="0.25">
      <c r="A3104" t="str">
        <f>HYPERLINK("https://www.773grp.com/globalSearch/LM1881MX-X-NOPB/page-1", "LM1881MX-X-NOPB")</f>
        <v>LM1881MX-X-NOPB</v>
      </c>
      <c r="B3104" s="3" t="str">
        <f>HYPERLINK("https://www.773grp.com/manufacturer/national-semiconductor?pageNo=21", "National Semiconductor")</f>
        <v>National Semiconductor</v>
      </c>
      <c r="C3104" s="6">
        <v>2500</v>
      </c>
      <c r="D3104" s="7">
        <v>4.01</v>
      </c>
      <c r="E3104" t="s">
        <v>15</v>
      </c>
    </row>
    <row r="3105" spans="1:5" x14ac:dyDescent="0.25">
      <c r="A3105" t="str">
        <f>HYPERLINK("https://www.773grp.com/globalSearch/LM2575S-3.3/page-1", "LM2575S-3.3")</f>
        <v>LM2575S-3.3</v>
      </c>
      <c r="B3105" s="3" t="str">
        <f>HYPERLINK("https://www.773grp.com/manufacturer/national-semiconductor?pageNo=22", "National Semiconductor")</f>
        <v>National Semiconductor</v>
      </c>
      <c r="C3105" s="6">
        <v>1206</v>
      </c>
      <c r="D3105" s="7">
        <v>4.01</v>
      </c>
      <c r="E3105" t="s">
        <v>7</v>
      </c>
    </row>
    <row r="3106" spans="1:5" x14ac:dyDescent="0.25">
      <c r="A3106" t="str">
        <f>HYPERLINK("https://www.773grp.com/globalSearch/LM2575S-5.0/page-1", "LM2575S-5.0")</f>
        <v>LM2575S-5.0</v>
      </c>
      <c r="B3106" s="3" t="str">
        <f>HYPERLINK("https://www.773grp.com/manufacturer/national-semiconductor?pageNo=23", "National Semiconductor")</f>
        <v>National Semiconductor</v>
      </c>
      <c r="C3106" s="6">
        <v>290</v>
      </c>
      <c r="D3106" s="7">
        <v>4.01</v>
      </c>
      <c r="E3106" t="s">
        <v>7</v>
      </c>
    </row>
    <row r="3107" spans="1:5" x14ac:dyDescent="0.25">
      <c r="A3107" t="str">
        <f>HYPERLINK("https://www.773grp.com/globalSearch/LM2575S-ADJ/page-1", "LM2575S-ADJ")</f>
        <v>LM2575S-ADJ</v>
      </c>
      <c r="B3107" s="3" t="str">
        <f>HYPERLINK("https://www.773grp.com/manufacturer/national-semiconductor?pageNo=24", "National Semiconductor")</f>
        <v>National Semiconductor</v>
      </c>
      <c r="C3107" s="6">
        <v>793</v>
      </c>
      <c r="D3107" s="7">
        <v>4.01</v>
      </c>
      <c r="E3107" t="s">
        <v>7</v>
      </c>
    </row>
    <row r="3108" spans="1:5" x14ac:dyDescent="0.25">
      <c r="A3108" t="str">
        <f>HYPERLINK("https://www.773grp.com/globalSearch/LM2576S-12/page-1", "LM2576S-12")</f>
        <v>LM2576S-12</v>
      </c>
      <c r="B3108" s="3" t="str">
        <f>HYPERLINK("https://www.773grp.com/manufacturer/national-semiconductor?pageNo=25", "National Semiconductor")</f>
        <v>National Semiconductor</v>
      </c>
      <c r="C3108" s="6">
        <v>386</v>
      </c>
      <c r="D3108" s="7">
        <v>4.01</v>
      </c>
      <c r="E3108" t="s">
        <v>7</v>
      </c>
    </row>
    <row r="3109" spans="1:5" x14ac:dyDescent="0.25">
      <c r="A3109" t="str">
        <f>HYPERLINK("https://www.773grp.com/globalSearch/LM2576S-5.0-NOPB/page-1", "LM2576S-5.0-NOPB")</f>
        <v>LM2576S-5.0-NOPB</v>
      </c>
      <c r="B3109" s="3" t="str">
        <f>HYPERLINK("https://www.773grp.com/manufacturer/national-semiconductor?pageNo=26", "National Semiconductor")</f>
        <v>National Semiconductor</v>
      </c>
      <c r="C3109" s="6">
        <v>316</v>
      </c>
      <c r="D3109" s="7">
        <v>4.01</v>
      </c>
      <c r="E3109" t="s">
        <v>7</v>
      </c>
    </row>
    <row r="3110" spans="1:5" x14ac:dyDescent="0.25">
      <c r="A3110" t="str">
        <f>HYPERLINK("https://www.773grp.com/globalSearch/LM2576S-ADJ-NOPB/page-1", "LM2576S-ADJ-NOPB")</f>
        <v>LM2576S-ADJ-NOPB</v>
      </c>
      <c r="B3110" s="3" t="str">
        <f>HYPERLINK("https://www.773grp.com/manufacturer/national-semiconductor?pageNo=27", "National Semiconductor")</f>
        <v>National Semiconductor</v>
      </c>
      <c r="C3110" s="6">
        <v>2678</v>
      </c>
      <c r="D3110" s="7">
        <v>4.01</v>
      </c>
      <c r="E3110" t="s">
        <v>7</v>
      </c>
    </row>
    <row r="3111" spans="1:5" x14ac:dyDescent="0.25">
      <c r="A3111" t="str">
        <f>HYPERLINK("https://www.773grp.com/globalSearch/LM2576T-12/page-1", "LM2576T-12")</f>
        <v>LM2576T-12</v>
      </c>
      <c r="B3111" s="3" t="str">
        <f>HYPERLINK("https://www.773grp.com/manufacturer/national-semiconductor?pageNo=28", "National Semiconductor")</f>
        <v>National Semiconductor</v>
      </c>
      <c r="C3111" s="6">
        <v>1548</v>
      </c>
      <c r="D3111" s="7">
        <v>4.01</v>
      </c>
      <c r="E3111" t="s">
        <v>7</v>
      </c>
    </row>
    <row r="3112" spans="1:5" x14ac:dyDescent="0.25">
      <c r="A3112" t="str">
        <f>HYPERLINK("https://www.773grp.com/globalSearch/LM2576T-5.0/page-1", "LM2576T-5.0")</f>
        <v>LM2576T-5.0</v>
      </c>
      <c r="B3112" s="3" t="str">
        <f>HYPERLINK("https://www.773grp.com/manufacturer/national-semiconductor?pageNo=29", "National Semiconductor")</f>
        <v>National Semiconductor</v>
      </c>
      <c r="C3112" s="6">
        <v>711</v>
      </c>
      <c r="D3112" s="7">
        <v>4.01</v>
      </c>
      <c r="E3112" t="s">
        <v>7</v>
      </c>
    </row>
    <row r="3113" spans="1:5" x14ac:dyDescent="0.25">
      <c r="A3113" t="str">
        <f>HYPERLINK("https://www.773grp.com/globalSearch/LM2576T-5.0-LB03/page-1", "LM2576T-5.0-LB03")</f>
        <v>LM2576T-5.0-LB03</v>
      </c>
      <c r="B3113" s="3" t="str">
        <f>HYPERLINK("https://www.773grp.com/manufacturer/national-semiconductor?pageNo=30", "National Semiconductor")</f>
        <v>National Semiconductor</v>
      </c>
      <c r="C3113" s="6">
        <v>20</v>
      </c>
      <c r="D3113" s="7">
        <v>4.01</v>
      </c>
    </row>
    <row r="3114" spans="1:5" x14ac:dyDescent="0.25">
      <c r="A3114" t="str">
        <f>HYPERLINK("https://www.773grp.com/globalSearch/LM2576T-ADJ/page-1", "LM2576T-ADJ")</f>
        <v>LM2576T-ADJ</v>
      </c>
      <c r="B3114" s="3" t="str">
        <f>HYPERLINK("https://www.773grp.com/manufacturer/national-semiconductor?pageNo=31", "National Semiconductor")</f>
        <v>National Semiconductor</v>
      </c>
      <c r="C3114" s="6">
        <v>655</v>
      </c>
      <c r="D3114" s="7">
        <v>4.01</v>
      </c>
      <c r="E3114" t="s">
        <v>7</v>
      </c>
    </row>
    <row r="3115" spans="1:5" x14ac:dyDescent="0.25">
      <c r="A3115" t="str">
        <f>HYPERLINK("https://www.773grp.com/globalSearch/LM2734XMFX/page-1", "LM2734XMFX")</f>
        <v>LM2734XMFX</v>
      </c>
      <c r="B3115" s="3" t="str">
        <f>HYPERLINK("https://www.773grp.com/manufacturer/national-semiconductor?pageNo=32", "National Semiconductor")</f>
        <v>National Semiconductor</v>
      </c>
      <c r="C3115" s="6">
        <v>60000</v>
      </c>
      <c r="D3115" s="7">
        <v>4.01</v>
      </c>
    </row>
    <row r="3116" spans="1:5" x14ac:dyDescent="0.25">
      <c r="A3116" t="str">
        <f>HYPERLINK("https://www.773grp.com/globalSearch/LM3432MH/page-1", "LM3432MH")</f>
        <v>LM3432MH</v>
      </c>
      <c r="B3116" s="3" t="str">
        <f>HYPERLINK("https://www.773grp.com/manufacturer/national-semiconductor?pageNo=33", "National Semiconductor")</f>
        <v>National Semiconductor</v>
      </c>
      <c r="C3116" s="6">
        <v>48</v>
      </c>
      <c r="D3116" s="7">
        <v>4.01</v>
      </c>
      <c r="E3116" t="s">
        <v>7</v>
      </c>
    </row>
    <row r="3117" spans="1:5" x14ac:dyDescent="0.25">
      <c r="A3117" t="str">
        <f>HYPERLINK("https://www.773grp.com/globalSearch/LM359M-NOPB/page-1", "LM359M-NOPB")</f>
        <v>LM359M-NOPB</v>
      </c>
      <c r="B3117" s="3" t="str">
        <f>HYPERLINK("https://www.773grp.com/manufacturer/national-semiconductor?pageNo=34", "National Semiconductor")</f>
        <v>National Semiconductor</v>
      </c>
      <c r="C3117" s="6">
        <v>1149</v>
      </c>
      <c r="D3117" s="7">
        <v>4.01</v>
      </c>
    </row>
    <row r="3118" spans="1:5" x14ac:dyDescent="0.25">
      <c r="A3118" t="str">
        <f>HYPERLINK("https://www.773grp.com/globalSearch/LM3915N-1/page-1", "LM3915N-1")</f>
        <v>LM3915N-1</v>
      </c>
      <c r="B3118" s="3" t="str">
        <f>HYPERLINK("https://www.773grp.com/manufacturer/national-semiconductor?pageNo=35", "National Semiconductor")</f>
        <v>National Semiconductor</v>
      </c>
      <c r="C3118" s="6">
        <v>236</v>
      </c>
      <c r="D3118" s="7">
        <v>4.01</v>
      </c>
      <c r="E3118" t="s">
        <v>10</v>
      </c>
    </row>
    <row r="3119" spans="1:5" x14ac:dyDescent="0.25">
      <c r="A3119" t="str">
        <f>HYPERLINK("https://www.773grp.com/globalSearch/LM4663MTX/page-1", "LM4663MTX")</f>
        <v>LM4663MTX</v>
      </c>
      <c r="B3119" s="3" t="str">
        <f>HYPERLINK("https://www.773grp.com/manufacturer/national-semiconductor?pageNo=36", "National Semiconductor")</f>
        <v>National Semiconductor</v>
      </c>
      <c r="C3119" s="6">
        <v>5000</v>
      </c>
      <c r="D3119" s="7">
        <v>4.01</v>
      </c>
      <c r="E3119" t="s">
        <v>18</v>
      </c>
    </row>
    <row r="3120" spans="1:5" x14ac:dyDescent="0.25">
      <c r="A3120" t="str">
        <f>HYPERLINK("https://www.773grp.com/globalSearch/LM5010MHX-NOPB/page-1", "LM5010MHX-NOPB")</f>
        <v>LM5010MHX-NOPB</v>
      </c>
      <c r="B3120" s="3" t="str">
        <f>HYPERLINK("https://www.773grp.com/manufacturer/national-semiconductor?pageNo=37", "National Semiconductor")</f>
        <v>National Semiconductor</v>
      </c>
      <c r="C3120" s="6">
        <v>4450</v>
      </c>
      <c r="D3120" s="7">
        <v>4.01</v>
      </c>
      <c r="E3120" t="s">
        <v>7</v>
      </c>
    </row>
    <row r="3121" spans="1:5" x14ac:dyDescent="0.25">
      <c r="A3121" t="str">
        <f>HYPERLINK("https://www.773grp.com/globalSearch/LM5010SD/page-1", "LM5010SD")</f>
        <v>LM5010SD</v>
      </c>
      <c r="B3121" s="3" t="str">
        <f>HYPERLINK("https://www.773grp.com/manufacturer/national-semiconductor?pageNo=38", "National Semiconductor")</f>
        <v>National Semiconductor</v>
      </c>
      <c r="C3121" s="6">
        <v>670</v>
      </c>
      <c r="D3121" s="7">
        <v>4.01</v>
      </c>
      <c r="E3121" t="s">
        <v>7</v>
      </c>
    </row>
    <row r="3122" spans="1:5" x14ac:dyDescent="0.25">
      <c r="A3122" t="str">
        <f>HYPERLINK("https://www.773grp.com/globalSearch/LM5010SD-NOPB/page-1", "LM5010SD-NOPB")</f>
        <v>LM5010SD-NOPB</v>
      </c>
      <c r="B3122" s="3" t="str">
        <f>HYPERLINK("https://www.773grp.com/manufacturer/national-semiconductor?pageNo=39", "National Semiconductor")</f>
        <v>National Semiconductor</v>
      </c>
      <c r="C3122" s="6">
        <v>11770</v>
      </c>
      <c r="D3122" s="7">
        <v>4.01</v>
      </c>
      <c r="E3122" t="s">
        <v>7</v>
      </c>
    </row>
    <row r="3123" spans="1:5" x14ac:dyDescent="0.25">
      <c r="A3123" t="str">
        <f>HYPERLINK("https://www.773grp.com/globalSearch/LM5027AMH-NOPB/page-1", "LM5027AMH-NOPB")</f>
        <v>LM5027AMH-NOPB</v>
      </c>
      <c r="B3123" s="3" t="str">
        <f>HYPERLINK("https://www.773grp.com/manufacturer/national-semiconductor?pageNo=40", "National Semiconductor")</f>
        <v>National Semiconductor</v>
      </c>
      <c r="C3123" s="6">
        <v>557</v>
      </c>
      <c r="D3123" s="7">
        <v>4.01</v>
      </c>
    </row>
    <row r="3124" spans="1:5" x14ac:dyDescent="0.25">
      <c r="A3124" t="str">
        <f>HYPERLINK("https://www.773grp.com/globalSearch/LM5027MH-NOPB/page-1", "LM5027MH-NOPB")</f>
        <v>LM5027MH-NOPB</v>
      </c>
      <c r="B3124" s="3" t="str">
        <f>HYPERLINK("https://www.773grp.com/manufacturer/national-semiconductor?pageNo=41", "National Semiconductor")</f>
        <v>National Semiconductor</v>
      </c>
      <c r="C3124" s="6">
        <v>119</v>
      </c>
      <c r="D3124" s="7">
        <v>4.01</v>
      </c>
      <c r="E3124" t="s">
        <v>7</v>
      </c>
    </row>
    <row r="3125" spans="1:5" x14ac:dyDescent="0.25">
      <c r="A3125" t="str">
        <f>HYPERLINK("https://www.773grp.com/globalSearch/LMC6681AIM/page-1", "LMC6681AIM")</f>
        <v>LMC6681AIM</v>
      </c>
      <c r="B3125" s="3" t="str">
        <f>HYPERLINK("https://www.773grp.com/manufacturer/national-semiconductor?pageNo=42", "National Semiconductor")</f>
        <v>National Semiconductor</v>
      </c>
      <c r="C3125" s="6">
        <v>1806</v>
      </c>
      <c r="D3125" s="7">
        <v>4.01</v>
      </c>
      <c r="E3125" t="s">
        <v>13</v>
      </c>
    </row>
    <row r="3126" spans="1:5" x14ac:dyDescent="0.25">
      <c r="A3126" t="str">
        <f>HYPERLINK("https://www.773grp.com/globalSearch/LMX2310USLDX/page-1", "LMX2310USLDX")</f>
        <v>LMX2310USLDX</v>
      </c>
      <c r="B3126" s="3" t="str">
        <f>HYPERLINK("https://www.773grp.com/manufacturer/national-semiconductor?pageNo=43", "National Semiconductor")</f>
        <v>National Semiconductor</v>
      </c>
      <c r="C3126" s="6">
        <v>13508</v>
      </c>
      <c r="D3126" s="7">
        <v>4.01</v>
      </c>
      <c r="E3126" t="s">
        <v>38</v>
      </c>
    </row>
    <row r="3127" spans="1:5" x14ac:dyDescent="0.25">
      <c r="A3127" t="str">
        <f>HYPERLINK("https://www.773grp.com/globalSearch/LMX2310USLDX-NOPB/page-1", "LMX2310USLDX-NOPB")</f>
        <v>LMX2310USLDX-NOPB</v>
      </c>
      <c r="B3127" s="3" t="str">
        <f>HYPERLINK("https://www.773grp.com/manufacturer/national-semiconductor?pageNo=44", "National Semiconductor")</f>
        <v>National Semiconductor</v>
      </c>
      <c r="C3127" s="6">
        <v>2019</v>
      </c>
      <c r="D3127" s="7">
        <v>4.01</v>
      </c>
    </row>
    <row r="3128" spans="1:5" x14ac:dyDescent="0.25">
      <c r="A3128" t="str">
        <f>HYPERLINK("https://www.773grp.com/globalSearch/LMX2334ATMX/page-1", "LMX2334ATMX")</f>
        <v>LMX2334ATMX</v>
      </c>
      <c r="B3128" s="3" t="str">
        <f>HYPERLINK("https://www.773grp.com/manufacturer/national-semiconductor?pageNo=45", "National Semiconductor")</f>
        <v>National Semiconductor</v>
      </c>
      <c r="C3128" s="6">
        <v>2500</v>
      </c>
      <c r="D3128" s="7">
        <v>4.01</v>
      </c>
    </row>
    <row r="3129" spans="1:5" x14ac:dyDescent="0.25">
      <c r="A3129" t="str">
        <f>HYPERLINK("https://www.773grp.com/globalSearch/LMX2335USLBX/page-1", "LMX2335USLBX")</f>
        <v>LMX2335USLBX</v>
      </c>
      <c r="B3129" s="3" t="str">
        <f>HYPERLINK("https://www.773grp.com/manufacturer/national-semiconductor?pageNo=46", "National Semiconductor")</f>
        <v>National Semiconductor</v>
      </c>
      <c r="C3129" s="6">
        <v>22040</v>
      </c>
      <c r="D3129" s="7">
        <v>4.01</v>
      </c>
      <c r="E3129" t="s">
        <v>38</v>
      </c>
    </row>
    <row r="3130" spans="1:5" x14ac:dyDescent="0.25">
      <c r="A3130" t="str">
        <f>HYPERLINK("https://www.773grp.com/globalSearch/MM74HC280MX/page-1", "MM74HC280MX")</f>
        <v>MM74HC280MX</v>
      </c>
      <c r="B3130" s="3" t="str">
        <f>HYPERLINK("https://www.773grp.com/manufacturer/national-semiconductor?pageNo=47", "National Semiconductor")</f>
        <v>National Semiconductor</v>
      </c>
      <c r="C3130" s="6">
        <v>3463</v>
      </c>
      <c r="D3130" s="7">
        <v>4.01</v>
      </c>
      <c r="E3130" t="s">
        <v>43</v>
      </c>
    </row>
    <row r="3131" spans="1:5" x14ac:dyDescent="0.25">
      <c r="A3131" t="str">
        <f>HYPERLINK("https://www.773grp.com/globalSearch/ADC101S101CIMF-NOPB/page-1", "ADC101S101CIMF-NOPB")</f>
        <v>ADC101S101CIMF-NOPB</v>
      </c>
      <c r="B3131" s="3" t="str">
        <f>HYPERLINK("https://www.773grp.com/manufacturer/national-semiconductor?pageNo=48", "National Semiconductor")</f>
        <v>National Semiconductor</v>
      </c>
      <c r="C3131" s="6">
        <v>2994</v>
      </c>
      <c r="D3131" s="7">
        <v>4.01</v>
      </c>
      <c r="E3131" t="s">
        <v>39</v>
      </c>
    </row>
    <row r="3132" spans="1:5" x14ac:dyDescent="0.25">
      <c r="A3132" t="str">
        <f>HYPERLINK("https://www.773grp.com/globalSearch/ADC101S101CISD-NOPB/page-1", "ADC101S101CISD-NOPB")</f>
        <v>ADC101S101CISD-NOPB</v>
      </c>
      <c r="B3132" s="3" t="str">
        <f>HYPERLINK("https://www.773grp.com/manufacturer/national-semiconductor?pageNo=49", "National Semiconductor")</f>
        <v>National Semiconductor</v>
      </c>
      <c r="C3132" s="6">
        <v>27966</v>
      </c>
      <c r="D3132" s="7">
        <v>4.01</v>
      </c>
    </row>
    <row r="3133" spans="1:5" x14ac:dyDescent="0.25">
      <c r="A3133" t="str">
        <f>HYPERLINK("https://www.773grp.com/globalSearch/CY74FCT2257CTSOCT/page-1", "CY74FCT2257CTSOCT")</f>
        <v>CY74FCT2257CTSOCT</v>
      </c>
      <c r="B3133" s="3" t="str">
        <f>HYPERLINK("https://www.773grp.com/manufacturer/national-semiconductor?pageNo=50", "National Semiconductor")</f>
        <v>National Semiconductor</v>
      </c>
      <c r="C3133" s="6">
        <v>6000</v>
      </c>
      <c r="D3133" s="7">
        <v>4.01</v>
      </c>
    </row>
    <row r="3134" spans="1:5" x14ac:dyDescent="0.25">
      <c r="A3134" t="str">
        <f>HYPERLINK("https://www.773grp.com/globalSearch/LM1815MX-NOPB/page-1", "LM1815MX-NOPB")</f>
        <v>LM1815MX-NOPB</v>
      </c>
      <c r="B3134" s="3" t="str">
        <f>HYPERLINK("https://www.773grp.com/manufacturer/national-semiconductor?pageNo=51", "National Semiconductor")</f>
        <v>National Semiconductor</v>
      </c>
      <c r="C3134" s="6">
        <v>1508</v>
      </c>
      <c r="D3134" s="7">
        <v>4.01</v>
      </c>
      <c r="E3134" t="s">
        <v>40</v>
      </c>
    </row>
    <row r="3135" spans="1:5" x14ac:dyDescent="0.25">
      <c r="A3135" t="str">
        <f>HYPERLINK("https://www.773grp.com/globalSearch/LM2575S-5.0/page-1", "LM2575S-5.0")</f>
        <v>LM2575S-5.0</v>
      </c>
      <c r="B3135" s="3" t="str">
        <f>HYPERLINK("https://www.773grp.com/manufacturer/national-semiconductor?pageNo=52", "National Semiconductor")</f>
        <v>National Semiconductor</v>
      </c>
      <c r="C3135" s="6">
        <v>343</v>
      </c>
      <c r="D3135" s="7">
        <v>4.01</v>
      </c>
      <c r="E3135" t="s">
        <v>7</v>
      </c>
    </row>
    <row r="3136" spans="1:5" x14ac:dyDescent="0.25">
      <c r="A3136" t="str">
        <f>HYPERLINK("https://www.773grp.com/globalSearch/LM2576S-3.3-NOPB/page-1", "LM2576S-3.3-NOPB")</f>
        <v>LM2576S-3.3-NOPB</v>
      </c>
      <c r="B3136" s="3" t="str">
        <f>HYPERLINK("https://www.773grp.com/manufacturer/national-semiconductor?pageNo=53", "National Semiconductor")</f>
        <v>National Semiconductor</v>
      </c>
      <c r="C3136" s="6">
        <v>623</v>
      </c>
      <c r="D3136" s="7">
        <v>4.01</v>
      </c>
      <c r="E3136" t="s">
        <v>7</v>
      </c>
    </row>
    <row r="3137" spans="1:5" x14ac:dyDescent="0.25">
      <c r="A3137" t="str">
        <f>HYPERLINK("https://www.773grp.com/globalSearch/LM2576S-5.0-NOPB/page-1", "LM2576S-5.0-NOPB")</f>
        <v>LM2576S-5.0-NOPB</v>
      </c>
      <c r="B3137" s="3" t="str">
        <f>HYPERLINK("https://www.773grp.com/manufacturer/national-semiconductor?pageNo=54", "National Semiconductor")</f>
        <v>National Semiconductor</v>
      </c>
      <c r="C3137" s="6">
        <v>1526</v>
      </c>
      <c r="D3137" s="7">
        <v>4.01</v>
      </c>
      <c r="E3137" t="s">
        <v>7</v>
      </c>
    </row>
    <row r="3138" spans="1:5" x14ac:dyDescent="0.25">
      <c r="A3138" t="str">
        <f>HYPERLINK("https://www.773grp.com/globalSearch/LM2576S-ADJ-NOPB/page-1", "LM2576S-ADJ-NOPB")</f>
        <v>LM2576S-ADJ-NOPB</v>
      </c>
      <c r="B3138" s="3" t="str">
        <f>HYPERLINK("https://www.773grp.com/manufacturer/national-semiconductor?pageNo=55", "National Semiconductor")</f>
        <v>National Semiconductor</v>
      </c>
      <c r="C3138" s="6">
        <v>25</v>
      </c>
      <c r="D3138" s="7">
        <v>4.01</v>
      </c>
      <c r="E3138" t="s">
        <v>7</v>
      </c>
    </row>
    <row r="3139" spans="1:5" x14ac:dyDescent="0.25">
      <c r="A3139" t="str">
        <f>HYPERLINK("https://www.773grp.com/globalSearch/LM2576T-5.0/page-1", "LM2576T-5.0")</f>
        <v>LM2576T-5.0</v>
      </c>
      <c r="B3139" s="3" t="str">
        <f>HYPERLINK("https://www.773grp.com/manufacturer/national-semiconductor?pageNo=56", "National Semiconductor")</f>
        <v>National Semiconductor</v>
      </c>
      <c r="C3139" s="6">
        <v>177</v>
      </c>
      <c r="D3139" s="7">
        <v>4.01</v>
      </c>
      <c r="E3139" t="s">
        <v>7</v>
      </c>
    </row>
    <row r="3140" spans="1:5" x14ac:dyDescent="0.25">
      <c r="A3140" t="str">
        <f>HYPERLINK("https://www.773grp.com/globalSearch/LM359M-NOPB/page-1", "LM359M-NOPB")</f>
        <v>LM359M-NOPB</v>
      </c>
      <c r="B3140" s="3" t="str">
        <f>HYPERLINK("https://www.773grp.com/manufacturer/national-semiconductor?pageNo=57", "National Semiconductor")</f>
        <v>National Semiconductor</v>
      </c>
      <c r="C3140" s="6">
        <v>327</v>
      </c>
      <c r="D3140" s="7">
        <v>4.01</v>
      </c>
    </row>
    <row r="3141" spans="1:5" x14ac:dyDescent="0.25">
      <c r="A3141" t="str">
        <f>HYPERLINK("https://www.773grp.com/globalSearch/LM4950TS-NOPB/page-1", "LM4950TS-NOPB")</f>
        <v>LM4950TS-NOPB</v>
      </c>
      <c r="B3141" s="3" t="str">
        <f>HYPERLINK("https://www.773grp.com/manufacturer/national-semiconductor?pageNo=58", "National Semiconductor")</f>
        <v>National Semiconductor</v>
      </c>
      <c r="C3141" s="6">
        <v>572</v>
      </c>
      <c r="D3141" s="7">
        <v>4.01</v>
      </c>
    </row>
    <row r="3142" spans="1:5" x14ac:dyDescent="0.25">
      <c r="A3142" t="str">
        <f>HYPERLINK("https://www.773grp.com/globalSearch/LM5027AMH-NOPB/page-1", "LM5027AMH-NOPB")</f>
        <v>LM5027AMH-NOPB</v>
      </c>
      <c r="B3142" s="3" t="str">
        <f>HYPERLINK("https://www.773grp.com/manufacturer/national-semiconductor?pageNo=59", "National Semiconductor")</f>
        <v>National Semiconductor</v>
      </c>
      <c r="C3142" s="6">
        <v>860</v>
      </c>
      <c r="D3142" s="7">
        <v>4.01</v>
      </c>
    </row>
    <row r="3143" spans="1:5" x14ac:dyDescent="0.25">
      <c r="A3143" t="str">
        <f>HYPERLINK("https://www.773grp.com/globalSearch/LM5027MH-NOPB/page-1", "LM5027MH-NOPB")</f>
        <v>LM5027MH-NOPB</v>
      </c>
      <c r="B3143" s="3" t="str">
        <f>HYPERLINK("https://www.773grp.com/manufacturer/national-semiconductor?pageNo=60", "National Semiconductor")</f>
        <v>National Semiconductor</v>
      </c>
      <c r="C3143" s="6">
        <v>495</v>
      </c>
      <c r="D3143" s="7">
        <v>4.01</v>
      </c>
      <c r="E3143" t="s">
        <v>7</v>
      </c>
    </row>
    <row r="3144" spans="1:5" x14ac:dyDescent="0.25">
      <c r="A3144" t="str">
        <f>HYPERLINK("https://www.773grp.com/globalSearch/TRS3222ECDB/page-1", "TRS3222ECDB")</f>
        <v>TRS3222ECDB</v>
      </c>
      <c r="B3144" s="3" t="str">
        <f>HYPERLINK("https://www.773grp.com/manufacturer/national-semiconductor?pageNo=61", "National Semiconductor")</f>
        <v>National Semiconductor</v>
      </c>
      <c r="C3144" s="6">
        <v>1680</v>
      </c>
      <c r="D3144" s="7">
        <v>4.01</v>
      </c>
    </row>
    <row r="3145" spans="1:5" x14ac:dyDescent="0.25">
      <c r="A3145" t="str">
        <f>HYPERLINK("https://www.773grp.com/globalSearch/54LS352DMQB/page-1", "54LS352DMQB")</f>
        <v>54LS352DMQB</v>
      </c>
      <c r="B3145" s="3" t="str">
        <f>HYPERLINK("https://www.773grp.com/manufacturer/national-semiconductor?pageNo=62", "National Semiconductor")</f>
        <v>National Semiconductor</v>
      </c>
      <c r="C3145" s="6">
        <v>235</v>
      </c>
      <c r="D3145" s="7">
        <v>4.05</v>
      </c>
      <c r="E3145" t="s">
        <v>20</v>
      </c>
    </row>
    <row r="3146" spans="1:5" x14ac:dyDescent="0.25">
      <c r="A3146" t="str">
        <f>HYPERLINK("https://www.773grp.com/globalSearch/ADC121S625CIMM-NOPB/page-1", "ADC121S625CIMM-NOPB")</f>
        <v>ADC121S625CIMM-NOPB</v>
      </c>
      <c r="B3146" s="3" t="str">
        <f>HYPERLINK("https://www.773grp.com/manufacturer/national-semiconductor?pageNo=63", "National Semiconductor")</f>
        <v>National Semiconductor</v>
      </c>
      <c r="C3146" s="6">
        <v>2986</v>
      </c>
      <c r="D3146" s="7">
        <v>4.05</v>
      </c>
    </row>
    <row r="3147" spans="1:5" x14ac:dyDescent="0.25">
      <c r="A3147" t="str">
        <f>HYPERLINK("https://www.773grp.com/globalSearch/LM20123MHE-NOPB/page-1", "LM20123MHE-NOPB")</f>
        <v>LM20123MHE-NOPB</v>
      </c>
      <c r="B3147" s="3" t="str">
        <f>HYPERLINK("https://www.773grp.com/manufacturer/national-semiconductor?pageNo=64", "National Semiconductor")</f>
        <v>National Semiconductor</v>
      </c>
      <c r="C3147" s="6">
        <v>2600</v>
      </c>
      <c r="D3147" s="7">
        <v>4.05</v>
      </c>
    </row>
    <row r="3148" spans="1:5" x14ac:dyDescent="0.25">
      <c r="A3148" t="str">
        <f>HYPERLINK("https://www.773grp.com/globalSearch/LM22674MRE-ADJ-NOPB/page-1", "LM22674MRE-ADJ-NOPB")</f>
        <v>LM22674MRE-ADJ-NOPB</v>
      </c>
      <c r="B3148" s="3" t="str">
        <f>HYPERLINK("https://www.773grp.com/manufacturer/national-semiconductor?pageNo=65", "National Semiconductor")</f>
        <v>National Semiconductor</v>
      </c>
      <c r="C3148" s="6">
        <v>10759</v>
      </c>
      <c r="D3148" s="7">
        <v>4.05</v>
      </c>
    </row>
    <row r="3149" spans="1:5" x14ac:dyDescent="0.25">
      <c r="A3149" t="str">
        <f>HYPERLINK("https://www.773grp.com/globalSearch/LM2594M-12-NOPB/page-1", "LM2594M-12-NOPB")</f>
        <v>LM2594M-12-NOPB</v>
      </c>
      <c r="B3149" s="3" t="str">
        <f>HYPERLINK("https://www.773grp.com/manufacturer/national-semiconductor?pageNo=66", "National Semiconductor")</f>
        <v>National Semiconductor</v>
      </c>
      <c r="C3149" s="6">
        <v>965</v>
      </c>
      <c r="D3149" s="7">
        <v>4.05</v>
      </c>
      <c r="E3149" t="s">
        <v>7</v>
      </c>
    </row>
    <row r="3150" spans="1:5" x14ac:dyDescent="0.25">
      <c r="A3150" t="str">
        <f>HYPERLINK("https://www.773grp.com/globalSearch/LM2594M-3.3-NOPB/page-1", "LM2594M-3.3-NOPB")</f>
        <v>LM2594M-3.3-NOPB</v>
      </c>
      <c r="B3150" s="3" t="str">
        <f>HYPERLINK("https://www.773grp.com/manufacturer/national-semiconductor?pageNo=67", "National Semiconductor")</f>
        <v>National Semiconductor</v>
      </c>
      <c r="C3150" s="6">
        <v>1922</v>
      </c>
      <c r="D3150" s="7">
        <v>4.05</v>
      </c>
      <c r="E3150" t="s">
        <v>7</v>
      </c>
    </row>
    <row r="3151" spans="1:5" x14ac:dyDescent="0.25">
      <c r="A3151" t="str">
        <f>HYPERLINK("https://www.773grp.com/globalSearch/LM2594M-5.0-NOPB/page-1", "LM2594M-5.0-NOPB")</f>
        <v>LM2594M-5.0-NOPB</v>
      </c>
      <c r="B3151" s="3" t="str">
        <f>HYPERLINK("https://www.773grp.com/manufacturer/national-semiconductor?pageNo=68", "National Semiconductor")</f>
        <v>National Semiconductor</v>
      </c>
      <c r="C3151" s="6">
        <v>4485</v>
      </c>
      <c r="D3151" s="7">
        <v>4.05</v>
      </c>
      <c r="E3151" t="s">
        <v>7</v>
      </c>
    </row>
    <row r="3152" spans="1:5" x14ac:dyDescent="0.25">
      <c r="A3152" t="str">
        <f>HYPERLINK("https://www.773grp.com/globalSearch/LM2594M-ADJ-NOPB/page-1", "LM2594M-ADJ-NOPB")</f>
        <v>LM2594M-ADJ-NOPB</v>
      </c>
      <c r="B3152" s="3" t="str">
        <f>HYPERLINK("https://www.773grp.com/manufacturer/national-semiconductor?pageNo=69", "National Semiconductor")</f>
        <v>National Semiconductor</v>
      </c>
      <c r="C3152" s="6">
        <v>2712</v>
      </c>
      <c r="D3152" s="7">
        <v>4.05</v>
      </c>
      <c r="E3152" t="s">
        <v>7</v>
      </c>
    </row>
    <row r="3153" spans="1:5" x14ac:dyDescent="0.25">
      <c r="A3153" t="str">
        <f>HYPERLINK("https://www.773grp.com/globalSearch/LM2594N-5.0/page-1", "LM2594N-5.0")</f>
        <v>LM2594N-5.0</v>
      </c>
      <c r="B3153" s="3" t="str">
        <f>HYPERLINK("https://www.773grp.com/manufacturer/national-semiconductor?pageNo=70", "National Semiconductor")</f>
        <v>National Semiconductor</v>
      </c>
      <c r="C3153" s="6">
        <v>5560</v>
      </c>
      <c r="D3153" s="7">
        <v>4.05</v>
      </c>
      <c r="E3153" t="s">
        <v>7</v>
      </c>
    </row>
    <row r="3154" spans="1:5" x14ac:dyDescent="0.25">
      <c r="A3154" t="str">
        <f>HYPERLINK("https://www.773grp.com/globalSearch/LM2674M-12-NOPB/page-1", "LM2674M-12-NOPB")</f>
        <v>LM2674M-12-NOPB</v>
      </c>
      <c r="B3154" s="3" t="str">
        <f>HYPERLINK("https://www.773grp.com/manufacturer/national-semiconductor?pageNo=71", "National Semiconductor")</f>
        <v>National Semiconductor</v>
      </c>
      <c r="C3154" s="6">
        <v>409</v>
      </c>
      <c r="D3154" s="7">
        <v>4.05</v>
      </c>
      <c r="E3154" t="s">
        <v>7</v>
      </c>
    </row>
    <row r="3155" spans="1:5" x14ac:dyDescent="0.25">
      <c r="A3155" t="str">
        <f>HYPERLINK("https://www.773grp.com/globalSearch/LM2674M-3.3-NOPB/page-1", "LM2674M-3.3-NOPB")</f>
        <v>LM2674M-3.3-NOPB</v>
      </c>
      <c r="B3155" s="3" t="str">
        <f>HYPERLINK("https://www.773grp.com/manufacturer/national-semiconductor?pageNo=72", "National Semiconductor")</f>
        <v>National Semiconductor</v>
      </c>
      <c r="C3155" s="6">
        <v>1320</v>
      </c>
      <c r="D3155" s="7">
        <v>4.05</v>
      </c>
      <c r="E3155" t="s">
        <v>7</v>
      </c>
    </row>
    <row r="3156" spans="1:5" x14ac:dyDescent="0.25">
      <c r="A3156" t="str">
        <f>HYPERLINK("https://www.773grp.com/globalSearch/LM2674M-5.0-NOPB/page-1", "LM2674M-5.0-NOPB")</f>
        <v>LM2674M-5.0-NOPB</v>
      </c>
      <c r="B3156" s="3" t="str">
        <f>HYPERLINK("https://www.773grp.com/manufacturer/national-semiconductor?pageNo=73", "National Semiconductor")</f>
        <v>National Semiconductor</v>
      </c>
      <c r="C3156" s="6">
        <v>4814</v>
      </c>
      <c r="D3156" s="7">
        <v>4.05</v>
      </c>
      <c r="E3156" t="s">
        <v>7</v>
      </c>
    </row>
    <row r="3157" spans="1:5" x14ac:dyDescent="0.25">
      <c r="A3157" t="str">
        <f>HYPERLINK("https://www.773grp.com/globalSearch/LM2674M-ADJ-NOPB/page-1", "LM2674M-ADJ-NOPB")</f>
        <v>LM2674M-ADJ-NOPB</v>
      </c>
      <c r="B3157" s="3" t="str">
        <f>HYPERLINK("https://www.773grp.com/manufacturer/national-semiconductor?pageNo=74", "National Semiconductor")</f>
        <v>National Semiconductor</v>
      </c>
      <c r="C3157" s="6">
        <v>1290</v>
      </c>
      <c r="D3157" s="7">
        <v>4.05</v>
      </c>
      <c r="E3157" t="s">
        <v>7</v>
      </c>
    </row>
    <row r="3158" spans="1:5" x14ac:dyDescent="0.25">
      <c r="A3158" t="str">
        <f>HYPERLINK("https://www.773grp.com/globalSearch/LM3431MH-NOPB/page-1", "LM3431MH-NOPB")</f>
        <v>LM3431MH-NOPB</v>
      </c>
      <c r="B3158" s="3" t="str">
        <f>HYPERLINK("https://www.773grp.com/manufacturer/national-semiconductor?pageNo=75", "National Semiconductor")</f>
        <v>National Semiconductor</v>
      </c>
      <c r="C3158" s="6">
        <v>934</v>
      </c>
      <c r="D3158" s="7">
        <v>4.05</v>
      </c>
      <c r="E3158" t="s">
        <v>7</v>
      </c>
    </row>
    <row r="3159" spans="1:5" x14ac:dyDescent="0.25">
      <c r="A3159" t="str">
        <f>HYPERLINK("https://www.773grp.com/globalSearch/LM3432MH-NOPB/page-1", "LM3432MH-NOPB")</f>
        <v>LM3432MH-NOPB</v>
      </c>
      <c r="B3159" s="3" t="str">
        <f>HYPERLINK("https://www.773grp.com/manufacturer/national-semiconductor?pageNo=76", "National Semiconductor")</f>
        <v>National Semiconductor</v>
      </c>
      <c r="C3159" s="6">
        <v>1248</v>
      </c>
      <c r="D3159" s="7">
        <v>4.05</v>
      </c>
    </row>
    <row r="3160" spans="1:5" x14ac:dyDescent="0.25">
      <c r="A3160" t="str">
        <f>HYPERLINK("https://www.773grp.com/globalSearch/LM34919BTL-NOPB/page-1", "LM34919BTL-NOPB")</f>
        <v>LM34919BTL-NOPB</v>
      </c>
      <c r="B3160" s="3" t="str">
        <f>HYPERLINK("https://www.773grp.com/manufacturer/national-semiconductor?pageNo=77", "National Semiconductor")</f>
        <v>National Semiconductor</v>
      </c>
      <c r="C3160" s="6">
        <v>990</v>
      </c>
      <c r="D3160" s="7">
        <v>4.05</v>
      </c>
    </row>
    <row r="3161" spans="1:5" x14ac:dyDescent="0.25">
      <c r="A3161" t="str">
        <f>HYPERLINK("https://www.773grp.com/globalSearch/LM48823TL-NOPB/page-1", "LM48823TL-NOPB")</f>
        <v>LM48823TL-NOPB</v>
      </c>
      <c r="B3161" s="3" t="str">
        <f>HYPERLINK("https://www.773grp.com/manufacturer/national-semiconductor?pageNo=78", "National Semiconductor")</f>
        <v>National Semiconductor</v>
      </c>
      <c r="C3161" s="6">
        <v>711</v>
      </c>
      <c r="D3161" s="7">
        <v>4.05</v>
      </c>
      <c r="E3161" t="s">
        <v>41</v>
      </c>
    </row>
    <row r="3162" spans="1:5" x14ac:dyDescent="0.25">
      <c r="A3162" t="str">
        <f>HYPERLINK("https://www.773grp.com/globalSearch/LM5101M-NOPB/page-1", "LM5101M-NOPB")</f>
        <v>LM5101M-NOPB</v>
      </c>
      <c r="B3162" s="3" t="str">
        <f>HYPERLINK("https://www.773grp.com/manufacturer/national-semiconductor?pageNo=79", "National Semiconductor")</f>
        <v>National Semiconductor</v>
      </c>
      <c r="C3162" s="6">
        <v>382</v>
      </c>
      <c r="D3162" s="7">
        <v>4.05</v>
      </c>
      <c r="E3162" t="s">
        <v>11</v>
      </c>
    </row>
    <row r="3163" spans="1:5" x14ac:dyDescent="0.25">
      <c r="A3163" t="str">
        <f>HYPERLINK("https://www.773grp.com/globalSearch/LM6171BIM-NOPB/page-1", "LM6171BIM-NOPB")</f>
        <v>LM6171BIM-NOPB</v>
      </c>
      <c r="B3163" s="3" t="str">
        <f>HYPERLINK("https://www.773grp.com/manufacturer/national-semiconductor?pageNo=80", "National Semiconductor")</f>
        <v>National Semiconductor</v>
      </c>
      <c r="C3163" s="6">
        <v>121</v>
      </c>
      <c r="D3163" s="7">
        <v>4.05</v>
      </c>
      <c r="E3163" t="s">
        <v>18</v>
      </c>
    </row>
    <row r="3164" spans="1:5" x14ac:dyDescent="0.25">
      <c r="A3164" t="str">
        <f>HYPERLINK("https://www.773grp.com/globalSearch/LM6171BIN/page-1", "LM6171BIN")</f>
        <v>LM6171BIN</v>
      </c>
      <c r="B3164" s="3" t="str">
        <f>HYPERLINK("https://www.773grp.com/manufacturer/national-semiconductor?pageNo=81", "National Semiconductor")</f>
        <v>National Semiconductor</v>
      </c>
      <c r="C3164" s="6">
        <v>36</v>
      </c>
      <c r="D3164" s="7">
        <v>4.05</v>
      </c>
      <c r="E3164" t="s">
        <v>18</v>
      </c>
    </row>
    <row r="3165" spans="1:5" x14ac:dyDescent="0.25">
      <c r="A3165" t="str">
        <f>HYPERLINK("https://www.773grp.com/globalSearch/LMC6042AIM-NOPB/page-1", "LMC6042AIM-NOPB")</f>
        <v>LMC6042AIM-NOPB</v>
      </c>
      <c r="B3165" s="3" t="str">
        <f>HYPERLINK("https://www.773grp.com/manufacturer/national-semiconductor?pageNo=82", "National Semiconductor")</f>
        <v>National Semiconductor</v>
      </c>
      <c r="C3165" s="6">
        <v>2413</v>
      </c>
      <c r="D3165" s="7">
        <v>4.05</v>
      </c>
      <c r="E3165" t="s">
        <v>13</v>
      </c>
    </row>
    <row r="3166" spans="1:5" x14ac:dyDescent="0.25">
      <c r="A3166" t="str">
        <f>HYPERLINK("https://www.773grp.com/globalSearch/LMC6953CM/page-1", "LMC6953CM")</f>
        <v>LMC6953CM</v>
      </c>
      <c r="B3166" s="3" t="str">
        <f>HYPERLINK("https://www.773grp.com/manufacturer/national-semiconductor?pageNo=83", "National Semiconductor")</f>
        <v>National Semiconductor</v>
      </c>
      <c r="C3166" s="6">
        <v>285</v>
      </c>
      <c r="D3166" s="7">
        <v>4.05</v>
      </c>
      <c r="E3166" t="s">
        <v>30</v>
      </c>
    </row>
    <row r="3167" spans="1:5" x14ac:dyDescent="0.25">
      <c r="A3167" t="str">
        <f>HYPERLINK("https://www.773grp.com/globalSearch/LP3961EMP-3.3/page-1", "LP3961EMP-3.3")</f>
        <v>LP3961EMP-3.3</v>
      </c>
      <c r="B3167" s="3" t="str">
        <f>HYPERLINK("https://www.773grp.com/manufacturer/national-semiconductor?pageNo=84", "National Semiconductor")</f>
        <v>National Semiconductor</v>
      </c>
      <c r="C3167" s="6">
        <v>445</v>
      </c>
      <c r="D3167" s="7">
        <v>4.05</v>
      </c>
      <c r="E3167" t="s">
        <v>19</v>
      </c>
    </row>
    <row r="3168" spans="1:5" x14ac:dyDescent="0.25">
      <c r="A3168" t="str">
        <f>HYPERLINK("https://www.773grp.com/globalSearch/LP3961EMP-5.0/page-1", "LP3961EMP-5.0")</f>
        <v>LP3961EMP-5.0</v>
      </c>
      <c r="B3168" s="3" t="str">
        <f>HYPERLINK("https://www.773grp.com/manufacturer/national-semiconductor?pageNo=85", "National Semiconductor")</f>
        <v>National Semiconductor</v>
      </c>
      <c r="C3168" s="6">
        <v>1000</v>
      </c>
      <c r="D3168" s="7">
        <v>4.05</v>
      </c>
      <c r="E3168" t="s">
        <v>19</v>
      </c>
    </row>
    <row r="3169" spans="1:5" x14ac:dyDescent="0.25">
      <c r="A3169" t="str">
        <f>HYPERLINK("https://www.773grp.com/globalSearch/LP3961EMPX-2.5/page-1", "LP3961EMPX-2.5")</f>
        <v>LP3961EMPX-2.5</v>
      </c>
      <c r="B3169" s="3" t="str">
        <f>HYPERLINK("https://www.773grp.com/manufacturer/national-semiconductor?pageNo=86", "National Semiconductor")</f>
        <v>National Semiconductor</v>
      </c>
      <c r="C3169" s="6">
        <v>5500</v>
      </c>
      <c r="D3169" s="7">
        <v>4.05</v>
      </c>
      <c r="E3169" t="s">
        <v>19</v>
      </c>
    </row>
    <row r="3170" spans="1:5" x14ac:dyDescent="0.25">
      <c r="A3170" t="str">
        <f>HYPERLINK("https://www.773grp.com/globalSearch/LP3961EMPX-3.3/page-1", "LP3961EMPX-3.3")</f>
        <v>LP3961EMPX-3.3</v>
      </c>
      <c r="B3170" s="3" t="str">
        <f>HYPERLINK("https://www.773grp.com/manufacturer/national-semiconductor?pageNo=87", "National Semiconductor")</f>
        <v>National Semiconductor</v>
      </c>
      <c r="C3170" s="6">
        <v>6000</v>
      </c>
      <c r="D3170" s="7">
        <v>4.05</v>
      </c>
      <c r="E3170" t="s">
        <v>19</v>
      </c>
    </row>
    <row r="3171" spans="1:5" x14ac:dyDescent="0.25">
      <c r="A3171" t="str">
        <f>HYPERLINK("https://www.773grp.com/globalSearch/ADC121S625CIMM-NOPB/page-1", "ADC121S625CIMM-NOPB")</f>
        <v>ADC121S625CIMM-NOPB</v>
      </c>
      <c r="B3171" s="3" t="str">
        <f>HYPERLINK("https://www.773grp.com/manufacturer/national-semiconductor?pageNo=88", "National Semiconductor")</f>
        <v>National Semiconductor</v>
      </c>
      <c r="C3171" s="6">
        <v>3887</v>
      </c>
      <c r="D3171" s="7">
        <v>4.05</v>
      </c>
    </row>
    <row r="3172" spans="1:5" x14ac:dyDescent="0.25">
      <c r="A3172" t="str">
        <f>HYPERLINK("https://www.773grp.com/globalSearch/LM20123MHE-NOPB/page-1", "LM20123MHE-NOPB")</f>
        <v>LM20123MHE-NOPB</v>
      </c>
      <c r="B3172" s="3" t="str">
        <f>HYPERLINK("https://www.773grp.com/manufacturer/national-semiconductor?pageNo=89", "National Semiconductor")</f>
        <v>National Semiconductor</v>
      </c>
      <c r="C3172" s="6">
        <v>2267</v>
      </c>
      <c r="D3172" s="7">
        <v>4.05</v>
      </c>
    </row>
    <row r="3173" spans="1:5" x14ac:dyDescent="0.25">
      <c r="A3173" t="str">
        <f>HYPERLINK("https://www.773grp.com/globalSearch/LM20143MHE-NOPB/page-1", "LM20143MHE-NOPB")</f>
        <v>LM20143MHE-NOPB</v>
      </c>
      <c r="B3173" s="3" t="str">
        <f>HYPERLINK("https://www.773grp.com/manufacturer/national-semiconductor?pageNo=90", "National Semiconductor")</f>
        <v>National Semiconductor</v>
      </c>
      <c r="C3173" s="6">
        <v>306</v>
      </c>
      <c r="D3173" s="7">
        <v>4.05</v>
      </c>
    </row>
    <row r="3174" spans="1:5" x14ac:dyDescent="0.25">
      <c r="A3174" t="str">
        <f>HYPERLINK("https://www.773grp.com/globalSearch/LM22674MRE-5.0-NOPB/page-1", "LM22674MRE-5.0-NOPB")</f>
        <v>LM22674MRE-5.0-NOPB</v>
      </c>
      <c r="B3174" s="3" t="str">
        <f>HYPERLINK("https://www.773grp.com/manufacturer/national-semiconductor?pageNo=91", "National Semiconductor")</f>
        <v>National Semiconductor</v>
      </c>
      <c r="C3174" s="6">
        <v>1098</v>
      </c>
      <c r="D3174" s="7">
        <v>4.05</v>
      </c>
    </row>
    <row r="3175" spans="1:5" x14ac:dyDescent="0.25">
      <c r="A3175" t="str">
        <f>HYPERLINK("https://www.773grp.com/globalSearch/LM22674MRE-ADJ-NOPB/page-1", "LM22674MRE-ADJ-NOPB")</f>
        <v>LM22674MRE-ADJ-NOPB</v>
      </c>
      <c r="B3175" s="3" t="str">
        <f>HYPERLINK("https://www.773grp.com/manufacturer/national-semiconductor?pageNo=92", "National Semiconductor")</f>
        <v>National Semiconductor</v>
      </c>
      <c r="C3175" s="6">
        <v>5336</v>
      </c>
      <c r="D3175" s="7">
        <v>4.05</v>
      </c>
    </row>
    <row r="3176" spans="1:5" x14ac:dyDescent="0.25">
      <c r="A3176" t="str">
        <f>HYPERLINK("https://www.773grp.com/globalSearch/LM25017MRE-NOPB/page-1", "LM25017MRE-NOPB")</f>
        <v>LM25017MRE-NOPB</v>
      </c>
      <c r="B3176" s="3" t="str">
        <f>HYPERLINK("https://www.773grp.com/manufacturer/national-semiconductor?pageNo=93", "National Semiconductor")</f>
        <v>National Semiconductor</v>
      </c>
      <c r="C3176" s="6">
        <v>250</v>
      </c>
      <c r="D3176" s="7">
        <v>4.05</v>
      </c>
    </row>
    <row r="3177" spans="1:5" x14ac:dyDescent="0.25">
      <c r="A3177" t="str">
        <f>HYPERLINK("https://www.773grp.com/globalSearch/LM2594M-12-NOPB/page-1", "LM2594M-12-NOPB")</f>
        <v>LM2594M-12-NOPB</v>
      </c>
      <c r="B3177" s="3" t="str">
        <f>HYPERLINK("https://www.773grp.com/manufacturer/national-semiconductor?pageNo=94", "National Semiconductor")</f>
        <v>National Semiconductor</v>
      </c>
      <c r="C3177" s="6">
        <v>254</v>
      </c>
      <c r="D3177" s="7">
        <v>4.05</v>
      </c>
      <c r="E3177" t="s">
        <v>7</v>
      </c>
    </row>
    <row r="3178" spans="1:5" x14ac:dyDescent="0.25">
      <c r="A3178" t="str">
        <f>HYPERLINK("https://www.773grp.com/globalSearch/LM2594M-3.3-NOPB/page-1", "LM2594M-3.3-NOPB")</f>
        <v>LM2594M-3.3-NOPB</v>
      </c>
      <c r="B3178" s="3" t="str">
        <f>HYPERLINK("https://www.773grp.com/manufacturer/national-semiconductor?pageNo=95", "National Semiconductor")</f>
        <v>National Semiconductor</v>
      </c>
      <c r="C3178" s="6">
        <v>95</v>
      </c>
      <c r="D3178" s="7">
        <v>4.05</v>
      </c>
      <c r="E3178" t="s">
        <v>7</v>
      </c>
    </row>
    <row r="3179" spans="1:5" x14ac:dyDescent="0.25">
      <c r="A3179" t="str">
        <f>HYPERLINK("https://www.773grp.com/globalSearch/LM2594M-5.0-NOPB/page-1", "LM2594M-5.0-NOPB")</f>
        <v>LM2594M-5.0-NOPB</v>
      </c>
      <c r="B3179" s="3" t="str">
        <f>HYPERLINK("https://www.773grp.com/manufacturer/national-semiconductor?pageNo=96", "National Semiconductor")</f>
        <v>National Semiconductor</v>
      </c>
      <c r="C3179" s="6">
        <v>354</v>
      </c>
      <c r="D3179" s="7">
        <v>4.05</v>
      </c>
      <c r="E3179" t="s">
        <v>7</v>
      </c>
    </row>
    <row r="3180" spans="1:5" x14ac:dyDescent="0.25">
      <c r="A3180" t="str">
        <f>HYPERLINK("https://www.773grp.com/globalSearch/LM2594M-ADJ-NOPB/page-1", "LM2594M-ADJ-NOPB")</f>
        <v>LM2594M-ADJ-NOPB</v>
      </c>
      <c r="B3180" s="3" t="str">
        <f>HYPERLINK("https://www.773grp.com/manufacturer/national-semiconductor?pageNo=97", "National Semiconductor")</f>
        <v>National Semiconductor</v>
      </c>
      <c r="C3180" s="6">
        <v>910</v>
      </c>
      <c r="D3180" s="7">
        <v>4.05</v>
      </c>
      <c r="E3180" t="s">
        <v>7</v>
      </c>
    </row>
    <row r="3181" spans="1:5" x14ac:dyDescent="0.25">
      <c r="A3181" t="str">
        <f>HYPERLINK("https://www.773grp.com/globalSearch/LM2674M-12-NOPB/page-1", "LM2674M-12-NOPB")</f>
        <v>LM2674M-12-NOPB</v>
      </c>
      <c r="B3181" s="3" t="str">
        <f>HYPERLINK("https://www.773grp.com/manufacturer/national-semiconductor?pageNo=98", "National Semiconductor")</f>
        <v>National Semiconductor</v>
      </c>
      <c r="C3181" s="6">
        <v>286</v>
      </c>
      <c r="D3181" s="7">
        <v>4.05</v>
      </c>
      <c r="E3181" t="s">
        <v>7</v>
      </c>
    </row>
    <row r="3182" spans="1:5" x14ac:dyDescent="0.25">
      <c r="A3182" t="str">
        <f>HYPERLINK("https://www.773grp.com/globalSearch/LM2674M-3.3-NOPB/page-1", "LM2674M-3.3-NOPB")</f>
        <v>LM2674M-3.3-NOPB</v>
      </c>
      <c r="B3182" s="3" t="str">
        <f>HYPERLINK("https://www.773grp.com/manufacturer/national-semiconductor?pageNo=99", "National Semiconductor")</f>
        <v>National Semiconductor</v>
      </c>
      <c r="C3182" s="6">
        <v>48</v>
      </c>
      <c r="D3182" s="7">
        <v>4.05</v>
      </c>
      <c r="E3182" t="s">
        <v>7</v>
      </c>
    </row>
    <row r="3183" spans="1:5" x14ac:dyDescent="0.25">
      <c r="A3183" t="str">
        <f>HYPERLINK("https://www.773grp.com/globalSearch/LM2674M-5.0-NOPB/page-1", "LM2674M-5.0-NOPB")</f>
        <v>LM2674M-5.0-NOPB</v>
      </c>
      <c r="B3183" s="3" t="str">
        <f>HYPERLINK("https://www.773grp.com/manufacturer/national-semiconductor?pageNo=100", "National Semiconductor")</f>
        <v>National Semiconductor</v>
      </c>
      <c r="C3183" s="6">
        <v>851</v>
      </c>
      <c r="D3183" s="7">
        <v>4.05</v>
      </c>
      <c r="E3183" t="s">
        <v>7</v>
      </c>
    </row>
    <row r="3184" spans="1:5" x14ac:dyDescent="0.25">
      <c r="A3184" t="str">
        <f>HYPERLINK("https://www.773grp.com/globalSearch/LM2674M-ADJ-NOPB/page-1", "LM2674M-ADJ-NOPB")</f>
        <v>LM2674M-ADJ-NOPB</v>
      </c>
      <c r="B3184" s="3" t="str">
        <f>HYPERLINK("https://www.773grp.com/manufacturer/national-semiconductor?pageNo=101", "National Semiconductor")</f>
        <v>National Semiconductor</v>
      </c>
      <c r="C3184" s="6">
        <v>234</v>
      </c>
      <c r="D3184" s="7">
        <v>4.05</v>
      </c>
      <c r="E3184" t="s">
        <v>7</v>
      </c>
    </row>
    <row r="3185" spans="1:5" x14ac:dyDescent="0.25">
      <c r="A3185" t="str">
        <f>HYPERLINK("https://www.773grp.com/globalSearch/LM2734YQMKE-NOPB/page-1", "LM2734YQMKE-NOPB")</f>
        <v>LM2734YQMKE-NOPB</v>
      </c>
      <c r="B3185" s="3" t="str">
        <f>HYPERLINK("https://www.773grp.com/manufacturer/national-semiconductor?pageNo=102", "National Semiconductor")</f>
        <v>National Semiconductor</v>
      </c>
      <c r="C3185" s="6">
        <v>16593</v>
      </c>
      <c r="D3185" s="7">
        <v>4.05</v>
      </c>
    </row>
    <row r="3186" spans="1:5" x14ac:dyDescent="0.25">
      <c r="A3186" t="str">
        <f>HYPERLINK("https://www.773grp.com/globalSearch/LM3431MH-NOPB/page-1", "LM3431MH-NOPB")</f>
        <v>LM3431MH-NOPB</v>
      </c>
      <c r="B3186" s="3" t="str">
        <f>HYPERLINK("https://www.773grp.com/manufacturer/national-semiconductor?pageNo=103", "National Semiconductor")</f>
        <v>National Semiconductor</v>
      </c>
      <c r="C3186" s="6">
        <v>98</v>
      </c>
      <c r="D3186" s="7">
        <v>4.05</v>
      </c>
      <c r="E3186" t="s">
        <v>7</v>
      </c>
    </row>
    <row r="3187" spans="1:5" x14ac:dyDescent="0.25">
      <c r="A3187" t="str">
        <f>HYPERLINK("https://www.773grp.com/globalSearch/LM34919BTL-NOPB/page-1", "LM34919BTL-NOPB")</f>
        <v>LM34919BTL-NOPB</v>
      </c>
      <c r="B3187" s="3" t="str">
        <f>HYPERLINK("https://www.773grp.com/manufacturer/national-semiconductor?pageNo=104", "National Semiconductor")</f>
        <v>National Semiconductor</v>
      </c>
      <c r="C3187" s="6">
        <v>498</v>
      </c>
      <c r="D3187" s="7">
        <v>4.05</v>
      </c>
    </row>
    <row r="3188" spans="1:5" x14ac:dyDescent="0.25">
      <c r="A3188" t="str">
        <f>HYPERLINK("https://www.773grp.com/globalSearch/LM5051MAE-NOPB/page-1", "LM5051MAE-NOPB")</f>
        <v>LM5051MAE-NOPB</v>
      </c>
      <c r="B3188" s="3" t="str">
        <f>HYPERLINK("https://www.773grp.com/manufacturer/national-semiconductor?pageNo=105", "National Semiconductor")</f>
        <v>National Semiconductor</v>
      </c>
      <c r="C3188" s="6">
        <v>71</v>
      </c>
      <c r="D3188" s="7">
        <v>4.05</v>
      </c>
    </row>
    <row r="3189" spans="1:5" x14ac:dyDescent="0.25">
      <c r="A3189" t="str">
        <f>HYPERLINK("https://www.773grp.com/globalSearch/LM6171BIM-NOPB/page-1", "LM6171BIM-NOPB")</f>
        <v>LM6171BIM-NOPB</v>
      </c>
      <c r="B3189" s="3" t="str">
        <f>HYPERLINK("https://www.773grp.com/manufacturer/national-semiconductor?pageNo=106", "National Semiconductor")</f>
        <v>National Semiconductor</v>
      </c>
      <c r="C3189" s="6">
        <v>250</v>
      </c>
      <c r="D3189" s="7">
        <v>4.05</v>
      </c>
      <c r="E3189" t="s">
        <v>18</v>
      </c>
    </row>
    <row r="3190" spans="1:5" x14ac:dyDescent="0.25">
      <c r="A3190" t="str">
        <f>HYPERLINK("https://www.773grp.com/globalSearch/LM6171BIN/page-1", "LM6171BIN")</f>
        <v>LM6171BIN</v>
      </c>
      <c r="B3190" s="3" t="str">
        <f>HYPERLINK("https://www.773grp.com/manufacturer/national-semiconductor?pageNo=107", "National Semiconductor")</f>
        <v>National Semiconductor</v>
      </c>
      <c r="C3190" s="6">
        <v>9149</v>
      </c>
      <c r="D3190" s="7">
        <v>4.05</v>
      </c>
      <c r="E3190" t="s">
        <v>18</v>
      </c>
    </row>
    <row r="3191" spans="1:5" x14ac:dyDescent="0.25">
      <c r="A3191" t="str">
        <f>HYPERLINK("https://www.773grp.com/globalSearch/LMC6042AIM-NOPB/page-1", "LMC6042AIM-NOPB")</f>
        <v>LMC6042AIM-NOPB</v>
      </c>
      <c r="B3191" s="3" t="str">
        <f>HYPERLINK("https://www.773grp.com/manufacturer/national-semiconductor?pageNo=108", "National Semiconductor")</f>
        <v>National Semiconductor</v>
      </c>
      <c r="C3191" s="6">
        <v>240</v>
      </c>
      <c r="D3191" s="7">
        <v>4.05</v>
      </c>
      <c r="E3191" t="s">
        <v>13</v>
      </c>
    </row>
    <row r="3192" spans="1:5" x14ac:dyDescent="0.25">
      <c r="A3192" t="str">
        <f>HYPERLINK("https://www.773grp.com/globalSearch/LMC6953CMX-NOPB/page-1", "LMC6953CMX-NOPB")</f>
        <v>LMC6953CMX-NOPB</v>
      </c>
      <c r="B3192" s="3" t="str">
        <f>HYPERLINK("https://www.773grp.com/manufacturer/national-semiconductor?pageNo=109", "National Semiconductor")</f>
        <v>National Semiconductor</v>
      </c>
      <c r="C3192" s="6">
        <v>2370</v>
      </c>
      <c r="D3192" s="7">
        <v>4.05</v>
      </c>
    </row>
    <row r="3193" spans="1:5" x14ac:dyDescent="0.25">
      <c r="A3193" t="str">
        <f>HYPERLINK("https://www.773grp.com/globalSearch/LMP8671MA-NOPB/page-1", "LMP8671MA-NOPB")</f>
        <v>LMP8671MA-NOPB</v>
      </c>
      <c r="B3193" s="3" t="str">
        <f>HYPERLINK("https://www.773grp.com/manufacturer/national-semiconductor?pageNo=110", "National Semiconductor")</f>
        <v>National Semiconductor</v>
      </c>
      <c r="C3193" s="6">
        <v>121</v>
      </c>
      <c r="D3193" s="7">
        <v>4.05</v>
      </c>
    </row>
    <row r="3194" spans="1:5" x14ac:dyDescent="0.25">
      <c r="A3194" t="str">
        <f>HYPERLINK("https://www.773grp.com/globalSearch/LP3961EMP-3.3/page-1", "LP3961EMP-3.3")</f>
        <v>LP3961EMP-3.3</v>
      </c>
      <c r="B3194" s="3" t="str">
        <f>HYPERLINK("https://www.773grp.com/manufacturer/national-semiconductor?pageNo=111", "National Semiconductor")</f>
        <v>National Semiconductor</v>
      </c>
      <c r="C3194" s="6">
        <v>1000</v>
      </c>
      <c r="D3194" s="7">
        <v>4.05</v>
      </c>
      <c r="E3194" t="s">
        <v>19</v>
      </c>
    </row>
    <row r="3195" spans="1:5" x14ac:dyDescent="0.25">
      <c r="A3195" t="str">
        <f>HYPERLINK("https://www.773grp.com/globalSearch/LP3961EMPX-2.5/page-1", "LP3961EMPX-2.5")</f>
        <v>LP3961EMPX-2.5</v>
      </c>
      <c r="B3195" s="3" t="str">
        <f>HYPERLINK("https://www.773grp.com/manufacturer/national-semiconductor?pageNo=112", "National Semiconductor")</f>
        <v>National Semiconductor</v>
      </c>
      <c r="C3195" s="6">
        <v>4000</v>
      </c>
      <c r="D3195" s="7">
        <v>4.05</v>
      </c>
      <c r="E3195" t="s">
        <v>19</v>
      </c>
    </row>
    <row r="3196" spans="1:5" x14ac:dyDescent="0.25">
      <c r="A3196" t="str">
        <f>HYPERLINK("https://www.773grp.com/globalSearch/LP3964EMP-2.5/page-1", "LP3964EMP-2.5")</f>
        <v>LP3964EMP-2.5</v>
      </c>
      <c r="B3196" s="3" t="str">
        <f>HYPERLINK("https://www.773grp.com/manufacturer/national-semiconductor?pageNo=113", "National Semiconductor")</f>
        <v>National Semiconductor</v>
      </c>
      <c r="C3196" s="6">
        <v>1330</v>
      </c>
      <c r="D3196" s="7">
        <v>4.05</v>
      </c>
    </row>
    <row r="3197" spans="1:5" x14ac:dyDescent="0.25">
      <c r="A3197" t="str">
        <f>HYPERLINK("https://www.773grp.com/globalSearch/LP3964EMP-ADJ/page-1", "LP3964EMP-ADJ")</f>
        <v>LP3964EMP-ADJ</v>
      </c>
      <c r="B3197" s="3" t="str">
        <f>HYPERLINK("https://www.773grp.com/manufacturer/national-semiconductor?pageNo=114", "National Semiconductor")</f>
        <v>National Semiconductor</v>
      </c>
      <c r="C3197" s="6">
        <v>494</v>
      </c>
      <c r="D3197" s="7">
        <v>4.05</v>
      </c>
    </row>
    <row r="3198" spans="1:5" x14ac:dyDescent="0.25">
      <c r="A3198" t="str">
        <f>HYPERLINK("https://www.773grp.com/globalSearch/LP3964EMPX-ADJ/page-1", "LP3964EMPX-ADJ")</f>
        <v>LP3964EMPX-ADJ</v>
      </c>
      <c r="B3198" s="3" t="str">
        <f>HYPERLINK("https://www.773grp.com/manufacturer/national-semiconductor?pageNo=115", "National Semiconductor")</f>
        <v>National Semiconductor</v>
      </c>
      <c r="C3198" s="6">
        <v>4000</v>
      </c>
      <c r="D3198" s="7">
        <v>4.05</v>
      </c>
    </row>
    <row r="3199" spans="1:5" x14ac:dyDescent="0.25">
      <c r="A3199" t="str">
        <f>HYPERLINK("https://www.773grp.com/globalSearch/5476DMQB/page-1", "5476DMQB")</f>
        <v>5476DMQB</v>
      </c>
      <c r="B3199" s="3" t="str">
        <f>HYPERLINK("https://www.773grp.com/manufacturer/national-semiconductor?pageNo=116", "National Semiconductor")</f>
        <v>National Semiconductor</v>
      </c>
      <c r="C3199" s="6">
        <v>1371</v>
      </c>
      <c r="D3199" s="7">
        <v>4.49</v>
      </c>
      <c r="E3199" t="s">
        <v>35</v>
      </c>
    </row>
    <row r="3200" spans="1:5" x14ac:dyDescent="0.25">
      <c r="A3200" t="str">
        <f>HYPERLINK("https://www.773grp.com/globalSearch/5486DMQB/page-1", "5486DMQB")</f>
        <v>5486DMQB</v>
      </c>
      <c r="B3200" s="3" t="str">
        <f>HYPERLINK("https://www.773grp.com/manufacturer/national-semiconductor?pageNo=117", "National Semiconductor")</f>
        <v>National Semiconductor</v>
      </c>
      <c r="C3200" s="6">
        <v>1883</v>
      </c>
      <c r="D3200" s="7">
        <v>4.49</v>
      </c>
      <c r="E3200" t="s">
        <v>31</v>
      </c>
    </row>
    <row r="3201" spans="1:5" x14ac:dyDescent="0.25">
      <c r="A3201" t="str">
        <f>HYPERLINK("https://www.773grp.com/globalSearch/54LS21DMQB/page-1", "54LS21DMQB")</f>
        <v>54LS21DMQB</v>
      </c>
      <c r="B3201" s="3" t="str">
        <f>HYPERLINK("https://www.773grp.com/manufacturer/national-semiconductor?pageNo=118", "National Semiconductor")</f>
        <v>National Semiconductor</v>
      </c>
      <c r="C3201" s="6">
        <v>82</v>
      </c>
      <c r="D3201" s="7">
        <v>4.49</v>
      </c>
      <c r="E3201" t="s">
        <v>31</v>
      </c>
    </row>
    <row r="3202" spans="1:5" x14ac:dyDescent="0.25">
      <c r="A3202" t="str">
        <f>HYPERLINK("https://www.773grp.com/globalSearch/54LS21J-883/page-1", "54LS21J-883")</f>
        <v>54LS21J-883</v>
      </c>
      <c r="B3202" s="3" t="str">
        <f>HYPERLINK("https://www.773grp.com/manufacturer/national-semiconductor?pageNo=119", "National Semiconductor")</f>
        <v>National Semiconductor</v>
      </c>
      <c r="C3202" s="6">
        <v>32</v>
      </c>
      <c r="D3202" s="7">
        <v>4.49</v>
      </c>
    </row>
    <row r="3203" spans="1:5" x14ac:dyDescent="0.25">
      <c r="A3203" t="str">
        <f>HYPERLINK("https://www.773grp.com/globalSearch/ADC08831IMX-NOPB/page-1", "ADC08831IMX-NOPB")</f>
        <v>ADC08831IMX-NOPB</v>
      </c>
      <c r="B3203" s="3" t="str">
        <f>HYPERLINK("https://www.773grp.com/manufacturer/national-semiconductor?pageNo=120", "National Semiconductor")</f>
        <v>National Semiconductor</v>
      </c>
      <c r="C3203" s="6">
        <v>7500</v>
      </c>
      <c r="D3203" s="7">
        <v>4.49</v>
      </c>
      <c r="E3203" t="s">
        <v>39</v>
      </c>
    </row>
    <row r="3204" spans="1:5" x14ac:dyDescent="0.25">
      <c r="A3204" t="str">
        <f>HYPERLINK("https://www.773grp.com/globalSearch/ADC08832IMM-NOPB/page-1", "ADC08832IMM-NOPB")</f>
        <v>ADC08832IMM-NOPB</v>
      </c>
      <c r="B3204" s="3" t="str">
        <f>HYPERLINK("https://www.773grp.com/manufacturer/national-semiconductor?pageNo=121", "National Semiconductor")</f>
        <v>National Semiconductor</v>
      </c>
      <c r="C3204" s="6">
        <v>6840</v>
      </c>
      <c r="D3204" s="7">
        <v>4.49</v>
      </c>
      <c r="E3204" t="s">
        <v>39</v>
      </c>
    </row>
    <row r="3205" spans="1:5" x14ac:dyDescent="0.25">
      <c r="A3205" t="str">
        <f>HYPERLINK("https://www.773grp.com/globalSearch/DM74173N/page-1", "DM74173N")</f>
        <v>DM74173N</v>
      </c>
      <c r="B3205" s="3" t="str">
        <f>HYPERLINK("https://www.773grp.com/manufacturer/national-semiconductor?pageNo=122", "National Semiconductor")</f>
        <v>National Semiconductor</v>
      </c>
      <c r="C3205" s="6">
        <v>12433</v>
      </c>
      <c r="D3205" s="7">
        <v>4.49</v>
      </c>
      <c r="E3205" t="s">
        <v>35</v>
      </c>
    </row>
    <row r="3206" spans="1:5" x14ac:dyDescent="0.25">
      <c r="A3206" t="str">
        <f>HYPERLINK("https://www.773grp.com/globalSearch/DM74S136N/page-1", "DM74S136N")</f>
        <v>DM74S136N</v>
      </c>
      <c r="B3206" s="3" t="str">
        <f>HYPERLINK("https://www.773grp.com/manufacturer/national-semiconductor?pageNo=123", "National Semiconductor")</f>
        <v>National Semiconductor</v>
      </c>
      <c r="C3206" s="6">
        <v>505</v>
      </c>
      <c r="D3206" s="7">
        <v>4.49</v>
      </c>
    </row>
    <row r="3207" spans="1:5" x14ac:dyDescent="0.25">
      <c r="A3207" t="str">
        <f>HYPERLINK("https://www.773grp.com/globalSearch/DM74S40J/page-1", "DM74S40J")</f>
        <v>DM74S40J</v>
      </c>
      <c r="B3207" s="3" t="str">
        <f>HYPERLINK("https://www.773grp.com/manufacturer/national-semiconductor?pageNo=124", "National Semiconductor")</f>
        <v>National Semiconductor</v>
      </c>
      <c r="C3207" s="6">
        <v>3492</v>
      </c>
      <c r="D3207" s="7">
        <v>4.49</v>
      </c>
    </row>
    <row r="3208" spans="1:5" x14ac:dyDescent="0.25">
      <c r="A3208" t="str">
        <f>HYPERLINK("https://www.773grp.com/globalSearch/DM8602N/page-1", "DM8602N")</f>
        <v>DM8602N</v>
      </c>
      <c r="B3208" s="3" t="str">
        <f>HYPERLINK("https://www.773grp.com/manufacturer/national-semiconductor?pageNo=125", "National Semiconductor")</f>
        <v>National Semiconductor</v>
      </c>
      <c r="C3208" s="6">
        <v>20</v>
      </c>
      <c r="D3208" s="7">
        <v>4.49</v>
      </c>
    </row>
    <row r="3209" spans="1:5" x14ac:dyDescent="0.25">
      <c r="A3209" t="str">
        <f>HYPERLINK("https://www.773grp.com/globalSearch/DM8851N/page-1", "DM8851N")</f>
        <v>DM8851N</v>
      </c>
      <c r="B3209" s="3" t="str">
        <f>HYPERLINK("https://www.773grp.com/manufacturer/national-semiconductor?pageNo=126", "National Semiconductor")</f>
        <v>National Semiconductor</v>
      </c>
      <c r="C3209" s="6">
        <v>1341</v>
      </c>
      <c r="D3209" s="7">
        <v>4.49</v>
      </c>
    </row>
    <row r="3210" spans="1:5" x14ac:dyDescent="0.25">
      <c r="A3210" t="str">
        <f>HYPERLINK("https://www.773grp.com/globalSearch/DS8922AM/page-1", "DS8922AM")</f>
        <v>DS8922AM</v>
      </c>
      <c r="B3210" s="3" t="str">
        <f>HYPERLINK("https://www.773grp.com/manufacturer/national-semiconductor?pageNo=127", "National Semiconductor")</f>
        <v>National Semiconductor</v>
      </c>
      <c r="C3210" s="6">
        <v>600</v>
      </c>
      <c r="D3210" s="7">
        <v>4.49</v>
      </c>
      <c r="E3210" t="s">
        <v>21</v>
      </c>
    </row>
    <row r="3211" spans="1:5" x14ac:dyDescent="0.25">
      <c r="A3211" t="str">
        <f>HYPERLINK("https://www.773grp.com/globalSearch/DS8923AM/page-1", "DS8923AM")</f>
        <v>DS8923AM</v>
      </c>
      <c r="B3211" s="3" t="str">
        <f>HYPERLINK("https://www.773grp.com/manufacturer/national-semiconductor?pageNo=128", "National Semiconductor")</f>
        <v>National Semiconductor</v>
      </c>
      <c r="C3211" s="6">
        <v>1114</v>
      </c>
      <c r="D3211" s="7">
        <v>4.49</v>
      </c>
      <c r="E3211" t="s">
        <v>21</v>
      </c>
    </row>
    <row r="3212" spans="1:5" x14ac:dyDescent="0.25">
      <c r="A3212" t="str">
        <f>HYPERLINK("https://www.773grp.com/globalSearch/LM2733XMF-NOPB/page-1", "LM2733XMF-NOPB")</f>
        <v>LM2733XMF-NOPB</v>
      </c>
      <c r="B3212" s="3" t="str">
        <f>HYPERLINK("https://www.773grp.com/manufacturer/national-semiconductor?pageNo=129", "National Semiconductor")</f>
        <v>National Semiconductor</v>
      </c>
      <c r="C3212" s="6">
        <v>60202</v>
      </c>
      <c r="D3212" s="7">
        <v>4.49</v>
      </c>
      <c r="E3212" t="s">
        <v>7</v>
      </c>
    </row>
    <row r="3213" spans="1:5" x14ac:dyDescent="0.25">
      <c r="A3213" t="str">
        <f>HYPERLINK("https://www.773grp.com/globalSearch/LM2733YMF-NOPB/page-1", "LM2733YMF-NOPB")</f>
        <v>LM2733YMF-NOPB</v>
      </c>
      <c r="B3213" s="3" t="str">
        <f>HYPERLINK("https://www.773grp.com/manufacturer/national-semiconductor?pageNo=130", "National Semiconductor")</f>
        <v>National Semiconductor</v>
      </c>
      <c r="C3213" s="6">
        <v>9000</v>
      </c>
      <c r="D3213" s="7">
        <v>4.49</v>
      </c>
      <c r="E3213" t="s">
        <v>7</v>
      </c>
    </row>
    <row r="3214" spans="1:5" x14ac:dyDescent="0.25">
      <c r="A3214" t="str">
        <f>HYPERLINK("https://www.773grp.com/globalSearch/LM2733YMFX-NOPB/page-1", "LM2733YMFX-NOPB")</f>
        <v>LM2733YMFX-NOPB</v>
      </c>
      <c r="B3214" s="3" t="str">
        <f>HYPERLINK("https://www.773grp.com/manufacturer/national-semiconductor?pageNo=131", "National Semiconductor")</f>
        <v>National Semiconductor</v>
      </c>
      <c r="C3214" s="6">
        <v>3000</v>
      </c>
      <c r="D3214" s="7">
        <v>4.49</v>
      </c>
      <c r="E3214" t="s">
        <v>7</v>
      </c>
    </row>
    <row r="3215" spans="1:5" x14ac:dyDescent="0.25">
      <c r="A3215" t="str">
        <f>HYPERLINK("https://www.773grp.com/globalSearch/LM2736YMK-NOPB/page-1", "LM2736YMK-NOPB")</f>
        <v>LM2736YMK-NOPB</v>
      </c>
      <c r="B3215" s="3" t="str">
        <f>HYPERLINK("https://www.773grp.com/manufacturer/national-semiconductor?pageNo=132", "National Semiconductor")</f>
        <v>National Semiconductor</v>
      </c>
      <c r="C3215" s="6">
        <v>8000</v>
      </c>
      <c r="D3215" s="7">
        <v>4.49</v>
      </c>
      <c r="E3215" t="s">
        <v>7</v>
      </c>
    </row>
    <row r="3216" spans="1:5" x14ac:dyDescent="0.25">
      <c r="A3216" t="str">
        <f>HYPERLINK("https://www.773grp.com/globalSearch/LM2736YMKX-NOPB/page-1", "LM2736YMKX-NOPB")</f>
        <v>LM2736YMKX-NOPB</v>
      </c>
      <c r="B3216" s="3" t="str">
        <f>HYPERLINK("https://www.773grp.com/manufacturer/national-semiconductor?pageNo=133", "National Semiconductor")</f>
        <v>National Semiconductor</v>
      </c>
      <c r="C3216" s="6">
        <v>3000</v>
      </c>
      <c r="D3216" s="7">
        <v>4.49</v>
      </c>
      <c r="E3216" t="s">
        <v>7</v>
      </c>
    </row>
    <row r="3217" spans="1:5" x14ac:dyDescent="0.25">
      <c r="A3217" t="str">
        <f>HYPERLINK("https://www.773grp.com/globalSearch/LM2737MTCX-J5000383/page-1", "LM2737MTCX-J5000383")</f>
        <v>LM2737MTCX-J5000383</v>
      </c>
      <c r="B3217" s="3" t="str">
        <f>HYPERLINK("https://www.773grp.com/manufacturer/national-semiconductor?pageNo=134", "National Semiconductor")</f>
        <v>National Semiconductor</v>
      </c>
      <c r="C3217" s="6">
        <v>22500</v>
      </c>
      <c r="D3217" s="7">
        <v>4.49</v>
      </c>
    </row>
    <row r="3218" spans="1:5" x14ac:dyDescent="0.25">
      <c r="A3218" t="str">
        <f>HYPERLINK("https://www.773grp.com/globalSearch/LM2745MTCX-NOPB/page-1", "LM2745MTCX-NOPB")</f>
        <v>LM2745MTCX-NOPB</v>
      </c>
      <c r="B3218" s="3" t="str">
        <f>HYPERLINK("https://www.773grp.com/manufacturer/national-semiconductor?pageNo=1", "National Semiconductor")</f>
        <v>National Semiconductor</v>
      </c>
      <c r="C3218" s="6">
        <v>2500</v>
      </c>
      <c r="D3218" s="7">
        <v>4.49</v>
      </c>
      <c r="E3218" t="s">
        <v>7</v>
      </c>
    </row>
    <row r="3219" spans="1:5" x14ac:dyDescent="0.25">
      <c r="A3219" t="str">
        <f>HYPERLINK("https://www.773grp.com/globalSearch/LM2747MTCX-NOPB/page-1", "LM2747MTCX-NOPB")</f>
        <v>LM2747MTCX-NOPB</v>
      </c>
      <c r="B3219" s="3" t="str">
        <f>HYPERLINK("https://www.773grp.com/manufacturer/national-semiconductor?pageNo=2", "National Semiconductor")</f>
        <v>National Semiconductor</v>
      </c>
      <c r="C3219" s="6">
        <v>18464</v>
      </c>
      <c r="D3219" s="7">
        <v>4.49</v>
      </c>
    </row>
    <row r="3220" spans="1:5" x14ac:dyDescent="0.25">
      <c r="A3220" t="str">
        <f>HYPERLINK("https://www.773grp.com/globalSearch/LM2748MTCX/page-1", "LM2748MTCX")</f>
        <v>LM2748MTCX</v>
      </c>
      <c r="B3220" s="3" t="str">
        <f>HYPERLINK("https://www.773grp.com/manufacturer/national-semiconductor?pageNo=3", "National Semiconductor")</f>
        <v>National Semiconductor</v>
      </c>
      <c r="C3220" s="6">
        <v>2500</v>
      </c>
      <c r="D3220" s="7">
        <v>4.49</v>
      </c>
      <c r="E3220" t="s">
        <v>7</v>
      </c>
    </row>
    <row r="3221" spans="1:5" x14ac:dyDescent="0.25">
      <c r="A3221" t="str">
        <f>HYPERLINK("https://www.773grp.com/globalSearch/LM285BYZ-2.5/page-1", "LM285BYZ-2.5")</f>
        <v>LM285BYZ-2.5</v>
      </c>
      <c r="B3221" s="3" t="str">
        <f>HYPERLINK("https://www.773grp.com/manufacturer/national-semiconductor?pageNo=4", "National Semiconductor")</f>
        <v>National Semiconductor</v>
      </c>
      <c r="C3221" s="6">
        <v>4264</v>
      </c>
      <c r="D3221" s="7">
        <v>4.49</v>
      </c>
      <c r="E3221" t="s">
        <v>17</v>
      </c>
    </row>
    <row r="3222" spans="1:5" x14ac:dyDescent="0.25">
      <c r="A3222" t="str">
        <f>HYPERLINK("https://www.773grp.com/globalSearch/LM2907M-NOPB/page-1", "LM2907M-NOPB")</f>
        <v>LM2907M-NOPB</v>
      </c>
      <c r="B3222" s="3" t="str">
        <f>HYPERLINK("https://www.773grp.com/manufacturer/national-semiconductor?pageNo=5", "National Semiconductor")</f>
        <v>National Semiconductor</v>
      </c>
      <c r="C3222" s="6">
        <v>1990</v>
      </c>
      <c r="D3222" s="7">
        <v>4.49</v>
      </c>
      <c r="E3222" t="s">
        <v>45</v>
      </c>
    </row>
    <row r="3223" spans="1:5" x14ac:dyDescent="0.25">
      <c r="A3223" t="str">
        <f>HYPERLINK("https://www.773grp.com/globalSearch/LM2907M-8-NOPB/page-1", "LM2907M-8-NOPB")</f>
        <v>LM2907M-8-NOPB</v>
      </c>
      <c r="B3223" s="3" t="str">
        <f>HYPERLINK("https://www.773grp.com/manufacturer/national-semiconductor?pageNo=6", "National Semiconductor")</f>
        <v>National Semiconductor</v>
      </c>
      <c r="C3223" s="6">
        <v>607</v>
      </c>
      <c r="D3223" s="7">
        <v>4.49</v>
      </c>
      <c r="E3223" t="s">
        <v>45</v>
      </c>
    </row>
    <row r="3224" spans="1:5" x14ac:dyDescent="0.25">
      <c r="A3224" t="str">
        <f>HYPERLINK("https://www.773grp.com/globalSearch/LM3402HVMM-NOPB/page-1", "LM3402HVMM-NOPB")</f>
        <v>LM3402HVMM-NOPB</v>
      </c>
      <c r="B3224" s="3" t="str">
        <f>HYPERLINK("https://www.773grp.com/manufacturer/national-semiconductor?pageNo=7", "National Semiconductor")</f>
        <v>National Semiconductor</v>
      </c>
      <c r="C3224" s="6">
        <v>28333</v>
      </c>
      <c r="D3224" s="7">
        <v>4.49</v>
      </c>
    </row>
    <row r="3225" spans="1:5" x14ac:dyDescent="0.25">
      <c r="A3225" t="str">
        <f>HYPERLINK("https://www.773grp.com/globalSearch/LM3402HVMRX-NOPB/page-1", "LM3402HVMRX-NOPB")</f>
        <v>LM3402HVMRX-NOPB</v>
      </c>
      <c r="B3225" s="3" t="str">
        <f>HYPERLINK("https://www.773grp.com/manufacturer/national-semiconductor?pageNo=8", "National Semiconductor")</f>
        <v>National Semiconductor</v>
      </c>
      <c r="C3225" s="6">
        <v>97500</v>
      </c>
      <c r="D3225" s="7">
        <v>4.49</v>
      </c>
      <c r="E3225" t="s">
        <v>7</v>
      </c>
    </row>
    <row r="3226" spans="1:5" x14ac:dyDescent="0.25">
      <c r="A3226" t="str">
        <f>HYPERLINK("https://www.773grp.com/globalSearch/LM3404MAX-NOPB/page-1", "LM3404MAX-NOPB")</f>
        <v>LM3404MAX-NOPB</v>
      </c>
      <c r="B3226" s="3" t="str">
        <f>HYPERLINK("https://www.773grp.com/manufacturer/national-semiconductor?pageNo=9", "National Semiconductor")</f>
        <v>National Semiconductor</v>
      </c>
      <c r="C3226" s="6">
        <v>70000</v>
      </c>
      <c r="D3226" s="7">
        <v>4.49</v>
      </c>
    </row>
    <row r="3227" spans="1:5" x14ac:dyDescent="0.25">
      <c r="A3227" t="str">
        <f>HYPERLINK("https://www.773grp.com/globalSearch/LM3404MRX-NOPB/page-1", "LM3404MRX-NOPB")</f>
        <v>LM3404MRX-NOPB</v>
      </c>
      <c r="B3227" s="3" t="str">
        <f>HYPERLINK("https://www.773grp.com/manufacturer/national-semiconductor?pageNo=10", "National Semiconductor")</f>
        <v>National Semiconductor</v>
      </c>
      <c r="C3227" s="6">
        <v>1500</v>
      </c>
      <c r="D3227" s="7">
        <v>4.49</v>
      </c>
    </row>
    <row r="3228" spans="1:5" x14ac:dyDescent="0.25">
      <c r="A3228" t="str">
        <f>HYPERLINK("https://www.773grp.com/globalSearch/LM3477AMM-NOPB/page-1", "LM3477AMM-NOPB")</f>
        <v>LM3477AMM-NOPB</v>
      </c>
      <c r="B3228" s="3" t="str">
        <f>HYPERLINK("https://www.773grp.com/manufacturer/national-semiconductor?pageNo=11", "National Semiconductor")</f>
        <v>National Semiconductor</v>
      </c>
      <c r="C3228" s="6">
        <v>1000</v>
      </c>
      <c r="D3228" s="7">
        <v>4.49</v>
      </c>
      <c r="E3228" t="s">
        <v>7</v>
      </c>
    </row>
    <row r="3229" spans="1:5" x14ac:dyDescent="0.25">
      <c r="A3229" t="str">
        <f>HYPERLINK("https://www.773grp.com/globalSearch/LM3477AMMX-NOPB/page-1", "LM3477AMMX-NOPB")</f>
        <v>LM3477AMMX-NOPB</v>
      </c>
      <c r="B3229" s="3" t="str">
        <f>HYPERLINK("https://www.773grp.com/manufacturer/national-semiconductor?pageNo=12", "National Semiconductor")</f>
        <v>National Semiconductor</v>
      </c>
      <c r="C3229" s="6">
        <v>3500</v>
      </c>
      <c r="D3229" s="7">
        <v>4.49</v>
      </c>
      <c r="E3229" t="s">
        <v>7</v>
      </c>
    </row>
    <row r="3230" spans="1:5" x14ac:dyDescent="0.25">
      <c r="A3230" t="str">
        <f>HYPERLINK("https://www.773grp.com/globalSearch/LM3477MM-NOPB/page-1", "LM3477MM-NOPB")</f>
        <v>LM3477MM-NOPB</v>
      </c>
      <c r="B3230" s="3" t="str">
        <f>HYPERLINK("https://www.773grp.com/manufacturer/national-semiconductor?pageNo=13", "National Semiconductor")</f>
        <v>National Semiconductor</v>
      </c>
      <c r="C3230" s="6">
        <v>6840</v>
      </c>
      <c r="D3230" s="7">
        <v>4.49</v>
      </c>
      <c r="E3230" t="s">
        <v>7</v>
      </c>
    </row>
    <row r="3231" spans="1:5" x14ac:dyDescent="0.25">
      <c r="A3231" t="str">
        <f>HYPERLINK("https://www.773grp.com/globalSearch/LM3477MMX-NOPB/page-1", "LM3477MMX-NOPB")</f>
        <v>LM3477MMX-NOPB</v>
      </c>
      <c r="B3231" s="3" t="str">
        <f>HYPERLINK("https://www.773grp.com/manufacturer/national-semiconductor?pageNo=14", "National Semiconductor")</f>
        <v>National Semiconductor</v>
      </c>
      <c r="C3231" s="6">
        <v>10500</v>
      </c>
      <c r="D3231" s="7">
        <v>4.49</v>
      </c>
      <c r="E3231" t="s">
        <v>7</v>
      </c>
    </row>
    <row r="3232" spans="1:5" x14ac:dyDescent="0.25">
      <c r="A3232" t="str">
        <f>HYPERLINK("https://www.773grp.com/globalSearch/LM3622M-8.4/page-1", "LM3622M-8.4")</f>
        <v>LM3622M-8.4</v>
      </c>
      <c r="B3232" s="3" t="str">
        <f>HYPERLINK("https://www.773grp.com/manufacturer/national-semiconductor?pageNo=15", "National Semiconductor")</f>
        <v>National Semiconductor</v>
      </c>
      <c r="C3232" s="6">
        <v>2227</v>
      </c>
      <c r="D3232" s="7">
        <v>4.49</v>
      </c>
      <c r="E3232" t="s">
        <v>7</v>
      </c>
    </row>
    <row r="3233" spans="1:5" x14ac:dyDescent="0.25">
      <c r="A3233" t="str">
        <f>HYPERLINK("https://www.773grp.com/globalSearch/LM3622MX-8.4/page-1", "LM3622MX-8.4")</f>
        <v>LM3622MX-8.4</v>
      </c>
      <c r="B3233" s="3" t="str">
        <f>HYPERLINK("https://www.773grp.com/manufacturer/national-semiconductor?pageNo=16", "National Semiconductor")</f>
        <v>National Semiconductor</v>
      </c>
      <c r="C3233" s="6">
        <v>2500</v>
      </c>
      <c r="D3233" s="7">
        <v>4.49</v>
      </c>
      <c r="E3233" t="s">
        <v>7</v>
      </c>
    </row>
    <row r="3234" spans="1:5" x14ac:dyDescent="0.25">
      <c r="A3234" t="str">
        <f>HYPERLINK("https://www.773grp.com/globalSearch/LM384N-NOPB/page-1", "LM384N-NOPB")</f>
        <v>LM384N-NOPB</v>
      </c>
      <c r="B3234" s="3" t="str">
        <f>HYPERLINK("https://www.773grp.com/manufacturer/national-semiconductor?pageNo=17", "National Semiconductor")</f>
        <v>National Semiconductor</v>
      </c>
      <c r="C3234" s="6">
        <v>1607</v>
      </c>
      <c r="D3234" s="7">
        <v>4.49</v>
      </c>
      <c r="E3234" t="s">
        <v>18</v>
      </c>
    </row>
    <row r="3235" spans="1:5" x14ac:dyDescent="0.25">
      <c r="A3235" t="str">
        <f>HYPERLINK("https://www.773grp.com/globalSearch/LM4050BEM3-2.5-NOPB/page-1", "LM4050BEM3-2.5-NOPB")</f>
        <v>LM4050BEM3-2.5-NOPB</v>
      </c>
      <c r="B3235" s="3" t="str">
        <f>HYPERLINK("https://www.773grp.com/manufacturer/national-semiconductor?pageNo=18", "National Semiconductor")</f>
        <v>National Semiconductor</v>
      </c>
      <c r="C3235" s="6">
        <v>3271</v>
      </c>
      <c r="D3235" s="7">
        <v>4.49</v>
      </c>
      <c r="E3235" t="s">
        <v>17</v>
      </c>
    </row>
    <row r="3236" spans="1:5" x14ac:dyDescent="0.25">
      <c r="A3236" t="str">
        <f>HYPERLINK("https://www.773grp.com/globalSearch/LM4050BEM3-4.1-NOPB/page-1", "LM4050BEM3-4.1-NOPB")</f>
        <v>LM4050BEM3-4.1-NOPB</v>
      </c>
      <c r="B3236" s="3" t="str">
        <f>HYPERLINK("https://www.773grp.com/manufacturer/national-semiconductor?pageNo=19", "National Semiconductor")</f>
        <v>National Semiconductor</v>
      </c>
      <c r="C3236" s="6">
        <v>5000</v>
      </c>
      <c r="D3236" s="7">
        <v>4.49</v>
      </c>
      <c r="E3236" t="s">
        <v>17</v>
      </c>
    </row>
    <row r="3237" spans="1:5" x14ac:dyDescent="0.25">
      <c r="A3237" t="str">
        <f>HYPERLINK("https://www.773grp.com/globalSearch/LM4050BEM3-5.0-NOPB/page-1", "LM4050BEM3-5.0-NOPB")</f>
        <v>LM4050BEM3-5.0-NOPB</v>
      </c>
      <c r="B3237" s="3" t="str">
        <f>HYPERLINK("https://www.773grp.com/manufacturer/national-semiconductor?pageNo=20", "National Semiconductor")</f>
        <v>National Semiconductor</v>
      </c>
      <c r="C3237" s="6">
        <v>490</v>
      </c>
      <c r="D3237" s="7">
        <v>4.49</v>
      </c>
      <c r="E3237" t="s">
        <v>17</v>
      </c>
    </row>
    <row r="3238" spans="1:5" x14ac:dyDescent="0.25">
      <c r="A3238" t="str">
        <f>HYPERLINK("https://www.773grp.com/globalSearch/LM4051BEM3-1.2-NOPB/page-1", "LM4051BEM3-1.2-NOPB")</f>
        <v>LM4051BEM3-1.2-NOPB</v>
      </c>
      <c r="B3238" s="3" t="str">
        <f>HYPERLINK("https://www.773grp.com/manufacturer/national-semiconductor?pageNo=21", "National Semiconductor")</f>
        <v>National Semiconductor</v>
      </c>
      <c r="C3238" s="6">
        <v>26</v>
      </c>
      <c r="D3238" s="7">
        <v>4.49</v>
      </c>
      <c r="E3238" t="s">
        <v>17</v>
      </c>
    </row>
    <row r="3239" spans="1:5" x14ac:dyDescent="0.25">
      <c r="A3239" t="str">
        <f>HYPERLINK("https://www.773grp.com/globalSearch/LM4120AIM5X-3.3/page-1", "LM4120AIM5X-3.3")</f>
        <v>LM4120AIM5X-3.3</v>
      </c>
      <c r="B3239" s="3" t="str">
        <f>HYPERLINK("https://www.773grp.com/manufacturer/national-semiconductor?pageNo=22", "National Semiconductor")</f>
        <v>National Semiconductor</v>
      </c>
      <c r="C3239" s="6">
        <v>9000</v>
      </c>
      <c r="D3239" s="7">
        <v>4.49</v>
      </c>
      <c r="E3239" t="s">
        <v>17</v>
      </c>
    </row>
    <row r="3240" spans="1:5" x14ac:dyDescent="0.25">
      <c r="A3240" t="str">
        <f>HYPERLINK("https://www.773grp.com/globalSearch/LM4132DMF-1.8-NOPB/page-1", "LM4132DMF-1.8-NOPB")</f>
        <v>LM4132DMF-1.8-NOPB</v>
      </c>
      <c r="B3240" s="3" t="str">
        <f>HYPERLINK("https://www.773grp.com/manufacturer/national-semiconductor?pageNo=23", "National Semiconductor")</f>
        <v>National Semiconductor</v>
      </c>
      <c r="C3240" s="6">
        <v>1000</v>
      </c>
      <c r="D3240" s="7">
        <v>4.49</v>
      </c>
    </row>
    <row r="3241" spans="1:5" x14ac:dyDescent="0.25">
      <c r="A3241" t="str">
        <f>HYPERLINK("https://www.773grp.com/globalSearch/LM4132DMF-2.0-NOPB/page-1", "LM4132DMF-2.0-NOPB")</f>
        <v>LM4132DMF-2.0-NOPB</v>
      </c>
      <c r="B3241" s="3" t="str">
        <f>HYPERLINK("https://www.773grp.com/manufacturer/national-semiconductor?pageNo=24", "National Semiconductor")</f>
        <v>National Semiconductor</v>
      </c>
      <c r="C3241" s="6">
        <v>1981</v>
      </c>
      <c r="D3241" s="7">
        <v>4.49</v>
      </c>
    </row>
    <row r="3242" spans="1:5" x14ac:dyDescent="0.25">
      <c r="A3242" t="str">
        <f>HYPERLINK("https://www.773grp.com/globalSearch/LM4132DMF-3.0-NOPB/page-1", "LM4132DMF-3.0-NOPB")</f>
        <v>LM4132DMF-3.0-NOPB</v>
      </c>
      <c r="B3242" s="3" t="str">
        <f>HYPERLINK("https://www.773grp.com/manufacturer/national-semiconductor?pageNo=25", "National Semiconductor")</f>
        <v>National Semiconductor</v>
      </c>
      <c r="C3242" s="6">
        <v>126000</v>
      </c>
      <c r="D3242" s="7">
        <v>4.49</v>
      </c>
    </row>
    <row r="3243" spans="1:5" x14ac:dyDescent="0.25">
      <c r="A3243" t="str">
        <f>HYPERLINK("https://www.773grp.com/globalSearch/LM4132DMF-3.3-NOPB/page-1", "LM4132DMF-3.3-NOPB")</f>
        <v>LM4132DMF-3.3-NOPB</v>
      </c>
      <c r="B3243" s="3" t="str">
        <f>HYPERLINK("https://www.773grp.com/manufacturer/national-semiconductor?pageNo=26", "National Semiconductor")</f>
        <v>National Semiconductor</v>
      </c>
      <c r="C3243" s="6">
        <v>3026</v>
      </c>
      <c r="D3243" s="7">
        <v>4.49</v>
      </c>
    </row>
    <row r="3244" spans="1:5" x14ac:dyDescent="0.25">
      <c r="A3244" t="str">
        <f>HYPERLINK("https://www.773grp.com/globalSearch/LM4132DMF-4.1-NOPB/page-1", "LM4132DMF-4.1-NOPB")</f>
        <v>LM4132DMF-4.1-NOPB</v>
      </c>
      <c r="B3244" s="3" t="str">
        <f>HYPERLINK("https://www.773grp.com/manufacturer/national-semiconductor?pageNo=27", "National Semiconductor")</f>
        <v>National Semiconductor</v>
      </c>
      <c r="C3244" s="6">
        <v>1000</v>
      </c>
      <c r="D3244" s="7">
        <v>4.49</v>
      </c>
    </row>
    <row r="3245" spans="1:5" x14ac:dyDescent="0.25">
      <c r="A3245" t="str">
        <f>HYPERLINK("https://www.773grp.com/globalSearch/LM4755T-NOPB/page-1", "LM4755T-NOPB")</f>
        <v>LM4755T-NOPB</v>
      </c>
      <c r="B3245" s="3" t="str">
        <f>HYPERLINK("https://www.773grp.com/manufacturer/national-semiconductor?pageNo=28", "National Semiconductor")</f>
        <v>National Semiconductor</v>
      </c>
      <c r="C3245" s="6">
        <v>6</v>
      </c>
      <c r="D3245" s="7">
        <v>4.49</v>
      </c>
    </row>
    <row r="3246" spans="1:5" x14ac:dyDescent="0.25">
      <c r="A3246" t="str">
        <f>HYPERLINK("https://www.773grp.com/globalSearch/LM4985TM-NOPB/page-1", "LM4985TM-NOPB")</f>
        <v>LM4985TM-NOPB</v>
      </c>
      <c r="B3246" s="3" t="str">
        <f>HYPERLINK("https://www.773grp.com/manufacturer/national-semiconductor?pageNo=29", "National Semiconductor")</f>
        <v>National Semiconductor</v>
      </c>
      <c r="C3246" s="6">
        <v>807</v>
      </c>
      <c r="D3246" s="7">
        <v>4.49</v>
      </c>
    </row>
    <row r="3247" spans="1:5" x14ac:dyDescent="0.25">
      <c r="A3247" t="str">
        <f>HYPERLINK("https://www.773grp.com/globalSearch/LM5033MMX-NOPB/page-1", "LM5033MMX-NOPB")</f>
        <v>LM5033MMX-NOPB</v>
      </c>
      <c r="B3247" s="3" t="str">
        <f>HYPERLINK("https://www.773grp.com/manufacturer/national-semiconductor?pageNo=30", "National Semiconductor")</f>
        <v>National Semiconductor</v>
      </c>
      <c r="C3247" s="6">
        <v>3500</v>
      </c>
      <c r="D3247" s="7">
        <v>4.49</v>
      </c>
      <c r="E3247" t="s">
        <v>7</v>
      </c>
    </row>
    <row r="3248" spans="1:5" x14ac:dyDescent="0.25">
      <c r="A3248" t="str">
        <f>HYPERLINK("https://www.773grp.com/globalSearch/LM5033SD-NOPB/page-1", "LM5033SD-NOPB")</f>
        <v>LM5033SD-NOPB</v>
      </c>
      <c r="B3248" s="3" t="str">
        <f>HYPERLINK("https://www.773grp.com/manufacturer/national-semiconductor?pageNo=31", "National Semiconductor")</f>
        <v>National Semiconductor</v>
      </c>
      <c r="C3248" s="6">
        <v>3360</v>
      </c>
      <c r="D3248" s="7">
        <v>4.49</v>
      </c>
      <c r="E3248" t="s">
        <v>7</v>
      </c>
    </row>
    <row r="3249" spans="1:5" x14ac:dyDescent="0.25">
      <c r="A3249" t="str">
        <f>HYPERLINK("https://www.773grp.com/globalSearch/LM5085MM-NOPB/page-1", "LM5085MM-NOPB")</f>
        <v>LM5085MM-NOPB</v>
      </c>
      <c r="B3249" s="3" t="str">
        <f>HYPERLINK("https://www.773grp.com/manufacturer/national-semiconductor?pageNo=32", "National Semiconductor")</f>
        <v>National Semiconductor</v>
      </c>
      <c r="C3249" s="6">
        <v>495</v>
      </c>
      <c r="D3249" s="7">
        <v>4.49</v>
      </c>
    </row>
    <row r="3250" spans="1:5" x14ac:dyDescent="0.25">
      <c r="A3250" t="str">
        <f>HYPERLINK("https://www.773grp.com/globalSearch/LM5085MY-NOPB/page-1", "LM5085MY-NOPB")</f>
        <v>LM5085MY-NOPB</v>
      </c>
      <c r="B3250" s="3" t="str">
        <f>HYPERLINK("https://www.773grp.com/manufacturer/national-semiconductor?pageNo=33", "National Semiconductor")</f>
        <v>National Semiconductor</v>
      </c>
      <c r="C3250" s="6">
        <v>11870</v>
      </c>
      <c r="D3250" s="7">
        <v>4.49</v>
      </c>
      <c r="E3250" t="s">
        <v>7</v>
      </c>
    </row>
    <row r="3251" spans="1:5" x14ac:dyDescent="0.25">
      <c r="A3251" t="str">
        <f>HYPERLINK("https://www.773grp.com/globalSearch/LM7321MAX-NOPB/page-1", "LM7321MAX-NOPB")</f>
        <v>LM7321MAX-NOPB</v>
      </c>
      <c r="B3251" s="3" t="str">
        <f>HYPERLINK("https://www.773grp.com/manufacturer/national-semiconductor?pageNo=34", "National Semiconductor")</f>
        <v>National Semiconductor</v>
      </c>
      <c r="C3251" s="6">
        <v>2500</v>
      </c>
      <c r="D3251" s="7">
        <v>4.49</v>
      </c>
      <c r="E3251" t="s">
        <v>13</v>
      </c>
    </row>
    <row r="3252" spans="1:5" x14ac:dyDescent="0.25">
      <c r="A3252" t="str">
        <f>HYPERLINK("https://www.773grp.com/globalSearch/LM86CIM-NOPB/page-1", "LM86CIM-NOPB")</f>
        <v>LM86CIM-NOPB</v>
      </c>
      <c r="B3252" s="3" t="str">
        <f>HYPERLINK("https://www.773grp.com/manufacturer/national-semiconductor?pageNo=35", "National Semiconductor")</f>
        <v>National Semiconductor</v>
      </c>
      <c r="C3252" s="6">
        <v>17169</v>
      </c>
      <c r="D3252" s="7">
        <v>4.49</v>
      </c>
      <c r="E3252" t="s">
        <v>12</v>
      </c>
    </row>
    <row r="3253" spans="1:5" x14ac:dyDescent="0.25">
      <c r="A3253" t="str">
        <f>HYPERLINK("https://www.773grp.com/globalSearch/LMC568CM-NOPB/page-1", "LMC568CM-NOPB")</f>
        <v>LMC568CM-NOPB</v>
      </c>
      <c r="B3253" s="3" t="str">
        <f>HYPERLINK("https://www.773grp.com/manufacturer/national-semiconductor?pageNo=36", "National Semiconductor")</f>
        <v>National Semiconductor</v>
      </c>
      <c r="C3253" s="6">
        <v>560</v>
      </c>
      <c r="D3253" s="7">
        <v>4.49</v>
      </c>
      <c r="E3253" t="s">
        <v>38</v>
      </c>
    </row>
    <row r="3254" spans="1:5" x14ac:dyDescent="0.25">
      <c r="A3254" t="str">
        <f>HYPERLINK("https://www.773grp.com/globalSearch/LMC660AIMX-NOPB/page-1", "LMC660AIMX-NOPB")</f>
        <v>LMC660AIMX-NOPB</v>
      </c>
      <c r="B3254" s="3" t="str">
        <f>HYPERLINK("https://www.773grp.com/manufacturer/national-semiconductor?pageNo=37", "National Semiconductor")</f>
        <v>National Semiconductor</v>
      </c>
      <c r="C3254" s="6">
        <v>2500</v>
      </c>
      <c r="D3254" s="7">
        <v>4.49</v>
      </c>
      <c r="E3254" t="s">
        <v>13</v>
      </c>
    </row>
    <row r="3255" spans="1:5" x14ac:dyDescent="0.25">
      <c r="A3255" t="str">
        <f>HYPERLINK("https://www.773grp.com/globalSearch/LMC660CN-NOPB/page-1", "LMC660CN-NOPB")</f>
        <v>LMC660CN-NOPB</v>
      </c>
      <c r="B3255" s="3" t="str">
        <f>HYPERLINK("https://www.773grp.com/manufacturer/national-semiconductor?pageNo=38", "National Semiconductor")</f>
        <v>National Semiconductor</v>
      </c>
      <c r="C3255" s="6">
        <v>16091</v>
      </c>
      <c r="D3255" s="7">
        <v>4.49</v>
      </c>
      <c r="E3255" t="s">
        <v>13</v>
      </c>
    </row>
    <row r="3256" spans="1:5" x14ac:dyDescent="0.25">
      <c r="A3256" t="str">
        <f>HYPERLINK("https://www.773grp.com/globalSearch/LMP8640MKE-F/page-1", "LMP8640MKE-F")</f>
        <v>LMP8640MKE-F</v>
      </c>
      <c r="B3256" s="3" t="str">
        <f>HYPERLINK("https://www.773grp.com/manufacturer/national-semiconductor?pageNo=39", "National Semiconductor")</f>
        <v>National Semiconductor</v>
      </c>
      <c r="C3256" s="6">
        <v>397</v>
      </c>
      <c r="D3256" s="7">
        <v>4.49</v>
      </c>
      <c r="E3256" t="s">
        <v>13</v>
      </c>
    </row>
    <row r="3257" spans="1:5" x14ac:dyDescent="0.25">
      <c r="A3257" t="str">
        <f>HYPERLINK("https://www.773grp.com/globalSearch/LMP8640MK-F-NOPB/page-1", "LMP8640MK-F-NOPB")</f>
        <v>LMP8640MK-F-NOPB</v>
      </c>
      <c r="B3257" s="3" t="str">
        <f>HYPERLINK("https://www.773grp.com/manufacturer/national-semiconductor?pageNo=40", "National Semiconductor")</f>
        <v>National Semiconductor</v>
      </c>
      <c r="C3257" s="6">
        <v>995</v>
      </c>
      <c r="D3257" s="7">
        <v>4.49</v>
      </c>
    </row>
    <row r="3258" spans="1:5" x14ac:dyDescent="0.25">
      <c r="A3258" t="str">
        <f>HYPERLINK("https://www.773grp.com/globalSearch/LMP8640MK-T-NOPB/page-1", "LMP8640MK-T-NOPB")</f>
        <v>LMP8640MK-T-NOPB</v>
      </c>
      <c r="B3258" s="3" t="str">
        <f>HYPERLINK("https://www.773grp.com/manufacturer/national-semiconductor?pageNo=41", "National Semiconductor")</f>
        <v>National Semiconductor</v>
      </c>
      <c r="C3258" s="6">
        <v>856</v>
      </c>
      <c r="D3258" s="7">
        <v>4.49</v>
      </c>
    </row>
    <row r="3259" spans="1:5" x14ac:dyDescent="0.25">
      <c r="A3259" t="str">
        <f>HYPERLINK("https://www.773grp.com/globalSearch/LMP8645MK-NOPB/page-1", "LMP8645MK-NOPB")</f>
        <v>LMP8645MK-NOPB</v>
      </c>
      <c r="B3259" s="3" t="str">
        <f>HYPERLINK("https://www.773grp.com/manufacturer/national-semiconductor?pageNo=42", "National Semiconductor")</f>
        <v>National Semiconductor</v>
      </c>
      <c r="C3259" s="6">
        <v>400</v>
      </c>
      <c r="D3259" s="7">
        <v>4.49</v>
      </c>
    </row>
    <row r="3260" spans="1:5" x14ac:dyDescent="0.25">
      <c r="A3260" t="str">
        <f>HYPERLINK("https://www.773grp.com/globalSearch/LP2986IMX-5.0/page-1", "LP2986IMX-5.0")</f>
        <v>LP2986IMX-5.0</v>
      </c>
      <c r="B3260" s="3" t="str">
        <f>HYPERLINK("https://www.773grp.com/manufacturer/national-semiconductor?pageNo=43", "National Semiconductor")</f>
        <v>National Semiconductor</v>
      </c>
      <c r="C3260" s="6">
        <v>2500</v>
      </c>
      <c r="D3260" s="7">
        <v>4.49</v>
      </c>
      <c r="E3260" t="s">
        <v>27</v>
      </c>
    </row>
    <row r="3261" spans="1:5" x14ac:dyDescent="0.25">
      <c r="A3261" t="str">
        <f>HYPERLINK("https://www.773grp.com/globalSearch/LP2996MRX/page-1", "LP2996MRX")</f>
        <v>LP2996MRX</v>
      </c>
      <c r="B3261" s="3" t="str">
        <f>HYPERLINK("https://www.773grp.com/manufacturer/national-semiconductor?pageNo=44", "National Semiconductor")</f>
        <v>National Semiconductor</v>
      </c>
      <c r="C3261" s="6">
        <v>2500</v>
      </c>
      <c r="D3261" s="7">
        <v>4.49</v>
      </c>
      <c r="E3261" t="s">
        <v>24</v>
      </c>
    </row>
    <row r="3262" spans="1:5" x14ac:dyDescent="0.25">
      <c r="A3262" t="str">
        <f>HYPERLINK("https://www.773grp.com/globalSearch/LP3470IM5-2.63/page-1", "LP3470IM5-2.63")</f>
        <v>LP3470IM5-2.63</v>
      </c>
      <c r="B3262" s="3" t="str">
        <f>HYPERLINK("https://www.773grp.com/manufacturer/national-semiconductor?pageNo=45", "National Semiconductor")</f>
        <v>National Semiconductor</v>
      </c>
      <c r="C3262" s="6">
        <v>1243</v>
      </c>
      <c r="D3262" s="7">
        <v>4.49</v>
      </c>
      <c r="E3262" t="s">
        <v>30</v>
      </c>
    </row>
    <row r="3263" spans="1:5" x14ac:dyDescent="0.25">
      <c r="A3263" t="str">
        <f>HYPERLINK("https://www.773grp.com/globalSearch/LP3470IM5-2.93/page-1", "LP3470IM5-2.93")</f>
        <v>LP3470IM5-2.93</v>
      </c>
      <c r="B3263" s="3" t="str">
        <f>HYPERLINK("https://www.773grp.com/manufacturer/national-semiconductor?pageNo=46", "National Semiconductor")</f>
        <v>National Semiconductor</v>
      </c>
      <c r="C3263" s="6">
        <v>1848</v>
      </c>
      <c r="D3263" s="7">
        <v>4.49</v>
      </c>
      <c r="E3263" t="s">
        <v>30</v>
      </c>
    </row>
    <row r="3264" spans="1:5" x14ac:dyDescent="0.25">
      <c r="A3264" t="str">
        <f>HYPERLINK("https://www.773grp.com/globalSearch/LP3470IM5-3.08/page-1", "LP3470IM5-3.08")</f>
        <v>LP3470IM5-3.08</v>
      </c>
      <c r="B3264" s="3" t="str">
        <f>HYPERLINK("https://www.773grp.com/manufacturer/national-semiconductor?pageNo=47", "National Semiconductor")</f>
        <v>National Semiconductor</v>
      </c>
      <c r="C3264" s="6">
        <v>4000</v>
      </c>
      <c r="D3264" s="7">
        <v>4.49</v>
      </c>
      <c r="E3264" t="s">
        <v>30</v>
      </c>
    </row>
    <row r="3265" spans="1:5" x14ac:dyDescent="0.25">
      <c r="A3265" t="str">
        <f>HYPERLINK("https://www.773grp.com/globalSearch/LP3470IM5-4.00/page-1", "LP3470IM5-4.00")</f>
        <v>LP3470IM5-4.00</v>
      </c>
      <c r="B3265" s="3" t="str">
        <f>HYPERLINK("https://www.773grp.com/manufacturer/national-semiconductor?pageNo=48", "National Semiconductor")</f>
        <v>National Semiconductor</v>
      </c>
      <c r="C3265" s="6">
        <v>1000</v>
      </c>
      <c r="D3265" s="7">
        <v>4.49</v>
      </c>
      <c r="E3265" t="s">
        <v>30</v>
      </c>
    </row>
    <row r="3266" spans="1:5" x14ac:dyDescent="0.25">
      <c r="A3266" t="str">
        <f>HYPERLINK("https://www.773grp.com/globalSearch/LP38841S-1.2-NOPB/page-1", "LP38841S-1.2-NOPB")</f>
        <v>LP38841S-1.2-NOPB</v>
      </c>
      <c r="B3266" s="3" t="str">
        <f>HYPERLINK("https://www.773grp.com/manufacturer/national-semiconductor?pageNo=49", "National Semiconductor")</f>
        <v>National Semiconductor</v>
      </c>
      <c r="C3266" s="6">
        <v>938</v>
      </c>
      <c r="D3266" s="7">
        <v>4.49</v>
      </c>
      <c r="E3266" t="s">
        <v>19</v>
      </c>
    </row>
    <row r="3267" spans="1:5" x14ac:dyDescent="0.25">
      <c r="A3267" t="str">
        <f>HYPERLINK("https://www.773grp.com/globalSearch/LP38841S-1.5-NOPB/page-1", "LP38841S-1.5-NOPB")</f>
        <v>LP38841S-1.5-NOPB</v>
      </c>
      <c r="B3267" s="3" t="str">
        <f>HYPERLINK("https://www.773grp.com/manufacturer/national-semiconductor?pageNo=50", "National Semiconductor")</f>
        <v>National Semiconductor</v>
      </c>
      <c r="C3267" s="6">
        <v>461</v>
      </c>
      <c r="D3267" s="7">
        <v>4.49</v>
      </c>
      <c r="E3267" t="s">
        <v>19</v>
      </c>
    </row>
    <row r="3268" spans="1:5" x14ac:dyDescent="0.25">
      <c r="A3268" t="str">
        <f>HYPERLINK("https://www.773grp.com/globalSearch/LP38851S-ADJ-NOPB/page-1", "LP38851S-ADJ-NOPB")</f>
        <v>LP38851S-ADJ-NOPB</v>
      </c>
      <c r="B3268" s="3" t="str">
        <f>HYPERLINK("https://www.773grp.com/manufacturer/national-semiconductor?pageNo=51", "National Semiconductor")</f>
        <v>National Semiconductor</v>
      </c>
      <c r="C3268" s="6">
        <v>365</v>
      </c>
      <c r="D3268" s="7">
        <v>4.49</v>
      </c>
      <c r="E3268" t="s">
        <v>25</v>
      </c>
    </row>
    <row r="3269" spans="1:5" x14ac:dyDescent="0.25">
      <c r="A3269" t="str">
        <f>HYPERLINK("https://www.773grp.com/globalSearch/LP38855SX-1.2-NOPB/page-1", "LP38855SX-1.2-NOPB")</f>
        <v>LP38855SX-1.2-NOPB</v>
      </c>
      <c r="B3269" s="3" t="str">
        <f>HYPERLINK("https://www.773grp.com/manufacturer/national-semiconductor?pageNo=52", "National Semiconductor")</f>
        <v>National Semiconductor</v>
      </c>
      <c r="C3269" s="6">
        <v>2500</v>
      </c>
      <c r="D3269" s="7">
        <v>4.49</v>
      </c>
    </row>
    <row r="3270" spans="1:5" x14ac:dyDescent="0.25">
      <c r="A3270" t="str">
        <f>HYPERLINK("https://www.773grp.com/globalSearch/LP38858T-0.8-NOPB/page-1", "LP38858T-0.8-NOPB")</f>
        <v>LP38858T-0.8-NOPB</v>
      </c>
      <c r="B3270" s="3" t="str">
        <f>HYPERLINK("https://www.773grp.com/manufacturer/national-semiconductor?pageNo=53", "National Semiconductor")</f>
        <v>National Semiconductor</v>
      </c>
      <c r="C3270" s="6">
        <v>180</v>
      </c>
      <c r="D3270" s="7">
        <v>4.49</v>
      </c>
    </row>
    <row r="3271" spans="1:5" x14ac:dyDescent="0.25">
      <c r="A3271" t="str">
        <f>HYPERLINK("https://www.773grp.com/globalSearch/LP38858T-1.2-NOPB/page-1", "LP38858T-1.2-NOPB")</f>
        <v>LP38858T-1.2-NOPB</v>
      </c>
      <c r="B3271" s="3" t="str">
        <f>HYPERLINK("https://www.773grp.com/manufacturer/national-semiconductor?pageNo=54", "National Semiconductor")</f>
        <v>National Semiconductor</v>
      </c>
      <c r="C3271" s="6">
        <v>126</v>
      </c>
      <c r="D3271" s="7">
        <v>4.49</v>
      </c>
    </row>
    <row r="3272" spans="1:5" x14ac:dyDescent="0.25">
      <c r="A3272" t="str">
        <f>HYPERLINK("https://www.773grp.com/globalSearch/LP5523TMX-NOPB/page-1", "LP5523TMX-NOPB")</f>
        <v>LP5523TMX-NOPB</v>
      </c>
      <c r="B3272" s="3" t="str">
        <f>HYPERLINK("https://www.773grp.com/manufacturer/national-semiconductor?pageNo=55", "National Semiconductor")</f>
        <v>National Semiconductor</v>
      </c>
      <c r="C3272" s="6">
        <v>3000</v>
      </c>
      <c r="D3272" s="7">
        <v>4.49</v>
      </c>
    </row>
    <row r="3273" spans="1:5" x14ac:dyDescent="0.25">
      <c r="A3273" t="str">
        <f>HYPERLINK("https://www.773grp.com/globalSearch/MM74HC164N/page-1", "MM74HC164N")</f>
        <v>MM74HC164N</v>
      </c>
      <c r="B3273" s="3" t="str">
        <f>HYPERLINK("https://www.773grp.com/manufacturer/national-semiconductor?pageNo=56", "National Semiconductor")</f>
        <v>National Semiconductor</v>
      </c>
      <c r="C3273" s="6">
        <v>48</v>
      </c>
      <c r="D3273" s="7">
        <v>4.49</v>
      </c>
      <c r="E3273" t="s">
        <v>32</v>
      </c>
    </row>
    <row r="3274" spans="1:5" x14ac:dyDescent="0.25">
      <c r="A3274" t="str">
        <f>HYPERLINK("https://www.773grp.com/globalSearch/ADC08832IMM-NOPB/page-1", "ADC08832IMM-NOPB")</f>
        <v>ADC08832IMM-NOPB</v>
      </c>
      <c r="B3274" s="3" t="str">
        <f>HYPERLINK("https://www.773grp.com/manufacturer/national-semiconductor?pageNo=57", "National Semiconductor")</f>
        <v>National Semiconductor</v>
      </c>
      <c r="C3274" s="6">
        <v>14000</v>
      </c>
      <c r="D3274" s="7">
        <v>4.49</v>
      </c>
      <c r="E3274" t="s">
        <v>39</v>
      </c>
    </row>
    <row r="3275" spans="1:5" x14ac:dyDescent="0.25">
      <c r="A3275" t="str">
        <f>HYPERLINK("https://www.773grp.com/globalSearch/ADC08832IMX-NOPB/page-1", "ADC08832IMX-NOPB")</f>
        <v>ADC08832IMX-NOPB</v>
      </c>
      <c r="B3275" s="3" t="str">
        <f>HYPERLINK("https://www.773grp.com/manufacturer/national-semiconductor?pageNo=58", "National Semiconductor")</f>
        <v>National Semiconductor</v>
      </c>
      <c r="C3275" s="6">
        <v>1500</v>
      </c>
      <c r="D3275" s="7">
        <v>4.49</v>
      </c>
    </row>
    <row r="3276" spans="1:5" x14ac:dyDescent="0.25">
      <c r="A3276" t="str">
        <f>HYPERLINK("https://www.773grp.com/globalSearch/DS3691M/page-1", "DS3691M")</f>
        <v>DS3691M</v>
      </c>
      <c r="B3276" s="3" t="str">
        <f>HYPERLINK("https://www.773grp.com/manufacturer/national-semiconductor?pageNo=59", "National Semiconductor")</f>
        <v>National Semiconductor</v>
      </c>
      <c r="C3276" s="6">
        <v>1421</v>
      </c>
      <c r="D3276" s="7">
        <v>4.49</v>
      </c>
    </row>
    <row r="3277" spans="1:5" x14ac:dyDescent="0.25">
      <c r="A3277" t="str">
        <f>HYPERLINK("https://www.773grp.com/globalSearch/DS8922AM/page-1", "DS8922AM")</f>
        <v>DS8922AM</v>
      </c>
      <c r="B3277" s="3" t="str">
        <f>HYPERLINK("https://www.773grp.com/manufacturer/national-semiconductor?pageNo=60", "National Semiconductor")</f>
        <v>National Semiconductor</v>
      </c>
      <c r="C3277" s="6">
        <v>288</v>
      </c>
      <c r="D3277" s="7">
        <v>4.49</v>
      </c>
      <c r="E3277" t="s">
        <v>21</v>
      </c>
    </row>
    <row r="3278" spans="1:5" x14ac:dyDescent="0.25">
      <c r="A3278" t="str">
        <f>HYPERLINK("https://www.773grp.com/globalSearch/DS8923AM/page-1", "DS8923AM")</f>
        <v>DS8923AM</v>
      </c>
      <c r="B3278" s="3" t="str">
        <f>HYPERLINK("https://www.773grp.com/manufacturer/national-semiconductor?pageNo=61", "National Semiconductor")</f>
        <v>National Semiconductor</v>
      </c>
      <c r="C3278" s="6">
        <v>606</v>
      </c>
      <c r="D3278" s="7">
        <v>4.49</v>
      </c>
      <c r="E3278" t="s">
        <v>21</v>
      </c>
    </row>
    <row r="3279" spans="1:5" x14ac:dyDescent="0.25">
      <c r="A3279" t="str">
        <f>HYPERLINK("https://www.773grp.com/globalSearch/LM2733XMF-NOPB/page-1", "LM2733XMF-NOPB")</f>
        <v>LM2733XMF-NOPB</v>
      </c>
      <c r="B3279" s="3" t="str">
        <f>HYPERLINK("https://www.773grp.com/manufacturer/national-semiconductor?pageNo=62", "National Semiconductor")</f>
        <v>National Semiconductor</v>
      </c>
      <c r="C3279" s="6">
        <v>2000</v>
      </c>
      <c r="D3279" s="7">
        <v>4.49</v>
      </c>
      <c r="E3279" t="s">
        <v>7</v>
      </c>
    </row>
    <row r="3280" spans="1:5" x14ac:dyDescent="0.25">
      <c r="A3280" t="str">
        <f>HYPERLINK("https://www.773grp.com/globalSearch/LM2733XMFX-NOPB/page-1", "LM2733XMFX-NOPB")</f>
        <v>LM2733XMFX-NOPB</v>
      </c>
      <c r="B3280" s="3" t="str">
        <f>HYPERLINK("https://www.773grp.com/manufacturer/national-semiconductor?pageNo=63", "National Semiconductor")</f>
        <v>National Semiconductor</v>
      </c>
      <c r="C3280" s="6">
        <v>33</v>
      </c>
      <c r="D3280" s="7">
        <v>4.49</v>
      </c>
    </row>
    <row r="3281" spans="1:5" x14ac:dyDescent="0.25">
      <c r="A3281" t="str">
        <f>HYPERLINK("https://www.773grp.com/globalSearch/LM2733YMF-NOPB/page-1", "LM2733YMF-NOPB")</f>
        <v>LM2733YMF-NOPB</v>
      </c>
      <c r="B3281" s="3" t="str">
        <f>HYPERLINK("https://www.773grp.com/manufacturer/national-semiconductor?pageNo=64", "National Semiconductor")</f>
        <v>National Semiconductor</v>
      </c>
      <c r="C3281" s="6">
        <v>1000</v>
      </c>
      <c r="D3281" s="7">
        <v>4.49</v>
      </c>
      <c r="E3281" t="s">
        <v>7</v>
      </c>
    </row>
    <row r="3282" spans="1:5" x14ac:dyDescent="0.25">
      <c r="A3282" t="str">
        <f>HYPERLINK("https://www.773grp.com/globalSearch/LM2737MTCX-J5000383/page-1", "LM2737MTCX-J5000383")</f>
        <v>LM2737MTCX-J5000383</v>
      </c>
      <c r="B3282" s="3" t="str">
        <f>HYPERLINK("https://www.773grp.com/manufacturer/national-semiconductor?pageNo=65", "National Semiconductor")</f>
        <v>National Semiconductor</v>
      </c>
      <c r="C3282" s="6">
        <v>32500</v>
      </c>
      <c r="D3282" s="7">
        <v>4.49</v>
      </c>
    </row>
    <row r="3283" spans="1:5" x14ac:dyDescent="0.25">
      <c r="A3283" t="str">
        <f>HYPERLINK("https://www.773grp.com/globalSearch/LM2907M-8-NOPB/page-1", "LM2907M-8-NOPB")</f>
        <v>LM2907M-8-NOPB</v>
      </c>
      <c r="B3283" s="3" t="str">
        <f>HYPERLINK("https://www.773grp.com/manufacturer/national-semiconductor?pageNo=66", "National Semiconductor")</f>
        <v>National Semiconductor</v>
      </c>
      <c r="C3283" s="6">
        <v>1140</v>
      </c>
      <c r="D3283" s="7">
        <v>4.49</v>
      </c>
      <c r="E3283" t="s">
        <v>45</v>
      </c>
    </row>
    <row r="3284" spans="1:5" x14ac:dyDescent="0.25">
      <c r="A3284" t="str">
        <f>HYPERLINK("https://www.773grp.com/globalSearch/LM3402HVMM-NOPB/page-1", "LM3402HVMM-NOPB")</f>
        <v>LM3402HVMM-NOPB</v>
      </c>
      <c r="B3284" s="3" t="str">
        <f>HYPERLINK("https://www.773grp.com/manufacturer/national-semiconductor?pageNo=67", "National Semiconductor")</f>
        <v>National Semiconductor</v>
      </c>
      <c r="C3284" s="6">
        <v>31000</v>
      </c>
      <c r="D3284" s="7">
        <v>4.49</v>
      </c>
    </row>
    <row r="3285" spans="1:5" x14ac:dyDescent="0.25">
      <c r="A3285" t="str">
        <f>HYPERLINK("https://www.773grp.com/globalSearch/LM3402HVMM-NOPB/page-1", "LM3402HVMM-NOPB")</f>
        <v>LM3402HVMM-NOPB</v>
      </c>
      <c r="B3285" s="3" t="str">
        <f>HYPERLINK("https://www.773grp.com/manufacturer/national-semiconductor?pageNo=68", "National Semiconductor")</f>
        <v>National Semiconductor</v>
      </c>
      <c r="C3285" s="6">
        <v>14000</v>
      </c>
      <c r="D3285" s="7">
        <v>4.49</v>
      </c>
    </row>
    <row r="3286" spans="1:5" x14ac:dyDescent="0.25">
      <c r="A3286" t="str">
        <f>HYPERLINK("https://www.773grp.com/globalSearch/LM3402HVMM-NOPB/page-1", "LM3402HVMM-NOPB")</f>
        <v>LM3402HVMM-NOPB</v>
      </c>
      <c r="B3286" s="3" t="str">
        <f>HYPERLINK("https://www.773grp.com/manufacturer/national-semiconductor?pageNo=69", "National Semiconductor")</f>
        <v>National Semiconductor</v>
      </c>
      <c r="C3286" s="6">
        <v>11000</v>
      </c>
      <c r="D3286" s="7">
        <v>4.49</v>
      </c>
    </row>
    <row r="3287" spans="1:5" x14ac:dyDescent="0.25">
      <c r="A3287" t="str">
        <f>HYPERLINK("https://www.773grp.com/globalSearch/LM3404MRX-NOPB/page-1", "LM3404MRX-NOPB")</f>
        <v>LM3404MRX-NOPB</v>
      </c>
      <c r="B3287" s="3" t="str">
        <f>HYPERLINK("https://www.773grp.com/manufacturer/national-semiconductor?pageNo=70", "National Semiconductor")</f>
        <v>National Semiconductor</v>
      </c>
      <c r="C3287" s="6">
        <v>2500</v>
      </c>
      <c r="D3287" s="7">
        <v>4.49</v>
      </c>
    </row>
    <row r="3288" spans="1:5" x14ac:dyDescent="0.25">
      <c r="A3288" t="str">
        <f>HYPERLINK("https://www.773grp.com/globalSearch/LM3477AMM-NOPB/page-1", "LM3477AMM-NOPB")</f>
        <v>LM3477AMM-NOPB</v>
      </c>
      <c r="B3288" s="3" t="str">
        <f>HYPERLINK("https://www.773grp.com/manufacturer/national-semiconductor?pageNo=71", "National Semiconductor")</f>
        <v>National Semiconductor</v>
      </c>
      <c r="C3288" s="6">
        <v>1111</v>
      </c>
      <c r="D3288" s="7">
        <v>4.49</v>
      </c>
      <c r="E3288" t="s">
        <v>7</v>
      </c>
    </row>
    <row r="3289" spans="1:5" x14ac:dyDescent="0.25">
      <c r="A3289" t="str">
        <f>HYPERLINK("https://www.773grp.com/globalSearch/LM3477MM-NOPB/page-1", "LM3477MM-NOPB")</f>
        <v>LM3477MM-NOPB</v>
      </c>
      <c r="B3289" s="3" t="str">
        <f>HYPERLINK("https://www.773grp.com/manufacturer/national-semiconductor?pageNo=72", "National Semiconductor")</f>
        <v>National Semiconductor</v>
      </c>
      <c r="C3289" s="6">
        <v>9200</v>
      </c>
      <c r="D3289" s="7">
        <v>4.49</v>
      </c>
      <c r="E3289" t="s">
        <v>7</v>
      </c>
    </row>
    <row r="3290" spans="1:5" x14ac:dyDescent="0.25">
      <c r="A3290" t="str">
        <f>HYPERLINK("https://www.773grp.com/globalSearch/LM384N-NOPB/page-1", "LM384N-NOPB")</f>
        <v>LM384N-NOPB</v>
      </c>
      <c r="B3290" s="3" t="str">
        <f>HYPERLINK("https://www.773grp.com/manufacturer/national-semiconductor?pageNo=73", "National Semiconductor")</f>
        <v>National Semiconductor</v>
      </c>
      <c r="C3290" s="6">
        <v>245</v>
      </c>
      <c r="D3290" s="7">
        <v>4.49</v>
      </c>
      <c r="E3290" t="s">
        <v>18</v>
      </c>
    </row>
    <row r="3291" spans="1:5" x14ac:dyDescent="0.25">
      <c r="A3291" t="str">
        <f>HYPERLINK("https://www.773grp.com/globalSearch/LM4050BEM3-10-NOPB/page-1", "LM4050BEM3-10-NOPB")</f>
        <v>LM4050BEM3-10-NOPB</v>
      </c>
      <c r="B3291" s="3" t="str">
        <f>HYPERLINK("https://www.773grp.com/manufacturer/national-semiconductor?pageNo=74", "National Semiconductor")</f>
        <v>National Semiconductor</v>
      </c>
      <c r="C3291" s="6">
        <v>1437</v>
      </c>
      <c r="D3291" s="7">
        <v>4.49</v>
      </c>
      <c r="E3291" t="s">
        <v>17</v>
      </c>
    </row>
    <row r="3292" spans="1:5" x14ac:dyDescent="0.25">
      <c r="A3292" t="str">
        <f>HYPERLINK("https://www.773grp.com/globalSearch/LM4050BEM3-2.5-NOPB/page-1", "LM4050BEM3-2.5-NOPB")</f>
        <v>LM4050BEM3-2.5-NOPB</v>
      </c>
      <c r="B3292" s="3" t="str">
        <f>HYPERLINK("https://www.773grp.com/manufacturer/national-semiconductor?pageNo=75", "National Semiconductor")</f>
        <v>National Semiconductor</v>
      </c>
      <c r="C3292" s="6">
        <v>23990</v>
      </c>
      <c r="D3292" s="7">
        <v>4.49</v>
      </c>
      <c r="E3292" t="s">
        <v>17</v>
      </c>
    </row>
    <row r="3293" spans="1:5" x14ac:dyDescent="0.25">
      <c r="A3293" t="str">
        <f>HYPERLINK("https://www.773grp.com/globalSearch/LM4050BEM3-4.1/page-1", "LM4050BEM3-4.1")</f>
        <v>LM4050BEM3-4.1</v>
      </c>
      <c r="B3293" s="3" t="str">
        <f>HYPERLINK("https://www.773grp.com/manufacturer/national-semiconductor?pageNo=76", "National Semiconductor")</f>
        <v>National Semiconductor</v>
      </c>
      <c r="C3293" s="6">
        <v>409</v>
      </c>
      <c r="D3293" s="7">
        <v>4.49</v>
      </c>
    </row>
    <row r="3294" spans="1:5" x14ac:dyDescent="0.25">
      <c r="A3294" t="str">
        <f>HYPERLINK("https://www.773grp.com/globalSearch/LM4050BEM3-5.0-NOPB/page-1", "LM4050BEM3-5.0-NOPB")</f>
        <v>LM4050BEM3-5.0-NOPB</v>
      </c>
      <c r="B3294" s="3" t="str">
        <f>HYPERLINK("https://www.773grp.com/manufacturer/national-semiconductor?pageNo=77", "National Semiconductor")</f>
        <v>National Semiconductor</v>
      </c>
      <c r="C3294" s="6">
        <v>28000</v>
      </c>
      <c r="D3294" s="7">
        <v>4.49</v>
      </c>
      <c r="E3294" t="s">
        <v>17</v>
      </c>
    </row>
    <row r="3295" spans="1:5" x14ac:dyDescent="0.25">
      <c r="A3295" t="str">
        <f>HYPERLINK("https://www.773grp.com/globalSearch/LM4121AIM5-1.2-NOPB/page-1", "LM4121AIM5-1.2-NOPB")</f>
        <v>LM4121AIM5-1.2-NOPB</v>
      </c>
      <c r="B3295" s="3" t="str">
        <f>HYPERLINK("https://www.773grp.com/manufacturer/national-semiconductor?pageNo=78", "National Semiconductor")</f>
        <v>National Semiconductor</v>
      </c>
      <c r="C3295" s="6">
        <v>3000</v>
      </c>
      <c r="D3295" s="7">
        <v>4.49</v>
      </c>
    </row>
    <row r="3296" spans="1:5" x14ac:dyDescent="0.25">
      <c r="A3296" t="str">
        <f>HYPERLINK("https://www.773grp.com/globalSearch/LM4121AIM5-ADJ-NOPB/page-1", "LM4121AIM5-ADJ-NOPB")</f>
        <v>LM4121AIM5-ADJ-NOPB</v>
      </c>
      <c r="B3296" s="3" t="str">
        <f>HYPERLINK("https://www.773grp.com/manufacturer/national-semiconductor?pageNo=79", "National Semiconductor")</f>
        <v>National Semiconductor</v>
      </c>
      <c r="C3296" s="6">
        <v>740</v>
      </c>
      <c r="D3296" s="7">
        <v>4.49</v>
      </c>
    </row>
    <row r="3297" spans="1:5" x14ac:dyDescent="0.25">
      <c r="A3297" t="str">
        <f>HYPERLINK("https://www.773grp.com/globalSearch/LM4132DMF-1.8-NOPB/page-1", "LM4132DMF-1.8-NOPB")</f>
        <v>LM4132DMF-1.8-NOPB</v>
      </c>
      <c r="B3297" s="3" t="str">
        <f>HYPERLINK("https://www.773grp.com/manufacturer/national-semiconductor?pageNo=80", "National Semiconductor")</f>
        <v>National Semiconductor</v>
      </c>
      <c r="C3297" s="6">
        <v>16000</v>
      </c>
      <c r="D3297" s="7">
        <v>4.49</v>
      </c>
    </row>
    <row r="3298" spans="1:5" x14ac:dyDescent="0.25">
      <c r="A3298" t="str">
        <f>HYPERLINK("https://www.773grp.com/globalSearch/LM4132DMF-2.5-NOPB/page-1", "LM4132DMF-2.5-NOPB")</f>
        <v>LM4132DMF-2.5-NOPB</v>
      </c>
      <c r="B3298" s="3" t="str">
        <f>HYPERLINK("https://www.773grp.com/manufacturer/national-semiconductor?pageNo=81", "National Semiconductor")</f>
        <v>National Semiconductor</v>
      </c>
      <c r="C3298" s="6">
        <v>445</v>
      </c>
      <c r="D3298" s="7">
        <v>4.49</v>
      </c>
    </row>
    <row r="3299" spans="1:5" x14ac:dyDescent="0.25">
      <c r="A3299" t="str">
        <f>HYPERLINK("https://www.773grp.com/globalSearch/LM4132DMF-3.0-NOPB/page-1", "LM4132DMF-3.0-NOPB")</f>
        <v>LM4132DMF-3.0-NOPB</v>
      </c>
      <c r="B3299" s="3" t="str">
        <f>HYPERLINK("https://www.773grp.com/manufacturer/national-semiconductor?pageNo=82", "National Semiconductor")</f>
        <v>National Semiconductor</v>
      </c>
      <c r="C3299" s="6">
        <v>2478</v>
      </c>
      <c r="D3299" s="7">
        <v>4.49</v>
      </c>
    </row>
    <row r="3300" spans="1:5" x14ac:dyDescent="0.25">
      <c r="A3300" t="str">
        <f>HYPERLINK("https://www.773grp.com/globalSearch/LM4132DMF-3.3-NOPB/page-1", "LM4132DMF-3.3-NOPB")</f>
        <v>LM4132DMF-3.3-NOPB</v>
      </c>
      <c r="B3300" s="3" t="str">
        <f>HYPERLINK("https://www.773grp.com/manufacturer/national-semiconductor?pageNo=83", "National Semiconductor")</f>
        <v>National Semiconductor</v>
      </c>
      <c r="C3300" s="6">
        <v>27990</v>
      </c>
      <c r="D3300" s="7">
        <v>4.49</v>
      </c>
    </row>
    <row r="3301" spans="1:5" x14ac:dyDescent="0.25">
      <c r="A3301" t="str">
        <f>HYPERLINK("https://www.773grp.com/globalSearch/LM4132DMF-4.1-NOPB/page-1", "LM4132DMF-4.1-NOPB")</f>
        <v>LM4132DMF-4.1-NOPB</v>
      </c>
      <c r="B3301" s="3" t="str">
        <f>HYPERLINK("https://www.773grp.com/manufacturer/national-semiconductor?pageNo=84", "National Semiconductor")</f>
        <v>National Semiconductor</v>
      </c>
      <c r="C3301" s="6">
        <v>2000</v>
      </c>
      <c r="D3301" s="7">
        <v>4.49</v>
      </c>
    </row>
    <row r="3302" spans="1:5" x14ac:dyDescent="0.25">
      <c r="A3302" t="str">
        <f>HYPERLINK("https://www.773grp.com/globalSearch/LM5033SD/page-1", "LM5033SD")</f>
        <v>LM5033SD</v>
      </c>
      <c r="B3302" s="3" t="str">
        <f>HYPERLINK("https://www.773grp.com/manufacturer/national-semiconductor?pageNo=85", "National Semiconductor")</f>
        <v>National Semiconductor</v>
      </c>
      <c r="C3302" s="6">
        <v>435</v>
      </c>
      <c r="D3302" s="7">
        <v>4.49</v>
      </c>
    </row>
    <row r="3303" spans="1:5" x14ac:dyDescent="0.25">
      <c r="A3303" t="str">
        <f>HYPERLINK("https://www.773grp.com/globalSearch/LM5033SD-NOPB/page-1", "LM5033SD-NOPB")</f>
        <v>LM5033SD-NOPB</v>
      </c>
      <c r="B3303" s="3" t="str">
        <f>HYPERLINK("https://www.773grp.com/manufacturer/national-semiconductor?pageNo=86", "National Semiconductor")</f>
        <v>National Semiconductor</v>
      </c>
      <c r="C3303" s="6">
        <v>3586</v>
      </c>
      <c r="D3303" s="7">
        <v>4.49</v>
      </c>
      <c r="E3303" t="s">
        <v>7</v>
      </c>
    </row>
    <row r="3304" spans="1:5" x14ac:dyDescent="0.25">
      <c r="A3304" t="str">
        <f>HYPERLINK("https://www.773grp.com/globalSearch/LM5033SDX-NOPB/page-1", "LM5033SDX-NOPB")</f>
        <v>LM5033SDX-NOPB</v>
      </c>
      <c r="B3304" s="3" t="str">
        <f>HYPERLINK("https://www.773grp.com/manufacturer/national-semiconductor?pageNo=87", "National Semiconductor")</f>
        <v>National Semiconductor</v>
      </c>
      <c r="C3304" s="6">
        <v>4500</v>
      </c>
      <c r="D3304" s="7">
        <v>4.49</v>
      </c>
    </row>
    <row r="3305" spans="1:5" x14ac:dyDescent="0.25">
      <c r="A3305" t="str">
        <f>HYPERLINK("https://www.773grp.com/globalSearch/LM5085MMX-NOPB/page-1", "LM5085MMX-NOPB")</f>
        <v>LM5085MMX-NOPB</v>
      </c>
      <c r="B3305" s="3" t="str">
        <f>HYPERLINK("https://www.773grp.com/manufacturer/national-semiconductor?pageNo=88", "National Semiconductor")</f>
        <v>National Semiconductor</v>
      </c>
      <c r="C3305" s="6">
        <v>3500</v>
      </c>
      <c r="D3305" s="7">
        <v>4.49</v>
      </c>
    </row>
    <row r="3306" spans="1:5" x14ac:dyDescent="0.25">
      <c r="A3306" t="str">
        <f>HYPERLINK("https://www.773grp.com/globalSearch/LM5085MYX-NOPB/page-1", "LM5085MYX-NOPB")</f>
        <v>LM5085MYX-NOPB</v>
      </c>
      <c r="B3306" s="3" t="str">
        <f>HYPERLINK("https://www.773grp.com/manufacturer/national-semiconductor?pageNo=89", "National Semiconductor")</f>
        <v>National Semiconductor</v>
      </c>
      <c r="C3306" s="6">
        <v>10500</v>
      </c>
      <c r="D3306" s="7">
        <v>4.49</v>
      </c>
    </row>
    <row r="3307" spans="1:5" x14ac:dyDescent="0.25">
      <c r="A3307" t="str">
        <f>HYPERLINK("https://www.773grp.com/globalSearch/LM7321MF-NOPB/page-1", "LM7321MF-NOPB")</f>
        <v>LM7321MF-NOPB</v>
      </c>
      <c r="B3307" s="3" t="str">
        <f>HYPERLINK("https://www.773grp.com/manufacturer/national-semiconductor?pageNo=90", "National Semiconductor")</f>
        <v>National Semiconductor</v>
      </c>
      <c r="C3307" s="6">
        <v>8210</v>
      </c>
      <c r="D3307" s="7">
        <v>4.49</v>
      </c>
    </row>
    <row r="3308" spans="1:5" x14ac:dyDescent="0.25">
      <c r="A3308" t="str">
        <f>HYPERLINK("https://www.773grp.com/globalSearch/LM86CIM-NOPB/page-1", "LM86CIM-NOPB")</f>
        <v>LM86CIM-NOPB</v>
      </c>
      <c r="B3308" s="3" t="str">
        <f>HYPERLINK("https://www.773grp.com/manufacturer/national-semiconductor?pageNo=91", "National Semiconductor")</f>
        <v>National Semiconductor</v>
      </c>
      <c r="C3308" s="6">
        <v>250</v>
      </c>
      <c r="D3308" s="7">
        <v>4.49</v>
      </c>
      <c r="E3308" t="s">
        <v>12</v>
      </c>
    </row>
    <row r="3309" spans="1:5" x14ac:dyDescent="0.25">
      <c r="A3309" t="str">
        <f>HYPERLINK("https://www.773grp.com/globalSearch/LM86CIMM/page-1", "LM86CIMM")</f>
        <v>LM86CIMM</v>
      </c>
      <c r="B3309" s="3" t="str">
        <f>HYPERLINK("https://www.773grp.com/manufacturer/national-semiconductor?pageNo=92", "National Semiconductor")</f>
        <v>National Semiconductor</v>
      </c>
      <c r="C3309" s="6">
        <v>1442</v>
      </c>
      <c r="D3309" s="7">
        <v>4.49</v>
      </c>
    </row>
    <row r="3310" spans="1:5" x14ac:dyDescent="0.25">
      <c r="A3310" t="str">
        <f>HYPERLINK("https://www.773grp.com/globalSearch/LMC6061AIMX/page-1", "LMC6061AIMX")</f>
        <v>LMC6061AIMX</v>
      </c>
      <c r="B3310" s="3" t="str">
        <f>HYPERLINK("https://www.773grp.com/manufacturer/national-semiconductor?pageNo=93", "National Semiconductor")</f>
        <v>National Semiconductor</v>
      </c>
      <c r="C3310" s="6">
        <v>2500</v>
      </c>
      <c r="D3310" s="7">
        <v>4.49</v>
      </c>
      <c r="E3310" t="s">
        <v>13</v>
      </c>
    </row>
    <row r="3311" spans="1:5" x14ac:dyDescent="0.25">
      <c r="A3311" t="str">
        <f>HYPERLINK("https://www.773grp.com/globalSearch/LMC660CN-NOPB/page-1", "LMC660CN-NOPB")</f>
        <v>LMC660CN-NOPB</v>
      </c>
      <c r="B3311" s="3" t="str">
        <f>HYPERLINK("https://www.773grp.com/manufacturer/national-semiconductor?pageNo=94", "National Semiconductor")</f>
        <v>National Semiconductor</v>
      </c>
      <c r="C3311" s="6">
        <v>33369</v>
      </c>
      <c r="D3311" s="7">
        <v>4.49</v>
      </c>
      <c r="E3311" t="s">
        <v>13</v>
      </c>
    </row>
    <row r="3312" spans="1:5" x14ac:dyDescent="0.25">
      <c r="A3312" t="str">
        <f>HYPERLINK("https://www.773grp.com/globalSearch/LMH6639MF/page-1", "LMH6639MF")</f>
        <v>LMH6639MF</v>
      </c>
      <c r="B3312" s="3" t="str">
        <f>HYPERLINK("https://www.773grp.com/manufacturer/national-semiconductor?pageNo=95", "National Semiconductor")</f>
        <v>National Semiconductor</v>
      </c>
      <c r="C3312" s="6">
        <v>219</v>
      </c>
      <c r="D3312" s="7">
        <v>4.49</v>
      </c>
    </row>
    <row r="3313" spans="1:5" x14ac:dyDescent="0.25">
      <c r="A3313" t="str">
        <f>HYPERLINK("https://www.773grp.com/globalSearch/LMH6639MF/page-1", "LMH6639MF")</f>
        <v>LMH6639MF</v>
      </c>
      <c r="B3313" s="3" t="str">
        <f>HYPERLINK("https://www.773grp.com/manufacturer/national-semiconductor?pageNo=96", "National Semiconductor")</f>
        <v>National Semiconductor</v>
      </c>
      <c r="C3313" s="6">
        <v>119</v>
      </c>
      <c r="D3313" s="7">
        <v>4.49</v>
      </c>
    </row>
    <row r="3314" spans="1:5" x14ac:dyDescent="0.25">
      <c r="A3314" t="str">
        <f>HYPERLINK("https://www.773grp.com/globalSearch/LMP8640MK-F-NOPB/page-1", "LMP8640MK-F-NOPB")</f>
        <v>LMP8640MK-F-NOPB</v>
      </c>
      <c r="B3314" s="3" t="str">
        <f>HYPERLINK("https://www.773grp.com/manufacturer/national-semiconductor?pageNo=97", "National Semiconductor")</f>
        <v>National Semiconductor</v>
      </c>
      <c r="C3314" s="6">
        <v>1000</v>
      </c>
      <c r="D3314" s="7">
        <v>4.49</v>
      </c>
    </row>
    <row r="3315" spans="1:5" x14ac:dyDescent="0.25">
      <c r="A3315" t="str">
        <f>HYPERLINK("https://www.773grp.com/globalSearch/LMP8640MK-T-NOPB/page-1", "LMP8640MK-T-NOPB")</f>
        <v>LMP8640MK-T-NOPB</v>
      </c>
      <c r="B3315" s="3" t="str">
        <f>HYPERLINK("https://www.773grp.com/manufacturer/national-semiconductor?pageNo=98", "National Semiconductor")</f>
        <v>National Semiconductor</v>
      </c>
      <c r="C3315" s="6">
        <v>4000</v>
      </c>
      <c r="D3315" s="7">
        <v>4.49</v>
      </c>
    </row>
    <row r="3316" spans="1:5" x14ac:dyDescent="0.25">
      <c r="A3316" t="str">
        <f>HYPERLINK("https://www.773grp.com/globalSearch/LMP8645MK-NOPB/page-1", "LMP8645MK-NOPB")</f>
        <v>LMP8645MK-NOPB</v>
      </c>
      <c r="B3316" s="3" t="str">
        <f>HYPERLINK("https://www.773grp.com/manufacturer/national-semiconductor?pageNo=99", "National Semiconductor")</f>
        <v>National Semiconductor</v>
      </c>
      <c r="C3316" s="6">
        <v>4000</v>
      </c>
      <c r="D3316" s="7">
        <v>4.49</v>
      </c>
    </row>
    <row r="3317" spans="1:5" x14ac:dyDescent="0.25">
      <c r="A3317" t="str">
        <f>HYPERLINK("https://www.773grp.com/globalSearch/LMR12015XSD-NOPB/page-1", "LMR12015XSD-NOPB")</f>
        <v>LMR12015XSD-NOPB</v>
      </c>
      <c r="B3317" s="3" t="str">
        <f>HYPERLINK("https://www.773grp.com/manufacturer/national-semiconductor?pageNo=100", "National Semiconductor")</f>
        <v>National Semiconductor</v>
      </c>
      <c r="C3317" s="6">
        <v>1000</v>
      </c>
      <c r="D3317" s="7">
        <v>4.49</v>
      </c>
    </row>
    <row r="3318" spans="1:5" x14ac:dyDescent="0.25">
      <c r="A3318" t="str">
        <f>HYPERLINK("https://www.773grp.com/globalSearch/LMV934MAX/page-1", "LMV934MAX")</f>
        <v>LMV934MAX</v>
      </c>
      <c r="B3318" s="3" t="str">
        <f>HYPERLINK("https://www.773grp.com/manufacturer/national-semiconductor?pageNo=101", "National Semiconductor")</f>
        <v>National Semiconductor</v>
      </c>
      <c r="C3318" s="6">
        <v>7500</v>
      </c>
      <c r="D3318" s="7">
        <v>4.49</v>
      </c>
      <c r="E3318" t="s">
        <v>13</v>
      </c>
    </row>
    <row r="3319" spans="1:5" x14ac:dyDescent="0.25">
      <c r="A3319" t="str">
        <f>HYPERLINK("https://www.773grp.com/globalSearch/LP3470IM5-2.63/page-1", "LP3470IM5-2.63")</f>
        <v>LP3470IM5-2.63</v>
      </c>
      <c r="B3319" s="3" t="str">
        <f>HYPERLINK("https://www.773grp.com/manufacturer/national-semiconductor?pageNo=102", "National Semiconductor")</f>
        <v>National Semiconductor</v>
      </c>
      <c r="C3319" s="6">
        <v>2000</v>
      </c>
      <c r="D3319" s="7">
        <v>4.49</v>
      </c>
      <c r="E3319" t="s">
        <v>30</v>
      </c>
    </row>
    <row r="3320" spans="1:5" x14ac:dyDescent="0.25">
      <c r="A3320" t="str">
        <f>HYPERLINK("https://www.773grp.com/globalSearch/LP3470IM5-3.08/page-1", "LP3470IM5-3.08")</f>
        <v>LP3470IM5-3.08</v>
      </c>
      <c r="B3320" s="3" t="str">
        <f>HYPERLINK("https://www.773grp.com/manufacturer/national-semiconductor?pageNo=103", "National Semiconductor")</f>
        <v>National Semiconductor</v>
      </c>
      <c r="C3320" s="6">
        <v>2000</v>
      </c>
      <c r="D3320" s="7">
        <v>4.49</v>
      </c>
      <c r="E3320" t="s">
        <v>30</v>
      </c>
    </row>
    <row r="3321" spans="1:5" x14ac:dyDescent="0.25">
      <c r="A3321" t="str">
        <f>HYPERLINK("https://www.773grp.com/globalSearch/LP3470IM5X-4.38/page-1", "LP3470IM5X-4.38")</f>
        <v>LP3470IM5X-4.38</v>
      </c>
      <c r="B3321" s="3" t="str">
        <f>HYPERLINK("https://www.773grp.com/manufacturer/national-semiconductor?pageNo=104", "National Semiconductor")</f>
        <v>National Semiconductor</v>
      </c>
      <c r="C3321" s="6">
        <v>6000</v>
      </c>
      <c r="D3321" s="7">
        <v>4.49</v>
      </c>
    </row>
    <row r="3322" spans="1:5" x14ac:dyDescent="0.25">
      <c r="A3322" t="str">
        <f>HYPERLINK("https://www.773grp.com/globalSearch/LP3470IM5X-4.63/page-1", "LP3470IM5X-4.63")</f>
        <v>LP3470IM5X-4.63</v>
      </c>
      <c r="B3322" s="3" t="str">
        <f>HYPERLINK("https://www.773grp.com/manufacturer/national-semiconductor?pageNo=105", "National Semiconductor")</f>
        <v>National Semiconductor</v>
      </c>
      <c r="C3322" s="6">
        <v>21000</v>
      </c>
      <c r="D3322" s="7">
        <v>4.49</v>
      </c>
    </row>
    <row r="3323" spans="1:5" x14ac:dyDescent="0.25">
      <c r="A3323" t="str">
        <f>HYPERLINK("https://www.773grp.com/globalSearch/LP38841S-0.8-NOPB/page-1", "LP38841S-0.8-NOPB")</f>
        <v>LP38841S-0.8-NOPB</v>
      </c>
      <c r="B3323" s="3" t="str">
        <f>HYPERLINK("https://www.773grp.com/manufacturer/national-semiconductor?pageNo=106", "National Semiconductor")</f>
        <v>National Semiconductor</v>
      </c>
      <c r="C3323" s="6">
        <v>1800</v>
      </c>
      <c r="D3323" s="7">
        <v>4.49</v>
      </c>
    </row>
    <row r="3324" spans="1:5" x14ac:dyDescent="0.25">
      <c r="A3324" t="str">
        <f>HYPERLINK("https://www.773grp.com/globalSearch/LP38841S-1.2-NOPB/page-1", "LP38841S-1.2-NOPB")</f>
        <v>LP38841S-1.2-NOPB</v>
      </c>
      <c r="B3324" s="3" t="str">
        <f>HYPERLINK("https://www.773grp.com/manufacturer/national-semiconductor?pageNo=107", "National Semiconductor")</f>
        <v>National Semiconductor</v>
      </c>
      <c r="C3324" s="6">
        <v>521</v>
      </c>
      <c r="D3324" s="7">
        <v>4.49</v>
      </c>
      <c r="E3324" t="s">
        <v>19</v>
      </c>
    </row>
    <row r="3325" spans="1:5" x14ac:dyDescent="0.25">
      <c r="A3325" t="str">
        <f>HYPERLINK("https://www.773grp.com/globalSearch/LP38841S-1.5-NOPB/page-1", "LP38841S-1.5-NOPB")</f>
        <v>LP38841S-1.5-NOPB</v>
      </c>
      <c r="B3325" s="3" t="str">
        <f>HYPERLINK("https://www.773grp.com/manufacturer/national-semiconductor?pageNo=108", "National Semiconductor")</f>
        <v>National Semiconductor</v>
      </c>
      <c r="C3325" s="6">
        <v>450</v>
      </c>
      <c r="D3325" s="7">
        <v>4.49</v>
      </c>
      <c r="E3325" t="s">
        <v>19</v>
      </c>
    </row>
    <row r="3326" spans="1:5" x14ac:dyDescent="0.25">
      <c r="A3326" t="str">
        <f>HYPERLINK("https://www.773grp.com/globalSearch/LP38851MR-ADJ-NOPB/page-1", "LP38851MR-ADJ-NOPB")</f>
        <v>LP38851MR-ADJ-NOPB</v>
      </c>
      <c r="B3326" s="3" t="str">
        <f>HYPERLINK("https://www.773grp.com/manufacturer/national-semiconductor?pageNo=109", "National Semiconductor")</f>
        <v>National Semiconductor</v>
      </c>
      <c r="C3326" s="6">
        <v>1153</v>
      </c>
      <c r="D3326" s="7">
        <v>4.49</v>
      </c>
    </row>
    <row r="3327" spans="1:5" x14ac:dyDescent="0.25">
      <c r="A3327" t="str">
        <f>HYPERLINK("https://www.773grp.com/globalSearch/LP38851S-ADJ-NOPB/page-1", "LP38851S-ADJ-NOPB")</f>
        <v>LP38851S-ADJ-NOPB</v>
      </c>
      <c r="B3327" s="3" t="str">
        <f>HYPERLINK("https://www.773grp.com/manufacturer/national-semiconductor?pageNo=110", "National Semiconductor")</f>
        <v>National Semiconductor</v>
      </c>
      <c r="C3327" s="6">
        <v>985</v>
      </c>
      <c r="D3327" s="7">
        <v>4.49</v>
      </c>
      <c r="E3327" t="s">
        <v>25</v>
      </c>
    </row>
    <row r="3328" spans="1:5" x14ac:dyDescent="0.25">
      <c r="A3328" t="str">
        <f>HYPERLINK("https://www.773grp.com/globalSearch/LP38855T-0.8-NOPB/page-1", "LP38855T-0.8-NOPB")</f>
        <v>LP38855T-0.8-NOPB</v>
      </c>
      <c r="B3328" s="3" t="str">
        <f>HYPERLINK("https://www.773grp.com/manufacturer/national-semiconductor?pageNo=111", "National Semiconductor")</f>
        <v>National Semiconductor</v>
      </c>
      <c r="C3328" s="6">
        <v>40</v>
      </c>
      <c r="D3328" s="7">
        <v>4.49</v>
      </c>
    </row>
    <row r="3329" spans="1:5" x14ac:dyDescent="0.25">
      <c r="A3329" t="str">
        <f>HYPERLINK("https://www.773grp.com/globalSearch/LP38855T-1.2-NOPB/page-1", "LP38855T-1.2-NOPB")</f>
        <v>LP38855T-1.2-NOPB</v>
      </c>
      <c r="B3329" s="3" t="str">
        <f>HYPERLINK("https://www.773grp.com/manufacturer/national-semiconductor?pageNo=112", "National Semiconductor")</f>
        <v>National Semiconductor</v>
      </c>
      <c r="C3329" s="6">
        <v>4230</v>
      </c>
      <c r="D3329" s="7">
        <v>4.49</v>
      </c>
    </row>
    <row r="3330" spans="1:5" x14ac:dyDescent="0.25">
      <c r="A3330" t="str">
        <f>HYPERLINK("https://www.773grp.com/globalSearch/LP38858SX-1.2-NOPB/page-1", "LP38858SX-1.2-NOPB")</f>
        <v>LP38858SX-1.2-NOPB</v>
      </c>
      <c r="B3330" s="3" t="str">
        <f>HYPERLINK("https://www.773grp.com/manufacturer/national-semiconductor?pageNo=113", "National Semiconductor")</f>
        <v>National Semiconductor</v>
      </c>
      <c r="C3330" s="6">
        <v>90</v>
      </c>
      <c r="D3330" s="7">
        <v>4.49</v>
      </c>
    </row>
    <row r="3331" spans="1:5" x14ac:dyDescent="0.25">
      <c r="A3331" t="str">
        <f>HYPERLINK("https://www.773grp.com/globalSearch/LP38858T-0.8-NOPB/page-1", "LP38858T-0.8-NOPB")</f>
        <v>LP38858T-0.8-NOPB</v>
      </c>
      <c r="B3331" s="3" t="str">
        <f>HYPERLINK("https://www.773grp.com/manufacturer/national-semiconductor?pageNo=114", "National Semiconductor")</f>
        <v>National Semiconductor</v>
      </c>
      <c r="C3331" s="6">
        <v>3240</v>
      </c>
      <c r="D3331" s="7">
        <v>4.49</v>
      </c>
    </row>
    <row r="3332" spans="1:5" x14ac:dyDescent="0.25">
      <c r="A3332" t="str">
        <f>HYPERLINK("https://www.773grp.com/globalSearch/LP38858T-1.2-NOPB/page-1", "LP38858T-1.2-NOPB")</f>
        <v>LP38858T-1.2-NOPB</v>
      </c>
      <c r="B3332" s="3" t="str">
        <f>HYPERLINK("https://www.773grp.com/manufacturer/national-semiconductor?pageNo=115", "National Semiconductor")</f>
        <v>National Semiconductor</v>
      </c>
      <c r="C3332" s="6">
        <v>40</v>
      </c>
      <c r="D3332" s="7">
        <v>4.49</v>
      </c>
    </row>
    <row r="3333" spans="1:5" x14ac:dyDescent="0.25">
      <c r="A3333" t="str">
        <f>HYPERLINK("https://www.773grp.com/globalSearch/LP5523TMX-NOPB/page-1", "LP5523TMX-NOPB")</f>
        <v>LP5523TMX-NOPB</v>
      </c>
      <c r="B3333" s="3" t="str">
        <f>HYPERLINK("https://www.773grp.com/manufacturer/national-semiconductor?pageNo=116", "National Semiconductor")</f>
        <v>National Semiconductor</v>
      </c>
      <c r="C3333" s="6">
        <v>15250</v>
      </c>
      <c r="D3333" s="7">
        <v>4.49</v>
      </c>
    </row>
    <row r="3334" spans="1:5" x14ac:dyDescent="0.25">
      <c r="A3334" t="str">
        <f>HYPERLINK("https://www.773grp.com/globalSearch/REF3325AIDCKR/page-1", "REF3325AIDCKR")</f>
        <v>REF3325AIDCKR</v>
      </c>
      <c r="B3334" s="3" t="str">
        <f>HYPERLINK("https://www.773grp.com/manufacturer/national-semiconductor?pageNo=117", "National Semiconductor")</f>
        <v>National Semiconductor</v>
      </c>
      <c r="C3334" s="6">
        <v>3000</v>
      </c>
      <c r="D3334" s="7">
        <v>4.49</v>
      </c>
    </row>
    <row r="3335" spans="1:5" x14ac:dyDescent="0.25">
      <c r="A3335" t="str">
        <f>HYPERLINK("https://www.773grp.com/globalSearch/TLV4111CDGN/page-1", "TLV4111CDGN")</f>
        <v>TLV4111CDGN</v>
      </c>
      <c r="B3335" s="3" t="str">
        <f>HYPERLINK("https://www.773grp.com/manufacturer/national-semiconductor?pageNo=118", "National Semiconductor")</f>
        <v>National Semiconductor</v>
      </c>
      <c r="C3335" s="6">
        <v>12480</v>
      </c>
      <c r="D3335" s="7">
        <v>4.49</v>
      </c>
    </row>
    <row r="3336" spans="1:5" x14ac:dyDescent="0.25">
      <c r="A3336" t="str">
        <f>HYPERLINK("https://www.773grp.com/globalSearch/TPS73625DCQR/page-1", "TPS73625DCQR")</f>
        <v>TPS73625DCQR</v>
      </c>
      <c r="B3336" s="3" t="str">
        <f>HYPERLINK("https://www.773grp.com/manufacturer/national-semiconductor?pageNo=119", "National Semiconductor")</f>
        <v>National Semiconductor</v>
      </c>
      <c r="C3336" s="6">
        <v>5000</v>
      </c>
      <c r="D3336" s="7">
        <v>4.49</v>
      </c>
    </row>
    <row r="3337" spans="1:5" x14ac:dyDescent="0.25">
      <c r="A3337" t="str">
        <f>HYPERLINK("https://www.773grp.com/globalSearch/54LS260FM/page-1", "54LS260FM")</f>
        <v>54LS260FM</v>
      </c>
      <c r="B3337" s="3" t="str">
        <f>HYPERLINK("https://www.773grp.com/manufacturer/national-semiconductor?pageNo=120", "National Semiconductor")</f>
        <v>National Semiconductor</v>
      </c>
      <c r="C3337" s="6">
        <v>196</v>
      </c>
      <c r="D3337" s="7">
        <v>4.09</v>
      </c>
    </row>
    <row r="3338" spans="1:5" x14ac:dyDescent="0.25">
      <c r="A3338" t="str">
        <f>HYPERLINK("https://www.773grp.com/globalSearch/54LS260FMQB/page-1", "54LS260FMQB")</f>
        <v>54LS260FMQB</v>
      </c>
      <c r="B3338" s="3" t="str">
        <f>HYPERLINK("https://www.773grp.com/manufacturer/national-semiconductor?pageNo=121", "National Semiconductor")</f>
        <v>National Semiconductor</v>
      </c>
      <c r="C3338" s="6">
        <v>2111</v>
      </c>
      <c r="D3338" s="7">
        <v>4.09</v>
      </c>
      <c r="E3338" t="s">
        <v>31</v>
      </c>
    </row>
    <row r="3339" spans="1:5" x14ac:dyDescent="0.25">
      <c r="A3339" t="str">
        <f>HYPERLINK("https://www.773grp.com/globalSearch/54LS33FMQB/page-1", "54LS33FMQB")</f>
        <v>54LS33FMQB</v>
      </c>
      <c r="B3339" s="3" t="str">
        <f>HYPERLINK("https://www.773grp.com/manufacturer/national-semiconductor?pageNo=122", "National Semiconductor")</f>
        <v>National Semiconductor</v>
      </c>
      <c r="C3339" s="6">
        <v>1520</v>
      </c>
      <c r="D3339" s="7">
        <v>4.09</v>
      </c>
      <c r="E3339" t="s">
        <v>31</v>
      </c>
    </row>
    <row r="3340" spans="1:5" x14ac:dyDescent="0.25">
      <c r="A3340" t="str">
        <f>HYPERLINK("https://www.773grp.com/globalSearch/54LS37FMQB/page-1", "54LS37FMQB")</f>
        <v>54LS37FMQB</v>
      </c>
      <c r="B3340" s="3" t="str">
        <f>HYPERLINK("https://www.773grp.com/manufacturer/national-semiconductor?pageNo=123", "National Semiconductor")</f>
        <v>National Semiconductor</v>
      </c>
      <c r="C3340" s="6">
        <v>24</v>
      </c>
      <c r="D3340" s="7">
        <v>4.09</v>
      </c>
      <c r="E3340" t="s">
        <v>31</v>
      </c>
    </row>
    <row r="3341" spans="1:5" x14ac:dyDescent="0.25">
      <c r="A3341" t="str">
        <f>HYPERLINK("https://www.773grp.com/globalSearch/54LS38FM/page-1", "54LS38FM")</f>
        <v>54LS38FM</v>
      </c>
      <c r="B3341" s="3" t="str">
        <f>HYPERLINK("https://www.773grp.com/manufacturer/national-semiconductor?pageNo=124", "National Semiconductor")</f>
        <v>National Semiconductor</v>
      </c>
      <c r="C3341" s="6">
        <v>1068</v>
      </c>
      <c r="D3341" s="7">
        <v>4.09</v>
      </c>
    </row>
    <row r="3342" spans="1:5" x14ac:dyDescent="0.25">
      <c r="A3342" t="str">
        <f>HYPERLINK("https://www.773grp.com/globalSearch/54LS38FMQB/page-1", "54LS38FMQB")</f>
        <v>54LS38FMQB</v>
      </c>
      <c r="B3342" s="3" t="str">
        <f>HYPERLINK("https://www.773grp.com/manufacturer/national-semiconductor?pageNo=125", "National Semiconductor")</f>
        <v>National Semiconductor</v>
      </c>
      <c r="C3342" s="6">
        <v>1698</v>
      </c>
      <c r="D3342" s="7">
        <v>4.09</v>
      </c>
      <c r="E3342" t="s">
        <v>31</v>
      </c>
    </row>
    <row r="3343" spans="1:5" x14ac:dyDescent="0.25">
      <c r="A3343" t="str">
        <f>HYPERLINK("https://www.773grp.com/globalSearch/54S174DM/page-1", "54S174DM")</f>
        <v>54S174DM</v>
      </c>
      <c r="B3343" s="3" t="str">
        <f>HYPERLINK("https://www.773grp.com/manufacturer/national-semiconductor?pageNo=126", "National Semiconductor")</f>
        <v>National Semiconductor</v>
      </c>
      <c r="C3343" s="6">
        <v>8678</v>
      </c>
      <c r="D3343" s="7">
        <v>4.09</v>
      </c>
      <c r="E3343" t="s">
        <v>35</v>
      </c>
    </row>
    <row r="3344" spans="1:5" x14ac:dyDescent="0.25">
      <c r="A3344" t="str">
        <f>HYPERLINK("https://www.773grp.com/globalSearch/ADC08060CIMT/page-1", "ADC08060CIMT")</f>
        <v>ADC08060CIMT</v>
      </c>
      <c r="B3344" s="3" t="str">
        <f>HYPERLINK("https://www.773grp.com/manufacturer/national-semiconductor?pageNo=127", "National Semiconductor")</f>
        <v>National Semiconductor</v>
      </c>
      <c r="C3344" s="6">
        <v>29</v>
      </c>
      <c r="D3344" s="7">
        <v>4.09</v>
      </c>
      <c r="E3344" t="s">
        <v>39</v>
      </c>
    </row>
    <row r="3345" spans="1:5" x14ac:dyDescent="0.25">
      <c r="A3345" t="str">
        <f>HYPERLINK("https://www.773grp.com/globalSearch/ADC104S021CIMM-NOPB/page-1", "ADC104S021CIMM-NOPB")</f>
        <v>ADC104S021CIMM-NOPB</v>
      </c>
      <c r="B3345" s="3" t="str">
        <f>HYPERLINK("https://www.773grp.com/manufacturer/national-semiconductor?pageNo=128", "National Semiconductor")</f>
        <v>National Semiconductor</v>
      </c>
      <c r="C3345" s="6">
        <v>3000</v>
      </c>
      <c r="D3345" s="7">
        <v>4.09</v>
      </c>
      <c r="E3345" t="s">
        <v>39</v>
      </c>
    </row>
    <row r="3346" spans="1:5" x14ac:dyDescent="0.25">
      <c r="A3346" t="str">
        <f>HYPERLINK("https://www.773grp.com/globalSearch/ADC1173CIMTCX-NOPB/page-1", "ADC1173CIMTCX-NOPB")</f>
        <v>ADC1173CIMTCX-NOPB</v>
      </c>
      <c r="B3346" s="3" t="str">
        <f>HYPERLINK("https://www.773grp.com/manufacturer/national-semiconductor?pageNo=129", "National Semiconductor")</f>
        <v>National Semiconductor</v>
      </c>
      <c r="C3346" s="6">
        <v>1000</v>
      </c>
      <c r="D3346" s="7">
        <v>4.09</v>
      </c>
    </row>
    <row r="3347" spans="1:5" x14ac:dyDescent="0.25">
      <c r="A3347" t="str">
        <f>HYPERLINK("https://www.773grp.com/globalSearch/ADC121S051CIMF/page-1", "ADC121S051CIMF")</f>
        <v>ADC121S051CIMF</v>
      </c>
      <c r="B3347" s="3" t="str">
        <f>HYPERLINK("https://www.773grp.com/manufacturer/national-semiconductor?pageNo=130", "National Semiconductor")</f>
        <v>National Semiconductor</v>
      </c>
      <c r="C3347" s="6">
        <v>6000</v>
      </c>
      <c r="D3347" s="7">
        <v>4.09</v>
      </c>
      <c r="E3347" t="s">
        <v>39</v>
      </c>
    </row>
    <row r="3348" spans="1:5" x14ac:dyDescent="0.25">
      <c r="A3348" t="str">
        <f>HYPERLINK("https://www.773grp.com/globalSearch/ADC121S051CIMF-NOPB/page-1", "ADC121S051CIMF-NOPB")</f>
        <v>ADC121S051CIMF-NOPB</v>
      </c>
      <c r="B3348" s="3" t="str">
        <f>HYPERLINK("https://www.773grp.com/manufacturer/national-semiconductor?pageNo=131", "National Semiconductor")</f>
        <v>National Semiconductor</v>
      </c>
      <c r="C3348" s="6">
        <v>1847</v>
      </c>
      <c r="D3348" s="7">
        <v>4.09</v>
      </c>
    </row>
    <row r="3349" spans="1:5" x14ac:dyDescent="0.25">
      <c r="A3349" t="str">
        <f>HYPERLINK("https://www.773grp.com/globalSearch/ADC121S051CISD-NOPB/page-1", "ADC121S051CISD-NOPB")</f>
        <v>ADC121S051CISD-NOPB</v>
      </c>
      <c r="B3349" s="3" t="str">
        <f>HYPERLINK("https://www.773grp.com/manufacturer/national-semiconductor?pageNo=132", "National Semiconductor")</f>
        <v>National Semiconductor</v>
      </c>
      <c r="C3349" s="6">
        <v>1254</v>
      </c>
      <c r="D3349" s="7">
        <v>4.09</v>
      </c>
    </row>
    <row r="3350" spans="1:5" x14ac:dyDescent="0.25">
      <c r="A3350" t="str">
        <f>HYPERLINK("https://www.773grp.com/globalSearch/ADC122S021CIMM-NOPB/page-1", "ADC122S021CIMM-NOPB")</f>
        <v>ADC122S021CIMM-NOPB</v>
      </c>
      <c r="B3350" s="3" t="str">
        <f>HYPERLINK("https://www.773grp.com/manufacturer/national-semiconductor?pageNo=133", "National Semiconductor")</f>
        <v>National Semiconductor</v>
      </c>
      <c r="C3350" s="6">
        <v>2300</v>
      </c>
      <c r="D3350" s="7">
        <v>4.09</v>
      </c>
      <c r="E3350" t="s">
        <v>39</v>
      </c>
    </row>
    <row r="3351" spans="1:5" x14ac:dyDescent="0.25">
      <c r="A3351" t="str">
        <f>HYPERLINK("https://www.773grp.com/globalSearch/DAC0807LCN/page-1", "DAC0807LCN")</f>
        <v>DAC0807LCN</v>
      </c>
      <c r="B3351" s="3" t="str">
        <f>HYPERLINK("https://www.773grp.com/manufacturer/national-semiconductor?pageNo=134", "National Semiconductor")</f>
        <v>National Semiconductor</v>
      </c>
      <c r="C3351" s="6">
        <v>4515</v>
      </c>
      <c r="D3351" s="7">
        <v>4.09</v>
      </c>
      <c r="E3351" t="s">
        <v>33</v>
      </c>
    </row>
    <row r="3352" spans="1:5" x14ac:dyDescent="0.25">
      <c r="A3352" t="str">
        <f>HYPERLINK("https://www.773grp.com/globalSearch/DS3658N-NOPB/page-1", "DS3658N-NOPB")</f>
        <v>DS3658N-NOPB</v>
      </c>
      <c r="B3352" s="3" t="str">
        <f>HYPERLINK("https://www.773grp.com/manufacturer/national-semiconductor?pageNo=1", "National Semiconductor")</f>
        <v>National Semiconductor</v>
      </c>
      <c r="C3352" s="6">
        <v>2075</v>
      </c>
      <c r="D3352" s="7">
        <v>4.09</v>
      </c>
      <c r="E3352" t="s">
        <v>11</v>
      </c>
    </row>
    <row r="3353" spans="1:5" x14ac:dyDescent="0.25">
      <c r="A3353" t="str">
        <f>HYPERLINK("https://www.773grp.com/globalSearch/DS75113N/page-1", "DS75113N")</f>
        <v>DS75113N</v>
      </c>
      <c r="B3353" s="3" t="str">
        <f>HYPERLINK("https://www.773grp.com/manufacturer/national-semiconductor?pageNo=2", "National Semiconductor")</f>
        <v>National Semiconductor</v>
      </c>
      <c r="C3353" s="6">
        <v>1326</v>
      </c>
      <c r="D3353" s="7">
        <v>4.09</v>
      </c>
      <c r="E3353" t="s">
        <v>21</v>
      </c>
    </row>
    <row r="3354" spans="1:5" x14ac:dyDescent="0.25">
      <c r="A3354" t="str">
        <f>HYPERLINK("https://www.773grp.com/globalSearch/DS91D180TMAX-NOPB/page-1", "DS91D180TMAX-NOPB")</f>
        <v>DS91D180TMAX-NOPB</v>
      </c>
      <c r="B3354" s="3" t="str">
        <f>HYPERLINK("https://www.773grp.com/manufacturer/national-semiconductor?pageNo=3", "National Semiconductor")</f>
        <v>National Semiconductor</v>
      </c>
      <c r="C3354" s="6">
        <v>2500</v>
      </c>
      <c r="D3354" s="7">
        <v>4.09</v>
      </c>
    </row>
    <row r="3355" spans="1:5" x14ac:dyDescent="0.25">
      <c r="A3355" t="str">
        <f>HYPERLINK("https://www.773grp.com/globalSearch/HL121098.06/page-1", "HL121098.06")</f>
        <v>HL121098.06</v>
      </c>
      <c r="B3355" s="3" t="str">
        <f>HYPERLINK("https://www.773grp.com/manufacturer/national-semiconductor?pageNo=4", "National Semiconductor")</f>
        <v>National Semiconductor</v>
      </c>
      <c r="C3355" s="6">
        <v>402</v>
      </c>
      <c r="D3355" s="7">
        <v>4.09</v>
      </c>
    </row>
    <row r="3356" spans="1:5" x14ac:dyDescent="0.25">
      <c r="A3356" t="str">
        <f>HYPERLINK("https://www.773grp.com/globalSearch/LM13700AN/page-1", "LM13700AN")</f>
        <v>LM13700AN</v>
      </c>
      <c r="B3356" s="3" t="str">
        <f>HYPERLINK("https://www.773grp.com/manufacturer/national-semiconductor?pageNo=5", "National Semiconductor")</f>
        <v>National Semiconductor</v>
      </c>
      <c r="C3356" s="6">
        <v>323</v>
      </c>
      <c r="D3356" s="7">
        <v>4.09</v>
      </c>
      <c r="E3356" t="s">
        <v>13</v>
      </c>
    </row>
    <row r="3357" spans="1:5" x14ac:dyDescent="0.25">
      <c r="A3357" t="str">
        <f>HYPERLINK("https://www.773grp.com/globalSearch/LM2574HVM-3.3/page-1", "LM2574HVM-3.3")</f>
        <v>LM2574HVM-3.3</v>
      </c>
      <c r="B3357" s="3" t="str">
        <f>HYPERLINK("https://www.773grp.com/manufacturer/national-semiconductor?pageNo=6", "National Semiconductor")</f>
        <v>National Semiconductor</v>
      </c>
      <c r="C3357" s="6">
        <v>265</v>
      </c>
      <c r="D3357" s="7">
        <v>4.09</v>
      </c>
      <c r="E3357" t="s">
        <v>7</v>
      </c>
    </row>
    <row r="3358" spans="1:5" x14ac:dyDescent="0.25">
      <c r="A3358" t="str">
        <f>HYPERLINK("https://www.773grp.com/globalSearch/LM2574HVMX-12-NOPB/page-1", "LM2574HVMX-12-NOPB")</f>
        <v>LM2574HVMX-12-NOPB</v>
      </c>
      <c r="B3358" s="3" t="str">
        <f>HYPERLINK("https://www.773grp.com/manufacturer/national-semiconductor?pageNo=7", "National Semiconductor")</f>
        <v>National Semiconductor</v>
      </c>
      <c r="C3358" s="6">
        <v>39000</v>
      </c>
      <c r="D3358" s="7">
        <v>4.09</v>
      </c>
      <c r="E3358" t="s">
        <v>7</v>
      </c>
    </row>
    <row r="3359" spans="1:5" x14ac:dyDescent="0.25">
      <c r="A3359" t="str">
        <f>HYPERLINK("https://www.773grp.com/globalSearch/LM2574HVMX-15-NOPB/page-1", "LM2574HVMX-15-NOPB")</f>
        <v>LM2574HVMX-15-NOPB</v>
      </c>
      <c r="B3359" s="3" t="str">
        <f>HYPERLINK("https://www.773grp.com/manufacturer/national-semiconductor?pageNo=8", "National Semiconductor")</f>
        <v>National Semiconductor</v>
      </c>
      <c r="C3359" s="6">
        <v>2000</v>
      </c>
      <c r="D3359" s="7">
        <v>4.09</v>
      </c>
      <c r="E3359" t="s">
        <v>7</v>
      </c>
    </row>
    <row r="3360" spans="1:5" x14ac:dyDescent="0.25">
      <c r="A3360" t="str">
        <f>HYPERLINK("https://www.773grp.com/globalSearch/LM2574HVMX-ADJ-NOPB/page-1", "LM2574HVMX-ADJ-NOPB")</f>
        <v>LM2574HVMX-ADJ-NOPB</v>
      </c>
      <c r="B3360" s="3" t="str">
        <f>HYPERLINK("https://www.773grp.com/manufacturer/national-semiconductor?pageNo=9", "National Semiconductor")</f>
        <v>National Semiconductor</v>
      </c>
      <c r="C3360" s="6">
        <v>6589</v>
      </c>
      <c r="D3360" s="7">
        <v>4.09</v>
      </c>
      <c r="E3360" t="s">
        <v>7</v>
      </c>
    </row>
    <row r="3361" spans="1:5" x14ac:dyDescent="0.25">
      <c r="A3361" t="str">
        <f>HYPERLINK("https://www.773grp.com/globalSearch/LM2735XQMF-NOPB/page-1", "LM2735XQMF-NOPB")</f>
        <v>LM2735XQMF-NOPB</v>
      </c>
      <c r="B3361" s="3" t="str">
        <f>HYPERLINK("https://www.773grp.com/manufacturer/national-semiconductor?pageNo=10", "National Semiconductor")</f>
        <v>National Semiconductor</v>
      </c>
      <c r="C3361" s="6">
        <v>1000</v>
      </c>
      <c r="D3361" s="7">
        <v>4.09</v>
      </c>
    </row>
    <row r="3362" spans="1:5" x14ac:dyDescent="0.25">
      <c r="A3362" t="str">
        <f>HYPERLINK("https://www.773grp.com/globalSearch/LM2735YQMF-NOPB/page-1", "LM2735YQMF-NOPB")</f>
        <v>LM2735YQMF-NOPB</v>
      </c>
      <c r="B3362" s="3" t="str">
        <f>HYPERLINK("https://www.773grp.com/manufacturer/national-semiconductor?pageNo=11", "National Semiconductor")</f>
        <v>National Semiconductor</v>
      </c>
      <c r="C3362" s="6">
        <v>846</v>
      </c>
      <c r="D3362" s="7">
        <v>4.09</v>
      </c>
    </row>
    <row r="3363" spans="1:5" x14ac:dyDescent="0.25">
      <c r="A3363" t="str">
        <f>HYPERLINK("https://www.773grp.com/globalSearch/LM3411AN-3.3/page-1", "LM3411AN-3.3")</f>
        <v>LM3411AN-3.3</v>
      </c>
      <c r="B3363" s="3" t="str">
        <f>HYPERLINK("https://www.773grp.com/manufacturer/national-semiconductor?pageNo=12", "National Semiconductor")</f>
        <v>National Semiconductor</v>
      </c>
      <c r="C3363" s="6">
        <v>3141</v>
      </c>
      <c r="D3363" s="7">
        <v>4.09</v>
      </c>
      <c r="E3363" t="s">
        <v>17</v>
      </c>
    </row>
    <row r="3364" spans="1:5" x14ac:dyDescent="0.25">
      <c r="A3364" t="str">
        <f>HYPERLINK("https://www.773grp.com/globalSearch/LM5002SDX-NOPB/page-1", "LM5002SDX-NOPB")</f>
        <v>LM5002SDX-NOPB</v>
      </c>
      <c r="B3364" s="3" t="str">
        <f>HYPERLINK("https://www.773grp.com/manufacturer/national-semiconductor?pageNo=13", "National Semiconductor")</f>
        <v>National Semiconductor</v>
      </c>
      <c r="C3364" s="6">
        <v>4500</v>
      </c>
      <c r="D3364" s="7">
        <v>4.09</v>
      </c>
      <c r="E3364" t="s">
        <v>7</v>
      </c>
    </row>
    <row r="3365" spans="1:5" x14ac:dyDescent="0.25">
      <c r="A3365" t="str">
        <f>HYPERLINK("https://www.773grp.com/globalSearch/LM5034MTCX-NOPB/page-1", "LM5034MTCX-NOPB")</f>
        <v>LM5034MTCX-NOPB</v>
      </c>
      <c r="B3365" s="3" t="str">
        <f>HYPERLINK("https://www.773grp.com/manufacturer/national-semiconductor?pageNo=14", "National Semiconductor")</f>
        <v>National Semiconductor</v>
      </c>
      <c r="C3365" s="6">
        <v>7500</v>
      </c>
      <c r="D3365" s="7">
        <v>4.09</v>
      </c>
      <c r="E3365" t="s">
        <v>7</v>
      </c>
    </row>
    <row r="3366" spans="1:5" x14ac:dyDescent="0.25">
      <c r="A3366" t="str">
        <f>HYPERLINK("https://www.773grp.com/globalSearch/LM5115MTCX-NOPB/page-1", "LM5115MTCX-NOPB")</f>
        <v>LM5115MTCX-NOPB</v>
      </c>
      <c r="B3366" s="3" t="str">
        <f>HYPERLINK("https://www.773grp.com/manufacturer/national-semiconductor?pageNo=15", "National Semiconductor")</f>
        <v>National Semiconductor</v>
      </c>
      <c r="C3366" s="6">
        <v>55000</v>
      </c>
      <c r="D3366" s="7">
        <v>4.09</v>
      </c>
      <c r="E3366" t="s">
        <v>7</v>
      </c>
    </row>
    <row r="3367" spans="1:5" x14ac:dyDescent="0.25">
      <c r="A3367" t="str">
        <f>HYPERLINK("https://www.773grp.com/globalSearch/LM5115SD-NOPB/page-1", "LM5115SD-NOPB")</f>
        <v>LM5115SD-NOPB</v>
      </c>
      <c r="B3367" s="3" t="str">
        <f>HYPERLINK("https://www.773grp.com/manufacturer/national-semiconductor?pageNo=16", "National Semiconductor")</f>
        <v>National Semiconductor</v>
      </c>
      <c r="C3367" s="6">
        <v>2874</v>
      </c>
      <c r="D3367" s="7">
        <v>4.09</v>
      </c>
      <c r="E3367" t="s">
        <v>7</v>
      </c>
    </row>
    <row r="3368" spans="1:5" x14ac:dyDescent="0.25">
      <c r="A3368" t="str">
        <f>HYPERLINK("https://www.773grp.com/globalSearch/LMC6492AEM-NOPB/page-1", "LMC6492AEM-NOPB")</f>
        <v>LMC6492AEM-NOPB</v>
      </c>
      <c r="B3368" s="3" t="str">
        <f>HYPERLINK("https://www.773grp.com/manufacturer/national-semiconductor?pageNo=17", "National Semiconductor")</f>
        <v>National Semiconductor</v>
      </c>
      <c r="C3368" s="6">
        <v>1159</v>
      </c>
      <c r="D3368" s="7">
        <v>4.09</v>
      </c>
      <c r="E3368" t="s">
        <v>13</v>
      </c>
    </row>
    <row r="3369" spans="1:5" x14ac:dyDescent="0.25">
      <c r="A3369" t="str">
        <f>HYPERLINK("https://www.773grp.com/globalSearch/LMH6702MF-NOPB/page-1", "LMH6702MF-NOPB")</f>
        <v>LMH6702MF-NOPB</v>
      </c>
      <c r="B3369" s="3" t="str">
        <f>HYPERLINK("https://www.773grp.com/manufacturer/national-semiconductor?pageNo=18", "National Semiconductor")</f>
        <v>National Semiconductor</v>
      </c>
      <c r="C3369" s="6">
        <v>20453</v>
      </c>
      <c r="D3369" s="7">
        <v>4.09</v>
      </c>
      <c r="E3369" t="s">
        <v>18</v>
      </c>
    </row>
    <row r="3370" spans="1:5" x14ac:dyDescent="0.25">
      <c r="A3370" t="str">
        <f>HYPERLINK("https://www.773grp.com/globalSearch/LMH6702MFX-NOPB/page-1", "LMH6702MFX-NOPB")</f>
        <v>LMH6702MFX-NOPB</v>
      </c>
      <c r="B3370" s="3" t="str">
        <f>HYPERLINK("https://www.773grp.com/manufacturer/national-semiconductor?pageNo=19", "National Semiconductor")</f>
        <v>National Semiconductor</v>
      </c>
      <c r="C3370" s="6">
        <v>69000</v>
      </c>
      <c r="D3370" s="7">
        <v>4.09</v>
      </c>
      <c r="E3370" t="s">
        <v>18</v>
      </c>
    </row>
    <row r="3371" spans="1:5" x14ac:dyDescent="0.25">
      <c r="A3371" t="str">
        <f>HYPERLINK("https://www.773grp.com/globalSearch/LMP7708MAX-NOPB/page-1", "LMP7708MAX-NOPB")</f>
        <v>LMP7708MAX-NOPB</v>
      </c>
      <c r="B3371" s="3" t="str">
        <f>HYPERLINK("https://www.773grp.com/manufacturer/national-semiconductor?pageNo=20", "National Semiconductor")</f>
        <v>National Semiconductor</v>
      </c>
      <c r="C3371" s="6">
        <v>35000</v>
      </c>
      <c r="D3371" s="7">
        <v>4.09</v>
      </c>
    </row>
    <row r="3372" spans="1:5" x14ac:dyDescent="0.25">
      <c r="A3372" t="str">
        <f>HYPERLINK("https://www.773grp.com/globalSearch/LMP7708MM-NOPB/page-1", "LMP7708MM-NOPB")</f>
        <v>LMP7708MM-NOPB</v>
      </c>
      <c r="B3372" s="3" t="str">
        <f>HYPERLINK("https://www.773grp.com/manufacturer/national-semiconductor?pageNo=21", "National Semiconductor")</f>
        <v>National Semiconductor</v>
      </c>
      <c r="C3372" s="6">
        <v>5124</v>
      </c>
      <c r="D3372" s="7">
        <v>4.09</v>
      </c>
    </row>
    <row r="3373" spans="1:5" x14ac:dyDescent="0.25">
      <c r="A3373" t="str">
        <f>HYPERLINK("https://www.773grp.com/globalSearch/LMP7708MME/page-1", "LMP7708MME")</f>
        <v>LMP7708MME</v>
      </c>
      <c r="B3373" s="3" t="str">
        <f>HYPERLINK("https://www.773grp.com/manufacturer/national-semiconductor?pageNo=22", "National Semiconductor")</f>
        <v>National Semiconductor</v>
      </c>
      <c r="C3373" s="6">
        <v>250</v>
      </c>
      <c r="D3373" s="7">
        <v>4.09</v>
      </c>
    </row>
    <row r="3374" spans="1:5" x14ac:dyDescent="0.25">
      <c r="A3374" t="str">
        <f>HYPERLINK("https://www.773grp.com/globalSearch/LP3892ES-1.5/page-1", "LP3892ES-1.5")</f>
        <v>LP3892ES-1.5</v>
      </c>
      <c r="B3374" s="3" t="str">
        <f>HYPERLINK("https://www.773grp.com/manufacturer/national-semiconductor?pageNo=23", "National Semiconductor")</f>
        <v>National Semiconductor</v>
      </c>
      <c r="C3374" s="6">
        <v>20</v>
      </c>
      <c r="D3374" s="7">
        <v>4.09</v>
      </c>
      <c r="E3374" t="s">
        <v>19</v>
      </c>
    </row>
    <row r="3375" spans="1:5" x14ac:dyDescent="0.25">
      <c r="A3375" t="str">
        <f>HYPERLINK("https://www.773grp.com/globalSearch/LP3892ESX-1.2-NOPB/page-1", "LP3892ESX-1.2-NOPB")</f>
        <v>LP3892ESX-1.2-NOPB</v>
      </c>
      <c r="B3375" s="3" t="str">
        <f>HYPERLINK("https://www.773grp.com/manufacturer/national-semiconductor?pageNo=24", "National Semiconductor")</f>
        <v>National Semiconductor</v>
      </c>
      <c r="C3375" s="6">
        <v>1000</v>
      </c>
      <c r="D3375" s="7">
        <v>4.09</v>
      </c>
      <c r="E3375" t="s">
        <v>19</v>
      </c>
    </row>
    <row r="3376" spans="1:5" x14ac:dyDescent="0.25">
      <c r="A3376" t="str">
        <f>HYPERLINK("https://www.773grp.com/globalSearch/LP3892ESX-1.5-NOPB/page-1", "LP3892ESX-1.5-NOPB")</f>
        <v>LP3892ESX-1.5-NOPB</v>
      </c>
      <c r="B3376" s="3" t="str">
        <f>HYPERLINK("https://www.773grp.com/manufacturer/national-semiconductor?pageNo=25", "National Semiconductor")</f>
        <v>National Semiconductor</v>
      </c>
      <c r="C3376" s="6">
        <v>4000</v>
      </c>
      <c r="D3376" s="7">
        <v>4.09</v>
      </c>
      <c r="E3376" t="s">
        <v>19</v>
      </c>
    </row>
    <row r="3377" spans="1:5" x14ac:dyDescent="0.25">
      <c r="A3377" t="str">
        <f>HYPERLINK("https://www.773grp.com/globalSearch/ADC104S021CIMM-NOPB/page-1", "ADC104S021CIMM-NOPB")</f>
        <v>ADC104S021CIMM-NOPB</v>
      </c>
      <c r="B3377" s="3" t="str">
        <f>HYPERLINK("https://www.773grp.com/manufacturer/national-semiconductor?pageNo=26", "National Semiconductor")</f>
        <v>National Semiconductor</v>
      </c>
      <c r="C3377" s="6">
        <v>59</v>
      </c>
      <c r="D3377" s="7">
        <v>4.09</v>
      </c>
      <c r="E3377" t="s">
        <v>39</v>
      </c>
    </row>
    <row r="3378" spans="1:5" x14ac:dyDescent="0.25">
      <c r="A3378" t="str">
        <f>HYPERLINK("https://www.773grp.com/globalSearch/ADC1173CIMTCX-NOPB/page-1", "ADC1173CIMTCX-NOPB")</f>
        <v>ADC1173CIMTCX-NOPB</v>
      </c>
      <c r="B3378" s="3" t="str">
        <f>HYPERLINK("https://www.773grp.com/manufacturer/national-semiconductor?pageNo=27", "National Semiconductor")</f>
        <v>National Semiconductor</v>
      </c>
      <c r="C3378" s="6">
        <v>10000</v>
      </c>
      <c r="D3378" s="7">
        <v>4.09</v>
      </c>
    </row>
    <row r="3379" spans="1:5" x14ac:dyDescent="0.25">
      <c r="A3379" t="str">
        <f>HYPERLINK("https://www.773grp.com/globalSearch/ADC121S051CIMF-NOPB/page-1", "ADC121S051CIMF-NOPB")</f>
        <v>ADC121S051CIMF-NOPB</v>
      </c>
      <c r="B3379" s="3" t="str">
        <f>HYPERLINK("https://www.773grp.com/manufacturer/national-semiconductor?pageNo=28", "National Semiconductor")</f>
        <v>National Semiconductor</v>
      </c>
      <c r="C3379" s="6">
        <v>856</v>
      </c>
      <c r="D3379" s="7">
        <v>4.09</v>
      </c>
    </row>
    <row r="3380" spans="1:5" x14ac:dyDescent="0.25">
      <c r="A3380" t="str">
        <f>HYPERLINK("https://www.773grp.com/globalSearch/ADC121S051CISD-NOPB/page-1", "ADC121S051CISD-NOPB")</f>
        <v>ADC121S051CISD-NOPB</v>
      </c>
      <c r="B3380" s="3" t="str">
        <f>HYPERLINK("https://www.773grp.com/manufacturer/national-semiconductor?pageNo=29", "National Semiconductor")</f>
        <v>National Semiconductor</v>
      </c>
      <c r="C3380" s="6">
        <v>22000</v>
      </c>
      <c r="D3380" s="7">
        <v>4.09</v>
      </c>
    </row>
    <row r="3381" spans="1:5" x14ac:dyDescent="0.25">
      <c r="A3381" t="str">
        <f>HYPERLINK("https://www.773grp.com/globalSearch/DS3658N-NOPB/page-1", "DS3658N-NOPB")</f>
        <v>DS3658N-NOPB</v>
      </c>
      <c r="B3381" s="3" t="str">
        <f>HYPERLINK("https://www.773grp.com/manufacturer/national-semiconductor?pageNo=30", "National Semiconductor")</f>
        <v>National Semiconductor</v>
      </c>
      <c r="C3381" s="6">
        <v>1650</v>
      </c>
      <c r="D3381" s="7">
        <v>4.09</v>
      </c>
      <c r="E3381" t="s">
        <v>11</v>
      </c>
    </row>
    <row r="3382" spans="1:5" x14ac:dyDescent="0.25">
      <c r="A3382" t="str">
        <f>HYPERLINK("https://www.773grp.com/globalSearch/LM22671QMRX-ADJ-NOPB/page-1", "LM22671QMRX-ADJ-NOPB")</f>
        <v>LM22671QMRX-ADJ-NOPB</v>
      </c>
      <c r="B3382" s="3" t="str">
        <f>HYPERLINK("https://www.773grp.com/manufacturer/national-semiconductor?pageNo=31", "National Semiconductor")</f>
        <v>National Semiconductor</v>
      </c>
      <c r="C3382" s="6">
        <v>2500</v>
      </c>
      <c r="D3382" s="7">
        <v>4.09</v>
      </c>
    </row>
    <row r="3383" spans="1:5" x14ac:dyDescent="0.25">
      <c r="A3383" t="str">
        <f>HYPERLINK("https://www.773grp.com/globalSearch/LM2574HVMX-12-NOPB/page-1", "LM2574HVMX-12-NOPB")</f>
        <v>LM2574HVMX-12-NOPB</v>
      </c>
      <c r="B3383" s="3" t="str">
        <f>HYPERLINK("https://www.773grp.com/manufacturer/national-semiconductor?pageNo=32", "National Semiconductor")</f>
        <v>National Semiconductor</v>
      </c>
      <c r="C3383" s="6">
        <v>2000</v>
      </c>
      <c r="D3383" s="7">
        <v>4.09</v>
      </c>
      <c r="E3383" t="s">
        <v>7</v>
      </c>
    </row>
    <row r="3384" spans="1:5" x14ac:dyDescent="0.25">
      <c r="A3384" t="str">
        <f>HYPERLINK("https://www.773grp.com/globalSearch/LM2574HVMX-5.0-NOPB/page-1", "LM2574HVMX-5.0-NOPB")</f>
        <v>LM2574HVMX-5.0-NOPB</v>
      </c>
      <c r="B3384" s="3" t="str">
        <f>HYPERLINK("https://www.773grp.com/manufacturer/national-semiconductor?pageNo=33", "National Semiconductor")</f>
        <v>National Semiconductor</v>
      </c>
      <c r="C3384" s="6">
        <v>1326</v>
      </c>
      <c r="D3384" s="7">
        <v>4.09</v>
      </c>
      <c r="E3384" t="s">
        <v>7</v>
      </c>
    </row>
    <row r="3385" spans="1:5" x14ac:dyDescent="0.25">
      <c r="A3385" t="str">
        <f>HYPERLINK("https://www.773grp.com/globalSearch/LM2735YQMF-NOPB/page-1", "LM2735YQMF-NOPB")</f>
        <v>LM2735YQMF-NOPB</v>
      </c>
      <c r="B3385" s="3" t="str">
        <f>HYPERLINK("https://www.773grp.com/manufacturer/national-semiconductor?pageNo=34", "National Semiconductor")</f>
        <v>National Semiconductor</v>
      </c>
      <c r="C3385" s="6">
        <v>739</v>
      </c>
      <c r="D3385" s="7">
        <v>4.09</v>
      </c>
    </row>
    <row r="3386" spans="1:5" x14ac:dyDescent="0.25">
      <c r="A3386" t="str">
        <f>HYPERLINK("https://www.773grp.com/globalSearch/LM2842XQMK-NOPB/page-1", "LM2842XQMK-NOPB")</f>
        <v>LM2842XQMK-NOPB</v>
      </c>
      <c r="B3386" s="3" t="str">
        <f>HYPERLINK("https://www.773grp.com/manufacturer/national-semiconductor?pageNo=35", "National Semiconductor")</f>
        <v>National Semiconductor</v>
      </c>
      <c r="C3386" s="6">
        <v>10000</v>
      </c>
      <c r="D3386" s="7">
        <v>4.09</v>
      </c>
    </row>
    <row r="3387" spans="1:5" x14ac:dyDescent="0.25">
      <c r="A3387" t="str">
        <f>HYPERLINK("https://www.773grp.com/globalSearch/LM5002MAX-NOPB/page-1", "LM5002MAX-NOPB")</f>
        <v>LM5002MAX-NOPB</v>
      </c>
      <c r="B3387" s="3" t="str">
        <f>HYPERLINK("https://www.773grp.com/manufacturer/national-semiconductor?pageNo=36", "National Semiconductor")</f>
        <v>National Semiconductor</v>
      </c>
      <c r="C3387" s="6">
        <v>2500</v>
      </c>
      <c r="D3387" s="7">
        <v>4.09</v>
      </c>
    </row>
    <row r="3388" spans="1:5" x14ac:dyDescent="0.25">
      <c r="A3388" t="str">
        <f>HYPERLINK("https://www.773grp.com/globalSearch/LM5002SD-NOPB/page-1", "LM5002SD-NOPB")</f>
        <v>LM5002SD-NOPB</v>
      </c>
      <c r="B3388" s="3" t="str">
        <f>HYPERLINK("https://www.773grp.com/manufacturer/national-semiconductor?pageNo=37", "National Semiconductor")</f>
        <v>National Semiconductor</v>
      </c>
      <c r="C3388" s="6">
        <v>5776</v>
      </c>
      <c r="D3388" s="7">
        <v>4.09</v>
      </c>
    </row>
    <row r="3389" spans="1:5" x14ac:dyDescent="0.25">
      <c r="A3389" t="str">
        <f>HYPERLINK("https://www.773grp.com/globalSearch/LM5115SD-NOPB/page-1", "LM5115SD-NOPB")</f>
        <v>LM5115SD-NOPB</v>
      </c>
      <c r="B3389" s="3" t="str">
        <f>HYPERLINK("https://www.773grp.com/manufacturer/national-semiconductor?pageNo=38", "National Semiconductor")</f>
        <v>National Semiconductor</v>
      </c>
      <c r="C3389" s="6">
        <v>3000</v>
      </c>
      <c r="D3389" s="7">
        <v>4.09</v>
      </c>
      <c r="E3389" t="s">
        <v>7</v>
      </c>
    </row>
    <row r="3390" spans="1:5" x14ac:dyDescent="0.25">
      <c r="A3390" t="str">
        <f>HYPERLINK("https://www.773grp.com/globalSearch/LMC6492AEM-NOPB/page-1", "LMC6492AEM-NOPB")</f>
        <v>LMC6492AEM-NOPB</v>
      </c>
      <c r="B3390" s="3" t="str">
        <f>HYPERLINK("https://www.773grp.com/manufacturer/national-semiconductor?pageNo=39", "National Semiconductor")</f>
        <v>National Semiconductor</v>
      </c>
      <c r="C3390" s="6">
        <v>250</v>
      </c>
      <c r="D3390" s="7">
        <v>4.09</v>
      </c>
      <c r="E3390" t="s">
        <v>13</v>
      </c>
    </row>
    <row r="3391" spans="1:5" x14ac:dyDescent="0.25">
      <c r="A3391" t="str">
        <f>HYPERLINK("https://www.773grp.com/globalSearch/LMH6702MAX-NOPB/page-1", "LMH6702MAX-NOPB")</f>
        <v>LMH6702MAX-NOPB</v>
      </c>
      <c r="B3391" s="3" t="str">
        <f>HYPERLINK("https://www.773grp.com/manufacturer/national-semiconductor?pageNo=40", "National Semiconductor")</f>
        <v>National Semiconductor</v>
      </c>
      <c r="C3391" s="6">
        <v>10000</v>
      </c>
      <c r="D3391" s="7">
        <v>4.09</v>
      </c>
    </row>
    <row r="3392" spans="1:5" x14ac:dyDescent="0.25">
      <c r="A3392" t="str">
        <f>HYPERLINK("https://www.773grp.com/globalSearch/LMH6702MFX-NOPB/page-1", "LMH6702MFX-NOPB")</f>
        <v>LMH6702MFX-NOPB</v>
      </c>
      <c r="B3392" s="3" t="str">
        <f>HYPERLINK("https://www.773grp.com/manufacturer/national-semiconductor?pageNo=41", "National Semiconductor")</f>
        <v>National Semiconductor</v>
      </c>
      <c r="C3392" s="6">
        <v>207000</v>
      </c>
      <c r="D3392" s="7">
        <v>4.09</v>
      </c>
      <c r="E3392" t="s">
        <v>18</v>
      </c>
    </row>
    <row r="3393" spans="1:5" x14ac:dyDescent="0.25">
      <c r="A3393" t="str">
        <f>HYPERLINK("https://www.773grp.com/globalSearch/LMP7708MAX-NOPB/page-1", "LMP7708MAX-NOPB")</f>
        <v>LMP7708MAX-NOPB</v>
      </c>
      <c r="B3393" s="3" t="str">
        <f>HYPERLINK("https://www.773grp.com/manufacturer/national-semiconductor?pageNo=42", "National Semiconductor")</f>
        <v>National Semiconductor</v>
      </c>
      <c r="C3393" s="6">
        <v>2500</v>
      </c>
      <c r="D3393" s="7">
        <v>4.09</v>
      </c>
    </row>
    <row r="3394" spans="1:5" x14ac:dyDescent="0.25">
      <c r="A3394" t="str">
        <f>HYPERLINK("https://www.773grp.com/globalSearch/LMP7708MM-NOPB/page-1", "LMP7708MM-NOPB")</f>
        <v>LMP7708MM-NOPB</v>
      </c>
      <c r="B3394" s="3" t="str">
        <f>HYPERLINK("https://www.773grp.com/manufacturer/national-semiconductor?pageNo=43", "National Semiconductor")</f>
        <v>National Semiconductor</v>
      </c>
      <c r="C3394" s="6">
        <v>2000</v>
      </c>
      <c r="D3394" s="7">
        <v>4.09</v>
      </c>
    </row>
    <row r="3395" spans="1:5" x14ac:dyDescent="0.25">
      <c r="A3395" t="str">
        <f>HYPERLINK("https://www.773grp.com/globalSearch/LP3892ESX-1.2-NOPB/page-1", "LP3892ESX-1.2-NOPB")</f>
        <v>LP3892ESX-1.2-NOPB</v>
      </c>
      <c r="B3395" s="3" t="str">
        <f>HYPERLINK("https://www.773grp.com/manufacturer/national-semiconductor?pageNo=44", "National Semiconductor")</f>
        <v>National Semiconductor</v>
      </c>
      <c r="C3395" s="6">
        <v>960</v>
      </c>
      <c r="D3395" s="7">
        <v>4.09</v>
      </c>
      <c r="E3395" t="s">
        <v>19</v>
      </c>
    </row>
    <row r="3396" spans="1:5" x14ac:dyDescent="0.25">
      <c r="A3396" t="str">
        <f>HYPERLINK("https://www.773grp.com/globalSearch/LP3892ESX-1.5-NOPB/page-1", "LP3892ESX-1.5-NOPB")</f>
        <v>LP3892ESX-1.5-NOPB</v>
      </c>
      <c r="B3396" s="3" t="str">
        <f>HYPERLINK("https://www.773grp.com/manufacturer/national-semiconductor?pageNo=45", "National Semiconductor")</f>
        <v>National Semiconductor</v>
      </c>
      <c r="C3396" s="6">
        <v>500</v>
      </c>
      <c r="D3396" s="7">
        <v>4.09</v>
      </c>
      <c r="E3396" t="s">
        <v>19</v>
      </c>
    </row>
    <row r="3397" spans="1:5" x14ac:dyDescent="0.25">
      <c r="A3397" t="str">
        <f>HYPERLINK("https://www.773grp.com/globalSearch/LP3962EMP-1.8/page-1", "LP3962EMP-1.8")</f>
        <v>LP3962EMP-1.8</v>
      </c>
      <c r="B3397" s="3" t="str">
        <f>HYPERLINK("https://www.773grp.com/manufacturer/national-semiconductor?pageNo=46", "National Semiconductor")</f>
        <v>National Semiconductor</v>
      </c>
      <c r="C3397" s="6">
        <v>5000</v>
      </c>
      <c r="D3397" s="7">
        <v>4.09</v>
      </c>
      <c r="E3397" t="s">
        <v>19</v>
      </c>
    </row>
    <row r="3398" spans="1:5" x14ac:dyDescent="0.25">
      <c r="A3398" t="str">
        <f>HYPERLINK("https://www.773grp.com/globalSearch/LP3962EMP-3.3/page-1", "LP3962EMP-3.3")</f>
        <v>LP3962EMP-3.3</v>
      </c>
      <c r="B3398" s="3" t="str">
        <f>HYPERLINK("https://www.773grp.com/manufacturer/national-semiconductor?pageNo=47", "National Semiconductor")</f>
        <v>National Semiconductor</v>
      </c>
      <c r="C3398" s="6">
        <v>2000</v>
      </c>
      <c r="D3398" s="7">
        <v>4.09</v>
      </c>
    </row>
    <row r="3399" spans="1:5" x14ac:dyDescent="0.25">
      <c r="A3399" t="str">
        <f>HYPERLINK("https://www.773grp.com/globalSearch/ONET4291VARGPT/page-1", "ONET4291VARGPT")</f>
        <v>ONET4291VARGPT</v>
      </c>
      <c r="B3399" s="3" t="str">
        <f>HYPERLINK("https://www.773grp.com/manufacturer/national-semiconductor?pageNo=48", "National Semiconductor")</f>
        <v>National Semiconductor</v>
      </c>
      <c r="C3399" s="6">
        <v>230</v>
      </c>
      <c r="D3399" s="7">
        <v>4.09</v>
      </c>
    </row>
    <row r="3400" spans="1:5" x14ac:dyDescent="0.25">
      <c r="A3400" t="str">
        <f>HYPERLINK("https://www.773grp.com/globalSearch/OPA37GU/page-1", "OPA37GU")</f>
        <v>OPA37GU</v>
      </c>
      <c r="B3400" s="3" t="str">
        <f>HYPERLINK("https://www.773grp.com/manufacturer/national-semiconductor?pageNo=49", "National Semiconductor")</f>
        <v>National Semiconductor</v>
      </c>
      <c r="C3400" s="6">
        <v>300</v>
      </c>
      <c r="D3400" s="7">
        <v>4.09</v>
      </c>
    </row>
    <row r="3401" spans="1:5" x14ac:dyDescent="0.25">
      <c r="A3401" t="str">
        <f>HYPERLINK("https://www.773grp.com/globalSearch/54LS00LM/page-1", "54LS00LM")</f>
        <v>54LS00LM</v>
      </c>
      <c r="B3401" s="3" t="str">
        <f>HYPERLINK("https://www.773grp.com/manufacturer/national-semiconductor?pageNo=50", "National Semiconductor")</f>
        <v>National Semiconductor</v>
      </c>
      <c r="C3401" s="6">
        <v>1922</v>
      </c>
      <c r="D3401" s="7">
        <v>4.54</v>
      </c>
    </row>
    <row r="3402" spans="1:5" x14ac:dyDescent="0.25">
      <c r="A3402" t="str">
        <f>HYPERLINK("https://www.773grp.com/globalSearch/54LS00LMQB/page-1", "54LS00LMQB")</f>
        <v>54LS00LMQB</v>
      </c>
      <c r="B3402" s="3" t="str">
        <f>HYPERLINK("https://www.773grp.com/manufacturer/national-semiconductor?pageNo=51", "National Semiconductor")</f>
        <v>National Semiconductor</v>
      </c>
      <c r="C3402" s="6">
        <v>1246</v>
      </c>
      <c r="D3402" s="7">
        <v>4.54</v>
      </c>
      <c r="E3402" t="s">
        <v>31</v>
      </c>
    </row>
    <row r="3403" spans="1:5" x14ac:dyDescent="0.25">
      <c r="A3403" t="str">
        <f>HYPERLINK("https://www.773grp.com/globalSearch/54LS136DM/page-1", "54LS136DM")</f>
        <v>54LS136DM</v>
      </c>
      <c r="B3403" s="3" t="str">
        <f>HYPERLINK("https://www.773grp.com/manufacturer/national-semiconductor?pageNo=52", "National Semiconductor")</f>
        <v>National Semiconductor</v>
      </c>
      <c r="C3403" s="6">
        <v>245</v>
      </c>
      <c r="D3403" s="7">
        <v>4.54</v>
      </c>
      <c r="E3403" t="s">
        <v>31</v>
      </c>
    </row>
    <row r="3404" spans="1:5" x14ac:dyDescent="0.25">
      <c r="A3404" t="str">
        <f>HYPERLINK("https://www.773grp.com/globalSearch/54LS136DMQB/page-1", "54LS136DMQB")</f>
        <v>54LS136DMQB</v>
      </c>
      <c r="B3404" s="3" t="str">
        <f>HYPERLINK("https://www.773grp.com/manufacturer/national-semiconductor?pageNo=53", "National Semiconductor")</f>
        <v>National Semiconductor</v>
      </c>
      <c r="C3404" s="6">
        <v>4801</v>
      </c>
      <c r="D3404" s="7">
        <v>4.54</v>
      </c>
      <c r="E3404" t="s">
        <v>31</v>
      </c>
    </row>
    <row r="3405" spans="1:5" x14ac:dyDescent="0.25">
      <c r="A3405" t="str">
        <f>HYPERLINK("https://www.773grp.com/globalSearch/DM8680N/page-1", "DM8680N")</f>
        <v>DM8680N</v>
      </c>
      <c r="B3405" s="3" t="str">
        <f>HYPERLINK("https://www.773grp.com/manufacturer/national-semiconductor?pageNo=54", "National Semiconductor")</f>
        <v>National Semiconductor</v>
      </c>
      <c r="C3405" s="6">
        <v>389</v>
      </c>
      <c r="D3405" s="7">
        <v>4.54</v>
      </c>
    </row>
    <row r="3406" spans="1:5" x14ac:dyDescent="0.25">
      <c r="A3406" t="str">
        <f>HYPERLINK("https://www.773grp.com/globalSearch/DS36276MX-NOPB/page-1", "DS36276MX-NOPB")</f>
        <v>DS36276MX-NOPB</v>
      </c>
      <c r="B3406" s="3" t="str">
        <f>HYPERLINK("https://www.773grp.com/manufacturer/national-semiconductor?pageNo=55", "National Semiconductor")</f>
        <v>National Semiconductor</v>
      </c>
      <c r="C3406" s="6">
        <v>10000</v>
      </c>
      <c r="D3406" s="7">
        <v>4.54</v>
      </c>
      <c r="E3406" t="s">
        <v>21</v>
      </c>
    </row>
    <row r="3407" spans="1:5" x14ac:dyDescent="0.25">
      <c r="A3407" t="str">
        <f>HYPERLINK("https://www.773grp.com/globalSearch/DS90LV027ATM-NOPB/page-1", "DS90LV027ATM-NOPB")</f>
        <v>DS90LV027ATM-NOPB</v>
      </c>
      <c r="B3407" s="3" t="str">
        <f>HYPERLINK("https://www.773grp.com/manufacturer/national-semiconductor?pageNo=56", "National Semiconductor")</f>
        <v>National Semiconductor</v>
      </c>
      <c r="C3407" s="6">
        <v>2242</v>
      </c>
      <c r="D3407" s="7">
        <v>4.54</v>
      </c>
      <c r="E3407" t="s">
        <v>21</v>
      </c>
    </row>
    <row r="3408" spans="1:5" x14ac:dyDescent="0.25">
      <c r="A3408" t="str">
        <f>HYPERLINK("https://www.773grp.com/globalSearch/LM25085AMME-NOPB/page-1", "LM25085AMME-NOPB")</f>
        <v>LM25085AMME-NOPB</v>
      </c>
      <c r="B3408" s="3" t="str">
        <f>HYPERLINK("https://www.773grp.com/manufacturer/national-semiconductor?pageNo=57", "National Semiconductor")</f>
        <v>National Semiconductor</v>
      </c>
      <c r="C3408" s="6">
        <v>250</v>
      </c>
      <c r="D3408" s="7">
        <v>4.54</v>
      </c>
    </row>
    <row r="3409" spans="1:5" x14ac:dyDescent="0.25">
      <c r="A3409" t="str">
        <f>HYPERLINK("https://www.773grp.com/globalSearch/LM25085AMYE-NOPB/page-1", "LM25085AMYE-NOPB")</f>
        <v>LM25085AMYE-NOPB</v>
      </c>
      <c r="B3409" s="3" t="str">
        <f>HYPERLINK("https://www.773grp.com/manufacturer/national-semiconductor?pageNo=58", "National Semiconductor")</f>
        <v>National Semiconductor</v>
      </c>
      <c r="C3409" s="6">
        <v>250</v>
      </c>
      <c r="D3409" s="7">
        <v>4.54</v>
      </c>
    </row>
    <row r="3410" spans="1:5" x14ac:dyDescent="0.25">
      <c r="A3410" t="str">
        <f>HYPERLINK("https://www.773grp.com/globalSearch/LM2704MFX-ADJ-NOPB/page-1", "LM2704MFX-ADJ-NOPB")</f>
        <v>LM2704MFX-ADJ-NOPB</v>
      </c>
      <c r="B3410" s="3" t="str">
        <f>HYPERLINK("https://www.773grp.com/manufacturer/national-semiconductor?pageNo=59", "National Semiconductor")</f>
        <v>National Semiconductor</v>
      </c>
      <c r="C3410" s="6">
        <v>3000</v>
      </c>
      <c r="D3410" s="7">
        <v>4.54</v>
      </c>
      <c r="E3410" t="s">
        <v>7</v>
      </c>
    </row>
    <row r="3411" spans="1:5" x14ac:dyDescent="0.25">
      <c r="A3411" t="str">
        <f>HYPERLINK("https://www.773grp.com/globalSearch/LM2787TP/page-1", "LM2787TP")</f>
        <v>LM2787TP</v>
      </c>
      <c r="B3411" s="3" t="str">
        <f>HYPERLINK("https://www.773grp.com/manufacturer/national-semiconductor?pageNo=60", "National Semiconductor")</f>
        <v>National Semiconductor</v>
      </c>
      <c r="C3411" s="6">
        <v>82</v>
      </c>
      <c r="D3411" s="7">
        <v>4.54</v>
      </c>
      <c r="E3411" t="s">
        <v>7</v>
      </c>
    </row>
    <row r="3412" spans="1:5" x14ac:dyDescent="0.25">
      <c r="A3412" t="str">
        <f>HYPERLINK("https://www.773grp.com/globalSearch/LM2787TP-NOPB/page-1", "LM2787TP-NOPB")</f>
        <v>LM2787TP-NOPB</v>
      </c>
      <c r="B3412" s="3" t="str">
        <f>HYPERLINK("https://www.773grp.com/manufacturer/national-semiconductor?pageNo=61", "National Semiconductor")</f>
        <v>National Semiconductor</v>
      </c>
      <c r="C3412" s="6">
        <v>3000</v>
      </c>
      <c r="D3412" s="7">
        <v>4.54</v>
      </c>
      <c r="E3412" t="s">
        <v>7</v>
      </c>
    </row>
    <row r="3413" spans="1:5" x14ac:dyDescent="0.25">
      <c r="A3413" t="str">
        <f>HYPERLINK("https://www.773grp.com/globalSearch/LM2787TPX/page-1", "LM2787TPX")</f>
        <v>LM2787TPX</v>
      </c>
      <c r="B3413" s="3" t="str">
        <f>HYPERLINK("https://www.773grp.com/manufacturer/national-semiconductor?pageNo=62", "National Semiconductor")</f>
        <v>National Semiconductor</v>
      </c>
      <c r="C3413" s="6">
        <v>3000</v>
      </c>
      <c r="D3413" s="7">
        <v>4.54</v>
      </c>
      <c r="E3413" t="s">
        <v>7</v>
      </c>
    </row>
    <row r="3414" spans="1:5" x14ac:dyDescent="0.25">
      <c r="A3414" t="str">
        <f>HYPERLINK("https://www.773grp.com/globalSearch/LM3420AM5-8.2/page-1", "LM3420AM5-8.2")</f>
        <v>LM3420AM5-8.2</v>
      </c>
      <c r="B3414" s="3" t="str">
        <f>HYPERLINK("https://www.773grp.com/manufacturer/national-semiconductor?pageNo=63", "National Semiconductor")</f>
        <v>National Semiconductor</v>
      </c>
      <c r="C3414" s="6">
        <v>58000</v>
      </c>
      <c r="D3414" s="7">
        <v>4.54</v>
      </c>
      <c r="E3414" t="s">
        <v>30</v>
      </c>
    </row>
    <row r="3415" spans="1:5" x14ac:dyDescent="0.25">
      <c r="A3415" t="str">
        <f>HYPERLINK("https://www.773grp.com/globalSearch/LM3679UR-1.8/page-1", "LM3679UR-1.8")</f>
        <v>LM3679UR-1.8</v>
      </c>
      <c r="B3415" s="3" t="str">
        <f>HYPERLINK("https://www.773grp.com/manufacturer/national-semiconductor?pageNo=64", "National Semiconductor")</f>
        <v>National Semiconductor</v>
      </c>
      <c r="C3415" s="6">
        <v>250</v>
      </c>
      <c r="D3415" s="7">
        <v>4.54</v>
      </c>
      <c r="E3415" t="s">
        <v>7</v>
      </c>
    </row>
    <row r="3416" spans="1:5" x14ac:dyDescent="0.25">
      <c r="A3416" t="str">
        <f>HYPERLINK("https://www.773grp.com/globalSearch/LM384N/page-1", "LM384N")</f>
        <v>LM384N</v>
      </c>
      <c r="B3416" s="3" t="str">
        <f>HYPERLINK("https://www.773grp.com/manufacturer/national-semiconductor?pageNo=65", "National Semiconductor")</f>
        <v>National Semiconductor</v>
      </c>
      <c r="C3416" s="6">
        <v>1169</v>
      </c>
      <c r="D3416" s="7">
        <v>4.54</v>
      </c>
      <c r="E3416" t="s">
        <v>18</v>
      </c>
    </row>
    <row r="3417" spans="1:5" x14ac:dyDescent="0.25">
      <c r="A3417" t="str">
        <f>HYPERLINK("https://www.773grp.com/globalSearch/LM4040AIM-10.0/page-1", "LM4040AIM-10.0")</f>
        <v>LM4040AIM-10.0</v>
      </c>
      <c r="B3417" s="3" t="str">
        <f>HYPERLINK("https://www.773grp.com/manufacturer/national-semiconductor?pageNo=66", "National Semiconductor")</f>
        <v>National Semiconductor</v>
      </c>
      <c r="C3417" s="6">
        <v>13</v>
      </c>
      <c r="D3417" s="7">
        <v>4.54</v>
      </c>
      <c r="E3417" t="s">
        <v>17</v>
      </c>
    </row>
    <row r="3418" spans="1:5" x14ac:dyDescent="0.25">
      <c r="A3418" t="str">
        <f>HYPERLINK("https://www.773grp.com/globalSearch/LM4040AIM-8.2/page-1", "LM4040AIM-8.2")</f>
        <v>LM4040AIM-8.2</v>
      </c>
      <c r="B3418" s="3" t="str">
        <f>HYPERLINK("https://www.773grp.com/manufacturer/national-semiconductor?pageNo=67", "National Semiconductor")</f>
        <v>National Semiconductor</v>
      </c>
      <c r="C3418" s="6">
        <v>70</v>
      </c>
      <c r="D3418" s="7">
        <v>4.54</v>
      </c>
      <c r="E3418" t="s">
        <v>17</v>
      </c>
    </row>
    <row r="3419" spans="1:5" x14ac:dyDescent="0.25">
      <c r="A3419" t="str">
        <f>HYPERLINK("https://www.773grp.com/globalSearch/LM4040AIMX-10.0/page-1", "LM4040AIMX-10.0")</f>
        <v>LM4040AIMX-10.0</v>
      </c>
      <c r="B3419" s="3" t="str">
        <f>HYPERLINK("https://www.773grp.com/manufacturer/national-semiconductor?pageNo=68", "National Semiconductor")</f>
        <v>National Semiconductor</v>
      </c>
      <c r="C3419" s="6">
        <v>72017</v>
      </c>
      <c r="D3419" s="7">
        <v>4.54</v>
      </c>
      <c r="E3419" t="s">
        <v>17</v>
      </c>
    </row>
    <row r="3420" spans="1:5" x14ac:dyDescent="0.25">
      <c r="A3420" t="str">
        <f>HYPERLINK("https://www.773grp.com/globalSearch/LM4040AIMX-4.1/page-1", "LM4040AIMX-4.1")</f>
        <v>LM4040AIMX-4.1</v>
      </c>
      <c r="B3420" s="3" t="str">
        <f>HYPERLINK("https://www.773grp.com/manufacturer/national-semiconductor?pageNo=69", "National Semiconductor")</f>
        <v>National Semiconductor</v>
      </c>
      <c r="C3420" s="6">
        <v>1045</v>
      </c>
      <c r="D3420" s="7">
        <v>4.54</v>
      </c>
      <c r="E3420" t="s">
        <v>17</v>
      </c>
    </row>
    <row r="3421" spans="1:5" x14ac:dyDescent="0.25">
      <c r="A3421" t="str">
        <f>HYPERLINK("https://www.773grp.com/globalSearch/LM5020SD-2/page-1", "LM5020SD-2")</f>
        <v>LM5020SD-2</v>
      </c>
      <c r="B3421" s="3" t="str">
        <f>HYPERLINK("https://www.773grp.com/manufacturer/national-semiconductor?pageNo=70", "National Semiconductor")</f>
        <v>National Semiconductor</v>
      </c>
      <c r="C3421" s="6">
        <v>795</v>
      </c>
      <c r="D3421" s="7">
        <v>4.54</v>
      </c>
      <c r="E3421" t="s">
        <v>7</v>
      </c>
    </row>
    <row r="3422" spans="1:5" x14ac:dyDescent="0.25">
      <c r="A3422" t="str">
        <f>HYPERLINK("https://www.773grp.com/globalSearch/LM71QCIMF-NOPB/page-1", "LM71QCIMF-NOPB")</f>
        <v>LM71QCIMF-NOPB</v>
      </c>
      <c r="B3422" s="3" t="str">
        <f>HYPERLINK("https://www.773grp.com/manufacturer/national-semiconductor?pageNo=71", "National Semiconductor")</f>
        <v>National Semiconductor</v>
      </c>
      <c r="C3422" s="6">
        <v>1899</v>
      </c>
      <c r="D3422" s="7">
        <v>4.54</v>
      </c>
    </row>
    <row r="3423" spans="1:5" x14ac:dyDescent="0.25">
      <c r="A3423" t="str">
        <f>HYPERLINK("https://www.773grp.com/globalSearch/LM77CIM-5/page-1", "LM77CIM-5")</f>
        <v>LM77CIM-5</v>
      </c>
      <c r="B3423" s="3" t="str">
        <f>HYPERLINK("https://www.773grp.com/manufacturer/national-semiconductor?pageNo=72", "National Semiconductor")</f>
        <v>National Semiconductor</v>
      </c>
      <c r="C3423" s="6">
        <v>280</v>
      </c>
      <c r="D3423" s="7">
        <v>4.54</v>
      </c>
      <c r="E3423" t="s">
        <v>12</v>
      </c>
    </row>
    <row r="3424" spans="1:5" x14ac:dyDescent="0.25">
      <c r="A3424" t="str">
        <f>HYPERLINK("https://www.773grp.com/globalSearch/LMV794MM/page-1", "LMV794MM")</f>
        <v>LMV794MM</v>
      </c>
      <c r="B3424" s="3" t="str">
        <f>HYPERLINK("https://www.773grp.com/manufacturer/national-semiconductor?pageNo=73", "National Semiconductor")</f>
        <v>National Semiconductor</v>
      </c>
      <c r="C3424" s="6">
        <v>2000</v>
      </c>
      <c r="D3424" s="7">
        <v>4.54</v>
      </c>
      <c r="E3424" t="s">
        <v>13</v>
      </c>
    </row>
    <row r="3425" spans="1:5" x14ac:dyDescent="0.25">
      <c r="A3425" t="str">
        <f>HYPERLINK("https://www.773grp.com/globalSearch/LP2988AIMM-3.0-NOPB/page-1", "LP2988AIMM-3.0-NOPB")</f>
        <v>LP2988AIMM-3.0-NOPB</v>
      </c>
      <c r="B3425" s="3" t="str">
        <f>HYPERLINK("https://www.773grp.com/manufacturer/national-semiconductor?pageNo=74", "National Semiconductor")</f>
        <v>National Semiconductor</v>
      </c>
      <c r="C3425" s="6">
        <v>600</v>
      </c>
      <c r="D3425" s="7">
        <v>4.54</v>
      </c>
      <c r="E3425" t="s">
        <v>19</v>
      </c>
    </row>
    <row r="3426" spans="1:5" x14ac:dyDescent="0.25">
      <c r="A3426" t="str">
        <f>HYPERLINK("https://www.773grp.com/globalSearch/LP2988ILD-3.0/page-1", "LP2988ILD-3.0")</f>
        <v>LP2988ILD-3.0</v>
      </c>
      <c r="B3426" s="3" t="str">
        <f>HYPERLINK("https://www.773grp.com/manufacturer/national-semiconductor?pageNo=75", "National Semiconductor")</f>
        <v>National Semiconductor</v>
      </c>
      <c r="C3426" s="6">
        <v>4000</v>
      </c>
      <c r="D3426" s="7">
        <v>4.54</v>
      </c>
      <c r="E3426" t="s">
        <v>19</v>
      </c>
    </row>
    <row r="3427" spans="1:5" x14ac:dyDescent="0.25">
      <c r="A3427" t="str">
        <f>HYPERLINK("https://www.773grp.com/globalSearch/LP2988IM-5.0-NOPB/page-1", "LP2988IM-5.0-NOPB")</f>
        <v>LP2988IM-5.0-NOPB</v>
      </c>
      <c r="B3427" s="3" t="str">
        <f>HYPERLINK("https://www.773grp.com/manufacturer/national-semiconductor?pageNo=76", "National Semiconductor")</f>
        <v>National Semiconductor</v>
      </c>
      <c r="C3427" s="6">
        <v>1293</v>
      </c>
      <c r="D3427" s="7">
        <v>4.54</v>
      </c>
      <c r="E3427" t="s">
        <v>19</v>
      </c>
    </row>
    <row r="3428" spans="1:5" x14ac:dyDescent="0.25">
      <c r="A3428" t="str">
        <f>HYPERLINK("https://www.773grp.com/globalSearch/DS90LV027ATM-NOPB/page-1", "DS90LV027ATM-NOPB")</f>
        <v>DS90LV027ATM-NOPB</v>
      </c>
      <c r="B3428" s="3" t="str">
        <f>HYPERLINK("https://www.773grp.com/manufacturer/national-semiconductor?pageNo=77", "National Semiconductor")</f>
        <v>National Semiconductor</v>
      </c>
      <c r="C3428" s="6">
        <v>842</v>
      </c>
      <c r="D3428" s="7">
        <v>4.54</v>
      </c>
      <c r="E3428" t="s">
        <v>21</v>
      </c>
    </row>
    <row r="3429" spans="1:5" x14ac:dyDescent="0.25">
      <c r="A3429" t="str">
        <f>HYPERLINK("https://www.773grp.com/globalSearch/LM25085ASDE-NOPB/page-1", "LM25085ASDE-NOPB")</f>
        <v>LM25085ASDE-NOPB</v>
      </c>
      <c r="B3429" s="3" t="str">
        <f>HYPERLINK("https://www.773grp.com/manufacturer/national-semiconductor?pageNo=78", "National Semiconductor")</f>
        <v>National Semiconductor</v>
      </c>
      <c r="C3429" s="6">
        <v>1000</v>
      </c>
      <c r="D3429" s="7">
        <v>4.54</v>
      </c>
    </row>
    <row r="3430" spans="1:5" x14ac:dyDescent="0.25">
      <c r="A3430" t="str">
        <f>HYPERLINK("https://www.773grp.com/globalSearch/LM384N/page-1", "LM384N")</f>
        <v>LM384N</v>
      </c>
      <c r="B3430" s="3" t="str">
        <f>HYPERLINK("https://www.773grp.com/manufacturer/national-semiconductor?pageNo=79", "National Semiconductor")</f>
        <v>National Semiconductor</v>
      </c>
      <c r="C3430" s="6">
        <v>384</v>
      </c>
      <c r="D3430" s="7">
        <v>4.54</v>
      </c>
      <c r="E3430" t="s">
        <v>18</v>
      </c>
    </row>
    <row r="3431" spans="1:5" x14ac:dyDescent="0.25">
      <c r="A3431" t="str">
        <f>HYPERLINK("https://www.773grp.com/globalSearch/LME49710MA-NOPB/page-1", "LME49710MA-NOPB")</f>
        <v>LME49710MA-NOPB</v>
      </c>
      <c r="B3431" s="3" t="str">
        <f>HYPERLINK("https://www.773grp.com/manufacturer/national-semiconductor?pageNo=80", "National Semiconductor")</f>
        <v>National Semiconductor</v>
      </c>
      <c r="C3431" s="6">
        <v>1713</v>
      </c>
      <c r="D3431" s="7">
        <v>4.54</v>
      </c>
    </row>
    <row r="3432" spans="1:5" x14ac:dyDescent="0.25">
      <c r="A3432" t="str">
        <f>HYPERLINK("https://www.773grp.com/globalSearch/LMP7715MFE-NOPB/page-1", "LMP7715MFE-NOPB")</f>
        <v>LMP7715MFE-NOPB</v>
      </c>
      <c r="B3432" s="3" t="str">
        <f>HYPERLINK("https://www.773grp.com/manufacturer/national-semiconductor?pageNo=81", "National Semiconductor")</f>
        <v>National Semiconductor</v>
      </c>
      <c r="C3432" s="6">
        <v>9250</v>
      </c>
      <c r="D3432" s="7">
        <v>4.54</v>
      </c>
    </row>
    <row r="3433" spans="1:5" x14ac:dyDescent="0.25">
      <c r="A3433" t="str">
        <f>HYPERLINK("https://www.773grp.com/globalSearch/LMP7717MFE-NOPB/page-1", "LMP7717MFE-NOPB")</f>
        <v>LMP7717MFE-NOPB</v>
      </c>
      <c r="B3433" s="3" t="str">
        <f>HYPERLINK("https://www.773grp.com/manufacturer/national-semiconductor?pageNo=82", "National Semiconductor")</f>
        <v>National Semiconductor</v>
      </c>
      <c r="C3433" s="6">
        <v>250</v>
      </c>
      <c r="D3433" s="7">
        <v>4.54</v>
      </c>
    </row>
    <row r="3434" spans="1:5" x14ac:dyDescent="0.25">
      <c r="A3434" t="str">
        <f>HYPERLINK("https://www.773grp.com/globalSearch/LMP8278QMME-NOPB/page-1", "LMP8278QMME-NOPB")</f>
        <v>LMP8278QMME-NOPB</v>
      </c>
      <c r="B3434" s="3" t="str">
        <f>HYPERLINK("https://www.773grp.com/manufacturer/national-semiconductor?pageNo=83", "National Semiconductor")</f>
        <v>National Semiconductor</v>
      </c>
      <c r="C3434" s="6">
        <v>1500</v>
      </c>
      <c r="D3434" s="7">
        <v>4.54</v>
      </c>
    </row>
    <row r="3435" spans="1:5" x14ac:dyDescent="0.25">
      <c r="A3435" t="str">
        <f>HYPERLINK("https://www.773grp.com/globalSearch/LMR62421XMFE-NOPB/page-1", "LMR62421XMFE-NOPB")</f>
        <v>LMR62421XMFE-NOPB</v>
      </c>
      <c r="B3435" s="3" t="str">
        <f>HYPERLINK("https://www.773grp.com/manufacturer/national-semiconductor?pageNo=84", "National Semiconductor")</f>
        <v>National Semiconductor</v>
      </c>
      <c r="C3435" s="6">
        <v>250</v>
      </c>
      <c r="D3435" s="7">
        <v>4.54</v>
      </c>
    </row>
    <row r="3436" spans="1:5" x14ac:dyDescent="0.25">
      <c r="A3436" t="str">
        <f>HYPERLINK("https://www.773grp.com/globalSearch/LMR62421XSDE-NOPB/page-1", "LMR62421XSDE-NOPB")</f>
        <v>LMR62421XSDE-NOPB</v>
      </c>
      <c r="B3436" s="3" t="str">
        <f>HYPERLINK("https://www.773grp.com/manufacturer/national-semiconductor?pageNo=85", "National Semiconductor")</f>
        <v>National Semiconductor</v>
      </c>
      <c r="C3436" s="6">
        <v>250</v>
      </c>
      <c r="D3436" s="7">
        <v>4.54</v>
      </c>
    </row>
    <row r="3437" spans="1:5" x14ac:dyDescent="0.25">
      <c r="A3437" t="str">
        <f>HYPERLINK("https://www.773grp.com/globalSearch/LP2988AIMM-3.0-NOPB/page-1", "LP2988AIMM-3.0-NOPB")</f>
        <v>LP2988AIMM-3.0-NOPB</v>
      </c>
      <c r="B3437" s="3" t="str">
        <f>HYPERLINK("https://www.773grp.com/manufacturer/national-semiconductor?pageNo=86", "National Semiconductor")</f>
        <v>National Semiconductor</v>
      </c>
      <c r="C3437" s="6">
        <v>2000</v>
      </c>
      <c r="D3437" s="7">
        <v>4.54</v>
      </c>
      <c r="E3437" t="s">
        <v>19</v>
      </c>
    </row>
    <row r="3438" spans="1:5" x14ac:dyDescent="0.25">
      <c r="A3438" t="str">
        <f>HYPERLINK("https://www.773grp.com/globalSearch/LP2988AIMM-5.0-NOPB/page-1", "LP2988AIMM-5.0-NOPB")</f>
        <v>LP2988AIMM-5.0-NOPB</v>
      </c>
      <c r="B3438" s="3" t="str">
        <f>HYPERLINK("https://www.773grp.com/manufacturer/national-semiconductor?pageNo=87", "National Semiconductor")</f>
        <v>National Semiconductor</v>
      </c>
      <c r="C3438" s="6">
        <v>980</v>
      </c>
      <c r="D3438" s="7">
        <v>4.54</v>
      </c>
    </row>
    <row r="3439" spans="1:5" x14ac:dyDescent="0.25">
      <c r="A3439" t="str">
        <f>HYPERLINK("https://www.773grp.com/globalSearch/LP2988AIMMX-3.3-NOPB/page-1", "LP2988AIMMX-3.3-NOPB")</f>
        <v>LP2988AIMMX-3.3-NOPB</v>
      </c>
      <c r="B3439" s="3" t="str">
        <f>HYPERLINK("https://www.773grp.com/manufacturer/national-semiconductor?pageNo=88", "National Semiconductor")</f>
        <v>National Semiconductor</v>
      </c>
      <c r="C3439" s="6">
        <v>14000</v>
      </c>
      <c r="D3439" s="7">
        <v>4.54</v>
      </c>
    </row>
    <row r="3440" spans="1:5" x14ac:dyDescent="0.25">
      <c r="A3440" t="str">
        <f>HYPERLINK("https://www.773grp.com/globalSearch/LP2988IM-5.0-NOPB/page-1", "LP2988IM-5.0-NOPB")</f>
        <v>LP2988IM-5.0-NOPB</v>
      </c>
      <c r="B3440" s="3" t="str">
        <f>HYPERLINK("https://www.773grp.com/manufacturer/national-semiconductor?pageNo=89", "National Semiconductor")</f>
        <v>National Semiconductor</v>
      </c>
      <c r="C3440" s="6">
        <v>535</v>
      </c>
      <c r="D3440" s="7">
        <v>4.54</v>
      </c>
      <c r="E3440" t="s">
        <v>19</v>
      </c>
    </row>
    <row r="3441" spans="1:5" x14ac:dyDescent="0.25">
      <c r="A3441" t="str">
        <f>HYPERLINK("https://www.773grp.com/globalSearch/PCF8574ADWR/page-1", "PCF8574ADWR")</f>
        <v>PCF8574ADWR</v>
      </c>
      <c r="B3441" s="3" t="str">
        <f>HYPERLINK("https://www.773grp.com/manufacturer/national-semiconductor?pageNo=90", "National Semiconductor")</f>
        <v>National Semiconductor</v>
      </c>
      <c r="C3441" s="6">
        <v>276</v>
      </c>
      <c r="D3441" s="7">
        <v>4.54</v>
      </c>
    </row>
    <row r="3442" spans="1:5" x14ac:dyDescent="0.25">
      <c r="A3442" t="str">
        <f>HYPERLINK("https://www.773grp.com/globalSearch/SN65C1168NSR/page-1", "SN65C1168NSR")</f>
        <v>SN65C1168NSR</v>
      </c>
      <c r="B3442" s="3" t="str">
        <f>HYPERLINK("https://www.773grp.com/manufacturer/national-semiconductor?pageNo=91", "National Semiconductor")</f>
        <v>National Semiconductor</v>
      </c>
      <c r="C3442" s="6">
        <v>370</v>
      </c>
      <c r="D3442" s="7">
        <v>4.54</v>
      </c>
    </row>
    <row r="3443" spans="1:5" x14ac:dyDescent="0.25">
      <c r="A3443" t="str">
        <f>HYPERLINK("https://www.773grp.com/globalSearch/SN74AHCT16244DGGR/page-1", "SN74AHCT16244DGGR")</f>
        <v>SN74AHCT16244DGGR</v>
      </c>
      <c r="B3443" s="3" t="str">
        <f>HYPERLINK("https://www.773grp.com/manufacturer/national-semiconductor?pageNo=92", "National Semiconductor")</f>
        <v>National Semiconductor</v>
      </c>
      <c r="C3443" s="6">
        <v>771</v>
      </c>
      <c r="D3443" s="7">
        <v>4.54</v>
      </c>
    </row>
    <row r="3444" spans="1:5" x14ac:dyDescent="0.25">
      <c r="A3444" t="str">
        <f>HYPERLINK("https://www.773grp.com/globalSearch/ADC0834CCN-NOPB/page-1", "ADC0834CCN-NOPB")</f>
        <v>ADC0834CCN-NOPB</v>
      </c>
      <c r="B3444" s="3" t="str">
        <f>HYPERLINK("https://www.773grp.com/manufacturer/national-semiconductor?pageNo=93", "National Semiconductor")</f>
        <v>National Semiconductor</v>
      </c>
      <c r="C3444" s="6">
        <v>15891</v>
      </c>
      <c r="D3444" s="7">
        <v>4.0999999999999996</v>
      </c>
      <c r="E3444" t="s">
        <v>39</v>
      </c>
    </row>
    <row r="3445" spans="1:5" x14ac:dyDescent="0.25">
      <c r="A3445" t="str">
        <f>HYPERLINK("https://www.773grp.com/globalSearch/CD4016BMJ-MIL/page-1", "CD4016BMJ-MIL")</f>
        <v>CD4016BMJ-MIL</v>
      </c>
      <c r="B3445" s="3" t="str">
        <f>HYPERLINK("https://www.773grp.com/manufacturer/national-semiconductor?pageNo=94", "National Semiconductor")</f>
        <v>National Semiconductor</v>
      </c>
      <c r="C3445" s="6">
        <v>6</v>
      </c>
      <c r="D3445" s="7">
        <v>4.0999999999999996</v>
      </c>
    </row>
    <row r="3446" spans="1:5" x14ac:dyDescent="0.25">
      <c r="A3446" t="str">
        <f>HYPERLINK("https://www.773grp.com/globalSearch/DS90C031BTM-NOPB/page-1", "DS90C031BTM-NOPB")</f>
        <v>DS90C031BTM-NOPB</v>
      </c>
      <c r="B3446" s="3" t="str">
        <f>HYPERLINK("https://www.773grp.com/manufacturer/national-semiconductor?pageNo=95", "National Semiconductor")</f>
        <v>National Semiconductor</v>
      </c>
      <c r="C3446" s="6">
        <v>36</v>
      </c>
      <c r="D3446" s="7">
        <v>4.0999999999999996</v>
      </c>
      <c r="E3446" t="s">
        <v>21</v>
      </c>
    </row>
    <row r="3447" spans="1:5" x14ac:dyDescent="0.25">
      <c r="A3447" t="str">
        <f>HYPERLINK("https://www.773grp.com/globalSearch/DS90C031TM-NOPB/page-1", "DS90C031TM-NOPB")</f>
        <v>DS90C031TM-NOPB</v>
      </c>
      <c r="B3447" s="3" t="str">
        <f>HYPERLINK("https://www.773grp.com/manufacturer/national-semiconductor?pageNo=96", "National Semiconductor")</f>
        <v>National Semiconductor</v>
      </c>
      <c r="C3447" s="6">
        <v>2367</v>
      </c>
      <c r="D3447" s="7">
        <v>4.0999999999999996</v>
      </c>
      <c r="E3447" t="s">
        <v>21</v>
      </c>
    </row>
    <row r="3448" spans="1:5" x14ac:dyDescent="0.25">
      <c r="A3448" t="str">
        <f>HYPERLINK("https://www.773grp.com/globalSearch/LM10CWM/page-1", "LM10CWM")</f>
        <v>LM10CWM</v>
      </c>
      <c r="B3448" s="3" t="str">
        <f>HYPERLINK("https://www.773grp.com/manufacturer/national-semiconductor?pageNo=97", "National Semiconductor")</f>
        <v>National Semiconductor</v>
      </c>
      <c r="C3448" s="6">
        <v>8</v>
      </c>
      <c r="D3448" s="7">
        <v>4.0999999999999996</v>
      </c>
      <c r="E3448" t="s">
        <v>13</v>
      </c>
    </row>
    <row r="3449" spans="1:5" x14ac:dyDescent="0.25">
      <c r="A3449" t="str">
        <f>HYPERLINK("https://www.773grp.com/globalSearch/LM2578AN/page-1", "LM2578AN")</f>
        <v>LM2578AN</v>
      </c>
      <c r="B3449" s="3" t="str">
        <f>HYPERLINK("https://www.773grp.com/manufacturer/national-semiconductor?pageNo=98", "National Semiconductor")</f>
        <v>National Semiconductor</v>
      </c>
      <c r="C3449" s="6">
        <v>807</v>
      </c>
      <c r="D3449" s="7">
        <v>4.0999999999999996</v>
      </c>
      <c r="E3449" t="s">
        <v>7</v>
      </c>
    </row>
    <row r="3450" spans="1:5" x14ac:dyDescent="0.25">
      <c r="A3450" t="str">
        <f>HYPERLINK("https://www.773grp.com/globalSearch/LM76CHM-5-NOPB/page-1", "LM76CHM-5-NOPB")</f>
        <v>LM76CHM-5-NOPB</v>
      </c>
      <c r="B3450" s="3" t="str">
        <f>HYPERLINK("https://www.773grp.com/manufacturer/national-semiconductor?pageNo=99", "National Semiconductor")</f>
        <v>National Semiconductor</v>
      </c>
      <c r="C3450" s="6">
        <v>3044</v>
      </c>
      <c r="D3450" s="7">
        <v>4.0999999999999996</v>
      </c>
      <c r="E3450" t="s">
        <v>12</v>
      </c>
    </row>
    <row r="3451" spans="1:5" x14ac:dyDescent="0.25">
      <c r="A3451" t="str">
        <f>HYPERLINK("https://www.773grp.com/globalSearch/LM8262MM/page-1", "LM8262MM")</f>
        <v>LM8262MM</v>
      </c>
      <c r="B3451" s="3" t="str">
        <f>HYPERLINK("https://www.773grp.com/manufacturer/national-semiconductor?pageNo=100", "National Semiconductor")</f>
        <v>National Semiconductor</v>
      </c>
      <c r="C3451" s="6">
        <v>1000</v>
      </c>
      <c r="D3451" s="7">
        <v>4.0999999999999996</v>
      </c>
      <c r="E3451" t="s">
        <v>13</v>
      </c>
    </row>
    <row r="3452" spans="1:5" x14ac:dyDescent="0.25">
      <c r="A3452" t="str">
        <f>HYPERLINK("https://www.773grp.com/globalSearch/LMC6044IN-NOPB/page-1", "LMC6044IN-NOPB")</f>
        <v>LMC6044IN-NOPB</v>
      </c>
      <c r="B3452" s="3" t="str">
        <f>HYPERLINK("https://www.773grp.com/manufacturer/national-semiconductor?pageNo=101", "National Semiconductor")</f>
        <v>National Semiconductor</v>
      </c>
      <c r="C3452" s="6">
        <v>615</v>
      </c>
      <c r="D3452" s="7">
        <v>4.0999999999999996</v>
      </c>
      <c r="E3452" t="s">
        <v>13</v>
      </c>
    </row>
    <row r="3453" spans="1:5" x14ac:dyDescent="0.25">
      <c r="A3453" t="str">
        <f>HYPERLINK("https://www.773grp.com/globalSearch/LMC6442AIN/page-1", "LMC6442AIN")</f>
        <v>LMC6442AIN</v>
      </c>
      <c r="B3453" s="3" t="str">
        <f>HYPERLINK("https://www.773grp.com/manufacturer/national-semiconductor?pageNo=102", "National Semiconductor")</f>
        <v>National Semiconductor</v>
      </c>
      <c r="C3453" s="6">
        <v>1320</v>
      </c>
      <c r="D3453" s="7">
        <v>4.0999999999999996</v>
      </c>
      <c r="E3453" t="s">
        <v>13</v>
      </c>
    </row>
    <row r="3454" spans="1:5" x14ac:dyDescent="0.25">
      <c r="A3454" t="str">
        <f>HYPERLINK("https://www.773grp.com/globalSearch/LMC6772AIMM/page-1", "LMC6772AIMM")</f>
        <v>LMC6772AIMM</v>
      </c>
      <c r="B3454" s="3" t="str">
        <f>HYPERLINK("https://www.773grp.com/manufacturer/national-semiconductor?pageNo=103", "National Semiconductor")</f>
        <v>National Semiconductor</v>
      </c>
      <c r="C3454" s="6">
        <v>7000</v>
      </c>
      <c r="D3454" s="7">
        <v>4.0999999999999996</v>
      </c>
      <c r="E3454" t="s">
        <v>9</v>
      </c>
    </row>
    <row r="3455" spans="1:5" x14ac:dyDescent="0.25">
      <c r="A3455" t="str">
        <f>HYPERLINK("https://www.773grp.com/globalSearch/LMC6772BIM/page-1", "LMC6772BIM")</f>
        <v>LMC6772BIM</v>
      </c>
      <c r="B3455" s="3" t="str">
        <f>HYPERLINK("https://www.773grp.com/manufacturer/national-semiconductor?pageNo=104", "National Semiconductor")</f>
        <v>National Semiconductor</v>
      </c>
      <c r="C3455" s="6">
        <v>151</v>
      </c>
      <c r="D3455" s="7">
        <v>4.0999999999999996</v>
      </c>
      <c r="E3455" t="s">
        <v>9</v>
      </c>
    </row>
    <row r="3456" spans="1:5" x14ac:dyDescent="0.25">
      <c r="A3456" t="str">
        <f>HYPERLINK("https://www.773grp.com/globalSearch/LMH6655MA-NOPB/page-1", "LMH6655MA-NOPB")</f>
        <v>LMH6655MA-NOPB</v>
      </c>
      <c r="B3456" s="3" t="str">
        <f>HYPERLINK("https://www.773grp.com/manufacturer/national-semiconductor?pageNo=105", "National Semiconductor")</f>
        <v>National Semiconductor</v>
      </c>
      <c r="C3456" s="6">
        <v>1710</v>
      </c>
      <c r="D3456" s="7">
        <v>4.0999999999999996</v>
      </c>
      <c r="E3456" t="s">
        <v>13</v>
      </c>
    </row>
    <row r="3457" spans="1:5" x14ac:dyDescent="0.25">
      <c r="A3457" t="str">
        <f>HYPERLINK("https://www.773grp.com/globalSearch/LP2967IBP-1833/page-1", "LP2967IBP-1833")</f>
        <v>LP2967IBP-1833</v>
      </c>
      <c r="B3457" s="3" t="str">
        <f>HYPERLINK("https://www.773grp.com/manufacturer/national-semiconductor?pageNo=106", "National Semiconductor")</f>
        <v>National Semiconductor</v>
      </c>
      <c r="C3457" s="6">
        <v>1250</v>
      </c>
      <c r="D3457" s="7">
        <v>4.0999999999999996</v>
      </c>
      <c r="E3457" t="s">
        <v>44</v>
      </c>
    </row>
    <row r="3458" spans="1:5" x14ac:dyDescent="0.25">
      <c r="A3458" t="str">
        <f>HYPERLINK("https://www.773grp.com/globalSearch/LP3961ES-1.8/page-1", "LP3961ES-1.8")</f>
        <v>LP3961ES-1.8</v>
      </c>
      <c r="B3458" s="3" t="str">
        <f>HYPERLINK("https://www.773grp.com/manufacturer/national-semiconductor?pageNo=107", "National Semiconductor")</f>
        <v>National Semiconductor</v>
      </c>
      <c r="C3458" s="6">
        <v>576</v>
      </c>
      <c r="D3458" s="7">
        <v>4.0999999999999996</v>
      </c>
      <c r="E3458" t="s">
        <v>19</v>
      </c>
    </row>
    <row r="3459" spans="1:5" x14ac:dyDescent="0.25">
      <c r="A3459" t="str">
        <f>HYPERLINK("https://www.773grp.com/globalSearch/ADC0834CCN-NOPB/page-1", "ADC0834CCN-NOPB")</f>
        <v>ADC0834CCN-NOPB</v>
      </c>
      <c r="B3459" s="3" t="str">
        <f>HYPERLINK("https://www.773grp.com/manufacturer/national-semiconductor?pageNo=108", "National Semiconductor")</f>
        <v>National Semiconductor</v>
      </c>
      <c r="C3459" s="6">
        <v>5185</v>
      </c>
      <c r="D3459" s="7">
        <v>4.0999999999999996</v>
      </c>
      <c r="E3459" t="s">
        <v>39</v>
      </c>
    </row>
    <row r="3460" spans="1:5" x14ac:dyDescent="0.25">
      <c r="A3460" t="str">
        <f>HYPERLINK("https://www.773grp.com/globalSearch/DS90C031BTM-NOPB/page-1", "DS90C031BTM-NOPB")</f>
        <v>DS90C031BTM-NOPB</v>
      </c>
      <c r="B3460" s="3" t="str">
        <f>HYPERLINK("https://www.773grp.com/manufacturer/national-semiconductor?pageNo=109", "National Semiconductor")</f>
        <v>National Semiconductor</v>
      </c>
      <c r="C3460" s="6">
        <v>431</v>
      </c>
      <c r="D3460" s="7">
        <v>4.0999999999999996</v>
      </c>
      <c r="E3460" t="s">
        <v>21</v>
      </c>
    </row>
    <row r="3461" spans="1:5" x14ac:dyDescent="0.25">
      <c r="A3461" t="str">
        <f>HYPERLINK("https://www.773grp.com/globalSearch/DS90C031TM-NOPB/page-1", "DS90C031TM-NOPB")</f>
        <v>DS90C031TM-NOPB</v>
      </c>
      <c r="B3461" s="3" t="str">
        <f>HYPERLINK("https://www.773grp.com/manufacturer/national-semiconductor?pageNo=110", "National Semiconductor")</f>
        <v>National Semiconductor</v>
      </c>
      <c r="C3461" s="6">
        <v>188</v>
      </c>
      <c r="D3461" s="7">
        <v>4.0999999999999996</v>
      </c>
      <c r="E3461" t="s">
        <v>21</v>
      </c>
    </row>
    <row r="3462" spans="1:5" x14ac:dyDescent="0.25">
      <c r="A3462" t="str">
        <f>HYPERLINK("https://www.773grp.com/globalSearch/DS90C032BTM/page-1", "DS90C032BTM")</f>
        <v>DS90C032BTM</v>
      </c>
      <c r="B3462" s="3" t="str">
        <f>HYPERLINK("https://www.773grp.com/manufacturer/national-semiconductor?pageNo=111", "National Semiconductor")</f>
        <v>National Semiconductor</v>
      </c>
      <c r="C3462" s="6">
        <v>4656</v>
      </c>
      <c r="D3462" s="7">
        <v>4.0999999999999996</v>
      </c>
    </row>
    <row r="3463" spans="1:5" x14ac:dyDescent="0.25">
      <c r="A3463" t="str">
        <f>HYPERLINK("https://www.773grp.com/globalSearch/LM2578AN/page-1", "LM2578AN")</f>
        <v>LM2578AN</v>
      </c>
      <c r="B3463" s="3" t="str">
        <f>HYPERLINK("https://www.773grp.com/manufacturer/national-semiconductor?pageNo=112", "National Semiconductor")</f>
        <v>National Semiconductor</v>
      </c>
      <c r="C3463" s="6">
        <v>2799</v>
      </c>
      <c r="D3463" s="7">
        <v>4.0999999999999996</v>
      </c>
      <c r="E3463" t="s">
        <v>7</v>
      </c>
    </row>
    <row r="3464" spans="1:5" x14ac:dyDescent="0.25">
      <c r="A3464" t="str">
        <f>HYPERLINK("https://www.773grp.com/globalSearch/LM76CHM-5-NOPB/page-1", "LM76CHM-5-NOPB")</f>
        <v>LM76CHM-5-NOPB</v>
      </c>
      <c r="B3464" s="3" t="str">
        <f>HYPERLINK("https://www.773grp.com/manufacturer/national-semiconductor?pageNo=113", "National Semiconductor")</f>
        <v>National Semiconductor</v>
      </c>
      <c r="C3464" s="6">
        <v>310</v>
      </c>
      <c r="D3464" s="7">
        <v>4.0999999999999996</v>
      </c>
      <c r="E3464" t="s">
        <v>12</v>
      </c>
    </row>
    <row r="3465" spans="1:5" x14ac:dyDescent="0.25">
      <c r="A3465" t="str">
        <f>HYPERLINK("https://www.773grp.com/globalSearch/LM8262MM/page-1", "LM8262MM")</f>
        <v>LM8262MM</v>
      </c>
      <c r="B3465" s="3" t="str">
        <f>HYPERLINK("https://www.773grp.com/manufacturer/national-semiconductor?pageNo=114", "National Semiconductor")</f>
        <v>National Semiconductor</v>
      </c>
      <c r="C3465" s="6">
        <v>1320</v>
      </c>
      <c r="D3465" s="7">
        <v>4.0999999999999996</v>
      </c>
      <c r="E3465" t="s">
        <v>13</v>
      </c>
    </row>
    <row r="3466" spans="1:5" x14ac:dyDescent="0.25">
      <c r="A3466" t="str">
        <f>HYPERLINK("https://www.773grp.com/globalSearch/LMC6044IN-NOPB/page-1", "LMC6044IN-NOPB")</f>
        <v>LMC6044IN-NOPB</v>
      </c>
      <c r="B3466" s="3" t="str">
        <f>HYPERLINK("https://www.773grp.com/manufacturer/national-semiconductor?pageNo=115", "National Semiconductor")</f>
        <v>National Semiconductor</v>
      </c>
      <c r="C3466" s="6">
        <v>243</v>
      </c>
      <c r="D3466" s="7">
        <v>4.0999999999999996</v>
      </c>
      <c r="E3466" t="s">
        <v>13</v>
      </c>
    </row>
    <row r="3467" spans="1:5" x14ac:dyDescent="0.25">
      <c r="A3467" t="str">
        <f>HYPERLINK("https://www.773grp.com/globalSearch/LMC6772BIM/page-1", "LMC6772BIM")</f>
        <v>LMC6772BIM</v>
      </c>
      <c r="B3467" s="3" t="str">
        <f>HYPERLINK("https://www.773grp.com/manufacturer/national-semiconductor?pageNo=116", "National Semiconductor")</f>
        <v>National Semiconductor</v>
      </c>
      <c r="C3467" s="6">
        <v>86</v>
      </c>
      <c r="D3467" s="7">
        <v>4.0999999999999996</v>
      </c>
      <c r="E3467" t="s">
        <v>9</v>
      </c>
    </row>
    <row r="3468" spans="1:5" x14ac:dyDescent="0.25">
      <c r="A3468" t="str">
        <f>HYPERLINK("https://www.773grp.com/globalSearch/LMH6655MA-NOPB/page-1", "LMH6655MA-NOPB")</f>
        <v>LMH6655MA-NOPB</v>
      </c>
      <c r="B3468" s="3" t="str">
        <f>HYPERLINK("https://www.773grp.com/manufacturer/national-semiconductor?pageNo=117", "National Semiconductor")</f>
        <v>National Semiconductor</v>
      </c>
      <c r="C3468" s="6">
        <v>271</v>
      </c>
      <c r="D3468" s="7">
        <v>4.0999999999999996</v>
      </c>
      <c r="E3468" t="s">
        <v>13</v>
      </c>
    </row>
    <row r="3469" spans="1:5" x14ac:dyDescent="0.25">
      <c r="A3469" t="str">
        <f>HYPERLINK("https://www.773grp.com/globalSearch/54197DM/page-1", "54197DM")</f>
        <v>54197DM</v>
      </c>
      <c r="B3469" s="3" t="str">
        <f>HYPERLINK("https://www.773grp.com/manufacturer/national-semiconductor?pageNo=118", "National Semiconductor")</f>
        <v>National Semiconductor</v>
      </c>
      <c r="C3469" s="6">
        <v>58</v>
      </c>
      <c r="D3469" s="7">
        <v>4.1399999999999997</v>
      </c>
    </row>
    <row r="3470" spans="1:5" x14ac:dyDescent="0.25">
      <c r="A3470" t="str">
        <f>HYPERLINK("https://www.773grp.com/globalSearch/ADC0838CCN/page-1", "ADC0838CCN")</f>
        <v>ADC0838CCN</v>
      </c>
      <c r="B3470" s="3" t="str">
        <f>HYPERLINK("https://www.773grp.com/manufacturer/national-semiconductor?pageNo=119", "National Semiconductor")</f>
        <v>National Semiconductor</v>
      </c>
      <c r="C3470" s="6">
        <v>330</v>
      </c>
      <c r="D3470" s="7">
        <v>4.1399999999999997</v>
      </c>
      <c r="E3470" t="s">
        <v>39</v>
      </c>
    </row>
    <row r="3471" spans="1:5" x14ac:dyDescent="0.25">
      <c r="A3471" t="str">
        <f>HYPERLINK("https://www.773grp.com/globalSearch/DS36F95M-NOPB/page-1", "DS36F95M-NOPB")</f>
        <v>DS36F95M-NOPB</v>
      </c>
      <c r="B3471" s="3" t="str">
        <f>HYPERLINK("https://www.773grp.com/manufacturer/national-semiconductor?pageNo=120", "National Semiconductor")</f>
        <v>National Semiconductor</v>
      </c>
      <c r="C3471" s="6">
        <v>110</v>
      </c>
      <c r="D3471" s="7">
        <v>4.1399999999999997</v>
      </c>
      <c r="E3471" t="s">
        <v>21</v>
      </c>
    </row>
    <row r="3472" spans="1:5" x14ac:dyDescent="0.25">
      <c r="A3472" t="str">
        <f>HYPERLINK("https://www.773grp.com/globalSearch/DS8925MX/page-1", "DS8925MX")</f>
        <v>DS8925MX</v>
      </c>
      <c r="B3472" s="3" t="str">
        <f>HYPERLINK("https://www.773grp.com/manufacturer/national-semiconductor?pageNo=121", "National Semiconductor")</f>
        <v>National Semiconductor</v>
      </c>
      <c r="C3472" s="6">
        <v>2718</v>
      </c>
      <c r="D3472" s="7">
        <v>4.1399999999999997</v>
      </c>
      <c r="E3472" t="s">
        <v>21</v>
      </c>
    </row>
    <row r="3473" spans="1:5" x14ac:dyDescent="0.25">
      <c r="A3473" t="str">
        <f>HYPERLINK("https://www.773grp.com/globalSearch/LM385BXM-2.5/page-1", "LM385BXM-2.5")</f>
        <v>LM385BXM-2.5</v>
      </c>
      <c r="B3473" s="3" t="str">
        <f>HYPERLINK("https://www.773grp.com/manufacturer/national-semiconductor?pageNo=122", "National Semiconductor")</f>
        <v>National Semiconductor</v>
      </c>
      <c r="C3473" s="6">
        <v>1007</v>
      </c>
      <c r="D3473" s="7">
        <v>4.1399999999999997</v>
      </c>
      <c r="E3473" t="s">
        <v>17</v>
      </c>
    </row>
    <row r="3474" spans="1:5" x14ac:dyDescent="0.25">
      <c r="A3474" t="str">
        <f>HYPERLINK("https://www.773grp.com/globalSearch/LM40CIMT-NOPB/page-1", "LM40CIMT-NOPB")</f>
        <v>LM40CIMT-NOPB</v>
      </c>
      <c r="B3474" s="3" t="str">
        <f>HYPERLINK("https://www.773grp.com/manufacturer/national-semiconductor?pageNo=123", "National Semiconductor")</f>
        <v>National Semiconductor</v>
      </c>
      <c r="C3474" s="6">
        <v>4969</v>
      </c>
      <c r="D3474" s="7">
        <v>4.1399999999999997</v>
      </c>
      <c r="E3474" t="s">
        <v>40</v>
      </c>
    </row>
    <row r="3475" spans="1:5" x14ac:dyDescent="0.25">
      <c r="A3475" t="str">
        <f>HYPERLINK("https://www.773grp.com/globalSearch/LM5010ASD-NOPB/page-1", "LM5010ASD-NOPB")</f>
        <v>LM5010ASD-NOPB</v>
      </c>
      <c r="B3475" s="3" t="str">
        <f>HYPERLINK("https://www.773grp.com/manufacturer/national-semiconductor?pageNo=124", "National Semiconductor")</f>
        <v>National Semiconductor</v>
      </c>
      <c r="C3475" s="6">
        <v>900</v>
      </c>
      <c r="D3475" s="7">
        <v>4.1399999999999997</v>
      </c>
    </row>
    <row r="3476" spans="1:5" x14ac:dyDescent="0.25">
      <c r="A3476" t="str">
        <f>HYPERLINK("https://www.773grp.com/globalSearch/LM5069MM-1-NOPB/page-1", "LM5069MM-1-NOPB")</f>
        <v>LM5069MM-1-NOPB</v>
      </c>
      <c r="B3476" s="3" t="str">
        <f>HYPERLINK("https://www.773grp.com/manufacturer/national-semiconductor?pageNo=125", "National Semiconductor")</f>
        <v>National Semiconductor</v>
      </c>
      <c r="C3476" s="6">
        <v>1000</v>
      </c>
      <c r="D3476" s="7">
        <v>4.1399999999999997</v>
      </c>
      <c r="E3476" t="s">
        <v>30</v>
      </c>
    </row>
    <row r="3477" spans="1:5" x14ac:dyDescent="0.25">
      <c r="A3477" t="str">
        <f>HYPERLINK("https://www.773grp.com/globalSearch/LM5069MM-2-NOPB/page-1", "LM5069MM-2-NOPB")</f>
        <v>LM5069MM-2-NOPB</v>
      </c>
      <c r="B3477" s="3" t="str">
        <f>HYPERLINK("https://www.773grp.com/manufacturer/national-semiconductor?pageNo=126", "National Semiconductor")</f>
        <v>National Semiconductor</v>
      </c>
      <c r="C3477" s="6">
        <v>22224</v>
      </c>
      <c r="D3477" s="7">
        <v>4.1399999999999997</v>
      </c>
      <c r="E3477" t="s">
        <v>30</v>
      </c>
    </row>
    <row r="3478" spans="1:5" x14ac:dyDescent="0.25">
      <c r="A3478" t="str">
        <f>HYPERLINK("https://www.773grp.com/globalSearch/LM5069MMX-2-NOPB/page-1", "LM5069MMX-2-NOPB")</f>
        <v>LM5069MMX-2-NOPB</v>
      </c>
      <c r="B3478" s="3" t="str">
        <f>HYPERLINK("https://www.773grp.com/manufacturer/national-semiconductor?pageNo=127", "National Semiconductor")</f>
        <v>National Semiconductor</v>
      </c>
      <c r="C3478" s="6">
        <v>3500</v>
      </c>
      <c r="D3478" s="7">
        <v>4.1399999999999997</v>
      </c>
    </row>
    <row r="3479" spans="1:5" x14ac:dyDescent="0.25">
      <c r="A3479" t="str">
        <f>HYPERLINK("https://www.773grp.com/globalSearch/LM5088MHX-2-NOPB/page-1", "LM5088MHX-2-NOPB")</f>
        <v>LM5088MHX-2-NOPB</v>
      </c>
      <c r="B3479" s="3" t="str">
        <f>HYPERLINK("https://www.773grp.com/manufacturer/national-semiconductor?pageNo=128", "National Semiconductor")</f>
        <v>National Semiconductor</v>
      </c>
      <c r="C3479" s="6">
        <v>2500</v>
      </c>
      <c r="D3479" s="7">
        <v>4.1399999999999997</v>
      </c>
    </row>
    <row r="3480" spans="1:5" x14ac:dyDescent="0.25">
      <c r="A3480" t="str">
        <f>HYPERLINK("https://www.773grp.com/globalSearch/LMC6081AIM/page-1", "LMC6081AIM")</f>
        <v>LMC6081AIM</v>
      </c>
      <c r="B3480" s="3" t="str">
        <f>HYPERLINK("https://www.773grp.com/manufacturer/national-semiconductor?pageNo=129", "National Semiconductor")</f>
        <v>National Semiconductor</v>
      </c>
      <c r="C3480" s="6">
        <v>2</v>
      </c>
      <c r="D3480" s="7">
        <v>4.1399999999999997</v>
      </c>
      <c r="E3480" t="s">
        <v>13</v>
      </c>
    </row>
    <row r="3481" spans="1:5" x14ac:dyDescent="0.25">
      <c r="A3481" t="str">
        <f>HYPERLINK("https://www.773grp.com/globalSearch/LMC6484AIN/page-1", "LMC6484AIN")</f>
        <v>LMC6484AIN</v>
      </c>
      <c r="B3481" s="3" t="str">
        <f>HYPERLINK("https://www.773grp.com/manufacturer/national-semiconductor?pageNo=130", "National Semiconductor")</f>
        <v>National Semiconductor</v>
      </c>
      <c r="C3481" s="6">
        <v>86</v>
      </c>
      <c r="D3481" s="7">
        <v>4.1399999999999997</v>
      </c>
      <c r="E3481" t="s">
        <v>13</v>
      </c>
    </row>
    <row r="3482" spans="1:5" x14ac:dyDescent="0.25">
      <c r="A3482" t="str">
        <f>HYPERLINK("https://www.773grp.com/globalSearch/LP2989IM-2.5/page-1", "LP2989IM-2.5")</f>
        <v>LP2989IM-2.5</v>
      </c>
      <c r="B3482" s="3" t="str">
        <f>HYPERLINK("https://www.773grp.com/manufacturer/national-semiconductor?pageNo=131", "National Semiconductor")</f>
        <v>National Semiconductor</v>
      </c>
      <c r="C3482" s="6">
        <v>490</v>
      </c>
      <c r="D3482" s="7">
        <v>4.1399999999999997</v>
      </c>
      <c r="E3482" t="s">
        <v>19</v>
      </c>
    </row>
    <row r="3483" spans="1:5" x14ac:dyDescent="0.25">
      <c r="A3483" t="str">
        <f>HYPERLINK("https://www.773grp.com/globalSearch/LP2989IM-3.3/page-1", "LP2989IM-3.3")</f>
        <v>LP2989IM-3.3</v>
      </c>
      <c r="B3483" s="3" t="str">
        <f>HYPERLINK("https://www.773grp.com/manufacturer/national-semiconductor?pageNo=132", "National Semiconductor")</f>
        <v>National Semiconductor</v>
      </c>
      <c r="C3483" s="6">
        <v>1503</v>
      </c>
      <c r="D3483" s="7">
        <v>4.1399999999999997</v>
      </c>
      <c r="E3483" t="s">
        <v>19</v>
      </c>
    </row>
    <row r="3484" spans="1:5" x14ac:dyDescent="0.25">
      <c r="A3484" t="str">
        <f>HYPERLINK("https://www.773grp.com/globalSearch/LP3919RL-D-NOPB/page-1", "LP3919RL-D-NOPB")</f>
        <v>LP3919RL-D-NOPB</v>
      </c>
      <c r="B3484" s="3" t="str">
        <f>HYPERLINK("https://www.773grp.com/manufacturer/national-semiconductor?pageNo=133", "National Semiconductor")</f>
        <v>National Semiconductor</v>
      </c>
      <c r="C3484" s="6">
        <v>250</v>
      </c>
      <c r="D3484" s="7">
        <v>4.1399999999999997</v>
      </c>
    </row>
    <row r="3485" spans="1:5" x14ac:dyDescent="0.25">
      <c r="A3485" t="str">
        <f>HYPERLINK("https://www.773grp.com/globalSearch/LP3919RLX-C/page-1", "LP3919RLX-C")</f>
        <v>LP3919RLX-C</v>
      </c>
      <c r="B3485" s="3" t="str">
        <f>HYPERLINK("https://www.773grp.com/manufacturer/national-semiconductor?pageNo=134", "National Semiconductor")</f>
        <v>National Semiconductor</v>
      </c>
      <c r="C3485" s="6">
        <v>18700</v>
      </c>
      <c r="D3485" s="7">
        <v>4.1399999999999997</v>
      </c>
    </row>
    <row r="3486" spans="1:5" x14ac:dyDescent="0.25">
      <c r="A3486" t="str">
        <f>HYPERLINK("https://www.773grp.com/globalSearch/MM74HC86J/page-1", "MM74HC86J")</f>
        <v>MM74HC86J</v>
      </c>
      <c r="B3486" s="3" t="str">
        <f>HYPERLINK("https://www.773grp.com/manufacturer/national-semiconductor?pageNo=1", "National Semiconductor")</f>
        <v>National Semiconductor</v>
      </c>
      <c r="C3486" s="6">
        <v>1151</v>
      </c>
      <c r="D3486" s="7">
        <v>4.1399999999999997</v>
      </c>
      <c r="E3486" t="s">
        <v>31</v>
      </c>
    </row>
    <row r="3487" spans="1:5" x14ac:dyDescent="0.25">
      <c r="A3487" t="str">
        <f>HYPERLINK("https://www.773grp.com/globalSearch/LM385BXM-2.5/page-1", "LM385BXM-2.5")</f>
        <v>LM385BXM-2.5</v>
      </c>
      <c r="B3487" s="3" t="str">
        <f>HYPERLINK("https://www.773grp.com/manufacturer/national-semiconductor?pageNo=2", "National Semiconductor")</f>
        <v>National Semiconductor</v>
      </c>
      <c r="C3487" s="6">
        <v>35</v>
      </c>
      <c r="D3487" s="7">
        <v>4.1399999999999997</v>
      </c>
      <c r="E3487" t="s">
        <v>17</v>
      </c>
    </row>
    <row r="3488" spans="1:5" x14ac:dyDescent="0.25">
      <c r="A3488" t="str">
        <f>HYPERLINK("https://www.773grp.com/globalSearch/LM49151TL-NOPB/page-1", "LM49151TL-NOPB")</f>
        <v>LM49151TL-NOPB</v>
      </c>
      <c r="B3488" s="3" t="str">
        <f>HYPERLINK("https://www.773grp.com/manufacturer/national-semiconductor?pageNo=3", "National Semiconductor")</f>
        <v>National Semiconductor</v>
      </c>
      <c r="C3488" s="6">
        <v>500</v>
      </c>
      <c r="D3488" s="7">
        <v>4.1399999999999997</v>
      </c>
    </row>
    <row r="3489" spans="1:5" x14ac:dyDescent="0.25">
      <c r="A3489" t="str">
        <f>HYPERLINK("https://www.773grp.com/globalSearch/LM49200TL-NOPB/page-1", "LM49200TL-NOPB")</f>
        <v>LM49200TL-NOPB</v>
      </c>
      <c r="B3489" s="3" t="str">
        <f>HYPERLINK("https://www.773grp.com/manufacturer/national-semiconductor?pageNo=4", "National Semiconductor")</f>
        <v>National Semiconductor</v>
      </c>
      <c r="C3489" s="6">
        <v>250</v>
      </c>
      <c r="D3489" s="7">
        <v>4.1399999999999997</v>
      </c>
    </row>
    <row r="3490" spans="1:5" x14ac:dyDescent="0.25">
      <c r="A3490" t="str">
        <f>HYPERLINK("https://www.773grp.com/globalSearch/LM5010ASD-NOPB/page-1", "LM5010ASD-NOPB")</f>
        <v>LM5010ASD-NOPB</v>
      </c>
      <c r="B3490" s="3" t="str">
        <f>HYPERLINK("https://www.773grp.com/manufacturer/national-semiconductor?pageNo=5", "National Semiconductor")</f>
        <v>National Semiconductor</v>
      </c>
      <c r="C3490" s="6">
        <v>13000</v>
      </c>
      <c r="D3490" s="7">
        <v>4.1399999999999997</v>
      </c>
    </row>
    <row r="3491" spans="1:5" x14ac:dyDescent="0.25">
      <c r="A3491" t="str">
        <f>HYPERLINK("https://www.773grp.com/globalSearch/LM5069MM-2-NOPB/page-1", "LM5069MM-2-NOPB")</f>
        <v>LM5069MM-2-NOPB</v>
      </c>
      <c r="B3491" s="3" t="str">
        <f>HYPERLINK("https://www.773grp.com/manufacturer/national-semiconductor?pageNo=6", "National Semiconductor")</f>
        <v>National Semiconductor</v>
      </c>
      <c r="C3491" s="6">
        <v>855</v>
      </c>
      <c r="D3491" s="7">
        <v>4.1399999999999997</v>
      </c>
      <c r="E3491" t="s">
        <v>30</v>
      </c>
    </row>
    <row r="3492" spans="1:5" x14ac:dyDescent="0.25">
      <c r="A3492" t="str">
        <f>HYPERLINK("https://www.773grp.com/globalSearch/LM5088MHX-2-NOPB/page-1", "LM5088MHX-2-NOPB")</f>
        <v>LM5088MHX-2-NOPB</v>
      </c>
      <c r="B3492" s="3" t="str">
        <f>HYPERLINK("https://www.773grp.com/manufacturer/national-semiconductor?pageNo=7", "National Semiconductor")</f>
        <v>National Semiconductor</v>
      </c>
      <c r="C3492" s="6">
        <v>2390</v>
      </c>
      <c r="D3492" s="7">
        <v>4.1399999999999997</v>
      </c>
    </row>
    <row r="3493" spans="1:5" x14ac:dyDescent="0.25">
      <c r="A3493" t="str">
        <f>HYPERLINK("https://www.773grp.com/globalSearch/LMC6081AIM/page-1", "LMC6081AIM")</f>
        <v>LMC6081AIM</v>
      </c>
      <c r="B3493" s="3" t="str">
        <f>HYPERLINK("https://www.773grp.com/manufacturer/national-semiconductor?pageNo=8", "National Semiconductor")</f>
        <v>National Semiconductor</v>
      </c>
      <c r="C3493" s="6">
        <v>8455</v>
      </c>
      <c r="D3493" s="7">
        <v>4.1399999999999997</v>
      </c>
      <c r="E3493" t="s">
        <v>13</v>
      </c>
    </row>
    <row r="3494" spans="1:5" x14ac:dyDescent="0.25">
      <c r="A3494" t="str">
        <f>HYPERLINK("https://www.773grp.com/globalSearch/LP2989IM-2.5/page-1", "LP2989IM-2.5")</f>
        <v>LP2989IM-2.5</v>
      </c>
      <c r="B3494" s="3" t="str">
        <f>HYPERLINK("https://www.773grp.com/manufacturer/national-semiconductor?pageNo=9", "National Semiconductor")</f>
        <v>National Semiconductor</v>
      </c>
      <c r="C3494" s="6">
        <v>95</v>
      </c>
      <c r="D3494" s="7">
        <v>4.1399999999999997</v>
      </c>
      <c r="E3494" t="s">
        <v>19</v>
      </c>
    </row>
    <row r="3495" spans="1:5" x14ac:dyDescent="0.25">
      <c r="A3495" t="str">
        <f>HYPERLINK("https://www.773grp.com/globalSearch/LP2989IM-3.3/page-1", "LP2989IM-3.3")</f>
        <v>LP2989IM-3.3</v>
      </c>
      <c r="B3495" s="3" t="str">
        <f>HYPERLINK("https://www.773grp.com/manufacturer/national-semiconductor?pageNo=10", "National Semiconductor")</f>
        <v>National Semiconductor</v>
      </c>
      <c r="C3495" s="6">
        <v>551</v>
      </c>
      <c r="D3495" s="7">
        <v>4.1399999999999997</v>
      </c>
      <c r="E3495" t="s">
        <v>19</v>
      </c>
    </row>
    <row r="3496" spans="1:5" x14ac:dyDescent="0.25">
      <c r="A3496" t="str">
        <f>HYPERLINK("https://www.773grp.com/globalSearch/LP2989IM-5.0/page-1", "LP2989IM-5.0")</f>
        <v>LP2989IM-5.0</v>
      </c>
      <c r="B3496" s="3" t="str">
        <f>HYPERLINK("https://www.773grp.com/manufacturer/national-semiconductor?pageNo=11", "National Semiconductor")</f>
        <v>National Semiconductor</v>
      </c>
      <c r="C3496" s="6">
        <v>1433</v>
      </c>
      <c r="D3496" s="7">
        <v>4.1399999999999997</v>
      </c>
    </row>
    <row r="3497" spans="1:5" x14ac:dyDescent="0.25">
      <c r="A3497" t="str">
        <f>HYPERLINK("https://www.773grp.com/globalSearch/LP3919RL-D-NOPB/page-1", "LP3919RL-D-NOPB")</f>
        <v>LP3919RL-D-NOPB</v>
      </c>
      <c r="B3497" s="3" t="str">
        <f>HYPERLINK("https://www.773grp.com/manufacturer/national-semiconductor?pageNo=12", "National Semiconductor")</f>
        <v>National Semiconductor</v>
      </c>
      <c r="C3497" s="6">
        <v>1500</v>
      </c>
      <c r="D3497" s="7">
        <v>4.1399999999999997</v>
      </c>
    </row>
    <row r="3498" spans="1:5" x14ac:dyDescent="0.25">
      <c r="A3498" t="str">
        <f>HYPERLINK("https://www.773grp.com/globalSearch/5413DM/page-1", "5413DM")</f>
        <v>5413DM</v>
      </c>
      <c r="B3498" s="3" t="str">
        <f>HYPERLINK("https://www.773grp.com/manufacturer/national-semiconductor?pageNo=13", "National Semiconductor")</f>
        <v>National Semiconductor</v>
      </c>
      <c r="C3498" s="6">
        <v>2</v>
      </c>
      <c r="D3498" s="7">
        <v>4.59</v>
      </c>
    </row>
    <row r="3499" spans="1:5" x14ac:dyDescent="0.25">
      <c r="A3499" t="str">
        <f>HYPERLINK("https://www.773grp.com/globalSearch/54163DM/page-1", "54163DM")</f>
        <v>54163DM</v>
      </c>
      <c r="B3499" s="3" t="str">
        <f>HYPERLINK("https://www.773grp.com/manufacturer/national-semiconductor?pageNo=14", "National Semiconductor")</f>
        <v>National Semiconductor</v>
      </c>
      <c r="C3499" s="6">
        <v>9</v>
      </c>
      <c r="D3499" s="7">
        <v>4.59</v>
      </c>
    </row>
    <row r="3500" spans="1:5" x14ac:dyDescent="0.25">
      <c r="A3500" t="str">
        <f>HYPERLINK("https://www.773grp.com/globalSearch/ADC082S051CIMM-NOPB/page-1", "ADC082S051CIMM-NOPB")</f>
        <v>ADC082S051CIMM-NOPB</v>
      </c>
      <c r="B3500" s="3" t="str">
        <f>HYPERLINK("https://www.773grp.com/manufacturer/national-semiconductor?pageNo=15", "National Semiconductor")</f>
        <v>National Semiconductor</v>
      </c>
      <c r="C3500" s="6">
        <v>1662</v>
      </c>
      <c r="D3500" s="7">
        <v>4.59</v>
      </c>
    </row>
    <row r="3501" spans="1:5" x14ac:dyDescent="0.25">
      <c r="A3501" t="str">
        <f>HYPERLINK("https://www.773grp.com/globalSearch/DS485MX-NOPB/page-1", "DS485MX-NOPB")</f>
        <v>DS485MX-NOPB</v>
      </c>
      <c r="B3501" s="3" t="str">
        <f>HYPERLINK("https://www.773grp.com/manufacturer/national-semiconductor?pageNo=16", "National Semiconductor")</f>
        <v>National Semiconductor</v>
      </c>
      <c r="C3501" s="6">
        <v>15000</v>
      </c>
      <c r="D3501" s="7">
        <v>4.59</v>
      </c>
      <c r="E3501" t="s">
        <v>21</v>
      </c>
    </row>
    <row r="3502" spans="1:5" x14ac:dyDescent="0.25">
      <c r="A3502" t="str">
        <f>HYPERLINK("https://www.773grp.com/globalSearch/DS485TMX-NOPB/page-1", "DS485TMX-NOPB")</f>
        <v>DS485TMX-NOPB</v>
      </c>
      <c r="B3502" s="3" t="str">
        <f>HYPERLINK("https://www.773grp.com/manufacturer/national-semiconductor?pageNo=17", "National Semiconductor")</f>
        <v>National Semiconductor</v>
      </c>
      <c r="C3502" s="6">
        <v>2500</v>
      </c>
      <c r="D3502" s="7">
        <v>4.59</v>
      </c>
      <c r="E3502" t="s">
        <v>21</v>
      </c>
    </row>
    <row r="3503" spans="1:5" x14ac:dyDescent="0.25">
      <c r="A3503" t="str">
        <f>HYPERLINK("https://www.773grp.com/globalSearch/LF444CM/page-1", "LF444CM")</f>
        <v>LF444CM</v>
      </c>
      <c r="B3503" s="3" t="str">
        <f>HYPERLINK("https://www.773grp.com/manufacturer/national-semiconductor?pageNo=18", "National Semiconductor")</f>
        <v>National Semiconductor</v>
      </c>
      <c r="C3503" s="6">
        <v>693</v>
      </c>
      <c r="D3503" s="7">
        <v>4.59</v>
      </c>
      <c r="E3503" t="s">
        <v>13</v>
      </c>
    </row>
    <row r="3504" spans="1:5" x14ac:dyDescent="0.25">
      <c r="A3504" t="str">
        <f>HYPERLINK("https://www.773grp.com/globalSearch/LM1086IT-1.8-NOPB/page-1", "LM1086IT-1.8-NOPB")</f>
        <v>LM1086IT-1.8-NOPB</v>
      </c>
      <c r="B3504" s="3" t="str">
        <f>HYPERLINK("https://www.773grp.com/manufacturer/national-semiconductor?pageNo=19", "National Semiconductor")</f>
        <v>National Semiconductor</v>
      </c>
      <c r="C3504" s="6">
        <v>894</v>
      </c>
      <c r="D3504" s="7">
        <v>4.59</v>
      </c>
    </row>
    <row r="3505" spans="1:5" x14ac:dyDescent="0.25">
      <c r="A3505" t="str">
        <f>HYPERLINK("https://www.773grp.com/globalSearch/LM13600MX/page-1", "LM13600MX")</f>
        <v>LM13600MX</v>
      </c>
      <c r="B3505" s="3" t="str">
        <f>HYPERLINK("https://www.773grp.com/manufacturer/national-semiconductor?pageNo=20", "National Semiconductor")</f>
        <v>National Semiconductor</v>
      </c>
      <c r="C3505" s="6">
        <v>12523</v>
      </c>
      <c r="D3505" s="7">
        <v>4.59</v>
      </c>
      <c r="E3505" t="s">
        <v>13</v>
      </c>
    </row>
    <row r="3506" spans="1:5" x14ac:dyDescent="0.25">
      <c r="A3506" t="str">
        <f>HYPERLINK("https://www.773grp.com/globalSearch/LM2941CSX-NOPB/page-1", "LM2941CSX-NOPB")</f>
        <v>LM2941CSX-NOPB</v>
      </c>
      <c r="B3506" s="3" t="str">
        <f>HYPERLINK("https://www.773grp.com/manufacturer/national-semiconductor?pageNo=21", "National Semiconductor")</f>
        <v>National Semiconductor</v>
      </c>
      <c r="C3506" s="6">
        <v>1927</v>
      </c>
      <c r="D3506" s="7">
        <v>4.59</v>
      </c>
      <c r="E3506" t="s">
        <v>25</v>
      </c>
    </row>
    <row r="3507" spans="1:5" x14ac:dyDescent="0.25">
      <c r="A3507" t="str">
        <f>HYPERLINK("https://www.773grp.com/globalSearch/LM3940IS-3.3-NOPB/page-1", "LM3940IS-3.3-NOPB")</f>
        <v>LM3940IS-3.3-NOPB</v>
      </c>
      <c r="B3507" s="3" t="str">
        <f>HYPERLINK("https://www.773grp.com/manufacturer/national-semiconductor?pageNo=22", "National Semiconductor")</f>
        <v>National Semiconductor</v>
      </c>
      <c r="C3507" s="6">
        <v>7551</v>
      </c>
      <c r="D3507" s="7">
        <v>4.59</v>
      </c>
      <c r="E3507" t="s">
        <v>19</v>
      </c>
    </row>
    <row r="3508" spans="1:5" x14ac:dyDescent="0.25">
      <c r="A3508" t="str">
        <f>HYPERLINK("https://www.773grp.com/globalSearch/LM4938MHX/page-1", "LM4938MHX")</f>
        <v>LM4938MHX</v>
      </c>
      <c r="B3508" s="3" t="str">
        <f>HYPERLINK("https://www.773grp.com/manufacturer/national-semiconductor?pageNo=23", "National Semiconductor")</f>
        <v>National Semiconductor</v>
      </c>
      <c r="C3508" s="6">
        <v>5000</v>
      </c>
      <c r="D3508" s="7">
        <v>4.59</v>
      </c>
      <c r="E3508" t="s">
        <v>41</v>
      </c>
    </row>
    <row r="3509" spans="1:5" x14ac:dyDescent="0.25">
      <c r="A3509" t="str">
        <f>HYPERLINK("https://www.773grp.com/globalSearch/LM5050MK-2-NOPB/page-1", "LM5050MK-2-NOPB")</f>
        <v>LM5050MK-2-NOPB</v>
      </c>
      <c r="B3509" s="3" t="str">
        <f>HYPERLINK("https://www.773grp.com/manufacturer/national-semiconductor?pageNo=24", "National Semiconductor")</f>
        <v>National Semiconductor</v>
      </c>
      <c r="C3509" s="6">
        <v>880</v>
      </c>
      <c r="D3509" s="7">
        <v>4.59</v>
      </c>
    </row>
    <row r="3510" spans="1:5" x14ac:dyDescent="0.25">
      <c r="A3510" t="str">
        <f>HYPERLINK("https://www.773grp.com/globalSearch/LM74CITP-3-NOPB/page-1", "LM74CITP-3-NOPB")</f>
        <v>LM74CITP-3-NOPB</v>
      </c>
      <c r="B3510" s="3" t="str">
        <f>HYPERLINK("https://www.773grp.com/manufacturer/national-semiconductor?pageNo=25", "National Semiconductor")</f>
        <v>National Semiconductor</v>
      </c>
      <c r="C3510" s="6">
        <v>1475</v>
      </c>
      <c r="D3510" s="7">
        <v>4.59</v>
      </c>
      <c r="E3510" t="s">
        <v>12</v>
      </c>
    </row>
    <row r="3511" spans="1:5" x14ac:dyDescent="0.25">
      <c r="A3511" t="str">
        <f>HYPERLINK("https://www.773grp.com/globalSearch/LM9071T/page-1", "LM9071T")</f>
        <v>LM9071T</v>
      </c>
      <c r="B3511" s="3" t="str">
        <f>HYPERLINK("https://www.773grp.com/manufacturer/national-semiconductor?pageNo=26", "National Semiconductor")</f>
        <v>National Semiconductor</v>
      </c>
      <c r="C3511" s="6">
        <v>110</v>
      </c>
      <c r="D3511" s="7">
        <v>4.59</v>
      </c>
      <c r="E3511" t="s">
        <v>19</v>
      </c>
    </row>
    <row r="3512" spans="1:5" x14ac:dyDescent="0.25">
      <c r="A3512" t="str">
        <f>HYPERLINK("https://www.773grp.com/globalSearch/LM9071T-NOPB/page-1", "LM9071T-NOPB")</f>
        <v>LM9071T-NOPB</v>
      </c>
      <c r="B3512" s="3" t="str">
        <f>HYPERLINK("https://www.773grp.com/manufacturer/national-semiconductor?pageNo=27", "National Semiconductor")</f>
        <v>National Semiconductor</v>
      </c>
      <c r="C3512" s="6">
        <v>55</v>
      </c>
      <c r="D3512" s="7">
        <v>4.59</v>
      </c>
      <c r="E3512" t="s">
        <v>19</v>
      </c>
    </row>
    <row r="3513" spans="1:5" x14ac:dyDescent="0.25">
      <c r="A3513" t="str">
        <f>HYPERLINK("https://www.773grp.com/globalSearch/LM95213CISD-NOPB/page-1", "LM95213CISD-NOPB")</f>
        <v>LM95213CISD-NOPB</v>
      </c>
      <c r="B3513" s="3" t="str">
        <f>HYPERLINK("https://www.773grp.com/manufacturer/national-semiconductor?pageNo=28", "National Semiconductor")</f>
        <v>National Semiconductor</v>
      </c>
      <c r="C3513" s="6">
        <v>1290</v>
      </c>
      <c r="D3513" s="7">
        <v>4.59</v>
      </c>
    </row>
    <row r="3514" spans="1:5" x14ac:dyDescent="0.25">
      <c r="A3514" t="str">
        <f>HYPERLINK("https://www.773grp.com/globalSearch/LMC6036IMTX-NOPB/page-1", "LMC6036IMTX-NOPB")</f>
        <v>LMC6036IMTX-NOPB</v>
      </c>
      <c r="B3514" s="3" t="str">
        <f>HYPERLINK("https://www.773grp.com/manufacturer/national-semiconductor?pageNo=29", "National Semiconductor")</f>
        <v>National Semiconductor</v>
      </c>
      <c r="C3514" s="6">
        <v>2100</v>
      </c>
      <c r="D3514" s="7">
        <v>4.59</v>
      </c>
      <c r="E3514" t="s">
        <v>13</v>
      </c>
    </row>
    <row r="3515" spans="1:5" x14ac:dyDescent="0.25">
      <c r="A3515" t="str">
        <f>HYPERLINK("https://www.773grp.com/globalSearch/LMC6442IM/page-1", "LMC6442IM")</f>
        <v>LMC6442IM</v>
      </c>
      <c r="B3515" s="3" t="str">
        <f>HYPERLINK("https://www.773grp.com/manufacturer/national-semiconductor?pageNo=30", "National Semiconductor")</f>
        <v>National Semiconductor</v>
      </c>
      <c r="C3515" s="6">
        <v>190</v>
      </c>
      <c r="D3515" s="7">
        <v>4.59</v>
      </c>
      <c r="E3515" t="s">
        <v>13</v>
      </c>
    </row>
    <row r="3516" spans="1:5" x14ac:dyDescent="0.25">
      <c r="A3516" t="str">
        <f>HYPERLINK("https://www.773grp.com/globalSearch/LMC6572AIM-NOPB/page-1", "LMC6572AIM-NOPB")</f>
        <v>LMC6572AIM-NOPB</v>
      </c>
      <c r="B3516" s="3" t="str">
        <f>HYPERLINK("https://www.773grp.com/manufacturer/national-semiconductor?pageNo=31", "National Semiconductor")</f>
        <v>National Semiconductor</v>
      </c>
      <c r="C3516" s="6">
        <v>686</v>
      </c>
      <c r="D3516" s="7">
        <v>4.59</v>
      </c>
      <c r="E3516" t="s">
        <v>13</v>
      </c>
    </row>
    <row r="3517" spans="1:5" x14ac:dyDescent="0.25">
      <c r="A3517" t="str">
        <f>HYPERLINK("https://www.773grp.com/globalSearch/LMV761MA/page-1", "LMV761MA")</f>
        <v>LMV761MA</v>
      </c>
      <c r="B3517" s="3" t="str">
        <f>HYPERLINK("https://www.773grp.com/manufacturer/national-semiconductor?pageNo=32", "National Semiconductor")</f>
        <v>National Semiconductor</v>
      </c>
      <c r="C3517" s="6">
        <v>8</v>
      </c>
      <c r="D3517" s="7">
        <v>4.59</v>
      </c>
      <c r="E3517" t="s">
        <v>9</v>
      </c>
    </row>
    <row r="3518" spans="1:5" x14ac:dyDescent="0.25">
      <c r="A3518" t="str">
        <f>HYPERLINK("https://www.773grp.com/globalSearch/LP38690DT-5.0/page-1", "LP38690DT-5.0")</f>
        <v>LP38690DT-5.0</v>
      </c>
      <c r="B3518" s="3" t="str">
        <f>HYPERLINK("https://www.773grp.com/manufacturer/national-semiconductor?pageNo=33", "National Semiconductor")</f>
        <v>National Semiconductor</v>
      </c>
      <c r="C3518" s="6">
        <v>475</v>
      </c>
      <c r="D3518" s="7">
        <v>4.59</v>
      </c>
      <c r="E3518" t="s">
        <v>19</v>
      </c>
    </row>
    <row r="3519" spans="1:5" x14ac:dyDescent="0.25">
      <c r="A3519" t="str">
        <f>HYPERLINK("https://www.773grp.com/globalSearch/ADC082S051CIMM-NOPB/page-1", "ADC082S051CIMM-NOPB")</f>
        <v>ADC082S051CIMM-NOPB</v>
      </c>
      <c r="B3519" s="3" t="str">
        <f>HYPERLINK("https://www.773grp.com/manufacturer/national-semiconductor?pageNo=34", "National Semiconductor")</f>
        <v>National Semiconductor</v>
      </c>
      <c r="C3519" s="6">
        <v>4000</v>
      </c>
      <c r="D3519" s="7">
        <v>4.59</v>
      </c>
    </row>
    <row r="3520" spans="1:5" x14ac:dyDescent="0.25">
      <c r="A3520" t="str">
        <f>HYPERLINK("https://www.773grp.com/globalSearch/DS485TMX-NOPB/page-1", "DS485TMX-NOPB")</f>
        <v>DS485TMX-NOPB</v>
      </c>
      <c r="B3520" s="3" t="str">
        <f>HYPERLINK("https://www.773grp.com/manufacturer/national-semiconductor?pageNo=35", "National Semiconductor")</f>
        <v>National Semiconductor</v>
      </c>
      <c r="C3520" s="6">
        <v>3120</v>
      </c>
      <c r="D3520" s="7">
        <v>4.59</v>
      </c>
      <c r="E3520" t="s">
        <v>21</v>
      </c>
    </row>
    <row r="3521" spans="1:5" x14ac:dyDescent="0.25">
      <c r="A3521" t="str">
        <f>HYPERLINK("https://www.773grp.com/globalSearch/LM1086IT-1.8-NOPB/page-1", "LM1086IT-1.8-NOPB")</f>
        <v>LM1086IT-1.8-NOPB</v>
      </c>
      <c r="B3521" s="3" t="str">
        <f>HYPERLINK("https://www.773grp.com/manufacturer/national-semiconductor?pageNo=36", "National Semiconductor")</f>
        <v>National Semiconductor</v>
      </c>
      <c r="C3521" s="6">
        <v>1086</v>
      </c>
      <c r="D3521" s="7">
        <v>4.59</v>
      </c>
    </row>
    <row r="3522" spans="1:5" x14ac:dyDescent="0.25">
      <c r="A3522" t="str">
        <f>HYPERLINK("https://www.773grp.com/globalSearch/LM3940IS-3.3-NOPB/page-1", "LM3940IS-3.3-NOPB")</f>
        <v>LM3940IS-3.3-NOPB</v>
      </c>
      <c r="B3522" s="3" t="str">
        <f>HYPERLINK("https://www.773grp.com/manufacturer/national-semiconductor?pageNo=37", "National Semiconductor")</f>
        <v>National Semiconductor</v>
      </c>
      <c r="C3522" s="6">
        <v>220</v>
      </c>
      <c r="D3522" s="7">
        <v>4.59</v>
      </c>
      <c r="E3522" t="s">
        <v>19</v>
      </c>
    </row>
    <row r="3523" spans="1:5" x14ac:dyDescent="0.25">
      <c r="A3523" t="str">
        <f>HYPERLINK("https://www.773grp.com/globalSearch/LM4938MHX-NOPB/page-1", "LM4938MHX-NOPB")</f>
        <v>LM4938MHX-NOPB</v>
      </c>
      <c r="B3523" s="3" t="str">
        <f>HYPERLINK("https://www.773grp.com/manufacturer/national-semiconductor?pageNo=38", "National Semiconductor")</f>
        <v>National Semiconductor</v>
      </c>
      <c r="C3523" s="6">
        <v>2500</v>
      </c>
      <c r="D3523" s="7">
        <v>4.59</v>
      </c>
    </row>
    <row r="3524" spans="1:5" x14ac:dyDescent="0.25">
      <c r="A3524" t="str">
        <f>HYPERLINK("https://www.773grp.com/globalSearch/LM5050MK-2-NOPB/page-1", "LM5050MK-2-NOPB")</f>
        <v>LM5050MK-2-NOPB</v>
      </c>
      <c r="B3524" s="3" t="str">
        <f>HYPERLINK("https://www.773grp.com/manufacturer/national-semiconductor?pageNo=39", "National Semiconductor")</f>
        <v>National Semiconductor</v>
      </c>
      <c r="C3524" s="6">
        <v>677</v>
      </c>
      <c r="D3524" s="7">
        <v>4.59</v>
      </c>
    </row>
    <row r="3525" spans="1:5" x14ac:dyDescent="0.25">
      <c r="A3525" t="str">
        <f>HYPERLINK("https://www.773grp.com/globalSearch/LM74CITP-3-NOPB/page-1", "LM74CITP-3-NOPB")</f>
        <v>LM74CITP-3-NOPB</v>
      </c>
      <c r="B3525" s="3" t="str">
        <f>HYPERLINK("https://www.773grp.com/manufacturer/national-semiconductor?pageNo=40", "National Semiconductor")</f>
        <v>National Semiconductor</v>
      </c>
      <c r="C3525" s="6">
        <v>7030</v>
      </c>
      <c r="D3525" s="7">
        <v>4.59</v>
      </c>
      <c r="E3525" t="s">
        <v>12</v>
      </c>
    </row>
    <row r="3526" spans="1:5" x14ac:dyDescent="0.25">
      <c r="A3526" t="str">
        <f>HYPERLINK("https://www.773grp.com/globalSearch/LMC6036IMTX-NOPB/page-1", "LMC6036IMTX-NOPB")</f>
        <v>LMC6036IMTX-NOPB</v>
      </c>
      <c r="B3526" s="3" t="str">
        <f>HYPERLINK("https://www.773grp.com/manufacturer/national-semiconductor?pageNo=41", "National Semiconductor")</f>
        <v>National Semiconductor</v>
      </c>
      <c r="C3526" s="6">
        <v>2500</v>
      </c>
      <c r="D3526" s="7">
        <v>4.59</v>
      </c>
      <c r="E3526" t="s">
        <v>13</v>
      </c>
    </row>
    <row r="3527" spans="1:5" x14ac:dyDescent="0.25">
      <c r="A3527" t="str">
        <f>HYPERLINK("https://www.773grp.com/globalSearch/LMC6442IMX-NOPB/page-1", "LMC6442IMX-NOPB")</f>
        <v>LMC6442IMX-NOPB</v>
      </c>
      <c r="B3527" s="3" t="str">
        <f>HYPERLINK("https://www.773grp.com/manufacturer/national-semiconductor?pageNo=42", "National Semiconductor")</f>
        <v>National Semiconductor</v>
      </c>
      <c r="C3527" s="6">
        <v>67500</v>
      </c>
      <c r="D3527" s="7">
        <v>4.59</v>
      </c>
    </row>
    <row r="3528" spans="1:5" x14ac:dyDescent="0.25">
      <c r="A3528" t="str">
        <f>HYPERLINK("https://www.773grp.com/globalSearch/LMC6572AIM-NOPB/page-1", "LMC6572AIM-NOPB")</f>
        <v>LMC6572AIM-NOPB</v>
      </c>
      <c r="B3528" s="3" t="str">
        <f>HYPERLINK("https://www.773grp.com/manufacturer/national-semiconductor?pageNo=43", "National Semiconductor")</f>
        <v>National Semiconductor</v>
      </c>
      <c r="C3528" s="6">
        <v>575</v>
      </c>
      <c r="D3528" s="7">
        <v>4.59</v>
      </c>
      <c r="E3528" t="s">
        <v>13</v>
      </c>
    </row>
    <row r="3529" spans="1:5" x14ac:dyDescent="0.25">
      <c r="A3529" t="str">
        <f>HYPERLINK("https://www.773grp.com/globalSearch/LMV7235M7/page-1", "LMV7235M7")</f>
        <v>LMV7235M7</v>
      </c>
      <c r="B3529" s="3" t="str">
        <f>HYPERLINK("https://www.773grp.com/manufacturer/national-semiconductor?pageNo=44", "National Semiconductor")</f>
        <v>National Semiconductor</v>
      </c>
      <c r="C3529" s="6">
        <v>1000</v>
      </c>
      <c r="D3529" s="7">
        <v>4.59</v>
      </c>
    </row>
    <row r="3530" spans="1:5" x14ac:dyDescent="0.25">
      <c r="A3530" t="str">
        <f>HYPERLINK("https://www.773grp.com/globalSearch/LP38690DT-3.3/page-1", "LP38690DT-3.3")</f>
        <v>LP38690DT-3.3</v>
      </c>
      <c r="B3530" s="3" t="str">
        <f>HYPERLINK("https://www.773grp.com/manufacturer/national-semiconductor?pageNo=45", "National Semiconductor")</f>
        <v>National Semiconductor</v>
      </c>
      <c r="C3530" s="6">
        <v>7812</v>
      </c>
      <c r="D3530" s="7">
        <v>4.59</v>
      </c>
    </row>
    <row r="3531" spans="1:5" x14ac:dyDescent="0.25">
      <c r="A3531" t="str">
        <f>HYPERLINK("https://www.773grp.com/globalSearch/OPA2830IDGKR/page-1", "OPA2830IDGKR")</f>
        <v>OPA2830IDGKR</v>
      </c>
      <c r="B3531" s="3" t="str">
        <f>HYPERLINK("https://www.773grp.com/manufacturer/national-semiconductor?pageNo=46", "National Semiconductor")</f>
        <v>National Semiconductor</v>
      </c>
      <c r="C3531" s="6">
        <v>2500</v>
      </c>
      <c r="D3531" s="7">
        <v>4.59</v>
      </c>
    </row>
    <row r="3532" spans="1:5" x14ac:dyDescent="0.25">
      <c r="A3532" t="str">
        <f>HYPERLINK("https://www.773grp.com/globalSearch/SN74ABT652ADW/page-1", "SN74ABT652ADW")</f>
        <v>SN74ABT652ADW</v>
      </c>
      <c r="B3532" s="3" t="str">
        <f>HYPERLINK("https://www.773grp.com/manufacturer/national-semiconductor?pageNo=47", "National Semiconductor")</f>
        <v>National Semiconductor</v>
      </c>
      <c r="C3532" s="6">
        <v>1000</v>
      </c>
      <c r="D3532" s="7">
        <v>4.59</v>
      </c>
    </row>
    <row r="3533" spans="1:5" x14ac:dyDescent="0.25">
      <c r="A3533" t="str">
        <f>HYPERLINK("https://www.773grp.com/globalSearch/ADC0820CCWMX/page-1", "ADC0820CCWMX")</f>
        <v>ADC0820CCWMX</v>
      </c>
      <c r="B3533" s="3" t="str">
        <f>HYPERLINK("https://www.773grp.com/manufacturer/national-semiconductor?pageNo=48", "National Semiconductor")</f>
        <v>National Semiconductor</v>
      </c>
      <c r="C3533" s="6">
        <v>1000</v>
      </c>
      <c r="D3533" s="7">
        <v>4.16</v>
      </c>
      <c r="E3533" t="s">
        <v>39</v>
      </c>
    </row>
    <row r="3534" spans="1:5" x14ac:dyDescent="0.25">
      <c r="A3534" t="str">
        <f>HYPERLINK("https://www.773grp.com/globalSearch/DAC0832LCN-NOPB/page-1", "DAC0832LCN-NOPB")</f>
        <v>DAC0832LCN-NOPB</v>
      </c>
      <c r="B3534" s="3" t="str">
        <f>HYPERLINK("https://www.773grp.com/manufacturer/national-semiconductor?pageNo=49", "National Semiconductor")</f>
        <v>National Semiconductor</v>
      </c>
      <c r="C3534" s="6">
        <v>11657</v>
      </c>
      <c r="D3534" s="7">
        <v>4.16</v>
      </c>
      <c r="E3534" t="s">
        <v>33</v>
      </c>
    </row>
    <row r="3535" spans="1:5" x14ac:dyDescent="0.25">
      <c r="A3535" t="str">
        <f>HYPERLINK("https://www.773grp.com/globalSearch/DAC0832LCWMX-NOPB/page-1", "DAC0832LCWMX-NOPB")</f>
        <v>DAC0832LCWMX-NOPB</v>
      </c>
      <c r="B3535" s="3" t="str">
        <f>HYPERLINK("https://www.773grp.com/manufacturer/national-semiconductor?pageNo=50", "National Semiconductor")</f>
        <v>National Semiconductor</v>
      </c>
      <c r="C3535" s="6">
        <v>16000</v>
      </c>
      <c r="D3535" s="7">
        <v>4.16</v>
      </c>
      <c r="E3535" t="s">
        <v>33</v>
      </c>
    </row>
    <row r="3536" spans="1:5" x14ac:dyDescent="0.25">
      <c r="A3536" t="str">
        <f>HYPERLINK("https://www.773grp.com/globalSearch/LM2467TA/page-1", "LM2467TA")</f>
        <v>LM2467TA</v>
      </c>
      <c r="B3536" s="3" t="str">
        <f>HYPERLINK("https://www.773grp.com/manufacturer/national-semiconductor?pageNo=51", "National Semiconductor")</f>
        <v>National Semiconductor</v>
      </c>
      <c r="C3536" s="6">
        <v>2135</v>
      </c>
      <c r="D3536" s="7">
        <v>4.16</v>
      </c>
      <c r="E3536" t="s">
        <v>18</v>
      </c>
    </row>
    <row r="3537" spans="1:5" x14ac:dyDescent="0.25">
      <c r="A3537" t="str">
        <f>HYPERLINK("https://www.773grp.com/globalSearch/LM25037QMT/page-1", "LM25037QMT")</f>
        <v>LM25037QMT</v>
      </c>
      <c r="B3537" s="3" t="str">
        <f>HYPERLINK("https://www.773grp.com/manufacturer/national-semiconductor?pageNo=52", "National Semiconductor")</f>
        <v>National Semiconductor</v>
      </c>
      <c r="C3537" s="6">
        <v>251</v>
      </c>
      <c r="D3537" s="7">
        <v>4.16</v>
      </c>
    </row>
    <row r="3538" spans="1:5" x14ac:dyDescent="0.25">
      <c r="A3538" t="str">
        <f>HYPERLINK("https://www.773grp.com/globalSearch/LM2618ATL/page-1", "LM2618ATL")</f>
        <v>LM2618ATL</v>
      </c>
      <c r="B3538" s="3" t="str">
        <f>HYPERLINK("https://www.773grp.com/manufacturer/national-semiconductor?pageNo=53", "National Semiconductor")</f>
        <v>National Semiconductor</v>
      </c>
      <c r="C3538" s="6">
        <v>2250</v>
      </c>
      <c r="D3538" s="7">
        <v>4.16</v>
      </c>
      <c r="E3538" t="s">
        <v>7</v>
      </c>
    </row>
    <row r="3539" spans="1:5" x14ac:dyDescent="0.25">
      <c r="A3539" t="str">
        <f>HYPERLINK("https://www.773grp.com/globalSearch/LM2642MTCX-HALF/page-1", "LM2642MTCX-HALF")</f>
        <v>LM2642MTCX-HALF</v>
      </c>
      <c r="B3539" s="3" t="str">
        <f>HYPERLINK("https://www.773grp.com/manufacturer/national-semiconductor?pageNo=54", "National Semiconductor")</f>
        <v>National Semiconductor</v>
      </c>
      <c r="C3539" s="6">
        <v>2500</v>
      </c>
      <c r="D3539" s="7">
        <v>4.16</v>
      </c>
    </row>
    <row r="3540" spans="1:5" x14ac:dyDescent="0.25">
      <c r="A3540" t="str">
        <f>HYPERLINK("https://www.773grp.com/globalSearch/LM2642MTCX-NOPB/page-1", "LM2642MTCX-NOPB")</f>
        <v>LM2642MTCX-NOPB</v>
      </c>
      <c r="B3540" s="3" t="str">
        <f>HYPERLINK("https://www.773grp.com/manufacturer/national-semiconductor?pageNo=55", "National Semiconductor")</f>
        <v>National Semiconductor</v>
      </c>
      <c r="C3540" s="6">
        <v>39580</v>
      </c>
      <c r="D3540" s="7">
        <v>4.16</v>
      </c>
      <c r="E3540" t="s">
        <v>7</v>
      </c>
    </row>
    <row r="3541" spans="1:5" x14ac:dyDescent="0.25">
      <c r="A3541" t="str">
        <f>HYPERLINK("https://www.773grp.com/globalSearch/LM26480SQ-AA/page-1", "LM26480SQ-AA")</f>
        <v>LM26480SQ-AA</v>
      </c>
      <c r="B3541" s="3" t="str">
        <f>HYPERLINK("https://www.773grp.com/manufacturer/national-semiconductor?pageNo=56", "National Semiconductor")</f>
        <v>National Semiconductor</v>
      </c>
      <c r="C3541" s="6">
        <v>1000</v>
      </c>
      <c r="D3541" s="7">
        <v>4.16</v>
      </c>
      <c r="E3541" t="s">
        <v>7</v>
      </c>
    </row>
    <row r="3542" spans="1:5" x14ac:dyDescent="0.25">
      <c r="A3542" t="str">
        <f>HYPERLINK("https://www.773grp.com/globalSearch/LM2726M-NOPB/page-1", "LM2726M-NOPB")</f>
        <v>LM2726M-NOPB</v>
      </c>
      <c r="B3542" s="3" t="str">
        <f>HYPERLINK("https://www.773grp.com/manufacturer/national-semiconductor?pageNo=57", "National Semiconductor")</f>
        <v>National Semiconductor</v>
      </c>
      <c r="C3542" s="6">
        <v>751</v>
      </c>
      <c r="D3542" s="7">
        <v>4.16</v>
      </c>
      <c r="E3542" t="s">
        <v>16</v>
      </c>
    </row>
    <row r="3543" spans="1:5" x14ac:dyDescent="0.25">
      <c r="A3543" t="str">
        <f>HYPERLINK("https://www.773grp.com/globalSearch/LM63CIMA/page-1", "LM63CIMA")</f>
        <v>LM63CIMA</v>
      </c>
      <c r="B3543" s="3" t="str">
        <f>HYPERLINK("https://www.773grp.com/manufacturer/national-semiconductor?pageNo=58", "National Semiconductor")</f>
        <v>National Semiconductor</v>
      </c>
      <c r="C3543" s="6">
        <v>190</v>
      </c>
      <c r="D3543" s="7">
        <v>4.16</v>
      </c>
      <c r="E3543" t="s">
        <v>12</v>
      </c>
    </row>
    <row r="3544" spans="1:5" x14ac:dyDescent="0.25">
      <c r="A3544" t="str">
        <f>HYPERLINK("https://www.773grp.com/globalSearch/LMC6484IM/page-1", "LMC6484IM")</f>
        <v>LMC6484IM</v>
      </c>
      <c r="B3544" s="3" t="str">
        <f>HYPERLINK("https://www.773grp.com/manufacturer/national-semiconductor?pageNo=59", "National Semiconductor")</f>
        <v>National Semiconductor</v>
      </c>
      <c r="C3544" s="6">
        <v>117</v>
      </c>
      <c r="D3544" s="7">
        <v>4.16</v>
      </c>
      <c r="E3544" t="s">
        <v>13</v>
      </c>
    </row>
    <row r="3545" spans="1:5" x14ac:dyDescent="0.25">
      <c r="A3545" t="str">
        <f>HYPERLINK("https://www.773grp.com/globalSearch/LMH6559MA/page-1", "LMH6559MA")</f>
        <v>LMH6559MA</v>
      </c>
      <c r="B3545" s="3" t="str">
        <f>HYPERLINK("https://www.773grp.com/manufacturer/national-semiconductor?pageNo=60", "National Semiconductor")</f>
        <v>National Semiconductor</v>
      </c>
      <c r="C3545" s="6">
        <v>5</v>
      </c>
      <c r="D3545" s="7">
        <v>4.16</v>
      </c>
      <c r="E3545" t="s">
        <v>48</v>
      </c>
    </row>
    <row r="3546" spans="1:5" x14ac:dyDescent="0.25">
      <c r="A3546" t="str">
        <f>HYPERLINK("https://www.773grp.com/globalSearch/LP2989AIM-1.8/page-1", "LP2989AIM-1.8")</f>
        <v>LP2989AIM-1.8</v>
      </c>
      <c r="B3546" s="3" t="str">
        <f>HYPERLINK("https://www.773grp.com/manufacturer/national-semiconductor?pageNo=61", "National Semiconductor")</f>
        <v>National Semiconductor</v>
      </c>
      <c r="C3546" s="6">
        <v>212</v>
      </c>
      <c r="D3546" s="7">
        <v>4.16</v>
      </c>
      <c r="E3546" t="s">
        <v>19</v>
      </c>
    </row>
    <row r="3547" spans="1:5" x14ac:dyDescent="0.25">
      <c r="A3547" t="str">
        <f>HYPERLINK("https://www.773grp.com/globalSearch/LP2989AIM-5.0/page-1", "LP2989AIM-5.0")</f>
        <v>LP2989AIM-5.0</v>
      </c>
      <c r="B3547" s="3" t="str">
        <f>HYPERLINK("https://www.773grp.com/manufacturer/national-semiconductor?pageNo=62", "National Semiconductor")</f>
        <v>National Semiconductor</v>
      </c>
      <c r="C3547" s="6">
        <v>530</v>
      </c>
      <c r="D3547" s="7">
        <v>4.16</v>
      </c>
      <c r="E3547" t="s">
        <v>19</v>
      </c>
    </row>
    <row r="3548" spans="1:5" x14ac:dyDescent="0.25">
      <c r="A3548" t="str">
        <f>HYPERLINK("https://www.773grp.com/globalSearch/LP2989IM-1.8/page-1", "LP2989IM-1.8")</f>
        <v>LP2989IM-1.8</v>
      </c>
      <c r="B3548" s="3" t="str">
        <f>HYPERLINK("https://www.773grp.com/manufacturer/national-semiconductor?pageNo=63", "National Semiconductor")</f>
        <v>National Semiconductor</v>
      </c>
      <c r="C3548" s="6">
        <v>136</v>
      </c>
      <c r="D3548" s="7">
        <v>4.16</v>
      </c>
      <c r="E3548" t="s">
        <v>19</v>
      </c>
    </row>
    <row r="3549" spans="1:5" x14ac:dyDescent="0.25">
      <c r="A3549" t="str">
        <f>HYPERLINK("https://www.773grp.com/globalSearch/LP3919RL-A-NOPB/page-1", "LP3919RL-A-NOPB")</f>
        <v>LP3919RL-A-NOPB</v>
      </c>
      <c r="B3549" s="3" t="str">
        <f>HYPERLINK("https://www.773grp.com/manufacturer/national-semiconductor?pageNo=64", "National Semiconductor")</f>
        <v>National Semiconductor</v>
      </c>
      <c r="C3549" s="6">
        <v>250</v>
      </c>
      <c r="D3549" s="7">
        <v>4.16</v>
      </c>
    </row>
    <row r="3550" spans="1:5" x14ac:dyDescent="0.25">
      <c r="A3550" t="str">
        <f>HYPERLINK("https://www.773grp.com/globalSearch/LP3919RL-B-NOPB/page-1", "LP3919RL-B-NOPB")</f>
        <v>LP3919RL-B-NOPB</v>
      </c>
      <c r="B3550" s="3" t="str">
        <f>HYPERLINK("https://www.773grp.com/manufacturer/national-semiconductor?pageNo=65", "National Semiconductor")</f>
        <v>National Semiconductor</v>
      </c>
      <c r="C3550" s="6">
        <v>500</v>
      </c>
      <c r="D3550" s="7">
        <v>4.16</v>
      </c>
    </row>
    <row r="3551" spans="1:5" x14ac:dyDescent="0.25">
      <c r="A3551" t="str">
        <f>HYPERLINK("https://www.773grp.com/globalSearch/LP3919RL-C-NOPB/page-1", "LP3919RL-C-NOPB")</f>
        <v>LP3919RL-C-NOPB</v>
      </c>
      <c r="B3551" s="3" t="str">
        <f>HYPERLINK("https://www.773grp.com/manufacturer/national-semiconductor?pageNo=66", "National Semiconductor")</f>
        <v>National Semiconductor</v>
      </c>
      <c r="C3551" s="6">
        <v>750</v>
      </c>
      <c r="D3551" s="7">
        <v>4.16</v>
      </c>
    </row>
    <row r="3552" spans="1:5" x14ac:dyDescent="0.25">
      <c r="A3552" t="str">
        <f>HYPERLINK("https://www.773grp.com/globalSearch/LP3963ESX-2.5-NOPB/page-1", "LP3963ESX-2.5-NOPB")</f>
        <v>LP3963ESX-2.5-NOPB</v>
      </c>
      <c r="B3552" s="3" t="str">
        <f>HYPERLINK("https://www.773grp.com/manufacturer/national-semiconductor?pageNo=67", "National Semiconductor")</f>
        <v>National Semiconductor</v>
      </c>
      <c r="C3552" s="6">
        <v>1227</v>
      </c>
      <c r="D3552" s="7">
        <v>4.16</v>
      </c>
      <c r="E3552" t="s">
        <v>19</v>
      </c>
    </row>
    <row r="3553" spans="1:5" x14ac:dyDescent="0.25">
      <c r="A3553" t="str">
        <f>HYPERLINK("https://www.773grp.com/globalSearch/LP3963ESX-3.3-NOPB/page-1", "LP3963ESX-3.3-NOPB")</f>
        <v>LP3963ESX-3.3-NOPB</v>
      </c>
      <c r="B3553" s="3" t="str">
        <f>HYPERLINK("https://www.773grp.com/manufacturer/national-semiconductor?pageNo=68", "National Semiconductor")</f>
        <v>National Semiconductor</v>
      </c>
      <c r="C3553" s="6">
        <v>23000</v>
      </c>
      <c r="D3553" s="7">
        <v>4.16</v>
      </c>
      <c r="E3553" t="s">
        <v>19</v>
      </c>
    </row>
    <row r="3554" spans="1:5" x14ac:dyDescent="0.25">
      <c r="A3554" t="str">
        <f>HYPERLINK("https://www.773grp.com/globalSearch/LP3963ET-3.3/page-1", "LP3963ET-3.3")</f>
        <v>LP3963ET-3.3</v>
      </c>
      <c r="B3554" s="3" t="str">
        <f>HYPERLINK("https://www.773grp.com/manufacturer/national-semiconductor?pageNo=69", "National Semiconductor")</f>
        <v>National Semiconductor</v>
      </c>
      <c r="C3554" s="6">
        <v>2</v>
      </c>
      <c r="D3554" s="7">
        <v>4.16</v>
      </c>
      <c r="E3554" t="s">
        <v>19</v>
      </c>
    </row>
    <row r="3555" spans="1:5" x14ac:dyDescent="0.25">
      <c r="A3555" t="str">
        <f>HYPERLINK("https://www.773grp.com/globalSearch/LP3966ES-5.0/page-1", "LP3966ES-5.0")</f>
        <v>LP3966ES-5.0</v>
      </c>
      <c r="B3555" s="3" t="str">
        <f>HYPERLINK("https://www.773grp.com/manufacturer/national-semiconductor?pageNo=70", "National Semiconductor")</f>
        <v>National Semiconductor</v>
      </c>
      <c r="C3555" s="6">
        <v>1</v>
      </c>
      <c r="D3555" s="7">
        <v>4.16</v>
      </c>
      <c r="E3555" t="s">
        <v>19</v>
      </c>
    </row>
    <row r="3556" spans="1:5" x14ac:dyDescent="0.25">
      <c r="A3556" t="str">
        <f>HYPERLINK("https://www.773grp.com/globalSearch/LP3966ET-1.8-NOPB/page-1", "LP3966ET-1.8-NOPB")</f>
        <v>LP3966ET-1.8-NOPB</v>
      </c>
      <c r="B3556" s="3" t="str">
        <f>HYPERLINK("https://www.773grp.com/manufacturer/national-semiconductor?pageNo=71", "National Semiconductor")</f>
        <v>National Semiconductor</v>
      </c>
      <c r="C3556" s="6">
        <v>68</v>
      </c>
      <c r="D3556" s="7">
        <v>4.16</v>
      </c>
      <c r="E3556" t="s">
        <v>19</v>
      </c>
    </row>
    <row r="3557" spans="1:5" x14ac:dyDescent="0.25">
      <c r="A3557" t="str">
        <f>HYPERLINK("https://www.773grp.com/globalSearch/LP3966ET-2.5-NOPB/page-1", "LP3966ET-2.5-NOPB")</f>
        <v>LP3966ET-2.5-NOPB</v>
      </c>
      <c r="B3557" s="3" t="str">
        <f>HYPERLINK("https://www.773grp.com/manufacturer/national-semiconductor?pageNo=72", "National Semiconductor")</f>
        <v>National Semiconductor</v>
      </c>
      <c r="C3557" s="6">
        <v>300</v>
      </c>
      <c r="D3557" s="7">
        <v>4.16</v>
      </c>
      <c r="E3557" t="s">
        <v>19</v>
      </c>
    </row>
    <row r="3558" spans="1:5" x14ac:dyDescent="0.25">
      <c r="A3558" t="str">
        <f>HYPERLINK("https://www.773grp.com/globalSearch/LP8725TLE-NOPB/page-1", "LP8725TLE-NOPB")</f>
        <v>LP8725TLE-NOPB</v>
      </c>
      <c r="B3558" s="3" t="str">
        <f>HYPERLINK("https://www.773grp.com/manufacturer/national-semiconductor?pageNo=73", "National Semiconductor")</f>
        <v>National Semiconductor</v>
      </c>
      <c r="C3558" s="6">
        <v>244</v>
      </c>
      <c r="D3558" s="7">
        <v>4.16</v>
      </c>
    </row>
    <row r="3559" spans="1:5" x14ac:dyDescent="0.25">
      <c r="A3559" t="str">
        <f>HYPERLINK("https://www.773grp.com/globalSearch/LP8725TLE-B-NOPB/page-1", "LP8725TLE-B-NOPB")</f>
        <v>LP8725TLE-B-NOPB</v>
      </c>
      <c r="B3559" s="3" t="str">
        <f>HYPERLINK("https://www.773grp.com/manufacturer/national-semiconductor?pageNo=74", "National Semiconductor")</f>
        <v>National Semiconductor</v>
      </c>
      <c r="C3559" s="6">
        <v>250</v>
      </c>
      <c r="D3559" s="7">
        <v>4.16</v>
      </c>
    </row>
    <row r="3560" spans="1:5" x14ac:dyDescent="0.25">
      <c r="A3560" t="str">
        <f>HYPERLINK("https://www.773grp.com/globalSearch/LP8725TLE-D-NOPB/page-1", "LP8725TLE-D-NOPB")</f>
        <v>LP8725TLE-D-NOPB</v>
      </c>
      <c r="B3560" s="3" t="str">
        <f>HYPERLINK("https://www.773grp.com/manufacturer/national-semiconductor?pageNo=75", "National Semiconductor")</f>
        <v>National Semiconductor</v>
      </c>
      <c r="C3560" s="6">
        <v>6750</v>
      </c>
      <c r="D3560" s="7">
        <v>4.16</v>
      </c>
    </row>
    <row r="3561" spans="1:5" x14ac:dyDescent="0.25">
      <c r="A3561" t="str">
        <f>HYPERLINK("https://www.773grp.com/globalSearch/DAC0832LCN-NOPB/page-1", "DAC0832LCN-NOPB")</f>
        <v>DAC0832LCN-NOPB</v>
      </c>
      <c r="B3561" s="3" t="str">
        <f>HYPERLINK("https://www.773grp.com/manufacturer/national-semiconductor?pageNo=76", "National Semiconductor")</f>
        <v>National Semiconductor</v>
      </c>
      <c r="C3561" s="6">
        <v>101</v>
      </c>
      <c r="D3561" s="7">
        <v>4.16</v>
      </c>
      <c r="E3561" t="s">
        <v>33</v>
      </c>
    </row>
    <row r="3562" spans="1:5" x14ac:dyDescent="0.25">
      <c r="A3562" t="str">
        <f>HYPERLINK("https://www.773grp.com/globalSearch/LM63CIMA/page-1", "LM63CIMA")</f>
        <v>LM63CIMA</v>
      </c>
      <c r="B3562" s="3" t="str">
        <f>HYPERLINK("https://www.773grp.com/manufacturer/national-semiconductor?pageNo=77", "National Semiconductor")</f>
        <v>National Semiconductor</v>
      </c>
      <c r="C3562" s="6">
        <v>2470</v>
      </c>
      <c r="D3562" s="7">
        <v>4.16</v>
      </c>
      <c r="E3562" t="s">
        <v>12</v>
      </c>
    </row>
    <row r="3563" spans="1:5" x14ac:dyDescent="0.25">
      <c r="A3563" t="str">
        <f>HYPERLINK("https://www.773grp.com/globalSearch/LM9070S-NOPB/page-1", "LM9070S-NOPB")</f>
        <v>LM9070S-NOPB</v>
      </c>
      <c r="B3563" s="3" t="str">
        <f>HYPERLINK("https://www.773grp.com/manufacturer/national-semiconductor?pageNo=78", "National Semiconductor")</f>
        <v>National Semiconductor</v>
      </c>
      <c r="C3563" s="6">
        <v>106</v>
      </c>
      <c r="D3563" s="7">
        <v>4.16</v>
      </c>
    </row>
    <row r="3564" spans="1:5" x14ac:dyDescent="0.25">
      <c r="A3564" t="str">
        <f>HYPERLINK("https://www.773grp.com/globalSearch/LMC6484IM/page-1", "LMC6484IM")</f>
        <v>LMC6484IM</v>
      </c>
      <c r="B3564" s="3" t="str">
        <f>HYPERLINK("https://www.773grp.com/manufacturer/national-semiconductor?pageNo=79", "National Semiconductor")</f>
        <v>National Semiconductor</v>
      </c>
      <c r="C3564" s="6">
        <v>6032</v>
      </c>
      <c r="D3564" s="7">
        <v>4.16</v>
      </c>
      <c r="E3564" t="s">
        <v>13</v>
      </c>
    </row>
    <row r="3565" spans="1:5" x14ac:dyDescent="0.25">
      <c r="A3565" t="str">
        <f>HYPERLINK("https://www.773grp.com/globalSearch/LMH6559MA/page-1", "LMH6559MA")</f>
        <v>LMH6559MA</v>
      </c>
      <c r="B3565" s="3" t="str">
        <f>HYPERLINK("https://www.773grp.com/manufacturer/national-semiconductor?pageNo=80", "National Semiconductor")</f>
        <v>National Semiconductor</v>
      </c>
      <c r="C3565" s="6">
        <v>22420</v>
      </c>
      <c r="D3565" s="7">
        <v>4.16</v>
      </c>
      <c r="E3565" t="s">
        <v>48</v>
      </c>
    </row>
    <row r="3566" spans="1:5" x14ac:dyDescent="0.25">
      <c r="A3566" t="str">
        <f>HYPERLINK("https://www.773grp.com/globalSearch/LP2989AIM-1.8/page-1", "LP2989AIM-1.8")</f>
        <v>LP2989AIM-1.8</v>
      </c>
      <c r="B3566" s="3" t="str">
        <f>HYPERLINK("https://www.773grp.com/manufacturer/national-semiconductor?pageNo=81", "National Semiconductor")</f>
        <v>National Semiconductor</v>
      </c>
      <c r="C3566" s="6">
        <v>428</v>
      </c>
      <c r="D3566" s="7">
        <v>4.16</v>
      </c>
      <c r="E3566" t="s">
        <v>19</v>
      </c>
    </row>
    <row r="3567" spans="1:5" x14ac:dyDescent="0.25">
      <c r="A3567" t="str">
        <f>HYPERLINK("https://www.773grp.com/globalSearch/LP2989IM-1.8/page-1", "LP2989IM-1.8")</f>
        <v>LP2989IM-1.8</v>
      </c>
      <c r="B3567" s="3" t="str">
        <f>HYPERLINK("https://www.773grp.com/manufacturer/national-semiconductor?pageNo=82", "National Semiconductor")</f>
        <v>National Semiconductor</v>
      </c>
      <c r="C3567" s="6">
        <v>3385</v>
      </c>
      <c r="D3567" s="7">
        <v>4.16</v>
      </c>
      <c r="E3567" t="s">
        <v>19</v>
      </c>
    </row>
    <row r="3568" spans="1:5" x14ac:dyDescent="0.25">
      <c r="A3568" t="str">
        <f>HYPERLINK("https://www.773grp.com/globalSearch/LP3919RL-C-NOPB/page-1", "LP3919RL-C-NOPB")</f>
        <v>LP3919RL-C-NOPB</v>
      </c>
      <c r="B3568" s="3" t="str">
        <f>HYPERLINK("https://www.773grp.com/manufacturer/national-semiconductor?pageNo=83", "National Semiconductor")</f>
        <v>National Semiconductor</v>
      </c>
      <c r="C3568" s="6">
        <v>250</v>
      </c>
      <c r="D3568" s="7">
        <v>4.16</v>
      </c>
    </row>
    <row r="3569" spans="1:5" x14ac:dyDescent="0.25">
      <c r="A3569" t="str">
        <f>HYPERLINK("https://www.773grp.com/globalSearch/LP3963ESX-2.5-NOPB/page-1", "LP3963ESX-2.5-NOPB")</f>
        <v>LP3963ESX-2.5-NOPB</v>
      </c>
      <c r="B3569" s="3" t="str">
        <f>HYPERLINK("https://www.773grp.com/manufacturer/national-semiconductor?pageNo=84", "National Semiconductor")</f>
        <v>National Semiconductor</v>
      </c>
      <c r="C3569" s="6">
        <v>2250</v>
      </c>
      <c r="D3569" s="7">
        <v>4.16</v>
      </c>
      <c r="E3569" t="s">
        <v>19</v>
      </c>
    </row>
    <row r="3570" spans="1:5" x14ac:dyDescent="0.25">
      <c r="A3570" t="str">
        <f>HYPERLINK("https://www.773grp.com/globalSearch/LP8725TLE-A-NOPB/page-1", "LP8725TLE-A-NOPB")</f>
        <v>LP8725TLE-A-NOPB</v>
      </c>
      <c r="B3570" s="3" t="str">
        <f>HYPERLINK("https://www.773grp.com/manufacturer/national-semiconductor?pageNo=85", "National Semiconductor")</f>
        <v>National Semiconductor</v>
      </c>
      <c r="C3570" s="6">
        <v>250</v>
      </c>
      <c r="D3570" s="7">
        <v>4.16</v>
      </c>
    </row>
    <row r="3571" spans="1:5" x14ac:dyDescent="0.25">
      <c r="A3571" t="str">
        <f>HYPERLINK("https://www.773grp.com/globalSearch/LP8725TLE-D-NOPB/page-1", "LP8725TLE-D-NOPB")</f>
        <v>LP8725TLE-D-NOPB</v>
      </c>
      <c r="B3571" s="3" t="str">
        <f>HYPERLINK("https://www.773grp.com/manufacturer/national-semiconductor?pageNo=86", "National Semiconductor")</f>
        <v>National Semiconductor</v>
      </c>
      <c r="C3571" s="6">
        <v>250</v>
      </c>
      <c r="D3571" s="7">
        <v>4.16</v>
      </c>
    </row>
    <row r="3572" spans="1:5" x14ac:dyDescent="0.25">
      <c r="A3572" t="str">
        <f>HYPERLINK("https://www.773grp.com/globalSearch/ADC0831CCWM-NOPB/page-1", "ADC0831CCWM-NOPB")</f>
        <v>ADC0831CCWM-NOPB</v>
      </c>
      <c r="B3572" s="3" t="str">
        <f>HYPERLINK("https://www.773grp.com/manufacturer/national-semiconductor?pageNo=87", "National Semiconductor")</f>
        <v>National Semiconductor</v>
      </c>
      <c r="C3572" s="6">
        <v>785</v>
      </c>
      <c r="D3572" s="7">
        <v>4.1900000000000004</v>
      </c>
      <c r="E3572" t="s">
        <v>39</v>
      </c>
    </row>
    <row r="3573" spans="1:5" x14ac:dyDescent="0.25">
      <c r="A3573" t="str">
        <f>HYPERLINK("https://www.773grp.com/globalSearch/DS3668N-NOPB/page-1", "DS3668N-NOPB")</f>
        <v>DS3668N-NOPB</v>
      </c>
      <c r="B3573" s="3" t="str">
        <f>HYPERLINK("https://www.773grp.com/manufacturer/national-semiconductor?pageNo=88", "National Semiconductor")</f>
        <v>National Semiconductor</v>
      </c>
      <c r="C3573" s="6">
        <v>2126</v>
      </c>
      <c r="D3573" s="7">
        <v>4.1900000000000004</v>
      </c>
      <c r="E3573" t="s">
        <v>11</v>
      </c>
    </row>
    <row r="3574" spans="1:5" x14ac:dyDescent="0.25">
      <c r="A3574" t="str">
        <f>HYPERLINK("https://www.773grp.com/globalSearch/LF298M-NOPB/page-1", "LF298M-NOPB")</f>
        <v>LF298M-NOPB</v>
      </c>
      <c r="B3574" s="3" t="str">
        <f>HYPERLINK("https://www.773grp.com/manufacturer/national-semiconductor?pageNo=89", "National Semiconductor")</f>
        <v>National Semiconductor</v>
      </c>
      <c r="C3574" s="6">
        <v>295</v>
      </c>
      <c r="D3574" s="7">
        <v>4.1900000000000004</v>
      </c>
      <c r="E3574" t="s">
        <v>6</v>
      </c>
    </row>
    <row r="3575" spans="1:5" x14ac:dyDescent="0.25">
      <c r="A3575" t="str">
        <f>HYPERLINK("https://www.773grp.com/globalSearch/LM1881M-NOPB/page-1", "LM1881M-NOPB")</f>
        <v>LM1881M-NOPB</v>
      </c>
      <c r="B3575" s="3" t="str">
        <f>HYPERLINK("https://www.773grp.com/manufacturer/national-semiconductor?pageNo=90", "National Semiconductor")</f>
        <v>National Semiconductor</v>
      </c>
      <c r="C3575" s="6">
        <v>1216</v>
      </c>
      <c r="D3575" s="7">
        <v>4.1900000000000004</v>
      </c>
      <c r="E3575" t="s">
        <v>15</v>
      </c>
    </row>
    <row r="3576" spans="1:5" x14ac:dyDescent="0.25">
      <c r="A3576" t="str">
        <f>HYPERLINK("https://www.773grp.com/globalSearch/LM1881MX/page-1", "LM1881MX")</f>
        <v>LM1881MX</v>
      </c>
      <c r="B3576" s="3" t="str">
        <f>HYPERLINK("https://www.773grp.com/manufacturer/national-semiconductor?pageNo=91", "National Semiconductor")</f>
        <v>National Semiconductor</v>
      </c>
      <c r="C3576" s="6">
        <v>5000</v>
      </c>
      <c r="D3576" s="7">
        <v>4.1900000000000004</v>
      </c>
      <c r="E3576" t="s">
        <v>15</v>
      </c>
    </row>
    <row r="3577" spans="1:5" x14ac:dyDescent="0.25">
      <c r="A3577" t="str">
        <f>HYPERLINK("https://www.773grp.com/globalSearch/LM3503SQ-35/page-1", "LM3503SQ-35")</f>
        <v>LM3503SQ-35</v>
      </c>
      <c r="B3577" s="3" t="str">
        <f>HYPERLINK("https://www.773grp.com/manufacturer/national-semiconductor?pageNo=92", "National Semiconductor")</f>
        <v>National Semiconductor</v>
      </c>
      <c r="C3577" s="6">
        <v>985</v>
      </c>
      <c r="D3577" s="7">
        <v>4.1900000000000004</v>
      </c>
      <c r="E3577" t="s">
        <v>10</v>
      </c>
    </row>
    <row r="3578" spans="1:5" x14ac:dyDescent="0.25">
      <c r="A3578" t="str">
        <f>HYPERLINK("https://www.773grp.com/globalSearch/LM3710XQMM-308/page-1", "LM3710XQMM-308")</f>
        <v>LM3710XQMM-308</v>
      </c>
      <c r="B3578" s="3" t="str">
        <f>HYPERLINK("https://www.773grp.com/manufacturer/national-semiconductor?pageNo=93", "National Semiconductor")</f>
        <v>National Semiconductor</v>
      </c>
      <c r="C3578" s="6">
        <v>2000</v>
      </c>
      <c r="D3578" s="7">
        <v>4.1900000000000004</v>
      </c>
      <c r="E3578" t="s">
        <v>30</v>
      </c>
    </row>
    <row r="3579" spans="1:5" x14ac:dyDescent="0.25">
      <c r="A3579" t="str">
        <f>HYPERLINK("https://www.773grp.com/globalSearch/LM3914VX-NOPB/page-1", "LM3914VX-NOPB")</f>
        <v>LM3914VX-NOPB</v>
      </c>
      <c r="B3579" s="3" t="str">
        <f>HYPERLINK("https://www.773grp.com/manufacturer/national-semiconductor?pageNo=94", "National Semiconductor")</f>
        <v>National Semiconductor</v>
      </c>
      <c r="C3579" s="6">
        <v>920</v>
      </c>
      <c r="D3579" s="7">
        <v>4.1900000000000004</v>
      </c>
      <c r="E3579" t="s">
        <v>10</v>
      </c>
    </row>
    <row r="3580" spans="1:5" x14ac:dyDescent="0.25">
      <c r="A3580" t="str">
        <f>HYPERLINK("https://www.773grp.com/globalSearch/LM4050AIM3-10/page-1", "LM4050AIM3-10")</f>
        <v>LM4050AIM3-10</v>
      </c>
      <c r="B3580" s="3" t="str">
        <f>HYPERLINK("https://www.773grp.com/manufacturer/national-semiconductor?pageNo=95", "National Semiconductor")</f>
        <v>National Semiconductor</v>
      </c>
      <c r="C3580" s="6">
        <v>1000</v>
      </c>
      <c r="D3580" s="7">
        <v>4.1900000000000004</v>
      </c>
      <c r="E3580" t="s">
        <v>17</v>
      </c>
    </row>
    <row r="3581" spans="1:5" x14ac:dyDescent="0.25">
      <c r="A3581" t="str">
        <f>HYPERLINK("https://www.773grp.com/globalSearch/LM4050AIM3X-2.5/page-1", "LM4050AIM3X-2.5")</f>
        <v>LM4050AIM3X-2.5</v>
      </c>
      <c r="B3581" s="3" t="str">
        <f>HYPERLINK("https://www.773grp.com/manufacturer/national-semiconductor?pageNo=96", "National Semiconductor")</f>
        <v>National Semiconductor</v>
      </c>
      <c r="C3581" s="6">
        <v>6000</v>
      </c>
      <c r="D3581" s="7">
        <v>4.1900000000000004</v>
      </c>
      <c r="E3581" t="s">
        <v>17</v>
      </c>
    </row>
    <row r="3582" spans="1:5" x14ac:dyDescent="0.25">
      <c r="A3582" t="str">
        <f>HYPERLINK("https://www.773grp.com/globalSearch/LM5100AM-NOPB/page-1", "LM5100AM-NOPB")</f>
        <v>LM5100AM-NOPB</v>
      </c>
      <c r="B3582" s="3" t="str">
        <f>HYPERLINK("https://www.773grp.com/manufacturer/national-semiconductor?pageNo=97", "National Semiconductor")</f>
        <v>National Semiconductor</v>
      </c>
      <c r="C3582" s="6">
        <v>716</v>
      </c>
      <c r="D3582" s="7">
        <v>4.1900000000000004</v>
      </c>
      <c r="E3582" t="s">
        <v>16</v>
      </c>
    </row>
    <row r="3583" spans="1:5" x14ac:dyDescent="0.25">
      <c r="A3583" t="str">
        <f>HYPERLINK("https://www.773grp.com/globalSearch/LM5100AMR-NOPB/page-1", "LM5100AMR-NOPB")</f>
        <v>LM5100AMR-NOPB</v>
      </c>
      <c r="B3583" s="3" t="str">
        <f>HYPERLINK("https://www.773grp.com/manufacturer/national-semiconductor?pageNo=98", "National Semiconductor")</f>
        <v>National Semiconductor</v>
      </c>
      <c r="C3583" s="6">
        <v>180</v>
      </c>
      <c r="D3583" s="7">
        <v>4.1900000000000004</v>
      </c>
    </row>
    <row r="3584" spans="1:5" x14ac:dyDescent="0.25">
      <c r="A3584" t="str">
        <f>HYPERLINK("https://www.773grp.com/globalSearch/LM5101AM-NOPB/page-1", "LM5101AM-NOPB")</f>
        <v>LM5101AM-NOPB</v>
      </c>
      <c r="B3584" s="3" t="str">
        <f>HYPERLINK("https://www.773grp.com/manufacturer/national-semiconductor?pageNo=99", "National Semiconductor")</f>
        <v>National Semiconductor</v>
      </c>
      <c r="C3584" s="6">
        <v>665</v>
      </c>
      <c r="D3584" s="7">
        <v>4.1900000000000004</v>
      </c>
      <c r="E3584" t="s">
        <v>16</v>
      </c>
    </row>
    <row r="3585" spans="1:5" x14ac:dyDescent="0.25">
      <c r="A3585" t="str">
        <f>HYPERLINK("https://www.773grp.com/globalSearch/LM5101AMR-NOPB/page-1", "LM5101AMR-NOPB")</f>
        <v>LM5101AMR-NOPB</v>
      </c>
      <c r="B3585" s="3" t="str">
        <f>HYPERLINK("https://www.773grp.com/manufacturer/national-semiconductor?pageNo=100", "National Semiconductor")</f>
        <v>National Semiconductor</v>
      </c>
      <c r="C3585" s="6">
        <v>369</v>
      </c>
      <c r="D3585" s="7">
        <v>4.1900000000000004</v>
      </c>
    </row>
    <row r="3586" spans="1:5" x14ac:dyDescent="0.25">
      <c r="A3586" t="str">
        <f>HYPERLINK("https://www.773grp.com/globalSearch/LM6132BIM-NOPB/page-1", "LM6132BIM-NOPB")</f>
        <v>LM6132BIM-NOPB</v>
      </c>
      <c r="B3586" s="3" t="str">
        <f>HYPERLINK("https://www.773grp.com/manufacturer/national-semiconductor?pageNo=101", "National Semiconductor")</f>
        <v>National Semiconductor</v>
      </c>
      <c r="C3586" s="6">
        <v>141</v>
      </c>
      <c r="D3586" s="7">
        <v>4.1900000000000004</v>
      </c>
      <c r="E3586" t="s">
        <v>13</v>
      </c>
    </row>
    <row r="3587" spans="1:5" x14ac:dyDescent="0.25">
      <c r="A3587" t="str">
        <f>HYPERLINK("https://www.773grp.com/globalSearch/LM6132BIN/page-1", "LM6132BIN")</f>
        <v>LM6132BIN</v>
      </c>
      <c r="B3587" s="3" t="str">
        <f>HYPERLINK("https://www.773grp.com/manufacturer/national-semiconductor?pageNo=102", "National Semiconductor")</f>
        <v>National Semiconductor</v>
      </c>
      <c r="C3587" s="6">
        <v>167</v>
      </c>
      <c r="D3587" s="7">
        <v>4.1900000000000004</v>
      </c>
      <c r="E3587" t="s">
        <v>13</v>
      </c>
    </row>
    <row r="3588" spans="1:5" x14ac:dyDescent="0.25">
      <c r="A3588" t="str">
        <f>HYPERLINK("https://www.773grp.com/globalSearch/LM6152BCMX-NOPB/page-1", "LM6152BCMX-NOPB")</f>
        <v>LM6152BCMX-NOPB</v>
      </c>
      <c r="B3588" s="3" t="str">
        <f>HYPERLINK("https://www.773grp.com/manufacturer/national-semiconductor?pageNo=103", "National Semiconductor")</f>
        <v>National Semiconductor</v>
      </c>
      <c r="C3588" s="6">
        <v>2500</v>
      </c>
      <c r="D3588" s="7">
        <v>4.1900000000000004</v>
      </c>
      <c r="E3588" t="s">
        <v>13</v>
      </c>
    </row>
    <row r="3589" spans="1:5" x14ac:dyDescent="0.25">
      <c r="A3589" t="str">
        <f>HYPERLINK("https://www.773grp.com/globalSearch/LMH6644MA-NOPB/page-1", "LMH6644MA-NOPB")</f>
        <v>LMH6644MA-NOPB</v>
      </c>
      <c r="B3589" s="3" t="str">
        <f>HYPERLINK("https://www.773grp.com/manufacturer/national-semiconductor?pageNo=104", "National Semiconductor")</f>
        <v>National Semiconductor</v>
      </c>
      <c r="C3589" s="6">
        <v>517</v>
      </c>
      <c r="D3589" s="7">
        <v>4.1900000000000004</v>
      </c>
      <c r="E3589" t="s">
        <v>18</v>
      </c>
    </row>
    <row r="3590" spans="1:5" x14ac:dyDescent="0.25">
      <c r="A3590" t="str">
        <f>HYPERLINK("https://www.773grp.com/globalSearch/LMH6644MT-NOPB/page-1", "LMH6644MT-NOPB")</f>
        <v>LMH6644MT-NOPB</v>
      </c>
      <c r="B3590" s="3" t="str">
        <f>HYPERLINK("https://www.773grp.com/manufacturer/national-semiconductor?pageNo=105", "National Semiconductor")</f>
        <v>National Semiconductor</v>
      </c>
      <c r="C3590" s="6">
        <v>2304</v>
      </c>
      <c r="D3590" s="7">
        <v>4.1900000000000004</v>
      </c>
      <c r="E3590" t="s">
        <v>18</v>
      </c>
    </row>
    <row r="3591" spans="1:5" x14ac:dyDescent="0.25">
      <c r="A3591" t="str">
        <f>HYPERLINK("https://www.773grp.com/globalSearch/LMH6704MA-NOPB/page-1", "LMH6704MA-NOPB")</f>
        <v>LMH6704MA-NOPB</v>
      </c>
      <c r="B3591" s="3" t="str">
        <f>HYPERLINK("https://www.773grp.com/manufacturer/national-semiconductor?pageNo=106", "National Semiconductor")</f>
        <v>National Semiconductor</v>
      </c>
      <c r="C3591" s="6">
        <v>71</v>
      </c>
      <c r="D3591" s="7">
        <v>4.1900000000000004</v>
      </c>
    </row>
    <row r="3592" spans="1:5" x14ac:dyDescent="0.25">
      <c r="A3592" t="str">
        <f>HYPERLINK("https://www.773grp.com/globalSearch/LMX2331UTM/page-1", "LMX2331UTM")</f>
        <v>LMX2331UTM</v>
      </c>
      <c r="B3592" s="3" t="str">
        <f>HYPERLINK("https://www.773grp.com/manufacturer/national-semiconductor?pageNo=107", "National Semiconductor")</f>
        <v>National Semiconductor</v>
      </c>
      <c r="C3592" s="6">
        <v>4706</v>
      </c>
      <c r="D3592" s="7">
        <v>4.1900000000000004</v>
      </c>
      <c r="E3592" t="s">
        <v>38</v>
      </c>
    </row>
    <row r="3593" spans="1:5" x14ac:dyDescent="0.25">
      <c r="A3593" t="str">
        <f>HYPERLINK("https://www.773grp.com/globalSearch/LP3962ES-1.8-NOPB/page-1", "LP3962ES-1.8-NOPB")</f>
        <v>LP3962ES-1.8-NOPB</v>
      </c>
      <c r="B3593" s="3" t="str">
        <f>HYPERLINK("https://www.773grp.com/manufacturer/national-semiconductor?pageNo=108", "National Semiconductor")</f>
        <v>National Semiconductor</v>
      </c>
      <c r="C3593" s="6">
        <v>213</v>
      </c>
      <c r="D3593" s="7">
        <v>4.1900000000000004</v>
      </c>
      <c r="E3593" t="s">
        <v>19</v>
      </c>
    </row>
    <row r="3594" spans="1:5" x14ac:dyDescent="0.25">
      <c r="A3594" t="str">
        <f>HYPERLINK("https://www.773grp.com/globalSearch/LP3962ES-2.5-NOPB/page-1", "LP3962ES-2.5-NOPB")</f>
        <v>LP3962ES-2.5-NOPB</v>
      </c>
      <c r="B3594" s="3" t="str">
        <f>HYPERLINK("https://www.773grp.com/manufacturer/national-semiconductor?pageNo=109", "National Semiconductor")</f>
        <v>National Semiconductor</v>
      </c>
      <c r="C3594" s="6">
        <v>420</v>
      </c>
      <c r="D3594" s="7">
        <v>4.1900000000000004</v>
      </c>
      <c r="E3594" t="s">
        <v>19</v>
      </c>
    </row>
    <row r="3595" spans="1:5" x14ac:dyDescent="0.25">
      <c r="A3595" t="str">
        <f>HYPERLINK("https://www.773grp.com/globalSearch/LP3962ES-3.3-NOPB/page-1", "LP3962ES-3.3-NOPB")</f>
        <v>LP3962ES-3.3-NOPB</v>
      </c>
      <c r="B3595" s="3" t="str">
        <f>HYPERLINK("https://www.773grp.com/manufacturer/national-semiconductor?pageNo=110", "National Semiconductor")</f>
        <v>National Semiconductor</v>
      </c>
      <c r="C3595" s="6">
        <v>343</v>
      </c>
      <c r="D3595" s="7">
        <v>4.1900000000000004</v>
      </c>
      <c r="E3595" t="s">
        <v>19</v>
      </c>
    </row>
    <row r="3596" spans="1:5" x14ac:dyDescent="0.25">
      <c r="A3596" t="str">
        <f>HYPERLINK("https://www.773grp.com/globalSearch/LPC662AIMX/page-1", "LPC662AIMX")</f>
        <v>LPC662AIMX</v>
      </c>
      <c r="B3596" s="3" t="str">
        <f>HYPERLINK("https://www.773grp.com/manufacturer/national-semiconductor?pageNo=111", "National Semiconductor")</f>
        <v>National Semiconductor</v>
      </c>
      <c r="C3596" s="6">
        <v>2500</v>
      </c>
      <c r="D3596" s="7">
        <v>4.1900000000000004</v>
      </c>
      <c r="E3596" t="s">
        <v>13</v>
      </c>
    </row>
    <row r="3597" spans="1:5" x14ac:dyDescent="0.25">
      <c r="A3597" t="str">
        <f>HYPERLINK("https://www.773grp.com/globalSearch/MF10CCWMX-NOPB/page-1", "MF10CCWMX-NOPB")</f>
        <v>MF10CCWMX-NOPB</v>
      </c>
      <c r="B3597" s="3" t="str">
        <f>HYPERLINK("https://www.773grp.com/manufacturer/national-semiconductor?pageNo=112", "National Semiconductor")</f>
        <v>National Semiconductor</v>
      </c>
      <c r="C3597" s="6">
        <v>1525</v>
      </c>
      <c r="D3597" s="7">
        <v>4.1900000000000004</v>
      </c>
      <c r="E3597" t="s">
        <v>58</v>
      </c>
    </row>
    <row r="3598" spans="1:5" x14ac:dyDescent="0.25">
      <c r="A3598" t="str">
        <f>HYPERLINK("https://www.773grp.com/globalSearch/ADC0831CCWM-NOPB/page-1", "ADC0831CCWM-NOPB")</f>
        <v>ADC0831CCWM-NOPB</v>
      </c>
      <c r="B3598" s="3" t="str">
        <f>HYPERLINK("https://www.773grp.com/manufacturer/national-semiconductor?pageNo=113", "National Semiconductor")</f>
        <v>National Semiconductor</v>
      </c>
      <c r="C3598" s="6">
        <v>300</v>
      </c>
      <c r="D3598" s="7">
        <v>4.1900000000000004</v>
      </c>
      <c r="E3598" t="s">
        <v>39</v>
      </c>
    </row>
    <row r="3599" spans="1:5" x14ac:dyDescent="0.25">
      <c r="A3599" t="str">
        <f>HYPERLINK("https://www.773grp.com/globalSearch/LF298M-NOPB/page-1", "LF298M-NOPB")</f>
        <v>LF298M-NOPB</v>
      </c>
      <c r="B3599" s="3" t="str">
        <f>HYPERLINK("https://www.773grp.com/manufacturer/national-semiconductor?pageNo=114", "National Semiconductor")</f>
        <v>National Semiconductor</v>
      </c>
      <c r="C3599" s="6">
        <v>2080</v>
      </c>
      <c r="D3599" s="7">
        <v>4.1900000000000004</v>
      </c>
      <c r="E3599" t="s">
        <v>6</v>
      </c>
    </row>
    <row r="3600" spans="1:5" x14ac:dyDescent="0.25">
      <c r="A3600" t="str">
        <f>HYPERLINK("https://www.773grp.com/globalSearch/LM1881M-NOPB/page-1", "LM1881M-NOPB")</f>
        <v>LM1881M-NOPB</v>
      </c>
      <c r="B3600" s="3" t="str">
        <f>HYPERLINK("https://www.773grp.com/manufacturer/national-semiconductor?pageNo=115", "National Semiconductor")</f>
        <v>National Semiconductor</v>
      </c>
      <c r="C3600" s="6">
        <v>80</v>
      </c>
      <c r="D3600" s="7">
        <v>4.1900000000000004</v>
      </c>
      <c r="E3600" t="s">
        <v>15</v>
      </c>
    </row>
    <row r="3601" spans="1:5" x14ac:dyDescent="0.25">
      <c r="A3601" t="str">
        <f>HYPERLINK("https://www.773grp.com/globalSearch/LM25007MM/page-1", "LM25007MM")</f>
        <v>LM25007MM</v>
      </c>
      <c r="B3601" s="3" t="str">
        <f>HYPERLINK("https://www.773grp.com/manufacturer/national-semiconductor?pageNo=116", "National Semiconductor")</f>
        <v>National Semiconductor</v>
      </c>
      <c r="C3601" s="6">
        <v>4000</v>
      </c>
      <c r="D3601" s="7">
        <v>4.1900000000000004</v>
      </c>
    </row>
    <row r="3602" spans="1:5" x14ac:dyDescent="0.25">
      <c r="A3602" t="str">
        <f>HYPERLINK("https://www.773grp.com/globalSearch/LM25037MT-NOPB/page-1", "LM25037MT-NOPB")</f>
        <v>LM25037MT-NOPB</v>
      </c>
      <c r="B3602" s="3" t="str">
        <f>HYPERLINK("https://www.773grp.com/manufacturer/national-semiconductor?pageNo=117", "National Semiconductor")</f>
        <v>National Semiconductor</v>
      </c>
      <c r="C3602" s="6">
        <v>944</v>
      </c>
      <c r="D3602" s="7">
        <v>4.1900000000000004</v>
      </c>
    </row>
    <row r="3603" spans="1:5" x14ac:dyDescent="0.25">
      <c r="A3603" t="str">
        <f>HYPERLINK("https://www.773grp.com/globalSearch/LM2611AMF/page-1", "LM2611AMF")</f>
        <v>LM2611AMF</v>
      </c>
      <c r="B3603" s="3" t="str">
        <f>HYPERLINK("https://www.773grp.com/manufacturer/national-semiconductor?pageNo=118", "National Semiconductor")</f>
        <v>National Semiconductor</v>
      </c>
      <c r="C3603" s="6">
        <v>637</v>
      </c>
      <c r="D3603" s="7">
        <v>4.1900000000000004</v>
      </c>
    </row>
    <row r="3604" spans="1:5" x14ac:dyDescent="0.25">
      <c r="A3604" t="str">
        <f>HYPERLINK("https://www.773grp.com/globalSearch/LM2611AMF/page-1", "LM2611AMF")</f>
        <v>LM2611AMF</v>
      </c>
      <c r="B3604" s="3" t="str">
        <f>HYPERLINK("https://www.773grp.com/manufacturer/national-semiconductor?pageNo=119", "National Semiconductor")</f>
        <v>National Semiconductor</v>
      </c>
      <c r="C3604" s="6">
        <v>57</v>
      </c>
      <c r="D3604" s="7">
        <v>4.1900000000000004</v>
      </c>
    </row>
    <row r="3605" spans="1:5" x14ac:dyDescent="0.25">
      <c r="A3605" t="str">
        <f>HYPERLINK("https://www.773grp.com/globalSearch/LM3914VX-NOPB/page-1", "LM3914VX-NOPB")</f>
        <v>LM3914VX-NOPB</v>
      </c>
      <c r="B3605" s="3" t="str">
        <f>HYPERLINK("https://www.773grp.com/manufacturer/national-semiconductor?pageNo=120", "National Semiconductor")</f>
        <v>National Semiconductor</v>
      </c>
      <c r="C3605" s="6">
        <v>2000</v>
      </c>
      <c r="D3605" s="7">
        <v>4.1900000000000004</v>
      </c>
      <c r="E3605" t="s">
        <v>10</v>
      </c>
    </row>
    <row r="3606" spans="1:5" x14ac:dyDescent="0.25">
      <c r="A3606" t="str">
        <f>HYPERLINK("https://www.773grp.com/globalSearch/LM4050AIM3-4.1/page-1", "LM4050AIM3-4.1")</f>
        <v>LM4050AIM3-4.1</v>
      </c>
      <c r="B3606" s="3" t="str">
        <f>HYPERLINK("https://www.773grp.com/manufacturer/national-semiconductor?pageNo=121", "National Semiconductor")</f>
        <v>National Semiconductor</v>
      </c>
      <c r="C3606" s="6">
        <v>692</v>
      </c>
      <c r="D3606" s="7">
        <v>4.1900000000000004</v>
      </c>
      <c r="E3606" t="s">
        <v>17</v>
      </c>
    </row>
    <row r="3607" spans="1:5" x14ac:dyDescent="0.25">
      <c r="A3607" t="str">
        <f>HYPERLINK("https://www.773grp.com/globalSearch/LM5100AM-NOPB/page-1", "LM5100AM-NOPB")</f>
        <v>LM5100AM-NOPB</v>
      </c>
      <c r="B3607" s="3" t="str">
        <f>HYPERLINK("https://www.773grp.com/manufacturer/national-semiconductor?pageNo=122", "National Semiconductor")</f>
        <v>National Semiconductor</v>
      </c>
      <c r="C3607" s="6">
        <v>1030</v>
      </c>
      <c r="D3607" s="7">
        <v>4.1900000000000004</v>
      </c>
      <c r="E3607" t="s">
        <v>16</v>
      </c>
    </row>
    <row r="3608" spans="1:5" x14ac:dyDescent="0.25">
      <c r="A3608" t="str">
        <f>HYPERLINK("https://www.773grp.com/globalSearch/LM5100AMR-NOPB/page-1", "LM5100AMR-NOPB")</f>
        <v>LM5100AMR-NOPB</v>
      </c>
      <c r="B3608" s="3" t="str">
        <f>HYPERLINK("https://www.773grp.com/manufacturer/national-semiconductor?pageNo=123", "National Semiconductor")</f>
        <v>National Semiconductor</v>
      </c>
      <c r="C3608" s="6">
        <v>495</v>
      </c>
      <c r="D3608" s="7">
        <v>4.1900000000000004</v>
      </c>
    </row>
    <row r="3609" spans="1:5" x14ac:dyDescent="0.25">
      <c r="A3609" t="str">
        <f>HYPERLINK("https://www.773grp.com/globalSearch/LM5101AM-NOPB/page-1", "LM5101AM-NOPB")</f>
        <v>LM5101AM-NOPB</v>
      </c>
      <c r="B3609" s="3" t="str">
        <f>HYPERLINK("https://www.773grp.com/manufacturer/national-semiconductor?pageNo=124", "National Semiconductor")</f>
        <v>National Semiconductor</v>
      </c>
      <c r="C3609" s="6">
        <v>2550</v>
      </c>
      <c r="D3609" s="7">
        <v>4.1900000000000004</v>
      </c>
      <c r="E3609" t="s">
        <v>16</v>
      </c>
    </row>
    <row r="3610" spans="1:5" x14ac:dyDescent="0.25">
      <c r="A3610" t="str">
        <f>HYPERLINK("https://www.773grp.com/globalSearch/LM5101AMR-NOPB/page-1", "LM5101AMR-NOPB")</f>
        <v>LM5101AMR-NOPB</v>
      </c>
      <c r="B3610" s="3" t="str">
        <f>HYPERLINK("https://www.773grp.com/manufacturer/national-semiconductor?pageNo=125", "National Semiconductor")</f>
        <v>National Semiconductor</v>
      </c>
      <c r="C3610" s="6">
        <v>3850</v>
      </c>
      <c r="D3610" s="7">
        <v>4.1900000000000004</v>
      </c>
    </row>
    <row r="3611" spans="1:5" x14ac:dyDescent="0.25">
      <c r="A3611" t="str">
        <f>HYPERLINK("https://www.773grp.com/globalSearch/LM5113SD-NOPB/page-1", "LM5113SD-NOPB")</f>
        <v>LM5113SD-NOPB</v>
      </c>
      <c r="B3611" s="3" t="str">
        <f>HYPERLINK("https://www.773grp.com/manufacturer/national-semiconductor?pageNo=126", "National Semiconductor")</f>
        <v>National Semiconductor</v>
      </c>
      <c r="C3611" s="6">
        <v>1000</v>
      </c>
      <c r="D3611" s="7">
        <v>4.1900000000000004</v>
      </c>
    </row>
    <row r="3612" spans="1:5" x14ac:dyDescent="0.25">
      <c r="A3612" t="str">
        <f>HYPERLINK("https://www.773grp.com/globalSearch/LM6132BIM-NOPB/page-1", "LM6132BIM-NOPB")</f>
        <v>LM6132BIM-NOPB</v>
      </c>
      <c r="B3612" s="3" t="str">
        <f>HYPERLINK("https://www.773grp.com/manufacturer/national-semiconductor?pageNo=127", "National Semiconductor")</f>
        <v>National Semiconductor</v>
      </c>
      <c r="C3612" s="6">
        <v>143</v>
      </c>
      <c r="D3612" s="7">
        <v>4.1900000000000004</v>
      </c>
      <c r="E3612" t="s">
        <v>13</v>
      </c>
    </row>
    <row r="3613" spans="1:5" x14ac:dyDescent="0.25">
      <c r="A3613" t="str">
        <f>HYPERLINK("https://www.773grp.com/globalSearch/LM6132BIN/page-1", "LM6132BIN")</f>
        <v>LM6132BIN</v>
      </c>
      <c r="B3613" s="3" t="str">
        <f>HYPERLINK("https://www.773grp.com/manufacturer/national-semiconductor?pageNo=128", "National Semiconductor")</f>
        <v>National Semiconductor</v>
      </c>
      <c r="C3613" s="6">
        <v>1000</v>
      </c>
      <c r="D3613" s="7">
        <v>4.1900000000000004</v>
      </c>
      <c r="E3613" t="s">
        <v>13</v>
      </c>
    </row>
    <row r="3614" spans="1:5" x14ac:dyDescent="0.25">
      <c r="A3614" t="str">
        <f>HYPERLINK("https://www.773grp.com/globalSearch/LM6152BCMX-NOPB/page-1", "LM6152BCMX-NOPB")</f>
        <v>LM6152BCMX-NOPB</v>
      </c>
      <c r="B3614" s="3" t="str">
        <f>HYPERLINK("https://www.773grp.com/manufacturer/national-semiconductor?pageNo=129", "National Semiconductor")</f>
        <v>National Semiconductor</v>
      </c>
      <c r="C3614" s="6">
        <v>2825</v>
      </c>
      <c r="D3614" s="7">
        <v>4.1900000000000004</v>
      </c>
      <c r="E3614" t="s">
        <v>13</v>
      </c>
    </row>
    <row r="3615" spans="1:5" x14ac:dyDescent="0.25">
      <c r="A3615" t="str">
        <f>HYPERLINK("https://www.773grp.com/globalSearch/LMH6644MA-NOPB/page-1", "LMH6644MA-NOPB")</f>
        <v>LMH6644MA-NOPB</v>
      </c>
      <c r="B3615" s="3" t="str">
        <f>HYPERLINK("https://www.773grp.com/manufacturer/national-semiconductor?pageNo=130", "National Semiconductor")</f>
        <v>National Semiconductor</v>
      </c>
      <c r="C3615" s="6">
        <v>314</v>
      </c>
      <c r="D3615" s="7">
        <v>4.1900000000000004</v>
      </c>
      <c r="E3615" t="s">
        <v>18</v>
      </c>
    </row>
    <row r="3616" spans="1:5" x14ac:dyDescent="0.25">
      <c r="A3616" t="str">
        <f>HYPERLINK("https://www.773grp.com/globalSearch/LMH6644MT-NOPB/page-1", "LMH6644MT-NOPB")</f>
        <v>LMH6644MT-NOPB</v>
      </c>
      <c r="B3616" s="3" t="str">
        <f>HYPERLINK("https://www.773grp.com/manufacturer/national-semiconductor?pageNo=131", "National Semiconductor")</f>
        <v>National Semiconductor</v>
      </c>
      <c r="C3616" s="6">
        <v>974</v>
      </c>
      <c r="D3616" s="7">
        <v>4.1900000000000004</v>
      </c>
      <c r="E3616" t="s">
        <v>18</v>
      </c>
    </row>
    <row r="3617" spans="1:5" x14ac:dyDescent="0.25">
      <c r="A3617" t="str">
        <f>HYPERLINK("https://www.773grp.com/globalSearch/LMH6704MA-NOPB/page-1", "LMH6704MA-NOPB")</f>
        <v>LMH6704MA-NOPB</v>
      </c>
      <c r="B3617" s="3" t="str">
        <f>HYPERLINK("https://www.773grp.com/manufacturer/national-semiconductor?pageNo=132", "National Semiconductor")</f>
        <v>National Semiconductor</v>
      </c>
      <c r="C3617" s="6">
        <v>37173</v>
      </c>
      <c r="D3617" s="7">
        <v>4.1900000000000004</v>
      </c>
    </row>
    <row r="3618" spans="1:5" x14ac:dyDescent="0.25">
      <c r="A3618" t="str">
        <f>HYPERLINK("https://www.773grp.com/globalSearch/LP3962ES-1.8-NOPB/page-1", "LP3962ES-1.8-NOPB")</f>
        <v>LP3962ES-1.8-NOPB</v>
      </c>
      <c r="B3618" s="3" t="str">
        <f>HYPERLINK("https://www.773grp.com/manufacturer/national-semiconductor?pageNo=133", "National Semiconductor")</f>
        <v>National Semiconductor</v>
      </c>
      <c r="C3618" s="6">
        <v>1087</v>
      </c>
      <c r="D3618" s="7">
        <v>4.1900000000000004</v>
      </c>
      <c r="E3618" t="s">
        <v>19</v>
      </c>
    </row>
    <row r="3619" spans="1:5" x14ac:dyDescent="0.25">
      <c r="A3619" t="str">
        <f>HYPERLINK("https://www.773grp.com/globalSearch/LP3962ES-2.5-NOPB/page-1", "LP3962ES-2.5-NOPB")</f>
        <v>LP3962ES-2.5-NOPB</v>
      </c>
      <c r="B3619" s="3" t="str">
        <f>HYPERLINK("https://www.773grp.com/manufacturer/national-semiconductor?pageNo=134", "National Semiconductor")</f>
        <v>National Semiconductor</v>
      </c>
      <c r="C3619" s="6">
        <v>565</v>
      </c>
      <c r="D3619" s="7">
        <v>4.1900000000000004</v>
      </c>
      <c r="E3619" t="s">
        <v>19</v>
      </c>
    </row>
    <row r="3620" spans="1:5" x14ac:dyDescent="0.25">
      <c r="A3620" t="str">
        <f>HYPERLINK("https://www.773grp.com/globalSearch/LP3962ES-3.3-NOPB/page-1", "LP3962ES-3.3-NOPB")</f>
        <v>LP3962ES-3.3-NOPB</v>
      </c>
      <c r="B3620" s="3" t="str">
        <f>HYPERLINK("https://www.773grp.com/manufacturer/national-semiconductor?pageNo=1", "National Semiconductor")</f>
        <v>National Semiconductor</v>
      </c>
      <c r="C3620" s="6">
        <v>250</v>
      </c>
      <c r="D3620" s="7">
        <v>4.1900000000000004</v>
      </c>
      <c r="E3620" t="s">
        <v>19</v>
      </c>
    </row>
    <row r="3621" spans="1:5" x14ac:dyDescent="0.25">
      <c r="A3621" t="str">
        <f>HYPERLINK("https://www.773grp.com/globalSearch/MF10CCWMX-NOPB/page-1", "MF10CCWMX-NOPB")</f>
        <v>MF10CCWMX-NOPB</v>
      </c>
      <c r="B3621" s="3" t="str">
        <f>HYPERLINK("https://www.773grp.com/manufacturer/national-semiconductor?pageNo=2", "National Semiconductor")</f>
        <v>National Semiconductor</v>
      </c>
      <c r="C3621" s="6">
        <v>2000</v>
      </c>
      <c r="D3621" s="7">
        <v>4.1900000000000004</v>
      </c>
      <c r="E3621" t="s">
        <v>58</v>
      </c>
    </row>
    <row r="3622" spans="1:5" x14ac:dyDescent="0.25">
      <c r="A3622" t="str">
        <f>HYPERLINK("https://www.773grp.com/globalSearch/OPA683IDBVT/page-1", "OPA683IDBVT")</f>
        <v>OPA683IDBVT</v>
      </c>
      <c r="B3622" s="3" t="str">
        <f>HYPERLINK("https://www.773grp.com/manufacturer/national-semiconductor?pageNo=3", "National Semiconductor")</f>
        <v>National Semiconductor</v>
      </c>
      <c r="C3622" s="6">
        <v>2250</v>
      </c>
      <c r="D3622" s="7">
        <v>4.1900000000000004</v>
      </c>
    </row>
    <row r="3623" spans="1:5" x14ac:dyDescent="0.25">
      <c r="A3623" t="str">
        <f>HYPERLINK("https://www.773grp.com/globalSearch/74166PC/page-1", "74166PC")</f>
        <v>74166PC</v>
      </c>
      <c r="B3623" s="3" t="str">
        <f>HYPERLINK("https://www.773grp.com/manufacturer/national-semiconductor?pageNo=4", "National Semiconductor")</f>
        <v>National Semiconductor</v>
      </c>
      <c r="C3623" s="6">
        <v>8113</v>
      </c>
      <c r="D3623" s="7">
        <v>4.6399999999999997</v>
      </c>
    </row>
    <row r="3624" spans="1:5" x14ac:dyDescent="0.25">
      <c r="A3624" t="str">
        <f>HYPERLINK("https://www.773grp.com/globalSearch/74ACT153SJ/page-1", "74ACT153SJ")</f>
        <v>74ACT153SJ</v>
      </c>
      <c r="B3624" s="3" t="str">
        <f>HYPERLINK("https://www.773grp.com/manufacturer/national-semiconductor?pageNo=5", "National Semiconductor")</f>
        <v>National Semiconductor</v>
      </c>
      <c r="C3624" s="6">
        <v>2632</v>
      </c>
      <c r="D3624" s="7">
        <v>4.6399999999999997</v>
      </c>
      <c r="E3624" t="s">
        <v>20</v>
      </c>
    </row>
    <row r="3625" spans="1:5" x14ac:dyDescent="0.25">
      <c r="A3625" t="str">
        <f>HYPERLINK("https://www.773grp.com/globalSearch/DS36C278TMX-NOPB/page-1", "DS36C278TMX-NOPB")</f>
        <v>DS36C278TMX-NOPB</v>
      </c>
      <c r="B3625" s="3" t="str">
        <f>HYPERLINK("https://www.773grp.com/manufacturer/national-semiconductor?pageNo=6", "National Semiconductor")</f>
        <v>National Semiconductor</v>
      </c>
      <c r="C3625" s="6">
        <v>7500</v>
      </c>
      <c r="D3625" s="7">
        <v>4.6399999999999997</v>
      </c>
      <c r="E3625" t="s">
        <v>21</v>
      </c>
    </row>
    <row r="3626" spans="1:5" x14ac:dyDescent="0.25">
      <c r="A3626" t="str">
        <f>HYPERLINK("https://www.773grp.com/globalSearch/DS96176CN/page-1", "DS96176CN")</f>
        <v>DS96176CN</v>
      </c>
      <c r="B3626" s="3" t="str">
        <f>HYPERLINK("https://www.773grp.com/manufacturer/national-semiconductor?pageNo=7", "National Semiconductor")</f>
        <v>National Semiconductor</v>
      </c>
      <c r="C3626" s="6">
        <v>240</v>
      </c>
      <c r="D3626" s="7">
        <v>4.6399999999999997</v>
      </c>
      <c r="E3626" t="s">
        <v>21</v>
      </c>
    </row>
    <row r="3627" spans="1:5" x14ac:dyDescent="0.25">
      <c r="A3627" t="str">
        <f>HYPERLINK("https://www.773grp.com/globalSearch/LF347MX-NOPB/page-1", "LF347MX-NOPB")</f>
        <v>LF347MX-NOPB</v>
      </c>
      <c r="B3627" s="3" t="str">
        <f>HYPERLINK("https://www.773grp.com/manufacturer/national-semiconductor?pageNo=8", "National Semiconductor")</f>
        <v>National Semiconductor</v>
      </c>
      <c r="C3627" s="6">
        <v>42239</v>
      </c>
      <c r="D3627" s="7">
        <v>4.6399999999999997</v>
      </c>
      <c r="E3627" t="s">
        <v>13</v>
      </c>
    </row>
    <row r="3628" spans="1:5" x14ac:dyDescent="0.25">
      <c r="A3628" t="str">
        <f>HYPERLINK("https://www.773grp.com/globalSearch/LM1086IS-5.0/page-1", "LM1086IS-5.0")</f>
        <v>LM1086IS-5.0</v>
      </c>
      <c r="B3628" s="3" t="str">
        <f>HYPERLINK("https://www.773grp.com/manufacturer/national-semiconductor?pageNo=9", "National Semiconductor")</f>
        <v>National Semiconductor</v>
      </c>
      <c r="C3628" s="6">
        <v>3607</v>
      </c>
      <c r="D3628" s="7">
        <v>4.6399999999999997</v>
      </c>
      <c r="E3628" t="s">
        <v>19</v>
      </c>
    </row>
    <row r="3629" spans="1:5" x14ac:dyDescent="0.25">
      <c r="A3629" t="str">
        <f>HYPERLINK("https://www.773grp.com/globalSearch/LM1269DNA/page-1", "LM1269DNA")</f>
        <v>LM1269DNA</v>
      </c>
      <c r="B3629" s="3" t="str">
        <f>HYPERLINK("https://www.773grp.com/manufacturer/national-semiconductor?pageNo=10", "National Semiconductor")</f>
        <v>National Semiconductor</v>
      </c>
      <c r="C3629" s="6">
        <v>132</v>
      </c>
      <c r="D3629" s="7">
        <v>4.6399999999999997</v>
      </c>
    </row>
    <row r="3630" spans="1:5" x14ac:dyDescent="0.25">
      <c r="A3630" t="str">
        <f>HYPERLINK("https://www.773grp.com/globalSearch/LM2936MMX-5.0/page-1", "LM2936MMX-5.0")</f>
        <v>LM2936MMX-5.0</v>
      </c>
      <c r="B3630" s="3" t="str">
        <f>HYPERLINK("https://www.773grp.com/manufacturer/national-semiconductor?pageNo=11", "National Semiconductor")</f>
        <v>National Semiconductor</v>
      </c>
      <c r="C3630" s="6">
        <v>3500</v>
      </c>
      <c r="D3630" s="7">
        <v>4.6399999999999997</v>
      </c>
      <c r="E3630" t="s">
        <v>19</v>
      </c>
    </row>
    <row r="3631" spans="1:5" x14ac:dyDescent="0.25">
      <c r="A3631" t="str">
        <f>HYPERLINK("https://www.773grp.com/globalSearch/LM2936MP-3.3/page-1", "LM2936MP-3.3")</f>
        <v>LM2936MP-3.3</v>
      </c>
      <c r="B3631" s="3" t="str">
        <f>HYPERLINK("https://www.773grp.com/manufacturer/national-semiconductor?pageNo=12", "National Semiconductor")</f>
        <v>National Semiconductor</v>
      </c>
      <c r="C3631" s="6">
        <v>951</v>
      </c>
      <c r="D3631" s="7">
        <v>4.6399999999999997</v>
      </c>
      <c r="E3631" t="s">
        <v>19</v>
      </c>
    </row>
    <row r="3632" spans="1:5" x14ac:dyDescent="0.25">
      <c r="A3632" t="str">
        <f>HYPERLINK("https://www.773grp.com/globalSearch/LM2936MP-5.0/page-1", "LM2936MP-5.0")</f>
        <v>LM2936MP-5.0</v>
      </c>
      <c r="B3632" s="3" t="str">
        <f>HYPERLINK("https://www.773grp.com/manufacturer/national-semiconductor?pageNo=13", "National Semiconductor")</f>
        <v>National Semiconductor</v>
      </c>
      <c r="C3632" s="6">
        <v>1000</v>
      </c>
      <c r="D3632" s="7">
        <v>4.6399999999999997</v>
      </c>
      <c r="E3632" t="s">
        <v>19</v>
      </c>
    </row>
    <row r="3633" spans="1:5" x14ac:dyDescent="0.25">
      <c r="A3633" t="str">
        <f>HYPERLINK("https://www.773grp.com/globalSearch/LM2937ES-10/page-1", "LM2937ES-10")</f>
        <v>LM2937ES-10</v>
      </c>
      <c r="B3633" s="3" t="str">
        <f>HYPERLINK("https://www.773grp.com/manufacturer/national-semiconductor?pageNo=14", "National Semiconductor")</f>
        <v>National Semiconductor</v>
      </c>
      <c r="C3633" s="6">
        <v>2732</v>
      </c>
      <c r="D3633" s="7">
        <v>4.6399999999999997</v>
      </c>
      <c r="E3633" t="s">
        <v>19</v>
      </c>
    </row>
    <row r="3634" spans="1:5" x14ac:dyDescent="0.25">
      <c r="A3634" t="str">
        <f>HYPERLINK("https://www.773grp.com/globalSearch/LM2937ES-2.5/page-1", "LM2937ES-2.5")</f>
        <v>LM2937ES-2.5</v>
      </c>
      <c r="B3634" s="3" t="str">
        <f>HYPERLINK("https://www.773grp.com/manufacturer/national-semiconductor?pageNo=15", "National Semiconductor")</f>
        <v>National Semiconductor</v>
      </c>
      <c r="C3634" s="6">
        <v>1318</v>
      </c>
      <c r="D3634" s="7">
        <v>4.6399999999999997</v>
      </c>
      <c r="E3634" t="s">
        <v>19</v>
      </c>
    </row>
    <row r="3635" spans="1:5" x14ac:dyDescent="0.25">
      <c r="A3635" t="str">
        <f>HYPERLINK("https://www.773grp.com/globalSearch/LM2937ESX-5.0/page-1", "LM2937ESX-5.0")</f>
        <v>LM2937ESX-5.0</v>
      </c>
      <c r="B3635" s="3" t="str">
        <f>HYPERLINK("https://www.773grp.com/manufacturer/national-semiconductor?pageNo=16", "National Semiconductor")</f>
        <v>National Semiconductor</v>
      </c>
      <c r="C3635" s="6">
        <v>1930</v>
      </c>
      <c r="D3635" s="7">
        <v>4.6399999999999997</v>
      </c>
      <c r="E3635" t="s">
        <v>19</v>
      </c>
    </row>
    <row r="3636" spans="1:5" x14ac:dyDescent="0.25">
      <c r="A3636" t="str">
        <f>HYPERLINK("https://www.773grp.com/globalSearch/LM2940S-10-NOPB/page-1", "LM2940S-10-NOPB")</f>
        <v>LM2940S-10-NOPB</v>
      </c>
      <c r="B3636" s="3" t="str">
        <f>HYPERLINK("https://www.773grp.com/manufacturer/national-semiconductor?pageNo=17", "National Semiconductor")</f>
        <v>National Semiconductor</v>
      </c>
      <c r="C3636" s="6">
        <v>2348</v>
      </c>
      <c r="D3636" s="7">
        <v>4.6399999999999997</v>
      </c>
      <c r="E3636" t="s">
        <v>19</v>
      </c>
    </row>
    <row r="3637" spans="1:5" x14ac:dyDescent="0.25">
      <c r="A3637" t="str">
        <f>HYPERLINK("https://www.773grp.com/globalSearch/LM2940S-12-NOPB/page-1", "LM2940S-12-NOPB")</f>
        <v>LM2940S-12-NOPB</v>
      </c>
      <c r="B3637" s="3" t="str">
        <f>HYPERLINK("https://www.773grp.com/manufacturer/national-semiconductor?pageNo=18", "National Semiconductor")</f>
        <v>National Semiconductor</v>
      </c>
      <c r="C3637" s="6">
        <v>432</v>
      </c>
      <c r="D3637" s="7">
        <v>4.6399999999999997</v>
      </c>
      <c r="E3637" t="s">
        <v>19</v>
      </c>
    </row>
    <row r="3638" spans="1:5" x14ac:dyDescent="0.25">
      <c r="A3638" t="str">
        <f>HYPERLINK("https://www.773grp.com/globalSearch/LM2940S-5.0-NOPB/page-1", "LM2940S-5.0-NOPB")</f>
        <v>LM2940S-5.0-NOPB</v>
      </c>
      <c r="B3638" s="3" t="str">
        <f>HYPERLINK("https://www.773grp.com/manufacturer/national-semiconductor?pageNo=19", "National Semiconductor")</f>
        <v>National Semiconductor</v>
      </c>
      <c r="C3638" s="6">
        <v>6318</v>
      </c>
      <c r="D3638" s="7">
        <v>4.6399999999999997</v>
      </c>
      <c r="E3638" t="s">
        <v>19</v>
      </c>
    </row>
    <row r="3639" spans="1:5" x14ac:dyDescent="0.25">
      <c r="A3639" t="str">
        <f>HYPERLINK("https://www.773grp.com/globalSearch/LM2940SX-8.0/page-1", "LM2940SX-8.0")</f>
        <v>LM2940SX-8.0</v>
      </c>
      <c r="B3639" s="3" t="str">
        <f>HYPERLINK("https://www.773grp.com/manufacturer/national-semiconductor?pageNo=20", "National Semiconductor")</f>
        <v>National Semiconductor</v>
      </c>
      <c r="C3639" s="6">
        <v>8500</v>
      </c>
      <c r="D3639" s="7">
        <v>4.6399999999999997</v>
      </c>
      <c r="E3639" t="s">
        <v>19</v>
      </c>
    </row>
    <row r="3640" spans="1:5" x14ac:dyDescent="0.25">
      <c r="A3640" t="str">
        <f>HYPERLINK("https://www.773grp.com/globalSearch/LM3409QMY-NOPB/page-1", "LM3409QMY-NOPB")</f>
        <v>LM3409QMY-NOPB</v>
      </c>
      <c r="B3640" s="3" t="str">
        <f>HYPERLINK("https://www.773grp.com/manufacturer/national-semiconductor?pageNo=21", "National Semiconductor")</f>
        <v>National Semiconductor</v>
      </c>
      <c r="C3640" s="6">
        <v>2000</v>
      </c>
      <c r="D3640" s="7">
        <v>4.6399999999999997</v>
      </c>
    </row>
    <row r="3641" spans="1:5" x14ac:dyDescent="0.25">
      <c r="A3641" t="str">
        <f>HYPERLINK("https://www.773grp.com/globalSearch/LM3526M-L/page-1", "LM3526M-L")</f>
        <v>LM3526M-L</v>
      </c>
      <c r="B3641" s="3" t="str">
        <f>HYPERLINK("https://www.773grp.com/manufacturer/national-semiconductor?pageNo=22", "National Semiconductor")</f>
        <v>National Semiconductor</v>
      </c>
      <c r="C3641" s="6">
        <v>382</v>
      </c>
      <c r="D3641" s="7">
        <v>4.6399999999999997</v>
      </c>
      <c r="E3641" t="s">
        <v>11</v>
      </c>
    </row>
    <row r="3642" spans="1:5" x14ac:dyDescent="0.25">
      <c r="A3642" t="str">
        <f>HYPERLINK("https://www.773grp.com/globalSearch/LM4132CMF-1.8-NOPB/page-1", "LM4132CMF-1.8-NOPB")</f>
        <v>LM4132CMF-1.8-NOPB</v>
      </c>
      <c r="B3642" s="3" t="str">
        <f>HYPERLINK("https://www.773grp.com/manufacturer/national-semiconductor?pageNo=23", "National Semiconductor")</f>
        <v>National Semiconductor</v>
      </c>
      <c r="C3642" s="6">
        <v>1000</v>
      </c>
      <c r="D3642" s="7">
        <v>4.6399999999999997</v>
      </c>
    </row>
    <row r="3643" spans="1:5" x14ac:dyDescent="0.25">
      <c r="A3643" t="str">
        <f>HYPERLINK("https://www.773grp.com/globalSearch/LM4132CMF-2.0-NOPB/page-1", "LM4132CMF-2.0-NOPB")</f>
        <v>LM4132CMF-2.0-NOPB</v>
      </c>
      <c r="B3643" s="3" t="str">
        <f>HYPERLINK("https://www.773grp.com/manufacturer/national-semiconductor?pageNo=24", "National Semiconductor")</f>
        <v>National Semiconductor</v>
      </c>
      <c r="C3643" s="6">
        <v>1812</v>
      </c>
      <c r="D3643" s="7">
        <v>4.6399999999999997</v>
      </c>
    </row>
    <row r="3644" spans="1:5" x14ac:dyDescent="0.25">
      <c r="A3644" t="str">
        <f>HYPERLINK("https://www.773grp.com/globalSearch/LM4132CMF-2.5-NOPB/page-1", "LM4132CMF-2.5-NOPB")</f>
        <v>LM4132CMF-2.5-NOPB</v>
      </c>
      <c r="B3644" s="3" t="str">
        <f>HYPERLINK("https://www.773grp.com/manufacturer/national-semiconductor?pageNo=25", "National Semiconductor")</f>
        <v>National Semiconductor</v>
      </c>
      <c r="C3644" s="6">
        <v>1901</v>
      </c>
      <c r="D3644" s="7">
        <v>4.6399999999999997</v>
      </c>
    </row>
    <row r="3645" spans="1:5" x14ac:dyDescent="0.25">
      <c r="A3645" t="str">
        <f>HYPERLINK("https://www.773grp.com/globalSearch/LM4132CMF-3.0-NOPB/page-1", "LM4132CMF-3.0-NOPB")</f>
        <v>LM4132CMF-3.0-NOPB</v>
      </c>
      <c r="B3645" s="3" t="str">
        <f>HYPERLINK("https://www.773grp.com/manufacturer/national-semiconductor?pageNo=26", "National Semiconductor")</f>
        <v>National Semiconductor</v>
      </c>
      <c r="C3645" s="6">
        <v>5000</v>
      </c>
      <c r="D3645" s="7">
        <v>4.6399999999999997</v>
      </c>
    </row>
    <row r="3646" spans="1:5" x14ac:dyDescent="0.25">
      <c r="A3646" t="str">
        <f>HYPERLINK("https://www.773grp.com/globalSearch/LM4132CMF-3.3-NOPB/page-1", "LM4132CMF-3.3-NOPB")</f>
        <v>LM4132CMF-3.3-NOPB</v>
      </c>
      <c r="B3646" s="3" t="str">
        <f>HYPERLINK("https://www.773grp.com/manufacturer/national-semiconductor?pageNo=27", "National Semiconductor")</f>
        <v>National Semiconductor</v>
      </c>
      <c r="C3646" s="6">
        <v>1910</v>
      </c>
      <c r="D3646" s="7">
        <v>4.6399999999999997</v>
      </c>
    </row>
    <row r="3647" spans="1:5" x14ac:dyDescent="0.25">
      <c r="A3647" t="str">
        <f>HYPERLINK("https://www.773grp.com/globalSearch/LM4132CMF-4.1-NOPB/page-1", "LM4132CMF-4.1-NOPB")</f>
        <v>LM4132CMF-4.1-NOPB</v>
      </c>
      <c r="B3647" s="3" t="str">
        <f>HYPERLINK("https://www.773grp.com/manufacturer/national-semiconductor?pageNo=28", "National Semiconductor")</f>
        <v>National Semiconductor</v>
      </c>
      <c r="C3647" s="6">
        <v>12000</v>
      </c>
      <c r="D3647" s="7">
        <v>4.6399999999999997</v>
      </c>
    </row>
    <row r="3648" spans="1:5" x14ac:dyDescent="0.25">
      <c r="A3648" t="str">
        <f>HYPERLINK("https://www.773grp.com/globalSearch/LM4132CMFX-2.5-NOPB/page-1", "LM4132CMFX-2.5-NOPB")</f>
        <v>LM4132CMFX-2.5-NOPB</v>
      </c>
      <c r="B3648" s="3" t="str">
        <f>HYPERLINK("https://www.773grp.com/manufacturer/national-semiconductor?pageNo=29", "National Semiconductor")</f>
        <v>National Semiconductor</v>
      </c>
      <c r="C3648" s="6">
        <v>6000</v>
      </c>
      <c r="D3648" s="7">
        <v>4.6399999999999997</v>
      </c>
    </row>
    <row r="3649" spans="1:5" x14ac:dyDescent="0.25">
      <c r="A3649" t="str">
        <f>HYPERLINK("https://www.773grp.com/globalSearch/LM4866MTEX/page-1", "LM4866MTEX")</f>
        <v>LM4866MTEX</v>
      </c>
      <c r="B3649" s="3" t="str">
        <f>HYPERLINK("https://www.773grp.com/manufacturer/national-semiconductor?pageNo=30", "National Semiconductor")</f>
        <v>National Semiconductor</v>
      </c>
      <c r="C3649" s="6">
        <v>2500</v>
      </c>
      <c r="D3649" s="7">
        <v>4.6399999999999997</v>
      </c>
      <c r="E3649" t="s">
        <v>18</v>
      </c>
    </row>
    <row r="3650" spans="1:5" x14ac:dyDescent="0.25">
      <c r="A3650" t="str">
        <f>HYPERLINK("https://www.773grp.com/globalSearch/LM4895IBPX/page-1", "LM4895IBPX")</f>
        <v>LM4895IBPX</v>
      </c>
      <c r="B3650" s="3" t="str">
        <f>HYPERLINK("https://www.773grp.com/manufacturer/national-semiconductor?pageNo=31", "National Semiconductor")</f>
        <v>National Semiconductor</v>
      </c>
      <c r="C3650" s="6">
        <v>9000</v>
      </c>
      <c r="D3650" s="7">
        <v>4.6399999999999997</v>
      </c>
      <c r="E3650" t="s">
        <v>18</v>
      </c>
    </row>
    <row r="3651" spans="1:5" x14ac:dyDescent="0.25">
      <c r="A3651" t="str">
        <f>HYPERLINK("https://www.773grp.com/globalSearch/LM4895LD/page-1", "LM4895LD")</f>
        <v>LM4895LD</v>
      </c>
      <c r="B3651" s="3" t="str">
        <f>HYPERLINK("https://www.773grp.com/manufacturer/national-semiconductor?pageNo=32", "National Semiconductor")</f>
        <v>National Semiconductor</v>
      </c>
      <c r="C3651" s="6">
        <v>34000</v>
      </c>
      <c r="D3651" s="7">
        <v>4.6399999999999997</v>
      </c>
      <c r="E3651" t="s">
        <v>18</v>
      </c>
    </row>
    <row r="3652" spans="1:5" x14ac:dyDescent="0.25">
      <c r="A3652" t="str">
        <f>HYPERLINK("https://www.773grp.com/globalSearch/LM5085MME/page-1", "LM5085MME")</f>
        <v>LM5085MME</v>
      </c>
      <c r="B3652" s="3" t="str">
        <f>HYPERLINK("https://www.773grp.com/manufacturer/national-semiconductor?pageNo=33", "National Semiconductor")</f>
        <v>National Semiconductor</v>
      </c>
      <c r="C3652" s="6">
        <v>250</v>
      </c>
      <c r="D3652" s="7">
        <v>4.6399999999999997</v>
      </c>
      <c r="E3652" t="s">
        <v>7</v>
      </c>
    </row>
    <row r="3653" spans="1:5" x14ac:dyDescent="0.25">
      <c r="A3653" t="str">
        <f>HYPERLINK("https://www.773grp.com/globalSearch/LM78S40N/page-1", "LM78S40N")</f>
        <v>LM78S40N</v>
      </c>
      <c r="B3653" s="3" t="str">
        <f>HYPERLINK("https://www.773grp.com/manufacturer/national-semiconductor?pageNo=34", "National Semiconductor")</f>
        <v>National Semiconductor</v>
      </c>
      <c r="C3653" s="6">
        <v>144</v>
      </c>
      <c r="D3653" s="7">
        <v>4.6399999999999997</v>
      </c>
      <c r="E3653" t="s">
        <v>7</v>
      </c>
    </row>
    <row r="3654" spans="1:5" x14ac:dyDescent="0.25">
      <c r="A3654" t="str">
        <f>HYPERLINK("https://www.773grp.com/globalSearch/LM9070M/page-1", "LM9070M")</f>
        <v>LM9070M</v>
      </c>
      <c r="B3654" s="3" t="str">
        <f>HYPERLINK("https://www.773grp.com/manufacturer/national-semiconductor?pageNo=35", "National Semiconductor")</f>
        <v>National Semiconductor</v>
      </c>
      <c r="C3654" s="6">
        <v>288</v>
      </c>
      <c r="D3654" s="7">
        <v>4.6399999999999997</v>
      </c>
      <c r="E3654" t="s">
        <v>19</v>
      </c>
    </row>
    <row r="3655" spans="1:5" x14ac:dyDescent="0.25">
      <c r="A3655" t="str">
        <f>HYPERLINK("https://www.773grp.com/globalSearch/LMC6482AIN/page-1", "LMC6482AIN")</f>
        <v>LMC6482AIN</v>
      </c>
      <c r="B3655" s="3" t="str">
        <f>HYPERLINK("https://www.773grp.com/manufacturer/national-semiconductor?pageNo=36", "National Semiconductor")</f>
        <v>National Semiconductor</v>
      </c>
      <c r="C3655" s="6">
        <v>960</v>
      </c>
      <c r="D3655" s="7">
        <v>4.6399999999999997</v>
      </c>
      <c r="E3655" t="s">
        <v>13</v>
      </c>
    </row>
    <row r="3656" spans="1:5" x14ac:dyDescent="0.25">
      <c r="A3656" t="str">
        <f>HYPERLINK("https://www.773grp.com/globalSearch/LMC7111AIM5X/page-1", "LMC7111AIM5X")</f>
        <v>LMC7111AIM5X</v>
      </c>
      <c r="B3656" s="3" t="str">
        <f>HYPERLINK("https://www.773grp.com/manufacturer/national-semiconductor?pageNo=37", "National Semiconductor")</f>
        <v>National Semiconductor</v>
      </c>
      <c r="C3656" s="6">
        <v>5000</v>
      </c>
      <c r="D3656" s="7">
        <v>4.6399999999999997</v>
      </c>
      <c r="E3656" t="s">
        <v>13</v>
      </c>
    </row>
    <row r="3657" spans="1:5" x14ac:dyDescent="0.25">
      <c r="A3657" t="str">
        <f>HYPERLINK("https://www.773grp.com/globalSearch/LMH6714MA-NOPB/page-1", "LMH6714MA-NOPB")</f>
        <v>LMH6714MA-NOPB</v>
      </c>
      <c r="B3657" s="3" t="str">
        <f>HYPERLINK("https://www.773grp.com/manufacturer/national-semiconductor?pageNo=38", "National Semiconductor")</f>
        <v>National Semiconductor</v>
      </c>
      <c r="C3657" s="6">
        <v>162</v>
      </c>
      <c r="D3657" s="7">
        <v>4.6399999999999997</v>
      </c>
      <c r="E3657" t="s">
        <v>18</v>
      </c>
    </row>
    <row r="3658" spans="1:5" x14ac:dyDescent="0.25">
      <c r="A3658" t="str">
        <f>HYPERLINK("https://www.773grp.com/globalSearch/LMP2231BMA-NOPB/page-1", "LMP2231BMA-NOPB")</f>
        <v>LMP2231BMA-NOPB</v>
      </c>
      <c r="B3658" s="3" t="str">
        <f>HYPERLINK("https://www.773grp.com/manufacturer/national-semiconductor?pageNo=39", "National Semiconductor")</f>
        <v>National Semiconductor</v>
      </c>
      <c r="C3658" s="6">
        <v>215</v>
      </c>
      <c r="D3658" s="7">
        <v>4.6399999999999997</v>
      </c>
    </row>
    <row r="3659" spans="1:5" x14ac:dyDescent="0.25">
      <c r="A3659" t="str">
        <f>HYPERLINK("https://www.773grp.com/globalSearch/LMV762MA-NOPB/page-1", "LMV762MA-NOPB")</f>
        <v>LMV762MA-NOPB</v>
      </c>
      <c r="B3659" s="3" t="str">
        <f>HYPERLINK("https://www.773grp.com/manufacturer/national-semiconductor?pageNo=40", "National Semiconductor")</f>
        <v>National Semiconductor</v>
      </c>
      <c r="C3659" s="6">
        <v>360</v>
      </c>
      <c r="D3659" s="7">
        <v>4.6399999999999997</v>
      </c>
      <c r="E3659" t="s">
        <v>9</v>
      </c>
    </row>
    <row r="3660" spans="1:5" x14ac:dyDescent="0.25">
      <c r="A3660" t="str">
        <f>HYPERLINK("https://www.773grp.com/globalSearch/LP2988AILD-3.0/page-1", "LP2988AILD-3.0")</f>
        <v>LP2988AILD-3.0</v>
      </c>
      <c r="B3660" s="3" t="str">
        <f>HYPERLINK("https://www.773grp.com/manufacturer/national-semiconductor?pageNo=41", "National Semiconductor")</f>
        <v>National Semiconductor</v>
      </c>
      <c r="C3660" s="6">
        <v>964</v>
      </c>
      <c r="D3660" s="7">
        <v>4.6399999999999997</v>
      </c>
      <c r="E3660" t="s">
        <v>19</v>
      </c>
    </row>
    <row r="3661" spans="1:5" x14ac:dyDescent="0.25">
      <c r="A3661" t="str">
        <f>HYPERLINK("https://www.773grp.com/globalSearch/MM74HC4017N/page-1", "MM74HC4017N")</f>
        <v>MM74HC4017N</v>
      </c>
      <c r="B3661" s="3" t="str">
        <f>HYPERLINK("https://www.773grp.com/manufacturer/national-semiconductor?pageNo=42", "National Semiconductor")</f>
        <v>National Semiconductor</v>
      </c>
      <c r="C3661" s="6">
        <v>5166</v>
      </c>
      <c r="D3661" s="7">
        <v>4.6399999999999997</v>
      </c>
      <c r="E3661" t="s">
        <v>26</v>
      </c>
    </row>
    <row r="3662" spans="1:5" x14ac:dyDescent="0.25">
      <c r="A3662" t="str">
        <f>HYPERLINK("https://www.773grp.com/globalSearch/LM4674SQ-NOPB/page-1", "LM4674SQ-NOPB")</f>
        <v>LM4674SQ-NOPB</v>
      </c>
      <c r="B3662" s="3" t="str">
        <f>HYPERLINK("https://www.773grp.com/manufacturer/national-semiconductor?pageNo=43", "National Semiconductor")</f>
        <v>National Semiconductor</v>
      </c>
      <c r="C3662" s="6">
        <v>17000</v>
      </c>
      <c r="D3662" s="7">
        <v>4.6399999999999997</v>
      </c>
    </row>
    <row r="3663" spans="1:5" x14ac:dyDescent="0.25">
      <c r="A3663" t="str">
        <f>HYPERLINK("https://www.773grp.com/globalSearch/DS26C31TM/page-1", "DS26C31TM")</f>
        <v>DS26C31TM</v>
      </c>
      <c r="B3663" s="3" t="str">
        <f>HYPERLINK("https://www.773grp.com/manufacturer/national-semiconductor?pageNo=44", "National Semiconductor")</f>
        <v>National Semiconductor</v>
      </c>
      <c r="C3663" s="6">
        <v>48</v>
      </c>
      <c r="D3663" s="7">
        <v>4.6399999999999997</v>
      </c>
      <c r="E3663" t="s">
        <v>21</v>
      </c>
    </row>
    <row r="3664" spans="1:5" x14ac:dyDescent="0.25">
      <c r="A3664" t="str">
        <f>HYPERLINK("https://www.773grp.com/globalSearch/DS36C278TMX-NOPB/page-1", "DS36C278TMX-NOPB")</f>
        <v>DS36C278TMX-NOPB</v>
      </c>
      <c r="B3664" s="3" t="str">
        <f>HYPERLINK("https://www.773grp.com/manufacturer/national-semiconductor?pageNo=45", "National Semiconductor")</f>
        <v>National Semiconductor</v>
      </c>
      <c r="C3664" s="6">
        <v>5000</v>
      </c>
      <c r="D3664" s="7">
        <v>4.6399999999999997</v>
      </c>
      <c r="E3664" t="s">
        <v>21</v>
      </c>
    </row>
    <row r="3665" spans="1:5" x14ac:dyDescent="0.25">
      <c r="A3665" t="str">
        <f>HYPERLINK("https://www.773grp.com/globalSearch/LM2936MP-3.3/page-1", "LM2936MP-3.3")</f>
        <v>LM2936MP-3.3</v>
      </c>
      <c r="B3665" s="3" t="str">
        <f>HYPERLINK("https://www.773grp.com/manufacturer/national-semiconductor?pageNo=46", "National Semiconductor")</f>
        <v>National Semiconductor</v>
      </c>
      <c r="C3665" s="6">
        <v>1000</v>
      </c>
      <c r="D3665" s="7">
        <v>4.6399999999999997</v>
      </c>
      <c r="E3665" t="s">
        <v>19</v>
      </c>
    </row>
    <row r="3666" spans="1:5" x14ac:dyDescent="0.25">
      <c r="A3666" t="str">
        <f>HYPERLINK("https://www.773grp.com/globalSearch/LM2940S-10-NOPB/page-1", "LM2940S-10-NOPB")</f>
        <v>LM2940S-10-NOPB</v>
      </c>
      <c r="B3666" s="3" t="str">
        <f>HYPERLINK("https://www.773grp.com/manufacturer/national-semiconductor?pageNo=47", "National Semiconductor")</f>
        <v>National Semiconductor</v>
      </c>
      <c r="C3666" s="6">
        <v>352</v>
      </c>
      <c r="D3666" s="7">
        <v>4.6399999999999997</v>
      </c>
      <c r="E3666" t="s">
        <v>19</v>
      </c>
    </row>
    <row r="3667" spans="1:5" x14ac:dyDescent="0.25">
      <c r="A3667" t="str">
        <f>HYPERLINK("https://www.773grp.com/globalSearch/LM2940S-10-NOPB/page-1", "LM2940S-10-NOPB")</f>
        <v>LM2940S-10-NOPB</v>
      </c>
      <c r="B3667" s="3" t="str">
        <f>HYPERLINK("https://www.773grp.com/manufacturer/national-semiconductor?pageNo=48", "National Semiconductor")</f>
        <v>National Semiconductor</v>
      </c>
      <c r="C3667" s="6">
        <v>150</v>
      </c>
      <c r="D3667" s="7">
        <v>4.6399999999999997</v>
      </c>
      <c r="E3667" t="s">
        <v>19</v>
      </c>
    </row>
    <row r="3668" spans="1:5" x14ac:dyDescent="0.25">
      <c r="A3668" t="str">
        <f>HYPERLINK("https://www.773grp.com/globalSearch/LM2940S-12-NOPB/page-1", "LM2940S-12-NOPB")</f>
        <v>LM2940S-12-NOPB</v>
      </c>
      <c r="B3668" s="3" t="str">
        <f>HYPERLINK("https://www.773grp.com/manufacturer/national-semiconductor?pageNo=49", "National Semiconductor")</f>
        <v>National Semiconductor</v>
      </c>
      <c r="C3668" s="6">
        <v>505</v>
      </c>
      <c r="D3668" s="7">
        <v>4.6399999999999997</v>
      </c>
      <c r="E3668" t="s">
        <v>19</v>
      </c>
    </row>
    <row r="3669" spans="1:5" x14ac:dyDescent="0.25">
      <c r="A3669" t="str">
        <f>HYPERLINK("https://www.773grp.com/globalSearch/LM2940S-5.0-NOPB/page-1", "LM2940S-5.0-NOPB")</f>
        <v>LM2940S-5.0-NOPB</v>
      </c>
      <c r="B3669" s="3" t="str">
        <f>HYPERLINK("https://www.773grp.com/manufacturer/national-semiconductor?pageNo=50", "National Semiconductor")</f>
        <v>National Semiconductor</v>
      </c>
      <c r="C3669" s="6">
        <v>496</v>
      </c>
      <c r="D3669" s="7">
        <v>4.6399999999999997</v>
      </c>
      <c r="E3669" t="s">
        <v>19</v>
      </c>
    </row>
    <row r="3670" spans="1:5" x14ac:dyDescent="0.25">
      <c r="A3670" t="str">
        <f>HYPERLINK("https://www.773grp.com/globalSearch/LM2940SX-8.0/page-1", "LM2940SX-8.0")</f>
        <v>LM2940SX-8.0</v>
      </c>
      <c r="B3670" s="3" t="str">
        <f>HYPERLINK("https://www.773grp.com/manufacturer/national-semiconductor?pageNo=51", "National Semiconductor")</f>
        <v>National Semiconductor</v>
      </c>
      <c r="C3670" s="6">
        <v>1000</v>
      </c>
      <c r="D3670" s="7">
        <v>4.6399999999999997</v>
      </c>
      <c r="E3670" t="s">
        <v>19</v>
      </c>
    </row>
    <row r="3671" spans="1:5" x14ac:dyDescent="0.25">
      <c r="A3671" t="str">
        <f>HYPERLINK("https://www.773grp.com/globalSearch/LM3526M-L/page-1", "LM3526M-L")</f>
        <v>LM3526M-L</v>
      </c>
      <c r="B3671" s="3" t="str">
        <f>HYPERLINK("https://www.773grp.com/manufacturer/national-semiconductor?pageNo=52", "National Semiconductor")</f>
        <v>National Semiconductor</v>
      </c>
      <c r="C3671" s="6">
        <v>380</v>
      </c>
      <c r="D3671" s="7">
        <v>4.6399999999999997</v>
      </c>
      <c r="E3671" t="s">
        <v>11</v>
      </c>
    </row>
    <row r="3672" spans="1:5" x14ac:dyDescent="0.25">
      <c r="A3672" t="str">
        <f>HYPERLINK("https://www.773grp.com/globalSearch/LM4132CMF-1.8-NOPB/page-1", "LM4132CMF-1.8-NOPB")</f>
        <v>LM4132CMF-1.8-NOPB</v>
      </c>
      <c r="B3672" s="3" t="str">
        <f>HYPERLINK("https://www.773grp.com/manufacturer/national-semiconductor?pageNo=53", "National Semiconductor")</f>
        <v>National Semiconductor</v>
      </c>
      <c r="C3672" s="6">
        <v>2000</v>
      </c>
      <c r="D3672" s="7">
        <v>4.6399999999999997</v>
      </c>
    </row>
    <row r="3673" spans="1:5" x14ac:dyDescent="0.25">
      <c r="A3673" t="str">
        <f>HYPERLINK("https://www.773grp.com/globalSearch/LM4132CMF-2.5-NOPB/page-1", "LM4132CMF-2.5-NOPB")</f>
        <v>LM4132CMF-2.5-NOPB</v>
      </c>
      <c r="B3673" s="3" t="str">
        <f>HYPERLINK("https://www.773grp.com/manufacturer/national-semiconductor?pageNo=54", "National Semiconductor")</f>
        <v>National Semiconductor</v>
      </c>
      <c r="C3673" s="6">
        <v>2656</v>
      </c>
      <c r="D3673" s="7">
        <v>4.6399999999999997</v>
      </c>
    </row>
    <row r="3674" spans="1:5" x14ac:dyDescent="0.25">
      <c r="A3674" t="str">
        <f>HYPERLINK("https://www.773grp.com/globalSearch/LM4132CMF-3.0-NOPB/page-1", "LM4132CMF-3.0-NOPB")</f>
        <v>LM4132CMF-3.0-NOPB</v>
      </c>
      <c r="B3674" s="3" t="str">
        <f>HYPERLINK("https://www.773grp.com/manufacturer/national-semiconductor?pageNo=55", "National Semiconductor")</f>
        <v>National Semiconductor</v>
      </c>
      <c r="C3674" s="6">
        <v>16000</v>
      </c>
      <c r="D3674" s="7">
        <v>4.6399999999999997</v>
      </c>
    </row>
    <row r="3675" spans="1:5" x14ac:dyDescent="0.25">
      <c r="A3675" t="str">
        <f>HYPERLINK("https://www.773grp.com/globalSearch/LM4132CMF-3.3-NOPB/page-1", "LM4132CMF-3.3-NOPB")</f>
        <v>LM4132CMF-3.3-NOPB</v>
      </c>
      <c r="B3675" s="3" t="str">
        <f>HYPERLINK("https://www.773grp.com/manufacturer/national-semiconductor?pageNo=56", "National Semiconductor")</f>
        <v>National Semiconductor</v>
      </c>
      <c r="C3675" s="6">
        <v>8000</v>
      </c>
      <c r="D3675" s="7">
        <v>4.6399999999999997</v>
      </c>
    </row>
    <row r="3676" spans="1:5" x14ac:dyDescent="0.25">
      <c r="A3676" t="str">
        <f>HYPERLINK("https://www.773grp.com/globalSearch/LM4132CMF-4.1-NOPB/page-1", "LM4132CMF-4.1-NOPB")</f>
        <v>LM4132CMF-4.1-NOPB</v>
      </c>
      <c r="B3676" s="3" t="str">
        <f>HYPERLINK("https://www.773grp.com/manufacturer/national-semiconductor?pageNo=57", "National Semiconductor")</f>
        <v>National Semiconductor</v>
      </c>
      <c r="C3676" s="6">
        <v>1000</v>
      </c>
      <c r="D3676" s="7">
        <v>4.6399999999999997</v>
      </c>
    </row>
    <row r="3677" spans="1:5" x14ac:dyDescent="0.25">
      <c r="A3677" t="str">
        <f>HYPERLINK("https://www.773grp.com/globalSearch/LM4922TL/page-1", "LM4922TL")</f>
        <v>LM4922TL</v>
      </c>
      <c r="B3677" s="3" t="str">
        <f>HYPERLINK("https://www.773grp.com/manufacturer/national-semiconductor?pageNo=58", "National Semiconductor")</f>
        <v>National Semiconductor</v>
      </c>
      <c r="C3677" s="6">
        <v>500</v>
      </c>
      <c r="D3677" s="7">
        <v>4.6399999999999997</v>
      </c>
    </row>
    <row r="3678" spans="1:5" x14ac:dyDescent="0.25">
      <c r="A3678" t="str">
        <f>HYPERLINK("https://www.773grp.com/globalSearch/LM78S40N/page-1", "LM78S40N")</f>
        <v>LM78S40N</v>
      </c>
      <c r="B3678" s="3" t="str">
        <f>HYPERLINK("https://www.773grp.com/manufacturer/national-semiconductor?pageNo=59", "National Semiconductor")</f>
        <v>National Semiconductor</v>
      </c>
      <c r="C3678" s="6">
        <v>1950</v>
      </c>
      <c r="D3678" s="7">
        <v>4.6399999999999997</v>
      </c>
      <c r="E3678" t="s">
        <v>7</v>
      </c>
    </row>
    <row r="3679" spans="1:5" x14ac:dyDescent="0.25">
      <c r="A3679" t="str">
        <f>HYPERLINK("https://www.773grp.com/globalSearch/LMC6482AIN/page-1", "LMC6482AIN")</f>
        <v>LMC6482AIN</v>
      </c>
      <c r="B3679" s="3" t="str">
        <f>HYPERLINK("https://www.773grp.com/manufacturer/national-semiconductor?pageNo=60", "National Semiconductor")</f>
        <v>National Semiconductor</v>
      </c>
      <c r="C3679" s="6">
        <v>387</v>
      </c>
      <c r="D3679" s="7">
        <v>4.6399999999999997</v>
      </c>
      <c r="E3679" t="s">
        <v>13</v>
      </c>
    </row>
    <row r="3680" spans="1:5" x14ac:dyDescent="0.25">
      <c r="A3680" t="str">
        <f>HYPERLINK("https://www.773grp.com/globalSearch/LMH6714MA-NOPB/page-1", "LMH6714MA-NOPB")</f>
        <v>LMH6714MA-NOPB</v>
      </c>
      <c r="B3680" s="3" t="str">
        <f>HYPERLINK("https://www.773grp.com/manufacturer/national-semiconductor?pageNo=61", "National Semiconductor")</f>
        <v>National Semiconductor</v>
      </c>
      <c r="C3680" s="6">
        <v>4485</v>
      </c>
      <c r="D3680" s="7">
        <v>4.6399999999999997</v>
      </c>
      <c r="E3680" t="s">
        <v>18</v>
      </c>
    </row>
    <row r="3681" spans="1:5" x14ac:dyDescent="0.25">
      <c r="A3681" t="str">
        <f>HYPERLINK("https://www.773grp.com/globalSearch/LMP2231BMA-NOPB/page-1", "LMP2231BMA-NOPB")</f>
        <v>LMP2231BMA-NOPB</v>
      </c>
      <c r="B3681" s="3" t="str">
        <f>HYPERLINK("https://www.773grp.com/manufacturer/national-semiconductor?pageNo=62", "National Semiconductor")</f>
        <v>National Semiconductor</v>
      </c>
      <c r="C3681" s="6">
        <v>12120</v>
      </c>
      <c r="D3681" s="7">
        <v>4.6399999999999997</v>
      </c>
    </row>
    <row r="3682" spans="1:5" x14ac:dyDescent="0.25">
      <c r="A3682" t="str">
        <f>HYPERLINK("https://www.773grp.com/globalSearch/LMV762MA-NOPB/page-1", "LMV762MA-NOPB")</f>
        <v>LMV762MA-NOPB</v>
      </c>
      <c r="B3682" s="3" t="str">
        <f>HYPERLINK("https://www.773grp.com/manufacturer/national-semiconductor?pageNo=63", "National Semiconductor")</f>
        <v>National Semiconductor</v>
      </c>
      <c r="C3682" s="6">
        <v>266</v>
      </c>
      <c r="D3682" s="7">
        <v>4.6399999999999997</v>
      </c>
      <c r="E3682" t="s">
        <v>9</v>
      </c>
    </row>
    <row r="3683" spans="1:5" x14ac:dyDescent="0.25">
      <c r="A3683" t="str">
        <f>HYPERLINK("https://www.773grp.com/globalSearch/54174DM/page-1", "54174DM")</f>
        <v>54174DM</v>
      </c>
      <c r="B3683" s="3" t="str">
        <f>HYPERLINK("https://www.773grp.com/manufacturer/national-semiconductor?pageNo=64", "National Semiconductor")</f>
        <v>National Semiconductor</v>
      </c>
      <c r="C3683" s="6">
        <v>16</v>
      </c>
      <c r="D3683" s="7">
        <v>4.2300000000000004</v>
      </c>
    </row>
    <row r="3684" spans="1:5" x14ac:dyDescent="0.25">
      <c r="A3684" t="str">
        <f>HYPERLINK("https://www.773grp.com/globalSearch/5497DM/page-1", "5497DM")</f>
        <v>5497DM</v>
      </c>
      <c r="B3684" s="3" t="str">
        <f>HYPERLINK("https://www.773grp.com/manufacturer/national-semiconductor?pageNo=65", "National Semiconductor")</f>
        <v>National Semiconductor</v>
      </c>
      <c r="C3684" s="6">
        <v>27</v>
      </c>
      <c r="D3684" s="7">
        <v>4.2300000000000004</v>
      </c>
      <c r="E3684" t="s">
        <v>26</v>
      </c>
    </row>
    <row r="3685" spans="1:5" x14ac:dyDescent="0.25">
      <c r="A3685" t="str">
        <f>HYPERLINK("https://www.773grp.com/globalSearch/54LS157J-883/page-1", "54LS157J-883")</f>
        <v>54LS157J-883</v>
      </c>
      <c r="B3685" s="3" t="str">
        <f>HYPERLINK("https://www.773grp.com/manufacturer/national-semiconductor?pageNo=66", "National Semiconductor")</f>
        <v>National Semiconductor</v>
      </c>
      <c r="C3685" s="6">
        <v>172</v>
      </c>
      <c r="D3685" s="7">
        <v>4.2300000000000004</v>
      </c>
    </row>
    <row r="3686" spans="1:5" x14ac:dyDescent="0.25">
      <c r="A3686" t="str">
        <f>HYPERLINK("https://www.773grp.com/globalSearch/54LS26FMQB/page-1", "54LS26FMQB")</f>
        <v>54LS26FMQB</v>
      </c>
      <c r="B3686" s="3" t="str">
        <f>HYPERLINK("https://www.773grp.com/manufacturer/national-semiconductor?pageNo=67", "National Semiconductor")</f>
        <v>National Semiconductor</v>
      </c>
      <c r="C3686" s="6">
        <v>3268</v>
      </c>
      <c r="D3686" s="7">
        <v>4.2300000000000004</v>
      </c>
      <c r="E3686" t="s">
        <v>31</v>
      </c>
    </row>
    <row r="3687" spans="1:5" x14ac:dyDescent="0.25">
      <c r="A3687" t="str">
        <f>HYPERLINK("https://www.773grp.com/globalSearch/74F109LC/page-1", "74F109LC")</f>
        <v>74F109LC</v>
      </c>
      <c r="B3687" s="3" t="str">
        <f>HYPERLINK("https://www.773grp.com/manufacturer/national-semiconductor?pageNo=68", "National Semiconductor")</f>
        <v>National Semiconductor</v>
      </c>
      <c r="C3687" s="6">
        <v>2154</v>
      </c>
      <c r="D3687" s="7">
        <v>4.2300000000000004</v>
      </c>
    </row>
    <row r="3688" spans="1:5" x14ac:dyDescent="0.25">
      <c r="A3688" t="str">
        <f>HYPERLINK("https://www.773grp.com/globalSearch/74FCT841ASPC/page-1", "74FCT841ASPC")</f>
        <v>74FCT841ASPC</v>
      </c>
      <c r="B3688" s="3" t="str">
        <f>HYPERLINK("https://www.773grp.com/manufacturer/national-semiconductor?pageNo=69", "National Semiconductor")</f>
        <v>National Semiconductor</v>
      </c>
      <c r="C3688" s="6">
        <v>1381</v>
      </c>
      <c r="D3688" s="7">
        <v>4.2300000000000004</v>
      </c>
      <c r="E3688" t="s">
        <v>14</v>
      </c>
    </row>
    <row r="3689" spans="1:5" x14ac:dyDescent="0.25">
      <c r="A3689" t="str">
        <f>HYPERLINK("https://www.773grp.com/globalSearch/74S25PC/page-1", "74S25PC")</f>
        <v>74S25PC</v>
      </c>
      <c r="B3689" s="3" t="str">
        <f>HYPERLINK("https://www.773grp.com/manufacturer/national-semiconductor?pageNo=70", "National Semiconductor")</f>
        <v>National Semiconductor</v>
      </c>
      <c r="C3689" s="6">
        <v>5540</v>
      </c>
      <c r="D3689" s="7">
        <v>4.2300000000000004</v>
      </c>
    </row>
    <row r="3690" spans="1:5" x14ac:dyDescent="0.25">
      <c r="A3690" t="str">
        <f>HYPERLINK("https://www.773grp.com/globalSearch/9308PC/page-1", "9308PC")</f>
        <v>9308PC</v>
      </c>
      <c r="B3690" s="3" t="str">
        <f>HYPERLINK("https://www.773grp.com/manufacturer/national-semiconductor?pageNo=71", "National Semiconductor")</f>
        <v>National Semiconductor</v>
      </c>
      <c r="C3690" s="6">
        <v>1245</v>
      </c>
      <c r="D3690" s="7">
        <v>4.2300000000000004</v>
      </c>
    </row>
    <row r="3691" spans="1:5" x14ac:dyDescent="0.25">
      <c r="A3691" t="str">
        <f>HYPERLINK("https://www.773grp.com/globalSearch/ADC1175CIMTC-NOPB/page-1", "ADC1175CIMTC-NOPB")</f>
        <v>ADC1175CIMTC-NOPB</v>
      </c>
      <c r="B3691" s="3" t="str">
        <f>HYPERLINK("https://www.773grp.com/manufacturer/national-semiconductor?pageNo=72", "National Semiconductor")</f>
        <v>National Semiconductor</v>
      </c>
      <c r="C3691" s="6">
        <v>1970</v>
      </c>
      <c r="D3691" s="7">
        <v>4.2300000000000004</v>
      </c>
      <c r="E3691" t="s">
        <v>39</v>
      </c>
    </row>
    <row r="3692" spans="1:5" x14ac:dyDescent="0.25">
      <c r="A3692" t="str">
        <f>HYPERLINK("https://www.773grp.com/globalSearch/DAC088S085CISQ/page-1", "DAC088S085CISQ")</f>
        <v>DAC088S085CISQ</v>
      </c>
      <c r="B3692" s="3" t="str">
        <f>HYPERLINK("https://www.773grp.com/manufacturer/national-semiconductor?pageNo=73", "National Semiconductor")</f>
        <v>National Semiconductor</v>
      </c>
      <c r="C3692" s="6">
        <v>757</v>
      </c>
      <c r="D3692" s="7">
        <v>4.2300000000000004</v>
      </c>
      <c r="E3692" t="s">
        <v>33</v>
      </c>
    </row>
    <row r="3693" spans="1:5" x14ac:dyDescent="0.25">
      <c r="A3693" t="str">
        <f>HYPERLINK("https://www.773grp.com/globalSearch/DM7000J/page-1", "DM7000J")</f>
        <v>DM7000J</v>
      </c>
      <c r="B3693" s="3" t="str">
        <f>HYPERLINK("https://www.773grp.com/manufacturer/national-semiconductor?pageNo=74", "National Semiconductor")</f>
        <v>National Semiconductor</v>
      </c>
      <c r="C3693" s="6">
        <v>148</v>
      </c>
      <c r="D3693" s="7">
        <v>4.2300000000000004</v>
      </c>
    </row>
    <row r="3694" spans="1:5" x14ac:dyDescent="0.25">
      <c r="A3694" t="str">
        <f>HYPERLINK("https://www.773grp.com/globalSearch/DM8579N/page-1", "DM8579N")</f>
        <v>DM8579N</v>
      </c>
      <c r="B3694" s="3" t="str">
        <f>HYPERLINK("https://www.773grp.com/manufacturer/national-semiconductor?pageNo=75", "National Semiconductor")</f>
        <v>National Semiconductor</v>
      </c>
      <c r="C3694" s="6">
        <v>925</v>
      </c>
      <c r="D3694" s="7">
        <v>4.2300000000000004</v>
      </c>
    </row>
    <row r="3695" spans="1:5" x14ac:dyDescent="0.25">
      <c r="A3695" t="str">
        <f>HYPERLINK("https://www.773grp.com/globalSearch/DS14C232CM-NOPB/page-1", "DS14C232CM-NOPB")</f>
        <v>DS14C232CM-NOPB</v>
      </c>
      <c r="B3695" s="3" t="str">
        <f>HYPERLINK("https://www.773grp.com/manufacturer/national-semiconductor?pageNo=76", "National Semiconductor")</f>
        <v>National Semiconductor</v>
      </c>
      <c r="C3695" s="6">
        <v>912</v>
      </c>
      <c r="D3695" s="7">
        <v>4.2300000000000004</v>
      </c>
      <c r="E3695" t="s">
        <v>21</v>
      </c>
    </row>
    <row r="3696" spans="1:5" x14ac:dyDescent="0.25">
      <c r="A3696" t="str">
        <f>HYPERLINK("https://www.773grp.com/globalSearch/DS14C232CN-NOPB/page-1", "DS14C232CN-NOPB")</f>
        <v>DS14C232CN-NOPB</v>
      </c>
      <c r="B3696" s="3" t="str">
        <f>HYPERLINK("https://www.773grp.com/manufacturer/national-semiconductor?pageNo=77", "National Semiconductor")</f>
        <v>National Semiconductor</v>
      </c>
      <c r="C3696" s="6">
        <v>100</v>
      </c>
      <c r="D3696" s="7">
        <v>4.2300000000000004</v>
      </c>
      <c r="E3696" t="s">
        <v>21</v>
      </c>
    </row>
    <row r="3697" spans="1:5" x14ac:dyDescent="0.25">
      <c r="A3697" t="str">
        <f>HYPERLINK("https://www.773grp.com/globalSearch/DS90C402M-NOPB/page-1", "DS90C402M-NOPB")</f>
        <v>DS90C402M-NOPB</v>
      </c>
      <c r="B3697" s="3" t="str">
        <f>HYPERLINK("https://www.773grp.com/manufacturer/national-semiconductor?pageNo=78", "National Semiconductor")</f>
        <v>National Semiconductor</v>
      </c>
      <c r="C3697" s="6">
        <v>540</v>
      </c>
      <c r="D3697" s="7">
        <v>4.2300000000000004</v>
      </c>
      <c r="E3697" t="s">
        <v>21</v>
      </c>
    </row>
    <row r="3698" spans="1:5" x14ac:dyDescent="0.25">
      <c r="A3698" t="str">
        <f>HYPERLINK("https://www.773grp.com/globalSearch/GAL20V8-25QNC/page-1", "GAL20V8-25QNC")</f>
        <v>GAL20V8-25QNC</v>
      </c>
      <c r="B3698" s="3" t="str">
        <f>HYPERLINK("https://www.773grp.com/manufacturer/national-semiconductor?pageNo=79", "National Semiconductor")</f>
        <v>National Semiconductor</v>
      </c>
      <c r="C3698" s="6">
        <v>3117</v>
      </c>
      <c r="D3698" s="7">
        <v>4.2300000000000004</v>
      </c>
      <c r="E3698" t="s">
        <v>51</v>
      </c>
    </row>
    <row r="3699" spans="1:5" x14ac:dyDescent="0.25">
      <c r="A3699" t="str">
        <f>HYPERLINK("https://www.773grp.com/globalSearch/GAL20V8QS-20LNC/page-1", "GAL20V8QS-20LNC")</f>
        <v>GAL20V8QS-20LNC</v>
      </c>
      <c r="B3699" s="3" t="str">
        <f>HYPERLINK("https://www.773grp.com/manufacturer/national-semiconductor?pageNo=80", "National Semiconductor")</f>
        <v>National Semiconductor</v>
      </c>
      <c r="C3699" s="6">
        <v>1294</v>
      </c>
      <c r="D3699" s="7">
        <v>4.2300000000000004</v>
      </c>
      <c r="E3699" t="s">
        <v>51</v>
      </c>
    </row>
    <row r="3700" spans="1:5" x14ac:dyDescent="0.25">
      <c r="A3700" t="str">
        <f>HYPERLINK("https://www.773grp.com/globalSearch/GAL20V8QS-20LVI/page-1", "GAL20V8QS-20LVI")</f>
        <v>GAL20V8QS-20LVI</v>
      </c>
      <c r="B3700" s="3" t="str">
        <f>HYPERLINK("https://www.773grp.com/manufacturer/national-semiconductor?pageNo=81", "National Semiconductor")</f>
        <v>National Semiconductor</v>
      </c>
      <c r="C3700" s="6">
        <v>1050</v>
      </c>
      <c r="D3700" s="7">
        <v>4.2300000000000004</v>
      </c>
      <c r="E3700" t="s">
        <v>51</v>
      </c>
    </row>
    <row r="3701" spans="1:5" x14ac:dyDescent="0.25">
      <c r="A3701" t="str">
        <f>HYPERLINK("https://www.773grp.com/globalSearch/GAL20V8QS-25LNC/page-1", "GAL20V8QS-25LNC")</f>
        <v>GAL20V8QS-25LNC</v>
      </c>
      <c r="B3701" s="3" t="str">
        <f>HYPERLINK("https://www.773grp.com/manufacturer/national-semiconductor?pageNo=82", "National Semiconductor")</f>
        <v>National Semiconductor</v>
      </c>
      <c r="C3701" s="6">
        <v>3961</v>
      </c>
      <c r="D3701" s="7">
        <v>4.2300000000000004</v>
      </c>
      <c r="E3701" t="s">
        <v>51</v>
      </c>
    </row>
    <row r="3702" spans="1:5" x14ac:dyDescent="0.25">
      <c r="A3702" t="str">
        <f>HYPERLINK("https://www.773grp.com/globalSearch/LM20123MH-NOPB/page-1", "LM20123MH-NOPB")</f>
        <v>LM20123MH-NOPB</v>
      </c>
      <c r="B3702" s="3" t="str">
        <f>HYPERLINK("https://www.773grp.com/manufacturer/national-semiconductor?pageNo=83", "National Semiconductor")</f>
        <v>National Semiconductor</v>
      </c>
      <c r="C3702" s="6">
        <v>20</v>
      </c>
      <c r="D3702" s="7">
        <v>4.2300000000000004</v>
      </c>
      <c r="E3702" t="s">
        <v>7</v>
      </c>
    </row>
    <row r="3703" spans="1:5" x14ac:dyDescent="0.25">
      <c r="A3703" t="str">
        <f>HYPERLINK("https://www.773grp.com/globalSearch/LM20143MH-NOPB/page-1", "LM20143MH-NOPB")</f>
        <v>LM20143MH-NOPB</v>
      </c>
      <c r="B3703" s="3" t="str">
        <f>HYPERLINK("https://www.773grp.com/manufacturer/national-semiconductor?pageNo=84", "National Semiconductor")</f>
        <v>National Semiconductor</v>
      </c>
      <c r="C3703" s="6">
        <v>2317</v>
      </c>
      <c r="D3703" s="7">
        <v>4.2300000000000004</v>
      </c>
    </row>
    <row r="3704" spans="1:5" x14ac:dyDescent="0.25">
      <c r="A3704" t="str">
        <f>HYPERLINK("https://www.773grp.com/globalSearch/LM22671MRE-5.0-NOPB/page-1", "LM22671MRE-5.0-NOPB")</f>
        <v>LM22671MRE-5.0-NOPB</v>
      </c>
      <c r="B3704" s="3" t="str">
        <f>HYPERLINK("https://www.773grp.com/manufacturer/national-semiconductor?pageNo=85", "National Semiconductor")</f>
        <v>National Semiconductor</v>
      </c>
      <c r="C3704" s="6">
        <v>52</v>
      </c>
      <c r="D3704" s="7">
        <v>4.2300000000000004</v>
      </c>
    </row>
    <row r="3705" spans="1:5" x14ac:dyDescent="0.25">
      <c r="A3705" t="str">
        <f>HYPERLINK("https://www.773grp.com/globalSearch/LM22674MR-5.0-NOPB/page-1", "LM22674MR-5.0-NOPB")</f>
        <v>LM22674MR-5.0-NOPB</v>
      </c>
      <c r="B3705" s="3" t="str">
        <f>HYPERLINK("https://www.773grp.com/manufacturer/national-semiconductor?pageNo=86", "National Semiconductor")</f>
        <v>National Semiconductor</v>
      </c>
      <c r="C3705" s="6">
        <v>18</v>
      </c>
      <c r="D3705" s="7">
        <v>4.2300000000000004</v>
      </c>
    </row>
    <row r="3706" spans="1:5" x14ac:dyDescent="0.25">
      <c r="A3706" t="str">
        <f>HYPERLINK("https://www.773grp.com/globalSearch/LM22674MR-ADJ-NOPB/page-1", "LM22674MR-ADJ-NOPB")</f>
        <v>LM22674MR-ADJ-NOPB</v>
      </c>
      <c r="B3706" s="3" t="str">
        <f>HYPERLINK("https://www.773grp.com/manufacturer/national-semiconductor?pageNo=87", "National Semiconductor")</f>
        <v>National Semiconductor</v>
      </c>
      <c r="C3706" s="6">
        <v>2270</v>
      </c>
      <c r="D3706" s="7">
        <v>4.2300000000000004</v>
      </c>
    </row>
    <row r="3707" spans="1:5" x14ac:dyDescent="0.25">
      <c r="A3707" t="str">
        <f>HYPERLINK("https://www.773grp.com/globalSearch/LM25088MH-2-NOPB/page-1", "LM25088MH-2-NOPB")</f>
        <v>LM25088MH-2-NOPB</v>
      </c>
      <c r="B3707" s="3" t="str">
        <f>HYPERLINK("https://www.773grp.com/manufacturer/national-semiconductor?pageNo=88", "National Semiconductor")</f>
        <v>National Semiconductor</v>
      </c>
      <c r="C3707" s="6">
        <v>782</v>
      </c>
      <c r="D3707" s="7">
        <v>4.2300000000000004</v>
      </c>
    </row>
    <row r="3708" spans="1:5" x14ac:dyDescent="0.25">
      <c r="A3708" t="str">
        <f>HYPERLINK("https://www.773grp.com/globalSearch/LM2597MX-5.0-NOPB/page-1", "LM2597MX-5.0-NOPB")</f>
        <v>LM2597MX-5.0-NOPB</v>
      </c>
      <c r="B3708" s="3" t="str">
        <f>HYPERLINK("https://www.773grp.com/manufacturer/national-semiconductor?pageNo=89", "National Semiconductor")</f>
        <v>National Semiconductor</v>
      </c>
      <c r="C3708" s="6">
        <v>2000</v>
      </c>
      <c r="D3708" s="7">
        <v>4.2300000000000004</v>
      </c>
      <c r="E3708" t="s">
        <v>7</v>
      </c>
    </row>
    <row r="3709" spans="1:5" x14ac:dyDescent="0.25">
      <c r="A3709" t="str">
        <f>HYPERLINK("https://www.773grp.com/globalSearch/LM2597MX-ADJ-NOPB/page-1", "LM2597MX-ADJ-NOPB")</f>
        <v>LM2597MX-ADJ-NOPB</v>
      </c>
      <c r="B3709" s="3" t="str">
        <f>HYPERLINK("https://www.773grp.com/manufacturer/national-semiconductor?pageNo=90", "National Semiconductor")</f>
        <v>National Semiconductor</v>
      </c>
      <c r="C3709" s="6">
        <v>6037</v>
      </c>
      <c r="D3709" s="7">
        <v>4.2300000000000004</v>
      </c>
      <c r="E3709" t="s">
        <v>7</v>
      </c>
    </row>
    <row r="3710" spans="1:5" x14ac:dyDescent="0.25">
      <c r="A3710" t="str">
        <f>HYPERLINK("https://www.773grp.com/globalSearch/LM2597N-12-NOPB/page-1", "LM2597N-12-NOPB")</f>
        <v>LM2597N-12-NOPB</v>
      </c>
      <c r="B3710" s="3" t="str">
        <f>HYPERLINK("https://www.773grp.com/manufacturer/national-semiconductor?pageNo=91", "National Semiconductor")</f>
        <v>National Semiconductor</v>
      </c>
      <c r="C3710" s="6">
        <v>185</v>
      </c>
      <c r="D3710" s="7">
        <v>4.2300000000000004</v>
      </c>
      <c r="E3710" t="s">
        <v>7</v>
      </c>
    </row>
    <row r="3711" spans="1:5" x14ac:dyDescent="0.25">
      <c r="A3711" t="str">
        <f>HYPERLINK("https://www.773grp.com/globalSearch/LM2597N-3.3-NOPB/page-1", "LM2597N-3.3-NOPB")</f>
        <v>LM2597N-3.3-NOPB</v>
      </c>
      <c r="B3711" s="3" t="str">
        <f>HYPERLINK("https://www.773grp.com/manufacturer/national-semiconductor?pageNo=92", "National Semiconductor")</f>
        <v>National Semiconductor</v>
      </c>
      <c r="C3711" s="6">
        <v>20</v>
      </c>
      <c r="D3711" s="7">
        <v>4.2300000000000004</v>
      </c>
      <c r="E3711" t="s">
        <v>7</v>
      </c>
    </row>
    <row r="3712" spans="1:5" x14ac:dyDescent="0.25">
      <c r="A3712" t="str">
        <f>HYPERLINK("https://www.773grp.com/globalSearch/LM2597N-ADJ/page-1", "LM2597N-ADJ")</f>
        <v>LM2597N-ADJ</v>
      </c>
      <c r="B3712" s="3" t="str">
        <f>HYPERLINK("https://www.773grp.com/manufacturer/national-semiconductor?pageNo=93", "National Semiconductor")</f>
        <v>National Semiconductor</v>
      </c>
      <c r="C3712" s="6">
        <v>320</v>
      </c>
      <c r="D3712" s="7">
        <v>4.2300000000000004</v>
      </c>
      <c r="E3712" t="s">
        <v>7</v>
      </c>
    </row>
    <row r="3713" spans="1:5" x14ac:dyDescent="0.25">
      <c r="A3713" t="str">
        <f>HYPERLINK("https://www.773grp.com/globalSearch/LM2735XQMF-MESN/page-1", "LM2735XQMF-MESN")</f>
        <v>LM2735XQMF-MESN</v>
      </c>
      <c r="B3713" s="3" t="str">
        <f>HYPERLINK("https://www.773grp.com/manufacturer/national-semiconductor?pageNo=94", "National Semiconductor")</f>
        <v>National Semiconductor</v>
      </c>
      <c r="C3713" s="6">
        <v>2000</v>
      </c>
      <c r="D3713" s="7">
        <v>4.2300000000000004</v>
      </c>
    </row>
    <row r="3714" spans="1:5" x14ac:dyDescent="0.25">
      <c r="A3714" t="str">
        <f>HYPERLINK("https://www.773grp.com/globalSearch/LM2852XMXAX-3.3-NOPB/page-1", "LM2852XMXAX-3.3-NOPB")</f>
        <v>LM2852XMXAX-3.3-NOPB</v>
      </c>
      <c r="B3714" s="3" t="str">
        <f>HYPERLINK("https://www.773grp.com/manufacturer/national-semiconductor?pageNo=95", "National Semiconductor")</f>
        <v>National Semiconductor</v>
      </c>
      <c r="C3714" s="6">
        <v>5000</v>
      </c>
      <c r="D3714" s="7">
        <v>4.2300000000000004</v>
      </c>
    </row>
    <row r="3715" spans="1:5" x14ac:dyDescent="0.25">
      <c r="A3715" t="str">
        <f>HYPERLINK("https://www.773grp.com/globalSearch/LM2852YMXA-1.5/page-1", "LM2852YMXA-1.5")</f>
        <v>LM2852YMXA-1.5</v>
      </c>
      <c r="B3715" s="3" t="str">
        <f>HYPERLINK("https://www.773grp.com/manufacturer/national-semiconductor?pageNo=96", "National Semiconductor")</f>
        <v>National Semiconductor</v>
      </c>
      <c r="C3715" s="6">
        <v>51</v>
      </c>
      <c r="D3715" s="7">
        <v>4.2300000000000004</v>
      </c>
      <c r="E3715" t="s">
        <v>7</v>
      </c>
    </row>
    <row r="3716" spans="1:5" x14ac:dyDescent="0.25">
      <c r="A3716" t="str">
        <f>HYPERLINK("https://www.773grp.com/globalSearch/LM2852YMXAX-1.8/page-1", "LM2852YMXAX-1.8")</f>
        <v>LM2852YMXAX-1.8</v>
      </c>
      <c r="B3716" s="3" t="str">
        <f>HYPERLINK("https://www.773grp.com/manufacturer/national-semiconductor?pageNo=97", "National Semiconductor")</f>
        <v>National Semiconductor</v>
      </c>
      <c r="C3716" s="6">
        <v>2500</v>
      </c>
      <c r="D3716" s="7">
        <v>4.2300000000000004</v>
      </c>
      <c r="E3716" t="s">
        <v>7</v>
      </c>
    </row>
    <row r="3717" spans="1:5" x14ac:dyDescent="0.25">
      <c r="A3717" t="str">
        <f>HYPERLINK("https://www.773grp.com/globalSearch/LM2852YMXAX-1.8-NOPB/page-1", "LM2852YMXAX-1.8-NOPB")</f>
        <v>LM2852YMXAX-1.8-NOPB</v>
      </c>
      <c r="B3717" s="3" t="str">
        <f>HYPERLINK("https://www.773grp.com/manufacturer/national-semiconductor?pageNo=98", "National Semiconductor")</f>
        <v>National Semiconductor</v>
      </c>
      <c r="C3717" s="6">
        <v>2500</v>
      </c>
      <c r="D3717" s="7">
        <v>4.2300000000000004</v>
      </c>
      <c r="E3717" t="s">
        <v>7</v>
      </c>
    </row>
    <row r="3718" spans="1:5" x14ac:dyDescent="0.25">
      <c r="A3718" t="str">
        <f>HYPERLINK("https://www.773grp.com/globalSearch/LM2852YMXAX-3.3-NOPB/page-1", "LM2852YMXAX-3.3-NOPB")</f>
        <v>LM2852YMXAX-3.3-NOPB</v>
      </c>
      <c r="B3718" s="3" t="str">
        <f>HYPERLINK("https://www.773grp.com/manufacturer/national-semiconductor?pageNo=99", "National Semiconductor")</f>
        <v>National Semiconductor</v>
      </c>
      <c r="C3718" s="6">
        <v>2200</v>
      </c>
      <c r="D3718" s="7">
        <v>4.2300000000000004</v>
      </c>
      <c r="E3718" t="s">
        <v>7</v>
      </c>
    </row>
    <row r="3719" spans="1:5" x14ac:dyDescent="0.25">
      <c r="A3719" t="str">
        <f>HYPERLINK("https://www.773grp.com/globalSearch/LM3406HVMHX/page-1", "LM3406HVMHX")</f>
        <v>LM3406HVMHX</v>
      </c>
      <c r="B3719" s="3" t="str">
        <f>HYPERLINK("https://www.773grp.com/manufacturer/national-semiconductor?pageNo=100", "National Semiconductor")</f>
        <v>National Semiconductor</v>
      </c>
      <c r="C3719" s="6">
        <v>12500</v>
      </c>
      <c r="D3719" s="7">
        <v>4.2300000000000004</v>
      </c>
      <c r="E3719" t="s">
        <v>7</v>
      </c>
    </row>
    <row r="3720" spans="1:5" x14ac:dyDescent="0.25">
      <c r="A3720" t="str">
        <f>HYPERLINK("https://www.773grp.com/globalSearch/LM3423MH-NOPB/page-1", "LM3423MH-NOPB")</f>
        <v>LM3423MH-NOPB</v>
      </c>
      <c r="B3720" s="3" t="str">
        <f>HYPERLINK("https://www.773grp.com/manufacturer/national-semiconductor?pageNo=101", "National Semiconductor")</f>
        <v>National Semiconductor</v>
      </c>
      <c r="C3720" s="6">
        <v>6132</v>
      </c>
      <c r="D3720" s="7">
        <v>4.2300000000000004</v>
      </c>
    </row>
    <row r="3721" spans="1:5" x14ac:dyDescent="0.25">
      <c r="A3721" t="str">
        <f>HYPERLINK("https://www.773grp.com/globalSearch/LM350AT/page-1", "LM350AT")</f>
        <v>LM350AT</v>
      </c>
      <c r="B3721" s="3" t="str">
        <f>HYPERLINK("https://www.773grp.com/manufacturer/national-semiconductor?pageNo=102", "National Semiconductor")</f>
        <v>National Semiconductor</v>
      </c>
      <c r="C3721" s="6">
        <v>24</v>
      </c>
      <c r="D3721" s="7">
        <v>4.2300000000000004</v>
      </c>
      <c r="E3721" t="s">
        <v>22</v>
      </c>
    </row>
    <row r="3722" spans="1:5" x14ac:dyDescent="0.25">
      <c r="A3722" t="str">
        <f>HYPERLINK("https://www.773grp.com/globalSearch/LM4952TS-NOPB/page-1", "LM4952TS-NOPB")</f>
        <v>LM4952TS-NOPB</v>
      </c>
      <c r="B3722" s="3" t="str">
        <f>HYPERLINK("https://www.773grp.com/manufacturer/national-semiconductor?pageNo=103", "National Semiconductor")</f>
        <v>National Semiconductor</v>
      </c>
      <c r="C3722" s="6">
        <v>670</v>
      </c>
      <c r="D3722" s="7">
        <v>4.2300000000000004</v>
      </c>
    </row>
    <row r="3723" spans="1:5" x14ac:dyDescent="0.25">
      <c r="A3723" t="str">
        <f>HYPERLINK("https://www.773grp.com/globalSearch/LM5115AMTX-NOPB/page-1", "LM5115AMTX-NOPB")</f>
        <v>LM5115AMTX-NOPB</v>
      </c>
      <c r="B3723" s="3" t="str">
        <f>HYPERLINK("https://www.773grp.com/manufacturer/national-semiconductor?pageNo=104", "National Semiconductor")</f>
        <v>National Semiconductor</v>
      </c>
      <c r="C3723" s="6">
        <v>2500</v>
      </c>
      <c r="D3723" s="7">
        <v>4.2300000000000004</v>
      </c>
      <c r="E3723" t="s">
        <v>7</v>
      </c>
    </row>
    <row r="3724" spans="1:5" x14ac:dyDescent="0.25">
      <c r="A3724" t="str">
        <f>HYPERLINK("https://www.773grp.com/globalSearch/LM8502TMX-NOPB/page-1", "LM8502TMX-NOPB")</f>
        <v>LM8502TMX-NOPB</v>
      </c>
      <c r="B3724" s="3" t="str">
        <f>HYPERLINK("https://www.773grp.com/manufacturer/national-semiconductor?pageNo=105", "National Semiconductor")</f>
        <v>National Semiconductor</v>
      </c>
      <c r="C3724" s="6">
        <v>1199610</v>
      </c>
      <c r="D3724" s="7">
        <v>4.2300000000000004</v>
      </c>
    </row>
    <row r="3725" spans="1:5" x14ac:dyDescent="0.25">
      <c r="A3725" t="str">
        <f>HYPERLINK("https://www.773grp.com/globalSearch/LP38843S-1.5/page-1", "LP38843S-1.5")</f>
        <v>LP38843S-1.5</v>
      </c>
      <c r="B3725" s="3" t="str">
        <f>HYPERLINK("https://www.773grp.com/manufacturer/national-semiconductor?pageNo=106", "National Semiconductor")</f>
        <v>National Semiconductor</v>
      </c>
      <c r="C3725" s="6">
        <v>129</v>
      </c>
      <c r="D3725" s="7">
        <v>4.2300000000000004</v>
      </c>
      <c r="E3725" t="s">
        <v>19</v>
      </c>
    </row>
    <row r="3726" spans="1:5" x14ac:dyDescent="0.25">
      <c r="A3726" t="str">
        <f>HYPERLINK("https://www.773grp.com/globalSearch/LP38843SX-1.2-NOPB/page-1", "LP38843SX-1.2-NOPB")</f>
        <v>LP38843SX-1.2-NOPB</v>
      </c>
      <c r="B3726" s="3" t="str">
        <f>HYPERLINK("https://www.773grp.com/manufacturer/national-semiconductor?pageNo=107", "National Semiconductor")</f>
        <v>National Semiconductor</v>
      </c>
      <c r="C3726" s="6">
        <v>500</v>
      </c>
      <c r="D3726" s="7">
        <v>4.2300000000000004</v>
      </c>
      <c r="E3726" t="s">
        <v>19</v>
      </c>
    </row>
    <row r="3727" spans="1:5" x14ac:dyDescent="0.25">
      <c r="A3727" t="str">
        <f>HYPERLINK("https://www.773grp.com/globalSearch/LP38843SX-1.5-NOPB/page-1", "LP38843SX-1.5-NOPB")</f>
        <v>LP38843SX-1.5-NOPB</v>
      </c>
      <c r="B3727" s="3" t="str">
        <f>HYPERLINK("https://www.773grp.com/manufacturer/national-semiconductor?pageNo=108", "National Semiconductor")</f>
        <v>National Semiconductor</v>
      </c>
      <c r="C3727" s="6">
        <v>1500</v>
      </c>
      <c r="D3727" s="7">
        <v>4.2300000000000004</v>
      </c>
      <c r="E3727" t="s">
        <v>19</v>
      </c>
    </row>
    <row r="3728" spans="1:5" x14ac:dyDescent="0.25">
      <c r="A3728" t="str">
        <f>HYPERLINK("https://www.773grp.com/globalSearch/LP38843T-0.8/page-1", "LP38843T-0.8")</f>
        <v>LP38843T-0.8</v>
      </c>
      <c r="B3728" s="3" t="str">
        <f>HYPERLINK("https://www.773grp.com/manufacturer/national-semiconductor?pageNo=109", "National Semiconductor")</f>
        <v>National Semiconductor</v>
      </c>
      <c r="C3728" s="6">
        <v>315</v>
      </c>
      <c r="D3728" s="7">
        <v>4.2300000000000004</v>
      </c>
      <c r="E3728" t="s">
        <v>19</v>
      </c>
    </row>
    <row r="3729" spans="1:5" x14ac:dyDescent="0.25">
      <c r="A3729" t="str">
        <f>HYPERLINK("https://www.773grp.com/globalSearch/LP38843T-1.2-NOPB/page-1", "LP38843T-1.2-NOPB")</f>
        <v>LP38843T-1.2-NOPB</v>
      </c>
      <c r="B3729" s="3" t="str">
        <f>HYPERLINK("https://www.773grp.com/manufacturer/national-semiconductor?pageNo=110", "National Semiconductor")</f>
        <v>National Semiconductor</v>
      </c>
      <c r="C3729" s="6">
        <v>476</v>
      </c>
      <c r="D3729" s="7">
        <v>4.2300000000000004</v>
      </c>
      <c r="E3729" t="s">
        <v>19</v>
      </c>
    </row>
    <row r="3730" spans="1:5" x14ac:dyDescent="0.25">
      <c r="A3730" t="str">
        <f>HYPERLINK("https://www.773grp.com/globalSearch/LP3891EMR-1.2-NOPB/page-1", "LP3891EMR-1.2-NOPB")</f>
        <v>LP3891EMR-1.2-NOPB</v>
      </c>
      <c r="B3730" s="3" t="str">
        <f>HYPERLINK("https://www.773grp.com/manufacturer/national-semiconductor?pageNo=111", "National Semiconductor")</f>
        <v>National Semiconductor</v>
      </c>
      <c r="C3730" s="6">
        <v>82</v>
      </c>
      <c r="D3730" s="7">
        <v>4.2300000000000004</v>
      </c>
      <c r="E3730" t="s">
        <v>19</v>
      </c>
    </row>
    <row r="3731" spans="1:5" x14ac:dyDescent="0.25">
      <c r="A3731" t="str">
        <f>HYPERLINK("https://www.773grp.com/globalSearch/LP3891ES-1.2-NOPB/page-1", "LP3891ES-1.2-NOPB")</f>
        <v>LP3891ES-1.2-NOPB</v>
      </c>
      <c r="B3731" s="3" t="str">
        <f>HYPERLINK("https://www.773grp.com/manufacturer/national-semiconductor?pageNo=112", "National Semiconductor")</f>
        <v>National Semiconductor</v>
      </c>
      <c r="C3731" s="6">
        <v>512</v>
      </c>
      <c r="D3731" s="7">
        <v>4.2300000000000004</v>
      </c>
      <c r="E3731" t="s">
        <v>19</v>
      </c>
    </row>
    <row r="3732" spans="1:5" x14ac:dyDescent="0.25">
      <c r="A3732" t="str">
        <f>HYPERLINK("https://www.773grp.com/globalSearch/LP3891ES-1.5-NOPB/page-1", "LP3891ES-1.5-NOPB")</f>
        <v>LP3891ES-1.5-NOPB</v>
      </c>
      <c r="B3732" s="3" t="str">
        <f>HYPERLINK("https://www.773grp.com/manufacturer/national-semiconductor?pageNo=113", "National Semiconductor")</f>
        <v>National Semiconductor</v>
      </c>
      <c r="C3732" s="6">
        <v>229</v>
      </c>
      <c r="D3732" s="7">
        <v>4.2300000000000004</v>
      </c>
      <c r="E3732" t="s">
        <v>19</v>
      </c>
    </row>
    <row r="3733" spans="1:5" x14ac:dyDescent="0.25">
      <c r="A3733" t="str">
        <f>HYPERLINK("https://www.773grp.com/globalSearch/ADC102S051CIMM-NOPB/page-1", "ADC102S051CIMM-NOPB")</f>
        <v>ADC102S051CIMM-NOPB</v>
      </c>
      <c r="B3733" s="3" t="str">
        <f>HYPERLINK("https://www.773grp.com/manufacturer/national-semiconductor?pageNo=114", "National Semiconductor")</f>
        <v>National Semiconductor</v>
      </c>
      <c r="C3733" s="6">
        <v>12000</v>
      </c>
      <c r="D3733" s="7">
        <v>4.2300000000000004</v>
      </c>
    </row>
    <row r="3734" spans="1:5" x14ac:dyDescent="0.25">
      <c r="A3734" t="str">
        <f>HYPERLINK("https://www.773grp.com/globalSearch/ADC1175CIMTC-NOPB/page-1", "ADC1175CIMTC-NOPB")</f>
        <v>ADC1175CIMTC-NOPB</v>
      </c>
      <c r="B3734" s="3" t="str">
        <f>HYPERLINK("https://www.773grp.com/manufacturer/national-semiconductor?pageNo=115", "National Semiconductor")</f>
        <v>National Semiconductor</v>
      </c>
      <c r="C3734" s="6">
        <v>92</v>
      </c>
      <c r="D3734" s="7">
        <v>4.2300000000000004</v>
      </c>
      <c r="E3734" t="s">
        <v>39</v>
      </c>
    </row>
    <row r="3735" spans="1:5" x14ac:dyDescent="0.25">
      <c r="A3735" t="str">
        <f>HYPERLINK("https://www.773grp.com/globalSearch/CC1190RGVR/page-1", "CC1190RGVR")</f>
        <v>CC1190RGVR</v>
      </c>
      <c r="B3735" s="3" t="str">
        <f>HYPERLINK("https://www.773grp.com/manufacturer/national-semiconductor?pageNo=116", "National Semiconductor")</f>
        <v>National Semiconductor</v>
      </c>
      <c r="C3735" s="6">
        <v>2500</v>
      </c>
      <c r="D3735" s="7">
        <v>4.2300000000000004</v>
      </c>
    </row>
    <row r="3736" spans="1:5" x14ac:dyDescent="0.25">
      <c r="A3736" t="str">
        <f>HYPERLINK("https://www.773grp.com/globalSearch/DS14C232CM-NOPB/page-1", "DS14C232CM-NOPB")</f>
        <v>DS14C232CM-NOPB</v>
      </c>
      <c r="B3736" s="3" t="str">
        <f>HYPERLINK("https://www.773grp.com/manufacturer/national-semiconductor?pageNo=117", "National Semiconductor")</f>
        <v>National Semiconductor</v>
      </c>
      <c r="C3736" s="6">
        <v>257</v>
      </c>
      <c r="D3736" s="7">
        <v>4.2300000000000004</v>
      </c>
      <c r="E3736" t="s">
        <v>21</v>
      </c>
    </row>
    <row r="3737" spans="1:5" x14ac:dyDescent="0.25">
      <c r="A3737" t="str">
        <f>HYPERLINK("https://www.773grp.com/globalSearch/DS14C232CN-NOPB/page-1", "DS14C232CN-NOPB")</f>
        <v>DS14C232CN-NOPB</v>
      </c>
      <c r="B3737" s="3" t="str">
        <f>HYPERLINK("https://www.773grp.com/manufacturer/national-semiconductor?pageNo=118", "National Semiconductor")</f>
        <v>National Semiconductor</v>
      </c>
      <c r="C3737" s="6">
        <v>14510</v>
      </c>
      <c r="D3737" s="7">
        <v>4.2300000000000004</v>
      </c>
      <c r="E3737" t="s">
        <v>21</v>
      </c>
    </row>
    <row r="3738" spans="1:5" x14ac:dyDescent="0.25">
      <c r="A3738" t="str">
        <f>HYPERLINK("https://www.773grp.com/globalSearch/DS90C402M-NOPB/page-1", "DS90C402M-NOPB")</f>
        <v>DS90C402M-NOPB</v>
      </c>
      <c r="B3738" s="3" t="str">
        <f>HYPERLINK("https://www.773grp.com/manufacturer/national-semiconductor?pageNo=119", "National Semiconductor")</f>
        <v>National Semiconductor</v>
      </c>
      <c r="C3738" s="6">
        <v>271</v>
      </c>
      <c r="D3738" s="7">
        <v>4.2300000000000004</v>
      </c>
      <c r="E3738" t="s">
        <v>21</v>
      </c>
    </row>
    <row r="3739" spans="1:5" x14ac:dyDescent="0.25">
      <c r="A3739" t="str">
        <f>HYPERLINK("https://www.773grp.com/globalSearch/LM20123MH-NOPB/page-1", "LM20123MH-NOPB")</f>
        <v>LM20123MH-NOPB</v>
      </c>
      <c r="B3739" s="3" t="str">
        <f>HYPERLINK("https://www.773grp.com/manufacturer/national-semiconductor?pageNo=120", "National Semiconductor")</f>
        <v>National Semiconductor</v>
      </c>
      <c r="C3739" s="6">
        <v>770</v>
      </c>
      <c r="D3739" s="7">
        <v>4.2300000000000004</v>
      </c>
      <c r="E3739" t="s">
        <v>7</v>
      </c>
    </row>
    <row r="3740" spans="1:5" x14ac:dyDescent="0.25">
      <c r="A3740" t="str">
        <f>HYPERLINK("https://www.773grp.com/globalSearch/LM20133MH-NOPB/page-1", "LM20133MH-NOPB")</f>
        <v>LM20133MH-NOPB</v>
      </c>
      <c r="B3740" s="3" t="str">
        <f>HYPERLINK("https://www.773grp.com/manufacturer/national-semiconductor?pageNo=121", "National Semiconductor")</f>
        <v>National Semiconductor</v>
      </c>
      <c r="C3740" s="6">
        <v>995</v>
      </c>
      <c r="D3740" s="7">
        <v>4.2300000000000004</v>
      </c>
    </row>
    <row r="3741" spans="1:5" x14ac:dyDescent="0.25">
      <c r="A3741" t="str">
        <f>HYPERLINK("https://www.773grp.com/globalSearch/LM20143MH-NOPB/page-1", "LM20143MH-NOPB")</f>
        <v>LM20143MH-NOPB</v>
      </c>
      <c r="B3741" s="3" t="str">
        <f>HYPERLINK("https://www.773grp.com/manufacturer/national-semiconductor?pageNo=122", "National Semiconductor")</f>
        <v>National Semiconductor</v>
      </c>
      <c r="C3741" s="6">
        <v>299</v>
      </c>
      <c r="D3741" s="7">
        <v>4.2300000000000004</v>
      </c>
    </row>
    <row r="3742" spans="1:5" x14ac:dyDescent="0.25">
      <c r="A3742" t="str">
        <f>HYPERLINK("https://www.773grp.com/globalSearch/LM22671MRE-5.0-NOPB/page-1", "LM22671MRE-5.0-NOPB")</f>
        <v>LM22671MRE-5.0-NOPB</v>
      </c>
      <c r="B3742" s="3" t="str">
        <f>HYPERLINK("https://www.773grp.com/manufacturer/national-semiconductor?pageNo=123", "National Semiconductor")</f>
        <v>National Semiconductor</v>
      </c>
      <c r="C3742" s="6">
        <v>590</v>
      </c>
      <c r="D3742" s="7">
        <v>4.2300000000000004</v>
      </c>
    </row>
    <row r="3743" spans="1:5" x14ac:dyDescent="0.25">
      <c r="A3743" t="str">
        <f>HYPERLINK("https://www.773grp.com/globalSearch/LM22671MRE-ADJ-NOPB/page-1", "LM22671MRE-ADJ-NOPB")</f>
        <v>LM22671MRE-ADJ-NOPB</v>
      </c>
      <c r="B3743" s="3" t="str">
        <f>HYPERLINK("https://www.773grp.com/manufacturer/national-semiconductor?pageNo=124", "National Semiconductor")</f>
        <v>National Semiconductor</v>
      </c>
      <c r="C3743" s="6">
        <v>920</v>
      </c>
      <c r="D3743" s="7">
        <v>4.2300000000000004</v>
      </c>
    </row>
    <row r="3744" spans="1:5" x14ac:dyDescent="0.25">
      <c r="A3744" t="str">
        <f>HYPERLINK("https://www.773grp.com/globalSearch/LM22674MR-ADJ-NOPB/page-1", "LM22674MR-ADJ-NOPB")</f>
        <v>LM22674MR-ADJ-NOPB</v>
      </c>
      <c r="B3744" s="3" t="str">
        <f>HYPERLINK("https://www.773grp.com/manufacturer/national-semiconductor?pageNo=125", "National Semiconductor")</f>
        <v>National Semiconductor</v>
      </c>
      <c r="C3744" s="6">
        <v>45</v>
      </c>
      <c r="D3744" s="7">
        <v>4.2300000000000004</v>
      </c>
    </row>
    <row r="3745" spans="1:5" x14ac:dyDescent="0.25">
      <c r="A3745" t="str">
        <f>HYPERLINK("https://www.773grp.com/globalSearch/LM25017MR-NOPB/page-1", "LM25017MR-NOPB")</f>
        <v>LM25017MR-NOPB</v>
      </c>
      <c r="B3745" s="3" t="str">
        <f>HYPERLINK("https://www.773grp.com/manufacturer/national-semiconductor?pageNo=126", "National Semiconductor")</f>
        <v>National Semiconductor</v>
      </c>
      <c r="C3745" s="6">
        <v>285</v>
      </c>
      <c r="D3745" s="7">
        <v>4.2300000000000004</v>
      </c>
    </row>
    <row r="3746" spans="1:5" x14ac:dyDescent="0.25">
      <c r="A3746" t="str">
        <f>HYPERLINK("https://www.773grp.com/globalSearch/LM25088MH-1-NOPB/page-1", "LM25088MH-1-NOPB")</f>
        <v>LM25088MH-1-NOPB</v>
      </c>
      <c r="B3746" s="3" t="str">
        <f>HYPERLINK("https://www.773grp.com/manufacturer/national-semiconductor?pageNo=127", "National Semiconductor")</f>
        <v>National Semiconductor</v>
      </c>
      <c r="C3746" s="6">
        <v>890</v>
      </c>
      <c r="D3746" s="7">
        <v>4.2300000000000004</v>
      </c>
    </row>
    <row r="3747" spans="1:5" x14ac:dyDescent="0.25">
      <c r="A3747" t="str">
        <f>HYPERLINK("https://www.773grp.com/globalSearch/LM25088MH-2-NOPB/page-1", "LM25088MH-2-NOPB")</f>
        <v>LM25088MH-2-NOPB</v>
      </c>
      <c r="B3747" s="3" t="str">
        <f>HYPERLINK("https://www.773grp.com/manufacturer/national-semiconductor?pageNo=128", "National Semiconductor")</f>
        <v>National Semiconductor</v>
      </c>
      <c r="C3747" s="6">
        <v>1450</v>
      </c>
      <c r="D3747" s="7">
        <v>4.2300000000000004</v>
      </c>
    </row>
    <row r="3748" spans="1:5" x14ac:dyDescent="0.25">
      <c r="A3748" t="str">
        <f>HYPERLINK("https://www.773grp.com/globalSearch/LM2597MX-ADJ-NOPB/page-1", "LM2597MX-ADJ-NOPB")</f>
        <v>LM2597MX-ADJ-NOPB</v>
      </c>
      <c r="B3748" s="3" t="str">
        <f>HYPERLINK("https://www.773grp.com/manufacturer/national-semiconductor?pageNo=129", "National Semiconductor")</f>
        <v>National Semiconductor</v>
      </c>
      <c r="C3748" s="6">
        <v>31</v>
      </c>
      <c r="D3748" s="7">
        <v>4.2300000000000004</v>
      </c>
      <c r="E3748" t="s">
        <v>7</v>
      </c>
    </row>
    <row r="3749" spans="1:5" x14ac:dyDescent="0.25">
      <c r="A3749" t="str">
        <f>HYPERLINK("https://www.773grp.com/globalSearch/LM2597N-12-NOPB/page-1", "LM2597N-12-NOPB")</f>
        <v>LM2597N-12-NOPB</v>
      </c>
      <c r="B3749" s="3" t="str">
        <f>HYPERLINK("https://www.773grp.com/manufacturer/national-semiconductor?pageNo=130", "National Semiconductor")</f>
        <v>National Semiconductor</v>
      </c>
      <c r="C3749" s="6">
        <v>8054</v>
      </c>
      <c r="D3749" s="7">
        <v>4.2300000000000004</v>
      </c>
      <c r="E3749" t="s">
        <v>7</v>
      </c>
    </row>
    <row r="3750" spans="1:5" x14ac:dyDescent="0.25">
      <c r="A3750" t="str">
        <f>HYPERLINK("https://www.773grp.com/globalSearch/LM2597N-5.0-NOPB/page-1", "LM2597N-5.0-NOPB")</f>
        <v>LM2597N-5.0-NOPB</v>
      </c>
      <c r="B3750" s="3" t="str">
        <f>HYPERLINK("https://www.773grp.com/manufacturer/national-semiconductor?pageNo=131", "National Semiconductor")</f>
        <v>National Semiconductor</v>
      </c>
      <c r="C3750" s="6">
        <v>100</v>
      </c>
      <c r="D3750" s="7">
        <v>4.2300000000000004</v>
      </c>
    </row>
    <row r="3751" spans="1:5" x14ac:dyDescent="0.25">
      <c r="A3751" t="str">
        <f>HYPERLINK("https://www.773grp.com/globalSearch/LM2597N-ADJ-NOPB/page-1", "LM2597N-ADJ-NOPB")</f>
        <v>LM2597N-ADJ-NOPB</v>
      </c>
      <c r="B3751" s="3" t="str">
        <f>HYPERLINK("https://www.773grp.com/manufacturer/national-semiconductor?pageNo=132", "National Semiconductor")</f>
        <v>National Semiconductor</v>
      </c>
      <c r="C3751" s="6">
        <v>320</v>
      </c>
      <c r="D3751" s="7">
        <v>4.2300000000000004</v>
      </c>
    </row>
    <row r="3752" spans="1:5" x14ac:dyDescent="0.25">
      <c r="A3752" t="str">
        <f>HYPERLINK("https://www.773grp.com/globalSearch/LM2734XQMK-NOPB/page-1", "LM2734XQMK-NOPB")</f>
        <v>LM2734XQMK-NOPB</v>
      </c>
      <c r="B3752" s="3" t="str">
        <f>HYPERLINK("https://www.773grp.com/manufacturer/national-semiconductor?pageNo=133", "National Semiconductor")</f>
        <v>National Semiconductor</v>
      </c>
      <c r="C3752" s="6">
        <v>1000</v>
      </c>
      <c r="D3752" s="7">
        <v>4.2300000000000004</v>
      </c>
    </row>
    <row r="3753" spans="1:5" x14ac:dyDescent="0.25">
      <c r="A3753" t="str">
        <f>HYPERLINK("https://www.773grp.com/globalSearch/LM2852XMXA1.8-NOPB/page-1", "LM2852XMXA1.8-NOPB")</f>
        <v>LM2852XMXA1.8-NOPB</v>
      </c>
      <c r="B3753" s="3" t="str">
        <f>HYPERLINK("https://www.773grp.com/manufacturer/national-semiconductor?pageNo=134", "National Semiconductor")</f>
        <v>National Semiconductor</v>
      </c>
      <c r="C3753" s="6">
        <v>178</v>
      </c>
      <c r="D3753" s="7">
        <v>4.2300000000000004</v>
      </c>
    </row>
    <row r="3754" spans="1:5" x14ac:dyDescent="0.25">
      <c r="A3754" t="str">
        <f>HYPERLINK("https://www.773grp.com/globalSearch/LM3215TLX-45-NOPB/page-1", "LM3215TLX-45-NOPB")</f>
        <v>LM3215TLX-45-NOPB</v>
      </c>
      <c r="B3754" s="3" t="str">
        <f>HYPERLINK("https://www.773grp.com/manufacturer/national-semiconductor?pageNo=1", "National Semiconductor")</f>
        <v>National Semiconductor</v>
      </c>
      <c r="C3754" s="6">
        <v>291000</v>
      </c>
      <c r="D3754" s="7">
        <v>4.2300000000000004</v>
      </c>
    </row>
    <row r="3755" spans="1:5" x14ac:dyDescent="0.25">
      <c r="A3755" t="str">
        <f>HYPERLINK("https://www.773grp.com/globalSearch/LM3423MH-NOPB/page-1", "LM3423MH-NOPB")</f>
        <v>LM3423MH-NOPB</v>
      </c>
      <c r="B3755" s="3" t="str">
        <f>HYPERLINK("https://www.773grp.com/manufacturer/national-semiconductor?pageNo=2", "National Semiconductor")</f>
        <v>National Semiconductor</v>
      </c>
      <c r="C3755" s="6">
        <v>146</v>
      </c>
      <c r="D3755" s="7">
        <v>4.2300000000000004</v>
      </c>
    </row>
    <row r="3756" spans="1:5" x14ac:dyDescent="0.25">
      <c r="A3756" t="str">
        <f>HYPERLINK("https://www.773grp.com/globalSearch/LM34925MR-NOPB/page-1", "LM34925MR-NOPB")</f>
        <v>LM34925MR-NOPB</v>
      </c>
      <c r="B3756" s="3" t="str">
        <f>HYPERLINK("https://www.773grp.com/manufacturer/national-semiconductor?pageNo=3", "National Semiconductor")</f>
        <v>National Semiconductor</v>
      </c>
      <c r="C3756" s="6">
        <v>250</v>
      </c>
      <c r="D3756" s="7">
        <v>4.2300000000000004</v>
      </c>
    </row>
    <row r="3757" spans="1:5" x14ac:dyDescent="0.25">
      <c r="A3757" t="str">
        <f>HYPERLINK("https://www.773grp.com/globalSearch/LM4952TS-NOPB/page-1", "LM4952TS-NOPB")</f>
        <v>LM4952TS-NOPB</v>
      </c>
      <c r="B3757" s="3" t="str">
        <f>HYPERLINK("https://www.773grp.com/manufacturer/national-semiconductor?pageNo=4", "National Semiconductor")</f>
        <v>National Semiconductor</v>
      </c>
      <c r="C3757" s="6">
        <v>8</v>
      </c>
      <c r="D3757" s="7">
        <v>4.2300000000000004</v>
      </c>
    </row>
    <row r="3758" spans="1:5" x14ac:dyDescent="0.25">
      <c r="A3758" t="str">
        <f>HYPERLINK("https://www.773grp.com/globalSearch/LM5019MR-NOPB/page-1", "LM5019MR-NOPB")</f>
        <v>LM5019MR-NOPB</v>
      </c>
      <c r="B3758" s="3" t="str">
        <f>HYPERLINK("https://www.773grp.com/manufacturer/national-semiconductor?pageNo=5", "National Semiconductor")</f>
        <v>National Semiconductor</v>
      </c>
      <c r="C3758" s="6">
        <v>515</v>
      </c>
      <c r="D3758" s="7">
        <v>4.2300000000000004</v>
      </c>
    </row>
    <row r="3759" spans="1:5" x14ac:dyDescent="0.25">
      <c r="A3759" t="str">
        <f>HYPERLINK("https://www.773grp.com/globalSearch/LM5051MA-NOPB/page-1", "LM5051MA-NOPB")</f>
        <v>LM5051MA-NOPB</v>
      </c>
      <c r="B3759" s="3" t="str">
        <f>HYPERLINK("https://www.773grp.com/manufacturer/national-semiconductor?pageNo=6", "National Semiconductor")</f>
        <v>National Semiconductor</v>
      </c>
      <c r="C3759" s="6">
        <v>308</v>
      </c>
      <c r="D3759" s="7">
        <v>4.2300000000000004</v>
      </c>
    </row>
    <row r="3760" spans="1:5" x14ac:dyDescent="0.25">
      <c r="A3760" t="str">
        <f>HYPERLINK("https://www.773grp.com/globalSearch/LMH2190TM-38-NOPB/page-1", "LMH2190TM-38-NOPB")</f>
        <v>LMH2190TM-38-NOPB</v>
      </c>
      <c r="B3760" s="3" t="str">
        <f>HYPERLINK("https://www.773grp.com/manufacturer/national-semiconductor?pageNo=7", "National Semiconductor")</f>
        <v>National Semiconductor</v>
      </c>
      <c r="C3760" s="6">
        <v>375</v>
      </c>
      <c r="D3760" s="7">
        <v>4.2300000000000004</v>
      </c>
    </row>
    <row r="3761" spans="1:5" x14ac:dyDescent="0.25">
      <c r="A3761" t="str">
        <f>HYPERLINK("https://www.773grp.com/globalSearch/LMP2012MA-NOPB/page-1", "LMP2012MA-NOPB")</f>
        <v>LMP2012MA-NOPB</v>
      </c>
      <c r="B3761" s="3" t="str">
        <f>HYPERLINK("https://www.773grp.com/manufacturer/national-semiconductor?pageNo=8", "National Semiconductor")</f>
        <v>National Semiconductor</v>
      </c>
      <c r="C3761" s="6">
        <v>368</v>
      </c>
      <c r="D3761" s="7">
        <v>4.2300000000000004</v>
      </c>
    </row>
    <row r="3762" spans="1:5" x14ac:dyDescent="0.25">
      <c r="A3762" t="str">
        <f>HYPERLINK("https://www.773grp.com/globalSearch/LMR24210TLX-NOPB/page-1", "LMR24210TLX-NOPB")</f>
        <v>LMR24210TLX-NOPB</v>
      </c>
      <c r="B3762" s="3" t="str">
        <f>HYPERLINK("https://www.773grp.com/manufacturer/national-semiconductor?pageNo=9", "National Semiconductor")</f>
        <v>National Semiconductor</v>
      </c>
      <c r="C3762" s="6">
        <v>1000</v>
      </c>
      <c r="D3762" s="7">
        <v>4.2300000000000004</v>
      </c>
    </row>
    <row r="3763" spans="1:5" x14ac:dyDescent="0.25">
      <c r="A3763" t="str">
        <f>HYPERLINK("https://www.773grp.com/globalSearch/LP38843T-1.2-NOPB/page-1", "LP38843T-1.2-NOPB")</f>
        <v>LP38843T-1.2-NOPB</v>
      </c>
      <c r="B3763" s="3" t="str">
        <f>HYPERLINK("https://www.773grp.com/manufacturer/national-semiconductor?pageNo=10", "National Semiconductor")</f>
        <v>National Semiconductor</v>
      </c>
      <c r="C3763" s="6">
        <v>867</v>
      </c>
      <c r="D3763" s="7">
        <v>4.2300000000000004</v>
      </c>
      <c r="E3763" t="s">
        <v>19</v>
      </c>
    </row>
    <row r="3764" spans="1:5" x14ac:dyDescent="0.25">
      <c r="A3764" t="str">
        <f>HYPERLINK("https://www.773grp.com/globalSearch/LP3891EMR-1.2-NOPB/page-1", "LP3891EMR-1.2-NOPB")</f>
        <v>LP3891EMR-1.2-NOPB</v>
      </c>
      <c r="B3764" s="3" t="str">
        <f>HYPERLINK("https://www.773grp.com/manufacturer/national-semiconductor?pageNo=11", "National Semiconductor")</f>
        <v>National Semiconductor</v>
      </c>
      <c r="C3764" s="6">
        <v>280</v>
      </c>
      <c r="D3764" s="7">
        <v>4.2300000000000004</v>
      </c>
      <c r="E3764" t="s">
        <v>19</v>
      </c>
    </row>
    <row r="3765" spans="1:5" x14ac:dyDescent="0.25">
      <c r="A3765" t="str">
        <f>HYPERLINK("https://www.773grp.com/globalSearch/LP3891ES-1.2-NOPB/page-1", "LP3891ES-1.2-NOPB")</f>
        <v>LP3891ES-1.2-NOPB</v>
      </c>
      <c r="B3765" s="3" t="str">
        <f>HYPERLINK("https://www.773grp.com/manufacturer/national-semiconductor?pageNo=12", "National Semiconductor")</f>
        <v>National Semiconductor</v>
      </c>
      <c r="C3765" s="6">
        <v>138</v>
      </c>
      <c r="D3765" s="7">
        <v>4.2300000000000004</v>
      </c>
      <c r="E3765" t="s">
        <v>19</v>
      </c>
    </row>
    <row r="3766" spans="1:5" x14ac:dyDescent="0.25">
      <c r="A3766" t="str">
        <f>HYPERLINK("https://www.773grp.com/globalSearch/OPA227UA/page-1", "OPA227UA")</f>
        <v>OPA227UA</v>
      </c>
      <c r="B3766" s="3" t="str">
        <f>HYPERLINK("https://www.773grp.com/manufacturer/national-semiconductor?pageNo=13", "National Semiconductor")</f>
        <v>National Semiconductor</v>
      </c>
      <c r="C3766" s="6">
        <v>1575</v>
      </c>
      <c r="D3766" s="7">
        <v>4.2300000000000004</v>
      </c>
    </row>
    <row r="3767" spans="1:5" x14ac:dyDescent="0.25">
      <c r="A3767" t="str">
        <f>HYPERLINK("https://www.773grp.com/globalSearch/OPA227UA/page-1", "OPA227UA")</f>
        <v>OPA227UA</v>
      </c>
      <c r="B3767" s="3" t="str">
        <f>HYPERLINK("https://www.773grp.com/manufacturer/national-semiconductor?pageNo=14", "National Semiconductor")</f>
        <v>National Semiconductor</v>
      </c>
      <c r="C3767" s="6">
        <v>225</v>
      </c>
      <c r="D3767" s="7">
        <v>4.2300000000000004</v>
      </c>
    </row>
    <row r="3768" spans="1:5" x14ac:dyDescent="0.25">
      <c r="A3768" t="str">
        <f>HYPERLINK("https://www.773grp.com/globalSearch/TL2575HV-ADJIKV/page-1", "TL2575HV-ADJIKV")</f>
        <v>TL2575HV-ADJIKV</v>
      </c>
      <c r="B3768" s="3" t="str">
        <f>HYPERLINK("https://www.773grp.com/manufacturer/national-semiconductor?pageNo=15", "National Semiconductor")</f>
        <v>National Semiconductor</v>
      </c>
      <c r="C3768" s="6">
        <v>6750</v>
      </c>
      <c r="D3768" s="7">
        <v>4.2300000000000004</v>
      </c>
    </row>
    <row r="3769" spans="1:5" x14ac:dyDescent="0.25">
      <c r="A3769" t="str">
        <f>HYPERLINK("https://www.773grp.com/globalSearch/TRSF3223ECPW/page-1", "TRSF3223ECPW")</f>
        <v>TRSF3223ECPW</v>
      </c>
      <c r="B3769" s="3" t="str">
        <f>HYPERLINK("https://www.773grp.com/manufacturer/national-semiconductor?pageNo=16", "National Semiconductor")</f>
        <v>National Semiconductor</v>
      </c>
      <c r="C3769" s="6">
        <v>3290</v>
      </c>
      <c r="D3769" s="7">
        <v>4.2300000000000004</v>
      </c>
    </row>
    <row r="3770" spans="1:5" x14ac:dyDescent="0.25">
      <c r="A3770" t="str">
        <f>HYPERLINK("https://www.773grp.com/globalSearch/DS75150N/page-1", "DS75150N")</f>
        <v>DS75150N</v>
      </c>
      <c r="B3770" s="3" t="str">
        <f>HYPERLINK("https://www.773grp.com/manufacturer/national-semiconductor?pageNo=17", "National Semiconductor")</f>
        <v>National Semiconductor</v>
      </c>
      <c r="C3770" s="6">
        <v>1715</v>
      </c>
      <c r="D3770" s="7">
        <v>4.6900000000000004</v>
      </c>
      <c r="E3770" t="s">
        <v>21</v>
      </c>
    </row>
    <row r="3771" spans="1:5" x14ac:dyDescent="0.25">
      <c r="A3771" t="str">
        <f>HYPERLINK("https://www.773grp.com/globalSearch/DS89C21TM/page-1", "DS89C21TM")</f>
        <v>DS89C21TM</v>
      </c>
      <c r="B3771" s="3" t="str">
        <f>HYPERLINK("https://www.773grp.com/manufacturer/national-semiconductor?pageNo=18", "National Semiconductor")</f>
        <v>National Semiconductor</v>
      </c>
      <c r="C3771" s="6">
        <v>3685</v>
      </c>
      <c r="D3771" s="7">
        <v>4.6900000000000004</v>
      </c>
      <c r="E3771" t="s">
        <v>21</v>
      </c>
    </row>
    <row r="3772" spans="1:5" x14ac:dyDescent="0.25">
      <c r="A3772" t="str">
        <f>HYPERLINK("https://www.773grp.com/globalSearch/DS90LV027M-NOPB/page-1", "DS90LV027M-NOPB")</f>
        <v>DS90LV027M-NOPB</v>
      </c>
      <c r="B3772" s="3" t="str">
        <f>HYPERLINK("https://www.773grp.com/manufacturer/national-semiconductor?pageNo=19", "National Semiconductor")</f>
        <v>National Semiconductor</v>
      </c>
      <c r="C3772" s="6">
        <v>1752</v>
      </c>
      <c r="D3772" s="7">
        <v>4.6900000000000004</v>
      </c>
      <c r="E3772" t="s">
        <v>21</v>
      </c>
    </row>
    <row r="3773" spans="1:5" x14ac:dyDescent="0.25">
      <c r="A3773" t="str">
        <f>HYPERLINK("https://www.773grp.com/globalSearch/LF451CM/page-1", "LF451CM")</f>
        <v>LF451CM</v>
      </c>
      <c r="B3773" s="3" t="str">
        <f>HYPERLINK("https://www.773grp.com/manufacturer/national-semiconductor?pageNo=20", "National Semiconductor")</f>
        <v>National Semiconductor</v>
      </c>
      <c r="C3773" s="6">
        <v>3450</v>
      </c>
      <c r="D3773" s="7">
        <v>4.6900000000000004</v>
      </c>
      <c r="E3773" t="s">
        <v>13</v>
      </c>
    </row>
    <row r="3774" spans="1:5" x14ac:dyDescent="0.25">
      <c r="A3774" t="str">
        <f>HYPERLINK("https://www.773grp.com/globalSearch/LM1086CT-5.0/page-1", "LM1086CT-5.0")</f>
        <v>LM1086CT-5.0</v>
      </c>
      <c r="B3774" s="3" t="str">
        <f>HYPERLINK("https://www.773grp.com/manufacturer/national-semiconductor?pageNo=21", "National Semiconductor")</f>
        <v>National Semiconductor</v>
      </c>
      <c r="C3774" s="6">
        <v>2876</v>
      </c>
      <c r="D3774" s="7">
        <v>4.6900000000000004</v>
      </c>
      <c r="E3774" t="s">
        <v>19</v>
      </c>
    </row>
    <row r="3775" spans="1:5" x14ac:dyDescent="0.25">
      <c r="A3775" t="str">
        <f>HYPERLINK("https://www.773grp.com/globalSearch/LM1496M/page-1", "LM1496M")</f>
        <v>LM1496M</v>
      </c>
      <c r="B3775" s="3" t="str">
        <f>HYPERLINK("https://www.773grp.com/manufacturer/national-semiconductor?pageNo=22", "National Semiconductor")</f>
        <v>National Semiconductor</v>
      </c>
      <c r="C3775" s="6">
        <v>2543</v>
      </c>
      <c r="D3775" s="7">
        <v>4.6900000000000004</v>
      </c>
      <c r="E3775" t="s">
        <v>23</v>
      </c>
    </row>
    <row r="3776" spans="1:5" x14ac:dyDescent="0.25">
      <c r="A3776" t="str">
        <f>HYPERLINK("https://www.773grp.com/globalSearch/LM1496N/page-1", "LM1496N")</f>
        <v>LM1496N</v>
      </c>
      <c r="B3776" s="3" t="str">
        <f>HYPERLINK("https://www.773grp.com/manufacturer/national-semiconductor?pageNo=23", "National Semiconductor")</f>
        <v>National Semiconductor</v>
      </c>
      <c r="C3776" s="6">
        <v>25361</v>
      </c>
      <c r="D3776" s="7">
        <v>4.6900000000000004</v>
      </c>
      <c r="E3776" t="s">
        <v>23</v>
      </c>
    </row>
    <row r="3777" spans="1:5" x14ac:dyDescent="0.25">
      <c r="A3777" t="str">
        <f>HYPERLINK("https://www.773grp.com/globalSearch/LM2791LD-L/page-1", "LM2791LD-L")</f>
        <v>LM2791LD-L</v>
      </c>
      <c r="B3777" s="3" t="str">
        <f>HYPERLINK("https://www.773grp.com/manufacturer/national-semiconductor?pageNo=24", "National Semiconductor")</f>
        <v>National Semiconductor</v>
      </c>
      <c r="C3777" s="6">
        <v>1000</v>
      </c>
      <c r="D3777" s="7">
        <v>4.6900000000000004</v>
      </c>
      <c r="E3777" t="s">
        <v>10</v>
      </c>
    </row>
    <row r="3778" spans="1:5" x14ac:dyDescent="0.25">
      <c r="A3778" t="str">
        <f>HYPERLINK("https://www.773grp.com/globalSearch/LM3301N/page-1", "LM3301N")</f>
        <v>LM3301N</v>
      </c>
      <c r="B3778" s="3" t="str">
        <f>HYPERLINK("https://www.773grp.com/manufacturer/national-semiconductor?pageNo=25", "National Semiconductor")</f>
        <v>National Semiconductor</v>
      </c>
      <c r="C3778" s="6">
        <v>49460</v>
      </c>
      <c r="D3778" s="7">
        <v>4.6900000000000004</v>
      </c>
      <c r="E3778" t="s">
        <v>13</v>
      </c>
    </row>
    <row r="3779" spans="1:5" x14ac:dyDescent="0.25">
      <c r="A3779" t="str">
        <f>HYPERLINK("https://www.773grp.com/globalSearch/LM385BXM-1.2/page-1", "LM385BXM-1.2")</f>
        <v>LM385BXM-1.2</v>
      </c>
      <c r="B3779" s="3" t="str">
        <f>HYPERLINK("https://www.773grp.com/manufacturer/national-semiconductor?pageNo=26", "National Semiconductor")</f>
        <v>National Semiconductor</v>
      </c>
      <c r="C3779" s="6">
        <v>474</v>
      </c>
      <c r="D3779" s="7">
        <v>4.6900000000000004</v>
      </c>
      <c r="E3779" t="s">
        <v>17</v>
      </c>
    </row>
    <row r="3780" spans="1:5" x14ac:dyDescent="0.25">
      <c r="A3780" t="str">
        <f>HYPERLINK("https://www.773grp.com/globalSearch/LM385BXMX-1.2/page-1", "LM385BXMX-1.2")</f>
        <v>LM385BXMX-1.2</v>
      </c>
      <c r="B3780" s="3" t="str">
        <f>HYPERLINK("https://www.773grp.com/manufacturer/national-semiconductor?pageNo=27", "National Semiconductor")</f>
        <v>National Semiconductor</v>
      </c>
      <c r="C3780" s="6">
        <v>516</v>
      </c>
      <c r="D3780" s="7">
        <v>4.6900000000000004</v>
      </c>
      <c r="E3780" t="s">
        <v>17</v>
      </c>
    </row>
    <row r="3781" spans="1:5" x14ac:dyDescent="0.25">
      <c r="A3781" t="str">
        <f>HYPERLINK("https://www.773grp.com/globalSearch/LMC567CM-NOPB/page-1", "LMC567CM-NOPB")</f>
        <v>LMC567CM-NOPB</v>
      </c>
      <c r="B3781" s="3" t="str">
        <f>HYPERLINK("https://www.773grp.com/manufacturer/national-semiconductor?pageNo=28", "National Semiconductor")</f>
        <v>National Semiconductor</v>
      </c>
      <c r="C3781" s="6">
        <v>2755</v>
      </c>
      <c r="D3781" s="7">
        <v>4.6900000000000004</v>
      </c>
      <c r="E3781" t="s">
        <v>47</v>
      </c>
    </row>
    <row r="3782" spans="1:5" x14ac:dyDescent="0.25">
      <c r="A3782" t="str">
        <f>HYPERLINK("https://www.773grp.com/globalSearch/LMC660CM-NOPB/page-1", "LMC660CM-NOPB")</f>
        <v>LMC660CM-NOPB</v>
      </c>
      <c r="B3782" s="3" t="str">
        <f>HYPERLINK("https://www.773grp.com/manufacturer/national-semiconductor?pageNo=29", "National Semiconductor")</f>
        <v>National Semiconductor</v>
      </c>
      <c r="C3782" s="6">
        <v>1309</v>
      </c>
      <c r="D3782" s="7">
        <v>4.6900000000000004</v>
      </c>
      <c r="E3782" t="s">
        <v>13</v>
      </c>
    </row>
    <row r="3783" spans="1:5" x14ac:dyDescent="0.25">
      <c r="A3783" t="str">
        <f>HYPERLINK("https://www.773grp.com/globalSearch/LP2952IN-3.3/page-1", "LP2952IN-3.3")</f>
        <v>LP2952IN-3.3</v>
      </c>
      <c r="B3783" s="3" t="str">
        <f>HYPERLINK("https://www.773grp.com/manufacturer/national-semiconductor?pageNo=30", "National Semiconductor")</f>
        <v>National Semiconductor</v>
      </c>
      <c r="C3783" s="6">
        <v>3694</v>
      </c>
      <c r="D3783" s="7">
        <v>4.6900000000000004</v>
      </c>
      <c r="E3783" t="s">
        <v>27</v>
      </c>
    </row>
    <row r="3784" spans="1:5" x14ac:dyDescent="0.25">
      <c r="A3784" t="str">
        <f>HYPERLINK("https://www.773grp.com/globalSearch/LP2988AIM-5.0-NOPB/page-1", "LP2988AIM-5.0-NOPB")</f>
        <v>LP2988AIM-5.0-NOPB</v>
      </c>
      <c r="B3784" s="3" t="str">
        <f>HYPERLINK("https://www.773grp.com/manufacturer/national-semiconductor?pageNo=31", "National Semiconductor")</f>
        <v>National Semiconductor</v>
      </c>
      <c r="C3784" s="6">
        <v>2412</v>
      </c>
      <c r="D3784" s="7">
        <v>4.6900000000000004</v>
      </c>
      <c r="E3784" t="s">
        <v>19</v>
      </c>
    </row>
    <row r="3785" spans="1:5" x14ac:dyDescent="0.25">
      <c r="A3785" t="str">
        <f>HYPERLINK("https://www.773grp.com/globalSearch/LP2989IMX-2.5-NOPB/page-1", "LP2989IMX-2.5-NOPB")</f>
        <v>LP2989IMX-2.5-NOPB</v>
      </c>
      <c r="B3785" s="3" t="str">
        <f>HYPERLINK("https://www.773grp.com/manufacturer/national-semiconductor?pageNo=32", "National Semiconductor")</f>
        <v>National Semiconductor</v>
      </c>
      <c r="C3785" s="6">
        <v>4900</v>
      </c>
      <c r="D3785" s="7">
        <v>4.6900000000000004</v>
      </c>
      <c r="E3785" t="s">
        <v>19</v>
      </c>
    </row>
    <row r="3786" spans="1:5" x14ac:dyDescent="0.25">
      <c r="A3786" t="str">
        <f>HYPERLINK("https://www.773grp.com/globalSearch/LP2989IMX-3.3-NOPB/page-1", "LP2989IMX-3.3-NOPB")</f>
        <v>LP2989IMX-3.3-NOPB</v>
      </c>
      <c r="B3786" s="3" t="str">
        <f>HYPERLINK("https://www.773grp.com/manufacturer/national-semiconductor?pageNo=33", "National Semiconductor")</f>
        <v>National Semiconductor</v>
      </c>
      <c r="C3786" s="6">
        <v>5000</v>
      </c>
      <c r="D3786" s="7">
        <v>4.6900000000000004</v>
      </c>
      <c r="E3786" t="s">
        <v>19</v>
      </c>
    </row>
    <row r="3787" spans="1:5" x14ac:dyDescent="0.25">
      <c r="A3787" t="str">
        <f>HYPERLINK("https://www.773grp.com/globalSearch/LP2989IMX-5.0-NOPB/page-1", "LP2989IMX-5.0-NOPB")</f>
        <v>LP2989IMX-5.0-NOPB</v>
      </c>
      <c r="B3787" s="3" t="str">
        <f>HYPERLINK("https://www.773grp.com/manufacturer/national-semiconductor?pageNo=34", "National Semiconductor")</f>
        <v>National Semiconductor</v>
      </c>
      <c r="C3787" s="6">
        <v>12500</v>
      </c>
      <c r="D3787" s="7">
        <v>4.6900000000000004</v>
      </c>
      <c r="E3787" t="s">
        <v>19</v>
      </c>
    </row>
    <row r="3788" spans="1:5" x14ac:dyDescent="0.25">
      <c r="A3788" t="str">
        <f>HYPERLINK("https://www.773grp.com/globalSearch/DS90LV027M-NOPB/page-1", "DS90LV027M-NOPB")</f>
        <v>DS90LV027M-NOPB</v>
      </c>
      <c r="B3788" s="3" t="str">
        <f>HYPERLINK("https://www.773grp.com/manufacturer/national-semiconductor?pageNo=35", "National Semiconductor")</f>
        <v>National Semiconductor</v>
      </c>
      <c r="C3788" s="6">
        <v>1140</v>
      </c>
      <c r="D3788" s="7">
        <v>4.6900000000000004</v>
      </c>
      <c r="E3788" t="s">
        <v>21</v>
      </c>
    </row>
    <row r="3789" spans="1:5" x14ac:dyDescent="0.25">
      <c r="A3789" t="str">
        <f>HYPERLINK("https://www.773grp.com/globalSearch/LM385BXM-1.2/page-1", "LM385BXM-1.2")</f>
        <v>LM385BXM-1.2</v>
      </c>
      <c r="B3789" s="3" t="str">
        <f>HYPERLINK("https://www.773grp.com/manufacturer/national-semiconductor?pageNo=36", "National Semiconductor")</f>
        <v>National Semiconductor</v>
      </c>
      <c r="C3789" s="6">
        <v>190</v>
      </c>
      <c r="D3789" s="7">
        <v>4.6900000000000004</v>
      </c>
      <c r="E3789" t="s">
        <v>17</v>
      </c>
    </row>
    <row r="3790" spans="1:5" x14ac:dyDescent="0.25">
      <c r="A3790" t="str">
        <f>HYPERLINK("https://www.773grp.com/globalSearch/LMC567CM-NOPB/page-1", "LMC567CM-NOPB")</f>
        <v>LMC567CM-NOPB</v>
      </c>
      <c r="B3790" s="3" t="str">
        <f>HYPERLINK("https://www.773grp.com/manufacturer/national-semiconductor?pageNo=37", "National Semiconductor")</f>
        <v>National Semiconductor</v>
      </c>
      <c r="C3790" s="6">
        <v>258</v>
      </c>
      <c r="D3790" s="7">
        <v>4.6900000000000004</v>
      </c>
      <c r="E3790" t="s">
        <v>47</v>
      </c>
    </row>
    <row r="3791" spans="1:5" x14ac:dyDescent="0.25">
      <c r="A3791" t="str">
        <f>HYPERLINK("https://www.773grp.com/globalSearch/LMC660CM-NOPB/page-1", "LMC660CM-NOPB")</f>
        <v>LMC660CM-NOPB</v>
      </c>
      <c r="B3791" s="3" t="str">
        <f>HYPERLINK("https://www.773grp.com/manufacturer/national-semiconductor?pageNo=38", "National Semiconductor")</f>
        <v>National Semiconductor</v>
      </c>
      <c r="C3791" s="6">
        <v>303</v>
      </c>
      <c r="D3791" s="7">
        <v>4.6900000000000004</v>
      </c>
      <c r="E3791" t="s">
        <v>13</v>
      </c>
    </row>
    <row r="3792" spans="1:5" x14ac:dyDescent="0.25">
      <c r="A3792" t="str">
        <f>HYPERLINK("https://www.773grp.com/globalSearch/LMH6609MAX-NOPB/page-1", "LMH6609MAX-NOPB")</f>
        <v>LMH6609MAX-NOPB</v>
      </c>
      <c r="B3792" s="3" t="str">
        <f>HYPERLINK("https://www.773grp.com/manufacturer/national-semiconductor?pageNo=39", "National Semiconductor")</f>
        <v>National Semiconductor</v>
      </c>
      <c r="C3792" s="6">
        <v>15000</v>
      </c>
      <c r="D3792" s="7">
        <v>4.6900000000000004</v>
      </c>
    </row>
    <row r="3793" spans="1:5" x14ac:dyDescent="0.25">
      <c r="A3793" t="str">
        <f>HYPERLINK("https://www.773grp.com/globalSearch/LMH6642MF/page-1", "LMH6642MF")</f>
        <v>LMH6642MF</v>
      </c>
      <c r="B3793" s="3" t="str">
        <f>HYPERLINK("https://www.773grp.com/manufacturer/national-semiconductor?pageNo=40", "National Semiconductor")</f>
        <v>National Semiconductor</v>
      </c>
      <c r="C3793" s="6">
        <v>18000</v>
      </c>
      <c r="D3793" s="7">
        <v>4.6900000000000004</v>
      </c>
    </row>
    <row r="3794" spans="1:5" x14ac:dyDescent="0.25">
      <c r="A3794" t="str">
        <f>HYPERLINK("https://www.773grp.com/globalSearch/LP2988AIM-5.0-NOPB/page-1", "LP2988AIM-5.0-NOPB")</f>
        <v>LP2988AIM-5.0-NOPB</v>
      </c>
      <c r="B3794" s="3" t="str">
        <f>HYPERLINK("https://www.773grp.com/manufacturer/national-semiconductor?pageNo=41", "National Semiconductor")</f>
        <v>National Semiconductor</v>
      </c>
      <c r="C3794" s="6">
        <v>250</v>
      </c>
      <c r="D3794" s="7">
        <v>4.6900000000000004</v>
      </c>
      <c r="E3794" t="s">
        <v>19</v>
      </c>
    </row>
    <row r="3795" spans="1:5" x14ac:dyDescent="0.25">
      <c r="A3795" t="str">
        <f>HYPERLINK("https://www.773grp.com/globalSearch/LP2989IMX-2.5/page-1", "LP2989IMX-2.5")</f>
        <v>LP2989IMX-2.5</v>
      </c>
      <c r="B3795" s="3" t="str">
        <f>HYPERLINK("https://www.773grp.com/manufacturer/national-semiconductor?pageNo=42", "National Semiconductor")</f>
        <v>National Semiconductor</v>
      </c>
      <c r="C3795" s="6">
        <v>2500</v>
      </c>
      <c r="D3795" s="7">
        <v>4.6900000000000004</v>
      </c>
    </row>
    <row r="3796" spans="1:5" x14ac:dyDescent="0.25">
      <c r="A3796" t="str">
        <f>HYPERLINK("https://www.773grp.com/globalSearch/LP2989IMX-3.3-NOPB/page-1", "LP2989IMX-3.3-NOPB")</f>
        <v>LP2989IMX-3.3-NOPB</v>
      </c>
      <c r="B3796" s="3" t="str">
        <f>HYPERLINK("https://www.773grp.com/manufacturer/national-semiconductor?pageNo=43", "National Semiconductor")</f>
        <v>National Semiconductor</v>
      </c>
      <c r="C3796" s="6">
        <v>2426</v>
      </c>
      <c r="D3796" s="7">
        <v>4.6900000000000004</v>
      </c>
      <c r="E3796" t="s">
        <v>19</v>
      </c>
    </row>
    <row r="3797" spans="1:5" x14ac:dyDescent="0.25">
      <c r="A3797" t="str">
        <f>HYPERLINK("https://www.773grp.com/globalSearch/LP2989IMX-5.0/page-1", "LP2989IMX-5.0")</f>
        <v>LP2989IMX-5.0</v>
      </c>
      <c r="B3797" s="3" t="str">
        <f>HYPERLINK("https://www.773grp.com/manufacturer/national-semiconductor?pageNo=44", "National Semiconductor")</f>
        <v>National Semiconductor</v>
      </c>
      <c r="C3797" s="6">
        <v>2500</v>
      </c>
      <c r="D3797" s="7">
        <v>4.6900000000000004</v>
      </c>
    </row>
    <row r="3798" spans="1:5" x14ac:dyDescent="0.25">
      <c r="A3798" t="str">
        <f>HYPERLINK("https://www.773grp.com/globalSearch/5483ADM/page-1", "5483ADM")</f>
        <v>5483ADM</v>
      </c>
      <c r="B3798" s="3" t="str">
        <f>HYPERLINK("https://www.773grp.com/manufacturer/national-semiconductor?pageNo=45", "National Semiconductor")</f>
        <v>National Semiconductor</v>
      </c>
      <c r="C3798" s="6">
        <v>109</v>
      </c>
      <c r="D3798" s="7">
        <v>4.25</v>
      </c>
    </row>
    <row r="3799" spans="1:5" x14ac:dyDescent="0.25">
      <c r="A3799" t="str">
        <f>HYPERLINK("https://www.773grp.com/globalSearch/5483ADMQB/page-1", "5483ADMQB")</f>
        <v>5483ADMQB</v>
      </c>
      <c r="B3799" s="3" t="str">
        <f>HYPERLINK("https://www.773grp.com/manufacturer/national-semiconductor?pageNo=46", "National Semiconductor")</f>
        <v>National Semiconductor</v>
      </c>
      <c r="C3799" s="6">
        <v>192</v>
      </c>
      <c r="D3799" s="7">
        <v>4.25</v>
      </c>
      <c r="E3799" t="s">
        <v>43</v>
      </c>
    </row>
    <row r="3800" spans="1:5" x14ac:dyDescent="0.25">
      <c r="A3800" t="str">
        <f>HYPERLINK("https://www.773grp.com/globalSearch/54LS151J-883/page-1", "54LS151J-883")</f>
        <v>54LS151J-883</v>
      </c>
      <c r="B3800" s="3" t="str">
        <f>HYPERLINK("https://www.773grp.com/manufacturer/national-semiconductor?pageNo=47", "National Semiconductor")</f>
        <v>National Semiconductor</v>
      </c>
      <c r="C3800" s="6">
        <v>996</v>
      </c>
      <c r="D3800" s="7">
        <v>4.25</v>
      </c>
    </row>
    <row r="3801" spans="1:5" x14ac:dyDescent="0.25">
      <c r="A3801" t="str">
        <f>HYPERLINK("https://www.773grp.com/globalSearch/932PC/page-1", "932PC")</f>
        <v>932PC</v>
      </c>
      <c r="B3801" s="3" t="str">
        <f>HYPERLINK("https://www.773grp.com/manufacturer/national-semiconductor?pageNo=48", "National Semiconductor")</f>
        <v>National Semiconductor</v>
      </c>
      <c r="C3801" s="6">
        <v>718</v>
      </c>
      <c r="D3801" s="7">
        <v>4.25</v>
      </c>
      <c r="E3801" t="s">
        <v>31</v>
      </c>
    </row>
    <row r="3802" spans="1:5" x14ac:dyDescent="0.25">
      <c r="A3802" t="str">
        <f>HYPERLINK("https://www.773grp.com/globalSearch/949PC/page-1", "949PC")</f>
        <v>949PC</v>
      </c>
      <c r="B3802" s="3" t="str">
        <f>HYPERLINK("https://www.773grp.com/manufacturer/national-semiconductor?pageNo=49", "National Semiconductor")</f>
        <v>National Semiconductor</v>
      </c>
      <c r="C3802" s="6">
        <v>7495</v>
      </c>
      <c r="D3802" s="7">
        <v>4.25</v>
      </c>
    </row>
    <row r="3803" spans="1:5" x14ac:dyDescent="0.25">
      <c r="A3803" t="str">
        <f>HYPERLINK("https://www.773grp.com/globalSearch/ADC0804LCN-NOPB/page-1", "ADC0804LCN-NOPB")</f>
        <v>ADC0804LCN-NOPB</v>
      </c>
      <c r="B3803" s="3" t="str">
        <f>HYPERLINK("https://www.773grp.com/manufacturer/national-semiconductor?pageNo=50", "National Semiconductor")</f>
        <v>National Semiconductor</v>
      </c>
      <c r="C3803" s="6">
        <v>10000</v>
      </c>
      <c r="D3803" s="7">
        <v>4.25</v>
      </c>
      <c r="E3803" t="s">
        <v>39</v>
      </c>
    </row>
    <row r="3804" spans="1:5" x14ac:dyDescent="0.25">
      <c r="A3804" t="str">
        <f>HYPERLINK("https://www.773grp.com/globalSearch/LM1815N-NOPB/page-1", "LM1815N-NOPB")</f>
        <v>LM1815N-NOPB</v>
      </c>
      <c r="B3804" s="3" t="str">
        <f>HYPERLINK("https://www.773grp.com/manufacturer/national-semiconductor?pageNo=51", "National Semiconductor")</f>
        <v>National Semiconductor</v>
      </c>
      <c r="C3804" s="6">
        <v>101</v>
      </c>
      <c r="D3804" s="7">
        <v>4.25</v>
      </c>
      <c r="E3804" t="s">
        <v>40</v>
      </c>
    </row>
    <row r="3805" spans="1:5" x14ac:dyDescent="0.25">
      <c r="A3805" t="str">
        <f>HYPERLINK("https://www.773grp.com/globalSearch/LMC6044IM/page-1", "LMC6044IM")</f>
        <v>LMC6044IM</v>
      </c>
      <c r="B3805" s="3" t="str">
        <f>HYPERLINK("https://www.773grp.com/manufacturer/national-semiconductor?pageNo=52", "National Semiconductor")</f>
        <v>National Semiconductor</v>
      </c>
      <c r="C3805" s="6">
        <v>1580</v>
      </c>
      <c r="D3805" s="7">
        <v>4.25</v>
      </c>
      <c r="E3805" t="s">
        <v>13</v>
      </c>
    </row>
    <row r="3806" spans="1:5" x14ac:dyDescent="0.25">
      <c r="A3806" t="str">
        <f>HYPERLINK("https://www.773grp.com/globalSearch/ADC0804LCN-NOPB/page-1", "ADC0804LCN-NOPB")</f>
        <v>ADC0804LCN-NOPB</v>
      </c>
      <c r="B3806" s="3" t="str">
        <f>HYPERLINK("https://www.773grp.com/manufacturer/national-semiconductor?pageNo=53", "National Semiconductor")</f>
        <v>National Semiconductor</v>
      </c>
      <c r="C3806" s="6">
        <v>4469</v>
      </c>
      <c r="D3806" s="7">
        <v>4.25</v>
      </c>
      <c r="E3806" t="s">
        <v>39</v>
      </c>
    </row>
    <row r="3807" spans="1:5" x14ac:dyDescent="0.25">
      <c r="A3807" t="str">
        <f>HYPERLINK("https://www.773grp.com/globalSearch/DS90C402MX/page-1", "DS90C402MX")</f>
        <v>DS90C402MX</v>
      </c>
      <c r="B3807" s="3" t="str">
        <f>HYPERLINK("https://www.773grp.com/manufacturer/national-semiconductor?pageNo=54", "National Semiconductor")</f>
        <v>National Semiconductor</v>
      </c>
      <c r="C3807" s="6">
        <v>10000</v>
      </c>
      <c r="D3807" s="7">
        <v>4.25</v>
      </c>
    </row>
    <row r="3808" spans="1:5" x14ac:dyDescent="0.25">
      <c r="A3808" t="str">
        <f>HYPERLINK("https://www.773grp.com/globalSearch/LM49153TMX-NOPB/page-1", "LM49153TMX-NOPB")</f>
        <v>LM49153TMX-NOPB</v>
      </c>
      <c r="B3808" s="3" t="str">
        <f>HYPERLINK("https://www.773grp.com/manufacturer/national-semiconductor?pageNo=55", "National Semiconductor")</f>
        <v>National Semiconductor</v>
      </c>
      <c r="C3808" s="6">
        <v>3000</v>
      </c>
      <c r="D3808" s="7">
        <v>4.25</v>
      </c>
    </row>
    <row r="3809" spans="1:5" x14ac:dyDescent="0.25">
      <c r="A3809" t="str">
        <f>HYPERLINK("https://www.773grp.com/globalSearch/54193DM/page-1", "54193DM")</f>
        <v>54193DM</v>
      </c>
      <c r="B3809" s="3" t="str">
        <f>HYPERLINK("https://www.773grp.com/manufacturer/national-semiconductor?pageNo=56", "National Semiconductor")</f>
        <v>National Semiconductor</v>
      </c>
      <c r="C3809" s="6">
        <v>58</v>
      </c>
      <c r="D3809" s="7">
        <v>4.28</v>
      </c>
    </row>
    <row r="3810" spans="1:5" x14ac:dyDescent="0.25">
      <c r="A3810" t="str">
        <f>HYPERLINK("https://www.773grp.com/globalSearch/54LS379DM/page-1", "54LS379DM")</f>
        <v>54LS379DM</v>
      </c>
      <c r="B3810" s="3" t="str">
        <f>HYPERLINK("https://www.773grp.com/manufacturer/national-semiconductor?pageNo=57", "National Semiconductor")</f>
        <v>National Semiconductor</v>
      </c>
      <c r="C3810" s="6">
        <v>282</v>
      </c>
      <c r="D3810" s="7">
        <v>4.28</v>
      </c>
    </row>
    <row r="3811" spans="1:5" x14ac:dyDescent="0.25">
      <c r="A3811" t="str">
        <f>HYPERLINK("https://www.773grp.com/globalSearch/54LS379DMQB/page-1", "54LS379DMQB")</f>
        <v>54LS379DMQB</v>
      </c>
      <c r="B3811" s="3" t="str">
        <f>HYPERLINK("https://www.773grp.com/manufacturer/national-semiconductor?pageNo=58", "National Semiconductor")</f>
        <v>National Semiconductor</v>
      </c>
      <c r="C3811" s="6">
        <v>5</v>
      </c>
      <c r="D3811" s="7">
        <v>4.28</v>
      </c>
      <c r="E3811" t="s">
        <v>35</v>
      </c>
    </row>
    <row r="3812" spans="1:5" x14ac:dyDescent="0.25">
      <c r="A3812" t="str">
        <f>HYPERLINK("https://www.773grp.com/globalSearch/962DC/page-1", "962DC")</f>
        <v>962DC</v>
      </c>
      <c r="B3812" s="3" t="str">
        <f>HYPERLINK("https://www.773grp.com/manufacturer/national-semiconductor?pageNo=59", "National Semiconductor")</f>
        <v>National Semiconductor</v>
      </c>
      <c r="C3812" s="6">
        <v>20034</v>
      </c>
      <c r="D3812" s="7">
        <v>4.28</v>
      </c>
    </row>
    <row r="3813" spans="1:5" x14ac:dyDescent="0.25">
      <c r="A3813" t="str">
        <f>HYPERLINK("https://www.773grp.com/globalSearch/LM3200TL/page-1", "LM3200TL")</f>
        <v>LM3200TL</v>
      </c>
      <c r="B3813" s="3" t="str">
        <f>HYPERLINK("https://www.773grp.com/manufacturer/national-semiconductor?pageNo=60", "National Semiconductor")</f>
        <v>National Semiconductor</v>
      </c>
      <c r="C3813" s="6">
        <v>200</v>
      </c>
      <c r="D3813" s="7">
        <v>4.28</v>
      </c>
      <c r="E3813" t="s">
        <v>7</v>
      </c>
    </row>
    <row r="3814" spans="1:5" x14ac:dyDescent="0.25">
      <c r="A3814" t="str">
        <f>HYPERLINK("https://www.773grp.com/globalSearch/LM3203TLX-J7002328/page-1", "LM3203TLX-J7002328")</f>
        <v>LM3203TLX-J7002328</v>
      </c>
      <c r="B3814" s="3" t="str">
        <f>HYPERLINK("https://www.773grp.com/manufacturer/national-semiconductor?pageNo=61", "National Semiconductor")</f>
        <v>National Semiconductor</v>
      </c>
      <c r="C3814" s="6">
        <v>6000</v>
      </c>
      <c r="D3814" s="7">
        <v>4.28</v>
      </c>
    </row>
    <row r="3815" spans="1:5" x14ac:dyDescent="0.25">
      <c r="A3815" t="str">
        <f>HYPERLINK("https://www.773grp.com/globalSearch/LM3204TL/page-1", "LM3204TL")</f>
        <v>LM3204TL</v>
      </c>
      <c r="B3815" s="3" t="str">
        <f>HYPERLINK("https://www.773grp.com/manufacturer/national-semiconductor?pageNo=62", "National Semiconductor")</f>
        <v>National Semiconductor</v>
      </c>
      <c r="C3815" s="6">
        <v>250</v>
      </c>
      <c r="D3815" s="7">
        <v>4.28</v>
      </c>
      <c r="E3815" t="s">
        <v>7</v>
      </c>
    </row>
    <row r="3816" spans="1:5" x14ac:dyDescent="0.25">
      <c r="A3816" t="str">
        <f>HYPERLINK("https://www.773grp.com/globalSearch/LM3423MH/page-1", "LM3423MH")</f>
        <v>LM3423MH</v>
      </c>
      <c r="B3816" s="3" t="str">
        <f>HYPERLINK("https://www.773grp.com/manufacturer/national-semiconductor?pageNo=63", "National Semiconductor")</f>
        <v>National Semiconductor</v>
      </c>
      <c r="C3816" s="6">
        <v>219</v>
      </c>
      <c r="D3816" s="7">
        <v>4.28</v>
      </c>
      <c r="E3816" t="s">
        <v>10</v>
      </c>
    </row>
    <row r="3817" spans="1:5" x14ac:dyDescent="0.25">
      <c r="A3817" t="str">
        <f>HYPERLINK("https://www.773grp.com/globalSearch/LM3423MHX/page-1", "LM3423MHX")</f>
        <v>LM3423MHX</v>
      </c>
      <c r="B3817" s="3" t="str">
        <f>HYPERLINK("https://www.773grp.com/manufacturer/national-semiconductor?pageNo=64", "National Semiconductor")</f>
        <v>National Semiconductor</v>
      </c>
      <c r="C3817" s="6">
        <v>5000</v>
      </c>
      <c r="D3817" s="7">
        <v>4.28</v>
      </c>
      <c r="E3817" t="s">
        <v>10</v>
      </c>
    </row>
    <row r="3818" spans="1:5" x14ac:dyDescent="0.25">
      <c r="A3818" t="str">
        <f>HYPERLINK("https://www.773grp.com/globalSearch/LM3691TL-1.8/page-1", "LM3691TL-1.8")</f>
        <v>LM3691TL-1.8</v>
      </c>
      <c r="B3818" s="3" t="str">
        <f>HYPERLINK("https://www.773grp.com/manufacturer/national-semiconductor?pageNo=65", "National Semiconductor")</f>
        <v>National Semiconductor</v>
      </c>
      <c r="C3818" s="6">
        <v>598</v>
      </c>
      <c r="D3818" s="7">
        <v>4.28</v>
      </c>
      <c r="E3818" t="s">
        <v>7</v>
      </c>
    </row>
    <row r="3819" spans="1:5" x14ac:dyDescent="0.25">
      <c r="A3819" t="str">
        <f>HYPERLINK("https://www.773grp.com/globalSearch/LM5088MH-2/page-1", "LM5088MH-2")</f>
        <v>LM5088MH-2</v>
      </c>
      <c r="B3819" s="3" t="str">
        <f>HYPERLINK("https://www.773grp.com/manufacturer/national-semiconductor?pageNo=66", "National Semiconductor")</f>
        <v>National Semiconductor</v>
      </c>
      <c r="C3819" s="6">
        <v>276</v>
      </c>
      <c r="D3819" s="7">
        <v>4.28</v>
      </c>
      <c r="E3819" t="s">
        <v>7</v>
      </c>
    </row>
    <row r="3820" spans="1:5" x14ac:dyDescent="0.25">
      <c r="A3820" t="str">
        <f>HYPERLINK("https://www.773grp.com/globalSearch/LMC6082AIMX/page-1", "LMC6082AIMX")</f>
        <v>LMC6082AIMX</v>
      </c>
      <c r="B3820" s="3" t="str">
        <f>HYPERLINK("https://www.773grp.com/manufacturer/national-semiconductor?pageNo=67", "National Semiconductor")</f>
        <v>National Semiconductor</v>
      </c>
      <c r="C3820" s="6">
        <v>5000</v>
      </c>
      <c r="D3820" s="7">
        <v>4.28</v>
      </c>
      <c r="E3820" t="s">
        <v>13</v>
      </c>
    </row>
    <row r="3821" spans="1:5" x14ac:dyDescent="0.25">
      <c r="A3821" t="str">
        <f>HYPERLINK("https://www.773grp.com/globalSearch/LMC6082AIMX-NOPB/page-1", "LMC6082AIMX-NOPB")</f>
        <v>LMC6082AIMX-NOPB</v>
      </c>
      <c r="B3821" s="3" t="str">
        <f>HYPERLINK("https://www.773grp.com/manufacturer/national-semiconductor?pageNo=68", "National Semiconductor")</f>
        <v>National Semiconductor</v>
      </c>
      <c r="C3821" s="6">
        <v>2500</v>
      </c>
      <c r="D3821" s="7">
        <v>4.28</v>
      </c>
      <c r="E3821" t="s">
        <v>13</v>
      </c>
    </row>
    <row r="3822" spans="1:5" x14ac:dyDescent="0.25">
      <c r="A3822" t="str">
        <f>HYPERLINK("https://www.773grp.com/globalSearch/LMX2430TMX-NOPB/page-1", "LMX2430TMX-NOPB")</f>
        <v>LMX2430TMX-NOPB</v>
      </c>
      <c r="B3822" s="3" t="str">
        <f>HYPERLINK("https://www.773grp.com/manufacturer/national-semiconductor?pageNo=69", "National Semiconductor")</f>
        <v>National Semiconductor</v>
      </c>
      <c r="C3822" s="6">
        <v>15000</v>
      </c>
      <c r="D3822" s="7">
        <v>4.28</v>
      </c>
      <c r="E3822" t="s">
        <v>38</v>
      </c>
    </row>
    <row r="3823" spans="1:5" x14ac:dyDescent="0.25">
      <c r="A3823" t="str">
        <f>HYPERLINK("https://www.773grp.com/globalSearch/LP2952AIM-3.3-NOPB/page-1", "LP2952AIM-3.3-NOPB")</f>
        <v>LP2952AIM-3.3-NOPB</v>
      </c>
      <c r="B3823" s="3" t="str">
        <f>HYPERLINK("https://www.773grp.com/manufacturer/national-semiconductor?pageNo=70", "National Semiconductor")</f>
        <v>National Semiconductor</v>
      </c>
      <c r="C3823" s="6">
        <v>18</v>
      </c>
      <c r="D3823" s="7">
        <v>4.28</v>
      </c>
      <c r="E3823" t="s">
        <v>27</v>
      </c>
    </row>
    <row r="3824" spans="1:5" x14ac:dyDescent="0.25">
      <c r="A3824" t="str">
        <f>HYPERLINK("https://www.773grp.com/globalSearch/LP3931ISQ-NOPB/page-1", "LP3931ISQ-NOPB")</f>
        <v>LP3931ISQ-NOPB</v>
      </c>
      <c r="B3824" s="3" t="str">
        <f>HYPERLINK("https://www.773grp.com/manufacturer/national-semiconductor?pageNo=71", "National Semiconductor")</f>
        <v>National Semiconductor</v>
      </c>
      <c r="C3824" s="6">
        <v>1000</v>
      </c>
      <c r="D3824" s="7">
        <v>4.28</v>
      </c>
    </row>
    <row r="3825" spans="1:5" x14ac:dyDescent="0.25">
      <c r="A3825" t="str">
        <f>HYPERLINK("https://www.773grp.com/globalSearch/DP83620SQ-NOPB/page-1", "DP83620SQ-NOPB")</f>
        <v>DP83620SQ-NOPB</v>
      </c>
      <c r="B3825" s="3" t="str">
        <f>HYPERLINK("https://www.773grp.com/manufacturer/national-semiconductor?pageNo=72", "National Semiconductor")</f>
        <v>National Semiconductor</v>
      </c>
      <c r="C3825" s="6">
        <v>718</v>
      </c>
      <c r="D3825" s="7">
        <v>4.28</v>
      </c>
    </row>
    <row r="3826" spans="1:5" x14ac:dyDescent="0.25">
      <c r="A3826" t="str">
        <f>HYPERLINK("https://www.773grp.com/globalSearch/LMC6044AIMX-NOPB/page-1", "LMC6044AIMX-NOPB")</f>
        <v>LMC6044AIMX-NOPB</v>
      </c>
      <c r="B3826" s="3" t="str">
        <f>HYPERLINK("https://www.773grp.com/manufacturer/national-semiconductor?pageNo=73", "National Semiconductor")</f>
        <v>National Semiconductor</v>
      </c>
      <c r="C3826" s="6">
        <v>2500</v>
      </c>
      <c r="D3826" s="7">
        <v>4.28</v>
      </c>
    </row>
    <row r="3827" spans="1:5" x14ac:dyDescent="0.25">
      <c r="A3827" t="str">
        <f>HYPERLINK("https://www.773grp.com/globalSearch/LP2952AIM-3.3-NOPB/page-1", "LP2952AIM-3.3-NOPB")</f>
        <v>LP2952AIM-3.3-NOPB</v>
      </c>
      <c r="B3827" s="3" t="str">
        <f>HYPERLINK("https://www.773grp.com/manufacturer/national-semiconductor?pageNo=74", "National Semiconductor")</f>
        <v>National Semiconductor</v>
      </c>
      <c r="C3827" s="6">
        <v>620</v>
      </c>
      <c r="D3827" s="7">
        <v>4.28</v>
      </c>
      <c r="E3827" t="s">
        <v>27</v>
      </c>
    </row>
    <row r="3828" spans="1:5" x14ac:dyDescent="0.25">
      <c r="A3828" t="str">
        <f>HYPERLINK("https://www.773grp.com/globalSearch/4086BDM/page-1", "4086BDM")</f>
        <v>4086BDM</v>
      </c>
      <c r="B3828" s="3" t="str">
        <f>HYPERLINK("https://www.773grp.com/manufacturer/national-semiconductor?pageNo=75", "National Semiconductor")</f>
        <v>National Semiconductor</v>
      </c>
      <c r="C3828" s="6">
        <v>103</v>
      </c>
      <c r="D3828" s="7">
        <v>4.74</v>
      </c>
    </row>
    <row r="3829" spans="1:5" x14ac:dyDescent="0.25">
      <c r="A3829" t="str">
        <f>HYPERLINK("https://www.773grp.com/globalSearch/54122DM/page-1", "54122DM")</f>
        <v>54122DM</v>
      </c>
      <c r="B3829" s="3" t="str">
        <f>HYPERLINK("https://www.773grp.com/manufacturer/national-semiconductor?pageNo=76", "National Semiconductor")</f>
        <v>National Semiconductor</v>
      </c>
      <c r="C3829" s="6">
        <v>18</v>
      </c>
      <c r="D3829" s="7">
        <v>4.74</v>
      </c>
    </row>
    <row r="3830" spans="1:5" x14ac:dyDescent="0.25">
      <c r="A3830" t="str">
        <f>HYPERLINK("https://www.773grp.com/globalSearch/54122DMQB/page-1", "54122DMQB")</f>
        <v>54122DMQB</v>
      </c>
      <c r="B3830" s="3" t="str">
        <f>HYPERLINK("https://www.773grp.com/manufacturer/national-semiconductor?pageNo=77", "National Semiconductor")</f>
        <v>National Semiconductor</v>
      </c>
      <c r="C3830" s="6">
        <v>621</v>
      </c>
      <c r="D3830" s="7">
        <v>4.74</v>
      </c>
      <c r="E3830" t="s">
        <v>54</v>
      </c>
    </row>
    <row r="3831" spans="1:5" x14ac:dyDescent="0.25">
      <c r="A3831" t="str">
        <f>HYPERLINK("https://www.773grp.com/globalSearch/54LS259DM/page-1", "54LS259DM")</f>
        <v>54LS259DM</v>
      </c>
      <c r="B3831" s="3" t="str">
        <f>HYPERLINK("https://www.773grp.com/manufacturer/national-semiconductor?pageNo=78", "National Semiconductor")</f>
        <v>National Semiconductor</v>
      </c>
      <c r="C3831" s="6">
        <v>146</v>
      </c>
      <c r="D3831" s="7">
        <v>4.74</v>
      </c>
    </row>
    <row r="3832" spans="1:5" x14ac:dyDescent="0.25">
      <c r="A3832" t="str">
        <f>HYPERLINK("https://www.773grp.com/globalSearch/54LS259DMQB/page-1", "54LS259DMQB")</f>
        <v>54LS259DMQB</v>
      </c>
      <c r="B3832" s="3" t="str">
        <f>HYPERLINK("https://www.773grp.com/manufacturer/national-semiconductor?pageNo=79", "National Semiconductor")</f>
        <v>National Semiconductor</v>
      </c>
      <c r="C3832" s="6">
        <v>40</v>
      </c>
      <c r="D3832" s="7">
        <v>4.74</v>
      </c>
      <c r="E3832" t="s">
        <v>35</v>
      </c>
    </row>
    <row r="3833" spans="1:5" x14ac:dyDescent="0.25">
      <c r="A3833" t="str">
        <f>HYPERLINK("https://www.773grp.com/globalSearch/54LS279DM/page-1", "54LS279DM")</f>
        <v>54LS279DM</v>
      </c>
      <c r="B3833" s="3" t="str">
        <f>HYPERLINK("https://www.773grp.com/manufacturer/national-semiconductor?pageNo=80", "National Semiconductor")</f>
        <v>National Semiconductor</v>
      </c>
      <c r="C3833" s="6">
        <v>19</v>
      </c>
      <c r="D3833" s="7">
        <v>4.74</v>
      </c>
    </row>
    <row r="3834" spans="1:5" x14ac:dyDescent="0.25">
      <c r="A3834" t="str">
        <f>HYPERLINK("https://www.773grp.com/globalSearch/54S112DM/page-1", "54S112DM")</f>
        <v>54S112DM</v>
      </c>
      <c r="B3834" s="3" t="str">
        <f>HYPERLINK("https://www.773grp.com/manufacturer/national-semiconductor?pageNo=81", "National Semiconductor")</f>
        <v>National Semiconductor</v>
      </c>
      <c r="C3834" s="6">
        <v>10026</v>
      </c>
      <c r="D3834" s="7">
        <v>4.74</v>
      </c>
    </row>
    <row r="3835" spans="1:5" x14ac:dyDescent="0.25">
      <c r="A3835" t="str">
        <f>HYPERLINK("https://www.773grp.com/globalSearch/54S74DM/page-1", "54S74DM")</f>
        <v>54S74DM</v>
      </c>
      <c r="B3835" s="3" t="str">
        <f>HYPERLINK("https://www.773grp.com/manufacturer/national-semiconductor?pageNo=82", "National Semiconductor")</f>
        <v>National Semiconductor</v>
      </c>
      <c r="C3835" s="6">
        <v>25129</v>
      </c>
      <c r="D3835" s="7">
        <v>4.74</v>
      </c>
    </row>
    <row r="3836" spans="1:5" x14ac:dyDescent="0.25">
      <c r="A3836" t="str">
        <f>HYPERLINK("https://www.773grp.com/globalSearch/54S86DM/page-1", "54S86DM")</f>
        <v>54S86DM</v>
      </c>
      <c r="B3836" s="3" t="str">
        <f>HYPERLINK("https://www.773grp.com/manufacturer/national-semiconductor?pageNo=83", "National Semiconductor")</f>
        <v>National Semiconductor</v>
      </c>
      <c r="C3836" s="6">
        <v>416</v>
      </c>
      <c r="D3836" s="7">
        <v>4.74</v>
      </c>
    </row>
    <row r="3837" spans="1:5" x14ac:dyDescent="0.25">
      <c r="A3837" t="str">
        <f>HYPERLINK("https://www.773grp.com/globalSearch/74279DC/page-1", "74279DC")</f>
        <v>74279DC</v>
      </c>
      <c r="B3837" s="3" t="str">
        <f>HYPERLINK("https://www.773grp.com/manufacturer/national-semiconductor?pageNo=84", "National Semiconductor")</f>
        <v>National Semiconductor</v>
      </c>
      <c r="C3837" s="6">
        <v>3662</v>
      </c>
      <c r="D3837" s="7">
        <v>4.74</v>
      </c>
    </row>
    <row r="3838" spans="1:5" x14ac:dyDescent="0.25">
      <c r="A3838" t="str">
        <f>HYPERLINK("https://www.773grp.com/globalSearch/ADC08832IWM-NOPB/page-1", "ADC08832IWM-NOPB")</f>
        <v>ADC08832IWM-NOPB</v>
      </c>
      <c r="B3838" s="3" t="str">
        <f>HYPERLINK("https://www.773grp.com/manufacturer/national-semiconductor?pageNo=85", "National Semiconductor")</f>
        <v>National Semiconductor</v>
      </c>
      <c r="C3838" s="6">
        <v>133</v>
      </c>
      <c r="D3838" s="7">
        <v>4.74</v>
      </c>
      <c r="E3838" t="s">
        <v>39</v>
      </c>
    </row>
    <row r="3839" spans="1:5" x14ac:dyDescent="0.25">
      <c r="A3839" t="str">
        <f>HYPERLINK("https://www.773grp.com/globalSearch/DAC084S085CIMM-NOPB/page-1", "DAC084S085CIMM-NOPB")</f>
        <v>DAC084S085CIMM-NOPB</v>
      </c>
      <c r="B3839" s="3" t="str">
        <f>HYPERLINK("https://www.773grp.com/manufacturer/national-semiconductor?pageNo=86", "National Semiconductor")</f>
        <v>National Semiconductor</v>
      </c>
      <c r="C3839" s="6">
        <v>921</v>
      </c>
      <c r="D3839" s="7">
        <v>4.74</v>
      </c>
      <c r="E3839" t="s">
        <v>33</v>
      </c>
    </row>
    <row r="3840" spans="1:5" x14ac:dyDescent="0.25">
      <c r="A3840" t="str">
        <f>HYPERLINK("https://www.773grp.com/globalSearch/DAC084S085CISD-NOPB/page-1", "DAC084S085CISD-NOPB")</f>
        <v>DAC084S085CISD-NOPB</v>
      </c>
      <c r="B3840" s="3" t="str">
        <f>HYPERLINK("https://www.773grp.com/manufacturer/national-semiconductor?pageNo=87", "National Semiconductor")</f>
        <v>National Semiconductor</v>
      </c>
      <c r="C3840" s="6">
        <v>4000</v>
      </c>
      <c r="D3840" s="7">
        <v>4.74</v>
      </c>
    </row>
    <row r="3841" spans="1:5" x14ac:dyDescent="0.25">
      <c r="A3841" t="str">
        <f>HYPERLINK("https://www.773grp.com/globalSearch/DM7093J/page-1", "DM7093J")</f>
        <v>DM7093J</v>
      </c>
      <c r="B3841" s="3" t="str">
        <f>HYPERLINK("https://www.773grp.com/manufacturer/national-semiconductor?pageNo=88", "National Semiconductor")</f>
        <v>National Semiconductor</v>
      </c>
      <c r="C3841" s="6">
        <v>398</v>
      </c>
      <c r="D3841" s="7">
        <v>4.74</v>
      </c>
    </row>
    <row r="3842" spans="1:5" x14ac:dyDescent="0.25">
      <c r="A3842" t="str">
        <f>HYPERLINK("https://www.773grp.com/globalSearch/DS38EP100SD-NOPB/page-1", "DS38EP100SD-NOPB")</f>
        <v>DS38EP100SD-NOPB</v>
      </c>
      <c r="B3842" s="3" t="str">
        <f>HYPERLINK("https://www.773grp.com/manufacturer/national-semiconductor?pageNo=89", "National Semiconductor")</f>
        <v>National Semiconductor</v>
      </c>
      <c r="C3842" s="6">
        <v>9446</v>
      </c>
      <c r="D3842" s="7">
        <v>4.74</v>
      </c>
    </row>
    <row r="3843" spans="1:5" x14ac:dyDescent="0.25">
      <c r="A3843" t="str">
        <f>HYPERLINK("https://www.773grp.com/globalSearch/DS481TM/page-1", "DS481TM")</f>
        <v>DS481TM</v>
      </c>
      <c r="B3843" s="3" t="str">
        <f>HYPERLINK("https://www.773grp.com/manufacturer/national-semiconductor?pageNo=90", "National Semiconductor")</f>
        <v>National Semiconductor</v>
      </c>
      <c r="C3843" s="6">
        <v>94</v>
      </c>
      <c r="D3843" s="7">
        <v>4.74</v>
      </c>
      <c r="E3843" t="s">
        <v>21</v>
      </c>
    </row>
    <row r="3844" spans="1:5" x14ac:dyDescent="0.25">
      <c r="A3844" t="str">
        <f>HYPERLINK("https://www.773grp.com/globalSearch/DS90LV017ATM/page-1", "DS90LV017ATM")</f>
        <v>DS90LV017ATM</v>
      </c>
      <c r="B3844" s="3" t="str">
        <f>HYPERLINK("https://www.773grp.com/manufacturer/national-semiconductor?pageNo=91", "National Semiconductor")</f>
        <v>National Semiconductor</v>
      </c>
      <c r="C3844" s="6">
        <v>3954</v>
      </c>
      <c r="D3844" s="7">
        <v>4.74</v>
      </c>
      <c r="E3844" t="s">
        <v>21</v>
      </c>
    </row>
    <row r="3845" spans="1:5" x14ac:dyDescent="0.25">
      <c r="A3845" t="str">
        <f>HYPERLINK("https://www.773grp.com/globalSearch/DS90LV049HMT/page-1", "DS90LV049HMT")</f>
        <v>DS90LV049HMT</v>
      </c>
      <c r="B3845" s="3" t="str">
        <f>HYPERLINK("https://www.773grp.com/manufacturer/national-semiconductor?pageNo=92", "National Semiconductor")</f>
        <v>National Semiconductor</v>
      </c>
      <c r="C3845" s="6">
        <v>131</v>
      </c>
      <c r="D3845" s="7">
        <v>4.74</v>
      </c>
      <c r="E3845" t="s">
        <v>21</v>
      </c>
    </row>
    <row r="3846" spans="1:5" x14ac:dyDescent="0.25">
      <c r="A3846" t="str">
        <f>HYPERLINK("https://www.773grp.com/globalSearch/DS90LV049HMTX-NOPB/page-1", "DS90LV049HMTX-NOPB")</f>
        <v>DS90LV049HMTX-NOPB</v>
      </c>
      <c r="B3846" s="3" t="str">
        <f>HYPERLINK("https://www.773grp.com/manufacturer/national-semiconductor?pageNo=93", "National Semiconductor")</f>
        <v>National Semiconductor</v>
      </c>
      <c r="C3846" s="6">
        <v>877</v>
      </c>
      <c r="D3846" s="7">
        <v>4.74</v>
      </c>
    </row>
    <row r="3847" spans="1:5" x14ac:dyDescent="0.25">
      <c r="A3847" t="str">
        <f>HYPERLINK("https://www.773grp.com/globalSearch/GAL16V8QS-20LVI/page-1", "GAL16V8QS-20LVI")</f>
        <v>GAL16V8QS-20LVI</v>
      </c>
      <c r="B3847" s="3" t="str">
        <f>HYPERLINK("https://www.773grp.com/manufacturer/national-semiconductor?pageNo=94", "National Semiconductor")</f>
        <v>National Semiconductor</v>
      </c>
      <c r="C3847" s="6">
        <v>560</v>
      </c>
      <c r="D3847" s="7">
        <v>4.74</v>
      </c>
    </row>
    <row r="3848" spans="1:5" x14ac:dyDescent="0.25">
      <c r="A3848" t="str">
        <f>HYPERLINK("https://www.773grp.com/globalSearch/LM2662M-NOPB/page-1", "LM2662M-NOPB")</f>
        <v>LM2662M-NOPB</v>
      </c>
      <c r="B3848" s="3" t="str">
        <f>HYPERLINK("https://www.773grp.com/manufacturer/national-semiconductor?pageNo=95", "National Semiconductor")</f>
        <v>National Semiconductor</v>
      </c>
      <c r="C3848" s="6">
        <v>437</v>
      </c>
      <c r="D3848" s="7">
        <v>4.74</v>
      </c>
      <c r="E3848" t="s">
        <v>7</v>
      </c>
    </row>
    <row r="3849" spans="1:5" x14ac:dyDescent="0.25">
      <c r="A3849" t="str">
        <f>HYPERLINK("https://www.773grp.com/globalSearch/LM2703MF-ADJ/page-1", "LM2703MF-ADJ")</f>
        <v>LM2703MF-ADJ</v>
      </c>
      <c r="B3849" s="3" t="str">
        <f>HYPERLINK("https://www.773grp.com/manufacturer/national-semiconductor?pageNo=96", "National Semiconductor")</f>
        <v>National Semiconductor</v>
      </c>
      <c r="C3849" s="6">
        <v>2000</v>
      </c>
      <c r="D3849" s="7">
        <v>4.74</v>
      </c>
      <c r="E3849" t="s">
        <v>7</v>
      </c>
    </row>
    <row r="3850" spans="1:5" x14ac:dyDescent="0.25">
      <c r="A3850" t="str">
        <f>HYPERLINK("https://www.773grp.com/globalSearch/LM2731XMF-NOPB/page-1", "LM2731XMF-NOPB")</f>
        <v>LM2731XMF-NOPB</v>
      </c>
      <c r="B3850" s="3" t="str">
        <f>HYPERLINK("https://www.773grp.com/manufacturer/national-semiconductor?pageNo=97", "National Semiconductor")</f>
        <v>National Semiconductor</v>
      </c>
      <c r="C3850" s="6">
        <v>864</v>
      </c>
      <c r="D3850" s="7">
        <v>4.74</v>
      </c>
      <c r="E3850" t="s">
        <v>7</v>
      </c>
    </row>
    <row r="3851" spans="1:5" x14ac:dyDescent="0.25">
      <c r="A3851" t="str">
        <f>HYPERLINK("https://www.773grp.com/globalSearch/LM2731XMFX-NOPB/page-1", "LM2731XMFX-NOPB")</f>
        <v>LM2731XMFX-NOPB</v>
      </c>
      <c r="B3851" s="3" t="str">
        <f>HYPERLINK("https://www.773grp.com/manufacturer/national-semiconductor?pageNo=98", "National Semiconductor")</f>
        <v>National Semiconductor</v>
      </c>
      <c r="C3851" s="6">
        <v>800</v>
      </c>
      <c r="D3851" s="7">
        <v>4.74</v>
      </c>
      <c r="E3851" t="s">
        <v>7</v>
      </c>
    </row>
    <row r="3852" spans="1:5" x14ac:dyDescent="0.25">
      <c r="A3852" t="str">
        <f>HYPERLINK("https://www.773grp.com/globalSearch/LM2731YMF-NOPB/page-1", "LM2731YMF-NOPB")</f>
        <v>LM2731YMF-NOPB</v>
      </c>
      <c r="B3852" s="3" t="str">
        <f>HYPERLINK("https://www.773grp.com/manufacturer/national-semiconductor?pageNo=99", "National Semiconductor")</f>
        <v>National Semiconductor</v>
      </c>
      <c r="C3852" s="6">
        <v>10151</v>
      </c>
      <c r="D3852" s="7">
        <v>4.74</v>
      </c>
      <c r="E3852" t="s">
        <v>7</v>
      </c>
    </row>
    <row r="3853" spans="1:5" x14ac:dyDescent="0.25">
      <c r="A3853" t="str">
        <f>HYPERLINK("https://www.773grp.com/globalSearch/LM2731YMFX-NOPB/page-1", "LM2731YMFX-NOPB")</f>
        <v>LM2731YMFX-NOPB</v>
      </c>
      <c r="B3853" s="3" t="str">
        <f>HYPERLINK("https://www.773grp.com/manufacturer/national-semiconductor?pageNo=100", "National Semiconductor")</f>
        <v>National Semiconductor</v>
      </c>
      <c r="C3853" s="6">
        <v>45000</v>
      </c>
      <c r="D3853" s="7">
        <v>4.74</v>
      </c>
      <c r="E3853" t="s">
        <v>7</v>
      </c>
    </row>
    <row r="3854" spans="1:5" x14ac:dyDescent="0.25">
      <c r="A3854" t="str">
        <f>HYPERLINK("https://www.773grp.com/globalSearch/LM2736XMK-NOPB/page-1", "LM2736XMK-NOPB")</f>
        <v>LM2736XMK-NOPB</v>
      </c>
      <c r="B3854" s="3" t="str">
        <f>HYPERLINK("https://www.773grp.com/manufacturer/national-semiconductor?pageNo=101", "National Semiconductor")</f>
        <v>National Semiconductor</v>
      </c>
      <c r="C3854" s="6">
        <v>3324</v>
      </c>
      <c r="D3854" s="7">
        <v>4.74</v>
      </c>
      <c r="E3854" t="s">
        <v>7</v>
      </c>
    </row>
    <row r="3855" spans="1:5" x14ac:dyDescent="0.25">
      <c r="A3855" t="str">
        <f>HYPERLINK("https://www.773grp.com/globalSearch/LM2830XMF-NOPB/page-1", "LM2830XMF-NOPB")</f>
        <v>LM2830XMF-NOPB</v>
      </c>
      <c r="B3855" s="3" t="str">
        <f>HYPERLINK("https://www.773grp.com/manufacturer/national-semiconductor?pageNo=102", "National Semiconductor")</f>
        <v>National Semiconductor</v>
      </c>
      <c r="C3855" s="6">
        <v>2000</v>
      </c>
      <c r="D3855" s="7">
        <v>4.74</v>
      </c>
      <c r="E3855" t="s">
        <v>7</v>
      </c>
    </row>
    <row r="3856" spans="1:5" x14ac:dyDescent="0.25">
      <c r="A3856" t="str">
        <f>HYPERLINK("https://www.773grp.com/globalSearch/LM2830ZMF-NOPB/page-1", "LM2830ZMF-NOPB")</f>
        <v>LM2830ZMF-NOPB</v>
      </c>
      <c r="B3856" s="3" t="str">
        <f>HYPERLINK("https://www.773grp.com/manufacturer/national-semiconductor?pageNo=103", "National Semiconductor")</f>
        <v>National Semiconductor</v>
      </c>
      <c r="C3856" s="6">
        <v>2900</v>
      </c>
      <c r="D3856" s="7">
        <v>4.74</v>
      </c>
      <c r="E3856" t="s">
        <v>7</v>
      </c>
    </row>
    <row r="3857" spans="1:5" x14ac:dyDescent="0.25">
      <c r="A3857" t="str">
        <f>HYPERLINK("https://www.773grp.com/globalSearch/LM2830ZMFX/page-1", "LM2830ZMFX")</f>
        <v>LM2830ZMFX</v>
      </c>
      <c r="B3857" s="3" t="str">
        <f>HYPERLINK("https://www.773grp.com/manufacturer/national-semiconductor?pageNo=104", "National Semiconductor")</f>
        <v>National Semiconductor</v>
      </c>
      <c r="C3857" s="6">
        <v>15000</v>
      </c>
      <c r="D3857" s="7">
        <v>4.74</v>
      </c>
      <c r="E3857" t="s">
        <v>7</v>
      </c>
    </row>
    <row r="3858" spans="1:5" x14ac:dyDescent="0.25">
      <c r="A3858" t="str">
        <f>HYPERLINK("https://www.773grp.com/globalSearch/LM2830ZMFX-NOPB/page-1", "LM2830ZMFX-NOPB")</f>
        <v>LM2830ZMFX-NOPB</v>
      </c>
      <c r="B3858" s="3" t="str">
        <f>HYPERLINK("https://www.773grp.com/manufacturer/national-semiconductor?pageNo=105", "National Semiconductor")</f>
        <v>National Semiconductor</v>
      </c>
      <c r="C3858" s="6">
        <v>3000</v>
      </c>
      <c r="D3858" s="7">
        <v>4.74</v>
      </c>
      <c r="E3858" t="s">
        <v>7</v>
      </c>
    </row>
    <row r="3859" spans="1:5" x14ac:dyDescent="0.25">
      <c r="A3859" t="str">
        <f>HYPERLINK("https://www.773grp.com/globalSearch/LM2830ZSD-NOPB/page-1", "LM2830ZSD-NOPB")</f>
        <v>LM2830ZSD-NOPB</v>
      </c>
      <c r="B3859" s="3" t="str">
        <f>HYPERLINK("https://www.773grp.com/manufacturer/national-semiconductor?pageNo=106", "National Semiconductor")</f>
        <v>National Semiconductor</v>
      </c>
      <c r="C3859" s="6">
        <v>1000</v>
      </c>
      <c r="D3859" s="7">
        <v>4.74</v>
      </c>
      <c r="E3859" t="s">
        <v>7</v>
      </c>
    </row>
    <row r="3860" spans="1:5" x14ac:dyDescent="0.25">
      <c r="A3860" t="str">
        <f>HYPERLINK("https://www.773grp.com/globalSearch/LM2830ZSDX-NOPB/page-1", "LM2830ZSDX-NOPB")</f>
        <v>LM2830ZSDX-NOPB</v>
      </c>
      <c r="B3860" s="3" t="str">
        <f>HYPERLINK("https://www.773grp.com/manufacturer/national-semiconductor?pageNo=107", "National Semiconductor")</f>
        <v>National Semiconductor</v>
      </c>
      <c r="C3860" s="6">
        <v>4500</v>
      </c>
      <c r="D3860" s="7">
        <v>4.74</v>
      </c>
      <c r="E3860" t="s">
        <v>7</v>
      </c>
    </row>
    <row r="3861" spans="1:5" x14ac:dyDescent="0.25">
      <c r="A3861" t="str">
        <f>HYPERLINK("https://www.773grp.com/globalSearch/LM2931CS/page-1", "LM2931CS")</f>
        <v>LM2931CS</v>
      </c>
      <c r="B3861" s="3" t="str">
        <f>HYPERLINK("https://www.773grp.com/manufacturer/national-semiconductor?pageNo=108", "National Semiconductor")</f>
        <v>National Semiconductor</v>
      </c>
      <c r="C3861" s="6">
        <v>1900</v>
      </c>
      <c r="D3861" s="7">
        <v>4.74</v>
      </c>
      <c r="E3861" t="s">
        <v>25</v>
      </c>
    </row>
    <row r="3862" spans="1:5" x14ac:dyDescent="0.25">
      <c r="A3862" t="str">
        <f>HYPERLINK("https://www.773grp.com/globalSearch/LM2931S-5.0/page-1", "LM2931S-5.0")</f>
        <v>LM2931S-5.0</v>
      </c>
      <c r="B3862" s="3" t="str">
        <f>HYPERLINK("https://www.773grp.com/manufacturer/national-semiconductor?pageNo=109", "National Semiconductor")</f>
        <v>National Semiconductor</v>
      </c>
      <c r="C3862" s="6">
        <v>3132</v>
      </c>
      <c r="D3862" s="7">
        <v>4.74</v>
      </c>
      <c r="E3862" t="s">
        <v>19</v>
      </c>
    </row>
    <row r="3863" spans="1:5" x14ac:dyDescent="0.25">
      <c r="A3863" t="str">
        <f>HYPERLINK("https://www.773grp.com/globalSearch/LM2940LD-12/page-1", "LM2940LD-12")</f>
        <v>LM2940LD-12</v>
      </c>
      <c r="B3863" s="3" t="str">
        <f>HYPERLINK("https://www.773grp.com/manufacturer/national-semiconductor?pageNo=110", "National Semiconductor")</f>
        <v>National Semiconductor</v>
      </c>
      <c r="C3863" s="6">
        <v>1000</v>
      </c>
      <c r="D3863" s="7">
        <v>4.74</v>
      </c>
      <c r="E3863" t="s">
        <v>19</v>
      </c>
    </row>
    <row r="3864" spans="1:5" x14ac:dyDescent="0.25">
      <c r="A3864" t="str">
        <f>HYPERLINK("https://www.773grp.com/globalSearch/LM3208TLX-NOPB/page-1", "LM3208TLX-NOPB")</f>
        <v>LM3208TLX-NOPB</v>
      </c>
      <c r="B3864" s="3" t="str">
        <f>HYPERLINK("https://www.773grp.com/manufacturer/national-semiconductor?pageNo=111", "National Semiconductor")</f>
        <v>National Semiconductor</v>
      </c>
      <c r="C3864" s="6">
        <v>51000</v>
      </c>
      <c r="D3864" s="7">
        <v>4.74</v>
      </c>
      <c r="E3864" t="s">
        <v>7</v>
      </c>
    </row>
    <row r="3865" spans="1:5" x14ac:dyDescent="0.25">
      <c r="A3865" t="str">
        <f>HYPERLINK("https://www.773grp.com/globalSearch/LM3404HVMRX-NOPB/page-1", "LM3404HVMRX-NOPB")</f>
        <v>LM3404HVMRX-NOPB</v>
      </c>
      <c r="B3865" s="3" t="str">
        <f>HYPERLINK("https://www.773grp.com/manufacturer/national-semiconductor?pageNo=112", "National Semiconductor")</f>
        <v>National Semiconductor</v>
      </c>
      <c r="C3865" s="6">
        <v>15000</v>
      </c>
      <c r="D3865" s="7">
        <v>4.74</v>
      </c>
      <c r="E3865" t="s">
        <v>7</v>
      </c>
    </row>
    <row r="3866" spans="1:5" x14ac:dyDescent="0.25">
      <c r="A3866" t="str">
        <f>HYPERLINK("https://www.773grp.com/globalSearch/LM3448MA-NOPB/page-1", "LM3448MA-NOPB")</f>
        <v>LM3448MA-NOPB</v>
      </c>
      <c r="B3866" s="3" t="str">
        <f>HYPERLINK("https://www.773grp.com/manufacturer/national-semiconductor?pageNo=113", "National Semiconductor")</f>
        <v>National Semiconductor</v>
      </c>
      <c r="C3866" s="6">
        <v>240</v>
      </c>
      <c r="D3866" s="7">
        <v>4.74</v>
      </c>
    </row>
    <row r="3867" spans="1:5" x14ac:dyDescent="0.25">
      <c r="A3867" t="str">
        <f>HYPERLINK("https://www.773grp.com/globalSearch/LM3723EM5-4.63/page-1", "LM3723EM5-4.63")</f>
        <v>LM3723EM5-4.63</v>
      </c>
      <c r="B3867" s="3" t="str">
        <f>HYPERLINK("https://www.773grp.com/manufacturer/national-semiconductor?pageNo=114", "National Semiconductor")</f>
        <v>National Semiconductor</v>
      </c>
      <c r="C3867" s="6">
        <v>15</v>
      </c>
      <c r="D3867" s="7">
        <v>4.74</v>
      </c>
      <c r="E3867" t="s">
        <v>30</v>
      </c>
    </row>
    <row r="3868" spans="1:5" x14ac:dyDescent="0.25">
      <c r="A3868" t="str">
        <f>HYPERLINK("https://www.773grp.com/globalSearch/LM3724EM5-2.32/page-1", "LM3724EM5-2.32")</f>
        <v>LM3724EM5-2.32</v>
      </c>
      <c r="B3868" s="3" t="str">
        <f>HYPERLINK("https://www.773grp.com/manufacturer/national-semiconductor?pageNo=115", "National Semiconductor")</f>
        <v>National Semiconductor</v>
      </c>
      <c r="C3868" s="6">
        <v>118</v>
      </c>
      <c r="D3868" s="7">
        <v>4.74</v>
      </c>
      <c r="E3868" t="s">
        <v>30</v>
      </c>
    </row>
    <row r="3869" spans="1:5" x14ac:dyDescent="0.25">
      <c r="A3869" t="str">
        <f>HYPERLINK("https://www.773grp.com/globalSearch/LM3724EM5-4.63/page-1", "LM3724EM5-4.63")</f>
        <v>LM3724EM5-4.63</v>
      </c>
      <c r="B3869" s="3" t="str">
        <f>HYPERLINK("https://www.773grp.com/manufacturer/national-semiconductor?pageNo=116", "National Semiconductor")</f>
        <v>National Semiconductor</v>
      </c>
      <c r="C3869" s="6">
        <v>380</v>
      </c>
      <c r="D3869" s="7">
        <v>4.74</v>
      </c>
      <c r="E3869" t="s">
        <v>30</v>
      </c>
    </row>
    <row r="3870" spans="1:5" x14ac:dyDescent="0.25">
      <c r="A3870" t="str">
        <f>HYPERLINK("https://www.773grp.com/globalSearch/LM3724EM5-4.63-NOPB/page-1", "LM3724EM5-4.63-NOPB")</f>
        <v>LM3724EM5-4.63-NOPB</v>
      </c>
      <c r="B3870" s="3" t="str">
        <f>HYPERLINK("https://www.773grp.com/manufacturer/national-semiconductor?pageNo=117", "National Semiconductor")</f>
        <v>National Semiconductor</v>
      </c>
      <c r="C3870" s="6">
        <v>2000</v>
      </c>
      <c r="D3870" s="7">
        <v>4.74</v>
      </c>
      <c r="E3870" t="s">
        <v>30</v>
      </c>
    </row>
    <row r="3871" spans="1:5" x14ac:dyDescent="0.25">
      <c r="A3871" t="str">
        <f>HYPERLINK("https://www.773grp.com/globalSearch/LM3914N-1-NOPB/page-1", "LM3914N-1-NOPB")</f>
        <v>LM3914N-1-NOPB</v>
      </c>
      <c r="B3871" s="3" t="str">
        <f>HYPERLINK("https://www.773grp.com/manufacturer/national-semiconductor?pageNo=118", "National Semiconductor")</f>
        <v>National Semiconductor</v>
      </c>
      <c r="C3871" s="6">
        <v>6046</v>
      </c>
      <c r="D3871" s="7">
        <v>4.74</v>
      </c>
      <c r="E3871" t="s">
        <v>10</v>
      </c>
    </row>
    <row r="3872" spans="1:5" x14ac:dyDescent="0.25">
      <c r="A3872" t="str">
        <f>HYPERLINK("https://www.773grp.com/globalSearch/LM4128AMF-1.8-NOPB/page-1", "LM4128AMF-1.8-NOPB")</f>
        <v>LM4128AMF-1.8-NOPB</v>
      </c>
      <c r="B3872" s="3" t="str">
        <f>HYPERLINK("https://www.773grp.com/manufacturer/national-semiconductor?pageNo=119", "National Semiconductor")</f>
        <v>National Semiconductor</v>
      </c>
      <c r="C3872" s="6">
        <v>3344</v>
      </c>
      <c r="D3872" s="7">
        <v>4.74</v>
      </c>
    </row>
    <row r="3873" spans="1:5" x14ac:dyDescent="0.25">
      <c r="A3873" t="str">
        <f>HYPERLINK("https://www.773grp.com/globalSearch/LM4128AMF-2.0-NOPB/page-1", "LM4128AMF-2.0-NOPB")</f>
        <v>LM4128AMF-2.0-NOPB</v>
      </c>
      <c r="B3873" s="3" t="str">
        <f>HYPERLINK("https://www.773grp.com/manufacturer/national-semiconductor?pageNo=120", "National Semiconductor")</f>
        <v>National Semiconductor</v>
      </c>
      <c r="C3873" s="6">
        <v>3965</v>
      </c>
      <c r="D3873" s="7">
        <v>4.74</v>
      </c>
    </row>
    <row r="3874" spans="1:5" x14ac:dyDescent="0.25">
      <c r="A3874" t="str">
        <f>HYPERLINK("https://www.773grp.com/globalSearch/LM4128AMF-2.5-NOPB/page-1", "LM4128AMF-2.5-NOPB")</f>
        <v>LM4128AMF-2.5-NOPB</v>
      </c>
      <c r="B3874" s="3" t="str">
        <f>HYPERLINK("https://www.773grp.com/manufacturer/national-semiconductor?pageNo=121", "National Semiconductor")</f>
        <v>National Semiconductor</v>
      </c>
      <c r="C3874" s="6">
        <v>2000</v>
      </c>
      <c r="D3874" s="7">
        <v>4.74</v>
      </c>
      <c r="E3874" t="s">
        <v>17</v>
      </c>
    </row>
    <row r="3875" spans="1:5" x14ac:dyDescent="0.25">
      <c r="A3875" t="str">
        <f>HYPERLINK("https://www.773grp.com/globalSearch/LM4128AMF-3.0-NOPB/page-1", "LM4128AMF-3.0-NOPB")</f>
        <v>LM4128AMF-3.0-NOPB</v>
      </c>
      <c r="B3875" s="3" t="str">
        <f>HYPERLINK("https://www.773grp.com/manufacturer/national-semiconductor?pageNo=122", "National Semiconductor")</f>
        <v>National Semiconductor</v>
      </c>
      <c r="C3875" s="6">
        <v>965</v>
      </c>
      <c r="D3875" s="7">
        <v>4.74</v>
      </c>
    </row>
    <row r="3876" spans="1:5" x14ac:dyDescent="0.25">
      <c r="A3876" t="str">
        <f>HYPERLINK("https://www.773grp.com/globalSearch/LM4128AMF-3.3-NOPB/page-1", "LM4128AMF-3.3-NOPB")</f>
        <v>LM4128AMF-3.3-NOPB</v>
      </c>
      <c r="B3876" s="3" t="str">
        <f>HYPERLINK("https://www.773grp.com/manufacturer/national-semiconductor?pageNo=123", "National Semiconductor")</f>
        <v>National Semiconductor</v>
      </c>
      <c r="C3876" s="6">
        <v>968</v>
      </c>
      <c r="D3876" s="7">
        <v>4.74</v>
      </c>
    </row>
    <row r="3877" spans="1:5" x14ac:dyDescent="0.25">
      <c r="A3877" t="str">
        <f>HYPERLINK("https://www.773grp.com/globalSearch/LM4128AMF-4.1-NOPB/page-1", "LM4128AMF-4.1-NOPB")</f>
        <v>LM4128AMF-4.1-NOPB</v>
      </c>
      <c r="B3877" s="3" t="str">
        <f>HYPERLINK("https://www.773grp.com/manufacturer/national-semiconductor?pageNo=124", "National Semiconductor")</f>
        <v>National Semiconductor</v>
      </c>
      <c r="C3877" s="6">
        <v>1150</v>
      </c>
      <c r="D3877" s="7">
        <v>4.74</v>
      </c>
    </row>
    <row r="3878" spans="1:5" x14ac:dyDescent="0.25">
      <c r="A3878" t="str">
        <f>HYPERLINK("https://www.773grp.com/globalSearch/LM4866LQ-NOPB/page-1", "LM4866LQ-NOPB")</f>
        <v>LM4866LQ-NOPB</v>
      </c>
      <c r="B3878" s="3" t="str">
        <f>HYPERLINK("https://www.773grp.com/manufacturer/national-semiconductor?pageNo=125", "National Semiconductor")</f>
        <v>National Semiconductor</v>
      </c>
      <c r="C3878" s="6">
        <v>941</v>
      </c>
      <c r="D3878" s="7">
        <v>4.74</v>
      </c>
      <c r="E3878" t="s">
        <v>18</v>
      </c>
    </row>
    <row r="3879" spans="1:5" x14ac:dyDescent="0.25">
      <c r="A3879" t="str">
        <f>HYPERLINK("https://www.773grp.com/globalSearch/LM4866MT-NOPB/page-1", "LM4866MT-NOPB")</f>
        <v>LM4866MT-NOPB</v>
      </c>
      <c r="B3879" s="3" t="str">
        <f>HYPERLINK("https://www.773grp.com/manufacturer/national-semiconductor?pageNo=126", "National Semiconductor")</f>
        <v>National Semiconductor</v>
      </c>
      <c r="C3879" s="6">
        <v>8</v>
      </c>
      <c r="D3879" s="7">
        <v>4.74</v>
      </c>
      <c r="E3879" t="s">
        <v>18</v>
      </c>
    </row>
    <row r="3880" spans="1:5" x14ac:dyDescent="0.25">
      <c r="A3880" t="str">
        <f>HYPERLINK("https://www.773grp.com/globalSearch/LM5022MM-NOPB/page-1", "LM5022MM-NOPB")</f>
        <v>LM5022MM-NOPB</v>
      </c>
      <c r="B3880" s="3" t="str">
        <f>HYPERLINK("https://www.773grp.com/manufacturer/national-semiconductor?pageNo=127", "National Semiconductor")</f>
        <v>National Semiconductor</v>
      </c>
      <c r="C3880" s="6">
        <v>6182</v>
      </c>
      <c r="D3880" s="7">
        <v>4.74</v>
      </c>
    </row>
    <row r="3881" spans="1:5" x14ac:dyDescent="0.25">
      <c r="A3881" t="str">
        <f>HYPERLINK("https://www.773grp.com/globalSearch/LM5022MMX-NOPB/page-1", "LM5022MMX-NOPB")</f>
        <v>LM5022MMX-NOPB</v>
      </c>
      <c r="B3881" s="3" t="str">
        <f>HYPERLINK("https://www.773grp.com/manufacturer/national-semiconductor?pageNo=128", "National Semiconductor")</f>
        <v>National Semiconductor</v>
      </c>
      <c r="C3881" s="6">
        <v>7000</v>
      </c>
      <c r="D3881" s="7">
        <v>4.74</v>
      </c>
    </row>
    <row r="3882" spans="1:5" x14ac:dyDescent="0.25">
      <c r="A3882" t="str">
        <f>HYPERLINK("https://www.773grp.com/globalSearch/LM5105SD-NOPB/page-1", "LM5105SD-NOPB")</f>
        <v>LM5105SD-NOPB</v>
      </c>
      <c r="B3882" s="3" t="str">
        <f>HYPERLINK("https://www.773grp.com/manufacturer/national-semiconductor?pageNo=129", "National Semiconductor")</f>
        <v>National Semiconductor</v>
      </c>
      <c r="C3882" s="6">
        <v>1000</v>
      </c>
      <c r="D3882" s="7">
        <v>4.74</v>
      </c>
      <c r="E3882" t="s">
        <v>16</v>
      </c>
    </row>
    <row r="3883" spans="1:5" x14ac:dyDescent="0.25">
      <c r="A3883" t="str">
        <f>HYPERLINK("https://www.773grp.com/globalSearch/LM5105SDX-NOPB/page-1", "LM5105SDX-NOPB")</f>
        <v>LM5105SDX-NOPB</v>
      </c>
      <c r="B3883" s="3" t="str">
        <f>HYPERLINK("https://www.773grp.com/manufacturer/national-semiconductor?pageNo=130", "National Semiconductor")</f>
        <v>National Semiconductor</v>
      </c>
      <c r="C3883" s="6">
        <v>4500</v>
      </c>
      <c r="D3883" s="7">
        <v>4.74</v>
      </c>
      <c r="E3883" t="s">
        <v>16</v>
      </c>
    </row>
    <row r="3884" spans="1:5" x14ac:dyDescent="0.25">
      <c r="A3884" t="str">
        <f>HYPERLINK("https://www.773grp.com/globalSearch/LM77CIMM-3-NOPB/page-1", "LM77CIMM-3-NOPB")</f>
        <v>LM77CIMM-3-NOPB</v>
      </c>
      <c r="B3884" s="3" t="str">
        <f>HYPERLINK("https://www.773grp.com/manufacturer/national-semiconductor?pageNo=131", "National Semiconductor")</f>
        <v>National Semiconductor</v>
      </c>
      <c r="C3884" s="6">
        <v>1207</v>
      </c>
      <c r="D3884" s="7">
        <v>4.74</v>
      </c>
      <c r="E3884" t="s">
        <v>12</v>
      </c>
    </row>
    <row r="3885" spans="1:5" x14ac:dyDescent="0.25">
      <c r="A3885" t="str">
        <f>HYPERLINK("https://www.773grp.com/globalSearch/LM77CIMM-5-NOPB/page-1", "LM77CIMM-5-NOPB")</f>
        <v>LM77CIMM-5-NOPB</v>
      </c>
      <c r="B3885" s="3" t="str">
        <f>HYPERLINK("https://www.773grp.com/manufacturer/national-semiconductor?pageNo=132", "National Semiconductor")</f>
        <v>National Semiconductor</v>
      </c>
      <c r="C3885" s="6">
        <v>1032</v>
      </c>
      <c r="D3885" s="7">
        <v>4.74</v>
      </c>
      <c r="E3885" t="s">
        <v>12</v>
      </c>
    </row>
    <row r="3886" spans="1:5" x14ac:dyDescent="0.25">
      <c r="A3886" t="str">
        <f>HYPERLINK("https://www.773grp.com/globalSearch/LM77CIMX-3-NOPB/page-1", "LM77CIMX-3-NOPB")</f>
        <v>LM77CIMX-3-NOPB</v>
      </c>
      <c r="B3886" s="3" t="str">
        <f>HYPERLINK("https://www.773grp.com/manufacturer/national-semiconductor?pageNo=133", "National Semiconductor")</f>
        <v>National Semiconductor</v>
      </c>
      <c r="C3886" s="6">
        <v>15000</v>
      </c>
      <c r="D3886" s="7">
        <v>4.74</v>
      </c>
      <c r="E3886" t="s">
        <v>12</v>
      </c>
    </row>
    <row r="3887" spans="1:5" x14ac:dyDescent="0.25">
      <c r="A3887" t="str">
        <f>HYPERLINK("https://www.773grp.com/globalSearch/LM77CIMX-5-NOPB/page-1", "LM77CIMX-5-NOPB")</f>
        <v>LM77CIMX-5-NOPB</v>
      </c>
      <c r="B3887" s="3" t="str">
        <f>HYPERLINK("https://www.773grp.com/manufacturer/national-semiconductor?pageNo=134", "National Semiconductor")</f>
        <v>National Semiconductor</v>
      </c>
      <c r="C3887" s="6">
        <v>2500</v>
      </c>
      <c r="D3887" s="7">
        <v>4.74</v>
      </c>
      <c r="E3887" t="s">
        <v>12</v>
      </c>
    </row>
    <row r="3888" spans="1:5" x14ac:dyDescent="0.25">
      <c r="A3888" t="str">
        <f>HYPERLINK("https://www.773grp.com/globalSearch/LM89-1CIMM-NOPB/page-1", "LM89-1CIMM-NOPB")</f>
        <v>LM89-1CIMM-NOPB</v>
      </c>
      <c r="B3888" s="3" t="str">
        <f>HYPERLINK("https://www.773grp.com/manufacturer/national-semiconductor?pageNo=1", "National Semiconductor")</f>
        <v>National Semiconductor</v>
      </c>
      <c r="C3888" s="6">
        <v>1000</v>
      </c>
      <c r="D3888" s="7">
        <v>4.74</v>
      </c>
      <c r="E3888" t="s">
        <v>12</v>
      </c>
    </row>
    <row r="3889" spans="1:5" x14ac:dyDescent="0.25">
      <c r="A3889" t="str">
        <f>HYPERLINK("https://www.773grp.com/globalSearch/LM89-1CIMMX-NOPB/page-1", "LM89-1CIMMX-NOPB")</f>
        <v>LM89-1CIMMX-NOPB</v>
      </c>
      <c r="B3889" s="3" t="str">
        <f>HYPERLINK("https://www.773grp.com/manufacturer/national-semiconductor?pageNo=2", "National Semiconductor")</f>
        <v>National Semiconductor</v>
      </c>
      <c r="C3889" s="6">
        <v>3500</v>
      </c>
      <c r="D3889" s="7">
        <v>4.74</v>
      </c>
      <c r="E3889" t="s">
        <v>12</v>
      </c>
    </row>
    <row r="3890" spans="1:5" x14ac:dyDescent="0.25">
      <c r="A3890" t="str">
        <f>HYPERLINK("https://www.773grp.com/globalSearch/LM89CIMX-NOPB/page-1", "LM89CIMX-NOPB")</f>
        <v>LM89CIMX-NOPB</v>
      </c>
      <c r="B3890" s="3" t="str">
        <f>HYPERLINK("https://www.773grp.com/manufacturer/national-semiconductor?pageNo=3", "National Semiconductor")</f>
        <v>National Semiconductor</v>
      </c>
      <c r="C3890" s="6">
        <v>2500</v>
      </c>
      <c r="D3890" s="7">
        <v>4.74</v>
      </c>
      <c r="E3890" t="s">
        <v>12</v>
      </c>
    </row>
    <row r="3891" spans="1:5" x14ac:dyDescent="0.25">
      <c r="A3891" t="str">
        <f>HYPERLINK("https://www.773grp.com/globalSearch/LMC6484IMX-NOPB/page-1", "LMC6484IMX-NOPB")</f>
        <v>LMC6484IMX-NOPB</v>
      </c>
      <c r="B3891" s="3" t="str">
        <f>HYPERLINK("https://www.773grp.com/manufacturer/national-semiconductor?pageNo=4", "National Semiconductor")</f>
        <v>National Semiconductor</v>
      </c>
      <c r="C3891" s="6">
        <v>90000</v>
      </c>
      <c r="D3891" s="7">
        <v>4.74</v>
      </c>
      <c r="E3891" t="s">
        <v>13</v>
      </c>
    </row>
    <row r="3892" spans="1:5" x14ac:dyDescent="0.25">
      <c r="A3892" t="str">
        <f>HYPERLINK("https://www.773grp.com/globalSearch/LMH6559MF-NOPB/page-1", "LMH6559MF-NOPB")</f>
        <v>LMH6559MF-NOPB</v>
      </c>
      <c r="B3892" s="3" t="str">
        <f>HYPERLINK("https://www.773grp.com/manufacturer/national-semiconductor?pageNo=5", "National Semiconductor")</f>
        <v>National Semiconductor</v>
      </c>
      <c r="C3892" s="6">
        <v>2900</v>
      </c>
      <c r="D3892" s="7">
        <v>4.74</v>
      </c>
      <c r="E3892" t="s">
        <v>48</v>
      </c>
    </row>
    <row r="3893" spans="1:5" x14ac:dyDescent="0.25">
      <c r="A3893" t="str">
        <f>HYPERLINK("https://www.773grp.com/globalSearch/LMP2011MA/page-1", "LMP2011MA")</f>
        <v>LMP2011MA</v>
      </c>
      <c r="B3893" s="3" t="str">
        <f>HYPERLINK("https://www.773grp.com/manufacturer/national-semiconductor?pageNo=6", "National Semiconductor")</f>
        <v>National Semiconductor</v>
      </c>
      <c r="C3893" s="6">
        <v>36</v>
      </c>
      <c r="D3893" s="7">
        <v>4.74</v>
      </c>
      <c r="E3893" t="s">
        <v>13</v>
      </c>
    </row>
    <row r="3894" spans="1:5" x14ac:dyDescent="0.25">
      <c r="A3894" t="str">
        <f>HYPERLINK("https://www.773grp.com/globalSearch/LMP2011MF-NOPB/page-1", "LMP2011MF-NOPB")</f>
        <v>LMP2011MF-NOPB</v>
      </c>
      <c r="B3894" s="3" t="str">
        <f>HYPERLINK("https://www.773grp.com/manufacturer/national-semiconductor?pageNo=7", "National Semiconductor")</f>
        <v>National Semiconductor</v>
      </c>
      <c r="C3894" s="6">
        <v>17946</v>
      </c>
      <c r="D3894" s="7">
        <v>4.74</v>
      </c>
      <c r="E3894" t="s">
        <v>13</v>
      </c>
    </row>
    <row r="3895" spans="1:5" x14ac:dyDescent="0.25">
      <c r="A3895" t="str">
        <f>HYPERLINK("https://www.773grp.com/globalSearch/LMP2011MFX-NOPB/page-1", "LMP2011MFX-NOPB")</f>
        <v>LMP2011MFX-NOPB</v>
      </c>
      <c r="B3895" s="3" t="str">
        <f>HYPERLINK("https://www.773grp.com/manufacturer/national-semiconductor?pageNo=8", "National Semiconductor")</f>
        <v>National Semiconductor</v>
      </c>
      <c r="C3895" s="6">
        <v>6000</v>
      </c>
      <c r="D3895" s="7">
        <v>4.74</v>
      </c>
      <c r="E3895" t="s">
        <v>13</v>
      </c>
    </row>
    <row r="3896" spans="1:5" x14ac:dyDescent="0.25">
      <c r="A3896" t="str">
        <f>HYPERLINK("https://www.773grp.com/globalSearch/LMP7717MA-NOPB/page-1", "LMP7717MA-NOPB")</f>
        <v>LMP7717MA-NOPB</v>
      </c>
      <c r="B3896" s="3" t="str">
        <f>HYPERLINK("https://www.773grp.com/manufacturer/national-semiconductor?pageNo=9", "National Semiconductor")</f>
        <v>National Semiconductor</v>
      </c>
      <c r="C3896" s="6">
        <v>273</v>
      </c>
      <c r="D3896" s="7">
        <v>4.74</v>
      </c>
    </row>
    <row r="3897" spans="1:5" x14ac:dyDescent="0.25">
      <c r="A3897" t="str">
        <f>HYPERLINK("https://www.773grp.com/globalSearch/LMV221SD-NOPB/page-1", "LMV221SD-NOPB")</f>
        <v>LMV221SD-NOPB</v>
      </c>
      <c r="B3897" s="3" t="str">
        <f>HYPERLINK("https://www.773grp.com/manufacturer/national-semiconductor?pageNo=10", "National Semiconductor")</f>
        <v>National Semiconductor</v>
      </c>
      <c r="C3897" s="6">
        <v>40000</v>
      </c>
      <c r="D3897" s="7">
        <v>4.74</v>
      </c>
    </row>
    <row r="3898" spans="1:5" x14ac:dyDescent="0.25">
      <c r="A3898" t="str">
        <f>HYPERLINK("https://www.773grp.com/globalSearch/LMV774MTX/page-1", "LMV774MTX")</f>
        <v>LMV774MTX</v>
      </c>
      <c r="B3898" s="3" t="str">
        <f>HYPERLINK("https://www.773grp.com/manufacturer/national-semiconductor?pageNo=11", "National Semiconductor")</f>
        <v>National Semiconductor</v>
      </c>
      <c r="C3898" s="6">
        <v>2500</v>
      </c>
      <c r="D3898" s="7">
        <v>4.74</v>
      </c>
      <c r="E3898" t="s">
        <v>13</v>
      </c>
    </row>
    <row r="3899" spans="1:5" x14ac:dyDescent="0.25">
      <c r="A3899" t="str">
        <f>HYPERLINK("https://www.773grp.com/globalSearch/LMV774MTX-NOPB/page-1", "LMV774MTX-NOPB")</f>
        <v>LMV774MTX-NOPB</v>
      </c>
      <c r="B3899" s="3" t="str">
        <f>HYPERLINK("https://www.773grp.com/manufacturer/national-semiconductor?pageNo=12", "National Semiconductor")</f>
        <v>National Semiconductor</v>
      </c>
      <c r="C3899" s="6">
        <v>97500</v>
      </c>
      <c r="D3899" s="7">
        <v>4.74</v>
      </c>
      <c r="E3899" t="s">
        <v>13</v>
      </c>
    </row>
    <row r="3900" spans="1:5" x14ac:dyDescent="0.25">
      <c r="A3900" t="str">
        <f>HYPERLINK("https://www.773grp.com/globalSearch/LMV852MM-NOPB/page-1", "LMV852MM-NOPB")</f>
        <v>LMV852MM-NOPB</v>
      </c>
      <c r="B3900" s="3" t="str">
        <f>HYPERLINK("https://www.773grp.com/manufacturer/national-semiconductor?pageNo=13", "National Semiconductor")</f>
        <v>National Semiconductor</v>
      </c>
      <c r="C3900" s="6">
        <v>2983</v>
      </c>
      <c r="D3900" s="7">
        <v>4.74</v>
      </c>
    </row>
    <row r="3901" spans="1:5" x14ac:dyDescent="0.25">
      <c r="A3901" t="str">
        <f>HYPERLINK("https://www.773grp.com/globalSearch/LMV862MM/page-1", "LMV862MM")</f>
        <v>LMV862MM</v>
      </c>
      <c r="B3901" s="3" t="str">
        <f>HYPERLINK("https://www.773grp.com/manufacturer/national-semiconductor?pageNo=14", "National Semiconductor")</f>
        <v>National Semiconductor</v>
      </c>
      <c r="C3901" s="6">
        <v>1000</v>
      </c>
      <c r="D3901" s="7">
        <v>4.74</v>
      </c>
      <c r="E3901" t="s">
        <v>13</v>
      </c>
    </row>
    <row r="3902" spans="1:5" x14ac:dyDescent="0.25">
      <c r="A3902" t="str">
        <f>HYPERLINK("https://www.773grp.com/globalSearch/LMV862MM-NOPB/page-1", "LMV862MM-NOPB")</f>
        <v>LMV862MM-NOPB</v>
      </c>
      <c r="B3902" s="3" t="str">
        <f>HYPERLINK("https://www.773grp.com/manufacturer/national-semiconductor?pageNo=15", "National Semiconductor")</f>
        <v>National Semiconductor</v>
      </c>
      <c r="C3902" s="6">
        <v>2889</v>
      </c>
      <c r="D3902" s="7">
        <v>4.74</v>
      </c>
    </row>
    <row r="3903" spans="1:5" x14ac:dyDescent="0.25">
      <c r="A3903" t="str">
        <f>HYPERLINK("https://www.773grp.com/globalSearch/LP2960IM-3.3/page-1", "LP2960IM-3.3")</f>
        <v>LP2960IM-3.3</v>
      </c>
      <c r="B3903" s="3" t="str">
        <f>HYPERLINK("https://www.773grp.com/manufacturer/national-semiconductor?pageNo=16", "National Semiconductor")</f>
        <v>National Semiconductor</v>
      </c>
      <c r="C3903" s="6">
        <v>316</v>
      </c>
      <c r="D3903" s="7">
        <v>4.74</v>
      </c>
      <c r="E3903" t="s">
        <v>27</v>
      </c>
    </row>
    <row r="3904" spans="1:5" x14ac:dyDescent="0.25">
      <c r="A3904" t="str">
        <f>HYPERLINK("https://www.773grp.com/globalSearch/LP2986AIMM-3.0-NOPB/page-1", "LP2986AIMM-3.0-NOPB")</f>
        <v>LP2986AIMM-3.0-NOPB</v>
      </c>
      <c r="B3904" s="3" t="str">
        <f>HYPERLINK("https://www.773grp.com/manufacturer/national-semiconductor?pageNo=17", "National Semiconductor")</f>
        <v>National Semiconductor</v>
      </c>
      <c r="C3904" s="6">
        <v>1000</v>
      </c>
      <c r="D3904" s="7">
        <v>4.74</v>
      </c>
      <c r="E3904" t="s">
        <v>27</v>
      </c>
    </row>
    <row r="3905" spans="1:5" x14ac:dyDescent="0.25">
      <c r="A3905" t="str">
        <f>HYPERLINK("https://www.773grp.com/globalSearch/LP2986AIMM-3.3-NOPB/page-1", "LP2986AIMM-3.3-NOPB")</f>
        <v>LP2986AIMM-3.3-NOPB</v>
      </c>
      <c r="B3905" s="3" t="str">
        <f>HYPERLINK("https://www.773grp.com/manufacturer/national-semiconductor?pageNo=18", "National Semiconductor")</f>
        <v>National Semiconductor</v>
      </c>
      <c r="C3905" s="6">
        <v>1350</v>
      </c>
      <c r="D3905" s="7">
        <v>4.74</v>
      </c>
      <c r="E3905" t="s">
        <v>27</v>
      </c>
    </row>
    <row r="3906" spans="1:5" x14ac:dyDescent="0.25">
      <c r="A3906" t="str">
        <f>HYPERLINK("https://www.773grp.com/globalSearch/LP2986AIMM-5.0/page-1", "LP2986AIMM-5.0")</f>
        <v>LP2986AIMM-5.0</v>
      </c>
      <c r="B3906" s="3" t="str">
        <f>HYPERLINK("https://www.773grp.com/manufacturer/national-semiconductor?pageNo=19", "National Semiconductor")</f>
        <v>National Semiconductor</v>
      </c>
      <c r="C3906" s="6">
        <v>30</v>
      </c>
      <c r="D3906" s="7">
        <v>4.74</v>
      </c>
      <c r="E3906" t="s">
        <v>27</v>
      </c>
    </row>
    <row r="3907" spans="1:5" x14ac:dyDescent="0.25">
      <c r="A3907" t="str">
        <f>HYPERLINK("https://www.773grp.com/globalSearch/LP2986AIMM-5.0-NOPB/page-1", "LP2986AIMM-5.0-NOPB")</f>
        <v>LP2986AIMM-5.0-NOPB</v>
      </c>
      <c r="B3907" s="3" t="str">
        <f>HYPERLINK("https://www.773grp.com/manufacturer/national-semiconductor?pageNo=20", "National Semiconductor")</f>
        <v>National Semiconductor</v>
      </c>
      <c r="C3907" s="6">
        <v>1731</v>
      </c>
      <c r="D3907" s="7">
        <v>4.74</v>
      </c>
      <c r="E3907" t="s">
        <v>27</v>
      </c>
    </row>
    <row r="3908" spans="1:5" x14ac:dyDescent="0.25">
      <c r="A3908" t="str">
        <f>HYPERLINK("https://www.773grp.com/globalSearch/LP2989AILD-1.8/page-1", "LP2989AILD-1.8")</f>
        <v>LP2989AILD-1.8</v>
      </c>
      <c r="B3908" s="3" t="str">
        <f>HYPERLINK("https://www.773grp.com/manufacturer/national-semiconductor?pageNo=21", "National Semiconductor")</f>
        <v>National Semiconductor</v>
      </c>
      <c r="C3908" s="6">
        <v>19</v>
      </c>
      <c r="D3908" s="7">
        <v>4.74</v>
      </c>
      <c r="E3908" t="s">
        <v>19</v>
      </c>
    </row>
    <row r="3909" spans="1:5" x14ac:dyDescent="0.25">
      <c r="A3909" t="str">
        <f>HYPERLINK("https://www.773grp.com/globalSearch/LP2989AILD-2.5-NOPB/page-1", "LP2989AILD-2.5-NOPB")</f>
        <v>LP2989AILD-2.5-NOPB</v>
      </c>
      <c r="B3909" s="3" t="str">
        <f>HYPERLINK("https://www.773grp.com/manufacturer/national-semiconductor?pageNo=22", "National Semiconductor")</f>
        <v>National Semiconductor</v>
      </c>
      <c r="C3909" s="6">
        <v>2764</v>
      </c>
      <c r="D3909" s="7">
        <v>4.74</v>
      </c>
      <c r="E3909" t="s">
        <v>19</v>
      </c>
    </row>
    <row r="3910" spans="1:5" x14ac:dyDescent="0.25">
      <c r="A3910" t="str">
        <f>HYPERLINK("https://www.773grp.com/globalSearch/LP2989AIM-3.0/page-1", "LP2989AIM-3.0")</f>
        <v>LP2989AIM-3.0</v>
      </c>
      <c r="B3910" s="3" t="str">
        <f>HYPERLINK("https://www.773grp.com/manufacturer/national-semiconductor?pageNo=23", "National Semiconductor")</f>
        <v>National Semiconductor</v>
      </c>
      <c r="C3910" s="6">
        <v>330</v>
      </c>
      <c r="D3910" s="7">
        <v>4.74</v>
      </c>
      <c r="E3910" t="s">
        <v>19</v>
      </c>
    </row>
    <row r="3911" spans="1:5" x14ac:dyDescent="0.25">
      <c r="A3911" t="str">
        <f>HYPERLINK("https://www.773grp.com/globalSearch/LP2989AIM-3.3/page-1", "LP2989AIM-3.3")</f>
        <v>LP2989AIM-3.3</v>
      </c>
      <c r="B3911" s="3" t="str">
        <f>HYPERLINK("https://www.773grp.com/manufacturer/national-semiconductor?pageNo=24", "National Semiconductor")</f>
        <v>National Semiconductor</v>
      </c>
      <c r="C3911" s="6">
        <v>374</v>
      </c>
      <c r="D3911" s="7">
        <v>4.74</v>
      </c>
      <c r="E3911" t="s">
        <v>19</v>
      </c>
    </row>
    <row r="3912" spans="1:5" x14ac:dyDescent="0.25">
      <c r="A3912" t="str">
        <f>HYPERLINK("https://www.773grp.com/globalSearch/LP2989AIMM-2.5/page-1", "LP2989AIMM-2.5")</f>
        <v>LP2989AIMM-2.5</v>
      </c>
      <c r="B3912" s="3" t="str">
        <f>HYPERLINK("https://www.773grp.com/manufacturer/national-semiconductor?pageNo=25", "National Semiconductor")</f>
        <v>National Semiconductor</v>
      </c>
      <c r="C3912" s="6">
        <v>15000</v>
      </c>
      <c r="D3912" s="7">
        <v>4.74</v>
      </c>
      <c r="E3912" t="s">
        <v>19</v>
      </c>
    </row>
    <row r="3913" spans="1:5" x14ac:dyDescent="0.25">
      <c r="A3913" t="str">
        <f>HYPERLINK("https://www.773grp.com/globalSearch/LP2989AIMM-2.5-NOPB/page-1", "LP2989AIMM-2.5-NOPB")</f>
        <v>LP2989AIMM-2.5-NOPB</v>
      </c>
      <c r="B3913" s="3" t="str">
        <f>HYPERLINK("https://www.773grp.com/manufacturer/national-semiconductor?pageNo=26", "National Semiconductor")</f>
        <v>National Semiconductor</v>
      </c>
      <c r="C3913" s="6">
        <v>1100</v>
      </c>
      <c r="D3913" s="7">
        <v>4.74</v>
      </c>
      <c r="E3913" t="s">
        <v>19</v>
      </c>
    </row>
    <row r="3914" spans="1:5" x14ac:dyDescent="0.25">
      <c r="A3914" t="str">
        <f>HYPERLINK("https://www.773grp.com/globalSearch/LP2989AIMM-3.0-NOPB/page-1", "LP2989AIMM-3.0-NOPB")</f>
        <v>LP2989AIMM-3.0-NOPB</v>
      </c>
      <c r="B3914" s="3" t="str">
        <f>HYPERLINK("https://www.773grp.com/manufacturer/national-semiconductor?pageNo=27", "National Semiconductor")</f>
        <v>National Semiconductor</v>
      </c>
      <c r="C3914" s="6">
        <v>1080</v>
      </c>
      <c r="D3914" s="7">
        <v>4.74</v>
      </c>
      <c r="E3914" t="s">
        <v>19</v>
      </c>
    </row>
    <row r="3915" spans="1:5" x14ac:dyDescent="0.25">
      <c r="A3915" t="str">
        <f>HYPERLINK("https://www.773grp.com/globalSearch/LP2989AIMM-3.3-NOPB/page-1", "LP2989AIMM-3.3-NOPB")</f>
        <v>LP2989AIMM-3.3-NOPB</v>
      </c>
      <c r="B3915" s="3" t="str">
        <f>HYPERLINK("https://www.773grp.com/manufacturer/national-semiconductor?pageNo=28", "National Semiconductor")</f>
        <v>National Semiconductor</v>
      </c>
      <c r="C3915" s="6">
        <v>4000</v>
      </c>
      <c r="D3915" s="7">
        <v>4.74</v>
      </c>
      <c r="E3915" t="s">
        <v>19</v>
      </c>
    </row>
    <row r="3916" spans="1:5" x14ac:dyDescent="0.25">
      <c r="A3916" t="str">
        <f>HYPERLINK("https://www.773grp.com/globalSearch/LP2989AIMM-5.0-NOPB/page-1", "LP2989AIMM-5.0-NOPB")</f>
        <v>LP2989AIMM-5.0-NOPB</v>
      </c>
      <c r="B3916" s="3" t="str">
        <f>HYPERLINK("https://www.773grp.com/manufacturer/national-semiconductor?pageNo=29", "National Semiconductor")</f>
        <v>National Semiconductor</v>
      </c>
      <c r="C3916" s="6">
        <v>500</v>
      </c>
      <c r="D3916" s="7">
        <v>4.74</v>
      </c>
      <c r="E3916" t="s">
        <v>19</v>
      </c>
    </row>
    <row r="3917" spans="1:5" x14ac:dyDescent="0.25">
      <c r="A3917" t="str">
        <f>HYPERLINK("https://www.773grp.com/globalSearch/LP2989ILD-1.8-NOPB/page-1", "LP2989ILD-1.8-NOPB")</f>
        <v>LP2989ILD-1.8-NOPB</v>
      </c>
      <c r="B3917" s="3" t="str">
        <f>HYPERLINK("https://www.773grp.com/manufacturer/national-semiconductor?pageNo=30", "National Semiconductor")</f>
        <v>National Semiconductor</v>
      </c>
      <c r="C3917" s="6">
        <v>298</v>
      </c>
      <c r="D3917" s="7">
        <v>4.74</v>
      </c>
      <c r="E3917" t="s">
        <v>19</v>
      </c>
    </row>
    <row r="3918" spans="1:5" x14ac:dyDescent="0.25">
      <c r="A3918" t="str">
        <f>HYPERLINK("https://www.773grp.com/globalSearch/LP2989ILD-2.5-NOPB/page-1", "LP2989ILD-2.5-NOPB")</f>
        <v>LP2989ILD-2.5-NOPB</v>
      </c>
      <c r="B3918" s="3" t="str">
        <f>HYPERLINK("https://www.773grp.com/manufacturer/national-semiconductor?pageNo=31", "National Semiconductor")</f>
        <v>National Semiconductor</v>
      </c>
      <c r="C3918" s="6">
        <v>550</v>
      </c>
      <c r="D3918" s="7">
        <v>4.74</v>
      </c>
      <c r="E3918" t="s">
        <v>19</v>
      </c>
    </row>
    <row r="3919" spans="1:5" x14ac:dyDescent="0.25">
      <c r="A3919" t="str">
        <f>HYPERLINK("https://www.773grp.com/globalSearch/LP2989ILD-3.3-NOPB/page-1", "LP2989ILD-3.3-NOPB")</f>
        <v>LP2989ILD-3.3-NOPB</v>
      </c>
      <c r="B3919" s="3" t="str">
        <f>HYPERLINK("https://www.773grp.com/manufacturer/national-semiconductor?pageNo=32", "National Semiconductor")</f>
        <v>National Semiconductor</v>
      </c>
      <c r="C3919" s="6">
        <v>17631</v>
      </c>
      <c r="D3919" s="7">
        <v>4.74</v>
      </c>
      <c r="E3919" t="s">
        <v>19</v>
      </c>
    </row>
    <row r="3920" spans="1:5" x14ac:dyDescent="0.25">
      <c r="A3920" t="str">
        <f>HYPERLINK("https://www.773grp.com/globalSearch/LP2989ILD-5.0-NOPB/page-1", "LP2989ILD-5.0-NOPB")</f>
        <v>LP2989ILD-5.0-NOPB</v>
      </c>
      <c r="B3920" s="3" t="str">
        <f>HYPERLINK("https://www.773grp.com/manufacturer/national-semiconductor?pageNo=33", "National Semiconductor")</f>
        <v>National Semiconductor</v>
      </c>
      <c r="C3920" s="6">
        <v>2519</v>
      </c>
      <c r="D3920" s="7">
        <v>4.74</v>
      </c>
      <c r="E3920" t="s">
        <v>19</v>
      </c>
    </row>
    <row r="3921" spans="1:5" x14ac:dyDescent="0.25">
      <c r="A3921" t="str">
        <f>HYPERLINK("https://www.773grp.com/globalSearch/LP2989ILDX-5.0-NOPB/page-1", "LP2989ILDX-5.0-NOPB")</f>
        <v>LP2989ILDX-5.0-NOPB</v>
      </c>
      <c r="B3921" s="3" t="str">
        <f>HYPERLINK("https://www.773grp.com/manufacturer/national-semiconductor?pageNo=34", "National Semiconductor")</f>
        <v>National Semiconductor</v>
      </c>
      <c r="C3921" s="6">
        <v>9000</v>
      </c>
      <c r="D3921" s="7">
        <v>4.74</v>
      </c>
      <c r="E3921" t="s">
        <v>19</v>
      </c>
    </row>
    <row r="3922" spans="1:5" x14ac:dyDescent="0.25">
      <c r="A3922" t="str">
        <f>HYPERLINK("https://www.773grp.com/globalSearch/LP2989IMX-1.8-NOPB/page-1", "LP2989IMX-1.8-NOPB")</f>
        <v>LP2989IMX-1.8-NOPB</v>
      </c>
      <c r="B3922" s="3" t="str">
        <f>HYPERLINK("https://www.773grp.com/manufacturer/national-semiconductor?pageNo=35", "National Semiconductor")</f>
        <v>National Semiconductor</v>
      </c>
      <c r="C3922" s="6">
        <v>2500</v>
      </c>
      <c r="D3922" s="7">
        <v>4.74</v>
      </c>
      <c r="E3922" t="s">
        <v>19</v>
      </c>
    </row>
    <row r="3923" spans="1:5" x14ac:dyDescent="0.25">
      <c r="A3923" t="str">
        <f>HYPERLINK("https://www.773grp.com/globalSearch/LP38512MR-ADJ-NOPB/page-1", "LP38512MR-ADJ-NOPB")</f>
        <v>LP38512MR-ADJ-NOPB</v>
      </c>
      <c r="B3923" s="3" t="str">
        <f>HYPERLINK("https://www.773grp.com/manufacturer/national-semiconductor?pageNo=36", "National Semiconductor")</f>
        <v>National Semiconductor</v>
      </c>
      <c r="C3923" s="6">
        <v>656</v>
      </c>
      <c r="D3923" s="7">
        <v>4.74</v>
      </c>
    </row>
    <row r="3924" spans="1:5" x14ac:dyDescent="0.25">
      <c r="A3924" t="str">
        <f>HYPERLINK("https://www.773grp.com/globalSearch/LP38512TS-1.8-NOPB/page-1", "LP38512TS-1.8-NOPB")</f>
        <v>LP38512TS-1.8-NOPB</v>
      </c>
      <c r="B3924" s="3" t="str">
        <f>HYPERLINK("https://www.773grp.com/manufacturer/national-semiconductor?pageNo=37", "National Semiconductor")</f>
        <v>National Semiconductor</v>
      </c>
      <c r="C3924" s="6">
        <v>226</v>
      </c>
      <c r="D3924" s="7">
        <v>4.74</v>
      </c>
    </row>
    <row r="3925" spans="1:5" x14ac:dyDescent="0.25">
      <c r="A3925" t="str">
        <f>HYPERLINK("https://www.773grp.com/globalSearch/LP3944ISQ-NOPB/page-1", "LP3944ISQ-NOPB")</f>
        <v>LP3944ISQ-NOPB</v>
      </c>
      <c r="B3925" s="3" t="str">
        <f>HYPERLINK("https://www.773grp.com/manufacturer/national-semiconductor?pageNo=38", "National Semiconductor")</f>
        <v>National Semiconductor</v>
      </c>
      <c r="C3925" s="6">
        <v>12000</v>
      </c>
      <c r="D3925" s="7">
        <v>4.74</v>
      </c>
    </row>
    <row r="3926" spans="1:5" x14ac:dyDescent="0.25">
      <c r="A3926" t="str">
        <f>HYPERLINK("https://www.773grp.com/globalSearch/DAC084S085CIMM-NOPB/page-1", "DAC084S085CIMM-NOPB")</f>
        <v>DAC084S085CIMM-NOPB</v>
      </c>
      <c r="B3926" s="3" t="str">
        <f>HYPERLINK("https://www.773grp.com/manufacturer/national-semiconductor?pageNo=39", "National Semiconductor")</f>
        <v>National Semiconductor</v>
      </c>
      <c r="C3926" s="6">
        <v>713</v>
      </c>
      <c r="D3926" s="7">
        <v>4.74</v>
      </c>
      <c r="E3926" t="s">
        <v>33</v>
      </c>
    </row>
    <row r="3927" spans="1:5" x14ac:dyDescent="0.25">
      <c r="A3927" t="str">
        <f>HYPERLINK("https://www.773grp.com/globalSearch/DAC084S085CIMMX-NOPB/page-1", "DAC084S085CIMMX-NOPB")</f>
        <v>DAC084S085CIMMX-NOPB</v>
      </c>
      <c r="B3927" s="3" t="str">
        <f>HYPERLINK("https://www.773grp.com/manufacturer/national-semiconductor?pageNo=40", "National Semiconductor")</f>
        <v>National Semiconductor</v>
      </c>
      <c r="C3927" s="6">
        <v>3260</v>
      </c>
      <c r="D3927" s="7">
        <v>4.74</v>
      </c>
    </row>
    <row r="3928" spans="1:5" x14ac:dyDescent="0.25">
      <c r="A3928" t="str">
        <f>HYPERLINK("https://www.773grp.com/globalSearch/DAC084S085CISD-NOPB/page-1", "DAC084S085CISD-NOPB")</f>
        <v>DAC084S085CISD-NOPB</v>
      </c>
      <c r="B3928" s="3" t="str">
        <f>HYPERLINK("https://www.773grp.com/manufacturer/national-semiconductor?pageNo=41", "National Semiconductor")</f>
        <v>National Semiconductor</v>
      </c>
      <c r="C3928" s="6">
        <v>2000</v>
      </c>
      <c r="D3928" s="7">
        <v>4.74</v>
      </c>
    </row>
    <row r="3929" spans="1:5" x14ac:dyDescent="0.25">
      <c r="A3929" t="str">
        <f>HYPERLINK("https://www.773grp.com/globalSearch/DS38EP100SD/page-1", "DS38EP100SD")</f>
        <v>DS38EP100SD</v>
      </c>
      <c r="B3929" s="3" t="str">
        <f>HYPERLINK("https://www.773grp.com/manufacturer/national-semiconductor?pageNo=42", "National Semiconductor")</f>
        <v>National Semiconductor</v>
      </c>
      <c r="C3929" s="6">
        <v>464</v>
      </c>
      <c r="D3929" s="7">
        <v>4.74</v>
      </c>
    </row>
    <row r="3930" spans="1:5" x14ac:dyDescent="0.25">
      <c r="A3930" t="str">
        <f>HYPERLINK("https://www.773grp.com/globalSearch/DS90LV017ATM/page-1", "DS90LV017ATM")</f>
        <v>DS90LV017ATM</v>
      </c>
      <c r="B3930" s="3" t="str">
        <f>HYPERLINK("https://www.773grp.com/manufacturer/national-semiconductor?pageNo=43", "National Semiconductor")</f>
        <v>National Semiconductor</v>
      </c>
      <c r="C3930" s="6">
        <v>20</v>
      </c>
      <c r="D3930" s="7">
        <v>4.74</v>
      </c>
      <c r="E3930" t="s">
        <v>21</v>
      </c>
    </row>
    <row r="3931" spans="1:5" x14ac:dyDescent="0.25">
      <c r="A3931" t="str">
        <f>HYPERLINK("https://www.773grp.com/globalSearch/DS90LV049HMTX-NOPB/page-1", "DS90LV049HMTX-NOPB")</f>
        <v>DS90LV049HMTX-NOPB</v>
      </c>
      <c r="B3931" s="3" t="str">
        <f>HYPERLINK("https://www.773grp.com/manufacturer/national-semiconductor?pageNo=44", "National Semiconductor")</f>
        <v>National Semiconductor</v>
      </c>
      <c r="C3931" s="6">
        <v>2500</v>
      </c>
      <c r="D3931" s="7">
        <v>4.74</v>
      </c>
    </row>
    <row r="3932" spans="1:5" x14ac:dyDescent="0.25">
      <c r="A3932" t="str">
        <f>HYPERLINK("https://www.773grp.com/globalSearch/INA201AIDR/page-1", "INA201AIDR")</f>
        <v>INA201AIDR</v>
      </c>
      <c r="B3932" s="3" t="str">
        <f>HYPERLINK("https://www.773grp.com/manufacturer/national-semiconductor?pageNo=45", "National Semiconductor")</f>
        <v>National Semiconductor</v>
      </c>
      <c r="C3932" s="6">
        <v>2500</v>
      </c>
      <c r="D3932" s="7">
        <v>4.74</v>
      </c>
    </row>
    <row r="3933" spans="1:5" x14ac:dyDescent="0.25">
      <c r="A3933" t="str">
        <f>HYPERLINK("https://www.773grp.com/globalSearch/LM2662M-NOPB/page-1", "LM2662M-NOPB")</f>
        <v>LM2662M-NOPB</v>
      </c>
      <c r="B3933" s="3" t="str">
        <f>HYPERLINK("https://www.773grp.com/manufacturer/national-semiconductor?pageNo=46", "National Semiconductor")</f>
        <v>National Semiconductor</v>
      </c>
      <c r="C3933" s="6">
        <v>95</v>
      </c>
      <c r="D3933" s="7">
        <v>4.74</v>
      </c>
      <c r="E3933" t="s">
        <v>7</v>
      </c>
    </row>
    <row r="3934" spans="1:5" x14ac:dyDescent="0.25">
      <c r="A3934" t="str">
        <f>HYPERLINK("https://www.773grp.com/globalSearch/LM2663M-NOPB/page-1", "LM2663M-NOPB")</f>
        <v>LM2663M-NOPB</v>
      </c>
      <c r="B3934" s="3" t="str">
        <f>HYPERLINK("https://www.773grp.com/manufacturer/national-semiconductor?pageNo=47", "National Semiconductor")</f>
        <v>National Semiconductor</v>
      </c>
      <c r="C3934" s="6">
        <v>276</v>
      </c>
      <c r="D3934" s="7">
        <v>4.74</v>
      </c>
    </row>
    <row r="3935" spans="1:5" x14ac:dyDescent="0.25">
      <c r="A3935" t="str">
        <f>HYPERLINK("https://www.773grp.com/globalSearch/LM2703MF-ADJ/page-1", "LM2703MF-ADJ")</f>
        <v>LM2703MF-ADJ</v>
      </c>
      <c r="B3935" s="3" t="str">
        <f>HYPERLINK("https://www.773grp.com/manufacturer/national-semiconductor?pageNo=48", "National Semiconductor")</f>
        <v>National Semiconductor</v>
      </c>
      <c r="C3935" s="6">
        <v>1754</v>
      </c>
      <c r="D3935" s="7">
        <v>4.74</v>
      </c>
      <c r="E3935" t="s">
        <v>7</v>
      </c>
    </row>
    <row r="3936" spans="1:5" x14ac:dyDescent="0.25">
      <c r="A3936" t="str">
        <f>HYPERLINK("https://www.773grp.com/globalSearch/LM2731XMF-NOPB/page-1", "LM2731XMF-NOPB")</f>
        <v>LM2731XMF-NOPB</v>
      </c>
      <c r="B3936" s="3" t="str">
        <f>HYPERLINK("https://www.773grp.com/manufacturer/national-semiconductor?pageNo=49", "National Semiconductor")</f>
        <v>National Semiconductor</v>
      </c>
      <c r="C3936" s="6">
        <v>5000</v>
      </c>
      <c r="D3936" s="7">
        <v>4.74</v>
      </c>
      <c r="E3936" t="s">
        <v>7</v>
      </c>
    </row>
    <row r="3937" spans="1:5" x14ac:dyDescent="0.25">
      <c r="A3937" t="str">
        <f>HYPERLINK("https://www.773grp.com/globalSearch/LM2731XMFX-NOPB/page-1", "LM2731XMFX-NOPB")</f>
        <v>LM2731XMFX-NOPB</v>
      </c>
      <c r="B3937" s="3" t="str">
        <f>HYPERLINK("https://www.773grp.com/manufacturer/national-semiconductor?pageNo=50", "National Semiconductor")</f>
        <v>National Semiconductor</v>
      </c>
      <c r="C3937" s="6">
        <v>3000</v>
      </c>
      <c r="D3937" s="7">
        <v>4.74</v>
      </c>
      <c r="E3937" t="s">
        <v>7</v>
      </c>
    </row>
    <row r="3938" spans="1:5" x14ac:dyDescent="0.25">
      <c r="A3938" t="str">
        <f>HYPERLINK("https://www.773grp.com/globalSearch/LM2731YMF-NOPB/page-1", "LM2731YMF-NOPB")</f>
        <v>LM2731YMF-NOPB</v>
      </c>
      <c r="B3938" s="3" t="str">
        <f>HYPERLINK("https://www.773grp.com/manufacturer/national-semiconductor?pageNo=51", "National Semiconductor")</f>
        <v>National Semiconductor</v>
      </c>
      <c r="C3938" s="6">
        <v>3489</v>
      </c>
      <c r="D3938" s="7">
        <v>4.74</v>
      </c>
      <c r="E3938" t="s">
        <v>7</v>
      </c>
    </row>
    <row r="3939" spans="1:5" x14ac:dyDescent="0.25">
      <c r="A3939" t="str">
        <f>HYPERLINK("https://www.773grp.com/globalSearch/LM2830XMFX-NOPB/page-1", "LM2830XMFX-NOPB")</f>
        <v>LM2830XMFX-NOPB</v>
      </c>
      <c r="B3939" s="3" t="str">
        <f>HYPERLINK("https://www.773grp.com/manufacturer/national-semiconductor?pageNo=52", "National Semiconductor")</f>
        <v>National Semiconductor</v>
      </c>
      <c r="C3939" s="6">
        <v>6000</v>
      </c>
      <c r="D3939" s="7">
        <v>4.74</v>
      </c>
      <c r="E3939" t="s">
        <v>7</v>
      </c>
    </row>
    <row r="3940" spans="1:5" x14ac:dyDescent="0.25">
      <c r="A3940" t="str">
        <f>HYPERLINK("https://www.773grp.com/globalSearch/LM2830ZMF-NOPB/page-1", "LM2830ZMF-NOPB")</f>
        <v>LM2830ZMF-NOPB</v>
      </c>
      <c r="B3940" s="3" t="str">
        <f>HYPERLINK("https://www.773grp.com/manufacturer/national-semiconductor?pageNo=53", "National Semiconductor")</f>
        <v>National Semiconductor</v>
      </c>
      <c r="C3940" s="6">
        <v>43230</v>
      </c>
      <c r="D3940" s="7">
        <v>4.74</v>
      </c>
      <c r="E3940" t="s">
        <v>7</v>
      </c>
    </row>
    <row r="3941" spans="1:5" x14ac:dyDescent="0.25">
      <c r="A3941" t="str">
        <f>HYPERLINK("https://www.773grp.com/globalSearch/LM2830ZSD-NOPB/page-1", "LM2830ZSD-NOPB")</f>
        <v>LM2830ZSD-NOPB</v>
      </c>
      <c r="B3941" s="3" t="str">
        <f>HYPERLINK("https://www.773grp.com/manufacturer/national-semiconductor?pageNo=54", "National Semiconductor")</f>
        <v>National Semiconductor</v>
      </c>
      <c r="C3941" s="6">
        <v>236</v>
      </c>
      <c r="D3941" s="7">
        <v>4.74</v>
      </c>
      <c r="E3941" t="s">
        <v>7</v>
      </c>
    </row>
    <row r="3942" spans="1:5" x14ac:dyDescent="0.25">
      <c r="A3942" t="str">
        <f>HYPERLINK("https://www.773grp.com/globalSearch/LM2931ASX-5.0/page-1", "LM2931ASX-5.0")</f>
        <v>LM2931ASX-5.0</v>
      </c>
      <c r="B3942" s="3" t="str">
        <f>HYPERLINK("https://www.773grp.com/manufacturer/national-semiconductor?pageNo=55", "National Semiconductor")</f>
        <v>National Semiconductor</v>
      </c>
      <c r="C3942" s="6">
        <v>4000</v>
      </c>
      <c r="D3942" s="7">
        <v>4.74</v>
      </c>
    </row>
    <row r="3943" spans="1:5" x14ac:dyDescent="0.25">
      <c r="A3943" t="str">
        <f>HYPERLINK("https://www.773grp.com/globalSearch/LM3208TLX-NOPB/page-1", "LM3208TLX-NOPB")</f>
        <v>LM3208TLX-NOPB</v>
      </c>
      <c r="B3943" s="3" t="str">
        <f>HYPERLINK("https://www.773grp.com/manufacturer/national-semiconductor?pageNo=56", "National Semiconductor")</f>
        <v>National Semiconductor</v>
      </c>
      <c r="C3943" s="6">
        <v>93000</v>
      </c>
      <c r="D3943" s="7">
        <v>4.74</v>
      </c>
      <c r="E3943" t="s">
        <v>7</v>
      </c>
    </row>
    <row r="3944" spans="1:5" x14ac:dyDescent="0.25">
      <c r="A3944" t="str">
        <f>HYPERLINK("https://www.773grp.com/globalSearch/LM3404HVMRX-NOPB/page-1", "LM3404HVMRX-NOPB")</f>
        <v>LM3404HVMRX-NOPB</v>
      </c>
      <c r="B3944" s="3" t="str">
        <f>HYPERLINK("https://www.773grp.com/manufacturer/national-semiconductor?pageNo=57", "National Semiconductor")</f>
        <v>National Semiconductor</v>
      </c>
      <c r="C3944" s="6">
        <v>997</v>
      </c>
      <c r="D3944" s="7">
        <v>4.74</v>
      </c>
      <c r="E3944" t="s">
        <v>7</v>
      </c>
    </row>
    <row r="3945" spans="1:5" x14ac:dyDescent="0.25">
      <c r="A3945" t="str">
        <f>HYPERLINK("https://www.773grp.com/globalSearch/LM3448MA-NOPB/page-1", "LM3448MA-NOPB")</f>
        <v>LM3448MA-NOPB</v>
      </c>
      <c r="B3945" s="3" t="str">
        <f>HYPERLINK("https://www.773grp.com/manufacturer/national-semiconductor?pageNo=58", "National Semiconductor")</f>
        <v>National Semiconductor</v>
      </c>
      <c r="C3945" s="6">
        <v>758</v>
      </c>
      <c r="D3945" s="7">
        <v>4.74</v>
      </c>
    </row>
    <row r="3946" spans="1:5" x14ac:dyDescent="0.25">
      <c r="A3946" t="str">
        <f>HYPERLINK("https://www.773grp.com/globalSearch/LM3466MR-NOPB/page-1", "LM3466MR-NOPB")</f>
        <v>LM3466MR-NOPB</v>
      </c>
      <c r="B3946" s="3" t="str">
        <f>HYPERLINK("https://www.773grp.com/manufacturer/national-semiconductor?pageNo=59", "National Semiconductor")</f>
        <v>National Semiconductor</v>
      </c>
      <c r="C3946" s="6">
        <v>380</v>
      </c>
      <c r="D3946" s="7">
        <v>4.74</v>
      </c>
      <c r="E3946" t="s">
        <v>10</v>
      </c>
    </row>
    <row r="3947" spans="1:5" x14ac:dyDescent="0.25">
      <c r="A3947" t="str">
        <f>HYPERLINK("https://www.773grp.com/globalSearch/LM3914N-1-NOPB/page-1", "LM3914N-1-NOPB")</f>
        <v>LM3914N-1-NOPB</v>
      </c>
      <c r="B3947" s="3" t="str">
        <f>HYPERLINK("https://www.773grp.com/manufacturer/national-semiconductor?pageNo=60", "National Semiconductor")</f>
        <v>National Semiconductor</v>
      </c>
      <c r="C3947" s="6">
        <v>227</v>
      </c>
      <c r="D3947" s="7">
        <v>4.74</v>
      </c>
      <c r="E3947" t="s">
        <v>10</v>
      </c>
    </row>
    <row r="3948" spans="1:5" x14ac:dyDescent="0.25">
      <c r="A3948" t="str">
        <f>HYPERLINK("https://www.773grp.com/globalSearch/LM4128AMF-1.8-NOPB/page-1", "LM4128AMF-1.8-NOPB")</f>
        <v>LM4128AMF-1.8-NOPB</v>
      </c>
      <c r="B3948" s="3" t="str">
        <f>HYPERLINK("https://www.773grp.com/manufacturer/national-semiconductor?pageNo=61", "National Semiconductor")</f>
        <v>National Semiconductor</v>
      </c>
      <c r="C3948" s="6">
        <v>8000</v>
      </c>
      <c r="D3948" s="7">
        <v>4.74</v>
      </c>
    </row>
    <row r="3949" spans="1:5" x14ac:dyDescent="0.25">
      <c r="A3949" t="str">
        <f>HYPERLINK("https://www.773grp.com/globalSearch/LM4128AMF-2.0-NOPB/page-1", "LM4128AMF-2.0-NOPB")</f>
        <v>LM4128AMF-2.0-NOPB</v>
      </c>
      <c r="B3949" s="3" t="str">
        <f>HYPERLINK("https://www.773grp.com/manufacturer/national-semiconductor?pageNo=62", "National Semiconductor")</f>
        <v>National Semiconductor</v>
      </c>
      <c r="C3949" s="6">
        <v>1176</v>
      </c>
      <c r="D3949" s="7">
        <v>4.74</v>
      </c>
    </row>
    <row r="3950" spans="1:5" x14ac:dyDescent="0.25">
      <c r="A3950" t="str">
        <f>HYPERLINK("https://www.773grp.com/globalSearch/LM4128AMF-2.5-NOPB/page-1", "LM4128AMF-2.5-NOPB")</f>
        <v>LM4128AMF-2.5-NOPB</v>
      </c>
      <c r="B3950" s="3" t="str">
        <f>HYPERLINK("https://www.773grp.com/manufacturer/national-semiconductor?pageNo=63", "National Semiconductor")</f>
        <v>National Semiconductor</v>
      </c>
      <c r="C3950" s="6">
        <v>764</v>
      </c>
      <c r="D3950" s="7">
        <v>4.74</v>
      </c>
      <c r="E3950" t="s">
        <v>17</v>
      </c>
    </row>
    <row r="3951" spans="1:5" x14ac:dyDescent="0.25">
      <c r="A3951" t="str">
        <f>HYPERLINK("https://www.773grp.com/globalSearch/LM4128AMF-2.5-NOPB/page-1", "LM4128AMF-2.5-NOPB")</f>
        <v>LM4128AMF-2.5-NOPB</v>
      </c>
      <c r="B3951" s="3" t="str">
        <f>HYPERLINK("https://www.773grp.com/manufacturer/national-semiconductor?pageNo=64", "National Semiconductor")</f>
        <v>National Semiconductor</v>
      </c>
      <c r="C3951" s="6">
        <v>15</v>
      </c>
      <c r="D3951" s="7">
        <v>4.74</v>
      </c>
      <c r="E3951" t="s">
        <v>17</v>
      </c>
    </row>
    <row r="3952" spans="1:5" x14ac:dyDescent="0.25">
      <c r="A3952" t="str">
        <f>HYPERLINK("https://www.773grp.com/globalSearch/LM4128AMF-3.3-NOPB/page-1", "LM4128AMF-3.3-NOPB")</f>
        <v>LM4128AMF-3.3-NOPB</v>
      </c>
      <c r="B3952" s="3" t="str">
        <f>HYPERLINK("https://www.773grp.com/manufacturer/national-semiconductor?pageNo=65", "National Semiconductor")</f>
        <v>National Semiconductor</v>
      </c>
      <c r="C3952" s="6">
        <v>10</v>
      </c>
      <c r="D3952" s="7">
        <v>4.74</v>
      </c>
    </row>
    <row r="3953" spans="1:5" x14ac:dyDescent="0.25">
      <c r="A3953" t="str">
        <f>HYPERLINK("https://www.773grp.com/globalSearch/LM4128AMF-4.1-NOPB/page-1", "LM4128AMF-4.1-NOPB")</f>
        <v>LM4128AMF-4.1-NOPB</v>
      </c>
      <c r="B3953" s="3" t="str">
        <f>HYPERLINK("https://www.773grp.com/manufacturer/national-semiconductor?pageNo=66", "National Semiconductor")</f>
        <v>National Semiconductor</v>
      </c>
      <c r="C3953" s="6">
        <v>1882</v>
      </c>
      <c r="D3953" s="7">
        <v>4.74</v>
      </c>
    </row>
    <row r="3954" spans="1:5" x14ac:dyDescent="0.25">
      <c r="A3954" t="str">
        <f>HYPERLINK("https://www.773grp.com/globalSearch/LM5105SD-NOPB/page-1", "LM5105SD-NOPB")</f>
        <v>LM5105SD-NOPB</v>
      </c>
      <c r="B3954" s="3" t="str">
        <f>HYPERLINK("https://www.773grp.com/manufacturer/national-semiconductor?pageNo=67", "National Semiconductor")</f>
        <v>National Semiconductor</v>
      </c>
      <c r="C3954" s="6">
        <v>468</v>
      </c>
      <c r="D3954" s="7">
        <v>4.74</v>
      </c>
      <c r="E3954" t="s">
        <v>16</v>
      </c>
    </row>
    <row r="3955" spans="1:5" x14ac:dyDescent="0.25">
      <c r="A3955" t="str">
        <f>HYPERLINK("https://www.773grp.com/globalSearch/LM77CIMM-3-NOPB/page-1", "LM77CIMM-3-NOPB")</f>
        <v>LM77CIMM-3-NOPB</v>
      </c>
      <c r="B3955" s="3" t="str">
        <f>HYPERLINK("https://www.773grp.com/manufacturer/national-semiconductor?pageNo=68", "National Semiconductor")</f>
        <v>National Semiconductor</v>
      </c>
      <c r="C3955" s="6">
        <v>870</v>
      </c>
      <c r="D3955" s="7">
        <v>4.74</v>
      </c>
      <c r="E3955" t="s">
        <v>12</v>
      </c>
    </row>
    <row r="3956" spans="1:5" x14ac:dyDescent="0.25">
      <c r="A3956" t="str">
        <f>HYPERLINK("https://www.773grp.com/globalSearch/LM89-1CIMM-NOPB/page-1", "LM89-1CIMM-NOPB")</f>
        <v>LM89-1CIMM-NOPB</v>
      </c>
      <c r="B3956" s="3" t="str">
        <f>HYPERLINK("https://www.773grp.com/manufacturer/national-semiconductor?pageNo=69", "National Semiconductor")</f>
        <v>National Semiconductor</v>
      </c>
      <c r="C3956" s="6">
        <v>3000</v>
      </c>
      <c r="D3956" s="7">
        <v>4.74</v>
      </c>
      <c r="E3956" t="s">
        <v>12</v>
      </c>
    </row>
    <row r="3957" spans="1:5" x14ac:dyDescent="0.25">
      <c r="A3957" t="str">
        <f>HYPERLINK("https://www.773grp.com/globalSearch/LMH6559MAX-NOPB/page-1", "LMH6559MAX-NOPB")</f>
        <v>LMH6559MAX-NOPB</v>
      </c>
      <c r="B3957" s="3" t="str">
        <f>HYPERLINK("https://www.773grp.com/manufacturer/national-semiconductor?pageNo=70", "National Semiconductor")</f>
        <v>National Semiconductor</v>
      </c>
      <c r="C3957" s="6">
        <v>17500</v>
      </c>
      <c r="D3957" s="7">
        <v>4.74</v>
      </c>
    </row>
    <row r="3958" spans="1:5" x14ac:dyDescent="0.25">
      <c r="A3958" t="str">
        <f>HYPERLINK("https://www.773grp.com/globalSearch/LMH6559MFX-NOPB/page-1", "LMH6559MFX-NOPB")</f>
        <v>LMH6559MFX-NOPB</v>
      </c>
      <c r="B3958" s="3" t="str">
        <f>HYPERLINK("https://www.773grp.com/manufacturer/national-semiconductor?pageNo=71", "National Semiconductor")</f>
        <v>National Semiconductor</v>
      </c>
      <c r="C3958" s="6">
        <v>15000</v>
      </c>
      <c r="D3958" s="7">
        <v>4.74</v>
      </c>
    </row>
    <row r="3959" spans="1:5" x14ac:dyDescent="0.25">
      <c r="A3959" t="str">
        <f>HYPERLINK("https://www.773grp.com/globalSearch/LMP2011MAX-NOPB/page-1", "LMP2011MAX-NOPB")</f>
        <v>LMP2011MAX-NOPB</v>
      </c>
      <c r="B3959" s="3" t="str">
        <f>HYPERLINK("https://www.773grp.com/manufacturer/national-semiconductor?pageNo=72", "National Semiconductor")</f>
        <v>National Semiconductor</v>
      </c>
      <c r="C3959" s="6">
        <v>5000</v>
      </c>
      <c r="D3959" s="7">
        <v>4.74</v>
      </c>
    </row>
    <row r="3960" spans="1:5" x14ac:dyDescent="0.25">
      <c r="A3960" t="str">
        <f>HYPERLINK("https://www.773grp.com/globalSearch/LMP2011MFX-NOPB/page-1", "LMP2011MFX-NOPB")</f>
        <v>LMP2011MFX-NOPB</v>
      </c>
      <c r="B3960" s="3" t="str">
        <f>HYPERLINK("https://www.773grp.com/manufacturer/national-semiconductor?pageNo=73", "National Semiconductor")</f>
        <v>National Semiconductor</v>
      </c>
      <c r="C3960" s="6">
        <v>3000</v>
      </c>
      <c r="D3960" s="7">
        <v>4.74</v>
      </c>
      <c r="E3960" t="s">
        <v>13</v>
      </c>
    </row>
    <row r="3961" spans="1:5" x14ac:dyDescent="0.25">
      <c r="A3961" t="str">
        <f>HYPERLINK("https://www.773grp.com/globalSearch/LMP7717MA-NOPB/page-1", "LMP7717MA-NOPB")</f>
        <v>LMP7717MA-NOPB</v>
      </c>
      <c r="B3961" s="3" t="str">
        <f>HYPERLINK("https://www.773grp.com/manufacturer/national-semiconductor?pageNo=74", "National Semiconductor")</f>
        <v>National Semiconductor</v>
      </c>
      <c r="C3961" s="6">
        <v>17765</v>
      </c>
      <c r="D3961" s="7">
        <v>4.74</v>
      </c>
    </row>
    <row r="3962" spans="1:5" x14ac:dyDescent="0.25">
      <c r="A3962" t="str">
        <f>HYPERLINK("https://www.773grp.com/globalSearch/LMP8602MM-NOPB/page-1", "LMP8602MM-NOPB")</f>
        <v>LMP8602MM-NOPB</v>
      </c>
      <c r="B3962" s="3" t="str">
        <f>HYPERLINK("https://www.773grp.com/manufacturer/national-semiconductor?pageNo=75", "National Semiconductor")</f>
        <v>National Semiconductor</v>
      </c>
      <c r="C3962" s="6">
        <v>950</v>
      </c>
      <c r="D3962" s="7">
        <v>4.74</v>
      </c>
    </row>
    <row r="3963" spans="1:5" x14ac:dyDescent="0.25">
      <c r="A3963" t="str">
        <f>HYPERLINK("https://www.773grp.com/globalSearch/LMV654MT-NOPB/page-1", "LMV654MT-NOPB")</f>
        <v>LMV654MT-NOPB</v>
      </c>
      <c r="B3963" s="3" t="str">
        <f>HYPERLINK("https://www.773grp.com/manufacturer/national-semiconductor?pageNo=76", "National Semiconductor")</f>
        <v>National Semiconductor</v>
      </c>
      <c r="C3963" s="6">
        <v>1110</v>
      </c>
      <c r="D3963" s="7">
        <v>4.74</v>
      </c>
    </row>
    <row r="3964" spans="1:5" x14ac:dyDescent="0.25">
      <c r="A3964" t="str">
        <f>HYPERLINK("https://www.773grp.com/globalSearch/LMV774MTX-NOPB/page-1", "LMV774MTX-NOPB")</f>
        <v>LMV774MTX-NOPB</v>
      </c>
      <c r="B3964" s="3" t="str">
        <f>HYPERLINK("https://www.773grp.com/manufacturer/national-semiconductor?pageNo=77", "National Semiconductor")</f>
        <v>National Semiconductor</v>
      </c>
      <c r="C3964" s="6">
        <v>395</v>
      </c>
      <c r="D3964" s="7">
        <v>4.74</v>
      </c>
      <c r="E3964" t="s">
        <v>13</v>
      </c>
    </row>
    <row r="3965" spans="1:5" x14ac:dyDescent="0.25">
      <c r="A3965" t="str">
        <f>HYPERLINK("https://www.773grp.com/globalSearch/LMV834MTX-NOPB/page-1", "LMV834MTX-NOPB")</f>
        <v>LMV834MTX-NOPB</v>
      </c>
      <c r="B3965" s="3" t="str">
        <f>HYPERLINK("https://www.773grp.com/manufacturer/national-semiconductor?pageNo=78", "National Semiconductor")</f>
        <v>National Semiconductor</v>
      </c>
      <c r="C3965" s="6">
        <v>2500</v>
      </c>
      <c r="D3965" s="7">
        <v>4.74</v>
      </c>
    </row>
    <row r="3966" spans="1:5" x14ac:dyDescent="0.25">
      <c r="A3966" t="str">
        <f>HYPERLINK("https://www.773grp.com/globalSearch/LMV852MM/page-1", "LMV852MM")</f>
        <v>LMV852MM</v>
      </c>
      <c r="B3966" s="3" t="str">
        <f>HYPERLINK("https://www.773grp.com/manufacturer/national-semiconductor?pageNo=79", "National Semiconductor")</f>
        <v>National Semiconductor</v>
      </c>
      <c r="C3966" s="6">
        <v>2000</v>
      </c>
      <c r="D3966" s="7">
        <v>4.74</v>
      </c>
    </row>
    <row r="3967" spans="1:5" x14ac:dyDescent="0.25">
      <c r="A3967" t="str">
        <f>HYPERLINK("https://www.773grp.com/globalSearch/LP2986AIMM-3.3-NOPB/page-1", "LP2986AIMM-3.3-NOPB")</f>
        <v>LP2986AIMM-3.3-NOPB</v>
      </c>
      <c r="B3967" s="3" t="str">
        <f>HYPERLINK("https://www.773grp.com/manufacturer/national-semiconductor?pageNo=80", "National Semiconductor")</f>
        <v>National Semiconductor</v>
      </c>
      <c r="C3967" s="6">
        <v>1725</v>
      </c>
      <c r="D3967" s="7">
        <v>4.74</v>
      </c>
      <c r="E3967" t="s">
        <v>27</v>
      </c>
    </row>
    <row r="3968" spans="1:5" x14ac:dyDescent="0.25">
      <c r="A3968" t="str">
        <f>HYPERLINK("https://www.773grp.com/globalSearch/LP2986AIMM-5.0-NOPB/page-1", "LP2986AIMM-5.0-NOPB")</f>
        <v>LP2986AIMM-5.0-NOPB</v>
      </c>
      <c r="B3968" s="3" t="str">
        <f>HYPERLINK("https://www.773grp.com/manufacturer/national-semiconductor?pageNo=81", "National Semiconductor")</f>
        <v>National Semiconductor</v>
      </c>
      <c r="C3968" s="6">
        <v>1920</v>
      </c>
      <c r="D3968" s="7">
        <v>4.74</v>
      </c>
      <c r="E3968" t="s">
        <v>27</v>
      </c>
    </row>
    <row r="3969" spans="1:5" x14ac:dyDescent="0.25">
      <c r="A3969" t="str">
        <f>HYPERLINK("https://www.773grp.com/globalSearch/LP2989AIMM-3.0-NOPB/page-1", "LP2989AIMM-3.0-NOPB")</f>
        <v>LP2989AIMM-3.0-NOPB</v>
      </c>
      <c r="B3969" s="3" t="str">
        <f>HYPERLINK("https://www.773grp.com/manufacturer/national-semiconductor?pageNo=82", "National Semiconductor")</f>
        <v>National Semiconductor</v>
      </c>
      <c r="C3969" s="6">
        <v>7500</v>
      </c>
      <c r="D3969" s="7">
        <v>4.74</v>
      </c>
      <c r="E3969" t="s">
        <v>19</v>
      </c>
    </row>
    <row r="3970" spans="1:5" x14ac:dyDescent="0.25">
      <c r="A3970" t="str">
        <f>HYPERLINK("https://www.773grp.com/globalSearch/LP2989AIMM-5.0-NOPB/page-1", "LP2989AIMM-5.0-NOPB")</f>
        <v>LP2989AIMM-5.0-NOPB</v>
      </c>
      <c r="B3970" s="3" t="str">
        <f>HYPERLINK("https://www.773grp.com/manufacturer/national-semiconductor?pageNo=83", "National Semiconductor")</f>
        <v>National Semiconductor</v>
      </c>
      <c r="C3970" s="6">
        <v>1987</v>
      </c>
      <c r="D3970" s="7">
        <v>4.74</v>
      </c>
      <c r="E3970" t="s">
        <v>19</v>
      </c>
    </row>
    <row r="3971" spans="1:5" x14ac:dyDescent="0.25">
      <c r="A3971" t="str">
        <f>HYPERLINK("https://www.773grp.com/globalSearch/LP2989ILD-2.5-NOPB/page-1", "LP2989ILD-2.5-NOPB")</f>
        <v>LP2989ILD-2.5-NOPB</v>
      </c>
      <c r="B3971" s="3" t="str">
        <f>HYPERLINK("https://www.773grp.com/manufacturer/national-semiconductor?pageNo=84", "National Semiconductor")</f>
        <v>National Semiconductor</v>
      </c>
      <c r="C3971" s="6">
        <v>1000</v>
      </c>
      <c r="D3971" s="7">
        <v>4.74</v>
      </c>
      <c r="E3971" t="s">
        <v>19</v>
      </c>
    </row>
    <row r="3972" spans="1:5" x14ac:dyDescent="0.25">
      <c r="A3972" t="str">
        <f>HYPERLINK("https://www.773grp.com/globalSearch/LP2989ILD-3.0-NOPB/page-1", "LP2989ILD-3.0-NOPB")</f>
        <v>LP2989ILD-3.0-NOPB</v>
      </c>
      <c r="B3972" s="3" t="str">
        <f>HYPERLINK("https://www.773grp.com/manufacturer/national-semiconductor?pageNo=85", "National Semiconductor")</f>
        <v>National Semiconductor</v>
      </c>
      <c r="C3972" s="6">
        <v>4326</v>
      </c>
      <c r="D3972" s="7">
        <v>4.74</v>
      </c>
    </row>
    <row r="3973" spans="1:5" x14ac:dyDescent="0.25">
      <c r="A3973" t="str">
        <f>HYPERLINK("https://www.773grp.com/globalSearch/LP2989ILD-3.3-NOPB/page-1", "LP2989ILD-3.3-NOPB")</f>
        <v>LP2989ILD-3.3-NOPB</v>
      </c>
      <c r="B3973" s="3" t="str">
        <f>HYPERLINK("https://www.773grp.com/manufacturer/national-semiconductor?pageNo=86", "National Semiconductor")</f>
        <v>National Semiconductor</v>
      </c>
      <c r="C3973" s="6">
        <v>1284</v>
      </c>
      <c r="D3973" s="7">
        <v>4.74</v>
      </c>
      <c r="E3973" t="s">
        <v>19</v>
      </c>
    </row>
    <row r="3974" spans="1:5" x14ac:dyDescent="0.25">
      <c r="A3974" t="str">
        <f>HYPERLINK("https://www.773grp.com/globalSearch/LP2989ILD-5.0-NOPB/page-1", "LP2989ILD-5.0-NOPB")</f>
        <v>LP2989ILD-5.0-NOPB</v>
      </c>
      <c r="B3974" s="3" t="str">
        <f>HYPERLINK("https://www.773grp.com/manufacturer/national-semiconductor?pageNo=87", "National Semiconductor")</f>
        <v>National Semiconductor</v>
      </c>
      <c r="C3974" s="6">
        <v>698</v>
      </c>
      <c r="D3974" s="7">
        <v>4.74</v>
      </c>
      <c r="E3974" t="s">
        <v>19</v>
      </c>
    </row>
    <row r="3975" spans="1:5" x14ac:dyDescent="0.25">
      <c r="A3975" t="str">
        <f>HYPERLINK("https://www.773grp.com/globalSearch/LP38512MR-ADJ-NOPB/page-1", "LP38512MR-ADJ-NOPB")</f>
        <v>LP38512MR-ADJ-NOPB</v>
      </c>
      <c r="B3975" s="3" t="str">
        <f>HYPERLINK("https://www.773grp.com/manufacturer/national-semiconductor?pageNo=88", "National Semiconductor")</f>
        <v>National Semiconductor</v>
      </c>
      <c r="C3975" s="6">
        <v>1140</v>
      </c>
      <c r="D3975" s="7">
        <v>4.74</v>
      </c>
    </row>
    <row r="3976" spans="1:5" x14ac:dyDescent="0.25">
      <c r="A3976" t="str">
        <f>HYPERLINK("https://www.773grp.com/globalSearch/LP38512TS-1.8-NOPB/page-1", "LP38512TS-1.8-NOPB")</f>
        <v>LP38512TS-1.8-NOPB</v>
      </c>
      <c r="B3976" s="3" t="str">
        <f>HYPERLINK("https://www.773grp.com/manufacturer/national-semiconductor?pageNo=89", "National Semiconductor")</f>
        <v>National Semiconductor</v>
      </c>
      <c r="C3976" s="6">
        <v>96</v>
      </c>
      <c r="D3976" s="7">
        <v>4.74</v>
      </c>
    </row>
    <row r="3977" spans="1:5" x14ac:dyDescent="0.25">
      <c r="A3977" t="str">
        <f>HYPERLINK("https://www.773grp.com/globalSearch/LP3944ISQ-NOPB/page-1", "LP3944ISQ-NOPB")</f>
        <v>LP3944ISQ-NOPB</v>
      </c>
      <c r="B3977" s="3" t="str">
        <f>HYPERLINK("https://www.773grp.com/manufacturer/national-semiconductor?pageNo=90", "National Semiconductor")</f>
        <v>National Semiconductor</v>
      </c>
      <c r="C3977" s="6">
        <v>2000</v>
      </c>
      <c r="D3977" s="7">
        <v>4.74</v>
      </c>
    </row>
    <row r="3978" spans="1:5" x14ac:dyDescent="0.25">
      <c r="A3978" t="str">
        <f>HYPERLINK("https://www.773grp.com/globalSearch/MSP430G2553CY/page-1", "MSP430G2553CY")</f>
        <v>MSP430G2553CY</v>
      </c>
      <c r="B3978" s="3" t="str">
        <f>HYPERLINK("https://www.773grp.com/manufacturer/national-semiconductor?pageNo=91", "National Semiconductor")</f>
        <v>National Semiconductor</v>
      </c>
      <c r="C3978" s="6">
        <v>405</v>
      </c>
      <c r="D3978" s="7">
        <v>4.74</v>
      </c>
    </row>
    <row r="3979" spans="1:5" x14ac:dyDescent="0.25">
      <c r="A3979" t="str">
        <f>HYPERLINK("https://www.773grp.com/globalSearch/TPS2400DBVT/page-1", "TPS2400DBVT")</f>
        <v>TPS2400DBVT</v>
      </c>
      <c r="B3979" s="3" t="str">
        <f>HYPERLINK("https://www.773grp.com/manufacturer/national-semiconductor?pageNo=92", "National Semiconductor")</f>
        <v>National Semiconductor</v>
      </c>
      <c r="C3979" s="6">
        <v>500</v>
      </c>
      <c r="D3979" s="7">
        <v>4.74</v>
      </c>
    </row>
    <row r="3980" spans="1:5" x14ac:dyDescent="0.25">
      <c r="A3980" t="str">
        <f>HYPERLINK("https://www.773grp.com/globalSearch/ADC0834CCWM-NOPB/page-1", "ADC0834CCWM-NOPB")</f>
        <v>ADC0834CCWM-NOPB</v>
      </c>
      <c r="B3980" s="3" t="str">
        <f>HYPERLINK("https://www.773grp.com/manufacturer/national-semiconductor?pageNo=93", "National Semiconductor")</f>
        <v>National Semiconductor</v>
      </c>
      <c r="C3980" s="6">
        <v>848</v>
      </c>
      <c r="D3980" s="7">
        <v>4.3</v>
      </c>
      <c r="E3980" t="s">
        <v>39</v>
      </c>
    </row>
    <row r="3981" spans="1:5" x14ac:dyDescent="0.25">
      <c r="A3981" t="str">
        <f>HYPERLINK("https://www.773grp.com/globalSearch/ADC0838CIWM-NOPB/page-1", "ADC0838CIWM-NOPB")</f>
        <v>ADC0838CIWM-NOPB</v>
      </c>
      <c r="B3981" s="3" t="str">
        <f>HYPERLINK("https://www.773grp.com/manufacturer/national-semiconductor?pageNo=94", "National Semiconductor")</f>
        <v>National Semiconductor</v>
      </c>
      <c r="C3981" s="6">
        <v>540</v>
      </c>
      <c r="D3981" s="7">
        <v>4.3</v>
      </c>
      <c r="E3981" t="s">
        <v>39</v>
      </c>
    </row>
    <row r="3982" spans="1:5" x14ac:dyDescent="0.25">
      <c r="A3982" t="str">
        <f>HYPERLINK("https://www.773grp.com/globalSearch/LM3352MTC-3.0/page-1", "LM3352MTC-3.0")</f>
        <v>LM3352MTC-3.0</v>
      </c>
      <c r="B3982" s="3" t="str">
        <f>HYPERLINK("https://www.773grp.com/manufacturer/national-semiconductor?pageNo=95", "National Semiconductor")</f>
        <v>National Semiconductor</v>
      </c>
      <c r="C3982" s="6">
        <v>81</v>
      </c>
      <c r="D3982" s="7">
        <v>4.3</v>
      </c>
      <c r="E3982" t="s">
        <v>7</v>
      </c>
    </row>
    <row r="3983" spans="1:5" x14ac:dyDescent="0.25">
      <c r="A3983" t="str">
        <f>HYPERLINK("https://www.773grp.com/globalSearch/LMX2331USLBX/page-1", "LMX2331USLBX")</f>
        <v>LMX2331USLBX</v>
      </c>
      <c r="B3983" s="3" t="str">
        <f>HYPERLINK("https://www.773grp.com/manufacturer/national-semiconductor?pageNo=96", "National Semiconductor")</f>
        <v>National Semiconductor</v>
      </c>
      <c r="C3983" s="6">
        <v>10000</v>
      </c>
      <c r="D3983" s="7">
        <v>4.3</v>
      </c>
      <c r="E3983" t="s">
        <v>38</v>
      </c>
    </row>
    <row r="3984" spans="1:5" x14ac:dyDescent="0.25">
      <c r="A3984" t="str">
        <f>HYPERLINK("https://www.773grp.com/globalSearch/ADC0834CCWM-NOPB/page-1", "ADC0834CCWM-NOPB")</f>
        <v>ADC0834CCWM-NOPB</v>
      </c>
      <c r="B3984" s="3" t="str">
        <f>HYPERLINK("https://www.773grp.com/manufacturer/national-semiconductor?pageNo=97", "National Semiconductor")</f>
        <v>National Semiconductor</v>
      </c>
      <c r="C3984" s="6">
        <v>321</v>
      </c>
      <c r="D3984" s="7">
        <v>4.3</v>
      </c>
      <c r="E3984" t="s">
        <v>39</v>
      </c>
    </row>
    <row r="3985" spans="1:5" x14ac:dyDescent="0.25">
      <c r="A3985" t="str">
        <f>HYPERLINK("https://www.773grp.com/globalSearch/ADC0838CIWM-NOPB/page-1", "ADC0838CIWM-NOPB")</f>
        <v>ADC0838CIWM-NOPB</v>
      </c>
      <c r="B3985" s="3" t="str">
        <f>HYPERLINK("https://www.773grp.com/manufacturer/national-semiconductor?pageNo=98", "National Semiconductor")</f>
        <v>National Semiconductor</v>
      </c>
      <c r="C3985" s="6">
        <v>257</v>
      </c>
      <c r="D3985" s="7">
        <v>4.3</v>
      </c>
      <c r="E3985" t="s">
        <v>39</v>
      </c>
    </row>
    <row r="3986" spans="1:5" x14ac:dyDescent="0.25">
      <c r="A3986" t="str">
        <f>HYPERLINK("https://www.773grp.com/globalSearch/LM4918LQ-NOPB/page-1", "LM4918LQ-NOPB")</f>
        <v>LM4918LQ-NOPB</v>
      </c>
      <c r="B3986" s="3" t="str">
        <f>HYPERLINK("https://www.773grp.com/manufacturer/national-semiconductor?pageNo=99", "National Semiconductor")</f>
        <v>National Semiconductor</v>
      </c>
      <c r="C3986" s="6">
        <v>250</v>
      </c>
      <c r="D3986" s="7">
        <v>4.3</v>
      </c>
      <c r="E3986" t="s">
        <v>41</v>
      </c>
    </row>
    <row r="3987" spans="1:5" x14ac:dyDescent="0.25">
      <c r="A3987" t="str">
        <f>HYPERLINK("https://www.773grp.com/globalSearch/DS14C88TJ/page-1", "DS14C88TJ")</f>
        <v>DS14C88TJ</v>
      </c>
      <c r="B3987" s="3" t="str">
        <f>HYPERLINK("https://www.773grp.com/manufacturer/national-semiconductor?pageNo=100", "National Semiconductor")</f>
        <v>National Semiconductor</v>
      </c>
      <c r="C3987" s="6">
        <v>475</v>
      </c>
      <c r="D3987" s="7">
        <v>4.34</v>
      </c>
      <c r="E3987" t="s">
        <v>21</v>
      </c>
    </row>
    <row r="3988" spans="1:5" x14ac:dyDescent="0.25">
      <c r="A3988" t="str">
        <f>HYPERLINK("https://www.773grp.com/globalSearch/LM2990S-12-NOPB/page-1", "LM2990S-12-NOPB")</f>
        <v>LM2990S-12-NOPB</v>
      </c>
      <c r="B3988" s="3" t="str">
        <f>HYPERLINK("https://www.773grp.com/manufacturer/national-semiconductor?pageNo=101", "National Semiconductor")</f>
        <v>National Semiconductor</v>
      </c>
      <c r="C3988" s="6">
        <v>469</v>
      </c>
      <c r="D3988" s="7">
        <v>4.34</v>
      </c>
      <c r="E3988" t="s">
        <v>49</v>
      </c>
    </row>
    <row r="3989" spans="1:5" x14ac:dyDescent="0.25">
      <c r="A3989" t="str">
        <f>HYPERLINK("https://www.773grp.com/globalSearch/LM2990S-15-NOPB/page-1", "LM2990S-15-NOPB")</f>
        <v>LM2990S-15-NOPB</v>
      </c>
      <c r="B3989" s="3" t="str">
        <f>HYPERLINK("https://www.773grp.com/manufacturer/national-semiconductor?pageNo=102", "National Semiconductor")</f>
        <v>National Semiconductor</v>
      </c>
      <c r="C3989" s="6">
        <v>157</v>
      </c>
      <c r="D3989" s="7">
        <v>4.34</v>
      </c>
      <c r="E3989" t="s">
        <v>49</v>
      </c>
    </row>
    <row r="3990" spans="1:5" x14ac:dyDescent="0.25">
      <c r="A3990" t="str">
        <f>HYPERLINK("https://www.773grp.com/globalSearch/LM2990S-5.0-NOPB/page-1", "LM2990S-5.0-NOPB")</f>
        <v>LM2990S-5.0-NOPB</v>
      </c>
      <c r="B3990" s="3" t="str">
        <f>HYPERLINK("https://www.773grp.com/manufacturer/national-semiconductor?pageNo=103", "National Semiconductor")</f>
        <v>National Semiconductor</v>
      </c>
      <c r="C3990" s="6">
        <v>2361</v>
      </c>
      <c r="D3990" s="7">
        <v>4.34</v>
      </c>
      <c r="E3990" t="s">
        <v>49</v>
      </c>
    </row>
    <row r="3991" spans="1:5" x14ac:dyDescent="0.25">
      <c r="A3991" t="str">
        <f>HYPERLINK("https://www.773grp.com/globalSearch/LM3310SQ/page-1", "LM3310SQ")</f>
        <v>LM3310SQ</v>
      </c>
      <c r="B3991" s="3" t="str">
        <f>HYPERLINK("https://www.773grp.com/manufacturer/national-semiconductor?pageNo=104", "National Semiconductor")</f>
        <v>National Semiconductor</v>
      </c>
      <c r="C3991" s="6">
        <v>4890</v>
      </c>
      <c r="D3991" s="7">
        <v>4.34</v>
      </c>
      <c r="E3991" t="s">
        <v>7</v>
      </c>
    </row>
    <row r="3992" spans="1:5" x14ac:dyDescent="0.25">
      <c r="A3992" t="str">
        <f>HYPERLINK("https://www.773grp.com/globalSearch/LP2954AIM/page-1", "LP2954AIM")</f>
        <v>LP2954AIM</v>
      </c>
      <c r="B3992" s="3" t="str">
        <f>HYPERLINK("https://www.773grp.com/manufacturer/national-semiconductor?pageNo=105", "National Semiconductor")</f>
        <v>National Semiconductor</v>
      </c>
      <c r="C3992" s="6">
        <v>340</v>
      </c>
      <c r="D3992" s="7">
        <v>4.34</v>
      </c>
      <c r="E3992" t="s">
        <v>25</v>
      </c>
    </row>
    <row r="3993" spans="1:5" x14ac:dyDescent="0.25">
      <c r="A3993" t="str">
        <f>HYPERLINK("https://www.773grp.com/globalSearch/MM54HC27J-883/page-1", "MM54HC27J-883")</f>
        <v>MM54HC27J-883</v>
      </c>
      <c r="B3993" s="3" t="str">
        <f>HYPERLINK("https://www.773grp.com/manufacturer/national-semiconductor?pageNo=106", "National Semiconductor")</f>
        <v>National Semiconductor</v>
      </c>
      <c r="C3993" s="6">
        <v>119</v>
      </c>
      <c r="D3993" s="7">
        <v>4.34</v>
      </c>
    </row>
    <row r="3994" spans="1:5" x14ac:dyDescent="0.25">
      <c r="A3994" t="str">
        <f>HYPERLINK("https://www.773grp.com/globalSearch/DS90LV047ATMTCX/page-1", "DS90LV047ATMTCX")</f>
        <v>DS90LV047ATMTCX</v>
      </c>
      <c r="B3994" s="3" t="str">
        <f>HYPERLINK("https://www.773grp.com/manufacturer/national-semiconductor?pageNo=107", "National Semiconductor")</f>
        <v>National Semiconductor</v>
      </c>
      <c r="C3994" s="6">
        <v>4850</v>
      </c>
      <c r="D3994" s="7">
        <v>4.34</v>
      </c>
    </row>
    <row r="3995" spans="1:5" x14ac:dyDescent="0.25">
      <c r="A3995" t="str">
        <f>HYPERLINK("https://www.773grp.com/globalSearch/DS90LV048ATMTCX/page-1", "DS90LV048ATMTCX")</f>
        <v>DS90LV048ATMTCX</v>
      </c>
      <c r="B3995" s="3" t="str">
        <f>HYPERLINK("https://www.773grp.com/manufacturer/national-semiconductor?pageNo=108", "National Semiconductor")</f>
        <v>National Semiconductor</v>
      </c>
      <c r="C3995" s="6">
        <v>1055</v>
      </c>
      <c r="D3995" s="7">
        <v>4.34</v>
      </c>
    </row>
    <row r="3996" spans="1:5" x14ac:dyDescent="0.25">
      <c r="A3996" t="str">
        <f>HYPERLINK("https://www.773grp.com/globalSearch/LM2990S-12-NOPB/page-1", "LM2990S-12-NOPB")</f>
        <v>LM2990S-12-NOPB</v>
      </c>
      <c r="B3996" s="3" t="str">
        <f>HYPERLINK("https://www.773grp.com/manufacturer/national-semiconductor?pageNo=109", "National Semiconductor")</f>
        <v>National Semiconductor</v>
      </c>
      <c r="C3996" s="6">
        <v>175</v>
      </c>
      <c r="D3996" s="7">
        <v>4.34</v>
      </c>
      <c r="E3996" t="s">
        <v>49</v>
      </c>
    </row>
    <row r="3997" spans="1:5" x14ac:dyDescent="0.25">
      <c r="A3997" t="str">
        <f>HYPERLINK("https://www.773grp.com/globalSearch/LM2990S-15-NOPB/page-1", "LM2990S-15-NOPB")</f>
        <v>LM2990S-15-NOPB</v>
      </c>
      <c r="B3997" s="3" t="str">
        <f>HYPERLINK("https://www.773grp.com/manufacturer/national-semiconductor?pageNo=110", "National Semiconductor")</f>
        <v>National Semiconductor</v>
      </c>
      <c r="C3997" s="6">
        <v>144</v>
      </c>
      <c r="D3997" s="7">
        <v>4.34</v>
      </c>
      <c r="E3997" t="s">
        <v>49</v>
      </c>
    </row>
    <row r="3998" spans="1:5" x14ac:dyDescent="0.25">
      <c r="A3998" t="str">
        <f>HYPERLINK("https://www.773grp.com/globalSearch/LM2990S-5.0-NOPB/page-1", "LM2990S-5.0-NOPB")</f>
        <v>LM2990S-5.0-NOPB</v>
      </c>
      <c r="B3998" s="3" t="str">
        <f>HYPERLINK("https://www.773grp.com/manufacturer/national-semiconductor?pageNo=111", "National Semiconductor")</f>
        <v>National Semiconductor</v>
      </c>
      <c r="C3998" s="6">
        <v>2791</v>
      </c>
      <c r="D3998" s="7">
        <v>4.34</v>
      </c>
      <c r="E3998" t="s">
        <v>49</v>
      </c>
    </row>
    <row r="3999" spans="1:5" x14ac:dyDescent="0.25">
      <c r="A3999" t="str">
        <f>HYPERLINK("https://www.773grp.com/globalSearch/LM5025BSD/page-1", "LM5025BSD")</f>
        <v>LM5025BSD</v>
      </c>
      <c r="B3999" s="3" t="str">
        <f>HYPERLINK("https://www.773grp.com/manufacturer/national-semiconductor?pageNo=112", "National Semiconductor")</f>
        <v>National Semiconductor</v>
      </c>
      <c r="C3999" s="6">
        <v>545</v>
      </c>
      <c r="D3999" s="7">
        <v>4.34</v>
      </c>
    </row>
    <row r="4000" spans="1:5" x14ac:dyDescent="0.25">
      <c r="A4000" t="str">
        <f>HYPERLINK("https://www.773grp.com/globalSearch/LME49724MR-NOPB/page-1", "LME49724MR-NOPB")</f>
        <v>LME49724MR-NOPB</v>
      </c>
      <c r="B4000" s="3" t="str">
        <f>HYPERLINK("https://www.773grp.com/manufacturer/national-semiconductor?pageNo=113", "National Semiconductor")</f>
        <v>National Semiconductor</v>
      </c>
      <c r="C4000" s="6">
        <v>246</v>
      </c>
      <c r="D4000" s="7">
        <v>4.34</v>
      </c>
    </row>
    <row r="4001" spans="1:5" x14ac:dyDescent="0.25">
      <c r="A4001" t="str">
        <f>HYPERLINK("https://www.773grp.com/globalSearch/LMH6551QMME-NOPB/page-1", "LMH6551QMME-NOPB")</f>
        <v>LMH6551QMME-NOPB</v>
      </c>
      <c r="B4001" s="3" t="str">
        <f>HYPERLINK("https://www.773grp.com/manufacturer/national-semiconductor?pageNo=114", "National Semiconductor")</f>
        <v>National Semiconductor</v>
      </c>
      <c r="C4001" s="6">
        <v>250</v>
      </c>
      <c r="D4001" s="7">
        <v>4.34</v>
      </c>
    </row>
    <row r="4002" spans="1:5" x14ac:dyDescent="0.25">
      <c r="A4002" t="str">
        <f>HYPERLINK("https://www.773grp.com/globalSearch/COP8SAA716N9/page-1", "COP8SAA716N9")</f>
        <v>COP8SAA716N9</v>
      </c>
      <c r="B4002" s="3" t="str">
        <f>HYPERLINK("https://www.773grp.com/manufacturer/national-semiconductor?pageNo=115", "National Semiconductor")</f>
        <v>National Semiconductor</v>
      </c>
      <c r="C4002" s="6">
        <v>346</v>
      </c>
      <c r="D4002" s="7">
        <v>4.79</v>
      </c>
      <c r="E4002" t="s">
        <v>52</v>
      </c>
    </row>
    <row r="4003" spans="1:5" x14ac:dyDescent="0.25">
      <c r="A4003" t="str">
        <f>HYPERLINK("https://www.773grp.com/globalSearch/DS14C88N/page-1", "DS14C88N")</f>
        <v>DS14C88N</v>
      </c>
      <c r="B4003" s="3" t="str">
        <f>HYPERLINK("https://www.773grp.com/manufacturer/national-semiconductor?pageNo=116", "National Semiconductor")</f>
        <v>National Semiconductor</v>
      </c>
      <c r="C4003" s="6">
        <v>736</v>
      </c>
      <c r="D4003" s="7">
        <v>4.79</v>
      </c>
      <c r="E4003" t="s">
        <v>21</v>
      </c>
    </row>
    <row r="4004" spans="1:5" x14ac:dyDescent="0.25">
      <c r="A4004" t="str">
        <f>HYPERLINK("https://www.773grp.com/globalSearch/DS36277TM-NOPB/page-1", "DS36277TM-NOPB")</f>
        <v>DS36277TM-NOPB</v>
      </c>
      <c r="B4004" s="3" t="str">
        <f>HYPERLINK("https://www.773grp.com/manufacturer/national-semiconductor?pageNo=117", "National Semiconductor")</f>
        <v>National Semiconductor</v>
      </c>
      <c r="C4004" s="6">
        <v>363</v>
      </c>
      <c r="D4004" s="7">
        <v>4.79</v>
      </c>
      <c r="E4004" t="s">
        <v>21</v>
      </c>
    </row>
    <row r="4005" spans="1:5" x14ac:dyDescent="0.25">
      <c r="A4005" t="str">
        <f>HYPERLINK("https://www.773grp.com/globalSearch/DS96176CN-NOPB/page-1", "DS96176CN-NOPB")</f>
        <v>DS96176CN-NOPB</v>
      </c>
      <c r="B4005" s="3" t="str">
        <f>HYPERLINK("https://www.773grp.com/manufacturer/national-semiconductor?pageNo=118", "National Semiconductor")</f>
        <v>National Semiconductor</v>
      </c>
      <c r="C4005" s="6">
        <v>3430</v>
      </c>
      <c r="D4005" s="7">
        <v>4.79</v>
      </c>
      <c r="E4005" t="s">
        <v>21</v>
      </c>
    </row>
    <row r="4006" spans="1:5" x14ac:dyDescent="0.25">
      <c r="A4006" t="str">
        <f>HYPERLINK("https://www.773grp.com/globalSearch/LM1971M-NOPB/page-1", "LM1971M-NOPB")</f>
        <v>LM1971M-NOPB</v>
      </c>
      <c r="B4006" s="3" t="str">
        <f>HYPERLINK("https://www.773grp.com/manufacturer/national-semiconductor?pageNo=119", "National Semiconductor")</f>
        <v>National Semiconductor</v>
      </c>
      <c r="C4006" s="6">
        <v>1483</v>
      </c>
      <c r="D4006" s="7">
        <v>4.79</v>
      </c>
      <c r="E4006" t="s">
        <v>23</v>
      </c>
    </row>
    <row r="4007" spans="1:5" x14ac:dyDescent="0.25">
      <c r="A4007" t="str">
        <f>HYPERLINK("https://www.773grp.com/globalSearch/LM25085QMYE-NOPB/page-1", "LM25085QMYE-NOPB")</f>
        <v>LM25085QMYE-NOPB</v>
      </c>
      <c r="B4007" s="3" t="str">
        <f>HYPERLINK("https://www.773grp.com/manufacturer/national-semiconductor?pageNo=120", "National Semiconductor")</f>
        <v>National Semiconductor</v>
      </c>
      <c r="C4007" s="6">
        <v>500</v>
      </c>
      <c r="D4007" s="7">
        <v>4.79</v>
      </c>
    </row>
    <row r="4008" spans="1:5" x14ac:dyDescent="0.25">
      <c r="A4008" t="str">
        <f>HYPERLINK("https://www.773grp.com/globalSearch/LM2621MMX/page-1", "LM2621MMX")</f>
        <v>LM2621MMX</v>
      </c>
      <c r="B4008" s="3" t="str">
        <f>HYPERLINK("https://www.773grp.com/manufacturer/national-semiconductor?pageNo=121", "National Semiconductor")</f>
        <v>National Semiconductor</v>
      </c>
      <c r="C4008" s="6">
        <v>17500</v>
      </c>
      <c r="D4008" s="7">
        <v>4.79</v>
      </c>
      <c r="E4008" t="s">
        <v>7</v>
      </c>
    </row>
    <row r="4009" spans="1:5" x14ac:dyDescent="0.25">
      <c r="A4009" t="str">
        <f>HYPERLINK("https://www.773grp.com/globalSearch/LM2917M-8/page-1", "LM2917M-8")</f>
        <v>LM2917M-8</v>
      </c>
      <c r="B4009" s="3" t="str">
        <f>HYPERLINK("https://www.773grp.com/manufacturer/national-semiconductor?pageNo=122", "National Semiconductor")</f>
        <v>National Semiconductor</v>
      </c>
      <c r="C4009" s="6">
        <v>118</v>
      </c>
      <c r="D4009" s="7">
        <v>4.79</v>
      </c>
      <c r="E4009" t="s">
        <v>45</v>
      </c>
    </row>
    <row r="4010" spans="1:5" x14ac:dyDescent="0.25">
      <c r="A4010" t="str">
        <f>HYPERLINK("https://www.773grp.com/globalSearch/LM2936MX-5.0/page-1", "LM2936MX-5.0")</f>
        <v>LM2936MX-5.0</v>
      </c>
      <c r="B4010" s="3" t="str">
        <f>HYPERLINK("https://www.773grp.com/manufacturer/national-semiconductor?pageNo=123", "National Semiconductor")</f>
        <v>National Semiconductor</v>
      </c>
      <c r="C4010" s="6">
        <v>2500</v>
      </c>
      <c r="D4010" s="7">
        <v>4.79</v>
      </c>
      <c r="E4010" t="s">
        <v>19</v>
      </c>
    </row>
    <row r="4011" spans="1:5" x14ac:dyDescent="0.25">
      <c r="A4011" t="str">
        <f>HYPERLINK("https://www.773grp.com/globalSearch/LM2940CS-12/page-1", "LM2940CS-12")</f>
        <v>LM2940CS-12</v>
      </c>
      <c r="B4011" s="3" t="str">
        <f>HYPERLINK("https://www.773grp.com/manufacturer/national-semiconductor?pageNo=124", "National Semiconductor")</f>
        <v>National Semiconductor</v>
      </c>
      <c r="C4011" s="6">
        <v>214</v>
      </c>
      <c r="D4011" s="7">
        <v>4.79</v>
      </c>
      <c r="E4011" t="s">
        <v>19</v>
      </c>
    </row>
    <row r="4012" spans="1:5" x14ac:dyDescent="0.25">
      <c r="A4012" t="str">
        <f>HYPERLINK("https://www.773grp.com/globalSearch/LM2940CS-15/page-1", "LM2940CS-15")</f>
        <v>LM2940CS-15</v>
      </c>
      <c r="B4012" s="3" t="str">
        <f>HYPERLINK("https://www.773grp.com/manufacturer/national-semiconductor?pageNo=125", "National Semiconductor")</f>
        <v>National Semiconductor</v>
      </c>
      <c r="C4012" s="6">
        <v>776</v>
      </c>
      <c r="D4012" s="7">
        <v>4.79</v>
      </c>
      <c r="E4012" t="s">
        <v>19</v>
      </c>
    </row>
    <row r="4013" spans="1:5" x14ac:dyDescent="0.25">
      <c r="A4013" t="str">
        <f>HYPERLINK("https://www.773grp.com/globalSearch/LM2940CS-5.0/page-1", "LM2940CS-5.0")</f>
        <v>LM2940CS-5.0</v>
      </c>
      <c r="B4013" s="3" t="str">
        <f>HYPERLINK("https://www.773grp.com/manufacturer/national-semiconductor?pageNo=126", "National Semiconductor")</f>
        <v>National Semiconductor</v>
      </c>
      <c r="C4013" s="6">
        <v>40</v>
      </c>
      <c r="D4013" s="7">
        <v>4.79</v>
      </c>
      <c r="E4013" t="s">
        <v>19</v>
      </c>
    </row>
    <row r="4014" spans="1:5" x14ac:dyDescent="0.25">
      <c r="A4014" t="str">
        <f>HYPERLINK("https://www.773grp.com/globalSearch/LM317AEMPX/page-1", "LM317AEMPX")</f>
        <v>LM317AEMPX</v>
      </c>
      <c r="B4014" s="3" t="str">
        <f>HYPERLINK("https://www.773grp.com/manufacturer/national-semiconductor?pageNo=127", "National Semiconductor")</f>
        <v>National Semiconductor</v>
      </c>
      <c r="C4014" s="6">
        <v>7900</v>
      </c>
      <c r="D4014" s="7">
        <v>4.79</v>
      </c>
      <c r="E4014" t="s">
        <v>22</v>
      </c>
    </row>
    <row r="4015" spans="1:5" x14ac:dyDescent="0.25">
      <c r="A4015" t="str">
        <f>HYPERLINK("https://www.773grp.com/globalSearch/LM3409QHVMY-NOPB/page-1", "LM3409QHVMY-NOPB")</f>
        <v>LM3409QHVMY-NOPB</v>
      </c>
      <c r="B4015" s="3" t="str">
        <f>HYPERLINK("https://www.773grp.com/manufacturer/national-semiconductor?pageNo=128", "National Semiconductor")</f>
        <v>National Semiconductor</v>
      </c>
      <c r="C4015" s="6">
        <v>2000</v>
      </c>
      <c r="D4015" s="7">
        <v>4.79</v>
      </c>
    </row>
    <row r="4016" spans="1:5" x14ac:dyDescent="0.25">
      <c r="A4016" t="str">
        <f>HYPERLINK("https://www.773grp.com/globalSearch/LM361MX/page-1", "LM361MX")</f>
        <v>LM361MX</v>
      </c>
      <c r="B4016" s="3" t="str">
        <f>HYPERLINK("https://www.773grp.com/manufacturer/national-semiconductor?pageNo=129", "National Semiconductor")</f>
        <v>National Semiconductor</v>
      </c>
      <c r="C4016" s="6">
        <v>5000</v>
      </c>
      <c r="D4016" s="7">
        <v>4.79</v>
      </c>
      <c r="E4016" t="s">
        <v>9</v>
      </c>
    </row>
    <row r="4017" spans="1:5" x14ac:dyDescent="0.25">
      <c r="A4017" t="str">
        <f>HYPERLINK("https://www.773grp.com/globalSearch/LM361MX-NOPB/page-1", "LM361MX-NOPB")</f>
        <v>LM361MX-NOPB</v>
      </c>
      <c r="B4017" s="3" t="str">
        <f>HYPERLINK("https://www.773grp.com/manufacturer/national-semiconductor?pageNo=130", "National Semiconductor")</f>
        <v>National Semiconductor</v>
      </c>
      <c r="C4017" s="6">
        <v>10000</v>
      </c>
      <c r="D4017" s="7">
        <v>4.79</v>
      </c>
      <c r="E4017" t="s">
        <v>9</v>
      </c>
    </row>
    <row r="4018" spans="1:5" x14ac:dyDescent="0.25">
      <c r="A4018" t="str">
        <f>HYPERLINK("https://www.773grp.com/globalSearch/LM90CIMM/page-1", "LM90CIMM")</f>
        <v>LM90CIMM</v>
      </c>
      <c r="B4018" s="3" t="str">
        <f>HYPERLINK("https://www.773grp.com/manufacturer/national-semiconductor?pageNo=131", "National Semiconductor")</f>
        <v>National Semiconductor</v>
      </c>
      <c r="C4018" s="6">
        <v>3000</v>
      </c>
      <c r="D4018" s="7">
        <v>4.79</v>
      </c>
      <c r="E4018" t="s">
        <v>12</v>
      </c>
    </row>
    <row r="4019" spans="1:5" x14ac:dyDescent="0.25">
      <c r="A4019" t="str">
        <f>HYPERLINK("https://www.773grp.com/globalSearch/LMC6041IM-NOPB/page-1", "LMC6041IM-NOPB")</f>
        <v>LMC6041IM-NOPB</v>
      </c>
      <c r="B4019" s="3" t="str">
        <f>HYPERLINK("https://www.773grp.com/manufacturer/national-semiconductor?pageNo=132", "National Semiconductor")</f>
        <v>National Semiconductor</v>
      </c>
      <c r="C4019" s="6">
        <v>1140</v>
      </c>
      <c r="D4019" s="7">
        <v>4.79</v>
      </c>
      <c r="E4019" t="s">
        <v>13</v>
      </c>
    </row>
    <row r="4020" spans="1:5" x14ac:dyDescent="0.25">
      <c r="A4020" t="str">
        <f>HYPERLINK("https://www.773grp.com/globalSearch/LMH6682MA-NOPB/page-1", "LMH6682MA-NOPB")</f>
        <v>LMH6682MA-NOPB</v>
      </c>
      <c r="B4020" s="3" t="str">
        <f>HYPERLINK("https://www.773grp.com/manufacturer/national-semiconductor?pageNo=133", "National Semiconductor")</f>
        <v>National Semiconductor</v>
      </c>
      <c r="C4020" s="6">
        <v>3472</v>
      </c>
      <c r="D4020" s="7">
        <v>4.79</v>
      </c>
      <c r="E4020" t="s">
        <v>18</v>
      </c>
    </row>
    <row r="4021" spans="1:5" x14ac:dyDescent="0.25">
      <c r="A4021" t="str">
        <f>HYPERLINK("https://www.773grp.com/globalSearch/LMS1587CT-1.5-NOPB/page-1", "LMS1587CT-1.5-NOPB")</f>
        <v>LMS1587CT-1.5-NOPB</v>
      </c>
      <c r="B4021" s="3" t="str">
        <f>HYPERLINK("https://www.773grp.com/manufacturer/national-semiconductor?pageNo=134", "National Semiconductor")</f>
        <v>National Semiconductor</v>
      </c>
      <c r="C4021" s="6">
        <v>10</v>
      </c>
      <c r="D4021" s="7">
        <v>4.79</v>
      </c>
      <c r="E4021" t="s">
        <v>19</v>
      </c>
    </row>
    <row r="4022" spans="1:5" x14ac:dyDescent="0.25">
      <c r="A4022" t="str">
        <f>HYPERLINK("https://www.773grp.com/globalSearch/LMS485CNA/page-1", "LMS485CNA")</f>
        <v>LMS485CNA</v>
      </c>
      <c r="B4022" s="3" t="str">
        <f>HYPERLINK("https://www.773grp.com/manufacturer/national-semiconductor?pageNo=1", "National Semiconductor")</f>
        <v>National Semiconductor</v>
      </c>
      <c r="C4022" s="6">
        <v>1960</v>
      </c>
      <c r="D4022" s="7">
        <v>4.79</v>
      </c>
      <c r="E4022" t="s">
        <v>21</v>
      </c>
    </row>
    <row r="4023" spans="1:5" x14ac:dyDescent="0.25">
      <c r="A4023" t="str">
        <f>HYPERLINK("https://www.773grp.com/globalSearch/LP2989ILD-1.8/page-1", "LP2989ILD-1.8")</f>
        <v>LP2989ILD-1.8</v>
      </c>
      <c r="B4023" s="3" t="str">
        <f>HYPERLINK("https://www.773grp.com/manufacturer/national-semiconductor?pageNo=2", "National Semiconductor")</f>
        <v>National Semiconductor</v>
      </c>
      <c r="C4023" s="6">
        <v>24704</v>
      </c>
      <c r="D4023" s="7">
        <v>4.79</v>
      </c>
      <c r="E4023" t="s">
        <v>19</v>
      </c>
    </row>
    <row r="4024" spans="1:5" x14ac:dyDescent="0.25">
      <c r="A4024" t="str">
        <f>HYPERLINK("https://www.773grp.com/globalSearch/LP2997M/page-1", "LP2997M")</f>
        <v>LP2997M</v>
      </c>
      <c r="B4024" s="3" t="str">
        <f>HYPERLINK("https://www.773grp.com/manufacturer/national-semiconductor?pageNo=3", "National Semiconductor")</f>
        <v>National Semiconductor</v>
      </c>
      <c r="C4024" s="6">
        <v>172</v>
      </c>
      <c r="D4024" s="7">
        <v>4.79</v>
      </c>
      <c r="E4024" t="s">
        <v>24</v>
      </c>
    </row>
    <row r="4025" spans="1:5" x14ac:dyDescent="0.25">
      <c r="A4025" t="str">
        <f>HYPERLINK("https://www.773grp.com/globalSearch/LP2997MR/page-1", "LP2997MR")</f>
        <v>LP2997MR</v>
      </c>
      <c r="B4025" s="3" t="str">
        <f>HYPERLINK("https://www.773grp.com/manufacturer/national-semiconductor?pageNo=4", "National Semiconductor")</f>
        <v>National Semiconductor</v>
      </c>
      <c r="C4025" s="6">
        <v>652</v>
      </c>
      <c r="D4025" s="7">
        <v>4.79</v>
      </c>
      <c r="E4025" t="s">
        <v>24</v>
      </c>
    </row>
    <row r="4026" spans="1:5" x14ac:dyDescent="0.25">
      <c r="A4026" t="str">
        <f>HYPERLINK("https://www.773grp.com/globalSearch/DS14C88N/page-1", "DS14C88N")</f>
        <v>DS14C88N</v>
      </c>
      <c r="B4026" s="3" t="str">
        <f>HYPERLINK("https://www.773grp.com/manufacturer/national-semiconductor?pageNo=5", "National Semiconductor")</f>
        <v>National Semiconductor</v>
      </c>
      <c r="C4026" s="6">
        <v>293</v>
      </c>
      <c r="D4026" s="7">
        <v>4.79</v>
      </c>
      <c r="E4026" t="s">
        <v>21</v>
      </c>
    </row>
    <row r="4027" spans="1:5" x14ac:dyDescent="0.25">
      <c r="A4027" t="str">
        <f>HYPERLINK("https://www.773grp.com/globalSearch/DS90LV001TM-NOPB/page-1", "DS90LV001TM-NOPB")</f>
        <v>DS90LV001TM-NOPB</v>
      </c>
      <c r="B4027" s="3" t="str">
        <f>HYPERLINK("https://www.773grp.com/manufacturer/national-semiconductor?pageNo=6", "National Semiconductor")</f>
        <v>National Semiconductor</v>
      </c>
      <c r="C4027" s="6">
        <v>101</v>
      </c>
      <c r="D4027" s="7">
        <v>4.79</v>
      </c>
    </row>
    <row r="4028" spans="1:5" x14ac:dyDescent="0.25">
      <c r="A4028" t="str">
        <f>HYPERLINK("https://www.773grp.com/globalSearch/DS96176CN-NOPB/page-1", "DS96176CN-NOPB")</f>
        <v>DS96176CN-NOPB</v>
      </c>
      <c r="B4028" s="3" t="str">
        <f>HYPERLINK("https://www.773grp.com/manufacturer/national-semiconductor?pageNo=7", "National Semiconductor")</f>
        <v>National Semiconductor</v>
      </c>
      <c r="C4028" s="6">
        <v>832</v>
      </c>
      <c r="D4028" s="7">
        <v>4.79</v>
      </c>
      <c r="E4028" t="s">
        <v>21</v>
      </c>
    </row>
    <row r="4029" spans="1:5" x14ac:dyDescent="0.25">
      <c r="A4029" t="str">
        <f>HYPERLINK("https://www.773grp.com/globalSearch/LM1971M-NOPB/page-1", "LM1971M-NOPB")</f>
        <v>LM1971M-NOPB</v>
      </c>
      <c r="B4029" s="3" t="str">
        <f>HYPERLINK("https://www.773grp.com/manufacturer/national-semiconductor?pageNo=8", "National Semiconductor")</f>
        <v>National Semiconductor</v>
      </c>
      <c r="C4029" s="6">
        <v>245</v>
      </c>
      <c r="D4029" s="7">
        <v>4.79</v>
      </c>
      <c r="E4029" t="s">
        <v>23</v>
      </c>
    </row>
    <row r="4030" spans="1:5" x14ac:dyDescent="0.25">
      <c r="A4030" t="str">
        <f>HYPERLINK("https://www.773grp.com/globalSearch/LM1971MX-NOPB/page-1", "LM1971MX-NOPB")</f>
        <v>LM1971MX-NOPB</v>
      </c>
      <c r="B4030" s="3" t="str">
        <f>HYPERLINK("https://www.773grp.com/manufacturer/national-semiconductor?pageNo=9", "National Semiconductor")</f>
        <v>National Semiconductor</v>
      </c>
      <c r="C4030" s="6">
        <v>139</v>
      </c>
      <c r="D4030" s="7">
        <v>4.79</v>
      </c>
      <c r="E4030" t="s">
        <v>23</v>
      </c>
    </row>
    <row r="4031" spans="1:5" x14ac:dyDescent="0.25">
      <c r="A4031" t="str">
        <f>HYPERLINK("https://www.773grp.com/globalSearch/LM2917M-8/page-1", "LM2917M-8")</f>
        <v>LM2917M-8</v>
      </c>
      <c r="B4031" s="3" t="str">
        <f>HYPERLINK("https://www.773grp.com/manufacturer/national-semiconductor?pageNo=10", "National Semiconductor")</f>
        <v>National Semiconductor</v>
      </c>
      <c r="C4031" s="6">
        <v>976</v>
      </c>
      <c r="D4031" s="7">
        <v>4.79</v>
      </c>
      <c r="E4031" t="s">
        <v>45</v>
      </c>
    </row>
    <row r="4032" spans="1:5" x14ac:dyDescent="0.25">
      <c r="A4032" t="str">
        <f>HYPERLINK("https://www.773grp.com/globalSearch/LM2940CS-12/page-1", "LM2940CS-12")</f>
        <v>LM2940CS-12</v>
      </c>
      <c r="B4032" s="3" t="str">
        <f>HYPERLINK("https://www.773grp.com/manufacturer/national-semiconductor?pageNo=11", "National Semiconductor")</f>
        <v>National Semiconductor</v>
      </c>
      <c r="C4032" s="6">
        <v>15591</v>
      </c>
      <c r="D4032" s="7">
        <v>4.79</v>
      </c>
      <c r="E4032" t="s">
        <v>19</v>
      </c>
    </row>
    <row r="4033" spans="1:5" x14ac:dyDescent="0.25">
      <c r="A4033" t="str">
        <f>HYPERLINK("https://www.773grp.com/globalSearch/LM2940CS-15/page-1", "LM2940CS-15")</f>
        <v>LM2940CS-15</v>
      </c>
      <c r="B4033" s="3" t="str">
        <f>HYPERLINK("https://www.773grp.com/manufacturer/national-semiconductor?pageNo=12", "National Semiconductor")</f>
        <v>National Semiconductor</v>
      </c>
      <c r="C4033" s="6">
        <v>98</v>
      </c>
      <c r="D4033" s="7">
        <v>4.79</v>
      </c>
      <c r="E4033" t="s">
        <v>19</v>
      </c>
    </row>
    <row r="4034" spans="1:5" x14ac:dyDescent="0.25">
      <c r="A4034" t="str">
        <f>HYPERLINK("https://www.773grp.com/globalSearch/LM2940CS-5.0/page-1", "LM2940CS-5.0")</f>
        <v>LM2940CS-5.0</v>
      </c>
      <c r="B4034" s="3" t="str">
        <f>HYPERLINK("https://www.773grp.com/manufacturer/national-semiconductor?pageNo=13", "National Semiconductor")</f>
        <v>National Semiconductor</v>
      </c>
      <c r="C4034" s="6">
        <v>2</v>
      </c>
      <c r="D4034" s="7">
        <v>4.79</v>
      </c>
      <c r="E4034" t="s">
        <v>19</v>
      </c>
    </row>
    <row r="4035" spans="1:5" x14ac:dyDescent="0.25">
      <c r="A4035" t="str">
        <f>HYPERLINK("https://www.773grp.com/globalSearch/LM317AEMPX/page-1", "LM317AEMPX")</f>
        <v>LM317AEMPX</v>
      </c>
      <c r="B4035" s="3" t="str">
        <f>HYPERLINK("https://www.773grp.com/manufacturer/national-semiconductor?pageNo=14", "National Semiconductor")</f>
        <v>National Semiconductor</v>
      </c>
      <c r="C4035" s="6">
        <v>4201</v>
      </c>
      <c r="D4035" s="7">
        <v>4.79</v>
      </c>
      <c r="E4035" t="s">
        <v>22</v>
      </c>
    </row>
    <row r="4036" spans="1:5" x14ac:dyDescent="0.25">
      <c r="A4036" t="str">
        <f>HYPERLINK("https://www.773grp.com/globalSearch/LM317AMDTX/page-1", "LM317AMDTX")</f>
        <v>LM317AMDTX</v>
      </c>
      <c r="B4036" s="3" t="str">
        <f>HYPERLINK("https://www.773grp.com/manufacturer/national-semiconductor?pageNo=15", "National Semiconductor")</f>
        <v>National Semiconductor</v>
      </c>
      <c r="C4036" s="6">
        <v>1685</v>
      </c>
      <c r="D4036" s="7">
        <v>4.79</v>
      </c>
    </row>
    <row r="4037" spans="1:5" x14ac:dyDescent="0.25">
      <c r="A4037" t="str">
        <f>HYPERLINK("https://www.773grp.com/globalSearch/LM3409QHVMY-NOPB/page-1", "LM3409QHVMY-NOPB")</f>
        <v>LM3409QHVMY-NOPB</v>
      </c>
      <c r="B4037" s="3" t="str">
        <f>HYPERLINK("https://www.773grp.com/manufacturer/national-semiconductor?pageNo=16", "National Semiconductor")</f>
        <v>National Semiconductor</v>
      </c>
      <c r="C4037" s="6">
        <v>1300</v>
      </c>
      <c r="D4037" s="7">
        <v>4.79</v>
      </c>
    </row>
    <row r="4038" spans="1:5" x14ac:dyDescent="0.25">
      <c r="A4038" t="str">
        <f>HYPERLINK("https://www.773grp.com/globalSearch/LM3411AM5-5.0/page-1", "LM3411AM5-5.0")</f>
        <v>LM3411AM5-5.0</v>
      </c>
      <c r="B4038" s="3" t="str">
        <f>HYPERLINK("https://www.773grp.com/manufacturer/national-semiconductor?pageNo=17", "National Semiconductor")</f>
        <v>National Semiconductor</v>
      </c>
      <c r="C4038" s="6">
        <v>800</v>
      </c>
      <c r="D4038" s="7">
        <v>4.79</v>
      </c>
    </row>
    <row r="4039" spans="1:5" x14ac:dyDescent="0.25">
      <c r="A4039" t="str">
        <f>HYPERLINK("https://www.773grp.com/globalSearch/LM4926TL/page-1", "LM4926TL")</f>
        <v>LM4926TL</v>
      </c>
      <c r="B4039" s="3" t="str">
        <f>HYPERLINK("https://www.773grp.com/manufacturer/national-semiconductor?pageNo=18", "National Semiconductor")</f>
        <v>National Semiconductor</v>
      </c>
      <c r="C4039" s="6">
        <v>500</v>
      </c>
      <c r="D4039" s="7">
        <v>4.79</v>
      </c>
    </row>
    <row r="4040" spans="1:5" x14ac:dyDescent="0.25">
      <c r="A4040" t="str">
        <f>HYPERLINK("https://www.773grp.com/globalSearch/LM4926TL-NOPB/page-1", "LM4926TL-NOPB")</f>
        <v>LM4926TL-NOPB</v>
      </c>
      <c r="B4040" s="3" t="str">
        <f>HYPERLINK("https://www.773grp.com/manufacturer/national-semiconductor?pageNo=19", "National Semiconductor")</f>
        <v>National Semiconductor</v>
      </c>
      <c r="C4040" s="6">
        <v>2250</v>
      </c>
      <c r="D4040" s="7">
        <v>4.79</v>
      </c>
    </row>
    <row r="4041" spans="1:5" x14ac:dyDescent="0.25">
      <c r="A4041" t="str">
        <f>HYPERLINK("https://www.773grp.com/globalSearch/LM4926TLX-NOPB/page-1", "LM4926TLX-NOPB")</f>
        <v>LM4926TLX-NOPB</v>
      </c>
      <c r="B4041" s="3" t="str">
        <f>HYPERLINK("https://www.773grp.com/manufacturer/national-semiconductor?pageNo=20", "National Semiconductor")</f>
        <v>National Semiconductor</v>
      </c>
      <c r="C4041" s="6">
        <v>3000</v>
      </c>
      <c r="D4041" s="7">
        <v>4.79</v>
      </c>
    </row>
    <row r="4042" spans="1:5" x14ac:dyDescent="0.25">
      <c r="A4042" t="str">
        <f>HYPERLINK("https://www.773grp.com/globalSearch/LM90CIMM/page-1", "LM90CIMM")</f>
        <v>LM90CIMM</v>
      </c>
      <c r="B4042" s="3" t="str">
        <f>HYPERLINK("https://www.773grp.com/manufacturer/national-semiconductor?pageNo=21", "National Semiconductor")</f>
        <v>National Semiconductor</v>
      </c>
      <c r="C4042" s="6">
        <v>6000</v>
      </c>
      <c r="D4042" s="7">
        <v>4.79</v>
      </c>
      <c r="E4042" t="s">
        <v>12</v>
      </c>
    </row>
    <row r="4043" spans="1:5" x14ac:dyDescent="0.25">
      <c r="A4043" t="str">
        <f>HYPERLINK("https://www.773grp.com/globalSearch/LMC6041IM-NOPB/page-1", "LMC6041IM-NOPB")</f>
        <v>LMC6041IM-NOPB</v>
      </c>
      <c r="B4043" s="3" t="str">
        <f>HYPERLINK("https://www.773grp.com/manufacturer/national-semiconductor?pageNo=22", "National Semiconductor")</f>
        <v>National Semiconductor</v>
      </c>
      <c r="C4043" s="6">
        <v>280</v>
      </c>
      <c r="D4043" s="7">
        <v>4.79</v>
      </c>
      <c r="E4043" t="s">
        <v>13</v>
      </c>
    </row>
    <row r="4044" spans="1:5" x14ac:dyDescent="0.25">
      <c r="A4044" t="str">
        <f>HYPERLINK("https://www.773grp.com/globalSearch/LMH6643QMM-NOPB/page-1", "LMH6643QMM-NOPB")</f>
        <v>LMH6643QMM-NOPB</v>
      </c>
      <c r="B4044" s="3" t="str">
        <f>HYPERLINK("https://www.773grp.com/manufacturer/national-semiconductor?pageNo=23", "National Semiconductor")</f>
        <v>National Semiconductor</v>
      </c>
      <c r="C4044" s="6">
        <v>2000</v>
      </c>
      <c r="D4044" s="7">
        <v>4.79</v>
      </c>
    </row>
    <row r="4045" spans="1:5" x14ac:dyDescent="0.25">
      <c r="A4045" t="str">
        <f>HYPERLINK("https://www.773grp.com/globalSearch/LMH6682MA-NOPB/page-1", "LMH6682MA-NOPB")</f>
        <v>LMH6682MA-NOPB</v>
      </c>
      <c r="B4045" s="3" t="str">
        <f>HYPERLINK("https://www.773grp.com/manufacturer/national-semiconductor?pageNo=24", "National Semiconductor")</f>
        <v>National Semiconductor</v>
      </c>
      <c r="C4045" s="6">
        <v>236</v>
      </c>
      <c r="D4045" s="7">
        <v>4.79</v>
      </c>
      <c r="E4045" t="s">
        <v>18</v>
      </c>
    </row>
    <row r="4046" spans="1:5" x14ac:dyDescent="0.25">
      <c r="A4046" t="str">
        <f>HYPERLINK("https://www.773grp.com/globalSearch/LP2997MR/page-1", "LP2997MR")</f>
        <v>LP2997MR</v>
      </c>
      <c r="B4046" s="3" t="str">
        <f>HYPERLINK("https://www.773grp.com/manufacturer/national-semiconductor?pageNo=25", "National Semiconductor")</f>
        <v>National Semiconductor</v>
      </c>
      <c r="C4046" s="6">
        <v>254</v>
      </c>
      <c r="D4046" s="7">
        <v>4.79</v>
      </c>
      <c r="E4046" t="s">
        <v>24</v>
      </c>
    </row>
    <row r="4047" spans="1:5" x14ac:dyDescent="0.25">
      <c r="A4047" t="str">
        <f>HYPERLINK("https://www.773grp.com/globalSearch/54LS155FMQB/page-1", "54LS155FMQB")</f>
        <v>54LS155FMQB</v>
      </c>
      <c r="B4047" s="3" t="str">
        <f>HYPERLINK("https://www.773grp.com/manufacturer/national-semiconductor?pageNo=26", "National Semiconductor")</f>
        <v>National Semiconductor</v>
      </c>
      <c r="C4047" s="6">
        <v>977</v>
      </c>
      <c r="D4047" s="7">
        <v>4.3499999999999996</v>
      </c>
      <c r="E4047" t="s">
        <v>36</v>
      </c>
    </row>
    <row r="4048" spans="1:5" x14ac:dyDescent="0.25">
      <c r="A4048" t="str">
        <f>HYPERLINK("https://www.773grp.com/globalSearch/7453/page-1", "7453")</f>
        <v>7453</v>
      </c>
      <c r="B4048" s="3" t="str">
        <f>HYPERLINK("https://www.773grp.com/manufacturer/national-semiconductor?pageNo=27", "National Semiconductor")</f>
        <v>National Semiconductor</v>
      </c>
      <c r="C4048" s="6">
        <v>875</v>
      </c>
      <c r="D4048" s="7">
        <v>4.3499999999999996</v>
      </c>
    </row>
    <row r="4049" spans="1:5" x14ac:dyDescent="0.25">
      <c r="A4049" t="str">
        <f>HYPERLINK("https://www.773grp.com/globalSearch/7453PC/page-1", "7453PC")</f>
        <v>7453PC</v>
      </c>
      <c r="B4049" s="3" t="str">
        <f>HYPERLINK("https://www.773grp.com/manufacturer/national-semiconductor?pageNo=28", "National Semiconductor")</f>
        <v>National Semiconductor</v>
      </c>
      <c r="C4049" s="6">
        <v>16071</v>
      </c>
      <c r="D4049" s="7">
        <v>4.3499999999999996</v>
      </c>
    </row>
    <row r="4050" spans="1:5" x14ac:dyDescent="0.25">
      <c r="A4050" t="str">
        <f>HYPERLINK("https://www.773grp.com/globalSearch/ADC0804LCWM/page-1", "ADC0804LCWM")</f>
        <v>ADC0804LCWM</v>
      </c>
      <c r="B4050" s="3" t="str">
        <f>HYPERLINK("https://www.773grp.com/manufacturer/national-semiconductor?pageNo=29", "National Semiconductor")</f>
        <v>National Semiconductor</v>
      </c>
      <c r="C4050" s="6">
        <v>1013</v>
      </c>
      <c r="D4050" s="7">
        <v>4.3499999999999996</v>
      </c>
      <c r="E4050" t="s">
        <v>39</v>
      </c>
    </row>
    <row r="4051" spans="1:5" x14ac:dyDescent="0.25">
      <c r="A4051" t="str">
        <f>HYPERLINK("https://www.773grp.com/globalSearch/ADC0838CCWM-NOPB/page-1", "ADC0838CCWM-NOPB")</f>
        <v>ADC0838CCWM-NOPB</v>
      </c>
      <c r="B4051" s="3" t="str">
        <f>HYPERLINK("https://www.773grp.com/manufacturer/national-semiconductor?pageNo=30", "National Semiconductor")</f>
        <v>National Semiconductor</v>
      </c>
      <c r="C4051" s="6">
        <v>6132</v>
      </c>
      <c r="D4051" s="7">
        <v>4.3499999999999996</v>
      </c>
      <c r="E4051" t="s">
        <v>39</v>
      </c>
    </row>
    <row r="4052" spans="1:5" x14ac:dyDescent="0.25">
      <c r="A4052" t="str">
        <f>HYPERLINK("https://www.773grp.com/globalSearch/LM1875T/page-1", "LM1875T")</f>
        <v>LM1875T</v>
      </c>
      <c r="B4052" s="3" t="str">
        <f>HYPERLINK("https://www.773grp.com/manufacturer/national-semiconductor?pageNo=31", "National Semiconductor")</f>
        <v>National Semiconductor</v>
      </c>
      <c r="C4052" s="6">
        <v>279</v>
      </c>
      <c r="D4052" s="7">
        <v>4.3499999999999996</v>
      </c>
      <c r="E4052" t="s">
        <v>18</v>
      </c>
    </row>
    <row r="4053" spans="1:5" x14ac:dyDescent="0.25">
      <c r="A4053" t="str">
        <f>HYPERLINK("https://www.773grp.com/globalSearch/LM20145MHX-NOPB/page-1", "LM20145MHX-NOPB")</f>
        <v>LM20145MHX-NOPB</v>
      </c>
      <c r="B4053" s="3" t="str">
        <f>HYPERLINK("https://www.773grp.com/manufacturer/national-semiconductor?pageNo=32", "National Semiconductor")</f>
        <v>National Semiconductor</v>
      </c>
      <c r="C4053" s="6">
        <v>2468</v>
      </c>
      <c r="D4053" s="7">
        <v>4.3499999999999996</v>
      </c>
      <c r="E4053" t="s">
        <v>7</v>
      </c>
    </row>
    <row r="4054" spans="1:5" x14ac:dyDescent="0.25">
      <c r="A4054" t="str">
        <f>HYPERLINK("https://www.773grp.com/globalSearch/LM22675MRX-ADJ-NOPB/page-1", "LM22675MRX-ADJ-NOPB")</f>
        <v>LM22675MRX-ADJ-NOPB</v>
      </c>
      <c r="B4054" s="3" t="str">
        <f>HYPERLINK("https://www.773grp.com/manufacturer/national-semiconductor?pageNo=33", "National Semiconductor")</f>
        <v>National Semiconductor</v>
      </c>
      <c r="C4054" s="6">
        <v>5000</v>
      </c>
      <c r="D4054" s="7">
        <v>4.3499999999999996</v>
      </c>
    </row>
    <row r="4055" spans="1:5" x14ac:dyDescent="0.25">
      <c r="A4055" t="str">
        <f>HYPERLINK("https://www.773grp.com/globalSearch/LM2700LD-ADJ-NOPB/page-1", "LM2700LD-ADJ-NOPB")</f>
        <v>LM2700LD-ADJ-NOPB</v>
      </c>
      <c r="B4055" s="3" t="str">
        <f>HYPERLINK("https://www.773grp.com/manufacturer/national-semiconductor?pageNo=34", "National Semiconductor")</f>
        <v>National Semiconductor</v>
      </c>
      <c r="C4055" s="6">
        <v>3000</v>
      </c>
      <c r="D4055" s="7">
        <v>4.3499999999999996</v>
      </c>
    </row>
    <row r="4056" spans="1:5" x14ac:dyDescent="0.25">
      <c r="A4056" t="str">
        <f>HYPERLINK("https://www.773grp.com/globalSearch/LM2757TM-NOPB/page-1", "LM2757TM-NOPB")</f>
        <v>LM2757TM-NOPB</v>
      </c>
      <c r="B4056" s="3" t="str">
        <f>HYPERLINK("https://www.773grp.com/manufacturer/national-semiconductor?pageNo=35", "National Semiconductor")</f>
        <v>National Semiconductor</v>
      </c>
      <c r="C4056" s="6">
        <v>500</v>
      </c>
      <c r="D4056" s="7">
        <v>4.3499999999999996</v>
      </c>
    </row>
    <row r="4057" spans="1:5" x14ac:dyDescent="0.25">
      <c r="A4057" t="str">
        <f>HYPERLINK("https://www.773grp.com/globalSearch/LM3103MHX-NOPB/page-1", "LM3103MHX-NOPB")</f>
        <v>LM3103MHX-NOPB</v>
      </c>
      <c r="B4057" s="3" t="str">
        <f>HYPERLINK("https://www.773grp.com/manufacturer/national-semiconductor?pageNo=36", "National Semiconductor")</f>
        <v>National Semiconductor</v>
      </c>
      <c r="C4057" s="6">
        <v>3500</v>
      </c>
      <c r="D4057" s="7">
        <v>4.3499999999999996</v>
      </c>
      <c r="E4057" t="s">
        <v>7</v>
      </c>
    </row>
    <row r="4058" spans="1:5" x14ac:dyDescent="0.25">
      <c r="A4058" t="str">
        <f>HYPERLINK("https://www.773grp.com/globalSearch/LM3151MHX-3.3-NOPB/page-1", "LM3151MHX-3.3-NOPB")</f>
        <v>LM3151MHX-3.3-NOPB</v>
      </c>
      <c r="B4058" s="3" t="str">
        <f>HYPERLINK("https://www.773grp.com/manufacturer/national-semiconductor?pageNo=37", "National Semiconductor")</f>
        <v>National Semiconductor</v>
      </c>
      <c r="C4058" s="6">
        <v>2435</v>
      </c>
      <c r="D4058" s="7">
        <v>4.3499999999999996</v>
      </c>
    </row>
    <row r="4059" spans="1:5" x14ac:dyDescent="0.25">
      <c r="A4059" t="str">
        <f>HYPERLINK("https://www.773grp.com/globalSearch/LM3421Q1MH-NOPB/page-1", "LM3421Q1MH-NOPB")</f>
        <v>LM3421Q1MH-NOPB</v>
      </c>
      <c r="B4059" s="3" t="str">
        <f>HYPERLINK("https://www.773grp.com/manufacturer/national-semiconductor?pageNo=38", "National Semiconductor")</f>
        <v>National Semiconductor</v>
      </c>
      <c r="C4059" s="6">
        <v>904</v>
      </c>
      <c r="D4059" s="7">
        <v>4.3499999999999996</v>
      </c>
    </row>
    <row r="4060" spans="1:5" x14ac:dyDescent="0.25">
      <c r="A4060" t="str">
        <f>HYPERLINK("https://www.773grp.com/globalSearch/LM34930TL-NOPB/page-1", "LM34930TL-NOPB")</f>
        <v>LM34930TL-NOPB</v>
      </c>
      <c r="B4060" s="3" t="str">
        <f>HYPERLINK("https://www.773grp.com/manufacturer/national-semiconductor?pageNo=39", "National Semiconductor")</f>
        <v>National Semiconductor</v>
      </c>
      <c r="C4060" s="6">
        <v>994</v>
      </c>
      <c r="D4060" s="7">
        <v>4.3499999999999996</v>
      </c>
    </row>
    <row r="4061" spans="1:5" x14ac:dyDescent="0.25">
      <c r="A4061" t="str">
        <f>HYPERLINK("https://www.773grp.com/globalSearch/LM4140BCM-1.2-NOPB/page-1", "LM4140BCM-1.2-NOPB")</f>
        <v>LM4140BCM-1.2-NOPB</v>
      </c>
      <c r="B4061" s="3" t="str">
        <f>HYPERLINK("https://www.773grp.com/manufacturer/national-semiconductor?pageNo=40", "National Semiconductor")</f>
        <v>National Semiconductor</v>
      </c>
      <c r="C4061" s="6">
        <v>98</v>
      </c>
      <c r="D4061" s="7">
        <v>4.3499999999999996</v>
      </c>
      <c r="E4061" t="s">
        <v>17</v>
      </c>
    </row>
    <row r="4062" spans="1:5" x14ac:dyDescent="0.25">
      <c r="A4062" t="str">
        <f>HYPERLINK("https://www.773grp.com/globalSearch/LM4140BCM-2.0-NOPB/page-1", "LM4140BCM-2.0-NOPB")</f>
        <v>LM4140BCM-2.0-NOPB</v>
      </c>
      <c r="B4062" s="3" t="str">
        <f>HYPERLINK("https://www.773grp.com/manufacturer/national-semiconductor?pageNo=41", "National Semiconductor")</f>
        <v>National Semiconductor</v>
      </c>
      <c r="C4062" s="6">
        <v>219</v>
      </c>
      <c r="D4062" s="7">
        <v>4.3499999999999996</v>
      </c>
      <c r="E4062" t="s">
        <v>17</v>
      </c>
    </row>
    <row r="4063" spans="1:5" x14ac:dyDescent="0.25">
      <c r="A4063" t="str">
        <f>HYPERLINK("https://www.773grp.com/globalSearch/LM4140BCMX-1.0-NOPB/page-1", "LM4140BCMX-1.0-NOPB")</f>
        <v>LM4140BCMX-1.0-NOPB</v>
      </c>
      <c r="B4063" s="3" t="str">
        <f>HYPERLINK("https://www.773grp.com/manufacturer/national-semiconductor?pageNo=42", "National Semiconductor")</f>
        <v>National Semiconductor</v>
      </c>
      <c r="C4063" s="6">
        <v>32500</v>
      </c>
      <c r="D4063" s="7">
        <v>4.3499999999999996</v>
      </c>
      <c r="E4063" t="s">
        <v>17</v>
      </c>
    </row>
    <row r="4064" spans="1:5" x14ac:dyDescent="0.25">
      <c r="A4064" t="str">
        <f>HYPERLINK("https://www.773grp.com/globalSearch/LM49370RL-NOPB/page-1", "LM49370RL-NOPB")</f>
        <v>LM49370RL-NOPB</v>
      </c>
      <c r="B4064" s="3" t="str">
        <f>HYPERLINK("https://www.773grp.com/manufacturer/national-semiconductor?pageNo=43", "National Semiconductor")</f>
        <v>National Semiconductor</v>
      </c>
      <c r="C4064" s="6">
        <v>1000</v>
      </c>
      <c r="D4064" s="7">
        <v>4.3499999999999996</v>
      </c>
    </row>
    <row r="4065" spans="1:5" x14ac:dyDescent="0.25">
      <c r="A4065" t="str">
        <f>HYPERLINK("https://www.773grp.com/globalSearch/LM5001MAX-NOPB/page-1", "LM5001MAX-NOPB")</f>
        <v>LM5001MAX-NOPB</v>
      </c>
      <c r="B4065" s="3" t="str">
        <f>HYPERLINK("https://www.773grp.com/manufacturer/national-semiconductor?pageNo=44", "National Semiconductor")</f>
        <v>National Semiconductor</v>
      </c>
      <c r="C4065" s="6">
        <v>2300</v>
      </c>
      <c r="D4065" s="7">
        <v>4.3499999999999996</v>
      </c>
    </row>
    <row r="4066" spans="1:5" x14ac:dyDescent="0.25">
      <c r="A4066" t="str">
        <f>HYPERLINK("https://www.773grp.com/globalSearch/LM5001SD-NOPB/page-1", "LM5001SD-NOPB")</f>
        <v>LM5001SD-NOPB</v>
      </c>
      <c r="B4066" s="3" t="str">
        <f>HYPERLINK("https://www.773grp.com/manufacturer/national-semiconductor?pageNo=45", "National Semiconductor")</f>
        <v>National Semiconductor</v>
      </c>
      <c r="C4066" s="6">
        <v>1464</v>
      </c>
      <c r="D4066" s="7">
        <v>4.3499999999999996</v>
      </c>
      <c r="E4066" t="s">
        <v>7</v>
      </c>
    </row>
    <row r="4067" spans="1:5" x14ac:dyDescent="0.25">
      <c r="A4067" t="str">
        <f>HYPERLINK("https://www.773grp.com/globalSearch/LM5009MM/page-1", "LM5009MM")</f>
        <v>LM5009MM</v>
      </c>
      <c r="B4067" s="3" t="str">
        <f>HYPERLINK("https://www.773grp.com/manufacturer/national-semiconductor?pageNo=46", "National Semiconductor")</f>
        <v>National Semiconductor</v>
      </c>
      <c r="C4067" s="6">
        <v>886</v>
      </c>
      <c r="D4067" s="7">
        <v>4.3499999999999996</v>
      </c>
      <c r="E4067" t="s">
        <v>7</v>
      </c>
    </row>
    <row r="4068" spans="1:5" x14ac:dyDescent="0.25">
      <c r="A4068" t="str">
        <f>HYPERLINK("https://www.773grp.com/globalSearch/LM5009MMX/page-1", "LM5009MMX")</f>
        <v>LM5009MMX</v>
      </c>
      <c r="B4068" s="3" t="str">
        <f>HYPERLINK("https://www.773grp.com/manufacturer/national-semiconductor?pageNo=47", "National Semiconductor")</f>
        <v>National Semiconductor</v>
      </c>
      <c r="C4068" s="6">
        <v>7000</v>
      </c>
      <c r="D4068" s="7">
        <v>4.3499999999999996</v>
      </c>
      <c r="E4068" t="s">
        <v>7</v>
      </c>
    </row>
    <row r="4069" spans="1:5" x14ac:dyDescent="0.25">
      <c r="A4069" t="str">
        <f>HYPERLINK("https://www.773grp.com/globalSearch/LMP2022MME-NOPB/page-1", "LMP2022MME-NOPB")</f>
        <v>LMP2022MME-NOPB</v>
      </c>
      <c r="B4069" s="3" t="str">
        <f>HYPERLINK("https://www.773grp.com/manufacturer/national-semiconductor?pageNo=48", "National Semiconductor")</f>
        <v>National Semiconductor</v>
      </c>
      <c r="C4069" s="6">
        <v>15</v>
      </c>
      <c r="D4069" s="7">
        <v>4.3499999999999996</v>
      </c>
    </row>
    <row r="4070" spans="1:5" x14ac:dyDescent="0.25">
      <c r="A4070" t="str">
        <f>HYPERLINK("https://www.773grp.com/globalSearch/ADC0804LCWM/page-1", "ADC0804LCWM")</f>
        <v>ADC0804LCWM</v>
      </c>
      <c r="B4070" s="3" t="str">
        <f>HYPERLINK("https://www.773grp.com/manufacturer/national-semiconductor?pageNo=49", "National Semiconductor")</f>
        <v>National Semiconductor</v>
      </c>
      <c r="C4070" s="6">
        <v>1080</v>
      </c>
      <c r="D4070" s="7">
        <v>4.3499999999999996</v>
      </c>
      <c r="E4070" t="s">
        <v>39</v>
      </c>
    </row>
    <row r="4071" spans="1:5" x14ac:dyDescent="0.25">
      <c r="A4071" t="str">
        <f>HYPERLINK("https://www.773grp.com/globalSearch/ADC0838CCWM-NOPB/page-1", "ADC0838CCWM-NOPB")</f>
        <v>ADC0838CCWM-NOPB</v>
      </c>
      <c r="B4071" s="3" t="str">
        <f>HYPERLINK("https://www.773grp.com/manufacturer/national-semiconductor?pageNo=50", "National Semiconductor")</f>
        <v>National Semiconductor</v>
      </c>
      <c r="C4071" s="6">
        <v>2376</v>
      </c>
      <c r="D4071" s="7">
        <v>4.3499999999999996</v>
      </c>
      <c r="E4071" t="s">
        <v>39</v>
      </c>
    </row>
    <row r="4072" spans="1:5" x14ac:dyDescent="0.25">
      <c r="A4072" t="str">
        <f>HYPERLINK("https://www.773grp.com/globalSearch/BQ24401DR/page-1", "BQ24401DR")</f>
        <v>BQ24401DR</v>
      </c>
      <c r="B4072" s="3" t="str">
        <f>HYPERLINK("https://www.773grp.com/manufacturer/national-semiconductor?pageNo=51", "National Semiconductor")</f>
        <v>National Semiconductor</v>
      </c>
      <c r="C4072" s="6">
        <v>2500</v>
      </c>
      <c r="D4072" s="7">
        <v>4.3499999999999996</v>
      </c>
    </row>
    <row r="4073" spans="1:5" x14ac:dyDescent="0.25">
      <c r="A4073" t="str">
        <f>HYPERLINK("https://www.773grp.com/globalSearch/LM20145MHX-NOPB/page-1", "LM20145MHX-NOPB")</f>
        <v>LM20145MHX-NOPB</v>
      </c>
      <c r="B4073" s="3" t="str">
        <f>HYPERLINK("https://www.773grp.com/manufacturer/national-semiconductor?pageNo=52", "National Semiconductor")</f>
        <v>National Semiconductor</v>
      </c>
      <c r="C4073" s="6">
        <v>2500</v>
      </c>
      <c r="D4073" s="7">
        <v>4.3499999999999996</v>
      </c>
      <c r="E4073" t="s">
        <v>7</v>
      </c>
    </row>
    <row r="4074" spans="1:5" x14ac:dyDescent="0.25">
      <c r="A4074" t="str">
        <f>HYPERLINK("https://www.773grp.com/globalSearch/LM2700LD-ADJ-NOPB/page-1", "LM2700LD-ADJ-NOPB")</f>
        <v>LM2700LD-ADJ-NOPB</v>
      </c>
      <c r="B4074" s="3" t="str">
        <f>HYPERLINK("https://www.773grp.com/manufacturer/national-semiconductor?pageNo=53", "National Semiconductor")</f>
        <v>National Semiconductor</v>
      </c>
      <c r="C4074" s="6">
        <v>2420</v>
      </c>
      <c r="D4074" s="7">
        <v>4.3499999999999996</v>
      </c>
    </row>
    <row r="4075" spans="1:5" x14ac:dyDescent="0.25">
      <c r="A4075" t="str">
        <f>HYPERLINK("https://www.773grp.com/globalSearch/LM2700MTX-ADJ-NOPB/page-1", "LM2700MTX-ADJ-NOPB")</f>
        <v>LM2700MTX-ADJ-NOPB</v>
      </c>
      <c r="B4075" s="3" t="str">
        <f>HYPERLINK("https://www.773grp.com/manufacturer/national-semiconductor?pageNo=54", "National Semiconductor")</f>
        <v>National Semiconductor</v>
      </c>
      <c r="C4075" s="6">
        <v>2500</v>
      </c>
      <c r="D4075" s="7">
        <v>4.3499999999999996</v>
      </c>
    </row>
    <row r="4076" spans="1:5" x14ac:dyDescent="0.25">
      <c r="A4076" t="str">
        <f>HYPERLINK("https://www.773grp.com/globalSearch/LM3103MHX-NOPB/page-1", "LM3103MHX-NOPB")</f>
        <v>LM3103MHX-NOPB</v>
      </c>
      <c r="B4076" s="3" t="str">
        <f>HYPERLINK("https://www.773grp.com/manufacturer/national-semiconductor?pageNo=55", "National Semiconductor")</f>
        <v>National Semiconductor</v>
      </c>
      <c r="C4076" s="6">
        <v>2500</v>
      </c>
      <c r="D4076" s="7">
        <v>4.3499999999999996</v>
      </c>
      <c r="E4076" t="s">
        <v>7</v>
      </c>
    </row>
    <row r="4077" spans="1:5" x14ac:dyDescent="0.25">
      <c r="A4077" t="str">
        <f>HYPERLINK("https://www.773grp.com/globalSearch/LM3150MH/page-1", "LM3150MH")</f>
        <v>LM3150MH</v>
      </c>
      <c r="B4077" s="3" t="str">
        <f>HYPERLINK("https://www.773grp.com/manufacturer/national-semiconductor?pageNo=56", "National Semiconductor")</f>
        <v>National Semiconductor</v>
      </c>
      <c r="C4077" s="6">
        <v>12000</v>
      </c>
      <c r="D4077" s="7">
        <v>4.3499999999999996</v>
      </c>
    </row>
    <row r="4078" spans="1:5" x14ac:dyDescent="0.25">
      <c r="A4078" t="str">
        <f>HYPERLINK("https://www.773grp.com/globalSearch/LM4140BCM-1.2-NOPB/page-1", "LM4140BCM-1.2-NOPB")</f>
        <v>LM4140BCM-1.2-NOPB</v>
      </c>
      <c r="B4078" s="3" t="str">
        <f>HYPERLINK("https://www.773grp.com/manufacturer/national-semiconductor?pageNo=57", "National Semiconductor")</f>
        <v>National Semiconductor</v>
      </c>
      <c r="C4078" s="6">
        <v>250</v>
      </c>
      <c r="D4078" s="7">
        <v>4.3499999999999996</v>
      </c>
      <c r="E4078" t="s">
        <v>17</v>
      </c>
    </row>
    <row r="4079" spans="1:5" x14ac:dyDescent="0.25">
      <c r="A4079" t="str">
        <f>HYPERLINK("https://www.773grp.com/globalSearch/LM4140BCM-2.0-NOPB/page-1", "LM4140BCM-2.0-NOPB")</f>
        <v>LM4140BCM-2.0-NOPB</v>
      </c>
      <c r="B4079" s="3" t="str">
        <f>HYPERLINK("https://www.773grp.com/manufacturer/national-semiconductor?pageNo=58", "National Semiconductor")</f>
        <v>National Semiconductor</v>
      </c>
      <c r="C4079" s="6">
        <v>15601</v>
      </c>
      <c r="D4079" s="7">
        <v>4.3499999999999996</v>
      </c>
      <c r="E4079" t="s">
        <v>17</v>
      </c>
    </row>
    <row r="4080" spans="1:5" x14ac:dyDescent="0.25">
      <c r="A4080" t="str">
        <f>HYPERLINK("https://www.773grp.com/globalSearch/LM4140BCMX-2.5-NOPB/page-1", "LM4140BCMX-2.5-NOPB")</f>
        <v>LM4140BCMX-2.5-NOPB</v>
      </c>
      <c r="B4080" s="3" t="str">
        <f>HYPERLINK("https://www.773grp.com/manufacturer/national-semiconductor?pageNo=59", "National Semiconductor")</f>
        <v>National Semiconductor</v>
      </c>
      <c r="C4080" s="6">
        <v>2500</v>
      </c>
      <c r="D4080" s="7">
        <v>4.3499999999999996</v>
      </c>
    </row>
    <row r="4081" spans="1:5" x14ac:dyDescent="0.25">
      <c r="A4081" t="str">
        <f>HYPERLINK("https://www.773grp.com/globalSearch/LM4140BCMX-4.1-NOPB/page-1", "LM4140BCMX-4.1-NOPB")</f>
        <v>LM4140BCMX-4.1-NOPB</v>
      </c>
      <c r="B4081" s="3" t="str">
        <f>HYPERLINK("https://www.773grp.com/manufacturer/national-semiconductor?pageNo=60", "National Semiconductor")</f>
        <v>National Semiconductor</v>
      </c>
      <c r="C4081" s="6">
        <v>2500</v>
      </c>
      <c r="D4081" s="7">
        <v>4.3499999999999996</v>
      </c>
    </row>
    <row r="4082" spans="1:5" x14ac:dyDescent="0.25">
      <c r="A4082" t="str">
        <f>HYPERLINK("https://www.773grp.com/globalSearch/LM49370RL-NOPB/page-1", "LM49370RL-NOPB")</f>
        <v>LM49370RL-NOPB</v>
      </c>
      <c r="B4082" s="3" t="str">
        <f>HYPERLINK("https://www.773grp.com/manufacturer/national-semiconductor?pageNo=61", "National Semiconductor")</f>
        <v>National Semiconductor</v>
      </c>
      <c r="C4082" s="6">
        <v>250</v>
      </c>
      <c r="D4082" s="7">
        <v>4.3499999999999996</v>
      </c>
    </row>
    <row r="4083" spans="1:5" x14ac:dyDescent="0.25">
      <c r="A4083" t="str">
        <f>HYPERLINK("https://www.773grp.com/globalSearch/LM5001SD-NOPB/page-1", "LM5001SD-NOPB")</f>
        <v>LM5001SD-NOPB</v>
      </c>
      <c r="B4083" s="3" t="str">
        <f>HYPERLINK("https://www.773grp.com/manufacturer/national-semiconductor?pageNo=62", "National Semiconductor")</f>
        <v>National Semiconductor</v>
      </c>
      <c r="C4083" s="6">
        <v>519</v>
      </c>
      <c r="D4083" s="7">
        <v>4.3499999999999996</v>
      </c>
      <c r="E4083" t="s">
        <v>7</v>
      </c>
    </row>
    <row r="4084" spans="1:5" x14ac:dyDescent="0.25">
      <c r="A4084" t="str">
        <f>HYPERLINK("https://www.773grp.com/globalSearch/LM5574MTX-NOPB/page-1", "LM5574MTX-NOPB")</f>
        <v>LM5574MTX-NOPB</v>
      </c>
      <c r="B4084" s="3" t="str">
        <f>HYPERLINK("https://www.773grp.com/manufacturer/national-semiconductor?pageNo=63", "National Semiconductor")</f>
        <v>National Semiconductor</v>
      </c>
      <c r="C4084" s="6">
        <v>1095</v>
      </c>
      <c r="D4084" s="7">
        <v>4.3499999999999996</v>
      </c>
    </row>
    <row r="4085" spans="1:5" x14ac:dyDescent="0.25">
      <c r="A4085" t="str">
        <f>HYPERLINK("https://www.773grp.com/globalSearch/LMP2022MME-NOPB/page-1", "LMP2022MME-NOPB")</f>
        <v>LMP2022MME-NOPB</v>
      </c>
      <c r="B4085" s="3" t="str">
        <f>HYPERLINK("https://www.773grp.com/manufacturer/national-semiconductor?pageNo=64", "National Semiconductor")</f>
        <v>National Semiconductor</v>
      </c>
      <c r="C4085" s="6">
        <v>388</v>
      </c>
      <c r="D4085" s="7">
        <v>4.3499999999999996</v>
      </c>
    </row>
    <row r="4086" spans="1:5" x14ac:dyDescent="0.25">
      <c r="A4086" t="str">
        <f>HYPERLINK("https://www.773grp.com/globalSearch/LMP2234BMAX-NOPB/page-1", "LMP2234BMAX-NOPB")</f>
        <v>LMP2234BMAX-NOPB</v>
      </c>
      <c r="B4086" s="3" t="str">
        <f>HYPERLINK("https://www.773grp.com/manufacturer/national-semiconductor?pageNo=65", "National Semiconductor")</f>
        <v>National Semiconductor</v>
      </c>
      <c r="C4086" s="6">
        <v>2500</v>
      </c>
      <c r="D4086" s="7">
        <v>4.3499999999999996</v>
      </c>
    </row>
    <row r="4087" spans="1:5" x14ac:dyDescent="0.25">
      <c r="A4087" t="str">
        <f>HYPERLINK("https://www.773grp.com/globalSearch/TLC0834IDR/page-1", "TLC0834IDR")</f>
        <v>TLC0834IDR</v>
      </c>
      <c r="B4087" s="3" t="str">
        <f>HYPERLINK("https://www.773grp.com/manufacturer/national-semiconductor?pageNo=66", "National Semiconductor")</f>
        <v>National Semiconductor</v>
      </c>
      <c r="C4087" s="6">
        <v>2500</v>
      </c>
      <c r="D4087" s="7">
        <v>4.3499999999999996</v>
      </c>
    </row>
    <row r="4088" spans="1:5" x14ac:dyDescent="0.25">
      <c r="A4088" t="str">
        <f>HYPERLINK("https://www.773grp.com/globalSearch/74BCT2240PC/page-1", "74BCT2240PC")</f>
        <v>74BCT2240PC</v>
      </c>
      <c r="B4088" s="3" t="str">
        <f>HYPERLINK("https://www.773grp.com/manufacturer/national-semiconductor?pageNo=67", "National Semiconductor")</f>
        <v>National Semiconductor</v>
      </c>
      <c r="C4088" s="6">
        <v>371</v>
      </c>
      <c r="D4088" s="7">
        <v>4.3899999999999997</v>
      </c>
    </row>
    <row r="4089" spans="1:5" x14ac:dyDescent="0.25">
      <c r="A4089" t="str">
        <f>HYPERLINK("https://www.773grp.com/globalSearch/74BCT2241SC/page-1", "74BCT2241SC")</f>
        <v>74BCT2241SC</v>
      </c>
      <c r="B4089" s="3" t="str">
        <f>HYPERLINK("https://www.773grp.com/manufacturer/national-semiconductor?pageNo=68", "National Semiconductor")</f>
        <v>National Semiconductor</v>
      </c>
      <c r="C4089" s="6">
        <v>3096</v>
      </c>
      <c r="D4089" s="7">
        <v>4.3899999999999997</v>
      </c>
    </row>
    <row r="4090" spans="1:5" x14ac:dyDescent="0.25">
      <c r="A4090" t="str">
        <f>HYPERLINK("https://www.773grp.com/globalSearch/74BCT2244PC/page-1", "74BCT2244PC")</f>
        <v>74BCT2244PC</v>
      </c>
      <c r="B4090" s="3" t="str">
        <f>HYPERLINK("https://www.773grp.com/manufacturer/national-semiconductor?pageNo=69", "National Semiconductor")</f>
        <v>National Semiconductor</v>
      </c>
      <c r="C4090" s="6">
        <v>3816</v>
      </c>
      <c r="D4090" s="7">
        <v>4.3899999999999997</v>
      </c>
    </row>
    <row r="4091" spans="1:5" x14ac:dyDescent="0.25">
      <c r="A4091" t="str">
        <f>HYPERLINK("https://www.773grp.com/globalSearch/DAC0801LCN/page-1", "DAC0801LCN")</f>
        <v>DAC0801LCN</v>
      </c>
      <c r="B4091" s="3" t="str">
        <f>HYPERLINK("https://www.773grp.com/manufacturer/national-semiconductor?pageNo=70", "National Semiconductor")</f>
        <v>National Semiconductor</v>
      </c>
      <c r="C4091" s="6">
        <v>3015</v>
      </c>
      <c r="D4091" s="7">
        <v>4.3899999999999997</v>
      </c>
      <c r="E4091" t="s">
        <v>33</v>
      </c>
    </row>
    <row r="4092" spans="1:5" x14ac:dyDescent="0.25">
      <c r="A4092" t="str">
        <f>HYPERLINK("https://www.773grp.com/globalSearch/LM22671MR-5.0-NOPB/page-1", "LM22671MR-5.0-NOPB")</f>
        <v>LM22671MR-5.0-NOPB</v>
      </c>
      <c r="B4092" s="3" t="str">
        <f>HYPERLINK("https://www.773grp.com/manufacturer/national-semiconductor?pageNo=71", "National Semiconductor")</f>
        <v>National Semiconductor</v>
      </c>
      <c r="C4092" s="6">
        <v>505</v>
      </c>
      <c r="D4092" s="7">
        <v>4.3899999999999997</v>
      </c>
    </row>
    <row r="4093" spans="1:5" x14ac:dyDescent="0.25">
      <c r="A4093" t="str">
        <f>HYPERLINK("https://www.773grp.com/globalSearch/LM22671MR-ADJ-NOPB/page-1", "LM22671MR-ADJ-NOPB")</f>
        <v>LM22671MR-ADJ-NOPB</v>
      </c>
      <c r="B4093" s="3" t="str">
        <f>HYPERLINK("https://www.773grp.com/manufacturer/national-semiconductor?pageNo=72", "National Semiconductor")</f>
        <v>National Semiconductor</v>
      </c>
      <c r="C4093" s="6">
        <v>3785</v>
      </c>
      <c r="D4093" s="7">
        <v>4.3899999999999997</v>
      </c>
    </row>
    <row r="4094" spans="1:5" x14ac:dyDescent="0.25">
      <c r="A4094" t="str">
        <f>HYPERLINK("https://www.773grp.com/globalSearch/LM2671M-3.3-NOPB/page-1", "LM2671M-3.3-NOPB")</f>
        <v>LM2671M-3.3-NOPB</v>
      </c>
      <c r="B4094" s="3" t="str">
        <f>HYPERLINK("https://www.773grp.com/manufacturer/national-semiconductor?pageNo=73", "National Semiconductor")</f>
        <v>National Semiconductor</v>
      </c>
      <c r="C4094" s="6">
        <v>330</v>
      </c>
      <c r="D4094" s="7">
        <v>4.3899999999999997</v>
      </c>
      <c r="E4094" t="s">
        <v>7</v>
      </c>
    </row>
    <row r="4095" spans="1:5" x14ac:dyDescent="0.25">
      <c r="A4095" t="str">
        <f>HYPERLINK("https://www.773grp.com/globalSearch/LM2671M-5.0-NOPB/page-1", "LM2671M-5.0-NOPB")</f>
        <v>LM2671M-5.0-NOPB</v>
      </c>
      <c r="B4095" s="3" t="str">
        <f>HYPERLINK("https://www.773grp.com/manufacturer/national-semiconductor?pageNo=74", "National Semiconductor")</f>
        <v>National Semiconductor</v>
      </c>
      <c r="C4095" s="6">
        <v>3085</v>
      </c>
      <c r="D4095" s="7">
        <v>4.3899999999999997</v>
      </c>
      <c r="E4095" t="s">
        <v>7</v>
      </c>
    </row>
    <row r="4096" spans="1:5" x14ac:dyDescent="0.25">
      <c r="A4096" t="str">
        <f>HYPERLINK("https://www.773grp.com/globalSearch/LM2671N-5.0/page-1", "LM2671N-5.0")</f>
        <v>LM2671N-5.0</v>
      </c>
      <c r="B4096" s="3" t="str">
        <f>HYPERLINK("https://www.773grp.com/manufacturer/national-semiconductor?pageNo=75", "National Semiconductor")</f>
        <v>National Semiconductor</v>
      </c>
      <c r="C4096" s="6">
        <v>1185</v>
      </c>
      <c r="D4096" s="7">
        <v>4.3899999999999997</v>
      </c>
      <c r="E4096" t="s">
        <v>7</v>
      </c>
    </row>
    <row r="4097" spans="1:5" x14ac:dyDescent="0.25">
      <c r="A4097" t="str">
        <f>HYPERLINK("https://www.773grp.com/globalSearch/LM3423Q1MH-NOPB/page-1", "LM3423Q1MH-NOPB")</f>
        <v>LM3423Q1MH-NOPB</v>
      </c>
      <c r="B4097" s="3" t="str">
        <f>HYPERLINK("https://www.773grp.com/manufacturer/national-semiconductor?pageNo=76", "National Semiconductor")</f>
        <v>National Semiconductor</v>
      </c>
      <c r="C4097" s="6">
        <v>438</v>
      </c>
      <c r="D4097" s="7">
        <v>4.3899999999999997</v>
      </c>
    </row>
    <row r="4098" spans="1:5" x14ac:dyDescent="0.25">
      <c r="A4098" t="str">
        <f>HYPERLINK("https://www.773grp.com/globalSearch/LM3424MH-NOPB/page-1", "LM3424MH-NOPB")</f>
        <v>LM3424MH-NOPB</v>
      </c>
      <c r="B4098" s="3" t="str">
        <f>HYPERLINK("https://www.773grp.com/manufacturer/national-semiconductor?pageNo=77", "National Semiconductor")</f>
        <v>National Semiconductor</v>
      </c>
      <c r="C4098" s="6">
        <v>693</v>
      </c>
      <c r="D4098" s="7">
        <v>4.3899999999999997</v>
      </c>
      <c r="E4098" t="s">
        <v>10</v>
      </c>
    </row>
    <row r="4099" spans="1:5" x14ac:dyDescent="0.25">
      <c r="A4099" t="str">
        <f>HYPERLINK("https://www.773grp.com/globalSearch/LM3431AMH-NOPB/page-1", "LM3431AMH-NOPB")</f>
        <v>LM3431AMH-NOPB</v>
      </c>
      <c r="B4099" s="3" t="str">
        <f>HYPERLINK("https://www.773grp.com/manufacturer/national-semiconductor?pageNo=78", "National Semiconductor")</f>
        <v>National Semiconductor</v>
      </c>
      <c r="C4099" s="6">
        <v>273</v>
      </c>
      <c r="D4099" s="7">
        <v>4.3899999999999997</v>
      </c>
    </row>
    <row r="4100" spans="1:5" x14ac:dyDescent="0.25">
      <c r="A4100" t="str">
        <f>HYPERLINK("https://www.773grp.com/globalSearch/LM3431QMH-NOPB/page-1", "LM3431QMH-NOPB")</f>
        <v>LM3431QMH-NOPB</v>
      </c>
      <c r="B4100" s="3" t="str">
        <f>HYPERLINK("https://www.773grp.com/manufacturer/national-semiconductor?pageNo=79", "National Semiconductor")</f>
        <v>National Semiconductor</v>
      </c>
      <c r="C4100" s="6">
        <v>192</v>
      </c>
      <c r="D4100" s="7">
        <v>4.3899999999999997</v>
      </c>
    </row>
    <row r="4101" spans="1:5" x14ac:dyDescent="0.25">
      <c r="A4101" t="str">
        <f>HYPERLINK("https://www.773grp.com/globalSearch/LM395T-NOPB/page-1", "LM395T-NOPB")</f>
        <v>LM395T-NOPB</v>
      </c>
      <c r="B4101" s="3" t="str">
        <f>HYPERLINK("https://www.773grp.com/manufacturer/national-semiconductor?pageNo=80", "National Semiconductor")</f>
        <v>National Semiconductor</v>
      </c>
      <c r="C4101" s="6">
        <v>377</v>
      </c>
      <c r="D4101" s="7">
        <v>4.3899999999999997</v>
      </c>
      <c r="E4101" t="s">
        <v>59</v>
      </c>
    </row>
    <row r="4102" spans="1:5" x14ac:dyDescent="0.25">
      <c r="A4102" t="str">
        <f>HYPERLINK("https://www.773grp.com/globalSearch/LM5041BMTC-NOPB/page-1", "LM5041BMTC-NOPB")</f>
        <v>LM5041BMTC-NOPB</v>
      </c>
      <c r="B4102" s="3" t="str">
        <f>HYPERLINK("https://www.773grp.com/manufacturer/national-semiconductor?pageNo=81", "National Semiconductor")</f>
        <v>National Semiconductor</v>
      </c>
      <c r="C4102" s="6">
        <v>92</v>
      </c>
      <c r="D4102" s="7">
        <v>4.3899999999999997</v>
      </c>
    </row>
    <row r="4103" spans="1:5" x14ac:dyDescent="0.25">
      <c r="A4103" t="str">
        <f>HYPERLINK("https://www.773grp.com/globalSearch/LM5041MTC-NOPB/page-1", "LM5041MTC-NOPB")</f>
        <v>LM5041MTC-NOPB</v>
      </c>
      <c r="B4103" s="3" t="str">
        <f>HYPERLINK("https://www.773grp.com/manufacturer/national-semiconductor?pageNo=82", "National Semiconductor")</f>
        <v>National Semiconductor</v>
      </c>
      <c r="C4103" s="6">
        <v>2</v>
      </c>
      <c r="D4103" s="7">
        <v>4.3899999999999997</v>
      </c>
      <c r="E4103" t="s">
        <v>7</v>
      </c>
    </row>
    <row r="4104" spans="1:5" x14ac:dyDescent="0.25">
      <c r="A4104" t="str">
        <f>HYPERLINK("https://www.773grp.com/globalSearch/LM5070MTC-50-NOPB/page-1", "LM5070MTC-50-NOPB")</f>
        <v>LM5070MTC-50-NOPB</v>
      </c>
      <c r="B4104" s="3" t="str">
        <f>HYPERLINK("https://www.773grp.com/manufacturer/national-semiconductor?pageNo=83", "National Semiconductor")</f>
        <v>National Semiconductor</v>
      </c>
      <c r="C4104" s="6">
        <v>3676</v>
      </c>
      <c r="D4104" s="7">
        <v>4.3899999999999997</v>
      </c>
      <c r="E4104" t="s">
        <v>7</v>
      </c>
    </row>
    <row r="4105" spans="1:5" x14ac:dyDescent="0.25">
      <c r="A4105" t="str">
        <f>HYPERLINK("https://www.773grp.com/globalSearch/LM5071MT-50-NOPB/page-1", "LM5071MT-50-NOPB")</f>
        <v>LM5071MT-50-NOPB</v>
      </c>
      <c r="B4105" s="3" t="str">
        <f>HYPERLINK("https://www.773grp.com/manufacturer/national-semiconductor?pageNo=84", "National Semiconductor")</f>
        <v>National Semiconductor</v>
      </c>
      <c r="C4105" s="6">
        <v>4483</v>
      </c>
      <c r="D4105" s="7">
        <v>4.3899999999999997</v>
      </c>
    </row>
    <row r="4106" spans="1:5" x14ac:dyDescent="0.25">
      <c r="A4106" t="str">
        <f>HYPERLINK("https://www.773grp.com/globalSearch/LM5071MT-80-NOPB/page-1", "LM5071MT-80-NOPB")</f>
        <v>LM5071MT-80-NOPB</v>
      </c>
      <c r="B4106" s="3" t="str">
        <f>HYPERLINK("https://www.773grp.com/manufacturer/national-semiconductor?pageNo=85", "National Semiconductor")</f>
        <v>National Semiconductor</v>
      </c>
      <c r="C4106" s="6">
        <v>1749</v>
      </c>
      <c r="D4106" s="7">
        <v>4.3899999999999997</v>
      </c>
    </row>
    <row r="4107" spans="1:5" x14ac:dyDescent="0.25">
      <c r="A4107" t="str">
        <f>HYPERLINK("https://www.773grp.com/globalSearch/LMC6042AIN-NOPB/page-1", "LMC6042AIN-NOPB")</f>
        <v>LMC6042AIN-NOPB</v>
      </c>
      <c r="B4107" s="3" t="str">
        <f>HYPERLINK("https://www.773grp.com/manufacturer/national-semiconductor?pageNo=86", "National Semiconductor")</f>
        <v>National Semiconductor</v>
      </c>
      <c r="C4107" s="6">
        <v>1817</v>
      </c>
      <c r="D4107" s="7">
        <v>4.3899999999999997</v>
      </c>
      <c r="E4107" t="s">
        <v>13</v>
      </c>
    </row>
    <row r="4108" spans="1:5" x14ac:dyDescent="0.25">
      <c r="A4108" t="str">
        <f>HYPERLINK("https://www.773grp.com/globalSearch/LMH6551MM-NOPB/page-1", "LMH6551MM-NOPB")</f>
        <v>LMH6551MM-NOPB</v>
      </c>
      <c r="B4108" s="3" t="str">
        <f>HYPERLINK("https://www.773grp.com/manufacturer/national-semiconductor?pageNo=87", "National Semiconductor")</f>
        <v>National Semiconductor</v>
      </c>
      <c r="C4108" s="6">
        <v>800</v>
      </c>
      <c r="D4108" s="7">
        <v>4.3899999999999997</v>
      </c>
      <c r="E4108" t="s">
        <v>13</v>
      </c>
    </row>
    <row r="4109" spans="1:5" x14ac:dyDescent="0.25">
      <c r="A4109" t="str">
        <f>HYPERLINK("https://www.773grp.com/globalSearch/LMH6672MA-NOPB/page-1", "LMH6672MA-NOPB")</f>
        <v>LMH6672MA-NOPB</v>
      </c>
      <c r="B4109" s="3" t="str">
        <f>HYPERLINK("https://www.773grp.com/manufacturer/national-semiconductor?pageNo=88", "National Semiconductor")</f>
        <v>National Semiconductor</v>
      </c>
      <c r="C4109" s="6">
        <v>1020</v>
      </c>
      <c r="D4109" s="7">
        <v>4.3899999999999997</v>
      </c>
      <c r="E4109" t="s">
        <v>13</v>
      </c>
    </row>
    <row r="4110" spans="1:5" x14ac:dyDescent="0.25">
      <c r="A4110" t="str">
        <f>HYPERLINK("https://www.773grp.com/globalSearch/LMH6672MR-NOPB/page-1", "LMH6672MR-NOPB")</f>
        <v>LMH6672MR-NOPB</v>
      </c>
      <c r="B4110" s="3" t="str">
        <f>HYPERLINK("https://www.773grp.com/manufacturer/national-semiconductor?pageNo=89", "National Semiconductor")</f>
        <v>National Semiconductor</v>
      </c>
      <c r="C4110" s="6">
        <v>100</v>
      </c>
      <c r="D4110" s="7">
        <v>4.3899999999999997</v>
      </c>
      <c r="E4110" t="s">
        <v>13</v>
      </c>
    </row>
    <row r="4111" spans="1:5" x14ac:dyDescent="0.25">
      <c r="A4111" t="str">
        <f>HYPERLINK("https://www.773grp.com/globalSearch/LM22671MR-5.0-NOPB/page-1", "LM22671MR-5.0-NOPB")</f>
        <v>LM22671MR-5.0-NOPB</v>
      </c>
      <c r="B4111" s="3" t="str">
        <f>HYPERLINK("https://www.773grp.com/manufacturer/national-semiconductor?pageNo=90", "National Semiconductor")</f>
        <v>National Semiconductor</v>
      </c>
      <c r="C4111" s="6">
        <v>595</v>
      </c>
      <c r="D4111" s="7">
        <v>4.3899999999999997</v>
      </c>
    </row>
    <row r="4112" spans="1:5" x14ac:dyDescent="0.25">
      <c r="A4112" t="str">
        <f>HYPERLINK("https://www.773grp.com/globalSearch/LM22671MR-ADJ-NOPB/page-1", "LM22671MR-ADJ-NOPB")</f>
        <v>LM22671MR-ADJ-NOPB</v>
      </c>
      <c r="B4112" s="3" t="str">
        <f>HYPERLINK("https://www.773grp.com/manufacturer/national-semiconductor?pageNo=91", "National Semiconductor")</f>
        <v>National Semiconductor</v>
      </c>
      <c r="C4112" s="6">
        <v>570</v>
      </c>
      <c r="D4112" s="7">
        <v>4.3899999999999997</v>
      </c>
    </row>
    <row r="4113" spans="1:5" x14ac:dyDescent="0.25">
      <c r="A4113" t="str">
        <f>HYPERLINK("https://www.773grp.com/globalSearch/LM2671M-12-NOPB/page-1", "LM2671M-12-NOPB")</f>
        <v>LM2671M-12-NOPB</v>
      </c>
      <c r="B4113" s="3" t="str">
        <f>HYPERLINK("https://www.773grp.com/manufacturer/national-semiconductor?pageNo=92", "National Semiconductor")</f>
        <v>National Semiconductor</v>
      </c>
      <c r="C4113" s="6">
        <v>240</v>
      </c>
      <c r="D4113" s="7">
        <v>4.3899999999999997</v>
      </c>
    </row>
    <row r="4114" spans="1:5" x14ac:dyDescent="0.25">
      <c r="A4114" t="str">
        <f>HYPERLINK("https://www.773grp.com/globalSearch/LM2671M-3.3-NOPB/page-1", "LM2671M-3.3-NOPB")</f>
        <v>LM2671M-3.3-NOPB</v>
      </c>
      <c r="B4114" s="3" t="str">
        <f>HYPERLINK("https://www.773grp.com/manufacturer/national-semiconductor?pageNo=93", "National Semiconductor")</f>
        <v>National Semiconductor</v>
      </c>
      <c r="C4114" s="6">
        <v>440</v>
      </c>
      <c r="D4114" s="7">
        <v>4.3899999999999997</v>
      </c>
      <c r="E4114" t="s">
        <v>7</v>
      </c>
    </row>
    <row r="4115" spans="1:5" x14ac:dyDescent="0.25">
      <c r="A4115" t="str">
        <f>HYPERLINK("https://www.773grp.com/globalSearch/LM2671M-5.0-NOPB/page-1", "LM2671M-5.0-NOPB")</f>
        <v>LM2671M-5.0-NOPB</v>
      </c>
      <c r="B4115" s="3" t="str">
        <f>HYPERLINK("https://www.773grp.com/manufacturer/national-semiconductor?pageNo=94", "National Semiconductor")</f>
        <v>National Semiconductor</v>
      </c>
      <c r="C4115" s="6">
        <v>11385</v>
      </c>
      <c r="D4115" s="7">
        <v>4.3899999999999997</v>
      </c>
      <c r="E4115" t="s">
        <v>7</v>
      </c>
    </row>
    <row r="4116" spans="1:5" x14ac:dyDescent="0.25">
      <c r="A4116" t="str">
        <f>HYPERLINK("https://www.773grp.com/globalSearch/LM2671M-ADJ-NOPB/page-1", "LM2671M-ADJ-NOPB")</f>
        <v>LM2671M-ADJ-NOPB</v>
      </c>
      <c r="B4116" s="3" t="str">
        <f>HYPERLINK("https://www.773grp.com/manufacturer/national-semiconductor?pageNo=95", "National Semiconductor")</f>
        <v>National Semiconductor</v>
      </c>
      <c r="C4116" s="6">
        <v>192</v>
      </c>
      <c r="D4116" s="7">
        <v>4.3899999999999997</v>
      </c>
    </row>
    <row r="4117" spans="1:5" x14ac:dyDescent="0.25">
      <c r="A4117" t="str">
        <f>HYPERLINK("https://www.773grp.com/globalSearch/LM2671N-5.0/page-1", "LM2671N-5.0")</f>
        <v>LM2671N-5.0</v>
      </c>
      <c r="B4117" s="3" t="str">
        <f>HYPERLINK("https://www.773grp.com/manufacturer/national-semiconductor?pageNo=96", "National Semiconductor")</f>
        <v>National Semiconductor</v>
      </c>
      <c r="C4117" s="6">
        <v>190</v>
      </c>
      <c r="D4117" s="7">
        <v>4.3899999999999997</v>
      </c>
      <c r="E4117" t="s">
        <v>7</v>
      </c>
    </row>
    <row r="4118" spans="1:5" x14ac:dyDescent="0.25">
      <c r="A4118" t="str">
        <f>HYPERLINK("https://www.773grp.com/globalSearch/LM3424MH-NOPB/page-1", "LM3424MH-NOPB")</f>
        <v>LM3424MH-NOPB</v>
      </c>
      <c r="B4118" s="3" t="str">
        <f>HYPERLINK("https://www.773grp.com/manufacturer/national-semiconductor?pageNo=97", "National Semiconductor")</f>
        <v>National Semiconductor</v>
      </c>
      <c r="C4118" s="6">
        <v>28898</v>
      </c>
      <c r="D4118" s="7">
        <v>4.3899999999999997</v>
      </c>
      <c r="E4118" t="s">
        <v>10</v>
      </c>
    </row>
    <row r="4119" spans="1:5" x14ac:dyDescent="0.25">
      <c r="A4119" t="str">
        <f>HYPERLINK("https://www.773grp.com/globalSearch/LM3431AMH-NOPB/page-1", "LM3431AMH-NOPB")</f>
        <v>LM3431AMH-NOPB</v>
      </c>
      <c r="B4119" s="3" t="str">
        <f>HYPERLINK("https://www.773grp.com/manufacturer/national-semiconductor?pageNo=98", "National Semiconductor")</f>
        <v>National Semiconductor</v>
      </c>
      <c r="C4119" s="6">
        <v>48</v>
      </c>
      <c r="D4119" s="7">
        <v>4.3899999999999997</v>
      </c>
    </row>
    <row r="4120" spans="1:5" x14ac:dyDescent="0.25">
      <c r="A4120" t="str">
        <f>HYPERLINK("https://www.773grp.com/globalSearch/LM3431QMH-NOPB/page-1", "LM3431QMH-NOPB")</f>
        <v>LM3431QMH-NOPB</v>
      </c>
      <c r="B4120" s="3" t="str">
        <f>HYPERLINK("https://www.773grp.com/manufacturer/national-semiconductor?pageNo=99", "National Semiconductor")</f>
        <v>National Semiconductor</v>
      </c>
      <c r="C4120" s="6">
        <v>208</v>
      </c>
      <c r="D4120" s="7">
        <v>4.3899999999999997</v>
      </c>
    </row>
    <row r="4121" spans="1:5" x14ac:dyDescent="0.25">
      <c r="A4121" t="str">
        <f>HYPERLINK("https://www.773grp.com/globalSearch/LM34910SD/page-1", "LM34910SD")</f>
        <v>LM34910SD</v>
      </c>
      <c r="B4121" s="3" t="str">
        <f>HYPERLINK("https://www.773grp.com/manufacturer/national-semiconductor?pageNo=100", "National Semiconductor")</f>
        <v>National Semiconductor</v>
      </c>
      <c r="C4121" s="6">
        <v>29</v>
      </c>
      <c r="D4121" s="7">
        <v>4.3899999999999997</v>
      </c>
      <c r="E4121" t="s">
        <v>7</v>
      </c>
    </row>
    <row r="4122" spans="1:5" x14ac:dyDescent="0.25">
      <c r="A4122" t="str">
        <f>HYPERLINK("https://www.773grp.com/globalSearch/LM395T-NOPB/page-1", "LM395T-NOPB")</f>
        <v>LM395T-NOPB</v>
      </c>
      <c r="B4122" s="3" t="str">
        <f>HYPERLINK("https://www.773grp.com/manufacturer/national-semiconductor?pageNo=101", "National Semiconductor")</f>
        <v>National Semiconductor</v>
      </c>
      <c r="C4122" s="6">
        <v>255</v>
      </c>
      <c r="D4122" s="7">
        <v>4.3899999999999997</v>
      </c>
      <c r="E4122" t="s">
        <v>59</v>
      </c>
    </row>
    <row r="4123" spans="1:5" x14ac:dyDescent="0.25">
      <c r="A4123" t="str">
        <f>HYPERLINK("https://www.773grp.com/globalSearch/LM5041AMTC-NOPB/page-1", "LM5041AMTC-NOPB")</f>
        <v>LM5041AMTC-NOPB</v>
      </c>
      <c r="B4123" s="3" t="str">
        <f>HYPERLINK("https://www.773grp.com/manufacturer/national-semiconductor?pageNo=102", "National Semiconductor")</f>
        <v>National Semiconductor</v>
      </c>
      <c r="C4123" s="6">
        <v>371</v>
      </c>
      <c r="D4123" s="7">
        <v>4.3899999999999997</v>
      </c>
    </row>
    <row r="4124" spans="1:5" x14ac:dyDescent="0.25">
      <c r="A4124" t="str">
        <f>HYPERLINK("https://www.773grp.com/globalSearch/LM5041BMTC-NOPB/page-1", "LM5041BMTC-NOPB")</f>
        <v>LM5041BMTC-NOPB</v>
      </c>
      <c r="B4124" s="3" t="str">
        <f>HYPERLINK("https://www.773grp.com/manufacturer/national-semiconductor?pageNo=103", "National Semiconductor")</f>
        <v>National Semiconductor</v>
      </c>
      <c r="C4124" s="6">
        <v>1203</v>
      </c>
      <c r="D4124" s="7">
        <v>4.3899999999999997</v>
      </c>
    </row>
    <row r="4125" spans="1:5" x14ac:dyDescent="0.25">
      <c r="A4125" t="str">
        <f>HYPERLINK("https://www.773grp.com/globalSearch/LM5041MTC-NOPB/page-1", "LM5041MTC-NOPB")</f>
        <v>LM5041MTC-NOPB</v>
      </c>
      <c r="B4125" s="3" t="str">
        <f>HYPERLINK("https://www.773grp.com/manufacturer/national-semiconductor?pageNo=104", "National Semiconductor")</f>
        <v>National Semiconductor</v>
      </c>
      <c r="C4125" s="6">
        <v>260</v>
      </c>
      <c r="D4125" s="7">
        <v>4.3899999999999997</v>
      </c>
      <c r="E4125" t="s">
        <v>7</v>
      </c>
    </row>
    <row r="4126" spans="1:5" x14ac:dyDescent="0.25">
      <c r="A4126" t="str">
        <f>HYPERLINK("https://www.773grp.com/globalSearch/LM5041MTC-NOPB/page-1", "LM5041MTC-NOPB")</f>
        <v>LM5041MTC-NOPB</v>
      </c>
      <c r="B4126" s="3" t="str">
        <f>HYPERLINK("https://www.773grp.com/manufacturer/national-semiconductor?pageNo=105", "National Semiconductor")</f>
        <v>National Semiconductor</v>
      </c>
      <c r="C4126" s="6">
        <v>460</v>
      </c>
      <c r="D4126" s="7">
        <v>4.3899999999999997</v>
      </c>
      <c r="E4126" t="s">
        <v>7</v>
      </c>
    </row>
    <row r="4127" spans="1:5" x14ac:dyDescent="0.25">
      <c r="A4127" t="str">
        <f>HYPERLINK("https://www.773grp.com/globalSearch/LM5070MTC-50-NOPB/page-1", "LM5070MTC-50-NOPB")</f>
        <v>LM5070MTC-50-NOPB</v>
      </c>
      <c r="B4127" s="3" t="str">
        <f>HYPERLINK("https://www.773grp.com/manufacturer/national-semiconductor?pageNo=106", "National Semiconductor")</f>
        <v>National Semiconductor</v>
      </c>
      <c r="C4127" s="6">
        <v>305</v>
      </c>
      <c r="D4127" s="7">
        <v>4.3899999999999997</v>
      </c>
      <c r="E4127" t="s">
        <v>7</v>
      </c>
    </row>
    <row r="4128" spans="1:5" x14ac:dyDescent="0.25">
      <c r="A4128" t="str">
        <f>HYPERLINK("https://www.773grp.com/globalSearch/LM5070MTC-80-NOPB/page-1", "LM5070MTC-80-NOPB")</f>
        <v>LM5070MTC-80-NOPB</v>
      </c>
      <c r="B4128" s="3" t="str">
        <f>HYPERLINK("https://www.773grp.com/manufacturer/national-semiconductor?pageNo=107", "National Semiconductor")</f>
        <v>National Semiconductor</v>
      </c>
      <c r="C4128" s="6">
        <v>135</v>
      </c>
      <c r="D4128" s="7">
        <v>4.3899999999999997</v>
      </c>
      <c r="E4128" t="s">
        <v>7</v>
      </c>
    </row>
    <row r="4129" spans="1:5" x14ac:dyDescent="0.25">
      <c r="A4129" t="str">
        <f>HYPERLINK("https://www.773grp.com/globalSearch/LM5071MT-50-NOPB/page-1", "LM5071MT-50-NOPB")</f>
        <v>LM5071MT-50-NOPB</v>
      </c>
      <c r="B4129" s="3" t="str">
        <f>HYPERLINK("https://www.773grp.com/manufacturer/national-semiconductor?pageNo=108", "National Semiconductor")</f>
        <v>National Semiconductor</v>
      </c>
      <c r="C4129" s="6">
        <v>402</v>
      </c>
      <c r="D4129" s="7">
        <v>4.3899999999999997</v>
      </c>
    </row>
    <row r="4130" spans="1:5" x14ac:dyDescent="0.25">
      <c r="A4130" t="str">
        <f>HYPERLINK("https://www.773grp.com/globalSearch/LM5071MT-80-NOPB/page-1", "LM5071MT-80-NOPB")</f>
        <v>LM5071MT-80-NOPB</v>
      </c>
      <c r="B4130" s="3" t="str">
        <f>HYPERLINK("https://www.773grp.com/manufacturer/national-semiconductor?pageNo=109", "National Semiconductor")</f>
        <v>National Semiconductor</v>
      </c>
      <c r="C4130" s="6">
        <v>787</v>
      </c>
      <c r="D4130" s="7">
        <v>4.3899999999999997</v>
      </c>
    </row>
    <row r="4131" spans="1:5" x14ac:dyDescent="0.25">
      <c r="A4131" t="str">
        <f>HYPERLINK("https://www.773grp.com/globalSearch/LM614IWM-NOPB/page-1", "LM614IWM-NOPB")</f>
        <v>LM614IWM-NOPB</v>
      </c>
      <c r="B4131" s="3" t="str">
        <f>HYPERLINK("https://www.773grp.com/manufacturer/national-semiconductor?pageNo=110", "National Semiconductor")</f>
        <v>National Semiconductor</v>
      </c>
      <c r="C4131" s="6">
        <v>1220</v>
      </c>
      <c r="D4131" s="7">
        <v>4.3899999999999997</v>
      </c>
    </row>
    <row r="4132" spans="1:5" x14ac:dyDescent="0.25">
      <c r="A4132" t="str">
        <f>HYPERLINK("https://www.773grp.com/globalSearch/LMC6042AIN-NOPB/page-1", "LMC6042AIN-NOPB")</f>
        <v>LMC6042AIN-NOPB</v>
      </c>
      <c r="B4132" s="3" t="str">
        <f>HYPERLINK("https://www.773grp.com/manufacturer/national-semiconductor?pageNo=111", "National Semiconductor")</f>
        <v>National Semiconductor</v>
      </c>
      <c r="C4132" s="6">
        <v>822</v>
      </c>
      <c r="D4132" s="7">
        <v>4.3899999999999997</v>
      </c>
      <c r="E4132" t="s">
        <v>13</v>
      </c>
    </row>
    <row r="4133" spans="1:5" x14ac:dyDescent="0.25">
      <c r="A4133" t="str">
        <f>HYPERLINK("https://www.773grp.com/globalSearch/LMH6672MA-NOPB/page-1", "LMH6672MA-NOPB")</f>
        <v>LMH6672MA-NOPB</v>
      </c>
      <c r="B4133" s="3" t="str">
        <f>HYPERLINK("https://www.773grp.com/manufacturer/national-semiconductor?pageNo=112", "National Semiconductor")</f>
        <v>National Semiconductor</v>
      </c>
      <c r="C4133" s="6">
        <v>9910</v>
      </c>
      <c r="D4133" s="7">
        <v>4.3899999999999997</v>
      </c>
      <c r="E4133" t="s">
        <v>13</v>
      </c>
    </row>
    <row r="4134" spans="1:5" x14ac:dyDescent="0.25">
      <c r="A4134" t="str">
        <f>HYPERLINK("https://www.773grp.com/globalSearch/LMH6672MR-NOPB/page-1", "LMH6672MR-NOPB")</f>
        <v>LMH6672MR-NOPB</v>
      </c>
      <c r="B4134" s="3" t="str">
        <f>HYPERLINK("https://www.773grp.com/manufacturer/national-semiconductor?pageNo=113", "National Semiconductor")</f>
        <v>National Semiconductor</v>
      </c>
      <c r="C4134" s="6">
        <v>10112</v>
      </c>
      <c r="D4134" s="7">
        <v>4.3899999999999997</v>
      </c>
      <c r="E4134" t="s">
        <v>13</v>
      </c>
    </row>
    <row r="4135" spans="1:5" x14ac:dyDescent="0.25">
      <c r="A4135" t="str">
        <f>HYPERLINK("https://www.773grp.com/globalSearch/LMP7702MA-NOPB/page-1", "LMP7702MA-NOPB")</f>
        <v>LMP7702MA-NOPB</v>
      </c>
      <c r="B4135" s="3" t="str">
        <f>HYPERLINK("https://www.773grp.com/manufacturer/national-semiconductor?pageNo=114", "National Semiconductor")</f>
        <v>National Semiconductor</v>
      </c>
      <c r="C4135" s="6">
        <v>209</v>
      </c>
      <c r="D4135" s="7">
        <v>4.3899999999999997</v>
      </c>
    </row>
    <row r="4136" spans="1:5" x14ac:dyDescent="0.25">
      <c r="A4136" t="str">
        <f>HYPERLINK("https://www.773grp.com/globalSearch/54LS153DM/page-1", "54LS153DM")</f>
        <v>54LS153DM</v>
      </c>
      <c r="B4136" s="3" t="str">
        <f>HYPERLINK("https://www.773grp.com/manufacturer/national-semiconductor?pageNo=115", "National Semiconductor")</f>
        <v>National Semiconductor</v>
      </c>
      <c r="C4136" s="6">
        <v>743</v>
      </c>
      <c r="D4136" s="7">
        <v>4.8600000000000003</v>
      </c>
      <c r="E4136" t="s">
        <v>20</v>
      </c>
    </row>
    <row r="4137" spans="1:5" x14ac:dyDescent="0.25">
      <c r="A4137" t="str">
        <f>HYPERLINK("https://www.773grp.com/globalSearch/54LS153DM  3/page-1", "54LS153DM  3")</f>
        <v>54LS153DM  3</v>
      </c>
      <c r="B4137" s="3" t="str">
        <f>HYPERLINK("https://www.773grp.com/manufacturer/national-semiconductor?pageNo=116", "National Semiconductor")</f>
        <v>National Semiconductor</v>
      </c>
      <c r="C4137" s="6">
        <v>216</v>
      </c>
      <c r="D4137" s="7">
        <v>4.8600000000000003</v>
      </c>
    </row>
    <row r="4138" spans="1:5" x14ac:dyDescent="0.25">
      <c r="A4138" t="str">
        <f>HYPERLINK("https://www.773grp.com/globalSearch/54LS375DM-MIL/page-1", "54LS375DM-MIL")</f>
        <v>54LS375DM-MIL</v>
      </c>
      <c r="B4138" s="3" t="str">
        <f>HYPERLINK("https://www.773grp.com/manufacturer/national-semiconductor?pageNo=117", "National Semiconductor")</f>
        <v>National Semiconductor</v>
      </c>
      <c r="C4138" s="6">
        <v>225</v>
      </c>
      <c r="D4138" s="7">
        <v>4.8600000000000003</v>
      </c>
    </row>
    <row r="4139" spans="1:5" x14ac:dyDescent="0.25">
      <c r="A4139" t="str">
        <f>HYPERLINK("https://www.773grp.com/globalSearch/54LS375DMQB/page-1", "54LS375DMQB")</f>
        <v>54LS375DMQB</v>
      </c>
      <c r="B4139" s="3" t="str">
        <f>HYPERLINK("https://www.773grp.com/manufacturer/national-semiconductor?pageNo=118", "National Semiconductor")</f>
        <v>National Semiconductor</v>
      </c>
      <c r="C4139" s="6">
        <v>1207</v>
      </c>
      <c r="D4139" s="7">
        <v>4.8600000000000003</v>
      </c>
      <c r="E4139" t="s">
        <v>35</v>
      </c>
    </row>
    <row r="4140" spans="1:5" x14ac:dyDescent="0.25">
      <c r="A4140" t="str">
        <f>HYPERLINK("https://www.773grp.com/globalSearch/74LS169PC/page-1", "74LS169PC")</f>
        <v>74LS169PC</v>
      </c>
      <c r="B4140" s="3" t="str">
        <f>HYPERLINK("https://www.773grp.com/manufacturer/national-semiconductor?pageNo=119", "National Semiconductor")</f>
        <v>National Semiconductor</v>
      </c>
      <c r="C4140" s="6">
        <v>2538</v>
      </c>
      <c r="D4140" s="7">
        <v>4.8600000000000003</v>
      </c>
      <c r="E4140" t="s">
        <v>26</v>
      </c>
    </row>
    <row r="4141" spans="1:5" x14ac:dyDescent="0.25">
      <c r="A4141" t="str">
        <f>HYPERLINK("https://www.773grp.com/globalSearch/74LS352PC/page-1", "74LS352PC")</f>
        <v>74LS352PC</v>
      </c>
      <c r="B4141" s="3" t="str">
        <f>HYPERLINK("https://www.773grp.com/manufacturer/national-semiconductor?pageNo=120", "National Semiconductor")</f>
        <v>National Semiconductor</v>
      </c>
      <c r="C4141" s="6">
        <v>4008</v>
      </c>
      <c r="D4141" s="7">
        <v>4.8600000000000003</v>
      </c>
    </row>
    <row r="4142" spans="1:5" x14ac:dyDescent="0.25">
      <c r="A4142" t="str">
        <f>HYPERLINK("https://www.773grp.com/globalSearch/74LS353PC/page-1", "74LS353PC")</f>
        <v>74LS353PC</v>
      </c>
      <c r="B4142" s="3" t="str">
        <f>HYPERLINK("https://www.773grp.com/manufacturer/national-semiconductor?pageNo=121", "National Semiconductor")</f>
        <v>National Semiconductor</v>
      </c>
      <c r="C4142" s="6">
        <v>9257</v>
      </c>
      <c r="D4142" s="7">
        <v>4.8600000000000003</v>
      </c>
    </row>
    <row r="4143" spans="1:5" x14ac:dyDescent="0.25">
      <c r="A4143" t="str">
        <f>HYPERLINK("https://www.773grp.com/globalSearch/LM13600N/page-1", "LM13600N")</f>
        <v>LM13600N</v>
      </c>
      <c r="B4143" s="3" t="str">
        <f>HYPERLINK("https://www.773grp.com/manufacturer/national-semiconductor?pageNo=122", "National Semiconductor")</f>
        <v>National Semiconductor</v>
      </c>
      <c r="C4143" s="6">
        <v>8</v>
      </c>
      <c r="D4143" s="7">
        <v>4.8600000000000003</v>
      </c>
      <c r="E4143" t="s">
        <v>13</v>
      </c>
    </row>
    <row r="4144" spans="1:5" x14ac:dyDescent="0.25">
      <c r="A4144" t="str">
        <f>HYPERLINK("https://www.773grp.com/globalSearch/LM2445TA/page-1", "LM2445TA")</f>
        <v>LM2445TA</v>
      </c>
      <c r="B4144" s="3" t="str">
        <f>HYPERLINK("https://www.773grp.com/manufacturer/national-semiconductor?pageNo=123", "National Semiconductor")</f>
        <v>National Semiconductor</v>
      </c>
      <c r="C4144" s="6">
        <v>237</v>
      </c>
      <c r="D4144" s="7">
        <v>4.8600000000000003</v>
      </c>
      <c r="E4144" t="s">
        <v>18</v>
      </c>
    </row>
    <row r="4145" spans="1:5" x14ac:dyDescent="0.25">
      <c r="A4145" t="str">
        <f>HYPERLINK("https://www.773grp.com/globalSearch/LM2445TA-NOPB/page-1", "LM2445TA-NOPB")</f>
        <v>LM2445TA-NOPB</v>
      </c>
      <c r="B4145" s="3" t="str">
        <f>HYPERLINK("https://www.773grp.com/manufacturer/national-semiconductor?pageNo=124", "National Semiconductor")</f>
        <v>National Semiconductor</v>
      </c>
      <c r="C4145" s="6">
        <v>4840</v>
      </c>
      <c r="D4145" s="7">
        <v>4.8600000000000003</v>
      </c>
    </row>
    <row r="4146" spans="1:5" x14ac:dyDescent="0.25">
      <c r="A4146" t="str">
        <f>HYPERLINK("https://www.773grp.com/globalSearch/LM2937ES-12-NOPB/page-1", "LM2937ES-12-NOPB")</f>
        <v>LM2937ES-12-NOPB</v>
      </c>
      <c r="B4146" s="3" t="str">
        <f>HYPERLINK("https://www.773grp.com/manufacturer/national-semiconductor?pageNo=125", "National Semiconductor")</f>
        <v>National Semiconductor</v>
      </c>
      <c r="C4146" s="6">
        <v>751</v>
      </c>
      <c r="D4146" s="7">
        <v>4.8600000000000003</v>
      </c>
      <c r="E4146" t="s">
        <v>19</v>
      </c>
    </row>
    <row r="4147" spans="1:5" x14ac:dyDescent="0.25">
      <c r="A4147" t="str">
        <f>HYPERLINK("https://www.773grp.com/globalSearch/LM2937ES-15-NOPB/page-1", "LM2937ES-15-NOPB")</f>
        <v>LM2937ES-15-NOPB</v>
      </c>
      <c r="B4147" s="3" t="str">
        <f>HYPERLINK("https://www.773grp.com/manufacturer/national-semiconductor?pageNo=126", "National Semiconductor")</f>
        <v>National Semiconductor</v>
      </c>
      <c r="C4147" s="6">
        <v>45</v>
      </c>
      <c r="D4147" s="7">
        <v>4.8600000000000003</v>
      </c>
      <c r="E4147" t="s">
        <v>19</v>
      </c>
    </row>
    <row r="4148" spans="1:5" x14ac:dyDescent="0.25">
      <c r="A4148" t="str">
        <f>HYPERLINK("https://www.773grp.com/globalSearch/LM2937ES-3.3-NOPB/page-1", "LM2937ES-3.3-NOPB")</f>
        <v>LM2937ES-3.3-NOPB</v>
      </c>
      <c r="B4148" s="3" t="str">
        <f>HYPERLINK("https://www.773grp.com/manufacturer/national-semiconductor?pageNo=127", "National Semiconductor")</f>
        <v>National Semiconductor</v>
      </c>
      <c r="C4148" s="6">
        <v>450</v>
      </c>
      <c r="D4148" s="7">
        <v>4.8600000000000003</v>
      </c>
      <c r="E4148" t="s">
        <v>19</v>
      </c>
    </row>
    <row r="4149" spans="1:5" x14ac:dyDescent="0.25">
      <c r="A4149" t="str">
        <f>HYPERLINK("https://www.773grp.com/globalSearch/LM2937ES-5.0-NOPB/page-1", "LM2937ES-5.0-NOPB")</f>
        <v>LM2937ES-5.0-NOPB</v>
      </c>
      <c r="B4149" s="3" t="str">
        <f>HYPERLINK("https://www.773grp.com/manufacturer/national-semiconductor?pageNo=128", "National Semiconductor")</f>
        <v>National Semiconductor</v>
      </c>
      <c r="C4149" s="6">
        <v>7161</v>
      </c>
      <c r="D4149" s="7">
        <v>4.8600000000000003</v>
      </c>
      <c r="E4149" t="s">
        <v>19</v>
      </c>
    </row>
    <row r="4150" spans="1:5" x14ac:dyDescent="0.25">
      <c r="A4150" t="str">
        <f>HYPERLINK("https://www.773grp.com/globalSearch/LM2940S-8.0-NOPB/page-1", "LM2940S-8.0-NOPB")</f>
        <v>LM2940S-8.0-NOPB</v>
      </c>
      <c r="B4150" s="3" t="str">
        <f>HYPERLINK("https://www.773grp.com/manufacturer/national-semiconductor?pageNo=129", "National Semiconductor")</f>
        <v>National Semiconductor</v>
      </c>
      <c r="C4150" s="6">
        <v>250</v>
      </c>
      <c r="D4150" s="7">
        <v>4.8600000000000003</v>
      </c>
      <c r="E4150" t="s">
        <v>19</v>
      </c>
    </row>
    <row r="4151" spans="1:5" x14ac:dyDescent="0.25">
      <c r="A4151" t="str">
        <f>HYPERLINK("https://www.773grp.com/globalSearch/LM2940S-9.0-NOPB/page-1", "LM2940S-9.0-NOPB")</f>
        <v>LM2940S-9.0-NOPB</v>
      </c>
      <c r="B4151" s="3" t="str">
        <f>HYPERLINK("https://www.773grp.com/manufacturer/national-semiconductor?pageNo=130", "National Semiconductor")</f>
        <v>National Semiconductor</v>
      </c>
      <c r="C4151" s="6">
        <v>2520</v>
      </c>
      <c r="D4151" s="7">
        <v>4.8600000000000003</v>
      </c>
      <c r="E4151" t="s">
        <v>19</v>
      </c>
    </row>
    <row r="4152" spans="1:5" x14ac:dyDescent="0.25">
      <c r="A4152" t="str">
        <f>HYPERLINK("https://www.773grp.com/globalSearch/LM2941S/page-1", "LM2941S")</f>
        <v>LM2941S</v>
      </c>
      <c r="B4152" s="3" t="str">
        <f>HYPERLINK("https://www.773grp.com/manufacturer/national-semiconductor?pageNo=131", "National Semiconductor")</f>
        <v>National Semiconductor</v>
      </c>
      <c r="C4152" s="6">
        <v>1376</v>
      </c>
      <c r="D4152" s="7">
        <v>4.8600000000000003</v>
      </c>
      <c r="E4152" t="s">
        <v>25</v>
      </c>
    </row>
    <row r="4153" spans="1:5" x14ac:dyDescent="0.25">
      <c r="A4153" t="str">
        <f>HYPERLINK("https://www.773grp.com/globalSearch/LM34DMX-NOPB/page-1", "LM34DMX-NOPB")</f>
        <v>LM34DMX-NOPB</v>
      </c>
      <c r="B4153" s="3" t="str">
        <f>HYPERLINK("https://www.773grp.com/manufacturer/national-semiconductor?pageNo=132", "National Semiconductor")</f>
        <v>National Semiconductor</v>
      </c>
      <c r="C4153" s="6">
        <v>40000</v>
      </c>
      <c r="D4153" s="7">
        <v>4.8600000000000003</v>
      </c>
      <c r="E4153" t="s">
        <v>8</v>
      </c>
    </row>
    <row r="4154" spans="1:5" x14ac:dyDescent="0.25">
      <c r="A4154" t="str">
        <f>HYPERLINK("https://www.773grp.com/globalSearch/LM4850LDX/page-1", "LM4850LDX")</f>
        <v>LM4850LDX</v>
      </c>
      <c r="B4154" s="3" t="str">
        <f>HYPERLINK("https://www.773grp.com/manufacturer/national-semiconductor?pageNo=133", "National Semiconductor")</f>
        <v>National Semiconductor</v>
      </c>
      <c r="C4154" s="6">
        <v>49500</v>
      </c>
      <c r="D4154" s="7">
        <v>4.8600000000000003</v>
      </c>
      <c r="E4154" t="s">
        <v>18</v>
      </c>
    </row>
    <row r="4155" spans="1:5" x14ac:dyDescent="0.25">
      <c r="A4155" t="str">
        <f>HYPERLINK("https://www.773grp.com/globalSearch/LM48821TL-NOPB/page-1", "LM48821TL-NOPB")</f>
        <v>LM48821TL-NOPB</v>
      </c>
      <c r="B4155" s="3" t="str">
        <f>HYPERLINK("https://www.773grp.com/manufacturer/national-semiconductor?pageNo=134", "National Semiconductor")</f>
        <v>National Semiconductor</v>
      </c>
      <c r="C4155" s="6">
        <v>735</v>
      </c>
      <c r="D4155" s="7">
        <v>4.8600000000000003</v>
      </c>
    </row>
    <row r="4156" spans="1:5" x14ac:dyDescent="0.25">
      <c r="A4156" t="str">
        <f>HYPERLINK("https://www.773grp.com/globalSearch/LMH2120UM-NOPB/page-1", "LMH2120UM-NOPB")</f>
        <v>LMH2120UM-NOPB</v>
      </c>
      <c r="B4156" s="3" t="str">
        <f>HYPERLINK("https://www.773grp.com/manufacturer/national-semiconductor?pageNo=1", "National Semiconductor")</f>
        <v>National Semiconductor</v>
      </c>
      <c r="C4156" s="6">
        <v>38</v>
      </c>
      <c r="D4156" s="7">
        <v>4.8600000000000003</v>
      </c>
    </row>
    <row r="4157" spans="1:5" x14ac:dyDescent="0.25">
      <c r="A4157" t="str">
        <f>HYPERLINK("https://www.773grp.com/globalSearch/LMP7711MKE-NOPB/page-1", "LMP7711MKE-NOPB")</f>
        <v>LMP7711MKE-NOPB</v>
      </c>
      <c r="B4157" s="3" t="str">
        <f>HYPERLINK("https://www.773grp.com/manufacturer/national-semiconductor?pageNo=2", "National Semiconductor")</f>
        <v>National Semiconductor</v>
      </c>
      <c r="C4157" s="6">
        <v>250</v>
      </c>
      <c r="D4157" s="7">
        <v>4.8600000000000003</v>
      </c>
    </row>
    <row r="4158" spans="1:5" x14ac:dyDescent="0.25">
      <c r="A4158" t="str">
        <f>HYPERLINK("https://www.773grp.com/globalSearch/LMS1487CMX/page-1", "LMS1487CMX")</f>
        <v>LMS1487CMX</v>
      </c>
      <c r="B4158" s="3" t="str">
        <f>HYPERLINK("https://www.773grp.com/manufacturer/national-semiconductor?pageNo=3", "National Semiconductor")</f>
        <v>National Semiconductor</v>
      </c>
      <c r="C4158" s="6">
        <v>3895</v>
      </c>
      <c r="D4158" s="7">
        <v>4.8600000000000003</v>
      </c>
      <c r="E4158" t="s">
        <v>21</v>
      </c>
    </row>
    <row r="4159" spans="1:5" x14ac:dyDescent="0.25">
      <c r="A4159" t="str">
        <f>HYPERLINK("https://www.773grp.com/globalSearch/LP8551TLE-NOPB/page-1", "LP8551TLE-NOPB")</f>
        <v>LP8551TLE-NOPB</v>
      </c>
      <c r="B4159" s="3" t="str">
        <f>HYPERLINK("https://www.773grp.com/manufacturer/national-semiconductor?pageNo=4", "National Semiconductor")</f>
        <v>National Semiconductor</v>
      </c>
      <c r="C4159" s="6">
        <v>500</v>
      </c>
      <c r="D4159" s="7">
        <v>4.8600000000000003</v>
      </c>
    </row>
    <row r="4160" spans="1:5" x14ac:dyDescent="0.25">
      <c r="A4160" t="str">
        <f>HYPERLINK("https://www.773grp.com/globalSearch/LM2937ES-12-NOPB/page-1", "LM2937ES-12-NOPB")</f>
        <v>LM2937ES-12-NOPB</v>
      </c>
      <c r="B4160" s="3" t="str">
        <f>HYPERLINK("https://www.773grp.com/manufacturer/national-semiconductor?pageNo=5", "National Semiconductor")</f>
        <v>National Semiconductor</v>
      </c>
      <c r="C4160" s="6">
        <v>4400</v>
      </c>
      <c r="D4160" s="7">
        <v>4.8600000000000003</v>
      </c>
      <c r="E4160" t="s">
        <v>19</v>
      </c>
    </row>
    <row r="4161" spans="1:5" x14ac:dyDescent="0.25">
      <c r="A4161" t="str">
        <f>HYPERLINK("https://www.773grp.com/globalSearch/LM2937ES-15-NOPB/page-1", "LM2937ES-15-NOPB")</f>
        <v>LM2937ES-15-NOPB</v>
      </c>
      <c r="B4161" s="3" t="str">
        <f>HYPERLINK("https://www.773grp.com/manufacturer/national-semiconductor?pageNo=6", "National Semiconductor")</f>
        <v>National Semiconductor</v>
      </c>
      <c r="C4161" s="6">
        <v>2780</v>
      </c>
      <c r="D4161" s="7">
        <v>4.8600000000000003</v>
      </c>
      <c r="E4161" t="s">
        <v>19</v>
      </c>
    </row>
    <row r="4162" spans="1:5" x14ac:dyDescent="0.25">
      <c r="A4162" t="str">
        <f>HYPERLINK("https://www.773grp.com/globalSearch/LM2937ES-3.3-NOPB/page-1", "LM2937ES-3.3-NOPB")</f>
        <v>LM2937ES-3.3-NOPB</v>
      </c>
      <c r="B4162" s="3" t="str">
        <f>HYPERLINK("https://www.773grp.com/manufacturer/national-semiconductor?pageNo=7", "National Semiconductor")</f>
        <v>National Semiconductor</v>
      </c>
      <c r="C4162" s="6">
        <v>242</v>
      </c>
      <c r="D4162" s="7">
        <v>4.8600000000000003</v>
      </c>
      <c r="E4162" t="s">
        <v>19</v>
      </c>
    </row>
    <row r="4163" spans="1:5" x14ac:dyDescent="0.25">
      <c r="A4163" t="str">
        <f>HYPERLINK("https://www.773grp.com/globalSearch/LM2937ES-5.0-NOPB/page-1", "LM2937ES-5.0-NOPB")</f>
        <v>LM2937ES-5.0-NOPB</v>
      </c>
      <c r="B4163" s="3" t="str">
        <f>HYPERLINK("https://www.773grp.com/manufacturer/national-semiconductor?pageNo=8", "National Semiconductor")</f>
        <v>National Semiconductor</v>
      </c>
      <c r="C4163" s="6">
        <v>1375</v>
      </c>
      <c r="D4163" s="7">
        <v>4.8600000000000003</v>
      </c>
      <c r="E4163" t="s">
        <v>19</v>
      </c>
    </row>
    <row r="4164" spans="1:5" x14ac:dyDescent="0.25">
      <c r="A4164" t="str">
        <f>HYPERLINK("https://www.773grp.com/globalSearch/LM2940S-8.0-NOPB/page-1", "LM2940S-8.0-NOPB")</f>
        <v>LM2940S-8.0-NOPB</v>
      </c>
      <c r="B4164" s="3" t="str">
        <f>HYPERLINK("https://www.773grp.com/manufacturer/national-semiconductor?pageNo=9", "National Semiconductor")</f>
        <v>National Semiconductor</v>
      </c>
      <c r="C4164" s="6">
        <v>1556</v>
      </c>
      <c r="D4164" s="7">
        <v>4.8600000000000003</v>
      </c>
      <c r="E4164" t="s">
        <v>19</v>
      </c>
    </row>
    <row r="4165" spans="1:5" x14ac:dyDescent="0.25">
      <c r="A4165" t="str">
        <f>HYPERLINK("https://www.773grp.com/globalSearch/LM34DMX-NOPB/page-1", "LM34DMX-NOPB")</f>
        <v>LM34DMX-NOPB</v>
      </c>
      <c r="B4165" s="3" t="str">
        <f>HYPERLINK("https://www.773grp.com/manufacturer/national-semiconductor?pageNo=10", "National Semiconductor")</f>
        <v>National Semiconductor</v>
      </c>
      <c r="C4165" s="6">
        <v>3200</v>
      </c>
      <c r="D4165" s="7">
        <v>4.8600000000000003</v>
      </c>
      <c r="E4165" t="s">
        <v>8</v>
      </c>
    </row>
    <row r="4166" spans="1:5" x14ac:dyDescent="0.25">
      <c r="A4166" t="str">
        <f>HYPERLINK("https://www.773grp.com/globalSearch/LM48557TL-NOPB/page-1", "LM48557TL-NOPB")</f>
        <v>LM48557TL-NOPB</v>
      </c>
      <c r="B4166" s="3" t="str">
        <f>HYPERLINK("https://www.773grp.com/manufacturer/national-semiconductor?pageNo=11", "National Semiconductor")</f>
        <v>National Semiconductor</v>
      </c>
      <c r="C4166" s="6">
        <v>250</v>
      </c>
      <c r="D4166" s="7">
        <v>4.8600000000000003</v>
      </c>
    </row>
    <row r="4167" spans="1:5" x14ac:dyDescent="0.25">
      <c r="A4167" t="str">
        <f>HYPERLINK("https://www.773grp.com/globalSearch/LM4861M/page-1", "LM4861M")</f>
        <v>LM4861M</v>
      </c>
      <c r="B4167" s="3" t="str">
        <f>HYPERLINK("https://www.773grp.com/manufacturer/national-semiconductor?pageNo=12", "National Semiconductor")</f>
        <v>National Semiconductor</v>
      </c>
      <c r="C4167" s="6">
        <v>422</v>
      </c>
      <c r="D4167" s="7">
        <v>4.8600000000000003</v>
      </c>
      <c r="E4167" t="s">
        <v>18</v>
      </c>
    </row>
    <row r="4168" spans="1:5" x14ac:dyDescent="0.25">
      <c r="A4168" t="str">
        <f>HYPERLINK("https://www.773grp.com/globalSearch/LMH2110TM-NOPB/page-1", "LMH2110TM-NOPB")</f>
        <v>LMH2110TM-NOPB</v>
      </c>
      <c r="B4168" s="3" t="str">
        <f>HYPERLINK("https://www.773grp.com/manufacturer/national-semiconductor?pageNo=13", "National Semiconductor")</f>
        <v>National Semiconductor</v>
      </c>
      <c r="C4168" s="6">
        <v>198</v>
      </c>
      <c r="D4168" s="7">
        <v>4.8600000000000003</v>
      </c>
    </row>
    <row r="4169" spans="1:5" x14ac:dyDescent="0.25">
      <c r="A4169" t="str">
        <f>HYPERLINK("https://www.773grp.com/globalSearch/LMR12010XMKE-NOPB/page-1", "LMR12010XMKE-NOPB")</f>
        <v>LMR12010XMKE-NOPB</v>
      </c>
      <c r="B4169" s="3" t="str">
        <f>HYPERLINK("https://www.773grp.com/manufacturer/national-semiconductor?pageNo=14", "National Semiconductor")</f>
        <v>National Semiconductor</v>
      </c>
      <c r="C4169" s="6">
        <v>250</v>
      </c>
      <c r="D4169" s="7">
        <v>4.8600000000000003</v>
      </c>
    </row>
    <row r="4170" spans="1:5" x14ac:dyDescent="0.25">
      <c r="A4170" t="str">
        <f>HYPERLINK("https://www.773grp.com/globalSearch/LMR12010XMKE-NOPB/page-1", "LMR12010XMKE-NOPB")</f>
        <v>LMR12010XMKE-NOPB</v>
      </c>
      <c r="B4170" s="3" t="str">
        <f>HYPERLINK("https://www.773grp.com/manufacturer/national-semiconductor?pageNo=15", "National Semiconductor")</f>
        <v>National Semiconductor</v>
      </c>
      <c r="C4170" s="6">
        <v>750</v>
      </c>
      <c r="D4170" s="7">
        <v>4.8600000000000003</v>
      </c>
    </row>
    <row r="4171" spans="1:5" x14ac:dyDescent="0.25">
      <c r="A4171" t="str">
        <f>HYPERLINK("https://www.773grp.com/globalSearch/SM73308MGE-NOPB/page-1", "SM73308MGE-NOPB")</f>
        <v>SM73308MGE-NOPB</v>
      </c>
      <c r="B4171" s="3" t="str">
        <f>HYPERLINK("https://www.773grp.com/manufacturer/national-semiconductor?pageNo=16", "National Semiconductor")</f>
        <v>National Semiconductor</v>
      </c>
      <c r="C4171" s="6">
        <v>14950</v>
      </c>
      <c r="D4171" s="7">
        <v>4.8600000000000003</v>
      </c>
    </row>
    <row r="4172" spans="1:5" x14ac:dyDescent="0.25">
      <c r="A4172" t="str">
        <f>HYPERLINK("https://www.773grp.com/globalSearch/54S138DM/page-1", "54S138DM")</f>
        <v>54S138DM</v>
      </c>
      <c r="B4172" s="3" t="str">
        <f>HYPERLINK("https://www.773grp.com/manufacturer/national-semiconductor?pageNo=17", "National Semiconductor")</f>
        <v>National Semiconductor</v>
      </c>
      <c r="C4172" s="6">
        <v>10922</v>
      </c>
      <c r="D4172" s="7">
        <v>4.43</v>
      </c>
    </row>
    <row r="4173" spans="1:5" x14ac:dyDescent="0.25">
      <c r="A4173" t="str">
        <f>HYPERLINK("https://www.773grp.com/globalSearch/54S151DM/page-1", "54S151DM")</f>
        <v>54S151DM</v>
      </c>
      <c r="B4173" s="3" t="str">
        <f>HYPERLINK("https://www.773grp.com/manufacturer/national-semiconductor?pageNo=18", "National Semiconductor")</f>
        <v>National Semiconductor</v>
      </c>
      <c r="C4173" s="6">
        <v>831</v>
      </c>
      <c r="D4173" s="7">
        <v>4.43</v>
      </c>
    </row>
    <row r="4174" spans="1:5" x14ac:dyDescent="0.25">
      <c r="A4174" t="str">
        <f>HYPERLINK("https://www.773grp.com/globalSearch/54S153DM/page-1", "54S153DM")</f>
        <v>54S153DM</v>
      </c>
      <c r="B4174" s="3" t="str">
        <f>HYPERLINK("https://www.773grp.com/manufacturer/national-semiconductor?pageNo=19", "National Semiconductor")</f>
        <v>National Semiconductor</v>
      </c>
      <c r="C4174" s="6">
        <v>1640</v>
      </c>
      <c r="D4174" s="7">
        <v>4.43</v>
      </c>
    </row>
    <row r="4175" spans="1:5" x14ac:dyDescent="0.25">
      <c r="A4175" t="str">
        <f>HYPERLINK("https://www.773grp.com/globalSearch/54S157DM/page-1", "54S157DM")</f>
        <v>54S157DM</v>
      </c>
      <c r="B4175" s="3" t="str">
        <f>HYPERLINK("https://www.773grp.com/manufacturer/national-semiconductor?pageNo=20", "National Semiconductor")</f>
        <v>National Semiconductor</v>
      </c>
      <c r="C4175" s="6">
        <v>3293</v>
      </c>
      <c r="D4175" s="7">
        <v>4.43</v>
      </c>
    </row>
    <row r="4176" spans="1:5" x14ac:dyDescent="0.25">
      <c r="A4176" t="str">
        <f>HYPERLINK("https://www.773grp.com/globalSearch/54S158DM/page-1", "54S158DM")</f>
        <v>54S158DM</v>
      </c>
      <c r="B4176" s="3" t="str">
        <f>HYPERLINK("https://www.773grp.com/manufacturer/national-semiconductor?pageNo=21", "National Semiconductor")</f>
        <v>National Semiconductor</v>
      </c>
      <c r="C4176" s="6">
        <v>5691</v>
      </c>
      <c r="D4176" s="7">
        <v>4.43</v>
      </c>
    </row>
    <row r="4177" spans="1:5" x14ac:dyDescent="0.25">
      <c r="A4177" t="str">
        <f>HYPERLINK("https://www.773grp.com/globalSearch/933DC/page-1", "933DC")</f>
        <v>933DC</v>
      </c>
      <c r="B4177" s="3" t="str">
        <f>HYPERLINK("https://www.773grp.com/manufacturer/national-semiconductor?pageNo=22", "National Semiconductor")</f>
        <v>National Semiconductor</v>
      </c>
      <c r="C4177" s="6">
        <v>19940</v>
      </c>
      <c r="D4177" s="7">
        <v>4.43</v>
      </c>
    </row>
    <row r="4178" spans="1:5" x14ac:dyDescent="0.25">
      <c r="A4178" t="str">
        <f>HYPERLINK("https://www.773grp.com/globalSearch/LM2796TL/page-1", "LM2796TL")</f>
        <v>LM2796TL</v>
      </c>
      <c r="B4178" s="3" t="str">
        <f>HYPERLINK("https://www.773grp.com/manufacturer/national-semiconductor?pageNo=23", "National Semiconductor")</f>
        <v>National Semiconductor</v>
      </c>
      <c r="C4178" s="6">
        <v>250</v>
      </c>
      <c r="D4178" s="7">
        <v>4.43</v>
      </c>
      <c r="E4178" t="s">
        <v>10</v>
      </c>
    </row>
    <row r="4179" spans="1:5" x14ac:dyDescent="0.25">
      <c r="A4179" t="str">
        <f>HYPERLINK("https://www.773grp.com/globalSearch/LM3361AN/page-1", "LM3361AN")</f>
        <v>LM3361AN</v>
      </c>
      <c r="B4179" s="3" t="str">
        <f>HYPERLINK("https://www.773grp.com/manufacturer/national-semiconductor?pageNo=24", "National Semiconductor")</f>
        <v>National Semiconductor</v>
      </c>
      <c r="C4179" s="6">
        <v>10734</v>
      </c>
      <c r="D4179" s="7">
        <v>4.43</v>
      </c>
      <c r="E4179" t="s">
        <v>60</v>
      </c>
    </row>
    <row r="4180" spans="1:5" x14ac:dyDescent="0.25">
      <c r="A4180" t="str">
        <f>HYPERLINK("https://www.773grp.com/globalSearch/LM359M/page-1", "LM359M")</f>
        <v>LM359M</v>
      </c>
      <c r="B4180" s="3" t="str">
        <f>HYPERLINK("https://www.773grp.com/manufacturer/national-semiconductor?pageNo=25", "National Semiconductor")</f>
        <v>National Semiconductor</v>
      </c>
      <c r="C4180" s="6">
        <v>295</v>
      </c>
      <c r="D4180" s="7">
        <v>4.43</v>
      </c>
      <c r="E4180" t="s">
        <v>13</v>
      </c>
    </row>
    <row r="4181" spans="1:5" x14ac:dyDescent="0.25">
      <c r="A4181" t="str">
        <f>HYPERLINK("https://www.773grp.com/globalSearch/LMC6081AIN/page-1", "LMC6081AIN")</f>
        <v>LMC6081AIN</v>
      </c>
      <c r="B4181" s="3" t="str">
        <f>HYPERLINK("https://www.773grp.com/manufacturer/national-semiconductor?pageNo=26", "National Semiconductor")</f>
        <v>National Semiconductor</v>
      </c>
      <c r="C4181" s="6">
        <v>1</v>
      </c>
      <c r="D4181" s="7">
        <v>4.43</v>
      </c>
      <c r="E4181" t="s">
        <v>13</v>
      </c>
    </row>
    <row r="4182" spans="1:5" x14ac:dyDescent="0.25">
      <c r="A4182" t="str">
        <f>HYPERLINK("https://www.773grp.com/globalSearch/LMC6484AIMX/page-1", "LMC6484AIMX")</f>
        <v>LMC6484AIMX</v>
      </c>
      <c r="B4182" s="3" t="str">
        <f>HYPERLINK("https://www.773grp.com/manufacturer/national-semiconductor?pageNo=27", "National Semiconductor")</f>
        <v>National Semiconductor</v>
      </c>
      <c r="C4182" s="6">
        <v>12500</v>
      </c>
      <c r="D4182" s="7">
        <v>4.43</v>
      </c>
      <c r="E4182" t="s">
        <v>13</v>
      </c>
    </row>
    <row r="4183" spans="1:5" x14ac:dyDescent="0.25">
      <c r="A4183" t="str">
        <f>HYPERLINK("https://www.773grp.com/globalSearch/LMC6574AIM-NOPB/page-1", "LMC6574AIM-NOPB")</f>
        <v>LMC6574AIM-NOPB</v>
      </c>
      <c r="B4183" s="3" t="str">
        <f>HYPERLINK("https://www.773grp.com/manufacturer/national-semiconductor?pageNo=28", "National Semiconductor")</f>
        <v>National Semiconductor</v>
      </c>
      <c r="C4183" s="6">
        <v>1384</v>
      </c>
      <c r="D4183" s="7">
        <v>4.43</v>
      </c>
      <c r="E4183" t="s">
        <v>13</v>
      </c>
    </row>
    <row r="4184" spans="1:5" x14ac:dyDescent="0.25">
      <c r="A4184" t="str">
        <f>HYPERLINK("https://www.773grp.com/globalSearch/CY74FCT16841CTPVC/page-1", "CY74FCT16841CTPVC")</f>
        <v>CY74FCT16841CTPVC</v>
      </c>
      <c r="B4184" s="3" t="str">
        <f>HYPERLINK("https://www.773grp.com/manufacturer/national-semiconductor?pageNo=29", "National Semiconductor")</f>
        <v>National Semiconductor</v>
      </c>
      <c r="C4184" s="6">
        <v>160</v>
      </c>
      <c r="D4184" s="7">
        <v>4.43</v>
      </c>
    </row>
    <row r="4185" spans="1:5" x14ac:dyDescent="0.25">
      <c r="A4185" t="str">
        <f>HYPERLINK("https://www.773grp.com/globalSearch/LM49250RL/page-1", "LM49250RL")</f>
        <v>LM49250RL</v>
      </c>
      <c r="B4185" s="3" t="str">
        <f>HYPERLINK("https://www.773grp.com/manufacturer/national-semiconductor?pageNo=30", "National Semiconductor")</f>
        <v>National Semiconductor</v>
      </c>
      <c r="C4185" s="6">
        <v>434</v>
      </c>
      <c r="D4185" s="7">
        <v>4.43</v>
      </c>
    </row>
    <row r="4186" spans="1:5" x14ac:dyDescent="0.25">
      <c r="A4186" t="str">
        <f>HYPERLINK("https://www.773grp.com/globalSearch/LM5017SD-NOPB/page-1", "LM5017SD-NOPB")</f>
        <v>LM5017SD-NOPB</v>
      </c>
      <c r="B4186" s="3" t="str">
        <f>HYPERLINK("https://www.773grp.com/manufacturer/national-semiconductor?pageNo=31", "National Semiconductor")</f>
        <v>National Semiconductor</v>
      </c>
      <c r="C4186" s="6">
        <v>150</v>
      </c>
      <c r="D4186" s="7">
        <v>4.43</v>
      </c>
    </row>
    <row r="4187" spans="1:5" x14ac:dyDescent="0.25">
      <c r="A4187" t="str">
        <f>HYPERLINK("https://www.773grp.com/globalSearch/LMC6484AIMX/page-1", "LMC6484AIMX")</f>
        <v>LMC6484AIMX</v>
      </c>
      <c r="B4187" s="3" t="str">
        <f>HYPERLINK("https://www.773grp.com/manufacturer/national-semiconductor?pageNo=32", "National Semiconductor")</f>
        <v>National Semiconductor</v>
      </c>
      <c r="C4187" s="6">
        <v>30938</v>
      </c>
      <c r="D4187" s="7">
        <v>4.43</v>
      </c>
      <c r="E4187" t="s">
        <v>13</v>
      </c>
    </row>
    <row r="4188" spans="1:5" x14ac:dyDescent="0.25">
      <c r="A4188" t="str">
        <f>HYPERLINK("https://www.773grp.com/globalSearch/LMC6574AIM-NOPB/page-1", "LMC6574AIM-NOPB")</f>
        <v>LMC6574AIM-NOPB</v>
      </c>
      <c r="B4188" s="3" t="str">
        <f>HYPERLINK("https://www.773grp.com/manufacturer/national-semiconductor?pageNo=33", "National Semiconductor")</f>
        <v>National Semiconductor</v>
      </c>
      <c r="C4188" s="6">
        <v>594</v>
      </c>
      <c r="D4188" s="7">
        <v>4.43</v>
      </c>
      <c r="E4188" t="s">
        <v>13</v>
      </c>
    </row>
    <row r="4189" spans="1:5" x14ac:dyDescent="0.25">
      <c r="A4189" t="str">
        <f>HYPERLINK("https://www.773grp.com/globalSearch/MAX3237EIDW/page-1", "MAX3237EIDW")</f>
        <v>MAX3237EIDW</v>
      </c>
      <c r="B4189" s="3" t="str">
        <f>HYPERLINK("https://www.773grp.com/manufacturer/national-semiconductor?pageNo=34", "National Semiconductor")</f>
        <v>National Semiconductor</v>
      </c>
      <c r="C4189" s="6">
        <v>2040</v>
      </c>
      <c r="D4189" s="7">
        <v>4.43</v>
      </c>
    </row>
    <row r="4190" spans="1:5" x14ac:dyDescent="0.25">
      <c r="A4190" t="str">
        <f>HYPERLINK("https://www.773grp.com/globalSearch/5450DM/page-1", "5450DM")</f>
        <v>5450DM</v>
      </c>
      <c r="B4190" s="3" t="str">
        <f>HYPERLINK("https://www.773grp.com/manufacturer/national-semiconductor?pageNo=35", "National Semiconductor")</f>
        <v>National Semiconductor</v>
      </c>
      <c r="C4190" s="6">
        <v>215</v>
      </c>
      <c r="D4190" s="7">
        <v>4.91</v>
      </c>
    </row>
    <row r="4191" spans="1:5" x14ac:dyDescent="0.25">
      <c r="A4191" t="str">
        <f>HYPERLINK("https://www.773grp.com/globalSearch/54LS74DM/page-1", "54LS74DM")</f>
        <v>54LS74DM</v>
      </c>
      <c r="B4191" s="3" t="str">
        <f>HYPERLINK("https://www.773grp.com/manufacturer/national-semiconductor?pageNo=36", "National Semiconductor")</f>
        <v>National Semiconductor</v>
      </c>
      <c r="C4191" s="6">
        <v>18</v>
      </c>
      <c r="D4191" s="7">
        <v>4.91</v>
      </c>
      <c r="E4191" t="s">
        <v>35</v>
      </c>
    </row>
    <row r="4192" spans="1:5" x14ac:dyDescent="0.25">
      <c r="A4192" t="str">
        <f>HYPERLINK("https://www.773grp.com/globalSearch/74283PC/page-1", "74283PC")</f>
        <v>74283PC</v>
      </c>
      <c r="B4192" s="3" t="str">
        <f>HYPERLINK("https://www.773grp.com/manufacturer/national-semiconductor?pageNo=37", "National Semiconductor")</f>
        <v>National Semiconductor</v>
      </c>
      <c r="C4192" s="6">
        <v>20635</v>
      </c>
      <c r="D4192" s="7">
        <v>4.91</v>
      </c>
    </row>
    <row r="4193" spans="1:5" x14ac:dyDescent="0.25">
      <c r="A4193" t="str">
        <f>HYPERLINK("https://www.773grp.com/globalSearch/74F161ALC/page-1", "74F161ALC")</f>
        <v>74F161ALC</v>
      </c>
      <c r="B4193" s="3" t="str">
        <f>HYPERLINK("https://www.773grp.com/manufacturer/national-semiconductor?pageNo=38", "National Semiconductor")</f>
        <v>National Semiconductor</v>
      </c>
      <c r="C4193" s="6">
        <v>191</v>
      </c>
      <c r="D4193" s="7">
        <v>4.91</v>
      </c>
    </row>
    <row r="4194" spans="1:5" x14ac:dyDescent="0.25">
      <c r="A4194" t="str">
        <f>HYPERLINK("https://www.773grp.com/globalSearch/COP8SAA720M9/page-1", "COP8SAA720M9")</f>
        <v>COP8SAA720M9</v>
      </c>
      <c r="B4194" s="3" t="str">
        <f>HYPERLINK("https://www.773grp.com/manufacturer/national-semiconductor?pageNo=39", "National Semiconductor")</f>
        <v>National Semiconductor</v>
      </c>
      <c r="C4194" s="6">
        <v>66134</v>
      </c>
      <c r="D4194" s="7">
        <v>4.91</v>
      </c>
      <c r="E4194" t="s">
        <v>52</v>
      </c>
    </row>
    <row r="4195" spans="1:5" x14ac:dyDescent="0.25">
      <c r="A4195" t="str">
        <f>HYPERLINK("https://www.773grp.com/globalSearch/DS34C86TM/page-1", "DS34C86TM")</f>
        <v>DS34C86TM</v>
      </c>
      <c r="B4195" s="3" t="str">
        <f>HYPERLINK("https://www.773grp.com/manufacturer/national-semiconductor?pageNo=40", "National Semiconductor")</f>
        <v>National Semiconductor</v>
      </c>
      <c r="C4195" s="6">
        <v>389</v>
      </c>
      <c r="D4195" s="7">
        <v>4.91</v>
      </c>
      <c r="E4195" t="s">
        <v>21</v>
      </c>
    </row>
    <row r="4196" spans="1:5" x14ac:dyDescent="0.25">
      <c r="A4196" t="str">
        <f>HYPERLINK("https://www.773grp.com/globalSearch/LM2575T-12-LF03/page-1", "LM2575T-12-LF03")</f>
        <v>LM2575T-12-LF03</v>
      </c>
      <c r="B4196" s="3" t="str">
        <f>HYPERLINK("https://www.773grp.com/manufacturer/national-semiconductor?pageNo=41", "National Semiconductor")</f>
        <v>National Semiconductor</v>
      </c>
      <c r="C4196" s="6">
        <v>680</v>
      </c>
      <c r="D4196" s="7">
        <v>4.91</v>
      </c>
    </row>
    <row r="4197" spans="1:5" x14ac:dyDescent="0.25">
      <c r="A4197" t="str">
        <f>HYPERLINK("https://www.773grp.com/globalSearch/LM2575T-12-NOPB/page-1", "LM2575T-12-NOPB")</f>
        <v>LM2575T-12-NOPB</v>
      </c>
      <c r="B4197" s="3" t="str">
        <f>HYPERLINK("https://www.773grp.com/manufacturer/national-semiconductor?pageNo=42", "National Semiconductor")</f>
        <v>National Semiconductor</v>
      </c>
      <c r="C4197" s="6">
        <v>22815</v>
      </c>
      <c r="D4197" s="7">
        <v>4.91</v>
      </c>
    </row>
    <row r="4198" spans="1:5" x14ac:dyDescent="0.25">
      <c r="A4198" t="str">
        <f>HYPERLINK("https://www.773grp.com/globalSearch/LM2575T-15-LF03/page-1", "LM2575T-15-LF03")</f>
        <v>LM2575T-15-LF03</v>
      </c>
      <c r="B4198" s="3" t="str">
        <f>HYPERLINK("https://www.773grp.com/manufacturer/national-semiconductor?pageNo=43", "National Semiconductor")</f>
        <v>National Semiconductor</v>
      </c>
      <c r="C4198" s="6">
        <v>539</v>
      </c>
      <c r="D4198" s="7">
        <v>4.91</v>
      </c>
    </row>
    <row r="4199" spans="1:5" x14ac:dyDescent="0.25">
      <c r="A4199" t="str">
        <f>HYPERLINK("https://www.773grp.com/globalSearch/LM2575T-15-NOPB/page-1", "LM2575T-15-NOPB")</f>
        <v>LM2575T-15-NOPB</v>
      </c>
      <c r="B4199" s="3" t="str">
        <f>HYPERLINK("https://www.773grp.com/manufacturer/national-semiconductor?pageNo=44", "National Semiconductor")</f>
        <v>National Semiconductor</v>
      </c>
      <c r="C4199" s="6">
        <v>347</v>
      </c>
      <c r="D4199" s="7">
        <v>4.91</v>
      </c>
    </row>
    <row r="4200" spans="1:5" x14ac:dyDescent="0.25">
      <c r="A4200" t="str">
        <f>HYPERLINK("https://www.773grp.com/globalSearch/LM2575T-3.3-LF03/page-1", "LM2575T-3.3-LF03")</f>
        <v>LM2575T-3.3-LF03</v>
      </c>
      <c r="B4200" s="3" t="str">
        <f>HYPERLINK("https://www.773grp.com/manufacturer/national-semiconductor?pageNo=45", "National Semiconductor")</f>
        <v>National Semiconductor</v>
      </c>
      <c r="C4200" s="6">
        <v>315</v>
      </c>
      <c r="D4200" s="7">
        <v>4.91</v>
      </c>
    </row>
    <row r="4201" spans="1:5" x14ac:dyDescent="0.25">
      <c r="A4201" t="str">
        <f>HYPERLINK("https://www.773grp.com/globalSearch/LM2575T-3.3-NOPB/page-1", "LM2575T-3.3-NOPB")</f>
        <v>LM2575T-3.3-NOPB</v>
      </c>
      <c r="B4201" s="3" t="str">
        <f>HYPERLINK("https://www.773grp.com/manufacturer/national-semiconductor?pageNo=46", "National Semiconductor")</f>
        <v>National Semiconductor</v>
      </c>
      <c r="C4201" s="6">
        <v>2236</v>
      </c>
      <c r="D4201" s="7">
        <v>4.91</v>
      </c>
      <c r="E4201" t="s">
        <v>7</v>
      </c>
    </row>
    <row r="4202" spans="1:5" x14ac:dyDescent="0.25">
      <c r="A4202" t="str">
        <f>HYPERLINK("https://www.773grp.com/globalSearch/LM2575T-5.0-LF02/page-1", "LM2575T-5.0-LF02")</f>
        <v>LM2575T-5.0-LF02</v>
      </c>
      <c r="B4202" s="3" t="str">
        <f>HYPERLINK("https://www.773grp.com/manufacturer/national-semiconductor?pageNo=47", "National Semiconductor")</f>
        <v>National Semiconductor</v>
      </c>
      <c r="C4202" s="6">
        <v>480</v>
      </c>
      <c r="D4202" s="7">
        <v>4.91</v>
      </c>
    </row>
    <row r="4203" spans="1:5" x14ac:dyDescent="0.25">
      <c r="A4203" t="str">
        <f>HYPERLINK("https://www.773grp.com/globalSearch/LM2575T-5.0-LF03/page-1", "LM2575T-5.0-LF03")</f>
        <v>LM2575T-5.0-LF03</v>
      </c>
      <c r="B4203" s="3" t="str">
        <f>HYPERLINK("https://www.773grp.com/manufacturer/national-semiconductor?pageNo=48", "National Semiconductor")</f>
        <v>National Semiconductor</v>
      </c>
      <c r="C4203" s="6">
        <v>2441</v>
      </c>
      <c r="D4203" s="7">
        <v>4.91</v>
      </c>
    </row>
    <row r="4204" spans="1:5" x14ac:dyDescent="0.25">
      <c r="A4204" t="str">
        <f>HYPERLINK("https://www.773grp.com/globalSearch/LM2575T-5.0-NOPB/page-1", "LM2575T-5.0-NOPB")</f>
        <v>LM2575T-5.0-NOPB</v>
      </c>
      <c r="B4204" s="3" t="str">
        <f>HYPERLINK("https://www.773grp.com/manufacturer/national-semiconductor?pageNo=49", "National Semiconductor")</f>
        <v>National Semiconductor</v>
      </c>
      <c r="C4204" s="6">
        <v>11203</v>
      </c>
      <c r="D4204" s="7">
        <v>4.91</v>
      </c>
      <c r="E4204" t="s">
        <v>7</v>
      </c>
    </row>
    <row r="4205" spans="1:5" x14ac:dyDescent="0.25">
      <c r="A4205" t="str">
        <f>HYPERLINK("https://www.773grp.com/globalSearch/LM2575T-ADJ-LF02/page-1", "LM2575T-ADJ-LF02")</f>
        <v>LM2575T-ADJ-LF02</v>
      </c>
      <c r="B4205" s="3" t="str">
        <f>HYPERLINK("https://www.773grp.com/manufacturer/national-semiconductor?pageNo=50", "National Semiconductor")</f>
        <v>National Semiconductor</v>
      </c>
      <c r="C4205" s="6">
        <v>321</v>
      </c>
      <c r="D4205" s="7">
        <v>4.91</v>
      </c>
    </row>
    <row r="4206" spans="1:5" x14ac:dyDescent="0.25">
      <c r="A4206" t="str">
        <f>HYPERLINK("https://www.773grp.com/globalSearch/LM2575T-ADJ-LF03/page-1", "LM2575T-ADJ-LF03")</f>
        <v>LM2575T-ADJ-LF03</v>
      </c>
      <c r="B4206" s="3" t="str">
        <f>HYPERLINK("https://www.773grp.com/manufacturer/national-semiconductor?pageNo=51", "National Semiconductor")</f>
        <v>National Semiconductor</v>
      </c>
      <c r="C4206" s="6">
        <v>180</v>
      </c>
      <c r="D4206" s="7">
        <v>4.91</v>
      </c>
    </row>
    <row r="4207" spans="1:5" x14ac:dyDescent="0.25">
      <c r="A4207" t="str">
        <f>HYPERLINK("https://www.773grp.com/globalSearch/LM2575T-ADJ-NOPB/page-1", "LM2575T-ADJ-NOPB")</f>
        <v>LM2575T-ADJ-NOPB</v>
      </c>
      <c r="B4207" s="3" t="str">
        <f>HYPERLINK("https://www.773grp.com/manufacturer/national-semiconductor?pageNo=52", "National Semiconductor")</f>
        <v>National Semiconductor</v>
      </c>
      <c r="C4207" s="6">
        <v>15945</v>
      </c>
      <c r="D4207" s="7">
        <v>4.91</v>
      </c>
      <c r="E4207" t="s">
        <v>7</v>
      </c>
    </row>
    <row r="4208" spans="1:5" x14ac:dyDescent="0.25">
      <c r="A4208" t="str">
        <f>HYPERLINK("https://www.773grp.com/globalSearch/LM2760M5/page-1", "LM2760M5")</f>
        <v>LM2760M5</v>
      </c>
      <c r="B4208" s="3" t="str">
        <f>HYPERLINK("https://www.773grp.com/manufacturer/national-semiconductor?pageNo=53", "National Semiconductor")</f>
        <v>National Semiconductor</v>
      </c>
      <c r="C4208" s="6">
        <v>163</v>
      </c>
      <c r="D4208" s="7">
        <v>4.91</v>
      </c>
      <c r="E4208" t="s">
        <v>7</v>
      </c>
    </row>
    <row r="4209" spans="1:5" x14ac:dyDescent="0.25">
      <c r="A4209" t="str">
        <f>HYPERLINK("https://www.773grp.com/globalSearch/LM2760M5-NOPB/page-1", "LM2760M5-NOPB")</f>
        <v>LM2760M5-NOPB</v>
      </c>
      <c r="B4209" s="3" t="str">
        <f>HYPERLINK("https://www.773grp.com/manufacturer/national-semiconductor?pageNo=54", "National Semiconductor")</f>
        <v>National Semiconductor</v>
      </c>
      <c r="C4209" s="6">
        <v>850</v>
      </c>
      <c r="D4209" s="7">
        <v>4.91</v>
      </c>
      <c r="E4209" t="s">
        <v>7</v>
      </c>
    </row>
    <row r="4210" spans="1:5" x14ac:dyDescent="0.25">
      <c r="A4210" t="str">
        <f>HYPERLINK("https://www.773grp.com/globalSearch/LM3420AM5-8.4-NOPB/page-1", "LM3420AM5-8.4-NOPB")</f>
        <v>LM3420AM5-8.4-NOPB</v>
      </c>
      <c r="B4210" s="3" t="str">
        <f>HYPERLINK("https://www.773grp.com/manufacturer/national-semiconductor?pageNo=55", "National Semiconductor")</f>
        <v>National Semiconductor</v>
      </c>
      <c r="C4210" s="6">
        <v>2747</v>
      </c>
      <c r="D4210" s="7">
        <v>4.91</v>
      </c>
      <c r="E4210" t="s">
        <v>30</v>
      </c>
    </row>
    <row r="4211" spans="1:5" x14ac:dyDescent="0.25">
      <c r="A4211" t="str">
        <f>HYPERLINK("https://www.773grp.com/globalSearch/LM4925MM-NOPB/page-1", "LM4925MM-NOPB")</f>
        <v>LM4925MM-NOPB</v>
      </c>
      <c r="B4211" s="3" t="str">
        <f>HYPERLINK("https://www.773grp.com/manufacturer/national-semiconductor?pageNo=56", "National Semiconductor")</f>
        <v>National Semiconductor</v>
      </c>
      <c r="C4211" s="6">
        <v>992</v>
      </c>
      <c r="D4211" s="7">
        <v>4.91</v>
      </c>
      <c r="E4211" t="s">
        <v>18</v>
      </c>
    </row>
    <row r="4212" spans="1:5" x14ac:dyDescent="0.25">
      <c r="A4212" t="str">
        <f>HYPERLINK("https://www.773grp.com/globalSearch/LMC662AIM/page-1", "LMC662AIM")</f>
        <v>LMC662AIM</v>
      </c>
      <c r="B4212" s="3" t="str">
        <f>HYPERLINK("https://www.773grp.com/manufacturer/national-semiconductor?pageNo=57", "National Semiconductor")</f>
        <v>National Semiconductor</v>
      </c>
      <c r="C4212" s="6">
        <v>371</v>
      </c>
      <c r="D4212" s="7">
        <v>4.91</v>
      </c>
      <c r="E4212" t="s">
        <v>13</v>
      </c>
    </row>
    <row r="4213" spans="1:5" x14ac:dyDescent="0.25">
      <c r="A4213" t="str">
        <f>HYPERLINK("https://www.773grp.com/globalSearch/LMV221SD/page-1", "LMV221SD")</f>
        <v>LMV221SD</v>
      </c>
      <c r="B4213" s="3" t="str">
        <f>HYPERLINK("https://www.773grp.com/manufacturer/national-semiconductor?pageNo=58", "National Semiconductor")</f>
        <v>National Semiconductor</v>
      </c>
      <c r="C4213" s="6">
        <v>41000</v>
      </c>
      <c r="D4213" s="7">
        <v>4.91</v>
      </c>
      <c r="E4213" t="s">
        <v>40</v>
      </c>
    </row>
    <row r="4214" spans="1:5" x14ac:dyDescent="0.25">
      <c r="A4214" t="str">
        <f>HYPERLINK("https://www.773grp.com/globalSearch/SM72240MFE-4.63/page-1", "SM72240MFE-4.63")</f>
        <v>SM72240MFE-4.63</v>
      </c>
      <c r="B4214" s="3" t="str">
        <f>HYPERLINK("https://www.773grp.com/manufacturer/national-semiconductor?pageNo=59", "National Semiconductor")</f>
        <v>National Semiconductor</v>
      </c>
      <c r="C4214" s="6">
        <v>250</v>
      </c>
      <c r="D4214" s="7">
        <v>4.91</v>
      </c>
    </row>
    <row r="4215" spans="1:5" x14ac:dyDescent="0.25">
      <c r="A4215" t="str">
        <f>HYPERLINK("https://www.773grp.com/globalSearch/DS34C86TM/page-1", "DS34C86TM")</f>
        <v>DS34C86TM</v>
      </c>
      <c r="B4215" s="3" t="str">
        <f>HYPERLINK("https://www.773grp.com/manufacturer/national-semiconductor?pageNo=60", "National Semiconductor")</f>
        <v>National Semiconductor</v>
      </c>
      <c r="C4215" s="6">
        <v>96</v>
      </c>
      <c r="D4215" s="7">
        <v>4.91</v>
      </c>
      <c r="E4215" t="s">
        <v>21</v>
      </c>
    </row>
    <row r="4216" spans="1:5" x14ac:dyDescent="0.25">
      <c r="A4216" t="str">
        <f>HYPERLINK("https://www.773grp.com/globalSearch/LM25019SDE-NOPB/page-1", "LM25019SDE-NOPB")</f>
        <v>LM25019SDE-NOPB</v>
      </c>
      <c r="B4216" s="3" t="str">
        <f>HYPERLINK("https://www.773grp.com/manufacturer/national-semiconductor?pageNo=61", "National Semiconductor")</f>
        <v>National Semiconductor</v>
      </c>
      <c r="C4216" s="6">
        <v>19</v>
      </c>
      <c r="D4216" s="7">
        <v>4.91</v>
      </c>
    </row>
    <row r="4217" spans="1:5" x14ac:dyDescent="0.25">
      <c r="A4217" t="str">
        <f>HYPERLINK("https://www.773grp.com/globalSearch/LM2575T-12-LF03/page-1", "LM2575T-12-LF03")</f>
        <v>LM2575T-12-LF03</v>
      </c>
      <c r="B4217" s="3" t="str">
        <f>HYPERLINK("https://www.773grp.com/manufacturer/national-semiconductor?pageNo=62", "National Semiconductor")</f>
        <v>National Semiconductor</v>
      </c>
      <c r="C4217" s="6">
        <v>630</v>
      </c>
      <c r="D4217" s="7">
        <v>4.91</v>
      </c>
    </row>
    <row r="4218" spans="1:5" x14ac:dyDescent="0.25">
      <c r="A4218" t="str">
        <f>HYPERLINK("https://www.773grp.com/globalSearch/LM2575T-12-NOPB/page-1", "LM2575T-12-NOPB")</f>
        <v>LM2575T-12-NOPB</v>
      </c>
      <c r="B4218" s="3" t="str">
        <f>HYPERLINK("https://www.773grp.com/manufacturer/national-semiconductor?pageNo=63", "National Semiconductor")</f>
        <v>National Semiconductor</v>
      </c>
      <c r="C4218" s="6">
        <v>241</v>
      </c>
      <c r="D4218" s="7">
        <v>4.91</v>
      </c>
    </row>
    <row r="4219" spans="1:5" x14ac:dyDescent="0.25">
      <c r="A4219" t="str">
        <f>HYPERLINK("https://www.773grp.com/globalSearch/LM2575T-15-NOPB/page-1", "LM2575T-15-NOPB")</f>
        <v>LM2575T-15-NOPB</v>
      </c>
      <c r="B4219" s="3" t="str">
        <f>HYPERLINK("https://www.773grp.com/manufacturer/national-semiconductor?pageNo=64", "National Semiconductor")</f>
        <v>National Semiconductor</v>
      </c>
      <c r="C4219" s="6">
        <v>426</v>
      </c>
      <c r="D4219" s="7">
        <v>4.91</v>
      </c>
    </row>
    <row r="4220" spans="1:5" x14ac:dyDescent="0.25">
      <c r="A4220" t="str">
        <f>HYPERLINK("https://www.773grp.com/globalSearch/LM2575T-3.3-NOPB/page-1", "LM2575T-3.3-NOPB")</f>
        <v>LM2575T-3.3-NOPB</v>
      </c>
      <c r="B4220" s="3" t="str">
        <f>HYPERLINK("https://www.773grp.com/manufacturer/national-semiconductor?pageNo=65", "National Semiconductor")</f>
        <v>National Semiconductor</v>
      </c>
      <c r="C4220" s="6">
        <v>268</v>
      </c>
      <c r="D4220" s="7">
        <v>4.91</v>
      </c>
      <c r="E4220" t="s">
        <v>7</v>
      </c>
    </row>
    <row r="4221" spans="1:5" x14ac:dyDescent="0.25">
      <c r="A4221" t="str">
        <f>HYPERLINK("https://www.773grp.com/globalSearch/LM2575T-5.0-LF02/page-1", "LM2575T-5.0-LF02")</f>
        <v>LM2575T-5.0-LF02</v>
      </c>
      <c r="B4221" s="3" t="str">
        <f>HYPERLINK("https://www.773grp.com/manufacturer/national-semiconductor?pageNo=66", "National Semiconductor")</f>
        <v>National Semiconductor</v>
      </c>
      <c r="C4221" s="6">
        <v>126</v>
      </c>
      <c r="D4221" s="7">
        <v>4.91</v>
      </c>
    </row>
    <row r="4222" spans="1:5" x14ac:dyDescent="0.25">
      <c r="A4222" t="str">
        <f>HYPERLINK("https://www.773grp.com/globalSearch/LM2575T-5.0-NOPB/page-1", "LM2575T-5.0-NOPB")</f>
        <v>LM2575T-5.0-NOPB</v>
      </c>
      <c r="B4222" s="3" t="str">
        <f>HYPERLINK("https://www.773grp.com/manufacturer/national-semiconductor?pageNo=67", "National Semiconductor")</f>
        <v>National Semiconductor</v>
      </c>
      <c r="C4222" s="6">
        <v>250</v>
      </c>
      <c r="D4222" s="7">
        <v>4.91</v>
      </c>
      <c r="E4222" t="s">
        <v>7</v>
      </c>
    </row>
    <row r="4223" spans="1:5" x14ac:dyDescent="0.25">
      <c r="A4223" t="str">
        <f>HYPERLINK("https://www.773grp.com/globalSearch/LM2575T-ADJ-NOPB/page-1", "LM2575T-ADJ-NOPB")</f>
        <v>LM2575T-ADJ-NOPB</v>
      </c>
      <c r="B4223" s="3" t="str">
        <f>HYPERLINK("https://www.773grp.com/manufacturer/national-semiconductor?pageNo=68", "National Semiconductor")</f>
        <v>National Semiconductor</v>
      </c>
      <c r="C4223" s="6">
        <v>271</v>
      </c>
      <c r="D4223" s="7">
        <v>4.91</v>
      </c>
      <c r="E4223" t="s">
        <v>7</v>
      </c>
    </row>
    <row r="4224" spans="1:5" x14ac:dyDescent="0.25">
      <c r="A4224" t="str">
        <f>HYPERLINK("https://www.773grp.com/globalSearch/LM3420AM5-8.4-NOPB/page-1", "LM3420AM5-8.4-NOPB")</f>
        <v>LM3420AM5-8.4-NOPB</v>
      </c>
      <c r="B4224" s="3" t="str">
        <f>HYPERLINK("https://www.773grp.com/manufacturer/national-semiconductor?pageNo=69", "National Semiconductor")</f>
        <v>National Semiconductor</v>
      </c>
      <c r="C4224" s="6">
        <v>1491</v>
      </c>
      <c r="D4224" s="7">
        <v>4.91</v>
      </c>
      <c r="E4224" t="s">
        <v>30</v>
      </c>
    </row>
    <row r="4225" spans="1:5" x14ac:dyDescent="0.25">
      <c r="A4225" t="str">
        <f>HYPERLINK("https://www.773grp.com/globalSearch/LM2502SQ-NOPB/page-1", "LM2502SQ-NOPB")</f>
        <v>LM2502SQ-NOPB</v>
      </c>
      <c r="B4225" s="3" t="str">
        <f>HYPERLINK("https://www.773grp.com/manufacturer/national-semiconductor?pageNo=70", "National Semiconductor")</f>
        <v>National Semiconductor</v>
      </c>
      <c r="C4225" s="6">
        <v>1623</v>
      </c>
      <c r="D4225" s="7">
        <v>4.4400000000000004</v>
      </c>
    </row>
    <row r="4226" spans="1:5" x14ac:dyDescent="0.25">
      <c r="A4226" t="str">
        <f>HYPERLINK("https://www.773grp.com/globalSearch/LM6142BIN-NOPB/page-1", "LM6142BIN-NOPB")</f>
        <v>LM6142BIN-NOPB</v>
      </c>
      <c r="B4226" s="3" t="str">
        <f>HYPERLINK("https://www.773grp.com/manufacturer/national-semiconductor?pageNo=71", "National Semiconductor")</f>
        <v>National Semiconductor</v>
      </c>
      <c r="C4226" s="6">
        <v>2370</v>
      </c>
      <c r="D4226" s="7">
        <v>4.4400000000000004</v>
      </c>
      <c r="E4226" t="s">
        <v>13</v>
      </c>
    </row>
    <row r="4227" spans="1:5" x14ac:dyDescent="0.25">
      <c r="A4227" t="str">
        <f>HYPERLINK("https://www.773grp.com/globalSearch/LMC6762AIM/page-1", "LMC6762AIM")</f>
        <v>LMC6762AIM</v>
      </c>
      <c r="B4227" s="3" t="str">
        <f>HYPERLINK("https://www.773grp.com/manufacturer/national-semiconductor?pageNo=72", "National Semiconductor")</f>
        <v>National Semiconductor</v>
      </c>
      <c r="C4227" s="6">
        <v>203</v>
      </c>
      <c r="D4227" s="7">
        <v>4.4400000000000004</v>
      </c>
      <c r="E4227" t="s">
        <v>9</v>
      </c>
    </row>
    <row r="4228" spans="1:5" x14ac:dyDescent="0.25">
      <c r="A4228" t="str">
        <f>HYPERLINK("https://www.773grp.com/globalSearch/LME49860MA-NOPB/page-1", "LME49860MA-NOPB")</f>
        <v>LME49860MA-NOPB</v>
      </c>
      <c r="B4228" s="3" t="str">
        <f>HYPERLINK("https://www.773grp.com/manufacturer/national-semiconductor?pageNo=73", "National Semiconductor")</f>
        <v>National Semiconductor</v>
      </c>
      <c r="C4228" s="6">
        <v>285</v>
      </c>
      <c r="D4228" s="7">
        <v>4.4400000000000004</v>
      </c>
      <c r="E4228" t="s">
        <v>13</v>
      </c>
    </row>
    <row r="4229" spans="1:5" x14ac:dyDescent="0.25">
      <c r="A4229" t="str">
        <f>HYPERLINK("https://www.773grp.com/globalSearch/LMP2232AMAE-NOPB/page-1", "LMP2232AMAE-NOPB")</f>
        <v>LMP2232AMAE-NOPB</v>
      </c>
      <c r="B4229" s="3" t="str">
        <f>HYPERLINK("https://www.773grp.com/manufacturer/national-semiconductor?pageNo=74", "National Semiconductor")</f>
        <v>National Semiconductor</v>
      </c>
      <c r="C4229" s="6">
        <v>250</v>
      </c>
      <c r="D4229" s="7">
        <v>4.4400000000000004</v>
      </c>
    </row>
    <row r="4230" spans="1:5" x14ac:dyDescent="0.25">
      <c r="A4230" t="str">
        <f>HYPERLINK("https://www.773grp.com/globalSearch/LMP2232AMME-NOPB/page-1", "LMP2232AMME-NOPB")</f>
        <v>LMP2232AMME-NOPB</v>
      </c>
      <c r="B4230" s="3" t="str">
        <f>HYPERLINK("https://www.773grp.com/manufacturer/national-semiconductor?pageNo=75", "National Semiconductor")</f>
        <v>National Semiconductor</v>
      </c>
      <c r="C4230" s="6">
        <v>124</v>
      </c>
      <c r="D4230" s="7">
        <v>4.4400000000000004</v>
      </c>
    </row>
    <row r="4231" spans="1:5" x14ac:dyDescent="0.25">
      <c r="A4231" t="str">
        <f>HYPERLINK("https://www.773grp.com/globalSearch/MM54HCT04J/page-1", "MM54HCT04J")</f>
        <v>MM54HCT04J</v>
      </c>
      <c r="B4231" s="3" t="str">
        <f>HYPERLINK("https://www.773grp.com/manufacturer/national-semiconductor?pageNo=76", "National Semiconductor")</f>
        <v>National Semiconductor</v>
      </c>
      <c r="C4231" s="6">
        <v>89</v>
      </c>
      <c r="D4231" s="7">
        <v>4.4400000000000004</v>
      </c>
      <c r="E4231" t="s">
        <v>31</v>
      </c>
    </row>
    <row r="4232" spans="1:5" x14ac:dyDescent="0.25">
      <c r="A4232" t="str">
        <f>HYPERLINK("https://www.773grp.com/globalSearch/LM6142BIMX-NOPB/page-1", "LM6142BIMX-NOPB")</f>
        <v>LM6142BIMX-NOPB</v>
      </c>
      <c r="B4232" s="3" t="str">
        <f>HYPERLINK("https://www.773grp.com/manufacturer/national-semiconductor?pageNo=77", "National Semiconductor")</f>
        <v>National Semiconductor</v>
      </c>
      <c r="C4232" s="6">
        <v>2058</v>
      </c>
      <c r="D4232" s="7">
        <v>4.4400000000000004</v>
      </c>
    </row>
    <row r="4233" spans="1:5" x14ac:dyDescent="0.25">
      <c r="A4233" t="str">
        <f>HYPERLINK("https://www.773grp.com/globalSearch/LME49860MA-NOPB/page-1", "LME49860MA-NOPB")</f>
        <v>LME49860MA-NOPB</v>
      </c>
      <c r="B4233" s="3" t="str">
        <f>HYPERLINK("https://www.773grp.com/manufacturer/national-semiconductor?pageNo=78", "National Semiconductor")</f>
        <v>National Semiconductor</v>
      </c>
      <c r="C4233" s="6">
        <v>236</v>
      </c>
      <c r="D4233" s="7">
        <v>4.4400000000000004</v>
      </c>
      <c r="E4233" t="s">
        <v>13</v>
      </c>
    </row>
    <row r="4234" spans="1:5" x14ac:dyDescent="0.25">
      <c r="A4234" t="str">
        <f>HYPERLINK("https://www.773grp.com/globalSearch/LMP2232AMME-NOPB/page-1", "LMP2232AMME-NOPB")</f>
        <v>LMP2232AMME-NOPB</v>
      </c>
      <c r="B4234" s="3" t="str">
        <f>HYPERLINK("https://www.773grp.com/manufacturer/national-semiconductor?pageNo=79", "National Semiconductor")</f>
        <v>National Semiconductor</v>
      </c>
      <c r="C4234" s="6">
        <v>7000</v>
      </c>
      <c r="D4234" s="7">
        <v>4.4400000000000004</v>
      </c>
    </row>
    <row r="4235" spans="1:5" x14ac:dyDescent="0.25">
      <c r="A4235" t="str">
        <f>HYPERLINK("https://www.773grp.com/globalSearch/LP2954ISX/page-1", "LP2954ISX")</f>
        <v>LP2954ISX</v>
      </c>
      <c r="B4235" s="3" t="str">
        <f>HYPERLINK("https://www.773grp.com/manufacturer/national-semiconductor?pageNo=80", "National Semiconductor")</f>
        <v>National Semiconductor</v>
      </c>
      <c r="C4235" s="6">
        <v>1000</v>
      </c>
      <c r="D4235" s="7">
        <v>4.4400000000000004</v>
      </c>
    </row>
    <row r="4236" spans="1:5" x14ac:dyDescent="0.25">
      <c r="A4236" t="str">
        <f>HYPERLINK("https://www.773grp.com/globalSearch/74AC541PCQR/page-1", "74AC541PCQR")</f>
        <v>74AC541PCQR</v>
      </c>
      <c r="B4236" s="3" t="str">
        <f>HYPERLINK("https://www.773grp.com/manufacturer/national-semiconductor?pageNo=81", "National Semiconductor")</f>
        <v>National Semiconductor</v>
      </c>
      <c r="C4236" s="6">
        <v>710</v>
      </c>
      <c r="D4236" s="7">
        <v>4.4800000000000004</v>
      </c>
      <c r="E4236" t="s">
        <v>14</v>
      </c>
    </row>
    <row r="4237" spans="1:5" x14ac:dyDescent="0.25">
      <c r="A4237" t="str">
        <f>HYPERLINK("https://www.773grp.com/globalSearch/LM4863N/page-1", "LM4863N")</f>
        <v>LM4863N</v>
      </c>
      <c r="B4237" s="3" t="str">
        <f>HYPERLINK("https://www.773grp.com/manufacturer/national-semiconductor?pageNo=82", "National Semiconductor")</f>
        <v>National Semiconductor</v>
      </c>
      <c r="C4237" s="6">
        <v>1057</v>
      </c>
      <c r="D4237" s="7">
        <v>4.4800000000000004</v>
      </c>
      <c r="E4237" t="s">
        <v>18</v>
      </c>
    </row>
    <row r="4238" spans="1:5" x14ac:dyDescent="0.25">
      <c r="A4238" t="str">
        <f>HYPERLINK("https://www.773grp.com/globalSearch/LM6364MX/page-1", "LM6364MX")</f>
        <v>LM6364MX</v>
      </c>
      <c r="B4238" s="3" t="str">
        <f>HYPERLINK("https://www.773grp.com/manufacturer/national-semiconductor?pageNo=83", "National Semiconductor")</f>
        <v>National Semiconductor</v>
      </c>
      <c r="C4238" s="6">
        <v>600</v>
      </c>
      <c r="D4238" s="7">
        <v>4.4800000000000004</v>
      </c>
      <c r="E4238" t="s">
        <v>13</v>
      </c>
    </row>
    <row r="4239" spans="1:5" x14ac:dyDescent="0.25">
      <c r="A4239" t="str">
        <f>HYPERLINK("https://www.773grp.com/globalSearch/LMC6082IN-NOPB/page-1", "LMC6082IN-NOPB")</f>
        <v>LMC6082IN-NOPB</v>
      </c>
      <c r="B4239" s="3" t="str">
        <f>HYPERLINK("https://www.773grp.com/manufacturer/national-semiconductor?pageNo=84", "National Semiconductor")</f>
        <v>National Semiconductor</v>
      </c>
      <c r="C4239" s="6">
        <v>3060</v>
      </c>
      <c r="D4239" s="7">
        <v>4.4800000000000004</v>
      </c>
      <c r="E4239" t="s">
        <v>13</v>
      </c>
    </row>
    <row r="4240" spans="1:5" x14ac:dyDescent="0.25">
      <c r="A4240" t="str">
        <f>HYPERLINK("https://www.773grp.com/globalSearch/MM74HC14J/page-1", "MM74HC14J")</f>
        <v>MM74HC14J</v>
      </c>
      <c r="B4240" s="3" t="str">
        <f>HYPERLINK("https://www.773grp.com/manufacturer/national-semiconductor?pageNo=85", "National Semiconductor")</f>
        <v>National Semiconductor</v>
      </c>
      <c r="C4240" s="6">
        <v>3719</v>
      </c>
      <c r="D4240" s="7">
        <v>4.4800000000000004</v>
      </c>
      <c r="E4240" t="s">
        <v>31</v>
      </c>
    </row>
    <row r="4241" spans="1:5" x14ac:dyDescent="0.25">
      <c r="A4241" t="str">
        <f>HYPERLINK("https://www.773grp.com/globalSearch/LMC6082IN-NOPB/page-1", "LMC6082IN-NOPB")</f>
        <v>LMC6082IN-NOPB</v>
      </c>
      <c r="B4241" s="3" t="str">
        <f>HYPERLINK("https://www.773grp.com/manufacturer/national-semiconductor?pageNo=86", "National Semiconductor")</f>
        <v>National Semiconductor</v>
      </c>
      <c r="C4241" s="6">
        <v>106</v>
      </c>
      <c r="D4241" s="7">
        <v>4.4800000000000004</v>
      </c>
      <c r="E4241" t="s">
        <v>13</v>
      </c>
    </row>
    <row r="4242" spans="1:5" x14ac:dyDescent="0.25">
      <c r="A4242" t="str">
        <f>HYPERLINK("https://www.773grp.com/globalSearch/LMP7716QMME-NOPB/page-1", "LMP7716QMME-NOPB")</f>
        <v>LMP7716QMME-NOPB</v>
      </c>
      <c r="B4242" s="3" t="str">
        <f>HYPERLINK("https://www.773grp.com/manufacturer/national-semiconductor?pageNo=87", "National Semiconductor")</f>
        <v>National Semiconductor</v>
      </c>
      <c r="C4242" s="6">
        <v>185</v>
      </c>
      <c r="D4242" s="7">
        <v>4.4800000000000004</v>
      </c>
    </row>
    <row r="4243" spans="1:5" x14ac:dyDescent="0.25">
      <c r="A4243" t="str">
        <f>HYPERLINK("https://www.773grp.com/globalSearch/74193DC/page-1", "74193DC")</f>
        <v>74193DC</v>
      </c>
      <c r="B4243" s="3" t="str">
        <f>HYPERLINK("https://www.773grp.com/manufacturer/national-semiconductor?pageNo=88", "National Semiconductor")</f>
        <v>National Semiconductor</v>
      </c>
      <c r="C4243" s="6">
        <v>584</v>
      </c>
      <c r="D4243" s="7">
        <v>4.96</v>
      </c>
    </row>
    <row r="4244" spans="1:5" x14ac:dyDescent="0.25">
      <c r="A4244" t="str">
        <f>HYPERLINK("https://www.773grp.com/globalSearch/74S109DC/page-1", "74S109DC")</f>
        <v>74S109DC</v>
      </c>
      <c r="B4244" s="3" t="str">
        <f>HYPERLINK("https://www.773grp.com/manufacturer/national-semiconductor?pageNo=89", "National Semiconductor")</f>
        <v>National Semiconductor</v>
      </c>
      <c r="C4244" s="6">
        <v>6788</v>
      </c>
      <c r="D4244" s="7">
        <v>4.96</v>
      </c>
    </row>
    <row r="4245" spans="1:5" x14ac:dyDescent="0.25">
      <c r="A4245" t="str">
        <f>HYPERLINK("https://www.773grp.com/globalSearch/DM74150N/page-1", "DM74150N")</f>
        <v>DM74150N</v>
      </c>
      <c r="B4245" s="3" t="str">
        <f>HYPERLINK("https://www.773grp.com/manufacturer/national-semiconductor?pageNo=90", "National Semiconductor")</f>
        <v>National Semiconductor</v>
      </c>
      <c r="C4245" s="6">
        <v>9605</v>
      </c>
      <c r="D4245" s="7">
        <v>4.96</v>
      </c>
      <c r="E4245" t="s">
        <v>20</v>
      </c>
    </row>
    <row r="4246" spans="1:5" x14ac:dyDescent="0.25">
      <c r="A4246" t="str">
        <f>HYPERLINK("https://www.773grp.com/globalSearch/DS14C88N-NOPB/page-1", "DS14C88N-NOPB")</f>
        <v>DS14C88N-NOPB</v>
      </c>
      <c r="B4246" s="3" t="str">
        <f>HYPERLINK("https://www.773grp.com/manufacturer/national-semiconductor?pageNo=91", "National Semiconductor")</f>
        <v>National Semiconductor</v>
      </c>
      <c r="C4246" s="6">
        <v>3662</v>
      </c>
      <c r="D4246" s="7">
        <v>4.96</v>
      </c>
      <c r="E4246" t="s">
        <v>21</v>
      </c>
    </row>
    <row r="4247" spans="1:5" x14ac:dyDescent="0.25">
      <c r="A4247" t="str">
        <f>HYPERLINK("https://www.773grp.com/globalSearch/DS14C89AN/page-1", "DS14C89AN")</f>
        <v>DS14C89AN</v>
      </c>
      <c r="B4247" s="3" t="str">
        <f>HYPERLINK("https://www.773grp.com/manufacturer/national-semiconductor?pageNo=92", "National Semiconductor")</f>
        <v>National Semiconductor</v>
      </c>
      <c r="C4247" s="6">
        <v>2568</v>
      </c>
      <c r="D4247" s="7">
        <v>4.96</v>
      </c>
      <c r="E4247" t="s">
        <v>21</v>
      </c>
    </row>
    <row r="4248" spans="1:5" x14ac:dyDescent="0.25">
      <c r="A4248" t="str">
        <f>HYPERLINK("https://www.773grp.com/globalSearch/DS8923AN/page-1", "DS8923AN")</f>
        <v>DS8923AN</v>
      </c>
      <c r="B4248" s="3" t="str">
        <f>HYPERLINK("https://www.773grp.com/manufacturer/national-semiconductor?pageNo=93", "National Semiconductor")</f>
        <v>National Semiconductor</v>
      </c>
      <c r="C4248" s="6">
        <v>568</v>
      </c>
      <c r="D4248" s="7">
        <v>4.96</v>
      </c>
      <c r="E4248" t="s">
        <v>21</v>
      </c>
    </row>
    <row r="4249" spans="1:5" x14ac:dyDescent="0.25">
      <c r="A4249" t="str">
        <f>HYPERLINK("https://www.773grp.com/globalSearch/DS90LV027AHM-NOPB/page-1", "DS90LV027AHM-NOPB")</f>
        <v>DS90LV027AHM-NOPB</v>
      </c>
      <c r="B4249" s="3" t="str">
        <f>HYPERLINK("https://www.773grp.com/manufacturer/national-semiconductor?pageNo=94", "National Semiconductor")</f>
        <v>National Semiconductor</v>
      </c>
      <c r="C4249" s="6">
        <v>285</v>
      </c>
      <c r="D4249" s="7">
        <v>4.96</v>
      </c>
    </row>
    <row r="4250" spans="1:5" x14ac:dyDescent="0.25">
      <c r="A4250" t="str">
        <f>HYPERLINK("https://www.773grp.com/globalSearch/LM2574M-12-NOPB/page-1", "LM2574M-12-NOPB")</f>
        <v>LM2574M-12-NOPB</v>
      </c>
      <c r="B4250" s="3" t="str">
        <f>HYPERLINK("https://www.773grp.com/manufacturer/national-semiconductor?pageNo=95", "National Semiconductor")</f>
        <v>National Semiconductor</v>
      </c>
      <c r="C4250" s="6">
        <v>1316</v>
      </c>
      <c r="D4250" s="7">
        <v>4.96</v>
      </c>
      <c r="E4250" t="s">
        <v>7</v>
      </c>
    </row>
    <row r="4251" spans="1:5" x14ac:dyDescent="0.25">
      <c r="A4251" t="str">
        <f>HYPERLINK("https://www.773grp.com/globalSearch/LM2574M-5.0-NOPB/page-1", "LM2574M-5.0-NOPB")</f>
        <v>LM2574M-5.0-NOPB</v>
      </c>
      <c r="B4251" s="3" t="str">
        <f>HYPERLINK("https://www.773grp.com/manufacturer/national-semiconductor?pageNo=96", "National Semiconductor")</f>
        <v>National Semiconductor</v>
      </c>
      <c r="C4251" s="6">
        <v>500</v>
      </c>
      <c r="D4251" s="7">
        <v>4.96</v>
      </c>
      <c r="E4251" t="s">
        <v>7</v>
      </c>
    </row>
    <row r="4252" spans="1:5" x14ac:dyDescent="0.25">
      <c r="A4252" t="str">
        <f>HYPERLINK("https://www.773grp.com/globalSearch/LM2574M-ADJ-NOPB/page-1", "LM2574M-ADJ-NOPB")</f>
        <v>LM2574M-ADJ-NOPB</v>
      </c>
      <c r="B4252" s="3" t="str">
        <f>HYPERLINK("https://www.773grp.com/manufacturer/national-semiconductor?pageNo=97", "National Semiconductor")</f>
        <v>National Semiconductor</v>
      </c>
      <c r="C4252" s="6">
        <v>195</v>
      </c>
      <c r="D4252" s="7">
        <v>4.96</v>
      </c>
      <c r="E4252" t="s">
        <v>7</v>
      </c>
    </row>
    <row r="4253" spans="1:5" x14ac:dyDescent="0.25">
      <c r="A4253" t="str">
        <f>HYPERLINK("https://www.773grp.com/globalSearch/LM3578AM-NOPB/page-1", "LM3578AM-NOPB")</f>
        <v>LM3578AM-NOPB</v>
      </c>
      <c r="B4253" s="3" t="str">
        <f>HYPERLINK("https://www.773grp.com/manufacturer/national-semiconductor?pageNo=98", "National Semiconductor")</f>
        <v>National Semiconductor</v>
      </c>
      <c r="C4253" s="6">
        <v>925</v>
      </c>
      <c r="D4253" s="7">
        <v>4.96</v>
      </c>
      <c r="E4253" t="s">
        <v>7</v>
      </c>
    </row>
    <row r="4254" spans="1:5" x14ac:dyDescent="0.25">
      <c r="A4254" t="str">
        <f>HYPERLINK("https://www.773grp.com/globalSearch/LM3578AMX/page-1", "LM3578AMX")</f>
        <v>LM3578AMX</v>
      </c>
      <c r="B4254" s="3" t="str">
        <f>HYPERLINK("https://www.773grp.com/manufacturer/national-semiconductor?pageNo=99", "National Semiconductor")</f>
        <v>National Semiconductor</v>
      </c>
      <c r="C4254" s="6">
        <v>2500</v>
      </c>
      <c r="D4254" s="7">
        <v>4.96</v>
      </c>
      <c r="E4254" t="s">
        <v>7</v>
      </c>
    </row>
    <row r="4255" spans="1:5" x14ac:dyDescent="0.25">
      <c r="A4255" t="str">
        <f>HYPERLINK("https://www.773grp.com/globalSearch/LM35DT-NOPB/page-1", "LM35DT-NOPB")</f>
        <v>LM35DT-NOPB</v>
      </c>
      <c r="B4255" s="3" t="str">
        <f>HYPERLINK("https://www.773grp.com/manufacturer/national-semiconductor?pageNo=100", "National Semiconductor")</f>
        <v>National Semiconductor</v>
      </c>
      <c r="C4255" s="6">
        <v>1589</v>
      </c>
      <c r="D4255" s="7">
        <v>4.96</v>
      </c>
      <c r="E4255" t="s">
        <v>8</v>
      </c>
    </row>
    <row r="4256" spans="1:5" x14ac:dyDescent="0.25">
      <c r="A4256" t="str">
        <f>HYPERLINK("https://www.773grp.com/globalSearch/LM56CIMX/page-1", "LM56CIMX")</f>
        <v>LM56CIMX</v>
      </c>
      <c r="B4256" s="3" t="str">
        <f>HYPERLINK("https://www.773grp.com/manufacturer/national-semiconductor?pageNo=101", "National Semiconductor")</f>
        <v>National Semiconductor</v>
      </c>
      <c r="C4256" s="6">
        <v>5000</v>
      </c>
      <c r="D4256" s="7">
        <v>4.96</v>
      </c>
      <c r="E4256" t="s">
        <v>12</v>
      </c>
    </row>
    <row r="4257" spans="1:5" x14ac:dyDescent="0.25">
      <c r="A4257" t="str">
        <f>HYPERLINK("https://www.773grp.com/globalSearch/LM9076BMA-3.3-NOPB/page-1", "LM9076BMA-3.3-NOPB")</f>
        <v>LM9076BMA-3.3-NOPB</v>
      </c>
      <c r="B4257" s="3" t="str">
        <f>HYPERLINK("https://www.773grp.com/manufacturer/national-semiconductor?pageNo=102", "National Semiconductor")</f>
        <v>National Semiconductor</v>
      </c>
      <c r="C4257" s="6">
        <v>1830</v>
      </c>
      <c r="D4257" s="7">
        <v>4.96</v>
      </c>
      <c r="E4257" t="s">
        <v>19</v>
      </c>
    </row>
    <row r="4258" spans="1:5" x14ac:dyDescent="0.25">
      <c r="A4258" t="str">
        <f>HYPERLINK("https://www.773grp.com/globalSearch/LM9076BMA-5.0-NOPB/page-1", "LM9076BMA-5.0-NOPB")</f>
        <v>LM9076BMA-5.0-NOPB</v>
      </c>
      <c r="B4258" s="3" t="str">
        <f>HYPERLINK("https://www.773grp.com/manufacturer/national-semiconductor?pageNo=103", "National Semiconductor")</f>
        <v>National Semiconductor</v>
      </c>
      <c r="C4258" s="6">
        <v>505</v>
      </c>
      <c r="D4258" s="7">
        <v>4.96</v>
      </c>
      <c r="E4258" t="s">
        <v>19</v>
      </c>
    </row>
    <row r="4259" spans="1:5" x14ac:dyDescent="0.25">
      <c r="A4259" t="str">
        <f>HYPERLINK("https://www.773grp.com/globalSearch/LMH6658MM/page-1", "LMH6658MM")</f>
        <v>LMH6658MM</v>
      </c>
      <c r="B4259" s="3" t="str">
        <f>HYPERLINK("https://www.773grp.com/manufacturer/national-semiconductor?pageNo=104", "National Semiconductor")</f>
        <v>National Semiconductor</v>
      </c>
      <c r="C4259" s="6">
        <v>1345</v>
      </c>
      <c r="D4259" s="7">
        <v>4.96</v>
      </c>
      <c r="E4259" t="s">
        <v>18</v>
      </c>
    </row>
    <row r="4260" spans="1:5" x14ac:dyDescent="0.25">
      <c r="A4260" t="str">
        <f>HYPERLINK("https://www.773grp.com/globalSearch/LMH6658MM-NOPB/page-1", "LMH6658MM-NOPB")</f>
        <v>LMH6658MM-NOPB</v>
      </c>
      <c r="B4260" s="3" t="str">
        <f>HYPERLINK("https://www.773grp.com/manufacturer/national-semiconductor?pageNo=105", "National Semiconductor")</f>
        <v>National Semiconductor</v>
      </c>
      <c r="C4260" s="6">
        <v>8554</v>
      </c>
      <c r="D4260" s="7">
        <v>4.96</v>
      </c>
      <c r="E4260" t="s">
        <v>18</v>
      </c>
    </row>
    <row r="4261" spans="1:5" x14ac:dyDescent="0.25">
      <c r="A4261" t="str">
        <f>HYPERLINK("https://www.773grp.com/globalSearch/LMH6658MMX-NOPB/page-1", "LMH6658MMX-NOPB")</f>
        <v>LMH6658MMX-NOPB</v>
      </c>
      <c r="B4261" s="3" t="str">
        <f>HYPERLINK("https://www.773grp.com/manufacturer/national-semiconductor?pageNo=106", "National Semiconductor")</f>
        <v>National Semiconductor</v>
      </c>
      <c r="C4261" s="6">
        <v>7000</v>
      </c>
      <c r="D4261" s="7">
        <v>4.96</v>
      </c>
      <c r="E4261" t="s">
        <v>18</v>
      </c>
    </row>
    <row r="4262" spans="1:5" x14ac:dyDescent="0.25">
      <c r="A4262" t="str">
        <f>HYPERLINK("https://www.773grp.com/globalSearch/LMH6682MA/page-1", "LMH6682MA")</f>
        <v>LMH6682MA</v>
      </c>
      <c r="B4262" s="3" t="str">
        <f>HYPERLINK("https://www.773grp.com/manufacturer/national-semiconductor?pageNo=107", "National Semiconductor")</f>
        <v>National Semiconductor</v>
      </c>
      <c r="C4262" s="6">
        <v>76</v>
      </c>
      <c r="D4262" s="7">
        <v>4.96</v>
      </c>
      <c r="E4262" t="s">
        <v>18</v>
      </c>
    </row>
    <row r="4263" spans="1:5" x14ac:dyDescent="0.25">
      <c r="A4263" t="str">
        <f>HYPERLINK("https://www.773grp.com/globalSearch/LMP2231AMF-NOPB/page-1", "LMP2231AMF-NOPB")</f>
        <v>LMP2231AMF-NOPB</v>
      </c>
      <c r="B4263" s="3" t="str">
        <f>HYPERLINK("https://www.773grp.com/manufacturer/national-semiconductor?pageNo=108", "National Semiconductor")</f>
        <v>National Semiconductor</v>
      </c>
      <c r="C4263" s="6">
        <v>1000</v>
      </c>
      <c r="D4263" s="7">
        <v>4.96</v>
      </c>
    </row>
    <row r="4264" spans="1:5" x14ac:dyDescent="0.25">
      <c r="A4264" t="str">
        <f>HYPERLINK("https://www.773grp.com/globalSearch/LMP8640HVMK-F-NOPB/page-1", "LMP8640HVMK-F-NOPB")</f>
        <v>LMP8640HVMK-F-NOPB</v>
      </c>
      <c r="B4264" s="3" t="str">
        <f>HYPERLINK("https://www.773grp.com/manufacturer/national-semiconductor?pageNo=109", "National Semiconductor")</f>
        <v>National Semiconductor</v>
      </c>
      <c r="C4264" s="6">
        <v>1000</v>
      </c>
      <c r="D4264" s="7">
        <v>4.96</v>
      </c>
    </row>
    <row r="4265" spans="1:5" x14ac:dyDescent="0.25">
      <c r="A4265" t="str">
        <f>HYPERLINK("https://www.773grp.com/globalSearch/LMP8640HVMK-H-NOPB/page-1", "LMP8640HVMK-H-NOPB")</f>
        <v>LMP8640HVMK-H-NOPB</v>
      </c>
      <c r="B4265" s="3" t="str">
        <f>HYPERLINK("https://www.773grp.com/manufacturer/national-semiconductor?pageNo=110", "National Semiconductor")</f>
        <v>National Semiconductor</v>
      </c>
      <c r="C4265" s="6">
        <v>1000</v>
      </c>
      <c r="D4265" s="7">
        <v>4.96</v>
      </c>
    </row>
    <row r="4266" spans="1:5" x14ac:dyDescent="0.25">
      <c r="A4266" t="str">
        <f>HYPERLINK("https://www.773grp.com/globalSearch/LMS1487IM-NOPB/page-1", "LMS1487IM-NOPB")</f>
        <v>LMS1487IM-NOPB</v>
      </c>
      <c r="B4266" s="3" t="str">
        <f>HYPERLINK("https://www.773grp.com/manufacturer/national-semiconductor?pageNo=111", "National Semiconductor")</f>
        <v>National Semiconductor</v>
      </c>
      <c r="C4266" s="6">
        <v>691</v>
      </c>
      <c r="D4266" s="7">
        <v>4.96</v>
      </c>
      <c r="E4266" t="s">
        <v>21</v>
      </c>
    </row>
    <row r="4267" spans="1:5" x14ac:dyDescent="0.25">
      <c r="A4267" t="str">
        <f>HYPERLINK("https://www.773grp.com/globalSearch/LMS1587CT-3.3-NOPB/page-1", "LMS1587CT-3.3-NOPB")</f>
        <v>LMS1587CT-3.3-NOPB</v>
      </c>
      <c r="B4267" s="3" t="str">
        <f>HYPERLINK("https://www.773grp.com/manufacturer/national-semiconductor?pageNo=112", "National Semiconductor")</f>
        <v>National Semiconductor</v>
      </c>
      <c r="C4267" s="6">
        <v>1917</v>
      </c>
      <c r="D4267" s="7">
        <v>4.96</v>
      </c>
      <c r="E4267" t="s">
        <v>19</v>
      </c>
    </row>
    <row r="4268" spans="1:5" x14ac:dyDescent="0.25">
      <c r="A4268" t="str">
        <f>HYPERLINK("https://www.773grp.com/globalSearch/LMS1587CT-ADJ-NOPB/page-1", "LMS1587CT-ADJ-NOPB")</f>
        <v>LMS1587CT-ADJ-NOPB</v>
      </c>
      <c r="B4268" s="3" t="str">
        <f>HYPERLINK("https://www.773grp.com/manufacturer/national-semiconductor?pageNo=113", "National Semiconductor")</f>
        <v>National Semiconductor</v>
      </c>
      <c r="C4268" s="6">
        <v>2975</v>
      </c>
      <c r="D4268" s="7">
        <v>4.96</v>
      </c>
      <c r="E4268" t="s">
        <v>25</v>
      </c>
    </row>
    <row r="4269" spans="1:5" x14ac:dyDescent="0.25">
      <c r="A4269" t="str">
        <f>HYPERLINK("https://www.773grp.com/globalSearch/LP2989ILD-4.0/page-1", "LP2989ILD-4.0")</f>
        <v>LP2989ILD-4.0</v>
      </c>
      <c r="B4269" s="3" t="str">
        <f>HYPERLINK("https://www.773grp.com/manufacturer/national-semiconductor?pageNo=114", "National Semiconductor")</f>
        <v>National Semiconductor</v>
      </c>
      <c r="C4269" s="6">
        <v>7000</v>
      </c>
      <c r="D4269" s="7">
        <v>4.96</v>
      </c>
      <c r="E4269" t="s">
        <v>19</v>
      </c>
    </row>
    <row r="4270" spans="1:5" x14ac:dyDescent="0.25">
      <c r="A4270" t="str">
        <f>HYPERLINK("https://www.773grp.com/globalSearch/LP8550TLE-NOPB/page-1", "LP8550TLE-NOPB")</f>
        <v>LP8550TLE-NOPB</v>
      </c>
      <c r="B4270" s="3" t="str">
        <f>HYPERLINK("https://www.773grp.com/manufacturer/national-semiconductor?pageNo=115", "National Semiconductor")</f>
        <v>National Semiconductor</v>
      </c>
      <c r="C4270" s="6">
        <v>682</v>
      </c>
      <c r="D4270" s="7">
        <v>4.96</v>
      </c>
    </row>
    <row r="4271" spans="1:5" x14ac:dyDescent="0.25">
      <c r="A4271" t="str">
        <f>HYPERLINK("https://www.773grp.com/globalSearch/DS14C88N-NOPB/page-1", "DS14C88N-NOPB")</f>
        <v>DS14C88N-NOPB</v>
      </c>
      <c r="B4271" s="3" t="str">
        <f>HYPERLINK("https://www.773grp.com/manufacturer/national-semiconductor?pageNo=116", "National Semiconductor")</f>
        <v>National Semiconductor</v>
      </c>
      <c r="C4271" s="6">
        <v>1000</v>
      </c>
      <c r="D4271" s="7">
        <v>4.96</v>
      </c>
      <c r="E4271" t="s">
        <v>21</v>
      </c>
    </row>
    <row r="4272" spans="1:5" x14ac:dyDescent="0.25">
      <c r="A4272" t="str">
        <f>HYPERLINK("https://www.773grp.com/globalSearch/DS14C88N-NOPB/page-1", "DS14C88N-NOPB")</f>
        <v>DS14C88N-NOPB</v>
      </c>
      <c r="B4272" s="3" t="str">
        <f>HYPERLINK("https://www.773grp.com/manufacturer/national-semiconductor?pageNo=117", "National Semiconductor")</f>
        <v>National Semiconductor</v>
      </c>
      <c r="C4272" s="6">
        <v>2825</v>
      </c>
      <c r="D4272" s="7">
        <v>4.96</v>
      </c>
      <c r="E4272" t="s">
        <v>21</v>
      </c>
    </row>
    <row r="4273" spans="1:5" x14ac:dyDescent="0.25">
      <c r="A4273" t="str">
        <f>HYPERLINK("https://www.773grp.com/globalSearch/DS14C89AN/page-1", "DS14C89AN")</f>
        <v>DS14C89AN</v>
      </c>
      <c r="B4273" s="3" t="str">
        <f>HYPERLINK("https://www.773grp.com/manufacturer/national-semiconductor?pageNo=118", "National Semiconductor")</f>
        <v>National Semiconductor</v>
      </c>
      <c r="C4273" s="6">
        <v>700</v>
      </c>
      <c r="D4273" s="7">
        <v>4.96</v>
      </c>
      <c r="E4273" t="s">
        <v>21</v>
      </c>
    </row>
    <row r="4274" spans="1:5" x14ac:dyDescent="0.25">
      <c r="A4274" t="str">
        <f>HYPERLINK("https://www.773grp.com/globalSearch/DS8923AN/page-1", "DS8923AN")</f>
        <v>DS8923AN</v>
      </c>
      <c r="B4274" s="3" t="str">
        <f>HYPERLINK("https://www.773grp.com/manufacturer/national-semiconductor?pageNo=119", "National Semiconductor")</f>
        <v>National Semiconductor</v>
      </c>
      <c r="C4274" s="6">
        <v>350</v>
      </c>
      <c r="D4274" s="7">
        <v>4.96</v>
      </c>
      <c r="E4274" t="s">
        <v>21</v>
      </c>
    </row>
    <row r="4275" spans="1:5" x14ac:dyDescent="0.25">
      <c r="A4275" t="str">
        <f>HYPERLINK("https://www.773grp.com/globalSearch/LM2574M-12-NOPB/page-1", "LM2574M-12-NOPB")</f>
        <v>LM2574M-12-NOPB</v>
      </c>
      <c r="B4275" s="3" t="str">
        <f>HYPERLINK("https://www.773grp.com/manufacturer/national-semiconductor?pageNo=120", "National Semiconductor")</f>
        <v>National Semiconductor</v>
      </c>
      <c r="C4275" s="6">
        <v>2550</v>
      </c>
      <c r="D4275" s="7">
        <v>4.96</v>
      </c>
      <c r="E4275" t="s">
        <v>7</v>
      </c>
    </row>
    <row r="4276" spans="1:5" x14ac:dyDescent="0.25">
      <c r="A4276" t="str">
        <f>HYPERLINK("https://www.773grp.com/globalSearch/LM2574M-3.3-NOPB/page-1", "LM2574M-3.3-NOPB")</f>
        <v>LM2574M-3.3-NOPB</v>
      </c>
      <c r="B4276" s="3" t="str">
        <f>HYPERLINK("https://www.773grp.com/manufacturer/national-semiconductor?pageNo=121", "National Semiconductor")</f>
        <v>National Semiconductor</v>
      </c>
      <c r="C4276" s="6">
        <v>250</v>
      </c>
      <c r="D4276" s="7">
        <v>4.96</v>
      </c>
    </row>
    <row r="4277" spans="1:5" x14ac:dyDescent="0.25">
      <c r="A4277" t="str">
        <f>HYPERLINK("https://www.773grp.com/globalSearch/LM2574M-5.0-NOPB/page-1", "LM2574M-5.0-NOPB")</f>
        <v>LM2574M-5.0-NOPB</v>
      </c>
      <c r="B4277" s="3" t="str">
        <f>HYPERLINK("https://www.773grp.com/manufacturer/national-semiconductor?pageNo=122", "National Semiconductor")</f>
        <v>National Semiconductor</v>
      </c>
      <c r="C4277" s="6">
        <v>328</v>
      </c>
      <c r="D4277" s="7">
        <v>4.96</v>
      </c>
      <c r="E4277" t="s">
        <v>7</v>
      </c>
    </row>
    <row r="4278" spans="1:5" x14ac:dyDescent="0.25">
      <c r="A4278" t="str">
        <f>HYPERLINK("https://www.773grp.com/globalSearch/LM2574M-ADJ-NOPB/page-1", "LM2574M-ADJ-NOPB")</f>
        <v>LM2574M-ADJ-NOPB</v>
      </c>
      <c r="B4278" s="3" t="str">
        <f>HYPERLINK("https://www.773grp.com/manufacturer/national-semiconductor?pageNo=123", "National Semiconductor")</f>
        <v>National Semiconductor</v>
      </c>
      <c r="C4278" s="6">
        <v>233</v>
      </c>
      <c r="D4278" s="7">
        <v>4.96</v>
      </c>
      <c r="E4278" t="s">
        <v>7</v>
      </c>
    </row>
    <row r="4279" spans="1:5" x14ac:dyDescent="0.25">
      <c r="A4279" t="str">
        <f>HYPERLINK("https://www.773grp.com/globalSearch/LM3578AM-NOPB/page-1", "LM3578AM-NOPB")</f>
        <v>LM3578AM-NOPB</v>
      </c>
      <c r="B4279" s="3" t="str">
        <f>HYPERLINK("https://www.773grp.com/manufacturer/national-semiconductor?pageNo=124", "National Semiconductor")</f>
        <v>National Semiconductor</v>
      </c>
      <c r="C4279" s="6">
        <v>211</v>
      </c>
      <c r="D4279" s="7">
        <v>4.96</v>
      </c>
      <c r="E4279" t="s">
        <v>7</v>
      </c>
    </row>
    <row r="4280" spans="1:5" x14ac:dyDescent="0.25">
      <c r="A4280" t="str">
        <f>HYPERLINK("https://www.773grp.com/globalSearch/LM35DT-NOPB/page-1", "LM35DT-NOPB")</f>
        <v>LM35DT-NOPB</v>
      </c>
      <c r="B4280" s="3" t="str">
        <f>HYPERLINK("https://www.773grp.com/manufacturer/national-semiconductor?pageNo=125", "National Semiconductor")</f>
        <v>National Semiconductor</v>
      </c>
      <c r="C4280" s="6">
        <v>210</v>
      </c>
      <c r="D4280" s="7">
        <v>4.96</v>
      </c>
      <c r="E4280" t="s">
        <v>8</v>
      </c>
    </row>
    <row r="4281" spans="1:5" x14ac:dyDescent="0.25">
      <c r="A4281" t="str">
        <f>HYPERLINK("https://www.773grp.com/globalSearch/LM9076BMA-3.3-NOPB/page-1", "LM9076BMA-3.3-NOPB")</f>
        <v>LM9076BMA-3.3-NOPB</v>
      </c>
      <c r="B4281" s="3" t="str">
        <f>HYPERLINK("https://www.773grp.com/manufacturer/national-semiconductor?pageNo=126", "National Semiconductor")</f>
        <v>National Semiconductor</v>
      </c>
      <c r="C4281" s="6">
        <v>1315</v>
      </c>
      <c r="D4281" s="7">
        <v>4.96</v>
      </c>
      <c r="E4281" t="s">
        <v>19</v>
      </c>
    </row>
    <row r="4282" spans="1:5" x14ac:dyDescent="0.25">
      <c r="A4282" t="str">
        <f>HYPERLINK("https://www.773grp.com/globalSearch/LM9076BMA-5.0-NOPB/page-1", "LM9076BMA-5.0-NOPB")</f>
        <v>LM9076BMA-5.0-NOPB</v>
      </c>
      <c r="B4282" s="3" t="str">
        <f>HYPERLINK("https://www.773grp.com/manufacturer/national-semiconductor?pageNo=127", "National Semiconductor")</f>
        <v>National Semiconductor</v>
      </c>
      <c r="C4282" s="6">
        <v>10</v>
      </c>
      <c r="D4282" s="7">
        <v>4.96</v>
      </c>
      <c r="E4282" t="s">
        <v>19</v>
      </c>
    </row>
    <row r="4283" spans="1:5" x14ac:dyDescent="0.25">
      <c r="A4283" t="str">
        <f>HYPERLINK("https://www.773grp.com/globalSearch/LMP8640HVMK-F-NOPB/page-1", "LMP8640HVMK-F-NOPB")</f>
        <v>LMP8640HVMK-F-NOPB</v>
      </c>
      <c r="B4283" s="3" t="str">
        <f>HYPERLINK("https://www.773grp.com/manufacturer/national-semiconductor?pageNo=128", "National Semiconductor")</f>
        <v>National Semiconductor</v>
      </c>
      <c r="C4283" s="6">
        <v>900</v>
      </c>
      <c r="D4283" s="7">
        <v>4.96</v>
      </c>
    </row>
    <row r="4284" spans="1:5" x14ac:dyDescent="0.25">
      <c r="A4284" t="str">
        <f>HYPERLINK("https://www.773grp.com/globalSearch/LMS1587CT-ADJ-NOPB/page-1", "LMS1587CT-ADJ-NOPB")</f>
        <v>LMS1587CT-ADJ-NOPB</v>
      </c>
      <c r="B4284" s="3" t="str">
        <f>HYPERLINK("https://www.773grp.com/manufacturer/national-semiconductor?pageNo=129", "National Semiconductor")</f>
        <v>National Semiconductor</v>
      </c>
      <c r="C4284" s="6">
        <v>824</v>
      </c>
      <c r="D4284" s="7">
        <v>4.96</v>
      </c>
      <c r="E4284" t="s">
        <v>25</v>
      </c>
    </row>
    <row r="4285" spans="1:5" x14ac:dyDescent="0.25">
      <c r="A4285" t="str">
        <f>HYPERLINK("https://www.773grp.com/globalSearch/LP8550TLE-NOPB/page-1", "LP8550TLE-NOPB")</f>
        <v>LP8550TLE-NOPB</v>
      </c>
      <c r="B4285" s="3" t="str">
        <f>HYPERLINK("https://www.773grp.com/manufacturer/national-semiconductor?pageNo=130", "National Semiconductor")</f>
        <v>National Semiconductor</v>
      </c>
      <c r="C4285" s="6">
        <v>367</v>
      </c>
      <c r="D4285" s="7">
        <v>4.96</v>
      </c>
    </row>
    <row r="4286" spans="1:5" x14ac:dyDescent="0.25">
      <c r="A4286" t="str">
        <f>HYPERLINK("https://www.773grp.com/globalSearch/5409FMQB/page-1", "5409FMQB")</f>
        <v>5409FMQB</v>
      </c>
      <c r="B4286" s="3" t="str">
        <f>HYPERLINK("https://www.773grp.com/manufacturer/national-semiconductor?pageNo=131", "National Semiconductor")</f>
        <v>National Semiconductor</v>
      </c>
      <c r="C4286" s="6">
        <v>1899</v>
      </c>
      <c r="D4286" s="7">
        <v>4.5</v>
      </c>
      <c r="E4286" t="s">
        <v>31</v>
      </c>
    </row>
    <row r="4287" spans="1:5" x14ac:dyDescent="0.25">
      <c r="A4287" t="str">
        <f>HYPERLINK("https://www.773grp.com/globalSearch/54LS74FM/page-1", "54LS74FM")</f>
        <v>54LS74FM</v>
      </c>
      <c r="B4287" s="3" t="str">
        <f>HYPERLINK("https://www.773grp.com/manufacturer/national-semiconductor?pageNo=132", "National Semiconductor")</f>
        <v>National Semiconductor</v>
      </c>
      <c r="C4287" s="6">
        <v>207</v>
      </c>
      <c r="D4287" s="7">
        <v>4.5</v>
      </c>
    </row>
    <row r="4288" spans="1:5" x14ac:dyDescent="0.25">
      <c r="A4288" t="str">
        <f>HYPERLINK("https://www.773grp.com/globalSearch/7412PC/page-1", "7412PC")</f>
        <v>7412PC</v>
      </c>
      <c r="B4288" s="3" t="str">
        <f>HYPERLINK("https://www.773grp.com/manufacturer/national-semiconductor?pageNo=133", "National Semiconductor")</f>
        <v>National Semiconductor</v>
      </c>
      <c r="C4288" s="6">
        <v>40302</v>
      </c>
      <c r="D4288" s="7">
        <v>4.5</v>
      </c>
    </row>
    <row r="4289" spans="1:5" x14ac:dyDescent="0.25">
      <c r="A4289" t="str">
        <f>HYPERLINK("https://www.773grp.com/globalSearch/ADC121S101CISD-NOPB/page-1", "ADC121S101CISD-NOPB")</f>
        <v>ADC121S101CISD-NOPB</v>
      </c>
      <c r="B4289" s="3" t="str">
        <f>HYPERLINK("https://www.773grp.com/manufacturer/national-semiconductor?pageNo=134", "National Semiconductor")</f>
        <v>National Semiconductor</v>
      </c>
      <c r="C4289" s="6">
        <v>810</v>
      </c>
      <c r="D4289" s="7">
        <v>4.5</v>
      </c>
    </row>
    <row r="4290" spans="1:5" x14ac:dyDescent="0.25">
      <c r="A4290" t="str">
        <f>HYPERLINK("https://www.773grp.com/globalSearch/ADCS7476AIMFE-NOPB/page-1", "ADCS7476AIMFE-NOPB")</f>
        <v>ADCS7476AIMFE-NOPB</v>
      </c>
      <c r="B4290" s="3" t="str">
        <f>HYPERLINK("https://www.773grp.com/manufacturer/national-semiconductor?pageNo=1", "National Semiconductor")</f>
        <v>National Semiconductor</v>
      </c>
      <c r="C4290" s="6">
        <v>250</v>
      </c>
      <c r="D4290" s="7">
        <v>4.5</v>
      </c>
    </row>
    <row r="4291" spans="1:5" x14ac:dyDescent="0.25">
      <c r="A4291" t="str">
        <f>HYPERLINK("https://www.773grp.com/globalSearch/DS14C88TN/page-1", "DS14C88TN")</f>
        <v>DS14C88TN</v>
      </c>
      <c r="B4291" s="3" t="str">
        <f>HYPERLINK("https://www.773grp.com/manufacturer/national-semiconductor?pageNo=2", "National Semiconductor")</f>
        <v>National Semiconductor</v>
      </c>
      <c r="C4291" s="6">
        <v>2685</v>
      </c>
      <c r="D4291" s="7">
        <v>4.5</v>
      </c>
      <c r="E4291" t="s">
        <v>21</v>
      </c>
    </row>
    <row r="4292" spans="1:5" x14ac:dyDescent="0.25">
      <c r="A4292" t="str">
        <f>HYPERLINK("https://www.773grp.com/globalSearch/DS14C89ATM/page-1", "DS14C89ATM")</f>
        <v>DS14C89ATM</v>
      </c>
      <c r="B4292" s="3" t="str">
        <f>HYPERLINK("https://www.773grp.com/manufacturer/national-semiconductor?pageNo=3", "National Semiconductor")</f>
        <v>National Semiconductor</v>
      </c>
      <c r="C4292" s="6">
        <v>1296</v>
      </c>
      <c r="D4292" s="7">
        <v>4.5</v>
      </c>
      <c r="E4292" t="s">
        <v>21</v>
      </c>
    </row>
    <row r="4293" spans="1:5" x14ac:dyDescent="0.25">
      <c r="A4293" t="str">
        <f>HYPERLINK("https://www.773grp.com/globalSearch/DS14C89ATN/page-1", "DS14C89ATN")</f>
        <v>DS14C89ATN</v>
      </c>
      <c r="B4293" s="3" t="str">
        <f>HYPERLINK("https://www.773grp.com/manufacturer/national-semiconductor?pageNo=4", "National Semiconductor")</f>
        <v>National Semiconductor</v>
      </c>
      <c r="C4293" s="6">
        <v>1829</v>
      </c>
      <c r="D4293" s="7">
        <v>4.5</v>
      </c>
      <c r="E4293" t="s">
        <v>21</v>
      </c>
    </row>
    <row r="4294" spans="1:5" x14ac:dyDescent="0.25">
      <c r="A4294" t="str">
        <f>HYPERLINK("https://www.773grp.com/globalSearch/DS91C180TMAX-NOPB/page-1", "DS91C180TMAX-NOPB")</f>
        <v>DS91C180TMAX-NOPB</v>
      </c>
      <c r="B4294" s="3" t="str">
        <f>HYPERLINK("https://www.773grp.com/manufacturer/national-semiconductor?pageNo=5", "National Semiconductor")</f>
        <v>National Semiconductor</v>
      </c>
      <c r="C4294" s="6">
        <v>2500</v>
      </c>
      <c r="D4294" s="7">
        <v>4.5</v>
      </c>
    </row>
    <row r="4295" spans="1:5" x14ac:dyDescent="0.25">
      <c r="A4295" t="str">
        <f>HYPERLINK("https://www.773grp.com/globalSearch/LM22672MRX-ADJ-NOPB/page-1", "LM22672MRX-ADJ-NOPB")</f>
        <v>LM22672MRX-ADJ-NOPB</v>
      </c>
      <c r="B4295" s="3" t="str">
        <f>HYPERLINK("https://www.773grp.com/manufacturer/national-semiconductor?pageNo=6", "National Semiconductor")</f>
        <v>National Semiconductor</v>
      </c>
      <c r="C4295" s="6">
        <v>17469</v>
      </c>
      <c r="D4295" s="7">
        <v>4.5</v>
      </c>
      <c r="E4295" t="s">
        <v>7</v>
      </c>
    </row>
    <row r="4296" spans="1:5" x14ac:dyDescent="0.25">
      <c r="A4296" t="str">
        <f>HYPERLINK("https://www.773grp.com/globalSearch/LM25575MHX/page-1", "LM25575MHX")</f>
        <v>LM25575MHX</v>
      </c>
      <c r="B4296" s="3" t="str">
        <f>HYPERLINK("https://www.773grp.com/manufacturer/national-semiconductor?pageNo=7", "National Semiconductor")</f>
        <v>National Semiconductor</v>
      </c>
      <c r="C4296" s="6">
        <v>5000</v>
      </c>
      <c r="D4296" s="7">
        <v>4.5</v>
      </c>
      <c r="E4296" t="s">
        <v>7</v>
      </c>
    </row>
    <row r="4297" spans="1:5" x14ac:dyDescent="0.25">
      <c r="A4297" t="str">
        <f>HYPERLINK("https://www.773grp.com/globalSearch/LM2595SX-12-NOPB/page-1", "LM2595SX-12-NOPB")</f>
        <v>LM2595SX-12-NOPB</v>
      </c>
      <c r="B4297" s="3" t="str">
        <f>HYPERLINK("https://www.773grp.com/manufacturer/national-semiconductor?pageNo=8", "National Semiconductor")</f>
        <v>National Semiconductor</v>
      </c>
      <c r="C4297" s="6">
        <v>200</v>
      </c>
      <c r="D4297" s="7">
        <v>4.5</v>
      </c>
      <c r="E4297" t="s">
        <v>7</v>
      </c>
    </row>
    <row r="4298" spans="1:5" x14ac:dyDescent="0.25">
      <c r="A4298" t="str">
        <f>HYPERLINK("https://www.773grp.com/globalSearch/LM2595SX-3.3-NOPB/page-1", "LM2595SX-3.3-NOPB")</f>
        <v>LM2595SX-3.3-NOPB</v>
      </c>
      <c r="B4298" s="3" t="str">
        <f>HYPERLINK("https://www.773grp.com/manufacturer/national-semiconductor?pageNo=9", "National Semiconductor")</f>
        <v>National Semiconductor</v>
      </c>
      <c r="C4298" s="6">
        <v>3000</v>
      </c>
      <c r="D4298" s="7">
        <v>4.5</v>
      </c>
      <c r="E4298" t="s">
        <v>7</v>
      </c>
    </row>
    <row r="4299" spans="1:5" x14ac:dyDescent="0.25">
      <c r="A4299" t="str">
        <f>HYPERLINK("https://www.773grp.com/globalSearch/LM2595SX-5.0-NOPB/page-1", "LM2595SX-5.0-NOPB")</f>
        <v>LM2595SX-5.0-NOPB</v>
      </c>
      <c r="B4299" s="3" t="str">
        <f>HYPERLINK("https://www.773grp.com/manufacturer/national-semiconductor?pageNo=10", "National Semiconductor")</f>
        <v>National Semiconductor</v>
      </c>
      <c r="C4299" s="6">
        <v>1840</v>
      </c>
      <c r="D4299" s="7">
        <v>4.5</v>
      </c>
      <c r="E4299" t="s">
        <v>7</v>
      </c>
    </row>
    <row r="4300" spans="1:5" x14ac:dyDescent="0.25">
      <c r="A4300" t="str">
        <f>HYPERLINK("https://www.773grp.com/globalSearch/LM2595SX-ADJ-NOPB/page-1", "LM2595SX-ADJ-NOPB")</f>
        <v>LM2595SX-ADJ-NOPB</v>
      </c>
      <c r="B4300" s="3" t="str">
        <f>HYPERLINK("https://www.773grp.com/manufacturer/national-semiconductor?pageNo=11", "National Semiconductor")</f>
        <v>National Semiconductor</v>
      </c>
      <c r="C4300" s="6">
        <v>20622</v>
      </c>
      <c r="D4300" s="7">
        <v>4.5</v>
      </c>
      <c r="E4300" t="s">
        <v>7</v>
      </c>
    </row>
    <row r="4301" spans="1:5" x14ac:dyDescent="0.25">
      <c r="A4301" t="str">
        <f>HYPERLINK("https://www.773grp.com/globalSearch/LM2595T-12/page-1", "LM2595T-12")</f>
        <v>LM2595T-12</v>
      </c>
      <c r="B4301" s="3" t="str">
        <f>HYPERLINK("https://www.773grp.com/manufacturer/national-semiconductor?pageNo=12", "National Semiconductor")</f>
        <v>National Semiconductor</v>
      </c>
      <c r="C4301" s="6">
        <v>1321</v>
      </c>
      <c r="D4301" s="7">
        <v>4.5</v>
      </c>
      <c r="E4301" t="s">
        <v>7</v>
      </c>
    </row>
    <row r="4302" spans="1:5" x14ac:dyDescent="0.25">
      <c r="A4302" t="str">
        <f>HYPERLINK("https://www.773grp.com/globalSearch/LM2595T-12-NOPB/page-1", "LM2595T-12-NOPB")</f>
        <v>LM2595T-12-NOPB</v>
      </c>
      <c r="B4302" s="3" t="str">
        <f>HYPERLINK("https://www.773grp.com/manufacturer/national-semiconductor?pageNo=13", "National Semiconductor")</f>
        <v>National Semiconductor</v>
      </c>
      <c r="C4302" s="6">
        <v>290</v>
      </c>
      <c r="D4302" s="7">
        <v>4.5</v>
      </c>
      <c r="E4302" t="s">
        <v>7</v>
      </c>
    </row>
    <row r="4303" spans="1:5" x14ac:dyDescent="0.25">
      <c r="A4303" t="str">
        <f>HYPERLINK("https://www.773grp.com/globalSearch/LM2595T-3.3-NOPB/page-1", "LM2595T-3.3-NOPB")</f>
        <v>LM2595T-3.3-NOPB</v>
      </c>
      <c r="B4303" s="3" t="str">
        <f>HYPERLINK("https://www.773grp.com/manufacturer/national-semiconductor?pageNo=14", "National Semiconductor")</f>
        <v>National Semiconductor</v>
      </c>
      <c r="C4303" s="6">
        <v>1858</v>
      </c>
      <c r="D4303" s="7">
        <v>4.5</v>
      </c>
      <c r="E4303" t="s">
        <v>7</v>
      </c>
    </row>
    <row r="4304" spans="1:5" x14ac:dyDescent="0.25">
      <c r="A4304" t="str">
        <f>HYPERLINK("https://www.773grp.com/globalSearch/LM2595T-5.0-LF02/page-1", "LM2595T-5.0-LF02")</f>
        <v>LM2595T-5.0-LF02</v>
      </c>
      <c r="B4304" s="3" t="str">
        <f>HYPERLINK("https://www.773grp.com/manufacturer/national-semiconductor?pageNo=15", "National Semiconductor")</f>
        <v>National Semiconductor</v>
      </c>
      <c r="C4304" s="6">
        <v>25</v>
      </c>
      <c r="D4304" s="7">
        <v>4.5</v>
      </c>
    </row>
    <row r="4305" spans="1:5" x14ac:dyDescent="0.25">
      <c r="A4305" t="str">
        <f>HYPERLINK("https://www.773grp.com/globalSearch/LM2595T-5.0-NOPB/page-1", "LM2595T-5.0-NOPB")</f>
        <v>LM2595T-5.0-NOPB</v>
      </c>
      <c r="B4305" s="3" t="str">
        <f>HYPERLINK("https://www.773grp.com/manufacturer/national-semiconductor?pageNo=16", "National Semiconductor")</f>
        <v>National Semiconductor</v>
      </c>
      <c r="C4305" s="6">
        <v>12281</v>
      </c>
      <c r="D4305" s="7">
        <v>4.5</v>
      </c>
      <c r="E4305" t="s">
        <v>7</v>
      </c>
    </row>
    <row r="4306" spans="1:5" x14ac:dyDescent="0.25">
      <c r="A4306" t="str">
        <f>HYPERLINK("https://www.773grp.com/globalSearch/LM2595T-ADJ-LF02/page-1", "LM2595T-ADJ-LF02")</f>
        <v>LM2595T-ADJ-LF02</v>
      </c>
      <c r="B4306" s="3" t="str">
        <f>HYPERLINK("https://www.773grp.com/manufacturer/national-semiconductor?pageNo=17", "National Semiconductor")</f>
        <v>National Semiconductor</v>
      </c>
      <c r="C4306" s="6">
        <v>45</v>
      </c>
      <c r="D4306" s="7">
        <v>4.5</v>
      </c>
    </row>
    <row r="4307" spans="1:5" x14ac:dyDescent="0.25">
      <c r="A4307" t="str">
        <f>HYPERLINK("https://www.773grp.com/globalSearch/LM2595T-ADJ-NOPB/page-1", "LM2595T-ADJ-NOPB")</f>
        <v>LM2595T-ADJ-NOPB</v>
      </c>
      <c r="B4307" s="3" t="str">
        <f>HYPERLINK("https://www.773grp.com/manufacturer/national-semiconductor?pageNo=18", "National Semiconductor")</f>
        <v>National Semiconductor</v>
      </c>
      <c r="C4307" s="6">
        <v>26416</v>
      </c>
      <c r="D4307" s="7">
        <v>4.5</v>
      </c>
      <c r="E4307" t="s">
        <v>7</v>
      </c>
    </row>
    <row r="4308" spans="1:5" x14ac:dyDescent="0.25">
      <c r="A4308" t="str">
        <f>HYPERLINK("https://www.773grp.com/globalSearch/LM2596SX-12/page-1", "LM2596SX-12")</f>
        <v>LM2596SX-12</v>
      </c>
      <c r="B4308" s="3" t="str">
        <f>HYPERLINK("https://www.773grp.com/manufacturer/national-semiconductor?pageNo=19", "National Semiconductor")</f>
        <v>National Semiconductor</v>
      </c>
      <c r="C4308" s="6">
        <v>23500</v>
      </c>
      <c r="D4308" s="7">
        <v>4.5</v>
      </c>
      <c r="E4308" t="s">
        <v>7</v>
      </c>
    </row>
    <row r="4309" spans="1:5" x14ac:dyDescent="0.25">
      <c r="A4309" t="str">
        <f>HYPERLINK("https://www.773grp.com/globalSearch/LM2651MTC/page-1", "LM2651MTC")</f>
        <v>LM2651MTC</v>
      </c>
      <c r="B4309" s="3" t="str">
        <f>HYPERLINK("https://www.773grp.com/manufacturer/national-semiconductor?pageNo=20", "National Semiconductor")</f>
        <v>National Semiconductor</v>
      </c>
      <c r="C4309" s="6">
        <v>92</v>
      </c>
      <c r="D4309" s="7">
        <v>4.5</v>
      </c>
    </row>
    <row r="4310" spans="1:5" x14ac:dyDescent="0.25">
      <c r="A4310" t="str">
        <f>HYPERLINK("https://www.773grp.com/globalSearch/LM2675LD-12-NOPB/page-1", "LM2675LD-12-NOPB")</f>
        <v>LM2675LD-12-NOPB</v>
      </c>
      <c r="B4310" s="3" t="str">
        <f>HYPERLINK("https://www.773grp.com/manufacturer/national-semiconductor?pageNo=21", "National Semiconductor")</f>
        <v>National Semiconductor</v>
      </c>
      <c r="C4310" s="6">
        <v>976</v>
      </c>
      <c r="D4310" s="7">
        <v>4.5</v>
      </c>
    </row>
    <row r="4311" spans="1:5" x14ac:dyDescent="0.25">
      <c r="A4311" t="str">
        <f>HYPERLINK("https://www.773grp.com/globalSearch/LM2675LD-3.3/page-1", "LM2675LD-3.3")</f>
        <v>LM2675LD-3.3</v>
      </c>
      <c r="B4311" s="3" t="str">
        <f>HYPERLINK("https://www.773grp.com/manufacturer/national-semiconductor?pageNo=22", "National Semiconductor")</f>
        <v>National Semiconductor</v>
      </c>
      <c r="C4311" s="6">
        <v>1000</v>
      </c>
      <c r="D4311" s="7">
        <v>4.5</v>
      </c>
      <c r="E4311" t="s">
        <v>7</v>
      </c>
    </row>
    <row r="4312" spans="1:5" x14ac:dyDescent="0.25">
      <c r="A4312" t="str">
        <f>HYPERLINK("https://www.773grp.com/globalSearch/LM2675LD-5.0-NOPB/page-1", "LM2675LD-5.0-NOPB")</f>
        <v>LM2675LD-5.0-NOPB</v>
      </c>
      <c r="B4312" s="3" t="str">
        <f>HYPERLINK("https://www.773grp.com/manufacturer/national-semiconductor?pageNo=23", "National Semiconductor")</f>
        <v>National Semiconductor</v>
      </c>
      <c r="C4312" s="6">
        <v>1898</v>
      </c>
      <c r="D4312" s="7">
        <v>4.5</v>
      </c>
    </row>
    <row r="4313" spans="1:5" x14ac:dyDescent="0.25">
      <c r="A4313" t="str">
        <f>HYPERLINK("https://www.773grp.com/globalSearch/LM2675LD-ADJ-NOPB/page-1", "LM2675LD-ADJ-NOPB")</f>
        <v>LM2675LD-ADJ-NOPB</v>
      </c>
      <c r="B4313" s="3" t="str">
        <f>HYPERLINK("https://www.773grp.com/manufacturer/national-semiconductor?pageNo=24", "National Semiconductor")</f>
        <v>National Semiconductor</v>
      </c>
      <c r="C4313" s="6">
        <v>1000</v>
      </c>
      <c r="D4313" s="7">
        <v>4.5</v>
      </c>
      <c r="E4313" t="s">
        <v>7</v>
      </c>
    </row>
    <row r="4314" spans="1:5" x14ac:dyDescent="0.25">
      <c r="A4314" t="str">
        <f>HYPERLINK("https://www.773grp.com/globalSearch/LM2675M-3.3/page-1", "LM2675M-3.3")</f>
        <v>LM2675M-3.3</v>
      </c>
      <c r="B4314" s="3" t="str">
        <f>HYPERLINK("https://www.773grp.com/manufacturer/national-semiconductor?pageNo=25", "National Semiconductor")</f>
        <v>National Semiconductor</v>
      </c>
      <c r="C4314" s="6">
        <v>190</v>
      </c>
      <c r="D4314" s="7">
        <v>4.5</v>
      </c>
      <c r="E4314" t="s">
        <v>7</v>
      </c>
    </row>
    <row r="4315" spans="1:5" x14ac:dyDescent="0.25">
      <c r="A4315" t="str">
        <f>HYPERLINK("https://www.773grp.com/globalSearch/LM2675MX-3.3-NOPB/page-1", "LM2675MX-3.3-NOPB")</f>
        <v>LM2675MX-3.3-NOPB</v>
      </c>
      <c r="B4315" s="3" t="str">
        <f>HYPERLINK("https://www.773grp.com/manufacturer/national-semiconductor?pageNo=26", "National Semiconductor")</f>
        <v>National Semiconductor</v>
      </c>
      <c r="C4315" s="6">
        <v>5000</v>
      </c>
      <c r="D4315" s="7">
        <v>4.5</v>
      </c>
      <c r="E4315" t="s">
        <v>7</v>
      </c>
    </row>
    <row r="4316" spans="1:5" x14ac:dyDescent="0.25">
      <c r="A4316" t="str">
        <f>HYPERLINK("https://www.773grp.com/globalSearch/LM2675MX-5.0/page-1", "LM2675MX-5.0")</f>
        <v>LM2675MX-5.0</v>
      </c>
      <c r="B4316" s="3" t="str">
        <f>HYPERLINK("https://www.773grp.com/manufacturer/national-semiconductor?pageNo=27", "National Semiconductor")</f>
        <v>National Semiconductor</v>
      </c>
      <c r="C4316" s="6">
        <v>7500</v>
      </c>
      <c r="D4316" s="7">
        <v>4.5</v>
      </c>
      <c r="E4316" t="s">
        <v>7</v>
      </c>
    </row>
    <row r="4317" spans="1:5" x14ac:dyDescent="0.25">
      <c r="A4317" t="str">
        <f>HYPERLINK("https://www.773grp.com/globalSearch/LM2675MX-5.0-NOPB/page-1", "LM2675MX-5.0-NOPB")</f>
        <v>LM2675MX-5.0-NOPB</v>
      </c>
      <c r="B4317" s="3" t="str">
        <f>HYPERLINK("https://www.773grp.com/manufacturer/national-semiconductor?pageNo=28", "National Semiconductor")</f>
        <v>National Semiconductor</v>
      </c>
      <c r="C4317" s="6">
        <v>11385</v>
      </c>
      <c r="D4317" s="7">
        <v>4.5</v>
      </c>
      <c r="E4317" t="s">
        <v>7</v>
      </c>
    </row>
    <row r="4318" spans="1:5" x14ac:dyDescent="0.25">
      <c r="A4318" t="str">
        <f>HYPERLINK("https://www.773grp.com/globalSearch/LM2675MX-ADJ-NAK2/page-1", "LM2675MX-ADJ-NAK2")</f>
        <v>LM2675MX-ADJ-NAK2</v>
      </c>
      <c r="B4318" s="3" t="str">
        <f>HYPERLINK("https://www.773grp.com/manufacturer/national-semiconductor?pageNo=29", "National Semiconductor")</f>
        <v>National Semiconductor</v>
      </c>
      <c r="C4318" s="6">
        <v>2500</v>
      </c>
      <c r="D4318" s="7">
        <v>4.5</v>
      </c>
    </row>
    <row r="4319" spans="1:5" x14ac:dyDescent="0.25">
      <c r="A4319" t="str">
        <f>HYPERLINK("https://www.773grp.com/globalSearch/LM2675MX-ADJ-NOPB/page-1", "LM2675MX-ADJ-NOPB")</f>
        <v>LM2675MX-ADJ-NOPB</v>
      </c>
      <c r="B4319" s="3" t="str">
        <f>HYPERLINK("https://www.773grp.com/manufacturer/national-semiconductor?pageNo=30", "National Semiconductor")</f>
        <v>National Semiconductor</v>
      </c>
      <c r="C4319" s="6">
        <v>2500</v>
      </c>
      <c r="D4319" s="7">
        <v>4.5</v>
      </c>
      <c r="E4319" t="s">
        <v>7</v>
      </c>
    </row>
    <row r="4320" spans="1:5" x14ac:dyDescent="0.25">
      <c r="A4320" t="str">
        <f>HYPERLINK("https://www.773grp.com/globalSearch/LM2675N-12-NOPB/page-1", "LM2675N-12-NOPB")</f>
        <v>LM2675N-12-NOPB</v>
      </c>
      <c r="B4320" s="3" t="str">
        <f>HYPERLINK("https://www.773grp.com/manufacturer/national-semiconductor?pageNo=31", "National Semiconductor")</f>
        <v>National Semiconductor</v>
      </c>
      <c r="C4320" s="6">
        <v>3755</v>
      </c>
      <c r="D4320" s="7">
        <v>4.5</v>
      </c>
      <c r="E4320" t="s">
        <v>7</v>
      </c>
    </row>
    <row r="4321" spans="1:5" x14ac:dyDescent="0.25">
      <c r="A4321" t="str">
        <f>HYPERLINK("https://www.773grp.com/globalSearch/LM2675N-3.3-NOPB/page-1", "LM2675N-3.3-NOPB")</f>
        <v>LM2675N-3.3-NOPB</v>
      </c>
      <c r="B4321" s="3" t="str">
        <f>HYPERLINK("https://www.773grp.com/manufacturer/national-semiconductor?pageNo=32", "National Semiconductor")</f>
        <v>National Semiconductor</v>
      </c>
      <c r="C4321" s="6">
        <v>232</v>
      </c>
      <c r="D4321" s="7">
        <v>4.5</v>
      </c>
      <c r="E4321" t="s">
        <v>7</v>
      </c>
    </row>
    <row r="4322" spans="1:5" x14ac:dyDescent="0.25">
      <c r="A4322" t="str">
        <f>HYPERLINK("https://www.773grp.com/globalSearch/LM2675N-5.0-NOPB/page-1", "LM2675N-5.0-NOPB")</f>
        <v>LM2675N-5.0-NOPB</v>
      </c>
      <c r="B4322" s="3" t="str">
        <f>HYPERLINK("https://www.773grp.com/manufacturer/national-semiconductor?pageNo=33", "National Semiconductor")</f>
        <v>National Semiconductor</v>
      </c>
      <c r="C4322" s="6">
        <v>9400</v>
      </c>
      <c r="D4322" s="7">
        <v>4.5</v>
      </c>
      <c r="E4322" t="s">
        <v>7</v>
      </c>
    </row>
    <row r="4323" spans="1:5" x14ac:dyDescent="0.25">
      <c r="A4323" t="str">
        <f>HYPERLINK("https://www.773grp.com/globalSearch/LM2675N-ADJ-NOPB/page-1", "LM2675N-ADJ-NOPB")</f>
        <v>LM2675N-ADJ-NOPB</v>
      </c>
      <c r="B4323" s="3" t="str">
        <f>HYPERLINK("https://www.773grp.com/manufacturer/national-semiconductor?pageNo=34", "National Semiconductor")</f>
        <v>National Semiconductor</v>
      </c>
      <c r="C4323" s="6">
        <v>28</v>
      </c>
      <c r="D4323" s="7">
        <v>4.5</v>
      </c>
      <c r="E4323" t="s">
        <v>7</v>
      </c>
    </row>
    <row r="4324" spans="1:5" x14ac:dyDescent="0.25">
      <c r="A4324" t="str">
        <f>HYPERLINK("https://www.773grp.com/globalSearch/LM3203TLX-NOPB/page-1", "LM3203TLX-NOPB")</f>
        <v>LM3203TLX-NOPB</v>
      </c>
      <c r="B4324" s="3" t="str">
        <f>HYPERLINK("https://www.773grp.com/manufacturer/national-semiconductor?pageNo=35", "National Semiconductor")</f>
        <v>National Semiconductor</v>
      </c>
      <c r="C4324" s="6">
        <v>21000</v>
      </c>
      <c r="D4324" s="7">
        <v>4.5</v>
      </c>
    </row>
    <row r="4325" spans="1:5" x14ac:dyDescent="0.25">
      <c r="A4325" t="str">
        <f>HYPERLINK("https://www.773grp.com/globalSearch/LM3204TLX-NOPB/page-1", "LM3204TLX-NOPB")</f>
        <v>LM3204TLX-NOPB</v>
      </c>
      <c r="B4325" s="3" t="str">
        <f>HYPERLINK("https://www.773grp.com/manufacturer/national-semiconductor?pageNo=36", "National Semiconductor")</f>
        <v>National Semiconductor</v>
      </c>
      <c r="C4325" s="6">
        <v>51000</v>
      </c>
      <c r="D4325" s="7">
        <v>4.5</v>
      </c>
    </row>
    <row r="4326" spans="1:5" x14ac:dyDescent="0.25">
      <c r="A4326" t="str">
        <f>HYPERLINK("https://www.773grp.com/globalSearch/LM4130DIM5-2 0/page-1", "LM4130DIM5-2 0")</f>
        <v>LM4130DIM5-2 0</v>
      </c>
      <c r="B4326" s="3" t="str">
        <f>HYPERLINK("https://www.773grp.com/manufacturer/national-semiconductor?pageNo=37", "National Semiconductor")</f>
        <v>National Semiconductor</v>
      </c>
      <c r="C4326" s="6">
        <v>2750</v>
      </c>
      <c r="D4326" s="7">
        <v>4.5</v>
      </c>
    </row>
    <row r="4327" spans="1:5" x14ac:dyDescent="0.25">
      <c r="A4327" t="str">
        <f>HYPERLINK("https://www.773grp.com/globalSearch/LM6172IMX-NOPB/page-1", "LM6172IMX-NOPB")</f>
        <v>LM6172IMX-NOPB</v>
      </c>
      <c r="B4327" s="3" t="str">
        <f>HYPERLINK("https://www.773grp.com/manufacturer/national-semiconductor?pageNo=38", "National Semiconductor")</f>
        <v>National Semiconductor</v>
      </c>
      <c r="C4327" s="6">
        <v>68563</v>
      </c>
      <c r="D4327" s="7">
        <v>4.5</v>
      </c>
      <c r="E4327" t="s">
        <v>18</v>
      </c>
    </row>
    <row r="4328" spans="1:5" x14ac:dyDescent="0.25">
      <c r="A4328" t="str">
        <f>HYPERLINK("https://www.773grp.com/globalSearch/LM6172IN-NOPB/page-1", "LM6172IN-NOPB")</f>
        <v>LM6172IN-NOPB</v>
      </c>
      <c r="B4328" s="3" t="str">
        <f>HYPERLINK("https://www.773grp.com/manufacturer/national-semiconductor?pageNo=39", "National Semiconductor")</f>
        <v>National Semiconductor</v>
      </c>
      <c r="C4328" s="6">
        <v>1145</v>
      </c>
      <c r="D4328" s="7">
        <v>4.5</v>
      </c>
      <c r="E4328" t="s">
        <v>18</v>
      </c>
    </row>
    <row r="4329" spans="1:5" x14ac:dyDescent="0.25">
      <c r="A4329" t="str">
        <f>HYPERLINK("https://www.773grp.com/globalSearch/LM7171AIM-NOPB/page-1", "LM7171AIM-NOPB")</f>
        <v>LM7171AIM-NOPB</v>
      </c>
      <c r="B4329" s="3" t="str">
        <f>HYPERLINK("https://www.773grp.com/manufacturer/national-semiconductor?pageNo=40", "National Semiconductor")</f>
        <v>National Semiconductor</v>
      </c>
      <c r="C4329" s="6">
        <v>172</v>
      </c>
      <c r="D4329" s="7">
        <v>4.5</v>
      </c>
      <c r="E4329" t="s">
        <v>13</v>
      </c>
    </row>
    <row r="4330" spans="1:5" x14ac:dyDescent="0.25">
      <c r="A4330" t="str">
        <f>HYPERLINK("https://www.773grp.com/globalSearch/LM8305M-1/page-1", "LM8305M-1")</f>
        <v>LM8305M-1</v>
      </c>
      <c r="B4330" s="3" t="str">
        <f>HYPERLINK("https://www.773grp.com/manufacturer/national-semiconductor?pageNo=41", "National Semiconductor")</f>
        <v>National Semiconductor</v>
      </c>
      <c r="C4330" s="6">
        <v>660</v>
      </c>
      <c r="D4330" s="7">
        <v>4.5</v>
      </c>
    </row>
    <row r="4331" spans="1:5" x14ac:dyDescent="0.25">
      <c r="A4331" t="str">
        <f>HYPERLINK("https://www.773grp.com/globalSearch/LM8305MX-1/page-1", "LM8305MX-1")</f>
        <v>LM8305MX-1</v>
      </c>
      <c r="B4331" s="3" t="str">
        <f>HYPERLINK("https://www.773grp.com/manufacturer/national-semiconductor?pageNo=42", "National Semiconductor")</f>
        <v>National Semiconductor</v>
      </c>
      <c r="C4331" s="6">
        <v>3881</v>
      </c>
      <c r="D4331" s="7">
        <v>4.5</v>
      </c>
    </row>
    <row r="4332" spans="1:5" x14ac:dyDescent="0.25">
      <c r="A4332" t="str">
        <f>HYPERLINK("https://www.773grp.com/globalSearch/LMH6640MF-NOPB/page-1", "LMH6640MF-NOPB")</f>
        <v>LMH6640MF-NOPB</v>
      </c>
      <c r="B4332" s="3" t="str">
        <f>HYPERLINK("https://www.773grp.com/manufacturer/national-semiconductor?pageNo=43", "National Semiconductor")</f>
        <v>National Semiconductor</v>
      </c>
      <c r="C4332" s="6">
        <v>6000</v>
      </c>
      <c r="D4332" s="7">
        <v>4.5</v>
      </c>
      <c r="E4332" t="s">
        <v>18</v>
      </c>
    </row>
    <row r="4333" spans="1:5" x14ac:dyDescent="0.25">
      <c r="A4333" t="str">
        <f>HYPERLINK("https://www.773grp.com/globalSearch/LMH6640MFX-NOPB/page-1", "LMH6640MFX-NOPB")</f>
        <v>LMH6640MFX-NOPB</v>
      </c>
      <c r="B4333" s="3" t="str">
        <f>HYPERLINK("https://www.773grp.com/manufacturer/national-semiconductor?pageNo=44", "National Semiconductor")</f>
        <v>National Semiconductor</v>
      </c>
      <c r="C4333" s="6">
        <v>3000</v>
      </c>
      <c r="D4333" s="7">
        <v>4.5</v>
      </c>
      <c r="E4333" t="s">
        <v>18</v>
      </c>
    </row>
    <row r="4334" spans="1:5" x14ac:dyDescent="0.25">
      <c r="A4334" t="str">
        <f>HYPERLINK("https://www.773grp.com/globalSearch/LMV842QMA-NOPB/page-1", "LMV842QMA-NOPB")</f>
        <v>LMV842QMA-NOPB</v>
      </c>
      <c r="B4334" s="3" t="str">
        <f>HYPERLINK("https://www.773grp.com/manufacturer/national-semiconductor?pageNo=45", "National Semiconductor")</f>
        <v>National Semiconductor</v>
      </c>
      <c r="C4334" s="6">
        <v>285</v>
      </c>
      <c r="D4334" s="7">
        <v>4.5</v>
      </c>
    </row>
    <row r="4335" spans="1:5" x14ac:dyDescent="0.25">
      <c r="A4335" t="str">
        <f>HYPERLINK("https://www.773grp.com/globalSearch/LP38856S-0.8/page-1", "LP38856S-0.8")</f>
        <v>LP38856S-0.8</v>
      </c>
      <c r="B4335" s="3" t="str">
        <f>HYPERLINK("https://www.773grp.com/manufacturer/national-semiconductor?pageNo=46", "National Semiconductor")</f>
        <v>National Semiconductor</v>
      </c>
      <c r="C4335" s="6">
        <v>135</v>
      </c>
      <c r="D4335" s="7">
        <v>4.5</v>
      </c>
      <c r="E4335" t="s">
        <v>19</v>
      </c>
    </row>
    <row r="4336" spans="1:5" x14ac:dyDescent="0.25">
      <c r="A4336" t="str">
        <f>HYPERLINK("https://www.773grp.com/globalSearch/LP38856SX-1.2-NOPB/page-1", "LP38856SX-1.2-NOPB")</f>
        <v>LP38856SX-1.2-NOPB</v>
      </c>
      <c r="B4336" s="3" t="str">
        <f>HYPERLINK("https://www.773grp.com/manufacturer/national-semiconductor?pageNo=47", "National Semiconductor")</f>
        <v>National Semiconductor</v>
      </c>
      <c r="C4336" s="6">
        <v>1700</v>
      </c>
      <c r="D4336" s="7">
        <v>4.5</v>
      </c>
    </row>
    <row r="4337" spans="1:5" x14ac:dyDescent="0.25">
      <c r="A4337" t="str">
        <f>HYPERLINK("https://www.773grp.com/globalSearch/LP38856T-0.8/page-1", "LP38856T-0.8")</f>
        <v>LP38856T-0.8</v>
      </c>
      <c r="B4337" s="3" t="str">
        <f>HYPERLINK("https://www.773grp.com/manufacturer/national-semiconductor?pageNo=48", "National Semiconductor")</f>
        <v>National Semiconductor</v>
      </c>
      <c r="C4337" s="6">
        <v>90</v>
      </c>
      <c r="D4337" s="7">
        <v>4.5</v>
      </c>
      <c r="E4337" t="s">
        <v>19</v>
      </c>
    </row>
    <row r="4338" spans="1:5" x14ac:dyDescent="0.25">
      <c r="A4338" t="str">
        <f>HYPERLINK("https://www.773grp.com/globalSearch/LP38856T-0.8-NOPB/page-1", "LP38856T-0.8-NOPB")</f>
        <v>LP38856T-0.8-NOPB</v>
      </c>
      <c r="B4338" s="3" t="str">
        <f>HYPERLINK("https://www.773grp.com/manufacturer/national-semiconductor?pageNo=49", "National Semiconductor")</f>
        <v>National Semiconductor</v>
      </c>
      <c r="C4338" s="6">
        <v>178</v>
      </c>
      <c r="D4338" s="7">
        <v>4.5</v>
      </c>
    </row>
    <row r="4339" spans="1:5" x14ac:dyDescent="0.25">
      <c r="A4339" t="str">
        <f>HYPERLINK("https://www.773grp.com/globalSearch/LP38856T-1.2/page-1", "LP38856T-1.2")</f>
        <v>LP38856T-1.2</v>
      </c>
      <c r="B4339" s="3" t="str">
        <f>HYPERLINK("https://www.773grp.com/manufacturer/national-semiconductor?pageNo=50", "National Semiconductor")</f>
        <v>National Semiconductor</v>
      </c>
      <c r="C4339" s="6">
        <v>15</v>
      </c>
      <c r="D4339" s="7">
        <v>4.5</v>
      </c>
      <c r="E4339" t="s">
        <v>19</v>
      </c>
    </row>
    <row r="4340" spans="1:5" x14ac:dyDescent="0.25">
      <c r="A4340" t="str">
        <f>HYPERLINK("https://www.773grp.com/globalSearch/LP38856T-1.2-NOPB/page-1", "LP38856T-1.2-NOPB")</f>
        <v>LP38856T-1.2-NOPB</v>
      </c>
      <c r="B4340" s="3" t="str">
        <f>HYPERLINK("https://www.773grp.com/manufacturer/national-semiconductor?pageNo=51", "National Semiconductor")</f>
        <v>National Semiconductor</v>
      </c>
      <c r="C4340" s="6">
        <v>384</v>
      </c>
      <c r="D4340" s="7">
        <v>4.5</v>
      </c>
    </row>
    <row r="4341" spans="1:5" x14ac:dyDescent="0.25">
      <c r="A4341" t="str">
        <f>HYPERLINK("https://www.773grp.com/globalSearch/LP38859S-0.8/page-1", "LP38859S-0.8")</f>
        <v>LP38859S-0.8</v>
      </c>
      <c r="B4341" s="3" t="str">
        <f>HYPERLINK("https://www.773grp.com/manufacturer/national-semiconductor?pageNo=52", "National Semiconductor")</f>
        <v>National Semiconductor</v>
      </c>
      <c r="C4341" s="6">
        <v>89</v>
      </c>
      <c r="D4341" s="7">
        <v>4.5</v>
      </c>
      <c r="E4341" t="s">
        <v>19</v>
      </c>
    </row>
    <row r="4342" spans="1:5" x14ac:dyDescent="0.25">
      <c r="A4342" t="str">
        <f>HYPERLINK("https://www.773grp.com/globalSearch/LP38859SX-1.2/page-1", "LP38859SX-1.2")</f>
        <v>LP38859SX-1.2</v>
      </c>
      <c r="B4342" s="3" t="str">
        <f>HYPERLINK("https://www.773grp.com/manufacturer/national-semiconductor?pageNo=53", "National Semiconductor")</f>
        <v>National Semiconductor</v>
      </c>
      <c r="C4342" s="6">
        <v>540</v>
      </c>
      <c r="D4342" s="7">
        <v>4.5</v>
      </c>
      <c r="E4342" t="s">
        <v>19</v>
      </c>
    </row>
    <row r="4343" spans="1:5" x14ac:dyDescent="0.25">
      <c r="A4343" t="str">
        <f>HYPERLINK("https://www.773grp.com/globalSearch/LP38859SX-1.2-NOPB/page-1", "LP38859SX-1.2-NOPB")</f>
        <v>LP38859SX-1.2-NOPB</v>
      </c>
      <c r="B4343" s="3" t="str">
        <f>HYPERLINK("https://www.773grp.com/manufacturer/national-semiconductor?pageNo=54", "National Semiconductor")</f>
        <v>National Semiconductor</v>
      </c>
      <c r="C4343" s="6">
        <v>11200</v>
      </c>
      <c r="D4343" s="7">
        <v>4.5</v>
      </c>
      <c r="E4343" t="s">
        <v>19</v>
      </c>
    </row>
    <row r="4344" spans="1:5" x14ac:dyDescent="0.25">
      <c r="A4344" t="str">
        <f>HYPERLINK("https://www.773grp.com/globalSearch/LP38859T-0.8/page-1", "LP38859T-0.8")</f>
        <v>LP38859T-0.8</v>
      </c>
      <c r="B4344" s="3" t="str">
        <f>HYPERLINK("https://www.773grp.com/manufacturer/national-semiconductor?pageNo=55", "National Semiconductor")</f>
        <v>National Semiconductor</v>
      </c>
      <c r="C4344" s="6">
        <v>90</v>
      </c>
      <c r="D4344" s="7">
        <v>4.5</v>
      </c>
      <c r="E4344" t="s">
        <v>19</v>
      </c>
    </row>
    <row r="4345" spans="1:5" x14ac:dyDescent="0.25">
      <c r="A4345" t="str">
        <f>HYPERLINK("https://www.773grp.com/globalSearch/LP38859T-0.8-NOPB/page-1", "LP38859T-0.8-NOPB")</f>
        <v>LP38859T-0.8-NOPB</v>
      </c>
      <c r="B4345" s="3" t="str">
        <f>HYPERLINK("https://www.773grp.com/manufacturer/national-semiconductor?pageNo=56", "National Semiconductor")</f>
        <v>National Semiconductor</v>
      </c>
      <c r="C4345" s="6">
        <v>176</v>
      </c>
      <c r="D4345" s="7">
        <v>4.5</v>
      </c>
    </row>
    <row r="4346" spans="1:5" x14ac:dyDescent="0.25">
      <c r="A4346" t="str">
        <f>HYPERLINK("https://www.773grp.com/globalSearch/LP38859T-1.2/page-1", "LP38859T-1.2")</f>
        <v>LP38859T-1.2</v>
      </c>
      <c r="B4346" s="3" t="str">
        <f>HYPERLINK("https://www.773grp.com/manufacturer/national-semiconductor?pageNo=57", "National Semiconductor")</f>
        <v>National Semiconductor</v>
      </c>
      <c r="C4346" s="6">
        <v>45</v>
      </c>
      <c r="D4346" s="7">
        <v>4.5</v>
      </c>
      <c r="E4346" t="s">
        <v>19</v>
      </c>
    </row>
    <row r="4347" spans="1:5" x14ac:dyDescent="0.25">
      <c r="A4347" t="str">
        <f>HYPERLINK("https://www.773grp.com/globalSearch/LP38859T-1.2-NOPB/page-1", "LP38859T-1.2-NOPB")</f>
        <v>LP38859T-1.2-NOPB</v>
      </c>
      <c r="B4347" s="3" t="str">
        <f>HYPERLINK("https://www.773grp.com/manufacturer/national-semiconductor?pageNo=58", "National Semiconductor")</f>
        <v>National Semiconductor</v>
      </c>
      <c r="C4347" s="6">
        <v>18</v>
      </c>
      <c r="D4347" s="7">
        <v>4.5</v>
      </c>
    </row>
    <row r="4348" spans="1:5" x14ac:dyDescent="0.25">
      <c r="A4348" t="str">
        <f>HYPERLINK("https://www.773grp.com/globalSearch/LP3905SD-00/page-1", "LP3905SD-00")</f>
        <v>LP3905SD-00</v>
      </c>
      <c r="B4348" s="3" t="str">
        <f>HYPERLINK("https://www.773grp.com/manufacturer/national-semiconductor?pageNo=59", "National Semiconductor")</f>
        <v>National Semiconductor</v>
      </c>
      <c r="C4348" s="6">
        <v>1000</v>
      </c>
      <c r="D4348" s="7">
        <v>4.5</v>
      </c>
      <c r="E4348" t="s">
        <v>30</v>
      </c>
    </row>
    <row r="4349" spans="1:5" x14ac:dyDescent="0.25">
      <c r="A4349" t="str">
        <f>HYPERLINK("https://www.773grp.com/globalSearch/LPC661AIM/page-1", "LPC661AIM")</f>
        <v>LPC661AIM</v>
      </c>
      <c r="B4349" s="3" t="str">
        <f>HYPERLINK("https://www.773grp.com/manufacturer/national-semiconductor?pageNo=60", "National Semiconductor")</f>
        <v>National Semiconductor</v>
      </c>
      <c r="C4349" s="6">
        <v>3517</v>
      </c>
      <c r="D4349" s="7">
        <v>4.5</v>
      </c>
      <c r="E4349" t="s">
        <v>13</v>
      </c>
    </row>
    <row r="4350" spans="1:5" x14ac:dyDescent="0.25">
      <c r="A4350" t="str">
        <f>HYPERLINK("https://www.773grp.com/globalSearch/ADC121S101CIMFX-NOPB/page-1", "ADC121S101CIMFX-NOPB")</f>
        <v>ADC121S101CIMFX-NOPB</v>
      </c>
      <c r="B4350" s="3" t="str">
        <f>HYPERLINK("https://www.773grp.com/manufacturer/national-semiconductor?pageNo=61", "National Semiconductor")</f>
        <v>National Semiconductor</v>
      </c>
      <c r="C4350" s="6">
        <v>35890</v>
      </c>
      <c r="D4350" s="7">
        <v>4.5</v>
      </c>
    </row>
    <row r="4351" spans="1:5" x14ac:dyDescent="0.25">
      <c r="A4351" t="str">
        <f>HYPERLINK("https://www.773grp.com/globalSearch/ADC121S101CISD-NOPB/page-1", "ADC121S101CISD-NOPB")</f>
        <v>ADC121S101CISD-NOPB</v>
      </c>
      <c r="B4351" s="3" t="str">
        <f>HYPERLINK("https://www.773grp.com/manufacturer/national-semiconductor?pageNo=62", "National Semiconductor")</f>
        <v>National Semiconductor</v>
      </c>
      <c r="C4351" s="6">
        <v>20000</v>
      </c>
      <c r="D4351" s="7">
        <v>4.5</v>
      </c>
    </row>
    <row r="4352" spans="1:5" x14ac:dyDescent="0.25">
      <c r="A4352" t="str">
        <f>HYPERLINK("https://www.773grp.com/globalSearch/ADCS7476AIMFE-NOPB/page-1", "ADCS7476AIMFE-NOPB")</f>
        <v>ADCS7476AIMFE-NOPB</v>
      </c>
      <c r="B4352" s="3" t="str">
        <f>HYPERLINK("https://www.773grp.com/manufacturer/national-semiconductor?pageNo=63", "National Semiconductor")</f>
        <v>National Semiconductor</v>
      </c>
      <c r="C4352" s="6">
        <v>24220</v>
      </c>
      <c r="D4352" s="7">
        <v>4.5</v>
      </c>
    </row>
    <row r="4353" spans="1:5" x14ac:dyDescent="0.25">
      <c r="A4353" t="str">
        <f>HYPERLINK("https://www.773grp.com/globalSearch/LM2595SX-12-NOPB/page-1", "LM2595SX-12-NOPB")</f>
        <v>LM2595SX-12-NOPB</v>
      </c>
      <c r="B4353" s="3" t="str">
        <f>HYPERLINK("https://www.773grp.com/manufacturer/national-semiconductor?pageNo=64", "National Semiconductor")</f>
        <v>National Semiconductor</v>
      </c>
      <c r="C4353" s="6">
        <v>500</v>
      </c>
      <c r="D4353" s="7">
        <v>4.5</v>
      </c>
      <c r="E4353" t="s">
        <v>7</v>
      </c>
    </row>
    <row r="4354" spans="1:5" x14ac:dyDescent="0.25">
      <c r="A4354" t="str">
        <f>HYPERLINK("https://www.773grp.com/globalSearch/LM2595SX-5.0-NOPB/page-1", "LM2595SX-5.0-NOPB")</f>
        <v>LM2595SX-5.0-NOPB</v>
      </c>
      <c r="B4354" s="3" t="str">
        <f>HYPERLINK("https://www.773grp.com/manufacturer/national-semiconductor?pageNo=65", "National Semiconductor")</f>
        <v>National Semiconductor</v>
      </c>
      <c r="C4354" s="6">
        <v>305</v>
      </c>
      <c r="D4354" s="7">
        <v>4.5</v>
      </c>
      <c r="E4354" t="s">
        <v>7</v>
      </c>
    </row>
    <row r="4355" spans="1:5" x14ac:dyDescent="0.25">
      <c r="A4355" t="str">
        <f>HYPERLINK("https://www.773grp.com/globalSearch/LM2595SX-ADJ-NOPB/page-1", "LM2595SX-ADJ-NOPB")</f>
        <v>LM2595SX-ADJ-NOPB</v>
      </c>
      <c r="B4355" s="3" t="str">
        <f>HYPERLINK("https://www.773grp.com/manufacturer/national-semiconductor?pageNo=66", "National Semiconductor")</f>
        <v>National Semiconductor</v>
      </c>
      <c r="C4355" s="6">
        <v>1500</v>
      </c>
      <c r="D4355" s="7">
        <v>4.5</v>
      </c>
      <c r="E4355" t="s">
        <v>7</v>
      </c>
    </row>
    <row r="4356" spans="1:5" x14ac:dyDescent="0.25">
      <c r="A4356" t="str">
        <f>HYPERLINK("https://www.773grp.com/globalSearch/LM2595T-12-NOPB/page-1", "LM2595T-12-NOPB")</f>
        <v>LM2595T-12-NOPB</v>
      </c>
      <c r="B4356" s="3" t="str">
        <f>HYPERLINK("https://www.773grp.com/manufacturer/national-semiconductor?pageNo=67", "National Semiconductor")</f>
        <v>National Semiconductor</v>
      </c>
      <c r="C4356" s="6">
        <v>250</v>
      </c>
      <c r="D4356" s="7">
        <v>4.5</v>
      </c>
      <c r="E4356" t="s">
        <v>7</v>
      </c>
    </row>
    <row r="4357" spans="1:5" x14ac:dyDescent="0.25">
      <c r="A4357" t="str">
        <f>HYPERLINK("https://www.773grp.com/globalSearch/LM2595T-3.3-NOPB/page-1", "LM2595T-3.3-NOPB")</f>
        <v>LM2595T-3.3-NOPB</v>
      </c>
      <c r="B4357" s="3" t="str">
        <f>HYPERLINK("https://www.773grp.com/manufacturer/national-semiconductor?pageNo=68", "National Semiconductor")</f>
        <v>National Semiconductor</v>
      </c>
      <c r="C4357" s="6">
        <v>4738</v>
      </c>
      <c r="D4357" s="7">
        <v>4.5</v>
      </c>
      <c r="E4357" t="s">
        <v>7</v>
      </c>
    </row>
    <row r="4358" spans="1:5" x14ac:dyDescent="0.25">
      <c r="A4358" t="str">
        <f>HYPERLINK("https://www.773grp.com/globalSearch/LM2595T-5.0-NOPB/page-1", "LM2595T-5.0-NOPB")</f>
        <v>LM2595T-5.0-NOPB</v>
      </c>
      <c r="B4358" s="3" t="str">
        <f>HYPERLINK("https://www.773grp.com/manufacturer/national-semiconductor?pageNo=69", "National Semiconductor")</f>
        <v>National Semiconductor</v>
      </c>
      <c r="C4358" s="6">
        <v>1785</v>
      </c>
      <c r="D4358" s="7">
        <v>4.5</v>
      </c>
      <c r="E4358" t="s">
        <v>7</v>
      </c>
    </row>
    <row r="4359" spans="1:5" x14ac:dyDescent="0.25">
      <c r="A4359" t="str">
        <f>HYPERLINK("https://www.773grp.com/globalSearch/LM2595T-ADJ-NOPB/page-1", "LM2595T-ADJ-NOPB")</f>
        <v>LM2595T-ADJ-NOPB</v>
      </c>
      <c r="B4359" s="3" t="str">
        <f>HYPERLINK("https://www.773grp.com/manufacturer/national-semiconductor?pageNo=70", "National Semiconductor")</f>
        <v>National Semiconductor</v>
      </c>
      <c r="C4359" s="6">
        <v>250</v>
      </c>
      <c r="D4359" s="7">
        <v>4.5</v>
      </c>
      <c r="E4359" t="s">
        <v>7</v>
      </c>
    </row>
    <row r="4360" spans="1:5" x14ac:dyDescent="0.25">
      <c r="A4360" t="str">
        <f>HYPERLINK("https://www.773grp.com/globalSearch/LM2675LD-5.0-NOPB/page-1", "LM2675LD-5.0-NOPB")</f>
        <v>LM2675LD-5.0-NOPB</v>
      </c>
      <c r="B4360" s="3" t="str">
        <f>HYPERLINK("https://www.773grp.com/manufacturer/national-semiconductor?pageNo=71", "National Semiconductor")</f>
        <v>National Semiconductor</v>
      </c>
      <c r="C4360" s="6">
        <v>1000</v>
      </c>
      <c r="D4360" s="7">
        <v>4.5</v>
      </c>
    </row>
    <row r="4361" spans="1:5" x14ac:dyDescent="0.25">
      <c r="A4361" t="str">
        <f>HYPERLINK("https://www.773grp.com/globalSearch/LM2675LD-ADJ-NOPB/page-1", "LM2675LD-ADJ-NOPB")</f>
        <v>LM2675LD-ADJ-NOPB</v>
      </c>
      <c r="B4361" s="3" t="str">
        <f>HYPERLINK("https://www.773grp.com/manufacturer/national-semiconductor?pageNo=72", "National Semiconductor")</f>
        <v>National Semiconductor</v>
      </c>
      <c r="C4361" s="6">
        <v>2000</v>
      </c>
      <c r="D4361" s="7">
        <v>4.5</v>
      </c>
      <c r="E4361" t="s">
        <v>7</v>
      </c>
    </row>
    <row r="4362" spans="1:5" x14ac:dyDescent="0.25">
      <c r="A4362" t="str">
        <f>HYPERLINK("https://www.773grp.com/globalSearch/LM2675M-3.3/page-1", "LM2675M-3.3")</f>
        <v>LM2675M-3.3</v>
      </c>
      <c r="B4362" s="3" t="str">
        <f>HYPERLINK("https://www.773grp.com/manufacturer/national-semiconductor?pageNo=73", "National Semiconductor")</f>
        <v>National Semiconductor</v>
      </c>
      <c r="C4362" s="6">
        <v>875</v>
      </c>
      <c r="D4362" s="7">
        <v>4.5</v>
      </c>
      <c r="E4362" t="s">
        <v>7</v>
      </c>
    </row>
    <row r="4363" spans="1:5" x14ac:dyDescent="0.25">
      <c r="A4363" t="str">
        <f>HYPERLINK("https://www.773grp.com/globalSearch/LM2675N-12/page-1", "LM2675N-12")</f>
        <v>LM2675N-12</v>
      </c>
      <c r="B4363" s="3" t="str">
        <f>HYPERLINK("https://www.773grp.com/manufacturer/national-semiconductor?pageNo=74", "National Semiconductor")</f>
        <v>National Semiconductor</v>
      </c>
      <c r="C4363" s="6">
        <v>80</v>
      </c>
      <c r="D4363" s="7">
        <v>4.5</v>
      </c>
      <c r="E4363" t="s">
        <v>7</v>
      </c>
    </row>
    <row r="4364" spans="1:5" x14ac:dyDescent="0.25">
      <c r="A4364" t="str">
        <f>HYPERLINK("https://www.773grp.com/globalSearch/LM2675N-12-NOPB/page-1", "LM2675N-12-NOPB")</f>
        <v>LM2675N-12-NOPB</v>
      </c>
      <c r="B4364" s="3" t="str">
        <f>HYPERLINK("https://www.773grp.com/manufacturer/national-semiconductor?pageNo=75", "National Semiconductor")</f>
        <v>National Semiconductor</v>
      </c>
      <c r="C4364" s="6">
        <v>635</v>
      </c>
      <c r="D4364" s="7">
        <v>4.5</v>
      </c>
      <c r="E4364" t="s">
        <v>7</v>
      </c>
    </row>
    <row r="4365" spans="1:5" x14ac:dyDescent="0.25">
      <c r="A4365" t="str">
        <f>HYPERLINK("https://www.773grp.com/globalSearch/LM2675N-3.3-NOPB/page-1", "LM2675N-3.3-NOPB")</f>
        <v>LM2675N-3.3-NOPB</v>
      </c>
      <c r="B4365" s="3" t="str">
        <f>HYPERLINK("https://www.773grp.com/manufacturer/national-semiconductor?pageNo=76", "National Semiconductor")</f>
        <v>National Semiconductor</v>
      </c>
      <c r="C4365" s="6">
        <v>496</v>
      </c>
      <c r="D4365" s="7">
        <v>4.5</v>
      </c>
      <c r="E4365" t="s">
        <v>7</v>
      </c>
    </row>
    <row r="4366" spans="1:5" x14ac:dyDescent="0.25">
      <c r="A4366" t="str">
        <f>HYPERLINK("https://www.773grp.com/globalSearch/LM2675N-5.0-NOPB/page-1", "LM2675N-5.0-NOPB")</f>
        <v>LM2675N-5.0-NOPB</v>
      </c>
      <c r="B4366" s="3" t="str">
        <f>HYPERLINK("https://www.773grp.com/manufacturer/national-semiconductor?pageNo=77", "National Semiconductor")</f>
        <v>National Semiconductor</v>
      </c>
      <c r="C4366" s="6">
        <v>234</v>
      </c>
      <c r="D4366" s="7">
        <v>4.5</v>
      </c>
      <c r="E4366" t="s">
        <v>7</v>
      </c>
    </row>
    <row r="4367" spans="1:5" x14ac:dyDescent="0.25">
      <c r="A4367" t="str">
        <f>HYPERLINK("https://www.773grp.com/globalSearch/LM2675N-ADJ-NOPB/page-1", "LM2675N-ADJ-NOPB")</f>
        <v>LM2675N-ADJ-NOPB</v>
      </c>
      <c r="B4367" s="3" t="str">
        <f>HYPERLINK("https://www.773grp.com/manufacturer/national-semiconductor?pageNo=78", "National Semiconductor")</f>
        <v>National Semiconductor</v>
      </c>
      <c r="C4367" s="6">
        <v>245</v>
      </c>
      <c r="D4367" s="7">
        <v>4.5</v>
      </c>
      <c r="E4367" t="s">
        <v>7</v>
      </c>
    </row>
    <row r="4368" spans="1:5" x14ac:dyDescent="0.25">
      <c r="A4368" t="str">
        <f>HYPERLINK("https://www.773grp.com/globalSearch/LM5067MW-1-NOPB/page-1", "LM5067MW-1-NOPB")</f>
        <v>LM5067MW-1-NOPB</v>
      </c>
      <c r="B4368" s="3" t="str">
        <f>HYPERLINK("https://www.773grp.com/manufacturer/national-semiconductor?pageNo=79", "National Semiconductor")</f>
        <v>National Semiconductor</v>
      </c>
      <c r="C4368" s="6">
        <v>330</v>
      </c>
      <c r="D4368" s="7">
        <v>4.5</v>
      </c>
    </row>
    <row r="4369" spans="1:5" x14ac:dyDescent="0.25">
      <c r="A4369" t="str">
        <f>HYPERLINK("https://www.773grp.com/globalSearch/LM6172IN-NOPB/page-1", "LM6172IN-NOPB")</f>
        <v>LM6172IN-NOPB</v>
      </c>
      <c r="B4369" s="3" t="str">
        <f>HYPERLINK("https://www.773grp.com/manufacturer/national-semiconductor?pageNo=80", "National Semiconductor")</f>
        <v>National Semiconductor</v>
      </c>
      <c r="C4369" s="6">
        <v>330</v>
      </c>
      <c r="D4369" s="7">
        <v>4.5</v>
      </c>
      <c r="E4369" t="s">
        <v>18</v>
      </c>
    </row>
    <row r="4370" spans="1:5" x14ac:dyDescent="0.25">
      <c r="A4370" t="str">
        <f>HYPERLINK("https://www.773grp.com/globalSearch/LM7171AIM-NOPB/page-1", "LM7171AIM-NOPB")</f>
        <v>LM7171AIM-NOPB</v>
      </c>
      <c r="B4370" s="3" t="str">
        <f>HYPERLINK("https://www.773grp.com/manufacturer/national-semiconductor?pageNo=81", "National Semiconductor")</f>
        <v>National Semiconductor</v>
      </c>
      <c r="C4370" s="6">
        <v>231</v>
      </c>
      <c r="D4370" s="7">
        <v>4.5</v>
      </c>
      <c r="E4370" t="s">
        <v>13</v>
      </c>
    </row>
    <row r="4371" spans="1:5" x14ac:dyDescent="0.25">
      <c r="A4371" t="str">
        <f>HYPERLINK("https://www.773grp.com/globalSearch/LMH6640MF-NOPB/page-1", "LMH6640MF-NOPB")</f>
        <v>LMH6640MF-NOPB</v>
      </c>
      <c r="B4371" s="3" t="str">
        <f>HYPERLINK("https://www.773grp.com/manufacturer/national-semiconductor?pageNo=82", "National Semiconductor")</f>
        <v>National Semiconductor</v>
      </c>
      <c r="C4371" s="6">
        <v>686</v>
      </c>
      <c r="D4371" s="7">
        <v>4.5</v>
      </c>
      <c r="E4371" t="s">
        <v>18</v>
      </c>
    </row>
    <row r="4372" spans="1:5" x14ac:dyDescent="0.25">
      <c r="A4372" t="str">
        <f>HYPERLINK("https://www.773grp.com/globalSearch/LMV842QMA-NOPB/page-1", "LMV842QMA-NOPB")</f>
        <v>LMV842QMA-NOPB</v>
      </c>
      <c r="B4372" s="3" t="str">
        <f>HYPERLINK("https://www.773grp.com/manufacturer/national-semiconductor?pageNo=83", "National Semiconductor")</f>
        <v>National Semiconductor</v>
      </c>
      <c r="C4372" s="6">
        <v>250</v>
      </c>
      <c r="D4372" s="7">
        <v>4.5</v>
      </c>
    </row>
    <row r="4373" spans="1:5" x14ac:dyDescent="0.25">
      <c r="A4373" t="str">
        <f>HYPERLINK("https://www.773grp.com/globalSearch/LP38856T-1.2-NOPB/page-1", "LP38856T-1.2-NOPB")</f>
        <v>LP38856T-1.2-NOPB</v>
      </c>
      <c r="B4373" s="3" t="str">
        <f>HYPERLINK("https://www.773grp.com/manufacturer/national-semiconductor?pageNo=84", "National Semiconductor")</f>
        <v>National Semiconductor</v>
      </c>
      <c r="C4373" s="6">
        <v>2114</v>
      </c>
      <c r="D4373" s="7">
        <v>4.5</v>
      </c>
    </row>
    <row r="4374" spans="1:5" x14ac:dyDescent="0.25">
      <c r="A4374" t="str">
        <f>HYPERLINK("https://www.773grp.com/globalSearch/LP38859T-1.2-NOPB/page-1", "LP38859T-1.2-NOPB")</f>
        <v>LP38859T-1.2-NOPB</v>
      </c>
      <c r="B4374" s="3" t="str">
        <f>HYPERLINK("https://www.773grp.com/manufacturer/national-semiconductor?pageNo=85", "National Semiconductor")</f>
        <v>National Semiconductor</v>
      </c>
      <c r="C4374" s="6">
        <v>50</v>
      </c>
      <c r="D4374" s="7">
        <v>4.5</v>
      </c>
    </row>
    <row r="4375" spans="1:5" x14ac:dyDescent="0.25">
      <c r="A4375" t="str">
        <f>HYPERLINK("https://www.773grp.com/globalSearch/74174DC/page-1", "74174DC")</f>
        <v>74174DC</v>
      </c>
      <c r="B4375" s="3" t="str">
        <f>HYPERLINK("https://www.773grp.com/manufacturer/national-semiconductor?pageNo=86", "National Semiconductor")</f>
        <v>National Semiconductor</v>
      </c>
      <c r="C4375" s="6">
        <v>1681</v>
      </c>
      <c r="D4375" s="7">
        <v>4.53</v>
      </c>
    </row>
    <row r="4376" spans="1:5" x14ac:dyDescent="0.25">
      <c r="A4376" t="str">
        <f>HYPERLINK("https://www.773grp.com/globalSearch/ADC0832CCWM-NOPB/page-1", "ADC0832CCWM-NOPB")</f>
        <v>ADC0832CCWM-NOPB</v>
      </c>
      <c r="B4376" s="3" t="str">
        <f>HYPERLINK("https://www.773grp.com/manufacturer/national-semiconductor?pageNo=87", "National Semiconductor")</f>
        <v>National Semiconductor</v>
      </c>
      <c r="C4376" s="6">
        <v>3367</v>
      </c>
      <c r="D4376" s="7">
        <v>4.53</v>
      </c>
      <c r="E4376" t="s">
        <v>39</v>
      </c>
    </row>
    <row r="4377" spans="1:5" x14ac:dyDescent="0.25">
      <c r="A4377" t="str">
        <f>HYPERLINK("https://www.773grp.com/globalSearch/LM2756TM-NOPB/page-1", "LM2756TM-NOPB")</f>
        <v>LM2756TM-NOPB</v>
      </c>
      <c r="B4377" s="3" t="str">
        <f>HYPERLINK("https://www.773grp.com/manufacturer/national-semiconductor?pageNo=88", "National Semiconductor")</f>
        <v>National Semiconductor</v>
      </c>
      <c r="C4377" s="6">
        <v>691</v>
      </c>
      <c r="D4377" s="7">
        <v>4.53</v>
      </c>
    </row>
    <row r="4378" spans="1:5" x14ac:dyDescent="0.25">
      <c r="A4378" t="str">
        <f>HYPERLINK("https://www.773grp.com/globalSearch/LM34919BQTL-NOPB/page-1", "LM34919BQTL-NOPB")</f>
        <v>LM34919BQTL-NOPB</v>
      </c>
      <c r="B4378" s="3" t="str">
        <f>HYPERLINK("https://www.773grp.com/manufacturer/national-semiconductor?pageNo=89", "National Semiconductor")</f>
        <v>National Semiconductor</v>
      </c>
      <c r="C4378" s="6">
        <v>470</v>
      </c>
      <c r="D4378" s="7">
        <v>4.53</v>
      </c>
    </row>
    <row r="4379" spans="1:5" x14ac:dyDescent="0.25">
      <c r="A4379" t="str">
        <f>HYPERLINK("https://www.773grp.com/globalSearch/LM84BIMQA/page-1", "LM84BIMQA")</f>
        <v>LM84BIMQA</v>
      </c>
      <c r="B4379" s="3" t="str">
        <f>HYPERLINK("https://www.773grp.com/manufacturer/national-semiconductor?pageNo=90", "National Semiconductor")</f>
        <v>National Semiconductor</v>
      </c>
      <c r="C4379" s="6">
        <v>634</v>
      </c>
      <c r="D4379" s="7">
        <v>4.53</v>
      </c>
      <c r="E4379" t="s">
        <v>12</v>
      </c>
    </row>
    <row r="4380" spans="1:5" x14ac:dyDescent="0.25">
      <c r="A4380" t="str">
        <f>HYPERLINK("https://www.773grp.com/globalSearch/LM92CIMX-NOPB/page-1", "LM92CIMX-NOPB")</f>
        <v>LM92CIMX-NOPB</v>
      </c>
      <c r="B4380" s="3" t="str">
        <f>HYPERLINK("https://www.773grp.com/manufacturer/national-semiconductor?pageNo=91", "National Semiconductor")</f>
        <v>National Semiconductor</v>
      </c>
      <c r="C4380" s="6">
        <v>5000</v>
      </c>
      <c r="D4380" s="7">
        <v>4.53</v>
      </c>
      <c r="E4380" t="s">
        <v>12</v>
      </c>
    </row>
    <row r="4381" spans="1:5" x14ac:dyDescent="0.25">
      <c r="A4381" t="str">
        <f>HYPERLINK("https://www.773grp.com/globalSearch/LMC6042AIM/page-1", "LMC6042AIM")</f>
        <v>LMC6042AIM</v>
      </c>
      <c r="B4381" s="3" t="str">
        <f>HYPERLINK("https://www.773grp.com/manufacturer/national-semiconductor?pageNo=92", "National Semiconductor")</f>
        <v>National Semiconductor</v>
      </c>
      <c r="C4381" s="6">
        <v>1285</v>
      </c>
      <c r="D4381" s="7">
        <v>4.53</v>
      </c>
      <c r="E4381" t="s">
        <v>13</v>
      </c>
    </row>
    <row r="4382" spans="1:5" x14ac:dyDescent="0.25">
      <c r="A4382" t="str">
        <f>HYPERLINK("https://www.773grp.com/globalSearch/ADC0832CCWM-NOPB/page-1", "ADC0832CCWM-NOPB")</f>
        <v>ADC0832CCWM-NOPB</v>
      </c>
      <c r="B4382" s="3" t="str">
        <f>HYPERLINK("https://www.773grp.com/manufacturer/national-semiconductor?pageNo=93", "National Semiconductor")</f>
        <v>National Semiconductor</v>
      </c>
      <c r="C4382" s="6">
        <v>13300</v>
      </c>
      <c r="D4382" s="7">
        <v>4.53</v>
      </c>
      <c r="E4382" t="s">
        <v>39</v>
      </c>
    </row>
    <row r="4383" spans="1:5" x14ac:dyDescent="0.25">
      <c r="A4383" t="str">
        <f>HYPERLINK("https://www.773grp.com/globalSearch/LM22674QMRE-5.0-NOPB/page-1", "LM22674QMRE-5.0-NOPB")</f>
        <v>LM22674QMRE-5.0-NOPB</v>
      </c>
      <c r="B4383" s="3" t="str">
        <f>HYPERLINK("https://www.773grp.com/manufacturer/national-semiconductor?pageNo=94", "National Semiconductor")</f>
        <v>National Semiconductor</v>
      </c>
      <c r="C4383" s="6">
        <v>4250</v>
      </c>
      <c r="D4383" s="7">
        <v>4.53</v>
      </c>
    </row>
    <row r="4384" spans="1:5" x14ac:dyDescent="0.25">
      <c r="A4384" t="str">
        <f>HYPERLINK("https://www.773grp.com/globalSearch/LM22674QMRE-ADJ-NOPB/page-1", "LM22674QMRE-ADJ-NOPB")</f>
        <v>LM22674QMRE-ADJ-NOPB</v>
      </c>
      <c r="B4384" s="3" t="str">
        <f>HYPERLINK("https://www.773grp.com/manufacturer/national-semiconductor?pageNo=95", "National Semiconductor")</f>
        <v>National Semiconductor</v>
      </c>
      <c r="C4384" s="6">
        <v>3500</v>
      </c>
      <c r="D4384" s="7">
        <v>4.53</v>
      </c>
    </row>
    <row r="4385" spans="1:5" x14ac:dyDescent="0.25">
      <c r="A4385" t="str">
        <f>HYPERLINK("https://www.773grp.com/globalSearch/LM3210TLE-NOPB/page-1", "LM3210TLE-NOPB")</f>
        <v>LM3210TLE-NOPB</v>
      </c>
      <c r="B4385" s="3" t="str">
        <f>HYPERLINK("https://www.773grp.com/manufacturer/national-semiconductor?pageNo=96", "National Semiconductor")</f>
        <v>National Semiconductor</v>
      </c>
      <c r="C4385" s="6">
        <v>1250</v>
      </c>
      <c r="D4385" s="7">
        <v>4.53</v>
      </c>
    </row>
    <row r="4386" spans="1:5" x14ac:dyDescent="0.25">
      <c r="A4386" t="str">
        <f>HYPERLINK("https://www.773grp.com/globalSearch/LM84BIMQA/page-1", "LM84BIMQA")</f>
        <v>LM84BIMQA</v>
      </c>
      <c r="B4386" s="3" t="str">
        <f>HYPERLINK("https://www.773grp.com/manufacturer/national-semiconductor?pageNo=97", "National Semiconductor")</f>
        <v>National Semiconductor</v>
      </c>
      <c r="C4386" s="6">
        <v>356</v>
      </c>
      <c r="D4386" s="7">
        <v>4.53</v>
      </c>
      <c r="E4386" t="s">
        <v>12</v>
      </c>
    </row>
    <row r="4387" spans="1:5" x14ac:dyDescent="0.25">
      <c r="A4387" t="str">
        <f>HYPERLINK("https://www.773grp.com/globalSearch/LM92CIMX-NOPB/page-1", "LM92CIMX-NOPB")</f>
        <v>LM92CIMX-NOPB</v>
      </c>
      <c r="B4387" s="3" t="str">
        <f>HYPERLINK("https://www.773grp.com/manufacturer/national-semiconductor?pageNo=98", "National Semiconductor")</f>
        <v>National Semiconductor</v>
      </c>
      <c r="C4387" s="6">
        <v>2500</v>
      </c>
      <c r="D4387" s="7">
        <v>4.53</v>
      </c>
      <c r="E4387" t="s">
        <v>12</v>
      </c>
    </row>
    <row r="4388" spans="1:5" x14ac:dyDescent="0.25">
      <c r="A4388" t="str">
        <f>HYPERLINK("https://www.773grp.com/globalSearch/LMP7732MME-NOPB/page-1", "LMP7732MME-NOPB")</f>
        <v>LMP7732MME-NOPB</v>
      </c>
      <c r="B4388" s="3" t="str">
        <f>HYPERLINK("https://www.773grp.com/manufacturer/national-semiconductor?pageNo=99", "National Semiconductor")</f>
        <v>National Semiconductor</v>
      </c>
      <c r="C4388" s="6">
        <v>250</v>
      </c>
      <c r="D4388" s="7">
        <v>4.53</v>
      </c>
    </row>
    <row r="4389" spans="1:5" x14ac:dyDescent="0.25">
      <c r="A4389" t="str">
        <f>HYPERLINK("https://www.773grp.com/globalSearch/LMX2430SLEX-NOPB/page-1", "LMX2430SLEX-NOPB")</f>
        <v>LMX2430SLEX-NOPB</v>
      </c>
      <c r="B4389" s="3" t="str">
        <f>HYPERLINK("https://www.773grp.com/manufacturer/national-semiconductor?pageNo=100", "National Semiconductor")</f>
        <v>National Semiconductor</v>
      </c>
      <c r="C4389" s="6">
        <v>3</v>
      </c>
      <c r="D4389" s="7">
        <v>4.53</v>
      </c>
    </row>
    <row r="4390" spans="1:5" x14ac:dyDescent="0.25">
      <c r="A4390" t="str">
        <f>HYPERLINK("https://www.773grp.com/globalSearch/74151ADC/page-1", "74151ADC")</f>
        <v>74151ADC</v>
      </c>
      <c r="B4390" s="3" t="str">
        <f>HYPERLINK("https://www.773grp.com/manufacturer/national-semiconductor?pageNo=101", "National Semiconductor")</f>
        <v>National Semiconductor</v>
      </c>
      <c r="C4390" s="6">
        <v>1640</v>
      </c>
      <c r="D4390" s="7">
        <v>5.01</v>
      </c>
    </row>
    <row r="4391" spans="1:5" x14ac:dyDescent="0.25">
      <c r="A4391" t="str">
        <f>HYPERLINK("https://www.773grp.com/globalSearch/74180PC/page-1", "74180PC")</f>
        <v>74180PC</v>
      </c>
      <c r="B4391" s="3" t="str">
        <f>HYPERLINK("https://www.773grp.com/manufacturer/national-semiconductor?pageNo=102", "National Semiconductor")</f>
        <v>National Semiconductor</v>
      </c>
      <c r="C4391" s="6">
        <v>1868</v>
      </c>
      <c r="D4391" s="7">
        <v>5.01</v>
      </c>
    </row>
    <row r="4392" spans="1:5" x14ac:dyDescent="0.25">
      <c r="A4392" t="str">
        <f>HYPERLINK("https://www.773grp.com/globalSearch/74F02DC/page-1", "74F02DC")</f>
        <v>74F02DC</v>
      </c>
      <c r="B4392" s="3" t="str">
        <f>HYPERLINK("https://www.773grp.com/manufacturer/national-semiconductor?pageNo=103", "National Semiconductor")</f>
        <v>National Semiconductor</v>
      </c>
      <c r="C4392" s="6">
        <v>22</v>
      </c>
      <c r="D4392" s="7">
        <v>5.01</v>
      </c>
      <c r="E4392" t="s">
        <v>31</v>
      </c>
    </row>
    <row r="4393" spans="1:5" x14ac:dyDescent="0.25">
      <c r="A4393" t="str">
        <f>HYPERLINK("https://www.773grp.com/globalSearch/74F10DC/page-1", "74F10DC")</f>
        <v>74F10DC</v>
      </c>
      <c r="B4393" s="3" t="str">
        <f>HYPERLINK("https://www.773grp.com/manufacturer/national-semiconductor?pageNo=104", "National Semiconductor")</f>
        <v>National Semiconductor</v>
      </c>
      <c r="C4393" s="6">
        <v>656</v>
      </c>
      <c r="D4393" s="7">
        <v>5.01</v>
      </c>
      <c r="E4393" t="s">
        <v>31</v>
      </c>
    </row>
    <row r="4394" spans="1:5" x14ac:dyDescent="0.25">
      <c r="A4394" t="str">
        <f>HYPERLINK("https://www.773grp.com/globalSearch/74F11DC/page-1", "74F11DC")</f>
        <v>74F11DC</v>
      </c>
      <c r="B4394" s="3" t="str">
        <f>HYPERLINK("https://www.773grp.com/manufacturer/national-semiconductor?pageNo=105", "National Semiconductor")</f>
        <v>National Semiconductor</v>
      </c>
      <c r="C4394" s="6">
        <v>1049</v>
      </c>
      <c r="D4394" s="7">
        <v>5.01</v>
      </c>
      <c r="E4394" t="s">
        <v>31</v>
      </c>
    </row>
    <row r="4395" spans="1:5" x14ac:dyDescent="0.25">
      <c r="A4395" t="str">
        <f>HYPERLINK("https://www.773grp.com/globalSearch/74F20DC/page-1", "74F20DC")</f>
        <v>74F20DC</v>
      </c>
      <c r="B4395" s="3" t="str">
        <f>HYPERLINK("https://www.773grp.com/manufacturer/national-semiconductor?pageNo=106", "National Semiconductor")</f>
        <v>National Semiconductor</v>
      </c>
      <c r="C4395" s="6">
        <v>109</v>
      </c>
      <c r="D4395" s="7">
        <v>5.01</v>
      </c>
      <c r="E4395" t="s">
        <v>31</v>
      </c>
    </row>
    <row r="4396" spans="1:5" x14ac:dyDescent="0.25">
      <c r="A4396" t="str">
        <f>HYPERLINK("https://www.773grp.com/globalSearch/74F283SC/page-1", "74F283SC")</f>
        <v>74F283SC</v>
      </c>
      <c r="B4396" s="3" t="str">
        <f>HYPERLINK("https://www.773grp.com/manufacturer/national-semiconductor?pageNo=107", "National Semiconductor")</f>
        <v>National Semiconductor</v>
      </c>
      <c r="C4396" s="6">
        <v>970</v>
      </c>
      <c r="D4396" s="7">
        <v>5.01</v>
      </c>
      <c r="E4396" t="s">
        <v>43</v>
      </c>
    </row>
    <row r="4397" spans="1:5" x14ac:dyDescent="0.25">
      <c r="A4397" t="str">
        <f>HYPERLINK("https://www.773grp.com/globalSearch/74F283SCX/page-1", "74F283SCX")</f>
        <v>74F283SCX</v>
      </c>
      <c r="B4397" s="3" t="str">
        <f>HYPERLINK("https://www.773grp.com/manufacturer/national-semiconductor?pageNo=108", "National Semiconductor")</f>
        <v>National Semiconductor</v>
      </c>
      <c r="C4397" s="6">
        <v>2500</v>
      </c>
      <c r="D4397" s="7">
        <v>5.01</v>
      </c>
      <c r="E4397" t="s">
        <v>43</v>
      </c>
    </row>
    <row r="4398" spans="1:5" x14ac:dyDescent="0.25">
      <c r="A4398" t="str">
        <f>HYPERLINK("https://www.773grp.com/globalSearch/74F74LC/page-1", "74F74LC")</f>
        <v>74F74LC</v>
      </c>
      <c r="B4398" s="3" t="str">
        <f>HYPERLINK("https://www.773grp.com/manufacturer/national-semiconductor?pageNo=109", "National Semiconductor")</f>
        <v>National Semiconductor</v>
      </c>
      <c r="C4398" s="6">
        <v>3109</v>
      </c>
      <c r="D4398" s="7">
        <v>5.01</v>
      </c>
    </row>
    <row r="4399" spans="1:5" x14ac:dyDescent="0.25">
      <c r="A4399" t="str">
        <f>HYPERLINK("https://www.773grp.com/globalSearch/74FCT521APC/page-1", "74FCT521APC")</f>
        <v>74FCT521APC</v>
      </c>
      <c r="B4399" s="3" t="str">
        <f>HYPERLINK("https://www.773grp.com/manufacturer/national-semiconductor?pageNo=110", "National Semiconductor")</f>
        <v>National Semiconductor</v>
      </c>
      <c r="C4399" s="6">
        <v>19239</v>
      </c>
      <c r="D4399" s="7">
        <v>5.01</v>
      </c>
      <c r="E4399" t="s">
        <v>43</v>
      </c>
    </row>
    <row r="4400" spans="1:5" x14ac:dyDescent="0.25">
      <c r="A4400" t="str">
        <f>HYPERLINK("https://www.773grp.com/globalSearch/74FCT521ASCX/page-1", "74FCT521ASCX")</f>
        <v>74FCT521ASCX</v>
      </c>
      <c r="B4400" s="3" t="str">
        <f>HYPERLINK("https://www.773grp.com/manufacturer/national-semiconductor?pageNo=111", "National Semiconductor")</f>
        <v>National Semiconductor</v>
      </c>
      <c r="C4400" s="6">
        <v>19656</v>
      </c>
      <c r="D4400" s="7">
        <v>5.01</v>
      </c>
      <c r="E4400" t="s">
        <v>43</v>
      </c>
    </row>
    <row r="4401" spans="1:5" x14ac:dyDescent="0.25">
      <c r="A4401" t="str">
        <f>HYPERLINK("https://www.773grp.com/globalSearch/74LS245SC/page-1", "74LS245SC")</f>
        <v>74LS245SC</v>
      </c>
      <c r="B4401" s="3" t="str">
        <f>HYPERLINK("https://www.773grp.com/manufacturer/national-semiconductor?pageNo=112", "National Semiconductor")</f>
        <v>National Semiconductor</v>
      </c>
      <c r="C4401" s="6">
        <v>506</v>
      </c>
      <c r="D4401" s="7">
        <v>5.01</v>
      </c>
    </row>
    <row r="4402" spans="1:5" x14ac:dyDescent="0.25">
      <c r="A4402" t="str">
        <f>HYPERLINK("https://www.773grp.com/globalSearch/B74F02DC/page-1", "B74F02DC")</f>
        <v>B74F02DC</v>
      </c>
      <c r="B4402" s="3" t="str">
        <f>HYPERLINK("https://www.773grp.com/manufacturer/national-semiconductor?pageNo=113", "National Semiconductor")</f>
        <v>National Semiconductor</v>
      </c>
      <c r="C4402" s="6">
        <v>25</v>
      </c>
      <c r="D4402" s="7">
        <v>5.01</v>
      </c>
    </row>
    <row r="4403" spans="1:5" x14ac:dyDescent="0.25">
      <c r="A4403" t="str">
        <f>HYPERLINK("https://www.773grp.com/globalSearch/DM74180N/page-1", "DM74180N")</f>
        <v>DM74180N</v>
      </c>
      <c r="B4403" s="3" t="str">
        <f>HYPERLINK("https://www.773grp.com/manufacturer/national-semiconductor?pageNo=114", "National Semiconductor")</f>
        <v>National Semiconductor</v>
      </c>
      <c r="C4403" s="6">
        <v>9644</v>
      </c>
      <c r="D4403" s="7">
        <v>5.01</v>
      </c>
      <c r="E4403" t="s">
        <v>43</v>
      </c>
    </row>
    <row r="4404" spans="1:5" x14ac:dyDescent="0.25">
      <c r="A4404" t="str">
        <f>HYPERLINK("https://www.773grp.com/globalSearch/DP83848KSQ-NOPB/page-1", "DP83848KSQ-NOPB")</f>
        <v>DP83848KSQ-NOPB</v>
      </c>
      <c r="B4404" s="3" t="str">
        <f>HYPERLINK("https://www.773grp.com/manufacturer/national-semiconductor?pageNo=115", "National Semiconductor")</f>
        <v>National Semiconductor</v>
      </c>
      <c r="C4404" s="6">
        <v>1290</v>
      </c>
      <c r="D4404" s="7">
        <v>5.01</v>
      </c>
      <c r="E4404" t="s">
        <v>55</v>
      </c>
    </row>
    <row r="4405" spans="1:5" x14ac:dyDescent="0.25">
      <c r="A4405" t="str">
        <f>HYPERLINK("https://www.773grp.com/globalSearch/DP83848TSQ-NOPB/page-1", "DP83848TSQ-NOPB")</f>
        <v>DP83848TSQ-NOPB</v>
      </c>
      <c r="B4405" s="3" t="str">
        <f>HYPERLINK("https://www.773grp.com/manufacturer/national-semiconductor?pageNo=116", "National Semiconductor")</f>
        <v>National Semiconductor</v>
      </c>
      <c r="C4405" s="6">
        <v>1500</v>
      </c>
      <c r="D4405" s="7">
        <v>5.01</v>
      </c>
      <c r="E4405" t="s">
        <v>55</v>
      </c>
    </row>
    <row r="4406" spans="1:5" x14ac:dyDescent="0.25">
      <c r="A4406" t="str">
        <f>HYPERLINK("https://www.773grp.com/globalSearch/GAL16V8-25LVC/page-1", "GAL16V8-25LVC")</f>
        <v>GAL16V8-25LVC</v>
      </c>
      <c r="B4406" s="3" t="str">
        <f>HYPERLINK("https://www.773grp.com/manufacturer/national-semiconductor?pageNo=117", "National Semiconductor")</f>
        <v>National Semiconductor</v>
      </c>
      <c r="C4406" s="6">
        <v>1405</v>
      </c>
      <c r="D4406" s="7">
        <v>5.01</v>
      </c>
      <c r="E4406" t="s">
        <v>51</v>
      </c>
    </row>
    <row r="4407" spans="1:5" x14ac:dyDescent="0.25">
      <c r="A4407" t="str">
        <f>HYPERLINK("https://www.773grp.com/globalSearch/GAL16V8A-15LNC/page-1", "GAL16V8A-15LNC")</f>
        <v>GAL16V8A-15LNC</v>
      </c>
      <c r="B4407" s="3" t="str">
        <f>HYPERLINK("https://www.773grp.com/manufacturer/national-semiconductor?pageNo=118", "National Semiconductor")</f>
        <v>National Semiconductor</v>
      </c>
      <c r="C4407" s="6">
        <v>164</v>
      </c>
      <c r="D4407" s="7">
        <v>5.01</v>
      </c>
      <c r="E4407" t="s">
        <v>51</v>
      </c>
    </row>
    <row r="4408" spans="1:5" x14ac:dyDescent="0.25">
      <c r="A4408" t="str">
        <f>HYPERLINK("https://www.773grp.com/globalSearch/GAL16V8QS-25QVI/page-1", "GAL16V8QS-25QVI")</f>
        <v>GAL16V8QS-25QVI</v>
      </c>
      <c r="B4408" s="3" t="str">
        <f>HYPERLINK("https://www.773grp.com/manufacturer/national-semiconductor?pageNo=119", "National Semiconductor")</f>
        <v>National Semiconductor</v>
      </c>
      <c r="C4408" s="6">
        <v>5332</v>
      </c>
      <c r="D4408" s="7">
        <v>5.01</v>
      </c>
    </row>
    <row r="4409" spans="1:5" x14ac:dyDescent="0.25">
      <c r="A4409" t="str">
        <f>HYPERLINK("https://www.773grp.com/globalSearch/LM1085IS-12-NOPB/page-1", "LM1085IS-12-NOPB")</f>
        <v>LM1085IS-12-NOPB</v>
      </c>
      <c r="B4409" s="3" t="str">
        <f>HYPERLINK("https://www.773grp.com/manufacturer/national-semiconductor?pageNo=120", "National Semiconductor")</f>
        <v>National Semiconductor</v>
      </c>
      <c r="C4409" s="6">
        <v>1737</v>
      </c>
      <c r="D4409" s="7">
        <v>5.01</v>
      </c>
      <c r="E4409" t="s">
        <v>19</v>
      </c>
    </row>
    <row r="4410" spans="1:5" x14ac:dyDescent="0.25">
      <c r="A4410" t="str">
        <f>HYPERLINK("https://www.773grp.com/globalSearch/LM1085IS-3.3-NOPB/page-1", "LM1085IS-3.3-NOPB")</f>
        <v>LM1085IS-3.3-NOPB</v>
      </c>
      <c r="B4410" s="3" t="str">
        <f>HYPERLINK("https://www.773grp.com/manufacturer/national-semiconductor?pageNo=121", "National Semiconductor")</f>
        <v>National Semiconductor</v>
      </c>
      <c r="C4410" s="6">
        <v>7063</v>
      </c>
      <c r="D4410" s="7">
        <v>5.01</v>
      </c>
      <c r="E4410" t="s">
        <v>19</v>
      </c>
    </row>
    <row r="4411" spans="1:5" x14ac:dyDescent="0.25">
      <c r="A4411" t="str">
        <f>HYPERLINK("https://www.773grp.com/globalSearch/LM1085IS-ADJ-NOPB/page-1", "LM1085IS-ADJ-NOPB")</f>
        <v>LM1085IS-ADJ-NOPB</v>
      </c>
      <c r="B4411" s="3" t="str">
        <f>HYPERLINK("https://www.773grp.com/manufacturer/national-semiconductor?pageNo=122", "National Semiconductor")</f>
        <v>National Semiconductor</v>
      </c>
      <c r="C4411" s="6">
        <v>180</v>
      </c>
      <c r="D4411" s="7">
        <v>5.01</v>
      </c>
      <c r="E4411" t="s">
        <v>25</v>
      </c>
    </row>
    <row r="4412" spans="1:5" x14ac:dyDescent="0.25">
      <c r="A4412" t="str">
        <f>HYPERLINK("https://www.773grp.com/globalSearch/LM25010MH-NOPB/page-1", "LM25010MH-NOPB")</f>
        <v>LM25010MH-NOPB</v>
      </c>
      <c r="B4412" s="3" t="str">
        <f>HYPERLINK("https://www.773grp.com/manufacturer/national-semiconductor?pageNo=123", "National Semiconductor")</f>
        <v>National Semiconductor</v>
      </c>
      <c r="C4412" s="6">
        <v>172</v>
      </c>
      <c r="D4412" s="7">
        <v>5.01</v>
      </c>
    </row>
    <row r="4413" spans="1:5" x14ac:dyDescent="0.25">
      <c r="A4413" t="str">
        <f>HYPERLINK("https://www.773grp.com/globalSearch/LM25010MHX-NOPB/page-1", "LM25010MHX-NOPB")</f>
        <v>LM25010MHX-NOPB</v>
      </c>
      <c r="B4413" s="3" t="str">
        <f>HYPERLINK("https://www.773grp.com/manufacturer/national-semiconductor?pageNo=124", "National Semiconductor")</f>
        <v>National Semiconductor</v>
      </c>
      <c r="C4413" s="6">
        <v>8500</v>
      </c>
      <c r="D4413" s="7">
        <v>5.01</v>
      </c>
    </row>
    <row r="4414" spans="1:5" x14ac:dyDescent="0.25">
      <c r="A4414" t="str">
        <f>HYPERLINK("https://www.773grp.com/globalSearch/LM25010SD/page-1", "LM25010SD")</f>
        <v>LM25010SD</v>
      </c>
      <c r="B4414" s="3" t="str">
        <f>HYPERLINK("https://www.773grp.com/manufacturer/national-semiconductor?pageNo=125", "National Semiconductor")</f>
        <v>National Semiconductor</v>
      </c>
      <c r="C4414" s="6">
        <v>2000</v>
      </c>
      <c r="D4414" s="7">
        <v>5.01</v>
      </c>
      <c r="E4414" t="s">
        <v>7</v>
      </c>
    </row>
    <row r="4415" spans="1:5" x14ac:dyDescent="0.25">
      <c r="A4415" t="str">
        <f>HYPERLINK("https://www.773grp.com/globalSearch/LM25010SD-NOPB/page-1", "LM25010SD-NOPB")</f>
        <v>LM25010SD-NOPB</v>
      </c>
      <c r="B4415" s="3" t="str">
        <f>HYPERLINK("https://www.773grp.com/manufacturer/national-semiconductor?pageNo=126", "National Semiconductor")</f>
        <v>National Semiconductor</v>
      </c>
      <c r="C4415" s="6">
        <v>1915</v>
      </c>
      <c r="D4415" s="7">
        <v>5.01</v>
      </c>
    </row>
    <row r="4416" spans="1:5" x14ac:dyDescent="0.25">
      <c r="A4416" t="str">
        <f>HYPERLINK("https://www.773grp.com/globalSearch/LM25011MYX-NOPB/page-1", "LM25011MYX-NOPB")</f>
        <v>LM25011MYX-NOPB</v>
      </c>
      <c r="B4416" s="3" t="str">
        <f>HYPERLINK("https://www.773grp.com/manufacturer/national-semiconductor?pageNo=127", "National Semiconductor")</f>
        <v>National Semiconductor</v>
      </c>
      <c r="C4416" s="6">
        <v>136496</v>
      </c>
      <c r="D4416" s="7">
        <v>5.01</v>
      </c>
    </row>
    <row r="4417" spans="1:5" x14ac:dyDescent="0.25">
      <c r="A4417" t="str">
        <f>HYPERLINK("https://www.773grp.com/globalSearch/LM2574MX-5.0/page-1", "LM2574MX-5.0")</f>
        <v>LM2574MX-5.0</v>
      </c>
      <c r="B4417" s="3" t="str">
        <f>HYPERLINK("https://www.773grp.com/manufacturer/national-semiconductor?pageNo=128", "National Semiconductor")</f>
        <v>National Semiconductor</v>
      </c>
      <c r="C4417" s="6">
        <v>2000</v>
      </c>
      <c r="D4417" s="7">
        <v>5.01</v>
      </c>
      <c r="E4417" t="s">
        <v>7</v>
      </c>
    </row>
    <row r="4418" spans="1:5" x14ac:dyDescent="0.25">
      <c r="A4418" t="str">
        <f>HYPERLINK("https://www.773grp.com/globalSearch/LM2574MX-ADJ/page-1", "LM2574MX-ADJ")</f>
        <v>LM2574MX-ADJ</v>
      </c>
      <c r="B4418" s="3" t="str">
        <f>HYPERLINK("https://www.773grp.com/manufacturer/national-semiconductor?pageNo=129", "National Semiconductor")</f>
        <v>National Semiconductor</v>
      </c>
      <c r="C4418" s="6">
        <v>1000</v>
      </c>
      <c r="D4418" s="7">
        <v>5.01</v>
      </c>
      <c r="E4418" t="s">
        <v>7</v>
      </c>
    </row>
    <row r="4419" spans="1:5" x14ac:dyDescent="0.25">
      <c r="A4419" t="str">
        <f>HYPERLINK("https://www.773grp.com/globalSearch/LM26480SQ-AA-NOPB/page-1", "LM26480SQ-AA-NOPB")</f>
        <v>LM26480SQ-AA-NOPB</v>
      </c>
      <c r="B4419" s="3" t="str">
        <f>HYPERLINK("https://www.773grp.com/manufacturer/national-semiconductor?pageNo=130", "National Semiconductor")</f>
        <v>National Semiconductor</v>
      </c>
      <c r="C4419" s="6">
        <v>8733</v>
      </c>
      <c r="D4419" s="7">
        <v>5.01</v>
      </c>
      <c r="E4419" t="s">
        <v>7</v>
      </c>
    </row>
    <row r="4420" spans="1:5" x14ac:dyDescent="0.25">
      <c r="A4420" t="str">
        <f>HYPERLINK("https://www.773grp.com/globalSearch/LM2734YMK-NOPB/page-1", "LM2734YMK-NOPB")</f>
        <v>LM2734YMK-NOPB</v>
      </c>
      <c r="B4420" s="3" t="str">
        <f>HYPERLINK("https://www.773grp.com/manufacturer/national-semiconductor?pageNo=131", "National Semiconductor")</f>
        <v>National Semiconductor</v>
      </c>
      <c r="C4420" s="6">
        <v>200</v>
      </c>
      <c r="D4420" s="7">
        <v>5.01</v>
      </c>
      <c r="E4420" t="s">
        <v>7</v>
      </c>
    </row>
    <row r="4421" spans="1:5" x14ac:dyDescent="0.25">
      <c r="A4421" t="str">
        <f>HYPERLINK("https://www.773grp.com/globalSearch/LM2734YMKX-NOPB/page-1", "LM2734YMKX-NOPB")</f>
        <v>LM2734YMKX-NOPB</v>
      </c>
      <c r="B4421" s="3" t="str">
        <f>HYPERLINK("https://www.773grp.com/manufacturer/national-semiconductor?pageNo=132", "National Semiconductor")</f>
        <v>National Semiconductor</v>
      </c>
      <c r="C4421" s="6">
        <v>18000</v>
      </c>
      <c r="D4421" s="7">
        <v>5.01</v>
      </c>
      <c r="E4421" t="s">
        <v>7</v>
      </c>
    </row>
    <row r="4422" spans="1:5" x14ac:dyDescent="0.25">
      <c r="A4422" t="str">
        <f>HYPERLINK("https://www.773grp.com/globalSearch/LM2770SD-12157-NOPB/page-1", "LM2770SD-12157-NOPB")</f>
        <v>LM2770SD-12157-NOPB</v>
      </c>
      <c r="B4422" s="3" t="str">
        <f>HYPERLINK("https://www.773grp.com/manufacturer/national-semiconductor?pageNo=133", "National Semiconductor")</f>
        <v>National Semiconductor</v>
      </c>
      <c r="C4422" s="6">
        <v>13000</v>
      </c>
      <c r="D4422" s="7">
        <v>5.01</v>
      </c>
      <c r="E4422" t="s">
        <v>7</v>
      </c>
    </row>
    <row r="4423" spans="1:5" x14ac:dyDescent="0.25">
      <c r="A4423" t="str">
        <f>HYPERLINK("https://www.773grp.com/globalSearch/LM2931AS-5.0-NOPB/page-1", "LM2931AS-5.0-NOPB")</f>
        <v>LM2931AS-5.0-NOPB</v>
      </c>
      <c r="B4423" s="3" t="str">
        <f>HYPERLINK("https://www.773grp.com/manufacturer/national-semiconductor?pageNo=134", "National Semiconductor")</f>
        <v>National Semiconductor</v>
      </c>
      <c r="C4423" s="6">
        <v>246</v>
      </c>
      <c r="D4423" s="7">
        <v>5.01</v>
      </c>
      <c r="E4423" t="s">
        <v>19</v>
      </c>
    </row>
    <row r="4424" spans="1:5" x14ac:dyDescent="0.25">
      <c r="A4424" t="str">
        <f>HYPERLINK("https://www.773grp.com/globalSearch/LM3202TL/page-1", "LM3202TL")</f>
        <v>LM3202TL</v>
      </c>
      <c r="B4424" s="3" t="str">
        <f>HYPERLINK("https://www.773grp.com/manufacturer/national-semiconductor?pageNo=1", "National Semiconductor")</f>
        <v>National Semiconductor</v>
      </c>
      <c r="C4424" s="6">
        <v>250</v>
      </c>
      <c r="D4424" s="7">
        <v>5.01</v>
      </c>
      <c r="E4424" t="s">
        <v>7</v>
      </c>
    </row>
    <row r="4425" spans="1:5" x14ac:dyDescent="0.25">
      <c r="A4425" t="str">
        <f>HYPERLINK("https://www.773grp.com/globalSearch/LM3406MHX-NOPB/page-1", "LM3406MHX-NOPB")</f>
        <v>LM3406MHX-NOPB</v>
      </c>
      <c r="B4425" s="3" t="str">
        <f>HYPERLINK("https://www.773grp.com/manufacturer/national-semiconductor?pageNo=2", "National Semiconductor")</f>
        <v>National Semiconductor</v>
      </c>
      <c r="C4425" s="6">
        <v>5</v>
      </c>
      <c r="D4425" s="7">
        <v>5.01</v>
      </c>
    </row>
    <row r="4426" spans="1:5" x14ac:dyDescent="0.25">
      <c r="A4426" t="str">
        <f>HYPERLINK("https://www.773grp.com/globalSearch/LM34DZ-NOPB/page-1", "LM34DZ-NOPB")</f>
        <v>LM34DZ-NOPB</v>
      </c>
      <c r="B4426" s="3" t="str">
        <f>HYPERLINK("https://www.773grp.com/manufacturer/national-semiconductor?pageNo=3", "National Semiconductor")</f>
        <v>National Semiconductor</v>
      </c>
      <c r="C4426" s="6">
        <v>457</v>
      </c>
      <c r="D4426" s="7">
        <v>5.01</v>
      </c>
      <c r="E4426" t="s">
        <v>8</v>
      </c>
    </row>
    <row r="4427" spans="1:5" x14ac:dyDescent="0.25">
      <c r="A4427" t="str">
        <f>HYPERLINK("https://www.773grp.com/globalSearch/LM3509SD-NOPB/page-1", "LM3509SD-NOPB")</f>
        <v>LM3509SD-NOPB</v>
      </c>
      <c r="B4427" s="3" t="str">
        <f>HYPERLINK("https://www.773grp.com/manufacturer/national-semiconductor?pageNo=4", "National Semiconductor")</f>
        <v>National Semiconductor</v>
      </c>
      <c r="C4427" s="6">
        <v>3960</v>
      </c>
      <c r="D4427" s="7">
        <v>5.01</v>
      </c>
    </row>
    <row r="4428" spans="1:5" x14ac:dyDescent="0.25">
      <c r="A4428" t="str">
        <f>HYPERLINK("https://www.773grp.com/globalSearch/LM3704XCBPX-308/page-1", "LM3704XCBPX-308")</f>
        <v>LM3704XCBPX-308</v>
      </c>
      <c r="B4428" s="3" t="str">
        <f>HYPERLINK("https://www.773grp.com/manufacturer/national-semiconductor?pageNo=5", "National Semiconductor")</f>
        <v>National Semiconductor</v>
      </c>
      <c r="C4428" s="6">
        <v>15000</v>
      </c>
      <c r="D4428" s="7">
        <v>5.01</v>
      </c>
      <c r="E4428" t="s">
        <v>30</v>
      </c>
    </row>
    <row r="4429" spans="1:5" x14ac:dyDescent="0.25">
      <c r="A4429" t="str">
        <f>HYPERLINK("https://www.773grp.com/globalSearch/LM3705XCBP-308/page-1", "LM3705XCBP-308")</f>
        <v>LM3705XCBP-308</v>
      </c>
      <c r="B4429" s="3" t="str">
        <f>HYPERLINK("https://www.773grp.com/manufacturer/national-semiconductor?pageNo=6", "National Semiconductor")</f>
        <v>National Semiconductor</v>
      </c>
      <c r="C4429" s="6">
        <v>2000</v>
      </c>
      <c r="D4429" s="7">
        <v>5.01</v>
      </c>
      <c r="E4429" t="s">
        <v>30</v>
      </c>
    </row>
    <row r="4430" spans="1:5" x14ac:dyDescent="0.25">
      <c r="A4430" t="str">
        <f>HYPERLINK("https://www.773grp.com/globalSearch/LM3705XCBPX-308/page-1", "LM3705XCBPX-308")</f>
        <v>LM3705XCBPX-308</v>
      </c>
      <c r="B4430" s="3" t="str">
        <f>HYPERLINK("https://www.773grp.com/manufacturer/national-semiconductor?pageNo=7", "National Semiconductor")</f>
        <v>National Semiconductor</v>
      </c>
      <c r="C4430" s="6">
        <v>3000</v>
      </c>
      <c r="D4430" s="7">
        <v>5.01</v>
      </c>
      <c r="E4430" t="s">
        <v>30</v>
      </c>
    </row>
    <row r="4431" spans="1:5" x14ac:dyDescent="0.25">
      <c r="A4431" t="str">
        <f>HYPERLINK("https://www.773grp.com/globalSearch/LM3708XQTP-308-NOPB/page-1", "LM3708XQTP-308-NOPB")</f>
        <v>LM3708XQTP-308-NOPB</v>
      </c>
      <c r="B4431" s="3" t="str">
        <f>HYPERLINK("https://www.773grp.com/manufacturer/national-semiconductor?pageNo=8", "National Semiconductor")</f>
        <v>National Semiconductor</v>
      </c>
      <c r="C4431" s="6">
        <v>97</v>
      </c>
      <c r="D4431" s="7">
        <v>5.01</v>
      </c>
    </row>
    <row r="4432" spans="1:5" x14ac:dyDescent="0.25">
      <c r="A4432" t="str">
        <f>HYPERLINK("https://www.773grp.com/globalSearch/LM5025AMTCX-NOPB/page-1", "LM5025AMTCX-NOPB")</f>
        <v>LM5025AMTCX-NOPB</v>
      </c>
      <c r="B4432" s="3" t="str">
        <f>HYPERLINK("https://www.773grp.com/manufacturer/national-semiconductor?pageNo=9", "National Semiconductor")</f>
        <v>National Semiconductor</v>
      </c>
      <c r="C4432" s="6">
        <v>33000</v>
      </c>
      <c r="D4432" s="7">
        <v>5.01</v>
      </c>
      <c r="E4432" t="s">
        <v>7</v>
      </c>
    </row>
    <row r="4433" spans="1:5" x14ac:dyDescent="0.25">
      <c r="A4433" t="str">
        <f>HYPERLINK("https://www.773grp.com/globalSearch/LM5025ASD-NOPB/page-1", "LM5025ASD-NOPB")</f>
        <v>LM5025ASD-NOPB</v>
      </c>
      <c r="B4433" s="3" t="str">
        <f>HYPERLINK("https://www.773grp.com/manufacturer/national-semiconductor?pageNo=10", "National Semiconductor")</f>
        <v>National Semiconductor</v>
      </c>
      <c r="C4433" s="6">
        <v>1899</v>
      </c>
      <c r="D4433" s="7">
        <v>5.01</v>
      </c>
    </row>
    <row r="4434" spans="1:5" x14ac:dyDescent="0.25">
      <c r="A4434" t="str">
        <f>HYPERLINK("https://www.773grp.com/globalSearch/LM5025MTCX-NOPB/page-1", "LM5025MTCX-NOPB")</f>
        <v>LM5025MTCX-NOPB</v>
      </c>
      <c r="B4434" s="3" t="str">
        <f>HYPERLINK("https://www.773grp.com/manufacturer/national-semiconductor?pageNo=11", "National Semiconductor")</f>
        <v>National Semiconductor</v>
      </c>
      <c r="C4434" s="6">
        <v>10000</v>
      </c>
      <c r="D4434" s="7">
        <v>5.01</v>
      </c>
      <c r="E4434" t="s">
        <v>7</v>
      </c>
    </row>
    <row r="4435" spans="1:5" x14ac:dyDescent="0.25">
      <c r="A4435" t="str">
        <f>HYPERLINK("https://www.773grp.com/globalSearch/LM5025SD-NOPB/page-1", "LM5025SD-NOPB")</f>
        <v>LM5025SD-NOPB</v>
      </c>
      <c r="B4435" s="3" t="str">
        <f>HYPERLINK("https://www.773grp.com/manufacturer/national-semiconductor?pageNo=12", "National Semiconductor")</f>
        <v>National Semiconductor</v>
      </c>
      <c r="C4435" s="6">
        <v>4899</v>
      </c>
      <c r="D4435" s="7">
        <v>5.01</v>
      </c>
      <c r="E4435" t="s">
        <v>7</v>
      </c>
    </row>
    <row r="4436" spans="1:5" x14ac:dyDescent="0.25">
      <c r="A4436" t="str">
        <f>HYPERLINK("https://www.773grp.com/globalSearch/LM5025SDX-NOPB/page-1", "LM5025SDX-NOPB")</f>
        <v>LM5025SDX-NOPB</v>
      </c>
      <c r="B4436" s="3" t="str">
        <f>HYPERLINK("https://www.773grp.com/manufacturer/national-semiconductor?pageNo=13", "National Semiconductor")</f>
        <v>National Semiconductor</v>
      </c>
      <c r="C4436" s="6">
        <v>9000</v>
      </c>
      <c r="D4436" s="7">
        <v>5.01</v>
      </c>
      <c r="E4436" t="s">
        <v>7</v>
      </c>
    </row>
    <row r="4437" spans="1:5" x14ac:dyDescent="0.25">
      <c r="A4437" t="str">
        <f>HYPERLINK("https://www.773grp.com/globalSearch/LM5102SD-NOPB/page-1", "LM5102SD-NOPB")</f>
        <v>LM5102SD-NOPB</v>
      </c>
      <c r="B4437" s="3" t="str">
        <f>HYPERLINK("https://www.773grp.com/manufacturer/national-semiconductor?pageNo=14", "National Semiconductor")</f>
        <v>National Semiconductor</v>
      </c>
      <c r="C4437" s="6">
        <v>1000</v>
      </c>
      <c r="D4437" s="7">
        <v>5.01</v>
      </c>
      <c r="E4437" t="s">
        <v>11</v>
      </c>
    </row>
    <row r="4438" spans="1:5" x14ac:dyDescent="0.25">
      <c r="A4438" t="str">
        <f>HYPERLINK("https://www.773grp.com/globalSearch/LM5107MA-NOPB/page-1", "LM5107MA-NOPB")</f>
        <v>LM5107MA-NOPB</v>
      </c>
      <c r="B4438" s="3" t="str">
        <f>HYPERLINK("https://www.773grp.com/manufacturer/national-semiconductor?pageNo=15", "National Semiconductor")</f>
        <v>National Semiconductor</v>
      </c>
      <c r="C4438" s="6">
        <v>6158</v>
      </c>
      <c r="D4438" s="7">
        <v>5.01</v>
      </c>
      <c r="E4438" t="s">
        <v>16</v>
      </c>
    </row>
    <row r="4439" spans="1:5" x14ac:dyDescent="0.25">
      <c r="A4439" t="str">
        <f>HYPERLINK("https://www.773grp.com/globalSearch/LM5111-3M/page-1", "LM5111-3M")</f>
        <v>LM5111-3M</v>
      </c>
      <c r="B4439" s="3" t="str">
        <f>HYPERLINK("https://www.773grp.com/manufacturer/national-semiconductor?pageNo=16", "National Semiconductor")</f>
        <v>National Semiconductor</v>
      </c>
      <c r="C4439" s="6">
        <v>84</v>
      </c>
      <c r="D4439" s="7">
        <v>5.01</v>
      </c>
      <c r="E4439" t="s">
        <v>11</v>
      </c>
    </row>
    <row r="4440" spans="1:5" x14ac:dyDescent="0.25">
      <c r="A4440" t="str">
        <f>HYPERLINK("https://www.773grp.com/globalSearch/LM57BISD-10-NOPB/page-1", "LM57BISD-10-NOPB")</f>
        <v>LM57BISD-10-NOPB</v>
      </c>
      <c r="B4440" s="3" t="str">
        <f>HYPERLINK("https://www.773grp.com/manufacturer/national-semiconductor?pageNo=17", "National Semiconductor")</f>
        <v>National Semiconductor</v>
      </c>
      <c r="C4440" s="6">
        <v>1784</v>
      </c>
      <c r="D4440" s="7">
        <v>5.01</v>
      </c>
    </row>
    <row r="4441" spans="1:5" x14ac:dyDescent="0.25">
      <c r="A4441" t="str">
        <f>HYPERLINK("https://www.773grp.com/globalSearch/LM57BISD-5-NOPB/page-1", "LM57BISD-5-NOPB")</f>
        <v>LM57BISD-5-NOPB</v>
      </c>
      <c r="B4441" s="3" t="str">
        <f>HYPERLINK("https://www.773grp.com/manufacturer/national-semiconductor?pageNo=18", "National Semiconductor")</f>
        <v>National Semiconductor</v>
      </c>
      <c r="C4441" s="6">
        <v>1000</v>
      </c>
      <c r="D4441" s="7">
        <v>5.01</v>
      </c>
    </row>
    <row r="4442" spans="1:5" x14ac:dyDescent="0.25">
      <c r="A4442" t="str">
        <f>HYPERLINK("https://www.773grp.com/globalSearch/LM611IM/page-1", "LM611IM")</f>
        <v>LM611IM</v>
      </c>
      <c r="B4442" s="3" t="str">
        <f>HYPERLINK("https://www.773grp.com/manufacturer/national-semiconductor?pageNo=19", "National Semiconductor")</f>
        <v>National Semiconductor</v>
      </c>
      <c r="C4442" s="6">
        <v>295</v>
      </c>
      <c r="D4442" s="7">
        <v>5.01</v>
      </c>
      <c r="E4442" t="s">
        <v>13</v>
      </c>
    </row>
    <row r="4443" spans="1:5" x14ac:dyDescent="0.25">
      <c r="A4443" t="str">
        <f>HYPERLINK("https://www.773grp.com/globalSearch/LM611IM-NOPB/page-1", "LM611IM-NOPB")</f>
        <v>LM611IM-NOPB</v>
      </c>
      <c r="B4443" s="3" t="str">
        <f>HYPERLINK("https://www.773grp.com/manufacturer/national-semiconductor?pageNo=20", "National Semiconductor")</f>
        <v>National Semiconductor</v>
      </c>
      <c r="C4443" s="6">
        <v>165</v>
      </c>
      <c r="D4443" s="7">
        <v>5.01</v>
      </c>
      <c r="E4443" t="s">
        <v>13</v>
      </c>
    </row>
    <row r="4444" spans="1:5" x14ac:dyDescent="0.25">
      <c r="A4444" t="str">
        <f>HYPERLINK("https://www.773grp.com/globalSearch/LM8322JGR8-NOPB/page-1", "LM8322JGR8-NOPB")</f>
        <v>LM8322JGR8-NOPB</v>
      </c>
      <c r="B4444" s="3" t="str">
        <f>HYPERLINK("https://www.773grp.com/manufacturer/national-semiconductor?pageNo=21", "National Semiconductor")</f>
        <v>National Semiconductor</v>
      </c>
      <c r="C4444" s="6">
        <v>29</v>
      </c>
      <c r="D4444" s="7">
        <v>5.01</v>
      </c>
      <c r="E4444" t="s">
        <v>42</v>
      </c>
    </row>
    <row r="4445" spans="1:5" x14ac:dyDescent="0.25">
      <c r="A4445" t="str">
        <f>HYPERLINK("https://www.773grp.com/globalSearch/LM9061M-NOPB/page-1", "LM9061M-NOPB")</f>
        <v>LM9061M-NOPB</v>
      </c>
      <c r="B4445" s="3" t="str">
        <f>HYPERLINK("https://www.773grp.com/manufacturer/national-semiconductor?pageNo=22", "National Semiconductor")</f>
        <v>National Semiconductor</v>
      </c>
      <c r="C4445" s="6">
        <v>10075</v>
      </c>
      <c r="D4445" s="7">
        <v>5.01</v>
      </c>
      <c r="E4445" t="s">
        <v>16</v>
      </c>
    </row>
    <row r="4446" spans="1:5" x14ac:dyDescent="0.25">
      <c r="A4446" t="str">
        <f>HYPERLINK("https://www.773grp.com/globalSearch/LM95231CIMM-NOPB/page-1", "LM95231CIMM-NOPB")</f>
        <v>LM95231CIMM-NOPB</v>
      </c>
      <c r="B4446" s="3" t="str">
        <f>HYPERLINK("https://www.773grp.com/manufacturer/national-semiconductor?pageNo=23", "National Semiconductor")</f>
        <v>National Semiconductor</v>
      </c>
      <c r="C4446" s="6">
        <v>2950</v>
      </c>
      <c r="D4446" s="7">
        <v>5.01</v>
      </c>
      <c r="E4446" t="s">
        <v>12</v>
      </c>
    </row>
    <row r="4447" spans="1:5" x14ac:dyDescent="0.25">
      <c r="A4447" t="str">
        <f>HYPERLINK("https://www.773grp.com/globalSearch/LM95231CIMM-1-NOPB/page-1", "LM95231CIMM-1-NOPB")</f>
        <v>LM95231CIMM-1-NOPB</v>
      </c>
      <c r="B4447" s="3" t="str">
        <f>HYPERLINK("https://www.773grp.com/manufacturer/national-semiconductor?pageNo=24", "National Semiconductor")</f>
        <v>National Semiconductor</v>
      </c>
      <c r="C4447" s="6">
        <v>4174</v>
      </c>
      <c r="D4447" s="7">
        <v>5.01</v>
      </c>
    </row>
    <row r="4448" spans="1:5" x14ac:dyDescent="0.25">
      <c r="A4448" t="str">
        <f>HYPERLINK("https://www.773grp.com/globalSearch/LM95231CIMM-2-NOPB/page-1", "LM95231CIMM-2-NOPB")</f>
        <v>LM95231CIMM-2-NOPB</v>
      </c>
      <c r="B4448" s="3" t="str">
        <f>HYPERLINK("https://www.773grp.com/manufacturer/national-semiconductor?pageNo=25", "National Semiconductor")</f>
        <v>National Semiconductor</v>
      </c>
      <c r="C4448" s="6">
        <v>2849</v>
      </c>
      <c r="D4448" s="7">
        <v>5.01</v>
      </c>
    </row>
    <row r="4449" spans="1:5" x14ac:dyDescent="0.25">
      <c r="A4449" t="str">
        <f>HYPERLINK("https://www.773grp.com/globalSearch/LM95233CISD-NOPB/page-1", "LM95233CISD-NOPB")</f>
        <v>LM95233CISD-NOPB</v>
      </c>
      <c r="B4449" s="3" t="str">
        <f>HYPERLINK("https://www.773grp.com/manufacturer/national-semiconductor?pageNo=26", "National Semiconductor")</f>
        <v>National Semiconductor</v>
      </c>
      <c r="C4449" s="6">
        <v>6287</v>
      </c>
      <c r="D4449" s="7">
        <v>5.01</v>
      </c>
      <c r="E4449" t="s">
        <v>12</v>
      </c>
    </row>
    <row r="4450" spans="1:5" x14ac:dyDescent="0.25">
      <c r="A4450" t="str">
        <f>HYPERLINK("https://www.773grp.com/globalSearch/LMH2100TMX-NOPB/page-1", "LMH2100TMX-NOPB")</f>
        <v>LMH2100TMX-NOPB</v>
      </c>
      <c r="B4450" s="3" t="str">
        <f>HYPERLINK("https://www.773grp.com/manufacturer/national-semiconductor?pageNo=27", "National Semiconductor")</f>
        <v>National Semiconductor</v>
      </c>
      <c r="C4450" s="6">
        <v>87000</v>
      </c>
      <c r="D4450" s="7">
        <v>5.01</v>
      </c>
    </row>
    <row r="4451" spans="1:5" x14ac:dyDescent="0.25">
      <c r="A4451" t="str">
        <f>HYPERLINK("https://www.773grp.com/globalSearch/LMH6723MA-NOPB/page-1", "LMH6723MA-NOPB")</f>
        <v>LMH6723MA-NOPB</v>
      </c>
      <c r="B4451" s="3" t="str">
        <f>HYPERLINK("https://www.773grp.com/manufacturer/national-semiconductor?pageNo=28", "National Semiconductor")</f>
        <v>National Semiconductor</v>
      </c>
      <c r="C4451" s="6">
        <v>173</v>
      </c>
      <c r="D4451" s="7">
        <v>5.01</v>
      </c>
      <c r="E4451" t="s">
        <v>13</v>
      </c>
    </row>
    <row r="4452" spans="1:5" x14ac:dyDescent="0.25">
      <c r="A4452" t="str">
        <f>HYPERLINK("https://www.773grp.com/globalSearch/LMV2011MAX-NOPB/page-1", "LMV2011MAX-NOPB")</f>
        <v>LMV2011MAX-NOPB</v>
      </c>
      <c r="B4452" s="3" t="str">
        <f>HYPERLINK("https://www.773grp.com/manufacturer/national-semiconductor?pageNo=29", "National Semiconductor")</f>
        <v>National Semiconductor</v>
      </c>
      <c r="C4452" s="6">
        <v>2500</v>
      </c>
      <c r="D4452" s="7">
        <v>5.01</v>
      </c>
      <c r="E4452" t="s">
        <v>13</v>
      </c>
    </row>
    <row r="4453" spans="1:5" x14ac:dyDescent="0.25">
      <c r="A4453" t="str">
        <f>HYPERLINK("https://www.773grp.com/globalSearch/LMV2011MF-NOPB/page-1", "LMV2011MF-NOPB")</f>
        <v>LMV2011MF-NOPB</v>
      </c>
      <c r="B4453" s="3" t="str">
        <f>HYPERLINK("https://www.773grp.com/manufacturer/national-semiconductor?pageNo=30", "National Semiconductor")</f>
        <v>National Semiconductor</v>
      </c>
      <c r="C4453" s="6">
        <v>1899</v>
      </c>
      <c r="D4453" s="7">
        <v>5.01</v>
      </c>
      <c r="E4453" t="s">
        <v>13</v>
      </c>
    </row>
    <row r="4454" spans="1:5" x14ac:dyDescent="0.25">
      <c r="A4454" t="str">
        <f>HYPERLINK("https://www.773grp.com/globalSearch/LMV722M/page-1", "LMV722M")</f>
        <v>LMV722M</v>
      </c>
      <c r="B4454" s="3" t="str">
        <f>HYPERLINK("https://www.773grp.com/manufacturer/national-semiconductor?pageNo=31", "National Semiconductor")</f>
        <v>National Semiconductor</v>
      </c>
      <c r="C4454" s="6">
        <v>1997</v>
      </c>
      <c r="D4454" s="7">
        <v>5.01</v>
      </c>
      <c r="E4454" t="s">
        <v>13</v>
      </c>
    </row>
    <row r="4455" spans="1:5" x14ac:dyDescent="0.25">
      <c r="A4455" t="str">
        <f>HYPERLINK("https://www.773grp.com/globalSearch/LP2954AIMX-NOPB/page-1", "LP2954AIMX-NOPB")</f>
        <v>LP2954AIMX-NOPB</v>
      </c>
      <c r="B4455" s="3" t="str">
        <f>HYPERLINK("https://www.773grp.com/manufacturer/national-semiconductor?pageNo=32", "National Semiconductor")</f>
        <v>National Semiconductor</v>
      </c>
      <c r="C4455" s="6">
        <v>130660</v>
      </c>
      <c r="D4455" s="7">
        <v>5.01</v>
      </c>
      <c r="E4455" t="s">
        <v>25</v>
      </c>
    </row>
    <row r="4456" spans="1:5" x14ac:dyDescent="0.25">
      <c r="A4456" t="str">
        <f>HYPERLINK("https://www.773grp.com/globalSearch/LP2960IM-5.0-NOPB/page-1", "LP2960IM-5.0-NOPB")</f>
        <v>LP2960IM-5.0-NOPB</v>
      </c>
      <c r="B4456" s="3" t="str">
        <f>HYPERLINK("https://www.773grp.com/manufacturer/national-semiconductor?pageNo=33", "National Semiconductor")</f>
        <v>National Semiconductor</v>
      </c>
      <c r="C4456" s="6">
        <v>61</v>
      </c>
      <c r="D4456" s="7">
        <v>5.01</v>
      </c>
      <c r="E4456" t="s">
        <v>27</v>
      </c>
    </row>
    <row r="4457" spans="1:5" x14ac:dyDescent="0.25">
      <c r="A4457" t="str">
        <f>HYPERLINK("https://www.773grp.com/globalSearch/LP2987AIMM-5.0-NOPB/page-1", "LP2987AIMM-5.0-NOPB")</f>
        <v>LP2987AIMM-5.0-NOPB</v>
      </c>
      <c r="B4457" s="3" t="str">
        <f>HYPERLINK("https://www.773grp.com/manufacturer/national-semiconductor?pageNo=34", "National Semiconductor")</f>
        <v>National Semiconductor</v>
      </c>
      <c r="C4457" s="6">
        <v>9000</v>
      </c>
      <c r="D4457" s="7">
        <v>5.01</v>
      </c>
      <c r="E4457" t="s">
        <v>19</v>
      </c>
    </row>
    <row r="4458" spans="1:5" x14ac:dyDescent="0.25">
      <c r="A4458" t="str">
        <f>HYPERLINK("https://www.773grp.com/globalSearch/LP2989IMM-2.8-NOPB/page-1", "LP2989IMM-2.8-NOPB")</f>
        <v>LP2989IMM-2.8-NOPB</v>
      </c>
      <c r="B4458" s="3" t="str">
        <f>HYPERLINK("https://www.773grp.com/manufacturer/national-semiconductor?pageNo=35", "National Semiconductor")</f>
        <v>National Semiconductor</v>
      </c>
      <c r="C4458" s="6">
        <v>1000</v>
      </c>
      <c r="D4458" s="7">
        <v>5.01</v>
      </c>
      <c r="E4458" t="s">
        <v>19</v>
      </c>
    </row>
    <row r="4459" spans="1:5" x14ac:dyDescent="0.25">
      <c r="A4459" t="str">
        <f>HYPERLINK("https://www.773grp.com/globalSearch/LP2989IMM-3.0-NOPB/page-1", "LP2989IMM-3.0-NOPB")</f>
        <v>LP2989IMM-3.0-NOPB</v>
      </c>
      <c r="B4459" s="3" t="str">
        <f>HYPERLINK("https://www.773grp.com/manufacturer/national-semiconductor?pageNo=36", "National Semiconductor")</f>
        <v>National Semiconductor</v>
      </c>
      <c r="C4459" s="6">
        <v>1000</v>
      </c>
      <c r="D4459" s="7">
        <v>5.01</v>
      </c>
      <c r="E4459" t="s">
        <v>19</v>
      </c>
    </row>
    <row r="4460" spans="1:5" x14ac:dyDescent="0.25">
      <c r="A4460" t="str">
        <f>HYPERLINK("https://www.773grp.com/globalSearch/LP2989IMM-5.0-NOPB/page-1", "LP2989IMM-5.0-NOPB")</f>
        <v>LP2989IMM-5.0-NOPB</v>
      </c>
      <c r="B4460" s="3" t="str">
        <f>HYPERLINK("https://www.773grp.com/manufacturer/national-semiconductor?pageNo=37", "National Semiconductor")</f>
        <v>National Semiconductor</v>
      </c>
      <c r="C4460" s="6">
        <v>4531</v>
      </c>
      <c r="D4460" s="7">
        <v>5.01</v>
      </c>
      <c r="E4460" t="s">
        <v>19</v>
      </c>
    </row>
    <row r="4461" spans="1:5" x14ac:dyDescent="0.25">
      <c r="A4461" t="str">
        <f>HYPERLINK("https://www.773grp.com/globalSearch/LP3871ES-2.5/page-1", "LP3871ES-2.5")</f>
        <v>LP3871ES-2.5</v>
      </c>
      <c r="B4461" s="3" t="str">
        <f>HYPERLINK("https://www.773grp.com/manufacturer/national-semiconductor?pageNo=38", "National Semiconductor")</f>
        <v>National Semiconductor</v>
      </c>
      <c r="C4461" s="6">
        <v>265</v>
      </c>
      <c r="D4461" s="7">
        <v>5.01</v>
      </c>
      <c r="E4461" t="s">
        <v>19</v>
      </c>
    </row>
    <row r="4462" spans="1:5" x14ac:dyDescent="0.25">
      <c r="A4462" t="str">
        <f>HYPERLINK("https://www.773grp.com/globalSearch/LP3871ES-3.3/page-1", "LP3871ES-3.3")</f>
        <v>LP3871ES-3.3</v>
      </c>
      <c r="B4462" s="3" t="str">
        <f>HYPERLINK("https://www.773grp.com/manufacturer/national-semiconductor?pageNo=39", "National Semiconductor")</f>
        <v>National Semiconductor</v>
      </c>
      <c r="C4462" s="6">
        <v>36</v>
      </c>
      <c r="D4462" s="7">
        <v>5.01</v>
      </c>
      <c r="E4462" t="s">
        <v>19</v>
      </c>
    </row>
    <row r="4463" spans="1:5" x14ac:dyDescent="0.25">
      <c r="A4463" t="str">
        <f>HYPERLINK("https://www.773grp.com/globalSearch/LP3871ESX-2.5/page-1", "LP3871ESX-2.5")</f>
        <v>LP3871ESX-2.5</v>
      </c>
      <c r="B4463" s="3" t="str">
        <f>HYPERLINK("https://www.773grp.com/manufacturer/national-semiconductor?pageNo=40", "National Semiconductor")</f>
        <v>National Semiconductor</v>
      </c>
      <c r="C4463" s="6">
        <v>500</v>
      </c>
      <c r="D4463" s="7">
        <v>5.01</v>
      </c>
      <c r="E4463" t="s">
        <v>19</v>
      </c>
    </row>
    <row r="4464" spans="1:5" x14ac:dyDescent="0.25">
      <c r="A4464" t="str">
        <f>HYPERLINK("https://www.773grp.com/globalSearch/LP3871ESX-2.5-NOPB/page-1", "LP3871ESX-2.5-NOPB")</f>
        <v>LP3871ESX-2.5-NOPB</v>
      </c>
      <c r="B4464" s="3" t="str">
        <f>HYPERLINK("https://www.773grp.com/manufacturer/national-semiconductor?pageNo=41", "National Semiconductor")</f>
        <v>National Semiconductor</v>
      </c>
      <c r="C4464" s="6">
        <v>500</v>
      </c>
      <c r="D4464" s="7">
        <v>5.01</v>
      </c>
      <c r="E4464" t="s">
        <v>19</v>
      </c>
    </row>
    <row r="4465" spans="1:5" x14ac:dyDescent="0.25">
      <c r="A4465" t="str">
        <f>HYPERLINK("https://www.773grp.com/globalSearch/LP3874ESX-ADJ-NOPB/page-1", "LP3874ESX-ADJ-NOPB")</f>
        <v>LP3874ESX-ADJ-NOPB</v>
      </c>
      <c r="B4465" s="3" t="str">
        <f>HYPERLINK("https://www.773grp.com/manufacturer/national-semiconductor?pageNo=42", "National Semiconductor")</f>
        <v>National Semiconductor</v>
      </c>
      <c r="C4465" s="6">
        <v>500</v>
      </c>
      <c r="D4465" s="7">
        <v>5.01</v>
      </c>
      <c r="E4465" t="s">
        <v>25</v>
      </c>
    </row>
    <row r="4466" spans="1:5" x14ac:dyDescent="0.25">
      <c r="A4466" t="str">
        <f>HYPERLINK("https://www.773grp.com/globalSearch/LP38842S-0.8/page-1", "LP38842S-0.8")</f>
        <v>LP38842S-0.8</v>
      </c>
      <c r="B4466" s="3" t="str">
        <f>HYPERLINK("https://www.773grp.com/manufacturer/national-semiconductor?pageNo=43", "National Semiconductor")</f>
        <v>National Semiconductor</v>
      </c>
      <c r="C4466" s="6">
        <v>170</v>
      </c>
      <c r="D4466" s="7">
        <v>5.01</v>
      </c>
      <c r="E4466" t="s">
        <v>19</v>
      </c>
    </row>
    <row r="4467" spans="1:5" x14ac:dyDescent="0.25">
      <c r="A4467" t="str">
        <f>HYPERLINK("https://www.773grp.com/globalSearch/LP38842S-1.2/page-1", "LP38842S-1.2")</f>
        <v>LP38842S-1.2</v>
      </c>
      <c r="B4467" s="3" t="str">
        <f>HYPERLINK("https://www.773grp.com/manufacturer/national-semiconductor?pageNo=44", "National Semiconductor")</f>
        <v>National Semiconductor</v>
      </c>
      <c r="C4467" s="6">
        <v>2</v>
      </c>
      <c r="D4467" s="7">
        <v>5.01</v>
      </c>
      <c r="E4467" t="s">
        <v>19</v>
      </c>
    </row>
    <row r="4468" spans="1:5" x14ac:dyDescent="0.25">
      <c r="A4468" t="str">
        <f>HYPERLINK("https://www.773grp.com/globalSearch/LP38842SX-1.2-NOPB/page-1", "LP38842SX-1.2-NOPB")</f>
        <v>LP38842SX-1.2-NOPB</v>
      </c>
      <c r="B4468" s="3" t="str">
        <f>HYPERLINK("https://www.773grp.com/manufacturer/national-semiconductor?pageNo=45", "National Semiconductor")</f>
        <v>National Semiconductor</v>
      </c>
      <c r="C4468" s="6">
        <v>1500</v>
      </c>
      <c r="D4468" s="7">
        <v>5.01</v>
      </c>
      <c r="E4468" t="s">
        <v>19</v>
      </c>
    </row>
    <row r="4469" spans="1:5" x14ac:dyDescent="0.25">
      <c r="A4469" t="str">
        <f>HYPERLINK("https://www.773grp.com/globalSearch/LP38842T-0.8/page-1", "LP38842T-0.8")</f>
        <v>LP38842T-0.8</v>
      </c>
      <c r="B4469" s="3" t="str">
        <f>HYPERLINK("https://www.773grp.com/manufacturer/national-semiconductor?pageNo=46", "National Semiconductor")</f>
        <v>National Semiconductor</v>
      </c>
      <c r="C4469" s="6">
        <v>90</v>
      </c>
      <c r="D4469" s="7">
        <v>5.01</v>
      </c>
      <c r="E4469" t="s">
        <v>19</v>
      </c>
    </row>
    <row r="4470" spans="1:5" x14ac:dyDescent="0.25">
      <c r="A4470" t="str">
        <f>HYPERLINK("https://www.773grp.com/globalSearch/LP38842T-0.8-NOPB/page-1", "LP38842T-0.8-NOPB")</f>
        <v>LP38842T-0.8-NOPB</v>
      </c>
      <c r="B4470" s="3" t="str">
        <f>HYPERLINK("https://www.773grp.com/manufacturer/national-semiconductor?pageNo=47", "National Semiconductor")</f>
        <v>National Semiconductor</v>
      </c>
      <c r="C4470" s="6">
        <v>155</v>
      </c>
      <c r="D4470" s="7">
        <v>5.01</v>
      </c>
      <c r="E4470" t="s">
        <v>19</v>
      </c>
    </row>
    <row r="4471" spans="1:5" x14ac:dyDescent="0.25">
      <c r="A4471" t="str">
        <f>HYPERLINK("https://www.773grp.com/globalSearch/LP38842T-1.2-NOPB/page-1", "LP38842T-1.2-NOPB")</f>
        <v>LP38842T-1.2-NOPB</v>
      </c>
      <c r="B4471" s="3" t="str">
        <f>HYPERLINK("https://www.773grp.com/manufacturer/national-semiconductor?pageNo=48", "National Semiconductor")</f>
        <v>National Semiconductor</v>
      </c>
      <c r="C4471" s="6">
        <v>136</v>
      </c>
      <c r="D4471" s="7">
        <v>5.01</v>
      </c>
      <c r="E4471" t="s">
        <v>19</v>
      </c>
    </row>
    <row r="4472" spans="1:5" x14ac:dyDescent="0.25">
      <c r="A4472" t="str">
        <f>HYPERLINK("https://www.773grp.com/globalSearch/LP38842T-1.5-NOPB/page-1", "LP38842T-1.5-NOPB")</f>
        <v>LP38842T-1.5-NOPB</v>
      </c>
      <c r="B4472" s="3" t="str">
        <f>HYPERLINK("https://www.773grp.com/manufacturer/national-semiconductor?pageNo=49", "National Semiconductor")</f>
        <v>National Semiconductor</v>
      </c>
      <c r="C4472" s="6">
        <v>164</v>
      </c>
      <c r="D4472" s="7">
        <v>5.01</v>
      </c>
      <c r="E4472" t="s">
        <v>19</v>
      </c>
    </row>
    <row r="4473" spans="1:5" x14ac:dyDescent="0.25">
      <c r="A4473" t="str">
        <f>HYPERLINK("https://www.773grp.com/globalSearch/LP38855T-0.8-NOPB`/page-1", "LP38855T-0.8-NOPB`")</f>
        <v>LP38855T-0.8-NOPB`</v>
      </c>
      <c r="B4473" s="3" t="str">
        <f>HYPERLINK("https://www.773grp.com/manufacturer/national-semiconductor?pageNo=50", "National Semiconductor")</f>
        <v>National Semiconductor</v>
      </c>
      <c r="C4473" s="6">
        <v>175</v>
      </c>
      <c r="D4473" s="7">
        <v>5.01</v>
      </c>
    </row>
    <row r="4474" spans="1:5" x14ac:dyDescent="0.25">
      <c r="A4474" t="str">
        <f>HYPERLINK("https://www.773grp.com/globalSearch/LP3907SQ-JXQX-NOPB/page-1", "LP3907SQ-JXQX-NOPB")</f>
        <v>LP3907SQ-JXQX-NOPB</v>
      </c>
      <c r="B4474" s="3" t="str">
        <f>HYPERLINK("https://www.773grp.com/manufacturer/national-semiconductor?pageNo=51", "National Semiconductor")</f>
        <v>National Semiconductor</v>
      </c>
      <c r="C4474" s="6">
        <v>774</v>
      </c>
      <c r="D4474" s="7">
        <v>5.01</v>
      </c>
      <c r="E4474" t="s">
        <v>7</v>
      </c>
    </row>
    <row r="4475" spans="1:5" x14ac:dyDescent="0.25">
      <c r="A4475" t="str">
        <f>HYPERLINK("https://www.773grp.com/globalSearch/LP3907SQ-PJXIX-NOPB/page-1", "LP3907SQ-PJXIX-NOPB")</f>
        <v>LP3907SQ-PJXIX-NOPB</v>
      </c>
      <c r="B4475" s="3" t="str">
        <f>HYPERLINK("https://www.773grp.com/manufacturer/national-semiconductor?pageNo=52", "National Semiconductor")</f>
        <v>National Semiconductor</v>
      </c>
      <c r="C4475" s="6">
        <v>2000</v>
      </c>
      <c r="D4475" s="7">
        <v>5.01</v>
      </c>
      <c r="E4475" t="s">
        <v>7</v>
      </c>
    </row>
    <row r="4476" spans="1:5" x14ac:dyDescent="0.25">
      <c r="A4476" t="str">
        <f>HYPERLINK("https://www.773grp.com/globalSearch/LP3907SQ-PXPP-NOPB/page-1", "LP3907SQ-PXPP-NOPB")</f>
        <v>LP3907SQ-PXPP-NOPB</v>
      </c>
      <c r="B4476" s="3" t="str">
        <f>HYPERLINK("https://www.773grp.com/manufacturer/national-semiconductor?pageNo=53", "National Semiconductor")</f>
        <v>National Semiconductor</v>
      </c>
      <c r="C4476" s="6">
        <v>947</v>
      </c>
      <c r="D4476" s="7">
        <v>5.01</v>
      </c>
    </row>
    <row r="4477" spans="1:5" x14ac:dyDescent="0.25">
      <c r="A4477" t="str">
        <f>HYPERLINK("https://www.773grp.com/globalSearch/LP3907TLX-JJCP-NOPB/page-1", "LP3907TLX-JJCP-NOPB")</f>
        <v>LP3907TLX-JJCP-NOPB</v>
      </c>
      <c r="B4477" s="3" t="str">
        <f>HYPERLINK("https://www.773grp.com/manufacturer/national-semiconductor?pageNo=54", "National Semiconductor")</f>
        <v>National Semiconductor</v>
      </c>
      <c r="C4477" s="6">
        <v>3000</v>
      </c>
      <c r="D4477" s="7">
        <v>5.01</v>
      </c>
    </row>
    <row r="4478" spans="1:5" x14ac:dyDescent="0.25">
      <c r="A4478" t="str">
        <f>HYPERLINK("https://www.773grp.com/globalSearch/LP3918TL/page-1", "LP3918TL")</f>
        <v>LP3918TL</v>
      </c>
      <c r="B4478" s="3" t="str">
        <f>HYPERLINK("https://www.773grp.com/manufacturer/national-semiconductor?pageNo=55", "National Semiconductor")</f>
        <v>National Semiconductor</v>
      </c>
      <c r="C4478" s="6">
        <v>500</v>
      </c>
      <c r="D4478" s="7">
        <v>5.01</v>
      </c>
      <c r="E4478" t="s">
        <v>30</v>
      </c>
    </row>
    <row r="4479" spans="1:5" x14ac:dyDescent="0.25">
      <c r="A4479" t="str">
        <f>HYPERLINK("https://www.773grp.com/globalSearch/LP3918TLX/page-1", "LP3918TLX")</f>
        <v>LP3918TLX</v>
      </c>
      <c r="B4479" s="3" t="str">
        <f>HYPERLINK("https://www.773grp.com/manufacturer/national-semiconductor?pageNo=56", "National Semiconductor")</f>
        <v>National Semiconductor</v>
      </c>
      <c r="C4479" s="6">
        <v>27000</v>
      </c>
      <c r="D4479" s="7">
        <v>5.01</v>
      </c>
      <c r="E4479" t="s">
        <v>30</v>
      </c>
    </row>
    <row r="4480" spans="1:5" x14ac:dyDescent="0.25">
      <c r="A4480" t="str">
        <f>HYPERLINK("https://www.773grp.com/globalSearch/MM74HC75N/page-1", "MM74HC75N")</f>
        <v>MM74HC75N</v>
      </c>
      <c r="B4480" s="3" t="str">
        <f>HYPERLINK("https://www.773grp.com/manufacturer/national-semiconductor?pageNo=57", "National Semiconductor")</f>
        <v>National Semiconductor</v>
      </c>
      <c r="C4480" s="6">
        <v>1580</v>
      </c>
      <c r="D4480" s="7">
        <v>5.01</v>
      </c>
      <c r="E4480" t="s">
        <v>35</v>
      </c>
    </row>
    <row r="4481" spans="1:5" x14ac:dyDescent="0.25">
      <c r="A4481" t="str">
        <f>HYPERLINK("https://www.773grp.com/globalSearch/SM72485SDE/page-1", "SM72485SDE")</f>
        <v>SM72485SDE</v>
      </c>
      <c r="B4481" s="3" t="str">
        <f>HYPERLINK("https://www.773grp.com/manufacturer/national-semiconductor?pageNo=58", "National Semiconductor")</f>
        <v>National Semiconductor</v>
      </c>
      <c r="C4481" s="6">
        <v>250</v>
      </c>
      <c r="D4481" s="7">
        <v>5.01</v>
      </c>
      <c r="E4481" t="s">
        <v>7</v>
      </c>
    </row>
    <row r="4482" spans="1:5" x14ac:dyDescent="0.25">
      <c r="A4482" t="str">
        <f>HYPERLINK("https://www.773grp.com/globalSearch/DP83848KSQ-NOPB/page-1", "DP83848KSQ-NOPB")</f>
        <v>DP83848KSQ-NOPB</v>
      </c>
      <c r="B4482" s="3" t="str">
        <f>HYPERLINK("https://www.773grp.com/manufacturer/national-semiconductor?pageNo=59", "National Semiconductor")</f>
        <v>National Semiconductor</v>
      </c>
      <c r="C4482" s="6">
        <v>24721</v>
      </c>
      <c r="D4482" s="7">
        <v>5.01</v>
      </c>
      <c r="E4482" t="s">
        <v>55</v>
      </c>
    </row>
    <row r="4483" spans="1:5" x14ac:dyDescent="0.25">
      <c r="A4483" t="str">
        <f>HYPERLINK("https://www.773grp.com/globalSearch/DP83848TSQ-NOPB/page-1", "DP83848TSQ-NOPB")</f>
        <v>DP83848TSQ-NOPB</v>
      </c>
      <c r="B4483" s="3" t="str">
        <f>HYPERLINK("https://www.773grp.com/manufacturer/national-semiconductor?pageNo=60", "National Semiconductor")</f>
        <v>National Semiconductor</v>
      </c>
      <c r="C4483" s="6">
        <v>1030</v>
      </c>
      <c r="D4483" s="7">
        <v>5.01</v>
      </c>
      <c r="E4483" t="s">
        <v>55</v>
      </c>
    </row>
    <row r="4484" spans="1:5" x14ac:dyDescent="0.25">
      <c r="A4484" t="str">
        <f>HYPERLINK("https://www.773grp.com/globalSearch/DP83848TSQ-NOPB/page-1", "DP83848TSQ-NOPB")</f>
        <v>DP83848TSQ-NOPB</v>
      </c>
      <c r="B4484" s="3" t="str">
        <f>HYPERLINK("https://www.773grp.com/manufacturer/national-semiconductor?pageNo=61", "National Semiconductor")</f>
        <v>National Semiconductor</v>
      </c>
      <c r="C4484" s="6">
        <v>250</v>
      </c>
      <c r="D4484" s="7">
        <v>5.01</v>
      </c>
      <c r="E4484" t="s">
        <v>55</v>
      </c>
    </row>
    <row r="4485" spans="1:5" x14ac:dyDescent="0.25">
      <c r="A4485" t="str">
        <f>HYPERLINK("https://www.773grp.com/globalSearch/DS481TMX-NOPB/page-1", "DS481TMX-NOPB")</f>
        <v>DS481TMX-NOPB</v>
      </c>
      <c r="B4485" s="3" t="str">
        <f>HYPERLINK("https://www.773grp.com/manufacturer/national-semiconductor?pageNo=62", "National Semiconductor")</f>
        <v>National Semiconductor</v>
      </c>
      <c r="C4485" s="6">
        <v>40000</v>
      </c>
      <c r="D4485" s="7">
        <v>5.01</v>
      </c>
    </row>
    <row r="4486" spans="1:5" x14ac:dyDescent="0.25">
      <c r="A4486" t="str">
        <f>HYPERLINK("https://www.773grp.com/globalSearch/LM1085IS-12-NOPB/page-1", "LM1085IS-12-NOPB")</f>
        <v>LM1085IS-12-NOPB</v>
      </c>
      <c r="B4486" s="3" t="str">
        <f>HYPERLINK("https://www.773grp.com/manufacturer/national-semiconductor?pageNo=63", "National Semiconductor")</f>
        <v>National Semiconductor</v>
      </c>
      <c r="C4486" s="6">
        <v>385</v>
      </c>
      <c r="D4486" s="7">
        <v>5.01</v>
      </c>
      <c r="E4486" t="s">
        <v>19</v>
      </c>
    </row>
    <row r="4487" spans="1:5" x14ac:dyDescent="0.25">
      <c r="A4487" t="str">
        <f>HYPERLINK("https://www.773grp.com/globalSearch/LM1085IS-3.3-NOPB/page-1", "LM1085IS-3.3-NOPB")</f>
        <v>LM1085IS-3.3-NOPB</v>
      </c>
      <c r="B4487" s="3" t="str">
        <f>HYPERLINK("https://www.773grp.com/manufacturer/national-semiconductor?pageNo=64", "National Semiconductor")</f>
        <v>National Semiconductor</v>
      </c>
      <c r="C4487" s="6">
        <v>444</v>
      </c>
      <c r="D4487" s="7">
        <v>5.01</v>
      </c>
      <c r="E4487" t="s">
        <v>19</v>
      </c>
    </row>
    <row r="4488" spans="1:5" x14ac:dyDescent="0.25">
      <c r="A4488" t="str">
        <f>HYPERLINK("https://www.773grp.com/globalSearch/LM1085IS-5.0-NOPB/page-1", "LM1085IS-5.0-NOPB")</f>
        <v>LM1085IS-5.0-NOPB</v>
      </c>
      <c r="B4488" s="3" t="str">
        <f>HYPERLINK("https://www.773grp.com/manufacturer/national-semiconductor?pageNo=65", "National Semiconductor")</f>
        <v>National Semiconductor</v>
      </c>
      <c r="C4488" s="6">
        <v>340</v>
      </c>
      <c r="D4488" s="7">
        <v>5.01</v>
      </c>
    </row>
    <row r="4489" spans="1:5" x14ac:dyDescent="0.25">
      <c r="A4489" t="str">
        <f>HYPERLINK("https://www.773grp.com/globalSearch/LM1085IS-ADJ-NOPB/page-1", "LM1085IS-ADJ-NOPB")</f>
        <v>LM1085IS-ADJ-NOPB</v>
      </c>
      <c r="B4489" s="3" t="str">
        <f>HYPERLINK("https://www.773grp.com/manufacturer/national-semiconductor?pageNo=66", "National Semiconductor")</f>
        <v>National Semiconductor</v>
      </c>
      <c r="C4489" s="6">
        <v>528</v>
      </c>
      <c r="D4489" s="7">
        <v>5.01</v>
      </c>
      <c r="E4489" t="s">
        <v>25</v>
      </c>
    </row>
    <row r="4490" spans="1:5" x14ac:dyDescent="0.25">
      <c r="A4490" t="str">
        <f>HYPERLINK("https://www.773grp.com/globalSearch/LM25010MH-NOPB/page-1", "LM25010MH-NOPB")</f>
        <v>LM25010MH-NOPB</v>
      </c>
      <c r="B4490" s="3" t="str">
        <f>HYPERLINK("https://www.773grp.com/manufacturer/national-semiconductor?pageNo=67", "National Semiconductor")</f>
        <v>National Semiconductor</v>
      </c>
      <c r="C4490" s="6">
        <v>184</v>
      </c>
      <c r="D4490" s="7">
        <v>5.01</v>
      </c>
    </row>
    <row r="4491" spans="1:5" x14ac:dyDescent="0.25">
      <c r="A4491" t="str">
        <f>HYPERLINK("https://www.773grp.com/globalSearch/LM25010MHX-NOPB/page-1", "LM25010MHX-NOPB")</f>
        <v>LM25010MHX-NOPB</v>
      </c>
      <c r="B4491" s="3" t="str">
        <f>HYPERLINK("https://www.773grp.com/manufacturer/national-semiconductor?pageNo=68", "National Semiconductor")</f>
        <v>National Semiconductor</v>
      </c>
      <c r="C4491" s="6">
        <v>2500</v>
      </c>
      <c r="D4491" s="7">
        <v>5.01</v>
      </c>
    </row>
    <row r="4492" spans="1:5" x14ac:dyDescent="0.25">
      <c r="A4492" t="str">
        <f>HYPERLINK("https://www.773grp.com/globalSearch/LM25010SD-NOPB/page-1", "LM25010SD-NOPB")</f>
        <v>LM25010SD-NOPB</v>
      </c>
      <c r="B4492" s="3" t="str">
        <f>HYPERLINK("https://www.773grp.com/manufacturer/national-semiconductor?pageNo=69", "National Semiconductor")</f>
        <v>National Semiconductor</v>
      </c>
      <c r="C4492" s="6">
        <v>1615</v>
      </c>
      <c r="D4492" s="7">
        <v>5.01</v>
      </c>
    </row>
    <row r="4493" spans="1:5" x14ac:dyDescent="0.25">
      <c r="A4493" t="str">
        <f>HYPERLINK("https://www.773grp.com/globalSearch/LM26480SQX-AA-NOPB/page-1", "LM26480SQX-AA-NOPB")</f>
        <v>LM26480SQX-AA-NOPB</v>
      </c>
      <c r="B4493" s="3" t="str">
        <f>HYPERLINK("https://www.773grp.com/manufacturer/national-semiconductor?pageNo=70", "National Semiconductor")</f>
        <v>National Semiconductor</v>
      </c>
      <c r="C4493" s="6">
        <v>49500</v>
      </c>
      <c r="D4493" s="7">
        <v>5.01</v>
      </c>
      <c r="E4493" t="s">
        <v>7</v>
      </c>
    </row>
    <row r="4494" spans="1:5" x14ac:dyDescent="0.25">
      <c r="A4494" t="str">
        <f>HYPERLINK("https://www.773grp.com/globalSearch/LM2734YMK-NOPB/page-1", "LM2734YMK-NOPB")</f>
        <v>LM2734YMK-NOPB</v>
      </c>
      <c r="B4494" s="3" t="str">
        <f>HYPERLINK("https://www.773grp.com/manufacturer/national-semiconductor?pageNo=71", "National Semiconductor")</f>
        <v>National Semiconductor</v>
      </c>
      <c r="C4494" s="6">
        <v>4000</v>
      </c>
      <c r="D4494" s="7">
        <v>5.01</v>
      </c>
      <c r="E4494" t="s">
        <v>7</v>
      </c>
    </row>
    <row r="4495" spans="1:5" x14ac:dyDescent="0.25">
      <c r="A4495" t="str">
        <f>HYPERLINK("https://www.773grp.com/globalSearch/LM2931AS-5.0-NOPB/page-1", "LM2931AS-5.0-NOPB")</f>
        <v>LM2931AS-5.0-NOPB</v>
      </c>
      <c r="B4495" s="3" t="str">
        <f>HYPERLINK("https://www.773grp.com/manufacturer/national-semiconductor?pageNo=72", "National Semiconductor")</f>
        <v>National Semiconductor</v>
      </c>
      <c r="C4495" s="6">
        <v>1870</v>
      </c>
      <c r="D4495" s="7">
        <v>5.01</v>
      </c>
      <c r="E4495" t="s">
        <v>19</v>
      </c>
    </row>
    <row r="4496" spans="1:5" x14ac:dyDescent="0.25">
      <c r="A4496" t="str">
        <f>HYPERLINK("https://www.773grp.com/globalSearch/LM34922MY-NOPB/page-1", "LM34922MY-NOPB")</f>
        <v>LM34922MY-NOPB</v>
      </c>
      <c r="B4496" s="3" t="str">
        <f>HYPERLINK("https://www.773grp.com/manufacturer/national-semiconductor?pageNo=73", "National Semiconductor")</f>
        <v>National Semiconductor</v>
      </c>
      <c r="C4496" s="6">
        <v>800</v>
      </c>
      <c r="D4496" s="7">
        <v>5.01</v>
      </c>
    </row>
    <row r="4497" spans="1:5" x14ac:dyDescent="0.25">
      <c r="A4497" t="str">
        <f>HYPERLINK("https://www.773grp.com/globalSearch/LM34DZ-NOPB/page-1", "LM34DZ-NOPB")</f>
        <v>LM34DZ-NOPB</v>
      </c>
      <c r="B4497" s="3" t="str">
        <f>HYPERLINK("https://www.773grp.com/manufacturer/national-semiconductor?pageNo=74", "National Semiconductor")</f>
        <v>National Semiconductor</v>
      </c>
      <c r="C4497" s="6">
        <v>250</v>
      </c>
      <c r="D4497" s="7">
        <v>5.01</v>
      </c>
      <c r="E4497" t="s">
        <v>8</v>
      </c>
    </row>
    <row r="4498" spans="1:5" x14ac:dyDescent="0.25">
      <c r="A4498" t="str">
        <f>HYPERLINK("https://www.773grp.com/globalSearch/LM3509SD-NOPB/page-1", "LM3509SD-NOPB")</f>
        <v>LM3509SD-NOPB</v>
      </c>
      <c r="B4498" s="3" t="str">
        <f>HYPERLINK("https://www.773grp.com/manufacturer/national-semiconductor?pageNo=75", "National Semiconductor")</f>
        <v>National Semiconductor</v>
      </c>
      <c r="C4498" s="6">
        <v>18000</v>
      </c>
      <c r="D4498" s="7">
        <v>5.01</v>
      </c>
    </row>
    <row r="4499" spans="1:5" x14ac:dyDescent="0.25">
      <c r="A4499" t="str">
        <f>HYPERLINK("https://www.773grp.com/globalSearch/LM3940IS-3.3/page-1", "LM3940IS-3.3")</f>
        <v>LM3940IS-3.3</v>
      </c>
      <c r="B4499" s="3" t="str">
        <f>HYPERLINK("https://www.773grp.com/manufacturer/national-semiconductor?pageNo=76", "National Semiconductor")</f>
        <v>National Semiconductor</v>
      </c>
      <c r="C4499" s="6">
        <v>320</v>
      </c>
      <c r="D4499" s="7">
        <v>5.01</v>
      </c>
    </row>
    <row r="4500" spans="1:5" x14ac:dyDescent="0.25">
      <c r="A4500" t="str">
        <f>HYPERLINK("https://www.773grp.com/globalSearch/LM5025AMTCX-NOPB/page-1", "LM5025AMTCX-NOPB")</f>
        <v>LM5025AMTCX-NOPB</v>
      </c>
      <c r="B4500" s="3" t="str">
        <f>HYPERLINK("https://www.773grp.com/manufacturer/national-semiconductor?pageNo=77", "National Semiconductor")</f>
        <v>National Semiconductor</v>
      </c>
      <c r="C4500" s="6">
        <v>6950</v>
      </c>
      <c r="D4500" s="7">
        <v>5.01</v>
      </c>
      <c r="E4500" t="s">
        <v>7</v>
      </c>
    </row>
    <row r="4501" spans="1:5" x14ac:dyDescent="0.25">
      <c r="A4501" t="str">
        <f>HYPERLINK("https://www.773grp.com/globalSearch/LM5025ASD-NOPB/page-1", "LM5025ASD-NOPB")</f>
        <v>LM5025ASD-NOPB</v>
      </c>
      <c r="B4501" s="3" t="str">
        <f>HYPERLINK("https://www.773grp.com/manufacturer/national-semiconductor?pageNo=78", "National Semiconductor")</f>
        <v>National Semiconductor</v>
      </c>
      <c r="C4501" s="6">
        <v>1000</v>
      </c>
      <c r="D4501" s="7">
        <v>5.01</v>
      </c>
    </row>
    <row r="4502" spans="1:5" x14ac:dyDescent="0.25">
      <c r="A4502" t="str">
        <f>HYPERLINK("https://www.773grp.com/globalSearch/LM5025SD-NOPB/page-1", "LM5025SD-NOPB")</f>
        <v>LM5025SD-NOPB</v>
      </c>
      <c r="B4502" s="3" t="str">
        <f>HYPERLINK("https://www.773grp.com/manufacturer/national-semiconductor?pageNo=79", "National Semiconductor")</f>
        <v>National Semiconductor</v>
      </c>
      <c r="C4502" s="6">
        <v>1625</v>
      </c>
      <c r="D4502" s="7">
        <v>5.01</v>
      </c>
      <c r="E4502" t="s">
        <v>7</v>
      </c>
    </row>
    <row r="4503" spans="1:5" x14ac:dyDescent="0.25">
      <c r="A4503" t="str">
        <f>HYPERLINK("https://www.773grp.com/globalSearch/LM5025SD-NOPB/page-1", "LM5025SD-NOPB")</f>
        <v>LM5025SD-NOPB</v>
      </c>
      <c r="B4503" s="3" t="str">
        <f>HYPERLINK("https://www.773grp.com/manufacturer/national-semiconductor?pageNo=80", "National Semiconductor")</f>
        <v>National Semiconductor</v>
      </c>
      <c r="C4503" s="6">
        <v>199</v>
      </c>
      <c r="D4503" s="7">
        <v>5.01</v>
      </c>
      <c r="E4503" t="s">
        <v>7</v>
      </c>
    </row>
    <row r="4504" spans="1:5" x14ac:dyDescent="0.25">
      <c r="A4504" t="str">
        <f>HYPERLINK("https://www.773grp.com/globalSearch/LM5102MM-NOPB/page-1", "LM5102MM-NOPB")</f>
        <v>LM5102MM-NOPB</v>
      </c>
      <c r="B4504" s="3" t="str">
        <f>HYPERLINK("https://www.773grp.com/manufacturer/national-semiconductor?pageNo=81", "National Semiconductor")</f>
        <v>National Semiconductor</v>
      </c>
      <c r="C4504" s="6">
        <v>1872</v>
      </c>
      <c r="D4504" s="7">
        <v>5.01</v>
      </c>
    </row>
    <row r="4505" spans="1:5" x14ac:dyDescent="0.25">
      <c r="A4505" t="str">
        <f>HYPERLINK("https://www.773grp.com/globalSearch/LM5102SD-NOPB/page-1", "LM5102SD-NOPB")</f>
        <v>LM5102SD-NOPB</v>
      </c>
      <c r="B4505" s="3" t="str">
        <f>HYPERLINK("https://www.773grp.com/manufacturer/national-semiconductor?pageNo=82", "National Semiconductor")</f>
        <v>National Semiconductor</v>
      </c>
      <c r="C4505" s="6">
        <v>3000</v>
      </c>
      <c r="D4505" s="7">
        <v>5.01</v>
      </c>
      <c r="E4505" t="s">
        <v>11</v>
      </c>
    </row>
    <row r="4506" spans="1:5" x14ac:dyDescent="0.25">
      <c r="A4506" t="str">
        <f>HYPERLINK("https://www.773grp.com/globalSearch/LM5107MA-NOPB/page-1", "LM5107MA-NOPB")</f>
        <v>LM5107MA-NOPB</v>
      </c>
      <c r="B4506" s="3" t="str">
        <f>HYPERLINK("https://www.773grp.com/manufacturer/national-semiconductor?pageNo=83", "National Semiconductor")</f>
        <v>National Semiconductor</v>
      </c>
      <c r="C4506" s="6">
        <v>265</v>
      </c>
      <c r="D4506" s="7">
        <v>5.01</v>
      </c>
      <c r="E4506" t="s">
        <v>16</v>
      </c>
    </row>
    <row r="4507" spans="1:5" x14ac:dyDescent="0.25">
      <c r="A4507" t="str">
        <f>HYPERLINK("https://www.773grp.com/globalSearch/LM56BIMM-NOPB/page-1", "LM56BIMM-NOPB")</f>
        <v>LM56BIMM-NOPB</v>
      </c>
      <c r="B4507" s="3" t="str">
        <f>HYPERLINK("https://www.773grp.com/manufacturer/national-semiconductor?pageNo=84", "National Semiconductor")</f>
        <v>National Semiconductor</v>
      </c>
      <c r="C4507" s="6">
        <v>9</v>
      </c>
      <c r="D4507" s="7">
        <v>5.01</v>
      </c>
      <c r="E4507" t="s">
        <v>12</v>
      </c>
    </row>
    <row r="4508" spans="1:5" x14ac:dyDescent="0.25">
      <c r="A4508" t="str">
        <f>HYPERLINK("https://www.773grp.com/globalSearch/LM57BISD-10-NOPB/page-1", "LM57BISD-10-NOPB")</f>
        <v>LM57BISD-10-NOPB</v>
      </c>
      <c r="B4508" s="3" t="str">
        <f>HYPERLINK("https://www.773grp.com/manufacturer/national-semiconductor?pageNo=85", "National Semiconductor")</f>
        <v>National Semiconductor</v>
      </c>
      <c r="C4508" s="6">
        <v>2630</v>
      </c>
      <c r="D4508" s="7">
        <v>5.01</v>
      </c>
    </row>
    <row r="4509" spans="1:5" x14ac:dyDescent="0.25">
      <c r="A4509" t="str">
        <f>HYPERLINK("https://www.773grp.com/globalSearch/LM57BISD-5-NOPB/page-1", "LM57BISD-5-NOPB")</f>
        <v>LM57BISD-5-NOPB</v>
      </c>
      <c r="B4509" s="3" t="str">
        <f>HYPERLINK("https://www.773grp.com/manufacturer/national-semiconductor?pageNo=86", "National Semiconductor")</f>
        <v>National Semiconductor</v>
      </c>
      <c r="C4509" s="6">
        <v>578</v>
      </c>
      <c r="D4509" s="7">
        <v>5.01</v>
      </c>
    </row>
    <row r="4510" spans="1:5" x14ac:dyDescent="0.25">
      <c r="A4510" t="str">
        <f>HYPERLINK("https://www.773grp.com/globalSearch/LM57BISDX-10-NOPB/page-1", "LM57BISDX-10-NOPB")</f>
        <v>LM57BISDX-10-NOPB</v>
      </c>
      <c r="B4510" s="3" t="str">
        <f>HYPERLINK("https://www.773grp.com/manufacturer/national-semiconductor?pageNo=87", "National Semiconductor")</f>
        <v>National Semiconductor</v>
      </c>
      <c r="C4510" s="6">
        <v>4430</v>
      </c>
      <c r="D4510" s="7">
        <v>5.01</v>
      </c>
    </row>
    <row r="4511" spans="1:5" x14ac:dyDescent="0.25">
      <c r="A4511" t="str">
        <f>HYPERLINK("https://www.773grp.com/globalSearch/LM611IM-NOPB/page-1", "LM611IM-NOPB")</f>
        <v>LM611IM-NOPB</v>
      </c>
      <c r="B4511" s="3" t="str">
        <f>HYPERLINK("https://www.773grp.com/manufacturer/national-semiconductor?pageNo=88", "National Semiconductor")</f>
        <v>National Semiconductor</v>
      </c>
      <c r="C4511" s="6">
        <v>480</v>
      </c>
      <c r="D4511" s="7">
        <v>5.01</v>
      </c>
      <c r="E4511" t="s">
        <v>13</v>
      </c>
    </row>
    <row r="4512" spans="1:5" x14ac:dyDescent="0.25">
      <c r="A4512" t="str">
        <f>HYPERLINK("https://www.773grp.com/globalSearch/LM611IMX-NOPB/page-1", "LM611IMX-NOPB")</f>
        <v>LM611IMX-NOPB</v>
      </c>
      <c r="B4512" s="3" t="str">
        <f>HYPERLINK("https://www.773grp.com/manufacturer/national-semiconductor?pageNo=89", "National Semiconductor")</f>
        <v>National Semiconductor</v>
      </c>
      <c r="C4512" s="6">
        <v>5000</v>
      </c>
      <c r="D4512" s="7">
        <v>5.01</v>
      </c>
    </row>
    <row r="4513" spans="1:5" x14ac:dyDescent="0.25">
      <c r="A4513" t="str">
        <f>HYPERLINK("https://www.773grp.com/globalSearch/LM9061M-NOPB/page-1", "LM9061M-NOPB")</f>
        <v>LM9061M-NOPB</v>
      </c>
      <c r="B4513" s="3" t="str">
        <f>HYPERLINK("https://www.773grp.com/manufacturer/national-semiconductor?pageNo=90", "National Semiconductor")</f>
        <v>National Semiconductor</v>
      </c>
      <c r="C4513" s="6">
        <v>3800</v>
      </c>
      <c r="D4513" s="7">
        <v>5.01</v>
      </c>
      <c r="E4513" t="s">
        <v>16</v>
      </c>
    </row>
    <row r="4514" spans="1:5" x14ac:dyDescent="0.25">
      <c r="A4514" t="str">
        <f>HYPERLINK("https://www.773grp.com/globalSearch/LM9061M-NOPB/page-1", "LM9061M-NOPB")</f>
        <v>LM9061M-NOPB</v>
      </c>
      <c r="B4514" s="3" t="str">
        <f>HYPERLINK("https://www.773grp.com/manufacturer/national-semiconductor?pageNo=91", "National Semiconductor")</f>
        <v>National Semiconductor</v>
      </c>
      <c r="C4514" s="6">
        <v>475</v>
      </c>
      <c r="D4514" s="7">
        <v>5.01</v>
      </c>
      <c r="E4514" t="s">
        <v>16</v>
      </c>
    </row>
    <row r="4515" spans="1:5" x14ac:dyDescent="0.25">
      <c r="A4515" t="str">
        <f>HYPERLINK("https://www.773grp.com/globalSearch/LM9076QBMAX-5.0-NOPB/page-1", "LM9076QBMAX-5.0-NOPB")</f>
        <v>LM9076QBMAX-5.0-NOPB</v>
      </c>
      <c r="B4515" s="3" t="str">
        <f>HYPERLINK("https://www.773grp.com/manufacturer/national-semiconductor?pageNo=92", "National Semiconductor")</f>
        <v>National Semiconductor</v>
      </c>
      <c r="C4515" s="6">
        <v>2100</v>
      </c>
      <c r="D4515" s="7">
        <v>5.01</v>
      </c>
    </row>
    <row r="4516" spans="1:5" x14ac:dyDescent="0.25">
      <c r="A4516" t="str">
        <f>HYPERLINK("https://www.773grp.com/globalSearch/LM95231CIMM-NOPB/page-1", "LM95231CIMM-NOPB")</f>
        <v>LM95231CIMM-NOPB</v>
      </c>
      <c r="B4516" s="3" t="str">
        <f>HYPERLINK("https://www.773grp.com/manufacturer/national-semiconductor?pageNo=93", "National Semiconductor")</f>
        <v>National Semiconductor</v>
      </c>
      <c r="C4516" s="6">
        <v>1000</v>
      </c>
      <c r="D4516" s="7">
        <v>5.01</v>
      </c>
      <c r="E4516" t="s">
        <v>12</v>
      </c>
    </row>
    <row r="4517" spans="1:5" x14ac:dyDescent="0.25">
      <c r="A4517" t="str">
        <f>HYPERLINK("https://www.773grp.com/globalSearch/LM95233CISD-NOPB/page-1", "LM95233CISD-NOPB")</f>
        <v>LM95233CISD-NOPB</v>
      </c>
      <c r="B4517" s="3" t="str">
        <f>HYPERLINK("https://www.773grp.com/manufacturer/national-semiconductor?pageNo=94", "National Semiconductor")</f>
        <v>National Semiconductor</v>
      </c>
      <c r="C4517" s="6">
        <v>918</v>
      </c>
      <c r="D4517" s="7">
        <v>5.01</v>
      </c>
      <c r="E4517" t="s">
        <v>12</v>
      </c>
    </row>
    <row r="4518" spans="1:5" x14ac:dyDescent="0.25">
      <c r="A4518" t="str">
        <f>HYPERLINK("https://www.773grp.com/globalSearch/LMC6482AIMX/page-1", "LMC6482AIMX")</f>
        <v>LMC6482AIMX</v>
      </c>
      <c r="B4518" s="3" t="str">
        <f>HYPERLINK("https://www.773grp.com/manufacturer/national-semiconductor?pageNo=95", "National Semiconductor")</f>
        <v>National Semiconductor</v>
      </c>
      <c r="C4518" s="6">
        <v>1829</v>
      </c>
      <c r="D4518" s="7">
        <v>5.01</v>
      </c>
    </row>
    <row r="4519" spans="1:5" x14ac:dyDescent="0.25">
      <c r="A4519" t="str">
        <f>HYPERLINK("https://www.773grp.com/globalSearch/LMH2100TMX-NOPB/page-1", "LMH2100TMX-NOPB")</f>
        <v>LMH2100TMX-NOPB</v>
      </c>
      <c r="B4519" s="3" t="str">
        <f>HYPERLINK("https://www.773grp.com/manufacturer/national-semiconductor?pageNo=96", "National Semiconductor")</f>
        <v>National Semiconductor</v>
      </c>
      <c r="C4519" s="6">
        <v>60000</v>
      </c>
      <c r="D4519" s="7">
        <v>5.01</v>
      </c>
    </row>
    <row r="4520" spans="1:5" x14ac:dyDescent="0.25">
      <c r="A4520" t="str">
        <f>HYPERLINK("https://www.773grp.com/globalSearch/LMH6612MA/page-1", "LMH6612MA")</f>
        <v>LMH6612MA</v>
      </c>
      <c r="B4520" s="3" t="str">
        <f>HYPERLINK("https://www.773grp.com/manufacturer/national-semiconductor?pageNo=97", "National Semiconductor")</f>
        <v>National Semiconductor</v>
      </c>
      <c r="C4520" s="6">
        <v>2548</v>
      </c>
      <c r="D4520" s="7">
        <v>5.01</v>
      </c>
      <c r="E4520" t="s">
        <v>18</v>
      </c>
    </row>
    <row r="4521" spans="1:5" x14ac:dyDescent="0.25">
      <c r="A4521" t="str">
        <f>HYPERLINK("https://www.773grp.com/globalSearch/LMH6723MA-NOPB/page-1", "LMH6723MA-NOPB")</f>
        <v>LMH6723MA-NOPB</v>
      </c>
      <c r="B4521" s="3" t="str">
        <f>HYPERLINK("https://www.773grp.com/manufacturer/national-semiconductor?pageNo=98", "National Semiconductor")</f>
        <v>National Semiconductor</v>
      </c>
      <c r="C4521" s="6">
        <v>21460</v>
      </c>
      <c r="D4521" s="7">
        <v>5.01</v>
      </c>
      <c r="E4521" t="s">
        <v>13</v>
      </c>
    </row>
    <row r="4522" spans="1:5" x14ac:dyDescent="0.25">
      <c r="A4522" t="str">
        <f>HYPERLINK("https://www.773grp.com/globalSearch/LMV722M/page-1", "LMV722M")</f>
        <v>LMV722M</v>
      </c>
      <c r="B4522" s="3" t="str">
        <f>HYPERLINK("https://www.773grp.com/manufacturer/national-semiconductor?pageNo=99", "National Semiconductor")</f>
        <v>National Semiconductor</v>
      </c>
      <c r="C4522" s="6">
        <v>265</v>
      </c>
      <c r="D4522" s="7">
        <v>5.01</v>
      </c>
      <c r="E4522" t="s">
        <v>13</v>
      </c>
    </row>
    <row r="4523" spans="1:5" x14ac:dyDescent="0.25">
      <c r="A4523" t="str">
        <f>HYPERLINK("https://www.773grp.com/globalSearch/LP2960IM-5.0-NOPB/page-1", "LP2960IM-5.0-NOPB")</f>
        <v>LP2960IM-5.0-NOPB</v>
      </c>
      <c r="B4523" s="3" t="str">
        <f>HYPERLINK("https://www.773grp.com/manufacturer/national-semiconductor?pageNo=100", "National Semiconductor")</f>
        <v>National Semiconductor</v>
      </c>
      <c r="C4523" s="6">
        <v>164</v>
      </c>
      <c r="D4523" s="7">
        <v>5.01</v>
      </c>
      <c r="E4523" t="s">
        <v>27</v>
      </c>
    </row>
    <row r="4524" spans="1:5" x14ac:dyDescent="0.25">
      <c r="A4524" t="str">
        <f>HYPERLINK("https://www.773grp.com/globalSearch/LP2960IMX-3.3-NOPB/page-1", "LP2960IMX-3.3-NOPB")</f>
        <v>LP2960IMX-3.3-NOPB</v>
      </c>
      <c r="B4524" s="3" t="str">
        <f>HYPERLINK("https://www.773grp.com/manufacturer/national-semiconductor?pageNo=101", "National Semiconductor")</f>
        <v>National Semiconductor</v>
      </c>
      <c r="C4524" s="6">
        <v>7450</v>
      </c>
      <c r="D4524" s="7">
        <v>5.01</v>
      </c>
    </row>
    <row r="4525" spans="1:5" x14ac:dyDescent="0.25">
      <c r="A4525" t="str">
        <f>HYPERLINK("https://www.773grp.com/globalSearch/LP2989IMM-3.0-NOPB/page-1", "LP2989IMM-3.0-NOPB")</f>
        <v>LP2989IMM-3.0-NOPB</v>
      </c>
      <c r="B4525" s="3" t="str">
        <f>HYPERLINK("https://www.773grp.com/manufacturer/national-semiconductor?pageNo=102", "National Semiconductor")</f>
        <v>National Semiconductor</v>
      </c>
      <c r="C4525" s="6">
        <v>3000</v>
      </c>
      <c r="D4525" s="7">
        <v>5.01</v>
      </c>
      <c r="E4525" t="s">
        <v>19</v>
      </c>
    </row>
    <row r="4526" spans="1:5" x14ac:dyDescent="0.25">
      <c r="A4526" t="str">
        <f>HYPERLINK("https://www.773grp.com/globalSearch/LP2989IMM-5.0-NOPB/page-1", "LP2989IMM-5.0-NOPB")</f>
        <v>LP2989IMM-5.0-NOPB</v>
      </c>
      <c r="B4526" s="3" t="str">
        <f>HYPERLINK("https://www.773grp.com/manufacturer/national-semiconductor?pageNo=103", "National Semiconductor")</f>
        <v>National Semiconductor</v>
      </c>
      <c r="C4526" s="6">
        <v>82</v>
      </c>
      <c r="D4526" s="7">
        <v>5.01</v>
      </c>
      <c r="E4526" t="s">
        <v>19</v>
      </c>
    </row>
    <row r="4527" spans="1:5" x14ac:dyDescent="0.25">
      <c r="A4527" t="str">
        <f>HYPERLINK("https://www.773grp.com/globalSearch/LP2989IMM-5.0-NOPB/page-1", "LP2989IMM-5.0-NOPB")</f>
        <v>LP2989IMM-5.0-NOPB</v>
      </c>
      <c r="B4527" s="3" t="str">
        <f>HYPERLINK("https://www.773grp.com/manufacturer/national-semiconductor?pageNo=104", "National Semiconductor")</f>
        <v>National Semiconductor</v>
      </c>
      <c r="C4527" s="6">
        <v>2134</v>
      </c>
      <c r="D4527" s="7">
        <v>5.01</v>
      </c>
      <c r="E4527" t="s">
        <v>19</v>
      </c>
    </row>
    <row r="4528" spans="1:5" x14ac:dyDescent="0.25">
      <c r="A4528" t="str">
        <f>HYPERLINK("https://www.773grp.com/globalSearch/LP3871ESX-1.8-NOPB/page-1", "LP3871ESX-1.8-NOPB")</f>
        <v>LP3871ESX-1.8-NOPB</v>
      </c>
      <c r="B4528" s="3" t="str">
        <f>HYPERLINK("https://www.773grp.com/manufacturer/national-semiconductor?pageNo=105", "National Semiconductor")</f>
        <v>National Semiconductor</v>
      </c>
      <c r="C4528" s="6">
        <v>1500</v>
      </c>
      <c r="D4528" s="7">
        <v>5.01</v>
      </c>
    </row>
    <row r="4529" spans="1:5" x14ac:dyDescent="0.25">
      <c r="A4529" t="str">
        <f>HYPERLINK("https://www.773grp.com/globalSearch/LP3874ESX-ADJ-NOPB/page-1", "LP3874ESX-ADJ-NOPB")</f>
        <v>LP3874ESX-ADJ-NOPB</v>
      </c>
      <c r="B4529" s="3" t="str">
        <f>HYPERLINK("https://www.773grp.com/manufacturer/national-semiconductor?pageNo=106", "National Semiconductor")</f>
        <v>National Semiconductor</v>
      </c>
      <c r="C4529" s="6">
        <v>180</v>
      </c>
      <c r="D4529" s="7">
        <v>5.01</v>
      </c>
      <c r="E4529" t="s">
        <v>25</v>
      </c>
    </row>
    <row r="4530" spans="1:5" x14ac:dyDescent="0.25">
      <c r="A4530" t="str">
        <f>HYPERLINK("https://www.773grp.com/globalSearch/LP38842SX-1.5-NOPB/page-1", "LP38842SX-1.5-NOPB")</f>
        <v>LP38842SX-1.5-NOPB</v>
      </c>
      <c r="B4530" s="3" t="str">
        <f>HYPERLINK("https://www.773grp.com/manufacturer/national-semiconductor?pageNo=107", "National Semiconductor")</f>
        <v>National Semiconductor</v>
      </c>
      <c r="C4530" s="6">
        <v>2000</v>
      </c>
      <c r="D4530" s="7">
        <v>5.01</v>
      </c>
    </row>
    <row r="4531" spans="1:5" x14ac:dyDescent="0.25">
      <c r="A4531" t="str">
        <f>HYPERLINK("https://www.773grp.com/globalSearch/LP38842T-1.2-NOPB/page-1", "LP38842T-1.2-NOPB")</f>
        <v>LP38842T-1.2-NOPB</v>
      </c>
      <c r="B4531" s="3" t="str">
        <f>HYPERLINK("https://www.773grp.com/manufacturer/national-semiconductor?pageNo=108", "National Semiconductor")</f>
        <v>National Semiconductor</v>
      </c>
      <c r="C4531" s="6">
        <v>252</v>
      </c>
      <c r="D4531" s="7">
        <v>5.01</v>
      </c>
      <c r="E4531" t="s">
        <v>19</v>
      </c>
    </row>
    <row r="4532" spans="1:5" x14ac:dyDescent="0.25">
      <c r="A4532" t="str">
        <f>HYPERLINK("https://www.773grp.com/globalSearch/LP3907SQ-BFX6W-NOPB/page-1", "LP3907SQ-BFX6W-NOPB")</f>
        <v>LP3907SQ-BFX6W-NOPB</v>
      </c>
      <c r="B4532" s="3" t="str">
        <f>HYPERLINK("https://www.773grp.com/manufacturer/national-semiconductor?pageNo=109", "National Semiconductor")</f>
        <v>National Semiconductor</v>
      </c>
      <c r="C4532" s="6">
        <v>1000</v>
      </c>
      <c r="D4532" s="7">
        <v>5.01</v>
      </c>
    </row>
    <row r="4533" spans="1:5" x14ac:dyDescent="0.25">
      <c r="A4533" t="str">
        <f>HYPERLINK("https://www.773grp.com/globalSearch/LP3907SQ-BJXIX-NOPB/page-1", "LP3907SQ-BJXIX-NOPB")</f>
        <v>LP3907SQ-BJXIX-NOPB</v>
      </c>
      <c r="B4533" s="3" t="str">
        <f>HYPERLINK("https://www.773grp.com/manufacturer/national-semiconductor?pageNo=110", "National Semiconductor")</f>
        <v>National Semiconductor</v>
      </c>
      <c r="C4533" s="6">
        <v>1000</v>
      </c>
      <c r="D4533" s="7">
        <v>5.01</v>
      </c>
    </row>
    <row r="4534" spans="1:5" x14ac:dyDescent="0.25">
      <c r="A4534" t="str">
        <f>HYPERLINK("https://www.773grp.com/globalSearch/LP3907SQ-BJYQX-NOPB/page-1", "LP3907SQ-BJYQX-NOPB")</f>
        <v>LP3907SQ-BJYQX-NOPB</v>
      </c>
      <c r="B4534" s="3" t="str">
        <f>HYPERLINK("https://www.773grp.com/manufacturer/national-semiconductor?pageNo=111", "National Semiconductor")</f>
        <v>National Semiconductor</v>
      </c>
      <c r="C4534" s="6">
        <v>2000</v>
      </c>
      <c r="D4534" s="7">
        <v>5.01</v>
      </c>
    </row>
    <row r="4535" spans="1:5" x14ac:dyDescent="0.25">
      <c r="A4535" t="str">
        <f>HYPERLINK("https://www.773grp.com/globalSearch/LP3907SQ-PXPP-NOPB/page-1", "LP3907SQ-PXPP-NOPB")</f>
        <v>LP3907SQ-PXPP-NOPB</v>
      </c>
      <c r="B4535" s="3" t="str">
        <f>HYPERLINK("https://www.773grp.com/manufacturer/national-semiconductor?pageNo=112", "National Semiconductor")</f>
        <v>National Semiconductor</v>
      </c>
      <c r="C4535" s="6">
        <v>1000</v>
      </c>
      <c r="D4535" s="7">
        <v>5.01</v>
      </c>
    </row>
    <row r="4536" spans="1:5" x14ac:dyDescent="0.25">
      <c r="A4536" t="str">
        <f>HYPERLINK("https://www.773grp.com/globalSearch/LP3907TLX-PLNTO-NOPB/page-1", "LP3907TLX-PLNTO-NOPB")</f>
        <v>LP3907TLX-PLNTO-NOPB</v>
      </c>
      <c r="B4536" s="3" t="str">
        <f>HYPERLINK("https://www.773grp.com/manufacturer/national-semiconductor?pageNo=113", "National Semiconductor")</f>
        <v>National Semiconductor</v>
      </c>
      <c r="C4536" s="6">
        <v>96000</v>
      </c>
      <c r="D4536" s="7">
        <v>5.01</v>
      </c>
    </row>
    <row r="4537" spans="1:5" x14ac:dyDescent="0.25">
      <c r="A4537" t="str">
        <f>HYPERLINK("https://www.773grp.com/globalSearch/DAC121C085CIMM/page-1", "DAC121C085CIMM")</f>
        <v>DAC121C085CIMM</v>
      </c>
      <c r="B4537" s="3" t="str">
        <f>HYPERLINK("https://www.773grp.com/manufacturer/national-semiconductor?pageNo=114", "National Semiconductor")</f>
        <v>National Semiconductor</v>
      </c>
      <c r="C4537" s="6">
        <v>8447</v>
      </c>
      <c r="D4537" s="7">
        <v>4.5599999999999996</v>
      </c>
      <c r="E4537" t="s">
        <v>33</v>
      </c>
    </row>
    <row r="4538" spans="1:5" x14ac:dyDescent="0.25">
      <c r="A4538" t="str">
        <f>HYPERLINK("https://www.773grp.com/globalSearch/DAC121S101CIMK/page-1", "DAC121S101CIMK")</f>
        <v>DAC121S101CIMK</v>
      </c>
      <c r="B4538" s="3" t="str">
        <f>HYPERLINK("https://www.773grp.com/manufacturer/national-semiconductor?pageNo=115", "National Semiconductor")</f>
        <v>National Semiconductor</v>
      </c>
      <c r="C4538" s="6">
        <v>1000</v>
      </c>
      <c r="D4538" s="7">
        <v>4.5599999999999996</v>
      </c>
      <c r="E4538" t="s">
        <v>33</v>
      </c>
    </row>
    <row r="4539" spans="1:5" x14ac:dyDescent="0.25">
      <c r="A4539" t="str">
        <f>HYPERLINK("https://www.773grp.com/globalSearch/DS90C401M/page-1", "DS90C401M")</f>
        <v>DS90C401M</v>
      </c>
      <c r="B4539" s="3" t="str">
        <f>HYPERLINK("https://www.773grp.com/manufacturer/national-semiconductor?pageNo=116", "National Semiconductor")</f>
        <v>National Semiconductor</v>
      </c>
      <c r="C4539" s="6">
        <v>2231</v>
      </c>
      <c r="D4539" s="7">
        <v>4.5599999999999996</v>
      </c>
      <c r="E4539" t="s">
        <v>21</v>
      </c>
    </row>
    <row r="4540" spans="1:5" x14ac:dyDescent="0.25">
      <c r="A4540" t="str">
        <f>HYPERLINK("https://www.773grp.com/globalSearch/DS90LV019TM/page-1", "DS90LV019TM")</f>
        <v>DS90LV019TM</v>
      </c>
      <c r="B4540" s="3" t="str">
        <f>HYPERLINK("https://www.773grp.com/manufacturer/national-semiconductor?pageNo=117", "National Semiconductor")</f>
        <v>National Semiconductor</v>
      </c>
      <c r="C4540" s="6">
        <v>2860</v>
      </c>
      <c r="D4540" s="7">
        <v>4.5599999999999996</v>
      </c>
      <c r="E4540" t="s">
        <v>21</v>
      </c>
    </row>
    <row r="4541" spans="1:5" x14ac:dyDescent="0.25">
      <c r="A4541" t="str">
        <f>HYPERLINK("https://www.773grp.com/globalSearch/DS90LV019TMTC/page-1", "DS90LV019TMTC")</f>
        <v>DS90LV019TMTC</v>
      </c>
      <c r="B4541" s="3" t="str">
        <f>HYPERLINK("https://www.773grp.com/manufacturer/national-semiconductor?pageNo=118", "National Semiconductor")</f>
        <v>National Semiconductor</v>
      </c>
      <c r="C4541" s="6">
        <v>44</v>
      </c>
      <c r="D4541" s="7">
        <v>4.5599999999999996</v>
      </c>
      <c r="E4541" t="s">
        <v>21</v>
      </c>
    </row>
    <row r="4542" spans="1:5" x14ac:dyDescent="0.25">
      <c r="A4542" t="str">
        <f>HYPERLINK("https://www.773grp.com/globalSearch/DS92LV010ATM-NOPB/page-1", "DS92LV010ATM-NOPB")</f>
        <v>DS92LV010ATM-NOPB</v>
      </c>
      <c r="B4542" s="3" t="str">
        <f>HYPERLINK("https://www.773grp.com/manufacturer/national-semiconductor?pageNo=119", "National Semiconductor")</f>
        <v>National Semiconductor</v>
      </c>
      <c r="C4542" s="6">
        <v>1535</v>
      </c>
      <c r="D4542" s="7">
        <v>4.5599999999999996</v>
      </c>
      <c r="E4542" t="s">
        <v>21</v>
      </c>
    </row>
    <row r="4543" spans="1:5" x14ac:dyDescent="0.25">
      <c r="A4543" t="str">
        <f>HYPERLINK("https://www.773grp.com/globalSearch/LM25574MT-NOPB/page-1", "LM25574MT-NOPB")</f>
        <v>LM25574MT-NOPB</v>
      </c>
      <c r="B4543" s="3" t="str">
        <f>HYPERLINK("https://www.773grp.com/manufacturer/national-semiconductor?pageNo=120", "National Semiconductor")</f>
        <v>National Semiconductor</v>
      </c>
      <c r="C4543" s="6">
        <v>527</v>
      </c>
      <c r="D4543" s="7">
        <v>4.5599999999999996</v>
      </c>
      <c r="E4543" t="s">
        <v>7</v>
      </c>
    </row>
    <row r="4544" spans="1:5" x14ac:dyDescent="0.25">
      <c r="A4544" t="str">
        <f>HYPERLINK("https://www.773grp.com/globalSearch/LM2735YMF/page-1", "LM2735YMF")</f>
        <v>LM2735YMF</v>
      </c>
      <c r="B4544" s="3" t="str">
        <f>HYPERLINK("https://www.773grp.com/manufacturer/national-semiconductor?pageNo=121", "National Semiconductor")</f>
        <v>National Semiconductor</v>
      </c>
      <c r="C4544" s="6">
        <v>1500</v>
      </c>
      <c r="D4544" s="7">
        <v>4.5599999999999996</v>
      </c>
      <c r="E4544" t="s">
        <v>7</v>
      </c>
    </row>
    <row r="4545" spans="1:5" x14ac:dyDescent="0.25">
      <c r="A4545" t="str">
        <f>HYPERLINK("https://www.773grp.com/globalSearch/LM2832XMY/page-1", "LM2832XMY")</f>
        <v>LM2832XMY</v>
      </c>
      <c r="B4545" s="3" t="str">
        <f>HYPERLINK("https://www.773grp.com/manufacturer/national-semiconductor?pageNo=122", "National Semiconductor")</f>
        <v>National Semiconductor</v>
      </c>
      <c r="C4545" s="6">
        <v>900</v>
      </c>
      <c r="D4545" s="7">
        <v>4.5599999999999996</v>
      </c>
      <c r="E4545" t="s">
        <v>7</v>
      </c>
    </row>
    <row r="4546" spans="1:5" x14ac:dyDescent="0.25">
      <c r="A4546" t="str">
        <f>HYPERLINK("https://www.773grp.com/globalSearch/LM3495MTC-NOPB/page-1", "LM3495MTC-NOPB")</f>
        <v>LM3495MTC-NOPB</v>
      </c>
      <c r="B4546" s="3" t="str">
        <f>HYPERLINK("https://www.773grp.com/manufacturer/national-semiconductor?pageNo=123", "National Semiconductor")</f>
        <v>National Semiconductor</v>
      </c>
      <c r="C4546" s="6">
        <v>517</v>
      </c>
      <c r="D4546" s="7">
        <v>4.5599999999999996</v>
      </c>
      <c r="E4546" t="s">
        <v>7</v>
      </c>
    </row>
    <row r="4547" spans="1:5" x14ac:dyDescent="0.25">
      <c r="A4547" t="str">
        <f>HYPERLINK("https://www.773grp.com/globalSearch/LM4140CCM-1.0-NOPB/page-1", "LM4140CCM-1.0-NOPB")</f>
        <v>LM4140CCM-1.0-NOPB</v>
      </c>
      <c r="B4547" s="3" t="str">
        <f>HYPERLINK("https://www.773grp.com/manufacturer/national-semiconductor?pageNo=124", "National Semiconductor")</f>
        <v>National Semiconductor</v>
      </c>
      <c r="C4547" s="6">
        <v>2464</v>
      </c>
      <c r="D4547" s="7">
        <v>4.5599999999999996</v>
      </c>
      <c r="E4547" t="s">
        <v>17</v>
      </c>
    </row>
    <row r="4548" spans="1:5" x14ac:dyDescent="0.25">
      <c r="A4548" t="str">
        <f>HYPERLINK("https://www.773grp.com/globalSearch/LM4140CCM-1.2-NOPB/page-1", "LM4140CCM-1.2-NOPB")</f>
        <v>LM4140CCM-1.2-NOPB</v>
      </c>
      <c r="B4548" s="3" t="str">
        <f>HYPERLINK("https://www.773grp.com/manufacturer/national-semiconductor?pageNo=125", "National Semiconductor")</f>
        <v>National Semiconductor</v>
      </c>
      <c r="C4548" s="6">
        <v>22</v>
      </c>
      <c r="D4548" s="7">
        <v>4.5599999999999996</v>
      </c>
      <c r="E4548" t="s">
        <v>17</v>
      </c>
    </row>
    <row r="4549" spans="1:5" x14ac:dyDescent="0.25">
      <c r="A4549" t="str">
        <f>HYPERLINK("https://www.773grp.com/globalSearch/LM4140CCM-4.1-NOPB/page-1", "LM4140CCM-4.1-NOPB")</f>
        <v>LM4140CCM-4.1-NOPB</v>
      </c>
      <c r="B4549" s="3" t="str">
        <f>HYPERLINK("https://www.773grp.com/manufacturer/national-semiconductor?pageNo=126", "National Semiconductor")</f>
        <v>National Semiconductor</v>
      </c>
      <c r="C4549" s="6">
        <v>380</v>
      </c>
      <c r="D4549" s="7">
        <v>4.5599999999999996</v>
      </c>
      <c r="E4549" t="s">
        <v>17</v>
      </c>
    </row>
    <row r="4550" spans="1:5" x14ac:dyDescent="0.25">
      <c r="A4550" t="str">
        <f>HYPERLINK("https://www.773grp.com/globalSearch/LM4840MH-NOPB/page-1", "LM4840MH-NOPB")</f>
        <v>LM4840MH-NOPB</v>
      </c>
      <c r="B4550" s="3" t="str">
        <f>HYPERLINK("https://www.773grp.com/manufacturer/national-semiconductor?pageNo=127", "National Semiconductor")</f>
        <v>National Semiconductor</v>
      </c>
      <c r="C4550" s="6">
        <v>1296</v>
      </c>
      <c r="D4550" s="7">
        <v>4.5599999999999996</v>
      </c>
      <c r="E4550" t="s">
        <v>41</v>
      </c>
    </row>
    <row r="4551" spans="1:5" x14ac:dyDescent="0.25">
      <c r="A4551" t="str">
        <f>HYPERLINK("https://www.773grp.com/globalSearch/LM4841MH-NOPB/page-1", "LM4841MH-NOPB")</f>
        <v>LM4841MH-NOPB</v>
      </c>
      <c r="B4551" s="3" t="str">
        <f>HYPERLINK("https://www.773grp.com/manufacturer/national-semiconductor?pageNo=128", "National Semiconductor")</f>
        <v>National Semiconductor</v>
      </c>
      <c r="C4551" s="6">
        <v>91</v>
      </c>
      <c r="D4551" s="7">
        <v>4.5599999999999996</v>
      </c>
      <c r="E4551" t="s">
        <v>41</v>
      </c>
    </row>
    <row r="4552" spans="1:5" x14ac:dyDescent="0.25">
      <c r="A4552" t="str">
        <f>HYPERLINK("https://www.773grp.com/globalSearch/LM4844TL-NOPB/page-1", "LM4844TL-NOPB")</f>
        <v>LM4844TL-NOPB</v>
      </c>
      <c r="B4552" s="3" t="str">
        <f>HYPERLINK("https://www.773grp.com/manufacturer/national-semiconductor?pageNo=129", "National Semiconductor")</f>
        <v>National Semiconductor</v>
      </c>
      <c r="C4552" s="6">
        <v>478</v>
      </c>
      <c r="D4552" s="7">
        <v>4.5599999999999996</v>
      </c>
    </row>
    <row r="4553" spans="1:5" x14ac:dyDescent="0.25">
      <c r="A4553" t="str">
        <f>HYPERLINK("https://www.773grp.com/globalSearch/LM5008MMX/page-1", "LM5008MMX")</f>
        <v>LM5008MMX</v>
      </c>
      <c r="B4553" s="3" t="str">
        <f>HYPERLINK("https://www.773grp.com/manufacturer/national-semiconductor?pageNo=130", "National Semiconductor")</f>
        <v>National Semiconductor</v>
      </c>
      <c r="C4553" s="6">
        <v>7000</v>
      </c>
      <c r="D4553" s="7">
        <v>4.5599999999999996</v>
      </c>
      <c r="E4553" t="s">
        <v>7</v>
      </c>
    </row>
    <row r="4554" spans="1:5" x14ac:dyDescent="0.25">
      <c r="A4554" t="str">
        <f>HYPERLINK("https://www.773grp.com/globalSearch/LM6181IM-8/page-1", "LM6181IM-8")</f>
        <v>LM6181IM-8</v>
      </c>
      <c r="B4554" s="3" t="str">
        <f>HYPERLINK("https://www.773grp.com/manufacturer/national-semiconductor?pageNo=131", "National Semiconductor")</f>
        <v>National Semiconductor</v>
      </c>
      <c r="C4554" s="6">
        <v>1888</v>
      </c>
      <c r="D4554" s="7">
        <v>4.5599999999999996</v>
      </c>
      <c r="E4554" t="s">
        <v>18</v>
      </c>
    </row>
    <row r="4555" spans="1:5" x14ac:dyDescent="0.25">
      <c r="A4555" t="str">
        <f>HYPERLINK("https://www.773grp.com/globalSearch/LMP2022MA-NOPB/page-1", "LMP2022MA-NOPB")</f>
        <v>LMP2022MA-NOPB</v>
      </c>
      <c r="B4555" s="3" t="str">
        <f>HYPERLINK("https://www.773grp.com/manufacturer/national-semiconductor?pageNo=132", "National Semiconductor")</f>
        <v>National Semiconductor</v>
      </c>
      <c r="C4555" s="6">
        <v>387</v>
      </c>
      <c r="D4555" s="7">
        <v>4.5599999999999996</v>
      </c>
    </row>
    <row r="4556" spans="1:5" x14ac:dyDescent="0.25">
      <c r="A4556" t="str">
        <f>HYPERLINK("https://www.773grp.com/globalSearch/LPC660IM-NOPB/page-1", "LPC660IM-NOPB")</f>
        <v>LPC660IM-NOPB</v>
      </c>
      <c r="B4556" s="3" t="str">
        <f>HYPERLINK("https://www.773grp.com/manufacturer/national-semiconductor?pageNo=133", "National Semiconductor")</f>
        <v>National Semiconductor</v>
      </c>
      <c r="C4556" s="6">
        <v>1064</v>
      </c>
      <c r="D4556" s="7">
        <v>4.5599999999999996</v>
      </c>
      <c r="E4556" t="s">
        <v>13</v>
      </c>
    </row>
    <row r="4557" spans="1:5" x14ac:dyDescent="0.25">
      <c r="A4557" t="str">
        <f>HYPERLINK("https://www.773grp.com/globalSearch/DAC121S101CIMK/page-1", "DAC121S101CIMK")</f>
        <v>DAC121S101CIMK</v>
      </c>
      <c r="B4557" s="3" t="str">
        <f>HYPERLINK("https://www.773grp.com/manufacturer/national-semiconductor?pageNo=134", "National Semiconductor")</f>
        <v>National Semiconductor</v>
      </c>
      <c r="C4557" s="6">
        <v>493</v>
      </c>
      <c r="D4557" s="7">
        <v>4.5599999999999996</v>
      </c>
      <c r="E4557" t="s">
        <v>33</v>
      </c>
    </row>
    <row r="4558" spans="1:5" x14ac:dyDescent="0.25">
      <c r="A4558" t="str">
        <f>HYPERLINK("https://www.773grp.com/globalSearch/DS90C401M/page-1", "DS90C401M")</f>
        <v>DS90C401M</v>
      </c>
      <c r="B4558" s="3" t="str">
        <f>HYPERLINK("https://www.773grp.com/manufacturer/national-semiconductor?pageNo=1", "National Semiconductor")</f>
        <v>National Semiconductor</v>
      </c>
      <c r="C4558" s="6">
        <v>2595</v>
      </c>
      <c r="D4558" s="7">
        <v>4.5599999999999996</v>
      </c>
      <c r="E4558" t="s">
        <v>21</v>
      </c>
    </row>
    <row r="4559" spans="1:5" x14ac:dyDescent="0.25">
      <c r="A4559" t="str">
        <f>HYPERLINK("https://www.773grp.com/globalSearch/DS90LV019TMTC/page-1", "DS90LV019TMTC")</f>
        <v>DS90LV019TMTC</v>
      </c>
      <c r="B4559" s="3" t="str">
        <f>HYPERLINK("https://www.773grp.com/manufacturer/national-semiconductor?pageNo=2", "National Semiconductor")</f>
        <v>National Semiconductor</v>
      </c>
      <c r="C4559" s="6">
        <v>14006</v>
      </c>
      <c r="D4559" s="7">
        <v>4.5599999999999996</v>
      </c>
      <c r="E4559" t="s">
        <v>21</v>
      </c>
    </row>
    <row r="4560" spans="1:5" x14ac:dyDescent="0.25">
      <c r="A4560" t="str">
        <f>HYPERLINK("https://www.773grp.com/globalSearch/DS92LV010ATM-NOPB/page-1", "DS92LV010ATM-NOPB")</f>
        <v>DS92LV010ATM-NOPB</v>
      </c>
      <c r="B4560" s="3" t="str">
        <f>HYPERLINK("https://www.773grp.com/manufacturer/national-semiconductor?pageNo=3", "National Semiconductor")</f>
        <v>National Semiconductor</v>
      </c>
      <c r="C4560" s="6">
        <v>283</v>
      </c>
      <c r="D4560" s="7">
        <v>4.5599999999999996</v>
      </c>
      <c r="E4560" t="s">
        <v>21</v>
      </c>
    </row>
    <row r="4561" spans="1:5" x14ac:dyDescent="0.25">
      <c r="A4561" t="str">
        <f>HYPERLINK("https://www.773grp.com/globalSearch/LM25574MT-NOPB/page-1", "LM25574MT-NOPB")</f>
        <v>LM25574MT-NOPB</v>
      </c>
      <c r="B4561" s="3" t="str">
        <f>HYPERLINK("https://www.773grp.com/manufacturer/national-semiconductor?pageNo=4", "National Semiconductor")</f>
        <v>National Semiconductor</v>
      </c>
      <c r="C4561" s="6">
        <v>1058</v>
      </c>
      <c r="D4561" s="7">
        <v>4.5599999999999996</v>
      </c>
      <c r="E4561" t="s">
        <v>7</v>
      </c>
    </row>
    <row r="4562" spans="1:5" x14ac:dyDescent="0.25">
      <c r="A4562" t="str">
        <f>HYPERLINK("https://www.773grp.com/globalSearch/LM3495MTC-NOPB/page-1", "LM3495MTC-NOPB")</f>
        <v>LM3495MTC-NOPB</v>
      </c>
      <c r="B4562" s="3" t="str">
        <f>HYPERLINK("https://www.773grp.com/manufacturer/national-semiconductor?pageNo=5", "National Semiconductor")</f>
        <v>National Semiconductor</v>
      </c>
      <c r="C4562" s="6">
        <v>253</v>
      </c>
      <c r="D4562" s="7">
        <v>4.5599999999999996</v>
      </c>
      <c r="E4562" t="s">
        <v>7</v>
      </c>
    </row>
    <row r="4563" spans="1:5" x14ac:dyDescent="0.25">
      <c r="A4563" t="str">
        <f>HYPERLINK("https://www.773grp.com/globalSearch/LM4050AEM3-5.0/page-1", "LM4050AEM3-5.0")</f>
        <v>LM4050AEM3-5.0</v>
      </c>
      <c r="B4563" s="3" t="str">
        <f>HYPERLINK("https://www.773grp.com/manufacturer/national-semiconductor?pageNo=6", "National Semiconductor")</f>
        <v>National Semiconductor</v>
      </c>
      <c r="C4563" s="6">
        <v>252</v>
      </c>
      <c r="D4563" s="7">
        <v>4.5599999999999996</v>
      </c>
    </row>
    <row r="4564" spans="1:5" x14ac:dyDescent="0.25">
      <c r="A4564" t="str">
        <f>HYPERLINK("https://www.773grp.com/globalSearch/LM4140CCM-1.0-NOPB/page-1", "LM4140CCM-1.0-NOPB")</f>
        <v>LM4140CCM-1.0-NOPB</v>
      </c>
      <c r="B4564" s="3" t="str">
        <f>HYPERLINK("https://www.773grp.com/manufacturer/national-semiconductor?pageNo=7", "National Semiconductor")</f>
        <v>National Semiconductor</v>
      </c>
      <c r="C4564" s="6">
        <v>250</v>
      </c>
      <c r="D4564" s="7">
        <v>4.5599999999999996</v>
      </c>
      <c r="E4564" t="s">
        <v>17</v>
      </c>
    </row>
    <row r="4565" spans="1:5" x14ac:dyDescent="0.25">
      <c r="A4565" t="str">
        <f>HYPERLINK("https://www.773grp.com/globalSearch/LM4140CCM-1.2-NOPB/page-1", "LM4140CCM-1.2-NOPB")</f>
        <v>LM4140CCM-1.2-NOPB</v>
      </c>
      <c r="B4565" s="3" t="str">
        <f>HYPERLINK("https://www.773grp.com/manufacturer/national-semiconductor?pageNo=8", "National Semiconductor")</f>
        <v>National Semiconductor</v>
      </c>
      <c r="C4565" s="6">
        <v>520</v>
      </c>
      <c r="D4565" s="7">
        <v>4.5599999999999996</v>
      </c>
      <c r="E4565" t="s">
        <v>17</v>
      </c>
    </row>
    <row r="4566" spans="1:5" x14ac:dyDescent="0.25">
      <c r="A4566" t="str">
        <f>HYPERLINK("https://www.773grp.com/globalSearch/LM4140CCM-2.5-NOPB/page-1", "LM4140CCM-2.5-NOPB")</f>
        <v>LM4140CCM-2.5-NOPB</v>
      </c>
      <c r="B4566" s="3" t="str">
        <f>HYPERLINK("https://www.773grp.com/manufacturer/national-semiconductor?pageNo=9", "National Semiconductor")</f>
        <v>National Semiconductor</v>
      </c>
      <c r="C4566" s="6">
        <v>195</v>
      </c>
      <c r="D4566" s="7">
        <v>4.5599999999999996</v>
      </c>
    </row>
    <row r="4567" spans="1:5" x14ac:dyDescent="0.25">
      <c r="A4567" t="str">
        <f>HYPERLINK("https://www.773grp.com/globalSearch/LM4140CCM-4.1-NOPB/page-1", "LM4140CCM-4.1-NOPB")</f>
        <v>LM4140CCM-4.1-NOPB</v>
      </c>
      <c r="B4567" s="3" t="str">
        <f>HYPERLINK("https://www.773grp.com/manufacturer/national-semiconductor?pageNo=10", "National Semiconductor")</f>
        <v>National Semiconductor</v>
      </c>
      <c r="C4567" s="6">
        <v>250</v>
      </c>
      <c r="D4567" s="7">
        <v>4.5599999999999996</v>
      </c>
      <c r="E4567" t="s">
        <v>17</v>
      </c>
    </row>
    <row r="4568" spans="1:5" x14ac:dyDescent="0.25">
      <c r="A4568" t="str">
        <f>HYPERLINK("https://www.773grp.com/globalSearch/LM4844TL-NOPB/page-1", "LM4844TL-NOPB")</f>
        <v>LM4844TL-NOPB</v>
      </c>
      <c r="B4568" s="3" t="str">
        <f>HYPERLINK("https://www.773grp.com/manufacturer/national-semiconductor?pageNo=11", "National Semiconductor")</f>
        <v>National Semiconductor</v>
      </c>
      <c r="C4568" s="6">
        <v>3000</v>
      </c>
      <c r="D4568" s="7">
        <v>4.5599999999999996</v>
      </c>
    </row>
    <row r="4569" spans="1:5" x14ac:dyDescent="0.25">
      <c r="A4569" t="str">
        <f>HYPERLINK("https://www.773grp.com/globalSearch/LM4951TL-NOPB/page-1", "LM4951TL-NOPB")</f>
        <v>LM4951TL-NOPB</v>
      </c>
      <c r="B4569" s="3" t="str">
        <f>HYPERLINK("https://www.773grp.com/manufacturer/national-semiconductor?pageNo=12", "National Semiconductor")</f>
        <v>National Semiconductor</v>
      </c>
      <c r="C4569" s="6">
        <v>1000</v>
      </c>
      <c r="D4569" s="7">
        <v>4.5599999999999996</v>
      </c>
    </row>
    <row r="4570" spans="1:5" x14ac:dyDescent="0.25">
      <c r="A4570" t="str">
        <f>HYPERLINK("https://www.773grp.com/globalSearch/LM4951TLX-NOPB/page-1", "LM4951TLX-NOPB")</f>
        <v>LM4951TLX-NOPB</v>
      </c>
      <c r="B4570" s="3" t="str">
        <f>HYPERLINK("https://www.773grp.com/manufacturer/national-semiconductor?pageNo=13", "National Semiconductor")</f>
        <v>National Semiconductor</v>
      </c>
      <c r="C4570" s="6">
        <v>9000</v>
      </c>
      <c r="D4570" s="7">
        <v>4.5599999999999996</v>
      </c>
    </row>
    <row r="4571" spans="1:5" x14ac:dyDescent="0.25">
      <c r="A4571" t="str">
        <f>HYPERLINK("https://www.773grp.com/globalSearch/LM6181IM-8/page-1", "LM6181IM-8")</f>
        <v>LM6181IM-8</v>
      </c>
      <c r="B4571" s="3" t="str">
        <f>HYPERLINK("https://www.773grp.com/manufacturer/national-semiconductor?pageNo=14", "National Semiconductor")</f>
        <v>National Semiconductor</v>
      </c>
      <c r="C4571" s="6">
        <v>326</v>
      </c>
      <c r="D4571" s="7">
        <v>4.5599999999999996</v>
      </c>
      <c r="E4571" t="s">
        <v>18</v>
      </c>
    </row>
    <row r="4572" spans="1:5" x14ac:dyDescent="0.25">
      <c r="A4572" t="str">
        <f>HYPERLINK("https://www.773grp.com/globalSearch/LMP2022MA-NOPB/page-1", "LMP2022MA-NOPB")</f>
        <v>LMP2022MA-NOPB</v>
      </c>
      <c r="B4572" s="3" t="str">
        <f>HYPERLINK("https://www.773grp.com/manufacturer/national-semiconductor?pageNo=15", "National Semiconductor")</f>
        <v>National Semiconductor</v>
      </c>
      <c r="C4572" s="6">
        <v>938</v>
      </c>
      <c r="D4572" s="7">
        <v>4.5599999999999996</v>
      </c>
    </row>
    <row r="4573" spans="1:5" x14ac:dyDescent="0.25">
      <c r="A4573" t="str">
        <f>HYPERLINK("https://www.773grp.com/globalSearch/LP3965EMP-3.3/page-1", "LP3965EMP-3.3")</f>
        <v>LP3965EMP-3.3</v>
      </c>
      <c r="B4573" s="3" t="str">
        <f>HYPERLINK("https://www.773grp.com/manufacturer/national-semiconductor?pageNo=16", "National Semiconductor")</f>
        <v>National Semiconductor</v>
      </c>
      <c r="C4573" s="6">
        <v>782</v>
      </c>
      <c r="D4573" s="7">
        <v>4.5599999999999996</v>
      </c>
    </row>
    <row r="4574" spans="1:5" x14ac:dyDescent="0.25">
      <c r="A4574" t="str">
        <f>HYPERLINK("https://www.773grp.com/globalSearch/LPC660IM-NOPB/page-1", "LPC660IM-NOPB")</f>
        <v>LPC660IM-NOPB</v>
      </c>
      <c r="B4574" s="3" t="str">
        <f>HYPERLINK("https://www.773grp.com/manufacturer/national-semiconductor?pageNo=17", "National Semiconductor")</f>
        <v>National Semiconductor</v>
      </c>
      <c r="C4574" s="6">
        <v>413</v>
      </c>
      <c r="D4574" s="7">
        <v>4.5599999999999996</v>
      </c>
      <c r="E4574" t="s">
        <v>13</v>
      </c>
    </row>
    <row r="4575" spans="1:5" x14ac:dyDescent="0.25">
      <c r="A4575" t="str">
        <f>HYPERLINK("https://www.773grp.com/globalSearch/96101PC/page-1", "96101PC")</f>
        <v>96101PC</v>
      </c>
      <c r="B4575" s="3" t="str">
        <f>HYPERLINK("https://www.773grp.com/manufacturer/national-semiconductor?pageNo=18", "National Semiconductor")</f>
        <v>National Semiconductor</v>
      </c>
      <c r="C4575" s="6">
        <v>2726</v>
      </c>
      <c r="D4575" s="7">
        <v>5.0599999999999996</v>
      </c>
    </row>
    <row r="4576" spans="1:5" x14ac:dyDescent="0.25">
      <c r="A4576" t="str">
        <f>HYPERLINK("https://www.773grp.com/globalSearch/DS75107AN/page-1", "DS75107AN")</f>
        <v>DS75107AN</v>
      </c>
      <c r="B4576" s="3" t="str">
        <f>HYPERLINK("https://www.773grp.com/manufacturer/national-semiconductor?pageNo=19", "National Semiconductor")</f>
        <v>National Semiconductor</v>
      </c>
      <c r="C4576" s="6">
        <v>3085</v>
      </c>
      <c r="D4576" s="7">
        <v>5.0599999999999996</v>
      </c>
      <c r="E4576" t="s">
        <v>21</v>
      </c>
    </row>
    <row r="4577" spans="1:5" x14ac:dyDescent="0.25">
      <c r="A4577" t="str">
        <f>HYPERLINK("https://www.773grp.com/globalSearch/DS75108M/page-1", "DS75108M")</f>
        <v>DS75108M</v>
      </c>
      <c r="B4577" s="3" t="str">
        <f>HYPERLINK("https://www.773grp.com/manufacturer/national-semiconductor?pageNo=20", "National Semiconductor")</f>
        <v>National Semiconductor</v>
      </c>
      <c r="C4577" s="6">
        <v>3440</v>
      </c>
      <c r="D4577" s="7">
        <v>5.0599999999999996</v>
      </c>
      <c r="E4577" t="s">
        <v>21</v>
      </c>
    </row>
    <row r="4578" spans="1:5" x14ac:dyDescent="0.25">
      <c r="A4578" t="str">
        <f>HYPERLINK("https://www.773grp.com/globalSearch/DS75108N/page-1", "DS75108N")</f>
        <v>DS75108N</v>
      </c>
      <c r="B4578" s="3" t="str">
        <f>HYPERLINK("https://www.773grp.com/manufacturer/national-semiconductor?pageNo=21", "National Semiconductor")</f>
        <v>National Semiconductor</v>
      </c>
      <c r="C4578" s="6">
        <v>1105</v>
      </c>
      <c r="D4578" s="7">
        <v>5.0599999999999996</v>
      </c>
      <c r="E4578" t="s">
        <v>21</v>
      </c>
    </row>
    <row r="4579" spans="1:5" x14ac:dyDescent="0.25">
      <c r="A4579" t="str">
        <f>HYPERLINK("https://www.773grp.com/globalSearch/LM2742MTC-NOPB/page-1", "LM2742MTC-NOPB")</f>
        <v>LM2742MTC-NOPB</v>
      </c>
      <c r="B4579" s="3" t="str">
        <f>HYPERLINK("https://www.773grp.com/manufacturer/national-semiconductor?pageNo=22", "National Semiconductor")</f>
        <v>National Semiconductor</v>
      </c>
      <c r="C4579" s="6">
        <v>1295</v>
      </c>
      <c r="D4579" s="7">
        <v>5.0599999999999996</v>
      </c>
      <c r="E4579" t="s">
        <v>7</v>
      </c>
    </row>
    <row r="4580" spans="1:5" x14ac:dyDescent="0.25">
      <c r="A4580" t="str">
        <f>HYPERLINK("https://www.773grp.com/globalSearch/LM2743MTC-NOPB/page-1", "LM2743MTC-NOPB")</f>
        <v>LM2743MTC-NOPB</v>
      </c>
      <c r="B4580" s="3" t="str">
        <f>HYPERLINK("https://www.773grp.com/manufacturer/national-semiconductor?pageNo=23", "National Semiconductor")</f>
        <v>National Semiconductor</v>
      </c>
      <c r="C4580" s="6">
        <v>1235</v>
      </c>
      <c r="D4580" s="7">
        <v>5.0599999999999996</v>
      </c>
      <c r="E4580" t="s">
        <v>7</v>
      </c>
    </row>
    <row r="4581" spans="1:5" x14ac:dyDescent="0.25">
      <c r="A4581" t="str">
        <f>HYPERLINK("https://www.773grp.com/globalSearch/LM2744MTC-NOPB/page-1", "LM2744MTC-NOPB")</f>
        <v>LM2744MTC-NOPB</v>
      </c>
      <c r="B4581" s="3" t="str">
        <f>HYPERLINK("https://www.773grp.com/manufacturer/national-semiconductor?pageNo=24", "National Semiconductor")</f>
        <v>National Semiconductor</v>
      </c>
      <c r="C4581" s="6">
        <v>1160</v>
      </c>
      <c r="D4581" s="7">
        <v>5.0599999999999996</v>
      </c>
      <c r="E4581" t="s">
        <v>7</v>
      </c>
    </row>
    <row r="4582" spans="1:5" x14ac:dyDescent="0.25">
      <c r="A4582" t="str">
        <f>HYPERLINK("https://www.773grp.com/globalSearch/LM285BXZ-1.2-LFT4/page-1", "LM285BXZ-1.2-LFT4")</f>
        <v>LM285BXZ-1.2-LFT4</v>
      </c>
      <c r="B4582" s="3" t="str">
        <f>HYPERLINK("https://www.773grp.com/manufacturer/national-semiconductor?pageNo=25", "National Semiconductor")</f>
        <v>National Semiconductor</v>
      </c>
      <c r="C4582" s="6">
        <v>2000</v>
      </c>
      <c r="D4582" s="7">
        <v>5.0599999999999996</v>
      </c>
    </row>
    <row r="4583" spans="1:5" x14ac:dyDescent="0.25">
      <c r="A4583" t="str">
        <f>HYPERLINK("https://www.773grp.com/globalSearch/LM285BXZ-1.2-NOPB/page-1", "LM285BXZ-1.2-NOPB")</f>
        <v>LM285BXZ-1.2-NOPB</v>
      </c>
      <c r="B4583" s="3" t="str">
        <f>HYPERLINK("https://www.773grp.com/manufacturer/national-semiconductor?pageNo=26", "National Semiconductor")</f>
        <v>National Semiconductor</v>
      </c>
      <c r="C4583" s="6">
        <v>850</v>
      </c>
      <c r="D4583" s="7">
        <v>5.0599999999999996</v>
      </c>
      <c r="E4583" t="s">
        <v>17</v>
      </c>
    </row>
    <row r="4584" spans="1:5" x14ac:dyDescent="0.25">
      <c r="A4584" t="str">
        <f>HYPERLINK("https://www.773grp.com/globalSearch/LM285BXZ-2.5-NOPB/page-1", "LM285BXZ-2.5-NOPB")</f>
        <v>LM285BXZ-2.5-NOPB</v>
      </c>
      <c r="B4584" s="3" t="str">
        <f>HYPERLINK("https://www.773grp.com/manufacturer/national-semiconductor?pageNo=27", "National Semiconductor")</f>
        <v>National Semiconductor</v>
      </c>
      <c r="C4584" s="6">
        <v>2533</v>
      </c>
      <c r="D4584" s="7">
        <v>5.0599999999999996</v>
      </c>
      <c r="E4584" t="s">
        <v>17</v>
      </c>
    </row>
    <row r="4585" spans="1:5" x14ac:dyDescent="0.25">
      <c r="A4585" t="str">
        <f>HYPERLINK("https://www.773grp.com/globalSearch/LM334SMX-NOPB/page-1", "LM334SMX-NOPB")</f>
        <v>LM334SMX-NOPB</v>
      </c>
      <c r="B4585" s="3" t="str">
        <f>HYPERLINK("https://www.773grp.com/manufacturer/national-semiconductor?pageNo=28", "National Semiconductor")</f>
        <v>National Semiconductor</v>
      </c>
      <c r="C4585" s="6">
        <v>34980</v>
      </c>
      <c r="D4585" s="7">
        <v>5.0599999999999996</v>
      </c>
      <c r="E4585" t="s">
        <v>40</v>
      </c>
    </row>
    <row r="4586" spans="1:5" x14ac:dyDescent="0.25">
      <c r="A4586" t="str">
        <f>HYPERLINK("https://www.773grp.com/globalSearch/LM3402MR-NOPB/page-1", "LM3402MR-NOPB")</f>
        <v>LM3402MR-NOPB</v>
      </c>
      <c r="B4586" s="3" t="str">
        <f>HYPERLINK("https://www.773grp.com/manufacturer/national-semiconductor?pageNo=29", "National Semiconductor")</f>
        <v>National Semiconductor</v>
      </c>
      <c r="C4586" s="6">
        <v>5225</v>
      </c>
      <c r="D4586" s="7">
        <v>5.0599999999999996</v>
      </c>
      <c r="E4586" t="s">
        <v>7</v>
      </c>
    </row>
    <row r="4587" spans="1:5" x14ac:dyDescent="0.25">
      <c r="A4587" t="str">
        <f>HYPERLINK("https://www.773grp.com/globalSearch/LM3414HVMR-NOPB/page-1", "LM3414HVMR-NOPB")</f>
        <v>LM3414HVMR-NOPB</v>
      </c>
      <c r="B4587" s="3" t="str">
        <f>HYPERLINK("https://www.773grp.com/manufacturer/national-semiconductor?pageNo=30", "National Semiconductor")</f>
        <v>National Semiconductor</v>
      </c>
      <c r="C4587" s="6">
        <v>10</v>
      </c>
      <c r="D4587" s="7">
        <v>5.0599999999999996</v>
      </c>
      <c r="E4587" t="s">
        <v>10</v>
      </c>
    </row>
    <row r="4588" spans="1:5" x14ac:dyDescent="0.25">
      <c r="A4588" t="str">
        <f>HYPERLINK("https://www.773grp.com/globalSearch/LM342P-12/page-1", "LM342P-12")</f>
        <v>LM342P-12</v>
      </c>
      <c r="B4588" s="3" t="str">
        <f>HYPERLINK("https://www.773grp.com/manufacturer/national-semiconductor?pageNo=31", "National Semiconductor")</f>
        <v>National Semiconductor</v>
      </c>
      <c r="C4588" s="6">
        <v>92</v>
      </c>
      <c r="D4588" s="7">
        <v>5.0599999999999996</v>
      </c>
      <c r="E4588" t="s">
        <v>28</v>
      </c>
    </row>
    <row r="4589" spans="1:5" x14ac:dyDescent="0.25">
      <c r="A4589" t="str">
        <f>HYPERLINK("https://www.773grp.com/globalSearch/LM3478QMM-NOPB/page-1", "LM3478QMM-NOPB")</f>
        <v>LM3478QMM-NOPB</v>
      </c>
      <c r="B4589" s="3" t="str">
        <f>HYPERLINK("https://www.773grp.com/manufacturer/national-semiconductor?pageNo=32", "National Semiconductor")</f>
        <v>National Semiconductor</v>
      </c>
      <c r="C4589" s="6">
        <v>20</v>
      </c>
      <c r="D4589" s="7">
        <v>5.0599999999999996</v>
      </c>
      <c r="E4589" t="s">
        <v>7</v>
      </c>
    </row>
    <row r="4590" spans="1:5" x14ac:dyDescent="0.25">
      <c r="A4590" t="str">
        <f>HYPERLINK("https://www.773grp.com/globalSearch/LM3488MM/page-1", "LM3488MM")</f>
        <v>LM3488MM</v>
      </c>
      <c r="B4590" s="3" t="str">
        <f>HYPERLINK("https://www.773grp.com/manufacturer/national-semiconductor?pageNo=33", "National Semiconductor")</f>
        <v>National Semiconductor</v>
      </c>
      <c r="C4590" s="6">
        <v>406</v>
      </c>
      <c r="D4590" s="7">
        <v>5.0599999999999996</v>
      </c>
      <c r="E4590" t="s">
        <v>7</v>
      </c>
    </row>
    <row r="4591" spans="1:5" x14ac:dyDescent="0.25">
      <c r="A4591" t="str">
        <f>HYPERLINK("https://www.773grp.com/globalSearch/LM3488QMM-NOPB/page-1", "LM3488QMM-NOPB")</f>
        <v>LM3488QMM-NOPB</v>
      </c>
      <c r="B4591" s="3" t="str">
        <f>HYPERLINK("https://www.773grp.com/manufacturer/national-semiconductor?pageNo=34", "National Semiconductor")</f>
        <v>National Semiconductor</v>
      </c>
      <c r="C4591" s="6">
        <v>1969</v>
      </c>
      <c r="D4591" s="7">
        <v>5.0599999999999996</v>
      </c>
    </row>
    <row r="4592" spans="1:5" x14ac:dyDescent="0.25">
      <c r="A4592" t="str">
        <f>HYPERLINK("https://www.773grp.com/globalSearch/LM385BXZ-1.2/page-1", "LM385BXZ-1.2")</f>
        <v>LM385BXZ-1.2</v>
      </c>
      <c r="B4592" s="3" t="str">
        <f>HYPERLINK("https://www.773grp.com/manufacturer/national-semiconductor?pageNo=35", "National Semiconductor")</f>
        <v>National Semiconductor</v>
      </c>
      <c r="C4592" s="6">
        <v>397</v>
      </c>
      <c r="D4592" s="7">
        <v>5.0599999999999996</v>
      </c>
      <c r="E4592" t="s">
        <v>17</v>
      </c>
    </row>
    <row r="4593" spans="1:5" x14ac:dyDescent="0.25">
      <c r="A4593" t="str">
        <f>HYPERLINK("https://www.773grp.com/globalSearch/LM385BXZ-2.5/page-1", "LM385BXZ-2.5")</f>
        <v>LM385BXZ-2.5</v>
      </c>
      <c r="B4593" s="3" t="str">
        <f>HYPERLINK("https://www.773grp.com/manufacturer/national-semiconductor?pageNo=36", "National Semiconductor")</f>
        <v>National Semiconductor</v>
      </c>
      <c r="C4593" s="6">
        <v>3165</v>
      </c>
      <c r="D4593" s="7">
        <v>5.0599999999999996</v>
      </c>
      <c r="E4593" t="s">
        <v>17</v>
      </c>
    </row>
    <row r="4594" spans="1:5" x14ac:dyDescent="0.25">
      <c r="A4594" t="str">
        <f>HYPERLINK("https://www.773grp.com/globalSearch/LM4865M-NOPB/page-1", "LM4865M-NOPB")</f>
        <v>LM4865M-NOPB</v>
      </c>
      <c r="B4594" s="3" t="str">
        <f>HYPERLINK("https://www.773grp.com/manufacturer/national-semiconductor?pageNo=37", "National Semiconductor")</f>
        <v>National Semiconductor</v>
      </c>
      <c r="C4594" s="6">
        <v>440</v>
      </c>
      <c r="D4594" s="7">
        <v>5.0599999999999996</v>
      </c>
      <c r="E4594" t="s">
        <v>41</v>
      </c>
    </row>
    <row r="4595" spans="1:5" x14ac:dyDescent="0.25">
      <c r="A4595" t="str">
        <f>HYPERLINK("https://www.773grp.com/globalSearch/LM5100CMY-NOPB/page-1", "LM5100CMY-NOPB")</f>
        <v>LM5100CMY-NOPB</v>
      </c>
      <c r="B4595" s="3" t="str">
        <f>HYPERLINK("https://www.773grp.com/manufacturer/national-semiconductor?pageNo=38", "National Semiconductor")</f>
        <v>National Semiconductor</v>
      </c>
      <c r="C4595" s="6">
        <v>1000</v>
      </c>
      <c r="D4595" s="7">
        <v>5.0599999999999996</v>
      </c>
    </row>
    <row r="4596" spans="1:5" x14ac:dyDescent="0.25">
      <c r="A4596" t="str">
        <f>HYPERLINK("https://www.773grp.com/globalSearch/LM5100CSD-NOPB/page-1", "LM5100CSD-NOPB")</f>
        <v>LM5100CSD-NOPB</v>
      </c>
      <c r="B4596" s="3" t="str">
        <f>HYPERLINK("https://www.773grp.com/manufacturer/national-semiconductor?pageNo=39", "National Semiconductor")</f>
        <v>National Semiconductor</v>
      </c>
      <c r="C4596" s="6">
        <v>1885</v>
      </c>
      <c r="D4596" s="7">
        <v>5.0599999999999996</v>
      </c>
    </row>
    <row r="4597" spans="1:5" x14ac:dyDescent="0.25">
      <c r="A4597" t="str">
        <f>HYPERLINK("https://www.773grp.com/globalSearch/LM5101CSD-NOPB/page-1", "LM5101CSD-NOPB")</f>
        <v>LM5101CSD-NOPB</v>
      </c>
      <c r="B4597" s="3" t="str">
        <f>HYPERLINK("https://www.773grp.com/manufacturer/national-semiconductor?pageNo=40", "National Semiconductor")</f>
        <v>National Semiconductor</v>
      </c>
      <c r="C4597" s="6">
        <v>1000</v>
      </c>
      <c r="D4597" s="7">
        <v>5.0599999999999996</v>
      </c>
    </row>
    <row r="4598" spans="1:5" x14ac:dyDescent="0.25">
      <c r="A4598" t="str">
        <f>HYPERLINK("https://www.773grp.com/globalSearch/LM56BIM-NOPB/page-1", "LM56BIM-NOPB")</f>
        <v>LM56BIM-NOPB</v>
      </c>
      <c r="B4598" s="3" t="str">
        <f>HYPERLINK("https://www.773grp.com/manufacturer/national-semiconductor?pageNo=41", "National Semiconductor")</f>
        <v>National Semiconductor</v>
      </c>
      <c r="C4598" s="6">
        <v>5182</v>
      </c>
      <c r="D4598" s="7">
        <v>5.0599999999999996</v>
      </c>
      <c r="E4598" t="s">
        <v>12</v>
      </c>
    </row>
    <row r="4599" spans="1:5" x14ac:dyDescent="0.25">
      <c r="A4599" t="str">
        <f>HYPERLINK("https://www.773grp.com/globalSearch/LM8261M5-NOPB/page-1", "LM8261M5-NOPB")</f>
        <v>LM8261M5-NOPB</v>
      </c>
      <c r="B4599" s="3" t="str">
        <f>HYPERLINK("https://www.773grp.com/manufacturer/national-semiconductor?pageNo=42", "National Semiconductor")</f>
        <v>National Semiconductor</v>
      </c>
      <c r="C4599" s="6">
        <v>3223</v>
      </c>
      <c r="D4599" s="7">
        <v>5.0599999999999996</v>
      </c>
      <c r="E4599" t="s">
        <v>13</v>
      </c>
    </row>
    <row r="4600" spans="1:5" x14ac:dyDescent="0.25">
      <c r="A4600" t="str">
        <f>HYPERLINK("https://www.773grp.com/globalSearch/LM8261M5X-NOPB/page-1", "LM8261M5X-NOPB")</f>
        <v>LM8261M5X-NOPB</v>
      </c>
      <c r="B4600" s="3" t="str">
        <f>HYPERLINK("https://www.773grp.com/manufacturer/national-semiconductor?pageNo=43", "National Semiconductor")</f>
        <v>National Semiconductor</v>
      </c>
      <c r="C4600" s="6">
        <v>309</v>
      </c>
      <c r="D4600" s="7">
        <v>5.0599999999999996</v>
      </c>
      <c r="E4600" t="s">
        <v>13</v>
      </c>
    </row>
    <row r="4601" spans="1:5" x14ac:dyDescent="0.25">
      <c r="A4601" t="str">
        <f>HYPERLINK("https://www.773grp.com/globalSearch/LM95245CIM-NOPB/page-1", "LM95245CIM-NOPB")</f>
        <v>LM95245CIM-NOPB</v>
      </c>
      <c r="B4601" s="3" t="str">
        <f>HYPERLINK("https://www.773grp.com/manufacturer/national-semiconductor?pageNo=44", "National Semiconductor")</f>
        <v>National Semiconductor</v>
      </c>
      <c r="C4601" s="6">
        <v>152</v>
      </c>
      <c r="D4601" s="7">
        <v>5.0599999999999996</v>
      </c>
    </row>
    <row r="4602" spans="1:5" x14ac:dyDescent="0.25">
      <c r="A4602" t="str">
        <f>HYPERLINK("https://www.773grp.com/globalSearch/LMC6081IN-NOPB/page-1", "LMC6081IN-NOPB")</f>
        <v>LMC6081IN-NOPB</v>
      </c>
      <c r="B4602" s="3" t="str">
        <f>HYPERLINK("https://www.773grp.com/manufacturer/national-semiconductor?pageNo=45", "National Semiconductor")</f>
        <v>National Semiconductor</v>
      </c>
      <c r="C4602" s="6">
        <v>16</v>
      </c>
      <c r="D4602" s="7">
        <v>5.0599999999999996</v>
      </c>
      <c r="E4602" t="s">
        <v>13</v>
      </c>
    </row>
    <row r="4603" spans="1:5" x14ac:dyDescent="0.25">
      <c r="A4603" t="str">
        <f>HYPERLINK("https://www.773grp.com/globalSearch/LMS485INA/page-1", "LMS485INA")</f>
        <v>LMS485INA</v>
      </c>
      <c r="B4603" s="3" t="str">
        <f>HYPERLINK("https://www.773grp.com/manufacturer/national-semiconductor?pageNo=46", "National Semiconductor")</f>
        <v>National Semiconductor</v>
      </c>
      <c r="C4603" s="6">
        <v>3000</v>
      </c>
      <c r="D4603" s="7">
        <v>5.0599999999999996</v>
      </c>
      <c r="E4603" t="s">
        <v>21</v>
      </c>
    </row>
    <row r="4604" spans="1:5" x14ac:dyDescent="0.25">
      <c r="A4604" t="str">
        <f>HYPERLINK("https://www.773grp.com/globalSearch/LP2952IM-NOPB/page-1", "LP2952IM-NOPB")</f>
        <v>LP2952IM-NOPB</v>
      </c>
      <c r="B4604" s="3" t="str">
        <f>HYPERLINK("https://www.773grp.com/manufacturer/national-semiconductor?pageNo=47", "National Semiconductor")</f>
        <v>National Semiconductor</v>
      </c>
      <c r="C4604" s="6">
        <v>98</v>
      </c>
      <c r="D4604" s="7">
        <v>5.0599999999999996</v>
      </c>
      <c r="E4604" t="s">
        <v>27</v>
      </c>
    </row>
    <row r="4605" spans="1:5" x14ac:dyDescent="0.25">
      <c r="A4605" t="str">
        <f>HYPERLINK("https://www.773grp.com/globalSearch/LP38501TS-ADJ-NOPB/page-1", "LP38501TS-ADJ-NOPB")</f>
        <v>LP38501TS-ADJ-NOPB</v>
      </c>
      <c r="B4605" s="3" t="str">
        <f>HYPERLINK("https://www.773grp.com/manufacturer/national-semiconductor?pageNo=48", "National Semiconductor")</f>
        <v>National Semiconductor</v>
      </c>
      <c r="C4605" s="6">
        <v>17</v>
      </c>
      <c r="D4605" s="7">
        <v>5.0599999999999996</v>
      </c>
    </row>
    <row r="4606" spans="1:5" x14ac:dyDescent="0.25">
      <c r="A4606" t="str">
        <f>HYPERLINK("https://www.773grp.com/globalSearch/LP38503TS-ADJ-NOPB/page-1", "LP38503TS-ADJ-NOPB")</f>
        <v>LP38503TS-ADJ-NOPB</v>
      </c>
      <c r="B4606" s="3" t="str">
        <f>HYPERLINK("https://www.773grp.com/manufacturer/national-semiconductor?pageNo=49", "National Semiconductor")</f>
        <v>National Semiconductor</v>
      </c>
      <c r="C4606" s="6">
        <v>160</v>
      </c>
      <c r="D4606" s="7">
        <v>5.0599999999999996</v>
      </c>
    </row>
    <row r="4607" spans="1:5" x14ac:dyDescent="0.25">
      <c r="A4607" t="str">
        <f>HYPERLINK("https://www.773grp.com/globalSearch/LP3871EMP-1.8-NOPB/page-1", "LP3871EMP-1.8-NOPB")</f>
        <v>LP3871EMP-1.8-NOPB</v>
      </c>
      <c r="B4607" s="3" t="str">
        <f>HYPERLINK("https://www.773grp.com/manufacturer/national-semiconductor?pageNo=50", "National Semiconductor")</f>
        <v>National Semiconductor</v>
      </c>
      <c r="C4607" s="6">
        <v>4000</v>
      </c>
      <c r="D4607" s="7">
        <v>5.0599999999999996</v>
      </c>
      <c r="E4607" t="s">
        <v>19</v>
      </c>
    </row>
    <row r="4608" spans="1:5" x14ac:dyDescent="0.25">
      <c r="A4608" t="str">
        <f>HYPERLINK("https://www.773grp.com/globalSearch/LP3871EMP-2.5-NOPB/page-1", "LP3871EMP-2.5-NOPB")</f>
        <v>LP3871EMP-2.5-NOPB</v>
      </c>
      <c r="B4608" s="3" t="str">
        <f>HYPERLINK("https://www.773grp.com/manufacturer/national-semiconductor?pageNo=51", "National Semiconductor")</f>
        <v>National Semiconductor</v>
      </c>
      <c r="C4608" s="6">
        <v>2000</v>
      </c>
      <c r="D4608" s="7">
        <v>5.0599999999999996</v>
      </c>
      <c r="E4608" t="s">
        <v>19</v>
      </c>
    </row>
    <row r="4609" spans="1:5" x14ac:dyDescent="0.25">
      <c r="A4609" t="str">
        <f>HYPERLINK("https://www.773grp.com/globalSearch/LP3871EMP-3.3-NOPB/page-1", "LP3871EMP-3.3-NOPB")</f>
        <v>LP3871EMP-3.3-NOPB</v>
      </c>
      <c r="B4609" s="3" t="str">
        <f>HYPERLINK("https://www.773grp.com/manufacturer/national-semiconductor?pageNo=52", "National Semiconductor")</f>
        <v>National Semiconductor</v>
      </c>
      <c r="C4609" s="6">
        <v>1000</v>
      </c>
      <c r="D4609" s="7">
        <v>5.0599999999999996</v>
      </c>
      <c r="E4609" t="s">
        <v>19</v>
      </c>
    </row>
    <row r="4610" spans="1:5" x14ac:dyDescent="0.25">
      <c r="A4610" t="str">
        <f>HYPERLINK("https://www.773grp.com/globalSearch/LP3871EMP-5.0-NOPB/page-1", "LP3871EMP-5.0-NOPB")</f>
        <v>LP3871EMP-5.0-NOPB</v>
      </c>
      <c r="B4610" s="3" t="str">
        <f>HYPERLINK("https://www.773grp.com/manufacturer/national-semiconductor?pageNo=53", "National Semiconductor")</f>
        <v>National Semiconductor</v>
      </c>
      <c r="C4610" s="6">
        <v>626</v>
      </c>
      <c r="D4610" s="7">
        <v>5.0599999999999996</v>
      </c>
      <c r="E4610" t="s">
        <v>19</v>
      </c>
    </row>
    <row r="4611" spans="1:5" x14ac:dyDescent="0.25">
      <c r="A4611" t="str">
        <f>HYPERLINK("https://www.773grp.com/globalSearch/LP3871EMPX-2.5-NOPB/page-1", "LP3871EMPX-2.5-NOPB")</f>
        <v>LP3871EMPX-2.5-NOPB</v>
      </c>
      <c r="B4611" s="3" t="str">
        <f>HYPERLINK("https://www.773grp.com/manufacturer/national-semiconductor?pageNo=54", "National Semiconductor")</f>
        <v>National Semiconductor</v>
      </c>
      <c r="C4611" s="6">
        <v>2000</v>
      </c>
      <c r="D4611" s="7">
        <v>5.0599999999999996</v>
      </c>
      <c r="E4611" t="s">
        <v>19</v>
      </c>
    </row>
    <row r="4612" spans="1:5" x14ac:dyDescent="0.25">
      <c r="A4612" t="str">
        <f>HYPERLINK("https://www.773grp.com/globalSearch/LP3874EMP-1.8-NOPB/page-1", "LP3874EMP-1.8-NOPB")</f>
        <v>LP3874EMP-1.8-NOPB</v>
      </c>
      <c r="B4612" s="3" t="str">
        <f>HYPERLINK("https://www.773grp.com/manufacturer/national-semiconductor?pageNo=55", "National Semiconductor")</f>
        <v>National Semiconductor</v>
      </c>
      <c r="C4612" s="6">
        <v>1375</v>
      </c>
      <c r="D4612" s="7">
        <v>5.0599999999999996</v>
      </c>
      <c r="E4612" t="s">
        <v>19</v>
      </c>
    </row>
    <row r="4613" spans="1:5" x14ac:dyDescent="0.25">
      <c r="A4613" t="str">
        <f>HYPERLINK("https://www.773grp.com/globalSearch/LP3874EMP-2.5/page-1", "LP3874EMP-2.5")</f>
        <v>LP3874EMP-2.5</v>
      </c>
      <c r="B4613" s="3" t="str">
        <f>HYPERLINK("https://www.773grp.com/manufacturer/national-semiconductor?pageNo=56", "National Semiconductor")</f>
        <v>National Semiconductor</v>
      </c>
      <c r="C4613" s="6">
        <v>965</v>
      </c>
      <c r="D4613" s="7">
        <v>5.0599999999999996</v>
      </c>
      <c r="E4613" t="s">
        <v>19</v>
      </c>
    </row>
    <row r="4614" spans="1:5" x14ac:dyDescent="0.25">
      <c r="A4614" t="str">
        <f>HYPERLINK("https://www.773grp.com/globalSearch/LP3874EMP-2.5-NOPB/page-1", "LP3874EMP-2.5-NOPB")</f>
        <v>LP3874EMP-2.5-NOPB</v>
      </c>
      <c r="B4614" s="3" t="str">
        <f>HYPERLINK("https://www.773grp.com/manufacturer/national-semiconductor?pageNo=57", "National Semiconductor")</f>
        <v>National Semiconductor</v>
      </c>
      <c r="C4614" s="6">
        <v>1000</v>
      </c>
      <c r="D4614" s="7">
        <v>5.0599999999999996</v>
      </c>
      <c r="E4614" t="s">
        <v>19</v>
      </c>
    </row>
    <row r="4615" spans="1:5" x14ac:dyDescent="0.25">
      <c r="A4615" t="str">
        <f>HYPERLINK("https://www.773grp.com/globalSearch/LP3874EMP-3.3-NOPB/page-1", "LP3874EMP-3.3-NOPB")</f>
        <v>LP3874EMP-3.3-NOPB</v>
      </c>
      <c r="B4615" s="3" t="str">
        <f>HYPERLINK("https://www.773grp.com/manufacturer/national-semiconductor?pageNo=58", "National Semiconductor")</f>
        <v>National Semiconductor</v>
      </c>
      <c r="C4615" s="6">
        <v>1000</v>
      </c>
      <c r="D4615" s="7">
        <v>5.0599999999999996</v>
      </c>
      <c r="E4615" t="s">
        <v>19</v>
      </c>
    </row>
    <row r="4616" spans="1:5" x14ac:dyDescent="0.25">
      <c r="A4616" t="str">
        <f>HYPERLINK("https://www.773grp.com/globalSearch/LP3874EMP-5.0-NOPB/page-1", "LP3874EMP-5.0-NOPB")</f>
        <v>LP3874EMP-5.0-NOPB</v>
      </c>
      <c r="B4616" s="3" t="str">
        <f>HYPERLINK("https://www.773grp.com/manufacturer/national-semiconductor?pageNo=59", "National Semiconductor")</f>
        <v>National Semiconductor</v>
      </c>
      <c r="C4616" s="6">
        <v>44000</v>
      </c>
      <c r="D4616" s="7">
        <v>5.0599999999999996</v>
      </c>
      <c r="E4616" t="s">
        <v>19</v>
      </c>
    </row>
    <row r="4617" spans="1:5" x14ac:dyDescent="0.25">
      <c r="A4617" t="str">
        <f>HYPERLINK("https://www.773grp.com/globalSearch/LP3874EMP-ADJ-NOPB/page-1", "LP3874EMP-ADJ-NOPB")</f>
        <v>LP3874EMP-ADJ-NOPB</v>
      </c>
      <c r="B4617" s="3" t="str">
        <f>HYPERLINK("https://www.773grp.com/manufacturer/national-semiconductor?pageNo=60", "National Semiconductor")</f>
        <v>National Semiconductor</v>
      </c>
      <c r="C4617" s="6">
        <v>2000</v>
      </c>
      <c r="D4617" s="7">
        <v>5.0599999999999996</v>
      </c>
      <c r="E4617" t="s">
        <v>25</v>
      </c>
    </row>
    <row r="4618" spans="1:5" x14ac:dyDescent="0.25">
      <c r="A4618" t="str">
        <f>HYPERLINK("https://www.773grp.com/globalSearch/LP3874EMPX-1.8-NOPB/page-1", "LP3874EMPX-1.8-NOPB")</f>
        <v>LP3874EMPX-1.8-NOPB</v>
      </c>
      <c r="B4618" s="3" t="str">
        <f>HYPERLINK("https://www.773grp.com/manufacturer/national-semiconductor?pageNo=61", "National Semiconductor")</f>
        <v>National Semiconductor</v>
      </c>
      <c r="C4618" s="6">
        <v>2000</v>
      </c>
      <c r="D4618" s="7">
        <v>5.0599999999999996</v>
      </c>
      <c r="E4618" t="s">
        <v>19</v>
      </c>
    </row>
    <row r="4619" spans="1:5" x14ac:dyDescent="0.25">
      <c r="A4619" t="str">
        <f>HYPERLINK("https://www.773grp.com/globalSearch/LP3874EMPX-ADJ/page-1", "LP3874EMPX-ADJ")</f>
        <v>LP3874EMPX-ADJ</v>
      </c>
      <c r="B4619" s="3" t="str">
        <f>HYPERLINK("https://www.773grp.com/manufacturer/national-semiconductor?pageNo=62", "National Semiconductor")</f>
        <v>National Semiconductor</v>
      </c>
      <c r="C4619" s="6">
        <v>44000</v>
      </c>
      <c r="D4619" s="7">
        <v>5.0599999999999996</v>
      </c>
      <c r="E4619" t="s">
        <v>25</v>
      </c>
    </row>
    <row r="4620" spans="1:5" x14ac:dyDescent="0.25">
      <c r="A4620" t="str">
        <f>HYPERLINK("https://www.773grp.com/globalSearch/LP3874EMPX-ADJ-NOPB/page-1", "LP3874EMPX-ADJ-NOPB")</f>
        <v>LP3874EMPX-ADJ-NOPB</v>
      </c>
      <c r="B4620" s="3" t="str">
        <f>HYPERLINK("https://www.773grp.com/manufacturer/national-semiconductor?pageNo=63", "National Semiconductor")</f>
        <v>National Semiconductor</v>
      </c>
      <c r="C4620" s="6">
        <v>8000</v>
      </c>
      <c r="D4620" s="7">
        <v>5.0599999999999996</v>
      </c>
      <c r="E4620" t="s">
        <v>25</v>
      </c>
    </row>
    <row r="4621" spans="1:5" x14ac:dyDescent="0.25">
      <c r="A4621" t="str">
        <f>HYPERLINK("https://www.773grp.com/globalSearch/LP3874ES-2.5-NOPB/page-1", "LP3874ES-2.5-NOPB")</f>
        <v>LP3874ES-2.5-NOPB</v>
      </c>
      <c r="B4621" s="3" t="str">
        <f>HYPERLINK("https://www.773grp.com/manufacturer/national-semiconductor?pageNo=64", "National Semiconductor")</f>
        <v>National Semiconductor</v>
      </c>
      <c r="C4621" s="6">
        <v>555</v>
      </c>
      <c r="D4621" s="7">
        <v>5.0599999999999996</v>
      </c>
      <c r="E4621" t="s">
        <v>19</v>
      </c>
    </row>
    <row r="4622" spans="1:5" x14ac:dyDescent="0.25">
      <c r="A4622" t="str">
        <f>HYPERLINK("https://www.773grp.com/globalSearch/LP3874ES-3.3-NOPB/page-1", "LP3874ES-3.3-NOPB")</f>
        <v>LP3874ES-3.3-NOPB</v>
      </c>
      <c r="B4622" s="3" t="str">
        <f>HYPERLINK("https://www.773grp.com/manufacturer/national-semiconductor?pageNo=65", "National Semiconductor")</f>
        <v>National Semiconductor</v>
      </c>
      <c r="C4622" s="6">
        <v>888</v>
      </c>
      <c r="D4622" s="7">
        <v>5.0599999999999996</v>
      </c>
      <c r="E4622" t="s">
        <v>19</v>
      </c>
    </row>
    <row r="4623" spans="1:5" x14ac:dyDescent="0.25">
      <c r="A4623" t="str">
        <f>HYPERLINK("https://www.773grp.com/globalSearch/LP3878MR-ADJ-NOPB/page-1", "LP3878MR-ADJ-NOPB")</f>
        <v>LP3878MR-ADJ-NOPB</v>
      </c>
      <c r="B4623" s="3" t="str">
        <f>HYPERLINK("https://www.773grp.com/manufacturer/national-semiconductor?pageNo=66", "National Semiconductor")</f>
        <v>National Semiconductor</v>
      </c>
      <c r="C4623" s="6">
        <v>1627</v>
      </c>
      <c r="D4623" s="7">
        <v>5.0599999999999996</v>
      </c>
      <c r="E4623" t="s">
        <v>22</v>
      </c>
    </row>
    <row r="4624" spans="1:5" x14ac:dyDescent="0.25">
      <c r="A4624" t="str">
        <f>HYPERLINK("https://www.773grp.com/globalSearch/LM2742MTC-NOPB/page-1", "LM2742MTC-NOPB")</f>
        <v>LM2742MTC-NOPB</v>
      </c>
      <c r="B4624" s="3" t="str">
        <f>HYPERLINK("https://www.773grp.com/manufacturer/national-semiconductor?pageNo=67", "National Semiconductor")</f>
        <v>National Semiconductor</v>
      </c>
      <c r="C4624" s="6">
        <v>439</v>
      </c>
      <c r="D4624" s="7">
        <v>5.0599999999999996</v>
      </c>
      <c r="E4624" t="s">
        <v>7</v>
      </c>
    </row>
    <row r="4625" spans="1:5" x14ac:dyDescent="0.25">
      <c r="A4625" t="str">
        <f>HYPERLINK("https://www.773grp.com/globalSearch/LM2743MTC-NOPB/page-1", "LM2743MTC-NOPB")</f>
        <v>LM2743MTC-NOPB</v>
      </c>
      <c r="B4625" s="3" t="str">
        <f>HYPERLINK("https://www.773grp.com/manufacturer/national-semiconductor?pageNo=68", "National Semiconductor")</f>
        <v>National Semiconductor</v>
      </c>
      <c r="C4625" s="6">
        <v>258</v>
      </c>
      <c r="D4625" s="7">
        <v>5.0599999999999996</v>
      </c>
      <c r="E4625" t="s">
        <v>7</v>
      </c>
    </row>
    <row r="4626" spans="1:5" x14ac:dyDescent="0.25">
      <c r="A4626" t="str">
        <f>HYPERLINK("https://www.773grp.com/globalSearch/LM2744MTC-NOPB/page-1", "LM2744MTC-NOPB")</f>
        <v>LM2744MTC-NOPB</v>
      </c>
      <c r="B4626" s="3" t="str">
        <f>HYPERLINK("https://www.773grp.com/manufacturer/national-semiconductor?pageNo=69", "National Semiconductor")</f>
        <v>National Semiconductor</v>
      </c>
      <c r="C4626" s="6">
        <v>281</v>
      </c>
      <c r="D4626" s="7">
        <v>5.0599999999999996</v>
      </c>
      <c r="E4626" t="s">
        <v>7</v>
      </c>
    </row>
    <row r="4627" spans="1:5" x14ac:dyDescent="0.25">
      <c r="A4627" t="str">
        <f>HYPERLINK("https://www.773grp.com/globalSearch/LM285BXZ-2.5-NOPB/page-1", "LM285BXZ-2.5-NOPB")</f>
        <v>LM285BXZ-2.5-NOPB</v>
      </c>
      <c r="B4627" s="3" t="str">
        <f>HYPERLINK("https://www.773grp.com/manufacturer/national-semiconductor?pageNo=70", "National Semiconductor")</f>
        <v>National Semiconductor</v>
      </c>
      <c r="C4627" s="6">
        <v>810</v>
      </c>
      <c r="D4627" s="7">
        <v>5.0599999999999996</v>
      </c>
      <c r="E4627" t="s">
        <v>17</v>
      </c>
    </row>
    <row r="4628" spans="1:5" x14ac:dyDescent="0.25">
      <c r="A4628" t="str">
        <f>HYPERLINK("https://www.773grp.com/globalSearch/LM285BYMX-NOPB/page-1", "LM285BYMX-NOPB")</f>
        <v>LM285BYMX-NOPB</v>
      </c>
      <c r="B4628" s="3" t="str">
        <f>HYPERLINK("https://www.773grp.com/manufacturer/national-semiconductor?pageNo=71", "National Semiconductor")</f>
        <v>National Semiconductor</v>
      </c>
      <c r="C4628" s="6">
        <v>5000</v>
      </c>
      <c r="D4628" s="7">
        <v>5.0599999999999996</v>
      </c>
    </row>
    <row r="4629" spans="1:5" x14ac:dyDescent="0.25">
      <c r="A4629" t="str">
        <f>HYPERLINK("https://www.773grp.com/globalSearch/LM3414HVMR-NOPB/page-1", "LM3414HVMR-NOPB")</f>
        <v>LM3414HVMR-NOPB</v>
      </c>
      <c r="B4629" s="3" t="str">
        <f>HYPERLINK("https://www.773grp.com/manufacturer/national-semiconductor?pageNo=72", "National Semiconductor")</f>
        <v>National Semiconductor</v>
      </c>
      <c r="C4629" s="6">
        <v>425</v>
      </c>
      <c r="D4629" s="7">
        <v>5.0599999999999996</v>
      </c>
      <c r="E4629" t="s">
        <v>10</v>
      </c>
    </row>
    <row r="4630" spans="1:5" x14ac:dyDescent="0.25">
      <c r="A4630" t="str">
        <f>HYPERLINK("https://www.773grp.com/globalSearch/LM3478MA-NOPB/page-1", "LM3478MA-NOPB")</f>
        <v>LM3478MA-NOPB</v>
      </c>
      <c r="B4630" s="3" t="str">
        <f>HYPERLINK("https://www.773grp.com/manufacturer/national-semiconductor?pageNo=73", "National Semiconductor")</f>
        <v>National Semiconductor</v>
      </c>
      <c r="C4630" s="6">
        <v>723</v>
      </c>
      <c r="D4630" s="7">
        <v>5.0599999999999996</v>
      </c>
    </row>
    <row r="4631" spans="1:5" x14ac:dyDescent="0.25">
      <c r="A4631" t="str">
        <f>HYPERLINK("https://www.773grp.com/globalSearch/LM3478QMM-NOPB/page-1", "LM3478QMM-NOPB")</f>
        <v>LM3478QMM-NOPB</v>
      </c>
      <c r="B4631" s="3" t="str">
        <f>HYPERLINK("https://www.773grp.com/manufacturer/national-semiconductor?pageNo=74", "National Semiconductor")</f>
        <v>National Semiconductor</v>
      </c>
      <c r="C4631" s="6">
        <v>1000</v>
      </c>
      <c r="D4631" s="7">
        <v>5.0599999999999996</v>
      </c>
      <c r="E4631" t="s">
        <v>7</v>
      </c>
    </row>
    <row r="4632" spans="1:5" x14ac:dyDescent="0.25">
      <c r="A4632" t="str">
        <f>HYPERLINK("https://www.773grp.com/globalSearch/LM3478QMMX-NOPB/page-1", "LM3478QMMX-NOPB")</f>
        <v>LM3478QMMX-NOPB</v>
      </c>
      <c r="B4632" s="3" t="str">
        <f>HYPERLINK("https://www.773grp.com/manufacturer/national-semiconductor?pageNo=75", "National Semiconductor")</f>
        <v>National Semiconductor</v>
      </c>
      <c r="C4632" s="6">
        <v>3450</v>
      </c>
      <c r="D4632" s="7">
        <v>5.0599999999999996</v>
      </c>
    </row>
    <row r="4633" spans="1:5" x14ac:dyDescent="0.25">
      <c r="A4633" t="str">
        <f>HYPERLINK("https://www.773grp.com/globalSearch/LM3481QMM-NOPB/page-1", "LM3481QMM-NOPB")</f>
        <v>LM3481QMM-NOPB</v>
      </c>
      <c r="B4633" s="3" t="str">
        <f>HYPERLINK("https://www.773grp.com/manufacturer/national-semiconductor?pageNo=76", "National Semiconductor")</f>
        <v>National Semiconductor</v>
      </c>
      <c r="C4633" s="6">
        <v>1000</v>
      </c>
      <c r="D4633" s="7">
        <v>5.0599999999999996</v>
      </c>
    </row>
    <row r="4634" spans="1:5" x14ac:dyDescent="0.25">
      <c r="A4634" t="str">
        <f>HYPERLINK("https://www.773grp.com/globalSearch/LM3488QMM-NOPB/page-1", "LM3488QMM-NOPB")</f>
        <v>LM3488QMM-NOPB</v>
      </c>
      <c r="B4634" s="3" t="str">
        <f>HYPERLINK("https://www.773grp.com/manufacturer/national-semiconductor?pageNo=77", "National Semiconductor")</f>
        <v>National Semiconductor</v>
      </c>
      <c r="C4634" s="6">
        <v>1000</v>
      </c>
      <c r="D4634" s="7">
        <v>5.0599999999999996</v>
      </c>
    </row>
    <row r="4635" spans="1:5" x14ac:dyDescent="0.25">
      <c r="A4635" t="str">
        <f>HYPERLINK("https://www.773grp.com/globalSearch/LM4865M-NOPB/page-1", "LM4865M-NOPB")</f>
        <v>LM4865M-NOPB</v>
      </c>
      <c r="B4635" s="3" t="str">
        <f>HYPERLINK("https://www.773grp.com/manufacturer/national-semiconductor?pageNo=78", "National Semiconductor")</f>
        <v>National Semiconductor</v>
      </c>
      <c r="C4635" s="6">
        <v>250</v>
      </c>
      <c r="D4635" s="7">
        <v>5.0599999999999996</v>
      </c>
      <c r="E4635" t="s">
        <v>41</v>
      </c>
    </row>
    <row r="4636" spans="1:5" x14ac:dyDescent="0.25">
      <c r="A4636" t="str">
        <f>HYPERLINK("https://www.773grp.com/globalSearch/LM5100CMY/page-1", "LM5100CMY")</f>
        <v>LM5100CMY</v>
      </c>
      <c r="B4636" s="3" t="str">
        <f>HYPERLINK("https://www.773grp.com/manufacturer/national-semiconductor?pageNo=79", "National Semiconductor")</f>
        <v>National Semiconductor</v>
      </c>
      <c r="C4636" s="6">
        <v>568</v>
      </c>
      <c r="D4636" s="7">
        <v>5.0599999999999996</v>
      </c>
      <c r="E4636" t="s">
        <v>16</v>
      </c>
    </row>
    <row r="4637" spans="1:5" x14ac:dyDescent="0.25">
      <c r="A4637" t="str">
        <f>HYPERLINK("https://www.773grp.com/globalSearch/LM5101CSD-NOPB/page-1", "LM5101CSD-NOPB")</f>
        <v>LM5101CSD-NOPB</v>
      </c>
      <c r="B4637" s="3" t="str">
        <f>HYPERLINK("https://www.773grp.com/manufacturer/national-semiconductor?pageNo=80", "National Semiconductor")</f>
        <v>National Semiconductor</v>
      </c>
      <c r="C4637" s="6">
        <v>2000</v>
      </c>
      <c r="D4637" s="7">
        <v>5.0599999999999996</v>
      </c>
    </row>
    <row r="4638" spans="1:5" x14ac:dyDescent="0.25">
      <c r="A4638" t="str">
        <f>HYPERLINK("https://www.773grp.com/globalSearch/LM56BIM-NOPB/page-1", "LM56BIM-NOPB")</f>
        <v>LM56BIM-NOPB</v>
      </c>
      <c r="B4638" s="3" t="str">
        <f>HYPERLINK("https://www.773grp.com/manufacturer/national-semiconductor?pageNo=81", "National Semiconductor")</f>
        <v>National Semiconductor</v>
      </c>
      <c r="C4638" s="6">
        <v>578</v>
      </c>
      <c r="D4638" s="7">
        <v>5.0599999999999996</v>
      </c>
      <c r="E4638" t="s">
        <v>12</v>
      </c>
    </row>
    <row r="4639" spans="1:5" x14ac:dyDescent="0.25">
      <c r="A4639" t="str">
        <f>HYPERLINK("https://www.773grp.com/globalSearch/LM95245CIM-NOPB/page-1", "LM95245CIM-NOPB")</f>
        <v>LM95245CIM-NOPB</v>
      </c>
      <c r="B4639" s="3" t="str">
        <f>HYPERLINK("https://www.773grp.com/manufacturer/national-semiconductor?pageNo=82", "National Semiconductor")</f>
        <v>National Semiconductor</v>
      </c>
      <c r="C4639" s="6">
        <v>1304</v>
      </c>
      <c r="D4639" s="7">
        <v>5.0599999999999996</v>
      </c>
    </row>
    <row r="4640" spans="1:5" x14ac:dyDescent="0.25">
      <c r="A4640" t="str">
        <f>HYPERLINK("https://www.773grp.com/globalSearch/LMC6081IN-NOPB/page-1", "LMC6081IN-NOPB")</f>
        <v>LMC6081IN-NOPB</v>
      </c>
      <c r="B4640" s="3" t="str">
        <f>HYPERLINK("https://www.773grp.com/manufacturer/national-semiconductor?pageNo=83", "National Semiconductor")</f>
        <v>National Semiconductor</v>
      </c>
      <c r="C4640" s="6">
        <v>250</v>
      </c>
      <c r="D4640" s="7">
        <v>5.0599999999999996</v>
      </c>
      <c r="E4640" t="s">
        <v>13</v>
      </c>
    </row>
    <row r="4641" spans="1:5" x14ac:dyDescent="0.25">
      <c r="A4641" t="str">
        <f>HYPERLINK("https://www.773grp.com/globalSearch/LME49870MA-NOPB/page-1", "LME49870MA-NOPB")</f>
        <v>LME49870MA-NOPB</v>
      </c>
      <c r="B4641" s="3" t="str">
        <f>HYPERLINK("https://www.773grp.com/manufacturer/national-semiconductor?pageNo=84", "National Semiconductor")</f>
        <v>National Semiconductor</v>
      </c>
      <c r="C4641" s="6">
        <v>620</v>
      </c>
      <c r="D4641" s="7">
        <v>5.0599999999999996</v>
      </c>
    </row>
    <row r="4642" spans="1:5" x14ac:dyDescent="0.25">
      <c r="A4642" t="str">
        <f>HYPERLINK("https://www.773grp.com/globalSearch/LP2952IM-NOPB/page-1", "LP2952IM-NOPB")</f>
        <v>LP2952IM-NOPB</v>
      </c>
      <c r="B4642" s="3" t="str">
        <f>HYPERLINK("https://www.773grp.com/manufacturer/national-semiconductor?pageNo=85", "National Semiconductor")</f>
        <v>National Semiconductor</v>
      </c>
      <c r="C4642" s="6">
        <v>886</v>
      </c>
      <c r="D4642" s="7">
        <v>5.0599999999999996</v>
      </c>
      <c r="E4642" t="s">
        <v>27</v>
      </c>
    </row>
    <row r="4643" spans="1:5" x14ac:dyDescent="0.25">
      <c r="A4643" t="str">
        <f>HYPERLINK("https://www.773grp.com/globalSearch/LP38501TS-ADJ-NOPB/page-1", "LP38501TS-ADJ-NOPB")</f>
        <v>LP38501TS-ADJ-NOPB</v>
      </c>
      <c r="B4643" s="3" t="str">
        <f>HYPERLINK("https://www.773grp.com/manufacturer/national-semiconductor?pageNo=86", "National Semiconductor")</f>
        <v>National Semiconductor</v>
      </c>
      <c r="C4643" s="6">
        <v>426</v>
      </c>
      <c r="D4643" s="7">
        <v>5.0599999999999996</v>
      </c>
    </row>
    <row r="4644" spans="1:5" x14ac:dyDescent="0.25">
      <c r="A4644" t="str">
        <f>HYPERLINK("https://www.773grp.com/globalSearch/LP38503TS-ADJ-NOPB/page-1", "LP38503TS-ADJ-NOPB")</f>
        <v>LP38503TS-ADJ-NOPB</v>
      </c>
      <c r="B4644" s="3" t="str">
        <f>HYPERLINK("https://www.773grp.com/manufacturer/national-semiconductor?pageNo=87", "National Semiconductor")</f>
        <v>National Semiconductor</v>
      </c>
      <c r="C4644" s="6">
        <v>463</v>
      </c>
      <c r="D4644" s="7">
        <v>5.0599999999999996</v>
      </c>
    </row>
    <row r="4645" spans="1:5" x14ac:dyDescent="0.25">
      <c r="A4645" t="str">
        <f>HYPERLINK("https://www.773grp.com/globalSearch/LP3871EMP-1.8-NOPB/page-1", "LP3871EMP-1.8-NOPB")</f>
        <v>LP3871EMP-1.8-NOPB</v>
      </c>
      <c r="B4645" s="3" t="str">
        <f>HYPERLINK("https://www.773grp.com/manufacturer/national-semiconductor?pageNo=88", "National Semiconductor")</f>
        <v>National Semiconductor</v>
      </c>
      <c r="C4645" s="6">
        <v>2000</v>
      </c>
      <c r="D4645" s="7">
        <v>5.0599999999999996</v>
      </c>
      <c r="E4645" t="s">
        <v>19</v>
      </c>
    </row>
    <row r="4646" spans="1:5" x14ac:dyDescent="0.25">
      <c r="A4646" t="str">
        <f>HYPERLINK("https://www.773grp.com/globalSearch/LP3871EMP-3.3-NOPB/page-1", "LP3871EMP-3.3-NOPB")</f>
        <v>LP3871EMP-3.3-NOPB</v>
      </c>
      <c r="B4646" s="3" t="str">
        <f>HYPERLINK("https://www.773grp.com/manufacturer/national-semiconductor?pageNo=89", "National Semiconductor")</f>
        <v>National Semiconductor</v>
      </c>
      <c r="C4646" s="6">
        <v>276</v>
      </c>
      <c r="D4646" s="7">
        <v>5.0599999999999996</v>
      </c>
      <c r="E4646" t="s">
        <v>19</v>
      </c>
    </row>
    <row r="4647" spans="1:5" x14ac:dyDescent="0.25">
      <c r="A4647" t="str">
        <f>HYPERLINK("https://www.773grp.com/globalSearch/LP3871EMP-5.0-NOPB/page-1", "LP3871EMP-5.0-NOPB")</f>
        <v>LP3871EMP-5.0-NOPB</v>
      </c>
      <c r="B4647" s="3" t="str">
        <f>HYPERLINK("https://www.773grp.com/manufacturer/national-semiconductor?pageNo=90", "National Semiconductor")</f>
        <v>National Semiconductor</v>
      </c>
      <c r="C4647" s="6">
        <v>890</v>
      </c>
      <c r="D4647" s="7">
        <v>5.0599999999999996</v>
      </c>
      <c r="E4647" t="s">
        <v>19</v>
      </c>
    </row>
    <row r="4648" spans="1:5" x14ac:dyDescent="0.25">
      <c r="A4648" t="str">
        <f>HYPERLINK("https://www.773grp.com/globalSearch/LP3874EMP-1.8-NOPB/page-1", "LP3874EMP-1.8-NOPB")</f>
        <v>LP3874EMP-1.8-NOPB</v>
      </c>
      <c r="B4648" s="3" t="str">
        <f>HYPERLINK("https://www.773grp.com/manufacturer/national-semiconductor?pageNo=91", "National Semiconductor")</f>
        <v>National Semiconductor</v>
      </c>
      <c r="C4648" s="6">
        <v>812</v>
      </c>
      <c r="D4648" s="7">
        <v>5.0599999999999996</v>
      </c>
      <c r="E4648" t="s">
        <v>19</v>
      </c>
    </row>
    <row r="4649" spans="1:5" x14ac:dyDescent="0.25">
      <c r="A4649" t="str">
        <f>HYPERLINK("https://www.773grp.com/globalSearch/LP3874EMP-2.5-NOPB/page-1", "LP3874EMP-2.5-NOPB")</f>
        <v>LP3874EMP-2.5-NOPB</v>
      </c>
      <c r="B4649" s="3" t="str">
        <f>HYPERLINK("https://www.773grp.com/manufacturer/national-semiconductor?pageNo=92", "National Semiconductor")</f>
        <v>National Semiconductor</v>
      </c>
      <c r="C4649" s="6">
        <v>820</v>
      </c>
      <c r="D4649" s="7">
        <v>5.0599999999999996</v>
      </c>
      <c r="E4649" t="s">
        <v>19</v>
      </c>
    </row>
    <row r="4650" spans="1:5" x14ac:dyDescent="0.25">
      <c r="A4650" t="str">
        <f>HYPERLINK("https://www.773grp.com/globalSearch/LP3874EMP-ADJ-NOPB/page-1", "LP3874EMP-ADJ-NOPB")</f>
        <v>LP3874EMP-ADJ-NOPB</v>
      </c>
      <c r="B4650" s="3" t="str">
        <f>HYPERLINK("https://www.773grp.com/manufacturer/national-semiconductor?pageNo=93", "National Semiconductor")</f>
        <v>National Semiconductor</v>
      </c>
      <c r="C4650" s="6">
        <v>1807</v>
      </c>
      <c r="D4650" s="7">
        <v>5.0599999999999996</v>
      </c>
      <c r="E4650" t="s">
        <v>25</v>
      </c>
    </row>
    <row r="4651" spans="1:5" x14ac:dyDescent="0.25">
      <c r="A4651" t="str">
        <f>HYPERLINK("https://www.773grp.com/globalSearch/LP3874EMPX-3.3-NOPB/page-1", "LP3874EMPX-3.3-NOPB")</f>
        <v>LP3874EMPX-3.3-NOPB</v>
      </c>
      <c r="B4651" s="3" t="str">
        <f>HYPERLINK("https://www.773grp.com/manufacturer/national-semiconductor?pageNo=94", "National Semiconductor")</f>
        <v>National Semiconductor</v>
      </c>
      <c r="C4651" s="6">
        <v>1125</v>
      </c>
      <c r="D4651" s="7">
        <v>5.0599999999999996</v>
      </c>
    </row>
    <row r="4652" spans="1:5" x14ac:dyDescent="0.25">
      <c r="A4652" t="str">
        <f>HYPERLINK("https://www.773grp.com/globalSearch/LP3874EMPX-ADJ-NOPB/page-1", "LP3874EMPX-ADJ-NOPB")</f>
        <v>LP3874EMPX-ADJ-NOPB</v>
      </c>
      <c r="B4652" s="3" t="str">
        <f>HYPERLINK("https://www.773grp.com/manufacturer/national-semiconductor?pageNo=95", "National Semiconductor")</f>
        <v>National Semiconductor</v>
      </c>
      <c r="C4652" s="6">
        <v>6000</v>
      </c>
      <c r="D4652" s="7">
        <v>5.0599999999999996</v>
      </c>
      <c r="E4652" t="s">
        <v>25</v>
      </c>
    </row>
    <row r="4653" spans="1:5" x14ac:dyDescent="0.25">
      <c r="A4653" t="str">
        <f>HYPERLINK("https://www.773grp.com/globalSearch/LP3874ES-2.5-NOPB/page-1", "LP3874ES-2.5-NOPB")</f>
        <v>LP3874ES-2.5-NOPB</v>
      </c>
      <c r="B4653" s="3" t="str">
        <f>HYPERLINK("https://www.773grp.com/manufacturer/national-semiconductor?pageNo=96", "National Semiconductor")</f>
        <v>National Semiconductor</v>
      </c>
      <c r="C4653" s="6">
        <v>1804</v>
      </c>
      <c r="D4653" s="7">
        <v>5.0599999999999996</v>
      </c>
      <c r="E4653" t="s">
        <v>19</v>
      </c>
    </row>
    <row r="4654" spans="1:5" x14ac:dyDescent="0.25">
      <c r="A4654" t="str">
        <f>HYPERLINK("https://www.773grp.com/globalSearch/LP3874ES-3.3-NOPB/page-1", "LP3874ES-3.3-NOPB")</f>
        <v>LP3874ES-3.3-NOPB</v>
      </c>
      <c r="B4654" s="3" t="str">
        <f>HYPERLINK("https://www.773grp.com/manufacturer/national-semiconductor?pageNo=97", "National Semiconductor")</f>
        <v>National Semiconductor</v>
      </c>
      <c r="C4654" s="6">
        <v>250</v>
      </c>
      <c r="D4654" s="7">
        <v>5.0599999999999996</v>
      </c>
      <c r="E4654" t="s">
        <v>19</v>
      </c>
    </row>
    <row r="4655" spans="1:5" x14ac:dyDescent="0.25">
      <c r="A4655" t="str">
        <f>HYPERLINK("https://www.773grp.com/globalSearch/LP3878MR-ADJ-NOPB/page-1", "LP3878MR-ADJ-NOPB")</f>
        <v>LP3878MR-ADJ-NOPB</v>
      </c>
      <c r="B4655" s="3" t="str">
        <f>HYPERLINK("https://www.773grp.com/manufacturer/national-semiconductor?pageNo=98", "National Semiconductor")</f>
        <v>National Semiconductor</v>
      </c>
      <c r="C4655" s="6">
        <v>90</v>
      </c>
      <c r="D4655" s="7">
        <v>5.0599999999999996</v>
      </c>
      <c r="E4655" t="s">
        <v>22</v>
      </c>
    </row>
    <row r="4656" spans="1:5" x14ac:dyDescent="0.25">
      <c r="A4656" t="str">
        <f>HYPERLINK("https://www.773grp.com/globalSearch/CLC405AJE/page-1", "CLC405AJE")</f>
        <v>CLC405AJE</v>
      </c>
      <c r="B4656" s="3" t="str">
        <f>HYPERLINK("https://www.773grp.com/manufacturer/national-semiconductor?pageNo=99", "National Semiconductor")</f>
        <v>National Semiconductor</v>
      </c>
      <c r="C4656" s="6">
        <v>2</v>
      </c>
      <c r="D4656" s="7">
        <v>4.59</v>
      </c>
      <c r="E4656" t="s">
        <v>13</v>
      </c>
    </row>
    <row r="4657" spans="1:5" x14ac:dyDescent="0.25">
      <c r="A4657" t="str">
        <f>HYPERLINK("https://www.773grp.com/globalSearch/LM2655MTCX-3.3/page-1", "LM2655MTCX-3.3")</f>
        <v>LM2655MTCX-3.3</v>
      </c>
      <c r="B4657" s="3" t="str">
        <f>HYPERLINK("https://www.773grp.com/manufacturer/national-semiconductor?pageNo=100", "National Semiconductor")</f>
        <v>National Semiconductor</v>
      </c>
      <c r="C4657" s="6">
        <v>2500</v>
      </c>
      <c r="D4657" s="7">
        <v>4.59</v>
      </c>
      <c r="E4657" t="s">
        <v>7</v>
      </c>
    </row>
    <row r="4658" spans="1:5" x14ac:dyDescent="0.25">
      <c r="A4658" t="str">
        <f>HYPERLINK("https://www.773grp.com/globalSearch/LM2655MTCX-ADJ-NOPB/page-1", "LM2655MTCX-ADJ-NOPB")</f>
        <v>LM2655MTCX-ADJ-NOPB</v>
      </c>
      <c r="B4658" s="3" t="str">
        <f>HYPERLINK("https://www.773grp.com/manufacturer/national-semiconductor?pageNo=101", "National Semiconductor")</f>
        <v>National Semiconductor</v>
      </c>
      <c r="C4658" s="6">
        <v>2500</v>
      </c>
      <c r="D4658" s="7">
        <v>4.59</v>
      </c>
      <c r="E4658" t="s">
        <v>7</v>
      </c>
    </row>
    <row r="4659" spans="1:5" x14ac:dyDescent="0.25">
      <c r="A4659" t="str">
        <f>HYPERLINK("https://www.773grp.com/globalSearch/LM27964SQ-A-NOPB/page-1", "LM27964SQ-A-NOPB")</f>
        <v>LM27964SQ-A-NOPB</v>
      </c>
      <c r="B4659" s="3" t="str">
        <f>HYPERLINK("https://www.773grp.com/manufacturer/national-semiconductor?pageNo=102", "National Semiconductor")</f>
        <v>National Semiconductor</v>
      </c>
      <c r="C4659" s="6">
        <v>2971</v>
      </c>
      <c r="D4659" s="7">
        <v>4.59</v>
      </c>
    </row>
    <row r="4660" spans="1:5" x14ac:dyDescent="0.25">
      <c r="A4660" t="str">
        <f>HYPERLINK("https://www.773grp.com/globalSearch/LM5027MH-1-NOPB/page-1", "LM5027MH-1-NOPB")</f>
        <v>LM5027MH-1-NOPB</v>
      </c>
      <c r="B4660" s="3" t="str">
        <f>HYPERLINK("https://www.773grp.com/manufacturer/national-semiconductor?pageNo=103", "National Semiconductor")</f>
        <v>National Semiconductor</v>
      </c>
      <c r="C4660" s="6">
        <v>119</v>
      </c>
      <c r="D4660" s="7">
        <v>4.59</v>
      </c>
    </row>
    <row r="4661" spans="1:5" x14ac:dyDescent="0.25">
      <c r="A4661" t="str">
        <f>HYPERLINK("https://www.773grp.com/globalSearch/LM613IWM-NOPB/page-1", "LM613IWM-NOPB")</f>
        <v>LM613IWM-NOPB</v>
      </c>
      <c r="B4661" s="3" t="str">
        <f>HYPERLINK("https://www.773grp.com/manufacturer/national-semiconductor?pageNo=104", "National Semiconductor")</f>
        <v>National Semiconductor</v>
      </c>
      <c r="C4661" s="6">
        <v>390</v>
      </c>
      <c r="D4661" s="7">
        <v>4.59</v>
      </c>
      <c r="E4661" t="s">
        <v>13</v>
      </c>
    </row>
    <row r="4662" spans="1:5" x14ac:dyDescent="0.25">
      <c r="A4662" t="str">
        <f>HYPERLINK("https://www.773grp.com/globalSearch/LMC6494BEMX-NOPB/page-1", "LMC6494BEMX-NOPB")</f>
        <v>LMC6494BEMX-NOPB</v>
      </c>
      <c r="B4662" s="3" t="str">
        <f>HYPERLINK("https://www.773grp.com/manufacturer/national-semiconductor?pageNo=105", "National Semiconductor")</f>
        <v>National Semiconductor</v>
      </c>
      <c r="C4662" s="6">
        <v>2500</v>
      </c>
      <c r="D4662" s="7">
        <v>4.59</v>
      </c>
      <c r="E4662" t="s">
        <v>13</v>
      </c>
    </row>
    <row r="4663" spans="1:5" x14ac:dyDescent="0.25">
      <c r="A4663" t="str">
        <f>HYPERLINK("https://www.773grp.com/globalSearch/LMH6703MA-NOPB/page-1", "LMH6703MA-NOPB")</f>
        <v>LMH6703MA-NOPB</v>
      </c>
      <c r="B4663" s="3" t="str">
        <f>HYPERLINK("https://www.773grp.com/manufacturer/national-semiconductor?pageNo=106", "National Semiconductor")</f>
        <v>National Semiconductor</v>
      </c>
      <c r="C4663" s="6">
        <v>2263</v>
      </c>
      <c r="D4663" s="7">
        <v>4.59</v>
      </c>
      <c r="E4663" t="s">
        <v>18</v>
      </c>
    </row>
    <row r="4664" spans="1:5" x14ac:dyDescent="0.25">
      <c r="A4664" t="str">
        <f>HYPERLINK("https://www.773grp.com/globalSearch/LMV7231SQE-NOPB/page-1", "LMV7231SQE-NOPB")</f>
        <v>LMV7231SQE-NOPB</v>
      </c>
      <c r="B4664" s="3" t="str">
        <f>HYPERLINK("https://www.773grp.com/manufacturer/national-semiconductor?pageNo=107", "National Semiconductor")</f>
        <v>National Semiconductor</v>
      </c>
      <c r="C4664" s="6">
        <v>92</v>
      </c>
      <c r="D4664" s="7">
        <v>4.59</v>
      </c>
    </row>
    <row r="4665" spans="1:5" x14ac:dyDescent="0.25">
      <c r="A4665" t="str">
        <f>HYPERLINK("https://www.773grp.com/globalSearch/LP3964ES-1.8/page-1", "LP3964ES-1.8")</f>
        <v>LP3964ES-1.8</v>
      </c>
      <c r="B4665" s="3" t="str">
        <f>HYPERLINK("https://www.773grp.com/manufacturer/national-semiconductor?pageNo=108", "National Semiconductor")</f>
        <v>National Semiconductor</v>
      </c>
      <c r="C4665" s="6">
        <v>260</v>
      </c>
      <c r="D4665" s="7">
        <v>4.59</v>
      </c>
      <c r="E4665" t="s">
        <v>19</v>
      </c>
    </row>
    <row r="4666" spans="1:5" x14ac:dyDescent="0.25">
      <c r="A4666" t="str">
        <f>HYPERLINK("https://www.773grp.com/globalSearch/LM2655MTCX-ADJ-NOPB/page-1", "LM2655MTCX-ADJ-NOPB")</f>
        <v>LM2655MTCX-ADJ-NOPB</v>
      </c>
      <c r="B4666" s="3" t="str">
        <f>HYPERLINK("https://www.773grp.com/manufacturer/national-semiconductor?pageNo=109", "National Semiconductor")</f>
        <v>National Semiconductor</v>
      </c>
      <c r="C4666" s="6">
        <v>7300</v>
      </c>
      <c r="D4666" s="7">
        <v>4.59</v>
      </c>
      <c r="E4666" t="s">
        <v>7</v>
      </c>
    </row>
    <row r="4667" spans="1:5" x14ac:dyDescent="0.25">
      <c r="A4667" t="str">
        <f>HYPERLINK("https://www.773grp.com/globalSearch/LMH6703MA-NOPB/page-1", "LMH6703MA-NOPB")</f>
        <v>LMH6703MA-NOPB</v>
      </c>
      <c r="B4667" s="3" t="str">
        <f>HYPERLINK("https://www.773grp.com/manufacturer/national-semiconductor?pageNo=110", "National Semiconductor")</f>
        <v>National Semiconductor</v>
      </c>
      <c r="C4667" s="6">
        <v>708</v>
      </c>
      <c r="D4667" s="7">
        <v>4.59</v>
      </c>
      <c r="E4667" t="s">
        <v>18</v>
      </c>
    </row>
    <row r="4668" spans="1:5" x14ac:dyDescent="0.25">
      <c r="A4668" t="str">
        <f>HYPERLINK("https://www.773grp.com/globalSearch/LMH6703MA-NOPB/page-1", "LMH6703MA-NOPB")</f>
        <v>LMH6703MA-NOPB</v>
      </c>
      <c r="B4668" s="3" t="str">
        <f>HYPERLINK("https://www.773grp.com/manufacturer/national-semiconductor?pageNo=111", "National Semiconductor")</f>
        <v>National Semiconductor</v>
      </c>
      <c r="C4668" s="6">
        <v>36575</v>
      </c>
      <c r="D4668" s="7">
        <v>4.59</v>
      </c>
      <c r="E4668" t="s">
        <v>18</v>
      </c>
    </row>
    <row r="4669" spans="1:5" x14ac:dyDescent="0.25">
      <c r="A4669" t="str">
        <f>HYPERLINK("https://www.773grp.com/globalSearch/LMV7231SQE-NOPB/page-1", "LMV7231SQE-NOPB")</f>
        <v>LMV7231SQE-NOPB</v>
      </c>
      <c r="B4669" s="3" t="str">
        <f>HYPERLINK("https://www.773grp.com/manufacturer/national-semiconductor?pageNo=112", "National Semiconductor")</f>
        <v>National Semiconductor</v>
      </c>
      <c r="C4669" s="6">
        <v>4250</v>
      </c>
      <c r="D4669" s="7">
        <v>4.59</v>
      </c>
    </row>
    <row r="4670" spans="1:5" x14ac:dyDescent="0.25">
      <c r="A4670" t="str">
        <f>HYPERLINK("https://www.773grp.com/globalSearch/LMV7231SQE-NOPB/page-1", "LMV7231SQE-NOPB")</f>
        <v>LMV7231SQE-NOPB</v>
      </c>
      <c r="B4670" s="3" t="str">
        <f>HYPERLINK("https://www.773grp.com/manufacturer/national-semiconductor?pageNo=113", "National Semiconductor")</f>
        <v>National Semiconductor</v>
      </c>
      <c r="C4670" s="6">
        <v>50</v>
      </c>
      <c r="D4670" s="7">
        <v>4.59</v>
      </c>
    </row>
    <row r="4671" spans="1:5" x14ac:dyDescent="0.25">
      <c r="A4671" t="str">
        <f>HYPERLINK("https://www.773grp.com/globalSearch/LP3964ES-1.8/page-1", "LP3964ES-1.8")</f>
        <v>LP3964ES-1.8</v>
      </c>
      <c r="B4671" s="3" t="str">
        <f>HYPERLINK("https://www.773grp.com/manufacturer/national-semiconductor?pageNo=114", "National Semiconductor")</f>
        <v>National Semiconductor</v>
      </c>
      <c r="C4671" s="6">
        <v>245</v>
      </c>
      <c r="D4671" s="7">
        <v>4.59</v>
      </c>
      <c r="E4671" t="s">
        <v>19</v>
      </c>
    </row>
    <row r="4672" spans="1:5" x14ac:dyDescent="0.25">
      <c r="A4672" t="str">
        <f>HYPERLINK("https://www.773grp.com/globalSearch/TL16C550DRHB/page-1", "TL16C550DRHB")</f>
        <v>TL16C550DRHB</v>
      </c>
      <c r="B4672" s="3" t="str">
        <f>HYPERLINK("https://www.773grp.com/manufacturer/national-semiconductor?pageNo=115", "National Semiconductor")</f>
        <v>National Semiconductor</v>
      </c>
      <c r="C4672" s="6">
        <v>26280</v>
      </c>
      <c r="D4672" s="7">
        <v>4.59</v>
      </c>
    </row>
    <row r="4673" spans="1:5" x14ac:dyDescent="0.25">
      <c r="A4673" t="str">
        <f>HYPERLINK("https://www.773grp.com/globalSearch/LF411CH/page-1", "LF411CH")</f>
        <v>LF411CH</v>
      </c>
      <c r="B4673" s="3" t="str">
        <f>HYPERLINK("https://www.773grp.com/manufacturer/national-semiconductor?pageNo=116", "National Semiconductor")</f>
        <v>National Semiconductor</v>
      </c>
      <c r="C4673" s="6">
        <v>6148</v>
      </c>
      <c r="D4673" s="7">
        <v>4.6100000000000003</v>
      </c>
      <c r="E4673" t="s">
        <v>13</v>
      </c>
    </row>
    <row r="4674" spans="1:5" x14ac:dyDescent="0.25">
      <c r="A4674" t="str">
        <f>HYPERLINK("https://www.773grp.com/globalSearch/LM20323MHE-NOPB/page-1", "LM20323MHE-NOPB")</f>
        <v>LM20323MHE-NOPB</v>
      </c>
      <c r="B4674" s="3" t="str">
        <f>HYPERLINK("https://www.773grp.com/manufacturer/national-semiconductor?pageNo=117", "National Semiconductor")</f>
        <v>National Semiconductor</v>
      </c>
      <c r="C4674" s="6">
        <v>430</v>
      </c>
      <c r="D4674" s="7">
        <v>4.6100000000000003</v>
      </c>
      <c r="E4674" t="s">
        <v>7</v>
      </c>
    </row>
    <row r="4675" spans="1:5" x14ac:dyDescent="0.25">
      <c r="A4675" t="str">
        <f>HYPERLINK("https://www.773grp.com/globalSearch/LMP2232AMA-NOPB/page-1", "LMP2232AMA-NOPB")</f>
        <v>LMP2232AMA-NOPB</v>
      </c>
      <c r="B4675" s="3" t="str">
        <f>HYPERLINK("https://www.773grp.com/manufacturer/national-semiconductor?pageNo=118", "National Semiconductor")</f>
        <v>National Semiconductor</v>
      </c>
      <c r="C4675" s="6">
        <v>264</v>
      </c>
      <c r="D4675" s="7">
        <v>4.6100000000000003</v>
      </c>
    </row>
    <row r="4676" spans="1:5" x14ac:dyDescent="0.25">
      <c r="A4676" t="str">
        <f>HYPERLINK("https://www.773grp.com/globalSearch/MM54HC32J/page-1", "MM54HC32J")</f>
        <v>MM54HC32J</v>
      </c>
      <c r="B4676" s="3" t="str">
        <f>HYPERLINK("https://www.773grp.com/manufacturer/national-semiconductor?pageNo=119", "National Semiconductor")</f>
        <v>National Semiconductor</v>
      </c>
      <c r="C4676" s="6">
        <v>239</v>
      </c>
      <c r="D4676" s="7">
        <v>4.6100000000000003</v>
      </c>
      <c r="E4676" t="s">
        <v>31</v>
      </c>
    </row>
    <row r="4677" spans="1:5" x14ac:dyDescent="0.25">
      <c r="A4677" t="str">
        <f>HYPERLINK("https://www.773grp.com/globalSearch/DS3658N/page-1", "DS3658N")</f>
        <v>DS3658N</v>
      </c>
      <c r="B4677" s="3" t="str">
        <f>HYPERLINK("https://www.773grp.com/manufacturer/national-semiconductor?pageNo=120", "National Semiconductor")</f>
        <v>National Semiconductor</v>
      </c>
      <c r="C4677" s="6">
        <v>854</v>
      </c>
      <c r="D4677" s="7">
        <v>4.6100000000000003</v>
      </c>
    </row>
    <row r="4678" spans="1:5" x14ac:dyDescent="0.25">
      <c r="A4678" t="str">
        <f>HYPERLINK("https://www.773grp.com/globalSearch/LM20323MHE-NOPB/page-1", "LM20323MHE-NOPB")</f>
        <v>LM20323MHE-NOPB</v>
      </c>
      <c r="B4678" s="3" t="str">
        <f>HYPERLINK("https://www.773grp.com/manufacturer/national-semiconductor?pageNo=121", "National Semiconductor")</f>
        <v>National Semiconductor</v>
      </c>
      <c r="C4678" s="6">
        <v>2000</v>
      </c>
      <c r="D4678" s="7">
        <v>4.6100000000000003</v>
      </c>
      <c r="E4678" t="s">
        <v>7</v>
      </c>
    </row>
    <row r="4679" spans="1:5" x14ac:dyDescent="0.25">
      <c r="A4679" t="str">
        <f>HYPERLINK("https://www.773grp.com/globalSearch/LMP2232AMA-NOPB/page-1", "LMP2232AMA-NOPB")</f>
        <v>LMP2232AMA-NOPB</v>
      </c>
      <c r="B4679" s="3" t="str">
        <f>HYPERLINK("https://www.773grp.com/manufacturer/national-semiconductor?pageNo=122", "National Semiconductor")</f>
        <v>National Semiconductor</v>
      </c>
      <c r="C4679" s="6">
        <v>7403</v>
      </c>
      <c r="D4679" s="7">
        <v>4.6100000000000003</v>
      </c>
    </row>
    <row r="4680" spans="1:5" x14ac:dyDescent="0.25">
      <c r="A4680" t="str">
        <f>HYPERLINK("https://www.773grp.com/globalSearch/DS26C31TN/page-1", "DS26C31TN")</f>
        <v>DS26C31TN</v>
      </c>
      <c r="B4680" s="3" t="str">
        <f>HYPERLINK("https://www.773grp.com/manufacturer/national-semiconductor?pageNo=123", "National Semiconductor")</f>
        <v>National Semiconductor</v>
      </c>
      <c r="C4680" s="6">
        <v>804</v>
      </c>
      <c r="D4680" s="7">
        <v>5.1100000000000003</v>
      </c>
      <c r="E4680" t="s">
        <v>21</v>
      </c>
    </row>
    <row r="4681" spans="1:5" x14ac:dyDescent="0.25">
      <c r="A4681" t="str">
        <f>HYPERLINK("https://www.773grp.com/globalSearch/DS36276MX/page-1", "DS36276MX")</f>
        <v>DS36276MX</v>
      </c>
      <c r="B4681" s="3" t="str">
        <f>HYPERLINK("https://www.773grp.com/manufacturer/national-semiconductor?pageNo=124", "National Semiconductor")</f>
        <v>National Semiconductor</v>
      </c>
      <c r="C4681" s="6">
        <v>10000</v>
      </c>
      <c r="D4681" s="7">
        <v>5.1100000000000003</v>
      </c>
      <c r="E4681" t="s">
        <v>21</v>
      </c>
    </row>
    <row r="4682" spans="1:5" x14ac:dyDescent="0.25">
      <c r="A4682" t="str">
        <f>HYPERLINK("https://www.773grp.com/globalSearch/DS3695ATMX-NOPB/page-1", "DS3695ATMX-NOPB")</f>
        <v>DS3695ATMX-NOPB</v>
      </c>
      <c r="B4682" s="3" t="str">
        <f>HYPERLINK("https://www.773grp.com/manufacturer/national-semiconductor?pageNo=125", "National Semiconductor")</f>
        <v>National Semiconductor</v>
      </c>
      <c r="C4682" s="6">
        <v>2382</v>
      </c>
      <c r="D4682" s="7">
        <v>5.1100000000000003</v>
      </c>
      <c r="E4682" t="s">
        <v>21</v>
      </c>
    </row>
    <row r="4683" spans="1:5" x14ac:dyDescent="0.25">
      <c r="A4683" t="str">
        <f>HYPERLINK("https://www.773grp.com/globalSearch/DS90LV049QMT/page-1", "DS90LV049QMT")</f>
        <v>DS90LV049QMT</v>
      </c>
      <c r="B4683" s="3" t="str">
        <f>HYPERLINK("https://www.773grp.com/manufacturer/national-semiconductor?pageNo=126", "National Semiconductor")</f>
        <v>National Semiconductor</v>
      </c>
      <c r="C4683" s="6">
        <v>179</v>
      </c>
      <c r="D4683" s="7">
        <v>5.1100000000000003</v>
      </c>
      <c r="E4683" t="s">
        <v>21</v>
      </c>
    </row>
    <row r="4684" spans="1:5" x14ac:dyDescent="0.25">
      <c r="A4684" t="str">
        <f>HYPERLINK("https://www.773grp.com/globalSearch/LM1085ISX-12/page-1", "LM1085ISX-12")</f>
        <v>LM1085ISX-12</v>
      </c>
      <c r="B4684" s="3" t="str">
        <f>HYPERLINK("https://www.773grp.com/manufacturer/national-semiconductor?pageNo=127", "National Semiconductor")</f>
        <v>National Semiconductor</v>
      </c>
      <c r="C4684" s="6">
        <v>5500</v>
      </c>
      <c r="D4684" s="7">
        <v>5.1100000000000003</v>
      </c>
      <c r="E4684" t="s">
        <v>19</v>
      </c>
    </row>
    <row r="4685" spans="1:5" x14ac:dyDescent="0.25">
      <c r="A4685" t="str">
        <f>HYPERLINK("https://www.773grp.com/globalSearch/LM1085ISX-12-NOPB/page-1", "LM1085ISX-12-NOPB")</f>
        <v>LM1085ISX-12-NOPB</v>
      </c>
      <c r="B4685" s="3" t="str">
        <f>HYPERLINK("https://www.773grp.com/manufacturer/national-semiconductor?pageNo=128", "National Semiconductor")</f>
        <v>National Semiconductor</v>
      </c>
      <c r="C4685" s="6">
        <v>3</v>
      </c>
      <c r="D4685" s="7">
        <v>5.1100000000000003</v>
      </c>
      <c r="E4685" t="s">
        <v>19</v>
      </c>
    </row>
    <row r="4686" spans="1:5" x14ac:dyDescent="0.25">
      <c r="A4686" t="str">
        <f>HYPERLINK("https://www.773grp.com/globalSearch/LM285BYM-1.2-NOPB/page-1", "LM285BYM-1.2-NOPB")</f>
        <v>LM285BYM-1.2-NOPB</v>
      </c>
      <c r="B4686" s="3" t="str">
        <f>HYPERLINK("https://www.773grp.com/manufacturer/national-semiconductor?pageNo=129", "National Semiconductor")</f>
        <v>National Semiconductor</v>
      </c>
      <c r="C4686" s="6">
        <v>575</v>
      </c>
      <c r="D4686" s="7">
        <v>5.1100000000000003</v>
      </c>
      <c r="E4686" t="s">
        <v>17</v>
      </c>
    </row>
    <row r="4687" spans="1:5" x14ac:dyDescent="0.25">
      <c r="A4687" t="str">
        <f>HYPERLINK("https://www.773grp.com/globalSearch/LM285BYM-2.5-NOPB/page-1", "LM285BYM-2.5-NOPB")</f>
        <v>LM285BYM-2.5-NOPB</v>
      </c>
      <c r="B4687" s="3" t="str">
        <f>HYPERLINK("https://www.773grp.com/manufacturer/national-semiconductor?pageNo=130", "National Semiconductor")</f>
        <v>National Semiconductor</v>
      </c>
      <c r="C4687" s="6">
        <v>2942</v>
      </c>
      <c r="D4687" s="7">
        <v>5.1100000000000003</v>
      </c>
      <c r="E4687" t="s">
        <v>17</v>
      </c>
    </row>
    <row r="4688" spans="1:5" x14ac:dyDescent="0.25">
      <c r="A4688" t="str">
        <f>HYPERLINK("https://www.773grp.com/globalSearch/LM2940IMP-12/page-1", "LM2940IMP-12")</f>
        <v>LM2940IMP-12</v>
      </c>
      <c r="B4688" s="3" t="str">
        <f>HYPERLINK("https://www.773grp.com/manufacturer/national-semiconductor?pageNo=131", "National Semiconductor")</f>
        <v>National Semiconductor</v>
      </c>
      <c r="C4688" s="6">
        <v>1000</v>
      </c>
      <c r="D4688" s="7">
        <v>5.1100000000000003</v>
      </c>
      <c r="E4688" t="s">
        <v>19</v>
      </c>
    </row>
    <row r="4689" spans="1:5" x14ac:dyDescent="0.25">
      <c r="A4689" t="str">
        <f>HYPERLINK("https://www.773grp.com/globalSearch/LM2940IMP-15/page-1", "LM2940IMP-15")</f>
        <v>LM2940IMP-15</v>
      </c>
      <c r="B4689" s="3" t="str">
        <f>HYPERLINK("https://www.773grp.com/manufacturer/national-semiconductor?pageNo=132", "National Semiconductor")</f>
        <v>National Semiconductor</v>
      </c>
      <c r="C4689" s="6">
        <v>835</v>
      </c>
      <c r="D4689" s="7">
        <v>5.1100000000000003</v>
      </c>
      <c r="E4689" t="s">
        <v>19</v>
      </c>
    </row>
    <row r="4690" spans="1:5" x14ac:dyDescent="0.25">
      <c r="A4690" t="str">
        <f>HYPERLINK("https://www.773grp.com/globalSearch/LM2940IMPX-5.0/page-1", "LM2940IMPX-5.0")</f>
        <v>LM2940IMPX-5.0</v>
      </c>
      <c r="B4690" s="3" t="str">
        <f>HYPERLINK("https://www.773grp.com/manufacturer/national-semiconductor?pageNo=133", "National Semiconductor")</f>
        <v>National Semiconductor</v>
      </c>
      <c r="C4690" s="6">
        <v>4000</v>
      </c>
      <c r="D4690" s="7">
        <v>5.1100000000000003</v>
      </c>
      <c r="E4690" t="s">
        <v>19</v>
      </c>
    </row>
    <row r="4691" spans="1:5" x14ac:dyDescent="0.25">
      <c r="A4691" t="str">
        <f>HYPERLINK("https://www.773grp.com/globalSearch/LM2940S-10/page-1", "LM2940S-10")</f>
        <v>LM2940S-10</v>
      </c>
      <c r="B4691" s="3" t="str">
        <f>HYPERLINK("https://www.773grp.com/manufacturer/national-semiconductor?pageNo=134", "National Semiconductor")</f>
        <v>National Semiconductor</v>
      </c>
      <c r="C4691" s="6">
        <v>231</v>
      </c>
      <c r="D4691" s="7">
        <v>5.1100000000000003</v>
      </c>
      <c r="E4691" t="s">
        <v>19</v>
      </c>
    </row>
    <row r="4692" spans="1:5" x14ac:dyDescent="0.25">
      <c r="A4692" t="str">
        <f>HYPERLINK("https://www.773grp.com/globalSearch/LM2940S-12/page-1", "LM2940S-12")</f>
        <v>LM2940S-12</v>
      </c>
      <c r="B4692" s="3" t="str">
        <f>HYPERLINK("https://www.773grp.com/manufacturer/national-semiconductor?pageNo=1", "National Semiconductor")</f>
        <v>National Semiconductor</v>
      </c>
      <c r="C4692" s="6">
        <v>5812</v>
      </c>
      <c r="D4692" s="7">
        <v>5.1100000000000003</v>
      </c>
      <c r="E4692" t="s">
        <v>19</v>
      </c>
    </row>
    <row r="4693" spans="1:5" x14ac:dyDescent="0.25">
      <c r="A4693" t="str">
        <f>HYPERLINK("https://www.773grp.com/globalSearch/LM317HVT-NOPB/page-1", "LM317HVT-NOPB")</f>
        <v>LM317HVT-NOPB</v>
      </c>
      <c r="B4693" s="3" t="str">
        <f>HYPERLINK("https://www.773grp.com/manufacturer/national-semiconductor?pageNo=2", "National Semiconductor")</f>
        <v>National Semiconductor</v>
      </c>
      <c r="C4693" s="6">
        <v>11276</v>
      </c>
      <c r="D4693" s="7">
        <v>5.1100000000000003</v>
      </c>
      <c r="E4693" t="s">
        <v>22</v>
      </c>
    </row>
    <row r="4694" spans="1:5" x14ac:dyDescent="0.25">
      <c r="A4694" t="str">
        <f>HYPERLINK("https://www.773grp.com/globalSearch/LM4665ITL/page-1", "LM4665ITL")</f>
        <v>LM4665ITL</v>
      </c>
      <c r="B4694" s="3" t="str">
        <f>HYPERLINK("https://www.773grp.com/manufacturer/national-semiconductor?pageNo=3", "National Semiconductor")</f>
        <v>National Semiconductor</v>
      </c>
      <c r="C4694" s="6">
        <v>250</v>
      </c>
      <c r="D4694" s="7">
        <v>5.1100000000000003</v>
      </c>
      <c r="E4694" t="s">
        <v>18</v>
      </c>
    </row>
    <row r="4695" spans="1:5" x14ac:dyDescent="0.25">
      <c r="A4695" t="str">
        <f>HYPERLINK("https://www.773grp.com/globalSearch/LM9070T/page-1", "LM9070T")</f>
        <v>LM9070T</v>
      </c>
      <c r="B4695" s="3" t="str">
        <f>HYPERLINK("https://www.773grp.com/manufacturer/national-semiconductor?pageNo=4", "National Semiconductor")</f>
        <v>National Semiconductor</v>
      </c>
      <c r="C4695" s="6">
        <v>364</v>
      </c>
      <c r="D4695" s="7">
        <v>5.1100000000000003</v>
      </c>
      <c r="E4695" t="s">
        <v>19</v>
      </c>
    </row>
    <row r="4696" spans="1:5" x14ac:dyDescent="0.25">
      <c r="A4696" t="str">
        <f>HYPERLINK("https://www.773grp.com/globalSearch/LM9074M-NOPB/page-1", "LM9074M-NOPB")</f>
        <v>LM9074M-NOPB</v>
      </c>
      <c r="B4696" s="3" t="str">
        <f>HYPERLINK("https://www.773grp.com/manufacturer/national-semiconductor?pageNo=5", "National Semiconductor")</f>
        <v>National Semiconductor</v>
      </c>
      <c r="C4696" s="6">
        <v>33</v>
      </c>
      <c r="D4696" s="7">
        <v>5.1100000000000003</v>
      </c>
      <c r="E4696" t="s">
        <v>28</v>
      </c>
    </row>
    <row r="4697" spans="1:5" x14ac:dyDescent="0.25">
      <c r="A4697" t="str">
        <f>HYPERLINK("https://www.773grp.com/globalSearch/LM9074MX/page-1", "LM9074MX")</f>
        <v>LM9074MX</v>
      </c>
      <c r="B4697" s="3" t="str">
        <f>HYPERLINK("https://www.773grp.com/manufacturer/national-semiconductor?pageNo=6", "National Semiconductor")</f>
        <v>National Semiconductor</v>
      </c>
      <c r="C4697" s="6">
        <v>5000</v>
      </c>
      <c r="D4697" s="7">
        <v>5.1100000000000003</v>
      </c>
      <c r="E4697" t="s">
        <v>28</v>
      </c>
    </row>
    <row r="4698" spans="1:5" x14ac:dyDescent="0.25">
      <c r="A4698" t="str">
        <f>HYPERLINK("https://www.773grp.com/globalSearch/LMC660AIN-NOPB/page-1", "LMC660AIN-NOPB")</f>
        <v>LMC660AIN-NOPB</v>
      </c>
      <c r="B4698" s="3" t="str">
        <f>HYPERLINK("https://www.773grp.com/manufacturer/national-semiconductor?pageNo=7", "National Semiconductor")</f>
        <v>National Semiconductor</v>
      </c>
      <c r="C4698" s="6">
        <v>765</v>
      </c>
      <c r="D4698" s="7">
        <v>5.1100000000000003</v>
      </c>
      <c r="E4698" t="s">
        <v>13</v>
      </c>
    </row>
    <row r="4699" spans="1:5" x14ac:dyDescent="0.25">
      <c r="A4699" t="str">
        <f>HYPERLINK("https://www.773grp.com/globalSearch/LMS1487CNA/page-1", "LMS1487CNA")</f>
        <v>LMS1487CNA</v>
      </c>
      <c r="B4699" s="3" t="str">
        <f>HYPERLINK("https://www.773grp.com/manufacturer/national-semiconductor?pageNo=8", "National Semiconductor")</f>
        <v>National Semiconductor</v>
      </c>
      <c r="C4699" s="6">
        <v>2768</v>
      </c>
      <c r="D4699" s="7">
        <v>5.1100000000000003</v>
      </c>
      <c r="E4699" t="s">
        <v>21</v>
      </c>
    </row>
    <row r="4700" spans="1:5" x14ac:dyDescent="0.25">
      <c r="A4700" t="str">
        <f>HYPERLINK("https://www.773grp.com/globalSearch/LMS1487ECNA/page-1", "LMS1487ECNA")</f>
        <v>LMS1487ECNA</v>
      </c>
      <c r="B4700" s="3" t="str">
        <f>HYPERLINK("https://www.773grp.com/manufacturer/national-semiconductor?pageNo=9", "National Semiconductor")</f>
        <v>National Semiconductor</v>
      </c>
      <c r="C4700" s="6">
        <v>1520</v>
      </c>
      <c r="D4700" s="7">
        <v>5.1100000000000003</v>
      </c>
      <c r="E4700" t="s">
        <v>21</v>
      </c>
    </row>
    <row r="4701" spans="1:5" x14ac:dyDescent="0.25">
      <c r="A4701" t="str">
        <f>HYPERLINK("https://www.773grp.com/globalSearch/LMS1585AISX-1.5-NOPB/page-1", "LMS1585AISX-1.5-NOPB")</f>
        <v>LMS1585AISX-1.5-NOPB</v>
      </c>
      <c r="B4701" s="3" t="str">
        <f>HYPERLINK("https://www.773grp.com/manufacturer/national-semiconductor?pageNo=10", "National Semiconductor")</f>
        <v>National Semiconductor</v>
      </c>
      <c r="C4701" s="6">
        <v>1000</v>
      </c>
      <c r="D4701" s="7">
        <v>5.1100000000000003</v>
      </c>
      <c r="E4701" t="s">
        <v>19</v>
      </c>
    </row>
    <row r="4702" spans="1:5" x14ac:dyDescent="0.25">
      <c r="A4702" t="str">
        <f>HYPERLINK("https://www.773grp.com/globalSearch/LMS1587CS-1.5-J7001774/page-1", "LMS1587CS-1.5-J7001774")</f>
        <v>LMS1587CS-1.5-J7001774</v>
      </c>
      <c r="B4702" s="3" t="str">
        <f>HYPERLINK("https://www.773grp.com/manufacturer/national-semiconductor?pageNo=11", "National Semiconductor")</f>
        <v>National Semiconductor</v>
      </c>
      <c r="C4702" s="6">
        <v>45</v>
      </c>
      <c r="D4702" s="7">
        <v>5.1100000000000003</v>
      </c>
    </row>
    <row r="4703" spans="1:5" x14ac:dyDescent="0.25">
      <c r="A4703" t="str">
        <f>HYPERLINK("https://www.773grp.com/globalSearch/LMS1587CSX-1.5-J7001775/page-1", "LMS1587CSX-1.5-J7001775")</f>
        <v>LMS1587CSX-1.5-J7001775</v>
      </c>
      <c r="B4703" s="3" t="str">
        <f>HYPERLINK("https://www.773grp.com/manufacturer/national-semiconductor?pageNo=12", "National Semiconductor")</f>
        <v>National Semiconductor</v>
      </c>
      <c r="C4703" s="6">
        <v>6000</v>
      </c>
      <c r="D4703" s="7">
        <v>5.1100000000000003</v>
      </c>
    </row>
    <row r="4704" spans="1:5" x14ac:dyDescent="0.25">
      <c r="A4704" t="str">
        <f>HYPERLINK("https://www.773grp.com/globalSearch/LMS1587ISX-1.5-NOPB/page-1", "LMS1587ISX-1.5-NOPB")</f>
        <v>LMS1587ISX-1.5-NOPB</v>
      </c>
      <c r="B4704" s="3" t="str">
        <f>HYPERLINK("https://www.773grp.com/manufacturer/national-semiconductor?pageNo=13", "National Semiconductor")</f>
        <v>National Semiconductor</v>
      </c>
      <c r="C4704" s="6">
        <v>500</v>
      </c>
      <c r="D4704" s="7">
        <v>5.1100000000000003</v>
      </c>
      <c r="E4704" t="s">
        <v>19</v>
      </c>
    </row>
    <row r="4705" spans="1:5" x14ac:dyDescent="0.25">
      <c r="A4705" t="str">
        <f>HYPERLINK("https://www.773grp.com/globalSearch/LMS485IM/page-1", "LMS485IM")</f>
        <v>LMS485IM</v>
      </c>
      <c r="B4705" s="3" t="str">
        <f>HYPERLINK("https://www.773grp.com/manufacturer/national-semiconductor?pageNo=14", "National Semiconductor")</f>
        <v>National Semiconductor</v>
      </c>
      <c r="C4705" s="6">
        <v>685</v>
      </c>
      <c r="D4705" s="7">
        <v>5.1100000000000003</v>
      </c>
      <c r="E4705" t="s">
        <v>21</v>
      </c>
    </row>
    <row r="4706" spans="1:5" x14ac:dyDescent="0.25">
      <c r="A4706" t="str">
        <f>HYPERLINK("https://www.773grp.com/globalSearch/LMS485IMX/page-1", "LMS485IMX")</f>
        <v>LMS485IMX</v>
      </c>
      <c r="B4706" s="3" t="str">
        <f>HYPERLINK("https://www.773grp.com/manufacturer/national-semiconductor?pageNo=15", "National Semiconductor")</f>
        <v>National Semiconductor</v>
      </c>
      <c r="C4706" s="6">
        <v>916</v>
      </c>
      <c r="D4706" s="7">
        <v>5.1100000000000003</v>
      </c>
      <c r="E4706" t="s">
        <v>21</v>
      </c>
    </row>
    <row r="4707" spans="1:5" x14ac:dyDescent="0.25">
      <c r="A4707" t="str">
        <f>HYPERLINK("https://www.773grp.com/globalSearch/ADCS7478AIMFE-NOPB/page-1", "ADCS7478AIMFE-NOPB")</f>
        <v>ADCS7478AIMFE-NOPB</v>
      </c>
      <c r="B4707" s="3" t="str">
        <f>HYPERLINK("https://www.773grp.com/manufacturer/national-semiconductor?pageNo=16", "National Semiconductor")</f>
        <v>National Semiconductor</v>
      </c>
      <c r="C4707" s="6">
        <v>25000</v>
      </c>
      <c r="D4707" s="7">
        <v>5.1100000000000003</v>
      </c>
    </row>
    <row r="4708" spans="1:5" x14ac:dyDescent="0.25">
      <c r="A4708" t="str">
        <f>HYPERLINK("https://www.773grp.com/globalSearch/DS26LV32ATM/page-1", "DS26LV32ATM")</f>
        <v>DS26LV32ATM</v>
      </c>
      <c r="B4708" s="3" t="str">
        <f>HYPERLINK("https://www.773grp.com/manufacturer/national-semiconductor?pageNo=17", "National Semiconductor")</f>
        <v>National Semiconductor</v>
      </c>
      <c r="C4708" s="6">
        <v>336</v>
      </c>
      <c r="D4708" s="7">
        <v>5.1100000000000003</v>
      </c>
    </row>
    <row r="4709" spans="1:5" x14ac:dyDescent="0.25">
      <c r="A4709" t="str">
        <f>HYPERLINK("https://www.773grp.com/globalSearch/DS36276MX/page-1", "DS36276MX")</f>
        <v>DS36276MX</v>
      </c>
      <c r="B4709" s="3" t="str">
        <f>HYPERLINK("https://www.773grp.com/manufacturer/national-semiconductor?pageNo=18", "National Semiconductor")</f>
        <v>National Semiconductor</v>
      </c>
      <c r="C4709" s="6">
        <v>5000</v>
      </c>
      <c r="D4709" s="7">
        <v>5.1100000000000003</v>
      </c>
      <c r="E4709" t="s">
        <v>21</v>
      </c>
    </row>
    <row r="4710" spans="1:5" x14ac:dyDescent="0.25">
      <c r="A4710" t="str">
        <f>HYPERLINK("https://www.773grp.com/globalSearch/DS3695ATMX-NOPB/page-1", "DS3695ATMX-NOPB")</f>
        <v>DS3695ATMX-NOPB</v>
      </c>
      <c r="B4710" s="3" t="str">
        <f>HYPERLINK("https://www.773grp.com/manufacturer/national-semiconductor?pageNo=19", "National Semiconductor")</f>
        <v>National Semiconductor</v>
      </c>
      <c r="C4710" s="6">
        <v>2500</v>
      </c>
      <c r="D4710" s="7">
        <v>5.1100000000000003</v>
      </c>
      <c r="E4710" t="s">
        <v>21</v>
      </c>
    </row>
    <row r="4711" spans="1:5" x14ac:dyDescent="0.25">
      <c r="A4711" t="str">
        <f>HYPERLINK("https://www.773grp.com/globalSearch/DS3695ATMX-NOPB/page-1", "DS3695ATMX-NOPB")</f>
        <v>DS3695ATMX-NOPB</v>
      </c>
      <c r="B4711" s="3" t="str">
        <f>HYPERLINK("https://www.773grp.com/manufacturer/national-semiconductor?pageNo=20", "National Semiconductor")</f>
        <v>National Semiconductor</v>
      </c>
      <c r="C4711" s="6">
        <v>1058</v>
      </c>
      <c r="D4711" s="7">
        <v>5.1100000000000003</v>
      </c>
      <c r="E4711" t="s">
        <v>21</v>
      </c>
    </row>
    <row r="4712" spans="1:5" x14ac:dyDescent="0.25">
      <c r="A4712" t="str">
        <f>HYPERLINK("https://www.773grp.com/globalSearch/DS90LV018ATM/page-1", "DS90LV018ATM")</f>
        <v>DS90LV018ATM</v>
      </c>
      <c r="B4712" s="3" t="str">
        <f>HYPERLINK("https://www.773grp.com/manufacturer/national-semiconductor?pageNo=21", "National Semiconductor")</f>
        <v>National Semiconductor</v>
      </c>
      <c r="C4712" s="6">
        <v>380</v>
      </c>
      <c r="D4712" s="7">
        <v>5.1100000000000003</v>
      </c>
    </row>
    <row r="4713" spans="1:5" x14ac:dyDescent="0.25">
      <c r="A4713" t="str">
        <f>HYPERLINK("https://www.773grp.com/globalSearch/LM25019MR-NOPB/page-1", "LM25019MR-NOPB")</f>
        <v>LM25019MR-NOPB</v>
      </c>
      <c r="B4713" s="3" t="str">
        <f>HYPERLINK("https://www.773grp.com/manufacturer/national-semiconductor?pageNo=22", "National Semiconductor")</f>
        <v>National Semiconductor</v>
      </c>
      <c r="C4713" s="6">
        <v>285</v>
      </c>
      <c r="D4713" s="7">
        <v>5.1100000000000003</v>
      </c>
    </row>
    <row r="4714" spans="1:5" x14ac:dyDescent="0.25">
      <c r="A4714" t="str">
        <f>HYPERLINK("https://www.773grp.com/globalSearch/LM285BYM-1.2-NOPB/page-1", "LM285BYM-1.2-NOPB")</f>
        <v>LM285BYM-1.2-NOPB</v>
      </c>
      <c r="B4714" s="3" t="str">
        <f>HYPERLINK("https://www.773grp.com/manufacturer/national-semiconductor?pageNo=23", "National Semiconductor")</f>
        <v>National Semiconductor</v>
      </c>
      <c r="C4714" s="6">
        <v>4</v>
      </c>
      <c r="D4714" s="7">
        <v>5.1100000000000003</v>
      </c>
      <c r="E4714" t="s">
        <v>17</v>
      </c>
    </row>
    <row r="4715" spans="1:5" x14ac:dyDescent="0.25">
      <c r="A4715" t="str">
        <f>HYPERLINK("https://www.773grp.com/globalSearch/LM285BYM-2.5-NOPB/page-1", "LM285BYM-2.5-NOPB")</f>
        <v>LM285BYM-2.5-NOPB</v>
      </c>
      <c r="B4715" s="3" t="str">
        <f>HYPERLINK("https://www.773grp.com/manufacturer/national-semiconductor?pageNo=24", "National Semiconductor")</f>
        <v>National Semiconductor</v>
      </c>
      <c r="C4715" s="6">
        <v>350</v>
      </c>
      <c r="D4715" s="7">
        <v>5.1100000000000003</v>
      </c>
      <c r="E4715" t="s">
        <v>17</v>
      </c>
    </row>
    <row r="4716" spans="1:5" x14ac:dyDescent="0.25">
      <c r="A4716" t="str">
        <f>HYPERLINK("https://www.773grp.com/globalSearch/LM2940IMP-10/page-1", "LM2940IMP-10")</f>
        <v>LM2940IMP-10</v>
      </c>
      <c r="B4716" s="3" t="str">
        <f>HYPERLINK("https://www.773grp.com/manufacturer/national-semiconductor?pageNo=25", "National Semiconductor")</f>
        <v>National Semiconductor</v>
      </c>
      <c r="C4716" s="6">
        <v>1000</v>
      </c>
      <c r="D4716" s="7">
        <v>5.1100000000000003</v>
      </c>
    </row>
    <row r="4717" spans="1:5" x14ac:dyDescent="0.25">
      <c r="A4717" t="str">
        <f>HYPERLINK("https://www.773grp.com/globalSearch/LM2940IMP-12/page-1", "LM2940IMP-12")</f>
        <v>LM2940IMP-12</v>
      </c>
      <c r="B4717" s="3" t="str">
        <f>HYPERLINK("https://www.773grp.com/manufacturer/national-semiconductor?pageNo=26", "National Semiconductor")</f>
        <v>National Semiconductor</v>
      </c>
      <c r="C4717" s="6">
        <v>1081</v>
      </c>
      <c r="D4717" s="7">
        <v>5.1100000000000003</v>
      </c>
      <c r="E4717" t="s">
        <v>19</v>
      </c>
    </row>
    <row r="4718" spans="1:5" x14ac:dyDescent="0.25">
      <c r="A4718" t="str">
        <f>HYPERLINK("https://www.773grp.com/globalSearch/LM2940S-10/page-1", "LM2940S-10")</f>
        <v>LM2940S-10</v>
      </c>
      <c r="B4718" s="3" t="str">
        <f>HYPERLINK("https://www.773grp.com/manufacturer/national-semiconductor?pageNo=27", "National Semiconductor")</f>
        <v>National Semiconductor</v>
      </c>
      <c r="C4718" s="6">
        <v>665</v>
      </c>
      <c r="D4718" s="7">
        <v>5.1100000000000003</v>
      </c>
      <c r="E4718" t="s">
        <v>19</v>
      </c>
    </row>
    <row r="4719" spans="1:5" x14ac:dyDescent="0.25">
      <c r="A4719" t="str">
        <f>HYPERLINK("https://www.773grp.com/globalSearch/LM2940S-5.0/page-1", "LM2940S-5.0")</f>
        <v>LM2940S-5.0</v>
      </c>
      <c r="B4719" s="3" t="str">
        <f>HYPERLINK("https://www.773grp.com/manufacturer/national-semiconductor?pageNo=28", "National Semiconductor")</f>
        <v>National Semiconductor</v>
      </c>
      <c r="C4719" s="6">
        <v>270</v>
      </c>
      <c r="D4719" s="7">
        <v>5.1100000000000003</v>
      </c>
    </row>
    <row r="4720" spans="1:5" x14ac:dyDescent="0.25">
      <c r="A4720" t="str">
        <f>HYPERLINK("https://www.773grp.com/globalSearch/LM317HVT-NOPB/page-1", "LM317HVT-NOPB")</f>
        <v>LM317HVT-NOPB</v>
      </c>
      <c r="B4720" s="3" t="str">
        <f>HYPERLINK("https://www.773grp.com/manufacturer/national-semiconductor?pageNo=29", "National Semiconductor")</f>
        <v>National Semiconductor</v>
      </c>
      <c r="C4720" s="6">
        <v>230</v>
      </c>
      <c r="D4720" s="7">
        <v>5.1100000000000003</v>
      </c>
      <c r="E4720" t="s">
        <v>22</v>
      </c>
    </row>
    <row r="4721" spans="1:5" x14ac:dyDescent="0.25">
      <c r="A4721" t="str">
        <f>HYPERLINK("https://www.773grp.com/globalSearch/LM9074M-NOPB/page-1", "LM9074M-NOPB")</f>
        <v>LM9074M-NOPB</v>
      </c>
      <c r="B4721" s="3" t="str">
        <f>HYPERLINK("https://www.773grp.com/manufacturer/national-semiconductor?pageNo=30", "National Semiconductor")</f>
        <v>National Semiconductor</v>
      </c>
      <c r="C4721" s="6">
        <v>440</v>
      </c>
      <c r="D4721" s="7">
        <v>5.1100000000000003</v>
      </c>
      <c r="E4721" t="s">
        <v>28</v>
      </c>
    </row>
    <row r="4722" spans="1:5" x14ac:dyDescent="0.25">
      <c r="A4722" t="str">
        <f>HYPERLINK("https://www.773grp.com/globalSearch/LMC660AIN-NOPB/page-1", "LMC660AIN-NOPB")</f>
        <v>LMC660AIN-NOPB</v>
      </c>
      <c r="B4722" s="3" t="str">
        <f>HYPERLINK("https://www.773grp.com/manufacturer/national-semiconductor?pageNo=31", "National Semiconductor")</f>
        <v>National Semiconductor</v>
      </c>
      <c r="C4722" s="6">
        <v>209</v>
      </c>
      <c r="D4722" s="7">
        <v>5.1100000000000003</v>
      </c>
      <c r="E4722" t="s">
        <v>13</v>
      </c>
    </row>
    <row r="4723" spans="1:5" x14ac:dyDescent="0.25">
      <c r="A4723" t="str">
        <f>HYPERLINK("https://www.773grp.com/globalSearch/LMH6654MA-NOPB/page-1", "LMH6654MA-NOPB")</f>
        <v>LMH6654MA-NOPB</v>
      </c>
      <c r="B4723" s="3" t="str">
        <f>HYPERLINK("https://www.773grp.com/manufacturer/national-semiconductor?pageNo=32", "National Semiconductor")</f>
        <v>National Semiconductor</v>
      </c>
      <c r="C4723" s="6">
        <v>205</v>
      </c>
      <c r="D4723" s="7">
        <v>5.1100000000000003</v>
      </c>
    </row>
    <row r="4724" spans="1:5" x14ac:dyDescent="0.25">
      <c r="A4724" t="str">
        <f>HYPERLINK("https://www.773grp.com/globalSearch/54121FMQB/page-1", "54121FMQB")</f>
        <v>54121FMQB</v>
      </c>
      <c r="B4724" s="3" t="str">
        <f>HYPERLINK("https://www.773grp.com/manufacturer/national-semiconductor?pageNo=33", "National Semiconductor")</f>
        <v>National Semiconductor</v>
      </c>
      <c r="C4724" s="6">
        <v>618</v>
      </c>
      <c r="D4724" s="7">
        <v>4.6399999999999997</v>
      </c>
      <c r="E4724" t="s">
        <v>54</v>
      </c>
    </row>
    <row r="4725" spans="1:5" x14ac:dyDescent="0.25">
      <c r="A4725" t="str">
        <f>HYPERLINK("https://www.773grp.com/globalSearch/5446ADM/page-1", "5446ADM")</f>
        <v>5446ADM</v>
      </c>
      <c r="B4725" s="3" t="str">
        <f>HYPERLINK("https://www.773grp.com/manufacturer/national-semiconductor?pageNo=34", "National Semiconductor")</f>
        <v>National Semiconductor</v>
      </c>
      <c r="C4725" s="6">
        <v>356</v>
      </c>
      <c r="D4725" s="7">
        <v>4.6399999999999997</v>
      </c>
    </row>
    <row r="4726" spans="1:5" x14ac:dyDescent="0.25">
      <c r="A4726" t="str">
        <f>HYPERLINK("https://www.773grp.com/globalSearch/54LS02FMQB/page-1", "54LS02FMQB")</f>
        <v>54LS02FMQB</v>
      </c>
      <c r="B4726" s="3" t="str">
        <f>HYPERLINK("https://www.773grp.com/manufacturer/national-semiconductor?pageNo=35", "National Semiconductor")</f>
        <v>National Semiconductor</v>
      </c>
      <c r="C4726" s="6">
        <v>1686</v>
      </c>
      <c r="D4726" s="7">
        <v>4.6399999999999997</v>
      </c>
      <c r="E4726" t="s">
        <v>31</v>
      </c>
    </row>
    <row r="4727" spans="1:5" x14ac:dyDescent="0.25">
      <c r="A4727" t="str">
        <f>HYPERLINK("https://www.773grp.com/globalSearch/54LS03FM/page-1", "54LS03FM")</f>
        <v>54LS03FM</v>
      </c>
      <c r="B4727" s="3" t="str">
        <f>HYPERLINK("https://www.773grp.com/manufacturer/national-semiconductor?pageNo=36", "National Semiconductor")</f>
        <v>National Semiconductor</v>
      </c>
      <c r="C4727" s="6">
        <v>80</v>
      </c>
      <c r="D4727" s="7">
        <v>4.6399999999999997</v>
      </c>
    </row>
    <row r="4728" spans="1:5" x14ac:dyDescent="0.25">
      <c r="A4728" t="str">
        <f>HYPERLINK("https://www.773grp.com/globalSearch/54LS03FMQB/page-1", "54LS03FMQB")</f>
        <v>54LS03FMQB</v>
      </c>
      <c r="B4728" s="3" t="str">
        <f>HYPERLINK("https://www.773grp.com/manufacturer/national-semiconductor?pageNo=37", "National Semiconductor")</f>
        <v>National Semiconductor</v>
      </c>
      <c r="C4728" s="6">
        <v>237</v>
      </c>
      <c r="D4728" s="7">
        <v>4.6399999999999997</v>
      </c>
      <c r="E4728" t="s">
        <v>31</v>
      </c>
    </row>
    <row r="4729" spans="1:5" x14ac:dyDescent="0.25">
      <c r="A4729" t="str">
        <f>HYPERLINK("https://www.773grp.com/globalSearch/54LS109FM/page-1", "54LS109FM")</f>
        <v>54LS109FM</v>
      </c>
      <c r="B4729" s="3" t="str">
        <f>HYPERLINK("https://www.773grp.com/manufacturer/national-semiconductor?pageNo=38", "National Semiconductor")</f>
        <v>National Semiconductor</v>
      </c>
      <c r="C4729" s="6">
        <v>155</v>
      </c>
      <c r="D4729" s="7">
        <v>4.6399999999999997</v>
      </c>
    </row>
    <row r="4730" spans="1:5" x14ac:dyDescent="0.25">
      <c r="A4730" t="str">
        <f>HYPERLINK("https://www.773grp.com/globalSearch/54LS10FMQB/page-1", "54LS10FMQB")</f>
        <v>54LS10FMQB</v>
      </c>
      <c r="B4730" s="3" t="str">
        <f>HYPERLINK("https://www.773grp.com/manufacturer/national-semiconductor?pageNo=39", "National Semiconductor")</f>
        <v>National Semiconductor</v>
      </c>
      <c r="C4730" s="6">
        <v>1197</v>
      </c>
      <c r="D4730" s="7">
        <v>4.6399999999999997</v>
      </c>
      <c r="E4730" t="s">
        <v>31</v>
      </c>
    </row>
    <row r="4731" spans="1:5" x14ac:dyDescent="0.25">
      <c r="A4731" t="str">
        <f>HYPERLINK("https://www.773grp.com/globalSearch/54LS126FM/page-1", "54LS126FM")</f>
        <v>54LS126FM</v>
      </c>
      <c r="B4731" s="3" t="str">
        <f>HYPERLINK("https://www.773grp.com/manufacturer/national-semiconductor?pageNo=40", "National Semiconductor")</f>
        <v>National Semiconductor</v>
      </c>
      <c r="C4731" s="6">
        <v>610</v>
      </c>
      <c r="D4731" s="7">
        <v>4.6399999999999997</v>
      </c>
    </row>
    <row r="4732" spans="1:5" x14ac:dyDescent="0.25">
      <c r="A4732" t="str">
        <f>HYPERLINK("https://www.773grp.com/globalSearch/54LS126FMQB/page-1", "54LS126FMQB")</f>
        <v>54LS126FMQB</v>
      </c>
      <c r="B4732" s="3" t="str">
        <f>HYPERLINK("https://www.773grp.com/manufacturer/national-semiconductor?pageNo=41", "National Semiconductor")</f>
        <v>National Semiconductor</v>
      </c>
      <c r="C4732" s="6">
        <v>135</v>
      </c>
      <c r="D4732" s="7">
        <v>4.6399999999999997</v>
      </c>
      <c r="E4732" t="s">
        <v>14</v>
      </c>
    </row>
    <row r="4733" spans="1:5" x14ac:dyDescent="0.25">
      <c r="A4733" t="str">
        <f>HYPERLINK("https://www.773grp.com/globalSearch/ADC1175CIMTC/page-1", "ADC1175CIMTC")</f>
        <v>ADC1175CIMTC</v>
      </c>
      <c r="B4733" s="3" t="str">
        <f>HYPERLINK("https://www.773grp.com/manufacturer/national-semiconductor?pageNo=42", "National Semiconductor")</f>
        <v>National Semiconductor</v>
      </c>
      <c r="C4733" s="6">
        <v>287</v>
      </c>
      <c r="D4733" s="7">
        <v>4.6399999999999997</v>
      </c>
      <c r="E4733" t="s">
        <v>39</v>
      </c>
    </row>
    <row r="4734" spans="1:5" x14ac:dyDescent="0.25">
      <c r="A4734" t="str">
        <f>HYPERLINK("https://www.773grp.com/globalSearch/ADC122S051CIMM-NOPB/page-1", "ADC122S051CIMM-NOPB")</f>
        <v>ADC122S051CIMM-NOPB</v>
      </c>
      <c r="B4734" s="3" t="str">
        <f>HYPERLINK("https://www.773grp.com/manufacturer/national-semiconductor?pageNo=43", "National Semiconductor")</f>
        <v>National Semiconductor</v>
      </c>
      <c r="C4734" s="6">
        <v>26660</v>
      </c>
      <c r="D4734" s="7">
        <v>4.6399999999999997</v>
      </c>
    </row>
    <row r="4735" spans="1:5" x14ac:dyDescent="0.25">
      <c r="A4735" t="str">
        <f>HYPERLINK("https://www.773grp.com/globalSearch/DS75114N/page-1", "DS75114N")</f>
        <v>DS75114N</v>
      </c>
      <c r="B4735" s="3" t="str">
        <f>HYPERLINK("https://www.773grp.com/manufacturer/national-semiconductor?pageNo=44", "National Semiconductor")</f>
        <v>National Semiconductor</v>
      </c>
      <c r="C4735" s="6">
        <v>15</v>
      </c>
      <c r="D4735" s="7">
        <v>4.6399999999999997</v>
      </c>
      <c r="E4735" t="s">
        <v>21</v>
      </c>
    </row>
    <row r="4736" spans="1:5" x14ac:dyDescent="0.25">
      <c r="A4736" t="str">
        <f>HYPERLINK("https://www.773grp.com/globalSearch/DS90LV031ATMTC/page-1", "DS90LV031ATMTC")</f>
        <v>DS90LV031ATMTC</v>
      </c>
      <c r="B4736" s="3" t="str">
        <f>HYPERLINK("https://www.773grp.com/manufacturer/national-semiconductor?pageNo=45", "National Semiconductor")</f>
        <v>National Semiconductor</v>
      </c>
      <c r="C4736" s="6">
        <v>1062</v>
      </c>
      <c r="D4736" s="7">
        <v>4.6399999999999997</v>
      </c>
      <c r="E4736" t="s">
        <v>21</v>
      </c>
    </row>
    <row r="4737" spans="1:5" x14ac:dyDescent="0.25">
      <c r="A4737" t="str">
        <f>HYPERLINK("https://www.773grp.com/globalSearch/DS90LV032ATMTC/page-1", "DS90LV032ATMTC")</f>
        <v>DS90LV032ATMTC</v>
      </c>
      <c r="B4737" s="3" t="str">
        <f>HYPERLINK("https://www.773grp.com/manufacturer/national-semiconductor?pageNo=46", "National Semiconductor")</f>
        <v>National Semiconductor</v>
      </c>
      <c r="C4737" s="6">
        <v>184</v>
      </c>
      <c r="D4737" s="7">
        <v>4.6399999999999997</v>
      </c>
      <c r="E4737" t="s">
        <v>21</v>
      </c>
    </row>
    <row r="4738" spans="1:5" x14ac:dyDescent="0.25">
      <c r="A4738" t="str">
        <f>HYPERLINK("https://www.773grp.com/globalSearch/DS90LV049TMT/page-1", "DS90LV049TMT")</f>
        <v>DS90LV049TMT</v>
      </c>
      <c r="B4738" s="3" t="str">
        <f>HYPERLINK("https://www.773grp.com/manufacturer/national-semiconductor?pageNo=47", "National Semiconductor")</f>
        <v>National Semiconductor</v>
      </c>
      <c r="C4738" s="6">
        <v>12</v>
      </c>
      <c r="D4738" s="7">
        <v>4.6399999999999997</v>
      </c>
      <c r="E4738" t="s">
        <v>21</v>
      </c>
    </row>
    <row r="4739" spans="1:5" x14ac:dyDescent="0.25">
      <c r="A4739" t="str">
        <f>HYPERLINK("https://www.773grp.com/globalSearch/DS92001TMA/page-1", "DS92001TMA")</f>
        <v>DS92001TMA</v>
      </c>
      <c r="B4739" s="3" t="str">
        <f>HYPERLINK("https://www.773grp.com/manufacturer/national-semiconductor?pageNo=48", "National Semiconductor")</f>
        <v>National Semiconductor</v>
      </c>
      <c r="C4739" s="6">
        <v>450</v>
      </c>
      <c r="D4739" s="7">
        <v>4.6399999999999997</v>
      </c>
      <c r="E4739" t="s">
        <v>21</v>
      </c>
    </row>
    <row r="4740" spans="1:5" x14ac:dyDescent="0.25">
      <c r="A4740" t="str">
        <f>HYPERLINK("https://www.773grp.com/globalSearch/GAL20V8QS-25LVC/page-1", "GAL20V8QS-25LVC")</f>
        <v>GAL20V8QS-25LVC</v>
      </c>
      <c r="B4740" s="3" t="str">
        <f>HYPERLINK("https://www.773grp.com/manufacturer/national-semiconductor?pageNo=49", "National Semiconductor")</f>
        <v>National Semiconductor</v>
      </c>
      <c r="C4740" s="6">
        <v>1327</v>
      </c>
      <c r="D4740" s="7">
        <v>4.6399999999999997</v>
      </c>
      <c r="E4740" t="s">
        <v>51</v>
      </c>
    </row>
    <row r="4741" spans="1:5" x14ac:dyDescent="0.25">
      <c r="A4741" t="str">
        <f>HYPERLINK("https://www.773grp.com/globalSearch/LM1084IS-ADJ/page-1", "LM1084IS-ADJ")</f>
        <v>LM1084IS-ADJ</v>
      </c>
      <c r="B4741" s="3" t="str">
        <f>HYPERLINK("https://www.773grp.com/manufacturer/national-semiconductor?pageNo=50", "National Semiconductor")</f>
        <v>National Semiconductor</v>
      </c>
      <c r="C4741" s="6">
        <v>1624</v>
      </c>
      <c r="D4741" s="7">
        <v>4.6399999999999997</v>
      </c>
      <c r="E4741" t="s">
        <v>25</v>
      </c>
    </row>
    <row r="4742" spans="1:5" x14ac:dyDescent="0.25">
      <c r="A4742" t="str">
        <f>HYPERLINK("https://www.773grp.com/globalSearch/LM2672LD-ADJ-NOPB/page-1", "LM2672LD-ADJ-NOPB")</f>
        <v>LM2672LD-ADJ-NOPB</v>
      </c>
      <c r="B4742" s="3" t="str">
        <f>HYPERLINK("https://www.773grp.com/manufacturer/national-semiconductor?pageNo=51", "National Semiconductor")</f>
        <v>National Semiconductor</v>
      </c>
      <c r="C4742" s="6">
        <v>5421</v>
      </c>
      <c r="D4742" s="7">
        <v>4.6399999999999997</v>
      </c>
      <c r="E4742" t="s">
        <v>7</v>
      </c>
    </row>
    <row r="4743" spans="1:5" x14ac:dyDescent="0.25">
      <c r="A4743" t="str">
        <f>HYPERLINK("https://www.773grp.com/globalSearch/LM2672MX-3.3-NOPB/page-1", "LM2672MX-3.3-NOPB")</f>
        <v>LM2672MX-3.3-NOPB</v>
      </c>
      <c r="B4743" s="3" t="str">
        <f>HYPERLINK("https://www.773grp.com/manufacturer/national-semiconductor?pageNo=52", "National Semiconductor")</f>
        <v>National Semiconductor</v>
      </c>
      <c r="C4743" s="6">
        <v>2500</v>
      </c>
      <c r="D4743" s="7">
        <v>4.6399999999999997</v>
      </c>
      <c r="E4743" t="s">
        <v>7</v>
      </c>
    </row>
    <row r="4744" spans="1:5" x14ac:dyDescent="0.25">
      <c r="A4744" t="str">
        <f>HYPERLINK("https://www.773grp.com/globalSearch/LM2672MX-5.0-NOPB/page-1", "LM2672MX-5.0-NOPB")</f>
        <v>LM2672MX-5.0-NOPB</v>
      </c>
      <c r="B4744" s="3" t="str">
        <f>HYPERLINK("https://www.773grp.com/manufacturer/national-semiconductor?pageNo=53", "National Semiconductor")</f>
        <v>National Semiconductor</v>
      </c>
      <c r="C4744" s="6">
        <v>2200</v>
      </c>
      <c r="D4744" s="7">
        <v>4.6399999999999997</v>
      </c>
      <c r="E4744" t="s">
        <v>7</v>
      </c>
    </row>
    <row r="4745" spans="1:5" x14ac:dyDescent="0.25">
      <c r="A4745" t="str">
        <f>HYPERLINK("https://www.773grp.com/globalSearch/LM2672MX-ADJ-NOPB/page-1", "LM2672MX-ADJ-NOPB")</f>
        <v>LM2672MX-ADJ-NOPB</v>
      </c>
      <c r="B4745" s="3" t="str">
        <f>HYPERLINK("https://www.773grp.com/manufacturer/national-semiconductor?pageNo=54", "National Semiconductor")</f>
        <v>National Semiconductor</v>
      </c>
      <c r="C4745" s="6">
        <v>5000</v>
      </c>
      <c r="D4745" s="7">
        <v>4.6399999999999997</v>
      </c>
      <c r="E4745" t="s">
        <v>7</v>
      </c>
    </row>
    <row r="4746" spans="1:5" x14ac:dyDescent="0.25">
      <c r="A4746" t="str">
        <f>HYPERLINK("https://www.773grp.com/globalSearch/LM2672N-12-NOPB/page-1", "LM2672N-12-NOPB")</f>
        <v>LM2672N-12-NOPB</v>
      </c>
      <c r="B4746" s="3" t="str">
        <f>HYPERLINK("https://www.773grp.com/manufacturer/national-semiconductor?pageNo=55", "National Semiconductor")</f>
        <v>National Semiconductor</v>
      </c>
      <c r="C4746" s="6">
        <v>200</v>
      </c>
      <c r="D4746" s="7">
        <v>4.6399999999999997</v>
      </c>
      <c r="E4746" t="s">
        <v>7</v>
      </c>
    </row>
    <row r="4747" spans="1:5" x14ac:dyDescent="0.25">
      <c r="A4747" t="str">
        <f>HYPERLINK("https://www.773grp.com/globalSearch/LM2672N-3.3/page-1", "LM2672N-3.3")</f>
        <v>LM2672N-3.3</v>
      </c>
      <c r="B4747" s="3" t="str">
        <f>HYPERLINK("https://www.773grp.com/manufacturer/national-semiconductor?pageNo=56", "National Semiconductor")</f>
        <v>National Semiconductor</v>
      </c>
      <c r="C4747" s="6">
        <v>80</v>
      </c>
      <c r="D4747" s="7">
        <v>4.6399999999999997</v>
      </c>
      <c r="E4747" t="s">
        <v>7</v>
      </c>
    </row>
    <row r="4748" spans="1:5" x14ac:dyDescent="0.25">
      <c r="A4748" t="str">
        <f>HYPERLINK("https://www.773grp.com/globalSearch/LM2672N-3.3-NOPB/page-1", "LM2672N-3.3-NOPB")</f>
        <v>LM2672N-3.3-NOPB</v>
      </c>
      <c r="B4748" s="3" t="str">
        <f>HYPERLINK("https://www.773grp.com/manufacturer/national-semiconductor?pageNo=57", "National Semiconductor")</f>
        <v>National Semiconductor</v>
      </c>
      <c r="C4748" s="6">
        <v>17</v>
      </c>
      <c r="D4748" s="7">
        <v>4.6399999999999997</v>
      </c>
      <c r="E4748" t="s">
        <v>7</v>
      </c>
    </row>
    <row r="4749" spans="1:5" x14ac:dyDescent="0.25">
      <c r="A4749" t="str">
        <f>HYPERLINK("https://www.773grp.com/globalSearch/LM2672N-5.0-NOPB/page-1", "LM2672N-5.0-NOPB")</f>
        <v>LM2672N-5.0-NOPB</v>
      </c>
      <c r="B4749" s="3" t="str">
        <f>HYPERLINK("https://www.773grp.com/manufacturer/national-semiconductor?pageNo=58", "National Semiconductor")</f>
        <v>National Semiconductor</v>
      </c>
      <c r="C4749" s="6">
        <v>20</v>
      </c>
      <c r="D4749" s="7">
        <v>4.6399999999999997</v>
      </c>
      <c r="E4749" t="s">
        <v>7</v>
      </c>
    </row>
    <row r="4750" spans="1:5" x14ac:dyDescent="0.25">
      <c r="A4750" t="str">
        <f>HYPERLINK("https://www.773grp.com/globalSearch/LM2672N-ADJ-NOPB/page-1", "LM2672N-ADJ-NOPB")</f>
        <v>LM2672N-ADJ-NOPB</v>
      </c>
      <c r="B4750" s="3" t="str">
        <f>HYPERLINK("https://www.773grp.com/manufacturer/national-semiconductor?pageNo=59", "National Semiconductor")</f>
        <v>National Semiconductor</v>
      </c>
      <c r="C4750" s="6">
        <v>215</v>
      </c>
      <c r="D4750" s="7">
        <v>4.6399999999999997</v>
      </c>
      <c r="E4750" t="s">
        <v>7</v>
      </c>
    </row>
    <row r="4751" spans="1:5" x14ac:dyDescent="0.25">
      <c r="A4751" t="str">
        <f>HYPERLINK("https://www.773grp.com/globalSearch/LM3150MH-J7002526/page-1", "LM3150MH-J7002526")</f>
        <v>LM3150MH-J7002526</v>
      </c>
      <c r="B4751" s="3" t="str">
        <f>HYPERLINK("https://www.773grp.com/manufacturer/national-semiconductor?pageNo=60", "National Semiconductor")</f>
        <v>National Semiconductor</v>
      </c>
      <c r="C4751" s="6">
        <v>1415</v>
      </c>
      <c r="D4751" s="7">
        <v>4.6399999999999997</v>
      </c>
    </row>
    <row r="4752" spans="1:5" x14ac:dyDescent="0.25">
      <c r="A4752" t="str">
        <f>HYPERLINK("https://www.773grp.com/globalSearch/LM4140CCM-1.0/page-1", "LM4140CCM-1.0")</f>
        <v>LM4140CCM-1.0</v>
      </c>
      <c r="B4752" s="3" t="str">
        <f>HYPERLINK("https://www.773grp.com/manufacturer/national-semiconductor?pageNo=61", "National Semiconductor")</f>
        <v>National Semiconductor</v>
      </c>
      <c r="C4752" s="6">
        <v>285</v>
      </c>
      <c r="D4752" s="7">
        <v>4.6399999999999997</v>
      </c>
      <c r="E4752" t="s">
        <v>17</v>
      </c>
    </row>
    <row r="4753" spans="1:5" x14ac:dyDescent="0.25">
      <c r="A4753" t="str">
        <f>HYPERLINK("https://www.773grp.com/globalSearch/LM4140CCM-2.0/page-1", "LM4140CCM-2.0")</f>
        <v>LM4140CCM-2.0</v>
      </c>
      <c r="B4753" s="3" t="str">
        <f>HYPERLINK("https://www.773grp.com/manufacturer/national-semiconductor?pageNo=62", "National Semiconductor")</f>
        <v>National Semiconductor</v>
      </c>
      <c r="C4753" s="6">
        <v>95</v>
      </c>
      <c r="D4753" s="7">
        <v>4.6399999999999997</v>
      </c>
      <c r="E4753" t="s">
        <v>17</v>
      </c>
    </row>
    <row r="4754" spans="1:5" x14ac:dyDescent="0.25">
      <c r="A4754" t="str">
        <f>HYPERLINK("https://www.773grp.com/globalSearch/LM4140CCM-4.1/page-1", "LM4140CCM-4.1")</f>
        <v>LM4140CCM-4.1</v>
      </c>
      <c r="B4754" s="3" t="str">
        <f>HYPERLINK("https://www.773grp.com/manufacturer/national-semiconductor?pageNo=63", "National Semiconductor")</f>
        <v>National Semiconductor</v>
      </c>
      <c r="C4754" s="6">
        <v>240</v>
      </c>
      <c r="D4754" s="7">
        <v>4.6399999999999997</v>
      </c>
      <c r="E4754" t="s">
        <v>17</v>
      </c>
    </row>
    <row r="4755" spans="1:5" x14ac:dyDescent="0.25">
      <c r="A4755" t="str">
        <f>HYPERLINK("https://www.773grp.com/globalSearch/LM4140CCMX-2.5/page-1", "LM4140CCMX-2.5")</f>
        <v>LM4140CCMX-2.5</v>
      </c>
      <c r="B4755" s="3" t="str">
        <f>HYPERLINK("https://www.773grp.com/manufacturer/national-semiconductor?pageNo=64", "National Semiconductor")</f>
        <v>National Semiconductor</v>
      </c>
      <c r="C4755" s="6">
        <v>22500</v>
      </c>
      <c r="D4755" s="7">
        <v>4.6399999999999997</v>
      </c>
      <c r="E4755" t="s">
        <v>17</v>
      </c>
    </row>
    <row r="4756" spans="1:5" x14ac:dyDescent="0.25">
      <c r="A4756" t="str">
        <f>HYPERLINK("https://www.773grp.com/globalSearch/LM7121IM/page-1", "LM7121IM")</f>
        <v>LM7121IM</v>
      </c>
      <c r="B4756" s="3" t="str">
        <f>HYPERLINK("https://www.773grp.com/manufacturer/national-semiconductor?pageNo=65", "National Semiconductor")</f>
        <v>National Semiconductor</v>
      </c>
      <c r="C4756" s="6">
        <v>20</v>
      </c>
      <c r="D4756" s="7">
        <v>4.6399999999999997</v>
      </c>
      <c r="E4756" t="s">
        <v>13</v>
      </c>
    </row>
    <row r="4757" spans="1:5" x14ac:dyDescent="0.25">
      <c r="A4757" t="str">
        <f>HYPERLINK("https://www.773grp.com/globalSearch/LMC6062IM/page-1", "LMC6062IM")</f>
        <v>LMC6062IM</v>
      </c>
      <c r="B4757" s="3" t="str">
        <f>HYPERLINK("https://www.773grp.com/manufacturer/national-semiconductor?pageNo=66", "National Semiconductor")</f>
        <v>National Semiconductor</v>
      </c>
      <c r="C4757" s="6">
        <v>20</v>
      </c>
      <c r="D4757" s="7">
        <v>4.6399999999999997</v>
      </c>
      <c r="E4757" t="s">
        <v>13</v>
      </c>
    </row>
    <row r="4758" spans="1:5" x14ac:dyDescent="0.25">
      <c r="A4758" t="str">
        <f>HYPERLINK("https://www.773grp.com/globalSearch/LP2953IM-4.7/page-1", "LP2953IM-4.7")</f>
        <v>LP2953IM-4.7</v>
      </c>
      <c r="B4758" s="3" t="str">
        <f>HYPERLINK("https://www.773grp.com/manufacturer/national-semiconductor?pageNo=67", "National Semiconductor")</f>
        <v>National Semiconductor</v>
      </c>
      <c r="C4758" s="6">
        <v>1190</v>
      </c>
      <c r="D4758" s="7">
        <v>4.6399999999999997</v>
      </c>
    </row>
    <row r="4759" spans="1:5" x14ac:dyDescent="0.25">
      <c r="A4759" t="str">
        <f>HYPERLINK("https://www.773grp.com/globalSearch/LP38853MRX-ADJ-NOPB/page-1", "LP38853MRX-ADJ-NOPB")</f>
        <v>LP38853MRX-ADJ-NOPB</v>
      </c>
      <c r="B4759" s="3" t="str">
        <f>HYPERLINK("https://www.773grp.com/manufacturer/national-semiconductor?pageNo=68", "National Semiconductor")</f>
        <v>National Semiconductor</v>
      </c>
      <c r="C4759" s="6">
        <v>14974</v>
      </c>
      <c r="D4759" s="7">
        <v>4.6399999999999997</v>
      </c>
    </row>
    <row r="4760" spans="1:5" x14ac:dyDescent="0.25">
      <c r="A4760" t="str">
        <f>HYPERLINK("https://www.773grp.com/globalSearch/LP3966ESX-1.8-NOPB/page-1", "LP3966ESX-1.8-NOPB")</f>
        <v>LP3966ESX-1.8-NOPB</v>
      </c>
      <c r="B4760" s="3" t="str">
        <f>HYPERLINK("https://www.773grp.com/manufacturer/national-semiconductor?pageNo=69", "National Semiconductor")</f>
        <v>National Semiconductor</v>
      </c>
      <c r="C4760" s="6">
        <v>626</v>
      </c>
      <c r="D4760" s="7">
        <v>4.6399999999999997</v>
      </c>
      <c r="E4760" t="s">
        <v>19</v>
      </c>
    </row>
    <row r="4761" spans="1:5" x14ac:dyDescent="0.25">
      <c r="A4761" t="str">
        <f>HYPERLINK("https://www.773grp.com/globalSearch/LP3966ESX-2.5-NOPB/page-1", "LP3966ESX-2.5-NOPB")</f>
        <v>LP3966ESX-2.5-NOPB</v>
      </c>
      <c r="B4761" s="3" t="str">
        <f>HYPERLINK("https://www.773grp.com/manufacturer/national-semiconductor?pageNo=70", "National Semiconductor")</f>
        <v>National Semiconductor</v>
      </c>
      <c r="C4761" s="6">
        <v>1500</v>
      </c>
      <c r="D4761" s="7">
        <v>4.6399999999999997</v>
      </c>
      <c r="E4761" t="s">
        <v>19</v>
      </c>
    </row>
    <row r="4762" spans="1:5" x14ac:dyDescent="0.25">
      <c r="A4762" t="str">
        <f>HYPERLINK("https://www.773grp.com/globalSearch/LP3966ESX-ADJ-NOPB/page-1", "LP3966ESX-ADJ-NOPB")</f>
        <v>LP3966ESX-ADJ-NOPB</v>
      </c>
      <c r="B4762" s="3" t="str">
        <f>HYPERLINK("https://www.773grp.com/manufacturer/national-semiconductor?pageNo=71", "National Semiconductor")</f>
        <v>National Semiconductor</v>
      </c>
      <c r="C4762" s="6">
        <v>783</v>
      </c>
      <c r="D4762" s="7">
        <v>4.6399999999999997</v>
      </c>
      <c r="E4762" t="s">
        <v>25</v>
      </c>
    </row>
    <row r="4763" spans="1:5" x14ac:dyDescent="0.25">
      <c r="A4763" t="str">
        <f>HYPERLINK("https://www.773grp.com/globalSearch/LP3966ET-ADJ-NOPB/page-1", "LP3966ET-ADJ-NOPB")</f>
        <v>LP3966ET-ADJ-NOPB</v>
      </c>
      <c r="B4763" s="3" t="str">
        <f>HYPERLINK("https://www.773grp.com/manufacturer/national-semiconductor?pageNo=72", "National Semiconductor")</f>
        <v>National Semiconductor</v>
      </c>
      <c r="C4763" s="6">
        <v>360</v>
      </c>
      <c r="D4763" s="7">
        <v>4.6399999999999997</v>
      </c>
      <c r="E4763" t="s">
        <v>25</v>
      </c>
    </row>
    <row r="4764" spans="1:5" x14ac:dyDescent="0.25">
      <c r="A4764" t="str">
        <f>HYPERLINK("https://www.773grp.com/globalSearch/MM74HC299WM/page-1", "MM74HC299WM")</f>
        <v>MM74HC299WM</v>
      </c>
      <c r="B4764" s="3" t="str">
        <f>HYPERLINK("https://www.773grp.com/manufacturer/national-semiconductor?pageNo=73", "National Semiconductor")</f>
        <v>National Semiconductor</v>
      </c>
      <c r="C4764" s="6">
        <v>32</v>
      </c>
      <c r="D4764" s="7">
        <v>4.6399999999999997</v>
      </c>
      <c r="E4764" t="s">
        <v>32</v>
      </c>
    </row>
    <row r="4765" spans="1:5" x14ac:dyDescent="0.25">
      <c r="A4765" t="str">
        <f>HYPERLINK("https://www.773grp.com/globalSearch/MM74HCT688WMX/page-1", "MM74HCT688WMX")</f>
        <v>MM74HCT688WMX</v>
      </c>
      <c r="B4765" s="3" t="str">
        <f>HYPERLINK("https://www.773grp.com/manufacturer/national-semiconductor?pageNo=74", "National Semiconductor")</f>
        <v>National Semiconductor</v>
      </c>
      <c r="C4765" s="6">
        <v>688</v>
      </c>
      <c r="D4765" s="7">
        <v>4.6399999999999997</v>
      </c>
      <c r="E4765" t="s">
        <v>43</v>
      </c>
    </row>
    <row r="4766" spans="1:5" x14ac:dyDescent="0.25">
      <c r="A4766" t="str">
        <f>HYPERLINK("https://www.773grp.com/globalSearch/ADC1175CIMTC/page-1", "ADC1175CIMTC")</f>
        <v>ADC1175CIMTC</v>
      </c>
      <c r="B4766" s="3" t="str">
        <f>HYPERLINK("https://www.773grp.com/manufacturer/national-semiconductor?pageNo=75", "National Semiconductor")</f>
        <v>National Semiconductor</v>
      </c>
      <c r="C4766" s="6">
        <v>1319</v>
      </c>
      <c r="D4766" s="7">
        <v>4.6399999999999997</v>
      </c>
      <c r="E4766" t="s">
        <v>39</v>
      </c>
    </row>
    <row r="4767" spans="1:5" x14ac:dyDescent="0.25">
      <c r="A4767" t="str">
        <f>HYPERLINK("https://www.773grp.com/globalSearch/ADC122S051CIMM-NOPB/page-1", "ADC122S051CIMM-NOPB")</f>
        <v>ADC122S051CIMM-NOPB</v>
      </c>
      <c r="B4767" s="3" t="str">
        <f>HYPERLINK("https://www.773grp.com/manufacturer/national-semiconductor?pageNo=76", "National Semiconductor")</f>
        <v>National Semiconductor</v>
      </c>
      <c r="C4767" s="6">
        <v>878</v>
      </c>
      <c r="D4767" s="7">
        <v>4.6399999999999997</v>
      </c>
    </row>
    <row r="4768" spans="1:5" x14ac:dyDescent="0.25">
      <c r="A4768" t="str">
        <f>HYPERLINK("https://www.773grp.com/globalSearch/DS90LV031ATMTC/page-1", "DS90LV031ATMTC")</f>
        <v>DS90LV031ATMTC</v>
      </c>
      <c r="B4768" s="3" t="str">
        <f>HYPERLINK("https://www.773grp.com/manufacturer/national-semiconductor?pageNo=77", "National Semiconductor")</f>
        <v>National Semiconductor</v>
      </c>
      <c r="C4768" s="6">
        <v>420</v>
      </c>
      <c r="D4768" s="7">
        <v>4.6399999999999997</v>
      </c>
      <c r="E4768" t="s">
        <v>21</v>
      </c>
    </row>
    <row r="4769" spans="1:5" x14ac:dyDescent="0.25">
      <c r="A4769" t="str">
        <f>HYPERLINK("https://www.773grp.com/globalSearch/DS90LV032ATMTC/page-1", "DS90LV032ATMTC")</f>
        <v>DS90LV032ATMTC</v>
      </c>
      <c r="B4769" s="3" t="str">
        <f>HYPERLINK("https://www.773grp.com/manufacturer/national-semiconductor?pageNo=78", "National Semiconductor")</f>
        <v>National Semiconductor</v>
      </c>
      <c r="C4769" s="6">
        <v>318</v>
      </c>
      <c r="D4769" s="7">
        <v>4.6399999999999997</v>
      </c>
      <c r="E4769" t="s">
        <v>21</v>
      </c>
    </row>
    <row r="4770" spans="1:5" x14ac:dyDescent="0.25">
      <c r="A4770" t="str">
        <f>HYPERLINK("https://www.773grp.com/globalSearch/DS90LV049TMT/page-1", "DS90LV049TMT")</f>
        <v>DS90LV049TMT</v>
      </c>
      <c r="B4770" s="3" t="str">
        <f>HYPERLINK("https://www.773grp.com/manufacturer/national-semiconductor?pageNo=79", "National Semiconductor")</f>
        <v>National Semiconductor</v>
      </c>
      <c r="C4770" s="6">
        <v>9624</v>
      </c>
      <c r="D4770" s="7">
        <v>4.6399999999999997</v>
      </c>
      <c r="E4770" t="s">
        <v>21</v>
      </c>
    </row>
    <row r="4771" spans="1:5" x14ac:dyDescent="0.25">
      <c r="A4771" t="str">
        <f>HYPERLINK("https://www.773grp.com/globalSearch/DS92001TMA/page-1", "DS92001TMA")</f>
        <v>DS92001TMA</v>
      </c>
      <c r="B4771" s="3" t="str">
        <f>HYPERLINK("https://www.773grp.com/manufacturer/national-semiconductor?pageNo=80", "National Semiconductor")</f>
        <v>National Semiconductor</v>
      </c>
      <c r="C4771" s="6">
        <v>16340</v>
      </c>
      <c r="D4771" s="7">
        <v>4.6399999999999997</v>
      </c>
      <c r="E4771" t="s">
        <v>21</v>
      </c>
    </row>
    <row r="4772" spans="1:5" x14ac:dyDescent="0.25">
      <c r="A4772" t="str">
        <f>HYPERLINK("https://www.773grp.com/globalSearch/LM2672LD-ADJ-NOPB/page-1", "LM2672LD-ADJ-NOPB")</f>
        <v>LM2672LD-ADJ-NOPB</v>
      </c>
      <c r="B4772" s="3" t="str">
        <f>HYPERLINK("https://www.773grp.com/manufacturer/national-semiconductor?pageNo=81", "National Semiconductor")</f>
        <v>National Semiconductor</v>
      </c>
      <c r="C4772" s="6">
        <v>1000</v>
      </c>
      <c r="D4772" s="7">
        <v>4.6399999999999997</v>
      </c>
      <c r="E4772" t="s">
        <v>7</v>
      </c>
    </row>
    <row r="4773" spans="1:5" x14ac:dyDescent="0.25">
      <c r="A4773" t="str">
        <f>HYPERLINK("https://www.773grp.com/globalSearch/LM2672MX-ADJ-NOPB/page-1", "LM2672MX-ADJ-NOPB")</f>
        <v>LM2672MX-ADJ-NOPB</v>
      </c>
      <c r="B4773" s="3" t="str">
        <f>HYPERLINK("https://www.773grp.com/manufacturer/national-semiconductor?pageNo=82", "National Semiconductor")</f>
        <v>National Semiconductor</v>
      </c>
      <c r="C4773" s="6">
        <v>30000</v>
      </c>
      <c r="D4773" s="7">
        <v>4.6399999999999997</v>
      </c>
      <c r="E4773" t="s">
        <v>7</v>
      </c>
    </row>
    <row r="4774" spans="1:5" x14ac:dyDescent="0.25">
      <c r="A4774" t="str">
        <f>HYPERLINK("https://www.773grp.com/globalSearch/LM2672N-12-NOPB/page-1", "LM2672N-12-NOPB")</f>
        <v>LM2672N-12-NOPB</v>
      </c>
      <c r="B4774" s="3" t="str">
        <f>HYPERLINK("https://www.773grp.com/manufacturer/national-semiconductor?pageNo=83", "National Semiconductor")</f>
        <v>National Semiconductor</v>
      </c>
      <c r="C4774" s="6">
        <v>1054</v>
      </c>
      <c r="D4774" s="7">
        <v>4.6399999999999997</v>
      </c>
      <c r="E4774" t="s">
        <v>7</v>
      </c>
    </row>
    <row r="4775" spans="1:5" x14ac:dyDescent="0.25">
      <c r="A4775" t="str">
        <f>HYPERLINK("https://www.773grp.com/globalSearch/LM2672N-5.0-NOPB/page-1", "LM2672N-5.0-NOPB")</f>
        <v>LM2672N-5.0-NOPB</v>
      </c>
      <c r="B4775" s="3" t="str">
        <f>HYPERLINK("https://www.773grp.com/manufacturer/national-semiconductor?pageNo=84", "National Semiconductor")</f>
        <v>National Semiconductor</v>
      </c>
      <c r="C4775" s="6">
        <v>247</v>
      </c>
      <c r="D4775" s="7">
        <v>4.6399999999999997</v>
      </c>
      <c r="E4775" t="s">
        <v>7</v>
      </c>
    </row>
    <row r="4776" spans="1:5" x14ac:dyDescent="0.25">
      <c r="A4776" t="str">
        <f>HYPERLINK("https://www.773grp.com/globalSearch/LM2672N-ADJ-NOPB/page-1", "LM2672N-ADJ-NOPB")</f>
        <v>LM2672N-ADJ-NOPB</v>
      </c>
      <c r="B4776" s="3" t="str">
        <f>HYPERLINK("https://www.773grp.com/manufacturer/national-semiconductor?pageNo=85", "National Semiconductor")</f>
        <v>National Semiconductor</v>
      </c>
      <c r="C4776" s="6">
        <v>617</v>
      </c>
      <c r="D4776" s="7">
        <v>4.6399999999999997</v>
      </c>
      <c r="E4776" t="s">
        <v>7</v>
      </c>
    </row>
    <row r="4777" spans="1:5" x14ac:dyDescent="0.25">
      <c r="A4777" t="str">
        <f>HYPERLINK("https://www.773grp.com/globalSearch/LM7121IM/page-1", "LM7121IM")</f>
        <v>LM7121IM</v>
      </c>
      <c r="B4777" s="3" t="str">
        <f>HYPERLINK("https://www.773grp.com/manufacturer/national-semiconductor?pageNo=86", "National Semiconductor")</f>
        <v>National Semiconductor</v>
      </c>
      <c r="C4777" s="6">
        <v>5000</v>
      </c>
      <c r="D4777" s="7">
        <v>4.6399999999999997</v>
      </c>
      <c r="E4777" t="s">
        <v>13</v>
      </c>
    </row>
    <row r="4778" spans="1:5" x14ac:dyDescent="0.25">
      <c r="A4778" t="str">
        <f>HYPERLINK("https://www.773grp.com/globalSearch/LMC6062IM/page-1", "LMC6062IM")</f>
        <v>LMC6062IM</v>
      </c>
      <c r="B4778" s="3" t="str">
        <f>HYPERLINK("https://www.773grp.com/manufacturer/national-semiconductor?pageNo=87", "National Semiconductor")</f>
        <v>National Semiconductor</v>
      </c>
      <c r="C4778" s="6">
        <v>380</v>
      </c>
      <c r="D4778" s="7">
        <v>4.6399999999999997</v>
      </c>
      <c r="E4778" t="s">
        <v>13</v>
      </c>
    </row>
    <row r="4779" spans="1:5" x14ac:dyDescent="0.25">
      <c r="A4779" t="str">
        <f>HYPERLINK("https://www.773grp.com/globalSearch/LMC6492AEM/page-1", "LMC6492AEM")</f>
        <v>LMC6492AEM</v>
      </c>
      <c r="B4779" s="3" t="str">
        <f>HYPERLINK("https://www.773grp.com/manufacturer/national-semiconductor?pageNo=88", "National Semiconductor")</f>
        <v>National Semiconductor</v>
      </c>
      <c r="C4779" s="6">
        <v>1391</v>
      </c>
      <c r="D4779" s="7">
        <v>4.6399999999999997</v>
      </c>
      <c r="E4779" t="s">
        <v>13</v>
      </c>
    </row>
    <row r="4780" spans="1:5" x14ac:dyDescent="0.25">
      <c r="A4780" t="str">
        <f>HYPERLINK("https://www.773grp.com/globalSearch/LP38853MRX-ADJ-NOPB/page-1", "LP38853MRX-ADJ-NOPB")</f>
        <v>LP38853MRX-ADJ-NOPB</v>
      </c>
      <c r="B4780" s="3" t="str">
        <f>HYPERLINK("https://www.773grp.com/manufacturer/national-semiconductor?pageNo=89", "National Semiconductor")</f>
        <v>National Semiconductor</v>
      </c>
      <c r="C4780" s="6">
        <v>2500</v>
      </c>
      <c r="D4780" s="7">
        <v>4.6399999999999997</v>
      </c>
    </row>
    <row r="4781" spans="1:5" x14ac:dyDescent="0.25">
      <c r="A4781" t="str">
        <f>HYPERLINK("https://www.773grp.com/globalSearch/LP3966ESX-3.3-NOPB/page-1", "LP3966ESX-3.3-NOPB")</f>
        <v>LP3966ESX-3.3-NOPB</v>
      </c>
      <c r="B4781" s="3" t="str">
        <f>HYPERLINK("https://www.773grp.com/manufacturer/national-semiconductor?pageNo=90", "National Semiconductor")</f>
        <v>National Semiconductor</v>
      </c>
      <c r="C4781" s="6">
        <v>500</v>
      </c>
      <c r="D4781" s="7">
        <v>4.6399999999999997</v>
      </c>
    </row>
    <row r="4782" spans="1:5" x14ac:dyDescent="0.25">
      <c r="A4782" t="str">
        <f>HYPERLINK("https://www.773grp.com/globalSearch/LP3966ESX-ADJ-NOPB/page-1", "LP3966ESX-ADJ-NOPB")</f>
        <v>LP3966ESX-ADJ-NOPB</v>
      </c>
      <c r="B4782" s="3" t="str">
        <f>HYPERLINK("https://www.773grp.com/manufacturer/national-semiconductor?pageNo=91", "National Semiconductor")</f>
        <v>National Semiconductor</v>
      </c>
      <c r="C4782" s="6">
        <v>150</v>
      </c>
      <c r="D4782" s="7">
        <v>4.6399999999999997</v>
      </c>
      <c r="E4782" t="s">
        <v>25</v>
      </c>
    </row>
    <row r="4783" spans="1:5" x14ac:dyDescent="0.25">
      <c r="A4783" t="str">
        <f>HYPERLINK("https://www.773grp.com/globalSearch/OPA2277UA-2K5/page-1", "OPA2277UA-2K5")</f>
        <v>OPA2277UA-2K5</v>
      </c>
      <c r="B4783" s="3" t="str">
        <f>HYPERLINK("https://www.773grp.com/manufacturer/national-semiconductor?pageNo=92", "National Semiconductor")</f>
        <v>National Semiconductor</v>
      </c>
      <c r="C4783" s="6">
        <v>2500</v>
      </c>
      <c r="D4783" s="7">
        <v>4.6399999999999997</v>
      </c>
    </row>
    <row r="4784" spans="1:5" x14ac:dyDescent="0.25">
      <c r="A4784" t="str">
        <f>HYPERLINK("https://www.773grp.com/globalSearch/TLC7528CFNR/page-1", "TLC7528CFNR")</f>
        <v>TLC7528CFNR</v>
      </c>
      <c r="B4784" s="3" t="str">
        <f>HYPERLINK("https://www.773grp.com/manufacturer/national-semiconductor?pageNo=93", "National Semiconductor")</f>
        <v>National Semiconductor</v>
      </c>
      <c r="C4784" s="6">
        <v>6000</v>
      </c>
      <c r="D4784" s="7">
        <v>4.6399999999999997</v>
      </c>
    </row>
    <row r="4785" spans="1:5" x14ac:dyDescent="0.25">
      <c r="A4785" t="str">
        <f>HYPERLINK("https://www.773grp.com/globalSearch/TPS51621RHAR/page-1", "TPS51621RHAR")</f>
        <v>TPS51621RHAR</v>
      </c>
      <c r="B4785" s="3" t="str">
        <f>HYPERLINK("https://www.773grp.com/manufacturer/national-semiconductor?pageNo=94", "National Semiconductor")</f>
        <v>National Semiconductor</v>
      </c>
      <c r="C4785" s="6">
        <v>2500</v>
      </c>
      <c r="D4785" s="7">
        <v>4.6399999999999997</v>
      </c>
    </row>
    <row r="4786" spans="1:5" x14ac:dyDescent="0.25">
      <c r="A4786" t="str">
        <f>HYPERLINK("https://www.773grp.com/globalSearch/54LS125AFMQB/page-1", "54LS125AFMQB")</f>
        <v>54LS125AFMQB</v>
      </c>
      <c r="B4786" s="3" t="str">
        <f>HYPERLINK("https://www.773grp.com/manufacturer/national-semiconductor?pageNo=95", "National Semiconductor")</f>
        <v>National Semiconductor</v>
      </c>
      <c r="C4786" s="6">
        <v>134</v>
      </c>
      <c r="D4786" s="7">
        <v>4.68</v>
      </c>
      <c r="E4786" t="s">
        <v>14</v>
      </c>
    </row>
    <row r="4787" spans="1:5" x14ac:dyDescent="0.25">
      <c r="A4787" t="str">
        <f>HYPERLINK("https://www.773grp.com/globalSearch/54LS14DM/page-1", "54LS14DM")</f>
        <v>54LS14DM</v>
      </c>
      <c r="B4787" s="3" t="str">
        <f>HYPERLINK("https://www.773grp.com/manufacturer/national-semiconductor?pageNo=96", "National Semiconductor")</f>
        <v>National Semiconductor</v>
      </c>
      <c r="C4787" s="6">
        <v>152</v>
      </c>
      <c r="D4787" s="7">
        <v>4.68</v>
      </c>
    </row>
    <row r="4788" spans="1:5" x14ac:dyDescent="0.25">
      <c r="A4788" t="str">
        <f>HYPERLINK("https://www.773grp.com/globalSearch/74S182PC/page-1", "74S182PC")</f>
        <v>74S182PC</v>
      </c>
      <c r="B4788" s="3" t="str">
        <f>HYPERLINK("https://www.773grp.com/manufacturer/national-semiconductor?pageNo=97", "National Semiconductor")</f>
        <v>National Semiconductor</v>
      </c>
      <c r="C4788" s="6">
        <v>12</v>
      </c>
      <c r="D4788" s="7">
        <v>4.68</v>
      </c>
    </row>
    <row r="4789" spans="1:5" x14ac:dyDescent="0.25">
      <c r="A4789" t="str">
        <f>HYPERLINK("https://www.773grp.com/globalSearch/DM54LS175J-883/page-1", "DM54LS175J-883")</f>
        <v>DM54LS175J-883</v>
      </c>
      <c r="B4789" s="3" t="str">
        <f>HYPERLINK("https://www.773grp.com/manufacturer/national-semiconductor?pageNo=98", "National Semiconductor")</f>
        <v>National Semiconductor</v>
      </c>
      <c r="C4789" s="6">
        <v>4864</v>
      </c>
      <c r="D4789" s="7">
        <v>4.68</v>
      </c>
      <c r="E4789" t="s">
        <v>35</v>
      </c>
    </row>
    <row r="4790" spans="1:5" x14ac:dyDescent="0.25">
      <c r="A4790" t="str">
        <f>HYPERLINK("https://www.773grp.com/globalSearch/LM27241MTC/page-1", "LM27241MTC")</f>
        <v>LM27241MTC</v>
      </c>
      <c r="B4790" s="3" t="str">
        <f>HYPERLINK("https://www.773grp.com/manufacturer/national-semiconductor?pageNo=99", "National Semiconductor")</f>
        <v>National Semiconductor</v>
      </c>
      <c r="C4790" s="6">
        <v>7</v>
      </c>
      <c r="D4790" s="7">
        <v>4.68</v>
      </c>
      <c r="E4790" t="s">
        <v>7</v>
      </c>
    </row>
    <row r="4791" spans="1:5" x14ac:dyDescent="0.25">
      <c r="A4791" t="str">
        <f>HYPERLINK("https://www.773grp.com/globalSearch/LM27241MTC-NOPB/page-1", "LM27241MTC-NOPB")</f>
        <v>LM27241MTC-NOPB</v>
      </c>
      <c r="B4791" s="3" t="str">
        <f>HYPERLINK("https://www.773grp.com/manufacturer/national-semiconductor?pageNo=100", "National Semiconductor")</f>
        <v>National Semiconductor</v>
      </c>
      <c r="C4791" s="6">
        <v>1</v>
      </c>
      <c r="D4791" s="7">
        <v>4.68</v>
      </c>
    </row>
    <row r="4792" spans="1:5" x14ac:dyDescent="0.25">
      <c r="A4792" t="str">
        <f>HYPERLINK("https://www.773grp.com/globalSearch/LM4308GR-NOPB/page-1", "LM4308GR-NOPB")</f>
        <v>LM4308GR-NOPB</v>
      </c>
      <c r="B4792" s="3" t="str">
        <f>HYPERLINK("https://www.773grp.com/manufacturer/national-semiconductor?pageNo=101", "National Semiconductor")</f>
        <v>National Semiconductor</v>
      </c>
      <c r="C4792" s="6">
        <v>1000</v>
      </c>
      <c r="D4792" s="7">
        <v>4.68</v>
      </c>
    </row>
    <row r="4793" spans="1:5" x14ac:dyDescent="0.25">
      <c r="A4793" t="str">
        <f>HYPERLINK("https://www.773grp.com/globalSearch/LM4308SQ-NOPB/page-1", "LM4308SQ-NOPB")</f>
        <v>LM4308SQ-NOPB</v>
      </c>
      <c r="B4793" s="3" t="str">
        <f>HYPERLINK("https://www.773grp.com/manufacturer/national-semiconductor?pageNo=102", "National Semiconductor")</f>
        <v>National Semiconductor</v>
      </c>
      <c r="C4793" s="6">
        <v>1000</v>
      </c>
      <c r="D4793" s="7">
        <v>4.68</v>
      </c>
    </row>
    <row r="4794" spans="1:5" x14ac:dyDescent="0.25">
      <c r="A4794" t="str">
        <f>HYPERLINK("https://www.773grp.com/globalSearch/LM6132AIM-NOPB/page-1", "LM6132AIM-NOPB")</f>
        <v>LM6132AIM-NOPB</v>
      </c>
      <c r="B4794" s="3" t="str">
        <f>HYPERLINK("https://www.773grp.com/manufacturer/national-semiconductor?pageNo=103", "National Semiconductor")</f>
        <v>National Semiconductor</v>
      </c>
      <c r="C4794" s="6">
        <v>75</v>
      </c>
      <c r="D4794" s="7">
        <v>4.68</v>
      </c>
      <c r="E4794" t="s">
        <v>13</v>
      </c>
    </row>
    <row r="4795" spans="1:5" x14ac:dyDescent="0.25">
      <c r="A4795" t="str">
        <f>HYPERLINK("https://www.773grp.com/globalSearch/LM6134BIMX-NOPB/page-1", "LM6134BIMX-NOPB")</f>
        <v>LM6134BIMX-NOPB</v>
      </c>
      <c r="B4795" s="3" t="str">
        <f>HYPERLINK("https://www.773grp.com/manufacturer/national-semiconductor?pageNo=104", "National Semiconductor")</f>
        <v>National Semiconductor</v>
      </c>
      <c r="C4795" s="6">
        <v>2500</v>
      </c>
      <c r="D4795" s="7">
        <v>4.68</v>
      </c>
      <c r="E4795" t="s">
        <v>13</v>
      </c>
    </row>
    <row r="4796" spans="1:5" x14ac:dyDescent="0.25">
      <c r="A4796" t="str">
        <f>HYPERLINK("https://www.773grp.com/globalSearch/LMC6082IM-NOPB/page-1", "LMC6082IM-NOPB")</f>
        <v>LMC6082IM-NOPB</v>
      </c>
      <c r="B4796" s="3" t="str">
        <f>HYPERLINK("https://www.773grp.com/manufacturer/national-semiconductor?pageNo=105", "National Semiconductor")</f>
        <v>National Semiconductor</v>
      </c>
      <c r="C4796" s="6">
        <v>94</v>
      </c>
      <c r="D4796" s="7">
        <v>4.68</v>
      </c>
      <c r="E4796" t="s">
        <v>13</v>
      </c>
    </row>
    <row r="4797" spans="1:5" x14ac:dyDescent="0.25">
      <c r="A4797" t="str">
        <f>HYPERLINK("https://www.773grp.com/globalSearch/LP3872ES-1.8-NOPB/page-1", "LP3872ES-1.8-NOPB")</f>
        <v>LP3872ES-1.8-NOPB</v>
      </c>
      <c r="B4797" s="3" t="str">
        <f>HYPERLINK("https://www.773grp.com/manufacturer/national-semiconductor?pageNo=106", "National Semiconductor")</f>
        <v>National Semiconductor</v>
      </c>
      <c r="C4797" s="6">
        <v>460</v>
      </c>
      <c r="D4797" s="7">
        <v>4.68</v>
      </c>
      <c r="E4797" t="s">
        <v>19</v>
      </c>
    </row>
    <row r="4798" spans="1:5" x14ac:dyDescent="0.25">
      <c r="A4798" t="str">
        <f>HYPERLINK("https://www.773grp.com/globalSearch/LP3872ES-2.5-NOPB/page-1", "LP3872ES-2.5-NOPB")</f>
        <v>LP3872ES-2.5-NOPB</v>
      </c>
      <c r="B4798" s="3" t="str">
        <f>HYPERLINK("https://www.773grp.com/manufacturer/national-semiconductor?pageNo=107", "National Semiconductor")</f>
        <v>National Semiconductor</v>
      </c>
      <c r="C4798" s="6">
        <v>329</v>
      </c>
      <c r="D4798" s="7">
        <v>4.68</v>
      </c>
      <c r="E4798" t="s">
        <v>19</v>
      </c>
    </row>
    <row r="4799" spans="1:5" x14ac:dyDescent="0.25">
      <c r="A4799" t="str">
        <f>HYPERLINK("https://www.773grp.com/globalSearch/LP3872ES-3.3-NOPB/page-1", "LP3872ES-3.3-NOPB")</f>
        <v>LP3872ES-3.3-NOPB</v>
      </c>
      <c r="B4799" s="3" t="str">
        <f>HYPERLINK("https://www.773grp.com/manufacturer/national-semiconductor?pageNo=108", "National Semiconductor")</f>
        <v>National Semiconductor</v>
      </c>
      <c r="C4799" s="6">
        <v>15</v>
      </c>
      <c r="D4799" s="7">
        <v>4.68</v>
      </c>
      <c r="E4799" t="s">
        <v>19</v>
      </c>
    </row>
    <row r="4800" spans="1:5" x14ac:dyDescent="0.25">
      <c r="A4800" t="str">
        <f>HYPERLINK("https://www.773grp.com/globalSearch/LP3872ES-5.0-NOPB/page-1", "LP3872ES-5.0-NOPB")</f>
        <v>LP3872ES-5.0-NOPB</v>
      </c>
      <c r="B4800" s="3" t="str">
        <f>HYPERLINK("https://www.773grp.com/manufacturer/national-semiconductor?pageNo=109", "National Semiconductor")</f>
        <v>National Semiconductor</v>
      </c>
      <c r="C4800" s="6">
        <v>78</v>
      </c>
      <c r="D4800" s="7">
        <v>4.68</v>
      </c>
      <c r="E4800" t="s">
        <v>19</v>
      </c>
    </row>
    <row r="4801" spans="1:5" x14ac:dyDescent="0.25">
      <c r="A4801" t="str">
        <f>HYPERLINK("https://www.773grp.com/globalSearch/LP3875ES-1.8-NOPB/page-1", "LP3875ES-1.8-NOPB")</f>
        <v>LP3875ES-1.8-NOPB</v>
      </c>
      <c r="B4801" s="3" t="str">
        <f>HYPERLINK("https://www.773grp.com/manufacturer/national-semiconductor?pageNo=110", "National Semiconductor")</f>
        <v>National Semiconductor</v>
      </c>
      <c r="C4801" s="6">
        <v>148</v>
      </c>
      <c r="D4801" s="7">
        <v>4.68</v>
      </c>
      <c r="E4801" t="s">
        <v>19</v>
      </c>
    </row>
    <row r="4802" spans="1:5" x14ac:dyDescent="0.25">
      <c r="A4802" t="str">
        <f>HYPERLINK("https://www.773grp.com/globalSearch/LP3875ES-2.5-NOPB/page-1", "LP3875ES-2.5-NOPB")</f>
        <v>LP3875ES-2.5-NOPB</v>
      </c>
      <c r="B4802" s="3" t="str">
        <f>HYPERLINK("https://www.773grp.com/manufacturer/national-semiconductor?pageNo=111", "National Semiconductor")</f>
        <v>National Semiconductor</v>
      </c>
      <c r="C4802" s="6">
        <v>342</v>
      </c>
      <c r="D4802" s="7">
        <v>4.68</v>
      </c>
      <c r="E4802" t="s">
        <v>19</v>
      </c>
    </row>
    <row r="4803" spans="1:5" x14ac:dyDescent="0.25">
      <c r="A4803" t="str">
        <f>HYPERLINK("https://www.773grp.com/globalSearch/LP3875ES-ADJ-NOPB/page-1", "LP3875ES-ADJ-NOPB")</f>
        <v>LP3875ES-ADJ-NOPB</v>
      </c>
      <c r="B4803" s="3" t="str">
        <f>HYPERLINK("https://www.773grp.com/manufacturer/national-semiconductor?pageNo=112", "National Semiconductor")</f>
        <v>National Semiconductor</v>
      </c>
      <c r="C4803" s="6">
        <v>172</v>
      </c>
      <c r="D4803" s="7">
        <v>4.68</v>
      </c>
      <c r="E4803" t="s">
        <v>25</v>
      </c>
    </row>
    <row r="4804" spans="1:5" x14ac:dyDescent="0.25">
      <c r="A4804" t="str">
        <f>HYPERLINK("https://www.773grp.com/globalSearch/LP3893ET-1.2/page-1", "LP3893ET-1.2")</f>
        <v>LP3893ET-1.2</v>
      </c>
      <c r="B4804" s="3" t="str">
        <f>HYPERLINK("https://www.773grp.com/manufacturer/national-semiconductor?pageNo=113", "National Semiconductor")</f>
        <v>National Semiconductor</v>
      </c>
      <c r="C4804" s="6">
        <v>31</v>
      </c>
      <c r="D4804" s="7">
        <v>4.68</v>
      </c>
      <c r="E4804" t="s">
        <v>19</v>
      </c>
    </row>
    <row r="4805" spans="1:5" x14ac:dyDescent="0.25">
      <c r="A4805" t="str">
        <f>HYPERLINK("https://www.773grp.com/globalSearch/LP3965ES-1.8-NOPB/page-1", "LP3965ES-1.8-NOPB")</f>
        <v>LP3965ES-1.8-NOPB</v>
      </c>
      <c r="B4805" s="3" t="str">
        <f>HYPERLINK("https://www.773grp.com/manufacturer/national-semiconductor?pageNo=114", "National Semiconductor")</f>
        <v>National Semiconductor</v>
      </c>
      <c r="C4805" s="6">
        <v>358</v>
      </c>
      <c r="D4805" s="7">
        <v>4.68</v>
      </c>
      <c r="E4805" t="s">
        <v>19</v>
      </c>
    </row>
    <row r="4806" spans="1:5" x14ac:dyDescent="0.25">
      <c r="A4806" t="str">
        <f>HYPERLINK("https://www.773grp.com/globalSearch/LP3965ES-2.5-NOPB/page-1", "LP3965ES-2.5-NOPB")</f>
        <v>LP3965ES-2.5-NOPB</v>
      </c>
      <c r="B4806" s="3" t="str">
        <f>HYPERLINK("https://www.773grp.com/manufacturer/national-semiconductor?pageNo=115", "National Semiconductor")</f>
        <v>National Semiconductor</v>
      </c>
      <c r="C4806" s="6">
        <v>1345</v>
      </c>
      <c r="D4806" s="7">
        <v>4.68</v>
      </c>
      <c r="E4806" t="s">
        <v>19</v>
      </c>
    </row>
    <row r="4807" spans="1:5" x14ac:dyDescent="0.25">
      <c r="A4807" t="str">
        <f>HYPERLINK("https://www.773grp.com/globalSearch/LP3965ES-3.3-NOPB/page-1", "LP3965ES-3.3-NOPB")</f>
        <v>LP3965ES-3.3-NOPB</v>
      </c>
      <c r="B4807" s="3" t="str">
        <f>HYPERLINK("https://www.773grp.com/manufacturer/national-semiconductor?pageNo=116", "National Semiconductor")</f>
        <v>National Semiconductor</v>
      </c>
      <c r="C4807" s="6">
        <v>10</v>
      </c>
      <c r="D4807" s="7">
        <v>4.68</v>
      </c>
      <c r="E4807" t="s">
        <v>19</v>
      </c>
    </row>
    <row r="4808" spans="1:5" x14ac:dyDescent="0.25">
      <c r="A4808" t="str">
        <f>HYPERLINK("https://www.773grp.com/globalSearch/LP3965ES-ADJ-NOPB/page-1", "LP3965ES-ADJ-NOPB")</f>
        <v>LP3965ES-ADJ-NOPB</v>
      </c>
      <c r="B4808" s="3" t="str">
        <f>HYPERLINK("https://www.773grp.com/manufacturer/national-semiconductor?pageNo=117", "National Semiconductor")</f>
        <v>National Semiconductor</v>
      </c>
      <c r="C4808" s="6">
        <v>2973</v>
      </c>
      <c r="D4808" s="7">
        <v>4.68</v>
      </c>
      <c r="E4808" t="s">
        <v>25</v>
      </c>
    </row>
    <row r="4809" spans="1:5" x14ac:dyDescent="0.25">
      <c r="A4809" t="str">
        <f>HYPERLINK("https://www.773grp.com/globalSearch/UA75451ARC/page-1", "UA75451ARC")</f>
        <v>UA75451ARC</v>
      </c>
      <c r="B4809" s="3" t="str">
        <f>HYPERLINK("https://www.773grp.com/manufacturer/national-semiconductor?pageNo=118", "National Semiconductor")</f>
        <v>National Semiconductor</v>
      </c>
      <c r="C4809" s="6">
        <v>451</v>
      </c>
      <c r="D4809" s="7">
        <v>4.68</v>
      </c>
    </row>
    <row r="4810" spans="1:5" x14ac:dyDescent="0.25">
      <c r="A4810" t="str">
        <f>HYPERLINK("https://www.773grp.com/globalSearch/LM4308GR-NOPB/page-1", "LM4308GR-NOPB")</f>
        <v>LM4308GR-NOPB</v>
      </c>
      <c r="B4810" s="3" t="str">
        <f>HYPERLINK("https://www.773grp.com/manufacturer/national-semiconductor?pageNo=119", "National Semiconductor")</f>
        <v>National Semiconductor</v>
      </c>
      <c r="C4810" s="6">
        <v>1933</v>
      </c>
      <c r="D4810" s="7">
        <v>4.68</v>
      </c>
    </row>
    <row r="4811" spans="1:5" x14ac:dyDescent="0.25">
      <c r="A4811" t="str">
        <f>HYPERLINK("https://www.773grp.com/globalSearch/LM4308SQ-NOPB/page-1", "LM4308SQ-NOPB")</f>
        <v>LM4308SQ-NOPB</v>
      </c>
      <c r="B4811" s="3" t="str">
        <f>HYPERLINK("https://www.773grp.com/manufacturer/national-semiconductor?pageNo=120", "National Semiconductor")</f>
        <v>National Semiconductor</v>
      </c>
      <c r="C4811" s="6">
        <v>999</v>
      </c>
      <c r="D4811" s="7">
        <v>4.68</v>
      </c>
    </row>
    <row r="4812" spans="1:5" x14ac:dyDescent="0.25">
      <c r="A4812" t="str">
        <f>HYPERLINK("https://www.773grp.com/globalSearch/LM6132AIM-NOPB/page-1", "LM6132AIM-NOPB")</f>
        <v>LM6132AIM-NOPB</v>
      </c>
      <c r="B4812" s="3" t="str">
        <f>HYPERLINK("https://www.773grp.com/manufacturer/national-semiconductor?pageNo=121", "National Semiconductor")</f>
        <v>National Semiconductor</v>
      </c>
      <c r="C4812" s="6">
        <v>229</v>
      </c>
      <c r="D4812" s="7">
        <v>4.68</v>
      </c>
      <c r="E4812" t="s">
        <v>13</v>
      </c>
    </row>
    <row r="4813" spans="1:5" x14ac:dyDescent="0.25">
      <c r="A4813" t="str">
        <f>HYPERLINK("https://www.773grp.com/globalSearch/LMC6082IM-NOPB/page-1", "LMC6082IM-NOPB")</f>
        <v>LMC6082IM-NOPB</v>
      </c>
      <c r="B4813" s="3" t="str">
        <f>HYPERLINK("https://www.773grp.com/manufacturer/national-semiconductor?pageNo=122", "National Semiconductor")</f>
        <v>National Semiconductor</v>
      </c>
      <c r="C4813" s="6">
        <v>204</v>
      </c>
      <c r="D4813" s="7">
        <v>4.68</v>
      </c>
      <c r="E4813" t="s">
        <v>13</v>
      </c>
    </row>
    <row r="4814" spans="1:5" x14ac:dyDescent="0.25">
      <c r="A4814" t="str">
        <f>HYPERLINK("https://www.773grp.com/globalSearch/LP3872ES-1.8-NOPB/page-1", "LP3872ES-1.8-NOPB")</f>
        <v>LP3872ES-1.8-NOPB</v>
      </c>
      <c r="B4814" s="3" t="str">
        <f>HYPERLINK("https://www.773grp.com/manufacturer/national-semiconductor?pageNo=123", "National Semiconductor")</f>
        <v>National Semiconductor</v>
      </c>
      <c r="C4814" s="6">
        <v>250</v>
      </c>
      <c r="D4814" s="7">
        <v>4.68</v>
      </c>
      <c r="E4814" t="s">
        <v>19</v>
      </c>
    </row>
    <row r="4815" spans="1:5" x14ac:dyDescent="0.25">
      <c r="A4815" t="str">
        <f>HYPERLINK("https://www.773grp.com/globalSearch/LP3872ES-3.3-NOPB/page-1", "LP3872ES-3.3-NOPB")</f>
        <v>LP3872ES-3.3-NOPB</v>
      </c>
      <c r="B4815" s="3" t="str">
        <f>HYPERLINK("https://www.773grp.com/manufacturer/national-semiconductor?pageNo=124", "National Semiconductor")</f>
        <v>National Semiconductor</v>
      </c>
      <c r="C4815" s="6">
        <v>58</v>
      </c>
      <c r="D4815" s="7">
        <v>4.68</v>
      </c>
      <c r="E4815" t="s">
        <v>19</v>
      </c>
    </row>
    <row r="4816" spans="1:5" x14ac:dyDescent="0.25">
      <c r="A4816" t="str">
        <f>HYPERLINK("https://www.773grp.com/globalSearch/LP3875ES-1.8-NOPB/page-1", "LP3875ES-1.8-NOPB")</f>
        <v>LP3875ES-1.8-NOPB</v>
      </c>
      <c r="B4816" s="3" t="str">
        <f>HYPERLINK("https://www.773grp.com/manufacturer/national-semiconductor?pageNo=125", "National Semiconductor")</f>
        <v>National Semiconductor</v>
      </c>
      <c r="C4816" s="6">
        <v>267</v>
      </c>
      <c r="D4816" s="7">
        <v>4.68</v>
      </c>
      <c r="E4816" t="s">
        <v>19</v>
      </c>
    </row>
    <row r="4817" spans="1:5" x14ac:dyDescent="0.25">
      <c r="A4817" t="str">
        <f>HYPERLINK("https://www.773grp.com/globalSearch/LP3875ES-2.5-NOPB/page-1", "LP3875ES-2.5-NOPB")</f>
        <v>LP3875ES-2.5-NOPB</v>
      </c>
      <c r="B4817" s="3" t="str">
        <f>HYPERLINK("https://www.773grp.com/manufacturer/national-semiconductor?pageNo=126", "National Semiconductor")</f>
        <v>National Semiconductor</v>
      </c>
      <c r="C4817" s="6">
        <v>1770</v>
      </c>
      <c r="D4817" s="7">
        <v>4.68</v>
      </c>
      <c r="E4817" t="s">
        <v>19</v>
      </c>
    </row>
    <row r="4818" spans="1:5" x14ac:dyDescent="0.25">
      <c r="A4818" t="str">
        <f>HYPERLINK("https://www.773grp.com/globalSearch/LP3875ES-3.3-NOPB/page-1", "LP3875ES-3.3-NOPB")</f>
        <v>LP3875ES-3.3-NOPB</v>
      </c>
      <c r="B4818" s="3" t="str">
        <f>HYPERLINK("https://www.773grp.com/manufacturer/national-semiconductor?pageNo=127", "National Semiconductor")</f>
        <v>National Semiconductor</v>
      </c>
      <c r="C4818" s="6">
        <v>1074</v>
      </c>
      <c r="D4818" s="7">
        <v>4.68</v>
      </c>
    </row>
    <row r="4819" spans="1:5" x14ac:dyDescent="0.25">
      <c r="A4819" t="str">
        <f>HYPERLINK("https://www.773grp.com/globalSearch/LP3875ES-ADJ-NOPB/page-1", "LP3875ES-ADJ-NOPB")</f>
        <v>LP3875ES-ADJ-NOPB</v>
      </c>
      <c r="B4819" s="3" t="str">
        <f>HYPERLINK("https://www.773grp.com/manufacturer/national-semiconductor?pageNo=128", "National Semiconductor")</f>
        <v>National Semiconductor</v>
      </c>
      <c r="C4819" s="6">
        <v>261</v>
      </c>
      <c r="D4819" s="7">
        <v>4.68</v>
      </c>
      <c r="E4819" t="s">
        <v>25</v>
      </c>
    </row>
    <row r="4820" spans="1:5" x14ac:dyDescent="0.25">
      <c r="A4820" t="str">
        <f>HYPERLINK("https://www.773grp.com/globalSearch/LP38853T-ADJ-NOPB/page-1", "LP38853T-ADJ-NOPB")</f>
        <v>LP38853T-ADJ-NOPB</v>
      </c>
      <c r="B4820" s="3" t="str">
        <f>HYPERLINK("https://www.773grp.com/manufacturer/national-semiconductor?pageNo=129", "National Semiconductor")</f>
        <v>National Semiconductor</v>
      </c>
      <c r="C4820" s="6">
        <v>114</v>
      </c>
      <c r="D4820" s="7">
        <v>4.68</v>
      </c>
    </row>
    <row r="4821" spans="1:5" x14ac:dyDescent="0.25">
      <c r="A4821" t="str">
        <f>HYPERLINK("https://www.773grp.com/globalSearch/LP3965ES-1.8-NOPB/page-1", "LP3965ES-1.8-NOPB")</f>
        <v>LP3965ES-1.8-NOPB</v>
      </c>
      <c r="B4821" s="3" t="str">
        <f>HYPERLINK("https://www.773grp.com/manufacturer/national-semiconductor?pageNo=130", "National Semiconductor")</f>
        <v>National Semiconductor</v>
      </c>
      <c r="C4821" s="6">
        <v>144</v>
      </c>
      <c r="D4821" s="7">
        <v>4.68</v>
      </c>
      <c r="E4821" t="s">
        <v>19</v>
      </c>
    </row>
    <row r="4822" spans="1:5" x14ac:dyDescent="0.25">
      <c r="A4822" t="str">
        <f>HYPERLINK("https://www.773grp.com/globalSearch/LP3965ES-2.5-NOPB/page-1", "LP3965ES-2.5-NOPB")</f>
        <v>LP3965ES-2.5-NOPB</v>
      </c>
      <c r="B4822" s="3" t="str">
        <f>HYPERLINK("https://www.773grp.com/manufacturer/national-semiconductor?pageNo=131", "National Semiconductor")</f>
        <v>National Semiconductor</v>
      </c>
      <c r="C4822" s="6">
        <v>4911</v>
      </c>
      <c r="D4822" s="7">
        <v>4.68</v>
      </c>
      <c r="E4822" t="s">
        <v>19</v>
      </c>
    </row>
    <row r="4823" spans="1:5" x14ac:dyDescent="0.25">
      <c r="A4823" t="str">
        <f>HYPERLINK("https://www.773grp.com/globalSearch/LP3965ES-3.3-NOPB/page-1", "LP3965ES-3.3-NOPB")</f>
        <v>LP3965ES-3.3-NOPB</v>
      </c>
      <c r="B4823" s="3" t="str">
        <f>HYPERLINK("https://www.773grp.com/manufacturer/national-semiconductor?pageNo=132", "National Semiconductor")</f>
        <v>National Semiconductor</v>
      </c>
      <c r="C4823" s="6">
        <v>340</v>
      </c>
      <c r="D4823" s="7">
        <v>4.68</v>
      </c>
      <c r="E4823" t="s">
        <v>19</v>
      </c>
    </row>
    <row r="4824" spans="1:5" x14ac:dyDescent="0.25">
      <c r="A4824" t="str">
        <f>HYPERLINK("https://www.773grp.com/globalSearch/LP3965ES-ADJ-NOPB/page-1", "LP3965ES-ADJ-NOPB")</f>
        <v>LP3965ES-ADJ-NOPB</v>
      </c>
      <c r="B4824" s="3" t="str">
        <f>HYPERLINK("https://www.773grp.com/manufacturer/national-semiconductor?pageNo=133", "National Semiconductor")</f>
        <v>National Semiconductor</v>
      </c>
      <c r="C4824" s="6">
        <v>256</v>
      </c>
      <c r="D4824" s="7">
        <v>4.68</v>
      </c>
      <c r="E4824" t="s">
        <v>25</v>
      </c>
    </row>
    <row r="4825" spans="1:5" x14ac:dyDescent="0.25">
      <c r="A4825" t="str">
        <f>HYPERLINK("https://www.773grp.com/globalSearch/54126DM/page-1", "54126DM")</f>
        <v>54126DM</v>
      </c>
      <c r="B4825" s="3" t="str">
        <f>HYPERLINK("https://www.773grp.com/manufacturer/national-semiconductor?pageNo=134", "National Semiconductor")</f>
        <v>National Semiconductor</v>
      </c>
      <c r="C4825" s="6">
        <v>142</v>
      </c>
      <c r="D4825" s="7">
        <v>5.16</v>
      </c>
    </row>
    <row r="4826" spans="1:5" x14ac:dyDescent="0.25">
      <c r="A4826" t="str">
        <f>HYPERLINK("https://www.773grp.com/globalSearch/74145DC/page-1", "74145DC")</f>
        <v>74145DC</v>
      </c>
      <c r="B4826" s="3" t="str">
        <f>HYPERLINK("https://www.773grp.com/manufacturer/national-semiconductor?pageNo=1", "National Semiconductor")</f>
        <v>National Semiconductor</v>
      </c>
      <c r="C4826" s="6">
        <v>1983</v>
      </c>
      <c r="D4826" s="7">
        <v>5.16</v>
      </c>
    </row>
    <row r="4827" spans="1:5" x14ac:dyDescent="0.25">
      <c r="A4827" t="str">
        <f>HYPERLINK("https://www.773grp.com/globalSearch/74163DC/page-1", "74163DC")</f>
        <v>74163DC</v>
      </c>
      <c r="B4827" s="3" t="str">
        <f>HYPERLINK("https://www.773grp.com/manufacturer/national-semiconductor?pageNo=2", "National Semiconductor")</f>
        <v>National Semiconductor</v>
      </c>
      <c r="C4827" s="6">
        <v>3661</v>
      </c>
      <c r="D4827" s="7">
        <v>5.16</v>
      </c>
    </row>
    <row r="4828" spans="1:5" x14ac:dyDescent="0.25">
      <c r="A4828" t="str">
        <f>HYPERLINK("https://www.773grp.com/globalSearch/7442ADC/page-1", "7442ADC")</f>
        <v>7442ADC</v>
      </c>
      <c r="B4828" s="3" t="str">
        <f>HYPERLINK("https://www.773grp.com/manufacturer/national-semiconductor?pageNo=3", "National Semiconductor")</f>
        <v>National Semiconductor</v>
      </c>
      <c r="C4828" s="6">
        <v>44</v>
      </c>
      <c r="D4828" s="7">
        <v>5.16</v>
      </c>
    </row>
    <row r="4829" spans="1:5" x14ac:dyDescent="0.25">
      <c r="A4829" t="str">
        <f>HYPERLINK("https://www.773grp.com/globalSearch/74F175SCX/page-1", "74F175SCX")</f>
        <v>74F175SCX</v>
      </c>
      <c r="B4829" s="3" t="str">
        <f>HYPERLINK("https://www.773grp.com/manufacturer/national-semiconductor?pageNo=4", "National Semiconductor")</f>
        <v>National Semiconductor</v>
      </c>
      <c r="C4829" s="6">
        <v>12500</v>
      </c>
      <c r="D4829" s="7">
        <v>5.16</v>
      </c>
      <c r="E4829" t="s">
        <v>35</v>
      </c>
    </row>
    <row r="4830" spans="1:5" x14ac:dyDescent="0.25">
      <c r="A4830" t="str">
        <f>HYPERLINK("https://www.773grp.com/globalSearch/ADC0838CIWM/page-1", "ADC0838CIWM")</f>
        <v>ADC0838CIWM</v>
      </c>
      <c r="B4830" s="3" t="str">
        <f>HYPERLINK("https://www.773grp.com/manufacturer/national-semiconductor?pageNo=5", "National Semiconductor")</f>
        <v>National Semiconductor</v>
      </c>
      <c r="C4830" s="6">
        <v>103</v>
      </c>
      <c r="D4830" s="7">
        <v>5.16</v>
      </c>
      <c r="E4830" t="s">
        <v>39</v>
      </c>
    </row>
    <row r="4831" spans="1:5" x14ac:dyDescent="0.25">
      <c r="A4831" t="str">
        <f>HYPERLINK("https://www.773grp.com/globalSearch/DM54LS86J-883/page-1", "DM54LS86J-883")</f>
        <v>DM54LS86J-883</v>
      </c>
      <c r="B4831" s="3" t="str">
        <f>HYPERLINK("https://www.773grp.com/manufacturer/national-semiconductor?pageNo=6", "National Semiconductor")</f>
        <v>National Semiconductor</v>
      </c>
      <c r="C4831" s="6">
        <v>1427</v>
      </c>
      <c r="D4831" s="7">
        <v>5.16</v>
      </c>
      <c r="E4831" t="s">
        <v>31</v>
      </c>
    </row>
    <row r="4832" spans="1:5" x14ac:dyDescent="0.25">
      <c r="A4832" t="str">
        <f>HYPERLINK("https://www.773grp.com/globalSearch/DS14C89AN-NOPB/page-1", "DS14C89AN-NOPB")</f>
        <v>DS14C89AN-NOPB</v>
      </c>
      <c r="B4832" s="3" t="str">
        <f>HYPERLINK("https://www.773grp.com/manufacturer/national-semiconductor?pageNo=7", "National Semiconductor")</f>
        <v>National Semiconductor</v>
      </c>
      <c r="C4832" s="6">
        <v>1000</v>
      </c>
      <c r="D4832" s="7">
        <v>5.16</v>
      </c>
      <c r="E4832" t="s">
        <v>21</v>
      </c>
    </row>
    <row r="4833" spans="1:5" x14ac:dyDescent="0.25">
      <c r="A4833" t="str">
        <f>HYPERLINK("https://www.773grp.com/globalSearch/DS36277TN/page-1", "DS36277TN")</f>
        <v>DS36277TN</v>
      </c>
      <c r="B4833" s="3" t="str">
        <f>HYPERLINK("https://www.773grp.com/manufacturer/national-semiconductor?pageNo=8", "National Semiconductor")</f>
        <v>National Semiconductor</v>
      </c>
      <c r="C4833" s="6">
        <v>58</v>
      </c>
      <c r="D4833" s="7">
        <v>5.16</v>
      </c>
      <c r="E4833" t="s">
        <v>21</v>
      </c>
    </row>
    <row r="4834" spans="1:5" x14ac:dyDescent="0.25">
      <c r="A4834" t="str">
        <f>HYPERLINK("https://www.773grp.com/globalSearch/LF347MX/page-1", "LF347MX")</f>
        <v>LF347MX</v>
      </c>
      <c r="B4834" s="3" t="str">
        <f>HYPERLINK("https://www.773grp.com/manufacturer/national-semiconductor?pageNo=9", "National Semiconductor")</f>
        <v>National Semiconductor</v>
      </c>
      <c r="C4834" s="6">
        <v>2028</v>
      </c>
      <c r="D4834" s="7">
        <v>5.16</v>
      </c>
      <c r="E4834" t="s">
        <v>13</v>
      </c>
    </row>
    <row r="4835" spans="1:5" x14ac:dyDescent="0.25">
      <c r="A4835" t="str">
        <f>HYPERLINK("https://www.773grp.com/globalSearch/LM2788MM-2.0/page-1", "LM2788MM-2.0")</f>
        <v>LM2788MM-2.0</v>
      </c>
      <c r="B4835" s="3" t="str">
        <f>HYPERLINK("https://www.773grp.com/manufacturer/national-semiconductor?pageNo=10", "National Semiconductor")</f>
        <v>National Semiconductor</v>
      </c>
      <c r="C4835" s="6">
        <v>36000</v>
      </c>
      <c r="D4835" s="7">
        <v>5.16</v>
      </c>
      <c r="E4835" t="s">
        <v>7</v>
      </c>
    </row>
    <row r="4836" spans="1:5" x14ac:dyDescent="0.25">
      <c r="A4836" t="str">
        <f>HYPERLINK("https://www.773grp.com/globalSearch/LM2941CSX/page-1", "LM2941CSX")</f>
        <v>LM2941CSX</v>
      </c>
      <c r="B4836" s="3" t="str">
        <f>HYPERLINK("https://www.773grp.com/manufacturer/national-semiconductor?pageNo=11", "National Semiconductor")</f>
        <v>National Semiconductor</v>
      </c>
      <c r="C4836" s="6">
        <v>1667</v>
      </c>
      <c r="D4836" s="7">
        <v>5.16</v>
      </c>
      <c r="E4836" t="s">
        <v>25</v>
      </c>
    </row>
    <row r="4837" spans="1:5" x14ac:dyDescent="0.25">
      <c r="A4837" t="str">
        <f>HYPERLINK("https://www.773grp.com/globalSearch/LM3207TL-NOPB/page-1", "LM3207TL-NOPB")</f>
        <v>LM3207TL-NOPB</v>
      </c>
      <c r="B4837" s="3" t="str">
        <f>HYPERLINK("https://www.773grp.com/manufacturer/national-semiconductor?pageNo=12", "National Semiconductor")</f>
        <v>National Semiconductor</v>
      </c>
      <c r="C4837" s="6">
        <v>489</v>
      </c>
      <c r="D4837" s="7">
        <v>5.16</v>
      </c>
      <c r="E4837" t="s">
        <v>7</v>
      </c>
    </row>
    <row r="4838" spans="1:5" x14ac:dyDescent="0.25">
      <c r="A4838" t="str">
        <f>HYPERLINK("https://www.773grp.com/globalSearch/LM3207TL-2.53-NOPB/page-1", "LM3207TL-2.53-NOPB")</f>
        <v>LM3207TL-2.53-NOPB</v>
      </c>
      <c r="B4838" s="3" t="str">
        <f>HYPERLINK("https://www.773grp.com/manufacturer/national-semiconductor?pageNo=13", "National Semiconductor")</f>
        <v>National Semiconductor</v>
      </c>
      <c r="C4838" s="6">
        <v>250</v>
      </c>
      <c r="D4838" s="7">
        <v>5.16</v>
      </c>
      <c r="E4838" t="s">
        <v>7</v>
      </c>
    </row>
    <row r="4839" spans="1:5" x14ac:dyDescent="0.25">
      <c r="A4839" t="str">
        <f>HYPERLINK("https://www.773grp.com/globalSearch/LM331N/page-1", "LM331N")</f>
        <v>LM331N</v>
      </c>
      <c r="B4839" s="3" t="str">
        <f>HYPERLINK("https://www.773grp.com/manufacturer/national-semiconductor?pageNo=14", "National Semiconductor")</f>
        <v>National Semiconductor</v>
      </c>
      <c r="C4839" s="6">
        <v>1000</v>
      </c>
      <c r="D4839" s="7">
        <v>5.16</v>
      </c>
      <c r="E4839" t="s">
        <v>45</v>
      </c>
    </row>
    <row r="4840" spans="1:5" x14ac:dyDescent="0.25">
      <c r="A4840" t="str">
        <f>HYPERLINK("https://www.773grp.com/globalSearch/LM3670MF-2.5/page-1", "LM3670MF-2.5")</f>
        <v>LM3670MF-2.5</v>
      </c>
      <c r="B4840" s="3" t="str">
        <f>HYPERLINK("https://www.773grp.com/manufacturer/national-semiconductor?pageNo=15", "National Semiconductor")</f>
        <v>National Semiconductor</v>
      </c>
      <c r="C4840" s="6">
        <v>345</v>
      </c>
      <c r="D4840" s="7">
        <v>5.16</v>
      </c>
      <c r="E4840" t="s">
        <v>7</v>
      </c>
    </row>
    <row r="4841" spans="1:5" x14ac:dyDescent="0.25">
      <c r="A4841" t="str">
        <f>HYPERLINK("https://www.773grp.com/globalSearch/LM3670MF-2.5-NOPB/page-1", "LM3670MF-2.5-NOPB")</f>
        <v>LM3670MF-2.5-NOPB</v>
      </c>
      <c r="B4841" s="3" t="str">
        <f>HYPERLINK("https://www.773grp.com/manufacturer/national-semiconductor?pageNo=16", "National Semiconductor")</f>
        <v>National Semiconductor</v>
      </c>
      <c r="C4841" s="6">
        <v>2000</v>
      </c>
      <c r="D4841" s="7">
        <v>5.16</v>
      </c>
      <c r="E4841" t="s">
        <v>7</v>
      </c>
    </row>
    <row r="4842" spans="1:5" x14ac:dyDescent="0.25">
      <c r="A4842" t="str">
        <f>HYPERLINK("https://www.773grp.com/globalSearch/LM4050CIM3-5.0/page-1", "LM4050CIM3-5.0")</f>
        <v>LM4050CIM3-5.0</v>
      </c>
      <c r="B4842" s="3" t="str">
        <f>HYPERLINK("https://www.773grp.com/manufacturer/national-semiconductor?pageNo=17", "National Semiconductor")</f>
        <v>National Semiconductor</v>
      </c>
      <c r="C4842" s="6">
        <v>800</v>
      </c>
      <c r="D4842" s="7">
        <v>5.16</v>
      </c>
      <c r="E4842" t="s">
        <v>17</v>
      </c>
    </row>
    <row r="4843" spans="1:5" x14ac:dyDescent="0.25">
      <c r="A4843" t="str">
        <f>HYPERLINK("https://www.773grp.com/globalSearch/LM4120IM5-2.5/page-1", "LM4120IM5-2.5")</f>
        <v>LM4120IM5-2.5</v>
      </c>
      <c r="B4843" s="3" t="str">
        <f>HYPERLINK("https://www.773grp.com/manufacturer/national-semiconductor?pageNo=18", "National Semiconductor")</f>
        <v>National Semiconductor</v>
      </c>
      <c r="C4843" s="6">
        <v>4000</v>
      </c>
      <c r="D4843" s="7">
        <v>5.16</v>
      </c>
      <c r="E4843" t="s">
        <v>17</v>
      </c>
    </row>
    <row r="4844" spans="1:5" x14ac:dyDescent="0.25">
      <c r="A4844" t="str">
        <f>HYPERLINK("https://www.773grp.com/globalSearch/LM4120IM5-3.0/page-1", "LM4120IM5-3.0")</f>
        <v>LM4120IM5-3.0</v>
      </c>
      <c r="B4844" s="3" t="str">
        <f>HYPERLINK("https://www.773grp.com/manufacturer/national-semiconductor?pageNo=19", "National Semiconductor")</f>
        <v>National Semiconductor</v>
      </c>
      <c r="C4844" s="6">
        <v>4000</v>
      </c>
      <c r="D4844" s="7">
        <v>5.16</v>
      </c>
      <c r="E4844" t="s">
        <v>17</v>
      </c>
    </row>
    <row r="4845" spans="1:5" x14ac:dyDescent="0.25">
      <c r="A4845" t="str">
        <f>HYPERLINK("https://www.773grp.com/globalSearch/LM4120IM5-3.3/page-1", "LM4120IM5-3.3")</f>
        <v>LM4120IM5-3.3</v>
      </c>
      <c r="B4845" s="3" t="str">
        <f>HYPERLINK("https://www.773grp.com/manufacturer/national-semiconductor?pageNo=20", "National Semiconductor")</f>
        <v>National Semiconductor</v>
      </c>
      <c r="C4845" s="6">
        <v>1000</v>
      </c>
      <c r="D4845" s="7">
        <v>5.16</v>
      </c>
      <c r="E4845" t="s">
        <v>17</v>
      </c>
    </row>
    <row r="4846" spans="1:5" x14ac:dyDescent="0.25">
      <c r="A4846" t="str">
        <f>HYPERLINK("https://www.773grp.com/globalSearch/LM5085MME-NOPB/page-1", "LM5085MME-NOPB")</f>
        <v>LM5085MME-NOPB</v>
      </c>
      <c r="B4846" s="3" t="str">
        <f>HYPERLINK("https://www.773grp.com/manufacturer/national-semiconductor?pageNo=21", "National Semiconductor")</f>
        <v>National Semiconductor</v>
      </c>
      <c r="C4846" s="6">
        <v>500</v>
      </c>
      <c r="D4846" s="7">
        <v>5.16</v>
      </c>
      <c r="E4846" t="s">
        <v>7</v>
      </c>
    </row>
    <row r="4847" spans="1:5" x14ac:dyDescent="0.25">
      <c r="A4847" t="str">
        <f>HYPERLINK("https://www.773grp.com/globalSearch/LM5085MYE-NOPB/page-1", "LM5085MYE-NOPB")</f>
        <v>LM5085MYE-NOPB</v>
      </c>
      <c r="B4847" s="3" t="str">
        <f>HYPERLINK("https://www.773grp.com/manufacturer/national-semiconductor?pageNo=22", "National Semiconductor")</f>
        <v>National Semiconductor</v>
      </c>
      <c r="C4847" s="6">
        <v>5</v>
      </c>
      <c r="D4847" s="7">
        <v>5.16</v>
      </c>
      <c r="E4847" t="s">
        <v>7</v>
      </c>
    </row>
    <row r="4848" spans="1:5" x14ac:dyDescent="0.25">
      <c r="A4848" t="str">
        <f>HYPERLINK("https://www.773grp.com/globalSearch/LM5085SDE-NOPB/page-1", "LM5085SDE-NOPB")</f>
        <v>LM5085SDE-NOPB</v>
      </c>
      <c r="B4848" s="3" t="str">
        <f>HYPERLINK("https://www.773grp.com/manufacturer/national-semiconductor?pageNo=23", "National Semiconductor")</f>
        <v>National Semiconductor</v>
      </c>
      <c r="C4848" s="6">
        <v>500</v>
      </c>
      <c r="D4848" s="7">
        <v>5.16</v>
      </c>
    </row>
    <row r="4849" spans="1:5" x14ac:dyDescent="0.25">
      <c r="A4849" t="str">
        <f>HYPERLINK("https://www.773grp.com/globalSearch/LM75BIM-3/page-1", "LM75BIM-3")</f>
        <v>LM75BIM-3</v>
      </c>
      <c r="B4849" s="3" t="str">
        <f>HYPERLINK("https://www.773grp.com/manufacturer/national-semiconductor?pageNo=24", "National Semiconductor")</f>
        <v>National Semiconductor</v>
      </c>
      <c r="C4849" s="6">
        <v>504</v>
      </c>
      <c r="D4849" s="7">
        <v>5.16</v>
      </c>
      <c r="E4849" t="s">
        <v>12</v>
      </c>
    </row>
    <row r="4850" spans="1:5" x14ac:dyDescent="0.25">
      <c r="A4850" t="str">
        <f>HYPERLINK("https://www.773grp.com/globalSearch/LM75BIM-5/page-1", "LM75BIM-5")</f>
        <v>LM75BIM-5</v>
      </c>
      <c r="B4850" s="3" t="str">
        <f>HYPERLINK("https://www.773grp.com/manufacturer/national-semiconductor?pageNo=25", "National Semiconductor")</f>
        <v>National Semiconductor</v>
      </c>
      <c r="C4850" s="6">
        <v>285</v>
      </c>
      <c r="D4850" s="7">
        <v>5.16</v>
      </c>
      <c r="E4850" t="s">
        <v>12</v>
      </c>
    </row>
    <row r="4851" spans="1:5" x14ac:dyDescent="0.25">
      <c r="A4851" t="str">
        <f>HYPERLINK("https://www.773grp.com/globalSearch/LM9076S-3.3-NOPB/page-1", "LM9076S-3.3-NOPB")</f>
        <v>LM9076S-3.3-NOPB</v>
      </c>
      <c r="B4851" s="3" t="str">
        <f>HYPERLINK("https://www.773grp.com/manufacturer/national-semiconductor?pageNo=26", "National Semiconductor")</f>
        <v>National Semiconductor</v>
      </c>
      <c r="C4851" s="6">
        <v>382</v>
      </c>
      <c r="D4851" s="7">
        <v>5.16</v>
      </c>
    </row>
    <row r="4852" spans="1:5" x14ac:dyDescent="0.25">
      <c r="A4852" t="str">
        <f>HYPERLINK("https://www.773grp.com/globalSearch/LM9076S-5.0-NOPB/page-1", "LM9076S-5.0-NOPB")</f>
        <v>LM9076S-5.0-NOPB</v>
      </c>
      <c r="B4852" s="3" t="str">
        <f>HYPERLINK("https://www.773grp.com/manufacturer/national-semiconductor?pageNo=27", "National Semiconductor")</f>
        <v>National Semiconductor</v>
      </c>
      <c r="C4852" s="6">
        <v>10751</v>
      </c>
      <c r="D4852" s="7">
        <v>5.16</v>
      </c>
      <c r="E4852" t="s">
        <v>19</v>
      </c>
    </row>
    <row r="4853" spans="1:5" x14ac:dyDescent="0.25">
      <c r="A4853" t="str">
        <f>HYPERLINK("https://www.773grp.com/globalSearch/LMC2001ACM5/page-1", "LMC2001ACM5")</f>
        <v>LMC2001ACM5</v>
      </c>
      <c r="B4853" s="3" t="str">
        <f>HYPERLINK("https://www.773grp.com/manufacturer/national-semiconductor?pageNo=28", "National Semiconductor")</f>
        <v>National Semiconductor</v>
      </c>
      <c r="C4853" s="6">
        <v>27903</v>
      </c>
      <c r="D4853" s="7">
        <v>5.16</v>
      </c>
      <c r="E4853" t="s">
        <v>13</v>
      </c>
    </row>
    <row r="4854" spans="1:5" x14ac:dyDescent="0.25">
      <c r="A4854" t="str">
        <f>HYPERLINK("https://www.773grp.com/globalSearch/LMC2001ACM5X/page-1", "LMC2001ACM5X")</f>
        <v>LMC2001ACM5X</v>
      </c>
      <c r="B4854" s="3" t="str">
        <f>HYPERLINK("https://www.773grp.com/manufacturer/national-semiconductor?pageNo=29", "National Semiconductor")</f>
        <v>National Semiconductor</v>
      </c>
      <c r="C4854" s="6">
        <v>21060</v>
      </c>
      <c r="D4854" s="7">
        <v>5.16</v>
      </c>
      <c r="E4854" t="s">
        <v>13</v>
      </c>
    </row>
    <row r="4855" spans="1:5" x14ac:dyDescent="0.25">
      <c r="A4855" t="str">
        <f>HYPERLINK("https://www.773grp.com/globalSearch/LMC6036IMX/page-1", "LMC6036IMX")</f>
        <v>LMC6036IMX</v>
      </c>
      <c r="B4855" s="3" t="str">
        <f>HYPERLINK("https://www.773grp.com/manufacturer/national-semiconductor?pageNo=30", "National Semiconductor")</f>
        <v>National Semiconductor</v>
      </c>
      <c r="C4855" s="6">
        <v>22500</v>
      </c>
      <c r="D4855" s="7">
        <v>5.16</v>
      </c>
      <c r="E4855" t="s">
        <v>13</v>
      </c>
    </row>
    <row r="4856" spans="1:5" x14ac:dyDescent="0.25">
      <c r="A4856" t="str">
        <f>HYPERLINK("https://www.773grp.com/globalSearch/LMH2191TME-NOPB/page-1", "LMH2191TME-NOPB")</f>
        <v>LMH2191TME-NOPB</v>
      </c>
      <c r="B4856" s="3" t="str">
        <f>HYPERLINK("https://www.773grp.com/manufacturer/national-semiconductor?pageNo=31", "National Semiconductor")</f>
        <v>National Semiconductor</v>
      </c>
      <c r="C4856" s="6">
        <v>294</v>
      </c>
      <c r="D4856" s="7">
        <v>5.16</v>
      </c>
    </row>
    <row r="4857" spans="1:5" x14ac:dyDescent="0.25">
      <c r="A4857" t="str">
        <f>HYPERLINK("https://www.773grp.com/globalSearch/LMP8640MKE-F-NOPB/page-1", "LMP8640MKE-F-NOPB")</f>
        <v>LMP8640MKE-F-NOPB</v>
      </c>
      <c r="B4857" s="3" t="str">
        <f>HYPERLINK("https://www.773grp.com/manufacturer/national-semiconductor?pageNo=32", "National Semiconductor")</f>
        <v>National Semiconductor</v>
      </c>
      <c r="C4857" s="6">
        <v>250</v>
      </c>
      <c r="D4857" s="7">
        <v>5.16</v>
      </c>
    </row>
    <row r="4858" spans="1:5" x14ac:dyDescent="0.25">
      <c r="A4858" t="str">
        <f>HYPERLINK("https://www.773grp.com/globalSearch/LMP8640MKE-H-NOPB/page-1", "LMP8640MKE-H-NOPB")</f>
        <v>LMP8640MKE-H-NOPB</v>
      </c>
      <c r="B4858" s="3" t="str">
        <f>HYPERLINK("https://www.773grp.com/manufacturer/national-semiconductor?pageNo=33", "National Semiconductor")</f>
        <v>National Semiconductor</v>
      </c>
      <c r="C4858" s="6">
        <v>550</v>
      </c>
      <c r="D4858" s="7">
        <v>5.16</v>
      </c>
    </row>
    <row r="4859" spans="1:5" x14ac:dyDescent="0.25">
      <c r="A4859" t="str">
        <f>HYPERLINK("https://www.773grp.com/globalSearch/LMP8640MKE-T-NOPB/page-1", "LMP8640MKE-T-NOPB")</f>
        <v>LMP8640MKE-T-NOPB</v>
      </c>
      <c r="B4859" s="3" t="str">
        <f>HYPERLINK("https://www.773grp.com/manufacturer/national-semiconductor?pageNo=34", "National Semiconductor")</f>
        <v>National Semiconductor</v>
      </c>
      <c r="C4859" s="6">
        <v>547</v>
      </c>
      <c r="D4859" s="7">
        <v>5.16</v>
      </c>
    </row>
    <row r="4860" spans="1:5" x14ac:dyDescent="0.25">
      <c r="A4860" t="str">
        <f>HYPERLINK("https://www.773grp.com/globalSearch/LMP8645MKE-NOPB/page-1", "LMP8645MKE-NOPB")</f>
        <v>LMP8645MKE-NOPB</v>
      </c>
      <c r="B4860" s="3" t="str">
        <f>HYPERLINK("https://www.773grp.com/manufacturer/national-semiconductor?pageNo=35", "National Semiconductor")</f>
        <v>National Semiconductor</v>
      </c>
      <c r="C4860" s="6">
        <v>500</v>
      </c>
      <c r="D4860" s="7">
        <v>5.16</v>
      </c>
    </row>
    <row r="4861" spans="1:5" x14ac:dyDescent="0.25">
      <c r="A4861" t="str">
        <f>HYPERLINK("https://www.773grp.com/globalSearch/LMV232TL-NOPB/page-1", "LMV232TL-NOPB")</f>
        <v>LMV232TL-NOPB</v>
      </c>
      <c r="B4861" s="3" t="str">
        <f>HYPERLINK("https://www.773grp.com/manufacturer/national-semiconductor?pageNo=36", "National Semiconductor")</f>
        <v>National Semiconductor</v>
      </c>
      <c r="C4861" s="6">
        <v>2250</v>
      </c>
      <c r="D4861" s="7">
        <v>5.16</v>
      </c>
    </row>
    <row r="4862" spans="1:5" x14ac:dyDescent="0.25">
      <c r="A4862" t="str">
        <f>HYPERLINK("https://www.773grp.com/globalSearch/LMV7219M5-NOPB/page-1", "LMV7219M5-NOPB")</f>
        <v>LMV7219M5-NOPB</v>
      </c>
      <c r="B4862" s="3" t="str">
        <f>HYPERLINK("https://www.773grp.com/manufacturer/national-semiconductor?pageNo=37", "National Semiconductor")</f>
        <v>National Semiconductor</v>
      </c>
      <c r="C4862" s="6">
        <v>11950</v>
      </c>
      <c r="D4862" s="7">
        <v>5.16</v>
      </c>
      <c r="E4862" t="s">
        <v>9</v>
      </c>
    </row>
    <row r="4863" spans="1:5" x14ac:dyDescent="0.25">
      <c r="A4863" t="str">
        <f>HYPERLINK("https://www.773grp.com/globalSearch/LMV7219M5X-NOPB/page-1", "LMV7219M5X-NOPB")</f>
        <v>LMV7219M5X-NOPB</v>
      </c>
      <c r="B4863" s="3" t="str">
        <f>HYPERLINK("https://www.773grp.com/manufacturer/national-semiconductor?pageNo=38", "National Semiconductor")</f>
        <v>National Semiconductor</v>
      </c>
      <c r="C4863" s="6">
        <v>213000</v>
      </c>
      <c r="D4863" s="7">
        <v>5.16</v>
      </c>
      <c r="E4863" t="s">
        <v>9</v>
      </c>
    </row>
    <row r="4864" spans="1:5" x14ac:dyDescent="0.25">
      <c r="A4864" t="str">
        <f>HYPERLINK("https://www.773grp.com/globalSearch/LMV7219M7-NOPB/page-1", "LMV7219M7-NOPB")</f>
        <v>LMV7219M7-NOPB</v>
      </c>
      <c r="B4864" s="3" t="str">
        <f>HYPERLINK("https://www.773grp.com/manufacturer/national-semiconductor?pageNo=39", "National Semiconductor")</f>
        <v>National Semiconductor</v>
      </c>
      <c r="C4864" s="6">
        <v>13000</v>
      </c>
      <c r="D4864" s="7">
        <v>5.16</v>
      </c>
      <c r="E4864" t="s">
        <v>9</v>
      </c>
    </row>
    <row r="4865" spans="1:5" x14ac:dyDescent="0.25">
      <c r="A4865" t="str">
        <f>HYPERLINK("https://www.773grp.com/globalSearch/LMX2316TM/page-1", "LMX2316TM")</f>
        <v>LMX2316TM</v>
      </c>
      <c r="B4865" s="3" t="str">
        <f>HYPERLINK("https://www.773grp.com/manufacturer/national-semiconductor?pageNo=40", "National Semiconductor")</f>
        <v>National Semiconductor</v>
      </c>
      <c r="C4865" s="6">
        <v>3</v>
      </c>
      <c r="D4865" s="7">
        <v>5.16</v>
      </c>
      <c r="E4865" t="s">
        <v>38</v>
      </c>
    </row>
    <row r="4866" spans="1:5" x14ac:dyDescent="0.25">
      <c r="A4866" t="str">
        <f>HYPERLINK("https://www.773grp.com/globalSearch/LP2975AIMM-5.0/page-1", "LP2975AIMM-5.0")</f>
        <v>LP2975AIMM-5.0</v>
      </c>
      <c r="B4866" s="3" t="str">
        <f>HYPERLINK("https://www.773grp.com/manufacturer/national-semiconductor?pageNo=41", "National Semiconductor")</f>
        <v>National Semiconductor</v>
      </c>
      <c r="C4866" s="6">
        <v>14056</v>
      </c>
      <c r="D4866" s="7">
        <v>5.16</v>
      </c>
      <c r="E4866" t="s">
        <v>40</v>
      </c>
    </row>
    <row r="4867" spans="1:5" x14ac:dyDescent="0.25">
      <c r="A4867" t="str">
        <f>HYPERLINK("https://www.773grp.com/globalSearch/LP2975AIMMX-5.0/page-1", "LP2975AIMMX-5.0")</f>
        <v>LP2975AIMMX-5.0</v>
      </c>
      <c r="B4867" s="3" t="str">
        <f>HYPERLINK("https://www.773grp.com/manufacturer/national-semiconductor?pageNo=42", "National Semiconductor")</f>
        <v>National Semiconductor</v>
      </c>
      <c r="C4867" s="6">
        <v>3500</v>
      </c>
      <c r="D4867" s="7">
        <v>5.16</v>
      </c>
      <c r="E4867" t="s">
        <v>40</v>
      </c>
    </row>
    <row r="4868" spans="1:5" x14ac:dyDescent="0.25">
      <c r="A4868" t="str">
        <f>HYPERLINK("https://www.773grp.com/globalSearch/LP2986IMM-3.3/page-1", "LP2986IMM-3.3")</f>
        <v>LP2986IMM-3.3</v>
      </c>
      <c r="B4868" s="3" t="str">
        <f>HYPERLINK("https://www.773grp.com/manufacturer/national-semiconductor?pageNo=43", "National Semiconductor")</f>
        <v>National Semiconductor</v>
      </c>
      <c r="C4868" s="6">
        <v>964</v>
      </c>
      <c r="D4868" s="7">
        <v>5.16</v>
      </c>
      <c r="E4868" t="s">
        <v>27</v>
      </c>
    </row>
    <row r="4869" spans="1:5" x14ac:dyDescent="0.25">
      <c r="A4869" t="str">
        <f>HYPERLINK("https://www.773grp.com/globalSearch/LP5523TM-NOPB/page-1", "LP5523TM-NOPB")</f>
        <v>LP5523TM-NOPB</v>
      </c>
      <c r="B4869" s="3" t="str">
        <f>HYPERLINK("https://www.773grp.com/manufacturer/national-semiconductor?pageNo=44", "National Semiconductor")</f>
        <v>National Semiconductor</v>
      </c>
      <c r="C4869" s="6">
        <v>1399</v>
      </c>
      <c r="D4869" s="7">
        <v>5.16</v>
      </c>
    </row>
    <row r="4870" spans="1:5" x14ac:dyDescent="0.25">
      <c r="A4870" t="str">
        <f>HYPERLINK("https://www.773grp.com/globalSearch/ADC0838CIWM/page-1", "ADC0838CIWM")</f>
        <v>ADC0838CIWM</v>
      </c>
      <c r="B4870" s="3" t="str">
        <f>HYPERLINK("https://www.773grp.com/manufacturer/national-semiconductor?pageNo=45", "National Semiconductor")</f>
        <v>National Semiconductor</v>
      </c>
      <c r="C4870" s="6">
        <v>10</v>
      </c>
      <c r="D4870" s="7">
        <v>5.16</v>
      </c>
      <c r="E4870" t="s">
        <v>39</v>
      </c>
    </row>
    <row r="4871" spans="1:5" x14ac:dyDescent="0.25">
      <c r="A4871" t="str">
        <f>HYPERLINK("https://www.773grp.com/globalSearch/DS14C89AN-NOPB/page-1", "DS14C89AN-NOPB")</f>
        <v>DS14C89AN-NOPB</v>
      </c>
      <c r="B4871" s="3" t="str">
        <f>HYPERLINK("https://www.773grp.com/manufacturer/national-semiconductor?pageNo=46", "National Semiconductor")</f>
        <v>National Semiconductor</v>
      </c>
      <c r="C4871" s="6">
        <v>3050</v>
      </c>
      <c r="D4871" s="7">
        <v>5.16</v>
      </c>
      <c r="E4871" t="s">
        <v>21</v>
      </c>
    </row>
    <row r="4872" spans="1:5" x14ac:dyDescent="0.25">
      <c r="A4872" t="str">
        <f>HYPERLINK("https://www.773grp.com/globalSearch/LM2936HVBMAX3.3/page-1", "LM2936HVBMAX3.3")</f>
        <v>LM2936HVBMAX3.3</v>
      </c>
      <c r="B4872" s="3" t="str">
        <f>HYPERLINK("https://www.773grp.com/manufacturer/national-semiconductor?pageNo=47", "National Semiconductor")</f>
        <v>National Semiconductor</v>
      </c>
      <c r="C4872" s="6">
        <v>2500</v>
      </c>
      <c r="D4872" s="7">
        <v>5.16</v>
      </c>
      <c r="E4872" t="s">
        <v>19</v>
      </c>
    </row>
    <row r="4873" spans="1:5" x14ac:dyDescent="0.25">
      <c r="A4873" t="str">
        <f>HYPERLINK("https://www.773grp.com/globalSearch/LM2936HVMAX-5.0/page-1", "LM2936HVMAX-5.0")</f>
        <v>LM2936HVMAX-5.0</v>
      </c>
      <c r="B4873" s="3" t="str">
        <f>HYPERLINK("https://www.773grp.com/manufacturer/national-semiconductor?pageNo=48", "National Semiconductor")</f>
        <v>National Semiconductor</v>
      </c>
      <c r="C4873" s="6">
        <v>2500</v>
      </c>
      <c r="D4873" s="7">
        <v>5.16</v>
      </c>
    </row>
    <row r="4874" spans="1:5" x14ac:dyDescent="0.25">
      <c r="A4874" t="str">
        <f>HYPERLINK("https://www.773grp.com/globalSearch/LM3207TL-NOPB/page-1", "LM3207TL-NOPB")</f>
        <v>LM3207TL-NOPB</v>
      </c>
      <c r="B4874" s="3" t="str">
        <f>HYPERLINK("https://www.773grp.com/manufacturer/national-semiconductor?pageNo=49", "National Semiconductor")</f>
        <v>National Semiconductor</v>
      </c>
      <c r="C4874" s="6">
        <v>250</v>
      </c>
      <c r="D4874" s="7">
        <v>5.16</v>
      </c>
      <c r="E4874" t="s">
        <v>7</v>
      </c>
    </row>
    <row r="4875" spans="1:5" x14ac:dyDescent="0.25">
      <c r="A4875" t="str">
        <f>HYPERLINK("https://www.773grp.com/globalSearch/LM3207TL-2.53-NOPB/page-1", "LM3207TL-2.53-NOPB")</f>
        <v>LM3207TL-2.53-NOPB</v>
      </c>
      <c r="B4875" s="3" t="str">
        <f>HYPERLINK("https://www.773grp.com/manufacturer/national-semiconductor?pageNo=50", "National Semiconductor")</f>
        <v>National Semiconductor</v>
      </c>
      <c r="C4875" s="6">
        <v>290</v>
      </c>
      <c r="D4875" s="7">
        <v>5.16</v>
      </c>
      <c r="E4875" t="s">
        <v>7</v>
      </c>
    </row>
    <row r="4876" spans="1:5" x14ac:dyDescent="0.25">
      <c r="A4876" t="str">
        <f>HYPERLINK("https://www.773grp.com/globalSearch/LM331N/page-1", "LM331N")</f>
        <v>LM331N</v>
      </c>
      <c r="B4876" s="3" t="str">
        <f>HYPERLINK("https://www.773grp.com/manufacturer/national-semiconductor?pageNo=51", "National Semiconductor")</f>
        <v>National Semiconductor</v>
      </c>
      <c r="C4876" s="6">
        <v>60</v>
      </c>
      <c r="D4876" s="7">
        <v>5.16</v>
      </c>
      <c r="E4876" t="s">
        <v>45</v>
      </c>
    </row>
    <row r="4877" spans="1:5" x14ac:dyDescent="0.25">
      <c r="A4877" t="str">
        <f>HYPERLINK("https://www.773grp.com/globalSearch/LM4050CIM3-5.0/page-1", "LM4050CIM3-5.0")</f>
        <v>LM4050CIM3-5.0</v>
      </c>
      <c r="B4877" s="3" t="str">
        <f>HYPERLINK("https://www.773grp.com/manufacturer/national-semiconductor?pageNo=52", "National Semiconductor")</f>
        <v>National Semiconductor</v>
      </c>
      <c r="C4877" s="6">
        <v>2000</v>
      </c>
      <c r="D4877" s="7">
        <v>5.16</v>
      </c>
      <c r="E4877" t="s">
        <v>17</v>
      </c>
    </row>
    <row r="4878" spans="1:5" x14ac:dyDescent="0.25">
      <c r="A4878" t="str">
        <f>HYPERLINK("https://www.773grp.com/globalSearch/LM4120IM5-1.8/page-1", "LM4120IM5-1.8")</f>
        <v>LM4120IM5-1.8</v>
      </c>
      <c r="B4878" s="3" t="str">
        <f>HYPERLINK("https://www.773grp.com/manufacturer/national-semiconductor?pageNo=53", "National Semiconductor")</f>
        <v>National Semiconductor</v>
      </c>
      <c r="C4878" s="6">
        <v>1000</v>
      </c>
      <c r="D4878" s="7">
        <v>5.16</v>
      </c>
    </row>
    <row r="4879" spans="1:5" x14ac:dyDescent="0.25">
      <c r="A4879" t="str">
        <f>HYPERLINK("https://www.773grp.com/globalSearch/LM4120IM5-3.0/page-1", "LM4120IM5-3.0")</f>
        <v>LM4120IM5-3.0</v>
      </c>
      <c r="B4879" s="3" t="str">
        <f>HYPERLINK("https://www.773grp.com/manufacturer/national-semiconductor?pageNo=54", "National Semiconductor")</f>
        <v>National Semiconductor</v>
      </c>
      <c r="C4879" s="6">
        <v>3000</v>
      </c>
      <c r="D4879" s="7">
        <v>5.16</v>
      </c>
      <c r="E4879" t="s">
        <v>17</v>
      </c>
    </row>
    <row r="4880" spans="1:5" x14ac:dyDescent="0.25">
      <c r="A4880" t="str">
        <f>HYPERLINK("https://www.773grp.com/globalSearch/LM4120IM5-4.1/page-1", "LM4120IM5-4.1")</f>
        <v>LM4120IM5-4.1</v>
      </c>
      <c r="B4880" s="3" t="str">
        <f>HYPERLINK("https://www.773grp.com/manufacturer/national-semiconductor?pageNo=55", "National Semiconductor")</f>
        <v>National Semiconductor</v>
      </c>
      <c r="C4880" s="6">
        <v>3000</v>
      </c>
      <c r="D4880" s="7">
        <v>5.16</v>
      </c>
      <c r="E4880" t="s">
        <v>17</v>
      </c>
    </row>
    <row r="4881" spans="1:5" x14ac:dyDescent="0.25">
      <c r="A4881" t="str">
        <f>HYPERLINK("https://www.773grp.com/globalSearch/LM5085MME-NOPB/page-1", "LM5085MME-NOPB")</f>
        <v>LM5085MME-NOPB</v>
      </c>
      <c r="B4881" s="3" t="str">
        <f>HYPERLINK("https://www.773grp.com/manufacturer/national-semiconductor?pageNo=56", "National Semiconductor")</f>
        <v>National Semiconductor</v>
      </c>
      <c r="C4881" s="6">
        <v>135</v>
      </c>
      <c r="D4881" s="7">
        <v>5.16</v>
      </c>
      <c r="E4881" t="s">
        <v>7</v>
      </c>
    </row>
    <row r="4882" spans="1:5" x14ac:dyDescent="0.25">
      <c r="A4882" t="str">
        <f>HYPERLINK("https://www.773grp.com/globalSearch/LM5085SDE-NOPB/page-1", "LM5085SDE-NOPB")</f>
        <v>LM5085SDE-NOPB</v>
      </c>
      <c r="B4882" s="3" t="str">
        <f>HYPERLINK("https://www.773grp.com/manufacturer/national-semiconductor?pageNo=57", "National Semiconductor")</f>
        <v>National Semiconductor</v>
      </c>
      <c r="C4882" s="6">
        <v>3000</v>
      </c>
      <c r="D4882" s="7">
        <v>5.16</v>
      </c>
    </row>
    <row r="4883" spans="1:5" x14ac:dyDescent="0.25">
      <c r="A4883" t="str">
        <f>HYPERLINK("https://www.773grp.com/globalSearch/LM9076S-3.3-NOPB/page-1", "LM9076S-3.3-NOPB")</f>
        <v>LM9076S-3.3-NOPB</v>
      </c>
      <c r="B4883" s="3" t="str">
        <f>HYPERLINK("https://www.773grp.com/manufacturer/national-semiconductor?pageNo=58", "National Semiconductor")</f>
        <v>National Semiconductor</v>
      </c>
      <c r="C4883" s="6">
        <v>2476</v>
      </c>
      <c r="D4883" s="7">
        <v>5.16</v>
      </c>
    </row>
    <row r="4884" spans="1:5" x14ac:dyDescent="0.25">
      <c r="A4884" t="str">
        <f>HYPERLINK("https://www.773grp.com/globalSearch/LM9076S-5.0-NOPB/page-1", "LM9076S-5.0-NOPB")</f>
        <v>LM9076S-5.0-NOPB</v>
      </c>
      <c r="B4884" s="3" t="str">
        <f>HYPERLINK("https://www.773grp.com/manufacturer/national-semiconductor?pageNo=59", "National Semiconductor")</f>
        <v>National Semiconductor</v>
      </c>
      <c r="C4884" s="6">
        <v>519</v>
      </c>
      <c r="D4884" s="7">
        <v>5.16</v>
      </c>
      <c r="E4884" t="s">
        <v>19</v>
      </c>
    </row>
    <row r="4885" spans="1:5" x14ac:dyDescent="0.25">
      <c r="A4885" t="str">
        <f>HYPERLINK("https://www.773grp.com/globalSearch/LM9076S-5.0-NOPB/page-1", "LM9076S-5.0-NOPB")</f>
        <v>LM9076S-5.0-NOPB</v>
      </c>
      <c r="B4885" s="3" t="str">
        <f>HYPERLINK("https://www.773grp.com/manufacturer/national-semiconductor?pageNo=60", "National Semiconductor")</f>
        <v>National Semiconductor</v>
      </c>
      <c r="C4885" s="6">
        <v>225</v>
      </c>
      <c r="D4885" s="7">
        <v>5.16</v>
      </c>
      <c r="E4885" t="s">
        <v>19</v>
      </c>
    </row>
    <row r="4886" spans="1:5" x14ac:dyDescent="0.25">
      <c r="A4886" t="str">
        <f>HYPERLINK("https://www.773grp.com/globalSearch/LMP8640MKE-F-NOPB/page-1", "LMP8640MKE-F-NOPB")</f>
        <v>LMP8640MKE-F-NOPB</v>
      </c>
      <c r="B4886" s="3" t="str">
        <f>HYPERLINK("https://www.773grp.com/manufacturer/national-semiconductor?pageNo=61", "National Semiconductor")</f>
        <v>National Semiconductor</v>
      </c>
      <c r="C4886" s="6">
        <v>675</v>
      </c>
      <c r="D4886" s="7">
        <v>5.16</v>
      </c>
    </row>
    <row r="4887" spans="1:5" x14ac:dyDescent="0.25">
      <c r="A4887" t="str">
        <f>HYPERLINK("https://www.773grp.com/globalSearch/LMP8640MKE-H-NOPB/page-1", "LMP8640MKE-H-NOPB")</f>
        <v>LMP8640MKE-H-NOPB</v>
      </c>
      <c r="B4887" s="3" t="str">
        <f>HYPERLINK("https://www.773grp.com/manufacturer/national-semiconductor?pageNo=62", "National Semiconductor")</f>
        <v>National Semiconductor</v>
      </c>
      <c r="C4887" s="6">
        <v>2220</v>
      </c>
      <c r="D4887" s="7">
        <v>5.16</v>
      </c>
    </row>
    <row r="4888" spans="1:5" x14ac:dyDescent="0.25">
      <c r="A4888" t="str">
        <f>HYPERLINK("https://www.773grp.com/globalSearch/LMP8640MKE-T-NOPB/page-1", "LMP8640MKE-T-NOPB")</f>
        <v>LMP8640MKE-T-NOPB</v>
      </c>
      <c r="B4888" s="3" t="str">
        <f>HYPERLINK("https://www.773grp.com/manufacturer/national-semiconductor?pageNo=63", "National Semiconductor")</f>
        <v>National Semiconductor</v>
      </c>
      <c r="C4888" s="6">
        <v>250</v>
      </c>
      <c r="D4888" s="7">
        <v>5.16</v>
      </c>
    </row>
    <row r="4889" spans="1:5" x14ac:dyDescent="0.25">
      <c r="A4889" t="str">
        <f>HYPERLINK("https://www.773grp.com/globalSearch/LMP8645MKE-NOPB/page-1", "LMP8645MKE-NOPB")</f>
        <v>LMP8645MKE-NOPB</v>
      </c>
      <c r="B4889" s="3" t="str">
        <f>HYPERLINK("https://www.773grp.com/manufacturer/national-semiconductor?pageNo=64", "National Semiconductor")</f>
        <v>National Semiconductor</v>
      </c>
      <c r="C4889" s="6">
        <v>115</v>
      </c>
      <c r="D4889" s="7">
        <v>5.16</v>
      </c>
    </row>
    <row r="4890" spans="1:5" x14ac:dyDescent="0.25">
      <c r="A4890" t="str">
        <f>HYPERLINK("https://www.773grp.com/globalSearch/LMV232TL-NOPB/page-1", "LMV232TL-NOPB")</f>
        <v>LMV232TL-NOPB</v>
      </c>
      <c r="B4890" s="3" t="str">
        <f>HYPERLINK("https://www.773grp.com/manufacturer/national-semiconductor?pageNo=65", "National Semiconductor")</f>
        <v>National Semiconductor</v>
      </c>
      <c r="C4890" s="6">
        <v>30</v>
      </c>
      <c r="D4890" s="7">
        <v>5.16</v>
      </c>
    </row>
    <row r="4891" spans="1:5" x14ac:dyDescent="0.25">
      <c r="A4891" t="str">
        <f>HYPERLINK("https://www.773grp.com/globalSearch/LMV232TL-NOPB/page-1", "LMV232TL-NOPB")</f>
        <v>LMV232TL-NOPB</v>
      </c>
      <c r="B4891" s="3" t="str">
        <f>HYPERLINK("https://www.773grp.com/manufacturer/national-semiconductor?pageNo=66", "National Semiconductor")</f>
        <v>National Semiconductor</v>
      </c>
      <c r="C4891" s="6">
        <v>4000</v>
      </c>
      <c r="D4891" s="7">
        <v>5.16</v>
      </c>
    </row>
    <row r="4892" spans="1:5" x14ac:dyDescent="0.25">
      <c r="A4892" t="str">
        <f>HYPERLINK("https://www.773grp.com/globalSearch/LMV7219M5X-NOPB/page-1", "LMV7219M5X-NOPB")</f>
        <v>LMV7219M5X-NOPB</v>
      </c>
      <c r="B4892" s="3" t="str">
        <f>HYPERLINK("https://www.773grp.com/manufacturer/national-semiconductor?pageNo=67", "National Semiconductor")</f>
        <v>National Semiconductor</v>
      </c>
      <c r="C4892" s="6">
        <v>305</v>
      </c>
      <c r="D4892" s="7">
        <v>5.16</v>
      </c>
      <c r="E4892" t="s">
        <v>9</v>
      </c>
    </row>
    <row r="4893" spans="1:5" x14ac:dyDescent="0.25">
      <c r="A4893" t="str">
        <f>HYPERLINK("https://www.773grp.com/globalSearch/LMV7219M5X-NOPB/page-1", "LMV7219M5X-NOPB")</f>
        <v>LMV7219M5X-NOPB</v>
      </c>
      <c r="B4893" s="3" t="str">
        <f>HYPERLINK("https://www.773grp.com/manufacturer/national-semiconductor?pageNo=68", "National Semiconductor")</f>
        <v>National Semiconductor</v>
      </c>
      <c r="C4893" s="6">
        <v>594</v>
      </c>
      <c r="D4893" s="7">
        <v>5.16</v>
      </c>
      <c r="E4893" t="s">
        <v>9</v>
      </c>
    </row>
    <row r="4894" spans="1:5" x14ac:dyDescent="0.25">
      <c r="A4894" t="str">
        <f>HYPERLINK("https://www.773grp.com/globalSearch/LMV7219M7-NOPB/page-1", "LMV7219M7-NOPB")</f>
        <v>LMV7219M7-NOPB</v>
      </c>
      <c r="B4894" s="3" t="str">
        <f>HYPERLINK("https://www.773grp.com/manufacturer/national-semiconductor?pageNo=69", "National Semiconductor")</f>
        <v>National Semiconductor</v>
      </c>
      <c r="C4894" s="6">
        <v>34190</v>
      </c>
      <c r="D4894" s="7">
        <v>5.16</v>
      </c>
      <c r="E4894" t="s">
        <v>9</v>
      </c>
    </row>
    <row r="4895" spans="1:5" x14ac:dyDescent="0.25">
      <c r="A4895" t="str">
        <f>HYPERLINK("https://www.773grp.com/globalSearch/LP2966IMM-2525/page-1", "LP2966IMM-2525")</f>
        <v>LP2966IMM-2525</v>
      </c>
      <c r="B4895" s="3" t="str">
        <f>HYPERLINK("https://www.773grp.com/manufacturer/national-semiconductor?pageNo=70", "National Semiconductor")</f>
        <v>National Semiconductor</v>
      </c>
      <c r="C4895" s="6">
        <v>198</v>
      </c>
      <c r="D4895" s="7">
        <v>5.16</v>
      </c>
      <c r="E4895" t="s">
        <v>44</v>
      </c>
    </row>
    <row r="4896" spans="1:5" x14ac:dyDescent="0.25">
      <c r="A4896" t="str">
        <f>HYPERLINK("https://www.773grp.com/globalSearch/LP2966IMMX-3325/page-1", "LP2966IMMX-3325")</f>
        <v>LP2966IMMX-3325</v>
      </c>
      <c r="B4896" s="3" t="str">
        <f>HYPERLINK("https://www.773grp.com/manufacturer/national-semiconductor?pageNo=71", "National Semiconductor")</f>
        <v>National Semiconductor</v>
      </c>
      <c r="C4896" s="6">
        <v>3500</v>
      </c>
      <c r="D4896" s="7">
        <v>5.16</v>
      </c>
    </row>
    <row r="4897" spans="1:5" x14ac:dyDescent="0.25">
      <c r="A4897" t="str">
        <f>HYPERLINK("https://www.773grp.com/globalSearch/LP3879SD-1.0/page-1", "LP3879SD-1.0")</f>
        <v>LP3879SD-1.0</v>
      </c>
      <c r="B4897" s="3" t="str">
        <f>HYPERLINK("https://www.773grp.com/manufacturer/national-semiconductor?pageNo=72", "National Semiconductor")</f>
        <v>National Semiconductor</v>
      </c>
      <c r="C4897" s="6">
        <v>3000</v>
      </c>
      <c r="D4897" s="7">
        <v>5.16</v>
      </c>
    </row>
    <row r="4898" spans="1:5" x14ac:dyDescent="0.25">
      <c r="A4898" t="str">
        <f>HYPERLINK("https://www.773grp.com/globalSearch/54AC11DM/page-1", "54AC11DM")</f>
        <v>54AC11DM</v>
      </c>
      <c r="B4898" s="3" t="str">
        <f>HYPERLINK("https://www.773grp.com/manufacturer/national-semiconductor?pageNo=73", "National Semiconductor")</f>
        <v>National Semiconductor</v>
      </c>
      <c r="C4898" s="6">
        <v>14</v>
      </c>
      <c r="D4898" s="7">
        <v>4.6900000000000004</v>
      </c>
      <c r="E4898" t="s">
        <v>31</v>
      </c>
    </row>
    <row r="4899" spans="1:5" x14ac:dyDescent="0.25">
      <c r="A4899" t="str">
        <f>HYPERLINK("https://www.773grp.com/globalSearch/54AC32DM/page-1", "54AC32DM")</f>
        <v>54AC32DM</v>
      </c>
      <c r="B4899" s="3" t="str">
        <f>HYPERLINK("https://www.773grp.com/manufacturer/national-semiconductor?pageNo=74", "National Semiconductor")</f>
        <v>National Semiconductor</v>
      </c>
      <c r="C4899" s="6">
        <v>3367</v>
      </c>
      <c r="D4899" s="7">
        <v>4.6900000000000004</v>
      </c>
      <c r="E4899" t="s">
        <v>31</v>
      </c>
    </row>
    <row r="4900" spans="1:5" x14ac:dyDescent="0.25">
      <c r="A4900" t="str">
        <f>HYPERLINK("https://www.773grp.com/globalSearch/54F86DC/page-1", "54F86DC")</f>
        <v>54F86DC</v>
      </c>
      <c r="B4900" s="3" t="str">
        <f>HYPERLINK("https://www.773grp.com/manufacturer/national-semiconductor?pageNo=75", "National Semiconductor")</f>
        <v>National Semiconductor</v>
      </c>
      <c r="C4900" s="6">
        <v>360</v>
      </c>
      <c r="D4900" s="7">
        <v>4.6900000000000004</v>
      </c>
      <c r="E4900" t="s">
        <v>31</v>
      </c>
    </row>
    <row r="4901" spans="1:5" x14ac:dyDescent="0.25">
      <c r="A4901" t="str">
        <f>HYPERLINK("https://www.773grp.com/globalSearch/DS8934WM/page-1", "DS8934WM")</f>
        <v>DS8934WM</v>
      </c>
      <c r="B4901" s="3" t="str">
        <f>HYPERLINK("https://www.773grp.com/manufacturer/national-semiconductor?pageNo=76", "National Semiconductor")</f>
        <v>National Semiconductor</v>
      </c>
      <c r="C4901" s="6">
        <v>1708</v>
      </c>
      <c r="D4901" s="7">
        <v>4.6900000000000004</v>
      </c>
      <c r="E4901" t="s">
        <v>21</v>
      </c>
    </row>
    <row r="4902" spans="1:5" x14ac:dyDescent="0.25">
      <c r="A4902" t="str">
        <f>HYPERLINK("https://www.773grp.com/globalSearch/DS8934WMX/page-1", "DS8934WMX")</f>
        <v>DS8934WMX</v>
      </c>
      <c r="B4902" s="3" t="str">
        <f>HYPERLINK("https://www.773grp.com/manufacturer/national-semiconductor?pageNo=77", "National Semiconductor")</f>
        <v>National Semiconductor</v>
      </c>
      <c r="C4902" s="6">
        <v>4000</v>
      </c>
      <c r="D4902" s="7">
        <v>4.6900000000000004</v>
      </c>
      <c r="E4902" t="s">
        <v>21</v>
      </c>
    </row>
    <row r="4903" spans="1:5" x14ac:dyDescent="0.25">
      <c r="A4903" t="str">
        <f>HYPERLINK("https://www.773grp.com/globalSearch/LM236Z-2.5/page-1", "LM236Z-2.5")</f>
        <v>LM236Z-2.5</v>
      </c>
      <c r="B4903" s="3" t="str">
        <f>HYPERLINK("https://www.773grp.com/manufacturer/national-semiconductor?pageNo=78", "National Semiconductor")</f>
        <v>National Semiconductor</v>
      </c>
      <c r="C4903" s="6">
        <v>3235</v>
      </c>
      <c r="D4903" s="7">
        <v>4.6900000000000004</v>
      </c>
      <c r="E4903" t="s">
        <v>17</v>
      </c>
    </row>
    <row r="4904" spans="1:5" x14ac:dyDescent="0.25">
      <c r="A4904" t="str">
        <f>HYPERLINK("https://www.773grp.com/globalSearch/LM2576S-5.0/page-1", "LM2576S-5.0")</f>
        <v>LM2576S-5.0</v>
      </c>
      <c r="B4904" s="3" t="str">
        <f>HYPERLINK("https://www.773grp.com/manufacturer/national-semiconductor?pageNo=79", "National Semiconductor")</f>
        <v>National Semiconductor</v>
      </c>
      <c r="C4904" s="6">
        <v>345</v>
      </c>
      <c r="D4904" s="7">
        <v>4.6900000000000004</v>
      </c>
      <c r="E4904" t="s">
        <v>7</v>
      </c>
    </row>
    <row r="4905" spans="1:5" x14ac:dyDescent="0.25">
      <c r="A4905" t="str">
        <f>HYPERLINK("https://www.773grp.com/globalSearch/LM2672LD-5.0/page-1", "LM2672LD-5.0")</f>
        <v>LM2672LD-5.0</v>
      </c>
      <c r="B4905" s="3" t="str">
        <f>HYPERLINK("https://www.773grp.com/manufacturer/national-semiconductor?pageNo=80", "National Semiconductor")</f>
        <v>National Semiconductor</v>
      </c>
      <c r="C4905" s="6">
        <v>2000</v>
      </c>
      <c r="D4905" s="7">
        <v>4.6900000000000004</v>
      </c>
      <c r="E4905" t="s">
        <v>7</v>
      </c>
    </row>
    <row r="4906" spans="1:5" x14ac:dyDescent="0.25">
      <c r="A4906" t="str">
        <f>HYPERLINK("https://www.773grp.com/globalSearch/LM3045J/page-1", "LM3045J")</f>
        <v>LM3045J</v>
      </c>
      <c r="B4906" s="3" t="str">
        <f>HYPERLINK("https://www.773grp.com/manufacturer/national-semiconductor?pageNo=81", "National Semiconductor")</f>
        <v>National Semiconductor</v>
      </c>
      <c r="C4906" s="6">
        <v>1</v>
      </c>
      <c r="D4906" s="7">
        <v>4.6900000000000004</v>
      </c>
      <c r="E4906" t="s">
        <v>61</v>
      </c>
    </row>
    <row r="4907" spans="1:5" x14ac:dyDescent="0.25">
      <c r="A4907" t="str">
        <f>HYPERLINK("https://www.773grp.com/globalSearch/LM3421Q0MH-NOPB/page-1", "LM3421Q0MH-NOPB")</f>
        <v>LM3421Q0MH-NOPB</v>
      </c>
      <c r="B4907" s="3" t="str">
        <f>HYPERLINK("https://www.773grp.com/manufacturer/national-semiconductor?pageNo=82", "National Semiconductor")</f>
        <v>National Semiconductor</v>
      </c>
      <c r="C4907" s="6">
        <v>364</v>
      </c>
      <c r="D4907" s="7">
        <v>4.6900000000000004</v>
      </c>
    </row>
    <row r="4908" spans="1:5" x14ac:dyDescent="0.25">
      <c r="A4908" t="str">
        <f>HYPERLINK("https://www.773grp.com/globalSearch/LM3431MHX/page-1", "LM3431MHX")</f>
        <v>LM3431MHX</v>
      </c>
      <c r="B4908" s="3" t="str">
        <f>HYPERLINK("https://www.773grp.com/manufacturer/national-semiconductor?pageNo=83", "National Semiconductor")</f>
        <v>National Semiconductor</v>
      </c>
      <c r="C4908" s="6">
        <v>2500</v>
      </c>
      <c r="D4908" s="7">
        <v>4.6900000000000004</v>
      </c>
      <c r="E4908" t="s">
        <v>7</v>
      </c>
    </row>
    <row r="4909" spans="1:5" x14ac:dyDescent="0.25">
      <c r="A4909" t="str">
        <f>HYPERLINK("https://www.773grp.com/globalSearch/LM637CN/page-1", "LM637CN")</f>
        <v>LM637CN</v>
      </c>
      <c r="B4909" s="3" t="str">
        <f>HYPERLINK("https://www.773grp.com/manufacturer/national-semiconductor?pageNo=84", "National Semiconductor")</f>
        <v>National Semiconductor</v>
      </c>
      <c r="C4909" s="6">
        <v>979</v>
      </c>
      <c r="D4909" s="7">
        <v>4.6900000000000004</v>
      </c>
      <c r="E4909" t="s">
        <v>13</v>
      </c>
    </row>
    <row r="4910" spans="1:5" x14ac:dyDescent="0.25">
      <c r="A4910" t="str">
        <f>HYPERLINK("https://www.773grp.com/globalSearch/LMP7708MME-NOPB/page-1", "LMP7708MME-NOPB")</f>
        <v>LMP7708MME-NOPB</v>
      </c>
      <c r="B4910" s="3" t="str">
        <f>HYPERLINK("https://www.773grp.com/manufacturer/national-semiconductor?pageNo=85", "National Semiconductor")</f>
        <v>National Semiconductor</v>
      </c>
      <c r="C4910" s="6">
        <v>250</v>
      </c>
      <c r="D4910" s="7">
        <v>4.6900000000000004</v>
      </c>
    </row>
    <row r="4911" spans="1:5" x14ac:dyDescent="0.25">
      <c r="A4911" t="str">
        <f>HYPERLINK("https://www.773grp.com/globalSearch/LMX2336USLBX/page-1", "LMX2336USLBX")</f>
        <v>LMX2336USLBX</v>
      </c>
      <c r="B4911" s="3" t="str">
        <f>HYPERLINK("https://www.773grp.com/manufacturer/national-semiconductor?pageNo=86", "National Semiconductor")</f>
        <v>National Semiconductor</v>
      </c>
      <c r="C4911" s="6">
        <v>7500</v>
      </c>
      <c r="D4911" s="7">
        <v>4.6900000000000004</v>
      </c>
      <c r="E4911" t="s">
        <v>38</v>
      </c>
    </row>
    <row r="4912" spans="1:5" x14ac:dyDescent="0.25">
      <c r="A4912" t="str">
        <f>HYPERLINK("https://www.773grp.com/globalSearch/LM22671QMRE-5.0-NOPB/page-1", "LM22671QMRE-5.0-NOPB")</f>
        <v>LM22671QMRE-5.0-NOPB</v>
      </c>
      <c r="B4912" s="3" t="str">
        <f>HYPERLINK("https://www.773grp.com/manufacturer/national-semiconductor?pageNo=87", "National Semiconductor")</f>
        <v>National Semiconductor</v>
      </c>
      <c r="C4912" s="6">
        <v>122</v>
      </c>
      <c r="D4912" s="7">
        <v>4.6900000000000004</v>
      </c>
    </row>
    <row r="4913" spans="1:5" x14ac:dyDescent="0.25">
      <c r="A4913" t="str">
        <f>HYPERLINK("https://www.773grp.com/globalSearch/LM22671QMRE-ADJ-NOPB/page-1", "LM22671QMRE-ADJ-NOPB")</f>
        <v>LM22671QMRE-ADJ-NOPB</v>
      </c>
      <c r="B4913" s="3" t="str">
        <f>HYPERLINK("https://www.773grp.com/manufacturer/national-semiconductor?pageNo=88", "National Semiconductor")</f>
        <v>National Semiconductor</v>
      </c>
      <c r="C4913" s="6">
        <v>9000</v>
      </c>
      <c r="D4913" s="7">
        <v>4.6900000000000004</v>
      </c>
    </row>
    <row r="4914" spans="1:5" x14ac:dyDescent="0.25">
      <c r="A4914" t="str">
        <f>HYPERLINK("https://www.773grp.com/globalSearch/LM2576S-5.0/page-1", "LM2576S-5.0")</f>
        <v>LM2576S-5.0</v>
      </c>
      <c r="B4914" s="3" t="str">
        <f>HYPERLINK("https://www.773grp.com/manufacturer/national-semiconductor?pageNo=89", "National Semiconductor")</f>
        <v>National Semiconductor</v>
      </c>
      <c r="C4914" s="6">
        <v>13</v>
      </c>
      <c r="D4914" s="7">
        <v>4.6900000000000004</v>
      </c>
      <c r="E4914" t="s">
        <v>7</v>
      </c>
    </row>
    <row r="4915" spans="1:5" x14ac:dyDescent="0.25">
      <c r="A4915" t="str">
        <f>HYPERLINK("https://www.773grp.com/globalSearch/LM3421Q0MH-NOPB/page-1", "LM3421Q0MH-NOPB")</f>
        <v>LM3421Q0MH-NOPB</v>
      </c>
      <c r="B4915" s="3" t="str">
        <f>HYPERLINK("https://www.773grp.com/manufacturer/national-semiconductor?pageNo=90", "National Semiconductor")</f>
        <v>National Semiconductor</v>
      </c>
      <c r="C4915" s="6">
        <v>184</v>
      </c>
      <c r="D4915" s="7">
        <v>4.6900000000000004</v>
      </c>
    </row>
    <row r="4916" spans="1:5" x14ac:dyDescent="0.25">
      <c r="A4916" t="str">
        <f>HYPERLINK("https://www.773grp.com/globalSearch/LMC6772AIM/page-1", "LMC6772AIM")</f>
        <v>LMC6772AIM</v>
      </c>
      <c r="B4916" s="3" t="str">
        <f>HYPERLINK("https://www.773grp.com/manufacturer/national-semiconductor?pageNo=91", "National Semiconductor")</f>
        <v>National Semiconductor</v>
      </c>
      <c r="C4916" s="6">
        <v>277</v>
      </c>
      <c r="D4916" s="7">
        <v>4.6900000000000004</v>
      </c>
    </row>
    <row r="4917" spans="1:5" x14ac:dyDescent="0.25">
      <c r="A4917" t="str">
        <f>HYPERLINK("https://www.773grp.com/globalSearch/LMP7708MME-NOPB/page-1", "LMP7708MME-NOPB")</f>
        <v>LMP7708MME-NOPB</v>
      </c>
      <c r="B4917" s="3" t="str">
        <f>HYPERLINK("https://www.773grp.com/manufacturer/national-semiconductor?pageNo=92", "National Semiconductor")</f>
        <v>National Semiconductor</v>
      </c>
      <c r="C4917" s="6">
        <v>9750</v>
      </c>
      <c r="D4917" s="7">
        <v>4.6900000000000004</v>
      </c>
    </row>
    <row r="4918" spans="1:5" x14ac:dyDescent="0.25">
      <c r="A4918" t="str">
        <f>HYPERLINK("https://www.773grp.com/globalSearch/54S134DM/page-1", "54S134DM")</f>
        <v>54S134DM</v>
      </c>
      <c r="B4918" s="3" t="str">
        <f>HYPERLINK("https://www.773grp.com/manufacturer/national-semiconductor?pageNo=93", "National Semiconductor")</f>
        <v>National Semiconductor</v>
      </c>
      <c r="C4918" s="6">
        <v>3484</v>
      </c>
      <c r="D4918" s="7">
        <v>4.7300000000000004</v>
      </c>
    </row>
    <row r="4919" spans="1:5" x14ac:dyDescent="0.25">
      <c r="A4919" t="str">
        <f>HYPERLINK("https://www.773grp.com/globalSearch/54S135DM/page-1", "54S135DM")</f>
        <v>54S135DM</v>
      </c>
      <c r="B4919" s="3" t="str">
        <f>HYPERLINK("https://www.773grp.com/manufacturer/national-semiconductor?pageNo=94", "National Semiconductor")</f>
        <v>National Semiconductor</v>
      </c>
      <c r="C4919" s="6">
        <v>454</v>
      </c>
      <c r="D4919" s="7">
        <v>4.7300000000000004</v>
      </c>
    </row>
    <row r="4920" spans="1:5" x14ac:dyDescent="0.25">
      <c r="A4920" t="str">
        <f>HYPERLINK("https://www.773grp.com/globalSearch/7413PC/page-1", "7413PC")</f>
        <v>7413PC</v>
      </c>
      <c r="B4920" s="3" t="str">
        <f>HYPERLINK("https://www.773grp.com/manufacturer/national-semiconductor?pageNo=95", "National Semiconductor")</f>
        <v>National Semiconductor</v>
      </c>
      <c r="C4920" s="6">
        <v>8918</v>
      </c>
      <c r="D4920" s="7">
        <v>4.7300000000000004</v>
      </c>
      <c r="E4920" t="s">
        <v>31</v>
      </c>
    </row>
    <row r="4921" spans="1:5" x14ac:dyDescent="0.25">
      <c r="A4921" t="str">
        <f>HYPERLINK("https://www.773grp.com/globalSearch/949DC/page-1", "949DC")</f>
        <v>949DC</v>
      </c>
      <c r="B4921" s="3" t="str">
        <f>HYPERLINK("https://www.773grp.com/manufacturer/national-semiconductor?pageNo=96", "National Semiconductor")</f>
        <v>National Semiconductor</v>
      </c>
      <c r="C4921" s="6">
        <v>1498</v>
      </c>
      <c r="D4921" s="7">
        <v>4.7300000000000004</v>
      </c>
    </row>
    <row r="4922" spans="1:5" x14ac:dyDescent="0.25">
      <c r="A4922" t="str">
        <f>HYPERLINK("https://www.773grp.com/globalSearch/LM25005MH-NOPB/page-1", "LM25005MH-NOPB")</f>
        <v>LM25005MH-NOPB</v>
      </c>
      <c r="B4922" s="3" t="str">
        <f>HYPERLINK("https://www.773grp.com/manufacturer/national-semiconductor?pageNo=97", "National Semiconductor")</f>
        <v>National Semiconductor</v>
      </c>
      <c r="C4922" s="6">
        <v>522</v>
      </c>
      <c r="D4922" s="7">
        <v>4.7300000000000004</v>
      </c>
    </row>
    <row r="4923" spans="1:5" x14ac:dyDescent="0.25">
      <c r="A4923" t="str">
        <f>HYPERLINK("https://www.773grp.com/globalSearch/LM3431AQMH-NOPB/page-1", "LM3431AQMH-NOPB")</f>
        <v>LM3431AQMH-NOPB</v>
      </c>
      <c r="B4923" s="3" t="str">
        <f>HYPERLINK("https://www.773grp.com/manufacturer/national-semiconductor?pageNo=98", "National Semiconductor")</f>
        <v>National Semiconductor</v>
      </c>
      <c r="C4923" s="6">
        <v>192</v>
      </c>
      <c r="D4923" s="7">
        <v>4.7300000000000004</v>
      </c>
    </row>
    <row r="4924" spans="1:5" x14ac:dyDescent="0.25">
      <c r="A4924" t="str">
        <f>HYPERLINK("https://www.773grp.com/globalSearch/LM5032MTC-NOPB/page-1", "LM5032MTC-NOPB")</f>
        <v>LM5032MTC-NOPB</v>
      </c>
      <c r="B4924" s="3" t="str">
        <f>HYPERLINK("https://www.773grp.com/manufacturer/national-semiconductor?pageNo=99", "National Semiconductor")</f>
        <v>National Semiconductor</v>
      </c>
      <c r="C4924" s="6">
        <v>93</v>
      </c>
      <c r="D4924" s="7">
        <v>4.7300000000000004</v>
      </c>
      <c r="E4924" t="s">
        <v>7</v>
      </c>
    </row>
    <row r="4925" spans="1:5" x14ac:dyDescent="0.25">
      <c r="A4925" t="str">
        <f>HYPERLINK("https://www.773grp.com/globalSearch/LM84CIMQAX/page-1", "LM84CIMQAX")</f>
        <v>LM84CIMQAX</v>
      </c>
      <c r="B4925" s="3" t="str">
        <f>HYPERLINK("https://www.773grp.com/manufacturer/national-semiconductor?pageNo=100", "National Semiconductor")</f>
        <v>National Semiconductor</v>
      </c>
      <c r="C4925" s="6">
        <v>38900</v>
      </c>
      <c r="D4925" s="7">
        <v>4.7300000000000004</v>
      </c>
      <c r="E4925" t="s">
        <v>12</v>
      </c>
    </row>
    <row r="4926" spans="1:5" x14ac:dyDescent="0.25">
      <c r="A4926" t="str">
        <f>HYPERLINK("https://www.773grp.com/globalSearch/LM9140BYZ-4.1/page-1", "LM9140BYZ-4.1")</f>
        <v>LM9140BYZ-4.1</v>
      </c>
      <c r="B4926" s="3" t="str">
        <f>HYPERLINK("https://www.773grp.com/manufacturer/national-semiconductor?pageNo=101", "National Semiconductor")</f>
        <v>National Semiconductor</v>
      </c>
      <c r="C4926" s="6">
        <v>3272</v>
      </c>
      <c r="D4926" s="7">
        <v>4.7300000000000004</v>
      </c>
      <c r="E4926" t="s">
        <v>17</v>
      </c>
    </row>
    <row r="4927" spans="1:5" x14ac:dyDescent="0.25">
      <c r="A4927" t="str">
        <f>HYPERLINK("https://www.773grp.com/globalSearch/LM9140BYZ-5.0/page-1", "LM9140BYZ-5.0")</f>
        <v>LM9140BYZ-5.0</v>
      </c>
      <c r="B4927" s="3" t="str">
        <f>HYPERLINK("https://www.773grp.com/manufacturer/national-semiconductor?pageNo=102", "National Semiconductor")</f>
        <v>National Semiconductor</v>
      </c>
      <c r="C4927" s="6">
        <v>1331</v>
      </c>
      <c r="D4927" s="7">
        <v>4.7300000000000004</v>
      </c>
      <c r="E4927" t="s">
        <v>17</v>
      </c>
    </row>
    <row r="4928" spans="1:5" x14ac:dyDescent="0.25">
      <c r="A4928" t="str">
        <f>HYPERLINK("https://www.773grp.com/globalSearch/LMC6464BIMX-NOPB/page-1", "LMC6464BIMX-NOPB")</f>
        <v>LMC6464BIMX-NOPB</v>
      </c>
      <c r="B4928" s="3" t="str">
        <f>HYPERLINK("https://www.773grp.com/manufacturer/national-semiconductor?pageNo=103", "National Semiconductor")</f>
        <v>National Semiconductor</v>
      </c>
      <c r="C4928" s="6">
        <v>12500</v>
      </c>
      <c r="D4928" s="7">
        <v>4.7300000000000004</v>
      </c>
      <c r="E4928" t="s">
        <v>13</v>
      </c>
    </row>
    <row r="4929" spans="1:5" x14ac:dyDescent="0.25">
      <c r="A4929" t="str">
        <f>HYPERLINK("https://www.773grp.com/globalSearch/LMP7732MA-NOPB/page-1", "LMP7732MA-NOPB")</f>
        <v>LMP7732MA-NOPB</v>
      </c>
      <c r="B4929" s="3" t="str">
        <f>HYPERLINK("https://www.773grp.com/manufacturer/national-semiconductor?pageNo=104", "National Semiconductor")</f>
        <v>National Semiconductor</v>
      </c>
      <c r="C4929" s="6">
        <v>94</v>
      </c>
      <c r="D4929" s="7">
        <v>4.7300000000000004</v>
      </c>
      <c r="E4929" t="s">
        <v>13</v>
      </c>
    </row>
    <row r="4930" spans="1:5" x14ac:dyDescent="0.25">
      <c r="A4930" t="str">
        <f>HYPERLINK("https://www.773grp.com/globalSearch/LMS202ECM-NOPB/page-1", "LMS202ECM-NOPB")</f>
        <v>LMS202ECM-NOPB</v>
      </c>
      <c r="B4930" s="3" t="str">
        <f>HYPERLINK("https://www.773grp.com/manufacturer/national-semiconductor?pageNo=105", "National Semiconductor")</f>
        <v>National Semiconductor</v>
      </c>
      <c r="C4930" s="6">
        <v>827</v>
      </c>
      <c r="D4930" s="7">
        <v>4.7300000000000004</v>
      </c>
      <c r="E4930" t="s">
        <v>21</v>
      </c>
    </row>
    <row r="4931" spans="1:5" x14ac:dyDescent="0.25">
      <c r="A4931" t="str">
        <f>HYPERLINK("https://www.773grp.com/globalSearch/LMS202EIM-NOPB/page-1", "LMS202EIM-NOPB")</f>
        <v>LMS202EIM-NOPB</v>
      </c>
      <c r="B4931" s="3" t="str">
        <f>HYPERLINK("https://www.773grp.com/manufacturer/national-semiconductor?pageNo=106", "National Semiconductor")</f>
        <v>National Semiconductor</v>
      </c>
      <c r="C4931" s="6">
        <v>249</v>
      </c>
      <c r="D4931" s="7">
        <v>4.7300000000000004</v>
      </c>
      <c r="E4931" t="s">
        <v>21</v>
      </c>
    </row>
    <row r="4932" spans="1:5" x14ac:dyDescent="0.25">
      <c r="A4932" t="str">
        <f>HYPERLINK("https://www.773grp.com/globalSearch/LMX2354SLBX/page-1", "LMX2354SLBX")</f>
        <v>LMX2354SLBX</v>
      </c>
      <c r="B4932" s="3" t="str">
        <f>HYPERLINK("https://www.773grp.com/manufacturer/national-semiconductor?pageNo=107", "National Semiconductor")</f>
        <v>National Semiconductor</v>
      </c>
      <c r="C4932" s="6">
        <v>20000</v>
      </c>
      <c r="D4932" s="7">
        <v>4.7300000000000004</v>
      </c>
      <c r="E4932" t="s">
        <v>38</v>
      </c>
    </row>
    <row r="4933" spans="1:5" x14ac:dyDescent="0.25">
      <c r="A4933" t="str">
        <f>HYPERLINK("https://www.773grp.com/globalSearch/LMX2354SLBX-NOPB/page-1", "LMX2354SLBX-NOPB")</f>
        <v>LMX2354SLBX-NOPB</v>
      </c>
      <c r="B4933" s="3" t="str">
        <f>HYPERLINK("https://www.773grp.com/manufacturer/national-semiconductor?pageNo=108", "National Semiconductor")</f>
        <v>National Semiconductor</v>
      </c>
      <c r="C4933" s="6">
        <v>2500</v>
      </c>
      <c r="D4933" s="7">
        <v>4.7300000000000004</v>
      </c>
      <c r="E4933" t="s">
        <v>38</v>
      </c>
    </row>
    <row r="4934" spans="1:5" x14ac:dyDescent="0.25">
      <c r="A4934" t="str">
        <f>HYPERLINK("https://www.773grp.com/globalSearch/LMX2370SLBX/page-1", "LMX2370SLBX")</f>
        <v>LMX2370SLBX</v>
      </c>
      <c r="B4934" s="3" t="str">
        <f>HYPERLINK("https://www.773grp.com/manufacturer/national-semiconductor?pageNo=109", "National Semiconductor")</f>
        <v>National Semiconductor</v>
      </c>
      <c r="C4934" s="6">
        <v>2500</v>
      </c>
      <c r="D4934" s="7">
        <v>4.7300000000000004</v>
      </c>
      <c r="E4934" t="s">
        <v>38</v>
      </c>
    </row>
    <row r="4935" spans="1:5" x14ac:dyDescent="0.25">
      <c r="A4935" t="str">
        <f>HYPERLINK("https://www.773grp.com/globalSearch/LMX2433TM/page-1", "LMX2433TM")</f>
        <v>LMX2433TM</v>
      </c>
      <c r="B4935" s="3" t="str">
        <f>HYPERLINK("https://www.773grp.com/manufacturer/national-semiconductor?pageNo=110", "National Semiconductor")</f>
        <v>National Semiconductor</v>
      </c>
      <c r="C4935" s="6">
        <v>11</v>
      </c>
      <c r="D4935" s="7">
        <v>4.7300000000000004</v>
      </c>
      <c r="E4935" t="s">
        <v>38</v>
      </c>
    </row>
    <row r="4936" spans="1:5" x14ac:dyDescent="0.25">
      <c r="A4936" t="str">
        <f>HYPERLINK("https://www.773grp.com/globalSearch/LP3892EMR-1.2-NOPB/page-1", "LP3892EMR-1.2-NOPB")</f>
        <v>LP3892EMR-1.2-NOPB</v>
      </c>
      <c r="B4936" s="3" t="str">
        <f>HYPERLINK("https://www.773grp.com/manufacturer/national-semiconductor?pageNo=111", "National Semiconductor")</f>
        <v>National Semiconductor</v>
      </c>
      <c r="C4936" s="6">
        <v>24</v>
      </c>
      <c r="D4936" s="7">
        <v>4.7300000000000004</v>
      </c>
      <c r="E4936" t="s">
        <v>19</v>
      </c>
    </row>
    <row r="4937" spans="1:5" x14ac:dyDescent="0.25">
      <c r="A4937" t="str">
        <f>HYPERLINK("https://www.773grp.com/globalSearch/LP3892EMR-1.5-NOPB/page-1", "LP3892EMR-1.5-NOPB")</f>
        <v>LP3892EMR-1.5-NOPB</v>
      </c>
      <c r="B4937" s="3" t="str">
        <f>HYPERLINK("https://www.773grp.com/manufacturer/national-semiconductor?pageNo=112", "National Semiconductor")</f>
        <v>National Semiconductor</v>
      </c>
      <c r="C4937" s="6">
        <v>729</v>
      </c>
      <c r="D4937" s="7">
        <v>4.7300000000000004</v>
      </c>
      <c r="E4937" t="s">
        <v>19</v>
      </c>
    </row>
    <row r="4938" spans="1:5" x14ac:dyDescent="0.25">
      <c r="A4938" t="str">
        <f>HYPERLINK("https://www.773grp.com/globalSearch/DS91D176TMA-NOPB/page-1", "DS91D176TMA-NOPB")</f>
        <v>DS91D176TMA-NOPB</v>
      </c>
      <c r="B4938" s="3" t="str">
        <f>HYPERLINK("https://www.773grp.com/manufacturer/national-semiconductor?pageNo=113", "National Semiconductor")</f>
        <v>National Semiconductor</v>
      </c>
      <c r="C4938" s="6">
        <v>380</v>
      </c>
      <c r="D4938" s="7">
        <v>4.7300000000000004</v>
      </c>
    </row>
    <row r="4939" spans="1:5" x14ac:dyDescent="0.25">
      <c r="A4939" t="str">
        <f>HYPERLINK("https://www.773grp.com/globalSearch/LM25005MH-NOPB/page-1", "LM25005MH-NOPB")</f>
        <v>LM25005MH-NOPB</v>
      </c>
      <c r="B4939" s="3" t="str">
        <f>HYPERLINK("https://www.773grp.com/manufacturer/national-semiconductor?pageNo=114", "National Semiconductor")</f>
        <v>National Semiconductor</v>
      </c>
      <c r="C4939" s="6">
        <v>6623</v>
      </c>
      <c r="D4939" s="7">
        <v>4.7300000000000004</v>
      </c>
    </row>
    <row r="4940" spans="1:5" x14ac:dyDescent="0.25">
      <c r="A4940" t="str">
        <f>HYPERLINK("https://www.773grp.com/globalSearch/LM2651MTC-3.3-NOPB/page-1", "LM2651MTC-3.3-NOPB")</f>
        <v>LM2651MTC-3.3-NOPB</v>
      </c>
      <c r="B4940" s="3" t="str">
        <f>HYPERLINK("https://www.773grp.com/manufacturer/national-semiconductor?pageNo=115", "National Semiconductor")</f>
        <v>National Semiconductor</v>
      </c>
      <c r="C4940" s="6">
        <v>872</v>
      </c>
      <c r="D4940" s="7">
        <v>4.7300000000000004</v>
      </c>
    </row>
    <row r="4941" spans="1:5" x14ac:dyDescent="0.25">
      <c r="A4941" t="str">
        <f>HYPERLINK("https://www.773grp.com/globalSearch/LM2651MTC-ADJ-NOPB/page-1", "LM2651MTC-ADJ-NOPB")</f>
        <v>LM2651MTC-ADJ-NOPB</v>
      </c>
      <c r="B4941" s="3" t="str">
        <f>HYPERLINK("https://www.773grp.com/manufacturer/national-semiconductor?pageNo=116", "National Semiconductor")</f>
        <v>National Semiconductor</v>
      </c>
      <c r="C4941" s="6">
        <v>163</v>
      </c>
      <c r="D4941" s="7">
        <v>4.7300000000000004</v>
      </c>
      <c r="E4941" t="s">
        <v>7</v>
      </c>
    </row>
    <row r="4942" spans="1:5" x14ac:dyDescent="0.25">
      <c r="A4942" t="str">
        <f>HYPERLINK("https://www.773grp.com/globalSearch/LM2695MH-NOPB/page-1", "LM2695MH-NOPB")</f>
        <v>LM2695MH-NOPB</v>
      </c>
      <c r="B4942" s="3" t="str">
        <f>HYPERLINK("https://www.773grp.com/manufacturer/national-semiconductor?pageNo=117", "National Semiconductor")</f>
        <v>National Semiconductor</v>
      </c>
      <c r="C4942" s="6">
        <v>539</v>
      </c>
      <c r="D4942" s="7">
        <v>4.7300000000000004</v>
      </c>
    </row>
    <row r="4943" spans="1:5" x14ac:dyDescent="0.25">
      <c r="A4943" t="str">
        <f>HYPERLINK("https://www.773grp.com/globalSearch/LM34926MR-NOPB/page-1", "LM34926MR-NOPB")</f>
        <v>LM34926MR-NOPB</v>
      </c>
      <c r="B4943" s="3" t="str">
        <f>HYPERLINK("https://www.773grp.com/manufacturer/national-semiconductor?pageNo=118", "National Semiconductor")</f>
        <v>National Semiconductor</v>
      </c>
      <c r="C4943" s="6">
        <v>250</v>
      </c>
      <c r="D4943" s="7">
        <v>4.7300000000000004</v>
      </c>
    </row>
    <row r="4944" spans="1:5" x14ac:dyDescent="0.25">
      <c r="A4944" t="str">
        <f>HYPERLINK("https://www.773grp.com/globalSearch/LM5018MR-NOPB/page-1", "LM5018MR-NOPB")</f>
        <v>LM5018MR-NOPB</v>
      </c>
      <c r="B4944" s="3" t="str">
        <f>HYPERLINK("https://www.773grp.com/manufacturer/national-semiconductor?pageNo=119", "National Semiconductor")</f>
        <v>National Semiconductor</v>
      </c>
      <c r="C4944" s="6">
        <v>333</v>
      </c>
      <c r="D4944" s="7">
        <v>4.7300000000000004</v>
      </c>
    </row>
    <row r="4945" spans="1:5" x14ac:dyDescent="0.25">
      <c r="A4945" t="str">
        <f>HYPERLINK("https://www.773grp.com/globalSearch/LM5032MTC-NOPB/page-1", "LM5032MTC-NOPB")</f>
        <v>LM5032MTC-NOPB</v>
      </c>
      <c r="B4945" s="3" t="str">
        <f>HYPERLINK("https://www.773grp.com/manufacturer/national-semiconductor?pageNo=120", "National Semiconductor")</f>
        <v>National Semiconductor</v>
      </c>
      <c r="C4945" s="6">
        <v>489</v>
      </c>
      <c r="D4945" s="7">
        <v>4.7300000000000004</v>
      </c>
      <c r="E4945" t="s">
        <v>7</v>
      </c>
    </row>
    <row r="4946" spans="1:5" x14ac:dyDescent="0.25">
      <c r="A4946" t="str">
        <f>HYPERLINK("https://www.773grp.com/globalSearch/LMC6464BIMX-NOPB/page-1", "LMC6464BIMX-NOPB")</f>
        <v>LMC6464BIMX-NOPB</v>
      </c>
      <c r="B4946" s="3" t="str">
        <f>HYPERLINK("https://www.773grp.com/manufacturer/national-semiconductor?pageNo=121", "National Semiconductor")</f>
        <v>National Semiconductor</v>
      </c>
      <c r="C4946" s="6">
        <v>5000</v>
      </c>
      <c r="D4946" s="7">
        <v>4.7300000000000004</v>
      </c>
      <c r="E4946" t="s">
        <v>13</v>
      </c>
    </row>
    <row r="4947" spans="1:5" x14ac:dyDescent="0.25">
      <c r="A4947" t="str">
        <f>HYPERLINK("https://www.773grp.com/globalSearch/LMP7732MA-NOPB/page-1", "LMP7732MA-NOPB")</f>
        <v>LMP7732MA-NOPB</v>
      </c>
      <c r="B4947" s="3" t="str">
        <f>HYPERLINK("https://www.773grp.com/manufacturer/national-semiconductor?pageNo=122", "National Semiconductor")</f>
        <v>National Semiconductor</v>
      </c>
      <c r="C4947" s="6">
        <v>137</v>
      </c>
      <c r="D4947" s="7">
        <v>4.7300000000000004</v>
      </c>
      <c r="E4947" t="s">
        <v>13</v>
      </c>
    </row>
    <row r="4948" spans="1:5" x14ac:dyDescent="0.25">
      <c r="A4948" t="str">
        <f>HYPERLINK("https://www.773grp.com/globalSearch/LMS202ECM-NOPB/page-1", "LMS202ECM-NOPB")</f>
        <v>LMS202ECM-NOPB</v>
      </c>
      <c r="B4948" s="3" t="str">
        <f>HYPERLINK("https://www.773grp.com/manufacturer/national-semiconductor?pageNo=123", "National Semiconductor")</f>
        <v>National Semiconductor</v>
      </c>
      <c r="C4948" s="6">
        <v>5962</v>
      </c>
      <c r="D4948" s="7">
        <v>4.7300000000000004</v>
      </c>
      <c r="E4948" t="s">
        <v>21</v>
      </c>
    </row>
    <row r="4949" spans="1:5" x14ac:dyDescent="0.25">
      <c r="A4949" t="str">
        <f>HYPERLINK("https://www.773grp.com/globalSearch/LMS202EIM-NOPB/page-1", "LMS202EIM-NOPB")</f>
        <v>LMS202EIM-NOPB</v>
      </c>
      <c r="B4949" s="3" t="str">
        <f>HYPERLINK("https://www.773grp.com/manufacturer/national-semiconductor?pageNo=124", "National Semiconductor")</f>
        <v>National Semiconductor</v>
      </c>
      <c r="C4949" s="6">
        <v>1336</v>
      </c>
      <c r="D4949" s="7">
        <v>4.7300000000000004</v>
      </c>
      <c r="E4949" t="s">
        <v>21</v>
      </c>
    </row>
    <row r="4950" spans="1:5" x14ac:dyDescent="0.25">
      <c r="A4950" t="str">
        <f>HYPERLINK("https://www.773grp.com/globalSearch/LP3892EMR-1.2-NOPB/page-1", "LP3892EMR-1.2-NOPB")</f>
        <v>LP3892EMR-1.2-NOPB</v>
      </c>
      <c r="B4950" s="3" t="str">
        <f>HYPERLINK("https://www.773grp.com/manufacturer/national-semiconductor?pageNo=125", "National Semiconductor")</f>
        <v>National Semiconductor</v>
      </c>
      <c r="C4950" s="6">
        <v>410</v>
      </c>
      <c r="D4950" s="7">
        <v>4.7300000000000004</v>
      </c>
      <c r="E4950" t="s">
        <v>19</v>
      </c>
    </row>
    <row r="4951" spans="1:5" x14ac:dyDescent="0.25">
      <c r="A4951" t="str">
        <f>HYPERLINK("https://www.773grp.com/globalSearch/LP3892EMR-1.5-NOPB/page-1", "LP3892EMR-1.5-NOPB")</f>
        <v>LP3892EMR-1.5-NOPB</v>
      </c>
      <c r="B4951" s="3" t="str">
        <f>HYPERLINK("https://www.773grp.com/manufacturer/national-semiconductor?pageNo=126", "National Semiconductor")</f>
        <v>National Semiconductor</v>
      </c>
      <c r="C4951" s="6">
        <v>285</v>
      </c>
      <c r="D4951" s="7">
        <v>4.7300000000000004</v>
      </c>
      <c r="E4951" t="s">
        <v>19</v>
      </c>
    </row>
    <row r="4952" spans="1:5" x14ac:dyDescent="0.25">
      <c r="A4952" t="str">
        <f>HYPERLINK("https://www.773grp.com/globalSearch/LP3892EMR-1.5-NOPB/page-1", "LP3892EMR-1.5-NOPB")</f>
        <v>LP3892EMR-1.5-NOPB</v>
      </c>
      <c r="B4952" s="3" t="str">
        <f>HYPERLINK("https://www.773grp.com/manufacturer/national-semiconductor?pageNo=127", "National Semiconductor")</f>
        <v>National Semiconductor</v>
      </c>
      <c r="C4952" s="6">
        <v>570</v>
      </c>
      <c r="D4952" s="7">
        <v>4.7300000000000004</v>
      </c>
      <c r="E4952" t="s">
        <v>19</v>
      </c>
    </row>
    <row r="4953" spans="1:5" x14ac:dyDescent="0.25">
      <c r="A4953" t="str">
        <f>HYPERLINK("https://www.773grp.com/globalSearch/4008BDC/page-1", "4008BDC")</f>
        <v>4008BDC</v>
      </c>
      <c r="B4953" s="3" t="str">
        <f>HYPERLINK("https://www.773grp.com/manufacturer/national-semiconductor?pageNo=128", "National Semiconductor")</f>
        <v>National Semiconductor</v>
      </c>
      <c r="C4953" s="6">
        <v>7258</v>
      </c>
      <c r="D4953" s="7">
        <v>5.21</v>
      </c>
    </row>
    <row r="4954" spans="1:5" x14ac:dyDescent="0.25">
      <c r="A4954" t="str">
        <f>HYPERLINK("https://www.773grp.com/globalSearch/ADC0832CCN/page-1", "ADC0832CCN")</f>
        <v>ADC0832CCN</v>
      </c>
      <c r="B4954" s="3" t="str">
        <f>HYPERLINK("https://www.773grp.com/manufacturer/national-semiconductor?pageNo=129", "National Semiconductor")</f>
        <v>National Semiconductor</v>
      </c>
      <c r="C4954" s="6">
        <v>25</v>
      </c>
      <c r="D4954" s="7">
        <v>5.21</v>
      </c>
      <c r="E4954" t="s">
        <v>39</v>
      </c>
    </row>
    <row r="4955" spans="1:5" x14ac:dyDescent="0.25">
      <c r="A4955" t="str">
        <f>HYPERLINK("https://www.773grp.com/globalSearch/DS36C278M/page-1", "DS36C278M")</f>
        <v>DS36C278M</v>
      </c>
      <c r="B4955" s="3" t="str">
        <f>HYPERLINK("https://www.773grp.com/manufacturer/national-semiconductor?pageNo=130", "National Semiconductor")</f>
        <v>National Semiconductor</v>
      </c>
      <c r="C4955" s="6">
        <v>285</v>
      </c>
      <c r="D4955" s="7">
        <v>5.21</v>
      </c>
      <c r="E4955" t="s">
        <v>21</v>
      </c>
    </row>
    <row r="4956" spans="1:5" x14ac:dyDescent="0.25">
      <c r="A4956" t="str">
        <f>HYPERLINK("https://www.773grp.com/globalSearch/DS36C278TMX/page-1", "DS36C278TMX")</f>
        <v>DS36C278TMX</v>
      </c>
      <c r="B4956" s="3" t="str">
        <f>HYPERLINK("https://www.773grp.com/manufacturer/national-semiconductor?pageNo=131", "National Semiconductor")</f>
        <v>National Semiconductor</v>
      </c>
      <c r="C4956" s="6">
        <v>2500</v>
      </c>
      <c r="D4956" s="7">
        <v>5.21</v>
      </c>
      <c r="E4956" t="s">
        <v>21</v>
      </c>
    </row>
    <row r="4957" spans="1:5" x14ac:dyDescent="0.25">
      <c r="A4957" t="str">
        <f>HYPERLINK("https://www.773grp.com/globalSearch/LM2575MX-5.0-NOPB/page-1", "LM2575MX-5.0-NOPB")</f>
        <v>LM2575MX-5.0-NOPB</v>
      </c>
      <c r="B4957" s="3" t="str">
        <f>HYPERLINK("https://www.773grp.com/manufacturer/national-semiconductor?pageNo=132", "National Semiconductor")</f>
        <v>National Semiconductor</v>
      </c>
      <c r="C4957" s="6">
        <v>9049</v>
      </c>
      <c r="D4957" s="7">
        <v>5.21</v>
      </c>
      <c r="E4957" t="s">
        <v>7</v>
      </c>
    </row>
    <row r="4958" spans="1:5" x14ac:dyDescent="0.25">
      <c r="A4958" t="str">
        <f>HYPERLINK("https://www.773grp.com/globalSearch/LM2611BMF-NOPB/page-1", "LM2611BMF-NOPB")</f>
        <v>LM2611BMF-NOPB</v>
      </c>
      <c r="B4958" s="3" t="str">
        <f>HYPERLINK("https://www.773grp.com/manufacturer/national-semiconductor?pageNo=133", "National Semiconductor")</f>
        <v>National Semiconductor</v>
      </c>
      <c r="C4958" s="6">
        <v>900</v>
      </c>
      <c r="D4958" s="7">
        <v>5.21</v>
      </c>
    </row>
    <row r="4959" spans="1:5" x14ac:dyDescent="0.25">
      <c r="A4959" t="str">
        <f>HYPERLINK("https://www.773grp.com/globalSearch/LM2798MM-2.0-NOPB/page-1", "LM2798MM-2.0-NOPB")</f>
        <v>LM2798MM-2.0-NOPB</v>
      </c>
      <c r="B4959" s="3" t="str">
        <f>HYPERLINK("https://www.773grp.com/manufacturer/national-semiconductor?pageNo=134", "National Semiconductor")</f>
        <v>National Semiconductor</v>
      </c>
      <c r="C4959" s="6">
        <v>996</v>
      </c>
      <c r="D4959" s="7">
        <v>5.21</v>
      </c>
      <c r="E4959" t="s">
        <v>7</v>
      </c>
    </row>
    <row r="4960" spans="1:5" x14ac:dyDescent="0.25">
      <c r="A4960" t="str">
        <f>HYPERLINK("https://www.773grp.com/globalSearch/LM2831XMF-NOPB/page-1", "LM2831XMF-NOPB")</f>
        <v>LM2831XMF-NOPB</v>
      </c>
      <c r="B4960" s="3" t="str">
        <f>HYPERLINK("https://www.773grp.com/manufacturer/national-semiconductor?pageNo=1", "National Semiconductor")</f>
        <v>National Semiconductor</v>
      </c>
      <c r="C4960" s="6">
        <v>26850</v>
      </c>
      <c r="D4960" s="7">
        <v>5.21</v>
      </c>
      <c r="E4960" t="s">
        <v>7</v>
      </c>
    </row>
    <row r="4961" spans="1:5" x14ac:dyDescent="0.25">
      <c r="A4961" t="str">
        <f>HYPERLINK("https://www.773grp.com/globalSearch/LM2831XSD-NOPB/page-1", "LM2831XSD-NOPB")</f>
        <v>LM2831XSD-NOPB</v>
      </c>
      <c r="B4961" s="3" t="str">
        <f>HYPERLINK("https://www.773grp.com/manufacturer/national-semiconductor?pageNo=2", "National Semiconductor")</f>
        <v>National Semiconductor</v>
      </c>
      <c r="C4961" s="6">
        <v>950</v>
      </c>
      <c r="D4961" s="7">
        <v>5.21</v>
      </c>
      <c r="E4961" t="s">
        <v>7</v>
      </c>
    </row>
    <row r="4962" spans="1:5" x14ac:dyDescent="0.25">
      <c r="A4962" t="str">
        <f>HYPERLINK("https://www.773grp.com/globalSearch/LM2831YMF/page-1", "LM2831YMF")</f>
        <v>LM2831YMF</v>
      </c>
      <c r="B4962" s="3" t="str">
        <f>HYPERLINK("https://www.773grp.com/manufacturer/national-semiconductor?pageNo=3", "National Semiconductor")</f>
        <v>National Semiconductor</v>
      </c>
      <c r="C4962" s="6">
        <v>785</v>
      </c>
      <c r="D4962" s="7">
        <v>5.21</v>
      </c>
      <c r="E4962" t="s">
        <v>7</v>
      </c>
    </row>
    <row r="4963" spans="1:5" x14ac:dyDescent="0.25">
      <c r="A4963" t="str">
        <f>HYPERLINK("https://www.773grp.com/globalSearch/LM2831YSD-NOPB/page-1", "LM2831YSD-NOPB")</f>
        <v>LM2831YSD-NOPB</v>
      </c>
      <c r="B4963" s="3" t="str">
        <f>HYPERLINK("https://www.773grp.com/manufacturer/national-semiconductor?pageNo=4", "National Semiconductor")</f>
        <v>National Semiconductor</v>
      </c>
      <c r="C4963" s="6">
        <v>5000</v>
      </c>
      <c r="D4963" s="7">
        <v>5.21</v>
      </c>
      <c r="E4963" t="s">
        <v>7</v>
      </c>
    </row>
    <row r="4964" spans="1:5" x14ac:dyDescent="0.25">
      <c r="A4964" t="str">
        <f>HYPERLINK("https://www.773grp.com/globalSearch/LM2831ZMF-NOPB/page-1", "LM2831ZMF-NOPB")</f>
        <v>LM2831ZMF-NOPB</v>
      </c>
      <c r="B4964" s="3" t="str">
        <f>HYPERLINK("https://www.773grp.com/manufacturer/national-semiconductor?pageNo=5", "National Semiconductor")</f>
        <v>National Semiconductor</v>
      </c>
      <c r="C4964" s="6">
        <v>5000</v>
      </c>
      <c r="D4964" s="7">
        <v>5.21</v>
      </c>
      <c r="E4964" t="s">
        <v>7</v>
      </c>
    </row>
    <row r="4965" spans="1:5" x14ac:dyDescent="0.25">
      <c r="A4965" t="str">
        <f>HYPERLINK("https://www.773grp.com/globalSearch/LM2831ZSD-NOPB/page-1", "LM2831ZSD-NOPB")</f>
        <v>LM2831ZSD-NOPB</v>
      </c>
      <c r="B4965" s="3" t="str">
        <f>HYPERLINK("https://www.773grp.com/manufacturer/national-semiconductor?pageNo=6", "National Semiconductor")</f>
        <v>National Semiconductor</v>
      </c>
      <c r="C4965" s="6">
        <v>1595</v>
      </c>
      <c r="D4965" s="7">
        <v>5.21</v>
      </c>
      <c r="E4965" t="s">
        <v>7</v>
      </c>
    </row>
    <row r="4966" spans="1:5" x14ac:dyDescent="0.25">
      <c r="A4966" t="str">
        <f>HYPERLINK("https://www.773grp.com/globalSearch/LM2907M-8/page-1", "LM2907M-8")</f>
        <v>LM2907M-8</v>
      </c>
      <c r="B4966" s="3" t="str">
        <f>HYPERLINK("https://www.773grp.com/manufacturer/national-semiconductor?pageNo=7", "National Semiconductor")</f>
        <v>National Semiconductor</v>
      </c>
      <c r="C4966" s="6">
        <v>97</v>
      </c>
      <c r="D4966" s="7">
        <v>5.21</v>
      </c>
      <c r="E4966" t="s">
        <v>45</v>
      </c>
    </row>
    <row r="4967" spans="1:5" x14ac:dyDescent="0.25">
      <c r="A4967" t="str">
        <f>HYPERLINK("https://www.773grp.com/globalSearch/LM3743MM-1000-NOPB/page-1", "LM3743MM-1000-NOPB")</f>
        <v>LM3743MM-1000-NOPB</v>
      </c>
      <c r="B4967" s="3" t="str">
        <f>HYPERLINK("https://www.773grp.com/manufacturer/national-semiconductor?pageNo=8", "National Semiconductor")</f>
        <v>National Semiconductor</v>
      </c>
      <c r="C4967" s="6">
        <v>1652</v>
      </c>
      <c r="D4967" s="7">
        <v>5.21</v>
      </c>
    </row>
    <row r="4968" spans="1:5" x14ac:dyDescent="0.25">
      <c r="A4968" t="str">
        <f>HYPERLINK("https://www.773grp.com/globalSearch/LM3743MM-300-NOPB/page-1", "LM3743MM-300-NOPB")</f>
        <v>LM3743MM-300-NOPB</v>
      </c>
      <c r="B4968" s="3" t="str">
        <f>HYPERLINK("https://www.773grp.com/manufacturer/national-semiconductor?pageNo=9", "National Semiconductor")</f>
        <v>National Semiconductor</v>
      </c>
      <c r="C4968" s="6">
        <v>3077</v>
      </c>
      <c r="D4968" s="7">
        <v>5.21</v>
      </c>
    </row>
    <row r="4969" spans="1:5" x14ac:dyDescent="0.25">
      <c r="A4969" t="str">
        <f>HYPERLINK("https://www.773grp.com/globalSearch/LM4128AQ1MF2.5-NOPB/page-1", "LM4128AQ1MF2.5-NOPB")</f>
        <v>LM4128AQ1MF2.5-NOPB</v>
      </c>
      <c r="B4969" s="3" t="str">
        <f>HYPERLINK("https://www.773grp.com/manufacturer/national-semiconductor?pageNo=10", "National Semiconductor")</f>
        <v>National Semiconductor</v>
      </c>
      <c r="C4969" s="6">
        <v>1775</v>
      </c>
      <c r="D4969" s="7">
        <v>5.21</v>
      </c>
    </row>
    <row r="4970" spans="1:5" x14ac:dyDescent="0.25">
      <c r="A4970" t="str">
        <f>HYPERLINK("https://www.773grp.com/globalSearch/LM5030MM-NOPB/page-1", "LM5030MM-NOPB")</f>
        <v>LM5030MM-NOPB</v>
      </c>
      <c r="B4970" s="3" t="str">
        <f>HYPERLINK("https://www.773grp.com/manufacturer/national-semiconductor?pageNo=11", "National Semiconductor")</f>
        <v>National Semiconductor</v>
      </c>
      <c r="C4970" s="6">
        <v>40407</v>
      </c>
      <c r="D4970" s="7">
        <v>5.21</v>
      </c>
      <c r="E4970" t="s">
        <v>7</v>
      </c>
    </row>
    <row r="4971" spans="1:5" x14ac:dyDescent="0.25">
      <c r="A4971" t="str">
        <f>HYPERLINK("https://www.773grp.com/globalSearch/LM5030MMX-NOPB/page-1", "LM5030MMX-NOPB")</f>
        <v>LM5030MMX-NOPB</v>
      </c>
      <c r="B4971" s="3" t="str">
        <f>HYPERLINK("https://www.773grp.com/manufacturer/national-semiconductor?pageNo=12", "National Semiconductor")</f>
        <v>National Semiconductor</v>
      </c>
      <c r="C4971" s="6">
        <v>14000</v>
      </c>
      <c r="D4971" s="7">
        <v>5.21</v>
      </c>
      <c r="E4971" t="s">
        <v>7</v>
      </c>
    </row>
    <row r="4972" spans="1:5" x14ac:dyDescent="0.25">
      <c r="A4972" t="str">
        <f>HYPERLINK("https://www.773grp.com/globalSearch/LM5030SD/page-1", "LM5030SD")</f>
        <v>LM5030SD</v>
      </c>
      <c r="B4972" s="3" t="str">
        <f>HYPERLINK("https://www.773grp.com/manufacturer/national-semiconductor?pageNo=13", "National Semiconductor")</f>
        <v>National Semiconductor</v>
      </c>
      <c r="C4972" s="6">
        <v>847</v>
      </c>
      <c r="D4972" s="7">
        <v>5.21</v>
      </c>
      <c r="E4972" t="s">
        <v>7</v>
      </c>
    </row>
    <row r="4973" spans="1:5" x14ac:dyDescent="0.25">
      <c r="A4973" t="str">
        <f>HYPERLINK("https://www.773grp.com/globalSearch/LM7321MA-NOPB/page-1", "LM7321MA-NOPB")</f>
        <v>LM7321MA-NOPB</v>
      </c>
      <c r="B4973" s="3" t="str">
        <f>HYPERLINK("https://www.773grp.com/manufacturer/national-semiconductor?pageNo=14", "National Semiconductor")</f>
        <v>National Semiconductor</v>
      </c>
      <c r="C4973" s="6">
        <v>220</v>
      </c>
      <c r="D4973" s="7">
        <v>5.21</v>
      </c>
      <c r="E4973" t="s">
        <v>13</v>
      </c>
    </row>
    <row r="4974" spans="1:5" x14ac:dyDescent="0.25">
      <c r="A4974" t="str">
        <f>HYPERLINK("https://www.773grp.com/globalSearch/LM86CIM/page-1", "LM86CIM")</f>
        <v>LM86CIM</v>
      </c>
      <c r="B4974" s="3" t="str">
        <f>HYPERLINK("https://www.773grp.com/manufacturer/national-semiconductor?pageNo=15", "National Semiconductor")</f>
        <v>National Semiconductor</v>
      </c>
      <c r="C4974" s="6">
        <v>1015</v>
      </c>
      <c r="D4974" s="7">
        <v>5.21</v>
      </c>
      <c r="E4974" t="s">
        <v>12</v>
      </c>
    </row>
    <row r="4975" spans="1:5" x14ac:dyDescent="0.25">
      <c r="A4975" t="str">
        <f>HYPERLINK("https://www.773grp.com/globalSearch/LMH6646MA/page-1", "LMH6646MA")</f>
        <v>LMH6646MA</v>
      </c>
      <c r="B4975" s="3" t="str">
        <f>HYPERLINK("https://www.773grp.com/manufacturer/national-semiconductor?pageNo=16", "National Semiconductor")</f>
        <v>National Semiconductor</v>
      </c>
      <c r="C4975" s="6">
        <v>190</v>
      </c>
      <c r="D4975" s="7">
        <v>5.21</v>
      </c>
      <c r="E4975" t="s">
        <v>13</v>
      </c>
    </row>
    <row r="4976" spans="1:5" x14ac:dyDescent="0.25">
      <c r="A4976" t="str">
        <f>HYPERLINK("https://www.773grp.com/globalSearch/LMH6646MAX-NOPB/page-1", "LMH6646MAX-NOPB")</f>
        <v>LMH6646MAX-NOPB</v>
      </c>
      <c r="B4976" s="3" t="str">
        <f>HYPERLINK("https://www.773grp.com/manufacturer/national-semiconductor?pageNo=17", "National Semiconductor")</f>
        <v>National Semiconductor</v>
      </c>
      <c r="C4976" s="6">
        <v>4200</v>
      </c>
      <c r="D4976" s="7">
        <v>5.21</v>
      </c>
      <c r="E4976" t="s">
        <v>13</v>
      </c>
    </row>
    <row r="4977" spans="1:5" x14ac:dyDescent="0.25">
      <c r="A4977" t="str">
        <f>HYPERLINK("https://www.773grp.com/globalSearch/LMH6646MM-NOPB/page-1", "LMH6646MM-NOPB")</f>
        <v>LMH6646MM-NOPB</v>
      </c>
      <c r="B4977" s="3" t="str">
        <f>HYPERLINK("https://www.773grp.com/manufacturer/national-semiconductor?pageNo=18", "National Semiconductor")</f>
        <v>National Semiconductor</v>
      </c>
      <c r="C4977" s="6">
        <v>2048</v>
      </c>
      <c r="D4977" s="7">
        <v>5.21</v>
      </c>
      <c r="E4977" t="s">
        <v>13</v>
      </c>
    </row>
    <row r="4978" spans="1:5" x14ac:dyDescent="0.25">
      <c r="A4978" t="str">
        <f>HYPERLINK("https://www.773grp.com/globalSearch/LMH6646MMX-NOPB/page-1", "LMH6646MMX-NOPB")</f>
        <v>LMH6646MMX-NOPB</v>
      </c>
      <c r="B4978" s="3" t="str">
        <f>HYPERLINK("https://www.773grp.com/manufacturer/national-semiconductor?pageNo=19", "National Semiconductor")</f>
        <v>National Semiconductor</v>
      </c>
      <c r="C4978" s="6">
        <v>3500</v>
      </c>
      <c r="D4978" s="7">
        <v>5.21</v>
      </c>
      <c r="E4978" t="s">
        <v>13</v>
      </c>
    </row>
    <row r="4979" spans="1:5" x14ac:dyDescent="0.25">
      <c r="A4979" t="str">
        <f>HYPERLINK("https://www.773grp.com/globalSearch/LMP2015MA/page-1", "LMP2015MA")</f>
        <v>LMP2015MA</v>
      </c>
      <c r="B4979" s="3" t="str">
        <f>HYPERLINK("https://www.773grp.com/manufacturer/national-semiconductor?pageNo=20", "National Semiconductor")</f>
        <v>National Semiconductor</v>
      </c>
      <c r="C4979" s="6">
        <v>190</v>
      </c>
      <c r="D4979" s="7">
        <v>5.21</v>
      </c>
      <c r="E4979" t="s">
        <v>13</v>
      </c>
    </row>
    <row r="4980" spans="1:5" x14ac:dyDescent="0.25">
      <c r="A4980" t="str">
        <f>HYPERLINK("https://www.773grp.com/globalSearch/LMP2015MA-NOPB/page-1", "LMP2015MA-NOPB")</f>
        <v>LMP2015MA-NOPB</v>
      </c>
      <c r="B4980" s="3" t="str">
        <f>HYPERLINK("https://www.773grp.com/manufacturer/national-semiconductor?pageNo=21", "National Semiconductor")</f>
        <v>National Semiconductor</v>
      </c>
      <c r="C4980" s="6">
        <v>362</v>
      </c>
      <c r="D4980" s="7">
        <v>5.21</v>
      </c>
    </row>
    <row r="4981" spans="1:5" x14ac:dyDescent="0.25">
      <c r="A4981" t="str">
        <f>HYPERLINK("https://www.773grp.com/globalSearch/LMP7300MAX-NOPB/page-1", "LMP7300MAX-NOPB")</f>
        <v>LMP7300MAX-NOPB</v>
      </c>
      <c r="B4981" s="3" t="str">
        <f>HYPERLINK("https://www.773grp.com/manufacturer/national-semiconductor?pageNo=22", "National Semiconductor")</f>
        <v>National Semiconductor</v>
      </c>
      <c r="C4981" s="6">
        <v>2500</v>
      </c>
      <c r="D4981" s="7">
        <v>5.21</v>
      </c>
    </row>
    <row r="4982" spans="1:5" x14ac:dyDescent="0.25">
      <c r="A4982" t="str">
        <f>HYPERLINK("https://www.773grp.com/globalSearch/LMP7718MAX-NOPB/page-1", "LMP7718MAX-NOPB")</f>
        <v>LMP7718MAX-NOPB</v>
      </c>
      <c r="B4982" s="3" t="str">
        <f>HYPERLINK("https://www.773grp.com/manufacturer/national-semiconductor?pageNo=23", "National Semiconductor")</f>
        <v>National Semiconductor</v>
      </c>
      <c r="C4982" s="6">
        <v>2500</v>
      </c>
      <c r="D4982" s="7">
        <v>5.21</v>
      </c>
      <c r="E4982" t="s">
        <v>13</v>
      </c>
    </row>
    <row r="4983" spans="1:5" x14ac:dyDescent="0.25">
      <c r="A4983" t="str">
        <f>HYPERLINK("https://www.773grp.com/globalSearch/LMR12010YMKE/page-1", "LMR12010YMKE")</f>
        <v>LMR12010YMKE</v>
      </c>
      <c r="B4983" s="3" t="str">
        <f>HYPERLINK("https://www.773grp.com/manufacturer/national-semiconductor?pageNo=24", "National Semiconductor")</f>
        <v>National Semiconductor</v>
      </c>
      <c r="C4983" s="6">
        <v>500</v>
      </c>
      <c r="D4983" s="7">
        <v>5.21</v>
      </c>
      <c r="E4983" t="s">
        <v>7</v>
      </c>
    </row>
    <row r="4984" spans="1:5" x14ac:dyDescent="0.25">
      <c r="A4984" t="str">
        <f>HYPERLINK("https://www.773grp.com/globalSearch/LMV934MA/page-1", "LMV934MA")</f>
        <v>LMV934MA</v>
      </c>
      <c r="B4984" s="3" t="str">
        <f>HYPERLINK("https://www.773grp.com/manufacturer/national-semiconductor?pageNo=25", "National Semiconductor")</f>
        <v>National Semiconductor</v>
      </c>
      <c r="C4984" s="6">
        <v>550</v>
      </c>
      <c r="D4984" s="7">
        <v>5.21</v>
      </c>
      <c r="E4984" t="s">
        <v>13</v>
      </c>
    </row>
    <row r="4985" spans="1:5" x14ac:dyDescent="0.25">
      <c r="A4985" t="str">
        <f>HYPERLINK("https://www.773grp.com/globalSearch/LMX2324TMX-NOPB/page-1", "LMX2324TMX-NOPB")</f>
        <v>LMX2324TMX-NOPB</v>
      </c>
      <c r="B4985" s="3" t="str">
        <f>HYPERLINK("https://www.773grp.com/manufacturer/national-semiconductor?pageNo=26", "National Semiconductor")</f>
        <v>National Semiconductor</v>
      </c>
      <c r="C4985" s="6">
        <v>2500</v>
      </c>
      <c r="D4985" s="7">
        <v>5.21</v>
      </c>
      <c r="E4985" t="s">
        <v>38</v>
      </c>
    </row>
    <row r="4986" spans="1:5" x14ac:dyDescent="0.25">
      <c r="A4986" t="str">
        <f>HYPERLINK("https://www.773grp.com/globalSearch/LP2986IM-3.0/page-1", "LP2986IM-3.0")</f>
        <v>LP2986IM-3.0</v>
      </c>
      <c r="B4986" s="3" t="str">
        <f>HYPERLINK("https://www.773grp.com/manufacturer/national-semiconductor?pageNo=27", "National Semiconductor")</f>
        <v>National Semiconductor</v>
      </c>
      <c r="C4986" s="6">
        <v>149</v>
      </c>
      <c r="D4986" s="7">
        <v>5.21</v>
      </c>
      <c r="E4986" t="s">
        <v>27</v>
      </c>
    </row>
    <row r="4987" spans="1:5" x14ac:dyDescent="0.25">
      <c r="A4987" t="str">
        <f>HYPERLINK("https://www.773grp.com/globalSearch/LP2986IM-3.3/page-1", "LP2986IM-3.3")</f>
        <v>LP2986IM-3.3</v>
      </c>
      <c r="B4987" s="3" t="str">
        <f>HYPERLINK("https://www.773grp.com/manufacturer/national-semiconductor?pageNo=28", "National Semiconductor")</f>
        <v>National Semiconductor</v>
      </c>
      <c r="C4987" s="6">
        <v>517</v>
      </c>
      <c r="D4987" s="7">
        <v>5.21</v>
      </c>
      <c r="E4987" t="s">
        <v>27</v>
      </c>
    </row>
    <row r="4988" spans="1:5" x14ac:dyDescent="0.25">
      <c r="A4988" t="str">
        <f>HYPERLINK("https://www.773grp.com/globalSearch/LP2986IM-5.0/page-1", "LP2986IM-5.0")</f>
        <v>LP2986IM-5.0</v>
      </c>
      <c r="B4988" s="3" t="str">
        <f>HYPERLINK("https://www.773grp.com/manufacturer/national-semiconductor?pageNo=29", "National Semiconductor")</f>
        <v>National Semiconductor</v>
      </c>
      <c r="C4988" s="6">
        <v>144</v>
      </c>
      <c r="D4988" s="7">
        <v>5.21</v>
      </c>
      <c r="E4988" t="s">
        <v>27</v>
      </c>
    </row>
    <row r="4989" spans="1:5" x14ac:dyDescent="0.25">
      <c r="A4989" t="str">
        <f>HYPERLINK("https://www.773grp.com/globalSearch/LP2989AILD-3.0-NOPB/page-1", "LP2989AILD-3.0-NOPB")</f>
        <v>LP2989AILD-3.0-NOPB</v>
      </c>
      <c r="B4989" s="3" t="str">
        <f>HYPERLINK("https://www.773grp.com/manufacturer/national-semiconductor?pageNo=30", "National Semiconductor")</f>
        <v>National Semiconductor</v>
      </c>
      <c r="C4989" s="6">
        <v>1000</v>
      </c>
      <c r="D4989" s="7">
        <v>5.21</v>
      </c>
      <c r="E4989" t="s">
        <v>19</v>
      </c>
    </row>
    <row r="4990" spans="1:5" x14ac:dyDescent="0.25">
      <c r="A4990" t="str">
        <f>HYPERLINK("https://www.773grp.com/globalSearch/LP2989AILD-3.3-NOPB/page-1", "LP2989AILD-3.3-NOPB")</f>
        <v>LP2989AILD-3.3-NOPB</v>
      </c>
      <c r="B4990" s="3" t="str">
        <f>HYPERLINK("https://www.773grp.com/manufacturer/national-semiconductor?pageNo=31", "National Semiconductor")</f>
        <v>National Semiconductor</v>
      </c>
      <c r="C4990" s="6">
        <v>18000</v>
      </c>
      <c r="D4990" s="7">
        <v>5.21</v>
      </c>
      <c r="E4990" t="s">
        <v>19</v>
      </c>
    </row>
    <row r="4991" spans="1:5" x14ac:dyDescent="0.25">
      <c r="A4991" t="str">
        <f>HYPERLINK("https://www.773grp.com/globalSearch/LP2989AILD-5.0-NOPB/page-1", "LP2989AILD-5.0-NOPB")</f>
        <v>LP2989AILD-5.0-NOPB</v>
      </c>
      <c r="B4991" s="3" t="str">
        <f>HYPERLINK("https://www.773grp.com/manufacturer/national-semiconductor?pageNo=32", "National Semiconductor")</f>
        <v>National Semiconductor</v>
      </c>
      <c r="C4991" s="6">
        <v>10000</v>
      </c>
      <c r="D4991" s="7">
        <v>5.21</v>
      </c>
      <c r="E4991" t="s">
        <v>19</v>
      </c>
    </row>
    <row r="4992" spans="1:5" x14ac:dyDescent="0.25">
      <c r="A4992" t="str">
        <f>HYPERLINK("https://www.773grp.com/globalSearch/LP2996M/page-1", "LP2996M")</f>
        <v>LP2996M</v>
      </c>
      <c r="B4992" s="3" t="str">
        <f>HYPERLINK("https://www.773grp.com/manufacturer/national-semiconductor?pageNo=33", "National Semiconductor")</f>
        <v>National Semiconductor</v>
      </c>
      <c r="C4992" s="6">
        <v>2948</v>
      </c>
      <c r="D4992" s="7">
        <v>5.21</v>
      </c>
      <c r="E4992" t="s">
        <v>24</v>
      </c>
    </row>
    <row r="4993" spans="1:5" x14ac:dyDescent="0.25">
      <c r="A4993" t="str">
        <f>HYPERLINK("https://www.773grp.com/globalSearch/LP2996MR/page-1", "LP2996MR")</f>
        <v>LP2996MR</v>
      </c>
      <c r="B4993" s="3" t="str">
        <f>HYPERLINK("https://www.773grp.com/manufacturer/national-semiconductor?pageNo=34", "National Semiconductor")</f>
        <v>National Semiconductor</v>
      </c>
      <c r="C4993" s="6">
        <v>2448</v>
      </c>
      <c r="D4993" s="7">
        <v>5.21</v>
      </c>
      <c r="E4993" t="s">
        <v>24</v>
      </c>
    </row>
    <row r="4994" spans="1:5" x14ac:dyDescent="0.25">
      <c r="A4994" t="str">
        <f>HYPERLINK("https://www.773grp.com/globalSearch/MM74HC4002J/page-1", "MM74HC4002J")</f>
        <v>MM74HC4002J</v>
      </c>
      <c r="B4994" s="3" t="str">
        <f>HYPERLINK("https://www.773grp.com/manufacturer/national-semiconductor?pageNo=35", "National Semiconductor")</f>
        <v>National Semiconductor</v>
      </c>
      <c r="C4994" s="6">
        <v>477</v>
      </c>
      <c r="D4994" s="7">
        <v>5.21</v>
      </c>
      <c r="E4994" t="s">
        <v>31</v>
      </c>
    </row>
    <row r="4995" spans="1:5" x14ac:dyDescent="0.25">
      <c r="A4995" t="str">
        <f>HYPERLINK("https://www.773grp.com/globalSearch/LM2575MX-5.0-NOPB/page-1", "LM2575MX-5.0-NOPB")</f>
        <v>LM2575MX-5.0-NOPB</v>
      </c>
      <c r="B4995" s="3" t="str">
        <f>HYPERLINK("https://www.773grp.com/manufacturer/national-semiconductor?pageNo=36", "National Semiconductor")</f>
        <v>National Semiconductor</v>
      </c>
      <c r="C4995" s="6">
        <v>1000</v>
      </c>
      <c r="D4995" s="7">
        <v>5.21</v>
      </c>
      <c r="E4995" t="s">
        <v>7</v>
      </c>
    </row>
    <row r="4996" spans="1:5" x14ac:dyDescent="0.25">
      <c r="A4996" t="str">
        <f>HYPERLINK("https://www.773grp.com/globalSearch/LM2831XMFX-NOPB/page-1", "LM2831XMFX-NOPB")</f>
        <v>LM2831XMFX-NOPB</v>
      </c>
      <c r="B4996" s="3" t="str">
        <f>HYPERLINK("https://www.773grp.com/manufacturer/national-semiconductor?pageNo=37", "National Semiconductor")</f>
        <v>National Semiconductor</v>
      </c>
      <c r="C4996" s="6">
        <v>3000</v>
      </c>
      <c r="D4996" s="7">
        <v>5.21</v>
      </c>
    </row>
    <row r="4997" spans="1:5" x14ac:dyDescent="0.25">
      <c r="A4997" t="str">
        <f>HYPERLINK("https://www.773grp.com/globalSearch/LM2831XSD-NOPB/page-1", "LM2831XSD-NOPB")</f>
        <v>LM2831XSD-NOPB</v>
      </c>
      <c r="B4997" s="3" t="str">
        <f>HYPERLINK("https://www.773grp.com/manufacturer/national-semiconductor?pageNo=38", "National Semiconductor")</f>
        <v>National Semiconductor</v>
      </c>
      <c r="C4997" s="6">
        <v>295</v>
      </c>
      <c r="D4997" s="7">
        <v>5.21</v>
      </c>
      <c r="E4997" t="s">
        <v>7</v>
      </c>
    </row>
    <row r="4998" spans="1:5" x14ac:dyDescent="0.25">
      <c r="A4998" t="str">
        <f>HYPERLINK("https://www.773grp.com/globalSearch/LM2831YSD-NOPB/page-1", "LM2831YSD-NOPB")</f>
        <v>LM2831YSD-NOPB</v>
      </c>
      <c r="B4998" s="3" t="str">
        <f>HYPERLINK("https://www.773grp.com/manufacturer/national-semiconductor?pageNo=39", "National Semiconductor")</f>
        <v>National Semiconductor</v>
      </c>
      <c r="C4998" s="6">
        <v>938</v>
      </c>
      <c r="D4998" s="7">
        <v>5.21</v>
      </c>
      <c r="E4998" t="s">
        <v>7</v>
      </c>
    </row>
    <row r="4999" spans="1:5" x14ac:dyDescent="0.25">
      <c r="A4999" t="str">
        <f>HYPERLINK("https://www.773grp.com/globalSearch/LM2831ZMF-NOPB/page-1", "LM2831ZMF-NOPB")</f>
        <v>LM2831ZMF-NOPB</v>
      </c>
      <c r="B4999" s="3" t="str">
        <f>HYPERLINK("https://www.773grp.com/manufacturer/national-semiconductor?pageNo=40", "National Semiconductor")</f>
        <v>National Semiconductor</v>
      </c>
      <c r="C4999" s="6">
        <v>1215</v>
      </c>
      <c r="D4999" s="7">
        <v>5.21</v>
      </c>
      <c r="E4999" t="s">
        <v>7</v>
      </c>
    </row>
    <row r="5000" spans="1:5" x14ac:dyDescent="0.25">
      <c r="A5000" t="str">
        <f>HYPERLINK("https://www.773grp.com/globalSearch/LM2831ZSD-NOPB/page-1", "LM2831ZSD-NOPB")</f>
        <v>LM2831ZSD-NOPB</v>
      </c>
      <c r="B5000" s="3" t="str">
        <f>HYPERLINK("https://www.773grp.com/manufacturer/national-semiconductor?pageNo=41", "National Semiconductor")</f>
        <v>National Semiconductor</v>
      </c>
      <c r="C5000" s="6">
        <v>1779</v>
      </c>
      <c r="D5000" s="7">
        <v>5.21</v>
      </c>
      <c r="E5000" t="s">
        <v>7</v>
      </c>
    </row>
    <row r="5001" spans="1:5" x14ac:dyDescent="0.25">
      <c r="A5001" t="str">
        <f>HYPERLINK("https://www.773grp.com/globalSearch/LM2907M/page-1", "LM2907M")</f>
        <v>LM2907M</v>
      </c>
      <c r="B5001" s="3" t="str">
        <f>HYPERLINK("https://www.773grp.com/manufacturer/national-semiconductor?pageNo=42", "National Semiconductor")</f>
        <v>National Semiconductor</v>
      </c>
      <c r="C5001" s="6">
        <v>300</v>
      </c>
      <c r="D5001" s="7">
        <v>5.21</v>
      </c>
    </row>
    <row r="5002" spans="1:5" x14ac:dyDescent="0.25">
      <c r="A5002" t="str">
        <f>HYPERLINK("https://www.773grp.com/globalSearch/LM3743MM-300-NOPB/page-1", "LM3743MM-300-NOPB")</f>
        <v>LM3743MM-300-NOPB</v>
      </c>
      <c r="B5002" s="3" t="str">
        <f>HYPERLINK("https://www.773grp.com/manufacturer/national-semiconductor?pageNo=43", "National Semiconductor")</f>
        <v>National Semiconductor</v>
      </c>
      <c r="C5002" s="6">
        <v>4000</v>
      </c>
      <c r="D5002" s="7">
        <v>5.21</v>
      </c>
    </row>
    <row r="5003" spans="1:5" x14ac:dyDescent="0.25">
      <c r="A5003" t="str">
        <f>HYPERLINK("https://www.773grp.com/globalSearch/LM4128AQ1MF1.8-NOPB/page-1", "LM4128AQ1MF1.8-NOPB")</f>
        <v>LM4128AQ1MF1.8-NOPB</v>
      </c>
      <c r="B5003" s="3" t="str">
        <f>HYPERLINK("https://www.773grp.com/manufacturer/national-semiconductor?pageNo=44", "National Semiconductor")</f>
        <v>National Semiconductor</v>
      </c>
      <c r="C5003" s="6">
        <v>9000</v>
      </c>
      <c r="D5003" s="7">
        <v>5.21</v>
      </c>
    </row>
    <row r="5004" spans="1:5" x14ac:dyDescent="0.25">
      <c r="A5004" t="str">
        <f>HYPERLINK("https://www.773grp.com/globalSearch/LM4128AQ1MF2.0-NOPB/page-1", "LM4128AQ1MF2.0-NOPB")</f>
        <v>LM4128AQ1MF2.0-NOPB</v>
      </c>
      <c r="B5004" s="3" t="str">
        <f>HYPERLINK("https://www.773grp.com/manufacturer/national-semiconductor?pageNo=45", "National Semiconductor")</f>
        <v>National Semiconductor</v>
      </c>
      <c r="C5004" s="6">
        <v>600</v>
      </c>
      <c r="D5004" s="7">
        <v>5.21</v>
      </c>
    </row>
    <row r="5005" spans="1:5" x14ac:dyDescent="0.25">
      <c r="A5005" t="str">
        <f>HYPERLINK("https://www.773grp.com/globalSearch/LM4128AQ1MF4.1-NOPB/page-1", "LM4128AQ1MF4.1-NOPB")</f>
        <v>LM4128AQ1MF4.1-NOPB</v>
      </c>
      <c r="B5005" s="3" t="str">
        <f>HYPERLINK("https://www.773grp.com/manufacturer/national-semiconductor?pageNo=46", "National Semiconductor")</f>
        <v>National Semiconductor</v>
      </c>
      <c r="C5005" s="6">
        <v>4000</v>
      </c>
      <c r="D5005" s="7">
        <v>5.21</v>
      </c>
    </row>
    <row r="5006" spans="1:5" x14ac:dyDescent="0.25">
      <c r="A5006" t="str">
        <f>HYPERLINK("https://www.773grp.com/globalSearch/LM5030MM-NOPB/page-1", "LM5030MM-NOPB")</f>
        <v>LM5030MM-NOPB</v>
      </c>
      <c r="B5006" s="3" t="str">
        <f>HYPERLINK("https://www.773grp.com/manufacturer/national-semiconductor?pageNo=47", "National Semiconductor")</f>
        <v>National Semiconductor</v>
      </c>
      <c r="C5006" s="6">
        <v>1005</v>
      </c>
      <c r="D5006" s="7">
        <v>5.21</v>
      </c>
      <c r="E5006" t="s">
        <v>7</v>
      </c>
    </row>
    <row r="5007" spans="1:5" x14ac:dyDescent="0.25">
      <c r="A5007" t="str">
        <f>HYPERLINK("https://www.773grp.com/globalSearch/LM5030MMX-NOPB/page-1", "LM5030MMX-NOPB")</f>
        <v>LM5030MMX-NOPB</v>
      </c>
      <c r="B5007" s="3" t="str">
        <f>HYPERLINK("https://www.773grp.com/manufacturer/national-semiconductor?pageNo=48", "National Semiconductor")</f>
        <v>National Semiconductor</v>
      </c>
      <c r="C5007" s="6">
        <v>10500</v>
      </c>
      <c r="D5007" s="7">
        <v>5.21</v>
      </c>
      <c r="E5007" t="s">
        <v>7</v>
      </c>
    </row>
    <row r="5008" spans="1:5" x14ac:dyDescent="0.25">
      <c r="A5008" t="str">
        <f>HYPERLINK("https://www.773grp.com/globalSearch/LM5030SD-NOPB/page-1", "LM5030SD-NOPB")</f>
        <v>LM5030SD-NOPB</v>
      </c>
      <c r="B5008" s="3" t="str">
        <f>HYPERLINK("https://www.773grp.com/manufacturer/national-semiconductor?pageNo=49", "National Semiconductor")</f>
        <v>National Semiconductor</v>
      </c>
      <c r="C5008" s="6">
        <v>1289</v>
      </c>
      <c r="D5008" s="7">
        <v>5.21</v>
      </c>
    </row>
    <row r="5009" spans="1:5" x14ac:dyDescent="0.25">
      <c r="A5009" t="str">
        <f>HYPERLINK("https://www.773grp.com/globalSearch/LM7321MA-NOPB/page-1", "LM7321MA-NOPB")</f>
        <v>LM7321MA-NOPB</v>
      </c>
      <c r="B5009" s="3" t="str">
        <f>HYPERLINK("https://www.773grp.com/manufacturer/national-semiconductor?pageNo=50", "National Semiconductor")</f>
        <v>National Semiconductor</v>
      </c>
      <c r="C5009" s="6">
        <v>240</v>
      </c>
      <c r="D5009" s="7">
        <v>5.21</v>
      </c>
      <c r="E5009" t="s">
        <v>13</v>
      </c>
    </row>
    <row r="5010" spans="1:5" x14ac:dyDescent="0.25">
      <c r="A5010" t="str">
        <f>HYPERLINK("https://www.773grp.com/globalSearch/LMH6646MAX-NOPB/page-1", "LMH6646MAX-NOPB")</f>
        <v>LMH6646MAX-NOPB</v>
      </c>
      <c r="B5010" s="3" t="str">
        <f>HYPERLINK("https://www.773grp.com/manufacturer/national-semiconductor?pageNo=51", "National Semiconductor")</f>
        <v>National Semiconductor</v>
      </c>
      <c r="C5010" s="6">
        <v>2500</v>
      </c>
      <c r="D5010" s="7">
        <v>5.21</v>
      </c>
      <c r="E5010" t="s">
        <v>13</v>
      </c>
    </row>
    <row r="5011" spans="1:5" x14ac:dyDescent="0.25">
      <c r="A5011" t="str">
        <f>HYPERLINK("https://www.773grp.com/globalSearch/LMH6646MM-NOPB/page-1", "LMH6646MM-NOPB")</f>
        <v>LMH6646MM-NOPB</v>
      </c>
      <c r="B5011" s="3" t="str">
        <f>HYPERLINK("https://www.773grp.com/manufacturer/national-semiconductor?pageNo=52", "National Semiconductor")</f>
        <v>National Semiconductor</v>
      </c>
      <c r="C5011" s="6">
        <v>837</v>
      </c>
      <c r="D5011" s="7">
        <v>5.21</v>
      </c>
      <c r="E5011" t="s">
        <v>13</v>
      </c>
    </row>
    <row r="5012" spans="1:5" x14ac:dyDescent="0.25">
      <c r="A5012" t="str">
        <f>HYPERLINK("https://www.773grp.com/globalSearch/LMP2015MA-NOPB/page-1", "LMP2015MA-NOPB")</f>
        <v>LMP2015MA-NOPB</v>
      </c>
      <c r="B5012" s="3" t="str">
        <f>HYPERLINK("https://www.773grp.com/manufacturer/national-semiconductor?pageNo=53", "National Semiconductor")</f>
        <v>National Semiconductor</v>
      </c>
      <c r="C5012" s="6">
        <v>270</v>
      </c>
      <c r="D5012" s="7">
        <v>5.21</v>
      </c>
    </row>
    <row r="5013" spans="1:5" x14ac:dyDescent="0.25">
      <c r="A5013" t="str">
        <f>HYPERLINK("https://www.773grp.com/globalSearch/LMP7716MM-NOPB/page-1", "LMP7716MM-NOPB")</f>
        <v>LMP7716MM-NOPB</v>
      </c>
      <c r="B5013" s="3" t="str">
        <f>HYPERLINK("https://www.773grp.com/manufacturer/national-semiconductor?pageNo=54", "National Semiconductor")</f>
        <v>National Semiconductor</v>
      </c>
      <c r="C5013" s="6">
        <v>2532</v>
      </c>
      <c r="D5013" s="7">
        <v>5.21</v>
      </c>
    </row>
    <row r="5014" spans="1:5" x14ac:dyDescent="0.25">
      <c r="A5014" t="str">
        <f>HYPERLINK("https://www.773grp.com/globalSearch/LMP7718MAX-NOPB/page-1", "LMP7718MAX-NOPB")</f>
        <v>LMP7718MAX-NOPB</v>
      </c>
      <c r="B5014" s="3" t="str">
        <f>HYPERLINK("https://www.773grp.com/manufacturer/national-semiconductor?pageNo=55", "National Semiconductor")</f>
        <v>National Semiconductor</v>
      </c>
      <c r="C5014" s="6">
        <v>15000</v>
      </c>
      <c r="D5014" s="7">
        <v>5.21</v>
      </c>
      <c r="E5014" t="s">
        <v>13</v>
      </c>
    </row>
    <row r="5015" spans="1:5" x14ac:dyDescent="0.25">
      <c r="A5015" t="str">
        <f>HYPERLINK("https://www.773grp.com/globalSearch/LMP7718MM-NOPB/page-1", "LMP7718MM-NOPB")</f>
        <v>LMP7718MM-NOPB</v>
      </c>
      <c r="B5015" s="3" t="str">
        <f>HYPERLINK("https://www.773grp.com/manufacturer/national-semiconductor?pageNo=56", "National Semiconductor")</f>
        <v>National Semiconductor</v>
      </c>
      <c r="C5015" s="6">
        <v>1240</v>
      </c>
      <c r="D5015" s="7">
        <v>5.21</v>
      </c>
    </row>
    <row r="5016" spans="1:5" x14ac:dyDescent="0.25">
      <c r="A5016" t="str">
        <f>HYPERLINK("https://www.773grp.com/globalSearch/LMR12010YMK-NOPB/page-1", "LMR12010YMK-NOPB")</f>
        <v>LMR12010YMK-NOPB</v>
      </c>
      <c r="B5016" s="3" t="str">
        <f>HYPERLINK("https://www.773grp.com/manufacturer/national-semiconductor?pageNo=57", "National Semiconductor")</f>
        <v>National Semiconductor</v>
      </c>
      <c r="C5016" s="6">
        <v>1000</v>
      </c>
      <c r="D5016" s="7">
        <v>5.21</v>
      </c>
    </row>
    <row r="5017" spans="1:5" x14ac:dyDescent="0.25">
      <c r="A5017" t="str">
        <f>HYPERLINK("https://www.773grp.com/globalSearch/LMV762QMA-NOPB/page-1", "LMV762QMA-NOPB")</f>
        <v>LMV762QMA-NOPB</v>
      </c>
      <c r="B5017" s="3" t="str">
        <f>HYPERLINK("https://www.773grp.com/manufacturer/national-semiconductor?pageNo=58", "National Semiconductor")</f>
        <v>National Semiconductor</v>
      </c>
      <c r="C5017" s="6">
        <v>240</v>
      </c>
      <c r="D5017" s="7">
        <v>5.21</v>
      </c>
    </row>
    <row r="5018" spans="1:5" x14ac:dyDescent="0.25">
      <c r="A5018" t="str">
        <f>HYPERLINK("https://www.773grp.com/globalSearch/LMX2324TMX-NOPB/page-1", "LMX2324TMX-NOPB")</f>
        <v>LMX2324TMX-NOPB</v>
      </c>
      <c r="B5018" s="3" t="str">
        <f>HYPERLINK("https://www.773grp.com/manufacturer/national-semiconductor?pageNo=59", "National Semiconductor")</f>
        <v>National Semiconductor</v>
      </c>
      <c r="C5018" s="6">
        <v>10000</v>
      </c>
      <c r="D5018" s="7">
        <v>5.21</v>
      </c>
      <c r="E5018" t="s">
        <v>38</v>
      </c>
    </row>
    <row r="5019" spans="1:5" x14ac:dyDescent="0.25">
      <c r="A5019" t="str">
        <f>HYPERLINK("https://www.773grp.com/globalSearch/LP2986IM-3.3/page-1", "LP2986IM-3.3")</f>
        <v>LP2986IM-3.3</v>
      </c>
      <c r="B5019" s="3" t="str">
        <f>HYPERLINK("https://www.773grp.com/manufacturer/national-semiconductor?pageNo=60", "National Semiconductor")</f>
        <v>National Semiconductor</v>
      </c>
      <c r="C5019" s="6">
        <v>3638</v>
      </c>
      <c r="D5019" s="7">
        <v>5.21</v>
      </c>
      <c r="E5019" t="s">
        <v>27</v>
      </c>
    </row>
    <row r="5020" spans="1:5" x14ac:dyDescent="0.25">
      <c r="A5020" t="str">
        <f>HYPERLINK("https://www.773grp.com/globalSearch/LP2989AILD-3.0-NOPB/page-1", "LP2989AILD-3.0-NOPB")</f>
        <v>LP2989AILD-3.0-NOPB</v>
      </c>
      <c r="B5020" s="3" t="str">
        <f>HYPERLINK("https://www.773grp.com/manufacturer/national-semiconductor?pageNo=61", "National Semiconductor")</f>
        <v>National Semiconductor</v>
      </c>
      <c r="C5020" s="6">
        <v>2001</v>
      </c>
      <c r="D5020" s="7">
        <v>5.21</v>
      </c>
      <c r="E5020" t="s">
        <v>19</v>
      </c>
    </row>
    <row r="5021" spans="1:5" x14ac:dyDescent="0.25">
      <c r="A5021" t="str">
        <f>HYPERLINK("https://www.773grp.com/globalSearch/LP2996M/page-1", "LP2996M")</f>
        <v>LP2996M</v>
      </c>
      <c r="B5021" s="3" t="str">
        <f>HYPERLINK("https://www.773grp.com/manufacturer/national-semiconductor?pageNo=62", "National Semiconductor")</f>
        <v>National Semiconductor</v>
      </c>
      <c r="C5021" s="6">
        <v>200</v>
      </c>
      <c r="D5021" s="7">
        <v>5.21</v>
      </c>
      <c r="E5021" t="s">
        <v>24</v>
      </c>
    </row>
    <row r="5022" spans="1:5" x14ac:dyDescent="0.25">
      <c r="A5022" t="str">
        <f>HYPERLINK("https://www.773grp.com/globalSearch/963PC/page-1", "963PC")</f>
        <v>963PC</v>
      </c>
      <c r="B5022" s="3" t="str">
        <f>HYPERLINK("https://www.773grp.com/manufacturer/national-semiconductor?pageNo=63", "National Semiconductor")</f>
        <v>National Semiconductor</v>
      </c>
      <c r="C5022" s="6">
        <v>16</v>
      </c>
      <c r="D5022" s="7">
        <v>4.76</v>
      </c>
    </row>
    <row r="5023" spans="1:5" x14ac:dyDescent="0.25">
      <c r="A5023" t="str">
        <f>HYPERLINK("https://www.773grp.com/globalSearch/DS3668N/page-1", "DS3668N")</f>
        <v>DS3668N</v>
      </c>
      <c r="B5023" s="3" t="str">
        <f>HYPERLINK("https://www.773grp.com/manufacturer/national-semiconductor?pageNo=64", "National Semiconductor")</f>
        <v>National Semiconductor</v>
      </c>
      <c r="C5023" s="6">
        <v>107</v>
      </c>
      <c r="D5023" s="7">
        <v>4.76</v>
      </c>
      <c r="E5023" t="s">
        <v>11</v>
      </c>
    </row>
    <row r="5024" spans="1:5" x14ac:dyDescent="0.25">
      <c r="A5024" t="str">
        <f>HYPERLINK("https://www.773grp.com/globalSearch/DS91C176TMA-NOPB/page-1", "DS91C176TMA-NOPB")</f>
        <v>DS91C176TMA-NOPB</v>
      </c>
      <c r="B5024" s="3" t="str">
        <f>HYPERLINK("https://www.773grp.com/manufacturer/national-semiconductor?pageNo=65", "National Semiconductor")</f>
        <v>National Semiconductor</v>
      </c>
      <c r="C5024" s="6">
        <v>683</v>
      </c>
      <c r="D5024" s="7">
        <v>4.76</v>
      </c>
    </row>
    <row r="5025" spans="1:5" x14ac:dyDescent="0.25">
      <c r="A5025" t="str">
        <f>HYPERLINK("https://www.773grp.com/globalSearch/DS96174CN-NOPB/page-1", "DS96174CN-NOPB")</f>
        <v>DS96174CN-NOPB</v>
      </c>
      <c r="B5025" s="3" t="str">
        <f>HYPERLINK("https://www.773grp.com/manufacturer/national-semiconductor?pageNo=66", "National Semiconductor")</f>
        <v>National Semiconductor</v>
      </c>
      <c r="C5025" s="6">
        <v>1613</v>
      </c>
      <c r="D5025" s="7">
        <v>4.76</v>
      </c>
      <c r="E5025" t="s">
        <v>21</v>
      </c>
    </row>
    <row r="5026" spans="1:5" x14ac:dyDescent="0.25">
      <c r="A5026" t="str">
        <f>HYPERLINK("https://www.773grp.com/globalSearch/LM2594MX-ADJ/page-1", "LM2594MX-ADJ")</f>
        <v>LM2594MX-ADJ</v>
      </c>
      <c r="B5026" s="3" t="str">
        <f>HYPERLINK("https://www.773grp.com/manufacturer/national-semiconductor?pageNo=67", "National Semiconductor")</f>
        <v>National Semiconductor</v>
      </c>
      <c r="C5026" s="6">
        <v>4900</v>
      </c>
      <c r="D5026" s="7">
        <v>4.76</v>
      </c>
      <c r="E5026" t="s">
        <v>7</v>
      </c>
    </row>
    <row r="5027" spans="1:5" x14ac:dyDescent="0.25">
      <c r="A5027" t="str">
        <f>HYPERLINK("https://www.773grp.com/globalSearch/LM4832MT-NOPB/page-1", "LM4832MT-NOPB")</f>
        <v>LM4832MT-NOPB</v>
      </c>
      <c r="B5027" s="3" t="str">
        <f>HYPERLINK("https://www.773grp.com/manufacturer/national-semiconductor?pageNo=68", "National Semiconductor")</f>
        <v>National Semiconductor</v>
      </c>
      <c r="C5027" s="6">
        <v>2</v>
      </c>
      <c r="D5027" s="7">
        <v>4.76</v>
      </c>
      <c r="E5027" t="s">
        <v>41</v>
      </c>
    </row>
    <row r="5028" spans="1:5" x14ac:dyDescent="0.25">
      <c r="A5028" t="str">
        <f>HYPERLINK("https://www.773grp.com/globalSearch/LM6171AIM-NOPB/page-1", "LM6171AIM-NOPB")</f>
        <v>LM6171AIM-NOPB</v>
      </c>
      <c r="B5028" s="3" t="str">
        <f>HYPERLINK("https://www.773grp.com/manufacturer/national-semiconductor?pageNo=69", "National Semiconductor")</f>
        <v>National Semiconductor</v>
      </c>
      <c r="C5028" s="6">
        <v>85</v>
      </c>
      <c r="D5028" s="7">
        <v>4.76</v>
      </c>
      <c r="E5028" t="s">
        <v>18</v>
      </c>
    </row>
    <row r="5029" spans="1:5" x14ac:dyDescent="0.25">
      <c r="A5029" t="str">
        <f>HYPERLINK("https://www.773grp.com/globalSearch/LM831MX/page-1", "LM831MX")</f>
        <v>LM831MX</v>
      </c>
      <c r="B5029" s="3" t="str">
        <f>HYPERLINK("https://www.773grp.com/manufacturer/national-semiconductor?pageNo=70", "National Semiconductor")</f>
        <v>National Semiconductor</v>
      </c>
      <c r="C5029" s="6">
        <v>5924</v>
      </c>
      <c r="D5029" s="7">
        <v>4.76</v>
      </c>
      <c r="E5029" t="s">
        <v>18</v>
      </c>
    </row>
    <row r="5030" spans="1:5" x14ac:dyDescent="0.25">
      <c r="A5030" t="str">
        <f>HYPERLINK("https://www.773grp.com/globalSearch/LM84BIMQAX-NOPB/page-1", "LM84BIMQAX-NOPB")</f>
        <v>LM84BIMQAX-NOPB</v>
      </c>
      <c r="B5030" s="3" t="str">
        <f>HYPERLINK("https://www.773grp.com/manufacturer/national-semiconductor?pageNo=71", "National Semiconductor")</f>
        <v>National Semiconductor</v>
      </c>
      <c r="C5030" s="6">
        <v>14999</v>
      </c>
      <c r="D5030" s="7">
        <v>4.76</v>
      </c>
      <c r="E5030" t="s">
        <v>12</v>
      </c>
    </row>
    <row r="5031" spans="1:5" x14ac:dyDescent="0.25">
      <c r="A5031" t="str">
        <f>HYPERLINK("https://www.773grp.com/globalSearch/LME49722MA-NOPB/page-1", "LME49722MA-NOPB")</f>
        <v>LME49722MA-NOPB</v>
      </c>
      <c r="B5031" s="3" t="str">
        <f>HYPERLINK("https://www.773grp.com/manufacturer/national-semiconductor?pageNo=72", "National Semiconductor")</f>
        <v>National Semiconductor</v>
      </c>
      <c r="C5031" s="6">
        <v>185</v>
      </c>
      <c r="D5031" s="7">
        <v>4.76</v>
      </c>
    </row>
    <row r="5032" spans="1:5" x14ac:dyDescent="0.25">
      <c r="A5032" t="str">
        <f>HYPERLINK("https://www.773grp.com/globalSearch/LMH6722MA-NOPB/page-1", "LMH6722MA-NOPB")</f>
        <v>LMH6722MA-NOPB</v>
      </c>
      <c r="B5032" s="3" t="str">
        <f>HYPERLINK("https://www.773grp.com/manufacturer/national-semiconductor?pageNo=73", "National Semiconductor")</f>
        <v>National Semiconductor</v>
      </c>
      <c r="C5032" s="6">
        <v>615</v>
      </c>
      <c r="D5032" s="7">
        <v>4.76</v>
      </c>
      <c r="E5032" t="s">
        <v>18</v>
      </c>
    </row>
    <row r="5033" spans="1:5" x14ac:dyDescent="0.25">
      <c r="A5033" t="str">
        <f>HYPERLINK("https://www.773grp.com/globalSearch/LMH6722MT-NOPB/page-1", "LMH6722MT-NOPB")</f>
        <v>LMH6722MT-NOPB</v>
      </c>
      <c r="B5033" s="3" t="str">
        <f>HYPERLINK("https://www.773grp.com/manufacturer/national-semiconductor?pageNo=74", "National Semiconductor")</f>
        <v>National Semiconductor</v>
      </c>
      <c r="C5033" s="6">
        <v>464</v>
      </c>
      <c r="D5033" s="7">
        <v>4.76</v>
      </c>
      <c r="E5033" t="s">
        <v>18</v>
      </c>
    </row>
    <row r="5034" spans="1:5" x14ac:dyDescent="0.25">
      <c r="A5034" t="str">
        <f>HYPERLINK("https://www.773grp.com/globalSearch/DS91C176TMA-NOPB/page-1", "DS91C176TMA-NOPB")</f>
        <v>DS91C176TMA-NOPB</v>
      </c>
      <c r="B5034" s="3" t="str">
        <f>HYPERLINK("https://www.773grp.com/manufacturer/national-semiconductor?pageNo=75", "National Semiconductor")</f>
        <v>National Semiconductor</v>
      </c>
      <c r="C5034" s="6">
        <v>2619</v>
      </c>
      <c r="D5034" s="7">
        <v>4.76</v>
      </c>
    </row>
    <row r="5035" spans="1:5" x14ac:dyDescent="0.25">
      <c r="A5035" t="str">
        <f>HYPERLINK("https://www.773grp.com/globalSearch/DS96174CN-NOPB/page-1", "DS96174CN-NOPB")</f>
        <v>DS96174CN-NOPB</v>
      </c>
      <c r="B5035" s="3" t="str">
        <f>HYPERLINK("https://www.773grp.com/manufacturer/national-semiconductor?pageNo=76", "National Semiconductor")</f>
        <v>National Semiconductor</v>
      </c>
      <c r="C5035" s="6">
        <v>20</v>
      </c>
      <c r="D5035" s="7">
        <v>4.76</v>
      </c>
      <c r="E5035" t="s">
        <v>21</v>
      </c>
    </row>
    <row r="5036" spans="1:5" x14ac:dyDescent="0.25">
      <c r="A5036" t="str">
        <f>HYPERLINK("https://www.773grp.com/globalSearch/LM5010AMHE-NOPB/page-1", "LM5010AMHE-NOPB")</f>
        <v>LM5010AMHE-NOPB</v>
      </c>
      <c r="B5036" s="3" t="str">
        <f>HYPERLINK("https://www.773grp.com/manufacturer/national-semiconductor?pageNo=77", "National Semiconductor")</f>
        <v>National Semiconductor</v>
      </c>
      <c r="C5036" s="6">
        <v>654</v>
      </c>
      <c r="D5036" s="7">
        <v>4.76</v>
      </c>
    </row>
    <row r="5037" spans="1:5" x14ac:dyDescent="0.25">
      <c r="A5037" t="str">
        <f>HYPERLINK("https://www.773grp.com/globalSearch/LM6171AIM-NOPB/page-1", "LM6171AIM-NOPB")</f>
        <v>LM6171AIM-NOPB</v>
      </c>
      <c r="B5037" s="3" t="str">
        <f>HYPERLINK("https://www.773grp.com/manufacturer/national-semiconductor?pageNo=78", "National Semiconductor")</f>
        <v>National Semiconductor</v>
      </c>
      <c r="C5037" s="6">
        <v>283</v>
      </c>
      <c r="D5037" s="7">
        <v>4.76</v>
      </c>
      <c r="E5037" t="s">
        <v>18</v>
      </c>
    </row>
    <row r="5038" spans="1:5" x14ac:dyDescent="0.25">
      <c r="A5038" t="str">
        <f>HYPERLINK("https://www.773grp.com/globalSearch/LM6171BIMX/page-1", "LM6171BIMX")</f>
        <v>LM6171BIMX</v>
      </c>
      <c r="B5038" s="3" t="str">
        <f>HYPERLINK("https://www.773grp.com/manufacturer/national-semiconductor?pageNo=79", "National Semiconductor")</f>
        <v>National Semiconductor</v>
      </c>
      <c r="C5038" s="6">
        <v>2500</v>
      </c>
      <c r="D5038" s="7">
        <v>4.76</v>
      </c>
      <c r="E5038" t="s">
        <v>18</v>
      </c>
    </row>
    <row r="5039" spans="1:5" x14ac:dyDescent="0.25">
      <c r="A5039" t="str">
        <f>HYPERLINK("https://www.773grp.com/globalSearch/LME49722MA-NOPB/page-1", "LME49722MA-NOPB")</f>
        <v>LME49722MA-NOPB</v>
      </c>
      <c r="B5039" s="3" t="str">
        <f>HYPERLINK("https://www.773grp.com/manufacturer/national-semiconductor?pageNo=80", "National Semiconductor")</f>
        <v>National Semiconductor</v>
      </c>
      <c r="C5039" s="6">
        <v>347</v>
      </c>
      <c r="D5039" s="7">
        <v>4.76</v>
      </c>
    </row>
    <row r="5040" spans="1:5" x14ac:dyDescent="0.25">
      <c r="A5040" t="str">
        <f>HYPERLINK("https://www.773grp.com/globalSearch/LMH6722MA-NOPB/page-1", "LMH6722MA-NOPB")</f>
        <v>LMH6722MA-NOPB</v>
      </c>
      <c r="B5040" s="3" t="str">
        <f>HYPERLINK("https://www.773grp.com/manufacturer/national-semiconductor?pageNo=81", "National Semiconductor")</f>
        <v>National Semiconductor</v>
      </c>
      <c r="C5040" s="6">
        <v>34</v>
      </c>
      <c r="D5040" s="7">
        <v>4.76</v>
      </c>
      <c r="E5040" t="s">
        <v>18</v>
      </c>
    </row>
    <row r="5041" spans="1:5" x14ac:dyDescent="0.25">
      <c r="A5041" t="str">
        <f>HYPERLINK("https://www.773grp.com/globalSearch/LMH6722MT-NOPB/page-1", "LMH6722MT-NOPB")</f>
        <v>LMH6722MT-NOPB</v>
      </c>
      <c r="B5041" s="3" t="str">
        <f>HYPERLINK("https://www.773grp.com/manufacturer/national-semiconductor?pageNo=82", "National Semiconductor")</f>
        <v>National Semiconductor</v>
      </c>
      <c r="C5041" s="6">
        <v>119</v>
      </c>
      <c r="D5041" s="7">
        <v>4.76</v>
      </c>
      <c r="E5041" t="s">
        <v>18</v>
      </c>
    </row>
    <row r="5042" spans="1:5" x14ac:dyDescent="0.25">
      <c r="A5042" t="str">
        <f>HYPERLINK("https://www.773grp.com/globalSearch/LMH6722MT-NOPB/page-1", "LMH6722MT-NOPB")</f>
        <v>LMH6722MT-NOPB</v>
      </c>
      <c r="B5042" s="3" t="str">
        <f>HYPERLINK("https://www.773grp.com/manufacturer/national-semiconductor?pageNo=83", "National Semiconductor")</f>
        <v>National Semiconductor</v>
      </c>
      <c r="C5042" s="6">
        <v>470</v>
      </c>
      <c r="D5042" s="7">
        <v>4.76</v>
      </c>
      <c r="E5042" t="s">
        <v>18</v>
      </c>
    </row>
    <row r="5043" spans="1:5" x14ac:dyDescent="0.25">
      <c r="A5043" t="str">
        <f>HYPERLINK("https://www.773grp.com/globalSearch/MF10CCWMX/page-1", "MF10CCWMX")</f>
        <v>MF10CCWMX</v>
      </c>
      <c r="B5043" s="3" t="str">
        <f>HYPERLINK("https://www.773grp.com/manufacturer/national-semiconductor?pageNo=84", "National Semiconductor")</f>
        <v>National Semiconductor</v>
      </c>
      <c r="C5043" s="6">
        <v>1000</v>
      </c>
      <c r="D5043" s="7">
        <v>4.76</v>
      </c>
    </row>
    <row r="5044" spans="1:5" x14ac:dyDescent="0.25">
      <c r="A5044" t="str">
        <f>HYPERLINK("https://www.773grp.com/globalSearch/74LS573DC/page-1", "74LS573DC")</f>
        <v>74LS573DC</v>
      </c>
      <c r="B5044" s="3" t="str">
        <f>HYPERLINK("https://www.773grp.com/manufacturer/national-semiconductor?pageNo=85", "National Semiconductor")</f>
        <v>National Semiconductor</v>
      </c>
      <c r="C5044" s="6">
        <v>2</v>
      </c>
      <c r="D5044" s="7">
        <v>4.78</v>
      </c>
    </row>
    <row r="5045" spans="1:5" x14ac:dyDescent="0.25">
      <c r="A5045" t="str">
        <f>HYPERLINK("https://www.773grp.com/globalSearch/74LS574DC/page-1", "74LS574DC")</f>
        <v>74LS574DC</v>
      </c>
      <c r="B5045" s="3" t="str">
        <f>HYPERLINK("https://www.773grp.com/manufacturer/national-semiconductor?pageNo=86", "National Semiconductor")</f>
        <v>National Semiconductor</v>
      </c>
      <c r="C5045" s="6">
        <v>5</v>
      </c>
      <c r="D5045" s="7">
        <v>4.78</v>
      </c>
    </row>
    <row r="5046" spans="1:5" x14ac:dyDescent="0.25">
      <c r="A5046" t="str">
        <f>HYPERLINK("https://www.773grp.com/globalSearch/74S253PC/page-1", "74S253PC")</f>
        <v>74S253PC</v>
      </c>
      <c r="B5046" s="3" t="str">
        <f>HYPERLINK("https://www.773grp.com/manufacturer/national-semiconductor?pageNo=87", "National Semiconductor")</f>
        <v>National Semiconductor</v>
      </c>
      <c r="C5046" s="6">
        <v>28189</v>
      </c>
      <c r="D5046" s="7">
        <v>4.78</v>
      </c>
    </row>
    <row r="5047" spans="1:5" x14ac:dyDescent="0.25">
      <c r="A5047" t="str">
        <f>HYPERLINK("https://www.773grp.com/globalSearch/ADC08351CIMTCX/page-1", "ADC08351CIMTCX")</f>
        <v>ADC08351CIMTCX</v>
      </c>
      <c r="B5047" s="3" t="str">
        <f>HYPERLINK("https://www.773grp.com/manufacturer/national-semiconductor?pageNo=88", "National Semiconductor")</f>
        <v>National Semiconductor</v>
      </c>
      <c r="C5047" s="6">
        <v>7090</v>
      </c>
      <c r="D5047" s="7">
        <v>4.78</v>
      </c>
      <c r="E5047" t="s">
        <v>39</v>
      </c>
    </row>
    <row r="5048" spans="1:5" x14ac:dyDescent="0.25">
      <c r="A5048" t="str">
        <f>HYPERLINK("https://www.773grp.com/globalSearch/ADC08351CIMTCX-NOPB/page-1", "ADC08351CIMTCX-NOPB")</f>
        <v>ADC08351CIMTCX-NOPB</v>
      </c>
      <c r="B5048" s="3" t="str">
        <f>HYPERLINK("https://www.773grp.com/manufacturer/national-semiconductor?pageNo=89", "National Semiconductor")</f>
        <v>National Semiconductor</v>
      </c>
      <c r="C5048" s="6">
        <v>12500</v>
      </c>
      <c r="D5048" s="7">
        <v>4.78</v>
      </c>
      <c r="E5048" t="s">
        <v>39</v>
      </c>
    </row>
    <row r="5049" spans="1:5" x14ac:dyDescent="0.25">
      <c r="A5049" t="str">
        <f>HYPERLINK("https://www.773grp.com/globalSearch/ADC102S101CIMM-NOPB/page-1", "ADC102S101CIMM-NOPB")</f>
        <v>ADC102S101CIMM-NOPB</v>
      </c>
      <c r="B5049" s="3" t="str">
        <f>HYPERLINK("https://www.773grp.com/manufacturer/national-semiconductor?pageNo=90", "National Semiconductor")</f>
        <v>National Semiconductor</v>
      </c>
      <c r="C5049" s="6">
        <v>800</v>
      </c>
      <c r="D5049" s="7">
        <v>4.78</v>
      </c>
    </row>
    <row r="5050" spans="1:5" x14ac:dyDescent="0.25">
      <c r="A5050" t="str">
        <f>HYPERLINK("https://www.773grp.com/globalSearch/ADC121S655CIMM-NOPB/page-1", "ADC121S655CIMM-NOPB")</f>
        <v>ADC121S655CIMM-NOPB</v>
      </c>
      <c r="B5050" s="3" t="str">
        <f>HYPERLINK("https://www.773grp.com/manufacturer/national-semiconductor?pageNo=91", "National Semiconductor")</f>
        <v>National Semiconductor</v>
      </c>
      <c r="C5050" s="6">
        <v>1793</v>
      </c>
      <c r="D5050" s="7">
        <v>4.78</v>
      </c>
      <c r="E5050" t="s">
        <v>39</v>
      </c>
    </row>
    <row r="5051" spans="1:5" x14ac:dyDescent="0.25">
      <c r="A5051" t="str">
        <f>HYPERLINK("https://www.773grp.com/globalSearch/LM22680MRX-ADJ-NOPB/page-1", "LM22680MRX-ADJ-NOPB")</f>
        <v>LM22680MRX-ADJ-NOPB</v>
      </c>
      <c r="B5051" s="3" t="str">
        <f>HYPERLINK("https://www.773grp.com/manufacturer/national-semiconductor?pageNo=92", "National Semiconductor")</f>
        <v>National Semiconductor</v>
      </c>
      <c r="C5051" s="6">
        <v>20000</v>
      </c>
      <c r="D5051" s="7">
        <v>4.78</v>
      </c>
    </row>
    <row r="5052" spans="1:5" x14ac:dyDescent="0.25">
      <c r="A5052" t="str">
        <f>HYPERLINK("https://www.773grp.com/globalSearch/LM2578AM-NOPB/page-1", "LM2578AM-NOPB")</f>
        <v>LM2578AM-NOPB</v>
      </c>
      <c r="B5052" s="3" t="str">
        <f>HYPERLINK("https://www.773grp.com/manufacturer/national-semiconductor?pageNo=93", "National Semiconductor")</f>
        <v>National Semiconductor</v>
      </c>
      <c r="C5052" s="6">
        <v>4370</v>
      </c>
      <c r="D5052" s="7">
        <v>4.78</v>
      </c>
      <c r="E5052" t="s">
        <v>7</v>
      </c>
    </row>
    <row r="5053" spans="1:5" x14ac:dyDescent="0.25">
      <c r="A5053" t="str">
        <f>HYPERLINK("https://www.773grp.com/globalSearch/LM2598S-12/page-1", "LM2598S-12")</f>
        <v>LM2598S-12</v>
      </c>
      <c r="B5053" s="3" t="str">
        <f>HYPERLINK("https://www.773grp.com/manufacturer/national-semiconductor?pageNo=94", "National Semiconductor")</f>
        <v>National Semiconductor</v>
      </c>
      <c r="C5053" s="6">
        <v>45</v>
      </c>
      <c r="D5053" s="7">
        <v>4.78</v>
      </c>
      <c r="E5053" t="s">
        <v>7</v>
      </c>
    </row>
    <row r="5054" spans="1:5" x14ac:dyDescent="0.25">
      <c r="A5054" t="str">
        <f>HYPERLINK("https://www.773grp.com/globalSearch/LM2598SX-3.3-NOPB/page-1", "LM2598SX-3.3-NOPB")</f>
        <v>LM2598SX-3.3-NOPB</v>
      </c>
      <c r="B5054" s="3" t="str">
        <f>HYPERLINK("https://www.773grp.com/manufacturer/national-semiconductor?pageNo=95", "National Semiconductor")</f>
        <v>National Semiconductor</v>
      </c>
      <c r="C5054" s="6">
        <v>500</v>
      </c>
      <c r="D5054" s="7">
        <v>4.78</v>
      </c>
      <c r="E5054" t="s">
        <v>7</v>
      </c>
    </row>
    <row r="5055" spans="1:5" x14ac:dyDescent="0.25">
      <c r="A5055" t="str">
        <f>HYPERLINK("https://www.773grp.com/globalSearch/LM2598SX-5.0-NOPB/page-1", "LM2598SX-5.0-NOPB")</f>
        <v>LM2598SX-5.0-NOPB</v>
      </c>
      <c r="B5055" s="3" t="str">
        <f>HYPERLINK("https://www.773grp.com/manufacturer/national-semiconductor?pageNo=96", "National Semiconductor")</f>
        <v>National Semiconductor</v>
      </c>
      <c r="C5055" s="6">
        <v>860</v>
      </c>
      <c r="D5055" s="7">
        <v>4.78</v>
      </c>
      <c r="E5055" t="s">
        <v>7</v>
      </c>
    </row>
    <row r="5056" spans="1:5" x14ac:dyDescent="0.25">
      <c r="A5056" t="str">
        <f>HYPERLINK("https://www.773grp.com/globalSearch/LM2598T-12/page-1", "LM2598T-12")</f>
        <v>LM2598T-12</v>
      </c>
      <c r="B5056" s="3" t="str">
        <f>HYPERLINK("https://www.773grp.com/manufacturer/national-semiconductor?pageNo=97", "National Semiconductor")</f>
        <v>National Semiconductor</v>
      </c>
      <c r="C5056" s="6">
        <v>14</v>
      </c>
      <c r="D5056" s="7">
        <v>4.78</v>
      </c>
      <c r="E5056" t="s">
        <v>7</v>
      </c>
    </row>
    <row r="5057" spans="1:5" x14ac:dyDescent="0.25">
      <c r="A5057" t="str">
        <f>HYPERLINK("https://www.773grp.com/globalSearch/LM2598T-12-NOPB/page-1", "LM2598T-12-NOPB")</f>
        <v>LM2598T-12-NOPB</v>
      </c>
      <c r="B5057" s="3" t="str">
        <f>HYPERLINK("https://www.773grp.com/manufacturer/national-semiconductor?pageNo=98", "National Semiconductor")</f>
        <v>National Semiconductor</v>
      </c>
      <c r="C5057" s="6">
        <v>224</v>
      </c>
      <c r="D5057" s="7">
        <v>4.78</v>
      </c>
    </row>
    <row r="5058" spans="1:5" x14ac:dyDescent="0.25">
      <c r="A5058" t="str">
        <f>HYPERLINK("https://www.773grp.com/globalSearch/LM2598T-3.3-NOPB/page-1", "LM2598T-3.3-NOPB")</f>
        <v>LM2598T-3.3-NOPB</v>
      </c>
      <c r="B5058" s="3" t="str">
        <f>HYPERLINK("https://www.773grp.com/manufacturer/national-semiconductor?pageNo=99", "National Semiconductor")</f>
        <v>National Semiconductor</v>
      </c>
      <c r="C5058" s="6">
        <v>190</v>
      </c>
      <c r="D5058" s="7">
        <v>4.78</v>
      </c>
    </row>
    <row r="5059" spans="1:5" x14ac:dyDescent="0.25">
      <c r="A5059" t="str">
        <f>HYPERLINK("https://www.773grp.com/globalSearch/LM2598T-5.0-NOPB/page-1", "LM2598T-5.0-NOPB")</f>
        <v>LM2598T-5.0-NOPB</v>
      </c>
      <c r="B5059" s="3" t="str">
        <f>HYPERLINK("https://www.773grp.com/manufacturer/national-semiconductor?pageNo=100", "National Semiconductor")</f>
        <v>National Semiconductor</v>
      </c>
      <c r="C5059" s="6">
        <v>136</v>
      </c>
      <c r="D5059" s="7">
        <v>4.78</v>
      </c>
    </row>
    <row r="5060" spans="1:5" x14ac:dyDescent="0.25">
      <c r="A5060" t="str">
        <f>HYPERLINK("https://www.773grp.com/globalSearch/LM2598T-ADJ-NOPB/page-1", "LM2598T-ADJ-NOPB")</f>
        <v>LM2598T-ADJ-NOPB</v>
      </c>
      <c r="B5060" s="3" t="str">
        <f>HYPERLINK("https://www.773grp.com/manufacturer/national-semiconductor?pageNo=101", "National Semiconductor")</f>
        <v>National Semiconductor</v>
      </c>
      <c r="C5060" s="6">
        <v>313</v>
      </c>
      <c r="D5060" s="7">
        <v>4.78</v>
      </c>
    </row>
    <row r="5061" spans="1:5" x14ac:dyDescent="0.25">
      <c r="A5061" t="str">
        <f>HYPERLINK("https://www.773grp.com/globalSearch/LM2696MXAX-NOPB/page-1", "LM2696MXAX-NOPB")</f>
        <v>LM2696MXAX-NOPB</v>
      </c>
      <c r="B5061" s="3" t="str">
        <f>HYPERLINK("https://www.773grp.com/manufacturer/national-semiconductor?pageNo=102", "National Semiconductor")</f>
        <v>National Semiconductor</v>
      </c>
      <c r="C5061" s="6">
        <v>2500</v>
      </c>
      <c r="D5061" s="7">
        <v>4.78</v>
      </c>
    </row>
    <row r="5062" spans="1:5" x14ac:dyDescent="0.25">
      <c r="A5062" t="str">
        <f>HYPERLINK("https://www.773grp.com/globalSearch/LM2698MM-ADJ-NOPB/page-1", "LM2698MM-ADJ-NOPB")</f>
        <v>LM2698MM-ADJ-NOPB</v>
      </c>
      <c r="B5062" s="3" t="str">
        <f>HYPERLINK("https://www.773grp.com/manufacturer/national-semiconductor?pageNo=103", "National Semiconductor")</f>
        <v>National Semiconductor</v>
      </c>
      <c r="C5062" s="6">
        <v>6569</v>
      </c>
      <c r="D5062" s="7">
        <v>4.78</v>
      </c>
      <c r="E5062" t="s">
        <v>7</v>
      </c>
    </row>
    <row r="5063" spans="1:5" x14ac:dyDescent="0.25">
      <c r="A5063" t="str">
        <f>HYPERLINK("https://www.773grp.com/globalSearch/LM2734ZQMK-NOPB/page-1", "LM2734ZQMK-NOPB")</f>
        <v>LM2734ZQMK-NOPB</v>
      </c>
      <c r="B5063" s="3" t="str">
        <f>HYPERLINK("https://www.773grp.com/manufacturer/national-semiconductor?pageNo=104", "National Semiconductor")</f>
        <v>National Semiconductor</v>
      </c>
      <c r="C5063" s="6">
        <v>958</v>
      </c>
      <c r="D5063" s="7">
        <v>4.78</v>
      </c>
    </row>
    <row r="5064" spans="1:5" x14ac:dyDescent="0.25">
      <c r="A5064" t="str">
        <f>HYPERLINK("https://www.773grp.com/globalSearch/LM4030AMF-2.5-NOPB/page-1", "LM4030AMF-2.5-NOPB")</f>
        <v>LM4030AMF-2.5-NOPB</v>
      </c>
      <c r="B5064" s="3" t="str">
        <f>HYPERLINK("https://www.773grp.com/manufacturer/national-semiconductor?pageNo=105", "National Semiconductor")</f>
        <v>National Semiconductor</v>
      </c>
      <c r="C5064" s="6">
        <v>1308</v>
      </c>
      <c r="D5064" s="7">
        <v>4.78</v>
      </c>
      <c r="E5064" t="s">
        <v>17</v>
      </c>
    </row>
    <row r="5065" spans="1:5" x14ac:dyDescent="0.25">
      <c r="A5065" t="str">
        <f>HYPERLINK("https://www.773grp.com/globalSearch/LM4030AMF-4.096-NOPB/page-1", "LM4030AMF-4.096-NOPB")</f>
        <v>LM4030AMF-4.096-NOPB</v>
      </c>
      <c r="B5065" s="3" t="str">
        <f>HYPERLINK("https://www.773grp.com/manufacturer/national-semiconductor?pageNo=106", "National Semiconductor")</f>
        <v>National Semiconductor</v>
      </c>
      <c r="C5065" s="6">
        <v>1000</v>
      </c>
      <c r="D5065" s="7">
        <v>4.78</v>
      </c>
    </row>
    <row r="5066" spans="1:5" x14ac:dyDescent="0.25">
      <c r="A5066" t="str">
        <f>HYPERLINK("https://www.773grp.com/globalSearch/LM5035AMHX-NOPB/page-1", "LM5035AMHX-NOPB")</f>
        <v>LM5035AMHX-NOPB</v>
      </c>
      <c r="B5066" s="3" t="str">
        <f>HYPERLINK("https://www.773grp.com/manufacturer/national-semiconductor?pageNo=107", "National Semiconductor")</f>
        <v>National Semiconductor</v>
      </c>
      <c r="C5066" s="6">
        <v>5000</v>
      </c>
      <c r="D5066" s="7">
        <v>4.78</v>
      </c>
      <c r="E5066" t="s">
        <v>7</v>
      </c>
    </row>
    <row r="5067" spans="1:5" x14ac:dyDescent="0.25">
      <c r="A5067" t="str">
        <f>HYPERLINK("https://www.773grp.com/globalSearch/LM5035ASQ-NOPB/page-1", "LM5035ASQ-NOPB")</f>
        <v>LM5035ASQ-NOPB</v>
      </c>
      <c r="B5067" s="3" t="str">
        <f>HYPERLINK("https://www.773grp.com/manufacturer/national-semiconductor?pageNo=108", "National Semiconductor")</f>
        <v>National Semiconductor</v>
      </c>
      <c r="C5067" s="6">
        <v>13079</v>
      </c>
      <c r="D5067" s="7">
        <v>4.78</v>
      </c>
    </row>
    <row r="5068" spans="1:5" x14ac:dyDescent="0.25">
      <c r="A5068" t="str">
        <f>HYPERLINK("https://www.773grp.com/globalSearch/LM5035CSQ-NOPB/page-1", "LM5035CSQ-NOPB")</f>
        <v>LM5035CSQ-NOPB</v>
      </c>
      <c r="B5068" s="3" t="str">
        <f>HYPERLINK("https://www.773grp.com/manufacturer/national-semiconductor?pageNo=109", "National Semiconductor")</f>
        <v>National Semiconductor</v>
      </c>
      <c r="C5068" s="6">
        <v>1000</v>
      </c>
      <c r="D5068" s="7">
        <v>4.78</v>
      </c>
    </row>
    <row r="5069" spans="1:5" x14ac:dyDescent="0.25">
      <c r="A5069" t="str">
        <f>HYPERLINK("https://www.773grp.com/globalSearch/LM5035MHX-NOPB/page-1", "LM5035MHX-NOPB")</f>
        <v>LM5035MHX-NOPB</v>
      </c>
      <c r="B5069" s="3" t="str">
        <f>HYPERLINK("https://www.773grp.com/manufacturer/national-semiconductor?pageNo=110", "National Semiconductor")</f>
        <v>National Semiconductor</v>
      </c>
      <c r="C5069" s="6">
        <v>5000</v>
      </c>
      <c r="D5069" s="7">
        <v>4.78</v>
      </c>
      <c r="E5069" t="s">
        <v>7</v>
      </c>
    </row>
    <row r="5070" spans="1:5" x14ac:dyDescent="0.25">
      <c r="A5070" t="str">
        <f>HYPERLINK("https://www.773grp.com/globalSearch/LM5035SQ-NOPB/page-1", "LM5035SQ-NOPB")</f>
        <v>LM5035SQ-NOPB</v>
      </c>
      <c r="B5070" s="3" t="str">
        <f>HYPERLINK("https://www.773grp.com/manufacturer/national-semiconductor?pageNo=111", "National Semiconductor")</f>
        <v>National Semiconductor</v>
      </c>
      <c r="C5070" s="6">
        <v>40899</v>
      </c>
      <c r="D5070" s="7">
        <v>4.78</v>
      </c>
    </row>
    <row r="5071" spans="1:5" x14ac:dyDescent="0.25">
      <c r="A5071" t="str">
        <f>HYPERLINK("https://www.773grp.com/globalSearch/LM5072MHX-50-NOPB/page-1", "LM5072MHX-50-NOPB")</f>
        <v>LM5072MHX-50-NOPB</v>
      </c>
      <c r="B5071" s="3" t="str">
        <f>HYPERLINK("https://www.773grp.com/manufacturer/national-semiconductor?pageNo=112", "National Semiconductor")</f>
        <v>National Semiconductor</v>
      </c>
      <c r="C5071" s="6">
        <v>10000</v>
      </c>
      <c r="D5071" s="7">
        <v>4.78</v>
      </c>
    </row>
    <row r="5072" spans="1:5" x14ac:dyDescent="0.25">
      <c r="A5072" t="str">
        <f>HYPERLINK("https://www.773grp.com/globalSearch/LM5072MHX-80-NOPB/page-1", "LM5072MHX-80-NOPB")</f>
        <v>LM5072MHX-80-NOPB</v>
      </c>
      <c r="B5072" s="3" t="str">
        <f>HYPERLINK("https://www.773grp.com/manufacturer/national-semiconductor?pageNo=113", "National Semiconductor")</f>
        <v>National Semiconductor</v>
      </c>
      <c r="C5072" s="6">
        <v>10858</v>
      </c>
      <c r="D5072" s="7">
        <v>4.78</v>
      </c>
      <c r="E5072" t="s">
        <v>7</v>
      </c>
    </row>
    <row r="5073" spans="1:5" x14ac:dyDescent="0.25">
      <c r="A5073" t="str">
        <f>HYPERLINK("https://www.773grp.com/globalSearch/LM6588MA-NOPB/page-1", "LM6588MA-NOPB")</f>
        <v>LM6588MA-NOPB</v>
      </c>
      <c r="B5073" s="3" t="str">
        <f>HYPERLINK("https://www.773grp.com/manufacturer/national-semiconductor?pageNo=114", "National Semiconductor")</f>
        <v>National Semiconductor</v>
      </c>
      <c r="C5073" s="6">
        <v>489</v>
      </c>
      <c r="D5073" s="7">
        <v>4.78</v>
      </c>
      <c r="E5073" t="s">
        <v>13</v>
      </c>
    </row>
    <row r="5074" spans="1:5" x14ac:dyDescent="0.25">
      <c r="A5074" t="str">
        <f>HYPERLINK("https://www.773grp.com/globalSearch/LM6588MT-NOPB/page-1", "LM6588MT-NOPB")</f>
        <v>LM6588MT-NOPB</v>
      </c>
      <c r="B5074" s="3" t="str">
        <f>HYPERLINK("https://www.773grp.com/manufacturer/national-semiconductor?pageNo=115", "National Semiconductor")</f>
        <v>National Semiconductor</v>
      </c>
      <c r="C5074" s="6">
        <v>1039</v>
      </c>
      <c r="D5074" s="7">
        <v>4.78</v>
      </c>
      <c r="E5074" t="s">
        <v>13</v>
      </c>
    </row>
    <row r="5075" spans="1:5" x14ac:dyDescent="0.25">
      <c r="A5075" t="str">
        <f>HYPERLINK("https://www.773grp.com/globalSearch/LM81BIMT-3/page-1", "LM81BIMT-3")</f>
        <v>LM81BIMT-3</v>
      </c>
      <c r="B5075" s="3" t="str">
        <f>HYPERLINK("https://www.773grp.com/manufacturer/national-semiconductor?pageNo=116", "National Semiconductor")</f>
        <v>National Semiconductor</v>
      </c>
      <c r="C5075" s="6">
        <v>7069</v>
      </c>
      <c r="D5075" s="7">
        <v>4.78</v>
      </c>
      <c r="E5075" t="s">
        <v>40</v>
      </c>
    </row>
    <row r="5076" spans="1:5" x14ac:dyDescent="0.25">
      <c r="A5076" t="str">
        <f>HYPERLINK("https://www.773grp.com/globalSearch/LM81BIMTX-3-NOPB/page-1", "LM81BIMTX-3-NOPB")</f>
        <v>LM81BIMTX-3-NOPB</v>
      </c>
      <c r="B5076" s="3" t="str">
        <f>HYPERLINK("https://www.773grp.com/manufacturer/national-semiconductor?pageNo=117", "National Semiconductor")</f>
        <v>National Semiconductor</v>
      </c>
      <c r="C5076" s="6">
        <v>7500</v>
      </c>
      <c r="D5076" s="7">
        <v>4.78</v>
      </c>
      <c r="E5076" t="s">
        <v>40</v>
      </c>
    </row>
    <row r="5077" spans="1:5" x14ac:dyDescent="0.25">
      <c r="A5077" t="str">
        <f>HYPERLINK("https://www.773grp.com/globalSearch/LM81CIMTX-3-NOPB/page-1", "LM81CIMTX-3-NOPB")</f>
        <v>LM81CIMTX-3-NOPB</v>
      </c>
      <c r="B5077" s="3" t="str">
        <f>HYPERLINK("https://www.773grp.com/manufacturer/national-semiconductor?pageNo=118", "National Semiconductor")</f>
        <v>National Semiconductor</v>
      </c>
      <c r="C5077" s="6">
        <v>39800</v>
      </c>
      <c r="D5077" s="7">
        <v>4.78</v>
      </c>
      <c r="E5077" t="s">
        <v>40</v>
      </c>
    </row>
    <row r="5078" spans="1:5" x14ac:dyDescent="0.25">
      <c r="A5078" t="str">
        <f>HYPERLINK("https://www.773grp.com/globalSearch/LMH6619MAX-NOPB/page-1", "LMH6619MAX-NOPB")</f>
        <v>LMH6619MAX-NOPB</v>
      </c>
      <c r="B5078" s="3" t="str">
        <f>HYPERLINK("https://www.773grp.com/manufacturer/national-semiconductor?pageNo=119", "National Semiconductor")</f>
        <v>National Semiconductor</v>
      </c>
      <c r="C5078" s="6">
        <v>7450</v>
      </c>
      <c r="D5078" s="7">
        <v>4.78</v>
      </c>
    </row>
    <row r="5079" spans="1:5" x14ac:dyDescent="0.25">
      <c r="A5079" t="str">
        <f>HYPERLINK("https://www.773grp.com/globalSearch/LMH6622MA-NOPB/page-1", "LMH6622MA-NOPB")</f>
        <v>LMH6622MA-NOPB</v>
      </c>
      <c r="B5079" s="3" t="str">
        <f>HYPERLINK("https://www.773grp.com/manufacturer/national-semiconductor?pageNo=120", "National Semiconductor")</f>
        <v>National Semiconductor</v>
      </c>
      <c r="C5079" s="6">
        <v>498</v>
      </c>
      <c r="D5079" s="7">
        <v>4.78</v>
      </c>
      <c r="E5079" t="s">
        <v>13</v>
      </c>
    </row>
    <row r="5080" spans="1:5" x14ac:dyDescent="0.25">
      <c r="A5080" t="str">
        <f>HYPERLINK("https://www.773grp.com/globalSearch/LMH6628MA-NOPB/page-1", "LMH6628MA-NOPB")</f>
        <v>LMH6628MA-NOPB</v>
      </c>
      <c r="B5080" s="3" t="str">
        <f>HYPERLINK("https://www.773grp.com/manufacturer/national-semiconductor?pageNo=121", "National Semiconductor")</f>
        <v>National Semiconductor</v>
      </c>
      <c r="C5080" s="6">
        <v>4546</v>
      </c>
      <c r="D5080" s="7">
        <v>4.78</v>
      </c>
      <c r="E5080" t="s">
        <v>13</v>
      </c>
    </row>
    <row r="5081" spans="1:5" x14ac:dyDescent="0.25">
      <c r="A5081" t="str">
        <f>HYPERLINK("https://www.773grp.com/globalSearch/LP38841MR/page-1", "LP38841MR")</f>
        <v>LP38841MR</v>
      </c>
      <c r="B5081" s="3" t="str">
        <f>HYPERLINK("https://www.773grp.com/manufacturer/national-semiconductor?pageNo=122", "National Semiconductor")</f>
        <v>National Semiconductor</v>
      </c>
      <c r="C5081" s="6">
        <v>176</v>
      </c>
      <c r="D5081" s="7">
        <v>4.78</v>
      </c>
    </row>
    <row r="5082" spans="1:5" x14ac:dyDescent="0.25">
      <c r="A5082" t="str">
        <f>HYPERLINK("https://www.773grp.com/globalSearch/LP3950SL-NOPB/page-1", "LP3950SL-NOPB")</f>
        <v>LP3950SL-NOPB</v>
      </c>
      <c r="B5082" s="3" t="str">
        <f>HYPERLINK("https://www.773grp.com/manufacturer/national-semiconductor?pageNo=123", "National Semiconductor")</f>
        <v>National Semiconductor</v>
      </c>
      <c r="C5082" s="6">
        <v>1926</v>
      </c>
      <c r="D5082" s="7">
        <v>4.78</v>
      </c>
    </row>
    <row r="5083" spans="1:5" x14ac:dyDescent="0.25">
      <c r="A5083" t="str">
        <f>HYPERLINK("https://www.773grp.com/globalSearch/MM74HC257J/page-1", "MM74HC257J")</f>
        <v>MM74HC257J</v>
      </c>
      <c r="B5083" s="3" t="str">
        <f>HYPERLINK("https://www.773grp.com/manufacturer/national-semiconductor?pageNo=124", "National Semiconductor")</f>
        <v>National Semiconductor</v>
      </c>
      <c r="C5083" s="6">
        <v>1307</v>
      </c>
      <c r="D5083" s="7">
        <v>4.78</v>
      </c>
      <c r="E5083" t="s">
        <v>20</v>
      </c>
    </row>
    <row r="5084" spans="1:5" x14ac:dyDescent="0.25">
      <c r="A5084" t="str">
        <f>HYPERLINK("https://www.773grp.com/globalSearch/OP07EP/page-1", "OP07EP")</f>
        <v>OP07EP</v>
      </c>
      <c r="B5084" s="3" t="str">
        <f>HYPERLINK("https://www.773grp.com/manufacturer/national-semiconductor?pageNo=125", "National Semiconductor")</f>
        <v>National Semiconductor</v>
      </c>
      <c r="C5084" s="6">
        <v>9659</v>
      </c>
      <c r="D5084" s="7">
        <v>4.78</v>
      </c>
      <c r="E5084" t="s">
        <v>13</v>
      </c>
    </row>
    <row r="5085" spans="1:5" x14ac:dyDescent="0.25">
      <c r="A5085" t="str">
        <f>HYPERLINK("https://www.773grp.com/globalSearch/ADC08351CIMTCX-NOPB/page-1", "ADC08351CIMTCX-NOPB")</f>
        <v>ADC08351CIMTCX-NOPB</v>
      </c>
      <c r="B5085" s="3" t="str">
        <f>HYPERLINK("https://www.773grp.com/manufacturer/national-semiconductor?pageNo=126", "National Semiconductor")</f>
        <v>National Semiconductor</v>
      </c>
      <c r="C5085" s="6">
        <v>149</v>
      </c>
      <c r="D5085" s="7">
        <v>4.78</v>
      </c>
      <c r="E5085" t="s">
        <v>39</v>
      </c>
    </row>
    <row r="5086" spans="1:5" x14ac:dyDescent="0.25">
      <c r="A5086" t="str">
        <f>HYPERLINK("https://www.773grp.com/globalSearch/ADC102S101CIMM-NOPB/page-1", "ADC102S101CIMM-NOPB")</f>
        <v>ADC102S101CIMM-NOPB</v>
      </c>
      <c r="B5086" s="3" t="str">
        <f>HYPERLINK("https://www.773grp.com/manufacturer/national-semiconductor?pageNo=127", "National Semiconductor")</f>
        <v>National Semiconductor</v>
      </c>
      <c r="C5086" s="6">
        <v>203</v>
      </c>
      <c r="D5086" s="7">
        <v>4.78</v>
      </c>
    </row>
    <row r="5087" spans="1:5" x14ac:dyDescent="0.25">
      <c r="A5087" t="str">
        <f>HYPERLINK("https://www.773grp.com/globalSearch/ADC121S655CIMM-NOPB/page-1", "ADC121S655CIMM-NOPB")</f>
        <v>ADC121S655CIMM-NOPB</v>
      </c>
      <c r="B5087" s="3" t="str">
        <f>HYPERLINK("https://www.773grp.com/manufacturer/national-semiconductor?pageNo=128", "National Semiconductor")</f>
        <v>National Semiconductor</v>
      </c>
      <c r="C5087" s="6">
        <v>24670</v>
      </c>
      <c r="D5087" s="7">
        <v>4.78</v>
      </c>
      <c r="E5087" t="s">
        <v>39</v>
      </c>
    </row>
    <row r="5088" spans="1:5" x14ac:dyDescent="0.25">
      <c r="A5088" t="str">
        <f>HYPERLINK("https://www.773grp.com/globalSearch/LM25117PMHX-NOPB/page-1", "LM25117PMHX-NOPB")</f>
        <v>LM25117PMHX-NOPB</v>
      </c>
      <c r="B5088" s="3" t="str">
        <f>HYPERLINK("https://www.773grp.com/manufacturer/national-semiconductor?pageNo=129", "National Semiconductor")</f>
        <v>National Semiconductor</v>
      </c>
      <c r="C5088" s="6">
        <v>4962</v>
      </c>
      <c r="D5088" s="7">
        <v>4.78</v>
      </c>
    </row>
    <row r="5089" spans="1:5" x14ac:dyDescent="0.25">
      <c r="A5089" t="str">
        <f>HYPERLINK("https://www.773grp.com/globalSearch/LM25117PSQ-NOPB/page-1", "LM25117PSQ-NOPB")</f>
        <v>LM25117PSQ-NOPB</v>
      </c>
      <c r="B5089" s="3" t="str">
        <f>HYPERLINK("https://www.773grp.com/manufacturer/national-semiconductor?pageNo=130", "National Semiconductor")</f>
        <v>National Semiconductor</v>
      </c>
      <c r="C5089" s="6">
        <v>2850</v>
      </c>
      <c r="D5089" s="7">
        <v>4.78</v>
      </c>
    </row>
    <row r="5090" spans="1:5" x14ac:dyDescent="0.25">
      <c r="A5090" t="str">
        <f>HYPERLINK("https://www.773grp.com/globalSearch/LM2578AM-NOPB/page-1", "LM2578AM-NOPB")</f>
        <v>LM2578AM-NOPB</v>
      </c>
      <c r="B5090" s="3" t="str">
        <f>HYPERLINK("https://www.773grp.com/manufacturer/national-semiconductor?pageNo=131", "National Semiconductor")</f>
        <v>National Semiconductor</v>
      </c>
      <c r="C5090" s="6">
        <v>374</v>
      </c>
      <c r="D5090" s="7">
        <v>4.78</v>
      </c>
      <c r="E5090" t="s">
        <v>7</v>
      </c>
    </row>
    <row r="5091" spans="1:5" x14ac:dyDescent="0.25">
      <c r="A5091" t="str">
        <f>HYPERLINK("https://www.773grp.com/globalSearch/LM2598T-12-NOPB/page-1", "LM2598T-12-NOPB")</f>
        <v>LM2598T-12-NOPB</v>
      </c>
      <c r="B5091" s="3" t="str">
        <f>HYPERLINK("https://www.773grp.com/manufacturer/national-semiconductor?pageNo=132", "National Semiconductor")</f>
        <v>National Semiconductor</v>
      </c>
      <c r="C5091" s="6">
        <v>250</v>
      </c>
      <c r="D5091" s="7">
        <v>4.78</v>
      </c>
    </row>
    <row r="5092" spans="1:5" x14ac:dyDescent="0.25">
      <c r="A5092" t="str">
        <f>HYPERLINK("https://www.773grp.com/globalSearch/LM2598T-3.3-NOPB/page-1", "LM2598T-3.3-NOPB")</f>
        <v>LM2598T-3.3-NOPB</v>
      </c>
      <c r="B5092" s="3" t="str">
        <f>HYPERLINK("https://www.773grp.com/manufacturer/national-semiconductor?pageNo=133", "National Semiconductor")</f>
        <v>National Semiconductor</v>
      </c>
      <c r="C5092" s="6">
        <v>1005</v>
      </c>
      <c r="D5092" s="7">
        <v>4.78</v>
      </c>
    </row>
    <row r="5093" spans="1:5" x14ac:dyDescent="0.25">
      <c r="A5093" t="str">
        <f>HYPERLINK("https://www.773grp.com/globalSearch/LM2598T-ADJ-NOPB/page-1", "LM2598T-ADJ-NOPB")</f>
        <v>LM2598T-ADJ-NOPB</v>
      </c>
      <c r="B5093" s="3" t="str">
        <f>HYPERLINK("https://www.773grp.com/manufacturer/national-semiconductor?pageNo=134", "National Semiconductor")</f>
        <v>National Semiconductor</v>
      </c>
      <c r="C5093" s="6">
        <v>250</v>
      </c>
      <c r="D5093" s="7">
        <v>4.78</v>
      </c>
    </row>
    <row r="5094" spans="1:5" x14ac:dyDescent="0.25">
      <c r="A5094" t="str">
        <f>HYPERLINK("https://www.773grp.com/globalSearch/LM2698MM-ADJ-NOPB/page-1", "LM2698MM-ADJ-NOPB")</f>
        <v>LM2698MM-ADJ-NOPB</v>
      </c>
      <c r="B5094" s="3" t="str">
        <f>HYPERLINK("https://www.773grp.com/manufacturer/national-semiconductor?pageNo=1", "National Semiconductor")</f>
        <v>National Semiconductor</v>
      </c>
      <c r="C5094" s="6">
        <v>1000</v>
      </c>
      <c r="D5094" s="7">
        <v>4.78</v>
      </c>
      <c r="E5094" t="s">
        <v>7</v>
      </c>
    </row>
    <row r="5095" spans="1:5" x14ac:dyDescent="0.25">
      <c r="A5095" t="str">
        <f>HYPERLINK("https://www.773grp.com/globalSearch/LM4030AMF-2.5-NOPB/page-1", "LM4030AMF-2.5-NOPB")</f>
        <v>LM4030AMF-2.5-NOPB</v>
      </c>
      <c r="B5095" s="3" t="str">
        <f>HYPERLINK("https://www.773grp.com/manufacturer/national-semiconductor?pageNo=2", "National Semiconductor")</f>
        <v>National Semiconductor</v>
      </c>
      <c r="C5095" s="6">
        <v>1862</v>
      </c>
      <c r="D5095" s="7">
        <v>4.78</v>
      </c>
      <c r="E5095" t="s">
        <v>17</v>
      </c>
    </row>
    <row r="5096" spans="1:5" x14ac:dyDescent="0.25">
      <c r="A5096" t="str">
        <f>HYPERLINK("https://www.773grp.com/globalSearch/LM4030AMF-4.096-NOPB/page-1", "LM4030AMF-4.096-NOPB")</f>
        <v>LM4030AMF-4.096-NOPB</v>
      </c>
      <c r="B5096" s="3" t="str">
        <f>HYPERLINK("https://www.773grp.com/manufacturer/national-semiconductor?pageNo=3", "National Semiconductor")</f>
        <v>National Semiconductor</v>
      </c>
      <c r="C5096" s="6">
        <v>6000</v>
      </c>
      <c r="D5096" s="7">
        <v>4.78</v>
      </c>
    </row>
    <row r="5097" spans="1:5" x14ac:dyDescent="0.25">
      <c r="A5097" t="str">
        <f>HYPERLINK("https://www.773grp.com/globalSearch/LM5035BMHX-NOPB/page-1", "LM5035BMHX-NOPB")</f>
        <v>LM5035BMHX-NOPB</v>
      </c>
      <c r="B5097" s="3" t="str">
        <f>HYPERLINK("https://www.773grp.com/manufacturer/national-semiconductor?pageNo=4", "National Semiconductor")</f>
        <v>National Semiconductor</v>
      </c>
      <c r="C5097" s="6">
        <v>5000</v>
      </c>
      <c r="D5097" s="7">
        <v>4.78</v>
      </c>
    </row>
    <row r="5098" spans="1:5" x14ac:dyDescent="0.25">
      <c r="A5098" t="str">
        <f>HYPERLINK("https://www.773grp.com/globalSearch/LM5035BSQ-NOPB/page-1", "LM5035BSQ-NOPB")</f>
        <v>LM5035BSQ-NOPB</v>
      </c>
      <c r="B5098" s="3" t="str">
        <f>HYPERLINK("https://www.773grp.com/manufacturer/national-semiconductor?pageNo=5", "National Semiconductor")</f>
        <v>National Semiconductor</v>
      </c>
      <c r="C5098" s="6">
        <v>950</v>
      </c>
      <c r="D5098" s="7">
        <v>4.78</v>
      </c>
    </row>
    <row r="5099" spans="1:5" x14ac:dyDescent="0.25">
      <c r="A5099" t="str">
        <f>HYPERLINK("https://www.773grp.com/globalSearch/LM5035SQ-NOPB/page-1", "LM5035SQ-NOPB")</f>
        <v>LM5035SQ-NOPB</v>
      </c>
      <c r="B5099" s="3" t="str">
        <f>HYPERLINK("https://www.773grp.com/manufacturer/national-semiconductor?pageNo=6", "National Semiconductor")</f>
        <v>National Semiconductor</v>
      </c>
      <c r="C5099" s="6">
        <v>3891</v>
      </c>
      <c r="D5099" s="7">
        <v>4.78</v>
      </c>
    </row>
    <row r="5100" spans="1:5" x14ac:dyDescent="0.25">
      <c r="A5100" t="str">
        <f>HYPERLINK("https://www.773grp.com/globalSearch/LM5072MHX-50-NOPB/page-1", "LM5072MHX-50-NOPB")</f>
        <v>LM5072MHX-50-NOPB</v>
      </c>
      <c r="B5100" s="3" t="str">
        <f>HYPERLINK("https://www.773grp.com/manufacturer/national-semiconductor?pageNo=7", "National Semiconductor")</f>
        <v>National Semiconductor</v>
      </c>
      <c r="C5100" s="6">
        <v>2500</v>
      </c>
      <c r="D5100" s="7">
        <v>4.78</v>
      </c>
    </row>
    <row r="5101" spans="1:5" x14ac:dyDescent="0.25">
      <c r="A5101" t="str">
        <f>HYPERLINK("https://www.773grp.com/globalSearch/LM5072MHX-80-NOPB/page-1", "LM5072MHX-80-NOPB")</f>
        <v>LM5072MHX-80-NOPB</v>
      </c>
      <c r="B5101" s="3" t="str">
        <f>HYPERLINK("https://www.773grp.com/manufacturer/national-semiconductor?pageNo=8", "National Semiconductor")</f>
        <v>National Semiconductor</v>
      </c>
      <c r="C5101" s="6">
        <v>1914</v>
      </c>
      <c r="D5101" s="7">
        <v>4.78</v>
      </c>
      <c r="E5101" t="s">
        <v>7</v>
      </c>
    </row>
    <row r="5102" spans="1:5" x14ac:dyDescent="0.25">
      <c r="A5102" t="str">
        <f>HYPERLINK("https://www.773grp.com/globalSearch/LM6588MA-NOPB/page-1", "LM6588MA-NOPB")</f>
        <v>LM6588MA-NOPB</v>
      </c>
      <c r="B5102" s="3" t="str">
        <f>HYPERLINK("https://www.773grp.com/manufacturer/national-semiconductor?pageNo=9", "National Semiconductor")</f>
        <v>National Semiconductor</v>
      </c>
      <c r="C5102" s="6">
        <v>857</v>
      </c>
      <c r="D5102" s="7">
        <v>4.78</v>
      </c>
      <c r="E5102" t="s">
        <v>13</v>
      </c>
    </row>
    <row r="5103" spans="1:5" x14ac:dyDescent="0.25">
      <c r="A5103" t="str">
        <f>HYPERLINK("https://www.773grp.com/globalSearch/LM6588MT-NOPB/page-1", "LM6588MT-NOPB")</f>
        <v>LM6588MT-NOPB</v>
      </c>
      <c r="B5103" s="3" t="str">
        <f>HYPERLINK("https://www.773grp.com/manufacturer/national-semiconductor?pageNo=10", "National Semiconductor")</f>
        <v>National Semiconductor</v>
      </c>
      <c r="C5103" s="6">
        <v>469</v>
      </c>
      <c r="D5103" s="7">
        <v>4.78</v>
      </c>
      <c r="E5103" t="s">
        <v>13</v>
      </c>
    </row>
    <row r="5104" spans="1:5" x14ac:dyDescent="0.25">
      <c r="A5104" t="str">
        <f>HYPERLINK("https://www.773grp.com/globalSearch/LME49740NA-NOPB/page-1", "LME49740NA-NOPB")</f>
        <v>LME49740NA-NOPB</v>
      </c>
      <c r="B5104" s="3" t="str">
        <f>HYPERLINK("https://www.773grp.com/manufacturer/national-semiconductor?pageNo=11", "National Semiconductor")</f>
        <v>National Semiconductor</v>
      </c>
      <c r="C5104" s="6">
        <v>1134</v>
      </c>
      <c r="D5104" s="7">
        <v>4.78</v>
      </c>
    </row>
    <row r="5105" spans="1:5" x14ac:dyDescent="0.25">
      <c r="A5105" t="str">
        <f>HYPERLINK("https://www.773grp.com/globalSearch/LMH6622MA-NOPB/page-1", "LMH6622MA-NOPB")</f>
        <v>LMH6622MA-NOPB</v>
      </c>
      <c r="B5105" s="3" t="str">
        <f>HYPERLINK("https://www.773grp.com/manufacturer/national-semiconductor?pageNo=12", "National Semiconductor")</f>
        <v>National Semiconductor</v>
      </c>
      <c r="C5105" s="6">
        <v>853</v>
      </c>
      <c r="D5105" s="7">
        <v>4.78</v>
      </c>
      <c r="E5105" t="s">
        <v>13</v>
      </c>
    </row>
    <row r="5106" spans="1:5" x14ac:dyDescent="0.25">
      <c r="A5106" t="str">
        <f>HYPERLINK("https://www.773grp.com/globalSearch/LMH6628MA-NOPB/page-1", "LMH6628MA-NOPB")</f>
        <v>LMH6628MA-NOPB</v>
      </c>
      <c r="B5106" s="3" t="str">
        <f>HYPERLINK("https://www.773grp.com/manufacturer/national-semiconductor?pageNo=13", "National Semiconductor")</f>
        <v>National Semiconductor</v>
      </c>
      <c r="C5106" s="6">
        <v>145</v>
      </c>
      <c r="D5106" s="7">
        <v>4.78</v>
      </c>
      <c r="E5106" t="s">
        <v>13</v>
      </c>
    </row>
    <row r="5107" spans="1:5" x14ac:dyDescent="0.25">
      <c r="A5107" t="str">
        <f>HYPERLINK("https://www.773grp.com/globalSearch/OPA130UA/page-1", "OPA130UA")</f>
        <v>OPA130UA</v>
      </c>
      <c r="B5107" s="3" t="str">
        <f>HYPERLINK("https://www.773grp.com/manufacturer/national-semiconductor?pageNo=14", "National Semiconductor")</f>
        <v>National Semiconductor</v>
      </c>
      <c r="C5107" s="6">
        <v>375</v>
      </c>
      <c r="D5107" s="7">
        <v>4.78</v>
      </c>
    </row>
    <row r="5108" spans="1:5" x14ac:dyDescent="0.25">
      <c r="A5108" t="str">
        <f>HYPERLINK("https://www.773grp.com/globalSearch/OPA130UA/page-1", "OPA130UA")</f>
        <v>OPA130UA</v>
      </c>
      <c r="B5108" s="3" t="str">
        <f>HYPERLINK("https://www.773grp.com/manufacturer/national-semiconductor?pageNo=15", "National Semiconductor")</f>
        <v>National Semiconductor</v>
      </c>
      <c r="C5108" s="6">
        <v>1275</v>
      </c>
      <c r="D5108" s="7">
        <v>4.78</v>
      </c>
    </row>
    <row r="5109" spans="1:5" x14ac:dyDescent="0.25">
      <c r="A5109" t="str">
        <f>HYPERLINK("https://www.773grp.com/globalSearch/TPS650061RUKR/page-1", "TPS650061RUKR")</f>
        <v>TPS650061RUKR</v>
      </c>
      <c r="B5109" s="3" t="str">
        <f>HYPERLINK("https://www.773grp.com/manufacturer/national-semiconductor?pageNo=16", "National Semiconductor")</f>
        <v>National Semiconductor</v>
      </c>
      <c r="C5109" s="6">
        <v>273</v>
      </c>
      <c r="D5109" s="7">
        <v>4.78</v>
      </c>
    </row>
    <row r="5110" spans="1:5" x14ac:dyDescent="0.25">
      <c r="A5110" t="str">
        <f>HYPERLINK("https://www.773grp.com/globalSearch/74S15PC/page-1", "74S15PC")</f>
        <v>74S15PC</v>
      </c>
      <c r="B5110" s="3" t="str">
        <f>HYPERLINK("https://www.773grp.com/manufacturer/national-semiconductor?pageNo=17", "National Semiconductor")</f>
        <v>National Semiconductor</v>
      </c>
      <c r="C5110" s="6">
        <v>18333</v>
      </c>
      <c r="D5110" s="7">
        <v>4.8099999999999996</v>
      </c>
    </row>
    <row r="5111" spans="1:5" x14ac:dyDescent="0.25">
      <c r="A5111" t="str">
        <f>HYPERLINK("https://www.773grp.com/globalSearch/ADC08060CIMTX-NOPB/page-1", "ADC08060CIMTX-NOPB")</f>
        <v>ADC08060CIMTX-NOPB</v>
      </c>
      <c r="B5111" s="3" t="str">
        <f>HYPERLINK("https://www.773grp.com/manufacturer/national-semiconductor?pageNo=18", "National Semiconductor")</f>
        <v>National Semiconductor</v>
      </c>
      <c r="C5111" s="6">
        <v>7528</v>
      </c>
      <c r="D5111" s="7">
        <v>4.8099999999999996</v>
      </c>
      <c r="E5111" t="s">
        <v>39</v>
      </c>
    </row>
    <row r="5112" spans="1:5" x14ac:dyDescent="0.25">
      <c r="A5112" t="str">
        <f>HYPERLINK("https://www.773grp.com/globalSearch/CLC423AJP/page-1", "CLC423AJP")</f>
        <v>CLC423AJP</v>
      </c>
      <c r="B5112" s="3" t="str">
        <f>HYPERLINK("https://www.773grp.com/manufacturer/national-semiconductor?pageNo=19", "National Semiconductor")</f>
        <v>National Semiconductor</v>
      </c>
      <c r="C5112" s="6">
        <v>1440</v>
      </c>
      <c r="D5112" s="7">
        <v>4.8099999999999996</v>
      </c>
      <c r="E5112" t="s">
        <v>13</v>
      </c>
    </row>
    <row r="5113" spans="1:5" x14ac:dyDescent="0.25">
      <c r="A5113" t="str">
        <f>HYPERLINK("https://www.773grp.com/globalSearch/DS90C031TM/page-1", "DS90C031TM")</f>
        <v>DS90C031TM</v>
      </c>
      <c r="B5113" s="3" t="str">
        <f>HYPERLINK("https://www.773grp.com/manufacturer/national-semiconductor?pageNo=20", "National Semiconductor")</f>
        <v>National Semiconductor</v>
      </c>
      <c r="C5113" s="6">
        <v>1146</v>
      </c>
      <c r="D5113" s="7">
        <v>4.8099999999999996</v>
      </c>
      <c r="E5113" t="s">
        <v>21</v>
      </c>
    </row>
    <row r="5114" spans="1:5" x14ac:dyDescent="0.25">
      <c r="A5114" t="str">
        <f>HYPERLINK("https://www.773grp.com/globalSearch/LM4510SD/page-1", "LM4510SD")</f>
        <v>LM4510SD</v>
      </c>
      <c r="B5114" s="3" t="str">
        <f>HYPERLINK("https://www.773grp.com/manufacturer/national-semiconductor?pageNo=21", "National Semiconductor")</f>
        <v>National Semiconductor</v>
      </c>
      <c r="C5114" s="6">
        <v>988</v>
      </c>
      <c r="D5114" s="7">
        <v>4.8099999999999996</v>
      </c>
      <c r="E5114" t="s">
        <v>7</v>
      </c>
    </row>
    <row r="5115" spans="1:5" x14ac:dyDescent="0.25">
      <c r="A5115" t="str">
        <f>HYPERLINK("https://www.773grp.com/globalSearch/LM4802BLQ/page-1", "LM4802BLQ")</f>
        <v>LM4802BLQ</v>
      </c>
      <c r="B5115" s="3" t="str">
        <f>HYPERLINK("https://www.773grp.com/manufacturer/national-semiconductor?pageNo=22", "National Semiconductor")</f>
        <v>National Semiconductor</v>
      </c>
      <c r="C5115" s="6">
        <v>86</v>
      </c>
      <c r="D5115" s="7">
        <v>4.8099999999999996</v>
      </c>
      <c r="E5115" t="s">
        <v>18</v>
      </c>
    </row>
    <row r="5116" spans="1:5" x14ac:dyDescent="0.25">
      <c r="A5116" t="str">
        <f>HYPERLINK("https://www.773grp.com/globalSearch/LM4839MT/page-1", "LM4839MT")</f>
        <v>LM4839MT</v>
      </c>
      <c r="B5116" s="3" t="str">
        <f>HYPERLINK("https://www.773grp.com/manufacturer/national-semiconductor?pageNo=23", "National Semiconductor")</f>
        <v>National Semiconductor</v>
      </c>
      <c r="C5116" s="6">
        <v>44</v>
      </c>
      <c r="D5116" s="7">
        <v>4.8099999999999996</v>
      </c>
      <c r="E5116" t="s">
        <v>41</v>
      </c>
    </row>
    <row r="5117" spans="1:5" x14ac:dyDescent="0.25">
      <c r="A5117" t="str">
        <f>HYPERLINK("https://www.773grp.com/globalSearch/LM4839MT-NOPB/page-1", "LM4839MT-NOPB")</f>
        <v>LM4839MT-NOPB</v>
      </c>
      <c r="B5117" s="3" t="str">
        <f>HYPERLINK("https://www.773grp.com/manufacturer/national-semiconductor?pageNo=24", "National Semiconductor")</f>
        <v>National Semiconductor</v>
      </c>
      <c r="C5117" s="6">
        <v>146</v>
      </c>
      <c r="D5117" s="7">
        <v>4.8099999999999996</v>
      </c>
      <c r="E5117" t="s">
        <v>41</v>
      </c>
    </row>
    <row r="5118" spans="1:5" x14ac:dyDescent="0.25">
      <c r="A5118" t="str">
        <f>HYPERLINK("https://www.773grp.com/globalSearch/LM76CHM-5/page-1", "LM76CHM-5")</f>
        <v>LM76CHM-5</v>
      </c>
      <c r="B5118" s="3" t="str">
        <f>HYPERLINK("https://www.773grp.com/manufacturer/national-semiconductor?pageNo=25", "National Semiconductor")</f>
        <v>National Semiconductor</v>
      </c>
      <c r="C5118" s="6">
        <v>239</v>
      </c>
      <c r="D5118" s="7">
        <v>4.8099999999999996</v>
      </c>
      <c r="E5118" t="s">
        <v>12</v>
      </c>
    </row>
    <row r="5119" spans="1:5" x14ac:dyDescent="0.25">
      <c r="A5119" t="str">
        <f>HYPERLINK("https://www.773grp.com/globalSearch/LMH6715MA/page-1", "LMH6715MA")</f>
        <v>LMH6715MA</v>
      </c>
      <c r="B5119" s="3" t="str">
        <f>HYPERLINK("https://www.773grp.com/manufacturer/national-semiconductor?pageNo=26", "National Semiconductor")</f>
        <v>National Semiconductor</v>
      </c>
      <c r="C5119" s="6">
        <v>187</v>
      </c>
      <c r="D5119" s="7">
        <v>4.8099999999999996</v>
      </c>
      <c r="E5119" t="s">
        <v>18</v>
      </c>
    </row>
    <row r="5120" spans="1:5" x14ac:dyDescent="0.25">
      <c r="A5120" t="str">
        <f>HYPERLINK("https://www.773grp.com/globalSearch/LP3961ES-2.5/page-1", "LP3961ES-2.5")</f>
        <v>LP3961ES-2.5</v>
      </c>
      <c r="B5120" s="3" t="str">
        <f>HYPERLINK("https://www.773grp.com/manufacturer/national-semiconductor?pageNo=27", "National Semiconductor")</f>
        <v>National Semiconductor</v>
      </c>
      <c r="C5120" s="6">
        <v>26</v>
      </c>
      <c r="D5120" s="7">
        <v>4.8099999999999996</v>
      </c>
      <c r="E5120" t="s">
        <v>19</v>
      </c>
    </row>
    <row r="5121" spans="1:5" x14ac:dyDescent="0.25">
      <c r="A5121" t="str">
        <f>HYPERLINK("https://www.773grp.com/globalSearch/ADC08060CIMTX-NOPB/page-1", "ADC08060CIMTX-NOPB")</f>
        <v>ADC08060CIMTX-NOPB</v>
      </c>
      <c r="B5121" s="3" t="str">
        <f>HYPERLINK("https://www.773grp.com/manufacturer/national-semiconductor?pageNo=28", "National Semiconductor")</f>
        <v>National Semiconductor</v>
      </c>
      <c r="C5121" s="6">
        <v>10151</v>
      </c>
      <c r="D5121" s="7">
        <v>4.8099999999999996</v>
      </c>
      <c r="E5121" t="s">
        <v>39</v>
      </c>
    </row>
    <row r="5122" spans="1:5" x14ac:dyDescent="0.25">
      <c r="A5122" t="str">
        <f>HYPERLINK("https://www.773grp.com/globalSearch/DS90C031BTM/page-1", "DS90C031BTM")</f>
        <v>DS90C031BTM</v>
      </c>
      <c r="B5122" s="3" t="str">
        <f>HYPERLINK("https://www.773grp.com/manufacturer/national-semiconductor?pageNo=29", "National Semiconductor")</f>
        <v>National Semiconductor</v>
      </c>
      <c r="C5122" s="6">
        <v>3216</v>
      </c>
      <c r="D5122" s="7">
        <v>4.8099999999999996</v>
      </c>
    </row>
    <row r="5123" spans="1:5" x14ac:dyDescent="0.25">
      <c r="A5123" t="str">
        <f>HYPERLINK("https://www.773grp.com/globalSearch/DS90C031TM/page-1", "DS90C031TM")</f>
        <v>DS90C031TM</v>
      </c>
      <c r="B5123" s="3" t="str">
        <f>HYPERLINK("https://www.773grp.com/manufacturer/national-semiconductor?pageNo=30", "National Semiconductor")</f>
        <v>National Semiconductor</v>
      </c>
      <c r="C5123" s="6">
        <v>300</v>
      </c>
      <c r="D5123" s="7">
        <v>4.8099999999999996</v>
      </c>
      <c r="E5123" t="s">
        <v>21</v>
      </c>
    </row>
    <row r="5124" spans="1:5" x14ac:dyDescent="0.25">
      <c r="A5124" t="str">
        <f>HYPERLINK("https://www.773grp.com/globalSearch/LM5113SDE-NOPB/page-1", "LM5113SDE-NOPB")</f>
        <v>LM5113SDE-NOPB</v>
      </c>
      <c r="B5124" s="3" t="str">
        <f>HYPERLINK("https://www.773grp.com/manufacturer/national-semiconductor?pageNo=31", "National Semiconductor")</f>
        <v>National Semiconductor</v>
      </c>
      <c r="C5124" s="6">
        <v>204</v>
      </c>
      <c r="D5124" s="7">
        <v>4.8099999999999996</v>
      </c>
    </row>
    <row r="5125" spans="1:5" x14ac:dyDescent="0.25">
      <c r="A5125" t="str">
        <f>HYPERLINK("https://www.773grp.com/globalSearch/LM5113SDE-NOPB/page-1", "LM5113SDE-NOPB")</f>
        <v>LM5113SDE-NOPB</v>
      </c>
      <c r="B5125" s="3" t="str">
        <f>HYPERLINK("https://www.773grp.com/manufacturer/national-semiconductor?pageNo=32", "National Semiconductor")</f>
        <v>National Semiconductor</v>
      </c>
      <c r="C5125" s="6">
        <v>16</v>
      </c>
      <c r="D5125" s="7">
        <v>4.8099999999999996</v>
      </c>
    </row>
    <row r="5126" spans="1:5" x14ac:dyDescent="0.25">
      <c r="A5126" t="str">
        <f>HYPERLINK("https://www.773grp.com/globalSearch/LMH6715MA/page-1", "LMH6715MA")</f>
        <v>LMH6715MA</v>
      </c>
      <c r="B5126" s="3" t="str">
        <f>HYPERLINK("https://www.773grp.com/manufacturer/national-semiconductor?pageNo=33", "National Semiconductor")</f>
        <v>National Semiconductor</v>
      </c>
      <c r="C5126" s="6">
        <v>44</v>
      </c>
      <c r="D5126" s="7">
        <v>4.8099999999999996</v>
      </c>
      <c r="E5126" t="s">
        <v>18</v>
      </c>
    </row>
    <row r="5127" spans="1:5" x14ac:dyDescent="0.25">
      <c r="A5127" t="str">
        <f>HYPERLINK("https://www.773grp.com/globalSearch/LP3961ES-2.5/page-1", "LP3961ES-2.5")</f>
        <v>LP3961ES-2.5</v>
      </c>
      <c r="B5127" s="3" t="str">
        <f>HYPERLINK("https://www.773grp.com/manufacturer/national-semiconductor?pageNo=34", "National Semiconductor")</f>
        <v>National Semiconductor</v>
      </c>
      <c r="C5127" s="6">
        <v>557</v>
      </c>
      <c r="D5127" s="7">
        <v>4.8099999999999996</v>
      </c>
      <c r="E5127" t="s">
        <v>19</v>
      </c>
    </row>
    <row r="5128" spans="1:5" x14ac:dyDescent="0.25">
      <c r="A5128" t="str">
        <f>HYPERLINK("https://www.773grp.com/globalSearch/LP3961ES-3.3/page-1", "LP3961ES-3.3")</f>
        <v>LP3961ES-3.3</v>
      </c>
      <c r="B5128" s="3" t="str">
        <f>HYPERLINK("https://www.773grp.com/manufacturer/national-semiconductor?pageNo=35", "National Semiconductor")</f>
        <v>National Semiconductor</v>
      </c>
      <c r="C5128" s="6">
        <v>315</v>
      </c>
      <c r="D5128" s="7">
        <v>4.8099999999999996</v>
      </c>
    </row>
    <row r="5129" spans="1:5" x14ac:dyDescent="0.25">
      <c r="A5129" t="str">
        <f>HYPERLINK("https://www.773grp.com/globalSearch/DM54LS155J-883/page-1", "DM54LS155J-883")</f>
        <v>DM54LS155J-883</v>
      </c>
      <c r="B5129" s="3" t="str">
        <f>HYPERLINK("https://www.773grp.com/manufacturer/national-semiconductor?pageNo=36", "National Semiconductor")</f>
        <v>National Semiconductor</v>
      </c>
      <c r="C5129" s="6">
        <v>625</v>
      </c>
      <c r="D5129" s="7">
        <v>4.84</v>
      </c>
      <c r="E5129" t="s">
        <v>36</v>
      </c>
    </row>
    <row r="5130" spans="1:5" x14ac:dyDescent="0.25">
      <c r="A5130" t="str">
        <f>HYPERLINK("https://www.773grp.com/globalSearch/DM7097J-883/page-1", "DM7097J-883")</f>
        <v>DM7097J-883</v>
      </c>
      <c r="B5130" s="3" t="str">
        <f>HYPERLINK("https://www.773grp.com/manufacturer/national-semiconductor?pageNo=37", "National Semiconductor")</f>
        <v>National Semiconductor</v>
      </c>
      <c r="C5130" s="6">
        <v>10</v>
      </c>
      <c r="D5130" s="7">
        <v>4.84</v>
      </c>
    </row>
    <row r="5131" spans="1:5" x14ac:dyDescent="0.25">
      <c r="A5131" t="str">
        <f>HYPERLINK("https://www.773grp.com/globalSearch/LM20323MH-NOPB/page-1", "LM20323MH-NOPB")</f>
        <v>LM20323MH-NOPB</v>
      </c>
      <c r="B5131" s="3" t="str">
        <f>HYPERLINK("https://www.773grp.com/manufacturer/national-semiconductor?pageNo=38", "National Semiconductor")</f>
        <v>National Semiconductor</v>
      </c>
      <c r="C5131" s="6">
        <v>453</v>
      </c>
      <c r="D5131" s="7">
        <v>4.84</v>
      </c>
      <c r="E5131" t="s">
        <v>7</v>
      </c>
    </row>
    <row r="5132" spans="1:5" x14ac:dyDescent="0.25">
      <c r="A5132" t="str">
        <f>HYPERLINK("https://www.773grp.com/globalSearch/LM5010MH-NOPB/page-1", "LM5010MH-NOPB")</f>
        <v>LM5010MH-NOPB</v>
      </c>
      <c r="B5132" s="3" t="str">
        <f>HYPERLINK("https://www.773grp.com/manufacturer/national-semiconductor?pageNo=39", "National Semiconductor")</f>
        <v>National Semiconductor</v>
      </c>
      <c r="C5132" s="6">
        <v>407</v>
      </c>
      <c r="D5132" s="7">
        <v>4.84</v>
      </c>
      <c r="E5132" t="s">
        <v>7</v>
      </c>
    </row>
    <row r="5133" spans="1:5" x14ac:dyDescent="0.25">
      <c r="A5133" t="str">
        <f>HYPERLINK("https://www.773grp.com/globalSearch/LPC662AIM/page-1", "LPC662AIM")</f>
        <v>LPC662AIM</v>
      </c>
      <c r="B5133" s="3" t="str">
        <f>HYPERLINK("https://www.773grp.com/manufacturer/national-semiconductor?pageNo=40", "National Semiconductor")</f>
        <v>National Semiconductor</v>
      </c>
      <c r="C5133" s="6">
        <v>335</v>
      </c>
      <c r="D5133" s="7">
        <v>4.84</v>
      </c>
      <c r="E5133" t="s">
        <v>13</v>
      </c>
    </row>
    <row r="5134" spans="1:5" x14ac:dyDescent="0.25">
      <c r="A5134" t="str">
        <f>HYPERLINK("https://www.773grp.com/globalSearch/LM20323MH-NOPB/page-1", "LM20323MH-NOPB")</f>
        <v>LM20323MH-NOPB</v>
      </c>
      <c r="B5134" s="3" t="str">
        <f>HYPERLINK("https://www.773grp.com/manufacturer/national-semiconductor?pageNo=41", "National Semiconductor")</f>
        <v>National Semiconductor</v>
      </c>
      <c r="C5134" s="6">
        <v>14974</v>
      </c>
      <c r="D5134" s="7">
        <v>4.84</v>
      </c>
      <c r="E5134" t="s">
        <v>7</v>
      </c>
    </row>
    <row r="5135" spans="1:5" x14ac:dyDescent="0.25">
      <c r="A5135" t="str">
        <f>HYPERLINK("https://www.773grp.com/globalSearch/LM5010MH-NOPB/page-1", "LM5010MH-NOPB")</f>
        <v>LM5010MH-NOPB</v>
      </c>
      <c r="B5135" s="3" t="str">
        <f>HYPERLINK("https://www.773grp.com/manufacturer/national-semiconductor?pageNo=42", "National Semiconductor")</f>
        <v>National Semiconductor</v>
      </c>
      <c r="C5135" s="6">
        <v>938</v>
      </c>
      <c r="D5135" s="7">
        <v>4.84</v>
      </c>
      <c r="E5135" t="s">
        <v>7</v>
      </c>
    </row>
    <row r="5136" spans="1:5" x14ac:dyDescent="0.25">
      <c r="A5136" t="str">
        <f>HYPERLINK("https://www.773grp.com/globalSearch/1N3595JTX/page-1", "1N3595JTX")</f>
        <v>1N3595JTX</v>
      </c>
      <c r="B5136" s="3" t="str">
        <f>HYPERLINK("https://www.773grp.com/manufacturer/national-semiconductor?pageNo=43", "National Semiconductor")</f>
        <v>National Semiconductor</v>
      </c>
      <c r="C5136" s="6">
        <v>5934</v>
      </c>
      <c r="D5136" s="7">
        <v>4.8600000000000003</v>
      </c>
    </row>
    <row r="5137" spans="1:5" x14ac:dyDescent="0.25">
      <c r="A5137" t="str">
        <f>HYPERLINK("https://www.773grp.com/globalSearch/ADC08161CIWM/page-1", "ADC08161CIWM")</f>
        <v>ADC08161CIWM</v>
      </c>
      <c r="B5137" s="3" t="str">
        <f>HYPERLINK("https://www.773grp.com/manufacturer/national-semiconductor?pageNo=44", "National Semiconductor")</f>
        <v>National Semiconductor</v>
      </c>
      <c r="C5137" s="6">
        <v>7558</v>
      </c>
      <c r="D5137" s="7">
        <v>4.8600000000000003</v>
      </c>
      <c r="E5137" t="s">
        <v>39</v>
      </c>
    </row>
    <row r="5138" spans="1:5" x14ac:dyDescent="0.25">
      <c r="A5138" t="str">
        <f>HYPERLINK("https://www.773grp.com/globalSearch/ADC0834CCWM/page-1", "ADC0834CCWM")</f>
        <v>ADC0834CCWM</v>
      </c>
      <c r="B5138" s="3" t="str">
        <f>HYPERLINK("https://www.773grp.com/manufacturer/national-semiconductor?pageNo=45", "National Semiconductor")</f>
        <v>National Semiconductor</v>
      </c>
      <c r="C5138" s="6">
        <v>234</v>
      </c>
      <c r="D5138" s="7">
        <v>4.8600000000000003</v>
      </c>
      <c r="E5138" t="s">
        <v>39</v>
      </c>
    </row>
    <row r="5139" spans="1:5" x14ac:dyDescent="0.25">
      <c r="A5139" t="str">
        <f>HYPERLINK("https://www.773grp.com/globalSearch/CLC405AJP/page-1", "CLC405AJP")</f>
        <v>CLC405AJP</v>
      </c>
      <c r="B5139" s="3" t="str">
        <f>HYPERLINK("https://www.773grp.com/manufacturer/national-semiconductor?pageNo=46", "National Semiconductor")</f>
        <v>National Semiconductor</v>
      </c>
      <c r="C5139" s="6">
        <v>1885</v>
      </c>
      <c r="D5139" s="7">
        <v>4.8600000000000003</v>
      </c>
      <c r="E5139" t="s">
        <v>13</v>
      </c>
    </row>
    <row r="5140" spans="1:5" x14ac:dyDescent="0.25">
      <c r="A5140" t="str">
        <f>HYPERLINK("https://www.773grp.com/globalSearch/DAC0832LCN/page-1", "DAC0832LCN")</f>
        <v>DAC0832LCN</v>
      </c>
      <c r="B5140" s="3" t="str">
        <f>HYPERLINK("https://www.773grp.com/manufacturer/national-semiconductor?pageNo=47", "National Semiconductor")</f>
        <v>National Semiconductor</v>
      </c>
      <c r="C5140" s="6">
        <v>5</v>
      </c>
      <c r="D5140" s="7">
        <v>4.8600000000000003</v>
      </c>
      <c r="E5140" t="s">
        <v>33</v>
      </c>
    </row>
    <row r="5141" spans="1:5" x14ac:dyDescent="0.25">
      <c r="A5141" t="str">
        <f>HYPERLINK("https://www.773grp.com/globalSearch/DS36C200M-NOPB/page-1", "DS36C200M-NOPB")</f>
        <v>DS36C200M-NOPB</v>
      </c>
      <c r="B5141" s="3" t="str">
        <f>HYPERLINK("https://www.773grp.com/manufacturer/national-semiconductor?pageNo=48", "National Semiconductor")</f>
        <v>National Semiconductor</v>
      </c>
      <c r="C5141" s="6">
        <v>282</v>
      </c>
      <c r="D5141" s="7">
        <v>4.8600000000000003</v>
      </c>
      <c r="E5141" t="s">
        <v>21</v>
      </c>
    </row>
    <row r="5142" spans="1:5" x14ac:dyDescent="0.25">
      <c r="A5142" t="str">
        <f>HYPERLINK("https://www.773grp.com/globalSearch/LM20124MHE-NOPB/page-1", "LM20124MHE-NOPB")</f>
        <v>LM20124MHE-NOPB</v>
      </c>
      <c r="B5142" s="3" t="str">
        <f>HYPERLINK("https://www.773grp.com/manufacturer/national-semiconductor?pageNo=49", "National Semiconductor")</f>
        <v>National Semiconductor</v>
      </c>
      <c r="C5142" s="6">
        <v>500</v>
      </c>
      <c r="D5142" s="7">
        <v>4.8600000000000003</v>
      </c>
    </row>
    <row r="5143" spans="1:5" x14ac:dyDescent="0.25">
      <c r="A5143" t="str">
        <f>HYPERLINK("https://www.773grp.com/globalSearch/LM20154MHE-NOPB/page-1", "LM20154MHE-NOPB")</f>
        <v>LM20154MHE-NOPB</v>
      </c>
      <c r="B5143" s="3" t="str">
        <f>HYPERLINK("https://www.773grp.com/manufacturer/national-semiconductor?pageNo=50", "National Semiconductor")</f>
        <v>National Semiconductor</v>
      </c>
      <c r="C5143" s="6">
        <v>250</v>
      </c>
      <c r="D5143" s="7">
        <v>4.8600000000000003</v>
      </c>
    </row>
    <row r="5144" spans="1:5" x14ac:dyDescent="0.25">
      <c r="A5144" t="str">
        <f>HYPERLINK("https://www.773grp.com/globalSearch/LM20242MHE-NOPB/page-1", "LM20242MHE-NOPB")</f>
        <v>LM20242MHE-NOPB</v>
      </c>
      <c r="B5144" s="3" t="str">
        <f>HYPERLINK("https://www.773grp.com/manufacturer/national-semiconductor?pageNo=51", "National Semiconductor")</f>
        <v>National Semiconductor</v>
      </c>
      <c r="C5144" s="6">
        <v>4080</v>
      </c>
      <c r="D5144" s="7">
        <v>4.8600000000000003</v>
      </c>
    </row>
    <row r="5145" spans="1:5" x14ac:dyDescent="0.25">
      <c r="A5145" t="str">
        <f>HYPERLINK("https://www.773grp.com/globalSearch/LM2451TB/page-1", "LM2451TB")</f>
        <v>LM2451TB</v>
      </c>
      <c r="B5145" s="3" t="str">
        <f>HYPERLINK("https://www.773grp.com/manufacturer/national-semiconductor?pageNo=52", "National Semiconductor")</f>
        <v>National Semiconductor</v>
      </c>
      <c r="C5145" s="6">
        <v>209</v>
      </c>
      <c r="D5145" s="7">
        <v>4.8600000000000003</v>
      </c>
      <c r="E5145" t="s">
        <v>18</v>
      </c>
    </row>
    <row r="5146" spans="1:5" x14ac:dyDescent="0.25">
      <c r="A5146" t="str">
        <f>HYPERLINK("https://www.773grp.com/globalSearch/LM2734XQMKE-NOPB/page-1", "LM2734XQMKE-NOPB")</f>
        <v>LM2734XQMKE-NOPB</v>
      </c>
      <c r="B5146" s="3" t="str">
        <f>HYPERLINK("https://www.773grp.com/manufacturer/national-semiconductor?pageNo=53", "National Semiconductor")</f>
        <v>National Semiconductor</v>
      </c>
      <c r="C5146" s="6">
        <v>1435</v>
      </c>
      <c r="D5146" s="7">
        <v>4.8600000000000003</v>
      </c>
    </row>
    <row r="5147" spans="1:5" x14ac:dyDescent="0.25">
      <c r="A5147" t="str">
        <f>HYPERLINK("https://www.773grp.com/globalSearch/LM3215TL-NOPB/page-1", "LM3215TL-NOPB")</f>
        <v>LM3215TL-NOPB</v>
      </c>
      <c r="B5147" s="3" t="str">
        <f>HYPERLINK("https://www.773grp.com/manufacturer/national-semiconductor?pageNo=54", "National Semiconductor")</f>
        <v>National Semiconductor</v>
      </c>
      <c r="C5147" s="6">
        <v>463</v>
      </c>
      <c r="D5147" s="7">
        <v>4.8600000000000003</v>
      </c>
    </row>
    <row r="5148" spans="1:5" x14ac:dyDescent="0.25">
      <c r="A5148" t="str">
        <f>HYPERLINK("https://www.773grp.com/globalSearch/LMC6953CM-NOPB/page-1", "LMC6953CM-NOPB")</f>
        <v>LMC6953CM-NOPB</v>
      </c>
      <c r="B5148" s="3" t="str">
        <f>HYPERLINK("https://www.773grp.com/manufacturer/national-semiconductor?pageNo=55", "National Semiconductor")</f>
        <v>National Semiconductor</v>
      </c>
      <c r="C5148" s="6">
        <v>193</v>
      </c>
      <c r="D5148" s="7">
        <v>4.8600000000000003</v>
      </c>
      <c r="E5148" t="s">
        <v>30</v>
      </c>
    </row>
    <row r="5149" spans="1:5" x14ac:dyDescent="0.25">
      <c r="A5149" t="str">
        <f>HYPERLINK("https://www.773grp.com/globalSearch/LMR24210TL-NOPB/page-1", "LMR24210TL-NOPB")</f>
        <v>LMR24210TL-NOPB</v>
      </c>
      <c r="B5149" s="3" t="str">
        <f>HYPERLINK("https://www.773grp.com/manufacturer/national-semiconductor?pageNo=56", "National Semiconductor")</f>
        <v>National Semiconductor</v>
      </c>
      <c r="C5149" s="6">
        <v>250</v>
      </c>
      <c r="D5149" s="7">
        <v>4.8600000000000003</v>
      </c>
    </row>
    <row r="5150" spans="1:5" x14ac:dyDescent="0.25">
      <c r="A5150" t="str">
        <f>HYPERLINK("https://www.773grp.com/globalSearch/LMX2336USLEX/page-1", "LMX2336USLEX")</f>
        <v>LMX2336USLEX</v>
      </c>
      <c r="B5150" s="3" t="str">
        <f>HYPERLINK("https://www.773grp.com/manufacturer/national-semiconductor?pageNo=57", "National Semiconductor")</f>
        <v>National Semiconductor</v>
      </c>
      <c r="C5150" s="6">
        <v>22500</v>
      </c>
      <c r="D5150" s="7">
        <v>4.8600000000000003</v>
      </c>
      <c r="E5150" t="s">
        <v>38</v>
      </c>
    </row>
    <row r="5151" spans="1:5" x14ac:dyDescent="0.25">
      <c r="A5151" t="str">
        <f>HYPERLINK("https://www.773grp.com/globalSearch/LP2954AISX-NOPB/page-1", "LP2954AISX-NOPB")</f>
        <v>LP2954AISX-NOPB</v>
      </c>
      <c r="B5151" s="3" t="str">
        <f>HYPERLINK("https://www.773grp.com/manufacturer/national-semiconductor?pageNo=58", "National Semiconductor")</f>
        <v>National Semiconductor</v>
      </c>
      <c r="C5151" s="6">
        <v>285</v>
      </c>
      <c r="D5151" s="7">
        <v>4.8600000000000003</v>
      </c>
      <c r="E5151" t="s">
        <v>19</v>
      </c>
    </row>
    <row r="5152" spans="1:5" x14ac:dyDescent="0.25">
      <c r="A5152" t="str">
        <f>HYPERLINK("https://www.773grp.com/globalSearch/ADC0834CCWM/page-1", "ADC0834CCWM")</f>
        <v>ADC0834CCWM</v>
      </c>
      <c r="B5152" s="3" t="str">
        <f>HYPERLINK("https://www.773grp.com/manufacturer/national-semiconductor?pageNo=59", "National Semiconductor")</f>
        <v>National Semiconductor</v>
      </c>
      <c r="C5152" s="6">
        <v>580</v>
      </c>
      <c r="D5152" s="7">
        <v>4.8600000000000003</v>
      </c>
      <c r="E5152" t="s">
        <v>39</v>
      </c>
    </row>
    <row r="5153" spans="1:5" x14ac:dyDescent="0.25">
      <c r="A5153" t="str">
        <f>HYPERLINK("https://www.773grp.com/globalSearch/ADC088S022CIMT-NOPB/page-1", "ADC088S022CIMT-NOPB")</f>
        <v>ADC088S022CIMT-NOPB</v>
      </c>
      <c r="B5153" s="3" t="str">
        <f>HYPERLINK("https://www.773grp.com/manufacturer/national-semiconductor?pageNo=60", "National Semiconductor")</f>
        <v>National Semiconductor</v>
      </c>
      <c r="C5153" s="6">
        <v>240</v>
      </c>
      <c r="D5153" s="7">
        <v>4.8600000000000003</v>
      </c>
    </row>
    <row r="5154" spans="1:5" x14ac:dyDescent="0.25">
      <c r="A5154" t="str">
        <f>HYPERLINK("https://www.773grp.com/globalSearch/DS36C200M-NOPB/page-1", "DS36C200M-NOPB")</f>
        <v>DS36C200M-NOPB</v>
      </c>
      <c r="B5154" s="3" t="str">
        <f>HYPERLINK("https://www.773grp.com/manufacturer/national-semiconductor?pageNo=61", "National Semiconductor")</f>
        <v>National Semiconductor</v>
      </c>
      <c r="C5154" s="6">
        <v>1265</v>
      </c>
      <c r="D5154" s="7">
        <v>4.8600000000000003</v>
      </c>
      <c r="E5154" t="s">
        <v>21</v>
      </c>
    </row>
    <row r="5155" spans="1:5" x14ac:dyDescent="0.25">
      <c r="A5155" t="str">
        <f>HYPERLINK("https://www.773grp.com/globalSearch/LM20124MHE-NOPB/page-1", "LM20124MHE-NOPB")</f>
        <v>LM20124MHE-NOPB</v>
      </c>
      <c r="B5155" s="3" t="str">
        <f>HYPERLINK("https://www.773grp.com/manufacturer/national-semiconductor?pageNo=62", "National Semiconductor")</f>
        <v>National Semiconductor</v>
      </c>
      <c r="C5155" s="6">
        <v>200</v>
      </c>
      <c r="D5155" s="7">
        <v>4.8600000000000003</v>
      </c>
    </row>
    <row r="5156" spans="1:5" x14ac:dyDescent="0.25">
      <c r="A5156" t="str">
        <f>HYPERLINK("https://www.773grp.com/globalSearch/LM20134MHE-NOPB/page-1", "LM20134MHE-NOPB")</f>
        <v>LM20134MHE-NOPB</v>
      </c>
      <c r="B5156" s="3" t="str">
        <f>HYPERLINK("https://www.773grp.com/manufacturer/national-semiconductor?pageNo=63", "National Semiconductor")</f>
        <v>National Semiconductor</v>
      </c>
      <c r="C5156" s="6">
        <v>124</v>
      </c>
      <c r="D5156" s="7">
        <v>4.8600000000000003</v>
      </c>
    </row>
    <row r="5157" spans="1:5" x14ac:dyDescent="0.25">
      <c r="A5157" t="str">
        <f>HYPERLINK("https://www.773grp.com/globalSearch/LM25056PSQE-NOPB/page-1", "LM25056PSQE-NOPB")</f>
        <v>LM25056PSQE-NOPB</v>
      </c>
      <c r="B5157" s="3" t="str">
        <f>HYPERLINK("https://www.773grp.com/manufacturer/national-semiconductor?pageNo=64", "National Semiconductor")</f>
        <v>National Semiconductor</v>
      </c>
      <c r="C5157" s="6">
        <v>494</v>
      </c>
      <c r="D5157" s="7">
        <v>4.8600000000000003</v>
      </c>
    </row>
    <row r="5158" spans="1:5" x14ac:dyDescent="0.25">
      <c r="A5158" t="str">
        <f>HYPERLINK("https://www.773grp.com/globalSearch/LM2734XQMKE-NOPB/page-1", "LM2734XQMKE-NOPB")</f>
        <v>LM2734XQMKE-NOPB</v>
      </c>
      <c r="B5158" s="3" t="str">
        <f>HYPERLINK("https://www.773grp.com/manufacturer/national-semiconductor?pageNo=65", "National Semiconductor")</f>
        <v>National Semiconductor</v>
      </c>
      <c r="C5158" s="6">
        <v>238</v>
      </c>
      <c r="D5158" s="7">
        <v>4.8600000000000003</v>
      </c>
    </row>
    <row r="5159" spans="1:5" x14ac:dyDescent="0.25">
      <c r="A5159" t="str">
        <f>HYPERLINK("https://www.773grp.com/globalSearch/LM3215TL-NOPB/page-1", "LM3215TL-NOPB")</f>
        <v>LM3215TL-NOPB</v>
      </c>
      <c r="B5159" s="3" t="str">
        <f>HYPERLINK("https://www.773grp.com/manufacturer/national-semiconductor?pageNo=66", "National Semiconductor")</f>
        <v>National Semiconductor</v>
      </c>
      <c r="C5159" s="6">
        <v>1250</v>
      </c>
      <c r="D5159" s="7">
        <v>4.8600000000000003</v>
      </c>
    </row>
    <row r="5160" spans="1:5" x14ac:dyDescent="0.25">
      <c r="A5160" t="str">
        <f>HYPERLINK("https://www.773grp.com/globalSearch/LM7171BIM/page-1", "LM7171BIM")</f>
        <v>LM7171BIM</v>
      </c>
      <c r="B5160" s="3" t="str">
        <f>HYPERLINK("https://www.773grp.com/manufacturer/national-semiconductor?pageNo=67", "National Semiconductor")</f>
        <v>National Semiconductor</v>
      </c>
      <c r="C5160" s="6">
        <v>95</v>
      </c>
      <c r="D5160" s="7">
        <v>4.8600000000000003</v>
      </c>
    </row>
    <row r="5161" spans="1:5" x14ac:dyDescent="0.25">
      <c r="A5161" t="str">
        <f>HYPERLINK("https://www.773grp.com/globalSearch/LM8502TME-NOPB/page-1", "LM8502TME-NOPB")</f>
        <v>LM8502TME-NOPB</v>
      </c>
      <c r="B5161" s="3" t="str">
        <f>HYPERLINK("https://www.773grp.com/manufacturer/national-semiconductor?pageNo=68", "National Semiconductor")</f>
        <v>National Semiconductor</v>
      </c>
      <c r="C5161" s="6">
        <v>250</v>
      </c>
      <c r="D5161" s="7">
        <v>4.8600000000000003</v>
      </c>
    </row>
    <row r="5162" spans="1:5" x14ac:dyDescent="0.25">
      <c r="A5162" t="str">
        <f>HYPERLINK("https://www.773grp.com/globalSearch/LMC6082AIN-NOPB/page-1", "LMC6082AIN-NOPB")</f>
        <v>LMC6082AIN-NOPB</v>
      </c>
      <c r="B5162" s="3" t="str">
        <f>HYPERLINK("https://www.773grp.com/manufacturer/national-semiconductor?pageNo=69", "National Semiconductor")</f>
        <v>National Semiconductor</v>
      </c>
      <c r="C5162" s="6">
        <v>50</v>
      </c>
      <c r="D5162" s="7">
        <v>4.8600000000000003</v>
      </c>
    </row>
    <row r="5163" spans="1:5" x14ac:dyDescent="0.25">
      <c r="A5163" t="str">
        <f>HYPERLINK("https://www.773grp.com/globalSearch/LMC6953CM-NOPB/page-1", "LMC6953CM-NOPB")</f>
        <v>LMC6953CM-NOPB</v>
      </c>
      <c r="B5163" s="3" t="str">
        <f>HYPERLINK("https://www.773grp.com/manufacturer/national-semiconductor?pageNo=70", "National Semiconductor")</f>
        <v>National Semiconductor</v>
      </c>
      <c r="C5163" s="6">
        <v>468</v>
      </c>
      <c r="D5163" s="7">
        <v>4.8600000000000003</v>
      </c>
      <c r="E5163" t="s">
        <v>30</v>
      </c>
    </row>
    <row r="5164" spans="1:5" x14ac:dyDescent="0.25">
      <c r="A5164" t="str">
        <f>HYPERLINK("https://www.773grp.com/globalSearch/LMR24210TL-NOPB/page-1", "LMR24210TL-NOPB")</f>
        <v>LMR24210TL-NOPB</v>
      </c>
      <c r="B5164" s="3" t="str">
        <f>HYPERLINK("https://www.773grp.com/manufacturer/national-semiconductor?pageNo=71", "National Semiconductor")</f>
        <v>National Semiconductor</v>
      </c>
      <c r="C5164" s="6">
        <v>2750</v>
      </c>
      <c r="D5164" s="7">
        <v>4.8600000000000003</v>
      </c>
    </row>
    <row r="5165" spans="1:5" x14ac:dyDescent="0.25">
      <c r="A5165" t="str">
        <f>HYPERLINK("https://www.773grp.com/globalSearch/LP2954AIT-NOPB/page-1", "LP2954AIT-NOPB")</f>
        <v>LP2954AIT-NOPB</v>
      </c>
      <c r="B5165" s="3" t="str">
        <f>HYPERLINK("https://www.773grp.com/manufacturer/national-semiconductor?pageNo=72", "National Semiconductor")</f>
        <v>National Semiconductor</v>
      </c>
      <c r="C5165" s="6">
        <v>240</v>
      </c>
      <c r="D5165" s="7">
        <v>4.8600000000000003</v>
      </c>
    </row>
    <row r="5166" spans="1:5" x14ac:dyDescent="0.25">
      <c r="A5166" t="str">
        <f>HYPERLINK("https://www.773grp.com/globalSearch/LP3958TL-NOPB/page-1", "LP3958TL-NOPB")</f>
        <v>LP3958TL-NOPB</v>
      </c>
      <c r="B5166" s="3" t="str">
        <f>HYPERLINK("https://www.773grp.com/manufacturer/national-semiconductor?pageNo=73", "National Semiconductor")</f>
        <v>National Semiconductor</v>
      </c>
      <c r="C5166" s="6">
        <v>718</v>
      </c>
      <c r="D5166" s="7">
        <v>4.8600000000000003</v>
      </c>
    </row>
    <row r="5167" spans="1:5" x14ac:dyDescent="0.25">
      <c r="A5167" t="str">
        <f>HYPERLINK("https://www.773grp.com/globalSearch/54F244DM/page-1", "54F244DM")</f>
        <v>54F244DM</v>
      </c>
      <c r="B5167" s="3" t="str">
        <f>HYPERLINK("https://www.773grp.com/manufacturer/national-semiconductor?pageNo=74", "National Semiconductor")</f>
        <v>National Semiconductor</v>
      </c>
      <c r="C5167" s="6">
        <v>3501</v>
      </c>
      <c r="D5167" s="7">
        <v>4.9000000000000004</v>
      </c>
      <c r="E5167" t="s">
        <v>14</v>
      </c>
    </row>
    <row r="5168" spans="1:5" x14ac:dyDescent="0.25">
      <c r="A5168" t="str">
        <f>HYPERLINK("https://www.773grp.com/globalSearch/ADC1173CIMTC-NOPB/page-1", "ADC1173CIMTC-NOPB")</f>
        <v>ADC1173CIMTC-NOPB</v>
      </c>
      <c r="B5168" s="3" t="str">
        <f>HYPERLINK("https://www.773grp.com/manufacturer/national-semiconductor?pageNo=75", "National Semiconductor")</f>
        <v>National Semiconductor</v>
      </c>
      <c r="C5168" s="6">
        <v>868</v>
      </c>
      <c r="D5168" s="7">
        <v>4.9000000000000004</v>
      </c>
      <c r="E5168" t="s">
        <v>39</v>
      </c>
    </row>
    <row r="5169" spans="1:5" x14ac:dyDescent="0.25">
      <c r="A5169" t="str">
        <f>HYPERLINK("https://www.773grp.com/globalSearch/LM1881M/page-1", "LM1881M")</f>
        <v>LM1881M</v>
      </c>
      <c r="B5169" s="3" t="str">
        <f>HYPERLINK("https://www.773grp.com/manufacturer/national-semiconductor?pageNo=76", "National Semiconductor")</f>
        <v>National Semiconductor</v>
      </c>
      <c r="C5169" s="6">
        <v>1169</v>
      </c>
      <c r="D5169" s="7">
        <v>4.9000000000000004</v>
      </c>
      <c r="E5169" t="s">
        <v>15</v>
      </c>
    </row>
    <row r="5170" spans="1:5" x14ac:dyDescent="0.25">
      <c r="A5170" t="str">
        <f>HYPERLINK("https://www.773grp.com/globalSearch/LM2574HVM-12-NOPB/page-1", "LM2574HVM-12-NOPB")</f>
        <v>LM2574HVM-12-NOPB</v>
      </c>
      <c r="B5170" s="3" t="str">
        <f>HYPERLINK("https://www.773grp.com/manufacturer/national-semiconductor?pageNo=77", "National Semiconductor")</f>
        <v>National Semiconductor</v>
      </c>
      <c r="C5170" s="6">
        <v>457</v>
      </c>
      <c r="D5170" s="7">
        <v>4.9000000000000004</v>
      </c>
      <c r="E5170" t="s">
        <v>7</v>
      </c>
    </row>
    <row r="5171" spans="1:5" x14ac:dyDescent="0.25">
      <c r="A5171" t="str">
        <f>HYPERLINK("https://www.773grp.com/globalSearch/LM2574HVM-5.0-NOPB/page-1", "LM2574HVM-5.0-NOPB")</f>
        <v>LM2574HVM-5.0-NOPB</v>
      </c>
      <c r="B5171" s="3" t="str">
        <f>HYPERLINK("https://www.773grp.com/manufacturer/national-semiconductor?pageNo=78", "National Semiconductor")</f>
        <v>National Semiconductor</v>
      </c>
      <c r="C5171" s="6">
        <v>400</v>
      </c>
      <c r="D5171" s="7">
        <v>4.9000000000000004</v>
      </c>
      <c r="E5171" t="s">
        <v>7</v>
      </c>
    </row>
    <row r="5172" spans="1:5" x14ac:dyDescent="0.25">
      <c r="A5172" t="str">
        <f>HYPERLINK("https://www.773grp.com/globalSearch/LM2574HVM-ADJ-NOPB/page-1", "LM2574HVM-ADJ-NOPB")</f>
        <v>LM2574HVM-ADJ-NOPB</v>
      </c>
      <c r="B5172" s="3" t="str">
        <f>HYPERLINK("https://www.773grp.com/manufacturer/national-semiconductor?pageNo=79", "National Semiconductor")</f>
        <v>National Semiconductor</v>
      </c>
      <c r="C5172" s="6">
        <v>3937</v>
      </c>
      <c r="D5172" s="7">
        <v>4.9000000000000004</v>
      </c>
      <c r="E5172" t="s">
        <v>7</v>
      </c>
    </row>
    <row r="5173" spans="1:5" x14ac:dyDescent="0.25">
      <c r="A5173" t="str">
        <f>HYPERLINK("https://www.773grp.com/globalSearch/LM49153TME-NOPB/page-1", "LM49153TME-NOPB")</f>
        <v>LM49153TME-NOPB</v>
      </c>
      <c r="B5173" s="3" t="str">
        <f>HYPERLINK("https://www.773grp.com/manufacturer/national-semiconductor?pageNo=80", "National Semiconductor")</f>
        <v>National Semiconductor</v>
      </c>
      <c r="C5173" s="6">
        <v>250</v>
      </c>
      <c r="D5173" s="7">
        <v>4.9000000000000004</v>
      </c>
    </row>
    <row r="5174" spans="1:5" x14ac:dyDescent="0.25">
      <c r="A5174" t="str">
        <f>HYPERLINK("https://www.773grp.com/globalSearch/LM5034MTC-NOPB/page-1", "LM5034MTC-NOPB")</f>
        <v>LM5034MTC-NOPB</v>
      </c>
      <c r="B5174" s="3" t="str">
        <f>HYPERLINK("https://www.773grp.com/manufacturer/national-semiconductor?pageNo=81", "National Semiconductor")</f>
        <v>National Semiconductor</v>
      </c>
      <c r="C5174" s="6">
        <v>219</v>
      </c>
      <c r="D5174" s="7">
        <v>4.9000000000000004</v>
      </c>
      <c r="E5174" t="s">
        <v>7</v>
      </c>
    </row>
    <row r="5175" spans="1:5" x14ac:dyDescent="0.25">
      <c r="A5175" t="str">
        <f>HYPERLINK("https://www.773grp.com/globalSearch/LM5115MTC-NOPB/page-1", "LM5115MTC-NOPB")</f>
        <v>LM5115MTC-NOPB</v>
      </c>
      <c r="B5175" s="3" t="str">
        <f>HYPERLINK("https://www.773grp.com/manufacturer/national-semiconductor?pageNo=82", "National Semiconductor")</f>
        <v>National Semiconductor</v>
      </c>
      <c r="C5175" s="6">
        <v>531</v>
      </c>
      <c r="D5175" s="7">
        <v>4.9000000000000004</v>
      </c>
      <c r="E5175" t="s">
        <v>7</v>
      </c>
    </row>
    <row r="5176" spans="1:5" x14ac:dyDescent="0.25">
      <c r="A5176" t="str">
        <f>HYPERLINK("https://www.773grp.com/globalSearch/LME49713MA-NOPB/page-1", "LME49713MA-NOPB")</f>
        <v>LME49713MA-NOPB</v>
      </c>
      <c r="B5176" s="3" t="str">
        <f>HYPERLINK("https://www.773grp.com/manufacturer/national-semiconductor?pageNo=83", "National Semiconductor")</f>
        <v>National Semiconductor</v>
      </c>
      <c r="C5176" s="6">
        <v>60</v>
      </c>
      <c r="D5176" s="7">
        <v>4.9000000000000004</v>
      </c>
    </row>
    <row r="5177" spans="1:5" x14ac:dyDescent="0.25">
      <c r="A5177" t="str">
        <f>HYPERLINK("https://www.773grp.com/globalSearch/LMH6702MA-NOPB/page-1", "LMH6702MA-NOPB")</f>
        <v>LMH6702MA-NOPB</v>
      </c>
      <c r="B5177" s="3" t="str">
        <f>HYPERLINK("https://www.773grp.com/manufacturer/national-semiconductor?pageNo=84", "National Semiconductor")</f>
        <v>National Semiconductor</v>
      </c>
      <c r="C5177" s="6">
        <v>1574</v>
      </c>
      <c r="D5177" s="7">
        <v>4.9000000000000004</v>
      </c>
      <c r="E5177" t="s">
        <v>18</v>
      </c>
    </row>
    <row r="5178" spans="1:5" x14ac:dyDescent="0.25">
      <c r="A5178" t="str">
        <f>HYPERLINK("https://www.773grp.com/globalSearch/LMP7708MA-NOPB/page-1", "LMP7708MA-NOPB")</f>
        <v>LMP7708MA-NOPB</v>
      </c>
      <c r="B5178" s="3" t="str">
        <f>HYPERLINK("https://www.773grp.com/manufacturer/national-semiconductor?pageNo=85", "National Semiconductor")</f>
        <v>National Semiconductor</v>
      </c>
      <c r="C5178" s="6">
        <v>9666</v>
      </c>
      <c r="D5178" s="7">
        <v>4.9000000000000004</v>
      </c>
    </row>
    <row r="5179" spans="1:5" x14ac:dyDescent="0.25">
      <c r="A5179" t="str">
        <f>HYPERLINK("https://www.773grp.com/globalSearch/LP3892ES-1.2-NOPB/page-1", "LP3892ES-1.2-NOPB")</f>
        <v>LP3892ES-1.2-NOPB</v>
      </c>
      <c r="B5179" s="3" t="str">
        <f>HYPERLINK("https://www.773grp.com/manufacturer/national-semiconductor?pageNo=86", "National Semiconductor")</f>
        <v>National Semiconductor</v>
      </c>
      <c r="C5179" s="6">
        <v>879</v>
      </c>
      <c r="D5179" s="7">
        <v>4.9000000000000004</v>
      </c>
      <c r="E5179" t="s">
        <v>19</v>
      </c>
    </row>
    <row r="5180" spans="1:5" x14ac:dyDescent="0.25">
      <c r="A5180" t="str">
        <f>HYPERLINK("https://www.773grp.com/globalSearch/LP3892ES-1.5-NOPB/page-1", "LP3892ES-1.5-NOPB")</f>
        <v>LP3892ES-1.5-NOPB</v>
      </c>
      <c r="B5180" s="3" t="str">
        <f>HYPERLINK("https://www.773grp.com/manufacturer/national-semiconductor?pageNo=87", "National Semiconductor")</f>
        <v>National Semiconductor</v>
      </c>
      <c r="C5180" s="6">
        <v>870</v>
      </c>
      <c r="D5180" s="7">
        <v>4.9000000000000004</v>
      </c>
      <c r="E5180" t="s">
        <v>19</v>
      </c>
    </row>
    <row r="5181" spans="1:5" x14ac:dyDescent="0.25">
      <c r="A5181" t="str">
        <f>HYPERLINK("https://www.773grp.com/globalSearch/ADC1173CIMTC-NOPB/page-1", "ADC1173CIMTC-NOPB")</f>
        <v>ADC1173CIMTC-NOPB</v>
      </c>
      <c r="B5181" s="3" t="str">
        <f>HYPERLINK("https://www.773grp.com/manufacturer/national-semiconductor?pageNo=88", "National Semiconductor")</f>
        <v>National Semiconductor</v>
      </c>
      <c r="C5181" s="6">
        <v>401</v>
      </c>
      <c r="D5181" s="7">
        <v>4.9000000000000004</v>
      </c>
      <c r="E5181" t="s">
        <v>39</v>
      </c>
    </row>
    <row r="5182" spans="1:5" x14ac:dyDescent="0.25">
      <c r="A5182" t="str">
        <f>HYPERLINK("https://www.773grp.com/globalSearch/DS91D180TMA-NOPB/page-1", "DS91D180TMA-NOPB")</f>
        <v>DS91D180TMA-NOPB</v>
      </c>
      <c r="B5182" s="3" t="str">
        <f>HYPERLINK("https://www.773grp.com/manufacturer/national-semiconductor?pageNo=89", "National Semiconductor")</f>
        <v>National Semiconductor</v>
      </c>
      <c r="C5182" s="6">
        <v>2303</v>
      </c>
      <c r="D5182" s="7">
        <v>4.9000000000000004</v>
      </c>
    </row>
    <row r="5183" spans="1:5" x14ac:dyDescent="0.25">
      <c r="A5183" t="str">
        <f>HYPERLINK("https://www.773grp.com/globalSearch/LM22671QMR-5.0-NOPB/page-1", "LM22671QMR-5.0-NOPB")</f>
        <v>LM22671QMR-5.0-NOPB</v>
      </c>
      <c r="B5183" s="3" t="str">
        <f>HYPERLINK("https://www.773grp.com/manufacturer/national-semiconductor?pageNo=90", "National Semiconductor")</f>
        <v>National Semiconductor</v>
      </c>
      <c r="C5183" s="6">
        <v>4702</v>
      </c>
      <c r="D5183" s="7">
        <v>4.9000000000000004</v>
      </c>
    </row>
    <row r="5184" spans="1:5" x14ac:dyDescent="0.25">
      <c r="A5184" t="str">
        <f>HYPERLINK("https://www.773grp.com/globalSearch/LM22671QMR-ADJ-NOPB/page-1", "LM22671QMR-ADJ-NOPB")</f>
        <v>LM22671QMR-ADJ-NOPB</v>
      </c>
      <c r="B5184" s="3" t="str">
        <f>HYPERLINK("https://www.773grp.com/manufacturer/national-semiconductor?pageNo=91", "National Semiconductor")</f>
        <v>National Semiconductor</v>
      </c>
      <c r="C5184" s="6">
        <v>4083</v>
      </c>
      <c r="D5184" s="7">
        <v>4.9000000000000004</v>
      </c>
    </row>
    <row r="5185" spans="1:5" x14ac:dyDescent="0.25">
      <c r="A5185" t="str">
        <f>HYPERLINK("https://www.773grp.com/globalSearch/LM25088QMH-1-NOPB/page-1", "LM25088QMH-1-NOPB")</f>
        <v>LM25088QMH-1-NOPB</v>
      </c>
      <c r="B5185" s="3" t="str">
        <f>HYPERLINK("https://www.773grp.com/manufacturer/national-semiconductor?pageNo=92", "National Semiconductor")</f>
        <v>National Semiconductor</v>
      </c>
      <c r="C5185" s="6">
        <v>920</v>
      </c>
      <c r="D5185" s="7">
        <v>4.9000000000000004</v>
      </c>
    </row>
    <row r="5186" spans="1:5" x14ac:dyDescent="0.25">
      <c r="A5186" t="str">
        <f>HYPERLINK("https://www.773grp.com/globalSearch/LM25088QMH-2-NOPB/page-1", "LM25088QMH-2-NOPB")</f>
        <v>LM25088QMH-2-NOPB</v>
      </c>
      <c r="B5186" s="3" t="str">
        <f>HYPERLINK("https://www.773grp.com/manufacturer/national-semiconductor?pageNo=93", "National Semiconductor")</f>
        <v>National Semiconductor</v>
      </c>
      <c r="C5186" s="6">
        <v>975</v>
      </c>
      <c r="D5186" s="7">
        <v>4.9000000000000004</v>
      </c>
    </row>
    <row r="5187" spans="1:5" x14ac:dyDescent="0.25">
      <c r="A5187" t="str">
        <f>HYPERLINK("https://www.773grp.com/globalSearch/LM2574HVM-12-NOPB/page-1", "LM2574HVM-12-NOPB")</f>
        <v>LM2574HVM-12-NOPB</v>
      </c>
      <c r="B5187" s="3" t="str">
        <f>HYPERLINK("https://www.773grp.com/manufacturer/national-semiconductor?pageNo=94", "National Semiconductor")</f>
        <v>National Semiconductor</v>
      </c>
      <c r="C5187" s="6">
        <v>400</v>
      </c>
      <c r="D5187" s="7">
        <v>4.9000000000000004</v>
      </c>
      <c r="E5187" t="s">
        <v>7</v>
      </c>
    </row>
    <row r="5188" spans="1:5" x14ac:dyDescent="0.25">
      <c r="A5188" t="str">
        <f>HYPERLINK("https://www.773grp.com/globalSearch/LM2574HVM-15-NOPB/page-1", "LM2574HVM-15-NOPB")</f>
        <v>LM2574HVM-15-NOPB</v>
      </c>
      <c r="B5188" s="3" t="str">
        <f>HYPERLINK("https://www.773grp.com/manufacturer/national-semiconductor?pageNo=95", "National Semiconductor")</f>
        <v>National Semiconductor</v>
      </c>
      <c r="C5188" s="6">
        <v>188</v>
      </c>
      <c r="D5188" s="7">
        <v>4.9000000000000004</v>
      </c>
    </row>
    <row r="5189" spans="1:5" x14ac:dyDescent="0.25">
      <c r="A5189" t="str">
        <f>HYPERLINK("https://www.773grp.com/globalSearch/LM2574HVM-5.0-NOPB/page-1", "LM2574HVM-5.0-NOPB")</f>
        <v>LM2574HVM-5.0-NOPB</v>
      </c>
      <c r="B5189" s="3" t="str">
        <f>HYPERLINK("https://www.773grp.com/manufacturer/national-semiconductor?pageNo=96", "National Semiconductor")</f>
        <v>National Semiconductor</v>
      </c>
      <c r="C5189" s="6">
        <v>420</v>
      </c>
      <c r="D5189" s="7">
        <v>4.9000000000000004</v>
      </c>
      <c r="E5189" t="s">
        <v>7</v>
      </c>
    </row>
    <row r="5190" spans="1:5" x14ac:dyDescent="0.25">
      <c r="A5190" t="str">
        <f>HYPERLINK("https://www.773grp.com/globalSearch/LM2574HVM-ADJ-NOPB/page-1", "LM2574HVM-ADJ-NOPB")</f>
        <v>LM2574HVM-ADJ-NOPB</v>
      </c>
      <c r="B5190" s="3" t="str">
        <f>HYPERLINK("https://www.773grp.com/manufacturer/national-semiconductor?pageNo=97", "National Semiconductor")</f>
        <v>National Semiconductor</v>
      </c>
      <c r="C5190" s="6">
        <v>1447</v>
      </c>
      <c r="D5190" s="7">
        <v>4.9000000000000004</v>
      </c>
      <c r="E5190" t="s">
        <v>7</v>
      </c>
    </row>
    <row r="5191" spans="1:5" x14ac:dyDescent="0.25">
      <c r="A5191" t="str">
        <f>HYPERLINK("https://www.773grp.com/globalSearch/LM5002MA-NOPB/page-1", "LM5002MA-NOPB")</f>
        <v>LM5002MA-NOPB</v>
      </c>
      <c r="B5191" s="3" t="str">
        <f>HYPERLINK("https://www.773grp.com/manufacturer/national-semiconductor?pageNo=98", "National Semiconductor")</f>
        <v>National Semiconductor</v>
      </c>
      <c r="C5191" s="6">
        <v>623</v>
      </c>
      <c r="D5191" s="7">
        <v>4.9000000000000004</v>
      </c>
    </row>
    <row r="5192" spans="1:5" x14ac:dyDescent="0.25">
      <c r="A5192" t="str">
        <f>HYPERLINK("https://www.773grp.com/globalSearch/LM5034MTC-NOPB/page-1", "LM5034MTC-NOPB")</f>
        <v>LM5034MTC-NOPB</v>
      </c>
      <c r="B5192" s="3" t="str">
        <f>HYPERLINK("https://www.773grp.com/manufacturer/national-semiconductor?pageNo=99", "National Semiconductor")</f>
        <v>National Semiconductor</v>
      </c>
      <c r="C5192" s="6">
        <v>437</v>
      </c>
      <c r="D5192" s="7">
        <v>4.9000000000000004</v>
      </c>
      <c r="E5192" t="s">
        <v>7</v>
      </c>
    </row>
    <row r="5193" spans="1:5" x14ac:dyDescent="0.25">
      <c r="A5193" t="str">
        <f>HYPERLINK("https://www.773grp.com/globalSearch/LM5115MTC-NOPB/page-1", "LM5115MTC-NOPB")</f>
        <v>LM5115MTC-NOPB</v>
      </c>
      <c r="B5193" s="3" t="str">
        <f>HYPERLINK("https://www.773grp.com/manufacturer/national-semiconductor?pageNo=100", "National Semiconductor")</f>
        <v>National Semiconductor</v>
      </c>
      <c r="C5193" s="6">
        <v>276</v>
      </c>
      <c r="D5193" s="7">
        <v>4.9000000000000004</v>
      </c>
      <c r="E5193" t="s">
        <v>7</v>
      </c>
    </row>
    <row r="5194" spans="1:5" x14ac:dyDescent="0.25">
      <c r="A5194" t="str">
        <f>HYPERLINK("https://www.773grp.com/globalSearch/LME49713MA-NOPB/page-1", "LME49713MA-NOPB")</f>
        <v>LME49713MA-NOPB</v>
      </c>
      <c r="B5194" s="3" t="str">
        <f>HYPERLINK("https://www.773grp.com/manufacturer/national-semiconductor?pageNo=101", "National Semiconductor")</f>
        <v>National Semiconductor</v>
      </c>
      <c r="C5194" s="6">
        <v>6981</v>
      </c>
      <c r="D5194" s="7">
        <v>4.9000000000000004</v>
      </c>
    </row>
    <row r="5195" spans="1:5" x14ac:dyDescent="0.25">
      <c r="A5195" t="str">
        <f>HYPERLINK("https://www.773grp.com/globalSearch/LMH6702MA-NOPB/page-1", "LMH6702MA-NOPB")</f>
        <v>LMH6702MA-NOPB</v>
      </c>
      <c r="B5195" s="3" t="str">
        <f>HYPERLINK("https://www.773grp.com/manufacturer/national-semiconductor?pageNo=102", "National Semiconductor")</f>
        <v>National Semiconductor</v>
      </c>
      <c r="C5195" s="6">
        <v>842</v>
      </c>
      <c r="D5195" s="7">
        <v>4.9000000000000004</v>
      </c>
      <c r="E5195" t="s">
        <v>18</v>
      </c>
    </row>
    <row r="5196" spans="1:5" x14ac:dyDescent="0.25">
      <c r="A5196" t="str">
        <f>HYPERLINK("https://www.773grp.com/globalSearch/LMP7708MA-NOPB/page-1", "LMP7708MA-NOPB")</f>
        <v>LMP7708MA-NOPB</v>
      </c>
      <c r="B5196" s="3" t="str">
        <f>HYPERLINK("https://www.773grp.com/manufacturer/national-semiconductor?pageNo=103", "National Semiconductor")</f>
        <v>National Semiconductor</v>
      </c>
      <c r="C5196" s="6">
        <v>10040</v>
      </c>
      <c r="D5196" s="7">
        <v>4.9000000000000004</v>
      </c>
    </row>
    <row r="5197" spans="1:5" x14ac:dyDescent="0.25">
      <c r="A5197" t="str">
        <f>HYPERLINK("https://www.773grp.com/globalSearch/LP3892ES-1.2-NOPB/page-1", "LP3892ES-1.2-NOPB")</f>
        <v>LP3892ES-1.2-NOPB</v>
      </c>
      <c r="B5197" s="3" t="str">
        <f>HYPERLINK("https://www.773grp.com/manufacturer/national-semiconductor?pageNo=104", "National Semiconductor")</f>
        <v>National Semiconductor</v>
      </c>
      <c r="C5197" s="6">
        <v>240</v>
      </c>
      <c r="D5197" s="7">
        <v>4.9000000000000004</v>
      </c>
      <c r="E5197" t="s">
        <v>19</v>
      </c>
    </row>
    <row r="5198" spans="1:5" x14ac:dyDescent="0.25">
      <c r="A5198" t="str">
        <f>HYPERLINK("https://www.773grp.com/globalSearch/LP3892ES-1.5-NOPB/page-1", "LP3892ES-1.5-NOPB")</f>
        <v>LP3892ES-1.5-NOPB</v>
      </c>
      <c r="B5198" s="3" t="str">
        <f>HYPERLINK("https://www.773grp.com/manufacturer/national-semiconductor?pageNo=105", "National Semiconductor")</f>
        <v>National Semiconductor</v>
      </c>
      <c r="C5198" s="6">
        <v>115</v>
      </c>
      <c r="D5198" s="7">
        <v>4.9000000000000004</v>
      </c>
      <c r="E5198" t="s">
        <v>19</v>
      </c>
    </row>
    <row r="5199" spans="1:5" x14ac:dyDescent="0.25">
      <c r="A5199" t="str">
        <f>HYPERLINK("https://www.773grp.com/globalSearch/4024BDMQB/page-1", "4024BDMQB")</f>
        <v>4024BDMQB</v>
      </c>
      <c r="B5199" s="3" t="str">
        <f>HYPERLINK("https://www.773grp.com/manufacturer/national-semiconductor?pageNo=106", "National Semiconductor")</f>
        <v>National Semiconductor</v>
      </c>
      <c r="C5199" s="6">
        <v>1544</v>
      </c>
      <c r="D5199" s="7">
        <v>4.93</v>
      </c>
      <c r="E5199" t="s">
        <v>26</v>
      </c>
    </row>
    <row r="5200" spans="1:5" x14ac:dyDescent="0.25">
      <c r="A5200" t="str">
        <f>HYPERLINK("https://www.773grp.com/globalSearch/54S194DM/page-1", "54S194DM")</f>
        <v>54S194DM</v>
      </c>
      <c r="B5200" s="3" t="str">
        <f>HYPERLINK("https://www.773grp.com/manufacturer/national-semiconductor?pageNo=107", "National Semiconductor")</f>
        <v>National Semiconductor</v>
      </c>
      <c r="C5200" s="6">
        <v>12509</v>
      </c>
      <c r="D5200" s="7">
        <v>4.93</v>
      </c>
    </row>
    <row r="5201" spans="1:5" x14ac:dyDescent="0.25">
      <c r="A5201" t="str">
        <f>HYPERLINK("https://www.773grp.com/globalSearch/74LS534DC/page-1", "74LS534DC")</f>
        <v>74LS534DC</v>
      </c>
      <c r="B5201" s="3" t="str">
        <f>HYPERLINK("https://www.773grp.com/manufacturer/national-semiconductor?pageNo=108", "National Semiconductor")</f>
        <v>National Semiconductor</v>
      </c>
      <c r="C5201" s="6">
        <v>637</v>
      </c>
      <c r="D5201" s="7">
        <v>4.93</v>
      </c>
    </row>
    <row r="5202" spans="1:5" x14ac:dyDescent="0.25">
      <c r="A5202" t="str">
        <f>HYPERLINK("https://www.773grp.com/globalSearch/DAC161P997CISQ-NOPB/page-1", "DAC161P997CISQ-NOPB")</f>
        <v>DAC161P997CISQ-NOPB</v>
      </c>
      <c r="B5202" s="3" t="str">
        <f>HYPERLINK("https://www.773grp.com/manufacturer/national-semiconductor?pageNo=109", "National Semiconductor")</f>
        <v>National Semiconductor</v>
      </c>
      <c r="C5202" s="6">
        <v>1000</v>
      </c>
      <c r="D5202" s="7">
        <v>4.93</v>
      </c>
    </row>
    <row r="5203" spans="1:5" x14ac:dyDescent="0.25">
      <c r="A5203" t="str">
        <f>HYPERLINK("https://www.773grp.com/globalSearch/DS14C232CM/page-1", "DS14C232CM")</f>
        <v>DS14C232CM</v>
      </c>
      <c r="B5203" s="3" t="str">
        <f>HYPERLINK("https://www.773grp.com/manufacturer/national-semiconductor?pageNo=110", "National Semiconductor")</f>
        <v>National Semiconductor</v>
      </c>
      <c r="C5203" s="6">
        <v>100</v>
      </c>
      <c r="D5203" s="7">
        <v>4.93</v>
      </c>
      <c r="E5203" t="s">
        <v>21</v>
      </c>
    </row>
    <row r="5204" spans="1:5" x14ac:dyDescent="0.25">
      <c r="A5204" t="str">
        <f>HYPERLINK("https://www.773grp.com/globalSearch/DS90C402M/page-1", "DS90C402M")</f>
        <v>DS90C402M</v>
      </c>
      <c r="B5204" s="3" t="str">
        <f>HYPERLINK("https://www.773grp.com/manufacturer/national-semiconductor?pageNo=111", "National Semiconductor")</f>
        <v>National Semiconductor</v>
      </c>
      <c r="C5204" s="6">
        <v>1272</v>
      </c>
      <c r="D5204" s="7">
        <v>4.93</v>
      </c>
      <c r="E5204" t="s">
        <v>21</v>
      </c>
    </row>
    <row r="5205" spans="1:5" x14ac:dyDescent="0.25">
      <c r="A5205" t="str">
        <f>HYPERLINK("https://www.773grp.com/globalSearch/GAL20V8A-15LNC/page-1", "GAL20V8A-15LNC")</f>
        <v>GAL20V8A-15LNC</v>
      </c>
      <c r="B5205" s="3" t="str">
        <f>HYPERLINK("https://www.773grp.com/manufacturer/national-semiconductor?pageNo=112", "National Semiconductor")</f>
        <v>National Semiconductor</v>
      </c>
      <c r="C5205" s="6">
        <v>4913</v>
      </c>
      <c r="D5205" s="7">
        <v>4.93</v>
      </c>
      <c r="E5205" t="s">
        <v>51</v>
      </c>
    </row>
    <row r="5206" spans="1:5" x14ac:dyDescent="0.25">
      <c r="A5206" t="str">
        <f>HYPERLINK("https://www.773grp.com/globalSearch/GAL20V8A-15LNI/page-1", "GAL20V8A-15LNI")</f>
        <v>GAL20V8A-15LNI</v>
      </c>
      <c r="B5206" s="3" t="str">
        <f>HYPERLINK("https://www.773grp.com/manufacturer/national-semiconductor?pageNo=113", "National Semiconductor")</f>
        <v>National Semiconductor</v>
      </c>
      <c r="C5206" s="6">
        <v>1315</v>
      </c>
      <c r="D5206" s="7">
        <v>4.93</v>
      </c>
      <c r="E5206" t="s">
        <v>51</v>
      </c>
    </row>
    <row r="5207" spans="1:5" x14ac:dyDescent="0.25">
      <c r="A5207" t="str">
        <f>HYPERLINK("https://www.773grp.com/globalSearch/LF298MX/page-1", "LF298MX")</f>
        <v>LF298MX</v>
      </c>
      <c r="B5207" s="3" t="str">
        <f>HYPERLINK("https://www.773grp.com/manufacturer/national-semiconductor?pageNo=114", "National Semiconductor")</f>
        <v>National Semiconductor</v>
      </c>
      <c r="C5207" s="6">
        <v>7500</v>
      </c>
      <c r="D5207" s="7">
        <v>4.93</v>
      </c>
      <c r="E5207" t="s">
        <v>6</v>
      </c>
    </row>
    <row r="5208" spans="1:5" x14ac:dyDescent="0.25">
      <c r="A5208" t="str">
        <f>HYPERLINK("https://www.773grp.com/globalSearch/LM26001MXAX-NOPB/page-1", "LM26001MXAX-NOPB")</f>
        <v>LM26001MXAX-NOPB</v>
      </c>
      <c r="B5208" s="3" t="str">
        <f>HYPERLINK("https://www.773grp.com/manufacturer/national-semiconductor?pageNo=115", "National Semiconductor")</f>
        <v>National Semiconductor</v>
      </c>
      <c r="C5208" s="6">
        <v>2500</v>
      </c>
      <c r="D5208" s="7">
        <v>4.93</v>
      </c>
    </row>
    <row r="5209" spans="1:5" x14ac:dyDescent="0.25">
      <c r="A5209" t="str">
        <f>HYPERLINK("https://www.773grp.com/globalSearch/LM2853MH-1.5/page-1", "LM2853MH-1.5")</f>
        <v>LM2853MH-1.5</v>
      </c>
      <c r="B5209" s="3" t="str">
        <f>HYPERLINK("https://www.773grp.com/manufacturer/national-semiconductor?pageNo=116", "National Semiconductor")</f>
        <v>National Semiconductor</v>
      </c>
      <c r="C5209" s="6">
        <v>62</v>
      </c>
      <c r="D5209" s="7">
        <v>4.93</v>
      </c>
      <c r="E5209" t="s">
        <v>7</v>
      </c>
    </row>
    <row r="5210" spans="1:5" x14ac:dyDescent="0.25">
      <c r="A5210" t="str">
        <f>HYPERLINK("https://www.773grp.com/globalSearch/LM2853MHX-1.2-NOPB/page-1", "LM2853MHX-1.2-NOPB")</f>
        <v>LM2853MHX-1.2-NOPB</v>
      </c>
      <c r="B5210" s="3" t="str">
        <f>HYPERLINK("https://www.773grp.com/manufacturer/national-semiconductor?pageNo=117", "National Semiconductor")</f>
        <v>National Semiconductor</v>
      </c>
      <c r="C5210" s="6">
        <v>2500</v>
      </c>
      <c r="D5210" s="7">
        <v>4.93</v>
      </c>
    </row>
    <row r="5211" spans="1:5" x14ac:dyDescent="0.25">
      <c r="A5211" t="str">
        <f>HYPERLINK("https://www.773grp.com/globalSearch/LM3423Q0MH-NOPB/page-1", "LM3423Q0MH-NOPB")</f>
        <v>LM3423Q0MH-NOPB</v>
      </c>
      <c r="B5211" s="3" t="str">
        <f>HYPERLINK("https://www.773grp.com/manufacturer/national-semiconductor?pageNo=118", "National Semiconductor")</f>
        <v>National Semiconductor</v>
      </c>
      <c r="C5211" s="6">
        <v>219</v>
      </c>
      <c r="D5211" s="7">
        <v>4.93</v>
      </c>
    </row>
    <row r="5212" spans="1:5" x14ac:dyDescent="0.25">
      <c r="A5212" t="str">
        <f>HYPERLINK("https://www.773grp.com/globalSearch/LM5005MHX-NOPB/page-1", "LM5005MHX-NOPB")</f>
        <v>LM5005MHX-NOPB</v>
      </c>
      <c r="B5212" s="3" t="str">
        <f>HYPERLINK("https://www.773grp.com/manufacturer/national-semiconductor?pageNo=119", "National Semiconductor")</f>
        <v>National Semiconductor</v>
      </c>
      <c r="C5212" s="6">
        <v>12500</v>
      </c>
      <c r="D5212" s="7">
        <v>4.93</v>
      </c>
      <c r="E5212" t="s">
        <v>7</v>
      </c>
    </row>
    <row r="5213" spans="1:5" x14ac:dyDescent="0.25">
      <c r="A5213" t="str">
        <f>HYPERLINK("https://www.773grp.com/globalSearch/LM5642MHX-NOPB/page-1", "LM5642MHX-NOPB")</f>
        <v>LM5642MHX-NOPB</v>
      </c>
      <c r="B5213" s="3" t="str">
        <f>HYPERLINK("https://www.773grp.com/manufacturer/national-semiconductor?pageNo=120", "National Semiconductor")</f>
        <v>National Semiconductor</v>
      </c>
      <c r="C5213" s="6">
        <v>2500</v>
      </c>
      <c r="D5213" s="7">
        <v>4.93</v>
      </c>
      <c r="E5213" t="s">
        <v>7</v>
      </c>
    </row>
    <row r="5214" spans="1:5" x14ac:dyDescent="0.25">
      <c r="A5214" t="str">
        <f>HYPERLINK("https://www.773grp.com/globalSearch/LM5642MTCX-NOPB/page-1", "LM5642MTCX-NOPB")</f>
        <v>LM5642MTCX-NOPB</v>
      </c>
      <c r="B5214" s="3" t="str">
        <f>HYPERLINK("https://www.773grp.com/manufacturer/national-semiconductor?pageNo=121", "National Semiconductor")</f>
        <v>National Semiconductor</v>
      </c>
      <c r="C5214" s="6">
        <v>12500</v>
      </c>
      <c r="D5214" s="7">
        <v>4.93</v>
      </c>
      <c r="E5214" t="s">
        <v>7</v>
      </c>
    </row>
    <row r="5215" spans="1:5" x14ac:dyDescent="0.25">
      <c r="A5215" t="str">
        <f>HYPERLINK("https://www.773grp.com/globalSearch/LM5642XMTX-NOPB/page-1", "LM5642XMTX-NOPB")</f>
        <v>LM5642XMTX-NOPB</v>
      </c>
      <c r="B5215" s="3" t="str">
        <f>HYPERLINK("https://www.773grp.com/manufacturer/national-semiconductor?pageNo=122", "National Semiconductor")</f>
        <v>National Semiconductor</v>
      </c>
      <c r="C5215" s="6">
        <v>6166</v>
      </c>
      <c r="D5215" s="7">
        <v>4.93</v>
      </c>
      <c r="E5215" t="s">
        <v>7</v>
      </c>
    </row>
    <row r="5216" spans="1:5" x14ac:dyDescent="0.25">
      <c r="A5216" t="str">
        <f>HYPERLINK("https://www.773grp.com/globalSearch/LM6132BIMX/page-1", "LM6132BIMX")</f>
        <v>LM6132BIMX</v>
      </c>
      <c r="B5216" s="3" t="str">
        <f>HYPERLINK("https://www.773grp.com/manufacturer/national-semiconductor?pageNo=123", "National Semiconductor")</f>
        <v>National Semiconductor</v>
      </c>
      <c r="C5216" s="6">
        <v>10000</v>
      </c>
      <c r="D5216" s="7">
        <v>4.93</v>
      </c>
      <c r="E5216" t="s">
        <v>13</v>
      </c>
    </row>
    <row r="5217" spans="1:5" x14ac:dyDescent="0.25">
      <c r="A5217" t="str">
        <f>HYPERLINK("https://www.773grp.com/globalSearch/LMX2360TMX/page-1", "LMX2360TMX")</f>
        <v>LMX2360TMX</v>
      </c>
      <c r="B5217" s="3" t="str">
        <f>HYPERLINK("https://www.773grp.com/manufacturer/national-semiconductor?pageNo=124", "National Semiconductor")</f>
        <v>National Semiconductor</v>
      </c>
      <c r="C5217" s="6">
        <v>2500</v>
      </c>
      <c r="D5217" s="7">
        <v>4.93</v>
      </c>
      <c r="E5217" t="s">
        <v>38</v>
      </c>
    </row>
    <row r="5218" spans="1:5" x14ac:dyDescent="0.25">
      <c r="A5218" t="str">
        <f>HYPERLINK("https://www.773grp.com/globalSearch/LP3872EMP-3.3/page-1", "LP3872EMP-3.3")</f>
        <v>LP3872EMP-3.3</v>
      </c>
      <c r="B5218" s="3" t="str">
        <f>HYPERLINK("https://www.773grp.com/manufacturer/national-semiconductor?pageNo=125", "National Semiconductor")</f>
        <v>National Semiconductor</v>
      </c>
      <c r="C5218" s="6">
        <v>5000</v>
      </c>
      <c r="D5218" s="7">
        <v>4.93</v>
      </c>
      <c r="E5218" t="s">
        <v>19</v>
      </c>
    </row>
    <row r="5219" spans="1:5" x14ac:dyDescent="0.25">
      <c r="A5219" t="str">
        <f>HYPERLINK("https://www.773grp.com/globalSearch/LP3873ES-1.8/page-1", "LP3873ES-1.8")</f>
        <v>LP3873ES-1.8</v>
      </c>
      <c r="B5219" s="3" t="str">
        <f>HYPERLINK("https://www.773grp.com/manufacturer/national-semiconductor?pageNo=126", "National Semiconductor")</f>
        <v>National Semiconductor</v>
      </c>
      <c r="C5219" s="6">
        <v>107</v>
      </c>
      <c r="D5219" s="7">
        <v>4.93</v>
      </c>
      <c r="E5219" t="s">
        <v>19</v>
      </c>
    </row>
    <row r="5220" spans="1:5" x14ac:dyDescent="0.25">
      <c r="A5220" t="str">
        <f>HYPERLINK("https://www.773grp.com/globalSearch/LP3873ES1.8-NOPB/page-1", "LP3873ES1.8-NOPB")</f>
        <v>LP3873ES1.8-NOPB</v>
      </c>
      <c r="B5220" s="3" t="str">
        <f>HYPERLINK("https://www.773grp.com/manufacturer/national-semiconductor?pageNo=127", "National Semiconductor")</f>
        <v>National Semiconductor</v>
      </c>
      <c r="C5220" s="6">
        <v>13</v>
      </c>
      <c r="D5220" s="7">
        <v>4.93</v>
      </c>
    </row>
    <row r="5221" spans="1:5" x14ac:dyDescent="0.25">
      <c r="A5221" t="str">
        <f>HYPERLINK("https://www.773grp.com/globalSearch/LP3873ESX-3.3-NOPB/page-1", "LP3873ESX-3.3-NOPB")</f>
        <v>LP3873ESX-3.3-NOPB</v>
      </c>
      <c r="B5221" s="3" t="str">
        <f>HYPERLINK("https://www.773grp.com/manufacturer/national-semiconductor?pageNo=128", "National Semiconductor")</f>
        <v>National Semiconductor</v>
      </c>
      <c r="C5221" s="6">
        <v>8000</v>
      </c>
      <c r="D5221" s="7">
        <v>4.93</v>
      </c>
      <c r="E5221" t="s">
        <v>19</v>
      </c>
    </row>
    <row r="5222" spans="1:5" x14ac:dyDescent="0.25">
      <c r="A5222" t="str">
        <f>HYPERLINK("https://www.773grp.com/globalSearch/LP3873ET-1.8-LB02/page-1", "LP3873ET-1.8-LB02")</f>
        <v>LP3873ET-1.8-LB02</v>
      </c>
      <c r="B5222" s="3" t="str">
        <f>HYPERLINK("https://www.773grp.com/manufacturer/national-semiconductor?pageNo=129", "National Semiconductor")</f>
        <v>National Semiconductor</v>
      </c>
      <c r="C5222" s="6">
        <v>198</v>
      </c>
      <c r="D5222" s="7">
        <v>4.93</v>
      </c>
    </row>
    <row r="5223" spans="1:5" x14ac:dyDescent="0.25">
      <c r="A5223" t="str">
        <f>HYPERLINK("https://www.773grp.com/globalSearch/LP3873ET-3.3/page-1", "LP3873ET-3.3")</f>
        <v>LP3873ET-3.3</v>
      </c>
      <c r="B5223" s="3" t="str">
        <f>HYPERLINK("https://www.773grp.com/manufacturer/national-semiconductor?pageNo=130", "National Semiconductor")</f>
        <v>National Semiconductor</v>
      </c>
      <c r="C5223" s="6">
        <v>5</v>
      </c>
      <c r="D5223" s="7">
        <v>4.93</v>
      </c>
      <c r="E5223" t="s">
        <v>19</v>
      </c>
    </row>
    <row r="5224" spans="1:5" x14ac:dyDescent="0.25">
      <c r="A5224" t="str">
        <f>HYPERLINK("https://www.773grp.com/globalSearch/LP3873ET-5.0/page-1", "LP3873ET-5.0")</f>
        <v>LP3873ET-5.0</v>
      </c>
      <c r="B5224" s="3" t="str">
        <f>HYPERLINK("https://www.773grp.com/manufacturer/national-semiconductor?pageNo=131", "National Semiconductor")</f>
        <v>National Semiconductor</v>
      </c>
      <c r="C5224" s="6">
        <v>102</v>
      </c>
      <c r="D5224" s="7">
        <v>4.93</v>
      </c>
      <c r="E5224" t="s">
        <v>19</v>
      </c>
    </row>
    <row r="5225" spans="1:5" x14ac:dyDescent="0.25">
      <c r="A5225" t="str">
        <f>HYPERLINK("https://www.773grp.com/globalSearch/LP3876ESX-2.5/page-1", "LP3876ESX-2.5")</f>
        <v>LP3876ESX-2.5</v>
      </c>
      <c r="B5225" s="3" t="str">
        <f>HYPERLINK("https://www.773grp.com/manufacturer/national-semiconductor?pageNo=132", "National Semiconductor")</f>
        <v>National Semiconductor</v>
      </c>
      <c r="C5225" s="6">
        <v>500</v>
      </c>
      <c r="D5225" s="7">
        <v>4.93</v>
      </c>
      <c r="E5225" t="s">
        <v>19</v>
      </c>
    </row>
    <row r="5226" spans="1:5" x14ac:dyDescent="0.25">
      <c r="A5226" t="str">
        <f>HYPERLINK("https://www.773grp.com/globalSearch/LP3876ESX-2.5-NOPB/page-1", "LP3876ESX-2.5-NOPB")</f>
        <v>LP3876ESX-2.5-NOPB</v>
      </c>
      <c r="B5226" s="3" t="str">
        <f>HYPERLINK("https://www.773grp.com/manufacturer/national-semiconductor?pageNo=133", "National Semiconductor")</f>
        <v>National Semiconductor</v>
      </c>
      <c r="C5226" s="6">
        <v>5500</v>
      </c>
      <c r="D5226" s="7">
        <v>4.93</v>
      </c>
      <c r="E5226" t="s">
        <v>19</v>
      </c>
    </row>
    <row r="5227" spans="1:5" x14ac:dyDescent="0.25">
      <c r="A5227" t="str">
        <f>HYPERLINK("https://www.773grp.com/globalSearch/LP3876ESX-ADJ-NOPB/page-1", "LP3876ESX-ADJ-NOPB")</f>
        <v>LP3876ESX-ADJ-NOPB</v>
      </c>
      <c r="B5227" s="3" t="str">
        <f>HYPERLINK("https://www.773grp.com/manufacturer/national-semiconductor?pageNo=134", "National Semiconductor")</f>
        <v>National Semiconductor</v>
      </c>
      <c r="C5227" s="6">
        <v>22000</v>
      </c>
      <c r="D5227" s="7">
        <v>4.93</v>
      </c>
      <c r="E5227" t="s">
        <v>25</v>
      </c>
    </row>
    <row r="5228" spans="1:5" x14ac:dyDescent="0.25">
      <c r="A5228" t="str">
        <f>HYPERLINK("https://www.773grp.com/globalSearch/LP3876ET-1.8-NOPB/page-1", "LP3876ET-1.8-NOPB")</f>
        <v>LP3876ET-1.8-NOPB</v>
      </c>
      <c r="B5228" s="3" t="str">
        <f>HYPERLINK("https://www.773grp.com/manufacturer/national-semiconductor?pageNo=1", "National Semiconductor")</f>
        <v>National Semiconductor</v>
      </c>
      <c r="C5228" s="6">
        <v>18352</v>
      </c>
      <c r="D5228" s="7">
        <v>4.93</v>
      </c>
      <c r="E5228" t="s">
        <v>19</v>
      </c>
    </row>
    <row r="5229" spans="1:5" x14ac:dyDescent="0.25">
      <c r="A5229" t="str">
        <f>HYPERLINK("https://www.773grp.com/globalSearch/LP3876ET-2.5/page-1", "LP3876ET-2.5")</f>
        <v>LP3876ET-2.5</v>
      </c>
      <c r="B5229" s="3" t="str">
        <f>HYPERLINK("https://www.773grp.com/manufacturer/national-semiconductor?pageNo=2", "National Semiconductor")</f>
        <v>National Semiconductor</v>
      </c>
      <c r="C5229" s="6">
        <v>450</v>
      </c>
      <c r="D5229" s="7">
        <v>4.93</v>
      </c>
      <c r="E5229" t="s">
        <v>19</v>
      </c>
    </row>
    <row r="5230" spans="1:5" x14ac:dyDescent="0.25">
      <c r="A5230" t="str">
        <f>HYPERLINK("https://www.773grp.com/globalSearch/LP3876ET-2.5-NOPB/page-1", "LP3876ET-2.5-NOPB")</f>
        <v>LP3876ET-2.5-NOPB</v>
      </c>
      <c r="B5230" s="3" t="str">
        <f>HYPERLINK("https://www.773grp.com/manufacturer/national-semiconductor?pageNo=3", "National Semiconductor")</f>
        <v>National Semiconductor</v>
      </c>
      <c r="C5230" s="6">
        <v>155</v>
      </c>
      <c r="D5230" s="7">
        <v>4.93</v>
      </c>
      <c r="E5230" t="s">
        <v>19</v>
      </c>
    </row>
    <row r="5231" spans="1:5" x14ac:dyDescent="0.25">
      <c r="A5231" t="str">
        <f>HYPERLINK("https://www.773grp.com/globalSearch/LP3876ET-3.3-NOPB/page-1", "LP3876ET-3.3-NOPB")</f>
        <v>LP3876ET-3.3-NOPB</v>
      </c>
      <c r="B5231" s="3" t="str">
        <f>HYPERLINK("https://www.773grp.com/manufacturer/national-semiconductor?pageNo=4", "National Semiconductor")</f>
        <v>National Semiconductor</v>
      </c>
      <c r="C5231" s="6">
        <v>508</v>
      </c>
      <c r="D5231" s="7">
        <v>4.93</v>
      </c>
      <c r="E5231" t="s">
        <v>19</v>
      </c>
    </row>
    <row r="5232" spans="1:5" x14ac:dyDescent="0.25">
      <c r="A5232" t="str">
        <f>HYPERLINK("https://www.773grp.com/globalSearch/LP3906SQ-PPXP/page-1", "LP3906SQ-PPXP")</f>
        <v>LP3906SQ-PPXP</v>
      </c>
      <c r="B5232" s="3" t="str">
        <f>HYPERLINK("https://www.773grp.com/manufacturer/national-semiconductor?pageNo=5", "National Semiconductor")</f>
        <v>National Semiconductor</v>
      </c>
      <c r="C5232" s="6">
        <v>980</v>
      </c>
      <c r="D5232" s="7">
        <v>4.93</v>
      </c>
      <c r="E5232" t="s">
        <v>7</v>
      </c>
    </row>
    <row r="5233" spans="1:5" x14ac:dyDescent="0.25">
      <c r="A5233" t="str">
        <f>HYPERLINK("https://www.773grp.com/globalSearch/LP3906SQ-VPFP/page-1", "LP3906SQ-VPFP")</f>
        <v>LP3906SQ-VPFP</v>
      </c>
      <c r="B5233" s="3" t="str">
        <f>HYPERLINK("https://www.773grp.com/manufacturer/national-semiconductor?pageNo=6", "National Semiconductor")</f>
        <v>National Semiconductor</v>
      </c>
      <c r="C5233" s="6">
        <v>1000</v>
      </c>
      <c r="D5233" s="7">
        <v>4.93</v>
      </c>
      <c r="E5233" t="s">
        <v>7</v>
      </c>
    </row>
    <row r="5234" spans="1:5" x14ac:dyDescent="0.25">
      <c r="A5234" t="str">
        <f>HYPERLINK("https://www.773grp.com/globalSearch/LP3962ESX-3.3/page-1", "LP3962ESX-3.3")</f>
        <v>LP3962ESX-3.3</v>
      </c>
      <c r="B5234" s="3" t="str">
        <f>HYPERLINK("https://www.773grp.com/manufacturer/national-semiconductor?pageNo=7", "National Semiconductor")</f>
        <v>National Semiconductor</v>
      </c>
      <c r="C5234" s="6">
        <v>1000</v>
      </c>
      <c r="D5234" s="7">
        <v>4.93</v>
      </c>
      <c r="E5234" t="s">
        <v>19</v>
      </c>
    </row>
    <row r="5235" spans="1:5" x14ac:dyDescent="0.25">
      <c r="A5235" t="str">
        <f>HYPERLINK("https://www.773grp.com/globalSearch/MM74HC157J/page-1", "MM74HC157J")</f>
        <v>MM74HC157J</v>
      </c>
      <c r="B5235" s="3" t="str">
        <f>HYPERLINK("https://www.773grp.com/manufacturer/national-semiconductor?pageNo=8", "National Semiconductor")</f>
        <v>National Semiconductor</v>
      </c>
      <c r="C5235" s="6">
        <v>8</v>
      </c>
      <c r="D5235" s="7">
        <v>4.93</v>
      </c>
      <c r="E5235" t="s">
        <v>20</v>
      </c>
    </row>
    <row r="5236" spans="1:5" x14ac:dyDescent="0.25">
      <c r="A5236" t="str">
        <f>HYPERLINK("https://www.773grp.com/globalSearch/DAC161P997CISQ-NOPB/page-1", "DAC161P997CISQ-NOPB")</f>
        <v>DAC161P997CISQ-NOPB</v>
      </c>
      <c r="B5236" s="3" t="str">
        <f>HYPERLINK("https://www.773grp.com/manufacturer/national-semiconductor?pageNo=9", "National Semiconductor")</f>
        <v>National Semiconductor</v>
      </c>
      <c r="C5236" s="6">
        <v>910</v>
      </c>
      <c r="D5236" s="7">
        <v>4.93</v>
      </c>
    </row>
    <row r="5237" spans="1:5" x14ac:dyDescent="0.25">
      <c r="A5237" t="str">
        <f>HYPERLINK("https://www.773grp.com/globalSearch/DP83620SQE-NOPB/page-1", "DP83620SQE-NOPB")</f>
        <v>DP83620SQE-NOPB</v>
      </c>
      <c r="B5237" s="3" t="str">
        <f>HYPERLINK("https://www.773grp.com/manufacturer/national-semiconductor?pageNo=10", "National Semiconductor")</f>
        <v>National Semiconductor</v>
      </c>
      <c r="C5237" s="6">
        <v>69</v>
      </c>
      <c r="D5237" s="7">
        <v>4.93</v>
      </c>
    </row>
    <row r="5238" spans="1:5" x14ac:dyDescent="0.25">
      <c r="A5238" t="str">
        <f>HYPERLINK("https://www.773grp.com/globalSearch/DS90C402M/page-1", "DS90C402M")</f>
        <v>DS90C402M</v>
      </c>
      <c r="B5238" s="3" t="str">
        <f>HYPERLINK("https://www.773grp.com/manufacturer/national-semiconductor?pageNo=11", "National Semiconductor")</f>
        <v>National Semiconductor</v>
      </c>
      <c r="C5238" s="6">
        <v>1995</v>
      </c>
      <c r="D5238" s="7">
        <v>4.93</v>
      </c>
      <c r="E5238" t="s">
        <v>21</v>
      </c>
    </row>
    <row r="5239" spans="1:5" x14ac:dyDescent="0.25">
      <c r="A5239" t="str">
        <f>HYPERLINK("https://www.773grp.com/globalSearch/LM2853MHX-2.5-NOPB/page-1", "LM2853MHX-2.5-NOPB")</f>
        <v>LM2853MHX-2.5-NOPB</v>
      </c>
      <c r="B5239" s="3" t="str">
        <f>HYPERLINK("https://www.773grp.com/manufacturer/national-semiconductor?pageNo=12", "National Semiconductor")</f>
        <v>National Semiconductor</v>
      </c>
      <c r="C5239" s="6">
        <v>10000</v>
      </c>
      <c r="D5239" s="7">
        <v>4.93</v>
      </c>
    </row>
    <row r="5240" spans="1:5" x14ac:dyDescent="0.25">
      <c r="A5240" t="str">
        <f>HYPERLINK("https://www.773grp.com/globalSearch/LM5100ASD/page-1", "LM5100ASD")</f>
        <v>LM5100ASD</v>
      </c>
      <c r="B5240" s="3" t="str">
        <f>HYPERLINK("https://www.773grp.com/manufacturer/national-semiconductor?pageNo=13", "National Semiconductor")</f>
        <v>National Semiconductor</v>
      </c>
      <c r="C5240" s="6">
        <v>1000</v>
      </c>
      <c r="D5240" s="7">
        <v>4.93</v>
      </c>
    </row>
    <row r="5241" spans="1:5" x14ac:dyDescent="0.25">
      <c r="A5241" t="str">
        <f>HYPERLINK("https://www.773grp.com/globalSearch/LM5101ASD/page-1", "LM5101ASD")</f>
        <v>LM5101ASD</v>
      </c>
      <c r="B5241" s="3" t="str">
        <f>HYPERLINK("https://www.773grp.com/manufacturer/national-semiconductor?pageNo=14", "National Semiconductor")</f>
        <v>National Semiconductor</v>
      </c>
      <c r="C5241" s="6">
        <v>3000</v>
      </c>
      <c r="D5241" s="7">
        <v>4.93</v>
      </c>
    </row>
    <row r="5242" spans="1:5" x14ac:dyDescent="0.25">
      <c r="A5242" t="str">
        <f>HYPERLINK("https://www.773grp.com/globalSearch/LM5642XMTX-NOPB/page-1", "LM5642XMTX-NOPB")</f>
        <v>LM5642XMTX-NOPB</v>
      </c>
      <c r="B5242" s="3" t="str">
        <f>HYPERLINK("https://www.773grp.com/manufacturer/national-semiconductor?pageNo=15", "National Semiconductor")</f>
        <v>National Semiconductor</v>
      </c>
      <c r="C5242" s="6">
        <v>1026</v>
      </c>
      <c r="D5242" s="7">
        <v>4.93</v>
      </c>
      <c r="E5242" t="s">
        <v>7</v>
      </c>
    </row>
    <row r="5243" spans="1:5" x14ac:dyDescent="0.25">
      <c r="A5243" t="str">
        <f>HYPERLINK("https://www.773grp.com/globalSearch/LM6132BIMX/page-1", "LM6132BIMX")</f>
        <v>LM6132BIMX</v>
      </c>
      <c r="B5243" s="3" t="str">
        <f>HYPERLINK("https://www.773grp.com/manufacturer/national-semiconductor?pageNo=16", "National Semiconductor")</f>
        <v>National Semiconductor</v>
      </c>
      <c r="C5243" s="6">
        <v>37500</v>
      </c>
      <c r="D5243" s="7">
        <v>4.93</v>
      </c>
      <c r="E5243" t="s">
        <v>13</v>
      </c>
    </row>
    <row r="5244" spans="1:5" x14ac:dyDescent="0.25">
      <c r="A5244" t="str">
        <f>HYPERLINK("https://www.773grp.com/globalSearch/LMP7704MTX-NOPB/page-1", "LMP7704MTX-NOPB")</f>
        <v>LMP7704MTX-NOPB</v>
      </c>
      <c r="B5244" s="3" t="str">
        <f>HYPERLINK("https://www.773grp.com/manufacturer/national-semiconductor?pageNo=17", "National Semiconductor")</f>
        <v>National Semiconductor</v>
      </c>
      <c r="C5244" s="6">
        <v>2217</v>
      </c>
      <c r="D5244" s="7">
        <v>4.93</v>
      </c>
    </row>
    <row r="5245" spans="1:5" x14ac:dyDescent="0.25">
      <c r="A5245" t="str">
        <f>HYPERLINK("https://www.773grp.com/globalSearch/LP3872EMP-3.3/page-1", "LP3872EMP-3.3")</f>
        <v>LP3872EMP-3.3</v>
      </c>
      <c r="B5245" s="3" t="str">
        <f>HYPERLINK("https://www.773grp.com/manufacturer/national-semiconductor?pageNo=18", "National Semiconductor")</f>
        <v>National Semiconductor</v>
      </c>
      <c r="C5245" s="6">
        <v>3000</v>
      </c>
      <c r="D5245" s="7">
        <v>4.93</v>
      </c>
      <c r="E5245" t="s">
        <v>19</v>
      </c>
    </row>
    <row r="5246" spans="1:5" x14ac:dyDescent="0.25">
      <c r="A5246" t="str">
        <f>HYPERLINK("https://www.773grp.com/globalSearch/LP3872EMP-5.0/page-1", "LP3872EMP-5.0")</f>
        <v>LP3872EMP-5.0</v>
      </c>
      <c r="B5246" s="3" t="str">
        <f>HYPERLINK("https://www.773grp.com/manufacturer/national-semiconductor?pageNo=19", "National Semiconductor")</f>
        <v>National Semiconductor</v>
      </c>
      <c r="C5246" s="6">
        <v>2000</v>
      </c>
      <c r="D5246" s="7">
        <v>4.93</v>
      </c>
    </row>
    <row r="5247" spans="1:5" x14ac:dyDescent="0.25">
      <c r="A5247" t="str">
        <f>HYPERLINK("https://www.773grp.com/globalSearch/LP3876ESX-2.5-NOPB/page-1", "LP3876ESX-2.5-NOPB")</f>
        <v>LP3876ESX-2.5-NOPB</v>
      </c>
      <c r="B5247" s="3" t="str">
        <f>HYPERLINK("https://www.773grp.com/manufacturer/national-semiconductor?pageNo=20", "National Semiconductor")</f>
        <v>National Semiconductor</v>
      </c>
      <c r="C5247" s="6">
        <v>465</v>
      </c>
      <c r="D5247" s="7">
        <v>4.93</v>
      </c>
      <c r="E5247" t="s">
        <v>19</v>
      </c>
    </row>
    <row r="5248" spans="1:5" x14ac:dyDescent="0.25">
      <c r="A5248" t="str">
        <f>HYPERLINK("https://www.773grp.com/globalSearch/LP3876ET-1.8-NOPB/page-1", "LP3876ET-1.8-NOPB")</f>
        <v>LP3876ET-1.8-NOPB</v>
      </c>
      <c r="B5248" s="3" t="str">
        <f>HYPERLINK("https://www.773grp.com/manufacturer/national-semiconductor?pageNo=21", "National Semiconductor")</f>
        <v>National Semiconductor</v>
      </c>
      <c r="C5248" s="6">
        <v>250</v>
      </c>
      <c r="D5248" s="7">
        <v>4.93</v>
      </c>
      <c r="E5248" t="s">
        <v>19</v>
      </c>
    </row>
    <row r="5249" spans="1:5" x14ac:dyDescent="0.25">
      <c r="A5249" t="str">
        <f>HYPERLINK("https://www.773grp.com/globalSearch/LP3876ET-2.5-NOPB/page-1", "LP3876ET-2.5-NOPB")</f>
        <v>LP3876ET-2.5-NOPB</v>
      </c>
      <c r="B5249" s="3" t="str">
        <f>HYPERLINK("https://www.773grp.com/manufacturer/national-semiconductor?pageNo=22", "National Semiconductor")</f>
        <v>National Semiconductor</v>
      </c>
      <c r="C5249" s="6">
        <v>250</v>
      </c>
      <c r="D5249" s="7">
        <v>4.93</v>
      </c>
      <c r="E5249" t="s">
        <v>19</v>
      </c>
    </row>
    <row r="5250" spans="1:5" x14ac:dyDescent="0.25">
      <c r="A5250" t="str">
        <f>HYPERLINK("https://www.773grp.com/globalSearch/LP3876ET-3.3/page-1", "LP3876ET-3.3")</f>
        <v>LP3876ET-3.3</v>
      </c>
      <c r="B5250" s="3" t="str">
        <f>HYPERLINK("https://www.773grp.com/manufacturer/national-semiconductor?pageNo=23", "National Semiconductor")</f>
        <v>National Semiconductor</v>
      </c>
      <c r="C5250" s="6">
        <v>192</v>
      </c>
      <c r="D5250" s="7">
        <v>4.93</v>
      </c>
    </row>
    <row r="5251" spans="1:5" x14ac:dyDescent="0.25">
      <c r="A5251" t="str">
        <f>HYPERLINK("https://www.773grp.com/globalSearch/LP3876ET-3.3-NOPB/page-1", "LP3876ET-3.3-NOPB")</f>
        <v>LP3876ET-3.3-NOPB</v>
      </c>
      <c r="B5251" s="3" t="str">
        <f>HYPERLINK("https://www.773grp.com/manufacturer/national-semiconductor?pageNo=24", "National Semiconductor")</f>
        <v>National Semiconductor</v>
      </c>
      <c r="C5251" s="6">
        <v>548</v>
      </c>
      <c r="D5251" s="7">
        <v>4.93</v>
      </c>
      <c r="E5251" t="s">
        <v>19</v>
      </c>
    </row>
    <row r="5252" spans="1:5" x14ac:dyDescent="0.25">
      <c r="A5252" t="str">
        <f>HYPERLINK("https://www.773grp.com/globalSearch/LP3906SQ-VPFP/page-1", "LP3906SQ-VPFP")</f>
        <v>LP3906SQ-VPFP</v>
      </c>
      <c r="B5252" s="3" t="str">
        <f>HYPERLINK("https://www.773grp.com/manufacturer/national-semiconductor?pageNo=25", "National Semiconductor")</f>
        <v>National Semiconductor</v>
      </c>
      <c r="C5252" s="6">
        <v>8000</v>
      </c>
      <c r="D5252" s="7">
        <v>4.93</v>
      </c>
      <c r="E5252" t="s">
        <v>7</v>
      </c>
    </row>
    <row r="5253" spans="1:5" x14ac:dyDescent="0.25">
      <c r="A5253" t="str">
        <f>HYPERLINK("https://www.773grp.com/globalSearch/OPA2677IRGVR/page-1", "OPA2677IRGVR")</f>
        <v>OPA2677IRGVR</v>
      </c>
      <c r="B5253" s="3" t="str">
        <f>HYPERLINK("https://www.773grp.com/manufacturer/national-semiconductor?pageNo=26", "National Semiconductor")</f>
        <v>National Semiconductor</v>
      </c>
      <c r="C5253" s="6">
        <v>2500</v>
      </c>
      <c r="D5253" s="7">
        <v>4.93</v>
      </c>
    </row>
    <row r="5254" spans="1:5" x14ac:dyDescent="0.25">
      <c r="A5254" t="str">
        <f>HYPERLINK("https://www.773grp.com/globalSearch/TPS2848PWP/page-1", "TPS2848PWP")</f>
        <v>TPS2848PWP</v>
      </c>
      <c r="B5254" s="3" t="str">
        <f>HYPERLINK("https://www.773grp.com/manufacturer/national-semiconductor?pageNo=27", "National Semiconductor")</f>
        <v>National Semiconductor</v>
      </c>
      <c r="C5254" s="6">
        <v>34</v>
      </c>
      <c r="D5254" s="7">
        <v>4.93</v>
      </c>
    </row>
    <row r="5255" spans="1:5" x14ac:dyDescent="0.25">
      <c r="A5255" t="str">
        <f>HYPERLINK("https://www.773grp.com/globalSearch/54AC02DM/page-1", "54AC02DM")</f>
        <v>54AC02DM</v>
      </c>
      <c r="B5255" s="3" t="str">
        <f>HYPERLINK("https://www.773grp.com/manufacturer/national-semiconductor?pageNo=28", "National Semiconductor")</f>
        <v>National Semiconductor</v>
      </c>
      <c r="C5255" s="6">
        <v>66</v>
      </c>
      <c r="D5255" s="7">
        <v>4.95</v>
      </c>
      <c r="E5255" t="s">
        <v>31</v>
      </c>
    </row>
    <row r="5256" spans="1:5" x14ac:dyDescent="0.25">
      <c r="A5256" t="str">
        <f>HYPERLINK("https://www.773grp.com/globalSearch/74S182DC/page-1", "74S182DC")</f>
        <v>74S182DC</v>
      </c>
      <c r="B5256" s="3" t="str">
        <f>HYPERLINK("https://www.773grp.com/manufacturer/national-semiconductor?pageNo=29", "National Semiconductor")</f>
        <v>National Semiconductor</v>
      </c>
      <c r="C5256" s="6">
        <v>33</v>
      </c>
      <c r="D5256" s="7">
        <v>4.95</v>
      </c>
    </row>
    <row r="5257" spans="1:5" x14ac:dyDescent="0.25">
      <c r="A5257" t="str">
        <f>HYPERLINK("https://www.773grp.com/globalSearch/ADC0838CCWM/page-1", "ADC0838CCWM")</f>
        <v>ADC0838CCWM</v>
      </c>
      <c r="B5257" s="3" t="str">
        <f>HYPERLINK("https://www.773grp.com/manufacturer/national-semiconductor?pageNo=30", "National Semiconductor")</f>
        <v>National Semiconductor</v>
      </c>
      <c r="C5257" s="6">
        <v>930</v>
      </c>
      <c r="D5257" s="7">
        <v>4.95</v>
      </c>
      <c r="E5257" t="s">
        <v>39</v>
      </c>
    </row>
    <row r="5258" spans="1:5" x14ac:dyDescent="0.25">
      <c r="A5258" t="str">
        <f>HYPERLINK("https://www.773grp.com/globalSearch/DAC0832LCWM-NOPB/page-1", "DAC0832LCWM-NOPB")</f>
        <v>DAC0832LCWM-NOPB</v>
      </c>
      <c r="B5258" s="3" t="str">
        <f>HYPERLINK("https://www.773grp.com/manufacturer/national-semiconductor?pageNo=31", "National Semiconductor")</f>
        <v>National Semiconductor</v>
      </c>
      <c r="C5258" s="6">
        <v>1737</v>
      </c>
      <c r="D5258" s="7">
        <v>4.95</v>
      </c>
      <c r="E5258" t="s">
        <v>33</v>
      </c>
    </row>
    <row r="5259" spans="1:5" x14ac:dyDescent="0.25">
      <c r="A5259" t="str">
        <f>HYPERLINK("https://www.773grp.com/globalSearch/LF356BMX/page-1", "LF356BMX")</f>
        <v>LF356BMX</v>
      </c>
      <c r="B5259" s="3" t="str">
        <f>HYPERLINK("https://www.773grp.com/manufacturer/national-semiconductor?pageNo=32", "National Semiconductor")</f>
        <v>National Semiconductor</v>
      </c>
      <c r="C5259" s="6">
        <v>803</v>
      </c>
      <c r="D5259" s="7">
        <v>4.95</v>
      </c>
      <c r="E5259" t="s">
        <v>13</v>
      </c>
    </row>
    <row r="5260" spans="1:5" x14ac:dyDescent="0.25">
      <c r="A5260" t="str">
        <f>HYPERLINK("https://www.773grp.com/globalSearch/LM5037MT-NOPB/page-1", "LM5037MT-NOPB")</f>
        <v>LM5037MT-NOPB</v>
      </c>
      <c r="B5260" s="3" t="str">
        <f>HYPERLINK("https://www.773grp.com/manufacturer/national-semiconductor?pageNo=33", "National Semiconductor")</f>
        <v>National Semiconductor</v>
      </c>
      <c r="C5260" s="6">
        <v>26</v>
      </c>
      <c r="D5260" s="7">
        <v>4.95</v>
      </c>
    </row>
    <row r="5261" spans="1:5" x14ac:dyDescent="0.25">
      <c r="A5261" t="str">
        <f>HYPERLINK("https://www.773grp.com/globalSearch/LM5072MHX-80/page-1", "LM5072MHX-80")</f>
        <v>LM5072MHX-80</v>
      </c>
      <c r="B5261" s="3" t="str">
        <f>HYPERLINK("https://www.773grp.com/manufacturer/national-semiconductor?pageNo=34", "National Semiconductor")</f>
        <v>National Semiconductor</v>
      </c>
      <c r="C5261" s="6">
        <v>2500</v>
      </c>
      <c r="D5261" s="7">
        <v>4.95</v>
      </c>
      <c r="E5261" t="s">
        <v>7</v>
      </c>
    </row>
    <row r="5262" spans="1:5" x14ac:dyDescent="0.25">
      <c r="A5262" t="str">
        <f>HYPERLINK("https://www.773grp.com/globalSearch/LM5642MH/page-1", "LM5642MH")</f>
        <v>LM5642MH</v>
      </c>
      <c r="B5262" s="3" t="str">
        <f>HYPERLINK("https://www.773grp.com/manufacturer/national-semiconductor?pageNo=35", "National Semiconductor")</f>
        <v>National Semiconductor</v>
      </c>
      <c r="C5262" s="6">
        <v>22</v>
      </c>
      <c r="D5262" s="7">
        <v>4.95</v>
      </c>
      <c r="E5262" t="s">
        <v>7</v>
      </c>
    </row>
    <row r="5263" spans="1:5" x14ac:dyDescent="0.25">
      <c r="A5263" t="str">
        <f>HYPERLINK("https://www.773grp.com/globalSearch/LM5642XMTX-J7002464/page-1", "LM5642XMTX-J7002464")</f>
        <v>LM5642XMTX-J7002464</v>
      </c>
      <c r="B5263" s="3" t="str">
        <f>HYPERLINK("https://www.773grp.com/manufacturer/national-semiconductor?pageNo=36", "National Semiconductor")</f>
        <v>National Semiconductor</v>
      </c>
      <c r="C5263" s="6">
        <v>87500</v>
      </c>
      <c r="D5263" s="7">
        <v>4.95</v>
      </c>
    </row>
    <row r="5264" spans="1:5" x14ac:dyDescent="0.25">
      <c r="A5264" t="str">
        <f>HYPERLINK("https://www.773grp.com/globalSearch/LMX2370SLDX/page-1", "LMX2370SLDX")</f>
        <v>LMX2370SLDX</v>
      </c>
      <c r="B5264" s="3" t="str">
        <f>HYPERLINK("https://www.773grp.com/manufacturer/national-semiconductor?pageNo=37", "National Semiconductor")</f>
        <v>National Semiconductor</v>
      </c>
      <c r="C5264" s="6">
        <v>18419</v>
      </c>
      <c r="D5264" s="7">
        <v>4.95</v>
      </c>
      <c r="E5264" t="s">
        <v>38</v>
      </c>
    </row>
    <row r="5265" spans="1:5" x14ac:dyDescent="0.25">
      <c r="A5265" t="str">
        <f>HYPERLINK("https://www.773grp.com/globalSearch/DAC0832LCWM-NOPB/page-1", "DAC0832LCWM-NOPB")</f>
        <v>DAC0832LCWM-NOPB</v>
      </c>
      <c r="B5265" s="3" t="str">
        <f>HYPERLINK("https://www.773grp.com/manufacturer/national-semiconductor?pageNo=38", "National Semiconductor")</f>
        <v>National Semiconductor</v>
      </c>
      <c r="C5265" s="6">
        <v>413</v>
      </c>
      <c r="D5265" s="7">
        <v>4.95</v>
      </c>
      <c r="E5265" t="s">
        <v>33</v>
      </c>
    </row>
    <row r="5266" spans="1:5" x14ac:dyDescent="0.25">
      <c r="A5266" t="str">
        <f>HYPERLINK("https://www.773grp.com/globalSearch/LM395T/page-1", "LM395T")</f>
        <v>LM395T</v>
      </c>
      <c r="B5266" s="3" t="str">
        <f>HYPERLINK("https://www.773grp.com/manufacturer/national-semiconductor?pageNo=39", "National Semiconductor")</f>
        <v>National Semiconductor</v>
      </c>
      <c r="C5266" s="6">
        <v>180</v>
      </c>
      <c r="D5266" s="7">
        <v>4.95</v>
      </c>
    </row>
    <row r="5267" spans="1:5" x14ac:dyDescent="0.25">
      <c r="A5267" t="str">
        <f>HYPERLINK("https://www.773grp.com/globalSearch/LM4051AIM3-1.2/page-1", "LM4051AIM3-1.2")</f>
        <v>LM4051AIM3-1.2</v>
      </c>
      <c r="B5267" s="3" t="str">
        <f>HYPERLINK("https://www.773grp.com/manufacturer/national-semiconductor?pageNo=40", "National Semiconductor")</f>
        <v>National Semiconductor</v>
      </c>
      <c r="C5267" s="6">
        <v>3999</v>
      </c>
      <c r="D5267" s="7">
        <v>4.95</v>
      </c>
    </row>
    <row r="5268" spans="1:5" x14ac:dyDescent="0.25">
      <c r="A5268" t="str">
        <f>HYPERLINK("https://www.773grp.com/globalSearch/LM5010AMH-NOPB/page-1", "LM5010AMH-NOPB")</f>
        <v>LM5010AMH-NOPB</v>
      </c>
      <c r="B5268" s="3" t="str">
        <f>HYPERLINK("https://www.773grp.com/manufacturer/national-semiconductor?pageNo=41", "National Semiconductor")</f>
        <v>National Semiconductor</v>
      </c>
      <c r="C5268" s="6">
        <v>985</v>
      </c>
      <c r="D5268" s="7">
        <v>4.95</v>
      </c>
    </row>
    <row r="5269" spans="1:5" x14ac:dyDescent="0.25">
      <c r="A5269" t="str">
        <f>HYPERLINK("https://www.773grp.com/globalSearch/LM5037MT-NOPB/page-1", "LM5037MT-NOPB")</f>
        <v>LM5037MT-NOPB</v>
      </c>
      <c r="B5269" s="3" t="str">
        <f>HYPERLINK("https://www.773grp.com/manufacturer/national-semiconductor?pageNo=42", "National Semiconductor")</f>
        <v>National Semiconductor</v>
      </c>
      <c r="C5269" s="6">
        <v>917</v>
      </c>
      <c r="D5269" s="7">
        <v>4.95</v>
      </c>
    </row>
    <row r="5270" spans="1:5" x14ac:dyDescent="0.25">
      <c r="A5270" t="str">
        <f>HYPERLINK("https://www.773grp.com/globalSearch/LM5037MT-NOPB/page-1", "LM5037MT-NOPB")</f>
        <v>LM5037MT-NOPB</v>
      </c>
      <c r="B5270" s="3" t="str">
        <f>HYPERLINK("https://www.773grp.com/manufacturer/national-semiconductor?pageNo=43", "National Semiconductor")</f>
        <v>National Semiconductor</v>
      </c>
      <c r="C5270" s="6">
        <v>273</v>
      </c>
      <c r="D5270" s="7">
        <v>4.95</v>
      </c>
    </row>
    <row r="5271" spans="1:5" x14ac:dyDescent="0.25">
      <c r="A5271" t="str">
        <f>HYPERLINK("https://www.773grp.com/globalSearch/LM5088MH-1-NOPB/page-1", "LM5088MH-1-NOPB")</f>
        <v>LM5088MH-1-NOPB</v>
      </c>
      <c r="B5271" s="3" t="str">
        <f>HYPERLINK("https://www.773grp.com/manufacturer/national-semiconductor?pageNo=44", "National Semiconductor")</f>
        <v>National Semiconductor</v>
      </c>
      <c r="C5271" s="6">
        <v>902</v>
      </c>
      <c r="D5271" s="7">
        <v>4.95</v>
      </c>
    </row>
    <row r="5272" spans="1:5" x14ac:dyDescent="0.25">
      <c r="A5272" t="str">
        <f>HYPERLINK("https://www.773grp.com/globalSearch/LM5088MH-2-NOPB/page-1", "LM5088MH-2-NOPB")</f>
        <v>LM5088MH-2-NOPB</v>
      </c>
      <c r="B5272" s="3" t="str">
        <f>HYPERLINK("https://www.773grp.com/manufacturer/national-semiconductor?pageNo=45", "National Semiconductor")</f>
        <v>National Semiconductor</v>
      </c>
      <c r="C5272" s="6">
        <v>721</v>
      </c>
      <c r="D5272" s="7">
        <v>4.95</v>
      </c>
    </row>
    <row r="5273" spans="1:5" x14ac:dyDescent="0.25">
      <c r="A5273" t="str">
        <f>HYPERLINK("https://www.773grp.com/globalSearch/LM5642MH/page-1", "LM5642MH")</f>
        <v>LM5642MH</v>
      </c>
      <c r="B5273" s="3" t="str">
        <f>HYPERLINK("https://www.773grp.com/manufacturer/national-semiconductor?pageNo=46", "National Semiconductor")</f>
        <v>National Semiconductor</v>
      </c>
      <c r="C5273" s="6">
        <v>48</v>
      </c>
      <c r="D5273" s="7">
        <v>4.95</v>
      </c>
      <c r="E5273" t="s">
        <v>7</v>
      </c>
    </row>
    <row r="5274" spans="1:5" x14ac:dyDescent="0.25">
      <c r="A5274" t="str">
        <f>HYPERLINK("https://www.773grp.com/globalSearch/74126PC/page-1", "74126PC")</f>
        <v>74126PC</v>
      </c>
      <c r="B5274" s="3" t="str">
        <f>HYPERLINK("https://www.773grp.com/manufacturer/national-semiconductor?pageNo=47", "National Semiconductor")</f>
        <v>National Semiconductor</v>
      </c>
      <c r="C5274" s="6">
        <v>5403</v>
      </c>
      <c r="D5274" s="7">
        <v>4.9800000000000004</v>
      </c>
    </row>
    <row r="5275" spans="1:5" x14ac:dyDescent="0.25">
      <c r="A5275" t="str">
        <f>HYPERLINK("https://www.773grp.com/globalSearch/933PC/page-1", "933PC")</f>
        <v>933PC</v>
      </c>
      <c r="B5275" s="3" t="str">
        <f>HYPERLINK("https://www.773grp.com/manufacturer/national-semiconductor?pageNo=48", "National Semiconductor")</f>
        <v>National Semiconductor</v>
      </c>
      <c r="C5275" s="6">
        <v>3826</v>
      </c>
      <c r="D5275" s="7">
        <v>4.9800000000000004</v>
      </c>
      <c r="E5275" t="s">
        <v>31</v>
      </c>
    </row>
    <row r="5276" spans="1:5" x14ac:dyDescent="0.25">
      <c r="A5276" t="str">
        <f>HYPERLINK("https://www.773grp.com/globalSearch/ADC0804LCN/page-1", "ADC0804LCN")</f>
        <v>ADC0804LCN</v>
      </c>
      <c r="B5276" s="3" t="str">
        <f>HYPERLINK("https://www.773grp.com/manufacturer/national-semiconductor?pageNo=49", "National Semiconductor")</f>
        <v>National Semiconductor</v>
      </c>
      <c r="C5276" s="6">
        <v>219</v>
      </c>
      <c r="D5276" s="7">
        <v>4.9800000000000004</v>
      </c>
      <c r="E5276" t="s">
        <v>39</v>
      </c>
    </row>
    <row r="5277" spans="1:5" x14ac:dyDescent="0.25">
      <c r="A5277" t="str">
        <f>HYPERLINK("https://www.773grp.com/globalSearch/LM311J-8/page-1", "LM311J-8")</f>
        <v>LM311J-8</v>
      </c>
      <c r="B5277" s="3" t="str">
        <f>HYPERLINK("https://www.773grp.com/manufacturer/national-semiconductor?pageNo=50", "National Semiconductor")</f>
        <v>National Semiconductor</v>
      </c>
      <c r="C5277" s="6">
        <v>5052</v>
      </c>
      <c r="D5277" s="7">
        <v>4.9800000000000004</v>
      </c>
      <c r="E5277" t="s">
        <v>9</v>
      </c>
    </row>
    <row r="5278" spans="1:5" x14ac:dyDescent="0.25">
      <c r="A5278" t="str">
        <f>HYPERLINK("https://www.773grp.com/globalSearch/LMH6624MF-NOPB/page-1", "LMH6624MF-NOPB")</f>
        <v>LMH6624MF-NOPB</v>
      </c>
      <c r="B5278" s="3" t="str">
        <f>HYPERLINK("https://www.773grp.com/manufacturer/national-semiconductor?pageNo=51", "National Semiconductor")</f>
        <v>National Semiconductor</v>
      </c>
      <c r="C5278" s="6">
        <v>810</v>
      </c>
      <c r="D5278" s="7">
        <v>4.9800000000000004</v>
      </c>
      <c r="E5278" t="s">
        <v>13</v>
      </c>
    </row>
    <row r="5279" spans="1:5" x14ac:dyDescent="0.25">
      <c r="A5279" t="str">
        <f>HYPERLINK("https://www.773grp.com/globalSearch/LMX2330USLBX/page-1", "LMX2330USLBX")</f>
        <v>LMX2330USLBX</v>
      </c>
      <c r="B5279" s="3" t="str">
        <f>HYPERLINK("https://www.773grp.com/manufacturer/national-semiconductor?pageNo=52", "National Semiconductor")</f>
        <v>National Semiconductor</v>
      </c>
      <c r="C5279" s="6">
        <v>7495</v>
      </c>
      <c r="D5279" s="7">
        <v>4.9800000000000004</v>
      </c>
      <c r="E5279" t="s">
        <v>38</v>
      </c>
    </row>
    <row r="5280" spans="1:5" x14ac:dyDescent="0.25">
      <c r="A5280" t="str">
        <f>HYPERLINK("https://www.773grp.com/globalSearch/LMX2354SLDX/page-1", "LMX2354SLDX")</f>
        <v>LMX2354SLDX</v>
      </c>
      <c r="B5280" s="3" t="str">
        <f>HYPERLINK("https://www.773grp.com/manufacturer/national-semiconductor?pageNo=53", "National Semiconductor")</f>
        <v>National Semiconductor</v>
      </c>
      <c r="C5280" s="6">
        <v>10000</v>
      </c>
      <c r="D5280" s="7">
        <v>4.9800000000000004</v>
      </c>
      <c r="E5280" t="s">
        <v>38</v>
      </c>
    </row>
    <row r="5281" spans="1:5" x14ac:dyDescent="0.25">
      <c r="A5281" t="str">
        <f>HYPERLINK("https://www.773grp.com/globalSearch/LP3893ES-1.5/page-1", "LP3893ES-1.5")</f>
        <v>LP3893ES-1.5</v>
      </c>
      <c r="B5281" s="3" t="str">
        <f>HYPERLINK("https://www.773grp.com/manufacturer/national-semiconductor?pageNo=54", "National Semiconductor")</f>
        <v>National Semiconductor</v>
      </c>
      <c r="C5281" s="6">
        <v>2905</v>
      </c>
      <c r="D5281" s="7">
        <v>4.9800000000000004</v>
      </c>
      <c r="E5281" t="s">
        <v>19</v>
      </c>
    </row>
    <row r="5282" spans="1:5" x14ac:dyDescent="0.25">
      <c r="A5282" t="str">
        <f>HYPERLINK("https://www.773grp.com/globalSearch/LP3893ES-1.5-NOPB/page-1", "LP3893ES-1.5-NOPB")</f>
        <v>LP3893ES-1.5-NOPB</v>
      </c>
      <c r="B5282" s="3" t="str">
        <f>HYPERLINK("https://www.773grp.com/manufacturer/national-semiconductor?pageNo=55", "National Semiconductor")</f>
        <v>National Semiconductor</v>
      </c>
      <c r="C5282" s="6">
        <v>18</v>
      </c>
      <c r="D5282" s="7">
        <v>4.9800000000000004</v>
      </c>
      <c r="E5282" t="s">
        <v>19</v>
      </c>
    </row>
    <row r="5283" spans="1:5" x14ac:dyDescent="0.25">
      <c r="A5283" t="str">
        <f>HYPERLINK("https://www.773grp.com/globalSearch/UA393RC/page-1", "UA393RC")</f>
        <v>UA393RC</v>
      </c>
      <c r="B5283" s="3" t="str">
        <f>HYPERLINK("https://www.773grp.com/manufacturer/national-semiconductor?pageNo=56", "National Semiconductor")</f>
        <v>National Semiconductor</v>
      </c>
      <c r="C5283" s="6">
        <v>250</v>
      </c>
      <c r="D5283" s="7">
        <v>4.9800000000000004</v>
      </c>
    </row>
    <row r="5284" spans="1:5" x14ac:dyDescent="0.25">
      <c r="A5284" t="str">
        <f>HYPERLINK("https://www.773grp.com/globalSearch/ADC0809CCN-NOPB/page-1", "ADC0809CCN-NOPB")</f>
        <v>ADC0809CCN-NOPB</v>
      </c>
      <c r="B5284" s="3" t="str">
        <f>HYPERLINK("https://www.773grp.com/manufacturer/national-semiconductor?pageNo=57", "National Semiconductor")</f>
        <v>National Semiconductor</v>
      </c>
      <c r="C5284" s="6">
        <v>223</v>
      </c>
      <c r="D5284" s="7">
        <v>4.9800000000000004</v>
      </c>
      <c r="E5284" t="s">
        <v>39</v>
      </c>
    </row>
    <row r="5285" spans="1:5" x14ac:dyDescent="0.25">
      <c r="A5285" t="str">
        <f>HYPERLINK("https://www.773grp.com/globalSearch/LMH6624MAX-NOPB/page-1", "LMH6624MAX-NOPB")</f>
        <v>LMH6624MAX-NOPB</v>
      </c>
      <c r="B5285" s="3" t="str">
        <f>HYPERLINK("https://www.773grp.com/manufacturer/national-semiconductor?pageNo=58", "National Semiconductor")</f>
        <v>National Semiconductor</v>
      </c>
      <c r="C5285" s="6">
        <v>7500</v>
      </c>
      <c r="D5285" s="7">
        <v>4.9800000000000004</v>
      </c>
    </row>
    <row r="5286" spans="1:5" x14ac:dyDescent="0.25">
      <c r="A5286" t="str">
        <f>HYPERLINK("https://www.773grp.com/globalSearch/LMH6624MFX-NOPB/page-1", "LMH6624MFX-NOPB")</f>
        <v>LMH6624MFX-NOPB</v>
      </c>
      <c r="B5286" s="3" t="str">
        <f>HYPERLINK("https://www.773grp.com/manufacturer/national-semiconductor?pageNo=59", "National Semiconductor")</f>
        <v>National Semiconductor</v>
      </c>
      <c r="C5286" s="6">
        <v>3000</v>
      </c>
      <c r="D5286" s="7">
        <v>4.9800000000000004</v>
      </c>
    </row>
    <row r="5287" spans="1:5" x14ac:dyDescent="0.25">
      <c r="A5287" t="str">
        <f>HYPERLINK("https://www.773grp.com/globalSearch/100135DC/page-1", "100135DC")</f>
        <v>100135DC</v>
      </c>
      <c r="B5287" s="3" t="str">
        <f>HYPERLINK("https://www.773grp.com/manufacturer/national-semiconductor?pageNo=60", "National Semiconductor")</f>
        <v>National Semiconductor</v>
      </c>
      <c r="C5287" s="6">
        <v>1190</v>
      </c>
      <c r="D5287" s="7">
        <v>5.01</v>
      </c>
      <c r="E5287" t="s">
        <v>35</v>
      </c>
    </row>
    <row r="5288" spans="1:5" x14ac:dyDescent="0.25">
      <c r="A5288" t="str">
        <f>HYPERLINK("https://www.773grp.com/globalSearch/930PC/page-1", "930PC")</f>
        <v>930PC</v>
      </c>
      <c r="B5288" s="3" t="str">
        <f>HYPERLINK("https://www.773grp.com/manufacturer/national-semiconductor?pageNo=61", "National Semiconductor")</f>
        <v>National Semiconductor</v>
      </c>
      <c r="C5288" s="6">
        <v>990</v>
      </c>
      <c r="D5288" s="7">
        <v>5.01</v>
      </c>
      <c r="E5288" t="s">
        <v>31</v>
      </c>
    </row>
    <row r="5289" spans="1:5" x14ac:dyDescent="0.25">
      <c r="A5289" t="str">
        <f>HYPERLINK("https://www.773grp.com/globalSearch/DS75121N/page-1", "DS75121N")</f>
        <v>DS75121N</v>
      </c>
      <c r="B5289" s="3" t="str">
        <f>HYPERLINK("https://www.773grp.com/manufacturer/national-semiconductor?pageNo=62", "National Semiconductor")</f>
        <v>National Semiconductor</v>
      </c>
      <c r="C5289" s="6">
        <v>2925</v>
      </c>
      <c r="D5289" s="7">
        <v>5.01</v>
      </c>
      <c r="E5289" t="s">
        <v>21</v>
      </c>
    </row>
    <row r="5290" spans="1:5" x14ac:dyDescent="0.25">
      <c r="A5290" t="str">
        <f>HYPERLINK("https://www.773grp.com/globalSearch/DS75123N/page-1", "DS75123N")</f>
        <v>DS75123N</v>
      </c>
      <c r="B5290" s="3" t="str">
        <f>HYPERLINK("https://www.773grp.com/manufacturer/national-semiconductor?pageNo=63", "National Semiconductor")</f>
        <v>National Semiconductor</v>
      </c>
      <c r="C5290" s="6">
        <v>7760</v>
      </c>
      <c r="D5290" s="7">
        <v>5.01</v>
      </c>
      <c r="E5290" t="s">
        <v>21</v>
      </c>
    </row>
    <row r="5291" spans="1:5" x14ac:dyDescent="0.25">
      <c r="A5291" t="str">
        <f>HYPERLINK("https://www.773grp.com/globalSearch/DS75124N/page-1", "DS75124N")</f>
        <v>DS75124N</v>
      </c>
      <c r="B5291" s="3" t="str">
        <f>HYPERLINK("https://www.773grp.com/manufacturer/national-semiconductor?pageNo=64", "National Semiconductor")</f>
        <v>National Semiconductor</v>
      </c>
      <c r="C5291" s="6">
        <v>166</v>
      </c>
      <c r="D5291" s="7">
        <v>5.01</v>
      </c>
      <c r="E5291" t="s">
        <v>21</v>
      </c>
    </row>
    <row r="5292" spans="1:5" x14ac:dyDescent="0.25">
      <c r="A5292" t="str">
        <f>HYPERLINK("https://www.773grp.com/globalSearch/DS96173CN/page-1", "DS96173CN")</f>
        <v>DS96173CN</v>
      </c>
      <c r="B5292" s="3" t="str">
        <f>HYPERLINK("https://www.773grp.com/manufacturer/national-semiconductor?pageNo=65", "National Semiconductor")</f>
        <v>National Semiconductor</v>
      </c>
      <c r="C5292" s="6">
        <v>29</v>
      </c>
      <c r="D5292" s="7">
        <v>5.01</v>
      </c>
      <c r="E5292" t="s">
        <v>21</v>
      </c>
    </row>
    <row r="5293" spans="1:5" x14ac:dyDescent="0.25">
      <c r="A5293" t="str">
        <f>HYPERLINK("https://www.773grp.com/globalSearch/FPD64101VJH/page-1", "FPD64101VJH")</f>
        <v>FPD64101VJH</v>
      </c>
      <c r="B5293" s="3" t="str">
        <f>HYPERLINK("https://www.773grp.com/manufacturer/national-semiconductor?pageNo=66", "National Semiconductor")</f>
        <v>National Semiconductor</v>
      </c>
      <c r="C5293" s="6">
        <v>10263</v>
      </c>
      <c r="D5293" s="7">
        <v>5.01</v>
      </c>
    </row>
    <row r="5294" spans="1:5" x14ac:dyDescent="0.25">
      <c r="A5294" t="str">
        <f>HYPERLINK("https://www.773grp.com/globalSearch/LM22675MRE-5.0-NOPB/page-1", "LM22675MRE-5.0-NOPB")</f>
        <v>LM22675MRE-5.0-NOPB</v>
      </c>
      <c r="B5294" s="3" t="str">
        <f>HYPERLINK("https://www.773grp.com/manufacturer/national-semiconductor?pageNo=67", "National Semiconductor")</f>
        <v>National Semiconductor</v>
      </c>
      <c r="C5294" s="6">
        <v>2000</v>
      </c>
      <c r="D5294" s="7">
        <v>5.01</v>
      </c>
      <c r="E5294" t="s">
        <v>7</v>
      </c>
    </row>
    <row r="5295" spans="1:5" x14ac:dyDescent="0.25">
      <c r="A5295" t="str">
        <f>HYPERLINK("https://www.773grp.com/globalSearch/LM25037QMT-NOPB/page-1", "LM25037QMT-NOPB")</f>
        <v>LM25037QMT-NOPB</v>
      </c>
      <c r="B5295" s="3" t="str">
        <f>HYPERLINK("https://www.773grp.com/manufacturer/national-semiconductor?pageNo=68", "National Semiconductor")</f>
        <v>National Semiconductor</v>
      </c>
      <c r="C5295" s="6">
        <v>354</v>
      </c>
      <c r="D5295" s="7">
        <v>5.01</v>
      </c>
    </row>
    <row r="5296" spans="1:5" x14ac:dyDescent="0.25">
      <c r="A5296" t="str">
        <f>HYPERLINK("https://www.773grp.com/globalSearch/LM2642MTC-NOPB/page-1", "LM2642MTC-NOPB")</f>
        <v>LM2642MTC-NOPB</v>
      </c>
      <c r="B5296" s="3" t="str">
        <f>HYPERLINK("https://www.773grp.com/manufacturer/national-semiconductor?pageNo=69", "National Semiconductor")</f>
        <v>National Semiconductor</v>
      </c>
      <c r="C5296" s="6">
        <v>1721</v>
      </c>
      <c r="D5296" s="7">
        <v>5.01</v>
      </c>
      <c r="E5296" t="s">
        <v>7</v>
      </c>
    </row>
    <row r="5297" spans="1:5" x14ac:dyDescent="0.25">
      <c r="A5297" t="str">
        <f>HYPERLINK("https://www.773grp.com/globalSearch/LM3150MHE-NOPB/page-1", "LM3150MHE-NOPB")</f>
        <v>LM3150MHE-NOPB</v>
      </c>
      <c r="B5297" s="3" t="str">
        <f>HYPERLINK("https://www.773grp.com/manufacturer/national-semiconductor?pageNo=70", "National Semiconductor")</f>
        <v>National Semiconductor</v>
      </c>
      <c r="C5297" s="6">
        <v>62</v>
      </c>
      <c r="D5297" s="7">
        <v>5.01</v>
      </c>
      <c r="E5297" t="s">
        <v>7</v>
      </c>
    </row>
    <row r="5298" spans="1:5" x14ac:dyDescent="0.25">
      <c r="A5298" t="str">
        <f>HYPERLINK("https://www.773grp.com/globalSearch/LM3151MHE-3.3-NOPB/page-1", "LM3151MHE-3.3-NOPB")</f>
        <v>LM3151MHE-3.3-NOPB</v>
      </c>
      <c r="B5298" s="3" t="str">
        <f>HYPERLINK("https://www.773grp.com/manufacturer/national-semiconductor?pageNo=71", "National Semiconductor")</f>
        <v>National Semiconductor</v>
      </c>
      <c r="C5298" s="6">
        <v>220</v>
      </c>
      <c r="D5298" s="7">
        <v>5.01</v>
      </c>
    </row>
    <row r="5299" spans="1:5" x14ac:dyDescent="0.25">
      <c r="A5299" t="str">
        <f>HYPERLINK("https://www.773grp.com/globalSearch/LM3152MHE-3.3-NOPB/page-1", "LM3152MHE-3.3-NOPB")</f>
        <v>LM3152MHE-3.3-NOPB</v>
      </c>
      <c r="B5299" s="3" t="str">
        <f>HYPERLINK("https://www.773grp.com/manufacturer/national-semiconductor?pageNo=72", "National Semiconductor")</f>
        <v>National Semiconductor</v>
      </c>
      <c r="C5299" s="6">
        <v>1596</v>
      </c>
      <c r="D5299" s="7">
        <v>5.01</v>
      </c>
    </row>
    <row r="5300" spans="1:5" x14ac:dyDescent="0.25">
      <c r="A5300" t="str">
        <f>HYPERLINK("https://www.773grp.com/globalSearch/LM3153MHE-3.3-NOPB/page-1", "LM3153MHE-3.3-NOPB")</f>
        <v>LM3153MHE-3.3-NOPB</v>
      </c>
      <c r="B5300" s="3" t="str">
        <f>HYPERLINK("https://www.773grp.com/manufacturer/national-semiconductor?pageNo=73", "National Semiconductor")</f>
        <v>National Semiconductor</v>
      </c>
      <c r="C5300" s="6">
        <v>1108</v>
      </c>
      <c r="D5300" s="7">
        <v>5.01</v>
      </c>
    </row>
    <row r="5301" spans="1:5" x14ac:dyDescent="0.25">
      <c r="A5301" t="str">
        <f>HYPERLINK("https://www.773grp.com/globalSearch/LM5001SDE-NOPB/page-1", "LM5001SDE-NOPB")</f>
        <v>LM5001SDE-NOPB</v>
      </c>
      <c r="B5301" s="3" t="str">
        <f>HYPERLINK("https://www.773grp.com/manufacturer/national-semiconductor?pageNo=74", "National Semiconductor")</f>
        <v>National Semiconductor</v>
      </c>
      <c r="C5301" s="6">
        <v>250</v>
      </c>
      <c r="D5301" s="7">
        <v>5.01</v>
      </c>
    </row>
    <row r="5302" spans="1:5" x14ac:dyDescent="0.25">
      <c r="A5302" t="str">
        <f>HYPERLINK("https://www.773grp.com/globalSearch/LM6152BCM-NOPB/page-1", "LM6152BCM-NOPB")</f>
        <v>LM6152BCM-NOPB</v>
      </c>
      <c r="B5302" s="3" t="str">
        <f>HYPERLINK("https://www.773grp.com/manufacturer/national-semiconductor?pageNo=75", "National Semiconductor")</f>
        <v>National Semiconductor</v>
      </c>
      <c r="C5302" s="6">
        <v>93</v>
      </c>
      <c r="D5302" s="7">
        <v>5.01</v>
      </c>
      <c r="E5302" t="s">
        <v>13</v>
      </c>
    </row>
    <row r="5303" spans="1:5" x14ac:dyDescent="0.25">
      <c r="A5303" t="str">
        <f>HYPERLINK("https://www.773grp.com/globalSearch/LMC6042AIN/page-1", "LMC6042AIN")</f>
        <v>LMC6042AIN</v>
      </c>
      <c r="B5303" s="3" t="str">
        <f>HYPERLINK("https://www.773grp.com/manufacturer/national-semiconductor?pageNo=76", "National Semiconductor")</f>
        <v>National Semiconductor</v>
      </c>
      <c r="C5303" s="6">
        <v>460</v>
      </c>
      <c r="D5303" s="7">
        <v>5.01</v>
      </c>
      <c r="E5303" t="s">
        <v>13</v>
      </c>
    </row>
    <row r="5304" spans="1:5" x14ac:dyDescent="0.25">
      <c r="A5304" t="str">
        <f>HYPERLINK("https://www.773grp.com/globalSearch/LMC6042IN/page-1", "LMC6042IN")</f>
        <v>LMC6042IN</v>
      </c>
      <c r="B5304" s="3" t="str">
        <f>HYPERLINK("https://www.773grp.com/manufacturer/national-semiconductor?pageNo=77", "National Semiconductor")</f>
        <v>National Semiconductor</v>
      </c>
      <c r="C5304" s="6">
        <v>2155</v>
      </c>
      <c r="D5304" s="7">
        <v>5.01</v>
      </c>
      <c r="E5304" t="s">
        <v>13</v>
      </c>
    </row>
    <row r="5305" spans="1:5" x14ac:dyDescent="0.25">
      <c r="A5305" t="str">
        <f>HYPERLINK("https://www.773grp.com/globalSearch/LMC6484AIM/page-1", "LMC6484AIM")</f>
        <v>LMC6484AIM</v>
      </c>
      <c r="B5305" s="3" t="str">
        <f>HYPERLINK("https://www.773grp.com/manufacturer/national-semiconductor?pageNo=78", "National Semiconductor")</f>
        <v>National Semiconductor</v>
      </c>
      <c r="C5305" s="6">
        <v>35</v>
      </c>
      <c r="D5305" s="7">
        <v>5.01</v>
      </c>
      <c r="E5305" t="s">
        <v>13</v>
      </c>
    </row>
    <row r="5306" spans="1:5" x14ac:dyDescent="0.25">
      <c r="A5306" t="str">
        <f>HYPERLINK("https://www.773grp.com/globalSearch/LMC662EN/page-1", "LMC662EN")</f>
        <v>LMC662EN</v>
      </c>
      <c r="B5306" s="3" t="str">
        <f>HYPERLINK("https://www.773grp.com/manufacturer/national-semiconductor?pageNo=79", "National Semiconductor")</f>
        <v>National Semiconductor</v>
      </c>
      <c r="C5306" s="6">
        <v>3874</v>
      </c>
      <c r="D5306" s="7">
        <v>5.01</v>
      </c>
      <c r="E5306" t="s">
        <v>13</v>
      </c>
    </row>
    <row r="5307" spans="1:5" x14ac:dyDescent="0.25">
      <c r="A5307" t="str">
        <f>HYPERLINK("https://www.773grp.com/globalSearch/LMP2234BMAE-NOPB/page-1", "LMP2234BMAE-NOPB")</f>
        <v>LMP2234BMAE-NOPB</v>
      </c>
      <c r="B5307" s="3" t="str">
        <f>HYPERLINK("https://www.773grp.com/manufacturer/national-semiconductor?pageNo=80", "National Semiconductor")</f>
        <v>National Semiconductor</v>
      </c>
      <c r="C5307" s="6">
        <v>250</v>
      </c>
      <c r="D5307" s="7">
        <v>5.01</v>
      </c>
    </row>
    <row r="5308" spans="1:5" x14ac:dyDescent="0.25">
      <c r="A5308" t="str">
        <f>HYPERLINK("https://www.773grp.com/globalSearch/LMP2234BMTE-NOPB/page-1", "LMP2234BMTE-NOPB")</f>
        <v>LMP2234BMTE-NOPB</v>
      </c>
      <c r="B5308" s="3" t="str">
        <f>HYPERLINK("https://www.773grp.com/manufacturer/national-semiconductor?pageNo=81", "National Semiconductor")</f>
        <v>National Semiconductor</v>
      </c>
      <c r="C5308" s="6">
        <v>250</v>
      </c>
      <c r="D5308" s="7">
        <v>5.01</v>
      </c>
    </row>
    <row r="5309" spans="1:5" x14ac:dyDescent="0.25">
      <c r="A5309" t="str">
        <f>HYPERLINK("https://www.773grp.com/globalSearch/LP3963ES-2.5-NOPB/page-1", "LP3963ES-2.5-NOPB")</f>
        <v>LP3963ES-2.5-NOPB</v>
      </c>
      <c r="B5309" s="3" t="str">
        <f>HYPERLINK("https://www.773grp.com/manufacturer/national-semiconductor?pageNo=82", "National Semiconductor")</f>
        <v>National Semiconductor</v>
      </c>
      <c r="C5309" s="6">
        <v>754</v>
      </c>
      <c r="D5309" s="7">
        <v>5.01</v>
      </c>
      <c r="E5309" t="s">
        <v>19</v>
      </c>
    </row>
    <row r="5310" spans="1:5" x14ac:dyDescent="0.25">
      <c r="A5310" t="str">
        <f>HYPERLINK("https://www.773grp.com/globalSearch/LP3963ES-3.3-NOPB/page-1", "LP3963ES-3.3-NOPB")</f>
        <v>LP3963ES-3.3-NOPB</v>
      </c>
      <c r="B5310" s="3" t="str">
        <f>HYPERLINK("https://www.773grp.com/manufacturer/national-semiconductor?pageNo=83", "National Semiconductor")</f>
        <v>National Semiconductor</v>
      </c>
      <c r="C5310" s="6">
        <v>350</v>
      </c>
      <c r="D5310" s="7">
        <v>5.01</v>
      </c>
      <c r="E5310" t="s">
        <v>19</v>
      </c>
    </row>
    <row r="5311" spans="1:5" x14ac:dyDescent="0.25">
      <c r="A5311" t="str">
        <f>HYPERLINK("https://www.773grp.com/globalSearch/LM20125MHE-NOPB/page-1", "LM20125MHE-NOPB")</f>
        <v>LM20125MHE-NOPB</v>
      </c>
      <c r="B5311" s="3" t="str">
        <f>HYPERLINK("https://www.773grp.com/manufacturer/national-semiconductor?pageNo=84", "National Semiconductor")</f>
        <v>National Semiconductor</v>
      </c>
      <c r="C5311" s="6">
        <v>250</v>
      </c>
      <c r="D5311" s="7">
        <v>5.01</v>
      </c>
    </row>
    <row r="5312" spans="1:5" x14ac:dyDescent="0.25">
      <c r="A5312" t="str">
        <f>HYPERLINK("https://www.773grp.com/globalSearch/LM20145MHE-NOPB/page-1", "LM20145MHE-NOPB")</f>
        <v>LM20145MHE-NOPB</v>
      </c>
      <c r="B5312" s="3" t="str">
        <f>HYPERLINK("https://www.773grp.com/manufacturer/national-semiconductor?pageNo=85", "National Semiconductor")</f>
        <v>National Semiconductor</v>
      </c>
      <c r="C5312" s="6">
        <v>230</v>
      </c>
      <c r="D5312" s="7">
        <v>5.01</v>
      </c>
    </row>
    <row r="5313" spans="1:5" x14ac:dyDescent="0.25">
      <c r="A5313" t="str">
        <f>HYPERLINK("https://www.773grp.com/globalSearch/LM22675MRE-5.0-NOPB/page-1", "LM22675MRE-5.0-NOPB")</f>
        <v>LM22675MRE-5.0-NOPB</v>
      </c>
      <c r="B5313" s="3" t="str">
        <f>HYPERLINK("https://www.773grp.com/manufacturer/national-semiconductor?pageNo=86", "National Semiconductor")</f>
        <v>National Semiconductor</v>
      </c>
      <c r="C5313" s="6">
        <v>1114</v>
      </c>
      <c r="D5313" s="7">
        <v>5.01</v>
      </c>
      <c r="E5313" t="s">
        <v>7</v>
      </c>
    </row>
    <row r="5314" spans="1:5" x14ac:dyDescent="0.25">
      <c r="A5314" t="str">
        <f>HYPERLINK("https://www.773grp.com/globalSearch/LM22675MRE-ADJ-NOPB/page-1", "LM22675MRE-ADJ-NOPB")</f>
        <v>LM22675MRE-ADJ-NOPB</v>
      </c>
      <c r="B5314" s="3" t="str">
        <f>HYPERLINK("https://www.773grp.com/manufacturer/national-semiconductor?pageNo=87", "National Semiconductor")</f>
        <v>National Semiconductor</v>
      </c>
      <c r="C5314" s="6">
        <v>1510</v>
      </c>
      <c r="D5314" s="7">
        <v>5.01</v>
      </c>
    </row>
    <row r="5315" spans="1:5" x14ac:dyDescent="0.25">
      <c r="A5315" t="str">
        <f>HYPERLINK("https://www.773grp.com/globalSearch/LM25037QMT-NOPB/page-1", "LM25037QMT-NOPB")</f>
        <v>LM25037QMT-NOPB</v>
      </c>
      <c r="B5315" s="3" t="str">
        <f>HYPERLINK("https://www.773grp.com/manufacturer/national-semiconductor?pageNo=88", "National Semiconductor")</f>
        <v>National Semiconductor</v>
      </c>
      <c r="C5315" s="6">
        <v>1036</v>
      </c>
      <c r="D5315" s="7">
        <v>5.01</v>
      </c>
    </row>
    <row r="5316" spans="1:5" x14ac:dyDescent="0.25">
      <c r="A5316" t="str">
        <f>HYPERLINK("https://www.773grp.com/globalSearch/LM2642MTC-NOPB/page-1", "LM2642MTC-NOPB")</f>
        <v>LM2642MTC-NOPB</v>
      </c>
      <c r="B5316" s="3" t="str">
        <f>HYPERLINK("https://www.773grp.com/manufacturer/national-semiconductor?pageNo=89", "National Semiconductor")</f>
        <v>National Semiconductor</v>
      </c>
      <c r="C5316" s="6">
        <v>269</v>
      </c>
      <c r="D5316" s="7">
        <v>5.01</v>
      </c>
      <c r="E5316" t="s">
        <v>7</v>
      </c>
    </row>
    <row r="5317" spans="1:5" x14ac:dyDescent="0.25">
      <c r="A5317" t="str">
        <f>HYPERLINK("https://www.773grp.com/globalSearch/LM3150MHE-NOPB/page-1", "LM3150MHE-NOPB")</f>
        <v>LM3150MHE-NOPB</v>
      </c>
      <c r="B5317" s="3" t="str">
        <f>HYPERLINK("https://www.773grp.com/manufacturer/national-semiconductor?pageNo=90", "National Semiconductor")</f>
        <v>National Semiconductor</v>
      </c>
      <c r="C5317" s="6">
        <v>603</v>
      </c>
      <c r="D5317" s="7">
        <v>5.01</v>
      </c>
      <c r="E5317" t="s">
        <v>7</v>
      </c>
    </row>
    <row r="5318" spans="1:5" x14ac:dyDescent="0.25">
      <c r="A5318" t="str">
        <f>HYPERLINK("https://www.773grp.com/globalSearch/LM3151MHE-3.3-NOPB/page-1", "LM3151MHE-3.3-NOPB")</f>
        <v>LM3151MHE-3.3-NOPB</v>
      </c>
      <c r="B5318" s="3" t="str">
        <f>HYPERLINK("https://www.773grp.com/manufacturer/national-semiconductor?pageNo=91", "National Semiconductor")</f>
        <v>National Semiconductor</v>
      </c>
      <c r="C5318" s="6">
        <v>4358</v>
      </c>
      <c r="D5318" s="7">
        <v>5.01</v>
      </c>
    </row>
    <row r="5319" spans="1:5" x14ac:dyDescent="0.25">
      <c r="A5319" t="str">
        <f>HYPERLINK("https://www.773grp.com/globalSearch/LM3152MHE-3.3-NOPB/page-1", "LM3152MHE-3.3-NOPB")</f>
        <v>LM3152MHE-3.3-NOPB</v>
      </c>
      <c r="B5319" s="3" t="str">
        <f>HYPERLINK("https://www.773grp.com/manufacturer/national-semiconductor?pageNo=92", "National Semiconductor")</f>
        <v>National Semiconductor</v>
      </c>
      <c r="C5319" s="6">
        <v>2113</v>
      </c>
      <c r="D5319" s="7">
        <v>5.01</v>
      </c>
    </row>
    <row r="5320" spans="1:5" x14ac:dyDescent="0.25">
      <c r="A5320" t="str">
        <f>HYPERLINK("https://www.773grp.com/globalSearch/LM3152MHE-3.3-NOPB/page-1", "LM3152MHE-3.3-NOPB")</f>
        <v>LM3152MHE-3.3-NOPB</v>
      </c>
      <c r="B5320" s="3" t="str">
        <f>HYPERLINK("https://www.773grp.com/manufacturer/national-semiconductor?pageNo=93", "National Semiconductor")</f>
        <v>National Semiconductor</v>
      </c>
      <c r="C5320" s="6">
        <v>250</v>
      </c>
      <c r="D5320" s="7">
        <v>5.01</v>
      </c>
    </row>
    <row r="5321" spans="1:5" x14ac:dyDescent="0.25">
      <c r="A5321" t="str">
        <f>HYPERLINK("https://www.773grp.com/globalSearch/LM3153MHE-3.3-NOPB/page-1", "LM3153MHE-3.3-NOPB")</f>
        <v>LM3153MHE-3.3-NOPB</v>
      </c>
      <c r="B5321" s="3" t="str">
        <f>HYPERLINK("https://www.773grp.com/manufacturer/national-semiconductor?pageNo=94", "National Semiconductor")</f>
        <v>National Semiconductor</v>
      </c>
      <c r="C5321" s="6">
        <v>2151</v>
      </c>
      <c r="D5321" s="7">
        <v>5.01</v>
      </c>
    </row>
    <row r="5322" spans="1:5" x14ac:dyDescent="0.25">
      <c r="A5322" t="str">
        <f>HYPERLINK("https://www.773grp.com/globalSearch/LM5001SDE-NOPB/page-1", "LM5001SDE-NOPB")</f>
        <v>LM5001SDE-NOPB</v>
      </c>
      <c r="B5322" s="3" t="str">
        <f>HYPERLINK("https://www.773grp.com/manufacturer/national-semiconductor?pageNo=95", "National Semiconductor")</f>
        <v>National Semiconductor</v>
      </c>
      <c r="C5322" s="6">
        <v>2740</v>
      </c>
      <c r="D5322" s="7">
        <v>5.01</v>
      </c>
    </row>
    <row r="5323" spans="1:5" x14ac:dyDescent="0.25">
      <c r="A5323" t="str">
        <f>HYPERLINK("https://www.773grp.com/globalSearch/LM6152BCM-NOPB/page-1", "LM6152BCM-NOPB")</f>
        <v>LM6152BCM-NOPB</v>
      </c>
      <c r="B5323" s="3" t="str">
        <f>HYPERLINK("https://www.773grp.com/manufacturer/national-semiconductor?pageNo=96", "National Semiconductor")</f>
        <v>National Semiconductor</v>
      </c>
      <c r="C5323" s="6">
        <v>781</v>
      </c>
      <c r="D5323" s="7">
        <v>5.01</v>
      </c>
      <c r="E5323" t="s">
        <v>13</v>
      </c>
    </row>
    <row r="5324" spans="1:5" x14ac:dyDescent="0.25">
      <c r="A5324" t="str">
        <f>HYPERLINK("https://www.773grp.com/globalSearch/LM6152BCM-NOPB/page-1", "LM6152BCM-NOPB")</f>
        <v>LM6152BCM-NOPB</v>
      </c>
      <c r="B5324" s="3" t="str">
        <f>HYPERLINK("https://www.773grp.com/manufacturer/national-semiconductor?pageNo=97", "National Semiconductor")</f>
        <v>National Semiconductor</v>
      </c>
      <c r="C5324" s="6">
        <v>2470</v>
      </c>
      <c r="D5324" s="7">
        <v>5.01</v>
      </c>
      <c r="E5324" t="s">
        <v>13</v>
      </c>
    </row>
    <row r="5325" spans="1:5" x14ac:dyDescent="0.25">
      <c r="A5325" t="str">
        <f>HYPERLINK("https://www.773grp.com/globalSearch/LMC6042AIN/page-1", "LMC6042AIN")</f>
        <v>LMC6042AIN</v>
      </c>
      <c r="B5325" s="3" t="str">
        <f>HYPERLINK("https://www.773grp.com/manufacturer/national-semiconductor?pageNo=98", "National Semiconductor")</f>
        <v>National Semiconductor</v>
      </c>
      <c r="C5325" s="6">
        <v>1576</v>
      </c>
      <c r="D5325" s="7">
        <v>5.01</v>
      </c>
      <c r="E5325" t="s">
        <v>13</v>
      </c>
    </row>
    <row r="5326" spans="1:5" x14ac:dyDescent="0.25">
      <c r="A5326" t="str">
        <f>HYPERLINK("https://www.773grp.com/globalSearch/LMC6484AIM/page-1", "LMC6484AIM")</f>
        <v>LMC6484AIM</v>
      </c>
      <c r="B5326" s="3" t="str">
        <f>HYPERLINK("https://www.773grp.com/manufacturer/national-semiconductor?pageNo=99", "National Semiconductor")</f>
        <v>National Semiconductor</v>
      </c>
      <c r="C5326" s="6">
        <v>375</v>
      </c>
      <c r="D5326" s="7">
        <v>5.01</v>
      </c>
      <c r="E5326" t="s">
        <v>13</v>
      </c>
    </row>
    <row r="5327" spans="1:5" x14ac:dyDescent="0.25">
      <c r="A5327" t="str">
        <f>HYPERLINK("https://www.773grp.com/globalSearch/LMH6629SD-NOPB/page-1", "LMH6629SD-NOPB")</f>
        <v>LMH6629SD-NOPB</v>
      </c>
      <c r="B5327" s="3" t="str">
        <f>HYPERLINK("https://www.773grp.com/manufacturer/national-semiconductor?pageNo=100", "National Semiconductor")</f>
        <v>National Semiconductor</v>
      </c>
      <c r="C5327" s="6">
        <v>882</v>
      </c>
      <c r="D5327" s="7">
        <v>5.01</v>
      </c>
    </row>
    <row r="5328" spans="1:5" x14ac:dyDescent="0.25">
      <c r="A5328" t="str">
        <f>HYPERLINK("https://www.773grp.com/globalSearch/LMP2234BMTE-NOPB/page-1", "LMP2234BMTE-NOPB")</f>
        <v>LMP2234BMTE-NOPB</v>
      </c>
      <c r="B5328" s="3" t="str">
        <f>HYPERLINK("https://www.773grp.com/manufacturer/national-semiconductor?pageNo=101", "National Semiconductor")</f>
        <v>National Semiconductor</v>
      </c>
      <c r="C5328" s="6">
        <v>244</v>
      </c>
      <c r="D5328" s="7">
        <v>5.01</v>
      </c>
    </row>
    <row r="5329" spans="1:5" x14ac:dyDescent="0.25">
      <c r="A5329" t="str">
        <f>HYPERLINK("https://www.773grp.com/globalSearch/LP3963ES-2.5-NOPB/page-1", "LP3963ES-2.5-NOPB")</f>
        <v>LP3963ES-2.5-NOPB</v>
      </c>
      <c r="B5329" s="3" t="str">
        <f>HYPERLINK("https://www.773grp.com/manufacturer/national-semiconductor?pageNo=102", "National Semiconductor")</f>
        <v>National Semiconductor</v>
      </c>
      <c r="C5329" s="6">
        <v>1222</v>
      </c>
      <c r="D5329" s="7">
        <v>5.01</v>
      </c>
      <c r="E5329" t="s">
        <v>19</v>
      </c>
    </row>
    <row r="5330" spans="1:5" x14ac:dyDescent="0.25">
      <c r="A5330" t="str">
        <f>HYPERLINK("https://www.773grp.com/globalSearch/LP3963ES-3.3-NOPB/page-1", "LP3963ES-3.3-NOPB")</f>
        <v>LP3963ES-3.3-NOPB</v>
      </c>
      <c r="B5330" s="3" t="str">
        <f>HYPERLINK("https://www.773grp.com/manufacturer/national-semiconductor?pageNo=103", "National Semiconductor")</f>
        <v>National Semiconductor</v>
      </c>
      <c r="C5330" s="6">
        <v>240</v>
      </c>
      <c r="D5330" s="7">
        <v>5.01</v>
      </c>
      <c r="E5330" t="s">
        <v>19</v>
      </c>
    </row>
    <row r="5331" spans="1:5" x14ac:dyDescent="0.25">
      <c r="A5331" t="str">
        <f>HYPERLINK("https://www.773grp.com/globalSearch/54S175DM/page-1", "54S175DM")</f>
        <v>54S175DM</v>
      </c>
      <c r="B5331" s="3" t="str">
        <f>HYPERLINK("https://www.773grp.com/manufacturer/national-semiconductor?pageNo=104", "National Semiconductor")</f>
        <v>National Semiconductor</v>
      </c>
      <c r="C5331" s="6">
        <v>5020</v>
      </c>
      <c r="D5331" s="7">
        <v>5.03</v>
      </c>
    </row>
    <row r="5332" spans="1:5" x14ac:dyDescent="0.25">
      <c r="A5332" t="str">
        <f>HYPERLINK("https://www.773grp.com/globalSearch/9370PC/page-1", "9370PC")</f>
        <v>9370PC</v>
      </c>
      <c r="B5332" s="3" t="str">
        <f>HYPERLINK("https://www.773grp.com/manufacturer/national-semiconductor?pageNo=105", "National Semiconductor")</f>
        <v>National Semiconductor</v>
      </c>
      <c r="C5332" s="6">
        <v>199</v>
      </c>
      <c r="D5332" s="7">
        <v>5.03</v>
      </c>
    </row>
    <row r="5333" spans="1:5" x14ac:dyDescent="0.25">
      <c r="A5333" t="str">
        <f>HYPERLINK("https://www.773grp.com/globalSearch/DS90LV047ATM/page-1", "DS90LV047ATM")</f>
        <v>DS90LV047ATM</v>
      </c>
      <c r="B5333" s="3" t="str">
        <f>HYPERLINK("https://www.773grp.com/manufacturer/national-semiconductor?pageNo=106", "National Semiconductor")</f>
        <v>National Semiconductor</v>
      </c>
      <c r="C5333" s="6">
        <v>778</v>
      </c>
      <c r="D5333" s="7">
        <v>5.03</v>
      </c>
      <c r="E5333" t="s">
        <v>21</v>
      </c>
    </row>
    <row r="5334" spans="1:5" x14ac:dyDescent="0.25">
      <c r="A5334" t="str">
        <f>HYPERLINK("https://www.773grp.com/globalSearch/DS90LV047ATMTC/page-1", "DS90LV047ATMTC")</f>
        <v>DS90LV047ATMTC</v>
      </c>
      <c r="B5334" s="3" t="str">
        <f>HYPERLINK("https://www.773grp.com/manufacturer/national-semiconductor?pageNo=107", "National Semiconductor")</f>
        <v>National Semiconductor</v>
      </c>
      <c r="C5334" s="6">
        <v>94</v>
      </c>
      <c r="D5334" s="7">
        <v>5.03</v>
      </c>
      <c r="E5334" t="s">
        <v>21</v>
      </c>
    </row>
    <row r="5335" spans="1:5" x14ac:dyDescent="0.25">
      <c r="A5335" t="str">
        <f>HYPERLINK("https://www.773grp.com/globalSearch/DS90LV048ATM/page-1", "DS90LV048ATM")</f>
        <v>DS90LV048ATM</v>
      </c>
      <c r="B5335" s="3" t="str">
        <f>HYPERLINK("https://www.773grp.com/manufacturer/national-semiconductor?pageNo=108", "National Semiconductor")</f>
        <v>National Semiconductor</v>
      </c>
      <c r="C5335" s="6">
        <v>55</v>
      </c>
      <c r="D5335" s="7">
        <v>5.03</v>
      </c>
      <c r="E5335" t="s">
        <v>21</v>
      </c>
    </row>
    <row r="5336" spans="1:5" x14ac:dyDescent="0.25">
      <c r="A5336" t="str">
        <f>HYPERLINK("https://www.773grp.com/globalSearch/DS90LV048ATMTC/page-1", "DS90LV048ATMTC")</f>
        <v>DS90LV048ATMTC</v>
      </c>
      <c r="B5336" s="3" t="str">
        <f>HYPERLINK("https://www.773grp.com/manufacturer/national-semiconductor?pageNo=109", "National Semiconductor")</f>
        <v>National Semiconductor</v>
      </c>
      <c r="C5336" s="6">
        <v>244</v>
      </c>
      <c r="D5336" s="7">
        <v>5.03</v>
      </c>
      <c r="E5336" t="s">
        <v>21</v>
      </c>
    </row>
    <row r="5337" spans="1:5" x14ac:dyDescent="0.25">
      <c r="A5337" t="str">
        <f>HYPERLINK("https://www.773grp.com/globalSearch/LM2575-ADJ-NOPB/page-1", "LM2575-ADJ-NOPB")</f>
        <v>LM2575-ADJ-NOPB</v>
      </c>
      <c r="B5337" s="3" t="str">
        <f>HYPERLINK("https://www.773grp.com/manufacturer/national-semiconductor?pageNo=110", "National Semiconductor")</f>
        <v>National Semiconductor</v>
      </c>
      <c r="C5337" s="6">
        <v>10</v>
      </c>
      <c r="D5337" s="7">
        <v>5.03</v>
      </c>
    </row>
    <row r="5338" spans="1:5" x14ac:dyDescent="0.25">
      <c r="A5338" t="str">
        <f>HYPERLINK("https://www.773grp.com/globalSearch/LM2575HVM-ADJ/page-1", "LM2575HVM-ADJ")</f>
        <v>LM2575HVM-ADJ</v>
      </c>
      <c r="B5338" s="3" t="str">
        <f>HYPERLINK("https://www.773grp.com/manufacturer/national-semiconductor?pageNo=111", "National Semiconductor")</f>
        <v>National Semiconductor</v>
      </c>
      <c r="C5338" s="6">
        <v>1</v>
      </c>
      <c r="D5338" s="7">
        <v>5.03</v>
      </c>
      <c r="E5338" t="s">
        <v>7</v>
      </c>
    </row>
    <row r="5339" spans="1:5" x14ac:dyDescent="0.25">
      <c r="A5339" t="str">
        <f>HYPERLINK("https://www.773grp.com/globalSearch/LM2637M/page-1", "LM2637M")</f>
        <v>LM2637M</v>
      </c>
      <c r="B5339" s="3" t="str">
        <f>HYPERLINK("https://www.773grp.com/manufacturer/national-semiconductor?pageNo=112", "National Semiconductor")</f>
        <v>National Semiconductor</v>
      </c>
      <c r="C5339" s="6">
        <v>31</v>
      </c>
      <c r="D5339" s="7">
        <v>5.03</v>
      </c>
      <c r="E5339" t="s">
        <v>7</v>
      </c>
    </row>
    <row r="5340" spans="1:5" x14ac:dyDescent="0.25">
      <c r="A5340" t="str">
        <f>HYPERLINK("https://www.773grp.com/globalSearch/LM2676SD-5.0/page-1", "LM2676SD-5.0")</f>
        <v>LM2676SD-5.0</v>
      </c>
      <c r="B5340" s="3" t="str">
        <f>HYPERLINK("https://www.773grp.com/manufacturer/national-semiconductor?pageNo=113", "National Semiconductor")</f>
        <v>National Semiconductor</v>
      </c>
      <c r="C5340" s="6">
        <v>661</v>
      </c>
      <c r="D5340" s="7">
        <v>5.03</v>
      </c>
      <c r="E5340" t="s">
        <v>7</v>
      </c>
    </row>
    <row r="5341" spans="1:5" x14ac:dyDescent="0.25">
      <c r="A5341" t="str">
        <f>HYPERLINK("https://www.773grp.com/globalSearch/LM3205TLX-NOPB/page-1", "LM3205TLX-NOPB")</f>
        <v>LM3205TLX-NOPB</v>
      </c>
      <c r="B5341" s="3" t="str">
        <f>HYPERLINK("https://www.773grp.com/manufacturer/national-semiconductor?pageNo=114", "National Semiconductor")</f>
        <v>National Semiconductor</v>
      </c>
      <c r="C5341" s="6">
        <v>3000</v>
      </c>
      <c r="D5341" s="7">
        <v>5.03</v>
      </c>
    </row>
    <row r="5342" spans="1:5" x14ac:dyDescent="0.25">
      <c r="A5342" t="str">
        <f>HYPERLINK("https://www.773grp.com/globalSearch/LM3914V-NOPB/page-1", "LM3914V-NOPB")</f>
        <v>LM3914V-NOPB</v>
      </c>
      <c r="B5342" s="3" t="str">
        <f>HYPERLINK("https://www.773grp.com/manufacturer/national-semiconductor?pageNo=115", "National Semiconductor")</f>
        <v>National Semiconductor</v>
      </c>
      <c r="C5342" s="6">
        <v>488</v>
      </c>
      <c r="D5342" s="7">
        <v>5.03</v>
      </c>
      <c r="E5342" t="s">
        <v>10</v>
      </c>
    </row>
    <row r="5343" spans="1:5" x14ac:dyDescent="0.25">
      <c r="A5343" t="str">
        <f>HYPERLINK("https://www.773grp.com/globalSearch/LM3914VX/page-1", "LM3914VX")</f>
        <v>LM3914VX</v>
      </c>
      <c r="B5343" s="3" t="str">
        <f>HYPERLINK("https://www.773grp.com/manufacturer/national-semiconductor?pageNo=116", "National Semiconductor")</f>
        <v>National Semiconductor</v>
      </c>
      <c r="C5343" s="6">
        <v>1000</v>
      </c>
      <c r="D5343" s="7">
        <v>5.03</v>
      </c>
      <c r="E5343" t="s">
        <v>10</v>
      </c>
    </row>
    <row r="5344" spans="1:5" x14ac:dyDescent="0.25">
      <c r="A5344" t="str">
        <f>HYPERLINK("https://www.773grp.com/globalSearch/LM613IWM/page-1", "LM613IWM")</f>
        <v>LM613IWM</v>
      </c>
      <c r="B5344" s="3" t="str">
        <f>HYPERLINK("https://www.773grp.com/manufacturer/national-semiconductor?pageNo=117", "National Semiconductor")</f>
        <v>National Semiconductor</v>
      </c>
      <c r="C5344" s="6">
        <v>424</v>
      </c>
      <c r="D5344" s="7">
        <v>5.03</v>
      </c>
      <c r="E5344" t="s">
        <v>13</v>
      </c>
    </row>
    <row r="5345" spans="1:5" x14ac:dyDescent="0.25">
      <c r="A5345" t="str">
        <f>HYPERLINK("https://www.773grp.com/globalSearch/LMC6044AIMX/page-1", "LMC6044AIMX")</f>
        <v>LMC6044AIMX</v>
      </c>
      <c r="B5345" s="3" t="str">
        <f>HYPERLINK("https://www.773grp.com/manufacturer/national-semiconductor?pageNo=118", "National Semiconductor")</f>
        <v>National Semiconductor</v>
      </c>
      <c r="C5345" s="6">
        <v>7500</v>
      </c>
      <c r="D5345" s="7">
        <v>5.03</v>
      </c>
      <c r="E5345" t="s">
        <v>13</v>
      </c>
    </row>
    <row r="5346" spans="1:5" x14ac:dyDescent="0.25">
      <c r="A5346" t="str">
        <f>HYPERLINK("https://www.773grp.com/globalSearch/LMC6082AIM-NOPB/page-1", "LMC6082AIM-NOPB")</f>
        <v>LMC6082AIM-NOPB</v>
      </c>
      <c r="B5346" s="3" t="str">
        <f>HYPERLINK("https://www.773grp.com/manufacturer/national-semiconductor?pageNo=119", "National Semiconductor")</f>
        <v>National Semiconductor</v>
      </c>
      <c r="C5346" s="6">
        <v>1051</v>
      </c>
      <c r="D5346" s="7">
        <v>5.03</v>
      </c>
      <c r="E5346" t="s">
        <v>13</v>
      </c>
    </row>
    <row r="5347" spans="1:5" x14ac:dyDescent="0.25">
      <c r="A5347" t="str">
        <f>HYPERLINK("https://www.773grp.com/globalSearch/LMH6525SP-NOPB/page-1", "LMH6525SP-NOPB")</f>
        <v>LMH6525SP-NOPB</v>
      </c>
      <c r="B5347" s="3" t="str">
        <f>HYPERLINK("https://www.773grp.com/manufacturer/national-semiconductor?pageNo=120", "National Semiconductor")</f>
        <v>National Semiconductor</v>
      </c>
      <c r="C5347" s="6">
        <v>4048</v>
      </c>
      <c r="D5347" s="7">
        <v>5.03</v>
      </c>
      <c r="E5347" t="s">
        <v>10</v>
      </c>
    </row>
    <row r="5348" spans="1:5" x14ac:dyDescent="0.25">
      <c r="A5348" t="str">
        <f>HYPERLINK("https://www.773grp.com/globalSearch/LMH6526SP-NOPB/page-1", "LMH6526SP-NOPB")</f>
        <v>LMH6526SP-NOPB</v>
      </c>
      <c r="B5348" s="3" t="str">
        <f>HYPERLINK("https://www.773grp.com/manufacturer/national-semiconductor?pageNo=121", "National Semiconductor")</f>
        <v>National Semiconductor</v>
      </c>
      <c r="C5348" s="6">
        <v>2441</v>
      </c>
      <c r="D5348" s="7">
        <v>5.03</v>
      </c>
      <c r="E5348" t="s">
        <v>10</v>
      </c>
    </row>
    <row r="5349" spans="1:5" x14ac:dyDescent="0.25">
      <c r="A5349" t="str">
        <f>HYPERLINK("https://www.773grp.com/globalSearch/LMX2433SLEX-NOPB/page-1", "LMX2433SLEX-NOPB")</f>
        <v>LMX2433SLEX-NOPB</v>
      </c>
      <c r="B5349" s="3" t="str">
        <f>HYPERLINK("https://www.773grp.com/manufacturer/national-semiconductor?pageNo=122", "National Semiconductor")</f>
        <v>National Semiconductor</v>
      </c>
      <c r="C5349" s="6">
        <v>20000</v>
      </c>
      <c r="D5349" s="7">
        <v>5.03</v>
      </c>
    </row>
    <row r="5350" spans="1:5" x14ac:dyDescent="0.25">
      <c r="A5350" t="str">
        <f>HYPERLINK("https://www.773grp.com/globalSearch/MF10CCWM-NOPB/page-1", "MF10CCWM-NOPB")</f>
        <v>MF10CCWM-NOPB</v>
      </c>
      <c r="B5350" s="3" t="str">
        <f>HYPERLINK("https://www.773grp.com/manufacturer/national-semiconductor?pageNo=123", "National Semiconductor")</f>
        <v>National Semiconductor</v>
      </c>
      <c r="C5350" s="6">
        <v>188</v>
      </c>
      <c r="D5350" s="7">
        <v>5.03</v>
      </c>
      <c r="E5350" t="s">
        <v>58</v>
      </c>
    </row>
    <row r="5351" spans="1:5" x14ac:dyDescent="0.25">
      <c r="A5351" t="str">
        <f>HYPERLINK("https://www.773grp.com/globalSearch/TP5510WM/page-1", "TP5510WM")</f>
        <v>TP5510WM</v>
      </c>
      <c r="B5351" s="3" t="str">
        <f>HYPERLINK("https://www.773grp.com/manufacturer/national-semiconductor?pageNo=124", "National Semiconductor")</f>
        <v>National Semiconductor</v>
      </c>
      <c r="C5351" s="6">
        <v>7965</v>
      </c>
      <c r="D5351" s="7">
        <v>5.03</v>
      </c>
    </row>
    <row r="5352" spans="1:5" x14ac:dyDescent="0.25">
      <c r="A5352" t="str">
        <f>HYPERLINK("https://www.773grp.com/globalSearch/DS90LV047ATM/page-1", "DS90LV047ATM")</f>
        <v>DS90LV047ATM</v>
      </c>
      <c r="B5352" s="3" t="str">
        <f>HYPERLINK("https://www.773grp.com/manufacturer/national-semiconductor?pageNo=125", "National Semiconductor")</f>
        <v>National Semiconductor</v>
      </c>
      <c r="C5352" s="6">
        <v>24240</v>
      </c>
      <c r="D5352" s="7">
        <v>5.03</v>
      </c>
      <c r="E5352" t="s">
        <v>21</v>
      </c>
    </row>
    <row r="5353" spans="1:5" x14ac:dyDescent="0.25">
      <c r="A5353" t="str">
        <f>HYPERLINK("https://www.773grp.com/globalSearch/LM2676SD-5.0/page-1", "LM2676SD-5.0")</f>
        <v>LM2676SD-5.0</v>
      </c>
      <c r="B5353" s="3" t="str">
        <f>HYPERLINK("https://www.773grp.com/manufacturer/national-semiconductor?pageNo=126", "National Semiconductor")</f>
        <v>National Semiconductor</v>
      </c>
      <c r="C5353" s="6">
        <v>250</v>
      </c>
      <c r="D5353" s="7">
        <v>5.03</v>
      </c>
      <c r="E5353" t="s">
        <v>7</v>
      </c>
    </row>
    <row r="5354" spans="1:5" x14ac:dyDescent="0.25">
      <c r="A5354" t="str">
        <f>HYPERLINK("https://www.773grp.com/globalSearch/LM2676SX-3.3/page-1", "LM2676SX-3.3")</f>
        <v>LM2676SX-3.3</v>
      </c>
      <c r="B5354" s="3" t="str">
        <f>HYPERLINK("https://www.773grp.com/manufacturer/national-semiconductor?pageNo=127", "National Semiconductor")</f>
        <v>National Semiconductor</v>
      </c>
      <c r="C5354" s="6">
        <v>500</v>
      </c>
      <c r="D5354" s="7">
        <v>5.03</v>
      </c>
    </row>
    <row r="5355" spans="1:5" x14ac:dyDescent="0.25">
      <c r="A5355" t="str">
        <f>HYPERLINK("https://www.773grp.com/globalSearch/LM3914V-NOPB/page-1", "LM3914V-NOPB")</f>
        <v>LM3914V-NOPB</v>
      </c>
      <c r="B5355" s="3" t="str">
        <f>HYPERLINK("https://www.773grp.com/manufacturer/national-semiconductor?pageNo=128", "National Semiconductor")</f>
        <v>National Semiconductor</v>
      </c>
      <c r="C5355" s="6">
        <v>112</v>
      </c>
      <c r="D5355" s="7">
        <v>5.03</v>
      </c>
      <c r="E5355" t="s">
        <v>10</v>
      </c>
    </row>
    <row r="5356" spans="1:5" x14ac:dyDescent="0.25">
      <c r="A5356" t="str">
        <f>HYPERLINK("https://www.773grp.com/globalSearch/LM3914VX/page-1", "LM3914VX")</f>
        <v>LM3914VX</v>
      </c>
      <c r="B5356" s="3" t="str">
        <f>HYPERLINK("https://www.773grp.com/manufacturer/national-semiconductor?pageNo=129", "National Semiconductor")</f>
        <v>National Semiconductor</v>
      </c>
      <c r="C5356" s="6">
        <v>743</v>
      </c>
      <c r="D5356" s="7">
        <v>5.03</v>
      </c>
      <c r="E5356" t="s">
        <v>10</v>
      </c>
    </row>
    <row r="5357" spans="1:5" x14ac:dyDescent="0.25">
      <c r="A5357" t="str">
        <f>HYPERLINK("https://www.773grp.com/globalSearch/LMC6044AIMX/page-1", "LMC6044AIMX")</f>
        <v>LMC6044AIMX</v>
      </c>
      <c r="B5357" s="3" t="str">
        <f>HYPERLINK("https://www.773grp.com/manufacturer/national-semiconductor?pageNo=130", "National Semiconductor")</f>
        <v>National Semiconductor</v>
      </c>
      <c r="C5357" s="6">
        <v>2500</v>
      </c>
      <c r="D5357" s="7">
        <v>5.03</v>
      </c>
      <c r="E5357" t="s">
        <v>13</v>
      </c>
    </row>
    <row r="5358" spans="1:5" x14ac:dyDescent="0.25">
      <c r="A5358" t="str">
        <f>HYPERLINK("https://www.773grp.com/globalSearch/LMC6082AIM-NOPB/page-1", "LMC6082AIM-NOPB")</f>
        <v>LMC6082AIM-NOPB</v>
      </c>
      <c r="B5358" s="3" t="str">
        <f>HYPERLINK("https://www.773grp.com/manufacturer/national-semiconductor?pageNo=131", "National Semiconductor")</f>
        <v>National Semiconductor</v>
      </c>
      <c r="C5358" s="6">
        <v>409</v>
      </c>
      <c r="D5358" s="7">
        <v>5.03</v>
      </c>
      <c r="E5358" t="s">
        <v>13</v>
      </c>
    </row>
    <row r="5359" spans="1:5" x14ac:dyDescent="0.25">
      <c r="A5359" t="str">
        <f>HYPERLINK("https://www.773grp.com/globalSearch/LMH6525SP-NOPB/page-1", "LMH6525SP-NOPB")</f>
        <v>LMH6525SP-NOPB</v>
      </c>
      <c r="B5359" s="3" t="str">
        <f>HYPERLINK("https://www.773grp.com/manufacturer/national-semiconductor?pageNo=132", "National Semiconductor")</f>
        <v>National Semiconductor</v>
      </c>
      <c r="C5359" s="6">
        <v>4978</v>
      </c>
      <c r="D5359" s="7">
        <v>5.03</v>
      </c>
      <c r="E5359" t="s">
        <v>10</v>
      </c>
    </row>
    <row r="5360" spans="1:5" x14ac:dyDescent="0.25">
      <c r="A5360" t="str">
        <f>HYPERLINK("https://www.773grp.com/globalSearch/LMH6526SP-NOPB/page-1", "LMH6526SP-NOPB")</f>
        <v>LMH6526SP-NOPB</v>
      </c>
      <c r="B5360" s="3" t="str">
        <f>HYPERLINK("https://www.773grp.com/manufacturer/national-semiconductor?pageNo=133", "National Semiconductor")</f>
        <v>National Semiconductor</v>
      </c>
      <c r="C5360" s="6">
        <v>3111</v>
      </c>
      <c r="D5360" s="7">
        <v>5.03</v>
      </c>
      <c r="E5360" t="s">
        <v>10</v>
      </c>
    </row>
    <row r="5361" spans="1:5" x14ac:dyDescent="0.25">
      <c r="A5361" t="str">
        <f>HYPERLINK("https://www.773grp.com/globalSearch/54191DMQB/page-1", "54191DMQB")</f>
        <v>54191DMQB</v>
      </c>
      <c r="B5361" s="3" t="str">
        <f>HYPERLINK("https://www.773grp.com/manufacturer/national-semiconductor?pageNo=134", "National Semiconductor")</f>
        <v>National Semiconductor</v>
      </c>
      <c r="C5361" s="6">
        <v>1002</v>
      </c>
      <c r="D5361" s="7">
        <v>5.0599999999999996</v>
      </c>
      <c r="E5361" t="s">
        <v>26</v>
      </c>
    </row>
    <row r="5362" spans="1:5" x14ac:dyDescent="0.25">
      <c r="A5362" t="str">
        <f>HYPERLINK("https://www.773grp.com/globalSearch/54LS04FMQB/page-1", "54LS04FMQB")</f>
        <v>54LS04FMQB</v>
      </c>
      <c r="B5362" s="3" t="str">
        <f>HYPERLINK("https://www.773grp.com/manufacturer/national-semiconductor?pageNo=1", "National Semiconductor")</f>
        <v>National Semiconductor</v>
      </c>
      <c r="C5362" s="6">
        <v>7786</v>
      </c>
      <c r="D5362" s="7">
        <v>5.0599999999999996</v>
      </c>
      <c r="E5362" t="s">
        <v>31</v>
      </c>
    </row>
    <row r="5363" spans="1:5" x14ac:dyDescent="0.25">
      <c r="A5363" t="str">
        <f>HYPERLINK("https://www.773grp.com/globalSearch/54LS05FMQB/page-1", "54LS05FMQB")</f>
        <v>54LS05FMQB</v>
      </c>
      <c r="B5363" s="3" t="str">
        <f>HYPERLINK("https://www.773grp.com/manufacturer/national-semiconductor?pageNo=2", "National Semiconductor")</f>
        <v>National Semiconductor</v>
      </c>
      <c r="C5363" s="6">
        <v>415</v>
      </c>
      <c r="D5363" s="7">
        <v>5.0599999999999996</v>
      </c>
      <c r="E5363" t="s">
        <v>31</v>
      </c>
    </row>
    <row r="5364" spans="1:5" x14ac:dyDescent="0.25">
      <c r="A5364" t="str">
        <f>HYPERLINK("https://www.773grp.com/globalSearch/54LS08FM/page-1", "54LS08FM")</f>
        <v>54LS08FM</v>
      </c>
      <c r="B5364" s="3" t="str">
        <f>HYPERLINK("https://www.773grp.com/manufacturer/national-semiconductor?pageNo=3", "National Semiconductor")</f>
        <v>National Semiconductor</v>
      </c>
      <c r="C5364" s="6">
        <v>1278</v>
      </c>
      <c r="D5364" s="7">
        <v>5.0599999999999996</v>
      </c>
    </row>
    <row r="5365" spans="1:5" x14ac:dyDescent="0.25">
      <c r="A5365" t="str">
        <f>HYPERLINK("https://www.773grp.com/globalSearch/54LS09FMQB/page-1", "54LS09FMQB")</f>
        <v>54LS09FMQB</v>
      </c>
      <c r="B5365" s="3" t="str">
        <f>HYPERLINK("https://www.773grp.com/manufacturer/national-semiconductor?pageNo=4", "National Semiconductor")</f>
        <v>National Semiconductor</v>
      </c>
      <c r="C5365" s="6">
        <v>543</v>
      </c>
      <c r="D5365" s="7">
        <v>5.0599999999999996</v>
      </c>
      <c r="E5365" t="s">
        <v>31</v>
      </c>
    </row>
    <row r="5366" spans="1:5" x14ac:dyDescent="0.25">
      <c r="A5366" t="str">
        <f>HYPERLINK("https://www.773grp.com/globalSearch/54LS11FM/page-1", "54LS11FM")</f>
        <v>54LS11FM</v>
      </c>
      <c r="B5366" s="3" t="str">
        <f>HYPERLINK("https://www.773grp.com/manufacturer/national-semiconductor?pageNo=5", "National Semiconductor")</f>
        <v>National Semiconductor</v>
      </c>
      <c r="C5366" s="6">
        <v>820</v>
      </c>
      <c r="D5366" s="7">
        <v>5.0599999999999996</v>
      </c>
    </row>
    <row r="5367" spans="1:5" x14ac:dyDescent="0.25">
      <c r="A5367" t="str">
        <f>HYPERLINK("https://www.773grp.com/globalSearch/54LS11FMQB/page-1", "54LS11FMQB")</f>
        <v>54LS11FMQB</v>
      </c>
      <c r="B5367" s="3" t="str">
        <f>HYPERLINK("https://www.773grp.com/manufacturer/national-semiconductor?pageNo=6", "National Semiconductor")</f>
        <v>National Semiconductor</v>
      </c>
      <c r="C5367" s="6">
        <v>1316</v>
      </c>
      <c r="D5367" s="7">
        <v>5.0599999999999996</v>
      </c>
      <c r="E5367" t="s">
        <v>31</v>
      </c>
    </row>
    <row r="5368" spans="1:5" x14ac:dyDescent="0.25">
      <c r="A5368" t="str">
        <f>HYPERLINK("https://www.773grp.com/globalSearch/54LS241DM/page-1", "54LS241DM")</f>
        <v>54LS241DM</v>
      </c>
      <c r="B5368" s="3" t="str">
        <f>HYPERLINK("https://www.773grp.com/manufacturer/national-semiconductor?pageNo=7", "National Semiconductor")</f>
        <v>National Semiconductor</v>
      </c>
      <c r="C5368" s="6">
        <v>1204</v>
      </c>
      <c r="D5368" s="7">
        <v>5.0599999999999996</v>
      </c>
    </row>
    <row r="5369" spans="1:5" x14ac:dyDescent="0.25">
      <c r="A5369" t="str">
        <f>HYPERLINK("https://www.773grp.com/globalSearch/54LS241DMQB/page-1", "54LS241DMQB")</f>
        <v>54LS241DMQB</v>
      </c>
      <c r="B5369" s="3" t="str">
        <f>HYPERLINK("https://www.773grp.com/manufacturer/national-semiconductor?pageNo=8", "National Semiconductor")</f>
        <v>National Semiconductor</v>
      </c>
      <c r="C5369" s="6">
        <v>5897</v>
      </c>
      <c r="D5369" s="7">
        <v>5.0599999999999996</v>
      </c>
      <c r="E5369" t="s">
        <v>14</v>
      </c>
    </row>
    <row r="5370" spans="1:5" x14ac:dyDescent="0.25">
      <c r="A5370" t="str">
        <f>HYPERLINK("https://www.773grp.com/globalSearch/74BCT652SC/page-1", "74BCT652SC")</f>
        <v>74BCT652SC</v>
      </c>
      <c r="B5370" s="3" t="str">
        <f>HYPERLINK("https://www.773grp.com/manufacturer/national-semiconductor?pageNo=9", "National Semiconductor")</f>
        <v>National Semiconductor</v>
      </c>
      <c r="C5370" s="6">
        <v>1440</v>
      </c>
      <c r="D5370" s="7">
        <v>5.0599999999999996</v>
      </c>
    </row>
    <row r="5371" spans="1:5" x14ac:dyDescent="0.25">
      <c r="A5371" t="str">
        <f>HYPERLINK("https://www.773grp.com/globalSearch/74BCT827BSPC/page-1", "74BCT827BSPC")</f>
        <v>74BCT827BSPC</v>
      </c>
      <c r="B5371" s="3" t="str">
        <f>HYPERLINK("https://www.773grp.com/manufacturer/national-semiconductor?pageNo=10", "National Semiconductor")</f>
        <v>National Semiconductor</v>
      </c>
      <c r="C5371" s="6">
        <v>480</v>
      </c>
      <c r="D5371" s="7">
        <v>5.0599999999999996</v>
      </c>
    </row>
    <row r="5372" spans="1:5" x14ac:dyDescent="0.25">
      <c r="A5372" t="str">
        <f>HYPERLINK("https://www.773grp.com/globalSearch/74S253DC/page-1", "74S253DC")</f>
        <v>74S253DC</v>
      </c>
      <c r="B5372" s="3" t="str">
        <f>HYPERLINK("https://www.773grp.com/manufacturer/national-semiconductor?pageNo=11", "National Semiconductor")</f>
        <v>National Semiconductor</v>
      </c>
      <c r="C5372" s="6">
        <v>2838</v>
      </c>
      <c r="D5372" s="7">
        <v>5.0599999999999996</v>
      </c>
    </row>
    <row r="5373" spans="1:5" x14ac:dyDescent="0.25">
      <c r="A5373" t="str">
        <f>HYPERLINK("https://www.773grp.com/globalSearch/ADC108S022CIMTX-NOPB/page-1", "ADC108S022CIMTX-NOPB")</f>
        <v>ADC108S022CIMTX-NOPB</v>
      </c>
      <c r="B5373" s="3" t="str">
        <f>HYPERLINK("https://www.773grp.com/manufacturer/national-semiconductor?pageNo=12", "National Semiconductor")</f>
        <v>National Semiconductor</v>
      </c>
      <c r="C5373" s="6">
        <v>12500</v>
      </c>
      <c r="D5373" s="7">
        <v>5.0599999999999996</v>
      </c>
      <c r="E5373" t="s">
        <v>39</v>
      </c>
    </row>
    <row r="5374" spans="1:5" x14ac:dyDescent="0.25">
      <c r="A5374" t="str">
        <f>HYPERLINK("https://www.773grp.com/globalSearch/ADC124S021CIMM/page-1", "ADC124S021CIMM")</f>
        <v>ADC124S021CIMM</v>
      </c>
      <c r="B5374" s="3" t="str">
        <f>HYPERLINK("https://www.773grp.com/manufacturer/national-semiconductor?pageNo=13", "National Semiconductor")</f>
        <v>National Semiconductor</v>
      </c>
      <c r="C5374" s="6">
        <v>877</v>
      </c>
      <c r="D5374" s="7">
        <v>5.0599999999999996</v>
      </c>
      <c r="E5374" t="s">
        <v>39</v>
      </c>
    </row>
    <row r="5375" spans="1:5" x14ac:dyDescent="0.25">
      <c r="A5375" t="str">
        <f>HYPERLINK("https://www.773grp.com/globalSearch/ADC124S021CIMM-NOPB/page-1", "ADC124S021CIMM-NOPB")</f>
        <v>ADC124S021CIMM-NOPB</v>
      </c>
      <c r="B5375" s="3" t="str">
        <f>HYPERLINK("https://www.773grp.com/manufacturer/national-semiconductor?pageNo=14", "National Semiconductor")</f>
        <v>National Semiconductor</v>
      </c>
      <c r="C5375" s="6">
        <v>2000</v>
      </c>
      <c r="D5375" s="7">
        <v>5.0599999999999996</v>
      </c>
    </row>
    <row r="5376" spans="1:5" x14ac:dyDescent="0.25">
      <c r="A5376" t="str">
        <f>HYPERLINK("https://www.773grp.com/globalSearch/ADC124S021CIMMX-NOPB/page-1", "ADC124S021CIMMX-NOPB")</f>
        <v>ADC124S021CIMMX-NOPB</v>
      </c>
      <c r="B5376" s="3" t="str">
        <f>HYPERLINK("https://www.773grp.com/manufacturer/national-semiconductor?pageNo=15", "National Semiconductor")</f>
        <v>National Semiconductor</v>
      </c>
      <c r="C5376" s="6">
        <v>7000</v>
      </c>
      <c r="D5376" s="7">
        <v>5.0599999999999996</v>
      </c>
    </row>
    <row r="5377" spans="1:5" x14ac:dyDescent="0.25">
      <c r="A5377" t="str">
        <f>HYPERLINK("https://www.773grp.com/globalSearch/DAC088S085CIMT-NOPB/page-1", "DAC088S085CIMT-NOPB")</f>
        <v>DAC088S085CIMT-NOPB</v>
      </c>
      <c r="B5377" s="3" t="str">
        <f>HYPERLINK("https://www.773grp.com/manufacturer/national-semiconductor?pageNo=16", "National Semiconductor")</f>
        <v>National Semiconductor</v>
      </c>
      <c r="C5377" s="6">
        <v>293</v>
      </c>
      <c r="D5377" s="7">
        <v>5.0599999999999996</v>
      </c>
      <c r="E5377" t="s">
        <v>33</v>
      </c>
    </row>
    <row r="5378" spans="1:5" x14ac:dyDescent="0.25">
      <c r="A5378" t="str">
        <f>HYPERLINK("https://www.773grp.com/globalSearch/DAC122S085CIMM-NOPB/page-1", "DAC122S085CIMM-NOPB")</f>
        <v>DAC122S085CIMM-NOPB</v>
      </c>
      <c r="B5378" s="3" t="str">
        <f>HYPERLINK("https://www.773grp.com/manufacturer/national-semiconductor?pageNo=17", "National Semiconductor")</f>
        <v>National Semiconductor</v>
      </c>
      <c r="C5378" s="6">
        <v>1890</v>
      </c>
      <c r="D5378" s="7">
        <v>5.0599999999999996</v>
      </c>
      <c r="E5378" t="s">
        <v>33</v>
      </c>
    </row>
    <row r="5379" spans="1:5" x14ac:dyDescent="0.25">
      <c r="A5379" t="str">
        <f>HYPERLINK("https://www.773grp.com/globalSearch/DAC122S085CISD/page-1", "DAC122S085CISD")</f>
        <v>DAC122S085CISD</v>
      </c>
      <c r="B5379" s="3" t="str">
        <f>HYPERLINK("https://www.773grp.com/manufacturer/national-semiconductor?pageNo=18", "National Semiconductor")</f>
        <v>National Semiconductor</v>
      </c>
      <c r="C5379" s="6">
        <v>1000</v>
      </c>
      <c r="D5379" s="7">
        <v>5.0599999999999996</v>
      </c>
      <c r="E5379" t="s">
        <v>33</v>
      </c>
    </row>
    <row r="5380" spans="1:5" x14ac:dyDescent="0.25">
      <c r="A5380" t="str">
        <f>HYPERLINK("https://www.773grp.com/globalSearch/DM54LS367J-883/page-1", "DM54LS367J-883")</f>
        <v>DM54LS367J-883</v>
      </c>
      <c r="B5380" s="3" t="str">
        <f>HYPERLINK("https://www.773grp.com/manufacturer/national-semiconductor?pageNo=19", "National Semiconductor")</f>
        <v>National Semiconductor</v>
      </c>
      <c r="C5380" s="6">
        <v>551</v>
      </c>
      <c r="D5380" s="7">
        <v>5.0599999999999996</v>
      </c>
    </row>
    <row r="5381" spans="1:5" x14ac:dyDescent="0.25">
      <c r="A5381" t="str">
        <f>HYPERLINK("https://www.773grp.com/globalSearch/DM7095J-883/page-1", "DM7095J-883")</f>
        <v>DM7095J-883</v>
      </c>
      <c r="B5381" s="3" t="str">
        <f>HYPERLINK("https://www.773grp.com/manufacturer/national-semiconductor?pageNo=20", "National Semiconductor")</f>
        <v>National Semiconductor</v>
      </c>
      <c r="C5381" s="6">
        <v>2071</v>
      </c>
      <c r="D5381" s="7">
        <v>5.0599999999999996</v>
      </c>
    </row>
    <row r="5382" spans="1:5" x14ac:dyDescent="0.25">
      <c r="A5382" t="str">
        <f>HYPERLINK("https://www.773grp.com/globalSearch/DM7098J-883/page-1", "DM7098J-883")</f>
        <v>DM7098J-883</v>
      </c>
      <c r="B5382" s="3" t="str">
        <f>HYPERLINK("https://www.773grp.com/manufacturer/national-semiconductor?pageNo=21", "National Semiconductor")</f>
        <v>National Semiconductor</v>
      </c>
      <c r="C5382" s="6">
        <v>230</v>
      </c>
      <c r="D5382" s="7">
        <v>5.0599999999999996</v>
      </c>
    </row>
    <row r="5383" spans="1:5" x14ac:dyDescent="0.25">
      <c r="A5383" t="str">
        <f>HYPERLINK("https://www.773grp.com/globalSearch/DS14C232CN/page-1", "DS14C232CN")</f>
        <v>DS14C232CN</v>
      </c>
      <c r="B5383" s="3" t="str">
        <f>HYPERLINK("https://www.773grp.com/manufacturer/national-semiconductor?pageNo=22", "National Semiconductor")</f>
        <v>National Semiconductor</v>
      </c>
      <c r="C5383" s="6">
        <v>448</v>
      </c>
      <c r="D5383" s="7">
        <v>5.0599999999999996</v>
      </c>
      <c r="E5383" t="s">
        <v>21</v>
      </c>
    </row>
    <row r="5384" spans="1:5" x14ac:dyDescent="0.25">
      <c r="A5384" t="str">
        <f>HYPERLINK("https://www.773grp.com/globalSearch/GAL20V8A-15LVC/page-1", "GAL20V8A-15LVC")</f>
        <v>GAL20V8A-15LVC</v>
      </c>
      <c r="B5384" s="3" t="str">
        <f>HYPERLINK("https://www.773grp.com/manufacturer/national-semiconductor?pageNo=23", "National Semiconductor")</f>
        <v>National Semiconductor</v>
      </c>
      <c r="C5384" s="6">
        <v>19374</v>
      </c>
      <c r="D5384" s="7">
        <v>5.0599999999999996</v>
      </c>
      <c r="E5384" t="s">
        <v>51</v>
      </c>
    </row>
    <row r="5385" spans="1:5" x14ac:dyDescent="0.25">
      <c r="A5385" t="str">
        <f>HYPERLINK("https://www.773grp.com/globalSearch/LM20124MH-NOPB/page-1", "LM20124MH-NOPB")</f>
        <v>LM20124MH-NOPB</v>
      </c>
      <c r="B5385" s="3" t="str">
        <f>HYPERLINK("https://www.773grp.com/manufacturer/national-semiconductor?pageNo=24", "National Semiconductor")</f>
        <v>National Semiconductor</v>
      </c>
      <c r="C5385" s="6">
        <v>336</v>
      </c>
      <c r="D5385" s="7">
        <v>5.0599999999999996</v>
      </c>
      <c r="E5385" t="s">
        <v>7</v>
      </c>
    </row>
    <row r="5386" spans="1:5" x14ac:dyDescent="0.25">
      <c r="A5386" t="str">
        <f>HYPERLINK("https://www.773grp.com/globalSearch/LM20134MH-NOPB/page-1", "LM20134MH-NOPB")</f>
        <v>LM20134MH-NOPB</v>
      </c>
      <c r="B5386" s="3" t="str">
        <f>HYPERLINK("https://www.773grp.com/manufacturer/national-semiconductor?pageNo=25", "National Semiconductor")</f>
        <v>National Semiconductor</v>
      </c>
      <c r="C5386" s="6">
        <v>148</v>
      </c>
      <c r="D5386" s="7">
        <v>5.0599999999999996</v>
      </c>
      <c r="E5386" t="s">
        <v>7</v>
      </c>
    </row>
    <row r="5387" spans="1:5" x14ac:dyDescent="0.25">
      <c r="A5387" t="str">
        <f>HYPERLINK("https://www.773grp.com/globalSearch/LM20154MH-NOPB/page-1", "LM20154MH-NOPB")</f>
        <v>LM20154MH-NOPB</v>
      </c>
      <c r="B5387" s="3" t="str">
        <f>HYPERLINK("https://www.773grp.com/manufacturer/national-semiconductor?pageNo=26", "National Semiconductor")</f>
        <v>National Semiconductor</v>
      </c>
      <c r="C5387" s="6">
        <v>109</v>
      </c>
      <c r="D5387" s="7">
        <v>5.0599999999999996</v>
      </c>
      <c r="E5387" t="s">
        <v>7</v>
      </c>
    </row>
    <row r="5388" spans="1:5" x14ac:dyDescent="0.25">
      <c r="A5388" t="str">
        <f>HYPERLINK("https://www.773grp.com/globalSearch/LM20242MH-NOPB/page-1", "LM20242MH-NOPB")</f>
        <v>LM20242MH-NOPB</v>
      </c>
      <c r="B5388" s="3" t="str">
        <f>HYPERLINK("https://www.773grp.com/manufacturer/national-semiconductor?pageNo=27", "National Semiconductor")</f>
        <v>National Semiconductor</v>
      </c>
      <c r="C5388" s="6">
        <v>156</v>
      </c>
      <c r="D5388" s="7">
        <v>5.0599999999999996</v>
      </c>
    </row>
    <row r="5389" spans="1:5" x14ac:dyDescent="0.25">
      <c r="A5389" t="str">
        <f>HYPERLINK("https://www.773grp.com/globalSearch/LM22676MRX-5.0-NOPB/page-1", "LM22676MRX-5.0-NOPB")</f>
        <v>LM22676MRX-5.0-NOPB</v>
      </c>
      <c r="B5389" s="3" t="str">
        <f>HYPERLINK("https://www.773grp.com/manufacturer/national-semiconductor?pageNo=28", "National Semiconductor")</f>
        <v>National Semiconductor</v>
      </c>
      <c r="C5389" s="6">
        <v>10000</v>
      </c>
      <c r="D5389" s="7">
        <v>5.0599999999999996</v>
      </c>
    </row>
    <row r="5390" spans="1:5" x14ac:dyDescent="0.25">
      <c r="A5390" t="str">
        <f>HYPERLINK("https://www.773grp.com/globalSearch/LM22676MRX-ADJ-NOPB/page-1", "LM22676MRX-ADJ-NOPB")</f>
        <v>LM22676MRX-ADJ-NOPB</v>
      </c>
      <c r="B5390" s="3" t="str">
        <f>HYPERLINK("https://www.773grp.com/manufacturer/national-semiconductor?pageNo=29", "National Semiconductor")</f>
        <v>National Semiconductor</v>
      </c>
      <c r="C5390" s="6">
        <v>82200</v>
      </c>
      <c r="D5390" s="7">
        <v>5.0599999999999996</v>
      </c>
    </row>
    <row r="5391" spans="1:5" x14ac:dyDescent="0.25">
      <c r="A5391" t="str">
        <f>HYPERLINK("https://www.773grp.com/globalSearch/LM22676TJ-ADJ-NOPB/page-1", "LM22676TJ-ADJ-NOPB")</f>
        <v>LM22676TJ-ADJ-NOPB</v>
      </c>
      <c r="B5391" s="3" t="str">
        <f>HYPERLINK("https://www.773grp.com/manufacturer/national-semiconductor?pageNo=30", "National Semiconductor")</f>
        <v>National Semiconductor</v>
      </c>
      <c r="C5391" s="6">
        <v>2000</v>
      </c>
      <c r="D5391" s="7">
        <v>5.0599999999999996</v>
      </c>
    </row>
    <row r="5392" spans="1:5" x14ac:dyDescent="0.25">
      <c r="A5392" t="str">
        <f>HYPERLINK("https://www.773grp.com/globalSearch/LM2575HVMX-5.0-NOPB/page-1", "LM2575HVMX-5.0-NOPB")</f>
        <v>LM2575HVMX-5.0-NOPB</v>
      </c>
      <c r="B5392" s="3" t="str">
        <f>HYPERLINK("https://www.773grp.com/manufacturer/national-semiconductor?pageNo=31", "National Semiconductor")</f>
        <v>National Semiconductor</v>
      </c>
      <c r="C5392" s="6">
        <v>2000</v>
      </c>
      <c r="D5392" s="7">
        <v>5.0599999999999996</v>
      </c>
      <c r="E5392" t="s">
        <v>7</v>
      </c>
    </row>
    <row r="5393" spans="1:5" x14ac:dyDescent="0.25">
      <c r="A5393" t="str">
        <f>HYPERLINK("https://www.773grp.com/globalSearch/LM2575HVN-5.0-NOPB/page-1", "LM2575HVN-5.0-NOPB")</f>
        <v>LM2575HVN-5.0-NOPB</v>
      </c>
      <c r="B5393" s="3" t="str">
        <f>HYPERLINK("https://www.773grp.com/manufacturer/national-semiconductor?pageNo=32", "National Semiconductor")</f>
        <v>National Semiconductor</v>
      </c>
      <c r="C5393" s="6">
        <v>115</v>
      </c>
      <c r="D5393" s="7">
        <v>5.0599999999999996</v>
      </c>
      <c r="E5393" t="s">
        <v>7</v>
      </c>
    </row>
    <row r="5394" spans="1:5" x14ac:dyDescent="0.25">
      <c r="A5394" t="str">
        <f>HYPERLINK("https://www.773grp.com/globalSearch/LM2575HVN-ADJ-NOPB/page-1", "LM2575HVN-ADJ-NOPB")</f>
        <v>LM2575HVN-ADJ-NOPB</v>
      </c>
      <c r="B5394" s="3" t="str">
        <f>HYPERLINK("https://www.773grp.com/manufacturer/national-semiconductor?pageNo=33", "National Semiconductor")</f>
        <v>National Semiconductor</v>
      </c>
      <c r="C5394" s="6">
        <v>605</v>
      </c>
      <c r="D5394" s="7">
        <v>5.0599999999999996</v>
      </c>
      <c r="E5394" t="s">
        <v>7</v>
      </c>
    </row>
    <row r="5395" spans="1:5" x14ac:dyDescent="0.25">
      <c r="A5395" t="str">
        <f>HYPERLINK("https://www.773grp.com/globalSearch/LM2575HVSX-3.3-NOPB/page-1", "LM2575HVSX-3.3-NOPB")</f>
        <v>LM2575HVSX-3.3-NOPB</v>
      </c>
      <c r="B5395" s="3" t="str">
        <f>HYPERLINK("https://www.773grp.com/manufacturer/national-semiconductor?pageNo=34", "National Semiconductor")</f>
        <v>National Semiconductor</v>
      </c>
      <c r="C5395" s="6">
        <v>1000</v>
      </c>
      <c r="D5395" s="7">
        <v>5.0599999999999996</v>
      </c>
      <c r="E5395" t="s">
        <v>7</v>
      </c>
    </row>
    <row r="5396" spans="1:5" x14ac:dyDescent="0.25">
      <c r="A5396" t="str">
        <f>HYPERLINK("https://www.773grp.com/globalSearch/LM2575HVSX-5.0-NOPB/page-1", "LM2575HVSX-5.0-NOPB")</f>
        <v>LM2575HVSX-5.0-NOPB</v>
      </c>
      <c r="B5396" s="3" t="str">
        <f>HYPERLINK("https://www.773grp.com/manufacturer/national-semiconductor?pageNo=35", "National Semiconductor")</f>
        <v>National Semiconductor</v>
      </c>
      <c r="C5396" s="6">
        <v>7710</v>
      </c>
      <c r="D5396" s="7">
        <v>5.0599999999999996</v>
      </c>
      <c r="E5396" t="s">
        <v>7</v>
      </c>
    </row>
    <row r="5397" spans="1:5" x14ac:dyDescent="0.25">
      <c r="A5397" t="str">
        <f>HYPERLINK("https://www.773grp.com/globalSearch/LM2575HVSX-ADJ-NOPB/page-1", "LM2575HVSX-ADJ-NOPB")</f>
        <v>LM2575HVSX-ADJ-NOPB</v>
      </c>
      <c r="B5397" s="3" t="str">
        <f>HYPERLINK("https://www.773grp.com/manufacturer/national-semiconductor?pageNo=36", "National Semiconductor")</f>
        <v>National Semiconductor</v>
      </c>
      <c r="C5397" s="6">
        <v>2000</v>
      </c>
      <c r="D5397" s="7">
        <v>5.0599999999999996</v>
      </c>
      <c r="E5397" t="s">
        <v>7</v>
      </c>
    </row>
    <row r="5398" spans="1:5" x14ac:dyDescent="0.25">
      <c r="A5398" t="str">
        <f>HYPERLINK("https://www.773grp.com/globalSearch/LM2596SX-3.3-NOPB/page-1", "LM2596SX-3.3-NOPB")</f>
        <v>LM2596SX-3.3-NOPB</v>
      </c>
      <c r="B5398" s="3" t="str">
        <f>HYPERLINK("https://www.773grp.com/manufacturer/national-semiconductor?pageNo=37", "National Semiconductor")</f>
        <v>National Semiconductor</v>
      </c>
      <c r="C5398" s="6">
        <v>93</v>
      </c>
      <c r="D5398" s="7">
        <v>5.0599999999999996</v>
      </c>
      <c r="E5398" t="s">
        <v>7</v>
      </c>
    </row>
    <row r="5399" spans="1:5" x14ac:dyDescent="0.25">
      <c r="A5399" t="str">
        <f>HYPERLINK("https://www.773grp.com/globalSearch/LM2596SX-5.0-NOPB/page-1", "LM2596SX-5.0-NOPB")</f>
        <v>LM2596SX-5.0-NOPB</v>
      </c>
      <c r="B5399" s="3" t="str">
        <f>HYPERLINK("https://www.773grp.com/manufacturer/national-semiconductor?pageNo=38", "National Semiconductor")</f>
        <v>National Semiconductor</v>
      </c>
      <c r="C5399" s="6">
        <v>2314</v>
      </c>
      <c r="D5399" s="7">
        <v>5.0599999999999996</v>
      </c>
      <c r="E5399" t="s">
        <v>7</v>
      </c>
    </row>
    <row r="5400" spans="1:5" x14ac:dyDescent="0.25">
      <c r="A5400" t="str">
        <f>HYPERLINK("https://www.773grp.com/globalSearch/LM2596SX-ADJ-NOPB/page-1", "LM2596SX-ADJ-NOPB")</f>
        <v>LM2596SX-ADJ-NOPB</v>
      </c>
      <c r="B5400" s="3" t="str">
        <f>HYPERLINK("https://www.773grp.com/manufacturer/national-semiconductor?pageNo=39", "National Semiconductor")</f>
        <v>National Semiconductor</v>
      </c>
      <c r="C5400" s="6">
        <v>10478</v>
      </c>
      <c r="D5400" s="7">
        <v>5.0599999999999996</v>
      </c>
      <c r="E5400" t="s">
        <v>7</v>
      </c>
    </row>
    <row r="5401" spans="1:5" x14ac:dyDescent="0.25">
      <c r="A5401" t="str">
        <f>HYPERLINK("https://www.773grp.com/globalSearch/LM2596T-12-NOPB/page-1", "LM2596T-12-NOPB")</f>
        <v>LM2596T-12-NOPB</v>
      </c>
      <c r="B5401" s="3" t="str">
        <f>HYPERLINK("https://www.773grp.com/manufacturer/national-semiconductor?pageNo=40", "National Semiconductor")</f>
        <v>National Semiconductor</v>
      </c>
      <c r="C5401" s="6">
        <v>9075</v>
      </c>
      <c r="D5401" s="7">
        <v>5.0599999999999996</v>
      </c>
    </row>
    <row r="5402" spans="1:5" x14ac:dyDescent="0.25">
      <c r="A5402" t="str">
        <f>HYPERLINK("https://www.773grp.com/globalSearch/LM2596T-3.3-NOPB/page-1", "LM2596T-3.3-NOPB")</f>
        <v>LM2596T-3.3-NOPB</v>
      </c>
      <c r="B5402" s="3" t="str">
        <f>HYPERLINK("https://www.773grp.com/manufacturer/national-semiconductor?pageNo=41", "National Semiconductor")</f>
        <v>National Semiconductor</v>
      </c>
      <c r="C5402" s="6">
        <v>2025</v>
      </c>
      <c r="D5402" s="7">
        <v>5.0599999999999996</v>
      </c>
    </row>
    <row r="5403" spans="1:5" x14ac:dyDescent="0.25">
      <c r="A5403" t="str">
        <f>HYPERLINK("https://www.773grp.com/globalSearch/LM2596T-5.0-NOPB/page-1", "LM2596T-5.0-NOPB")</f>
        <v>LM2596T-5.0-NOPB</v>
      </c>
      <c r="B5403" s="3" t="str">
        <f>HYPERLINK("https://www.773grp.com/manufacturer/national-semiconductor?pageNo=42", "National Semiconductor")</f>
        <v>National Semiconductor</v>
      </c>
      <c r="C5403" s="6">
        <v>3060</v>
      </c>
      <c r="D5403" s="7">
        <v>5.0599999999999996</v>
      </c>
    </row>
    <row r="5404" spans="1:5" x14ac:dyDescent="0.25">
      <c r="A5404" t="str">
        <f>HYPERLINK("https://www.773grp.com/globalSearch/LM2596T-ADJ-NOPB/page-1", "LM2596T-ADJ-NOPB")</f>
        <v>LM2596T-ADJ-NOPB</v>
      </c>
      <c r="B5404" s="3" t="str">
        <f>HYPERLINK("https://www.773grp.com/manufacturer/national-semiconductor?pageNo=43", "National Semiconductor")</f>
        <v>National Semiconductor</v>
      </c>
      <c r="C5404" s="6">
        <v>2185</v>
      </c>
      <c r="D5404" s="7">
        <v>5.0599999999999996</v>
      </c>
    </row>
    <row r="5405" spans="1:5" x14ac:dyDescent="0.25">
      <c r="A5405" t="str">
        <f>HYPERLINK("https://www.773grp.com/globalSearch/LM2597M-12-NOPB/page-1", "LM2597M-12-NOPB")</f>
        <v>LM2597M-12-NOPB</v>
      </c>
      <c r="B5405" s="3" t="str">
        <f>HYPERLINK("https://www.773grp.com/manufacturer/national-semiconductor?pageNo=44", "National Semiconductor")</f>
        <v>National Semiconductor</v>
      </c>
      <c r="C5405" s="6">
        <v>570</v>
      </c>
      <c r="D5405" s="7">
        <v>5.0599999999999996</v>
      </c>
      <c r="E5405" t="s">
        <v>7</v>
      </c>
    </row>
    <row r="5406" spans="1:5" x14ac:dyDescent="0.25">
      <c r="A5406" t="str">
        <f>HYPERLINK("https://www.773grp.com/globalSearch/LM2597M-3.3-NOPB/page-1", "LM2597M-3.3-NOPB")</f>
        <v>LM2597M-3.3-NOPB</v>
      </c>
      <c r="B5406" s="3" t="str">
        <f>HYPERLINK("https://www.773grp.com/manufacturer/national-semiconductor?pageNo=45", "National Semiconductor")</f>
        <v>National Semiconductor</v>
      </c>
      <c r="C5406" s="6">
        <v>27</v>
      </c>
      <c r="D5406" s="7">
        <v>5.0599999999999996</v>
      </c>
      <c r="E5406" t="s">
        <v>7</v>
      </c>
    </row>
    <row r="5407" spans="1:5" x14ac:dyDescent="0.25">
      <c r="A5407" t="str">
        <f>HYPERLINK("https://www.773grp.com/globalSearch/LM2597M-5.0-NOPB/page-1", "LM2597M-5.0-NOPB")</f>
        <v>LM2597M-5.0-NOPB</v>
      </c>
      <c r="B5407" s="3" t="str">
        <f>HYPERLINK("https://www.773grp.com/manufacturer/national-semiconductor?pageNo=46", "National Semiconductor")</f>
        <v>National Semiconductor</v>
      </c>
      <c r="C5407" s="6">
        <v>27</v>
      </c>
      <c r="D5407" s="7">
        <v>5.0599999999999996</v>
      </c>
      <c r="E5407" t="s">
        <v>7</v>
      </c>
    </row>
    <row r="5408" spans="1:5" x14ac:dyDescent="0.25">
      <c r="A5408" t="str">
        <f>HYPERLINK("https://www.773grp.com/globalSearch/LM2597M-ADJ-NOPB/page-1", "LM2597M-ADJ-NOPB")</f>
        <v>LM2597M-ADJ-NOPB</v>
      </c>
      <c r="B5408" s="3" t="str">
        <f>HYPERLINK("https://www.773grp.com/manufacturer/national-semiconductor?pageNo=47", "National Semiconductor")</f>
        <v>National Semiconductor</v>
      </c>
      <c r="C5408" s="6">
        <v>822</v>
      </c>
      <c r="D5408" s="7">
        <v>5.0599999999999996</v>
      </c>
      <c r="E5408" t="s">
        <v>7</v>
      </c>
    </row>
    <row r="5409" spans="1:5" x14ac:dyDescent="0.25">
      <c r="A5409" t="str">
        <f>HYPERLINK("https://www.773grp.com/globalSearch/LM2597N-5.0/page-1", "LM2597N-5.0")</f>
        <v>LM2597N-5.0</v>
      </c>
      <c r="B5409" s="3" t="str">
        <f>HYPERLINK("https://www.773grp.com/manufacturer/national-semiconductor?pageNo=48", "National Semiconductor")</f>
        <v>National Semiconductor</v>
      </c>
      <c r="C5409" s="6">
        <v>134</v>
      </c>
      <c r="D5409" s="7">
        <v>5.0599999999999996</v>
      </c>
      <c r="E5409" t="s">
        <v>7</v>
      </c>
    </row>
    <row r="5410" spans="1:5" x14ac:dyDescent="0.25">
      <c r="A5410" t="str">
        <f>HYPERLINK("https://www.773grp.com/globalSearch/LM2647MTCX-NOPB/page-1", "LM2647MTCX-NOPB")</f>
        <v>LM2647MTCX-NOPB</v>
      </c>
      <c r="B5410" s="3" t="str">
        <f>HYPERLINK("https://www.773grp.com/manufacturer/national-semiconductor?pageNo=49", "National Semiconductor")</f>
        <v>National Semiconductor</v>
      </c>
      <c r="C5410" s="6">
        <v>22500</v>
      </c>
      <c r="D5410" s="7">
        <v>5.0599999999999996</v>
      </c>
      <c r="E5410" t="s">
        <v>7</v>
      </c>
    </row>
    <row r="5411" spans="1:5" x14ac:dyDescent="0.25">
      <c r="A5411" t="str">
        <f>HYPERLINK("https://www.773grp.com/globalSearch/LM2653MTC-ADJ-NOPB/page-1", "LM2653MTC-ADJ-NOPB")</f>
        <v>LM2653MTC-ADJ-NOPB</v>
      </c>
      <c r="B5411" s="3" t="str">
        <f>HYPERLINK("https://www.773grp.com/manufacturer/national-semiconductor?pageNo=50", "National Semiconductor")</f>
        <v>National Semiconductor</v>
      </c>
      <c r="C5411" s="6">
        <v>1926</v>
      </c>
      <c r="D5411" s="7">
        <v>5.0599999999999996</v>
      </c>
      <c r="E5411" t="s">
        <v>7</v>
      </c>
    </row>
    <row r="5412" spans="1:5" x14ac:dyDescent="0.25">
      <c r="A5412" t="str">
        <f>HYPERLINK("https://www.773grp.com/globalSearch/LM2676SD-12/page-1", "LM2676SD-12")</f>
        <v>LM2676SD-12</v>
      </c>
      <c r="B5412" s="3" t="str">
        <f>HYPERLINK("https://www.773grp.com/manufacturer/national-semiconductor?pageNo=51", "National Semiconductor")</f>
        <v>National Semiconductor</v>
      </c>
      <c r="C5412" s="6">
        <v>194</v>
      </c>
      <c r="D5412" s="7">
        <v>5.0599999999999996</v>
      </c>
      <c r="E5412" t="s">
        <v>7</v>
      </c>
    </row>
    <row r="5413" spans="1:5" x14ac:dyDescent="0.25">
      <c r="A5413" t="str">
        <f>HYPERLINK("https://www.773grp.com/globalSearch/LM2676SDX-12-NOPB/page-1", "LM2676SDX-12-NOPB")</f>
        <v>LM2676SDX-12-NOPB</v>
      </c>
      <c r="B5413" s="3" t="str">
        <f>HYPERLINK("https://www.773grp.com/manufacturer/national-semiconductor?pageNo=52", "National Semiconductor")</f>
        <v>National Semiconductor</v>
      </c>
      <c r="C5413" s="6">
        <v>2500</v>
      </c>
      <c r="D5413" s="7">
        <v>5.0599999999999996</v>
      </c>
      <c r="E5413" t="s">
        <v>7</v>
      </c>
    </row>
    <row r="5414" spans="1:5" x14ac:dyDescent="0.25">
      <c r="A5414" t="str">
        <f>HYPERLINK("https://www.773grp.com/globalSearch/LM2676SDX-5.0-NOPB/page-1", "LM2676SDX-5.0-NOPB")</f>
        <v>LM2676SDX-5.0-NOPB</v>
      </c>
      <c r="B5414" s="3" t="str">
        <f>HYPERLINK("https://www.773grp.com/manufacturer/national-semiconductor?pageNo=53", "National Semiconductor")</f>
        <v>National Semiconductor</v>
      </c>
      <c r="C5414" s="6">
        <v>2500</v>
      </c>
      <c r="D5414" s="7">
        <v>5.0599999999999996</v>
      </c>
      <c r="E5414" t="s">
        <v>7</v>
      </c>
    </row>
    <row r="5415" spans="1:5" x14ac:dyDescent="0.25">
      <c r="A5415" t="str">
        <f>HYPERLINK("https://www.773grp.com/globalSearch/LM2676SX-12-NOPB/page-1", "LM2676SX-12-NOPB")</f>
        <v>LM2676SX-12-NOPB</v>
      </c>
      <c r="B5415" s="3" t="str">
        <f>HYPERLINK("https://www.773grp.com/manufacturer/national-semiconductor?pageNo=54", "National Semiconductor")</f>
        <v>National Semiconductor</v>
      </c>
      <c r="C5415" s="6">
        <v>1500</v>
      </c>
      <c r="D5415" s="7">
        <v>5.0599999999999996</v>
      </c>
    </row>
    <row r="5416" spans="1:5" x14ac:dyDescent="0.25">
      <c r="A5416" t="str">
        <f>HYPERLINK("https://www.773grp.com/globalSearch/LM2676SX-3.3-NOPB/page-1", "LM2676SX-3.3-NOPB")</f>
        <v>LM2676SX-3.3-NOPB</v>
      </c>
      <c r="B5416" s="3" t="str">
        <f>HYPERLINK("https://www.773grp.com/manufacturer/national-semiconductor?pageNo=55", "National Semiconductor")</f>
        <v>National Semiconductor</v>
      </c>
      <c r="C5416" s="6">
        <v>3000</v>
      </c>
      <c r="D5416" s="7">
        <v>5.0599999999999996</v>
      </c>
      <c r="E5416" t="s">
        <v>7</v>
      </c>
    </row>
    <row r="5417" spans="1:5" x14ac:dyDescent="0.25">
      <c r="A5417" t="str">
        <f>HYPERLINK("https://www.773grp.com/globalSearch/LM2676SX-5.0-NOPB/page-1", "LM2676SX-5.0-NOPB")</f>
        <v>LM2676SX-5.0-NOPB</v>
      </c>
      <c r="B5417" s="3" t="str">
        <f>HYPERLINK("https://www.773grp.com/manufacturer/national-semiconductor?pageNo=56", "National Semiconductor")</f>
        <v>National Semiconductor</v>
      </c>
      <c r="C5417" s="6">
        <v>15000</v>
      </c>
      <c r="D5417" s="7">
        <v>5.0599999999999996</v>
      </c>
      <c r="E5417" t="s">
        <v>7</v>
      </c>
    </row>
    <row r="5418" spans="1:5" x14ac:dyDescent="0.25">
      <c r="A5418" t="str">
        <f>HYPERLINK("https://www.773grp.com/globalSearch/LM2676SX-ADJ-NOPB/page-1", "LM2676SX-ADJ-NOPB")</f>
        <v>LM2676SX-ADJ-NOPB</v>
      </c>
      <c r="B5418" s="3" t="str">
        <f>HYPERLINK("https://www.773grp.com/manufacturer/national-semiconductor?pageNo=57", "National Semiconductor")</f>
        <v>National Semiconductor</v>
      </c>
      <c r="C5418" s="6">
        <v>1274</v>
      </c>
      <c r="D5418" s="7">
        <v>5.0599999999999996</v>
      </c>
      <c r="E5418" t="s">
        <v>7</v>
      </c>
    </row>
    <row r="5419" spans="1:5" x14ac:dyDescent="0.25">
      <c r="A5419" t="str">
        <f>HYPERLINK("https://www.773grp.com/globalSearch/LM2676T-12/page-1", "LM2676T-12")</f>
        <v>LM2676T-12</v>
      </c>
      <c r="B5419" s="3" t="str">
        <f>HYPERLINK("https://www.773grp.com/manufacturer/national-semiconductor?pageNo=58", "National Semiconductor")</f>
        <v>National Semiconductor</v>
      </c>
      <c r="C5419" s="6">
        <v>3</v>
      </c>
      <c r="D5419" s="7">
        <v>5.0599999999999996</v>
      </c>
      <c r="E5419" t="s">
        <v>7</v>
      </c>
    </row>
    <row r="5420" spans="1:5" x14ac:dyDescent="0.25">
      <c r="A5420" t="str">
        <f>HYPERLINK("https://www.773grp.com/globalSearch/LM2676T-12-NOPB/page-1", "LM2676T-12-NOPB")</f>
        <v>LM2676T-12-NOPB</v>
      </c>
      <c r="B5420" s="3" t="str">
        <f>HYPERLINK("https://www.773grp.com/manufacturer/national-semiconductor?pageNo=59", "National Semiconductor")</f>
        <v>National Semiconductor</v>
      </c>
      <c r="C5420" s="6">
        <v>101</v>
      </c>
      <c r="D5420" s="7">
        <v>5.0599999999999996</v>
      </c>
      <c r="E5420" t="s">
        <v>7</v>
      </c>
    </row>
    <row r="5421" spans="1:5" x14ac:dyDescent="0.25">
      <c r="A5421" t="str">
        <f>HYPERLINK("https://www.773grp.com/globalSearch/LM2676T-3.3-NOPB/page-1", "LM2676T-3.3-NOPB")</f>
        <v>LM2676T-3.3-NOPB</v>
      </c>
      <c r="B5421" s="3" t="str">
        <f>HYPERLINK("https://www.773grp.com/manufacturer/national-semiconductor?pageNo=60", "National Semiconductor")</f>
        <v>National Semiconductor</v>
      </c>
      <c r="C5421" s="6">
        <v>1385</v>
      </c>
      <c r="D5421" s="7">
        <v>5.0599999999999996</v>
      </c>
    </row>
    <row r="5422" spans="1:5" x14ac:dyDescent="0.25">
      <c r="A5422" t="str">
        <f>HYPERLINK("https://www.773grp.com/globalSearch/LM2676T-5.0-NOPB/page-1", "LM2676T-5.0-NOPB")</f>
        <v>LM2676T-5.0-NOPB</v>
      </c>
      <c r="B5422" s="3" t="str">
        <f>HYPERLINK("https://www.773grp.com/manufacturer/national-semiconductor?pageNo=61", "National Semiconductor")</f>
        <v>National Semiconductor</v>
      </c>
      <c r="C5422" s="6">
        <v>642</v>
      </c>
      <c r="D5422" s="7">
        <v>5.0599999999999996</v>
      </c>
    </row>
    <row r="5423" spans="1:5" x14ac:dyDescent="0.25">
      <c r="A5423" t="str">
        <f>HYPERLINK("https://www.773grp.com/globalSearch/LM2676T-ADJ-NOPB/page-1", "LM2676T-ADJ-NOPB")</f>
        <v>LM2676T-ADJ-NOPB</v>
      </c>
      <c r="B5423" s="3" t="str">
        <f>HYPERLINK("https://www.773grp.com/manufacturer/national-semiconductor?pageNo=62", "National Semiconductor")</f>
        <v>National Semiconductor</v>
      </c>
      <c r="C5423" s="6">
        <v>1004</v>
      </c>
      <c r="D5423" s="7">
        <v>5.0599999999999996</v>
      </c>
      <c r="E5423" t="s">
        <v>7</v>
      </c>
    </row>
    <row r="5424" spans="1:5" x14ac:dyDescent="0.25">
      <c r="A5424" t="str">
        <f>HYPERLINK("https://www.773grp.com/globalSearch/LM2734ZQMKE/page-1", "LM2734ZQMKE")</f>
        <v>LM2734ZQMKE</v>
      </c>
      <c r="B5424" s="3" t="str">
        <f>HYPERLINK("https://www.773grp.com/manufacturer/national-semiconductor?pageNo=63", "National Semiconductor")</f>
        <v>National Semiconductor</v>
      </c>
      <c r="C5424" s="6">
        <v>250</v>
      </c>
      <c r="D5424" s="7">
        <v>5.0599999999999996</v>
      </c>
    </row>
    <row r="5425" spans="1:5" x14ac:dyDescent="0.25">
      <c r="A5425" t="str">
        <f>HYPERLINK("https://www.773grp.com/globalSearch/LM2852XMXA-0.8-NOPB/page-1", "LM2852XMXA-0.8-NOPB")</f>
        <v>LM2852XMXA-0.8-NOPB</v>
      </c>
      <c r="B5425" s="3" t="str">
        <f>HYPERLINK("https://www.773grp.com/manufacturer/national-semiconductor?pageNo=64", "National Semiconductor")</f>
        <v>National Semiconductor</v>
      </c>
      <c r="C5425" s="6">
        <v>234</v>
      </c>
      <c r="D5425" s="7">
        <v>5.0599999999999996</v>
      </c>
    </row>
    <row r="5426" spans="1:5" x14ac:dyDescent="0.25">
      <c r="A5426" t="str">
        <f>HYPERLINK("https://www.773grp.com/globalSearch/LM2852XMXA-1.5-NOPB/page-1", "LM2852XMXA-1.5-NOPB")</f>
        <v>LM2852XMXA-1.5-NOPB</v>
      </c>
      <c r="B5426" s="3" t="str">
        <f>HYPERLINK("https://www.773grp.com/manufacturer/national-semiconductor?pageNo=65", "National Semiconductor")</f>
        <v>National Semiconductor</v>
      </c>
      <c r="C5426" s="6">
        <v>160</v>
      </c>
      <c r="D5426" s="7">
        <v>5.0599999999999996</v>
      </c>
    </row>
    <row r="5427" spans="1:5" x14ac:dyDescent="0.25">
      <c r="A5427" t="str">
        <f>HYPERLINK("https://www.773grp.com/globalSearch/LM2852XMXA-2.5-NOPB/page-1", "LM2852XMXA-2.5-NOPB")</f>
        <v>LM2852XMXA-2.5-NOPB</v>
      </c>
      <c r="B5427" s="3" t="str">
        <f>HYPERLINK("https://www.773grp.com/manufacturer/national-semiconductor?pageNo=66", "National Semiconductor")</f>
        <v>National Semiconductor</v>
      </c>
      <c r="C5427" s="6">
        <v>249</v>
      </c>
      <c r="D5427" s="7">
        <v>5.0599999999999996</v>
      </c>
    </row>
    <row r="5428" spans="1:5" x14ac:dyDescent="0.25">
      <c r="A5428" t="str">
        <f>HYPERLINK("https://www.773grp.com/globalSearch/LM2852XMXA-3.0-NOPB/page-1", "LM2852XMXA-3.0-NOPB")</f>
        <v>LM2852XMXA-3.0-NOPB</v>
      </c>
      <c r="B5428" s="3" t="str">
        <f>HYPERLINK("https://www.773grp.com/manufacturer/national-semiconductor?pageNo=67", "National Semiconductor")</f>
        <v>National Semiconductor</v>
      </c>
      <c r="C5428" s="6">
        <v>320</v>
      </c>
      <c r="D5428" s="7">
        <v>5.0599999999999996</v>
      </c>
    </row>
    <row r="5429" spans="1:5" x14ac:dyDescent="0.25">
      <c r="A5429" t="str">
        <f>HYPERLINK("https://www.773grp.com/globalSearch/LM2852XMXA-3.3-NOPB/page-1", "LM2852XMXA-3.3-NOPB")</f>
        <v>LM2852XMXA-3.3-NOPB</v>
      </c>
      <c r="B5429" s="3" t="str">
        <f>HYPERLINK("https://www.773grp.com/manufacturer/national-semiconductor?pageNo=68", "National Semiconductor")</f>
        <v>National Semiconductor</v>
      </c>
      <c r="C5429" s="6">
        <v>1893</v>
      </c>
      <c r="D5429" s="7">
        <v>5.0599999999999996</v>
      </c>
    </row>
    <row r="5430" spans="1:5" x14ac:dyDescent="0.25">
      <c r="A5430" t="str">
        <f>HYPERLINK("https://www.773grp.com/globalSearch/LM2852YMXA-0.8-NOPB/page-1", "LM2852YMXA-0.8-NOPB")</f>
        <v>LM2852YMXA-0.8-NOPB</v>
      </c>
      <c r="B5430" s="3" t="str">
        <f>HYPERLINK("https://www.773grp.com/manufacturer/national-semiconductor?pageNo=69", "National Semiconductor")</f>
        <v>National Semiconductor</v>
      </c>
      <c r="C5430" s="6">
        <v>376</v>
      </c>
      <c r="D5430" s="7">
        <v>5.0599999999999996</v>
      </c>
    </row>
    <row r="5431" spans="1:5" x14ac:dyDescent="0.25">
      <c r="A5431" t="str">
        <f>HYPERLINK("https://www.773grp.com/globalSearch/LM2852YMXA-1.0-NOPB/page-1", "LM2852YMXA-1.0-NOPB")</f>
        <v>LM2852YMXA-1.0-NOPB</v>
      </c>
      <c r="B5431" s="3" t="str">
        <f>HYPERLINK("https://www.773grp.com/manufacturer/national-semiconductor?pageNo=70", "National Semiconductor")</f>
        <v>National Semiconductor</v>
      </c>
      <c r="C5431" s="6">
        <v>86</v>
      </c>
      <c r="D5431" s="7">
        <v>5.0599999999999996</v>
      </c>
      <c r="E5431" t="s">
        <v>7</v>
      </c>
    </row>
    <row r="5432" spans="1:5" x14ac:dyDescent="0.25">
      <c r="A5432" t="str">
        <f>HYPERLINK("https://www.773grp.com/globalSearch/LM2852YMXA-1.2-NOPB/page-1", "LM2852YMXA-1.2-NOPB")</f>
        <v>LM2852YMXA-1.2-NOPB</v>
      </c>
      <c r="B5432" s="3" t="str">
        <f>HYPERLINK("https://www.773grp.com/manufacturer/national-semiconductor?pageNo=71", "National Semiconductor")</f>
        <v>National Semiconductor</v>
      </c>
      <c r="C5432" s="6">
        <v>42</v>
      </c>
      <c r="D5432" s="7">
        <v>5.0599999999999996</v>
      </c>
      <c r="E5432" t="s">
        <v>7</v>
      </c>
    </row>
    <row r="5433" spans="1:5" x14ac:dyDescent="0.25">
      <c r="A5433" t="str">
        <f>HYPERLINK("https://www.773grp.com/globalSearch/LM2852YMXA-1.3-NOPB/page-1", "LM2852YMXA-1.3-NOPB")</f>
        <v>LM2852YMXA-1.3-NOPB</v>
      </c>
      <c r="B5433" s="3" t="str">
        <f>HYPERLINK("https://www.773grp.com/manufacturer/national-semiconductor?pageNo=72", "National Semiconductor")</f>
        <v>National Semiconductor</v>
      </c>
      <c r="C5433" s="6">
        <v>1111</v>
      </c>
      <c r="D5433" s="7">
        <v>5.0599999999999996</v>
      </c>
    </row>
    <row r="5434" spans="1:5" x14ac:dyDescent="0.25">
      <c r="A5434" t="str">
        <f>HYPERLINK("https://www.773grp.com/globalSearch/LM2852YMXA-1.5-NOPB/page-1", "LM2852YMXA-1.5-NOPB")</f>
        <v>LM2852YMXA-1.5-NOPB</v>
      </c>
      <c r="B5434" s="3" t="str">
        <f>HYPERLINK("https://www.773grp.com/manufacturer/national-semiconductor?pageNo=73", "National Semiconductor")</f>
        <v>National Semiconductor</v>
      </c>
      <c r="C5434" s="6">
        <v>266</v>
      </c>
      <c r="D5434" s="7">
        <v>5.0599999999999996</v>
      </c>
      <c r="E5434" t="s">
        <v>7</v>
      </c>
    </row>
    <row r="5435" spans="1:5" x14ac:dyDescent="0.25">
      <c r="A5435" t="str">
        <f>HYPERLINK("https://www.773grp.com/globalSearch/LM2852YMXA-1.8-NOPB/page-1", "LM2852YMXA-1.8-NOPB")</f>
        <v>LM2852YMXA-1.8-NOPB</v>
      </c>
      <c r="B5435" s="3" t="str">
        <f>HYPERLINK("https://www.773grp.com/manufacturer/national-semiconductor?pageNo=74", "National Semiconductor")</f>
        <v>National Semiconductor</v>
      </c>
      <c r="C5435" s="6">
        <v>371</v>
      </c>
      <c r="D5435" s="7">
        <v>5.0599999999999996</v>
      </c>
      <c r="E5435" t="s">
        <v>7</v>
      </c>
    </row>
    <row r="5436" spans="1:5" x14ac:dyDescent="0.25">
      <c r="A5436" t="str">
        <f>HYPERLINK("https://www.773grp.com/globalSearch/LM2852YMXA-2.5-NOPB/page-1", "LM2852YMXA-2.5-NOPB")</f>
        <v>LM2852YMXA-2.5-NOPB</v>
      </c>
      <c r="B5436" s="3" t="str">
        <f>HYPERLINK("https://www.773grp.com/manufacturer/national-semiconductor?pageNo=75", "National Semiconductor")</f>
        <v>National Semiconductor</v>
      </c>
      <c r="C5436" s="6">
        <v>50</v>
      </c>
      <c r="D5436" s="7">
        <v>5.0599999999999996</v>
      </c>
      <c r="E5436" t="s">
        <v>7</v>
      </c>
    </row>
    <row r="5437" spans="1:5" x14ac:dyDescent="0.25">
      <c r="A5437" t="str">
        <f>HYPERLINK("https://www.773grp.com/globalSearch/LM2852YMXA-3.0-NOPB/page-1", "LM2852YMXA-3.0-NOPB")</f>
        <v>LM2852YMXA-3.0-NOPB</v>
      </c>
      <c r="B5437" s="3" t="str">
        <f>HYPERLINK("https://www.773grp.com/manufacturer/national-semiconductor?pageNo=76", "National Semiconductor")</f>
        <v>National Semiconductor</v>
      </c>
      <c r="C5437" s="6">
        <v>376</v>
      </c>
      <c r="D5437" s="7">
        <v>5.0599999999999996</v>
      </c>
    </row>
    <row r="5438" spans="1:5" x14ac:dyDescent="0.25">
      <c r="A5438" t="str">
        <f>HYPERLINK("https://www.773grp.com/globalSearch/LM2852YMXA-3.3-NOPB/page-1", "LM2852YMXA-3.3-NOPB")</f>
        <v>LM2852YMXA-3.3-NOPB</v>
      </c>
      <c r="B5438" s="3" t="str">
        <f>HYPERLINK("https://www.773grp.com/manufacturer/national-semiconductor?pageNo=77", "National Semiconductor")</f>
        <v>National Semiconductor</v>
      </c>
      <c r="C5438" s="6">
        <v>412</v>
      </c>
      <c r="D5438" s="7">
        <v>5.0599999999999996</v>
      </c>
      <c r="E5438" t="s">
        <v>7</v>
      </c>
    </row>
    <row r="5439" spans="1:5" x14ac:dyDescent="0.25">
      <c r="A5439" t="str">
        <f>HYPERLINK("https://www.773grp.com/globalSearch/LM4140ACM-1.0-NOPB/page-1", "LM4140ACM-1.0-NOPB")</f>
        <v>LM4140ACM-1.0-NOPB</v>
      </c>
      <c r="B5439" s="3" t="str">
        <f>HYPERLINK("https://www.773grp.com/manufacturer/national-semiconductor?pageNo=78", "National Semiconductor")</f>
        <v>National Semiconductor</v>
      </c>
      <c r="C5439" s="6">
        <v>68</v>
      </c>
      <c r="D5439" s="7">
        <v>5.0599999999999996</v>
      </c>
      <c r="E5439" t="s">
        <v>17</v>
      </c>
    </row>
    <row r="5440" spans="1:5" x14ac:dyDescent="0.25">
      <c r="A5440" t="str">
        <f>HYPERLINK("https://www.773grp.com/globalSearch/LM4140ACM-1.2-NOPB/page-1", "LM4140ACM-1.2-NOPB")</f>
        <v>LM4140ACM-1.2-NOPB</v>
      </c>
      <c r="B5440" s="3" t="str">
        <f>HYPERLINK("https://www.773grp.com/manufacturer/national-semiconductor?pageNo=79", "National Semiconductor")</f>
        <v>National Semiconductor</v>
      </c>
      <c r="C5440" s="6">
        <v>167</v>
      </c>
      <c r="D5440" s="7">
        <v>5.0599999999999996</v>
      </c>
      <c r="E5440" t="s">
        <v>17</v>
      </c>
    </row>
    <row r="5441" spans="1:5" x14ac:dyDescent="0.25">
      <c r="A5441" t="str">
        <f>HYPERLINK("https://www.773grp.com/globalSearch/LM4140BCM-2.5/page-1", "LM4140BCM-2.5")</f>
        <v>LM4140BCM-2.5</v>
      </c>
      <c r="B5441" s="3" t="str">
        <f>HYPERLINK("https://www.773grp.com/manufacturer/national-semiconductor?pageNo=80", "National Semiconductor")</f>
        <v>National Semiconductor</v>
      </c>
      <c r="C5441" s="6">
        <v>264</v>
      </c>
      <c r="D5441" s="7">
        <v>5.0599999999999996</v>
      </c>
      <c r="E5441" t="s">
        <v>17</v>
      </c>
    </row>
    <row r="5442" spans="1:5" x14ac:dyDescent="0.25">
      <c r="A5442" t="str">
        <f>HYPERLINK("https://www.773grp.com/globalSearch/LM4140BCMX-2.5/page-1", "LM4140BCMX-2.5")</f>
        <v>LM4140BCMX-2.5</v>
      </c>
      <c r="B5442" s="3" t="str">
        <f>HYPERLINK("https://www.773grp.com/manufacturer/national-semiconductor?pageNo=81", "National Semiconductor")</f>
        <v>National Semiconductor</v>
      </c>
      <c r="C5442" s="6">
        <v>2500</v>
      </c>
      <c r="D5442" s="7">
        <v>5.0599999999999996</v>
      </c>
      <c r="E5442" t="s">
        <v>17</v>
      </c>
    </row>
    <row r="5443" spans="1:5" x14ac:dyDescent="0.25">
      <c r="A5443" t="str">
        <f>HYPERLINK("https://www.773grp.com/globalSearch/LM4805LQ-NOPB/page-1", "LM4805LQ-NOPB")</f>
        <v>LM4805LQ-NOPB</v>
      </c>
      <c r="B5443" s="3" t="str">
        <f>HYPERLINK("https://www.773grp.com/manufacturer/national-semiconductor?pageNo=82", "National Semiconductor")</f>
        <v>National Semiconductor</v>
      </c>
      <c r="C5443" s="6">
        <v>2000</v>
      </c>
      <c r="D5443" s="7">
        <v>5.0599999999999996</v>
      </c>
      <c r="E5443" t="s">
        <v>18</v>
      </c>
    </row>
    <row r="5444" spans="1:5" x14ac:dyDescent="0.25">
      <c r="A5444" t="str">
        <f>HYPERLINK("https://www.773grp.com/globalSearch/LM4840LQ-NOPB/page-1", "LM4840LQ-NOPB")</f>
        <v>LM4840LQ-NOPB</v>
      </c>
      <c r="B5444" s="3" t="str">
        <f>HYPERLINK("https://www.773grp.com/manufacturer/national-semiconductor?pageNo=83", "National Semiconductor")</f>
        <v>National Semiconductor</v>
      </c>
      <c r="C5444" s="6">
        <v>1434</v>
      </c>
      <c r="D5444" s="7">
        <v>5.0599999999999996</v>
      </c>
      <c r="E5444" t="s">
        <v>41</v>
      </c>
    </row>
    <row r="5445" spans="1:5" x14ac:dyDescent="0.25">
      <c r="A5445" t="str">
        <f>HYPERLINK("https://www.773grp.com/globalSearch/LM5000SD-3-NOPB/page-1", "LM5000SD-3-NOPB")</f>
        <v>LM5000SD-3-NOPB</v>
      </c>
      <c r="B5445" s="3" t="str">
        <f>HYPERLINK("https://www.773grp.com/manufacturer/national-semiconductor?pageNo=84", "National Semiconductor")</f>
        <v>National Semiconductor</v>
      </c>
      <c r="C5445" s="6">
        <v>3899</v>
      </c>
      <c r="D5445" s="7">
        <v>5.0599999999999996</v>
      </c>
      <c r="E5445" t="s">
        <v>7</v>
      </c>
    </row>
    <row r="5446" spans="1:5" x14ac:dyDescent="0.25">
      <c r="A5446" t="str">
        <f>HYPERLINK("https://www.773grp.com/globalSearch/LM5000SD-6-NOPB/page-1", "LM5000SD-6-NOPB")</f>
        <v>LM5000SD-6-NOPB</v>
      </c>
      <c r="B5446" s="3" t="str">
        <f>HYPERLINK("https://www.773grp.com/manufacturer/national-semiconductor?pageNo=85", "National Semiconductor")</f>
        <v>National Semiconductor</v>
      </c>
      <c r="C5446" s="6">
        <v>407</v>
      </c>
      <c r="D5446" s="7">
        <v>5.0599999999999996</v>
      </c>
      <c r="E5446" t="s">
        <v>7</v>
      </c>
    </row>
    <row r="5447" spans="1:5" x14ac:dyDescent="0.25">
      <c r="A5447" t="str">
        <f>HYPERLINK("https://www.773grp.com/globalSearch/LM5115AMT-NOPB/page-1", "LM5115AMT-NOPB")</f>
        <v>LM5115AMT-NOPB</v>
      </c>
      <c r="B5447" s="3" t="str">
        <f>HYPERLINK("https://www.773grp.com/manufacturer/national-semiconductor?pageNo=86", "National Semiconductor")</f>
        <v>National Semiconductor</v>
      </c>
      <c r="C5447" s="6">
        <v>618</v>
      </c>
      <c r="D5447" s="7">
        <v>5.0599999999999996</v>
      </c>
    </row>
    <row r="5448" spans="1:5" x14ac:dyDescent="0.25">
      <c r="A5448" t="str">
        <f>HYPERLINK("https://www.773grp.com/globalSearch/LM6134BIN-NOPB/page-1", "LM6134BIN-NOPB")</f>
        <v>LM6134BIN-NOPB</v>
      </c>
      <c r="B5448" s="3" t="str">
        <f>HYPERLINK("https://www.773grp.com/manufacturer/national-semiconductor?pageNo=87", "National Semiconductor")</f>
        <v>National Semiconductor</v>
      </c>
      <c r="C5448" s="6">
        <v>322</v>
      </c>
      <c r="D5448" s="7">
        <v>5.0599999999999996</v>
      </c>
      <c r="E5448" t="s">
        <v>13</v>
      </c>
    </row>
    <row r="5449" spans="1:5" x14ac:dyDescent="0.25">
      <c r="A5449" t="str">
        <f>HYPERLINK("https://www.773grp.com/globalSearch/LP3852EMP-1.8-NOPB/page-1", "LP3852EMP-1.8-NOPB")</f>
        <v>LP3852EMP-1.8-NOPB</v>
      </c>
      <c r="B5449" s="3" t="str">
        <f>HYPERLINK("https://www.773grp.com/manufacturer/national-semiconductor?pageNo=88", "National Semiconductor")</f>
        <v>National Semiconductor</v>
      </c>
      <c r="C5449" s="6">
        <v>144</v>
      </c>
      <c r="D5449" s="7">
        <v>5.0599999999999996</v>
      </c>
      <c r="E5449" t="s">
        <v>19</v>
      </c>
    </row>
    <row r="5450" spans="1:5" x14ac:dyDescent="0.25">
      <c r="A5450" t="str">
        <f>HYPERLINK("https://www.773grp.com/globalSearch/LP3852EMP-2.5-NOPB/page-1", "LP3852EMP-2.5-NOPB")</f>
        <v>LP3852EMP-2.5-NOPB</v>
      </c>
      <c r="B5450" s="3" t="str">
        <f>HYPERLINK("https://www.773grp.com/manufacturer/national-semiconductor?pageNo=89", "National Semiconductor")</f>
        <v>National Semiconductor</v>
      </c>
      <c r="C5450" s="6">
        <v>1000</v>
      </c>
      <c r="D5450" s="7">
        <v>5.0599999999999996</v>
      </c>
      <c r="E5450" t="s">
        <v>19</v>
      </c>
    </row>
    <row r="5451" spans="1:5" x14ac:dyDescent="0.25">
      <c r="A5451" t="str">
        <f>HYPERLINK("https://www.773grp.com/globalSearch/LP3852EMP-3.3-NOPB/page-1", "LP3852EMP-3.3-NOPB")</f>
        <v>LP3852EMP-3.3-NOPB</v>
      </c>
      <c r="B5451" s="3" t="str">
        <f>HYPERLINK("https://www.773grp.com/manufacturer/national-semiconductor?pageNo=90", "National Semiconductor")</f>
        <v>National Semiconductor</v>
      </c>
      <c r="C5451" s="6">
        <v>3614</v>
      </c>
      <c r="D5451" s="7">
        <v>5.0599999999999996</v>
      </c>
      <c r="E5451" t="s">
        <v>19</v>
      </c>
    </row>
    <row r="5452" spans="1:5" x14ac:dyDescent="0.25">
      <c r="A5452" t="str">
        <f>HYPERLINK("https://www.773grp.com/globalSearch/LP3852EMP-5.0-NOPB/page-1", "LP3852EMP-5.0-NOPB")</f>
        <v>LP3852EMP-5.0-NOPB</v>
      </c>
      <c r="B5452" s="3" t="str">
        <f>HYPERLINK("https://www.773grp.com/manufacturer/national-semiconductor?pageNo=91", "National Semiconductor")</f>
        <v>National Semiconductor</v>
      </c>
      <c r="C5452" s="6">
        <v>2799</v>
      </c>
      <c r="D5452" s="7">
        <v>5.0599999999999996</v>
      </c>
      <c r="E5452" t="s">
        <v>19</v>
      </c>
    </row>
    <row r="5453" spans="1:5" x14ac:dyDescent="0.25">
      <c r="A5453" t="str">
        <f>HYPERLINK("https://www.773grp.com/globalSearch/LP3852EMPX-1.8-NOPB/page-1", "LP3852EMPX-1.8-NOPB")</f>
        <v>LP3852EMPX-1.8-NOPB</v>
      </c>
      <c r="B5453" s="3" t="str">
        <f>HYPERLINK("https://www.773grp.com/manufacturer/national-semiconductor?pageNo=92", "National Semiconductor")</f>
        <v>National Semiconductor</v>
      </c>
      <c r="C5453" s="6">
        <v>6000</v>
      </c>
      <c r="D5453" s="7">
        <v>5.0599999999999996</v>
      </c>
      <c r="E5453" t="s">
        <v>19</v>
      </c>
    </row>
    <row r="5454" spans="1:5" x14ac:dyDescent="0.25">
      <c r="A5454" t="str">
        <f>HYPERLINK("https://www.773grp.com/globalSearch/LP3855EMP-1.8-NOPB/page-1", "LP3855EMP-1.8-NOPB")</f>
        <v>LP3855EMP-1.8-NOPB</v>
      </c>
      <c r="B5454" s="3" t="str">
        <f>HYPERLINK("https://www.773grp.com/manufacturer/national-semiconductor?pageNo=93", "National Semiconductor")</f>
        <v>National Semiconductor</v>
      </c>
      <c r="C5454" s="6">
        <v>2000</v>
      </c>
      <c r="D5454" s="7">
        <v>5.0599999999999996</v>
      </c>
      <c r="E5454" t="s">
        <v>19</v>
      </c>
    </row>
    <row r="5455" spans="1:5" x14ac:dyDescent="0.25">
      <c r="A5455" t="str">
        <f>HYPERLINK("https://www.773grp.com/globalSearch/LP3855EMP-2.5-NOPB/page-1", "LP3855EMP-2.5-NOPB")</f>
        <v>LP3855EMP-2.5-NOPB</v>
      </c>
      <c r="B5455" s="3" t="str">
        <f>HYPERLINK("https://www.773grp.com/manufacturer/national-semiconductor?pageNo=94", "National Semiconductor")</f>
        <v>National Semiconductor</v>
      </c>
      <c r="C5455" s="6">
        <v>4000</v>
      </c>
      <c r="D5455" s="7">
        <v>5.0599999999999996</v>
      </c>
      <c r="E5455" t="s">
        <v>19</v>
      </c>
    </row>
    <row r="5456" spans="1:5" x14ac:dyDescent="0.25">
      <c r="A5456" t="str">
        <f>HYPERLINK("https://www.773grp.com/globalSearch/LP3855EMP-3.3/page-1", "LP3855EMP-3.3")</f>
        <v>LP3855EMP-3.3</v>
      </c>
      <c r="B5456" s="3" t="str">
        <f>HYPERLINK("https://www.773grp.com/manufacturer/national-semiconductor?pageNo=95", "National Semiconductor")</f>
        <v>National Semiconductor</v>
      </c>
      <c r="C5456" s="6">
        <v>1000</v>
      </c>
      <c r="D5456" s="7">
        <v>5.0599999999999996</v>
      </c>
      <c r="E5456" t="s">
        <v>19</v>
      </c>
    </row>
    <row r="5457" spans="1:5" x14ac:dyDescent="0.25">
      <c r="A5457" t="str">
        <f>HYPERLINK("https://www.773grp.com/globalSearch/LP3855EMP-3.3-NOPB/page-1", "LP3855EMP-3.3-NOPB")</f>
        <v>LP3855EMP-3.3-NOPB</v>
      </c>
      <c r="B5457" s="3" t="str">
        <f>HYPERLINK("https://www.773grp.com/manufacturer/national-semiconductor?pageNo=96", "National Semiconductor")</f>
        <v>National Semiconductor</v>
      </c>
      <c r="C5457" s="6">
        <v>1824</v>
      </c>
      <c r="D5457" s="7">
        <v>5.0599999999999996</v>
      </c>
      <c r="E5457" t="s">
        <v>19</v>
      </c>
    </row>
    <row r="5458" spans="1:5" x14ac:dyDescent="0.25">
      <c r="A5458" t="str">
        <f>HYPERLINK("https://www.773grp.com/globalSearch/LP3855EMP-5.0-NOPB/page-1", "LP3855EMP-5.0-NOPB")</f>
        <v>LP3855EMP-5.0-NOPB</v>
      </c>
      <c r="B5458" s="3" t="str">
        <f>HYPERLINK("https://www.773grp.com/manufacturer/national-semiconductor?pageNo=97", "National Semiconductor")</f>
        <v>National Semiconductor</v>
      </c>
      <c r="C5458" s="6">
        <v>4000</v>
      </c>
      <c r="D5458" s="7">
        <v>5.0599999999999996</v>
      </c>
      <c r="E5458" t="s">
        <v>19</v>
      </c>
    </row>
    <row r="5459" spans="1:5" x14ac:dyDescent="0.25">
      <c r="A5459" t="str">
        <f>HYPERLINK("https://www.773grp.com/globalSearch/LP38843S-1.2-NOPB/page-1", "LP38843S-1.2-NOPB")</f>
        <v>LP38843S-1.2-NOPB</v>
      </c>
      <c r="B5459" s="3" t="str">
        <f>HYPERLINK("https://www.773grp.com/manufacturer/national-semiconductor?pageNo=98", "National Semiconductor")</f>
        <v>National Semiconductor</v>
      </c>
      <c r="C5459" s="6">
        <v>891</v>
      </c>
      <c r="D5459" s="7">
        <v>5.0599999999999996</v>
      </c>
      <c r="E5459" t="s">
        <v>19</v>
      </c>
    </row>
    <row r="5460" spans="1:5" x14ac:dyDescent="0.25">
      <c r="A5460" t="str">
        <f>HYPERLINK("https://www.773grp.com/globalSearch/LP38843S-1.5-NOPB/page-1", "LP38843S-1.5-NOPB")</f>
        <v>LP38843S-1.5-NOPB</v>
      </c>
      <c r="B5460" s="3" t="str">
        <f>HYPERLINK("https://www.773grp.com/manufacturer/national-semiconductor?pageNo=99", "National Semiconductor")</f>
        <v>National Semiconductor</v>
      </c>
      <c r="C5460" s="6">
        <v>208</v>
      </c>
      <c r="D5460" s="7">
        <v>5.0599999999999996</v>
      </c>
      <c r="E5460" t="s">
        <v>19</v>
      </c>
    </row>
    <row r="5461" spans="1:5" x14ac:dyDescent="0.25">
      <c r="A5461" t="str">
        <f>HYPERLINK("https://www.773grp.com/globalSearch/LP3950SL-CSP1/page-1", "LP3950SL-CSP1")</f>
        <v>LP3950SL-CSP1</v>
      </c>
      <c r="B5461" s="3" t="str">
        <f>HYPERLINK("https://www.773grp.com/manufacturer/national-semiconductor?pageNo=100", "National Semiconductor")</f>
        <v>National Semiconductor</v>
      </c>
      <c r="C5461" s="6">
        <v>1000</v>
      </c>
      <c r="D5461" s="7">
        <v>5.0599999999999996</v>
      </c>
    </row>
    <row r="5462" spans="1:5" x14ac:dyDescent="0.25">
      <c r="A5462" t="str">
        <f>HYPERLINK("https://www.773grp.com/globalSearch/ADC108S022CIMTX-NOPB/page-1", "ADC108S022CIMTX-NOPB")</f>
        <v>ADC108S022CIMTX-NOPB</v>
      </c>
      <c r="B5462" s="3" t="str">
        <f>HYPERLINK("https://www.773grp.com/manufacturer/national-semiconductor?pageNo=101", "National Semiconductor")</f>
        <v>National Semiconductor</v>
      </c>
      <c r="C5462" s="6">
        <v>620</v>
      </c>
      <c r="D5462" s="7">
        <v>5.0599999999999996</v>
      </c>
      <c r="E5462" t="s">
        <v>39</v>
      </c>
    </row>
    <row r="5463" spans="1:5" x14ac:dyDescent="0.25">
      <c r="A5463" t="str">
        <f>HYPERLINK("https://www.773grp.com/globalSearch/DAC088S085CIMT-NOPB/page-1", "DAC088S085CIMT-NOPB")</f>
        <v>DAC088S085CIMT-NOPB</v>
      </c>
      <c r="B5463" s="3" t="str">
        <f>HYPERLINK("https://www.773grp.com/manufacturer/national-semiconductor?pageNo=102", "National Semiconductor")</f>
        <v>National Semiconductor</v>
      </c>
      <c r="C5463" s="6">
        <v>226</v>
      </c>
      <c r="D5463" s="7">
        <v>5.0599999999999996</v>
      </c>
      <c r="E5463" t="s">
        <v>33</v>
      </c>
    </row>
    <row r="5464" spans="1:5" x14ac:dyDescent="0.25">
      <c r="A5464" t="str">
        <f>HYPERLINK("https://www.773grp.com/globalSearch/DAC122S085CISD-NOPB/page-1", "DAC122S085CISD-NOPB")</f>
        <v>DAC122S085CISD-NOPB</v>
      </c>
      <c r="B5464" s="3" t="str">
        <f>HYPERLINK("https://www.773grp.com/manufacturer/national-semiconductor?pageNo=103", "National Semiconductor")</f>
        <v>National Semiconductor</v>
      </c>
      <c r="C5464" s="6">
        <v>1590</v>
      </c>
      <c r="D5464" s="7">
        <v>5.0599999999999996</v>
      </c>
    </row>
    <row r="5465" spans="1:5" x14ac:dyDescent="0.25">
      <c r="A5465" t="str">
        <f>HYPERLINK("https://www.773grp.com/globalSearch/DAC122S085CISD-NOPB/page-1", "DAC122S085CISD-NOPB")</f>
        <v>DAC122S085CISD-NOPB</v>
      </c>
      <c r="B5465" s="3" t="str">
        <f>HYPERLINK("https://www.773grp.com/manufacturer/national-semiconductor?pageNo=104", "National Semiconductor")</f>
        <v>National Semiconductor</v>
      </c>
      <c r="C5465" s="6">
        <v>4000</v>
      </c>
      <c r="D5465" s="7">
        <v>5.0599999999999996</v>
      </c>
    </row>
    <row r="5466" spans="1:5" x14ac:dyDescent="0.25">
      <c r="A5466" t="str">
        <f>HYPERLINK("https://www.773grp.com/globalSearch/DS14C232TM-NOPB/page-1", "DS14C232TM-NOPB")</f>
        <v>DS14C232TM-NOPB</v>
      </c>
      <c r="B5466" s="3" t="str">
        <f>HYPERLINK("https://www.773grp.com/manufacturer/national-semiconductor?pageNo=105", "National Semiconductor")</f>
        <v>National Semiconductor</v>
      </c>
      <c r="C5466" s="6">
        <v>298</v>
      </c>
      <c r="D5466" s="7">
        <v>5.0599999999999996</v>
      </c>
    </row>
    <row r="5467" spans="1:5" x14ac:dyDescent="0.25">
      <c r="A5467" t="str">
        <f>HYPERLINK("https://www.773grp.com/globalSearch/LM20124MH-NOPB/page-1", "LM20124MH-NOPB")</f>
        <v>LM20124MH-NOPB</v>
      </c>
      <c r="B5467" s="3" t="str">
        <f>HYPERLINK("https://www.773grp.com/manufacturer/national-semiconductor?pageNo=106", "National Semiconductor")</f>
        <v>National Semiconductor</v>
      </c>
      <c r="C5467" s="6">
        <v>1178</v>
      </c>
      <c r="D5467" s="7">
        <v>5.0599999999999996</v>
      </c>
      <c r="E5467" t="s">
        <v>7</v>
      </c>
    </row>
    <row r="5468" spans="1:5" x14ac:dyDescent="0.25">
      <c r="A5468" t="str">
        <f>HYPERLINK("https://www.773grp.com/globalSearch/LM20134MH-NOPB/page-1", "LM20134MH-NOPB")</f>
        <v>LM20134MH-NOPB</v>
      </c>
      <c r="B5468" s="3" t="str">
        <f>HYPERLINK("https://www.773grp.com/manufacturer/national-semiconductor?pageNo=107", "National Semiconductor")</f>
        <v>National Semiconductor</v>
      </c>
      <c r="C5468" s="6">
        <v>25</v>
      </c>
      <c r="D5468" s="7">
        <v>5.0599999999999996</v>
      </c>
      <c r="E5468" t="s">
        <v>7</v>
      </c>
    </row>
    <row r="5469" spans="1:5" x14ac:dyDescent="0.25">
      <c r="A5469" t="str">
        <f>HYPERLINK("https://www.773grp.com/globalSearch/LM20143QMH-NOPB/page-1", "LM20143QMH-NOPB")</f>
        <v>LM20143QMH-NOPB</v>
      </c>
      <c r="B5469" s="3" t="str">
        <f>HYPERLINK("https://www.773grp.com/manufacturer/national-semiconductor?pageNo=108", "National Semiconductor")</f>
        <v>National Semiconductor</v>
      </c>
      <c r="C5469" s="6">
        <v>250</v>
      </c>
      <c r="D5469" s="7">
        <v>5.0599999999999996</v>
      </c>
    </row>
    <row r="5470" spans="1:5" x14ac:dyDescent="0.25">
      <c r="A5470" t="str">
        <f>HYPERLINK("https://www.773grp.com/globalSearch/LM20144MH-NOPB/page-1", "LM20144MH-NOPB")</f>
        <v>LM20144MH-NOPB</v>
      </c>
      <c r="B5470" s="3" t="str">
        <f>HYPERLINK("https://www.773grp.com/manufacturer/national-semiconductor?pageNo=109", "National Semiconductor")</f>
        <v>National Semiconductor</v>
      </c>
      <c r="C5470" s="6">
        <v>271</v>
      </c>
      <c r="D5470" s="7">
        <v>5.0599999999999996</v>
      </c>
    </row>
    <row r="5471" spans="1:5" x14ac:dyDescent="0.25">
      <c r="A5471" t="str">
        <f>HYPERLINK("https://www.773grp.com/globalSearch/LM20144MH-NOPB/page-1", "LM20144MH-NOPB")</f>
        <v>LM20144MH-NOPB</v>
      </c>
      <c r="B5471" s="3" t="str">
        <f>HYPERLINK("https://www.773grp.com/manufacturer/national-semiconductor?pageNo=110", "National Semiconductor")</f>
        <v>National Semiconductor</v>
      </c>
      <c r="C5471" s="6">
        <v>920</v>
      </c>
      <c r="D5471" s="7">
        <v>5.0599999999999996</v>
      </c>
    </row>
    <row r="5472" spans="1:5" x14ac:dyDescent="0.25">
      <c r="A5472" t="str">
        <f>HYPERLINK("https://www.773grp.com/globalSearch/LM20154MH-NOPB/page-1", "LM20154MH-NOPB")</f>
        <v>LM20154MH-NOPB</v>
      </c>
      <c r="B5472" s="3" t="str">
        <f>HYPERLINK("https://www.773grp.com/manufacturer/national-semiconductor?pageNo=111", "National Semiconductor")</f>
        <v>National Semiconductor</v>
      </c>
      <c r="C5472" s="6">
        <v>276</v>
      </c>
      <c r="D5472" s="7">
        <v>5.0599999999999996</v>
      </c>
      <c r="E5472" t="s">
        <v>7</v>
      </c>
    </row>
    <row r="5473" spans="1:5" x14ac:dyDescent="0.25">
      <c r="A5473" t="str">
        <f>HYPERLINK("https://www.773grp.com/globalSearch/LM20242MH-NOPB/page-1", "LM20242MH-NOPB")</f>
        <v>LM20242MH-NOPB</v>
      </c>
      <c r="B5473" s="3" t="str">
        <f>HYPERLINK("https://www.773grp.com/manufacturer/national-semiconductor?pageNo=112", "National Semiconductor")</f>
        <v>National Semiconductor</v>
      </c>
      <c r="C5473" s="6">
        <v>474</v>
      </c>
      <c r="D5473" s="7">
        <v>5.0599999999999996</v>
      </c>
    </row>
    <row r="5474" spans="1:5" x14ac:dyDescent="0.25">
      <c r="A5474" t="str">
        <f>HYPERLINK("https://www.773grp.com/globalSearch/LM22676MRX-5.0-NOPB/page-1", "LM22676MRX-5.0-NOPB")</f>
        <v>LM22676MRX-5.0-NOPB</v>
      </c>
      <c r="B5474" s="3" t="str">
        <f>HYPERLINK("https://www.773grp.com/manufacturer/national-semiconductor?pageNo=113", "National Semiconductor")</f>
        <v>National Semiconductor</v>
      </c>
      <c r="C5474" s="6">
        <v>5000</v>
      </c>
      <c r="D5474" s="7">
        <v>5.0599999999999996</v>
      </c>
    </row>
    <row r="5475" spans="1:5" x14ac:dyDescent="0.25">
      <c r="A5475" t="str">
        <f>HYPERLINK("https://www.773grp.com/globalSearch/LM22676TJ-5.0-NOPB/page-1", "LM22676TJ-5.0-NOPB")</f>
        <v>LM22676TJ-5.0-NOPB</v>
      </c>
      <c r="B5475" s="3" t="str">
        <f>HYPERLINK("https://www.773grp.com/manufacturer/national-semiconductor?pageNo=114", "National Semiconductor")</f>
        <v>National Semiconductor</v>
      </c>
      <c r="C5475" s="6">
        <v>26000</v>
      </c>
      <c r="D5475" s="7">
        <v>5.0599999999999996</v>
      </c>
    </row>
    <row r="5476" spans="1:5" x14ac:dyDescent="0.25">
      <c r="A5476" t="str">
        <f>HYPERLINK("https://www.773grp.com/globalSearch/LM22680QMRX-ADJ-NOPB/page-1", "LM22680QMRX-ADJ-NOPB")</f>
        <v>LM22680QMRX-ADJ-NOPB</v>
      </c>
      <c r="B5476" s="3" t="str">
        <f>HYPERLINK("https://www.773grp.com/manufacturer/national-semiconductor?pageNo=115", "National Semiconductor")</f>
        <v>National Semiconductor</v>
      </c>
      <c r="C5476" s="6">
        <v>2500</v>
      </c>
      <c r="D5476" s="7">
        <v>5.0599999999999996</v>
      </c>
    </row>
    <row r="5477" spans="1:5" x14ac:dyDescent="0.25">
      <c r="A5477" t="str">
        <f>HYPERLINK("https://www.773grp.com/globalSearch/LM2575HVSX-ADJ-NOPB/page-1", "LM2575HVSX-ADJ-NOPB")</f>
        <v>LM2575HVSX-ADJ-NOPB</v>
      </c>
      <c r="B5477" s="3" t="str">
        <f>HYPERLINK("https://www.773grp.com/manufacturer/national-semiconductor?pageNo=116", "National Semiconductor")</f>
        <v>National Semiconductor</v>
      </c>
      <c r="C5477" s="6">
        <v>1416</v>
      </c>
      <c r="D5477" s="7">
        <v>5.0599999999999996</v>
      </c>
      <c r="E5477" t="s">
        <v>7</v>
      </c>
    </row>
    <row r="5478" spans="1:5" x14ac:dyDescent="0.25">
      <c r="A5478" t="str">
        <f>HYPERLINK("https://www.773grp.com/globalSearch/LM2596SX-12-NOPB/page-1", "LM2596SX-12-NOPB")</f>
        <v>LM2596SX-12-NOPB</v>
      </c>
      <c r="B5478" s="3" t="str">
        <f>HYPERLINK("https://www.773grp.com/manufacturer/national-semiconductor?pageNo=117", "National Semiconductor")</f>
        <v>National Semiconductor</v>
      </c>
      <c r="C5478" s="6">
        <v>5375</v>
      </c>
      <c r="D5478" s="7">
        <v>5.0599999999999996</v>
      </c>
    </row>
    <row r="5479" spans="1:5" x14ac:dyDescent="0.25">
      <c r="A5479" t="str">
        <f>HYPERLINK("https://www.773grp.com/globalSearch/LM2596SX-3.3-NOPB/page-1", "LM2596SX-3.3-NOPB")</f>
        <v>LM2596SX-3.3-NOPB</v>
      </c>
      <c r="B5479" s="3" t="str">
        <f>HYPERLINK("https://www.773grp.com/manufacturer/national-semiconductor?pageNo=118", "National Semiconductor")</f>
        <v>National Semiconductor</v>
      </c>
      <c r="C5479" s="6">
        <v>3000</v>
      </c>
      <c r="D5479" s="7">
        <v>5.0599999999999996</v>
      </c>
      <c r="E5479" t="s">
        <v>7</v>
      </c>
    </row>
    <row r="5480" spans="1:5" x14ac:dyDescent="0.25">
      <c r="A5480" t="str">
        <f>HYPERLINK("https://www.773grp.com/globalSearch/LM2596SX-5.0-NOPB/page-1", "LM2596SX-5.0-NOPB")</f>
        <v>LM2596SX-5.0-NOPB</v>
      </c>
      <c r="B5480" s="3" t="str">
        <f>HYPERLINK("https://www.773grp.com/manufacturer/national-semiconductor?pageNo=119", "National Semiconductor")</f>
        <v>National Semiconductor</v>
      </c>
      <c r="C5480" s="6">
        <v>2733</v>
      </c>
      <c r="D5480" s="7">
        <v>5.0599999999999996</v>
      </c>
      <c r="E5480" t="s">
        <v>7</v>
      </c>
    </row>
    <row r="5481" spans="1:5" x14ac:dyDescent="0.25">
      <c r="A5481" t="str">
        <f>HYPERLINK("https://www.773grp.com/globalSearch/LM2596SX-ADJ-NOPB/page-1", "LM2596SX-ADJ-NOPB")</f>
        <v>LM2596SX-ADJ-NOPB</v>
      </c>
      <c r="B5481" s="3" t="str">
        <f>HYPERLINK("https://www.773grp.com/manufacturer/national-semiconductor?pageNo=120", "National Semiconductor")</f>
        <v>National Semiconductor</v>
      </c>
      <c r="C5481" s="6">
        <v>5500</v>
      </c>
      <c r="D5481" s="7">
        <v>5.0599999999999996</v>
      </c>
      <c r="E5481" t="s">
        <v>7</v>
      </c>
    </row>
    <row r="5482" spans="1:5" x14ac:dyDescent="0.25">
      <c r="A5482" t="str">
        <f>HYPERLINK("https://www.773grp.com/globalSearch/LM2596T-12-NOPB/page-1", "LM2596T-12-NOPB")</f>
        <v>LM2596T-12-NOPB</v>
      </c>
      <c r="B5482" s="3" t="str">
        <f>HYPERLINK("https://www.773grp.com/manufacturer/national-semiconductor?pageNo=121", "National Semiconductor")</f>
        <v>National Semiconductor</v>
      </c>
      <c r="C5482" s="6">
        <v>250</v>
      </c>
      <c r="D5482" s="7">
        <v>5.0599999999999996</v>
      </c>
    </row>
    <row r="5483" spans="1:5" x14ac:dyDescent="0.25">
      <c r="A5483" t="str">
        <f>HYPERLINK("https://www.773grp.com/globalSearch/LM2596T-3.3-NOPB/page-1", "LM2596T-3.3-NOPB")</f>
        <v>LM2596T-3.3-NOPB</v>
      </c>
      <c r="B5483" s="3" t="str">
        <f>HYPERLINK("https://www.773grp.com/manufacturer/national-semiconductor?pageNo=122", "National Semiconductor")</f>
        <v>National Semiconductor</v>
      </c>
      <c r="C5483" s="6">
        <v>578</v>
      </c>
      <c r="D5483" s="7">
        <v>5.0599999999999996</v>
      </c>
    </row>
    <row r="5484" spans="1:5" x14ac:dyDescent="0.25">
      <c r="A5484" t="str">
        <f>HYPERLINK("https://www.773grp.com/globalSearch/LM2596T-5.0-LF03/page-1", "LM2596T-5.0-LF03")</f>
        <v>LM2596T-5.0-LF03</v>
      </c>
      <c r="B5484" s="3" t="str">
        <f>HYPERLINK("https://www.773grp.com/manufacturer/national-semiconductor?pageNo=123", "National Semiconductor")</f>
        <v>National Semiconductor</v>
      </c>
      <c r="C5484" s="6">
        <v>4375</v>
      </c>
      <c r="D5484" s="7">
        <v>5.0599999999999996</v>
      </c>
    </row>
    <row r="5485" spans="1:5" x14ac:dyDescent="0.25">
      <c r="A5485" t="str">
        <f>HYPERLINK("https://www.773grp.com/globalSearch/LM2596T-5.0-NOPB/page-1", "LM2596T-5.0-NOPB")</f>
        <v>LM2596T-5.0-NOPB</v>
      </c>
      <c r="B5485" s="3" t="str">
        <f>HYPERLINK("https://www.773grp.com/manufacturer/national-semiconductor?pageNo=124", "National Semiconductor")</f>
        <v>National Semiconductor</v>
      </c>
      <c r="C5485" s="6">
        <v>399</v>
      </c>
      <c r="D5485" s="7">
        <v>5.0599999999999996</v>
      </c>
    </row>
    <row r="5486" spans="1:5" x14ac:dyDescent="0.25">
      <c r="A5486" t="str">
        <f>HYPERLINK("https://www.773grp.com/globalSearch/LM2596T-ADJ-NOPB/page-1", "LM2596T-ADJ-NOPB")</f>
        <v>LM2596T-ADJ-NOPB</v>
      </c>
      <c r="B5486" s="3" t="str">
        <f>HYPERLINK("https://www.773grp.com/manufacturer/national-semiconductor?pageNo=125", "National Semiconductor")</f>
        <v>National Semiconductor</v>
      </c>
      <c r="C5486" s="6">
        <v>1151</v>
      </c>
      <c r="D5486" s="7">
        <v>5.0599999999999996</v>
      </c>
    </row>
    <row r="5487" spans="1:5" x14ac:dyDescent="0.25">
      <c r="A5487" t="str">
        <f>HYPERLINK("https://www.773grp.com/globalSearch/LM2597M-12-NOPB/page-1", "LM2597M-12-NOPB")</f>
        <v>LM2597M-12-NOPB</v>
      </c>
      <c r="B5487" s="3" t="str">
        <f>HYPERLINK("https://www.773grp.com/manufacturer/national-semiconductor?pageNo=126", "National Semiconductor")</f>
        <v>National Semiconductor</v>
      </c>
      <c r="C5487" s="6">
        <v>908</v>
      </c>
      <c r="D5487" s="7">
        <v>5.0599999999999996</v>
      </c>
      <c r="E5487" t="s">
        <v>7</v>
      </c>
    </row>
    <row r="5488" spans="1:5" x14ac:dyDescent="0.25">
      <c r="A5488" t="str">
        <f>HYPERLINK("https://www.773grp.com/globalSearch/LM2597M-3.3-NOPB/page-1", "LM2597M-3.3-NOPB")</f>
        <v>LM2597M-3.3-NOPB</v>
      </c>
      <c r="B5488" s="3" t="str">
        <f>HYPERLINK("https://www.773grp.com/manufacturer/national-semiconductor?pageNo=127", "National Semiconductor")</f>
        <v>National Semiconductor</v>
      </c>
      <c r="C5488" s="6">
        <v>995</v>
      </c>
      <c r="D5488" s="7">
        <v>5.0599999999999996</v>
      </c>
      <c r="E5488" t="s">
        <v>7</v>
      </c>
    </row>
    <row r="5489" spans="1:5" x14ac:dyDescent="0.25">
      <c r="A5489" t="str">
        <f>HYPERLINK("https://www.773grp.com/globalSearch/LM2597M-5.0-NOPB/page-1", "LM2597M-5.0-NOPB")</f>
        <v>LM2597M-5.0-NOPB</v>
      </c>
      <c r="B5489" s="3" t="str">
        <f>HYPERLINK("https://www.773grp.com/manufacturer/national-semiconductor?pageNo=128", "National Semiconductor")</f>
        <v>National Semiconductor</v>
      </c>
      <c r="C5489" s="6">
        <v>40</v>
      </c>
      <c r="D5489" s="7">
        <v>5.0599999999999996</v>
      </c>
      <c r="E5489" t="s">
        <v>7</v>
      </c>
    </row>
    <row r="5490" spans="1:5" x14ac:dyDescent="0.25">
      <c r="A5490" t="str">
        <f>HYPERLINK("https://www.773grp.com/globalSearch/LM2597M-ADJ-NOPB/page-1", "LM2597M-ADJ-NOPB")</f>
        <v>LM2597M-ADJ-NOPB</v>
      </c>
      <c r="B5490" s="3" t="str">
        <f>HYPERLINK("https://www.773grp.com/manufacturer/national-semiconductor?pageNo=129", "National Semiconductor")</f>
        <v>National Semiconductor</v>
      </c>
      <c r="C5490" s="6">
        <v>315</v>
      </c>
      <c r="D5490" s="7">
        <v>5.0599999999999996</v>
      </c>
      <c r="E5490" t="s">
        <v>7</v>
      </c>
    </row>
    <row r="5491" spans="1:5" x14ac:dyDescent="0.25">
      <c r="A5491" t="str">
        <f>HYPERLINK("https://www.773grp.com/globalSearch/LM2647LQ-NOPB/page-1", "LM2647LQ-NOPB")</f>
        <v>LM2647LQ-NOPB</v>
      </c>
      <c r="B5491" s="3" t="str">
        <f>HYPERLINK("https://www.773grp.com/manufacturer/national-semiconductor?pageNo=130", "National Semiconductor")</f>
        <v>National Semiconductor</v>
      </c>
      <c r="C5491" s="6">
        <v>817</v>
      </c>
      <c r="D5491" s="7">
        <v>5.0599999999999996</v>
      </c>
    </row>
    <row r="5492" spans="1:5" x14ac:dyDescent="0.25">
      <c r="A5492" t="str">
        <f>HYPERLINK("https://www.773grp.com/globalSearch/LM2647MTCX-NOPB/page-1", "LM2647MTCX-NOPB")</f>
        <v>LM2647MTCX-NOPB</v>
      </c>
      <c r="B5492" s="3" t="str">
        <f>HYPERLINK("https://www.773grp.com/manufacturer/national-semiconductor?pageNo=131", "National Semiconductor")</f>
        <v>National Semiconductor</v>
      </c>
      <c r="C5492" s="6">
        <v>2500</v>
      </c>
      <c r="D5492" s="7">
        <v>5.0599999999999996</v>
      </c>
      <c r="E5492" t="s">
        <v>7</v>
      </c>
    </row>
    <row r="5493" spans="1:5" x14ac:dyDescent="0.25">
      <c r="A5493" t="str">
        <f>HYPERLINK("https://www.773grp.com/globalSearch/LM2653MTC-ADJ-NOPB/page-1", "LM2653MTC-ADJ-NOPB")</f>
        <v>LM2653MTC-ADJ-NOPB</v>
      </c>
      <c r="B5493" s="3" t="str">
        <f>HYPERLINK("https://www.773grp.com/manufacturer/national-semiconductor?pageNo=132", "National Semiconductor")</f>
        <v>National Semiconductor</v>
      </c>
      <c r="C5493" s="6">
        <v>954</v>
      </c>
      <c r="D5493" s="7">
        <v>5.0599999999999996</v>
      </c>
      <c r="E5493" t="s">
        <v>7</v>
      </c>
    </row>
    <row r="5494" spans="1:5" x14ac:dyDescent="0.25">
      <c r="A5494" t="str">
        <f>HYPERLINK("https://www.773grp.com/globalSearch/LM2676SX-12-NOPB/page-1", "LM2676SX-12-NOPB")</f>
        <v>LM2676SX-12-NOPB</v>
      </c>
      <c r="B5494" s="3" t="str">
        <f>HYPERLINK("https://www.773grp.com/manufacturer/national-semiconductor?pageNo=133", "National Semiconductor")</f>
        <v>National Semiconductor</v>
      </c>
      <c r="C5494" s="6">
        <v>2000</v>
      </c>
      <c r="D5494" s="7">
        <v>5.0599999999999996</v>
      </c>
    </row>
    <row r="5495" spans="1:5" x14ac:dyDescent="0.25">
      <c r="A5495" t="str">
        <f>HYPERLINK("https://www.773grp.com/globalSearch/LM2676SX-3.3-NOPB/page-1", "LM2676SX-3.3-NOPB")</f>
        <v>LM2676SX-3.3-NOPB</v>
      </c>
      <c r="B5495" s="3" t="str">
        <f>HYPERLINK("https://www.773grp.com/manufacturer/national-semiconductor?pageNo=134", "National Semiconductor")</f>
        <v>National Semiconductor</v>
      </c>
      <c r="C5495" s="6">
        <v>497</v>
      </c>
      <c r="D5495" s="7">
        <v>5.0599999999999996</v>
      </c>
      <c r="E5495" t="s">
        <v>7</v>
      </c>
    </row>
    <row r="5496" spans="1:5" x14ac:dyDescent="0.25">
      <c r="A5496" t="str">
        <f>HYPERLINK("https://www.773grp.com/globalSearch/LM2676SX-5.0-NOPB/page-1", "LM2676SX-5.0-NOPB")</f>
        <v>LM2676SX-5.0-NOPB</v>
      </c>
      <c r="B5496" s="3" t="str">
        <f>HYPERLINK("https://www.773grp.com/manufacturer/national-semiconductor?pageNo=1", "National Semiconductor")</f>
        <v>National Semiconductor</v>
      </c>
      <c r="C5496" s="6">
        <v>1275</v>
      </c>
      <c r="D5496" s="7">
        <v>5.0599999999999996</v>
      </c>
      <c r="E5496" t="s">
        <v>7</v>
      </c>
    </row>
    <row r="5497" spans="1:5" x14ac:dyDescent="0.25">
      <c r="A5497" t="str">
        <f>HYPERLINK("https://www.773grp.com/globalSearch/LM2676SX-ADJ-NOPB/page-1", "LM2676SX-ADJ-NOPB")</f>
        <v>LM2676SX-ADJ-NOPB</v>
      </c>
      <c r="B5497" s="3" t="str">
        <f>HYPERLINK("https://www.773grp.com/manufacturer/national-semiconductor?pageNo=2", "National Semiconductor")</f>
        <v>National Semiconductor</v>
      </c>
      <c r="C5497" s="6">
        <v>980</v>
      </c>
      <c r="D5497" s="7">
        <v>5.0599999999999996</v>
      </c>
      <c r="E5497" t="s">
        <v>7</v>
      </c>
    </row>
    <row r="5498" spans="1:5" x14ac:dyDescent="0.25">
      <c r="A5498" t="str">
        <f>HYPERLINK("https://www.773grp.com/globalSearch/LM2676T-12-NOPB/page-1", "LM2676T-12-NOPB")</f>
        <v>LM2676T-12-NOPB</v>
      </c>
      <c r="B5498" s="3" t="str">
        <f>HYPERLINK("https://www.773grp.com/manufacturer/national-semiconductor?pageNo=3", "National Semiconductor")</f>
        <v>National Semiconductor</v>
      </c>
      <c r="C5498" s="6">
        <v>230</v>
      </c>
      <c r="D5498" s="7">
        <v>5.0599999999999996</v>
      </c>
      <c r="E5498" t="s">
        <v>7</v>
      </c>
    </row>
    <row r="5499" spans="1:5" x14ac:dyDescent="0.25">
      <c r="A5499" t="str">
        <f>HYPERLINK("https://www.773grp.com/globalSearch/LM2676T-3.3-NOPB/page-1", "LM2676T-3.3-NOPB")</f>
        <v>LM2676T-3.3-NOPB</v>
      </c>
      <c r="B5499" s="3" t="str">
        <f>HYPERLINK("https://www.773grp.com/manufacturer/national-semiconductor?pageNo=4", "National Semiconductor")</f>
        <v>National Semiconductor</v>
      </c>
      <c r="C5499" s="6">
        <v>235</v>
      </c>
      <c r="D5499" s="7">
        <v>5.0599999999999996</v>
      </c>
    </row>
    <row r="5500" spans="1:5" x14ac:dyDescent="0.25">
      <c r="A5500" t="str">
        <f>HYPERLINK("https://www.773grp.com/globalSearch/LM2676T-5.0-NOPB/page-1", "LM2676T-5.0-NOPB")</f>
        <v>LM2676T-5.0-NOPB</v>
      </c>
      <c r="B5500" s="3" t="str">
        <f>HYPERLINK("https://www.773grp.com/manufacturer/national-semiconductor?pageNo=5", "National Semiconductor")</f>
        <v>National Semiconductor</v>
      </c>
      <c r="C5500" s="6">
        <v>430</v>
      </c>
      <c r="D5500" s="7">
        <v>5.0599999999999996</v>
      </c>
    </row>
    <row r="5501" spans="1:5" x14ac:dyDescent="0.25">
      <c r="A5501" t="str">
        <f>HYPERLINK("https://www.773grp.com/globalSearch/LM2676T-ADJ-NOPB/page-1", "LM2676T-ADJ-NOPB")</f>
        <v>LM2676T-ADJ-NOPB</v>
      </c>
      <c r="B5501" s="3" t="str">
        <f>HYPERLINK("https://www.773grp.com/manufacturer/national-semiconductor?pageNo=6", "National Semiconductor")</f>
        <v>National Semiconductor</v>
      </c>
      <c r="C5501" s="6">
        <v>250</v>
      </c>
      <c r="D5501" s="7">
        <v>5.0599999999999996</v>
      </c>
      <c r="E5501" t="s">
        <v>7</v>
      </c>
    </row>
    <row r="5502" spans="1:5" x14ac:dyDescent="0.25">
      <c r="A5502" t="str">
        <f>HYPERLINK("https://www.773grp.com/globalSearch/LM2734ZQMKE/page-1", "LM2734ZQMKE")</f>
        <v>LM2734ZQMKE</v>
      </c>
      <c r="B5502" s="3" t="str">
        <f>HYPERLINK("https://www.773grp.com/manufacturer/national-semiconductor?pageNo=7", "National Semiconductor")</f>
        <v>National Semiconductor</v>
      </c>
      <c r="C5502" s="6">
        <v>141</v>
      </c>
      <c r="D5502" s="7">
        <v>5.0599999999999996</v>
      </c>
    </row>
    <row r="5503" spans="1:5" x14ac:dyDescent="0.25">
      <c r="A5503" t="str">
        <f>HYPERLINK("https://www.773grp.com/globalSearch/LM2852XMXA-0.8-NOPB/page-1", "LM2852XMXA-0.8-NOPB")</f>
        <v>LM2852XMXA-0.8-NOPB</v>
      </c>
      <c r="B5503" s="3" t="str">
        <f>HYPERLINK("https://www.773grp.com/manufacturer/national-semiconductor?pageNo=8", "National Semiconductor")</f>
        <v>National Semiconductor</v>
      </c>
      <c r="C5503" s="6">
        <v>269</v>
      </c>
      <c r="D5503" s="7">
        <v>5.0599999999999996</v>
      </c>
    </row>
    <row r="5504" spans="1:5" x14ac:dyDescent="0.25">
      <c r="A5504" t="str">
        <f>HYPERLINK("https://www.773grp.com/globalSearch/LM2852XMXA-1.0-NOPB/page-1", "LM2852XMXA-1.0-NOPB")</f>
        <v>LM2852XMXA-1.0-NOPB</v>
      </c>
      <c r="B5504" s="3" t="str">
        <f>HYPERLINK("https://www.773grp.com/manufacturer/national-semiconductor?pageNo=9", "National Semiconductor")</f>
        <v>National Semiconductor</v>
      </c>
      <c r="C5504" s="6">
        <v>125</v>
      </c>
      <c r="D5504" s="7">
        <v>5.0599999999999996</v>
      </c>
    </row>
    <row r="5505" spans="1:5" x14ac:dyDescent="0.25">
      <c r="A5505" t="str">
        <f>HYPERLINK("https://www.773grp.com/globalSearch/LM2852XMXA-1.2-NOPB/page-1", "LM2852XMXA-1.2-NOPB")</f>
        <v>LM2852XMXA-1.2-NOPB</v>
      </c>
      <c r="B5505" s="3" t="str">
        <f>HYPERLINK("https://www.773grp.com/manufacturer/national-semiconductor?pageNo=10", "National Semiconductor")</f>
        <v>National Semiconductor</v>
      </c>
      <c r="C5505" s="6">
        <v>704</v>
      </c>
      <c r="D5505" s="7">
        <v>5.0599999999999996</v>
      </c>
    </row>
    <row r="5506" spans="1:5" x14ac:dyDescent="0.25">
      <c r="A5506" t="str">
        <f>HYPERLINK("https://www.773grp.com/globalSearch/LM2852XMXA-1.5-NOPB/page-1", "LM2852XMXA-1.5-NOPB")</f>
        <v>LM2852XMXA-1.5-NOPB</v>
      </c>
      <c r="B5506" s="3" t="str">
        <f>HYPERLINK("https://www.773grp.com/manufacturer/national-semiconductor?pageNo=11", "National Semiconductor")</f>
        <v>National Semiconductor</v>
      </c>
      <c r="C5506" s="6">
        <v>557</v>
      </c>
      <c r="D5506" s="7">
        <v>5.0599999999999996</v>
      </c>
    </row>
    <row r="5507" spans="1:5" x14ac:dyDescent="0.25">
      <c r="A5507" t="str">
        <f>HYPERLINK("https://www.773grp.com/globalSearch/LM2852XMXA-1.8-NOPB/page-1", "LM2852XMXA-1.8-NOPB")</f>
        <v>LM2852XMXA-1.8-NOPB</v>
      </c>
      <c r="B5507" s="3" t="str">
        <f>HYPERLINK("https://www.773grp.com/manufacturer/national-semiconductor?pageNo=12", "National Semiconductor")</f>
        <v>National Semiconductor</v>
      </c>
      <c r="C5507" s="6">
        <v>798</v>
      </c>
      <c r="D5507" s="7">
        <v>5.0599999999999996</v>
      </c>
    </row>
    <row r="5508" spans="1:5" x14ac:dyDescent="0.25">
      <c r="A5508" t="str">
        <f>HYPERLINK("https://www.773grp.com/globalSearch/LM2852XMXA-2.5-NOPB/page-1", "LM2852XMXA-2.5-NOPB")</f>
        <v>LM2852XMXA-2.5-NOPB</v>
      </c>
      <c r="B5508" s="3" t="str">
        <f>HYPERLINK("https://www.773grp.com/manufacturer/national-semiconductor?pageNo=13", "National Semiconductor")</f>
        <v>National Semiconductor</v>
      </c>
      <c r="C5508" s="6">
        <v>244</v>
      </c>
      <c r="D5508" s="7">
        <v>5.0599999999999996</v>
      </c>
    </row>
    <row r="5509" spans="1:5" x14ac:dyDescent="0.25">
      <c r="A5509" t="str">
        <f>HYPERLINK("https://www.773grp.com/globalSearch/LM2852XMXA-3.0-NOPB/page-1", "LM2852XMXA-3.0-NOPB")</f>
        <v>LM2852XMXA-3.0-NOPB</v>
      </c>
      <c r="B5509" s="3" t="str">
        <f>HYPERLINK("https://www.773grp.com/manufacturer/national-semiconductor?pageNo=14", "National Semiconductor")</f>
        <v>National Semiconductor</v>
      </c>
      <c r="C5509" s="6">
        <v>3270</v>
      </c>
      <c r="D5509" s="7">
        <v>5.0599999999999996</v>
      </c>
    </row>
    <row r="5510" spans="1:5" x14ac:dyDescent="0.25">
      <c r="A5510" t="str">
        <f>HYPERLINK("https://www.773grp.com/globalSearch/LM2852XMXA-3.3-NOPB/page-1", "LM2852XMXA-3.3-NOPB")</f>
        <v>LM2852XMXA-3.3-NOPB</v>
      </c>
      <c r="B5510" s="3" t="str">
        <f>HYPERLINK("https://www.773grp.com/manufacturer/national-semiconductor?pageNo=15", "National Semiconductor")</f>
        <v>National Semiconductor</v>
      </c>
      <c r="C5510" s="6">
        <v>409</v>
      </c>
      <c r="D5510" s="7">
        <v>5.0599999999999996</v>
      </c>
    </row>
    <row r="5511" spans="1:5" x14ac:dyDescent="0.25">
      <c r="A5511" t="str">
        <f>HYPERLINK("https://www.773grp.com/globalSearch/LM2852YMXA-0.8-NOPB/page-1", "LM2852YMXA-0.8-NOPB")</f>
        <v>LM2852YMXA-0.8-NOPB</v>
      </c>
      <c r="B5511" s="3" t="str">
        <f>HYPERLINK("https://www.773grp.com/manufacturer/national-semiconductor?pageNo=16", "National Semiconductor")</f>
        <v>National Semiconductor</v>
      </c>
      <c r="C5511" s="6">
        <v>3270</v>
      </c>
      <c r="D5511" s="7">
        <v>5.0599999999999996</v>
      </c>
    </row>
    <row r="5512" spans="1:5" x14ac:dyDescent="0.25">
      <c r="A5512" t="str">
        <f>HYPERLINK("https://www.773grp.com/globalSearch/LM2852YMXA-1.0-NOPB/page-1", "LM2852YMXA-1.0-NOPB")</f>
        <v>LM2852YMXA-1.0-NOPB</v>
      </c>
      <c r="B5512" s="3" t="str">
        <f>HYPERLINK("https://www.773grp.com/manufacturer/national-semiconductor?pageNo=17", "National Semiconductor")</f>
        <v>National Semiconductor</v>
      </c>
      <c r="C5512" s="6">
        <v>310</v>
      </c>
      <c r="D5512" s="7">
        <v>5.0599999999999996</v>
      </c>
      <c r="E5512" t="s">
        <v>7</v>
      </c>
    </row>
    <row r="5513" spans="1:5" x14ac:dyDescent="0.25">
      <c r="A5513" t="str">
        <f>HYPERLINK("https://www.773grp.com/globalSearch/LM2852YMXA-1.2-NOPB/page-1", "LM2852YMXA-1.2-NOPB")</f>
        <v>LM2852YMXA-1.2-NOPB</v>
      </c>
      <c r="B5513" s="3" t="str">
        <f>HYPERLINK("https://www.773grp.com/manufacturer/national-semiconductor?pageNo=18", "National Semiconductor")</f>
        <v>National Semiconductor</v>
      </c>
      <c r="C5513" s="6">
        <v>57</v>
      </c>
      <c r="D5513" s="7">
        <v>5.0599999999999996</v>
      </c>
      <c r="E5513" t="s">
        <v>7</v>
      </c>
    </row>
    <row r="5514" spans="1:5" x14ac:dyDescent="0.25">
      <c r="A5514" t="str">
        <f>HYPERLINK("https://www.773grp.com/globalSearch/LM2852YMXA-1.3-NOPB/page-1", "LM2852YMXA-1.3-NOPB")</f>
        <v>LM2852YMXA-1.3-NOPB</v>
      </c>
      <c r="B5514" s="3" t="str">
        <f>HYPERLINK("https://www.773grp.com/manufacturer/national-semiconductor?pageNo=19", "National Semiconductor")</f>
        <v>National Semiconductor</v>
      </c>
      <c r="C5514" s="6">
        <v>658</v>
      </c>
      <c r="D5514" s="7">
        <v>5.0599999999999996</v>
      </c>
    </row>
    <row r="5515" spans="1:5" x14ac:dyDescent="0.25">
      <c r="A5515" t="str">
        <f>HYPERLINK("https://www.773grp.com/globalSearch/LM2852YMXA-1.5-NOPB/page-1", "LM2852YMXA-1.5-NOPB")</f>
        <v>LM2852YMXA-1.5-NOPB</v>
      </c>
      <c r="B5515" s="3" t="str">
        <f>HYPERLINK("https://www.773grp.com/manufacturer/national-semiconductor?pageNo=20", "National Semiconductor")</f>
        <v>National Semiconductor</v>
      </c>
      <c r="C5515" s="6">
        <v>1277</v>
      </c>
      <c r="D5515" s="7">
        <v>5.0599999999999996</v>
      </c>
      <c r="E5515" t="s">
        <v>7</v>
      </c>
    </row>
    <row r="5516" spans="1:5" x14ac:dyDescent="0.25">
      <c r="A5516" t="str">
        <f>HYPERLINK("https://www.773grp.com/globalSearch/LM2852YMXA-1.8-NOPB/page-1", "LM2852YMXA-1.8-NOPB")</f>
        <v>LM2852YMXA-1.8-NOPB</v>
      </c>
      <c r="B5516" s="3" t="str">
        <f>HYPERLINK("https://www.773grp.com/manufacturer/national-semiconductor?pageNo=21", "National Semiconductor")</f>
        <v>National Semiconductor</v>
      </c>
      <c r="C5516" s="6">
        <v>425</v>
      </c>
      <c r="D5516" s="7">
        <v>5.0599999999999996</v>
      </c>
      <c r="E5516" t="s">
        <v>7</v>
      </c>
    </row>
    <row r="5517" spans="1:5" x14ac:dyDescent="0.25">
      <c r="A5517" t="str">
        <f>HYPERLINK("https://www.773grp.com/globalSearch/LM2852YMXA-2.5-NOPB/page-1", "LM2852YMXA-2.5-NOPB")</f>
        <v>LM2852YMXA-2.5-NOPB</v>
      </c>
      <c r="B5517" s="3" t="str">
        <f>HYPERLINK("https://www.773grp.com/manufacturer/national-semiconductor?pageNo=22", "National Semiconductor")</f>
        <v>National Semiconductor</v>
      </c>
      <c r="C5517" s="6">
        <v>231</v>
      </c>
      <c r="D5517" s="7">
        <v>5.0599999999999996</v>
      </c>
      <c r="E5517" t="s">
        <v>7</v>
      </c>
    </row>
    <row r="5518" spans="1:5" x14ac:dyDescent="0.25">
      <c r="A5518" t="str">
        <f>HYPERLINK("https://www.773grp.com/globalSearch/LM2852YMXA-3.0-NOPB/page-1", "LM2852YMXA-3.0-NOPB")</f>
        <v>LM2852YMXA-3.0-NOPB</v>
      </c>
      <c r="B5518" s="3" t="str">
        <f>HYPERLINK("https://www.773grp.com/manufacturer/national-semiconductor?pageNo=23", "National Semiconductor")</f>
        <v>National Semiconductor</v>
      </c>
      <c r="C5518" s="6">
        <v>188</v>
      </c>
      <c r="D5518" s="7">
        <v>5.0599999999999996</v>
      </c>
    </row>
    <row r="5519" spans="1:5" x14ac:dyDescent="0.25">
      <c r="A5519" t="str">
        <f>HYPERLINK("https://www.773grp.com/globalSearch/LM2852YMXA-3.3-NOPB/page-1", "LM2852YMXA-3.3-NOPB")</f>
        <v>LM2852YMXA-3.3-NOPB</v>
      </c>
      <c r="B5519" s="3" t="str">
        <f>HYPERLINK("https://www.773grp.com/manufacturer/national-semiconductor?pageNo=24", "National Semiconductor")</f>
        <v>National Semiconductor</v>
      </c>
      <c r="C5519" s="6">
        <v>477</v>
      </c>
      <c r="D5519" s="7">
        <v>5.0599999999999996</v>
      </c>
      <c r="E5519" t="s">
        <v>7</v>
      </c>
    </row>
    <row r="5520" spans="1:5" x14ac:dyDescent="0.25">
      <c r="A5520" t="str">
        <f>HYPERLINK("https://www.773grp.com/globalSearch/LM4140ACM-1.0-NOPB/page-1", "LM4140ACM-1.0-NOPB")</f>
        <v>LM4140ACM-1.0-NOPB</v>
      </c>
      <c r="B5520" s="3" t="str">
        <f>HYPERLINK("https://www.773grp.com/manufacturer/national-semiconductor?pageNo=25", "National Semiconductor")</f>
        <v>National Semiconductor</v>
      </c>
      <c r="C5520" s="6">
        <v>141</v>
      </c>
      <c r="D5520" s="7">
        <v>5.0599999999999996</v>
      </c>
      <c r="E5520" t="s">
        <v>17</v>
      </c>
    </row>
    <row r="5521" spans="1:5" x14ac:dyDescent="0.25">
      <c r="A5521" t="str">
        <f>HYPERLINK("https://www.773grp.com/globalSearch/LM4140ACM-1.2-NOPB/page-1", "LM4140ACM-1.2-NOPB")</f>
        <v>LM4140ACM-1.2-NOPB</v>
      </c>
      <c r="B5521" s="3" t="str">
        <f>HYPERLINK("https://www.773grp.com/manufacturer/national-semiconductor?pageNo=26", "National Semiconductor")</f>
        <v>National Semiconductor</v>
      </c>
      <c r="C5521" s="6">
        <v>180</v>
      </c>
      <c r="D5521" s="7">
        <v>5.0599999999999996</v>
      </c>
      <c r="E5521" t="s">
        <v>17</v>
      </c>
    </row>
    <row r="5522" spans="1:5" x14ac:dyDescent="0.25">
      <c r="A5522" t="str">
        <f>HYPERLINK("https://www.773grp.com/globalSearch/LM4140ACM-2.0-NOPB/page-1", "LM4140ACM-2.0-NOPB")</f>
        <v>LM4140ACM-2.0-NOPB</v>
      </c>
      <c r="B5522" s="3" t="str">
        <f>HYPERLINK("https://www.773grp.com/manufacturer/national-semiconductor?pageNo=27", "National Semiconductor")</f>
        <v>National Semiconductor</v>
      </c>
      <c r="C5522" s="6">
        <v>874</v>
      </c>
      <c r="D5522" s="7">
        <v>5.0599999999999996</v>
      </c>
    </row>
    <row r="5523" spans="1:5" x14ac:dyDescent="0.25">
      <c r="A5523" t="str">
        <f>HYPERLINK("https://www.773grp.com/globalSearch/LM5000-3MTCX-NOPB/page-1", "LM5000-3MTCX-NOPB")</f>
        <v>LM5000-3MTCX-NOPB</v>
      </c>
      <c r="B5523" s="3" t="str">
        <f>HYPERLINK("https://www.773grp.com/manufacturer/national-semiconductor?pageNo=28", "National Semiconductor")</f>
        <v>National Semiconductor</v>
      </c>
      <c r="C5523" s="6">
        <v>1999</v>
      </c>
      <c r="D5523" s="7">
        <v>5.0599999999999996</v>
      </c>
    </row>
    <row r="5524" spans="1:5" x14ac:dyDescent="0.25">
      <c r="A5524" t="str">
        <f>HYPERLINK("https://www.773grp.com/globalSearch/LM5000SD-3-NOPB/page-1", "LM5000SD-3-NOPB")</f>
        <v>LM5000SD-3-NOPB</v>
      </c>
      <c r="B5524" s="3" t="str">
        <f>HYPERLINK("https://www.773grp.com/manufacturer/national-semiconductor?pageNo=29", "National Semiconductor")</f>
        <v>National Semiconductor</v>
      </c>
      <c r="C5524" s="6">
        <v>6778</v>
      </c>
      <c r="D5524" s="7">
        <v>5.0599999999999996</v>
      </c>
      <c r="E5524" t="s">
        <v>7</v>
      </c>
    </row>
    <row r="5525" spans="1:5" x14ac:dyDescent="0.25">
      <c r="A5525" t="str">
        <f>HYPERLINK("https://www.773grp.com/globalSearch/LM5000SD-3-NOPB/page-1", "LM5000SD-3-NOPB")</f>
        <v>LM5000SD-3-NOPB</v>
      </c>
      <c r="B5525" s="3" t="str">
        <f>HYPERLINK("https://www.773grp.com/manufacturer/national-semiconductor?pageNo=30", "National Semiconductor")</f>
        <v>National Semiconductor</v>
      </c>
      <c r="C5525" s="6">
        <v>1033</v>
      </c>
      <c r="D5525" s="7">
        <v>5.0599999999999996</v>
      </c>
      <c r="E5525" t="s">
        <v>7</v>
      </c>
    </row>
    <row r="5526" spans="1:5" x14ac:dyDescent="0.25">
      <c r="A5526" t="str">
        <f>HYPERLINK("https://www.773grp.com/globalSearch/LM5000SD-6-NOPB/page-1", "LM5000SD-6-NOPB")</f>
        <v>LM5000SD-6-NOPB</v>
      </c>
      <c r="B5526" s="3" t="str">
        <f>HYPERLINK("https://www.773grp.com/manufacturer/national-semiconductor?pageNo=31", "National Semiconductor")</f>
        <v>National Semiconductor</v>
      </c>
      <c r="C5526" s="6">
        <v>1001</v>
      </c>
      <c r="D5526" s="7">
        <v>5.0599999999999996</v>
      </c>
      <c r="E5526" t="s">
        <v>7</v>
      </c>
    </row>
    <row r="5527" spans="1:5" x14ac:dyDescent="0.25">
      <c r="A5527" t="str">
        <f>HYPERLINK("https://www.773grp.com/globalSearch/LM5115AMT-NOPB/page-1", "LM5115AMT-NOPB")</f>
        <v>LM5115AMT-NOPB</v>
      </c>
      <c r="B5527" s="3" t="str">
        <f>HYPERLINK("https://www.773grp.com/manufacturer/national-semiconductor?pageNo=32", "National Semiconductor")</f>
        <v>National Semiconductor</v>
      </c>
      <c r="C5527" s="6">
        <v>1627</v>
      </c>
      <c r="D5527" s="7">
        <v>5.0599999999999996</v>
      </c>
    </row>
    <row r="5528" spans="1:5" x14ac:dyDescent="0.25">
      <c r="A5528" t="str">
        <f>HYPERLINK("https://www.773grp.com/globalSearch/LM5574QMTX-NOPB/page-1", "LM5574QMTX-NOPB")</f>
        <v>LM5574QMTX-NOPB</v>
      </c>
      <c r="B5528" s="3" t="str">
        <f>HYPERLINK("https://www.773grp.com/manufacturer/national-semiconductor?pageNo=33", "National Semiconductor")</f>
        <v>National Semiconductor</v>
      </c>
      <c r="C5528" s="6">
        <v>2500</v>
      </c>
      <c r="D5528" s="7">
        <v>5.0599999999999996</v>
      </c>
    </row>
    <row r="5529" spans="1:5" x14ac:dyDescent="0.25">
      <c r="A5529" t="str">
        <f>HYPERLINK("https://www.773grp.com/globalSearch/LM6134BIN-NOPB/page-1", "LM6134BIN-NOPB")</f>
        <v>LM6134BIN-NOPB</v>
      </c>
      <c r="B5529" s="3" t="str">
        <f>HYPERLINK("https://www.773grp.com/manufacturer/national-semiconductor?pageNo=34", "National Semiconductor")</f>
        <v>National Semiconductor</v>
      </c>
      <c r="C5529" s="6">
        <v>5800</v>
      </c>
      <c r="D5529" s="7">
        <v>5.0599999999999996</v>
      </c>
      <c r="E5529" t="s">
        <v>13</v>
      </c>
    </row>
    <row r="5530" spans="1:5" x14ac:dyDescent="0.25">
      <c r="A5530" t="str">
        <f>HYPERLINK("https://www.773grp.com/globalSearch/LM6134BIN-NOPB/page-1", "LM6134BIN-NOPB")</f>
        <v>LM6134BIN-NOPB</v>
      </c>
      <c r="B5530" s="3" t="str">
        <f>HYPERLINK("https://www.773grp.com/manufacturer/national-semiconductor?pageNo=35", "National Semiconductor")</f>
        <v>National Semiconductor</v>
      </c>
      <c r="C5530" s="6">
        <v>2500</v>
      </c>
      <c r="D5530" s="7">
        <v>5.0599999999999996</v>
      </c>
      <c r="E5530" t="s">
        <v>13</v>
      </c>
    </row>
    <row r="5531" spans="1:5" x14ac:dyDescent="0.25">
      <c r="A5531" t="str">
        <f>HYPERLINK("https://www.773grp.com/globalSearch/LP3852EMP-1.8-NOPB/page-1", "LP3852EMP-1.8-NOPB")</f>
        <v>LP3852EMP-1.8-NOPB</v>
      </c>
      <c r="B5531" s="3" t="str">
        <f>HYPERLINK("https://www.773grp.com/manufacturer/national-semiconductor?pageNo=36", "National Semiconductor")</f>
        <v>National Semiconductor</v>
      </c>
      <c r="C5531" s="6">
        <v>231</v>
      </c>
      <c r="D5531" s="7">
        <v>5.0599999999999996</v>
      </c>
      <c r="E5531" t="s">
        <v>19</v>
      </c>
    </row>
    <row r="5532" spans="1:5" x14ac:dyDescent="0.25">
      <c r="A5532" t="str">
        <f>HYPERLINK("https://www.773grp.com/globalSearch/LP3852EMP-3.3-NOPB/page-1", "LP3852EMP-3.3-NOPB")</f>
        <v>LP3852EMP-3.3-NOPB</v>
      </c>
      <c r="B5532" s="3" t="str">
        <f>HYPERLINK("https://www.773grp.com/manufacturer/national-semiconductor?pageNo=37", "National Semiconductor")</f>
        <v>National Semiconductor</v>
      </c>
      <c r="C5532" s="6">
        <v>804</v>
      </c>
      <c r="D5532" s="7">
        <v>5.0599999999999996</v>
      </c>
      <c r="E5532" t="s">
        <v>19</v>
      </c>
    </row>
    <row r="5533" spans="1:5" x14ac:dyDescent="0.25">
      <c r="A5533" t="str">
        <f>HYPERLINK("https://www.773grp.com/globalSearch/LP3852EMP-5.0-NOPB/page-1", "LP3852EMP-5.0-NOPB")</f>
        <v>LP3852EMP-5.0-NOPB</v>
      </c>
      <c r="B5533" s="3" t="str">
        <f>HYPERLINK("https://www.773grp.com/manufacturer/national-semiconductor?pageNo=38", "National Semiconductor")</f>
        <v>National Semiconductor</v>
      </c>
      <c r="C5533" s="6">
        <v>1000</v>
      </c>
      <c r="D5533" s="7">
        <v>5.0599999999999996</v>
      </c>
      <c r="E5533" t="s">
        <v>19</v>
      </c>
    </row>
    <row r="5534" spans="1:5" x14ac:dyDescent="0.25">
      <c r="A5534" t="str">
        <f>HYPERLINK("https://www.773grp.com/globalSearch/LP3852EMPX-1.8-NOPB/page-1", "LP3852EMPX-1.8-NOPB")</f>
        <v>LP3852EMPX-1.8-NOPB</v>
      </c>
      <c r="B5534" s="3" t="str">
        <f>HYPERLINK("https://www.773grp.com/manufacturer/national-semiconductor?pageNo=39", "National Semiconductor")</f>
        <v>National Semiconductor</v>
      </c>
      <c r="C5534" s="6">
        <v>4000</v>
      </c>
      <c r="D5534" s="7">
        <v>5.0599999999999996</v>
      </c>
      <c r="E5534" t="s">
        <v>19</v>
      </c>
    </row>
    <row r="5535" spans="1:5" x14ac:dyDescent="0.25">
      <c r="A5535" t="str">
        <f>HYPERLINK("https://www.773grp.com/globalSearch/LP3855EMP2.5-NOPB/page-1", "LP3855EMP2.5-NOPB")</f>
        <v>LP3855EMP2.5-NOPB</v>
      </c>
      <c r="B5535" s="3" t="str">
        <f>HYPERLINK("https://www.773grp.com/manufacturer/national-semiconductor?pageNo=40", "National Semiconductor")</f>
        <v>National Semiconductor</v>
      </c>
      <c r="C5535" s="6">
        <v>301</v>
      </c>
      <c r="D5535" s="7">
        <v>5.0599999999999996</v>
      </c>
    </row>
    <row r="5536" spans="1:5" x14ac:dyDescent="0.25">
      <c r="A5536" t="str">
        <f>HYPERLINK("https://www.773grp.com/globalSearch/LP3855EMP-2.5-NOPB/page-1", "LP3855EMP-2.5-NOPB")</f>
        <v>LP3855EMP-2.5-NOPB</v>
      </c>
      <c r="B5536" s="3" t="str">
        <f>HYPERLINK("https://www.773grp.com/manufacturer/national-semiconductor?pageNo=41", "National Semiconductor")</f>
        <v>National Semiconductor</v>
      </c>
      <c r="C5536" s="6">
        <v>1000</v>
      </c>
      <c r="D5536" s="7">
        <v>5.0599999999999996</v>
      </c>
      <c r="E5536" t="s">
        <v>19</v>
      </c>
    </row>
    <row r="5537" spans="1:5" x14ac:dyDescent="0.25">
      <c r="A5537" t="str">
        <f>HYPERLINK("https://www.773grp.com/globalSearch/LP3855EMP-3.3-NOPB/page-1", "LP3855EMP-3.3-NOPB")</f>
        <v>LP3855EMP-3.3-NOPB</v>
      </c>
      <c r="B5537" s="3" t="str">
        <f>HYPERLINK("https://www.773grp.com/manufacturer/national-semiconductor?pageNo=42", "National Semiconductor")</f>
        <v>National Semiconductor</v>
      </c>
      <c r="C5537" s="6">
        <v>2968</v>
      </c>
      <c r="D5537" s="7">
        <v>5.0599999999999996</v>
      </c>
      <c r="E5537" t="s">
        <v>19</v>
      </c>
    </row>
    <row r="5538" spans="1:5" x14ac:dyDescent="0.25">
      <c r="A5538" t="str">
        <f>HYPERLINK("https://www.773grp.com/globalSearch/LP3855EMP-5.0-NOPB/page-1", "LP3855EMP-5.0-NOPB")</f>
        <v>LP3855EMP-5.0-NOPB</v>
      </c>
      <c r="B5538" s="3" t="str">
        <f>HYPERLINK("https://www.773grp.com/manufacturer/national-semiconductor?pageNo=43", "National Semiconductor")</f>
        <v>National Semiconductor</v>
      </c>
      <c r="C5538" s="6">
        <v>1000</v>
      </c>
      <c r="D5538" s="7">
        <v>5.0599999999999996</v>
      </c>
      <c r="E5538" t="s">
        <v>19</v>
      </c>
    </row>
    <row r="5539" spans="1:5" x14ac:dyDescent="0.25">
      <c r="A5539" t="str">
        <f>HYPERLINK("https://www.773grp.com/globalSearch/LP38843S-0.8-NOPB/page-1", "LP38843S-0.8-NOPB")</f>
        <v>LP38843S-0.8-NOPB</v>
      </c>
      <c r="B5539" s="3" t="str">
        <f>HYPERLINK("https://www.773grp.com/manufacturer/national-semiconductor?pageNo=44", "National Semiconductor")</f>
        <v>National Semiconductor</v>
      </c>
      <c r="C5539" s="6">
        <v>2700</v>
      </c>
      <c r="D5539" s="7">
        <v>5.0599999999999996</v>
      </c>
    </row>
    <row r="5540" spans="1:5" x14ac:dyDescent="0.25">
      <c r="A5540" t="str">
        <f>HYPERLINK("https://www.773grp.com/globalSearch/LP38843S-1.2-NOPB/page-1", "LP38843S-1.2-NOPB")</f>
        <v>LP38843S-1.2-NOPB</v>
      </c>
      <c r="B5540" s="3" t="str">
        <f>HYPERLINK("https://www.773grp.com/manufacturer/national-semiconductor?pageNo=45", "National Semiconductor")</f>
        <v>National Semiconductor</v>
      </c>
      <c r="C5540" s="6">
        <v>164</v>
      </c>
      <c r="D5540" s="7">
        <v>5.0599999999999996</v>
      </c>
      <c r="E5540" t="s">
        <v>19</v>
      </c>
    </row>
    <row r="5541" spans="1:5" x14ac:dyDescent="0.25">
      <c r="A5541" t="str">
        <f>HYPERLINK("https://www.773grp.com/globalSearch/LP38843S-1.5-NOPB/page-1", "LP38843S-1.5-NOPB")</f>
        <v>LP38843S-1.5-NOPB</v>
      </c>
      <c r="B5541" s="3" t="str">
        <f>HYPERLINK("https://www.773grp.com/manufacturer/national-semiconductor?pageNo=46", "National Semiconductor")</f>
        <v>National Semiconductor</v>
      </c>
      <c r="C5541" s="6">
        <v>202</v>
      </c>
      <c r="D5541" s="7">
        <v>5.0599999999999996</v>
      </c>
      <c r="E5541" t="s">
        <v>19</v>
      </c>
    </row>
    <row r="5542" spans="1:5" x14ac:dyDescent="0.25">
      <c r="A5542" t="str">
        <f>HYPERLINK("https://www.773grp.com/globalSearch/TLC7528IFN/page-1", "TLC7528IFN")</f>
        <v>TLC7528IFN</v>
      </c>
      <c r="B5542" s="3" t="str">
        <f>HYPERLINK("https://www.773grp.com/manufacturer/national-semiconductor?pageNo=47", "National Semiconductor")</f>
        <v>National Semiconductor</v>
      </c>
      <c r="C5542" s="6">
        <v>1748</v>
      </c>
      <c r="D5542" s="7">
        <v>5.0599999999999996</v>
      </c>
    </row>
    <row r="5543" spans="1:5" x14ac:dyDescent="0.25">
      <c r="A5543" t="str">
        <f>HYPERLINK("https://www.773grp.com/globalSearch/LM2990SX-15/page-1", "LM2990SX-15")</f>
        <v>LM2990SX-15</v>
      </c>
      <c r="B5543" s="3" t="str">
        <f>HYPERLINK("https://www.773grp.com/manufacturer/national-semiconductor?pageNo=48", "National Semiconductor")</f>
        <v>National Semiconductor</v>
      </c>
      <c r="C5543" s="6">
        <v>542</v>
      </c>
      <c r="D5543" s="7">
        <v>5.0999999999999996</v>
      </c>
      <c r="E5543" t="s">
        <v>49</v>
      </c>
    </row>
    <row r="5544" spans="1:5" x14ac:dyDescent="0.25">
      <c r="A5544" t="str">
        <f>HYPERLINK("https://www.773grp.com/globalSearch/LM2990SX-5.0/page-1", "LM2990SX-5.0")</f>
        <v>LM2990SX-5.0</v>
      </c>
      <c r="B5544" s="3" t="str">
        <f>HYPERLINK("https://www.773grp.com/manufacturer/national-semiconductor?pageNo=49", "National Semiconductor")</f>
        <v>National Semiconductor</v>
      </c>
      <c r="C5544" s="6">
        <v>1000</v>
      </c>
      <c r="D5544" s="7">
        <v>5.0999999999999996</v>
      </c>
      <c r="E5544" t="s">
        <v>49</v>
      </c>
    </row>
    <row r="5545" spans="1:5" x14ac:dyDescent="0.25">
      <c r="A5545" t="str">
        <f>HYPERLINK("https://www.773grp.com/globalSearch/LM2990T-12/page-1", "LM2990T-12")</f>
        <v>LM2990T-12</v>
      </c>
      <c r="B5545" s="3" t="str">
        <f>HYPERLINK("https://www.773grp.com/manufacturer/national-semiconductor?pageNo=50", "National Semiconductor")</f>
        <v>National Semiconductor</v>
      </c>
      <c r="C5545" s="6">
        <v>95</v>
      </c>
      <c r="D5545" s="7">
        <v>5.0999999999999996</v>
      </c>
      <c r="E5545" t="s">
        <v>49</v>
      </c>
    </row>
    <row r="5546" spans="1:5" x14ac:dyDescent="0.25">
      <c r="A5546" t="str">
        <f>HYPERLINK("https://www.773grp.com/globalSearch/LM2990T-15/page-1", "LM2990T-15")</f>
        <v>LM2990T-15</v>
      </c>
      <c r="B5546" s="3" t="str">
        <f>HYPERLINK("https://www.773grp.com/manufacturer/national-semiconductor?pageNo=51", "National Semiconductor")</f>
        <v>National Semiconductor</v>
      </c>
      <c r="C5546" s="6">
        <v>285</v>
      </c>
      <c r="D5546" s="7">
        <v>5.0999999999999996</v>
      </c>
      <c r="E5546" t="s">
        <v>49</v>
      </c>
    </row>
    <row r="5547" spans="1:5" x14ac:dyDescent="0.25">
      <c r="A5547" t="str">
        <f>HYPERLINK("https://www.773grp.com/globalSearch/LM2990T-5.0/page-1", "LM2990T-5.0")</f>
        <v>LM2990T-5.0</v>
      </c>
      <c r="B5547" s="3" t="str">
        <f>HYPERLINK("https://www.773grp.com/manufacturer/national-semiconductor?pageNo=52", "National Semiconductor")</f>
        <v>National Semiconductor</v>
      </c>
      <c r="C5547" s="6">
        <v>45</v>
      </c>
      <c r="D5547" s="7">
        <v>5.0999999999999996</v>
      </c>
      <c r="E5547" t="s">
        <v>49</v>
      </c>
    </row>
    <row r="5548" spans="1:5" x14ac:dyDescent="0.25">
      <c r="A5548" t="str">
        <f>HYPERLINK("https://www.773grp.com/globalSearch/LM2990T-5.2/page-1", "LM2990T-5.2")</f>
        <v>LM2990T-5.2</v>
      </c>
      <c r="B5548" s="3" t="str">
        <f>HYPERLINK("https://www.773grp.com/manufacturer/national-semiconductor?pageNo=53", "National Semiconductor")</f>
        <v>National Semiconductor</v>
      </c>
      <c r="C5548" s="6">
        <v>164</v>
      </c>
      <c r="D5548" s="7">
        <v>5.0999999999999996</v>
      </c>
      <c r="E5548" t="s">
        <v>49</v>
      </c>
    </row>
    <row r="5549" spans="1:5" x14ac:dyDescent="0.25">
      <c r="A5549" t="str">
        <f>HYPERLINK("https://www.773grp.com/globalSearch/LM2991SX/page-1", "LM2991SX")</f>
        <v>LM2991SX</v>
      </c>
      <c r="B5549" s="3" t="str">
        <f>HYPERLINK("https://www.773grp.com/manufacturer/national-semiconductor?pageNo=54", "National Semiconductor")</f>
        <v>National Semiconductor</v>
      </c>
      <c r="C5549" s="6">
        <v>500</v>
      </c>
      <c r="D5549" s="7">
        <v>5.0999999999999996</v>
      </c>
      <c r="E5549" t="s">
        <v>50</v>
      </c>
    </row>
    <row r="5550" spans="1:5" x14ac:dyDescent="0.25">
      <c r="A5550" t="str">
        <f>HYPERLINK("https://www.773grp.com/globalSearch/LM2991T/page-1", "LM2991T")</f>
        <v>LM2991T</v>
      </c>
      <c r="B5550" s="3" t="str">
        <f>HYPERLINK("https://www.773grp.com/manufacturer/national-semiconductor?pageNo=55", "National Semiconductor")</f>
        <v>National Semiconductor</v>
      </c>
      <c r="C5550" s="6">
        <v>348</v>
      </c>
      <c r="D5550" s="7">
        <v>5.0999999999999996</v>
      </c>
      <c r="E5550" t="s">
        <v>50</v>
      </c>
    </row>
    <row r="5551" spans="1:5" x14ac:dyDescent="0.25">
      <c r="A5551" t="str">
        <f>HYPERLINK("https://www.773grp.com/globalSearch/LM2991T-LB03/page-1", "LM2991T-LB03")</f>
        <v>LM2991T-LB03</v>
      </c>
      <c r="B5551" s="3" t="str">
        <f>HYPERLINK("https://www.773grp.com/manufacturer/national-semiconductor?pageNo=56", "National Semiconductor")</f>
        <v>National Semiconductor</v>
      </c>
      <c r="C5551" s="6">
        <v>395</v>
      </c>
      <c r="D5551" s="7">
        <v>5.0999999999999996</v>
      </c>
      <c r="E5551" t="s">
        <v>50</v>
      </c>
    </row>
    <row r="5552" spans="1:5" x14ac:dyDescent="0.25">
      <c r="A5552" t="str">
        <f>HYPERLINK("https://www.773grp.com/globalSearch/LM4830M/page-1", "LM4830M")</f>
        <v>LM4830M</v>
      </c>
      <c r="B5552" s="3" t="str">
        <f>HYPERLINK("https://www.773grp.com/manufacturer/national-semiconductor?pageNo=57", "National Semiconductor")</f>
        <v>National Semiconductor</v>
      </c>
      <c r="C5552" s="6">
        <v>100</v>
      </c>
      <c r="D5552" s="7">
        <v>5.0999999999999996</v>
      </c>
      <c r="E5552" t="s">
        <v>18</v>
      </c>
    </row>
    <row r="5553" spans="1:5" x14ac:dyDescent="0.25">
      <c r="A5553" t="str">
        <f>HYPERLINK("https://www.773grp.com/globalSearch/LM49250RL-NOPB/page-1", "LM49250RL-NOPB")</f>
        <v>LM49250RL-NOPB</v>
      </c>
      <c r="B5553" s="3" t="str">
        <f>HYPERLINK("https://www.773grp.com/manufacturer/national-semiconductor?pageNo=58", "National Semiconductor")</f>
        <v>National Semiconductor</v>
      </c>
      <c r="C5553" s="6">
        <v>250</v>
      </c>
      <c r="D5553" s="7">
        <v>5.0999999999999996</v>
      </c>
    </row>
    <row r="5554" spans="1:5" x14ac:dyDescent="0.25">
      <c r="A5554" t="str">
        <f>HYPERLINK("https://www.773grp.com/globalSearch/LM5026MT/page-1", "LM5026MT")</f>
        <v>LM5026MT</v>
      </c>
      <c r="B5554" s="3" t="str">
        <f>HYPERLINK("https://www.773grp.com/manufacturer/national-semiconductor?pageNo=59", "National Semiconductor")</f>
        <v>National Semiconductor</v>
      </c>
      <c r="C5554" s="6">
        <v>92</v>
      </c>
      <c r="D5554" s="7">
        <v>5.0999999999999996</v>
      </c>
      <c r="E5554" t="s">
        <v>7</v>
      </c>
    </row>
    <row r="5555" spans="1:5" x14ac:dyDescent="0.25">
      <c r="A5555" t="str">
        <f>HYPERLINK("https://www.773grp.com/globalSearch/LM5035ASQ/page-1", "LM5035ASQ")</f>
        <v>LM5035ASQ</v>
      </c>
      <c r="B5555" s="3" t="str">
        <f>HYPERLINK("https://www.773grp.com/manufacturer/national-semiconductor?pageNo=60", "National Semiconductor")</f>
        <v>National Semiconductor</v>
      </c>
      <c r="C5555" s="6">
        <v>875</v>
      </c>
      <c r="D5555" s="7">
        <v>5.0999999999999996</v>
      </c>
      <c r="E5555" t="s">
        <v>7</v>
      </c>
    </row>
    <row r="5556" spans="1:5" x14ac:dyDescent="0.25">
      <c r="A5556" t="str">
        <f>HYPERLINK("https://www.773grp.com/globalSearch/LM5104M/page-1", "LM5104M")</f>
        <v>LM5104M</v>
      </c>
      <c r="B5556" s="3" t="str">
        <f>HYPERLINK("https://www.773grp.com/manufacturer/national-semiconductor?pageNo=61", "National Semiconductor")</f>
        <v>National Semiconductor</v>
      </c>
      <c r="C5556" s="6">
        <v>84</v>
      </c>
      <c r="D5556" s="7">
        <v>5.0999999999999996</v>
      </c>
      <c r="E5556" t="s">
        <v>11</v>
      </c>
    </row>
    <row r="5557" spans="1:5" x14ac:dyDescent="0.25">
      <c r="A5557" t="str">
        <f>HYPERLINK("https://www.773grp.com/globalSearch/LME49720MAX/page-1", "LME49720MAX")</f>
        <v>LME49720MAX</v>
      </c>
      <c r="B5557" s="3" t="str">
        <f>HYPERLINK("https://www.773grp.com/manufacturer/national-semiconductor?pageNo=62", "National Semiconductor")</f>
        <v>National Semiconductor</v>
      </c>
      <c r="C5557" s="6">
        <v>15000</v>
      </c>
      <c r="D5557" s="7">
        <v>5.0999999999999996</v>
      </c>
    </row>
    <row r="5558" spans="1:5" x14ac:dyDescent="0.25">
      <c r="A5558" t="str">
        <f>HYPERLINK("https://www.773grp.com/globalSearch/LMV844MTX/page-1", "LMV844MTX")</f>
        <v>LMV844MTX</v>
      </c>
      <c r="B5558" s="3" t="str">
        <f>HYPERLINK("https://www.773grp.com/manufacturer/national-semiconductor?pageNo=63", "National Semiconductor")</f>
        <v>National Semiconductor</v>
      </c>
      <c r="C5558" s="6">
        <v>7500</v>
      </c>
      <c r="D5558" s="7">
        <v>5.0999999999999996</v>
      </c>
      <c r="E5558" t="s">
        <v>13</v>
      </c>
    </row>
    <row r="5559" spans="1:5" x14ac:dyDescent="0.25">
      <c r="A5559" t="str">
        <f>HYPERLINK("https://www.773grp.com/globalSearch/LM2990SX-15/page-1", "LM2990SX-15")</f>
        <v>LM2990SX-15</v>
      </c>
      <c r="B5559" s="3" t="str">
        <f>HYPERLINK("https://www.773grp.com/manufacturer/national-semiconductor?pageNo=64", "National Semiconductor")</f>
        <v>National Semiconductor</v>
      </c>
      <c r="C5559" s="6">
        <v>1500</v>
      </c>
      <c r="D5559" s="7">
        <v>5.0999999999999996</v>
      </c>
      <c r="E5559" t="s">
        <v>49</v>
      </c>
    </row>
    <row r="5560" spans="1:5" x14ac:dyDescent="0.25">
      <c r="A5560" t="str">
        <f>HYPERLINK("https://www.773grp.com/globalSearch/LM2990T-5.0/page-1", "LM2990T-5.0")</f>
        <v>LM2990T-5.0</v>
      </c>
      <c r="B5560" s="3" t="str">
        <f>HYPERLINK("https://www.773grp.com/manufacturer/national-semiconductor?pageNo=65", "National Semiconductor")</f>
        <v>National Semiconductor</v>
      </c>
      <c r="C5560" s="6">
        <v>400</v>
      </c>
      <c r="D5560" s="7">
        <v>5.0999999999999996</v>
      </c>
      <c r="E5560" t="s">
        <v>49</v>
      </c>
    </row>
    <row r="5561" spans="1:5" x14ac:dyDescent="0.25">
      <c r="A5561" t="str">
        <f>HYPERLINK("https://www.773grp.com/globalSearch/LM5017MRE-NOPB/page-1", "LM5017MRE-NOPB")</f>
        <v>LM5017MRE-NOPB</v>
      </c>
      <c r="B5561" s="3" t="str">
        <f>HYPERLINK("https://www.773grp.com/manufacturer/national-semiconductor?pageNo=66", "National Semiconductor")</f>
        <v>National Semiconductor</v>
      </c>
      <c r="C5561" s="6">
        <v>286</v>
      </c>
      <c r="D5561" s="7">
        <v>5.0999999999999996</v>
      </c>
    </row>
    <row r="5562" spans="1:5" x14ac:dyDescent="0.25">
      <c r="A5562" t="str">
        <f>HYPERLINK("https://www.773grp.com/globalSearch/LM5104M/page-1", "LM5104M")</f>
        <v>LM5104M</v>
      </c>
      <c r="B5562" s="3" t="str">
        <f>HYPERLINK("https://www.773grp.com/manufacturer/national-semiconductor?pageNo=67", "National Semiconductor")</f>
        <v>National Semiconductor</v>
      </c>
      <c r="C5562" s="6">
        <v>3610</v>
      </c>
      <c r="D5562" s="7">
        <v>5.0999999999999996</v>
      </c>
      <c r="E5562" t="s">
        <v>11</v>
      </c>
    </row>
    <row r="5563" spans="1:5" x14ac:dyDescent="0.25">
      <c r="A5563" t="str">
        <f>HYPERLINK("https://www.773grp.com/globalSearch/54LS113FMQB/page-1", "54LS113FMQB")</f>
        <v>54LS113FMQB</v>
      </c>
      <c r="B5563" s="3" t="str">
        <f>HYPERLINK("https://www.773grp.com/manufacturer/national-semiconductor?pageNo=68", "National Semiconductor")</f>
        <v>National Semiconductor</v>
      </c>
      <c r="C5563" s="6">
        <v>312</v>
      </c>
      <c r="D5563" s="7">
        <v>5.1100000000000003</v>
      </c>
      <c r="E5563" t="s">
        <v>35</v>
      </c>
    </row>
    <row r="5564" spans="1:5" x14ac:dyDescent="0.25">
      <c r="A5564" t="str">
        <f>HYPERLINK("https://www.773grp.com/globalSearch/ADC0820CCN-NOPB/page-1", "ADC0820CCN-NOPB")</f>
        <v>ADC0820CCN-NOPB</v>
      </c>
      <c r="B5564" s="3" t="str">
        <f>HYPERLINK("https://www.773grp.com/manufacturer/national-semiconductor?pageNo=69", "National Semiconductor")</f>
        <v>National Semiconductor</v>
      </c>
      <c r="C5564" s="6">
        <v>76</v>
      </c>
      <c r="D5564" s="7">
        <v>5.1100000000000003</v>
      </c>
      <c r="E5564" t="s">
        <v>39</v>
      </c>
    </row>
    <row r="5565" spans="1:5" x14ac:dyDescent="0.25">
      <c r="A5565" t="str">
        <f>HYPERLINK("https://www.773grp.com/globalSearch/ADC08351CIMTC/page-1", "ADC08351CIMTC")</f>
        <v>ADC08351CIMTC</v>
      </c>
      <c r="B5565" s="3" t="str">
        <f>HYPERLINK("https://www.773grp.com/manufacturer/national-semiconductor?pageNo=70", "National Semiconductor")</f>
        <v>National Semiconductor</v>
      </c>
      <c r="C5565" s="6">
        <v>6878</v>
      </c>
      <c r="D5565" s="7">
        <v>5.1100000000000003</v>
      </c>
      <c r="E5565" t="s">
        <v>39</v>
      </c>
    </row>
    <row r="5566" spans="1:5" x14ac:dyDescent="0.25">
      <c r="A5566" t="str">
        <f>HYPERLINK("https://www.773grp.com/globalSearch/LF412ACN/page-1", "LF412ACN")</f>
        <v>LF412ACN</v>
      </c>
      <c r="B5566" s="3" t="str">
        <f>HYPERLINK("https://www.773grp.com/manufacturer/national-semiconductor?pageNo=71", "National Semiconductor")</f>
        <v>National Semiconductor</v>
      </c>
      <c r="C5566" s="6">
        <v>8</v>
      </c>
      <c r="D5566" s="7">
        <v>5.1100000000000003</v>
      </c>
      <c r="E5566" t="s">
        <v>13</v>
      </c>
    </row>
    <row r="5567" spans="1:5" x14ac:dyDescent="0.25">
      <c r="A5567" t="str">
        <f>HYPERLINK("https://www.773grp.com/globalSearch/LMC6064IM/page-1", "LMC6064IM")</f>
        <v>LMC6064IM</v>
      </c>
      <c r="B5567" s="3" t="str">
        <f>HYPERLINK("https://www.773grp.com/manufacturer/national-semiconductor?pageNo=72", "National Semiconductor")</f>
        <v>National Semiconductor</v>
      </c>
      <c r="C5567" s="6">
        <v>5280</v>
      </c>
      <c r="D5567" s="7">
        <v>5.1100000000000003</v>
      </c>
      <c r="E5567" t="s">
        <v>13</v>
      </c>
    </row>
    <row r="5568" spans="1:5" x14ac:dyDescent="0.25">
      <c r="A5568" t="str">
        <f>HYPERLINK("https://www.773grp.com/globalSearch/LMX2430TM-NOPB/page-1", "LMX2430TM-NOPB")</f>
        <v>LMX2430TM-NOPB</v>
      </c>
      <c r="B5568" s="3" t="str">
        <f>HYPERLINK("https://www.773grp.com/manufacturer/national-semiconductor?pageNo=73", "National Semiconductor")</f>
        <v>National Semiconductor</v>
      </c>
      <c r="C5568" s="6">
        <v>279</v>
      </c>
      <c r="D5568" s="7">
        <v>5.1100000000000003</v>
      </c>
      <c r="E5568" t="s">
        <v>38</v>
      </c>
    </row>
    <row r="5569" spans="1:5" x14ac:dyDescent="0.25">
      <c r="A5569" t="str">
        <f>HYPERLINK("https://www.773grp.com/globalSearch/LMX2430TM-NOPB/page-1", "LMX2430TM-NOPB")</f>
        <v>LMX2430TM-NOPB</v>
      </c>
      <c r="B5569" s="3" t="str">
        <f>HYPERLINK("https://www.773grp.com/manufacturer/national-semiconductor?pageNo=74", "National Semiconductor")</f>
        <v>National Semiconductor</v>
      </c>
      <c r="C5569" s="6">
        <v>245</v>
      </c>
      <c r="D5569" s="7">
        <v>5.1100000000000003</v>
      </c>
      <c r="E5569" t="s">
        <v>38</v>
      </c>
    </row>
    <row r="5570" spans="1:5" x14ac:dyDescent="0.25">
      <c r="A5570" t="str">
        <f>HYPERLINK("https://www.773grp.com/globalSearch/LP2952AIM-NOPB/page-1", "LP2952AIM-NOPB")</f>
        <v>LP2952AIM-NOPB</v>
      </c>
      <c r="B5570" s="3" t="str">
        <f>HYPERLINK("https://www.773grp.com/manufacturer/national-semiconductor?pageNo=75", "National Semiconductor")</f>
        <v>National Semiconductor</v>
      </c>
      <c r="C5570" s="6">
        <v>58</v>
      </c>
      <c r="D5570" s="7">
        <v>5.1100000000000003</v>
      </c>
    </row>
    <row r="5571" spans="1:5" x14ac:dyDescent="0.25">
      <c r="A5571" t="str">
        <f>HYPERLINK("https://www.773grp.com/globalSearch/LP2952AIM-3.3/page-1", "LP2952AIM-3.3")</f>
        <v>LP2952AIM-3.3</v>
      </c>
      <c r="B5571" s="3" t="str">
        <f>HYPERLINK("https://www.773grp.com/manufacturer/national-semiconductor?pageNo=76", "National Semiconductor")</f>
        <v>National Semiconductor</v>
      </c>
      <c r="C5571" s="6">
        <v>259</v>
      </c>
      <c r="D5571" s="7">
        <v>5.1100000000000003</v>
      </c>
      <c r="E5571" t="s">
        <v>27</v>
      </c>
    </row>
    <row r="5572" spans="1:5" x14ac:dyDescent="0.25">
      <c r="A5572" t="str">
        <f>HYPERLINK("https://www.773grp.com/globalSearch/54S139DM/page-1", "54S139DM")</f>
        <v>54S139DM</v>
      </c>
      <c r="B5572" s="3" t="str">
        <f>HYPERLINK("https://www.773grp.com/manufacturer/national-semiconductor?pageNo=77", "National Semiconductor")</f>
        <v>National Semiconductor</v>
      </c>
      <c r="C5572" s="6">
        <v>5495</v>
      </c>
      <c r="D5572" s="7">
        <v>5.15</v>
      </c>
      <c r="E5572" t="s">
        <v>36</v>
      </c>
    </row>
    <row r="5573" spans="1:5" x14ac:dyDescent="0.25">
      <c r="A5573" t="str">
        <f>HYPERLINK("https://www.773grp.com/globalSearch/7412DC/page-1", "7412DC")</f>
        <v>7412DC</v>
      </c>
      <c r="B5573" s="3" t="str">
        <f>HYPERLINK("https://www.773grp.com/manufacturer/national-semiconductor?pageNo=78", "National Semiconductor")</f>
        <v>National Semiconductor</v>
      </c>
      <c r="C5573" s="6">
        <v>6756</v>
      </c>
      <c r="D5573" s="7">
        <v>5.15</v>
      </c>
    </row>
    <row r="5574" spans="1:5" x14ac:dyDescent="0.25">
      <c r="A5574" t="str">
        <f>HYPERLINK("https://www.773grp.com/globalSearch/74BCT652SCX/page-1", "74BCT652SCX")</f>
        <v>74BCT652SCX</v>
      </c>
      <c r="B5574" s="3" t="str">
        <f>HYPERLINK("https://www.773grp.com/manufacturer/national-semiconductor?pageNo=79", "National Semiconductor")</f>
        <v>National Semiconductor</v>
      </c>
      <c r="C5574" s="6">
        <v>2000</v>
      </c>
      <c r="D5574" s="7">
        <v>5.15</v>
      </c>
    </row>
    <row r="5575" spans="1:5" x14ac:dyDescent="0.25">
      <c r="A5575" t="str">
        <f>HYPERLINK("https://www.773grp.com/globalSearch/FPD87208AXAVS/page-1", "FPD87208AXAVS")</f>
        <v>FPD87208AXAVS</v>
      </c>
      <c r="B5575" s="3" t="str">
        <f>HYPERLINK("https://www.773grp.com/manufacturer/national-semiconductor?pageNo=80", "National Semiconductor")</f>
        <v>National Semiconductor</v>
      </c>
      <c r="C5575" s="6">
        <v>88420</v>
      </c>
      <c r="D5575" s="7">
        <v>5.15</v>
      </c>
      <c r="E5575" t="s">
        <v>42</v>
      </c>
    </row>
    <row r="5576" spans="1:5" x14ac:dyDescent="0.25">
      <c r="A5576" t="str">
        <f>HYPERLINK("https://www.773grp.com/globalSearch/LM340LAH-15/page-1", "LM340LAH-15")</f>
        <v>LM340LAH-15</v>
      </c>
      <c r="B5576" s="3" t="str">
        <f>HYPERLINK("https://www.773grp.com/manufacturer/national-semiconductor?pageNo=81", "National Semiconductor")</f>
        <v>National Semiconductor</v>
      </c>
      <c r="C5576" s="6">
        <v>2</v>
      </c>
      <c r="D5576" s="7">
        <v>5.15</v>
      </c>
      <c r="E5576" t="s">
        <v>28</v>
      </c>
    </row>
    <row r="5577" spans="1:5" x14ac:dyDescent="0.25">
      <c r="A5577" t="str">
        <f>HYPERLINK("https://www.773grp.com/globalSearch/LM6134BIN/page-1", "LM6134BIN")</f>
        <v>LM6134BIN</v>
      </c>
      <c r="B5577" s="3" t="str">
        <f>HYPERLINK("https://www.773grp.com/manufacturer/national-semiconductor?pageNo=82", "National Semiconductor")</f>
        <v>National Semiconductor</v>
      </c>
      <c r="C5577" s="6">
        <v>7</v>
      </c>
      <c r="D5577" s="7">
        <v>5.15</v>
      </c>
      <c r="E5577" t="s">
        <v>13</v>
      </c>
    </row>
    <row r="5578" spans="1:5" x14ac:dyDescent="0.25">
      <c r="A5578" t="str">
        <f>HYPERLINK("https://www.773grp.com/globalSearch/LMC6044AIM-NOPB/page-1", "LMC6044AIM-NOPB")</f>
        <v>LMC6044AIM-NOPB</v>
      </c>
      <c r="B5578" s="3" t="str">
        <f>HYPERLINK("https://www.773grp.com/manufacturer/national-semiconductor?pageNo=83", "National Semiconductor")</f>
        <v>National Semiconductor</v>
      </c>
      <c r="C5578" s="6">
        <v>875</v>
      </c>
      <c r="D5578" s="7">
        <v>5.15</v>
      </c>
      <c r="E5578" t="s">
        <v>13</v>
      </c>
    </row>
    <row r="5579" spans="1:5" x14ac:dyDescent="0.25">
      <c r="A5579" t="str">
        <f>HYPERLINK("https://www.773grp.com/globalSearch/LMP2234BMA/page-1", "LMP2234BMA")</f>
        <v>LMP2234BMA</v>
      </c>
      <c r="B5579" s="3" t="str">
        <f>HYPERLINK("https://www.773grp.com/manufacturer/national-semiconductor?pageNo=84", "National Semiconductor")</f>
        <v>National Semiconductor</v>
      </c>
      <c r="C5579" s="6">
        <v>55</v>
      </c>
      <c r="D5579" s="7">
        <v>5.15</v>
      </c>
      <c r="E5579" t="s">
        <v>13</v>
      </c>
    </row>
    <row r="5580" spans="1:5" x14ac:dyDescent="0.25">
      <c r="A5580" t="str">
        <f>HYPERLINK("https://www.773grp.com/globalSearch/MM74HC153J/page-1", "MM74HC153J")</f>
        <v>MM74HC153J</v>
      </c>
      <c r="B5580" s="3" t="str">
        <f>HYPERLINK("https://www.773grp.com/manufacturer/national-semiconductor?pageNo=85", "National Semiconductor")</f>
        <v>National Semiconductor</v>
      </c>
      <c r="C5580" s="6">
        <v>360</v>
      </c>
      <c r="D5580" s="7">
        <v>5.15</v>
      </c>
      <c r="E5580" t="s">
        <v>20</v>
      </c>
    </row>
    <row r="5581" spans="1:5" x14ac:dyDescent="0.25">
      <c r="A5581" t="str">
        <f>HYPERLINK("https://www.773grp.com/globalSearch/LMC6044AIM-NOPB/page-1", "LMC6044AIM-NOPB")</f>
        <v>LMC6044AIM-NOPB</v>
      </c>
      <c r="B5581" s="3" t="str">
        <f>HYPERLINK("https://www.773grp.com/manufacturer/national-semiconductor?pageNo=86", "National Semiconductor")</f>
        <v>National Semiconductor</v>
      </c>
      <c r="C5581" s="6">
        <v>2441</v>
      </c>
      <c r="D5581" s="7">
        <v>5.15</v>
      </c>
      <c r="E5581" t="s">
        <v>13</v>
      </c>
    </row>
    <row r="5582" spans="1:5" x14ac:dyDescent="0.25">
      <c r="A5582" t="str">
        <f>HYPERLINK("https://www.773grp.com/globalSearch/TLC540IFNR/page-1", "TLC540IFNR")</f>
        <v>TLC540IFNR</v>
      </c>
      <c r="B5582" s="3" t="str">
        <f>HYPERLINK("https://www.773grp.com/manufacturer/national-semiconductor?pageNo=87", "National Semiconductor")</f>
        <v>National Semiconductor</v>
      </c>
      <c r="C5582" s="6">
        <v>1000</v>
      </c>
      <c r="D5582" s="7">
        <v>5.15</v>
      </c>
    </row>
    <row r="5583" spans="1:5" x14ac:dyDescent="0.25">
      <c r="A5583" t="str">
        <f>HYPERLINK("https://www.773grp.com/globalSearch/DM74LS393J/page-1", "DM74LS393J")</f>
        <v>DM74LS393J</v>
      </c>
      <c r="B5583" s="3" t="str">
        <f>HYPERLINK("https://www.773grp.com/manufacturer/national-semiconductor?pageNo=88", "National Semiconductor")</f>
        <v>National Semiconductor</v>
      </c>
      <c r="C5583" s="6">
        <v>915</v>
      </c>
      <c r="D5583" s="7">
        <v>5.18</v>
      </c>
    </row>
    <row r="5584" spans="1:5" x14ac:dyDescent="0.25">
      <c r="A5584" t="str">
        <f>HYPERLINK("https://www.773grp.com/globalSearch/LM22672MRE-5.0-NOPB/page-1", "LM22672MRE-5.0-NOPB")</f>
        <v>LM22672MRE-5.0-NOPB</v>
      </c>
      <c r="B5584" s="3" t="str">
        <f>HYPERLINK("https://www.773grp.com/manufacturer/national-semiconductor?pageNo=89", "National Semiconductor")</f>
        <v>National Semiconductor</v>
      </c>
      <c r="C5584" s="6">
        <v>197</v>
      </c>
      <c r="D5584" s="7">
        <v>5.18</v>
      </c>
    </row>
    <row r="5585" spans="1:5" x14ac:dyDescent="0.25">
      <c r="A5585" t="str">
        <f>HYPERLINK("https://www.773grp.com/globalSearch/LM22672MRE-ADJ-NOPB/page-1", "LM22672MRE-ADJ-NOPB")</f>
        <v>LM22672MRE-ADJ-NOPB</v>
      </c>
      <c r="B5585" s="3" t="str">
        <f>HYPERLINK("https://www.773grp.com/manufacturer/national-semiconductor?pageNo=90", "National Semiconductor")</f>
        <v>National Semiconductor</v>
      </c>
      <c r="C5585" s="6">
        <v>89</v>
      </c>
      <c r="D5585" s="7">
        <v>5.18</v>
      </c>
    </row>
    <row r="5586" spans="1:5" x14ac:dyDescent="0.25">
      <c r="A5586" t="str">
        <f>HYPERLINK("https://www.773grp.com/globalSearch/LM2671MX-5.0/page-1", "LM2671MX-5.0")</f>
        <v>LM2671MX-5.0</v>
      </c>
      <c r="B5586" s="3" t="str">
        <f>HYPERLINK("https://www.773grp.com/manufacturer/national-semiconductor?pageNo=91", "National Semiconductor")</f>
        <v>National Semiconductor</v>
      </c>
      <c r="C5586" s="6">
        <v>2500</v>
      </c>
      <c r="D5586" s="7">
        <v>5.18</v>
      </c>
      <c r="E5586" t="s">
        <v>7</v>
      </c>
    </row>
    <row r="5587" spans="1:5" x14ac:dyDescent="0.25">
      <c r="A5587" t="str">
        <f>HYPERLINK("https://www.773grp.com/globalSearch/LM3200TL-NOPB/page-1", "LM3200TL-NOPB")</f>
        <v>LM3200TL-NOPB</v>
      </c>
      <c r="B5587" s="3" t="str">
        <f>HYPERLINK("https://www.773grp.com/manufacturer/national-semiconductor?pageNo=92", "National Semiconductor")</f>
        <v>National Semiconductor</v>
      </c>
      <c r="C5587" s="6">
        <v>734</v>
      </c>
      <c r="D5587" s="7">
        <v>5.18</v>
      </c>
    </row>
    <row r="5588" spans="1:5" x14ac:dyDescent="0.25">
      <c r="A5588" t="str">
        <f>HYPERLINK("https://www.773grp.com/globalSearch/LM3204TL-NOPB/page-1", "LM3204TL-NOPB")</f>
        <v>LM3204TL-NOPB</v>
      </c>
      <c r="B5588" s="3" t="str">
        <f>HYPERLINK("https://www.773grp.com/manufacturer/national-semiconductor?pageNo=93", "National Semiconductor")</f>
        <v>National Semiconductor</v>
      </c>
      <c r="C5588" s="6">
        <v>239</v>
      </c>
      <c r="D5588" s="7">
        <v>5.18</v>
      </c>
    </row>
    <row r="5589" spans="1:5" x14ac:dyDescent="0.25">
      <c r="A5589" t="str">
        <f>HYPERLINK("https://www.773grp.com/globalSearch/LM4817MHX-NOPB/page-1", "LM4817MHX-NOPB")</f>
        <v>LM4817MHX-NOPB</v>
      </c>
      <c r="B5589" s="3" t="str">
        <f>HYPERLINK("https://www.773grp.com/manufacturer/national-semiconductor?pageNo=94", "National Semiconductor")</f>
        <v>National Semiconductor</v>
      </c>
      <c r="C5589" s="6">
        <v>5000</v>
      </c>
      <c r="D5589" s="7">
        <v>5.18</v>
      </c>
    </row>
    <row r="5590" spans="1:5" x14ac:dyDescent="0.25">
      <c r="A5590" t="str">
        <f>HYPERLINK("https://www.773grp.com/globalSearch/LM5007MM/page-1", "LM5007MM")</f>
        <v>LM5007MM</v>
      </c>
      <c r="B5590" s="3" t="str">
        <f>HYPERLINK("https://www.773grp.com/manufacturer/national-semiconductor?pageNo=95", "National Semiconductor")</f>
        <v>National Semiconductor</v>
      </c>
      <c r="C5590" s="6">
        <v>1000</v>
      </c>
      <c r="D5590" s="7">
        <v>5.18</v>
      </c>
      <c r="E5590" t="s">
        <v>7</v>
      </c>
    </row>
    <row r="5591" spans="1:5" x14ac:dyDescent="0.25">
      <c r="A5591" t="str">
        <f>HYPERLINK("https://www.773grp.com/globalSearch/LM621N/page-1", "LM621N")</f>
        <v>LM621N</v>
      </c>
      <c r="B5591" s="3" t="str">
        <f>HYPERLINK("https://www.773grp.com/manufacturer/national-semiconductor?pageNo=96", "National Semiconductor")</f>
        <v>National Semiconductor</v>
      </c>
      <c r="C5591" s="6">
        <v>57818</v>
      </c>
      <c r="D5591" s="7">
        <v>5.18</v>
      </c>
      <c r="E5591" t="s">
        <v>62</v>
      </c>
    </row>
    <row r="5592" spans="1:5" x14ac:dyDescent="0.25">
      <c r="A5592" t="str">
        <f>HYPERLINK("https://www.773grp.com/globalSearch/LMC6084IN/page-1", "LMC6084IN")</f>
        <v>LMC6084IN</v>
      </c>
      <c r="B5592" s="3" t="str">
        <f>HYPERLINK("https://www.773grp.com/manufacturer/national-semiconductor?pageNo=97", "National Semiconductor")</f>
        <v>National Semiconductor</v>
      </c>
      <c r="C5592" s="6">
        <v>32335</v>
      </c>
      <c r="D5592" s="7">
        <v>5.18</v>
      </c>
      <c r="E5592" t="s">
        <v>13</v>
      </c>
    </row>
    <row r="5593" spans="1:5" x14ac:dyDescent="0.25">
      <c r="A5593" t="str">
        <f>HYPERLINK("https://www.773grp.com/globalSearch/LMH1980MM/page-1", "LMH1980MM")</f>
        <v>LMH1980MM</v>
      </c>
      <c r="B5593" s="3" t="str">
        <f>HYPERLINK("https://www.773grp.com/manufacturer/national-semiconductor?pageNo=98", "National Semiconductor")</f>
        <v>National Semiconductor</v>
      </c>
      <c r="C5593" s="6">
        <v>4134</v>
      </c>
      <c r="D5593" s="7">
        <v>5.18</v>
      </c>
      <c r="E5593" t="s">
        <v>15</v>
      </c>
    </row>
    <row r="5594" spans="1:5" x14ac:dyDescent="0.25">
      <c r="A5594" t="str">
        <f>HYPERLINK("https://www.773grp.com/globalSearch/LMP7702MM/page-1", "LMP7702MM")</f>
        <v>LMP7702MM</v>
      </c>
      <c r="B5594" s="3" t="str">
        <f>HYPERLINK("https://www.773grp.com/manufacturer/national-semiconductor?pageNo=99", "National Semiconductor")</f>
        <v>National Semiconductor</v>
      </c>
      <c r="C5594" s="6">
        <v>1800</v>
      </c>
      <c r="D5594" s="7">
        <v>5.18</v>
      </c>
      <c r="E5594" t="s">
        <v>13</v>
      </c>
    </row>
    <row r="5595" spans="1:5" x14ac:dyDescent="0.25">
      <c r="A5595" t="str">
        <f>HYPERLINK("https://www.773grp.com/globalSearch/LMX2434SLEX/page-1", "LMX2434SLEX")</f>
        <v>LMX2434SLEX</v>
      </c>
      <c r="B5595" s="3" t="str">
        <f>HYPERLINK("https://www.773grp.com/manufacturer/national-semiconductor?pageNo=100", "National Semiconductor")</f>
        <v>National Semiconductor</v>
      </c>
      <c r="C5595" s="6">
        <v>569</v>
      </c>
      <c r="D5595" s="7">
        <v>5.18</v>
      </c>
      <c r="E5595" t="s">
        <v>38</v>
      </c>
    </row>
    <row r="5596" spans="1:5" x14ac:dyDescent="0.25">
      <c r="A5596" t="str">
        <f>HYPERLINK("https://www.773grp.com/globalSearch/LM22672MRE-5.0-NOPB/page-1", "LM22672MRE-5.0-NOPB")</f>
        <v>LM22672MRE-5.0-NOPB</v>
      </c>
      <c r="B5596" s="3" t="str">
        <f>HYPERLINK("https://www.773grp.com/manufacturer/national-semiconductor?pageNo=101", "National Semiconductor")</f>
        <v>National Semiconductor</v>
      </c>
      <c r="C5596" s="6">
        <v>1677</v>
      </c>
      <c r="D5596" s="7">
        <v>5.18</v>
      </c>
    </row>
    <row r="5597" spans="1:5" x14ac:dyDescent="0.25">
      <c r="A5597" t="str">
        <f>HYPERLINK("https://www.773grp.com/globalSearch/LM22672MRE-ADJ-NOPB/page-1", "LM22672MRE-ADJ-NOPB")</f>
        <v>LM22672MRE-ADJ-NOPB</v>
      </c>
      <c r="B5597" s="3" t="str">
        <f>HYPERLINK("https://www.773grp.com/manufacturer/national-semiconductor?pageNo=102", "National Semiconductor")</f>
        <v>National Semiconductor</v>
      </c>
      <c r="C5597" s="6">
        <v>858</v>
      </c>
      <c r="D5597" s="7">
        <v>5.18</v>
      </c>
    </row>
    <row r="5598" spans="1:5" x14ac:dyDescent="0.25">
      <c r="A5598" t="str">
        <f>HYPERLINK("https://www.773grp.com/globalSearch/LM4132AMF-4.1/page-1", "LM4132AMF-4.1")</f>
        <v>LM4132AMF-4.1</v>
      </c>
      <c r="B5598" s="3" t="str">
        <f>HYPERLINK("https://www.773grp.com/manufacturer/national-semiconductor?pageNo=103", "National Semiconductor")</f>
        <v>National Semiconductor</v>
      </c>
      <c r="C5598" s="6">
        <v>4000</v>
      </c>
      <c r="D5598" s="7">
        <v>5.18</v>
      </c>
    </row>
    <row r="5599" spans="1:5" x14ac:dyDescent="0.25">
      <c r="A5599" t="str">
        <f>HYPERLINK("https://www.773grp.com/globalSearch/LM5007MM/page-1", "LM5007MM")</f>
        <v>LM5007MM</v>
      </c>
      <c r="B5599" s="3" t="str">
        <f>HYPERLINK("https://www.773grp.com/manufacturer/national-semiconductor?pageNo=104", "National Semiconductor")</f>
        <v>National Semiconductor</v>
      </c>
      <c r="C5599" s="6">
        <v>431</v>
      </c>
      <c r="D5599" s="7">
        <v>5.18</v>
      </c>
      <c r="E5599" t="s">
        <v>7</v>
      </c>
    </row>
    <row r="5600" spans="1:5" x14ac:dyDescent="0.25">
      <c r="A5600" t="str">
        <f>HYPERLINK("https://www.773grp.com/globalSearch/LM5007MM/page-1", "LM5007MM")</f>
        <v>LM5007MM</v>
      </c>
      <c r="B5600" s="3" t="str">
        <f>HYPERLINK("https://www.773grp.com/manufacturer/national-semiconductor?pageNo=105", "National Semiconductor")</f>
        <v>National Semiconductor</v>
      </c>
      <c r="C5600" s="6">
        <v>150</v>
      </c>
      <c r="D5600" s="7">
        <v>5.18</v>
      </c>
      <c r="E5600" t="s">
        <v>7</v>
      </c>
    </row>
    <row r="5601" spans="1:5" x14ac:dyDescent="0.25">
      <c r="A5601" t="str">
        <f>HYPERLINK("https://www.773grp.com/globalSearch/LM5007SD/page-1", "LM5007SD")</f>
        <v>LM5007SD</v>
      </c>
      <c r="B5601" s="3" t="str">
        <f>HYPERLINK("https://www.773grp.com/manufacturer/national-semiconductor?pageNo=106", "National Semiconductor")</f>
        <v>National Semiconductor</v>
      </c>
      <c r="C5601" s="6">
        <v>1000</v>
      </c>
      <c r="D5601" s="7">
        <v>5.18</v>
      </c>
    </row>
    <row r="5602" spans="1:5" x14ac:dyDescent="0.25">
      <c r="A5602" t="str">
        <f>HYPERLINK("https://www.773grp.com/globalSearch/LMX2434SLEX-NOPB/page-1", "LMX2434SLEX-NOPB")</f>
        <v>LMX2434SLEX-NOPB</v>
      </c>
      <c r="B5602" s="3" t="str">
        <f>HYPERLINK("https://www.773grp.com/manufacturer/national-semiconductor?pageNo=107", "National Semiconductor")</f>
        <v>National Semiconductor</v>
      </c>
      <c r="C5602" s="6">
        <v>2500</v>
      </c>
      <c r="D5602" s="7">
        <v>5.18</v>
      </c>
    </row>
    <row r="5603" spans="1:5" x14ac:dyDescent="0.25">
      <c r="A5603" t="str">
        <f>HYPERLINK("https://www.773grp.com/globalSearch/54LS95FM/page-1", "54LS95FM")</f>
        <v>54LS95FM</v>
      </c>
      <c r="B5603" s="3" t="str">
        <f>HYPERLINK("https://www.773grp.com/manufacturer/national-semiconductor?pageNo=108", "National Semiconductor")</f>
        <v>National Semiconductor</v>
      </c>
      <c r="C5603" s="6">
        <v>146</v>
      </c>
      <c r="D5603" s="7">
        <v>5.2</v>
      </c>
    </row>
    <row r="5604" spans="1:5" x14ac:dyDescent="0.25">
      <c r="A5604" t="str">
        <f>HYPERLINK("https://www.773grp.com/globalSearch/ADC0820CCWM-NOPB/page-1", "ADC0820CCWM-NOPB")</f>
        <v>ADC0820CCWM-NOPB</v>
      </c>
      <c r="B5604" s="3" t="str">
        <f>HYPERLINK("https://www.773grp.com/manufacturer/national-semiconductor?pageNo=109", "National Semiconductor")</f>
        <v>National Semiconductor</v>
      </c>
      <c r="C5604" s="6">
        <v>3176</v>
      </c>
      <c r="D5604" s="7">
        <v>5.2</v>
      </c>
      <c r="E5604" t="s">
        <v>39</v>
      </c>
    </row>
    <row r="5605" spans="1:5" x14ac:dyDescent="0.25">
      <c r="A5605" t="str">
        <f>HYPERLINK("https://www.773grp.com/globalSearch/ADC104S051CIMM-NOPB/page-1", "ADC104S051CIMM-NOPB")</f>
        <v>ADC104S051CIMM-NOPB</v>
      </c>
      <c r="B5605" s="3" t="str">
        <f>HYPERLINK("https://www.773grp.com/manufacturer/national-semiconductor?pageNo=110", "National Semiconductor")</f>
        <v>National Semiconductor</v>
      </c>
      <c r="C5605" s="6">
        <v>780</v>
      </c>
      <c r="D5605" s="7">
        <v>5.2</v>
      </c>
    </row>
    <row r="5606" spans="1:5" x14ac:dyDescent="0.25">
      <c r="A5606" t="str">
        <f>HYPERLINK("https://www.773grp.com/globalSearch/DS26S10CN/page-1", "DS26S10CN")</f>
        <v>DS26S10CN</v>
      </c>
      <c r="B5606" s="3" t="str">
        <f>HYPERLINK("https://www.773grp.com/manufacturer/national-semiconductor?pageNo=111", "National Semiconductor")</f>
        <v>National Semiconductor</v>
      </c>
      <c r="C5606" s="6">
        <v>6160</v>
      </c>
      <c r="D5606" s="7">
        <v>5.2</v>
      </c>
      <c r="E5606" t="s">
        <v>21</v>
      </c>
    </row>
    <row r="5607" spans="1:5" x14ac:dyDescent="0.25">
      <c r="A5607" t="str">
        <f>HYPERLINK("https://www.773grp.com/globalSearch/LM22670MRX-5.0-NOPB/page-1", "LM22670MRX-5.0-NOPB")</f>
        <v>LM22670MRX-5.0-NOPB</v>
      </c>
      <c r="B5607" s="3" t="str">
        <f>HYPERLINK("https://www.773grp.com/manufacturer/national-semiconductor?pageNo=112", "National Semiconductor")</f>
        <v>National Semiconductor</v>
      </c>
      <c r="C5607" s="6">
        <v>5000</v>
      </c>
      <c r="D5607" s="7">
        <v>5.2</v>
      </c>
    </row>
    <row r="5608" spans="1:5" x14ac:dyDescent="0.25">
      <c r="A5608" t="str">
        <f>HYPERLINK("https://www.773grp.com/globalSearch/LM22670MRX-ADJ-NOPB/page-1", "LM22670MRX-ADJ-NOPB")</f>
        <v>LM22670MRX-ADJ-NOPB</v>
      </c>
      <c r="B5608" s="3" t="str">
        <f>HYPERLINK("https://www.773grp.com/manufacturer/national-semiconductor?pageNo=113", "National Semiconductor")</f>
        <v>National Semiconductor</v>
      </c>
      <c r="C5608" s="6">
        <v>7300</v>
      </c>
      <c r="D5608" s="7">
        <v>5.2</v>
      </c>
    </row>
    <row r="5609" spans="1:5" x14ac:dyDescent="0.25">
      <c r="A5609" t="str">
        <f>HYPERLINK("https://www.773grp.com/globalSearch/LM22670TJ-5.0-NOPB/page-1", "LM22670TJ-5.0-NOPB")</f>
        <v>LM22670TJ-5.0-NOPB</v>
      </c>
      <c r="B5609" s="3" t="str">
        <f>HYPERLINK("https://www.773grp.com/manufacturer/national-semiconductor?pageNo=114", "National Semiconductor")</f>
        <v>National Semiconductor</v>
      </c>
      <c r="C5609" s="6">
        <v>1000</v>
      </c>
      <c r="D5609" s="7">
        <v>5.2</v>
      </c>
    </row>
    <row r="5610" spans="1:5" x14ac:dyDescent="0.25">
      <c r="A5610" t="str">
        <f>HYPERLINK("https://www.773grp.com/globalSearch/LM22673MRX-ADJ-NOPB/page-1", "LM22673MRX-ADJ-NOPB")</f>
        <v>LM22673MRX-ADJ-NOPB</v>
      </c>
      <c r="B5610" s="3" t="str">
        <f>HYPERLINK("https://www.773grp.com/manufacturer/national-semiconductor?pageNo=115", "National Semiconductor")</f>
        <v>National Semiconductor</v>
      </c>
      <c r="C5610" s="6">
        <v>40000</v>
      </c>
      <c r="D5610" s="7">
        <v>5.2</v>
      </c>
    </row>
    <row r="5611" spans="1:5" x14ac:dyDescent="0.25">
      <c r="A5611" t="str">
        <f>HYPERLINK("https://www.773grp.com/globalSearch/LM22673TJ-5.0-NOPB/page-1", "LM22673TJ-5.0-NOPB")</f>
        <v>LM22673TJ-5.0-NOPB</v>
      </c>
      <c r="B5611" s="3" t="str">
        <f>HYPERLINK("https://www.773grp.com/manufacturer/national-semiconductor?pageNo=116", "National Semiconductor")</f>
        <v>National Semiconductor</v>
      </c>
      <c r="C5611" s="6">
        <v>1850</v>
      </c>
      <c r="D5611" s="7">
        <v>5.2</v>
      </c>
      <c r="E5611" t="s">
        <v>7</v>
      </c>
    </row>
    <row r="5612" spans="1:5" x14ac:dyDescent="0.25">
      <c r="A5612" t="str">
        <f>HYPERLINK("https://www.773grp.com/globalSearch/LM22673TJ-ADJ-NOPB/page-1", "LM22673TJ-ADJ-NOPB")</f>
        <v>LM22673TJ-ADJ-NOPB</v>
      </c>
      <c r="B5612" s="3" t="str">
        <f>HYPERLINK("https://www.773grp.com/manufacturer/national-semiconductor?pageNo=117", "National Semiconductor")</f>
        <v>National Semiconductor</v>
      </c>
      <c r="C5612" s="6">
        <v>970</v>
      </c>
      <c r="D5612" s="7">
        <v>5.2</v>
      </c>
    </row>
    <row r="5613" spans="1:5" x14ac:dyDescent="0.25">
      <c r="A5613" t="str">
        <f>HYPERLINK("https://www.773grp.com/globalSearch/LM2594HVMX-12-NOPB/page-1", "LM2594HVMX-12-NOPB")</f>
        <v>LM2594HVMX-12-NOPB</v>
      </c>
      <c r="B5613" s="3" t="str">
        <f>HYPERLINK("https://www.773grp.com/manufacturer/national-semiconductor?pageNo=118", "National Semiconductor")</f>
        <v>National Semiconductor</v>
      </c>
      <c r="C5613" s="6">
        <v>3955</v>
      </c>
      <c r="D5613" s="7">
        <v>5.2</v>
      </c>
      <c r="E5613" t="s">
        <v>7</v>
      </c>
    </row>
    <row r="5614" spans="1:5" x14ac:dyDescent="0.25">
      <c r="A5614" t="str">
        <f>HYPERLINK("https://www.773grp.com/globalSearch/LM2594HVMX-3.3-NOPB/page-1", "LM2594HVMX-3.3-NOPB")</f>
        <v>LM2594HVMX-3.3-NOPB</v>
      </c>
      <c r="B5614" s="3" t="str">
        <f>HYPERLINK("https://www.773grp.com/manufacturer/national-semiconductor?pageNo=119", "National Semiconductor")</f>
        <v>National Semiconductor</v>
      </c>
      <c r="C5614" s="6">
        <v>7500</v>
      </c>
      <c r="D5614" s="7">
        <v>5.2</v>
      </c>
      <c r="E5614" t="s">
        <v>7</v>
      </c>
    </row>
    <row r="5615" spans="1:5" x14ac:dyDescent="0.25">
      <c r="A5615" t="str">
        <f>HYPERLINK("https://www.773grp.com/globalSearch/LM2594HVMX-5.0-NOPB/page-1", "LM2594HVMX-5.0-NOPB")</f>
        <v>LM2594HVMX-5.0-NOPB</v>
      </c>
      <c r="B5615" s="3" t="str">
        <f>HYPERLINK("https://www.773grp.com/manufacturer/national-semiconductor?pageNo=120", "National Semiconductor")</f>
        <v>National Semiconductor</v>
      </c>
      <c r="C5615" s="6">
        <v>2500</v>
      </c>
      <c r="D5615" s="7">
        <v>5.2</v>
      </c>
      <c r="E5615" t="s">
        <v>7</v>
      </c>
    </row>
    <row r="5616" spans="1:5" x14ac:dyDescent="0.25">
      <c r="A5616" t="str">
        <f>HYPERLINK("https://www.773grp.com/globalSearch/LM2594HVMX-ADJ/page-1", "LM2594HVMX-ADJ")</f>
        <v>LM2594HVMX-ADJ</v>
      </c>
      <c r="B5616" s="3" t="str">
        <f>HYPERLINK("https://www.773grp.com/manufacturer/national-semiconductor?pageNo=121", "National Semiconductor")</f>
        <v>National Semiconductor</v>
      </c>
      <c r="C5616" s="6">
        <v>2500</v>
      </c>
      <c r="D5616" s="7">
        <v>5.2</v>
      </c>
      <c r="E5616" t="s">
        <v>7</v>
      </c>
    </row>
    <row r="5617" spans="1:5" x14ac:dyDescent="0.25">
      <c r="A5617" t="str">
        <f>HYPERLINK("https://www.773grp.com/globalSearch/LM2594HVMX-ADJ-NOPB/page-1", "LM2594HVMX-ADJ-NOPB")</f>
        <v>LM2594HVMX-ADJ-NOPB</v>
      </c>
      <c r="B5617" s="3" t="str">
        <f>HYPERLINK("https://www.773grp.com/manufacturer/national-semiconductor?pageNo=122", "National Semiconductor")</f>
        <v>National Semiconductor</v>
      </c>
      <c r="C5617" s="6">
        <v>2500</v>
      </c>
      <c r="D5617" s="7">
        <v>5.2</v>
      </c>
      <c r="E5617" t="s">
        <v>7</v>
      </c>
    </row>
    <row r="5618" spans="1:5" x14ac:dyDescent="0.25">
      <c r="A5618" t="str">
        <f>HYPERLINK("https://www.773grp.com/globalSearch/LM2594HVN-12/page-1", "LM2594HVN-12")</f>
        <v>LM2594HVN-12</v>
      </c>
      <c r="B5618" s="3" t="str">
        <f>HYPERLINK("https://www.773grp.com/manufacturer/national-semiconductor?pageNo=123", "National Semiconductor")</f>
        <v>National Semiconductor</v>
      </c>
      <c r="C5618" s="6">
        <v>205</v>
      </c>
      <c r="D5618" s="7">
        <v>5.2</v>
      </c>
      <c r="E5618" t="s">
        <v>7</v>
      </c>
    </row>
    <row r="5619" spans="1:5" x14ac:dyDescent="0.25">
      <c r="A5619" t="str">
        <f>HYPERLINK("https://www.773grp.com/globalSearch/LM2594HVN-12-NOPB/page-1", "LM2594HVN-12-NOPB")</f>
        <v>LM2594HVN-12-NOPB</v>
      </c>
      <c r="B5619" s="3" t="str">
        <f>HYPERLINK("https://www.773grp.com/manufacturer/national-semiconductor?pageNo=124", "National Semiconductor")</f>
        <v>National Semiconductor</v>
      </c>
      <c r="C5619" s="6">
        <v>2669</v>
      </c>
      <c r="D5619" s="7">
        <v>5.2</v>
      </c>
      <c r="E5619" t="s">
        <v>7</v>
      </c>
    </row>
    <row r="5620" spans="1:5" x14ac:dyDescent="0.25">
      <c r="A5620" t="str">
        <f>HYPERLINK("https://www.773grp.com/globalSearch/LM2594HVN-5.0/page-1", "LM2594HVN-5.0")</f>
        <v>LM2594HVN-5.0</v>
      </c>
      <c r="B5620" s="3" t="str">
        <f>HYPERLINK("https://www.773grp.com/manufacturer/national-semiconductor?pageNo=125", "National Semiconductor")</f>
        <v>National Semiconductor</v>
      </c>
      <c r="C5620" s="6">
        <v>87</v>
      </c>
      <c r="D5620" s="7">
        <v>5.2</v>
      </c>
      <c r="E5620" t="s">
        <v>7</v>
      </c>
    </row>
    <row r="5621" spans="1:5" x14ac:dyDescent="0.25">
      <c r="A5621" t="str">
        <f>HYPERLINK("https://www.773grp.com/globalSearch/LM2594HVN-5.0-NOPB/page-1", "LM2594HVN-5.0-NOPB")</f>
        <v>LM2594HVN-5.0-NOPB</v>
      </c>
      <c r="B5621" s="3" t="str">
        <f>HYPERLINK("https://www.773grp.com/manufacturer/national-semiconductor?pageNo=126", "National Semiconductor")</f>
        <v>National Semiconductor</v>
      </c>
      <c r="C5621" s="6">
        <v>1045</v>
      </c>
      <c r="D5621" s="7">
        <v>5.2</v>
      </c>
      <c r="E5621" t="s">
        <v>7</v>
      </c>
    </row>
    <row r="5622" spans="1:5" x14ac:dyDescent="0.25">
      <c r="A5622" t="str">
        <f>HYPERLINK("https://www.773grp.com/globalSearch/LM2594HVN-ADJ-NOPB/page-1", "LM2594HVN-ADJ-NOPB")</f>
        <v>LM2594HVN-ADJ-NOPB</v>
      </c>
      <c r="B5622" s="3" t="str">
        <f>HYPERLINK("https://www.773grp.com/manufacturer/national-semiconductor?pageNo=127", "National Semiconductor")</f>
        <v>National Semiconductor</v>
      </c>
      <c r="C5622" s="6">
        <v>110</v>
      </c>
      <c r="D5622" s="7">
        <v>5.2</v>
      </c>
      <c r="E5622" t="s">
        <v>7</v>
      </c>
    </row>
    <row r="5623" spans="1:5" x14ac:dyDescent="0.25">
      <c r="A5623" t="str">
        <f>HYPERLINK("https://www.773grp.com/globalSearch/LM2596S-ADJ/page-1", "LM2596S-ADJ")</f>
        <v>LM2596S-ADJ</v>
      </c>
      <c r="B5623" s="3" t="str">
        <f>HYPERLINK("https://www.773grp.com/manufacturer/national-semiconductor?pageNo=128", "National Semiconductor")</f>
        <v>National Semiconductor</v>
      </c>
      <c r="C5623" s="6">
        <v>1555</v>
      </c>
      <c r="D5623" s="7">
        <v>5.2</v>
      </c>
      <c r="E5623" t="s">
        <v>7</v>
      </c>
    </row>
    <row r="5624" spans="1:5" x14ac:dyDescent="0.25">
      <c r="A5624" t="str">
        <f>HYPERLINK("https://www.773grp.com/globalSearch/LM2596SX-12-J7001724/page-1", "LM2596SX-12-J7001724")</f>
        <v>LM2596SX-12-J7001724</v>
      </c>
      <c r="B5624" s="3" t="str">
        <f>HYPERLINK("https://www.773grp.com/manufacturer/national-semiconductor?pageNo=129", "National Semiconductor")</f>
        <v>National Semiconductor</v>
      </c>
      <c r="C5624" s="6">
        <v>8500</v>
      </c>
      <c r="D5624" s="7">
        <v>5.2</v>
      </c>
    </row>
    <row r="5625" spans="1:5" x14ac:dyDescent="0.25">
      <c r="A5625" t="str">
        <f>HYPERLINK("https://www.773grp.com/globalSearch/LM2596SX-3.3-J7000918/page-1", "LM2596SX-3.3-J7000918")</f>
        <v>LM2596SX-3.3-J7000918</v>
      </c>
      <c r="B5625" s="3" t="str">
        <f>HYPERLINK("https://www.773grp.com/manufacturer/national-semiconductor?pageNo=130", "National Semiconductor")</f>
        <v>National Semiconductor</v>
      </c>
      <c r="C5625" s="6">
        <v>1000</v>
      </c>
      <c r="D5625" s="7">
        <v>5.2</v>
      </c>
    </row>
    <row r="5626" spans="1:5" x14ac:dyDescent="0.25">
      <c r="A5626" t="str">
        <f>HYPERLINK("https://www.773grp.com/globalSearch/LM2596SX-5.0/page-1", "LM2596SX-5.0")</f>
        <v>LM2596SX-5.0</v>
      </c>
      <c r="B5626" s="3" t="str">
        <f>HYPERLINK("https://www.773grp.com/manufacturer/national-semiconductor?pageNo=131", "National Semiconductor")</f>
        <v>National Semiconductor</v>
      </c>
      <c r="C5626" s="6">
        <v>28500</v>
      </c>
      <c r="D5626" s="7">
        <v>5.2</v>
      </c>
      <c r="E5626" t="s">
        <v>7</v>
      </c>
    </row>
    <row r="5627" spans="1:5" x14ac:dyDescent="0.25">
      <c r="A5627" t="str">
        <f>HYPERLINK("https://www.773grp.com/globalSearch/LM2596SX-5.0-J7000919/page-1", "LM2596SX-5.0-J7000919")</f>
        <v>LM2596SX-5.0-J7000919</v>
      </c>
      <c r="B5627" s="3" t="str">
        <f>HYPERLINK("https://www.773grp.com/manufacturer/national-semiconductor?pageNo=132", "National Semiconductor")</f>
        <v>National Semiconductor</v>
      </c>
      <c r="C5627" s="6">
        <v>2000</v>
      </c>
      <c r="D5627" s="7">
        <v>5.2</v>
      </c>
    </row>
    <row r="5628" spans="1:5" x14ac:dyDescent="0.25">
      <c r="A5628" t="str">
        <f>HYPERLINK("https://www.773grp.com/globalSearch/LM2670S-3.3/page-1", "LM2670S-3.3")</f>
        <v>LM2670S-3.3</v>
      </c>
      <c r="B5628" s="3" t="str">
        <f>HYPERLINK("https://www.773grp.com/manufacturer/national-semiconductor?pageNo=133", "National Semiconductor")</f>
        <v>National Semiconductor</v>
      </c>
      <c r="C5628" s="6">
        <v>55</v>
      </c>
      <c r="D5628" s="7">
        <v>5.2</v>
      </c>
      <c r="E5628" t="s">
        <v>7</v>
      </c>
    </row>
    <row r="5629" spans="1:5" x14ac:dyDescent="0.25">
      <c r="A5629" t="str">
        <f>HYPERLINK("https://www.773grp.com/globalSearch/LM2670SX-5.0-NOPB/page-1", "LM2670SX-5.0-NOPB")</f>
        <v>LM2670SX-5.0-NOPB</v>
      </c>
      <c r="B5629" s="3" t="str">
        <f>HYPERLINK("https://www.773grp.com/manufacturer/national-semiconductor?pageNo=134", "National Semiconductor")</f>
        <v>National Semiconductor</v>
      </c>
      <c r="C5629" s="6">
        <v>779</v>
      </c>
      <c r="D5629" s="7">
        <v>5.2</v>
      </c>
      <c r="E5629" t="s">
        <v>7</v>
      </c>
    </row>
    <row r="5630" spans="1:5" x14ac:dyDescent="0.25">
      <c r="A5630" t="str">
        <f>HYPERLINK("https://www.773grp.com/globalSearch/LM2670SX-ADJ-NOPB/page-1", "LM2670SX-ADJ-NOPB")</f>
        <v>LM2670SX-ADJ-NOPB</v>
      </c>
      <c r="B5630" s="3" t="str">
        <f>HYPERLINK("https://www.773grp.com/manufacturer/national-semiconductor?pageNo=1", "National Semiconductor")</f>
        <v>National Semiconductor</v>
      </c>
      <c r="C5630" s="6">
        <v>3450</v>
      </c>
      <c r="D5630" s="7">
        <v>5.2</v>
      </c>
      <c r="E5630" t="s">
        <v>7</v>
      </c>
    </row>
    <row r="5631" spans="1:5" x14ac:dyDescent="0.25">
      <c r="A5631" t="str">
        <f>HYPERLINK("https://www.773grp.com/globalSearch/LM2670T-12-NOPB/page-1", "LM2670T-12-NOPB")</f>
        <v>LM2670T-12-NOPB</v>
      </c>
      <c r="B5631" s="3" t="str">
        <f>HYPERLINK("https://www.773grp.com/manufacturer/national-semiconductor?pageNo=2", "National Semiconductor")</f>
        <v>National Semiconductor</v>
      </c>
      <c r="C5631" s="6">
        <v>67</v>
      </c>
      <c r="D5631" s="7">
        <v>5.2</v>
      </c>
    </row>
    <row r="5632" spans="1:5" x14ac:dyDescent="0.25">
      <c r="A5632" t="str">
        <f>HYPERLINK("https://www.773grp.com/globalSearch/LM2670T-3.3/page-1", "LM2670T-3.3")</f>
        <v>LM2670T-3.3</v>
      </c>
      <c r="B5632" s="3" t="str">
        <f>HYPERLINK("https://www.773grp.com/manufacturer/national-semiconductor?pageNo=3", "National Semiconductor")</f>
        <v>National Semiconductor</v>
      </c>
      <c r="C5632" s="6">
        <v>135</v>
      </c>
      <c r="D5632" s="7">
        <v>5.2</v>
      </c>
      <c r="E5632" t="s">
        <v>7</v>
      </c>
    </row>
    <row r="5633" spans="1:5" x14ac:dyDescent="0.25">
      <c r="A5633" t="str">
        <f>HYPERLINK("https://www.773grp.com/globalSearch/LM2670T-ADJ/page-1", "LM2670T-ADJ")</f>
        <v>LM2670T-ADJ</v>
      </c>
      <c r="B5633" s="3" t="str">
        <f>HYPERLINK("https://www.773grp.com/manufacturer/national-semiconductor?pageNo=4", "National Semiconductor")</f>
        <v>National Semiconductor</v>
      </c>
      <c r="C5633" s="6">
        <v>110</v>
      </c>
      <c r="D5633" s="7">
        <v>5.2</v>
      </c>
      <c r="E5633" t="s">
        <v>7</v>
      </c>
    </row>
    <row r="5634" spans="1:5" x14ac:dyDescent="0.25">
      <c r="A5634" t="str">
        <f>HYPERLINK("https://www.773grp.com/globalSearch/LM2670T-ADJ-NOPB/page-1", "LM2670T-ADJ-NOPB")</f>
        <v>LM2670T-ADJ-NOPB</v>
      </c>
      <c r="B5634" s="3" t="str">
        <f>HYPERLINK("https://www.773grp.com/manufacturer/national-semiconductor?pageNo=5", "National Semiconductor")</f>
        <v>National Semiconductor</v>
      </c>
      <c r="C5634" s="6">
        <v>906</v>
      </c>
      <c r="D5634" s="7">
        <v>5.2</v>
      </c>
      <c r="E5634" t="s">
        <v>7</v>
      </c>
    </row>
    <row r="5635" spans="1:5" x14ac:dyDescent="0.25">
      <c r="A5635" t="str">
        <f>HYPERLINK("https://www.773grp.com/globalSearch/LM2673SD-12-NOPB/page-1", "LM2673SD-12-NOPB")</f>
        <v>LM2673SD-12-NOPB</v>
      </c>
      <c r="B5635" s="3" t="str">
        <f>HYPERLINK("https://www.773grp.com/manufacturer/national-semiconductor?pageNo=6", "National Semiconductor")</f>
        <v>National Semiconductor</v>
      </c>
      <c r="C5635" s="6">
        <v>95</v>
      </c>
      <c r="D5635" s="7">
        <v>5.2</v>
      </c>
      <c r="E5635" t="s">
        <v>7</v>
      </c>
    </row>
    <row r="5636" spans="1:5" x14ac:dyDescent="0.25">
      <c r="A5636" t="str">
        <f>HYPERLINK("https://www.773grp.com/globalSearch/LM2673SD-5.0/page-1", "LM2673SD-5.0")</f>
        <v>LM2673SD-5.0</v>
      </c>
      <c r="B5636" s="3" t="str">
        <f>HYPERLINK("https://www.773grp.com/manufacturer/national-semiconductor?pageNo=7", "National Semiconductor")</f>
        <v>National Semiconductor</v>
      </c>
      <c r="C5636" s="6">
        <v>250</v>
      </c>
      <c r="D5636" s="7">
        <v>5.2</v>
      </c>
      <c r="E5636" t="s">
        <v>7</v>
      </c>
    </row>
    <row r="5637" spans="1:5" x14ac:dyDescent="0.25">
      <c r="A5637" t="str">
        <f>HYPERLINK("https://www.773grp.com/globalSearch/LM2673SX-12-NOPB/page-1", "LM2673SX-12-NOPB")</f>
        <v>LM2673SX-12-NOPB</v>
      </c>
      <c r="B5637" s="3" t="str">
        <f>HYPERLINK("https://www.773grp.com/manufacturer/national-semiconductor?pageNo=8", "National Semiconductor")</f>
        <v>National Semiconductor</v>
      </c>
      <c r="C5637" s="6">
        <v>1500</v>
      </c>
      <c r="D5637" s="7">
        <v>5.2</v>
      </c>
      <c r="E5637" t="s">
        <v>7</v>
      </c>
    </row>
    <row r="5638" spans="1:5" x14ac:dyDescent="0.25">
      <c r="A5638" t="str">
        <f>HYPERLINK("https://www.773grp.com/globalSearch/LM2673SX-3.3-NOPB/page-1", "LM2673SX-3.3-NOPB")</f>
        <v>LM2673SX-3.3-NOPB</v>
      </c>
      <c r="B5638" s="3" t="str">
        <f>HYPERLINK("https://www.773grp.com/manufacturer/national-semiconductor?pageNo=9", "National Semiconductor")</f>
        <v>National Semiconductor</v>
      </c>
      <c r="C5638" s="6">
        <v>500</v>
      </c>
      <c r="D5638" s="7">
        <v>5.2</v>
      </c>
      <c r="E5638" t="s">
        <v>7</v>
      </c>
    </row>
    <row r="5639" spans="1:5" x14ac:dyDescent="0.25">
      <c r="A5639" t="str">
        <f>HYPERLINK("https://www.773grp.com/globalSearch/LM2673SX-5.0-NOPB/page-1", "LM2673SX-5.0-NOPB")</f>
        <v>LM2673SX-5.0-NOPB</v>
      </c>
      <c r="B5639" s="3" t="str">
        <f>HYPERLINK("https://www.773grp.com/manufacturer/national-semiconductor?pageNo=10", "National Semiconductor")</f>
        <v>National Semiconductor</v>
      </c>
      <c r="C5639" s="6">
        <v>6500</v>
      </c>
      <c r="D5639" s="7">
        <v>5.2</v>
      </c>
      <c r="E5639" t="s">
        <v>7</v>
      </c>
    </row>
    <row r="5640" spans="1:5" x14ac:dyDescent="0.25">
      <c r="A5640" t="str">
        <f>HYPERLINK("https://www.773grp.com/globalSearch/LM2673SX-ADJ-NOPB/page-1", "LM2673SX-ADJ-NOPB")</f>
        <v>LM2673SX-ADJ-NOPB</v>
      </c>
      <c r="B5640" s="3" t="str">
        <f>HYPERLINK("https://www.773grp.com/manufacturer/national-semiconductor?pageNo=11", "National Semiconductor")</f>
        <v>National Semiconductor</v>
      </c>
      <c r="C5640" s="6">
        <v>4524</v>
      </c>
      <c r="D5640" s="7">
        <v>5.2</v>
      </c>
      <c r="E5640" t="s">
        <v>7</v>
      </c>
    </row>
    <row r="5641" spans="1:5" x14ac:dyDescent="0.25">
      <c r="A5641" t="str">
        <f>HYPERLINK("https://www.773grp.com/globalSearch/LM2673T-12/page-1", "LM2673T-12")</f>
        <v>LM2673T-12</v>
      </c>
      <c r="B5641" s="3" t="str">
        <f>HYPERLINK("https://www.773grp.com/manufacturer/national-semiconductor?pageNo=12", "National Semiconductor")</f>
        <v>National Semiconductor</v>
      </c>
      <c r="C5641" s="6">
        <v>180</v>
      </c>
      <c r="D5641" s="7">
        <v>5.2</v>
      </c>
      <c r="E5641" t="s">
        <v>7</v>
      </c>
    </row>
    <row r="5642" spans="1:5" x14ac:dyDescent="0.25">
      <c r="A5642" t="str">
        <f>HYPERLINK("https://www.773grp.com/globalSearch/LM2673T-3.3-NOPB/page-1", "LM2673T-3.3-NOPB")</f>
        <v>LM2673T-3.3-NOPB</v>
      </c>
      <c r="B5642" s="3" t="str">
        <f>HYPERLINK("https://www.773grp.com/manufacturer/national-semiconductor?pageNo=13", "National Semiconductor")</f>
        <v>National Semiconductor</v>
      </c>
      <c r="C5642" s="6">
        <v>45</v>
      </c>
      <c r="D5642" s="7">
        <v>5.2</v>
      </c>
    </row>
    <row r="5643" spans="1:5" x14ac:dyDescent="0.25">
      <c r="A5643" t="str">
        <f>HYPERLINK("https://www.773grp.com/globalSearch/LM2673T-5.0-NOPB/page-1", "LM2673T-5.0-NOPB")</f>
        <v>LM2673T-5.0-NOPB</v>
      </c>
      <c r="B5643" s="3" t="str">
        <f>HYPERLINK("https://www.773grp.com/manufacturer/national-semiconductor?pageNo=14", "National Semiconductor")</f>
        <v>National Semiconductor</v>
      </c>
      <c r="C5643" s="6">
        <v>10083</v>
      </c>
      <c r="D5643" s="7">
        <v>5.2</v>
      </c>
    </row>
    <row r="5644" spans="1:5" x14ac:dyDescent="0.25">
      <c r="A5644" t="str">
        <f>HYPERLINK("https://www.773grp.com/globalSearch/LM3100MHX-NOPB/page-1", "LM3100MHX-NOPB")</f>
        <v>LM3100MHX-NOPB</v>
      </c>
      <c r="B5644" s="3" t="str">
        <f>HYPERLINK("https://www.773grp.com/manufacturer/national-semiconductor?pageNo=15", "National Semiconductor")</f>
        <v>National Semiconductor</v>
      </c>
      <c r="C5644" s="6">
        <v>5000</v>
      </c>
      <c r="D5644" s="7">
        <v>5.2</v>
      </c>
      <c r="E5644" t="s">
        <v>7</v>
      </c>
    </row>
    <row r="5645" spans="1:5" x14ac:dyDescent="0.25">
      <c r="A5645" t="str">
        <f>HYPERLINK("https://www.773grp.com/globalSearch/LM3433SQ-NOPB/page-1", "LM3433SQ-NOPB")</f>
        <v>LM3433SQ-NOPB</v>
      </c>
      <c r="B5645" s="3" t="str">
        <f>HYPERLINK("https://www.773grp.com/manufacturer/national-semiconductor?pageNo=16", "National Semiconductor")</f>
        <v>National Semiconductor</v>
      </c>
      <c r="C5645" s="6">
        <v>7264</v>
      </c>
      <c r="D5645" s="7">
        <v>5.2</v>
      </c>
      <c r="E5645" t="s">
        <v>7</v>
      </c>
    </row>
    <row r="5646" spans="1:5" x14ac:dyDescent="0.25">
      <c r="A5646" t="str">
        <f>HYPERLINK("https://www.773grp.com/globalSearch/LM4961LQ/page-1", "LM4961LQ")</f>
        <v>LM4961LQ</v>
      </c>
      <c r="B5646" s="3" t="str">
        <f>HYPERLINK("https://www.773grp.com/manufacturer/national-semiconductor?pageNo=17", "National Semiconductor")</f>
        <v>National Semiconductor</v>
      </c>
      <c r="C5646" s="6">
        <v>1000</v>
      </c>
      <c r="D5646" s="7">
        <v>5.2</v>
      </c>
      <c r="E5646" t="s">
        <v>18</v>
      </c>
    </row>
    <row r="5647" spans="1:5" x14ac:dyDescent="0.25">
      <c r="A5647" t="str">
        <f>HYPERLINK("https://www.773grp.com/globalSearch/LM4962TL-NOPB/page-1", "LM4962TL-NOPB")</f>
        <v>LM4962TL-NOPB</v>
      </c>
      <c r="B5647" s="3" t="str">
        <f>HYPERLINK("https://www.773grp.com/manufacturer/national-semiconductor?pageNo=18", "National Semiconductor")</f>
        <v>National Semiconductor</v>
      </c>
      <c r="C5647" s="6">
        <v>495</v>
      </c>
      <c r="D5647" s="7">
        <v>5.2</v>
      </c>
    </row>
    <row r="5648" spans="1:5" x14ac:dyDescent="0.25">
      <c r="A5648" t="str">
        <f>HYPERLINK("https://www.773grp.com/globalSearch/LM5015MH/page-1", "LM5015MH")</f>
        <v>LM5015MH</v>
      </c>
      <c r="B5648" s="3" t="str">
        <f>HYPERLINK("https://www.773grp.com/manufacturer/national-semiconductor?pageNo=19", "National Semiconductor")</f>
        <v>National Semiconductor</v>
      </c>
      <c r="C5648" s="6">
        <v>304</v>
      </c>
      <c r="D5648" s="7">
        <v>5.2</v>
      </c>
      <c r="E5648" t="s">
        <v>7</v>
      </c>
    </row>
    <row r="5649" spans="1:5" x14ac:dyDescent="0.25">
      <c r="A5649" t="str">
        <f>HYPERLINK("https://www.773grp.com/globalSearch/LP3852ET-2.5-NOPB/page-1", "LP3852ET-2.5-NOPB")</f>
        <v>LP3852ET-2.5-NOPB</v>
      </c>
      <c r="B5649" s="3" t="str">
        <f>HYPERLINK("https://www.773grp.com/manufacturer/national-semiconductor?pageNo=20", "National Semiconductor")</f>
        <v>National Semiconductor</v>
      </c>
      <c r="C5649" s="6">
        <v>135</v>
      </c>
      <c r="D5649" s="7">
        <v>5.2</v>
      </c>
      <c r="E5649" t="s">
        <v>19</v>
      </c>
    </row>
    <row r="5650" spans="1:5" x14ac:dyDescent="0.25">
      <c r="A5650" t="str">
        <f>HYPERLINK("https://www.773grp.com/globalSearch/LP3852ET-3.3-NOPB/page-1", "LP3852ET-3.3-NOPB")</f>
        <v>LP3852ET-3.3-NOPB</v>
      </c>
      <c r="B5650" s="3" t="str">
        <f>HYPERLINK("https://www.773grp.com/manufacturer/national-semiconductor?pageNo=21", "National Semiconductor")</f>
        <v>National Semiconductor</v>
      </c>
      <c r="C5650" s="6">
        <v>362</v>
      </c>
      <c r="D5650" s="7">
        <v>5.2</v>
      </c>
      <c r="E5650" t="s">
        <v>19</v>
      </c>
    </row>
    <row r="5651" spans="1:5" x14ac:dyDescent="0.25">
      <c r="A5651" t="str">
        <f>HYPERLINK("https://www.773grp.com/globalSearch/LP3852ET-5.0-NOPB/page-1", "LP3852ET-5.0-NOPB")</f>
        <v>LP3852ET-5.0-NOPB</v>
      </c>
      <c r="B5651" s="3" t="str">
        <f>HYPERLINK("https://www.773grp.com/manufacturer/national-semiconductor?pageNo=22", "National Semiconductor")</f>
        <v>National Semiconductor</v>
      </c>
      <c r="C5651" s="6">
        <v>120</v>
      </c>
      <c r="D5651" s="7">
        <v>5.2</v>
      </c>
      <c r="E5651" t="s">
        <v>19</v>
      </c>
    </row>
    <row r="5652" spans="1:5" x14ac:dyDescent="0.25">
      <c r="A5652" t="str">
        <f>HYPERLINK("https://www.773grp.com/globalSearch/LP3855EMP-ADJ-NOPB/page-1", "LP3855EMP-ADJ-NOPB")</f>
        <v>LP3855EMP-ADJ-NOPB</v>
      </c>
      <c r="B5652" s="3" t="str">
        <f>HYPERLINK("https://www.773grp.com/manufacturer/national-semiconductor?pageNo=23", "National Semiconductor")</f>
        <v>National Semiconductor</v>
      </c>
      <c r="C5652" s="6">
        <v>3078</v>
      </c>
      <c r="D5652" s="7">
        <v>5.2</v>
      </c>
      <c r="E5652" t="s">
        <v>25</v>
      </c>
    </row>
    <row r="5653" spans="1:5" x14ac:dyDescent="0.25">
      <c r="A5653" t="str">
        <f>HYPERLINK("https://www.773grp.com/globalSearch/LP3855ES-ADJ/page-1", "LP3855ES-ADJ")</f>
        <v>LP3855ES-ADJ</v>
      </c>
      <c r="B5653" s="3" t="str">
        <f>HYPERLINK("https://www.773grp.com/manufacturer/national-semiconductor?pageNo=24", "National Semiconductor")</f>
        <v>National Semiconductor</v>
      </c>
      <c r="C5653" s="6">
        <v>271</v>
      </c>
      <c r="D5653" s="7">
        <v>5.2</v>
      </c>
      <c r="E5653" t="s">
        <v>25</v>
      </c>
    </row>
    <row r="5654" spans="1:5" x14ac:dyDescent="0.25">
      <c r="A5654" t="str">
        <f>HYPERLINK("https://www.773grp.com/globalSearch/LP3855ESX-ADJ-NOPB/page-1", "LP3855ESX-ADJ-NOPB")</f>
        <v>LP3855ESX-ADJ-NOPB</v>
      </c>
      <c r="B5654" s="3" t="str">
        <f>HYPERLINK("https://www.773grp.com/manufacturer/national-semiconductor?pageNo=25", "National Semiconductor")</f>
        <v>National Semiconductor</v>
      </c>
      <c r="C5654" s="6">
        <v>2000</v>
      </c>
      <c r="D5654" s="7">
        <v>5.2</v>
      </c>
      <c r="E5654" t="s">
        <v>25</v>
      </c>
    </row>
    <row r="5655" spans="1:5" x14ac:dyDescent="0.25">
      <c r="A5655" t="str">
        <f>HYPERLINK("https://www.773grp.com/globalSearch/LP3855ET-ADJ-NOPB/page-1", "LP3855ET-ADJ-NOPB")</f>
        <v>LP3855ET-ADJ-NOPB</v>
      </c>
      <c r="B5655" s="3" t="str">
        <f>HYPERLINK("https://www.773grp.com/manufacturer/national-semiconductor?pageNo=26", "National Semiconductor")</f>
        <v>National Semiconductor</v>
      </c>
      <c r="C5655" s="6">
        <v>1188</v>
      </c>
      <c r="D5655" s="7">
        <v>5.2</v>
      </c>
      <c r="E5655" t="s">
        <v>25</v>
      </c>
    </row>
    <row r="5656" spans="1:5" x14ac:dyDescent="0.25">
      <c r="A5656" t="str">
        <f>HYPERLINK("https://www.773grp.com/globalSearch/LP3893ESX-1.2/page-1", "LP3893ESX-1.2")</f>
        <v>LP3893ESX-1.2</v>
      </c>
      <c r="B5656" s="3" t="str">
        <f>HYPERLINK("https://www.773grp.com/manufacturer/national-semiconductor?pageNo=27", "National Semiconductor")</f>
        <v>National Semiconductor</v>
      </c>
      <c r="C5656" s="6">
        <v>2000</v>
      </c>
      <c r="D5656" s="7">
        <v>5.2</v>
      </c>
      <c r="E5656" t="s">
        <v>19</v>
      </c>
    </row>
    <row r="5657" spans="1:5" x14ac:dyDescent="0.25">
      <c r="A5657" t="str">
        <f>HYPERLINK("https://www.773grp.com/globalSearch/LP3893ESX-1.2-NOPB/page-1", "LP3893ESX-1.2-NOPB")</f>
        <v>LP3893ESX-1.2-NOPB</v>
      </c>
      <c r="B5657" s="3" t="str">
        <f>HYPERLINK("https://www.773grp.com/manufacturer/national-semiconductor?pageNo=28", "National Semiconductor")</f>
        <v>National Semiconductor</v>
      </c>
      <c r="C5657" s="6">
        <v>1122</v>
      </c>
      <c r="D5657" s="7">
        <v>5.2</v>
      </c>
      <c r="E5657" t="s">
        <v>19</v>
      </c>
    </row>
    <row r="5658" spans="1:5" x14ac:dyDescent="0.25">
      <c r="A5658" t="str">
        <f>HYPERLINK("https://www.773grp.com/globalSearch/MM54HC05J/page-1", "MM54HC05J")</f>
        <v>MM54HC05J</v>
      </c>
      <c r="B5658" s="3" t="str">
        <f>HYPERLINK("https://www.773grp.com/manufacturer/national-semiconductor?pageNo=29", "National Semiconductor")</f>
        <v>National Semiconductor</v>
      </c>
      <c r="C5658" s="6">
        <v>359</v>
      </c>
      <c r="D5658" s="7">
        <v>5.2</v>
      </c>
      <c r="E5658" t="s">
        <v>31</v>
      </c>
    </row>
    <row r="5659" spans="1:5" x14ac:dyDescent="0.25">
      <c r="A5659" t="str">
        <f>HYPERLINK("https://www.773grp.com/globalSearch/ADC0820CCWM-NOPB/page-1", "ADC0820CCWM-NOPB")</f>
        <v>ADC0820CCWM-NOPB</v>
      </c>
      <c r="B5659" s="3" t="str">
        <f>HYPERLINK("https://www.773grp.com/manufacturer/national-semiconductor?pageNo=30", "National Semiconductor")</f>
        <v>National Semiconductor</v>
      </c>
      <c r="C5659" s="6">
        <v>181</v>
      </c>
      <c r="D5659" s="7">
        <v>5.2</v>
      </c>
      <c r="E5659" t="s">
        <v>39</v>
      </c>
    </row>
    <row r="5660" spans="1:5" x14ac:dyDescent="0.25">
      <c r="A5660" t="str">
        <f>HYPERLINK("https://www.773grp.com/globalSearch/ADC104S051CIMM-NOPB/page-1", "ADC104S051CIMM-NOPB")</f>
        <v>ADC104S051CIMM-NOPB</v>
      </c>
      <c r="B5660" s="3" t="str">
        <f>HYPERLINK("https://www.773grp.com/manufacturer/national-semiconductor?pageNo=31", "National Semiconductor")</f>
        <v>National Semiconductor</v>
      </c>
      <c r="C5660" s="6">
        <v>1588</v>
      </c>
      <c r="D5660" s="7">
        <v>5.2</v>
      </c>
    </row>
    <row r="5661" spans="1:5" x14ac:dyDescent="0.25">
      <c r="A5661" t="str">
        <f>HYPERLINK("https://www.773grp.com/globalSearch/LM20333MHX-NOPB/page-1", "LM20333MHX-NOPB")</f>
        <v>LM20333MHX-NOPB</v>
      </c>
      <c r="B5661" s="3" t="str">
        <f>HYPERLINK("https://www.773grp.com/manufacturer/national-semiconductor?pageNo=32", "National Semiconductor")</f>
        <v>National Semiconductor</v>
      </c>
      <c r="C5661" s="6">
        <v>5000</v>
      </c>
      <c r="D5661" s="7">
        <v>5.2</v>
      </c>
    </row>
    <row r="5662" spans="1:5" x14ac:dyDescent="0.25">
      <c r="A5662" t="str">
        <f>HYPERLINK("https://www.773grp.com/globalSearch/LM2594HVMX-12-NOPB/page-1", "LM2594HVMX-12-NOPB")</f>
        <v>LM2594HVMX-12-NOPB</v>
      </c>
      <c r="B5662" s="3" t="str">
        <f>HYPERLINK("https://www.773grp.com/manufacturer/national-semiconductor?pageNo=33", "National Semiconductor")</f>
        <v>National Semiconductor</v>
      </c>
      <c r="C5662" s="6">
        <v>2500</v>
      </c>
      <c r="D5662" s="7">
        <v>5.2</v>
      </c>
      <c r="E5662" t="s">
        <v>7</v>
      </c>
    </row>
    <row r="5663" spans="1:5" x14ac:dyDescent="0.25">
      <c r="A5663" t="str">
        <f>HYPERLINK("https://www.773grp.com/globalSearch/LM2594HVN-12-NOPB/page-1", "LM2594HVN-12-NOPB")</f>
        <v>LM2594HVN-12-NOPB</v>
      </c>
      <c r="B5663" s="3" t="str">
        <f>HYPERLINK("https://www.773grp.com/manufacturer/national-semiconductor?pageNo=34", "National Semiconductor")</f>
        <v>National Semiconductor</v>
      </c>
      <c r="C5663" s="6">
        <v>1405</v>
      </c>
      <c r="D5663" s="7">
        <v>5.2</v>
      </c>
      <c r="E5663" t="s">
        <v>7</v>
      </c>
    </row>
    <row r="5664" spans="1:5" x14ac:dyDescent="0.25">
      <c r="A5664" t="str">
        <f>HYPERLINK("https://www.773grp.com/globalSearch/LM2594HVN-3.3-NOPB/page-1", "LM2594HVN-3.3-NOPB")</f>
        <v>LM2594HVN-3.3-NOPB</v>
      </c>
      <c r="B5664" s="3" t="str">
        <f>HYPERLINK("https://www.773grp.com/manufacturer/national-semiconductor?pageNo=35", "National Semiconductor")</f>
        <v>National Semiconductor</v>
      </c>
      <c r="C5664" s="6">
        <v>1427</v>
      </c>
      <c r="D5664" s="7">
        <v>5.2</v>
      </c>
    </row>
    <row r="5665" spans="1:5" x14ac:dyDescent="0.25">
      <c r="A5665" t="str">
        <f>HYPERLINK("https://www.773grp.com/globalSearch/LM2594HVN-5.0-NOPB/page-1", "LM2594HVN-5.0-NOPB")</f>
        <v>LM2594HVN-5.0-NOPB</v>
      </c>
      <c r="B5665" s="3" t="str">
        <f>HYPERLINK("https://www.773grp.com/manufacturer/national-semiconductor?pageNo=36", "National Semiconductor")</f>
        <v>National Semiconductor</v>
      </c>
      <c r="C5665" s="6">
        <v>224</v>
      </c>
      <c r="D5665" s="7">
        <v>5.2</v>
      </c>
      <c r="E5665" t="s">
        <v>7</v>
      </c>
    </row>
    <row r="5666" spans="1:5" x14ac:dyDescent="0.25">
      <c r="A5666" t="str">
        <f>HYPERLINK("https://www.773grp.com/globalSearch/LM2594HVN-ADJ-NOPB/page-1", "LM2594HVN-ADJ-NOPB")</f>
        <v>LM2594HVN-ADJ-NOPB</v>
      </c>
      <c r="B5666" s="3" t="str">
        <f>HYPERLINK("https://www.773grp.com/manufacturer/national-semiconductor?pageNo=37", "National Semiconductor")</f>
        <v>National Semiconductor</v>
      </c>
      <c r="C5666" s="6">
        <v>960</v>
      </c>
      <c r="D5666" s="7">
        <v>5.2</v>
      </c>
      <c r="E5666" t="s">
        <v>7</v>
      </c>
    </row>
    <row r="5667" spans="1:5" x14ac:dyDescent="0.25">
      <c r="A5667" t="str">
        <f>HYPERLINK("https://www.773grp.com/globalSearch/LM2596S-ADJ/page-1", "LM2596S-ADJ")</f>
        <v>LM2596S-ADJ</v>
      </c>
      <c r="B5667" s="3" t="str">
        <f>HYPERLINK("https://www.773grp.com/manufacturer/national-semiconductor?pageNo=38", "National Semiconductor")</f>
        <v>National Semiconductor</v>
      </c>
      <c r="C5667" s="6">
        <v>15</v>
      </c>
      <c r="D5667" s="7">
        <v>5.2</v>
      </c>
      <c r="E5667" t="s">
        <v>7</v>
      </c>
    </row>
    <row r="5668" spans="1:5" x14ac:dyDescent="0.25">
      <c r="A5668" t="str">
        <f>HYPERLINK("https://www.773grp.com/globalSearch/LM2596SX-5.0/page-1", "LM2596SX-5.0")</f>
        <v>LM2596SX-5.0</v>
      </c>
      <c r="B5668" s="3" t="str">
        <f>HYPERLINK("https://www.773grp.com/manufacturer/national-semiconductor?pageNo=39", "National Semiconductor")</f>
        <v>National Semiconductor</v>
      </c>
      <c r="C5668" s="6">
        <v>900</v>
      </c>
      <c r="D5668" s="7">
        <v>5.2</v>
      </c>
      <c r="E5668" t="s">
        <v>7</v>
      </c>
    </row>
    <row r="5669" spans="1:5" x14ac:dyDescent="0.25">
      <c r="A5669" t="str">
        <f>HYPERLINK("https://www.773grp.com/globalSearch/LM2670SX-3.3-NOPB/page-1", "LM2670SX-3.3-NOPB")</f>
        <v>LM2670SX-3.3-NOPB</v>
      </c>
      <c r="B5669" s="3" t="str">
        <f>HYPERLINK("https://www.773grp.com/manufacturer/national-semiconductor?pageNo=40", "National Semiconductor")</f>
        <v>National Semiconductor</v>
      </c>
      <c r="C5669" s="6">
        <v>400</v>
      </c>
      <c r="D5669" s="7">
        <v>5.2</v>
      </c>
    </row>
    <row r="5670" spans="1:5" x14ac:dyDescent="0.25">
      <c r="A5670" t="str">
        <f>HYPERLINK("https://www.773grp.com/globalSearch/LM2670SX-5.0-NOPB/page-1", "LM2670SX-5.0-NOPB")</f>
        <v>LM2670SX-5.0-NOPB</v>
      </c>
      <c r="B5670" s="3" t="str">
        <f>HYPERLINK("https://www.773grp.com/manufacturer/national-semiconductor?pageNo=41", "National Semiconductor")</f>
        <v>National Semiconductor</v>
      </c>
      <c r="C5670" s="6">
        <v>480</v>
      </c>
      <c r="D5670" s="7">
        <v>5.2</v>
      </c>
      <c r="E5670" t="s">
        <v>7</v>
      </c>
    </row>
    <row r="5671" spans="1:5" x14ac:dyDescent="0.25">
      <c r="A5671" t="str">
        <f>HYPERLINK("https://www.773grp.com/globalSearch/LM2670T-3.3/page-1", "LM2670T-3.3")</f>
        <v>LM2670T-3.3</v>
      </c>
      <c r="B5671" s="3" t="str">
        <f>HYPERLINK("https://www.773grp.com/manufacturer/national-semiconductor?pageNo=42", "National Semiconductor")</f>
        <v>National Semiconductor</v>
      </c>
      <c r="C5671" s="6">
        <v>312</v>
      </c>
      <c r="D5671" s="7">
        <v>5.2</v>
      </c>
      <c r="E5671" t="s">
        <v>7</v>
      </c>
    </row>
    <row r="5672" spans="1:5" x14ac:dyDescent="0.25">
      <c r="A5672" t="str">
        <f>HYPERLINK("https://www.773grp.com/globalSearch/LM2670T-3.3-NOPB/page-1", "LM2670T-3.3-NOPB")</f>
        <v>LM2670T-3.3-NOPB</v>
      </c>
      <c r="B5672" s="3" t="str">
        <f>HYPERLINK("https://www.773grp.com/manufacturer/national-semiconductor?pageNo=43", "National Semiconductor")</f>
        <v>National Semiconductor</v>
      </c>
      <c r="C5672" s="6">
        <v>240</v>
      </c>
      <c r="D5672" s="7">
        <v>5.2</v>
      </c>
    </row>
    <row r="5673" spans="1:5" x14ac:dyDescent="0.25">
      <c r="A5673" t="str">
        <f>HYPERLINK("https://www.773grp.com/globalSearch/LM2670T-5.0-NOPB/page-1", "LM2670T-5.0-NOPB")</f>
        <v>LM2670T-5.0-NOPB</v>
      </c>
      <c r="B5673" s="3" t="str">
        <f>HYPERLINK("https://www.773grp.com/manufacturer/national-semiconductor?pageNo=44", "National Semiconductor")</f>
        <v>National Semiconductor</v>
      </c>
      <c r="C5673" s="6">
        <v>399</v>
      </c>
      <c r="D5673" s="7">
        <v>5.2</v>
      </c>
    </row>
    <row r="5674" spans="1:5" x14ac:dyDescent="0.25">
      <c r="A5674" t="str">
        <f>HYPERLINK("https://www.773grp.com/globalSearch/LM2670T-ADJ-NOPB/page-1", "LM2670T-ADJ-NOPB")</f>
        <v>LM2670T-ADJ-NOPB</v>
      </c>
      <c r="B5674" s="3" t="str">
        <f>HYPERLINK("https://www.773grp.com/manufacturer/national-semiconductor?pageNo=45", "National Semiconductor")</f>
        <v>National Semiconductor</v>
      </c>
      <c r="C5674" s="6">
        <v>388</v>
      </c>
      <c r="D5674" s="7">
        <v>5.2</v>
      </c>
      <c r="E5674" t="s">
        <v>7</v>
      </c>
    </row>
    <row r="5675" spans="1:5" x14ac:dyDescent="0.25">
      <c r="A5675" t="str">
        <f>HYPERLINK("https://www.773grp.com/globalSearch/LM2673SD-12-NOPB/page-1", "LM2673SD-12-NOPB")</f>
        <v>LM2673SD-12-NOPB</v>
      </c>
      <c r="B5675" s="3" t="str">
        <f>HYPERLINK("https://www.773grp.com/manufacturer/national-semiconductor?pageNo=46", "National Semiconductor")</f>
        <v>National Semiconductor</v>
      </c>
      <c r="C5675" s="6">
        <v>1000</v>
      </c>
      <c r="D5675" s="7">
        <v>5.2</v>
      </c>
      <c r="E5675" t="s">
        <v>7</v>
      </c>
    </row>
    <row r="5676" spans="1:5" x14ac:dyDescent="0.25">
      <c r="A5676" t="str">
        <f>HYPERLINK("https://www.773grp.com/globalSearch/LM2673SX-ADJ-NOPB/page-1", "LM2673SX-ADJ-NOPB")</f>
        <v>LM2673SX-ADJ-NOPB</v>
      </c>
      <c r="B5676" s="3" t="str">
        <f>HYPERLINK("https://www.773grp.com/manufacturer/national-semiconductor?pageNo=47", "National Semiconductor")</f>
        <v>National Semiconductor</v>
      </c>
      <c r="C5676" s="6">
        <v>192</v>
      </c>
      <c r="D5676" s="7">
        <v>5.2</v>
      </c>
      <c r="E5676" t="s">
        <v>7</v>
      </c>
    </row>
    <row r="5677" spans="1:5" x14ac:dyDescent="0.25">
      <c r="A5677" t="str">
        <f>HYPERLINK("https://www.773grp.com/globalSearch/LM2673T-12-NOPB/page-1", "LM2673T-12-NOPB")</f>
        <v>LM2673T-12-NOPB</v>
      </c>
      <c r="B5677" s="3" t="str">
        <f>HYPERLINK("https://www.773grp.com/manufacturer/national-semiconductor?pageNo=48", "National Semiconductor")</f>
        <v>National Semiconductor</v>
      </c>
      <c r="C5677" s="6">
        <v>424</v>
      </c>
      <c r="D5677" s="7">
        <v>5.2</v>
      </c>
    </row>
    <row r="5678" spans="1:5" x14ac:dyDescent="0.25">
      <c r="A5678" t="str">
        <f>HYPERLINK("https://www.773grp.com/globalSearch/LM2673T-3.3/page-1", "LM2673T-3.3")</f>
        <v>LM2673T-3.3</v>
      </c>
      <c r="B5678" s="3" t="str">
        <f>HYPERLINK("https://www.773grp.com/manufacturer/national-semiconductor?pageNo=49", "National Semiconductor")</f>
        <v>National Semiconductor</v>
      </c>
      <c r="C5678" s="6">
        <v>162</v>
      </c>
      <c r="D5678" s="7">
        <v>5.2</v>
      </c>
    </row>
    <row r="5679" spans="1:5" x14ac:dyDescent="0.25">
      <c r="A5679" t="str">
        <f>HYPERLINK("https://www.773grp.com/globalSearch/LM2673T-3.3-NOPB/page-1", "LM2673T-3.3-NOPB")</f>
        <v>LM2673T-3.3-NOPB</v>
      </c>
      <c r="B5679" s="3" t="str">
        <f>HYPERLINK("https://www.773grp.com/manufacturer/national-semiconductor?pageNo=50", "National Semiconductor")</f>
        <v>National Semiconductor</v>
      </c>
      <c r="C5679" s="6">
        <v>265</v>
      </c>
      <c r="D5679" s="7">
        <v>5.2</v>
      </c>
    </row>
    <row r="5680" spans="1:5" x14ac:dyDescent="0.25">
      <c r="A5680" t="str">
        <f>HYPERLINK("https://www.773grp.com/globalSearch/LM2673T-5.0-NOPB/page-1", "LM2673T-5.0-NOPB")</f>
        <v>LM2673T-5.0-NOPB</v>
      </c>
      <c r="B5680" s="3" t="str">
        <f>HYPERLINK("https://www.773grp.com/manufacturer/national-semiconductor?pageNo=51", "National Semiconductor")</f>
        <v>National Semiconductor</v>
      </c>
      <c r="C5680" s="6">
        <v>245</v>
      </c>
      <c r="D5680" s="7">
        <v>5.2</v>
      </c>
    </row>
    <row r="5681" spans="1:5" x14ac:dyDescent="0.25">
      <c r="A5681" t="str">
        <f>HYPERLINK("https://www.773grp.com/globalSearch/LM3433SQ-NOPB/page-1", "LM3433SQ-NOPB")</f>
        <v>LM3433SQ-NOPB</v>
      </c>
      <c r="B5681" s="3" t="str">
        <f>HYPERLINK("https://www.773grp.com/manufacturer/national-semiconductor?pageNo=52", "National Semiconductor")</f>
        <v>National Semiconductor</v>
      </c>
      <c r="C5681" s="6">
        <v>520</v>
      </c>
      <c r="D5681" s="7">
        <v>5.2</v>
      </c>
      <c r="E5681" t="s">
        <v>7</v>
      </c>
    </row>
    <row r="5682" spans="1:5" x14ac:dyDescent="0.25">
      <c r="A5682" t="str">
        <f>HYPERLINK("https://www.773grp.com/globalSearch/LM6152ACMX-NOPB/page-1", "LM6152ACMX-NOPB")</f>
        <v>LM6152ACMX-NOPB</v>
      </c>
      <c r="B5682" s="3" t="str">
        <f>HYPERLINK("https://www.773grp.com/manufacturer/national-semiconductor?pageNo=53", "National Semiconductor")</f>
        <v>National Semiconductor</v>
      </c>
      <c r="C5682" s="6">
        <v>2500</v>
      </c>
      <c r="D5682" s="7">
        <v>5.2</v>
      </c>
    </row>
    <row r="5683" spans="1:5" x14ac:dyDescent="0.25">
      <c r="A5683" t="str">
        <f>HYPERLINK("https://www.773grp.com/globalSearch/LMP8672MAX-NOPB/page-1", "LMP8672MAX-NOPB")</f>
        <v>LMP8672MAX-NOPB</v>
      </c>
      <c r="B5683" s="3" t="str">
        <f>HYPERLINK("https://www.773grp.com/manufacturer/national-semiconductor?pageNo=54", "National Semiconductor")</f>
        <v>National Semiconductor</v>
      </c>
      <c r="C5683" s="6">
        <v>1800</v>
      </c>
      <c r="D5683" s="7">
        <v>5.2</v>
      </c>
    </row>
    <row r="5684" spans="1:5" x14ac:dyDescent="0.25">
      <c r="A5684" t="str">
        <f>HYPERLINK("https://www.773grp.com/globalSearch/LP3852ES-2.5/page-1", "LP3852ES-2.5")</f>
        <v>LP3852ES-2.5</v>
      </c>
      <c r="B5684" s="3" t="str">
        <f>HYPERLINK("https://www.773grp.com/manufacturer/national-semiconductor?pageNo=55", "National Semiconductor")</f>
        <v>National Semiconductor</v>
      </c>
      <c r="C5684" s="6">
        <v>45</v>
      </c>
      <c r="D5684" s="7">
        <v>5.2</v>
      </c>
      <c r="E5684" t="s">
        <v>19</v>
      </c>
    </row>
    <row r="5685" spans="1:5" x14ac:dyDescent="0.25">
      <c r="A5685" t="str">
        <f>HYPERLINK("https://www.773grp.com/globalSearch/LP3852ESX-1.8-NOPB/page-1", "LP3852ESX-1.8-NOPB")</f>
        <v>LP3852ESX-1.8-NOPB</v>
      </c>
      <c r="B5685" s="3" t="str">
        <f>HYPERLINK("https://www.773grp.com/manufacturer/national-semiconductor?pageNo=56", "National Semiconductor")</f>
        <v>National Semiconductor</v>
      </c>
      <c r="C5685" s="6">
        <v>1000</v>
      </c>
      <c r="D5685" s="7">
        <v>5.2</v>
      </c>
    </row>
    <row r="5686" spans="1:5" x14ac:dyDescent="0.25">
      <c r="A5686" t="str">
        <f>HYPERLINK("https://www.773grp.com/globalSearch/LP3852ET-1.8-NOPB/page-1", "LP3852ET-1.8-NOPB")</f>
        <v>LP3852ET-1.8-NOPB</v>
      </c>
      <c r="B5686" s="3" t="str">
        <f>HYPERLINK("https://www.773grp.com/manufacturer/national-semiconductor?pageNo=57", "National Semiconductor")</f>
        <v>National Semiconductor</v>
      </c>
      <c r="C5686" s="6">
        <v>16</v>
      </c>
      <c r="D5686" s="7">
        <v>5.2</v>
      </c>
    </row>
    <row r="5687" spans="1:5" x14ac:dyDescent="0.25">
      <c r="A5687" t="str">
        <f>HYPERLINK("https://www.773grp.com/globalSearch/LP3852ET-3.3-NOPB/page-1", "LP3852ET-3.3-NOPB")</f>
        <v>LP3852ET-3.3-NOPB</v>
      </c>
      <c r="B5687" s="3" t="str">
        <f>HYPERLINK("https://www.773grp.com/manufacturer/national-semiconductor?pageNo=58", "National Semiconductor")</f>
        <v>National Semiconductor</v>
      </c>
      <c r="C5687" s="6">
        <v>405</v>
      </c>
      <c r="D5687" s="7">
        <v>5.2</v>
      </c>
      <c r="E5687" t="s">
        <v>19</v>
      </c>
    </row>
    <row r="5688" spans="1:5" x14ac:dyDescent="0.25">
      <c r="A5688" t="str">
        <f>HYPERLINK("https://www.773grp.com/globalSearch/LP3852ET-5.0-NOPB/page-1", "LP3852ET-5.0-NOPB")</f>
        <v>LP3852ET-5.0-NOPB</v>
      </c>
      <c r="B5688" s="3" t="str">
        <f>HYPERLINK("https://www.773grp.com/manufacturer/national-semiconductor?pageNo=59", "National Semiconductor")</f>
        <v>National Semiconductor</v>
      </c>
      <c r="C5688" s="6">
        <v>4095</v>
      </c>
      <c r="D5688" s="7">
        <v>5.2</v>
      </c>
      <c r="E5688" t="s">
        <v>19</v>
      </c>
    </row>
    <row r="5689" spans="1:5" x14ac:dyDescent="0.25">
      <c r="A5689" t="str">
        <f>HYPERLINK("https://www.773grp.com/globalSearch/LP3855EMP-ADJ-NOPB/page-1", "LP3855EMP-ADJ-NOPB")</f>
        <v>LP3855EMP-ADJ-NOPB</v>
      </c>
      <c r="B5689" s="3" t="str">
        <f>HYPERLINK("https://www.773grp.com/manufacturer/national-semiconductor?pageNo=60", "National Semiconductor")</f>
        <v>National Semiconductor</v>
      </c>
      <c r="C5689" s="6">
        <v>1000</v>
      </c>
      <c r="D5689" s="7">
        <v>5.2</v>
      </c>
      <c r="E5689" t="s">
        <v>25</v>
      </c>
    </row>
    <row r="5690" spans="1:5" x14ac:dyDescent="0.25">
      <c r="A5690" t="str">
        <f>HYPERLINK("https://www.773grp.com/globalSearch/LP3855EMP-ADJ-NOPB/page-1", "LP3855EMP-ADJ-NOPB")</f>
        <v>LP3855EMP-ADJ-NOPB</v>
      </c>
      <c r="B5690" s="3" t="str">
        <f>HYPERLINK("https://www.773grp.com/manufacturer/national-semiconductor?pageNo=61", "National Semiconductor")</f>
        <v>National Semiconductor</v>
      </c>
      <c r="C5690" s="6">
        <v>88</v>
      </c>
      <c r="D5690" s="7">
        <v>5.2</v>
      </c>
      <c r="E5690" t="s">
        <v>25</v>
      </c>
    </row>
    <row r="5691" spans="1:5" x14ac:dyDescent="0.25">
      <c r="A5691" t="str">
        <f>HYPERLINK("https://www.773grp.com/globalSearch/LP3855ET-ADJ/page-1", "LP3855ET-ADJ")</f>
        <v>LP3855ET-ADJ</v>
      </c>
      <c r="B5691" s="3" t="str">
        <f>HYPERLINK("https://www.773grp.com/manufacturer/national-semiconductor?pageNo=62", "National Semiconductor")</f>
        <v>National Semiconductor</v>
      </c>
      <c r="C5691" s="6">
        <v>374</v>
      </c>
      <c r="D5691" s="7">
        <v>5.2</v>
      </c>
    </row>
    <row r="5692" spans="1:5" x14ac:dyDescent="0.25">
      <c r="A5692" t="str">
        <f>HYPERLINK("https://www.773grp.com/globalSearch/LP3855ET-ADJ-NOPB/page-1", "LP3855ET-ADJ-NOPB")</f>
        <v>LP3855ET-ADJ-NOPB</v>
      </c>
      <c r="B5692" s="3" t="str">
        <f>HYPERLINK("https://www.773grp.com/manufacturer/national-semiconductor?pageNo=63", "National Semiconductor")</f>
        <v>National Semiconductor</v>
      </c>
      <c r="C5692" s="6">
        <v>428</v>
      </c>
      <c r="D5692" s="7">
        <v>5.2</v>
      </c>
      <c r="E5692" t="s">
        <v>25</v>
      </c>
    </row>
    <row r="5693" spans="1:5" x14ac:dyDescent="0.25">
      <c r="A5693" t="str">
        <f>HYPERLINK("https://www.773grp.com/globalSearch/54ALS153J-883/page-1", "54ALS153J-883")</f>
        <v>54ALS153J-883</v>
      </c>
      <c r="B5693" s="3" t="str">
        <f>HYPERLINK("https://www.773grp.com/manufacturer/national-semiconductor?pageNo=64", "National Semiconductor")</f>
        <v>National Semiconductor</v>
      </c>
      <c r="C5693" s="6">
        <v>16</v>
      </c>
      <c r="D5693" s="7">
        <v>5.24</v>
      </c>
    </row>
    <row r="5694" spans="1:5" x14ac:dyDescent="0.25">
      <c r="A5694" t="str">
        <f>HYPERLINK("https://www.773grp.com/globalSearch/54S258DM/page-1", "54S258DM")</f>
        <v>54S258DM</v>
      </c>
      <c r="B5694" s="3" t="str">
        <f>HYPERLINK("https://www.773grp.com/manufacturer/national-semiconductor?pageNo=65", "National Semiconductor")</f>
        <v>National Semiconductor</v>
      </c>
      <c r="C5694" s="6">
        <v>514</v>
      </c>
      <c r="D5694" s="7">
        <v>5.24</v>
      </c>
    </row>
    <row r="5695" spans="1:5" x14ac:dyDescent="0.25">
      <c r="A5695" t="str">
        <f>HYPERLINK("https://www.773grp.com/globalSearch/7497PC/page-1", "7497PC")</f>
        <v>7497PC</v>
      </c>
      <c r="B5695" s="3" t="str">
        <f>HYPERLINK("https://www.773grp.com/manufacturer/national-semiconductor?pageNo=66", "National Semiconductor")</f>
        <v>National Semiconductor</v>
      </c>
      <c r="C5695" s="6">
        <v>4</v>
      </c>
      <c r="D5695" s="7">
        <v>5.24</v>
      </c>
    </row>
    <row r="5696" spans="1:5" x14ac:dyDescent="0.25">
      <c r="A5696" t="str">
        <f>HYPERLINK("https://www.773grp.com/globalSearch/946PC/page-1", "946PC")</f>
        <v>946PC</v>
      </c>
      <c r="B5696" s="3" t="str">
        <f>HYPERLINK("https://www.773grp.com/manufacturer/national-semiconductor?pageNo=67", "National Semiconductor")</f>
        <v>National Semiconductor</v>
      </c>
      <c r="C5696" s="6">
        <v>203</v>
      </c>
      <c r="D5696" s="7">
        <v>5.24</v>
      </c>
      <c r="E5696" t="s">
        <v>31</v>
      </c>
    </row>
    <row r="5697" spans="1:5" x14ac:dyDescent="0.25">
      <c r="A5697" t="str">
        <f>HYPERLINK("https://www.773grp.com/globalSearch/LM20125MH-NOPB/page-1", "LM20125MH-NOPB")</f>
        <v>LM20125MH-NOPB</v>
      </c>
      <c r="B5697" s="3" t="str">
        <f>HYPERLINK("https://www.773grp.com/manufacturer/national-semiconductor?pageNo=68", "National Semiconductor")</f>
        <v>National Semiconductor</v>
      </c>
      <c r="C5697" s="6">
        <v>5</v>
      </c>
      <c r="D5697" s="7">
        <v>5.24</v>
      </c>
      <c r="E5697" t="s">
        <v>7</v>
      </c>
    </row>
    <row r="5698" spans="1:5" x14ac:dyDescent="0.25">
      <c r="A5698" t="str">
        <f>HYPERLINK("https://www.773grp.com/globalSearch/LM20145MH-NOPB/page-1", "LM20145MH-NOPB")</f>
        <v>LM20145MH-NOPB</v>
      </c>
      <c r="B5698" s="3" t="str">
        <f>HYPERLINK("https://www.773grp.com/manufacturer/national-semiconductor?pageNo=69", "National Semiconductor")</f>
        <v>National Semiconductor</v>
      </c>
      <c r="C5698" s="6">
        <v>4</v>
      </c>
      <c r="D5698" s="7">
        <v>5.24</v>
      </c>
      <c r="E5698" t="s">
        <v>7</v>
      </c>
    </row>
    <row r="5699" spans="1:5" x14ac:dyDescent="0.25">
      <c r="A5699" t="str">
        <f>HYPERLINK("https://www.773grp.com/globalSearch/LM22675MR-ADJ-NOPB/page-1", "LM22675MR-ADJ-NOPB")</f>
        <v>LM22675MR-ADJ-NOPB</v>
      </c>
      <c r="B5699" s="3" t="str">
        <f>HYPERLINK("https://www.773grp.com/manufacturer/national-semiconductor?pageNo=70", "National Semiconductor")</f>
        <v>National Semiconductor</v>
      </c>
      <c r="C5699" s="6">
        <v>520</v>
      </c>
      <c r="D5699" s="7">
        <v>5.24</v>
      </c>
    </row>
    <row r="5700" spans="1:5" x14ac:dyDescent="0.25">
      <c r="A5700" t="str">
        <f>HYPERLINK("https://www.773grp.com/globalSearch/LM2700MT-ADJ-NOPB/page-1", "LM2700MT-ADJ-NOPB")</f>
        <v>LM2700MT-ADJ-NOPB</v>
      </c>
      <c r="B5700" s="3" t="str">
        <f>HYPERLINK("https://www.773grp.com/manufacturer/national-semiconductor?pageNo=71", "National Semiconductor")</f>
        <v>National Semiconductor</v>
      </c>
      <c r="C5700" s="6">
        <v>652</v>
      </c>
      <c r="D5700" s="7">
        <v>5.24</v>
      </c>
      <c r="E5700" t="s">
        <v>7</v>
      </c>
    </row>
    <row r="5701" spans="1:5" x14ac:dyDescent="0.25">
      <c r="A5701" t="str">
        <f>HYPERLINK("https://www.773grp.com/globalSearch/LM3103MH-NOPB/page-1", "LM3103MH-NOPB")</f>
        <v>LM3103MH-NOPB</v>
      </c>
      <c r="B5701" s="3" t="str">
        <f>HYPERLINK("https://www.773grp.com/manufacturer/national-semiconductor?pageNo=72", "National Semiconductor")</f>
        <v>National Semiconductor</v>
      </c>
      <c r="C5701" s="6">
        <v>736</v>
      </c>
      <c r="D5701" s="7">
        <v>5.24</v>
      </c>
      <c r="E5701" t="s">
        <v>7</v>
      </c>
    </row>
    <row r="5702" spans="1:5" x14ac:dyDescent="0.25">
      <c r="A5702" t="str">
        <f>HYPERLINK("https://www.773grp.com/globalSearch/LM3150MH-NOPB/page-1", "LM3150MH-NOPB")</f>
        <v>LM3150MH-NOPB</v>
      </c>
      <c r="B5702" s="3" t="str">
        <f>HYPERLINK("https://www.773grp.com/manufacturer/national-semiconductor?pageNo=73", "National Semiconductor")</f>
        <v>National Semiconductor</v>
      </c>
      <c r="C5702" s="6">
        <v>274</v>
      </c>
      <c r="D5702" s="7">
        <v>5.24</v>
      </c>
      <c r="E5702" t="s">
        <v>7</v>
      </c>
    </row>
    <row r="5703" spans="1:5" x14ac:dyDescent="0.25">
      <c r="A5703" t="str">
        <f>HYPERLINK("https://www.773grp.com/globalSearch/LM3151MH-3.3-NOPB/page-1", "LM3151MH-3.3-NOPB")</f>
        <v>LM3151MH-3.3-NOPB</v>
      </c>
      <c r="B5703" s="3" t="str">
        <f>HYPERLINK("https://www.773grp.com/manufacturer/national-semiconductor?pageNo=74", "National Semiconductor")</f>
        <v>National Semiconductor</v>
      </c>
      <c r="C5703" s="6">
        <v>188</v>
      </c>
      <c r="D5703" s="7">
        <v>5.24</v>
      </c>
    </row>
    <row r="5704" spans="1:5" x14ac:dyDescent="0.25">
      <c r="A5704" t="str">
        <f>HYPERLINK("https://www.773grp.com/globalSearch/LM3152MH-3.3-NOPB/page-1", "LM3152MH-3.3-NOPB")</f>
        <v>LM3152MH-3.3-NOPB</v>
      </c>
      <c r="B5704" s="3" t="str">
        <f>HYPERLINK("https://www.773grp.com/manufacturer/national-semiconductor?pageNo=75", "National Semiconductor")</f>
        <v>National Semiconductor</v>
      </c>
      <c r="C5704" s="6">
        <v>141</v>
      </c>
      <c r="D5704" s="7">
        <v>5.24</v>
      </c>
    </row>
    <row r="5705" spans="1:5" x14ac:dyDescent="0.25">
      <c r="A5705" t="str">
        <f>HYPERLINK("https://www.773grp.com/globalSearch/LM3153MH-3.3-NOPB/page-1", "LM3153MH-3.3-NOPB")</f>
        <v>LM3153MH-3.3-NOPB</v>
      </c>
      <c r="B5705" s="3" t="str">
        <f>HYPERLINK("https://www.773grp.com/manufacturer/national-semiconductor?pageNo=76", "National Semiconductor")</f>
        <v>National Semiconductor</v>
      </c>
      <c r="C5705" s="6">
        <v>188</v>
      </c>
      <c r="D5705" s="7">
        <v>5.24</v>
      </c>
    </row>
    <row r="5706" spans="1:5" x14ac:dyDescent="0.25">
      <c r="A5706" t="str">
        <f>HYPERLINK("https://www.773grp.com/globalSearch/LM4140BCM-1.0-NOPB/page-1", "LM4140BCM-1.0-NOPB")</f>
        <v>LM4140BCM-1.0-NOPB</v>
      </c>
      <c r="B5706" s="3" t="str">
        <f>HYPERLINK("https://www.773grp.com/manufacturer/national-semiconductor?pageNo=77", "National Semiconductor")</f>
        <v>National Semiconductor</v>
      </c>
      <c r="C5706" s="6">
        <v>309</v>
      </c>
      <c r="D5706" s="7">
        <v>5.24</v>
      </c>
      <c r="E5706" t="s">
        <v>17</v>
      </c>
    </row>
    <row r="5707" spans="1:5" x14ac:dyDescent="0.25">
      <c r="A5707" t="str">
        <f>HYPERLINK("https://www.773grp.com/globalSearch/LM4140BCM-2.5-NOPB/page-1", "LM4140BCM-2.5-NOPB")</f>
        <v>LM4140BCM-2.5-NOPB</v>
      </c>
      <c r="B5707" s="3" t="str">
        <f>HYPERLINK("https://www.773grp.com/manufacturer/national-semiconductor?pageNo=78", "National Semiconductor")</f>
        <v>National Semiconductor</v>
      </c>
      <c r="C5707" s="6">
        <v>472</v>
      </c>
      <c r="D5707" s="7">
        <v>5.24</v>
      </c>
      <c r="E5707" t="s">
        <v>17</v>
      </c>
    </row>
    <row r="5708" spans="1:5" x14ac:dyDescent="0.25">
      <c r="A5708" t="str">
        <f>HYPERLINK("https://www.773grp.com/globalSearch/LM4140BCM-4.1-NOPB/page-1", "LM4140BCM-4.1-NOPB")</f>
        <v>LM4140BCM-4.1-NOPB</v>
      </c>
      <c r="B5708" s="3" t="str">
        <f>HYPERLINK("https://www.773grp.com/manufacturer/national-semiconductor?pageNo=79", "National Semiconductor")</f>
        <v>National Semiconductor</v>
      </c>
      <c r="C5708" s="6">
        <v>70</v>
      </c>
      <c r="D5708" s="7">
        <v>5.24</v>
      </c>
      <c r="E5708" t="s">
        <v>17</v>
      </c>
    </row>
    <row r="5709" spans="1:5" x14ac:dyDescent="0.25">
      <c r="A5709" t="str">
        <f>HYPERLINK("https://www.773grp.com/globalSearch/LM5001MA-NOPB/page-1", "LM5001MA-NOPB")</f>
        <v>LM5001MA-NOPB</v>
      </c>
      <c r="B5709" s="3" t="str">
        <f>HYPERLINK("https://www.773grp.com/manufacturer/national-semiconductor?pageNo=80", "National Semiconductor")</f>
        <v>National Semiconductor</v>
      </c>
      <c r="C5709" s="6">
        <v>23</v>
      </c>
      <c r="D5709" s="7">
        <v>5.24</v>
      </c>
      <c r="E5709" t="s">
        <v>7</v>
      </c>
    </row>
    <row r="5710" spans="1:5" x14ac:dyDescent="0.25">
      <c r="A5710" t="str">
        <f>HYPERLINK("https://www.773grp.com/globalSearch/LM5574MT-NOPB/page-1", "LM5574MT-NOPB")</f>
        <v>LM5574MT-NOPB</v>
      </c>
      <c r="B5710" s="3" t="str">
        <f>HYPERLINK("https://www.773grp.com/manufacturer/national-semiconductor?pageNo=81", "National Semiconductor")</f>
        <v>National Semiconductor</v>
      </c>
      <c r="C5710" s="6">
        <v>132</v>
      </c>
      <c r="D5710" s="7">
        <v>5.24</v>
      </c>
    </row>
    <row r="5711" spans="1:5" x14ac:dyDescent="0.25">
      <c r="A5711" t="str">
        <f>HYPERLINK("https://www.773grp.com/globalSearch/LMC6082IN/page-1", "LMC6082IN")</f>
        <v>LMC6082IN</v>
      </c>
      <c r="B5711" s="3" t="str">
        <f>HYPERLINK("https://www.773grp.com/manufacturer/national-semiconductor?pageNo=82", "National Semiconductor")</f>
        <v>National Semiconductor</v>
      </c>
      <c r="C5711" s="6">
        <v>30</v>
      </c>
      <c r="D5711" s="7">
        <v>5.24</v>
      </c>
      <c r="E5711" t="s">
        <v>13</v>
      </c>
    </row>
    <row r="5712" spans="1:5" x14ac:dyDescent="0.25">
      <c r="A5712" t="str">
        <f>HYPERLINK("https://www.773grp.com/globalSearch/LMP2234BMA-NOPB/page-1", "LMP2234BMA-NOPB")</f>
        <v>LMP2234BMA-NOPB</v>
      </c>
      <c r="B5712" s="3" t="str">
        <f>HYPERLINK("https://www.773grp.com/manufacturer/national-semiconductor?pageNo=83", "National Semiconductor")</f>
        <v>National Semiconductor</v>
      </c>
      <c r="C5712" s="6">
        <v>285</v>
      </c>
      <c r="D5712" s="7">
        <v>5.24</v>
      </c>
    </row>
    <row r="5713" spans="1:5" x14ac:dyDescent="0.25">
      <c r="A5713" t="str">
        <f>HYPERLINK("https://www.773grp.com/globalSearch/LMP2234BMT-NOPB/page-1", "LMP2234BMT-NOPB")</f>
        <v>LMP2234BMT-NOPB</v>
      </c>
      <c r="B5713" s="3" t="str">
        <f>HYPERLINK("https://www.773grp.com/manufacturer/national-semiconductor?pageNo=84", "National Semiconductor")</f>
        <v>National Semiconductor</v>
      </c>
      <c r="C5713" s="6">
        <v>191</v>
      </c>
      <c r="D5713" s="7">
        <v>5.24</v>
      </c>
    </row>
    <row r="5714" spans="1:5" x14ac:dyDescent="0.25">
      <c r="A5714" t="str">
        <f>HYPERLINK("https://www.773grp.com/globalSearch/LP3882ET-1.8/page-1", "LP3882ET-1.8")</f>
        <v>LP3882ET-1.8</v>
      </c>
      <c r="B5714" s="3" t="str">
        <f>HYPERLINK("https://www.773grp.com/manufacturer/national-semiconductor?pageNo=85", "National Semiconductor")</f>
        <v>National Semiconductor</v>
      </c>
      <c r="C5714" s="6">
        <v>15</v>
      </c>
      <c r="D5714" s="7">
        <v>5.24</v>
      </c>
      <c r="E5714" t="s">
        <v>19</v>
      </c>
    </row>
    <row r="5715" spans="1:5" x14ac:dyDescent="0.25">
      <c r="A5715" t="str">
        <f>HYPERLINK("https://www.773grp.com/globalSearch/LM20125MH-NOPB/page-1", "LM20125MH-NOPB")</f>
        <v>LM20125MH-NOPB</v>
      </c>
      <c r="B5715" s="3" t="str">
        <f>HYPERLINK("https://www.773grp.com/manufacturer/national-semiconductor?pageNo=86", "National Semiconductor")</f>
        <v>National Semiconductor</v>
      </c>
      <c r="C5715" s="6">
        <v>152</v>
      </c>
      <c r="D5715" s="7">
        <v>5.24</v>
      </c>
      <c r="E5715" t="s">
        <v>7</v>
      </c>
    </row>
    <row r="5716" spans="1:5" x14ac:dyDescent="0.25">
      <c r="A5716" t="str">
        <f>HYPERLINK("https://www.773grp.com/globalSearch/LM22675MR-ADJ-NOPB/page-1", "LM22675MR-ADJ-NOPB")</f>
        <v>LM22675MR-ADJ-NOPB</v>
      </c>
      <c r="B5716" s="3" t="str">
        <f>HYPERLINK("https://www.773grp.com/manufacturer/national-semiconductor?pageNo=87", "National Semiconductor")</f>
        <v>National Semiconductor</v>
      </c>
      <c r="C5716" s="6">
        <v>1403</v>
      </c>
      <c r="D5716" s="7">
        <v>5.24</v>
      </c>
    </row>
    <row r="5717" spans="1:5" x14ac:dyDescent="0.25">
      <c r="A5717" t="str">
        <f>HYPERLINK("https://www.773grp.com/globalSearch/LM2700MT-ADJ-NOPB/page-1", "LM2700MT-ADJ-NOPB")</f>
        <v>LM2700MT-ADJ-NOPB</v>
      </c>
      <c r="B5717" s="3" t="str">
        <f>HYPERLINK("https://www.773grp.com/manufacturer/national-semiconductor?pageNo=88", "National Semiconductor")</f>
        <v>National Semiconductor</v>
      </c>
      <c r="C5717" s="6">
        <v>84</v>
      </c>
      <c r="D5717" s="7">
        <v>5.24</v>
      </c>
      <c r="E5717" t="s">
        <v>7</v>
      </c>
    </row>
    <row r="5718" spans="1:5" x14ac:dyDescent="0.25">
      <c r="A5718" t="str">
        <f>HYPERLINK("https://www.773grp.com/globalSearch/LM3103MH-NOPB/page-1", "LM3103MH-NOPB")</f>
        <v>LM3103MH-NOPB</v>
      </c>
      <c r="B5718" s="3" t="str">
        <f>HYPERLINK("https://www.773grp.com/manufacturer/national-semiconductor?pageNo=89", "National Semiconductor")</f>
        <v>National Semiconductor</v>
      </c>
      <c r="C5718" s="6">
        <v>245</v>
      </c>
      <c r="D5718" s="7">
        <v>5.24</v>
      </c>
      <c r="E5718" t="s">
        <v>7</v>
      </c>
    </row>
    <row r="5719" spans="1:5" x14ac:dyDescent="0.25">
      <c r="A5719" t="str">
        <f>HYPERLINK("https://www.773grp.com/globalSearch/LM3150MH-NOPB/page-1", "LM3150MH-NOPB")</f>
        <v>LM3150MH-NOPB</v>
      </c>
      <c r="B5719" s="3" t="str">
        <f>HYPERLINK("https://www.773grp.com/manufacturer/national-semiconductor?pageNo=90", "National Semiconductor")</f>
        <v>National Semiconductor</v>
      </c>
      <c r="C5719" s="6">
        <v>1034</v>
      </c>
      <c r="D5719" s="7">
        <v>5.24</v>
      </c>
      <c r="E5719" t="s">
        <v>7</v>
      </c>
    </row>
    <row r="5720" spans="1:5" x14ac:dyDescent="0.25">
      <c r="A5720" t="str">
        <f>HYPERLINK("https://www.773grp.com/globalSearch/LM3151MH-3.3-NOPB/page-1", "LM3151MH-3.3-NOPB")</f>
        <v>LM3151MH-3.3-NOPB</v>
      </c>
      <c r="B5720" s="3" t="str">
        <f>HYPERLINK("https://www.773grp.com/manufacturer/national-semiconductor?pageNo=91", "National Semiconductor")</f>
        <v>National Semiconductor</v>
      </c>
      <c r="C5720" s="6">
        <v>596</v>
      </c>
      <c r="D5720" s="7">
        <v>5.24</v>
      </c>
    </row>
    <row r="5721" spans="1:5" x14ac:dyDescent="0.25">
      <c r="A5721" t="str">
        <f>HYPERLINK("https://www.773grp.com/globalSearch/LM3153MH-3.3-NOPB/page-1", "LM3153MH-3.3-NOPB")</f>
        <v>LM3153MH-3.3-NOPB</v>
      </c>
      <c r="B5721" s="3" t="str">
        <f>HYPERLINK("https://www.773grp.com/manufacturer/national-semiconductor?pageNo=92", "National Semiconductor")</f>
        <v>National Semiconductor</v>
      </c>
      <c r="C5721" s="6">
        <v>735</v>
      </c>
      <c r="D5721" s="7">
        <v>5.24</v>
      </c>
    </row>
    <row r="5722" spans="1:5" x14ac:dyDescent="0.25">
      <c r="A5722" t="str">
        <f>HYPERLINK("https://www.773grp.com/globalSearch/LM4140BCM-1.0/page-1", "LM4140BCM-1.0")</f>
        <v>LM4140BCM-1.0</v>
      </c>
      <c r="B5722" s="3" t="str">
        <f>HYPERLINK("https://www.773grp.com/manufacturer/national-semiconductor?pageNo=93", "National Semiconductor")</f>
        <v>National Semiconductor</v>
      </c>
      <c r="C5722" s="6">
        <v>190</v>
      </c>
      <c r="D5722" s="7">
        <v>5.24</v>
      </c>
    </row>
    <row r="5723" spans="1:5" x14ac:dyDescent="0.25">
      <c r="A5723" t="str">
        <f>HYPERLINK("https://www.773grp.com/globalSearch/LM4140BCM-1.0-NOPB/page-1", "LM4140BCM-1.0-NOPB")</f>
        <v>LM4140BCM-1.0-NOPB</v>
      </c>
      <c r="B5723" s="3" t="str">
        <f>HYPERLINK("https://www.773grp.com/manufacturer/national-semiconductor?pageNo=94", "National Semiconductor")</f>
        <v>National Semiconductor</v>
      </c>
      <c r="C5723" s="6">
        <v>250</v>
      </c>
      <c r="D5723" s="7">
        <v>5.24</v>
      </c>
      <c r="E5723" t="s">
        <v>17</v>
      </c>
    </row>
    <row r="5724" spans="1:5" x14ac:dyDescent="0.25">
      <c r="A5724" t="str">
        <f>HYPERLINK("https://www.773grp.com/globalSearch/LM4140BCM-2.5-NOPB/page-1", "LM4140BCM-2.5-NOPB")</f>
        <v>LM4140BCM-2.5-NOPB</v>
      </c>
      <c r="B5724" s="3" t="str">
        <f>HYPERLINK("https://www.773grp.com/manufacturer/national-semiconductor?pageNo=95", "National Semiconductor")</f>
        <v>National Semiconductor</v>
      </c>
      <c r="C5724" s="6">
        <v>623</v>
      </c>
      <c r="D5724" s="7">
        <v>5.24</v>
      </c>
      <c r="E5724" t="s">
        <v>17</v>
      </c>
    </row>
    <row r="5725" spans="1:5" x14ac:dyDescent="0.25">
      <c r="A5725" t="str">
        <f>HYPERLINK("https://www.773grp.com/globalSearch/LM4140BCM-4.1-NOPB/page-1", "LM4140BCM-4.1-NOPB")</f>
        <v>LM4140BCM-4.1-NOPB</v>
      </c>
      <c r="B5725" s="3" t="str">
        <f>HYPERLINK("https://www.773grp.com/manufacturer/national-semiconductor?pageNo=96", "National Semiconductor")</f>
        <v>National Semiconductor</v>
      </c>
      <c r="C5725" s="6">
        <v>145</v>
      </c>
      <c r="D5725" s="7">
        <v>5.24</v>
      </c>
      <c r="E5725" t="s">
        <v>17</v>
      </c>
    </row>
    <row r="5726" spans="1:5" x14ac:dyDescent="0.25">
      <c r="A5726" t="str">
        <f>HYPERLINK("https://www.773grp.com/globalSearch/LM5001MA-NOPB/page-1", "LM5001MA-NOPB")</f>
        <v>LM5001MA-NOPB</v>
      </c>
      <c r="B5726" s="3" t="str">
        <f>HYPERLINK("https://www.773grp.com/manufacturer/national-semiconductor?pageNo=97", "National Semiconductor")</f>
        <v>National Semiconductor</v>
      </c>
      <c r="C5726" s="6">
        <v>273</v>
      </c>
      <c r="D5726" s="7">
        <v>5.24</v>
      </c>
      <c r="E5726" t="s">
        <v>7</v>
      </c>
    </row>
    <row r="5727" spans="1:5" x14ac:dyDescent="0.25">
      <c r="A5727" t="str">
        <f>HYPERLINK("https://www.773grp.com/globalSearch/LM5574MT-NOPB/page-1", "LM5574MT-NOPB")</f>
        <v>LM5574MT-NOPB</v>
      </c>
      <c r="B5727" s="3" t="str">
        <f>HYPERLINK("https://www.773grp.com/manufacturer/national-semiconductor?pageNo=98", "National Semiconductor")</f>
        <v>National Semiconductor</v>
      </c>
      <c r="C5727" s="6">
        <v>951</v>
      </c>
      <c r="D5727" s="7">
        <v>5.24</v>
      </c>
    </row>
    <row r="5728" spans="1:5" x14ac:dyDescent="0.25">
      <c r="A5728" t="str">
        <f>HYPERLINK("https://www.773grp.com/globalSearch/LMP2234BMA-NOPB/page-1", "LMP2234BMA-NOPB")</f>
        <v>LMP2234BMA-NOPB</v>
      </c>
      <c r="B5728" s="3" t="str">
        <f>HYPERLINK("https://www.773grp.com/manufacturer/national-semiconductor?pageNo=99", "National Semiconductor")</f>
        <v>National Semiconductor</v>
      </c>
      <c r="C5728" s="6">
        <v>1608</v>
      </c>
      <c r="D5728" s="7">
        <v>5.24</v>
      </c>
    </row>
    <row r="5729" spans="1:5" x14ac:dyDescent="0.25">
      <c r="A5729" t="str">
        <f>HYPERLINK("https://www.773grp.com/globalSearch/LMP2234BMT-NOPB/page-1", "LMP2234BMT-NOPB")</f>
        <v>LMP2234BMT-NOPB</v>
      </c>
      <c r="B5729" s="3" t="str">
        <f>HYPERLINK("https://www.773grp.com/manufacturer/national-semiconductor?pageNo=100", "National Semiconductor")</f>
        <v>National Semiconductor</v>
      </c>
      <c r="C5729" s="6">
        <v>251</v>
      </c>
      <c r="D5729" s="7">
        <v>5.24</v>
      </c>
    </row>
    <row r="5730" spans="1:5" x14ac:dyDescent="0.25">
      <c r="A5730" t="str">
        <f>HYPERLINK("https://www.773grp.com/globalSearch/54S257DM/page-1", "54S257DM")</f>
        <v>54S257DM</v>
      </c>
      <c r="B5730" s="3" t="str">
        <f>HYPERLINK("https://www.773grp.com/manufacturer/national-semiconductor?pageNo=101", "National Semiconductor")</f>
        <v>National Semiconductor</v>
      </c>
      <c r="C5730" s="6">
        <v>439</v>
      </c>
      <c r="D5730" s="7">
        <v>5.26</v>
      </c>
    </row>
    <row r="5731" spans="1:5" x14ac:dyDescent="0.25">
      <c r="A5731" t="str">
        <f>HYPERLINK("https://www.773grp.com/globalSearch/7413DC/page-1", "7413DC")</f>
        <v>7413DC</v>
      </c>
      <c r="B5731" s="3" t="str">
        <f>HYPERLINK("https://www.773grp.com/manufacturer/national-semiconductor?pageNo=102", "National Semiconductor")</f>
        <v>National Semiconductor</v>
      </c>
      <c r="C5731" s="6">
        <v>2302</v>
      </c>
      <c r="D5731" s="7">
        <v>5.26</v>
      </c>
    </row>
    <row r="5732" spans="1:5" x14ac:dyDescent="0.25">
      <c r="A5732" t="str">
        <f>HYPERLINK("https://www.773grp.com/globalSearch/ADC088S052CIMT-NOPB/page-1", "ADC088S052CIMT-NOPB")</f>
        <v>ADC088S052CIMT-NOPB</v>
      </c>
      <c r="B5732" s="3" t="str">
        <f>HYPERLINK("https://www.773grp.com/manufacturer/national-semiconductor?pageNo=103", "National Semiconductor")</f>
        <v>National Semiconductor</v>
      </c>
      <c r="C5732" s="6">
        <v>1082</v>
      </c>
      <c r="D5732" s="7">
        <v>5.26</v>
      </c>
    </row>
    <row r="5733" spans="1:5" x14ac:dyDescent="0.25">
      <c r="A5733" t="str">
        <f>HYPERLINK("https://www.773grp.com/globalSearch/LM5067MM-2/page-1", "LM5067MM-2")</f>
        <v>LM5067MM-2</v>
      </c>
      <c r="B5733" s="3" t="str">
        <f>HYPERLINK("https://www.773grp.com/manufacturer/national-semiconductor?pageNo=104", "National Semiconductor")</f>
        <v>National Semiconductor</v>
      </c>
      <c r="C5733" s="6">
        <v>11000</v>
      </c>
      <c r="D5733" s="7">
        <v>5.26</v>
      </c>
      <c r="E5733" t="s">
        <v>30</v>
      </c>
    </row>
    <row r="5734" spans="1:5" x14ac:dyDescent="0.25">
      <c r="A5734" t="str">
        <f>HYPERLINK("https://www.773grp.com/globalSearch/LM9044V-NOPB/page-1", "LM9044V-NOPB")</f>
        <v>LM9044V-NOPB</v>
      </c>
      <c r="B5734" s="3" t="str">
        <f>HYPERLINK("https://www.773grp.com/manufacturer/national-semiconductor?pageNo=105", "National Semiconductor")</f>
        <v>National Semiconductor</v>
      </c>
      <c r="C5734" s="6">
        <v>1657</v>
      </c>
      <c r="D5734" s="7">
        <v>5.26</v>
      </c>
      <c r="E5734" t="s">
        <v>40</v>
      </c>
    </row>
    <row r="5735" spans="1:5" x14ac:dyDescent="0.25">
      <c r="A5735" t="str">
        <f>HYPERLINK("https://www.773grp.com/globalSearch/LMH6551MA-NOPB/page-1", "LMH6551MA-NOPB")</f>
        <v>LMH6551MA-NOPB</v>
      </c>
      <c r="B5735" s="3" t="str">
        <f>HYPERLINK("https://www.773grp.com/manufacturer/national-semiconductor?pageNo=106", "National Semiconductor")</f>
        <v>National Semiconductor</v>
      </c>
      <c r="C5735" s="6">
        <v>1045</v>
      </c>
      <c r="D5735" s="7">
        <v>5.26</v>
      </c>
      <c r="E5735" t="s">
        <v>13</v>
      </c>
    </row>
    <row r="5736" spans="1:5" x14ac:dyDescent="0.25">
      <c r="A5736" t="str">
        <f>HYPERLINK("https://www.773grp.com/globalSearch/LP2956AIN-NOPB/page-1", "LP2956AIN-NOPB")</f>
        <v>LP2956AIN-NOPB</v>
      </c>
      <c r="B5736" s="3" t="str">
        <f>HYPERLINK("https://www.773grp.com/manufacturer/national-semiconductor?pageNo=107", "National Semiconductor")</f>
        <v>National Semiconductor</v>
      </c>
      <c r="C5736" s="6">
        <v>1427</v>
      </c>
      <c r="D5736" s="7">
        <v>5.26</v>
      </c>
      <c r="E5736" t="s">
        <v>63</v>
      </c>
    </row>
    <row r="5737" spans="1:5" x14ac:dyDescent="0.25">
      <c r="A5737" t="str">
        <f>HYPERLINK("https://www.773grp.com/globalSearch/ADC088S052CIMT-NOPB/page-1", "ADC088S052CIMT-NOPB")</f>
        <v>ADC088S052CIMT-NOPB</v>
      </c>
      <c r="B5737" s="3" t="str">
        <f>HYPERLINK("https://www.773grp.com/manufacturer/national-semiconductor?pageNo=108", "National Semiconductor")</f>
        <v>National Semiconductor</v>
      </c>
      <c r="C5737" s="6">
        <v>745</v>
      </c>
      <c r="D5737" s="7">
        <v>5.26</v>
      </c>
    </row>
    <row r="5738" spans="1:5" x14ac:dyDescent="0.25">
      <c r="A5738" t="str">
        <f>HYPERLINK("https://www.773grp.com/globalSearch/LMH6551MA-NOPB/page-1", "LMH6551MA-NOPB")</f>
        <v>LMH6551MA-NOPB</v>
      </c>
      <c r="B5738" s="3" t="str">
        <f>HYPERLINK("https://www.773grp.com/manufacturer/national-semiconductor?pageNo=109", "National Semiconductor")</f>
        <v>National Semiconductor</v>
      </c>
      <c r="C5738" s="6">
        <v>200</v>
      </c>
      <c r="D5738" s="7">
        <v>5.26</v>
      </c>
      <c r="E5738" t="s">
        <v>13</v>
      </c>
    </row>
    <row r="5739" spans="1:5" x14ac:dyDescent="0.25">
      <c r="A5739" t="str">
        <f>HYPERLINK("https://www.773grp.com/globalSearch/LM22673MR-5.0/page-1", "LM22673MR-5.0")</f>
        <v>LM22673MR-5.0</v>
      </c>
      <c r="B5739" s="3" t="str">
        <f>HYPERLINK("https://www.773grp.com/manufacturer/national-semiconductor?pageNo=110", "National Semiconductor")</f>
        <v>National Semiconductor</v>
      </c>
      <c r="C5739" s="6">
        <v>190</v>
      </c>
      <c r="D5739" s="7">
        <v>5.29</v>
      </c>
      <c r="E5739" t="s">
        <v>7</v>
      </c>
    </row>
    <row r="5740" spans="1:5" x14ac:dyDescent="0.25">
      <c r="A5740" t="str">
        <f>HYPERLINK("https://www.773grp.com/globalSearch/LM22673MRE-5.0/page-1", "LM22673MRE-5.0")</f>
        <v>LM22673MRE-5.0</v>
      </c>
      <c r="B5740" s="3" t="str">
        <f>HYPERLINK("https://www.773grp.com/manufacturer/national-semiconductor?pageNo=111", "National Semiconductor")</f>
        <v>National Semiconductor</v>
      </c>
      <c r="C5740" s="6">
        <v>250</v>
      </c>
      <c r="D5740" s="7">
        <v>5.29</v>
      </c>
      <c r="E5740" t="s">
        <v>7</v>
      </c>
    </row>
    <row r="5741" spans="1:5" x14ac:dyDescent="0.25">
      <c r="A5741" t="str">
        <f>HYPERLINK("https://www.773grp.com/globalSearch/LM22673TJE-5.0/page-1", "LM22673TJE-5.0")</f>
        <v>LM22673TJE-5.0</v>
      </c>
      <c r="B5741" s="3" t="str">
        <f>HYPERLINK("https://www.773grp.com/manufacturer/national-semiconductor?pageNo=112", "National Semiconductor")</f>
        <v>National Semiconductor</v>
      </c>
      <c r="C5741" s="6">
        <v>250</v>
      </c>
      <c r="D5741" s="7">
        <v>5.29</v>
      </c>
      <c r="E5741" t="s">
        <v>7</v>
      </c>
    </row>
    <row r="5742" spans="1:5" x14ac:dyDescent="0.25">
      <c r="A5742" t="str">
        <f>HYPERLINK("https://www.773grp.com/globalSearch/LM2670LD-12/page-1", "LM2670LD-12")</f>
        <v>LM2670LD-12</v>
      </c>
      <c r="B5742" s="3" t="str">
        <f>HYPERLINK("https://www.773grp.com/manufacturer/national-semiconductor?pageNo=113", "National Semiconductor")</f>
        <v>National Semiconductor</v>
      </c>
      <c r="C5742" s="6">
        <v>750</v>
      </c>
      <c r="D5742" s="7">
        <v>5.29</v>
      </c>
      <c r="E5742" t="s">
        <v>7</v>
      </c>
    </row>
    <row r="5743" spans="1:5" x14ac:dyDescent="0.25">
      <c r="A5743" t="str">
        <f>HYPERLINK("https://www.773grp.com/globalSearch/LM2670LD-3.3/page-1", "LM2670LD-3.3")</f>
        <v>LM2670LD-3.3</v>
      </c>
      <c r="B5743" s="3" t="str">
        <f>HYPERLINK("https://www.773grp.com/manufacturer/national-semiconductor?pageNo=114", "National Semiconductor")</f>
        <v>National Semiconductor</v>
      </c>
      <c r="C5743" s="6">
        <v>3918</v>
      </c>
      <c r="D5743" s="7">
        <v>5.29</v>
      </c>
      <c r="E5743" t="s">
        <v>7</v>
      </c>
    </row>
    <row r="5744" spans="1:5" x14ac:dyDescent="0.25">
      <c r="A5744" t="str">
        <f>HYPERLINK("https://www.773grp.com/globalSearch/LM2670LD-5.0/page-1", "LM2670LD-5.0")</f>
        <v>LM2670LD-5.0</v>
      </c>
      <c r="B5744" s="3" t="str">
        <f>HYPERLINK("https://www.773grp.com/manufacturer/national-semiconductor?pageNo=115", "National Semiconductor")</f>
        <v>National Semiconductor</v>
      </c>
      <c r="C5744" s="6">
        <v>500</v>
      </c>
      <c r="D5744" s="7">
        <v>5.29</v>
      </c>
      <c r="E5744" t="s">
        <v>7</v>
      </c>
    </row>
    <row r="5745" spans="1:5" x14ac:dyDescent="0.25">
      <c r="A5745" t="str">
        <f>HYPERLINK("https://www.773grp.com/globalSearch/LM2670LD-ADJ/page-1", "LM2670LD-ADJ")</f>
        <v>LM2670LD-ADJ</v>
      </c>
      <c r="B5745" s="3" t="str">
        <f>HYPERLINK("https://www.773grp.com/manufacturer/national-semiconductor?pageNo=116", "National Semiconductor")</f>
        <v>National Semiconductor</v>
      </c>
      <c r="C5745" s="6">
        <v>6500</v>
      </c>
      <c r="D5745" s="7">
        <v>5.29</v>
      </c>
      <c r="E5745" t="s">
        <v>7</v>
      </c>
    </row>
    <row r="5746" spans="1:5" x14ac:dyDescent="0.25">
      <c r="A5746" t="str">
        <f>HYPERLINK("https://www.773grp.com/globalSearch/LM2670LDX-ADJ/page-1", "LM2670LDX-ADJ")</f>
        <v>LM2670LDX-ADJ</v>
      </c>
      <c r="B5746" s="3" t="str">
        <f>HYPERLINK("https://www.773grp.com/manufacturer/national-semiconductor?pageNo=117", "National Semiconductor")</f>
        <v>National Semiconductor</v>
      </c>
      <c r="C5746" s="6">
        <v>7172</v>
      </c>
      <c r="D5746" s="7">
        <v>5.29</v>
      </c>
      <c r="E5746" t="s">
        <v>7</v>
      </c>
    </row>
    <row r="5747" spans="1:5" x14ac:dyDescent="0.25">
      <c r="A5747" t="str">
        <f>HYPERLINK("https://www.773grp.com/globalSearch/LM2670SX-ADJ-AULF/page-1", "LM2670SX-ADJ-AULF")</f>
        <v>LM2670SX-ADJ-AULF</v>
      </c>
      <c r="B5747" s="3" t="str">
        <f>HYPERLINK("https://www.773grp.com/manufacturer/national-semiconductor?pageNo=118", "National Semiconductor")</f>
        <v>National Semiconductor</v>
      </c>
      <c r="C5747" s="6">
        <v>3000</v>
      </c>
      <c r="D5747" s="7">
        <v>5.29</v>
      </c>
    </row>
    <row r="5748" spans="1:5" x14ac:dyDescent="0.25">
      <c r="A5748" t="str">
        <f>HYPERLINK("https://www.773grp.com/globalSearch/LM2670T-12/page-1", "LM2670T-12")</f>
        <v>LM2670T-12</v>
      </c>
      <c r="B5748" s="3" t="str">
        <f>HYPERLINK("https://www.773grp.com/manufacturer/national-semiconductor?pageNo=119", "National Semiconductor")</f>
        <v>National Semiconductor</v>
      </c>
      <c r="C5748" s="6">
        <v>180</v>
      </c>
      <c r="D5748" s="7">
        <v>5.29</v>
      </c>
      <c r="E5748" t="s">
        <v>7</v>
      </c>
    </row>
    <row r="5749" spans="1:5" x14ac:dyDescent="0.25">
      <c r="A5749" t="str">
        <f>HYPERLINK("https://www.773grp.com/globalSearch/LM2670T-5.0/page-1", "LM2670T-5.0")</f>
        <v>LM2670T-5.0</v>
      </c>
      <c r="B5749" s="3" t="str">
        <f>HYPERLINK("https://www.773grp.com/manufacturer/national-semiconductor?pageNo=120", "National Semiconductor")</f>
        <v>National Semiconductor</v>
      </c>
      <c r="C5749" s="6">
        <v>406</v>
      </c>
      <c r="D5749" s="7">
        <v>5.29</v>
      </c>
      <c r="E5749" t="s">
        <v>7</v>
      </c>
    </row>
    <row r="5750" spans="1:5" x14ac:dyDescent="0.25">
      <c r="A5750" t="str">
        <f>HYPERLINK("https://www.773grp.com/globalSearch/LM2673LD-12/page-1", "LM2673LD-12")</f>
        <v>LM2673LD-12</v>
      </c>
      <c r="B5750" s="3" t="str">
        <f>HYPERLINK("https://www.773grp.com/manufacturer/national-semiconductor?pageNo=121", "National Semiconductor")</f>
        <v>National Semiconductor</v>
      </c>
      <c r="C5750" s="6">
        <v>1750</v>
      </c>
      <c r="D5750" s="7">
        <v>5.29</v>
      </c>
      <c r="E5750" t="s">
        <v>7</v>
      </c>
    </row>
    <row r="5751" spans="1:5" x14ac:dyDescent="0.25">
      <c r="A5751" t="str">
        <f>HYPERLINK("https://www.773grp.com/globalSearch/LM2673LD3.3/page-1", "LM2673LD3.3")</f>
        <v>LM2673LD3.3</v>
      </c>
      <c r="B5751" s="3" t="str">
        <f>HYPERLINK("https://www.773grp.com/manufacturer/national-semiconductor?pageNo=122", "National Semiconductor")</f>
        <v>National Semiconductor</v>
      </c>
      <c r="C5751" s="6">
        <v>1000</v>
      </c>
      <c r="D5751" s="7">
        <v>5.29</v>
      </c>
    </row>
    <row r="5752" spans="1:5" x14ac:dyDescent="0.25">
      <c r="A5752" t="str">
        <f>HYPERLINK("https://www.773grp.com/globalSearch/LM2673LD-3.3/page-1", "LM2673LD-3.3")</f>
        <v>LM2673LD-3.3</v>
      </c>
      <c r="B5752" s="3" t="str">
        <f>HYPERLINK("https://www.773grp.com/manufacturer/national-semiconductor?pageNo=123", "National Semiconductor")</f>
        <v>National Semiconductor</v>
      </c>
      <c r="C5752" s="6">
        <v>10225</v>
      </c>
      <c r="D5752" s="7">
        <v>5.29</v>
      </c>
      <c r="E5752" t="s">
        <v>7</v>
      </c>
    </row>
    <row r="5753" spans="1:5" x14ac:dyDescent="0.25">
      <c r="A5753" t="str">
        <f>HYPERLINK("https://www.773grp.com/globalSearch/LM2673LD-5.0/page-1", "LM2673LD-5.0")</f>
        <v>LM2673LD-5.0</v>
      </c>
      <c r="B5753" s="3" t="str">
        <f>HYPERLINK("https://www.773grp.com/manufacturer/national-semiconductor?pageNo=124", "National Semiconductor")</f>
        <v>National Semiconductor</v>
      </c>
      <c r="C5753" s="6">
        <v>500</v>
      </c>
      <c r="D5753" s="7">
        <v>5.29</v>
      </c>
      <c r="E5753" t="s">
        <v>7</v>
      </c>
    </row>
    <row r="5754" spans="1:5" x14ac:dyDescent="0.25">
      <c r="A5754" t="str">
        <f>HYPERLINK("https://www.773grp.com/globalSearch/LM2673LD-ADJ/page-1", "LM2673LD-ADJ")</f>
        <v>LM2673LD-ADJ</v>
      </c>
      <c r="B5754" s="3" t="str">
        <f>HYPERLINK("https://www.773grp.com/manufacturer/national-semiconductor?pageNo=125", "National Semiconductor")</f>
        <v>National Semiconductor</v>
      </c>
      <c r="C5754" s="6">
        <v>3563</v>
      </c>
      <c r="D5754" s="7">
        <v>5.29</v>
      </c>
      <c r="E5754" t="s">
        <v>7</v>
      </c>
    </row>
    <row r="5755" spans="1:5" x14ac:dyDescent="0.25">
      <c r="A5755" t="str">
        <f>HYPERLINK("https://www.773grp.com/globalSearch/LM4953SD-NOPB/page-1", "LM4953SD-NOPB")</f>
        <v>LM4953SD-NOPB</v>
      </c>
      <c r="B5755" s="3" t="str">
        <f>HYPERLINK("https://www.773grp.com/manufacturer/national-semiconductor?pageNo=126", "National Semiconductor")</f>
        <v>National Semiconductor</v>
      </c>
      <c r="C5755" s="6">
        <v>981</v>
      </c>
      <c r="D5755" s="7">
        <v>5.29</v>
      </c>
    </row>
    <row r="5756" spans="1:5" x14ac:dyDescent="0.25">
      <c r="A5756" t="str">
        <f>HYPERLINK("https://www.773grp.com/globalSearch/LM4953SDX-NOPB/page-1", "LM4953SDX-NOPB")</f>
        <v>LM4953SDX-NOPB</v>
      </c>
      <c r="B5756" s="3" t="str">
        <f>HYPERLINK("https://www.773grp.com/manufacturer/national-semiconductor?pageNo=127", "National Semiconductor")</f>
        <v>National Semiconductor</v>
      </c>
      <c r="C5756" s="6">
        <v>4500</v>
      </c>
      <c r="D5756" s="7">
        <v>5.29</v>
      </c>
    </row>
    <row r="5757" spans="1:5" x14ac:dyDescent="0.25">
      <c r="A5757" t="str">
        <f>HYPERLINK("https://www.773grp.com/globalSearch/LM7372MRX-NOPB/page-1", "LM7372MRX-NOPB")</f>
        <v>LM7372MRX-NOPB</v>
      </c>
      <c r="B5757" s="3" t="str">
        <f>HYPERLINK("https://www.773grp.com/manufacturer/national-semiconductor?pageNo=128", "National Semiconductor")</f>
        <v>National Semiconductor</v>
      </c>
      <c r="C5757" s="6">
        <v>1040</v>
      </c>
      <c r="D5757" s="7">
        <v>5.29</v>
      </c>
      <c r="E5757" t="s">
        <v>13</v>
      </c>
    </row>
    <row r="5758" spans="1:5" x14ac:dyDescent="0.25">
      <c r="A5758" t="str">
        <f>HYPERLINK("https://www.773grp.com/globalSearch/LP2960AIM-3.3-NOPB/page-1", "LP2960AIM-3.3-NOPB")</f>
        <v>LP2960AIM-3.3-NOPB</v>
      </c>
      <c r="B5758" s="3" t="str">
        <f>HYPERLINK("https://www.773grp.com/manufacturer/national-semiconductor?pageNo=129", "National Semiconductor")</f>
        <v>National Semiconductor</v>
      </c>
      <c r="C5758" s="6">
        <v>78</v>
      </c>
      <c r="D5758" s="7">
        <v>5.29</v>
      </c>
      <c r="E5758" t="s">
        <v>27</v>
      </c>
    </row>
    <row r="5759" spans="1:5" x14ac:dyDescent="0.25">
      <c r="A5759" t="str">
        <f>HYPERLINK("https://www.773grp.com/globalSearch/LP2960AIM-5.0-NOPB/page-1", "LP2960AIM-5.0-NOPB")</f>
        <v>LP2960AIM-5.0-NOPB</v>
      </c>
      <c r="B5759" s="3" t="str">
        <f>HYPERLINK("https://www.773grp.com/manufacturer/national-semiconductor?pageNo=130", "National Semiconductor")</f>
        <v>National Semiconductor</v>
      </c>
      <c r="C5759" s="6">
        <v>959</v>
      </c>
      <c r="D5759" s="7">
        <v>5.29</v>
      </c>
      <c r="E5759" t="s">
        <v>27</v>
      </c>
    </row>
    <row r="5760" spans="1:5" x14ac:dyDescent="0.25">
      <c r="A5760" t="str">
        <f>HYPERLINK("https://www.773grp.com/globalSearch/LP3881ESX-1.2-J7002234/page-1", "LP3881ESX-1.2-J7002234")</f>
        <v>LP3881ESX-1.2-J7002234</v>
      </c>
      <c r="B5760" s="3" t="str">
        <f>HYPERLINK("https://www.773grp.com/manufacturer/national-semiconductor?pageNo=131", "National Semiconductor")</f>
        <v>National Semiconductor</v>
      </c>
      <c r="C5760" s="6">
        <v>2500</v>
      </c>
      <c r="D5760" s="7">
        <v>5.29</v>
      </c>
    </row>
    <row r="5761" spans="1:5" x14ac:dyDescent="0.25">
      <c r="A5761" t="str">
        <f>HYPERLINK("https://www.773grp.com/globalSearch/UA393ATC/page-1", "UA393ATC")</f>
        <v>UA393ATC</v>
      </c>
      <c r="B5761" s="3" t="str">
        <f>HYPERLINK("https://www.773grp.com/manufacturer/national-semiconductor?pageNo=132", "National Semiconductor")</f>
        <v>National Semiconductor</v>
      </c>
      <c r="C5761" s="6">
        <v>167</v>
      </c>
      <c r="D5761" s="7">
        <v>5.29</v>
      </c>
    </row>
    <row r="5762" spans="1:5" x14ac:dyDescent="0.25">
      <c r="A5762" t="str">
        <f>HYPERLINK("https://www.773grp.com/globalSearch/UA75451BRC/page-1", "UA75451BRC")</f>
        <v>UA75451BRC</v>
      </c>
      <c r="B5762" s="3" t="str">
        <f>HYPERLINK("https://www.773grp.com/manufacturer/national-semiconductor?pageNo=133", "National Semiconductor")</f>
        <v>National Semiconductor</v>
      </c>
      <c r="C5762" s="6">
        <v>1029</v>
      </c>
      <c r="D5762" s="7">
        <v>5.29</v>
      </c>
    </row>
    <row r="5763" spans="1:5" x14ac:dyDescent="0.25">
      <c r="A5763" t="str">
        <f>HYPERLINK("https://www.773grp.com/globalSearch/LM34927MR-NOPB/page-1", "LM34927MR-NOPB")</f>
        <v>LM34927MR-NOPB</v>
      </c>
      <c r="B5763" s="3" t="str">
        <f>HYPERLINK("https://www.773grp.com/manufacturer/national-semiconductor?pageNo=134", "National Semiconductor")</f>
        <v>National Semiconductor</v>
      </c>
      <c r="C5763" s="6">
        <v>225</v>
      </c>
      <c r="D5763" s="7">
        <v>5.29</v>
      </c>
    </row>
    <row r="5764" spans="1:5" x14ac:dyDescent="0.25">
      <c r="A5764" t="str">
        <f>HYPERLINK("https://www.773grp.com/globalSearch/LM5017MR-NOPB/page-1", "LM5017MR-NOPB")</f>
        <v>LM5017MR-NOPB</v>
      </c>
      <c r="B5764" s="3" t="str">
        <f>HYPERLINK("https://www.773grp.com/manufacturer/national-semiconductor?pageNo=1", "National Semiconductor")</f>
        <v>National Semiconductor</v>
      </c>
      <c r="C5764" s="6">
        <v>105</v>
      </c>
      <c r="D5764" s="7">
        <v>5.29</v>
      </c>
    </row>
    <row r="5765" spans="1:5" x14ac:dyDescent="0.25">
      <c r="A5765" t="str">
        <f>HYPERLINK("https://www.773grp.com/globalSearch/LM6142BIM-NOPB/page-1", "LM6142BIM-NOPB")</f>
        <v>LM6142BIM-NOPB</v>
      </c>
      <c r="B5765" s="3" t="str">
        <f>HYPERLINK("https://www.773grp.com/manufacturer/national-semiconductor?pageNo=2", "National Semiconductor")</f>
        <v>National Semiconductor</v>
      </c>
      <c r="C5765" s="6">
        <v>41124</v>
      </c>
      <c r="D5765" s="7">
        <v>5.29</v>
      </c>
      <c r="E5765" t="s">
        <v>13</v>
      </c>
    </row>
    <row r="5766" spans="1:5" x14ac:dyDescent="0.25">
      <c r="A5766" t="str">
        <f>HYPERLINK("https://www.773grp.com/globalSearch/LP2960AIM-3.3-NOPB/page-1", "LP2960AIM-3.3-NOPB")</f>
        <v>LP2960AIM-3.3-NOPB</v>
      </c>
      <c r="B5766" s="3" t="str">
        <f>HYPERLINK("https://www.773grp.com/manufacturer/national-semiconductor?pageNo=3", "National Semiconductor")</f>
        <v>National Semiconductor</v>
      </c>
      <c r="C5766" s="6">
        <v>14</v>
      </c>
      <c r="D5766" s="7">
        <v>5.29</v>
      </c>
      <c r="E5766" t="s">
        <v>27</v>
      </c>
    </row>
    <row r="5767" spans="1:5" x14ac:dyDescent="0.25">
      <c r="A5767" t="str">
        <f>HYPERLINK("https://www.773grp.com/globalSearch/LP2960AIM-5.0-NOPB/page-1", "LP2960AIM-5.0-NOPB")</f>
        <v>LP2960AIM-5.0-NOPB</v>
      </c>
      <c r="B5767" s="3" t="str">
        <f>HYPERLINK("https://www.773grp.com/manufacturer/national-semiconductor?pageNo=4", "National Semiconductor")</f>
        <v>National Semiconductor</v>
      </c>
      <c r="C5767" s="6">
        <v>307</v>
      </c>
      <c r="D5767" s="7">
        <v>5.29</v>
      </c>
      <c r="E5767" t="s">
        <v>27</v>
      </c>
    </row>
    <row r="5768" spans="1:5" x14ac:dyDescent="0.25">
      <c r="A5768" t="str">
        <f>HYPERLINK("https://www.773grp.com/globalSearch/54LS14FMQB/page-1", "54LS14FMQB")</f>
        <v>54LS14FMQB</v>
      </c>
      <c r="B5768" s="3" t="str">
        <f>HYPERLINK("https://www.773grp.com/manufacturer/national-semiconductor?pageNo=5", "National Semiconductor")</f>
        <v>National Semiconductor</v>
      </c>
      <c r="C5768" s="6">
        <v>1</v>
      </c>
      <c r="D5768" s="7">
        <v>5.31</v>
      </c>
      <c r="E5768" t="s">
        <v>31</v>
      </c>
    </row>
    <row r="5769" spans="1:5" x14ac:dyDescent="0.25">
      <c r="A5769" t="str">
        <f>HYPERLINK("https://www.773grp.com/globalSearch/DM54LS191J-883/page-1", "DM54LS191J-883")</f>
        <v>DM54LS191J-883</v>
      </c>
      <c r="B5769" s="3" t="str">
        <f>HYPERLINK("https://www.773grp.com/manufacturer/national-semiconductor?pageNo=6", "National Semiconductor")</f>
        <v>National Semiconductor</v>
      </c>
      <c r="C5769" s="6">
        <v>31</v>
      </c>
      <c r="D5769" s="7">
        <v>5.31</v>
      </c>
      <c r="E5769" t="s">
        <v>26</v>
      </c>
    </row>
    <row r="5770" spans="1:5" x14ac:dyDescent="0.25">
      <c r="A5770" t="str">
        <f>HYPERLINK("https://www.773grp.com/globalSearch/LM4802BLQ-NOPB/page-1", "LM4802BLQ-NOPB")</f>
        <v>LM4802BLQ-NOPB</v>
      </c>
      <c r="B5770" s="3" t="str">
        <f>HYPERLINK("https://www.773grp.com/manufacturer/national-semiconductor?pageNo=7", "National Semiconductor")</f>
        <v>National Semiconductor</v>
      </c>
      <c r="C5770" s="6">
        <v>3485</v>
      </c>
      <c r="D5770" s="7">
        <v>5.31</v>
      </c>
      <c r="E5770" t="s">
        <v>18</v>
      </c>
    </row>
    <row r="5771" spans="1:5" x14ac:dyDescent="0.25">
      <c r="A5771" t="str">
        <f>HYPERLINK("https://www.773grp.com/globalSearch/LM7171AIMX/page-1", "LM7171AIMX")</f>
        <v>LM7171AIMX</v>
      </c>
      <c r="B5771" s="3" t="str">
        <f>HYPERLINK("https://www.773grp.com/manufacturer/national-semiconductor?pageNo=8", "National Semiconductor")</f>
        <v>National Semiconductor</v>
      </c>
      <c r="C5771" s="6">
        <v>21498</v>
      </c>
      <c r="D5771" s="7">
        <v>5.31</v>
      </c>
      <c r="E5771" t="s">
        <v>13</v>
      </c>
    </row>
    <row r="5772" spans="1:5" x14ac:dyDescent="0.25">
      <c r="A5772" t="str">
        <f>HYPERLINK("https://www.773grp.com/globalSearch/LMC660EN/page-1", "LMC660EN")</f>
        <v>LMC660EN</v>
      </c>
      <c r="B5772" s="3" t="str">
        <f>HYPERLINK("https://www.773grp.com/manufacturer/national-semiconductor?pageNo=9", "National Semiconductor")</f>
        <v>National Semiconductor</v>
      </c>
      <c r="C5772" s="6">
        <v>1646</v>
      </c>
      <c r="D5772" s="7">
        <v>5.31</v>
      </c>
      <c r="E5772" t="s">
        <v>13</v>
      </c>
    </row>
    <row r="5773" spans="1:5" x14ac:dyDescent="0.25">
      <c r="A5773" t="str">
        <f>HYPERLINK("https://www.773grp.com/globalSearch/LP3936SLX/page-1", "LP3936SLX")</f>
        <v>LP3936SLX</v>
      </c>
      <c r="B5773" s="3" t="str">
        <f>HYPERLINK("https://www.773grp.com/manufacturer/national-semiconductor?pageNo=10", "National Semiconductor")</f>
        <v>National Semiconductor</v>
      </c>
      <c r="C5773" s="6">
        <v>7500</v>
      </c>
      <c r="D5773" s="7">
        <v>5.31</v>
      </c>
      <c r="E5773" t="s">
        <v>10</v>
      </c>
    </row>
    <row r="5774" spans="1:5" x14ac:dyDescent="0.25">
      <c r="A5774" t="str">
        <f>HYPERLINK("https://www.773grp.com/globalSearch/MSP430F123IDW/page-1", "MSP430F123IDW")</f>
        <v>MSP430F123IDW</v>
      </c>
      <c r="B5774" s="3" t="str">
        <f>HYPERLINK("https://www.773grp.com/manufacturer/national-semiconductor?pageNo=11", "National Semiconductor")</f>
        <v>National Semiconductor</v>
      </c>
      <c r="C5774" s="6">
        <v>80</v>
      </c>
      <c r="D5774" s="7">
        <v>5.31</v>
      </c>
    </row>
    <row r="5775" spans="1:5" x14ac:dyDescent="0.25">
      <c r="A5775" t="str">
        <f>HYPERLINK("https://www.773grp.com/globalSearch/74BCT2827CSCX/page-1", "74BCT2827CSCX")</f>
        <v>74BCT2827CSCX</v>
      </c>
      <c r="B5775" s="3" t="str">
        <f>HYPERLINK("https://www.773grp.com/manufacturer/national-semiconductor?pageNo=12", "National Semiconductor")</f>
        <v>National Semiconductor</v>
      </c>
      <c r="C5775" s="6">
        <v>931</v>
      </c>
      <c r="D5775" s="7">
        <v>5.35</v>
      </c>
    </row>
    <row r="5776" spans="1:5" x14ac:dyDescent="0.25">
      <c r="A5776" t="str">
        <f>HYPERLINK("https://www.773grp.com/globalSearch/74S181PC/page-1", "74S181PC")</f>
        <v>74S181PC</v>
      </c>
      <c r="B5776" s="3" t="str">
        <f>HYPERLINK("https://www.773grp.com/manufacturer/national-semiconductor?pageNo=13", "National Semiconductor")</f>
        <v>National Semiconductor</v>
      </c>
      <c r="C5776" s="6">
        <v>1482</v>
      </c>
      <c r="D5776" s="7">
        <v>5.35</v>
      </c>
    </row>
    <row r="5777" spans="1:5" x14ac:dyDescent="0.25">
      <c r="A5777" t="str">
        <f>HYPERLINK("https://www.773grp.com/globalSearch/CLC001AJE-TR13-NOPB/page-1", "CLC001AJE-TR13-NOPB")</f>
        <v>CLC001AJE-TR13-NOPB</v>
      </c>
      <c r="B5777" s="3" t="str">
        <f>HYPERLINK("https://www.773grp.com/manufacturer/national-semiconductor?pageNo=14", "National Semiconductor")</f>
        <v>National Semiconductor</v>
      </c>
      <c r="C5777" s="6">
        <v>3913</v>
      </c>
      <c r="D5777" s="7">
        <v>5.35</v>
      </c>
      <c r="E5777" t="s">
        <v>21</v>
      </c>
    </row>
    <row r="5778" spans="1:5" x14ac:dyDescent="0.25">
      <c r="A5778" t="str">
        <f>HYPERLINK("https://www.773grp.com/globalSearch/DS90C385AMTX-NOPB/page-1", "DS90C385AMTX-NOPB")</f>
        <v>DS90C385AMTX-NOPB</v>
      </c>
      <c r="B5778" s="3" t="str">
        <f>HYPERLINK("https://www.773grp.com/manufacturer/national-semiconductor?pageNo=15", "National Semiconductor")</f>
        <v>National Semiconductor</v>
      </c>
      <c r="C5778" s="6">
        <v>8996</v>
      </c>
      <c r="D5778" s="7">
        <v>5.35</v>
      </c>
      <c r="E5778" t="s">
        <v>21</v>
      </c>
    </row>
    <row r="5779" spans="1:5" x14ac:dyDescent="0.25">
      <c r="A5779" t="str">
        <f>HYPERLINK("https://www.773grp.com/globalSearch/GAL20V8QS-25QNC/page-1", "GAL20V8QS-25QNC")</f>
        <v>GAL20V8QS-25QNC</v>
      </c>
      <c r="B5779" s="3" t="str">
        <f>HYPERLINK("https://www.773grp.com/manufacturer/national-semiconductor?pageNo=16", "National Semiconductor")</f>
        <v>National Semiconductor</v>
      </c>
      <c r="C5779" s="6">
        <v>10418</v>
      </c>
      <c r="D5779" s="7">
        <v>5.35</v>
      </c>
      <c r="E5779" t="s">
        <v>51</v>
      </c>
    </row>
    <row r="5780" spans="1:5" x14ac:dyDescent="0.25">
      <c r="A5780" t="str">
        <f>HYPERLINK("https://www.773grp.com/globalSearch/LF412ACN-NOPB/page-1", "LF412ACN-NOPB")</f>
        <v>LF412ACN-NOPB</v>
      </c>
      <c r="B5780" s="3" t="str">
        <f>HYPERLINK("https://www.773grp.com/manufacturer/national-semiconductor?pageNo=17", "National Semiconductor")</f>
        <v>National Semiconductor</v>
      </c>
      <c r="C5780" s="6">
        <v>4033</v>
      </c>
      <c r="D5780" s="7">
        <v>5.35</v>
      </c>
      <c r="E5780" t="s">
        <v>13</v>
      </c>
    </row>
    <row r="5781" spans="1:5" x14ac:dyDescent="0.25">
      <c r="A5781" t="str">
        <f>HYPERLINK("https://www.773grp.com/globalSearch/LM20136MHE-NOPB/page-1", "LM20136MHE-NOPB")</f>
        <v>LM20136MHE-NOPB</v>
      </c>
      <c r="B5781" s="3" t="str">
        <f>HYPERLINK("https://www.773grp.com/manufacturer/national-semiconductor?pageNo=18", "National Semiconductor")</f>
        <v>National Semiconductor</v>
      </c>
      <c r="C5781" s="6">
        <v>250</v>
      </c>
      <c r="D5781" s="7">
        <v>5.35</v>
      </c>
    </row>
    <row r="5782" spans="1:5" x14ac:dyDescent="0.25">
      <c r="A5782" t="str">
        <f>HYPERLINK("https://www.773grp.com/globalSearch/LM2597HVN-12-NOPB/page-1", "LM2597HVN-12-NOPB")</f>
        <v>LM2597HVN-12-NOPB</v>
      </c>
      <c r="B5782" s="3" t="str">
        <f>HYPERLINK("https://www.773grp.com/manufacturer/national-semiconductor?pageNo=19", "National Semiconductor")</f>
        <v>National Semiconductor</v>
      </c>
      <c r="C5782" s="6">
        <v>720</v>
      </c>
      <c r="D5782" s="7">
        <v>5.35</v>
      </c>
      <c r="E5782" t="s">
        <v>7</v>
      </c>
    </row>
    <row r="5783" spans="1:5" x14ac:dyDescent="0.25">
      <c r="A5783" t="str">
        <f>HYPERLINK("https://www.773grp.com/globalSearch/LM2597HVN-5.0/page-1", "LM2597HVN-5.0")</f>
        <v>LM2597HVN-5.0</v>
      </c>
      <c r="B5783" s="3" t="str">
        <f>HYPERLINK("https://www.773grp.com/manufacturer/national-semiconductor?pageNo=20", "National Semiconductor")</f>
        <v>National Semiconductor</v>
      </c>
      <c r="C5783" s="6">
        <v>160</v>
      </c>
      <c r="D5783" s="7">
        <v>5.35</v>
      </c>
      <c r="E5783" t="s">
        <v>7</v>
      </c>
    </row>
    <row r="5784" spans="1:5" x14ac:dyDescent="0.25">
      <c r="A5784" t="str">
        <f>HYPERLINK("https://www.773grp.com/globalSearch/LM2597HVN-5.0-NOPB/page-1", "LM2597HVN-5.0-NOPB")</f>
        <v>LM2597HVN-5.0-NOPB</v>
      </c>
      <c r="B5784" s="3" t="str">
        <f>HYPERLINK("https://www.773grp.com/manufacturer/national-semiconductor?pageNo=21", "National Semiconductor")</f>
        <v>National Semiconductor</v>
      </c>
      <c r="C5784" s="6">
        <v>60</v>
      </c>
      <c r="D5784" s="7">
        <v>5.35</v>
      </c>
      <c r="E5784" t="s">
        <v>7</v>
      </c>
    </row>
    <row r="5785" spans="1:5" x14ac:dyDescent="0.25">
      <c r="A5785" t="str">
        <f>HYPERLINK("https://www.773grp.com/globalSearch/LM2597HVN-ADJ/page-1", "LM2597HVN-ADJ")</f>
        <v>LM2597HVN-ADJ</v>
      </c>
      <c r="B5785" s="3" t="str">
        <f>HYPERLINK("https://www.773grp.com/manufacturer/national-semiconductor?pageNo=22", "National Semiconductor")</f>
        <v>National Semiconductor</v>
      </c>
      <c r="C5785" s="6">
        <v>280</v>
      </c>
      <c r="D5785" s="7">
        <v>5.35</v>
      </c>
      <c r="E5785" t="s">
        <v>7</v>
      </c>
    </row>
    <row r="5786" spans="1:5" x14ac:dyDescent="0.25">
      <c r="A5786" t="str">
        <f>HYPERLINK("https://www.773grp.com/globalSearch/LM2597HVN-ADJ-NOPB/page-1", "LM2597HVN-ADJ-NOPB")</f>
        <v>LM2597HVN-ADJ-NOPB</v>
      </c>
      <c r="B5786" s="3" t="str">
        <f>HYPERLINK("https://www.773grp.com/manufacturer/national-semiconductor?pageNo=23", "National Semiconductor")</f>
        <v>National Semiconductor</v>
      </c>
      <c r="C5786" s="6">
        <v>15</v>
      </c>
      <c r="D5786" s="7">
        <v>5.35</v>
      </c>
      <c r="E5786" t="s">
        <v>7</v>
      </c>
    </row>
    <row r="5787" spans="1:5" x14ac:dyDescent="0.25">
      <c r="A5787" t="str">
        <f>HYPERLINK("https://www.773grp.com/globalSearch/LM3434SQ-NOPB/page-1", "LM3434SQ-NOPB")</f>
        <v>LM3434SQ-NOPB</v>
      </c>
      <c r="B5787" s="3" t="str">
        <f>HYPERLINK("https://www.773grp.com/manufacturer/national-semiconductor?pageNo=24", "National Semiconductor")</f>
        <v>National Semiconductor</v>
      </c>
      <c r="C5787" s="6">
        <v>7000</v>
      </c>
      <c r="D5787" s="7">
        <v>5.35</v>
      </c>
      <c r="E5787" t="s">
        <v>10</v>
      </c>
    </row>
    <row r="5788" spans="1:5" x14ac:dyDescent="0.25">
      <c r="A5788" t="str">
        <f>HYPERLINK("https://www.773grp.com/globalSearch/LM4030AMF-4.096/page-1", "LM4030AMF-4.096")</f>
        <v>LM4030AMF-4.096</v>
      </c>
      <c r="B5788" s="3" t="str">
        <f>HYPERLINK("https://www.773grp.com/manufacturer/national-semiconductor?pageNo=25", "National Semiconductor")</f>
        <v>National Semiconductor</v>
      </c>
      <c r="C5788" s="6">
        <v>1000</v>
      </c>
      <c r="D5788" s="7">
        <v>5.35</v>
      </c>
      <c r="E5788" t="s">
        <v>17</v>
      </c>
    </row>
    <row r="5789" spans="1:5" x14ac:dyDescent="0.25">
      <c r="A5789" t="str">
        <f>HYPERLINK("https://www.773grp.com/globalSearch/LM4766T/page-1", "LM4766T")</f>
        <v>LM4766T</v>
      </c>
      <c r="B5789" s="3" t="str">
        <f>HYPERLINK("https://www.773grp.com/manufacturer/national-semiconductor?pageNo=26", "National Semiconductor")</f>
        <v>National Semiconductor</v>
      </c>
      <c r="C5789" s="6">
        <v>398</v>
      </c>
      <c r="D5789" s="7">
        <v>5.35</v>
      </c>
      <c r="E5789" t="s">
        <v>18</v>
      </c>
    </row>
    <row r="5790" spans="1:5" x14ac:dyDescent="0.25">
      <c r="A5790" t="str">
        <f>HYPERLINK("https://www.773grp.com/globalSearch/LM4838ITLX/page-1", "LM4838ITLX")</f>
        <v>LM4838ITLX</v>
      </c>
      <c r="B5790" s="3" t="str">
        <f>HYPERLINK("https://www.773grp.com/manufacturer/national-semiconductor?pageNo=27", "National Semiconductor")</f>
        <v>National Semiconductor</v>
      </c>
      <c r="C5790" s="6">
        <v>1000</v>
      </c>
      <c r="D5790" s="7">
        <v>5.35</v>
      </c>
      <c r="E5790" t="s">
        <v>41</v>
      </c>
    </row>
    <row r="5791" spans="1:5" x14ac:dyDescent="0.25">
      <c r="A5791" t="str">
        <f>HYPERLINK("https://www.773grp.com/globalSearch/LM4845ITL/page-1", "LM4845ITL")</f>
        <v>LM4845ITL</v>
      </c>
      <c r="B5791" s="3" t="str">
        <f>HYPERLINK("https://www.773grp.com/manufacturer/national-semiconductor?pageNo=28", "National Semiconductor")</f>
        <v>National Semiconductor</v>
      </c>
      <c r="C5791" s="6">
        <v>250</v>
      </c>
      <c r="D5791" s="7">
        <v>5.35</v>
      </c>
      <c r="E5791" t="s">
        <v>18</v>
      </c>
    </row>
    <row r="5792" spans="1:5" x14ac:dyDescent="0.25">
      <c r="A5792" t="str">
        <f>HYPERLINK("https://www.773grp.com/globalSearch/LM4846TL-NOPB/page-1", "LM4846TL-NOPB")</f>
        <v>LM4846TL-NOPB</v>
      </c>
      <c r="B5792" s="3" t="str">
        <f>HYPERLINK("https://www.773grp.com/manufacturer/national-semiconductor?pageNo=29", "National Semiconductor")</f>
        <v>National Semiconductor</v>
      </c>
      <c r="C5792" s="6">
        <v>500</v>
      </c>
      <c r="D5792" s="7">
        <v>5.35</v>
      </c>
    </row>
    <row r="5793" spans="1:5" x14ac:dyDescent="0.25">
      <c r="A5793" t="str">
        <f>HYPERLINK("https://www.773grp.com/globalSearch/LM5010AQ0MHX-NOPB/page-1", "LM5010AQ0MHX-NOPB")</f>
        <v>LM5010AQ0MHX-NOPB</v>
      </c>
      <c r="B5793" s="3" t="str">
        <f>HYPERLINK("https://www.773grp.com/manufacturer/national-semiconductor?pageNo=30", "National Semiconductor")</f>
        <v>National Semiconductor</v>
      </c>
      <c r="C5793" s="6">
        <v>2500</v>
      </c>
      <c r="D5793" s="7">
        <v>5.35</v>
      </c>
    </row>
    <row r="5794" spans="1:5" x14ac:dyDescent="0.25">
      <c r="A5794" t="str">
        <f>HYPERLINK("https://www.773grp.com/globalSearch/LM6172IM-NOPB/page-1", "LM6172IM-NOPB")</f>
        <v>LM6172IM-NOPB</v>
      </c>
      <c r="B5794" s="3" t="str">
        <f>HYPERLINK("https://www.773grp.com/manufacturer/national-semiconductor?pageNo=31", "National Semiconductor")</f>
        <v>National Semiconductor</v>
      </c>
      <c r="C5794" s="6">
        <v>767</v>
      </c>
      <c r="D5794" s="7">
        <v>5.35</v>
      </c>
      <c r="E5794" t="s">
        <v>18</v>
      </c>
    </row>
    <row r="5795" spans="1:5" x14ac:dyDescent="0.25">
      <c r="A5795" t="str">
        <f>HYPERLINK("https://www.773grp.com/globalSearch/LM6172IN/page-1", "LM6172IN")</f>
        <v>LM6172IN</v>
      </c>
      <c r="B5795" s="3" t="str">
        <f>HYPERLINK("https://www.773grp.com/manufacturer/national-semiconductor?pageNo=32", "National Semiconductor")</f>
        <v>National Semiconductor</v>
      </c>
      <c r="C5795" s="6">
        <v>210</v>
      </c>
      <c r="D5795" s="7">
        <v>5.35</v>
      </c>
      <c r="E5795" t="s">
        <v>18</v>
      </c>
    </row>
    <row r="5796" spans="1:5" x14ac:dyDescent="0.25">
      <c r="A5796" t="str">
        <f>HYPERLINK("https://www.773grp.com/globalSearch/LMV844MAX-NOPB/page-1", "LMV844MAX-NOPB")</f>
        <v>LMV844MAX-NOPB</v>
      </c>
      <c r="B5796" s="3" t="str">
        <f>HYPERLINK("https://www.773grp.com/manufacturer/national-semiconductor?pageNo=33", "National Semiconductor")</f>
        <v>National Semiconductor</v>
      </c>
      <c r="C5796" s="6">
        <v>19142</v>
      </c>
      <c r="D5796" s="7">
        <v>5.35</v>
      </c>
    </row>
    <row r="5797" spans="1:5" x14ac:dyDescent="0.25">
      <c r="A5797" t="str">
        <f>HYPERLINK("https://www.773grp.com/globalSearch/LMV844MTX-NOPB/page-1", "LMV844MTX-NOPB")</f>
        <v>LMV844MTX-NOPB</v>
      </c>
      <c r="B5797" s="3" t="str">
        <f>HYPERLINK("https://www.773grp.com/manufacturer/national-semiconductor?pageNo=34", "National Semiconductor")</f>
        <v>National Semiconductor</v>
      </c>
      <c r="C5797" s="6">
        <v>2500</v>
      </c>
      <c r="D5797" s="7">
        <v>5.35</v>
      </c>
    </row>
    <row r="5798" spans="1:5" x14ac:dyDescent="0.25">
      <c r="A5798" t="str">
        <f>HYPERLINK("https://www.773grp.com/globalSearch/LP3856ES-2.5/page-1", "LP3856ES-2.5")</f>
        <v>LP3856ES-2.5</v>
      </c>
      <c r="B5798" s="3" t="str">
        <f>HYPERLINK("https://www.773grp.com/manufacturer/national-semiconductor?pageNo=35", "National Semiconductor")</f>
        <v>National Semiconductor</v>
      </c>
      <c r="C5798" s="6">
        <v>108</v>
      </c>
      <c r="D5798" s="7">
        <v>5.35</v>
      </c>
      <c r="E5798" t="s">
        <v>19</v>
      </c>
    </row>
    <row r="5799" spans="1:5" x14ac:dyDescent="0.25">
      <c r="A5799" t="str">
        <f>HYPERLINK("https://www.773grp.com/globalSearch/LP3856ESX-2.5/page-1", "LP3856ESX-2.5")</f>
        <v>LP3856ESX-2.5</v>
      </c>
      <c r="B5799" s="3" t="str">
        <f>HYPERLINK("https://www.773grp.com/manufacturer/national-semiconductor?pageNo=36", "National Semiconductor")</f>
        <v>National Semiconductor</v>
      </c>
      <c r="C5799" s="6">
        <v>500</v>
      </c>
      <c r="D5799" s="7">
        <v>5.35</v>
      </c>
      <c r="E5799" t="s">
        <v>19</v>
      </c>
    </row>
    <row r="5800" spans="1:5" x14ac:dyDescent="0.25">
      <c r="A5800" t="str">
        <f>HYPERLINK("https://www.773grp.com/globalSearch/LP3856ESX-2.5-NOPB/page-1", "LP3856ESX-2.5-NOPB")</f>
        <v>LP3856ESX-2.5-NOPB</v>
      </c>
      <c r="B5800" s="3" t="str">
        <f>HYPERLINK("https://www.773grp.com/manufacturer/national-semiconductor?pageNo=37", "National Semiconductor")</f>
        <v>National Semiconductor</v>
      </c>
      <c r="C5800" s="6">
        <v>500</v>
      </c>
      <c r="D5800" s="7">
        <v>5.35</v>
      </c>
      <c r="E5800" t="s">
        <v>19</v>
      </c>
    </row>
    <row r="5801" spans="1:5" x14ac:dyDescent="0.25">
      <c r="A5801" t="str">
        <f>HYPERLINK("https://www.773grp.com/globalSearch/LP3856ET-1.8-NOPB/page-1", "LP3856ET-1.8-NOPB")</f>
        <v>LP3856ET-1.8-NOPB</v>
      </c>
      <c r="B5801" s="3" t="str">
        <f>HYPERLINK("https://www.773grp.com/manufacturer/national-semiconductor?pageNo=38", "National Semiconductor")</f>
        <v>National Semiconductor</v>
      </c>
      <c r="C5801" s="6">
        <v>60</v>
      </c>
      <c r="D5801" s="7">
        <v>5.35</v>
      </c>
      <c r="E5801" t="s">
        <v>19</v>
      </c>
    </row>
    <row r="5802" spans="1:5" x14ac:dyDescent="0.25">
      <c r="A5802" t="str">
        <f>HYPERLINK("https://www.773grp.com/globalSearch/LP3856ET-2.5-NOPB/page-1", "LP3856ET-2.5-NOPB")</f>
        <v>LP3856ET-2.5-NOPB</v>
      </c>
      <c r="B5802" s="3" t="str">
        <f>HYPERLINK("https://www.773grp.com/manufacturer/national-semiconductor?pageNo=39", "National Semiconductor")</f>
        <v>National Semiconductor</v>
      </c>
      <c r="C5802" s="6">
        <v>551</v>
      </c>
      <c r="D5802" s="7">
        <v>5.35</v>
      </c>
      <c r="E5802" t="s">
        <v>19</v>
      </c>
    </row>
    <row r="5803" spans="1:5" x14ac:dyDescent="0.25">
      <c r="A5803" t="str">
        <f>HYPERLINK("https://www.773grp.com/globalSearch/LP3856ET-3.3-NOPB/page-1", "LP3856ET-3.3-NOPB")</f>
        <v>LP3856ET-3.3-NOPB</v>
      </c>
      <c r="B5803" s="3" t="str">
        <f>HYPERLINK("https://www.773grp.com/manufacturer/national-semiconductor?pageNo=40", "National Semiconductor")</f>
        <v>National Semiconductor</v>
      </c>
      <c r="C5803" s="6">
        <v>591</v>
      </c>
      <c r="D5803" s="7">
        <v>5.35</v>
      </c>
      <c r="E5803" t="s">
        <v>19</v>
      </c>
    </row>
    <row r="5804" spans="1:5" x14ac:dyDescent="0.25">
      <c r="A5804" t="str">
        <f>HYPERLINK("https://www.773grp.com/globalSearch/LP3856ET-5.0-NOPB/page-1", "LP3856ET-5.0-NOPB")</f>
        <v>LP3856ET-5.0-NOPB</v>
      </c>
      <c r="B5804" s="3" t="str">
        <f>HYPERLINK("https://www.773grp.com/manufacturer/national-semiconductor?pageNo=41", "National Semiconductor")</f>
        <v>National Semiconductor</v>
      </c>
      <c r="C5804" s="6">
        <v>40</v>
      </c>
      <c r="D5804" s="7">
        <v>5.35</v>
      </c>
      <c r="E5804" t="s">
        <v>19</v>
      </c>
    </row>
    <row r="5805" spans="1:5" x14ac:dyDescent="0.25">
      <c r="A5805" t="str">
        <f>HYPERLINK("https://www.773grp.com/globalSearch/LP3964ES-2.5/page-1", "LP3964ES-2.5")</f>
        <v>LP3964ES-2.5</v>
      </c>
      <c r="B5805" s="3" t="str">
        <f>HYPERLINK("https://www.773grp.com/manufacturer/national-semiconductor?pageNo=42", "National Semiconductor")</f>
        <v>National Semiconductor</v>
      </c>
      <c r="C5805" s="6">
        <v>228</v>
      </c>
      <c r="D5805" s="7">
        <v>5.35</v>
      </c>
      <c r="E5805" t="s">
        <v>19</v>
      </c>
    </row>
    <row r="5806" spans="1:5" x14ac:dyDescent="0.25">
      <c r="A5806" t="str">
        <f>HYPERLINK("https://www.773grp.com/globalSearch/LP3964ES-ADJ/page-1", "LP3964ES-ADJ")</f>
        <v>LP3964ES-ADJ</v>
      </c>
      <c r="B5806" s="3" t="str">
        <f>HYPERLINK("https://www.773grp.com/manufacturer/national-semiconductor?pageNo=43", "National Semiconductor")</f>
        <v>National Semiconductor</v>
      </c>
      <c r="C5806" s="6">
        <v>1175</v>
      </c>
      <c r="D5806" s="7">
        <v>5.35</v>
      </c>
      <c r="E5806" t="s">
        <v>25</v>
      </c>
    </row>
    <row r="5807" spans="1:5" x14ac:dyDescent="0.25">
      <c r="A5807" t="str">
        <f>HYPERLINK("https://www.773grp.com/globalSearch/LP5520TL-NOPB/page-1", "LP5520TL-NOPB")</f>
        <v>LP5520TL-NOPB</v>
      </c>
      <c r="B5807" s="3" t="str">
        <f>HYPERLINK("https://www.773grp.com/manufacturer/national-semiconductor?pageNo=44", "National Semiconductor")</f>
        <v>National Semiconductor</v>
      </c>
      <c r="C5807" s="6">
        <v>9827</v>
      </c>
      <c r="D5807" s="7">
        <v>5.35</v>
      </c>
    </row>
    <row r="5808" spans="1:5" x14ac:dyDescent="0.25">
      <c r="A5808" t="str">
        <f>HYPERLINK("https://www.773grp.com/globalSearch/LF412ACN-NOPB/page-1", "LF412ACN-NOPB")</f>
        <v>LF412ACN-NOPB</v>
      </c>
      <c r="B5808" s="3" t="str">
        <f>HYPERLINK("https://www.773grp.com/manufacturer/national-semiconductor?pageNo=45", "National Semiconductor")</f>
        <v>National Semiconductor</v>
      </c>
      <c r="C5808" s="6">
        <v>347</v>
      </c>
      <c r="D5808" s="7">
        <v>5.35</v>
      </c>
      <c r="E5808" t="s">
        <v>13</v>
      </c>
    </row>
    <row r="5809" spans="1:5" x14ac:dyDescent="0.25">
      <c r="A5809" t="str">
        <f>HYPERLINK("https://www.773grp.com/globalSearch/LM2597HVMX-5.0-NOPB/page-1", "LM2597HVMX-5.0-NOPB")</f>
        <v>LM2597HVMX-5.0-NOPB</v>
      </c>
      <c r="B5809" s="3" t="str">
        <f>HYPERLINK("https://www.773grp.com/manufacturer/national-semiconductor?pageNo=46", "National Semiconductor")</f>
        <v>National Semiconductor</v>
      </c>
      <c r="C5809" s="6">
        <v>5000</v>
      </c>
      <c r="D5809" s="7">
        <v>5.35</v>
      </c>
    </row>
    <row r="5810" spans="1:5" x14ac:dyDescent="0.25">
      <c r="A5810" t="str">
        <f>HYPERLINK("https://www.773grp.com/globalSearch/LM2597HVN-12-NOPB/page-1", "LM2597HVN-12-NOPB")</f>
        <v>LM2597HVN-12-NOPB</v>
      </c>
      <c r="B5810" s="3" t="str">
        <f>HYPERLINK("https://www.773grp.com/manufacturer/national-semiconductor?pageNo=47", "National Semiconductor")</f>
        <v>National Semiconductor</v>
      </c>
      <c r="C5810" s="6">
        <v>454</v>
      </c>
      <c r="D5810" s="7">
        <v>5.35</v>
      </c>
      <c r="E5810" t="s">
        <v>7</v>
      </c>
    </row>
    <row r="5811" spans="1:5" x14ac:dyDescent="0.25">
      <c r="A5811" t="str">
        <f>HYPERLINK("https://www.773grp.com/globalSearch/LM2597HVN-3.3-NOPB/page-1", "LM2597HVN-3.3-NOPB")</f>
        <v>LM2597HVN-3.3-NOPB</v>
      </c>
      <c r="B5811" s="3" t="str">
        <f>HYPERLINK("https://www.773grp.com/manufacturer/national-semiconductor?pageNo=48", "National Semiconductor")</f>
        <v>National Semiconductor</v>
      </c>
      <c r="C5811" s="6">
        <v>250</v>
      </c>
      <c r="D5811" s="7">
        <v>5.35</v>
      </c>
    </row>
    <row r="5812" spans="1:5" x14ac:dyDescent="0.25">
      <c r="A5812" t="str">
        <f>HYPERLINK("https://www.773grp.com/globalSearch/LM2597HVN-5.0-NOPB/page-1", "LM2597HVN-5.0-NOPB")</f>
        <v>LM2597HVN-5.0-NOPB</v>
      </c>
      <c r="B5812" s="3" t="str">
        <f>HYPERLINK("https://www.773grp.com/manufacturer/national-semiconductor?pageNo=49", "National Semiconductor")</f>
        <v>National Semiconductor</v>
      </c>
      <c r="C5812" s="6">
        <v>134</v>
      </c>
      <c r="D5812" s="7">
        <v>5.35</v>
      </c>
      <c r="E5812" t="s">
        <v>7</v>
      </c>
    </row>
    <row r="5813" spans="1:5" x14ac:dyDescent="0.25">
      <c r="A5813" t="str">
        <f>HYPERLINK("https://www.773grp.com/globalSearch/LM2597HVN-ADJ-NOPB/page-1", "LM2597HVN-ADJ-NOPB")</f>
        <v>LM2597HVN-ADJ-NOPB</v>
      </c>
      <c r="B5813" s="3" t="str">
        <f>HYPERLINK("https://www.773grp.com/manufacturer/national-semiconductor?pageNo=50", "National Semiconductor")</f>
        <v>National Semiconductor</v>
      </c>
      <c r="C5813" s="6">
        <v>490</v>
      </c>
      <c r="D5813" s="7">
        <v>5.35</v>
      </c>
      <c r="E5813" t="s">
        <v>7</v>
      </c>
    </row>
    <row r="5814" spans="1:5" x14ac:dyDescent="0.25">
      <c r="A5814" t="str">
        <f>HYPERLINK("https://www.773grp.com/globalSearch/LM3434SQ-NOPB/page-1", "LM3434SQ-NOPB")</f>
        <v>LM3434SQ-NOPB</v>
      </c>
      <c r="B5814" s="3" t="str">
        <f>HYPERLINK("https://www.773grp.com/manufacturer/national-semiconductor?pageNo=51", "National Semiconductor")</f>
        <v>National Semiconductor</v>
      </c>
      <c r="C5814" s="6">
        <v>2000</v>
      </c>
      <c r="D5814" s="7">
        <v>5.35</v>
      </c>
      <c r="E5814" t="s">
        <v>10</v>
      </c>
    </row>
    <row r="5815" spans="1:5" x14ac:dyDescent="0.25">
      <c r="A5815" t="str">
        <f>HYPERLINK("https://www.773grp.com/globalSearch/LM4845ITL-NOPB/page-1", "LM4845ITL-NOPB")</f>
        <v>LM4845ITL-NOPB</v>
      </c>
      <c r="B5815" s="3" t="str">
        <f>HYPERLINK("https://www.773grp.com/manufacturer/national-semiconductor?pageNo=52", "National Semiconductor")</f>
        <v>National Semiconductor</v>
      </c>
      <c r="C5815" s="6">
        <v>3250</v>
      </c>
      <c r="D5815" s="7">
        <v>5.35</v>
      </c>
    </row>
    <row r="5816" spans="1:5" x14ac:dyDescent="0.25">
      <c r="A5816" t="str">
        <f>HYPERLINK("https://www.773grp.com/globalSearch/LM4846TL-NOPB/page-1", "LM4846TL-NOPB")</f>
        <v>LM4846TL-NOPB</v>
      </c>
      <c r="B5816" s="3" t="str">
        <f>HYPERLINK("https://www.773grp.com/manufacturer/national-semiconductor?pageNo=53", "National Semiconductor")</f>
        <v>National Semiconductor</v>
      </c>
      <c r="C5816" s="6">
        <v>1750</v>
      </c>
      <c r="D5816" s="7">
        <v>5.35</v>
      </c>
    </row>
    <row r="5817" spans="1:5" x14ac:dyDescent="0.25">
      <c r="A5817" t="str">
        <f>HYPERLINK("https://www.773grp.com/globalSearch/LM6172IM-NOPB/page-1", "LM6172IM-NOPB")</f>
        <v>LM6172IM-NOPB</v>
      </c>
      <c r="B5817" s="3" t="str">
        <f>HYPERLINK("https://www.773grp.com/manufacturer/national-semiconductor?pageNo=54", "National Semiconductor")</f>
        <v>National Semiconductor</v>
      </c>
      <c r="C5817" s="6">
        <v>204</v>
      </c>
      <c r="D5817" s="7">
        <v>5.35</v>
      </c>
      <c r="E5817" t="s">
        <v>18</v>
      </c>
    </row>
    <row r="5818" spans="1:5" x14ac:dyDescent="0.25">
      <c r="A5818" t="str">
        <f>HYPERLINK("https://www.773grp.com/globalSearch/LM6172IN/page-1", "LM6172IN")</f>
        <v>LM6172IN</v>
      </c>
      <c r="B5818" s="3" t="str">
        <f>HYPERLINK("https://www.773grp.com/manufacturer/national-semiconductor?pageNo=55", "National Semiconductor")</f>
        <v>National Semiconductor</v>
      </c>
      <c r="C5818" s="6">
        <v>1469</v>
      </c>
      <c r="D5818" s="7">
        <v>5.35</v>
      </c>
      <c r="E5818" t="s">
        <v>18</v>
      </c>
    </row>
    <row r="5819" spans="1:5" x14ac:dyDescent="0.25">
      <c r="A5819" t="str">
        <f>HYPERLINK("https://www.773grp.com/globalSearch/LP3856ET-2.5-NOPB/page-1", "LP3856ET-2.5-NOPB")</f>
        <v>LP3856ET-2.5-NOPB</v>
      </c>
      <c r="B5819" s="3" t="str">
        <f>HYPERLINK("https://www.773grp.com/manufacturer/national-semiconductor?pageNo=56", "National Semiconductor")</f>
        <v>National Semiconductor</v>
      </c>
      <c r="C5819" s="6">
        <v>270</v>
      </c>
      <c r="D5819" s="7">
        <v>5.35</v>
      </c>
      <c r="E5819" t="s">
        <v>19</v>
      </c>
    </row>
    <row r="5820" spans="1:5" x14ac:dyDescent="0.25">
      <c r="A5820" t="str">
        <f>HYPERLINK("https://www.773grp.com/globalSearch/LP3856ET-3.3-NOPB/page-1", "LP3856ET-3.3-NOPB")</f>
        <v>LP3856ET-3.3-NOPB</v>
      </c>
      <c r="B5820" s="3" t="str">
        <f>HYPERLINK("https://www.773grp.com/manufacturer/national-semiconductor?pageNo=57", "National Semiconductor")</f>
        <v>National Semiconductor</v>
      </c>
      <c r="C5820" s="6">
        <v>789</v>
      </c>
      <c r="D5820" s="7">
        <v>5.35</v>
      </c>
      <c r="E5820" t="s">
        <v>19</v>
      </c>
    </row>
    <row r="5821" spans="1:5" x14ac:dyDescent="0.25">
      <c r="A5821" t="str">
        <f>HYPERLINK("https://www.773grp.com/globalSearch/LP3856ET-5.0-NOPB/page-1", "LP3856ET-5.0-NOPB")</f>
        <v>LP3856ET-5.0-NOPB</v>
      </c>
      <c r="B5821" s="3" t="str">
        <f>HYPERLINK("https://www.773grp.com/manufacturer/national-semiconductor?pageNo=58", "National Semiconductor")</f>
        <v>National Semiconductor</v>
      </c>
      <c r="C5821" s="6">
        <v>83</v>
      </c>
      <c r="D5821" s="7">
        <v>5.35</v>
      </c>
      <c r="E5821" t="s">
        <v>19</v>
      </c>
    </row>
    <row r="5822" spans="1:5" x14ac:dyDescent="0.25">
      <c r="A5822" t="str">
        <f>HYPERLINK("https://www.773grp.com/globalSearch/LP3964ES-2.5/page-1", "LP3964ES-2.5")</f>
        <v>LP3964ES-2.5</v>
      </c>
      <c r="B5822" s="3" t="str">
        <f>HYPERLINK("https://www.773grp.com/manufacturer/national-semiconductor?pageNo=59", "National Semiconductor")</f>
        <v>National Semiconductor</v>
      </c>
      <c r="C5822" s="6">
        <v>158</v>
      </c>
      <c r="D5822" s="7">
        <v>5.35</v>
      </c>
      <c r="E5822" t="s">
        <v>19</v>
      </c>
    </row>
    <row r="5823" spans="1:5" x14ac:dyDescent="0.25">
      <c r="A5823" t="str">
        <f>HYPERLINK("https://www.773grp.com/globalSearch/LP3964ES-ADJ/page-1", "LP3964ES-ADJ")</f>
        <v>LP3964ES-ADJ</v>
      </c>
      <c r="B5823" s="3" t="str">
        <f>HYPERLINK("https://www.773grp.com/manufacturer/national-semiconductor?pageNo=60", "National Semiconductor")</f>
        <v>National Semiconductor</v>
      </c>
      <c r="C5823" s="6">
        <v>45</v>
      </c>
      <c r="D5823" s="7">
        <v>5.35</v>
      </c>
      <c r="E5823" t="s">
        <v>25</v>
      </c>
    </row>
    <row r="5824" spans="1:5" x14ac:dyDescent="0.25">
      <c r="A5824" t="str">
        <f>HYPERLINK("https://www.773grp.com/globalSearch/LP5520TL-NOPB/page-1", "LP5520TL-NOPB")</f>
        <v>LP5520TL-NOPB</v>
      </c>
      <c r="B5824" s="3" t="str">
        <f>HYPERLINK("https://www.773grp.com/manufacturer/national-semiconductor?pageNo=61", "National Semiconductor")</f>
        <v>National Semiconductor</v>
      </c>
      <c r="C5824" s="6">
        <v>491</v>
      </c>
      <c r="D5824" s="7">
        <v>5.35</v>
      </c>
    </row>
    <row r="5825" spans="1:5" x14ac:dyDescent="0.25">
      <c r="A5825" t="str">
        <f>HYPERLINK("https://www.773grp.com/globalSearch/UC3846DW/page-1", "UC3846DW")</f>
        <v>UC3846DW</v>
      </c>
      <c r="B5825" s="3" t="str">
        <f>HYPERLINK("https://www.773grp.com/manufacturer/national-semiconductor?pageNo=62", "National Semiconductor")</f>
        <v>National Semiconductor</v>
      </c>
      <c r="C5825" s="6">
        <v>400</v>
      </c>
      <c r="D5825" s="7">
        <v>5.35</v>
      </c>
    </row>
    <row r="5826" spans="1:5" x14ac:dyDescent="0.25">
      <c r="A5826" t="str">
        <f>HYPERLINK("https://www.773grp.com/globalSearch/936PC/page-1", "936PC")</f>
        <v>936PC</v>
      </c>
      <c r="B5826" s="3" t="str">
        <f>HYPERLINK("https://www.773grp.com/manufacturer/national-semiconductor?pageNo=63", "National Semiconductor")</f>
        <v>National Semiconductor</v>
      </c>
      <c r="C5826" s="6">
        <v>57929</v>
      </c>
      <c r="D5826" s="7">
        <v>5.36</v>
      </c>
      <c r="E5826" t="s">
        <v>31</v>
      </c>
    </row>
    <row r="5827" spans="1:5" x14ac:dyDescent="0.25">
      <c r="A5827" t="str">
        <f>HYPERLINK("https://www.773grp.com/globalSearch/DS96174CN/page-1", "DS96174CN")</f>
        <v>DS96174CN</v>
      </c>
      <c r="B5827" s="3" t="str">
        <f>HYPERLINK("https://www.773grp.com/manufacturer/national-semiconductor?pageNo=64", "National Semiconductor")</f>
        <v>National Semiconductor</v>
      </c>
      <c r="C5827" s="6">
        <v>631</v>
      </c>
      <c r="D5827" s="7">
        <v>5.36</v>
      </c>
      <c r="E5827" t="s">
        <v>21</v>
      </c>
    </row>
    <row r="5828" spans="1:5" x14ac:dyDescent="0.25">
      <c r="A5828" t="str">
        <f>HYPERLINK("https://www.773grp.com/globalSearch/DS92LV010ATMX/page-1", "DS92LV010ATMX")</f>
        <v>DS92LV010ATMX</v>
      </c>
      <c r="B5828" s="3" t="str">
        <f>HYPERLINK("https://www.773grp.com/manufacturer/national-semiconductor?pageNo=65", "National Semiconductor")</f>
        <v>National Semiconductor</v>
      </c>
      <c r="C5828" s="6">
        <v>1760</v>
      </c>
      <c r="D5828" s="7">
        <v>5.36</v>
      </c>
    </row>
    <row r="5829" spans="1:5" x14ac:dyDescent="0.25">
      <c r="A5829" t="str">
        <f>HYPERLINK("https://www.773grp.com/globalSearch/TL16C550CIFNR/page-1", "TL16C550CIFNR")</f>
        <v>TL16C550CIFNR</v>
      </c>
      <c r="B5829" s="3" t="str">
        <f>HYPERLINK("https://www.773grp.com/manufacturer/national-semiconductor?pageNo=66", "National Semiconductor")</f>
        <v>National Semiconductor</v>
      </c>
      <c r="C5829" s="6">
        <v>500</v>
      </c>
      <c r="D5829" s="7">
        <v>5.36</v>
      </c>
    </row>
    <row r="5830" spans="1:5" x14ac:dyDescent="0.25">
      <c r="A5830" t="str">
        <f>HYPERLINK("https://www.773grp.com/globalSearch/74F175LC/page-1", "74F175LC")</f>
        <v>74F175LC</v>
      </c>
      <c r="B5830" s="3" t="str">
        <f>HYPERLINK("https://www.773grp.com/manufacturer/national-semiconductor?pageNo=67", "National Semiconductor")</f>
        <v>National Semiconductor</v>
      </c>
      <c r="C5830" s="6">
        <v>217</v>
      </c>
      <c r="D5830" s="7">
        <v>5.4</v>
      </c>
    </row>
    <row r="5831" spans="1:5" x14ac:dyDescent="0.25">
      <c r="A5831" t="str">
        <f>HYPERLINK("https://www.773grp.com/globalSearch/DS91C180TMA-NOPB/page-1", "DS91C180TMA-NOPB")</f>
        <v>DS91C180TMA-NOPB</v>
      </c>
      <c r="B5831" s="3" t="str">
        <f>HYPERLINK("https://www.773grp.com/manufacturer/national-semiconductor?pageNo=68", "National Semiconductor")</f>
        <v>National Semiconductor</v>
      </c>
      <c r="C5831" s="6">
        <v>5</v>
      </c>
      <c r="D5831" s="7">
        <v>5.4</v>
      </c>
    </row>
    <row r="5832" spans="1:5" x14ac:dyDescent="0.25">
      <c r="A5832" t="str">
        <f>HYPERLINK("https://www.773grp.com/globalSearch/LM22672MR-5.0-NOPB/page-1", "LM22672MR-5.0-NOPB")</f>
        <v>LM22672MR-5.0-NOPB</v>
      </c>
      <c r="B5832" s="3" t="str">
        <f>HYPERLINK("https://www.773grp.com/manufacturer/national-semiconductor?pageNo=69", "National Semiconductor")</f>
        <v>National Semiconductor</v>
      </c>
      <c r="C5832" s="6">
        <v>95</v>
      </c>
      <c r="D5832" s="7">
        <v>5.4</v>
      </c>
    </row>
    <row r="5833" spans="1:5" x14ac:dyDescent="0.25">
      <c r="A5833" t="str">
        <f>HYPERLINK("https://www.773grp.com/globalSearch/LM22672MR-ADJ-NOPB/page-1", "LM22672MR-ADJ-NOPB")</f>
        <v>LM22672MR-ADJ-NOPB</v>
      </c>
      <c r="B5833" s="3" t="str">
        <f>HYPERLINK("https://www.773grp.com/manufacturer/national-semiconductor?pageNo=70", "National Semiconductor")</f>
        <v>National Semiconductor</v>
      </c>
      <c r="C5833" s="6">
        <v>4950</v>
      </c>
      <c r="D5833" s="7">
        <v>5.4</v>
      </c>
    </row>
    <row r="5834" spans="1:5" x14ac:dyDescent="0.25">
      <c r="A5834" t="str">
        <f>HYPERLINK("https://www.773grp.com/globalSearch/LM25574QMT-NOPB/page-1", "LM25574QMT-NOPB")</f>
        <v>LM25574QMT-NOPB</v>
      </c>
      <c r="B5834" s="3" t="str">
        <f>HYPERLINK("https://www.773grp.com/manufacturer/national-semiconductor?pageNo=71", "National Semiconductor")</f>
        <v>National Semiconductor</v>
      </c>
      <c r="C5834" s="6">
        <v>102</v>
      </c>
      <c r="D5834" s="7">
        <v>5.4</v>
      </c>
    </row>
    <row r="5835" spans="1:5" x14ac:dyDescent="0.25">
      <c r="A5835" t="str">
        <f>HYPERLINK("https://www.773grp.com/globalSearch/LM2595S-12-NOPB/page-1", "LM2595S-12-NOPB")</f>
        <v>LM2595S-12-NOPB</v>
      </c>
      <c r="B5835" s="3" t="str">
        <f>HYPERLINK("https://www.773grp.com/manufacturer/national-semiconductor?pageNo=72", "National Semiconductor")</f>
        <v>National Semiconductor</v>
      </c>
      <c r="C5835" s="6">
        <v>3157</v>
      </c>
      <c r="D5835" s="7">
        <v>5.4</v>
      </c>
      <c r="E5835" t="s">
        <v>7</v>
      </c>
    </row>
    <row r="5836" spans="1:5" x14ac:dyDescent="0.25">
      <c r="A5836" t="str">
        <f>HYPERLINK("https://www.773grp.com/globalSearch/LM2595S-3.3-NOPB/page-1", "LM2595S-3.3-NOPB")</f>
        <v>LM2595S-3.3-NOPB</v>
      </c>
      <c r="B5836" s="3" t="str">
        <f>HYPERLINK("https://www.773grp.com/manufacturer/national-semiconductor?pageNo=73", "National Semiconductor")</f>
        <v>National Semiconductor</v>
      </c>
      <c r="C5836" s="6">
        <v>1778</v>
      </c>
      <c r="D5836" s="7">
        <v>5.4</v>
      </c>
      <c r="E5836" t="s">
        <v>7</v>
      </c>
    </row>
    <row r="5837" spans="1:5" x14ac:dyDescent="0.25">
      <c r="A5837" t="str">
        <f>HYPERLINK("https://www.773grp.com/globalSearch/LM2595S-5.0-NOPB/page-1", "LM2595S-5.0-NOPB")</f>
        <v>LM2595S-5.0-NOPB</v>
      </c>
      <c r="B5837" s="3" t="str">
        <f>HYPERLINK("https://www.773grp.com/manufacturer/national-semiconductor?pageNo=74", "National Semiconductor")</f>
        <v>National Semiconductor</v>
      </c>
      <c r="C5837" s="6">
        <v>34389</v>
      </c>
      <c r="D5837" s="7">
        <v>5.4</v>
      </c>
      <c r="E5837" t="s">
        <v>7</v>
      </c>
    </row>
    <row r="5838" spans="1:5" x14ac:dyDescent="0.25">
      <c r="A5838" t="str">
        <f>HYPERLINK("https://www.773grp.com/globalSearch/LM2595S-ADJ-NOPB/page-1", "LM2595S-ADJ-NOPB")</f>
        <v>LM2595S-ADJ-NOPB</v>
      </c>
      <c r="B5838" s="3" t="str">
        <f>HYPERLINK("https://www.773grp.com/manufacturer/national-semiconductor?pageNo=75", "National Semiconductor")</f>
        <v>National Semiconductor</v>
      </c>
      <c r="C5838" s="6">
        <v>2472</v>
      </c>
      <c r="D5838" s="7">
        <v>5.4</v>
      </c>
      <c r="E5838" t="s">
        <v>7</v>
      </c>
    </row>
    <row r="5839" spans="1:5" x14ac:dyDescent="0.25">
      <c r="A5839" t="str">
        <f>HYPERLINK("https://www.773grp.com/globalSearch/LM26001BMH-NOPB/page-1", "LM26001BMH-NOPB")</f>
        <v>LM26001BMH-NOPB</v>
      </c>
      <c r="B5839" s="3" t="str">
        <f>HYPERLINK("https://www.773grp.com/manufacturer/national-semiconductor?pageNo=76", "National Semiconductor")</f>
        <v>National Semiconductor</v>
      </c>
      <c r="C5839" s="6">
        <v>159</v>
      </c>
      <c r="D5839" s="7">
        <v>5.4</v>
      </c>
      <c r="E5839" t="s">
        <v>7</v>
      </c>
    </row>
    <row r="5840" spans="1:5" x14ac:dyDescent="0.25">
      <c r="A5840" t="str">
        <f>HYPERLINK("https://www.773grp.com/globalSearch/LM2675M-12-NOPB/page-1", "LM2675M-12-NOPB")</f>
        <v>LM2675M-12-NOPB</v>
      </c>
      <c r="B5840" s="3" t="str">
        <f>HYPERLINK("https://www.773grp.com/manufacturer/national-semiconductor?pageNo=77", "National Semiconductor")</f>
        <v>National Semiconductor</v>
      </c>
      <c r="C5840" s="6">
        <v>625</v>
      </c>
      <c r="D5840" s="7">
        <v>5.4</v>
      </c>
      <c r="E5840" t="s">
        <v>7</v>
      </c>
    </row>
    <row r="5841" spans="1:5" x14ac:dyDescent="0.25">
      <c r="A5841" t="str">
        <f>HYPERLINK("https://www.773grp.com/globalSearch/LM2675M-3.3-NOPB/page-1", "LM2675M-3.3-NOPB")</f>
        <v>LM2675M-3.3-NOPB</v>
      </c>
      <c r="B5841" s="3" t="str">
        <f>HYPERLINK("https://www.773grp.com/manufacturer/national-semiconductor?pageNo=78", "National Semiconductor")</f>
        <v>National Semiconductor</v>
      </c>
      <c r="C5841" s="6">
        <v>184</v>
      </c>
      <c r="D5841" s="7">
        <v>5.4</v>
      </c>
      <c r="E5841" t="s">
        <v>7</v>
      </c>
    </row>
    <row r="5842" spans="1:5" x14ac:dyDescent="0.25">
      <c r="A5842" t="str">
        <f>HYPERLINK("https://www.773grp.com/globalSearch/LM2675M-5.0-NOPB/page-1", "LM2675M-5.0-NOPB")</f>
        <v>LM2675M-5.0-NOPB</v>
      </c>
      <c r="B5842" s="3" t="str">
        <f>HYPERLINK("https://www.773grp.com/manufacturer/national-semiconductor?pageNo=79", "National Semiconductor")</f>
        <v>National Semiconductor</v>
      </c>
      <c r="C5842" s="6">
        <v>6333</v>
      </c>
      <c r="D5842" s="7">
        <v>5.4</v>
      </c>
      <c r="E5842" t="s">
        <v>7</v>
      </c>
    </row>
    <row r="5843" spans="1:5" x14ac:dyDescent="0.25">
      <c r="A5843" t="str">
        <f>HYPERLINK("https://www.773grp.com/globalSearch/LM2675M-ADJ-NOPB/page-1", "LM2675M-ADJ-NOPB")</f>
        <v>LM2675M-ADJ-NOPB</v>
      </c>
      <c r="B5843" s="3" t="str">
        <f>HYPERLINK("https://www.773grp.com/manufacturer/national-semiconductor?pageNo=80", "National Semiconductor")</f>
        <v>National Semiconductor</v>
      </c>
      <c r="C5843" s="6">
        <v>460</v>
      </c>
      <c r="D5843" s="7">
        <v>5.4</v>
      </c>
      <c r="E5843" t="s">
        <v>7</v>
      </c>
    </row>
    <row r="5844" spans="1:5" x14ac:dyDescent="0.25">
      <c r="A5844" t="str">
        <f>HYPERLINK("https://www.773grp.com/globalSearch/LM2675N-5.0/page-1", "LM2675N-5.0")</f>
        <v>LM2675N-5.0</v>
      </c>
      <c r="B5844" s="3" t="str">
        <f>HYPERLINK("https://www.773grp.com/manufacturer/national-semiconductor?pageNo=81", "National Semiconductor")</f>
        <v>National Semiconductor</v>
      </c>
      <c r="C5844" s="6">
        <v>19</v>
      </c>
      <c r="D5844" s="7">
        <v>5.4</v>
      </c>
      <c r="E5844" t="s">
        <v>7</v>
      </c>
    </row>
    <row r="5845" spans="1:5" x14ac:dyDescent="0.25">
      <c r="A5845" t="str">
        <f>HYPERLINK("https://www.773grp.com/globalSearch/LM2675N-ADJ/page-1", "LM2675N-ADJ")</f>
        <v>LM2675N-ADJ</v>
      </c>
      <c r="B5845" s="3" t="str">
        <f>HYPERLINK("https://www.773grp.com/manufacturer/national-semiconductor?pageNo=82", "National Semiconductor")</f>
        <v>National Semiconductor</v>
      </c>
      <c r="C5845" s="6">
        <v>10</v>
      </c>
      <c r="D5845" s="7">
        <v>5.4</v>
      </c>
      <c r="E5845" t="s">
        <v>7</v>
      </c>
    </row>
    <row r="5846" spans="1:5" x14ac:dyDescent="0.25">
      <c r="A5846" t="str">
        <f>HYPERLINK("https://www.773grp.com/globalSearch/LM6134AIMX-NOPB/page-1", "LM6134AIMX-NOPB")</f>
        <v>LM6134AIMX-NOPB</v>
      </c>
      <c r="B5846" s="3" t="str">
        <f>HYPERLINK("https://www.773grp.com/manufacturer/national-semiconductor?pageNo=83", "National Semiconductor")</f>
        <v>National Semiconductor</v>
      </c>
      <c r="C5846" s="6">
        <v>2500</v>
      </c>
      <c r="D5846" s="7">
        <v>5.4</v>
      </c>
      <c r="E5846" t="s">
        <v>13</v>
      </c>
    </row>
    <row r="5847" spans="1:5" x14ac:dyDescent="0.25">
      <c r="A5847" t="str">
        <f>HYPERLINK("https://www.773grp.com/globalSearch/LP38856S-0.8-NOPB/page-1", "LP38856S-0.8-NOPB")</f>
        <v>LP38856S-0.8-NOPB</v>
      </c>
      <c r="B5847" s="3" t="str">
        <f>HYPERLINK("https://www.773grp.com/manufacturer/national-semiconductor?pageNo=84", "National Semiconductor")</f>
        <v>National Semiconductor</v>
      </c>
      <c r="C5847" s="6">
        <v>69</v>
      </c>
      <c r="D5847" s="7">
        <v>5.4</v>
      </c>
    </row>
    <row r="5848" spans="1:5" x14ac:dyDescent="0.25">
      <c r="A5848" t="str">
        <f>HYPERLINK("https://www.773grp.com/globalSearch/LP38859S-0.8-NOPB/page-1", "LP38859S-0.8-NOPB")</f>
        <v>LP38859S-0.8-NOPB</v>
      </c>
      <c r="B5848" s="3" t="str">
        <f>HYPERLINK("https://www.773grp.com/manufacturer/national-semiconductor?pageNo=85", "National Semiconductor")</f>
        <v>National Semiconductor</v>
      </c>
      <c r="C5848" s="6">
        <v>78</v>
      </c>
      <c r="D5848" s="7">
        <v>5.4</v>
      </c>
    </row>
    <row r="5849" spans="1:5" x14ac:dyDescent="0.25">
      <c r="A5849" t="str">
        <f>HYPERLINK("https://www.773grp.com/globalSearch/LP38859S-1.2-NOPB/page-1", "LP38859S-1.2-NOPB")</f>
        <v>LP38859S-1.2-NOPB</v>
      </c>
      <c r="B5849" s="3" t="str">
        <f>HYPERLINK("https://www.773grp.com/manufacturer/national-semiconductor?pageNo=86", "National Semiconductor")</f>
        <v>National Semiconductor</v>
      </c>
      <c r="C5849" s="6">
        <v>3775</v>
      </c>
      <c r="D5849" s="7">
        <v>5.4</v>
      </c>
    </row>
    <row r="5850" spans="1:5" x14ac:dyDescent="0.25">
      <c r="A5850" t="str">
        <f>HYPERLINK("https://www.773grp.com/globalSearch/LP3927ILQ-AH/page-1", "LP3927ILQ-AH")</f>
        <v>LP3927ILQ-AH</v>
      </c>
      <c r="B5850" s="3" t="str">
        <f>HYPERLINK("https://www.773grp.com/manufacturer/national-semiconductor?pageNo=87", "National Semiconductor")</f>
        <v>National Semiconductor</v>
      </c>
      <c r="C5850" s="6">
        <v>11000</v>
      </c>
      <c r="D5850" s="7">
        <v>5.4</v>
      </c>
      <c r="E5850" t="s">
        <v>30</v>
      </c>
    </row>
    <row r="5851" spans="1:5" x14ac:dyDescent="0.25">
      <c r="A5851" t="str">
        <f>HYPERLINK("https://www.773grp.com/globalSearch/MF10ACN/page-1", "MF10ACN")</f>
        <v>MF10ACN</v>
      </c>
      <c r="B5851" s="3" t="str">
        <f>HYPERLINK("https://www.773grp.com/manufacturer/national-semiconductor?pageNo=88", "National Semiconductor")</f>
        <v>National Semiconductor</v>
      </c>
      <c r="C5851" s="6">
        <v>1026</v>
      </c>
      <c r="D5851" s="7">
        <v>5.4</v>
      </c>
      <c r="E5851" t="s">
        <v>58</v>
      </c>
    </row>
    <row r="5852" spans="1:5" x14ac:dyDescent="0.25">
      <c r="A5852" t="str">
        <f>HYPERLINK("https://www.773grp.com/globalSearch/DS91C180TMA-NOPB/page-1", "DS91C180TMA-NOPB")</f>
        <v>DS91C180TMA-NOPB</v>
      </c>
      <c r="B5852" s="3" t="str">
        <f>HYPERLINK("https://www.773grp.com/manufacturer/national-semiconductor?pageNo=89", "National Semiconductor")</f>
        <v>National Semiconductor</v>
      </c>
      <c r="C5852" s="6">
        <v>1634</v>
      </c>
      <c r="D5852" s="7">
        <v>5.4</v>
      </c>
    </row>
    <row r="5853" spans="1:5" x14ac:dyDescent="0.25">
      <c r="A5853" t="str">
        <f>HYPERLINK("https://www.773grp.com/globalSearch/LM22672MR-ADJ-NOPB/page-1", "LM22672MR-ADJ-NOPB")</f>
        <v>LM22672MR-ADJ-NOPB</v>
      </c>
      <c r="B5853" s="3" t="str">
        <f>HYPERLINK("https://www.773grp.com/manufacturer/national-semiconductor?pageNo=90", "National Semiconductor")</f>
        <v>National Semiconductor</v>
      </c>
      <c r="C5853" s="6">
        <v>32065</v>
      </c>
      <c r="D5853" s="7">
        <v>5.4</v>
      </c>
    </row>
    <row r="5854" spans="1:5" x14ac:dyDescent="0.25">
      <c r="A5854" t="str">
        <f>HYPERLINK("https://www.773grp.com/globalSearch/LM25574QMT-NOPB/page-1", "LM25574QMT-NOPB")</f>
        <v>LM25574QMT-NOPB</v>
      </c>
      <c r="B5854" s="3" t="str">
        <f>HYPERLINK("https://www.773grp.com/manufacturer/national-semiconductor?pageNo=91", "National Semiconductor")</f>
        <v>National Semiconductor</v>
      </c>
      <c r="C5854" s="6">
        <v>250</v>
      </c>
      <c r="D5854" s="7">
        <v>5.4</v>
      </c>
    </row>
    <row r="5855" spans="1:5" x14ac:dyDescent="0.25">
      <c r="A5855" t="str">
        <f>HYPERLINK("https://www.773grp.com/globalSearch/LM25575MH-NOPB/page-1", "LM25575MH-NOPB")</f>
        <v>LM25575MH-NOPB</v>
      </c>
      <c r="B5855" s="3" t="str">
        <f>HYPERLINK("https://www.773grp.com/manufacturer/national-semiconductor?pageNo=92", "National Semiconductor")</f>
        <v>National Semiconductor</v>
      </c>
      <c r="C5855" s="6">
        <v>2585</v>
      </c>
      <c r="D5855" s="7">
        <v>5.4</v>
      </c>
    </row>
    <row r="5856" spans="1:5" x14ac:dyDescent="0.25">
      <c r="A5856" t="str">
        <f>HYPERLINK("https://www.773grp.com/globalSearch/LM2595S-12-NOPB/page-1", "LM2595S-12-NOPB")</f>
        <v>LM2595S-12-NOPB</v>
      </c>
      <c r="B5856" s="3" t="str">
        <f>HYPERLINK("https://www.773grp.com/manufacturer/national-semiconductor?pageNo=93", "National Semiconductor")</f>
        <v>National Semiconductor</v>
      </c>
      <c r="C5856" s="6">
        <v>300</v>
      </c>
      <c r="D5856" s="7">
        <v>5.4</v>
      </c>
      <c r="E5856" t="s">
        <v>7</v>
      </c>
    </row>
    <row r="5857" spans="1:5" x14ac:dyDescent="0.25">
      <c r="A5857" t="str">
        <f>HYPERLINK("https://www.773grp.com/globalSearch/LM2595S-3.3-NOPB/page-1", "LM2595S-3.3-NOPB")</f>
        <v>LM2595S-3.3-NOPB</v>
      </c>
      <c r="B5857" s="3" t="str">
        <f>HYPERLINK("https://www.773grp.com/manufacturer/national-semiconductor?pageNo=94", "National Semiconductor")</f>
        <v>National Semiconductor</v>
      </c>
      <c r="C5857" s="6">
        <v>16643</v>
      </c>
      <c r="D5857" s="7">
        <v>5.4</v>
      </c>
      <c r="E5857" t="s">
        <v>7</v>
      </c>
    </row>
    <row r="5858" spans="1:5" x14ac:dyDescent="0.25">
      <c r="A5858" t="str">
        <f>HYPERLINK("https://www.773grp.com/globalSearch/LM2595S-5.0-NOPB/page-1", "LM2595S-5.0-NOPB")</f>
        <v>LM2595S-5.0-NOPB</v>
      </c>
      <c r="B5858" s="3" t="str">
        <f>HYPERLINK("https://www.773grp.com/manufacturer/national-semiconductor?pageNo=95", "National Semiconductor")</f>
        <v>National Semiconductor</v>
      </c>
      <c r="C5858" s="6">
        <v>4256</v>
      </c>
      <c r="D5858" s="7">
        <v>5.4</v>
      </c>
      <c r="E5858" t="s">
        <v>7</v>
      </c>
    </row>
    <row r="5859" spans="1:5" x14ac:dyDescent="0.25">
      <c r="A5859" t="str">
        <f>HYPERLINK("https://www.773grp.com/globalSearch/LM2595S-ADJ-NOPB/page-1", "LM2595S-ADJ-NOPB")</f>
        <v>LM2595S-ADJ-NOPB</v>
      </c>
      <c r="B5859" s="3" t="str">
        <f>HYPERLINK("https://www.773grp.com/manufacturer/national-semiconductor?pageNo=96", "National Semiconductor")</f>
        <v>National Semiconductor</v>
      </c>
      <c r="C5859" s="6">
        <v>379</v>
      </c>
      <c r="D5859" s="7">
        <v>5.4</v>
      </c>
      <c r="E5859" t="s">
        <v>7</v>
      </c>
    </row>
    <row r="5860" spans="1:5" x14ac:dyDescent="0.25">
      <c r="A5860" t="str">
        <f>HYPERLINK("https://www.773grp.com/globalSearch/LM26001BMH-NOPB/page-1", "LM26001BMH-NOPB")</f>
        <v>LM26001BMH-NOPB</v>
      </c>
      <c r="B5860" s="3" t="str">
        <f>HYPERLINK("https://www.773grp.com/manufacturer/national-semiconductor?pageNo=97", "National Semiconductor")</f>
        <v>National Semiconductor</v>
      </c>
      <c r="C5860" s="6">
        <v>442</v>
      </c>
      <c r="D5860" s="7">
        <v>5.4</v>
      </c>
      <c r="E5860" t="s">
        <v>7</v>
      </c>
    </row>
    <row r="5861" spans="1:5" x14ac:dyDescent="0.25">
      <c r="A5861" t="str">
        <f>HYPERLINK("https://www.773grp.com/globalSearch/LM2675M-12-NOPB/page-1", "LM2675M-12-NOPB")</f>
        <v>LM2675M-12-NOPB</v>
      </c>
      <c r="B5861" s="3" t="str">
        <f>HYPERLINK("https://www.773grp.com/manufacturer/national-semiconductor?pageNo=98", "National Semiconductor")</f>
        <v>National Semiconductor</v>
      </c>
      <c r="C5861" s="6">
        <v>14593</v>
      </c>
      <c r="D5861" s="7">
        <v>5.4</v>
      </c>
      <c r="E5861" t="s">
        <v>7</v>
      </c>
    </row>
    <row r="5862" spans="1:5" x14ac:dyDescent="0.25">
      <c r="A5862" t="str">
        <f>HYPERLINK("https://www.773grp.com/globalSearch/LM2675M-5.0-NOPB/page-1", "LM2675M-5.0-NOPB")</f>
        <v>LM2675M-5.0-NOPB</v>
      </c>
      <c r="B5862" s="3" t="str">
        <f>HYPERLINK("https://www.773grp.com/manufacturer/national-semiconductor?pageNo=99", "National Semiconductor")</f>
        <v>National Semiconductor</v>
      </c>
      <c r="C5862" s="6">
        <v>745</v>
      </c>
      <c r="D5862" s="7">
        <v>5.4</v>
      </c>
      <c r="E5862" t="s">
        <v>7</v>
      </c>
    </row>
    <row r="5863" spans="1:5" x14ac:dyDescent="0.25">
      <c r="A5863" t="str">
        <f>HYPERLINK("https://www.773grp.com/globalSearch/LM2675M-ADJ-NOPB/page-1", "LM2675M-ADJ-NOPB")</f>
        <v>LM2675M-ADJ-NOPB</v>
      </c>
      <c r="B5863" s="3" t="str">
        <f>HYPERLINK("https://www.773grp.com/manufacturer/national-semiconductor?pageNo=100", "National Semiconductor")</f>
        <v>National Semiconductor</v>
      </c>
      <c r="C5863" s="6">
        <v>920</v>
      </c>
      <c r="D5863" s="7">
        <v>5.4</v>
      </c>
      <c r="E5863" t="s">
        <v>7</v>
      </c>
    </row>
    <row r="5864" spans="1:5" x14ac:dyDescent="0.25">
      <c r="A5864" t="str">
        <f>HYPERLINK("https://www.773grp.com/globalSearch/LP38856S-0.8-NOPB/page-1", "LP38856S-0.8-NOPB")</f>
        <v>LP38856S-0.8-NOPB</v>
      </c>
      <c r="B5864" s="3" t="str">
        <f>HYPERLINK("https://www.773grp.com/manufacturer/national-semiconductor?pageNo=101", "National Semiconductor")</f>
        <v>National Semiconductor</v>
      </c>
      <c r="C5864" s="6">
        <v>2745</v>
      </c>
      <c r="D5864" s="7">
        <v>5.4</v>
      </c>
    </row>
    <row r="5865" spans="1:5" x14ac:dyDescent="0.25">
      <c r="A5865" t="str">
        <f>HYPERLINK("https://www.773grp.com/globalSearch/LP38859S-0.8-NOPB/page-1", "LP38859S-0.8-NOPB")</f>
        <v>LP38859S-0.8-NOPB</v>
      </c>
      <c r="B5865" s="3" t="str">
        <f>HYPERLINK("https://www.773grp.com/manufacturer/national-semiconductor?pageNo=102", "National Semiconductor")</f>
        <v>National Semiconductor</v>
      </c>
      <c r="C5865" s="6">
        <v>2745</v>
      </c>
      <c r="D5865" s="7">
        <v>5.4</v>
      </c>
    </row>
    <row r="5866" spans="1:5" x14ac:dyDescent="0.25">
      <c r="A5866" t="str">
        <f>HYPERLINK("https://www.773grp.com/globalSearch/LP38859S-1.2-NOPB/page-1", "LP38859S-1.2-NOPB")</f>
        <v>LP38859S-1.2-NOPB</v>
      </c>
      <c r="B5866" s="3" t="str">
        <f>HYPERLINK("https://www.773grp.com/manufacturer/national-semiconductor?pageNo=103", "National Semiconductor")</f>
        <v>National Semiconductor</v>
      </c>
      <c r="C5866" s="6">
        <v>277</v>
      </c>
      <c r="D5866" s="7">
        <v>5.4</v>
      </c>
    </row>
    <row r="5867" spans="1:5" x14ac:dyDescent="0.25">
      <c r="A5867" t="str">
        <f>HYPERLINK("https://www.773grp.com/globalSearch/74LS161ADC/page-1", "74LS161ADC")</f>
        <v>74LS161ADC</v>
      </c>
      <c r="B5867" s="3" t="str">
        <f>HYPERLINK("https://www.773grp.com/manufacturer/national-semiconductor?pageNo=104", "National Semiconductor")</f>
        <v>National Semiconductor</v>
      </c>
      <c r="C5867" s="6">
        <v>3152</v>
      </c>
      <c r="D5867" s="7">
        <v>5.44</v>
      </c>
    </row>
    <row r="5868" spans="1:5" x14ac:dyDescent="0.25">
      <c r="A5868" t="str">
        <f>HYPERLINK("https://www.773grp.com/globalSearch/CLC111AJP/page-1", "CLC111AJP")</f>
        <v>CLC111AJP</v>
      </c>
      <c r="B5868" s="3" t="str">
        <f>HYPERLINK("https://www.773grp.com/manufacturer/national-semiconductor?pageNo=105", "National Semiconductor")</f>
        <v>National Semiconductor</v>
      </c>
      <c r="C5868" s="6">
        <v>7174</v>
      </c>
      <c r="D5868" s="7">
        <v>5.44</v>
      </c>
      <c r="E5868" t="s">
        <v>48</v>
      </c>
    </row>
    <row r="5869" spans="1:5" x14ac:dyDescent="0.25">
      <c r="A5869" t="str">
        <f>HYPERLINK("https://www.773grp.com/globalSearch/LM82CIMQA/page-1", "LM82CIMQA")</f>
        <v>LM82CIMQA</v>
      </c>
      <c r="B5869" s="3" t="str">
        <f>HYPERLINK("https://www.773grp.com/manufacturer/national-semiconductor?pageNo=106", "National Semiconductor")</f>
        <v>National Semiconductor</v>
      </c>
      <c r="C5869" s="6">
        <v>1040</v>
      </c>
      <c r="D5869" s="7">
        <v>5.44</v>
      </c>
      <c r="E5869" t="s">
        <v>12</v>
      </c>
    </row>
    <row r="5870" spans="1:5" x14ac:dyDescent="0.25">
      <c r="A5870" t="str">
        <f>HYPERLINK("https://www.773grp.com/globalSearch/LM92CIM-NOPB/page-1", "LM92CIM-NOPB")</f>
        <v>LM92CIM-NOPB</v>
      </c>
      <c r="B5870" s="3" t="str">
        <f>HYPERLINK("https://www.773grp.com/manufacturer/national-semiconductor?pageNo=107", "National Semiconductor")</f>
        <v>National Semiconductor</v>
      </c>
      <c r="C5870" s="6">
        <v>8854</v>
      </c>
      <c r="D5870" s="7">
        <v>5.44</v>
      </c>
      <c r="E5870" t="s">
        <v>12</v>
      </c>
    </row>
    <row r="5871" spans="1:5" x14ac:dyDescent="0.25">
      <c r="A5871" t="str">
        <f>HYPERLINK("https://www.773grp.com/globalSearch/LMC6464BIN-NOPB/page-1", "LMC6464BIN-NOPB")</f>
        <v>LMC6464BIN-NOPB</v>
      </c>
      <c r="B5871" s="3" t="str">
        <f>HYPERLINK("https://www.773grp.com/manufacturer/national-semiconductor?pageNo=108", "National Semiconductor")</f>
        <v>National Semiconductor</v>
      </c>
      <c r="C5871" s="6">
        <v>429</v>
      </c>
      <c r="D5871" s="7">
        <v>5.44</v>
      </c>
      <c r="E5871" t="s">
        <v>13</v>
      </c>
    </row>
    <row r="5872" spans="1:5" x14ac:dyDescent="0.25">
      <c r="A5872" t="str">
        <f>HYPERLINK("https://www.773grp.com/globalSearch/LMH1980MM-NOPB/page-1", "LMH1980MM-NOPB")</f>
        <v>LMH1980MM-NOPB</v>
      </c>
      <c r="B5872" s="3" t="str">
        <f>HYPERLINK("https://www.773grp.com/manufacturer/national-semiconductor?pageNo=109", "National Semiconductor")</f>
        <v>National Semiconductor</v>
      </c>
      <c r="C5872" s="6">
        <v>8000</v>
      </c>
      <c r="D5872" s="7">
        <v>5.44</v>
      </c>
      <c r="E5872" t="s">
        <v>15</v>
      </c>
    </row>
    <row r="5873" spans="1:5" x14ac:dyDescent="0.25">
      <c r="A5873" t="str">
        <f>HYPERLINK("https://www.773grp.com/globalSearch/LMH1980MMX-NOPB/page-1", "LMH1980MMX-NOPB")</f>
        <v>LMH1980MMX-NOPB</v>
      </c>
      <c r="B5873" s="3" t="str">
        <f>HYPERLINK("https://www.773grp.com/manufacturer/national-semiconductor?pageNo=110", "National Semiconductor")</f>
        <v>National Semiconductor</v>
      </c>
      <c r="C5873" s="6">
        <v>3500</v>
      </c>
      <c r="D5873" s="7">
        <v>5.44</v>
      </c>
      <c r="E5873" t="s">
        <v>15</v>
      </c>
    </row>
    <row r="5874" spans="1:5" x14ac:dyDescent="0.25">
      <c r="A5874" t="str">
        <f>HYPERLINK("https://www.773grp.com/globalSearch/LMX2372SLBX/page-1", "LMX2372SLBX")</f>
        <v>LMX2372SLBX</v>
      </c>
      <c r="B5874" s="3" t="str">
        <f>HYPERLINK("https://www.773grp.com/manufacturer/national-semiconductor?pageNo=111", "National Semiconductor")</f>
        <v>National Semiconductor</v>
      </c>
      <c r="C5874" s="6">
        <v>2500</v>
      </c>
      <c r="D5874" s="7">
        <v>5.44</v>
      </c>
      <c r="E5874" t="s">
        <v>38</v>
      </c>
    </row>
    <row r="5875" spans="1:5" x14ac:dyDescent="0.25">
      <c r="A5875" t="str">
        <f>HYPERLINK("https://www.773grp.com/globalSearch/LM92CIM-NOPB/page-1", "LM92CIM-NOPB")</f>
        <v>LM92CIM-NOPB</v>
      </c>
      <c r="B5875" s="3" t="str">
        <f>HYPERLINK("https://www.773grp.com/manufacturer/national-semiconductor?pageNo=112", "National Semiconductor")</f>
        <v>National Semiconductor</v>
      </c>
      <c r="C5875" s="6">
        <v>226</v>
      </c>
      <c r="D5875" s="7">
        <v>5.44</v>
      </c>
      <c r="E5875" t="s">
        <v>12</v>
      </c>
    </row>
    <row r="5876" spans="1:5" x14ac:dyDescent="0.25">
      <c r="A5876" t="str">
        <f>HYPERLINK("https://www.773grp.com/globalSearch/LMC6464BIN-NOPB/page-1", "LMC6464BIN-NOPB")</f>
        <v>LMC6464BIN-NOPB</v>
      </c>
      <c r="B5876" s="3" t="str">
        <f>HYPERLINK("https://www.773grp.com/manufacturer/national-semiconductor?pageNo=113", "National Semiconductor")</f>
        <v>National Semiconductor</v>
      </c>
      <c r="C5876" s="6">
        <v>250</v>
      </c>
      <c r="D5876" s="7">
        <v>5.44</v>
      </c>
      <c r="E5876" t="s">
        <v>13</v>
      </c>
    </row>
    <row r="5877" spans="1:5" x14ac:dyDescent="0.25">
      <c r="A5877" t="str">
        <f>HYPERLINK("https://www.773grp.com/globalSearch/LMH1980MM-NOPB/page-1", "LMH1980MM-NOPB")</f>
        <v>LMH1980MM-NOPB</v>
      </c>
      <c r="B5877" s="3" t="str">
        <f>HYPERLINK("https://www.773grp.com/manufacturer/national-semiconductor?pageNo=114", "National Semiconductor")</f>
        <v>National Semiconductor</v>
      </c>
      <c r="C5877" s="6">
        <v>3710</v>
      </c>
      <c r="D5877" s="7">
        <v>5.44</v>
      </c>
      <c r="E5877" t="s">
        <v>15</v>
      </c>
    </row>
    <row r="5878" spans="1:5" x14ac:dyDescent="0.25">
      <c r="A5878" t="str">
        <f>HYPERLINK("https://www.773grp.com/globalSearch/4001BDC/page-1", "4001BDC")</f>
        <v>4001BDC</v>
      </c>
      <c r="B5878" s="3" t="str">
        <f>HYPERLINK("https://www.773grp.com/manufacturer/national-semiconductor?pageNo=115", "National Semiconductor")</f>
        <v>National Semiconductor</v>
      </c>
      <c r="C5878" s="6">
        <v>5557</v>
      </c>
      <c r="D5878" s="7">
        <v>5.45</v>
      </c>
    </row>
    <row r="5879" spans="1:5" x14ac:dyDescent="0.25">
      <c r="A5879" t="str">
        <f>HYPERLINK("https://www.773grp.com/globalSearch/ADC122S101CIMM-NOPB/page-1", "ADC122S101CIMM-NOPB")</f>
        <v>ADC122S101CIMM-NOPB</v>
      </c>
      <c r="B5879" s="3" t="str">
        <f>HYPERLINK("https://www.773grp.com/manufacturer/national-semiconductor?pageNo=116", "National Semiconductor")</f>
        <v>National Semiconductor</v>
      </c>
      <c r="C5879" s="6">
        <v>80</v>
      </c>
      <c r="D5879" s="7">
        <v>5.45</v>
      </c>
    </row>
    <row r="5880" spans="1:5" x14ac:dyDescent="0.25">
      <c r="A5880" t="str">
        <f>HYPERLINK("https://www.773grp.com/globalSearch/ADC124S051CIMM-NOPB/page-1", "ADC124S051CIMM-NOPB")</f>
        <v>ADC124S051CIMM-NOPB</v>
      </c>
      <c r="B5880" s="3" t="str">
        <f>HYPERLINK("https://www.773grp.com/manufacturer/national-semiconductor?pageNo=117", "National Semiconductor")</f>
        <v>National Semiconductor</v>
      </c>
      <c r="C5880" s="6">
        <v>225</v>
      </c>
      <c r="D5880" s="7">
        <v>5.45</v>
      </c>
      <c r="E5880" t="s">
        <v>39</v>
      </c>
    </row>
    <row r="5881" spans="1:5" x14ac:dyDescent="0.25">
      <c r="A5881" t="str">
        <f>HYPERLINK("https://www.773grp.com/globalSearch/LM2574HVN-3.3/page-1", "LM2574HVN-3.3")</f>
        <v>LM2574HVN-3.3</v>
      </c>
      <c r="B5881" s="3" t="str">
        <f>HYPERLINK("https://www.773grp.com/manufacturer/national-semiconductor?pageNo=118", "National Semiconductor")</f>
        <v>National Semiconductor</v>
      </c>
      <c r="C5881" s="6">
        <v>10</v>
      </c>
      <c r="D5881" s="7">
        <v>5.45</v>
      </c>
      <c r="E5881" t="s">
        <v>7</v>
      </c>
    </row>
    <row r="5882" spans="1:5" x14ac:dyDescent="0.25">
      <c r="A5882" t="str">
        <f>HYPERLINK("https://www.773grp.com/globalSearch/LM360N/page-1", "LM360N")</f>
        <v>LM360N</v>
      </c>
      <c r="B5882" s="3" t="str">
        <f>HYPERLINK("https://www.773grp.com/manufacturer/national-semiconductor?pageNo=119", "National Semiconductor")</f>
        <v>National Semiconductor</v>
      </c>
      <c r="C5882" s="6">
        <v>6445</v>
      </c>
      <c r="D5882" s="7">
        <v>5.45</v>
      </c>
      <c r="E5882" t="s">
        <v>9</v>
      </c>
    </row>
    <row r="5883" spans="1:5" x14ac:dyDescent="0.25">
      <c r="A5883" t="str">
        <f>HYPERLINK("https://www.773grp.com/globalSearch/LM4961LQ-NOPB/page-1", "LM4961LQ-NOPB")</f>
        <v>LM4961LQ-NOPB</v>
      </c>
      <c r="B5883" s="3" t="str">
        <f>HYPERLINK("https://www.773grp.com/manufacturer/national-semiconductor?pageNo=120", "National Semiconductor")</f>
        <v>National Semiconductor</v>
      </c>
      <c r="C5883" s="6">
        <v>5636</v>
      </c>
      <c r="D5883" s="7">
        <v>5.45</v>
      </c>
    </row>
    <row r="5884" spans="1:5" x14ac:dyDescent="0.25">
      <c r="A5884" t="str">
        <f>HYPERLINK("https://www.773grp.com/globalSearch/LP3965ESX-1.8/page-1", "LP3965ESX-1.8")</f>
        <v>LP3965ESX-1.8</v>
      </c>
      <c r="B5884" s="3" t="str">
        <f>HYPERLINK("https://www.773grp.com/manufacturer/national-semiconductor?pageNo=121", "National Semiconductor")</f>
        <v>National Semiconductor</v>
      </c>
      <c r="C5884" s="6">
        <v>1000</v>
      </c>
      <c r="D5884" s="7">
        <v>5.45</v>
      </c>
      <c r="E5884" t="s">
        <v>19</v>
      </c>
    </row>
    <row r="5885" spans="1:5" x14ac:dyDescent="0.25">
      <c r="A5885" t="str">
        <f>HYPERLINK("https://www.773grp.com/globalSearch/LP3965ESX-3.3/page-1", "LP3965ESX-3.3")</f>
        <v>LP3965ESX-3.3</v>
      </c>
      <c r="B5885" s="3" t="str">
        <f>HYPERLINK("https://www.773grp.com/manufacturer/national-semiconductor?pageNo=122", "National Semiconductor")</f>
        <v>National Semiconductor</v>
      </c>
      <c r="C5885" s="6">
        <v>1000</v>
      </c>
      <c r="D5885" s="7">
        <v>5.45</v>
      </c>
      <c r="E5885" t="s">
        <v>19</v>
      </c>
    </row>
    <row r="5886" spans="1:5" x14ac:dyDescent="0.25">
      <c r="A5886" t="str">
        <f>HYPERLINK("https://www.773grp.com/globalSearch/MM54HC75J-883/page-1", "MM54HC75J-883")</f>
        <v>MM54HC75J-883</v>
      </c>
      <c r="B5886" s="3" t="str">
        <f>HYPERLINK("https://www.773grp.com/manufacturer/national-semiconductor?pageNo=123", "National Semiconductor")</f>
        <v>National Semiconductor</v>
      </c>
      <c r="C5886" s="6">
        <v>22</v>
      </c>
      <c r="D5886" s="7">
        <v>5.45</v>
      </c>
    </row>
    <row r="5887" spans="1:5" x14ac:dyDescent="0.25">
      <c r="A5887" t="str">
        <f>HYPERLINK("https://www.773grp.com/globalSearch/ADC122S101CIMM-NOPB/page-1", "ADC122S101CIMM-NOPB")</f>
        <v>ADC122S101CIMM-NOPB</v>
      </c>
      <c r="B5887" s="3" t="str">
        <f>HYPERLINK("https://www.773grp.com/manufacturer/national-semiconductor?pageNo=124", "National Semiconductor")</f>
        <v>National Semiconductor</v>
      </c>
      <c r="C5887" s="6">
        <v>990</v>
      </c>
      <c r="D5887" s="7">
        <v>5.45</v>
      </c>
    </row>
    <row r="5888" spans="1:5" x14ac:dyDescent="0.25">
      <c r="A5888" t="str">
        <f>HYPERLINK("https://www.773grp.com/globalSearch/LP3965ESX-3.3/page-1", "LP3965ESX-3.3")</f>
        <v>LP3965ESX-3.3</v>
      </c>
      <c r="B5888" s="3" t="str">
        <f>HYPERLINK("https://www.773grp.com/manufacturer/national-semiconductor?pageNo=125", "National Semiconductor")</f>
        <v>National Semiconductor</v>
      </c>
      <c r="C5888" s="6">
        <v>7000</v>
      </c>
      <c r="D5888" s="7">
        <v>5.45</v>
      </c>
      <c r="E5888" t="s">
        <v>19</v>
      </c>
    </row>
    <row r="5889" spans="1:5" x14ac:dyDescent="0.25">
      <c r="A5889" t="str">
        <f>HYPERLINK("https://www.773grp.com/globalSearch/LP3965ESX-ADJ/page-1", "LP3965ESX-ADJ")</f>
        <v>LP3965ESX-ADJ</v>
      </c>
      <c r="B5889" s="3" t="str">
        <f>HYPERLINK("https://www.773grp.com/manufacturer/national-semiconductor?pageNo=126", "National Semiconductor")</f>
        <v>National Semiconductor</v>
      </c>
      <c r="C5889" s="6">
        <v>3500</v>
      </c>
      <c r="D5889" s="7">
        <v>5.45</v>
      </c>
    </row>
    <row r="5890" spans="1:5" x14ac:dyDescent="0.25">
      <c r="A5890" t="str">
        <f>HYPERLINK("https://www.773grp.com/globalSearch/LP3965ET-3.3-LB04/page-1", "LP3965ET-3.3-LB04")</f>
        <v>LP3965ET-3.3-LB04</v>
      </c>
      <c r="B5890" s="3" t="str">
        <f>HYPERLINK("https://www.773grp.com/manufacturer/national-semiconductor?pageNo=127", "National Semiconductor")</f>
        <v>National Semiconductor</v>
      </c>
      <c r="C5890" s="6">
        <v>1235</v>
      </c>
      <c r="D5890" s="7">
        <v>5.45</v>
      </c>
    </row>
    <row r="5891" spans="1:5" x14ac:dyDescent="0.25">
      <c r="A5891" t="str">
        <f>HYPERLINK("https://www.773grp.com/globalSearch/TPS51124RGER/page-1", "TPS51124RGER")</f>
        <v>TPS51124RGER</v>
      </c>
      <c r="B5891" s="3" t="str">
        <f>HYPERLINK("https://www.773grp.com/manufacturer/national-semiconductor?pageNo=128", "National Semiconductor")</f>
        <v>National Semiconductor</v>
      </c>
      <c r="C5891" s="6">
        <v>6000</v>
      </c>
      <c r="D5891" s="7">
        <v>5.45</v>
      </c>
    </row>
    <row r="5892" spans="1:5" x14ac:dyDescent="0.25">
      <c r="A5892" t="str">
        <f>HYPERLINK("https://www.773grp.com/globalSearch/54LS365AFMQB/page-1", "54LS365AFMQB")</f>
        <v>54LS365AFMQB</v>
      </c>
      <c r="B5892" s="3" t="str">
        <f>HYPERLINK("https://www.773grp.com/manufacturer/national-semiconductor?pageNo=129", "National Semiconductor")</f>
        <v>National Semiconductor</v>
      </c>
      <c r="C5892" s="6">
        <v>161</v>
      </c>
      <c r="D5892" s="7">
        <v>5.49</v>
      </c>
      <c r="E5892" t="s">
        <v>14</v>
      </c>
    </row>
    <row r="5893" spans="1:5" x14ac:dyDescent="0.25">
      <c r="A5893" t="str">
        <f>HYPERLINK("https://www.773grp.com/globalSearch/54LS366AFMQB/page-1", "54LS366AFMQB")</f>
        <v>54LS366AFMQB</v>
      </c>
      <c r="B5893" s="3" t="str">
        <f>HYPERLINK("https://www.773grp.com/manufacturer/national-semiconductor?pageNo=130", "National Semiconductor")</f>
        <v>National Semiconductor</v>
      </c>
      <c r="C5893" s="6">
        <v>186</v>
      </c>
      <c r="D5893" s="7">
        <v>5.49</v>
      </c>
      <c r="E5893" t="s">
        <v>14</v>
      </c>
    </row>
    <row r="5894" spans="1:5" x14ac:dyDescent="0.25">
      <c r="A5894" t="str">
        <f>HYPERLINK("https://www.773grp.com/globalSearch/54LS367AFM/page-1", "54LS367AFM")</f>
        <v>54LS367AFM</v>
      </c>
      <c r="B5894" s="3" t="str">
        <f>HYPERLINK("https://www.773grp.com/manufacturer/national-semiconductor?pageNo=131", "National Semiconductor")</f>
        <v>National Semiconductor</v>
      </c>
      <c r="C5894" s="6">
        <v>1329</v>
      </c>
      <c r="D5894" s="7">
        <v>5.49</v>
      </c>
    </row>
    <row r="5895" spans="1:5" x14ac:dyDescent="0.25">
      <c r="A5895" t="str">
        <f>HYPERLINK("https://www.773grp.com/globalSearch/54LS367AFMQB/page-1", "54LS367AFMQB")</f>
        <v>54LS367AFMQB</v>
      </c>
      <c r="B5895" s="3" t="str">
        <f>HYPERLINK("https://www.773grp.com/manufacturer/national-semiconductor?pageNo=132", "National Semiconductor")</f>
        <v>National Semiconductor</v>
      </c>
      <c r="C5895" s="6">
        <v>448</v>
      </c>
      <c r="D5895" s="7">
        <v>5.49</v>
      </c>
      <c r="E5895" t="s">
        <v>14</v>
      </c>
    </row>
    <row r="5896" spans="1:5" x14ac:dyDescent="0.25">
      <c r="A5896" t="str">
        <f>HYPERLINK("https://www.773grp.com/globalSearch/54LS367FM/page-1", "54LS367FM")</f>
        <v>54LS367FM</v>
      </c>
      <c r="B5896" s="3" t="str">
        <f>HYPERLINK("https://www.773grp.com/manufacturer/national-semiconductor?pageNo=133", "National Semiconductor")</f>
        <v>National Semiconductor</v>
      </c>
      <c r="C5896" s="6">
        <v>372</v>
      </c>
      <c r="D5896" s="7">
        <v>5.49</v>
      </c>
    </row>
    <row r="5897" spans="1:5" x14ac:dyDescent="0.25">
      <c r="A5897" t="str">
        <f>HYPERLINK("https://www.773grp.com/globalSearch/54LS368AFMQB/page-1", "54LS368AFMQB")</f>
        <v>54LS368AFMQB</v>
      </c>
      <c r="B5897" s="3" t="str">
        <f>HYPERLINK("https://www.773grp.com/manufacturer/national-semiconductor?pageNo=134", "National Semiconductor")</f>
        <v>National Semiconductor</v>
      </c>
      <c r="C5897" s="6">
        <v>25</v>
      </c>
      <c r="D5897" s="7">
        <v>5.49</v>
      </c>
      <c r="E5897" t="s">
        <v>14</v>
      </c>
    </row>
    <row r="5898" spans="1:5" x14ac:dyDescent="0.25">
      <c r="A5898" t="str">
        <f>HYPERLINK("https://www.773grp.com/globalSearch/54LS368FM/page-1", "54LS368FM")</f>
        <v>54LS368FM</v>
      </c>
      <c r="B5898" s="3" t="str">
        <f>HYPERLINK("https://www.773grp.com/manufacturer/national-semiconductor?pageNo=1", "National Semiconductor")</f>
        <v>National Semiconductor</v>
      </c>
      <c r="C5898" s="6">
        <v>102</v>
      </c>
      <c r="D5898" s="7">
        <v>5.49</v>
      </c>
    </row>
    <row r="5899" spans="1:5" x14ac:dyDescent="0.25">
      <c r="A5899" t="str">
        <f>HYPERLINK("https://www.773grp.com/globalSearch/74S154PC/page-1", "74S154PC")</f>
        <v>74S154PC</v>
      </c>
      <c r="B5899" s="3" t="str">
        <f>HYPERLINK("https://www.773grp.com/manufacturer/national-semiconductor?pageNo=2", "National Semiconductor")</f>
        <v>National Semiconductor</v>
      </c>
      <c r="C5899" s="6">
        <v>3407</v>
      </c>
      <c r="D5899" s="7">
        <v>5.49</v>
      </c>
    </row>
    <row r="5900" spans="1:5" x14ac:dyDescent="0.25">
      <c r="A5900" t="str">
        <f>HYPERLINK("https://www.773grp.com/globalSearch/COP472N-3-NOPB/page-1", "COP472N-3-NOPB")</f>
        <v>COP472N-3-NOPB</v>
      </c>
      <c r="B5900" s="3" t="str">
        <f>HYPERLINK("https://www.773grp.com/manufacturer/national-semiconductor?pageNo=3", "National Semiconductor")</f>
        <v>National Semiconductor</v>
      </c>
      <c r="C5900" s="6">
        <v>69</v>
      </c>
      <c r="D5900" s="7">
        <v>5.49</v>
      </c>
      <c r="E5900" t="s">
        <v>10</v>
      </c>
    </row>
    <row r="5901" spans="1:5" x14ac:dyDescent="0.25">
      <c r="A5901" t="str">
        <f>HYPERLINK("https://www.773grp.com/globalSearch/COP472WM-3/page-1", "COP472WM-3")</f>
        <v>COP472WM-3</v>
      </c>
      <c r="B5901" s="3" t="str">
        <f>HYPERLINK("https://www.773grp.com/manufacturer/national-semiconductor?pageNo=4", "National Semiconductor")</f>
        <v>National Semiconductor</v>
      </c>
      <c r="C5901" s="6">
        <v>468</v>
      </c>
      <c r="D5901" s="7">
        <v>5.49</v>
      </c>
    </row>
    <row r="5902" spans="1:5" x14ac:dyDescent="0.25">
      <c r="A5902" t="str">
        <f>HYPERLINK("https://www.773grp.com/globalSearch/COP472WM-3-NOPB/page-1", "COP472WM-3-NOPB")</f>
        <v>COP472WM-3-NOPB</v>
      </c>
      <c r="B5902" s="3" t="str">
        <f>HYPERLINK("https://www.773grp.com/manufacturer/national-semiconductor?pageNo=5", "National Semiconductor")</f>
        <v>National Semiconductor</v>
      </c>
      <c r="C5902" s="6">
        <v>6887</v>
      </c>
      <c r="D5902" s="7">
        <v>5.49</v>
      </c>
    </row>
    <row r="5903" spans="1:5" x14ac:dyDescent="0.25">
      <c r="A5903" t="str">
        <f>HYPERLINK("https://www.773grp.com/globalSearch/DM81LS96AJ/page-1", "DM81LS96AJ")</f>
        <v>DM81LS96AJ</v>
      </c>
      <c r="B5903" s="3" t="str">
        <f>HYPERLINK("https://www.773grp.com/manufacturer/national-semiconductor?pageNo=6", "National Semiconductor")</f>
        <v>National Semiconductor</v>
      </c>
      <c r="C5903" s="6">
        <v>4388</v>
      </c>
      <c r="D5903" s="7">
        <v>5.49</v>
      </c>
    </row>
    <row r="5904" spans="1:5" x14ac:dyDescent="0.25">
      <c r="A5904" t="str">
        <f>HYPERLINK("https://www.773grp.com/globalSearch/DM81LS98AN/page-1", "DM81LS98AN")</f>
        <v>DM81LS98AN</v>
      </c>
      <c r="B5904" s="3" t="str">
        <f>HYPERLINK("https://www.773grp.com/manufacturer/national-semiconductor?pageNo=7", "National Semiconductor")</f>
        <v>National Semiconductor</v>
      </c>
      <c r="C5904" s="6">
        <v>3750</v>
      </c>
      <c r="D5904" s="7">
        <v>5.49</v>
      </c>
      <c r="E5904" t="s">
        <v>14</v>
      </c>
    </row>
    <row r="5905" spans="1:5" x14ac:dyDescent="0.25">
      <c r="A5905" t="str">
        <f>HYPERLINK("https://www.773grp.com/globalSearch/DS90C363BMTX-NOPB/page-1", "DS90C363BMTX-NOPB")</f>
        <v>DS90C363BMTX-NOPB</v>
      </c>
      <c r="B5905" s="3" t="str">
        <f>HYPERLINK("https://www.773grp.com/manufacturer/national-semiconductor?pageNo=8", "National Semiconductor")</f>
        <v>National Semiconductor</v>
      </c>
      <c r="C5905" s="6">
        <v>6000</v>
      </c>
      <c r="D5905" s="7">
        <v>5.49</v>
      </c>
    </row>
    <row r="5906" spans="1:5" x14ac:dyDescent="0.25">
      <c r="A5906" t="str">
        <f>HYPERLINK("https://www.773grp.com/globalSearch/GAL20V8-25QVC/page-1", "GAL20V8-25QVC")</f>
        <v>GAL20V8-25QVC</v>
      </c>
      <c r="B5906" s="3" t="str">
        <f>HYPERLINK("https://www.773grp.com/manufacturer/national-semiconductor?pageNo=9", "National Semiconductor")</f>
        <v>National Semiconductor</v>
      </c>
      <c r="C5906" s="6">
        <v>414</v>
      </c>
      <c r="D5906" s="7">
        <v>5.49</v>
      </c>
      <c r="E5906" t="s">
        <v>51</v>
      </c>
    </row>
    <row r="5907" spans="1:5" x14ac:dyDescent="0.25">
      <c r="A5907" t="str">
        <f>HYPERLINK("https://www.773grp.com/globalSearch/LM2574HVN-12-NOPB/page-1", "LM2574HVN-12-NOPB")</f>
        <v>LM2574HVN-12-NOPB</v>
      </c>
      <c r="B5907" s="3" t="str">
        <f>HYPERLINK("https://www.773grp.com/manufacturer/national-semiconductor?pageNo=10", "National Semiconductor")</f>
        <v>National Semiconductor</v>
      </c>
      <c r="C5907" s="6">
        <v>680</v>
      </c>
      <c r="D5907" s="7">
        <v>5.49</v>
      </c>
      <c r="E5907" t="s">
        <v>7</v>
      </c>
    </row>
    <row r="5908" spans="1:5" x14ac:dyDescent="0.25">
      <c r="A5908" t="str">
        <f>HYPERLINK("https://www.773grp.com/globalSearch/LM2574HVN-5.0-NOPB/page-1", "LM2574HVN-5.0-NOPB")</f>
        <v>LM2574HVN-5.0-NOPB</v>
      </c>
      <c r="B5908" s="3" t="str">
        <f>HYPERLINK("https://www.773grp.com/manufacturer/national-semiconductor?pageNo=11", "National Semiconductor")</f>
        <v>National Semiconductor</v>
      </c>
      <c r="C5908" s="6">
        <v>921</v>
      </c>
      <c r="D5908" s="7">
        <v>5.49</v>
      </c>
      <c r="E5908" t="s">
        <v>7</v>
      </c>
    </row>
    <row r="5909" spans="1:5" x14ac:dyDescent="0.25">
      <c r="A5909" t="str">
        <f>HYPERLINK("https://www.773grp.com/globalSearch/LM2574HVN-ADJ-NOPB/page-1", "LM2574HVN-ADJ-NOPB")</f>
        <v>LM2574HVN-ADJ-NOPB</v>
      </c>
      <c r="B5909" s="3" t="str">
        <f>HYPERLINK("https://www.773grp.com/manufacturer/national-semiconductor?pageNo=12", "National Semiconductor")</f>
        <v>National Semiconductor</v>
      </c>
      <c r="C5909" s="6">
        <v>1165</v>
      </c>
      <c r="D5909" s="7">
        <v>5.49</v>
      </c>
      <c r="E5909" t="s">
        <v>7</v>
      </c>
    </row>
    <row r="5910" spans="1:5" x14ac:dyDescent="0.25">
      <c r="A5910" t="str">
        <f>HYPERLINK("https://www.773grp.com/globalSearch/LM4140BCM/page-1", "LM4140BCM")</f>
        <v>LM4140BCM</v>
      </c>
      <c r="B5910" s="3" t="str">
        <f>HYPERLINK("https://www.773grp.com/manufacturer/national-semiconductor?pageNo=13", "National Semiconductor")</f>
        <v>National Semiconductor</v>
      </c>
      <c r="C5910" s="6">
        <v>95</v>
      </c>
      <c r="D5910" s="7">
        <v>5.49</v>
      </c>
    </row>
    <row r="5911" spans="1:5" x14ac:dyDescent="0.25">
      <c r="A5911" t="str">
        <f>HYPERLINK("https://www.773grp.com/globalSearch/LM96000CIMTX-NOPB/page-1", "LM96000CIMTX-NOPB")</f>
        <v>LM96000CIMTX-NOPB</v>
      </c>
      <c r="B5911" s="3" t="str">
        <f>HYPERLINK("https://www.773grp.com/manufacturer/national-semiconductor?pageNo=14", "National Semiconductor")</f>
        <v>National Semiconductor</v>
      </c>
      <c r="C5911" s="6">
        <v>33402</v>
      </c>
      <c r="D5911" s="7">
        <v>5.49</v>
      </c>
      <c r="E5911" t="s">
        <v>30</v>
      </c>
    </row>
    <row r="5912" spans="1:5" x14ac:dyDescent="0.25">
      <c r="A5912" t="str">
        <f>HYPERLINK("https://www.773grp.com/globalSearch/LMH6626MM-NOPB/page-1", "LMH6626MM-NOPB")</f>
        <v>LMH6626MM-NOPB</v>
      </c>
      <c r="B5912" s="3" t="str">
        <f>HYPERLINK("https://www.773grp.com/manufacturer/national-semiconductor?pageNo=15", "National Semiconductor")</f>
        <v>National Semiconductor</v>
      </c>
      <c r="C5912" s="6">
        <v>6700</v>
      </c>
      <c r="D5912" s="7">
        <v>5.49</v>
      </c>
      <c r="E5912" t="s">
        <v>13</v>
      </c>
    </row>
    <row r="5913" spans="1:5" x14ac:dyDescent="0.25">
      <c r="A5913" t="str">
        <f>HYPERLINK("https://www.773grp.com/globalSearch/LP3855ES-2.5/page-1", "LP3855ES-2.5")</f>
        <v>LP3855ES-2.5</v>
      </c>
      <c r="B5913" s="3" t="str">
        <f>HYPERLINK("https://www.773grp.com/manufacturer/national-semiconductor?pageNo=16", "National Semiconductor")</f>
        <v>National Semiconductor</v>
      </c>
      <c r="C5913" s="6">
        <v>72</v>
      </c>
      <c r="D5913" s="7">
        <v>5.49</v>
      </c>
      <c r="E5913" t="s">
        <v>19</v>
      </c>
    </row>
    <row r="5914" spans="1:5" x14ac:dyDescent="0.25">
      <c r="A5914" t="str">
        <f>HYPERLINK("https://www.773grp.com/globalSearch/LP3855ESX-1.8/page-1", "LP3855ESX-1.8")</f>
        <v>LP3855ESX-1.8</v>
      </c>
      <c r="B5914" s="3" t="str">
        <f>HYPERLINK("https://www.773grp.com/manufacturer/national-semiconductor?pageNo=17", "National Semiconductor")</f>
        <v>National Semiconductor</v>
      </c>
      <c r="C5914" s="6">
        <v>4500</v>
      </c>
      <c r="D5914" s="7">
        <v>5.49</v>
      </c>
      <c r="E5914" t="s">
        <v>19</v>
      </c>
    </row>
    <row r="5915" spans="1:5" x14ac:dyDescent="0.25">
      <c r="A5915" t="str">
        <f>HYPERLINK("https://www.773grp.com/globalSearch/LP3855ESX-3.3-NOPB/page-1", "LP3855ESX-3.3-NOPB")</f>
        <v>LP3855ESX-3.3-NOPB</v>
      </c>
      <c r="B5915" s="3" t="str">
        <f>HYPERLINK("https://www.773grp.com/manufacturer/national-semiconductor?pageNo=18", "National Semiconductor")</f>
        <v>National Semiconductor</v>
      </c>
      <c r="C5915" s="6">
        <v>8000</v>
      </c>
      <c r="D5915" s="7">
        <v>5.49</v>
      </c>
      <c r="E5915" t="s">
        <v>19</v>
      </c>
    </row>
    <row r="5916" spans="1:5" x14ac:dyDescent="0.25">
      <c r="A5916" t="str">
        <f>HYPERLINK("https://www.773grp.com/globalSearch/LP3855ESX-5.0-NOPB/page-1", "LP3855ESX-5.0-NOPB")</f>
        <v>LP3855ESX-5.0-NOPB</v>
      </c>
      <c r="B5916" s="3" t="str">
        <f>HYPERLINK("https://www.773grp.com/manufacturer/national-semiconductor?pageNo=19", "National Semiconductor")</f>
        <v>National Semiconductor</v>
      </c>
      <c r="C5916" s="6">
        <v>3000</v>
      </c>
      <c r="D5916" s="7">
        <v>5.49</v>
      </c>
      <c r="E5916" t="s">
        <v>19</v>
      </c>
    </row>
    <row r="5917" spans="1:5" x14ac:dyDescent="0.25">
      <c r="A5917" t="str">
        <f>HYPERLINK("https://www.773grp.com/globalSearch/LP3855ET-2.5/page-1", "LP3855ET-2.5")</f>
        <v>LP3855ET-2.5</v>
      </c>
      <c r="B5917" s="3" t="str">
        <f>HYPERLINK("https://www.773grp.com/manufacturer/national-semiconductor?pageNo=20", "National Semiconductor")</f>
        <v>National Semiconductor</v>
      </c>
      <c r="C5917" s="6">
        <v>45</v>
      </c>
      <c r="D5917" s="7">
        <v>5.49</v>
      </c>
      <c r="E5917" t="s">
        <v>19</v>
      </c>
    </row>
    <row r="5918" spans="1:5" x14ac:dyDescent="0.25">
      <c r="A5918" t="str">
        <f>HYPERLINK("https://www.773grp.com/globalSearch/LP3855ET-5.0-NOPB/page-1", "LP3855ET-5.0-NOPB")</f>
        <v>LP3855ET-5.0-NOPB</v>
      </c>
      <c r="B5918" s="3" t="str">
        <f>HYPERLINK("https://www.773grp.com/manufacturer/national-semiconductor?pageNo=21", "National Semiconductor")</f>
        <v>National Semiconductor</v>
      </c>
      <c r="C5918" s="6">
        <v>574</v>
      </c>
      <c r="D5918" s="7">
        <v>5.49</v>
      </c>
      <c r="E5918" t="s">
        <v>19</v>
      </c>
    </row>
    <row r="5919" spans="1:5" x14ac:dyDescent="0.25">
      <c r="A5919" t="str">
        <f>HYPERLINK("https://www.773grp.com/globalSearch/LP3881ES-1.2/page-1", "LP3881ES-1.2")</f>
        <v>LP3881ES-1.2</v>
      </c>
      <c r="B5919" s="3" t="str">
        <f>HYPERLINK("https://www.773grp.com/manufacturer/national-semiconductor?pageNo=22", "National Semiconductor")</f>
        <v>National Semiconductor</v>
      </c>
      <c r="C5919" s="6">
        <v>20</v>
      </c>
      <c r="D5919" s="7">
        <v>5.49</v>
      </c>
      <c r="E5919" t="s">
        <v>19</v>
      </c>
    </row>
    <row r="5920" spans="1:5" x14ac:dyDescent="0.25">
      <c r="A5920" t="str">
        <f>HYPERLINK("https://www.773grp.com/globalSearch/LP3881ES-1.5-NOPB/page-1", "LP3881ES-1.5-NOPB")</f>
        <v>LP3881ES-1.5-NOPB</v>
      </c>
      <c r="B5920" s="3" t="str">
        <f>HYPERLINK("https://www.773grp.com/manufacturer/national-semiconductor?pageNo=23", "National Semiconductor")</f>
        <v>National Semiconductor</v>
      </c>
      <c r="C5920" s="6">
        <v>23</v>
      </c>
      <c r="D5920" s="7">
        <v>5.49</v>
      </c>
      <c r="E5920" t="s">
        <v>19</v>
      </c>
    </row>
    <row r="5921" spans="1:5" x14ac:dyDescent="0.25">
      <c r="A5921" t="str">
        <f>HYPERLINK("https://www.773grp.com/globalSearch/LP3881ESX-1.2/page-1", "LP3881ESX-1.2")</f>
        <v>LP3881ESX-1.2</v>
      </c>
      <c r="B5921" s="3" t="str">
        <f>HYPERLINK("https://www.773grp.com/manufacturer/national-semiconductor?pageNo=24", "National Semiconductor")</f>
        <v>National Semiconductor</v>
      </c>
      <c r="C5921" s="6">
        <v>28000</v>
      </c>
      <c r="D5921" s="7">
        <v>5.49</v>
      </c>
      <c r="E5921" t="s">
        <v>19</v>
      </c>
    </row>
    <row r="5922" spans="1:5" x14ac:dyDescent="0.25">
      <c r="A5922" t="str">
        <f>HYPERLINK("https://www.773grp.com/globalSearch/LP3882EMR-1.5/page-1", "LP3882EMR-1.5")</f>
        <v>LP3882EMR-1.5</v>
      </c>
      <c r="B5922" s="3" t="str">
        <f>HYPERLINK("https://www.773grp.com/manufacturer/national-semiconductor?pageNo=25", "National Semiconductor")</f>
        <v>National Semiconductor</v>
      </c>
      <c r="C5922" s="6">
        <v>95</v>
      </c>
      <c r="D5922" s="7">
        <v>5.49</v>
      </c>
      <c r="E5922" t="s">
        <v>19</v>
      </c>
    </row>
    <row r="5923" spans="1:5" x14ac:dyDescent="0.25">
      <c r="A5923" t="str">
        <f>HYPERLINK("https://www.773grp.com/globalSearch/LP3882ES-1.2/page-1", "LP3882ES-1.2")</f>
        <v>LP3882ES-1.2</v>
      </c>
      <c r="B5923" s="3" t="str">
        <f>HYPERLINK("https://www.773grp.com/manufacturer/national-semiconductor?pageNo=26", "National Semiconductor")</f>
        <v>National Semiconductor</v>
      </c>
      <c r="C5923" s="6">
        <v>350</v>
      </c>
      <c r="D5923" s="7">
        <v>5.49</v>
      </c>
      <c r="E5923" t="s">
        <v>19</v>
      </c>
    </row>
    <row r="5924" spans="1:5" x14ac:dyDescent="0.25">
      <c r="A5924" t="str">
        <f>HYPERLINK("https://www.773grp.com/globalSearch/LP3882ES-1.5/page-1", "LP3882ES-1.5")</f>
        <v>LP3882ES-1.5</v>
      </c>
      <c r="B5924" s="3" t="str">
        <f>HYPERLINK("https://www.773grp.com/manufacturer/national-semiconductor?pageNo=27", "National Semiconductor")</f>
        <v>National Semiconductor</v>
      </c>
      <c r="C5924" s="6">
        <v>142</v>
      </c>
      <c r="D5924" s="7">
        <v>5.49</v>
      </c>
      <c r="E5924" t="s">
        <v>19</v>
      </c>
    </row>
    <row r="5925" spans="1:5" x14ac:dyDescent="0.25">
      <c r="A5925" t="str">
        <f>HYPERLINK("https://www.773grp.com/globalSearch/LP3882ESX-1.5-NOPB/page-1", "LP3882ESX-1.5-NOPB")</f>
        <v>LP3882ESX-1.5-NOPB</v>
      </c>
      <c r="B5925" s="3" t="str">
        <f>HYPERLINK("https://www.773grp.com/manufacturer/national-semiconductor?pageNo=28", "National Semiconductor")</f>
        <v>National Semiconductor</v>
      </c>
      <c r="C5925" s="6">
        <v>500</v>
      </c>
      <c r="D5925" s="7">
        <v>5.49</v>
      </c>
      <c r="E5925" t="s">
        <v>19</v>
      </c>
    </row>
    <row r="5926" spans="1:5" x14ac:dyDescent="0.25">
      <c r="A5926" t="str">
        <f>HYPERLINK("https://www.773grp.com/globalSearch/LM2574HVN-12-NOPB/page-1", "LM2574HVN-12-NOPB")</f>
        <v>LM2574HVN-12-NOPB</v>
      </c>
      <c r="B5926" s="3" t="str">
        <f>HYPERLINK("https://www.773grp.com/manufacturer/national-semiconductor?pageNo=29", "National Semiconductor")</f>
        <v>National Semiconductor</v>
      </c>
      <c r="C5926" s="6">
        <v>235</v>
      </c>
      <c r="D5926" s="7">
        <v>5.49</v>
      </c>
      <c r="E5926" t="s">
        <v>7</v>
      </c>
    </row>
    <row r="5927" spans="1:5" x14ac:dyDescent="0.25">
      <c r="A5927" t="str">
        <f>HYPERLINK("https://www.773grp.com/globalSearch/LM2574HVN-15-NOPB/page-1", "LM2574HVN-15-NOPB")</f>
        <v>LM2574HVN-15-NOPB</v>
      </c>
      <c r="B5927" s="3" t="str">
        <f>HYPERLINK("https://www.773grp.com/manufacturer/national-semiconductor?pageNo=30", "National Semiconductor")</f>
        <v>National Semiconductor</v>
      </c>
      <c r="C5927" s="6">
        <v>160</v>
      </c>
      <c r="D5927" s="7">
        <v>5.49</v>
      </c>
      <c r="E5927" t="s">
        <v>7</v>
      </c>
    </row>
    <row r="5928" spans="1:5" x14ac:dyDescent="0.25">
      <c r="A5928" t="str">
        <f>HYPERLINK("https://www.773grp.com/globalSearch/LM2574HVN-5.0-NOPB/page-1", "LM2574HVN-5.0-NOPB")</f>
        <v>LM2574HVN-5.0-NOPB</v>
      </c>
      <c r="B5928" s="3" t="str">
        <f>HYPERLINK("https://www.773grp.com/manufacturer/national-semiconductor?pageNo=31", "National Semiconductor")</f>
        <v>National Semiconductor</v>
      </c>
      <c r="C5928" s="6">
        <v>943</v>
      </c>
      <c r="D5928" s="7">
        <v>5.49</v>
      </c>
      <c r="E5928" t="s">
        <v>7</v>
      </c>
    </row>
    <row r="5929" spans="1:5" x14ac:dyDescent="0.25">
      <c r="A5929" t="str">
        <f>HYPERLINK("https://www.773grp.com/globalSearch/LM2574HVN-ADJ-NOPB/page-1", "LM2574HVN-ADJ-NOPB")</f>
        <v>LM2574HVN-ADJ-NOPB</v>
      </c>
      <c r="B5929" s="3" t="str">
        <f>HYPERLINK("https://www.773grp.com/manufacturer/national-semiconductor?pageNo=32", "National Semiconductor")</f>
        <v>National Semiconductor</v>
      </c>
      <c r="C5929" s="6">
        <v>218</v>
      </c>
      <c r="D5929" s="7">
        <v>5.49</v>
      </c>
      <c r="E5929" t="s">
        <v>7</v>
      </c>
    </row>
    <row r="5930" spans="1:5" x14ac:dyDescent="0.25">
      <c r="A5930" t="str">
        <f>HYPERLINK("https://www.773grp.com/globalSearch/LM6132AIMX/page-1", "LM6132AIMX")</f>
        <v>LM6132AIMX</v>
      </c>
      <c r="B5930" s="3" t="str">
        <f>HYPERLINK("https://www.773grp.com/manufacturer/national-semiconductor?pageNo=33", "National Semiconductor")</f>
        <v>National Semiconductor</v>
      </c>
      <c r="C5930" s="6">
        <v>10000</v>
      </c>
      <c r="D5930" s="7">
        <v>5.49</v>
      </c>
    </row>
    <row r="5931" spans="1:5" x14ac:dyDescent="0.25">
      <c r="A5931" t="str">
        <f>HYPERLINK("https://www.773grp.com/globalSearch/LM96000CIMTX-NOPB/page-1", "LM96000CIMTX-NOPB")</f>
        <v>LM96000CIMTX-NOPB</v>
      </c>
      <c r="B5931" s="3" t="str">
        <f>HYPERLINK("https://www.773grp.com/manufacturer/national-semiconductor?pageNo=34", "National Semiconductor")</f>
        <v>National Semiconductor</v>
      </c>
      <c r="C5931" s="6">
        <v>2294</v>
      </c>
      <c r="D5931" s="7">
        <v>5.49</v>
      </c>
      <c r="E5931" t="s">
        <v>30</v>
      </c>
    </row>
    <row r="5932" spans="1:5" x14ac:dyDescent="0.25">
      <c r="A5932" t="str">
        <f>HYPERLINK("https://www.773grp.com/globalSearch/LMH6626MM-NOPB/page-1", "LMH6626MM-NOPB")</f>
        <v>LMH6626MM-NOPB</v>
      </c>
      <c r="B5932" s="3" t="str">
        <f>HYPERLINK("https://www.773grp.com/manufacturer/national-semiconductor?pageNo=35", "National Semiconductor")</f>
        <v>National Semiconductor</v>
      </c>
      <c r="C5932" s="6">
        <v>1110</v>
      </c>
      <c r="D5932" s="7">
        <v>5.49</v>
      </c>
      <c r="E5932" t="s">
        <v>13</v>
      </c>
    </row>
    <row r="5933" spans="1:5" x14ac:dyDescent="0.25">
      <c r="A5933" t="str">
        <f>HYPERLINK("https://www.773grp.com/globalSearch/LMH6683MT/page-1", "LMH6683MT")</f>
        <v>LMH6683MT</v>
      </c>
      <c r="B5933" s="3" t="str">
        <f>HYPERLINK("https://www.773grp.com/manufacturer/national-semiconductor?pageNo=36", "National Semiconductor")</f>
        <v>National Semiconductor</v>
      </c>
      <c r="C5933" s="6">
        <v>15035</v>
      </c>
      <c r="D5933" s="7">
        <v>5.49</v>
      </c>
    </row>
    <row r="5934" spans="1:5" x14ac:dyDescent="0.25">
      <c r="A5934" t="str">
        <f>HYPERLINK("https://www.773grp.com/globalSearch/LP3855ESX-3.3-NOPB/page-1", "LP3855ESX-3.3-NOPB")</f>
        <v>LP3855ESX-3.3-NOPB</v>
      </c>
      <c r="B5934" s="3" t="str">
        <f>HYPERLINK("https://www.773grp.com/manufacturer/national-semiconductor?pageNo=37", "National Semiconductor")</f>
        <v>National Semiconductor</v>
      </c>
      <c r="C5934" s="6">
        <v>59000</v>
      </c>
      <c r="D5934" s="7">
        <v>5.49</v>
      </c>
      <c r="E5934" t="s">
        <v>19</v>
      </c>
    </row>
    <row r="5935" spans="1:5" x14ac:dyDescent="0.25">
      <c r="A5935" t="str">
        <f>HYPERLINK("https://www.773grp.com/globalSearch/LP3855ET-5.0-NOPB/page-1", "LP3855ET-5.0-NOPB")</f>
        <v>LP3855ET-5.0-NOPB</v>
      </c>
      <c r="B5935" s="3" t="str">
        <f>HYPERLINK("https://www.773grp.com/manufacturer/national-semiconductor?pageNo=38", "National Semiconductor")</f>
        <v>National Semiconductor</v>
      </c>
      <c r="C5935" s="6">
        <v>180</v>
      </c>
      <c r="D5935" s="7">
        <v>5.49</v>
      </c>
      <c r="E5935" t="s">
        <v>19</v>
      </c>
    </row>
    <row r="5936" spans="1:5" x14ac:dyDescent="0.25">
      <c r="A5936" t="str">
        <f>HYPERLINK("https://www.773grp.com/globalSearch/LP3881ESX-1.2-NOPB/page-1", "LP3881ESX-1.2-NOPB")</f>
        <v>LP3881ESX-1.2-NOPB</v>
      </c>
      <c r="B5936" s="3" t="str">
        <f>HYPERLINK("https://www.773grp.com/manufacturer/national-semiconductor?pageNo=39", "National Semiconductor")</f>
        <v>National Semiconductor</v>
      </c>
      <c r="C5936" s="6">
        <v>500</v>
      </c>
      <c r="D5936" s="7">
        <v>5.49</v>
      </c>
    </row>
    <row r="5937" spans="1:5" x14ac:dyDescent="0.25">
      <c r="A5937" t="str">
        <f>HYPERLINK("https://www.773grp.com/globalSearch/LP3882ESX-1.5-NOPB/page-1", "LP3882ESX-1.5-NOPB")</f>
        <v>LP3882ESX-1.5-NOPB</v>
      </c>
      <c r="B5937" s="3" t="str">
        <f>HYPERLINK("https://www.773grp.com/manufacturer/national-semiconductor?pageNo=40", "National Semiconductor")</f>
        <v>National Semiconductor</v>
      </c>
      <c r="C5937" s="6">
        <v>1000</v>
      </c>
      <c r="D5937" s="7">
        <v>5.49</v>
      </c>
      <c r="E5937" t="s">
        <v>19</v>
      </c>
    </row>
    <row r="5938" spans="1:5" x14ac:dyDescent="0.25">
      <c r="A5938" t="str">
        <f>HYPERLINK("https://www.773grp.com/globalSearch/TLV2774AID/page-1", "TLV2774AID")</f>
        <v>TLV2774AID</v>
      </c>
      <c r="B5938" s="3" t="str">
        <f>HYPERLINK("https://www.773grp.com/manufacturer/national-semiconductor?pageNo=41", "National Semiconductor")</f>
        <v>National Semiconductor</v>
      </c>
      <c r="C5938" s="6">
        <v>1000</v>
      </c>
      <c r="D5938" s="7">
        <v>5.49</v>
      </c>
    </row>
    <row r="5939" spans="1:5" x14ac:dyDescent="0.25">
      <c r="A5939" t="str">
        <f>HYPERLINK("https://www.773grp.com/globalSearch/ADC0805LCN-NOPB/page-1", "ADC0805LCN-NOPB")</f>
        <v>ADC0805LCN-NOPB</v>
      </c>
      <c r="B5939" s="3" t="str">
        <f>HYPERLINK("https://www.773grp.com/manufacturer/national-semiconductor?pageNo=42", "National Semiconductor")</f>
        <v>National Semiconductor</v>
      </c>
      <c r="C5939" s="6">
        <v>3190</v>
      </c>
      <c r="D5939" s="7">
        <v>5.51</v>
      </c>
      <c r="E5939" t="s">
        <v>39</v>
      </c>
    </row>
    <row r="5940" spans="1:5" x14ac:dyDescent="0.25">
      <c r="A5940" t="str">
        <f>HYPERLINK("https://www.773grp.com/globalSearch/ADC121S021CIMF/page-1", "ADC121S021CIMF")</f>
        <v>ADC121S021CIMF</v>
      </c>
      <c r="B5940" s="3" t="str">
        <f>HYPERLINK("https://www.773grp.com/manufacturer/national-semiconductor?pageNo=43", "National Semiconductor")</f>
        <v>National Semiconductor</v>
      </c>
      <c r="C5940" s="6">
        <v>3748</v>
      </c>
      <c r="D5940" s="7">
        <v>5.51</v>
      </c>
      <c r="E5940" t="s">
        <v>39</v>
      </c>
    </row>
    <row r="5941" spans="1:5" x14ac:dyDescent="0.25">
      <c r="A5941" t="str">
        <f>HYPERLINK("https://www.773grp.com/globalSearch/ADC121S705CIMM/page-1", "ADC121S705CIMM")</f>
        <v>ADC121S705CIMM</v>
      </c>
      <c r="B5941" s="3" t="str">
        <f>HYPERLINK("https://www.773grp.com/manufacturer/national-semiconductor?pageNo=44", "National Semiconductor")</f>
        <v>National Semiconductor</v>
      </c>
      <c r="C5941" s="6">
        <v>1000</v>
      </c>
      <c r="D5941" s="7">
        <v>5.51</v>
      </c>
      <c r="E5941" t="s">
        <v>39</v>
      </c>
    </row>
    <row r="5942" spans="1:5" x14ac:dyDescent="0.25">
      <c r="A5942" t="str">
        <f>HYPERLINK("https://www.773grp.com/globalSearch/ADC121S705CIMM-NOPB/page-1", "ADC121S705CIMM-NOPB")</f>
        <v>ADC121S705CIMM-NOPB</v>
      </c>
      <c r="B5942" s="3" t="str">
        <f>HYPERLINK("https://www.773grp.com/manufacturer/national-semiconductor?pageNo=45", "National Semiconductor")</f>
        <v>National Semiconductor</v>
      </c>
      <c r="C5942" s="6">
        <v>887</v>
      </c>
      <c r="D5942" s="7">
        <v>5.51</v>
      </c>
    </row>
    <row r="5943" spans="1:5" x14ac:dyDescent="0.25">
      <c r="A5943" t="str">
        <f>HYPERLINK("https://www.773grp.com/globalSearch/LM2655MTC-ADJ-NOPB/page-1", "LM2655MTC-ADJ-NOPB")</f>
        <v>LM2655MTC-ADJ-NOPB</v>
      </c>
      <c r="B5943" s="3" t="str">
        <f>HYPERLINK("https://www.773grp.com/manufacturer/national-semiconductor?pageNo=46", "National Semiconductor")</f>
        <v>National Semiconductor</v>
      </c>
      <c r="C5943" s="6">
        <v>426</v>
      </c>
      <c r="D5943" s="7">
        <v>5.51</v>
      </c>
      <c r="E5943" t="s">
        <v>7</v>
      </c>
    </row>
    <row r="5944" spans="1:5" x14ac:dyDescent="0.25">
      <c r="A5944" t="str">
        <f>HYPERLINK("https://www.773grp.com/globalSearch/LM2734ZQMKE-NOPB/page-1", "LM2734ZQMKE-NOPB")</f>
        <v>LM2734ZQMKE-NOPB</v>
      </c>
      <c r="B5944" s="3" t="str">
        <f>HYPERLINK("https://www.773grp.com/manufacturer/national-semiconductor?pageNo=47", "National Semiconductor")</f>
        <v>National Semiconductor</v>
      </c>
      <c r="C5944" s="6">
        <v>250</v>
      </c>
      <c r="D5944" s="7">
        <v>5.51</v>
      </c>
    </row>
    <row r="5945" spans="1:5" x14ac:dyDescent="0.25">
      <c r="A5945" t="str">
        <f>HYPERLINK("https://www.773grp.com/globalSearch/LM6171BIM/page-1", "LM6171BIM")</f>
        <v>LM6171BIM</v>
      </c>
      <c r="B5945" s="3" t="str">
        <f>HYPERLINK("https://www.773grp.com/manufacturer/national-semiconductor?pageNo=48", "National Semiconductor")</f>
        <v>National Semiconductor</v>
      </c>
      <c r="C5945" s="6">
        <v>25</v>
      </c>
      <c r="D5945" s="7">
        <v>5.51</v>
      </c>
      <c r="E5945" t="s">
        <v>18</v>
      </c>
    </row>
    <row r="5946" spans="1:5" x14ac:dyDescent="0.25">
      <c r="A5946" t="str">
        <f>HYPERLINK("https://www.773grp.com/globalSearch/LMC6494BEM-NOPB/page-1", "LMC6494BEM-NOPB")</f>
        <v>LMC6494BEM-NOPB</v>
      </c>
      <c r="B5946" s="3" t="str">
        <f>HYPERLINK("https://www.773grp.com/manufacturer/national-semiconductor?pageNo=49", "National Semiconductor")</f>
        <v>National Semiconductor</v>
      </c>
      <c r="C5946" s="6">
        <v>815</v>
      </c>
      <c r="D5946" s="7">
        <v>5.51</v>
      </c>
      <c r="E5946" t="s">
        <v>13</v>
      </c>
    </row>
    <row r="5947" spans="1:5" x14ac:dyDescent="0.25">
      <c r="A5947" t="str">
        <f>HYPERLINK("https://www.773grp.com/globalSearch/LMV1088RL-NOPB/page-1", "LMV1088RL-NOPB")</f>
        <v>LMV1088RL-NOPB</v>
      </c>
      <c r="B5947" s="3" t="str">
        <f>HYPERLINK("https://www.773grp.com/manufacturer/national-semiconductor?pageNo=50", "National Semiconductor")</f>
        <v>National Semiconductor</v>
      </c>
      <c r="C5947" s="6">
        <v>625</v>
      </c>
      <c r="D5947" s="7">
        <v>5.51</v>
      </c>
    </row>
    <row r="5948" spans="1:5" x14ac:dyDescent="0.25">
      <c r="A5948" t="str">
        <f>HYPERLINK("https://www.773grp.com/globalSearch/ADC121S021CIMF/page-1", "ADC121S021CIMF")</f>
        <v>ADC121S021CIMF</v>
      </c>
      <c r="B5948" s="3" t="str">
        <f>HYPERLINK("https://www.773grp.com/manufacturer/national-semiconductor?pageNo=51", "National Semiconductor")</f>
        <v>National Semiconductor</v>
      </c>
      <c r="C5948" s="6">
        <v>1000</v>
      </c>
      <c r="D5948" s="7">
        <v>5.51</v>
      </c>
      <c r="E5948" t="s">
        <v>39</v>
      </c>
    </row>
    <row r="5949" spans="1:5" x14ac:dyDescent="0.25">
      <c r="A5949" t="str">
        <f>HYPERLINK("https://www.773grp.com/globalSearch/ADC121S705CIMM-NOPB/page-1", "ADC121S705CIMM-NOPB")</f>
        <v>ADC121S705CIMM-NOPB</v>
      </c>
      <c r="B5949" s="3" t="str">
        <f>HYPERLINK("https://www.773grp.com/manufacturer/national-semiconductor?pageNo=52", "National Semiconductor")</f>
        <v>National Semiconductor</v>
      </c>
      <c r="C5949" s="6">
        <v>251</v>
      </c>
      <c r="D5949" s="7">
        <v>5.51</v>
      </c>
    </row>
    <row r="5950" spans="1:5" x14ac:dyDescent="0.25">
      <c r="A5950" t="str">
        <f>HYPERLINK("https://www.773grp.com/globalSearch/LM22675QMRE-5.0-NOPB/page-1", "LM22675QMRE-5.0-NOPB")</f>
        <v>LM22675QMRE-5.0-NOPB</v>
      </c>
      <c r="B5950" s="3" t="str">
        <f>HYPERLINK("https://www.773grp.com/manufacturer/national-semiconductor?pageNo=53", "National Semiconductor")</f>
        <v>National Semiconductor</v>
      </c>
      <c r="C5950" s="6">
        <v>7500</v>
      </c>
      <c r="D5950" s="7">
        <v>5.51</v>
      </c>
    </row>
    <row r="5951" spans="1:5" x14ac:dyDescent="0.25">
      <c r="A5951" t="str">
        <f>HYPERLINK("https://www.773grp.com/globalSearch/LM22675QMRE-ADJ-NOPB/page-1", "LM22675QMRE-ADJ-NOPB")</f>
        <v>LM22675QMRE-ADJ-NOPB</v>
      </c>
      <c r="B5951" s="3" t="str">
        <f>HYPERLINK("https://www.773grp.com/manufacturer/national-semiconductor?pageNo=54", "National Semiconductor")</f>
        <v>National Semiconductor</v>
      </c>
      <c r="C5951" s="6">
        <v>3500</v>
      </c>
      <c r="D5951" s="7">
        <v>5.51</v>
      </c>
    </row>
    <row r="5952" spans="1:5" x14ac:dyDescent="0.25">
      <c r="A5952" t="str">
        <f>HYPERLINK("https://www.773grp.com/globalSearch/LM22680MRE-ADJ-NOPB/page-1", "LM22680MRE-ADJ-NOPB")</f>
        <v>LM22680MRE-ADJ-NOPB</v>
      </c>
      <c r="B5952" s="3" t="str">
        <f>HYPERLINK("https://www.773grp.com/manufacturer/national-semiconductor?pageNo=55", "National Semiconductor")</f>
        <v>National Semiconductor</v>
      </c>
      <c r="C5952" s="6">
        <v>998</v>
      </c>
      <c r="D5952" s="7">
        <v>5.51</v>
      </c>
    </row>
    <row r="5953" spans="1:5" x14ac:dyDescent="0.25">
      <c r="A5953" t="str">
        <f>HYPERLINK("https://www.773grp.com/globalSearch/LM25117PMHE-NOPB/page-1", "LM25117PMHE-NOPB")</f>
        <v>LM25117PMHE-NOPB</v>
      </c>
      <c r="B5953" s="3" t="str">
        <f>HYPERLINK("https://www.773grp.com/manufacturer/national-semiconductor?pageNo=56", "National Semiconductor")</f>
        <v>National Semiconductor</v>
      </c>
      <c r="C5953" s="6">
        <v>750</v>
      </c>
      <c r="D5953" s="7">
        <v>5.51</v>
      </c>
    </row>
    <row r="5954" spans="1:5" x14ac:dyDescent="0.25">
      <c r="A5954" t="str">
        <f>HYPERLINK("https://www.773grp.com/globalSearch/LM2655MTC-3.3-NOPB/page-1", "LM2655MTC-3.3-NOPB")</f>
        <v>LM2655MTC-3.3-NOPB</v>
      </c>
      <c r="B5954" s="3" t="str">
        <f>HYPERLINK("https://www.773grp.com/manufacturer/national-semiconductor?pageNo=57", "National Semiconductor")</f>
        <v>National Semiconductor</v>
      </c>
      <c r="C5954" s="6">
        <v>26</v>
      </c>
      <c r="D5954" s="7">
        <v>5.51</v>
      </c>
    </row>
    <row r="5955" spans="1:5" x14ac:dyDescent="0.25">
      <c r="A5955" t="str">
        <f>HYPERLINK("https://www.773grp.com/globalSearch/LM2655MTC-ADJ-NOPB/page-1", "LM2655MTC-ADJ-NOPB")</f>
        <v>LM2655MTC-ADJ-NOPB</v>
      </c>
      <c r="B5955" s="3" t="str">
        <f>HYPERLINK("https://www.773grp.com/manufacturer/national-semiconductor?pageNo=58", "National Semiconductor")</f>
        <v>National Semiconductor</v>
      </c>
      <c r="C5955" s="6">
        <v>534</v>
      </c>
      <c r="D5955" s="7">
        <v>5.51</v>
      </c>
      <c r="E5955" t="s">
        <v>7</v>
      </c>
    </row>
    <row r="5956" spans="1:5" x14ac:dyDescent="0.25">
      <c r="A5956" t="str">
        <f>HYPERLINK("https://www.773grp.com/globalSearch/LM2734ZQMKE-NOPB/page-1", "LM2734ZQMKE-NOPB")</f>
        <v>LM2734ZQMKE-NOPB</v>
      </c>
      <c r="B5956" s="3" t="str">
        <f>HYPERLINK("https://www.773grp.com/manufacturer/national-semiconductor?pageNo=59", "National Semiconductor")</f>
        <v>National Semiconductor</v>
      </c>
      <c r="C5956" s="6">
        <v>347</v>
      </c>
      <c r="D5956" s="7">
        <v>5.51</v>
      </c>
    </row>
    <row r="5957" spans="1:5" x14ac:dyDescent="0.25">
      <c r="A5957" t="str">
        <f>HYPERLINK("https://www.773grp.com/globalSearch/LM2734ZQSDE-NOPB/page-1", "LM2734ZQSDE-NOPB")</f>
        <v>LM2734ZQSDE-NOPB</v>
      </c>
      <c r="B5957" s="3" t="str">
        <f>HYPERLINK("https://www.773grp.com/manufacturer/national-semiconductor?pageNo=60", "National Semiconductor")</f>
        <v>National Semiconductor</v>
      </c>
      <c r="C5957" s="6">
        <v>15500</v>
      </c>
      <c r="D5957" s="7">
        <v>5.51</v>
      </c>
    </row>
    <row r="5958" spans="1:5" x14ac:dyDescent="0.25">
      <c r="A5958" t="str">
        <f>HYPERLINK("https://www.773grp.com/globalSearch/LM6171BIM/page-1", "LM6171BIM")</f>
        <v>LM6171BIM</v>
      </c>
      <c r="B5958" s="3" t="str">
        <f>HYPERLINK("https://www.773grp.com/manufacturer/national-semiconductor?pageNo=61", "National Semiconductor")</f>
        <v>National Semiconductor</v>
      </c>
      <c r="C5958" s="6">
        <v>2</v>
      </c>
      <c r="D5958" s="7">
        <v>5.51</v>
      </c>
      <c r="E5958" t="s">
        <v>18</v>
      </c>
    </row>
    <row r="5959" spans="1:5" x14ac:dyDescent="0.25">
      <c r="A5959" t="str">
        <f>HYPERLINK("https://www.773grp.com/globalSearch/LMC6494BEM-NOPB/page-1", "LMC6494BEM-NOPB")</f>
        <v>LMC6494BEM-NOPB</v>
      </c>
      <c r="B5959" s="3" t="str">
        <f>HYPERLINK("https://www.773grp.com/manufacturer/national-semiconductor?pageNo=62", "National Semiconductor")</f>
        <v>National Semiconductor</v>
      </c>
      <c r="C5959" s="6">
        <v>245</v>
      </c>
      <c r="D5959" s="7">
        <v>5.51</v>
      </c>
      <c r="E5959" t="s">
        <v>13</v>
      </c>
    </row>
    <row r="5960" spans="1:5" x14ac:dyDescent="0.25">
      <c r="A5960" t="str">
        <f>HYPERLINK("https://www.773grp.com/globalSearch/LMV1088RL-NOPB/page-1", "LMV1088RL-NOPB")</f>
        <v>LMV1088RL-NOPB</v>
      </c>
      <c r="B5960" s="3" t="str">
        <f>HYPERLINK("https://www.773grp.com/manufacturer/national-semiconductor?pageNo=63", "National Semiconductor")</f>
        <v>National Semiconductor</v>
      </c>
      <c r="C5960" s="6">
        <v>250</v>
      </c>
      <c r="D5960" s="7">
        <v>5.51</v>
      </c>
    </row>
    <row r="5961" spans="1:5" x14ac:dyDescent="0.25">
      <c r="A5961" t="str">
        <f>HYPERLINK("https://www.773grp.com/globalSearch/4071BDC/page-1", "4071BDC")</f>
        <v>4071BDC</v>
      </c>
      <c r="B5961" s="3" t="str">
        <f>HYPERLINK("https://www.773grp.com/manufacturer/national-semiconductor?pageNo=64", "National Semiconductor")</f>
        <v>National Semiconductor</v>
      </c>
      <c r="C5961" s="6">
        <v>246</v>
      </c>
      <c r="D5961" s="7">
        <v>5.54</v>
      </c>
    </row>
    <row r="5962" spans="1:5" x14ac:dyDescent="0.25">
      <c r="A5962" t="str">
        <f>HYPERLINK("https://www.773grp.com/globalSearch/74LS256DC/page-1", "74LS256DC")</f>
        <v>74LS256DC</v>
      </c>
      <c r="B5962" s="3" t="str">
        <f>HYPERLINK("https://www.773grp.com/manufacturer/national-semiconductor?pageNo=65", "National Semiconductor")</f>
        <v>National Semiconductor</v>
      </c>
      <c r="C5962" s="6">
        <v>4042</v>
      </c>
      <c r="D5962" s="7">
        <v>5.54</v>
      </c>
    </row>
    <row r="5963" spans="1:5" x14ac:dyDescent="0.25">
      <c r="A5963" t="str">
        <f>HYPERLINK("https://www.773grp.com/globalSearch/930DC/page-1", "930DC")</f>
        <v>930DC</v>
      </c>
      <c r="B5963" s="3" t="str">
        <f>HYPERLINK("https://www.773grp.com/manufacturer/national-semiconductor?pageNo=66", "National Semiconductor")</f>
        <v>National Semiconductor</v>
      </c>
      <c r="C5963" s="6">
        <v>1615</v>
      </c>
      <c r="D5963" s="7">
        <v>5.54</v>
      </c>
    </row>
    <row r="5964" spans="1:5" x14ac:dyDescent="0.25">
      <c r="A5964" t="str">
        <f>HYPERLINK("https://www.773grp.com/globalSearch/LM2594M-3.3/page-1", "LM2594M-3.3")</f>
        <v>LM2594M-3.3</v>
      </c>
      <c r="B5964" s="3" t="str">
        <f>HYPERLINK("https://www.773grp.com/manufacturer/national-semiconductor?pageNo=67", "National Semiconductor")</f>
        <v>National Semiconductor</v>
      </c>
      <c r="C5964" s="6">
        <v>982</v>
      </c>
      <c r="D5964" s="7">
        <v>5.54</v>
      </c>
      <c r="E5964" t="s">
        <v>7</v>
      </c>
    </row>
    <row r="5965" spans="1:5" x14ac:dyDescent="0.25">
      <c r="A5965" t="str">
        <f>HYPERLINK("https://www.773grp.com/globalSearch/LM2594M-5.0/page-1", "LM2594M-5.0")</f>
        <v>LM2594M-5.0</v>
      </c>
      <c r="B5965" s="3" t="str">
        <f>HYPERLINK("https://www.773grp.com/manufacturer/national-semiconductor?pageNo=68", "National Semiconductor")</f>
        <v>National Semiconductor</v>
      </c>
      <c r="C5965" s="6">
        <v>155</v>
      </c>
      <c r="D5965" s="7">
        <v>5.54</v>
      </c>
      <c r="E5965" t="s">
        <v>7</v>
      </c>
    </row>
    <row r="5966" spans="1:5" x14ac:dyDescent="0.25">
      <c r="A5966" t="str">
        <f>HYPERLINK("https://www.773grp.com/globalSearch/LM2674M-12/page-1", "LM2674M-12")</f>
        <v>LM2674M-12</v>
      </c>
      <c r="B5966" s="3" t="str">
        <f>HYPERLINK("https://www.773grp.com/manufacturer/national-semiconductor?pageNo=69", "National Semiconductor")</f>
        <v>National Semiconductor</v>
      </c>
      <c r="C5966" s="6">
        <v>117</v>
      </c>
      <c r="D5966" s="7">
        <v>5.54</v>
      </c>
      <c r="E5966" t="s">
        <v>7</v>
      </c>
    </row>
    <row r="5967" spans="1:5" x14ac:dyDescent="0.25">
      <c r="A5967" t="str">
        <f>HYPERLINK("https://www.773grp.com/globalSearch/LM2674M-5.0/page-1", "LM2674M-5.0")</f>
        <v>LM2674M-5.0</v>
      </c>
      <c r="B5967" s="3" t="str">
        <f>HYPERLINK("https://www.773grp.com/manufacturer/national-semiconductor?pageNo=70", "National Semiconductor")</f>
        <v>National Semiconductor</v>
      </c>
      <c r="C5967" s="6">
        <v>865</v>
      </c>
      <c r="D5967" s="7">
        <v>5.54</v>
      </c>
      <c r="E5967" t="s">
        <v>7</v>
      </c>
    </row>
    <row r="5968" spans="1:5" x14ac:dyDescent="0.25">
      <c r="A5968" t="str">
        <f>HYPERLINK("https://www.773grp.com/globalSearch/LM311N-14/page-1", "LM311N-14")</f>
        <v>LM311N-14</v>
      </c>
      <c r="B5968" s="3" t="str">
        <f>HYPERLINK("https://www.773grp.com/manufacturer/national-semiconductor?pageNo=71", "National Semiconductor")</f>
        <v>National Semiconductor</v>
      </c>
      <c r="C5968" s="6">
        <v>558</v>
      </c>
      <c r="D5968" s="7">
        <v>5.54</v>
      </c>
      <c r="E5968" t="s">
        <v>9</v>
      </c>
    </row>
    <row r="5969" spans="1:5" x14ac:dyDescent="0.25">
      <c r="A5969" t="str">
        <f>HYPERLINK("https://www.773grp.com/globalSearch/MF10CCWM/page-1", "MF10CCWM")</f>
        <v>MF10CCWM</v>
      </c>
      <c r="B5969" s="3" t="str">
        <f>HYPERLINK("https://www.773grp.com/manufacturer/national-semiconductor?pageNo=72", "National Semiconductor")</f>
        <v>National Semiconductor</v>
      </c>
      <c r="C5969" s="6">
        <v>497</v>
      </c>
      <c r="D5969" s="7">
        <v>5.54</v>
      </c>
      <c r="E5969" t="s">
        <v>58</v>
      </c>
    </row>
    <row r="5970" spans="1:5" x14ac:dyDescent="0.25">
      <c r="A5970" t="str">
        <f>HYPERLINK("https://www.773grp.com/globalSearch/MM74HC195J/page-1", "MM74HC195J")</f>
        <v>MM74HC195J</v>
      </c>
      <c r="B5970" s="3" t="str">
        <f>HYPERLINK("https://www.773grp.com/manufacturer/national-semiconductor?pageNo=73", "National Semiconductor")</f>
        <v>National Semiconductor</v>
      </c>
      <c r="C5970" s="6">
        <v>180</v>
      </c>
      <c r="D5970" s="7">
        <v>5.54</v>
      </c>
      <c r="E5970" t="s">
        <v>32</v>
      </c>
    </row>
    <row r="5971" spans="1:5" x14ac:dyDescent="0.25">
      <c r="A5971" t="str">
        <f>HYPERLINK("https://www.773grp.com/globalSearch/LM2594M-12/page-1", "LM2594M-12")</f>
        <v>LM2594M-12</v>
      </c>
      <c r="B5971" s="3" t="str">
        <f>HYPERLINK("https://www.773grp.com/manufacturer/national-semiconductor?pageNo=74", "National Semiconductor")</f>
        <v>National Semiconductor</v>
      </c>
      <c r="C5971" s="6">
        <v>3990</v>
      </c>
      <c r="D5971" s="7">
        <v>5.54</v>
      </c>
    </row>
    <row r="5972" spans="1:5" x14ac:dyDescent="0.25">
      <c r="A5972" t="str">
        <f>HYPERLINK("https://www.773grp.com/globalSearch/74290PC/page-1", "74290PC")</f>
        <v>74290PC</v>
      </c>
      <c r="B5972" s="3" t="str">
        <f>HYPERLINK("https://www.773grp.com/manufacturer/national-semiconductor?pageNo=75", "National Semiconductor")</f>
        <v>National Semiconductor</v>
      </c>
      <c r="C5972" s="6">
        <v>17443</v>
      </c>
      <c r="D5972" s="7">
        <v>5.58</v>
      </c>
    </row>
    <row r="5973" spans="1:5" x14ac:dyDescent="0.25">
      <c r="A5973" t="str">
        <f>HYPERLINK("https://www.773grp.com/globalSearch/74293PC/page-1", "74293PC")</f>
        <v>74293PC</v>
      </c>
      <c r="B5973" s="3" t="str">
        <f>HYPERLINK("https://www.773grp.com/manufacturer/national-semiconductor?pageNo=76", "National Semiconductor")</f>
        <v>National Semiconductor</v>
      </c>
      <c r="C5973" s="6">
        <v>635</v>
      </c>
      <c r="D5973" s="7">
        <v>5.58</v>
      </c>
    </row>
    <row r="5974" spans="1:5" x14ac:dyDescent="0.25">
      <c r="A5974" t="str">
        <f>HYPERLINK("https://www.773grp.com/globalSearch/74LS181PC/page-1", "74LS181PC")</f>
        <v>74LS181PC</v>
      </c>
      <c r="B5974" s="3" t="str">
        <f>HYPERLINK("https://www.773grp.com/manufacturer/national-semiconductor?pageNo=77", "National Semiconductor")</f>
        <v>National Semiconductor</v>
      </c>
      <c r="C5974" s="6">
        <v>2862</v>
      </c>
      <c r="D5974" s="7">
        <v>5.58</v>
      </c>
    </row>
    <row r="5975" spans="1:5" x14ac:dyDescent="0.25">
      <c r="A5975" t="str">
        <f>HYPERLINK("https://www.773grp.com/globalSearch/CLC56321MX/page-1", "CLC56321MX")</f>
        <v>CLC56321MX</v>
      </c>
      <c r="B5975" s="3" t="str">
        <f>HYPERLINK("https://www.773grp.com/manufacturer/national-semiconductor?pageNo=78", "National Semiconductor")</f>
        <v>National Semiconductor</v>
      </c>
      <c r="C5975" s="6">
        <v>120000</v>
      </c>
      <c r="D5975" s="7">
        <v>5.58</v>
      </c>
    </row>
    <row r="5976" spans="1:5" x14ac:dyDescent="0.25">
      <c r="A5976" t="str">
        <f>HYPERLINK("https://www.773grp.com/globalSearch/CLC5632IM/page-1", "CLC5632IM")</f>
        <v>CLC5632IM</v>
      </c>
      <c r="B5976" s="3" t="str">
        <f>HYPERLINK("https://www.773grp.com/manufacturer/national-semiconductor?pageNo=79", "National Semiconductor")</f>
        <v>National Semiconductor</v>
      </c>
      <c r="C5976" s="6">
        <v>721</v>
      </c>
      <c r="D5976" s="7">
        <v>5.58</v>
      </c>
      <c r="E5976" t="s">
        <v>48</v>
      </c>
    </row>
    <row r="5977" spans="1:5" x14ac:dyDescent="0.25">
      <c r="A5977" t="str">
        <f>HYPERLINK("https://www.773grp.com/globalSearch/DAC102S085CIMM/page-1", "DAC102S085CIMM")</f>
        <v>DAC102S085CIMM</v>
      </c>
      <c r="B5977" s="3" t="str">
        <f>HYPERLINK("https://www.773grp.com/manufacturer/national-semiconductor?pageNo=80", "National Semiconductor")</f>
        <v>National Semiconductor</v>
      </c>
      <c r="C5977" s="6">
        <v>1000</v>
      </c>
      <c r="D5977" s="7">
        <v>5.58</v>
      </c>
      <c r="E5977" t="s">
        <v>33</v>
      </c>
    </row>
    <row r="5978" spans="1:5" x14ac:dyDescent="0.25">
      <c r="A5978" t="str">
        <f>HYPERLINK("https://www.773grp.com/globalSearch/LM2415T/page-1", "LM2415T")</f>
        <v>LM2415T</v>
      </c>
      <c r="B5978" s="3" t="str">
        <f>HYPERLINK("https://www.773grp.com/manufacturer/national-semiconductor?pageNo=81", "National Semiconductor")</f>
        <v>National Semiconductor</v>
      </c>
      <c r="C5978" s="6">
        <v>4757</v>
      </c>
      <c r="D5978" s="7">
        <v>5.58</v>
      </c>
      <c r="E5978" t="s">
        <v>18</v>
      </c>
    </row>
    <row r="5979" spans="1:5" x14ac:dyDescent="0.25">
      <c r="A5979" t="str">
        <f>HYPERLINK("https://www.773grp.com/globalSearch/LM2672M-12-NOPB/page-1", "LM2672M-12-NOPB")</f>
        <v>LM2672M-12-NOPB</v>
      </c>
      <c r="B5979" s="3" t="str">
        <f>HYPERLINK("https://www.773grp.com/manufacturer/national-semiconductor?pageNo=82", "National Semiconductor")</f>
        <v>National Semiconductor</v>
      </c>
      <c r="C5979" s="6">
        <v>15</v>
      </c>
      <c r="D5979" s="7">
        <v>5.58</v>
      </c>
      <c r="E5979" t="s">
        <v>7</v>
      </c>
    </row>
    <row r="5980" spans="1:5" x14ac:dyDescent="0.25">
      <c r="A5980" t="str">
        <f>HYPERLINK("https://www.773grp.com/globalSearch/LM2672M-3.3-NOPB/page-1", "LM2672M-3.3-NOPB")</f>
        <v>LM2672M-3.3-NOPB</v>
      </c>
      <c r="B5980" s="3" t="str">
        <f>HYPERLINK("https://www.773grp.com/manufacturer/national-semiconductor?pageNo=83", "National Semiconductor")</f>
        <v>National Semiconductor</v>
      </c>
      <c r="C5980" s="6">
        <v>1804</v>
      </c>
      <c r="D5980" s="7">
        <v>5.58</v>
      </c>
      <c r="E5980" t="s">
        <v>7</v>
      </c>
    </row>
    <row r="5981" spans="1:5" x14ac:dyDescent="0.25">
      <c r="A5981" t="str">
        <f>HYPERLINK("https://www.773grp.com/globalSearch/LM2672M-5.0-NOPB/page-1", "LM2672M-5.0-NOPB")</f>
        <v>LM2672M-5.0-NOPB</v>
      </c>
      <c r="B5981" s="3" t="str">
        <f>HYPERLINK("https://www.773grp.com/manufacturer/national-semiconductor?pageNo=84", "National Semiconductor")</f>
        <v>National Semiconductor</v>
      </c>
      <c r="C5981" s="6">
        <v>5</v>
      </c>
      <c r="D5981" s="7">
        <v>5.58</v>
      </c>
      <c r="E5981" t="s">
        <v>7</v>
      </c>
    </row>
    <row r="5982" spans="1:5" x14ac:dyDescent="0.25">
      <c r="A5982" t="str">
        <f>HYPERLINK("https://www.773grp.com/globalSearch/LM2672M-ADJ-NOPB/page-1", "LM2672M-ADJ-NOPB")</f>
        <v>LM2672M-ADJ-NOPB</v>
      </c>
      <c r="B5982" s="3" t="str">
        <f>HYPERLINK("https://www.773grp.com/manufacturer/national-semiconductor?pageNo=85", "National Semiconductor")</f>
        <v>National Semiconductor</v>
      </c>
      <c r="C5982" s="6">
        <v>73</v>
      </c>
      <c r="D5982" s="7">
        <v>5.58</v>
      </c>
      <c r="E5982" t="s">
        <v>7</v>
      </c>
    </row>
    <row r="5983" spans="1:5" x14ac:dyDescent="0.25">
      <c r="A5983" t="str">
        <f>HYPERLINK("https://www.773grp.com/globalSearch/LM6134BIM-NOPB/page-1", "LM6134BIM-NOPB")</f>
        <v>LM6134BIM-NOPB</v>
      </c>
      <c r="B5983" s="3" t="str">
        <f>HYPERLINK("https://www.773grp.com/manufacturer/national-semiconductor?pageNo=86", "National Semiconductor")</f>
        <v>National Semiconductor</v>
      </c>
      <c r="C5983" s="6">
        <v>1498</v>
      </c>
      <c r="D5983" s="7">
        <v>5.58</v>
      </c>
      <c r="E5983" t="s">
        <v>13</v>
      </c>
    </row>
    <row r="5984" spans="1:5" x14ac:dyDescent="0.25">
      <c r="A5984" t="str">
        <f>HYPERLINK("https://www.773grp.com/globalSearch/LMC6462AIM/page-1", "LMC6462AIM")</f>
        <v>LMC6462AIM</v>
      </c>
      <c r="B5984" s="3" t="str">
        <f>HYPERLINK("https://www.773grp.com/manufacturer/national-semiconductor?pageNo=87", "National Semiconductor")</f>
        <v>National Semiconductor</v>
      </c>
      <c r="C5984" s="6">
        <v>95</v>
      </c>
      <c r="D5984" s="7">
        <v>5.58</v>
      </c>
      <c r="E5984" t="s">
        <v>13</v>
      </c>
    </row>
    <row r="5985" spans="1:5" x14ac:dyDescent="0.25">
      <c r="A5985" t="str">
        <f>HYPERLINK("https://www.773grp.com/globalSearch/LP38853MR-ADJ-NOPB/page-1", "LP38853MR-ADJ-NOPB")</f>
        <v>LP38853MR-ADJ-NOPB</v>
      </c>
      <c r="B5985" s="3" t="str">
        <f>HYPERLINK("https://www.773grp.com/manufacturer/national-semiconductor?pageNo=88", "National Semiconductor")</f>
        <v>National Semiconductor</v>
      </c>
      <c r="C5985" s="6">
        <v>1330</v>
      </c>
      <c r="D5985" s="7">
        <v>5.58</v>
      </c>
    </row>
    <row r="5986" spans="1:5" x14ac:dyDescent="0.25">
      <c r="A5986" t="str">
        <f>HYPERLINK("https://www.773grp.com/globalSearch/LP3966ES-1.8-NOPB/page-1", "LP3966ES-1.8-NOPB")</f>
        <v>LP3966ES-1.8-NOPB</v>
      </c>
      <c r="B5986" s="3" t="str">
        <f>HYPERLINK("https://www.773grp.com/manufacturer/national-semiconductor?pageNo=89", "National Semiconductor")</f>
        <v>National Semiconductor</v>
      </c>
      <c r="C5986" s="6">
        <v>307</v>
      </c>
      <c r="D5986" s="7">
        <v>5.58</v>
      </c>
      <c r="E5986" t="s">
        <v>19</v>
      </c>
    </row>
    <row r="5987" spans="1:5" x14ac:dyDescent="0.25">
      <c r="A5987" t="str">
        <f>HYPERLINK("https://www.773grp.com/globalSearch/LP3966ES-2.5-NOPB/page-1", "LP3966ES-2.5-NOPB")</f>
        <v>LP3966ES-2.5-NOPB</v>
      </c>
      <c r="B5987" s="3" t="str">
        <f>HYPERLINK("https://www.773grp.com/manufacturer/national-semiconductor?pageNo=90", "National Semiconductor")</f>
        <v>National Semiconductor</v>
      </c>
      <c r="C5987" s="6">
        <v>1018</v>
      </c>
      <c r="D5987" s="7">
        <v>5.58</v>
      </c>
      <c r="E5987" t="s">
        <v>19</v>
      </c>
    </row>
    <row r="5988" spans="1:5" x14ac:dyDescent="0.25">
      <c r="A5988" t="str">
        <f>HYPERLINK("https://www.773grp.com/globalSearch/LP3966ES-3.3-NOPB/page-1", "LP3966ES-3.3-NOPB")</f>
        <v>LP3966ES-3.3-NOPB</v>
      </c>
      <c r="B5988" s="3" t="str">
        <f>HYPERLINK("https://www.773grp.com/manufacturer/national-semiconductor?pageNo=91", "National Semiconductor")</f>
        <v>National Semiconductor</v>
      </c>
      <c r="C5988" s="6">
        <v>198</v>
      </c>
      <c r="D5988" s="7">
        <v>5.58</v>
      </c>
      <c r="E5988" t="s">
        <v>19</v>
      </c>
    </row>
    <row r="5989" spans="1:5" x14ac:dyDescent="0.25">
      <c r="A5989" t="str">
        <f>HYPERLINK("https://www.773grp.com/globalSearch/MF10CCN-NOPB/page-1", "MF10CCN-NOPB")</f>
        <v>MF10CCN-NOPB</v>
      </c>
      <c r="B5989" s="3" t="str">
        <f>HYPERLINK("https://www.773grp.com/manufacturer/national-semiconductor?pageNo=92", "National Semiconductor")</f>
        <v>National Semiconductor</v>
      </c>
      <c r="C5989" s="6">
        <v>440</v>
      </c>
      <c r="D5989" s="7">
        <v>5.58</v>
      </c>
      <c r="E5989" t="s">
        <v>58</v>
      </c>
    </row>
    <row r="5990" spans="1:5" x14ac:dyDescent="0.25">
      <c r="A5990" t="str">
        <f>HYPERLINK("https://www.773grp.com/globalSearch/LM20136MH-NOPB/page-1", "LM20136MH-NOPB")</f>
        <v>LM20136MH-NOPB</v>
      </c>
      <c r="B5990" s="3" t="str">
        <f>HYPERLINK("https://www.773grp.com/manufacturer/national-semiconductor?pageNo=93", "National Semiconductor")</f>
        <v>National Semiconductor</v>
      </c>
      <c r="C5990" s="6">
        <v>118</v>
      </c>
      <c r="D5990" s="7">
        <v>5.58</v>
      </c>
    </row>
    <row r="5991" spans="1:5" x14ac:dyDescent="0.25">
      <c r="A5991" t="str">
        <f>HYPERLINK("https://www.773grp.com/globalSearch/LM20146MH-NOPB/page-1", "LM20146MH-NOPB")</f>
        <v>LM20146MH-NOPB</v>
      </c>
      <c r="B5991" s="3" t="str">
        <f>HYPERLINK("https://www.773grp.com/manufacturer/national-semiconductor?pageNo=94", "National Semiconductor")</f>
        <v>National Semiconductor</v>
      </c>
      <c r="C5991" s="6">
        <v>601</v>
      </c>
      <c r="D5991" s="7">
        <v>5.58</v>
      </c>
    </row>
    <row r="5992" spans="1:5" x14ac:dyDescent="0.25">
      <c r="A5992" t="str">
        <f>HYPERLINK("https://www.773grp.com/globalSearch/LM2672M-12-NOPB/page-1", "LM2672M-12-NOPB")</f>
        <v>LM2672M-12-NOPB</v>
      </c>
      <c r="B5992" s="3" t="str">
        <f>HYPERLINK("https://www.773grp.com/manufacturer/national-semiconductor?pageNo=95", "National Semiconductor")</f>
        <v>National Semiconductor</v>
      </c>
      <c r="C5992" s="6">
        <v>390</v>
      </c>
      <c r="D5992" s="7">
        <v>5.58</v>
      </c>
      <c r="E5992" t="s">
        <v>7</v>
      </c>
    </row>
    <row r="5993" spans="1:5" x14ac:dyDescent="0.25">
      <c r="A5993" t="str">
        <f>HYPERLINK("https://www.773grp.com/globalSearch/LM2672M-3.3-NOPB/page-1", "LM2672M-3.3-NOPB")</f>
        <v>LM2672M-3.3-NOPB</v>
      </c>
      <c r="B5993" s="3" t="str">
        <f>HYPERLINK("https://www.773grp.com/manufacturer/national-semiconductor?pageNo=96", "National Semiconductor")</f>
        <v>National Semiconductor</v>
      </c>
      <c r="C5993" s="6">
        <v>245</v>
      </c>
      <c r="D5993" s="7">
        <v>5.58</v>
      </c>
      <c r="E5993" t="s">
        <v>7</v>
      </c>
    </row>
    <row r="5994" spans="1:5" x14ac:dyDescent="0.25">
      <c r="A5994" t="str">
        <f>HYPERLINK("https://www.773grp.com/globalSearch/LM2672M-5.0-NOPB/page-1", "LM2672M-5.0-NOPB")</f>
        <v>LM2672M-5.0-NOPB</v>
      </c>
      <c r="B5994" s="3" t="str">
        <f>HYPERLINK("https://www.773grp.com/manufacturer/national-semiconductor?pageNo=97", "National Semiconductor")</f>
        <v>National Semiconductor</v>
      </c>
      <c r="C5994" s="6">
        <v>5880</v>
      </c>
      <c r="D5994" s="7">
        <v>5.58</v>
      </c>
      <c r="E5994" t="s">
        <v>7</v>
      </c>
    </row>
    <row r="5995" spans="1:5" x14ac:dyDescent="0.25">
      <c r="A5995" t="str">
        <f>HYPERLINK("https://www.773grp.com/globalSearch/LM2672M-ADJ-NOPB/page-1", "LM2672M-ADJ-NOPB")</f>
        <v>LM2672M-ADJ-NOPB</v>
      </c>
      <c r="B5995" s="3" t="str">
        <f>HYPERLINK("https://www.773grp.com/manufacturer/national-semiconductor?pageNo=98", "National Semiconductor")</f>
        <v>National Semiconductor</v>
      </c>
      <c r="C5995" s="6">
        <v>2011</v>
      </c>
      <c r="D5995" s="7">
        <v>5.58</v>
      </c>
      <c r="E5995" t="s">
        <v>7</v>
      </c>
    </row>
    <row r="5996" spans="1:5" x14ac:dyDescent="0.25">
      <c r="A5996" t="str">
        <f>HYPERLINK("https://www.773grp.com/globalSearch/LM5088QMH-1-NOPB/page-1", "LM5088QMH-1-NOPB")</f>
        <v>LM5088QMH-1-NOPB</v>
      </c>
      <c r="B5996" s="3" t="str">
        <f>HYPERLINK("https://www.773grp.com/manufacturer/national-semiconductor?pageNo=99", "National Semiconductor")</f>
        <v>National Semiconductor</v>
      </c>
      <c r="C5996" s="6">
        <v>250</v>
      </c>
      <c r="D5996" s="7">
        <v>5.58</v>
      </c>
    </row>
    <row r="5997" spans="1:5" x14ac:dyDescent="0.25">
      <c r="A5997" t="str">
        <f>HYPERLINK("https://www.773grp.com/globalSearch/LM5088QMH-2-NOPB/page-1", "LM5088QMH-2-NOPB")</f>
        <v>LM5088QMH-2-NOPB</v>
      </c>
      <c r="B5997" s="3" t="str">
        <f>HYPERLINK("https://www.773grp.com/manufacturer/national-semiconductor?pageNo=100", "National Semiconductor")</f>
        <v>National Semiconductor</v>
      </c>
      <c r="C5997" s="6">
        <v>1964</v>
      </c>
      <c r="D5997" s="7">
        <v>5.58</v>
      </c>
    </row>
    <row r="5998" spans="1:5" x14ac:dyDescent="0.25">
      <c r="A5998" t="str">
        <f>HYPERLINK("https://www.773grp.com/globalSearch/LM6134BIM-NOPB/page-1", "LM6134BIM-NOPB")</f>
        <v>LM6134BIM-NOPB</v>
      </c>
      <c r="B5998" s="3" t="str">
        <f>HYPERLINK("https://www.773grp.com/manufacturer/national-semiconductor?pageNo=101", "National Semiconductor")</f>
        <v>National Semiconductor</v>
      </c>
      <c r="C5998" s="6">
        <v>1470</v>
      </c>
      <c r="D5998" s="7">
        <v>5.58</v>
      </c>
      <c r="E5998" t="s">
        <v>13</v>
      </c>
    </row>
    <row r="5999" spans="1:5" x14ac:dyDescent="0.25">
      <c r="A5999" t="str">
        <f>HYPERLINK("https://www.773grp.com/globalSearch/LM6134BIM-NOPB/page-1", "LM6134BIM-NOPB")</f>
        <v>LM6134BIM-NOPB</v>
      </c>
      <c r="B5999" s="3" t="str">
        <f>HYPERLINK("https://www.773grp.com/manufacturer/national-semiconductor?pageNo=102", "National Semiconductor")</f>
        <v>National Semiconductor</v>
      </c>
      <c r="C5999" s="6">
        <v>334</v>
      </c>
      <c r="D5999" s="7">
        <v>5.58</v>
      </c>
      <c r="E5999" t="s">
        <v>13</v>
      </c>
    </row>
    <row r="6000" spans="1:5" x14ac:dyDescent="0.25">
      <c r="A6000" t="str">
        <f>HYPERLINK("https://www.773grp.com/globalSearch/LP38853MR-ADJ-NOPB/page-1", "LP38853MR-ADJ-NOPB")</f>
        <v>LP38853MR-ADJ-NOPB</v>
      </c>
      <c r="B6000" s="3" t="str">
        <f>HYPERLINK("https://www.773grp.com/manufacturer/national-semiconductor?pageNo=103", "National Semiconductor")</f>
        <v>National Semiconductor</v>
      </c>
      <c r="C6000" s="6">
        <v>520</v>
      </c>
      <c r="D6000" s="7">
        <v>5.58</v>
      </c>
    </row>
    <row r="6001" spans="1:5" x14ac:dyDescent="0.25">
      <c r="A6001" t="str">
        <f>HYPERLINK("https://www.773grp.com/globalSearch/LP38853S-ADJ-NOPB/page-1", "LP38853S-ADJ-NOPB")</f>
        <v>LP38853S-ADJ-NOPB</v>
      </c>
      <c r="B6001" s="3" t="str">
        <f>HYPERLINK("https://www.773grp.com/manufacturer/national-semiconductor?pageNo=104", "National Semiconductor")</f>
        <v>National Semiconductor</v>
      </c>
      <c r="C6001" s="6">
        <v>59</v>
      </c>
      <c r="D6001" s="7">
        <v>5.58</v>
      </c>
    </row>
    <row r="6002" spans="1:5" x14ac:dyDescent="0.25">
      <c r="A6002" t="str">
        <f>HYPERLINK("https://www.773grp.com/globalSearch/LP3966ES-1.8-NOPB/page-1", "LP3966ES-1.8-NOPB")</f>
        <v>LP3966ES-1.8-NOPB</v>
      </c>
      <c r="B6002" s="3" t="str">
        <f>HYPERLINK("https://www.773grp.com/manufacturer/national-semiconductor?pageNo=105", "National Semiconductor")</f>
        <v>National Semiconductor</v>
      </c>
      <c r="C6002" s="6">
        <v>385</v>
      </c>
      <c r="D6002" s="7">
        <v>5.58</v>
      </c>
      <c r="E6002" t="s">
        <v>19</v>
      </c>
    </row>
    <row r="6003" spans="1:5" x14ac:dyDescent="0.25">
      <c r="A6003" t="str">
        <f>HYPERLINK("https://www.773grp.com/globalSearch/LP3966ES-2.5-NOPB/page-1", "LP3966ES-2.5-NOPB")</f>
        <v>LP3966ES-2.5-NOPB</v>
      </c>
      <c r="B6003" s="3" t="str">
        <f>HYPERLINK("https://www.773grp.com/manufacturer/national-semiconductor?pageNo=106", "National Semiconductor")</f>
        <v>National Semiconductor</v>
      </c>
      <c r="C6003" s="6">
        <v>340</v>
      </c>
      <c r="D6003" s="7">
        <v>5.58</v>
      </c>
      <c r="E6003" t="s">
        <v>19</v>
      </c>
    </row>
    <row r="6004" spans="1:5" x14ac:dyDescent="0.25">
      <c r="A6004" t="str">
        <f>HYPERLINK("https://www.773grp.com/globalSearch/LP3966ES-3.3-NOPB/page-1", "LP3966ES-3.3-NOPB")</f>
        <v>LP3966ES-3.3-NOPB</v>
      </c>
      <c r="B6004" s="3" t="str">
        <f>HYPERLINK("https://www.773grp.com/manufacturer/national-semiconductor?pageNo=107", "National Semiconductor")</f>
        <v>National Semiconductor</v>
      </c>
      <c r="C6004" s="6">
        <v>419</v>
      </c>
      <c r="D6004" s="7">
        <v>5.58</v>
      </c>
      <c r="E6004" t="s">
        <v>19</v>
      </c>
    </row>
    <row r="6005" spans="1:5" x14ac:dyDescent="0.25">
      <c r="A6005" t="str">
        <f>HYPERLINK("https://www.773grp.com/globalSearch/LP3966ES-ADJ-NOPB/page-1", "LP3966ES-ADJ-NOPB")</f>
        <v>LP3966ES-ADJ-NOPB</v>
      </c>
      <c r="B6005" s="3" t="str">
        <f>HYPERLINK("https://www.773grp.com/manufacturer/national-semiconductor?pageNo=108", "National Semiconductor")</f>
        <v>National Semiconductor</v>
      </c>
      <c r="C6005" s="6">
        <v>35</v>
      </c>
      <c r="D6005" s="7">
        <v>5.58</v>
      </c>
    </row>
    <row r="6006" spans="1:5" x14ac:dyDescent="0.25">
      <c r="A6006" t="str">
        <f>HYPERLINK("https://www.773grp.com/globalSearch/MF10CCN-NOPB/page-1", "MF10CCN-NOPB")</f>
        <v>MF10CCN-NOPB</v>
      </c>
      <c r="B6006" s="3" t="str">
        <f>HYPERLINK("https://www.773grp.com/manufacturer/national-semiconductor?pageNo=109", "National Semiconductor")</f>
        <v>National Semiconductor</v>
      </c>
      <c r="C6006" s="6">
        <v>202</v>
      </c>
      <c r="D6006" s="7">
        <v>5.58</v>
      </c>
      <c r="E6006" t="s">
        <v>58</v>
      </c>
    </row>
    <row r="6007" spans="1:5" x14ac:dyDescent="0.25">
      <c r="A6007" t="str">
        <f>HYPERLINK("https://www.773grp.com/globalSearch/54132DM/page-1", "54132DM")</f>
        <v>54132DM</v>
      </c>
      <c r="B6007" s="3" t="str">
        <f>HYPERLINK("https://www.773grp.com/manufacturer/national-semiconductor?pageNo=110", "National Semiconductor")</f>
        <v>National Semiconductor</v>
      </c>
      <c r="C6007" s="6">
        <v>2000</v>
      </c>
      <c r="D6007" s="7">
        <v>5.6</v>
      </c>
    </row>
    <row r="6008" spans="1:5" x14ac:dyDescent="0.25">
      <c r="A6008" t="str">
        <f>HYPERLINK("https://www.773grp.com/globalSearch/LM1972MX-NOPB/page-1", "LM1972MX-NOPB")</f>
        <v>LM1972MX-NOPB</v>
      </c>
      <c r="B6008" s="3" t="str">
        <f>HYPERLINK("https://www.773grp.com/manufacturer/national-semiconductor?pageNo=111", "National Semiconductor")</f>
        <v>National Semiconductor</v>
      </c>
      <c r="C6008" s="6">
        <v>2000</v>
      </c>
      <c r="D6008" s="7">
        <v>5.6</v>
      </c>
      <c r="E6008" t="s">
        <v>23</v>
      </c>
    </row>
    <row r="6009" spans="1:5" x14ac:dyDescent="0.25">
      <c r="A6009" t="str">
        <f>HYPERLINK("https://www.773grp.com/globalSearch/LMC6574AIN/page-1", "LMC6574AIN")</f>
        <v>LMC6574AIN</v>
      </c>
      <c r="B6009" s="3" t="str">
        <f>HYPERLINK("https://www.773grp.com/manufacturer/national-semiconductor?pageNo=112", "National Semiconductor")</f>
        <v>National Semiconductor</v>
      </c>
      <c r="C6009" s="6">
        <v>2571</v>
      </c>
      <c r="D6009" s="7">
        <v>5.6</v>
      </c>
      <c r="E6009" t="s">
        <v>13</v>
      </c>
    </row>
    <row r="6010" spans="1:5" x14ac:dyDescent="0.25">
      <c r="A6010" t="str">
        <f>HYPERLINK("https://www.773grp.com/globalSearch/LMH6722MAX/page-1", "LMH6722MAX")</f>
        <v>LMH6722MAX</v>
      </c>
      <c r="B6010" s="3" t="str">
        <f>HYPERLINK("https://www.773grp.com/manufacturer/national-semiconductor?pageNo=113", "National Semiconductor")</f>
        <v>National Semiconductor</v>
      </c>
      <c r="C6010" s="6">
        <v>5000</v>
      </c>
      <c r="D6010" s="7">
        <v>5.6</v>
      </c>
      <c r="E6010" t="s">
        <v>18</v>
      </c>
    </row>
    <row r="6011" spans="1:5" x14ac:dyDescent="0.25">
      <c r="A6011" t="str">
        <f>HYPERLINK("https://www.773grp.com/globalSearch/LMP7709MTX-NOPB/page-1", "LMP7709MTX-NOPB")</f>
        <v>LMP7709MTX-NOPB</v>
      </c>
      <c r="B6011" s="3" t="str">
        <f>HYPERLINK("https://www.773grp.com/manufacturer/national-semiconductor?pageNo=114", "National Semiconductor")</f>
        <v>National Semiconductor</v>
      </c>
      <c r="C6011" s="6">
        <v>2372</v>
      </c>
      <c r="D6011" s="7">
        <v>5.6</v>
      </c>
    </row>
    <row r="6012" spans="1:5" x14ac:dyDescent="0.25">
      <c r="A6012" t="str">
        <f>HYPERLINK("https://www.773grp.com/globalSearch/MM54HC151J/page-1", "MM54HC151J")</f>
        <v>MM54HC151J</v>
      </c>
      <c r="B6012" s="3" t="str">
        <f>HYPERLINK("https://www.773grp.com/manufacturer/national-semiconductor?pageNo=115", "National Semiconductor")</f>
        <v>National Semiconductor</v>
      </c>
      <c r="C6012" s="6">
        <v>143</v>
      </c>
      <c r="D6012" s="7">
        <v>5.6</v>
      </c>
      <c r="E6012" t="s">
        <v>20</v>
      </c>
    </row>
    <row r="6013" spans="1:5" x14ac:dyDescent="0.25">
      <c r="A6013" t="str">
        <f>HYPERLINK("https://www.773grp.com/globalSearch/LM1972MX-NOPB/page-1", "LM1972MX-NOPB")</f>
        <v>LM1972MX-NOPB</v>
      </c>
      <c r="B6013" s="3" t="str">
        <f>HYPERLINK("https://www.773grp.com/manufacturer/national-semiconductor?pageNo=116", "National Semiconductor")</f>
        <v>National Semiconductor</v>
      </c>
      <c r="C6013" s="6">
        <v>1000</v>
      </c>
      <c r="D6013" s="7">
        <v>5.6</v>
      </c>
      <c r="E6013" t="s">
        <v>23</v>
      </c>
    </row>
    <row r="6014" spans="1:5" x14ac:dyDescent="0.25">
      <c r="A6014" t="str">
        <f>HYPERLINK("https://www.773grp.com/globalSearch/LMH6722MAX/page-1", "LMH6722MAX")</f>
        <v>LMH6722MAX</v>
      </c>
      <c r="B6014" s="3" t="str">
        <f>HYPERLINK("https://www.773grp.com/manufacturer/national-semiconductor?pageNo=117", "National Semiconductor")</f>
        <v>National Semiconductor</v>
      </c>
      <c r="C6014" s="6">
        <v>2500</v>
      </c>
      <c r="D6014" s="7">
        <v>5.6</v>
      </c>
      <c r="E6014" t="s">
        <v>18</v>
      </c>
    </row>
    <row r="6015" spans="1:5" x14ac:dyDescent="0.25">
      <c r="A6015" t="str">
        <f>HYPERLINK("https://www.773grp.com/globalSearch/5486FMQB/page-1", "5486FMQB")</f>
        <v>5486FMQB</v>
      </c>
      <c r="B6015" s="3" t="str">
        <f>HYPERLINK("https://www.773grp.com/manufacturer/national-semiconductor?pageNo=118", "National Semiconductor")</f>
        <v>National Semiconductor</v>
      </c>
      <c r="C6015" s="6">
        <v>1703</v>
      </c>
      <c r="D6015" s="7">
        <v>5.63</v>
      </c>
      <c r="E6015" t="s">
        <v>31</v>
      </c>
    </row>
    <row r="6016" spans="1:5" x14ac:dyDescent="0.25">
      <c r="A6016" t="str">
        <f>HYPERLINK("https://www.773grp.com/globalSearch/54LS194AFMQB/page-1", "54LS194AFMQB")</f>
        <v>54LS194AFMQB</v>
      </c>
      <c r="B6016" s="3" t="str">
        <f>HYPERLINK("https://www.773grp.com/manufacturer/national-semiconductor?pageNo=119", "National Semiconductor")</f>
        <v>National Semiconductor</v>
      </c>
      <c r="C6016" s="6">
        <v>505</v>
      </c>
      <c r="D6016" s="7">
        <v>5.63</v>
      </c>
      <c r="E6016" t="s">
        <v>32</v>
      </c>
    </row>
    <row r="6017" spans="1:5" x14ac:dyDescent="0.25">
      <c r="A6017" t="str">
        <f>HYPERLINK("https://www.773grp.com/globalSearch/54LS194ALM/page-1", "54LS194ALM")</f>
        <v>54LS194ALM</v>
      </c>
      <c r="B6017" s="3" t="str">
        <f>HYPERLINK("https://www.773grp.com/manufacturer/national-semiconductor?pageNo=120", "National Semiconductor")</f>
        <v>National Semiconductor</v>
      </c>
      <c r="C6017" s="6">
        <v>873</v>
      </c>
      <c r="D6017" s="7">
        <v>5.63</v>
      </c>
    </row>
    <row r="6018" spans="1:5" x14ac:dyDescent="0.25">
      <c r="A6018" t="str">
        <f>HYPERLINK("https://www.773grp.com/globalSearch/54LS194FM/page-1", "54LS194FM")</f>
        <v>54LS194FM</v>
      </c>
      <c r="B6018" s="3" t="str">
        <f>HYPERLINK("https://www.773grp.com/manufacturer/national-semiconductor?pageNo=121", "National Semiconductor")</f>
        <v>National Semiconductor</v>
      </c>
      <c r="C6018" s="6">
        <v>182</v>
      </c>
      <c r="D6018" s="7">
        <v>5.63</v>
      </c>
    </row>
    <row r="6019" spans="1:5" x14ac:dyDescent="0.25">
      <c r="A6019" t="str">
        <f>HYPERLINK("https://www.773grp.com/globalSearch/54LS51FMQB/page-1", "54LS51FMQB")</f>
        <v>54LS51FMQB</v>
      </c>
      <c r="B6019" s="3" t="str">
        <f>HYPERLINK("https://www.773grp.com/manufacturer/national-semiconductor?pageNo=122", "National Semiconductor")</f>
        <v>National Semiconductor</v>
      </c>
      <c r="C6019" s="6">
        <v>1138</v>
      </c>
      <c r="D6019" s="7">
        <v>5.63</v>
      </c>
      <c r="E6019" t="s">
        <v>31</v>
      </c>
    </row>
    <row r="6020" spans="1:5" x14ac:dyDescent="0.25">
      <c r="A6020" t="str">
        <f>HYPERLINK("https://www.773grp.com/globalSearch/74LS299PC/page-1", "74LS299PC")</f>
        <v>74LS299PC</v>
      </c>
      <c r="B6020" s="3" t="str">
        <f>HYPERLINK("https://www.773grp.com/manufacturer/national-semiconductor?pageNo=123", "National Semiconductor")</f>
        <v>National Semiconductor</v>
      </c>
      <c r="C6020" s="6">
        <v>22267</v>
      </c>
      <c r="D6020" s="7">
        <v>5.63</v>
      </c>
    </row>
    <row r="6021" spans="1:5" x14ac:dyDescent="0.25">
      <c r="A6021" t="str">
        <f>HYPERLINK("https://www.773grp.com/globalSearch/9301PC/page-1", "9301PC")</f>
        <v>9301PC</v>
      </c>
      <c r="B6021" s="3" t="str">
        <f>HYPERLINK("https://www.773grp.com/manufacturer/national-semiconductor?pageNo=124", "National Semiconductor")</f>
        <v>National Semiconductor</v>
      </c>
      <c r="C6021" s="6">
        <v>5830</v>
      </c>
      <c r="D6021" s="7">
        <v>5.63</v>
      </c>
      <c r="E6021" t="s">
        <v>36</v>
      </c>
    </row>
    <row r="6022" spans="1:5" x14ac:dyDescent="0.25">
      <c r="A6022" t="str">
        <f>HYPERLINK("https://www.773grp.com/globalSearch/ADC104S101CIMM-NOPB/page-1", "ADC104S101CIMM-NOPB")</f>
        <v>ADC104S101CIMM-NOPB</v>
      </c>
      <c r="B6022" s="3" t="str">
        <f>HYPERLINK("https://www.773grp.com/manufacturer/national-semiconductor?pageNo=125", "National Semiconductor")</f>
        <v>National Semiconductor</v>
      </c>
      <c r="C6022" s="6">
        <v>2700</v>
      </c>
      <c r="D6022" s="7">
        <v>5.63</v>
      </c>
    </row>
    <row r="6023" spans="1:5" x14ac:dyDescent="0.25">
      <c r="A6023" t="str">
        <f>HYPERLINK("https://www.773grp.com/globalSearch/CGS74CT2524N/page-1", "CGS74CT2524N")</f>
        <v>CGS74CT2524N</v>
      </c>
      <c r="B6023" s="3" t="str">
        <f>HYPERLINK("https://www.773grp.com/manufacturer/national-semiconductor?pageNo=126", "National Semiconductor")</f>
        <v>National Semiconductor</v>
      </c>
      <c r="C6023" s="6">
        <v>535</v>
      </c>
      <c r="D6023" s="7">
        <v>5.63</v>
      </c>
      <c r="E6023" t="s">
        <v>34</v>
      </c>
    </row>
    <row r="6024" spans="1:5" x14ac:dyDescent="0.25">
      <c r="A6024" t="str">
        <f>HYPERLINK("https://www.773grp.com/globalSearch/DAC0832LCWM/page-1", "DAC0832LCWM")</f>
        <v>DAC0832LCWM</v>
      </c>
      <c r="B6024" s="3" t="str">
        <f>HYPERLINK("https://www.773grp.com/manufacturer/national-semiconductor?pageNo=127", "National Semiconductor")</f>
        <v>National Semiconductor</v>
      </c>
      <c r="C6024" s="6">
        <v>146</v>
      </c>
      <c r="D6024" s="7">
        <v>5.63</v>
      </c>
      <c r="E6024" t="s">
        <v>33</v>
      </c>
    </row>
    <row r="6025" spans="1:5" x14ac:dyDescent="0.25">
      <c r="A6025" t="str">
        <f>HYPERLINK("https://www.773grp.com/globalSearch/DAC104S085CIMM-NOPB/page-1", "DAC104S085CIMM-NOPB")</f>
        <v>DAC104S085CIMM-NOPB</v>
      </c>
      <c r="B6025" s="3" t="str">
        <f>HYPERLINK("https://www.773grp.com/manufacturer/national-semiconductor?pageNo=128", "National Semiconductor")</f>
        <v>National Semiconductor</v>
      </c>
      <c r="C6025" s="6">
        <v>1664</v>
      </c>
      <c r="D6025" s="7">
        <v>5.63</v>
      </c>
    </row>
    <row r="6026" spans="1:5" x14ac:dyDescent="0.25">
      <c r="A6026" t="str">
        <f>HYPERLINK("https://www.773grp.com/globalSearch/DAC104S085CIMMX-NOPB/page-1", "DAC104S085CIMMX-NOPB")</f>
        <v>DAC104S085CIMMX-NOPB</v>
      </c>
      <c r="B6026" s="3" t="str">
        <f>HYPERLINK("https://www.773grp.com/manufacturer/national-semiconductor?pageNo=129", "National Semiconductor")</f>
        <v>National Semiconductor</v>
      </c>
      <c r="C6026" s="6">
        <v>21000</v>
      </c>
      <c r="D6026" s="7">
        <v>5.63</v>
      </c>
    </row>
    <row r="6027" spans="1:5" x14ac:dyDescent="0.25">
      <c r="A6027" t="str">
        <f>HYPERLINK("https://www.773grp.com/globalSearch/DM54LS04W-883/page-1", "DM54LS04W-883")</f>
        <v>DM54LS04W-883</v>
      </c>
      <c r="B6027" s="3" t="str">
        <f>HYPERLINK("https://www.773grp.com/manufacturer/national-semiconductor?pageNo=130", "National Semiconductor")</f>
        <v>National Semiconductor</v>
      </c>
      <c r="C6027" s="6">
        <v>702</v>
      </c>
      <c r="D6027" s="7">
        <v>5.63</v>
      </c>
      <c r="E6027" t="s">
        <v>31</v>
      </c>
    </row>
    <row r="6028" spans="1:5" x14ac:dyDescent="0.25">
      <c r="A6028" t="str">
        <f>HYPERLINK("https://www.773grp.com/globalSearch/DM54LS05W-883/page-1", "DM54LS05W-883")</f>
        <v>DM54LS05W-883</v>
      </c>
      <c r="B6028" s="3" t="str">
        <f>HYPERLINK("https://www.773grp.com/manufacturer/national-semiconductor?pageNo=131", "National Semiconductor")</f>
        <v>National Semiconductor</v>
      </c>
      <c r="C6028" s="6">
        <v>595</v>
      </c>
      <c r="D6028" s="7">
        <v>5.63</v>
      </c>
      <c r="E6028" t="s">
        <v>31</v>
      </c>
    </row>
    <row r="6029" spans="1:5" x14ac:dyDescent="0.25">
      <c r="A6029" t="str">
        <f>HYPERLINK("https://www.773grp.com/globalSearch/DM54LS20W-883/page-1", "DM54LS20W-883")</f>
        <v>DM54LS20W-883</v>
      </c>
      <c r="B6029" s="3" t="str">
        <f>HYPERLINK("https://www.773grp.com/manufacturer/national-semiconductor?pageNo=132", "National Semiconductor")</f>
        <v>National Semiconductor</v>
      </c>
      <c r="C6029" s="6">
        <v>110</v>
      </c>
      <c r="D6029" s="7">
        <v>5.63</v>
      </c>
      <c r="E6029" t="s">
        <v>31</v>
      </c>
    </row>
    <row r="6030" spans="1:5" x14ac:dyDescent="0.25">
      <c r="A6030" t="str">
        <f>HYPERLINK("https://www.773grp.com/globalSearch/DM54LS27W-883/page-1", "DM54LS27W-883")</f>
        <v>DM54LS27W-883</v>
      </c>
      <c r="B6030" s="3" t="str">
        <f>HYPERLINK("https://www.773grp.com/manufacturer/national-semiconductor?pageNo=133", "National Semiconductor")</f>
        <v>National Semiconductor</v>
      </c>
      <c r="C6030" s="6">
        <v>515</v>
      </c>
      <c r="D6030" s="7">
        <v>5.63</v>
      </c>
      <c r="E6030" t="s">
        <v>31</v>
      </c>
    </row>
    <row r="6031" spans="1:5" x14ac:dyDescent="0.25">
      <c r="A6031" t="str">
        <f>HYPERLINK("https://www.773grp.com/globalSearch/DM54LS30W-883/page-1", "DM54LS30W-883")</f>
        <v>DM54LS30W-883</v>
      </c>
      <c r="B6031" s="3" t="str">
        <f>HYPERLINK("https://www.773grp.com/manufacturer/national-semiconductor?pageNo=134", "National Semiconductor")</f>
        <v>National Semiconductor</v>
      </c>
      <c r="C6031" s="6">
        <v>1169</v>
      </c>
      <c r="D6031" s="7">
        <v>5.63</v>
      </c>
      <c r="E6031" t="s">
        <v>31</v>
      </c>
    </row>
    <row r="6032" spans="1:5" x14ac:dyDescent="0.25">
      <c r="A6032" t="str">
        <f>HYPERLINK("https://www.773grp.com/globalSearch/DM54LS33J-883/page-1", "DM54LS33J-883")</f>
        <v>DM54LS33J-883</v>
      </c>
      <c r="B6032" s="3" t="str">
        <f>HYPERLINK("https://www.773grp.com/manufacturer/national-semiconductor?pageNo=1", "National Semiconductor")</f>
        <v>National Semiconductor</v>
      </c>
      <c r="C6032" s="6">
        <v>30</v>
      </c>
      <c r="D6032" s="7">
        <v>5.63</v>
      </c>
    </row>
    <row r="6033" spans="1:5" x14ac:dyDescent="0.25">
      <c r="A6033" t="str">
        <f>HYPERLINK("https://www.773grp.com/globalSearch/DM7003J-883/page-1", "DM7003J-883")</f>
        <v>DM7003J-883</v>
      </c>
      <c r="B6033" s="3" t="str">
        <f>HYPERLINK("https://www.773grp.com/manufacturer/national-semiconductor?pageNo=2", "National Semiconductor")</f>
        <v>National Semiconductor</v>
      </c>
      <c r="C6033" s="6">
        <v>382</v>
      </c>
      <c r="D6033" s="7">
        <v>5.63</v>
      </c>
    </row>
    <row r="6034" spans="1:5" x14ac:dyDescent="0.25">
      <c r="A6034" t="str">
        <f>HYPERLINK("https://www.773grp.com/globalSearch/DM70L30W-883/page-1", "DM70L30W-883")</f>
        <v>DM70L30W-883</v>
      </c>
      <c r="B6034" s="3" t="str">
        <f>HYPERLINK("https://www.773grp.com/manufacturer/national-semiconductor?pageNo=3", "National Semiconductor")</f>
        <v>National Semiconductor</v>
      </c>
      <c r="C6034" s="6">
        <v>77</v>
      </c>
      <c r="D6034" s="7">
        <v>5.63</v>
      </c>
    </row>
    <row r="6035" spans="1:5" x14ac:dyDescent="0.25">
      <c r="A6035" t="str">
        <f>HYPERLINK("https://www.773grp.com/globalSearch/DM85L73N/page-1", "DM85L73N")</f>
        <v>DM85L73N</v>
      </c>
      <c r="B6035" s="3" t="str">
        <f>HYPERLINK("https://www.773grp.com/manufacturer/national-semiconductor?pageNo=4", "National Semiconductor")</f>
        <v>National Semiconductor</v>
      </c>
      <c r="C6035" s="6">
        <v>612</v>
      </c>
      <c r="D6035" s="7">
        <v>5.63</v>
      </c>
    </row>
    <row r="6036" spans="1:5" x14ac:dyDescent="0.25">
      <c r="A6036" t="str">
        <f>HYPERLINK("https://www.773grp.com/globalSearch/GAL16V8QS-15QVC/page-1", "GAL16V8QS-15QVC")</f>
        <v>GAL16V8QS-15QVC</v>
      </c>
      <c r="B6036" s="3" t="str">
        <f>HYPERLINK("https://www.773grp.com/manufacturer/national-semiconductor?pageNo=5", "National Semiconductor")</f>
        <v>National Semiconductor</v>
      </c>
      <c r="C6036" s="6">
        <v>960</v>
      </c>
      <c r="D6036" s="7">
        <v>5.63</v>
      </c>
    </row>
    <row r="6037" spans="1:5" x14ac:dyDescent="0.25">
      <c r="A6037" t="str">
        <f>HYPERLINK("https://www.773grp.com/globalSearch/GAL20V8A-15LVI/page-1", "GAL20V8A-15LVI")</f>
        <v>GAL20V8A-15LVI</v>
      </c>
      <c r="B6037" s="3" t="str">
        <f>HYPERLINK("https://www.773grp.com/manufacturer/national-semiconductor?pageNo=6", "National Semiconductor")</f>
        <v>National Semiconductor</v>
      </c>
      <c r="C6037" s="6">
        <v>1083</v>
      </c>
      <c r="D6037" s="7">
        <v>5.63</v>
      </c>
      <c r="E6037" t="s">
        <v>51</v>
      </c>
    </row>
    <row r="6038" spans="1:5" x14ac:dyDescent="0.25">
      <c r="A6038" t="str">
        <f>HYPERLINK("https://www.773grp.com/globalSearch/LM25576MHX-NOPB/page-1", "LM25576MHX-NOPB")</f>
        <v>LM25576MHX-NOPB</v>
      </c>
      <c r="B6038" s="3" t="str">
        <f>HYPERLINK("https://www.773grp.com/manufacturer/national-semiconductor?pageNo=7", "National Semiconductor")</f>
        <v>National Semiconductor</v>
      </c>
      <c r="C6038" s="6">
        <v>2500</v>
      </c>
      <c r="D6038" s="7">
        <v>5.63</v>
      </c>
    </row>
    <row r="6039" spans="1:5" x14ac:dyDescent="0.25">
      <c r="A6039" t="str">
        <f>HYPERLINK("https://www.773grp.com/globalSearch/LM2578AM/page-1", "LM2578AM")</f>
        <v>LM2578AM</v>
      </c>
      <c r="B6039" s="3" t="str">
        <f>HYPERLINK("https://www.773grp.com/manufacturer/national-semiconductor?pageNo=8", "National Semiconductor")</f>
        <v>National Semiconductor</v>
      </c>
      <c r="C6039" s="6">
        <v>165</v>
      </c>
      <c r="D6039" s="7">
        <v>5.63</v>
      </c>
      <c r="E6039" t="s">
        <v>7</v>
      </c>
    </row>
    <row r="6040" spans="1:5" x14ac:dyDescent="0.25">
      <c r="A6040" t="str">
        <f>HYPERLINK("https://www.773grp.com/globalSearch/LM2591HVSX-3.3-NOPB/page-1", "LM2591HVSX-3.3-NOPB")</f>
        <v>LM2591HVSX-3.3-NOPB</v>
      </c>
      <c r="B6040" s="3" t="str">
        <f>HYPERLINK("https://www.773grp.com/manufacturer/national-semiconductor?pageNo=9", "National Semiconductor")</f>
        <v>National Semiconductor</v>
      </c>
      <c r="C6040" s="6">
        <v>500</v>
      </c>
      <c r="D6040" s="7">
        <v>5.63</v>
      </c>
      <c r="E6040" t="s">
        <v>7</v>
      </c>
    </row>
    <row r="6041" spans="1:5" x14ac:dyDescent="0.25">
      <c r="A6041" t="str">
        <f>HYPERLINK("https://www.773grp.com/globalSearch/LM2591HVSX-5.0-NOPB/page-1", "LM2591HVSX-5.0-NOPB")</f>
        <v>LM2591HVSX-5.0-NOPB</v>
      </c>
      <c r="B6041" s="3" t="str">
        <f>HYPERLINK("https://www.773grp.com/manufacturer/national-semiconductor?pageNo=10", "National Semiconductor")</f>
        <v>National Semiconductor</v>
      </c>
      <c r="C6041" s="6">
        <v>1500</v>
      </c>
      <c r="D6041" s="7">
        <v>5.63</v>
      </c>
      <c r="E6041" t="s">
        <v>7</v>
      </c>
    </row>
    <row r="6042" spans="1:5" x14ac:dyDescent="0.25">
      <c r="A6042" t="str">
        <f>HYPERLINK("https://www.773grp.com/globalSearch/LM2591HVSX-ADJ-NOPB/page-1", "LM2591HVSX-ADJ-NOPB")</f>
        <v>LM2591HVSX-ADJ-NOPB</v>
      </c>
      <c r="B6042" s="3" t="str">
        <f>HYPERLINK("https://www.773grp.com/manufacturer/national-semiconductor?pageNo=11", "National Semiconductor")</f>
        <v>National Semiconductor</v>
      </c>
      <c r="C6042" s="6">
        <v>15500</v>
      </c>
      <c r="D6042" s="7">
        <v>5.63</v>
      </c>
      <c r="E6042" t="s">
        <v>7</v>
      </c>
    </row>
    <row r="6043" spans="1:5" x14ac:dyDescent="0.25">
      <c r="A6043" t="str">
        <f>HYPERLINK("https://www.773grp.com/globalSearch/LM2591HVT-3.3-NOPB/page-1", "LM2591HVT-3.3-NOPB")</f>
        <v>LM2591HVT-3.3-NOPB</v>
      </c>
      <c r="B6043" s="3" t="str">
        <f>HYPERLINK("https://www.773grp.com/manufacturer/national-semiconductor?pageNo=12", "National Semiconductor")</f>
        <v>National Semiconductor</v>
      </c>
      <c r="C6043" s="6">
        <v>180</v>
      </c>
      <c r="D6043" s="7">
        <v>5.63</v>
      </c>
    </row>
    <row r="6044" spans="1:5" x14ac:dyDescent="0.25">
      <c r="A6044" t="str">
        <f>HYPERLINK("https://www.773grp.com/globalSearch/LM2591HVT-5.0-NOPB/page-1", "LM2591HVT-5.0-NOPB")</f>
        <v>LM2591HVT-5.0-NOPB</v>
      </c>
      <c r="B6044" s="3" t="str">
        <f>HYPERLINK("https://www.773grp.com/manufacturer/national-semiconductor?pageNo=13", "National Semiconductor")</f>
        <v>National Semiconductor</v>
      </c>
      <c r="C6044" s="6">
        <v>70</v>
      </c>
      <c r="D6044" s="7">
        <v>5.63</v>
      </c>
    </row>
    <row r="6045" spans="1:5" x14ac:dyDescent="0.25">
      <c r="A6045" t="str">
        <f>HYPERLINK("https://www.773grp.com/globalSearch/LM2591HVT-ADJ-LF16/page-1", "LM2591HVT-ADJ-LF16")</f>
        <v>LM2591HVT-ADJ-LF16</v>
      </c>
      <c r="B6045" s="3" t="str">
        <f>HYPERLINK("https://www.773grp.com/manufacturer/national-semiconductor?pageNo=14", "National Semiconductor")</f>
        <v>National Semiconductor</v>
      </c>
      <c r="C6045" s="6">
        <v>90</v>
      </c>
      <c r="D6045" s="7">
        <v>5.63</v>
      </c>
    </row>
    <row r="6046" spans="1:5" x14ac:dyDescent="0.25">
      <c r="A6046" t="str">
        <f>HYPERLINK("https://www.773grp.com/globalSearch/LM2876TF/page-1", "LM2876TF")</f>
        <v>LM2876TF</v>
      </c>
      <c r="B6046" s="3" t="str">
        <f>HYPERLINK("https://www.773grp.com/manufacturer/national-semiconductor?pageNo=15", "National Semiconductor")</f>
        <v>National Semiconductor</v>
      </c>
      <c r="C6046" s="6">
        <v>79</v>
      </c>
      <c r="D6046" s="7">
        <v>5.63</v>
      </c>
      <c r="E6046" t="s">
        <v>18</v>
      </c>
    </row>
    <row r="6047" spans="1:5" x14ac:dyDescent="0.25">
      <c r="A6047" t="str">
        <f>HYPERLINK("https://www.773grp.com/globalSearch/LM2977T/page-1", "LM2977T")</f>
        <v>LM2977T</v>
      </c>
      <c r="B6047" s="3" t="str">
        <f>HYPERLINK("https://www.773grp.com/manufacturer/national-semiconductor?pageNo=16", "National Semiconductor")</f>
        <v>National Semiconductor</v>
      </c>
      <c r="C6047" s="6">
        <v>1110</v>
      </c>
      <c r="D6047" s="7">
        <v>5.63</v>
      </c>
    </row>
    <row r="6048" spans="1:5" x14ac:dyDescent="0.25">
      <c r="A6048" t="str">
        <f>HYPERLINK("https://www.773grp.com/globalSearch/LM3502ITL-25/page-1", "LM3502ITL-25")</f>
        <v>LM3502ITL-25</v>
      </c>
      <c r="B6048" s="3" t="str">
        <f>HYPERLINK("https://www.773grp.com/manufacturer/national-semiconductor?pageNo=17", "National Semiconductor")</f>
        <v>National Semiconductor</v>
      </c>
      <c r="C6048" s="6">
        <v>750</v>
      </c>
      <c r="D6048" s="7">
        <v>5.63</v>
      </c>
      <c r="E6048" t="s">
        <v>10</v>
      </c>
    </row>
    <row r="6049" spans="1:5" x14ac:dyDescent="0.25">
      <c r="A6049" t="str">
        <f>HYPERLINK("https://www.773grp.com/globalSearch/LM3502ITL-44/page-1", "LM3502ITL-44")</f>
        <v>LM3502ITL-44</v>
      </c>
      <c r="B6049" s="3" t="str">
        <f>HYPERLINK("https://www.773grp.com/manufacturer/national-semiconductor?pageNo=18", "National Semiconductor")</f>
        <v>National Semiconductor</v>
      </c>
      <c r="C6049" s="6">
        <v>250</v>
      </c>
      <c r="D6049" s="7">
        <v>5.63</v>
      </c>
      <c r="E6049" t="s">
        <v>10</v>
      </c>
    </row>
    <row r="6050" spans="1:5" x14ac:dyDescent="0.25">
      <c r="A6050" t="str">
        <f>HYPERLINK("https://www.773grp.com/globalSearch/LM3503ITL-35/page-1", "LM3503ITL-35")</f>
        <v>LM3503ITL-35</v>
      </c>
      <c r="B6050" s="3" t="str">
        <f>HYPERLINK("https://www.773grp.com/manufacturer/national-semiconductor?pageNo=19", "National Semiconductor")</f>
        <v>National Semiconductor</v>
      </c>
      <c r="C6050" s="6">
        <v>750</v>
      </c>
      <c r="D6050" s="7">
        <v>5.63</v>
      </c>
      <c r="E6050" t="s">
        <v>10</v>
      </c>
    </row>
    <row r="6051" spans="1:5" x14ac:dyDescent="0.25">
      <c r="A6051" t="str">
        <f>HYPERLINK("https://www.773grp.com/globalSearch/LM3503ITL-44/page-1", "LM3503ITL-44")</f>
        <v>LM3503ITL-44</v>
      </c>
      <c r="B6051" s="3" t="str">
        <f>HYPERLINK("https://www.773grp.com/manufacturer/national-semiconductor?pageNo=20", "National Semiconductor")</f>
        <v>National Semiconductor</v>
      </c>
      <c r="C6051" s="6">
        <v>1235</v>
      </c>
      <c r="D6051" s="7">
        <v>5.63</v>
      </c>
      <c r="E6051" t="s">
        <v>10</v>
      </c>
    </row>
    <row r="6052" spans="1:5" x14ac:dyDescent="0.25">
      <c r="A6052" t="str">
        <f>HYPERLINK("https://www.773grp.com/globalSearch/LM35CAZ/page-1", "LM35CAZ")</f>
        <v>LM35CAZ</v>
      </c>
      <c r="B6052" s="3" t="str">
        <f>HYPERLINK("https://www.773grp.com/manufacturer/national-semiconductor?pageNo=21", "National Semiconductor")</f>
        <v>National Semiconductor</v>
      </c>
      <c r="C6052" s="6">
        <v>6998</v>
      </c>
      <c r="D6052" s="7">
        <v>5.63</v>
      </c>
      <c r="E6052" t="s">
        <v>8</v>
      </c>
    </row>
    <row r="6053" spans="1:5" x14ac:dyDescent="0.25">
      <c r="A6053" t="str">
        <f>HYPERLINK("https://www.773grp.com/globalSearch/LM4804LQ-NOPB/page-1", "LM4804LQ-NOPB")</f>
        <v>LM4804LQ-NOPB</v>
      </c>
      <c r="B6053" s="3" t="str">
        <f>HYPERLINK("https://www.773grp.com/manufacturer/national-semiconductor?pageNo=22", "National Semiconductor")</f>
        <v>National Semiconductor</v>
      </c>
      <c r="C6053" s="6">
        <v>1000</v>
      </c>
      <c r="D6053" s="7">
        <v>5.63</v>
      </c>
      <c r="E6053" t="s">
        <v>18</v>
      </c>
    </row>
    <row r="6054" spans="1:5" x14ac:dyDescent="0.25">
      <c r="A6054" t="str">
        <f>HYPERLINK("https://www.773grp.com/globalSearch/LM4936MH-NOPB/page-1", "LM4936MH-NOPB")</f>
        <v>LM4936MH-NOPB</v>
      </c>
      <c r="B6054" s="3" t="str">
        <f>HYPERLINK("https://www.773grp.com/manufacturer/national-semiconductor?pageNo=23", "National Semiconductor")</f>
        <v>National Semiconductor</v>
      </c>
      <c r="C6054" s="6">
        <v>84</v>
      </c>
      <c r="D6054" s="7">
        <v>5.63</v>
      </c>
    </row>
    <row r="6055" spans="1:5" x14ac:dyDescent="0.25">
      <c r="A6055" t="str">
        <f>HYPERLINK("https://www.773grp.com/globalSearch/LM9072S/page-1", "LM9072S")</f>
        <v>LM9072S</v>
      </c>
      <c r="B6055" s="3" t="str">
        <f>HYPERLINK("https://www.773grp.com/manufacturer/national-semiconductor?pageNo=24", "National Semiconductor")</f>
        <v>National Semiconductor</v>
      </c>
      <c r="C6055" s="6">
        <v>6425</v>
      </c>
      <c r="D6055" s="7">
        <v>5.63</v>
      </c>
      <c r="E6055" t="s">
        <v>44</v>
      </c>
    </row>
    <row r="6056" spans="1:5" x14ac:dyDescent="0.25">
      <c r="A6056" t="str">
        <f>HYPERLINK("https://www.773grp.com/globalSearch/LMB1025M-B4/page-1", "LMB1025M-B4")</f>
        <v>LMB1025M-B4</v>
      </c>
      <c r="B6056" s="3" t="str">
        <f>HYPERLINK("https://www.773grp.com/manufacturer/national-semiconductor?pageNo=25", "National Semiconductor")</f>
        <v>National Semiconductor</v>
      </c>
      <c r="C6056" s="6">
        <v>356</v>
      </c>
      <c r="D6056" s="7">
        <v>5.63</v>
      </c>
    </row>
    <row r="6057" spans="1:5" x14ac:dyDescent="0.25">
      <c r="A6057" t="str">
        <f>HYPERLINK("https://www.773grp.com/globalSearch/LMH6622MM/page-1", "LMH6622MM")</f>
        <v>LMH6622MM</v>
      </c>
      <c r="B6057" s="3" t="str">
        <f>HYPERLINK("https://www.773grp.com/manufacturer/national-semiconductor?pageNo=26", "National Semiconductor")</f>
        <v>National Semiconductor</v>
      </c>
      <c r="C6057" s="6">
        <v>1000</v>
      </c>
      <c r="D6057" s="7">
        <v>5.63</v>
      </c>
      <c r="E6057" t="s">
        <v>18</v>
      </c>
    </row>
    <row r="6058" spans="1:5" x14ac:dyDescent="0.25">
      <c r="A6058" t="str">
        <f>HYPERLINK("https://www.773grp.com/globalSearch/LMX2470SLEX/page-1", "LMX2470SLEX")</f>
        <v>LMX2470SLEX</v>
      </c>
      <c r="B6058" s="3" t="str">
        <f>HYPERLINK("https://www.773grp.com/manufacturer/national-semiconductor?pageNo=27", "National Semiconductor")</f>
        <v>National Semiconductor</v>
      </c>
      <c r="C6058" s="6">
        <v>9972</v>
      </c>
      <c r="D6058" s="7">
        <v>5.63</v>
      </c>
      <c r="E6058" t="s">
        <v>38</v>
      </c>
    </row>
    <row r="6059" spans="1:5" x14ac:dyDescent="0.25">
      <c r="A6059" t="str">
        <f>HYPERLINK("https://www.773grp.com/globalSearch/LMX2470SLEX-NOPB/page-1", "LMX2470SLEX-NOPB")</f>
        <v>LMX2470SLEX-NOPB</v>
      </c>
      <c r="B6059" s="3" t="str">
        <f>HYPERLINK("https://www.773grp.com/manufacturer/national-semiconductor?pageNo=28", "National Semiconductor")</f>
        <v>National Semiconductor</v>
      </c>
      <c r="C6059" s="6">
        <v>12500</v>
      </c>
      <c r="D6059" s="7">
        <v>5.63</v>
      </c>
      <c r="E6059" t="s">
        <v>38</v>
      </c>
    </row>
    <row r="6060" spans="1:5" x14ac:dyDescent="0.25">
      <c r="A6060" t="str">
        <f>HYPERLINK("https://www.773grp.com/globalSearch/LP38513S-1.8/page-1", "LP38513S-1.8")</f>
        <v>LP38513S-1.8</v>
      </c>
      <c r="B6060" s="3" t="str">
        <f>HYPERLINK("https://www.773grp.com/manufacturer/national-semiconductor?pageNo=29", "National Semiconductor")</f>
        <v>National Semiconductor</v>
      </c>
      <c r="C6060" s="6">
        <v>540</v>
      </c>
      <c r="D6060" s="7">
        <v>5.63</v>
      </c>
      <c r="E6060" t="s">
        <v>19</v>
      </c>
    </row>
    <row r="6061" spans="1:5" x14ac:dyDescent="0.25">
      <c r="A6061" t="str">
        <f>HYPERLINK("https://www.773grp.com/globalSearch/LP39542RL/page-1", "LP39542RL")</f>
        <v>LP39542RL</v>
      </c>
      <c r="B6061" s="3" t="str">
        <f>HYPERLINK("https://www.773grp.com/manufacturer/national-semiconductor?pageNo=30", "National Semiconductor")</f>
        <v>National Semiconductor</v>
      </c>
      <c r="C6061" s="6">
        <v>145</v>
      </c>
      <c r="D6061" s="7">
        <v>5.63</v>
      </c>
      <c r="E6061" t="s">
        <v>10</v>
      </c>
    </row>
    <row r="6062" spans="1:5" x14ac:dyDescent="0.25">
      <c r="A6062" t="str">
        <f>HYPERLINK("https://www.773grp.com/globalSearch/ADC104S101CIMM-NOPB/page-1", "ADC104S101CIMM-NOPB")</f>
        <v>ADC104S101CIMM-NOPB</v>
      </c>
      <c r="B6062" s="3" t="str">
        <f>HYPERLINK("https://www.773grp.com/manufacturer/national-semiconductor?pageNo=31", "National Semiconductor")</f>
        <v>National Semiconductor</v>
      </c>
      <c r="C6062" s="6">
        <v>1000</v>
      </c>
      <c r="D6062" s="7">
        <v>5.63</v>
      </c>
    </row>
    <row r="6063" spans="1:5" x14ac:dyDescent="0.25">
      <c r="A6063" t="str">
        <f>HYPERLINK("https://www.773grp.com/globalSearch/BQ24103RHLR/page-1", "BQ24103RHLR")</f>
        <v>BQ24103RHLR</v>
      </c>
      <c r="B6063" s="3" t="str">
        <f>HYPERLINK("https://www.773grp.com/manufacturer/national-semiconductor?pageNo=32", "National Semiconductor")</f>
        <v>National Semiconductor</v>
      </c>
      <c r="C6063" s="6">
        <v>331</v>
      </c>
      <c r="D6063" s="7">
        <v>5.63</v>
      </c>
    </row>
    <row r="6064" spans="1:5" x14ac:dyDescent="0.25">
      <c r="A6064" t="str">
        <f>HYPERLINK("https://www.773grp.com/globalSearch/DAC0832LCWM/page-1", "DAC0832LCWM")</f>
        <v>DAC0832LCWM</v>
      </c>
      <c r="B6064" s="3" t="str">
        <f>HYPERLINK("https://www.773grp.com/manufacturer/national-semiconductor?pageNo=33", "National Semiconductor")</f>
        <v>National Semiconductor</v>
      </c>
      <c r="C6064" s="6">
        <v>108</v>
      </c>
      <c r="D6064" s="7">
        <v>5.63</v>
      </c>
      <c r="E6064" t="s">
        <v>33</v>
      </c>
    </row>
    <row r="6065" spans="1:5" x14ac:dyDescent="0.25">
      <c r="A6065" t="str">
        <f>HYPERLINK("https://www.773grp.com/globalSearch/DAC104S085CISD-NOPB/page-1", "DAC104S085CISD-NOPB")</f>
        <v>DAC104S085CISD-NOPB</v>
      </c>
      <c r="B6065" s="3" t="str">
        <f>HYPERLINK("https://www.773grp.com/manufacturer/national-semiconductor?pageNo=34", "National Semiconductor")</f>
        <v>National Semiconductor</v>
      </c>
      <c r="C6065" s="6">
        <v>900</v>
      </c>
      <c r="D6065" s="7">
        <v>5.63</v>
      </c>
    </row>
    <row r="6066" spans="1:5" x14ac:dyDescent="0.25">
      <c r="A6066" t="str">
        <f>HYPERLINK("https://www.773grp.com/globalSearch/LM2591HVSX-5.0-NOPB/page-1", "LM2591HVSX-5.0-NOPB")</f>
        <v>LM2591HVSX-5.0-NOPB</v>
      </c>
      <c r="B6066" s="3" t="str">
        <f>HYPERLINK("https://www.773grp.com/manufacturer/national-semiconductor?pageNo=35", "National Semiconductor")</f>
        <v>National Semiconductor</v>
      </c>
      <c r="C6066" s="6">
        <v>500</v>
      </c>
      <c r="D6066" s="7">
        <v>5.63</v>
      </c>
      <c r="E6066" t="s">
        <v>7</v>
      </c>
    </row>
    <row r="6067" spans="1:5" x14ac:dyDescent="0.25">
      <c r="A6067" t="str">
        <f>HYPERLINK("https://www.773grp.com/globalSearch/LM2591HVT-3.3-NOPB/page-1", "LM2591HVT-3.3-NOPB")</f>
        <v>LM2591HVT-3.3-NOPB</v>
      </c>
      <c r="B6067" s="3" t="str">
        <f>HYPERLINK("https://www.773grp.com/manufacturer/national-semiconductor?pageNo=36", "National Semiconductor")</f>
        <v>National Semiconductor</v>
      </c>
      <c r="C6067" s="6">
        <v>818</v>
      </c>
      <c r="D6067" s="7">
        <v>5.63</v>
      </c>
    </row>
    <row r="6068" spans="1:5" x14ac:dyDescent="0.25">
      <c r="A6068" t="str">
        <f>HYPERLINK("https://www.773grp.com/globalSearch/LM2591HVT-5.0-NOPB/page-1", "LM2591HVT-5.0-NOPB")</f>
        <v>LM2591HVT-5.0-NOPB</v>
      </c>
      <c r="B6068" s="3" t="str">
        <f>HYPERLINK("https://www.773grp.com/manufacturer/national-semiconductor?pageNo=37", "National Semiconductor")</f>
        <v>National Semiconductor</v>
      </c>
      <c r="C6068" s="6">
        <v>237</v>
      </c>
      <c r="D6068" s="7">
        <v>5.63</v>
      </c>
    </row>
    <row r="6069" spans="1:5" x14ac:dyDescent="0.25">
      <c r="A6069" t="str">
        <f>HYPERLINK("https://www.773grp.com/globalSearch/LM2591HVT-ADJ-NOPB/page-1", "LM2591HVT-ADJ-NOPB")</f>
        <v>LM2591HVT-ADJ-NOPB</v>
      </c>
      <c r="B6069" s="3" t="str">
        <f>HYPERLINK("https://www.773grp.com/manufacturer/national-semiconductor?pageNo=38", "National Semiconductor")</f>
        <v>National Semiconductor</v>
      </c>
      <c r="C6069" s="6">
        <v>545</v>
      </c>
      <c r="D6069" s="7">
        <v>5.63</v>
      </c>
    </row>
    <row r="6070" spans="1:5" x14ac:dyDescent="0.25">
      <c r="A6070" t="str">
        <f>HYPERLINK("https://www.773grp.com/globalSearch/LM3464MHX-NOPB/page-1", "LM3464MHX-NOPB")</f>
        <v>LM3464MHX-NOPB</v>
      </c>
      <c r="B6070" s="3" t="str">
        <f>HYPERLINK("https://www.773grp.com/manufacturer/national-semiconductor?pageNo=39", "National Semiconductor")</f>
        <v>National Semiconductor</v>
      </c>
      <c r="C6070" s="6">
        <v>2500</v>
      </c>
      <c r="D6070" s="7">
        <v>5.63</v>
      </c>
    </row>
    <row r="6071" spans="1:5" x14ac:dyDescent="0.25">
      <c r="A6071" t="str">
        <f>HYPERLINK("https://www.773grp.com/globalSearch/LM35CAZ/page-1", "LM35CAZ")</f>
        <v>LM35CAZ</v>
      </c>
      <c r="B6071" s="3" t="str">
        <f>HYPERLINK("https://www.773grp.com/manufacturer/national-semiconductor?pageNo=40", "National Semiconductor")</f>
        <v>National Semiconductor</v>
      </c>
      <c r="C6071" s="6">
        <v>20670</v>
      </c>
      <c r="D6071" s="7">
        <v>5.63</v>
      </c>
      <c r="E6071" t="s">
        <v>8</v>
      </c>
    </row>
    <row r="6072" spans="1:5" x14ac:dyDescent="0.25">
      <c r="A6072" t="str">
        <f>HYPERLINK("https://www.773grp.com/globalSearch/LM4804LQ-NOPB/page-1", "LM4804LQ-NOPB")</f>
        <v>LM4804LQ-NOPB</v>
      </c>
      <c r="B6072" s="3" t="str">
        <f>HYPERLINK("https://www.773grp.com/manufacturer/national-semiconductor?pageNo=41", "National Semiconductor")</f>
        <v>National Semiconductor</v>
      </c>
      <c r="C6072" s="6">
        <v>803</v>
      </c>
      <c r="D6072" s="7">
        <v>5.63</v>
      </c>
      <c r="E6072" t="s">
        <v>18</v>
      </c>
    </row>
    <row r="6073" spans="1:5" x14ac:dyDescent="0.25">
      <c r="A6073" t="str">
        <f>HYPERLINK("https://www.773grp.com/globalSearch/LM4936MH-NOPB/page-1", "LM4936MH-NOPB")</f>
        <v>LM4936MH-NOPB</v>
      </c>
      <c r="B6073" s="3" t="str">
        <f>HYPERLINK("https://www.773grp.com/manufacturer/national-semiconductor?pageNo=42", "National Semiconductor")</f>
        <v>National Semiconductor</v>
      </c>
      <c r="C6073" s="6">
        <v>376</v>
      </c>
      <c r="D6073" s="7">
        <v>5.63</v>
      </c>
    </row>
    <row r="6074" spans="1:5" x14ac:dyDescent="0.25">
      <c r="A6074" t="str">
        <f>HYPERLINK("https://www.773grp.com/globalSearch/LMC6064AIMX-NOPB/page-1", "LMC6064AIMX-NOPB")</f>
        <v>LMC6064AIMX-NOPB</v>
      </c>
      <c r="B6074" s="3" t="str">
        <f>HYPERLINK("https://www.773grp.com/manufacturer/national-semiconductor?pageNo=43", "National Semiconductor")</f>
        <v>National Semiconductor</v>
      </c>
      <c r="C6074" s="6">
        <v>5000</v>
      </c>
      <c r="D6074" s="7">
        <v>5.63</v>
      </c>
    </row>
    <row r="6075" spans="1:5" x14ac:dyDescent="0.25">
      <c r="A6075" t="str">
        <f>HYPERLINK("https://www.773grp.com/globalSearch/LMV1089RL/page-1", "LMV1089RL")</f>
        <v>LMV1089RL</v>
      </c>
      <c r="B6075" s="3" t="str">
        <f>HYPERLINK("https://www.773grp.com/manufacturer/national-semiconductor?pageNo=44", "National Semiconductor")</f>
        <v>National Semiconductor</v>
      </c>
      <c r="C6075" s="6">
        <v>276</v>
      </c>
      <c r="D6075" s="7">
        <v>5.63</v>
      </c>
    </row>
    <row r="6076" spans="1:5" x14ac:dyDescent="0.25">
      <c r="A6076" t="str">
        <f>HYPERLINK("https://www.773grp.com/globalSearch/LMV1089RL-NOPB/page-1", "LMV1089RL-NOPB")</f>
        <v>LMV1089RL-NOPB</v>
      </c>
      <c r="B6076" s="3" t="str">
        <f>HYPERLINK("https://www.773grp.com/manufacturer/national-semiconductor?pageNo=45", "National Semiconductor")</f>
        <v>National Semiconductor</v>
      </c>
      <c r="C6076" s="6">
        <v>250</v>
      </c>
      <c r="D6076" s="7">
        <v>5.63</v>
      </c>
    </row>
    <row r="6077" spans="1:5" x14ac:dyDescent="0.25">
      <c r="A6077" t="str">
        <f>HYPERLINK("https://www.773grp.com/globalSearch/LMX2470SLEX-NOPB/page-1", "LMX2470SLEX-NOPB")</f>
        <v>LMX2470SLEX-NOPB</v>
      </c>
      <c r="B6077" s="3" t="str">
        <f>HYPERLINK("https://www.773grp.com/manufacturer/national-semiconductor?pageNo=46", "National Semiconductor")</f>
        <v>National Semiconductor</v>
      </c>
      <c r="C6077" s="6">
        <v>7387</v>
      </c>
      <c r="D6077" s="7">
        <v>5.63</v>
      </c>
      <c r="E6077" t="s">
        <v>38</v>
      </c>
    </row>
    <row r="6078" spans="1:5" x14ac:dyDescent="0.25">
      <c r="A6078" t="str">
        <f>HYPERLINK("https://www.773grp.com/globalSearch/LP39542TLX-NOPB/page-1", "LP39542TLX-NOPB")</f>
        <v>LP39542TLX-NOPB</v>
      </c>
      <c r="B6078" s="3" t="str">
        <f>HYPERLINK("https://www.773grp.com/manufacturer/national-semiconductor?pageNo=47", "National Semiconductor")</f>
        <v>National Semiconductor</v>
      </c>
      <c r="C6078" s="6">
        <v>11000</v>
      </c>
      <c r="D6078" s="7">
        <v>5.63</v>
      </c>
    </row>
    <row r="6079" spans="1:5" x14ac:dyDescent="0.25">
      <c r="A6079" t="str">
        <f>HYPERLINK("https://www.773grp.com/globalSearch/MSP430F2272IRHAR/page-1", "MSP430F2272IRHAR")</f>
        <v>MSP430F2272IRHAR</v>
      </c>
      <c r="B6079" s="3" t="str">
        <f>HYPERLINK("https://www.773grp.com/manufacturer/national-semiconductor?pageNo=48", "National Semiconductor")</f>
        <v>National Semiconductor</v>
      </c>
      <c r="C6079" s="6">
        <v>2298</v>
      </c>
      <c r="D6079" s="7">
        <v>5.63</v>
      </c>
    </row>
    <row r="6080" spans="1:5" x14ac:dyDescent="0.25">
      <c r="A6080" t="str">
        <f>HYPERLINK("https://www.773grp.com/globalSearch/SN74ALS156D/page-1", "SN74ALS156D")</f>
        <v>SN74ALS156D</v>
      </c>
      <c r="B6080" s="3" t="str">
        <f>HYPERLINK("https://www.773grp.com/manufacturer/national-semiconductor?pageNo=49", "National Semiconductor")</f>
        <v>National Semiconductor</v>
      </c>
      <c r="C6080" s="6">
        <v>100</v>
      </c>
      <c r="D6080" s="7">
        <v>5.63</v>
      </c>
    </row>
    <row r="6081" spans="1:5" x14ac:dyDescent="0.25">
      <c r="A6081" t="str">
        <f>HYPERLINK("https://www.773grp.com/globalSearch/4051BDC/page-1", "4051BDC")</f>
        <v>4051BDC</v>
      </c>
      <c r="B6081" s="3" t="str">
        <f>HYPERLINK("https://www.773grp.com/manufacturer/national-semiconductor?pageNo=50", "National Semiconductor")</f>
        <v>National Semiconductor</v>
      </c>
      <c r="C6081" s="6">
        <v>2232</v>
      </c>
      <c r="D6081" s="7">
        <v>5.65</v>
      </c>
    </row>
    <row r="6082" spans="1:5" x14ac:dyDescent="0.25">
      <c r="A6082" t="str">
        <f>HYPERLINK("https://www.773grp.com/globalSearch/4051BDM/page-1", "4051BDM")</f>
        <v>4051BDM</v>
      </c>
      <c r="B6082" s="3" t="str">
        <f>HYPERLINK("https://www.773grp.com/manufacturer/national-semiconductor?pageNo=51", "National Semiconductor")</f>
        <v>National Semiconductor</v>
      </c>
      <c r="C6082" s="6">
        <v>3527</v>
      </c>
      <c r="D6082" s="7">
        <v>5.65</v>
      </c>
    </row>
    <row r="6083" spans="1:5" x14ac:dyDescent="0.25">
      <c r="A6083" t="str">
        <f>HYPERLINK("https://www.773grp.com/globalSearch/54F352DMQB/page-1", "54F352DMQB")</f>
        <v>54F352DMQB</v>
      </c>
      <c r="B6083" s="3" t="str">
        <f>HYPERLINK("https://www.773grp.com/manufacturer/national-semiconductor?pageNo=52", "National Semiconductor")</f>
        <v>National Semiconductor</v>
      </c>
      <c r="C6083" s="6">
        <v>3439</v>
      </c>
      <c r="D6083" s="7">
        <v>5.65</v>
      </c>
      <c r="E6083" t="s">
        <v>20</v>
      </c>
    </row>
    <row r="6084" spans="1:5" x14ac:dyDescent="0.25">
      <c r="A6084" t="str">
        <f>HYPERLINK("https://www.773grp.com/globalSearch/CLC446AJE/page-1", "CLC446AJE")</f>
        <v>CLC446AJE</v>
      </c>
      <c r="B6084" s="3" t="str">
        <f>HYPERLINK("https://www.773grp.com/manufacturer/national-semiconductor?pageNo=53", "National Semiconductor")</f>
        <v>National Semiconductor</v>
      </c>
      <c r="C6084" s="6">
        <v>3518</v>
      </c>
      <c r="D6084" s="7">
        <v>5.65</v>
      </c>
      <c r="E6084" t="s">
        <v>13</v>
      </c>
    </row>
    <row r="6085" spans="1:5" x14ac:dyDescent="0.25">
      <c r="A6085" t="str">
        <f>HYPERLINK("https://www.773grp.com/globalSearch/CLC446AJE-TR13/page-1", "CLC446AJE-TR13")</f>
        <v>CLC446AJE-TR13</v>
      </c>
      <c r="B6085" s="3" t="str">
        <f>HYPERLINK("https://www.773grp.com/manufacturer/national-semiconductor?pageNo=54", "National Semiconductor")</f>
        <v>National Semiconductor</v>
      </c>
      <c r="C6085" s="6">
        <v>14810</v>
      </c>
      <c r="D6085" s="7">
        <v>5.65</v>
      </c>
      <c r="E6085" t="s">
        <v>13</v>
      </c>
    </row>
    <row r="6086" spans="1:5" x14ac:dyDescent="0.25">
      <c r="A6086" t="str">
        <f>HYPERLINK("https://www.773grp.com/globalSearch/CLC446AJP/page-1", "CLC446AJP")</f>
        <v>CLC446AJP</v>
      </c>
      <c r="B6086" s="3" t="str">
        <f>HYPERLINK("https://www.773grp.com/manufacturer/national-semiconductor?pageNo=55", "National Semiconductor")</f>
        <v>National Semiconductor</v>
      </c>
      <c r="C6086" s="6">
        <v>2639</v>
      </c>
      <c r="D6086" s="7">
        <v>5.65</v>
      </c>
      <c r="E6086" t="s">
        <v>13</v>
      </c>
    </row>
    <row r="6087" spans="1:5" x14ac:dyDescent="0.25">
      <c r="A6087" t="str">
        <f>HYPERLINK("https://www.773grp.com/globalSearch/LM84BIMQA-NOPB/page-1", "LM84BIMQA-NOPB")</f>
        <v>LM84BIMQA-NOPB</v>
      </c>
      <c r="B6087" s="3" t="str">
        <f>HYPERLINK("https://www.773grp.com/manufacturer/national-semiconductor?pageNo=56", "National Semiconductor")</f>
        <v>National Semiconductor</v>
      </c>
      <c r="C6087" s="6">
        <v>475</v>
      </c>
      <c r="D6087" s="7">
        <v>5.65</v>
      </c>
      <c r="E6087" t="s">
        <v>12</v>
      </c>
    </row>
    <row r="6088" spans="1:5" x14ac:dyDescent="0.25">
      <c r="A6088" t="str">
        <f>HYPERLINK("https://www.773grp.com/globalSearch/LM22672QMRE-5.0-NOPB/page-1", "LM22672QMRE-5.0-NOPB")</f>
        <v>LM22672QMRE-5.0-NOPB</v>
      </c>
      <c r="B6088" s="3" t="str">
        <f>HYPERLINK("https://www.773grp.com/manufacturer/national-semiconductor?pageNo=57", "National Semiconductor")</f>
        <v>National Semiconductor</v>
      </c>
      <c r="C6088" s="6">
        <v>4238</v>
      </c>
      <c r="D6088" s="7">
        <v>5.65</v>
      </c>
    </row>
    <row r="6089" spans="1:5" x14ac:dyDescent="0.25">
      <c r="A6089" t="str">
        <f>HYPERLINK("https://www.773grp.com/globalSearch/LM22672QMRE-ADJ-NOPB/page-1", "LM22672QMRE-ADJ-NOPB")</f>
        <v>LM22672QMRE-ADJ-NOPB</v>
      </c>
      <c r="B6089" s="3" t="str">
        <f>HYPERLINK("https://www.773grp.com/manufacturer/national-semiconductor?pageNo=58", "National Semiconductor")</f>
        <v>National Semiconductor</v>
      </c>
      <c r="C6089" s="6">
        <v>140</v>
      </c>
      <c r="D6089" s="7">
        <v>5.65</v>
      </c>
    </row>
    <row r="6090" spans="1:5" x14ac:dyDescent="0.25">
      <c r="A6090" t="str">
        <f>HYPERLINK("https://www.773grp.com/globalSearch/LM84BIMQA-NOPB/page-1", "LM84BIMQA-NOPB")</f>
        <v>LM84BIMQA-NOPB</v>
      </c>
      <c r="B6090" s="3" t="str">
        <f>HYPERLINK("https://www.773grp.com/manufacturer/national-semiconductor?pageNo=59", "National Semiconductor")</f>
        <v>National Semiconductor</v>
      </c>
      <c r="C6090" s="6">
        <v>238</v>
      </c>
      <c r="D6090" s="7">
        <v>5.65</v>
      </c>
      <c r="E6090" t="s">
        <v>12</v>
      </c>
    </row>
    <row r="6091" spans="1:5" x14ac:dyDescent="0.25">
      <c r="A6091" t="str">
        <f>HYPERLINK("https://www.773grp.com/globalSearch/54S132DM/page-1", "54S132DM")</f>
        <v>54S132DM</v>
      </c>
      <c r="B6091" s="3" t="str">
        <f>HYPERLINK("https://www.773grp.com/manufacturer/national-semiconductor?pageNo=60", "National Semiconductor")</f>
        <v>National Semiconductor</v>
      </c>
      <c r="C6091" s="6">
        <v>5138</v>
      </c>
      <c r="D6091" s="7">
        <v>5.69</v>
      </c>
    </row>
    <row r="6092" spans="1:5" x14ac:dyDescent="0.25">
      <c r="A6092" t="str">
        <f>HYPERLINK("https://www.773grp.com/globalSearch/937DC/page-1", "937DC")</f>
        <v>937DC</v>
      </c>
      <c r="B6092" s="3" t="str">
        <f>HYPERLINK("https://www.773grp.com/manufacturer/national-semiconductor?pageNo=61", "National Semiconductor")</f>
        <v>National Semiconductor</v>
      </c>
      <c r="C6092" s="6">
        <v>891</v>
      </c>
      <c r="D6092" s="7">
        <v>5.69</v>
      </c>
    </row>
    <row r="6093" spans="1:5" x14ac:dyDescent="0.25">
      <c r="A6093" t="str">
        <f>HYPERLINK("https://www.773grp.com/globalSearch/DM74S157J/page-1", "DM74S157J")</f>
        <v>DM74S157J</v>
      </c>
      <c r="B6093" s="3" t="str">
        <f>HYPERLINK("https://www.773grp.com/manufacturer/national-semiconductor?pageNo=62", "National Semiconductor")</f>
        <v>National Semiconductor</v>
      </c>
      <c r="C6093" s="6">
        <v>1615</v>
      </c>
      <c r="D6093" s="7">
        <v>5.69</v>
      </c>
    </row>
    <row r="6094" spans="1:5" x14ac:dyDescent="0.25">
      <c r="A6094" t="str">
        <f>HYPERLINK("https://www.773grp.com/globalSearch/DM74S257J/page-1", "DM74S257J")</f>
        <v>DM74S257J</v>
      </c>
      <c r="B6094" s="3" t="str">
        <f>HYPERLINK("https://www.773grp.com/manufacturer/national-semiconductor?pageNo=63", "National Semiconductor")</f>
        <v>National Semiconductor</v>
      </c>
      <c r="C6094" s="6">
        <v>2632</v>
      </c>
      <c r="D6094" s="7">
        <v>5.69</v>
      </c>
    </row>
    <row r="6095" spans="1:5" x14ac:dyDescent="0.25">
      <c r="A6095" t="str">
        <f>HYPERLINK("https://www.773grp.com/globalSearch/LM107H/page-1", "LM107H")</f>
        <v>LM107H</v>
      </c>
      <c r="B6095" s="3" t="str">
        <f>HYPERLINK("https://www.773grp.com/manufacturer/national-semiconductor?pageNo=64", "National Semiconductor")</f>
        <v>National Semiconductor</v>
      </c>
      <c r="C6095" s="6">
        <v>2</v>
      </c>
      <c r="D6095" s="7">
        <v>5.69</v>
      </c>
      <c r="E6095" t="s">
        <v>13</v>
      </c>
    </row>
    <row r="6096" spans="1:5" x14ac:dyDescent="0.25">
      <c r="A6096" t="str">
        <f>HYPERLINK("https://www.773grp.com/globalSearch/LMC6464BIM-NOPB/page-1", "LMC6464BIM-NOPB")</f>
        <v>LMC6464BIM-NOPB</v>
      </c>
      <c r="B6096" s="3" t="str">
        <f>HYPERLINK("https://www.773grp.com/manufacturer/national-semiconductor?pageNo=65", "National Semiconductor")</f>
        <v>National Semiconductor</v>
      </c>
      <c r="C6096" s="6">
        <v>220</v>
      </c>
      <c r="D6096" s="7">
        <v>5.69</v>
      </c>
      <c r="E6096" t="s">
        <v>13</v>
      </c>
    </row>
    <row r="6097" spans="1:5" x14ac:dyDescent="0.25">
      <c r="A6097" t="str">
        <f>HYPERLINK("https://www.773grp.com/globalSearch/LMH6655MA/page-1", "LMH6655MA")</f>
        <v>LMH6655MA</v>
      </c>
      <c r="B6097" s="3" t="str">
        <f>HYPERLINK("https://www.773grp.com/manufacturer/national-semiconductor?pageNo=66", "National Semiconductor")</f>
        <v>National Semiconductor</v>
      </c>
      <c r="C6097" s="6">
        <v>160</v>
      </c>
      <c r="D6097" s="7">
        <v>5.69</v>
      </c>
      <c r="E6097" t="s">
        <v>18</v>
      </c>
    </row>
    <row r="6098" spans="1:5" x14ac:dyDescent="0.25">
      <c r="A6098" t="str">
        <f>HYPERLINK("https://www.773grp.com/globalSearch/LMX2433TM-NOPB/page-1", "LMX2433TM-NOPB")</f>
        <v>LMX2433TM-NOPB</v>
      </c>
      <c r="B6098" s="3" t="str">
        <f>HYPERLINK("https://www.773grp.com/manufacturer/national-semiconductor?pageNo=67", "National Semiconductor")</f>
        <v>National Semiconductor</v>
      </c>
      <c r="C6098" s="6">
        <v>579</v>
      </c>
      <c r="D6098" s="7">
        <v>5.69</v>
      </c>
      <c r="E6098" t="s">
        <v>38</v>
      </c>
    </row>
    <row r="6099" spans="1:5" x14ac:dyDescent="0.25">
      <c r="A6099" t="str">
        <f>HYPERLINK("https://www.773grp.com/globalSearch/LMX2433TMX/page-1", "LMX2433TMX")</f>
        <v>LMX2433TMX</v>
      </c>
      <c r="B6099" s="3" t="str">
        <f>HYPERLINK("https://www.773grp.com/manufacturer/national-semiconductor?pageNo=68", "National Semiconductor")</f>
        <v>National Semiconductor</v>
      </c>
      <c r="C6099" s="6">
        <v>2500</v>
      </c>
      <c r="D6099" s="7">
        <v>5.69</v>
      </c>
      <c r="E6099" t="s">
        <v>38</v>
      </c>
    </row>
    <row r="6100" spans="1:5" x14ac:dyDescent="0.25">
      <c r="A6100" t="str">
        <f>HYPERLINK("https://www.773grp.com/globalSearch/LMC6464BIM-NOPB/page-1", "LMC6464BIM-NOPB")</f>
        <v>LMC6464BIM-NOPB</v>
      </c>
      <c r="B6100" s="3" t="str">
        <f>HYPERLINK("https://www.773grp.com/manufacturer/national-semiconductor?pageNo=69", "National Semiconductor")</f>
        <v>National Semiconductor</v>
      </c>
      <c r="C6100" s="6">
        <v>240</v>
      </c>
      <c r="D6100" s="7">
        <v>5.69</v>
      </c>
      <c r="E6100" t="s">
        <v>13</v>
      </c>
    </row>
    <row r="6101" spans="1:5" x14ac:dyDescent="0.25">
      <c r="A6101" t="str">
        <f>HYPERLINK("https://www.773grp.com/globalSearch/LMH6655MA/page-1", "LMH6655MA")</f>
        <v>LMH6655MA</v>
      </c>
      <c r="B6101" s="3" t="str">
        <f>HYPERLINK("https://www.773grp.com/manufacturer/national-semiconductor?pageNo=70", "National Semiconductor")</f>
        <v>National Semiconductor</v>
      </c>
      <c r="C6101" s="6">
        <v>19190</v>
      </c>
      <c r="D6101" s="7">
        <v>5.69</v>
      </c>
      <c r="E6101" t="s">
        <v>18</v>
      </c>
    </row>
    <row r="6102" spans="1:5" x14ac:dyDescent="0.25">
      <c r="A6102" t="str">
        <f>HYPERLINK("https://www.773grp.com/globalSearch/LMX2433TM-NOPB/page-1", "LMX2433TM-NOPB")</f>
        <v>LMX2433TM-NOPB</v>
      </c>
      <c r="B6102" s="3" t="str">
        <f>HYPERLINK("https://www.773grp.com/manufacturer/national-semiconductor?pageNo=71", "National Semiconductor")</f>
        <v>National Semiconductor</v>
      </c>
      <c r="C6102" s="6">
        <v>236</v>
      </c>
      <c r="D6102" s="7">
        <v>5.69</v>
      </c>
      <c r="E6102" t="s">
        <v>38</v>
      </c>
    </row>
    <row r="6103" spans="1:5" x14ac:dyDescent="0.25">
      <c r="A6103" t="str">
        <f>HYPERLINK("https://www.773grp.com/globalSearch/54LS279FMQB/page-1", "54LS279FMQB")</f>
        <v>54LS279FMQB</v>
      </c>
      <c r="B6103" s="3" t="str">
        <f>HYPERLINK("https://www.773grp.com/manufacturer/national-semiconductor?pageNo=72", "National Semiconductor")</f>
        <v>National Semiconductor</v>
      </c>
      <c r="C6103" s="6">
        <v>2138</v>
      </c>
      <c r="D6103" s="7">
        <v>5.7</v>
      </c>
      <c r="E6103" t="s">
        <v>35</v>
      </c>
    </row>
    <row r="6104" spans="1:5" x14ac:dyDescent="0.25">
      <c r="A6104" t="str">
        <f>HYPERLINK("https://www.773grp.com/globalSearch/LMH7220MK/page-1", "LMH7220MK")</f>
        <v>LMH7220MK</v>
      </c>
      <c r="B6104" s="3" t="str">
        <f>HYPERLINK("https://www.773grp.com/manufacturer/national-semiconductor?pageNo=73", "National Semiconductor")</f>
        <v>National Semiconductor</v>
      </c>
      <c r="C6104" s="6">
        <v>700</v>
      </c>
      <c r="D6104" s="7">
        <v>5.7</v>
      </c>
      <c r="E6104" t="s">
        <v>9</v>
      </c>
    </row>
    <row r="6105" spans="1:5" x14ac:dyDescent="0.25">
      <c r="A6105" t="str">
        <f>HYPERLINK("https://www.773grp.com/globalSearch/LMH7220MK-NOPB/page-1", "LMH7220MK-NOPB")</f>
        <v>LMH7220MK-NOPB</v>
      </c>
      <c r="B6105" s="3" t="str">
        <f>HYPERLINK("https://www.773grp.com/manufacturer/national-semiconductor?pageNo=74", "National Semiconductor")</f>
        <v>National Semiconductor</v>
      </c>
      <c r="C6105" s="6">
        <v>1000</v>
      </c>
      <c r="D6105" s="7">
        <v>5.7</v>
      </c>
      <c r="E6105" t="s">
        <v>9</v>
      </c>
    </row>
    <row r="6106" spans="1:5" x14ac:dyDescent="0.25">
      <c r="A6106" t="str">
        <f>HYPERLINK("https://www.773grp.com/globalSearch/ADC088S022CIMTX/page-1", "ADC088S022CIMTX")</f>
        <v>ADC088S022CIMTX</v>
      </c>
      <c r="B6106" s="3" t="str">
        <f>HYPERLINK("https://www.773grp.com/manufacturer/national-semiconductor?pageNo=75", "National Semiconductor")</f>
        <v>National Semiconductor</v>
      </c>
      <c r="C6106" s="6">
        <v>2500</v>
      </c>
      <c r="D6106" s="7">
        <v>5.7</v>
      </c>
    </row>
    <row r="6107" spans="1:5" x14ac:dyDescent="0.25">
      <c r="A6107" t="str">
        <f>HYPERLINK("https://www.773grp.com/globalSearch/LM6132BIM/page-1", "LM6132BIM")</f>
        <v>LM6132BIM</v>
      </c>
      <c r="B6107" s="3" t="str">
        <f>HYPERLINK("https://www.773grp.com/manufacturer/national-semiconductor?pageNo=76", "National Semiconductor")</f>
        <v>National Semiconductor</v>
      </c>
      <c r="C6107" s="6">
        <v>10</v>
      </c>
      <c r="D6107" s="7">
        <v>5.7</v>
      </c>
    </row>
    <row r="6108" spans="1:5" x14ac:dyDescent="0.25">
      <c r="A6108" t="str">
        <f>HYPERLINK("https://www.773grp.com/globalSearch/LMH7220MK-NOPB/page-1", "LMH7220MK-NOPB")</f>
        <v>LMH7220MK-NOPB</v>
      </c>
      <c r="B6108" s="3" t="str">
        <f>HYPERLINK("https://www.773grp.com/manufacturer/national-semiconductor?pageNo=77", "National Semiconductor")</f>
        <v>National Semiconductor</v>
      </c>
      <c r="C6108" s="6">
        <v>146</v>
      </c>
      <c r="D6108" s="7">
        <v>5.7</v>
      </c>
      <c r="E6108" t="s">
        <v>9</v>
      </c>
    </row>
    <row r="6109" spans="1:5" x14ac:dyDescent="0.25">
      <c r="A6109" t="str">
        <f>HYPERLINK("https://www.773grp.com/globalSearch/54LS375FMQB/page-1", "54LS375FMQB")</f>
        <v>54LS375FMQB</v>
      </c>
      <c r="B6109" s="3" t="str">
        <f>HYPERLINK("https://www.773grp.com/manufacturer/national-semiconductor?pageNo=78", "National Semiconductor")</f>
        <v>National Semiconductor</v>
      </c>
      <c r="C6109" s="6">
        <v>20</v>
      </c>
      <c r="D6109" s="7">
        <v>5.74</v>
      </c>
      <c r="E6109" t="s">
        <v>35</v>
      </c>
    </row>
    <row r="6110" spans="1:5" x14ac:dyDescent="0.25">
      <c r="A6110" t="str">
        <f>HYPERLINK("https://www.773grp.com/globalSearch/74F377PC/page-1", "74F377PC")</f>
        <v>74F377PC</v>
      </c>
      <c r="B6110" s="3" t="str">
        <f>HYPERLINK("https://www.773grp.com/manufacturer/national-semiconductor?pageNo=79", "National Semiconductor")</f>
        <v>National Semiconductor</v>
      </c>
      <c r="C6110" s="6">
        <v>12</v>
      </c>
      <c r="D6110" s="7">
        <v>5.74</v>
      </c>
      <c r="E6110" t="s">
        <v>35</v>
      </c>
    </row>
    <row r="6111" spans="1:5" x14ac:dyDescent="0.25">
      <c r="A6111" t="str">
        <f>HYPERLINK("https://www.773grp.com/globalSearch/DS25BR150TSD-NOPB/page-1", "DS25BR150TSD-NOPB")</f>
        <v>DS25BR150TSD-NOPB</v>
      </c>
      <c r="B6111" s="3" t="str">
        <f>HYPERLINK("https://www.773grp.com/manufacturer/national-semiconductor?pageNo=80", "National Semiconductor")</f>
        <v>National Semiconductor</v>
      </c>
      <c r="C6111" s="6">
        <v>3557</v>
      </c>
      <c r="D6111" s="7">
        <v>5.74</v>
      </c>
      <c r="E6111" t="s">
        <v>21</v>
      </c>
    </row>
    <row r="6112" spans="1:5" x14ac:dyDescent="0.25">
      <c r="A6112" t="str">
        <f>HYPERLINK("https://www.773grp.com/globalSearch/DS90C383BMTX-NOPB/page-1", "DS90C383BMTX-NOPB")</f>
        <v>DS90C383BMTX-NOPB</v>
      </c>
      <c r="B6112" s="3" t="str">
        <f>HYPERLINK("https://www.773grp.com/manufacturer/national-semiconductor?pageNo=81", "National Semiconductor")</f>
        <v>National Semiconductor</v>
      </c>
      <c r="C6112" s="6">
        <v>2000</v>
      </c>
      <c r="D6112" s="7">
        <v>5.74</v>
      </c>
      <c r="E6112" t="s">
        <v>21</v>
      </c>
    </row>
    <row r="6113" spans="1:5" x14ac:dyDescent="0.25">
      <c r="A6113" t="str">
        <f>HYPERLINK("https://www.773grp.com/globalSearch/DS90CF383BMT-NOPB/page-1", "DS90CF383BMT-NOPB")</f>
        <v>DS90CF383BMT-NOPB</v>
      </c>
      <c r="B6113" s="3" t="str">
        <f>HYPERLINK("https://www.773grp.com/manufacturer/national-semiconductor?pageNo=82", "National Semiconductor")</f>
        <v>National Semiconductor</v>
      </c>
      <c r="C6113" s="6">
        <v>190</v>
      </c>
      <c r="D6113" s="7">
        <v>5.74</v>
      </c>
    </row>
    <row r="6114" spans="1:5" x14ac:dyDescent="0.25">
      <c r="A6114" t="str">
        <f>HYPERLINK("https://www.773grp.com/globalSearch/DS90CF384AMTDX/page-1", "DS90CF384AMTDX")</f>
        <v>DS90CF384AMTDX</v>
      </c>
      <c r="B6114" s="3" t="str">
        <f>HYPERLINK("https://www.773grp.com/manufacturer/national-semiconductor?pageNo=83", "National Semiconductor")</f>
        <v>National Semiconductor</v>
      </c>
      <c r="C6114" s="6">
        <v>2000</v>
      </c>
      <c r="D6114" s="7">
        <v>5.74</v>
      </c>
      <c r="E6114" t="s">
        <v>21</v>
      </c>
    </row>
    <row r="6115" spans="1:5" x14ac:dyDescent="0.25">
      <c r="A6115" t="str">
        <f>HYPERLINK("https://www.773grp.com/globalSearch/DS90CF384AMTDX-NOPB/page-1", "DS90CF384AMTDX-NOPB")</f>
        <v>DS90CF384AMTDX-NOPB</v>
      </c>
      <c r="B6115" s="3" t="str">
        <f>HYPERLINK("https://www.773grp.com/manufacturer/national-semiconductor?pageNo=84", "National Semiconductor")</f>
        <v>National Semiconductor</v>
      </c>
      <c r="C6115" s="6">
        <v>7000</v>
      </c>
      <c r="D6115" s="7">
        <v>5.74</v>
      </c>
      <c r="E6115" t="s">
        <v>21</v>
      </c>
    </row>
    <row r="6116" spans="1:5" x14ac:dyDescent="0.25">
      <c r="A6116" t="str">
        <f>HYPERLINK("https://www.773grp.com/globalSearch/DS90CF384MTD/page-1", "DS90CF384MTD")</f>
        <v>DS90CF384MTD</v>
      </c>
      <c r="B6116" s="3" t="str">
        <f>HYPERLINK("https://www.773grp.com/manufacturer/national-semiconductor?pageNo=85", "National Semiconductor")</f>
        <v>National Semiconductor</v>
      </c>
      <c r="C6116" s="6">
        <v>59</v>
      </c>
      <c r="D6116" s="7">
        <v>5.74</v>
      </c>
      <c r="E6116" t="s">
        <v>21</v>
      </c>
    </row>
    <row r="6117" spans="1:5" x14ac:dyDescent="0.25">
      <c r="A6117" t="str">
        <f>HYPERLINK("https://www.773grp.com/globalSearch/DS90CF384MTDX/page-1", "DS90CF384MTDX")</f>
        <v>DS90CF384MTDX</v>
      </c>
      <c r="B6117" s="3" t="str">
        <f>HYPERLINK("https://www.773grp.com/manufacturer/national-semiconductor?pageNo=86", "National Semiconductor")</f>
        <v>National Semiconductor</v>
      </c>
      <c r="C6117" s="6">
        <v>1000</v>
      </c>
      <c r="D6117" s="7">
        <v>5.74</v>
      </c>
      <c r="E6117" t="s">
        <v>21</v>
      </c>
    </row>
    <row r="6118" spans="1:5" x14ac:dyDescent="0.25">
      <c r="A6118" t="str">
        <f>HYPERLINK("https://www.773grp.com/globalSearch/LF298M/page-1", "LF298M")</f>
        <v>LF298M</v>
      </c>
      <c r="B6118" s="3" t="str">
        <f>HYPERLINK("https://www.773grp.com/manufacturer/national-semiconductor?pageNo=87", "National Semiconductor")</f>
        <v>National Semiconductor</v>
      </c>
      <c r="C6118" s="6">
        <v>238</v>
      </c>
      <c r="D6118" s="7">
        <v>5.74</v>
      </c>
      <c r="E6118" t="s">
        <v>6</v>
      </c>
    </row>
    <row r="6119" spans="1:5" x14ac:dyDescent="0.25">
      <c r="A6119" t="str">
        <f>HYPERLINK("https://www.773grp.com/globalSearch/LM22680MR-ADJ-NOPB/page-1", "LM22680MR-ADJ-NOPB")</f>
        <v>LM22680MR-ADJ-NOPB</v>
      </c>
      <c r="B6119" s="3" t="str">
        <f>HYPERLINK("https://www.773grp.com/manufacturer/national-semiconductor?pageNo=88", "National Semiconductor")</f>
        <v>National Semiconductor</v>
      </c>
      <c r="C6119" s="6">
        <v>4522</v>
      </c>
      <c r="D6119" s="7">
        <v>5.74</v>
      </c>
    </row>
    <row r="6120" spans="1:5" x14ac:dyDescent="0.25">
      <c r="A6120" t="str">
        <f>HYPERLINK("https://www.773grp.com/globalSearch/LM25116MH-NOPB/page-1", "LM25116MH-NOPB")</f>
        <v>LM25116MH-NOPB</v>
      </c>
      <c r="B6120" s="3" t="str">
        <f>HYPERLINK("https://www.773grp.com/manufacturer/national-semiconductor?pageNo=89", "National Semiconductor")</f>
        <v>National Semiconductor</v>
      </c>
      <c r="C6120" s="6">
        <v>6243</v>
      </c>
      <c r="D6120" s="7">
        <v>5.74</v>
      </c>
      <c r="E6120" t="s">
        <v>7</v>
      </c>
    </row>
    <row r="6121" spans="1:5" x14ac:dyDescent="0.25">
      <c r="A6121" t="str">
        <f>HYPERLINK("https://www.773grp.com/globalSearch/LM2598S-12-NOPB/page-1", "LM2598S-12-NOPB")</f>
        <v>LM2598S-12-NOPB</v>
      </c>
      <c r="B6121" s="3" t="str">
        <f>HYPERLINK("https://www.773grp.com/manufacturer/national-semiconductor?pageNo=90", "National Semiconductor")</f>
        <v>National Semiconductor</v>
      </c>
      <c r="C6121" s="6">
        <v>790</v>
      </c>
      <c r="D6121" s="7">
        <v>5.74</v>
      </c>
      <c r="E6121" t="s">
        <v>7</v>
      </c>
    </row>
    <row r="6122" spans="1:5" x14ac:dyDescent="0.25">
      <c r="A6122" t="str">
        <f>HYPERLINK("https://www.773grp.com/globalSearch/LM2598S-3.3-NOPB/page-1", "LM2598S-3.3-NOPB")</f>
        <v>LM2598S-3.3-NOPB</v>
      </c>
      <c r="B6122" s="3" t="str">
        <f>HYPERLINK("https://www.773grp.com/manufacturer/national-semiconductor?pageNo=91", "National Semiconductor")</f>
        <v>National Semiconductor</v>
      </c>
      <c r="C6122" s="6">
        <v>245</v>
      </c>
      <c r="D6122" s="7">
        <v>5.74</v>
      </c>
      <c r="E6122" t="s">
        <v>7</v>
      </c>
    </row>
    <row r="6123" spans="1:5" x14ac:dyDescent="0.25">
      <c r="A6123" t="str">
        <f>HYPERLINK("https://www.773grp.com/globalSearch/LM2598S-5.0-NOPB/page-1", "LM2598S-5.0-NOPB")</f>
        <v>LM2598S-5.0-NOPB</v>
      </c>
      <c r="B6123" s="3" t="str">
        <f>HYPERLINK("https://www.773grp.com/manufacturer/national-semiconductor?pageNo=92", "National Semiconductor")</f>
        <v>National Semiconductor</v>
      </c>
      <c r="C6123" s="6">
        <v>125</v>
      </c>
      <c r="D6123" s="7">
        <v>5.74</v>
      </c>
      <c r="E6123" t="s">
        <v>7</v>
      </c>
    </row>
    <row r="6124" spans="1:5" x14ac:dyDescent="0.25">
      <c r="A6124" t="str">
        <f>HYPERLINK("https://www.773grp.com/globalSearch/LM2598S-ADJ-NOPB/page-1", "LM2598S-ADJ-NOPB")</f>
        <v>LM2598S-ADJ-NOPB</v>
      </c>
      <c r="B6124" s="3" t="str">
        <f>HYPERLINK("https://www.773grp.com/manufacturer/national-semiconductor?pageNo=93", "National Semiconductor")</f>
        <v>National Semiconductor</v>
      </c>
      <c r="C6124" s="6">
        <v>392</v>
      </c>
      <c r="D6124" s="7">
        <v>5.74</v>
      </c>
      <c r="E6124" t="s">
        <v>7</v>
      </c>
    </row>
    <row r="6125" spans="1:5" x14ac:dyDescent="0.25">
      <c r="A6125" t="str">
        <f>HYPERLINK("https://www.773grp.com/globalSearch/LM26420YMHX/page-1", "LM26420YMHX")</f>
        <v>LM26420YMHX</v>
      </c>
      <c r="B6125" s="3" t="str">
        <f>HYPERLINK("https://www.773grp.com/manufacturer/national-semiconductor?pageNo=94", "National Semiconductor")</f>
        <v>National Semiconductor</v>
      </c>
      <c r="C6125" s="6">
        <v>2000</v>
      </c>
      <c r="D6125" s="7">
        <v>5.74</v>
      </c>
      <c r="E6125" t="s">
        <v>7</v>
      </c>
    </row>
    <row r="6126" spans="1:5" x14ac:dyDescent="0.25">
      <c r="A6126" t="str">
        <f>HYPERLINK("https://www.773grp.com/globalSearch/LM2696MXA-NOPB/page-1", "LM2696MXA-NOPB")</f>
        <v>LM2696MXA-NOPB</v>
      </c>
      <c r="B6126" s="3" t="str">
        <f>HYPERLINK("https://www.773grp.com/manufacturer/national-semiconductor?pageNo=95", "National Semiconductor")</f>
        <v>National Semiconductor</v>
      </c>
      <c r="C6126" s="6">
        <v>276</v>
      </c>
      <c r="D6126" s="7">
        <v>5.74</v>
      </c>
      <c r="E6126" t="s">
        <v>7</v>
      </c>
    </row>
    <row r="6127" spans="1:5" x14ac:dyDescent="0.25">
      <c r="A6127" t="str">
        <f>HYPERLINK("https://www.773grp.com/globalSearch/LM5035AMH-NOPB/page-1", "LM5035AMH-NOPB")</f>
        <v>LM5035AMH-NOPB</v>
      </c>
      <c r="B6127" s="3" t="str">
        <f>HYPERLINK("https://www.773grp.com/manufacturer/national-semiconductor?pageNo=96", "National Semiconductor")</f>
        <v>National Semiconductor</v>
      </c>
      <c r="C6127" s="6">
        <v>1276</v>
      </c>
      <c r="D6127" s="7">
        <v>5.74</v>
      </c>
      <c r="E6127" t="s">
        <v>7</v>
      </c>
    </row>
    <row r="6128" spans="1:5" x14ac:dyDescent="0.25">
      <c r="A6128" t="str">
        <f>HYPERLINK("https://www.773grp.com/globalSearch/LM5035AMH-1-NOPB/page-1", "LM5035AMH-1-NOPB")</f>
        <v>LM5035AMH-1-NOPB</v>
      </c>
      <c r="B6128" s="3" t="str">
        <f>HYPERLINK("https://www.773grp.com/manufacturer/national-semiconductor?pageNo=97", "National Semiconductor")</f>
        <v>National Semiconductor</v>
      </c>
      <c r="C6128" s="6">
        <v>284</v>
      </c>
      <c r="D6128" s="7">
        <v>5.74</v>
      </c>
    </row>
    <row r="6129" spans="1:5" x14ac:dyDescent="0.25">
      <c r="A6129" t="str">
        <f>HYPERLINK("https://www.773grp.com/globalSearch/LM5035CMH-NOPB/page-1", "LM5035CMH-NOPB")</f>
        <v>LM5035CMH-NOPB</v>
      </c>
      <c r="B6129" s="3" t="str">
        <f>HYPERLINK("https://www.773grp.com/manufacturer/national-semiconductor?pageNo=98", "National Semiconductor")</f>
        <v>National Semiconductor</v>
      </c>
      <c r="C6129" s="6">
        <v>10057</v>
      </c>
      <c r="D6129" s="7">
        <v>5.74</v>
      </c>
    </row>
    <row r="6130" spans="1:5" x14ac:dyDescent="0.25">
      <c r="A6130" t="str">
        <f>HYPERLINK("https://www.773grp.com/globalSearch/LM5035MH-NOPB/page-1", "LM5035MH-NOPB")</f>
        <v>LM5035MH-NOPB</v>
      </c>
      <c r="B6130" s="3" t="str">
        <f>HYPERLINK("https://www.773grp.com/manufacturer/national-semiconductor?pageNo=99", "National Semiconductor")</f>
        <v>National Semiconductor</v>
      </c>
      <c r="C6130" s="6">
        <v>21</v>
      </c>
      <c r="D6130" s="7">
        <v>5.74</v>
      </c>
      <c r="E6130" t="s">
        <v>7</v>
      </c>
    </row>
    <row r="6131" spans="1:5" x14ac:dyDescent="0.25">
      <c r="A6131" t="str">
        <f>HYPERLINK("https://www.773grp.com/globalSearch/LM5072MH-50-NOPB/page-1", "LM5072MH-50-NOPB")</f>
        <v>LM5072MH-50-NOPB</v>
      </c>
      <c r="B6131" s="3" t="str">
        <f>HYPERLINK("https://www.773grp.com/manufacturer/national-semiconductor?pageNo=100", "National Semiconductor")</f>
        <v>National Semiconductor</v>
      </c>
      <c r="C6131" s="6">
        <v>190</v>
      </c>
      <c r="D6131" s="7">
        <v>5.74</v>
      </c>
    </row>
    <row r="6132" spans="1:5" x14ac:dyDescent="0.25">
      <c r="A6132" t="str">
        <f>HYPERLINK("https://www.773grp.com/globalSearch/LM5072MH-80-NOPB/page-1", "LM5072MH-80-NOPB")</f>
        <v>LM5072MH-80-NOPB</v>
      </c>
      <c r="B6132" s="3" t="str">
        <f>HYPERLINK("https://www.773grp.com/manufacturer/national-semiconductor?pageNo=101", "National Semiconductor")</f>
        <v>National Semiconductor</v>
      </c>
      <c r="C6132" s="6">
        <v>4600</v>
      </c>
      <c r="D6132" s="7">
        <v>5.74</v>
      </c>
    </row>
    <row r="6133" spans="1:5" x14ac:dyDescent="0.25">
      <c r="A6133" t="str">
        <f>HYPERLINK("https://www.773grp.com/globalSearch/LM5101AM/page-1", "LM5101AM")</f>
        <v>LM5101AM</v>
      </c>
      <c r="B6133" s="3" t="str">
        <f>HYPERLINK("https://www.773grp.com/manufacturer/national-semiconductor?pageNo=102", "National Semiconductor")</f>
        <v>National Semiconductor</v>
      </c>
      <c r="C6133" s="6">
        <v>140</v>
      </c>
      <c r="D6133" s="7">
        <v>5.74</v>
      </c>
      <c r="E6133" t="s">
        <v>16</v>
      </c>
    </row>
    <row r="6134" spans="1:5" x14ac:dyDescent="0.25">
      <c r="A6134" t="str">
        <f>HYPERLINK("https://www.773grp.com/globalSearch/LM81BIMT-3-NOPB/page-1", "LM81BIMT-3-NOPB")</f>
        <v>LM81BIMT-3-NOPB</v>
      </c>
      <c r="B6134" s="3" t="str">
        <f>HYPERLINK("https://www.773grp.com/manufacturer/national-semiconductor?pageNo=103", "National Semiconductor")</f>
        <v>National Semiconductor</v>
      </c>
      <c r="C6134" s="6">
        <v>383</v>
      </c>
      <c r="D6134" s="7">
        <v>5.74</v>
      </c>
      <c r="E6134" t="s">
        <v>40</v>
      </c>
    </row>
    <row r="6135" spans="1:5" x14ac:dyDescent="0.25">
      <c r="A6135" t="str">
        <f>HYPERLINK("https://www.773grp.com/globalSearch/LM81CIMT-3-NOPB/page-1", "LM81CIMT-3-NOPB")</f>
        <v>LM81CIMT-3-NOPB</v>
      </c>
      <c r="B6135" s="3" t="str">
        <f>HYPERLINK("https://www.773grp.com/manufacturer/national-semiconductor?pageNo=104", "National Semiconductor")</f>
        <v>National Semiconductor</v>
      </c>
      <c r="C6135" s="6">
        <v>3416</v>
      </c>
      <c r="D6135" s="7">
        <v>5.74</v>
      </c>
      <c r="E6135" t="s">
        <v>40</v>
      </c>
    </row>
    <row r="6136" spans="1:5" x14ac:dyDescent="0.25">
      <c r="A6136" t="str">
        <f>HYPERLINK("https://www.773grp.com/globalSearch/LMC6494AEMX-NOPB/page-1", "LMC6494AEMX-NOPB")</f>
        <v>LMC6494AEMX-NOPB</v>
      </c>
      <c r="B6136" s="3" t="str">
        <f>HYPERLINK("https://www.773grp.com/manufacturer/national-semiconductor?pageNo=105", "National Semiconductor")</f>
        <v>National Semiconductor</v>
      </c>
      <c r="C6136" s="6">
        <v>10000</v>
      </c>
      <c r="D6136" s="7">
        <v>5.74</v>
      </c>
      <c r="E6136" t="s">
        <v>13</v>
      </c>
    </row>
    <row r="6137" spans="1:5" x14ac:dyDescent="0.25">
      <c r="A6137" t="str">
        <f>HYPERLINK("https://www.773grp.com/globalSearch/LME49740MA-NOPB/page-1", "LME49740MA-NOPB")</f>
        <v>LME49740MA-NOPB</v>
      </c>
      <c r="B6137" s="3" t="str">
        <f>HYPERLINK("https://www.773grp.com/manufacturer/national-semiconductor?pageNo=106", "National Semiconductor")</f>
        <v>National Semiconductor</v>
      </c>
      <c r="C6137" s="6">
        <v>762</v>
      </c>
      <c r="D6137" s="7">
        <v>5.74</v>
      </c>
    </row>
    <row r="6138" spans="1:5" x14ac:dyDescent="0.25">
      <c r="A6138" t="str">
        <f>HYPERLINK("https://www.773grp.com/globalSearch/LMH6619MA-NOPB/page-1", "LMH6619MA-NOPB")</f>
        <v>LMH6619MA-NOPB</v>
      </c>
      <c r="B6138" s="3" t="str">
        <f>HYPERLINK("https://www.773grp.com/manufacturer/national-semiconductor?pageNo=107", "National Semiconductor")</f>
        <v>National Semiconductor</v>
      </c>
      <c r="C6138" s="6">
        <v>38</v>
      </c>
      <c r="D6138" s="7">
        <v>5.74</v>
      </c>
    </row>
    <row r="6139" spans="1:5" x14ac:dyDescent="0.25">
      <c r="A6139" t="str">
        <f>HYPERLINK("https://www.773grp.com/globalSearch/LP3962ES-1.8/page-1", "LP3962ES-1.8")</f>
        <v>LP3962ES-1.8</v>
      </c>
      <c r="B6139" s="3" t="str">
        <f>HYPERLINK("https://www.773grp.com/manufacturer/national-semiconductor?pageNo=108", "National Semiconductor")</f>
        <v>National Semiconductor</v>
      </c>
      <c r="C6139" s="6">
        <v>720</v>
      </c>
      <c r="D6139" s="7">
        <v>5.74</v>
      </c>
      <c r="E6139" t="s">
        <v>19</v>
      </c>
    </row>
    <row r="6140" spans="1:5" x14ac:dyDescent="0.25">
      <c r="A6140" t="str">
        <f>HYPERLINK("https://www.773grp.com/globalSearch/LP3962ES-2.5/page-1", "LP3962ES-2.5")</f>
        <v>LP3962ES-2.5</v>
      </c>
      <c r="B6140" s="3" t="str">
        <f>HYPERLINK("https://www.773grp.com/manufacturer/national-semiconductor?pageNo=109", "National Semiconductor")</f>
        <v>National Semiconductor</v>
      </c>
      <c r="C6140" s="6">
        <v>540</v>
      </c>
      <c r="D6140" s="7">
        <v>5.74</v>
      </c>
      <c r="E6140" t="s">
        <v>19</v>
      </c>
    </row>
    <row r="6141" spans="1:5" x14ac:dyDescent="0.25">
      <c r="A6141" t="str">
        <f>HYPERLINK("https://www.773grp.com/globalSearch/LP3962ES-3.3/page-1", "LP3962ES-3.3")</f>
        <v>LP3962ES-3.3</v>
      </c>
      <c r="B6141" s="3" t="str">
        <f>HYPERLINK("https://www.773grp.com/manufacturer/national-semiconductor?pageNo=110", "National Semiconductor")</f>
        <v>National Semiconductor</v>
      </c>
      <c r="C6141" s="6">
        <v>180</v>
      </c>
      <c r="D6141" s="7">
        <v>5.74</v>
      </c>
      <c r="E6141" t="s">
        <v>19</v>
      </c>
    </row>
    <row r="6142" spans="1:5" x14ac:dyDescent="0.25">
      <c r="A6142" t="str">
        <f>HYPERLINK("https://www.773grp.com/globalSearch/MM54HC4050J/page-1", "MM54HC4050J")</f>
        <v>MM54HC4050J</v>
      </c>
      <c r="B6142" s="3" t="str">
        <f>HYPERLINK("https://www.773grp.com/manufacturer/national-semiconductor?pageNo=111", "National Semiconductor")</f>
        <v>National Semiconductor</v>
      </c>
      <c r="C6142" s="6">
        <v>34</v>
      </c>
      <c r="D6142" s="7">
        <v>5.74</v>
      </c>
      <c r="E6142" t="s">
        <v>31</v>
      </c>
    </row>
    <row r="6143" spans="1:5" x14ac:dyDescent="0.25">
      <c r="A6143" t="str">
        <f>HYPERLINK("https://www.773grp.com/globalSearch/DS25BR150TSD-NOPB/page-1", "DS25BR150TSD-NOPB")</f>
        <v>DS25BR150TSD-NOPB</v>
      </c>
      <c r="B6143" s="3" t="str">
        <f>HYPERLINK("https://www.773grp.com/manufacturer/national-semiconductor?pageNo=112", "National Semiconductor")</f>
        <v>National Semiconductor</v>
      </c>
      <c r="C6143" s="6">
        <v>2970</v>
      </c>
      <c r="D6143" s="7">
        <v>5.74</v>
      </c>
      <c r="E6143" t="s">
        <v>21</v>
      </c>
    </row>
    <row r="6144" spans="1:5" x14ac:dyDescent="0.25">
      <c r="A6144" t="str">
        <f>HYPERLINK("https://www.773grp.com/globalSearch/DS90C383BMTX-NOPB/page-1", "DS90C383BMTX-NOPB")</f>
        <v>DS90C383BMTX-NOPB</v>
      </c>
      <c r="B6144" s="3" t="str">
        <f>HYPERLINK("https://www.773grp.com/manufacturer/national-semiconductor?pageNo=113", "National Semiconductor")</f>
        <v>National Semiconductor</v>
      </c>
      <c r="C6144" s="6">
        <v>1000</v>
      </c>
      <c r="D6144" s="7">
        <v>5.74</v>
      </c>
      <c r="E6144" t="s">
        <v>21</v>
      </c>
    </row>
    <row r="6145" spans="1:5" x14ac:dyDescent="0.25">
      <c r="A6145" t="str">
        <f>HYPERLINK("https://www.773grp.com/globalSearch/DS90CF383BMT-NOPB/page-1", "DS90CF383BMT-NOPB")</f>
        <v>DS90CF383BMT-NOPB</v>
      </c>
      <c r="B6145" s="3" t="str">
        <f>HYPERLINK("https://www.773grp.com/manufacturer/national-semiconductor?pageNo=114", "National Semiconductor")</f>
        <v>National Semiconductor</v>
      </c>
      <c r="C6145" s="6">
        <v>244</v>
      </c>
      <c r="D6145" s="7">
        <v>5.74</v>
      </c>
    </row>
    <row r="6146" spans="1:5" x14ac:dyDescent="0.25">
      <c r="A6146" t="str">
        <f>HYPERLINK("https://www.773grp.com/globalSearch/DS90CF384MTD/page-1", "DS90CF384MTD")</f>
        <v>DS90CF384MTD</v>
      </c>
      <c r="B6146" s="3" t="str">
        <f>HYPERLINK("https://www.773grp.com/manufacturer/national-semiconductor?pageNo=115", "National Semiconductor")</f>
        <v>National Semiconductor</v>
      </c>
      <c r="C6146" s="6">
        <v>3542</v>
      </c>
      <c r="D6146" s="7">
        <v>5.74</v>
      </c>
      <c r="E6146" t="s">
        <v>21</v>
      </c>
    </row>
    <row r="6147" spans="1:5" x14ac:dyDescent="0.25">
      <c r="A6147" t="str">
        <f>HYPERLINK("https://www.773grp.com/globalSearch/LM22680MR-ADJ-NOPB/page-1", "LM22680MR-ADJ-NOPB")</f>
        <v>LM22680MR-ADJ-NOPB</v>
      </c>
      <c r="B6147" s="3" t="str">
        <f>HYPERLINK("https://www.773grp.com/manufacturer/national-semiconductor?pageNo=116", "National Semiconductor")</f>
        <v>National Semiconductor</v>
      </c>
      <c r="C6147" s="6">
        <v>1153</v>
      </c>
      <c r="D6147" s="7">
        <v>5.74</v>
      </c>
    </row>
    <row r="6148" spans="1:5" x14ac:dyDescent="0.25">
      <c r="A6148" t="str">
        <f>HYPERLINK("https://www.773grp.com/globalSearch/LM25116MH-NOPB/page-1", "LM25116MH-NOPB")</f>
        <v>LM25116MH-NOPB</v>
      </c>
      <c r="B6148" s="3" t="str">
        <f>HYPERLINK("https://www.773grp.com/manufacturer/national-semiconductor?pageNo=117", "National Semiconductor")</f>
        <v>National Semiconductor</v>
      </c>
      <c r="C6148" s="6">
        <v>995</v>
      </c>
      <c r="D6148" s="7">
        <v>5.74</v>
      </c>
      <c r="E6148" t="s">
        <v>7</v>
      </c>
    </row>
    <row r="6149" spans="1:5" x14ac:dyDescent="0.25">
      <c r="A6149" t="str">
        <f>HYPERLINK("https://www.773grp.com/globalSearch/LM2598S-12-NOPB/page-1", "LM2598S-12-NOPB")</f>
        <v>LM2598S-12-NOPB</v>
      </c>
      <c r="B6149" s="3" t="str">
        <f>HYPERLINK("https://www.773grp.com/manufacturer/national-semiconductor?pageNo=118", "National Semiconductor")</f>
        <v>National Semiconductor</v>
      </c>
      <c r="C6149" s="6">
        <v>599</v>
      </c>
      <c r="D6149" s="7">
        <v>5.74</v>
      </c>
      <c r="E6149" t="s">
        <v>7</v>
      </c>
    </row>
    <row r="6150" spans="1:5" x14ac:dyDescent="0.25">
      <c r="A6150" t="str">
        <f>HYPERLINK("https://www.773grp.com/globalSearch/LM2598S-3.3-NOPB/page-1", "LM2598S-3.3-NOPB")</f>
        <v>LM2598S-3.3-NOPB</v>
      </c>
      <c r="B6150" s="3" t="str">
        <f>HYPERLINK("https://www.773grp.com/manufacturer/national-semiconductor?pageNo=119", "National Semiconductor")</f>
        <v>National Semiconductor</v>
      </c>
      <c r="C6150" s="6">
        <v>240</v>
      </c>
      <c r="D6150" s="7">
        <v>5.74</v>
      </c>
      <c r="E6150" t="s">
        <v>7</v>
      </c>
    </row>
    <row r="6151" spans="1:5" x14ac:dyDescent="0.25">
      <c r="A6151" t="str">
        <f>HYPERLINK("https://www.773grp.com/globalSearch/LM2598S-5.0-NOPB/page-1", "LM2598S-5.0-NOPB")</f>
        <v>LM2598S-5.0-NOPB</v>
      </c>
      <c r="B6151" s="3" t="str">
        <f>HYPERLINK("https://www.773grp.com/manufacturer/national-semiconductor?pageNo=120", "National Semiconductor")</f>
        <v>National Semiconductor</v>
      </c>
      <c r="C6151" s="6">
        <v>250</v>
      </c>
      <c r="D6151" s="7">
        <v>5.74</v>
      </c>
      <c r="E6151" t="s">
        <v>7</v>
      </c>
    </row>
    <row r="6152" spans="1:5" x14ac:dyDescent="0.25">
      <c r="A6152" t="str">
        <f>HYPERLINK("https://www.773grp.com/globalSearch/LM2598S-ADJ-NOPB/page-1", "LM2598S-ADJ-NOPB")</f>
        <v>LM2598S-ADJ-NOPB</v>
      </c>
      <c r="B6152" s="3" t="str">
        <f>HYPERLINK("https://www.773grp.com/manufacturer/national-semiconductor?pageNo=121", "National Semiconductor")</f>
        <v>National Semiconductor</v>
      </c>
      <c r="C6152" s="6">
        <v>215</v>
      </c>
      <c r="D6152" s="7">
        <v>5.74</v>
      </c>
      <c r="E6152" t="s">
        <v>7</v>
      </c>
    </row>
    <row r="6153" spans="1:5" x14ac:dyDescent="0.25">
      <c r="A6153" t="str">
        <f>HYPERLINK("https://www.773grp.com/globalSearch/LM2696MXA-NOPB/page-1", "LM2696MXA-NOPB")</f>
        <v>LM2696MXA-NOPB</v>
      </c>
      <c r="B6153" s="3" t="str">
        <f>HYPERLINK("https://www.773grp.com/manufacturer/national-semiconductor?pageNo=122", "National Semiconductor")</f>
        <v>National Semiconductor</v>
      </c>
      <c r="C6153" s="6">
        <v>216</v>
      </c>
      <c r="D6153" s="7">
        <v>5.74</v>
      </c>
      <c r="E6153" t="s">
        <v>7</v>
      </c>
    </row>
    <row r="6154" spans="1:5" x14ac:dyDescent="0.25">
      <c r="A6154" t="str">
        <f>HYPERLINK("https://www.773grp.com/globalSearch/LM5035AMH-NOPB/page-1", "LM5035AMH-NOPB")</f>
        <v>LM5035AMH-NOPB</v>
      </c>
      <c r="B6154" s="3" t="str">
        <f>HYPERLINK("https://www.773grp.com/manufacturer/national-semiconductor?pageNo=123", "National Semiconductor")</f>
        <v>National Semiconductor</v>
      </c>
      <c r="C6154" s="6">
        <v>420</v>
      </c>
      <c r="D6154" s="7">
        <v>5.74</v>
      </c>
      <c r="E6154" t="s">
        <v>7</v>
      </c>
    </row>
    <row r="6155" spans="1:5" x14ac:dyDescent="0.25">
      <c r="A6155" t="str">
        <f>HYPERLINK("https://www.773grp.com/globalSearch/LM5035AMH-1-NOPB/page-1", "LM5035AMH-1-NOPB")</f>
        <v>LM5035AMH-1-NOPB</v>
      </c>
      <c r="B6155" s="3" t="str">
        <f>HYPERLINK("https://www.773grp.com/manufacturer/national-semiconductor?pageNo=124", "National Semiconductor")</f>
        <v>National Semiconductor</v>
      </c>
      <c r="C6155" s="6">
        <v>1017</v>
      </c>
      <c r="D6155" s="7">
        <v>5.74</v>
      </c>
    </row>
    <row r="6156" spans="1:5" x14ac:dyDescent="0.25">
      <c r="A6156" t="str">
        <f>HYPERLINK("https://www.773grp.com/globalSearch/LM5035BMH-NOPB/page-1", "LM5035BMH-NOPB")</f>
        <v>LM5035BMH-NOPB</v>
      </c>
      <c r="B6156" s="3" t="str">
        <f>HYPERLINK("https://www.773grp.com/manufacturer/national-semiconductor?pageNo=125", "National Semiconductor")</f>
        <v>National Semiconductor</v>
      </c>
      <c r="C6156" s="6">
        <v>688</v>
      </c>
      <c r="D6156" s="7">
        <v>5.74</v>
      </c>
    </row>
    <row r="6157" spans="1:5" x14ac:dyDescent="0.25">
      <c r="A6157" t="str">
        <f>HYPERLINK("https://www.773grp.com/globalSearch/LM5035CMH-NOPB/page-1", "LM5035CMH-NOPB")</f>
        <v>LM5035CMH-NOPB</v>
      </c>
      <c r="B6157" s="3" t="str">
        <f>HYPERLINK("https://www.773grp.com/manufacturer/national-semiconductor?pageNo=126", "National Semiconductor")</f>
        <v>National Semiconductor</v>
      </c>
      <c r="C6157" s="6">
        <v>928</v>
      </c>
      <c r="D6157" s="7">
        <v>5.74</v>
      </c>
    </row>
    <row r="6158" spans="1:5" x14ac:dyDescent="0.25">
      <c r="A6158" t="str">
        <f>HYPERLINK("https://www.773grp.com/globalSearch/LM5035MH-NOPB/page-1", "LM5035MH-NOPB")</f>
        <v>LM5035MH-NOPB</v>
      </c>
      <c r="B6158" s="3" t="str">
        <f>HYPERLINK("https://www.773grp.com/manufacturer/national-semiconductor?pageNo=127", "National Semiconductor")</f>
        <v>National Semiconductor</v>
      </c>
      <c r="C6158" s="6">
        <v>624</v>
      </c>
      <c r="D6158" s="7">
        <v>5.74</v>
      </c>
      <c r="E6158" t="s">
        <v>7</v>
      </c>
    </row>
    <row r="6159" spans="1:5" x14ac:dyDescent="0.25">
      <c r="A6159" t="str">
        <f>HYPERLINK("https://www.773grp.com/globalSearch/LM5072MH-50-NOPB/page-1", "LM5072MH-50-NOPB")</f>
        <v>LM5072MH-50-NOPB</v>
      </c>
      <c r="B6159" s="3" t="str">
        <f>HYPERLINK("https://www.773grp.com/manufacturer/national-semiconductor?pageNo=128", "National Semiconductor")</f>
        <v>National Semiconductor</v>
      </c>
      <c r="C6159" s="6">
        <v>209</v>
      </c>
      <c r="D6159" s="7">
        <v>5.74</v>
      </c>
    </row>
    <row r="6160" spans="1:5" x14ac:dyDescent="0.25">
      <c r="A6160" t="str">
        <f>HYPERLINK("https://www.773grp.com/globalSearch/LM5072MH-80-NOPB/page-1", "LM5072MH-80-NOPB")</f>
        <v>LM5072MH-80-NOPB</v>
      </c>
      <c r="B6160" s="3" t="str">
        <f>HYPERLINK("https://www.773grp.com/manufacturer/national-semiconductor?pageNo=129", "National Semiconductor")</f>
        <v>National Semiconductor</v>
      </c>
      <c r="C6160" s="6">
        <v>1251</v>
      </c>
      <c r="D6160" s="7">
        <v>5.74</v>
      </c>
    </row>
    <row r="6161" spans="1:5" x14ac:dyDescent="0.25">
      <c r="A6161" t="str">
        <f>HYPERLINK("https://www.773grp.com/globalSearch/LM81BIMT-3-NOPB/page-1", "LM81BIMT-3-NOPB")</f>
        <v>LM81BIMT-3-NOPB</v>
      </c>
      <c r="B6161" s="3" t="str">
        <f>HYPERLINK("https://www.773grp.com/manufacturer/national-semiconductor?pageNo=130", "National Semiconductor")</f>
        <v>National Semiconductor</v>
      </c>
      <c r="C6161" s="6">
        <v>5605</v>
      </c>
      <c r="D6161" s="7">
        <v>5.74</v>
      </c>
      <c r="E6161" t="s">
        <v>40</v>
      </c>
    </row>
    <row r="6162" spans="1:5" x14ac:dyDescent="0.25">
      <c r="A6162" t="str">
        <f>HYPERLINK("https://www.773grp.com/globalSearch/LM81CIMT-3-NOPB/page-1", "LM81CIMT-3-NOPB")</f>
        <v>LM81CIMT-3-NOPB</v>
      </c>
      <c r="B6162" s="3" t="str">
        <f>HYPERLINK("https://www.773grp.com/manufacturer/national-semiconductor?pageNo=131", "National Semiconductor")</f>
        <v>National Semiconductor</v>
      </c>
      <c r="C6162" s="6">
        <v>491</v>
      </c>
      <c r="D6162" s="7">
        <v>5.74</v>
      </c>
      <c r="E6162" t="s">
        <v>40</v>
      </c>
    </row>
    <row r="6163" spans="1:5" x14ac:dyDescent="0.25">
      <c r="A6163" t="str">
        <f>HYPERLINK("https://www.773grp.com/globalSearch/LMC6494AEMX-NOPB/page-1", "LMC6494AEMX-NOPB")</f>
        <v>LMC6494AEMX-NOPB</v>
      </c>
      <c r="B6163" s="3" t="str">
        <f>HYPERLINK("https://www.773grp.com/manufacturer/national-semiconductor?pageNo=132", "National Semiconductor")</f>
        <v>National Semiconductor</v>
      </c>
      <c r="C6163" s="6">
        <v>1599</v>
      </c>
      <c r="D6163" s="7">
        <v>5.74</v>
      </c>
      <c r="E6163" t="s">
        <v>13</v>
      </c>
    </row>
    <row r="6164" spans="1:5" x14ac:dyDescent="0.25">
      <c r="A6164" t="str">
        <f>HYPERLINK("https://www.773grp.com/globalSearch/LME49740MA-NOPB/page-1", "LME49740MA-NOPB")</f>
        <v>LME49740MA-NOPB</v>
      </c>
      <c r="B6164" s="3" t="str">
        <f>HYPERLINK("https://www.773grp.com/manufacturer/national-semiconductor?pageNo=133", "National Semiconductor")</f>
        <v>National Semiconductor</v>
      </c>
      <c r="C6164" s="6">
        <v>71</v>
      </c>
      <c r="D6164" s="7">
        <v>5.74</v>
      </c>
    </row>
    <row r="6165" spans="1:5" x14ac:dyDescent="0.25">
      <c r="A6165" t="str">
        <f>HYPERLINK("https://www.773grp.com/globalSearch/LMH6619MA-NOPB/page-1", "LMH6619MA-NOPB")</f>
        <v>LMH6619MA-NOPB</v>
      </c>
      <c r="B6165" s="3" t="str">
        <f>HYPERLINK("https://www.773grp.com/manufacturer/national-semiconductor?pageNo=134", "National Semiconductor")</f>
        <v>National Semiconductor</v>
      </c>
      <c r="C6165" s="6">
        <v>573</v>
      </c>
      <c r="D6165" s="7">
        <v>5.74</v>
      </c>
    </row>
    <row r="6166" spans="1:5" x14ac:dyDescent="0.25">
      <c r="A6166" t="str">
        <f>HYPERLINK("https://www.773grp.com/globalSearch/LP3962ES-1.8/page-1", "LP3962ES-1.8")</f>
        <v>LP3962ES-1.8</v>
      </c>
      <c r="B6166" s="3" t="str">
        <f>HYPERLINK("https://www.773grp.com/manufacturer/national-semiconductor?pageNo=1", "National Semiconductor")</f>
        <v>National Semiconductor</v>
      </c>
      <c r="C6166" s="6">
        <v>5058</v>
      </c>
      <c r="D6166" s="7">
        <v>5.74</v>
      </c>
      <c r="E6166" t="s">
        <v>19</v>
      </c>
    </row>
    <row r="6167" spans="1:5" x14ac:dyDescent="0.25">
      <c r="A6167" t="str">
        <f>HYPERLINK("https://www.773grp.com/globalSearch/LP3962ES-2.5/page-1", "LP3962ES-2.5")</f>
        <v>LP3962ES-2.5</v>
      </c>
      <c r="B6167" s="3" t="str">
        <f>HYPERLINK("https://www.773grp.com/manufacturer/national-semiconductor?pageNo=2", "National Semiconductor")</f>
        <v>National Semiconductor</v>
      </c>
      <c r="C6167" s="6">
        <v>717</v>
      </c>
      <c r="D6167" s="7">
        <v>5.74</v>
      </c>
      <c r="E6167" t="s">
        <v>19</v>
      </c>
    </row>
    <row r="6168" spans="1:5" x14ac:dyDescent="0.25">
      <c r="A6168" t="str">
        <f>HYPERLINK("https://www.773grp.com/globalSearch/LP3962ES-3.3/page-1", "LP3962ES-3.3")</f>
        <v>LP3962ES-3.3</v>
      </c>
      <c r="B6168" s="3" t="str">
        <f>HYPERLINK("https://www.773grp.com/manufacturer/national-semiconductor?pageNo=3", "National Semiconductor")</f>
        <v>National Semiconductor</v>
      </c>
      <c r="C6168" s="6">
        <v>2700</v>
      </c>
      <c r="D6168" s="7">
        <v>5.74</v>
      </c>
      <c r="E6168" t="s">
        <v>19</v>
      </c>
    </row>
    <row r="6169" spans="1:5" x14ac:dyDescent="0.25">
      <c r="A6169" t="str">
        <f>HYPERLINK("https://www.773grp.com/globalSearch/54LS112FM/page-1", "54LS112FM")</f>
        <v>54LS112FM</v>
      </c>
      <c r="B6169" s="3" t="str">
        <f>HYPERLINK("https://www.773grp.com/manufacturer/national-semiconductor?pageNo=4", "National Semiconductor")</f>
        <v>National Semiconductor</v>
      </c>
      <c r="C6169" s="6">
        <v>1430</v>
      </c>
      <c r="D6169" s="7">
        <v>5.78</v>
      </c>
    </row>
    <row r="6170" spans="1:5" x14ac:dyDescent="0.25">
      <c r="A6170" t="str">
        <f>HYPERLINK("https://www.773grp.com/globalSearch/54LS28LM/page-1", "54LS28LM")</f>
        <v>54LS28LM</v>
      </c>
      <c r="B6170" s="3" t="str">
        <f>HYPERLINK("https://www.773grp.com/manufacturer/national-semiconductor?pageNo=5", "National Semiconductor")</f>
        <v>National Semiconductor</v>
      </c>
      <c r="C6170" s="6">
        <v>564</v>
      </c>
      <c r="D6170" s="7">
        <v>5.78</v>
      </c>
    </row>
    <row r="6171" spans="1:5" x14ac:dyDescent="0.25">
      <c r="A6171" t="str">
        <f>HYPERLINK("https://www.773grp.com/globalSearch/54LS42FMQB/page-1", "54LS42FMQB")</f>
        <v>54LS42FMQB</v>
      </c>
      <c r="B6171" s="3" t="str">
        <f>HYPERLINK("https://www.773grp.com/manufacturer/national-semiconductor?pageNo=6", "National Semiconductor")</f>
        <v>National Semiconductor</v>
      </c>
      <c r="C6171" s="6">
        <v>58</v>
      </c>
      <c r="D6171" s="7">
        <v>5.78</v>
      </c>
      <c r="E6171" t="s">
        <v>36</v>
      </c>
    </row>
    <row r="6172" spans="1:5" x14ac:dyDescent="0.25">
      <c r="A6172" t="str">
        <f>HYPERLINK("https://www.773grp.com/globalSearch/ADC08060CIMT-NOPB/page-1", "ADC08060CIMT-NOPB")</f>
        <v>ADC08060CIMT-NOPB</v>
      </c>
      <c r="B6172" s="3" t="str">
        <f>HYPERLINK("https://www.773grp.com/manufacturer/national-semiconductor?pageNo=7", "National Semiconductor")</f>
        <v>National Semiconductor</v>
      </c>
      <c r="C6172" s="6">
        <v>4975</v>
      </c>
      <c r="D6172" s="7">
        <v>5.78</v>
      </c>
      <c r="E6172" t="s">
        <v>39</v>
      </c>
    </row>
    <row r="6173" spans="1:5" x14ac:dyDescent="0.25">
      <c r="A6173" t="str">
        <f>HYPERLINK("https://www.773grp.com/globalSearch/CLC5602IMX/page-1", "CLC5602IMX")</f>
        <v>CLC5602IMX</v>
      </c>
      <c r="B6173" s="3" t="str">
        <f>HYPERLINK("https://www.773grp.com/manufacturer/national-semiconductor?pageNo=8", "National Semiconductor")</f>
        <v>National Semiconductor</v>
      </c>
      <c r="C6173" s="6">
        <v>2375</v>
      </c>
      <c r="D6173" s="7">
        <v>5.78</v>
      </c>
      <c r="E6173" t="s">
        <v>18</v>
      </c>
    </row>
    <row r="6174" spans="1:5" x14ac:dyDescent="0.25">
      <c r="A6174" t="str">
        <f>HYPERLINK("https://www.773grp.com/globalSearch/CLC5602IN/page-1", "CLC5602IN")</f>
        <v>CLC5602IN</v>
      </c>
      <c r="B6174" s="3" t="str">
        <f>HYPERLINK("https://www.773grp.com/manufacturer/national-semiconductor?pageNo=9", "National Semiconductor")</f>
        <v>National Semiconductor</v>
      </c>
      <c r="C6174" s="6">
        <v>4000</v>
      </c>
      <c r="D6174" s="7">
        <v>5.78</v>
      </c>
      <c r="E6174" t="s">
        <v>18</v>
      </c>
    </row>
    <row r="6175" spans="1:5" x14ac:dyDescent="0.25">
      <c r="A6175" t="str">
        <f>HYPERLINK("https://www.773grp.com/globalSearch/CLC5612IM/page-1", "CLC5612IM")</f>
        <v>CLC5612IM</v>
      </c>
      <c r="B6175" s="3" t="str">
        <f>HYPERLINK("https://www.773grp.com/manufacturer/national-semiconductor?pageNo=10", "National Semiconductor")</f>
        <v>National Semiconductor</v>
      </c>
      <c r="C6175" s="6">
        <v>5735</v>
      </c>
      <c r="D6175" s="7">
        <v>5.78</v>
      </c>
      <c r="E6175" t="s">
        <v>48</v>
      </c>
    </row>
    <row r="6176" spans="1:5" x14ac:dyDescent="0.25">
      <c r="A6176" t="str">
        <f>HYPERLINK("https://www.773grp.com/globalSearch/CLC5612IMX/page-1", "CLC5612IMX")</f>
        <v>CLC5612IMX</v>
      </c>
      <c r="B6176" s="3" t="str">
        <f>HYPERLINK("https://www.773grp.com/manufacturer/national-semiconductor?pageNo=11", "National Semiconductor")</f>
        <v>National Semiconductor</v>
      </c>
      <c r="C6176" s="6">
        <v>22500</v>
      </c>
      <c r="D6176" s="7">
        <v>5.78</v>
      </c>
      <c r="E6176" t="s">
        <v>48</v>
      </c>
    </row>
    <row r="6177" spans="1:5" x14ac:dyDescent="0.25">
      <c r="A6177" t="str">
        <f>HYPERLINK("https://www.773grp.com/globalSearch/GAL20V8QS-25QVC/page-1", "GAL20V8QS-25QVC")</f>
        <v>GAL20V8QS-25QVC</v>
      </c>
      <c r="B6177" s="3" t="str">
        <f>HYPERLINK("https://www.773grp.com/manufacturer/national-semiconductor?pageNo=12", "National Semiconductor")</f>
        <v>National Semiconductor</v>
      </c>
      <c r="C6177" s="6">
        <v>2030</v>
      </c>
      <c r="D6177" s="7">
        <v>5.78</v>
      </c>
      <c r="E6177" t="s">
        <v>51</v>
      </c>
    </row>
    <row r="6178" spans="1:5" x14ac:dyDescent="0.25">
      <c r="A6178" t="str">
        <f>HYPERLINK("https://www.773grp.com/globalSearch/LM2599S-12/page-1", "LM2599S-12")</f>
        <v>LM2599S-12</v>
      </c>
      <c r="B6178" s="3" t="str">
        <f>HYPERLINK("https://www.773grp.com/manufacturer/national-semiconductor?pageNo=13", "National Semiconductor")</f>
        <v>National Semiconductor</v>
      </c>
      <c r="C6178" s="6">
        <v>715</v>
      </c>
      <c r="D6178" s="7">
        <v>5.78</v>
      </c>
      <c r="E6178" t="s">
        <v>7</v>
      </c>
    </row>
    <row r="6179" spans="1:5" x14ac:dyDescent="0.25">
      <c r="A6179" t="str">
        <f>HYPERLINK("https://www.773grp.com/globalSearch/LM2599SX-3.3-NOPB/page-1", "LM2599SX-3.3-NOPB")</f>
        <v>LM2599SX-3.3-NOPB</v>
      </c>
      <c r="B6179" s="3" t="str">
        <f>HYPERLINK("https://www.773grp.com/manufacturer/national-semiconductor?pageNo=14", "National Semiconductor")</f>
        <v>National Semiconductor</v>
      </c>
      <c r="C6179" s="6">
        <v>6500</v>
      </c>
      <c r="D6179" s="7">
        <v>5.78</v>
      </c>
      <c r="E6179" t="s">
        <v>7</v>
      </c>
    </row>
    <row r="6180" spans="1:5" x14ac:dyDescent="0.25">
      <c r="A6180" t="str">
        <f>HYPERLINK("https://www.773grp.com/globalSearch/LM2599SX-5.0/page-1", "LM2599SX-5.0")</f>
        <v>LM2599SX-5.0</v>
      </c>
      <c r="B6180" s="3" t="str">
        <f>HYPERLINK("https://www.773grp.com/manufacturer/national-semiconductor?pageNo=15", "National Semiconductor")</f>
        <v>National Semiconductor</v>
      </c>
      <c r="C6180" s="6">
        <v>500</v>
      </c>
      <c r="D6180" s="7">
        <v>5.78</v>
      </c>
      <c r="E6180" t="s">
        <v>7</v>
      </c>
    </row>
    <row r="6181" spans="1:5" x14ac:dyDescent="0.25">
      <c r="A6181" t="str">
        <f>HYPERLINK("https://www.773grp.com/globalSearch/LM2599SX-5.0-NOPB/page-1", "LM2599SX-5.0-NOPB")</f>
        <v>LM2599SX-5.0-NOPB</v>
      </c>
      <c r="B6181" s="3" t="str">
        <f>HYPERLINK("https://www.773grp.com/manufacturer/national-semiconductor?pageNo=16", "National Semiconductor")</f>
        <v>National Semiconductor</v>
      </c>
      <c r="C6181" s="6">
        <v>6000</v>
      </c>
      <c r="D6181" s="7">
        <v>5.78</v>
      </c>
      <c r="E6181" t="s">
        <v>7</v>
      </c>
    </row>
    <row r="6182" spans="1:5" x14ac:dyDescent="0.25">
      <c r="A6182" t="str">
        <f>HYPERLINK("https://www.773grp.com/globalSearch/LM2599SX-ADJ/page-1", "LM2599SX-ADJ")</f>
        <v>LM2599SX-ADJ</v>
      </c>
      <c r="B6182" s="3" t="str">
        <f>HYPERLINK("https://www.773grp.com/manufacturer/national-semiconductor?pageNo=17", "National Semiconductor")</f>
        <v>National Semiconductor</v>
      </c>
      <c r="C6182" s="6">
        <v>500</v>
      </c>
      <c r="D6182" s="7">
        <v>5.78</v>
      </c>
      <c r="E6182" t="s">
        <v>7</v>
      </c>
    </row>
    <row r="6183" spans="1:5" x14ac:dyDescent="0.25">
      <c r="A6183" t="str">
        <f>HYPERLINK("https://www.773grp.com/globalSearch/LM2599SX-ADJ-NOPB/page-1", "LM2599SX-ADJ-NOPB")</f>
        <v>LM2599SX-ADJ-NOPB</v>
      </c>
      <c r="B6183" s="3" t="str">
        <f>HYPERLINK("https://www.773grp.com/manufacturer/national-semiconductor?pageNo=18", "National Semiconductor")</f>
        <v>National Semiconductor</v>
      </c>
      <c r="C6183" s="6">
        <v>500</v>
      </c>
      <c r="D6183" s="7">
        <v>5.78</v>
      </c>
      <c r="E6183" t="s">
        <v>7</v>
      </c>
    </row>
    <row r="6184" spans="1:5" x14ac:dyDescent="0.25">
      <c r="A6184" t="str">
        <f>HYPERLINK("https://www.773grp.com/globalSearch/LM2599T-12-NOPB/page-1", "LM2599T-12-NOPB")</f>
        <v>LM2599T-12-NOPB</v>
      </c>
      <c r="B6184" s="3" t="str">
        <f>HYPERLINK("https://www.773grp.com/manufacturer/national-semiconductor?pageNo=19", "National Semiconductor")</f>
        <v>National Semiconductor</v>
      </c>
      <c r="C6184" s="6">
        <v>102</v>
      </c>
      <c r="D6184" s="7">
        <v>5.78</v>
      </c>
    </row>
    <row r="6185" spans="1:5" x14ac:dyDescent="0.25">
      <c r="A6185" t="str">
        <f>HYPERLINK("https://www.773grp.com/globalSearch/LM2599T-3.3-NOPB/page-1", "LM2599T-3.3-NOPB")</f>
        <v>LM2599T-3.3-NOPB</v>
      </c>
      <c r="B6185" s="3" t="str">
        <f>HYPERLINK("https://www.773grp.com/manufacturer/national-semiconductor?pageNo=20", "National Semiconductor")</f>
        <v>National Semiconductor</v>
      </c>
      <c r="C6185" s="6">
        <v>213</v>
      </c>
      <c r="D6185" s="7">
        <v>5.78</v>
      </c>
    </row>
    <row r="6186" spans="1:5" x14ac:dyDescent="0.25">
      <c r="A6186" t="str">
        <f>HYPERLINK("https://www.773grp.com/globalSearch/LM2599T-ADJ-NOPB/page-1", "LM2599T-ADJ-NOPB")</f>
        <v>LM2599T-ADJ-NOPB</v>
      </c>
      <c r="B6186" s="3" t="str">
        <f>HYPERLINK("https://www.773grp.com/manufacturer/national-semiconductor?pageNo=21", "National Semiconductor")</f>
        <v>National Semiconductor</v>
      </c>
      <c r="C6186" s="6">
        <v>43</v>
      </c>
      <c r="D6186" s="7">
        <v>5.78</v>
      </c>
    </row>
    <row r="6187" spans="1:5" x14ac:dyDescent="0.25">
      <c r="A6187" t="str">
        <f>HYPERLINK("https://www.773grp.com/globalSearch/LM5575MHX-NOPB/page-1", "LM5575MHX-NOPB")</f>
        <v>LM5575MHX-NOPB</v>
      </c>
      <c r="B6187" s="3" t="str">
        <f>HYPERLINK("https://www.773grp.com/manufacturer/national-semiconductor?pageNo=22", "National Semiconductor")</f>
        <v>National Semiconductor</v>
      </c>
      <c r="C6187" s="6">
        <v>24979</v>
      </c>
      <c r="D6187" s="7">
        <v>5.78</v>
      </c>
    </row>
    <row r="6188" spans="1:5" x14ac:dyDescent="0.25">
      <c r="A6188" t="str">
        <f>HYPERLINK("https://www.773grp.com/globalSearch/LME49713MA/page-1", "LME49713MA")</f>
        <v>LME49713MA</v>
      </c>
      <c r="B6188" s="3" t="str">
        <f>HYPERLINK("https://www.773grp.com/manufacturer/national-semiconductor?pageNo=23", "National Semiconductor")</f>
        <v>National Semiconductor</v>
      </c>
      <c r="C6188" s="6">
        <v>166</v>
      </c>
      <c r="D6188" s="7">
        <v>5.78</v>
      </c>
      <c r="E6188" t="s">
        <v>13</v>
      </c>
    </row>
    <row r="6189" spans="1:5" x14ac:dyDescent="0.25">
      <c r="A6189" t="str">
        <f>HYPERLINK("https://www.773grp.com/globalSearch/LMH6629SDE-NOPB/page-1", "LMH6629SDE-NOPB")</f>
        <v>LMH6629SDE-NOPB</v>
      </c>
      <c r="B6189" s="3" t="str">
        <f>HYPERLINK("https://www.773grp.com/manufacturer/national-semiconductor?pageNo=24", "National Semiconductor")</f>
        <v>National Semiconductor</v>
      </c>
      <c r="C6189" s="6">
        <v>352</v>
      </c>
      <c r="D6189" s="7">
        <v>5.78</v>
      </c>
    </row>
    <row r="6190" spans="1:5" x14ac:dyDescent="0.25">
      <c r="A6190" t="str">
        <f>HYPERLINK("https://www.773grp.com/globalSearch/LM2599SX-5.0-NOPB/page-1", "LM2599SX-5.0-NOPB")</f>
        <v>LM2599SX-5.0-NOPB</v>
      </c>
      <c r="B6190" s="3" t="str">
        <f>HYPERLINK("https://www.773grp.com/manufacturer/national-semiconductor?pageNo=25", "National Semiconductor")</f>
        <v>National Semiconductor</v>
      </c>
      <c r="C6190" s="6">
        <v>500</v>
      </c>
      <c r="D6190" s="7">
        <v>5.78</v>
      </c>
      <c r="E6190" t="s">
        <v>7</v>
      </c>
    </row>
    <row r="6191" spans="1:5" x14ac:dyDescent="0.25">
      <c r="A6191" t="str">
        <f>HYPERLINK("https://www.773grp.com/globalSearch/LM2599SX-ADJ-NOPB/page-1", "LM2599SX-ADJ-NOPB")</f>
        <v>LM2599SX-ADJ-NOPB</v>
      </c>
      <c r="B6191" s="3" t="str">
        <f>HYPERLINK("https://www.773grp.com/manufacturer/national-semiconductor?pageNo=26", "National Semiconductor")</f>
        <v>National Semiconductor</v>
      </c>
      <c r="C6191" s="6">
        <v>8300</v>
      </c>
      <c r="D6191" s="7">
        <v>5.78</v>
      </c>
      <c r="E6191" t="s">
        <v>7</v>
      </c>
    </row>
    <row r="6192" spans="1:5" x14ac:dyDescent="0.25">
      <c r="A6192" t="str">
        <f>HYPERLINK("https://www.773grp.com/globalSearch/LM2599T-3.3-NOPB/page-1", "LM2599T-3.3-NOPB")</f>
        <v>LM2599T-3.3-NOPB</v>
      </c>
      <c r="B6192" s="3" t="str">
        <f>HYPERLINK("https://www.773grp.com/manufacturer/national-semiconductor?pageNo=27", "National Semiconductor")</f>
        <v>National Semiconductor</v>
      </c>
      <c r="C6192" s="6">
        <v>250</v>
      </c>
      <c r="D6192" s="7">
        <v>5.78</v>
      </c>
    </row>
    <row r="6193" spans="1:5" x14ac:dyDescent="0.25">
      <c r="A6193" t="str">
        <f>HYPERLINK("https://www.773grp.com/globalSearch/LM2599T-5.0-NOPB/page-1", "LM2599T-5.0-NOPB")</f>
        <v>LM2599T-5.0-NOPB</v>
      </c>
      <c r="B6193" s="3" t="str">
        <f>HYPERLINK("https://www.773grp.com/manufacturer/national-semiconductor?pageNo=28", "National Semiconductor")</f>
        <v>National Semiconductor</v>
      </c>
      <c r="C6193" s="6">
        <v>250</v>
      </c>
      <c r="D6193" s="7">
        <v>5.78</v>
      </c>
    </row>
    <row r="6194" spans="1:5" x14ac:dyDescent="0.25">
      <c r="A6194" t="str">
        <f>HYPERLINK("https://www.773grp.com/globalSearch/LM2599T-ADJ-NOPB/page-1", "LM2599T-ADJ-NOPB")</f>
        <v>LM2599T-ADJ-NOPB</v>
      </c>
      <c r="B6194" s="3" t="str">
        <f>HYPERLINK("https://www.773grp.com/manufacturer/national-semiconductor?pageNo=29", "National Semiconductor")</f>
        <v>National Semiconductor</v>
      </c>
      <c r="C6194" s="6">
        <v>324</v>
      </c>
      <c r="D6194" s="7">
        <v>5.78</v>
      </c>
    </row>
    <row r="6195" spans="1:5" x14ac:dyDescent="0.25">
      <c r="A6195" t="str">
        <f>HYPERLINK("https://www.773grp.com/globalSearch/LM26420YMHX-NOPB/page-1", "LM26420YMHX-NOPB")</f>
        <v>LM26420YMHX-NOPB</v>
      </c>
      <c r="B6195" s="3" t="str">
        <f>HYPERLINK("https://www.773grp.com/manufacturer/national-semiconductor?pageNo=30", "National Semiconductor")</f>
        <v>National Semiconductor</v>
      </c>
      <c r="C6195" s="6">
        <v>2475</v>
      </c>
      <c r="D6195" s="7">
        <v>5.78</v>
      </c>
    </row>
    <row r="6196" spans="1:5" x14ac:dyDescent="0.25">
      <c r="A6196" t="str">
        <f>HYPERLINK("https://www.773grp.com/globalSearch/LM26420YSQ-NOPB/page-1", "LM26420YSQ-NOPB")</f>
        <v>LM26420YSQ-NOPB</v>
      </c>
      <c r="B6196" s="3" t="str">
        <f>HYPERLINK("https://www.773grp.com/manufacturer/national-semiconductor?pageNo=31", "National Semiconductor")</f>
        <v>National Semiconductor</v>
      </c>
      <c r="C6196" s="6">
        <v>1318</v>
      </c>
      <c r="D6196" s="7">
        <v>5.78</v>
      </c>
    </row>
    <row r="6197" spans="1:5" x14ac:dyDescent="0.25">
      <c r="A6197" t="str">
        <f>HYPERLINK("https://www.773grp.com/globalSearch/LMH6629MFE-NOPB/page-1", "LMH6629MFE-NOPB")</f>
        <v>LMH6629MFE-NOPB</v>
      </c>
      <c r="B6197" s="3" t="str">
        <f>HYPERLINK("https://www.773grp.com/manufacturer/national-semiconductor?pageNo=32", "National Semiconductor")</f>
        <v>National Semiconductor</v>
      </c>
      <c r="C6197" s="6">
        <v>80</v>
      </c>
      <c r="D6197" s="7">
        <v>5.78</v>
      </c>
    </row>
    <row r="6198" spans="1:5" x14ac:dyDescent="0.25">
      <c r="A6198" t="str">
        <f>HYPERLINK("https://www.773grp.com/globalSearch/LMH6629SDE-NOPB/page-1", "LMH6629SDE-NOPB")</f>
        <v>LMH6629SDE-NOPB</v>
      </c>
      <c r="B6198" s="3" t="str">
        <f>HYPERLINK("https://www.773grp.com/manufacturer/national-semiconductor?pageNo=33", "National Semiconductor")</f>
        <v>National Semiconductor</v>
      </c>
      <c r="C6198" s="6">
        <v>610</v>
      </c>
      <c r="D6198" s="7">
        <v>5.78</v>
      </c>
    </row>
    <row r="6199" spans="1:5" x14ac:dyDescent="0.25">
      <c r="A6199" t="str">
        <f>HYPERLINK("https://www.773grp.com/globalSearch/54ALS174J-883/page-1", "54ALS174J-883")</f>
        <v>54ALS174J-883</v>
      </c>
      <c r="B6199" s="3" t="str">
        <f>HYPERLINK("https://www.773grp.com/manufacturer/national-semiconductor?pageNo=34", "National Semiconductor")</f>
        <v>National Semiconductor</v>
      </c>
      <c r="C6199" s="6">
        <v>415</v>
      </c>
      <c r="D6199" s="7">
        <v>5.79</v>
      </c>
    </row>
    <row r="6200" spans="1:5" x14ac:dyDescent="0.25">
      <c r="A6200" t="str">
        <f>HYPERLINK("https://www.773grp.com/globalSearch/54ALS175J-883/page-1", "54ALS175J-883")</f>
        <v>54ALS175J-883</v>
      </c>
      <c r="B6200" s="3" t="str">
        <f>HYPERLINK("https://www.773grp.com/manufacturer/national-semiconductor?pageNo=35", "National Semiconductor")</f>
        <v>National Semiconductor</v>
      </c>
      <c r="C6200" s="6">
        <v>359</v>
      </c>
      <c r="D6200" s="7">
        <v>5.79</v>
      </c>
    </row>
    <row r="6201" spans="1:5" x14ac:dyDescent="0.25">
      <c r="A6201" t="str">
        <f>HYPERLINK("https://www.773grp.com/globalSearch/54ALS253J-883/page-1", "54ALS253J-883")</f>
        <v>54ALS253J-883</v>
      </c>
      <c r="B6201" s="3" t="str">
        <f>HYPERLINK("https://www.773grp.com/manufacturer/national-semiconductor?pageNo=36", "National Semiconductor")</f>
        <v>National Semiconductor</v>
      </c>
      <c r="C6201" s="6">
        <v>33</v>
      </c>
      <c r="D6201" s="7">
        <v>5.79</v>
      </c>
    </row>
    <row r="6202" spans="1:5" x14ac:dyDescent="0.25">
      <c r="A6202" t="str">
        <f>HYPERLINK("https://www.773grp.com/globalSearch/7492APC/page-1", "7492APC")</f>
        <v>7492APC</v>
      </c>
      <c r="B6202" s="3" t="str">
        <f>HYPERLINK("https://www.773grp.com/manufacturer/national-semiconductor?pageNo=37", "National Semiconductor")</f>
        <v>National Semiconductor</v>
      </c>
      <c r="C6202" s="6">
        <v>2730</v>
      </c>
      <c r="D6202" s="7">
        <v>5.79</v>
      </c>
    </row>
    <row r="6203" spans="1:5" x14ac:dyDescent="0.25">
      <c r="A6203" t="str">
        <f>HYPERLINK("https://www.773grp.com/globalSearch/932DC/page-1", "932DC")</f>
        <v>932DC</v>
      </c>
      <c r="B6203" s="3" t="str">
        <f>HYPERLINK("https://www.773grp.com/manufacturer/national-semiconductor?pageNo=38", "National Semiconductor")</f>
        <v>National Semiconductor</v>
      </c>
      <c r="C6203" s="6">
        <v>2839</v>
      </c>
      <c r="D6203" s="7">
        <v>5.79</v>
      </c>
    </row>
    <row r="6204" spans="1:5" x14ac:dyDescent="0.25">
      <c r="A6204" t="str">
        <f>HYPERLINK("https://www.773grp.com/globalSearch/945PC/page-1", "945PC")</f>
        <v>945PC</v>
      </c>
      <c r="B6204" s="3" t="str">
        <f>HYPERLINK("https://www.773grp.com/manufacturer/national-semiconductor?pageNo=39", "National Semiconductor")</f>
        <v>National Semiconductor</v>
      </c>
      <c r="C6204" s="6">
        <v>5065</v>
      </c>
      <c r="D6204" s="7">
        <v>5.79</v>
      </c>
    </row>
    <row r="6205" spans="1:5" x14ac:dyDescent="0.25">
      <c r="A6205" t="str">
        <f>HYPERLINK("https://www.773grp.com/globalSearch/LM3205TL-NOPB/page-1", "LM3205TL-NOPB")</f>
        <v>LM3205TL-NOPB</v>
      </c>
      <c r="B6205" s="3" t="str">
        <f>HYPERLINK("https://www.773grp.com/manufacturer/national-semiconductor?pageNo=40", "National Semiconductor")</f>
        <v>National Semiconductor</v>
      </c>
      <c r="C6205" s="6">
        <v>457</v>
      </c>
      <c r="D6205" s="7">
        <v>5.79</v>
      </c>
    </row>
    <row r="6206" spans="1:5" x14ac:dyDescent="0.25">
      <c r="A6206" t="str">
        <f>HYPERLINK("https://www.773grp.com/globalSearch/LP2954AIS-NOPB/page-1", "LP2954AIS-NOPB")</f>
        <v>LP2954AIS-NOPB</v>
      </c>
      <c r="B6206" s="3" t="str">
        <f>HYPERLINK("https://www.773grp.com/manufacturer/national-semiconductor?pageNo=41", "National Semiconductor")</f>
        <v>National Semiconductor</v>
      </c>
      <c r="C6206" s="6">
        <v>224</v>
      </c>
      <c r="D6206" s="7">
        <v>5.79</v>
      </c>
      <c r="E6206" t="s">
        <v>19</v>
      </c>
    </row>
    <row r="6207" spans="1:5" x14ac:dyDescent="0.25">
      <c r="A6207" t="str">
        <f>HYPERLINK("https://www.773grp.com/globalSearch/LP3891EMR-1.2/page-1", "LP3891EMR-1.2")</f>
        <v>LP3891EMR-1.2</v>
      </c>
      <c r="B6207" s="3" t="str">
        <f>HYPERLINK("https://www.773grp.com/manufacturer/national-semiconductor?pageNo=42", "National Semiconductor")</f>
        <v>National Semiconductor</v>
      </c>
      <c r="C6207" s="6">
        <v>15</v>
      </c>
      <c r="D6207" s="7">
        <v>5.79</v>
      </c>
      <c r="E6207" t="s">
        <v>19</v>
      </c>
    </row>
    <row r="6208" spans="1:5" x14ac:dyDescent="0.25">
      <c r="A6208" t="str">
        <f>HYPERLINK("https://www.773grp.com/globalSearch/LP2954AIS-NOPB/page-1", "LP2954AIS-NOPB")</f>
        <v>LP2954AIS-NOPB</v>
      </c>
      <c r="B6208" s="3" t="str">
        <f>HYPERLINK("https://www.773grp.com/manufacturer/national-semiconductor?pageNo=43", "National Semiconductor")</f>
        <v>National Semiconductor</v>
      </c>
      <c r="C6208" s="6">
        <v>250</v>
      </c>
      <c r="D6208" s="7">
        <v>5.79</v>
      </c>
      <c r="E6208" t="s">
        <v>19</v>
      </c>
    </row>
    <row r="6209" spans="1:5" x14ac:dyDescent="0.25">
      <c r="A6209" t="str">
        <f>HYPERLINK("https://www.773grp.com/globalSearch/ADC0809CCN/page-1", "ADC0809CCN")</f>
        <v>ADC0809CCN</v>
      </c>
      <c r="B6209" s="3" t="str">
        <f>HYPERLINK("https://www.773grp.com/manufacturer/national-semiconductor?pageNo=44", "National Semiconductor")</f>
        <v>National Semiconductor</v>
      </c>
      <c r="C6209" s="6">
        <v>23</v>
      </c>
      <c r="D6209" s="7">
        <v>5.83</v>
      </c>
      <c r="E6209" t="s">
        <v>39</v>
      </c>
    </row>
    <row r="6210" spans="1:5" x14ac:dyDescent="0.25">
      <c r="A6210" t="str">
        <f>HYPERLINK("https://www.773grp.com/globalSearch/LM22676MRE-5.0-NOPB/page-1", "LM22676MRE-5.0-NOPB")</f>
        <v>LM22676MRE-5.0-NOPB</v>
      </c>
      <c r="B6210" s="3" t="str">
        <f>HYPERLINK("https://www.773grp.com/manufacturer/national-semiconductor?pageNo=45", "National Semiconductor")</f>
        <v>National Semiconductor</v>
      </c>
      <c r="C6210" s="6">
        <v>500</v>
      </c>
      <c r="D6210" s="7">
        <v>5.83</v>
      </c>
    </row>
    <row r="6211" spans="1:5" x14ac:dyDescent="0.25">
      <c r="A6211" t="str">
        <f>HYPERLINK("https://www.773grp.com/globalSearch/LM22676MRE-ADJ-NOPB/page-1", "LM22676MRE-ADJ-NOPB")</f>
        <v>LM22676MRE-ADJ-NOPB</v>
      </c>
      <c r="B6211" s="3" t="str">
        <f>HYPERLINK("https://www.773grp.com/manufacturer/national-semiconductor?pageNo=46", "National Semiconductor")</f>
        <v>National Semiconductor</v>
      </c>
      <c r="C6211" s="6">
        <v>2000</v>
      </c>
      <c r="D6211" s="7">
        <v>5.83</v>
      </c>
    </row>
    <row r="6212" spans="1:5" x14ac:dyDescent="0.25">
      <c r="A6212" t="str">
        <f>HYPERLINK("https://www.773grp.com/globalSearch/LM22676TJE-5.0-NOPB/page-1", "LM22676TJE-5.0-NOPB")</f>
        <v>LM22676TJE-5.0-NOPB</v>
      </c>
      <c r="B6212" s="3" t="str">
        <f>HYPERLINK("https://www.773grp.com/manufacturer/national-semiconductor?pageNo=47", "National Semiconductor")</f>
        <v>National Semiconductor</v>
      </c>
      <c r="C6212" s="6">
        <v>3800</v>
      </c>
      <c r="D6212" s="7">
        <v>5.83</v>
      </c>
      <c r="E6212" t="s">
        <v>7</v>
      </c>
    </row>
    <row r="6213" spans="1:5" x14ac:dyDescent="0.25">
      <c r="A6213" t="str">
        <f>HYPERLINK("https://www.773grp.com/globalSearch/LM22676TJE-ADJ-NOPB/page-1", "LM22676TJE-ADJ-NOPB")</f>
        <v>LM22676TJE-ADJ-NOPB</v>
      </c>
      <c r="B6213" s="3" t="str">
        <f>HYPERLINK("https://www.773grp.com/manufacturer/national-semiconductor?pageNo=48", "National Semiconductor")</f>
        <v>National Semiconductor</v>
      </c>
      <c r="C6213" s="6">
        <v>27</v>
      </c>
      <c r="D6213" s="7">
        <v>5.83</v>
      </c>
    </row>
    <row r="6214" spans="1:5" x14ac:dyDescent="0.25">
      <c r="A6214" t="str">
        <f>HYPERLINK("https://www.773grp.com/globalSearch/LM2676SD-12-NOPB/page-1", "LM2676SD-12-NOPB")</f>
        <v>LM2676SD-12-NOPB</v>
      </c>
      <c r="B6214" s="3" t="str">
        <f>HYPERLINK("https://www.773grp.com/manufacturer/national-semiconductor?pageNo=49", "National Semiconductor")</f>
        <v>National Semiconductor</v>
      </c>
      <c r="C6214" s="6">
        <v>229</v>
      </c>
      <c r="D6214" s="7">
        <v>5.83</v>
      </c>
      <c r="E6214" t="s">
        <v>7</v>
      </c>
    </row>
    <row r="6215" spans="1:5" x14ac:dyDescent="0.25">
      <c r="A6215" t="str">
        <f>HYPERLINK("https://www.773grp.com/globalSearch/LM2676SD-3.3-NOPB/page-1", "LM2676SD-3.3-NOPB")</f>
        <v>LM2676SD-3.3-NOPB</v>
      </c>
      <c r="B6215" s="3" t="str">
        <f>HYPERLINK("https://www.773grp.com/manufacturer/national-semiconductor?pageNo=50", "National Semiconductor")</f>
        <v>National Semiconductor</v>
      </c>
      <c r="C6215" s="6">
        <v>1250</v>
      </c>
      <c r="D6215" s="7">
        <v>5.83</v>
      </c>
      <c r="E6215" t="s">
        <v>7</v>
      </c>
    </row>
    <row r="6216" spans="1:5" x14ac:dyDescent="0.25">
      <c r="A6216" t="str">
        <f>HYPERLINK("https://www.773grp.com/globalSearch/LM2676SD-ADJ-NOPB/page-1", "LM2676SD-ADJ-NOPB")</f>
        <v>LM2676SD-ADJ-NOPB</v>
      </c>
      <c r="B6216" s="3" t="str">
        <f>HYPERLINK("https://www.773grp.com/manufacturer/national-semiconductor?pageNo=51", "National Semiconductor")</f>
        <v>National Semiconductor</v>
      </c>
      <c r="C6216" s="6">
        <v>2250</v>
      </c>
      <c r="D6216" s="7">
        <v>5.83</v>
      </c>
      <c r="E6216" t="s">
        <v>7</v>
      </c>
    </row>
    <row r="6217" spans="1:5" x14ac:dyDescent="0.25">
      <c r="A6217" t="str">
        <f>HYPERLINK("https://www.773grp.com/globalSearch/LP5527TL-NOPB/page-1", "LP5527TL-NOPB")</f>
        <v>LP5527TL-NOPB</v>
      </c>
      <c r="B6217" s="3" t="str">
        <f>HYPERLINK("https://www.773grp.com/manufacturer/national-semiconductor?pageNo=52", "National Semiconductor")</f>
        <v>National Semiconductor</v>
      </c>
      <c r="C6217" s="6">
        <v>500</v>
      </c>
      <c r="D6217" s="7">
        <v>5.83</v>
      </c>
    </row>
    <row r="6218" spans="1:5" x14ac:dyDescent="0.25">
      <c r="A6218" t="str">
        <f>HYPERLINK("https://www.773grp.com/globalSearch/74ACT11623DW/page-1", "74ACT11623DW")</f>
        <v>74ACT11623DW</v>
      </c>
      <c r="B6218" s="3" t="str">
        <f>HYPERLINK("https://www.773grp.com/manufacturer/national-semiconductor?pageNo=53", "National Semiconductor")</f>
        <v>National Semiconductor</v>
      </c>
      <c r="C6218" s="6">
        <v>150</v>
      </c>
      <c r="D6218" s="7">
        <v>5.83</v>
      </c>
    </row>
    <row r="6219" spans="1:5" x14ac:dyDescent="0.25">
      <c r="A6219" t="str">
        <f>HYPERLINK("https://www.773grp.com/globalSearch/LM22676MRE-5.0-NOPB/page-1", "LM22676MRE-5.0-NOPB")</f>
        <v>LM22676MRE-5.0-NOPB</v>
      </c>
      <c r="B6219" s="3" t="str">
        <f>HYPERLINK("https://www.773grp.com/manufacturer/national-semiconductor?pageNo=54", "National Semiconductor")</f>
        <v>National Semiconductor</v>
      </c>
      <c r="C6219" s="6">
        <v>582</v>
      </c>
      <c r="D6219" s="7">
        <v>5.83</v>
      </c>
    </row>
    <row r="6220" spans="1:5" x14ac:dyDescent="0.25">
      <c r="A6220" t="str">
        <f>HYPERLINK("https://www.773grp.com/globalSearch/LM22676MRE-ADJ-NOPB/page-1", "LM22676MRE-ADJ-NOPB")</f>
        <v>LM22676MRE-ADJ-NOPB</v>
      </c>
      <c r="B6220" s="3" t="str">
        <f>HYPERLINK("https://www.773grp.com/manufacturer/national-semiconductor?pageNo=55", "National Semiconductor")</f>
        <v>National Semiconductor</v>
      </c>
      <c r="C6220" s="6">
        <v>1767</v>
      </c>
      <c r="D6220" s="7">
        <v>5.83</v>
      </c>
    </row>
    <row r="6221" spans="1:5" x14ac:dyDescent="0.25">
      <c r="A6221" t="str">
        <f>HYPERLINK("https://www.773grp.com/globalSearch/LM22676TJE-5.0-NOPB/page-1", "LM22676TJE-5.0-NOPB")</f>
        <v>LM22676TJE-5.0-NOPB</v>
      </c>
      <c r="B6221" s="3" t="str">
        <f>HYPERLINK("https://www.773grp.com/manufacturer/national-semiconductor?pageNo=56", "National Semiconductor")</f>
        <v>National Semiconductor</v>
      </c>
      <c r="C6221" s="6">
        <v>1338</v>
      </c>
      <c r="D6221" s="7">
        <v>5.83</v>
      </c>
      <c r="E6221" t="s">
        <v>7</v>
      </c>
    </row>
    <row r="6222" spans="1:5" x14ac:dyDescent="0.25">
      <c r="A6222" t="str">
        <f>HYPERLINK("https://www.773grp.com/globalSearch/LM22676TJE-ADJ-NOPB/page-1", "LM22676TJE-ADJ-NOPB")</f>
        <v>LM22676TJE-ADJ-NOPB</v>
      </c>
      <c r="B6222" s="3" t="str">
        <f>HYPERLINK("https://www.773grp.com/manufacturer/national-semiconductor?pageNo=57", "National Semiconductor")</f>
        <v>National Semiconductor</v>
      </c>
      <c r="C6222" s="6">
        <v>181</v>
      </c>
      <c r="D6222" s="7">
        <v>5.83</v>
      </c>
    </row>
    <row r="6223" spans="1:5" x14ac:dyDescent="0.25">
      <c r="A6223" t="str">
        <f>HYPERLINK("https://www.773grp.com/globalSearch/LM2676SD-12-NOPB/page-1", "LM2676SD-12-NOPB")</f>
        <v>LM2676SD-12-NOPB</v>
      </c>
      <c r="B6223" s="3" t="str">
        <f>HYPERLINK("https://www.773grp.com/manufacturer/national-semiconductor?pageNo=58", "National Semiconductor")</f>
        <v>National Semiconductor</v>
      </c>
      <c r="C6223" s="6">
        <v>800</v>
      </c>
      <c r="D6223" s="7">
        <v>5.83</v>
      </c>
      <c r="E6223" t="s">
        <v>7</v>
      </c>
    </row>
    <row r="6224" spans="1:5" x14ac:dyDescent="0.25">
      <c r="A6224" t="str">
        <f>HYPERLINK("https://www.773grp.com/globalSearch/LM2676SD-3.3-NOPB/page-1", "LM2676SD-3.3-NOPB")</f>
        <v>LM2676SD-3.3-NOPB</v>
      </c>
      <c r="B6224" s="3" t="str">
        <f>HYPERLINK("https://www.773grp.com/manufacturer/national-semiconductor?pageNo=59", "National Semiconductor")</f>
        <v>National Semiconductor</v>
      </c>
      <c r="C6224" s="6">
        <v>200</v>
      </c>
      <c r="D6224" s="7">
        <v>5.83</v>
      </c>
      <c r="E6224" t="s">
        <v>7</v>
      </c>
    </row>
    <row r="6225" spans="1:5" x14ac:dyDescent="0.25">
      <c r="A6225" t="str">
        <f>HYPERLINK("https://www.773grp.com/globalSearch/LM2676SD-5.0-NOPB/page-1", "LM2676SD-5.0-NOPB")</f>
        <v>LM2676SD-5.0-NOPB</v>
      </c>
      <c r="B6225" s="3" t="str">
        <f>HYPERLINK("https://www.773grp.com/manufacturer/national-semiconductor?pageNo=60", "National Semiconductor")</f>
        <v>National Semiconductor</v>
      </c>
      <c r="C6225" s="6">
        <v>70</v>
      </c>
      <c r="D6225" s="7">
        <v>5.83</v>
      </c>
    </row>
    <row r="6226" spans="1:5" x14ac:dyDescent="0.25">
      <c r="A6226" t="str">
        <f>HYPERLINK("https://www.773grp.com/globalSearch/LM2676SD-ADJ-NOPB/page-1", "LM2676SD-ADJ-NOPB")</f>
        <v>LM2676SD-ADJ-NOPB</v>
      </c>
      <c r="B6226" s="3" t="str">
        <f>HYPERLINK("https://www.773grp.com/manufacturer/national-semiconductor?pageNo=61", "National Semiconductor")</f>
        <v>National Semiconductor</v>
      </c>
      <c r="C6226" s="6">
        <v>183</v>
      </c>
      <c r="D6226" s="7">
        <v>5.83</v>
      </c>
      <c r="E6226" t="s">
        <v>7</v>
      </c>
    </row>
    <row r="6227" spans="1:5" x14ac:dyDescent="0.25">
      <c r="A6227" t="str">
        <f>HYPERLINK("https://www.773grp.com/globalSearch/LP5527TL-NOPB/page-1", "LP5527TL-NOPB")</f>
        <v>LP5527TL-NOPB</v>
      </c>
      <c r="B6227" s="3" t="str">
        <f>HYPERLINK("https://www.773grp.com/manufacturer/national-semiconductor?pageNo=62", "National Semiconductor")</f>
        <v>National Semiconductor</v>
      </c>
      <c r="C6227" s="6">
        <v>2500</v>
      </c>
      <c r="D6227" s="7">
        <v>5.83</v>
      </c>
    </row>
    <row r="6228" spans="1:5" x14ac:dyDescent="0.25">
      <c r="A6228" t="str">
        <f>HYPERLINK("https://www.773grp.com/globalSearch/TPS54317RHFT/page-1", "TPS54317RHFT")</f>
        <v>TPS54317RHFT</v>
      </c>
      <c r="B6228" s="3" t="str">
        <f>HYPERLINK("https://www.773grp.com/manufacturer/national-semiconductor?pageNo=63", "National Semiconductor")</f>
        <v>National Semiconductor</v>
      </c>
      <c r="C6228" s="6">
        <v>750</v>
      </c>
      <c r="D6228" s="7">
        <v>5.83</v>
      </c>
    </row>
    <row r="6229" spans="1:5" x14ac:dyDescent="0.25">
      <c r="A6229" t="str">
        <f>HYPERLINK("https://www.773grp.com/globalSearch/TPS54317RHFT/page-1", "TPS54317RHFT")</f>
        <v>TPS54317RHFT</v>
      </c>
      <c r="B6229" s="3" t="str">
        <f>HYPERLINK("https://www.773grp.com/manufacturer/national-semiconductor?pageNo=64", "National Semiconductor")</f>
        <v>National Semiconductor</v>
      </c>
      <c r="C6229" s="6">
        <v>46</v>
      </c>
      <c r="D6229" s="7">
        <v>5.83</v>
      </c>
    </row>
    <row r="6230" spans="1:5" x14ac:dyDescent="0.25">
      <c r="A6230" t="str">
        <f>HYPERLINK("https://www.773grp.com/globalSearch/74LS181DC/page-1", "74LS181DC")</f>
        <v>74LS181DC</v>
      </c>
      <c r="B6230" s="3" t="str">
        <f>HYPERLINK("https://www.773grp.com/manufacturer/national-semiconductor?pageNo=65", "National Semiconductor")</f>
        <v>National Semiconductor</v>
      </c>
      <c r="C6230" s="6">
        <v>876</v>
      </c>
      <c r="D6230" s="7">
        <v>5.85</v>
      </c>
    </row>
    <row r="6231" spans="1:5" x14ac:dyDescent="0.25">
      <c r="A6231" t="str">
        <f>HYPERLINK("https://www.773grp.com/globalSearch/DM54LS125AW-883/page-1", "DM54LS125AW-883")</f>
        <v>DM54LS125AW-883</v>
      </c>
      <c r="B6231" s="3" t="str">
        <f>HYPERLINK("https://www.773grp.com/manufacturer/national-semiconductor?pageNo=66", "National Semiconductor")</f>
        <v>National Semiconductor</v>
      </c>
      <c r="C6231" s="6">
        <v>657</v>
      </c>
      <c r="D6231" s="7">
        <v>5.85</v>
      </c>
      <c r="E6231" t="s">
        <v>14</v>
      </c>
    </row>
    <row r="6232" spans="1:5" x14ac:dyDescent="0.25">
      <c r="A6232" t="str">
        <f>HYPERLINK("https://www.773grp.com/globalSearch/LMX2332ATM/page-1", "LMX2332ATM")</f>
        <v>LMX2332ATM</v>
      </c>
      <c r="B6232" s="3" t="str">
        <f>HYPERLINK("https://www.773grp.com/manufacturer/national-semiconductor?pageNo=67", "National Semiconductor")</f>
        <v>National Semiconductor</v>
      </c>
      <c r="C6232" s="6">
        <v>925</v>
      </c>
      <c r="D6232" s="7">
        <v>5.85</v>
      </c>
      <c r="E6232" t="s">
        <v>38</v>
      </c>
    </row>
    <row r="6233" spans="1:5" x14ac:dyDescent="0.25">
      <c r="A6233" t="str">
        <f>HYPERLINK("https://www.773grp.com/globalSearch/MM74HC367MX/page-1", "MM74HC367MX")</f>
        <v>MM74HC367MX</v>
      </c>
      <c r="B6233" s="3" t="str">
        <f>HYPERLINK("https://www.773grp.com/manufacturer/national-semiconductor?pageNo=68", "National Semiconductor")</f>
        <v>National Semiconductor</v>
      </c>
      <c r="C6233" s="6">
        <v>2500</v>
      </c>
      <c r="D6233" s="7">
        <v>5.85</v>
      </c>
    </row>
    <row r="6234" spans="1:5" x14ac:dyDescent="0.25">
      <c r="A6234" t="str">
        <f>HYPERLINK("https://www.773grp.com/globalSearch/54LS259FM/page-1", "54LS259FM")</f>
        <v>54LS259FM</v>
      </c>
      <c r="B6234" s="3" t="str">
        <f>HYPERLINK("https://www.773grp.com/manufacturer/national-semiconductor?pageNo=69", "National Semiconductor")</f>
        <v>National Semiconductor</v>
      </c>
      <c r="C6234" s="6">
        <v>290</v>
      </c>
      <c r="D6234" s="7">
        <v>5.88</v>
      </c>
    </row>
    <row r="6235" spans="1:5" x14ac:dyDescent="0.25">
      <c r="A6235" t="str">
        <f>HYPERLINK("https://www.773grp.com/globalSearch/54LS259FMQB/page-1", "54LS259FMQB")</f>
        <v>54LS259FMQB</v>
      </c>
      <c r="B6235" s="3" t="str">
        <f>HYPERLINK("https://www.773grp.com/manufacturer/national-semiconductor?pageNo=70", "National Semiconductor")</f>
        <v>National Semiconductor</v>
      </c>
      <c r="C6235" s="6">
        <v>772</v>
      </c>
      <c r="D6235" s="7">
        <v>5.88</v>
      </c>
      <c r="E6235" t="s">
        <v>35</v>
      </c>
    </row>
    <row r="6236" spans="1:5" x14ac:dyDescent="0.25">
      <c r="A6236" t="str">
        <f>HYPERLINK("https://www.773grp.com/globalSearch/DS14C232TM/page-1", "DS14C232TM")</f>
        <v>DS14C232TM</v>
      </c>
      <c r="B6236" s="3" t="str">
        <f>HYPERLINK("https://www.773grp.com/manufacturer/national-semiconductor?pageNo=71", "National Semiconductor")</f>
        <v>National Semiconductor</v>
      </c>
      <c r="C6236" s="6">
        <v>33</v>
      </c>
      <c r="D6236" s="7">
        <v>5.88</v>
      </c>
      <c r="E6236" t="s">
        <v>21</v>
      </c>
    </row>
    <row r="6237" spans="1:5" x14ac:dyDescent="0.25">
      <c r="A6237" t="str">
        <f>HYPERLINK("https://www.773grp.com/globalSearch/LM2407T/page-1", "LM2407T")</f>
        <v>LM2407T</v>
      </c>
      <c r="B6237" s="3" t="str">
        <f>HYPERLINK("https://www.773grp.com/manufacturer/national-semiconductor?pageNo=72", "National Semiconductor")</f>
        <v>National Semiconductor</v>
      </c>
      <c r="C6237" s="6">
        <v>15564</v>
      </c>
      <c r="D6237" s="7">
        <v>5.88</v>
      </c>
      <c r="E6237" t="s">
        <v>18</v>
      </c>
    </row>
    <row r="6238" spans="1:5" x14ac:dyDescent="0.25">
      <c r="A6238" t="str">
        <f>HYPERLINK("https://www.773grp.com/globalSearch/LM3914V/page-1", "LM3914V")</f>
        <v>LM3914V</v>
      </c>
      <c r="B6238" s="3" t="str">
        <f>HYPERLINK("https://www.773grp.com/manufacturer/national-semiconductor?pageNo=73", "National Semiconductor")</f>
        <v>National Semiconductor</v>
      </c>
      <c r="C6238" s="6">
        <v>433</v>
      </c>
      <c r="D6238" s="7">
        <v>5.88</v>
      </c>
      <c r="E6238" t="s">
        <v>10</v>
      </c>
    </row>
    <row r="6239" spans="1:5" x14ac:dyDescent="0.25">
      <c r="A6239" t="str">
        <f>HYPERLINK("https://www.773grp.com/globalSearch/LM6152BCMX/page-1", "LM6152BCMX")</f>
        <v>LM6152BCMX</v>
      </c>
      <c r="B6239" s="3" t="str">
        <f>HYPERLINK("https://www.773grp.com/manufacturer/national-semiconductor?pageNo=74", "National Semiconductor")</f>
        <v>National Semiconductor</v>
      </c>
      <c r="C6239" s="6">
        <v>6670</v>
      </c>
      <c r="D6239" s="7">
        <v>5.88</v>
      </c>
      <c r="E6239" t="s">
        <v>13</v>
      </c>
    </row>
    <row r="6240" spans="1:5" x14ac:dyDescent="0.25">
      <c r="A6240" t="str">
        <f>HYPERLINK("https://www.773grp.com/globalSearch/LMC6044AIM/page-1", "LMC6044AIM")</f>
        <v>LMC6044AIM</v>
      </c>
      <c r="B6240" s="3" t="str">
        <f>HYPERLINK("https://www.773grp.com/manufacturer/national-semiconductor?pageNo=75", "National Semiconductor")</f>
        <v>National Semiconductor</v>
      </c>
      <c r="C6240" s="6">
        <v>425</v>
      </c>
      <c r="D6240" s="7">
        <v>5.88</v>
      </c>
      <c r="E6240" t="s">
        <v>13</v>
      </c>
    </row>
    <row r="6241" spans="1:5" x14ac:dyDescent="0.25">
      <c r="A6241" t="str">
        <f>HYPERLINK("https://www.773grp.com/globalSearch/LMC6064IN-NOPB/page-1", "LMC6064IN-NOPB")</f>
        <v>LMC6064IN-NOPB</v>
      </c>
      <c r="B6241" s="3" t="str">
        <f>HYPERLINK("https://www.773grp.com/manufacturer/national-semiconductor?pageNo=76", "National Semiconductor")</f>
        <v>National Semiconductor</v>
      </c>
      <c r="C6241" s="6">
        <v>1402</v>
      </c>
      <c r="D6241" s="7">
        <v>5.88</v>
      </c>
      <c r="E6241" t="s">
        <v>13</v>
      </c>
    </row>
    <row r="6242" spans="1:5" x14ac:dyDescent="0.25">
      <c r="A6242" t="str">
        <f>HYPERLINK("https://www.773grp.com/globalSearch/LMX2371TM/page-1", "LMX2371TM")</f>
        <v>LMX2371TM</v>
      </c>
      <c r="B6242" s="3" t="str">
        <f>HYPERLINK("https://www.773grp.com/manufacturer/national-semiconductor?pageNo=77", "National Semiconductor")</f>
        <v>National Semiconductor</v>
      </c>
      <c r="C6242" s="6">
        <v>3458</v>
      </c>
      <c r="D6242" s="7">
        <v>5.88</v>
      </c>
      <c r="E6242" t="s">
        <v>38</v>
      </c>
    </row>
    <row r="6243" spans="1:5" x14ac:dyDescent="0.25">
      <c r="A6243" t="str">
        <f>HYPERLINK("https://www.773grp.com/globalSearch/LP3963ESX-2.5/page-1", "LP3963ESX-2.5")</f>
        <v>LP3963ESX-2.5</v>
      </c>
      <c r="B6243" s="3" t="str">
        <f>HYPERLINK("https://www.773grp.com/manufacturer/national-semiconductor?pageNo=78", "National Semiconductor")</f>
        <v>National Semiconductor</v>
      </c>
      <c r="C6243" s="6">
        <v>500</v>
      </c>
      <c r="D6243" s="7">
        <v>5.88</v>
      </c>
      <c r="E6243" t="s">
        <v>19</v>
      </c>
    </row>
    <row r="6244" spans="1:5" x14ac:dyDescent="0.25">
      <c r="A6244" t="str">
        <f>HYPERLINK("https://www.773grp.com/globalSearch/DS14C232TM/page-1", "DS14C232TM")</f>
        <v>DS14C232TM</v>
      </c>
      <c r="B6244" s="3" t="str">
        <f>HYPERLINK("https://www.773grp.com/manufacturer/national-semiconductor?pageNo=79", "National Semiconductor")</f>
        <v>National Semiconductor</v>
      </c>
      <c r="C6244" s="6">
        <v>5366</v>
      </c>
      <c r="D6244" s="7">
        <v>5.88</v>
      </c>
      <c r="E6244" t="s">
        <v>21</v>
      </c>
    </row>
    <row r="6245" spans="1:5" x14ac:dyDescent="0.25">
      <c r="A6245" t="str">
        <f>HYPERLINK("https://www.773grp.com/globalSearch/LMC6064IN-NOPB/page-1", "LMC6064IN-NOPB")</f>
        <v>LMC6064IN-NOPB</v>
      </c>
      <c r="B6245" s="3" t="str">
        <f>HYPERLINK("https://www.773grp.com/manufacturer/national-semiconductor?pageNo=80", "National Semiconductor")</f>
        <v>National Semiconductor</v>
      </c>
      <c r="C6245" s="6">
        <v>250</v>
      </c>
      <c r="D6245" s="7">
        <v>5.88</v>
      </c>
      <c r="E6245" t="s">
        <v>13</v>
      </c>
    </row>
    <row r="6246" spans="1:5" x14ac:dyDescent="0.25">
      <c r="A6246" t="str">
        <f>HYPERLINK("https://www.773grp.com/globalSearch/LMH6321TSX-NOPB/page-1", "LMH6321TSX-NOPB")</f>
        <v>LMH6321TSX-NOPB</v>
      </c>
      <c r="B6246" s="3" t="str">
        <f>HYPERLINK("https://www.773grp.com/manufacturer/national-semiconductor?pageNo=81", "National Semiconductor")</f>
        <v>National Semiconductor</v>
      </c>
      <c r="C6246" s="6">
        <v>1462</v>
      </c>
      <c r="D6246" s="7">
        <v>5.88</v>
      </c>
    </row>
    <row r="6247" spans="1:5" x14ac:dyDescent="0.25">
      <c r="A6247" t="str">
        <f>HYPERLINK("https://www.773grp.com/globalSearch/LP3963ES-2.5/page-1", "LP3963ES-2.5")</f>
        <v>LP3963ES-2.5</v>
      </c>
      <c r="B6247" s="3" t="str">
        <f>HYPERLINK("https://www.773grp.com/manufacturer/national-semiconductor?pageNo=82", "National Semiconductor")</f>
        <v>National Semiconductor</v>
      </c>
      <c r="C6247" s="6">
        <v>5646</v>
      </c>
      <c r="D6247" s="7">
        <v>5.88</v>
      </c>
      <c r="E6247" t="s">
        <v>19</v>
      </c>
    </row>
    <row r="6248" spans="1:5" x14ac:dyDescent="0.25">
      <c r="A6248" t="str">
        <f>HYPERLINK("https://www.773grp.com/globalSearch/54LS253FM/page-1", "54LS253FM")</f>
        <v>54LS253FM</v>
      </c>
      <c r="B6248" s="3" t="str">
        <f>HYPERLINK("https://www.773grp.com/manufacturer/national-semiconductor?pageNo=83", "National Semiconductor")</f>
        <v>National Semiconductor</v>
      </c>
      <c r="C6248" s="6">
        <v>414</v>
      </c>
      <c r="D6248" s="7">
        <v>5.91</v>
      </c>
    </row>
    <row r="6249" spans="1:5" x14ac:dyDescent="0.25">
      <c r="A6249" t="str">
        <f>HYPERLINK("https://www.773grp.com/globalSearch/54LS253FMQB/page-1", "54LS253FMQB")</f>
        <v>54LS253FMQB</v>
      </c>
      <c r="B6249" s="3" t="str">
        <f>HYPERLINK("https://www.773grp.com/manufacturer/national-semiconductor?pageNo=84", "National Semiconductor")</f>
        <v>National Semiconductor</v>
      </c>
      <c r="C6249" s="6">
        <v>145</v>
      </c>
      <c r="D6249" s="7">
        <v>5.91</v>
      </c>
      <c r="E6249" t="s">
        <v>20</v>
      </c>
    </row>
    <row r="6250" spans="1:5" x14ac:dyDescent="0.25">
      <c r="A6250" t="str">
        <f>HYPERLINK("https://www.773grp.com/globalSearch/ADC0820CCWM/page-1", "ADC0820CCWM")</f>
        <v>ADC0820CCWM</v>
      </c>
      <c r="B6250" s="3" t="str">
        <f>HYPERLINK("https://www.773grp.com/manufacturer/national-semiconductor?pageNo=85", "National Semiconductor")</f>
        <v>National Semiconductor</v>
      </c>
      <c r="C6250" s="6">
        <v>219</v>
      </c>
      <c r="D6250" s="7">
        <v>5.91</v>
      </c>
      <c r="E6250" t="s">
        <v>39</v>
      </c>
    </row>
    <row r="6251" spans="1:5" x14ac:dyDescent="0.25">
      <c r="A6251" t="str">
        <f>HYPERLINK("https://www.773grp.com/globalSearch/DM7842J-883/page-1", "DM7842J-883")</f>
        <v>DM7842J-883</v>
      </c>
      <c r="B6251" s="3" t="str">
        <f>HYPERLINK("https://www.773grp.com/manufacturer/national-semiconductor?pageNo=86", "National Semiconductor")</f>
        <v>National Semiconductor</v>
      </c>
      <c r="C6251" s="6">
        <v>211</v>
      </c>
      <c r="D6251" s="7">
        <v>5.91</v>
      </c>
    </row>
    <row r="6252" spans="1:5" x14ac:dyDescent="0.25">
      <c r="A6252" t="str">
        <f>HYPERLINK("https://www.773grp.com/globalSearch/DS90LV804TSQ-NOPB/page-1", "DS90LV804TSQ-NOPB")</f>
        <v>DS90LV804TSQ-NOPB</v>
      </c>
      <c r="B6252" s="3" t="str">
        <f>HYPERLINK("https://www.773grp.com/manufacturer/national-semiconductor?pageNo=87", "National Semiconductor")</f>
        <v>National Semiconductor</v>
      </c>
      <c r="C6252" s="6">
        <v>2132</v>
      </c>
      <c r="D6252" s="7">
        <v>5.91</v>
      </c>
      <c r="E6252" t="s">
        <v>21</v>
      </c>
    </row>
    <row r="6253" spans="1:5" x14ac:dyDescent="0.25">
      <c r="A6253" t="str">
        <f>HYPERLINK("https://www.773grp.com/globalSearch/DS91M125TMA/page-1", "DS91M125TMA")</f>
        <v>DS91M125TMA</v>
      </c>
      <c r="B6253" s="3" t="str">
        <f>HYPERLINK("https://www.773grp.com/manufacturer/national-semiconductor?pageNo=88", "National Semiconductor")</f>
        <v>National Semiconductor</v>
      </c>
      <c r="C6253" s="6">
        <v>54</v>
      </c>
      <c r="D6253" s="7">
        <v>5.91</v>
      </c>
      <c r="E6253" t="s">
        <v>21</v>
      </c>
    </row>
    <row r="6254" spans="1:5" x14ac:dyDescent="0.25">
      <c r="A6254" t="str">
        <f>HYPERLINK("https://www.773grp.com/globalSearch/DS91M125TMAX-NOPB/page-1", "DS91M125TMAX-NOPB")</f>
        <v>DS91M125TMAX-NOPB</v>
      </c>
      <c r="B6254" s="3" t="str">
        <f>HYPERLINK("https://www.773grp.com/manufacturer/national-semiconductor?pageNo=89", "National Semiconductor")</f>
        <v>National Semiconductor</v>
      </c>
      <c r="C6254" s="6">
        <v>2500</v>
      </c>
      <c r="D6254" s="7">
        <v>5.91</v>
      </c>
    </row>
    <row r="6255" spans="1:5" x14ac:dyDescent="0.25">
      <c r="A6255" t="str">
        <f>HYPERLINK("https://www.773grp.com/globalSearch/LM1949N/page-1", "LM1949N")</f>
        <v>LM1949N</v>
      </c>
      <c r="B6255" s="3" t="str">
        <f>HYPERLINK("https://www.773grp.com/manufacturer/national-semiconductor?pageNo=90", "National Semiconductor")</f>
        <v>National Semiconductor</v>
      </c>
      <c r="C6255" s="6">
        <v>96</v>
      </c>
      <c r="D6255" s="7">
        <v>5.91</v>
      </c>
      <c r="E6255" t="s">
        <v>11</v>
      </c>
    </row>
    <row r="6256" spans="1:5" x14ac:dyDescent="0.25">
      <c r="A6256" t="str">
        <f>HYPERLINK("https://www.773grp.com/globalSearch/LM2575HVT-12-NOPB/page-1", "LM2575HVT-12-NOPB")</f>
        <v>LM2575HVT-12-NOPB</v>
      </c>
      <c r="B6256" s="3" t="str">
        <f>HYPERLINK("https://www.773grp.com/manufacturer/national-semiconductor?pageNo=91", "National Semiconductor")</f>
        <v>National Semiconductor</v>
      </c>
      <c r="C6256" s="6">
        <v>270</v>
      </c>
      <c r="D6256" s="7">
        <v>5.91</v>
      </c>
    </row>
    <row r="6257" spans="1:5" x14ac:dyDescent="0.25">
      <c r="A6257" t="str">
        <f>HYPERLINK("https://www.773grp.com/globalSearch/LM2575HVT-15-LF03/page-1", "LM2575HVT-15-LF03")</f>
        <v>LM2575HVT-15-LF03</v>
      </c>
      <c r="B6257" s="3" t="str">
        <f>HYPERLINK("https://www.773grp.com/manufacturer/national-semiconductor?pageNo=92", "National Semiconductor")</f>
        <v>National Semiconductor</v>
      </c>
      <c r="C6257" s="6">
        <v>3</v>
      </c>
      <c r="D6257" s="7">
        <v>5.91</v>
      </c>
    </row>
    <row r="6258" spans="1:5" x14ac:dyDescent="0.25">
      <c r="A6258" t="str">
        <f>HYPERLINK("https://www.773grp.com/globalSearch/LM2575HVT-3.3/page-1", "LM2575HVT-3.3")</f>
        <v>LM2575HVT-3.3</v>
      </c>
      <c r="B6258" s="3" t="str">
        <f>HYPERLINK("https://www.773grp.com/manufacturer/national-semiconductor?pageNo=93", "National Semiconductor")</f>
        <v>National Semiconductor</v>
      </c>
      <c r="C6258" s="6">
        <v>146</v>
      </c>
      <c r="D6258" s="7">
        <v>5.91</v>
      </c>
      <c r="E6258" t="s">
        <v>7</v>
      </c>
    </row>
    <row r="6259" spans="1:5" x14ac:dyDescent="0.25">
      <c r="A6259" t="str">
        <f>HYPERLINK("https://www.773grp.com/globalSearch/LM2575HVT-5.0-NOPB/page-1", "LM2575HVT-5.0-NOPB")</f>
        <v>LM2575HVT-5.0-NOPB</v>
      </c>
      <c r="B6259" s="3" t="str">
        <f>HYPERLINK("https://www.773grp.com/manufacturer/national-semiconductor?pageNo=94", "National Semiconductor")</f>
        <v>National Semiconductor</v>
      </c>
      <c r="C6259" s="6">
        <v>5723</v>
      </c>
      <c r="D6259" s="7">
        <v>5.91</v>
      </c>
    </row>
    <row r="6260" spans="1:5" x14ac:dyDescent="0.25">
      <c r="A6260" t="str">
        <f>HYPERLINK("https://www.773grp.com/globalSearch/LM2575HVT-ADJ-LF03/page-1", "LM2575HVT-ADJ-LF03")</f>
        <v>LM2575HVT-ADJ-LF03</v>
      </c>
      <c r="B6260" s="3" t="str">
        <f>HYPERLINK("https://www.773grp.com/manufacturer/national-semiconductor?pageNo=95", "National Semiconductor")</f>
        <v>National Semiconductor</v>
      </c>
      <c r="C6260" s="6">
        <v>45</v>
      </c>
      <c r="D6260" s="7">
        <v>5.91</v>
      </c>
    </row>
    <row r="6261" spans="1:5" x14ac:dyDescent="0.25">
      <c r="A6261" t="str">
        <f>HYPERLINK("https://www.773grp.com/globalSearch/LM2575HVT-ADJ-NOPB/page-1", "LM2575HVT-ADJ-NOPB")</f>
        <v>LM2575HVT-ADJ-NOPB</v>
      </c>
      <c r="B6261" s="3" t="str">
        <f>HYPERLINK("https://www.773grp.com/manufacturer/national-semiconductor?pageNo=96", "National Semiconductor")</f>
        <v>National Semiconductor</v>
      </c>
      <c r="C6261" s="6">
        <v>390</v>
      </c>
      <c r="D6261" s="7">
        <v>5.91</v>
      </c>
      <c r="E6261" t="s">
        <v>7</v>
      </c>
    </row>
    <row r="6262" spans="1:5" x14ac:dyDescent="0.25">
      <c r="A6262" t="str">
        <f>HYPERLINK("https://www.773grp.com/globalSearch/LM26001MXA-NOPB/page-1", "LM26001MXA-NOPB")</f>
        <v>LM26001MXA-NOPB</v>
      </c>
      <c r="B6262" s="3" t="str">
        <f>HYPERLINK("https://www.773grp.com/manufacturer/national-semiconductor?pageNo=97", "National Semiconductor")</f>
        <v>National Semiconductor</v>
      </c>
      <c r="C6262" s="6">
        <v>11</v>
      </c>
      <c r="D6262" s="7">
        <v>5.91</v>
      </c>
    </row>
    <row r="6263" spans="1:5" x14ac:dyDescent="0.25">
      <c r="A6263" t="str">
        <f>HYPERLINK("https://www.773grp.com/globalSearch/LM26400YMHX-NOPB/page-1", "LM26400YMHX-NOPB")</f>
        <v>LM26400YMHX-NOPB</v>
      </c>
      <c r="B6263" s="3" t="str">
        <f>HYPERLINK("https://www.773grp.com/manufacturer/national-semiconductor?pageNo=98", "National Semiconductor")</f>
        <v>National Semiconductor</v>
      </c>
      <c r="C6263" s="6">
        <v>2500</v>
      </c>
      <c r="D6263" s="7">
        <v>5.91</v>
      </c>
      <c r="E6263" t="s">
        <v>7</v>
      </c>
    </row>
    <row r="6264" spans="1:5" x14ac:dyDescent="0.25">
      <c r="A6264" t="str">
        <f>HYPERLINK("https://www.773grp.com/globalSearch/LM26400YSD/page-1", "LM26400YSD")</f>
        <v>LM26400YSD</v>
      </c>
      <c r="B6264" s="3" t="str">
        <f>HYPERLINK("https://www.773grp.com/manufacturer/national-semiconductor?pageNo=99", "National Semiconductor")</f>
        <v>National Semiconductor</v>
      </c>
      <c r="C6264" s="6">
        <v>1000</v>
      </c>
      <c r="D6264" s="7">
        <v>5.91</v>
      </c>
      <c r="E6264" t="s">
        <v>7</v>
      </c>
    </row>
    <row r="6265" spans="1:5" x14ac:dyDescent="0.25">
      <c r="A6265" t="str">
        <f>HYPERLINK("https://www.773grp.com/globalSearch/LM26400YSD-NOPB/page-1", "LM26400YSD-NOPB")</f>
        <v>LM26400YSD-NOPB</v>
      </c>
      <c r="B6265" s="3" t="str">
        <f>HYPERLINK("https://www.773grp.com/manufacturer/national-semiconductor?pageNo=100", "National Semiconductor")</f>
        <v>National Semiconductor</v>
      </c>
      <c r="C6265" s="6">
        <v>8000</v>
      </c>
      <c r="D6265" s="7">
        <v>5.91</v>
      </c>
    </row>
    <row r="6266" spans="1:5" x14ac:dyDescent="0.25">
      <c r="A6266" t="str">
        <f>HYPERLINK("https://www.773grp.com/globalSearch/LM26400YSDX-NOPB/page-1", "LM26400YSDX-NOPB")</f>
        <v>LM26400YSDX-NOPB</v>
      </c>
      <c r="B6266" s="3" t="str">
        <f>HYPERLINK("https://www.773grp.com/manufacturer/national-semiconductor?pageNo=101", "National Semiconductor")</f>
        <v>National Semiconductor</v>
      </c>
      <c r="C6266" s="6">
        <v>4500</v>
      </c>
      <c r="D6266" s="7">
        <v>5.91</v>
      </c>
    </row>
    <row r="6267" spans="1:5" x14ac:dyDescent="0.25">
      <c r="A6267" t="str">
        <f>HYPERLINK("https://www.773grp.com/globalSearch/LM2853MH-0.8-NOPB/page-1", "LM2853MH-0.8-NOPB")</f>
        <v>LM2853MH-0.8-NOPB</v>
      </c>
      <c r="B6267" s="3" t="str">
        <f>HYPERLINK("https://www.773grp.com/manufacturer/national-semiconductor?pageNo=102", "National Semiconductor")</f>
        <v>National Semiconductor</v>
      </c>
      <c r="C6267" s="6">
        <v>366</v>
      </c>
      <c r="D6267" s="7">
        <v>5.91</v>
      </c>
    </row>
    <row r="6268" spans="1:5" x14ac:dyDescent="0.25">
      <c r="A6268" t="str">
        <f>HYPERLINK("https://www.773grp.com/globalSearch/LM2853MH-1.0-NOPB/page-1", "LM2853MH-1.0-NOPB")</f>
        <v>LM2853MH-1.0-NOPB</v>
      </c>
      <c r="B6268" s="3" t="str">
        <f>HYPERLINK("https://www.773grp.com/manufacturer/national-semiconductor?pageNo=103", "National Semiconductor")</f>
        <v>National Semiconductor</v>
      </c>
      <c r="C6268" s="6">
        <v>2</v>
      </c>
      <c r="D6268" s="7">
        <v>5.91</v>
      </c>
    </row>
    <row r="6269" spans="1:5" x14ac:dyDescent="0.25">
      <c r="A6269" t="str">
        <f>HYPERLINK("https://www.773grp.com/globalSearch/LM2853MH-1.2-NOPB/page-1", "LM2853MH-1.2-NOPB")</f>
        <v>LM2853MH-1.2-NOPB</v>
      </c>
      <c r="B6269" s="3" t="str">
        <f>HYPERLINK("https://www.773grp.com/manufacturer/national-semiconductor?pageNo=104", "National Semiconductor")</f>
        <v>National Semiconductor</v>
      </c>
      <c r="C6269" s="6">
        <v>358</v>
      </c>
      <c r="D6269" s="7">
        <v>5.91</v>
      </c>
    </row>
    <row r="6270" spans="1:5" x14ac:dyDescent="0.25">
      <c r="A6270" t="str">
        <f>HYPERLINK("https://www.773grp.com/globalSearch/LM2853MH-1.5-NOPB/page-1", "LM2853MH-1.5-NOPB")</f>
        <v>LM2853MH-1.5-NOPB</v>
      </c>
      <c r="B6270" s="3" t="str">
        <f>HYPERLINK("https://www.773grp.com/manufacturer/national-semiconductor?pageNo=105", "National Semiconductor")</f>
        <v>National Semiconductor</v>
      </c>
      <c r="C6270" s="6">
        <v>864</v>
      </c>
      <c r="D6270" s="7">
        <v>5.91</v>
      </c>
      <c r="E6270" t="s">
        <v>7</v>
      </c>
    </row>
    <row r="6271" spans="1:5" x14ac:dyDescent="0.25">
      <c r="A6271" t="str">
        <f>HYPERLINK("https://www.773grp.com/globalSearch/LM2853MH-1.8-NOPB/page-1", "LM2853MH-1.8-NOPB")</f>
        <v>LM2853MH-1.8-NOPB</v>
      </c>
      <c r="B6271" s="3" t="str">
        <f>HYPERLINK("https://www.773grp.com/manufacturer/national-semiconductor?pageNo=106", "National Semiconductor")</f>
        <v>National Semiconductor</v>
      </c>
      <c r="C6271" s="6">
        <v>855</v>
      </c>
      <c r="D6271" s="7">
        <v>5.91</v>
      </c>
    </row>
    <row r="6272" spans="1:5" x14ac:dyDescent="0.25">
      <c r="A6272" t="str">
        <f>HYPERLINK("https://www.773grp.com/globalSearch/LM2853MH-2.5-NOPB/page-1", "LM2853MH-2.5-NOPB")</f>
        <v>LM2853MH-2.5-NOPB</v>
      </c>
      <c r="B6272" s="3" t="str">
        <f>HYPERLINK("https://www.773grp.com/manufacturer/national-semiconductor?pageNo=107", "National Semiconductor")</f>
        <v>National Semiconductor</v>
      </c>
      <c r="C6272" s="6">
        <v>535</v>
      </c>
      <c r="D6272" s="7">
        <v>5.91</v>
      </c>
    </row>
    <row r="6273" spans="1:5" x14ac:dyDescent="0.25">
      <c r="A6273" t="str">
        <f>HYPERLINK("https://www.773grp.com/globalSearch/LM2853MH-3.0-NOPB/page-1", "LM2853MH-3.0-NOPB")</f>
        <v>LM2853MH-3.0-NOPB</v>
      </c>
      <c r="B6273" s="3" t="str">
        <f>HYPERLINK("https://www.773grp.com/manufacturer/national-semiconductor?pageNo=108", "National Semiconductor")</f>
        <v>National Semiconductor</v>
      </c>
      <c r="C6273" s="6">
        <v>415</v>
      </c>
      <c r="D6273" s="7">
        <v>5.91</v>
      </c>
    </row>
    <row r="6274" spans="1:5" x14ac:dyDescent="0.25">
      <c r="A6274" t="str">
        <f>HYPERLINK("https://www.773grp.com/globalSearch/LM2853MH-3.3-NOPB/page-1", "LM2853MH-3.3-NOPB")</f>
        <v>LM2853MH-3.3-NOPB</v>
      </c>
      <c r="B6274" s="3" t="str">
        <f>HYPERLINK("https://www.773grp.com/manufacturer/national-semiconductor?pageNo=109", "National Semiconductor")</f>
        <v>National Semiconductor</v>
      </c>
      <c r="C6274" s="6">
        <v>94</v>
      </c>
      <c r="D6274" s="7">
        <v>5.91</v>
      </c>
      <c r="E6274" t="s">
        <v>7</v>
      </c>
    </row>
    <row r="6275" spans="1:5" x14ac:dyDescent="0.25">
      <c r="A6275" t="str">
        <f>HYPERLINK("https://www.773grp.com/globalSearch/LM3102TLX-1-NOPB/page-1", "LM3102TLX-1-NOPB")</f>
        <v>LM3102TLX-1-NOPB</v>
      </c>
      <c r="B6275" s="3" t="str">
        <f>HYPERLINK("https://www.773grp.com/manufacturer/national-semiconductor?pageNo=110", "National Semiconductor")</f>
        <v>National Semiconductor</v>
      </c>
      <c r="C6275" s="6">
        <v>1000</v>
      </c>
      <c r="D6275" s="7">
        <v>5.91</v>
      </c>
    </row>
    <row r="6276" spans="1:5" x14ac:dyDescent="0.25">
      <c r="A6276" t="str">
        <f>HYPERLINK("https://www.773grp.com/globalSearch/LM3464AMHX-NOPB/page-1", "LM3464AMHX-NOPB")</f>
        <v>LM3464AMHX-NOPB</v>
      </c>
      <c r="B6276" s="3" t="str">
        <f>HYPERLINK("https://www.773grp.com/manufacturer/national-semiconductor?pageNo=111", "National Semiconductor")</f>
        <v>National Semiconductor</v>
      </c>
      <c r="C6276" s="6">
        <v>15000</v>
      </c>
      <c r="D6276" s="7">
        <v>5.91</v>
      </c>
    </row>
    <row r="6277" spans="1:5" x14ac:dyDescent="0.25">
      <c r="A6277" t="str">
        <f>HYPERLINK("https://www.773grp.com/globalSearch/LM5005MH-NOPB/page-1", "LM5005MH-NOPB")</f>
        <v>LM5005MH-NOPB</v>
      </c>
      <c r="B6277" s="3" t="str">
        <f>HYPERLINK("https://www.773grp.com/manufacturer/national-semiconductor?pageNo=112", "National Semiconductor")</f>
        <v>National Semiconductor</v>
      </c>
      <c r="C6277" s="6">
        <v>3695</v>
      </c>
      <c r="D6277" s="7">
        <v>5.91</v>
      </c>
      <c r="E6277" t="s">
        <v>7</v>
      </c>
    </row>
    <row r="6278" spans="1:5" x14ac:dyDescent="0.25">
      <c r="A6278" t="str">
        <f>HYPERLINK("https://www.773grp.com/globalSearch/LM5010AQ1MH-NOPB/page-1", "LM5010AQ1MH-NOPB")</f>
        <v>LM5010AQ1MH-NOPB</v>
      </c>
      <c r="B6278" s="3" t="str">
        <f>HYPERLINK("https://www.773grp.com/manufacturer/national-semiconductor?pageNo=113", "National Semiconductor")</f>
        <v>National Semiconductor</v>
      </c>
      <c r="C6278" s="6">
        <v>126</v>
      </c>
      <c r="D6278" s="7">
        <v>5.91</v>
      </c>
    </row>
    <row r="6279" spans="1:5" x14ac:dyDescent="0.25">
      <c r="A6279" t="str">
        <f>HYPERLINK("https://www.773grp.com/globalSearch/LM5039MH-NOPB/page-1", "LM5039MH-NOPB")</f>
        <v>LM5039MH-NOPB</v>
      </c>
      <c r="B6279" s="3" t="str">
        <f>HYPERLINK("https://www.773grp.com/manufacturer/national-semiconductor?pageNo=114", "National Semiconductor")</f>
        <v>National Semiconductor</v>
      </c>
      <c r="C6279" s="6">
        <v>303</v>
      </c>
      <c r="D6279" s="7">
        <v>5.91</v>
      </c>
    </row>
    <row r="6280" spans="1:5" x14ac:dyDescent="0.25">
      <c r="A6280" t="str">
        <f>HYPERLINK("https://www.773grp.com/globalSearch/LM5642MH-NOPB/page-1", "LM5642MH-NOPB")</f>
        <v>LM5642MH-NOPB</v>
      </c>
      <c r="B6280" s="3" t="str">
        <f>HYPERLINK("https://www.773grp.com/manufacturer/national-semiconductor?pageNo=115", "National Semiconductor")</f>
        <v>National Semiconductor</v>
      </c>
      <c r="C6280" s="6">
        <v>1152</v>
      </c>
      <c r="D6280" s="7">
        <v>5.91</v>
      </c>
      <c r="E6280" t="s">
        <v>7</v>
      </c>
    </row>
    <row r="6281" spans="1:5" x14ac:dyDescent="0.25">
      <c r="A6281" t="str">
        <f>HYPERLINK("https://www.773grp.com/globalSearch/LM5642MTC-NOPB/page-1", "LM5642MTC-NOPB")</f>
        <v>LM5642MTC-NOPB</v>
      </c>
      <c r="B6281" s="3" t="str">
        <f>HYPERLINK("https://www.773grp.com/manufacturer/national-semiconductor?pageNo=116", "National Semiconductor")</f>
        <v>National Semiconductor</v>
      </c>
      <c r="C6281" s="6">
        <v>8679</v>
      </c>
      <c r="D6281" s="7">
        <v>5.91</v>
      </c>
      <c r="E6281" t="s">
        <v>7</v>
      </c>
    </row>
    <row r="6282" spans="1:5" x14ac:dyDescent="0.25">
      <c r="A6282" t="str">
        <f>HYPERLINK("https://www.773grp.com/globalSearch/LM5642XMH-NOPB/page-1", "LM5642XMH-NOPB")</f>
        <v>LM5642XMH-NOPB</v>
      </c>
      <c r="B6282" s="3" t="str">
        <f>HYPERLINK("https://www.773grp.com/manufacturer/national-semiconductor?pageNo=117", "National Semiconductor")</f>
        <v>National Semiconductor</v>
      </c>
      <c r="C6282" s="6">
        <v>80</v>
      </c>
      <c r="D6282" s="7">
        <v>5.91</v>
      </c>
    </row>
    <row r="6283" spans="1:5" x14ac:dyDescent="0.25">
      <c r="A6283" t="str">
        <f>HYPERLINK("https://www.773grp.com/globalSearch/LM5642XMT-NOPB/page-1", "LM5642XMT-NOPB")</f>
        <v>LM5642XMT-NOPB</v>
      </c>
      <c r="B6283" s="3" t="str">
        <f>HYPERLINK("https://www.773grp.com/manufacturer/national-semiconductor?pageNo=118", "National Semiconductor")</f>
        <v>National Semiconductor</v>
      </c>
      <c r="C6283" s="6">
        <v>4030</v>
      </c>
      <c r="D6283" s="7">
        <v>5.91</v>
      </c>
    </row>
    <row r="6284" spans="1:5" x14ac:dyDescent="0.25">
      <c r="A6284" t="str">
        <f>HYPERLINK("https://www.773grp.com/globalSearch/LMP7704MT-NOPB/page-1", "LMP7704MT-NOPB")</f>
        <v>LMP7704MT-NOPB</v>
      </c>
      <c r="B6284" s="3" t="str">
        <f>HYPERLINK("https://www.773grp.com/manufacturer/national-semiconductor?pageNo=119", "National Semiconductor")</f>
        <v>National Semiconductor</v>
      </c>
      <c r="C6284" s="6">
        <v>74</v>
      </c>
      <c r="D6284" s="7">
        <v>5.91</v>
      </c>
      <c r="E6284" t="s">
        <v>13</v>
      </c>
    </row>
    <row r="6285" spans="1:5" x14ac:dyDescent="0.25">
      <c r="A6285" t="str">
        <f>HYPERLINK("https://www.773grp.com/globalSearch/LP3873ES-1.8-NOPB/page-1", "LP3873ES-1.8-NOPB")</f>
        <v>LP3873ES-1.8-NOPB</v>
      </c>
      <c r="B6285" s="3" t="str">
        <f>HYPERLINK("https://www.773grp.com/manufacturer/national-semiconductor?pageNo=120", "National Semiconductor")</f>
        <v>National Semiconductor</v>
      </c>
      <c r="C6285" s="6">
        <v>363</v>
      </c>
      <c r="D6285" s="7">
        <v>5.91</v>
      </c>
      <c r="E6285" t="s">
        <v>19</v>
      </c>
    </row>
    <row r="6286" spans="1:5" x14ac:dyDescent="0.25">
      <c r="A6286" t="str">
        <f>HYPERLINK("https://www.773grp.com/globalSearch/LP3873ES-2.5-NOPB/page-1", "LP3873ES-2.5-NOPB")</f>
        <v>LP3873ES-2.5-NOPB</v>
      </c>
      <c r="B6286" s="3" t="str">
        <f>HYPERLINK("https://www.773grp.com/manufacturer/national-semiconductor?pageNo=121", "National Semiconductor")</f>
        <v>National Semiconductor</v>
      </c>
      <c r="C6286" s="6">
        <v>354</v>
      </c>
      <c r="D6286" s="7">
        <v>5.91</v>
      </c>
      <c r="E6286" t="s">
        <v>19</v>
      </c>
    </row>
    <row r="6287" spans="1:5" x14ac:dyDescent="0.25">
      <c r="A6287" t="str">
        <f>HYPERLINK("https://www.773grp.com/globalSearch/LP3873ES-3.3-NOPB/page-1", "LP3873ES-3.3-NOPB")</f>
        <v>LP3873ES-3.3-NOPB</v>
      </c>
      <c r="B6287" s="3" t="str">
        <f>HYPERLINK("https://www.773grp.com/manufacturer/national-semiconductor?pageNo=122", "National Semiconductor")</f>
        <v>National Semiconductor</v>
      </c>
      <c r="C6287" s="6">
        <v>482</v>
      </c>
      <c r="D6287" s="7">
        <v>5.91</v>
      </c>
      <c r="E6287" t="s">
        <v>19</v>
      </c>
    </row>
    <row r="6288" spans="1:5" x14ac:dyDescent="0.25">
      <c r="A6288" t="str">
        <f>HYPERLINK("https://www.773grp.com/globalSearch/LP3873ES-5.0-NOPB/page-1", "LP3873ES-5.0-NOPB")</f>
        <v>LP3873ES-5.0-NOPB</v>
      </c>
      <c r="B6288" s="3" t="str">
        <f>HYPERLINK("https://www.773grp.com/manufacturer/national-semiconductor?pageNo=123", "National Semiconductor")</f>
        <v>National Semiconductor</v>
      </c>
      <c r="C6288" s="6">
        <v>90</v>
      </c>
      <c r="D6288" s="7">
        <v>5.91</v>
      </c>
      <c r="E6288" t="s">
        <v>19</v>
      </c>
    </row>
    <row r="6289" spans="1:5" x14ac:dyDescent="0.25">
      <c r="A6289" t="str">
        <f>HYPERLINK("https://www.773grp.com/globalSearch/LP3876ES-1.8-NOPB/page-1", "LP3876ES-1.8-NOPB")</f>
        <v>LP3876ES-1.8-NOPB</v>
      </c>
      <c r="B6289" s="3" t="str">
        <f>HYPERLINK("https://www.773grp.com/manufacturer/national-semiconductor?pageNo=124", "National Semiconductor")</f>
        <v>National Semiconductor</v>
      </c>
      <c r="C6289" s="6">
        <v>2676</v>
      </c>
      <c r="D6289" s="7">
        <v>5.91</v>
      </c>
      <c r="E6289" t="s">
        <v>19</v>
      </c>
    </row>
    <row r="6290" spans="1:5" x14ac:dyDescent="0.25">
      <c r="A6290" t="str">
        <f>HYPERLINK("https://www.773grp.com/globalSearch/LP3876ES-2.5-NOPB/page-1", "LP3876ES-2.5-NOPB")</f>
        <v>LP3876ES-2.5-NOPB</v>
      </c>
      <c r="B6290" s="3" t="str">
        <f>HYPERLINK("https://www.773grp.com/manufacturer/national-semiconductor?pageNo=125", "National Semiconductor")</f>
        <v>National Semiconductor</v>
      </c>
      <c r="C6290" s="6">
        <v>252</v>
      </c>
      <c r="D6290" s="7">
        <v>5.91</v>
      </c>
      <c r="E6290" t="s">
        <v>19</v>
      </c>
    </row>
    <row r="6291" spans="1:5" x14ac:dyDescent="0.25">
      <c r="A6291" t="str">
        <f>HYPERLINK("https://www.773grp.com/globalSearch/LP3876ES-3.3-NOPB/page-1", "LP3876ES-3.3-NOPB")</f>
        <v>LP3876ES-3.3-NOPB</v>
      </c>
      <c r="B6291" s="3" t="str">
        <f>HYPERLINK("https://www.773grp.com/manufacturer/national-semiconductor?pageNo=126", "National Semiconductor")</f>
        <v>National Semiconductor</v>
      </c>
      <c r="C6291" s="6">
        <v>315</v>
      </c>
      <c r="D6291" s="7">
        <v>5.91</v>
      </c>
      <c r="E6291" t="s">
        <v>19</v>
      </c>
    </row>
    <row r="6292" spans="1:5" x14ac:dyDescent="0.25">
      <c r="A6292" t="str">
        <f>HYPERLINK("https://www.773grp.com/globalSearch/LP3876ES-ADJ-NOPB/page-1", "LP3876ES-ADJ-NOPB")</f>
        <v>LP3876ES-ADJ-NOPB</v>
      </c>
      <c r="B6292" s="3" t="str">
        <f>HYPERLINK("https://www.773grp.com/manufacturer/national-semiconductor?pageNo=127", "National Semiconductor")</f>
        <v>National Semiconductor</v>
      </c>
      <c r="C6292" s="6">
        <v>1794</v>
      </c>
      <c r="D6292" s="7">
        <v>5.91</v>
      </c>
      <c r="E6292" t="s">
        <v>25</v>
      </c>
    </row>
    <row r="6293" spans="1:5" x14ac:dyDescent="0.25">
      <c r="A6293" t="str">
        <f>HYPERLINK("https://www.773grp.com/globalSearch/ADC0820CCWM/page-1", "ADC0820CCWM")</f>
        <v>ADC0820CCWM</v>
      </c>
      <c r="B6293" s="3" t="str">
        <f>HYPERLINK("https://www.773grp.com/manufacturer/national-semiconductor?pageNo=128", "National Semiconductor")</f>
        <v>National Semiconductor</v>
      </c>
      <c r="C6293" s="6">
        <v>174</v>
      </c>
      <c r="D6293" s="7">
        <v>5.91</v>
      </c>
      <c r="E6293" t="s">
        <v>39</v>
      </c>
    </row>
    <row r="6294" spans="1:5" x14ac:dyDescent="0.25">
      <c r="A6294" t="str">
        <f>HYPERLINK("https://www.773grp.com/globalSearch/DRV3204QPHPQ1/page-1", "DRV3204QPHPQ1")</f>
        <v>DRV3204QPHPQ1</v>
      </c>
      <c r="B6294" s="3" t="str">
        <f>HYPERLINK("https://www.773grp.com/manufacturer/national-semiconductor?pageNo=129", "National Semiconductor")</f>
        <v>National Semiconductor</v>
      </c>
      <c r="C6294" s="6">
        <v>119</v>
      </c>
      <c r="D6294" s="7">
        <v>5.91</v>
      </c>
    </row>
    <row r="6295" spans="1:5" x14ac:dyDescent="0.25">
      <c r="A6295" t="str">
        <f>HYPERLINK("https://www.773grp.com/globalSearch/LM22672QMR-5.0-NOPB/page-1", "LM22672QMR-5.0-NOPB")</f>
        <v>LM22672QMR-5.0-NOPB</v>
      </c>
      <c r="B6295" s="3" t="str">
        <f>HYPERLINK("https://www.773grp.com/manufacturer/national-semiconductor?pageNo=130", "National Semiconductor")</f>
        <v>National Semiconductor</v>
      </c>
      <c r="C6295" s="6">
        <v>4138</v>
      </c>
      <c r="D6295" s="7">
        <v>5.91</v>
      </c>
    </row>
    <row r="6296" spans="1:5" x14ac:dyDescent="0.25">
      <c r="A6296" t="str">
        <f>HYPERLINK("https://www.773grp.com/globalSearch/LM22672QMR-ADJ-NOPB/page-1", "LM22672QMR-ADJ-NOPB")</f>
        <v>LM22672QMR-ADJ-NOPB</v>
      </c>
      <c r="B6296" s="3" t="str">
        <f>HYPERLINK("https://www.773grp.com/manufacturer/national-semiconductor?pageNo=131", "National Semiconductor")</f>
        <v>National Semiconductor</v>
      </c>
      <c r="C6296" s="6">
        <v>4450</v>
      </c>
      <c r="D6296" s="7">
        <v>5.91</v>
      </c>
    </row>
    <row r="6297" spans="1:5" x14ac:dyDescent="0.25">
      <c r="A6297" t="str">
        <f>HYPERLINK("https://www.773grp.com/globalSearch/LM2575HVT-12-LF03/page-1", "LM2575HVT-12-LF03")</f>
        <v>LM2575HVT-12-LF03</v>
      </c>
      <c r="B6297" s="3" t="str">
        <f>HYPERLINK("https://www.773grp.com/manufacturer/national-semiconductor?pageNo=132", "National Semiconductor")</f>
        <v>National Semiconductor</v>
      </c>
      <c r="C6297" s="6">
        <v>495</v>
      </c>
      <c r="D6297" s="7">
        <v>5.91</v>
      </c>
    </row>
    <row r="6298" spans="1:5" x14ac:dyDescent="0.25">
      <c r="A6298" t="str">
        <f>HYPERLINK("https://www.773grp.com/globalSearch/LM2575HVT-12-NOPB/page-1", "LM2575HVT-12-NOPB")</f>
        <v>LM2575HVT-12-NOPB</v>
      </c>
      <c r="B6298" s="3" t="str">
        <f>HYPERLINK("https://www.773grp.com/manufacturer/national-semiconductor?pageNo=133", "National Semiconductor")</f>
        <v>National Semiconductor</v>
      </c>
      <c r="C6298" s="6">
        <v>180</v>
      </c>
      <c r="D6298" s="7">
        <v>5.91</v>
      </c>
    </row>
    <row r="6299" spans="1:5" x14ac:dyDescent="0.25">
      <c r="A6299" t="str">
        <f>HYPERLINK("https://www.773grp.com/globalSearch/LM2575HVT-15-NOPB/page-1", "LM2575HVT-15-NOPB")</f>
        <v>LM2575HVT-15-NOPB</v>
      </c>
      <c r="B6299" s="3" t="str">
        <f>HYPERLINK("https://www.773grp.com/manufacturer/national-semiconductor?pageNo=134", "National Semiconductor")</f>
        <v>National Semiconductor</v>
      </c>
      <c r="C6299" s="6">
        <v>90</v>
      </c>
      <c r="D6299" s="7">
        <v>5.91</v>
      </c>
    </row>
    <row r="6300" spans="1:5" x14ac:dyDescent="0.25">
      <c r="A6300" t="str">
        <f>HYPERLINK("https://www.773grp.com/globalSearch/LM2575HVT-3.3-NOPB/page-1", "LM2575HVT-3.3-NOPB")</f>
        <v>LM2575HVT-3.3-NOPB</v>
      </c>
      <c r="B6300" s="3" t="str">
        <f>HYPERLINK("https://www.773grp.com/manufacturer/national-semiconductor?pageNo=1", "National Semiconductor")</f>
        <v>National Semiconductor</v>
      </c>
      <c r="C6300" s="6">
        <v>265</v>
      </c>
      <c r="D6300" s="7">
        <v>5.91</v>
      </c>
    </row>
    <row r="6301" spans="1:5" x14ac:dyDescent="0.25">
      <c r="A6301" t="str">
        <f>HYPERLINK("https://www.773grp.com/globalSearch/LM2575HVT-5.0-LF03/page-1", "LM2575HVT-5.0-LF03")</f>
        <v>LM2575HVT-5.0-LF03</v>
      </c>
      <c r="B6301" s="3" t="str">
        <f>HYPERLINK("https://www.773grp.com/manufacturer/national-semiconductor?pageNo=2", "National Semiconductor")</f>
        <v>National Semiconductor</v>
      </c>
      <c r="C6301" s="6">
        <v>3320</v>
      </c>
      <c r="D6301" s="7">
        <v>5.91</v>
      </c>
    </row>
    <row r="6302" spans="1:5" x14ac:dyDescent="0.25">
      <c r="A6302" t="str">
        <f>HYPERLINK("https://www.773grp.com/globalSearch/LM2575HVT-5.0-NOPB/page-1", "LM2575HVT-5.0-NOPB")</f>
        <v>LM2575HVT-5.0-NOPB</v>
      </c>
      <c r="B6302" s="3" t="str">
        <f>HYPERLINK("https://www.773grp.com/manufacturer/national-semiconductor?pageNo=3", "National Semiconductor")</f>
        <v>National Semiconductor</v>
      </c>
      <c r="C6302" s="6">
        <v>4745</v>
      </c>
      <c r="D6302" s="7">
        <v>5.91</v>
      </c>
    </row>
    <row r="6303" spans="1:5" x14ac:dyDescent="0.25">
      <c r="A6303" t="str">
        <f>HYPERLINK("https://www.773grp.com/globalSearch/LM2575HVT-ADJ-LF03/page-1", "LM2575HVT-ADJ-LF03")</f>
        <v>LM2575HVT-ADJ-LF03</v>
      </c>
      <c r="B6303" s="3" t="str">
        <f>HYPERLINK("https://www.773grp.com/manufacturer/national-semiconductor?pageNo=4", "National Semiconductor")</f>
        <v>National Semiconductor</v>
      </c>
      <c r="C6303" s="6">
        <v>2315</v>
      </c>
      <c r="D6303" s="7">
        <v>5.91</v>
      </c>
    </row>
    <row r="6304" spans="1:5" x14ac:dyDescent="0.25">
      <c r="A6304" t="str">
        <f>HYPERLINK("https://www.773grp.com/globalSearch/LM2575HVT-ADJ-NOPB/page-1", "LM2575HVT-ADJ-NOPB")</f>
        <v>LM2575HVT-ADJ-NOPB</v>
      </c>
      <c r="B6304" s="3" t="str">
        <f>HYPERLINK("https://www.773grp.com/manufacturer/national-semiconductor?pageNo=5", "National Semiconductor")</f>
        <v>National Semiconductor</v>
      </c>
      <c r="C6304" s="6">
        <v>6145</v>
      </c>
      <c r="D6304" s="7">
        <v>5.91</v>
      </c>
      <c r="E6304" t="s">
        <v>7</v>
      </c>
    </row>
    <row r="6305" spans="1:5" x14ac:dyDescent="0.25">
      <c r="A6305" t="str">
        <f>HYPERLINK("https://www.773grp.com/globalSearch/LM26001MXA-NOPB/page-1", "LM26001MXA-NOPB")</f>
        <v>LM26001MXA-NOPB</v>
      </c>
      <c r="B6305" s="3" t="str">
        <f>HYPERLINK("https://www.773grp.com/manufacturer/national-semiconductor?pageNo=6", "National Semiconductor")</f>
        <v>National Semiconductor</v>
      </c>
      <c r="C6305" s="6">
        <v>328</v>
      </c>
      <c r="D6305" s="7">
        <v>5.91</v>
      </c>
    </row>
    <row r="6306" spans="1:5" x14ac:dyDescent="0.25">
      <c r="A6306" t="str">
        <f>HYPERLINK("https://www.773grp.com/globalSearch/LM26003MHX-NOPB/page-1", "LM26003MHX-NOPB")</f>
        <v>LM26003MHX-NOPB</v>
      </c>
      <c r="B6306" s="3" t="str">
        <f>HYPERLINK("https://www.773grp.com/manufacturer/national-semiconductor?pageNo=7", "National Semiconductor")</f>
        <v>National Semiconductor</v>
      </c>
      <c r="C6306" s="6">
        <v>5000</v>
      </c>
      <c r="D6306" s="7">
        <v>5.91</v>
      </c>
    </row>
    <row r="6307" spans="1:5" x14ac:dyDescent="0.25">
      <c r="A6307" t="str">
        <f>HYPERLINK("https://www.773grp.com/globalSearch/LM26400YSD-NOPB/page-1", "LM26400YSD-NOPB")</f>
        <v>LM26400YSD-NOPB</v>
      </c>
      <c r="B6307" s="3" t="str">
        <f>HYPERLINK("https://www.773grp.com/manufacturer/national-semiconductor?pageNo=8", "National Semiconductor")</f>
        <v>National Semiconductor</v>
      </c>
      <c r="C6307" s="6">
        <v>1994</v>
      </c>
      <c r="D6307" s="7">
        <v>5.91</v>
      </c>
    </row>
    <row r="6308" spans="1:5" x14ac:dyDescent="0.25">
      <c r="A6308" t="str">
        <f>HYPERLINK("https://www.773grp.com/globalSearch/LM26400YSD-NOPB/page-1", "LM26400YSD-NOPB")</f>
        <v>LM26400YSD-NOPB</v>
      </c>
      <c r="B6308" s="3" t="str">
        <f>HYPERLINK("https://www.773grp.com/manufacturer/national-semiconductor?pageNo=9", "National Semiconductor")</f>
        <v>National Semiconductor</v>
      </c>
      <c r="C6308" s="6">
        <v>3</v>
      </c>
      <c r="D6308" s="7">
        <v>5.91</v>
      </c>
    </row>
    <row r="6309" spans="1:5" x14ac:dyDescent="0.25">
      <c r="A6309" t="str">
        <f>HYPERLINK("https://www.773grp.com/globalSearch/LM2853MH-0.8-NOPB/page-1", "LM2853MH-0.8-NOPB")</f>
        <v>LM2853MH-0.8-NOPB</v>
      </c>
      <c r="B6309" s="3" t="str">
        <f>HYPERLINK("https://www.773grp.com/manufacturer/national-semiconductor?pageNo=10", "National Semiconductor")</f>
        <v>National Semiconductor</v>
      </c>
      <c r="C6309" s="6">
        <v>270</v>
      </c>
      <c r="D6309" s="7">
        <v>5.91</v>
      </c>
    </row>
    <row r="6310" spans="1:5" x14ac:dyDescent="0.25">
      <c r="A6310" t="str">
        <f>HYPERLINK("https://www.773grp.com/globalSearch/LM2853MH-1.0-NOPB/page-1", "LM2853MH-1.0-NOPB")</f>
        <v>LM2853MH-1.0-NOPB</v>
      </c>
      <c r="B6310" s="3" t="str">
        <f>HYPERLINK("https://www.773grp.com/manufacturer/national-semiconductor?pageNo=11", "National Semiconductor")</f>
        <v>National Semiconductor</v>
      </c>
      <c r="C6310" s="6">
        <v>1731</v>
      </c>
      <c r="D6310" s="7">
        <v>5.91</v>
      </c>
    </row>
    <row r="6311" spans="1:5" x14ac:dyDescent="0.25">
      <c r="A6311" t="str">
        <f>HYPERLINK("https://www.773grp.com/globalSearch/LM2853MH-1.2-NOPB/page-1", "LM2853MH-1.2-NOPB")</f>
        <v>LM2853MH-1.2-NOPB</v>
      </c>
      <c r="B6311" s="3" t="str">
        <f>HYPERLINK("https://www.773grp.com/manufacturer/national-semiconductor?pageNo=12", "National Semiconductor")</f>
        <v>National Semiconductor</v>
      </c>
      <c r="C6311" s="6">
        <v>252</v>
      </c>
      <c r="D6311" s="7">
        <v>5.91</v>
      </c>
    </row>
    <row r="6312" spans="1:5" x14ac:dyDescent="0.25">
      <c r="A6312" t="str">
        <f>HYPERLINK("https://www.773grp.com/globalSearch/LM2853MH-1.5-NOPB/page-1", "LM2853MH-1.5-NOPB")</f>
        <v>LM2853MH-1.5-NOPB</v>
      </c>
      <c r="B6312" s="3" t="str">
        <f>HYPERLINK("https://www.773grp.com/manufacturer/national-semiconductor?pageNo=13", "National Semiconductor")</f>
        <v>National Semiconductor</v>
      </c>
      <c r="C6312" s="6">
        <v>724</v>
      </c>
      <c r="D6312" s="7">
        <v>5.91</v>
      </c>
      <c r="E6312" t="s">
        <v>7</v>
      </c>
    </row>
    <row r="6313" spans="1:5" x14ac:dyDescent="0.25">
      <c r="A6313" t="str">
        <f>HYPERLINK("https://www.773grp.com/globalSearch/LM2853MH-1.8-NOPB/page-1", "LM2853MH-1.8-NOPB")</f>
        <v>LM2853MH-1.8-NOPB</v>
      </c>
      <c r="B6313" s="3" t="str">
        <f>HYPERLINK("https://www.773grp.com/manufacturer/national-semiconductor?pageNo=14", "National Semiconductor")</f>
        <v>National Semiconductor</v>
      </c>
      <c r="C6313" s="6">
        <v>465</v>
      </c>
      <c r="D6313" s="7">
        <v>5.91</v>
      </c>
    </row>
    <row r="6314" spans="1:5" x14ac:dyDescent="0.25">
      <c r="A6314" t="str">
        <f>HYPERLINK("https://www.773grp.com/globalSearch/LM2853MH-2.5-NOPB/page-1", "LM2853MH-2.5-NOPB")</f>
        <v>LM2853MH-2.5-NOPB</v>
      </c>
      <c r="B6314" s="3" t="str">
        <f>HYPERLINK("https://www.773grp.com/manufacturer/national-semiconductor?pageNo=15", "National Semiconductor")</f>
        <v>National Semiconductor</v>
      </c>
      <c r="C6314" s="6">
        <v>575</v>
      </c>
      <c r="D6314" s="7">
        <v>5.91</v>
      </c>
    </row>
    <row r="6315" spans="1:5" x14ac:dyDescent="0.25">
      <c r="A6315" t="str">
        <f>HYPERLINK("https://www.773grp.com/globalSearch/LM2853MH-3.0-NOPB/page-1", "LM2853MH-3.0-NOPB")</f>
        <v>LM2853MH-3.0-NOPB</v>
      </c>
      <c r="B6315" s="3" t="str">
        <f>HYPERLINK("https://www.773grp.com/manufacturer/national-semiconductor?pageNo=16", "National Semiconductor")</f>
        <v>National Semiconductor</v>
      </c>
      <c r="C6315" s="6">
        <v>2968</v>
      </c>
      <c r="D6315" s="7">
        <v>5.91</v>
      </c>
    </row>
    <row r="6316" spans="1:5" x14ac:dyDescent="0.25">
      <c r="A6316" t="str">
        <f>HYPERLINK("https://www.773grp.com/globalSearch/LM2853MH-3.3-NOPB/page-1", "LM2853MH-3.3-NOPB")</f>
        <v>LM2853MH-3.3-NOPB</v>
      </c>
      <c r="B6316" s="3" t="str">
        <f>HYPERLINK("https://www.773grp.com/manufacturer/national-semiconductor?pageNo=17", "National Semiconductor")</f>
        <v>National Semiconductor</v>
      </c>
      <c r="C6316" s="6">
        <v>268</v>
      </c>
      <c r="D6316" s="7">
        <v>5.91</v>
      </c>
      <c r="E6316" t="s">
        <v>7</v>
      </c>
    </row>
    <row r="6317" spans="1:5" x14ac:dyDescent="0.25">
      <c r="A6317" t="str">
        <f>HYPERLINK("https://www.773grp.com/globalSearch/LM3102TLX-1-NOPB/page-1", "LM3102TLX-1-NOPB")</f>
        <v>LM3102TLX-1-NOPB</v>
      </c>
      <c r="B6317" s="3" t="str">
        <f>HYPERLINK("https://www.773grp.com/manufacturer/national-semiconductor?pageNo=18", "National Semiconductor")</f>
        <v>National Semiconductor</v>
      </c>
      <c r="C6317" s="6">
        <v>3000</v>
      </c>
      <c r="D6317" s="7">
        <v>5.91</v>
      </c>
    </row>
    <row r="6318" spans="1:5" x14ac:dyDescent="0.25">
      <c r="A6318" t="str">
        <f>HYPERLINK("https://www.773grp.com/globalSearch/LM5005MH-NOPB/page-1", "LM5005MH-NOPB")</f>
        <v>LM5005MH-NOPB</v>
      </c>
      <c r="B6318" s="3" t="str">
        <f>HYPERLINK("https://www.773grp.com/manufacturer/national-semiconductor?pageNo=19", "National Semiconductor")</f>
        <v>National Semiconductor</v>
      </c>
      <c r="C6318" s="6">
        <v>207</v>
      </c>
      <c r="D6318" s="7">
        <v>5.91</v>
      </c>
      <c r="E6318" t="s">
        <v>7</v>
      </c>
    </row>
    <row r="6319" spans="1:5" x14ac:dyDescent="0.25">
      <c r="A6319" t="str">
        <f>HYPERLINK("https://www.773grp.com/globalSearch/LM5010AQ1MH-NOPB/page-1", "LM5010AQ1MH-NOPB")</f>
        <v>LM5010AQ1MH-NOPB</v>
      </c>
      <c r="B6319" s="3" t="str">
        <f>HYPERLINK("https://www.773grp.com/manufacturer/national-semiconductor?pageNo=20", "National Semiconductor")</f>
        <v>National Semiconductor</v>
      </c>
      <c r="C6319" s="6">
        <v>1366</v>
      </c>
      <c r="D6319" s="7">
        <v>5.91</v>
      </c>
    </row>
    <row r="6320" spans="1:5" x14ac:dyDescent="0.25">
      <c r="A6320" t="str">
        <f>HYPERLINK("https://www.773grp.com/globalSearch/LM5039MH-NOPB/page-1", "LM5039MH-NOPB")</f>
        <v>LM5039MH-NOPB</v>
      </c>
      <c r="B6320" s="3" t="str">
        <f>HYPERLINK("https://www.773grp.com/manufacturer/national-semiconductor?pageNo=21", "National Semiconductor")</f>
        <v>National Semiconductor</v>
      </c>
      <c r="C6320" s="6">
        <v>504</v>
      </c>
      <c r="D6320" s="7">
        <v>5.91</v>
      </c>
    </row>
    <row r="6321" spans="1:5" x14ac:dyDescent="0.25">
      <c r="A6321" t="str">
        <f>HYPERLINK("https://www.773grp.com/globalSearch/LM5642MH-NOPB/page-1", "LM5642MH-NOPB")</f>
        <v>LM5642MH-NOPB</v>
      </c>
      <c r="B6321" s="3" t="str">
        <f>HYPERLINK("https://www.773grp.com/manufacturer/national-semiconductor?pageNo=22", "National Semiconductor")</f>
        <v>National Semiconductor</v>
      </c>
      <c r="C6321" s="6">
        <v>304</v>
      </c>
      <c r="D6321" s="7">
        <v>5.91</v>
      </c>
      <c r="E6321" t="s">
        <v>7</v>
      </c>
    </row>
    <row r="6322" spans="1:5" x14ac:dyDescent="0.25">
      <c r="A6322" t="str">
        <f>HYPERLINK("https://www.773grp.com/globalSearch/LM5642MTC-NOPB/page-1", "LM5642MTC-NOPB")</f>
        <v>LM5642MTC-NOPB</v>
      </c>
      <c r="B6322" s="3" t="str">
        <f>HYPERLINK("https://www.773grp.com/manufacturer/national-semiconductor?pageNo=23", "National Semiconductor")</f>
        <v>National Semiconductor</v>
      </c>
      <c r="C6322" s="6">
        <v>685</v>
      </c>
      <c r="D6322" s="7">
        <v>5.91</v>
      </c>
      <c r="E6322" t="s">
        <v>7</v>
      </c>
    </row>
    <row r="6323" spans="1:5" x14ac:dyDescent="0.25">
      <c r="A6323" t="str">
        <f>HYPERLINK("https://www.773grp.com/globalSearch/LM5642XMH-NOPB/page-1", "LM5642XMH-NOPB")</f>
        <v>LM5642XMH-NOPB</v>
      </c>
      <c r="B6323" s="3" t="str">
        <f>HYPERLINK("https://www.773grp.com/manufacturer/national-semiconductor?pageNo=24", "National Semiconductor")</f>
        <v>National Semiconductor</v>
      </c>
      <c r="C6323" s="6">
        <v>653</v>
      </c>
      <c r="D6323" s="7">
        <v>5.91</v>
      </c>
    </row>
    <row r="6324" spans="1:5" x14ac:dyDescent="0.25">
      <c r="A6324" t="str">
        <f>HYPERLINK("https://www.773grp.com/globalSearch/LM5642XMT-NOPB/page-1", "LM5642XMT-NOPB")</f>
        <v>LM5642XMT-NOPB</v>
      </c>
      <c r="B6324" s="3" t="str">
        <f>HYPERLINK("https://www.773grp.com/manufacturer/national-semiconductor?pageNo=25", "National Semiconductor")</f>
        <v>National Semiconductor</v>
      </c>
      <c r="C6324" s="6">
        <v>230</v>
      </c>
      <c r="D6324" s="7">
        <v>5.91</v>
      </c>
    </row>
    <row r="6325" spans="1:5" x14ac:dyDescent="0.25">
      <c r="A6325" t="str">
        <f>HYPERLINK("https://www.773grp.com/globalSearch/LM6142BIN/page-1", "LM6142BIN")</f>
        <v>LM6142BIN</v>
      </c>
      <c r="B6325" s="3" t="str">
        <f>HYPERLINK("https://www.773grp.com/manufacturer/national-semiconductor?pageNo=26", "National Semiconductor")</f>
        <v>National Semiconductor</v>
      </c>
      <c r="C6325" s="6">
        <v>320</v>
      </c>
      <c r="D6325" s="7">
        <v>5.91</v>
      </c>
      <c r="E6325" t="s">
        <v>13</v>
      </c>
    </row>
    <row r="6326" spans="1:5" x14ac:dyDescent="0.25">
      <c r="A6326" t="str">
        <f>HYPERLINK("https://www.773grp.com/globalSearch/LMP7704MA-NOPB/page-1", "LMP7704MA-NOPB")</f>
        <v>LMP7704MA-NOPB</v>
      </c>
      <c r="B6326" s="3" t="str">
        <f>HYPERLINK("https://www.773grp.com/manufacturer/national-semiconductor?pageNo=27", "National Semiconductor")</f>
        <v>National Semiconductor</v>
      </c>
      <c r="C6326" s="6">
        <v>108</v>
      </c>
      <c r="D6326" s="7">
        <v>5.91</v>
      </c>
    </row>
    <row r="6327" spans="1:5" x14ac:dyDescent="0.25">
      <c r="A6327" t="str">
        <f>HYPERLINK("https://www.773grp.com/globalSearch/LMP7704MT-NOPB/page-1", "LMP7704MT-NOPB")</f>
        <v>LMP7704MT-NOPB</v>
      </c>
      <c r="B6327" s="3" t="str">
        <f>HYPERLINK("https://www.773grp.com/manufacturer/national-semiconductor?pageNo=28", "National Semiconductor")</f>
        <v>National Semiconductor</v>
      </c>
      <c r="C6327" s="6">
        <v>4</v>
      </c>
      <c r="D6327" s="7">
        <v>5.91</v>
      </c>
      <c r="E6327" t="s">
        <v>13</v>
      </c>
    </row>
    <row r="6328" spans="1:5" x14ac:dyDescent="0.25">
      <c r="A6328" t="str">
        <f>HYPERLINK("https://www.773grp.com/globalSearch/LP3873ES-1.8-NOPB/page-1", "LP3873ES-1.8-NOPB")</f>
        <v>LP3873ES-1.8-NOPB</v>
      </c>
      <c r="B6328" s="3" t="str">
        <f>HYPERLINK("https://www.773grp.com/manufacturer/national-semiconductor?pageNo=29", "National Semiconductor")</f>
        <v>National Semiconductor</v>
      </c>
      <c r="C6328" s="6">
        <v>195</v>
      </c>
      <c r="D6328" s="7">
        <v>5.91</v>
      </c>
      <c r="E6328" t="s">
        <v>19</v>
      </c>
    </row>
    <row r="6329" spans="1:5" x14ac:dyDescent="0.25">
      <c r="A6329" t="str">
        <f>HYPERLINK("https://www.773grp.com/globalSearch/LP3873ES-1.8-NOPB/page-1", "LP3873ES-1.8-NOPB")</f>
        <v>LP3873ES-1.8-NOPB</v>
      </c>
      <c r="B6329" s="3" t="str">
        <f>HYPERLINK("https://www.773grp.com/manufacturer/national-semiconductor?pageNo=30", "National Semiconductor")</f>
        <v>National Semiconductor</v>
      </c>
      <c r="C6329" s="6">
        <v>1020</v>
      </c>
      <c r="D6329" s="7">
        <v>5.91</v>
      </c>
      <c r="E6329" t="s">
        <v>19</v>
      </c>
    </row>
    <row r="6330" spans="1:5" x14ac:dyDescent="0.25">
      <c r="A6330" t="str">
        <f>HYPERLINK("https://www.773grp.com/globalSearch/LP3873ES-3.3-NOPB/page-1", "LP3873ES-3.3-NOPB")</f>
        <v>LP3873ES-3.3-NOPB</v>
      </c>
      <c r="B6330" s="3" t="str">
        <f>HYPERLINK("https://www.773grp.com/manufacturer/national-semiconductor?pageNo=31", "National Semiconductor")</f>
        <v>National Semiconductor</v>
      </c>
      <c r="C6330" s="6">
        <v>1788</v>
      </c>
      <c r="D6330" s="7">
        <v>5.91</v>
      </c>
      <c r="E6330" t="s">
        <v>19</v>
      </c>
    </row>
    <row r="6331" spans="1:5" x14ac:dyDescent="0.25">
      <c r="A6331" t="str">
        <f>HYPERLINK("https://www.773grp.com/globalSearch/LP3873ES-5.0-NOPB/page-1", "LP3873ES-5.0-NOPB")</f>
        <v>LP3873ES-5.0-NOPB</v>
      </c>
      <c r="B6331" s="3" t="str">
        <f>HYPERLINK("https://www.773grp.com/manufacturer/national-semiconductor?pageNo=32", "National Semiconductor")</f>
        <v>National Semiconductor</v>
      </c>
      <c r="C6331" s="6">
        <v>1713</v>
      </c>
      <c r="D6331" s="7">
        <v>5.91</v>
      </c>
      <c r="E6331" t="s">
        <v>19</v>
      </c>
    </row>
    <row r="6332" spans="1:5" x14ac:dyDescent="0.25">
      <c r="A6332" t="str">
        <f>HYPERLINK("https://www.773grp.com/globalSearch/LP3876ES-1.8-NOPB/page-1", "LP3876ES-1.8-NOPB")</f>
        <v>LP3876ES-1.8-NOPB</v>
      </c>
      <c r="B6332" s="3" t="str">
        <f>HYPERLINK("https://www.773grp.com/manufacturer/national-semiconductor?pageNo=33", "National Semiconductor")</f>
        <v>National Semiconductor</v>
      </c>
      <c r="C6332" s="6">
        <v>246</v>
      </c>
      <c r="D6332" s="7">
        <v>5.91</v>
      </c>
      <c r="E6332" t="s">
        <v>19</v>
      </c>
    </row>
    <row r="6333" spans="1:5" x14ac:dyDescent="0.25">
      <c r="A6333" t="str">
        <f>HYPERLINK("https://www.773grp.com/globalSearch/LP3876ES-2.5-NOPB/page-1", "LP3876ES-2.5-NOPB")</f>
        <v>LP3876ES-2.5-NOPB</v>
      </c>
      <c r="B6333" s="3" t="str">
        <f>HYPERLINK("https://www.773grp.com/manufacturer/national-semiconductor?pageNo=34", "National Semiconductor")</f>
        <v>National Semiconductor</v>
      </c>
      <c r="C6333" s="6">
        <v>296</v>
      </c>
      <c r="D6333" s="7">
        <v>5.91</v>
      </c>
      <c r="E6333" t="s">
        <v>19</v>
      </c>
    </row>
    <row r="6334" spans="1:5" x14ac:dyDescent="0.25">
      <c r="A6334" t="str">
        <f>HYPERLINK("https://www.773grp.com/globalSearch/LP3876ES-3.3-NOPB/page-1", "LP3876ES-3.3-NOPB")</f>
        <v>LP3876ES-3.3-NOPB</v>
      </c>
      <c r="B6334" s="3" t="str">
        <f>HYPERLINK("https://www.773grp.com/manufacturer/national-semiconductor?pageNo=35", "National Semiconductor")</f>
        <v>National Semiconductor</v>
      </c>
      <c r="C6334" s="6">
        <v>650</v>
      </c>
      <c r="D6334" s="7">
        <v>5.91</v>
      </c>
      <c r="E6334" t="s">
        <v>19</v>
      </c>
    </row>
    <row r="6335" spans="1:5" x14ac:dyDescent="0.25">
      <c r="A6335" t="str">
        <f>HYPERLINK("https://www.773grp.com/globalSearch/LP3876ES-5.0-NOPB/page-1", "LP3876ES-5.0-NOPB")</f>
        <v>LP3876ES-5.0-NOPB</v>
      </c>
      <c r="B6335" s="3" t="str">
        <f>HYPERLINK("https://www.773grp.com/manufacturer/national-semiconductor?pageNo=36", "National Semiconductor")</f>
        <v>National Semiconductor</v>
      </c>
      <c r="C6335" s="6">
        <v>1655</v>
      </c>
      <c r="D6335" s="7">
        <v>5.91</v>
      </c>
    </row>
    <row r="6336" spans="1:5" x14ac:dyDescent="0.25">
      <c r="A6336" t="str">
        <f>HYPERLINK("https://www.773grp.com/globalSearch/LP3876ES-ADJ-NOPB/page-1", "LP3876ES-ADJ-NOPB")</f>
        <v>LP3876ES-ADJ-NOPB</v>
      </c>
      <c r="B6336" s="3" t="str">
        <f>HYPERLINK("https://www.773grp.com/manufacturer/national-semiconductor?pageNo=37", "National Semiconductor")</f>
        <v>National Semiconductor</v>
      </c>
      <c r="C6336" s="6">
        <v>225</v>
      </c>
      <c r="D6336" s="7">
        <v>5.91</v>
      </c>
      <c r="E6336" t="s">
        <v>25</v>
      </c>
    </row>
    <row r="6337" spans="1:5" x14ac:dyDescent="0.25">
      <c r="A6337" t="str">
        <f>HYPERLINK("https://www.773grp.com/globalSearch/MSP430AFE233IPWR/page-1", "MSP430AFE233IPWR")</f>
        <v>MSP430AFE233IPWR</v>
      </c>
      <c r="B6337" s="3" t="str">
        <f>HYPERLINK("https://www.773grp.com/manufacturer/national-semiconductor?pageNo=38", "National Semiconductor")</f>
        <v>National Semiconductor</v>
      </c>
      <c r="C6337" s="6">
        <v>222</v>
      </c>
      <c r="D6337" s="7">
        <v>5.91</v>
      </c>
    </row>
    <row r="6338" spans="1:5" x14ac:dyDescent="0.25">
      <c r="A6338" t="str">
        <f>HYPERLINK("https://www.773grp.com/globalSearch/TMS320F280200PTT/page-1", "TMS320F280200PTT")</f>
        <v>TMS320F280200PTT</v>
      </c>
      <c r="B6338" s="3" t="str">
        <f>HYPERLINK("https://www.773grp.com/manufacturer/national-semiconductor?pageNo=39", "National Semiconductor")</f>
        <v>National Semiconductor</v>
      </c>
      <c r="C6338" s="6">
        <v>250</v>
      </c>
      <c r="D6338" s="7">
        <v>5.91</v>
      </c>
    </row>
    <row r="6339" spans="1:5" x14ac:dyDescent="0.25">
      <c r="A6339" t="str">
        <f>HYPERLINK("https://www.773grp.com/globalSearch/54ACT138DM/page-1", "54ACT138DM")</f>
        <v>54ACT138DM</v>
      </c>
      <c r="B6339" s="3" t="str">
        <f>HYPERLINK("https://www.773grp.com/manufacturer/national-semiconductor?pageNo=40", "National Semiconductor")</f>
        <v>National Semiconductor</v>
      </c>
      <c r="C6339" s="6">
        <v>241</v>
      </c>
      <c r="D6339" s="7">
        <v>5.94</v>
      </c>
      <c r="E6339" t="s">
        <v>36</v>
      </c>
    </row>
    <row r="6340" spans="1:5" x14ac:dyDescent="0.25">
      <c r="A6340" t="str">
        <f>HYPERLINK("https://www.773grp.com/globalSearch/54ACT139DM/page-1", "54ACT139DM")</f>
        <v>54ACT139DM</v>
      </c>
      <c r="B6340" s="3" t="str">
        <f>HYPERLINK("https://www.773grp.com/manufacturer/national-semiconductor?pageNo=41", "National Semiconductor")</f>
        <v>National Semiconductor</v>
      </c>
      <c r="C6340" s="6">
        <v>168</v>
      </c>
      <c r="D6340" s="7">
        <v>5.94</v>
      </c>
      <c r="E6340" t="s">
        <v>36</v>
      </c>
    </row>
    <row r="6341" spans="1:5" x14ac:dyDescent="0.25">
      <c r="A6341" t="str">
        <f>HYPERLINK("https://www.773grp.com/globalSearch/948PC/page-1", "948PC")</f>
        <v>948PC</v>
      </c>
      <c r="B6341" s="3" t="str">
        <f>HYPERLINK("https://www.773grp.com/manufacturer/national-semiconductor?pageNo=42", "National Semiconductor")</f>
        <v>National Semiconductor</v>
      </c>
      <c r="C6341" s="6">
        <v>118</v>
      </c>
      <c r="D6341" s="7">
        <v>5.94</v>
      </c>
    </row>
    <row r="6342" spans="1:5" x14ac:dyDescent="0.25">
      <c r="A6342" t="str">
        <f>HYPERLINK("https://www.773grp.com/globalSearch/CLC5622IM/page-1", "CLC5622IM")</f>
        <v>CLC5622IM</v>
      </c>
      <c r="B6342" s="3" t="str">
        <f>HYPERLINK("https://www.773grp.com/manufacturer/national-semiconductor?pageNo=43", "National Semiconductor")</f>
        <v>National Semiconductor</v>
      </c>
      <c r="C6342" s="6">
        <v>4589</v>
      </c>
      <c r="D6342" s="7">
        <v>5.94</v>
      </c>
      <c r="E6342" t="s">
        <v>13</v>
      </c>
    </row>
    <row r="6343" spans="1:5" x14ac:dyDescent="0.25">
      <c r="A6343" t="str">
        <f>HYPERLINK("https://www.773grp.com/globalSearch/CLC5622IN/page-1", "CLC5622IN")</f>
        <v>CLC5622IN</v>
      </c>
      <c r="B6343" s="3" t="str">
        <f>HYPERLINK("https://www.773grp.com/manufacturer/national-semiconductor?pageNo=44", "National Semiconductor")</f>
        <v>National Semiconductor</v>
      </c>
      <c r="C6343" s="6">
        <v>730</v>
      </c>
      <c r="D6343" s="7">
        <v>5.94</v>
      </c>
      <c r="E6343" t="s">
        <v>13</v>
      </c>
    </row>
    <row r="6344" spans="1:5" x14ac:dyDescent="0.25">
      <c r="A6344" t="str">
        <f>HYPERLINK("https://www.773grp.com/globalSearch/LM2852XMXAX-2.5/page-1", "LM2852XMXAX-2.5")</f>
        <v>LM2852XMXAX-2.5</v>
      </c>
      <c r="B6344" s="3" t="str">
        <f>HYPERLINK("https://www.773grp.com/manufacturer/national-semiconductor?pageNo=45", "National Semiconductor")</f>
        <v>National Semiconductor</v>
      </c>
      <c r="C6344" s="6">
        <v>2500</v>
      </c>
      <c r="D6344" s="7">
        <v>5.94</v>
      </c>
      <c r="E6344" t="s">
        <v>7</v>
      </c>
    </row>
    <row r="6345" spans="1:5" x14ac:dyDescent="0.25">
      <c r="A6345" t="str">
        <f>HYPERLINK("https://www.773grp.com/globalSearch/LM2990S-12/page-1", "LM2990S-12")</f>
        <v>LM2990S-12</v>
      </c>
      <c r="B6345" s="3" t="str">
        <f>HYPERLINK("https://www.773grp.com/manufacturer/national-semiconductor?pageNo=46", "National Semiconductor")</f>
        <v>National Semiconductor</v>
      </c>
      <c r="C6345" s="6">
        <v>99</v>
      </c>
      <c r="D6345" s="7">
        <v>5.94</v>
      </c>
      <c r="E6345" t="s">
        <v>49</v>
      </c>
    </row>
    <row r="6346" spans="1:5" x14ac:dyDescent="0.25">
      <c r="A6346" t="str">
        <f>HYPERLINK("https://www.773grp.com/globalSearch/LM2990S-15/page-1", "LM2990S-15")</f>
        <v>LM2990S-15</v>
      </c>
      <c r="B6346" s="3" t="str">
        <f>HYPERLINK("https://www.773grp.com/manufacturer/national-semiconductor?pageNo=47", "National Semiconductor")</f>
        <v>National Semiconductor</v>
      </c>
      <c r="C6346" s="6">
        <v>1976</v>
      </c>
      <c r="D6346" s="7">
        <v>5.94</v>
      </c>
      <c r="E6346" t="s">
        <v>49</v>
      </c>
    </row>
    <row r="6347" spans="1:5" x14ac:dyDescent="0.25">
      <c r="A6347" t="str">
        <f>HYPERLINK("https://www.773grp.com/globalSearch/LM2991S/page-1", "LM2991S")</f>
        <v>LM2991S</v>
      </c>
      <c r="B6347" s="3" t="str">
        <f>HYPERLINK("https://www.773grp.com/manufacturer/national-semiconductor?pageNo=48", "National Semiconductor")</f>
        <v>National Semiconductor</v>
      </c>
      <c r="C6347" s="6">
        <v>5</v>
      </c>
      <c r="D6347" s="7">
        <v>5.94</v>
      </c>
      <c r="E6347" t="s">
        <v>50</v>
      </c>
    </row>
    <row r="6348" spans="1:5" x14ac:dyDescent="0.25">
      <c r="A6348" t="str">
        <f>HYPERLINK("https://www.773grp.com/globalSearch/LM5069MM-2/page-1", "LM5069MM-2")</f>
        <v>LM5069MM-2</v>
      </c>
      <c r="B6348" s="3" t="str">
        <f>HYPERLINK("https://www.773grp.com/manufacturer/national-semiconductor?pageNo=49", "National Semiconductor")</f>
        <v>National Semiconductor</v>
      </c>
      <c r="C6348" s="6">
        <v>1000</v>
      </c>
      <c r="D6348" s="7">
        <v>5.94</v>
      </c>
      <c r="E6348" t="s">
        <v>30</v>
      </c>
    </row>
    <row r="6349" spans="1:5" x14ac:dyDescent="0.25">
      <c r="A6349" t="str">
        <f>HYPERLINK("https://www.773grp.com/globalSearch/LP3910SQX-AA-NOPB/page-1", "LP3910SQX-AA-NOPB")</f>
        <v>LP3910SQX-AA-NOPB</v>
      </c>
      <c r="B6349" s="3" t="str">
        <f>HYPERLINK("https://www.773grp.com/manufacturer/national-semiconductor?pageNo=50", "National Semiconductor")</f>
        <v>National Semiconductor</v>
      </c>
      <c r="C6349" s="6">
        <v>24996</v>
      </c>
      <c r="D6349" s="7">
        <v>5.94</v>
      </c>
    </row>
    <row r="6350" spans="1:5" x14ac:dyDescent="0.25">
      <c r="A6350" t="str">
        <f>HYPERLINK("https://www.773grp.com/globalSearch/LP3910SQX-AN-NOPB/page-1", "LP3910SQX-AN-NOPB")</f>
        <v>LP3910SQX-AN-NOPB</v>
      </c>
      <c r="B6350" s="3" t="str">
        <f>HYPERLINK("https://www.773grp.com/manufacturer/national-semiconductor?pageNo=51", "National Semiconductor")</f>
        <v>National Semiconductor</v>
      </c>
      <c r="C6350" s="6">
        <v>10000</v>
      </c>
      <c r="D6350" s="7">
        <v>5.94</v>
      </c>
    </row>
    <row r="6351" spans="1:5" x14ac:dyDescent="0.25">
      <c r="A6351" t="str">
        <f>HYPERLINK("https://www.773grp.com/globalSearch/LP3913SQX-ADJ-NOPB/page-1", "LP3913SQX-ADJ-NOPB")</f>
        <v>LP3913SQX-ADJ-NOPB</v>
      </c>
      <c r="B6351" s="3" t="str">
        <f>HYPERLINK("https://www.773grp.com/manufacturer/national-semiconductor?pageNo=52", "National Semiconductor")</f>
        <v>National Semiconductor</v>
      </c>
      <c r="C6351" s="6">
        <v>16940</v>
      </c>
      <c r="D6351" s="7">
        <v>5.94</v>
      </c>
    </row>
    <row r="6352" spans="1:5" x14ac:dyDescent="0.25">
      <c r="A6352" t="str">
        <f>HYPERLINK("https://www.773grp.com/globalSearch/LM2990S-15/page-1", "LM2990S-15")</f>
        <v>LM2990S-15</v>
      </c>
      <c r="B6352" s="3" t="str">
        <f>HYPERLINK("https://www.773grp.com/manufacturer/national-semiconductor?pageNo=53", "National Semiconductor")</f>
        <v>National Semiconductor</v>
      </c>
      <c r="C6352" s="6">
        <v>250</v>
      </c>
      <c r="D6352" s="7">
        <v>5.94</v>
      </c>
      <c r="E6352" t="s">
        <v>49</v>
      </c>
    </row>
    <row r="6353" spans="1:5" x14ac:dyDescent="0.25">
      <c r="A6353" t="str">
        <f>HYPERLINK("https://www.773grp.com/globalSearch/LM2990S-5.0/page-1", "LM2990S-5.0")</f>
        <v>LM2990S-5.0</v>
      </c>
      <c r="B6353" s="3" t="str">
        <f>HYPERLINK("https://www.773grp.com/manufacturer/national-semiconductor?pageNo=54", "National Semiconductor")</f>
        <v>National Semiconductor</v>
      </c>
      <c r="C6353" s="6">
        <v>175</v>
      </c>
      <c r="D6353" s="7">
        <v>5.94</v>
      </c>
    </row>
    <row r="6354" spans="1:5" x14ac:dyDescent="0.25">
      <c r="A6354" t="str">
        <f>HYPERLINK("https://www.773grp.com/globalSearch/LM5069MM-2/page-1", "LM5069MM-2")</f>
        <v>LM5069MM-2</v>
      </c>
      <c r="B6354" s="3" t="str">
        <f>HYPERLINK("https://www.773grp.com/manufacturer/national-semiconductor?pageNo=55", "National Semiconductor")</f>
        <v>National Semiconductor</v>
      </c>
      <c r="C6354" s="6">
        <v>1319</v>
      </c>
      <c r="D6354" s="7">
        <v>5.94</v>
      </c>
      <c r="E6354" t="s">
        <v>30</v>
      </c>
    </row>
    <row r="6355" spans="1:5" x14ac:dyDescent="0.25">
      <c r="A6355" t="str">
        <f>HYPERLINK("https://www.773grp.com/globalSearch/DS8923N/page-1", "DS8923N")</f>
        <v>DS8923N</v>
      </c>
      <c r="B6355" s="3" t="str">
        <f>HYPERLINK("https://www.773grp.com/manufacturer/national-semiconductor?pageNo=56", "National Semiconductor")</f>
        <v>National Semiconductor</v>
      </c>
      <c r="C6355" s="6">
        <v>1596</v>
      </c>
      <c r="D6355" s="7">
        <v>5.96</v>
      </c>
      <c r="E6355" t="s">
        <v>21</v>
      </c>
    </row>
    <row r="6356" spans="1:5" x14ac:dyDescent="0.25">
      <c r="A6356" t="str">
        <f>HYPERLINK("https://www.773grp.com/globalSearch/LMC6464AIMX-NOPB/page-1", "LMC6464AIMX-NOPB")</f>
        <v>LMC6464AIMX-NOPB</v>
      </c>
      <c r="B6356" s="3" t="str">
        <f>HYPERLINK("https://www.773grp.com/manufacturer/national-semiconductor?pageNo=57", "National Semiconductor")</f>
        <v>National Semiconductor</v>
      </c>
      <c r="C6356" s="6">
        <v>2495</v>
      </c>
      <c r="D6356" s="7">
        <v>5.96</v>
      </c>
      <c r="E6356" t="s">
        <v>13</v>
      </c>
    </row>
    <row r="6357" spans="1:5" x14ac:dyDescent="0.25">
      <c r="A6357" t="str">
        <f>HYPERLINK("https://www.773grp.com/globalSearch/LMH6624MA-NOPB/page-1", "LMH6624MA-NOPB")</f>
        <v>LMH6624MA-NOPB</v>
      </c>
      <c r="B6357" s="3" t="str">
        <f>HYPERLINK("https://www.773grp.com/manufacturer/national-semiconductor?pageNo=58", "National Semiconductor")</f>
        <v>National Semiconductor</v>
      </c>
      <c r="C6357" s="6">
        <v>160</v>
      </c>
      <c r="D6357" s="7">
        <v>5.96</v>
      </c>
      <c r="E6357" t="s">
        <v>13</v>
      </c>
    </row>
    <row r="6358" spans="1:5" x14ac:dyDescent="0.25">
      <c r="A6358" t="str">
        <f>HYPERLINK("https://www.773grp.com/globalSearch/LMX2434TM-NOPB/page-1", "LMX2434TM-NOPB")</f>
        <v>LMX2434TM-NOPB</v>
      </c>
      <c r="B6358" s="3" t="str">
        <f>HYPERLINK("https://www.773grp.com/manufacturer/national-semiconductor?pageNo=59", "National Semiconductor")</f>
        <v>National Semiconductor</v>
      </c>
      <c r="C6358" s="6">
        <v>284</v>
      </c>
      <c r="D6358" s="7">
        <v>5.96</v>
      </c>
      <c r="E6358" t="s">
        <v>38</v>
      </c>
    </row>
    <row r="6359" spans="1:5" x14ac:dyDescent="0.25">
      <c r="A6359" t="str">
        <f>HYPERLINK("https://www.773grp.com/globalSearch/LMH6624MA-NOPB/page-1", "LMH6624MA-NOPB")</f>
        <v>LMH6624MA-NOPB</v>
      </c>
      <c r="B6359" s="3" t="str">
        <f>HYPERLINK("https://www.773grp.com/manufacturer/national-semiconductor?pageNo=60", "National Semiconductor")</f>
        <v>National Semiconductor</v>
      </c>
      <c r="C6359" s="6">
        <v>525</v>
      </c>
      <c r="D6359" s="7">
        <v>5.96</v>
      </c>
      <c r="E6359" t="s">
        <v>13</v>
      </c>
    </row>
    <row r="6360" spans="1:5" x14ac:dyDescent="0.25">
      <c r="A6360" t="str">
        <f>HYPERLINK("https://www.773grp.com/globalSearch/LMX2434TM-NOPB/page-1", "LMX2434TM-NOPB")</f>
        <v>LMX2434TM-NOPB</v>
      </c>
      <c r="B6360" s="3" t="str">
        <f>HYPERLINK("https://www.773grp.com/manufacturer/national-semiconductor?pageNo=61", "National Semiconductor")</f>
        <v>National Semiconductor</v>
      </c>
      <c r="C6360" s="6">
        <v>16919</v>
      </c>
      <c r="D6360" s="7">
        <v>5.96</v>
      </c>
      <c r="E6360" t="s">
        <v>38</v>
      </c>
    </row>
    <row r="6361" spans="1:5" x14ac:dyDescent="0.25">
      <c r="A6361" t="str">
        <f>HYPERLINK("https://www.773grp.com/globalSearch/LM22670MRE-5.0-NOPB/page-1", "LM22670MRE-5.0-NOPB")</f>
        <v>LM22670MRE-5.0-NOPB</v>
      </c>
      <c r="B6361" s="3" t="str">
        <f>HYPERLINK("https://www.773grp.com/manufacturer/national-semiconductor?pageNo=62", "National Semiconductor")</f>
        <v>National Semiconductor</v>
      </c>
      <c r="C6361" s="6">
        <v>3250</v>
      </c>
      <c r="D6361" s="7">
        <v>5.99</v>
      </c>
    </row>
    <row r="6362" spans="1:5" x14ac:dyDescent="0.25">
      <c r="A6362" t="str">
        <f>HYPERLINK("https://www.773grp.com/globalSearch/LM22670MRE-ADJ-NOPB/page-1", "LM22670MRE-ADJ-NOPB")</f>
        <v>LM22670MRE-ADJ-NOPB</v>
      </c>
      <c r="B6362" s="3" t="str">
        <f>HYPERLINK("https://www.773grp.com/manufacturer/national-semiconductor?pageNo=63", "National Semiconductor")</f>
        <v>National Semiconductor</v>
      </c>
      <c r="C6362" s="6">
        <v>35</v>
      </c>
      <c r="D6362" s="7">
        <v>5.99</v>
      </c>
      <c r="E6362" t="s">
        <v>7</v>
      </c>
    </row>
    <row r="6363" spans="1:5" x14ac:dyDescent="0.25">
      <c r="A6363" t="str">
        <f>HYPERLINK("https://www.773grp.com/globalSearch/LM22670TJE-5.0-NOPB/page-1", "LM22670TJE-5.0-NOPB")</f>
        <v>LM22670TJE-5.0-NOPB</v>
      </c>
      <c r="B6363" s="3" t="str">
        <f>HYPERLINK("https://www.773grp.com/manufacturer/national-semiconductor?pageNo=64", "National Semiconductor")</f>
        <v>National Semiconductor</v>
      </c>
      <c r="C6363" s="6">
        <v>753</v>
      </c>
      <c r="D6363" s="7">
        <v>5.99</v>
      </c>
    </row>
    <row r="6364" spans="1:5" x14ac:dyDescent="0.25">
      <c r="A6364" t="str">
        <f>HYPERLINK("https://www.773grp.com/globalSearch/LM22673MRE-5.0-NOPB/page-1", "LM22673MRE-5.0-NOPB")</f>
        <v>LM22673MRE-5.0-NOPB</v>
      </c>
      <c r="B6364" s="3" t="str">
        <f>HYPERLINK("https://www.773grp.com/manufacturer/national-semiconductor?pageNo=65", "National Semiconductor")</f>
        <v>National Semiconductor</v>
      </c>
      <c r="C6364" s="6">
        <v>519</v>
      </c>
      <c r="D6364" s="7">
        <v>5.99</v>
      </c>
    </row>
    <row r="6365" spans="1:5" x14ac:dyDescent="0.25">
      <c r="A6365" t="str">
        <f>HYPERLINK("https://www.773grp.com/globalSearch/LM22673TJE-5.0-NOPB/page-1", "LM22673TJE-5.0-NOPB")</f>
        <v>LM22673TJE-5.0-NOPB</v>
      </c>
      <c r="B6365" s="3" t="str">
        <f>HYPERLINK("https://www.773grp.com/manufacturer/national-semiconductor?pageNo=66", "National Semiconductor")</f>
        <v>National Semiconductor</v>
      </c>
      <c r="C6365" s="6">
        <v>250</v>
      </c>
      <c r="D6365" s="7">
        <v>5.99</v>
      </c>
    </row>
    <row r="6366" spans="1:5" x14ac:dyDescent="0.25">
      <c r="A6366" t="str">
        <f>HYPERLINK("https://www.773grp.com/globalSearch/LM22673TJE-ADJ-NOPB/page-1", "LM22673TJE-ADJ-NOPB")</f>
        <v>LM22673TJE-ADJ-NOPB</v>
      </c>
      <c r="B6366" s="3" t="str">
        <f>HYPERLINK("https://www.773grp.com/manufacturer/national-semiconductor?pageNo=67", "National Semiconductor")</f>
        <v>National Semiconductor</v>
      </c>
      <c r="C6366" s="6">
        <v>250</v>
      </c>
      <c r="D6366" s="7">
        <v>5.99</v>
      </c>
    </row>
    <row r="6367" spans="1:5" x14ac:dyDescent="0.25">
      <c r="A6367" t="str">
        <f>HYPERLINK("https://www.773grp.com/globalSearch/LM2670SD-3.3-NOPB/page-1", "LM2670SD-3.3-NOPB")</f>
        <v>LM2670SD-3.3-NOPB</v>
      </c>
      <c r="B6367" s="3" t="str">
        <f>HYPERLINK("https://www.773grp.com/manufacturer/national-semiconductor?pageNo=68", "National Semiconductor")</f>
        <v>National Semiconductor</v>
      </c>
      <c r="C6367" s="6">
        <v>366</v>
      </c>
      <c r="D6367" s="7">
        <v>5.99</v>
      </c>
      <c r="E6367" t="s">
        <v>7</v>
      </c>
    </row>
    <row r="6368" spans="1:5" x14ac:dyDescent="0.25">
      <c r="A6368" t="str">
        <f>HYPERLINK("https://www.773grp.com/globalSearch/LM2670SD-5.0-NOPB/page-1", "LM2670SD-5.0-NOPB")</f>
        <v>LM2670SD-5.0-NOPB</v>
      </c>
      <c r="B6368" s="3" t="str">
        <f>HYPERLINK("https://www.773grp.com/manufacturer/national-semiconductor?pageNo=69", "National Semiconductor")</f>
        <v>National Semiconductor</v>
      </c>
      <c r="C6368" s="6">
        <v>250</v>
      </c>
      <c r="D6368" s="7">
        <v>5.99</v>
      </c>
      <c r="E6368" t="s">
        <v>7</v>
      </c>
    </row>
    <row r="6369" spans="1:5" x14ac:dyDescent="0.25">
      <c r="A6369" t="str">
        <f>HYPERLINK("https://www.773grp.com/globalSearch/LM2670SD-ADJ-NOPB/page-1", "LM2670SD-ADJ-NOPB")</f>
        <v>LM2670SD-ADJ-NOPB</v>
      </c>
      <c r="B6369" s="3" t="str">
        <f>HYPERLINK("https://www.773grp.com/manufacturer/national-semiconductor?pageNo=70", "National Semiconductor")</f>
        <v>National Semiconductor</v>
      </c>
      <c r="C6369" s="6">
        <v>250</v>
      </c>
      <c r="D6369" s="7">
        <v>5.99</v>
      </c>
      <c r="E6369" t="s">
        <v>7</v>
      </c>
    </row>
    <row r="6370" spans="1:5" x14ac:dyDescent="0.25">
      <c r="A6370" t="str">
        <f>HYPERLINK("https://www.773grp.com/globalSearch/LM2673SD-3.3-NOPB/page-1", "LM2673SD-3.3-NOPB")</f>
        <v>LM2673SD-3.3-NOPB</v>
      </c>
      <c r="B6370" s="3" t="str">
        <f>HYPERLINK("https://www.773grp.com/manufacturer/national-semiconductor?pageNo=71", "National Semiconductor")</f>
        <v>National Semiconductor</v>
      </c>
      <c r="C6370" s="6">
        <v>1000</v>
      </c>
      <c r="D6370" s="7">
        <v>5.99</v>
      </c>
      <c r="E6370" t="s">
        <v>7</v>
      </c>
    </row>
    <row r="6371" spans="1:5" x14ac:dyDescent="0.25">
      <c r="A6371" t="str">
        <f>HYPERLINK("https://www.773grp.com/globalSearch/LM2673SD-5.0-NOPB/page-1", "LM2673SD-5.0-NOPB")</f>
        <v>LM2673SD-5.0-NOPB</v>
      </c>
      <c r="B6371" s="3" t="str">
        <f>HYPERLINK("https://www.773grp.com/manufacturer/national-semiconductor?pageNo=72", "National Semiconductor")</f>
        <v>National Semiconductor</v>
      </c>
      <c r="C6371" s="6">
        <v>990</v>
      </c>
      <c r="D6371" s="7">
        <v>5.99</v>
      </c>
      <c r="E6371" t="s">
        <v>7</v>
      </c>
    </row>
    <row r="6372" spans="1:5" x14ac:dyDescent="0.25">
      <c r="A6372" t="str">
        <f>HYPERLINK("https://www.773grp.com/globalSearch/LM2673SD-ADJ-NOPB/page-1", "LM2673SD-ADJ-NOPB")</f>
        <v>LM2673SD-ADJ-NOPB</v>
      </c>
      <c r="B6372" s="3" t="str">
        <f>HYPERLINK("https://www.773grp.com/manufacturer/national-semiconductor?pageNo=73", "National Semiconductor")</f>
        <v>National Semiconductor</v>
      </c>
      <c r="C6372" s="6">
        <v>1700</v>
      </c>
      <c r="D6372" s="7">
        <v>5.99</v>
      </c>
      <c r="E6372" t="s">
        <v>7</v>
      </c>
    </row>
    <row r="6373" spans="1:5" x14ac:dyDescent="0.25">
      <c r="A6373" t="str">
        <f>HYPERLINK("https://www.773grp.com/globalSearch/LM35CZ/page-1", "LM35CZ")</f>
        <v>LM35CZ</v>
      </c>
      <c r="B6373" s="3" t="str">
        <f>HYPERLINK("https://www.773grp.com/manufacturer/national-semiconductor?pageNo=74", "National Semiconductor")</f>
        <v>National Semiconductor</v>
      </c>
      <c r="C6373" s="6">
        <v>179</v>
      </c>
      <c r="D6373" s="7">
        <v>5.99</v>
      </c>
      <c r="E6373" t="s">
        <v>8</v>
      </c>
    </row>
    <row r="6374" spans="1:5" x14ac:dyDescent="0.25">
      <c r="A6374" t="str">
        <f>HYPERLINK("https://www.773grp.com/globalSearch/LM35CZ-LFT1/page-1", "LM35CZ-LFT1")</f>
        <v>LM35CZ-LFT1</v>
      </c>
      <c r="B6374" s="3" t="str">
        <f>HYPERLINK("https://www.773grp.com/manufacturer/national-semiconductor?pageNo=75", "National Semiconductor")</f>
        <v>National Semiconductor</v>
      </c>
      <c r="C6374" s="6">
        <v>1006</v>
      </c>
      <c r="D6374" s="7">
        <v>5.99</v>
      </c>
    </row>
    <row r="6375" spans="1:5" x14ac:dyDescent="0.25">
      <c r="A6375" t="str">
        <f>HYPERLINK("https://www.773grp.com/globalSearch/LM35CZ-NOPB/page-1", "LM35CZ-NOPB")</f>
        <v>LM35CZ-NOPB</v>
      </c>
      <c r="B6375" s="3" t="str">
        <f>HYPERLINK("https://www.773grp.com/manufacturer/national-semiconductor?pageNo=76", "National Semiconductor")</f>
        <v>National Semiconductor</v>
      </c>
      <c r="C6375" s="6">
        <v>7724</v>
      </c>
      <c r="D6375" s="7">
        <v>5.99</v>
      </c>
      <c r="E6375" t="s">
        <v>8</v>
      </c>
    </row>
    <row r="6376" spans="1:5" x14ac:dyDescent="0.25">
      <c r="A6376" t="str">
        <f>HYPERLINK("https://www.773grp.com/globalSearch/LM4830N/page-1", "LM4830N")</f>
        <v>LM4830N</v>
      </c>
      <c r="B6376" s="3" t="str">
        <f>HYPERLINK("https://www.773grp.com/manufacturer/national-semiconductor?pageNo=77", "National Semiconductor")</f>
        <v>National Semiconductor</v>
      </c>
      <c r="C6376" s="6">
        <v>1210</v>
      </c>
      <c r="D6376" s="7">
        <v>5.99</v>
      </c>
      <c r="E6376" t="s">
        <v>18</v>
      </c>
    </row>
    <row r="6377" spans="1:5" x14ac:dyDescent="0.25">
      <c r="A6377" t="str">
        <f>HYPERLINK("https://www.773grp.com/globalSearch/LM5015MHE-NOPB/page-1", "LM5015MHE-NOPB")</f>
        <v>LM5015MHE-NOPB</v>
      </c>
      <c r="B6377" s="3" t="str">
        <f>HYPERLINK("https://www.773grp.com/manufacturer/national-semiconductor?pageNo=78", "National Semiconductor")</f>
        <v>National Semiconductor</v>
      </c>
      <c r="C6377" s="6">
        <v>220</v>
      </c>
      <c r="D6377" s="7">
        <v>5.99</v>
      </c>
    </row>
    <row r="6378" spans="1:5" x14ac:dyDescent="0.25">
      <c r="A6378" t="str">
        <f>HYPERLINK("https://www.773grp.com/globalSearch/LM20144QMHE-NOPB/page-1", "LM20144QMHE-NOPB")</f>
        <v>LM20144QMHE-NOPB</v>
      </c>
      <c r="B6378" s="3" t="str">
        <f>HYPERLINK("https://www.773grp.com/manufacturer/national-semiconductor?pageNo=79", "National Semiconductor")</f>
        <v>National Semiconductor</v>
      </c>
      <c r="C6378" s="6">
        <v>750</v>
      </c>
      <c r="D6378" s="7">
        <v>5.99</v>
      </c>
    </row>
    <row r="6379" spans="1:5" x14ac:dyDescent="0.25">
      <c r="A6379" t="str">
        <f>HYPERLINK("https://www.773grp.com/globalSearch/LM20333MHE-NOPB/page-1", "LM20333MHE-NOPB")</f>
        <v>LM20333MHE-NOPB</v>
      </c>
      <c r="B6379" s="3" t="str">
        <f>HYPERLINK("https://www.773grp.com/manufacturer/national-semiconductor?pageNo=80", "National Semiconductor")</f>
        <v>National Semiconductor</v>
      </c>
      <c r="C6379" s="6">
        <v>22</v>
      </c>
      <c r="D6379" s="7">
        <v>5.99</v>
      </c>
    </row>
    <row r="6380" spans="1:5" x14ac:dyDescent="0.25">
      <c r="A6380" t="str">
        <f>HYPERLINK("https://www.773grp.com/globalSearch/LM20343MHE-NOPB/page-1", "LM20343MHE-NOPB")</f>
        <v>LM20343MHE-NOPB</v>
      </c>
      <c r="B6380" s="3" t="str">
        <f>HYPERLINK("https://www.773grp.com/manufacturer/national-semiconductor?pageNo=81", "National Semiconductor")</f>
        <v>National Semiconductor</v>
      </c>
      <c r="C6380" s="6">
        <v>149</v>
      </c>
      <c r="D6380" s="7">
        <v>5.99</v>
      </c>
    </row>
    <row r="6381" spans="1:5" x14ac:dyDescent="0.25">
      <c r="A6381" t="str">
        <f>HYPERLINK("https://www.773grp.com/globalSearch/LM22670MRE-5.0-NOPB/page-1", "LM22670MRE-5.0-NOPB")</f>
        <v>LM22670MRE-5.0-NOPB</v>
      </c>
      <c r="B6381" s="3" t="str">
        <f>HYPERLINK("https://www.773grp.com/manufacturer/national-semiconductor?pageNo=82", "National Semiconductor")</f>
        <v>National Semiconductor</v>
      </c>
      <c r="C6381" s="6">
        <v>1168</v>
      </c>
      <c r="D6381" s="7">
        <v>5.99</v>
      </c>
    </row>
    <row r="6382" spans="1:5" x14ac:dyDescent="0.25">
      <c r="A6382" t="str">
        <f>HYPERLINK("https://www.773grp.com/globalSearch/LM22670MRE-ADJ-NOPB/page-1", "LM22670MRE-ADJ-NOPB")</f>
        <v>LM22670MRE-ADJ-NOPB</v>
      </c>
      <c r="B6382" s="3" t="str">
        <f>HYPERLINK("https://www.773grp.com/manufacturer/national-semiconductor?pageNo=83", "National Semiconductor")</f>
        <v>National Semiconductor</v>
      </c>
      <c r="C6382" s="6">
        <v>727</v>
      </c>
      <c r="D6382" s="7">
        <v>5.99</v>
      </c>
      <c r="E6382" t="s">
        <v>7</v>
      </c>
    </row>
    <row r="6383" spans="1:5" x14ac:dyDescent="0.25">
      <c r="A6383" t="str">
        <f>HYPERLINK("https://www.773grp.com/globalSearch/LM22670TJE-5.0-NOPB/page-1", "LM22670TJE-5.0-NOPB")</f>
        <v>LM22670TJE-5.0-NOPB</v>
      </c>
      <c r="B6383" s="3" t="str">
        <f>HYPERLINK("https://www.773grp.com/manufacturer/national-semiconductor?pageNo=84", "National Semiconductor")</f>
        <v>National Semiconductor</v>
      </c>
      <c r="C6383" s="6">
        <v>799</v>
      </c>
      <c r="D6383" s="7">
        <v>5.99</v>
      </c>
    </row>
    <row r="6384" spans="1:5" x14ac:dyDescent="0.25">
      <c r="A6384" t="str">
        <f>HYPERLINK("https://www.773grp.com/globalSearch/LM22670TJE-ADJ-NOPB/page-1", "LM22670TJE-ADJ-NOPB")</f>
        <v>LM22670TJE-ADJ-NOPB</v>
      </c>
      <c r="B6384" s="3" t="str">
        <f>HYPERLINK("https://www.773grp.com/manufacturer/national-semiconductor?pageNo=85", "National Semiconductor")</f>
        <v>National Semiconductor</v>
      </c>
      <c r="C6384" s="6">
        <v>1077</v>
      </c>
      <c r="D6384" s="7">
        <v>5.99</v>
      </c>
    </row>
    <row r="6385" spans="1:5" x14ac:dyDescent="0.25">
      <c r="A6385" t="str">
        <f>HYPERLINK("https://www.773grp.com/globalSearch/LM22673MRE-5.0-NOPB/page-1", "LM22673MRE-5.0-NOPB")</f>
        <v>LM22673MRE-5.0-NOPB</v>
      </c>
      <c r="B6385" s="3" t="str">
        <f>HYPERLINK("https://www.773grp.com/manufacturer/national-semiconductor?pageNo=86", "National Semiconductor")</f>
        <v>National Semiconductor</v>
      </c>
      <c r="C6385" s="6">
        <v>5749</v>
      </c>
      <c r="D6385" s="7">
        <v>5.99</v>
      </c>
    </row>
    <row r="6386" spans="1:5" x14ac:dyDescent="0.25">
      <c r="A6386" t="str">
        <f>HYPERLINK("https://www.773grp.com/globalSearch/LM22673MRE-ADJ-NOPB/page-1", "LM22673MRE-ADJ-NOPB")</f>
        <v>LM22673MRE-ADJ-NOPB</v>
      </c>
      <c r="B6386" s="3" t="str">
        <f>HYPERLINK("https://www.773grp.com/manufacturer/national-semiconductor?pageNo=87", "National Semiconductor")</f>
        <v>National Semiconductor</v>
      </c>
      <c r="C6386" s="6">
        <v>1492</v>
      </c>
      <c r="D6386" s="7">
        <v>5.99</v>
      </c>
    </row>
    <row r="6387" spans="1:5" x14ac:dyDescent="0.25">
      <c r="A6387" t="str">
        <f>HYPERLINK("https://www.773grp.com/globalSearch/LM22673TJE-5.0-NOPB/page-1", "LM22673TJE-5.0-NOPB")</f>
        <v>LM22673TJE-5.0-NOPB</v>
      </c>
      <c r="B6387" s="3" t="str">
        <f>HYPERLINK("https://www.773grp.com/manufacturer/national-semiconductor?pageNo=88", "National Semiconductor")</f>
        <v>National Semiconductor</v>
      </c>
      <c r="C6387" s="6">
        <v>564</v>
      </c>
      <c r="D6387" s="7">
        <v>5.99</v>
      </c>
    </row>
    <row r="6388" spans="1:5" x14ac:dyDescent="0.25">
      <c r="A6388" t="str">
        <f>HYPERLINK("https://www.773grp.com/globalSearch/LM22673TJE-ADJ-NOPB/page-1", "LM22673TJE-ADJ-NOPB")</f>
        <v>LM22673TJE-ADJ-NOPB</v>
      </c>
      <c r="B6388" s="3" t="str">
        <f>HYPERLINK("https://www.773grp.com/manufacturer/national-semiconductor?pageNo=89", "National Semiconductor")</f>
        <v>National Semiconductor</v>
      </c>
      <c r="C6388" s="6">
        <v>1175</v>
      </c>
      <c r="D6388" s="7">
        <v>5.99</v>
      </c>
    </row>
    <row r="6389" spans="1:5" x14ac:dyDescent="0.25">
      <c r="A6389" t="str">
        <f>HYPERLINK("https://www.773grp.com/globalSearch/LM2670SD-3.3-NOPB/page-1", "LM2670SD-3.3-NOPB")</f>
        <v>LM2670SD-3.3-NOPB</v>
      </c>
      <c r="B6389" s="3" t="str">
        <f>HYPERLINK("https://www.773grp.com/manufacturer/national-semiconductor?pageNo=90", "National Semiconductor")</f>
        <v>National Semiconductor</v>
      </c>
      <c r="C6389" s="6">
        <v>492</v>
      </c>
      <c r="D6389" s="7">
        <v>5.99</v>
      </c>
      <c r="E6389" t="s">
        <v>7</v>
      </c>
    </row>
    <row r="6390" spans="1:5" x14ac:dyDescent="0.25">
      <c r="A6390" t="str">
        <f>HYPERLINK("https://www.773grp.com/globalSearch/LM2670SD-ADJ-NOPB/page-1", "LM2670SD-ADJ-NOPB")</f>
        <v>LM2670SD-ADJ-NOPB</v>
      </c>
      <c r="B6390" s="3" t="str">
        <f>HYPERLINK("https://www.773grp.com/manufacturer/national-semiconductor?pageNo=91", "National Semiconductor")</f>
        <v>National Semiconductor</v>
      </c>
      <c r="C6390" s="6">
        <v>300</v>
      </c>
      <c r="D6390" s="7">
        <v>5.99</v>
      </c>
      <c r="E6390" t="s">
        <v>7</v>
      </c>
    </row>
    <row r="6391" spans="1:5" x14ac:dyDescent="0.25">
      <c r="A6391" t="str">
        <f>HYPERLINK("https://www.773grp.com/globalSearch/LM2673SD-3.3-NOPB/page-1", "LM2673SD-3.3-NOPB")</f>
        <v>LM2673SD-3.3-NOPB</v>
      </c>
      <c r="B6391" s="3" t="str">
        <f>HYPERLINK("https://www.773grp.com/manufacturer/national-semiconductor?pageNo=92", "National Semiconductor")</f>
        <v>National Semiconductor</v>
      </c>
      <c r="C6391" s="6">
        <v>1974</v>
      </c>
      <c r="D6391" s="7">
        <v>5.99</v>
      </c>
      <c r="E6391" t="s">
        <v>7</v>
      </c>
    </row>
    <row r="6392" spans="1:5" x14ac:dyDescent="0.25">
      <c r="A6392" t="str">
        <f>HYPERLINK("https://www.773grp.com/globalSearch/LM2673SD-5.0-NOPB/page-1", "LM2673SD-5.0-NOPB")</f>
        <v>LM2673SD-5.0-NOPB</v>
      </c>
      <c r="B6392" s="3" t="str">
        <f>HYPERLINK("https://www.773grp.com/manufacturer/national-semiconductor?pageNo=93", "National Semiconductor")</f>
        <v>National Semiconductor</v>
      </c>
      <c r="C6392" s="6">
        <v>250</v>
      </c>
      <c r="D6392" s="7">
        <v>5.99</v>
      </c>
      <c r="E6392" t="s">
        <v>7</v>
      </c>
    </row>
    <row r="6393" spans="1:5" x14ac:dyDescent="0.25">
      <c r="A6393" t="str">
        <f>HYPERLINK("https://www.773grp.com/globalSearch/LM2673SD-ADJ-NOPB/page-1", "LM2673SD-ADJ-NOPB")</f>
        <v>LM2673SD-ADJ-NOPB</v>
      </c>
      <c r="B6393" s="3" t="str">
        <f>HYPERLINK("https://www.773grp.com/manufacturer/national-semiconductor?pageNo=94", "National Semiconductor")</f>
        <v>National Semiconductor</v>
      </c>
      <c r="C6393" s="6">
        <v>101</v>
      </c>
      <c r="D6393" s="7">
        <v>5.99</v>
      </c>
      <c r="E6393" t="s">
        <v>7</v>
      </c>
    </row>
    <row r="6394" spans="1:5" x14ac:dyDescent="0.25">
      <c r="A6394" t="str">
        <f>HYPERLINK("https://www.773grp.com/globalSearch/LM35CZ-NOPB/page-1", "LM35CZ-NOPB")</f>
        <v>LM35CZ-NOPB</v>
      </c>
      <c r="B6394" s="3" t="str">
        <f>HYPERLINK("https://www.773grp.com/manufacturer/national-semiconductor?pageNo=95", "National Semiconductor")</f>
        <v>National Semiconductor</v>
      </c>
      <c r="C6394" s="6">
        <v>581</v>
      </c>
      <c r="D6394" s="7">
        <v>5.99</v>
      </c>
      <c r="E6394" t="s">
        <v>8</v>
      </c>
    </row>
    <row r="6395" spans="1:5" x14ac:dyDescent="0.25">
      <c r="A6395" t="str">
        <f>HYPERLINK("https://www.773grp.com/globalSearch/LM5015MHE-NOPB/page-1", "LM5015MHE-NOPB")</f>
        <v>LM5015MHE-NOPB</v>
      </c>
      <c r="B6395" s="3" t="str">
        <f>HYPERLINK("https://www.773grp.com/manufacturer/national-semiconductor?pageNo=96", "National Semiconductor")</f>
        <v>National Semiconductor</v>
      </c>
      <c r="C6395" s="6">
        <v>905</v>
      </c>
      <c r="D6395" s="7">
        <v>5.99</v>
      </c>
    </row>
    <row r="6396" spans="1:5" x14ac:dyDescent="0.25">
      <c r="A6396" t="str">
        <f>HYPERLINK("https://www.773grp.com/globalSearch/4020BDC/page-1", "4020BDC")</f>
        <v>4020BDC</v>
      </c>
      <c r="B6396" s="3" t="str">
        <f>HYPERLINK("https://www.773grp.com/manufacturer/national-semiconductor?pageNo=97", "National Semiconductor")</f>
        <v>National Semiconductor</v>
      </c>
      <c r="C6396" s="6">
        <v>1256</v>
      </c>
      <c r="D6396" s="7">
        <v>6.03</v>
      </c>
    </row>
    <row r="6397" spans="1:5" x14ac:dyDescent="0.25">
      <c r="A6397" t="str">
        <f>HYPERLINK("https://www.773grp.com/globalSearch/DS96175CN-NOPB/page-1", "DS96175CN-NOPB")</f>
        <v>DS96175CN-NOPB</v>
      </c>
      <c r="B6397" s="3" t="str">
        <f>HYPERLINK("https://www.773grp.com/manufacturer/national-semiconductor?pageNo=98", "National Semiconductor")</f>
        <v>National Semiconductor</v>
      </c>
      <c r="C6397" s="6">
        <v>443</v>
      </c>
      <c r="D6397" s="7">
        <v>6.03</v>
      </c>
      <c r="E6397" t="s">
        <v>21</v>
      </c>
    </row>
    <row r="6398" spans="1:5" x14ac:dyDescent="0.25">
      <c r="A6398" t="str">
        <f>HYPERLINK("https://www.773grp.com/globalSearch/LM2854MH-500/page-1", "LM2854MH-500")</f>
        <v>LM2854MH-500</v>
      </c>
      <c r="B6398" s="3" t="str">
        <f>HYPERLINK("https://www.773grp.com/manufacturer/national-semiconductor?pageNo=99", "National Semiconductor")</f>
        <v>National Semiconductor</v>
      </c>
      <c r="C6398" s="6">
        <v>251</v>
      </c>
      <c r="D6398" s="7">
        <v>6.03</v>
      </c>
      <c r="E6398" t="s">
        <v>7</v>
      </c>
    </row>
    <row r="6399" spans="1:5" x14ac:dyDescent="0.25">
      <c r="A6399" t="str">
        <f>HYPERLINK("https://www.773grp.com/globalSearch/LM49270SQ-NOPB/page-1", "LM49270SQ-NOPB")</f>
        <v>LM49270SQ-NOPB</v>
      </c>
      <c r="B6399" s="3" t="str">
        <f>HYPERLINK("https://www.773grp.com/manufacturer/national-semiconductor?pageNo=100", "National Semiconductor")</f>
        <v>National Semiconductor</v>
      </c>
      <c r="C6399" s="6">
        <v>1892</v>
      </c>
      <c r="D6399" s="7">
        <v>6.03</v>
      </c>
    </row>
    <row r="6400" spans="1:5" x14ac:dyDescent="0.25">
      <c r="A6400" t="str">
        <f>HYPERLINK("https://www.773grp.com/globalSearch/LM5070MTC-50/page-1", "LM5070MTC-50")</f>
        <v>LM5070MTC-50</v>
      </c>
      <c r="B6400" s="3" t="str">
        <f>HYPERLINK("https://www.773grp.com/manufacturer/national-semiconductor?pageNo=101", "National Semiconductor")</f>
        <v>National Semiconductor</v>
      </c>
      <c r="C6400" s="6">
        <v>353</v>
      </c>
      <c r="D6400" s="7">
        <v>6.03</v>
      </c>
      <c r="E6400" t="s">
        <v>7</v>
      </c>
    </row>
    <row r="6401" spans="1:5" x14ac:dyDescent="0.25">
      <c r="A6401" t="str">
        <f>HYPERLINK("https://www.773grp.com/globalSearch/LM5071MT-80/page-1", "LM5071MT-80")</f>
        <v>LM5071MT-80</v>
      </c>
      <c r="B6401" s="3" t="str">
        <f>HYPERLINK("https://www.773grp.com/manufacturer/national-semiconductor?pageNo=102", "National Semiconductor")</f>
        <v>National Semiconductor</v>
      </c>
      <c r="C6401" s="6">
        <v>171</v>
      </c>
      <c r="D6401" s="7">
        <v>6.03</v>
      </c>
      <c r="E6401" t="s">
        <v>7</v>
      </c>
    </row>
    <row r="6402" spans="1:5" x14ac:dyDescent="0.25">
      <c r="A6402" t="str">
        <f>HYPERLINK("https://www.773grp.com/globalSearch/LMH6550MM/page-1", "LMH6550MM")</f>
        <v>LMH6550MM</v>
      </c>
      <c r="B6402" s="3" t="str">
        <f>HYPERLINK("https://www.773grp.com/manufacturer/national-semiconductor?pageNo=103", "National Semiconductor")</f>
        <v>National Semiconductor</v>
      </c>
      <c r="C6402" s="6">
        <v>1000</v>
      </c>
      <c r="D6402" s="7">
        <v>6.03</v>
      </c>
      <c r="E6402" t="s">
        <v>13</v>
      </c>
    </row>
    <row r="6403" spans="1:5" x14ac:dyDescent="0.25">
      <c r="A6403" t="str">
        <f>HYPERLINK("https://www.773grp.com/globalSearch/SCANSTA476TSD-NOPB/page-1", "SCANSTA476TSD-NOPB")</f>
        <v>SCANSTA476TSD-NOPB</v>
      </c>
      <c r="B6403" s="3" t="str">
        <f>HYPERLINK("https://www.773grp.com/manufacturer/national-semiconductor?pageNo=104", "National Semiconductor")</f>
        <v>National Semiconductor</v>
      </c>
      <c r="C6403" s="6">
        <v>2780</v>
      </c>
      <c r="D6403" s="7">
        <v>6.03</v>
      </c>
      <c r="E6403" t="s">
        <v>30</v>
      </c>
    </row>
    <row r="6404" spans="1:5" x14ac:dyDescent="0.25">
      <c r="A6404" t="str">
        <f>HYPERLINK("https://www.773grp.com/globalSearch/DS96175CN-NOPB/page-1", "DS96175CN-NOPB")</f>
        <v>DS96175CN-NOPB</v>
      </c>
      <c r="B6404" s="3" t="str">
        <f>HYPERLINK("https://www.773grp.com/manufacturer/national-semiconductor?pageNo=105", "National Semiconductor")</f>
        <v>National Semiconductor</v>
      </c>
      <c r="C6404" s="6">
        <v>7155</v>
      </c>
      <c r="D6404" s="7">
        <v>6.03</v>
      </c>
      <c r="E6404" t="s">
        <v>21</v>
      </c>
    </row>
    <row r="6405" spans="1:5" x14ac:dyDescent="0.25">
      <c r="A6405" t="str">
        <f>HYPERLINK("https://www.773grp.com/globalSearch/LM5071MT-80/page-1", "LM5071MT-80")</f>
        <v>LM5071MT-80</v>
      </c>
      <c r="B6405" s="3" t="str">
        <f>HYPERLINK("https://www.773grp.com/manufacturer/national-semiconductor?pageNo=106", "National Semiconductor")</f>
        <v>National Semiconductor</v>
      </c>
      <c r="C6405" s="6">
        <v>2024</v>
      </c>
      <c r="D6405" s="7">
        <v>6.03</v>
      </c>
      <c r="E6405" t="s">
        <v>7</v>
      </c>
    </row>
    <row r="6406" spans="1:5" x14ac:dyDescent="0.25">
      <c r="A6406" t="str">
        <f>HYPERLINK("https://www.773grp.com/globalSearch/SCANSTA476TSD/page-1", "SCANSTA476TSD")</f>
        <v>SCANSTA476TSD</v>
      </c>
      <c r="B6406" s="3" t="str">
        <f>HYPERLINK("https://www.773grp.com/manufacturer/national-semiconductor?pageNo=107", "National Semiconductor")</f>
        <v>National Semiconductor</v>
      </c>
      <c r="C6406" s="6">
        <v>1000</v>
      </c>
      <c r="D6406" s="7">
        <v>6.03</v>
      </c>
    </row>
    <row r="6407" spans="1:5" x14ac:dyDescent="0.25">
      <c r="A6407" t="str">
        <f>HYPERLINK("https://www.773grp.com/globalSearch/SCANSTA476TSD-NOPB/page-1", "SCANSTA476TSD-NOPB")</f>
        <v>SCANSTA476TSD-NOPB</v>
      </c>
      <c r="B6407" s="3" t="str">
        <f>HYPERLINK("https://www.773grp.com/manufacturer/national-semiconductor?pageNo=108", "National Semiconductor")</f>
        <v>National Semiconductor</v>
      </c>
      <c r="C6407" s="6">
        <v>1000</v>
      </c>
      <c r="D6407" s="7">
        <v>6.03</v>
      </c>
      <c r="E6407" t="s">
        <v>30</v>
      </c>
    </row>
    <row r="6408" spans="1:5" x14ac:dyDescent="0.25">
      <c r="A6408" t="str">
        <f>HYPERLINK("https://www.773grp.com/globalSearch/5400FM/page-1", "5400FM")</f>
        <v>5400FM</v>
      </c>
      <c r="B6408" s="3" t="str">
        <f>HYPERLINK("https://www.773grp.com/manufacturer/national-semiconductor?pageNo=109", "National Semiconductor")</f>
        <v>National Semiconductor</v>
      </c>
      <c r="C6408" s="6">
        <v>134</v>
      </c>
      <c r="D6408" s="7">
        <v>6.04</v>
      </c>
    </row>
    <row r="6409" spans="1:5" x14ac:dyDescent="0.25">
      <c r="A6409" t="str">
        <f>HYPERLINK("https://www.773grp.com/globalSearch/5401FM/page-1", "5401FM")</f>
        <v>5401FM</v>
      </c>
      <c r="B6409" s="3" t="str">
        <f>HYPERLINK("https://www.773grp.com/manufacturer/national-semiconductor?pageNo=110", "National Semiconductor")</f>
        <v>National Semiconductor</v>
      </c>
      <c r="C6409" s="6">
        <v>967</v>
      </c>
      <c r="D6409" s="7">
        <v>6.04</v>
      </c>
    </row>
    <row r="6410" spans="1:5" x14ac:dyDescent="0.25">
      <c r="A6410" t="str">
        <f>HYPERLINK("https://www.773grp.com/globalSearch/5404FM/page-1", "5404FM")</f>
        <v>5404FM</v>
      </c>
      <c r="B6410" s="3" t="str">
        <f>HYPERLINK("https://www.773grp.com/manufacturer/national-semiconductor?pageNo=111", "National Semiconductor")</f>
        <v>National Semiconductor</v>
      </c>
      <c r="C6410" s="6">
        <v>1384</v>
      </c>
      <c r="D6410" s="7">
        <v>6.04</v>
      </c>
    </row>
    <row r="6411" spans="1:5" x14ac:dyDescent="0.25">
      <c r="A6411" t="str">
        <f>HYPERLINK("https://www.773grp.com/globalSearch/5404FMQB/page-1", "5404FMQB")</f>
        <v>5404FMQB</v>
      </c>
      <c r="B6411" s="3" t="str">
        <f>HYPERLINK("https://www.773grp.com/manufacturer/national-semiconductor?pageNo=112", "National Semiconductor")</f>
        <v>National Semiconductor</v>
      </c>
      <c r="C6411" s="6">
        <v>69</v>
      </c>
      <c r="D6411" s="7">
        <v>6.04</v>
      </c>
      <c r="E6411" t="s">
        <v>31</v>
      </c>
    </row>
    <row r="6412" spans="1:5" x14ac:dyDescent="0.25">
      <c r="A6412" t="str">
        <f>HYPERLINK("https://www.773grp.com/globalSearch/5405FM/page-1", "5405FM")</f>
        <v>5405FM</v>
      </c>
      <c r="B6412" s="3" t="str">
        <f>HYPERLINK("https://www.773grp.com/manufacturer/national-semiconductor?pageNo=113", "National Semiconductor")</f>
        <v>National Semiconductor</v>
      </c>
      <c r="C6412" s="6">
        <v>331</v>
      </c>
      <c r="D6412" s="7">
        <v>6.04</v>
      </c>
    </row>
    <row r="6413" spans="1:5" x14ac:dyDescent="0.25">
      <c r="A6413" t="str">
        <f>HYPERLINK("https://www.773grp.com/globalSearch/5411FM/page-1", "5411FM")</f>
        <v>5411FM</v>
      </c>
      <c r="B6413" s="3" t="str">
        <f>HYPERLINK("https://www.773grp.com/manufacturer/national-semiconductor?pageNo=114", "National Semiconductor")</f>
        <v>National Semiconductor</v>
      </c>
      <c r="C6413" s="6">
        <v>197</v>
      </c>
      <c r="D6413" s="7">
        <v>6.04</v>
      </c>
    </row>
    <row r="6414" spans="1:5" x14ac:dyDescent="0.25">
      <c r="A6414" t="str">
        <f>HYPERLINK("https://www.773grp.com/globalSearch/54125FM/page-1", "54125FM")</f>
        <v>54125FM</v>
      </c>
      <c r="B6414" s="3" t="str">
        <f>HYPERLINK("https://www.773grp.com/manufacturer/national-semiconductor?pageNo=115", "National Semiconductor")</f>
        <v>National Semiconductor</v>
      </c>
      <c r="C6414" s="6">
        <v>339</v>
      </c>
      <c r="D6414" s="7">
        <v>6.04</v>
      </c>
    </row>
    <row r="6415" spans="1:5" x14ac:dyDescent="0.25">
      <c r="A6415" t="str">
        <f>HYPERLINK("https://www.773grp.com/globalSearch/54126FM/page-1", "54126FM")</f>
        <v>54126FM</v>
      </c>
      <c r="B6415" s="3" t="str">
        <f>HYPERLINK("https://www.773grp.com/manufacturer/national-semiconductor?pageNo=116", "National Semiconductor")</f>
        <v>National Semiconductor</v>
      </c>
      <c r="C6415" s="6">
        <v>547</v>
      </c>
      <c r="D6415" s="7">
        <v>6.04</v>
      </c>
    </row>
    <row r="6416" spans="1:5" x14ac:dyDescent="0.25">
      <c r="A6416" t="str">
        <f>HYPERLINK("https://www.773grp.com/globalSearch/5420FMQB/page-1", "5420FMQB")</f>
        <v>5420FMQB</v>
      </c>
      <c r="B6416" s="3" t="str">
        <f>HYPERLINK("https://www.773grp.com/manufacturer/national-semiconductor?pageNo=117", "National Semiconductor")</f>
        <v>National Semiconductor</v>
      </c>
      <c r="C6416" s="6">
        <v>1298</v>
      </c>
      <c r="D6416" s="7">
        <v>6.04</v>
      </c>
      <c r="E6416" t="s">
        <v>31</v>
      </c>
    </row>
    <row r="6417" spans="1:5" x14ac:dyDescent="0.25">
      <c r="A6417" t="str">
        <f>HYPERLINK("https://www.773grp.com/globalSearch/5427FM/page-1", "5427FM")</f>
        <v>5427FM</v>
      </c>
      <c r="B6417" s="3" t="str">
        <f>HYPERLINK("https://www.773grp.com/manufacturer/national-semiconductor?pageNo=118", "National Semiconductor")</f>
        <v>National Semiconductor</v>
      </c>
      <c r="C6417" s="6">
        <v>930</v>
      </c>
      <c r="D6417" s="7">
        <v>6.04</v>
      </c>
    </row>
    <row r="6418" spans="1:5" x14ac:dyDescent="0.25">
      <c r="A6418" t="str">
        <f>HYPERLINK("https://www.773grp.com/globalSearch/5430FM/page-1", "5430FM")</f>
        <v>5430FM</v>
      </c>
      <c r="B6418" s="3" t="str">
        <f>HYPERLINK("https://www.773grp.com/manufacturer/national-semiconductor?pageNo=119", "National Semiconductor")</f>
        <v>National Semiconductor</v>
      </c>
      <c r="C6418" s="6">
        <v>604</v>
      </c>
      <c r="D6418" s="7">
        <v>6.04</v>
      </c>
    </row>
    <row r="6419" spans="1:5" x14ac:dyDescent="0.25">
      <c r="A6419" t="str">
        <f>HYPERLINK("https://www.773grp.com/globalSearch/5430FMQB/page-1", "5430FMQB")</f>
        <v>5430FMQB</v>
      </c>
      <c r="B6419" s="3" t="str">
        <f>HYPERLINK("https://www.773grp.com/manufacturer/national-semiconductor?pageNo=120", "National Semiconductor")</f>
        <v>National Semiconductor</v>
      </c>
      <c r="C6419" s="6">
        <v>1980</v>
      </c>
      <c r="D6419" s="7">
        <v>6.04</v>
      </c>
      <c r="E6419" t="s">
        <v>31</v>
      </c>
    </row>
    <row r="6420" spans="1:5" x14ac:dyDescent="0.25">
      <c r="A6420" t="str">
        <f>HYPERLINK("https://www.773grp.com/globalSearch/5432FM/page-1", "5432FM")</f>
        <v>5432FM</v>
      </c>
      <c r="B6420" s="3" t="str">
        <f>HYPERLINK("https://www.773grp.com/manufacturer/national-semiconductor?pageNo=121", "National Semiconductor")</f>
        <v>National Semiconductor</v>
      </c>
      <c r="C6420" s="6">
        <v>294</v>
      </c>
      <c r="D6420" s="7">
        <v>6.04</v>
      </c>
    </row>
    <row r="6421" spans="1:5" x14ac:dyDescent="0.25">
      <c r="A6421" t="str">
        <f>HYPERLINK("https://www.773grp.com/globalSearch/5437FM/page-1", "5437FM")</f>
        <v>5437FM</v>
      </c>
      <c r="B6421" s="3" t="str">
        <f>HYPERLINK("https://www.773grp.com/manufacturer/national-semiconductor?pageNo=122", "National Semiconductor")</f>
        <v>National Semiconductor</v>
      </c>
      <c r="C6421" s="6">
        <v>437</v>
      </c>
      <c r="D6421" s="7">
        <v>6.04</v>
      </c>
    </row>
    <row r="6422" spans="1:5" x14ac:dyDescent="0.25">
      <c r="A6422" t="str">
        <f>HYPERLINK("https://www.773grp.com/globalSearch/5437FMQB/page-1", "5437FMQB")</f>
        <v>5437FMQB</v>
      </c>
      <c r="B6422" s="3" t="str">
        <f>HYPERLINK("https://www.773grp.com/manufacturer/national-semiconductor?pageNo=123", "National Semiconductor")</f>
        <v>National Semiconductor</v>
      </c>
      <c r="C6422" s="6">
        <v>1438</v>
      </c>
      <c r="D6422" s="7">
        <v>6.04</v>
      </c>
      <c r="E6422" t="s">
        <v>31</v>
      </c>
    </row>
    <row r="6423" spans="1:5" x14ac:dyDescent="0.25">
      <c r="A6423" t="str">
        <f>HYPERLINK("https://www.773grp.com/globalSearch/5438FM/page-1", "5438FM")</f>
        <v>5438FM</v>
      </c>
      <c r="B6423" s="3" t="str">
        <f>HYPERLINK("https://www.773grp.com/manufacturer/national-semiconductor?pageNo=124", "National Semiconductor")</f>
        <v>National Semiconductor</v>
      </c>
      <c r="C6423" s="6">
        <v>1786</v>
      </c>
      <c r="D6423" s="7">
        <v>6.04</v>
      </c>
    </row>
    <row r="6424" spans="1:5" x14ac:dyDescent="0.25">
      <c r="A6424" t="str">
        <f>HYPERLINK("https://www.773grp.com/globalSearch/5451FM/page-1", "5451FM")</f>
        <v>5451FM</v>
      </c>
      <c r="B6424" s="3" t="str">
        <f>HYPERLINK("https://www.773grp.com/manufacturer/national-semiconductor?pageNo=125", "National Semiconductor")</f>
        <v>National Semiconductor</v>
      </c>
      <c r="C6424" s="6">
        <v>13</v>
      </c>
      <c r="D6424" s="7">
        <v>6.04</v>
      </c>
    </row>
    <row r="6425" spans="1:5" x14ac:dyDescent="0.25">
      <c r="A6425" t="str">
        <f>HYPERLINK("https://www.773grp.com/globalSearch/5470FM/page-1", "5470FM")</f>
        <v>5470FM</v>
      </c>
      <c r="B6425" s="3" t="str">
        <f>HYPERLINK("https://www.773grp.com/manufacturer/national-semiconductor?pageNo=126", "National Semiconductor")</f>
        <v>National Semiconductor</v>
      </c>
      <c r="C6425" s="6">
        <v>6397</v>
      </c>
      <c r="D6425" s="7">
        <v>6.04</v>
      </c>
    </row>
    <row r="6426" spans="1:5" x14ac:dyDescent="0.25">
      <c r="A6426" t="str">
        <f>HYPERLINK("https://www.773grp.com/globalSearch/5474FM/page-1", "5474FM")</f>
        <v>5474FM</v>
      </c>
      <c r="B6426" s="3" t="str">
        <f>HYPERLINK("https://www.773grp.com/manufacturer/national-semiconductor?pageNo=127", "National Semiconductor")</f>
        <v>National Semiconductor</v>
      </c>
      <c r="C6426" s="6">
        <v>261</v>
      </c>
      <c r="D6426" s="7">
        <v>6.04</v>
      </c>
    </row>
    <row r="6427" spans="1:5" x14ac:dyDescent="0.25">
      <c r="A6427" t="str">
        <f>HYPERLINK("https://www.773grp.com/globalSearch/5474FMQB/page-1", "5474FMQB")</f>
        <v>5474FMQB</v>
      </c>
      <c r="B6427" s="3" t="str">
        <f>HYPERLINK("https://www.773grp.com/manufacturer/national-semiconductor?pageNo=128", "National Semiconductor")</f>
        <v>National Semiconductor</v>
      </c>
      <c r="C6427" s="6">
        <v>8</v>
      </c>
      <c r="D6427" s="7">
        <v>6.04</v>
      </c>
      <c r="E6427" t="s">
        <v>35</v>
      </c>
    </row>
    <row r="6428" spans="1:5" x14ac:dyDescent="0.25">
      <c r="A6428" t="str">
        <f>HYPERLINK("https://www.773grp.com/globalSearch/5476FM/page-1", "5476FM")</f>
        <v>5476FM</v>
      </c>
      <c r="B6428" s="3" t="str">
        <f>HYPERLINK("https://www.773grp.com/manufacturer/national-semiconductor?pageNo=129", "National Semiconductor")</f>
        <v>National Semiconductor</v>
      </c>
      <c r="C6428" s="6">
        <v>284</v>
      </c>
      <c r="D6428" s="7">
        <v>6.04</v>
      </c>
    </row>
    <row r="6429" spans="1:5" x14ac:dyDescent="0.25">
      <c r="A6429" t="str">
        <f>HYPERLINK("https://www.773grp.com/globalSearch/54LS174LM/page-1", "54LS174LM")</f>
        <v>54LS174LM</v>
      </c>
      <c r="B6429" s="3" t="str">
        <f>HYPERLINK("https://www.773grp.com/manufacturer/national-semiconductor?pageNo=130", "National Semiconductor")</f>
        <v>National Semiconductor</v>
      </c>
      <c r="C6429" s="6">
        <v>259</v>
      </c>
      <c r="D6429" s="7">
        <v>6.04</v>
      </c>
    </row>
    <row r="6430" spans="1:5" x14ac:dyDescent="0.25">
      <c r="A6430" t="str">
        <f>HYPERLINK("https://www.773grp.com/globalSearch/54LS174LMQB/page-1", "54LS174LMQB")</f>
        <v>54LS174LMQB</v>
      </c>
      <c r="B6430" s="3" t="str">
        <f>HYPERLINK("https://www.773grp.com/manufacturer/national-semiconductor?pageNo=131", "National Semiconductor")</f>
        <v>National Semiconductor</v>
      </c>
      <c r="C6430" s="6">
        <v>1770</v>
      </c>
      <c r="D6430" s="7">
        <v>6.04</v>
      </c>
      <c r="E6430" t="s">
        <v>35</v>
      </c>
    </row>
    <row r="6431" spans="1:5" x14ac:dyDescent="0.25">
      <c r="A6431" t="str">
        <f>HYPERLINK("https://www.773grp.com/globalSearch/74F138LC/page-1", "74F138LC")</f>
        <v>74F138LC</v>
      </c>
      <c r="B6431" s="3" t="str">
        <f>HYPERLINK("https://www.773grp.com/manufacturer/national-semiconductor?pageNo=132", "National Semiconductor")</f>
        <v>National Semiconductor</v>
      </c>
      <c r="C6431" s="6">
        <v>149</v>
      </c>
      <c r="D6431" s="7">
        <v>6.04</v>
      </c>
    </row>
    <row r="6432" spans="1:5" x14ac:dyDescent="0.25">
      <c r="A6432" t="str">
        <f>HYPERLINK("https://www.773grp.com/globalSearch/DM54LS107W- 883/page-1", "DM54LS107W- 883")</f>
        <v>DM54LS107W- 883</v>
      </c>
      <c r="B6432" s="3" t="str">
        <f>HYPERLINK("https://www.773grp.com/manufacturer/national-semiconductor?pageNo=133", "National Semiconductor")</f>
        <v>National Semiconductor</v>
      </c>
      <c r="C6432" s="6">
        <v>89</v>
      </c>
      <c r="D6432" s="7">
        <v>6.04</v>
      </c>
    </row>
    <row r="6433" spans="1:5" x14ac:dyDescent="0.25">
      <c r="A6433" t="str">
        <f>HYPERLINK("https://www.773grp.com/globalSearch/DM54LS161AJ-883/page-1", "DM54LS161AJ-883")</f>
        <v>DM54LS161AJ-883</v>
      </c>
      <c r="B6433" s="3" t="str">
        <f>HYPERLINK("https://www.773grp.com/manufacturer/national-semiconductor?pageNo=134", "National Semiconductor")</f>
        <v>National Semiconductor</v>
      </c>
      <c r="C6433" s="6">
        <v>31</v>
      </c>
      <c r="D6433" s="7">
        <v>6.04</v>
      </c>
      <c r="E6433" t="s">
        <v>26</v>
      </c>
    </row>
    <row r="6434" spans="1:5" x14ac:dyDescent="0.25">
      <c r="A6434" t="str">
        <f>HYPERLINK("https://www.773grp.com/globalSearch/DM54LS163AJ-883/page-1", "DM54LS163AJ-883")</f>
        <v>DM54LS163AJ-883</v>
      </c>
      <c r="B6434" s="3" t="str">
        <f>HYPERLINK("https://www.773grp.com/manufacturer/national-semiconductor?pageNo=1", "National Semiconductor")</f>
        <v>National Semiconductor</v>
      </c>
      <c r="C6434" s="6">
        <v>27</v>
      </c>
      <c r="D6434" s="7">
        <v>6.04</v>
      </c>
      <c r="E6434" t="s">
        <v>26</v>
      </c>
    </row>
    <row r="6435" spans="1:5" x14ac:dyDescent="0.25">
      <c r="A6435" t="str">
        <f>HYPERLINK("https://www.773grp.com/globalSearch/DP83848CVV-NOPB/page-1", "DP83848CVV-NOPB")</f>
        <v>DP83848CVV-NOPB</v>
      </c>
      <c r="B6435" s="3" t="str">
        <f>HYPERLINK("https://www.773grp.com/manufacturer/national-semiconductor?pageNo=2", "National Semiconductor")</f>
        <v>National Semiconductor</v>
      </c>
      <c r="C6435" s="6">
        <v>6366</v>
      </c>
      <c r="D6435" s="7">
        <v>6.04</v>
      </c>
      <c r="E6435" t="s">
        <v>55</v>
      </c>
    </row>
    <row r="6436" spans="1:5" x14ac:dyDescent="0.25">
      <c r="A6436" t="str">
        <f>HYPERLINK("https://www.773grp.com/globalSearch/LM2590HVS-5.0/page-1", "LM2590HVS-5.0")</f>
        <v>LM2590HVS-5.0</v>
      </c>
      <c r="B6436" s="3" t="str">
        <f>HYPERLINK("https://www.773grp.com/manufacturer/national-semiconductor?pageNo=3", "National Semiconductor")</f>
        <v>National Semiconductor</v>
      </c>
      <c r="C6436" s="6">
        <v>47</v>
      </c>
      <c r="D6436" s="7">
        <v>6.04</v>
      </c>
      <c r="E6436" t="s">
        <v>7</v>
      </c>
    </row>
    <row r="6437" spans="1:5" x14ac:dyDescent="0.25">
      <c r="A6437" t="str">
        <f>HYPERLINK("https://www.773grp.com/globalSearch/LM2590HVSX-3.3-NOPB/page-1", "LM2590HVSX-3.3-NOPB")</f>
        <v>LM2590HVSX-3.3-NOPB</v>
      </c>
      <c r="B6437" s="3" t="str">
        <f>HYPERLINK("https://www.773grp.com/manufacturer/national-semiconductor?pageNo=4", "National Semiconductor")</f>
        <v>National Semiconductor</v>
      </c>
      <c r="C6437" s="6">
        <v>500</v>
      </c>
      <c r="D6437" s="7">
        <v>6.04</v>
      </c>
      <c r="E6437" t="s">
        <v>7</v>
      </c>
    </row>
    <row r="6438" spans="1:5" x14ac:dyDescent="0.25">
      <c r="A6438" t="str">
        <f>HYPERLINK("https://www.773grp.com/globalSearch/LM2590HVT-3.3/page-1", "LM2590HVT-3.3")</f>
        <v>LM2590HVT-3.3</v>
      </c>
      <c r="B6438" s="3" t="str">
        <f>HYPERLINK("https://www.773grp.com/manufacturer/national-semiconductor?pageNo=5", "National Semiconductor")</f>
        <v>National Semiconductor</v>
      </c>
      <c r="C6438" s="6">
        <v>188</v>
      </c>
      <c r="D6438" s="7">
        <v>6.04</v>
      </c>
      <c r="E6438" t="s">
        <v>7</v>
      </c>
    </row>
    <row r="6439" spans="1:5" x14ac:dyDescent="0.25">
      <c r="A6439" t="str">
        <f>HYPERLINK("https://www.773grp.com/globalSearch/LM2590HVT-3.3-NOPB/page-1", "LM2590HVT-3.3-NOPB")</f>
        <v>LM2590HVT-3.3-NOPB</v>
      </c>
      <c r="B6439" s="3" t="str">
        <f>HYPERLINK("https://www.773grp.com/manufacturer/national-semiconductor?pageNo=6", "National Semiconductor")</f>
        <v>National Semiconductor</v>
      </c>
      <c r="C6439" s="6">
        <v>391</v>
      </c>
      <c r="D6439" s="7">
        <v>6.04</v>
      </c>
    </row>
    <row r="6440" spans="1:5" x14ac:dyDescent="0.25">
      <c r="A6440" t="str">
        <f>HYPERLINK("https://www.773grp.com/globalSearch/LM2590HVT-5.0/page-1", "LM2590HVT-5.0")</f>
        <v>LM2590HVT-5.0</v>
      </c>
      <c r="B6440" s="3" t="str">
        <f>HYPERLINK("https://www.773grp.com/manufacturer/national-semiconductor?pageNo=7", "National Semiconductor")</f>
        <v>National Semiconductor</v>
      </c>
      <c r="C6440" s="6">
        <v>199</v>
      </c>
      <c r="D6440" s="7">
        <v>6.04</v>
      </c>
      <c r="E6440" t="s">
        <v>7</v>
      </c>
    </row>
    <row r="6441" spans="1:5" x14ac:dyDescent="0.25">
      <c r="A6441" t="str">
        <f>HYPERLINK("https://www.773grp.com/globalSearch/LM2590HVT-ADJ-NOPB/page-1", "LM2590HVT-ADJ-NOPB")</f>
        <v>LM2590HVT-ADJ-NOPB</v>
      </c>
      <c r="B6441" s="3" t="str">
        <f>HYPERLINK("https://www.773grp.com/manufacturer/national-semiconductor?pageNo=8", "National Semiconductor")</f>
        <v>National Semiconductor</v>
      </c>
      <c r="C6441" s="6">
        <v>370</v>
      </c>
      <c r="D6441" s="7">
        <v>6.04</v>
      </c>
    </row>
    <row r="6442" spans="1:5" x14ac:dyDescent="0.25">
      <c r="A6442" t="str">
        <f>HYPERLINK("https://www.773grp.com/globalSearch/LM26420XMHX/page-1", "LM26420XMHX")</f>
        <v>LM26420XMHX</v>
      </c>
      <c r="B6442" s="3" t="str">
        <f>HYPERLINK("https://www.773grp.com/manufacturer/national-semiconductor?pageNo=9", "National Semiconductor")</f>
        <v>National Semiconductor</v>
      </c>
      <c r="C6442" s="6">
        <v>550</v>
      </c>
      <c r="D6442" s="7">
        <v>6.04</v>
      </c>
      <c r="E6442" t="s">
        <v>7</v>
      </c>
    </row>
    <row r="6443" spans="1:5" x14ac:dyDescent="0.25">
      <c r="A6443" t="str">
        <f>HYPERLINK("https://www.773grp.com/globalSearch/LM3102MHX-NOPB/page-1", "LM3102MHX-NOPB")</f>
        <v>LM3102MHX-NOPB</v>
      </c>
      <c r="B6443" s="3" t="str">
        <f>HYPERLINK("https://www.773grp.com/manufacturer/national-semiconductor?pageNo=10", "National Semiconductor")</f>
        <v>National Semiconductor</v>
      </c>
      <c r="C6443" s="6">
        <v>79900</v>
      </c>
      <c r="D6443" s="7">
        <v>6.04</v>
      </c>
      <c r="E6443" t="s">
        <v>7</v>
      </c>
    </row>
    <row r="6444" spans="1:5" x14ac:dyDescent="0.25">
      <c r="A6444" t="str">
        <f>HYPERLINK("https://www.773grp.com/globalSearch/LMC6584BIN/page-1", "LMC6584BIN")</f>
        <v>LMC6584BIN</v>
      </c>
      <c r="B6444" s="3" t="str">
        <f>HYPERLINK("https://www.773grp.com/manufacturer/national-semiconductor?pageNo=11", "National Semiconductor")</f>
        <v>National Semiconductor</v>
      </c>
      <c r="C6444" s="6">
        <v>1982</v>
      </c>
      <c r="D6444" s="7">
        <v>6.04</v>
      </c>
      <c r="E6444" t="s">
        <v>13</v>
      </c>
    </row>
    <row r="6445" spans="1:5" x14ac:dyDescent="0.25">
      <c r="A6445" t="str">
        <f>HYPERLINK("https://www.773grp.com/globalSearch/MM54HC126J-883/page-1", "MM54HC126J-883")</f>
        <v>MM54HC126J-883</v>
      </c>
      <c r="B6445" s="3" t="str">
        <f>HYPERLINK("https://www.773grp.com/manufacturer/national-semiconductor?pageNo=12", "National Semiconductor")</f>
        <v>National Semiconductor</v>
      </c>
      <c r="C6445" s="6">
        <v>10</v>
      </c>
      <c r="D6445" s="7">
        <v>6.04</v>
      </c>
    </row>
    <row r="6446" spans="1:5" x14ac:dyDescent="0.25">
      <c r="A6446" t="str">
        <f>HYPERLINK("https://www.773grp.com/globalSearch/ADC0802LCWM-NOPB/page-1", "ADC0802LCWM-NOPB")</f>
        <v>ADC0802LCWM-NOPB</v>
      </c>
      <c r="B6446" s="3" t="str">
        <f>HYPERLINK("https://www.773grp.com/manufacturer/national-semiconductor?pageNo=13", "National Semiconductor")</f>
        <v>National Semiconductor</v>
      </c>
      <c r="C6446" s="6">
        <v>26</v>
      </c>
      <c r="D6446" s="7">
        <v>6.04</v>
      </c>
    </row>
    <row r="6447" spans="1:5" x14ac:dyDescent="0.25">
      <c r="A6447" t="str">
        <f>HYPERLINK("https://www.773grp.com/globalSearch/DP83848CVV-NOPB/page-1", "DP83848CVV-NOPB")</f>
        <v>DP83848CVV-NOPB</v>
      </c>
      <c r="B6447" s="3" t="str">
        <f>HYPERLINK("https://www.773grp.com/manufacturer/national-semiconductor?pageNo=14", "National Semiconductor")</f>
        <v>National Semiconductor</v>
      </c>
      <c r="C6447" s="6">
        <v>16</v>
      </c>
      <c r="D6447" s="7">
        <v>6.04</v>
      </c>
      <c r="E6447" t="s">
        <v>55</v>
      </c>
    </row>
    <row r="6448" spans="1:5" x14ac:dyDescent="0.25">
      <c r="A6448" t="str">
        <f>HYPERLINK("https://www.773grp.com/globalSearch/DP83848CVVX-NOPB/page-1", "DP83848CVVX-NOPB")</f>
        <v>DP83848CVVX-NOPB</v>
      </c>
      <c r="B6448" s="3" t="str">
        <f>HYPERLINK("https://www.773grp.com/manufacturer/national-semiconductor?pageNo=15", "National Semiconductor")</f>
        <v>National Semiconductor</v>
      </c>
      <c r="C6448" s="6">
        <v>13</v>
      </c>
      <c r="D6448" s="7">
        <v>6.04</v>
      </c>
    </row>
    <row r="6449" spans="1:5" x14ac:dyDescent="0.25">
      <c r="A6449" t="str">
        <f>HYPERLINK("https://www.773grp.com/globalSearch/DS25BR110TSD/page-1", "DS25BR110TSD")</f>
        <v>DS25BR110TSD</v>
      </c>
      <c r="B6449" s="3" t="str">
        <f>HYPERLINK("https://www.773grp.com/manufacturer/national-semiconductor?pageNo=16", "National Semiconductor")</f>
        <v>National Semiconductor</v>
      </c>
      <c r="C6449" s="6">
        <v>938</v>
      </c>
      <c r="D6449" s="7">
        <v>6.04</v>
      </c>
    </row>
    <row r="6450" spans="1:5" x14ac:dyDescent="0.25">
      <c r="A6450" t="str">
        <f>HYPERLINK("https://www.773grp.com/globalSearch/LM2590HVS-3.3/page-1", "LM2590HVS-3.3")</f>
        <v>LM2590HVS-3.3</v>
      </c>
      <c r="B6450" s="3" t="str">
        <f>HYPERLINK("https://www.773grp.com/manufacturer/national-semiconductor?pageNo=17", "National Semiconductor")</f>
        <v>National Semiconductor</v>
      </c>
      <c r="C6450" s="6">
        <v>124</v>
      </c>
      <c r="D6450" s="7">
        <v>6.04</v>
      </c>
    </row>
    <row r="6451" spans="1:5" x14ac:dyDescent="0.25">
      <c r="A6451" t="str">
        <f>HYPERLINK("https://www.773grp.com/globalSearch/LM2590HVS-5.0/page-1", "LM2590HVS-5.0")</f>
        <v>LM2590HVS-5.0</v>
      </c>
      <c r="B6451" s="3" t="str">
        <f>HYPERLINK("https://www.773grp.com/manufacturer/national-semiconductor?pageNo=18", "National Semiconductor")</f>
        <v>National Semiconductor</v>
      </c>
      <c r="C6451" s="6">
        <v>1035</v>
      </c>
      <c r="D6451" s="7">
        <v>6.04</v>
      </c>
      <c r="E6451" t="s">
        <v>7</v>
      </c>
    </row>
    <row r="6452" spans="1:5" x14ac:dyDescent="0.25">
      <c r="A6452" t="str">
        <f>HYPERLINK("https://www.773grp.com/globalSearch/LM2590HVT-5.0-NOPB/page-1", "LM2590HVT-5.0-NOPB")</f>
        <v>LM2590HVT-5.0-NOPB</v>
      </c>
      <c r="B6452" s="3" t="str">
        <f>HYPERLINK("https://www.773grp.com/manufacturer/national-semiconductor?pageNo=19", "National Semiconductor")</f>
        <v>National Semiconductor</v>
      </c>
      <c r="C6452" s="6">
        <v>385</v>
      </c>
      <c r="D6452" s="7">
        <v>6.04</v>
      </c>
    </row>
    <row r="6453" spans="1:5" x14ac:dyDescent="0.25">
      <c r="A6453" t="str">
        <f>HYPERLINK("https://www.773grp.com/globalSearch/LM2590HVT-ADJ-NOPB/page-1", "LM2590HVT-ADJ-NOPB")</f>
        <v>LM2590HVT-ADJ-NOPB</v>
      </c>
      <c r="B6453" s="3" t="str">
        <f>HYPERLINK("https://www.773grp.com/manufacturer/national-semiconductor?pageNo=20", "National Semiconductor")</f>
        <v>National Semiconductor</v>
      </c>
      <c r="C6453" s="6">
        <v>250</v>
      </c>
      <c r="D6453" s="7">
        <v>6.04</v>
      </c>
    </row>
    <row r="6454" spans="1:5" x14ac:dyDescent="0.25">
      <c r="A6454" t="str">
        <f>HYPERLINK("https://www.773grp.com/globalSearch/LM49155TLX-NOPB/page-1", "LM49155TLX-NOPB")</f>
        <v>LM49155TLX-NOPB</v>
      </c>
      <c r="B6454" s="3" t="str">
        <f>HYPERLINK("https://www.773grp.com/manufacturer/national-semiconductor?pageNo=21", "National Semiconductor")</f>
        <v>National Semiconductor</v>
      </c>
      <c r="C6454" s="6">
        <v>4000</v>
      </c>
      <c r="D6454" s="7">
        <v>6.04</v>
      </c>
    </row>
    <row r="6455" spans="1:5" x14ac:dyDescent="0.25">
      <c r="A6455" t="str">
        <f>HYPERLINK("https://www.773grp.com/globalSearch/ADC088S102CIMT-NOPB/page-1", "ADC088S102CIMT-NOPB")</f>
        <v>ADC088S102CIMT-NOPB</v>
      </c>
      <c r="B6455" s="3" t="str">
        <f>HYPERLINK("https://www.773grp.com/manufacturer/national-semiconductor?pageNo=22", "National Semiconductor")</f>
        <v>National Semiconductor</v>
      </c>
      <c r="C6455" s="6">
        <v>1015</v>
      </c>
      <c r="D6455" s="7">
        <v>6.08</v>
      </c>
    </row>
    <row r="6456" spans="1:5" x14ac:dyDescent="0.25">
      <c r="A6456" t="str">
        <f>HYPERLINK("https://www.773grp.com/globalSearch/ADC10158CIWM-48/page-1", "ADC10158CIWM-48")</f>
        <v>ADC10158CIWM-48</v>
      </c>
      <c r="B6456" s="3" t="str">
        <f>HYPERLINK("https://www.773grp.com/manufacturer/national-semiconductor?pageNo=23", "National Semiconductor")</f>
        <v>National Semiconductor</v>
      </c>
      <c r="C6456" s="6">
        <v>408</v>
      </c>
      <c r="D6456" s="7">
        <v>6.08</v>
      </c>
    </row>
    <row r="6457" spans="1:5" x14ac:dyDescent="0.25">
      <c r="A6457" t="str">
        <f>HYPERLINK("https://www.773grp.com/globalSearch/DS34C87TJ/page-1", "DS34C87TJ")</f>
        <v>DS34C87TJ</v>
      </c>
      <c r="B6457" s="3" t="str">
        <f>HYPERLINK("https://www.773grp.com/manufacturer/national-semiconductor?pageNo=24", "National Semiconductor")</f>
        <v>National Semiconductor</v>
      </c>
      <c r="C6457" s="6">
        <v>2269</v>
      </c>
      <c r="D6457" s="7">
        <v>6.08</v>
      </c>
      <c r="E6457" t="s">
        <v>21</v>
      </c>
    </row>
    <row r="6458" spans="1:5" x14ac:dyDescent="0.25">
      <c r="A6458" t="str">
        <f>HYPERLINK("https://www.773grp.com/globalSearch/LM22676MR-5.0-NOPB/page-1", "LM22676MR-5.0-NOPB")</f>
        <v>LM22676MR-5.0-NOPB</v>
      </c>
      <c r="B6458" s="3" t="str">
        <f>HYPERLINK("https://www.773grp.com/manufacturer/national-semiconductor?pageNo=25", "National Semiconductor")</f>
        <v>National Semiconductor</v>
      </c>
      <c r="C6458" s="6">
        <v>930</v>
      </c>
      <c r="D6458" s="7">
        <v>6.08</v>
      </c>
    </row>
    <row r="6459" spans="1:5" x14ac:dyDescent="0.25">
      <c r="A6459" t="str">
        <f>HYPERLINK("https://www.773grp.com/globalSearch/LM22676MR-ADJ-NOPB/page-1", "LM22676MR-ADJ-NOPB")</f>
        <v>LM22676MR-ADJ-NOPB</v>
      </c>
      <c r="B6459" s="3" t="str">
        <f>HYPERLINK("https://www.773grp.com/manufacturer/national-semiconductor?pageNo=26", "National Semiconductor")</f>
        <v>National Semiconductor</v>
      </c>
      <c r="C6459" s="6">
        <v>10743</v>
      </c>
      <c r="D6459" s="7">
        <v>6.08</v>
      </c>
    </row>
    <row r="6460" spans="1:5" x14ac:dyDescent="0.25">
      <c r="A6460" t="str">
        <f>HYPERLINK("https://www.773grp.com/globalSearch/LM2575HVN-ADJ/page-1", "LM2575HVN-ADJ")</f>
        <v>LM2575HVN-ADJ</v>
      </c>
      <c r="B6460" s="3" t="str">
        <f>HYPERLINK("https://www.773grp.com/manufacturer/national-semiconductor?pageNo=27", "National Semiconductor")</f>
        <v>National Semiconductor</v>
      </c>
      <c r="C6460" s="6">
        <v>5</v>
      </c>
      <c r="D6460" s="7">
        <v>6.08</v>
      </c>
      <c r="E6460" t="s">
        <v>7</v>
      </c>
    </row>
    <row r="6461" spans="1:5" x14ac:dyDescent="0.25">
      <c r="A6461" t="str">
        <f>HYPERLINK("https://www.773grp.com/globalSearch/LM2575HVS-12-NOPB/page-1", "LM2575HVS-12-NOPB")</f>
        <v>LM2575HVS-12-NOPB</v>
      </c>
      <c r="B6461" s="3" t="str">
        <f>HYPERLINK("https://www.773grp.com/manufacturer/national-semiconductor?pageNo=28", "National Semiconductor")</f>
        <v>National Semiconductor</v>
      </c>
      <c r="C6461" s="6">
        <v>225</v>
      </c>
      <c r="D6461" s="7">
        <v>6.08</v>
      </c>
      <c r="E6461" t="s">
        <v>7</v>
      </c>
    </row>
    <row r="6462" spans="1:5" x14ac:dyDescent="0.25">
      <c r="A6462" t="str">
        <f>HYPERLINK("https://www.773grp.com/globalSearch/LM2575HVS-15-NOPB/page-1", "LM2575HVS-15-NOPB")</f>
        <v>LM2575HVS-15-NOPB</v>
      </c>
      <c r="B6462" s="3" t="str">
        <f>HYPERLINK("https://www.773grp.com/manufacturer/national-semiconductor?pageNo=29", "National Semiconductor")</f>
        <v>National Semiconductor</v>
      </c>
      <c r="C6462" s="6">
        <v>401</v>
      </c>
      <c r="D6462" s="7">
        <v>6.08</v>
      </c>
      <c r="E6462" t="s">
        <v>7</v>
      </c>
    </row>
    <row r="6463" spans="1:5" x14ac:dyDescent="0.25">
      <c r="A6463" t="str">
        <f>HYPERLINK("https://www.773grp.com/globalSearch/LM2575HVS-3.3-NOPB/page-1", "LM2575HVS-3.3-NOPB")</f>
        <v>LM2575HVS-3.3-NOPB</v>
      </c>
      <c r="B6463" s="3" t="str">
        <f>HYPERLINK("https://www.773grp.com/manufacturer/national-semiconductor?pageNo=30", "National Semiconductor")</f>
        <v>National Semiconductor</v>
      </c>
      <c r="C6463" s="6">
        <v>190</v>
      </c>
      <c r="D6463" s="7">
        <v>6.08</v>
      </c>
      <c r="E6463" t="s">
        <v>7</v>
      </c>
    </row>
    <row r="6464" spans="1:5" x14ac:dyDescent="0.25">
      <c r="A6464" t="str">
        <f>HYPERLINK("https://www.773grp.com/globalSearch/LM2575HVS-5.0-NOPB/page-1", "LM2575HVS-5.0-NOPB")</f>
        <v>LM2575HVS-5.0-NOPB</v>
      </c>
      <c r="B6464" s="3" t="str">
        <f>HYPERLINK("https://www.773grp.com/manufacturer/national-semiconductor?pageNo=31", "National Semiconductor")</f>
        <v>National Semiconductor</v>
      </c>
      <c r="C6464" s="6">
        <v>975</v>
      </c>
      <c r="D6464" s="7">
        <v>6.08</v>
      </c>
      <c r="E6464" t="s">
        <v>7</v>
      </c>
    </row>
    <row r="6465" spans="1:5" x14ac:dyDescent="0.25">
      <c r="A6465" t="str">
        <f>HYPERLINK("https://www.773grp.com/globalSearch/LM2575HVS-ADJ-NOPB/page-1", "LM2575HVS-ADJ-NOPB")</f>
        <v>LM2575HVS-ADJ-NOPB</v>
      </c>
      <c r="B6465" s="3" t="str">
        <f>HYPERLINK("https://www.773grp.com/manufacturer/national-semiconductor?pageNo=32", "National Semiconductor")</f>
        <v>National Semiconductor</v>
      </c>
      <c r="C6465" s="6">
        <v>95</v>
      </c>
      <c r="D6465" s="7">
        <v>6.08</v>
      </c>
      <c r="E6465" t="s">
        <v>7</v>
      </c>
    </row>
    <row r="6466" spans="1:5" x14ac:dyDescent="0.25">
      <c r="A6466" t="str">
        <f>HYPERLINK("https://www.773grp.com/globalSearch/LM2596S-12-NOPB/page-1", "LM2596S-12-NOPB")</f>
        <v>LM2596S-12-NOPB</v>
      </c>
      <c r="B6466" s="3" t="str">
        <f>HYPERLINK("https://www.773grp.com/manufacturer/national-semiconductor?pageNo=33", "National Semiconductor")</f>
        <v>National Semiconductor</v>
      </c>
      <c r="C6466" s="6">
        <v>11604</v>
      </c>
      <c r="D6466" s="7">
        <v>6.08</v>
      </c>
      <c r="E6466" t="s">
        <v>7</v>
      </c>
    </row>
    <row r="6467" spans="1:5" x14ac:dyDescent="0.25">
      <c r="A6467" t="str">
        <f>HYPERLINK("https://www.773grp.com/globalSearch/LM2596S-3.3-NOPB/page-1", "LM2596S-3.3-NOPB")</f>
        <v>LM2596S-3.3-NOPB</v>
      </c>
      <c r="B6467" s="3" t="str">
        <f>HYPERLINK("https://www.773grp.com/manufacturer/national-semiconductor?pageNo=34", "National Semiconductor")</f>
        <v>National Semiconductor</v>
      </c>
      <c r="C6467" s="6">
        <v>339</v>
      </c>
      <c r="D6467" s="7">
        <v>6.08</v>
      </c>
      <c r="E6467" t="s">
        <v>7</v>
      </c>
    </row>
    <row r="6468" spans="1:5" x14ac:dyDescent="0.25">
      <c r="A6468" t="str">
        <f>HYPERLINK("https://www.773grp.com/globalSearch/LM2596S-5.0-NOPB/page-1", "LM2596S-5.0-NOPB")</f>
        <v>LM2596S-5.0-NOPB</v>
      </c>
      <c r="B6468" s="3" t="str">
        <f>HYPERLINK("https://www.773grp.com/manufacturer/national-semiconductor?pageNo=35", "National Semiconductor")</f>
        <v>National Semiconductor</v>
      </c>
      <c r="C6468" s="6">
        <v>2495</v>
      </c>
      <c r="D6468" s="7">
        <v>6.08</v>
      </c>
      <c r="E6468" t="s">
        <v>7</v>
      </c>
    </row>
    <row r="6469" spans="1:5" x14ac:dyDescent="0.25">
      <c r="A6469" t="str">
        <f>HYPERLINK("https://www.773grp.com/globalSearch/LM2596S-ADJ-NOPB/page-1", "LM2596S-ADJ-NOPB")</f>
        <v>LM2596S-ADJ-NOPB</v>
      </c>
      <c r="B6469" s="3" t="str">
        <f>HYPERLINK("https://www.773grp.com/manufacturer/national-semiconductor?pageNo=36", "National Semiconductor")</f>
        <v>National Semiconductor</v>
      </c>
      <c r="C6469" s="6">
        <v>851</v>
      </c>
      <c r="D6469" s="7">
        <v>6.08</v>
      </c>
      <c r="E6469" t="s">
        <v>7</v>
      </c>
    </row>
    <row r="6470" spans="1:5" x14ac:dyDescent="0.25">
      <c r="A6470" t="str">
        <f>HYPERLINK("https://www.773grp.com/globalSearch/LM2647MTC-NOPB/page-1", "LM2647MTC-NOPB")</f>
        <v>LM2647MTC-NOPB</v>
      </c>
      <c r="B6470" s="3" t="str">
        <f>HYPERLINK("https://www.773grp.com/manufacturer/national-semiconductor?pageNo=37", "National Semiconductor")</f>
        <v>National Semiconductor</v>
      </c>
      <c r="C6470" s="6">
        <v>2622</v>
      </c>
      <c r="D6470" s="7">
        <v>6.08</v>
      </c>
      <c r="E6470" t="s">
        <v>7</v>
      </c>
    </row>
    <row r="6471" spans="1:5" x14ac:dyDescent="0.25">
      <c r="A6471" t="str">
        <f>HYPERLINK("https://www.773grp.com/globalSearch/LM2655MTC-3.3/page-1", "LM2655MTC-3.3")</f>
        <v>LM2655MTC-3.3</v>
      </c>
      <c r="B6471" s="3" t="str">
        <f>HYPERLINK("https://www.773grp.com/manufacturer/national-semiconductor?pageNo=38", "National Semiconductor")</f>
        <v>National Semiconductor</v>
      </c>
      <c r="C6471" s="6">
        <v>135</v>
      </c>
      <c r="D6471" s="7">
        <v>6.08</v>
      </c>
      <c r="E6471" t="s">
        <v>7</v>
      </c>
    </row>
    <row r="6472" spans="1:5" x14ac:dyDescent="0.25">
      <c r="A6472" t="str">
        <f>HYPERLINK("https://www.773grp.com/globalSearch/LM2655MTC-ADJ/page-1", "LM2655MTC-ADJ")</f>
        <v>LM2655MTC-ADJ</v>
      </c>
      <c r="B6472" s="3" t="str">
        <f>HYPERLINK("https://www.773grp.com/manufacturer/national-semiconductor?pageNo=39", "National Semiconductor")</f>
        <v>National Semiconductor</v>
      </c>
      <c r="C6472" s="6">
        <v>116</v>
      </c>
      <c r="D6472" s="7">
        <v>6.08</v>
      </c>
      <c r="E6472" t="s">
        <v>7</v>
      </c>
    </row>
    <row r="6473" spans="1:5" x14ac:dyDescent="0.25">
      <c r="A6473" t="str">
        <f>HYPERLINK("https://www.773grp.com/globalSearch/LM2676S-12-NOPB/page-1", "LM2676S-12-NOPB")</f>
        <v>LM2676S-12-NOPB</v>
      </c>
      <c r="B6473" s="3" t="str">
        <f>HYPERLINK("https://www.773grp.com/manufacturer/national-semiconductor?pageNo=40", "National Semiconductor")</f>
        <v>National Semiconductor</v>
      </c>
      <c r="C6473" s="6">
        <v>2953</v>
      </c>
      <c r="D6473" s="7">
        <v>6.08</v>
      </c>
    </row>
    <row r="6474" spans="1:5" x14ac:dyDescent="0.25">
      <c r="A6474" t="str">
        <f>HYPERLINK("https://www.773grp.com/globalSearch/LM2676S-3.3-NOPB/page-1", "LM2676S-3.3-NOPB")</f>
        <v>LM2676S-3.3-NOPB</v>
      </c>
      <c r="B6474" s="3" t="str">
        <f>HYPERLINK("https://www.773grp.com/manufacturer/national-semiconductor?pageNo=41", "National Semiconductor")</f>
        <v>National Semiconductor</v>
      </c>
      <c r="C6474" s="6">
        <v>680</v>
      </c>
      <c r="D6474" s="7">
        <v>6.08</v>
      </c>
      <c r="E6474" t="s">
        <v>7</v>
      </c>
    </row>
    <row r="6475" spans="1:5" x14ac:dyDescent="0.25">
      <c r="A6475" t="str">
        <f>HYPERLINK("https://www.773grp.com/globalSearch/LM2676S-5.0-NOPB/page-1", "LM2676S-5.0-NOPB")</f>
        <v>LM2676S-5.0-NOPB</v>
      </c>
      <c r="B6475" s="3" t="str">
        <f>HYPERLINK("https://www.773grp.com/manufacturer/national-semiconductor?pageNo=42", "National Semiconductor")</f>
        <v>National Semiconductor</v>
      </c>
      <c r="C6475" s="6">
        <v>258</v>
      </c>
      <c r="D6475" s="7">
        <v>6.08</v>
      </c>
      <c r="E6475" t="s">
        <v>7</v>
      </c>
    </row>
    <row r="6476" spans="1:5" x14ac:dyDescent="0.25">
      <c r="A6476" t="str">
        <f>HYPERLINK("https://www.773grp.com/globalSearch/LM2676S-ADJ-NOPB/page-1", "LM2676S-ADJ-NOPB")</f>
        <v>LM2676S-ADJ-NOPB</v>
      </c>
      <c r="B6476" s="3" t="str">
        <f>HYPERLINK("https://www.773grp.com/manufacturer/national-semiconductor?pageNo=43", "National Semiconductor")</f>
        <v>National Semiconductor</v>
      </c>
      <c r="C6476" s="6">
        <v>995</v>
      </c>
      <c r="D6476" s="7">
        <v>6.08</v>
      </c>
      <c r="E6476" t="s">
        <v>7</v>
      </c>
    </row>
    <row r="6477" spans="1:5" x14ac:dyDescent="0.25">
      <c r="A6477" t="str">
        <f>HYPERLINK("https://www.773grp.com/globalSearch/LM4140ACM-2.5-NOPB/page-1", "LM4140ACM-2.5-NOPB")</f>
        <v>LM4140ACM-2.5-NOPB</v>
      </c>
      <c r="B6477" s="3" t="str">
        <f>HYPERLINK("https://www.773grp.com/manufacturer/national-semiconductor?pageNo=44", "National Semiconductor")</f>
        <v>National Semiconductor</v>
      </c>
      <c r="C6477" s="6">
        <v>2295</v>
      </c>
      <c r="D6477" s="7">
        <v>6.08</v>
      </c>
      <c r="E6477" t="s">
        <v>17</v>
      </c>
    </row>
    <row r="6478" spans="1:5" x14ac:dyDescent="0.25">
      <c r="A6478" t="str">
        <f>HYPERLINK("https://www.773grp.com/globalSearch/LM4753T/page-1", "LM4753T")</f>
        <v>LM4753T</v>
      </c>
      <c r="B6478" s="3" t="str">
        <f>HYPERLINK("https://www.773grp.com/manufacturer/national-semiconductor?pageNo=45", "National Semiconductor")</f>
        <v>National Semiconductor</v>
      </c>
      <c r="C6478" s="6">
        <v>4247</v>
      </c>
      <c r="D6478" s="7">
        <v>6.08</v>
      </c>
      <c r="E6478" t="s">
        <v>18</v>
      </c>
    </row>
    <row r="6479" spans="1:5" x14ac:dyDescent="0.25">
      <c r="A6479" t="str">
        <f>HYPERLINK("https://www.773grp.com/globalSearch/LM5000-3MTC-NOPB/page-1", "LM5000-3MTC-NOPB")</f>
        <v>LM5000-3MTC-NOPB</v>
      </c>
      <c r="B6479" s="3" t="str">
        <f>HYPERLINK("https://www.773grp.com/manufacturer/national-semiconductor?pageNo=46", "National Semiconductor")</f>
        <v>National Semiconductor</v>
      </c>
      <c r="C6479" s="6">
        <v>847</v>
      </c>
      <c r="D6479" s="7">
        <v>6.08</v>
      </c>
      <c r="E6479" t="s">
        <v>7</v>
      </c>
    </row>
    <row r="6480" spans="1:5" x14ac:dyDescent="0.25">
      <c r="A6480" t="str">
        <f>HYPERLINK("https://www.773grp.com/globalSearch/LM5574QMT-NOPB/page-1", "LM5574QMT-NOPB")</f>
        <v>LM5574QMT-NOPB</v>
      </c>
      <c r="B6480" s="3" t="str">
        <f>HYPERLINK("https://www.773grp.com/manufacturer/national-semiconductor?pageNo=47", "National Semiconductor")</f>
        <v>National Semiconductor</v>
      </c>
      <c r="C6480" s="6">
        <v>1734</v>
      </c>
      <c r="D6480" s="7">
        <v>6.08</v>
      </c>
    </row>
    <row r="6481" spans="1:5" x14ac:dyDescent="0.25">
      <c r="A6481" t="str">
        <f>HYPERLINK("https://www.773grp.com/globalSearch/LMX2331ATM/page-1", "LMX2331ATM")</f>
        <v>LMX2331ATM</v>
      </c>
      <c r="B6481" s="3" t="str">
        <f>HYPERLINK("https://www.773grp.com/manufacturer/national-semiconductor?pageNo=48", "National Semiconductor")</f>
        <v>National Semiconductor</v>
      </c>
      <c r="C6481" s="6">
        <v>23</v>
      </c>
      <c r="D6481" s="7">
        <v>6.08</v>
      </c>
      <c r="E6481" t="s">
        <v>38</v>
      </c>
    </row>
    <row r="6482" spans="1:5" x14ac:dyDescent="0.25">
      <c r="A6482" t="str">
        <f>HYPERLINK("https://www.773grp.com/globalSearch/MM5453VX/page-1", "MM5453VX")</f>
        <v>MM5453VX</v>
      </c>
      <c r="B6482" s="3" t="str">
        <f>HYPERLINK("https://www.773grp.com/manufacturer/national-semiconductor?pageNo=49", "National Semiconductor")</f>
        <v>National Semiconductor</v>
      </c>
      <c r="C6482" s="6">
        <v>1000</v>
      </c>
      <c r="D6482" s="7">
        <v>6.08</v>
      </c>
      <c r="E6482" t="s">
        <v>10</v>
      </c>
    </row>
    <row r="6483" spans="1:5" x14ac:dyDescent="0.25">
      <c r="A6483" t="str">
        <f>HYPERLINK("https://www.773grp.com/globalSearch/ADC088S102CIMT-NOPB/page-1", "ADC088S102CIMT-NOPB")</f>
        <v>ADC088S102CIMT-NOPB</v>
      </c>
      <c r="B6483" s="3" t="str">
        <f>HYPERLINK("https://www.773grp.com/manufacturer/national-semiconductor?pageNo=50", "National Semiconductor")</f>
        <v>National Semiconductor</v>
      </c>
      <c r="C6483" s="6">
        <v>251</v>
      </c>
      <c r="D6483" s="7">
        <v>6.08</v>
      </c>
    </row>
    <row r="6484" spans="1:5" x14ac:dyDescent="0.25">
      <c r="A6484" t="str">
        <f>HYPERLINK("https://www.773grp.com/globalSearch/LM22676MR-ADJ-NOPB/page-1", "LM22676MR-ADJ-NOPB")</f>
        <v>LM22676MR-ADJ-NOPB</v>
      </c>
      <c r="B6484" s="3" t="str">
        <f>HYPERLINK("https://www.773grp.com/manufacturer/national-semiconductor?pageNo=51", "National Semiconductor")</f>
        <v>National Semiconductor</v>
      </c>
      <c r="C6484" s="6">
        <v>675</v>
      </c>
      <c r="D6484" s="7">
        <v>6.08</v>
      </c>
    </row>
    <row r="6485" spans="1:5" x14ac:dyDescent="0.25">
      <c r="A6485" t="str">
        <f>HYPERLINK("https://www.773grp.com/globalSearch/LM2575HVS-12-NOPB/page-1", "LM2575HVS-12-NOPB")</f>
        <v>LM2575HVS-12-NOPB</v>
      </c>
      <c r="B6485" s="3" t="str">
        <f>HYPERLINK("https://www.773grp.com/manufacturer/national-semiconductor?pageNo=52", "National Semiconductor")</f>
        <v>National Semiconductor</v>
      </c>
      <c r="C6485" s="6">
        <v>270</v>
      </c>
      <c r="D6485" s="7">
        <v>6.08</v>
      </c>
      <c r="E6485" t="s">
        <v>7</v>
      </c>
    </row>
    <row r="6486" spans="1:5" x14ac:dyDescent="0.25">
      <c r="A6486" t="str">
        <f>HYPERLINK("https://www.773grp.com/globalSearch/LM2575HVS-15-NOPB/page-1", "LM2575HVS-15-NOPB")</f>
        <v>LM2575HVS-15-NOPB</v>
      </c>
      <c r="B6486" s="3" t="str">
        <f>HYPERLINK("https://www.773grp.com/manufacturer/national-semiconductor?pageNo=53", "National Semiconductor")</f>
        <v>National Semiconductor</v>
      </c>
      <c r="C6486" s="6">
        <v>246</v>
      </c>
      <c r="D6486" s="7">
        <v>6.08</v>
      </c>
      <c r="E6486" t="s">
        <v>7</v>
      </c>
    </row>
    <row r="6487" spans="1:5" x14ac:dyDescent="0.25">
      <c r="A6487" t="str">
        <f>HYPERLINK("https://www.773grp.com/globalSearch/LM2575HVS-3.3-NOPB/page-1", "LM2575HVS-3.3-NOPB")</f>
        <v>LM2575HVS-3.3-NOPB</v>
      </c>
      <c r="B6487" s="3" t="str">
        <f>HYPERLINK("https://www.773grp.com/manufacturer/national-semiconductor?pageNo=54", "National Semiconductor")</f>
        <v>National Semiconductor</v>
      </c>
      <c r="C6487" s="6">
        <v>240</v>
      </c>
      <c r="D6487" s="7">
        <v>6.08</v>
      </c>
      <c r="E6487" t="s">
        <v>7</v>
      </c>
    </row>
    <row r="6488" spans="1:5" x14ac:dyDescent="0.25">
      <c r="A6488" t="str">
        <f>HYPERLINK("https://www.773grp.com/globalSearch/LM2575HVS-5.0-NOPB/page-1", "LM2575HVS-5.0-NOPB")</f>
        <v>LM2575HVS-5.0-NOPB</v>
      </c>
      <c r="B6488" s="3" t="str">
        <f>HYPERLINK("https://www.773grp.com/manufacturer/national-semiconductor?pageNo=55", "National Semiconductor")</f>
        <v>National Semiconductor</v>
      </c>
      <c r="C6488" s="6">
        <v>472</v>
      </c>
      <c r="D6488" s="7">
        <v>6.08</v>
      </c>
      <c r="E6488" t="s">
        <v>7</v>
      </c>
    </row>
    <row r="6489" spans="1:5" x14ac:dyDescent="0.25">
      <c r="A6489" t="str">
        <f>HYPERLINK("https://www.773grp.com/globalSearch/LM2575HVS-ADJ-NOPB/page-1", "LM2575HVS-ADJ-NOPB")</f>
        <v>LM2575HVS-ADJ-NOPB</v>
      </c>
      <c r="B6489" s="3" t="str">
        <f>HYPERLINK("https://www.773grp.com/manufacturer/national-semiconductor?pageNo=56", "National Semiconductor")</f>
        <v>National Semiconductor</v>
      </c>
      <c r="C6489" s="6">
        <v>4690</v>
      </c>
      <c r="D6489" s="7">
        <v>6.08</v>
      </c>
      <c r="E6489" t="s">
        <v>7</v>
      </c>
    </row>
    <row r="6490" spans="1:5" x14ac:dyDescent="0.25">
      <c r="A6490" t="str">
        <f>HYPERLINK("https://www.773grp.com/globalSearch/LM2596S-12-NOPB/page-1", "LM2596S-12-NOPB")</f>
        <v>LM2596S-12-NOPB</v>
      </c>
      <c r="B6490" s="3" t="str">
        <f>HYPERLINK("https://www.773grp.com/manufacturer/national-semiconductor?pageNo=57", "National Semiconductor")</f>
        <v>National Semiconductor</v>
      </c>
      <c r="C6490" s="6">
        <v>965</v>
      </c>
      <c r="D6490" s="7">
        <v>6.08</v>
      </c>
      <c r="E6490" t="s">
        <v>7</v>
      </c>
    </row>
    <row r="6491" spans="1:5" x14ac:dyDescent="0.25">
      <c r="A6491" t="str">
        <f>HYPERLINK("https://www.773grp.com/globalSearch/LM2596S-3.3-NOPB/page-1", "LM2596S-3.3-NOPB")</f>
        <v>LM2596S-3.3-NOPB</v>
      </c>
      <c r="B6491" s="3" t="str">
        <f>HYPERLINK("https://www.773grp.com/manufacturer/national-semiconductor?pageNo=58", "National Semiconductor")</f>
        <v>National Semiconductor</v>
      </c>
      <c r="C6491" s="6">
        <v>1139</v>
      </c>
      <c r="D6491" s="7">
        <v>6.08</v>
      </c>
      <c r="E6491" t="s">
        <v>7</v>
      </c>
    </row>
    <row r="6492" spans="1:5" x14ac:dyDescent="0.25">
      <c r="A6492" t="str">
        <f>HYPERLINK("https://www.773grp.com/globalSearch/LM2596S-5.0-NOPB/page-1", "LM2596S-5.0-NOPB")</f>
        <v>LM2596S-5.0-NOPB</v>
      </c>
      <c r="B6492" s="3" t="str">
        <f>HYPERLINK("https://www.773grp.com/manufacturer/national-semiconductor?pageNo=59", "National Semiconductor")</f>
        <v>National Semiconductor</v>
      </c>
      <c r="C6492" s="6">
        <v>823</v>
      </c>
      <c r="D6492" s="7">
        <v>6.08</v>
      </c>
      <c r="E6492" t="s">
        <v>7</v>
      </c>
    </row>
    <row r="6493" spans="1:5" x14ac:dyDescent="0.25">
      <c r="A6493" t="str">
        <f>HYPERLINK("https://www.773grp.com/globalSearch/LM2596S-ADJ-NOPB/page-1", "LM2596S-ADJ-NOPB")</f>
        <v>LM2596S-ADJ-NOPB</v>
      </c>
      <c r="B6493" s="3" t="str">
        <f>HYPERLINK("https://www.773grp.com/manufacturer/national-semiconductor?pageNo=60", "National Semiconductor")</f>
        <v>National Semiconductor</v>
      </c>
      <c r="C6493" s="6">
        <v>355</v>
      </c>
      <c r="D6493" s="7">
        <v>6.08</v>
      </c>
      <c r="E6493" t="s">
        <v>7</v>
      </c>
    </row>
    <row r="6494" spans="1:5" x14ac:dyDescent="0.25">
      <c r="A6494" t="str">
        <f>HYPERLINK("https://www.773grp.com/globalSearch/LM2647MTC-NOPB/page-1", "LM2647MTC-NOPB")</f>
        <v>LM2647MTC-NOPB</v>
      </c>
      <c r="B6494" s="3" t="str">
        <f>HYPERLINK("https://www.773grp.com/manufacturer/national-semiconductor?pageNo=61", "National Semiconductor")</f>
        <v>National Semiconductor</v>
      </c>
      <c r="C6494" s="6">
        <v>1018</v>
      </c>
      <c r="D6494" s="7">
        <v>6.08</v>
      </c>
      <c r="E6494" t="s">
        <v>7</v>
      </c>
    </row>
    <row r="6495" spans="1:5" x14ac:dyDescent="0.25">
      <c r="A6495" t="str">
        <f>HYPERLINK("https://www.773grp.com/globalSearch/LM2657MTC-NOPB/page-1", "LM2657MTC-NOPB")</f>
        <v>LM2657MTC-NOPB</v>
      </c>
      <c r="B6495" s="3" t="str">
        <f>HYPERLINK("https://www.773grp.com/manufacturer/national-semiconductor?pageNo=62", "National Semiconductor")</f>
        <v>National Semiconductor</v>
      </c>
      <c r="C6495" s="6">
        <v>1314</v>
      </c>
      <c r="D6495" s="7">
        <v>6.08</v>
      </c>
    </row>
    <row r="6496" spans="1:5" x14ac:dyDescent="0.25">
      <c r="A6496" t="str">
        <f>HYPERLINK("https://www.773grp.com/globalSearch/LM2676S-12-NOPB/page-1", "LM2676S-12-NOPB")</f>
        <v>LM2676S-12-NOPB</v>
      </c>
      <c r="B6496" s="3" t="str">
        <f>HYPERLINK("https://www.773grp.com/manufacturer/national-semiconductor?pageNo=63", "National Semiconductor")</f>
        <v>National Semiconductor</v>
      </c>
      <c r="C6496" s="6">
        <v>697</v>
      </c>
      <c r="D6496" s="7">
        <v>6.08</v>
      </c>
    </row>
    <row r="6497" spans="1:5" x14ac:dyDescent="0.25">
      <c r="A6497" t="str">
        <f>HYPERLINK("https://www.773grp.com/globalSearch/LM2676S-3.3-NOPB/page-1", "LM2676S-3.3-NOPB")</f>
        <v>LM2676S-3.3-NOPB</v>
      </c>
      <c r="B6497" s="3" t="str">
        <f>HYPERLINK("https://www.773grp.com/manufacturer/national-semiconductor?pageNo=64", "National Semiconductor")</f>
        <v>National Semiconductor</v>
      </c>
      <c r="C6497" s="6">
        <v>225</v>
      </c>
      <c r="D6497" s="7">
        <v>6.08</v>
      </c>
      <c r="E6497" t="s">
        <v>7</v>
      </c>
    </row>
    <row r="6498" spans="1:5" x14ac:dyDescent="0.25">
      <c r="A6498" t="str">
        <f>HYPERLINK("https://www.773grp.com/globalSearch/LM2676S-5.0-NOPB/page-1", "LM2676S-5.0-NOPB")</f>
        <v>LM2676S-5.0-NOPB</v>
      </c>
      <c r="B6498" s="3" t="str">
        <f>HYPERLINK("https://www.773grp.com/manufacturer/national-semiconductor?pageNo=65", "National Semiconductor")</f>
        <v>National Semiconductor</v>
      </c>
      <c r="C6498" s="6">
        <v>254</v>
      </c>
      <c r="D6498" s="7">
        <v>6.08</v>
      </c>
      <c r="E6498" t="s">
        <v>7</v>
      </c>
    </row>
    <row r="6499" spans="1:5" x14ac:dyDescent="0.25">
      <c r="A6499" t="str">
        <f>HYPERLINK("https://www.773grp.com/globalSearch/LM2676S-ADJ-NOPB/page-1", "LM2676S-ADJ-NOPB")</f>
        <v>LM2676S-ADJ-NOPB</v>
      </c>
      <c r="B6499" s="3" t="str">
        <f>HYPERLINK("https://www.773grp.com/manufacturer/national-semiconductor?pageNo=66", "National Semiconductor")</f>
        <v>National Semiconductor</v>
      </c>
      <c r="C6499" s="6">
        <v>610</v>
      </c>
      <c r="D6499" s="7">
        <v>6.08</v>
      </c>
      <c r="E6499" t="s">
        <v>7</v>
      </c>
    </row>
    <row r="6500" spans="1:5" x14ac:dyDescent="0.25">
      <c r="A6500" t="str">
        <f>HYPERLINK("https://www.773grp.com/globalSearch/LM4140ACM-2.5-NOPB/page-1", "LM4140ACM-2.5-NOPB")</f>
        <v>LM4140ACM-2.5-NOPB</v>
      </c>
      <c r="B6500" s="3" t="str">
        <f>HYPERLINK("https://www.773grp.com/manufacturer/national-semiconductor?pageNo=67", "National Semiconductor")</f>
        <v>National Semiconductor</v>
      </c>
      <c r="C6500" s="6">
        <v>888</v>
      </c>
      <c r="D6500" s="7">
        <v>6.08</v>
      </c>
      <c r="E6500" t="s">
        <v>17</v>
      </c>
    </row>
    <row r="6501" spans="1:5" x14ac:dyDescent="0.25">
      <c r="A6501" t="str">
        <f>HYPERLINK("https://www.773grp.com/globalSearch/LM4140ACM-4.1-NOPB/page-1", "LM4140ACM-4.1-NOPB")</f>
        <v>LM4140ACM-4.1-NOPB</v>
      </c>
      <c r="B6501" s="3" t="str">
        <f>HYPERLINK("https://www.773grp.com/manufacturer/national-semiconductor?pageNo=68", "National Semiconductor")</f>
        <v>National Semiconductor</v>
      </c>
      <c r="C6501" s="6">
        <v>247</v>
      </c>
      <c r="D6501" s="7">
        <v>6.08</v>
      </c>
    </row>
    <row r="6502" spans="1:5" x14ac:dyDescent="0.25">
      <c r="A6502" t="str">
        <f>HYPERLINK("https://www.773grp.com/globalSearch/LM5000-3MTC-NOPB/page-1", "LM5000-3MTC-NOPB")</f>
        <v>LM5000-3MTC-NOPB</v>
      </c>
      <c r="B6502" s="3" t="str">
        <f>HYPERLINK("https://www.773grp.com/manufacturer/national-semiconductor?pageNo=69", "National Semiconductor")</f>
        <v>National Semiconductor</v>
      </c>
      <c r="C6502" s="6">
        <v>5832</v>
      </c>
      <c r="D6502" s="7">
        <v>6.08</v>
      </c>
      <c r="E6502" t="s">
        <v>7</v>
      </c>
    </row>
    <row r="6503" spans="1:5" x14ac:dyDescent="0.25">
      <c r="A6503" t="str">
        <f>HYPERLINK("https://www.773grp.com/globalSearch/LM5574QMT-NOPB/page-1", "LM5574QMT-NOPB")</f>
        <v>LM5574QMT-NOPB</v>
      </c>
      <c r="B6503" s="3" t="str">
        <f>HYPERLINK("https://www.773grp.com/manufacturer/national-semiconductor?pageNo=70", "National Semiconductor")</f>
        <v>National Semiconductor</v>
      </c>
      <c r="C6503" s="6">
        <v>355</v>
      </c>
      <c r="D6503" s="7">
        <v>6.08</v>
      </c>
    </row>
    <row r="6504" spans="1:5" x14ac:dyDescent="0.25">
      <c r="A6504" t="str">
        <f>HYPERLINK("https://www.773grp.com/globalSearch/54LS153FMQB/page-1", "54LS153FMQB")</f>
        <v>54LS153FMQB</v>
      </c>
      <c r="B6504" s="3" t="str">
        <f>HYPERLINK("https://www.773grp.com/manufacturer/national-semiconductor?pageNo=71", "National Semiconductor")</f>
        <v>National Semiconductor</v>
      </c>
      <c r="C6504" s="6">
        <v>229</v>
      </c>
      <c r="D6504" s="7">
        <v>6.11</v>
      </c>
      <c r="E6504" t="s">
        <v>20</v>
      </c>
    </row>
    <row r="6505" spans="1:5" x14ac:dyDescent="0.25">
      <c r="A6505" t="str">
        <f>HYPERLINK("https://www.773grp.com/globalSearch/ADC1175-50CIMTX/page-1", "ADC1175-50CIMTX")</f>
        <v>ADC1175-50CIMTX</v>
      </c>
      <c r="B6505" s="3" t="str">
        <f>HYPERLINK("https://www.773grp.com/manufacturer/national-semiconductor?pageNo=72", "National Semiconductor")</f>
        <v>National Semiconductor</v>
      </c>
      <c r="C6505" s="6">
        <v>27450</v>
      </c>
      <c r="D6505" s="7">
        <v>6.11</v>
      </c>
      <c r="E6505" t="s">
        <v>39</v>
      </c>
    </row>
    <row r="6506" spans="1:5" x14ac:dyDescent="0.25">
      <c r="A6506" t="str">
        <f>HYPERLINK("https://www.773grp.com/globalSearch/UA75453BRC/page-1", "UA75453BRC")</f>
        <v>UA75453BRC</v>
      </c>
      <c r="B6506" s="3" t="str">
        <f>HYPERLINK("https://www.773grp.com/manufacturer/national-semiconductor?pageNo=73", "National Semiconductor")</f>
        <v>National Semiconductor</v>
      </c>
      <c r="C6506" s="6">
        <v>441</v>
      </c>
      <c r="D6506" s="7">
        <v>6.11</v>
      </c>
    </row>
    <row r="6507" spans="1:5" x14ac:dyDescent="0.25">
      <c r="A6507" t="str">
        <f>HYPERLINK("https://www.773grp.com/globalSearch/54LS157FM/page-1", "54LS157FM")</f>
        <v>54LS157FM</v>
      </c>
      <c r="B6507" s="3" t="str">
        <f>HYPERLINK("https://www.773grp.com/manufacturer/national-semiconductor?pageNo=74", "National Semiconductor")</f>
        <v>National Semiconductor</v>
      </c>
      <c r="C6507" s="6">
        <v>4925</v>
      </c>
      <c r="D6507" s="7">
        <v>6.13</v>
      </c>
    </row>
    <row r="6508" spans="1:5" x14ac:dyDescent="0.25">
      <c r="A6508" t="str">
        <f>HYPERLINK("https://www.773grp.com/globalSearch/54LS157FMQB/page-1", "54LS157FMQB")</f>
        <v>54LS157FMQB</v>
      </c>
      <c r="B6508" s="3" t="str">
        <f>HYPERLINK("https://www.773grp.com/manufacturer/national-semiconductor?pageNo=75", "National Semiconductor")</f>
        <v>National Semiconductor</v>
      </c>
      <c r="C6508" s="6">
        <v>1165</v>
      </c>
      <c r="D6508" s="7">
        <v>6.13</v>
      </c>
      <c r="E6508" t="s">
        <v>20</v>
      </c>
    </row>
    <row r="6509" spans="1:5" x14ac:dyDescent="0.25">
      <c r="A6509" t="str">
        <f>HYPERLINK("https://www.773grp.com/globalSearch/54LS158FM/page-1", "54LS158FM")</f>
        <v>54LS158FM</v>
      </c>
      <c r="B6509" s="3" t="str">
        <f>HYPERLINK("https://www.773grp.com/manufacturer/national-semiconductor?pageNo=76", "National Semiconductor")</f>
        <v>National Semiconductor</v>
      </c>
      <c r="C6509" s="6">
        <v>1936</v>
      </c>
      <c r="D6509" s="7">
        <v>6.13</v>
      </c>
    </row>
    <row r="6510" spans="1:5" x14ac:dyDescent="0.25">
      <c r="A6510" t="str">
        <f>HYPERLINK("https://www.773grp.com/globalSearch/54LS258AFMQB/page-1", "54LS258AFMQB")</f>
        <v>54LS258AFMQB</v>
      </c>
      <c r="B6510" s="3" t="str">
        <f>HYPERLINK("https://www.773grp.com/manufacturer/national-semiconductor?pageNo=77", "National Semiconductor")</f>
        <v>National Semiconductor</v>
      </c>
      <c r="C6510" s="6">
        <v>37</v>
      </c>
      <c r="D6510" s="7">
        <v>6.13</v>
      </c>
      <c r="E6510" t="s">
        <v>20</v>
      </c>
    </row>
    <row r="6511" spans="1:5" x14ac:dyDescent="0.25">
      <c r="A6511" t="str">
        <f>HYPERLINK("https://www.773grp.com/globalSearch/54LS283FMQB/page-1", "54LS283FMQB")</f>
        <v>54LS283FMQB</v>
      </c>
      <c r="B6511" s="3" t="str">
        <f>HYPERLINK("https://www.773grp.com/manufacturer/national-semiconductor?pageNo=78", "National Semiconductor")</f>
        <v>National Semiconductor</v>
      </c>
      <c r="C6511" s="6">
        <v>731</v>
      </c>
      <c r="D6511" s="7">
        <v>6.13</v>
      </c>
      <c r="E6511" t="s">
        <v>43</v>
      </c>
    </row>
    <row r="6512" spans="1:5" x14ac:dyDescent="0.25">
      <c r="A6512" t="str">
        <f>HYPERLINK("https://www.773grp.com/globalSearch/LM3151MH-3.3/page-1", "LM3151MH-3.3")</f>
        <v>LM3151MH-3.3</v>
      </c>
      <c r="B6512" s="3" t="str">
        <f>HYPERLINK("https://www.773grp.com/manufacturer/national-semiconductor?pageNo=79", "National Semiconductor")</f>
        <v>National Semiconductor</v>
      </c>
      <c r="C6512" s="6">
        <v>188</v>
      </c>
      <c r="D6512" s="7">
        <v>6.13</v>
      </c>
      <c r="E6512" t="s">
        <v>7</v>
      </c>
    </row>
    <row r="6513" spans="1:5" x14ac:dyDescent="0.25">
      <c r="A6513" t="str">
        <f>HYPERLINK("https://www.773grp.com/globalSearch/LM3151MHE-3.3/page-1", "LM3151MHE-3.3")</f>
        <v>LM3151MHE-3.3</v>
      </c>
      <c r="B6513" s="3" t="str">
        <f>HYPERLINK("https://www.773grp.com/manufacturer/national-semiconductor?pageNo=80", "National Semiconductor")</f>
        <v>National Semiconductor</v>
      </c>
      <c r="C6513" s="6">
        <v>250</v>
      </c>
      <c r="D6513" s="7">
        <v>6.13</v>
      </c>
      <c r="E6513" t="s">
        <v>7</v>
      </c>
    </row>
    <row r="6514" spans="1:5" x14ac:dyDescent="0.25">
      <c r="A6514" t="str">
        <f>HYPERLINK("https://www.773grp.com/globalSearch/LM3152MHE-3.3/page-1", "LM3152MHE-3.3")</f>
        <v>LM3152MHE-3.3</v>
      </c>
      <c r="B6514" s="3" t="str">
        <f>HYPERLINK("https://www.773grp.com/manufacturer/national-semiconductor?pageNo=81", "National Semiconductor")</f>
        <v>National Semiconductor</v>
      </c>
      <c r="C6514" s="6">
        <v>722</v>
      </c>
      <c r="D6514" s="7">
        <v>6.13</v>
      </c>
      <c r="E6514" t="s">
        <v>7</v>
      </c>
    </row>
    <row r="6515" spans="1:5" x14ac:dyDescent="0.25">
      <c r="A6515" t="str">
        <f>HYPERLINK("https://www.773grp.com/globalSearch/LM3153MH-3.3/page-1", "LM3153MH-3.3")</f>
        <v>LM3153MH-3.3</v>
      </c>
      <c r="B6515" s="3" t="str">
        <f>HYPERLINK("https://www.773grp.com/manufacturer/national-semiconductor?pageNo=82", "National Semiconductor")</f>
        <v>National Semiconductor</v>
      </c>
      <c r="C6515" s="6">
        <v>188</v>
      </c>
      <c r="D6515" s="7">
        <v>6.13</v>
      </c>
      <c r="E6515" t="s">
        <v>7</v>
      </c>
    </row>
    <row r="6516" spans="1:5" x14ac:dyDescent="0.25">
      <c r="A6516" t="str">
        <f>HYPERLINK("https://www.773grp.com/globalSearch/LM3153MHE-3.3/page-1", "LM3153MHE-3.3")</f>
        <v>LM3153MHE-3.3</v>
      </c>
      <c r="B6516" s="3" t="str">
        <f>HYPERLINK("https://www.773grp.com/manufacturer/national-semiconductor?pageNo=83", "National Semiconductor")</f>
        <v>National Semiconductor</v>
      </c>
      <c r="C6516" s="6">
        <v>500</v>
      </c>
      <c r="D6516" s="7">
        <v>6.13</v>
      </c>
      <c r="E6516" t="s">
        <v>7</v>
      </c>
    </row>
    <row r="6517" spans="1:5" x14ac:dyDescent="0.25">
      <c r="A6517" t="str">
        <f>HYPERLINK("https://www.773grp.com/globalSearch/LMC6064IM-NOPB/page-1", "LMC6064IM-NOPB")</f>
        <v>LMC6064IM-NOPB</v>
      </c>
      <c r="B6517" s="3" t="str">
        <f>HYPERLINK("https://www.773grp.com/manufacturer/national-semiconductor?pageNo=84", "National Semiconductor")</f>
        <v>National Semiconductor</v>
      </c>
      <c r="C6517" s="6">
        <v>2166</v>
      </c>
      <c r="D6517" s="7">
        <v>6.13</v>
      </c>
      <c r="E6517" t="s">
        <v>13</v>
      </c>
    </row>
    <row r="6518" spans="1:5" x14ac:dyDescent="0.25">
      <c r="A6518" t="str">
        <f>HYPERLINK("https://www.773grp.com/globalSearch/LMC662EM/page-1", "LMC662EM")</f>
        <v>LMC662EM</v>
      </c>
      <c r="B6518" s="3" t="str">
        <f>HYPERLINK("https://www.773grp.com/manufacturer/national-semiconductor?pageNo=85", "National Semiconductor")</f>
        <v>National Semiconductor</v>
      </c>
      <c r="C6518" s="6">
        <v>310</v>
      </c>
      <c r="D6518" s="7">
        <v>6.13</v>
      </c>
      <c r="E6518" t="s">
        <v>13</v>
      </c>
    </row>
    <row r="6519" spans="1:5" x14ac:dyDescent="0.25">
      <c r="A6519" t="str">
        <f>HYPERLINK("https://www.773grp.com/globalSearch/LM2700MT-ADJ/page-1", "LM2700MT-ADJ")</f>
        <v>LM2700MT-ADJ</v>
      </c>
      <c r="B6519" s="3" t="str">
        <f>HYPERLINK("https://www.773grp.com/manufacturer/national-semiconductor?pageNo=86", "National Semiconductor")</f>
        <v>National Semiconductor</v>
      </c>
      <c r="C6519" s="6">
        <v>9</v>
      </c>
      <c r="D6519" s="7">
        <v>6.13</v>
      </c>
    </row>
    <row r="6520" spans="1:5" x14ac:dyDescent="0.25">
      <c r="A6520" t="str">
        <f>HYPERLINK("https://www.773grp.com/globalSearch/LM3153MHE-3.3/page-1", "LM3153MHE-3.3")</f>
        <v>LM3153MHE-3.3</v>
      </c>
      <c r="B6520" s="3" t="str">
        <f>HYPERLINK("https://www.773grp.com/manufacturer/national-semiconductor?pageNo=87", "National Semiconductor")</f>
        <v>National Semiconductor</v>
      </c>
      <c r="C6520" s="6">
        <v>250</v>
      </c>
      <c r="D6520" s="7">
        <v>6.13</v>
      </c>
      <c r="E6520" t="s">
        <v>7</v>
      </c>
    </row>
    <row r="6521" spans="1:5" x14ac:dyDescent="0.25">
      <c r="A6521" t="str">
        <f>HYPERLINK("https://www.773grp.com/globalSearch/LMC6064IM-NOPB/page-1", "LMC6064IM-NOPB")</f>
        <v>LMC6064IM-NOPB</v>
      </c>
      <c r="B6521" s="3" t="str">
        <f>HYPERLINK("https://www.773grp.com/manufacturer/national-semiconductor?pageNo=88", "National Semiconductor")</f>
        <v>National Semiconductor</v>
      </c>
      <c r="C6521" s="6">
        <v>250</v>
      </c>
      <c r="D6521" s="7">
        <v>6.13</v>
      </c>
      <c r="E6521" t="s">
        <v>13</v>
      </c>
    </row>
    <row r="6522" spans="1:5" x14ac:dyDescent="0.25">
      <c r="A6522" t="str">
        <f>HYPERLINK("https://www.773grp.com/globalSearch/LMH6722QSD-NOPB/page-1", "LMH6722QSD-NOPB")</f>
        <v>LMH6722QSD-NOPB</v>
      </c>
      <c r="B6522" s="3" t="str">
        <f>HYPERLINK("https://www.773grp.com/manufacturer/national-semiconductor?pageNo=89", "National Semiconductor")</f>
        <v>National Semiconductor</v>
      </c>
      <c r="C6522" s="6">
        <v>3000</v>
      </c>
      <c r="D6522" s="7">
        <v>6.13</v>
      </c>
    </row>
    <row r="6523" spans="1:5" x14ac:dyDescent="0.25">
      <c r="A6523" t="str">
        <f>HYPERLINK("https://www.773grp.com/globalSearch/ADC0844CCN-NOPB/page-1", "ADC0844CCN-NOPB")</f>
        <v>ADC0844CCN-NOPB</v>
      </c>
      <c r="B6523" s="3" t="str">
        <f>HYPERLINK("https://www.773grp.com/manufacturer/national-semiconductor?pageNo=90", "National Semiconductor")</f>
        <v>National Semiconductor</v>
      </c>
      <c r="C6523" s="6">
        <v>58</v>
      </c>
      <c r="D6523" s="7">
        <v>6.16</v>
      </c>
      <c r="E6523" t="s">
        <v>39</v>
      </c>
    </row>
    <row r="6524" spans="1:5" x14ac:dyDescent="0.25">
      <c r="A6524" t="str">
        <f>HYPERLINK("https://www.773grp.com/globalSearch/ADC124S101CIMM-NOPB/page-1", "ADC124S101CIMM-NOPB")</f>
        <v>ADC124S101CIMM-NOPB</v>
      </c>
      <c r="B6524" s="3" t="str">
        <f>HYPERLINK("https://www.773grp.com/manufacturer/national-semiconductor?pageNo=91", "National Semiconductor")</f>
        <v>National Semiconductor</v>
      </c>
      <c r="C6524" s="6">
        <v>1000</v>
      </c>
      <c r="D6524" s="7">
        <v>6.16</v>
      </c>
    </row>
    <row r="6525" spans="1:5" x14ac:dyDescent="0.25">
      <c r="A6525" t="str">
        <f>HYPERLINK("https://www.773grp.com/globalSearch/ADC124S101CIMMX-NOPB/page-1", "ADC124S101CIMMX-NOPB")</f>
        <v>ADC124S101CIMMX-NOPB</v>
      </c>
      <c r="B6525" s="3" t="str">
        <f>HYPERLINK("https://www.773grp.com/manufacturer/national-semiconductor?pageNo=92", "National Semiconductor")</f>
        <v>National Semiconductor</v>
      </c>
      <c r="C6525" s="6">
        <v>3455</v>
      </c>
      <c r="D6525" s="7">
        <v>6.16</v>
      </c>
    </row>
    <row r="6526" spans="1:5" x14ac:dyDescent="0.25">
      <c r="A6526" t="str">
        <f>HYPERLINK("https://www.773grp.com/globalSearch/DS15BA101SDE-NOPB/page-1", "DS15BA101SDE-NOPB")</f>
        <v>DS15BA101SDE-NOPB</v>
      </c>
      <c r="B6526" s="3" t="str">
        <f>HYPERLINK("https://www.773grp.com/manufacturer/national-semiconductor?pageNo=93", "National Semiconductor")</f>
        <v>National Semiconductor</v>
      </c>
      <c r="C6526" s="6">
        <v>448</v>
      </c>
      <c r="D6526" s="7">
        <v>6.16</v>
      </c>
    </row>
    <row r="6527" spans="1:5" x14ac:dyDescent="0.25">
      <c r="A6527" t="str">
        <f>HYPERLINK("https://www.773grp.com/globalSearch/LM25576MHX-J7001799/page-1", "LM25576MHX-J7001799")</f>
        <v>LM25576MHX-J7001799</v>
      </c>
      <c r="B6527" s="3" t="str">
        <f>HYPERLINK("https://www.773grp.com/manufacturer/national-semiconductor?pageNo=94", "National Semiconductor")</f>
        <v>National Semiconductor</v>
      </c>
      <c r="C6527" s="6">
        <v>12500</v>
      </c>
      <c r="D6527" s="7">
        <v>6.16</v>
      </c>
    </row>
    <row r="6528" spans="1:5" x14ac:dyDescent="0.25">
      <c r="A6528" t="str">
        <f>HYPERLINK("https://www.773grp.com/globalSearch/LM3208TLX/page-1", "LM3208TLX")</f>
        <v>LM3208TLX</v>
      </c>
      <c r="B6528" s="3" t="str">
        <f>HYPERLINK("https://www.773grp.com/manufacturer/national-semiconductor?pageNo=95", "National Semiconductor")</f>
        <v>National Semiconductor</v>
      </c>
      <c r="C6528" s="6">
        <v>9000</v>
      </c>
      <c r="D6528" s="7">
        <v>6.16</v>
      </c>
      <c r="E6528" t="s">
        <v>7</v>
      </c>
    </row>
    <row r="6529" spans="1:5" x14ac:dyDescent="0.25">
      <c r="A6529" t="str">
        <f>HYPERLINK("https://www.773grp.com/globalSearch/LM3208UR-NOPB/page-1", "LM3208UR-NOPB")</f>
        <v>LM3208UR-NOPB</v>
      </c>
      <c r="B6529" s="3" t="str">
        <f>HYPERLINK("https://www.773grp.com/manufacturer/national-semiconductor?pageNo=96", "National Semiconductor")</f>
        <v>National Semiconductor</v>
      </c>
      <c r="C6529" s="6">
        <v>250</v>
      </c>
      <c r="D6529" s="7">
        <v>6.16</v>
      </c>
    </row>
    <row r="6530" spans="1:5" x14ac:dyDescent="0.25">
      <c r="A6530" t="str">
        <f>HYPERLINK("https://www.773grp.com/globalSearch/LMH6739MQ/page-1", "LMH6739MQ")</f>
        <v>LMH6739MQ</v>
      </c>
      <c r="B6530" s="3" t="str">
        <f>HYPERLINK("https://www.773grp.com/manufacturer/national-semiconductor?pageNo=97", "National Semiconductor")</f>
        <v>National Semiconductor</v>
      </c>
      <c r="C6530" s="6">
        <v>1917</v>
      </c>
      <c r="D6530" s="7">
        <v>6.16</v>
      </c>
      <c r="E6530" t="s">
        <v>18</v>
      </c>
    </row>
    <row r="6531" spans="1:5" x14ac:dyDescent="0.25">
      <c r="A6531" t="str">
        <f>HYPERLINK("https://www.773grp.com/globalSearch/LMX2371SLBX/page-1", "LMX2371SLBX")</f>
        <v>LMX2371SLBX</v>
      </c>
      <c r="B6531" s="3" t="str">
        <f>HYPERLINK("https://www.773grp.com/manufacturer/national-semiconductor?pageNo=98", "National Semiconductor")</f>
        <v>National Semiconductor</v>
      </c>
      <c r="C6531" s="6">
        <v>2500</v>
      </c>
      <c r="D6531" s="7">
        <v>6.16</v>
      </c>
      <c r="E6531" t="s">
        <v>38</v>
      </c>
    </row>
    <row r="6532" spans="1:5" x14ac:dyDescent="0.25">
      <c r="A6532" t="str">
        <f>HYPERLINK("https://www.773grp.com/globalSearch/LP5526TL-NOPB/page-1", "LP5526TL-NOPB")</f>
        <v>LP5526TL-NOPB</v>
      </c>
      <c r="B6532" s="3" t="str">
        <f>HYPERLINK("https://www.773grp.com/manufacturer/national-semiconductor?pageNo=99", "National Semiconductor")</f>
        <v>National Semiconductor</v>
      </c>
      <c r="C6532" s="6">
        <v>571</v>
      </c>
      <c r="D6532" s="7">
        <v>6.16</v>
      </c>
    </row>
    <row r="6533" spans="1:5" x14ac:dyDescent="0.25">
      <c r="A6533" t="str">
        <f>HYPERLINK("https://www.773grp.com/globalSearch/ADC0844CCN-NOPB/page-1", "ADC0844CCN-NOPB")</f>
        <v>ADC0844CCN-NOPB</v>
      </c>
      <c r="B6533" s="3" t="str">
        <f>HYPERLINK("https://www.773grp.com/manufacturer/national-semiconductor?pageNo=100", "National Semiconductor")</f>
        <v>National Semiconductor</v>
      </c>
      <c r="C6533" s="6">
        <v>86</v>
      </c>
      <c r="D6533" s="7">
        <v>6.16</v>
      </c>
      <c r="E6533" t="s">
        <v>39</v>
      </c>
    </row>
    <row r="6534" spans="1:5" x14ac:dyDescent="0.25">
      <c r="A6534" t="str">
        <f>HYPERLINK("https://www.773grp.com/globalSearch/ADC124S101CIMM-NOPB/page-1", "ADC124S101CIMM-NOPB")</f>
        <v>ADC124S101CIMM-NOPB</v>
      </c>
      <c r="B6534" s="3" t="str">
        <f>HYPERLINK("https://www.773grp.com/manufacturer/national-semiconductor?pageNo=101", "National Semiconductor")</f>
        <v>National Semiconductor</v>
      </c>
      <c r="C6534" s="6">
        <v>2000</v>
      </c>
      <c r="D6534" s="7">
        <v>6.16</v>
      </c>
    </row>
    <row r="6535" spans="1:5" x14ac:dyDescent="0.25">
      <c r="A6535" t="str">
        <f>HYPERLINK("https://www.773grp.com/globalSearch/ADC124S101CIMMX-NOPB/page-1", "ADC124S101CIMMX-NOPB")</f>
        <v>ADC124S101CIMMX-NOPB</v>
      </c>
      <c r="B6535" s="3" t="str">
        <f>HYPERLINK("https://www.773grp.com/manufacturer/national-semiconductor?pageNo=102", "National Semiconductor")</f>
        <v>National Semiconductor</v>
      </c>
      <c r="C6535" s="6">
        <v>6815</v>
      </c>
      <c r="D6535" s="7">
        <v>6.16</v>
      </c>
    </row>
    <row r="6536" spans="1:5" x14ac:dyDescent="0.25">
      <c r="A6536" t="str">
        <f>HYPERLINK("https://www.773grp.com/globalSearch/LF442ACN-NOPB/page-1", "LF442ACN-NOPB")</f>
        <v>LF442ACN-NOPB</v>
      </c>
      <c r="B6536" s="3" t="str">
        <f>HYPERLINK("https://www.773grp.com/manufacturer/national-semiconductor?pageNo=103", "National Semiconductor")</f>
        <v>National Semiconductor</v>
      </c>
      <c r="C6536" s="6">
        <v>274</v>
      </c>
      <c r="D6536" s="7">
        <v>6.16</v>
      </c>
    </row>
    <row r="6537" spans="1:5" x14ac:dyDescent="0.25">
      <c r="A6537" t="str">
        <f>HYPERLINK("https://www.773grp.com/globalSearch/LM20145QMHE-NOPB/page-1", "LM20145QMHE-NOPB")</f>
        <v>LM20145QMHE-NOPB</v>
      </c>
      <c r="B6537" s="3" t="str">
        <f>HYPERLINK("https://www.773grp.com/manufacturer/national-semiconductor?pageNo=104", "National Semiconductor")</f>
        <v>National Semiconductor</v>
      </c>
      <c r="C6537" s="6">
        <v>500</v>
      </c>
      <c r="D6537" s="7">
        <v>6.16</v>
      </c>
    </row>
    <row r="6538" spans="1:5" x14ac:dyDescent="0.25">
      <c r="A6538" t="str">
        <f>HYPERLINK("https://www.773grp.com/globalSearch/LM22676QMRE-5.0-NOPB/page-1", "LM22676QMRE-5.0-NOPB")</f>
        <v>LM22676QMRE-5.0-NOPB</v>
      </c>
      <c r="B6538" s="3" t="str">
        <f>HYPERLINK("https://www.773grp.com/manufacturer/national-semiconductor?pageNo=105", "National Semiconductor")</f>
        <v>National Semiconductor</v>
      </c>
      <c r="C6538" s="6">
        <v>3250</v>
      </c>
      <c r="D6538" s="7">
        <v>6.16</v>
      </c>
    </row>
    <row r="6539" spans="1:5" x14ac:dyDescent="0.25">
      <c r="A6539" t="str">
        <f>HYPERLINK("https://www.773grp.com/globalSearch/LM22676QMRE-ADJ-NOPB/page-1", "LM22676QMRE-ADJ-NOPB")</f>
        <v>LM22676QMRE-ADJ-NOPB</v>
      </c>
      <c r="B6539" s="3" t="str">
        <f>HYPERLINK("https://www.773grp.com/manufacturer/national-semiconductor?pageNo=106", "National Semiconductor")</f>
        <v>National Semiconductor</v>
      </c>
      <c r="C6539" s="6">
        <v>3250</v>
      </c>
      <c r="D6539" s="7">
        <v>6.16</v>
      </c>
    </row>
    <row r="6540" spans="1:5" x14ac:dyDescent="0.25">
      <c r="A6540" t="str">
        <f>HYPERLINK("https://www.773grp.com/globalSearch/LM22676QTJE-5.0-NOPB/page-1", "LM22676QTJE-5.0-NOPB")</f>
        <v>LM22676QTJE-5.0-NOPB</v>
      </c>
      <c r="B6540" s="3" t="str">
        <f>HYPERLINK("https://www.773grp.com/manufacturer/national-semiconductor?pageNo=107", "National Semiconductor")</f>
        <v>National Semiconductor</v>
      </c>
      <c r="C6540" s="6">
        <v>1750</v>
      </c>
      <c r="D6540" s="7">
        <v>6.16</v>
      </c>
    </row>
    <row r="6541" spans="1:5" x14ac:dyDescent="0.25">
      <c r="A6541" t="str">
        <f>HYPERLINK("https://www.773grp.com/globalSearch/LM22676QTJE-ADJ-NOPB/page-1", "LM22676QTJE-ADJ-NOPB")</f>
        <v>LM22676QTJE-ADJ-NOPB</v>
      </c>
      <c r="B6541" s="3" t="str">
        <f>HYPERLINK("https://www.773grp.com/manufacturer/national-semiconductor?pageNo=108", "National Semiconductor")</f>
        <v>National Semiconductor</v>
      </c>
      <c r="C6541" s="6">
        <v>700</v>
      </c>
      <c r="D6541" s="7">
        <v>6.16</v>
      </c>
    </row>
    <row r="6542" spans="1:5" x14ac:dyDescent="0.25">
      <c r="A6542" t="str">
        <f>HYPERLINK("https://www.773grp.com/globalSearch/LM7171AIM/page-1", "LM7171AIM")</f>
        <v>LM7171AIM</v>
      </c>
      <c r="B6542" s="3" t="str">
        <f>HYPERLINK("https://www.773grp.com/manufacturer/national-semiconductor?pageNo=109", "National Semiconductor")</f>
        <v>National Semiconductor</v>
      </c>
      <c r="C6542" s="6">
        <v>1232</v>
      </c>
      <c r="D6542" s="7">
        <v>6.16</v>
      </c>
    </row>
    <row r="6543" spans="1:5" x14ac:dyDescent="0.25">
      <c r="A6543" t="str">
        <f>HYPERLINK("https://www.773grp.com/globalSearch/LMH6739MQ/page-1", "LMH6739MQ")</f>
        <v>LMH6739MQ</v>
      </c>
      <c r="B6543" s="3" t="str">
        <f>HYPERLINK("https://www.773grp.com/manufacturer/national-semiconductor?pageNo=110", "National Semiconductor")</f>
        <v>National Semiconductor</v>
      </c>
      <c r="C6543" s="6">
        <v>5320</v>
      </c>
      <c r="D6543" s="7">
        <v>6.16</v>
      </c>
      <c r="E6543" t="s">
        <v>18</v>
      </c>
    </row>
    <row r="6544" spans="1:5" x14ac:dyDescent="0.25">
      <c r="A6544" t="str">
        <f>HYPERLINK("https://www.773grp.com/globalSearch/LMH6739MQX/page-1", "LMH6739MQX")</f>
        <v>LMH6739MQX</v>
      </c>
      <c r="B6544" s="3" t="str">
        <f>HYPERLINK("https://www.773grp.com/manufacturer/national-semiconductor?pageNo=111", "National Semiconductor")</f>
        <v>National Semiconductor</v>
      </c>
      <c r="C6544" s="6">
        <v>5000</v>
      </c>
      <c r="D6544" s="7">
        <v>6.16</v>
      </c>
    </row>
    <row r="6545" spans="1:5" x14ac:dyDescent="0.25">
      <c r="A6545" t="str">
        <f>HYPERLINK("https://www.773grp.com/globalSearch/LP5526TL-NOPB/page-1", "LP5526TL-NOPB")</f>
        <v>LP5526TL-NOPB</v>
      </c>
      <c r="B6545" s="3" t="str">
        <f>HYPERLINK("https://www.773grp.com/manufacturer/national-semiconductor?pageNo=112", "National Semiconductor")</f>
        <v>National Semiconductor</v>
      </c>
      <c r="C6545" s="6">
        <v>250</v>
      </c>
      <c r="D6545" s="7">
        <v>6.16</v>
      </c>
    </row>
    <row r="6546" spans="1:5" x14ac:dyDescent="0.25">
      <c r="A6546" t="str">
        <f>HYPERLINK("https://www.773grp.com/globalSearch/SM72295MAE-NOPB/page-1", "SM72295MAE-NOPB")</f>
        <v>SM72295MAE-NOPB</v>
      </c>
      <c r="B6546" s="3" t="str">
        <f>HYPERLINK("https://www.773grp.com/manufacturer/national-semiconductor?pageNo=113", "National Semiconductor")</f>
        <v>National Semiconductor</v>
      </c>
      <c r="C6546" s="6">
        <v>729</v>
      </c>
      <c r="D6546" s="7">
        <v>6.16</v>
      </c>
    </row>
    <row r="6547" spans="1:5" x14ac:dyDescent="0.25">
      <c r="A6547" t="str">
        <f>HYPERLINK("https://www.773grp.com/globalSearch/40098BDM/page-1", "40098BDM")</f>
        <v>40098BDM</v>
      </c>
      <c r="B6547" s="3" t="str">
        <f>HYPERLINK("https://www.773grp.com/manufacturer/national-semiconductor?pageNo=114", "National Semiconductor")</f>
        <v>National Semiconductor</v>
      </c>
      <c r="C6547" s="6">
        <v>6749</v>
      </c>
      <c r="D6547" s="7">
        <v>6.19</v>
      </c>
    </row>
    <row r="6548" spans="1:5" x14ac:dyDescent="0.25">
      <c r="A6548" t="str">
        <f>HYPERLINK("https://www.773grp.com/globalSearch/54LS175FM/page-1", "54LS175FM")</f>
        <v>54LS175FM</v>
      </c>
      <c r="B6548" s="3" t="str">
        <f>HYPERLINK("https://www.773grp.com/manufacturer/national-semiconductor?pageNo=115", "National Semiconductor")</f>
        <v>National Semiconductor</v>
      </c>
      <c r="C6548" s="6">
        <v>652</v>
      </c>
      <c r="D6548" s="7">
        <v>6.19</v>
      </c>
    </row>
    <row r="6549" spans="1:5" x14ac:dyDescent="0.25">
      <c r="A6549" t="str">
        <f>HYPERLINK("https://www.773grp.com/globalSearch/54LS175FMQB/page-1", "54LS175FMQB")</f>
        <v>54LS175FMQB</v>
      </c>
      <c r="B6549" s="3" t="str">
        <f>HYPERLINK("https://www.773grp.com/manufacturer/national-semiconductor?pageNo=116", "National Semiconductor")</f>
        <v>National Semiconductor</v>
      </c>
      <c r="C6549" s="6">
        <v>1788</v>
      </c>
      <c r="D6549" s="7">
        <v>6.19</v>
      </c>
      <c r="E6549" t="s">
        <v>35</v>
      </c>
    </row>
    <row r="6550" spans="1:5" x14ac:dyDescent="0.25">
      <c r="A6550" t="str">
        <f>HYPERLINK("https://www.773grp.com/globalSearch/54LS175W-883/page-1", "54LS175W-883")</f>
        <v>54LS175W-883</v>
      </c>
      <c r="B6550" s="3" t="str">
        <f>HYPERLINK("https://www.773grp.com/manufacturer/national-semiconductor?pageNo=117", "National Semiconductor")</f>
        <v>National Semiconductor</v>
      </c>
      <c r="C6550" s="6">
        <v>293</v>
      </c>
      <c r="D6550" s="7">
        <v>6.19</v>
      </c>
    </row>
    <row r="6551" spans="1:5" x14ac:dyDescent="0.25">
      <c r="A6551" t="str">
        <f>HYPERLINK("https://www.773grp.com/globalSearch/54LS193FM/page-1", "54LS193FM")</f>
        <v>54LS193FM</v>
      </c>
      <c r="B6551" s="3" t="str">
        <f>HYPERLINK("https://www.773grp.com/manufacturer/national-semiconductor?pageNo=118", "National Semiconductor")</f>
        <v>National Semiconductor</v>
      </c>
      <c r="C6551" s="6">
        <v>101</v>
      </c>
      <c r="D6551" s="7">
        <v>6.19</v>
      </c>
    </row>
    <row r="6552" spans="1:5" x14ac:dyDescent="0.25">
      <c r="A6552" t="str">
        <f>HYPERLINK("https://www.773grp.com/globalSearch/54LS193FMQB/page-1", "54LS193FMQB")</f>
        <v>54LS193FMQB</v>
      </c>
      <c r="B6552" s="3" t="str">
        <f>HYPERLINK("https://www.773grp.com/manufacturer/national-semiconductor?pageNo=119", "National Semiconductor")</f>
        <v>National Semiconductor</v>
      </c>
      <c r="C6552" s="6">
        <v>654</v>
      </c>
      <c r="D6552" s="7">
        <v>6.19</v>
      </c>
      <c r="E6552" t="s">
        <v>26</v>
      </c>
    </row>
    <row r="6553" spans="1:5" x14ac:dyDescent="0.25">
      <c r="A6553" t="str">
        <f>HYPERLINK("https://www.773grp.com/globalSearch/54LS245DM/page-1", "54LS245DM")</f>
        <v>54LS245DM</v>
      </c>
      <c r="B6553" s="3" t="str">
        <f>HYPERLINK("https://www.773grp.com/manufacturer/national-semiconductor?pageNo=120", "National Semiconductor")</f>
        <v>National Semiconductor</v>
      </c>
      <c r="C6553" s="6">
        <v>47</v>
      </c>
      <c r="D6553" s="7">
        <v>6.19</v>
      </c>
      <c r="E6553" t="s">
        <v>14</v>
      </c>
    </row>
    <row r="6554" spans="1:5" x14ac:dyDescent="0.25">
      <c r="A6554" t="str">
        <f>HYPERLINK("https://www.773grp.com/globalSearch/54LS245DMQB/page-1", "54LS245DMQB")</f>
        <v>54LS245DMQB</v>
      </c>
      <c r="B6554" s="3" t="str">
        <f>HYPERLINK("https://www.773grp.com/manufacturer/national-semiconductor?pageNo=121", "National Semiconductor")</f>
        <v>National Semiconductor</v>
      </c>
      <c r="C6554" s="6">
        <v>2</v>
      </c>
      <c r="D6554" s="7">
        <v>6.19</v>
      </c>
      <c r="E6554" t="s">
        <v>14</v>
      </c>
    </row>
    <row r="6555" spans="1:5" x14ac:dyDescent="0.25">
      <c r="A6555" t="str">
        <f>HYPERLINK("https://www.773grp.com/globalSearch/54S253DM/page-1", "54S253DM")</f>
        <v>54S253DM</v>
      </c>
      <c r="B6555" s="3" t="str">
        <f>HYPERLINK("https://www.773grp.com/manufacturer/national-semiconductor?pageNo=122", "National Semiconductor")</f>
        <v>National Semiconductor</v>
      </c>
      <c r="C6555" s="6">
        <v>472</v>
      </c>
      <c r="D6555" s="7">
        <v>6.19</v>
      </c>
    </row>
    <row r="6556" spans="1:5" x14ac:dyDescent="0.25">
      <c r="A6556" t="str">
        <f>HYPERLINK("https://www.773grp.com/globalSearch/DM54LS03W-883/page-1", "DM54LS03W-883")</f>
        <v>DM54LS03W-883</v>
      </c>
      <c r="B6556" s="3" t="str">
        <f>HYPERLINK("https://www.773grp.com/manufacturer/national-semiconductor?pageNo=123", "National Semiconductor")</f>
        <v>National Semiconductor</v>
      </c>
      <c r="C6556" s="6">
        <v>98</v>
      </c>
      <c r="D6556" s="7">
        <v>6.19</v>
      </c>
      <c r="E6556" t="s">
        <v>31</v>
      </c>
    </row>
    <row r="6557" spans="1:5" x14ac:dyDescent="0.25">
      <c r="A6557" t="str">
        <f>HYPERLINK("https://www.773grp.com/globalSearch/DP83848IVV-NOPB/page-1", "DP83848IVV-NOPB")</f>
        <v>DP83848IVV-NOPB</v>
      </c>
      <c r="B6557" s="3" t="str">
        <f>HYPERLINK("https://www.773grp.com/manufacturer/national-semiconductor?pageNo=124", "National Semiconductor")</f>
        <v>National Semiconductor</v>
      </c>
      <c r="C6557" s="6">
        <v>28</v>
      </c>
      <c r="D6557" s="7">
        <v>6.19</v>
      </c>
      <c r="E6557" t="s">
        <v>55</v>
      </c>
    </row>
    <row r="6558" spans="1:5" x14ac:dyDescent="0.25">
      <c r="A6558" t="str">
        <f>HYPERLINK("https://www.773grp.com/globalSearch/DP83848IVVX-NOPB/page-1", "DP83848IVVX-NOPB")</f>
        <v>DP83848IVVX-NOPB</v>
      </c>
      <c r="B6558" s="3" t="str">
        <f>HYPERLINK("https://www.773grp.com/manufacturer/national-semiconductor?pageNo=125", "National Semiconductor")</f>
        <v>National Semiconductor</v>
      </c>
      <c r="C6558" s="6">
        <v>1850</v>
      </c>
      <c r="D6558" s="7">
        <v>6.19</v>
      </c>
    </row>
    <row r="6559" spans="1:5" x14ac:dyDescent="0.25">
      <c r="A6559" t="str">
        <f>HYPERLINK("https://www.773grp.com/globalSearch/GAL20V8-20LVC/page-1", "GAL20V8-20LVC")</f>
        <v>GAL20V8-20LVC</v>
      </c>
      <c r="B6559" s="3" t="str">
        <f>HYPERLINK("https://www.773grp.com/manufacturer/national-semiconductor?pageNo=126", "National Semiconductor")</f>
        <v>National Semiconductor</v>
      </c>
      <c r="C6559" s="6">
        <v>5645</v>
      </c>
      <c r="D6559" s="7">
        <v>6.19</v>
      </c>
      <c r="E6559" t="s">
        <v>51</v>
      </c>
    </row>
    <row r="6560" spans="1:5" x14ac:dyDescent="0.25">
      <c r="A6560" t="str">
        <f>HYPERLINK("https://www.773grp.com/globalSearch/LM2678SDX-5.0-NOPB/page-1", "LM2678SDX-5.0-NOPB")</f>
        <v>LM2678SDX-5.0-NOPB</v>
      </c>
      <c r="B6560" s="3" t="str">
        <f>HYPERLINK("https://www.773grp.com/manufacturer/national-semiconductor?pageNo=127", "National Semiconductor")</f>
        <v>National Semiconductor</v>
      </c>
      <c r="C6560" s="6">
        <v>5000</v>
      </c>
      <c r="D6560" s="7">
        <v>6.19</v>
      </c>
      <c r="E6560" t="s">
        <v>7</v>
      </c>
    </row>
    <row r="6561" spans="1:5" x14ac:dyDescent="0.25">
      <c r="A6561" t="str">
        <f>HYPERLINK("https://www.773grp.com/globalSearch/LM2678SX-3.3-NOPB/page-1", "LM2678SX-3.3-NOPB")</f>
        <v>LM2678SX-3.3-NOPB</v>
      </c>
      <c r="B6561" s="3" t="str">
        <f>HYPERLINK("https://www.773grp.com/manufacturer/national-semiconductor?pageNo=128", "National Semiconductor")</f>
        <v>National Semiconductor</v>
      </c>
      <c r="C6561" s="6">
        <v>8000</v>
      </c>
      <c r="D6561" s="7">
        <v>6.19</v>
      </c>
      <c r="E6561" t="s">
        <v>7</v>
      </c>
    </row>
    <row r="6562" spans="1:5" x14ac:dyDescent="0.25">
      <c r="A6562" t="str">
        <f>HYPERLINK("https://www.773grp.com/globalSearch/LM2678SX-5.0-NOPB/page-1", "LM2678SX-5.0-NOPB")</f>
        <v>LM2678SX-5.0-NOPB</v>
      </c>
      <c r="B6562" s="3" t="str">
        <f>HYPERLINK("https://www.773grp.com/manufacturer/national-semiconductor?pageNo=129", "National Semiconductor")</f>
        <v>National Semiconductor</v>
      </c>
      <c r="C6562" s="6">
        <v>500</v>
      </c>
      <c r="D6562" s="7">
        <v>6.19</v>
      </c>
      <c r="E6562" t="s">
        <v>7</v>
      </c>
    </row>
    <row r="6563" spans="1:5" x14ac:dyDescent="0.25">
      <c r="A6563" t="str">
        <f>HYPERLINK("https://www.773grp.com/globalSearch/LM2678SX-ADJ-NOPB/page-1", "LM2678SX-ADJ-NOPB")</f>
        <v>LM2678SX-ADJ-NOPB</v>
      </c>
      <c r="B6563" s="3" t="str">
        <f>HYPERLINK("https://www.773grp.com/manufacturer/national-semiconductor?pageNo=130", "National Semiconductor")</f>
        <v>National Semiconductor</v>
      </c>
      <c r="C6563" s="6">
        <v>2941</v>
      </c>
      <c r="D6563" s="7">
        <v>6.19</v>
      </c>
      <c r="E6563" t="s">
        <v>7</v>
      </c>
    </row>
    <row r="6564" spans="1:5" x14ac:dyDescent="0.25">
      <c r="A6564" t="str">
        <f>HYPERLINK("https://www.773grp.com/globalSearch/LM2678T-3.3-NOPB/page-1", "LM2678T-3.3-NOPB")</f>
        <v>LM2678T-3.3-NOPB</v>
      </c>
      <c r="B6564" s="3" t="str">
        <f>HYPERLINK("https://www.773grp.com/manufacturer/national-semiconductor?pageNo=131", "National Semiconductor")</f>
        <v>National Semiconductor</v>
      </c>
      <c r="C6564" s="6">
        <v>560</v>
      </c>
      <c r="D6564" s="7">
        <v>6.19</v>
      </c>
    </row>
    <row r="6565" spans="1:5" x14ac:dyDescent="0.25">
      <c r="A6565" t="str">
        <f>HYPERLINK("https://www.773grp.com/globalSearch/LM2678T-5.0-NOPB/page-1", "LM2678T-5.0-NOPB")</f>
        <v>LM2678T-5.0-NOPB</v>
      </c>
      <c r="B6565" s="3" t="str">
        <f>HYPERLINK("https://www.773grp.com/manufacturer/national-semiconductor?pageNo=132", "National Semiconductor")</f>
        <v>National Semiconductor</v>
      </c>
      <c r="C6565" s="6">
        <v>80</v>
      </c>
      <c r="D6565" s="7">
        <v>6.19</v>
      </c>
      <c r="E6565" t="s">
        <v>7</v>
      </c>
    </row>
    <row r="6566" spans="1:5" x14ac:dyDescent="0.25">
      <c r="A6566" t="str">
        <f>HYPERLINK("https://www.773grp.com/globalSearch/LM2678T-ADJ-NOPB/page-1", "LM2678T-ADJ-NOPB")</f>
        <v>LM2678T-ADJ-NOPB</v>
      </c>
      <c r="B6566" s="3" t="str">
        <f>HYPERLINK("https://www.773grp.com/manufacturer/national-semiconductor?pageNo=133", "National Semiconductor")</f>
        <v>National Semiconductor</v>
      </c>
      <c r="C6566" s="6">
        <v>37</v>
      </c>
      <c r="D6566" s="7">
        <v>6.19</v>
      </c>
    </row>
    <row r="6567" spans="1:5" x14ac:dyDescent="0.25">
      <c r="A6567" t="str">
        <f>HYPERLINK("https://www.773grp.com/globalSearch/LM4946SQ-NOPB/page-1", "LM4946SQ-NOPB")</f>
        <v>LM4946SQ-NOPB</v>
      </c>
      <c r="B6567" s="3" t="str">
        <f>HYPERLINK("https://www.773grp.com/manufacturer/national-semiconductor?pageNo=134", "National Semiconductor")</f>
        <v>National Semiconductor</v>
      </c>
      <c r="C6567" s="6">
        <v>3000</v>
      </c>
      <c r="D6567" s="7">
        <v>6.19</v>
      </c>
    </row>
    <row r="6568" spans="1:5" x14ac:dyDescent="0.25">
      <c r="A6568" t="str">
        <f>HYPERLINK("https://www.773grp.com/globalSearch/LM6142BIMX/page-1", "LM6142BIMX")</f>
        <v>LM6142BIMX</v>
      </c>
      <c r="B6568" s="3" t="str">
        <f>HYPERLINK("https://www.773grp.com/manufacturer/national-semiconductor?pageNo=1", "National Semiconductor")</f>
        <v>National Semiconductor</v>
      </c>
      <c r="C6568" s="6">
        <v>2140</v>
      </c>
      <c r="D6568" s="7">
        <v>6.19</v>
      </c>
      <c r="E6568" t="s">
        <v>13</v>
      </c>
    </row>
    <row r="6569" spans="1:5" x14ac:dyDescent="0.25">
      <c r="A6569" t="str">
        <f>HYPERLINK("https://www.773grp.com/globalSearch/LM6152ACM-NOPB/page-1", "LM6152ACM-NOPB")</f>
        <v>LM6152ACM-NOPB</v>
      </c>
      <c r="B6569" s="3" t="str">
        <f>HYPERLINK("https://www.773grp.com/manufacturer/national-semiconductor?pageNo=2", "National Semiconductor")</f>
        <v>National Semiconductor</v>
      </c>
      <c r="C6569" s="6">
        <v>107</v>
      </c>
      <c r="D6569" s="7">
        <v>6.19</v>
      </c>
      <c r="E6569" t="s">
        <v>13</v>
      </c>
    </row>
    <row r="6570" spans="1:5" x14ac:dyDescent="0.25">
      <c r="A6570" t="str">
        <f>HYPERLINK("https://www.773grp.com/globalSearch/LME49810TB-NOPB/page-1", "LME49810TB-NOPB")</f>
        <v>LME49810TB-NOPB</v>
      </c>
      <c r="B6570" s="3" t="str">
        <f>HYPERLINK("https://www.773grp.com/manufacturer/national-semiconductor?pageNo=3", "National Semiconductor")</f>
        <v>National Semiconductor</v>
      </c>
      <c r="C6570" s="6">
        <v>143</v>
      </c>
      <c r="D6570" s="7">
        <v>6.19</v>
      </c>
    </row>
    <row r="6571" spans="1:5" x14ac:dyDescent="0.25">
      <c r="A6571" t="str">
        <f>HYPERLINK("https://www.773grp.com/globalSearch/LP2953AIM-NOPB/page-1", "LP2953AIM-NOPB")</f>
        <v>LP2953AIM-NOPB</v>
      </c>
      <c r="B6571" s="3" t="str">
        <f>HYPERLINK("https://www.773grp.com/manufacturer/national-semiconductor?pageNo=4", "National Semiconductor")</f>
        <v>National Semiconductor</v>
      </c>
      <c r="C6571" s="6">
        <v>302</v>
      </c>
      <c r="D6571" s="7">
        <v>6.19</v>
      </c>
      <c r="E6571" t="s">
        <v>27</v>
      </c>
    </row>
    <row r="6572" spans="1:5" x14ac:dyDescent="0.25">
      <c r="A6572" t="str">
        <f>HYPERLINK("https://www.773grp.com/globalSearch/DP83848IVV-NOPB/page-1", "DP83848IVV-NOPB")</f>
        <v>DP83848IVV-NOPB</v>
      </c>
      <c r="B6572" s="3" t="str">
        <f>HYPERLINK("https://www.773grp.com/manufacturer/national-semiconductor?pageNo=5", "National Semiconductor")</f>
        <v>National Semiconductor</v>
      </c>
      <c r="C6572" s="6">
        <v>250</v>
      </c>
      <c r="D6572" s="7">
        <v>6.19</v>
      </c>
      <c r="E6572" t="s">
        <v>55</v>
      </c>
    </row>
    <row r="6573" spans="1:5" x14ac:dyDescent="0.25">
      <c r="A6573" t="str">
        <f>HYPERLINK("https://www.773grp.com/globalSearch/LM2678SX-3.3-NOPB/page-1", "LM2678SX-3.3-NOPB")</f>
        <v>LM2678SX-3.3-NOPB</v>
      </c>
      <c r="B6573" s="3" t="str">
        <f>HYPERLINK("https://www.773grp.com/manufacturer/national-semiconductor?pageNo=6", "National Semiconductor")</f>
        <v>National Semiconductor</v>
      </c>
      <c r="C6573" s="6">
        <v>667</v>
      </c>
      <c r="D6573" s="7">
        <v>6.19</v>
      </c>
      <c r="E6573" t="s">
        <v>7</v>
      </c>
    </row>
    <row r="6574" spans="1:5" x14ac:dyDescent="0.25">
      <c r="A6574" t="str">
        <f>HYPERLINK("https://www.773grp.com/globalSearch/LM2678SX-ADJ-NOPB/page-1", "LM2678SX-ADJ-NOPB")</f>
        <v>LM2678SX-ADJ-NOPB</v>
      </c>
      <c r="B6574" s="3" t="str">
        <f>HYPERLINK("https://www.773grp.com/manufacturer/national-semiconductor?pageNo=7", "National Semiconductor")</f>
        <v>National Semiconductor</v>
      </c>
      <c r="C6574" s="6">
        <v>453</v>
      </c>
      <c r="D6574" s="7">
        <v>6.19</v>
      </c>
      <c r="E6574" t="s">
        <v>7</v>
      </c>
    </row>
    <row r="6575" spans="1:5" x14ac:dyDescent="0.25">
      <c r="A6575" t="str">
        <f>HYPERLINK("https://www.773grp.com/globalSearch/LM2678T-12-NOPB/page-1", "LM2678T-12-NOPB")</f>
        <v>LM2678T-12-NOPB</v>
      </c>
      <c r="B6575" s="3" t="str">
        <f>HYPERLINK("https://www.773grp.com/manufacturer/national-semiconductor?pageNo=8", "National Semiconductor")</f>
        <v>National Semiconductor</v>
      </c>
      <c r="C6575" s="6">
        <v>196</v>
      </c>
      <c r="D6575" s="7">
        <v>6.19</v>
      </c>
    </row>
    <row r="6576" spans="1:5" x14ac:dyDescent="0.25">
      <c r="A6576" t="str">
        <f>HYPERLINK("https://www.773grp.com/globalSearch/LM2678T-3.3-NOPB/page-1", "LM2678T-3.3-NOPB")</f>
        <v>LM2678T-3.3-NOPB</v>
      </c>
      <c r="B6576" s="3" t="str">
        <f>HYPERLINK("https://www.773grp.com/manufacturer/national-semiconductor?pageNo=9", "National Semiconductor")</f>
        <v>National Semiconductor</v>
      </c>
      <c r="C6576" s="6">
        <v>601</v>
      </c>
      <c r="D6576" s="7">
        <v>6.19</v>
      </c>
    </row>
    <row r="6577" spans="1:5" x14ac:dyDescent="0.25">
      <c r="A6577" t="str">
        <f>HYPERLINK("https://www.773grp.com/globalSearch/LM2678T-5.0-NOPB/page-1", "LM2678T-5.0-NOPB")</f>
        <v>LM2678T-5.0-NOPB</v>
      </c>
      <c r="B6577" s="3" t="str">
        <f>HYPERLINK("https://www.773grp.com/manufacturer/national-semiconductor?pageNo=10", "National Semiconductor")</f>
        <v>National Semiconductor</v>
      </c>
      <c r="C6577" s="6">
        <v>134</v>
      </c>
      <c r="D6577" s="7">
        <v>6.19</v>
      </c>
      <c r="E6577" t="s">
        <v>7</v>
      </c>
    </row>
    <row r="6578" spans="1:5" x14ac:dyDescent="0.25">
      <c r="A6578" t="str">
        <f>HYPERLINK("https://www.773grp.com/globalSearch/LM2678T-ADJ-NOPB/page-1", "LM2678T-ADJ-NOPB")</f>
        <v>LM2678T-ADJ-NOPB</v>
      </c>
      <c r="B6578" s="3" t="str">
        <f>HYPERLINK("https://www.773grp.com/manufacturer/national-semiconductor?pageNo=11", "National Semiconductor")</f>
        <v>National Semiconductor</v>
      </c>
      <c r="C6578" s="6">
        <v>11750</v>
      </c>
      <c r="D6578" s="7">
        <v>6.19</v>
      </c>
    </row>
    <row r="6579" spans="1:5" x14ac:dyDescent="0.25">
      <c r="A6579" t="str">
        <f>HYPERLINK("https://www.773grp.com/globalSearch/LM4946SQ-NOPB/page-1", "LM4946SQ-NOPB")</f>
        <v>LM4946SQ-NOPB</v>
      </c>
      <c r="B6579" s="3" t="str">
        <f>HYPERLINK("https://www.773grp.com/manufacturer/national-semiconductor?pageNo=12", "National Semiconductor")</f>
        <v>National Semiconductor</v>
      </c>
      <c r="C6579" s="6">
        <v>2000</v>
      </c>
      <c r="D6579" s="7">
        <v>6.19</v>
      </c>
    </row>
    <row r="6580" spans="1:5" x14ac:dyDescent="0.25">
      <c r="A6580" t="str">
        <f>HYPERLINK("https://www.773grp.com/globalSearch/LM4946TMX-NOPB/page-1", "LM4946TMX-NOPB")</f>
        <v>LM4946TMX-NOPB</v>
      </c>
      <c r="B6580" s="3" t="str">
        <f>HYPERLINK("https://www.773grp.com/manufacturer/national-semiconductor?pageNo=13", "National Semiconductor")</f>
        <v>National Semiconductor</v>
      </c>
      <c r="C6580" s="6">
        <v>6000</v>
      </c>
      <c r="D6580" s="7">
        <v>6.19</v>
      </c>
    </row>
    <row r="6581" spans="1:5" x14ac:dyDescent="0.25">
      <c r="A6581" t="str">
        <f>HYPERLINK("https://www.773grp.com/globalSearch/LM6142BIMX/page-1", "LM6142BIMX")</f>
        <v>LM6142BIMX</v>
      </c>
      <c r="B6581" s="3" t="str">
        <f>HYPERLINK("https://www.773grp.com/manufacturer/national-semiconductor?pageNo=14", "National Semiconductor")</f>
        <v>National Semiconductor</v>
      </c>
      <c r="C6581" s="6">
        <v>5000</v>
      </c>
      <c r="D6581" s="7">
        <v>6.19</v>
      </c>
      <c r="E6581" t="s">
        <v>13</v>
      </c>
    </row>
    <row r="6582" spans="1:5" x14ac:dyDescent="0.25">
      <c r="A6582" t="str">
        <f>HYPERLINK("https://www.773grp.com/globalSearch/LM6152ACM-NOPB/page-1", "LM6152ACM-NOPB")</f>
        <v>LM6152ACM-NOPB</v>
      </c>
      <c r="B6582" s="3" t="str">
        <f>HYPERLINK("https://www.773grp.com/manufacturer/national-semiconductor?pageNo=15", "National Semiconductor")</f>
        <v>National Semiconductor</v>
      </c>
      <c r="C6582" s="6">
        <v>149</v>
      </c>
      <c r="D6582" s="7">
        <v>6.19</v>
      </c>
      <c r="E6582" t="s">
        <v>13</v>
      </c>
    </row>
    <row r="6583" spans="1:5" x14ac:dyDescent="0.25">
      <c r="A6583" t="str">
        <f>HYPERLINK("https://www.773grp.com/globalSearch/LME49810TB-NOPB/page-1", "LME49810TB-NOPB")</f>
        <v>LME49810TB-NOPB</v>
      </c>
      <c r="B6583" s="3" t="str">
        <f>HYPERLINK("https://www.773grp.com/manufacturer/national-semiconductor?pageNo=16", "National Semiconductor")</f>
        <v>National Semiconductor</v>
      </c>
      <c r="C6583" s="6">
        <v>1062</v>
      </c>
      <c r="D6583" s="7">
        <v>6.19</v>
      </c>
    </row>
    <row r="6584" spans="1:5" x14ac:dyDescent="0.25">
      <c r="A6584" t="str">
        <f>HYPERLINK("https://www.773grp.com/globalSearch/LP2953AIM-NOPB/page-1", "LP2953AIM-NOPB")</f>
        <v>LP2953AIM-NOPB</v>
      </c>
      <c r="B6584" s="3" t="str">
        <f>HYPERLINK("https://www.773grp.com/manufacturer/national-semiconductor?pageNo=17", "National Semiconductor")</f>
        <v>National Semiconductor</v>
      </c>
      <c r="C6584" s="6">
        <v>1558</v>
      </c>
      <c r="D6584" s="7">
        <v>6.19</v>
      </c>
      <c r="E6584" t="s">
        <v>27</v>
      </c>
    </row>
    <row r="6585" spans="1:5" x14ac:dyDescent="0.25">
      <c r="A6585" t="str">
        <f>HYPERLINK("https://www.773grp.com/globalSearch/XTR300AIRGWT/page-1", "XTR300AIRGWT")</f>
        <v>XTR300AIRGWT</v>
      </c>
      <c r="B6585" s="3" t="str">
        <f>HYPERLINK("https://www.773grp.com/manufacturer/national-semiconductor?pageNo=18", "National Semiconductor")</f>
        <v>National Semiconductor</v>
      </c>
      <c r="C6585" s="6">
        <v>1250</v>
      </c>
      <c r="D6585" s="7">
        <v>6.19</v>
      </c>
    </row>
    <row r="6586" spans="1:5" x14ac:dyDescent="0.25">
      <c r="A6586" t="str">
        <f>HYPERLINK("https://www.773grp.com/globalSearch/54LS195AFMQB/page-1", "54LS195AFMQB")</f>
        <v>54LS195AFMQB</v>
      </c>
      <c r="B6586" s="3" t="str">
        <f>HYPERLINK("https://www.773grp.com/manufacturer/national-semiconductor?pageNo=19", "National Semiconductor")</f>
        <v>National Semiconductor</v>
      </c>
      <c r="C6586" s="6">
        <v>179</v>
      </c>
      <c r="D6586" s="7">
        <v>6.21</v>
      </c>
      <c r="E6586" t="s">
        <v>32</v>
      </c>
    </row>
    <row r="6587" spans="1:5" x14ac:dyDescent="0.25">
      <c r="A6587" t="str">
        <f>HYPERLINK("https://www.773grp.com/globalSearch/74ACTQ241SC/page-1", "74ACTQ241SC")</f>
        <v>74ACTQ241SC</v>
      </c>
      <c r="B6587" s="3" t="str">
        <f>HYPERLINK("https://www.773grp.com/manufacturer/national-semiconductor?pageNo=20", "National Semiconductor")</f>
        <v>National Semiconductor</v>
      </c>
      <c r="C6587" s="6">
        <v>886</v>
      </c>
      <c r="D6587" s="7">
        <v>6.21</v>
      </c>
      <c r="E6587" t="s">
        <v>14</v>
      </c>
    </row>
    <row r="6588" spans="1:5" x14ac:dyDescent="0.25">
      <c r="A6588" t="str">
        <f>HYPERLINK("https://www.773grp.com/globalSearch/ADC0803LCN-NOPB/page-1", "ADC0803LCN-NOPB")</f>
        <v>ADC0803LCN-NOPB</v>
      </c>
      <c r="B6588" s="3" t="str">
        <f>HYPERLINK("https://www.773grp.com/manufacturer/national-semiconductor?pageNo=21", "National Semiconductor")</f>
        <v>National Semiconductor</v>
      </c>
      <c r="C6588" s="6">
        <v>180</v>
      </c>
      <c r="D6588" s="7">
        <v>6.21</v>
      </c>
      <c r="E6588" t="s">
        <v>39</v>
      </c>
    </row>
    <row r="6589" spans="1:5" x14ac:dyDescent="0.25">
      <c r="A6589" t="str">
        <f>HYPERLINK("https://www.773grp.com/globalSearch/MM54HC253J/page-1", "MM54HC253J")</f>
        <v>MM54HC253J</v>
      </c>
      <c r="B6589" s="3" t="str">
        <f>HYPERLINK("https://www.773grp.com/manufacturer/national-semiconductor?pageNo=22", "National Semiconductor")</f>
        <v>National Semiconductor</v>
      </c>
      <c r="C6589" s="6">
        <v>253</v>
      </c>
      <c r="D6589" s="7">
        <v>6.21</v>
      </c>
      <c r="E6589" t="s">
        <v>20</v>
      </c>
    </row>
    <row r="6590" spans="1:5" x14ac:dyDescent="0.25">
      <c r="A6590" t="str">
        <f>HYPERLINK("https://www.773grp.com/globalSearch/ADC0803LCN-NOPB/page-1", "ADC0803LCN-NOPB")</f>
        <v>ADC0803LCN-NOPB</v>
      </c>
      <c r="B6590" s="3" t="str">
        <f>HYPERLINK("https://www.773grp.com/manufacturer/national-semiconductor?pageNo=23", "National Semiconductor")</f>
        <v>National Semiconductor</v>
      </c>
      <c r="C6590" s="6">
        <v>631</v>
      </c>
      <c r="D6590" s="7">
        <v>6.21</v>
      </c>
      <c r="E6590" t="s">
        <v>39</v>
      </c>
    </row>
    <row r="6591" spans="1:5" x14ac:dyDescent="0.25">
      <c r="A6591" t="str">
        <f>HYPERLINK("https://www.773grp.com/globalSearch/54ALS00AW-883/page-1", "54ALS00AW-883")</f>
        <v>54ALS00AW-883</v>
      </c>
      <c r="B6591" s="3" t="str">
        <f>HYPERLINK("https://www.773grp.com/manufacturer/national-semiconductor?pageNo=24", "National Semiconductor")</f>
        <v>National Semiconductor</v>
      </c>
      <c r="C6591" s="6">
        <v>308</v>
      </c>
      <c r="D6591" s="7">
        <v>6.25</v>
      </c>
    </row>
    <row r="6592" spans="1:5" x14ac:dyDescent="0.25">
      <c r="A6592" t="str">
        <f>HYPERLINK("https://www.773grp.com/globalSearch/54ALS02W-883/page-1", "54ALS02W-883")</f>
        <v>54ALS02W-883</v>
      </c>
      <c r="B6592" s="3" t="str">
        <f>HYPERLINK("https://www.773grp.com/manufacturer/national-semiconductor?pageNo=25", "National Semiconductor")</f>
        <v>National Semiconductor</v>
      </c>
      <c r="C6592" s="6">
        <v>4</v>
      </c>
      <c r="D6592" s="7">
        <v>6.25</v>
      </c>
    </row>
    <row r="6593" spans="1:5" x14ac:dyDescent="0.25">
      <c r="A6593" t="str">
        <f>HYPERLINK("https://www.773grp.com/globalSearch/54ALS11AW-883/page-1", "54ALS11AW-883")</f>
        <v>54ALS11AW-883</v>
      </c>
      <c r="B6593" s="3" t="str">
        <f>HYPERLINK("https://www.773grp.com/manufacturer/national-semiconductor?pageNo=26", "National Semiconductor")</f>
        <v>National Semiconductor</v>
      </c>
      <c r="C6593" s="6">
        <v>303</v>
      </c>
      <c r="D6593" s="7">
        <v>6.25</v>
      </c>
    </row>
    <row r="6594" spans="1:5" x14ac:dyDescent="0.25">
      <c r="A6594" t="str">
        <f>HYPERLINK("https://www.773grp.com/globalSearch/54ALS20AW-883/page-1", "54ALS20AW-883")</f>
        <v>54ALS20AW-883</v>
      </c>
      <c r="B6594" s="3" t="str">
        <f>HYPERLINK("https://www.773grp.com/manufacturer/national-semiconductor?pageNo=27", "National Semiconductor")</f>
        <v>National Semiconductor</v>
      </c>
      <c r="C6594" s="6">
        <v>470</v>
      </c>
      <c r="D6594" s="7">
        <v>6.25</v>
      </c>
    </row>
    <row r="6595" spans="1:5" x14ac:dyDescent="0.25">
      <c r="A6595" t="str">
        <f>HYPERLINK("https://www.773grp.com/globalSearch/54ALS21AW-883/page-1", "54ALS21AW-883")</f>
        <v>54ALS21AW-883</v>
      </c>
      <c r="B6595" s="3" t="str">
        <f>HYPERLINK("https://www.773grp.com/manufacturer/national-semiconductor?pageNo=28", "National Semiconductor")</f>
        <v>National Semiconductor</v>
      </c>
      <c r="C6595" s="6">
        <v>2049</v>
      </c>
      <c r="D6595" s="7">
        <v>6.25</v>
      </c>
    </row>
    <row r="6596" spans="1:5" x14ac:dyDescent="0.25">
      <c r="A6596" t="str">
        <f>HYPERLINK("https://www.773grp.com/globalSearch/54ALS27W-883/page-1", "54ALS27W-883")</f>
        <v>54ALS27W-883</v>
      </c>
      <c r="B6596" s="3" t="str">
        <f>HYPERLINK("https://www.773grp.com/manufacturer/national-semiconductor?pageNo=29", "National Semiconductor")</f>
        <v>National Semiconductor</v>
      </c>
      <c r="C6596" s="6">
        <v>1055</v>
      </c>
      <c r="D6596" s="7">
        <v>6.25</v>
      </c>
    </row>
    <row r="6597" spans="1:5" x14ac:dyDescent="0.25">
      <c r="A6597" t="str">
        <f>HYPERLINK("https://www.773grp.com/globalSearch/54ALS30AW-883/page-1", "54ALS30AW-883")</f>
        <v>54ALS30AW-883</v>
      </c>
      <c r="B6597" s="3" t="str">
        <f>HYPERLINK("https://www.773grp.com/manufacturer/national-semiconductor?pageNo=30", "National Semiconductor")</f>
        <v>National Semiconductor</v>
      </c>
      <c r="C6597" s="6">
        <v>1215</v>
      </c>
      <c r="D6597" s="7">
        <v>6.25</v>
      </c>
    </row>
    <row r="6598" spans="1:5" x14ac:dyDescent="0.25">
      <c r="A6598" t="str">
        <f>HYPERLINK("https://www.773grp.com/globalSearch/54ALS32W-883/page-1", "54ALS32W-883")</f>
        <v>54ALS32W-883</v>
      </c>
      <c r="B6598" s="3" t="str">
        <f>HYPERLINK("https://www.773grp.com/manufacturer/national-semiconductor?pageNo=31", "National Semiconductor")</f>
        <v>National Semiconductor</v>
      </c>
      <c r="C6598" s="6">
        <v>1491</v>
      </c>
      <c r="D6598" s="7">
        <v>6.25</v>
      </c>
    </row>
    <row r="6599" spans="1:5" x14ac:dyDescent="0.25">
      <c r="A6599" t="str">
        <f>HYPERLINK("https://www.773grp.com/globalSearch/DS90CF364MTDX-NOPB/page-1", "DS90CF364MTDX-NOPB")</f>
        <v>DS90CF364MTDX-NOPB</v>
      </c>
      <c r="B6599" s="3" t="str">
        <f>HYPERLINK("https://www.773grp.com/manufacturer/national-semiconductor?pageNo=32", "National Semiconductor")</f>
        <v>National Semiconductor</v>
      </c>
      <c r="C6599" s="6">
        <v>1000</v>
      </c>
      <c r="D6599" s="7">
        <v>6.25</v>
      </c>
      <c r="E6599" t="s">
        <v>21</v>
      </c>
    </row>
    <row r="6600" spans="1:5" x14ac:dyDescent="0.25">
      <c r="A6600" t="str">
        <f>HYPERLINK("https://www.773grp.com/globalSearch/DS92LV010ATM/page-1", "DS92LV010ATM")</f>
        <v>DS92LV010ATM</v>
      </c>
      <c r="B6600" s="3" t="str">
        <f>HYPERLINK("https://www.773grp.com/manufacturer/national-semiconductor?pageNo=33", "National Semiconductor")</f>
        <v>National Semiconductor</v>
      </c>
      <c r="C6600" s="6">
        <v>1890</v>
      </c>
      <c r="D6600" s="7">
        <v>6.25</v>
      </c>
      <c r="E6600" t="s">
        <v>21</v>
      </c>
    </row>
    <row r="6601" spans="1:5" x14ac:dyDescent="0.25">
      <c r="A6601" t="str">
        <f>HYPERLINK("https://www.773grp.com/globalSearch/LF13332N/page-1", "LF13332N")</f>
        <v>LF13332N</v>
      </c>
      <c r="B6601" s="3" t="str">
        <f>HYPERLINK("https://www.773grp.com/manufacturer/national-semiconductor?pageNo=34", "National Semiconductor")</f>
        <v>National Semiconductor</v>
      </c>
      <c r="C6601" s="6">
        <v>500</v>
      </c>
      <c r="D6601" s="7">
        <v>6.25</v>
      </c>
      <c r="E6601" t="s">
        <v>56</v>
      </c>
    </row>
    <row r="6602" spans="1:5" x14ac:dyDescent="0.25">
      <c r="A6602" t="str">
        <f>HYPERLINK("https://www.773grp.com/globalSearch/LF411ACN/page-1", "LF411ACN")</f>
        <v>LF411ACN</v>
      </c>
      <c r="B6602" s="3" t="str">
        <f>HYPERLINK("https://www.773grp.com/manufacturer/national-semiconductor?pageNo=35", "National Semiconductor")</f>
        <v>National Semiconductor</v>
      </c>
      <c r="C6602" s="6">
        <v>3087</v>
      </c>
      <c r="D6602" s="7">
        <v>6.25</v>
      </c>
      <c r="E6602" t="s">
        <v>13</v>
      </c>
    </row>
    <row r="6603" spans="1:5" x14ac:dyDescent="0.25">
      <c r="A6603" t="str">
        <f>HYPERLINK("https://www.773grp.com/globalSearch/LM20343MH-NOPB/page-1", "LM20343MH-NOPB")</f>
        <v>LM20343MH-NOPB</v>
      </c>
      <c r="B6603" s="3" t="str">
        <f>HYPERLINK("https://www.773grp.com/manufacturer/national-semiconductor?pageNo=36", "National Semiconductor")</f>
        <v>National Semiconductor</v>
      </c>
      <c r="C6603" s="6">
        <v>94</v>
      </c>
      <c r="D6603" s="7">
        <v>6.25</v>
      </c>
    </row>
    <row r="6604" spans="1:5" x14ac:dyDescent="0.25">
      <c r="A6604" t="str">
        <f>HYPERLINK("https://www.773grp.com/globalSearch/LM22670MR-5.0-NOPB/page-1", "LM22670MR-5.0-NOPB")</f>
        <v>LM22670MR-5.0-NOPB</v>
      </c>
      <c r="B6604" s="3" t="str">
        <f>HYPERLINK("https://www.773grp.com/manufacturer/national-semiconductor?pageNo=37", "National Semiconductor")</f>
        <v>National Semiconductor</v>
      </c>
      <c r="C6604" s="6">
        <v>837</v>
      </c>
      <c r="D6604" s="7">
        <v>6.25</v>
      </c>
    </row>
    <row r="6605" spans="1:5" x14ac:dyDescent="0.25">
      <c r="A6605" t="str">
        <f>HYPERLINK("https://www.773grp.com/globalSearch/LM22670MR-ADJ-NOPB/page-1", "LM22670MR-ADJ-NOPB")</f>
        <v>LM22670MR-ADJ-NOPB</v>
      </c>
      <c r="B6605" s="3" t="str">
        <f>HYPERLINK("https://www.773grp.com/manufacturer/national-semiconductor?pageNo=38", "National Semiconductor")</f>
        <v>National Semiconductor</v>
      </c>
      <c r="C6605" s="6">
        <v>1724</v>
      </c>
      <c r="D6605" s="7">
        <v>6.25</v>
      </c>
    </row>
    <row r="6606" spans="1:5" x14ac:dyDescent="0.25">
      <c r="A6606" t="str">
        <f>HYPERLINK("https://www.773grp.com/globalSearch/LM22673MR-5.0-NOPB/page-1", "LM22673MR-5.0-NOPB")</f>
        <v>LM22673MR-5.0-NOPB</v>
      </c>
      <c r="B6606" s="3" t="str">
        <f>HYPERLINK("https://www.773grp.com/manufacturer/national-semiconductor?pageNo=39", "National Semiconductor")</f>
        <v>National Semiconductor</v>
      </c>
      <c r="C6606" s="6">
        <v>327</v>
      </c>
      <c r="D6606" s="7">
        <v>6.25</v>
      </c>
    </row>
    <row r="6607" spans="1:5" x14ac:dyDescent="0.25">
      <c r="A6607" t="str">
        <f>HYPERLINK("https://www.773grp.com/globalSearch/LM22673MR-ADJ-NOPB/page-1", "LM22673MR-ADJ-NOPB")</f>
        <v>LM22673MR-ADJ-NOPB</v>
      </c>
      <c r="B6607" s="3" t="str">
        <f>HYPERLINK("https://www.773grp.com/manufacturer/national-semiconductor?pageNo=40", "National Semiconductor")</f>
        <v>National Semiconductor</v>
      </c>
      <c r="C6607" s="6">
        <v>1140</v>
      </c>
      <c r="D6607" s="7">
        <v>6.25</v>
      </c>
    </row>
    <row r="6608" spans="1:5" x14ac:dyDescent="0.25">
      <c r="A6608" t="str">
        <f>HYPERLINK("https://www.773grp.com/globalSearch/LM2465TA/page-1", "LM2465TA")</f>
        <v>LM2465TA</v>
      </c>
      <c r="B6608" s="3" t="str">
        <f>HYPERLINK("https://www.773grp.com/manufacturer/national-semiconductor?pageNo=41", "National Semiconductor")</f>
        <v>National Semiconductor</v>
      </c>
      <c r="C6608" s="6">
        <v>13277</v>
      </c>
      <c r="D6608" s="7">
        <v>6.25</v>
      </c>
      <c r="E6608" t="s">
        <v>18</v>
      </c>
    </row>
    <row r="6609" spans="1:5" x14ac:dyDescent="0.25">
      <c r="A6609" t="str">
        <f>HYPERLINK("https://www.773grp.com/globalSearch/LM2594HVM-12-NOPB/page-1", "LM2594HVM-12-NOPB")</f>
        <v>LM2594HVM-12-NOPB</v>
      </c>
      <c r="B6609" s="3" t="str">
        <f>HYPERLINK("https://www.773grp.com/manufacturer/national-semiconductor?pageNo=42", "National Semiconductor")</f>
        <v>National Semiconductor</v>
      </c>
      <c r="C6609" s="6">
        <v>26</v>
      </c>
      <c r="D6609" s="7">
        <v>6.25</v>
      </c>
      <c r="E6609" t="s">
        <v>7</v>
      </c>
    </row>
    <row r="6610" spans="1:5" x14ac:dyDescent="0.25">
      <c r="A6610" t="str">
        <f>HYPERLINK("https://www.773grp.com/globalSearch/LM2594HVM-3.3-NOPB/page-1", "LM2594HVM-3.3-NOPB")</f>
        <v>LM2594HVM-3.3-NOPB</v>
      </c>
      <c r="B6610" s="3" t="str">
        <f>HYPERLINK("https://www.773grp.com/manufacturer/national-semiconductor?pageNo=43", "National Semiconductor")</f>
        <v>National Semiconductor</v>
      </c>
      <c r="C6610" s="6">
        <v>2983</v>
      </c>
      <c r="D6610" s="7">
        <v>6.25</v>
      </c>
      <c r="E6610" t="s">
        <v>7</v>
      </c>
    </row>
    <row r="6611" spans="1:5" x14ac:dyDescent="0.25">
      <c r="A6611" t="str">
        <f>HYPERLINK("https://www.773grp.com/globalSearch/LM2594HVM-5.0-NOPB/page-1", "LM2594HVM-5.0-NOPB")</f>
        <v>LM2594HVM-5.0-NOPB</v>
      </c>
      <c r="B6611" s="3" t="str">
        <f>HYPERLINK("https://www.773grp.com/manufacturer/national-semiconductor?pageNo=44", "National Semiconductor")</f>
        <v>National Semiconductor</v>
      </c>
      <c r="C6611" s="6">
        <v>38</v>
      </c>
      <c r="D6611" s="7">
        <v>6.25</v>
      </c>
      <c r="E6611" t="s">
        <v>7</v>
      </c>
    </row>
    <row r="6612" spans="1:5" x14ac:dyDescent="0.25">
      <c r="A6612" t="str">
        <f>HYPERLINK("https://www.773grp.com/globalSearch/LM2594HVM-ADJ-NOPB/page-1", "LM2594HVM-ADJ-NOPB")</f>
        <v>LM2594HVM-ADJ-NOPB</v>
      </c>
      <c r="B6612" s="3" t="str">
        <f>HYPERLINK("https://www.773grp.com/manufacturer/national-semiconductor?pageNo=45", "National Semiconductor")</f>
        <v>National Semiconductor</v>
      </c>
      <c r="C6612" s="6">
        <v>5551</v>
      </c>
      <c r="D6612" s="7">
        <v>6.25</v>
      </c>
      <c r="E6612" t="s">
        <v>7</v>
      </c>
    </row>
    <row r="6613" spans="1:5" x14ac:dyDescent="0.25">
      <c r="A6613" t="str">
        <f>HYPERLINK("https://www.773grp.com/globalSearch/LM26001QMXA-NOPB/page-1", "LM26001QMXA-NOPB")</f>
        <v>LM26001QMXA-NOPB</v>
      </c>
      <c r="B6613" s="3" t="str">
        <f>HYPERLINK("https://www.773grp.com/manufacturer/national-semiconductor?pageNo=46", "National Semiconductor")</f>
        <v>National Semiconductor</v>
      </c>
      <c r="C6613" s="6">
        <v>184</v>
      </c>
      <c r="D6613" s="7">
        <v>6.25</v>
      </c>
    </row>
    <row r="6614" spans="1:5" x14ac:dyDescent="0.25">
      <c r="A6614" t="str">
        <f>HYPERLINK("https://www.773grp.com/globalSearch/LM2670S-12-NOPB/page-1", "LM2670S-12-NOPB")</f>
        <v>LM2670S-12-NOPB</v>
      </c>
      <c r="B6614" s="3" t="str">
        <f>HYPERLINK("https://www.773grp.com/manufacturer/national-semiconductor?pageNo=47", "National Semiconductor")</f>
        <v>National Semiconductor</v>
      </c>
      <c r="C6614" s="6">
        <v>964</v>
      </c>
      <c r="D6614" s="7">
        <v>6.25</v>
      </c>
      <c r="E6614" t="s">
        <v>7</v>
      </c>
    </row>
    <row r="6615" spans="1:5" x14ac:dyDescent="0.25">
      <c r="A6615" t="str">
        <f>HYPERLINK("https://www.773grp.com/globalSearch/LM2670S-3.3-NOPB/page-1", "LM2670S-3.3-NOPB")</f>
        <v>LM2670S-3.3-NOPB</v>
      </c>
      <c r="B6615" s="3" t="str">
        <f>HYPERLINK("https://www.773grp.com/manufacturer/national-semiconductor?pageNo=48", "National Semiconductor")</f>
        <v>National Semiconductor</v>
      </c>
      <c r="C6615" s="6">
        <v>2</v>
      </c>
      <c r="D6615" s="7">
        <v>6.25</v>
      </c>
      <c r="E6615" t="s">
        <v>7</v>
      </c>
    </row>
    <row r="6616" spans="1:5" x14ac:dyDescent="0.25">
      <c r="A6616" t="str">
        <f>HYPERLINK("https://www.773grp.com/globalSearch/LM2670S-ADJ-NOPB/page-1", "LM2670S-ADJ-NOPB")</f>
        <v>LM2670S-ADJ-NOPB</v>
      </c>
      <c r="B6616" s="3" t="str">
        <f>HYPERLINK("https://www.773grp.com/manufacturer/national-semiconductor?pageNo=49", "National Semiconductor")</f>
        <v>National Semiconductor</v>
      </c>
      <c r="C6616" s="6">
        <v>749</v>
      </c>
      <c r="D6616" s="7">
        <v>6.25</v>
      </c>
      <c r="E6616" t="s">
        <v>7</v>
      </c>
    </row>
    <row r="6617" spans="1:5" x14ac:dyDescent="0.25">
      <c r="A6617" t="str">
        <f>HYPERLINK("https://www.773grp.com/globalSearch/LM2673S-12-NOPB/page-1", "LM2673S-12-NOPB")</f>
        <v>LM2673S-12-NOPB</v>
      </c>
      <c r="B6617" s="3" t="str">
        <f>HYPERLINK("https://www.773grp.com/manufacturer/national-semiconductor?pageNo=50", "National Semiconductor")</f>
        <v>National Semiconductor</v>
      </c>
      <c r="C6617" s="6">
        <v>752</v>
      </c>
      <c r="D6617" s="7">
        <v>6.25</v>
      </c>
      <c r="E6617" t="s">
        <v>7</v>
      </c>
    </row>
    <row r="6618" spans="1:5" x14ac:dyDescent="0.25">
      <c r="A6618" t="str">
        <f>HYPERLINK("https://www.773grp.com/globalSearch/LM2673S-3.3-NOPB/page-1", "LM2673S-3.3-NOPB")</f>
        <v>LM2673S-3.3-NOPB</v>
      </c>
      <c r="B6618" s="3" t="str">
        <f>HYPERLINK("https://www.773grp.com/manufacturer/national-semiconductor?pageNo=51", "National Semiconductor")</f>
        <v>National Semiconductor</v>
      </c>
      <c r="C6618" s="6">
        <v>3811</v>
      </c>
      <c r="D6618" s="7">
        <v>6.25</v>
      </c>
      <c r="E6618" t="s">
        <v>7</v>
      </c>
    </row>
    <row r="6619" spans="1:5" x14ac:dyDescent="0.25">
      <c r="A6619" t="str">
        <f>HYPERLINK("https://www.773grp.com/globalSearch/LM2673S-5.0-NOPB/page-1", "LM2673S-5.0-NOPB")</f>
        <v>LM2673S-5.0-NOPB</v>
      </c>
      <c r="B6619" s="3" t="str">
        <f>HYPERLINK("https://www.773grp.com/manufacturer/national-semiconductor?pageNo=52", "National Semiconductor")</f>
        <v>National Semiconductor</v>
      </c>
      <c r="C6619" s="6">
        <v>858</v>
      </c>
      <c r="D6619" s="7">
        <v>6.25</v>
      </c>
      <c r="E6619" t="s">
        <v>7</v>
      </c>
    </row>
    <row r="6620" spans="1:5" x14ac:dyDescent="0.25">
      <c r="A6620" t="str">
        <f>HYPERLINK("https://www.773grp.com/globalSearch/LM2673S-ADJ-NOPB/page-1", "LM2673S-ADJ-NOPB")</f>
        <v>LM2673S-ADJ-NOPB</v>
      </c>
      <c r="B6620" s="3" t="str">
        <f>HYPERLINK("https://www.773grp.com/manufacturer/national-semiconductor?pageNo=53", "National Semiconductor")</f>
        <v>National Semiconductor</v>
      </c>
      <c r="C6620" s="6">
        <v>29</v>
      </c>
      <c r="D6620" s="7">
        <v>6.25</v>
      </c>
      <c r="E6620" t="s">
        <v>7</v>
      </c>
    </row>
    <row r="6621" spans="1:5" x14ac:dyDescent="0.25">
      <c r="A6621" t="str">
        <f>HYPERLINK("https://www.773grp.com/globalSearch/LM3100MH-NOPB/page-1", "LM3100MH-NOPB")</f>
        <v>LM3100MH-NOPB</v>
      </c>
      <c r="B6621" s="3" t="str">
        <f>HYPERLINK("https://www.773grp.com/manufacturer/national-semiconductor?pageNo=54", "National Semiconductor")</f>
        <v>National Semiconductor</v>
      </c>
      <c r="C6621" s="6">
        <v>821</v>
      </c>
      <c r="D6621" s="7">
        <v>6.25</v>
      </c>
      <c r="E6621" t="s">
        <v>7</v>
      </c>
    </row>
    <row r="6622" spans="1:5" x14ac:dyDescent="0.25">
      <c r="A6622" t="str">
        <f>HYPERLINK("https://www.773grp.com/globalSearch/LM5015MH-NOPB/page-1", "LM5015MH-NOPB")</f>
        <v>LM5015MH-NOPB</v>
      </c>
      <c r="B6622" s="3" t="str">
        <f>HYPERLINK("https://www.773grp.com/manufacturer/national-semiconductor?pageNo=55", "National Semiconductor")</f>
        <v>National Semiconductor</v>
      </c>
      <c r="C6622" s="6">
        <v>102</v>
      </c>
      <c r="D6622" s="7">
        <v>6.25</v>
      </c>
      <c r="E6622" t="s">
        <v>7</v>
      </c>
    </row>
    <row r="6623" spans="1:5" x14ac:dyDescent="0.25">
      <c r="A6623" t="str">
        <f>HYPERLINK("https://www.773grp.com/globalSearch/LP3852ES-1.8-NOPB/page-1", "LP3852ES-1.8-NOPB")</f>
        <v>LP3852ES-1.8-NOPB</v>
      </c>
      <c r="B6623" s="3" t="str">
        <f>HYPERLINK("https://www.773grp.com/manufacturer/national-semiconductor?pageNo=56", "National Semiconductor")</f>
        <v>National Semiconductor</v>
      </c>
      <c r="C6623" s="6">
        <v>42</v>
      </c>
      <c r="D6623" s="7">
        <v>6.25</v>
      </c>
      <c r="E6623" t="s">
        <v>19</v>
      </c>
    </row>
    <row r="6624" spans="1:5" x14ac:dyDescent="0.25">
      <c r="A6624" t="str">
        <f>HYPERLINK("https://www.773grp.com/globalSearch/LP3852ES-2.5-NOPB/page-1", "LP3852ES-2.5-NOPB")</f>
        <v>LP3852ES-2.5-NOPB</v>
      </c>
      <c r="B6624" s="3" t="str">
        <f>HYPERLINK("https://www.773grp.com/manufacturer/national-semiconductor?pageNo=57", "National Semiconductor")</f>
        <v>National Semiconductor</v>
      </c>
      <c r="C6624" s="6">
        <v>11</v>
      </c>
      <c r="D6624" s="7">
        <v>6.25</v>
      </c>
      <c r="E6624" t="s">
        <v>19</v>
      </c>
    </row>
    <row r="6625" spans="1:5" x14ac:dyDescent="0.25">
      <c r="A6625" t="str">
        <f>HYPERLINK("https://www.773grp.com/globalSearch/LP3852ES-5.0-NOPB/page-1", "LP3852ES-5.0-NOPB")</f>
        <v>LP3852ES-5.0-NOPB</v>
      </c>
      <c r="B6625" s="3" t="str">
        <f>HYPERLINK("https://www.773grp.com/manufacturer/national-semiconductor?pageNo=58", "National Semiconductor")</f>
        <v>National Semiconductor</v>
      </c>
      <c r="C6625" s="6">
        <v>216</v>
      </c>
      <c r="D6625" s="7">
        <v>6.25</v>
      </c>
      <c r="E6625" t="s">
        <v>19</v>
      </c>
    </row>
    <row r="6626" spans="1:5" x14ac:dyDescent="0.25">
      <c r="A6626" t="str">
        <f>HYPERLINK("https://www.773grp.com/globalSearch/LP3855ES-ADJ-NOPB/page-1", "LP3855ES-ADJ-NOPB")</f>
        <v>LP3855ES-ADJ-NOPB</v>
      </c>
      <c r="B6626" s="3" t="str">
        <f>HYPERLINK("https://www.773grp.com/manufacturer/national-semiconductor?pageNo=59", "National Semiconductor")</f>
        <v>National Semiconductor</v>
      </c>
      <c r="C6626" s="6">
        <v>1338</v>
      </c>
      <c r="D6626" s="7">
        <v>6.25</v>
      </c>
      <c r="E6626" t="s">
        <v>25</v>
      </c>
    </row>
    <row r="6627" spans="1:5" x14ac:dyDescent="0.25">
      <c r="A6627" t="str">
        <f>HYPERLINK("https://www.773grp.com/globalSearch/LP3893ES-1.2-NOPB/page-1", "LP3893ES-1.2-NOPB")</f>
        <v>LP3893ES-1.2-NOPB</v>
      </c>
      <c r="B6627" s="3" t="str">
        <f>HYPERLINK("https://www.773grp.com/manufacturer/national-semiconductor?pageNo=60", "National Semiconductor")</f>
        <v>National Semiconductor</v>
      </c>
      <c r="C6627" s="6">
        <v>2468</v>
      </c>
      <c r="D6627" s="7">
        <v>6.25</v>
      </c>
      <c r="E6627" t="s">
        <v>19</v>
      </c>
    </row>
    <row r="6628" spans="1:5" x14ac:dyDescent="0.25">
      <c r="A6628" t="str">
        <f>HYPERLINK("https://www.773grp.com/globalSearch/MM54HC174J/page-1", "MM54HC174J")</f>
        <v>MM54HC174J</v>
      </c>
      <c r="B6628" s="3" t="str">
        <f>HYPERLINK("https://www.773grp.com/manufacturer/national-semiconductor?pageNo=61", "National Semiconductor")</f>
        <v>National Semiconductor</v>
      </c>
      <c r="C6628" s="6">
        <v>359</v>
      </c>
      <c r="D6628" s="7">
        <v>6.25</v>
      </c>
      <c r="E6628" t="s">
        <v>35</v>
      </c>
    </row>
    <row r="6629" spans="1:5" x14ac:dyDescent="0.25">
      <c r="A6629" t="str">
        <f>HYPERLINK("https://www.773grp.com/globalSearch/DS90CF364MTDX-NOPB/page-1", "DS90CF364MTDX-NOPB")</f>
        <v>DS90CF364MTDX-NOPB</v>
      </c>
      <c r="B6629" s="3" t="str">
        <f>HYPERLINK("https://www.773grp.com/manufacturer/national-semiconductor?pageNo=62", "National Semiconductor")</f>
        <v>National Semiconductor</v>
      </c>
      <c r="C6629" s="6">
        <v>720</v>
      </c>
      <c r="D6629" s="7">
        <v>6.25</v>
      </c>
      <c r="E6629" t="s">
        <v>21</v>
      </c>
    </row>
    <row r="6630" spans="1:5" x14ac:dyDescent="0.25">
      <c r="A6630" t="str">
        <f>HYPERLINK("https://www.773grp.com/globalSearch/LM20333MH-NOPB/page-1", "LM20333MH-NOPB")</f>
        <v>LM20333MH-NOPB</v>
      </c>
      <c r="B6630" s="3" t="str">
        <f>HYPERLINK("https://www.773grp.com/manufacturer/national-semiconductor?pageNo=63", "National Semiconductor")</f>
        <v>National Semiconductor</v>
      </c>
      <c r="C6630" s="6">
        <v>250</v>
      </c>
      <c r="D6630" s="7">
        <v>6.25</v>
      </c>
      <c r="E6630" t="s">
        <v>7</v>
      </c>
    </row>
    <row r="6631" spans="1:5" x14ac:dyDescent="0.25">
      <c r="A6631" t="str">
        <f>HYPERLINK("https://www.773grp.com/globalSearch/LM20343MH-NOPB/page-1", "LM20343MH-NOPB")</f>
        <v>LM20343MH-NOPB</v>
      </c>
      <c r="B6631" s="3" t="str">
        <f>HYPERLINK("https://www.773grp.com/manufacturer/national-semiconductor?pageNo=64", "National Semiconductor")</f>
        <v>National Semiconductor</v>
      </c>
      <c r="C6631" s="6">
        <v>318</v>
      </c>
      <c r="D6631" s="7">
        <v>6.25</v>
      </c>
    </row>
    <row r="6632" spans="1:5" x14ac:dyDescent="0.25">
      <c r="A6632" t="str">
        <f>HYPERLINK("https://www.773grp.com/globalSearch/LM22670MR-ADJ-NOPB/page-1", "LM22670MR-ADJ-NOPB")</f>
        <v>LM22670MR-ADJ-NOPB</v>
      </c>
      <c r="B6632" s="3" t="str">
        <f>HYPERLINK("https://www.773grp.com/manufacturer/national-semiconductor?pageNo=65", "National Semiconductor")</f>
        <v>National Semiconductor</v>
      </c>
      <c r="C6632" s="6">
        <v>9</v>
      </c>
      <c r="D6632" s="7">
        <v>6.25</v>
      </c>
    </row>
    <row r="6633" spans="1:5" x14ac:dyDescent="0.25">
      <c r="A6633" t="str">
        <f>HYPERLINK("https://www.773grp.com/globalSearch/LM22673MR-5.0-NOPB/page-1", "LM22673MR-5.0-NOPB")</f>
        <v>LM22673MR-5.0-NOPB</v>
      </c>
      <c r="B6633" s="3" t="str">
        <f>HYPERLINK("https://www.773grp.com/manufacturer/national-semiconductor?pageNo=66", "National Semiconductor")</f>
        <v>National Semiconductor</v>
      </c>
      <c r="C6633" s="6">
        <v>1583</v>
      </c>
      <c r="D6633" s="7">
        <v>6.25</v>
      </c>
    </row>
    <row r="6634" spans="1:5" x14ac:dyDescent="0.25">
      <c r="A6634" t="str">
        <f>HYPERLINK("https://www.773grp.com/globalSearch/LM22673MR-ADJ-NOPB/page-1", "LM22673MR-ADJ-NOPB")</f>
        <v>LM22673MR-ADJ-NOPB</v>
      </c>
      <c r="B6634" s="3" t="str">
        <f>HYPERLINK("https://www.773grp.com/manufacturer/national-semiconductor?pageNo=67", "National Semiconductor")</f>
        <v>National Semiconductor</v>
      </c>
      <c r="C6634" s="6">
        <v>294</v>
      </c>
      <c r="D6634" s="7">
        <v>6.25</v>
      </c>
    </row>
    <row r="6635" spans="1:5" x14ac:dyDescent="0.25">
      <c r="A6635" t="str">
        <f>HYPERLINK("https://www.773grp.com/globalSearch/LM2594HVM-12-NOPB/page-1", "LM2594HVM-12-NOPB")</f>
        <v>LM2594HVM-12-NOPB</v>
      </c>
      <c r="B6635" s="3" t="str">
        <f>HYPERLINK("https://www.773grp.com/manufacturer/national-semiconductor?pageNo=68", "National Semiconductor")</f>
        <v>National Semiconductor</v>
      </c>
      <c r="C6635" s="6">
        <v>464</v>
      </c>
      <c r="D6635" s="7">
        <v>6.25</v>
      </c>
      <c r="E6635" t="s">
        <v>7</v>
      </c>
    </row>
    <row r="6636" spans="1:5" x14ac:dyDescent="0.25">
      <c r="A6636" t="str">
        <f>HYPERLINK("https://www.773grp.com/globalSearch/LM2594HVM-3.3-NOPB/page-1", "LM2594HVM-3.3-NOPB")</f>
        <v>LM2594HVM-3.3-NOPB</v>
      </c>
      <c r="B6636" s="3" t="str">
        <f>HYPERLINK("https://www.773grp.com/manufacturer/national-semiconductor?pageNo=69", "National Semiconductor")</f>
        <v>National Semiconductor</v>
      </c>
      <c r="C6636" s="6">
        <v>243</v>
      </c>
      <c r="D6636" s="7">
        <v>6.25</v>
      </c>
      <c r="E6636" t="s">
        <v>7</v>
      </c>
    </row>
    <row r="6637" spans="1:5" x14ac:dyDescent="0.25">
      <c r="A6637" t="str">
        <f>HYPERLINK("https://www.773grp.com/globalSearch/LM2594HVM-5.0-NOPB/page-1", "LM2594HVM-5.0-NOPB")</f>
        <v>LM2594HVM-5.0-NOPB</v>
      </c>
      <c r="B6637" s="3" t="str">
        <f>HYPERLINK("https://www.773grp.com/manufacturer/national-semiconductor?pageNo=70", "National Semiconductor")</f>
        <v>National Semiconductor</v>
      </c>
      <c r="C6637" s="6">
        <v>7573</v>
      </c>
      <c r="D6637" s="7">
        <v>6.25</v>
      </c>
      <c r="E6637" t="s">
        <v>7</v>
      </c>
    </row>
    <row r="6638" spans="1:5" x14ac:dyDescent="0.25">
      <c r="A6638" t="str">
        <f>HYPERLINK("https://www.773grp.com/globalSearch/LM2594HVM-ADJ-NOPB/page-1", "LM2594HVM-ADJ-NOPB")</f>
        <v>LM2594HVM-ADJ-NOPB</v>
      </c>
      <c r="B6638" s="3" t="str">
        <f>HYPERLINK("https://www.773grp.com/manufacturer/national-semiconductor?pageNo=71", "National Semiconductor")</f>
        <v>National Semiconductor</v>
      </c>
      <c r="C6638" s="6">
        <v>1010</v>
      </c>
      <c r="D6638" s="7">
        <v>6.25</v>
      </c>
      <c r="E6638" t="s">
        <v>7</v>
      </c>
    </row>
    <row r="6639" spans="1:5" x14ac:dyDescent="0.25">
      <c r="A6639" t="str">
        <f>HYPERLINK("https://www.773grp.com/globalSearch/LM26001QMXA-NOPB/page-1", "LM26001QMXA-NOPB")</f>
        <v>LM26001QMXA-NOPB</v>
      </c>
      <c r="B6639" s="3" t="str">
        <f>HYPERLINK("https://www.773grp.com/manufacturer/national-semiconductor?pageNo=72", "National Semiconductor")</f>
        <v>National Semiconductor</v>
      </c>
      <c r="C6639" s="6">
        <v>1602</v>
      </c>
      <c r="D6639" s="7">
        <v>6.25</v>
      </c>
    </row>
    <row r="6640" spans="1:5" x14ac:dyDescent="0.25">
      <c r="A6640" t="str">
        <f>HYPERLINK("https://www.773grp.com/globalSearch/LM2670S-12-NOPB/page-1", "LM2670S-12-NOPB")</f>
        <v>LM2670S-12-NOPB</v>
      </c>
      <c r="B6640" s="3" t="str">
        <f>HYPERLINK("https://www.773grp.com/manufacturer/national-semiconductor?pageNo=73", "National Semiconductor")</f>
        <v>National Semiconductor</v>
      </c>
      <c r="C6640" s="6">
        <v>327</v>
      </c>
      <c r="D6640" s="7">
        <v>6.25</v>
      </c>
      <c r="E6640" t="s">
        <v>7</v>
      </c>
    </row>
    <row r="6641" spans="1:5" x14ac:dyDescent="0.25">
      <c r="A6641" t="str">
        <f>HYPERLINK("https://www.773grp.com/globalSearch/LM2670S-3.3-NOPB/page-1", "LM2670S-3.3-NOPB")</f>
        <v>LM2670S-3.3-NOPB</v>
      </c>
      <c r="B6641" s="3" t="str">
        <f>HYPERLINK("https://www.773grp.com/manufacturer/national-semiconductor?pageNo=74", "National Semiconductor")</f>
        <v>National Semiconductor</v>
      </c>
      <c r="C6641" s="6">
        <v>48</v>
      </c>
      <c r="D6641" s="7">
        <v>6.25</v>
      </c>
      <c r="E6641" t="s">
        <v>7</v>
      </c>
    </row>
    <row r="6642" spans="1:5" x14ac:dyDescent="0.25">
      <c r="A6642" t="str">
        <f>HYPERLINK("https://www.773grp.com/globalSearch/LM2670S-5.0-NOPB/page-1", "LM2670S-5.0-NOPB")</f>
        <v>LM2670S-5.0-NOPB</v>
      </c>
      <c r="B6642" s="3" t="str">
        <f>HYPERLINK("https://www.773grp.com/manufacturer/national-semiconductor?pageNo=75", "National Semiconductor")</f>
        <v>National Semiconductor</v>
      </c>
      <c r="C6642" s="6">
        <v>295</v>
      </c>
      <c r="D6642" s="7">
        <v>6.25</v>
      </c>
    </row>
    <row r="6643" spans="1:5" x14ac:dyDescent="0.25">
      <c r="A6643" t="str">
        <f>HYPERLINK("https://www.773grp.com/globalSearch/LM2670S-ADJ-NOPB/page-1", "LM2670S-ADJ-NOPB")</f>
        <v>LM2670S-ADJ-NOPB</v>
      </c>
      <c r="B6643" s="3" t="str">
        <f>HYPERLINK("https://www.773grp.com/manufacturer/national-semiconductor?pageNo=76", "National Semiconductor")</f>
        <v>National Semiconductor</v>
      </c>
      <c r="C6643" s="6">
        <v>407</v>
      </c>
      <c r="D6643" s="7">
        <v>6.25</v>
      </c>
      <c r="E6643" t="s">
        <v>7</v>
      </c>
    </row>
    <row r="6644" spans="1:5" x14ac:dyDescent="0.25">
      <c r="A6644" t="str">
        <f>HYPERLINK("https://www.773grp.com/globalSearch/LM2673S-12-NOPB/page-1", "LM2673S-12-NOPB")</f>
        <v>LM2673S-12-NOPB</v>
      </c>
      <c r="B6644" s="3" t="str">
        <f>HYPERLINK("https://www.773grp.com/manufacturer/national-semiconductor?pageNo=77", "National Semiconductor")</f>
        <v>National Semiconductor</v>
      </c>
      <c r="C6644" s="6">
        <v>319</v>
      </c>
      <c r="D6644" s="7">
        <v>6.25</v>
      </c>
      <c r="E6644" t="s">
        <v>7</v>
      </c>
    </row>
    <row r="6645" spans="1:5" x14ac:dyDescent="0.25">
      <c r="A6645" t="str">
        <f>HYPERLINK("https://www.773grp.com/globalSearch/LM2673S-3.3-NOPB/page-1", "LM2673S-3.3-NOPB")</f>
        <v>LM2673S-3.3-NOPB</v>
      </c>
      <c r="B6645" s="3" t="str">
        <f>HYPERLINK("https://www.773grp.com/manufacturer/national-semiconductor?pageNo=78", "National Semiconductor")</f>
        <v>National Semiconductor</v>
      </c>
      <c r="C6645" s="6">
        <v>245</v>
      </c>
      <c r="D6645" s="7">
        <v>6.25</v>
      </c>
      <c r="E6645" t="s">
        <v>7</v>
      </c>
    </row>
    <row r="6646" spans="1:5" x14ac:dyDescent="0.25">
      <c r="A6646" t="str">
        <f>HYPERLINK("https://www.773grp.com/globalSearch/LM2673S-5.0-NOPB/page-1", "LM2673S-5.0-NOPB")</f>
        <v>LM2673S-5.0-NOPB</v>
      </c>
      <c r="B6646" s="3" t="str">
        <f>HYPERLINK("https://www.773grp.com/manufacturer/national-semiconductor?pageNo=79", "National Semiconductor")</f>
        <v>National Semiconductor</v>
      </c>
      <c r="C6646" s="6">
        <v>278</v>
      </c>
      <c r="D6646" s="7">
        <v>6.25</v>
      </c>
      <c r="E6646" t="s">
        <v>7</v>
      </c>
    </row>
    <row r="6647" spans="1:5" x14ac:dyDescent="0.25">
      <c r="A6647" t="str">
        <f>HYPERLINK("https://www.773grp.com/globalSearch/LM2673S-ADJ-NOPB/page-1", "LM2673S-ADJ-NOPB")</f>
        <v>LM2673S-ADJ-NOPB</v>
      </c>
      <c r="B6647" s="3" t="str">
        <f>HYPERLINK("https://www.773grp.com/manufacturer/national-semiconductor?pageNo=80", "National Semiconductor")</f>
        <v>National Semiconductor</v>
      </c>
      <c r="C6647" s="6">
        <v>550</v>
      </c>
      <c r="D6647" s="7">
        <v>6.25</v>
      </c>
      <c r="E6647" t="s">
        <v>7</v>
      </c>
    </row>
    <row r="6648" spans="1:5" x14ac:dyDescent="0.25">
      <c r="A6648" t="str">
        <f>HYPERLINK("https://www.773grp.com/globalSearch/LM3100MH-NOPB/page-1", "LM3100MH-NOPB")</f>
        <v>LM3100MH-NOPB</v>
      </c>
      <c r="B6648" s="3" t="str">
        <f>HYPERLINK("https://www.773grp.com/manufacturer/national-semiconductor?pageNo=81", "National Semiconductor")</f>
        <v>National Semiconductor</v>
      </c>
      <c r="C6648" s="6">
        <v>1022</v>
      </c>
      <c r="D6648" s="7">
        <v>6.25</v>
      </c>
      <c r="E6648" t="s">
        <v>7</v>
      </c>
    </row>
    <row r="6649" spans="1:5" x14ac:dyDescent="0.25">
      <c r="A6649" t="str">
        <f>HYPERLINK("https://www.773grp.com/globalSearch/LMP8672MA-NOPB/page-1", "LMP8672MA-NOPB")</f>
        <v>LMP8672MA-NOPB</v>
      </c>
      <c r="B6649" s="3" t="str">
        <f>HYPERLINK("https://www.773grp.com/manufacturer/national-semiconductor?pageNo=82", "National Semiconductor")</f>
        <v>National Semiconductor</v>
      </c>
      <c r="C6649" s="6">
        <v>250</v>
      </c>
      <c r="D6649" s="7">
        <v>6.25</v>
      </c>
    </row>
    <row r="6650" spans="1:5" x14ac:dyDescent="0.25">
      <c r="A6650" t="str">
        <f>HYPERLINK("https://www.773grp.com/globalSearch/LP3852ES-1.8-NOPB/page-1", "LP3852ES-1.8-NOPB")</f>
        <v>LP3852ES-1.8-NOPB</v>
      </c>
      <c r="B6650" s="3" t="str">
        <f>HYPERLINK("https://www.773grp.com/manufacturer/national-semiconductor?pageNo=83", "National Semiconductor")</f>
        <v>National Semiconductor</v>
      </c>
      <c r="C6650" s="6">
        <v>2153</v>
      </c>
      <c r="D6650" s="7">
        <v>6.25</v>
      </c>
      <c r="E6650" t="s">
        <v>19</v>
      </c>
    </row>
    <row r="6651" spans="1:5" x14ac:dyDescent="0.25">
      <c r="A6651" t="str">
        <f>HYPERLINK("https://www.773grp.com/globalSearch/LP3852ES-2.5-NOPB/page-1", "LP3852ES-2.5-NOPB")</f>
        <v>LP3852ES-2.5-NOPB</v>
      </c>
      <c r="B6651" s="3" t="str">
        <f>HYPERLINK("https://www.773grp.com/manufacturer/national-semiconductor?pageNo=84", "National Semiconductor")</f>
        <v>National Semiconductor</v>
      </c>
      <c r="C6651" s="6">
        <v>614</v>
      </c>
      <c r="D6651" s="7">
        <v>6.25</v>
      </c>
      <c r="E6651" t="s">
        <v>19</v>
      </c>
    </row>
    <row r="6652" spans="1:5" x14ac:dyDescent="0.25">
      <c r="A6652" t="str">
        <f>HYPERLINK("https://www.773grp.com/globalSearch/LP3852ES-3.3-NOPB/page-1", "LP3852ES-3.3-NOPB")</f>
        <v>LP3852ES-3.3-NOPB</v>
      </c>
      <c r="B6652" s="3" t="str">
        <f>HYPERLINK("https://www.773grp.com/manufacturer/national-semiconductor?pageNo=85", "National Semiconductor")</f>
        <v>National Semiconductor</v>
      </c>
      <c r="C6652" s="6">
        <v>375</v>
      </c>
      <c r="D6652" s="7">
        <v>6.25</v>
      </c>
    </row>
    <row r="6653" spans="1:5" x14ac:dyDescent="0.25">
      <c r="A6653" t="str">
        <f>HYPERLINK("https://www.773grp.com/globalSearch/LP3852ES-5.0-NOPB/page-1", "LP3852ES-5.0-NOPB")</f>
        <v>LP3852ES-5.0-NOPB</v>
      </c>
      <c r="B6653" s="3" t="str">
        <f>HYPERLINK("https://www.773grp.com/manufacturer/national-semiconductor?pageNo=86", "National Semiconductor")</f>
        <v>National Semiconductor</v>
      </c>
      <c r="C6653" s="6">
        <v>2097</v>
      </c>
      <c r="D6653" s="7">
        <v>6.25</v>
      </c>
      <c r="E6653" t="s">
        <v>19</v>
      </c>
    </row>
    <row r="6654" spans="1:5" x14ac:dyDescent="0.25">
      <c r="A6654" t="str">
        <f>HYPERLINK("https://www.773grp.com/globalSearch/LP3855ES-ADJ-NOPB/page-1", "LP3855ES-ADJ-NOPB")</f>
        <v>LP3855ES-ADJ-NOPB</v>
      </c>
      <c r="B6654" s="3" t="str">
        <f>HYPERLINK("https://www.773grp.com/manufacturer/national-semiconductor?pageNo=87", "National Semiconductor")</f>
        <v>National Semiconductor</v>
      </c>
      <c r="C6654" s="6">
        <v>817</v>
      </c>
      <c r="D6654" s="7">
        <v>6.25</v>
      </c>
      <c r="E6654" t="s">
        <v>25</v>
      </c>
    </row>
    <row r="6655" spans="1:5" x14ac:dyDescent="0.25">
      <c r="A6655" t="str">
        <f>HYPERLINK("https://www.773grp.com/globalSearch/LP3893ES-1.2-NOPB/page-1", "LP3893ES-1.2-NOPB")</f>
        <v>LP3893ES-1.2-NOPB</v>
      </c>
      <c r="B6655" s="3" t="str">
        <f>HYPERLINK("https://www.773grp.com/manufacturer/national-semiconductor?pageNo=88", "National Semiconductor")</f>
        <v>National Semiconductor</v>
      </c>
      <c r="C6655" s="6">
        <v>902</v>
      </c>
      <c r="D6655" s="7">
        <v>6.25</v>
      </c>
      <c r="E6655" t="s">
        <v>19</v>
      </c>
    </row>
    <row r="6656" spans="1:5" x14ac:dyDescent="0.25">
      <c r="A6656" t="str">
        <f>HYPERLINK("https://www.773grp.com/globalSearch/54ALS74AW-883/page-1", "54ALS74AW-883")</f>
        <v>54ALS74AW-883</v>
      </c>
      <c r="B6656" s="3" t="str">
        <f>HYPERLINK("https://www.773grp.com/manufacturer/national-semiconductor?pageNo=89", "National Semiconductor")</f>
        <v>National Semiconductor</v>
      </c>
      <c r="C6656" s="6">
        <v>40</v>
      </c>
      <c r="D6656" s="7">
        <v>6.28</v>
      </c>
    </row>
    <row r="6657" spans="1:5" x14ac:dyDescent="0.25">
      <c r="A6657" t="str">
        <f>HYPERLINK("https://www.773grp.com/globalSearch/54F151ADC/page-1", "54F151ADC")</f>
        <v>54F151ADC</v>
      </c>
      <c r="B6657" s="3" t="str">
        <f>HYPERLINK("https://www.773grp.com/manufacturer/national-semiconductor?pageNo=90", "National Semiconductor")</f>
        <v>National Semiconductor</v>
      </c>
      <c r="C6657" s="6">
        <v>496</v>
      </c>
      <c r="D6657" s="7">
        <v>6.28</v>
      </c>
      <c r="E6657" t="s">
        <v>20</v>
      </c>
    </row>
    <row r="6658" spans="1:5" x14ac:dyDescent="0.25">
      <c r="A6658" t="str">
        <f>HYPERLINK("https://www.773grp.com/globalSearch/54F163ADC/page-1", "54F163ADC")</f>
        <v>54F163ADC</v>
      </c>
      <c r="B6658" s="3" t="str">
        <f>HYPERLINK("https://www.773grp.com/manufacturer/national-semiconductor?pageNo=91", "National Semiconductor")</f>
        <v>National Semiconductor</v>
      </c>
      <c r="C6658" s="6">
        <v>377</v>
      </c>
      <c r="D6658" s="7">
        <v>6.28</v>
      </c>
      <c r="E6658" t="s">
        <v>26</v>
      </c>
    </row>
    <row r="6659" spans="1:5" x14ac:dyDescent="0.25">
      <c r="A6659" t="str">
        <f>HYPERLINK("https://www.773grp.com/globalSearch/54LS160AFM/page-1", "54LS160AFM")</f>
        <v>54LS160AFM</v>
      </c>
      <c r="B6659" s="3" t="str">
        <f>HYPERLINK("https://www.773grp.com/manufacturer/national-semiconductor?pageNo=92", "National Semiconductor")</f>
        <v>National Semiconductor</v>
      </c>
      <c r="C6659" s="6">
        <v>1795</v>
      </c>
      <c r="D6659" s="7">
        <v>6.28</v>
      </c>
    </row>
    <row r="6660" spans="1:5" x14ac:dyDescent="0.25">
      <c r="A6660" t="str">
        <f>HYPERLINK("https://www.773grp.com/globalSearch/54LS160AFMQB/page-1", "54LS160AFMQB")</f>
        <v>54LS160AFMQB</v>
      </c>
      <c r="B6660" s="3" t="str">
        <f>HYPERLINK("https://www.773grp.com/manufacturer/national-semiconductor?pageNo=93", "National Semiconductor")</f>
        <v>National Semiconductor</v>
      </c>
      <c r="C6660" s="6">
        <v>89</v>
      </c>
      <c r="D6660" s="7">
        <v>6.28</v>
      </c>
      <c r="E6660" t="s">
        <v>26</v>
      </c>
    </row>
    <row r="6661" spans="1:5" x14ac:dyDescent="0.25">
      <c r="A6661" t="str">
        <f>HYPERLINK("https://www.773grp.com/globalSearch/54LS163AFM/page-1", "54LS163AFM")</f>
        <v>54LS163AFM</v>
      </c>
      <c r="B6661" s="3" t="str">
        <f>HYPERLINK("https://www.773grp.com/manufacturer/national-semiconductor?pageNo=94", "National Semiconductor")</f>
        <v>National Semiconductor</v>
      </c>
      <c r="C6661" s="6">
        <v>877</v>
      </c>
      <c r="D6661" s="7">
        <v>6.28</v>
      </c>
    </row>
    <row r="6662" spans="1:5" x14ac:dyDescent="0.25">
      <c r="A6662" t="str">
        <f>HYPERLINK("https://www.773grp.com/globalSearch/54LS163AFMQB/page-1", "54LS163AFMQB")</f>
        <v>54LS163AFMQB</v>
      </c>
      <c r="B6662" s="3" t="str">
        <f>HYPERLINK("https://www.773grp.com/manufacturer/national-semiconductor?pageNo=95", "National Semiconductor")</f>
        <v>National Semiconductor</v>
      </c>
      <c r="C6662" s="6">
        <v>2816</v>
      </c>
      <c r="D6662" s="7">
        <v>6.28</v>
      </c>
      <c r="E6662" t="s">
        <v>26</v>
      </c>
    </row>
    <row r="6663" spans="1:5" x14ac:dyDescent="0.25">
      <c r="A6663" t="str">
        <f>HYPERLINK("https://www.773grp.com/globalSearch/54LS163FM/page-1", "54LS163FM")</f>
        <v>54LS163FM</v>
      </c>
      <c r="B6663" s="3" t="str">
        <f>HYPERLINK("https://www.773grp.com/manufacturer/national-semiconductor?pageNo=96", "National Semiconductor")</f>
        <v>National Semiconductor</v>
      </c>
      <c r="C6663" s="6">
        <v>1544</v>
      </c>
      <c r="D6663" s="7">
        <v>6.28</v>
      </c>
    </row>
    <row r="6664" spans="1:5" x14ac:dyDescent="0.25">
      <c r="A6664" t="str">
        <f>HYPERLINK("https://www.773grp.com/globalSearch/54LS165FM/page-1", "54LS165FM")</f>
        <v>54LS165FM</v>
      </c>
      <c r="B6664" s="3" t="str">
        <f>HYPERLINK("https://www.773grp.com/manufacturer/national-semiconductor?pageNo=97", "National Semiconductor")</f>
        <v>National Semiconductor</v>
      </c>
      <c r="C6664" s="6">
        <v>136</v>
      </c>
      <c r="D6664" s="7">
        <v>6.28</v>
      </c>
    </row>
    <row r="6665" spans="1:5" x14ac:dyDescent="0.25">
      <c r="A6665" t="str">
        <f>HYPERLINK("https://www.773grp.com/globalSearch/DM5451J-883/page-1", "DM5451J-883")</f>
        <v>DM5451J-883</v>
      </c>
      <c r="B6665" s="3" t="str">
        <f>HYPERLINK("https://www.773grp.com/manufacturer/national-semiconductor?pageNo=98", "National Semiconductor")</f>
        <v>National Semiconductor</v>
      </c>
      <c r="C6665" s="6">
        <v>52</v>
      </c>
      <c r="D6665" s="7">
        <v>6.28</v>
      </c>
    </row>
    <row r="6666" spans="1:5" x14ac:dyDescent="0.25">
      <c r="A6666" t="str">
        <f>HYPERLINK("https://www.773grp.com/globalSearch/DS75113M/page-1", "DS75113M")</f>
        <v>DS75113M</v>
      </c>
      <c r="B6666" s="3" t="str">
        <f>HYPERLINK("https://www.773grp.com/manufacturer/national-semiconductor?pageNo=99", "National Semiconductor")</f>
        <v>National Semiconductor</v>
      </c>
      <c r="C6666" s="6">
        <v>6096</v>
      </c>
      <c r="D6666" s="7">
        <v>6.28</v>
      </c>
      <c r="E6666" t="s">
        <v>21</v>
      </c>
    </row>
    <row r="6667" spans="1:5" x14ac:dyDescent="0.25">
      <c r="A6667" t="str">
        <f>HYPERLINK("https://www.773grp.com/globalSearch/DS75113MX/page-1", "DS75113MX")</f>
        <v>DS75113MX</v>
      </c>
      <c r="B6667" s="3" t="str">
        <f>HYPERLINK("https://www.773grp.com/manufacturer/national-semiconductor?pageNo=100", "National Semiconductor")</f>
        <v>National Semiconductor</v>
      </c>
      <c r="C6667" s="6">
        <v>2500</v>
      </c>
      <c r="D6667" s="7">
        <v>6.28</v>
      </c>
      <c r="E6667" t="s">
        <v>21</v>
      </c>
    </row>
    <row r="6668" spans="1:5" x14ac:dyDescent="0.25">
      <c r="A6668" t="str">
        <f>HYPERLINK("https://www.773grp.com/globalSearch/LM2924M/page-1", "LM2924M")</f>
        <v>LM2924M</v>
      </c>
      <c r="B6668" s="3" t="str">
        <f>HYPERLINK("https://www.773grp.com/manufacturer/national-semiconductor?pageNo=101", "National Semiconductor")</f>
        <v>National Semiconductor</v>
      </c>
      <c r="C6668" s="6">
        <v>2002</v>
      </c>
      <c r="D6668" s="7">
        <v>6.28</v>
      </c>
      <c r="E6668" t="s">
        <v>40</v>
      </c>
    </row>
    <row r="6669" spans="1:5" x14ac:dyDescent="0.25">
      <c r="A6669" t="str">
        <f>HYPERLINK("https://www.773grp.com/globalSearch/LM35CZ-HALF/page-1", "LM35CZ-HALF")</f>
        <v>LM35CZ-HALF</v>
      </c>
      <c r="B6669" s="3" t="str">
        <f>HYPERLINK("https://www.773grp.com/manufacturer/national-semiconductor?pageNo=102", "National Semiconductor")</f>
        <v>National Semiconductor</v>
      </c>
      <c r="C6669" s="6">
        <v>656</v>
      </c>
      <c r="D6669" s="7">
        <v>6.28</v>
      </c>
    </row>
    <row r="6670" spans="1:5" x14ac:dyDescent="0.25">
      <c r="A6670" t="str">
        <f>HYPERLINK("https://www.773grp.com/globalSearch/LM360M-NOPB/page-1", "LM360M-NOPB")</f>
        <v>LM360M-NOPB</v>
      </c>
      <c r="B6670" s="3" t="str">
        <f>HYPERLINK("https://www.773grp.com/manufacturer/national-semiconductor?pageNo=103", "National Semiconductor")</f>
        <v>National Semiconductor</v>
      </c>
      <c r="C6670" s="6">
        <v>95</v>
      </c>
      <c r="D6670" s="7">
        <v>6.28</v>
      </c>
      <c r="E6670" t="s">
        <v>9</v>
      </c>
    </row>
    <row r="6671" spans="1:5" x14ac:dyDescent="0.25">
      <c r="A6671" t="str">
        <f>HYPERLINK("https://www.773grp.com/globalSearch/LM4140CCM-2.5/page-1", "LM4140CCM-2.5")</f>
        <v>LM4140CCM-2.5</v>
      </c>
      <c r="B6671" s="3" t="str">
        <f>HYPERLINK("https://www.773grp.com/manufacturer/national-semiconductor?pageNo=104", "National Semiconductor")</f>
        <v>National Semiconductor</v>
      </c>
      <c r="C6671" s="6">
        <v>1033</v>
      </c>
      <c r="D6671" s="7">
        <v>6.28</v>
      </c>
      <c r="E6671" t="s">
        <v>17</v>
      </c>
    </row>
    <row r="6672" spans="1:5" x14ac:dyDescent="0.25">
      <c r="A6672" t="str">
        <f>HYPERLINK("https://www.773grp.com/globalSearch/LM83CIMQA/page-1", "LM83CIMQA")</f>
        <v>LM83CIMQA</v>
      </c>
      <c r="B6672" s="3" t="str">
        <f>HYPERLINK("https://www.773grp.com/manufacturer/national-semiconductor?pageNo=105", "National Semiconductor")</f>
        <v>National Semiconductor</v>
      </c>
      <c r="C6672" s="6">
        <v>1150</v>
      </c>
      <c r="D6672" s="7">
        <v>6.28</v>
      </c>
      <c r="E6672" t="s">
        <v>12</v>
      </c>
    </row>
    <row r="6673" spans="1:5" x14ac:dyDescent="0.25">
      <c r="A6673" t="str">
        <f>HYPERLINK("https://www.773grp.com/globalSearch/LMP2234AMAE-NOPB/page-1", "LMP2234AMAE-NOPB")</f>
        <v>LMP2234AMAE-NOPB</v>
      </c>
      <c r="B6673" s="3" t="str">
        <f>HYPERLINK("https://www.773grp.com/manufacturer/national-semiconductor?pageNo=106", "National Semiconductor")</f>
        <v>National Semiconductor</v>
      </c>
      <c r="C6673" s="6">
        <v>334</v>
      </c>
      <c r="D6673" s="7">
        <v>6.28</v>
      </c>
    </row>
    <row r="6674" spans="1:5" x14ac:dyDescent="0.25">
      <c r="A6674" t="str">
        <f>HYPERLINK("https://www.773grp.com/globalSearch/LMX2485SQ-NOPB/page-1", "LMX2485SQ-NOPB")</f>
        <v>LMX2485SQ-NOPB</v>
      </c>
      <c r="B6674" s="3" t="str">
        <f>HYPERLINK("https://www.773grp.com/manufacturer/national-semiconductor?pageNo=107", "National Semiconductor")</f>
        <v>National Semiconductor</v>
      </c>
      <c r="C6674" s="6">
        <v>2000</v>
      </c>
      <c r="D6674" s="7">
        <v>6.28</v>
      </c>
      <c r="E6674" t="s">
        <v>38</v>
      </c>
    </row>
    <row r="6675" spans="1:5" x14ac:dyDescent="0.25">
      <c r="A6675" t="str">
        <f>HYPERLINK("https://www.773grp.com/globalSearch/LM360M-NOPB/page-1", "LM360M-NOPB")</f>
        <v>LM360M-NOPB</v>
      </c>
      <c r="B6675" s="3" t="str">
        <f>HYPERLINK("https://www.773grp.com/manufacturer/national-semiconductor?pageNo=108", "National Semiconductor")</f>
        <v>National Semiconductor</v>
      </c>
      <c r="C6675" s="6">
        <v>559</v>
      </c>
      <c r="D6675" s="7">
        <v>6.28</v>
      </c>
      <c r="E6675" t="s">
        <v>9</v>
      </c>
    </row>
    <row r="6676" spans="1:5" x14ac:dyDescent="0.25">
      <c r="A6676" t="str">
        <f>HYPERLINK("https://www.773grp.com/globalSearch/LM4140CCM-2.5/page-1", "LM4140CCM-2.5")</f>
        <v>LM4140CCM-2.5</v>
      </c>
      <c r="B6676" s="3" t="str">
        <f>HYPERLINK("https://www.773grp.com/manufacturer/national-semiconductor?pageNo=109", "National Semiconductor")</f>
        <v>National Semiconductor</v>
      </c>
      <c r="C6676" s="6">
        <v>1310</v>
      </c>
      <c r="D6676" s="7">
        <v>6.28</v>
      </c>
      <c r="E6676" t="s">
        <v>17</v>
      </c>
    </row>
    <row r="6677" spans="1:5" x14ac:dyDescent="0.25">
      <c r="A6677" t="str">
        <f>HYPERLINK("https://www.773grp.com/globalSearch/LMP2234AMAE-NOPB/page-1", "LMP2234AMAE-NOPB")</f>
        <v>LMP2234AMAE-NOPB</v>
      </c>
      <c r="B6677" s="3" t="str">
        <f>HYPERLINK("https://www.773grp.com/manufacturer/national-semiconductor?pageNo=110", "National Semiconductor")</f>
        <v>National Semiconductor</v>
      </c>
      <c r="C6677" s="6">
        <v>250</v>
      </c>
      <c r="D6677" s="7">
        <v>6.28</v>
      </c>
    </row>
    <row r="6678" spans="1:5" x14ac:dyDescent="0.25">
      <c r="A6678" t="str">
        <f>HYPERLINK("https://www.773grp.com/globalSearch/LM6172IMX/page-1", "LM6172IMX")</f>
        <v>LM6172IMX</v>
      </c>
      <c r="B6678" s="3" t="str">
        <f>HYPERLINK("https://www.773grp.com/manufacturer/national-semiconductor?pageNo=111", "National Semiconductor")</f>
        <v>National Semiconductor</v>
      </c>
      <c r="C6678" s="6">
        <v>2500</v>
      </c>
      <c r="D6678" s="7">
        <v>6.3</v>
      </c>
      <c r="E6678" t="s">
        <v>18</v>
      </c>
    </row>
    <row r="6679" spans="1:5" x14ac:dyDescent="0.25">
      <c r="A6679" t="str">
        <f>HYPERLINK("https://www.773grp.com/globalSearch/MF10CCN/page-1", "MF10CCN")</f>
        <v>MF10CCN</v>
      </c>
      <c r="B6679" s="3" t="str">
        <f>HYPERLINK("https://www.773grp.com/manufacturer/national-semiconductor?pageNo=112", "National Semiconductor")</f>
        <v>National Semiconductor</v>
      </c>
      <c r="C6679" s="6">
        <v>142</v>
      </c>
      <c r="D6679" s="7">
        <v>6.3</v>
      </c>
      <c r="E6679" t="s">
        <v>58</v>
      </c>
    </row>
    <row r="6680" spans="1:5" x14ac:dyDescent="0.25">
      <c r="A6680" t="str">
        <f>HYPERLINK("https://www.773grp.com/globalSearch/LM22670QMRE-5.0-NOPB/page-1", "LM22670QMRE-5.0-NOPB")</f>
        <v>LM22670QMRE-5.0-NOPB</v>
      </c>
      <c r="B6680" s="3" t="str">
        <f>HYPERLINK("https://www.773grp.com/manufacturer/national-semiconductor?pageNo=113", "National Semiconductor")</f>
        <v>National Semiconductor</v>
      </c>
      <c r="C6680" s="6">
        <v>142</v>
      </c>
      <c r="D6680" s="7">
        <v>6.3</v>
      </c>
    </row>
    <row r="6681" spans="1:5" x14ac:dyDescent="0.25">
      <c r="A6681" t="str">
        <f>HYPERLINK("https://www.773grp.com/globalSearch/LM22670QTJE-5.0-NOPB/page-1", "LM22670QTJE-5.0-NOPB")</f>
        <v>LM22670QTJE-5.0-NOPB</v>
      </c>
      <c r="B6681" s="3" t="str">
        <f>HYPERLINK("https://www.773grp.com/manufacturer/national-semiconductor?pageNo=114", "National Semiconductor")</f>
        <v>National Semiconductor</v>
      </c>
      <c r="C6681" s="6">
        <v>1875</v>
      </c>
      <c r="D6681" s="7">
        <v>6.3</v>
      </c>
    </row>
    <row r="6682" spans="1:5" x14ac:dyDescent="0.25">
      <c r="A6682" t="str">
        <f>HYPERLINK("https://www.773grp.com/globalSearch/LM6172IMX/page-1", "LM6172IMX")</f>
        <v>LM6172IMX</v>
      </c>
      <c r="B6682" s="3" t="str">
        <f>HYPERLINK("https://www.773grp.com/manufacturer/national-semiconductor?pageNo=115", "National Semiconductor")</f>
        <v>National Semiconductor</v>
      </c>
      <c r="C6682" s="6">
        <v>27939</v>
      </c>
      <c r="D6682" s="7">
        <v>6.3</v>
      </c>
      <c r="E6682" t="s">
        <v>18</v>
      </c>
    </row>
    <row r="6683" spans="1:5" x14ac:dyDescent="0.25">
      <c r="A6683" t="str">
        <f>HYPERLINK("https://www.773grp.com/globalSearch/4020BDM/page-1", "4020BDM")</f>
        <v>4020BDM</v>
      </c>
      <c r="B6683" s="3" t="str">
        <f>HYPERLINK("https://www.773grp.com/manufacturer/national-semiconductor?pageNo=116", "National Semiconductor")</f>
        <v>National Semiconductor</v>
      </c>
      <c r="C6683" s="6">
        <v>3310</v>
      </c>
      <c r="D6683" s="7">
        <v>6.33</v>
      </c>
    </row>
    <row r="6684" spans="1:5" x14ac:dyDescent="0.25">
      <c r="A6684" t="str">
        <f>HYPERLINK("https://www.773grp.com/globalSearch/54LS173DM/page-1", "54LS173DM")</f>
        <v>54LS173DM</v>
      </c>
      <c r="B6684" s="3" t="str">
        <f>HYPERLINK("https://www.773grp.com/manufacturer/national-semiconductor?pageNo=117", "National Semiconductor")</f>
        <v>National Semiconductor</v>
      </c>
      <c r="C6684" s="6">
        <v>603</v>
      </c>
      <c r="D6684" s="7">
        <v>6.33</v>
      </c>
    </row>
    <row r="6685" spans="1:5" x14ac:dyDescent="0.25">
      <c r="A6685" t="str">
        <f>HYPERLINK("https://www.773grp.com/globalSearch/74LS240SC/page-1", "74LS240SC")</f>
        <v>74LS240SC</v>
      </c>
      <c r="B6685" s="3" t="str">
        <f>HYPERLINK("https://www.773grp.com/manufacturer/national-semiconductor?pageNo=118", "National Semiconductor")</f>
        <v>National Semiconductor</v>
      </c>
      <c r="C6685" s="6">
        <v>3457</v>
      </c>
      <c r="D6685" s="7">
        <v>6.33</v>
      </c>
    </row>
    <row r="6686" spans="1:5" x14ac:dyDescent="0.25">
      <c r="A6686" t="str">
        <f>HYPERLINK("https://www.773grp.com/globalSearch/948DC/page-1", "948DC")</f>
        <v>948DC</v>
      </c>
      <c r="B6686" s="3" t="str">
        <f>HYPERLINK("https://www.773grp.com/manufacturer/national-semiconductor?pageNo=119", "National Semiconductor")</f>
        <v>National Semiconductor</v>
      </c>
      <c r="C6686" s="6">
        <v>1303</v>
      </c>
      <c r="D6686" s="7">
        <v>6.33</v>
      </c>
    </row>
    <row r="6687" spans="1:5" x14ac:dyDescent="0.25">
      <c r="A6687" t="str">
        <f>HYPERLINK("https://www.773grp.com/globalSearch/ADC128S022CIMTX-NOPB/page-1", "ADC128S022CIMTX-NOPB")</f>
        <v>ADC128S022CIMTX-NOPB</v>
      </c>
      <c r="B6687" s="3" t="str">
        <f>HYPERLINK("https://www.773grp.com/manufacturer/national-semiconductor?pageNo=120", "National Semiconductor")</f>
        <v>National Semiconductor</v>
      </c>
      <c r="C6687" s="6">
        <v>17340</v>
      </c>
      <c r="D6687" s="7">
        <v>6.33</v>
      </c>
    </row>
    <row r="6688" spans="1:5" x14ac:dyDescent="0.25">
      <c r="A6688" t="str">
        <f>HYPERLINK("https://www.773grp.com/globalSearch/DS25BR100TSD-NOPB/page-1", "DS25BR100TSD-NOPB")</f>
        <v>DS25BR100TSD-NOPB</v>
      </c>
      <c r="B6688" s="3" t="str">
        <f>HYPERLINK("https://www.773grp.com/manufacturer/national-semiconductor?pageNo=121", "National Semiconductor")</f>
        <v>National Semiconductor</v>
      </c>
      <c r="C6688" s="6">
        <v>1020</v>
      </c>
      <c r="D6688" s="7">
        <v>6.33</v>
      </c>
      <c r="E6688" t="s">
        <v>21</v>
      </c>
    </row>
    <row r="6689" spans="1:5" x14ac:dyDescent="0.25">
      <c r="A6689" t="str">
        <f>HYPERLINK("https://www.773grp.com/globalSearch/GAL16V8QS-10LVC/page-1", "GAL16V8QS-10LVC")</f>
        <v>GAL16V8QS-10LVC</v>
      </c>
      <c r="B6689" s="3" t="str">
        <f>HYPERLINK("https://www.773grp.com/manufacturer/national-semiconductor?pageNo=122", "National Semiconductor")</f>
        <v>National Semiconductor</v>
      </c>
      <c r="C6689" s="6">
        <v>20643</v>
      </c>
      <c r="D6689" s="7">
        <v>6.33</v>
      </c>
    </row>
    <row r="6690" spans="1:5" x14ac:dyDescent="0.25">
      <c r="A6690" t="str">
        <f>HYPERLINK("https://www.773grp.com/globalSearch/GAL20V8QS-15LNC/page-1", "GAL20V8QS-15LNC")</f>
        <v>GAL20V8QS-15LNC</v>
      </c>
      <c r="B6690" s="3" t="str">
        <f>HYPERLINK("https://www.773grp.com/manufacturer/national-semiconductor?pageNo=123", "National Semiconductor")</f>
        <v>National Semiconductor</v>
      </c>
      <c r="C6690" s="6">
        <v>15088</v>
      </c>
      <c r="D6690" s="7">
        <v>6.33</v>
      </c>
      <c r="E6690" t="s">
        <v>51</v>
      </c>
    </row>
    <row r="6691" spans="1:5" x14ac:dyDescent="0.25">
      <c r="A6691" t="str">
        <f>HYPERLINK("https://www.773grp.com/globalSearch/LM2677SX-5.0-NOPB/page-1", "LM2677SX-5.0-NOPB")</f>
        <v>LM2677SX-5.0-NOPB</v>
      </c>
      <c r="B6691" s="3" t="str">
        <f>HYPERLINK("https://www.773grp.com/manufacturer/national-semiconductor?pageNo=124", "National Semiconductor")</f>
        <v>National Semiconductor</v>
      </c>
      <c r="C6691" s="6">
        <v>500</v>
      </c>
      <c r="D6691" s="7">
        <v>6.33</v>
      </c>
    </row>
    <row r="6692" spans="1:5" x14ac:dyDescent="0.25">
      <c r="A6692" t="str">
        <f>HYPERLINK("https://www.773grp.com/globalSearch/LM2677SX-ADJ-NOPB/page-1", "LM2677SX-ADJ-NOPB")</f>
        <v>LM2677SX-ADJ-NOPB</v>
      </c>
      <c r="B6692" s="3" t="str">
        <f>HYPERLINK("https://www.773grp.com/manufacturer/national-semiconductor?pageNo=125", "National Semiconductor")</f>
        <v>National Semiconductor</v>
      </c>
      <c r="C6692" s="6">
        <v>2000</v>
      </c>
      <c r="D6692" s="7">
        <v>6.33</v>
      </c>
    </row>
    <row r="6693" spans="1:5" x14ac:dyDescent="0.25">
      <c r="A6693" t="str">
        <f>HYPERLINK("https://www.773grp.com/globalSearch/LM2677T-12/page-1", "LM2677T-12")</f>
        <v>LM2677T-12</v>
      </c>
      <c r="B6693" s="3" t="str">
        <f>HYPERLINK("https://www.773grp.com/manufacturer/national-semiconductor?pageNo=126", "National Semiconductor")</f>
        <v>National Semiconductor</v>
      </c>
      <c r="C6693" s="6">
        <v>90</v>
      </c>
      <c r="D6693" s="7">
        <v>6.33</v>
      </c>
      <c r="E6693" t="s">
        <v>7</v>
      </c>
    </row>
    <row r="6694" spans="1:5" x14ac:dyDescent="0.25">
      <c r="A6694" t="str">
        <f>HYPERLINK("https://www.773grp.com/globalSearch/LM2677T-12-NOPB/page-1", "LM2677T-12-NOPB")</f>
        <v>LM2677T-12-NOPB</v>
      </c>
      <c r="B6694" s="3" t="str">
        <f>HYPERLINK("https://www.773grp.com/manufacturer/national-semiconductor?pageNo=127", "National Semiconductor")</f>
        <v>National Semiconductor</v>
      </c>
      <c r="C6694" s="6">
        <v>40</v>
      </c>
      <c r="D6694" s="7">
        <v>6.33</v>
      </c>
    </row>
    <row r="6695" spans="1:5" x14ac:dyDescent="0.25">
      <c r="A6695" t="str">
        <f>HYPERLINK("https://www.773grp.com/globalSearch/LM2677T-3.3-NOPB/page-1", "LM2677T-3.3-NOPB")</f>
        <v>LM2677T-3.3-NOPB</v>
      </c>
      <c r="B6695" s="3" t="str">
        <f>HYPERLINK("https://www.773grp.com/manufacturer/national-semiconductor?pageNo=128", "National Semiconductor")</f>
        <v>National Semiconductor</v>
      </c>
      <c r="C6695" s="6">
        <v>630</v>
      </c>
      <c r="D6695" s="7">
        <v>6.33</v>
      </c>
    </row>
    <row r="6696" spans="1:5" x14ac:dyDescent="0.25">
      <c r="A6696" t="str">
        <f>HYPERLINK("https://www.773grp.com/globalSearch/LM2677T-5.0-NOPB/page-1", "LM2677T-5.0-NOPB")</f>
        <v>LM2677T-5.0-NOPB</v>
      </c>
      <c r="B6696" s="3" t="str">
        <f>HYPERLINK("https://www.773grp.com/manufacturer/national-semiconductor?pageNo=129", "National Semiconductor")</f>
        <v>National Semiconductor</v>
      </c>
      <c r="C6696" s="6">
        <v>55</v>
      </c>
      <c r="D6696" s="7">
        <v>6.33</v>
      </c>
    </row>
    <row r="6697" spans="1:5" x14ac:dyDescent="0.25">
      <c r="A6697" t="str">
        <f>HYPERLINK("https://www.773grp.com/globalSearch/LM2677T-ADJ-NOPB/page-1", "LM2677T-ADJ-NOPB")</f>
        <v>LM2677T-ADJ-NOPB</v>
      </c>
      <c r="B6697" s="3" t="str">
        <f>HYPERLINK("https://www.773grp.com/manufacturer/national-semiconductor?pageNo=130", "National Semiconductor")</f>
        <v>National Semiconductor</v>
      </c>
      <c r="C6697" s="6">
        <v>61</v>
      </c>
      <c r="D6697" s="7">
        <v>6.33</v>
      </c>
      <c r="E6697" t="s">
        <v>7</v>
      </c>
    </row>
    <row r="6698" spans="1:5" x14ac:dyDescent="0.25">
      <c r="A6698" t="str">
        <f>HYPERLINK("https://www.773grp.com/globalSearch/LM2679SD-3.3/page-1", "LM2679SD-3.3")</f>
        <v>LM2679SD-3.3</v>
      </c>
      <c r="B6698" s="3" t="str">
        <f>HYPERLINK("https://www.773grp.com/manufacturer/national-semiconductor?pageNo=131", "National Semiconductor")</f>
        <v>National Semiconductor</v>
      </c>
      <c r="C6698" s="6">
        <v>79</v>
      </c>
      <c r="D6698" s="7">
        <v>6.33</v>
      </c>
      <c r="E6698" t="s">
        <v>7</v>
      </c>
    </row>
    <row r="6699" spans="1:5" x14ac:dyDescent="0.25">
      <c r="A6699" t="str">
        <f>HYPERLINK("https://www.773grp.com/globalSearch/LM2679SX-3.3-NOPB/page-1", "LM2679SX-3.3-NOPB")</f>
        <v>LM2679SX-3.3-NOPB</v>
      </c>
      <c r="B6699" s="3" t="str">
        <f>HYPERLINK("https://www.773grp.com/manufacturer/national-semiconductor?pageNo=132", "National Semiconductor")</f>
        <v>National Semiconductor</v>
      </c>
      <c r="C6699" s="6">
        <v>2000</v>
      </c>
      <c r="D6699" s="7">
        <v>6.33</v>
      </c>
    </row>
    <row r="6700" spans="1:5" x14ac:dyDescent="0.25">
      <c r="A6700" t="str">
        <f>HYPERLINK("https://www.773grp.com/globalSearch/LM2679SX-5.0-NOPB/page-1", "LM2679SX-5.0-NOPB")</f>
        <v>LM2679SX-5.0-NOPB</v>
      </c>
      <c r="B6700" s="3" t="str">
        <f>HYPERLINK("https://www.773grp.com/manufacturer/national-semiconductor?pageNo=133", "National Semiconductor")</f>
        <v>National Semiconductor</v>
      </c>
      <c r="C6700" s="6">
        <v>1500</v>
      </c>
      <c r="D6700" s="7">
        <v>6.33</v>
      </c>
      <c r="E6700" t="s">
        <v>7</v>
      </c>
    </row>
    <row r="6701" spans="1:5" x14ac:dyDescent="0.25">
      <c r="A6701" t="str">
        <f>HYPERLINK("https://www.773grp.com/globalSearch/LM2679SX-ADJ-NOPB/page-1", "LM2679SX-ADJ-NOPB")</f>
        <v>LM2679SX-ADJ-NOPB</v>
      </c>
      <c r="B6701" s="3" t="str">
        <f>HYPERLINK("https://www.773grp.com/manufacturer/national-semiconductor?pageNo=134", "National Semiconductor")</f>
        <v>National Semiconductor</v>
      </c>
      <c r="C6701" s="6">
        <v>500</v>
      </c>
      <c r="D6701" s="7">
        <v>6.33</v>
      </c>
      <c r="E6701" t="s">
        <v>7</v>
      </c>
    </row>
    <row r="6702" spans="1:5" x14ac:dyDescent="0.25">
      <c r="A6702" t="str">
        <f>HYPERLINK("https://www.773grp.com/globalSearch/LM2679T-12/page-1", "LM2679T-12")</f>
        <v>LM2679T-12</v>
      </c>
      <c r="B6702" s="3" t="str">
        <f>HYPERLINK("https://www.773grp.com/manufacturer/national-semiconductor?pageNo=1", "National Semiconductor")</f>
        <v>National Semiconductor</v>
      </c>
      <c r="C6702" s="6">
        <v>20</v>
      </c>
      <c r="D6702" s="7">
        <v>6.33</v>
      </c>
      <c r="E6702" t="s">
        <v>7</v>
      </c>
    </row>
    <row r="6703" spans="1:5" x14ac:dyDescent="0.25">
      <c r="A6703" t="str">
        <f>HYPERLINK("https://www.773grp.com/globalSearch/LM2679T-12-NOPB/page-1", "LM2679T-12-NOPB")</f>
        <v>LM2679T-12-NOPB</v>
      </c>
      <c r="B6703" s="3" t="str">
        <f>HYPERLINK("https://www.773grp.com/manufacturer/national-semiconductor?pageNo=2", "National Semiconductor")</f>
        <v>National Semiconductor</v>
      </c>
      <c r="C6703" s="6">
        <v>55</v>
      </c>
      <c r="D6703" s="7">
        <v>6.33</v>
      </c>
    </row>
    <row r="6704" spans="1:5" x14ac:dyDescent="0.25">
      <c r="A6704" t="str">
        <f>HYPERLINK("https://www.773grp.com/globalSearch/LM2679T-3.3/page-1", "LM2679T-3.3")</f>
        <v>LM2679T-3.3</v>
      </c>
      <c r="B6704" s="3" t="str">
        <f>HYPERLINK("https://www.773grp.com/manufacturer/national-semiconductor?pageNo=3", "National Semiconductor")</f>
        <v>National Semiconductor</v>
      </c>
      <c r="C6704" s="6">
        <v>85</v>
      </c>
      <c r="D6704" s="7">
        <v>6.33</v>
      </c>
      <c r="E6704" t="s">
        <v>7</v>
      </c>
    </row>
    <row r="6705" spans="1:5" x14ac:dyDescent="0.25">
      <c r="A6705" t="str">
        <f>HYPERLINK("https://www.773grp.com/globalSearch/LM2679T-3.3-NOPB/page-1", "LM2679T-3.3-NOPB")</f>
        <v>LM2679T-3.3-NOPB</v>
      </c>
      <c r="B6705" s="3" t="str">
        <f>HYPERLINK("https://www.773grp.com/manufacturer/national-semiconductor?pageNo=4", "National Semiconductor")</f>
        <v>National Semiconductor</v>
      </c>
      <c r="C6705" s="6">
        <v>40</v>
      </c>
      <c r="D6705" s="7">
        <v>6.33</v>
      </c>
    </row>
    <row r="6706" spans="1:5" x14ac:dyDescent="0.25">
      <c r="A6706" t="str">
        <f>HYPERLINK("https://www.773grp.com/globalSearch/LM2679T-5.0-NOPB/page-1", "LM2679T-5.0-NOPB")</f>
        <v>LM2679T-5.0-NOPB</v>
      </c>
      <c r="B6706" s="3" t="str">
        <f>HYPERLINK("https://www.773grp.com/manufacturer/national-semiconductor?pageNo=5", "National Semiconductor")</f>
        <v>National Semiconductor</v>
      </c>
      <c r="C6706" s="6">
        <v>125</v>
      </c>
      <c r="D6706" s="7">
        <v>6.33</v>
      </c>
    </row>
    <row r="6707" spans="1:5" x14ac:dyDescent="0.25">
      <c r="A6707" t="str">
        <f>HYPERLINK("https://www.773grp.com/globalSearch/LM2679T-ADJ-NOPB/page-1", "LM2679T-ADJ-NOPB")</f>
        <v>LM2679T-ADJ-NOPB</v>
      </c>
      <c r="B6707" s="3" t="str">
        <f>HYPERLINK("https://www.773grp.com/manufacturer/national-semiconductor?pageNo=6", "National Semiconductor")</f>
        <v>National Semiconductor</v>
      </c>
      <c r="C6707" s="6">
        <v>2863</v>
      </c>
      <c r="D6707" s="7">
        <v>6.33</v>
      </c>
    </row>
    <row r="6708" spans="1:5" x14ac:dyDescent="0.25">
      <c r="A6708" t="str">
        <f>HYPERLINK("https://www.773grp.com/globalSearch/LM4832M-NOPB/page-1", "LM4832M-NOPB")</f>
        <v>LM4832M-NOPB</v>
      </c>
      <c r="B6708" s="3" t="str">
        <f>HYPERLINK("https://www.773grp.com/manufacturer/national-semiconductor?pageNo=7", "National Semiconductor")</f>
        <v>National Semiconductor</v>
      </c>
      <c r="C6708" s="6">
        <v>4</v>
      </c>
      <c r="D6708" s="7">
        <v>6.33</v>
      </c>
      <c r="E6708" t="s">
        <v>41</v>
      </c>
    </row>
    <row r="6709" spans="1:5" x14ac:dyDescent="0.25">
      <c r="A6709" t="str">
        <f>HYPERLINK("https://www.773grp.com/globalSearch/LMH0001SQ-NOPB/page-1", "LMH0001SQ-NOPB")</f>
        <v>LMH0001SQ-NOPB</v>
      </c>
      <c r="B6709" s="3" t="str">
        <f>HYPERLINK("https://www.773grp.com/manufacturer/national-semiconductor?pageNo=8", "National Semiconductor")</f>
        <v>National Semiconductor</v>
      </c>
      <c r="C6709" s="6">
        <v>946</v>
      </c>
      <c r="D6709" s="7">
        <v>6.33</v>
      </c>
    </row>
    <row r="6710" spans="1:5" x14ac:dyDescent="0.25">
      <c r="A6710" t="str">
        <f>HYPERLINK("https://www.773grp.com/globalSearch/LMH6550MM-NOPB/page-1", "LMH6550MM-NOPB")</f>
        <v>LMH6550MM-NOPB</v>
      </c>
      <c r="B6710" s="3" t="str">
        <f>HYPERLINK("https://www.773grp.com/manufacturer/national-semiconductor?pageNo=9", "National Semiconductor")</f>
        <v>National Semiconductor</v>
      </c>
      <c r="C6710" s="6">
        <v>1000</v>
      </c>
      <c r="D6710" s="7">
        <v>6.33</v>
      </c>
      <c r="E6710" t="s">
        <v>13</v>
      </c>
    </row>
    <row r="6711" spans="1:5" x14ac:dyDescent="0.25">
      <c r="A6711" t="str">
        <f>HYPERLINK("https://www.773grp.com/globalSearch/ADC0848CCN-NOPB/page-1", "ADC0848CCN-NOPB")</f>
        <v>ADC0848CCN-NOPB</v>
      </c>
      <c r="B6711" s="3" t="str">
        <f>HYPERLINK("https://www.773grp.com/manufacturer/national-semiconductor?pageNo=10", "National Semiconductor")</f>
        <v>National Semiconductor</v>
      </c>
      <c r="C6711" s="6">
        <v>105</v>
      </c>
      <c r="D6711" s="7">
        <v>6.33</v>
      </c>
    </row>
    <row r="6712" spans="1:5" x14ac:dyDescent="0.25">
      <c r="A6712" t="str">
        <f>HYPERLINK("https://www.773grp.com/globalSearch/ADC128S022CIMTX-NOPB/page-1", "ADC128S022CIMTX-NOPB")</f>
        <v>ADC128S022CIMTX-NOPB</v>
      </c>
      <c r="B6712" s="3" t="str">
        <f>HYPERLINK("https://www.773grp.com/manufacturer/national-semiconductor?pageNo=11", "National Semiconductor")</f>
        <v>National Semiconductor</v>
      </c>
      <c r="C6712" s="6">
        <v>2470</v>
      </c>
      <c r="D6712" s="7">
        <v>6.33</v>
      </c>
    </row>
    <row r="6713" spans="1:5" x14ac:dyDescent="0.25">
      <c r="A6713" t="str">
        <f>HYPERLINK("https://www.773grp.com/globalSearch/CALVC164245MDGGREP/page-1", "CALVC164245MDGGREP")</f>
        <v>CALVC164245MDGGREP</v>
      </c>
      <c r="B6713" s="3" t="str">
        <f>HYPERLINK("https://www.773grp.com/manufacturer/national-semiconductor?pageNo=12", "National Semiconductor")</f>
        <v>National Semiconductor</v>
      </c>
      <c r="C6713" s="6">
        <v>335</v>
      </c>
      <c r="D6713" s="7">
        <v>6.33</v>
      </c>
    </row>
    <row r="6714" spans="1:5" x14ac:dyDescent="0.25">
      <c r="A6714" t="str">
        <f>HYPERLINK("https://www.773grp.com/globalSearch/DS25BR100TSD-NOPB/page-1", "DS25BR100TSD-NOPB")</f>
        <v>DS25BR100TSD-NOPB</v>
      </c>
      <c r="B6714" s="3" t="str">
        <f>HYPERLINK("https://www.773grp.com/manufacturer/national-semiconductor?pageNo=13", "National Semiconductor")</f>
        <v>National Semiconductor</v>
      </c>
      <c r="C6714" s="6">
        <v>882</v>
      </c>
      <c r="D6714" s="7">
        <v>6.33</v>
      </c>
      <c r="E6714" t="s">
        <v>21</v>
      </c>
    </row>
    <row r="6715" spans="1:5" x14ac:dyDescent="0.25">
      <c r="A6715" t="str">
        <f>HYPERLINK("https://www.773grp.com/globalSearch/LM2677SX-12-NOPB/page-1", "LM2677SX-12-NOPB")</f>
        <v>LM2677SX-12-NOPB</v>
      </c>
      <c r="B6715" s="3" t="str">
        <f>HYPERLINK("https://www.773grp.com/manufacturer/national-semiconductor?pageNo=14", "National Semiconductor")</f>
        <v>National Semiconductor</v>
      </c>
      <c r="C6715" s="6">
        <v>950</v>
      </c>
      <c r="D6715" s="7">
        <v>6.33</v>
      </c>
    </row>
    <row r="6716" spans="1:5" x14ac:dyDescent="0.25">
      <c r="A6716" t="str">
        <f>HYPERLINK("https://www.773grp.com/globalSearch/LM2677SX-3.3-NOPB/page-1", "LM2677SX-3.3-NOPB")</f>
        <v>LM2677SX-3.3-NOPB</v>
      </c>
      <c r="B6716" s="3" t="str">
        <f>HYPERLINK("https://www.773grp.com/manufacturer/national-semiconductor?pageNo=15", "National Semiconductor")</f>
        <v>National Semiconductor</v>
      </c>
      <c r="C6716" s="6">
        <v>500</v>
      </c>
      <c r="D6716" s="7">
        <v>6.33</v>
      </c>
    </row>
    <row r="6717" spans="1:5" x14ac:dyDescent="0.25">
      <c r="A6717" t="str">
        <f>HYPERLINK("https://www.773grp.com/globalSearch/LM2677T-12-NOPB/page-1", "LM2677T-12-NOPB")</f>
        <v>LM2677T-12-NOPB</v>
      </c>
      <c r="B6717" s="3" t="str">
        <f>HYPERLINK("https://www.773grp.com/manufacturer/national-semiconductor?pageNo=16", "National Semiconductor")</f>
        <v>National Semiconductor</v>
      </c>
      <c r="C6717" s="6">
        <v>67</v>
      </c>
      <c r="D6717" s="7">
        <v>6.33</v>
      </c>
    </row>
    <row r="6718" spans="1:5" x14ac:dyDescent="0.25">
      <c r="A6718" t="str">
        <f>HYPERLINK("https://www.773grp.com/globalSearch/LM2677T-3.3-NOPB/page-1", "LM2677T-3.3-NOPB")</f>
        <v>LM2677T-3.3-NOPB</v>
      </c>
      <c r="B6718" s="3" t="str">
        <f>HYPERLINK("https://www.773grp.com/manufacturer/national-semiconductor?pageNo=17", "National Semiconductor")</f>
        <v>National Semiconductor</v>
      </c>
      <c r="C6718" s="6">
        <v>295</v>
      </c>
      <c r="D6718" s="7">
        <v>6.33</v>
      </c>
    </row>
    <row r="6719" spans="1:5" x14ac:dyDescent="0.25">
      <c r="A6719" t="str">
        <f>HYPERLINK("https://www.773grp.com/globalSearch/LM2677T-5.0-NOPB/page-1", "LM2677T-5.0-NOPB")</f>
        <v>LM2677T-5.0-NOPB</v>
      </c>
      <c r="B6719" s="3" t="str">
        <f>HYPERLINK("https://www.773grp.com/manufacturer/national-semiconductor?pageNo=18", "National Semiconductor")</f>
        <v>National Semiconductor</v>
      </c>
      <c r="C6719" s="6">
        <v>264</v>
      </c>
      <c r="D6719" s="7">
        <v>6.33</v>
      </c>
    </row>
    <row r="6720" spans="1:5" x14ac:dyDescent="0.25">
      <c r="A6720" t="str">
        <f>HYPERLINK("https://www.773grp.com/globalSearch/LM2677T-ADJ-NOPB/page-1", "LM2677T-ADJ-NOPB")</f>
        <v>LM2677T-ADJ-NOPB</v>
      </c>
      <c r="B6720" s="3" t="str">
        <f>HYPERLINK("https://www.773grp.com/manufacturer/national-semiconductor?pageNo=19", "National Semiconductor")</f>
        <v>National Semiconductor</v>
      </c>
      <c r="C6720" s="6">
        <v>245</v>
      </c>
      <c r="D6720" s="7">
        <v>6.33</v>
      </c>
      <c r="E6720" t="s">
        <v>7</v>
      </c>
    </row>
    <row r="6721" spans="1:5" x14ac:dyDescent="0.25">
      <c r="A6721" t="str">
        <f>HYPERLINK("https://www.773grp.com/globalSearch/LM2679T-12-NOPB/page-1", "LM2679T-12-NOPB")</f>
        <v>LM2679T-12-NOPB</v>
      </c>
      <c r="B6721" s="3" t="str">
        <f>HYPERLINK("https://www.773grp.com/manufacturer/national-semiconductor?pageNo=20", "National Semiconductor")</f>
        <v>National Semiconductor</v>
      </c>
      <c r="C6721" s="6">
        <v>373</v>
      </c>
      <c r="D6721" s="7">
        <v>6.33</v>
      </c>
    </row>
    <row r="6722" spans="1:5" x14ac:dyDescent="0.25">
      <c r="A6722" t="str">
        <f>HYPERLINK("https://www.773grp.com/globalSearch/LM2679T-3.3-NOPB/page-1", "LM2679T-3.3-NOPB")</f>
        <v>LM2679T-3.3-NOPB</v>
      </c>
      <c r="B6722" s="3" t="str">
        <f>HYPERLINK("https://www.773grp.com/manufacturer/national-semiconductor?pageNo=21", "National Semiconductor")</f>
        <v>National Semiconductor</v>
      </c>
      <c r="C6722" s="6">
        <v>30</v>
      </c>
      <c r="D6722" s="7">
        <v>6.33</v>
      </c>
    </row>
    <row r="6723" spans="1:5" x14ac:dyDescent="0.25">
      <c r="A6723" t="str">
        <f>HYPERLINK("https://www.773grp.com/globalSearch/LM2679T-5.0-NOPB/page-1", "LM2679T-5.0-NOPB")</f>
        <v>LM2679T-5.0-NOPB</v>
      </c>
      <c r="B6723" s="3" t="str">
        <f>HYPERLINK("https://www.773grp.com/manufacturer/national-semiconductor?pageNo=22", "National Semiconductor")</f>
        <v>National Semiconductor</v>
      </c>
      <c r="C6723" s="6">
        <v>26</v>
      </c>
      <c r="D6723" s="7">
        <v>6.33</v>
      </c>
    </row>
    <row r="6724" spans="1:5" x14ac:dyDescent="0.25">
      <c r="A6724" t="str">
        <f>HYPERLINK("https://www.773grp.com/globalSearch/LM2679T-ADJ-NOPB/page-1", "LM2679T-ADJ-NOPB")</f>
        <v>LM2679T-ADJ-NOPB</v>
      </c>
      <c r="B6724" s="3" t="str">
        <f>HYPERLINK("https://www.773grp.com/manufacturer/national-semiconductor?pageNo=23", "National Semiconductor")</f>
        <v>National Semiconductor</v>
      </c>
      <c r="C6724" s="6">
        <v>998</v>
      </c>
      <c r="D6724" s="7">
        <v>6.33</v>
      </c>
    </row>
    <row r="6725" spans="1:5" x14ac:dyDescent="0.25">
      <c r="A6725" t="str">
        <f>HYPERLINK("https://www.773grp.com/globalSearch/LMH0001SQ-NOPB/page-1", "LMH0001SQ-NOPB")</f>
        <v>LMH0001SQ-NOPB</v>
      </c>
      <c r="B6725" s="3" t="str">
        <f>HYPERLINK("https://www.773grp.com/manufacturer/national-semiconductor?pageNo=24", "National Semiconductor")</f>
        <v>National Semiconductor</v>
      </c>
      <c r="C6725" s="6">
        <v>1631</v>
      </c>
      <c r="D6725" s="7">
        <v>6.33</v>
      </c>
    </row>
    <row r="6726" spans="1:5" x14ac:dyDescent="0.25">
      <c r="A6726" t="str">
        <f>HYPERLINK("https://www.773grp.com/globalSearch/UCC28C43MDREP/page-1", "UCC28C43MDREP")</f>
        <v>UCC28C43MDREP</v>
      </c>
      <c r="B6726" s="3" t="str">
        <f>HYPERLINK("https://www.773grp.com/manufacturer/national-semiconductor?pageNo=25", "National Semiconductor")</f>
        <v>National Semiconductor</v>
      </c>
      <c r="C6726" s="6">
        <v>1510</v>
      </c>
      <c r="D6726" s="7">
        <v>6.33</v>
      </c>
    </row>
    <row r="6727" spans="1:5" x14ac:dyDescent="0.25">
      <c r="A6727" t="str">
        <f>HYPERLINK("https://www.773grp.com/globalSearch/LM1949N-NOPB/page-1", "LM1949N-NOPB")</f>
        <v>LM1949N-NOPB</v>
      </c>
      <c r="B6727" s="3" t="str">
        <f>HYPERLINK("https://www.773grp.com/manufacturer/national-semiconductor?pageNo=26", "National Semiconductor")</f>
        <v>National Semiconductor</v>
      </c>
      <c r="C6727" s="6">
        <v>9200</v>
      </c>
      <c r="D6727" s="7">
        <v>6.36</v>
      </c>
      <c r="E6727" t="s">
        <v>11</v>
      </c>
    </row>
    <row r="6728" spans="1:5" x14ac:dyDescent="0.25">
      <c r="A6728" t="str">
        <f>HYPERLINK("https://www.773grp.com/globalSearch/LM2595SX-12/page-1", "LM2595SX-12")</f>
        <v>LM2595SX-12</v>
      </c>
      <c r="B6728" s="3" t="str">
        <f>HYPERLINK("https://www.773grp.com/manufacturer/national-semiconductor?pageNo=27", "National Semiconductor")</f>
        <v>National Semiconductor</v>
      </c>
      <c r="C6728" s="6">
        <v>1000</v>
      </c>
      <c r="D6728" s="7">
        <v>6.36</v>
      </c>
      <c r="E6728" t="s">
        <v>7</v>
      </c>
    </row>
    <row r="6729" spans="1:5" x14ac:dyDescent="0.25">
      <c r="A6729" t="str">
        <f>HYPERLINK("https://www.773grp.com/globalSearch/LM2595SX-ADJ/page-1", "LM2595SX-ADJ")</f>
        <v>LM2595SX-ADJ</v>
      </c>
      <c r="B6729" s="3" t="str">
        <f>HYPERLINK("https://www.773grp.com/manufacturer/national-semiconductor?pageNo=28", "National Semiconductor")</f>
        <v>National Semiconductor</v>
      </c>
      <c r="C6729" s="6">
        <v>35500</v>
      </c>
      <c r="D6729" s="7">
        <v>6.36</v>
      </c>
      <c r="E6729" t="s">
        <v>7</v>
      </c>
    </row>
    <row r="6730" spans="1:5" x14ac:dyDescent="0.25">
      <c r="A6730" t="str">
        <f>HYPERLINK("https://www.773grp.com/globalSearch/LM2595T-5.0/page-1", "LM2595T-5.0")</f>
        <v>LM2595T-5.0</v>
      </c>
      <c r="B6730" s="3" t="str">
        <f>HYPERLINK("https://www.773grp.com/manufacturer/national-semiconductor?pageNo=29", "National Semiconductor")</f>
        <v>National Semiconductor</v>
      </c>
      <c r="C6730" s="6">
        <v>216</v>
      </c>
      <c r="D6730" s="7">
        <v>6.36</v>
      </c>
      <c r="E6730" t="s">
        <v>7</v>
      </c>
    </row>
    <row r="6731" spans="1:5" x14ac:dyDescent="0.25">
      <c r="A6731" t="str">
        <f>HYPERLINK("https://www.773grp.com/globalSearch/LM2595T-ADJ/page-1", "LM2595T-ADJ")</f>
        <v>LM2595T-ADJ</v>
      </c>
      <c r="B6731" s="3" t="str">
        <f>HYPERLINK("https://www.773grp.com/manufacturer/national-semiconductor?pageNo=30", "National Semiconductor")</f>
        <v>National Semiconductor</v>
      </c>
      <c r="C6731" s="6">
        <v>1088</v>
      </c>
      <c r="D6731" s="7">
        <v>6.36</v>
      </c>
      <c r="E6731" t="s">
        <v>7</v>
      </c>
    </row>
    <row r="6732" spans="1:5" x14ac:dyDescent="0.25">
      <c r="A6732" t="str">
        <f>HYPERLINK("https://www.773grp.com/globalSearch/LM2675LD-ADJ/page-1", "LM2675LD-ADJ")</f>
        <v>LM2675LD-ADJ</v>
      </c>
      <c r="B6732" s="3" t="str">
        <f>HYPERLINK("https://www.773grp.com/manufacturer/national-semiconductor?pageNo=31", "National Semiconductor")</f>
        <v>National Semiconductor</v>
      </c>
      <c r="C6732" s="6">
        <v>1000</v>
      </c>
      <c r="D6732" s="7">
        <v>6.36</v>
      </c>
      <c r="E6732" t="s">
        <v>7</v>
      </c>
    </row>
    <row r="6733" spans="1:5" x14ac:dyDescent="0.25">
      <c r="A6733" t="str">
        <f>HYPERLINK("https://www.773grp.com/globalSearch/LM2675MX-12/page-1", "LM2675MX-12")</f>
        <v>LM2675MX-12</v>
      </c>
      <c r="B6733" s="3" t="str">
        <f>HYPERLINK("https://www.773grp.com/manufacturer/national-semiconductor?pageNo=32", "National Semiconductor")</f>
        <v>National Semiconductor</v>
      </c>
      <c r="C6733" s="6">
        <v>2500</v>
      </c>
      <c r="D6733" s="7">
        <v>6.36</v>
      </c>
      <c r="E6733" t="s">
        <v>7</v>
      </c>
    </row>
    <row r="6734" spans="1:5" x14ac:dyDescent="0.25">
      <c r="A6734" t="str">
        <f>HYPERLINK("https://www.773grp.com/globalSearch/LM2675MX-ADJ/page-1", "LM2675MX-ADJ")</f>
        <v>LM2675MX-ADJ</v>
      </c>
      <c r="B6734" s="3" t="str">
        <f>HYPERLINK("https://www.773grp.com/manufacturer/national-semiconductor?pageNo=33", "National Semiconductor")</f>
        <v>National Semiconductor</v>
      </c>
      <c r="C6734" s="6">
        <v>15000</v>
      </c>
      <c r="D6734" s="7">
        <v>6.36</v>
      </c>
      <c r="E6734" t="s">
        <v>7</v>
      </c>
    </row>
    <row r="6735" spans="1:5" x14ac:dyDescent="0.25">
      <c r="A6735" t="str">
        <f>HYPERLINK("https://www.773grp.com/globalSearch/LM2927T/page-1", "LM2927T")</f>
        <v>LM2927T</v>
      </c>
      <c r="B6735" s="3" t="str">
        <f>HYPERLINK("https://www.773grp.com/manufacturer/national-semiconductor?pageNo=34", "National Semiconductor")</f>
        <v>National Semiconductor</v>
      </c>
      <c r="C6735" s="6">
        <v>5864</v>
      </c>
      <c r="D6735" s="7">
        <v>6.36</v>
      </c>
      <c r="E6735" t="s">
        <v>19</v>
      </c>
    </row>
    <row r="6736" spans="1:5" x14ac:dyDescent="0.25">
      <c r="A6736" t="str">
        <f>HYPERLINK("https://www.773grp.com/globalSearch/LM675T-LF02/page-1", "LM675T-LF02")</f>
        <v>LM675T-LF02</v>
      </c>
      <c r="B6736" s="3" t="str">
        <f>HYPERLINK("https://www.773grp.com/manufacturer/national-semiconductor?pageNo=35", "National Semiconductor")</f>
        <v>National Semiconductor</v>
      </c>
      <c r="C6736" s="6">
        <v>51</v>
      </c>
      <c r="D6736" s="7">
        <v>6.36</v>
      </c>
    </row>
    <row r="6737" spans="1:5" x14ac:dyDescent="0.25">
      <c r="A6737" t="str">
        <f>HYPERLINK("https://www.773grp.com/globalSearch/LM675T-NOPB/page-1", "LM675T-NOPB")</f>
        <v>LM675T-NOPB</v>
      </c>
      <c r="B6737" s="3" t="str">
        <f>HYPERLINK("https://www.773grp.com/manufacturer/national-semiconductor?pageNo=36", "National Semiconductor")</f>
        <v>National Semiconductor</v>
      </c>
      <c r="C6737" s="6">
        <v>435</v>
      </c>
      <c r="D6737" s="7">
        <v>6.36</v>
      </c>
      <c r="E6737" t="s">
        <v>13</v>
      </c>
    </row>
    <row r="6738" spans="1:5" x14ac:dyDescent="0.25">
      <c r="A6738" t="str">
        <f>HYPERLINK("https://www.773grp.com/globalSearch/LM7372IMA-NOPB/page-1", "LM7372IMA-NOPB")</f>
        <v>LM7372IMA-NOPB</v>
      </c>
      <c r="B6738" s="3" t="str">
        <f>HYPERLINK("https://www.773grp.com/manufacturer/national-semiconductor?pageNo=37", "National Semiconductor")</f>
        <v>National Semiconductor</v>
      </c>
      <c r="C6738" s="6">
        <v>699</v>
      </c>
      <c r="D6738" s="7">
        <v>6.36</v>
      </c>
      <c r="E6738" t="s">
        <v>13</v>
      </c>
    </row>
    <row r="6739" spans="1:5" x14ac:dyDescent="0.25">
      <c r="A6739" t="str">
        <f>HYPERLINK("https://www.773grp.com/globalSearch/LM7372MR-NOPB/page-1", "LM7372MR-NOPB")</f>
        <v>LM7372MR-NOPB</v>
      </c>
      <c r="B6739" s="3" t="str">
        <f>HYPERLINK("https://www.773grp.com/manufacturer/national-semiconductor?pageNo=38", "National Semiconductor")</f>
        <v>National Semiconductor</v>
      </c>
      <c r="C6739" s="6">
        <v>130</v>
      </c>
      <c r="D6739" s="7">
        <v>6.36</v>
      </c>
      <c r="E6739" t="s">
        <v>13</v>
      </c>
    </row>
    <row r="6740" spans="1:5" x14ac:dyDescent="0.25">
      <c r="A6740" t="str">
        <f>HYPERLINK("https://www.773grp.com/globalSearch/LMX2502LQ1635-S7001911/page-1", "LMX2502LQ1635-S7001911")</f>
        <v>LMX2502LQ1635-S7001911</v>
      </c>
      <c r="B6740" s="3" t="str">
        <f>HYPERLINK("https://www.773grp.com/manufacturer/national-semiconductor?pageNo=39", "National Semiconductor")</f>
        <v>National Semiconductor</v>
      </c>
      <c r="C6740" s="6">
        <v>7000</v>
      </c>
      <c r="D6740" s="7">
        <v>6.36</v>
      </c>
    </row>
    <row r="6741" spans="1:5" x14ac:dyDescent="0.25">
      <c r="A6741" t="str">
        <f>HYPERLINK("https://www.773grp.com/globalSearch/LM2595SX-12/page-1", "LM2595SX-12")</f>
        <v>LM2595SX-12</v>
      </c>
      <c r="B6741" s="3" t="str">
        <f>HYPERLINK("https://www.773grp.com/manufacturer/national-semiconductor?pageNo=40", "National Semiconductor")</f>
        <v>National Semiconductor</v>
      </c>
      <c r="C6741" s="6">
        <v>500</v>
      </c>
      <c r="D6741" s="7">
        <v>6.36</v>
      </c>
      <c r="E6741" t="s">
        <v>7</v>
      </c>
    </row>
    <row r="6742" spans="1:5" x14ac:dyDescent="0.25">
      <c r="A6742" t="str">
        <f>HYPERLINK("https://www.773grp.com/globalSearch/LM2595SX-5.0/page-1", "LM2595SX-5.0")</f>
        <v>LM2595SX-5.0</v>
      </c>
      <c r="B6742" s="3" t="str">
        <f>HYPERLINK("https://www.773grp.com/manufacturer/national-semiconductor?pageNo=41", "National Semiconductor")</f>
        <v>National Semiconductor</v>
      </c>
      <c r="C6742" s="6">
        <v>500</v>
      </c>
      <c r="D6742" s="7">
        <v>6.36</v>
      </c>
    </row>
    <row r="6743" spans="1:5" x14ac:dyDescent="0.25">
      <c r="A6743" t="str">
        <f>HYPERLINK("https://www.773grp.com/globalSearch/LM2595T-5.0/page-1", "LM2595T-5.0")</f>
        <v>LM2595T-5.0</v>
      </c>
      <c r="B6743" s="3" t="str">
        <f>HYPERLINK("https://www.773grp.com/manufacturer/national-semiconductor?pageNo=42", "National Semiconductor")</f>
        <v>National Semiconductor</v>
      </c>
      <c r="C6743" s="6">
        <v>231</v>
      </c>
      <c r="D6743" s="7">
        <v>6.36</v>
      </c>
      <c r="E6743" t="s">
        <v>7</v>
      </c>
    </row>
    <row r="6744" spans="1:5" x14ac:dyDescent="0.25">
      <c r="A6744" t="str">
        <f>HYPERLINK("https://www.773grp.com/globalSearch/LM6132AIM/page-1", "LM6132AIM")</f>
        <v>LM6132AIM</v>
      </c>
      <c r="B6744" s="3" t="str">
        <f>HYPERLINK("https://www.773grp.com/manufacturer/national-semiconductor?pageNo=43", "National Semiconductor")</f>
        <v>National Semiconductor</v>
      </c>
      <c r="C6744" s="6">
        <v>95</v>
      </c>
      <c r="D6744" s="7">
        <v>6.36</v>
      </c>
    </row>
    <row r="6745" spans="1:5" x14ac:dyDescent="0.25">
      <c r="A6745" t="str">
        <f>HYPERLINK("https://www.773grp.com/globalSearch/LM675T-NOPB/page-1", "LM675T-NOPB")</f>
        <v>LM675T-NOPB</v>
      </c>
      <c r="B6745" s="3" t="str">
        <f>HYPERLINK("https://www.773grp.com/manufacturer/national-semiconductor?pageNo=44", "National Semiconductor")</f>
        <v>National Semiconductor</v>
      </c>
      <c r="C6745" s="6">
        <v>1064</v>
      </c>
      <c r="D6745" s="7">
        <v>6.36</v>
      </c>
      <c r="E6745" t="s">
        <v>13</v>
      </c>
    </row>
    <row r="6746" spans="1:5" x14ac:dyDescent="0.25">
      <c r="A6746" t="str">
        <f>HYPERLINK("https://www.773grp.com/globalSearch/LM7372IMA-NOPB/page-1", "LM7372IMA-NOPB")</f>
        <v>LM7372IMA-NOPB</v>
      </c>
      <c r="B6746" s="3" t="str">
        <f>HYPERLINK("https://www.773grp.com/manufacturer/national-semiconductor?pageNo=45", "National Semiconductor")</f>
        <v>National Semiconductor</v>
      </c>
      <c r="C6746" s="6">
        <v>49</v>
      </c>
      <c r="D6746" s="7">
        <v>6.36</v>
      </c>
      <c r="E6746" t="s">
        <v>13</v>
      </c>
    </row>
    <row r="6747" spans="1:5" x14ac:dyDescent="0.25">
      <c r="A6747" t="str">
        <f>HYPERLINK("https://www.773grp.com/globalSearch/LM7372MR-NOPB/page-1", "LM7372MR-NOPB")</f>
        <v>LM7372MR-NOPB</v>
      </c>
      <c r="B6747" s="3" t="str">
        <f>HYPERLINK("https://www.773grp.com/manufacturer/national-semiconductor?pageNo=46", "National Semiconductor")</f>
        <v>National Semiconductor</v>
      </c>
      <c r="C6747" s="6">
        <v>171</v>
      </c>
      <c r="D6747" s="7">
        <v>6.36</v>
      </c>
      <c r="E6747" t="s">
        <v>13</v>
      </c>
    </row>
    <row r="6748" spans="1:5" x14ac:dyDescent="0.25">
      <c r="A6748" t="str">
        <f>HYPERLINK("https://www.773grp.com/globalSearch/TP3057WMX-NOPB/page-1", "TP3057WMX-NOPB")</f>
        <v>TP3057WMX-NOPB</v>
      </c>
      <c r="B6748" s="3" t="str">
        <f>HYPERLINK("https://www.773grp.com/manufacturer/national-semiconductor?pageNo=47", "National Semiconductor")</f>
        <v>National Semiconductor</v>
      </c>
      <c r="C6748" s="6">
        <v>2000</v>
      </c>
      <c r="D6748" s="7">
        <v>6.36</v>
      </c>
    </row>
    <row r="6749" spans="1:5" x14ac:dyDescent="0.25">
      <c r="A6749" t="str">
        <f>HYPERLINK("https://www.773grp.com/globalSearch/LMC6464BIN/page-1", "LMC6464BIN")</f>
        <v>LMC6464BIN</v>
      </c>
      <c r="B6749" s="3" t="str">
        <f>HYPERLINK("https://www.773grp.com/manufacturer/national-semiconductor?pageNo=48", "National Semiconductor")</f>
        <v>National Semiconductor</v>
      </c>
      <c r="C6749" s="6">
        <v>40</v>
      </c>
      <c r="D6749" s="7">
        <v>6.38</v>
      </c>
      <c r="E6749" t="s">
        <v>13</v>
      </c>
    </row>
    <row r="6750" spans="1:5" x14ac:dyDescent="0.25">
      <c r="A6750" t="str">
        <f>HYPERLINK("https://www.773grp.com/globalSearch/LP3872ES-1.8/page-1", "LP3872ES-1.8")</f>
        <v>LP3872ES-1.8</v>
      </c>
      <c r="B6750" s="3" t="str">
        <f>HYPERLINK("https://www.773grp.com/manufacturer/national-semiconductor?pageNo=49", "National Semiconductor")</f>
        <v>National Semiconductor</v>
      </c>
      <c r="C6750" s="6">
        <v>27</v>
      </c>
      <c r="D6750" s="7">
        <v>6.38</v>
      </c>
      <c r="E6750" t="s">
        <v>19</v>
      </c>
    </row>
    <row r="6751" spans="1:5" x14ac:dyDescent="0.25">
      <c r="A6751" t="str">
        <f>HYPERLINK("https://www.773grp.com/globalSearch/LP3872ES-2.5/page-1", "LP3872ES-2.5")</f>
        <v>LP3872ES-2.5</v>
      </c>
      <c r="B6751" s="3" t="str">
        <f>HYPERLINK("https://www.773grp.com/manufacturer/national-semiconductor?pageNo=50", "National Semiconductor")</f>
        <v>National Semiconductor</v>
      </c>
      <c r="C6751" s="6">
        <v>11635</v>
      </c>
      <c r="D6751" s="7">
        <v>6.38</v>
      </c>
      <c r="E6751" t="s">
        <v>19</v>
      </c>
    </row>
    <row r="6752" spans="1:5" x14ac:dyDescent="0.25">
      <c r="A6752" t="str">
        <f>HYPERLINK("https://www.773grp.com/globalSearch/LP3872ES-3.3/page-1", "LP3872ES-3.3")</f>
        <v>LP3872ES-3.3</v>
      </c>
      <c r="B6752" s="3" t="str">
        <f>HYPERLINK("https://www.773grp.com/manufacturer/national-semiconductor?pageNo=51", "National Semiconductor")</f>
        <v>National Semiconductor</v>
      </c>
      <c r="C6752" s="6">
        <v>163</v>
      </c>
      <c r="D6752" s="7">
        <v>6.38</v>
      </c>
      <c r="E6752" t="s">
        <v>19</v>
      </c>
    </row>
    <row r="6753" spans="1:5" x14ac:dyDescent="0.25">
      <c r="A6753" t="str">
        <f>HYPERLINK("https://www.773grp.com/globalSearch/LP3872ES-5.0/page-1", "LP3872ES-5.0")</f>
        <v>LP3872ES-5.0</v>
      </c>
      <c r="B6753" s="3" t="str">
        <f>HYPERLINK("https://www.773grp.com/manufacturer/national-semiconductor?pageNo=52", "National Semiconductor")</f>
        <v>National Semiconductor</v>
      </c>
      <c r="C6753" s="6">
        <v>180</v>
      </c>
      <c r="D6753" s="7">
        <v>6.38</v>
      </c>
      <c r="E6753" t="s">
        <v>19</v>
      </c>
    </row>
    <row r="6754" spans="1:5" x14ac:dyDescent="0.25">
      <c r="A6754" t="str">
        <f>HYPERLINK("https://www.773grp.com/globalSearch/LP3875ES-2.5/page-1", "LP3875ES-2.5")</f>
        <v>LP3875ES-2.5</v>
      </c>
      <c r="B6754" s="3" t="str">
        <f>HYPERLINK("https://www.773grp.com/manufacturer/national-semiconductor?pageNo=53", "National Semiconductor")</f>
        <v>National Semiconductor</v>
      </c>
      <c r="C6754" s="6">
        <v>780</v>
      </c>
      <c r="D6754" s="7">
        <v>6.38</v>
      </c>
      <c r="E6754" t="s">
        <v>19</v>
      </c>
    </row>
    <row r="6755" spans="1:5" x14ac:dyDescent="0.25">
      <c r="A6755" t="str">
        <f>HYPERLINK("https://www.773grp.com/globalSearch/LP3875ES-3.3/page-1", "LP3875ES-3.3")</f>
        <v>LP3875ES-3.3</v>
      </c>
      <c r="B6755" s="3" t="str">
        <f>HYPERLINK("https://www.773grp.com/manufacturer/national-semiconductor?pageNo=54", "National Semiconductor")</f>
        <v>National Semiconductor</v>
      </c>
      <c r="C6755" s="6">
        <v>720</v>
      </c>
      <c r="D6755" s="7">
        <v>6.38</v>
      </c>
      <c r="E6755" t="s">
        <v>19</v>
      </c>
    </row>
    <row r="6756" spans="1:5" x14ac:dyDescent="0.25">
      <c r="A6756" t="str">
        <f>HYPERLINK("https://www.773grp.com/globalSearch/LP3875ES-ADJ/page-1", "LP3875ES-ADJ")</f>
        <v>LP3875ES-ADJ</v>
      </c>
      <c r="B6756" s="3" t="str">
        <f>HYPERLINK("https://www.773grp.com/manufacturer/national-semiconductor?pageNo=55", "National Semiconductor")</f>
        <v>National Semiconductor</v>
      </c>
      <c r="C6756" s="6">
        <v>5</v>
      </c>
      <c r="D6756" s="7">
        <v>6.38</v>
      </c>
      <c r="E6756" t="s">
        <v>25</v>
      </c>
    </row>
    <row r="6757" spans="1:5" x14ac:dyDescent="0.25">
      <c r="A6757" t="str">
        <f>HYPERLINK("https://www.773grp.com/globalSearch/LP3965ES-1.8/page-1", "LP3965ES-1.8")</f>
        <v>LP3965ES-1.8</v>
      </c>
      <c r="B6757" s="3" t="str">
        <f>HYPERLINK("https://www.773grp.com/manufacturer/national-semiconductor?pageNo=56", "National Semiconductor")</f>
        <v>National Semiconductor</v>
      </c>
      <c r="C6757" s="6">
        <v>356</v>
      </c>
      <c r="D6757" s="7">
        <v>6.38</v>
      </c>
      <c r="E6757" t="s">
        <v>19</v>
      </c>
    </row>
    <row r="6758" spans="1:5" x14ac:dyDescent="0.25">
      <c r="A6758" t="str">
        <f>HYPERLINK("https://www.773grp.com/globalSearch/LP3965ES-2.5/page-1", "LP3965ES-2.5")</f>
        <v>LP3965ES-2.5</v>
      </c>
      <c r="B6758" s="3" t="str">
        <f>HYPERLINK("https://www.773grp.com/manufacturer/national-semiconductor?pageNo=57", "National Semiconductor")</f>
        <v>National Semiconductor</v>
      </c>
      <c r="C6758" s="6">
        <v>95</v>
      </c>
      <c r="D6758" s="7">
        <v>6.38</v>
      </c>
      <c r="E6758" t="s">
        <v>19</v>
      </c>
    </row>
    <row r="6759" spans="1:5" x14ac:dyDescent="0.25">
      <c r="A6759" t="str">
        <f>HYPERLINK("https://www.773grp.com/globalSearch/LP3965ES-ADJ/page-1", "LP3965ES-ADJ")</f>
        <v>LP3965ES-ADJ</v>
      </c>
      <c r="B6759" s="3" t="str">
        <f>HYPERLINK("https://www.773grp.com/manufacturer/national-semiconductor?pageNo=58", "National Semiconductor")</f>
        <v>National Semiconductor</v>
      </c>
      <c r="C6759" s="6">
        <v>945</v>
      </c>
      <c r="D6759" s="7">
        <v>6.38</v>
      </c>
      <c r="E6759" t="s">
        <v>25</v>
      </c>
    </row>
    <row r="6760" spans="1:5" x14ac:dyDescent="0.25">
      <c r="A6760" t="str">
        <f>HYPERLINK("https://www.773grp.com/globalSearch/MM74HC193J/page-1", "MM74HC193J")</f>
        <v>MM74HC193J</v>
      </c>
      <c r="B6760" s="3" t="str">
        <f>HYPERLINK("https://www.773grp.com/manufacturer/national-semiconductor?pageNo=59", "National Semiconductor")</f>
        <v>National Semiconductor</v>
      </c>
      <c r="C6760" s="6">
        <v>554</v>
      </c>
      <c r="D6760" s="7">
        <v>6.38</v>
      </c>
      <c r="E6760" t="s">
        <v>26</v>
      </c>
    </row>
    <row r="6761" spans="1:5" x14ac:dyDescent="0.25">
      <c r="A6761" t="str">
        <f>HYPERLINK("https://www.773grp.com/globalSearch/NM27C010N200/page-1", "NM27C010N200")</f>
        <v>NM27C010N200</v>
      </c>
      <c r="B6761" s="3" t="str">
        <f>HYPERLINK("https://www.773grp.com/manufacturer/national-semiconductor?pageNo=60", "National Semiconductor")</f>
        <v>National Semiconductor</v>
      </c>
      <c r="C6761" s="6">
        <v>912</v>
      </c>
      <c r="D6761" s="7">
        <v>6.38</v>
      </c>
      <c r="E6761" t="s">
        <v>64</v>
      </c>
    </row>
    <row r="6762" spans="1:5" x14ac:dyDescent="0.25">
      <c r="A6762" t="str">
        <f>HYPERLINK("https://www.773grp.com/globalSearch/LMC6082IM/page-1", "LMC6082IM")</f>
        <v>LMC6082IM</v>
      </c>
      <c r="B6762" s="3" t="str">
        <f>HYPERLINK("https://www.773grp.com/manufacturer/national-semiconductor?pageNo=61", "National Semiconductor")</f>
        <v>National Semiconductor</v>
      </c>
      <c r="C6762" s="6">
        <v>250</v>
      </c>
      <c r="D6762" s="7">
        <v>6.38</v>
      </c>
      <c r="E6762" t="s">
        <v>13</v>
      </c>
    </row>
    <row r="6763" spans="1:5" x14ac:dyDescent="0.25">
      <c r="A6763" t="str">
        <f>HYPERLINK("https://www.773grp.com/globalSearch/LMC6464BIN/page-1", "LMC6464BIN")</f>
        <v>LMC6464BIN</v>
      </c>
      <c r="B6763" s="3" t="str">
        <f>HYPERLINK("https://www.773grp.com/manufacturer/national-semiconductor?pageNo=62", "National Semiconductor")</f>
        <v>National Semiconductor</v>
      </c>
      <c r="C6763" s="6">
        <v>102</v>
      </c>
      <c r="D6763" s="7">
        <v>6.38</v>
      </c>
      <c r="E6763" t="s">
        <v>13</v>
      </c>
    </row>
    <row r="6764" spans="1:5" x14ac:dyDescent="0.25">
      <c r="A6764" t="str">
        <f>HYPERLINK("https://www.773grp.com/globalSearch/LP3875ES-2.5/page-1", "LP3875ES-2.5")</f>
        <v>LP3875ES-2.5</v>
      </c>
      <c r="B6764" s="3" t="str">
        <f>HYPERLINK("https://www.773grp.com/manufacturer/national-semiconductor?pageNo=63", "National Semiconductor")</f>
        <v>National Semiconductor</v>
      </c>
      <c r="C6764" s="6">
        <v>253</v>
      </c>
      <c r="D6764" s="7">
        <v>6.38</v>
      </c>
      <c r="E6764" t="s">
        <v>19</v>
      </c>
    </row>
    <row r="6765" spans="1:5" x14ac:dyDescent="0.25">
      <c r="A6765" t="str">
        <f>HYPERLINK("https://www.773grp.com/globalSearch/LP3875ES-ADJ/page-1", "LP3875ES-ADJ")</f>
        <v>LP3875ES-ADJ</v>
      </c>
      <c r="B6765" s="3" t="str">
        <f>HYPERLINK("https://www.773grp.com/manufacturer/national-semiconductor?pageNo=64", "National Semiconductor")</f>
        <v>National Semiconductor</v>
      </c>
      <c r="C6765" s="6">
        <v>3465</v>
      </c>
      <c r="D6765" s="7">
        <v>6.38</v>
      </c>
      <c r="E6765" t="s">
        <v>25</v>
      </c>
    </row>
    <row r="6766" spans="1:5" x14ac:dyDescent="0.25">
      <c r="A6766" t="str">
        <f>HYPERLINK("https://www.773grp.com/globalSearch/LP3965ES-3.3/page-1", "LP3965ES-3.3")</f>
        <v>LP3965ES-3.3</v>
      </c>
      <c r="B6766" s="3" t="str">
        <f>HYPERLINK("https://www.773grp.com/manufacturer/national-semiconductor?pageNo=65", "National Semiconductor")</f>
        <v>National Semiconductor</v>
      </c>
      <c r="C6766" s="6">
        <v>2056</v>
      </c>
      <c r="D6766" s="7">
        <v>6.38</v>
      </c>
    </row>
    <row r="6767" spans="1:5" x14ac:dyDescent="0.25">
      <c r="A6767" t="str">
        <f>HYPERLINK("https://www.773grp.com/globalSearch/LP3965ES-ADJ/page-1", "LP3965ES-ADJ")</f>
        <v>LP3965ES-ADJ</v>
      </c>
      <c r="B6767" s="3" t="str">
        <f>HYPERLINK("https://www.773grp.com/manufacturer/national-semiconductor?pageNo=66", "National Semiconductor")</f>
        <v>National Semiconductor</v>
      </c>
      <c r="C6767" s="6">
        <v>537</v>
      </c>
      <c r="D6767" s="7">
        <v>6.38</v>
      </c>
      <c r="E6767" t="s">
        <v>25</v>
      </c>
    </row>
    <row r="6768" spans="1:5" x14ac:dyDescent="0.25">
      <c r="A6768" t="str">
        <f>HYPERLINK("https://www.773grp.com/globalSearch/CLC001AJE-NOPB/page-1", "CLC001AJE-NOPB")</f>
        <v>CLC001AJE-NOPB</v>
      </c>
      <c r="B6768" s="3" t="str">
        <f>HYPERLINK("https://www.773grp.com/manufacturer/national-semiconductor?pageNo=67", "National Semiconductor")</f>
        <v>National Semiconductor</v>
      </c>
      <c r="C6768" s="6">
        <v>1289</v>
      </c>
      <c r="D6768" s="7">
        <v>6.41</v>
      </c>
      <c r="E6768" t="s">
        <v>21</v>
      </c>
    </row>
    <row r="6769" spans="1:5" x14ac:dyDescent="0.25">
      <c r="A6769" t="str">
        <f>HYPERLINK("https://www.773grp.com/globalSearch/DS90C385AMT-NOPB/page-1", "DS90C385AMT-NOPB")</f>
        <v>DS90C385AMT-NOPB</v>
      </c>
      <c r="B6769" s="3" t="str">
        <f>HYPERLINK("https://www.773grp.com/manufacturer/national-semiconductor?pageNo=68", "National Semiconductor")</f>
        <v>National Semiconductor</v>
      </c>
      <c r="C6769" s="6">
        <v>408</v>
      </c>
      <c r="D6769" s="7">
        <v>6.41</v>
      </c>
      <c r="E6769" t="s">
        <v>21</v>
      </c>
    </row>
    <row r="6770" spans="1:5" x14ac:dyDescent="0.25">
      <c r="A6770" t="str">
        <f>HYPERLINK("https://www.773grp.com/globalSearch/LM2597HVM-3.3-NOPB/page-1", "LM2597HVM-3.3-NOPB")</f>
        <v>LM2597HVM-3.3-NOPB</v>
      </c>
      <c r="B6770" s="3" t="str">
        <f>HYPERLINK("https://www.773grp.com/manufacturer/national-semiconductor?pageNo=69", "National Semiconductor")</f>
        <v>National Semiconductor</v>
      </c>
      <c r="C6770" s="6">
        <v>140</v>
      </c>
      <c r="D6770" s="7">
        <v>6.41</v>
      </c>
      <c r="E6770" t="s">
        <v>7</v>
      </c>
    </row>
    <row r="6771" spans="1:5" x14ac:dyDescent="0.25">
      <c r="A6771" t="str">
        <f>HYPERLINK("https://www.773grp.com/globalSearch/LM2597HVM-5.0-NOPB/page-1", "LM2597HVM-5.0-NOPB")</f>
        <v>LM2597HVM-5.0-NOPB</v>
      </c>
      <c r="B6771" s="3" t="str">
        <f>HYPERLINK("https://www.773grp.com/manufacturer/national-semiconductor?pageNo=70", "National Semiconductor")</f>
        <v>National Semiconductor</v>
      </c>
      <c r="C6771" s="6">
        <v>765</v>
      </c>
      <c r="D6771" s="7">
        <v>6.41</v>
      </c>
      <c r="E6771" t="s">
        <v>7</v>
      </c>
    </row>
    <row r="6772" spans="1:5" x14ac:dyDescent="0.25">
      <c r="A6772" t="str">
        <f>HYPERLINK("https://www.773grp.com/globalSearch/LM5010AQ0MH-NOPB/page-1", "LM5010AQ0MH-NOPB")</f>
        <v>LM5010AQ0MH-NOPB</v>
      </c>
      <c r="B6772" s="3" t="str">
        <f>HYPERLINK("https://www.773grp.com/manufacturer/national-semiconductor?pageNo=71", "National Semiconductor")</f>
        <v>National Semiconductor</v>
      </c>
      <c r="C6772" s="6">
        <v>16</v>
      </c>
      <c r="D6772" s="7">
        <v>6.41</v>
      </c>
    </row>
    <row r="6773" spans="1:5" x14ac:dyDescent="0.25">
      <c r="A6773" t="str">
        <f>HYPERLINK("https://www.773grp.com/globalSearch/LMC6494BEM/page-1", "LMC6494BEM")</f>
        <v>LMC6494BEM</v>
      </c>
      <c r="B6773" s="3" t="str">
        <f>HYPERLINK("https://www.773grp.com/manufacturer/national-semiconductor?pageNo=72", "National Semiconductor")</f>
        <v>National Semiconductor</v>
      </c>
      <c r="C6773" s="6">
        <v>7</v>
      </c>
      <c r="D6773" s="7">
        <v>6.41</v>
      </c>
      <c r="E6773" t="s">
        <v>13</v>
      </c>
    </row>
    <row r="6774" spans="1:5" x14ac:dyDescent="0.25">
      <c r="A6774" t="str">
        <f>HYPERLINK("https://www.773grp.com/globalSearch/LMP2234AMA/page-1", "LMP2234AMA")</f>
        <v>LMP2234AMA</v>
      </c>
      <c r="B6774" s="3" t="str">
        <f>HYPERLINK("https://www.773grp.com/manufacturer/national-semiconductor?pageNo=73", "National Semiconductor")</f>
        <v>National Semiconductor</v>
      </c>
      <c r="C6774" s="6">
        <v>385</v>
      </c>
      <c r="D6774" s="7">
        <v>6.41</v>
      </c>
      <c r="E6774" t="s">
        <v>13</v>
      </c>
    </row>
    <row r="6775" spans="1:5" x14ac:dyDescent="0.25">
      <c r="A6775" t="str">
        <f>HYPERLINK("https://www.773grp.com/globalSearch/LMP2234AMT/page-1", "LMP2234AMT")</f>
        <v>LMP2234AMT</v>
      </c>
      <c r="B6775" s="3" t="str">
        <f>HYPERLINK("https://www.773grp.com/manufacturer/national-semiconductor?pageNo=74", "National Semiconductor")</f>
        <v>National Semiconductor</v>
      </c>
      <c r="C6775" s="6">
        <v>1008</v>
      </c>
      <c r="D6775" s="7">
        <v>6.41</v>
      </c>
      <c r="E6775" t="s">
        <v>13</v>
      </c>
    </row>
    <row r="6776" spans="1:5" x14ac:dyDescent="0.25">
      <c r="A6776" t="str">
        <f>HYPERLINK("https://www.773grp.com/globalSearch/LMV844MA-NOPB/page-1", "LMV844MA-NOPB")</f>
        <v>LMV844MA-NOPB</v>
      </c>
      <c r="B6776" s="3" t="str">
        <f>HYPERLINK("https://www.773grp.com/manufacturer/national-semiconductor?pageNo=75", "National Semiconductor")</f>
        <v>National Semiconductor</v>
      </c>
      <c r="C6776" s="6">
        <v>5</v>
      </c>
      <c r="D6776" s="7">
        <v>6.41</v>
      </c>
      <c r="E6776" t="s">
        <v>13</v>
      </c>
    </row>
    <row r="6777" spans="1:5" x14ac:dyDescent="0.25">
      <c r="A6777" t="str">
        <f>HYPERLINK("https://www.773grp.com/globalSearch/LMV844MT-NOPB/page-1", "LMV844MT-NOPB")</f>
        <v>LMV844MT-NOPB</v>
      </c>
      <c r="B6777" s="3" t="str">
        <f>HYPERLINK("https://www.773grp.com/manufacturer/national-semiconductor?pageNo=76", "National Semiconductor")</f>
        <v>National Semiconductor</v>
      </c>
      <c r="C6777" s="6">
        <v>302</v>
      </c>
      <c r="D6777" s="7">
        <v>6.41</v>
      </c>
      <c r="E6777" t="s">
        <v>13</v>
      </c>
    </row>
    <row r="6778" spans="1:5" x14ac:dyDescent="0.25">
      <c r="A6778" t="str">
        <f>HYPERLINK("https://www.773grp.com/globalSearch/LP3856ES-1.8-NOPB/page-1", "LP3856ES-1.8-NOPB")</f>
        <v>LP3856ES-1.8-NOPB</v>
      </c>
      <c r="B6778" s="3" t="str">
        <f>HYPERLINK("https://www.773grp.com/manufacturer/national-semiconductor?pageNo=77", "National Semiconductor")</f>
        <v>National Semiconductor</v>
      </c>
      <c r="C6778" s="6">
        <v>315</v>
      </c>
      <c r="D6778" s="7">
        <v>6.41</v>
      </c>
      <c r="E6778" t="s">
        <v>19</v>
      </c>
    </row>
    <row r="6779" spans="1:5" x14ac:dyDescent="0.25">
      <c r="A6779" t="str">
        <f>HYPERLINK("https://www.773grp.com/globalSearch/LP3856ES-2.5-NOPB/page-1", "LP3856ES-2.5-NOPB")</f>
        <v>LP3856ES-2.5-NOPB</v>
      </c>
      <c r="B6779" s="3" t="str">
        <f>HYPERLINK("https://www.773grp.com/manufacturer/national-semiconductor?pageNo=78", "National Semiconductor")</f>
        <v>National Semiconductor</v>
      </c>
      <c r="C6779" s="6">
        <v>97</v>
      </c>
      <c r="D6779" s="7">
        <v>6.41</v>
      </c>
      <c r="E6779" t="s">
        <v>19</v>
      </c>
    </row>
    <row r="6780" spans="1:5" x14ac:dyDescent="0.25">
      <c r="A6780" t="str">
        <f>HYPERLINK("https://www.773grp.com/globalSearch/LP3856ES-3.3-NOPB/page-1", "LP3856ES-3.3-NOPB")</f>
        <v>LP3856ES-3.3-NOPB</v>
      </c>
      <c r="B6780" s="3" t="str">
        <f>HYPERLINK("https://www.773grp.com/manufacturer/national-semiconductor?pageNo=79", "National Semiconductor")</f>
        <v>National Semiconductor</v>
      </c>
      <c r="C6780" s="6">
        <v>150</v>
      </c>
      <c r="D6780" s="7">
        <v>6.41</v>
      </c>
      <c r="E6780" t="s">
        <v>19</v>
      </c>
    </row>
    <row r="6781" spans="1:5" x14ac:dyDescent="0.25">
      <c r="A6781" t="str">
        <f>HYPERLINK("https://www.773grp.com/globalSearch/LP3856ES-5.0-NOPB/page-1", "LP3856ES-5.0-NOPB")</f>
        <v>LP3856ES-5.0-NOPB</v>
      </c>
      <c r="B6781" s="3" t="str">
        <f>HYPERLINK("https://www.773grp.com/manufacturer/national-semiconductor?pageNo=80", "National Semiconductor")</f>
        <v>National Semiconductor</v>
      </c>
      <c r="C6781" s="6">
        <v>373</v>
      </c>
      <c r="D6781" s="7">
        <v>6.41</v>
      </c>
      <c r="E6781" t="s">
        <v>19</v>
      </c>
    </row>
    <row r="6782" spans="1:5" x14ac:dyDescent="0.25">
      <c r="A6782" t="str">
        <f>HYPERLINK("https://www.773grp.com/globalSearch/CLC001AJE-NOPB/page-1", "CLC001AJE-NOPB")</f>
        <v>CLC001AJE-NOPB</v>
      </c>
      <c r="B6782" s="3" t="str">
        <f>HYPERLINK("https://www.773grp.com/manufacturer/national-semiconductor?pageNo=81", "National Semiconductor")</f>
        <v>National Semiconductor</v>
      </c>
      <c r="C6782" s="6">
        <v>213</v>
      </c>
      <c r="D6782" s="7">
        <v>6.41</v>
      </c>
      <c r="E6782" t="s">
        <v>21</v>
      </c>
    </row>
    <row r="6783" spans="1:5" x14ac:dyDescent="0.25">
      <c r="A6783" t="str">
        <f>HYPERLINK("https://www.773grp.com/globalSearch/DS90C385AMT-NOPB/page-1", "DS90C385AMT-NOPB")</f>
        <v>DS90C385AMT-NOPB</v>
      </c>
      <c r="B6783" s="3" t="str">
        <f>HYPERLINK("https://www.773grp.com/manufacturer/national-semiconductor?pageNo=82", "National Semiconductor")</f>
        <v>National Semiconductor</v>
      </c>
      <c r="C6783" s="6">
        <v>27</v>
      </c>
      <c r="D6783" s="7">
        <v>6.41</v>
      </c>
      <c r="E6783" t="s">
        <v>21</v>
      </c>
    </row>
    <row r="6784" spans="1:5" x14ac:dyDescent="0.25">
      <c r="A6784" t="str">
        <f>HYPERLINK("https://www.773grp.com/globalSearch/LM22676QMR-5.0-NOPB/page-1", "LM22676QMR-5.0-NOPB")</f>
        <v>LM22676QMR-5.0-NOPB</v>
      </c>
      <c r="B6784" s="3" t="str">
        <f>HYPERLINK("https://www.773grp.com/manufacturer/national-semiconductor?pageNo=83", "National Semiconductor")</f>
        <v>National Semiconductor</v>
      </c>
      <c r="C6784" s="6">
        <v>2947</v>
      </c>
      <c r="D6784" s="7">
        <v>6.41</v>
      </c>
    </row>
    <row r="6785" spans="1:5" x14ac:dyDescent="0.25">
      <c r="A6785" t="str">
        <f>HYPERLINK("https://www.773grp.com/globalSearch/LM22676QMR-ADJ-NOPB/page-1", "LM22676QMR-ADJ-NOPB")</f>
        <v>LM22676QMR-ADJ-NOPB</v>
      </c>
      <c r="B6785" s="3" t="str">
        <f>HYPERLINK("https://www.773grp.com/manufacturer/national-semiconductor?pageNo=84", "National Semiconductor")</f>
        <v>National Semiconductor</v>
      </c>
      <c r="C6785" s="6">
        <v>1576</v>
      </c>
      <c r="D6785" s="7">
        <v>6.41</v>
      </c>
    </row>
    <row r="6786" spans="1:5" x14ac:dyDescent="0.25">
      <c r="A6786" t="str">
        <f>HYPERLINK("https://www.773grp.com/globalSearch/LM2597HVM-12-NOPB/page-1", "LM2597HVM-12-NOPB")</f>
        <v>LM2597HVM-12-NOPB</v>
      </c>
      <c r="B6786" s="3" t="str">
        <f>HYPERLINK("https://www.773grp.com/manufacturer/national-semiconductor?pageNo=85", "National Semiconductor")</f>
        <v>National Semiconductor</v>
      </c>
      <c r="C6786" s="6">
        <v>250</v>
      </c>
      <c r="D6786" s="7">
        <v>6.41</v>
      </c>
      <c r="E6786" t="s">
        <v>7</v>
      </c>
    </row>
    <row r="6787" spans="1:5" x14ac:dyDescent="0.25">
      <c r="A6787" t="str">
        <f>HYPERLINK("https://www.773grp.com/globalSearch/LM2597HVM-3.3-NOPB/page-1", "LM2597HVM-3.3-NOPB")</f>
        <v>LM2597HVM-3.3-NOPB</v>
      </c>
      <c r="B6787" s="3" t="str">
        <f>HYPERLINK("https://www.773grp.com/manufacturer/national-semiconductor?pageNo=86", "National Semiconductor")</f>
        <v>National Semiconductor</v>
      </c>
      <c r="C6787" s="6">
        <v>487</v>
      </c>
      <c r="D6787" s="7">
        <v>6.41</v>
      </c>
      <c r="E6787" t="s">
        <v>7</v>
      </c>
    </row>
    <row r="6788" spans="1:5" x14ac:dyDescent="0.25">
      <c r="A6788" t="str">
        <f>HYPERLINK("https://www.773grp.com/globalSearch/LM2597HVM-5.0-NOPB/page-1", "LM2597HVM-5.0-NOPB")</f>
        <v>LM2597HVM-5.0-NOPB</v>
      </c>
      <c r="B6788" s="3" t="str">
        <f>HYPERLINK("https://www.773grp.com/manufacturer/national-semiconductor?pageNo=87", "National Semiconductor")</f>
        <v>National Semiconductor</v>
      </c>
      <c r="C6788" s="6">
        <v>288</v>
      </c>
      <c r="D6788" s="7">
        <v>6.41</v>
      </c>
      <c r="E6788" t="s">
        <v>7</v>
      </c>
    </row>
    <row r="6789" spans="1:5" x14ac:dyDescent="0.25">
      <c r="A6789" t="str">
        <f>HYPERLINK("https://www.773grp.com/globalSearch/LM5010AQ0MH-NOPB/page-1", "LM5010AQ0MH-NOPB")</f>
        <v>LM5010AQ0MH-NOPB</v>
      </c>
      <c r="B6789" s="3" t="str">
        <f>HYPERLINK("https://www.773grp.com/manufacturer/national-semiconductor?pageNo=88", "National Semiconductor")</f>
        <v>National Semiconductor</v>
      </c>
      <c r="C6789" s="6">
        <v>776</v>
      </c>
      <c r="D6789" s="7">
        <v>6.41</v>
      </c>
    </row>
    <row r="6790" spans="1:5" x14ac:dyDescent="0.25">
      <c r="A6790" t="str">
        <f>HYPERLINK("https://www.773grp.com/globalSearch/LMV844MA-NOPB/page-1", "LMV844MA-NOPB")</f>
        <v>LMV844MA-NOPB</v>
      </c>
      <c r="B6790" s="3" t="str">
        <f>HYPERLINK("https://www.773grp.com/manufacturer/national-semiconductor?pageNo=89", "National Semiconductor")</f>
        <v>National Semiconductor</v>
      </c>
      <c r="C6790" s="6">
        <v>5059</v>
      </c>
      <c r="D6790" s="7">
        <v>6.41</v>
      </c>
      <c r="E6790" t="s">
        <v>13</v>
      </c>
    </row>
    <row r="6791" spans="1:5" x14ac:dyDescent="0.25">
      <c r="A6791" t="str">
        <f>HYPERLINK("https://www.773grp.com/globalSearch/LMV844MT-NOPB/page-1", "LMV844MT-NOPB")</f>
        <v>LMV844MT-NOPB</v>
      </c>
      <c r="B6791" s="3" t="str">
        <f>HYPERLINK("https://www.773grp.com/manufacturer/national-semiconductor?pageNo=90", "National Semiconductor")</f>
        <v>National Semiconductor</v>
      </c>
      <c r="C6791" s="6">
        <v>779</v>
      </c>
      <c r="D6791" s="7">
        <v>6.41</v>
      </c>
      <c r="E6791" t="s">
        <v>13</v>
      </c>
    </row>
    <row r="6792" spans="1:5" x14ac:dyDescent="0.25">
      <c r="A6792" t="str">
        <f>HYPERLINK("https://www.773grp.com/globalSearch/LP3856ES-1.8-NOPB/page-1", "LP3856ES-1.8-NOPB")</f>
        <v>LP3856ES-1.8-NOPB</v>
      </c>
      <c r="B6792" s="3" t="str">
        <f>HYPERLINK("https://www.773grp.com/manufacturer/national-semiconductor?pageNo=91", "National Semiconductor")</f>
        <v>National Semiconductor</v>
      </c>
      <c r="C6792" s="6">
        <v>335</v>
      </c>
      <c r="D6792" s="7">
        <v>6.41</v>
      </c>
      <c r="E6792" t="s">
        <v>19</v>
      </c>
    </row>
    <row r="6793" spans="1:5" x14ac:dyDescent="0.25">
      <c r="A6793" t="str">
        <f>HYPERLINK("https://www.773grp.com/globalSearch/LP3856ES-2.5-NOPB/page-1", "LP3856ES-2.5-NOPB")</f>
        <v>LP3856ES-2.5-NOPB</v>
      </c>
      <c r="B6793" s="3" t="str">
        <f>HYPERLINK("https://www.773grp.com/manufacturer/national-semiconductor?pageNo=92", "National Semiconductor")</f>
        <v>National Semiconductor</v>
      </c>
      <c r="C6793" s="6">
        <v>270</v>
      </c>
      <c r="D6793" s="7">
        <v>6.41</v>
      </c>
      <c r="E6793" t="s">
        <v>19</v>
      </c>
    </row>
    <row r="6794" spans="1:5" x14ac:dyDescent="0.25">
      <c r="A6794" t="str">
        <f>HYPERLINK("https://www.773grp.com/globalSearch/LP3856ES-3.3-NOPB/page-1", "LP3856ES-3.3-NOPB")</f>
        <v>LP3856ES-3.3-NOPB</v>
      </c>
      <c r="B6794" s="3" t="str">
        <f>HYPERLINK("https://www.773grp.com/manufacturer/national-semiconductor?pageNo=93", "National Semiconductor")</f>
        <v>National Semiconductor</v>
      </c>
      <c r="C6794" s="6">
        <v>137</v>
      </c>
      <c r="D6794" s="7">
        <v>6.41</v>
      </c>
      <c r="E6794" t="s">
        <v>19</v>
      </c>
    </row>
    <row r="6795" spans="1:5" x14ac:dyDescent="0.25">
      <c r="A6795" t="str">
        <f>HYPERLINK("https://www.773grp.com/globalSearch/LP3856ES-5.0-NOPB/page-1", "LP3856ES-5.0-NOPB")</f>
        <v>LP3856ES-5.0-NOPB</v>
      </c>
      <c r="B6795" s="3" t="str">
        <f>HYPERLINK("https://www.773grp.com/manufacturer/national-semiconductor?pageNo=94", "National Semiconductor")</f>
        <v>National Semiconductor</v>
      </c>
      <c r="C6795" s="6">
        <v>2228</v>
      </c>
      <c r="D6795" s="7">
        <v>6.41</v>
      </c>
      <c r="E6795" t="s">
        <v>19</v>
      </c>
    </row>
    <row r="6796" spans="1:5" x14ac:dyDescent="0.25">
      <c r="A6796" t="str">
        <f>HYPERLINK("https://www.773grp.com/globalSearch/LP3856ET-5.0/page-1", "LP3856ET-5.0")</f>
        <v>LP3856ET-5.0</v>
      </c>
      <c r="B6796" s="3" t="str">
        <f>HYPERLINK("https://www.773grp.com/manufacturer/national-semiconductor?pageNo=95", "National Semiconductor")</f>
        <v>National Semiconductor</v>
      </c>
      <c r="C6796" s="6">
        <v>360</v>
      </c>
      <c r="D6796" s="7">
        <v>6.41</v>
      </c>
    </row>
    <row r="6797" spans="1:5" x14ac:dyDescent="0.25">
      <c r="A6797" t="str">
        <f>HYPERLINK("https://www.773grp.com/globalSearch/54S64FM/page-1", "54S64FM")</f>
        <v>54S64FM</v>
      </c>
      <c r="B6797" s="3" t="str">
        <f>HYPERLINK("https://www.773grp.com/manufacturer/national-semiconductor?pageNo=96", "National Semiconductor")</f>
        <v>National Semiconductor</v>
      </c>
      <c r="C6797" s="6">
        <v>252</v>
      </c>
      <c r="D6797" s="7">
        <v>6.45</v>
      </c>
    </row>
    <row r="6798" spans="1:5" x14ac:dyDescent="0.25">
      <c r="A6798" t="str">
        <f>HYPERLINK("https://www.773grp.com/globalSearch/74F191PC/page-1", "74F191PC")</f>
        <v>74F191PC</v>
      </c>
      <c r="B6798" s="3" t="str">
        <f>HYPERLINK("https://www.773grp.com/manufacturer/national-semiconductor?pageNo=97", "National Semiconductor")</f>
        <v>National Semiconductor</v>
      </c>
      <c r="C6798" s="6">
        <v>28688</v>
      </c>
      <c r="D6798" s="7">
        <v>6.45</v>
      </c>
      <c r="E6798" t="s">
        <v>26</v>
      </c>
    </row>
    <row r="6799" spans="1:5" x14ac:dyDescent="0.25">
      <c r="A6799" t="str">
        <f>HYPERLINK("https://www.773grp.com/globalSearch/DM54LS74W-883/page-1", "DM54LS74W-883")</f>
        <v>DM54LS74W-883</v>
      </c>
      <c r="B6799" s="3" t="str">
        <f>HYPERLINK("https://www.773grp.com/manufacturer/national-semiconductor?pageNo=98", "National Semiconductor")</f>
        <v>National Semiconductor</v>
      </c>
      <c r="C6799" s="6">
        <v>144</v>
      </c>
      <c r="D6799" s="7">
        <v>6.45</v>
      </c>
      <c r="E6799" t="s">
        <v>35</v>
      </c>
    </row>
    <row r="6800" spans="1:5" x14ac:dyDescent="0.25">
      <c r="A6800" t="str">
        <f>HYPERLINK("https://www.773grp.com/globalSearch/FPD87346BXAVS/page-1", "FPD87346BXAVS")</f>
        <v>FPD87346BXAVS</v>
      </c>
      <c r="B6800" s="3" t="str">
        <f>HYPERLINK("https://www.773grp.com/manufacturer/national-semiconductor?pageNo=99", "National Semiconductor")</f>
        <v>National Semiconductor</v>
      </c>
      <c r="C6800" s="6">
        <v>241</v>
      </c>
      <c r="D6800" s="7">
        <v>6.45</v>
      </c>
      <c r="E6800" t="s">
        <v>42</v>
      </c>
    </row>
    <row r="6801" spans="1:5" x14ac:dyDescent="0.25">
      <c r="A6801" t="str">
        <f>HYPERLINK("https://www.773grp.com/globalSearch/LM2924MX/page-1", "LM2924MX")</f>
        <v>LM2924MX</v>
      </c>
      <c r="B6801" s="3" t="str">
        <f>HYPERLINK("https://www.773grp.com/manufacturer/national-semiconductor?pageNo=100", "National Semiconductor")</f>
        <v>National Semiconductor</v>
      </c>
      <c r="C6801" s="6">
        <v>2245</v>
      </c>
      <c r="D6801" s="7">
        <v>6.45</v>
      </c>
      <c r="E6801" t="s">
        <v>40</v>
      </c>
    </row>
    <row r="6802" spans="1:5" x14ac:dyDescent="0.25">
      <c r="A6802" t="str">
        <f>HYPERLINK("https://www.773grp.com/globalSearch/LM6134AIM-NOPB/page-1", "LM6134AIM-NOPB")</f>
        <v>LM6134AIM-NOPB</v>
      </c>
      <c r="B6802" s="3" t="str">
        <f>HYPERLINK("https://www.773grp.com/manufacturer/national-semiconductor?pageNo=101", "National Semiconductor")</f>
        <v>National Semiconductor</v>
      </c>
      <c r="C6802" s="6">
        <v>2138</v>
      </c>
      <c r="D6802" s="7">
        <v>6.45</v>
      </c>
      <c r="E6802" t="s">
        <v>13</v>
      </c>
    </row>
    <row r="6803" spans="1:5" x14ac:dyDescent="0.25">
      <c r="A6803" t="str">
        <f>HYPERLINK("https://www.773grp.com/globalSearch/LP3883ET-1.5/page-1", "LP3883ET-1.5")</f>
        <v>LP3883ET-1.5</v>
      </c>
      <c r="B6803" s="3" t="str">
        <f>HYPERLINK("https://www.773grp.com/manufacturer/national-semiconductor?pageNo=102", "National Semiconductor")</f>
        <v>National Semiconductor</v>
      </c>
      <c r="C6803" s="6">
        <v>98</v>
      </c>
      <c r="D6803" s="7">
        <v>6.45</v>
      </c>
      <c r="E6803" t="s">
        <v>19</v>
      </c>
    </row>
    <row r="6804" spans="1:5" x14ac:dyDescent="0.25">
      <c r="A6804" t="str">
        <f>HYPERLINK("https://www.773grp.com/globalSearch/LM6134AIM-NOPB/page-1", "LM6134AIM-NOPB")</f>
        <v>LM6134AIM-NOPB</v>
      </c>
      <c r="B6804" s="3" t="str">
        <f>HYPERLINK("https://www.773grp.com/manufacturer/national-semiconductor?pageNo=103", "National Semiconductor")</f>
        <v>National Semiconductor</v>
      </c>
      <c r="C6804" s="6">
        <v>240</v>
      </c>
      <c r="D6804" s="7">
        <v>6.45</v>
      </c>
      <c r="E6804" t="s">
        <v>13</v>
      </c>
    </row>
    <row r="6805" spans="1:5" x14ac:dyDescent="0.25">
      <c r="A6805" t="str">
        <f>HYPERLINK("https://www.773grp.com/globalSearch/54LS173FM/page-1", "54LS173FM")</f>
        <v>54LS173FM</v>
      </c>
      <c r="B6805" s="3" t="str">
        <f>HYPERLINK("https://www.773grp.com/manufacturer/national-semiconductor?pageNo=104", "National Semiconductor")</f>
        <v>National Semiconductor</v>
      </c>
      <c r="C6805" s="6">
        <v>400</v>
      </c>
      <c r="D6805" s="7">
        <v>6.46</v>
      </c>
    </row>
    <row r="6806" spans="1:5" x14ac:dyDescent="0.25">
      <c r="A6806" t="str">
        <f>HYPERLINK("https://www.773grp.com/globalSearch/54LS173FMQB/page-1", "54LS173FMQB")</f>
        <v>54LS173FMQB</v>
      </c>
      <c r="B6806" s="3" t="str">
        <f>HYPERLINK("https://www.773grp.com/manufacturer/national-semiconductor?pageNo=105", "National Semiconductor")</f>
        <v>National Semiconductor</v>
      </c>
      <c r="C6806" s="6">
        <v>2572</v>
      </c>
      <c r="D6806" s="7">
        <v>6.46</v>
      </c>
      <c r="E6806" t="s">
        <v>35</v>
      </c>
    </row>
    <row r="6807" spans="1:5" x14ac:dyDescent="0.25">
      <c r="A6807" t="str">
        <f>HYPERLINK("https://www.773grp.com/globalSearch/ADC10738CIWMX-NOPB/page-1", "ADC10738CIWMX-NOPB")</f>
        <v>ADC10738CIWMX-NOPB</v>
      </c>
      <c r="B6807" s="3" t="str">
        <f>HYPERLINK("https://www.773grp.com/manufacturer/national-semiconductor?pageNo=106", "National Semiconductor")</f>
        <v>National Semiconductor</v>
      </c>
      <c r="C6807" s="6">
        <v>1000</v>
      </c>
      <c r="D6807" s="7">
        <v>6.46</v>
      </c>
    </row>
    <row r="6808" spans="1:5" x14ac:dyDescent="0.25">
      <c r="A6808" t="str">
        <f>HYPERLINK("https://www.773grp.com/globalSearch/COP8TAC9EMW8-NOPB/page-1", "COP8TAC9EMW8-NOPB")</f>
        <v>COP8TAC9EMW8-NOPB</v>
      </c>
      <c r="B6808" s="3" t="str">
        <f>HYPERLINK("https://www.773grp.com/manufacturer/national-semiconductor?pageNo=107", "National Semiconductor")</f>
        <v>National Semiconductor</v>
      </c>
      <c r="C6808" s="6">
        <v>3397</v>
      </c>
      <c r="D6808" s="7">
        <v>6.46</v>
      </c>
      <c r="E6808" t="s">
        <v>52</v>
      </c>
    </row>
    <row r="6809" spans="1:5" x14ac:dyDescent="0.25">
      <c r="A6809" t="str">
        <f>HYPERLINK("https://www.773grp.com/globalSearch/LM2576HVSX-12-NOPB/page-1", "LM2576HVSX-12-NOPB")</f>
        <v>LM2576HVSX-12-NOPB</v>
      </c>
      <c r="B6809" s="3" t="str">
        <f>HYPERLINK("https://www.773grp.com/manufacturer/national-semiconductor?pageNo=108", "National Semiconductor")</f>
        <v>National Semiconductor</v>
      </c>
      <c r="C6809" s="6">
        <v>500</v>
      </c>
      <c r="D6809" s="7">
        <v>6.46</v>
      </c>
      <c r="E6809" t="s">
        <v>7</v>
      </c>
    </row>
    <row r="6810" spans="1:5" x14ac:dyDescent="0.25">
      <c r="A6810" t="str">
        <f>HYPERLINK("https://www.773grp.com/globalSearch/LM2576HVSX-3.3/page-1", "LM2576HVSX-3.3")</f>
        <v>LM2576HVSX-3.3</v>
      </c>
      <c r="B6810" s="3" t="str">
        <f>HYPERLINK("https://www.773grp.com/manufacturer/national-semiconductor?pageNo=109", "National Semiconductor")</f>
        <v>National Semiconductor</v>
      </c>
      <c r="C6810" s="6">
        <v>7000</v>
      </c>
      <c r="D6810" s="7">
        <v>6.46</v>
      </c>
      <c r="E6810" t="s">
        <v>7</v>
      </c>
    </row>
    <row r="6811" spans="1:5" x14ac:dyDescent="0.25">
      <c r="A6811" t="str">
        <f>HYPERLINK("https://www.773grp.com/globalSearch/LM2576HVSX-3.3-NOPB/page-1", "LM2576HVSX-3.3-NOPB")</f>
        <v>LM2576HVSX-3.3-NOPB</v>
      </c>
      <c r="B6811" s="3" t="str">
        <f>HYPERLINK("https://www.773grp.com/manufacturer/national-semiconductor?pageNo=110", "National Semiconductor")</f>
        <v>National Semiconductor</v>
      </c>
      <c r="C6811" s="6">
        <v>500</v>
      </c>
      <c r="D6811" s="7">
        <v>6.46</v>
      </c>
      <c r="E6811" t="s">
        <v>7</v>
      </c>
    </row>
    <row r="6812" spans="1:5" x14ac:dyDescent="0.25">
      <c r="A6812" t="str">
        <f>HYPERLINK("https://www.773grp.com/globalSearch/LM2576HVSX-5.0-NOPB/page-1", "LM2576HVSX-5.0-NOPB")</f>
        <v>LM2576HVSX-5.0-NOPB</v>
      </c>
      <c r="B6812" s="3" t="str">
        <f>HYPERLINK("https://www.773grp.com/manufacturer/national-semiconductor?pageNo=111", "National Semiconductor")</f>
        <v>National Semiconductor</v>
      </c>
      <c r="C6812" s="6">
        <v>579</v>
      </c>
      <c r="D6812" s="7">
        <v>6.46</v>
      </c>
      <c r="E6812" t="s">
        <v>7</v>
      </c>
    </row>
    <row r="6813" spans="1:5" x14ac:dyDescent="0.25">
      <c r="A6813" t="str">
        <f>HYPERLINK("https://www.773grp.com/globalSearch/LM2576HVSX-ADJ-NOPB/page-1", "LM2576HVSX-ADJ-NOPB")</f>
        <v>LM2576HVSX-ADJ-NOPB</v>
      </c>
      <c r="B6813" s="3" t="str">
        <f>HYPERLINK("https://www.773grp.com/manufacturer/national-semiconductor?pageNo=112", "National Semiconductor")</f>
        <v>National Semiconductor</v>
      </c>
      <c r="C6813" s="6">
        <v>7500</v>
      </c>
      <c r="D6813" s="7">
        <v>6.46</v>
      </c>
      <c r="E6813" t="s">
        <v>7</v>
      </c>
    </row>
    <row r="6814" spans="1:5" x14ac:dyDescent="0.25">
      <c r="A6814" t="str">
        <f>HYPERLINK("https://www.773grp.com/globalSearch/LM2576HVT-12-NOPB/page-1", "LM2576HVT-12-NOPB")</f>
        <v>LM2576HVT-12-NOPB</v>
      </c>
      <c r="B6814" s="3" t="str">
        <f>HYPERLINK("https://www.773grp.com/manufacturer/national-semiconductor?pageNo=113", "National Semiconductor")</f>
        <v>National Semiconductor</v>
      </c>
      <c r="C6814" s="6">
        <v>756</v>
      </c>
      <c r="D6814" s="7">
        <v>6.46</v>
      </c>
    </row>
    <row r="6815" spans="1:5" x14ac:dyDescent="0.25">
      <c r="A6815" t="str">
        <f>HYPERLINK("https://www.773grp.com/globalSearch/LM2576HVT-15-NOPB/page-1", "LM2576HVT-15-NOPB")</f>
        <v>LM2576HVT-15-NOPB</v>
      </c>
      <c r="B6815" s="3" t="str">
        <f>HYPERLINK("https://www.773grp.com/manufacturer/national-semiconductor?pageNo=114", "National Semiconductor")</f>
        <v>National Semiconductor</v>
      </c>
      <c r="C6815" s="6">
        <v>262</v>
      </c>
      <c r="D6815" s="7">
        <v>6.46</v>
      </c>
      <c r="E6815" t="s">
        <v>7</v>
      </c>
    </row>
    <row r="6816" spans="1:5" x14ac:dyDescent="0.25">
      <c r="A6816" t="str">
        <f>HYPERLINK("https://www.773grp.com/globalSearch/LM2576HVT-5.0-LF02/page-1", "LM2576HVT-5.0-LF02")</f>
        <v>LM2576HVT-5.0-LF02</v>
      </c>
      <c r="B6816" s="3" t="str">
        <f>HYPERLINK("https://www.773grp.com/manufacturer/national-semiconductor?pageNo=115", "National Semiconductor")</f>
        <v>National Semiconductor</v>
      </c>
      <c r="C6816" s="6">
        <v>12</v>
      </c>
      <c r="D6816" s="7">
        <v>6.46</v>
      </c>
    </row>
    <row r="6817" spans="1:5" x14ac:dyDescent="0.25">
      <c r="A6817" t="str">
        <f>HYPERLINK("https://www.773grp.com/globalSearch/LM2576HVT-5.0-LF03/page-1", "LM2576HVT-5.0-LF03")</f>
        <v>LM2576HVT-5.0-LF03</v>
      </c>
      <c r="B6817" s="3" t="str">
        <f>HYPERLINK("https://www.773grp.com/manufacturer/national-semiconductor?pageNo=116", "National Semiconductor")</f>
        <v>National Semiconductor</v>
      </c>
      <c r="C6817" s="6">
        <v>330</v>
      </c>
      <c r="D6817" s="7">
        <v>6.46</v>
      </c>
    </row>
    <row r="6818" spans="1:5" x14ac:dyDescent="0.25">
      <c r="A6818" t="str">
        <f>HYPERLINK("https://www.773grp.com/globalSearch/LM2576HVT-5.0-NOPB/page-1", "LM2576HVT-5.0-NOPB")</f>
        <v>LM2576HVT-5.0-NOPB</v>
      </c>
      <c r="B6818" s="3" t="str">
        <f>HYPERLINK("https://www.773grp.com/manufacturer/national-semiconductor?pageNo=117", "National Semiconductor")</f>
        <v>National Semiconductor</v>
      </c>
      <c r="C6818" s="6">
        <v>802</v>
      </c>
      <c r="D6818" s="7">
        <v>6.46</v>
      </c>
      <c r="E6818" t="s">
        <v>7</v>
      </c>
    </row>
    <row r="6819" spans="1:5" x14ac:dyDescent="0.25">
      <c r="A6819" t="str">
        <f>HYPERLINK("https://www.773grp.com/globalSearch/LM2576HVT-ADJ-LF03/page-1", "LM2576HVT-ADJ-LF03")</f>
        <v>LM2576HVT-ADJ-LF03</v>
      </c>
      <c r="B6819" s="3" t="str">
        <f>HYPERLINK("https://www.773grp.com/manufacturer/national-semiconductor?pageNo=118", "National Semiconductor")</f>
        <v>National Semiconductor</v>
      </c>
      <c r="C6819" s="6">
        <v>700</v>
      </c>
      <c r="D6819" s="7">
        <v>6.46</v>
      </c>
    </row>
    <row r="6820" spans="1:5" x14ac:dyDescent="0.25">
      <c r="A6820" t="str">
        <f>HYPERLINK("https://www.773grp.com/globalSearch/LM2576HVT-ADJ-NOPB/page-1", "LM2576HVT-ADJ-NOPB")</f>
        <v>LM2576HVT-ADJ-NOPB</v>
      </c>
      <c r="B6820" s="3" t="str">
        <f>HYPERLINK("https://www.773grp.com/manufacturer/national-semiconductor?pageNo=119", "National Semiconductor")</f>
        <v>National Semiconductor</v>
      </c>
      <c r="C6820" s="6">
        <v>1504</v>
      </c>
      <c r="D6820" s="7">
        <v>6.46</v>
      </c>
      <c r="E6820" t="s">
        <v>7</v>
      </c>
    </row>
    <row r="6821" spans="1:5" x14ac:dyDescent="0.25">
      <c r="A6821" t="str">
        <f>HYPERLINK("https://www.773grp.com/globalSearch/LM385SM-1.2/page-1", "LM385SM-1.2")</f>
        <v>LM385SM-1.2</v>
      </c>
      <c r="B6821" s="3" t="str">
        <f>HYPERLINK("https://www.773grp.com/manufacturer/national-semiconductor?pageNo=120", "National Semiconductor")</f>
        <v>National Semiconductor</v>
      </c>
      <c r="C6821" s="6">
        <v>618</v>
      </c>
      <c r="D6821" s="7">
        <v>6.46</v>
      </c>
      <c r="E6821" t="s">
        <v>17</v>
      </c>
    </row>
    <row r="6822" spans="1:5" x14ac:dyDescent="0.25">
      <c r="A6822" t="str">
        <f>HYPERLINK("https://www.773grp.com/globalSearch/LM4668LD/page-1", "LM4668LD")</f>
        <v>LM4668LD</v>
      </c>
      <c r="B6822" s="3" t="str">
        <f>HYPERLINK("https://www.773grp.com/manufacturer/national-semiconductor?pageNo=121", "National Semiconductor")</f>
        <v>National Semiconductor</v>
      </c>
      <c r="C6822" s="6">
        <v>1</v>
      </c>
      <c r="D6822" s="7">
        <v>6.46</v>
      </c>
      <c r="E6822" t="s">
        <v>18</v>
      </c>
    </row>
    <row r="6823" spans="1:5" x14ac:dyDescent="0.25">
      <c r="A6823" t="str">
        <f>HYPERLINK("https://www.773grp.com/globalSearch/LM79M05CH/page-1", "LM79M05CH")</f>
        <v>LM79M05CH</v>
      </c>
      <c r="B6823" s="3" t="str">
        <f>HYPERLINK("https://www.773grp.com/manufacturer/national-semiconductor?pageNo=122", "National Semiconductor")</f>
        <v>National Semiconductor</v>
      </c>
      <c r="C6823" s="6">
        <v>429</v>
      </c>
      <c r="D6823" s="7">
        <v>6.46</v>
      </c>
      <c r="E6823" t="s">
        <v>65</v>
      </c>
    </row>
    <row r="6824" spans="1:5" x14ac:dyDescent="0.25">
      <c r="A6824" t="str">
        <f>HYPERLINK("https://www.773grp.com/globalSearch/LME49600TS-NOPB/page-1", "LME49600TS-NOPB")</f>
        <v>LME49600TS-NOPB</v>
      </c>
      <c r="B6824" s="3" t="str">
        <f>HYPERLINK("https://www.773grp.com/manufacturer/national-semiconductor?pageNo=123", "National Semiconductor")</f>
        <v>National Semiconductor</v>
      </c>
      <c r="C6824" s="6">
        <v>47</v>
      </c>
      <c r="D6824" s="7">
        <v>6.46</v>
      </c>
    </row>
    <row r="6825" spans="1:5" x14ac:dyDescent="0.25">
      <c r="A6825" t="str">
        <f>HYPERLINK("https://www.773grp.com/globalSearch/LME49610TS-NOPB/page-1", "LME49610TS-NOPB")</f>
        <v>LME49610TS-NOPB</v>
      </c>
      <c r="B6825" s="3" t="str">
        <f>HYPERLINK("https://www.773grp.com/manufacturer/national-semiconductor?pageNo=124", "National Semiconductor")</f>
        <v>National Semiconductor</v>
      </c>
      <c r="C6825" s="6">
        <v>232</v>
      </c>
      <c r="D6825" s="7">
        <v>6.46</v>
      </c>
    </row>
    <row r="6826" spans="1:5" x14ac:dyDescent="0.25">
      <c r="A6826" t="str">
        <f>HYPERLINK("https://www.773grp.com/globalSearch/LP39542RL-NOPB/page-1", "LP39542RL-NOPB")</f>
        <v>LP39542RL-NOPB</v>
      </c>
      <c r="B6826" s="3" t="str">
        <f>HYPERLINK("https://www.773grp.com/manufacturer/national-semiconductor?pageNo=125", "National Semiconductor")</f>
        <v>National Semiconductor</v>
      </c>
      <c r="C6826" s="6">
        <v>340</v>
      </c>
      <c r="D6826" s="7">
        <v>6.46</v>
      </c>
    </row>
    <row r="6827" spans="1:5" x14ac:dyDescent="0.25">
      <c r="A6827" t="str">
        <f>HYPERLINK("https://www.773grp.com/globalSearch/LP39542TL-NOPB/page-1", "LP39542TL-NOPB")</f>
        <v>LP39542TL-NOPB</v>
      </c>
      <c r="B6827" s="3" t="str">
        <f>HYPERLINK("https://www.773grp.com/manufacturer/national-semiconductor?pageNo=126", "National Semiconductor")</f>
        <v>National Semiconductor</v>
      </c>
      <c r="C6827" s="6">
        <v>481</v>
      </c>
      <c r="D6827" s="7">
        <v>6.46</v>
      </c>
      <c r="E6827" t="s">
        <v>10</v>
      </c>
    </row>
    <row r="6828" spans="1:5" x14ac:dyDescent="0.25">
      <c r="A6828" t="str">
        <f>HYPERLINK("https://www.773grp.com/globalSearch/COP8TAC9EMW8-NOPB/page-1", "COP8TAC9EMW8-NOPB")</f>
        <v>COP8TAC9EMW8-NOPB</v>
      </c>
      <c r="B6828" s="3" t="str">
        <f>HYPERLINK("https://www.773grp.com/manufacturer/national-semiconductor?pageNo=127", "National Semiconductor")</f>
        <v>National Semiconductor</v>
      </c>
      <c r="C6828" s="6">
        <v>2323</v>
      </c>
      <c r="D6828" s="7">
        <v>6.46</v>
      </c>
      <c r="E6828" t="s">
        <v>52</v>
      </c>
    </row>
    <row r="6829" spans="1:5" x14ac:dyDescent="0.25">
      <c r="A6829" t="str">
        <f>HYPERLINK("https://www.773grp.com/globalSearch/LM2576HVSX-12-NOPB/page-1", "LM2576HVSX-12-NOPB")</f>
        <v>LM2576HVSX-12-NOPB</v>
      </c>
      <c r="B6829" s="3" t="str">
        <f>HYPERLINK("https://www.773grp.com/manufacturer/national-semiconductor?pageNo=128", "National Semiconductor")</f>
        <v>National Semiconductor</v>
      </c>
      <c r="C6829" s="6">
        <v>310</v>
      </c>
      <c r="D6829" s="7">
        <v>6.46</v>
      </c>
      <c r="E6829" t="s">
        <v>7</v>
      </c>
    </row>
    <row r="6830" spans="1:5" x14ac:dyDescent="0.25">
      <c r="A6830" t="str">
        <f>HYPERLINK("https://www.773grp.com/globalSearch/LM2576HVSX-ADJ-NOPB/page-1", "LM2576HVSX-ADJ-NOPB")</f>
        <v>LM2576HVSX-ADJ-NOPB</v>
      </c>
      <c r="B6830" s="3" t="str">
        <f>HYPERLINK("https://www.773grp.com/manufacturer/national-semiconductor?pageNo=129", "National Semiconductor")</f>
        <v>National Semiconductor</v>
      </c>
      <c r="C6830" s="6">
        <v>6500</v>
      </c>
      <c r="D6830" s="7">
        <v>6.46</v>
      </c>
      <c r="E6830" t="s">
        <v>7</v>
      </c>
    </row>
    <row r="6831" spans="1:5" x14ac:dyDescent="0.25">
      <c r="A6831" t="str">
        <f>HYPERLINK("https://www.773grp.com/globalSearch/LM2576HVSX-ADJ-NOPB/page-1", "LM2576HVSX-ADJ-NOPB")</f>
        <v>LM2576HVSX-ADJ-NOPB</v>
      </c>
      <c r="B6831" s="3" t="str">
        <f>HYPERLINK("https://www.773grp.com/manufacturer/national-semiconductor?pageNo=130", "National Semiconductor")</f>
        <v>National Semiconductor</v>
      </c>
      <c r="C6831" s="6">
        <v>1500</v>
      </c>
      <c r="D6831" s="7">
        <v>6.46</v>
      </c>
      <c r="E6831" t="s">
        <v>7</v>
      </c>
    </row>
    <row r="6832" spans="1:5" x14ac:dyDescent="0.25">
      <c r="A6832" t="str">
        <f>HYPERLINK("https://www.773grp.com/globalSearch/LM2576HVT-12-NOPB/page-1", "LM2576HVT-12-NOPB")</f>
        <v>LM2576HVT-12-NOPB</v>
      </c>
      <c r="B6832" s="3" t="str">
        <f>HYPERLINK("https://www.773grp.com/manufacturer/national-semiconductor?pageNo=131", "National Semiconductor")</f>
        <v>National Semiconductor</v>
      </c>
      <c r="C6832" s="6">
        <v>225</v>
      </c>
      <c r="D6832" s="7">
        <v>6.46</v>
      </c>
    </row>
    <row r="6833" spans="1:5" x14ac:dyDescent="0.25">
      <c r="A6833" t="str">
        <f>HYPERLINK("https://www.773grp.com/globalSearch/LM2576HVT-5.0-NOPB/page-1", "LM2576HVT-5.0-NOPB")</f>
        <v>LM2576HVT-5.0-NOPB</v>
      </c>
      <c r="B6833" s="3" t="str">
        <f>HYPERLINK("https://www.773grp.com/manufacturer/national-semiconductor?pageNo=132", "National Semiconductor")</f>
        <v>National Semiconductor</v>
      </c>
      <c r="C6833" s="6">
        <v>2179</v>
      </c>
      <c r="D6833" s="7">
        <v>6.46</v>
      </c>
      <c r="E6833" t="s">
        <v>7</v>
      </c>
    </row>
    <row r="6834" spans="1:5" x14ac:dyDescent="0.25">
      <c r="A6834" t="str">
        <f>HYPERLINK("https://www.773grp.com/globalSearch/LM2576HVT-ADJ-LF03/page-1", "LM2576HVT-ADJ-LF03")</f>
        <v>LM2576HVT-ADJ-LF03</v>
      </c>
      <c r="B6834" s="3" t="str">
        <f>HYPERLINK("https://www.773grp.com/manufacturer/national-semiconductor?pageNo=133", "National Semiconductor")</f>
        <v>National Semiconductor</v>
      </c>
      <c r="C6834" s="6">
        <v>5</v>
      </c>
      <c r="D6834" s="7">
        <v>6.46</v>
      </c>
    </row>
    <row r="6835" spans="1:5" x14ac:dyDescent="0.25">
      <c r="A6835" t="str">
        <f>HYPERLINK("https://www.773grp.com/globalSearch/LM2576HVT-ADJ-NOPB/page-1", "LM2576HVT-ADJ-NOPB")</f>
        <v>LM2576HVT-ADJ-NOPB</v>
      </c>
      <c r="B6835" s="3" t="str">
        <f>HYPERLINK("https://www.773grp.com/manufacturer/national-semiconductor?pageNo=134", "National Semiconductor")</f>
        <v>National Semiconductor</v>
      </c>
      <c r="C6835" s="6">
        <v>2432</v>
      </c>
      <c r="D6835" s="7">
        <v>6.46</v>
      </c>
      <c r="E6835" t="s">
        <v>7</v>
      </c>
    </row>
    <row r="6836" spans="1:5" x14ac:dyDescent="0.25">
      <c r="A6836" t="str">
        <f>HYPERLINK("https://www.773grp.com/globalSearch/LME49600TS-NOPB/page-1", "LME49600TS-NOPB")</f>
        <v>LME49600TS-NOPB</v>
      </c>
      <c r="B6836" s="3" t="str">
        <f>HYPERLINK("https://www.773grp.com/manufacturer/national-semiconductor?pageNo=1", "National Semiconductor")</f>
        <v>National Semiconductor</v>
      </c>
      <c r="C6836" s="6">
        <v>149</v>
      </c>
      <c r="D6836" s="7">
        <v>6.46</v>
      </c>
    </row>
    <row r="6837" spans="1:5" x14ac:dyDescent="0.25">
      <c r="A6837" t="str">
        <f>HYPERLINK("https://www.773grp.com/globalSearch/LME49610TS-NOPB/page-1", "LME49610TS-NOPB")</f>
        <v>LME49610TS-NOPB</v>
      </c>
      <c r="B6837" s="3" t="str">
        <f>HYPERLINK("https://www.773grp.com/manufacturer/national-semiconductor?pageNo=2", "National Semiconductor")</f>
        <v>National Semiconductor</v>
      </c>
      <c r="C6837" s="6">
        <v>169</v>
      </c>
      <c r="D6837" s="7">
        <v>6.46</v>
      </c>
    </row>
    <row r="6838" spans="1:5" x14ac:dyDescent="0.25">
      <c r="A6838" t="str">
        <f>HYPERLINK("https://www.773grp.com/globalSearch/LMR24220TL-NOPB/page-1", "LMR24220TL-NOPB")</f>
        <v>LMR24220TL-NOPB</v>
      </c>
      <c r="B6838" s="3" t="str">
        <f>HYPERLINK("https://www.773grp.com/manufacturer/national-semiconductor?pageNo=3", "National Semiconductor")</f>
        <v>National Semiconductor</v>
      </c>
      <c r="C6838" s="6">
        <v>250</v>
      </c>
      <c r="D6838" s="7">
        <v>6.46</v>
      </c>
    </row>
    <row r="6839" spans="1:5" x14ac:dyDescent="0.25">
      <c r="A6839" t="str">
        <f>HYPERLINK("https://www.773grp.com/globalSearch/LMR24220TL-NOPB/page-1", "LMR24220TL-NOPB")</f>
        <v>LMR24220TL-NOPB</v>
      </c>
      <c r="B6839" s="3" t="str">
        <f>HYPERLINK("https://www.773grp.com/manufacturer/national-semiconductor?pageNo=4", "National Semiconductor")</f>
        <v>National Semiconductor</v>
      </c>
      <c r="C6839" s="6">
        <v>750</v>
      </c>
      <c r="D6839" s="7">
        <v>6.46</v>
      </c>
    </row>
    <row r="6840" spans="1:5" x14ac:dyDescent="0.25">
      <c r="A6840" t="str">
        <f>HYPERLINK("https://www.773grp.com/globalSearch/LMR24220TL-NOPB/page-1", "LMR24220TL-NOPB")</f>
        <v>LMR24220TL-NOPB</v>
      </c>
      <c r="B6840" s="3" t="str">
        <f>HYPERLINK("https://www.773grp.com/manufacturer/national-semiconductor?pageNo=5", "National Semiconductor")</f>
        <v>National Semiconductor</v>
      </c>
      <c r="C6840" s="6">
        <v>76</v>
      </c>
      <c r="D6840" s="7">
        <v>6.46</v>
      </c>
    </row>
    <row r="6841" spans="1:5" x14ac:dyDescent="0.25">
      <c r="A6841" t="str">
        <f>HYPERLINK("https://www.773grp.com/globalSearch/LP39542RL-NOPB/page-1", "LP39542RL-NOPB")</f>
        <v>LP39542RL-NOPB</v>
      </c>
      <c r="B6841" s="3" t="str">
        <f>HYPERLINK("https://www.773grp.com/manufacturer/national-semiconductor?pageNo=6", "National Semiconductor")</f>
        <v>National Semiconductor</v>
      </c>
      <c r="C6841" s="6">
        <v>1750</v>
      </c>
      <c r="D6841" s="7">
        <v>6.46</v>
      </c>
    </row>
    <row r="6842" spans="1:5" x14ac:dyDescent="0.25">
      <c r="A6842" t="str">
        <f>HYPERLINK("https://www.773grp.com/globalSearch/PCM1870RHFT/page-1", "PCM1870RHFT")</f>
        <v>PCM1870RHFT</v>
      </c>
      <c r="B6842" s="3" t="str">
        <f>HYPERLINK("https://www.773grp.com/manufacturer/national-semiconductor?pageNo=7", "National Semiconductor")</f>
        <v>National Semiconductor</v>
      </c>
      <c r="C6842" s="6">
        <v>48</v>
      </c>
      <c r="D6842" s="7">
        <v>6.46</v>
      </c>
    </row>
    <row r="6843" spans="1:5" x14ac:dyDescent="0.25">
      <c r="A6843" t="str">
        <f>HYPERLINK("https://www.773grp.com/globalSearch/TLC1543CFN/page-1", "TLC1543CFN")</f>
        <v>TLC1543CFN</v>
      </c>
      <c r="B6843" s="3" t="str">
        <f>HYPERLINK("https://www.773grp.com/manufacturer/national-semiconductor?pageNo=8", "National Semiconductor")</f>
        <v>National Semiconductor</v>
      </c>
      <c r="C6843" s="6">
        <v>7406</v>
      </c>
      <c r="D6843" s="7">
        <v>6.46</v>
      </c>
    </row>
    <row r="6844" spans="1:5" x14ac:dyDescent="0.25">
      <c r="A6844" t="str">
        <f>HYPERLINK("https://www.773grp.com/globalSearch/LF411ACN-NOPB/page-1", "LF411ACN-NOPB")</f>
        <v>LF411ACN-NOPB</v>
      </c>
      <c r="B6844" s="3" t="str">
        <f>HYPERLINK("https://www.773grp.com/manufacturer/national-semiconductor?pageNo=9", "National Semiconductor")</f>
        <v>National Semiconductor</v>
      </c>
      <c r="C6844" s="6">
        <v>30</v>
      </c>
      <c r="D6844" s="7">
        <v>6.5</v>
      </c>
      <c r="E6844" t="s">
        <v>13</v>
      </c>
    </row>
    <row r="6845" spans="1:5" x14ac:dyDescent="0.25">
      <c r="A6845" t="str">
        <f>HYPERLINK("https://www.773grp.com/globalSearch/LM25005MH/page-1", "LM25005MH")</f>
        <v>LM25005MH</v>
      </c>
      <c r="B6845" s="3" t="str">
        <f>HYPERLINK("https://www.773grp.com/manufacturer/national-semiconductor?pageNo=10", "National Semiconductor")</f>
        <v>National Semiconductor</v>
      </c>
      <c r="C6845" s="6">
        <v>584</v>
      </c>
      <c r="D6845" s="7">
        <v>6.5</v>
      </c>
      <c r="E6845" t="s">
        <v>7</v>
      </c>
    </row>
    <row r="6846" spans="1:5" x14ac:dyDescent="0.25">
      <c r="A6846" t="str">
        <f>HYPERLINK("https://www.773grp.com/globalSearch/LM2651MTC-3.3/page-1", "LM2651MTC-3.3")</f>
        <v>LM2651MTC-3.3</v>
      </c>
      <c r="B6846" s="3" t="str">
        <f>HYPERLINK("https://www.773grp.com/manufacturer/national-semiconductor?pageNo=11", "National Semiconductor")</f>
        <v>National Semiconductor</v>
      </c>
      <c r="C6846" s="6">
        <v>273</v>
      </c>
      <c r="D6846" s="7">
        <v>6.5</v>
      </c>
      <c r="E6846" t="s">
        <v>7</v>
      </c>
    </row>
    <row r="6847" spans="1:5" x14ac:dyDescent="0.25">
      <c r="A6847" t="str">
        <f>HYPERLINK("https://www.773grp.com/globalSearch/LM2651MTC-ADJ/page-1", "LM2651MTC-ADJ")</f>
        <v>LM2651MTC-ADJ</v>
      </c>
      <c r="B6847" s="3" t="str">
        <f>HYPERLINK("https://www.773grp.com/manufacturer/national-semiconductor?pageNo=12", "National Semiconductor")</f>
        <v>National Semiconductor</v>
      </c>
      <c r="C6847" s="6">
        <v>617</v>
      </c>
      <c r="D6847" s="7">
        <v>6.5</v>
      </c>
      <c r="E6847" t="s">
        <v>7</v>
      </c>
    </row>
    <row r="6848" spans="1:5" x14ac:dyDescent="0.25">
      <c r="A6848" t="str">
        <f>HYPERLINK("https://www.773grp.com/globalSearch/LM6134BIM/page-1", "LM6134BIM")</f>
        <v>LM6134BIM</v>
      </c>
      <c r="B6848" s="3" t="str">
        <f>HYPERLINK("https://www.773grp.com/manufacturer/national-semiconductor?pageNo=13", "National Semiconductor")</f>
        <v>National Semiconductor</v>
      </c>
      <c r="C6848" s="6">
        <v>43</v>
      </c>
      <c r="D6848" s="7">
        <v>6.5</v>
      </c>
      <c r="E6848" t="s">
        <v>13</v>
      </c>
    </row>
    <row r="6849" spans="1:5" x14ac:dyDescent="0.25">
      <c r="A6849" t="str">
        <f>HYPERLINK("https://www.773grp.com/globalSearch/LM96080CIMTX-NOPB/page-1", "LM96080CIMTX-NOPB")</f>
        <v>LM96080CIMTX-NOPB</v>
      </c>
      <c r="B6849" s="3" t="str">
        <f>HYPERLINK("https://www.773grp.com/manufacturer/national-semiconductor?pageNo=14", "National Semiconductor")</f>
        <v>National Semiconductor</v>
      </c>
      <c r="C6849" s="6">
        <v>10000</v>
      </c>
      <c r="D6849" s="7">
        <v>6.5</v>
      </c>
      <c r="E6849" t="s">
        <v>30</v>
      </c>
    </row>
    <row r="6850" spans="1:5" x14ac:dyDescent="0.25">
      <c r="A6850" t="str">
        <f>HYPERLINK("https://www.773grp.com/globalSearch/LMC6084IMX-NOPB/page-1", "LMC6084IMX-NOPB")</f>
        <v>LMC6084IMX-NOPB</v>
      </c>
      <c r="B6850" s="3" t="str">
        <f>HYPERLINK("https://www.773grp.com/manufacturer/national-semiconductor?pageNo=15", "National Semiconductor")</f>
        <v>National Semiconductor</v>
      </c>
      <c r="C6850" s="6">
        <v>32500</v>
      </c>
      <c r="D6850" s="7">
        <v>6.5</v>
      </c>
      <c r="E6850" t="s">
        <v>13</v>
      </c>
    </row>
    <row r="6851" spans="1:5" x14ac:dyDescent="0.25">
      <c r="A6851" t="str">
        <f>HYPERLINK("https://www.773grp.com/globalSearch/LMH6678LQ/page-1", "LMH6678LQ")</f>
        <v>LMH6678LQ</v>
      </c>
      <c r="B6851" s="3" t="str">
        <f>HYPERLINK("https://www.773grp.com/manufacturer/national-semiconductor?pageNo=16", "National Semiconductor")</f>
        <v>National Semiconductor</v>
      </c>
      <c r="C6851" s="6">
        <v>8000</v>
      </c>
      <c r="D6851" s="7">
        <v>6.5</v>
      </c>
      <c r="E6851" t="s">
        <v>21</v>
      </c>
    </row>
    <row r="6852" spans="1:5" x14ac:dyDescent="0.25">
      <c r="A6852" t="str">
        <f>HYPERLINK("https://www.773grp.com/globalSearch/LMP2234AMA-NOPB/page-1", "LMP2234AMA-NOPB")</f>
        <v>LMP2234AMA-NOPB</v>
      </c>
      <c r="B6852" s="3" t="str">
        <f>HYPERLINK("https://www.773grp.com/manufacturer/national-semiconductor?pageNo=17", "National Semiconductor")</f>
        <v>National Semiconductor</v>
      </c>
      <c r="C6852" s="6">
        <v>418</v>
      </c>
      <c r="D6852" s="7">
        <v>6.5</v>
      </c>
    </row>
    <row r="6853" spans="1:5" x14ac:dyDescent="0.25">
      <c r="A6853" t="str">
        <f>HYPERLINK("https://www.773grp.com/globalSearch/TP3054WM-NOPB/page-1", "TP3054WM-NOPB")</f>
        <v>TP3054WM-NOPB</v>
      </c>
      <c r="B6853" s="3" t="str">
        <f>HYPERLINK("https://www.773grp.com/manufacturer/national-semiconductor?pageNo=18", "National Semiconductor")</f>
        <v>National Semiconductor</v>
      </c>
      <c r="C6853" s="6">
        <v>150</v>
      </c>
      <c r="D6853" s="7">
        <v>6.5</v>
      </c>
      <c r="E6853" t="s">
        <v>66</v>
      </c>
    </row>
    <row r="6854" spans="1:5" x14ac:dyDescent="0.25">
      <c r="A6854" t="str">
        <f>HYPERLINK("https://www.773grp.com/globalSearch/TP3054WMX-NOPB/page-1", "TP3054WMX-NOPB")</f>
        <v>TP3054WMX-NOPB</v>
      </c>
      <c r="B6854" s="3" t="str">
        <f>HYPERLINK("https://www.773grp.com/manufacturer/national-semiconductor?pageNo=19", "National Semiconductor")</f>
        <v>National Semiconductor</v>
      </c>
      <c r="C6854" s="6">
        <v>2000</v>
      </c>
      <c r="D6854" s="7">
        <v>6.5</v>
      </c>
      <c r="E6854" t="s">
        <v>66</v>
      </c>
    </row>
    <row r="6855" spans="1:5" x14ac:dyDescent="0.25">
      <c r="A6855" t="str">
        <f>HYPERLINK("https://www.773grp.com/globalSearch/LF411ACN-NOPB/page-1", "LF411ACN-NOPB")</f>
        <v>LF411ACN-NOPB</v>
      </c>
      <c r="B6855" s="3" t="str">
        <f>HYPERLINK("https://www.773grp.com/manufacturer/national-semiconductor?pageNo=20", "National Semiconductor")</f>
        <v>National Semiconductor</v>
      </c>
      <c r="C6855" s="6">
        <v>293</v>
      </c>
      <c r="D6855" s="7">
        <v>6.5</v>
      </c>
      <c r="E6855" t="s">
        <v>13</v>
      </c>
    </row>
    <row r="6856" spans="1:5" x14ac:dyDescent="0.25">
      <c r="A6856" t="str">
        <f>HYPERLINK("https://www.773grp.com/globalSearch/LM25005MH/page-1", "LM25005MH")</f>
        <v>LM25005MH</v>
      </c>
      <c r="B6856" s="3" t="str">
        <f>HYPERLINK("https://www.773grp.com/manufacturer/national-semiconductor?pageNo=21", "National Semiconductor")</f>
        <v>National Semiconductor</v>
      </c>
      <c r="C6856" s="6">
        <v>219</v>
      </c>
      <c r="D6856" s="7">
        <v>6.5</v>
      </c>
      <c r="E6856" t="s">
        <v>7</v>
      </c>
    </row>
    <row r="6857" spans="1:5" x14ac:dyDescent="0.25">
      <c r="A6857" t="str">
        <f>HYPERLINK("https://www.773grp.com/globalSearch/LM6134BIM/page-1", "LM6134BIM")</f>
        <v>LM6134BIM</v>
      </c>
      <c r="B6857" s="3" t="str">
        <f>HYPERLINK("https://www.773grp.com/manufacturer/national-semiconductor?pageNo=22", "National Semiconductor")</f>
        <v>National Semiconductor</v>
      </c>
      <c r="C6857" s="6">
        <v>933</v>
      </c>
      <c r="D6857" s="7">
        <v>6.5</v>
      </c>
      <c r="E6857" t="s">
        <v>13</v>
      </c>
    </row>
    <row r="6858" spans="1:5" x14ac:dyDescent="0.25">
      <c r="A6858" t="str">
        <f>HYPERLINK("https://www.773grp.com/globalSearch/LM6171AIM/page-1", "LM6171AIM")</f>
        <v>LM6171AIM</v>
      </c>
      <c r="B6858" s="3" t="str">
        <f>HYPERLINK("https://www.773grp.com/manufacturer/national-semiconductor?pageNo=23", "National Semiconductor")</f>
        <v>National Semiconductor</v>
      </c>
      <c r="C6858" s="6">
        <v>78</v>
      </c>
      <c r="D6858" s="7">
        <v>6.5</v>
      </c>
      <c r="E6858" t="s">
        <v>18</v>
      </c>
    </row>
    <row r="6859" spans="1:5" x14ac:dyDescent="0.25">
      <c r="A6859" t="str">
        <f>HYPERLINK("https://www.773grp.com/globalSearch/LMC6084IMX-NOPB/page-1", "LMC6084IMX-NOPB")</f>
        <v>LMC6084IMX-NOPB</v>
      </c>
      <c r="B6859" s="3" t="str">
        <f>HYPERLINK("https://www.773grp.com/manufacturer/national-semiconductor?pageNo=24", "National Semiconductor")</f>
        <v>National Semiconductor</v>
      </c>
      <c r="C6859" s="6">
        <v>2889</v>
      </c>
      <c r="D6859" s="7">
        <v>6.5</v>
      </c>
      <c r="E6859" t="s">
        <v>13</v>
      </c>
    </row>
    <row r="6860" spans="1:5" x14ac:dyDescent="0.25">
      <c r="A6860" t="str">
        <f>HYPERLINK("https://www.773grp.com/globalSearch/LMF100CIWMX-NOPB/page-1", "LMF100CIWMX-NOPB")</f>
        <v>LMF100CIWMX-NOPB</v>
      </c>
      <c r="B6860" s="3" t="str">
        <f>HYPERLINK("https://www.773grp.com/manufacturer/national-semiconductor?pageNo=25", "National Semiconductor")</f>
        <v>National Semiconductor</v>
      </c>
      <c r="C6860" s="6">
        <v>1000</v>
      </c>
      <c r="D6860" s="7">
        <v>6.5</v>
      </c>
    </row>
    <row r="6861" spans="1:5" x14ac:dyDescent="0.25">
      <c r="A6861" t="str">
        <f>HYPERLINK("https://www.773grp.com/globalSearch/LMP2234AMA-NOPB/page-1", "LMP2234AMA-NOPB")</f>
        <v>LMP2234AMA-NOPB</v>
      </c>
      <c r="B6861" s="3" t="str">
        <f>HYPERLINK("https://www.773grp.com/manufacturer/national-semiconductor?pageNo=26", "National Semiconductor")</f>
        <v>National Semiconductor</v>
      </c>
      <c r="C6861" s="6">
        <v>258</v>
      </c>
      <c r="D6861" s="7">
        <v>6.5</v>
      </c>
    </row>
    <row r="6862" spans="1:5" x14ac:dyDescent="0.25">
      <c r="A6862" t="str">
        <f>HYPERLINK("https://www.773grp.com/globalSearch/LMP2234AMT-NOPB/page-1", "LMP2234AMT-NOPB")</f>
        <v>LMP2234AMT-NOPB</v>
      </c>
      <c r="B6862" s="3" t="str">
        <f>HYPERLINK("https://www.773grp.com/manufacturer/national-semiconductor?pageNo=27", "National Semiconductor")</f>
        <v>National Semiconductor</v>
      </c>
      <c r="C6862" s="6">
        <v>5563</v>
      </c>
      <c r="D6862" s="7">
        <v>6.5</v>
      </c>
    </row>
    <row r="6863" spans="1:5" x14ac:dyDescent="0.25">
      <c r="A6863" t="str">
        <f>HYPERLINK("https://www.773grp.com/globalSearch/TP3054WM-NOPB/page-1", "TP3054WM-NOPB")</f>
        <v>TP3054WM-NOPB</v>
      </c>
      <c r="B6863" s="3" t="str">
        <f>HYPERLINK("https://www.773grp.com/manufacturer/national-semiconductor?pageNo=28", "National Semiconductor")</f>
        <v>National Semiconductor</v>
      </c>
      <c r="C6863" s="6">
        <v>14625</v>
      </c>
      <c r="D6863" s="7">
        <v>6.5</v>
      </c>
      <c r="E6863" t="s">
        <v>66</v>
      </c>
    </row>
    <row r="6864" spans="1:5" x14ac:dyDescent="0.25">
      <c r="A6864" t="str">
        <f>HYPERLINK("https://www.773grp.com/globalSearch/UCC381DP-ADJ/page-1", "UCC381DP-ADJ")</f>
        <v>UCC381DP-ADJ</v>
      </c>
      <c r="B6864" s="3" t="str">
        <f>HYPERLINK("https://www.773grp.com/manufacturer/national-semiconductor?pageNo=29", "National Semiconductor")</f>
        <v>National Semiconductor</v>
      </c>
      <c r="C6864" s="6">
        <v>130</v>
      </c>
      <c r="D6864" s="7">
        <v>6.5</v>
      </c>
      <c r="E6864" t="s">
        <v>25</v>
      </c>
    </row>
    <row r="6865" spans="1:5" x14ac:dyDescent="0.25">
      <c r="A6865" t="str">
        <f>HYPERLINK("https://www.773grp.com/globalSearch/ADC1175-50CIJMX-NOPB/page-1", "ADC1175-50CIJMX-NOPB")</f>
        <v>ADC1175-50CIJMX-NOPB</v>
      </c>
      <c r="B6865" s="3" t="str">
        <f>HYPERLINK("https://www.773grp.com/manufacturer/national-semiconductor?pageNo=30", "National Semiconductor")</f>
        <v>National Semiconductor</v>
      </c>
      <c r="C6865" s="6">
        <v>2000</v>
      </c>
      <c r="D6865" s="7">
        <v>6.53</v>
      </c>
    </row>
    <row r="6866" spans="1:5" x14ac:dyDescent="0.25">
      <c r="A6866" t="str">
        <f>HYPERLINK("https://www.773grp.com/globalSearch/DS91C176TMA/page-1", "DS91C176TMA")</f>
        <v>DS91C176TMA</v>
      </c>
      <c r="B6866" s="3" t="str">
        <f>HYPERLINK("https://www.773grp.com/manufacturer/national-semiconductor?pageNo=31", "National Semiconductor")</f>
        <v>National Semiconductor</v>
      </c>
      <c r="C6866" s="6">
        <v>706</v>
      </c>
      <c r="D6866" s="7">
        <v>6.53</v>
      </c>
      <c r="E6866" t="s">
        <v>21</v>
      </c>
    </row>
    <row r="6867" spans="1:5" x14ac:dyDescent="0.25">
      <c r="A6867" t="str">
        <f>HYPERLINK("https://www.773grp.com/globalSearch/LM1973MX-NOPB/page-1", "LM1973MX-NOPB")</f>
        <v>LM1973MX-NOPB</v>
      </c>
      <c r="B6867" s="3" t="str">
        <f>HYPERLINK("https://www.773grp.com/manufacturer/national-semiconductor?pageNo=32", "National Semiconductor")</f>
        <v>National Semiconductor</v>
      </c>
      <c r="C6867" s="6">
        <v>5000</v>
      </c>
      <c r="D6867" s="7">
        <v>6.53</v>
      </c>
      <c r="E6867" t="s">
        <v>41</v>
      </c>
    </row>
    <row r="6868" spans="1:5" x14ac:dyDescent="0.25">
      <c r="A6868" t="str">
        <f>HYPERLINK("https://www.773grp.com/globalSearch/LMH6722MA/page-1", "LMH6722MA")</f>
        <v>LMH6722MA</v>
      </c>
      <c r="B6868" s="3" t="str">
        <f>HYPERLINK("https://www.773grp.com/manufacturer/national-semiconductor?pageNo=33", "National Semiconductor")</f>
        <v>National Semiconductor</v>
      </c>
      <c r="C6868" s="6">
        <v>188</v>
      </c>
      <c r="D6868" s="7">
        <v>6.53</v>
      </c>
      <c r="E6868" t="s">
        <v>18</v>
      </c>
    </row>
    <row r="6869" spans="1:5" x14ac:dyDescent="0.25">
      <c r="A6869" t="str">
        <f>HYPERLINK("https://www.773grp.com/globalSearch/DS91C176TMA/page-1", "DS91C176TMA")</f>
        <v>DS91C176TMA</v>
      </c>
      <c r="B6869" s="3" t="str">
        <f>HYPERLINK("https://www.773grp.com/manufacturer/national-semiconductor?pageNo=34", "National Semiconductor")</f>
        <v>National Semiconductor</v>
      </c>
      <c r="C6869" s="6">
        <v>476</v>
      </c>
      <c r="D6869" s="7">
        <v>6.53</v>
      </c>
      <c r="E6869" t="s">
        <v>21</v>
      </c>
    </row>
    <row r="6870" spans="1:5" x14ac:dyDescent="0.25">
      <c r="A6870" t="str">
        <f>HYPERLINK("https://www.773grp.com/globalSearch/LMH6722MA/page-1", "LMH6722MA")</f>
        <v>LMH6722MA</v>
      </c>
      <c r="B6870" s="3" t="str">
        <f>HYPERLINK("https://www.773grp.com/manufacturer/national-semiconductor?pageNo=35", "National Semiconductor")</f>
        <v>National Semiconductor</v>
      </c>
      <c r="C6870" s="6">
        <v>2518</v>
      </c>
      <c r="D6870" s="7">
        <v>6.53</v>
      </c>
      <c r="E6870" t="s">
        <v>18</v>
      </c>
    </row>
    <row r="6871" spans="1:5" x14ac:dyDescent="0.25">
      <c r="A6871" t="str">
        <f>HYPERLINK("https://www.773grp.com/globalSearch/4025BDC/page-1", "4025BDC")</f>
        <v>4025BDC</v>
      </c>
      <c r="B6871" s="3" t="str">
        <f>HYPERLINK("https://www.773grp.com/manufacturer/national-semiconductor?pageNo=36", "National Semiconductor")</f>
        <v>National Semiconductor</v>
      </c>
      <c r="C6871" s="6">
        <v>1618</v>
      </c>
      <c r="D6871" s="7">
        <v>6.55</v>
      </c>
    </row>
    <row r="6872" spans="1:5" x14ac:dyDescent="0.25">
      <c r="A6872" t="str">
        <f>HYPERLINK("https://www.773grp.com/globalSearch/54F353DMQB/page-1", "54F353DMQB")</f>
        <v>54F353DMQB</v>
      </c>
      <c r="B6872" s="3" t="str">
        <f>HYPERLINK("https://www.773grp.com/manufacturer/national-semiconductor?pageNo=37", "National Semiconductor")</f>
        <v>National Semiconductor</v>
      </c>
      <c r="C6872" s="6">
        <v>5645</v>
      </c>
      <c r="D6872" s="7">
        <v>6.55</v>
      </c>
      <c r="E6872" t="s">
        <v>20</v>
      </c>
    </row>
    <row r="6873" spans="1:5" x14ac:dyDescent="0.25">
      <c r="A6873" t="str">
        <f>HYPERLINK("https://www.773grp.com/globalSearch/LMP7709MT/page-1", "LMP7709MT")</f>
        <v>LMP7709MT</v>
      </c>
      <c r="B6873" s="3" t="str">
        <f>HYPERLINK("https://www.773grp.com/manufacturer/national-semiconductor?pageNo=38", "National Semiconductor")</f>
        <v>National Semiconductor</v>
      </c>
      <c r="C6873" s="6">
        <v>89</v>
      </c>
      <c r="D6873" s="7">
        <v>6.55</v>
      </c>
      <c r="E6873" t="s">
        <v>18</v>
      </c>
    </row>
    <row r="6874" spans="1:5" x14ac:dyDescent="0.25">
      <c r="A6874" t="str">
        <f>HYPERLINK("https://www.773grp.com/globalSearch/LP3966ESX-2.5/page-1", "LP3966ESX-2.5")</f>
        <v>LP3966ESX-2.5</v>
      </c>
      <c r="B6874" s="3" t="str">
        <f>HYPERLINK("https://www.773grp.com/manufacturer/national-semiconductor?pageNo=39", "National Semiconductor")</f>
        <v>National Semiconductor</v>
      </c>
      <c r="C6874" s="6">
        <v>3000</v>
      </c>
      <c r="D6874" s="7">
        <v>6.55</v>
      </c>
      <c r="E6874" t="s">
        <v>19</v>
      </c>
    </row>
    <row r="6875" spans="1:5" x14ac:dyDescent="0.25">
      <c r="A6875" t="str">
        <f>HYPERLINK("https://www.773grp.com/globalSearch/LP3966ESX-ADJ/page-1", "LP3966ESX-ADJ")</f>
        <v>LP3966ESX-ADJ</v>
      </c>
      <c r="B6875" s="3" t="str">
        <f>HYPERLINK("https://www.773grp.com/manufacturer/national-semiconductor?pageNo=40", "National Semiconductor")</f>
        <v>National Semiconductor</v>
      </c>
      <c r="C6875" s="6">
        <v>1000</v>
      </c>
      <c r="D6875" s="7">
        <v>6.55</v>
      </c>
      <c r="E6875" t="s">
        <v>25</v>
      </c>
    </row>
    <row r="6876" spans="1:5" x14ac:dyDescent="0.25">
      <c r="A6876" t="str">
        <f>HYPERLINK("https://www.773grp.com/globalSearch/LP3966ET-ADJ/page-1", "LP3966ET-ADJ")</f>
        <v>LP3966ET-ADJ</v>
      </c>
      <c r="B6876" s="3" t="str">
        <f>HYPERLINK("https://www.773grp.com/manufacturer/national-semiconductor?pageNo=41", "National Semiconductor")</f>
        <v>National Semiconductor</v>
      </c>
      <c r="C6876" s="6">
        <v>99</v>
      </c>
      <c r="D6876" s="7">
        <v>6.55</v>
      </c>
      <c r="E6876" t="s">
        <v>25</v>
      </c>
    </row>
    <row r="6877" spans="1:5" x14ac:dyDescent="0.25">
      <c r="A6877" t="str">
        <f>HYPERLINK("https://www.773grp.com/globalSearch/54ALS138J-883/page-1", "54ALS138J-883")</f>
        <v>54ALS138J-883</v>
      </c>
      <c r="B6877" s="3" t="str">
        <f>HYPERLINK("https://www.773grp.com/manufacturer/national-semiconductor?pageNo=42", "National Semiconductor")</f>
        <v>National Semiconductor</v>
      </c>
      <c r="C6877" s="6">
        <v>2552</v>
      </c>
      <c r="D6877" s="7">
        <v>6.59</v>
      </c>
    </row>
    <row r="6878" spans="1:5" x14ac:dyDescent="0.25">
      <c r="A6878" t="str">
        <f>HYPERLINK("https://www.773grp.com/globalSearch/ADC128D818CIMT-NOPB/page-1", "ADC128D818CIMT-NOPB")</f>
        <v>ADC128D818CIMT-NOPB</v>
      </c>
      <c r="B6878" s="3" t="str">
        <f>HYPERLINK("https://www.773grp.com/manufacturer/national-semiconductor?pageNo=43", "National Semiconductor")</f>
        <v>National Semiconductor</v>
      </c>
      <c r="C6878" s="6">
        <v>7</v>
      </c>
      <c r="D6878" s="7">
        <v>6.59</v>
      </c>
    </row>
    <row r="6879" spans="1:5" x14ac:dyDescent="0.25">
      <c r="A6879" t="str">
        <f>HYPERLINK("https://www.773grp.com/globalSearch/DS8923M/page-1", "DS8923M")</f>
        <v>DS8923M</v>
      </c>
      <c r="B6879" s="3" t="str">
        <f>HYPERLINK("https://www.773grp.com/manufacturer/national-semiconductor?pageNo=44", "National Semiconductor")</f>
        <v>National Semiconductor</v>
      </c>
      <c r="C6879" s="6">
        <v>3346</v>
      </c>
      <c r="D6879" s="7">
        <v>6.59</v>
      </c>
      <c r="E6879" t="s">
        <v>21</v>
      </c>
    </row>
    <row r="6880" spans="1:5" x14ac:dyDescent="0.25">
      <c r="A6880" t="str">
        <f>HYPERLINK("https://www.773grp.com/globalSearch/DS90C363BMT-NOPB/page-1", "DS90C363BMT-NOPB")</f>
        <v>DS90C363BMT-NOPB</v>
      </c>
      <c r="B6880" s="3" t="str">
        <f>HYPERLINK("https://www.773grp.com/manufacturer/national-semiconductor?pageNo=45", "National Semiconductor")</f>
        <v>National Semiconductor</v>
      </c>
      <c r="C6880" s="6">
        <v>4919</v>
      </c>
      <c r="D6880" s="7">
        <v>6.59</v>
      </c>
      <c r="E6880" t="s">
        <v>21</v>
      </c>
    </row>
    <row r="6881" spans="1:5" x14ac:dyDescent="0.25">
      <c r="A6881" t="str">
        <f>HYPERLINK("https://www.773grp.com/globalSearch/DS90CF363BMT-NOPB/page-1", "DS90CF363BMT-NOPB")</f>
        <v>DS90CF363BMT-NOPB</v>
      </c>
      <c r="B6881" s="3" t="str">
        <f>HYPERLINK("https://www.773grp.com/manufacturer/national-semiconductor?pageNo=46", "National Semiconductor")</f>
        <v>National Semiconductor</v>
      </c>
      <c r="C6881" s="6">
        <v>162</v>
      </c>
      <c r="D6881" s="7">
        <v>6.59</v>
      </c>
      <c r="E6881" t="s">
        <v>21</v>
      </c>
    </row>
    <row r="6882" spans="1:5" x14ac:dyDescent="0.25">
      <c r="A6882" t="str">
        <f>HYPERLINK("https://www.773grp.com/globalSearch/FPD87346BXAVS-NOPB/page-1", "FPD87346BXAVS-NOPB")</f>
        <v>FPD87346BXAVS-NOPB</v>
      </c>
      <c r="B6882" s="3" t="str">
        <f>HYPERLINK("https://www.773grp.com/manufacturer/national-semiconductor?pageNo=47", "National Semiconductor")</f>
        <v>National Semiconductor</v>
      </c>
      <c r="C6882" s="6">
        <v>88160</v>
      </c>
      <c r="D6882" s="7">
        <v>6.59</v>
      </c>
    </row>
    <row r="6883" spans="1:5" x14ac:dyDescent="0.25">
      <c r="A6883" t="str">
        <f>HYPERLINK("https://www.773grp.com/globalSearch/LM2574HVN-12/page-1", "LM2574HVN-12")</f>
        <v>LM2574HVN-12</v>
      </c>
      <c r="B6883" s="3" t="str">
        <f>HYPERLINK("https://www.773grp.com/manufacturer/national-semiconductor?pageNo=48", "National Semiconductor")</f>
        <v>National Semiconductor</v>
      </c>
      <c r="C6883" s="6">
        <v>5</v>
      </c>
      <c r="D6883" s="7">
        <v>6.59</v>
      </c>
      <c r="E6883" t="s">
        <v>7</v>
      </c>
    </row>
    <row r="6884" spans="1:5" x14ac:dyDescent="0.25">
      <c r="A6884" t="str">
        <f>HYPERLINK("https://www.773grp.com/globalSearch/LM2576HVT/page-1", "LM2576HVT")</f>
        <v>LM2576HVT</v>
      </c>
      <c r="B6884" s="3" t="str">
        <f>HYPERLINK("https://www.773grp.com/manufacturer/national-semiconductor?pageNo=49", "National Semiconductor")</f>
        <v>National Semiconductor</v>
      </c>
      <c r="C6884" s="6">
        <v>9</v>
      </c>
      <c r="D6884" s="7">
        <v>6.59</v>
      </c>
    </row>
    <row r="6885" spans="1:5" x14ac:dyDescent="0.25">
      <c r="A6885" t="str">
        <f>HYPERLINK("https://www.773grp.com/globalSearch/LM4545VH/page-1", "LM4545VH")</f>
        <v>LM4545VH</v>
      </c>
      <c r="B6885" s="3" t="str">
        <f>HYPERLINK("https://www.773grp.com/manufacturer/national-semiconductor?pageNo=50", "National Semiconductor")</f>
        <v>National Semiconductor</v>
      </c>
      <c r="C6885" s="6">
        <v>4748</v>
      </c>
      <c r="D6885" s="7">
        <v>6.59</v>
      </c>
      <c r="E6885" t="s">
        <v>23</v>
      </c>
    </row>
    <row r="6886" spans="1:5" x14ac:dyDescent="0.25">
      <c r="A6886" t="str">
        <f>HYPERLINK("https://www.773grp.com/globalSearch/LM83CIMQAX-NOPB/page-1", "LM83CIMQAX-NOPB")</f>
        <v>LM83CIMQAX-NOPB</v>
      </c>
      <c r="B6886" s="3" t="str">
        <f>HYPERLINK("https://www.773grp.com/manufacturer/national-semiconductor?pageNo=51", "National Semiconductor")</f>
        <v>National Semiconductor</v>
      </c>
      <c r="C6886" s="6">
        <v>2500</v>
      </c>
      <c r="D6886" s="7">
        <v>6.59</v>
      </c>
      <c r="E6886" t="s">
        <v>12</v>
      </c>
    </row>
    <row r="6887" spans="1:5" x14ac:dyDescent="0.25">
      <c r="A6887" t="str">
        <f>HYPERLINK("https://www.773grp.com/globalSearch/LM96000CIMT-NOPB/page-1", "LM96000CIMT-NOPB")</f>
        <v>LM96000CIMT-NOPB</v>
      </c>
      <c r="B6887" s="3" t="str">
        <f>HYPERLINK("https://www.773grp.com/manufacturer/national-semiconductor?pageNo=52", "National Semiconductor")</f>
        <v>National Semiconductor</v>
      </c>
      <c r="C6887" s="6">
        <v>305</v>
      </c>
      <c r="D6887" s="7">
        <v>6.59</v>
      </c>
      <c r="E6887" t="s">
        <v>30</v>
      </c>
    </row>
    <row r="6888" spans="1:5" x14ac:dyDescent="0.25">
      <c r="A6888" t="str">
        <f>HYPERLINK("https://www.773grp.com/globalSearch/LMH6622MA/page-1", "LMH6622MA")</f>
        <v>LMH6622MA</v>
      </c>
      <c r="B6888" s="3" t="str">
        <f>HYPERLINK("https://www.773grp.com/manufacturer/national-semiconductor?pageNo=53", "National Semiconductor")</f>
        <v>National Semiconductor</v>
      </c>
      <c r="C6888" s="6">
        <v>1658</v>
      </c>
      <c r="D6888" s="7">
        <v>6.59</v>
      </c>
      <c r="E6888" t="s">
        <v>18</v>
      </c>
    </row>
    <row r="6889" spans="1:5" x14ac:dyDescent="0.25">
      <c r="A6889" t="str">
        <f>HYPERLINK("https://www.773grp.com/globalSearch/LMH6626MA-NOPB/page-1", "LMH6626MA-NOPB")</f>
        <v>LMH6626MA-NOPB</v>
      </c>
      <c r="B6889" s="3" t="str">
        <f>HYPERLINK("https://www.773grp.com/manufacturer/national-semiconductor?pageNo=54", "National Semiconductor")</f>
        <v>National Semiconductor</v>
      </c>
      <c r="C6889" s="6">
        <v>1041</v>
      </c>
      <c r="D6889" s="7">
        <v>6.59</v>
      </c>
      <c r="E6889" t="s">
        <v>13</v>
      </c>
    </row>
    <row r="6890" spans="1:5" x14ac:dyDescent="0.25">
      <c r="A6890" t="str">
        <f>HYPERLINK("https://www.773grp.com/globalSearch/LMH6628MA/page-1", "LMH6628MA")</f>
        <v>LMH6628MA</v>
      </c>
      <c r="B6890" s="3" t="str">
        <f>HYPERLINK("https://www.773grp.com/manufacturer/national-semiconductor?pageNo=55", "National Semiconductor")</f>
        <v>National Semiconductor</v>
      </c>
      <c r="C6890" s="6">
        <v>60</v>
      </c>
      <c r="D6890" s="7">
        <v>6.59</v>
      </c>
      <c r="E6890" t="s">
        <v>13</v>
      </c>
    </row>
    <row r="6891" spans="1:5" x14ac:dyDescent="0.25">
      <c r="A6891" t="str">
        <f>HYPERLINK("https://www.773grp.com/globalSearch/LP3855ES-1.8-NOPB/page-1", "LP3855ES-1.8-NOPB")</f>
        <v>LP3855ES-1.8-NOPB</v>
      </c>
      <c r="B6891" s="3" t="str">
        <f>HYPERLINK("https://www.773grp.com/manufacturer/national-semiconductor?pageNo=56", "National Semiconductor")</f>
        <v>National Semiconductor</v>
      </c>
      <c r="C6891" s="6">
        <v>401</v>
      </c>
      <c r="D6891" s="7">
        <v>6.59</v>
      </c>
      <c r="E6891" t="s">
        <v>19</v>
      </c>
    </row>
    <row r="6892" spans="1:5" x14ac:dyDescent="0.25">
      <c r="A6892" t="str">
        <f>HYPERLINK("https://www.773grp.com/globalSearch/LP3855ES-2.5-NOPB/page-1", "LP3855ES-2.5-NOPB")</f>
        <v>LP3855ES-2.5-NOPB</v>
      </c>
      <c r="B6892" s="3" t="str">
        <f>HYPERLINK("https://www.773grp.com/manufacturer/national-semiconductor?pageNo=57", "National Semiconductor")</f>
        <v>National Semiconductor</v>
      </c>
      <c r="C6892" s="6">
        <v>261</v>
      </c>
      <c r="D6892" s="7">
        <v>6.59</v>
      </c>
      <c r="E6892" t="s">
        <v>19</v>
      </c>
    </row>
    <row r="6893" spans="1:5" x14ac:dyDescent="0.25">
      <c r="A6893" t="str">
        <f>HYPERLINK("https://www.773grp.com/globalSearch/LP3855ES-3.3-NOPB/page-1", "LP3855ES-3.3-NOPB")</f>
        <v>LP3855ES-3.3-NOPB</v>
      </c>
      <c r="B6893" s="3" t="str">
        <f>HYPERLINK("https://www.773grp.com/manufacturer/national-semiconductor?pageNo=58", "National Semiconductor")</f>
        <v>National Semiconductor</v>
      </c>
      <c r="C6893" s="6">
        <v>788</v>
      </c>
      <c r="D6893" s="7">
        <v>6.59</v>
      </c>
      <c r="E6893" t="s">
        <v>19</v>
      </c>
    </row>
    <row r="6894" spans="1:5" x14ac:dyDescent="0.25">
      <c r="A6894" t="str">
        <f>HYPERLINK("https://www.773grp.com/globalSearch/LP3855ES-5.0-NOPB/page-1", "LP3855ES-5.0-NOPB")</f>
        <v>LP3855ES-5.0-NOPB</v>
      </c>
      <c r="B6894" s="3" t="str">
        <f>HYPERLINK("https://www.773grp.com/manufacturer/national-semiconductor?pageNo=59", "National Semiconductor")</f>
        <v>National Semiconductor</v>
      </c>
      <c r="C6894" s="6">
        <v>358</v>
      </c>
      <c r="D6894" s="7">
        <v>6.59</v>
      </c>
      <c r="E6894" t="s">
        <v>19</v>
      </c>
    </row>
    <row r="6895" spans="1:5" x14ac:dyDescent="0.25">
      <c r="A6895" t="str">
        <f>HYPERLINK("https://www.773grp.com/globalSearch/LP3881ES-1.2-NOPB/page-1", "LP3881ES-1.2-NOPB")</f>
        <v>LP3881ES-1.2-NOPB</v>
      </c>
      <c r="B6895" s="3" t="str">
        <f>HYPERLINK("https://www.773grp.com/manufacturer/national-semiconductor?pageNo=60", "National Semiconductor")</f>
        <v>National Semiconductor</v>
      </c>
      <c r="C6895" s="6">
        <v>3083</v>
      </c>
      <c r="D6895" s="7">
        <v>6.59</v>
      </c>
      <c r="E6895" t="s">
        <v>19</v>
      </c>
    </row>
    <row r="6896" spans="1:5" x14ac:dyDescent="0.25">
      <c r="A6896" t="str">
        <f>HYPERLINK("https://www.773grp.com/globalSearch/LP3881ES-1.8-NOPB/page-1", "LP3881ES-1.8-NOPB")</f>
        <v>LP3881ES-1.8-NOPB</v>
      </c>
      <c r="B6896" s="3" t="str">
        <f>HYPERLINK("https://www.773grp.com/manufacturer/national-semiconductor?pageNo=61", "National Semiconductor")</f>
        <v>National Semiconductor</v>
      </c>
      <c r="C6896" s="6">
        <v>259</v>
      </c>
      <c r="D6896" s="7">
        <v>6.59</v>
      </c>
      <c r="E6896" t="s">
        <v>19</v>
      </c>
    </row>
    <row r="6897" spans="1:5" x14ac:dyDescent="0.25">
      <c r="A6897" t="str">
        <f>HYPERLINK("https://www.773grp.com/globalSearch/LP3882EMR-1.2-NOPB/page-1", "LP3882EMR-1.2-NOPB")</f>
        <v>LP3882EMR-1.2-NOPB</v>
      </c>
      <c r="B6897" s="3" t="str">
        <f>HYPERLINK("https://www.773grp.com/manufacturer/national-semiconductor?pageNo=62", "National Semiconductor")</f>
        <v>National Semiconductor</v>
      </c>
      <c r="C6897" s="6">
        <v>266</v>
      </c>
      <c r="D6897" s="7">
        <v>6.59</v>
      </c>
      <c r="E6897" t="s">
        <v>19</v>
      </c>
    </row>
    <row r="6898" spans="1:5" x14ac:dyDescent="0.25">
      <c r="A6898" t="str">
        <f>HYPERLINK("https://www.773grp.com/globalSearch/LP3882EMR-1.5-NOPB/page-1", "LP3882EMR-1.5-NOPB")</f>
        <v>LP3882EMR-1.5-NOPB</v>
      </c>
      <c r="B6898" s="3" t="str">
        <f>HYPERLINK("https://www.773grp.com/manufacturer/national-semiconductor?pageNo=63", "National Semiconductor")</f>
        <v>National Semiconductor</v>
      </c>
      <c r="C6898" s="6">
        <v>170</v>
      </c>
      <c r="D6898" s="7">
        <v>6.59</v>
      </c>
      <c r="E6898" t="s">
        <v>19</v>
      </c>
    </row>
    <row r="6899" spans="1:5" x14ac:dyDescent="0.25">
      <c r="A6899" t="str">
        <f>HYPERLINK("https://www.773grp.com/globalSearch/LP3882ES-1.2-NOPB/page-1", "LP3882ES-1.2-NOPB")</f>
        <v>LP3882ES-1.2-NOPB</v>
      </c>
      <c r="B6899" s="3" t="str">
        <f>HYPERLINK("https://www.773grp.com/manufacturer/national-semiconductor?pageNo=64", "National Semiconductor")</f>
        <v>National Semiconductor</v>
      </c>
      <c r="C6899" s="6">
        <v>474</v>
      </c>
      <c r="D6899" s="7">
        <v>6.59</v>
      </c>
      <c r="E6899" t="s">
        <v>19</v>
      </c>
    </row>
    <row r="6900" spans="1:5" x14ac:dyDescent="0.25">
      <c r="A6900" t="str">
        <f>HYPERLINK("https://www.773grp.com/globalSearch/LP3882ES-1.5-NOPB/page-1", "LP3882ES-1.5-NOPB")</f>
        <v>LP3882ES-1.5-NOPB</v>
      </c>
      <c r="B6900" s="3" t="str">
        <f>HYPERLINK("https://www.773grp.com/manufacturer/national-semiconductor?pageNo=65", "National Semiconductor")</f>
        <v>National Semiconductor</v>
      </c>
      <c r="C6900" s="6">
        <v>2407</v>
      </c>
      <c r="D6900" s="7">
        <v>6.59</v>
      </c>
      <c r="E6900" t="s">
        <v>19</v>
      </c>
    </row>
    <row r="6901" spans="1:5" x14ac:dyDescent="0.25">
      <c r="A6901" t="str">
        <f>HYPERLINK("https://www.773grp.com/globalSearch/ADC128D818CIMT-NOPB/page-1", "ADC128D818CIMT-NOPB")</f>
        <v>ADC128D818CIMT-NOPB</v>
      </c>
      <c r="B6901" s="3" t="str">
        <f>HYPERLINK("https://www.773grp.com/manufacturer/national-semiconductor?pageNo=66", "National Semiconductor")</f>
        <v>National Semiconductor</v>
      </c>
      <c r="C6901" s="6">
        <v>524</v>
      </c>
      <c r="D6901" s="7">
        <v>6.59</v>
      </c>
    </row>
    <row r="6902" spans="1:5" x14ac:dyDescent="0.25">
      <c r="A6902" t="str">
        <f>HYPERLINK("https://www.773grp.com/globalSearch/DS90C363BMT-NOPB/page-1", "DS90C363BMT-NOPB")</f>
        <v>DS90C363BMT-NOPB</v>
      </c>
      <c r="B6902" s="3" t="str">
        <f>HYPERLINK("https://www.773grp.com/manufacturer/national-semiconductor?pageNo=67", "National Semiconductor")</f>
        <v>National Semiconductor</v>
      </c>
      <c r="C6902" s="6">
        <v>246</v>
      </c>
      <c r="D6902" s="7">
        <v>6.59</v>
      </c>
      <c r="E6902" t="s">
        <v>21</v>
      </c>
    </row>
    <row r="6903" spans="1:5" x14ac:dyDescent="0.25">
      <c r="A6903" t="str">
        <f>HYPERLINK("https://www.773grp.com/globalSearch/DS90CF363BMT-NOPB/page-1", "DS90CF363BMT-NOPB")</f>
        <v>DS90CF363BMT-NOPB</v>
      </c>
      <c r="B6903" s="3" t="str">
        <f>HYPERLINK("https://www.773grp.com/manufacturer/national-semiconductor?pageNo=68", "National Semiconductor")</f>
        <v>National Semiconductor</v>
      </c>
      <c r="C6903" s="6">
        <v>125</v>
      </c>
      <c r="D6903" s="7">
        <v>6.59</v>
      </c>
      <c r="E6903" t="s">
        <v>21</v>
      </c>
    </row>
    <row r="6904" spans="1:5" x14ac:dyDescent="0.25">
      <c r="A6904" t="str">
        <f>HYPERLINK("https://www.773grp.com/globalSearch/LM22670QMR-5.0-NOPB/page-1", "LM22670QMR-5.0-NOPB")</f>
        <v>LM22670QMR-5.0-NOPB</v>
      </c>
      <c r="B6904" s="3" t="str">
        <f>HYPERLINK("https://www.773grp.com/manufacturer/national-semiconductor?pageNo=69", "National Semiconductor")</f>
        <v>National Semiconductor</v>
      </c>
      <c r="C6904" s="6">
        <v>3397</v>
      </c>
      <c r="D6904" s="7">
        <v>6.59</v>
      </c>
    </row>
    <row r="6905" spans="1:5" x14ac:dyDescent="0.25">
      <c r="A6905" t="str">
        <f>HYPERLINK("https://www.773grp.com/globalSearch/LM22670QMR-ADJ-NOPB/page-1", "LM22670QMR-ADJ-NOPB")</f>
        <v>LM22670QMR-ADJ-NOPB</v>
      </c>
      <c r="B6905" s="3" t="str">
        <f>HYPERLINK("https://www.773grp.com/manufacturer/national-semiconductor?pageNo=70", "National Semiconductor")</f>
        <v>National Semiconductor</v>
      </c>
      <c r="C6905" s="6">
        <v>3131</v>
      </c>
      <c r="D6905" s="7">
        <v>6.59</v>
      </c>
    </row>
    <row r="6906" spans="1:5" x14ac:dyDescent="0.25">
      <c r="A6906" t="str">
        <f>HYPERLINK("https://www.773grp.com/globalSearch/LM2574HVN-ADJ/page-1", "LM2574HVN-ADJ")</f>
        <v>LM2574HVN-ADJ</v>
      </c>
      <c r="B6906" s="3" t="str">
        <f>HYPERLINK("https://www.773grp.com/manufacturer/national-semiconductor?pageNo=71", "National Semiconductor")</f>
        <v>National Semiconductor</v>
      </c>
      <c r="C6906" s="6">
        <v>120</v>
      </c>
      <c r="D6906" s="7">
        <v>6.59</v>
      </c>
    </row>
    <row r="6907" spans="1:5" x14ac:dyDescent="0.25">
      <c r="A6907" t="str">
        <f>HYPERLINK("https://www.773grp.com/globalSearch/LM83CIMQAX-NOPB/page-1", "LM83CIMQAX-NOPB")</f>
        <v>LM83CIMQAX-NOPB</v>
      </c>
      <c r="B6907" s="3" t="str">
        <f>HYPERLINK("https://www.773grp.com/manufacturer/national-semiconductor?pageNo=72", "National Semiconductor")</f>
        <v>National Semiconductor</v>
      </c>
      <c r="C6907" s="6">
        <v>1500</v>
      </c>
      <c r="D6907" s="7">
        <v>6.59</v>
      </c>
      <c r="E6907" t="s">
        <v>12</v>
      </c>
    </row>
    <row r="6908" spans="1:5" x14ac:dyDescent="0.25">
      <c r="A6908" t="str">
        <f>HYPERLINK("https://www.773grp.com/globalSearch/LM96000CIMT-NOPB/page-1", "LM96000CIMT-NOPB")</f>
        <v>LM96000CIMT-NOPB</v>
      </c>
      <c r="B6908" s="3" t="str">
        <f>HYPERLINK("https://www.773grp.com/manufacturer/national-semiconductor?pageNo=73", "National Semiconductor")</f>
        <v>National Semiconductor</v>
      </c>
      <c r="C6908" s="6">
        <v>664</v>
      </c>
      <c r="D6908" s="7">
        <v>6.59</v>
      </c>
      <c r="E6908" t="s">
        <v>30</v>
      </c>
    </row>
    <row r="6909" spans="1:5" x14ac:dyDescent="0.25">
      <c r="A6909" t="str">
        <f>HYPERLINK("https://www.773grp.com/globalSearch/LMH6622MA/page-1", "LMH6622MA")</f>
        <v>LMH6622MA</v>
      </c>
      <c r="B6909" s="3" t="str">
        <f>HYPERLINK("https://www.773grp.com/manufacturer/national-semiconductor?pageNo=74", "National Semiconductor")</f>
        <v>National Semiconductor</v>
      </c>
      <c r="C6909" s="6">
        <v>18430</v>
      </c>
      <c r="D6909" s="7">
        <v>6.59</v>
      </c>
      <c r="E6909" t="s">
        <v>18</v>
      </c>
    </row>
    <row r="6910" spans="1:5" x14ac:dyDescent="0.25">
      <c r="A6910" t="str">
        <f>HYPERLINK("https://www.773grp.com/globalSearch/LMH6626MA-NOPB/page-1", "LMH6626MA-NOPB")</f>
        <v>LMH6626MA-NOPB</v>
      </c>
      <c r="B6910" s="3" t="str">
        <f>HYPERLINK("https://www.773grp.com/manufacturer/national-semiconductor?pageNo=75", "National Semiconductor")</f>
        <v>National Semiconductor</v>
      </c>
      <c r="C6910" s="6">
        <v>192</v>
      </c>
      <c r="D6910" s="7">
        <v>6.59</v>
      </c>
      <c r="E6910" t="s">
        <v>13</v>
      </c>
    </row>
    <row r="6911" spans="1:5" x14ac:dyDescent="0.25">
      <c r="A6911" t="str">
        <f>HYPERLINK("https://www.773grp.com/globalSearch/LMH6628MA/page-1", "LMH6628MA")</f>
        <v>LMH6628MA</v>
      </c>
      <c r="B6911" s="3" t="str">
        <f>HYPERLINK("https://www.773grp.com/manufacturer/national-semiconductor?pageNo=76", "National Semiconductor")</f>
        <v>National Semiconductor</v>
      </c>
      <c r="C6911" s="6">
        <v>9120</v>
      </c>
      <c r="D6911" s="7">
        <v>6.59</v>
      </c>
      <c r="E6911" t="s">
        <v>13</v>
      </c>
    </row>
    <row r="6912" spans="1:5" x14ac:dyDescent="0.25">
      <c r="A6912" t="str">
        <f>HYPERLINK("https://www.773grp.com/globalSearch/LP3855ES-1.8-NOPB/page-1", "LP3855ES-1.8-NOPB")</f>
        <v>LP3855ES-1.8-NOPB</v>
      </c>
      <c r="B6912" s="3" t="str">
        <f>HYPERLINK("https://www.773grp.com/manufacturer/national-semiconductor?pageNo=77", "National Semiconductor")</f>
        <v>National Semiconductor</v>
      </c>
      <c r="C6912" s="6">
        <v>2430</v>
      </c>
      <c r="D6912" s="7">
        <v>6.59</v>
      </c>
      <c r="E6912" t="s">
        <v>19</v>
      </c>
    </row>
    <row r="6913" spans="1:5" x14ac:dyDescent="0.25">
      <c r="A6913" t="str">
        <f>HYPERLINK("https://www.773grp.com/globalSearch/LP3855ES-2.5-NOPB/page-1", "LP3855ES-2.5-NOPB")</f>
        <v>LP3855ES-2.5-NOPB</v>
      </c>
      <c r="B6913" s="3" t="str">
        <f>HYPERLINK("https://www.773grp.com/manufacturer/national-semiconductor?pageNo=78", "National Semiconductor")</f>
        <v>National Semiconductor</v>
      </c>
      <c r="C6913" s="6">
        <v>92</v>
      </c>
      <c r="D6913" s="7">
        <v>6.59</v>
      </c>
      <c r="E6913" t="s">
        <v>19</v>
      </c>
    </row>
    <row r="6914" spans="1:5" x14ac:dyDescent="0.25">
      <c r="A6914" t="str">
        <f>HYPERLINK("https://www.773grp.com/globalSearch/LP3855ES-3.3-NOPB/page-1", "LP3855ES-3.3-NOPB")</f>
        <v>LP3855ES-3.3-NOPB</v>
      </c>
      <c r="B6914" s="3" t="str">
        <f>HYPERLINK("https://www.773grp.com/manufacturer/national-semiconductor?pageNo=79", "National Semiconductor")</f>
        <v>National Semiconductor</v>
      </c>
      <c r="C6914" s="6">
        <v>249</v>
      </c>
      <c r="D6914" s="7">
        <v>6.59</v>
      </c>
      <c r="E6914" t="s">
        <v>19</v>
      </c>
    </row>
    <row r="6915" spans="1:5" x14ac:dyDescent="0.25">
      <c r="A6915" t="str">
        <f>HYPERLINK("https://www.773grp.com/globalSearch/LP3855ES-5.0-NOPB/page-1", "LP3855ES-5.0-NOPB")</f>
        <v>LP3855ES-5.0-NOPB</v>
      </c>
      <c r="B6915" s="3" t="str">
        <f>HYPERLINK("https://www.773grp.com/manufacturer/national-semiconductor?pageNo=80", "National Semiconductor")</f>
        <v>National Semiconductor</v>
      </c>
      <c r="C6915" s="6">
        <v>462</v>
      </c>
      <c r="D6915" s="7">
        <v>6.59</v>
      </c>
      <c r="E6915" t="s">
        <v>19</v>
      </c>
    </row>
    <row r="6916" spans="1:5" x14ac:dyDescent="0.25">
      <c r="A6916" t="str">
        <f>HYPERLINK("https://www.773grp.com/globalSearch/LP3881ES-1.2-NOPB/page-1", "LP3881ES-1.2-NOPB")</f>
        <v>LP3881ES-1.2-NOPB</v>
      </c>
      <c r="B6916" s="3" t="str">
        <f>HYPERLINK("https://www.773grp.com/manufacturer/national-semiconductor?pageNo=81", "National Semiconductor")</f>
        <v>National Semiconductor</v>
      </c>
      <c r="C6916" s="6">
        <v>129</v>
      </c>
      <c r="D6916" s="7">
        <v>6.59</v>
      </c>
      <c r="E6916" t="s">
        <v>19</v>
      </c>
    </row>
    <row r="6917" spans="1:5" x14ac:dyDescent="0.25">
      <c r="A6917" t="str">
        <f>HYPERLINK("https://www.773grp.com/globalSearch/LP3881ES-1.8-NOPB/page-1", "LP3881ES-1.8-NOPB")</f>
        <v>LP3881ES-1.8-NOPB</v>
      </c>
      <c r="B6917" s="3" t="str">
        <f>HYPERLINK("https://www.773grp.com/manufacturer/national-semiconductor?pageNo=82", "National Semiconductor")</f>
        <v>National Semiconductor</v>
      </c>
      <c r="C6917" s="6">
        <v>4545</v>
      </c>
      <c r="D6917" s="7">
        <v>6.59</v>
      </c>
      <c r="E6917" t="s">
        <v>19</v>
      </c>
    </row>
    <row r="6918" spans="1:5" x14ac:dyDescent="0.25">
      <c r="A6918" t="str">
        <f>HYPERLINK("https://www.773grp.com/globalSearch/LP3882EMR-1.2/page-1", "LP3882EMR-1.2")</f>
        <v>LP3882EMR-1.2</v>
      </c>
      <c r="B6918" s="3" t="str">
        <f>HYPERLINK("https://www.773grp.com/manufacturer/national-semiconductor?pageNo=83", "National Semiconductor")</f>
        <v>National Semiconductor</v>
      </c>
      <c r="C6918" s="6">
        <v>4655</v>
      </c>
      <c r="D6918" s="7">
        <v>6.59</v>
      </c>
    </row>
    <row r="6919" spans="1:5" x14ac:dyDescent="0.25">
      <c r="A6919" t="str">
        <f>HYPERLINK("https://www.773grp.com/globalSearch/LP3882EMR-1.2-NOPB/page-1", "LP3882EMR-1.2-NOPB")</f>
        <v>LP3882EMR-1.2-NOPB</v>
      </c>
      <c r="B6919" s="3" t="str">
        <f>HYPERLINK("https://www.773grp.com/manufacturer/national-semiconductor?pageNo=84", "National Semiconductor")</f>
        <v>National Semiconductor</v>
      </c>
      <c r="C6919" s="6">
        <v>768</v>
      </c>
      <c r="D6919" s="7">
        <v>6.59</v>
      </c>
      <c r="E6919" t="s">
        <v>19</v>
      </c>
    </row>
    <row r="6920" spans="1:5" x14ac:dyDescent="0.25">
      <c r="A6920" t="str">
        <f>HYPERLINK("https://www.773grp.com/globalSearch/LP3882EMR-1.5-NOPB/page-1", "LP3882EMR-1.5-NOPB")</f>
        <v>LP3882EMR-1.5-NOPB</v>
      </c>
      <c r="B6920" s="3" t="str">
        <f>HYPERLINK("https://www.773grp.com/manufacturer/national-semiconductor?pageNo=85", "National Semiconductor")</f>
        <v>National Semiconductor</v>
      </c>
      <c r="C6920" s="6">
        <v>2185</v>
      </c>
      <c r="D6920" s="7">
        <v>6.59</v>
      </c>
      <c r="E6920" t="s">
        <v>19</v>
      </c>
    </row>
    <row r="6921" spans="1:5" x14ac:dyDescent="0.25">
      <c r="A6921" t="str">
        <f>HYPERLINK("https://www.773grp.com/globalSearch/LP3882EMR-1.8-NOPB/page-1", "LP3882EMR-1.8-NOPB")</f>
        <v>LP3882EMR-1.8-NOPB</v>
      </c>
      <c r="B6921" s="3" t="str">
        <f>HYPERLINK("https://www.773grp.com/manufacturer/national-semiconductor?pageNo=86", "National Semiconductor")</f>
        <v>National Semiconductor</v>
      </c>
      <c r="C6921" s="6">
        <v>1970</v>
      </c>
      <c r="D6921" s="7">
        <v>6.59</v>
      </c>
    </row>
    <row r="6922" spans="1:5" x14ac:dyDescent="0.25">
      <c r="A6922" t="str">
        <f>HYPERLINK("https://www.773grp.com/globalSearch/LP3882ES-1.2-NOPB/page-1", "LP3882ES-1.2-NOPB")</f>
        <v>LP3882ES-1.2-NOPB</v>
      </c>
      <c r="B6922" s="3" t="str">
        <f>HYPERLINK("https://www.773grp.com/manufacturer/national-semiconductor?pageNo=87", "National Semiconductor")</f>
        <v>National Semiconductor</v>
      </c>
      <c r="C6922" s="6">
        <v>76</v>
      </c>
      <c r="D6922" s="7">
        <v>6.59</v>
      </c>
      <c r="E6922" t="s">
        <v>19</v>
      </c>
    </row>
    <row r="6923" spans="1:5" x14ac:dyDescent="0.25">
      <c r="A6923" t="str">
        <f>HYPERLINK("https://www.773grp.com/globalSearch/LP3882ES-1.5-NOPB/page-1", "LP3882ES-1.5-NOPB")</f>
        <v>LP3882ES-1.5-NOPB</v>
      </c>
      <c r="B6923" s="3" t="str">
        <f>HYPERLINK("https://www.773grp.com/manufacturer/national-semiconductor?pageNo=88", "National Semiconductor")</f>
        <v>National Semiconductor</v>
      </c>
      <c r="C6923" s="6">
        <v>360</v>
      </c>
      <c r="D6923" s="7">
        <v>6.59</v>
      </c>
      <c r="E6923" t="s">
        <v>19</v>
      </c>
    </row>
    <row r="6924" spans="1:5" x14ac:dyDescent="0.25">
      <c r="A6924" t="str">
        <f>HYPERLINK("https://www.773grp.com/globalSearch/LM6142AIMX-NOPB/page-1", "LM6142AIMX-NOPB")</f>
        <v>LM6142AIMX-NOPB</v>
      </c>
      <c r="B6924" s="3" t="str">
        <f>HYPERLINK("https://www.773grp.com/manufacturer/national-semiconductor?pageNo=89", "National Semiconductor")</f>
        <v>National Semiconductor</v>
      </c>
      <c r="C6924" s="6">
        <v>4970</v>
      </c>
      <c r="D6924" s="7">
        <v>6.61</v>
      </c>
      <c r="E6924" t="s">
        <v>13</v>
      </c>
    </row>
    <row r="6925" spans="1:5" x14ac:dyDescent="0.25">
      <c r="A6925" t="str">
        <f>HYPERLINK("https://www.773grp.com/globalSearch/LM79M12CH/page-1", "LM79M12CH")</f>
        <v>LM79M12CH</v>
      </c>
      <c r="B6925" s="3" t="str">
        <f>HYPERLINK("https://www.773grp.com/manufacturer/national-semiconductor?pageNo=90", "National Semiconductor")</f>
        <v>National Semiconductor</v>
      </c>
      <c r="C6925" s="6">
        <v>369</v>
      </c>
      <c r="D6925" s="7">
        <v>6.61</v>
      </c>
      <c r="E6925" t="s">
        <v>65</v>
      </c>
    </row>
    <row r="6926" spans="1:5" x14ac:dyDescent="0.25">
      <c r="A6926" t="str">
        <f>HYPERLINK("https://www.773grp.com/globalSearch/LM96000CIMTX/page-1", "LM96000CIMTX")</f>
        <v>LM96000CIMTX</v>
      </c>
      <c r="B6926" s="3" t="str">
        <f>HYPERLINK("https://www.773grp.com/manufacturer/national-semiconductor?pageNo=91", "National Semiconductor")</f>
        <v>National Semiconductor</v>
      </c>
      <c r="C6926" s="6">
        <v>2500</v>
      </c>
      <c r="D6926" s="7">
        <v>6.61</v>
      </c>
      <c r="E6926" t="s">
        <v>30</v>
      </c>
    </row>
    <row r="6927" spans="1:5" x14ac:dyDescent="0.25">
      <c r="A6927" t="str">
        <f>HYPERLINK("https://www.773grp.com/globalSearch/COP472N-3/page-1", "COP472N-3")</f>
        <v>COP472N-3</v>
      </c>
      <c r="B6927" s="3" t="str">
        <f>HYPERLINK("https://www.773grp.com/manufacturer/national-semiconductor?pageNo=92", "National Semiconductor")</f>
        <v>National Semiconductor</v>
      </c>
      <c r="C6927" s="6">
        <v>1530</v>
      </c>
      <c r="D6927" s="7">
        <v>6.61</v>
      </c>
    </row>
    <row r="6928" spans="1:5" x14ac:dyDescent="0.25">
      <c r="A6928" t="str">
        <f>HYPERLINK("https://www.773grp.com/globalSearch/COP472WM-3-63/page-1", "COP472WM-3-63")</f>
        <v>COP472WM-3-63</v>
      </c>
      <c r="B6928" s="3" t="str">
        <f>HYPERLINK("https://www.773grp.com/manufacturer/national-semiconductor?pageNo=93", "National Semiconductor")</f>
        <v>National Semiconductor</v>
      </c>
      <c r="C6928" s="6">
        <v>2000</v>
      </c>
      <c r="D6928" s="7">
        <v>6.61</v>
      </c>
    </row>
    <row r="6929" spans="1:5" x14ac:dyDescent="0.25">
      <c r="A6929" t="str">
        <f>HYPERLINK("https://www.773grp.com/globalSearch/LM3463SQ-NOPB/page-1", "LM3463SQ-NOPB")</f>
        <v>LM3463SQ-NOPB</v>
      </c>
      <c r="B6929" s="3" t="str">
        <f>HYPERLINK("https://www.773grp.com/manufacturer/national-semiconductor?pageNo=94", "National Semiconductor")</f>
        <v>National Semiconductor</v>
      </c>
      <c r="C6929" s="6">
        <v>1000</v>
      </c>
      <c r="D6929" s="7">
        <v>6.61</v>
      </c>
    </row>
    <row r="6930" spans="1:5" x14ac:dyDescent="0.25">
      <c r="A6930" t="str">
        <f>HYPERLINK("https://www.773grp.com/globalSearch/LM5010MH/page-1", "LM5010MH")</f>
        <v>LM5010MH</v>
      </c>
      <c r="B6930" s="3" t="str">
        <f>HYPERLINK("https://www.773grp.com/manufacturer/national-semiconductor?pageNo=95", "National Semiconductor")</f>
        <v>National Semiconductor</v>
      </c>
      <c r="C6930" s="6">
        <v>1395</v>
      </c>
      <c r="D6930" s="7">
        <v>6.61</v>
      </c>
    </row>
    <row r="6931" spans="1:5" x14ac:dyDescent="0.25">
      <c r="A6931" t="str">
        <f>HYPERLINK("https://www.773grp.com/globalSearch/TPS65181BRGZR/page-1", "TPS65181BRGZR")</f>
        <v>TPS65181BRGZR</v>
      </c>
      <c r="B6931" s="3" t="str">
        <f>HYPERLINK("https://www.773grp.com/manufacturer/national-semiconductor?pageNo=96", "National Semiconductor")</f>
        <v>National Semiconductor</v>
      </c>
      <c r="C6931" s="6">
        <v>10000</v>
      </c>
      <c r="D6931" s="7">
        <v>6.61</v>
      </c>
    </row>
    <row r="6932" spans="1:5" x14ac:dyDescent="0.25">
      <c r="A6932" t="str">
        <f>HYPERLINK("https://www.773grp.com/globalSearch/9328PC/page-1", "9328PC")</f>
        <v>9328PC</v>
      </c>
      <c r="B6932" s="3" t="str">
        <f>HYPERLINK("https://www.773grp.com/manufacturer/national-semiconductor?pageNo=97", "National Semiconductor")</f>
        <v>National Semiconductor</v>
      </c>
      <c r="C6932" s="6">
        <v>1</v>
      </c>
      <c r="D6932" s="7">
        <v>6.64</v>
      </c>
    </row>
    <row r="6933" spans="1:5" x14ac:dyDescent="0.25">
      <c r="A6933" t="str">
        <f>HYPERLINK("https://www.773grp.com/globalSearch/LM304H/page-1", "LM304H")</f>
        <v>LM304H</v>
      </c>
      <c r="B6933" s="3" t="str">
        <f>HYPERLINK("https://www.773grp.com/manufacturer/national-semiconductor?pageNo=98", "National Semiconductor")</f>
        <v>National Semiconductor</v>
      </c>
      <c r="C6933" s="6">
        <v>5</v>
      </c>
      <c r="D6933" s="7">
        <v>6.64</v>
      </c>
      <c r="E6933" t="s">
        <v>37</v>
      </c>
    </row>
    <row r="6934" spans="1:5" x14ac:dyDescent="0.25">
      <c r="A6934" t="str">
        <f>HYPERLINK("https://www.773grp.com/globalSearch/LMC6494AEM-NOPB/page-1", "LMC6494AEM-NOPB")</f>
        <v>LMC6494AEM-NOPB</v>
      </c>
      <c r="B6934" s="3" t="str">
        <f>HYPERLINK("https://www.773grp.com/manufacturer/national-semiconductor?pageNo=99", "National Semiconductor")</f>
        <v>National Semiconductor</v>
      </c>
      <c r="C6934" s="6">
        <v>295</v>
      </c>
      <c r="D6934" s="7">
        <v>6.64</v>
      </c>
      <c r="E6934" t="s">
        <v>13</v>
      </c>
    </row>
    <row r="6935" spans="1:5" x14ac:dyDescent="0.25">
      <c r="A6935" t="str">
        <f>HYPERLINK("https://www.773grp.com/globalSearch/LMC6494AEM-NOPB/page-1", "LMC6494AEM-NOPB")</f>
        <v>LMC6494AEM-NOPB</v>
      </c>
      <c r="B6935" s="3" t="str">
        <f>HYPERLINK("https://www.773grp.com/manufacturer/national-semiconductor?pageNo=100", "National Semiconductor")</f>
        <v>National Semiconductor</v>
      </c>
      <c r="C6935" s="6">
        <v>305</v>
      </c>
      <c r="D6935" s="7">
        <v>6.64</v>
      </c>
      <c r="E6935" t="s">
        <v>13</v>
      </c>
    </row>
    <row r="6936" spans="1:5" x14ac:dyDescent="0.25">
      <c r="A6936" t="str">
        <f>HYPERLINK("https://www.773grp.com/globalSearch/MM74HC161J/page-1", "MM74HC161J")</f>
        <v>MM74HC161J</v>
      </c>
      <c r="B6936" s="3" t="str">
        <f>HYPERLINK("https://www.773grp.com/manufacturer/national-semiconductor?pageNo=101", "National Semiconductor")</f>
        <v>National Semiconductor</v>
      </c>
      <c r="C6936" s="6">
        <v>816</v>
      </c>
      <c r="D6936" s="7">
        <v>6.66</v>
      </c>
      <c r="E6936" t="s">
        <v>26</v>
      </c>
    </row>
    <row r="6937" spans="1:5" x14ac:dyDescent="0.25">
      <c r="A6937" t="str">
        <f>HYPERLINK("https://www.773grp.com/globalSearch/LMC6064AIM-NOPB/page-1", "LMC6064AIM-NOPB")</f>
        <v>LMC6064AIM-NOPB</v>
      </c>
      <c r="B6937" s="3" t="str">
        <f>HYPERLINK("https://www.773grp.com/manufacturer/national-semiconductor?pageNo=102", "National Semiconductor")</f>
        <v>National Semiconductor</v>
      </c>
      <c r="C6937" s="6">
        <v>1230</v>
      </c>
      <c r="D6937" s="7">
        <v>6.66</v>
      </c>
    </row>
    <row r="6938" spans="1:5" x14ac:dyDescent="0.25">
      <c r="A6938" t="str">
        <f>HYPERLINK("https://www.773grp.com/globalSearch/DM81LS95AJ/page-1", "DM81LS95AJ")</f>
        <v>DM81LS95AJ</v>
      </c>
      <c r="B6938" s="3" t="str">
        <f>HYPERLINK("https://www.773grp.com/manufacturer/national-semiconductor?pageNo=103", "National Semiconductor")</f>
        <v>National Semiconductor</v>
      </c>
      <c r="C6938" s="6">
        <v>2374</v>
      </c>
      <c r="D6938" s="7">
        <v>6.7</v>
      </c>
    </row>
    <row r="6939" spans="1:5" x14ac:dyDescent="0.25">
      <c r="A6939" t="str">
        <f>HYPERLINK("https://www.773grp.com/globalSearch/LF13332M/page-1", "LF13332M")</f>
        <v>LF13332M</v>
      </c>
      <c r="B6939" s="3" t="str">
        <f>HYPERLINK("https://www.773grp.com/manufacturer/national-semiconductor?pageNo=104", "National Semiconductor")</f>
        <v>National Semiconductor</v>
      </c>
      <c r="C6939" s="6">
        <v>2614</v>
      </c>
      <c r="D6939" s="7">
        <v>6.7</v>
      </c>
      <c r="E6939" t="s">
        <v>56</v>
      </c>
    </row>
    <row r="6940" spans="1:5" x14ac:dyDescent="0.25">
      <c r="A6940" t="str">
        <f>HYPERLINK("https://www.773grp.com/globalSearch/LM385AM-2.5/page-1", "LM385AM-2.5")</f>
        <v>LM385AM-2.5</v>
      </c>
      <c r="B6940" s="3" t="str">
        <f>HYPERLINK("https://www.773grp.com/manufacturer/national-semiconductor?pageNo=105", "National Semiconductor")</f>
        <v>National Semiconductor</v>
      </c>
      <c r="C6940" s="6">
        <v>167</v>
      </c>
      <c r="D6940" s="7">
        <v>6.7</v>
      </c>
      <c r="E6940" t="s">
        <v>17</v>
      </c>
    </row>
    <row r="6941" spans="1:5" x14ac:dyDescent="0.25">
      <c r="A6941" t="str">
        <f>HYPERLINK("https://www.773grp.com/globalSearch/LM385AZ-1.2/page-1", "LM385AZ-1.2")</f>
        <v>LM385AZ-1.2</v>
      </c>
      <c r="B6941" s="3" t="str">
        <f>HYPERLINK("https://www.773grp.com/manufacturer/national-semiconductor?pageNo=106", "National Semiconductor")</f>
        <v>National Semiconductor</v>
      </c>
      <c r="C6941" s="6">
        <v>1360</v>
      </c>
      <c r="D6941" s="7">
        <v>6.7</v>
      </c>
      <c r="E6941" t="s">
        <v>17</v>
      </c>
    </row>
    <row r="6942" spans="1:5" x14ac:dyDescent="0.25">
      <c r="A6942" t="str">
        <f>HYPERLINK("https://www.773grp.com/globalSearch/LM4873MTE-1/page-1", "LM4873MTE-1")</f>
        <v>LM4873MTE-1</v>
      </c>
      <c r="B6942" s="3" t="str">
        <f>HYPERLINK("https://www.773grp.com/manufacturer/national-semiconductor?pageNo=107", "National Semiconductor")</f>
        <v>National Semiconductor</v>
      </c>
      <c r="C6942" s="6">
        <v>15132</v>
      </c>
      <c r="D6942" s="7">
        <v>6.7</v>
      </c>
      <c r="E6942" t="s">
        <v>18</v>
      </c>
    </row>
    <row r="6943" spans="1:5" x14ac:dyDescent="0.25">
      <c r="A6943" t="str">
        <f>HYPERLINK("https://www.773grp.com/globalSearch/LM4960SQ/page-1", "LM4960SQ")</f>
        <v>LM4960SQ</v>
      </c>
      <c r="B6943" s="3" t="str">
        <f>HYPERLINK("https://www.773grp.com/manufacturer/national-semiconductor?pageNo=108", "National Semiconductor")</f>
        <v>National Semiconductor</v>
      </c>
      <c r="C6943" s="6">
        <v>400</v>
      </c>
      <c r="D6943" s="7">
        <v>6.7</v>
      </c>
      <c r="E6943" t="s">
        <v>18</v>
      </c>
    </row>
    <row r="6944" spans="1:5" x14ac:dyDescent="0.25">
      <c r="A6944" t="str">
        <f>HYPERLINK("https://www.773grp.com/globalSearch/LMX2323TMX/page-1", "LMX2323TMX")</f>
        <v>LMX2323TMX</v>
      </c>
      <c r="B6944" s="3" t="str">
        <f>HYPERLINK("https://www.773grp.com/manufacturer/national-semiconductor?pageNo=109", "National Semiconductor")</f>
        <v>National Semiconductor</v>
      </c>
      <c r="C6944" s="6">
        <v>37450</v>
      </c>
      <c r="D6944" s="7">
        <v>6.7</v>
      </c>
      <c r="E6944" t="s">
        <v>38</v>
      </c>
    </row>
    <row r="6945" spans="1:5" x14ac:dyDescent="0.25">
      <c r="A6945" t="str">
        <f>HYPERLINK("https://www.773grp.com/globalSearch/MM5453N-NOPB/page-1", "MM5453N-NOPB")</f>
        <v>MM5453N-NOPB</v>
      </c>
      <c r="B6945" s="3" t="str">
        <f>HYPERLINK("https://www.773grp.com/manufacturer/national-semiconductor?pageNo=110", "National Semiconductor")</f>
        <v>National Semiconductor</v>
      </c>
      <c r="C6945" s="6">
        <v>270</v>
      </c>
      <c r="D6945" s="7">
        <v>6.7</v>
      </c>
      <c r="E6945" t="s">
        <v>10</v>
      </c>
    </row>
    <row r="6946" spans="1:5" x14ac:dyDescent="0.25">
      <c r="A6946" t="str">
        <f>HYPERLINK("https://www.773grp.com/globalSearch/MM5453VX-NOPB/page-1", "MM5453VX-NOPB")</f>
        <v>MM5453VX-NOPB</v>
      </c>
      <c r="B6946" s="3" t="str">
        <f>HYPERLINK("https://www.773grp.com/manufacturer/national-semiconductor?pageNo=111", "National Semiconductor")</f>
        <v>National Semiconductor</v>
      </c>
      <c r="C6946" s="6">
        <v>1500</v>
      </c>
      <c r="D6946" s="7">
        <v>6.7</v>
      </c>
      <c r="E6946" t="s">
        <v>10</v>
      </c>
    </row>
    <row r="6947" spans="1:5" x14ac:dyDescent="0.25">
      <c r="A6947" t="str">
        <f>HYPERLINK("https://www.773grp.com/globalSearch/LMH6702MA/page-1", "LMH6702MA")</f>
        <v>LMH6702MA</v>
      </c>
      <c r="B6947" s="3" t="str">
        <f>HYPERLINK("https://www.773grp.com/manufacturer/national-semiconductor?pageNo=112", "National Semiconductor")</f>
        <v>National Semiconductor</v>
      </c>
      <c r="C6947" s="6">
        <v>30590</v>
      </c>
      <c r="D6947" s="7">
        <v>6.7</v>
      </c>
    </row>
    <row r="6948" spans="1:5" x14ac:dyDescent="0.25">
      <c r="A6948" t="str">
        <f>HYPERLINK("https://www.773grp.com/globalSearch/MM5453N-NOPB/page-1", "MM5453N-NOPB")</f>
        <v>MM5453N-NOPB</v>
      </c>
      <c r="B6948" s="3" t="str">
        <f>HYPERLINK("https://www.773grp.com/manufacturer/national-semiconductor?pageNo=113", "National Semiconductor")</f>
        <v>National Semiconductor</v>
      </c>
      <c r="C6948" s="6">
        <v>154</v>
      </c>
      <c r="D6948" s="7">
        <v>6.7</v>
      </c>
      <c r="E6948" t="s">
        <v>10</v>
      </c>
    </row>
    <row r="6949" spans="1:5" x14ac:dyDescent="0.25">
      <c r="A6949" t="str">
        <f>HYPERLINK("https://www.773grp.com/globalSearch/54LS164W-883/page-1", "54LS164W-883")</f>
        <v>54LS164W-883</v>
      </c>
      <c r="B6949" s="3" t="str">
        <f>HYPERLINK("https://www.773grp.com/manufacturer/national-semiconductor?pageNo=114", "National Semiconductor")</f>
        <v>National Semiconductor</v>
      </c>
      <c r="C6949" s="6">
        <v>19</v>
      </c>
      <c r="D6949" s="7">
        <v>6.71</v>
      </c>
    </row>
    <row r="6950" spans="1:5" x14ac:dyDescent="0.25">
      <c r="A6950" t="str">
        <f>HYPERLINK("https://www.773grp.com/globalSearch/LM1972M-NOPB/page-1", "LM1972M-NOPB")</f>
        <v>LM1972M-NOPB</v>
      </c>
      <c r="B6950" s="3" t="str">
        <f>HYPERLINK("https://www.773grp.com/manufacturer/national-semiconductor?pageNo=115", "National Semiconductor")</f>
        <v>National Semiconductor</v>
      </c>
      <c r="C6950" s="6">
        <v>1101</v>
      </c>
      <c r="D6950" s="7">
        <v>6.71</v>
      </c>
      <c r="E6950" t="s">
        <v>23</v>
      </c>
    </row>
    <row r="6951" spans="1:5" x14ac:dyDescent="0.25">
      <c r="A6951" t="str">
        <f>HYPERLINK("https://www.773grp.com/globalSearch/LM2574HVM-5.0/page-1", "LM2574HVM-5.0")</f>
        <v>LM2574HVM-5.0</v>
      </c>
      <c r="B6951" s="3" t="str">
        <f>HYPERLINK("https://www.773grp.com/manufacturer/national-semiconductor?pageNo=116", "National Semiconductor")</f>
        <v>National Semiconductor</v>
      </c>
      <c r="C6951" s="6">
        <v>550</v>
      </c>
      <c r="D6951" s="7">
        <v>6.71</v>
      </c>
      <c r="E6951" t="s">
        <v>7</v>
      </c>
    </row>
    <row r="6952" spans="1:5" x14ac:dyDescent="0.25">
      <c r="A6952" t="str">
        <f>HYPERLINK("https://www.773grp.com/globalSearch/LM2574HVM-ADJ/page-1", "LM2574HVM-ADJ")</f>
        <v>LM2574HVM-ADJ</v>
      </c>
      <c r="B6952" s="3" t="str">
        <f>HYPERLINK("https://www.773grp.com/manufacturer/national-semiconductor?pageNo=117", "National Semiconductor")</f>
        <v>National Semiconductor</v>
      </c>
      <c r="C6952" s="6">
        <v>6450</v>
      </c>
      <c r="D6952" s="7">
        <v>6.71</v>
      </c>
      <c r="E6952" t="s">
        <v>7</v>
      </c>
    </row>
    <row r="6953" spans="1:5" x14ac:dyDescent="0.25">
      <c r="A6953" t="str">
        <f>HYPERLINK("https://www.773grp.com/globalSearch/LM2645MTD/page-1", "LM2645MTD")</f>
        <v>LM2645MTD</v>
      </c>
      <c r="B6953" s="3" t="str">
        <f>HYPERLINK("https://www.773grp.com/manufacturer/national-semiconductor?pageNo=118", "National Semiconductor")</f>
        <v>National Semiconductor</v>
      </c>
      <c r="C6953" s="6">
        <v>29</v>
      </c>
      <c r="D6953" s="7">
        <v>6.71</v>
      </c>
      <c r="E6953" t="s">
        <v>7</v>
      </c>
    </row>
    <row r="6954" spans="1:5" x14ac:dyDescent="0.25">
      <c r="A6954" t="str">
        <f>HYPERLINK("https://www.773grp.com/globalSearch/LM2645MTD-NOPB/page-1", "LM2645MTD-NOPB")</f>
        <v>LM2645MTD-NOPB</v>
      </c>
      <c r="B6954" s="3" t="str">
        <f>HYPERLINK("https://www.773grp.com/manufacturer/national-semiconductor?pageNo=119", "National Semiconductor")</f>
        <v>National Semiconductor</v>
      </c>
      <c r="C6954" s="6">
        <v>79</v>
      </c>
      <c r="D6954" s="7">
        <v>6.71</v>
      </c>
      <c r="E6954" t="s">
        <v>7</v>
      </c>
    </row>
    <row r="6955" spans="1:5" x14ac:dyDescent="0.25">
      <c r="A6955" t="str">
        <f>HYPERLINK("https://www.773grp.com/globalSearch/LM2645MTDX/page-1", "LM2645MTDX")</f>
        <v>LM2645MTDX</v>
      </c>
      <c r="B6955" s="3" t="str">
        <f>HYPERLINK("https://www.773grp.com/manufacturer/national-semiconductor?pageNo=120", "National Semiconductor")</f>
        <v>National Semiconductor</v>
      </c>
      <c r="C6955" s="6">
        <v>386</v>
      </c>
      <c r="D6955" s="7">
        <v>6.71</v>
      </c>
      <c r="E6955" t="s">
        <v>7</v>
      </c>
    </row>
    <row r="6956" spans="1:5" x14ac:dyDescent="0.25">
      <c r="A6956" t="str">
        <f>HYPERLINK("https://www.773grp.com/globalSearch/LM5034MTC/page-1", "LM5034MTC")</f>
        <v>LM5034MTC</v>
      </c>
      <c r="B6956" s="3" t="str">
        <f>HYPERLINK("https://www.773grp.com/manufacturer/national-semiconductor?pageNo=121", "National Semiconductor")</f>
        <v>National Semiconductor</v>
      </c>
      <c r="C6956" s="6">
        <v>800</v>
      </c>
      <c r="D6956" s="7">
        <v>6.71</v>
      </c>
      <c r="E6956" t="s">
        <v>7</v>
      </c>
    </row>
    <row r="6957" spans="1:5" x14ac:dyDescent="0.25">
      <c r="A6957" t="str">
        <f>HYPERLINK("https://www.773grp.com/globalSearch/LM5115MTC/page-1", "LM5115MTC")</f>
        <v>LM5115MTC</v>
      </c>
      <c r="B6957" s="3" t="str">
        <f>HYPERLINK("https://www.773grp.com/manufacturer/national-semiconductor?pageNo=122", "National Semiconductor")</f>
        <v>National Semiconductor</v>
      </c>
      <c r="C6957" s="6">
        <v>1012</v>
      </c>
      <c r="D6957" s="7">
        <v>6.71</v>
      </c>
      <c r="E6957" t="s">
        <v>7</v>
      </c>
    </row>
    <row r="6958" spans="1:5" x14ac:dyDescent="0.25">
      <c r="A6958" t="str">
        <f>HYPERLINK("https://www.773grp.com/globalSearch/LMH6505MA/page-1", "LMH6505MA")</f>
        <v>LMH6505MA</v>
      </c>
      <c r="B6958" s="3" t="str">
        <f>HYPERLINK("https://www.773grp.com/manufacturer/national-semiconductor?pageNo=123", "National Semiconductor")</f>
        <v>National Semiconductor</v>
      </c>
      <c r="C6958" s="6">
        <v>25</v>
      </c>
      <c r="D6958" s="7">
        <v>6.71</v>
      </c>
      <c r="E6958" t="s">
        <v>40</v>
      </c>
    </row>
    <row r="6959" spans="1:5" x14ac:dyDescent="0.25">
      <c r="A6959" t="str">
        <f>HYPERLINK("https://www.773grp.com/globalSearch/LMH6505MM-NOPB/page-1", "LMH6505MM-NOPB")</f>
        <v>LMH6505MM-NOPB</v>
      </c>
      <c r="B6959" s="3" t="str">
        <f>HYPERLINK("https://www.773grp.com/manufacturer/national-semiconductor?pageNo=124", "National Semiconductor")</f>
        <v>National Semiconductor</v>
      </c>
      <c r="C6959" s="6">
        <v>5447</v>
      </c>
      <c r="D6959" s="7">
        <v>6.71</v>
      </c>
      <c r="E6959" t="s">
        <v>40</v>
      </c>
    </row>
    <row r="6960" spans="1:5" x14ac:dyDescent="0.25">
      <c r="A6960" t="str">
        <f>HYPERLINK("https://www.773grp.com/globalSearch/LMP7709MA-NOPB/page-1", "LMP7709MA-NOPB")</f>
        <v>LMP7709MA-NOPB</v>
      </c>
      <c r="B6960" s="3" t="str">
        <f>HYPERLINK("https://www.773grp.com/manufacturer/national-semiconductor?pageNo=125", "National Semiconductor")</f>
        <v>National Semiconductor</v>
      </c>
      <c r="C6960" s="6">
        <v>1540</v>
      </c>
      <c r="D6960" s="7">
        <v>6.71</v>
      </c>
    </row>
    <row r="6961" spans="1:5" x14ac:dyDescent="0.25">
      <c r="A6961" t="str">
        <f>HYPERLINK("https://www.773grp.com/globalSearch/LMP7709MT-NOPB/page-1", "LMP7709MT-NOPB")</f>
        <v>LMP7709MT-NOPB</v>
      </c>
      <c r="B6961" s="3" t="str">
        <f>HYPERLINK("https://www.773grp.com/manufacturer/national-semiconductor?pageNo=126", "National Semiconductor")</f>
        <v>National Semiconductor</v>
      </c>
      <c r="C6961" s="6">
        <v>618</v>
      </c>
      <c r="D6961" s="7">
        <v>6.71</v>
      </c>
    </row>
    <row r="6962" spans="1:5" x14ac:dyDescent="0.25">
      <c r="A6962" t="str">
        <f>HYPERLINK("https://www.773grp.com/globalSearch/DS91D180TMA/page-1", "DS91D180TMA")</f>
        <v>DS91D180TMA</v>
      </c>
      <c r="B6962" s="3" t="str">
        <f>HYPERLINK("https://www.773grp.com/manufacturer/national-semiconductor?pageNo=127", "National Semiconductor")</f>
        <v>National Semiconductor</v>
      </c>
      <c r="C6962" s="6">
        <v>105</v>
      </c>
      <c r="D6962" s="7">
        <v>6.71</v>
      </c>
    </row>
    <row r="6963" spans="1:5" x14ac:dyDescent="0.25">
      <c r="A6963" t="str">
        <f>HYPERLINK("https://www.773grp.com/globalSearch/LM1972M-NOPB/page-1", "LM1972M-NOPB")</f>
        <v>LM1972M-NOPB</v>
      </c>
      <c r="B6963" s="3" t="str">
        <f>HYPERLINK("https://www.773grp.com/manufacturer/national-semiconductor?pageNo=128", "National Semiconductor")</f>
        <v>National Semiconductor</v>
      </c>
      <c r="C6963" s="6">
        <v>246</v>
      </c>
      <c r="D6963" s="7">
        <v>6.71</v>
      </c>
      <c r="E6963" t="s">
        <v>23</v>
      </c>
    </row>
    <row r="6964" spans="1:5" x14ac:dyDescent="0.25">
      <c r="A6964" t="str">
        <f>HYPERLINK("https://www.773grp.com/globalSearch/LM2574HVM-5.0/page-1", "LM2574HVM-5.0")</f>
        <v>LM2574HVM-5.0</v>
      </c>
      <c r="B6964" s="3" t="str">
        <f>HYPERLINK("https://www.773grp.com/manufacturer/national-semiconductor?pageNo=129", "National Semiconductor")</f>
        <v>National Semiconductor</v>
      </c>
      <c r="C6964" s="6">
        <v>150</v>
      </c>
      <c r="D6964" s="7">
        <v>6.71</v>
      </c>
      <c r="E6964" t="s">
        <v>7</v>
      </c>
    </row>
    <row r="6965" spans="1:5" x14ac:dyDescent="0.25">
      <c r="A6965" t="str">
        <f>HYPERLINK("https://www.773grp.com/globalSearch/LM2574HVM-ADJ/page-1", "LM2574HVM-ADJ")</f>
        <v>LM2574HVM-ADJ</v>
      </c>
      <c r="B6965" s="3" t="str">
        <f>HYPERLINK("https://www.773grp.com/manufacturer/national-semiconductor?pageNo=130", "National Semiconductor")</f>
        <v>National Semiconductor</v>
      </c>
      <c r="C6965" s="6">
        <v>440</v>
      </c>
      <c r="D6965" s="7">
        <v>6.71</v>
      </c>
      <c r="E6965" t="s">
        <v>7</v>
      </c>
    </row>
    <row r="6966" spans="1:5" x14ac:dyDescent="0.25">
      <c r="A6966" t="str">
        <f>HYPERLINK("https://www.773grp.com/globalSearch/LM2574HVM-ADJ/page-1", "LM2574HVM-ADJ")</f>
        <v>LM2574HVM-ADJ</v>
      </c>
      <c r="B6966" s="3" t="str">
        <f>HYPERLINK("https://www.773grp.com/manufacturer/national-semiconductor?pageNo=131", "National Semiconductor")</f>
        <v>National Semiconductor</v>
      </c>
      <c r="C6966" s="6">
        <v>385</v>
      </c>
      <c r="D6966" s="7">
        <v>6.71</v>
      </c>
      <c r="E6966" t="s">
        <v>7</v>
      </c>
    </row>
    <row r="6967" spans="1:5" x14ac:dyDescent="0.25">
      <c r="A6967" t="str">
        <f>HYPERLINK("https://www.773grp.com/globalSearch/LM5115MTC/page-1", "LM5115MTC")</f>
        <v>LM5115MTC</v>
      </c>
      <c r="B6967" s="3" t="str">
        <f>HYPERLINK("https://www.773grp.com/manufacturer/national-semiconductor?pageNo=132", "National Semiconductor")</f>
        <v>National Semiconductor</v>
      </c>
      <c r="C6967" s="6">
        <v>119</v>
      </c>
      <c r="D6967" s="7">
        <v>6.71</v>
      </c>
      <c r="E6967" t="s">
        <v>7</v>
      </c>
    </row>
    <row r="6968" spans="1:5" x14ac:dyDescent="0.25">
      <c r="A6968" t="str">
        <f>HYPERLINK("https://www.773grp.com/globalSearch/LMH6505MM-NOPB/page-1", "LMH6505MM-NOPB")</f>
        <v>LMH6505MM-NOPB</v>
      </c>
      <c r="B6968" s="3" t="str">
        <f>HYPERLINK("https://www.773grp.com/manufacturer/national-semiconductor?pageNo=133", "National Semiconductor")</f>
        <v>National Semiconductor</v>
      </c>
      <c r="C6968" s="6">
        <v>3000</v>
      </c>
      <c r="D6968" s="7">
        <v>6.71</v>
      </c>
      <c r="E6968" t="s">
        <v>40</v>
      </c>
    </row>
    <row r="6969" spans="1:5" x14ac:dyDescent="0.25">
      <c r="A6969" t="str">
        <f>HYPERLINK("https://www.773grp.com/globalSearch/LMP7709MA-NOPB/page-1", "LMP7709MA-NOPB")</f>
        <v>LMP7709MA-NOPB</v>
      </c>
      <c r="B6969" s="3" t="str">
        <f>HYPERLINK("https://www.773grp.com/manufacturer/national-semiconductor?pageNo=134", "National Semiconductor")</f>
        <v>National Semiconductor</v>
      </c>
      <c r="C6969" s="6">
        <v>385</v>
      </c>
      <c r="D6969" s="7">
        <v>6.71</v>
      </c>
    </row>
    <row r="6970" spans="1:5" x14ac:dyDescent="0.25">
      <c r="A6970" t="str">
        <f>HYPERLINK("https://www.773grp.com/globalSearch/LMP7709MT-NOPB/page-1", "LMP7709MT-NOPB")</f>
        <v>LMP7709MT-NOPB</v>
      </c>
      <c r="B6970" s="3" t="str">
        <f>HYPERLINK("https://www.773grp.com/manufacturer/national-semiconductor?pageNo=1", "National Semiconductor")</f>
        <v>National Semiconductor</v>
      </c>
      <c r="C6970" s="6">
        <v>259</v>
      </c>
      <c r="D6970" s="7">
        <v>6.71</v>
      </c>
    </row>
    <row r="6971" spans="1:5" x14ac:dyDescent="0.25">
      <c r="A6971" t="str">
        <f>HYPERLINK("https://www.773grp.com/globalSearch/LMP8350MA-NOPB/page-1", "LMP8350MA-NOPB")</f>
        <v>LMP8350MA-NOPB</v>
      </c>
      <c r="B6971" s="3" t="str">
        <f>HYPERLINK("https://www.773grp.com/manufacturer/national-semiconductor?pageNo=2", "National Semiconductor")</f>
        <v>National Semiconductor</v>
      </c>
      <c r="C6971" s="6">
        <v>433</v>
      </c>
      <c r="D6971" s="7">
        <v>6.71</v>
      </c>
    </row>
    <row r="6972" spans="1:5" x14ac:dyDescent="0.25">
      <c r="A6972" t="str">
        <f>HYPERLINK("https://www.773grp.com/globalSearch/DS96175CN/page-1", "DS96175CN")</f>
        <v>DS96175CN</v>
      </c>
      <c r="B6972" s="3" t="str">
        <f>HYPERLINK("https://www.773grp.com/manufacturer/national-semiconductor?pageNo=3", "National Semiconductor")</f>
        <v>National Semiconductor</v>
      </c>
      <c r="C6972" s="6">
        <v>235</v>
      </c>
      <c r="D6972" s="7">
        <v>6.75</v>
      </c>
      <c r="E6972" t="s">
        <v>21</v>
      </c>
    </row>
    <row r="6973" spans="1:5" x14ac:dyDescent="0.25">
      <c r="A6973" t="str">
        <f>HYPERLINK("https://www.773grp.com/globalSearch/G22V10L15BHR-VI/page-1", "G22V10L15BHR-VI")</f>
        <v>G22V10L15BHR-VI</v>
      </c>
      <c r="B6973" s="3" t="str">
        <f>HYPERLINK("https://www.773grp.com/manufacturer/national-semiconductor?pageNo=4", "National Semiconductor")</f>
        <v>National Semiconductor</v>
      </c>
      <c r="C6973" s="6">
        <v>139</v>
      </c>
      <c r="D6973" s="7">
        <v>6.75</v>
      </c>
    </row>
    <row r="6974" spans="1:5" x14ac:dyDescent="0.25">
      <c r="A6974" t="str">
        <f>HYPERLINK("https://www.773grp.com/globalSearch/GAL20V8QS-15LVC/page-1", "GAL20V8QS-15LVC")</f>
        <v>GAL20V8QS-15LVC</v>
      </c>
      <c r="B6974" s="3" t="str">
        <f>HYPERLINK("https://www.773grp.com/manufacturer/national-semiconductor?pageNo=5", "National Semiconductor")</f>
        <v>National Semiconductor</v>
      </c>
      <c r="C6974" s="6">
        <v>1031</v>
      </c>
      <c r="D6974" s="7">
        <v>6.75</v>
      </c>
      <c r="E6974" t="s">
        <v>51</v>
      </c>
    </row>
    <row r="6975" spans="1:5" x14ac:dyDescent="0.25">
      <c r="A6975" t="str">
        <f>HYPERLINK("https://www.773grp.com/globalSearch/JD54LS21BCA/page-1", "JD54LS21BCA")</f>
        <v>JD54LS21BCA</v>
      </c>
      <c r="B6975" s="3" t="str">
        <f>HYPERLINK("https://www.773grp.com/manufacturer/national-semiconductor?pageNo=6", "National Semiconductor")</f>
        <v>National Semiconductor</v>
      </c>
      <c r="C6975" s="6">
        <v>95</v>
      </c>
      <c r="D6975" s="7">
        <v>6.75</v>
      </c>
    </row>
    <row r="6976" spans="1:5" x14ac:dyDescent="0.25">
      <c r="A6976" t="str">
        <f>HYPERLINK("https://www.773grp.com/globalSearch/LM22679TJ-5.0-NOPB/page-1", "LM22679TJ-5.0-NOPB")</f>
        <v>LM22679TJ-5.0-NOPB</v>
      </c>
      <c r="B6976" s="3" t="str">
        <f>HYPERLINK("https://www.773grp.com/manufacturer/national-semiconductor?pageNo=7", "National Semiconductor")</f>
        <v>National Semiconductor</v>
      </c>
      <c r="C6976" s="6">
        <v>1900</v>
      </c>
      <c r="D6976" s="7">
        <v>6.75</v>
      </c>
    </row>
    <row r="6977" spans="1:5" x14ac:dyDescent="0.25">
      <c r="A6977" t="str">
        <f>HYPERLINK("https://www.773grp.com/globalSearch/LM25576MH-NOPB/page-1", "LM25576MH-NOPB")</f>
        <v>LM25576MH-NOPB</v>
      </c>
      <c r="B6977" s="3" t="str">
        <f>HYPERLINK("https://www.773grp.com/manufacturer/national-semiconductor?pageNo=8", "National Semiconductor")</f>
        <v>National Semiconductor</v>
      </c>
      <c r="C6977" s="6">
        <v>291</v>
      </c>
      <c r="D6977" s="7">
        <v>6.75</v>
      </c>
      <c r="E6977" t="s">
        <v>7</v>
      </c>
    </row>
    <row r="6978" spans="1:5" x14ac:dyDescent="0.25">
      <c r="A6978" t="str">
        <f>HYPERLINK("https://www.773grp.com/globalSearch/LM2591HVS-3.3-NOPB/page-1", "LM2591HVS-3.3-NOPB")</f>
        <v>LM2591HVS-3.3-NOPB</v>
      </c>
      <c r="B6978" s="3" t="str">
        <f>HYPERLINK("https://www.773grp.com/manufacturer/national-semiconductor?pageNo=9", "National Semiconductor")</f>
        <v>National Semiconductor</v>
      </c>
      <c r="C6978" s="6">
        <v>9</v>
      </c>
      <c r="D6978" s="7">
        <v>6.75</v>
      </c>
      <c r="E6978" t="s">
        <v>7</v>
      </c>
    </row>
    <row r="6979" spans="1:5" x14ac:dyDescent="0.25">
      <c r="A6979" t="str">
        <f>HYPERLINK("https://www.773grp.com/globalSearch/LM2591HVS-5.0-NOPB/page-1", "LM2591HVS-5.0-NOPB")</f>
        <v>LM2591HVS-5.0-NOPB</v>
      </c>
      <c r="B6979" s="3" t="str">
        <f>HYPERLINK("https://www.773grp.com/manufacturer/national-semiconductor?pageNo=10", "National Semiconductor")</f>
        <v>National Semiconductor</v>
      </c>
      <c r="C6979" s="6">
        <v>125</v>
      </c>
      <c r="D6979" s="7">
        <v>6.75</v>
      </c>
      <c r="E6979" t="s">
        <v>7</v>
      </c>
    </row>
    <row r="6980" spans="1:5" x14ac:dyDescent="0.25">
      <c r="A6980" t="str">
        <f>HYPERLINK("https://www.773grp.com/globalSearch/LM2591HVS-ADJ-NOPB/page-1", "LM2591HVS-ADJ-NOPB")</f>
        <v>LM2591HVS-ADJ-NOPB</v>
      </c>
      <c r="B6980" s="3" t="str">
        <f>HYPERLINK("https://www.773grp.com/manufacturer/national-semiconductor?pageNo=11", "National Semiconductor")</f>
        <v>National Semiconductor</v>
      </c>
      <c r="C6980" s="6">
        <v>225</v>
      </c>
      <c r="D6980" s="7">
        <v>6.75</v>
      </c>
      <c r="E6980" t="s">
        <v>7</v>
      </c>
    </row>
    <row r="6981" spans="1:5" x14ac:dyDescent="0.25">
      <c r="A6981" t="str">
        <f>HYPERLINK("https://www.773grp.com/globalSearch/LM2592HVSX-3.3-NOPB/page-1", "LM2592HVSX-3.3-NOPB")</f>
        <v>LM2592HVSX-3.3-NOPB</v>
      </c>
      <c r="B6981" s="3" t="str">
        <f>HYPERLINK("https://www.773grp.com/manufacturer/national-semiconductor?pageNo=12", "National Semiconductor")</f>
        <v>National Semiconductor</v>
      </c>
      <c r="C6981" s="6">
        <v>500</v>
      </c>
      <c r="D6981" s="7">
        <v>6.75</v>
      </c>
      <c r="E6981" t="s">
        <v>7</v>
      </c>
    </row>
    <row r="6982" spans="1:5" x14ac:dyDescent="0.25">
      <c r="A6982" t="str">
        <f>HYPERLINK("https://www.773grp.com/globalSearch/LM2592HVSX-5.0/page-1", "LM2592HVSX-5.0")</f>
        <v>LM2592HVSX-5.0</v>
      </c>
      <c r="B6982" s="3" t="str">
        <f>HYPERLINK("https://www.773grp.com/manufacturer/national-semiconductor?pageNo=13", "National Semiconductor")</f>
        <v>National Semiconductor</v>
      </c>
      <c r="C6982" s="6">
        <v>500</v>
      </c>
      <c r="D6982" s="7">
        <v>6.75</v>
      </c>
      <c r="E6982" t="s">
        <v>7</v>
      </c>
    </row>
    <row r="6983" spans="1:5" x14ac:dyDescent="0.25">
      <c r="A6983" t="str">
        <f>HYPERLINK("https://www.773grp.com/globalSearch/LM2592HVSX-5.0-NOPB/page-1", "LM2592HVSX-5.0-NOPB")</f>
        <v>LM2592HVSX-5.0-NOPB</v>
      </c>
      <c r="B6983" s="3" t="str">
        <f>HYPERLINK("https://www.773grp.com/manufacturer/national-semiconductor?pageNo=14", "National Semiconductor")</f>
        <v>National Semiconductor</v>
      </c>
      <c r="C6983" s="6">
        <v>21500</v>
      </c>
      <c r="D6983" s="7">
        <v>6.75</v>
      </c>
      <c r="E6983" t="s">
        <v>7</v>
      </c>
    </row>
    <row r="6984" spans="1:5" x14ac:dyDescent="0.25">
      <c r="A6984" t="str">
        <f>HYPERLINK("https://www.773grp.com/globalSearch/LM2592HVSX-ADJ-NOPB/page-1", "LM2592HVSX-ADJ-NOPB")</f>
        <v>LM2592HVSX-ADJ-NOPB</v>
      </c>
      <c r="B6984" s="3" t="str">
        <f>HYPERLINK("https://www.773grp.com/manufacturer/national-semiconductor?pageNo=15", "National Semiconductor")</f>
        <v>National Semiconductor</v>
      </c>
      <c r="C6984" s="6">
        <v>476</v>
      </c>
      <c r="D6984" s="7">
        <v>6.75</v>
      </c>
      <c r="E6984" t="s">
        <v>7</v>
      </c>
    </row>
    <row r="6985" spans="1:5" x14ac:dyDescent="0.25">
      <c r="A6985" t="str">
        <f>HYPERLINK("https://www.773grp.com/globalSearch/LM2592HVT-3.3-NOPB/page-1", "LM2592HVT-3.3-NOPB")</f>
        <v>LM2592HVT-3.3-NOPB</v>
      </c>
      <c r="B6985" s="3" t="str">
        <f>HYPERLINK("https://www.773grp.com/manufacturer/national-semiconductor?pageNo=16", "National Semiconductor")</f>
        <v>National Semiconductor</v>
      </c>
      <c r="C6985" s="6">
        <v>135</v>
      </c>
      <c r="D6985" s="7">
        <v>6.75</v>
      </c>
    </row>
    <row r="6986" spans="1:5" x14ac:dyDescent="0.25">
      <c r="A6986" t="str">
        <f>HYPERLINK("https://www.773grp.com/globalSearch/LM2592HVT-5.0/page-1", "LM2592HVT-5.0")</f>
        <v>LM2592HVT-5.0</v>
      </c>
      <c r="B6986" s="3" t="str">
        <f>HYPERLINK("https://www.773grp.com/manufacturer/national-semiconductor?pageNo=17", "National Semiconductor")</f>
        <v>National Semiconductor</v>
      </c>
      <c r="C6986" s="6">
        <v>360</v>
      </c>
      <c r="D6986" s="7">
        <v>6.75</v>
      </c>
      <c r="E6986" t="s">
        <v>7</v>
      </c>
    </row>
    <row r="6987" spans="1:5" x14ac:dyDescent="0.25">
      <c r="A6987" t="str">
        <f>HYPERLINK("https://www.773grp.com/globalSearch/LM2592HVT-5.0-NOPB/page-1", "LM2592HVT-5.0-NOPB")</f>
        <v>LM2592HVT-5.0-NOPB</v>
      </c>
      <c r="B6987" s="3" t="str">
        <f>HYPERLINK("https://www.773grp.com/manufacturer/national-semiconductor?pageNo=18", "National Semiconductor")</f>
        <v>National Semiconductor</v>
      </c>
      <c r="C6987" s="6">
        <v>119</v>
      </c>
      <c r="D6987" s="7">
        <v>6.75</v>
      </c>
    </row>
    <row r="6988" spans="1:5" x14ac:dyDescent="0.25">
      <c r="A6988" t="str">
        <f>HYPERLINK("https://www.773grp.com/globalSearch/LM2592HVT-ADJ-NOPB/page-1", "LM2592HVT-ADJ-NOPB")</f>
        <v>LM2592HVT-ADJ-NOPB</v>
      </c>
      <c r="B6988" s="3" t="str">
        <f>HYPERLINK("https://www.773grp.com/manufacturer/national-semiconductor?pageNo=19", "National Semiconductor")</f>
        <v>National Semiconductor</v>
      </c>
      <c r="C6988" s="6">
        <v>1435</v>
      </c>
      <c r="D6988" s="7">
        <v>6.75</v>
      </c>
      <c r="E6988" t="s">
        <v>7</v>
      </c>
    </row>
    <row r="6989" spans="1:5" x14ac:dyDescent="0.25">
      <c r="A6989" t="str">
        <f>HYPERLINK("https://www.773grp.com/globalSearch/LM2598SX-12/page-1", "LM2598SX-12")</f>
        <v>LM2598SX-12</v>
      </c>
      <c r="B6989" s="3" t="str">
        <f>HYPERLINK("https://www.773grp.com/manufacturer/national-semiconductor?pageNo=20", "National Semiconductor")</f>
        <v>National Semiconductor</v>
      </c>
      <c r="C6989" s="6">
        <v>1000</v>
      </c>
      <c r="D6989" s="7">
        <v>6.75</v>
      </c>
      <c r="E6989" t="s">
        <v>7</v>
      </c>
    </row>
    <row r="6990" spans="1:5" x14ac:dyDescent="0.25">
      <c r="A6990" t="str">
        <f>HYPERLINK("https://www.773grp.com/globalSearch/LM2598SX-5.0/page-1", "LM2598SX-5.0")</f>
        <v>LM2598SX-5.0</v>
      </c>
      <c r="B6990" s="3" t="str">
        <f>HYPERLINK("https://www.773grp.com/manufacturer/national-semiconductor?pageNo=21", "National Semiconductor")</f>
        <v>National Semiconductor</v>
      </c>
      <c r="C6990" s="6">
        <v>3000</v>
      </c>
      <c r="D6990" s="7">
        <v>6.75</v>
      </c>
      <c r="E6990" t="s">
        <v>7</v>
      </c>
    </row>
    <row r="6991" spans="1:5" x14ac:dyDescent="0.25">
      <c r="A6991" t="str">
        <f>HYPERLINK("https://www.773grp.com/globalSearch/LM3464MH-NOPB/page-1", "LM3464MH-NOPB")</f>
        <v>LM3464MH-NOPB</v>
      </c>
      <c r="B6991" s="3" t="str">
        <f>HYPERLINK("https://www.773grp.com/manufacturer/national-semiconductor?pageNo=22", "National Semiconductor")</f>
        <v>National Semiconductor</v>
      </c>
      <c r="C6991" s="6">
        <v>7255</v>
      </c>
      <c r="D6991" s="7">
        <v>6.75</v>
      </c>
    </row>
    <row r="6992" spans="1:5" x14ac:dyDescent="0.25">
      <c r="A6992" t="str">
        <f>HYPERLINK("https://www.773grp.com/globalSearch/LM3886T/page-1", "LM3886T")</f>
        <v>LM3886T</v>
      </c>
      <c r="B6992" s="3" t="str">
        <f>HYPERLINK("https://www.773grp.com/manufacturer/national-semiconductor?pageNo=23", "National Semiconductor")</f>
        <v>National Semiconductor</v>
      </c>
      <c r="C6992" s="6">
        <v>19</v>
      </c>
      <c r="D6992" s="7">
        <v>6.75</v>
      </c>
      <c r="E6992" t="s">
        <v>18</v>
      </c>
    </row>
    <row r="6993" spans="1:5" x14ac:dyDescent="0.25">
      <c r="A6993" t="str">
        <f>HYPERLINK("https://www.773grp.com/globalSearch/LMH6732MF/page-1", "LMH6732MF")</f>
        <v>LMH6732MF</v>
      </c>
      <c r="B6993" s="3" t="str">
        <f>HYPERLINK("https://www.773grp.com/manufacturer/national-semiconductor?pageNo=24", "National Semiconductor")</f>
        <v>National Semiconductor</v>
      </c>
      <c r="C6993" s="6">
        <v>651</v>
      </c>
      <c r="D6993" s="7">
        <v>6.75</v>
      </c>
      <c r="E6993" t="s">
        <v>18</v>
      </c>
    </row>
    <row r="6994" spans="1:5" x14ac:dyDescent="0.25">
      <c r="A6994" t="str">
        <f>HYPERLINK("https://www.773grp.com/globalSearch/LMH6732MF-NOPB/page-1", "LMH6732MF-NOPB")</f>
        <v>LMH6732MF-NOPB</v>
      </c>
      <c r="B6994" s="3" t="str">
        <f>HYPERLINK("https://www.773grp.com/manufacturer/national-semiconductor?pageNo=25", "National Semiconductor")</f>
        <v>National Semiconductor</v>
      </c>
      <c r="C6994" s="6">
        <v>486</v>
      </c>
      <c r="D6994" s="7">
        <v>6.75</v>
      </c>
      <c r="E6994" t="s">
        <v>18</v>
      </c>
    </row>
    <row r="6995" spans="1:5" x14ac:dyDescent="0.25">
      <c r="A6995" t="str">
        <f>HYPERLINK("https://www.773grp.com/globalSearch/LMX2336UTM/page-1", "LMX2336UTM")</f>
        <v>LMX2336UTM</v>
      </c>
      <c r="B6995" s="3" t="str">
        <f>HYPERLINK("https://www.773grp.com/manufacturer/national-semiconductor?pageNo=26", "National Semiconductor")</f>
        <v>National Semiconductor</v>
      </c>
      <c r="C6995" s="6">
        <v>9563</v>
      </c>
      <c r="D6995" s="7">
        <v>6.75</v>
      </c>
      <c r="E6995" t="s">
        <v>38</v>
      </c>
    </row>
    <row r="6996" spans="1:5" x14ac:dyDescent="0.25">
      <c r="A6996" t="str">
        <f>HYPERLINK("https://www.773grp.com/globalSearch/LP3883ES-1.5-NOPB/page-1", "LP3883ES-1.5-NOPB")</f>
        <v>LP3883ES-1.5-NOPB</v>
      </c>
      <c r="B6996" s="3" t="str">
        <f>HYPERLINK("https://www.773grp.com/manufacturer/national-semiconductor?pageNo=27", "National Semiconductor")</f>
        <v>National Semiconductor</v>
      </c>
      <c r="C6996" s="6">
        <v>540</v>
      </c>
      <c r="D6996" s="7">
        <v>6.75</v>
      </c>
      <c r="E6996" t="s">
        <v>19</v>
      </c>
    </row>
    <row r="6997" spans="1:5" x14ac:dyDescent="0.25">
      <c r="A6997" t="str">
        <f>HYPERLINK("https://www.773grp.com/globalSearch/LP3883ESX-1.2-NOPB/page-1", "LP3883ESX-1.2-NOPB")</f>
        <v>LP3883ESX-1.2-NOPB</v>
      </c>
      <c r="B6997" s="3" t="str">
        <f>HYPERLINK("https://www.773grp.com/manufacturer/national-semiconductor?pageNo=28", "National Semiconductor")</f>
        <v>National Semiconductor</v>
      </c>
      <c r="C6997" s="6">
        <v>9000</v>
      </c>
      <c r="D6997" s="7">
        <v>6.75</v>
      </c>
      <c r="E6997" t="s">
        <v>19</v>
      </c>
    </row>
    <row r="6998" spans="1:5" x14ac:dyDescent="0.25">
      <c r="A6998" t="str">
        <f>HYPERLINK("https://www.773grp.com/globalSearch/LM22679TJ-5.0-NOPB/page-1", "LM22679TJ-5.0-NOPB")</f>
        <v>LM22679TJ-5.0-NOPB</v>
      </c>
      <c r="B6998" s="3" t="str">
        <f>HYPERLINK("https://www.773grp.com/manufacturer/national-semiconductor?pageNo=29", "National Semiconductor")</f>
        <v>National Semiconductor</v>
      </c>
      <c r="C6998" s="6">
        <v>1000</v>
      </c>
      <c r="D6998" s="7">
        <v>6.75</v>
      </c>
    </row>
    <row r="6999" spans="1:5" x14ac:dyDescent="0.25">
      <c r="A6999" t="str">
        <f>HYPERLINK("https://www.773grp.com/globalSearch/LM22679TJ-ADJ/page-1", "LM22679TJ-ADJ")</f>
        <v>LM22679TJ-ADJ</v>
      </c>
      <c r="B6999" s="3" t="str">
        <f>HYPERLINK("https://www.773grp.com/manufacturer/national-semiconductor?pageNo=30", "National Semiconductor")</f>
        <v>National Semiconductor</v>
      </c>
      <c r="C6999" s="6">
        <v>1000</v>
      </c>
      <c r="D6999" s="7">
        <v>6.75</v>
      </c>
    </row>
    <row r="7000" spans="1:5" x14ac:dyDescent="0.25">
      <c r="A7000" t="str">
        <f>HYPERLINK("https://www.773grp.com/globalSearch/LM22679TJ-ADJ-NOPB/page-1", "LM22679TJ-ADJ-NOPB")</f>
        <v>LM22679TJ-ADJ-NOPB</v>
      </c>
      <c r="B7000" s="3" t="str">
        <f>HYPERLINK("https://www.773grp.com/manufacturer/national-semiconductor?pageNo=31", "National Semiconductor")</f>
        <v>National Semiconductor</v>
      </c>
      <c r="C7000" s="6">
        <v>1000</v>
      </c>
      <c r="D7000" s="7">
        <v>6.75</v>
      </c>
    </row>
    <row r="7001" spans="1:5" x14ac:dyDescent="0.25">
      <c r="A7001" t="str">
        <f>HYPERLINK("https://www.773grp.com/globalSearch/LM25118MH-NOPB/page-1", "LM25118MH-NOPB")</f>
        <v>LM25118MH-NOPB</v>
      </c>
      <c r="B7001" s="3" t="str">
        <f>HYPERLINK("https://www.773grp.com/manufacturer/national-semiconductor?pageNo=32", "National Semiconductor")</f>
        <v>National Semiconductor</v>
      </c>
      <c r="C7001" s="6">
        <v>215</v>
      </c>
      <c r="D7001" s="7">
        <v>6.75</v>
      </c>
    </row>
    <row r="7002" spans="1:5" x14ac:dyDescent="0.25">
      <c r="A7002" t="str">
        <f>HYPERLINK("https://www.773grp.com/globalSearch/LM25576MH-NOPB/page-1", "LM25576MH-NOPB")</f>
        <v>LM25576MH-NOPB</v>
      </c>
      <c r="B7002" s="3" t="str">
        <f>HYPERLINK("https://www.773grp.com/manufacturer/national-semiconductor?pageNo=33", "National Semiconductor")</f>
        <v>National Semiconductor</v>
      </c>
      <c r="C7002" s="6">
        <v>2655</v>
      </c>
      <c r="D7002" s="7">
        <v>6.75</v>
      </c>
      <c r="E7002" t="s">
        <v>7</v>
      </c>
    </row>
    <row r="7003" spans="1:5" x14ac:dyDescent="0.25">
      <c r="A7003" t="str">
        <f>HYPERLINK("https://www.773grp.com/globalSearch/LM2591HVS-3.3-NOPB/page-1", "LM2591HVS-3.3-NOPB")</f>
        <v>LM2591HVS-3.3-NOPB</v>
      </c>
      <c r="B7003" s="3" t="str">
        <f>HYPERLINK("https://www.773grp.com/manufacturer/national-semiconductor?pageNo=34", "National Semiconductor")</f>
        <v>National Semiconductor</v>
      </c>
      <c r="C7003" s="6">
        <v>279</v>
      </c>
      <c r="D7003" s="7">
        <v>6.75</v>
      </c>
      <c r="E7003" t="s">
        <v>7</v>
      </c>
    </row>
    <row r="7004" spans="1:5" x14ac:dyDescent="0.25">
      <c r="A7004" t="str">
        <f>HYPERLINK("https://www.773grp.com/globalSearch/LM2591HVS-5.0-NOPB/page-1", "LM2591HVS-5.0-NOPB")</f>
        <v>LM2591HVS-5.0-NOPB</v>
      </c>
      <c r="B7004" s="3" t="str">
        <f>HYPERLINK("https://www.773grp.com/manufacturer/national-semiconductor?pageNo=35", "National Semiconductor")</f>
        <v>National Semiconductor</v>
      </c>
      <c r="C7004" s="6">
        <v>280</v>
      </c>
      <c r="D7004" s="7">
        <v>6.75</v>
      </c>
      <c r="E7004" t="s">
        <v>7</v>
      </c>
    </row>
    <row r="7005" spans="1:5" x14ac:dyDescent="0.25">
      <c r="A7005" t="str">
        <f>HYPERLINK("https://www.773grp.com/globalSearch/LM2591HVS-ADJ-NOPB/page-1", "LM2591HVS-ADJ-NOPB")</f>
        <v>LM2591HVS-ADJ-NOPB</v>
      </c>
      <c r="B7005" s="3" t="str">
        <f>HYPERLINK("https://www.773grp.com/manufacturer/national-semiconductor?pageNo=36", "National Semiconductor")</f>
        <v>National Semiconductor</v>
      </c>
      <c r="C7005" s="6">
        <v>185</v>
      </c>
      <c r="D7005" s="7">
        <v>6.75</v>
      </c>
      <c r="E7005" t="s">
        <v>7</v>
      </c>
    </row>
    <row r="7006" spans="1:5" x14ac:dyDescent="0.25">
      <c r="A7006" t="str">
        <f>HYPERLINK("https://www.773grp.com/globalSearch/LM2592HVSX-3.3-NOPB/page-1", "LM2592HVSX-3.3-NOPB")</f>
        <v>LM2592HVSX-3.3-NOPB</v>
      </c>
      <c r="B7006" s="3" t="str">
        <f>HYPERLINK("https://www.773grp.com/manufacturer/national-semiconductor?pageNo=37", "National Semiconductor")</f>
        <v>National Semiconductor</v>
      </c>
      <c r="C7006" s="6">
        <v>1576</v>
      </c>
      <c r="D7006" s="7">
        <v>6.75</v>
      </c>
      <c r="E7006" t="s">
        <v>7</v>
      </c>
    </row>
    <row r="7007" spans="1:5" x14ac:dyDescent="0.25">
      <c r="A7007" t="str">
        <f>HYPERLINK("https://www.773grp.com/globalSearch/LM2592HVSX-5.0-NOPB/page-1", "LM2592HVSX-5.0-NOPB")</f>
        <v>LM2592HVSX-5.0-NOPB</v>
      </c>
      <c r="B7007" s="3" t="str">
        <f>HYPERLINK("https://www.773grp.com/manufacturer/national-semiconductor?pageNo=38", "National Semiconductor")</f>
        <v>National Semiconductor</v>
      </c>
      <c r="C7007" s="6">
        <v>205</v>
      </c>
      <c r="D7007" s="7">
        <v>6.75</v>
      </c>
      <c r="E7007" t="s">
        <v>7</v>
      </c>
    </row>
    <row r="7008" spans="1:5" x14ac:dyDescent="0.25">
      <c r="A7008" t="str">
        <f>HYPERLINK("https://www.773grp.com/globalSearch/LM2592HVT-3.3-NOPB/page-1", "LM2592HVT-3.3-NOPB")</f>
        <v>LM2592HVT-3.3-NOPB</v>
      </c>
      <c r="B7008" s="3" t="str">
        <f>HYPERLINK("https://www.773grp.com/manufacturer/national-semiconductor?pageNo=39", "National Semiconductor")</f>
        <v>National Semiconductor</v>
      </c>
      <c r="C7008" s="6">
        <v>648</v>
      </c>
      <c r="D7008" s="7">
        <v>6.75</v>
      </c>
    </row>
    <row r="7009" spans="1:5" x14ac:dyDescent="0.25">
      <c r="A7009" t="str">
        <f>HYPERLINK("https://www.773grp.com/globalSearch/LM2592HVT-5.0-NOPB/page-1", "LM2592HVT-5.0-NOPB")</f>
        <v>LM2592HVT-5.0-NOPB</v>
      </c>
      <c r="B7009" s="3" t="str">
        <f>HYPERLINK("https://www.773grp.com/manufacturer/national-semiconductor?pageNo=40", "National Semiconductor")</f>
        <v>National Semiconductor</v>
      </c>
      <c r="C7009" s="6">
        <v>211</v>
      </c>
      <c r="D7009" s="7">
        <v>6.75</v>
      </c>
    </row>
    <row r="7010" spans="1:5" x14ac:dyDescent="0.25">
      <c r="A7010" t="str">
        <f>HYPERLINK("https://www.773grp.com/globalSearch/LM2592HVT-ADJ-NOPB/page-1", "LM2592HVT-ADJ-NOPB")</f>
        <v>LM2592HVT-ADJ-NOPB</v>
      </c>
      <c r="B7010" s="3" t="str">
        <f>HYPERLINK("https://www.773grp.com/manufacturer/national-semiconductor?pageNo=41", "National Semiconductor")</f>
        <v>National Semiconductor</v>
      </c>
      <c r="C7010" s="6">
        <v>335</v>
      </c>
      <c r="D7010" s="7">
        <v>6.75</v>
      </c>
      <c r="E7010" t="s">
        <v>7</v>
      </c>
    </row>
    <row r="7011" spans="1:5" x14ac:dyDescent="0.25">
      <c r="A7011" t="str">
        <f>HYPERLINK("https://www.773grp.com/globalSearch/LM3464MH-NOPB/page-1", "LM3464MH-NOPB")</f>
        <v>LM3464MH-NOPB</v>
      </c>
      <c r="B7011" s="3" t="str">
        <f>HYPERLINK("https://www.773grp.com/manufacturer/national-semiconductor?pageNo=42", "National Semiconductor")</f>
        <v>National Semiconductor</v>
      </c>
      <c r="C7011" s="6">
        <v>288</v>
      </c>
      <c r="D7011" s="7">
        <v>6.75</v>
      </c>
    </row>
    <row r="7012" spans="1:5" x14ac:dyDescent="0.25">
      <c r="A7012" t="str">
        <f>HYPERLINK("https://www.773grp.com/globalSearch/LM3464MH-NOPB/page-1", "LM3464MH-NOPB")</f>
        <v>LM3464MH-NOPB</v>
      </c>
      <c r="B7012" s="3" t="str">
        <f>HYPERLINK("https://www.773grp.com/manufacturer/national-semiconductor?pageNo=43", "National Semiconductor")</f>
        <v>National Semiconductor</v>
      </c>
      <c r="C7012" s="6">
        <v>497</v>
      </c>
      <c r="D7012" s="7">
        <v>6.75</v>
      </c>
    </row>
    <row r="7013" spans="1:5" x14ac:dyDescent="0.25">
      <c r="A7013" t="str">
        <f>HYPERLINK("https://www.773grp.com/globalSearch/LMH6732MAX-NOPB/page-1", "LMH6732MAX-NOPB")</f>
        <v>LMH6732MAX-NOPB</v>
      </c>
      <c r="B7013" s="3" t="str">
        <f>HYPERLINK("https://www.773grp.com/manufacturer/national-semiconductor?pageNo=44", "National Semiconductor")</f>
        <v>National Semiconductor</v>
      </c>
      <c r="C7013" s="6">
        <v>37500</v>
      </c>
      <c r="D7013" s="7">
        <v>6.75</v>
      </c>
    </row>
    <row r="7014" spans="1:5" x14ac:dyDescent="0.25">
      <c r="A7014" t="str">
        <f>HYPERLINK("https://www.773grp.com/globalSearch/LMH6732MF/page-1", "LMH6732MF")</f>
        <v>LMH6732MF</v>
      </c>
      <c r="B7014" s="3" t="str">
        <f>HYPERLINK("https://www.773grp.com/manufacturer/national-semiconductor?pageNo=45", "National Semiconductor")</f>
        <v>National Semiconductor</v>
      </c>
      <c r="C7014" s="6">
        <v>172</v>
      </c>
      <c r="D7014" s="7">
        <v>6.75</v>
      </c>
      <c r="E7014" t="s">
        <v>18</v>
      </c>
    </row>
    <row r="7015" spans="1:5" x14ac:dyDescent="0.25">
      <c r="A7015" t="str">
        <f>HYPERLINK("https://www.773grp.com/globalSearch/LMH6732MF-NOPB/page-1", "LMH6732MF-NOPB")</f>
        <v>LMH6732MF-NOPB</v>
      </c>
      <c r="B7015" s="3" t="str">
        <f>HYPERLINK("https://www.773grp.com/manufacturer/national-semiconductor?pageNo=46", "National Semiconductor")</f>
        <v>National Semiconductor</v>
      </c>
      <c r="C7015" s="6">
        <v>1000</v>
      </c>
      <c r="D7015" s="7">
        <v>6.75</v>
      </c>
      <c r="E7015" t="s">
        <v>18</v>
      </c>
    </row>
    <row r="7016" spans="1:5" x14ac:dyDescent="0.25">
      <c r="A7016" t="str">
        <f>HYPERLINK("https://www.773grp.com/globalSearch/LP3883ES-1.5-NOPB/page-1", "LP3883ES-1.5-NOPB")</f>
        <v>LP3883ES-1.5-NOPB</v>
      </c>
      <c r="B7016" s="3" t="str">
        <f>HYPERLINK("https://www.773grp.com/manufacturer/national-semiconductor?pageNo=47", "National Semiconductor")</f>
        <v>National Semiconductor</v>
      </c>
      <c r="C7016" s="6">
        <v>97</v>
      </c>
      <c r="D7016" s="7">
        <v>6.75</v>
      </c>
      <c r="E7016" t="s">
        <v>19</v>
      </c>
    </row>
    <row r="7017" spans="1:5" x14ac:dyDescent="0.25">
      <c r="A7017" t="str">
        <f>HYPERLINK("https://www.773grp.com/globalSearch/SN65LVDT101DGK/page-1", "SN65LVDT101DGK")</f>
        <v>SN65LVDT101DGK</v>
      </c>
      <c r="B7017" s="3" t="str">
        <f>HYPERLINK("https://www.773grp.com/manufacturer/national-semiconductor?pageNo=48", "National Semiconductor")</f>
        <v>National Semiconductor</v>
      </c>
      <c r="C7017" s="6">
        <v>27</v>
      </c>
      <c r="D7017" s="7">
        <v>6.75</v>
      </c>
    </row>
    <row r="7018" spans="1:5" x14ac:dyDescent="0.25">
      <c r="A7018" t="str">
        <f>HYPERLINK("https://www.773grp.com/globalSearch/9301DMQB/page-1", "9301DMQB")</f>
        <v>9301DMQB</v>
      </c>
      <c r="B7018" s="3" t="str">
        <f>HYPERLINK("https://www.773grp.com/manufacturer/national-semiconductor?pageNo=49", "National Semiconductor")</f>
        <v>National Semiconductor</v>
      </c>
      <c r="C7018" s="6">
        <v>507</v>
      </c>
      <c r="D7018" s="7">
        <v>6.79</v>
      </c>
      <c r="E7018" t="s">
        <v>36</v>
      </c>
    </row>
    <row r="7019" spans="1:5" x14ac:dyDescent="0.25">
      <c r="A7019" t="str">
        <f>HYPERLINK("https://www.773grp.com/globalSearch/LM82CIMQA-NOPB/page-1", "LM82CIMQA-NOPB")</f>
        <v>LM82CIMQA-NOPB</v>
      </c>
      <c r="B7019" s="3" t="str">
        <f>HYPERLINK("https://www.773grp.com/manufacturer/national-semiconductor?pageNo=50", "National Semiconductor")</f>
        <v>National Semiconductor</v>
      </c>
      <c r="C7019" s="6">
        <v>980</v>
      </c>
      <c r="D7019" s="7">
        <v>6.79</v>
      </c>
      <c r="E7019" t="s">
        <v>12</v>
      </c>
    </row>
    <row r="7020" spans="1:5" x14ac:dyDescent="0.25">
      <c r="A7020" t="str">
        <f>HYPERLINK("https://www.773grp.com/globalSearch/LM82CIMQA-NOPB/page-1", "LM82CIMQA-NOPB")</f>
        <v>LM82CIMQA-NOPB</v>
      </c>
      <c r="B7020" s="3" t="str">
        <f>HYPERLINK("https://www.773grp.com/manufacturer/national-semiconductor?pageNo=51", "National Semiconductor")</f>
        <v>National Semiconductor</v>
      </c>
      <c r="C7020" s="6">
        <v>240</v>
      </c>
      <c r="D7020" s="7">
        <v>6.79</v>
      </c>
      <c r="E7020" t="s">
        <v>12</v>
      </c>
    </row>
    <row r="7021" spans="1:5" x14ac:dyDescent="0.25">
      <c r="A7021" t="str">
        <f>HYPERLINK("https://www.773grp.com/globalSearch/ADC08034CIWM/page-1", "ADC08034CIWM")</f>
        <v>ADC08034CIWM</v>
      </c>
      <c r="B7021" s="3" t="str">
        <f>HYPERLINK("https://www.773grp.com/manufacturer/national-semiconductor?pageNo=52", "National Semiconductor")</f>
        <v>National Semiconductor</v>
      </c>
      <c r="C7021" s="6">
        <v>535</v>
      </c>
      <c r="D7021" s="7">
        <v>6.8</v>
      </c>
      <c r="E7021" t="s">
        <v>39</v>
      </c>
    </row>
    <row r="7022" spans="1:5" x14ac:dyDescent="0.25">
      <c r="A7022" t="str">
        <f>HYPERLINK("https://www.773grp.com/globalSearch/ADC08034CIWMX/page-1", "ADC08034CIWMX")</f>
        <v>ADC08034CIWMX</v>
      </c>
      <c r="B7022" s="3" t="str">
        <f>HYPERLINK("https://www.773grp.com/manufacturer/national-semiconductor?pageNo=53", "National Semiconductor")</f>
        <v>National Semiconductor</v>
      </c>
      <c r="C7022" s="6">
        <v>5000</v>
      </c>
      <c r="D7022" s="7">
        <v>6.8</v>
      </c>
      <c r="E7022" t="s">
        <v>39</v>
      </c>
    </row>
    <row r="7023" spans="1:5" x14ac:dyDescent="0.25">
      <c r="A7023" t="str">
        <f>HYPERLINK("https://www.773grp.com/globalSearch/ADC08131CIWM/page-1", "ADC08131CIWM")</f>
        <v>ADC08131CIWM</v>
      </c>
      <c r="B7023" s="3" t="str">
        <f>HYPERLINK("https://www.773grp.com/manufacturer/national-semiconductor?pageNo=54", "National Semiconductor")</f>
        <v>National Semiconductor</v>
      </c>
      <c r="C7023" s="6">
        <v>3725</v>
      </c>
      <c r="D7023" s="7">
        <v>6.8</v>
      </c>
      <c r="E7023" t="s">
        <v>39</v>
      </c>
    </row>
    <row r="7024" spans="1:5" x14ac:dyDescent="0.25">
      <c r="A7024" t="str">
        <f>HYPERLINK("https://www.773grp.com/globalSearch/ADC101S101CIMF/page-1", "ADC101S101CIMF")</f>
        <v>ADC101S101CIMF</v>
      </c>
      <c r="B7024" s="3" t="str">
        <f>HYPERLINK("https://www.773grp.com/manufacturer/national-semiconductor?pageNo=55", "National Semiconductor")</f>
        <v>National Semiconductor</v>
      </c>
      <c r="C7024" s="6">
        <v>2000</v>
      </c>
      <c r="D7024" s="7">
        <v>6.8</v>
      </c>
      <c r="E7024" t="s">
        <v>39</v>
      </c>
    </row>
    <row r="7025" spans="1:5" x14ac:dyDescent="0.25">
      <c r="A7025" t="str">
        <f>HYPERLINK("https://www.773grp.com/globalSearch/LM2893M/page-1", "LM2893M")</f>
        <v>LM2893M</v>
      </c>
      <c r="B7025" s="3" t="str">
        <f>HYPERLINK("https://www.773grp.com/manufacturer/national-semiconductor?pageNo=56", "National Semiconductor")</f>
        <v>National Semiconductor</v>
      </c>
      <c r="C7025" s="6">
        <v>29986</v>
      </c>
      <c r="D7025" s="7">
        <v>6.8</v>
      </c>
      <c r="E7025" t="s">
        <v>67</v>
      </c>
    </row>
    <row r="7026" spans="1:5" x14ac:dyDescent="0.25">
      <c r="A7026" t="str">
        <f>HYPERLINK("https://www.773grp.com/globalSearch/LM2893MX/page-1", "LM2893MX")</f>
        <v>LM2893MX</v>
      </c>
      <c r="B7026" s="3" t="str">
        <f>HYPERLINK("https://www.773grp.com/manufacturer/national-semiconductor?pageNo=57", "National Semiconductor")</f>
        <v>National Semiconductor</v>
      </c>
      <c r="C7026" s="6">
        <v>159</v>
      </c>
      <c r="D7026" s="7">
        <v>6.8</v>
      </c>
      <c r="E7026" t="s">
        <v>67</v>
      </c>
    </row>
    <row r="7027" spans="1:5" x14ac:dyDescent="0.25">
      <c r="A7027" t="str">
        <f>HYPERLINK("https://www.773grp.com/globalSearch/LM2893N/page-1", "LM2893N")</f>
        <v>LM2893N</v>
      </c>
      <c r="B7027" s="3" t="str">
        <f>HYPERLINK("https://www.773grp.com/manufacturer/national-semiconductor?pageNo=58", "National Semiconductor")</f>
        <v>National Semiconductor</v>
      </c>
      <c r="C7027" s="6">
        <v>5619</v>
      </c>
      <c r="D7027" s="7">
        <v>6.8</v>
      </c>
      <c r="E7027" t="s">
        <v>67</v>
      </c>
    </row>
    <row r="7028" spans="1:5" x14ac:dyDescent="0.25">
      <c r="A7028" t="str">
        <f>HYPERLINK("https://www.773grp.com/globalSearch/LM5116MHX-NOPB/page-1", "LM5116MHX-NOPB")</f>
        <v>LM5116MHX-NOPB</v>
      </c>
      <c r="B7028" s="3" t="str">
        <f>HYPERLINK("https://www.773grp.com/manufacturer/national-semiconductor?pageNo=59", "National Semiconductor")</f>
        <v>National Semiconductor</v>
      </c>
      <c r="C7028" s="6">
        <v>2500</v>
      </c>
      <c r="D7028" s="7">
        <v>6.8</v>
      </c>
      <c r="E7028" t="s">
        <v>7</v>
      </c>
    </row>
    <row r="7029" spans="1:5" x14ac:dyDescent="0.25">
      <c r="A7029" t="str">
        <f>HYPERLINK("https://www.773grp.com/globalSearch/UA2903TC/page-1", "UA2903TC")</f>
        <v>UA2903TC</v>
      </c>
      <c r="B7029" s="3" t="str">
        <f>HYPERLINK("https://www.773grp.com/manufacturer/national-semiconductor?pageNo=60", "National Semiconductor")</f>
        <v>National Semiconductor</v>
      </c>
      <c r="C7029" s="6">
        <v>400</v>
      </c>
      <c r="D7029" s="7">
        <v>6.8</v>
      </c>
    </row>
    <row r="7030" spans="1:5" x14ac:dyDescent="0.25">
      <c r="A7030" t="str">
        <f>HYPERLINK("https://www.773grp.com/globalSearch/ADC101S101CIMF/page-1", "ADC101S101CIMF")</f>
        <v>ADC101S101CIMF</v>
      </c>
      <c r="B7030" s="3" t="str">
        <f>HYPERLINK("https://www.773grp.com/manufacturer/national-semiconductor?pageNo=61", "National Semiconductor")</f>
        <v>National Semiconductor</v>
      </c>
      <c r="C7030" s="6">
        <v>1000</v>
      </c>
      <c r="D7030" s="7">
        <v>6.8</v>
      </c>
      <c r="E7030" t="s">
        <v>39</v>
      </c>
    </row>
    <row r="7031" spans="1:5" x14ac:dyDescent="0.25">
      <c r="A7031" t="str">
        <f>HYPERLINK("https://www.773grp.com/globalSearch/LM3102TL-1-NOPB/page-1", "LM3102TL-1-NOPB")</f>
        <v>LM3102TL-1-NOPB</v>
      </c>
      <c r="B7031" s="3" t="str">
        <f>HYPERLINK("https://www.773grp.com/manufacturer/national-semiconductor?pageNo=62", "National Semiconductor")</f>
        <v>National Semiconductor</v>
      </c>
      <c r="C7031" s="6">
        <v>250</v>
      </c>
      <c r="D7031" s="7">
        <v>6.8</v>
      </c>
    </row>
    <row r="7032" spans="1:5" x14ac:dyDescent="0.25">
      <c r="A7032" t="str">
        <f>HYPERLINK("https://www.773grp.com/globalSearch/LM5117PSQE-NOPB/page-1", "LM5117PSQE-NOPB")</f>
        <v>LM5117PSQE-NOPB</v>
      </c>
      <c r="B7032" s="3" t="str">
        <f>HYPERLINK("https://www.773grp.com/manufacturer/national-semiconductor?pageNo=63", "National Semiconductor")</f>
        <v>National Semiconductor</v>
      </c>
      <c r="C7032" s="6">
        <v>250</v>
      </c>
      <c r="D7032" s="7">
        <v>6.8</v>
      </c>
    </row>
    <row r="7033" spans="1:5" x14ac:dyDescent="0.25">
      <c r="A7033" t="str">
        <f>HYPERLINK("https://www.773grp.com/globalSearch/TLC7628CDW/page-1", "TLC7628CDW")</f>
        <v>TLC7628CDW</v>
      </c>
      <c r="B7033" s="3" t="str">
        <f>HYPERLINK("https://www.773grp.com/manufacturer/national-semiconductor?pageNo=64", "National Semiconductor")</f>
        <v>National Semiconductor</v>
      </c>
      <c r="C7033" s="6">
        <v>150</v>
      </c>
      <c r="D7033" s="7">
        <v>6.8</v>
      </c>
    </row>
    <row r="7034" spans="1:5" x14ac:dyDescent="0.25">
      <c r="A7034" t="str">
        <f>HYPERLINK("https://www.773grp.com/globalSearch/54F13DMQB/page-1", "54F13DMQB")</f>
        <v>54F13DMQB</v>
      </c>
      <c r="B7034" s="3" t="str">
        <f>HYPERLINK("https://www.773grp.com/manufacturer/national-semiconductor?pageNo=65", "National Semiconductor")</f>
        <v>National Semiconductor</v>
      </c>
      <c r="C7034" s="6">
        <v>142</v>
      </c>
      <c r="D7034" s="7">
        <v>6.84</v>
      </c>
      <c r="E7034" t="s">
        <v>31</v>
      </c>
    </row>
    <row r="7035" spans="1:5" x14ac:dyDescent="0.25">
      <c r="A7035" t="str">
        <f>HYPERLINK("https://www.773grp.com/globalSearch/54F352DM/page-1", "54F352DM")</f>
        <v>54F352DM</v>
      </c>
      <c r="B7035" s="3" t="str">
        <f>HYPERLINK("https://www.773grp.com/manufacturer/national-semiconductor?pageNo=66", "National Semiconductor")</f>
        <v>National Semiconductor</v>
      </c>
      <c r="C7035" s="6">
        <v>838</v>
      </c>
      <c r="D7035" s="7">
        <v>6.84</v>
      </c>
      <c r="E7035" t="s">
        <v>20</v>
      </c>
    </row>
    <row r="7036" spans="1:5" x14ac:dyDescent="0.25">
      <c r="A7036" t="str">
        <f>HYPERLINK("https://www.773grp.com/globalSearch/54LS152FMQB/page-1", "54LS152FMQB")</f>
        <v>54LS152FMQB</v>
      </c>
      <c r="B7036" s="3" t="str">
        <f>HYPERLINK("https://www.773grp.com/manufacturer/national-semiconductor?pageNo=67", "National Semiconductor")</f>
        <v>National Semiconductor</v>
      </c>
      <c r="C7036" s="6">
        <v>1</v>
      </c>
      <c r="D7036" s="7">
        <v>6.84</v>
      </c>
      <c r="E7036" t="s">
        <v>20</v>
      </c>
    </row>
    <row r="7037" spans="1:5" x14ac:dyDescent="0.25">
      <c r="A7037" t="str">
        <f>HYPERLINK("https://www.773grp.com/globalSearch/LM4857GR/page-1", "LM4857GR")</f>
        <v>LM4857GR</v>
      </c>
      <c r="B7037" s="3" t="str">
        <f>HYPERLINK("https://www.773grp.com/manufacturer/national-semiconductor?pageNo=68", "National Semiconductor")</f>
        <v>National Semiconductor</v>
      </c>
      <c r="C7037" s="6">
        <v>1000</v>
      </c>
      <c r="D7037" s="7">
        <v>6.84</v>
      </c>
      <c r="E7037" t="s">
        <v>23</v>
      </c>
    </row>
    <row r="7038" spans="1:5" x14ac:dyDescent="0.25">
      <c r="A7038" t="str">
        <f>HYPERLINK("https://www.773grp.com/globalSearch/LMC6082AIM/page-1", "LMC6082AIM")</f>
        <v>LMC6082AIM</v>
      </c>
      <c r="B7038" s="3" t="str">
        <f>HYPERLINK("https://www.773grp.com/manufacturer/national-semiconductor?pageNo=69", "National Semiconductor")</f>
        <v>National Semiconductor</v>
      </c>
      <c r="C7038" s="6">
        <v>873</v>
      </c>
      <c r="D7038" s="7">
        <v>6.84</v>
      </c>
      <c r="E7038" t="s">
        <v>13</v>
      </c>
    </row>
    <row r="7039" spans="1:5" x14ac:dyDescent="0.25">
      <c r="A7039" t="str">
        <f>HYPERLINK("https://www.773grp.com/globalSearch/LMX2337TMX/page-1", "LMX2337TMX")</f>
        <v>LMX2337TMX</v>
      </c>
      <c r="B7039" s="3" t="str">
        <f>HYPERLINK("https://www.773grp.com/manufacturer/national-semiconductor?pageNo=70", "National Semiconductor")</f>
        <v>National Semiconductor</v>
      </c>
      <c r="C7039" s="6">
        <v>44570</v>
      </c>
      <c r="D7039" s="7">
        <v>6.84</v>
      </c>
      <c r="E7039" t="s">
        <v>38</v>
      </c>
    </row>
    <row r="7040" spans="1:5" x14ac:dyDescent="0.25">
      <c r="A7040" t="str">
        <f>HYPERLINK("https://www.773grp.com/globalSearch/LP2954AISX/page-1", "LP2954AISX")</f>
        <v>LP2954AISX</v>
      </c>
      <c r="B7040" s="3" t="str">
        <f>HYPERLINK("https://www.773grp.com/manufacturer/national-semiconductor?pageNo=71", "National Semiconductor")</f>
        <v>National Semiconductor</v>
      </c>
      <c r="C7040" s="6">
        <v>500</v>
      </c>
      <c r="D7040" s="7">
        <v>6.84</v>
      </c>
      <c r="E7040" t="s">
        <v>19</v>
      </c>
    </row>
    <row r="7041" spans="1:5" x14ac:dyDescent="0.25">
      <c r="A7041" t="str">
        <f>HYPERLINK("https://www.773grp.com/globalSearch/LP3910SQ-AA-NOPB/page-1", "LP3910SQ-AA-NOPB")</f>
        <v>LP3910SQ-AA-NOPB</v>
      </c>
      <c r="B7041" s="3" t="str">
        <f>HYPERLINK("https://www.773grp.com/manufacturer/national-semiconductor?pageNo=72", "National Semiconductor")</f>
        <v>National Semiconductor</v>
      </c>
      <c r="C7041" s="6">
        <v>703</v>
      </c>
      <c r="D7041" s="7">
        <v>6.84</v>
      </c>
      <c r="E7041" t="s">
        <v>30</v>
      </c>
    </row>
    <row r="7042" spans="1:5" x14ac:dyDescent="0.25">
      <c r="A7042" t="str">
        <f>HYPERLINK("https://www.773grp.com/globalSearch/LP3910SQ-AK-NOPB/page-1", "LP3910SQ-AK-NOPB")</f>
        <v>LP3910SQ-AK-NOPB</v>
      </c>
      <c r="B7042" s="3" t="str">
        <f>HYPERLINK("https://www.773grp.com/manufacturer/national-semiconductor?pageNo=73", "National Semiconductor")</f>
        <v>National Semiconductor</v>
      </c>
      <c r="C7042" s="6">
        <v>500</v>
      </c>
      <c r="D7042" s="7">
        <v>6.84</v>
      </c>
    </row>
    <row r="7043" spans="1:5" x14ac:dyDescent="0.25">
      <c r="A7043" t="str">
        <f>HYPERLINK("https://www.773grp.com/globalSearch/LP3910SQ-AM-NOPB/page-1", "LP3910SQ-AM-NOPB")</f>
        <v>LP3910SQ-AM-NOPB</v>
      </c>
      <c r="B7043" s="3" t="str">
        <f>HYPERLINK("https://www.773grp.com/manufacturer/national-semiconductor?pageNo=74", "National Semiconductor")</f>
        <v>National Semiconductor</v>
      </c>
      <c r="C7043" s="6">
        <v>500</v>
      </c>
      <c r="D7043" s="7">
        <v>6.84</v>
      </c>
    </row>
    <row r="7044" spans="1:5" x14ac:dyDescent="0.25">
      <c r="A7044" t="str">
        <f>HYPERLINK("https://www.773grp.com/globalSearch/LP3913SQ-AA-NOPB/page-1", "LP3913SQ-AA-NOPB")</f>
        <v>LP3913SQ-AA-NOPB</v>
      </c>
      <c r="B7044" s="3" t="str">
        <f>HYPERLINK("https://www.773grp.com/manufacturer/national-semiconductor?pageNo=75", "National Semiconductor")</f>
        <v>National Semiconductor</v>
      </c>
      <c r="C7044" s="6">
        <v>492</v>
      </c>
      <c r="D7044" s="7">
        <v>6.84</v>
      </c>
    </row>
    <row r="7045" spans="1:5" x14ac:dyDescent="0.25">
      <c r="A7045" t="str">
        <f>HYPERLINK("https://www.773grp.com/globalSearch/LP3913SQ-AC-NOPB/page-1", "LP3913SQ-AC-NOPB")</f>
        <v>LP3913SQ-AC-NOPB</v>
      </c>
      <c r="B7045" s="3" t="str">
        <f>HYPERLINK("https://www.773grp.com/manufacturer/national-semiconductor?pageNo=76", "National Semiconductor")</f>
        <v>National Semiconductor</v>
      </c>
      <c r="C7045" s="6">
        <v>3500</v>
      </c>
      <c r="D7045" s="7">
        <v>6.84</v>
      </c>
    </row>
    <row r="7046" spans="1:5" x14ac:dyDescent="0.25">
      <c r="A7046" t="str">
        <f>HYPERLINK("https://www.773grp.com/globalSearch/LP3913SQ-AD-NOPB/page-1", "LP3913SQ-AD-NOPB")</f>
        <v>LP3913SQ-AD-NOPB</v>
      </c>
      <c r="B7046" s="3" t="str">
        <f>HYPERLINK("https://www.773grp.com/manufacturer/national-semiconductor?pageNo=77", "National Semiconductor")</f>
        <v>National Semiconductor</v>
      </c>
      <c r="C7046" s="6">
        <v>4500</v>
      </c>
      <c r="D7046" s="7">
        <v>6.84</v>
      </c>
    </row>
    <row r="7047" spans="1:5" x14ac:dyDescent="0.25">
      <c r="A7047" t="str">
        <f>HYPERLINK("https://www.773grp.com/globalSearch/LP3913SQ-AR-NOPB/page-1", "LP3913SQ-AR-NOPB")</f>
        <v>LP3913SQ-AR-NOPB</v>
      </c>
      <c r="B7047" s="3" t="str">
        <f>HYPERLINK("https://www.773grp.com/manufacturer/national-semiconductor?pageNo=78", "National Semiconductor")</f>
        <v>National Semiconductor</v>
      </c>
      <c r="C7047" s="6">
        <v>249</v>
      </c>
      <c r="D7047" s="7">
        <v>6.84</v>
      </c>
    </row>
    <row r="7048" spans="1:5" x14ac:dyDescent="0.25">
      <c r="A7048" t="str">
        <f>HYPERLINK("https://www.773grp.com/globalSearch/LP3913SQ-AU-NOPB/page-1", "LP3913SQ-AU-NOPB")</f>
        <v>LP3913SQ-AU-NOPB</v>
      </c>
      <c r="B7048" s="3" t="str">
        <f>HYPERLINK("https://www.773grp.com/manufacturer/national-semiconductor?pageNo=79", "National Semiconductor")</f>
        <v>National Semiconductor</v>
      </c>
      <c r="C7048" s="6">
        <v>500</v>
      </c>
      <c r="D7048" s="7">
        <v>6.84</v>
      </c>
    </row>
    <row r="7049" spans="1:5" x14ac:dyDescent="0.25">
      <c r="A7049" t="str">
        <f>HYPERLINK("https://www.773grp.com/globalSearch/TP3069N/page-1", "TP3069N")</f>
        <v>TP3069N</v>
      </c>
      <c r="B7049" s="3" t="str">
        <f>HYPERLINK("https://www.773grp.com/manufacturer/national-semiconductor?pageNo=80", "National Semiconductor")</f>
        <v>National Semiconductor</v>
      </c>
      <c r="C7049" s="6">
        <v>684</v>
      </c>
      <c r="D7049" s="7">
        <v>6.84</v>
      </c>
      <c r="E7049" t="s">
        <v>66</v>
      </c>
    </row>
    <row r="7050" spans="1:5" x14ac:dyDescent="0.25">
      <c r="A7050" t="str">
        <f>HYPERLINK("https://www.773grp.com/globalSearch/LMC6082AIM/page-1", "LMC6082AIM")</f>
        <v>LMC6082AIM</v>
      </c>
      <c r="B7050" s="3" t="str">
        <f>HYPERLINK("https://www.773grp.com/manufacturer/national-semiconductor?pageNo=81", "National Semiconductor")</f>
        <v>National Semiconductor</v>
      </c>
      <c r="C7050" s="6">
        <v>1710</v>
      </c>
      <c r="D7050" s="7">
        <v>6.84</v>
      </c>
      <c r="E7050" t="s">
        <v>13</v>
      </c>
    </row>
    <row r="7051" spans="1:5" x14ac:dyDescent="0.25">
      <c r="A7051" t="str">
        <f>HYPERLINK("https://www.773grp.com/globalSearch/LP3910SQ-AM-NOPB/page-1", "LP3910SQ-AM-NOPB")</f>
        <v>LP3910SQ-AM-NOPB</v>
      </c>
      <c r="B7051" s="3" t="str">
        <f>HYPERLINK("https://www.773grp.com/manufacturer/national-semiconductor?pageNo=82", "National Semiconductor")</f>
        <v>National Semiconductor</v>
      </c>
      <c r="C7051" s="6">
        <v>250</v>
      </c>
      <c r="D7051" s="7">
        <v>6.84</v>
      </c>
    </row>
    <row r="7052" spans="1:5" x14ac:dyDescent="0.25">
      <c r="A7052" t="str">
        <f>HYPERLINK("https://www.773grp.com/globalSearch/LP3910SQ-AN-NOPB/page-1", "LP3910SQ-AN-NOPB")</f>
        <v>LP3910SQ-AN-NOPB</v>
      </c>
      <c r="B7052" s="3" t="str">
        <f>HYPERLINK("https://www.773grp.com/manufacturer/national-semiconductor?pageNo=83", "National Semiconductor")</f>
        <v>National Semiconductor</v>
      </c>
      <c r="C7052" s="6">
        <v>250</v>
      </c>
      <c r="D7052" s="7">
        <v>6.84</v>
      </c>
    </row>
    <row r="7053" spans="1:5" x14ac:dyDescent="0.25">
      <c r="A7053" t="str">
        <f>HYPERLINK("https://www.773grp.com/globalSearch/LP3913SQ-AC-NOPB/page-1", "LP3913SQ-AC-NOPB")</f>
        <v>LP3913SQ-AC-NOPB</v>
      </c>
      <c r="B7053" s="3" t="str">
        <f>HYPERLINK("https://www.773grp.com/manufacturer/national-semiconductor?pageNo=84", "National Semiconductor")</f>
        <v>National Semiconductor</v>
      </c>
      <c r="C7053" s="6">
        <v>250</v>
      </c>
      <c r="D7053" s="7">
        <v>6.84</v>
      </c>
    </row>
    <row r="7054" spans="1:5" x14ac:dyDescent="0.25">
      <c r="A7054" t="str">
        <f>HYPERLINK("https://www.773grp.com/globalSearch/LP3913SQ-AR-NOPB/page-1", "LP3913SQ-AR-NOPB")</f>
        <v>LP3913SQ-AR-NOPB</v>
      </c>
      <c r="B7054" s="3" t="str">
        <f>HYPERLINK("https://www.773grp.com/manufacturer/national-semiconductor?pageNo=85", "National Semiconductor")</f>
        <v>National Semiconductor</v>
      </c>
      <c r="C7054" s="6">
        <v>250</v>
      </c>
      <c r="D7054" s="7">
        <v>6.84</v>
      </c>
    </row>
    <row r="7055" spans="1:5" x14ac:dyDescent="0.25">
      <c r="A7055" t="str">
        <f>HYPERLINK("https://www.773grp.com/globalSearch/LP3913SQ-AU-NOPB/page-1", "LP3913SQ-AU-NOPB")</f>
        <v>LP3913SQ-AU-NOPB</v>
      </c>
      <c r="B7055" s="3" t="str">
        <f>HYPERLINK("https://www.773grp.com/manufacturer/national-semiconductor?pageNo=86", "National Semiconductor")</f>
        <v>National Semiconductor</v>
      </c>
      <c r="C7055" s="6">
        <v>250</v>
      </c>
      <c r="D7055" s="7">
        <v>6.84</v>
      </c>
    </row>
    <row r="7056" spans="1:5" x14ac:dyDescent="0.25">
      <c r="A7056" t="str">
        <f>HYPERLINK("https://www.773grp.com/globalSearch/54LS352FM/page-1", "54LS352FM")</f>
        <v>54LS352FM</v>
      </c>
      <c r="B7056" s="3" t="str">
        <f>HYPERLINK("https://www.773grp.com/manufacturer/national-semiconductor?pageNo=87", "National Semiconductor")</f>
        <v>National Semiconductor</v>
      </c>
      <c r="C7056" s="6">
        <v>1016</v>
      </c>
      <c r="D7056" s="7">
        <v>6.86</v>
      </c>
    </row>
    <row r="7057" spans="1:5" x14ac:dyDescent="0.25">
      <c r="A7057" t="str">
        <f>HYPERLINK("https://www.773grp.com/globalSearch/54LS353FM/page-1", "54LS353FM")</f>
        <v>54LS353FM</v>
      </c>
      <c r="B7057" s="3" t="str">
        <f>HYPERLINK("https://www.773grp.com/manufacturer/national-semiconductor?pageNo=88", "National Semiconductor")</f>
        <v>National Semiconductor</v>
      </c>
      <c r="C7057" s="6">
        <v>667</v>
      </c>
      <c r="D7057" s="7">
        <v>6.86</v>
      </c>
    </row>
    <row r="7058" spans="1:5" x14ac:dyDescent="0.25">
      <c r="A7058" t="str">
        <f>HYPERLINK("https://www.773grp.com/globalSearch/936DC/page-1", "936DC")</f>
        <v>936DC</v>
      </c>
      <c r="B7058" s="3" t="str">
        <f>HYPERLINK("https://www.773grp.com/manufacturer/national-semiconductor?pageNo=89", "National Semiconductor")</f>
        <v>National Semiconductor</v>
      </c>
      <c r="C7058" s="6">
        <v>9710</v>
      </c>
      <c r="D7058" s="7">
        <v>6.86</v>
      </c>
    </row>
    <row r="7059" spans="1:5" x14ac:dyDescent="0.25">
      <c r="A7059" t="str">
        <f>HYPERLINK("https://www.773grp.com/globalSearch/ADC121S625CIMM/page-1", "ADC121S625CIMM")</f>
        <v>ADC121S625CIMM</v>
      </c>
      <c r="B7059" s="3" t="str">
        <f>HYPERLINK("https://www.773grp.com/manufacturer/national-semiconductor?pageNo=90", "National Semiconductor")</f>
        <v>National Semiconductor</v>
      </c>
      <c r="C7059" s="6">
        <v>1000</v>
      </c>
      <c r="D7059" s="7">
        <v>6.86</v>
      </c>
      <c r="E7059" t="s">
        <v>39</v>
      </c>
    </row>
    <row r="7060" spans="1:5" x14ac:dyDescent="0.25">
      <c r="A7060" t="str">
        <f>HYPERLINK("https://www.773grp.com/globalSearch/LM2642MTC/page-1", "LM2642MTC")</f>
        <v>LM2642MTC</v>
      </c>
      <c r="B7060" s="3" t="str">
        <f>HYPERLINK("https://www.773grp.com/manufacturer/national-semiconductor?pageNo=91", "National Semiconductor")</f>
        <v>National Semiconductor</v>
      </c>
      <c r="C7060" s="6">
        <v>59</v>
      </c>
      <c r="D7060" s="7">
        <v>6.86</v>
      </c>
      <c r="E7060" t="s">
        <v>7</v>
      </c>
    </row>
    <row r="7061" spans="1:5" x14ac:dyDescent="0.25">
      <c r="A7061" t="str">
        <f>HYPERLINK("https://www.773grp.com/globalSearch/LM5010AQ1MH/page-1", "LM5010AQ1MH")</f>
        <v>LM5010AQ1MH</v>
      </c>
      <c r="B7061" s="3" t="str">
        <f>HYPERLINK("https://www.773grp.com/manufacturer/national-semiconductor?pageNo=92", "National Semiconductor")</f>
        <v>National Semiconductor</v>
      </c>
      <c r="C7061" s="6">
        <v>188</v>
      </c>
      <c r="D7061" s="7">
        <v>6.86</v>
      </c>
      <c r="E7061" t="s">
        <v>7</v>
      </c>
    </row>
    <row r="7062" spans="1:5" x14ac:dyDescent="0.25">
      <c r="A7062" t="str">
        <f>HYPERLINK("https://www.773grp.com/globalSearch/LP3963ES-3.3/page-1", "LP3963ES-3.3")</f>
        <v>LP3963ES-3.3</v>
      </c>
      <c r="B7062" s="3" t="str">
        <f>HYPERLINK("https://www.773grp.com/manufacturer/national-semiconductor?pageNo=93", "National Semiconductor")</f>
        <v>National Semiconductor</v>
      </c>
      <c r="C7062" s="6">
        <v>136</v>
      </c>
      <c r="D7062" s="7">
        <v>6.86</v>
      </c>
      <c r="E7062" t="s">
        <v>19</v>
      </c>
    </row>
    <row r="7063" spans="1:5" x14ac:dyDescent="0.25">
      <c r="A7063" t="str">
        <f>HYPERLINK("https://www.773grp.com/globalSearch/ADC104S021CIMM/page-1", "ADC104S021CIMM")</f>
        <v>ADC104S021CIMM</v>
      </c>
      <c r="B7063" s="3" t="str">
        <f>HYPERLINK("https://www.773grp.com/manufacturer/national-semiconductor?pageNo=94", "National Semiconductor")</f>
        <v>National Semiconductor</v>
      </c>
      <c r="C7063" s="6">
        <v>1000</v>
      </c>
      <c r="D7063" s="7">
        <v>6.89</v>
      </c>
      <c r="E7063" t="s">
        <v>39</v>
      </c>
    </row>
    <row r="7064" spans="1:5" x14ac:dyDescent="0.25">
      <c r="A7064" t="str">
        <f>HYPERLINK("https://www.773grp.com/globalSearch/DM54LS73J-883/page-1", "DM54LS73J-883")</f>
        <v>DM54LS73J-883</v>
      </c>
      <c r="B7064" s="3" t="str">
        <f>HYPERLINK("https://www.773grp.com/manufacturer/national-semiconductor?pageNo=95", "National Semiconductor")</f>
        <v>National Semiconductor</v>
      </c>
      <c r="C7064" s="6">
        <v>19</v>
      </c>
      <c r="D7064" s="7">
        <v>6.89</v>
      </c>
      <c r="E7064" t="s">
        <v>35</v>
      </c>
    </row>
    <row r="7065" spans="1:5" x14ac:dyDescent="0.25">
      <c r="A7065" t="str">
        <f>HYPERLINK("https://www.773grp.com/globalSearch/DS90C383BMT-NOPB/page-1", "DS90C383BMT-NOPB")</f>
        <v>DS90C383BMT-NOPB</v>
      </c>
      <c r="B7065" s="3" t="str">
        <f>HYPERLINK("https://www.773grp.com/manufacturer/national-semiconductor?pageNo=96", "National Semiconductor")</f>
        <v>National Semiconductor</v>
      </c>
      <c r="C7065" s="6">
        <v>8334</v>
      </c>
      <c r="D7065" s="7">
        <v>6.89</v>
      </c>
      <c r="E7065" t="s">
        <v>21</v>
      </c>
    </row>
    <row r="7066" spans="1:5" x14ac:dyDescent="0.25">
      <c r="A7066" t="str">
        <f>HYPERLINK("https://www.773grp.com/globalSearch/DS90CF384AMTD-NOPB/page-1", "DS90CF384AMTD-NOPB")</f>
        <v>DS90CF384AMTD-NOPB</v>
      </c>
      <c r="B7066" s="3" t="str">
        <f>HYPERLINK("https://www.773grp.com/manufacturer/national-semiconductor?pageNo=97", "National Semiconductor")</f>
        <v>National Semiconductor</v>
      </c>
      <c r="C7066" s="6">
        <v>32</v>
      </c>
      <c r="D7066" s="7">
        <v>6.89</v>
      </c>
      <c r="E7066" t="s">
        <v>21</v>
      </c>
    </row>
    <row r="7067" spans="1:5" x14ac:dyDescent="0.25">
      <c r="A7067" t="str">
        <f>HYPERLINK("https://www.773grp.com/globalSearch/LM22678TJ-ADJ-NOPB/page-1", "LM22678TJ-ADJ-NOPB")</f>
        <v>LM22678TJ-ADJ-NOPB</v>
      </c>
      <c r="B7067" s="3" t="str">
        <f>HYPERLINK("https://www.773grp.com/manufacturer/national-semiconductor?pageNo=98", "National Semiconductor")</f>
        <v>National Semiconductor</v>
      </c>
      <c r="C7067" s="6">
        <v>15900</v>
      </c>
      <c r="D7067" s="7">
        <v>6.89</v>
      </c>
      <c r="E7067" t="s">
        <v>7</v>
      </c>
    </row>
    <row r="7068" spans="1:5" x14ac:dyDescent="0.25">
      <c r="A7068" t="str">
        <f>HYPERLINK("https://www.773grp.com/globalSearch/LM360M/page-1", "LM360M")</f>
        <v>LM360M</v>
      </c>
      <c r="B7068" s="3" t="str">
        <f>HYPERLINK("https://www.773grp.com/manufacturer/national-semiconductor?pageNo=99", "National Semiconductor")</f>
        <v>National Semiconductor</v>
      </c>
      <c r="C7068" s="6">
        <v>437</v>
      </c>
      <c r="D7068" s="7">
        <v>6.89</v>
      </c>
      <c r="E7068" t="s">
        <v>9</v>
      </c>
    </row>
    <row r="7069" spans="1:5" x14ac:dyDescent="0.25">
      <c r="A7069" t="str">
        <f>HYPERLINK("https://www.773grp.com/globalSearch/LM385AMX-2.5/page-1", "LM385AMX-2.5")</f>
        <v>LM385AMX-2.5</v>
      </c>
      <c r="B7069" s="3" t="str">
        <f>HYPERLINK("https://www.773grp.com/manufacturer/national-semiconductor?pageNo=100", "National Semiconductor")</f>
        <v>National Semiconductor</v>
      </c>
      <c r="C7069" s="6">
        <v>11511</v>
      </c>
      <c r="D7069" s="7">
        <v>6.89</v>
      </c>
      <c r="E7069" t="s">
        <v>17</v>
      </c>
    </row>
    <row r="7070" spans="1:5" x14ac:dyDescent="0.25">
      <c r="A7070" t="str">
        <f>HYPERLINK("https://www.773grp.com/globalSearch/LM4980SD-NOPB/page-1", "LM4980SD-NOPB")</f>
        <v>LM4980SD-NOPB</v>
      </c>
      <c r="B7070" s="3" t="str">
        <f>HYPERLINK("https://www.773grp.com/manufacturer/national-semiconductor?pageNo=101", "National Semiconductor")</f>
        <v>National Semiconductor</v>
      </c>
      <c r="C7070" s="6">
        <v>1791</v>
      </c>
      <c r="D7070" s="7">
        <v>6.89</v>
      </c>
    </row>
    <row r="7071" spans="1:5" x14ac:dyDescent="0.25">
      <c r="A7071" t="str">
        <f>HYPERLINK("https://www.773grp.com/globalSearch/LMC6464AIM-NOPB/page-1", "LMC6464AIM-NOPB")</f>
        <v>LMC6464AIM-NOPB</v>
      </c>
      <c r="B7071" s="3" t="str">
        <f>HYPERLINK("https://www.773grp.com/manufacturer/national-semiconductor?pageNo=102", "National Semiconductor")</f>
        <v>National Semiconductor</v>
      </c>
      <c r="C7071" s="6">
        <v>3209</v>
      </c>
      <c r="D7071" s="7">
        <v>6.89</v>
      </c>
      <c r="E7071" t="s">
        <v>13</v>
      </c>
    </row>
    <row r="7072" spans="1:5" x14ac:dyDescent="0.25">
      <c r="A7072" t="str">
        <f>HYPERLINK("https://www.773grp.com/globalSearch/ADC104S021CIMMX/page-1", "ADC104S021CIMMX")</f>
        <v>ADC104S021CIMMX</v>
      </c>
      <c r="B7072" s="3" t="str">
        <f>HYPERLINK("https://www.773grp.com/manufacturer/national-semiconductor?pageNo=103", "National Semiconductor")</f>
        <v>National Semiconductor</v>
      </c>
      <c r="C7072" s="6">
        <v>7000</v>
      </c>
      <c r="D7072" s="7">
        <v>6.89</v>
      </c>
    </row>
    <row r="7073" spans="1:5" x14ac:dyDescent="0.25">
      <c r="A7073" t="str">
        <f>HYPERLINK("https://www.773grp.com/globalSearch/DS90C383BMT-NOPB/page-1", "DS90C383BMT-NOPB")</f>
        <v>DS90C383BMT-NOPB</v>
      </c>
      <c r="B7073" s="3" t="str">
        <f>HYPERLINK("https://www.773grp.com/manufacturer/national-semiconductor?pageNo=104", "National Semiconductor")</f>
        <v>National Semiconductor</v>
      </c>
      <c r="C7073" s="6">
        <v>235</v>
      </c>
      <c r="D7073" s="7">
        <v>6.89</v>
      </c>
      <c r="E7073" t="s">
        <v>21</v>
      </c>
    </row>
    <row r="7074" spans="1:5" x14ac:dyDescent="0.25">
      <c r="A7074" t="str">
        <f>HYPERLINK("https://www.773grp.com/globalSearch/DS90CF384AMTD-NOPB/page-1", "DS90CF384AMTD-NOPB")</f>
        <v>DS90CF384AMTD-NOPB</v>
      </c>
      <c r="B7074" s="3" t="str">
        <f>HYPERLINK("https://www.773grp.com/manufacturer/national-semiconductor?pageNo=105", "National Semiconductor")</f>
        <v>National Semiconductor</v>
      </c>
      <c r="C7074" s="6">
        <v>238</v>
      </c>
      <c r="D7074" s="7">
        <v>6.89</v>
      </c>
      <c r="E7074" t="s">
        <v>21</v>
      </c>
    </row>
    <row r="7075" spans="1:5" x14ac:dyDescent="0.25">
      <c r="A7075" t="str">
        <f>HYPERLINK("https://www.773grp.com/globalSearch/LM360M/page-1", "LM360M")</f>
        <v>LM360M</v>
      </c>
      <c r="B7075" s="3" t="str">
        <f>HYPERLINK("https://www.773grp.com/manufacturer/national-semiconductor?pageNo=106", "National Semiconductor")</f>
        <v>National Semiconductor</v>
      </c>
      <c r="C7075" s="6">
        <v>66</v>
      </c>
      <c r="D7075" s="7">
        <v>6.89</v>
      </c>
      <c r="E7075" t="s">
        <v>9</v>
      </c>
    </row>
    <row r="7076" spans="1:5" x14ac:dyDescent="0.25">
      <c r="A7076" t="str">
        <f>HYPERLINK("https://www.773grp.com/globalSearch/LMC6464AIM-NOPB/page-1", "LMC6464AIM-NOPB")</f>
        <v>LMC6464AIM-NOPB</v>
      </c>
      <c r="B7076" s="3" t="str">
        <f>HYPERLINK("https://www.773grp.com/manufacturer/national-semiconductor?pageNo=107", "National Semiconductor")</f>
        <v>National Semiconductor</v>
      </c>
      <c r="C7076" s="6">
        <v>158</v>
      </c>
      <c r="D7076" s="7">
        <v>6.89</v>
      </c>
      <c r="E7076" t="s">
        <v>13</v>
      </c>
    </row>
    <row r="7077" spans="1:5" x14ac:dyDescent="0.25">
      <c r="A7077" t="str">
        <f>HYPERLINK("https://www.773grp.com/globalSearch/LM2512SM-NOPB/page-1", "LM2512SM-NOPB")</f>
        <v>LM2512SM-NOPB</v>
      </c>
      <c r="B7077" s="3" t="str">
        <f>HYPERLINK("https://www.773grp.com/manufacturer/national-semiconductor?pageNo=108", "National Semiconductor")</f>
        <v>National Semiconductor</v>
      </c>
      <c r="C7077" s="6">
        <v>180</v>
      </c>
      <c r="D7077" s="7">
        <v>6.93</v>
      </c>
    </row>
    <row r="7078" spans="1:5" x14ac:dyDescent="0.25">
      <c r="A7078" t="str">
        <f>HYPERLINK("https://www.773grp.com/globalSearch/LM2597M-5.0/page-1", "LM2597M-5.0")</f>
        <v>LM2597M-5.0</v>
      </c>
      <c r="B7078" s="3" t="str">
        <f>HYPERLINK("https://www.773grp.com/manufacturer/national-semiconductor?pageNo=109", "National Semiconductor")</f>
        <v>National Semiconductor</v>
      </c>
      <c r="C7078" s="6">
        <v>260</v>
      </c>
      <c r="D7078" s="7">
        <v>6.93</v>
      </c>
      <c r="E7078" t="s">
        <v>7</v>
      </c>
    </row>
    <row r="7079" spans="1:5" x14ac:dyDescent="0.25">
      <c r="A7079" t="str">
        <f>HYPERLINK("https://www.773grp.com/globalSearch/LM2599S-12-NOPB/page-1", "LM2599S-12-NOPB")</f>
        <v>LM2599S-12-NOPB</v>
      </c>
      <c r="B7079" s="3" t="str">
        <f>HYPERLINK("https://www.773grp.com/manufacturer/national-semiconductor?pageNo=110", "National Semiconductor")</f>
        <v>National Semiconductor</v>
      </c>
      <c r="C7079" s="6">
        <v>32</v>
      </c>
      <c r="D7079" s="7">
        <v>6.93</v>
      </c>
      <c r="E7079" t="s">
        <v>7</v>
      </c>
    </row>
    <row r="7080" spans="1:5" x14ac:dyDescent="0.25">
      <c r="A7080" t="str">
        <f>HYPERLINK("https://www.773grp.com/globalSearch/LM2599S-3.3-NOPB/page-1", "LM2599S-3.3-NOPB")</f>
        <v>LM2599S-3.3-NOPB</v>
      </c>
      <c r="B7080" s="3" t="str">
        <f>HYPERLINK("https://www.773grp.com/manufacturer/national-semiconductor?pageNo=111", "National Semiconductor")</f>
        <v>National Semiconductor</v>
      </c>
      <c r="C7080" s="6">
        <v>215</v>
      </c>
      <c r="D7080" s="7">
        <v>6.93</v>
      </c>
      <c r="E7080" t="s">
        <v>7</v>
      </c>
    </row>
    <row r="7081" spans="1:5" x14ac:dyDescent="0.25">
      <c r="A7081" t="str">
        <f>HYPERLINK("https://www.773grp.com/globalSearch/LM2599S-5.0-NOPB/page-1", "LM2599S-5.0-NOPB")</f>
        <v>LM2599S-5.0-NOPB</v>
      </c>
      <c r="B7081" s="3" t="str">
        <f>HYPERLINK("https://www.773grp.com/manufacturer/national-semiconductor?pageNo=112", "National Semiconductor")</f>
        <v>National Semiconductor</v>
      </c>
      <c r="C7081" s="6">
        <v>1856</v>
      </c>
      <c r="D7081" s="7">
        <v>6.93</v>
      </c>
      <c r="E7081" t="s">
        <v>7</v>
      </c>
    </row>
    <row r="7082" spans="1:5" x14ac:dyDescent="0.25">
      <c r="A7082" t="str">
        <f>HYPERLINK("https://www.773grp.com/globalSearch/LM2599S-ADJ-NOPB/page-1", "LM2599S-ADJ-NOPB")</f>
        <v>LM2599S-ADJ-NOPB</v>
      </c>
      <c r="B7082" s="3" t="str">
        <f>HYPERLINK("https://www.773grp.com/manufacturer/national-semiconductor?pageNo=113", "National Semiconductor")</f>
        <v>National Semiconductor</v>
      </c>
      <c r="C7082" s="6">
        <v>12716</v>
      </c>
      <c r="D7082" s="7">
        <v>6.93</v>
      </c>
      <c r="E7082" t="s">
        <v>7</v>
      </c>
    </row>
    <row r="7083" spans="1:5" x14ac:dyDescent="0.25">
      <c r="A7083" t="str">
        <f>HYPERLINK("https://www.773grp.com/globalSearch/LM26420YMH-NOPB/page-1", "LM26420YMH-NOPB")</f>
        <v>LM26420YMH-NOPB</v>
      </c>
      <c r="B7083" s="3" t="str">
        <f>HYPERLINK("https://www.773grp.com/manufacturer/national-semiconductor?pageNo=114", "National Semiconductor")</f>
        <v>National Semiconductor</v>
      </c>
      <c r="C7083" s="6">
        <v>60</v>
      </c>
      <c r="D7083" s="7">
        <v>6.93</v>
      </c>
      <c r="E7083" t="s">
        <v>7</v>
      </c>
    </row>
    <row r="7084" spans="1:5" x14ac:dyDescent="0.25">
      <c r="A7084" t="str">
        <f>HYPERLINK("https://www.773grp.com/globalSearch/LM2653MTC-ADJ/page-1", "LM2653MTC-ADJ")</f>
        <v>LM2653MTC-ADJ</v>
      </c>
      <c r="B7084" s="3" t="str">
        <f>HYPERLINK("https://www.773grp.com/manufacturer/national-semiconductor?pageNo=115", "National Semiconductor")</f>
        <v>National Semiconductor</v>
      </c>
      <c r="C7084" s="6">
        <v>184</v>
      </c>
      <c r="D7084" s="7">
        <v>6.93</v>
      </c>
      <c r="E7084" t="s">
        <v>7</v>
      </c>
    </row>
    <row r="7085" spans="1:5" x14ac:dyDescent="0.25">
      <c r="A7085" t="str">
        <f>HYPERLINK("https://www.773grp.com/globalSearch/LM2852XMXA-1.5/page-1", "LM2852XMXA-1.5")</f>
        <v>LM2852XMXA-1.5</v>
      </c>
      <c r="B7085" s="3" t="str">
        <f>HYPERLINK("https://www.773grp.com/manufacturer/national-semiconductor?pageNo=116", "National Semiconductor")</f>
        <v>National Semiconductor</v>
      </c>
      <c r="C7085" s="6">
        <v>105</v>
      </c>
      <c r="D7085" s="7">
        <v>6.93</v>
      </c>
      <c r="E7085" t="s">
        <v>7</v>
      </c>
    </row>
    <row r="7086" spans="1:5" x14ac:dyDescent="0.25">
      <c r="A7086" t="str">
        <f>HYPERLINK("https://www.773grp.com/globalSearch/LM2852XMXA-2.5/page-1", "LM2852XMXA-2.5")</f>
        <v>LM2852XMXA-2.5</v>
      </c>
      <c r="B7086" s="3" t="str">
        <f>HYPERLINK("https://www.773grp.com/manufacturer/national-semiconductor?pageNo=117", "National Semiconductor")</f>
        <v>National Semiconductor</v>
      </c>
      <c r="C7086" s="6">
        <v>190</v>
      </c>
      <c r="D7086" s="7">
        <v>6.93</v>
      </c>
      <c r="E7086" t="s">
        <v>7</v>
      </c>
    </row>
    <row r="7087" spans="1:5" x14ac:dyDescent="0.25">
      <c r="A7087" t="str">
        <f>HYPERLINK("https://www.773grp.com/globalSearch/LM2852YMXA-1.8/page-1", "LM2852YMXA-1.8")</f>
        <v>LM2852YMXA-1.8</v>
      </c>
      <c r="B7087" s="3" t="str">
        <f>HYPERLINK("https://www.773grp.com/manufacturer/national-semiconductor?pageNo=118", "National Semiconductor")</f>
        <v>National Semiconductor</v>
      </c>
      <c r="C7087" s="6">
        <v>1</v>
      </c>
      <c r="D7087" s="7">
        <v>6.93</v>
      </c>
      <c r="E7087" t="s">
        <v>7</v>
      </c>
    </row>
    <row r="7088" spans="1:5" x14ac:dyDescent="0.25">
      <c r="A7088" t="str">
        <f>HYPERLINK("https://www.773grp.com/globalSearch/LM5575MH-NOPB/page-1", "LM5575MH-NOPB")</f>
        <v>LM5575MH-NOPB</v>
      </c>
      <c r="B7088" s="3" t="str">
        <f>HYPERLINK("https://www.773grp.com/manufacturer/national-semiconductor?pageNo=119", "National Semiconductor")</f>
        <v>National Semiconductor</v>
      </c>
      <c r="C7088" s="6">
        <v>19322</v>
      </c>
      <c r="D7088" s="7">
        <v>6.93</v>
      </c>
      <c r="E7088" t="s">
        <v>7</v>
      </c>
    </row>
    <row r="7089" spans="1:5" x14ac:dyDescent="0.25">
      <c r="A7089" t="str">
        <f>HYPERLINK("https://www.773grp.com/globalSearch/LMC6064IN/page-1", "LMC6064IN")</f>
        <v>LMC6064IN</v>
      </c>
      <c r="B7089" s="3" t="str">
        <f>HYPERLINK("https://www.773grp.com/manufacturer/national-semiconductor?pageNo=120", "National Semiconductor")</f>
        <v>National Semiconductor</v>
      </c>
      <c r="C7089" s="6">
        <v>80</v>
      </c>
      <c r="D7089" s="7">
        <v>6.93</v>
      </c>
      <c r="E7089" t="s">
        <v>13</v>
      </c>
    </row>
    <row r="7090" spans="1:5" x14ac:dyDescent="0.25">
      <c r="A7090" t="str">
        <f>HYPERLINK("https://www.773grp.com/globalSearch/USBN9603-28M/page-1", "USBN9603-28M")</f>
        <v>USBN9603-28M</v>
      </c>
      <c r="B7090" s="3" t="str">
        <f>HYPERLINK("https://www.773grp.com/manufacturer/national-semiconductor?pageNo=121", "National Semiconductor")</f>
        <v>National Semiconductor</v>
      </c>
      <c r="C7090" s="6">
        <v>101</v>
      </c>
      <c r="D7090" s="7">
        <v>6.93</v>
      </c>
      <c r="E7090" t="s">
        <v>68</v>
      </c>
    </row>
    <row r="7091" spans="1:5" x14ac:dyDescent="0.25">
      <c r="A7091" t="str">
        <f>HYPERLINK("https://www.773grp.com/globalSearch/USBN9603-28MX/page-1", "USBN9603-28MX")</f>
        <v>USBN9603-28MX</v>
      </c>
      <c r="B7091" s="3" t="str">
        <f>HYPERLINK("https://www.773grp.com/manufacturer/national-semiconductor?pageNo=122", "National Semiconductor")</f>
        <v>National Semiconductor</v>
      </c>
      <c r="C7091" s="6">
        <v>1000</v>
      </c>
      <c r="D7091" s="7">
        <v>6.93</v>
      </c>
      <c r="E7091" t="s">
        <v>68</v>
      </c>
    </row>
    <row r="7092" spans="1:5" x14ac:dyDescent="0.25">
      <c r="A7092" t="str">
        <f>HYPERLINK("https://www.773grp.com/globalSearch/DP83848QSQE-NOPB/page-1", "DP83848QSQE-NOPB")</f>
        <v>DP83848QSQE-NOPB</v>
      </c>
      <c r="B7092" s="3" t="str">
        <f>HYPERLINK("https://www.773grp.com/manufacturer/national-semiconductor?pageNo=123", "National Semiconductor")</f>
        <v>National Semiconductor</v>
      </c>
      <c r="C7092" s="6">
        <v>1930</v>
      </c>
      <c r="D7092" s="7">
        <v>6.93</v>
      </c>
    </row>
    <row r="7093" spans="1:5" x14ac:dyDescent="0.25">
      <c r="A7093" t="str">
        <f>HYPERLINK("https://www.773grp.com/globalSearch/LM2599S-12-NOPB/page-1", "LM2599S-12-NOPB")</f>
        <v>LM2599S-12-NOPB</v>
      </c>
      <c r="B7093" s="3" t="str">
        <f>HYPERLINK("https://www.773grp.com/manufacturer/national-semiconductor?pageNo=124", "National Semiconductor")</f>
        <v>National Semiconductor</v>
      </c>
      <c r="C7093" s="6">
        <v>285</v>
      </c>
      <c r="D7093" s="7">
        <v>6.93</v>
      </c>
      <c r="E7093" t="s">
        <v>7</v>
      </c>
    </row>
    <row r="7094" spans="1:5" x14ac:dyDescent="0.25">
      <c r="A7094" t="str">
        <f>HYPERLINK("https://www.773grp.com/globalSearch/LM2599S-3.3-NOPB/page-1", "LM2599S-3.3-NOPB")</f>
        <v>LM2599S-3.3-NOPB</v>
      </c>
      <c r="B7094" s="3" t="str">
        <f>HYPERLINK("https://www.773grp.com/manufacturer/national-semiconductor?pageNo=125", "National Semiconductor")</f>
        <v>National Semiconductor</v>
      </c>
      <c r="C7094" s="6">
        <v>237</v>
      </c>
      <c r="D7094" s="7">
        <v>6.93</v>
      </c>
      <c r="E7094" t="s">
        <v>7</v>
      </c>
    </row>
    <row r="7095" spans="1:5" x14ac:dyDescent="0.25">
      <c r="A7095" t="str">
        <f>HYPERLINK("https://www.773grp.com/globalSearch/LM2599S-5.0-NOPB/page-1", "LM2599S-5.0-NOPB")</f>
        <v>LM2599S-5.0-NOPB</v>
      </c>
      <c r="B7095" s="3" t="str">
        <f>HYPERLINK("https://www.773grp.com/manufacturer/national-semiconductor?pageNo=126", "National Semiconductor")</f>
        <v>National Semiconductor</v>
      </c>
      <c r="C7095" s="6">
        <v>250</v>
      </c>
      <c r="D7095" s="7">
        <v>6.93</v>
      </c>
      <c r="E7095" t="s">
        <v>7</v>
      </c>
    </row>
    <row r="7096" spans="1:5" x14ac:dyDescent="0.25">
      <c r="A7096" t="str">
        <f>HYPERLINK("https://www.773grp.com/globalSearch/LM2599S-ADJ-NOPB/page-1", "LM2599S-ADJ-NOPB")</f>
        <v>LM2599S-ADJ-NOPB</v>
      </c>
      <c r="B7096" s="3" t="str">
        <f>HYPERLINK("https://www.773grp.com/manufacturer/national-semiconductor?pageNo=127", "National Semiconductor")</f>
        <v>National Semiconductor</v>
      </c>
      <c r="C7096" s="6">
        <v>462</v>
      </c>
      <c r="D7096" s="7">
        <v>6.93</v>
      </c>
      <c r="E7096" t="s">
        <v>7</v>
      </c>
    </row>
    <row r="7097" spans="1:5" x14ac:dyDescent="0.25">
      <c r="A7097" t="str">
        <f>HYPERLINK("https://www.773grp.com/globalSearch/LM26420XMH-NOPB/page-1", "LM26420XMH-NOPB")</f>
        <v>LM26420XMH-NOPB</v>
      </c>
      <c r="B7097" s="3" t="str">
        <f>HYPERLINK("https://www.773grp.com/manufacturer/national-semiconductor?pageNo=128", "National Semiconductor")</f>
        <v>National Semiconductor</v>
      </c>
      <c r="C7097" s="6">
        <v>50</v>
      </c>
      <c r="D7097" s="7">
        <v>6.93</v>
      </c>
    </row>
    <row r="7098" spans="1:5" x14ac:dyDescent="0.25">
      <c r="A7098" t="str">
        <f>HYPERLINK("https://www.773grp.com/globalSearch/LM26420YMH-NOPB/page-1", "LM26420YMH-NOPB")</f>
        <v>LM26420YMH-NOPB</v>
      </c>
      <c r="B7098" s="3" t="str">
        <f>HYPERLINK("https://www.773grp.com/manufacturer/national-semiconductor?pageNo=129", "National Semiconductor")</f>
        <v>National Semiconductor</v>
      </c>
      <c r="C7098" s="6">
        <v>250</v>
      </c>
      <c r="D7098" s="7">
        <v>6.93</v>
      </c>
      <c r="E7098" t="s">
        <v>7</v>
      </c>
    </row>
    <row r="7099" spans="1:5" x14ac:dyDescent="0.25">
      <c r="A7099" t="str">
        <f>HYPERLINK("https://www.773grp.com/globalSearch/LM2852XMXA-1.2/page-1", "LM2852XMXA-1.2")</f>
        <v>LM2852XMXA-1.2</v>
      </c>
      <c r="B7099" s="3" t="str">
        <f>HYPERLINK("https://www.773grp.com/manufacturer/national-semiconductor?pageNo=130", "National Semiconductor")</f>
        <v>National Semiconductor</v>
      </c>
      <c r="C7099" s="6">
        <v>188</v>
      </c>
      <c r="D7099" s="7">
        <v>6.93</v>
      </c>
    </row>
    <row r="7100" spans="1:5" x14ac:dyDescent="0.25">
      <c r="A7100" t="str">
        <f>HYPERLINK("https://www.773grp.com/globalSearch/LM2852XMXA-2.5/page-1", "LM2852XMXA-2.5")</f>
        <v>LM2852XMXA-2.5</v>
      </c>
      <c r="B7100" s="3" t="str">
        <f>HYPERLINK("https://www.773grp.com/manufacturer/national-semiconductor?pageNo=131", "National Semiconductor")</f>
        <v>National Semiconductor</v>
      </c>
      <c r="C7100" s="6">
        <v>1128</v>
      </c>
      <c r="D7100" s="7">
        <v>6.93</v>
      </c>
      <c r="E7100" t="s">
        <v>7</v>
      </c>
    </row>
    <row r="7101" spans="1:5" x14ac:dyDescent="0.25">
      <c r="A7101" t="str">
        <f>HYPERLINK("https://www.773grp.com/globalSearch/LM2852YMXA-1.2/page-1", "LM2852YMXA-1.2")</f>
        <v>LM2852YMXA-1.2</v>
      </c>
      <c r="B7101" s="3" t="str">
        <f>HYPERLINK("https://www.773grp.com/manufacturer/national-semiconductor?pageNo=132", "National Semiconductor")</f>
        <v>National Semiconductor</v>
      </c>
      <c r="C7101" s="6">
        <v>3196</v>
      </c>
      <c r="D7101" s="7">
        <v>6.93</v>
      </c>
    </row>
    <row r="7102" spans="1:5" x14ac:dyDescent="0.25">
      <c r="A7102" t="str">
        <f>HYPERLINK("https://www.773grp.com/globalSearch/LM2852YMXA-3.3/page-1", "LM2852YMXA-3.3")</f>
        <v>LM2852YMXA-3.3</v>
      </c>
      <c r="B7102" s="3" t="str">
        <f>HYPERLINK("https://www.773grp.com/manufacturer/national-semiconductor?pageNo=133", "National Semiconductor")</f>
        <v>National Semiconductor</v>
      </c>
      <c r="C7102" s="6">
        <v>188</v>
      </c>
      <c r="D7102" s="7">
        <v>6.93</v>
      </c>
    </row>
    <row r="7103" spans="1:5" x14ac:dyDescent="0.25">
      <c r="A7103" t="str">
        <f>HYPERLINK("https://www.773grp.com/globalSearch/LM5575MH-NOPB/page-1", "LM5575MH-NOPB")</f>
        <v>LM5575MH-NOPB</v>
      </c>
      <c r="B7103" s="3" t="str">
        <f>HYPERLINK("https://www.773grp.com/manufacturer/national-semiconductor?pageNo=134", "National Semiconductor")</f>
        <v>National Semiconductor</v>
      </c>
      <c r="C7103" s="6">
        <v>933</v>
      </c>
      <c r="D7103" s="7">
        <v>6.93</v>
      </c>
      <c r="E7103" t="s">
        <v>7</v>
      </c>
    </row>
    <row r="7104" spans="1:5" x14ac:dyDescent="0.25">
      <c r="A7104" t="str">
        <f>HYPERLINK("https://www.773grp.com/globalSearch/CLC5801IM/page-1", "CLC5801IM")</f>
        <v>CLC5801IM</v>
      </c>
      <c r="B7104" s="3" t="str">
        <f>HYPERLINK("https://www.773grp.com/manufacturer/national-semiconductor?pageNo=1", "National Semiconductor")</f>
        <v>National Semiconductor</v>
      </c>
      <c r="C7104" s="6">
        <v>5331</v>
      </c>
      <c r="D7104" s="7">
        <v>6.95</v>
      </c>
      <c r="E7104" t="s">
        <v>13</v>
      </c>
    </row>
    <row r="7105" spans="1:5" x14ac:dyDescent="0.25">
      <c r="A7105" t="str">
        <f>HYPERLINK("https://www.773grp.com/globalSearch/CLC5801IMX/page-1", "CLC5801IMX")</f>
        <v>CLC5801IMX</v>
      </c>
      <c r="B7105" s="3" t="str">
        <f>HYPERLINK("https://www.773grp.com/manufacturer/national-semiconductor?pageNo=2", "National Semiconductor")</f>
        <v>National Semiconductor</v>
      </c>
      <c r="C7105" s="6">
        <v>9000</v>
      </c>
      <c r="D7105" s="7">
        <v>6.95</v>
      </c>
      <c r="E7105" t="s">
        <v>13</v>
      </c>
    </row>
    <row r="7106" spans="1:5" x14ac:dyDescent="0.25">
      <c r="A7106" t="str">
        <f>HYPERLINK("https://www.773grp.com/globalSearch/DM54LS295AJ-883/page-1", "DM54LS295AJ-883")</f>
        <v>DM54LS295AJ-883</v>
      </c>
      <c r="B7106" s="3" t="str">
        <f>HYPERLINK("https://www.773grp.com/manufacturer/national-semiconductor?pageNo=3", "National Semiconductor")</f>
        <v>National Semiconductor</v>
      </c>
      <c r="C7106" s="6">
        <v>20</v>
      </c>
      <c r="D7106" s="7">
        <v>6.95</v>
      </c>
    </row>
    <row r="7107" spans="1:5" x14ac:dyDescent="0.25">
      <c r="A7107" t="str">
        <f>HYPERLINK("https://www.773grp.com/globalSearch/DM74S174J/page-1", "DM74S174J")</f>
        <v>DM74S174J</v>
      </c>
      <c r="B7107" s="3" t="str">
        <f>HYPERLINK("https://www.773grp.com/manufacturer/national-semiconductor?pageNo=4", "National Semiconductor")</f>
        <v>National Semiconductor</v>
      </c>
      <c r="C7107" s="6">
        <v>1548</v>
      </c>
      <c r="D7107" s="7">
        <v>6.95</v>
      </c>
    </row>
    <row r="7108" spans="1:5" x14ac:dyDescent="0.25">
      <c r="A7108" t="str">
        <f>HYPERLINK("https://www.773grp.com/globalSearch/LM2633MTD-NOPB/page-1", "LM2633MTD-NOPB")</f>
        <v>LM2633MTD-NOPB</v>
      </c>
      <c r="B7108" s="3" t="str">
        <f>HYPERLINK("https://www.773grp.com/manufacturer/national-semiconductor?pageNo=5", "National Semiconductor")</f>
        <v>National Semiconductor</v>
      </c>
      <c r="C7108" s="6">
        <v>1305</v>
      </c>
      <c r="D7108" s="7">
        <v>6.95</v>
      </c>
      <c r="E7108" t="s">
        <v>7</v>
      </c>
    </row>
    <row r="7109" spans="1:5" x14ac:dyDescent="0.25">
      <c r="A7109" t="str">
        <f>HYPERLINK("https://www.773grp.com/globalSearch/LM3520SD-NOPB/page-1", "LM3520SD-NOPB")</f>
        <v>LM3520SD-NOPB</v>
      </c>
      <c r="B7109" s="3" t="str">
        <f>HYPERLINK("https://www.773grp.com/manufacturer/national-semiconductor?pageNo=6", "National Semiconductor")</f>
        <v>National Semiconductor</v>
      </c>
      <c r="C7109" s="6">
        <v>1993</v>
      </c>
      <c r="D7109" s="7">
        <v>6.95</v>
      </c>
      <c r="E7109" t="s">
        <v>10</v>
      </c>
    </row>
    <row r="7110" spans="1:5" x14ac:dyDescent="0.25">
      <c r="A7110" t="str">
        <f>HYPERLINK("https://www.773grp.com/globalSearch/LM49155TL-NOPB/page-1", "LM49155TL-NOPB")</f>
        <v>LM49155TL-NOPB</v>
      </c>
      <c r="B7110" s="3" t="str">
        <f>HYPERLINK("https://www.773grp.com/manufacturer/national-semiconductor?pageNo=7", "National Semiconductor")</f>
        <v>National Semiconductor</v>
      </c>
      <c r="C7110" s="6">
        <v>298</v>
      </c>
      <c r="D7110" s="7">
        <v>6.95</v>
      </c>
    </row>
    <row r="7111" spans="1:5" x14ac:dyDescent="0.25">
      <c r="A7111" t="str">
        <f>HYPERLINK("https://www.773grp.com/globalSearch/LMH6733MQ/page-1", "LMH6733MQ")</f>
        <v>LMH6733MQ</v>
      </c>
      <c r="B7111" s="3" t="str">
        <f>HYPERLINK("https://www.773grp.com/manufacturer/national-semiconductor?pageNo=8", "National Semiconductor")</f>
        <v>National Semiconductor</v>
      </c>
      <c r="C7111" s="6">
        <v>30</v>
      </c>
      <c r="D7111" s="7">
        <v>6.95</v>
      </c>
      <c r="E7111" t="s">
        <v>18</v>
      </c>
    </row>
    <row r="7112" spans="1:5" x14ac:dyDescent="0.25">
      <c r="A7112" t="str">
        <f>HYPERLINK("https://www.773grp.com/globalSearch/LMH6733MQX-NOPB/page-1", "LMH6733MQX-NOPB")</f>
        <v>LMH6733MQX-NOPB</v>
      </c>
      <c r="B7112" s="3" t="str">
        <f>HYPERLINK("https://www.773grp.com/manufacturer/national-semiconductor?pageNo=9", "National Semiconductor")</f>
        <v>National Semiconductor</v>
      </c>
      <c r="C7112" s="6">
        <v>2500</v>
      </c>
      <c r="D7112" s="7">
        <v>6.95</v>
      </c>
      <c r="E7112" t="s">
        <v>18</v>
      </c>
    </row>
    <row r="7113" spans="1:5" x14ac:dyDescent="0.25">
      <c r="A7113" t="str">
        <f>HYPERLINK("https://www.773grp.com/globalSearch/LMH6734MQ-NOPB/page-1", "LMH6734MQ-NOPB")</f>
        <v>LMH6734MQ-NOPB</v>
      </c>
      <c r="B7113" s="3" t="str">
        <f>HYPERLINK("https://www.773grp.com/manufacturer/national-semiconductor?pageNo=10", "National Semiconductor")</f>
        <v>National Semiconductor</v>
      </c>
      <c r="C7113" s="6">
        <v>5147</v>
      </c>
      <c r="D7113" s="7">
        <v>6.95</v>
      </c>
      <c r="E7113" t="s">
        <v>18</v>
      </c>
    </row>
    <row r="7114" spans="1:5" x14ac:dyDescent="0.25">
      <c r="A7114" t="str">
        <f>HYPERLINK("https://www.773grp.com/globalSearch/LMH6734MQX/page-1", "LMH6734MQX")</f>
        <v>LMH6734MQX</v>
      </c>
      <c r="B7114" s="3" t="str">
        <f>HYPERLINK("https://www.773grp.com/manufacturer/national-semiconductor?pageNo=11", "National Semiconductor")</f>
        <v>National Semiconductor</v>
      </c>
      <c r="C7114" s="6">
        <v>2500</v>
      </c>
      <c r="D7114" s="7">
        <v>6.95</v>
      </c>
      <c r="E7114" t="s">
        <v>18</v>
      </c>
    </row>
    <row r="7115" spans="1:5" x14ac:dyDescent="0.25">
      <c r="A7115" t="str">
        <f>HYPERLINK("https://www.773grp.com/globalSearch/MM14512BMJ-883/page-1", "MM14512BMJ-883")</f>
        <v>MM14512BMJ-883</v>
      </c>
      <c r="B7115" s="3" t="str">
        <f>HYPERLINK("https://www.773grp.com/manufacturer/national-semiconductor?pageNo=12", "National Semiconductor")</f>
        <v>National Semiconductor</v>
      </c>
      <c r="C7115" s="6">
        <v>68</v>
      </c>
      <c r="D7115" s="7">
        <v>6.95</v>
      </c>
    </row>
    <row r="7116" spans="1:5" x14ac:dyDescent="0.25">
      <c r="A7116" t="str">
        <f>HYPERLINK("https://www.773grp.com/globalSearch/LM25117QPMH-NOPB/page-1", "LM25117QPMH-NOPB")</f>
        <v>LM25117QPMH-NOPB</v>
      </c>
      <c r="B7116" s="3" t="str">
        <f>HYPERLINK("https://www.773grp.com/manufacturer/national-semiconductor?pageNo=13", "National Semiconductor")</f>
        <v>National Semiconductor</v>
      </c>
      <c r="C7116" s="6">
        <v>204</v>
      </c>
      <c r="D7116" s="7">
        <v>6.95</v>
      </c>
    </row>
    <row r="7117" spans="1:5" x14ac:dyDescent="0.25">
      <c r="A7117" t="str">
        <f>HYPERLINK("https://www.773grp.com/globalSearch/LM49155TL-NOPB/page-1", "LM49155TL-NOPB")</f>
        <v>LM49155TL-NOPB</v>
      </c>
      <c r="B7117" s="3" t="str">
        <f>HYPERLINK("https://www.773grp.com/manufacturer/national-semiconductor?pageNo=14", "National Semiconductor")</f>
        <v>National Semiconductor</v>
      </c>
      <c r="C7117" s="6">
        <v>2500</v>
      </c>
      <c r="D7117" s="7">
        <v>6.95</v>
      </c>
    </row>
    <row r="7118" spans="1:5" x14ac:dyDescent="0.25">
      <c r="A7118" t="str">
        <f>HYPERLINK("https://www.773grp.com/globalSearch/DS90CR216AMTDX-NOPB/page-1", "DS90CR216AMTDX-NOPB")</f>
        <v>DS90CR216AMTDX-NOPB</v>
      </c>
      <c r="B7118" s="3" t="str">
        <f>HYPERLINK("https://www.773grp.com/manufacturer/national-semiconductor?pageNo=15", "National Semiconductor")</f>
        <v>National Semiconductor</v>
      </c>
      <c r="C7118" s="6">
        <v>5000</v>
      </c>
      <c r="D7118" s="7">
        <v>6.98</v>
      </c>
      <c r="E7118" t="s">
        <v>21</v>
      </c>
    </row>
    <row r="7119" spans="1:5" x14ac:dyDescent="0.25">
      <c r="A7119" t="str">
        <f>HYPERLINK("https://www.773grp.com/globalSearch/DS90CR216AMTDX-NOPB/page-1", "DS90CR216AMTDX-NOPB")</f>
        <v>DS90CR216AMTDX-NOPB</v>
      </c>
      <c r="B7119" s="3" t="str">
        <f>HYPERLINK("https://www.773grp.com/manufacturer/national-semiconductor?pageNo=16", "National Semiconductor")</f>
        <v>National Semiconductor</v>
      </c>
      <c r="C7119" s="6">
        <v>4000</v>
      </c>
      <c r="D7119" s="7">
        <v>6.98</v>
      </c>
      <c r="E7119" t="s">
        <v>21</v>
      </c>
    </row>
    <row r="7120" spans="1:5" x14ac:dyDescent="0.25">
      <c r="A7120" t="str">
        <f>HYPERLINK("https://www.773grp.com/globalSearch/74196PC/page-1", "74196PC")</f>
        <v>74196PC</v>
      </c>
      <c r="B7120" s="3" t="str">
        <f>HYPERLINK("https://www.773grp.com/manufacturer/national-semiconductor?pageNo=17", "National Semiconductor")</f>
        <v>National Semiconductor</v>
      </c>
      <c r="C7120" s="6">
        <v>9826</v>
      </c>
      <c r="D7120" s="7">
        <v>7</v>
      </c>
    </row>
    <row r="7121" spans="1:5" x14ac:dyDescent="0.25">
      <c r="A7121" t="str">
        <f>HYPERLINK("https://www.773grp.com/globalSearch/CLC5623IM/page-1", "CLC5623IM")</f>
        <v>CLC5623IM</v>
      </c>
      <c r="B7121" s="3" t="str">
        <f>HYPERLINK("https://www.773grp.com/manufacturer/national-semiconductor?pageNo=18", "National Semiconductor")</f>
        <v>National Semiconductor</v>
      </c>
      <c r="C7121" s="6">
        <v>6155</v>
      </c>
      <c r="D7121" s="7">
        <v>7</v>
      </c>
      <c r="E7121" t="s">
        <v>13</v>
      </c>
    </row>
    <row r="7122" spans="1:5" x14ac:dyDescent="0.25">
      <c r="A7122" t="str">
        <f>HYPERLINK("https://www.773grp.com/globalSearch/CLC5623IMX/page-1", "CLC5623IMX")</f>
        <v>CLC5623IMX</v>
      </c>
      <c r="B7122" s="3" t="str">
        <f>HYPERLINK("https://www.773grp.com/manufacturer/national-semiconductor?pageNo=19", "National Semiconductor")</f>
        <v>National Semiconductor</v>
      </c>
      <c r="C7122" s="6">
        <v>7693</v>
      </c>
      <c r="D7122" s="7">
        <v>7</v>
      </c>
      <c r="E7122" t="s">
        <v>13</v>
      </c>
    </row>
    <row r="7123" spans="1:5" x14ac:dyDescent="0.25">
      <c r="A7123" t="str">
        <f>HYPERLINK("https://www.773grp.com/globalSearch/CLC5623IN/page-1", "CLC5623IN")</f>
        <v>CLC5623IN</v>
      </c>
      <c r="B7123" s="3" t="str">
        <f>HYPERLINK("https://www.773grp.com/manufacturer/national-semiconductor?pageNo=20", "National Semiconductor")</f>
        <v>National Semiconductor</v>
      </c>
      <c r="C7123" s="6">
        <v>452</v>
      </c>
      <c r="D7123" s="7">
        <v>7</v>
      </c>
      <c r="E7123" t="s">
        <v>13</v>
      </c>
    </row>
    <row r="7124" spans="1:5" x14ac:dyDescent="0.25">
      <c r="A7124" t="str">
        <f>HYPERLINK("https://www.773grp.com/globalSearch/LM87CIMTX-NOPB/page-1", "LM87CIMTX-NOPB")</f>
        <v>LM87CIMTX-NOPB</v>
      </c>
      <c r="B7124" s="3" t="str">
        <f>HYPERLINK("https://www.773grp.com/manufacturer/national-semiconductor?pageNo=21", "National Semiconductor")</f>
        <v>National Semiconductor</v>
      </c>
      <c r="C7124" s="6">
        <v>29</v>
      </c>
      <c r="D7124" s="7">
        <v>7</v>
      </c>
    </row>
    <row r="7125" spans="1:5" x14ac:dyDescent="0.25">
      <c r="A7125" t="str">
        <f>HYPERLINK("https://www.773grp.com/globalSearch/4018BDM/page-1", "4018BDM")</f>
        <v>4018BDM</v>
      </c>
      <c r="B7125" s="3" t="str">
        <f>HYPERLINK("https://www.773grp.com/manufacturer/national-semiconductor?pageNo=22", "National Semiconductor")</f>
        <v>National Semiconductor</v>
      </c>
      <c r="C7125" s="6">
        <v>1003</v>
      </c>
      <c r="D7125" s="7">
        <v>7.04</v>
      </c>
    </row>
    <row r="7126" spans="1:5" x14ac:dyDescent="0.25">
      <c r="A7126" t="str">
        <f>HYPERLINK("https://www.773grp.com/globalSearch/4512BDM/page-1", "4512BDM")</f>
        <v>4512BDM</v>
      </c>
      <c r="B7126" s="3" t="str">
        <f>HYPERLINK("https://www.773grp.com/manufacturer/national-semiconductor?pageNo=23", "National Semiconductor")</f>
        <v>National Semiconductor</v>
      </c>
      <c r="C7126" s="6">
        <v>6440</v>
      </c>
      <c r="D7126" s="7">
        <v>7.04</v>
      </c>
    </row>
    <row r="7127" spans="1:5" x14ac:dyDescent="0.25">
      <c r="A7127" t="str">
        <f>HYPERLINK("https://www.773grp.com/globalSearch/54LS112LM/page-1", "54LS112LM")</f>
        <v>54LS112LM</v>
      </c>
      <c r="B7127" s="3" t="str">
        <f>HYPERLINK("https://www.773grp.com/manufacturer/national-semiconductor?pageNo=24", "National Semiconductor")</f>
        <v>National Semiconductor</v>
      </c>
      <c r="C7127" s="6">
        <v>153</v>
      </c>
      <c r="D7127" s="7">
        <v>7.04</v>
      </c>
    </row>
    <row r="7128" spans="1:5" x14ac:dyDescent="0.25">
      <c r="A7128" t="str">
        <f>HYPERLINK("https://www.773grp.com/globalSearch/54LS503FM/page-1", "54LS503FM")</f>
        <v>54LS503FM</v>
      </c>
      <c r="B7128" s="3" t="str">
        <f>HYPERLINK("https://www.773grp.com/manufacturer/national-semiconductor?pageNo=25", "National Semiconductor")</f>
        <v>National Semiconductor</v>
      </c>
      <c r="C7128" s="6">
        <v>76</v>
      </c>
      <c r="D7128" s="7">
        <v>7.04</v>
      </c>
    </row>
    <row r="7129" spans="1:5" x14ac:dyDescent="0.25">
      <c r="A7129" t="str">
        <f>HYPERLINK("https://www.773grp.com/globalSearch/74ACTQ377SC/page-1", "74ACTQ377SC")</f>
        <v>74ACTQ377SC</v>
      </c>
      <c r="B7129" s="3" t="str">
        <f>HYPERLINK("https://www.773grp.com/manufacturer/national-semiconductor?pageNo=26", "National Semiconductor")</f>
        <v>National Semiconductor</v>
      </c>
      <c r="C7129" s="6">
        <v>2312</v>
      </c>
      <c r="D7129" s="7">
        <v>7.04</v>
      </c>
      <c r="E7129" t="s">
        <v>35</v>
      </c>
    </row>
    <row r="7130" spans="1:5" x14ac:dyDescent="0.25">
      <c r="A7130" t="str">
        <f>HYPERLINK("https://www.773grp.com/globalSearch/74F381PC/page-1", "74F381PC")</f>
        <v>74F381PC</v>
      </c>
      <c r="B7130" s="3" t="str">
        <f>HYPERLINK("https://www.773grp.com/manufacturer/national-semiconductor?pageNo=27", "National Semiconductor")</f>
        <v>National Semiconductor</v>
      </c>
      <c r="C7130" s="6">
        <v>1109</v>
      </c>
      <c r="D7130" s="7">
        <v>7.04</v>
      </c>
      <c r="E7130" t="s">
        <v>43</v>
      </c>
    </row>
    <row r="7131" spans="1:5" x14ac:dyDescent="0.25">
      <c r="A7131" t="str">
        <f>HYPERLINK("https://www.773grp.com/globalSearch/ADC0808CCN-NOPB/page-1", "ADC0808CCN-NOPB")</f>
        <v>ADC0808CCN-NOPB</v>
      </c>
      <c r="B7131" s="3" t="str">
        <f>HYPERLINK("https://www.773grp.com/manufacturer/national-semiconductor?pageNo=28", "National Semiconductor")</f>
        <v>National Semiconductor</v>
      </c>
      <c r="C7131" s="6">
        <v>95</v>
      </c>
      <c r="D7131" s="7">
        <v>7.04</v>
      </c>
      <c r="E7131" t="s">
        <v>39</v>
      </c>
    </row>
    <row r="7132" spans="1:5" x14ac:dyDescent="0.25">
      <c r="A7132" t="str">
        <f>HYPERLINK("https://www.773grp.com/globalSearch/ADC78H89CIMT/page-1", "ADC78H89CIMT")</f>
        <v>ADC78H89CIMT</v>
      </c>
      <c r="B7132" s="3" t="str">
        <f>HYPERLINK("https://www.773grp.com/manufacturer/national-semiconductor?pageNo=29", "National Semiconductor")</f>
        <v>National Semiconductor</v>
      </c>
      <c r="C7132" s="6">
        <v>92</v>
      </c>
      <c r="D7132" s="7">
        <v>7.04</v>
      </c>
      <c r="E7132" t="s">
        <v>39</v>
      </c>
    </row>
    <row r="7133" spans="1:5" x14ac:dyDescent="0.25">
      <c r="A7133" t="str">
        <f>HYPERLINK("https://www.773grp.com/globalSearch/CLC730060/page-1", "CLC730060")</f>
        <v>CLC730060</v>
      </c>
      <c r="B7133" s="3" t="str">
        <f>HYPERLINK("https://www.773grp.com/manufacturer/national-semiconductor?pageNo=30", "National Semiconductor")</f>
        <v>National Semiconductor</v>
      </c>
      <c r="C7133" s="6">
        <v>292</v>
      </c>
      <c r="D7133" s="7">
        <v>7.04</v>
      </c>
    </row>
    <row r="7134" spans="1:5" x14ac:dyDescent="0.25">
      <c r="A7134" t="str">
        <f>HYPERLINK("https://www.773grp.com/globalSearch/DM7500J-883/page-1", "DM7500J-883")</f>
        <v>DM7500J-883</v>
      </c>
      <c r="B7134" s="3" t="str">
        <f>HYPERLINK("https://www.773grp.com/manufacturer/national-semiconductor?pageNo=31", "National Semiconductor")</f>
        <v>National Semiconductor</v>
      </c>
      <c r="C7134" s="6">
        <v>287</v>
      </c>
      <c r="D7134" s="7">
        <v>7.04</v>
      </c>
    </row>
    <row r="7135" spans="1:5" x14ac:dyDescent="0.25">
      <c r="A7135" t="str">
        <f>HYPERLINK("https://www.773grp.com/globalSearch/DM8612N/page-1", "DM8612N")</f>
        <v>DM8612N</v>
      </c>
      <c r="B7135" s="3" t="str">
        <f>HYPERLINK("https://www.773grp.com/manufacturer/national-semiconductor?pageNo=32", "National Semiconductor")</f>
        <v>National Semiconductor</v>
      </c>
      <c r="C7135" s="6">
        <v>2645</v>
      </c>
      <c r="D7135" s="7">
        <v>7.04</v>
      </c>
    </row>
    <row r="7136" spans="1:5" x14ac:dyDescent="0.25">
      <c r="A7136" t="str">
        <f>HYPERLINK("https://www.773grp.com/globalSearch/DS8973N/page-1", "DS8973N")</f>
        <v>DS8973N</v>
      </c>
      <c r="B7136" s="3" t="str">
        <f>HYPERLINK("https://www.773grp.com/manufacturer/national-semiconductor?pageNo=33", "National Semiconductor")</f>
        <v>National Semiconductor</v>
      </c>
      <c r="C7136" s="6">
        <v>953</v>
      </c>
      <c r="D7136" s="7">
        <v>7.04</v>
      </c>
      <c r="E7136" t="s">
        <v>10</v>
      </c>
    </row>
    <row r="7137" spans="1:5" x14ac:dyDescent="0.25">
      <c r="A7137" t="str">
        <f>HYPERLINK("https://www.773grp.com/globalSearch/DS90C185SQX/page-1", "DS90C185SQX")</f>
        <v>DS90C185SQX</v>
      </c>
      <c r="B7137" s="3" t="str">
        <f>HYPERLINK("https://www.773grp.com/manufacturer/national-semiconductor?pageNo=34", "National Semiconductor")</f>
        <v>National Semiconductor</v>
      </c>
      <c r="C7137" s="6">
        <v>5000</v>
      </c>
      <c r="D7137" s="7">
        <v>7.04</v>
      </c>
    </row>
    <row r="7138" spans="1:5" x14ac:dyDescent="0.25">
      <c r="A7138" t="str">
        <f>HYPERLINK("https://www.773grp.com/globalSearch/DS90C185SQX-NOPB/page-1", "DS90C185SQX-NOPB")</f>
        <v>DS90C185SQX-NOPB</v>
      </c>
      <c r="B7138" s="3" t="str">
        <f>HYPERLINK("https://www.773grp.com/manufacturer/national-semiconductor?pageNo=35", "National Semiconductor")</f>
        <v>National Semiconductor</v>
      </c>
      <c r="C7138" s="6">
        <v>2500</v>
      </c>
      <c r="D7138" s="7">
        <v>7.04</v>
      </c>
    </row>
    <row r="7139" spans="1:5" x14ac:dyDescent="0.25">
      <c r="A7139" t="str">
        <f>HYPERLINK("https://www.773grp.com/globalSearch/GAL16V8QS-10LVI/page-1", "GAL16V8QS-10LVI")</f>
        <v>GAL16V8QS-10LVI</v>
      </c>
      <c r="B7139" s="3" t="str">
        <f>HYPERLINK("https://www.773grp.com/manufacturer/national-semiconductor?pageNo=36", "National Semiconductor")</f>
        <v>National Semiconductor</v>
      </c>
      <c r="C7139" s="6">
        <v>1877</v>
      </c>
      <c r="D7139" s="7">
        <v>7.04</v>
      </c>
    </row>
    <row r="7140" spans="1:5" x14ac:dyDescent="0.25">
      <c r="A7140" t="str">
        <f>HYPERLINK("https://www.773grp.com/globalSearch/GAL20V8QS-25QVI/page-1", "GAL20V8QS-25QVI")</f>
        <v>GAL20V8QS-25QVI</v>
      </c>
      <c r="B7140" s="3" t="str">
        <f>HYPERLINK("https://www.773grp.com/manufacturer/national-semiconductor?pageNo=37", "National Semiconductor")</f>
        <v>National Semiconductor</v>
      </c>
      <c r="C7140" s="6">
        <v>3007</v>
      </c>
      <c r="D7140" s="7">
        <v>7.04</v>
      </c>
      <c r="E7140" t="s">
        <v>51</v>
      </c>
    </row>
    <row r="7141" spans="1:5" x14ac:dyDescent="0.25">
      <c r="A7141" t="str">
        <f>HYPERLINK("https://www.773grp.com/globalSearch/GAL22CV10-25LNC/page-1", "GAL22CV10-25LNC")</f>
        <v>GAL22CV10-25LNC</v>
      </c>
      <c r="B7141" s="3" t="str">
        <f>HYPERLINK("https://www.773grp.com/manufacturer/national-semiconductor?pageNo=38", "National Semiconductor")</f>
        <v>National Semiconductor</v>
      </c>
      <c r="C7141" s="6">
        <v>4559</v>
      </c>
      <c r="D7141" s="7">
        <v>7.04</v>
      </c>
    </row>
    <row r="7142" spans="1:5" x14ac:dyDescent="0.25">
      <c r="A7142" t="str">
        <f>HYPERLINK("https://www.773grp.com/globalSearch/LM21305SQ-NOPB/page-1", "LM21305SQ-NOPB")</f>
        <v>LM21305SQ-NOPB</v>
      </c>
      <c r="B7142" s="3" t="str">
        <f>HYPERLINK("https://www.773grp.com/manufacturer/national-semiconductor?pageNo=39", "National Semiconductor")</f>
        <v>National Semiconductor</v>
      </c>
      <c r="C7142" s="6">
        <v>20000</v>
      </c>
      <c r="D7142" s="7">
        <v>7.04</v>
      </c>
    </row>
    <row r="7143" spans="1:5" x14ac:dyDescent="0.25">
      <c r="A7143" t="str">
        <f>HYPERLINK("https://www.773grp.com/globalSearch/LM22677TJ-ADJ-NOPB/page-1", "LM22677TJ-ADJ-NOPB")</f>
        <v>LM22677TJ-ADJ-NOPB</v>
      </c>
      <c r="B7143" s="3" t="str">
        <f>HYPERLINK("https://www.773grp.com/manufacturer/national-semiconductor?pageNo=40", "National Semiconductor")</f>
        <v>National Semiconductor</v>
      </c>
      <c r="C7143" s="6">
        <v>5000</v>
      </c>
      <c r="D7143" s="7">
        <v>7.04</v>
      </c>
    </row>
    <row r="7144" spans="1:5" x14ac:dyDescent="0.25">
      <c r="A7144" t="str">
        <f>HYPERLINK("https://www.773grp.com/globalSearch/LM2625M/page-1", "LM2625M")</f>
        <v>LM2625M</v>
      </c>
      <c r="B7144" s="3" t="str">
        <f>HYPERLINK("https://www.773grp.com/manufacturer/national-semiconductor?pageNo=41", "National Semiconductor")</f>
        <v>National Semiconductor</v>
      </c>
      <c r="C7144" s="6">
        <v>2470</v>
      </c>
      <c r="D7144" s="7">
        <v>7.04</v>
      </c>
    </row>
    <row r="7145" spans="1:5" x14ac:dyDescent="0.25">
      <c r="A7145" t="str">
        <f>HYPERLINK("https://www.773grp.com/globalSearch/LM2676LD-12/page-1", "LM2676LD-12")</f>
        <v>LM2676LD-12</v>
      </c>
      <c r="B7145" s="3" t="str">
        <f>HYPERLINK("https://www.773grp.com/manufacturer/national-semiconductor?pageNo=42", "National Semiconductor")</f>
        <v>National Semiconductor</v>
      </c>
      <c r="C7145" s="6">
        <v>250</v>
      </c>
      <c r="D7145" s="7">
        <v>7.04</v>
      </c>
      <c r="E7145" t="s">
        <v>7</v>
      </c>
    </row>
    <row r="7146" spans="1:5" x14ac:dyDescent="0.25">
      <c r="A7146" t="str">
        <f>HYPERLINK("https://www.773grp.com/globalSearch/LM35CAZ-NOPB/page-1", "LM35CAZ-NOPB")</f>
        <v>LM35CAZ-NOPB</v>
      </c>
      <c r="B7146" s="3" t="str">
        <f>HYPERLINK("https://www.773grp.com/manufacturer/national-semiconductor?pageNo=43", "National Semiconductor")</f>
        <v>National Semiconductor</v>
      </c>
      <c r="C7146" s="6">
        <v>4123</v>
      </c>
      <c r="D7146" s="7">
        <v>7.04</v>
      </c>
      <c r="E7146" t="s">
        <v>8</v>
      </c>
    </row>
    <row r="7147" spans="1:5" x14ac:dyDescent="0.25">
      <c r="A7147" t="str">
        <f>HYPERLINK("https://www.773grp.com/globalSearch/LM360H/page-1", "LM360H")</f>
        <v>LM360H</v>
      </c>
      <c r="B7147" s="3" t="str">
        <f>HYPERLINK("https://www.773grp.com/manufacturer/national-semiconductor?pageNo=44", "National Semiconductor")</f>
        <v>National Semiconductor</v>
      </c>
      <c r="C7147" s="6">
        <v>29</v>
      </c>
      <c r="D7147" s="7">
        <v>7.04</v>
      </c>
      <c r="E7147" t="s">
        <v>9</v>
      </c>
    </row>
    <row r="7148" spans="1:5" x14ac:dyDescent="0.25">
      <c r="A7148" t="str">
        <f>HYPERLINK("https://www.773grp.com/globalSearch/LM4960SQ-NOPB/page-1", "LM4960SQ-NOPB")</f>
        <v>LM4960SQ-NOPB</v>
      </c>
      <c r="B7148" s="3" t="str">
        <f>HYPERLINK("https://www.773grp.com/manufacturer/national-semiconductor?pageNo=45", "National Semiconductor")</f>
        <v>National Semiconductor</v>
      </c>
      <c r="C7148" s="6">
        <v>4000</v>
      </c>
      <c r="D7148" s="7">
        <v>7.04</v>
      </c>
    </row>
    <row r="7149" spans="1:5" x14ac:dyDescent="0.25">
      <c r="A7149" t="str">
        <f>HYPERLINK("https://www.773grp.com/globalSearch/LME49811TB-NOPB/page-1", "LME49811TB-NOPB")</f>
        <v>LME49811TB-NOPB</v>
      </c>
      <c r="B7149" s="3" t="str">
        <f>HYPERLINK("https://www.773grp.com/manufacturer/national-semiconductor?pageNo=46", "National Semiconductor")</f>
        <v>National Semiconductor</v>
      </c>
      <c r="C7149" s="6">
        <v>168</v>
      </c>
      <c r="D7149" s="7">
        <v>7.04</v>
      </c>
    </row>
    <row r="7150" spans="1:5" x14ac:dyDescent="0.25">
      <c r="A7150" t="str">
        <f>HYPERLINK("https://www.773grp.com/globalSearch/LMH6570MAX-NOPB/page-1", "LMH6570MAX-NOPB")</f>
        <v>LMH6570MAX-NOPB</v>
      </c>
      <c r="B7150" s="3" t="str">
        <f>HYPERLINK("https://www.773grp.com/manufacturer/national-semiconductor?pageNo=47", "National Semiconductor")</f>
        <v>National Semiconductor</v>
      </c>
      <c r="C7150" s="6">
        <v>2500</v>
      </c>
      <c r="D7150" s="7">
        <v>7.04</v>
      </c>
      <c r="E7150" t="s">
        <v>56</v>
      </c>
    </row>
    <row r="7151" spans="1:5" x14ac:dyDescent="0.25">
      <c r="A7151" t="str">
        <f>HYPERLINK("https://www.773grp.com/globalSearch/LMH6572MQX-NOPB/page-1", "LMH6572MQX-NOPB")</f>
        <v>LMH6572MQX-NOPB</v>
      </c>
      <c r="B7151" s="3" t="str">
        <f>HYPERLINK("https://www.773grp.com/manufacturer/national-semiconductor?pageNo=48", "National Semiconductor")</f>
        <v>National Semiconductor</v>
      </c>
      <c r="C7151" s="6">
        <v>5000</v>
      </c>
      <c r="D7151" s="7">
        <v>7.04</v>
      </c>
      <c r="E7151" t="s">
        <v>56</v>
      </c>
    </row>
    <row r="7152" spans="1:5" x14ac:dyDescent="0.25">
      <c r="A7152" t="str">
        <f>HYPERLINK("https://www.773grp.com/globalSearch/LMH6574MAX/page-1", "LMH6574MAX")</f>
        <v>LMH6574MAX</v>
      </c>
      <c r="B7152" s="3" t="str">
        <f>HYPERLINK("https://www.773grp.com/manufacturer/national-semiconductor?pageNo=49", "National Semiconductor")</f>
        <v>National Semiconductor</v>
      </c>
      <c r="C7152" s="6">
        <v>5000</v>
      </c>
      <c r="D7152" s="7">
        <v>7.04</v>
      </c>
      <c r="E7152" t="s">
        <v>56</v>
      </c>
    </row>
    <row r="7153" spans="1:5" x14ac:dyDescent="0.25">
      <c r="A7153" t="str">
        <f>HYPERLINK("https://www.773grp.com/globalSearch/LMH6574MAX-NOPB/page-1", "LMH6574MAX-NOPB")</f>
        <v>LMH6574MAX-NOPB</v>
      </c>
      <c r="B7153" s="3" t="str">
        <f>HYPERLINK("https://www.773grp.com/manufacturer/national-semiconductor?pageNo=50", "National Semiconductor")</f>
        <v>National Semiconductor</v>
      </c>
      <c r="C7153" s="6">
        <v>2500</v>
      </c>
      <c r="D7153" s="7">
        <v>7.04</v>
      </c>
      <c r="E7153" t="s">
        <v>56</v>
      </c>
    </row>
    <row r="7154" spans="1:5" x14ac:dyDescent="0.25">
      <c r="A7154" t="str">
        <f>HYPERLINK("https://www.773grp.com/globalSearch/LP3972SQ-0514-NOPB/page-1", "LP3972SQ-0514-NOPB")</f>
        <v>LP3972SQ-0514-NOPB</v>
      </c>
      <c r="B7154" s="3" t="str">
        <f>HYPERLINK("https://www.773grp.com/manufacturer/national-semiconductor?pageNo=51", "National Semiconductor")</f>
        <v>National Semiconductor</v>
      </c>
      <c r="C7154" s="6">
        <v>1990</v>
      </c>
      <c r="D7154" s="7">
        <v>7.04</v>
      </c>
    </row>
    <row r="7155" spans="1:5" x14ac:dyDescent="0.25">
      <c r="A7155" t="str">
        <f>HYPERLINK("https://www.773grp.com/globalSearch/LP3972SQ-A413-NOPB/page-1", "LP3972SQ-A413-NOPB")</f>
        <v>LP3972SQ-A413-NOPB</v>
      </c>
      <c r="B7155" s="3" t="str">
        <f>HYPERLINK("https://www.773grp.com/manufacturer/national-semiconductor?pageNo=52", "National Semiconductor")</f>
        <v>National Semiconductor</v>
      </c>
      <c r="C7155" s="6">
        <v>29305</v>
      </c>
      <c r="D7155" s="7">
        <v>7.04</v>
      </c>
    </row>
    <row r="7156" spans="1:5" x14ac:dyDescent="0.25">
      <c r="A7156" t="str">
        <f>HYPERLINK("https://www.773grp.com/globalSearch/LP3972SQ-A514-NOPB/page-1", "LP3972SQ-A514-NOPB")</f>
        <v>LP3972SQ-A514-NOPB</v>
      </c>
      <c r="B7156" s="3" t="str">
        <f>HYPERLINK("https://www.773grp.com/manufacturer/national-semiconductor?pageNo=53", "National Semiconductor")</f>
        <v>National Semiconductor</v>
      </c>
      <c r="C7156" s="6">
        <v>5000</v>
      </c>
      <c r="D7156" s="7">
        <v>7.04</v>
      </c>
    </row>
    <row r="7157" spans="1:5" x14ac:dyDescent="0.25">
      <c r="A7157" t="str">
        <f>HYPERLINK("https://www.773grp.com/globalSearch/LP3972SQ-I414-NOPB/page-1", "LP3972SQ-I414-NOPB")</f>
        <v>LP3972SQ-I414-NOPB</v>
      </c>
      <c r="B7157" s="3" t="str">
        <f>HYPERLINK("https://www.773grp.com/manufacturer/national-semiconductor?pageNo=54", "National Semiconductor")</f>
        <v>National Semiconductor</v>
      </c>
      <c r="C7157" s="6">
        <v>1772</v>
      </c>
      <c r="D7157" s="7">
        <v>7.04</v>
      </c>
    </row>
    <row r="7158" spans="1:5" x14ac:dyDescent="0.25">
      <c r="A7158" t="str">
        <f>HYPERLINK("https://www.773grp.com/globalSearch/LP3972SQ-I514-NOPB/page-1", "LP3972SQ-I514-NOPB")</f>
        <v>LP3972SQ-I514-NOPB</v>
      </c>
      <c r="B7158" s="3" t="str">
        <f>HYPERLINK("https://www.773grp.com/manufacturer/national-semiconductor?pageNo=55", "National Semiconductor")</f>
        <v>National Semiconductor</v>
      </c>
      <c r="C7158" s="6">
        <v>1353</v>
      </c>
      <c r="D7158" s="7">
        <v>7.04</v>
      </c>
    </row>
    <row r="7159" spans="1:5" x14ac:dyDescent="0.25">
      <c r="A7159" t="str">
        <f>HYPERLINK("https://www.773grp.com/globalSearch/NM27C020T200/page-1", "NM27C020T200")</f>
        <v>NM27C020T200</v>
      </c>
      <c r="B7159" s="3" t="str">
        <f>HYPERLINK("https://www.773grp.com/manufacturer/national-semiconductor?pageNo=56", "National Semiconductor")</f>
        <v>National Semiconductor</v>
      </c>
      <c r="C7159" s="6">
        <v>3116</v>
      </c>
      <c r="D7159" s="7">
        <v>7.04</v>
      </c>
    </row>
    <row r="7160" spans="1:5" x14ac:dyDescent="0.25">
      <c r="A7160" t="str">
        <f>HYPERLINK("https://www.773grp.com/globalSearch/ADC0808CCN-NOPB/page-1", "ADC0808CCN-NOPB")</f>
        <v>ADC0808CCN-NOPB</v>
      </c>
      <c r="B7160" s="3" t="str">
        <f>HYPERLINK("https://www.773grp.com/manufacturer/national-semiconductor?pageNo=57", "National Semiconductor")</f>
        <v>National Semiconductor</v>
      </c>
      <c r="C7160" s="6">
        <v>229</v>
      </c>
      <c r="D7160" s="7">
        <v>7.04</v>
      </c>
      <c r="E7160" t="s">
        <v>39</v>
      </c>
    </row>
    <row r="7161" spans="1:5" x14ac:dyDescent="0.25">
      <c r="A7161" t="str">
        <f>HYPERLINK("https://www.773grp.com/globalSearch/ADC78H89CIMTX-NOPB/page-1", "ADC78H89CIMTX-NOPB")</f>
        <v>ADC78H89CIMTX-NOPB</v>
      </c>
      <c r="B7161" s="3" t="str">
        <f>HYPERLINK("https://www.773grp.com/manufacturer/national-semiconductor?pageNo=58", "National Semiconductor")</f>
        <v>National Semiconductor</v>
      </c>
      <c r="C7161" s="6">
        <v>2295</v>
      </c>
      <c r="D7161" s="7">
        <v>7.04</v>
      </c>
    </row>
    <row r="7162" spans="1:5" x14ac:dyDescent="0.25">
      <c r="A7162" t="str">
        <f>HYPERLINK("https://www.773grp.com/globalSearch/LM21305SQ-NOPB/page-1", "LM21305SQ-NOPB")</f>
        <v>LM21305SQ-NOPB</v>
      </c>
      <c r="B7162" s="3" t="str">
        <f>HYPERLINK("https://www.773grp.com/manufacturer/national-semiconductor?pageNo=59", "National Semiconductor")</f>
        <v>National Semiconductor</v>
      </c>
      <c r="C7162" s="6">
        <v>1576</v>
      </c>
      <c r="D7162" s="7">
        <v>7.04</v>
      </c>
    </row>
    <row r="7163" spans="1:5" x14ac:dyDescent="0.25">
      <c r="A7163" t="str">
        <f>HYPERLINK("https://www.773grp.com/globalSearch/LM21305SQ-NOPB/page-1", "LM21305SQ-NOPB")</f>
        <v>LM21305SQ-NOPB</v>
      </c>
      <c r="B7163" s="3" t="str">
        <f>HYPERLINK("https://www.773grp.com/manufacturer/national-semiconductor?pageNo=60", "National Semiconductor")</f>
        <v>National Semiconductor</v>
      </c>
      <c r="C7163" s="6">
        <v>1000</v>
      </c>
      <c r="D7163" s="7">
        <v>7.04</v>
      </c>
    </row>
    <row r="7164" spans="1:5" x14ac:dyDescent="0.25">
      <c r="A7164" t="str">
        <f>HYPERLINK("https://www.773grp.com/globalSearch/LM22677TJ-ADJ-NOPB/page-1", "LM22677TJ-ADJ-NOPB")</f>
        <v>LM22677TJ-ADJ-NOPB</v>
      </c>
      <c r="B7164" s="3" t="str">
        <f>HYPERLINK("https://www.773grp.com/manufacturer/national-semiconductor?pageNo=61", "National Semiconductor")</f>
        <v>National Semiconductor</v>
      </c>
      <c r="C7164" s="6">
        <v>30</v>
      </c>
      <c r="D7164" s="7">
        <v>7.04</v>
      </c>
    </row>
    <row r="7165" spans="1:5" x14ac:dyDescent="0.25">
      <c r="A7165" t="str">
        <f>HYPERLINK("https://www.773grp.com/globalSearch/LM35CAZ-NOPB/page-1", "LM35CAZ-NOPB")</f>
        <v>LM35CAZ-NOPB</v>
      </c>
      <c r="B7165" s="3" t="str">
        <f>HYPERLINK("https://www.773grp.com/manufacturer/national-semiconductor?pageNo=62", "National Semiconductor")</f>
        <v>National Semiconductor</v>
      </c>
      <c r="C7165" s="6">
        <v>282</v>
      </c>
      <c r="D7165" s="7">
        <v>7.04</v>
      </c>
      <c r="E7165" t="s">
        <v>8</v>
      </c>
    </row>
    <row r="7166" spans="1:5" x14ac:dyDescent="0.25">
      <c r="A7166" t="str">
        <f>HYPERLINK("https://www.773grp.com/globalSearch/LME49811TB-NOPB/page-1", "LME49811TB-NOPB")</f>
        <v>LME49811TB-NOPB</v>
      </c>
      <c r="B7166" s="3" t="str">
        <f>HYPERLINK("https://www.773grp.com/manufacturer/national-semiconductor?pageNo=63", "National Semiconductor")</f>
        <v>National Semiconductor</v>
      </c>
      <c r="C7166" s="6">
        <v>291</v>
      </c>
      <c r="D7166" s="7">
        <v>7.04</v>
      </c>
    </row>
    <row r="7167" spans="1:5" x14ac:dyDescent="0.25">
      <c r="A7167" t="str">
        <f>HYPERLINK("https://www.773grp.com/globalSearch/LMH6570MAX/page-1", "LMH6570MAX")</f>
        <v>LMH6570MAX</v>
      </c>
      <c r="B7167" s="3" t="str">
        <f>HYPERLINK("https://www.773grp.com/manufacturer/national-semiconductor?pageNo=64", "National Semiconductor")</f>
        <v>National Semiconductor</v>
      </c>
      <c r="C7167" s="6">
        <v>2500</v>
      </c>
      <c r="D7167" s="7">
        <v>7.04</v>
      </c>
    </row>
    <row r="7168" spans="1:5" x14ac:dyDescent="0.25">
      <c r="A7168" t="str">
        <f>HYPERLINK("https://www.773grp.com/globalSearch/LMH6572MQX-NOPB/page-1", "LMH6572MQX-NOPB")</f>
        <v>LMH6572MQX-NOPB</v>
      </c>
      <c r="B7168" s="3" t="str">
        <f>HYPERLINK("https://www.773grp.com/manufacturer/national-semiconductor?pageNo=65", "National Semiconductor")</f>
        <v>National Semiconductor</v>
      </c>
      <c r="C7168" s="6">
        <v>17500</v>
      </c>
      <c r="D7168" s="7">
        <v>7.04</v>
      </c>
      <c r="E7168" t="s">
        <v>56</v>
      </c>
    </row>
    <row r="7169" spans="1:5" x14ac:dyDescent="0.25">
      <c r="A7169" t="str">
        <f>HYPERLINK("https://www.773grp.com/globalSearch/LMH6574MAX-NOPB/page-1", "LMH6574MAX-NOPB")</f>
        <v>LMH6574MAX-NOPB</v>
      </c>
      <c r="B7169" s="3" t="str">
        <f>HYPERLINK("https://www.773grp.com/manufacturer/national-semiconductor?pageNo=66", "National Semiconductor")</f>
        <v>National Semiconductor</v>
      </c>
      <c r="C7169" s="6">
        <v>811</v>
      </c>
      <c r="D7169" s="7">
        <v>7.04</v>
      </c>
      <c r="E7169" t="s">
        <v>56</v>
      </c>
    </row>
    <row r="7170" spans="1:5" x14ac:dyDescent="0.25">
      <c r="A7170" t="str">
        <f>HYPERLINK("https://www.773grp.com/globalSearch/LMH6624MF/page-1", "LMH6624MF")</f>
        <v>LMH6624MF</v>
      </c>
      <c r="B7170" s="3" t="str">
        <f>HYPERLINK("https://www.773grp.com/manufacturer/national-semiconductor?pageNo=67", "National Semiconductor")</f>
        <v>National Semiconductor</v>
      </c>
      <c r="C7170" s="6">
        <v>657</v>
      </c>
      <c r="D7170" s="7">
        <v>7.04</v>
      </c>
    </row>
    <row r="7171" spans="1:5" x14ac:dyDescent="0.25">
      <c r="A7171" t="str">
        <f>HYPERLINK("https://www.773grp.com/globalSearch/LP3972SQ-A413-NOPB/page-1", "LP3972SQ-A413-NOPB")</f>
        <v>LP3972SQ-A413-NOPB</v>
      </c>
      <c r="B7171" s="3" t="str">
        <f>HYPERLINK("https://www.773grp.com/manufacturer/national-semiconductor?pageNo=68", "National Semiconductor")</f>
        <v>National Semiconductor</v>
      </c>
      <c r="C7171" s="6">
        <v>3016</v>
      </c>
      <c r="D7171" s="7">
        <v>7.04</v>
      </c>
    </row>
    <row r="7172" spans="1:5" x14ac:dyDescent="0.25">
      <c r="A7172" t="str">
        <f>HYPERLINK("https://www.773grp.com/globalSearch/LP3972SQ-I414-NOPB/page-1", "LP3972SQ-I414-NOPB")</f>
        <v>LP3972SQ-I414-NOPB</v>
      </c>
      <c r="B7172" s="3" t="str">
        <f>HYPERLINK("https://www.773grp.com/manufacturer/national-semiconductor?pageNo=69", "National Semiconductor")</f>
        <v>National Semiconductor</v>
      </c>
      <c r="C7172" s="6">
        <v>500</v>
      </c>
      <c r="D7172" s="7">
        <v>7.04</v>
      </c>
    </row>
    <row r="7173" spans="1:5" x14ac:dyDescent="0.25">
      <c r="A7173" t="str">
        <f>HYPERLINK("https://www.773grp.com/globalSearch/LP3972SQ-I514-NOPB/page-1", "LP3972SQ-I514-NOPB")</f>
        <v>LP3972SQ-I514-NOPB</v>
      </c>
      <c r="B7173" s="3" t="str">
        <f>HYPERLINK("https://www.773grp.com/manufacturer/national-semiconductor?pageNo=70", "National Semiconductor")</f>
        <v>National Semiconductor</v>
      </c>
      <c r="C7173" s="6">
        <v>730</v>
      </c>
      <c r="D7173" s="7">
        <v>7.04</v>
      </c>
    </row>
    <row r="7174" spans="1:5" x14ac:dyDescent="0.25">
      <c r="A7174" t="str">
        <f>HYPERLINK("https://www.773grp.com/globalSearch/LP3972SQX-A514-NOPB/page-1", "LP3972SQX-A514-NOPB")</f>
        <v>LP3972SQX-A514-NOPB</v>
      </c>
      <c r="B7174" s="3" t="str">
        <f>HYPERLINK("https://www.773grp.com/manufacturer/national-semiconductor?pageNo=71", "National Semiconductor")</f>
        <v>National Semiconductor</v>
      </c>
      <c r="C7174" s="6">
        <v>744</v>
      </c>
      <c r="D7174" s="7">
        <v>7.04</v>
      </c>
    </row>
    <row r="7175" spans="1:5" x14ac:dyDescent="0.25">
      <c r="A7175" t="str">
        <f>HYPERLINK("https://www.773grp.com/globalSearch/MSP430F5419AIZQWR/page-1", "MSP430F5419AIZQWR")</f>
        <v>MSP430F5419AIZQWR</v>
      </c>
      <c r="B7175" s="3" t="str">
        <f>HYPERLINK("https://www.773grp.com/manufacturer/national-semiconductor?pageNo=72", "National Semiconductor")</f>
        <v>National Semiconductor</v>
      </c>
      <c r="C7175" s="6">
        <v>2500</v>
      </c>
      <c r="D7175" s="7">
        <v>7.04</v>
      </c>
    </row>
    <row r="7176" spans="1:5" x14ac:dyDescent="0.25">
      <c r="A7176" t="str">
        <f>HYPERLINK("https://www.773grp.com/globalSearch/54LS298FM/page-1", "54LS298FM")</f>
        <v>54LS298FM</v>
      </c>
      <c r="B7176" s="3" t="str">
        <f>HYPERLINK("https://www.773grp.com/manufacturer/national-semiconductor?pageNo=73", "National Semiconductor")</f>
        <v>National Semiconductor</v>
      </c>
      <c r="C7176" s="6">
        <v>121</v>
      </c>
      <c r="D7176" s="7">
        <v>7.05</v>
      </c>
    </row>
    <row r="7177" spans="1:5" x14ac:dyDescent="0.25">
      <c r="A7177" t="str">
        <f>HYPERLINK("https://www.773grp.com/globalSearch/54LS298FMQB/page-1", "54LS298FMQB")</f>
        <v>54LS298FMQB</v>
      </c>
      <c r="B7177" s="3" t="str">
        <f>HYPERLINK("https://www.773grp.com/manufacturer/national-semiconductor?pageNo=74", "National Semiconductor")</f>
        <v>National Semiconductor</v>
      </c>
      <c r="C7177" s="6">
        <v>612</v>
      </c>
      <c r="D7177" s="7">
        <v>7.05</v>
      </c>
      <c r="E7177" t="s">
        <v>35</v>
      </c>
    </row>
    <row r="7178" spans="1:5" x14ac:dyDescent="0.25">
      <c r="A7178" t="str">
        <f>HYPERLINK("https://www.773grp.com/globalSearch/LM2716MT/page-1", "LM2716MT")</f>
        <v>LM2716MT</v>
      </c>
      <c r="B7178" s="3" t="str">
        <f>HYPERLINK("https://www.773grp.com/manufacturer/national-semiconductor?pageNo=75", "National Semiconductor")</f>
        <v>National Semiconductor</v>
      </c>
      <c r="C7178" s="6">
        <v>93</v>
      </c>
      <c r="D7178" s="7">
        <v>7.05</v>
      </c>
      <c r="E7178" t="s">
        <v>7</v>
      </c>
    </row>
    <row r="7179" spans="1:5" x14ac:dyDescent="0.25">
      <c r="A7179" t="str">
        <f>HYPERLINK("https://www.773grp.com/globalSearch/LMX2471SLEX/page-1", "LMX2471SLEX")</f>
        <v>LMX2471SLEX</v>
      </c>
      <c r="B7179" s="3" t="str">
        <f>HYPERLINK("https://www.773grp.com/manufacturer/national-semiconductor?pageNo=76", "National Semiconductor")</f>
        <v>National Semiconductor</v>
      </c>
      <c r="C7179" s="6">
        <v>1709</v>
      </c>
      <c r="D7179" s="7">
        <v>7.05</v>
      </c>
      <c r="E7179" t="s">
        <v>38</v>
      </c>
    </row>
    <row r="7180" spans="1:5" x14ac:dyDescent="0.25">
      <c r="A7180" t="str">
        <f>HYPERLINK("https://www.773grp.com/globalSearch/LP2952AIM/page-1", "LP2952AIM")</f>
        <v>LP2952AIM</v>
      </c>
      <c r="B7180" s="3" t="str">
        <f>HYPERLINK("https://www.773grp.com/manufacturer/national-semiconductor?pageNo=77", "National Semiconductor")</f>
        <v>National Semiconductor</v>
      </c>
      <c r="C7180" s="6">
        <v>1750</v>
      </c>
      <c r="D7180" s="7">
        <v>7.05</v>
      </c>
      <c r="E7180" t="s">
        <v>27</v>
      </c>
    </row>
    <row r="7181" spans="1:5" x14ac:dyDescent="0.25">
      <c r="A7181" t="str">
        <f>HYPERLINK("https://www.773grp.com/globalSearch/LMH6321MR-NOPB/page-1", "LMH6321MR-NOPB")</f>
        <v>LMH6321MR-NOPB</v>
      </c>
      <c r="B7181" s="3" t="str">
        <f>HYPERLINK("https://www.773grp.com/manufacturer/national-semiconductor?pageNo=78", "National Semiconductor")</f>
        <v>National Semiconductor</v>
      </c>
      <c r="C7181" s="6">
        <v>260</v>
      </c>
      <c r="D7181" s="7">
        <v>7.05</v>
      </c>
    </row>
    <row r="7182" spans="1:5" x14ac:dyDescent="0.25">
      <c r="A7182" t="str">
        <f>HYPERLINK("https://www.773grp.com/globalSearch/LMH6321TS-NOPB/page-1", "LMH6321TS-NOPB")</f>
        <v>LMH6321TS-NOPB</v>
      </c>
      <c r="B7182" s="3" t="str">
        <f>HYPERLINK("https://www.773grp.com/manufacturer/national-semiconductor?pageNo=79", "National Semiconductor")</f>
        <v>National Semiconductor</v>
      </c>
      <c r="C7182" s="6">
        <v>109</v>
      </c>
      <c r="D7182" s="7">
        <v>7.05</v>
      </c>
    </row>
    <row r="7183" spans="1:5" x14ac:dyDescent="0.25">
      <c r="A7183" t="str">
        <f>HYPERLINK("https://www.773grp.com/globalSearch/54LS378FMQB/page-1", "54LS378FMQB")</f>
        <v>54LS378FMQB</v>
      </c>
      <c r="B7183" s="3" t="str">
        <f>HYPERLINK("https://www.773grp.com/manufacturer/national-semiconductor?pageNo=80", "National Semiconductor")</f>
        <v>National Semiconductor</v>
      </c>
      <c r="C7183" s="6">
        <v>1341</v>
      </c>
      <c r="D7183" s="7">
        <v>7.09</v>
      </c>
      <c r="E7183" t="s">
        <v>35</v>
      </c>
    </row>
    <row r="7184" spans="1:5" x14ac:dyDescent="0.25">
      <c r="A7184" t="str">
        <f>HYPERLINK("https://www.773grp.com/globalSearch/54LS379FM/page-1", "54LS379FM")</f>
        <v>54LS379FM</v>
      </c>
      <c r="B7184" s="3" t="str">
        <f>HYPERLINK("https://www.773grp.com/manufacturer/national-semiconductor?pageNo=81", "National Semiconductor")</f>
        <v>National Semiconductor</v>
      </c>
      <c r="C7184" s="6">
        <v>545</v>
      </c>
      <c r="D7184" s="7">
        <v>7.09</v>
      </c>
    </row>
    <row r="7185" spans="1:5" x14ac:dyDescent="0.25">
      <c r="A7185" t="str">
        <f>HYPERLINK("https://www.773grp.com/globalSearch/54LS379FMQB/page-1", "54LS379FMQB")</f>
        <v>54LS379FMQB</v>
      </c>
      <c r="B7185" s="3" t="str">
        <f>HYPERLINK("https://www.773grp.com/manufacturer/national-semiconductor?pageNo=82", "National Semiconductor")</f>
        <v>National Semiconductor</v>
      </c>
      <c r="C7185" s="6">
        <v>1087</v>
      </c>
      <c r="D7185" s="7">
        <v>7.09</v>
      </c>
      <c r="E7185" t="s">
        <v>35</v>
      </c>
    </row>
    <row r="7186" spans="1:5" x14ac:dyDescent="0.25">
      <c r="A7186" t="str">
        <f>HYPERLINK("https://www.773grp.com/globalSearch/74195PC/page-1", "74195PC")</f>
        <v>74195PC</v>
      </c>
      <c r="B7186" s="3" t="str">
        <f>HYPERLINK("https://www.773grp.com/manufacturer/national-semiconductor?pageNo=83", "National Semiconductor")</f>
        <v>National Semiconductor</v>
      </c>
      <c r="C7186" s="6">
        <v>5633</v>
      </c>
      <c r="D7186" s="7">
        <v>7.09</v>
      </c>
    </row>
    <row r="7187" spans="1:5" x14ac:dyDescent="0.25">
      <c r="A7187" t="str">
        <f>HYPERLINK("https://www.773grp.com/globalSearch/COP8SCR9HLQ8/page-1", "COP8SCR9HLQ8")</f>
        <v>COP8SCR9HLQ8</v>
      </c>
      <c r="B7187" s="3" t="str">
        <f>HYPERLINK("https://www.773grp.com/manufacturer/national-semiconductor?pageNo=84", "National Semiconductor")</f>
        <v>National Semiconductor</v>
      </c>
      <c r="C7187" s="6">
        <v>3500</v>
      </c>
      <c r="D7187" s="7">
        <v>7.09</v>
      </c>
      <c r="E7187" t="s">
        <v>52</v>
      </c>
    </row>
    <row r="7188" spans="1:5" x14ac:dyDescent="0.25">
      <c r="A7188" t="str">
        <f>HYPERLINK("https://www.773grp.com/globalSearch/DM7098J/page-1", "DM7098J")</f>
        <v>DM7098J</v>
      </c>
      <c r="B7188" s="3" t="str">
        <f>HYPERLINK("https://www.773grp.com/manufacturer/national-semiconductor?pageNo=85", "National Semiconductor")</f>
        <v>National Semiconductor</v>
      </c>
      <c r="C7188" s="6">
        <v>1423</v>
      </c>
      <c r="D7188" s="7">
        <v>7.09</v>
      </c>
    </row>
    <row r="7189" spans="1:5" x14ac:dyDescent="0.25">
      <c r="A7189" t="str">
        <f>HYPERLINK("https://www.773grp.com/globalSearch/DM7132J/page-1", "DM7132J")</f>
        <v>DM7132J</v>
      </c>
      <c r="B7189" s="3" t="str">
        <f>HYPERLINK("https://www.773grp.com/manufacturer/national-semiconductor?pageNo=86", "National Semiconductor")</f>
        <v>National Semiconductor</v>
      </c>
      <c r="C7189" s="6">
        <v>810</v>
      </c>
      <c r="D7189" s="7">
        <v>7.09</v>
      </c>
    </row>
    <row r="7190" spans="1:5" x14ac:dyDescent="0.25">
      <c r="A7190" t="str">
        <f>HYPERLINK("https://www.773grp.com/globalSearch/DS90CF384MTDX-NOPB/page-1", "DS90CF384MTDX-NOPB")</f>
        <v>DS90CF384MTDX-NOPB</v>
      </c>
      <c r="B7190" s="3" t="str">
        <f>HYPERLINK("https://www.773grp.com/manufacturer/national-semiconductor?pageNo=87", "National Semiconductor")</f>
        <v>National Semiconductor</v>
      </c>
      <c r="C7190" s="6">
        <v>4000</v>
      </c>
      <c r="D7190" s="7">
        <v>7.09</v>
      </c>
      <c r="E7190" t="s">
        <v>21</v>
      </c>
    </row>
    <row r="7191" spans="1:5" x14ac:dyDescent="0.25">
      <c r="A7191" t="str">
        <f>HYPERLINK("https://www.773grp.com/globalSearch/DS91M124TMA-NOPB/page-1", "DS91M124TMA-NOPB")</f>
        <v>DS91M124TMA-NOPB</v>
      </c>
      <c r="B7191" s="3" t="str">
        <f>HYPERLINK("https://www.773grp.com/manufacturer/national-semiconductor?pageNo=88", "National Semiconductor")</f>
        <v>National Semiconductor</v>
      </c>
      <c r="C7191" s="6">
        <v>114</v>
      </c>
      <c r="D7191" s="7">
        <v>7.09</v>
      </c>
    </row>
    <row r="7192" spans="1:5" x14ac:dyDescent="0.25">
      <c r="A7192" t="str">
        <f>HYPERLINK("https://www.773grp.com/globalSearch/DS91M125TMA-NOPB/page-1", "DS91M125TMA-NOPB")</f>
        <v>DS91M125TMA-NOPB</v>
      </c>
      <c r="B7192" s="3" t="str">
        <f>HYPERLINK("https://www.773grp.com/manufacturer/national-semiconductor?pageNo=89", "National Semiconductor")</f>
        <v>National Semiconductor</v>
      </c>
      <c r="C7192" s="6">
        <v>328</v>
      </c>
      <c r="D7192" s="7">
        <v>7.09</v>
      </c>
    </row>
    <row r="7193" spans="1:5" x14ac:dyDescent="0.25">
      <c r="A7193" t="str">
        <f>HYPERLINK("https://www.773grp.com/globalSearch/LM2512ASM-NOPB/page-1", "LM2512ASM-NOPB")</f>
        <v>LM2512ASM-NOPB</v>
      </c>
      <c r="B7193" s="3" t="str">
        <f>HYPERLINK("https://www.773grp.com/manufacturer/national-semiconductor?pageNo=90", "National Semiconductor")</f>
        <v>National Semiconductor</v>
      </c>
      <c r="C7193" s="6">
        <v>32000</v>
      </c>
      <c r="D7193" s="7">
        <v>7.09</v>
      </c>
    </row>
    <row r="7194" spans="1:5" x14ac:dyDescent="0.25">
      <c r="A7194" t="str">
        <f>HYPERLINK("https://www.773grp.com/globalSearch/LM25575QMH-NOPB/page-1", "LM25575QMH-NOPB")</f>
        <v>LM25575QMH-NOPB</v>
      </c>
      <c r="B7194" s="3" t="str">
        <f>HYPERLINK("https://www.773grp.com/manufacturer/national-semiconductor?pageNo=91", "National Semiconductor")</f>
        <v>National Semiconductor</v>
      </c>
      <c r="C7194" s="6">
        <v>368</v>
      </c>
      <c r="D7194" s="7">
        <v>7.09</v>
      </c>
    </row>
    <row r="7195" spans="1:5" x14ac:dyDescent="0.25">
      <c r="A7195" t="str">
        <f>HYPERLINK("https://www.773grp.com/globalSearch/LM26003MH-NOPB/page-1", "LM26003MH-NOPB")</f>
        <v>LM26003MH-NOPB</v>
      </c>
      <c r="B7195" s="3" t="str">
        <f>HYPERLINK("https://www.773grp.com/manufacturer/national-semiconductor?pageNo=92", "National Semiconductor")</f>
        <v>National Semiconductor</v>
      </c>
      <c r="C7195" s="6">
        <v>475</v>
      </c>
      <c r="D7195" s="7">
        <v>7.09</v>
      </c>
    </row>
    <row r="7196" spans="1:5" x14ac:dyDescent="0.25">
      <c r="A7196" t="str">
        <f>HYPERLINK("https://www.773grp.com/globalSearch/LM26400YMH-NOPB/page-1", "LM26400YMH-NOPB")</f>
        <v>LM26400YMH-NOPB</v>
      </c>
      <c r="B7196" s="3" t="str">
        <f>HYPERLINK("https://www.773grp.com/manufacturer/national-semiconductor?pageNo=93", "National Semiconductor")</f>
        <v>National Semiconductor</v>
      </c>
      <c r="C7196" s="6">
        <v>1736</v>
      </c>
      <c r="D7196" s="7">
        <v>7.09</v>
      </c>
      <c r="E7196" t="s">
        <v>7</v>
      </c>
    </row>
    <row r="7197" spans="1:5" x14ac:dyDescent="0.25">
      <c r="A7197" t="str">
        <f>HYPERLINK("https://www.773grp.com/globalSearch/LM2854MH-1000-NOPB/page-1", "LM2854MH-1000-NOPB")</f>
        <v>LM2854MH-1000-NOPB</v>
      </c>
      <c r="B7197" s="3" t="str">
        <f>HYPERLINK("https://www.773grp.com/manufacturer/national-semiconductor?pageNo=94", "National Semiconductor")</f>
        <v>National Semiconductor</v>
      </c>
      <c r="C7197" s="6">
        <v>108</v>
      </c>
      <c r="D7197" s="7">
        <v>7.09</v>
      </c>
    </row>
    <row r="7198" spans="1:5" x14ac:dyDescent="0.25">
      <c r="A7198" t="str">
        <f>HYPERLINK("https://www.773grp.com/globalSearch/LM2854MH-500-NOPB/page-1", "LM2854MH-500-NOPB")</f>
        <v>LM2854MH-500-NOPB</v>
      </c>
      <c r="B7198" s="3" t="str">
        <f>HYPERLINK("https://www.773grp.com/manufacturer/national-semiconductor?pageNo=95", "National Semiconductor")</f>
        <v>National Semiconductor</v>
      </c>
      <c r="C7198" s="6">
        <v>188</v>
      </c>
      <c r="D7198" s="7">
        <v>7.09</v>
      </c>
      <c r="E7198" t="s">
        <v>7</v>
      </c>
    </row>
    <row r="7199" spans="1:5" x14ac:dyDescent="0.25">
      <c r="A7199" t="str">
        <f>HYPERLINK("https://www.773grp.com/globalSearch/LM3464AMH-NOPB/page-1", "LM3464AMH-NOPB")</f>
        <v>LM3464AMH-NOPB</v>
      </c>
      <c r="B7199" s="3" t="str">
        <f>HYPERLINK("https://www.773grp.com/manufacturer/national-semiconductor?pageNo=96", "National Semiconductor")</f>
        <v>National Semiconductor</v>
      </c>
      <c r="C7199" s="6">
        <v>310</v>
      </c>
      <c r="D7199" s="7">
        <v>7.09</v>
      </c>
    </row>
    <row r="7200" spans="1:5" x14ac:dyDescent="0.25">
      <c r="A7200" t="str">
        <f>HYPERLINK("https://www.773grp.com/globalSearch/LMH6504MAX/page-1", "LMH6504MAX")</f>
        <v>LMH6504MAX</v>
      </c>
      <c r="B7200" s="3" t="str">
        <f>HYPERLINK("https://www.773grp.com/manufacturer/national-semiconductor?pageNo=97", "National Semiconductor")</f>
        <v>National Semiconductor</v>
      </c>
      <c r="C7200" s="6">
        <v>7500</v>
      </c>
      <c r="D7200" s="7">
        <v>7.09</v>
      </c>
      <c r="E7200" t="s">
        <v>40</v>
      </c>
    </row>
    <row r="7201" spans="1:5" x14ac:dyDescent="0.25">
      <c r="A7201" t="str">
        <f>HYPERLINK("https://www.773grp.com/globalSearch/LMH6504MAX-NOPB/page-1", "LMH6504MAX-NOPB")</f>
        <v>LMH6504MAX-NOPB</v>
      </c>
      <c r="B7201" s="3" t="str">
        <f>HYPERLINK("https://www.773grp.com/manufacturer/national-semiconductor?pageNo=98", "National Semiconductor")</f>
        <v>National Semiconductor</v>
      </c>
      <c r="C7201" s="6">
        <v>2500</v>
      </c>
      <c r="D7201" s="7">
        <v>7.09</v>
      </c>
    </row>
    <row r="7202" spans="1:5" x14ac:dyDescent="0.25">
      <c r="A7202" t="str">
        <f>HYPERLINK("https://www.773grp.com/globalSearch/LMH6504MM-NOPB/page-1", "LMH6504MM-NOPB")</f>
        <v>LMH6504MM-NOPB</v>
      </c>
      <c r="B7202" s="3" t="str">
        <f>HYPERLINK("https://www.773grp.com/manufacturer/national-semiconductor?pageNo=99", "National Semiconductor")</f>
        <v>National Semiconductor</v>
      </c>
      <c r="C7202" s="6">
        <v>1072</v>
      </c>
      <c r="D7202" s="7">
        <v>7.09</v>
      </c>
      <c r="E7202" t="s">
        <v>40</v>
      </c>
    </row>
    <row r="7203" spans="1:5" x14ac:dyDescent="0.25">
      <c r="A7203" t="str">
        <f>HYPERLINK("https://www.773grp.com/globalSearch/LM2512ASM-NOPB/page-1", "LM2512ASM-NOPB")</f>
        <v>LM2512ASM-NOPB</v>
      </c>
      <c r="B7203" s="3" t="str">
        <f>HYPERLINK("https://www.773grp.com/manufacturer/national-semiconductor?pageNo=100", "National Semiconductor")</f>
        <v>National Semiconductor</v>
      </c>
      <c r="C7203" s="6">
        <v>40000</v>
      </c>
      <c r="D7203" s="7">
        <v>7.09</v>
      </c>
    </row>
    <row r="7204" spans="1:5" x14ac:dyDescent="0.25">
      <c r="A7204" t="str">
        <f>HYPERLINK("https://www.773grp.com/globalSearch/DS91M124TMA-NOPB/page-1", "DS91M124TMA-NOPB")</f>
        <v>DS91M124TMA-NOPB</v>
      </c>
      <c r="B7204" s="3" t="str">
        <f>HYPERLINK("https://www.773grp.com/manufacturer/national-semiconductor?pageNo=101", "National Semiconductor")</f>
        <v>National Semiconductor</v>
      </c>
      <c r="C7204" s="6">
        <v>1317</v>
      </c>
      <c r="D7204" s="7">
        <v>7.09</v>
      </c>
    </row>
    <row r="7205" spans="1:5" x14ac:dyDescent="0.25">
      <c r="A7205" t="str">
        <f>HYPERLINK("https://www.773grp.com/globalSearch/DS91M125TMA-NOPB/page-1", "DS91M125TMA-NOPB")</f>
        <v>DS91M125TMA-NOPB</v>
      </c>
      <c r="B7205" s="3" t="str">
        <f>HYPERLINK("https://www.773grp.com/manufacturer/national-semiconductor?pageNo=102", "National Semiconductor")</f>
        <v>National Semiconductor</v>
      </c>
      <c r="C7205" s="6">
        <v>333</v>
      </c>
      <c r="D7205" s="7">
        <v>7.09</v>
      </c>
    </row>
    <row r="7206" spans="1:5" x14ac:dyDescent="0.25">
      <c r="A7206" t="str">
        <f>HYPERLINK("https://www.773grp.com/globalSearch/DS92CK16TMTCX-NOPB/page-1", "DS92CK16TMTCX-NOPB")</f>
        <v>DS92CK16TMTCX-NOPB</v>
      </c>
      <c r="B7206" s="3" t="str">
        <f>HYPERLINK("https://www.773grp.com/manufacturer/national-semiconductor?pageNo=103", "National Semiconductor")</f>
        <v>National Semiconductor</v>
      </c>
      <c r="C7206" s="6">
        <v>17500</v>
      </c>
      <c r="D7206" s="7">
        <v>7.09</v>
      </c>
    </row>
    <row r="7207" spans="1:5" x14ac:dyDescent="0.25">
      <c r="A7207" t="str">
        <f>HYPERLINK("https://www.773grp.com/globalSearch/LM2512ASM-NOPB/page-1", "LM2512ASM-NOPB")</f>
        <v>LM2512ASM-NOPB</v>
      </c>
      <c r="B7207" s="3" t="str">
        <f>HYPERLINK("https://www.773grp.com/manufacturer/national-semiconductor?pageNo=104", "National Semiconductor")</f>
        <v>National Semiconductor</v>
      </c>
      <c r="C7207" s="6">
        <v>76954</v>
      </c>
      <c r="D7207" s="7">
        <v>7.09</v>
      </c>
    </row>
    <row r="7208" spans="1:5" x14ac:dyDescent="0.25">
      <c r="A7208" t="str">
        <f>HYPERLINK("https://www.773grp.com/globalSearch/LM25575QMH-NOPB/page-1", "LM25575QMH-NOPB")</f>
        <v>LM25575QMH-NOPB</v>
      </c>
      <c r="B7208" s="3" t="str">
        <f>HYPERLINK("https://www.773grp.com/manufacturer/national-semiconductor?pageNo=105", "National Semiconductor")</f>
        <v>National Semiconductor</v>
      </c>
      <c r="C7208" s="6">
        <v>434</v>
      </c>
      <c r="D7208" s="7">
        <v>7.09</v>
      </c>
    </row>
    <row r="7209" spans="1:5" x14ac:dyDescent="0.25">
      <c r="A7209" t="str">
        <f>HYPERLINK("https://www.773grp.com/globalSearch/LM26003MH-NOPB/page-1", "LM26003MH-NOPB")</f>
        <v>LM26003MH-NOPB</v>
      </c>
      <c r="B7209" s="3" t="str">
        <f>HYPERLINK("https://www.773grp.com/manufacturer/national-semiconductor?pageNo=106", "National Semiconductor")</f>
        <v>National Semiconductor</v>
      </c>
      <c r="C7209" s="6">
        <v>250</v>
      </c>
      <c r="D7209" s="7">
        <v>7.09</v>
      </c>
    </row>
    <row r="7210" spans="1:5" x14ac:dyDescent="0.25">
      <c r="A7210" t="str">
        <f>HYPERLINK("https://www.773grp.com/globalSearch/LM26400YMH-NOPB/page-1", "LM26400YMH-NOPB")</f>
        <v>LM26400YMH-NOPB</v>
      </c>
      <c r="B7210" s="3" t="str">
        <f>HYPERLINK("https://www.773grp.com/manufacturer/national-semiconductor?pageNo=107", "National Semiconductor")</f>
        <v>National Semiconductor</v>
      </c>
      <c r="C7210" s="6">
        <v>4497</v>
      </c>
      <c r="D7210" s="7">
        <v>7.09</v>
      </c>
      <c r="E7210" t="s">
        <v>7</v>
      </c>
    </row>
    <row r="7211" spans="1:5" x14ac:dyDescent="0.25">
      <c r="A7211" t="str">
        <f>HYPERLINK("https://www.773grp.com/globalSearch/LM2854MH-1000-NOPB/page-1", "LM2854MH-1000-NOPB")</f>
        <v>LM2854MH-1000-NOPB</v>
      </c>
      <c r="B7211" s="3" t="str">
        <f>HYPERLINK("https://www.773grp.com/manufacturer/national-semiconductor?pageNo=108", "National Semiconductor")</f>
        <v>National Semiconductor</v>
      </c>
      <c r="C7211" s="6">
        <v>809</v>
      </c>
      <c r="D7211" s="7">
        <v>7.09</v>
      </c>
    </row>
    <row r="7212" spans="1:5" x14ac:dyDescent="0.25">
      <c r="A7212" t="str">
        <f>HYPERLINK("https://www.773grp.com/globalSearch/LM2854MH-500-NOPB/page-1", "LM2854MH-500-NOPB")</f>
        <v>LM2854MH-500-NOPB</v>
      </c>
      <c r="B7212" s="3" t="str">
        <f>HYPERLINK("https://www.773grp.com/manufacturer/national-semiconductor?pageNo=109", "National Semiconductor")</f>
        <v>National Semiconductor</v>
      </c>
      <c r="C7212" s="6">
        <v>941</v>
      </c>
      <c r="D7212" s="7">
        <v>7.09</v>
      </c>
      <c r="E7212" t="s">
        <v>7</v>
      </c>
    </row>
    <row r="7213" spans="1:5" x14ac:dyDescent="0.25">
      <c r="A7213" t="str">
        <f>HYPERLINK("https://www.773grp.com/globalSearch/LM3464AMH-NOPB/page-1", "LM3464AMH-NOPB")</f>
        <v>LM3464AMH-NOPB</v>
      </c>
      <c r="B7213" s="3" t="str">
        <f>HYPERLINK("https://www.773grp.com/manufacturer/national-semiconductor?pageNo=110", "National Semiconductor")</f>
        <v>National Semiconductor</v>
      </c>
      <c r="C7213" s="6">
        <v>4298</v>
      </c>
      <c r="D7213" s="7">
        <v>7.09</v>
      </c>
    </row>
    <row r="7214" spans="1:5" x14ac:dyDescent="0.25">
      <c r="A7214" t="str">
        <f>HYPERLINK("https://www.773grp.com/globalSearch/LM3464AMH-NOPB/page-1", "LM3464AMH-NOPB")</f>
        <v>LM3464AMH-NOPB</v>
      </c>
      <c r="B7214" s="3" t="str">
        <f>HYPERLINK("https://www.773grp.com/manufacturer/national-semiconductor?pageNo=111", "National Semiconductor")</f>
        <v>National Semiconductor</v>
      </c>
      <c r="C7214" s="6">
        <v>2</v>
      </c>
      <c r="D7214" s="7">
        <v>7.09</v>
      </c>
    </row>
    <row r="7215" spans="1:5" x14ac:dyDescent="0.25">
      <c r="A7215" t="str">
        <f>HYPERLINK("https://www.773grp.com/globalSearch/LM5117PMH-NOPB/page-1", "LM5117PMH-NOPB")</f>
        <v>LM5117PMH-NOPB</v>
      </c>
      <c r="B7215" s="3" t="str">
        <f>HYPERLINK("https://www.773grp.com/manufacturer/national-semiconductor?pageNo=112", "National Semiconductor")</f>
        <v>National Semiconductor</v>
      </c>
      <c r="C7215" s="6">
        <v>1079</v>
      </c>
      <c r="D7215" s="7">
        <v>7.09</v>
      </c>
    </row>
    <row r="7216" spans="1:5" x14ac:dyDescent="0.25">
      <c r="A7216" t="str">
        <f>HYPERLINK("https://www.773grp.com/globalSearch/LMH6504MM-NOPB/page-1", "LMH6504MM-NOPB")</f>
        <v>LMH6504MM-NOPB</v>
      </c>
      <c r="B7216" s="3" t="str">
        <f>HYPERLINK("https://www.773grp.com/manufacturer/national-semiconductor?pageNo=113", "National Semiconductor")</f>
        <v>National Semiconductor</v>
      </c>
      <c r="C7216" s="6">
        <v>2390</v>
      </c>
      <c r="D7216" s="7">
        <v>7.09</v>
      </c>
      <c r="E7216" t="s">
        <v>40</v>
      </c>
    </row>
    <row r="7217" spans="1:5" x14ac:dyDescent="0.25">
      <c r="A7217" t="str">
        <f>HYPERLINK("https://www.773grp.com/globalSearch/54157FMQB/page-1", "54157FMQB")</f>
        <v>54157FMQB</v>
      </c>
      <c r="B7217" s="3" t="str">
        <f>HYPERLINK("https://www.773grp.com/manufacturer/national-semiconductor?pageNo=114", "National Semiconductor")</f>
        <v>National Semiconductor</v>
      </c>
      <c r="C7217" s="6">
        <v>44</v>
      </c>
      <c r="D7217" s="7">
        <v>7.13</v>
      </c>
      <c r="E7217" t="s">
        <v>20</v>
      </c>
    </row>
    <row r="7218" spans="1:5" x14ac:dyDescent="0.25">
      <c r="A7218" t="str">
        <f>HYPERLINK("https://www.773grp.com/globalSearch/74F543SPC/page-1", "74F543SPC")</f>
        <v>74F543SPC</v>
      </c>
      <c r="B7218" s="3" t="str">
        <f>HYPERLINK("https://www.773grp.com/manufacturer/national-semiconductor?pageNo=115", "National Semiconductor")</f>
        <v>National Semiconductor</v>
      </c>
      <c r="C7218" s="6">
        <v>68</v>
      </c>
      <c r="D7218" s="7">
        <v>7.13</v>
      </c>
      <c r="E7218" t="s">
        <v>14</v>
      </c>
    </row>
    <row r="7219" spans="1:5" x14ac:dyDescent="0.25">
      <c r="A7219" t="str">
        <f>HYPERLINK("https://www.773grp.com/globalSearch/LM2678SD-3.3-NOPB/page-1", "LM2678SD-3.3-NOPB")</f>
        <v>LM2678SD-3.3-NOPB</v>
      </c>
      <c r="B7219" s="3" t="str">
        <f>HYPERLINK("https://www.773grp.com/manufacturer/national-semiconductor?pageNo=116", "National Semiconductor")</f>
        <v>National Semiconductor</v>
      </c>
      <c r="C7219" s="6">
        <v>490</v>
      </c>
      <c r="D7219" s="7">
        <v>7.13</v>
      </c>
      <c r="E7219" t="s">
        <v>7</v>
      </c>
    </row>
    <row r="7220" spans="1:5" x14ac:dyDescent="0.25">
      <c r="A7220" t="str">
        <f>HYPERLINK("https://www.773grp.com/globalSearch/LM2678SD-5.0-NOPB/page-1", "LM2678SD-5.0-NOPB")</f>
        <v>LM2678SD-5.0-NOPB</v>
      </c>
      <c r="B7220" s="3" t="str">
        <f>HYPERLINK("https://www.773grp.com/manufacturer/national-semiconductor?pageNo=117", "National Semiconductor")</f>
        <v>National Semiconductor</v>
      </c>
      <c r="C7220" s="6">
        <v>750</v>
      </c>
      <c r="D7220" s="7">
        <v>7.13</v>
      </c>
      <c r="E7220" t="s">
        <v>7</v>
      </c>
    </row>
    <row r="7221" spans="1:5" x14ac:dyDescent="0.25">
      <c r="A7221" t="str">
        <f>HYPERLINK("https://www.773grp.com/globalSearch/LM2678SD-ADJ-NOPB/page-1", "LM2678SD-ADJ-NOPB")</f>
        <v>LM2678SD-ADJ-NOPB</v>
      </c>
      <c r="B7221" s="3" t="str">
        <f>HYPERLINK("https://www.773grp.com/manufacturer/national-semiconductor?pageNo=118", "National Semiconductor")</f>
        <v>National Semiconductor</v>
      </c>
      <c r="C7221" s="6">
        <v>3500</v>
      </c>
      <c r="D7221" s="7">
        <v>7.13</v>
      </c>
      <c r="E7221" t="s">
        <v>7</v>
      </c>
    </row>
    <row r="7222" spans="1:5" x14ac:dyDescent="0.25">
      <c r="A7222" t="str">
        <f>HYPERLINK("https://www.773grp.com/globalSearch/LM4946TM-NOPB/page-1", "LM4946TM-NOPB")</f>
        <v>LM4946TM-NOPB</v>
      </c>
      <c r="B7222" s="3" t="str">
        <f>HYPERLINK("https://www.773grp.com/manufacturer/national-semiconductor?pageNo=119", "National Semiconductor")</f>
        <v>National Semiconductor</v>
      </c>
      <c r="C7222" s="6">
        <v>5973</v>
      </c>
      <c r="D7222" s="7">
        <v>7.13</v>
      </c>
      <c r="E7222" t="s">
        <v>18</v>
      </c>
    </row>
    <row r="7223" spans="1:5" x14ac:dyDescent="0.25">
      <c r="A7223" t="str">
        <f>HYPERLINK("https://www.773grp.com/globalSearch/USBN9604-28MX/page-1", "USBN9604-28MX")</f>
        <v>USBN9604-28MX</v>
      </c>
      <c r="B7223" s="3" t="str">
        <f>HYPERLINK("https://www.773grp.com/manufacturer/national-semiconductor?pageNo=120", "National Semiconductor")</f>
        <v>National Semiconductor</v>
      </c>
      <c r="C7223" s="6">
        <v>28000</v>
      </c>
      <c r="D7223" s="7">
        <v>7.13</v>
      </c>
      <c r="E7223" t="s">
        <v>68</v>
      </c>
    </row>
    <row r="7224" spans="1:5" x14ac:dyDescent="0.25">
      <c r="A7224" t="str">
        <f>HYPERLINK("https://www.773grp.com/globalSearch/LM2678SD-12-NOPB/page-1", "LM2678SD-12-NOPB")</f>
        <v>LM2678SD-12-NOPB</v>
      </c>
      <c r="B7224" s="3" t="str">
        <f>HYPERLINK("https://www.773grp.com/manufacturer/national-semiconductor?pageNo=121", "National Semiconductor")</f>
        <v>National Semiconductor</v>
      </c>
      <c r="C7224" s="6">
        <v>250</v>
      </c>
      <c r="D7224" s="7">
        <v>7.13</v>
      </c>
    </row>
    <row r="7225" spans="1:5" x14ac:dyDescent="0.25">
      <c r="A7225" t="str">
        <f>HYPERLINK("https://www.773grp.com/globalSearch/LM2678SD-5.0-NOPB/page-1", "LM2678SD-5.0-NOPB")</f>
        <v>LM2678SD-5.0-NOPB</v>
      </c>
      <c r="B7225" s="3" t="str">
        <f>HYPERLINK("https://www.773grp.com/manufacturer/national-semiconductor?pageNo=122", "National Semiconductor")</f>
        <v>National Semiconductor</v>
      </c>
      <c r="C7225" s="6">
        <v>522</v>
      </c>
      <c r="D7225" s="7">
        <v>7.13</v>
      </c>
      <c r="E7225" t="s">
        <v>7</v>
      </c>
    </row>
    <row r="7226" spans="1:5" x14ac:dyDescent="0.25">
      <c r="A7226" t="str">
        <f>HYPERLINK("https://www.773grp.com/globalSearch/LM2678SD-ADJ-NOPB/page-1", "LM2678SD-ADJ-NOPB")</f>
        <v>LM2678SD-ADJ-NOPB</v>
      </c>
      <c r="B7226" s="3" t="str">
        <f>HYPERLINK("https://www.773grp.com/manufacturer/national-semiconductor?pageNo=123", "National Semiconductor")</f>
        <v>National Semiconductor</v>
      </c>
      <c r="C7226" s="6">
        <v>1844</v>
      </c>
      <c r="D7226" s="7">
        <v>7.13</v>
      </c>
      <c r="E7226" t="s">
        <v>7</v>
      </c>
    </row>
    <row r="7227" spans="1:5" x14ac:dyDescent="0.25">
      <c r="A7227" t="str">
        <f>HYPERLINK("https://www.773grp.com/globalSearch/USBN9604-28MX/page-1", "USBN9604-28MX")</f>
        <v>USBN9604-28MX</v>
      </c>
      <c r="B7227" s="3" t="str">
        <f>HYPERLINK("https://www.773grp.com/manufacturer/national-semiconductor?pageNo=124", "National Semiconductor")</f>
        <v>National Semiconductor</v>
      </c>
      <c r="C7227" s="6">
        <v>3000</v>
      </c>
      <c r="D7227" s="7">
        <v>7.13</v>
      </c>
      <c r="E7227" t="s">
        <v>68</v>
      </c>
    </row>
    <row r="7228" spans="1:5" x14ac:dyDescent="0.25">
      <c r="A7228" t="str">
        <f>HYPERLINK("https://www.773grp.com/globalSearch/ADC128S052CIMTX-NOPB/page-1", "ADC128S052CIMTX-NOPB")</f>
        <v>ADC128S052CIMTX-NOPB</v>
      </c>
      <c r="B7228" s="3" t="str">
        <f>HYPERLINK("https://www.773grp.com/manufacturer/national-semiconductor?pageNo=125", "National Semiconductor")</f>
        <v>National Semiconductor</v>
      </c>
      <c r="C7228" s="6">
        <v>4750</v>
      </c>
      <c r="D7228" s="7">
        <v>7.14</v>
      </c>
      <c r="E7228" t="s">
        <v>39</v>
      </c>
    </row>
    <row r="7229" spans="1:5" x14ac:dyDescent="0.25">
      <c r="A7229" t="str">
        <f>HYPERLINK("https://www.773grp.com/globalSearch/ADC78H90CIMTX/page-1", "ADC78H90CIMTX")</f>
        <v>ADC78H90CIMTX</v>
      </c>
      <c r="B7229" s="3" t="str">
        <f>HYPERLINK("https://www.773grp.com/manufacturer/national-semiconductor?pageNo=126", "National Semiconductor")</f>
        <v>National Semiconductor</v>
      </c>
      <c r="C7229" s="6">
        <v>15000</v>
      </c>
      <c r="D7229" s="7">
        <v>7.14</v>
      </c>
      <c r="E7229" t="s">
        <v>39</v>
      </c>
    </row>
    <row r="7230" spans="1:5" x14ac:dyDescent="0.25">
      <c r="A7230" t="str">
        <f>HYPERLINK("https://www.773grp.com/globalSearch/ADC78H90CIMTX-NOPB/page-1", "ADC78H90CIMTX-NOPB")</f>
        <v>ADC78H90CIMTX-NOPB</v>
      </c>
      <c r="B7230" s="3" t="str">
        <f>HYPERLINK("https://www.773grp.com/manufacturer/national-semiconductor?pageNo=127", "National Semiconductor")</f>
        <v>National Semiconductor</v>
      </c>
      <c r="C7230" s="6">
        <v>9430</v>
      </c>
      <c r="D7230" s="7">
        <v>7.14</v>
      </c>
      <c r="E7230" t="s">
        <v>39</v>
      </c>
    </row>
    <row r="7231" spans="1:5" x14ac:dyDescent="0.25">
      <c r="A7231" t="str">
        <f>HYPERLINK("https://www.773grp.com/globalSearch/LM2575HVSX-5.0/page-1", "LM2575HVSX-5.0")</f>
        <v>LM2575HVSX-5.0</v>
      </c>
      <c r="B7231" s="3" t="str">
        <f>HYPERLINK("https://www.773grp.com/manufacturer/national-semiconductor?pageNo=128", "National Semiconductor")</f>
        <v>National Semiconductor</v>
      </c>
      <c r="C7231" s="6">
        <v>1000</v>
      </c>
      <c r="D7231" s="7">
        <v>7.14</v>
      </c>
      <c r="E7231" t="s">
        <v>7</v>
      </c>
    </row>
    <row r="7232" spans="1:5" x14ac:dyDescent="0.25">
      <c r="A7232" t="str">
        <f>HYPERLINK("https://www.773grp.com/globalSearch/LM2575HVSX-ADJ/page-1", "LM2575HVSX-ADJ")</f>
        <v>LM2575HVSX-ADJ</v>
      </c>
      <c r="B7232" s="3" t="str">
        <f>HYPERLINK("https://www.773grp.com/manufacturer/national-semiconductor?pageNo=129", "National Semiconductor")</f>
        <v>National Semiconductor</v>
      </c>
      <c r="C7232" s="6">
        <v>4000</v>
      </c>
      <c r="D7232" s="7">
        <v>7.14</v>
      </c>
      <c r="E7232" t="s">
        <v>7</v>
      </c>
    </row>
    <row r="7233" spans="1:5" x14ac:dyDescent="0.25">
      <c r="A7233" t="str">
        <f>HYPERLINK("https://www.773grp.com/globalSearch/LM2596SX-3.3/page-1", "LM2596SX-3.3")</f>
        <v>LM2596SX-3.3</v>
      </c>
      <c r="B7233" s="3" t="str">
        <f>HYPERLINK("https://www.773grp.com/manufacturer/national-semiconductor?pageNo=130", "National Semiconductor")</f>
        <v>National Semiconductor</v>
      </c>
      <c r="C7233" s="6">
        <v>1473</v>
      </c>
      <c r="D7233" s="7">
        <v>7.14</v>
      </c>
      <c r="E7233" t="s">
        <v>7</v>
      </c>
    </row>
    <row r="7234" spans="1:5" x14ac:dyDescent="0.25">
      <c r="A7234" t="str">
        <f>HYPERLINK("https://www.773grp.com/globalSearch/LM2596SX-ADJ/page-1", "LM2596SX-ADJ")</f>
        <v>LM2596SX-ADJ</v>
      </c>
      <c r="B7234" s="3" t="str">
        <f>HYPERLINK("https://www.773grp.com/manufacturer/national-semiconductor?pageNo=131", "National Semiconductor")</f>
        <v>National Semiconductor</v>
      </c>
      <c r="C7234" s="6">
        <v>2500</v>
      </c>
      <c r="D7234" s="7">
        <v>7.14</v>
      </c>
      <c r="E7234" t="s">
        <v>7</v>
      </c>
    </row>
    <row r="7235" spans="1:5" x14ac:dyDescent="0.25">
      <c r="A7235" t="str">
        <f>HYPERLINK("https://www.773grp.com/globalSearch/LM2596T-12/page-1", "LM2596T-12")</f>
        <v>LM2596T-12</v>
      </c>
      <c r="B7235" s="3" t="str">
        <f>HYPERLINK("https://www.773grp.com/manufacturer/national-semiconductor?pageNo=132", "National Semiconductor")</f>
        <v>National Semiconductor</v>
      </c>
      <c r="C7235" s="6">
        <v>484</v>
      </c>
      <c r="D7235" s="7">
        <v>7.14</v>
      </c>
      <c r="E7235" t="s">
        <v>7</v>
      </c>
    </row>
    <row r="7236" spans="1:5" x14ac:dyDescent="0.25">
      <c r="A7236" t="str">
        <f>HYPERLINK("https://www.773grp.com/globalSearch/LM2596T-5.0/page-1", "LM2596T-5.0")</f>
        <v>LM2596T-5.0</v>
      </c>
      <c r="B7236" s="3" t="str">
        <f>HYPERLINK("https://www.773grp.com/manufacturer/national-semiconductor?pageNo=133", "National Semiconductor")</f>
        <v>National Semiconductor</v>
      </c>
      <c r="C7236" s="6">
        <v>9786</v>
      </c>
      <c r="D7236" s="7">
        <v>7.14</v>
      </c>
      <c r="E7236" t="s">
        <v>7</v>
      </c>
    </row>
    <row r="7237" spans="1:5" x14ac:dyDescent="0.25">
      <c r="A7237" t="str">
        <f>HYPERLINK("https://www.773grp.com/globalSearch/LM2596T-ADJ/page-1", "LM2596T-ADJ")</f>
        <v>LM2596T-ADJ</v>
      </c>
      <c r="B7237" s="3" t="str">
        <f>HYPERLINK("https://www.773grp.com/manufacturer/national-semiconductor?pageNo=134", "National Semiconductor")</f>
        <v>National Semiconductor</v>
      </c>
      <c r="C7237" s="6">
        <v>244</v>
      </c>
      <c r="D7237" s="7">
        <v>7.14</v>
      </c>
      <c r="E7237" t="s">
        <v>7</v>
      </c>
    </row>
    <row r="7238" spans="1:5" x14ac:dyDescent="0.25">
      <c r="A7238" t="str">
        <f>HYPERLINK("https://www.773grp.com/globalSearch/LM2676SX-5.0/page-1", "LM2676SX-5.0")</f>
        <v>LM2676SX-5.0</v>
      </c>
      <c r="B7238" s="3" t="str">
        <f>HYPERLINK("https://www.773grp.com/manufacturer/national-semiconductor?pageNo=1", "National Semiconductor")</f>
        <v>National Semiconductor</v>
      </c>
      <c r="C7238" s="6">
        <v>615</v>
      </c>
      <c r="D7238" s="7">
        <v>7.14</v>
      </c>
      <c r="E7238" t="s">
        <v>7</v>
      </c>
    </row>
    <row r="7239" spans="1:5" x14ac:dyDescent="0.25">
      <c r="A7239" t="str">
        <f>HYPERLINK("https://www.773grp.com/globalSearch/LM2676SX-ADJ/page-1", "LM2676SX-ADJ")</f>
        <v>LM2676SX-ADJ</v>
      </c>
      <c r="B7239" s="3" t="str">
        <f>HYPERLINK("https://www.773grp.com/manufacturer/national-semiconductor?pageNo=2", "National Semiconductor")</f>
        <v>National Semiconductor</v>
      </c>
      <c r="C7239" s="6">
        <v>90</v>
      </c>
      <c r="D7239" s="7">
        <v>7.14</v>
      </c>
      <c r="E7239" t="s">
        <v>7</v>
      </c>
    </row>
    <row r="7240" spans="1:5" x14ac:dyDescent="0.25">
      <c r="A7240" t="str">
        <f>HYPERLINK("https://www.773grp.com/globalSearch/LM2676T-5.0/page-1", "LM2676T-5.0")</f>
        <v>LM2676T-5.0</v>
      </c>
      <c r="B7240" s="3" t="str">
        <f>HYPERLINK("https://www.773grp.com/manufacturer/national-semiconductor?pageNo=3", "National Semiconductor")</f>
        <v>National Semiconductor</v>
      </c>
      <c r="C7240" s="6">
        <v>55</v>
      </c>
      <c r="D7240" s="7">
        <v>7.14</v>
      </c>
      <c r="E7240" t="s">
        <v>7</v>
      </c>
    </row>
    <row r="7241" spans="1:5" x14ac:dyDescent="0.25">
      <c r="A7241" t="str">
        <f>HYPERLINK("https://www.773grp.com/globalSearch/LM2676T-ADJ/page-1", "LM2676T-ADJ")</f>
        <v>LM2676T-ADJ</v>
      </c>
      <c r="B7241" s="3" t="str">
        <f>HYPERLINK("https://www.773grp.com/manufacturer/national-semiconductor?pageNo=4", "National Semiconductor")</f>
        <v>National Semiconductor</v>
      </c>
      <c r="C7241" s="6">
        <v>13</v>
      </c>
      <c r="D7241" s="7">
        <v>7.14</v>
      </c>
      <c r="E7241" t="s">
        <v>7</v>
      </c>
    </row>
    <row r="7242" spans="1:5" x14ac:dyDescent="0.25">
      <c r="A7242" t="str">
        <f>HYPERLINK("https://www.773grp.com/globalSearch/LM4140ACM-1.2/page-1", "LM4140ACM-1.2")</f>
        <v>LM4140ACM-1.2</v>
      </c>
      <c r="B7242" s="3" t="str">
        <f>HYPERLINK("https://www.773grp.com/manufacturer/national-semiconductor?pageNo=5", "National Semiconductor")</f>
        <v>National Semiconductor</v>
      </c>
      <c r="C7242" s="6">
        <v>95</v>
      </c>
      <c r="D7242" s="7">
        <v>7.14</v>
      </c>
      <c r="E7242" t="s">
        <v>17</v>
      </c>
    </row>
    <row r="7243" spans="1:5" x14ac:dyDescent="0.25">
      <c r="A7243" t="str">
        <f>HYPERLINK("https://www.773grp.com/globalSearch/LM4140ACM-2.0/page-1", "LM4140ACM-2.0")</f>
        <v>LM4140ACM-2.0</v>
      </c>
      <c r="B7243" s="3" t="str">
        <f>HYPERLINK("https://www.773grp.com/manufacturer/national-semiconductor?pageNo=6", "National Semiconductor")</f>
        <v>National Semiconductor</v>
      </c>
      <c r="C7243" s="6">
        <v>656</v>
      </c>
      <c r="D7243" s="7">
        <v>7.14</v>
      </c>
      <c r="E7243" t="s">
        <v>17</v>
      </c>
    </row>
    <row r="7244" spans="1:5" x14ac:dyDescent="0.25">
      <c r="A7244" t="str">
        <f>HYPERLINK("https://www.773grp.com/globalSearch/LMX2486SQ/page-1", "LMX2486SQ")</f>
        <v>LMX2486SQ</v>
      </c>
      <c r="B7244" s="3" t="str">
        <f>HYPERLINK("https://www.773grp.com/manufacturer/national-semiconductor?pageNo=7", "National Semiconductor")</f>
        <v>National Semiconductor</v>
      </c>
      <c r="C7244" s="6">
        <v>796</v>
      </c>
      <c r="D7244" s="7">
        <v>7.14</v>
      </c>
      <c r="E7244" t="s">
        <v>38</v>
      </c>
    </row>
    <row r="7245" spans="1:5" x14ac:dyDescent="0.25">
      <c r="A7245" t="str">
        <f>HYPERLINK("https://www.773grp.com/globalSearch/LP2960IN-5.0/page-1", "LP2960IN-5.0")</f>
        <v>LP2960IN-5.0</v>
      </c>
      <c r="B7245" s="3" t="str">
        <f>HYPERLINK("https://www.773grp.com/manufacturer/national-semiconductor?pageNo=8", "National Semiconductor")</f>
        <v>National Semiconductor</v>
      </c>
      <c r="C7245" s="6">
        <v>276</v>
      </c>
      <c r="D7245" s="7">
        <v>7.14</v>
      </c>
      <c r="E7245" t="s">
        <v>27</v>
      </c>
    </row>
    <row r="7246" spans="1:5" x14ac:dyDescent="0.25">
      <c r="A7246" t="str">
        <f>HYPERLINK("https://www.773grp.com/globalSearch/LP3852EMP-2.5/page-1", "LP3852EMP-2.5")</f>
        <v>LP3852EMP-2.5</v>
      </c>
      <c r="B7246" s="3" t="str">
        <f>HYPERLINK("https://www.773grp.com/manufacturer/national-semiconductor?pageNo=9", "National Semiconductor")</f>
        <v>National Semiconductor</v>
      </c>
      <c r="C7246" s="6">
        <v>1000</v>
      </c>
      <c r="D7246" s="7">
        <v>7.14</v>
      </c>
      <c r="E7246" t="s">
        <v>19</v>
      </c>
    </row>
    <row r="7247" spans="1:5" x14ac:dyDescent="0.25">
      <c r="A7247" t="str">
        <f>HYPERLINK("https://www.773grp.com/globalSearch/DAC122S085CIMM/page-1", "DAC122S085CIMM")</f>
        <v>DAC122S085CIMM</v>
      </c>
      <c r="B7247" s="3" t="str">
        <f>HYPERLINK("https://www.773grp.com/manufacturer/national-semiconductor?pageNo=10", "National Semiconductor")</f>
        <v>National Semiconductor</v>
      </c>
      <c r="C7247" s="6">
        <v>2000</v>
      </c>
      <c r="D7247" s="7">
        <v>7.14</v>
      </c>
    </row>
    <row r="7248" spans="1:5" x14ac:dyDescent="0.25">
      <c r="A7248" t="str">
        <f>HYPERLINK("https://www.773grp.com/globalSearch/LM2575HVS-12/page-1", "LM2575HVS-12")</f>
        <v>LM2575HVS-12</v>
      </c>
      <c r="B7248" s="3" t="str">
        <f>HYPERLINK("https://www.773grp.com/manufacturer/national-semiconductor?pageNo=11", "National Semiconductor")</f>
        <v>National Semiconductor</v>
      </c>
      <c r="C7248" s="6">
        <v>57</v>
      </c>
      <c r="D7248" s="7">
        <v>7.14</v>
      </c>
    </row>
    <row r="7249" spans="1:5" x14ac:dyDescent="0.25">
      <c r="A7249" t="str">
        <f>HYPERLINK("https://www.773grp.com/globalSearch/LM2575HVSX-ADJ/page-1", "LM2575HVSX-ADJ")</f>
        <v>LM2575HVSX-ADJ</v>
      </c>
      <c r="B7249" s="3" t="str">
        <f>HYPERLINK("https://www.773grp.com/manufacturer/national-semiconductor?pageNo=12", "National Semiconductor")</f>
        <v>National Semiconductor</v>
      </c>
      <c r="C7249" s="6">
        <v>1000</v>
      </c>
      <c r="D7249" s="7">
        <v>7.14</v>
      </c>
      <c r="E7249" t="s">
        <v>7</v>
      </c>
    </row>
    <row r="7250" spans="1:5" x14ac:dyDescent="0.25">
      <c r="A7250" t="str">
        <f>HYPERLINK("https://www.773grp.com/globalSearch/LM2596SX-3.3/page-1", "LM2596SX-3.3")</f>
        <v>LM2596SX-3.3</v>
      </c>
      <c r="B7250" s="3" t="str">
        <f>HYPERLINK("https://www.773grp.com/manufacturer/national-semiconductor?pageNo=13", "National Semiconductor")</f>
        <v>National Semiconductor</v>
      </c>
      <c r="C7250" s="6">
        <v>1500</v>
      </c>
      <c r="D7250" s="7">
        <v>7.14</v>
      </c>
      <c r="E7250" t="s">
        <v>7</v>
      </c>
    </row>
    <row r="7251" spans="1:5" x14ac:dyDescent="0.25">
      <c r="A7251" t="str">
        <f>HYPERLINK("https://www.773grp.com/globalSearch/LM2596SX-ADJ/page-1", "LM2596SX-ADJ")</f>
        <v>LM2596SX-ADJ</v>
      </c>
      <c r="B7251" s="3" t="str">
        <f>HYPERLINK("https://www.773grp.com/manufacturer/national-semiconductor?pageNo=14", "National Semiconductor")</f>
        <v>National Semiconductor</v>
      </c>
      <c r="C7251" s="6">
        <v>500</v>
      </c>
      <c r="D7251" s="7">
        <v>7.14</v>
      </c>
      <c r="E7251" t="s">
        <v>7</v>
      </c>
    </row>
    <row r="7252" spans="1:5" x14ac:dyDescent="0.25">
      <c r="A7252" t="str">
        <f>HYPERLINK("https://www.773grp.com/globalSearch/LM2596T-5.0/page-1", "LM2596T-5.0")</f>
        <v>LM2596T-5.0</v>
      </c>
      <c r="B7252" s="3" t="str">
        <f>HYPERLINK("https://www.773grp.com/manufacturer/national-semiconductor?pageNo=15", "National Semiconductor")</f>
        <v>National Semiconductor</v>
      </c>
      <c r="C7252" s="6">
        <v>1631</v>
      </c>
      <c r="D7252" s="7">
        <v>7.14</v>
      </c>
      <c r="E7252" t="s">
        <v>7</v>
      </c>
    </row>
    <row r="7253" spans="1:5" x14ac:dyDescent="0.25">
      <c r="A7253" t="str">
        <f>HYPERLINK("https://www.773grp.com/globalSearch/LM2596T-ADJ/page-1", "LM2596T-ADJ")</f>
        <v>LM2596T-ADJ</v>
      </c>
      <c r="B7253" s="3" t="str">
        <f>HYPERLINK("https://www.773grp.com/manufacturer/national-semiconductor?pageNo=16", "National Semiconductor")</f>
        <v>National Semiconductor</v>
      </c>
      <c r="C7253" s="6">
        <v>120</v>
      </c>
      <c r="D7253" s="7">
        <v>7.14</v>
      </c>
      <c r="E7253" t="s">
        <v>7</v>
      </c>
    </row>
    <row r="7254" spans="1:5" x14ac:dyDescent="0.25">
      <c r="A7254" t="str">
        <f>HYPERLINK("https://www.773grp.com/globalSearch/LM2596T-ADJ-LB05/page-1", "LM2596T-ADJ-LB05")</f>
        <v>LM2596T-ADJ-LB05</v>
      </c>
      <c r="B7254" s="3" t="str">
        <f>HYPERLINK("https://www.773grp.com/manufacturer/national-semiconductor?pageNo=17", "National Semiconductor")</f>
        <v>National Semiconductor</v>
      </c>
      <c r="C7254" s="6">
        <v>858</v>
      </c>
      <c r="D7254" s="7">
        <v>7.14</v>
      </c>
    </row>
    <row r="7255" spans="1:5" x14ac:dyDescent="0.25">
      <c r="A7255" t="str">
        <f>HYPERLINK("https://www.773grp.com/globalSearch/LM2676SX-12/page-1", "LM2676SX-12")</f>
        <v>LM2676SX-12</v>
      </c>
      <c r="B7255" s="3" t="str">
        <f>HYPERLINK("https://www.773grp.com/manufacturer/national-semiconductor?pageNo=18", "National Semiconductor")</f>
        <v>National Semiconductor</v>
      </c>
      <c r="C7255" s="6">
        <v>500</v>
      </c>
      <c r="D7255" s="7">
        <v>7.14</v>
      </c>
    </row>
    <row r="7256" spans="1:5" x14ac:dyDescent="0.25">
      <c r="A7256" t="str">
        <f>HYPERLINK("https://www.773grp.com/globalSearch/LM2676SX-5.0/page-1", "LM2676SX-5.0")</f>
        <v>LM2676SX-5.0</v>
      </c>
      <c r="B7256" s="3" t="str">
        <f>HYPERLINK("https://www.773grp.com/manufacturer/national-semiconductor?pageNo=19", "National Semiconductor")</f>
        <v>National Semiconductor</v>
      </c>
      <c r="C7256" s="6">
        <v>600</v>
      </c>
      <c r="D7256" s="7">
        <v>7.14</v>
      </c>
      <c r="E7256" t="s">
        <v>7</v>
      </c>
    </row>
    <row r="7257" spans="1:5" x14ac:dyDescent="0.25">
      <c r="A7257" t="str">
        <f>HYPERLINK("https://www.773grp.com/globalSearch/LMX2486SQ-NOPB/page-1", "LMX2486SQ-NOPB")</f>
        <v>LMX2486SQ-NOPB</v>
      </c>
      <c r="B7257" s="3" t="str">
        <f>HYPERLINK("https://www.773grp.com/manufacturer/national-semiconductor?pageNo=20", "National Semiconductor")</f>
        <v>National Semiconductor</v>
      </c>
      <c r="C7257" s="6">
        <v>1000</v>
      </c>
      <c r="D7257" s="7">
        <v>7.14</v>
      </c>
    </row>
    <row r="7258" spans="1:5" x14ac:dyDescent="0.25">
      <c r="A7258" t="str">
        <f>HYPERLINK("https://www.773grp.com/globalSearch/LP3852EMPX-3.3/page-1", "LP3852EMPX-3.3")</f>
        <v>LP3852EMPX-3.3</v>
      </c>
      <c r="B7258" s="3" t="str">
        <f>HYPERLINK("https://www.773grp.com/manufacturer/national-semiconductor?pageNo=21", "National Semiconductor")</f>
        <v>National Semiconductor</v>
      </c>
      <c r="C7258" s="6">
        <v>4000</v>
      </c>
      <c r="D7258" s="7">
        <v>7.14</v>
      </c>
    </row>
    <row r="7259" spans="1:5" x14ac:dyDescent="0.25">
      <c r="A7259" t="str">
        <f>HYPERLINK("https://www.773grp.com/globalSearch/JD54LS51BCA/page-1", "JD54LS51BCA")</f>
        <v>JD54LS51BCA</v>
      </c>
      <c r="B7259" s="3" t="str">
        <f>HYPERLINK("https://www.773grp.com/manufacturer/national-semiconductor?pageNo=22", "National Semiconductor")</f>
        <v>National Semiconductor</v>
      </c>
      <c r="C7259" s="6">
        <v>1109</v>
      </c>
      <c r="D7259" s="7">
        <v>7.18</v>
      </c>
    </row>
    <row r="7260" spans="1:5" x14ac:dyDescent="0.25">
      <c r="A7260" t="str">
        <f>HYPERLINK("https://www.773grp.com/globalSearch/LM2593HVSX-5.0/page-1", "LM2593HVSX-5.0")</f>
        <v>LM2593HVSX-5.0</v>
      </c>
      <c r="B7260" s="3" t="str">
        <f>HYPERLINK("https://www.773grp.com/manufacturer/national-semiconductor?pageNo=23", "National Semiconductor")</f>
        <v>National Semiconductor</v>
      </c>
      <c r="C7260" s="6">
        <v>470</v>
      </c>
      <c r="D7260" s="7">
        <v>7.18</v>
      </c>
      <c r="E7260" t="s">
        <v>7</v>
      </c>
    </row>
    <row r="7261" spans="1:5" x14ac:dyDescent="0.25">
      <c r="A7261" t="str">
        <f>HYPERLINK("https://www.773grp.com/globalSearch/LM2593HVSX-5.0-NOPB/page-1", "LM2593HVSX-5.0-NOPB")</f>
        <v>LM2593HVSX-5.0-NOPB</v>
      </c>
      <c r="B7261" s="3" t="str">
        <f>HYPERLINK("https://www.773grp.com/manufacturer/national-semiconductor?pageNo=24", "National Semiconductor")</f>
        <v>National Semiconductor</v>
      </c>
      <c r="C7261" s="6">
        <v>2500</v>
      </c>
      <c r="D7261" s="7">
        <v>7.18</v>
      </c>
      <c r="E7261" t="s">
        <v>7</v>
      </c>
    </row>
    <row r="7262" spans="1:5" x14ac:dyDescent="0.25">
      <c r="A7262" t="str">
        <f>HYPERLINK("https://www.773grp.com/globalSearch/LM2593HVSX-ADJ-NOPB/page-1", "LM2593HVSX-ADJ-NOPB")</f>
        <v>LM2593HVSX-ADJ-NOPB</v>
      </c>
      <c r="B7262" s="3" t="str">
        <f>HYPERLINK("https://www.773grp.com/manufacturer/national-semiconductor?pageNo=25", "National Semiconductor")</f>
        <v>National Semiconductor</v>
      </c>
      <c r="C7262" s="6">
        <v>500</v>
      </c>
      <c r="D7262" s="7">
        <v>7.18</v>
      </c>
      <c r="E7262" t="s">
        <v>7</v>
      </c>
    </row>
    <row r="7263" spans="1:5" x14ac:dyDescent="0.25">
      <c r="A7263" t="str">
        <f>HYPERLINK("https://www.773grp.com/globalSearch/LM2593HVT-3.3-NOPB/page-1", "LM2593HVT-3.3-NOPB")</f>
        <v>LM2593HVT-3.3-NOPB</v>
      </c>
      <c r="B7263" s="3" t="str">
        <f>HYPERLINK("https://www.773grp.com/manufacturer/national-semiconductor?pageNo=26", "National Semiconductor")</f>
        <v>National Semiconductor</v>
      </c>
      <c r="C7263" s="6">
        <v>121</v>
      </c>
      <c r="D7263" s="7">
        <v>7.18</v>
      </c>
    </row>
    <row r="7264" spans="1:5" x14ac:dyDescent="0.25">
      <c r="A7264" t="str">
        <f>HYPERLINK("https://www.773grp.com/globalSearch/LM2593HVT-5.0-NOPB/page-1", "LM2593HVT-5.0-NOPB")</f>
        <v>LM2593HVT-5.0-NOPB</v>
      </c>
      <c r="B7264" s="3" t="str">
        <f>HYPERLINK("https://www.773grp.com/manufacturer/national-semiconductor?pageNo=27", "National Semiconductor")</f>
        <v>National Semiconductor</v>
      </c>
      <c r="C7264" s="6">
        <v>168</v>
      </c>
      <c r="D7264" s="7">
        <v>7.18</v>
      </c>
    </row>
    <row r="7265" spans="1:5" x14ac:dyDescent="0.25">
      <c r="A7265" t="str">
        <f>HYPERLINK("https://www.773grp.com/globalSearch/LM2593HVT-ADJ-NOPB/page-1", "LM2593HVT-ADJ-NOPB")</f>
        <v>LM2593HVT-ADJ-NOPB</v>
      </c>
      <c r="B7265" s="3" t="str">
        <f>HYPERLINK("https://www.773grp.com/manufacturer/national-semiconductor?pageNo=28", "National Semiconductor")</f>
        <v>National Semiconductor</v>
      </c>
      <c r="C7265" s="6">
        <v>135</v>
      </c>
      <c r="D7265" s="7">
        <v>7.18</v>
      </c>
      <c r="E7265" t="s">
        <v>7</v>
      </c>
    </row>
    <row r="7266" spans="1:5" x14ac:dyDescent="0.25">
      <c r="A7266" t="str">
        <f>HYPERLINK("https://www.773grp.com/globalSearch/LM3876T/page-1", "LM3876T")</f>
        <v>LM3876T</v>
      </c>
      <c r="B7266" s="3" t="str">
        <f>HYPERLINK("https://www.773grp.com/manufacturer/national-semiconductor?pageNo=29", "National Semiconductor")</f>
        <v>National Semiconductor</v>
      </c>
      <c r="C7266" s="6">
        <v>149</v>
      </c>
      <c r="D7266" s="7">
        <v>7.18</v>
      </c>
      <c r="E7266" t="s">
        <v>18</v>
      </c>
    </row>
    <row r="7267" spans="1:5" x14ac:dyDescent="0.25">
      <c r="A7267" t="str">
        <f>HYPERLINK("https://www.773grp.com/globalSearch/LM5001MA/page-1", "LM5001MA")</f>
        <v>LM5001MA</v>
      </c>
      <c r="B7267" s="3" t="str">
        <f>HYPERLINK("https://www.773grp.com/manufacturer/national-semiconductor?pageNo=30", "National Semiconductor")</f>
        <v>National Semiconductor</v>
      </c>
      <c r="C7267" s="6">
        <v>6</v>
      </c>
      <c r="D7267" s="7">
        <v>7.18</v>
      </c>
      <c r="E7267" t="s">
        <v>7</v>
      </c>
    </row>
    <row r="7268" spans="1:5" x14ac:dyDescent="0.25">
      <c r="A7268" t="str">
        <f>HYPERLINK("https://www.773grp.com/globalSearch/LM5574MT/page-1", "LM5574MT")</f>
        <v>LM5574MT</v>
      </c>
      <c r="B7268" s="3" t="str">
        <f>HYPERLINK("https://www.773grp.com/manufacturer/national-semiconductor?pageNo=31", "National Semiconductor")</f>
        <v>National Semiconductor</v>
      </c>
      <c r="C7268" s="6">
        <v>154</v>
      </c>
      <c r="D7268" s="7">
        <v>7.18</v>
      </c>
      <c r="E7268" t="s">
        <v>7</v>
      </c>
    </row>
    <row r="7269" spans="1:5" x14ac:dyDescent="0.25">
      <c r="A7269" t="str">
        <f>HYPERLINK("https://www.773grp.com/globalSearch/LM6142BIM/page-1", "LM6142BIM")</f>
        <v>LM6142BIM</v>
      </c>
      <c r="B7269" s="3" t="str">
        <f>HYPERLINK("https://www.773grp.com/manufacturer/national-semiconductor?pageNo=32", "National Semiconductor")</f>
        <v>National Semiconductor</v>
      </c>
      <c r="C7269" s="6">
        <v>310</v>
      </c>
      <c r="D7269" s="7">
        <v>7.18</v>
      </c>
      <c r="E7269" t="s">
        <v>13</v>
      </c>
    </row>
    <row r="7270" spans="1:5" x14ac:dyDescent="0.25">
      <c r="A7270" t="str">
        <f>HYPERLINK("https://www.773grp.com/globalSearch/LM2593HVSX-5.0-NOPB/page-1", "LM2593HVSX-5.0-NOPB")</f>
        <v>LM2593HVSX-5.0-NOPB</v>
      </c>
      <c r="B7270" s="3" t="str">
        <f>HYPERLINK("https://www.773grp.com/manufacturer/national-semiconductor?pageNo=33", "National Semiconductor")</f>
        <v>National Semiconductor</v>
      </c>
      <c r="C7270" s="6">
        <v>1910</v>
      </c>
      <c r="D7270" s="7">
        <v>7.18</v>
      </c>
      <c r="E7270" t="s">
        <v>7</v>
      </c>
    </row>
    <row r="7271" spans="1:5" x14ac:dyDescent="0.25">
      <c r="A7271" t="str">
        <f>HYPERLINK("https://www.773grp.com/globalSearch/LM2593HVT-3.3-NOPB/page-1", "LM2593HVT-3.3-NOPB")</f>
        <v>LM2593HVT-3.3-NOPB</v>
      </c>
      <c r="B7271" s="3" t="str">
        <f>HYPERLINK("https://www.773grp.com/manufacturer/national-semiconductor?pageNo=34", "National Semiconductor")</f>
        <v>National Semiconductor</v>
      </c>
      <c r="C7271" s="6">
        <v>1235</v>
      </c>
      <c r="D7271" s="7">
        <v>7.18</v>
      </c>
    </row>
    <row r="7272" spans="1:5" x14ac:dyDescent="0.25">
      <c r="A7272" t="str">
        <f>HYPERLINK("https://www.773grp.com/globalSearch/LM2593HVT-5.0-NOPB/page-1", "LM2593HVT-5.0-NOPB")</f>
        <v>LM2593HVT-5.0-NOPB</v>
      </c>
      <c r="B7272" s="3" t="str">
        <f>HYPERLINK("https://www.773grp.com/manufacturer/national-semiconductor?pageNo=35", "National Semiconductor")</f>
        <v>National Semiconductor</v>
      </c>
      <c r="C7272" s="6">
        <v>240</v>
      </c>
      <c r="D7272" s="7">
        <v>7.18</v>
      </c>
    </row>
    <row r="7273" spans="1:5" x14ac:dyDescent="0.25">
      <c r="A7273" t="str">
        <f>HYPERLINK("https://www.773grp.com/globalSearch/LM2593HVT-ADJ-NOPB/page-1", "LM2593HVT-ADJ-NOPB")</f>
        <v>LM2593HVT-ADJ-NOPB</v>
      </c>
      <c r="B7273" s="3" t="str">
        <f>HYPERLINK("https://www.773grp.com/manufacturer/national-semiconductor?pageNo=36", "National Semiconductor")</f>
        <v>National Semiconductor</v>
      </c>
      <c r="C7273" s="6">
        <v>220</v>
      </c>
      <c r="D7273" s="7">
        <v>7.18</v>
      </c>
      <c r="E7273" t="s">
        <v>7</v>
      </c>
    </row>
    <row r="7274" spans="1:5" x14ac:dyDescent="0.25">
      <c r="A7274" t="str">
        <f>HYPERLINK("https://www.773grp.com/globalSearch/LM5001MA/page-1", "LM5001MA")</f>
        <v>LM5001MA</v>
      </c>
      <c r="B7274" s="3" t="str">
        <f>HYPERLINK("https://www.773grp.com/manufacturer/national-semiconductor?pageNo=37", "National Semiconductor")</f>
        <v>National Semiconductor</v>
      </c>
      <c r="C7274" s="6">
        <v>760</v>
      </c>
      <c r="D7274" s="7">
        <v>7.18</v>
      </c>
      <c r="E7274" t="s">
        <v>7</v>
      </c>
    </row>
    <row r="7275" spans="1:5" x14ac:dyDescent="0.25">
      <c r="A7275" t="str">
        <f>HYPERLINK("https://www.773grp.com/globalSearch/LM5574MT/page-1", "LM5574MT")</f>
        <v>LM5574MT</v>
      </c>
      <c r="B7275" s="3" t="str">
        <f>HYPERLINK("https://www.773grp.com/manufacturer/national-semiconductor?pageNo=38", "National Semiconductor")</f>
        <v>National Semiconductor</v>
      </c>
      <c r="C7275" s="6">
        <v>14</v>
      </c>
      <c r="D7275" s="7">
        <v>7.18</v>
      </c>
      <c r="E7275" t="s">
        <v>7</v>
      </c>
    </row>
    <row r="7276" spans="1:5" x14ac:dyDescent="0.25">
      <c r="A7276" t="str">
        <f>HYPERLINK("https://www.773grp.com/globalSearch/LM6142BIM/page-1", "LM6142BIM")</f>
        <v>LM6142BIM</v>
      </c>
      <c r="B7276" s="3" t="str">
        <f>HYPERLINK("https://www.773grp.com/manufacturer/national-semiconductor?pageNo=39", "National Semiconductor")</f>
        <v>National Semiconductor</v>
      </c>
      <c r="C7276" s="6">
        <v>18240</v>
      </c>
      <c r="D7276" s="7">
        <v>7.18</v>
      </c>
      <c r="E7276" t="s">
        <v>13</v>
      </c>
    </row>
    <row r="7277" spans="1:5" x14ac:dyDescent="0.25">
      <c r="A7277" t="str">
        <f>HYPERLINK("https://www.773grp.com/globalSearch/7483APC/page-1", "7483APC")</f>
        <v>7483APC</v>
      </c>
      <c r="B7277" s="3" t="str">
        <f>HYPERLINK("https://www.773grp.com/manufacturer/national-semiconductor?pageNo=40", "National Semiconductor")</f>
        <v>National Semiconductor</v>
      </c>
      <c r="C7277" s="6">
        <v>1814</v>
      </c>
      <c r="D7277" s="7">
        <v>7.2</v>
      </c>
    </row>
    <row r="7278" spans="1:5" x14ac:dyDescent="0.25">
      <c r="A7278" t="str">
        <f>HYPERLINK("https://www.773grp.com/globalSearch/ADC10662CIWM/page-1", "ADC10662CIWM")</f>
        <v>ADC10662CIWM</v>
      </c>
      <c r="B7278" s="3" t="str">
        <f>HYPERLINK("https://www.773grp.com/manufacturer/national-semiconductor?pageNo=41", "National Semiconductor")</f>
        <v>National Semiconductor</v>
      </c>
      <c r="C7278" s="6">
        <v>2124</v>
      </c>
      <c r="D7278" s="7">
        <v>7.2</v>
      </c>
      <c r="E7278" t="s">
        <v>39</v>
      </c>
    </row>
    <row r="7279" spans="1:5" x14ac:dyDescent="0.25">
      <c r="A7279" t="str">
        <f>HYPERLINK("https://www.773grp.com/globalSearch/ADC10662CIWMX/page-1", "ADC10662CIWMX")</f>
        <v>ADC10662CIWMX</v>
      </c>
      <c r="B7279" s="3" t="str">
        <f>HYPERLINK("https://www.773grp.com/manufacturer/national-semiconductor?pageNo=42", "National Semiconductor")</f>
        <v>National Semiconductor</v>
      </c>
      <c r="C7279" s="6">
        <v>1000</v>
      </c>
      <c r="D7279" s="7">
        <v>7.2</v>
      </c>
      <c r="E7279" t="s">
        <v>39</v>
      </c>
    </row>
    <row r="7280" spans="1:5" x14ac:dyDescent="0.25">
      <c r="A7280" t="str">
        <f>HYPERLINK("https://www.773grp.com/globalSearch/CLC432AJP/page-1", "CLC432AJP")</f>
        <v>CLC432AJP</v>
      </c>
      <c r="B7280" s="3" t="str">
        <f>HYPERLINK("https://www.773grp.com/manufacturer/national-semiconductor?pageNo=43", "National Semiconductor")</f>
        <v>National Semiconductor</v>
      </c>
      <c r="C7280" s="6">
        <v>1597</v>
      </c>
      <c r="D7280" s="7">
        <v>7.2</v>
      </c>
      <c r="E7280" t="s">
        <v>13</v>
      </c>
    </row>
    <row r="7281" spans="1:5" x14ac:dyDescent="0.25">
      <c r="A7281" t="str">
        <f>HYPERLINK("https://www.773grp.com/globalSearch/LM383T/page-1", "LM383T")</f>
        <v>LM383T</v>
      </c>
      <c r="B7281" s="3" t="str">
        <f>HYPERLINK("https://www.773grp.com/manufacturer/national-semiconductor?pageNo=44", "National Semiconductor")</f>
        <v>National Semiconductor</v>
      </c>
      <c r="C7281" s="6">
        <v>20959</v>
      </c>
      <c r="D7281" s="7">
        <v>7.2</v>
      </c>
      <c r="E7281" t="s">
        <v>18</v>
      </c>
    </row>
    <row r="7282" spans="1:5" x14ac:dyDescent="0.25">
      <c r="A7282" t="str">
        <f>HYPERLINK("https://www.773grp.com/globalSearch/MM74HC4060J/page-1", "MM74HC4060J")</f>
        <v>MM74HC4060J</v>
      </c>
      <c r="B7282" s="3" t="str">
        <f>HYPERLINK("https://www.773grp.com/manufacturer/national-semiconductor?pageNo=45", "National Semiconductor")</f>
        <v>National Semiconductor</v>
      </c>
      <c r="C7282" s="6">
        <v>138</v>
      </c>
      <c r="D7282" s="7">
        <v>7.2</v>
      </c>
      <c r="E7282" t="s">
        <v>26</v>
      </c>
    </row>
    <row r="7283" spans="1:5" x14ac:dyDescent="0.25">
      <c r="A7283" t="str">
        <f>HYPERLINK("https://www.773grp.com/globalSearch/74195DC/page-1", "74195DC")</f>
        <v>74195DC</v>
      </c>
      <c r="B7283" s="3" t="str">
        <f>HYPERLINK("https://www.773grp.com/manufacturer/national-semiconductor?pageNo=46", "National Semiconductor")</f>
        <v>National Semiconductor</v>
      </c>
      <c r="C7283" s="6">
        <v>11945</v>
      </c>
      <c r="D7283" s="7">
        <v>7.23</v>
      </c>
    </row>
    <row r="7284" spans="1:5" x14ac:dyDescent="0.25">
      <c r="A7284" t="str">
        <f>HYPERLINK("https://www.773grp.com/globalSearch/ADC0803LCN/page-1", "ADC0803LCN")</f>
        <v>ADC0803LCN</v>
      </c>
      <c r="B7284" s="3" t="str">
        <f>HYPERLINK("https://www.773grp.com/manufacturer/national-semiconductor?pageNo=47", "National Semiconductor")</f>
        <v>National Semiconductor</v>
      </c>
      <c r="C7284" s="6">
        <v>74</v>
      </c>
      <c r="D7284" s="7">
        <v>7.23</v>
      </c>
      <c r="E7284" t="s">
        <v>39</v>
      </c>
    </row>
    <row r="7285" spans="1:5" x14ac:dyDescent="0.25">
      <c r="A7285" t="str">
        <f>HYPERLINK("https://www.773grp.com/globalSearch/ADC122S625CIMM/page-1", "ADC122S625CIMM")</f>
        <v>ADC122S625CIMM</v>
      </c>
      <c r="B7285" s="3" t="str">
        <f>HYPERLINK("https://www.773grp.com/manufacturer/national-semiconductor?pageNo=48", "National Semiconductor")</f>
        <v>National Semiconductor</v>
      </c>
      <c r="C7285" s="6">
        <v>983</v>
      </c>
      <c r="D7285" s="7">
        <v>7.23</v>
      </c>
      <c r="E7285" t="s">
        <v>39</v>
      </c>
    </row>
    <row r="7286" spans="1:5" x14ac:dyDescent="0.25">
      <c r="A7286" t="str">
        <f>HYPERLINK("https://www.773grp.com/globalSearch/LMC6064IMX/page-1", "LMC6064IMX")</f>
        <v>LMC6064IMX</v>
      </c>
      <c r="B7286" s="3" t="str">
        <f>HYPERLINK("https://www.773grp.com/manufacturer/national-semiconductor?pageNo=49", "National Semiconductor")</f>
        <v>National Semiconductor</v>
      </c>
      <c r="C7286" s="6">
        <v>7500</v>
      </c>
      <c r="D7286" s="7">
        <v>7.23</v>
      </c>
      <c r="E7286" t="s">
        <v>13</v>
      </c>
    </row>
    <row r="7287" spans="1:5" x14ac:dyDescent="0.25">
      <c r="A7287" t="str">
        <f>HYPERLINK("https://www.773grp.com/globalSearch/54F04-1E-MIL/page-1", "54F04-1E-MIL")</f>
        <v>54F04-1E-MIL</v>
      </c>
      <c r="B7287" s="3" t="str">
        <f>HYPERLINK("https://www.773grp.com/manufacturer/national-semiconductor?pageNo=50", "National Semiconductor")</f>
        <v>National Semiconductor</v>
      </c>
      <c r="C7287" s="6">
        <v>13</v>
      </c>
      <c r="D7287" s="7">
        <v>7.26</v>
      </c>
    </row>
    <row r="7288" spans="1:5" x14ac:dyDescent="0.25">
      <c r="A7288" t="str">
        <f>HYPERLINK("https://www.773grp.com/globalSearch/54F74-1E-MIL/page-1", "54F74-1E-MIL")</f>
        <v>54F74-1E-MIL</v>
      </c>
      <c r="B7288" s="3" t="str">
        <f>HYPERLINK("https://www.773grp.com/manufacturer/national-semiconductor?pageNo=51", "National Semiconductor")</f>
        <v>National Semiconductor</v>
      </c>
      <c r="C7288" s="6">
        <v>60</v>
      </c>
      <c r="D7288" s="7">
        <v>7.26</v>
      </c>
    </row>
    <row r="7289" spans="1:5" x14ac:dyDescent="0.25">
      <c r="A7289" t="str">
        <f>HYPERLINK("https://www.773grp.com/globalSearch/54F86-1E-MIL/page-1", "54F86-1E-MIL")</f>
        <v>54F86-1E-MIL</v>
      </c>
      <c r="B7289" s="3" t="str">
        <f>HYPERLINK("https://www.773grp.com/manufacturer/national-semiconductor?pageNo=52", "National Semiconductor")</f>
        <v>National Semiconductor</v>
      </c>
      <c r="C7289" s="6">
        <v>133</v>
      </c>
      <c r="D7289" s="7">
        <v>7.26</v>
      </c>
    </row>
    <row r="7290" spans="1:5" x14ac:dyDescent="0.25">
      <c r="A7290" t="str">
        <f>HYPERLINK("https://www.773grp.com/globalSearch/ADC108S022CIMT-NOPB/page-1", "ADC108S022CIMT-NOPB")</f>
        <v>ADC108S022CIMT-NOPB</v>
      </c>
      <c r="B7290" s="3" t="str">
        <f>HYPERLINK("https://www.773grp.com/manufacturer/national-semiconductor?pageNo=53", "National Semiconductor")</f>
        <v>National Semiconductor</v>
      </c>
      <c r="C7290" s="6">
        <v>6</v>
      </c>
      <c r="D7290" s="7">
        <v>7.26</v>
      </c>
      <c r="E7290" t="s">
        <v>39</v>
      </c>
    </row>
    <row r="7291" spans="1:5" x14ac:dyDescent="0.25">
      <c r="A7291" t="str">
        <f>HYPERLINK("https://www.773grp.com/globalSearch/DM54LS241J-883/page-1", "DM54LS241J-883")</f>
        <v>DM54LS241J-883</v>
      </c>
      <c r="B7291" s="3" t="str">
        <f>HYPERLINK("https://www.773grp.com/manufacturer/national-semiconductor?pageNo=54", "National Semiconductor")</f>
        <v>National Semiconductor</v>
      </c>
      <c r="C7291" s="6">
        <v>296</v>
      </c>
      <c r="D7291" s="7">
        <v>7.26</v>
      </c>
      <c r="E7291" t="s">
        <v>14</v>
      </c>
    </row>
    <row r="7292" spans="1:5" x14ac:dyDescent="0.25">
      <c r="A7292" t="str">
        <f>HYPERLINK("https://www.773grp.com/globalSearch/LM231N-NOPB/page-1", "LM231N-NOPB")</f>
        <v>LM231N-NOPB</v>
      </c>
      <c r="B7292" s="3" t="str">
        <f>HYPERLINK("https://www.773grp.com/manufacturer/national-semiconductor?pageNo=55", "National Semiconductor")</f>
        <v>National Semiconductor</v>
      </c>
      <c r="C7292" s="6">
        <v>16510</v>
      </c>
      <c r="D7292" s="7">
        <v>7.26</v>
      </c>
      <c r="E7292" t="s">
        <v>45</v>
      </c>
    </row>
    <row r="7293" spans="1:5" x14ac:dyDescent="0.25">
      <c r="A7293" t="str">
        <f>HYPERLINK("https://www.773grp.com/globalSearch/LM2590HVS-3.3-NOPB/page-1", "LM2590HVS-3.3-NOPB")</f>
        <v>LM2590HVS-3.3-NOPB</v>
      </c>
      <c r="B7293" s="3" t="str">
        <f>HYPERLINK("https://www.773grp.com/manufacturer/national-semiconductor?pageNo=56", "National Semiconductor")</f>
        <v>National Semiconductor</v>
      </c>
      <c r="C7293" s="6">
        <v>45</v>
      </c>
      <c r="D7293" s="7">
        <v>7.26</v>
      </c>
      <c r="E7293" t="s">
        <v>7</v>
      </c>
    </row>
    <row r="7294" spans="1:5" x14ac:dyDescent="0.25">
      <c r="A7294" t="str">
        <f>HYPERLINK("https://www.773grp.com/globalSearch/LM2590HVS-5.0-NOPB/page-1", "LM2590HVS-5.0-NOPB")</f>
        <v>LM2590HVS-5.0-NOPB</v>
      </c>
      <c r="B7294" s="3" t="str">
        <f>HYPERLINK("https://www.773grp.com/manufacturer/national-semiconductor?pageNo=57", "National Semiconductor")</f>
        <v>National Semiconductor</v>
      </c>
      <c r="C7294" s="6">
        <v>180</v>
      </c>
      <c r="D7294" s="7">
        <v>7.26</v>
      </c>
      <c r="E7294" t="s">
        <v>7</v>
      </c>
    </row>
    <row r="7295" spans="1:5" x14ac:dyDescent="0.25">
      <c r="A7295" t="str">
        <f>HYPERLINK("https://www.773grp.com/globalSearch/LM2590HVS-ADJ-NOPB/page-1", "LM2590HVS-ADJ-NOPB")</f>
        <v>LM2590HVS-ADJ-NOPB</v>
      </c>
      <c r="B7295" s="3" t="str">
        <f>HYPERLINK("https://www.773grp.com/manufacturer/national-semiconductor?pageNo=58", "National Semiconductor")</f>
        <v>National Semiconductor</v>
      </c>
      <c r="C7295" s="6">
        <v>384</v>
      </c>
      <c r="D7295" s="7">
        <v>7.26</v>
      </c>
      <c r="E7295" t="s">
        <v>7</v>
      </c>
    </row>
    <row r="7296" spans="1:5" x14ac:dyDescent="0.25">
      <c r="A7296" t="str">
        <f>HYPERLINK("https://www.773grp.com/globalSearch/LM3102MH-NOPB/page-1", "LM3102MH-NOPB")</f>
        <v>LM3102MH-NOPB</v>
      </c>
      <c r="B7296" s="3" t="str">
        <f>HYPERLINK("https://www.773grp.com/manufacturer/national-semiconductor?pageNo=59", "National Semiconductor")</f>
        <v>National Semiconductor</v>
      </c>
      <c r="C7296" s="6">
        <v>3794</v>
      </c>
      <c r="D7296" s="7">
        <v>7.26</v>
      </c>
      <c r="E7296" t="s">
        <v>7</v>
      </c>
    </row>
    <row r="7297" spans="1:5" x14ac:dyDescent="0.25">
      <c r="A7297" t="str">
        <f>HYPERLINK("https://www.773grp.com/globalSearch/MM54HC365J-883/page-1", "MM54HC365J-883")</f>
        <v>MM54HC365J-883</v>
      </c>
      <c r="B7297" s="3" t="str">
        <f>HYPERLINK("https://www.773grp.com/manufacturer/national-semiconductor?pageNo=60", "National Semiconductor")</f>
        <v>National Semiconductor</v>
      </c>
      <c r="C7297" s="6">
        <v>149</v>
      </c>
      <c r="D7297" s="7">
        <v>7.26</v>
      </c>
    </row>
    <row r="7298" spans="1:5" x14ac:dyDescent="0.25">
      <c r="A7298" t="str">
        <f>HYPERLINK("https://www.773grp.com/globalSearch/MM54HC367J-883/page-1", "MM54HC367J-883")</f>
        <v>MM54HC367J-883</v>
      </c>
      <c r="B7298" s="3" t="str">
        <f>HYPERLINK("https://www.773grp.com/manufacturer/national-semiconductor?pageNo=61", "National Semiconductor")</f>
        <v>National Semiconductor</v>
      </c>
      <c r="C7298" s="6">
        <v>154</v>
      </c>
      <c r="D7298" s="7">
        <v>7.26</v>
      </c>
    </row>
    <row r="7299" spans="1:5" x14ac:dyDescent="0.25">
      <c r="A7299" t="str">
        <f>HYPERLINK("https://www.773grp.com/globalSearch/ADC108S022CIMT-NOPB/page-1", "ADC108S022CIMT-NOPB")</f>
        <v>ADC108S022CIMT-NOPB</v>
      </c>
      <c r="B7299" s="3" t="str">
        <f>HYPERLINK("https://www.773grp.com/manufacturer/national-semiconductor?pageNo=62", "National Semiconductor")</f>
        <v>National Semiconductor</v>
      </c>
      <c r="C7299" s="6">
        <v>215</v>
      </c>
      <c r="D7299" s="7">
        <v>7.26</v>
      </c>
      <c r="E7299" t="s">
        <v>39</v>
      </c>
    </row>
    <row r="7300" spans="1:5" x14ac:dyDescent="0.25">
      <c r="A7300" t="str">
        <f>HYPERLINK("https://www.773grp.com/globalSearch/LM231N-NOPB/page-1", "LM231N-NOPB")</f>
        <v>LM231N-NOPB</v>
      </c>
      <c r="B7300" s="3" t="str">
        <f>HYPERLINK("https://www.773grp.com/manufacturer/national-semiconductor?pageNo=63", "National Semiconductor")</f>
        <v>National Semiconductor</v>
      </c>
      <c r="C7300" s="6">
        <v>422</v>
      </c>
      <c r="D7300" s="7">
        <v>7.26</v>
      </c>
      <c r="E7300" t="s">
        <v>45</v>
      </c>
    </row>
    <row r="7301" spans="1:5" x14ac:dyDescent="0.25">
      <c r="A7301" t="str">
        <f>HYPERLINK("https://www.773grp.com/globalSearch/LM2590HVS-3.3-NOPB/page-1", "LM2590HVS-3.3-NOPB")</f>
        <v>LM2590HVS-3.3-NOPB</v>
      </c>
      <c r="B7301" s="3" t="str">
        <f>HYPERLINK("https://www.773grp.com/manufacturer/national-semiconductor?pageNo=64", "National Semiconductor")</f>
        <v>National Semiconductor</v>
      </c>
      <c r="C7301" s="6">
        <v>679</v>
      </c>
      <c r="D7301" s="7">
        <v>7.26</v>
      </c>
      <c r="E7301" t="s">
        <v>7</v>
      </c>
    </row>
    <row r="7302" spans="1:5" x14ac:dyDescent="0.25">
      <c r="A7302" t="str">
        <f>HYPERLINK("https://www.773grp.com/globalSearch/LM2590HVS-5.0-NOPB/page-1", "LM2590HVS-5.0-NOPB")</f>
        <v>LM2590HVS-5.0-NOPB</v>
      </c>
      <c r="B7302" s="3" t="str">
        <f>HYPERLINK("https://www.773grp.com/manufacturer/national-semiconductor?pageNo=65", "National Semiconductor")</f>
        <v>National Semiconductor</v>
      </c>
      <c r="C7302" s="6">
        <v>185</v>
      </c>
      <c r="D7302" s="7">
        <v>7.26</v>
      </c>
      <c r="E7302" t="s">
        <v>7</v>
      </c>
    </row>
    <row r="7303" spans="1:5" x14ac:dyDescent="0.25">
      <c r="A7303" t="str">
        <f>HYPERLINK("https://www.773grp.com/globalSearch/LM2590HVS-ADJ-NOPB/page-1", "LM2590HVS-ADJ-NOPB")</f>
        <v>LM2590HVS-ADJ-NOPB</v>
      </c>
      <c r="B7303" s="3" t="str">
        <f>HYPERLINK("https://www.773grp.com/manufacturer/national-semiconductor?pageNo=66", "National Semiconductor")</f>
        <v>National Semiconductor</v>
      </c>
      <c r="C7303" s="6">
        <v>295</v>
      </c>
      <c r="D7303" s="7">
        <v>7.26</v>
      </c>
      <c r="E7303" t="s">
        <v>7</v>
      </c>
    </row>
    <row r="7304" spans="1:5" x14ac:dyDescent="0.25">
      <c r="A7304" t="str">
        <f>HYPERLINK("https://www.773grp.com/globalSearch/LM3102MH-NOPB/page-1", "LM3102MH-NOPB")</f>
        <v>LM3102MH-NOPB</v>
      </c>
      <c r="B7304" s="3" t="str">
        <f>HYPERLINK("https://www.773grp.com/manufacturer/national-semiconductor?pageNo=67", "National Semiconductor")</f>
        <v>National Semiconductor</v>
      </c>
      <c r="C7304" s="6">
        <v>934</v>
      </c>
      <c r="D7304" s="7">
        <v>7.26</v>
      </c>
      <c r="E7304" t="s">
        <v>7</v>
      </c>
    </row>
    <row r="7305" spans="1:5" x14ac:dyDescent="0.25">
      <c r="A7305" t="str">
        <f>HYPERLINK("https://www.773grp.com/globalSearch/LM2677SD-12-NOPB/page-1", "LM2677SD-12-NOPB")</f>
        <v>LM2677SD-12-NOPB</v>
      </c>
      <c r="B7305" s="3" t="str">
        <f>HYPERLINK("https://www.773grp.com/manufacturer/national-semiconductor?pageNo=68", "National Semiconductor")</f>
        <v>National Semiconductor</v>
      </c>
      <c r="C7305" s="6">
        <v>250</v>
      </c>
      <c r="D7305" s="7">
        <v>7.29</v>
      </c>
      <c r="E7305" t="s">
        <v>7</v>
      </c>
    </row>
    <row r="7306" spans="1:5" x14ac:dyDescent="0.25">
      <c r="A7306" t="str">
        <f>HYPERLINK("https://www.773grp.com/globalSearch/LM2677SD-3.3-NOPB/page-1", "LM2677SD-3.3-NOPB")</f>
        <v>LM2677SD-3.3-NOPB</v>
      </c>
      <c r="B7306" s="3" t="str">
        <f>HYPERLINK("https://www.773grp.com/manufacturer/national-semiconductor?pageNo=69", "National Semiconductor")</f>
        <v>National Semiconductor</v>
      </c>
      <c r="C7306" s="6">
        <v>75</v>
      </c>
      <c r="D7306" s="7">
        <v>7.29</v>
      </c>
      <c r="E7306" t="s">
        <v>7</v>
      </c>
    </row>
    <row r="7307" spans="1:5" x14ac:dyDescent="0.25">
      <c r="A7307" t="str">
        <f>HYPERLINK("https://www.773grp.com/globalSearch/LM2677SD-5.0-NOPB/page-1", "LM2677SD-5.0-NOPB")</f>
        <v>LM2677SD-5.0-NOPB</v>
      </c>
      <c r="B7307" s="3" t="str">
        <f>HYPERLINK("https://www.773grp.com/manufacturer/national-semiconductor?pageNo=70", "National Semiconductor")</f>
        <v>National Semiconductor</v>
      </c>
      <c r="C7307" s="6">
        <v>229</v>
      </c>
      <c r="D7307" s="7">
        <v>7.29</v>
      </c>
      <c r="E7307" t="s">
        <v>7</v>
      </c>
    </row>
    <row r="7308" spans="1:5" x14ac:dyDescent="0.25">
      <c r="A7308" t="str">
        <f>HYPERLINK("https://www.773grp.com/globalSearch/LM2677SD-ADJ-NOPB/page-1", "LM2677SD-ADJ-NOPB")</f>
        <v>LM2677SD-ADJ-NOPB</v>
      </c>
      <c r="B7308" s="3" t="str">
        <f>HYPERLINK("https://www.773grp.com/manufacturer/national-semiconductor?pageNo=71", "National Semiconductor")</f>
        <v>National Semiconductor</v>
      </c>
      <c r="C7308" s="6">
        <v>400</v>
      </c>
      <c r="D7308" s="7">
        <v>7.29</v>
      </c>
      <c r="E7308" t="s">
        <v>7</v>
      </c>
    </row>
    <row r="7309" spans="1:5" x14ac:dyDescent="0.25">
      <c r="A7309" t="str">
        <f>HYPERLINK("https://www.773grp.com/globalSearch/LM2679SD-3.3-NOPB/page-1", "LM2679SD-3.3-NOPB")</f>
        <v>LM2679SD-3.3-NOPB</v>
      </c>
      <c r="B7309" s="3" t="str">
        <f>HYPERLINK("https://www.773grp.com/manufacturer/national-semiconductor?pageNo=72", "National Semiconductor")</f>
        <v>National Semiconductor</v>
      </c>
      <c r="C7309" s="6">
        <v>469</v>
      </c>
      <c r="D7309" s="7">
        <v>7.29</v>
      </c>
      <c r="E7309" t="s">
        <v>7</v>
      </c>
    </row>
    <row r="7310" spans="1:5" x14ac:dyDescent="0.25">
      <c r="A7310" t="str">
        <f>HYPERLINK("https://www.773grp.com/globalSearch/LM2679SD-5.0-NOPB/page-1", "LM2679SD-5.0-NOPB")</f>
        <v>LM2679SD-5.0-NOPB</v>
      </c>
      <c r="B7310" s="3" t="str">
        <f>HYPERLINK("https://www.773grp.com/manufacturer/national-semiconductor?pageNo=73", "National Semiconductor")</f>
        <v>National Semiconductor</v>
      </c>
      <c r="C7310" s="6">
        <v>230</v>
      </c>
      <c r="D7310" s="7">
        <v>7.29</v>
      </c>
      <c r="E7310" t="s">
        <v>7</v>
      </c>
    </row>
    <row r="7311" spans="1:5" x14ac:dyDescent="0.25">
      <c r="A7311" t="str">
        <f>HYPERLINK("https://www.773grp.com/globalSearch/LM2679SD-ADJ-NOPB/page-1", "LM2679SD-ADJ-NOPB")</f>
        <v>LM2679SD-ADJ-NOPB</v>
      </c>
      <c r="B7311" s="3" t="str">
        <f>HYPERLINK("https://www.773grp.com/manufacturer/national-semiconductor?pageNo=74", "National Semiconductor")</f>
        <v>National Semiconductor</v>
      </c>
      <c r="C7311" s="6">
        <v>250</v>
      </c>
      <c r="D7311" s="7">
        <v>7.29</v>
      </c>
      <c r="E7311" t="s">
        <v>7</v>
      </c>
    </row>
    <row r="7312" spans="1:5" x14ac:dyDescent="0.25">
      <c r="A7312" t="str">
        <f>HYPERLINK("https://www.773grp.com/globalSearch/LM2876TF-NOPB/page-1", "LM2876TF-NOPB")</f>
        <v>LM2876TF-NOPB</v>
      </c>
      <c r="B7312" s="3" t="str">
        <f>HYPERLINK("https://www.773grp.com/manufacturer/national-semiconductor?pageNo=75", "National Semiconductor")</f>
        <v>National Semiconductor</v>
      </c>
      <c r="C7312" s="6">
        <v>130</v>
      </c>
      <c r="D7312" s="7">
        <v>7.29</v>
      </c>
      <c r="E7312" t="s">
        <v>18</v>
      </c>
    </row>
    <row r="7313" spans="1:5" x14ac:dyDescent="0.25">
      <c r="A7313" t="str">
        <f>HYPERLINK("https://www.773grp.com/globalSearch/LMH0001SQE-NOPB/page-1", "LMH0001SQE-NOPB")</f>
        <v>LMH0001SQE-NOPB</v>
      </c>
      <c r="B7313" s="3" t="str">
        <f>HYPERLINK("https://www.773grp.com/manufacturer/national-semiconductor?pageNo=76", "National Semiconductor")</f>
        <v>National Semiconductor</v>
      </c>
      <c r="C7313" s="6">
        <v>500</v>
      </c>
      <c r="D7313" s="7">
        <v>7.29</v>
      </c>
    </row>
    <row r="7314" spans="1:5" x14ac:dyDescent="0.25">
      <c r="A7314" t="str">
        <f>HYPERLINK("https://www.773grp.com/globalSearch/LM2677SD-12-NOPB/page-1", "LM2677SD-12-NOPB")</f>
        <v>LM2677SD-12-NOPB</v>
      </c>
      <c r="B7314" s="3" t="str">
        <f>HYPERLINK("https://www.773grp.com/manufacturer/national-semiconductor?pageNo=77", "National Semiconductor")</f>
        <v>National Semiconductor</v>
      </c>
      <c r="C7314" s="6">
        <v>500</v>
      </c>
      <c r="D7314" s="7">
        <v>7.29</v>
      </c>
      <c r="E7314" t="s">
        <v>7</v>
      </c>
    </row>
    <row r="7315" spans="1:5" x14ac:dyDescent="0.25">
      <c r="A7315" t="str">
        <f>HYPERLINK("https://www.773grp.com/globalSearch/LM2677SD-5.0-NOPB/page-1", "LM2677SD-5.0-NOPB")</f>
        <v>LM2677SD-5.0-NOPB</v>
      </c>
      <c r="B7315" s="3" t="str">
        <f>HYPERLINK("https://www.773grp.com/manufacturer/national-semiconductor?pageNo=78", "National Semiconductor")</f>
        <v>National Semiconductor</v>
      </c>
      <c r="C7315" s="6">
        <v>250</v>
      </c>
      <c r="D7315" s="7">
        <v>7.29</v>
      </c>
      <c r="E7315" t="s">
        <v>7</v>
      </c>
    </row>
    <row r="7316" spans="1:5" x14ac:dyDescent="0.25">
      <c r="A7316" t="str">
        <f>HYPERLINK("https://www.773grp.com/globalSearch/LM2677SD-ADJ-NOPB/page-1", "LM2677SD-ADJ-NOPB")</f>
        <v>LM2677SD-ADJ-NOPB</v>
      </c>
      <c r="B7316" s="3" t="str">
        <f>HYPERLINK("https://www.773grp.com/manufacturer/national-semiconductor?pageNo=79", "National Semiconductor")</f>
        <v>National Semiconductor</v>
      </c>
      <c r="C7316" s="6">
        <v>220</v>
      </c>
      <c r="D7316" s="7">
        <v>7.29</v>
      </c>
      <c r="E7316" t="s">
        <v>7</v>
      </c>
    </row>
    <row r="7317" spans="1:5" x14ac:dyDescent="0.25">
      <c r="A7317" t="str">
        <f>HYPERLINK("https://www.773grp.com/globalSearch/LM2679SD-ADJ-NOPB/page-1", "LM2679SD-ADJ-NOPB")</f>
        <v>LM2679SD-ADJ-NOPB</v>
      </c>
      <c r="B7317" s="3" t="str">
        <f>HYPERLINK("https://www.773grp.com/manufacturer/national-semiconductor?pageNo=80", "National Semiconductor")</f>
        <v>National Semiconductor</v>
      </c>
      <c r="C7317" s="6">
        <v>264</v>
      </c>
      <c r="D7317" s="7">
        <v>7.29</v>
      </c>
      <c r="E7317" t="s">
        <v>7</v>
      </c>
    </row>
    <row r="7318" spans="1:5" x14ac:dyDescent="0.25">
      <c r="A7318" t="str">
        <f>HYPERLINK("https://www.773grp.com/globalSearch/LM2679SD-ADJ-NOPB/page-1", "LM2679SD-ADJ-NOPB")</f>
        <v>LM2679SD-ADJ-NOPB</v>
      </c>
      <c r="B7318" s="3" t="str">
        <f>HYPERLINK("https://www.773grp.com/manufacturer/national-semiconductor?pageNo=81", "National Semiconductor")</f>
        <v>National Semiconductor</v>
      </c>
      <c r="C7318" s="6">
        <v>18</v>
      </c>
      <c r="D7318" s="7">
        <v>7.29</v>
      </c>
      <c r="E7318" t="s">
        <v>7</v>
      </c>
    </row>
    <row r="7319" spans="1:5" x14ac:dyDescent="0.25">
      <c r="A7319" t="str">
        <f>HYPERLINK("https://www.773grp.com/globalSearch/LM2876TF-NOPB/page-1", "LM2876TF-NOPB")</f>
        <v>LM2876TF-NOPB</v>
      </c>
      <c r="B7319" s="3" t="str">
        <f>HYPERLINK("https://www.773grp.com/manufacturer/national-semiconductor?pageNo=82", "National Semiconductor")</f>
        <v>National Semiconductor</v>
      </c>
      <c r="C7319" s="6">
        <v>485</v>
      </c>
      <c r="D7319" s="7">
        <v>7.29</v>
      </c>
      <c r="E7319" t="s">
        <v>18</v>
      </c>
    </row>
    <row r="7320" spans="1:5" x14ac:dyDescent="0.25">
      <c r="A7320" t="str">
        <f>HYPERLINK("https://www.773grp.com/globalSearch/LMH0001SQE-NOPB/page-1", "LMH0001SQE-NOPB")</f>
        <v>LMH0001SQE-NOPB</v>
      </c>
      <c r="B7320" s="3" t="str">
        <f>HYPERLINK("https://www.773grp.com/manufacturer/national-semiconductor?pageNo=83", "National Semiconductor")</f>
        <v>National Semiconductor</v>
      </c>
      <c r="C7320" s="6">
        <v>1000</v>
      </c>
      <c r="D7320" s="7">
        <v>7.29</v>
      </c>
    </row>
    <row r="7321" spans="1:5" x14ac:dyDescent="0.25">
      <c r="A7321" t="str">
        <f>HYPERLINK("https://www.773grp.com/globalSearch/5442AFMQB/page-1", "5442AFMQB")</f>
        <v>5442AFMQB</v>
      </c>
      <c r="B7321" s="3" t="str">
        <f>HYPERLINK("https://www.773grp.com/manufacturer/national-semiconductor?pageNo=84", "National Semiconductor")</f>
        <v>National Semiconductor</v>
      </c>
      <c r="C7321" s="6">
        <v>928</v>
      </c>
      <c r="D7321" s="7">
        <v>7.31</v>
      </c>
      <c r="E7321" t="s">
        <v>36</v>
      </c>
    </row>
    <row r="7322" spans="1:5" x14ac:dyDescent="0.25">
      <c r="A7322" t="str">
        <f>HYPERLINK("https://www.773grp.com/globalSearch/DS90CR215MTDX-NOPB/page-1", "DS90CR215MTDX-NOPB")</f>
        <v>DS90CR215MTDX-NOPB</v>
      </c>
      <c r="B7322" s="3" t="str">
        <f>HYPERLINK("https://www.773grp.com/manufacturer/national-semiconductor?pageNo=85", "National Semiconductor")</f>
        <v>National Semiconductor</v>
      </c>
      <c r="C7322" s="6">
        <v>6562</v>
      </c>
      <c r="D7322" s="7">
        <v>7.31</v>
      </c>
      <c r="E7322" t="s">
        <v>21</v>
      </c>
    </row>
    <row r="7323" spans="1:5" x14ac:dyDescent="0.25">
      <c r="A7323" t="str">
        <f>HYPERLINK("https://www.773grp.com/globalSearch/DS90CR218AMTDX-NOPB/page-1", "DS90CR218AMTDX-NOPB")</f>
        <v>DS90CR218AMTDX-NOPB</v>
      </c>
      <c r="B7323" s="3" t="str">
        <f>HYPERLINK("https://www.773grp.com/manufacturer/national-semiconductor?pageNo=86", "National Semiconductor")</f>
        <v>National Semiconductor</v>
      </c>
      <c r="C7323" s="6">
        <v>3000</v>
      </c>
      <c r="D7323" s="7">
        <v>7.31</v>
      </c>
      <c r="E7323" t="s">
        <v>21</v>
      </c>
    </row>
    <row r="7324" spans="1:5" x14ac:dyDescent="0.25">
      <c r="A7324" t="str">
        <f>HYPERLINK("https://www.773grp.com/globalSearch/LM5576MHX-NOPB/page-1", "LM5576MHX-NOPB")</f>
        <v>LM5576MHX-NOPB</v>
      </c>
      <c r="B7324" s="3" t="str">
        <f>HYPERLINK("https://www.773grp.com/manufacturer/national-semiconductor?pageNo=87", "National Semiconductor")</f>
        <v>National Semiconductor</v>
      </c>
      <c r="C7324" s="6">
        <v>4920</v>
      </c>
      <c r="D7324" s="7">
        <v>7.31</v>
      </c>
    </row>
    <row r="7325" spans="1:5" x14ac:dyDescent="0.25">
      <c r="A7325" t="str">
        <f>HYPERLINK("https://www.773grp.com/globalSearch/LM6172IM/page-1", "LM6172IM")</f>
        <v>LM6172IM</v>
      </c>
      <c r="B7325" s="3" t="str">
        <f>HYPERLINK("https://www.773grp.com/manufacturer/national-semiconductor?pageNo=88", "National Semiconductor")</f>
        <v>National Semiconductor</v>
      </c>
      <c r="C7325" s="6">
        <v>5</v>
      </c>
      <c r="D7325" s="7">
        <v>7.31</v>
      </c>
      <c r="E7325" t="s">
        <v>18</v>
      </c>
    </row>
    <row r="7326" spans="1:5" x14ac:dyDescent="0.25">
      <c r="A7326" t="str">
        <f>HYPERLINK("https://www.773grp.com/globalSearch/LME49810TB/page-1", "LME49810TB")</f>
        <v>LME49810TB</v>
      </c>
      <c r="B7326" s="3" t="str">
        <f>HYPERLINK("https://www.773grp.com/manufacturer/national-semiconductor?pageNo=89", "National Semiconductor")</f>
        <v>National Semiconductor</v>
      </c>
      <c r="C7326" s="6">
        <v>2</v>
      </c>
      <c r="D7326" s="7">
        <v>7.31</v>
      </c>
      <c r="E7326" t="s">
        <v>18</v>
      </c>
    </row>
    <row r="7327" spans="1:5" x14ac:dyDescent="0.25">
      <c r="A7327" t="str">
        <f>HYPERLINK("https://www.773grp.com/globalSearch/LME49830TB-NOPB/page-1", "LME49830TB-NOPB")</f>
        <v>LME49830TB-NOPB</v>
      </c>
      <c r="B7327" s="3" t="str">
        <f>HYPERLINK("https://www.773grp.com/manufacturer/national-semiconductor?pageNo=90", "National Semiconductor")</f>
        <v>National Semiconductor</v>
      </c>
      <c r="C7327" s="6">
        <v>1944</v>
      </c>
      <c r="D7327" s="7">
        <v>7.31</v>
      </c>
    </row>
    <row r="7328" spans="1:5" x14ac:dyDescent="0.25">
      <c r="A7328" t="str">
        <f>HYPERLINK("https://www.773grp.com/globalSearch/LMH6738MQ/page-1", "LMH6738MQ")</f>
        <v>LMH6738MQ</v>
      </c>
      <c r="B7328" s="3" t="str">
        <f>HYPERLINK("https://www.773grp.com/manufacturer/national-semiconductor?pageNo=91", "National Semiconductor")</f>
        <v>National Semiconductor</v>
      </c>
      <c r="C7328" s="6">
        <v>570</v>
      </c>
      <c r="D7328" s="7">
        <v>7.31</v>
      </c>
      <c r="E7328" t="s">
        <v>13</v>
      </c>
    </row>
    <row r="7329" spans="1:5" x14ac:dyDescent="0.25">
      <c r="A7329" t="str">
        <f>HYPERLINK("https://www.773grp.com/globalSearch/LMH6738MQX-NOPB/page-1", "LMH6738MQX-NOPB")</f>
        <v>LMH6738MQX-NOPB</v>
      </c>
      <c r="B7329" s="3" t="str">
        <f>HYPERLINK("https://www.773grp.com/manufacturer/national-semiconductor?pageNo=92", "National Semiconductor")</f>
        <v>National Semiconductor</v>
      </c>
      <c r="C7329" s="6">
        <v>2500</v>
      </c>
      <c r="D7329" s="7">
        <v>7.31</v>
      </c>
      <c r="E7329" t="s">
        <v>13</v>
      </c>
    </row>
    <row r="7330" spans="1:5" x14ac:dyDescent="0.25">
      <c r="A7330" t="str">
        <f>HYPERLINK("https://www.773grp.com/globalSearch/LME49830TB-NOPB/page-1", "LME49830TB-NOPB")</f>
        <v>LME49830TB-NOPB</v>
      </c>
      <c r="B7330" s="3" t="str">
        <f>HYPERLINK("https://www.773grp.com/manufacturer/national-semiconductor?pageNo=93", "National Semiconductor")</f>
        <v>National Semiconductor</v>
      </c>
      <c r="C7330" s="6">
        <v>104</v>
      </c>
      <c r="D7330" s="7">
        <v>7.31</v>
      </c>
    </row>
    <row r="7331" spans="1:5" x14ac:dyDescent="0.25">
      <c r="A7331" t="str">
        <f>HYPERLINK("https://www.773grp.com/globalSearch/5495AFM/page-1", "5495AFM")</f>
        <v>5495AFM</v>
      </c>
      <c r="B7331" s="3" t="str">
        <f>HYPERLINK("https://www.773grp.com/manufacturer/national-semiconductor?pageNo=94", "National Semiconductor")</f>
        <v>National Semiconductor</v>
      </c>
      <c r="C7331" s="6">
        <v>2694</v>
      </c>
      <c r="D7331" s="7">
        <v>7.34</v>
      </c>
    </row>
    <row r="7332" spans="1:5" x14ac:dyDescent="0.25">
      <c r="A7332" t="str">
        <f>HYPERLINK("https://www.773grp.com/globalSearch/DS90C365AMTX/page-1", "DS90C365AMTX")</f>
        <v>DS90C365AMTX</v>
      </c>
      <c r="B7332" s="3" t="str">
        <f>HYPERLINK("https://www.773grp.com/manufacturer/national-semiconductor?pageNo=95", "National Semiconductor")</f>
        <v>National Semiconductor</v>
      </c>
      <c r="C7332" s="6">
        <v>44000</v>
      </c>
      <c r="D7332" s="7">
        <v>7.34</v>
      </c>
      <c r="E7332" t="s">
        <v>21</v>
      </c>
    </row>
    <row r="7333" spans="1:5" x14ac:dyDescent="0.25">
      <c r="A7333" t="str">
        <f>HYPERLINK("https://www.773grp.com/globalSearch/DS90C365AMTX-NOPB/page-1", "DS90C365AMTX-NOPB")</f>
        <v>DS90C365AMTX-NOPB</v>
      </c>
      <c r="B7333" s="3" t="str">
        <f>HYPERLINK("https://www.773grp.com/manufacturer/national-semiconductor?pageNo=96", "National Semiconductor")</f>
        <v>National Semiconductor</v>
      </c>
      <c r="C7333" s="6">
        <v>1000</v>
      </c>
      <c r="D7333" s="7">
        <v>7.34</v>
      </c>
    </row>
    <row r="7334" spans="1:5" x14ac:dyDescent="0.25">
      <c r="A7334" t="str">
        <f>HYPERLINK("https://www.773grp.com/globalSearch/DS90CF364AMTDX-NOPB/page-1", "DS90CF364AMTDX-NOPB")</f>
        <v>DS90CF364AMTDX-NOPB</v>
      </c>
      <c r="B7334" s="3" t="str">
        <f>HYPERLINK("https://www.773grp.com/manufacturer/national-semiconductor?pageNo=97", "National Semiconductor")</f>
        <v>National Semiconductor</v>
      </c>
      <c r="C7334" s="6">
        <v>5000</v>
      </c>
      <c r="D7334" s="7">
        <v>7.34</v>
      </c>
      <c r="E7334" t="s">
        <v>21</v>
      </c>
    </row>
    <row r="7335" spans="1:5" x14ac:dyDescent="0.25">
      <c r="A7335" t="str">
        <f>HYPERLINK("https://www.773grp.com/globalSearch/DS90CF364MTD/page-1", "DS90CF364MTD")</f>
        <v>DS90CF364MTD</v>
      </c>
      <c r="B7335" s="3" t="str">
        <f>HYPERLINK("https://www.773grp.com/manufacturer/national-semiconductor?pageNo=98", "National Semiconductor")</f>
        <v>National Semiconductor</v>
      </c>
      <c r="C7335" s="6">
        <v>14</v>
      </c>
      <c r="D7335" s="7">
        <v>7.34</v>
      </c>
      <c r="E7335" t="s">
        <v>21</v>
      </c>
    </row>
    <row r="7336" spans="1:5" x14ac:dyDescent="0.25">
      <c r="A7336" t="str">
        <f>HYPERLINK("https://www.773grp.com/globalSearch/LMH0001SQE/page-1", "LMH0001SQE")</f>
        <v>LMH0001SQE</v>
      </c>
      <c r="B7336" s="3" t="str">
        <f>HYPERLINK("https://www.773grp.com/manufacturer/national-semiconductor?pageNo=99", "National Semiconductor")</f>
        <v>National Semiconductor</v>
      </c>
      <c r="C7336" s="6">
        <v>250</v>
      </c>
      <c r="D7336" s="7">
        <v>7.34</v>
      </c>
    </row>
    <row r="7337" spans="1:5" x14ac:dyDescent="0.25">
      <c r="A7337" t="str">
        <f>HYPERLINK("https://www.773grp.com/globalSearch/MM54HC74J-883/page-1", "MM54HC74J-883")</f>
        <v>MM54HC74J-883</v>
      </c>
      <c r="B7337" s="3" t="str">
        <f>HYPERLINK("https://www.773grp.com/manufacturer/national-semiconductor?pageNo=100", "National Semiconductor")</f>
        <v>National Semiconductor</v>
      </c>
      <c r="C7337" s="6">
        <v>13</v>
      </c>
      <c r="D7337" s="7">
        <v>7.34</v>
      </c>
      <c r="E7337" t="s">
        <v>35</v>
      </c>
    </row>
    <row r="7338" spans="1:5" x14ac:dyDescent="0.25">
      <c r="A7338" t="str">
        <f>HYPERLINK("https://www.773grp.com/globalSearch/DS90C365AMTX-NOPB/page-1", "DS90C365AMTX-NOPB")</f>
        <v>DS90C365AMTX-NOPB</v>
      </c>
      <c r="B7338" s="3" t="str">
        <f>HYPERLINK("https://www.773grp.com/manufacturer/national-semiconductor?pageNo=101", "National Semiconductor")</f>
        <v>National Semiconductor</v>
      </c>
      <c r="C7338" s="6">
        <v>15000</v>
      </c>
      <c r="D7338" s="7">
        <v>7.34</v>
      </c>
    </row>
    <row r="7339" spans="1:5" x14ac:dyDescent="0.25">
      <c r="A7339" t="str">
        <f>HYPERLINK("https://www.773grp.com/globalSearch/DS90CF364MTD/page-1", "DS90CF364MTD")</f>
        <v>DS90CF364MTD</v>
      </c>
      <c r="B7339" s="3" t="str">
        <f>HYPERLINK("https://www.773grp.com/manufacturer/national-semiconductor?pageNo=102", "National Semiconductor")</f>
        <v>National Semiconductor</v>
      </c>
      <c r="C7339" s="6">
        <v>3952</v>
      </c>
      <c r="D7339" s="7">
        <v>7.34</v>
      </c>
      <c r="E7339" t="s">
        <v>21</v>
      </c>
    </row>
    <row r="7340" spans="1:5" x14ac:dyDescent="0.25">
      <c r="A7340" t="str">
        <f>HYPERLINK("https://www.773grp.com/globalSearch/DS3603N/page-1", "DS3603N")</f>
        <v>DS3603N</v>
      </c>
      <c r="B7340" s="3" t="str">
        <f>HYPERLINK("https://www.773grp.com/manufacturer/national-semiconductor?pageNo=103", "National Semiconductor")</f>
        <v>National Semiconductor</v>
      </c>
      <c r="C7340" s="6">
        <v>1272</v>
      </c>
      <c r="D7340" s="7">
        <v>7.38</v>
      </c>
      <c r="E7340" t="s">
        <v>21</v>
      </c>
    </row>
    <row r="7341" spans="1:5" x14ac:dyDescent="0.25">
      <c r="A7341" t="str">
        <f>HYPERLINK("https://www.773grp.com/globalSearch/LM2673SX-ADJ/page-1", "LM2673SX-ADJ")</f>
        <v>LM2673SX-ADJ</v>
      </c>
      <c r="B7341" s="3" t="str">
        <f>HYPERLINK("https://www.773grp.com/manufacturer/national-semiconductor?pageNo=104", "National Semiconductor")</f>
        <v>National Semiconductor</v>
      </c>
      <c r="C7341" s="6">
        <v>64770</v>
      </c>
      <c r="D7341" s="7">
        <v>7.38</v>
      </c>
      <c r="E7341" t="s">
        <v>7</v>
      </c>
    </row>
    <row r="7342" spans="1:5" x14ac:dyDescent="0.25">
      <c r="A7342" t="str">
        <f>HYPERLINK("https://www.773grp.com/globalSearch/LM2673T-ADJ/page-1", "LM2673T-ADJ")</f>
        <v>LM2673T-ADJ</v>
      </c>
      <c r="B7342" s="3" t="str">
        <f>HYPERLINK("https://www.773grp.com/manufacturer/national-semiconductor?pageNo=105", "National Semiconductor")</f>
        <v>National Semiconductor</v>
      </c>
      <c r="C7342" s="6">
        <v>180</v>
      </c>
      <c r="D7342" s="7">
        <v>7.38</v>
      </c>
      <c r="E7342" t="s">
        <v>7</v>
      </c>
    </row>
    <row r="7343" spans="1:5" x14ac:dyDescent="0.25">
      <c r="A7343" t="str">
        <f>HYPERLINK("https://www.773grp.com/globalSearch/LM3100MHX/page-1", "LM3100MHX")</f>
        <v>LM3100MHX</v>
      </c>
      <c r="B7343" s="3" t="str">
        <f>HYPERLINK("https://www.773grp.com/manufacturer/national-semiconductor?pageNo=106", "National Semiconductor")</f>
        <v>National Semiconductor</v>
      </c>
      <c r="C7343" s="6">
        <v>2500</v>
      </c>
      <c r="D7343" s="7">
        <v>7.38</v>
      </c>
      <c r="E7343" t="s">
        <v>7</v>
      </c>
    </row>
    <row r="7344" spans="1:5" x14ac:dyDescent="0.25">
      <c r="A7344" t="str">
        <f>HYPERLINK("https://www.773grp.com/globalSearch/LP3852ESX-1.8/page-1", "LP3852ESX-1.8")</f>
        <v>LP3852ESX-1.8</v>
      </c>
      <c r="B7344" s="3" t="str">
        <f>HYPERLINK("https://www.773grp.com/manufacturer/national-semiconductor?pageNo=107", "National Semiconductor")</f>
        <v>National Semiconductor</v>
      </c>
      <c r="C7344" s="6">
        <v>500</v>
      </c>
      <c r="D7344" s="7">
        <v>7.38</v>
      </c>
      <c r="E7344" t="s">
        <v>19</v>
      </c>
    </row>
    <row r="7345" spans="1:5" x14ac:dyDescent="0.25">
      <c r="A7345" t="str">
        <f>HYPERLINK("https://www.773grp.com/globalSearch/LP3855EMP-ADJ/page-1", "LP3855EMP-ADJ")</f>
        <v>LP3855EMP-ADJ</v>
      </c>
      <c r="B7345" s="3" t="str">
        <f>HYPERLINK("https://www.773grp.com/manufacturer/national-semiconductor?pageNo=108", "National Semiconductor")</f>
        <v>National Semiconductor</v>
      </c>
      <c r="C7345" s="6">
        <v>11000</v>
      </c>
      <c r="D7345" s="7">
        <v>7.38</v>
      </c>
      <c r="E7345" t="s">
        <v>25</v>
      </c>
    </row>
    <row r="7346" spans="1:5" x14ac:dyDescent="0.25">
      <c r="A7346" t="str">
        <f>HYPERLINK("https://www.773grp.com/globalSearch/MM54HC153J-883/page-1", "MM54HC153J-883")</f>
        <v>MM54HC153J-883</v>
      </c>
      <c r="B7346" s="3" t="str">
        <f>HYPERLINK("https://www.773grp.com/manufacturer/national-semiconductor?pageNo=109", "National Semiconductor")</f>
        <v>National Semiconductor</v>
      </c>
      <c r="C7346" s="6">
        <v>24</v>
      </c>
      <c r="D7346" s="7">
        <v>7.38</v>
      </c>
    </row>
    <row r="7347" spans="1:5" x14ac:dyDescent="0.25">
      <c r="A7347" t="str">
        <f>HYPERLINK("https://www.773grp.com/globalSearch/LM2673T-5.0/page-1", "LM2673T-5.0")</f>
        <v>LM2673T-5.0</v>
      </c>
      <c r="B7347" s="3" t="str">
        <f>HYPERLINK("https://www.773grp.com/manufacturer/national-semiconductor?pageNo=110", "National Semiconductor")</f>
        <v>National Semiconductor</v>
      </c>
      <c r="C7347" s="6">
        <v>1046</v>
      </c>
      <c r="D7347" s="7">
        <v>7.38</v>
      </c>
    </row>
    <row r="7348" spans="1:5" x14ac:dyDescent="0.25">
      <c r="A7348" t="str">
        <f>HYPERLINK("https://www.773grp.com/globalSearch/74H00PC/page-1", "74H00PC")</f>
        <v>74H00PC</v>
      </c>
      <c r="B7348" s="3" t="str">
        <f>HYPERLINK("https://www.773grp.com/manufacturer/national-semiconductor?pageNo=111", "National Semiconductor")</f>
        <v>National Semiconductor</v>
      </c>
      <c r="C7348" s="6">
        <v>49182</v>
      </c>
      <c r="D7348" s="7">
        <v>7.39</v>
      </c>
    </row>
    <row r="7349" spans="1:5" x14ac:dyDescent="0.25">
      <c r="A7349" t="str">
        <f>HYPERLINK("https://www.773grp.com/globalSearch/74H01PC/page-1", "74H01PC")</f>
        <v>74H01PC</v>
      </c>
      <c r="B7349" s="3" t="str">
        <f>HYPERLINK("https://www.773grp.com/manufacturer/national-semiconductor?pageNo=112", "National Semiconductor")</f>
        <v>National Semiconductor</v>
      </c>
      <c r="C7349" s="6">
        <v>2533</v>
      </c>
      <c r="D7349" s="7">
        <v>7.39</v>
      </c>
    </row>
    <row r="7350" spans="1:5" x14ac:dyDescent="0.25">
      <c r="A7350" t="str">
        <f>HYPERLINK("https://www.773grp.com/globalSearch/74H10PC/page-1", "74H10PC")</f>
        <v>74H10PC</v>
      </c>
      <c r="B7350" s="3" t="str">
        <f>HYPERLINK("https://www.773grp.com/manufacturer/national-semiconductor?pageNo=113", "National Semiconductor")</f>
        <v>National Semiconductor</v>
      </c>
      <c r="C7350" s="6">
        <v>17133</v>
      </c>
      <c r="D7350" s="7">
        <v>7.39</v>
      </c>
      <c r="E7350" t="s">
        <v>31</v>
      </c>
    </row>
    <row r="7351" spans="1:5" x14ac:dyDescent="0.25">
      <c r="A7351" t="str">
        <f>HYPERLINK("https://www.773grp.com/globalSearch/74H20PC/page-1", "74H20PC")</f>
        <v>74H20PC</v>
      </c>
      <c r="B7351" s="3" t="str">
        <f>HYPERLINK("https://www.773grp.com/manufacturer/national-semiconductor?pageNo=114", "National Semiconductor")</f>
        <v>National Semiconductor</v>
      </c>
      <c r="C7351" s="6">
        <v>3125</v>
      </c>
      <c r="D7351" s="7">
        <v>7.39</v>
      </c>
      <c r="E7351" t="s">
        <v>31</v>
      </c>
    </row>
    <row r="7352" spans="1:5" x14ac:dyDescent="0.25">
      <c r="A7352" t="str">
        <f>HYPERLINK("https://www.773grp.com/globalSearch/74H21PC/page-1", "74H21PC")</f>
        <v>74H21PC</v>
      </c>
      <c r="B7352" s="3" t="str">
        <f>HYPERLINK("https://www.773grp.com/manufacturer/national-semiconductor?pageNo=115", "National Semiconductor")</f>
        <v>National Semiconductor</v>
      </c>
      <c r="C7352" s="6">
        <v>43</v>
      </c>
      <c r="D7352" s="7">
        <v>7.39</v>
      </c>
    </row>
    <row r="7353" spans="1:5" x14ac:dyDescent="0.25">
      <c r="A7353" t="str">
        <f>HYPERLINK("https://www.773grp.com/globalSearch/74H30PC/page-1", "74H30PC")</f>
        <v>74H30PC</v>
      </c>
      <c r="B7353" s="3" t="str">
        <f>HYPERLINK("https://www.773grp.com/manufacturer/national-semiconductor?pageNo=116", "National Semiconductor")</f>
        <v>National Semiconductor</v>
      </c>
      <c r="C7353" s="6">
        <v>29</v>
      </c>
      <c r="D7353" s="7">
        <v>7.39</v>
      </c>
    </row>
    <row r="7354" spans="1:5" x14ac:dyDescent="0.25">
      <c r="A7354" t="str">
        <f>HYPERLINK("https://www.773grp.com/globalSearch/74H51PC/page-1", "74H51PC")</f>
        <v>74H51PC</v>
      </c>
      <c r="B7354" s="3" t="str">
        <f>HYPERLINK("https://www.773grp.com/manufacturer/national-semiconductor?pageNo=117", "National Semiconductor")</f>
        <v>National Semiconductor</v>
      </c>
      <c r="C7354" s="6">
        <v>16252</v>
      </c>
      <c r="D7354" s="7">
        <v>7.39</v>
      </c>
    </row>
    <row r="7355" spans="1:5" x14ac:dyDescent="0.25">
      <c r="A7355" t="str">
        <f>HYPERLINK("https://www.773grp.com/globalSearch/74H52PC/page-1", "74H52PC")</f>
        <v>74H52PC</v>
      </c>
      <c r="B7355" s="3" t="str">
        <f>HYPERLINK("https://www.773grp.com/manufacturer/national-semiconductor?pageNo=118", "National Semiconductor")</f>
        <v>National Semiconductor</v>
      </c>
      <c r="C7355" s="6">
        <v>273</v>
      </c>
      <c r="D7355" s="7">
        <v>7.39</v>
      </c>
    </row>
    <row r="7356" spans="1:5" x14ac:dyDescent="0.25">
      <c r="A7356" t="str">
        <f>HYPERLINK("https://www.773grp.com/globalSearch/74H53PC/page-1", "74H53PC")</f>
        <v>74H53PC</v>
      </c>
      <c r="B7356" s="3" t="str">
        <f>HYPERLINK("https://www.773grp.com/manufacturer/national-semiconductor?pageNo=119", "National Semiconductor")</f>
        <v>National Semiconductor</v>
      </c>
      <c r="C7356" s="6">
        <v>6445</v>
      </c>
      <c r="D7356" s="7">
        <v>7.39</v>
      </c>
    </row>
    <row r="7357" spans="1:5" x14ac:dyDescent="0.25">
      <c r="A7357" t="str">
        <f>HYPERLINK("https://www.773grp.com/globalSearch/DM7216J-883/page-1", "DM7216J-883")</f>
        <v>DM7216J-883</v>
      </c>
      <c r="B7357" s="3" t="str">
        <f>HYPERLINK("https://www.773grp.com/manufacturer/national-semiconductor?pageNo=120", "National Semiconductor")</f>
        <v>National Semiconductor</v>
      </c>
      <c r="C7357" s="6">
        <v>543</v>
      </c>
      <c r="D7357" s="7">
        <v>7.39</v>
      </c>
    </row>
    <row r="7358" spans="1:5" x14ac:dyDescent="0.25">
      <c r="A7358" t="str">
        <f>HYPERLINK("https://www.773grp.com/globalSearch/JM38510-07103BDA/page-1", "JM38510-07103BDA")</f>
        <v>JM38510-07103BDA</v>
      </c>
      <c r="B7358" s="3" t="str">
        <f>HYPERLINK("https://www.773grp.com/manufacturer/national-semiconductor?pageNo=121", "National Semiconductor")</f>
        <v>National Semiconductor</v>
      </c>
      <c r="C7358" s="6">
        <v>92</v>
      </c>
      <c r="D7358" s="7">
        <v>7.39</v>
      </c>
      <c r="E7358" t="s">
        <v>35</v>
      </c>
    </row>
    <row r="7359" spans="1:5" x14ac:dyDescent="0.25">
      <c r="A7359" t="str">
        <f>HYPERLINK("https://www.773grp.com/globalSearch/LM236AM-2.5/page-1", "LM236AM-2.5")</f>
        <v>LM236AM-2.5</v>
      </c>
      <c r="B7359" s="3" t="str">
        <f>HYPERLINK("https://www.773grp.com/manufacturer/national-semiconductor?pageNo=122", "National Semiconductor")</f>
        <v>National Semiconductor</v>
      </c>
      <c r="C7359" s="6">
        <v>1278</v>
      </c>
      <c r="D7359" s="7">
        <v>7.39</v>
      </c>
      <c r="E7359" t="s">
        <v>17</v>
      </c>
    </row>
    <row r="7360" spans="1:5" x14ac:dyDescent="0.25">
      <c r="A7360" t="str">
        <f>HYPERLINK("https://www.773grp.com/globalSearch/LM25575MH/page-1", "LM25575MH")</f>
        <v>LM25575MH</v>
      </c>
      <c r="B7360" s="3" t="str">
        <f>HYPERLINK("https://www.773grp.com/manufacturer/national-semiconductor?pageNo=123", "National Semiconductor")</f>
        <v>National Semiconductor</v>
      </c>
      <c r="C7360" s="6">
        <v>690</v>
      </c>
      <c r="D7360" s="7">
        <v>7.39</v>
      </c>
      <c r="E7360" t="s">
        <v>7</v>
      </c>
    </row>
    <row r="7361" spans="1:5" x14ac:dyDescent="0.25">
      <c r="A7361" t="str">
        <f>HYPERLINK("https://www.773grp.com/globalSearch/LM2595S-12/page-1", "LM2595S-12")</f>
        <v>LM2595S-12</v>
      </c>
      <c r="B7361" s="3" t="str">
        <f>HYPERLINK("https://www.773grp.com/manufacturer/national-semiconductor?pageNo=124", "National Semiconductor")</f>
        <v>National Semiconductor</v>
      </c>
      <c r="C7361" s="6">
        <v>585</v>
      </c>
      <c r="D7361" s="7">
        <v>7.39</v>
      </c>
      <c r="E7361" t="s">
        <v>7</v>
      </c>
    </row>
    <row r="7362" spans="1:5" x14ac:dyDescent="0.25">
      <c r="A7362" t="str">
        <f>HYPERLINK("https://www.773grp.com/globalSearch/LM2595S-3.3/page-1", "LM2595S-3.3")</f>
        <v>LM2595S-3.3</v>
      </c>
      <c r="B7362" s="3" t="str">
        <f>HYPERLINK("https://www.773grp.com/manufacturer/national-semiconductor?pageNo=125", "National Semiconductor")</f>
        <v>National Semiconductor</v>
      </c>
      <c r="C7362" s="6">
        <v>2</v>
      </c>
      <c r="D7362" s="7">
        <v>7.39</v>
      </c>
      <c r="E7362" t="s">
        <v>7</v>
      </c>
    </row>
    <row r="7363" spans="1:5" x14ac:dyDescent="0.25">
      <c r="A7363" t="str">
        <f>HYPERLINK("https://www.773grp.com/globalSearch/LM2595S-5.0/page-1", "LM2595S-5.0")</f>
        <v>LM2595S-5.0</v>
      </c>
      <c r="B7363" s="3" t="str">
        <f>HYPERLINK("https://www.773grp.com/manufacturer/national-semiconductor?pageNo=126", "National Semiconductor")</f>
        <v>National Semiconductor</v>
      </c>
      <c r="C7363" s="6">
        <v>48</v>
      </c>
      <c r="D7363" s="7">
        <v>7.39</v>
      </c>
      <c r="E7363" t="s">
        <v>7</v>
      </c>
    </row>
    <row r="7364" spans="1:5" x14ac:dyDescent="0.25">
      <c r="A7364" t="str">
        <f>HYPERLINK("https://www.773grp.com/globalSearch/LM2675M-12/page-1", "LM2675M-12")</f>
        <v>LM2675M-12</v>
      </c>
      <c r="B7364" s="3" t="str">
        <f>HYPERLINK("https://www.773grp.com/manufacturer/national-semiconductor?pageNo=127", "National Semiconductor")</f>
        <v>National Semiconductor</v>
      </c>
      <c r="C7364" s="6">
        <v>743</v>
      </c>
      <c r="D7364" s="7">
        <v>7.39</v>
      </c>
      <c r="E7364" t="s">
        <v>7</v>
      </c>
    </row>
    <row r="7365" spans="1:5" x14ac:dyDescent="0.25">
      <c r="A7365" t="str">
        <f>HYPERLINK("https://www.773grp.com/globalSearch/LM2675M-5.0/page-1", "LM2675M-5.0")</f>
        <v>LM2675M-5.0</v>
      </c>
      <c r="B7365" s="3" t="str">
        <f>HYPERLINK("https://www.773grp.com/manufacturer/national-semiconductor?pageNo=128", "National Semiconductor")</f>
        <v>National Semiconductor</v>
      </c>
      <c r="C7365" s="6">
        <v>120</v>
      </c>
      <c r="D7365" s="7">
        <v>7.39</v>
      </c>
      <c r="E7365" t="s">
        <v>7</v>
      </c>
    </row>
    <row r="7366" spans="1:5" x14ac:dyDescent="0.25">
      <c r="A7366" t="str">
        <f>HYPERLINK("https://www.773grp.com/globalSearch/LMH6739MQ-NOPB/page-1", "LMH6739MQ-NOPB")</f>
        <v>LMH6739MQ-NOPB</v>
      </c>
      <c r="B7366" s="3" t="str">
        <f>HYPERLINK("https://www.773grp.com/manufacturer/national-semiconductor?pageNo=129", "National Semiconductor")</f>
        <v>National Semiconductor</v>
      </c>
      <c r="C7366" s="6">
        <v>2252</v>
      </c>
      <c r="D7366" s="7">
        <v>7.39</v>
      </c>
      <c r="E7366" t="s">
        <v>18</v>
      </c>
    </row>
    <row r="7367" spans="1:5" x14ac:dyDescent="0.25">
      <c r="A7367" t="str">
        <f>HYPERLINK("https://www.773grp.com/globalSearch/LMX2335MX/page-1", "LMX2335MX")</f>
        <v>LMX2335MX</v>
      </c>
      <c r="B7367" s="3" t="str">
        <f>HYPERLINK("https://www.773grp.com/manufacturer/national-semiconductor?pageNo=130", "National Semiconductor")</f>
        <v>National Semiconductor</v>
      </c>
      <c r="C7367" s="6">
        <v>32000</v>
      </c>
      <c r="D7367" s="7">
        <v>7.39</v>
      </c>
      <c r="E7367" t="s">
        <v>38</v>
      </c>
    </row>
    <row r="7368" spans="1:5" x14ac:dyDescent="0.25">
      <c r="A7368" t="str">
        <f>HYPERLINK("https://www.773grp.com/globalSearch/LM25575MH/page-1", "LM25575MH")</f>
        <v>LM25575MH</v>
      </c>
      <c r="B7368" s="3" t="str">
        <f>HYPERLINK("https://www.773grp.com/manufacturer/national-semiconductor?pageNo=131", "National Semiconductor")</f>
        <v>National Semiconductor</v>
      </c>
      <c r="C7368" s="6">
        <v>4767</v>
      </c>
      <c r="D7368" s="7">
        <v>7.39</v>
      </c>
      <c r="E7368" t="s">
        <v>7</v>
      </c>
    </row>
    <row r="7369" spans="1:5" x14ac:dyDescent="0.25">
      <c r="A7369" t="str">
        <f>HYPERLINK("https://www.773grp.com/globalSearch/LM2595S-12/page-1", "LM2595S-12")</f>
        <v>LM2595S-12</v>
      </c>
      <c r="B7369" s="3" t="str">
        <f>HYPERLINK("https://www.773grp.com/manufacturer/national-semiconductor?pageNo=132", "National Semiconductor")</f>
        <v>National Semiconductor</v>
      </c>
      <c r="C7369" s="6">
        <v>19</v>
      </c>
      <c r="D7369" s="7">
        <v>7.39</v>
      </c>
      <c r="E7369" t="s">
        <v>7</v>
      </c>
    </row>
    <row r="7370" spans="1:5" x14ac:dyDescent="0.25">
      <c r="A7370" t="str">
        <f>HYPERLINK("https://www.773grp.com/globalSearch/LM2595S-3.3/page-1", "LM2595S-3.3")</f>
        <v>LM2595S-3.3</v>
      </c>
      <c r="B7370" s="3" t="str">
        <f>HYPERLINK("https://www.773grp.com/manufacturer/national-semiconductor?pageNo=133", "National Semiconductor")</f>
        <v>National Semiconductor</v>
      </c>
      <c r="C7370" s="6">
        <v>310</v>
      </c>
      <c r="D7370" s="7">
        <v>7.39</v>
      </c>
      <c r="E7370" t="s">
        <v>7</v>
      </c>
    </row>
    <row r="7371" spans="1:5" x14ac:dyDescent="0.25">
      <c r="A7371" t="str">
        <f>HYPERLINK("https://www.773grp.com/globalSearch/LM2595S-5.0/page-1", "LM2595S-5.0")</f>
        <v>LM2595S-5.0</v>
      </c>
      <c r="B7371" s="3" t="str">
        <f>HYPERLINK("https://www.773grp.com/manufacturer/national-semiconductor?pageNo=134", "National Semiconductor")</f>
        <v>National Semiconductor</v>
      </c>
      <c r="C7371" s="6">
        <v>2344</v>
      </c>
      <c r="D7371" s="7">
        <v>7.39</v>
      </c>
      <c r="E7371" t="s">
        <v>7</v>
      </c>
    </row>
    <row r="7372" spans="1:5" x14ac:dyDescent="0.25">
      <c r="A7372" t="str">
        <f>HYPERLINK("https://www.773grp.com/globalSearch/LM2675M-ADJ/page-1", "LM2675M-ADJ")</f>
        <v>LM2675M-ADJ</v>
      </c>
      <c r="B7372" s="3" t="str">
        <f>HYPERLINK("https://www.773grp.com/manufacturer/national-semiconductor?pageNo=1", "National Semiconductor")</f>
        <v>National Semiconductor</v>
      </c>
      <c r="C7372" s="6">
        <v>203</v>
      </c>
      <c r="D7372" s="7">
        <v>7.39</v>
      </c>
    </row>
    <row r="7373" spans="1:5" x14ac:dyDescent="0.25">
      <c r="A7373" t="str">
        <f>HYPERLINK("https://www.773grp.com/globalSearch/LMH6739MQ-NOPB/page-1", "LMH6739MQ-NOPB")</f>
        <v>LMH6739MQ-NOPB</v>
      </c>
      <c r="B7373" s="3" t="str">
        <f>HYPERLINK("https://www.773grp.com/manufacturer/national-semiconductor?pageNo=2", "National Semiconductor")</f>
        <v>National Semiconductor</v>
      </c>
      <c r="C7373" s="6">
        <v>234</v>
      </c>
      <c r="D7373" s="7">
        <v>7.39</v>
      </c>
      <c r="E7373" t="s">
        <v>18</v>
      </c>
    </row>
    <row r="7374" spans="1:5" x14ac:dyDescent="0.25">
      <c r="A7374" t="str">
        <f>HYPERLINK("https://www.773grp.com/globalSearch/DS90CF364MTD-NOPB/page-1", "DS90CF364MTD-NOPB")</f>
        <v>DS90CF364MTD-NOPB</v>
      </c>
      <c r="B7374" s="3" t="str">
        <f>HYPERLINK("https://www.773grp.com/manufacturer/national-semiconductor?pageNo=3", "National Semiconductor")</f>
        <v>National Semiconductor</v>
      </c>
      <c r="C7374" s="6">
        <v>477</v>
      </c>
      <c r="D7374" s="7">
        <v>7.43</v>
      </c>
      <c r="E7374" t="s">
        <v>21</v>
      </c>
    </row>
    <row r="7375" spans="1:5" x14ac:dyDescent="0.25">
      <c r="A7375" t="str">
        <f>HYPERLINK("https://www.773grp.com/globalSearch/JM8510-30302BCA/page-1", "JM8510-30302BCA")</f>
        <v>JM8510-30302BCA</v>
      </c>
      <c r="B7375" s="3" t="str">
        <f>HYPERLINK("https://www.773grp.com/manufacturer/national-semiconductor?pageNo=4", "National Semiconductor")</f>
        <v>National Semiconductor</v>
      </c>
      <c r="C7375" s="6">
        <v>459</v>
      </c>
      <c r="D7375" s="7">
        <v>7.43</v>
      </c>
    </row>
    <row r="7376" spans="1:5" x14ac:dyDescent="0.25">
      <c r="A7376" t="str">
        <f>HYPERLINK("https://www.773grp.com/globalSearch/LM2630MTC-ADJ/page-1", "LM2630MTC-ADJ")</f>
        <v>LM2630MTC-ADJ</v>
      </c>
      <c r="B7376" s="3" t="str">
        <f>HYPERLINK("https://www.773grp.com/manufacturer/national-semiconductor?pageNo=5", "National Semiconductor")</f>
        <v>National Semiconductor</v>
      </c>
      <c r="C7376" s="6">
        <v>292</v>
      </c>
      <c r="D7376" s="7">
        <v>7.43</v>
      </c>
      <c r="E7376" t="s">
        <v>7</v>
      </c>
    </row>
    <row r="7377" spans="1:5" x14ac:dyDescent="0.25">
      <c r="A7377" t="str">
        <f>HYPERLINK("https://www.773grp.com/globalSearch/LM2678S-12-NOPB/page-1", "LM2678S-12-NOPB")</f>
        <v>LM2678S-12-NOPB</v>
      </c>
      <c r="B7377" s="3" t="str">
        <f>HYPERLINK("https://www.773grp.com/manufacturer/national-semiconductor?pageNo=6", "National Semiconductor")</f>
        <v>National Semiconductor</v>
      </c>
      <c r="C7377" s="6">
        <v>789</v>
      </c>
      <c r="D7377" s="7">
        <v>7.43</v>
      </c>
    </row>
    <row r="7378" spans="1:5" x14ac:dyDescent="0.25">
      <c r="A7378" t="str">
        <f>HYPERLINK("https://www.773grp.com/globalSearch/LM2678S-3.3-NOPB/page-1", "LM2678S-3.3-NOPB")</f>
        <v>LM2678S-3.3-NOPB</v>
      </c>
      <c r="B7378" s="3" t="str">
        <f>HYPERLINK("https://www.773grp.com/manufacturer/national-semiconductor?pageNo=7", "National Semiconductor")</f>
        <v>National Semiconductor</v>
      </c>
      <c r="C7378" s="6">
        <v>886</v>
      </c>
      <c r="D7378" s="7">
        <v>7.43</v>
      </c>
      <c r="E7378" t="s">
        <v>7</v>
      </c>
    </row>
    <row r="7379" spans="1:5" x14ac:dyDescent="0.25">
      <c r="A7379" t="str">
        <f>HYPERLINK("https://www.773grp.com/globalSearch/LM34CZ/page-1", "LM34CZ")</f>
        <v>LM34CZ</v>
      </c>
      <c r="B7379" s="3" t="str">
        <f>HYPERLINK("https://www.773grp.com/manufacturer/national-semiconductor?pageNo=8", "National Semiconductor")</f>
        <v>National Semiconductor</v>
      </c>
      <c r="C7379" s="6">
        <v>5962</v>
      </c>
      <c r="D7379" s="7">
        <v>7.43</v>
      </c>
      <c r="E7379" t="s">
        <v>8</v>
      </c>
    </row>
    <row r="7380" spans="1:5" x14ac:dyDescent="0.25">
      <c r="A7380" t="str">
        <f>HYPERLINK("https://www.773grp.com/globalSearch/LMV844QMA-NOPB/page-1", "LMV844QMA-NOPB")</f>
        <v>LMV844QMA-NOPB</v>
      </c>
      <c r="B7380" s="3" t="str">
        <f>HYPERLINK("https://www.773grp.com/manufacturer/national-semiconductor?pageNo=9", "National Semiconductor")</f>
        <v>National Semiconductor</v>
      </c>
      <c r="C7380" s="6">
        <v>799</v>
      </c>
      <c r="D7380" s="7">
        <v>7.43</v>
      </c>
    </row>
    <row r="7381" spans="1:5" x14ac:dyDescent="0.25">
      <c r="A7381" t="str">
        <f>HYPERLINK("https://www.773grp.com/globalSearch/CD54HC03F3A/page-1", "CD54HC03F3A")</f>
        <v>CD54HC03F3A</v>
      </c>
      <c r="B7381" s="3" t="str">
        <f>HYPERLINK("https://www.773grp.com/manufacturer/national-semiconductor?pageNo=10", "National Semiconductor")</f>
        <v>National Semiconductor</v>
      </c>
      <c r="C7381" s="6">
        <v>134</v>
      </c>
      <c r="D7381" s="7">
        <v>7.43</v>
      </c>
    </row>
    <row r="7382" spans="1:5" x14ac:dyDescent="0.25">
      <c r="A7382" t="str">
        <f>HYPERLINK("https://www.773grp.com/globalSearch/DS90CF364MTD-NOPB/page-1", "DS90CF364MTD-NOPB")</f>
        <v>DS90CF364MTD-NOPB</v>
      </c>
      <c r="B7382" s="3" t="str">
        <f>HYPERLINK("https://www.773grp.com/manufacturer/national-semiconductor?pageNo=11", "National Semiconductor")</f>
        <v>National Semiconductor</v>
      </c>
      <c r="C7382" s="6">
        <v>251</v>
      </c>
      <c r="D7382" s="7">
        <v>7.43</v>
      </c>
      <c r="E7382" t="s">
        <v>21</v>
      </c>
    </row>
    <row r="7383" spans="1:5" x14ac:dyDescent="0.25">
      <c r="A7383" t="str">
        <f>HYPERLINK("https://www.773grp.com/globalSearch/DS90CP02SP/page-1", "DS90CP02SP")</f>
        <v>DS90CP02SP</v>
      </c>
      <c r="B7383" s="3" t="str">
        <f>HYPERLINK("https://www.773grp.com/manufacturer/national-semiconductor?pageNo=12", "National Semiconductor")</f>
        <v>National Semiconductor</v>
      </c>
      <c r="C7383" s="6">
        <v>789</v>
      </c>
      <c r="D7383" s="7">
        <v>7.43</v>
      </c>
    </row>
    <row r="7384" spans="1:5" x14ac:dyDescent="0.25">
      <c r="A7384" t="str">
        <f>HYPERLINK("https://www.773grp.com/globalSearch/LM2678S-12-NOPB/page-1", "LM2678S-12-NOPB")</f>
        <v>LM2678S-12-NOPB</v>
      </c>
      <c r="B7384" s="3" t="str">
        <f>HYPERLINK("https://www.773grp.com/manufacturer/national-semiconductor?pageNo=13", "National Semiconductor")</f>
        <v>National Semiconductor</v>
      </c>
      <c r="C7384" s="6">
        <v>240</v>
      </c>
      <c r="D7384" s="7">
        <v>7.43</v>
      </c>
    </row>
    <row r="7385" spans="1:5" x14ac:dyDescent="0.25">
      <c r="A7385" t="str">
        <f>HYPERLINK("https://www.773grp.com/globalSearch/LM2678S-3.3-NOPB/page-1", "LM2678S-3.3-NOPB")</f>
        <v>LM2678S-3.3-NOPB</v>
      </c>
      <c r="B7385" s="3" t="str">
        <f>HYPERLINK("https://www.773grp.com/manufacturer/national-semiconductor?pageNo=14", "National Semiconductor")</f>
        <v>National Semiconductor</v>
      </c>
      <c r="C7385" s="6">
        <v>250</v>
      </c>
      <c r="D7385" s="7">
        <v>7.43</v>
      </c>
      <c r="E7385" t="s">
        <v>7</v>
      </c>
    </row>
    <row r="7386" spans="1:5" x14ac:dyDescent="0.25">
      <c r="A7386" t="str">
        <f>HYPERLINK("https://www.773grp.com/globalSearch/LM2678S-5.0-NOPB/page-1", "LM2678S-5.0-NOPB")</f>
        <v>LM2678S-5.0-NOPB</v>
      </c>
      <c r="B7386" s="3" t="str">
        <f>HYPERLINK("https://www.773grp.com/manufacturer/national-semiconductor?pageNo=15", "National Semiconductor")</f>
        <v>National Semiconductor</v>
      </c>
      <c r="C7386" s="6">
        <v>843</v>
      </c>
      <c r="D7386" s="7">
        <v>7.43</v>
      </c>
    </row>
    <row r="7387" spans="1:5" x14ac:dyDescent="0.25">
      <c r="A7387" t="str">
        <f>HYPERLINK("https://www.773grp.com/globalSearch/LM2678S-ADJ-NOPB/page-1", "LM2678S-ADJ-NOPB")</f>
        <v>LM2678S-ADJ-NOPB</v>
      </c>
      <c r="B7387" s="3" t="str">
        <f>HYPERLINK("https://www.773grp.com/manufacturer/national-semiconductor?pageNo=16", "National Semiconductor")</f>
        <v>National Semiconductor</v>
      </c>
      <c r="C7387" s="6">
        <v>2550</v>
      </c>
      <c r="D7387" s="7">
        <v>7.43</v>
      </c>
    </row>
    <row r="7388" spans="1:5" x14ac:dyDescent="0.25">
      <c r="A7388" t="str">
        <f>HYPERLINK("https://www.773grp.com/globalSearch/LM34CZ/page-1", "LM34CZ")</f>
        <v>LM34CZ</v>
      </c>
      <c r="B7388" s="3" t="str">
        <f>HYPERLINK("https://www.773grp.com/manufacturer/national-semiconductor?pageNo=17", "National Semiconductor")</f>
        <v>National Semiconductor</v>
      </c>
      <c r="C7388" s="6">
        <v>1300</v>
      </c>
      <c r="D7388" s="7">
        <v>7.43</v>
      </c>
      <c r="E7388" t="s">
        <v>8</v>
      </c>
    </row>
    <row r="7389" spans="1:5" x14ac:dyDescent="0.25">
      <c r="A7389" t="str">
        <f>HYPERLINK("https://www.773grp.com/globalSearch/LMV844QMA-NOPB/page-1", "LMV844QMA-NOPB")</f>
        <v>LMV844QMA-NOPB</v>
      </c>
      <c r="B7389" s="3" t="str">
        <f>HYPERLINK("https://www.773grp.com/manufacturer/national-semiconductor?pageNo=18", "National Semiconductor")</f>
        <v>National Semiconductor</v>
      </c>
      <c r="C7389" s="6">
        <v>6840</v>
      </c>
      <c r="D7389" s="7">
        <v>7.43</v>
      </c>
    </row>
    <row r="7390" spans="1:5" x14ac:dyDescent="0.25">
      <c r="A7390" t="str">
        <f>HYPERLINK("https://www.773grp.com/globalSearch/SN74BCT623N/page-1", "SN74BCT623N")</f>
        <v>SN74BCT623N</v>
      </c>
      <c r="B7390" s="3" t="str">
        <f>HYPERLINK("https://www.773grp.com/manufacturer/national-semiconductor?pageNo=19", "National Semiconductor")</f>
        <v>National Semiconductor</v>
      </c>
      <c r="C7390" s="6">
        <v>1100</v>
      </c>
      <c r="D7390" s="7">
        <v>7.43</v>
      </c>
    </row>
    <row r="7391" spans="1:5" x14ac:dyDescent="0.25">
      <c r="A7391" t="str">
        <f>HYPERLINK("https://www.773grp.com/globalSearch/5493AFM/page-1", "5493AFM")</f>
        <v>5493AFM</v>
      </c>
      <c r="B7391" s="3" t="str">
        <f>HYPERLINK("https://www.773grp.com/manufacturer/national-semiconductor?pageNo=20", "National Semiconductor")</f>
        <v>National Semiconductor</v>
      </c>
      <c r="C7391" s="6">
        <v>390</v>
      </c>
      <c r="D7391" s="7">
        <v>7.46</v>
      </c>
    </row>
    <row r="7392" spans="1:5" x14ac:dyDescent="0.25">
      <c r="A7392" t="str">
        <f>HYPERLINK("https://www.773grp.com/globalSearch/5493FM/page-1", "5493FM")</f>
        <v>5493FM</v>
      </c>
      <c r="B7392" s="3" t="str">
        <f>HYPERLINK("https://www.773grp.com/manufacturer/national-semiconductor?pageNo=21", "National Semiconductor")</f>
        <v>National Semiconductor</v>
      </c>
      <c r="C7392" s="6">
        <v>52</v>
      </c>
      <c r="D7392" s="7">
        <v>7.46</v>
      </c>
    </row>
    <row r="7393" spans="1:5" x14ac:dyDescent="0.25">
      <c r="A7393" t="str">
        <f>HYPERLINK("https://www.773grp.com/globalSearch/DM54LS42W-883/page-1", "DM54LS42W-883")</f>
        <v>DM54LS42W-883</v>
      </c>
      <c r="B7393" s="3" t="str">
        <f>HYPERLINK("https://www.773grp.com/manufacturer/national-semiconductor?pageNo=22", "National Semiconductor")</f>
        <v>National Semiconductor</v>
      </c>
      <c r="C7393" s="6">
        <v>215</v>
      </c>
      <c r="D7393" s="7">
        <v>7.46</v>
      </c>
      <c r="E7393" t="s">
        <v>36</v>
      </c>
    </row>
    <row r="7394" spans="1:5" x14ac:dyDescent="0.25">
      <c r="A7394" t="str">
        <f>HYPERLINK("https://www.773grp.com/globalSearch/DP8304BWM/page-1", "DP8304BWM")</f>
        <v>DP8304BWM</v>
      </c>
      <c r="B7394" s="3" t="str">
        <f>HYPERLINK("https://www.773grp.com/manufacturer/national-semiconductor?pageNo=23", "National Semiconductor")</f>
        <v>National Semiconductor</v>
      </c>
      <c r="C7394" s="6">
        <v>16</v>
      </c>
      <c r="D7394" s="7">
        <v>7.46</v>
      </c>
      <c r="E7394" t="s">
        <v>14</v>
      </c>
    </row>
    <row r="7395" spans="1:5" x14ac:dyDescent="0.25">
      <c r="A7395" t="str">
        <f>HYPERLINK("https://www.773grp.com/globalSearch/DS481TN/page-1", "DS481TN")</f>
        <v>DS481TN</v>
      </c>
      <c r="B7395" s="3" t="str">
        <f>HYPERLINK("https://www.773grp.com/manufacturer/national-semiconductor?pageNo=24", "National Semiconductor")</f>
        <v>National Semiconductor</v>
      </c>
      <c r="C7395" s="6">
        <v>6320</v>
      </c>
      <c r="D7395" s="7">
        <v>7.46</v>
      </c>
      <c r="E7395" t="s">
        <v>21</v>
      </c>
    </row>
    <row r="7396" spans="1:5" x14ac:dyDescent="0.25">
      <c r="A7396" t="str">
        <f>HYPERLINK("https://www.773grp.com/globalSearch/DS90CP22M-8-NOPB/page-1", "DS90CP22M-8-NOPB")</f>
        <v>DS90CP22M-8-NOPB</v>
      </c>
      <c r="B7396" s="3" t="str">
        <f>HYPERLINK("https://www.773grp.com/manufacturer/national-semiconductor?pageNo=25", "National Semiconductor")</f>
        <v>National Semiconductor</v>
      </c>
      <c r="C7396" s="6">
        <v>47736</v>
      </c>
      <c r="D7396" s="7">
        <v>7.46</v>
      </c>
      <c r="E7396" t="s">
        <v>56</v>
      </c>
    </row>
    <row r="7397" spans="1:5" x14ac:dyDescent="0.25">
      <c r="A7397" t="str">
        <f>HYPERLINK("https://www.773grp.com/globalSearch/DS90CP22MX-8-NOPB/page-1", "DS90CP22MX-8-NOPB")</f>
        <v>DS90CP22MX-8-NOPB</v>
      </c>
      <c r="B7397" s="3" t="str">
        <f>HYPERLINK("https://www.773grp.com/manufacturer/national-semiconductor?pageNo=26", "National Semiconductor")</f>
        <v>National Semiconductor</v>
      </c>
      <c r="C7397" s="6">
        <v>7500</v>
      </c>
      <c r="D7397" s="7">
        <v>7.46</v>
      </c>
      <c r="E7397" t="s">
        <v>56</v>
      </c>
    </row>
    <row r="7398" spans="1:5" x14ac:dyDescent="0.25">
      <c r="A7398" t="str">
        <f>HYPERLINK("https://www.773grp.com/globalSearch/LM2577M-ADJ-NOPB/page-1", "LM2577M-ADJ-NOPB")</f>
        <v>LM2577M-ADJ-NOPB</v>
      </c>
      <c r="B7398" s="3" t="str">
        <f>HYPERLINK("https://www.773grp.com/manufacturer/national-semiconductor?pageNo=27", "National Semiconductor")</f>
        <v>National Semiconductor</v>
      </c>
      <c r="C7398" s="6">
        <v>304</v>
      </c>
      <c r="D7398" s="7">
        <v>7.46</v>
      </c>
      <c r="E7398" t="s">
        <v>7</v>
      </c>
    </row>
    <row r="7399" spans="1:5" x14ac:dyDescent="0.25">
      <c r="A7399" t="str">
        <f>HYPERLINK("https://www.773grp.com/globalSearch/LM2577N-12/page-1", "LM2577N-12")</f>
        <v>LM2577N-12</v>
      </c>
      <c r="B7399" s="3" t="str">
        <f>HYPERLINK("https://www.773grp.com/manufacturer/national-semiconductor?pageNo=28", "National Semiconductor")</f>
        <v>National Semiconductor</v>
      </c>
      <c r="C7399" s="6">
        <v>121</v>
      </c>
      <c r="D7399" s="7">
        <v>7.46</v>
      </c>
      <c r="E7399" t="s">
        <v>7</v>
      </c>
    </row>
    <row r="7400" spans="1:5" x14ac:dyDescent="0.25">
      <c r="A7400" t="str">
        <f>HYPERLINK("https://www.773grp.com/globalSearch/LM2577N-ADJ-NOPB/page-1", "LM2577N-ADJ-NOPB")</f>
        <v>LM2577N-ADJ-NOPB</v>
      </c>
      <c r="B7400" s="3" t="str">
        <f>HYPERLINK("https://www.773grp.com/manufacturer/national-semiconductor?pageNo=29", "National Semiconductor")</f>
        <v>National Semiconductor</v>
      </c>
      <c r="C7400" s="6">
        <v>330</v>
      </c>
      <c r="D7400" s="7">
        <v>7.46</v>
      </c>
      <c r="E7400" t="s">
        <v>7</v>
      </c>
    </row>
    <row r="7401" spans="1:5" x14ac:dyDescent="0.25">
      <c r="A7401" t="str">
        <f>HYPERLINK("https://www.773grp.com/globalSearch/LM2577S-12/page-1", "LM2577S-12")</f>
        <v>LM2577S-12</v>
      </c>
      <c r="B7401" s="3" t="str">
        <f>HYPERLINK("https://www.773grp.com/manufacturer/national-semiconductor?pageNo=30", "National Semiconductor")</f>
        <v>National Semiconductor</v>
      </c>
      <c r="C7401" s="6">
        <v>9</v>
      </c>
      <c r="D7401" s="7">
        <v>7.46</v>
      </c>
      <c r="E7401" t="s">
        <v>7</v>
      </c>
    </row>
    <row r="7402" spans="1:5" x14ac:dyDescent="0.25">
      <c r="A7402" t="str">
        <f>HYPERLINK("https://www.773grp.com/globalSearch/LM2577SX-12/page-1", "LM2577SX-12")</f>
        <v>LM2577SX-12</v>
      </c>
      <c r="B7402" s="3" t="str">
        <f>HYPERLINK("https://www.773grp.com/manufacturer/national-semiconductor?pageNo=31", "National Semiconductor")</f>
        <v>National Semiconductor</v>
      </c>
      <c r="C7402" s="6">
        <v>500</v>
      </c>
      <c r="D7402" s="7">
        <v>7.46</v>
      </c>
      <c r="E7402" t="s">
        <v>7</v>
      </c>
    </row>
    <row r="7403" spans="1:5" x14ac:dyDescent="0.25">
      <c r="A7403" t="str">
        <f>HYPERLINK("https://www.773grp.com/globalSearch/LM2577SX-ADJ-NOPB/page-1", "LM2577SX-ADJ-NOPB")</f>
        <v>LM2577SX-ADJ-NOPB</v>
      </c>
      <c r="B7403" s="3" t="str">
        <f>HYPERLINK("https://www.773grp.com/manufacturer/national-semiconductor?pageNo=32", "National Semiconductor")</f>
        <v>National Semiconductor</v>
      </c>
      <c r="C7403" s="6">
        <v>1400</v>
      </c>
      <c r="D7403" s="7">
        <v>7.46</v>
      </c>
      <c r="E7403" t="s">
        <v>7</v>
      </c>
    </row>
    <row r="7404" spans="1:5" x14ac:dyDescent="0.25">
      <c r="A7404" t="str">
        <f>HYPERLINK("https://www.773grp.com/globalSearch/LM2577T-12-NOPB/page-1", "LM2577T-12-NOPB")</f>
        <v>LM2577T-12-NOPB</v>
      </c>
      <c r="B7404" s="3" t="str">
        <f>HYPERLINK("https://www.773grp.com/manufacturer/national-semiconductor?pageNo=33", "National Semiconductor")</f>
        <v>National Semiconductor</v>
      </c>
      <c r="C7404" s="6">
        <v>15</v>
      </c>
      <c r="D7404" s="7">
        <v>7.46</v>
      </c>
    </row>
    <row r="7405" spans="1:5" x14ac:dyDescent="0.25">
      <c r="A7405" t="str">
        <f>HYPERLINK("https://www.773grp.com/globalSearch/LM2577T-15-NOPB/page-1", "LM2577T-15-NOPB")</f>
        <v>LM2577T-15-NOPB</v>
      </c>
      <c r="B7405" s="3" t="str">
        <f>HYPERLINK("https://www.773grp.com/manufacturer/national-semiconductor?pageNo=34", "National Semiconductor")</f>
        <v>National Semiconductor</v>
      </c>
      <c r="C7405" s="6">
        <v>45</v>
      </c>
      <c r="D7405" s="7">
        <v>7.46</v>
      </c>
      <c r="E7405" t="s">
        <v>7</v>
      </c>
    </row>
    <row r="7406" spans="1:5" x14ac:dyDescent="0.25">
      <c r="A7406" t="str">
        <f>HYPERLINK("https://www.773grp.com/globalSearch/LM2577T-ADJ-LF03/page-1", "LM2577T-ADJ-LF03")</f>
        <v>LM2577T-ADJ-LF03</v>
      </c>
      <c r="B7406" s="3" t="str">
        <f>HYPERLINK("https://www.773grp.com/manufacturer/national-semiconductor?pageNo=35", "National Semiconductor")</f>
        <v>National Semiconductor</v>
      </c>
      <c r="C7406" s="6">
        <v>360</v>
      </c>
      <c r="D7406" s="7">
        <v>7.46</v>
      </c>
    </row>
    <row r="7407" spans="1:5" x14ac:dyDescent="0.25">
      <c r="A7407" t="str">
        <f>HYPERLINK("https://www.773grp.com/globalSearch/LM2577T-ADJ-NOPB/page-1", "LM2577T-ADJ-NOPB")</f>
        <v>LM2577T-ADJ-NOPB</v>
      </c>
      <c r="B7407" s="3" t="str">
        <f>HYPERLINK("https://www.773grp.com/manufacturer/national-semiconductor?pageNo=36", "National Semiconductor")</f>
        <v>National Semiconductor</v>
      </c>
      <c r="C7407" s="6">
        <v>9647</v>
      </c>
      <c r="D7407" s="7">
        <v>7.46</v>
      </c>
    </row>
    <row r="7408" spans="1:5" x14ac:dyDescent="0.25">
      <c r="A7408" t="str">
        <f>HYPERLINK("https://www.773grp.com/globalSearch/LM2676LD-3.3/page-1", "LM2676LD-3.3")</f>
        <v>LM2676LD-3.3</v>
      </c>
      <c r="B7408" s="3" t="str">
        <f>HYPERLINK("https://www.773grp.com/manufacturer/national-semiconductor?pageNo=37", "National Semiconductor")</f>
        <v>National Semiconductor</v>
      </c>
      <c r="C7408" s="6">
        <v>12937</v>
      </c>
      <c r="D7408" s="7">
        <v>7.46</v>
      </c>
      <c r="E7408" t="s">
        <v>7</v>
      </c>
    </row>
    <row r="7409" spans="1:5" x14ac:dyDescent="0.25">
      <c r="A7409" t="str">
        <f>HYPERLINK("https://www.773grp.com/globalSearch/LM2676LD-ADJ/page-1", "LM2676LD-ADJ")</f>
        <v>LM2676LD-ADJ</v>
      </c>
      <c r="B7409" s="3" t="str">
        <f>HYPERLINK("https://www.773grp.com/manufacturer/national-semiconductor?pageNo=38", "National Semiconductor")</f>
        <v>National Semiconductor</v>
      </c>
      <c r="C7409" s="6">
        <v>1199</v>
      </c>
      <c r="D7409" s="7">
        <v>7.46</v>
      </c>
      <c r="E7409" t="s">
        <v>7</v>
      </c>
    </row>
    <row r="7410" spans="1:5" x14ac:dyDescent="0.25">
      <c r="A7410" t="str">
        <f>HYPERLINK("https://www.773grp.com/globalSearch/LM2676LDX-ADJ/page-1", "LM2676LDX-ADJ")</f>
        <v>LM2676LDX-ADJ</v>
      </c>
      <c r="B7410" s="3" t="str">
        <f>HYPERLINK("https://www.773grp.com/manufacturer/national-semiconductor?pageNo=39", "National Semiconductor")</f>
        <v>National Semiconductor</v>
      </c>
      <c r="C7410" s="6">
        <v>1870</v>
      </c>
      <c r="D7410" s="7">
        <v>7.46</v>
      </c>
      <c r="E7410" t="s">
        <v>7</v>
      </c>
    </row>
    <row r="7411" spans="1:5" x14ac:dyDescent="0.25">
      <c r="A7411" t="str">
        <f>HYPERLINK("https://www.773grp.com/globalSearch/LM2717MTX-NOPB/page-1", "LM2717MTX-NOPB")</f>
        <v>LM2717MTX-NOPB</v>
      </c>
      <c r="B7411" s="3" t="str">
        <f>HYPERLINK("https://www.773grp.com/manufacturer/national-semiconductor?pageNo=40", "National Semiconductor")</f>
        <v>National Semiconductor</v>
      </c>
      <c r="C7411" s="6">
        <v>2500</v>
      </c>
      <c r="D7411" s="7">
        <v>7.46</v>
      </c>
      <c r="E7411" t="s">
        <v>7</v>
      </c>
    </row>
    <row r="7412" spans="1:5" x14ac:dyDescent="0.25">
      <c r="A7412" t="str">
        <f>HYPERLINK("https://www.773grp.com/globalSearch/LM2717MTX-ADJ-NOPB/page-1", "LM2717MTX-ADJ-NOPB")</f>
        <v>LM2717MTX-ADJ-NOPB</v>
      </c>
      <c r="B7412" s="3" t="str">
        <f>HYPERLINK("https://www.773grp.com/manufacturer/national-semiconductor?pageNo=41", "National Semiconductor")</f>
        <v>National Semiconductor</v>
      </c>
      <c r="C7412" s="6">
        <v>2500</v>
      </c>
      <c r="D7412" s="7">
        <v>7.46</v>
      </c>
      <c r="E7412" t="s">
        <v>7</v>
      </c>
    </row>
    <row r="7413" spans="1:5" x14ac:dyDescent="0.25">
      <c r="A7413" t="str">
        <f>HYPERLINK("https://www.773grp.com/globalSearch/LM92CIM/page-1", "LM92CIM")</f>
        <v>LM92CIM</v>
      </c>
      <c r="B7413" s="3" t="str">
        <f>HYPERLINK("https://www.773grp.com/manufacturer/national-semiconductor?pageNo=42", "National Semiconductor")</f>
        <v>National Semiconductor</v>
      </c>
      <c r="C7413" s="6">
        <v>646</v>
      </c>
      <c r="D7413" s="7">
        <v>7.46</v>
      </c>
      <c r="E7413" t="s">
        <v>12</v>
      </c>
    </row>
    <row r="7414" spans="1:5" x14ac:dyDescent="0.25">
      <c r="A7414" t="str">
        <f>HYPERLINK("https://www.773grp.com/globalSearch/LMC6684BIMX/page-1", "LMC6684BIMX")</f>
        <v>LMC6684BIMX</v>
      </c>
      <c r="B7414" s="3" t="str">
        <f>HYPERLINK("https://www.773grp.com/manufacturer/national-semiconductor?pageNo=43", "National Semiconductor")</f>
        <v>National Semiconductor</v>
      </c>
      <c r="C7414" s="6">
        <v>3000</v>
      </c>
      <c r="D7414" s="7">
        <v>7.46</v>
      </c>
      <c r="E7414" t="s">
        <v>13</v>
      </c>
    </row>
    <row r="7415" spans="1:5" x14ac:dyDescent="0.25">
      <c r="A7415" t="str">
        <f>HYPERLINK("https://www.773grp.com/globalSearch/MM74HCT164J/page-1", "MM74HCT164J")</f>
        <v>MM74HCT164J</v>
      </c>
      <c r="B7415" s="3" t="str">
        <f>HYPERLINK("https://www.773grp.com/manufacturer/national-semiconductor?pageNo=44", "National Semiconductor")</f>
        <v>National Semiconductor</v>
      </c>
      <c r="C7415" s="6">
        <v>284</v>
      </c>
      <c r="D7415" s="7">
        <v>7.46</v>
      </c>
      <c r="E7415" t="s">
        <v>32</v>
      </c>
    </row>
    <row r="7416" spans="1:5" x14ac:dyDescent="0.25">
      <c r="A7416" t="str">
        <f>HYPERLINK("https://www.773grp.com/globalSearch/DS90CP22M-8-NOPB/page-1", "DS90CP22M-8-NOPB")</f>
        <v>DS90CP22M-8-NOPB</v>
      </c>
      <c r="B7416" s="3" t="str">
        <f>HYPERLINK("https://www.773grp.com/manufacturer/national-semiconductor?pageNo=45", "National Semiconductor")</f>
        <v>National Semiconductor</v>
      </c>
      <c r="C7416" s="6">
        <v>735</v>
      </c>
      <c r="D7416" s="7">
        <v>7.46</v>
      </c>
      <c r="E7416" t="s">
        <v>56</v>
      </c>
    </row>
    <row r="7417" spans="1:5" x14ac:dyDescent="0.25">
      <c r="A7417" t="str">
        <f>HYPERLINK("https://www.773grp.com/globalSearch/DS90CP22MTX-NOPB/page-1", "DS90CP22MTX-NOPB")</f>
        <v>DS90CP22MTX-NOPB</v>
      </c>
      <c r="B7417" s="3" t="str">
        <f>HYPERLINK("https://www.773grp.com/manufacturer/national-semiconductor?pageNo=46", "National Semiconductor")</f>
        <v>National Semiconductor</v>
      </c>
      <c r="C7417" s="6">
        <v>2500</v>
      </c>
      <c r="D7417" s="7">
        <v>7.46</v>
      </c>
    </row>
    <row r="7418" spans="1:5" x14ac:dyDescent="0.25">
      <c r="A7418" t="str">
        <f>HYPERLINK("https://www.773grp.com/globalSearch/LM22678QTJ-5.0-NOPB/page-1", "LM22678QTJ-5.0-NOPB")</f>
        <v>LM22678QTJ-5.0-NOPB</v>
      </c>
      <c r="B7418" s="3" t="str">
        <f>HYPERLINK("https://www.773grp.com/manufacturer/national-semiconductor?pageNo=47", "National Semiconductor")</f>
        <v>National Semiconductor</v>
      </c>
      <c r="C7418" s="6">
        <v>1000</v>
      </c>
      <c r="D7418" s="7">
        <v>7.46</v>
      </c>
    </row>
    <row r="7419" spans="1:5" x14ac:dyDescent="0.25">
      <c r="A7419" t="str">
        <f>HYPERLINK("https://www.773grp.com/globalSearch/LM22678QTJ-ADJ-NOPB/page-1", "LM22678QTJ-ADJ-NOPB")</f>
        <v>LM22678QTJ-ADJ-NOPB</v>
      </c>
      <c r="B7419" s="3" t="str">
        <f>HYPERLINK("https://www.773grp.com/manufacturer/national-semiconductor?pageNo=48", "National Semiconductor")</f>
        <v>National Semiconductor</v>
      </c>
      <c r="C7419" s="6">
        <v>2990</v>
      </c>
      <c r="D7419" s="7">
        <v>7.46</v>
      </c>
    </row>
    <row r="7420" spans="1:5" x14ac:dyDescent="0.25">
      <c r="A7420" t="str">
        <f>HYPERLINK("https://www.773grp.com/globalSearch/LM2577N-ADJ-NOPB/page-1", "LM2577N-ADJ-NOPB")</f>
        <v>LM2577N-ADJ-NOPB</v>
      </c>
      <c r="B7420" s="3" t="str">
        <f>HYPERLINK("https://www.773grp.com/manufacturer/national-semiconductor?pageNo=49", "National Semiconductor")</f>
        <v>National Semiconductor</v>
      </c>
      <c r="C7420" s="6">
        <v>749</v>
      </c>
      <c r="D7420" s="7">
        <v>7.46</v>
      </c>
      <c r="E7420" t="s">
        <v>7</v>
      </c>
    </row>
    <row r="7421" spans="1:5" x14ac:dyDescent="0.25">
      <c r="A7421" t="str">
        <f>HYPERLINK("https://www.773grp.com/globalSearch/LM2577SX-12-NOPB/page-1", "LM2577SX-12-NOPB")</f>
        <v>LM2577SX-12-NOPB</v>
      </c>
      <c r="B7421" s="3" t="str">
        <f>HYPERLINK("https://www.773grp.com/manufacturer/national-semiconductor?pageNo=50", "National Semiconductor")</f>
        <v>National Semiconductor</v>
      </c>
      <c r="C7421" s="6">
        <v>3552</v>
      </c>
      <c r="D7421" s="7">
        <v>7.46</v>
      </c>
    </row>
    <row r="7422" spans="1:5" x14ac:dyDescent="0.25">
      <c r="A7422" t="str">
        <f>HYPERLINK("https://www.773grp.com/globalSearch/LM2577SX-ADJ-NOPB/page-1", "LM2577SX-ADJ-NOPB")</f>
        <v>LM2577SX-ADJ-NOPB</v>
      </c>
      <c r="B7422" s="3" t="str">
        <f>HYPERLINK("https://www.773grp.com/manufacturer/national-semiconductor?pageNo=51", "National Semiconductor")</f>
        <v>National Semiconductor</v>
      </c>
      <c r="C7422" s="6">
        <v>1356</v>
      </c>
      <c r="D7422" s="7">
        <v>7.46</v>
      </c>
      <c r="E7422" t="s">
        <v>7</v>
      </c>
    </row>
    <row r="7423" spans="1:5" x14ac:dyDescent="0.25">
      <c r="A7423" t="str">
        <f>HYPERLINK("https://www.773grp.com/globalSearch/LM2577T-12-NOPB/page-1", "LM2577T-12-NOPB")</f>
        <v>LM2577T-12-NOPB</v>
      </c>
      <c r="B7423" s="3" t="str">
        <f>HYPERLINK("https://www.773grp.com/manufacturer/national-semiconductor?pageNo=52", "National Semiconductor")</f>
        <v>National Semiconductor</v>
      </c>
      <c r="C7423" s="6">
        <v>565</v>
      </c>
      <c r="D7423" s="7">
        <v>7.46</v>
      </c>
    </row>
    <row r="7424" spans="1:5" x14ac:dyDescent="0.25">
      <c r="A7424" t="str">
        <f>HYPERLINK("https://www.773grp.com/globalSearch/LM2577T-15-NOPB/page-1", "LM2577T-15-NOPB")</f>
        <v>LM2577T-15-NOPB</v>
      </c>
      <c r="B7424" s="3" t="str">
        <f>HYPERLINK("https://www.773grp.com/manufacturer/national-semiconductor?pageNo=53", "National Semiconductor")</f>
        <v>National Semiconductor</v>
      </c>
      <c r="C7424" s="6">
        <v>3</v>
      </c>
      <c r="D7424" s="7">
        <v>7.46</v>
      </c>
      <c r="E7424" t="s">
        <v>7</v>
      </c>
    </row>
    <row r="7425" spans="1:5" x14ac:dyDescent="0.25">
      <c r="A7425" t="str">
        <f>HYPERLINK("https://www.773grp.com/globalSearch/LM2577T-ADJ-NOPB/page-1", "LM2577T-ADJ-NOPB")</f>
        <v>LM2577T-ADJ-NOPB</v>
      </c>
      <c r="B7425" s="3" t="str">
        <f>HYPERLINK("https://www.773grp.com/manufacturer/national-semiconductor?pageNo=54", "National Semiconductor")</f>
        <v>National Semiconductor</v>
      </c>
      <c r="C7425" s="6">
        <v>1646</v>
      </c>
      <c r="D7425" s="7">
        <v>7.46</v>
      </c>
    </row>
    <row r="7426" spans="1:5" x14ac:dyDescent="0.25">
      <c r="A7426" t="str">
        <f>HYPERLINK("https://www.773grp.com/globalSearch/LM2577T-ADJ-NOPB/page-1", "LM2577T-ADJ-NOPB")</f>
        <v>LM2577T-ADJ-NOPB</v>
      </c>
      <c r="B7426" s="3" t="str">
        <f>HYPERLINK("https://www.773grp.com/manufacturer/national-semiconductor?pageNo=55", "National Semiconductor")</f>
        <v>National Semiconductor</v>
      </c>
      <c r="C7426" s="6">
        <v>225</v>
      </c>
      <c r="D7426" s="7">
        <v>7.46</v>
      </c>
    </row>
    <row r="7427" spans="1:5" x14ac:dyDescent="0.25">
      <c r="A7427" t="str">
        <f>HYPERLINK("https://www.773grp.com/globalSearch/LM4934RL-NOPB/page-1", "LM4934RL-NOPB")</f>
        <v>LM4934RL-NOPB</v>
      </c>
      <c r="B7427" s="3" t="str">
        <f>HYPERLINK("https://www.773grp.com/manufacturer/national-semiconductor?pageNo=56", "National Semiconductor")</f>
        <v>National Semiconductor</v>
      </c>
      <c r="C7427" s="6">
        <v>439</v>
      </c>
      <c r="D7427" s="7">
        <v>7.48</v>
      </c>
    </row>
    <row r="7428" spans="1:5" x14ac:dyDescent="0.25">
      <c r="A7428" t="str">
        <f>HYPERLINK("https://www.773grp.com/globalSearch/LMX2502LQ1635-NOPB/page-1", "LMX2502LQ1635-NOPB")</f>
        <v>LMX2502LQ1635-NOPB</v>
      </c>
      <c r="B7428" s="3" t="str">
        <f>HYPERLINK("https://www.773grp.com/manufacturer/national-semiconductor?pageNo=57", "National Semiconductor")</f>
        <v>National Semiconductor</v>
      </c>
      <c r="C7428" s="6">
        <v>6182</v>
      </c>
      <c r="D7428" s="7">
        <v>7.48</v>
      </c>
      <c r="E7428" t="s">
        <v>38</v>
      </c>
    </row>
    <row r="7429" spans="1:5" x14ac:dyDescent="0.25">
      <c r="A7429" t="str">
        <f>HYPERLINK("https://www.773grp.com/globalSearch/LMX2512LQ0967/page-1", "LMX2512LQ0967")</f>
        <v>LMX2512LQ0967</v>
      </c>
      <c r="B7429" s="3" t="str">
        <f>HYPERLINK("https://www.773grp.com/manufacturer/national-semiconductor?pageNo=58", "National Semiconductor")</f>
        <v>National Semiconductor</v>
      </c>
      <c r="C7429" s="6">
        <v>1000</v>
      </c>
      <c r="D7429" s="7">
        <v>7.48</v>
      </c>
      <c r="E7429" t="s">
        <v>38</v>
      </c>
    </row>
    <row r="7430" spans="1:5" x14ac:dyDescent="0.25">
      <c r="A7430" t="str">
        <f>HYPERLINK("https://www.773grp.com/globalSearch/LM4934RL-NOPB/page-1", "LM4934RL-NOPB")</f>
        <v>LM4934RL-NOPB</v>
      </c>
      <c r="B7430" s="3" t="str">
        <f>HYPERLINK("https://www.773grp.com/manufacturer/national-semiconductor?pageNo=59", "National Semiconductor")</f>
        <v>National Semiconductor</v>
      </c>
      <c r="C7430" s="6">
        <v>750</v>
      </c>
      <c r="D7430" s="7">
        <v>7.48</v>
      </c>
    </row>
    <row r="7431" spans="1:5" x14ac:dyDescent="0.25">
      <c r="A7431" t="str">
        <f>HYPERLINK("https://www.773grp.com/globalSearch/LMX2502LQ1635-NOPB/page-1", "LMX2502LQ1635-NOPB")</f>
        <v>LMX2502LQ1635-NOPB</v>
      </c>
      <c r="B7431" s="3" t="str">
        <f>HYPERLINK("https://www.773grp.com/manufacturer/national-semiconductor?pageNo=60", "National Semiconductor")</f>
        <v>National Semiconductor</v>
      </c>
      <c r="C7431" s="6">
        <v>9000</v>
      </c>
      <c r="D7431" s="7">
        <v>7.48</v>
      </c>
      <c r="E7431" t="s">
        <v>38</v>
      </c>
    </row>
    <row r="7432" spans="1:5" x14ac:dyDescent="0.25">
      <c r="A7432" t="str">
        <f>HYPERLINK("https://www.773grp.com/globalSearch/LMX2512LQ0967-NOPB/page-1", "LMX2512LQ0967-NOPB")</f>
        <v>LMX2512LQ0967-NOPB</v>
      </c>
      <c r="B7432" s="3" t="str">
        <f>HYPERLINK("https://www.773grp.com/manufacturer/national-semiconductor?pageNo=61", "National Semiconductor")</f>
        <v>National Semiconductor</v>
      </c>
      <c r="C7432" s="6">
        <v>1000</v>
      </c>
      <c r="D7432" s="7">
        <v>7.48</v>
      </c>
    </row>
    <row r="7433" spans="1:5" x14ac:dyDescent="0.25">
      <c r="A7433" t="str">
        <f>HYPERLINK("https://www.773grp.com/globalSearch/54164FMQB/page-1", "54164FMQB")</f>
        <v>54164FMQB</v>
      </c>
      <c r="B7433" s="3" t="str">
        <f>HYPERLINK("https://www.773grp.com/manufacturer/national-semiconductor?pageNo=62", "National Semiconductor")</f>
        <v>National Semiconductor</v>
      </c>
      <c r="C7433" s="6">
        <v>191</v>
      </c>
      <c r="D7433" s="7">
        <v>7.51</v>
      </c>
      <c r="E7433" t="s">
        <v>32</v>
      </c>
    </row>
    <row r="7434" spans="1:5" x14ac:dyDescent="0.25">
      <c r="A7434" t="str">
        <f>HYPERLINK("https://www.773grp.com/globalSearch/74FCT138APC/page-1", "74FCT138APC")</f>
        <v>74FCT138APC</v>
      </c>
      <c r="B7434" s="3" t="str">
        <f>HYPERLINK("https://www.773grp.com/manufacturer/national-semiconductor?pageNo=63", "National Semiconductor")</f>
        <v>National Semiconductor</v>
      </c>
      <c r="C7434" s="6">
        <v>9607</v>
      </c>
      <c r="D7434" s="7">
        <v>7.51</v>
      </c>
      <c r="E7434" t="s">
        <v>36</v>
      </c>
    </row>
    <row r="7435" spans="1:5" x14ac:dyDescent="0.25">
      <c r="A7435" t="str">
        <f>HYPERLINK("https://www.773grp.com/globalSearch/DS91M047TMA/page-1", "DS91M047TMA")</f>
        <v>DS91M047TMA</v>
      </c>
      <c r="B7435" s="3" t="str">
        <f>HYPERLINK("https://www.773grp.com/manufacturer/national-semiconductor?pageNo=64", "National Semiconductor")</f>
        <v>National Semiconductor</v>
      </c>
      <c r="C7435" s="6">
        <v>56</v>
      </c>
      <c r="D7435" s="7">
        <v>7.51</v>
      </c>
      <c r="E7435" t="s">
        <v>21</v>
      </c>
    </row>
    <row r="7436" spans="1:5" x14ac:dyDescent="0.25">
      <c r="A7436" t="str">
        <f>HYPERLINK("https://www.773grp.com/globalSearch/DS91M047TMA-NOPB/page-1", "DS91M047TMA-NOPB")</f>
        <v>DS91M047TMA-NOPB</v>
      </c>
      <c r="B7436" s="3" t="str">
        <f>HYPERLINK("https://www.773grp.com/manufacturer/national-semiconductor?pageNo=65", "National Semiconductor")</f>
        <v>National Semiconductor</v>
      </c>
      <c r="C7436" s="6">
        <v>330</v>
      </c>
      <c r="D7436" s="7">
        <v>7.51</v>
      </c>
      <c r="E7436" t="s">
        <v>21</v>
      </c>
    </row>
    <row r="7437" spans="1:5" x14ac:dyDescent="0.25">
      <c r="A7437" t="str">
        <f>HYPERLINK("https://www.773grp.com/globalSearch/LM2406T/page-1", "LM2406T")</f>
        <v>LM2406T</v>
      </c>
      <c r="B7437" s="3" t="str">
        <f>HYPERLINK("https://www.773grp.com/manufacturer/national-semiconductor?pageNo=66", "National Semiconductor")</f>
        <v>National Semiconductor</v>
      </c>
      <c r="C7437" s="6">
        <v>9266</v>
      </c>
      <c r="D7437" s="7">
        <v>7.51</v>
      </c>
      <c r="E7437" t="s">
        <v>18</v>
      </c>
    </row>
    <row r="7438" spans="1:5" x14ac:dyDescent="0.25">
      <c r="A7438" t="str">
        <f>HYPERLINK("https://www.773grp.com/globalSearch/DS91M047TMA-NOPB/page-1", "DS91M047TMA-NOPB")</f>
        <v>DS91M047TMA-NOPB</v>
      </c>
      <c r="B7438" s="3" t="str">
        <f>HYPERLINK("https://www.773grp.com/manufacturer/national-semiconductor?pageNo=67", "National Semiconductor")</f>
        <v>National Semiconductor</v>
      </c>
      <c r="C7438" s="6">
        <v>276</v>
      </c>
      <c r="D7438" s="7">
        <v>7.51</v>
      </c>
      <c r="E7438" t="s">
        <v>21</v>
      </c>
    </row>
    <row r="7439" spans="1:5" x14ac:dyDescent="0.25">
      <c r="A7439" t="str">
        <f>HYPERLINK("https://www.773grp.com/globalSearch/DS91M047TMA-NOPB/page-1", "DS91M047TMA-NOPB")</f>
        <v>DS91M047TMA-NOPB</v>
      </c>
      <c r="B7439" s="3" t="str">
        <f>HYPERLINK("https://www.773grp.com/manufacturer/national-semiconductor?pageNo=68", "National Semiconductor")</f>
        <v>National Semiconductor</v>
      </c>
      <c r="C7439" s="6">
        <v>1004</v>
      </c>
      <c r="D7439" s="7">
        <v>7.51</v>
      </c>
      <c r="E7439" t="s">
        <v>21</v>
      </c>
    </row>
    <row r="7440" spans="1:5" x14ac:dyDescent="0.25">
      <c r="A7440" t="str">
        <f>HYPERLINK("https://www.773grp.com/globalSearch/DS91M047TMAX-NOPB/page-1", "DS91M047TMAX-NOPB")</f>
        <v>DS91M047TMAX-NOPB</v>
      </c>
      <c r="B7440" s="3" t="str">
        <f>HYPERLINK("https://www.773grp.com/manufacturer/national-semiconductor?pageNo=69", "National Semiconductor")</f>
        <v>National Semiconductor</v>
      </c>
      <c r="C7440" s="6">
        <v>5000</v>
      </c>
      <c r="D7440" s="7">
        <v>7.51</v>
      </c>
    </row>
    <row r="7441" spans="1:5" x14ac:dyDescent="0.25">
      <c r="A7441" t="str">
        <f>HYPERLINK("https://www.773grp.com/globalSearch/LM2463TA/page-1", "LM2463TA")</f>
        <v>LM2463TA</v>
      </c>
      <c r="B7441" s="3" t="str">
        <f>HYPERLINK("https://www.773grp.com/manufacturer/national-semiconductor?pageNo=70", "National Semiconductor")</f>
        <v>National Semiconductor</v>
      </c>
      <c r="C7441" s="6">
        <v>114</v>
      </c>
      <c r="D7441" s="7">
        <v>7.54</v>
      </c>
      <c r="E7441" t="s">
        <v>18</v>
      </c>
    </row>
    <row r="7442" spans="1:5" x14ac:dyDescent="0.25">
      <c r="A7442" t="str">
        <f>HYPERLINK("https://www.773grp.com/globalSearch/LM2630MTCX-ADJ/page-1", "LM2630MTCX-ADJ")</f>
        <v>LM2630MTCX-ADJ</v>
      </c>
      <c r="B7442" s="3" t="str">
        <f>HYPERLINK("https://www.773grp.com/manufacturer/national-semiconductor?pageNo=71", "National Semiconductor")</f>
        <v>National Semiconductor</v>
      </c>
      <c r="C7442" s="6">
        <v>13540</v>
      </c>
      <c r="D7442" s="7">
        <v>7.54</v>
      </c>
      <c r="E7442" t="s">
        <v>7</v>
      </c>
    </row>
    <row r="7443" spans="1:5" x14ac:dyDescent="0.25">
      <c r="A7443" t="str">
        <f>HYPERLINK("https://www.773grp.com/globalSearch/LM614MN/page-1", "LM614MN")</f>
        <v>LM614MN</v>
      </c>
      <c r="B7443" s="3" t="str">
        <f>HYPERLINK("https://www.773grp.com/manufacturer/national-semiconductor?pageNo=72", "National Semiconductor")</f>
        <v>National Semiconductor</v>
      </c>
      <c r="C7443" s="6">
        <v>203</v>
      </c>
      <c r="D7443" s="7">
        <v>7.54</v>
      </c>
      <c r="E7443" t="s">
        <v>13</v>
      </c>
    </row>
    <row r="7444" spans="1:5" x14ac:dyDescent="0.25">
      <c r="A7444" t="str">
        <f>HYPERLINK("https://www.773grp.com/globalSearch/LMC1983CIV/page-1", "LMC1983CIV")</f>
        <v>LMC1983CIV</v>
      </c>
      <c r="B7444" s="3" t="str">
        <f>HYPERLINK("https://www.773grp.com/manufacturer/national-semiconductor?pageNo=73", "National Semiconductor")</f>
        <v>National Semiconductor</v>
      </c>
      <c r="C7444" s="6">
        <v>420</v>
      </c>
      <c r="D7444" s="7">
        <v>7.54</v>
      </c>
      <c r="E7444" t="s">
        <v>41</v>
      </c>
    </row>
    <row r="7445" spans="1:5" x14ac:dyDescent="0.25">
      <c r="A7445" t="str">
        <f>HYPERLINK("https://www.773grp.com/globalSearch/LMC6044IN/page-1", "LMC6044IN")</f>
        <v>LMC6044IN</v>
      </c>
      <c r="B7445" s="3" t="str">
        <f>HYPERLINK("https://www.773grp.com/manufacturer/national-semiconductor?pageNo=74", "National Semiconductor")</f>
        <v>National Semiconductor</v>
      </c>
      <c r="C7445" s="6">
        <v>160</v>
      </c>
      <c r="D7445" s="7">
        <v>7.54</v>
      </c>
      <c r="E7445" t="s">
        <v>13</v>
      </c>
    </row>
    <row r="7446" spans="1:5" x14ac:dyDescent="0.25">
      <c r="A7446" t="str">
        <f>HYPERLINK("https://www.773grp.com/globalSearch/MM14511BJ-883/page-1", "MM14511BJ-883")</f>
        <v>MM14511BJ-883</v>
      </c>
      <c r="B7446" s="3" t="str">
        <f>HYPERLINK("https://www.773grp.com/manufacturer/national-semiconductor?pageNo=75", "National Semiconductor")</f>
        <v>National Semiconductor</v>
      </c>
      <c r="C7446" s="6">
        <v>31</v>
      </c>
      <c r="D7446" s="7">
        <v>7.54</v>
      </c>
    </row>
    <row r="7447" spans="1:5" x14ac:dyDescent="0.25">
      <c r="A7447" t="str">
        <f>HYPERLINK("https://www.773grp.com/globalSearch/MM14511BMJ-883/page-1", "MM14511BMJ-883")</f>
        <v>MM14511BMJ-883</v>
      </c>
      <c r="B7447" s="3" t="str">
        <f>HYPERLINK("https://www.773grp.com/manufacturer/national-semiconductor?pageNo=76", "National Semiconductor")</f>
        <v>National Semiconductor</v>
      </c>
      <c r="C7447" s="6">
        <v>231</v>
      </c>
      <c r="D7447" s="7">
        <v>7.54</v>
      </c>
    </row>
    <row r="7448" spans="1:5" x14ac:dyDescent="0.25">
      <c r="A7448" t="str">
        <f>HYPERLINK("https://www.773grp.com/globalSearch/TP3054N-NOPB/page-1", "TP3054N-NOPB")</f>
        <v>TP3054N-NOPB</v>
      </c>
      <c r="B7448" s="3" t="str">
        <f>HYPERLINK("https://www.773grp.com/manufacturer/national-semiconductor?pageNo=77", "National Semiconductor")</f>
        <v>National Semiconductor</v>
      </c>
      <c r="C7448" s="6">
        <v>29</v>
      </c>
      <c r="D7448" s="7">
        <v>7.54</v>
      </c>
      <c r="E7448" t="s">
        <v>66</v>
      </c>
    </row>
    <row r="7449" spans="1:5" x14ac:dyDescent="0.25">
      <c r="A7449" t="str">
        <f>HYPERLINK("https://www.773grp.com/globalSearch/DS25BR101TSDE-NOPB/page-1", "DS25BR101TSDE-NOPB")</f>
        <v>DS25BR101TSDE-NOPB</v>
      </c>
      <c r="B7449" s="3" t="str">
        <f>HYPERLINK("https://www.773grp.com/manufacturer/national-semiconductor?pageNo=78", "National Semiconductor")</f>
        <v>National Semiconductor</v>
      </c>
      <c r="C7449" s="6">
        <v>583</v>
      </c>
      <c r="D7449" s="7">
        <v>7.54</v>
      </c>
    </row>
    <row r="7450" spans="1:5" x14ac:dyDescent="0.25">
      <c r="A7450" t="str">
        <f>HYPERLINK("https://www.773grp.com/globalSearch/LM25066PSQE-NOPB/page-1", "LM25066PSQE-NOPB")</f>
        <v>LM25066PSQE-NOPB</v>
      </c>
      <c r="B7450" s="3" t="str">
        <f>HYPERLINK("https://www.773grp.com/manufacturer/national-semiconductor?pageNo=79", "National Semiconductor")</f>
        <v>National Semiconductor</v>
      </c>
      <c r="C7450" s="6">
        <v>463</v>
      </c>
      <c r="D7450" s="7">
        <v>7.54</v>
      </c>
    </row>
    <row r="7451" spans="1:5" x14ac:dyDescent="0.25">
      <c r="A7451" t="str">
        <f>HYPERLINK("https://www.773grp.com/globalSearch/LMC6044IN/page-1", "LMC6044IN")</f>
        <v>LMC6044IN</v>
      </c>
      <c r="B7451" s="3" t="str">
        <f>HYPERLINK("https://www.773grp.com/manufacturer/national-semiconductor?pageNo=80", "National Semiconductor")</f>
        <v>National Semiconductor</v>
      </c>
      <c r="C7451" s="6">
        <v>2545</v>
      </c>
      <c r="D7451" s="7">
        <v>7.54</v>
      </c>
      <c r="E7451" t="s">
        <v>13</v>
      </c>
    </row>
    <row r="7452" spans="1:5" x14ac:dyDescent="0.25">
      <c r="A7452" t="str">
        <f>HYPERLINK("https://www.773grp.com/globalSearch/74FCT240PC/page-1", "74FCT240PC")</f>
        <v>74FCT240PC</v>
      </c>
      <c r="B7452" s="3" t="str">
        <f>HYPERLINK("https://www.773grp.com/manufacturer/national-semiconductor?pageNo=81", "National Semiconductor")</f>
        <v>National Semiconductor</v>
      </c>
      <c r="C7452" s="6">
        <v>186</v>
      </c>
      <c r="D7452" s="7">
        <v>7.56</v>
      </c>
      <c r="E7452" t="s">
        <v>14</v>
      </c>
    </row>
    <row r="7453" spans="1:5" x14ac:dyDescent="0.25">
      <c r="A7453" t="str">
        <f>HYPERLINK("https://www.773grp.com/globalSearch/74FCT240SC/page-1", "74FCT240SC")</f>
        <v>74FCT240SC</v>
      </c>
      <c r="B7453" s="3" t="str">
        <f>HYPERLINK("https://www.773grp.com/manufacturer/national-semiconductor?pageNo=82", "National Semiconductor")</f>
        <v>National Semiconductor</v>
      </c>
      <c r="C7453" s="6">
        <v>540</v>
      </c>
      <c r="D7453" s="7">
        <v>7.56</v>
      </c>
      <c r="E7453" t="s">
        <v>14</v>
      </c>
    </row>
    <row r="7454" spans="1:5" x14ac:dyDescent="0.25">
      <c r="A7454" t="str">
        <f>HYPERLINK("https://www.773grp.com/globalSearch/74FCT273PC/page-1", "74FCT273PC")</f>
        <v>74FCT273PC</v>
      </c>
      <c r="B7454" s="3" t="str">
        <f>HYPERLINK("https://www.773grp.com/manufacturer/national-semiconductor?pageNo=83", "National Semiconductor")</f>
        <v>National Semiconductor</v>
      </c>
      <c r="C7454" s="6">
        <v>1834</v>
      </c>
      <c r="D7454" s="7">
        <v>7.56</v>
      </c>
      <c r="E7454" t="s">
        <v>35</v>
      </c>
    </row>
    <row r="7455" spans="1:5" x14ac:dyDescent="0.25">
      <c r="A7455" t="str">
        <f>HYPERLINK("https://www.773grp.com/globalSearch/74FCT273SC/page-1", "74FCT273SC")</f>
        <v>74FCT273SC</v>
      </c>
      <c r="B7455" s="3" t="str">
        <f>HYPERLINK("https://www.773grp.com/manufacturer/national-semiconductor?pageNo=84", "National Semiconductor")</f>
        <v>National Semiconductor</v>
      </c>
      <c r="C7455" s="6">
        <v>8884</v>
      </c>
      <c r="D7455" s="7">
        <v>7.56</v>
      </c>
      <c r="E7455" t="s">
        <v>35</v>
      </c>
    </row>
    <row r="7456" spans="1:5" x14ac:dyDescent="0.25">
      <c r="A7456" t="str">
        <f>HYPERLINK("https://www.773grp.com/globalSearch/74FCT534SC/page-1", "74FCT534SC")</f>
        <v>74FCT534SC</v>
      </c>
      <c r="B7456" s="3" t="str">
        <f>HYPERLINK("https://www.773grp.com/manufacturer/national-semiconductor?pageNo=85", "National Semiconductor")</f>
        <v>National Semiconductor</v>
      </c>
      <c r="C7456" s="6">
        <v>165</v>
      </c>
      <c r="D7456" s="7">
        <v>7.56</v>
      </c>
      <c r="E7456" t="s">
        <v>14</v>
      </c>
    </row>
    <row r="7457" spans="1:5" x14ac:dyDescent="0.25">
      <c r="A7457" t="str">
        <f>HYPERLINK("https://www.773grp.com/globalSearch/74FCT563PC/page-1", "74FCT563PC")</f>
        <v>74FCT563PC</v>
      </c>
      <c r="B7457" s="3" t="str">
        <f>HYPERLINK("https://www.773grp.com/manufacturer/national-semiconductor?pageNo=86", "National Semiconductor")</f>
        <v>National Semiconductor</v>
      </c>
      <c r="C7457" s="6">
        <v>5292</v>
      </c>
      <c r="D7457" s="7">
        <v>7.56</v>
      </c>
      <c r="E7457" t="s">
        <v>14</v>
      </c>
    </row>
    <row r="7458" spans="1:5" x14ac:dyDescent="0.25">
      <c r="A7458" t="str">
        <f>HYPERLINK("https://www.773grp.com/globalSearch/74H10DC/page-1", "74H10DC")</f>
        <v>74H10DC</v>
      </c>
      <c r="B7458" s="3" t="str">
        <f>HYPERLINK("https://www.773grp.com/manufacturer/national-semiconductor?pageNo=87", "National Semiconductor")</f>
        <v>National Semiconductor</v>
      </c>
      <c r="C7458" s="6">
        <v>1956</v>
      </c>
      <c r="D7458" s="7">
        <v>7.56</v>
      </c>
    </row>
    <row r="7459" spans="1:5" x14ac:dyDescent="0.25">
      <c r="A7459" t="str">
        <f>HYPERLINK("https://www.773grp.com/globalSearch/CLC001AJE-TR13/page-1", "CLC001AJE-TR13")</f>
        <v>CLC001AJE-TR13</v>
      </c>
      <c r="B7459" s="3" t="str">
        <f>HYPERLINK("https://www.773grp.com/manufacturer/national-semiconductor?pageNo=88", "National Semiconductor")</f>
        <v>National Semiconductor</v>
      </c>
      <c r="C7459" s="6">
        <v>2500</v>
      </c>
      <c r="D7459" s="7">
        <v>7.56</v>
      </c>
      <c r="E7459" t="s">
        <v>21</v>
      </c>
    </row>
    <row r="7460" spans="1:5" x14ac:dyDescent="0.25">
      <c r="A7460" t="str">
        <f>HYPERLINK("https://www.773grp.com/globalSearch/DS90C385AMTX/page-1", "DS90C385AMTX")</f>
        <v>DS90C385AMTX</v>
      </c>
      <c r="B7460" s="3" t="str">
        <f>HYPERLINK("https://www.773grp.com/manufacturer/national-semiconductor?pageNo=89", "National Semiconductor")</f>
        <v>National Semiconductor</v>
      </c>
      <c r="C7460" s="6">
        <v>14719</v>
      </c>
      <c r="D7460" s="7">
        <v>7.56</v>
      </c>
      <c r="E7460" t="s">
        <v>21</v>
      </c>
    </row>
    <row r="7461" spans="1:5" x14ac:dyDescent="0.25">
      <c r="A7461" t="str">
        <f>HYPERLINK("https://www.773grp.com/globalSearch/LMC6494AEM/page-1", "LMC6494AEM")</f>
        <v>LMC6494AEM</v>
      </c>
      <c r="B7461" s="3" t="str">
        <f>HYPERLINK("https://www.773grp.com/manufacturer/national-semiconductor?pageNo=90", "National Semiconductor")</f>
        <v>National Semiconductor</v>
      </c>
      <c r="C7461" s="6">
        <v>550</v>
      </c>
      <c r="D7461" s="7">
        <v>7.56</v>
      </c>
      <c r="E7461" t="s">
        <v>13</v>
      </c>
    </row>
    <row r="7462" spans="1:5" x14ac:dyDescent="0.25">
      <c r="A7462" t="str">
        <f>HYPERLINK("https://www.773grp.com/globalSearch/DS90C385AMTX/page-1", "DS90C385AMTX")</f>
        <v>DS90C385AMTX</v>
      </c>
      <c r="B7462" s="3" t="str">
        <f>HYPERLINK("https://www.773grp.com/manufacturer/national-semiconductor?pageNo=91", "National Semiconductor")</f>
        <v>National Semiconductor</v>
      </c>
      <c r="C7462" s="6">
        <v>3000</v>
      </c>
      <c r="D7462" s="7">
        <v>7.56</v>
      </c>
      <c r="E7462" t="s">
        <v>21</v>
      </c>
    </row>
    <row r="7463" spans="1:5" x14ac:dyDescent="0.25">
      <c r="A7463" t="str">
        <f>HYPERLINK("https://www.773grp.com/globalSearch/5490FMQB/page-1", "5490FMQB")</f>
        <v>5490FMQB</v>
      </c>
      <c r="B7463" s="3" t="str">
        <f>HYPERLINK("https://www.773grp.com/manufacturer/national-semiconductor?pageNo=92", "National Semiconductor")</f>
        <v>National Semiconductor</v>
      </c>
      <c r="C7463" s="6">
        <v>52</v>
      </c>
      <c r="D7463" s="7">
        <v>7.6</v>
      </c>
      <c r="E7463" t="s">
        <v>26</v>
      </c>
    </row>
    <row r="7464" spans="1:5" x14ac:dyDescent="0.25">
      <c r="A7464" t="str">
        <f>HYPERLINK("https://www.773grp.com/globalSearch/74F193SCX/page-1", "74F193SCX")</f>
        <v>74F193SCX</v>
      </c>
      <c r="B7464" s="3" t="str">
        <f>HYPERLINK("https://www.773grp.com/manufacturer/national-semiconductor?pageNo=93", "National Semiconductor")</f>
        <v>National Semiconductor</v>
      </c>
      <c r="C7464" s="6">
        <v>11</v>
      </c>
      <c r="D7464" s="7">
        <v>7.6</v>
      </c>
      <c r="E7464" t="s">
        <v>26</v>
      </c>
    </row>
    <row r="7465" spans="1:5" x14ac:dyDescent="0.25">
      <c r="A7465" t="str">
        <f>HYPERLINK("https://www.773grp.com/globalSearch/9312DC/page-1", "9312DC")</f>
        <v>9312DC</v>
      </c>
      <c r="B7465" s="3" t="str">
        <f>HYPERLINK("https://www.773grp.com/manufacturer/national-semiconductor?pageNo=94", "National Semiconductor")</f>
        <v>National Semiconductor</v>
      </c>
      <c r="C7465" s="6">
        <v>5196</v>
      </c>
      <c r="D7465" s="7">
        <v>7.6</v>
      </c>
    </row>
    <row r="7466" spans="1:5" x14ac:dyDescent="0.25">
      <c r="A7466" t="str">
        <f>HYPERLINK("https://www.773grp.com/globalSearch/ADC0848CCVX-NOPB/page-1", "ADC0848CCVX-NOPB")</f>
        <v>ADC0848CCVX-NOPB</v>
      </c>
      <c r="B7466" s="3" t="str">
        <f>HYPERLINK("https://www.773grp.com/manufacturer/national-semiconductor?pageNo=95", "National Semiconductor")</f>
        <v>National Semiconductor</v>
      </c>
      <c r="C7466" s="6">
        <v>4500</v>
      </c>
      <c r="D7466" s="7">
        <v>7.6</v>
      </c>
      <c r="E7466" t="s">
        <v>39</v>
      </c>
    </row>
    <row r="7467" spans="1:5" x14ac:dyDescent="0.25">
      <c r="A7467" t="str">
        <f>HYPERLINK("https://www.773grp.com/globalSearch/ADC122S625CIMM-NOPB/page-1", "ADC122S625CIMM-NOPB")</f>
        <v>ADC122S625CIMM-NOPB</v>
      </c>
      <c r="B7467" s="3" t="str">
        <f>HYPERLINK("https://www.773grp.com/manufacturer/national-semiconductor?pageNo=96", "National Semiconductor")</f>
        <v>National Semiconductor</v>
      </c>
      <c r="C7467" s="6">
        <v>1923</v>
      </c>
      <c r="D7467" s="7">
        <v>7.6</v>
      </c>
    </row>
    <row r="7468" spans="1:5" x14ac:dyDescent="0.25">
      <c r="A7468" t="str">
        <f>HYPERLINK("https://www.773grp.com/globalSearch/DM7562J-883/page-1", "DM7562J-883")</f>
        <v>DM7562J-883</v>
      </c>
      <c r="B7468" s="3" t="str">
        <f>HYPERLINK("https://www.773grp.com/manufacturer/national-semiconductor?pageNo=97", "National Semiconductor")</f>
        <v>National Semiconductor</v>
      </c>
      <c r="C7468" s="6">
        <v>1466</v>
      </c>
      <c r="D7468" s="7">
        <v>7.6</v>
      </c>
    </row>
    <row r="7469" spans="1:5" x14ac:dyDescent="0.25">
      <c r="A7469" t="str">
        <f>HYPERLINK("https://www.773grp.com/globalSearch/LF356BH/page-1", "LF356BH")</f>
        <v>LF356BH</v>
      </c>
      <c r="B7469" s="3" t="str">
        <f>HYPERLINK("https://www.773grp.com/manufacturer/national-semiconductor?pageNo=98", "National Semiconductor")</f>
        <v>National Semiconductor</v>
      </c>
      <c r="C7469" s="6">
        <v>2299</v>
      </c>
      <c r="D7469" s="7">
        <v>7.6</v>
      </c>
      <c r="E7469" t="s">
        <v>13</v>
      </c>
    </row>
    <row r="7470" spans="1:5" x14ac:dyDescent="0.25">
      <c r="A7470" t="str">
        <f>HYPERLINK("https://www.773grp.com/globalSearch/LF356BH-NOPB/page-1", "LF356BH-NOPB")</f>
        <v>LF356BH-NOPB</v>
      </c>
      <c r="B7470" s="3" t="str">
        <f>HYPERLINK("https://www.773grp.com/manufacturer/national-semiconductor?pageNo=99", "National Semiconductor")</f>
        <v>National Semiconductor</v>
      </c>
      <c r="C7470" s="6">
        <v>7</v>
      </c>
      <c r="D7470" s="7">
        <v>7.6</v>
      </c>
      <c r="E7470" t="s">
        <v>13</v>
      </c>
    </row>
    <row r="7471" spans="1:5" x14ac:dyDescent="0.25">
      <c r="A7471" t="str">
        <f>HYPERLINK("https://www.773grp.com/globalSearch/LM26003QMH-NOPB/page-1", "LM26003QMH-NOPB")</f>
        <v>LM26003QMH-NOPB</v>
      </c>
      <c r="B7471" s="3" t="str">
        <f>HYPERLINK("https://www.773grp.com/manufacturer/national-semiconductor?pageNo=100", "National Semiconductor")</f>
        <v>National Semiconductor</v>
      </c>
      <c r="C7471" s="6">
        <v>105</v>
      </c>
      <c r="D7471" s="7">
        <v>7.6</v>
      </c>
    </row>
    <row r="7472" spans="1:5" x14ac:dyDescent="0.25">
      <c r="A7472" t="str">
        <f>HYPERLINK("https://www.773grp.com/globalSearch/LM2677S-12-NOPB/page-1", "LM2677S-12-NOPB")</f>
        <v>LM2677S-12-NOPB</v>
      </c>
      <c r="B7472" s="3" t="str">
        <f>HYPERLINK("https://www.773grp.com/manufacturer/national-semiconductor?pageNo=101", "National Semiconductor")</f>
        <v>National Semiconductor</v>
      </c>
      <c r="C7472" s="6">
        <v>60</v>
      </c>
      <c r="D7472" s="7">
        <v>7.6</v>
      </c>
    </row>
    <row r="7473" spans="1:5" x14ac:dyDescent="0.25">
      <c r="A7473" t="str">
        <f>HYPERLINK("https://www.773grp.com/globalSearch/LM2677S-3.3-NOPB/page-1", "LM2677S-3.3-NOPB")</f>
        <v>LM2677S-3.3-NOPB</v>
      </c>
      <c r="B7473" s="3" t="str">
        <f>HYPERLINK("https://www.773grp.com/manufacturer/national-semiconductor?pageNo=102", "National Semiconductor")</f>
        <v>National Semiconductor</v>
      </c>
      <c r="C7473" s="6">
        <v>70</v>
      </c>
      <c r="D7473" s="7">
        <v>7.6</v>
      </c>
      <c r="E7473" t="s">
        <v>7</v>
      </c>
    </row>
    <row r="7474" spans="1:5" x14ac:dyDescent="0.25">
      <c r="A7474" t="str">
        <f>HYPERLINK("https://www.773grp.com/globalSearch/LM2677S-5.0-NOPB/page-1", "LM2677S-5.0-NOPB")</f>
        <v>LM2677S-5.0-NOPB</v>
      </c>
      <c r="B7474" s="3" t="str">
        <f>HYPERLINK("https://www.773grp.com/manufacturer/national-semiconductor?pageNo=103", "National Semiconductor")</f>
        <v>National Semiconductor</v>
      </c>
      <c r="C7474" s="6">
        <v>66</v>
      </c>
      <c r="D7474" s="7">
        <v>7.6</v>
      </c>
    </row>
    <row r="7475" spans="1:5" x14ac:dyDescent="0.25">
      <c r="A7475" t="str">
        <f>HYPERLINK("https://www.773grp.com/globalSearch/LM2677S-ADJ-NOPB/page-1", "LM2677S-ADJ-NOPB")</f>
        <v>LM2677S-ADJ-NOPB</v>
      </c>
      <c r="B7475" s="3" t="str">
        <f>HYPERLINK("https://www.773grp.com/manufacturer/national-semiconductor?pageNo=104", "National Semiconductor")</f>
        <v>National Semiconductor</v>
      </c>
      <c r="C7475" s="6">
        <v>667</v>
      </c>
      <c r="D7475" s="7">
        <v>7.6</v>
      </c>
      <c r="E7475" t="s">
        <v>7</v>
      </c>
    </row>
    <row r="7476" spans="1:5" x14ac:dyDescent="0.25">
      <c r="A7476" t="str">
        <f>HYPERLINK("https://www.773grp.com/globalSearch/LM2679S-12-NOPB/page-1", "LM2679S-12-NOPB")</f>
        <v>LM2679S-12-NOPB</v>
      </c>
      <c r="B7476" s="3" t="str">
        <f>HYPERLINK("https://www.773grp.com/manufacturer/national-semiconductor?pageNo=105", "National Semiconductor")</f>
        <v>National Semiconductor</v>
      </c>
      <c r="C7476" s="6">
        <v>180</v>
      </c>
      <c r="D7476" s="7">
        <v>7.6</v>
      </c>
      <c r="E7476" t="s">
        <v>7</v>
      </c>
    </row>
    <row r="7477" spans="1:5" x14ac:dyDescent="0.25">
      <c r="A7477" t="str">
        <f>HYPERLINK("https://www.773grp.com/globalSearch/LM2679S-3.3-NOPB/page-1", "LM2679S-3.3-NOPB")</f>
        <v>LM2679S-3.3-NOPB</v>
      </c>
      <c r="B7477" s="3" t="str">
        <f>HYPERLINK("https://www.773grp.com/manufacturer/national-semiconductor?pageNo=106", "National Semiconductor")</f>
        <v>National Semiconductor</v>
      </c>
      <c r="C7477" s="6">
        <v>116</v>
      </c>
      <c r="D7477" s="7">
        <v>7.6</v>
      </c>
    </row>
    <row r="7478" spans="1:5" x14ac:dyDescent="0.25">
      <c r="A7478" t="str">
        <f>HYPERLINK("https://www.773grp.com/globalSearch/LM2679S-5.0-NOPB/page-1", "LM2679S-5.0-NOPB")</f>
        <v>LM2679S-5.0-NOPB</v>
      </c>
      <c r="B7478" s="3" t="str">
        <f>HYPERLINK("https://www.773grp.com/manufacturer/national-semiconductor?pageNo=107", "National Semiconductor")</f>
        <v>National Semiconductor</v>
      </c>
      <c r="C7478" s="6">
        <v>266</v>
      </c>
      <c r="D7478" s="7">
        <v>7.6</v>
      </c>
      <c r="E7478" t="s">
        <v>7</v>
      </c>
    </row>
    <row r="7479" spans="1:5" x14ac:dyDescent="0.25">
      <c r="A7479" t="str">
        <f>HYPERLINK("https://www.773grp.com/globalSearch/LM2679S-ADJ-NOPB/page-1", "LM2679S-ADJ-NOPB")</f>
        <v>LM2679S-ADJ-NOPB</v>
      </c>
      <c r="B7479" s="3" t="str">
        <f>HYPERLINK("https://www.773grp.com/manufacturer/national-semiconductor?pageNo=108", "National Semiconductor")</f>
        <v>National Semiconductor</v>
      </c>
      <c r="C7479" s="6">
        <v>13</v>
      </c>
      <c r="D7479" s="7">
        <v>7.6</v>
      </c>
      <c r="E7479" t="s">
        <v>7</v>
      </c>
    </row>
    <row r="7480" spans="1:5" x14ac:dyDescent="0.25">
      <c r="A7480" t="str">
        <f>HYPERLINK("https://www.773grp.com/globalSearch/LM4250CH/page-1", "LM4250CH")</f>
        <v>LM4250CH</v>
      </c>
      <c r="B7480" s="3" t="str">
        <f>HYPERLINK("https://www.773grp.com/manufacturer/national-semiconductor?pageNo=109", "National Semiconductor")</f>
        <v>National Semiconductor</v>
      </c>
      <c r="C7480" s="6">
        <v>201</v>
      </c>
      <c r="D7480" s="7">
        <v>7.6</v>
      </c>
      <c r="E7480" t="s">
        <v>13</v>
      </c>
    </row>
    <row r="7481" spans="1:5" x14ac:dyDescent="0.25">
      <c r="A7481" t="str">
        <f>HYPERLINK("https://www.773grp.com/globalSearch/LMH6550MA-NOPB/page-1", "LMH6550MA-NOPB")</f>
        <v>LMH6550MA-NOPB</v>
      </c>
      <c r="B7481" s="3" t="str">
        <f>HYPERLINK("https://www.773grp.com/manufacturer/national-semiconductor?pageNo=110", "National Semiconductor")</f>
        <v>National Semiconductor</v>
      </c>
      <c r="C7481" s="6">
        <v>4889</v>
      </c>
      <c r="D7481" s="7">
        <v>7.6</v>
      </c>
      <c r="E7481" t="s">
        <v>13</v>
      </c>
    </row>
    <row r="7482" spans="1:5" x14ac:dyDescent="0.25">
      <c r="A7482" t="str">
        <f>HYPERLINK("https://www.773grp.com/globalSearch/ADC0848CCVX-NOPB/page-1", "ADC0848CCVX-NOPB")</f>
        <v>ADC0848CCVX-NOPB</v>
      </c>
      <c r="B7482" s="3" t="str">
        <f>HYPERLINK("https://www.773grp.com/manufacturer/national-semiconductor?pageNo=111", "National Semiconductor")</f>
        <v>National Semiconductor</v>
      </c>
      <c r="C7482" s="6">
        <v>885</v>
      </c>
      <c r="D7482" s="7">
        <v>7.6</v>
      </c>
      <c r="E7482" t="s">
        <v>39</v>
      </c>
    </row>
    <row r="7483" spans="1:5" x14ac:dyDescent="0.25">
      <c r="A7483" t="str">
        <f>HYPERLINK("https://www.773grp.com/globalSearch/ADC122S625CIMM-NOPB/page-1", "ADC122S625CIMM-NOPB")</f>
        <v>ADC122S625CIMM-NOPB</v>
      </c>
      <c r="B7483" s="3" t="str">
        <f>HYPERLINK("https://www.773grp.com/manufacturer/national-semiconductor?pageNo=112", "National Semiconductor")</f>
        <v>National Semiconductor</v>
      </c>
      <c r="C7483" s="6">
        <v>2980</v>
      </c>
      <c r="D7483" s="7">
        <v>7.6</v>
      </c>
    </row>
    <row r="7484" spans="1:5" x14ac:dyDescent="0.25">
      <c r="A7484" t="str">
        <f>HYPERLINK("https://www.773grp.com/globalSearch/DRV8840PWP/page-1", "DRV8840PWP")</f>
        <v>DRV8840PWP</v>
      </c>
      <c r="B7484" s="3" t="str">
        <f>HYPERLINK("https://www.773grp.com/manufacturer/national-semiconductor?pageNo=113", "National Semiconductor")</f>
        <v>National Semiconductor</v>
      </c>
      <c r="C7484" s="6">
        <v>700</v>
      </c>
      <c r="D7484" s="7">
        <v>7.6</v>
      </c>
    </row>
    <row r="7485" spans="1:5" x14ac:dyDescent="0.25">
      <c r="A7485" t="str">
        <f>HYPERLINK("https://www.773grp.com/globalSearch/LM26003QMH-NOPB/page-1", "LM26003QMH-NOPB")</f>
        <v>LM26003QMH-NOPB</v>
      </c>
      <c r="B7485" s="3" t="str">
        <f>HYPERLINK("https://www.773grp.com/manufacturer/national-semiconductor?pageNo=114", "National Semiconductor")</f>
        <v>National Semiconductor</v>
      </c>
      <c r="C7485" s="6">
        <v>178</v>
      </c>
      <c r="D7485" s="7">
        <v>7.6</v>
      </c>
    </row>
    <row r="7486" spans="1:5" x14ac:dyDescent="0.25">
      <c r="A7486" t="str">
        <f>HYPERLINK("https://www.773grp.com/globalSearch/LM2677S-12-NOPB/page-1", "LM2677S-12-NOPB")</f>
        <v>LM2677S-12-NOPB</v>
      </c>
      <c r="B7486" s="3" t="str">
        <f>HYPERLINK("https://www.773grp.com/manufacturer/national-semiconductor?pageNo=115", "National Semiconductor")</f>
        <v>National Semiconductor</v>
      </c>
      <c r="C7486" s="6">
        <v>245</v>
      </c>
      <c r="D7486" s="7">
        <v>7.6</v>
      </c>
    </row>
    <row r="7487" spans="1:5" x14ac:dyDescent="0.25">
      <c r="A7487" t="str">
        <f>HYPERLINK("https://www.773grp.com/globalSearch/LM2677S-3.3-NOPB/page-1", "LM2677S-3.3-NOPB")</f>
        <v>LM2677S-3.3-NOPB</v>
      </c>
      <c r="B7487" s="3" t="str">
        <f>HYPERLINK("https://www.773grp.com/manufacturer/national-semiconductor?pageNo=116", "National Semiconductor")</f>
        <v>National Semiconductor</v>
      </c>
      <c r="C7487" s="6">
        <v>325</v>
      </c>
      <c r="D7487" s="7">
        <v>7.6</v>
      </c>
      <c r="E7487" t="s">
        <v>7</v>
      </c>
    </row>
    <row r="7488" spans="1:5" x14ac:dyDescent="0.25">
      <c r="A7488" t="str">
        <f>HYPERLINK("https://www.773grp.com/globalSearch/LM2677S-5.0-NOPB/page-1", "LM2677S-5.0-NOPB")</f>
        <v>LM2677S-5.0-NOPB</v>
      </c>
      <c r="B7488" s="3" t="str">
        <f>HYPERLINK("https://www.773grp.com/manufacturer/national-semiconductor?pageNo=117", "National Semiconductor")</f>
        <v>National Semiconductor</v>
      </c>
      <c r="C7488" s="6">
        <v>250</v>
      </c>
      <c r="D7488" s="7">
        <v>7.6</v>
      </c>
    </row>
    <row r="7489" spans="1:5" x14ac:dyDescent="0.25">
      <c r="A7489" t="str">
        <f>HYPERLINK("https://www.773grp.com/globalSearch/LM2677S-ADJ-NOPB/page-1", "LM2677S-ADJ-NOPB")</f>
        <v>LM2677S-ADJ-NOPB</v>
      </c>
      <c r="B7489" s="3" t="str">
        <f>HYPERLINK("https://www.773grp.com/manufacturer/national-semiconductor?pageNo=118", "National Semiconductor")</f>
        <v>National Semiconductor</v>
      </c>
      <c r="C7489" s="6">
        <v>240</v>
      </c>
      <c r="D7489" s="7">
        <v>7.6</v>
      </c>
      <c r="E7489" t="s">
        <v>7</v>
      </c>
    </row>
    <row r="7490" spans="1:5" x14ac:dyDescent="0.25">
      <c r="A7490" t="str">
        <f>HYPERLINK("https://www.773grp.com/globalSearch/LM2679S-12-NOPB/page-1", "LM2679S-12-NOPB")</f>
        <v>LM2679S-12-NOPB</v>
      </c>
      <c r="B7490" s="3" t="str">
        <f>HYPERLINK("https://www.773grp.com/manufacturer/national-semiconductor?pageNo=119", "National Semiconductor")</f>
        <v>National Semiconductor</v>
      </c>
      <c r="C7490" s="6">
        <v>220</v>
      </c>
      <c r="D7490" s="7">
        <v>7.6</v>
      </c>
      <c r="E7490" t="s">
        <v>7</v>
      </c>
    </row>
    <row r="7491" spans="1:5" x14ac:dyDescent="0.25">
      <c r="A7491" t="str">
        <f>HYPERLINK("https://www.773grp.com/globalSearch/LM2679S-3.3-NOPB/page-1", "LM2679S-3.3-NOPB")</f>
        <v>LM2679S-3.3-NOPB</v>
      </c>
      <c r="B7491" s="3" t="str">
        <f>HYPERLINK("https://www.773grp.com/manufacturer/national-semiconductor?pageNo=120", "National Semiconductor")</f>
        <v>National Semiconductor</v>
      </c>
      <c r="C7491" s="6">
        <v>662</v>
      </c>
      <c r="D7491" s="7">
        <v>7.6</v>
      </c>
    </row>
    <row r="7492" spans="1:5" x14ac:dyDescent="0.25">
      <c r="A7492" t="str">
        <f>HYPERLINK("https://www.773grp.com/globalSearch/LM2679S-5.0-NOPB/page-1", "LM2679S-5.0-NOPB")</f>
        <v>LM2679S-5.0-NOPB</v>
      </c>
      <c r="B7492" s="3" t="str">
        <f>HYPERLINK("https://www.773grp.com/manufacturer/national-semiconductor?pageNo=121", "National Semiconductor")</f>
        <v>National Semiconductor</v>
      </c>
      <c r="C7492" s="6">
        <v>255</v>
      </c>
      <c r="D7492" s="7">
        <v>7.6</v>
      </c>
      <c r="E7492" t="s">
        <v>7</v>
      </c>
    </row>
    <row r="7493" spans="1:5" x14ac:dyDescent="0.25">
      <c r="A7493" t="str">
        <f>HYPERLINK("https://www.773grp.com/globalSearch/LM2679S-ADJ-NOPB/page-1", "LM2679S-ADJ-NOPB")</f>
        <v>LM2679S-ADJ-NOPB</v>
      </c>
      <c r="B7493" s="3" t="str">
        <f>HYPERLINK("https://www.773grp.com/manufacturer/national-semiconductor?pageNo=122", "National Semiconductor")</f>
        <v>National Semiconductor</v>
      </c>
      <c r="C7493" s="6">
        <v>272</v>
      </c>
      <c r="D7493" s="7">
        <v>7.6</v>
      </c>
      <c r="E7493" t="s">
        <v>7</v>
      </c>
    </row>
    <row r="7494" spans="1:5" x14ac:dyDescent="0.25">
      <c r="A7494" t="str">
        <f>HYPERLINK("https://www.773grp.com/globalSearch/LM5046MH-NOPB/page-1", "LM5046MH-NOPB")</f>
        <v>LM5046MH-NOPB</v>
      </c>
      <c r="B7494" s="3" t="str">
        <f>HYPERLINK("https://www.773grp.com/manufacturer/national-semiconductor?pageNo=123", "National Semiconductor")</f>
        <v>National Semiconductor</v>
      </c>
      <c r="C7494" s="6">
        <v>506</v>
      </c>
      <c r="D7494" s="7">
        <v>7.6</v>
      </c>
    </row>
    <row r="7495" spans="1:5" x14ac:dyDescent="0.25">
      <c r="A7495" t="str">
        <f>HYPERLINK("https://www.773grp.com/globalSearch/LMH6550MA-NOPB/page-1", "LMH6550MA-NOPB")</f>
        <v>LMH6550MA-NOPB</v>
      </c>
      <c r="B7495" s="3" t="str">
        <f>HYPERLINK("https://www.773grp.com/manufacturer/national-semiconductor?pageNo=124", "National Semiconductor")</f>
        <v>National Semiconductor</v>
      </c>
      <c r="C7495" s="6">
        <v>8317</v>
      </c>
      <c r="D7495" s="7">
        <v>7.6</v>
      </c>
      <c r="E7495" t="s">
        <v>13</v>
      </c>
    </row>
    <row r="7496" spans="1:5" x14ac:dyDescent="0.25">
      <c r="A7496" t="str">
        <f>HYPERLINK("https://www.773grp.com/globalSearch/5483AFMQB/page-1", "5483AFMQB")</f>
        <v>5483AFMQB</v>
      </c>
      <c r="B7496" s="3" t="str">
        <f>HYPERLINK("https://www.773grp.com/manufacturer/national-semiconductor?pageNo=125", "National Semiconductor")</f>
        <v>National Semiconductor</v>
      </c>
      <c r="C7496" s="6">
        <v>55</v>
      </c>
      <c r="D7496" s="7">
        <v>7.63</v>
      </c>
      <c r="E7496" t="s">
        <v>43</v>
      </c>
    </row>
    <row r="7497" spans="1:5" x14ac:dyDescent="0.25">
      <c r="A7497" t="str">
        <f>HYPERLINK("https://www.773grp.com/globalSearch/CLC5633IN/page-1", "CLC5633IN")</f>
        <v>CLC5633IN</v>
      </c>
      <c r="B7497" s="3" t="str">
        <f>HYPERLINK("https://www.773grp.com/manufacturer/national-semiconductor?pageNo=126", "National Semiconductor")</f>
        <v>National Semiconductor</v>
      </c>
      <c r="C7497" s="6">
        <v>2653</v>
      </c>
      <c r="D7497" s="7">
        <v>7.63</v>
      </c>
      <c r="E7497" t="s">
        <v>48</v>
      </c>
    </row>
    <row r="7498" spans="1:5" x14ac:dyDescent="0.25">
      <c r="A7498" t="str">
        <f>HYPERLINK("https://www.773grp.com/globalSearch/LM49450SQ-NOPB/page-1", "LM49450SQ-NOPB")</f>
        <v>LM49450SQ-NOPB</v>
      </c>
      <c r="B7498" s="3" t="str">
        <f>HYPERLINK("https://www.773grp.com/manufacturer/national-semiconductor?pageNo=127", "National Semiconductor")</f>
        <v>National Semiconductor</v>
      </c>
      <c r="C7498" s="6">
        <v>2611</v>
      </c>
      <c r="D7498" s="7">
        <v>7.63</v>
      </c>
    </row>
    <row r="7499" spans="1:5" x14ac:dyDescent="0.25">
      <c r="A7499" t="str">
        <f>HYPERLINK("https://www.773grp.com/globalSearch/LM675T/page-1", "LM675T")</f>
        <v>LM675T</v>
      </c>
      <c r="B7499" s="3" t="str">
        <f>HYPERLINK("https://www.773grp.com/manufacturer/national-semiconductor?pageNo=128", "National Semiconductor")</f>
        <v>National Semiconductor</v>
      </c>
      <c r="C7499" s="6">
        <v>68</v>
      </c>
      <c r="D7499" s="7">
        <v>7.63</v>
      </c>
      <c r="E7499" t="s">
        <v>13</v>
      </c>
    </row>
    <row r="7500" spans="1:5" x14ac:dyDescent="0.25">
      <c r="A7500" t="str">
        <f>HYPERLINK("https://www.773grp.com/globalSearch/LMP8358MAX-NOPB/page-1", "LMP8358MAX-NOPB")</f>
        <v>LMP8358MAX-NOPB</v>
      </c>
      <c r="B7500" s="3" t="str">
        <f>HYPERLINK("https://www.773grp.com/manufacturer/national-semiconductor?pageNo=129", "National Semiconductor")</f>
        <v>National Semiconductor</v>
      </c>
      <c r="C7500" s="6">
        <v>2500</v>
      </c>
      <c r="D7500" s="7">
        <v>7.63</v>
      </c>
    </row>
    <row r="7501" spans="1:5" x14ac:dyDescent="0.25">
      <c r="A7501" t="str">
        <f>HYPERLINK("https://www.773grp.com/globalSearch/LMP8358MTX-NOPB/page-1", "LMP8358MTX-NOPB")</f>
        <v>LMP8358MTX-NOPB</v>
      </c>
      <c r="B7501" s="3" t="str">
        <f>HYPERLINK("https://www.773grp.com/manufacturer/national-semiconductor?pageNo=130", "National Semiconductor")</f>
        <v>National Semiconductor</v>
      </c>
      <c r="C7501" s="6">
        <v>2500</v>
      </c>
      <c r="D7501" s="7">
        <v>7.63</v>
      </c>
    </row>
    <row r="7502" spans="1:5" x14ac:dyDescent="0.25">
      <c r="A7502" t="str">
        <f>HYPERLINK("https://www.773grp.com/globalSearch/TP3057WM-NOPB/page-1", "TP3057WM-NOPB")</f>
        <v>TP3057WM-NOPB</v>
      </c>
      <c r="B7502" s="3" t="str">
        <f>HYPERLINK("https://www.773grp.com/manufacturer/national-semiconductor?pageNo=131", "National Semiconductor")</f>
        <v>National Semiconductor</v>
      </c>
      <c r="C7502" s="6">
        <v>105</v>
      </c>
      <c r="D7502" s="7">
        <v>7.63</v>
      </c>
      <c r="E7502" t="s">
        <v>66</v>
      </c>
    </row>
    <row r="7503" spans="1:5" x14ac:dyDescent="0.25">
      <c r="A7503" t="str">
        <f>HYPERLINK("https://www.773grp.com/globalSearch/TP3057WMX/page-1", "TP3057WMX")</f>
        <v>TP3057WMX</v>
      </c>
      <c r="B7503" s="3" t="str">
        <f>HYPERLINK("https://www.773grp.com/manufacturer/national-semiconductor?pageNo=132", "National Semiconductor")</f>
        <v>National Semiconductor</v>
      </c>
      <c r="C7503" s="6">
        <v>1000</v>
      </c>
      <c r="D7503" s="7">
        <v>7.63</v>
      </c>
      <c r="E7503" t="s">
        <v>66</v>
      </c>
    </row>
    <row r="7504" spans="1:5" x14ac:dyDescent="0.25">
      <c r="A7504" t="str">
        <f>HYPERLINK("https://www.773grp.com/globalSearch/LM675T/page-1", "LM675T")</f>
        <v>LM675T</v>
      </c>
      <c r="B7504" s="3" t="str">
        <f>HYPERLINK("https://www.773grp.com/manufacturer/national-semiconductor?pageNo=133", "National Semiconductor")</f>
        <v>National Semiconductor</v>
      </c>
      <c r="C7504" s="6">
        <v>15</v>
      </c>
      <c r="D7504" s="7">
        <v>7.63</v>
      </c>
      <c r="E7504" t="s">
        <v>13</v>
      </c>
    </row>
    <row r="7505" spans="1:5" x14ac:dyDescent="0.25">
      <c r="A7505" t="str">
        <f>HYPERLINK("https://www.773grp.com/globalSearch/TP3057WM-NOPB/page-1", "TP3057WM-NOPB")</f>
        <v>TP3057WM-NOPB</v>
      </c>
      <c r="B7505" s="3" t="str">
        <f>HYPERLINK("https://www.773grp.com/manufacturer/national-semiconductor?pageNo=134", "National Semiconductor")</f>
        <v>National Semiconductor</v>
      </c>
      <c r="C7505" s="6">
        <v>120</v>
      </c>
      <c r="D7505" s="7">
        <v>7.63</v>
      </c>
      <c r="E7505" t="s">
        <v>66</v>
      </c>
    </row>
    <row r="7506" spans="1:5" x14ac:dyDescent="0.25">
      <c r="A7506" t="str">
        <f>HYPERLINK("https://www.773grp.com/globalSearch/4030BDC/page-1", "4030BDC")</f>
        <v>4030BDC</v>
      </c>
      <c r="B7506" s="3" t="str">
        <f>HYPERLINK("https://www.773grp.com/manufacturer/national-semiconductor?pageNo=1", "National Semiconductor")</f>
        <v>National Semiconductor</v>
      </c>
      <c r="C7506" s="6">
        <v>4667</v>
      </c>
      <c r="D7506" s="7">
        <v>7.65</v>
      </c>
    </row>
    <row r="7507" spans="1:5" x14ac:dyDescent="0.25">
      <c r="A7507" t="str">
        <f>HYPERLINK("https://www.773grp.com/globalSearch/74F569SC/page-1", "74F569SC")</f>
        <v>74F569SC</v>
      </c>
      <c r="B7507" s="3" t="str">
        <f>HYPERLINK("https://www.773grp.com/manufacturer/national-semiconductor?pageNo=2", "National Semiconductor")</f>
        <v>National Semiconductor</v>
      </c>
      <c r="C7507" s="6">
        <v>9342</v>
      </c>
      <c r="D7507" s="7">
        <v>7.65</v>
      </c>
      <c r="E7507" t="s">
        <v>26</v>
      </c>
    </row>
    <row r="7508" spans="1:5" x14ac:dyDescent="0.25">
      <c r="A7508" t="str">
        <f>HYPERLINK("https://www.773grp.com/globalSearch/74FCT244PC/page-1", "74FCT244PC")</f>
        <v>74FCT244PC</v>
      </c>
      <c r="B7508" s="3" t="str">
        <f>HYPERLINK("https://www.773grp.com/manufacturer/national-semiconductor?pageNo=3", "National Semiconductor")</f>
        <v>National Semiconductor</v>
      </c>
      <c r="C7508" s="6">
        <v>2914</v>
      </c>
      <c r="D7508" s="7">
        <v>7.65</v>
      </c>
      <c r="E7508" t="s">
        <v>14</v>
      </c>
    </row>
    <row r="7509" spans="1:5" x14ac:dyDescent="0.25">
      <c r="A7509" t="str">
        <f>HYPERLINK("https://www.773grp.com/globalSearch/74FCT244SC/page-1", "74FCT244SC")</f>
        <v>74FCT244SC</v>
      </c>
      <c r="B7509" s="3" t="str">
        <f>HYPERLINK("https://www.773grp.com/manufacturer/national-semiconductor?pageNo=4", "National Semiconductor")</f>
        <v>National Semiconductor</v>
      </c>
      <c r="C7509" s="6">
        <v>44</v>
      </c>
      <c r="D7509" s="7">
        <v>7.65</v>
      </c>
      <c r="E7509" t="s">
        <v>14</v>
      </c>
    </row>
    <row r="7510" spans="1:5" x14ac:dyDescent="0.25">
      <c r="A7510" t="str">
        <f>HYPERLINK("https://www.773grp.com/globalSearch/74FCT373PC/page-1", "74FCT373PC")</f>
        <v>74FCT373PC</v>
      </c>
      <c r="B7510" s="3" t="str">
        <f>HYPERLINK("https://www.773grp.com/manufacturer/national-semiconductor?pageNo=5", "National Semiconductor")</f>
        <v>National Semiconductor</v>
      </c>
      <c r="C7510" s="6">
        <v>2981</v>
      </c>
      <c r="D7510" s="7">
        <v>7.65</v>
      </c>
      <c r="E7510" t="s">
        <v>14</v>
      </c>
    </row>
    <row r="7511" spans="1:5" x14ac:dyDescent="0.25">
      <c r="A7511" t="str">
        <f>HYPERLINK("https://www.773grp.com/globalSearch/74FCT373SC/page-1", "74FCT373SC")</f>
        <v>74FCT373SC</v>
      </c>
      <c r="B7511" s="3" t="str">
        <f>HYPERLINK("https://www.773grp.com/manufacturer/national-semiconductor?pageNo=6", "National Semiconductor")</f>
        <v>National Semiconductor</v>
      </c>
      <c r="C7511" s="6">
        <v>14400</v>
      </c>
      <c r="D7511" s="7">
        <v>7.65</v>
      </c>
      <c r="E7511" t="s">
        <v>14</v>
      </c>
    </row>
    <row r="7512" spans="1:5" x14ac:dyDescent="0.25">
      <c r="A7512" t="str">
        <f>HYPERLINK("https://www.773grp.com/globalSearch/74FCT374PC/page-1", "74FCT374PC")</f>
        <v>74FCT374PC</v>
      </c>
      <c r="B7512" s="3" t="str">
        <f>HYPERLINK("https://www.773grp.com/manufacturer/national-semiconductor?pageNo=7", "National Semiconductor")</f>
        <v>National Semiconductor</v>
      </c>
      <c r="C7512" s="6">
        <v>1113</v>
      </c>
      <c r="D7512" s="7">
        <v>7.65</v>
      </c>
      <c r="E7512" t="s">
        <v>14</v>
      </c>
    </row>
    <row r="7513" spans="1:5" x14ac:dyDescent="0.25">
      <c r="A7513" t="str">
        <f>HYPERLINK("https://www.773grp.com/globalSearch/74FCT377PC/page-1", "74FCT377PC")</f>
        <v>74FCT377PC</v>
      </c>
      <c r="B7513" s="3" t="str">
        <f>HYPERLINK("https://www.773grp.com/manufacturer/national-semiconductor?pageNo=8", "National Semiconductor")</f>
        <v>National Semiconductor</v>
      </c>
      <c r="C7513" s="6">
        <v>2561</v>
      </c>
      <c r="D7513" s="7">
        <v>7.65</v>
      </c>
      <c r="E7513" t="s">
        <v>35</v>
      </c>
    </row>
    <row r="7514" spans="1:5" x14ac:dyDescent="0.25">
      <c r="A7514" t="str">
        <f>HYPERLINK("https://www.773grp.com/globalSearch/74FCT377SC/page-1", "74FCT377SC")</f>
        <v>74FCT377SC</v>
      </c>
      <c r="B7514" s="3" t="str">
        <f>HYPERLINK("https://www.773grp.com/manufacturer/national-semiconductor?pageNo=9", "National Semiconductor")</f>
        <v>National Semiconductor</v>
      </c>
      <c r="C7514" s="6">
        <v>1404</v>
      </c>
      <c r="D7514" s="7">
        <v>7.65</v>
      </c>
      <c r="E7514" t="s">
        <v>35</v>
      </c>
    </row>
    <row r="7515" spans="1:5" x14ac:dyDescent="0.25">
      <c r="A7515" t="str">
        <f>HYPERLINK("https://www.773grp.com/globalSearch/74FCT573PC/page-1", "74FCT573PC")</f>
        <v>74FCT573PC</v>
      </c>
      <c r="B7515" s="3" t="str">
        <f>HYPERLINK("https://www.773grp.com/manufacturer/national-semiconductor?pageNo=10", "National Semiconductor")</f>
        <v>National Semiconductor</v>
      </c>
      <c r="C7515" s="6">
        <v>1590</v>
      </c>
      <c r="D7515" s="7">
        <v>7.65</v>
      </c>
      <c r="E7515" t="s">
        <v>14</v>
      </c>
    </row>
    <row r="7516" spans="1:5" x14ac:dyDescent="0.25">
      <c r="A7516" t="str">
        <f>HYPERLINK("https://www.773grp.com/globalSearch/74FCT573SC/page-1", "74FCT573SC")</f>
        <v>74FCT573SC</v>
      </c>
      <c r="B7516" s="3" t="str">
        <f>HYPERLINK("https://www.773grp.com/manufacturer/national-semiconductor?pageNo=11", "National Semiconductor")</f>
        <v>National Semiconductor</v>
      </c>
      <c r="C7516" s="6">
        <v>660</v>
      </c>
      <c r="D7516" s="7">
        <v>7.65</v>
      </c>
      <c r="E7516" t="s">
        <v>14</v>
      </c>
    </row>
    <row r="7517" spans="1:5" x14ac:dyDescent="0.25">
      <c r="A7517" t="str">
        <f>HYPERLINK("https://www.773grp.com/globalSearch/74FCT574PC/page-1", "74FCT574PC")</f>
        <v>74FCT574PC</v>
      </c>
      <c r="B7517" s="3" t="str">
        <f>HYPERLINK("https://www.773grp.com/manufacturer/national-semiconductor?pageNo=12", "National Semiconductor")</f>
        <v>National Semiconductor</v>
      </c>
      <c r="C7517" s="6">
        <v>4468</v>
      </c>
      <c r="D7517" s="7">
        <v>7.65</v>
      </c>
      <c r="E7517" t="s">
        <v>14</v>
      </c>
    </row>
    <row r="7518" spans="1:5" x14ac:dyDescent="0.25">
      <c r="A7518" t="str">
        <f>HYPERLINK("https://www.773grp.com/globalSearch/74FCT574SC/page-1", "74FCT574SC")</f>
        <v>74FCT574SC</v>
      </c>
      <c r="B7518" s="3" t="str">
        <f>HYPERLINK("https://www.773grp.com/manufacturer/national-semiconductor?pageNo=13", "National Semiconductor")</f>
        <v>National Semiconductor</v>
      </c>
      <c r="C7518" s="6">
        <v>2157</v>
      </c>
      <c r="D7518" s="7">
        <v>7.65</v>
      </c>
      <c r="E7518" t="s">
        <v>14</v>
      </c>
    </row>
    <row r="7519" spans="1:5" x14ac:dyDescent="0.25">
      <c r="A7519" t="str">
        <f>HYPERLINK("https://www.773grp.com/globalSearch/CLC406AJM5/page-1", "CLC406AJM5")</f>
        <v>CLC406AJM5</v>
      </c>
      <c r="B7519" s="3" t="str">
        <f>HYPERLINK("https://www.773grp.com/manufacturer/national-semiconductor?pageNo=14", "National Semiconductor")</f>
        <v>National Semiconductor</v>
      </c>
      <c r="C7519" s="6">
        <v>2630</v>
      </c>
      <c r="D7519" s="7">
        <v>7.65</v>
      </c>
      <c r="E7519" t="s">
        <v>13</v>
      </c>
    </row>
    <row r="7520" spans="1:5" x14ac:dyDescent="0.25">
      <c r="A7520" t="str">
        <f>HYPERLINK("https://www.773grp.com/globalSearch/DM54LS151W-883/page-1", "DM54LS151W-883")</f>
        <v>DM54LS151W-883</v>
      </c>
      <c r="B7520" s="3" t="str">
        <f>HYPERLINK("https://www.773grp.com/manufacturer/national-semiconductor?pageNo=15", "National Semiconductor")</f>
        <v>National Semiconductor</v>
      </c>
      <c r="C7520" s="6">
        <v>859</v>
      </c>
      <c r="D7520" s="7">
        <v>7.65</v>
      </c>
      <c r="E7520" t="s">
        <v>20</v>
      </c>
    </row>
    <row r="7521" spans="1:5" x14ac:dyDescent="0.25">
      <c r="A7521" t="str">
        <f>HYPERLINK("https://www.773grp.com/globalSearch/DM54LS158W-883/page-1", "DM54LS158W-883")</f>
        <v>DM54LS158W-883</v>
      </c>
      <c r="B7521" s="3" t="str">
        <f>HYPERLINK("https://www.773grp.com/manufacturer/national-semiconductor?pageNo=16", "National Semiconductor")</f>
        <v>National Semiconductor</v>
      </c>
      <c r="C7521" s="6">
        <v>562</v>
      </c>
      <c r="D7521" s="7">
        <v>7.65</v>
      </c>
      <c r="E7521" t="s">
        <v>20</v>
      </c>
    </row>
    <row r="7522" spans="1:5" x14ac:dyDescent="0.25">
      <c r="A7522" t="str">
        <f>HYPERLINK("https://www.773grp.com/globalSearch/DM54LS38W-883/page-1", "DM54LS38W-883")</f>
        <v>DM54LS38W-883</v>
      </c>
      <c r="B7522" s="3" t="str">
        <f>HYPERLINK("https://www.773grp.com/manufacturer/national-semiconductor?pageNo=17", "National Semiconductor")</f>
        <v>National Semiconductor</v>
      </c>
      <c r="C7522" s="6">
        <v>43</v>
      </c>
      <c r="D7522" s="7">
        <v>7.65</v>
      </c>
    </row>
    <row r="7523" spans="1:5" x14ac:dyDescent="0.25">
      <c r="A7523" t="str">
        <f>HYPERLINK("https://www.773grp.com/globalSearch/LM2672M-12/page-1", "LM2672M-12")</f>
        <v>LM2672M-12</v>
      </c>
      <c r="B7523" s="3" t="str">
        <f>HYPERLINK("https://www.773grp.com/manufacturer/national-semiconductor?pageNo=18", "National Semiconductor")</f>
        <v>National Semiconductor</v>
      </c>
      <c r="C7523" s="6">
        <v>220</v>
      </c>
      <c r="D7523" s="7">
        <v>7.65</v>
      </c>
      <c r="E7523" t="s">
        <v>7</v>
      </c>
    </row>
    <row r="7524" spans="1:5" x14ac:dyDescent="0.25">
      <c r="A7524" t="str">
        <f>HYPERLINK("https://www.773grp.com/globalSearch/LM2672M-3.3/page-1", "LM2672M-3.3")</f>
        <v>LM2672M-3.3</v>
      </c>
      <c r="B7524" s="3" t="str">
        <f>HYPERLINK("https://www.773grp.com/manufacturer/national-semiconductor?pageNo=19", "National Semiconductor")</f>
        <v>National Semiconductor</v>
      </c>
      <c r="C7524" s="6">
        <v>1416</v>
      </c>
      <c r="D7524" s="7">
        <v>7.65</v>
      </c>
      <c r="E7524" t="s">
        <v>7</v>
      </c>
    </row>
    <row r="7525" spans="1:5" x14ac:dyDescent="0.25">
      <c r="A7525" t="str">
        <f>HYPERLINK("https://www.773grp.com/globalSearch/LM2672M-5.0/page-1", "LM2672M-5.0")</f>
        <v>LM2672M-5.0</v>
      </c>
      <c r="B7525" s="3" t="str">
        <f>HYPERLINK("https://www.773grp.com/manufacturer/national-semiconductor?pageNo=20", "National Semiconductor")</f>
        <v>National Semiconductor</v>
      </c>
      <c r="C7525" s="6">
        <v>95</v>
      </c>
      <c r="D7525" s="7">
        <v>7.65</v>
      </c>
      <c r="E7525" t="s">
        <v>7</v>
      </c>
    </row>
    <row r="7526" spans="1:5" x14ac:dyDescent="0.25">
      <c r="A7526" t="str">
        <f>HYPERLINK("https://www.773grp.com/globalSearch/LM2672M-ADJ/page-1", "LM2672M-ADJ")</f>
        <v>LM2672M-ADJ</v>
      </c>
      <c r="B7526" s="3" t="str">
        <f>HYPERLINK("https://www.773grp.com/manufacturer/national-semiconductor?pageNo=21", "National Semiconductor")</f>
        <v>National Semiconductor</v>
      </c>
      <c r="C7526" s="6">
        <v>11677</v>
      </c>
      <c r="D7526" s="7">
        <v>7.65</v>
      </c>
      <c r="E7526" t="s">
        <v>7</v>
      </c>
    </row>
    <row r="7527" spans="1:5" x14ac:dyDescent="0.25">
      <c r="A7527" t="str">
        <f>HYPERLINK("https://www.773grp.com/globalSearch/LM4766T-NOPB/page-1", "LM4766T-NOPB")</f>
        <v>LM4766T-NOPB</v>
      </c>
      <c r="B7527" s="3" t="str">
        <f>HYPERLINK("https://www.773grp.com/manufacturer/national-semiconductor?pageNo=22", "National Semiconductor")</f>
        <v>National Semiconductor</v>
      </c>
      <c r="C7527" s="6">
        <v>120</v>
      </c>
      <c r="D7527" s="7">
        <v>7.65</v>
      </c>
      <c r="E7527" t="s">
        <v>18</v>
      </c>
    </row>
    <row r="7528" spans="1:5" x14ac:dyDescent="0.25">
      <c r="A7528" t="str">
        <f>HYPERLINK("https://www.773grp.com/globalSearch/LM4766TF-NOPB/page-1", "LM4766TF-NOPB")</f>
        <v>LM4766TF-NOPB</v>
      </c>
      <c r="B7528" s="3" t="str">
        <f>HYPERLINK("https://www.773grp.com/manufacturer/national-semiconductor?pageNo=23", "National Semiconductor")</f>
        <v>National Semiconductor</v>
      </c>
      <c r="C7528" s="6">
        <v>200</v>
      </c>
      <c r="D7528" s="7">
        <v>7.65</v>
      </c>
      <c r="E7528" t="s">
        <v>18</v>
      </c>
    </row>
    <row r="7529" spans="1:5" x14ac:dyDescent="0.25">
      <c r="A7529" t="str">
        <f>HYPERLINK("https://www.773grp.com/globalSearch/LP3966ES-2.5/page-1", "LP3966ES-2.5")</f>
        <v>LP3966ES-2.5</v>
      </c>
      <c r="B7529" s="3" t="str">
        <f>HYPERLINK("https://www.773grp.com/manufacturer/national-semiconductor?pageNo=24", "National Semiconductor")</f>
        <v>National Semiconductor</v>
      </c>
      <c r="C7529" s="6">
        <v>435</v>
      </c>
      <c r="D7529" s="7">
        <v>7.65</v>
      </c>
      <c r="E7529" t="s">
        <v>19</v>
      </c>
    </row>
    <row r="7530" spans="1:5" x14ac:dyDescent="0.25">
      <c r="A7530" t="str">
        <f>HYPERLINK("https://www.773grp.com/globalSearch/LP3966ES-ADJ/page-1", "LP3966ES-ADJ")</f>
        <v>LP3966ES-ADJ</v>
      </c>
      <c r="B7530" s="3" t="str">
        <f>HYPERLINK("https://www.773grp.com/manufacturer/national-semiconductor?pageNo=25", "National Semiconductor")</f>
        <v>National Semiconductor</v>
      </c>
      <c r="C7530" s="6">
        <v>3</v>
      </c>
      <c r="D7530" s="7">
        <v>7.65</v>
      </c>
      <c r="E7530" t="s">
        <v>25</v>
      </c>
    </row>
    <row r="7531" spans="1:5" x14ac:dyDescent="0.25">
      <c r="A7531" t="str">
        <f>HYPERLINK("https://www.773grp.com/globalSearch/LM2672M-12/page-1", "LM2672M-12")</f>
        <v>LM2672M-12</v>
      </c>
      <c r="B7531" s="3" t="str">
        <f>HYPERLINK("https://www.773grp.com/manufacturer/national-semiconductor?pageNo=26", "National Semiconductor")</f>
        <v>National Semiconductor</v>
      </c>
      <c r="C7531" s="6">
        <v>1995</v>
      </c>
      <c r="D7531" s="7">
        <v>7.65</v>
      </c>
      <c r="E7531" t="s">
        <v>7</v>
      </c>
    </row>
    <row r="7532" spans="1:5" x14ac:dyDescent="0.25">
      <c r="A7532" t="str">
        <f>HYPERLINK("https://www.773grp.com/globalSearch/LM4766T-NOPB/page-1", "LM4766T-NOPB")</f>
        <v>LM4766T-NOPB</v>
      </c>
      <c r="B7532" s="3" t="str">
        <f>HYPERLINK("https://www.773grp.com/manufacturer/national-semiconductor?pageNo=27", "National Semiconductor")</f>
        <v>National Semiconductor</v>
      </c>
      <c r="C7532" s="6">
        <v>341</v>
      </c>
      <c r="D7532" s="7">
        <v>7.65</v>
      </c>
      <c r="E7532" t="s">
        <v>18</v>
      </c>
    </row>
    <row r="7533" spans="1:5" x14ac:dyDescent="0.25">
      <c r="A7533" t="str">
        <f>HYPERLINK("https://www.773grp.com/globalSearch/LM4766TF-NOPB/page-1", "LM4766TF-NOPB")</f>
        <v>LM4766TF-NOPB</v>
      </c>
      <c r="B7533" s="3" t="str">
        <f>HYPERLINK("https://www.773grp.com/manufacturer/national-semiconductor?pageNo=28", "National Semiconductor")</f>
        <v>National Semiconductor</v>
      </c>
      <c r="C7533" s="6">
        <v>214</v>
      </c>
      <c r="D7533" s="7">
        <v>7.65</v>
      </c>
      <c r="E7533" t="s">
        <v>18</v>
      </c>
    </row>
    <row r="7534" spans="1:5" x14ac:dyDescent="0.25">
      <c r="A7534" t="str">
        <f>HYPERLINK("https://www.773grp.com/globalSearch/LP38853MR-ADJ/page-1", "LP38853MR-ADJ")</f>
        <v>LP38853MR-ADJ</v>
      </c>
      <c r="B7534" s="3" t="str">
        <f>HYPERLINK("https://www.773grp.com/manufacturer/national-semiconductor?pageNo=29", "National Semiconductor")</f>
        <v>National Semiconductor</v>
      </c>
      <c r="C7534" s="6">
        <v>5</v>
      </c>
      <c r="D7534" s="7">
        <v>7.65</v>
      </c>
    </row>
    <row r="7535" spans="1:5" x14ac:dyDescent="0.25">
      <c r="A7535" t="str">
        <f>HYPERLINK("https://www.773grp.com/globalSearch/LP38853S-ADJ/page-1", "LP38853S-ADJ")</f>
        <v>LP38853S-ADJ</v>
      </c>
      <c r="B7535" s="3" t="str">
        <f>HYPERLINK("https://www.773grp.com/manufacturer/national-semiconductor?pageNo=30", "National Semiconductor")</f>
        <v>National Semiconductor</v>
      </c>
      <c r="C7535" s="6">
        <v>94</v>
      </c>
      <c r="D7535" s="7">
        <v>7.65</v>
      </c>
    </row>
    <row r="7536" spans="1:5" x14ac:dyDescent="0.25">
      <c r="A7536" t="str">
        <f>HYPERLINK("https://www.773grp.com/globalSearch/LP3966ES-3.3/page-1", "LP3966ES-3.3")</f>
        <v>LP3966ES-3.3</v>
      </c>
      <c r="B7536" s="3" t="str">
        <f>HYPERLINK("https://www.773grp.com/manufacturer/national-semiconductor?pageNo=31", "National Semiconductor")</f>
        <v>National Semiconductor</v>
      </c>
      <c r="C7536" s="6">
        <v>297</v>
      </c>
      <c r="D7536" s="7">
        <v>7.65</v>
      </c>
    </row>
    <row r="7537" spans="1:5" x14ac:dyDescent="0.25">
      <c r="A7537" t="str">
        <f>HYPERLINK("https://www.773grp.com/globalSearch/LP3966ES-ADJ/page-1", "LP3966ES-ADJ")</f>
        <v>LP3966ES-ADJ</v>
      </c>
      <c r="B7537" s="3" t="str">
        <f>HYPERLINK("https://www.773grp.com/manufacturer/national-semiconductor?pageNo=32", "National Semiconductor")</f>
        <v>National Semiconductor</v>
      </c>
      <c r="C7537" s="6">
        <v>180</v>
      </c>
      <c r="D7537" s="7">
        <v>7.65</v>
      </c>
      <c r="E7537" t="s">
        <v>25</v>
      </c>
    </row>
    <row r="7538" spans="1:5" x14ac:dyDescent="0.25">
      <c r="A7538" t="str">
        <f>HYPERLINK("https://www.773grp.com/globalSearch/74H01DC/page-1", "74H01DC")</f>
        <v>74H01DC</v>
      </c>
      <c r="B7538" s="3" t="str">
        <f>HYPERLINK("https://www.773grp.com/manufacturer/national-semiconductor?pageNo=33", "National Semiconductor")</f>
        <v>National Semiconductor</v>
      </c>
      <c r="C7538" s="6">
        <v>2033</v>
      </c>
      <c r="D7538" s="7">
        <v>7.68</v>
      </c>
    </row>
    <row r="7539" spans="1:5" x14ac:dyDescent="0.25">
      <c r="A7539" t="str">
        <f>HYPERLINK("https://www.773grp.com/globalSearch/74H05PC/page-1", "74H05PC")</f>
        <v>74H05PC</v>
      </c>
      <c r="B7539" s="3" t="str">
        <f>HYPERLINK("https://www.773grp.com/manufacturer/national-semiconductor?pageNo=34", "National Semiconductor")</f>
        <v>National Semiconductor</v>
      </c>
      <c r="C7539" s="6">
        <v>3846</v>
      </c>
      <c r="D7539" s="7">
        <v>7.68</v>
      </c>
    </row>
    <row r="7540" spans="1:5" x14ac:dyDescent="0.25">
      <c r="A7540" t="str">
        <f>HYPERLINK("https://www.773grp.com/globalSearch/74H11PC/page-1", "74H11PC")</f>
        <v>74H11PC</v>
      </c>
      <c r="B7540" s="3" t="str">
        <f>HYPERLINK("https://www.773grp.com/manufacturer/national-semiconductor?pageNo=35", "National Semiconductor")</f>
        <v>National Semiconductor</v>
      </c>
      <c r="C7540" s="6">
        <v>4939</v>
      </c>
      <c r="D7540" s="7">
        <v>7.68</v>
      </c>
      <c r="E7540" t="s">
        <v>31</v>
      </c>
    </row>
    <row r="7541" spans="1:5" x14ac:dyDescent="0.25">
      <c r="A7541" t="str">
        <f>HYPERLINK("https://www.773grp.com/globalSearch/DM54S20W-883/page-1", "DM54S20W-883")</f>
        <v>DM54S20W-883</v>
      </c>
      <c r="B7541" s="3" t="str">
        <f>HYPERLINK("https://www.773grp.com/manufacturer/national-semiconductor?pageNo=36", "National Semiconductor")</f>
        <v>National Semiconductor</v>
      </c>
      <c r="C7541" s="6">
        <v>1586</v>
      </c>
      <c r="D7541" s="7">
        <v>7.68</v>
      </c>
      <c r="E7541" t="s">
        <v>31</v>
      </c>
    </row>
    <row r="7542" spans="1:5" x14ac:dyDescent="0.25">
      <c r="A7542" t="str">
        <f>HYPERLINK("https://www.773grp.com/globalSearch/LMX2335TMX/page-1", "LMX2335TMX")</f>
        <v>LMX2335TMX</v>
      </c>
      <c r="B7542" s="3" t="str">
        <f>HYPERLINK("https://www.773grp.com/manufacturer/national-semiconductor?pageNo=37", "National Semiconductor")</f>
        <v>National Semiconductor</v>
      </c>
      <c r="C7542" s="6">
        <v>19538</v>
      </c>
      <c r="D7542" s="7">
        <v>7.68</v>
      </c>
      <c r="E7542" t="s">
        <v>38</v>
      </c>
    </row>
    <row r="7543" spans="1:5" x14ac:dyDescent="0.25">
      <c r="A7543" t="str">
        <f>HYPERLINK("https://www.773grp.com/globalSearch/LPC660IN/page-1", "LPC660IN")</f>
        <v>LPC660IN</v>
      </c>
      <c r="B7543" s="3" t="str">
        <f>HYPERLINK("https://www.773grp.com/manufacturer/national-semiconductor?pageNo=38", "National Semiconductor")</f>
        <v>National Semiconductor</v>
      </c>
      <c r="C7543" s="6">
        <v>3001</v>
      </c>
      <c r="D7543" s="7">
        <v>7.68</v>
      </c>
      <c r="E7543" t="s">
        <v>13</v>
      </c>
    </row>
    <row r="7544" spans="1:5" x14ac:dyDescent="0.25">
      <c r="A7544" t="str">
        <f>HYPERLINK("https://www.773grp.com/globalSearch/54ALS163BJ-883/page-1", "54ALS163BJ-883")</f>
        <v>54ALS163BJ-883</v>
      </c>
      <c r="B7544" s="3" t="str">
        <f>HYPERLINK("https://www.773grp.com/manufacturer/national-semiconductor?pageNo=39", "National Semiconductor")</f>
        <v>National Semiconductor</v>
      </c>
      <c r="C7544" s="6">
        <v>56</v>
      </c>
      <c r="D7544" s="7">
        <v>7.71</v>
      </c>
    </row>
    <row r="7545" spans="1:5" x14ac:dyDescent="0.25">
      <c r="A7545" t="str">
        <f>HYPERLINK("https://www.773grp.com/globalSearch/ADC10738CIWM-NOPB/page-1", "ADC10738CIWM-NOPB")</f>
        <v>ADC10738CIWM-NOPB</v>
      </c>
      <c r="B7545" s="3" t="str">
        <f>HYPERLINK("https://www.773grp.com/manufacturer/national-semiconductor?pageNo=40", "National Semiconductor")</f>
        <v>National Semiconductor</v>
      </c>
      <c r="C7545" s="6">
        <v>553</v>
      </c>
      <c r="D7545" s="7">
        <v>7.71</v>
      </c>
      <c r="E7545" t="s">
        <v>39</v>
      </c>
    </row>
    <row r="7546" spans="1:5" x14ac:dyDescent="0.25">
      <c r="A7546" t="str">
        <f>HYPERLINK("https://www.773grp.com/globalSearch/ADC128S102CIMTX/page-1", "ADC128S102CIMTX")</f>
        <v>ADC128S102CIMTX</v>
      </c>
      <c r="B7546" s="3" t="str">
        <f>HYPERLINK("https://www.773grp.com/manufacturer/national-semiconductor?pageNo=41", "National Semiconductor")</f>
        <v>National Semiconductor</v>
      </c>
      <c r="C7546" s="6">
        <v>25000</v>
      </c>
      <c r="D7546" s="7">
        <v>7.71</v>
      </c>
      <c r="E7546" t="s">
        <v>39</v>
      </c>
    </row>
    <row r="7547" spans="1:5" x14ac:dyDescent="0.25">
      <c r="A7547" t="str">
        <f>HYPERLINK("https://www.773grp.com/globalSearch/DM54LS156J-883/page-1", "DM54LS156J-883")</f>
        <v>DM54LS156J-883</v>
      </c>
      <c r="B7547" s="3" t="str">
        <f>HYPERLINK("https://www.773grp.com/manufacturer/national-semiconductor?pageNo=42", "National Semiconductor")</f>
        <v>National Semiconductor</v>
      </c>
      <c r="C7547" s="6">
        <v>169</v>
      </c>
      <c r="D7547" s="7">
        <v>7.71</v>
      </c>
      <c r="E7547" t="s">
        <v>36</v>
      </c>
    </row>
    <row r="7548" spans="1:5" x14ac:dyDescent="0.25">
      <c r="A7548" t="str">
        <f>HYPERLINK("https://www.773grp.com/globalSearch/ADC10738CIWM-NOPB/page-1", "ADC10738CIWM-NOPB")</f>
        <v>ADC10738CIWM-NOPB</v>
      </c>
      <c r="B7548" s="3" t="str">
        <f>HYPERLINK("https://www.773grp.com/manufacturer/national-semiconductor?pageNo=43", "National Semiconductor")</f>
        <v>National Semiconductor</v>
      </c>
      <c r="C7548" s="6">
        <v>30</v>
      </c>
      <c r="D7548" s="7">
        <v>7.71</v>
      </c>
      <c r="E7548" t="s">
        <v>39</v>
      </c>
    </row>
    <row r="7549" spans="1:5" x14ac:dyDescent="0.25">
      <c r="A7549" t="str">
        <f>HYPERLINK("https://www.773grp.com/globalSearch/ADC128S102CIMTX-NOPB/page-1", "ADC128S102CIMTX-NOPB")</f>
        <v>ADC128S102CIMTX-NOPB</v>
      </c>
      <c r="B7549" s="3" t="str">
        <f>HYPERLINK("https://www.773grp.com/manufacturer/national-semiconductor?pageNo=44", "National Semiconductor")</f>
        <v>National Semiconductor</v>
      </c>
      <c r="C7549" s="6">
        <v>2500</v>
      </c>
      <c r="D7549" s="7">
        <v>7.71</v>
      </c>
    </row>
    <row r="7550" spans="1:5" x14ac:dyDescent="0.25">
      <c r="A7550" t="str">
        <f>HYPERLINK("https://www.773grp.com/globalSearch/LM3S315-IQN25-C2/page-1", "LM3S315-IQN25-C2")</f>
        <v>LM3S315-IQN25-C2</v>
      </c>
      <c r="B7550" s="3" t="str">
        <f>HYPERLINK("https://www.773grp.com/manufacturer/national-semiconductor?pageNo=45", "National Semiconductor")</f>
        <v>National Semiconductor</v>
      </c>
      <c r="C7550" s="6">
        <v>13</v>
      </c>
      <c r="D7550" s="7">
        <v>7.71</v>
      </c>
    </row>
    <row r="7551" spans="1:5" x14ac:dyDescent="0.25">
      <c r="A7551" t="str">
        <f>HYPERLINK("https://www.773grp.com/globalSearch/LM48901RL-NOPB/page-1", "LM48901RL-NOPB")</f>
        <v>LM48901RL-NOPB</v>
      </c>
      <c r="B7551" s="3" t="str">
        <f>HYPERLINK("https://www.773grp.com/manufacturer/national-semiconductor?pageNo=46", "National Semiconductor")</f>
        <v>National Semiconductor</v>
      </c>
      <c r="C7551" s="6">
        <v>750</v>
      </c>
      <c r="D7551" s="7">
        <v>7.71</v>
      </c>
    </row>
    <row r="7552" spans="1:5" x14ac:dyDescent="0.25">
      <c r="A7552" t="str">
        <f>HYPERLINK("https://www.773grp.com/globalSearch/LM48901SQE-NOPB/page-1", "LM48901SQE-NOPB")</f>
        <v>LM48901SQE-NOPB</v>
      </c>
      <c r="B7552" s="3" t="str">
        <f>HYPERLINK("https://www.773grp.com/manufacturer/national-semiconductor?pageNo=47", "National Semiconductor")</f>
        <v>National Semiconductor</v>
      </c>
      <c r="C7552" s="6">
        <v>250</v>
      </c>
      <c r="D7552" s="7">
        <v>7.71</v>
      </c>
    </row>
    <row r="7553" spans="1:5" x14ac:dyDescent="0.25">
      <c r="A7553" t="str">
        <f>HYPERLINK("https://www.773grp.com/globalSearch/LMX2487SQ-NOPB/page-1", "LMX2487SQ-NOPB")</f>
        <v>LMX2487SQ-NOPB</v>
      </c>
      <c r="B7553" s="3" t="str">
        <f>HYPERLINK("https://www.773grp.com/manufacturer/national-semiconductor?pageNo=48", "National Semiconductor")</f>
        <v>National Semiconductor</v>
      </c>
      <c r="C7553" s="6">
        <v>4533</v>
      </c>
      <c r="D7553" s="7">
        <v>7.71</v>
      </c>
      <c r="E7553" t="s">
        <v>38</v>
      </c>
    </row>
    <row r="7554" spans="1:5" x14ac:dyDescent="0.25">
      <c r="A7554" t="str">
        <f>HYPERLINK("https://www.773grp.com/globalSearch/OPA227P/page-1", "OPA227P")</f>
        <v>OPA227P</v>
      </c>
      <c r="B7554" s="3" t="str">
        <f>HYPERLINK("https://www.773grp.com/manufacturer/national-semiconductor?pageNo=49", "National Semiconductor")</f>
        <v>National Semiconductor</v>
      </c>
      <c r="C7554" s="6">
        <v>1000</v>
      </c>
      <c r="D7554" s="7">
        <v>7.71</v>
      </c>
    </row>
    <row r="7555" spans="1:5" x14ac:dyDescent="0.25">
      <c r="A7555" t="str">
        <f>HYPERLINK("https://www.773grp.com/globalSearch/74H08PC/page-1", "74H08PC")</f>
        <v>74H08PC</v>
      </c>
      <c r="B7555" s="3" t="str">
        <f>HYPERLINK("https://www.773grp.com/manufacturer/national-semiconductor?pageNo=50", "National Semiconductor")</f>
        <v>National Semiconductor</v>
      </c>
      <c r="C7555" s="6">
        <v>9076</v>
      </c>
      <c r="D7555" s="7">
        <v>7.73</v>
      </c>
    </row>
    <row r="7556" spans="1:5" x14ac:dyDescent="0.25">
      <c r="A7556" t="str">
        <f>HYPERLINK("https://www.773grp.com/globalSearch/ADC141S625CIMM-NOPB/page-1", "ADC141S625CIMM-NOPB")</f>
        <v>ADC141S625CIMM-NOPB</v>
      </c>
      <c r="B7556" s="3" t="str">
        <f>HYPERLINK("https://www.773grp.com/manufacturer/national-semiconductor?pageNo=51", "National Semiconductor")</f>
        <v>National Semiconductor</v>
      </c>
      <c r="C7556" s="6">
        <v>2000</v>
      </c>
      <c r="D7556" s="7">
        <v>7.73</v>
      </c>
    </row>
    <row r="7557" spans="1:5" x14ac:dyDescent="0.25">
      <c r="A7557" t="str">
        <f>HYPERLINK("https://www.773grp.com/globalSearch/ADC141S626CIMM-NOPB/page-1", "ADC141S626CIMM-NOPB")</f>
        <v>ADC141S626CIMM-NOPB</v>
      </c>
      <c r="B7557" s="3" t="str">
        <f>HYPERLINK("https://www.773grp.com/manufacturer/national-semiconductor?pageNo=52", "National Semiconductor")</f>
        <v>National Semiconductor</v>
      </c>
      <c r="C7557" s="6">
        <v>1934</v>
      </c>
      <c r="D7557" s="7">
        <v>7.73</v>
      </c>
    </row>
    <row r="7558" spans="1:5" x14ac:dyDescent="0.25">
      <c r="A7558" t="str">
        <f>HYPERLINK("https://www.773grp.com/globalSearch/DM5410J-883C/page-1", "DM5410J-883C")</f>
        <v>DM5410J-883C</v>
      </c>
      <c r="B7558" s="3" t="str">
        <f>HYPERLINK("https://www.773grp.com/manufacturer/national-semiconductor?pageNo=53", "National Semiconductor")</f>
        <v>National Semiconductor</v>
      </c>
      <c r="C7558" s="6">
        <v>10</v>
      </c>
      <c r="D7558" s="7">
        <v>7.73</v>
      </c>
    </row>
    <row r="7559" spans="1:5" x14ac:dyDescent="0.25">
      <c r="A7559" t="str">
        <f>HYPERLINK("https://www.773grp.com/globalSearch/DM54LS04J-883C/page-1", "DM54LS04J-883C")</f>
        <v>DM54LS04J-883C</v>
      </c>
      <c r="B7559" s="3" t="str">
        <f>HYPERLINK("https://www.773grp.com/manufacturer/national-semiconductor?pageNo=54", "National Semiconductor")</f>
        <v>National Semiconductor</v>
      </c>
      <c r="C7559" s="6">
        <v>164</v>
      </c>
      <c r="D7559" s="7">
        <v>7.73</v>
      </c>
    </row>
    <row r="7560" spans="1:5" x14ac:dyDescent="0.25">
      <c r="A7560" t="str">
        <f>HYPERLINK("https://www.773grp.com/globalSearch/DM7000J-883C/page-1", "DM7000J-883C")</f>
        <v>DM7000J-883C</v>
      </c>
      <c r="B7560" s="3" t="str">
        <f>HYPERLINK("https://www.773grp.com/manufacturer/national-semiconductor?pageNo=55", "National Semiconductor")</f>
        <v>National Semiconductor</v>
      </c>
      <c r="C7560" s="6">
        <v>143</v>
      </c>
      <c r="D7560" s="7">
        <v>7.73</v>
      </c>
    </row>
    <row r="7561" spans="1:5" x14ac:dyDescent="0.25">
      <c r="A7561" t="str">
        <f>HYPERLINK("https://www.773grp.com/globalSearch/DM7038J-883C/page-1", "DM7038J-883C")</f>
        <v>DM7038J-883C</v>
      </c>
      <c r="B7561" s="3" t="str">
        <f>HYPERLINK("https://www.773grp.com/manufacturer/national-semiconductor?pageNo=56", "National Semiconductor")</f>
        <v>National Semiconductor</v>
      </c>
      <c r="C7561" s="6">
        <v>92</v>
      </c>
      <c r="D7561" s="7">
        <v>7.73</v>
      </c>
    </row>
    <row r="7562" spans="1:5" x14ac:dyDescent="0.25">
      <c r="A7562" t="str">
        <f>HYPERLINK("https://www.773grp.com/globalSearch/DS08MB200TSQ/page-1", "DS08MB200TSQ")</f>
        <v>DS08MB200TSQ</v>
      </c>
      <c r="B7562" s="3" t="str">
        <f>HYPERLINK("https://www.773grp.com/manufacturer/national-semiconductor?pageNo=57", "National Semiconductor")</f>
        <v>National Semiconductor</v>
      </c>
      <c r="C7562" s="6">
        <v>235</v>
      </c>
      <c r="D7562" s="7">
        <v>7.73</v>
      </c>
      <c r="E7562" t="s">
        <v>21</v>
      </c>
    </row>
    <row r="7563" spans="1:5" x14ac:dyDescent="0.25">
      <c r="A7563" t="str">
        <f>HYPERLINK("https://www.773grp.com/globalSearch/FPD95220DSCG-NOPB/page-1", "FPD95220DSCG-NOPB")</f>
        <v>FPD95220DSCG-NOPB</v>
      </c>
      <c r="B7563" s="3" t="str">
        <f>HYPERLINK("https://www.773grp.com/manufacturer/national-semiconductor?pageNo=58", "National Semiconductor")</f>
        <v>National Semiconductor</v>
      </c>
      <c r="C7563" s="6">
        <v>3300</v>
      </c>
      <c r="D7563" s="7">
        <v>7.73</v>
      </c>
    </row>
    <row r="7564" spans="1:5" x14ac:dyDescent="0.25">
      <c r="A7564" t="str">
        <f>HYPERLINK("https://www.773grp.com/globalSearch/GAL22V10-25LVC/page-1", "GAL22V10-25LVC")</f>
        <v>GAL22V10-25LVC</v>
      </c>
      <c r="B7564" s="3" t="str">
        <f>HYPERLINK("https://www.773grp.com/manufacturer/national-semiconductor?pageNo=59", "National Semiconductor")</f>
        <v>National Semiconductor</v>
      </c>
      <c r="C7564" s="6">
        <v>68</v>
      </c>
      <c r="D7564" s="7">
        <v>7.73</v>
      </c>
      <c r="E7564" t="s">
        <v>51</v>
      </c>
    </row>
    <row r="7565" spans="1:5" x14ac:dyDescent="0.25">
      <c r="A7565" t="str">
        <f>HYPERLINK("https://www.773grp.com/globalSearch/LM3000SQ-NOPB/page-1", "LM3000SQ-NOPB")</f>
        <v>LM3000SQ-NOPB</v>
      </c>
      <c r="B7565" s="3" t="str">
        <f>HYPERLINK("https://www.773grp.com/manufacturer/national-semiconductor?pageNo=60", "National Semiconductor")</f>
        <v>National Semiconductor</v>
      </c>
      <c r="C7565" s="6">
        <v>2000</v>
      </c>
      <c r="D7565" s="7">
        <v>7.73</v>
      </c>
    </row>
    <row r="7566" spans="1:5" x14ac:dyDescent="0.25">
      <c r="A7566" t="str">
        <f>HYPERLINK("https://www.773grp.com/globalSearch/LM3754SQ-NOPB/page-1", "LM3754SQ-NOPB")</f>
        <v>LM3754SQ-NOPB</v>
      </c>
      <c r="B7566" s="3" t="str">
        <f>HYPERLINK("https://www.773grp.com/manufacturer/national-semiconductor?pageNo=61", "National Semiconductor")</f>
        <v>National Semiconductor</v>
      </c>
      <c r="C7566" s="6">
        <v>2850</v>
      </c>
      <c r="D7566" s="7">
        <v>7.73</v>
      </c>
    </row>
    <row r="7567" spans="1:5" x14ac:dyDescent="0.25">
      <c r="A7567" t="str">
        <f>HYPERLINK("https://www.773grp.com/globalSearch/LP3882ESX-1.5/page-1", "LP3882ESX-1.5")</f>
        <v>LP3882ESX-1.5</v>
      </c>
      <c r="B7567" s="3" t="str">
        <f>HYPERLINK("https://www.773grp.com/manufacturer/national-semiconductor?pageNo=62", "National Semiconductor")</f>
        <v>National Semiconductor</v>
      </c>
      <c r="C7567" s="6">
        <v>500</v>
      </c>
      <c r="D7567" s="7">
        <v>7.73</v>
      </c>
      <c r="E7567" t="s">
        <v>19</v>
      </c>
    </row>
    <row r="7568" spans="1:5" x14ac:dyDescent="0.25">
      <c r="A7568" t="str">
        <f>HYPERLINK("https://www.773grp.com/globalSearch/MM4609AJ-883C/page-1", "MM4609AJ-883C")</f>
        <v>MM4609AJ-883C</v>
      </c>
      <c r="B7568" s="3" t="str">
        <f>HYPERLINK("https://www.773grp.com/manufacturer/national-semiconductor?pageNo=63", "National Semiconductor")</f>
        <v>National Semiconductor</v>
      </c>
      <c r="C7568" s="6">
        <v>5021</v>
      </c>
      <c r="D7568" s="7">
        <v>7.73</v>
      </c>
    </row>
    <row r="7569" spans="1:5" x14ac:dyDescent="0.25">
      <c r="A7569" t="str">
        <f>HYPERLINK("https://www.773grp.com/globalSearch/MM4609AW-883C/page-1", "MM4609AW-883C")</f>
        <v>MM4609AW-883C</v>
      </c>
      <c r="B7569" s="3" t="str">
        <f>HYPERLINK("https://www.773grp.com/manufacturer/national-semiconductor?pageNo=64", "National Semiconductor")</f>
        <v>National Semiconductor</v>
      </c>
      <c r="C7569" s="6">
        <v>18</v>
      </c>
      <c r="D7569" s="7">
        <v>7.73</v>
      </c>
    </row>
    <row r="7570" spans="1:5" x14ac:dyDescent="0.25">
      <c r="A7570" t="str">
        <f>HYPERLINK("https://www.773grp.com/globalSearch/MM4673BJ-883C/page-1", "MM4673BJ-883C")</f>
        <v>MM4673BJ-883C</v>
      </c>
      <c r="B7570" s="3" t="str">
        <f>HYPERLINK("https://www.773grp.com/manufacturer/national-semiconductor?pageNo=65", "National Semiconductor")</f>
        <v>National Semiconductor</v>
      </c>
      <c r="C7570" s="6">
        <v>2371</v>
      </c>
      <c r="D7570" s="7">
        <v>7.73</v>
      </c>
    </row>
    <row r="7571" spans="1:5" x14ac:dyDescent="0.25">
      <c r="A7571" t="str">
        <f>HYPERLINK("https://www.773grp.com/globalSearch/MM4675BJ-883C/page-1", "MM4675BJ-883C")</f>
        <v>MM4675BJ-883C</v>
      </c>
      <c r="B7571" s="3" t="str">
        <f>HYPERLINK("https://www.773grp.com/manufacturer/national-semiconductor?pageNo=66", "National Semiconductor")</f>
        <v>National Semiconductor</v>
      </c>
      <c r="C7571" s="6">
        <v>448</v>
      </c>
      <c r="D7571" s="7">
        <v>7.73</v>
      </c>
    </row>
    <row r="7572" spans="1:5" x14ac:dyDescent="0.25">
      <c r="A7572" t="str">
        <f>HYPERLINK("https://www.773grp.com/globalSearch/ADC141S626CIMM-NOPB/page-1", "ADC141S626CIMM-NOPB")</f>
        <v>ADC141S626CIMM-NOPB</v>
      </c>
      <c r="B7572" s="3" t="str">
        <f>HYPERLINK("https://www.773grp.com/manufacturer/national-semiconductor?pageNo=67", "National Semiconductor")</f>
        <v>National Semiconductor</v>
      </c>
      <c r="C7572" s="6">
        <v>6968</v>
      </c>
      <c r="D7572" s="7">
        <v>7.73</v>
      </c>
    </row>
    <row r="7573" spans="1:5" x14ac:dyDescent="0.25">
      <c r="A7573" t="str">
        <f>HYPERLINK("https://www.773grp.com/globalSearch/ADC141S626CIMMX-NOPB/page-1", "ADC141S626CIMMX-NOPB")</f>
        <v>ADC141S626CIMMX-NOPB</v>
      </c>
      <c r="B7573" s="3" t="str">
        <f>HYPERLINK("https://www.773grp.com/manufacturer/national-semiconductor?pageNo=68", "National Semiconductor")</f>
        <v>National Semiconductor</v>
      </c>
      <c r="C7573" s="6">
        <v>3500</v>
      </c>
      <c r="D7573" s="7">
        <v>7.73</v>
      </c>
    </row>
    <row r="7574" spans="1:5" x14ac:dyDescent="0.25">
      <c r="A7574" t="str">
        <f>HYPERLINK("https://www.773grp.com/globalSearch/LM3000SQ-NOPB/page-1", "LM3000SQ-NOPB")</f>
        <v>LM3000SQ-NOPB</v>
      </c>
      <c r="B7574" s="3" t="str">
        <f>HYPERLINK("https://www.773grp.com/manufacturer/national-semiconductor?pageNo=69", "National Semiconductor")</f>
        <v>National Semiconductor</v>
      </c>
      <c r="C7574" s="6">
        <v>2474</v>
      </c>
      <c r="D7574" s="7">
        <v>7.73</v>
      </c>
    </row>
    <row r="7575" spans="1:5" x14ac:dyDescent="0.25">
      <c r="A7575" t="str">
        <f>HYPERLINK("https://www.773grp.com/globalSearch/ADC0809CCVX-NOPB/page-1", "ADC0809CCVX-NOPB")</f>
        <v>ADC0809CCVX-NOPB</v>
      </c>
      <c r="B7575" s="3" t="str">
        <f>HYPERLINK("https://www.773grp.com/manufacturer/national-semiconductor?pageNo=70", "National Semiconductor")</f>
        <v>National Semiconductor</v>
      </c>
      <c r="C7575" s="6">
        <v>720</v>
      </c>
      <c r="D7575" s="7">
        <v>7.76</v>
      </c>
      <c r="E7575" t="s">
        <v>39</v>
      </c>
    </row>
    <row r="7576" spans="1:5" x14ac:dyDescent="0.25">
      <c r="A7576" t="str">
        <f>HYPERLINK("https://www.773grp.com/globalSearch/ADC088S022CIMT/page-1", "ADC088S022CIMT")</f>
        <v>ADC088S022CIMT</v>
      </c>
      <c r="B7576" s="3" t="str">
        <f>HYPERLINK("https://www.773grp.com/manufacturer/national-semiconductor?pageNo=71", "National Semiconductor")</f>
        <v>National Semiconductor</v>
      </c>
      <c r="C7576" s="6">
        <v>1656</v>
      </c>
      <c r="D7576" s="7">
        <v>7.76</v>
      </c>
      <c r="E7576" t="s">
        <v>39</v>
      </c>
    </row>
    <row r="7577" spans="1:5" x14ac:dyDescent="0.25">
      <c r="A7577" t="str">
        <f>HYPERLINK("https://www.773grp.com/globalSearch/ADC108S052CIMT-NOPB/page-1", "ADC108S052CIMT-NOPB")</f>
        <v>ADC108S052CIMT-NOPB</v>
      </c>
      <c r="B7577" s="3" t="str">
        <f>HYPERLINK("https://www.773grp.com/manufacturer/national-semiconductor?pageNo=72", "National Semiconductor")</f>
        <v>National Semiconductor</v>
      </c>
      <c r="C7577" s="6">
        <v>190</v>
      </c>
      <c r="D7577" s="7">
        <v>7.76</v>
      </c>
    </row>
    <row r="7578" spans="1:5" x14ac:dyDescent="0.25">
      <c r="A7578" t="str">
        <f>HYPERLINK("https://www.773grp.com/globalSearch/LM22679TJE-5.0-NOPB/page-1", "LM22679TJE-5.0-NOPB")</f>
        <v>LM22679TJE-5.0-NOPB</v>
      </c>
      <c r="B7578" s="3" t="str">
        <f>HYPERLINK("https://www.773grp.com/manufacturer/national-semiconductor?pageNo=73", "National Semiconductor")</f>
        <v>National Semiconductor</v>
      </c>
      <c r="C7578" s="6">
        <v>1150</v>
      </c>
      <c r="D7578" s="7">
        <v>7.76</v>
      </c>
    </row>
    <row r="7579" spans="1:5" x14ac:dyDescent="0.25">
      <c r="A7579" t="str">
        <f>HYPERLINK("https://www.773grp.com/globalSearch/LM25576QMH-NOPB/page-1", "LM25576QMH-NOPB")</f>
        <v>LM25576QMH-NOPB</v>
      </c>
      <c r="B7579" s="3" t="str">
        <f>HYPERLINK("https://www.773grp.com/manufacturer/national-semiconductor?pageNo=74", "National Semiconductor")</f>
        <v>National Semiconductor</v>
      </c>
      <c r="C7579" s="6">
        <v>88</v>
      </c>
      <c r="D7579" s="7">
        <v>7.76</v>
      </c>
    </row>
    <row r="7580" spans="1:5" x14ac:dyDescent="0.25">
      <c r="A7580" t="str">
        <f>HYPERLINK("https://www.773grp.com/globalSearch/LM2576HVS-12-NOPB/page-1", "LM2576HVS-12-NOPB")</f>
        <v>LM2576HVS-12-NOPB</v>
      </c>
      <c r="B7580" s="3" t="str">
        <f>HYPERLINK("https://www.773grp.com/manufacturer/national-semiconductor?pageNo=75", "National Semiconductor")</f>
        <v>National Semiconductor</v>
      </c>
      <c r="C7580" s="6">
        <v>185</v>
      </c>
      <c r="D7580" s="7">
        <v>7.76</v>
      </c>
      <c r="E7580" t="s">
        <v>7</v>
      </c>
    </row>
    <row r="7581" spans="1:5" x14ac:dyDescent="0.25">
      <c r="A7581" t="str">
        <f>HYPERLINK("https://www.773grp.com/globalSearch/LM2576HVS-3.3-NOPB/page-1", "LM2576HVS-3.3-NOPB")</f>
        <v>LM2576HVS-3.3-NOPB</v>
      </c>
      <c r="B7581" s="3" t="str">
        <f>HYPERLINK("https://www.773grp.com/manufacturer/national-semiconductor?pageNo=76", "National Semiconductor")</f>
        <v>National Semiconductor</v>
      </c>
      <c r="C7581" s="6">
        <v>6480</v>
      </c>
      <c r="D7581" s="7">
        <v>7.76</v>
      </c>
      <c r="E7581" t="s">
        <v>7</v>
      </c>
    </row>
    <row r="7582" spans="1:5" x14ac:dyDescent="0.25">
      <c r="A7582" t="str">
        <f>HYPERLINK("https://www.773grp.com/globalSearch/LM2576HVS-5.0-NOPB/page-1", "LM2576HVS-5.0-NOPB")</f>
        <v>LM2576HVS-5.0-NOPB</v>
      </c>
      <c r="B7582" s="3" t="str">
        <f>HYPERLINK("https://www.773grp.com/manufacturer/national-semiconductor?pageNo=77", "National Semiconductor")</f>
        <v>National Semiconductor</v>
      </c>
      <c r="C7582" s="6">
        <v>2815</v>
      </c>
      <c r="D7582" s="7">
        <v>7.76</v>
      </c>
      <c r="E7582" t="s">
        <v>7</v>
      </c>
    </row>
    <row r="7583" spans="1:5" x14ac:dyDescent="0.25">
      <c r="A7583" t="str">
        <f>HYPERLINK("https://www.773grp.com/globalSearch/LM2576HVS-ADJ-NOPB/page-1", "LM2576HVS-ADJ-NOPB")</f>
        <v>LM2576HVS-ADJ-NOPB</v>
      </c>
      <c r="B7583" s="3" t="str">
        <f>HYPERLINK("https://www.773grp.com/manufacturer/national-semiconductor?pageNo=78", "National Semiconductor")</f>
        <v>National Semiconductor</v>
      </c>
      <c r="C7583" s="6">
        <v>26</v>
      </c>
      <c r="D7583" s="7">
        <v>7.76</v>
      </c>
      <c r="E7583" t="s">
        <v>7</v>
      </c>
    </row>
    <row r="7584" spans="1:5" x14ac:dyDescent="0.25">
      <c r="A7584" t="str">
        <f>HYPERLINK("https://www.773grp.com/globalSearch/LM27214MTD/page-1", "LM27214MTD")</f>
        <v>LM27214MTD</v>
      </c>
      <c r="B7584" s="3" t="str">
        <f>HYPERLINK("https://www.773grp.com/manufacturer/national-semiconductor?pageNo=79", "National Semiconductor")</f>
        <v>National Semiconductor</v>
      </c>
      <c r="C7584" s="6">
        <v>25735</v>
      </c>
      <c r="D7584" s="7">
        <v>7.76</v>
      </c>
    </row>
    <row r="7585" spans="1:5" x14ac:dyDescent="0.25">
      <c r="A7585" t="str">
        <f>HYPERLINK("https://www.773grp.com/globalSearch/LM5575QMH-NOPB/page-1", "LM5575QMH-NOPB")</f>
        <v>LM5575QMH-NOPB</v>
      </c>
      <c r="B7585" s="3" t="str">
        <f>HYPERLINK("https://www.773grp.com/manufacturer/national-semiconductor?pageNo=80", "National Semiconductor")</f>
        <v>National Semiconductor</v>
      </c>
      <c r="C7585" s="6">
        <v>60</v>
      </c>
      <c r="D7585" s="7">
        <v>7.76</v>
      </c>
    </row>
    <row r="7586" spans="1:5" x14ac:dyDescent="0.25">
      <c r="A7586" t="str">
        <f>HYPERLINK("https://www.773grp.com/globalSearch/LM80CIMT-3/page-1", "LM80CIMT-3")</f>
        <v>LM80CIMT-3</v>
      </c>
      <c r="B7586" s="3" t="str">
        <f>HYPERLINK("https://www.773grp.com/manufacturer/national-semiconductor?pageNo=81", "National Semiconductor")</f>
        <v>National Semiconductor</v>
      </c>
      <c r="C7586" s="6">
        <v>303</v>
      </c>
      <c r="D7586" s="7">
        <v>7.76</v>
      </c>
      <c r="E7586" t="s">
        <v>30</v>
      </c>
    </row>
    <row r="7587" spans="1:5" x14ac:dyDescent="0.25">
      <c r="A7587" t="str">
        <f>HYPERLINK("https://www.773grp.com/globalSearch/LM80CIMTX-3/page-1", "LM80CIMTX-3")</f>
        <v>LM80CIMTX-3</v>
      </c>
      <c r="B7587" s="3" t="str">
        <f>HYPERLINK("https://www.773grp.com/manufacturer/national-semiconductor?pageNo=82", "National Semiconductor")</f>
        <v>National Semiconductor</v>
      </c>
      <c r="C7587" s="6">
        <v>1717</v>
      </c>
      <c r="D7587" s="7">
        <v>7.76</v>
      </c>
      <c r="E7587" t="s">
        <v>30</v>
      </c>
    </row>
    <row r="7588" spans="1:5" x14ac:dyDescent="0.25">
      <c r="A7588" t="str">
        <f>HYPERLINK("https://www.773grp.com/globalSearch/LM80CIMTX-5-NOPB/page-1", "LM80CIMTX-5-NOPB")</f>
        <v>LM80CIMTX-5-NOPB</v>
      </c>
      <c r="B7588" s="3" t="str">
        <f>HYPERLINK("https://www.773grp.com/manufacturer/national-semiconductor?pageNo=83", "National Semiconductor")</f>
        <v>National Semiconductor</v>
      </c>
      <c r="C7588" s="6">
        <v>1025</v>
      </c>
      <c r="D7588" s="7">
        <v>7.76</v>
      </c>
      <c r="E7588" t="s">
        <v>30</v>
      </c>
    </row>
    <row r="7589" spans="1:5" x14ac:dyDescent="0.25">
      <c r="A7589" t="str">
        <f>HYPERLINK("https://www.773grp.com/globalSearch/ADC0809CCVX-NOPB/page-1", "ADC0809CCVX-NOPB")</f>
        <v>ADC0809CCVX-NOPB</v>
      </c>
      <c r="B7589" s="3" t="str">
        <f>HYPERLINK("https://www.773grp.com/manufacturer/national-semiconductor?pageNo=84", "National Semiconductor")</f>
        <v>National Semiconductor</v>
      </c>
      <c r="C7589" s="6">
        <v>2250</v>
      </c>
      <c r="D7589" s="7">
        <v>7.76</v>
      </c>
      <c r="E7589" t="s">
        <v>39</v>
      </c>
    </row>
    <row r="7590" spans="1:5" x14ac:dyDescent="0.25">
      <c r="A7590" t="str">
        <f>HYPERLINK("https://www.773grp.com/globalSearch/ADC088S022CIMT/page-1", "ADC088S022CIMT")</f>
        <v>ADC088S022CIMT</v>
      </c>
      <c r="B7590" s="3" t="str">
        <f>HYPERLINK("https://www.773grp.com/manufacturer/national-semiconductor?pageNo=85", "National Semiconductor")</f>
        <v>National Semiconductor</v>
      </c>
      <c r="C7590" s="6">
        <v>11512</v>
      </c>
      <c r="D7590" s="7">
        <v>7.76</v>
      </c>
      <c r="E7590" t="s">
        <v>39</v>
      </c>
    </row>
    <row r="7591" spans="1:5" x14ac:dyDescent="0.25">
      <c r="A7591" t="str">
        <f>HYPERLINK("https://www.773grp.com/globalSearch/ADC108S052CIMT-NOPB/page-1", "ADC108S052CIMT-NOPB")</f>
        <v>ADC108S052CIMT-NOPB</v>
      </c>
      <c r="B7591" s="3" t="str">
        <f>HYPERLINK("https://www.773grp.com/manufacturer/national-semiconductor?pageNo=86", "National Semiconductor")</f>
        <v>National Semiconductor</v>
      </c>
      <c r="C7591" s="6">
        <v>1273</v>
      </c>
      <c r="D7591" s="7">
        <v>7.76</v>
      </c>
    </row>
    <row r="7592" spans="1:5" x14ac:dyDescent="0.25">
      <c r="A7592" t="str">
        <f>HYPERLINK("https://www.773grp.com/globalSearch/LM22679TJE-5.0-NOPB/page-1", "LM22679TJE-5.0-NOPB")</f>
        <v>LM22679TJE-5.0-NOPB</v>
      </c>
      <c r="B7592" s="3" t="str">
        <f>HYPERLINK("https://www.773grp.com/manufacturer/national-semiconductor?pageNo=87", "National Semiconductor")</f>
        <v>National Semiconductor</v>
      </c>
      <c r="C7592" s="6">
        <v>1623</v>
      </c>
      <c r="D7592" s="7">
        <v>7.76</v>
      </c>
    </row>
    <row r="7593" spans="1:5" x14ac:dyDescent="0.25">
      <c r="A7593" t="str">
        <f>HYPERLINK("https://www.773grp.com/globalSearch/LM22679TJE-ADJ-NOPB/page-1", "LM22679TJE-ADJ-NOPB")</f>
        <v>LM22679TJE-ADJ-NOPB</v>
      </c>
      <c r="B7593" s="3" t="str">
        <f>HYPERLINK("https://www.773grp.com/manufacturer/national-semiconductor?pageNo=88", "National Semiconductor")</f>
        <v>National Semiconductor</v>
      </c>
      <c r="C7593" s="6">
        <v>751</v>
      </c>
      <c r="D7593" s="7">
        <v>7.76</v>
      </c>
    </row>
    <row r="7594" spans="1:5" x14ac:dyDescent="0.25">
      <c r="A7594" t="str">
        <f>HYPERLINK("https://www.773grp.com/globalSearch/LM25576QMH-NOPB/page-1", "LM25576QMH-NOPB")</f>
        <v>LM25576QMH-NOPB</v>
      </c>
      <c r="B7594" s="3" t="str">
        <f>HYPERLINK("https://www.773grp.com/manufacturer/national-semiconductor?pageNo=89", "National Semiconductor")</f>
        <v>National Semiconductor</v>
      </c>
      <c r="C7594" s="6">
        <v>1689</v>
      </c>
      <c r="D7594" s="7">
        <v>7.76</v>
      </c>
    </row>
    <row r="7595" spans="1:5" x14ac:dyDescent="0.25">
      <c r="A7595" t="str">
        <f>HYPERLINK("https://www.773grp.com/globalSearch/LM2576HVS-12-NOPB/page-1", "LM2576HVS-12-NOPB")</f>
        <v>LM2576HVS-12-NOPB</v>
      </c>
      <c r="B7595" s="3" t="str">
        <f>HYPERLINK("https://www.773grp.com/manufacturer/national-semiconductor?pageNo=90", "National Semiconductor")</f>
        <v>National Semiconductor</v>
      </c>
      <c r="C7595" s="6">
        <v>41</v>
      </c>
      <c r="D7595" s="7">
        <v>7.76</v>
      </c>
      <c r="E7595" t="s">
        <v>7</v>
      </c>
    </row>
    <row r="7596" spans="1:5" x14ac:dyDescent="0.25">
      <c r="A7596" t="str">
        <f>HYPERLINK("https://www.773grp.com/globalSearch/LM2576HVS-5.0-NOPB/page-1", "LM2576HVS-5.0-NOPB")</f>
        <v>LM2576HVS-5.0-NOPB</v>
      </c>
      <c r="B7596" s="3" t="str">
        <f>HYPERLINK("https://www.773grp.com/manufacturer/national-semiconductor?pageNo=91", "National Semiconductor")</f>
        <v>National Semiconductor</v>
      </c>
      <c r="C7596" s="6">
        <v>811</v>
      </c>
      <c r="D7596" s="7">
        <v>7.76</v>
      </c>
      <c r="E7596" t="s">
        <v>7</v>
      </c>
    </row>
    <row r="7597" spans="1:5" x14ac:dyDescent="0.25">
      <c r="A7597" t="str">
        <f>HYPERLINK("https://www.773grp.com/globalSearch/LM2576HVS-ADJ-NOPB/page-1", "LM2576HVS-ADJ-NOPB")</f>
        <v>LM2576HVS-ADJ-NOPB</v>
      </c>
      <c r="B7597" s="3" t="str">
        <f>HYPERLINK("https://www.773grp.com/manufacturer/national-semiconductor?pageNo=92", "National Semiconductor")</f>
        <v>National Semiconductor</v>
      </c>
      <c r="C7597" s="6">
        <v>993</v>
      </c>
      <c r="D7597" s="7">
        <v>7.76</v>
      </c>
      <c r="E7597" t="s">
        <v>7</v>
      </c>
    </row>
    <row r="7598" spans="1:5" x14ac:dyDescent="0.25">
      <c r="A7598" t="str">
        <f>HYPERLINK("https://www.773grp.com/globalSearch/LM5575QMH-NOPB/page-1", "LM5575QMH-NOPB")</f>
        <v>LM5575QMH-NOPB</v>
      </c>
      <c r="B7598" s="3" t="str">
        <f>HYPERLINK("https://www.773grp.com/manufacturer/national-semiconductor?pageNo=93", "National Semiconductor")</f>
        <v>National Semiconductor</v>
      </c>
      <c r="C7598" s="6">
        <v>205</v>
      </c>
      <c r="D7598" s="7">
        <v>7.76</v>
      </c>
    </row>
    <row r="7599" spans="1:5" x14ac:dyDescent="0.25">
      <c r="A7599" t="str">
        <f>HYPERLINK("https://www.773grp.com/globalSearch/4023BDM/page-1", "4023BDM")</f>
        <v>4023BDM</v>
      </c>
      <c r="B7599" s="3" t="str">
        <f>HYPERLINK("https://www.773grp.com/manufacturer/national-semiconductor?pageNo=94", "National Semiconductor")</f>
        <v>National Semiconductor</v>
      </c>
      <c r="C7599" s="6">
        <v>1950</v>
      </c>
      <c r="D7599" s="7">
        <v>7.8</v>
      </c>
    </row>
    <row r="7600" spans="1:5" x14ac:dyDescent="0.25">
      <c r="A7600" t="str">
        <f>HYPERLINK("https://www.773grp.com/globalSearch/74H53DC/page-1", "74H53DC")</f>
        <v>74H53DC</v>
      </c>
      <c r="B7600" s="3" t="str">
        <f>HYPERLINK("https://www.773grp.com/manufacturer/national-semiconductor?pageNo=95", "National Semiconductor")</f>
        <v>National Semiconductor</v>
      </c>
      <c r="C7600" s="6">
        <v>1694</v>
      </c>
      <c r="D7600" s="7">
        <v>7.8</v>
      </c>
    </row>
    <row r="7601" spans="1:5" x14ac:dyDescent="0.25">
      <c r="A7601" t="str">
        <f>HYPERLINK("https://www.773grp.com/globalSearch/9309DM/page-1", "9309DM")</f>
        <v>9309DM</v>
      </c>
      <c r="B7601" s="3" t="str">
        <f>HYPERLINK("https://www.773grp.com/manufacturer/national-semiconductor?pageNo=96", "National Semiconductor")</f>
        <v>National Semiconductor</v>
      </c>
      <c r="C7601" s="6">
        <v>549</v>
      </c>
      <c r="D7601" s="7">
        <v>7.8</v>
      </c>
    </row>
    <row r="7602" spans="1:5" x14ac:dyDescent="0.25">
      <c r="A7602" t="str">
        <f>HYPERLINK("https://www.773grp.com/globalSearch/ADC10154CIWMX-NOPB/page-1", "ADC10154CIWMX-NOPB")</f>
        <v>ADC10154CIWMX-NOPB</v>
      </c>
      <c r="B7602" s="3" t="str">
        <f>HYPERLINK("https://www.773grp.com/manufacturer/national-semiconductor?pageNo=97", "National Semiconductor")</f>
        <v>National Semiconductor</v>
      </c>
      <c r="C7602" s="6">
        <v>1000</v>
      </c>
      <c r="D7602" s="7">
        <v>7.8</v>
      </c>
    </row>
    <row r="7603" spans="1:5" x14ac:dyDescent="0.25">
      <c r="A7603" t="str">
        <f>HYPERLINK("https://www.773grp.com/globalSearch/LM96080CIMT-NOPB/page-1", "LM96080CIMT-NOPB")</f>
        <v>LM96080CIMT-NOPB</v>
      </c>
      <c r="B7603" s="3" t="str">
        <f>HYPERLINK("https://www.773grp.com/manufacturer/national-semiconductor?pageNo=98", "National Semiconductor")</f>
        <v>National Semiconductor</v>
      </c>
      <c r="C7603" s="6">
        <v>212</v>
      </c>
      <c r="D7603" s="7">
        <v>7.8</v>
      </c>
      <c r="E7603" t="s">
        <v>30</v>
      </c>
    </row>
    <row r="7604" spans="1:5" x14ac:dyDescent="0.25">
      <c r="A7604" t="str">
        <f>HYPERLINK("https://www.773grp.com/globalSearch/LMC6084IM-NOPB/page-1", "LMC6084IM-NOPB")</f>
        <v>LMC6084IM-NOPB</v>
      </c>
      <c r="B7604" s="3" t="str">
        <f>HYPERLINK("https://www.773grp.com/manufacturer/national-semiconductor?pageNo=99", "National Semiconductor")</f>
        <v>National Semiconductor</v>
      </c>
      <c r="C7604" s="6">
        <v>228</v>
      </c>
      <c r="D7604" s="7">
        <v>7.8</v>
      </c>
      <c r="E7604" t="s">
        <v>13</v>
      </c>
    </row>
    <row r="7605" spans="1:5" x14ac:dyDescent="0.25">
      <c r="A7605" t="str">
        <f>HYPERLINK("https://www.773grp.com/globalSearch/LMC6464BIM/page-1", "LMC6464BIM")</f>
        <v>LMC6464BIM</v>
      </c>
      <c r="B7605" s="3" t="str">
        <f>HYPERLINK("https://www.773grp.com/manufacturer/national-semiconductor?pageNo=100", "National Semiconductor")</f>
        <v>National Semiconductor</v>
      </c>
      <c r="C7605" s="6">
        <v>154</v>
      </c>
      <c r="D7605" s="7">
        <v>7.8</v>
      </c>
      <c r="E7605" t="s">
        <v>13</v>
      </c>
    </row>
    <row r="7606" spans="1:5" x14ac:dyDescent="0.25">
      <c r="A7606" t="str">
        <f>HYPERLINK("https://www.773grp.com/globalSearch/LMF100CIWM-NOPB/page-1", "LMF100CIWM-NOPB")</f>
        <v>LMF100CIWM-NOPB</v>
      </c>
      <c r="B7606" s="3" t="str">
        <f>HYPERLINK("https://www.773grp.com/manufacturer/national-semiconductor?pageNo=101", "National Semiconductor")</f>
        <v>National Semiconductor</v>
      </c>
      <c r="C7606" s="6">
        <v>278</v>
      </c>
      <c r="D7606" s="7">
        <v>7.8</v>
      </c>
      <c r="E7606" t="s">
        <v>58</v>
      </c>
    </row>
    <row r="7607" spans="1:5" x14ac:dyDescent="0.25">
      <c r="A7607" t="str">
        <f>HYPERLINK("https://www.773grp.com/globalSearch/LM96080CIMT-NOPB/page-1", "LM96080CIMT-NOPB")</f>
        <v>LM96080CIMT-NOPB</v>
      </c>
      <c r="B7607" s="3" t="str">
        <f>HYPERLINK("https://www.773grp.com/manufacturer/national-semiconductor?pageNo=102", "National Semiconductor")</f>
        <v>National Semiconductor</v>
      </c>
      <c r="C7607" s="6">
        <v>253</v>
      </c>
      <c r="D7607" s="7">
        <v>7.8</v>
      </c>
      <c r="E7607" t="s">
        <v>30</v>
      </c>
    </row>
    <row r="7608" spans="1:5" x14ac:dyDescent="0.25">
      <c r="A7608" t="str">
        <f>HYPERLINK("https://www.773grp.com/globalSearch/LMC6084IM-NOPB/page-1", "LMC6084IM-NOPB")</f>
        <v>LMC6084IM-NOPB</v>
      </c>
      <c r="B7608" s="3" t="str">
        <f>HYPERLINK("https://www.773grp.com/manufacturer/national-semiconductor?pageNo=103", "National Semiconductor")</f>
        <v>National Semiconductor</v>
      </c>
      <c r="C7608" s="6">
        <v>243</v>
      </c>
      <c r="D7608" s="7">
        <v>7.8</v>
      </c>
      <c r="E7608" t="s">
        <v>13</v>
      </c>
    </row>
    <row r="7609" spans="1:5" x14ac:dyDescent="0.25">
      <c r="A7609" t="str">
        <f>HYPERLINK("https://www.773grp.com/globalSearch/LMC6464BIM/page-1", "LMC6464BIM")</f>
        <v>LMC6464BIM</v>
      </c>
      <c r="B7609" s="3" t="str">
        <f>HYPERLINK("https://www.773grp.com/manufacturer/national-semiconductor?pageNo=104", "National Semiconductor")</f>
        <v>National Semiconductor</v>
      </c>
      <c r="C7609" s="6">
        <v>1595</v>
      </c>
      <c r="D7609" s="7">
        <v>7.8</v>
      </c>
      <c r="E7609" t="s">
        <v>13</v>
      </c>
    </row>
    <row r="7610" spans="1:5" x14ac:dyDescent="0.25">
      <c r="A7610" t="str">
        <f>HYPERLINK("https://www.773grp.com/globalSearch/LMF100CIWM-NOPB/page-1", "LMF100CIWM-NOPB")</f>
        <v>LMF100CIWM-NOPB</v>
      </c>
      <c r="B7610" s="3" t="str">
        <f>HYPERLINK("https://www.773grp.com/manufacturer/national-semiconductor?pageNo=105", "National Semiconductor")</f>
        <v>National Semiconductor</v>
      </c>
      <c r="C7610" s="6">
        <v>242</v>
      </c>
      <c r="D7610" s="7">
        <v>7.8</v>
      </c>
      <c r="E7610" t="s">
        <v>58</v>
      </c>
    </row>
    <row r="7611" spans="1:5" x14ac:dyDescent="0.25">
      <c r="A7611" t="str">
        <f>HYPERLINK("https://www.773grp.com/globalSearch/100101DC/page-1", "100101DC")</f>
        <v>100101DC</v>
      </c>
      <c r="B7611" s="3" t="str">
        <f>HYPERLINK("https://www.773grp.com/manufacturer/national-semiconductor?pageNo=106", "National Semiconductor")</f>
        <v>National Semiconductor</v>
      </c>
      <c r="C7611" s="6">
        <v>364</v>
      </c>
      <c r="D7611" s="7">
        <v>7.81</v>
      </c>
      <c r="E7611" t="s">
        <v>31</v>
      </c>
    </row>
    <row r="7612" spans="1:5" x14ac:dyDescent="0.25">
      <c r="A7612" t="str">
        <f>HYPERLINK("https://www.773grp.com/globalSearch/100102DC/page-1", "100102DC")</f>
        <v>100102DC</v>
      </c>
      <c r="B7612" s="3" t="str">
        <f>HYPERLINK("https://www.773grp.com/manufacturer/national-semiconductor?pageNo=107", "National Semiconductor")</f>
        <v>National Semiconductor</v>
      </c>
      <c r="C7612" s="6">
        <v>3027</v>
      </c>
      <c r="D7612" s="7">
        <v>7.81</v>
      </c>
      <c r="E7612" t="s">
        <v>31</v>
      </c>
    </row>
    <row r="7613" spans="1:5" x14ac:dyDescent="0.25">
      <c r="A7613" t="str">
        <f>HYPERLINK("https://www.773grp.com/globalSearch/74FCT374SCX/page-1", "74FCT374SCX")</f>
        <v>74FCT374SCX</v>
      </c>
      <c r="B7613" s="3" t="str">
        <f>HYPERLINK("https://www.773grp.com/manufacturer/national-semiconductor?pageNo=108", "National Semiconductor")</f>
        <v>National Semiconductor</v>
      </c>
      <c r="C7613" s="6">
        <v>29</v>
      </c>
      <c r="D7613" s="7">
        <v>7.81</v>
      </c>
      <c r="E7613" t="s">
        <v>14</v>
      </c>
    </row>
    <row r="7614" spans="1:5" x14ac:dyDescent="0.25">
      <c r="A7614" t="str">
        <f>HYPERLINK("https://www.773grp.com/globalSearch/DM54LS195AJ-883/page-1", "DM54LS195AJ-883")</f>
        <v>DM54LS195AJ-883</v>
      </c>
      <c r="B7614" s="3" t="str">
        <f>HYPERLINK("https://www.773grp.com/manufacturer/national-semiconductor?pageNo=109", "National Semiconductor")</f>
        <v>National Semiconductor</v>
      </c>
      <c r="C7614" s="6">
        <v>10</v>
      </c>
      <c r="D7614" s="7">
        <v>7.81</v>
      </c>
    </row>
    <row r="7615" spans="1:5" x14ac:dyDescent="0.25">
      <c r="A7615" t="str">
        <f>HYPERLINK("https://www.773grp.com/globalSearch/LM1973M-NOPB/page-1", "LM1973M-NOPB")</f>
        <v>LM1973M-NOPB</v>
      </c>
      <c r="B7615" s="3" t="str">
        <f>HYPERLINK("https://www.773grp.com/manufacturer/national-semiconductor?pageNo=110", "National Semiconductor")</f>
        <v>National Semiconductor</v>
      </c>
      <c r="C7615" s="6">
        <v>4320</v>
      </c>
      <c r="D7615" s="7">
        <v>7.81</v>
      </c>
      <c r="E7615" t="s">
        <v>23</v>
      </c>
    </row>
    <row r="7616" spans="1:5" x14ac:dyDescent="0.25">
      <c r="A7616" t="str">
        <f>HYPERLINK("https://www.773grp.com/globalSearch/LP3971SQ-2G16-NOPB/page-1", "LP3971SQ-2G16-NOPB")</f>
        <v>LP3971SQ-2G16-NOPB</v>
      </c>
      <c r="B7616" s="3" t="str">
        <f>HYPERLINK("https://www.773grp.com/manufacturer/national-semiconductor?pageNo=111", "National Semiconductor")</f>
        <v>National Semiconductor</v>
      </c>
      <c r="C7616" s="6">
        <v>2000</v>
      </c>
      <c r="D7616" s="7">
        <v>7.81</v>
      </c>
    </row>
    <row r="7617" spans="1:5" x14ac:dyDescent="0.25">
      <c r="A7617" t="str">
        <f>HYPERLINK("https://www.773grp.com/globalSearch/LP3971SQ-8858-NOPB/page-1", "LP3971SQ-8858-NOPB")</f>
        <v>LP3971SQ-8858-NOPB</v>
      </c>
      <c r="B7617" s="3" t="str">
        <f>HYPERLINK("https://www.773grp.com/manufacturer/national-semiconductor?pageNo=112", "National Semiconductor")</f>
        <v>National Semiconductor</v>
      </c>
      <c r="C7617" s="6">
        <v>1989</v>
      </c>
      <c r="D7617" s="7">
        <v>7.81</v>
      </c>
    </row>
    <row r="7618" spans="1:5" x14ac:dyDescent="0.25">
      <c r="A7618" t="str">
        <f>HYPERLINK("https://www.773grp.com/globalSearch/LP3971SQ-B410-NOPB/page-1", "LP3971SQ-B410-NOPB")</f>
        <v>LP3971SQ-B410-NOPB</v>
      </c>
      <c r="B7618" s="3" t="str">
        <f>HYPERLINK("https://www.773grp.com/manufacturer/national-semiconductor?pageNo=113", "National Semiconductor")</f>
        <v>National Semiconductor</v>
      </c>
      <c r="C7618" s="6">
        <v>14</v>
      </c>
      <c r="D7618" s="7">
        <v>7.81</v>
      </c>
    </row>
    <row r="7619" spans="1:5" x14ac:dyDescent="0.25">
      <c r="A7619" t="str">
        <f>HYPERLINK("https://www.773grp.com/globalSearch/LP3971SQ-B510-NOPB/page-1", "LP3971SQ-B510-NOPB")</f>
        <v>LP3971SQ-B510-NOPB</v>
      </c>
      <c r="B7619" s="3" t="str">
        <f>HYPERLINK("https://www.773grp.com/manufacturer/national-semiconductor?pageNo=114", "National Semiconductor")</f>
        <v>National Semiconductor</v>
      </c>
      <c r="C7619" s="6">
        <v>13339</v>
      </c>
      <c r="D7619" s="7">
        <v>7.81</v>
      </c>
    </row>
    <row r="7620" spans="1:5" x14ac:dyDescent="0.25">
      <c r="A7620" t="str">
        <f>HYPERLINK("https://www.773grp.com/globalSearch/LP3971SQ-D510-NOPB/page-1", "LP3971SQ-D510-NOPB")</f>
        <v>LP3971SQ-D510-NOPB</v>
      </c>
      <c r="B7620" s="3" t="str">
        <f>HYPERLINK("https://www.773grp.com/manufacturer/national-semiconductor?pageNo=115", "National Semiconductor")</f>
        <v>National Semiconductor</v>
      </c>
      <c r="C7620" s="6">
        <v>2402</v>
      </c>
      <c r="D7620" s="7">
        <v>7.81</v>
      </c>
    </row>
    <row r="7621" spans="1:5" x14ac:dyDescent="0.25">
      <c r="A7621" t="str">
        <f>HYPERLINK("https://www.773grp.com/globalSearch/LP3971SQ-F211-NOPB/page-1", "LP3971SQ-F211-NOPB")</f>
        <v>LP3971SQ-F211-NOPB</v>
      </c>
      <c r="B7621" s="3" t="str">
        <f>HYPERLINK("https://www.773grp.com/manufacturer/national-semiconductor?pageNo=116", "National Semiconductor")</f>
        <v>National Semiconductor</v>
      </c>
      <c r="C7621" s="6">
        <v>1819</v>
      </c>
      <c r="D7621" s="7">
        <v>7.81</v>
      </c>
    </row>
    <row r="7622" spans="1:5" x14ac:dyDescent="0.25">
      <c r="A7622" t="str">
        <f>HYPERLINK("https://www.773grp.com/globalSearch/LP3971SQ-G824-NOPB/page-1", "LP3971SQ-G824-NOPB")</f>
        <v>LP3971SQ-G824-NOPB</v>
      </c>
      <c r="B7622" s="3" t="str">
        <f>HYPERLINK("https://www.773grp.com/manufacturer/national-semiconductor?pageNo=117", "National Semiconductor")</f>
        <v>National Semiconductor</v>
      </c>
      <c r="C7622" s="6">
        <v>1799</v>
      </c>
      <c r="D7622" s="7">
        <v>7.81</v>
      </c>
    </row>
    <row r="7623" spans="1:5" x14ac:dyDescent="0.25">
      <c r="A7623" t="str">
        <f>HYPERLINK("https://www.773grp.com/globalSearch/LP3971SQ-O509-NOPB/page-1", "LP3971SQ-O509-NOPB")</f>
        <v>LP3971SQ-O509-NOPB</v>
      </c>
      <c r="B7623" s="3" t="str">
        <f>HYPERLINK("https://www.773grp.com/manufacturer/national-semiconductor?pageNo=118", "National Semiconductor")</f>
        <v>National Semiconductor</v>
      </c>
      <c r="C7623" s="6">
        <v>2000</v>
      </c>
      <c r="D7623" s="7">
        <v>7.81</v>
      </c>
    </row>
    <row r="7624" spans="1:5" x14ac:dyDescent="0.25">
      <c r="A7624" t="str">
        <f>HYPERLINK("https://www.773grp.com/globalSearch/LP3971SQ-P55A-NOPB/page-1", "LP3971SQ-P55A-NOPB")</f>
        <v>LP3971SQ-P55A-NOPB</v>
      </c>
      <c r="B7624" s="3" t="str">
        <f>HYPERLINK("https://www.773grp.com/manufacturer/national-semiconductor?pageNo=119", "National Semiconductor")</f>
        <v>National Semiconductor</v>
      </c>
      <c r="C7624" s="6">
        <v>1985</v>
      </c>
      <c r="D7624" s="7">
        <v>7.81</v>
      </c>
    </row>
    <row r="7625" spans="1:5" x14ac:dyDescent="0.25">
      <c r="A7625" t="str">
        <f>HYPERLINK("https://www.773grp.com/globalSearch/LP3971SQ-Q418-NOPB/page-1", "LP3971SQ-Q418-NOPB")</f>
        <v>LP3971SQ-Q418-NOPB</v>
      </c>
      <c r="B7625" s="3" t="str">
        <f>HYPERLINK("https://www.773grp.com/manufacturer/national-semiconductor?pageNo=120", "National Semiconductor")</f>
        <v>National Semiconductor</v>
      </c>
      <c r="C7625" s="6">
        <v>2000</v>
      </c>
      <c r="D7625" s="7">
        <v>7.81</v>
      </c>
    </row>
    <row r="7626" spans="1:5" x14ac:dyDescent="0.25">
      <c r="A7626" t="str">
        <f>HYPERLINK("https://www.773grp.com/globalSearch/LP3971SQ-U511-NOPB/page-1", "LP3971SQ-U511-NOPB")</f>
        <v>LP3971SQ-U511-NOPB</v>
      </c>
      <c r="B7626" s="3" t="str">
        <f>HYPERLINK("https://www.773grp.com/manufacturer/national-semiconductor?pageNo=121", "National Semiconductor")</f>
        <v>National Semiconductor</v>
      </c>
      <c r="C7626" s="6">
        <v>2000</v>
      </c>
      <c r="D7626" s="7">
        <v>7.81</v>
      </c>
    </row>
    <row r="7627" spans="1:5" x14ac:dyDescent="0.25">
      <c r="A7627" t="str">
        <f>HYPERLINK("https://www.773grp.com/globalSearch/LP3971SQ-W416-NOPB/page-1", "LP3971SQ-W416-NOPB")</f>
        <v>LP3971SQ-W416-NOPB</v>
      </c>
      <c r="B7627" s="3" t="str">
        <f>HYPERLINK("https://www.773grp.com/manufacturer/national-semiconductor?pageNo=122", "National Semiconductor")</f>
        <v>National Semiconductor</v>
      </c>
      <c r="C7627" s="6">
        <v>5977</v>
      </c>
      <c r="D7627" s="7">
        <v>7.81</v>
      </c>
    </row>
    <row r="7628" spans="1:5" x14ac:dyDescent="0.25">
      <c r="A7628" t="str">
        <f>HYPERLINK("https://www.773grp.com/globalSearch/LP3971SQX-7848-NOPB/page-1", "LP3971SQX-7848-NOPB")</f>
        <v>LP3971SQX-7848-NOPB</v>
      </c>
      <c r="B7628" s="3" t="str">
        <f>HYPERLINK("https://www.773grp.com/manufacturer/national-semiconductor?pageNo=123", "National Semiconductor")</f>
        <v>National Semiconductor</v>
      </c>
      <c r="C7628" s="6">
        <v>4490</v>
      </c>
      <c r="D7628" s="7">
        <v>7.81</v>
      </c>
    </row>
    <row r="7629" spans="1:5" x14ac:dyDescent="0.25">
      <c r="A7629" t="str">
        <f>HYPERLINK("https://www.773grp.com/globalSearch/LPC660AIN/page-1", "LPC660AIN")</f>
        <v>LPC660AIN</v>
      </c>
      <c r="B7629" s="3" t="str">
        <f>HYPERLINK("https://www.773grp.com/manufacturer/national-semiconductor?pageNo=124", "National Semiconductor")</f>
        <v>National Semiconductor</v>
      </c>
      <c r="C7629" s="6">
        <v>5116</v>
      </c>
      <c r="D7629" s="7">
        <v>7.81</v>
      </c>
      <c r="E7629" t="s">
        <v>13</v>
      </c>
    </row>
    <row r="7630" spans="1:5" x14ac:dyDescent="0.25">
      <c r="A7630" t="str">
        <f>HYPERLINK("https://www.773grp.com/globalSearch/LM1973M-NOPB/page-1", "LM1973M-NOPB")</f>
        <v>LM1973M-NOPB</v>
      </c>
      <c r="B7630" s="3" t="str">
        <f>HYPERLINK("https://www.773grp.com/manufacturer/national-semiconductor?pageNo=125", "National Semiconductor")</f>
        <v>National Semiconductor</v>
      </c>
      <c r="C7630" s="6">
        <v>250</v>
      </c>
      <c r="D7630" s="7">
        <v>7.81</v>
      </c>
      <c r="E7630" t="s">
        <v>23</v>
      </c>
    </row>
    <row r="7631" spans="1:5" x14ac:dyDescent="0.25">
      <c r="A7631" t="str">
        <f>HYPERLINK("https://www.773grp.com/globalSearch/LP3971SQ-8858-NOPB/page-1", "LP3971SQ-8858-NOPB")</f>
        <v>LP3971SQ-8858-NOPB</v>
      </c>
      <c r="B7631" s="3" t="str">
        <f>HYPERLINK("https://www.773grp.com/manufacturer/national-semiconductor?pageNo=126", "National Semiconductor")</f>
        <v>National Semiconductor</v>
      </c>
      <c r="C7631" s="6">
        <v>1000</v>
      </c>
      <c r="D7631" s="7">
        <v>7.81</v>
      </c>
    </row>
    <row r="7632" spans="1:5" x14ac:dyDescent="0.25">
      <c r="A7632" t="str">
        <f>HYPERLINK("https://www.773grp.com/globalSearch/LP3971SQ-F211-NOPB/page-1", "LP3971SQ-F211-NOPB")</f>
        <v>LP3971SQ-F211-NOPB</v>
      </c>
      <c r="B7632" s="3" t="str">
        <f>HYPERLINK("https://www.773grp.com/manufacturer/national-semiconductor?pageNo=127", "National Semiconductor")</f>
        <v>National Semiconductor</v>
      </c>
      <c r="C7632" s="6">
        <v>1000</v>
      </c>
      <c r="D7632" s="7">
        <v>7.81</v>
      </c>
    </row>
    <row r="7633" spans="1:5" x14ac:dyDescent="0.25">
      <c r="A7633" t="str">
        <f>HYPERLINK("https://www.773grp.com/globalSearch/LP3971SQ-G824-NOPB/page-1", "LP3971SQ-G824-NOPB")</f>
        <v>LP3971SQ-G824-NOPB</v>
      </c>
      <c r="B7633" s="3" t="str">
        <f>HYPERLINK("https://www.773grp.com/manufacturer/national-semiconductor?pageNo=128", "National Semiconductor")</f>
        <v>National Semiconductor</v>
      </c>
      <c r="C7633" s="6">
        <v>1000</v>
      </c>
      <c r="D7633" s="7">
        <v>7.81</v>
      </c>
    </row>
    <row r="7634" spans="1:5" x14ac:dyDescent="0.25">
      <c r="A7634" t="str">
        <f>HYPERLINK("https://www.773grp.com/globalSearch/LP3971SQ-O509-NOPB/page-1", "LP3971SQ-O509-NOPB")</f>
        <v>LP3971SQ-O509-NOPB</v>
      </c>
      <c r="B7634" s="3" t="str">
        <f>HYPERLINK("https://www.773grp.com/manufacturer/national-semiconductor?pageNo=129", "National Semiconductor")</f>
        <v>National Semiconductor</v>
      </c>
      <c r="C7634" s="6">
        <v>1000</v>
      </c>
      <c r="D7634" s="7">
        <v>7.81</v>
      </c>
    </row>
    <row r="7635" spans="1:5" x14ac:dyDescent="0.25">
      <c r="A7635" t="str">
        <f>HYPERLINK("https://www.773grp.com/globalSearch/LP3971SQ-U511-NOPB/page-1", "LP3971SQ-U511-NOPB")</f>
        <v>LP3971SQ-U511-NOPB</v>
      </c>
      <c r="B7635" s="3" t="str">
        <f>HYPERLINK("https://www.773grp.com/manufacturer/national-semiconductor?pageNo=130", "National Semiconductor")</f>
        <v>National Semiconductor</v>
      </c>
      <c r="C7635" s="6">
        <v>1000</v>
      </c>
      <c r="D7635" s="7">
        <v>7.81</v>
      </c>
    </row>
    <row r="7636" spans="1:5" x14ac:dyDescent="0.25">
      <c r="A7636" t="str">
        <f>HYPERLINK("https://www.773grp.com/globalSearch/REG103GA-3.3/page-1", "REG103GA-3.3")</f>
        <v>REG103GA-3.3</v>
      </c>
      <c r="B7636" s="3" t="str">
        <f>HYPERLINK("https://www.773grp.com/manufacturer/national-semiconductor?pageNo=131", "National Semiconductor")</f>
        <v>National Semiconductor</v>
      </c>
      <c r="C7636" s="6">
        <v>2340</v>
      </c>
      <c r="D7636" s="7">
        <v>7.81</v>
      </c>
    </row>
    <row r="7637" spans="1:5" x14ac:dyDescent="0.25">
      <c r="A7637" t="str">
        <f>HYPERLINK("https://www.773grp.com/globalSearch/74192PC/page-1", "74192PC")</f>
        <v>74192PC</v>
      </c>
      <c r="B7637" s="3" t="str">
        <f>HYPERLINK("https://www.773grp.com/manufacturer/national-semiconductor?pageNo=132", "National Semiconductor")</f>
        <v>National Semiconductor</v>
      </c>
      <c r="C7637" s="6">
        <v>4575</v>
      </c>
      <c r="D7637" s="7">
        <v>7.85</v>
      </c>
    </row>
    <row r="7638" spans="1:5" x14ac:dyDescent="0.25">
      <c r="A7638" t="str">
        <f>HYPERLINK("https://www.773grp.com/globalSearch/CLC5802IM/page-1", "CLC5802IM")</f>
        <v>CLC5802IM</v>
      </c>
      <c r="B7638" s="3" t="str">
        <f>HYPERLINK("https://www.773grp.com/manufacturer/national-semiconductor?pageNo=133", "National Semiconductor")</f>
        <v>National Semiconductor</v>
      </c>
      <c r="C7638" s="6">
        <v>570</v>
      </c>
      <c r="D7638" s="7">
        <v>7.85</v>
      </c>
      <c r="E7638" t="s">
        <v>13</v>
      </c>
    </row>
    <row r="7639" spans="1:5" x14ac:dyDescent="0.25">
      <c r="A7639" t="str">
        <f>HYPERLINK("https://www.773grp.com/globalSearch/DM54LS163W-883/page-1", "DM54LS163W-883")</f>
        <v>DM54LS163W-883</v>
      </c>
      <c r="B7639" s="3" t="str">
        <f>HYPERLINK("https://www.773grp.com/manufacturer/national-semiconductor?pageNo=134", "National Semiconductor")</f>
        <v>National Semiconductor</v>
      </c>
      <c r="C7639" s="6">
        <v>1054</v>
      </c>
      <c r="D7639" s="7">
        <v>7.85</v>
      </c>
    </row>
    <row r="7640" spans="1:5" x14ac:dyDescent="0.25">
      <c r="A7640" t="str">
        <f>HYPERLINK("https://www.773grp.com/globalSearch/DM54LS298J-883/page-1", "DM54LS298J-883")</f>
        <v>DM54LS298J-883</v>
      </c>
      <c r="B7640" s="3" t="str">
        <f>HYPERLINK("https://www.773grp.com/manufacturer/national-semiconductor?pageNo=1", "National Semiconductor")</f>
        <v>National Semiconductor</v>
      </c>
      <c r="C7640" s="6">
        <v>53</v>
      </c>
      <c r="D7640" s="7">
        <v>7.85</v>
      </c>
    </row>
    <row r="7641" spans="1:5" x14ac:dyDescent="0.25">
      <c r="A7641" t="str">
        <f>HYPERLINK("https://www.773grp.com/globalSearch/DM54LS368AW-883/page-1", "DM54LS368AW-883")</f>
        <v>DM54LS368AW-883</v>
      </c>
      <c r="B7641" s="3" t="str">
        <f>HYPERLINK("https://www.773grp.com/manufacturer/national-semiconductor?pageNo=2", "National Semiconductor")</f>
        <v>National Semiconductor</v>
      </c>
      <c r="C7641" s="6">
        <v>243</v>
      </c>
      <c r="D7641" s="7">
        <v>7.85</v>
      </c>
      <c r="E7641" t="s">
        <v>14</v>
      </c>
    </row>
    <row r="7642" spans="1:5" x14ac:dyDescent="0.25">
      <c r="A7642" t="str">
        <f>HYPERLINK("https://www.773grp.com/globalSearch/DM54LS368W-883/page-1", "DM54LS368W-883")</f>
        <v>DM54LS368W-883</v>
      </c>
      <c r="B7642" s="3" t="str">
        <f>HYPERLINK("https://www.773grp.com/manufacturer/national-semiconductor?pageNo=3", "National Semiconductor")</f>
        <v>National Semiconductor</v>
      </c>
      <c r="C7642" s="6">
        <v>113</v>
      </c>
      <c r="D7642" s="7">
        <v>7.85</v>
      </c>
    </row>
    <row r="7643" spans="1:5" x14ac:dyDescent="0.25">
      <c r="A7643" t="str">
        <f>HYPERLINK("https://www.773grp.com/globalSearch/DM8181N/page-1", "DM8181N")</f>
        <v>DM8181N</v>
      </c>
      <c r="B7643" s="3" t="str">
        <f>HYPERLINK("https://www.773grp.com/manufacturer/national-semiconductor?pageNo=4", "National Semiconductor")</f>
        <v>National Semiconductor</v>
      </c>
      <c r="C7643" s="6">
        <v>1349</v>
      </c>
      <c r="D7643" s="7">
        <v>7.85</v>
      </c>
    </row>
    <row r="7644" spans="1:5" x14ac:dyDescent="0.25">
      <c r="A7644" t="str">
        <f>HYPERLINK("https://www.773grp.com/globalSearch/LM1972M/page-1", "LM1972M")</f>
        <v>LM1972M</v>
      </c>
      <c r="B7644" s="3" t="str">
        <f>HYPERLINK("https://www.773grp.com/manufacturer/national-semiconductor?pageNo=5", "National Semiconductor")</f>
        <v>National Semiconductor</v>
      </c>
      <c r="C7644" s="6">
        <v>315</v>
      </c>
      <c r="D7644" s="7">
        <v>7.85</v>
      </c>
      <c r="E7644" t="s">
        <v>23</v>
      </c>
    </row>
    <row r="7645" spans="1:5" x14ac:dyDescent="0.25">
      <c r="A7645" t="str">
        <f>HYPERLINK("https://www.773grp.com/globalSearch/LM3000ASQ-NOPB/page-1", "LM3000ASQ-NOPB")</f>
        <v>LM3000ASQ-NOPB</v>
      </c>
      <c r="B7645" s="3" t="str">
        <f>HYPERLINK("https://www.773grp.com/manufacturer/national-semiconductor?pageNo=6", "National Semiconductor")</f>
        <v>National Semiconductor</v>
      </c>
      <c r="C7645" s="6">
        <v>6892</v>
      </c>
      <c r="D7645" s="7">
        <v>7.85</v>
      </c>
    </row>
    <row r="7646" spans="1:5" x14ac:dyDescent="0.25">
      <c r="A7646" t="str">
        <f>HYPERLINK("https://www.773grp.com/globalSearch/LM6182IM/page-1", "LM6182IM")</f>
        <v>LM6182IM</v>
      </c>
      <c r="B7646" s="3" t="str">
        <f>HYPERLINK("https://www.773grp.com/manufacturer/national-semiconductor?pageNo=7", "National Semiconductor")</f>
        <v>National Semiconductor</v>
      </c>
      <c r="C7646" s="6">
        <v>1554</v>
      </c>
      <c r="D7646" s="7">
        <v>7.85</v>
      </c>
      <c r="E7646" t="s">
        <v>13</v>
      </c>
    </row>
    <row r="7647" spans="1:5" x14ac:dyDescent="0.25">
      <c r="A7647" t="str">
        <f>HYPERLINK("https://www.773grp.com/globalSearch/LM83CIMQA-NOPB/page-1", "LM83CIMQA-NOPB")</f>
        <v>LM83CIMQA-NOPB</v>
      </c>
      <c r="B7647" s="3" t="str">
        <f>HYPERLINK("https://www.773grp.com/manufacturer/national-semiconductor?pageNo=8", "National Semiconductor")</f>
        <v>National Semiconductor</v>
      </c>
      <c r="C7647" s="6">
        <v>726</v>
      </c>
      <c r="D7647" s="7">
        <v>7.85</v>
      </c>
      <c r="E7647" t="s">
        <v>12</v>
      </c>
    </row>
    <row r="7648" spans="1:5" x14ac:dyDescent="0.25">
      <c r="A7648" t="str">
        <f>HYPERLINK("https://www.773grp.com/globalSearch/MM54HC164J/page-1", "MM54HC164J")</f>
        <v>MM54HC164J</v>
      </c>
      <c r="B7648" s="3" t="str">
        <f>HYPERLINK("https://www.773grp.com/manufacturer/national-semiconductor?pageNo=9", "National Semiconductor")</f>
        <v>National Semiconductor</v>
      </c>
      <c r="C7648" s="6">
        <v>333</v>
      </c>
      <c r="D7648" s="7">
        <v>7.85</v>
      </c>
      <c r="E7648" t="s">
        <v>32</v>
      </c>
    </row>
    <row r="7649" spans="1:5" x14ac:dyDescent="0.25">
      <c r="A7649" t="str">
        <f>HYPERLINK("https://www.773grp.com/globalSearch/SCAN90CP02SP-NOPB/page-1", "SCAN90CP02SP-NOPB")</f>
        <v>SCAN90CP02SP-NOPB</v>
      </c>
      <c r="B7649" s="3" t="str">
        <f>HYPERLINK("https://www.773grp.com/manufacturer/national-semiconductor?pageNo=10", "National Semiconductor")</f>
        <v>National Semiconductor</v>
      </c>
      <c r="C7649" s="6">
        <v>2000</v>
      </c>
      <c r="D7649" s="7">
        <v>7.85</v>
      </c>
      <c r="E7649" t="s">
        <v>56</v>
      </c>
    </row>
    <row r="7650" spans="1:5" x14ac:dyDescent="0.25">
      <c r="A7650" t="str">
        <f>HYPERLINK("https://www.773grp.com/globalSearch/LM1972M/page-1", "LM1972M")</f>
        <v>LM1972M</v>
      </c>
      <c r="B7650" s="3" t="str">
        <f>HYPERLINK("https://www.773grp.com/manufacturer/national-semiconductor?pageNo=11", "National Semiconductor")</f>
        <v>National Semiconductor</v>
      </c>
      <c r="C7650" s="6">
        <v>200</v>
      </c>
      <c r="D7650" s="7">
        <v>7.85</v>
      </c>
      <c r="E7650" t="s">
        <v>23</v>
      </c>
    </row>
    <row r="7651" spans="1:5" x14ac:dyDescent="0.25">
      <c r="A7651" t="str">
        <f>HYPERLINK("https://www.773grp.com/globalSearch/LM83CIMQA-NOPB/page-1", "LM83CIMQA-NOPB")</f>
        <v>LM83CIMQA-NOPB</v>
      </c>
      <c r="B7651" s="3" t="str">
        <f>HYPERLINK("https://www.773grp.com/manufacturer/national-semiconductor?pageNo=12", "National Semiconductor")</f>
        <v>National Semiconductor</v>
      </c>
      <c r="C7651" s="6">
        <v>302</v>
      </c>
      <c r="D7651" s="7">
        <v>7.85</v>
      </c>
      <c r="E7651" t="s">
        <v>12</v>
      </c>
    </row>
    <row r="7652" spans="1:5" x14ac:dyDescent="0.25">
      <c r="A7652" t="str">
        <f>HYPERLINK("https://www.773grp.com/globalSearch/SCAN90CP02SP/page-1", "SCAN90CP02SP")</f>
        <v>SCAN90CP02SP</v>
      </c>
      <c r="B7652" s="3" t="str">
        <f>HYPERLINK("https://www.773grp.com/manufacturer/national-semiconductor?pageNo=13", "National Semiconductor")</f>
        <v>National Semiconductor</v>
      </c>
      <c r="C7652" s="6">
        <v>1000</v>
      </c>
      <c r="D7652" s="7">
        <v>7.85</v>
      </c>
    </row>
    <row r="7653" spans="1:5" x14ac:dyDescent="0.25">
      <c r="A7653" t="str">
        <f>HYPERLINK("https://www.773grp.com/globalSearch/DM54LS365W-883/page-1", "DM54LS365W-883")</f>
        <v>DM54LS365W-883</v>
      </c>
      <c r="B7653" s="3" t="str">
        <f>HYPERLINK("https://www.773grp.com/manufacturer/national-semiconductor?pageNo=14", "National Semiconductor")</f>
        <v>National Semiconductor</v>
      </c>
      <c r="C7653" s="6">
        <v>71</v>
      </c>
      <c r="D7653" s="7">
        <v>7.88</v>
      </c>
    </row>
    <row r="7654" spans="1:5" x14ac:dyDescent="0.25">
      <c r="A7654" t="str">
        <f>HYPERLINK("https://www.773grp.com/globalSearch/DP83847ALQA56AX/page-1", "DP83847ALQA56AX")</f>
        <v>DP83847ALQA56AX</v>
      </c>
      <c r="B7654" s="3" t="str">
        <f>HYPERLINK("https://www.773grp.com/manufacturer/national-semiconductor?pageNo=15", "National Semiconductor")</f>
        <v>National Semiconductor</v>
      </c>
      <c r="C7654" s="6">
        <v>6000</v>
      </c>
      <c r="D7654" s="7">
        <v>7.88</v>
      </c>
      <c r="E7654" t="s">
        <v>55</v>
      </c>
    </row>
    <row r="7655" spans="1:5" x14ac:dyDescent="0.25">
      <c r="A7655" t="str">
        <f>HYPERLINK("https://www.773grp.com/globalSearch/DP83847ALQA56AX-NOPB/page-1", "DP83847ALQA56AX-NOPB")</f>
        <v>DP83847ALQA56AX-NOPB</v>
      </c>
      <c r="B7655" s="3" t="str">
        <f>HYPERLINK("https://www.773grp.com/manufacturer/national-semiconductor?pageNo=16", "National Semiconductor")</f>
        <v>National Semiconductor</v>
      </c>
      <c r="C7655" s="6">
        <v>5220</v>
      </c>
      <c r="D7655" s="7">
        <v>7.88</v>
      </c>
      <c r="E7655" t="s">
        <v>55</v>
      </c>
    </row>
    <row r="7656" spans="1:5" x14ac:dyDescent="0.25">
      <c r="A7656" t="str">
        <f>HYPERLINK("https://www.773grp.com/globalSearch/LM2598S-5.0/page-1", "LM2598S-5.0")</f>
        <v>LM2598S-5.0</v>
      </c>
      <c r="B7656" s="3" t="str">
        <f>HYPERLINK("https://www.773grp.com/manufacturer/national-semiconductor?pageNo=17", "National Semiconductor")</f>
        <v>National Semiconductor</v>
      </c>
      <c r="C7656" s="6">
        <v>283</v>
      </c>
      <c r="D7656" s="7">
        <v>7.88</v>
      </c>
      <c r="E7656" t="s">
        <v>7</v>
      </c>
    </row>
    <row r="7657" spans="1:5" x14ac:dyDescent="0.25">
      <c r="A7657" t="str">
        <f>HYPERLINK("https://www.773grp.com/globalSearch/LM2696MXA/page-1", "LM2696MXA")</f>
        <v>LM2696MXA</v>
      </c>
      <c r="B7657" s="3" t="str">
        <f>HYPERLINK("https://www.773grp.com/manufacturer/national-semiconductor?pageNo=18", "National Semiconductor")</f>
        <v>National Semiconductor</v>
      </c>
      <c r="C7657" s="6">
        <v>42</v>
      </c>
      <c r="D7657" s="7">
        <v>7.88</v>
      </c>
      <c r="E7657" t="s">
        <v>7</v>
      </c>
    </row>
    <row r="7658" spans="1:5" x14ac:dyDescent="0.25">
      <c r="A7658" t="str">
        <f>HYPERLINK("https://www.773grp.com/globalSearch/LM319H/page-1", "LM319H")</f>
        <v>LM319H</v>
      </c>
      <c r="B7658" s="3" t="str">
        <f>HYPERLINK("https://www.773grp.com/manufacturer/national-semiconductor?pageNo=19", "National Semiconductor")</f>
        <v>National Semiconductor</v>
      </c>
      <c r="C7658" s="6">
        <v>34</v>
      </c>
      <c r="D7658" s="7">
        <v>7.88</v>
      </c>
      <c r="E7658" t="s">
        <v>9</v>
      </c>
    </row>
    <row r="7659" spans="1:5" x14ac:dyDescent="0.25">
      <c r="A7659" t="str">
        <f>HYPERLINK("https://www.773grp.com/globalSearch/LM5035MH/page-1", "LM5035MH")</f>
        <v>LM5035MH</v>
      </c>
      <c r="B7659" s="3" t="str">
        <f>HYPERLINK("https://www.773grp.com/manufacturer/national-semiconductor?pageNo=20", "National Semiconductor")</f>
        <v>National Semiconductor</v>
      </c>
      <c r="C7659" s="6">
        <v>84</v>
      </c>
      <c r="D7659" s="7">
        <v>7.88</v>
      </c>
      <c r="E7659" t="s">
        <v>7</v>
      </c>
    </row>
    <row r="7660" spans="1:5" x14ac:dyDescent="0.25">
      <c r="A7660" t="str">
        <f>HYPERLINK("https://www.773grp.com/globalSearch/LM8500HVA9/page-1", "LM8500HVA9")</f>
        <v>LM8500HVA9</v>
      </c>
      <c r="B7660" s="3" t="str">
        <f>HYPERLINK("https://www.773grp.com/manufacturer/national-semiconductor?pageNo=21", "National Semiconductor")</f>
        <v>National Semiconductor</v>
      </c>
      <c r="C7660" s="6">
        <v>1694</v>
      </c>
      <c r="D7660" s="7">
        <v>7.88</v>
      </c>
      <c r="E7660" t="s">
        <v>23</v>
      </c>
    </row>
    <row r="7661" spans="1:5" x14ac:dyDescent="0.25">
      <c r="A7661" t="str">
        <f>HYPERLINK("https://www.773grp.com/globalSearch/LP3853ES-5.0/page-1", "LP3853ES-5.0")</f>
        <v>LP3853ES-5.0</v>
      </c>
      <c r="B7661" s="3" t="str">
        <f>HYPERLINK("https://www.773grp.com/manufacturer/national-semiconductor?pageNo=22", "National Semiconductor")</f>
        <v>National Semiconductor</v>
      </c>
      <c r="C7661" s="6">
        <v>95</v>
      </c>
      <c r="D7661" s="7">
        <v>7.88</v>
      </c>
      <c r="E7661" t="s">
        <v>19</v>
      </c>
    </row>
    <row r="7662" spans="1:5" x14ac:dyDescent="0.25">
      <c r="A7662" t="str">
        <f>HYPERLINK("https://www.773grp.com/globalSearch/LP3853ESX-1.8-NOPB/page-1", "LP3853ESX-1.8-NOPB")</f>
        <v>LP3853ESX-1.8-NOPB</v>
      </c>
      <c r="B7662" s="3" t="str">
        <f>HYPERLINK("https://www.773grp.com/manufacturer/national-semiconductor?pageNo=23", "National Semiconductor")</f>
        <v>National Semiconductor</v>
      </c>
      <c r="C7662" s="6">
        <v>1000</v>
      </c>
      <c r="D7662" s="7">
        <v>7.88</v>
      </c>
      <c r="E7662" t="s">
        <v>19</v>
      </c>
    </row>
    <row r="7663" spans="1:5" x14ac:dyDescent="0.25">
      <c r="A7663" t="str">
        <f>HYPERLINK("https://www.773grp.com/globalSearch/LP3853ESX-2.5-NOPB/page-1", "LP3853ESX-2.5-NOPB")</f>
        <v>LP3853ESX-2.5-NOPB</v>
      </c>
      <c r="B7663" s="3" t="str">
        <f>HYPERLINK("https://www.773grp.com/manufacturer/national-semiconductor?pageNo=24", "National Semiconductor")</f>
        <v>National Semiconductor</v>
      </c>
      <c r="C7663" s="6">
        <v>1390</v>
      </c>
      <c r="D7663" s="7">
        <v>7.88</v>
      </c>
      <c r="E7663" t="s">
        <v>19</v>
      </c>
    </row>
    <row r="7664" spans="1:5" x14ac:dyDescent="0.25">
      <c r="A7664" t="str">
        <f>HYPERLINK("https://www.773grp.com/globalSearch/LP3853ESX-3.3/page-1", "LP3853ESX-3.3")</f>
        <v>LP3853ESX-3.3</v>
      </c>
      <c r="B7664" s="3" t="str">
        <f>HYPERLINK("https://www.773grp.com/manufacturer/national-semiconductor?pageNo=25", "National Semiconductor")</f>
        <v>National Semiconductor</v>
      </c>
      <c r="C7664" s="6">
        <v>500</v>
      </c>
      <c r="D7664" s="7">
        <v>7.88</v>
      </c>
      <c r="E7664" t="s">
        <v>19</v>
      </c>
    </row>
    <row r="7665" spans="1:5" x14ac:dyDescent="0.25">
      <c r="A7665" t="str">
        <f>HYPERLINK("https://www.773grp.com/globalSearch/LP3853ESX-3.3-NOPB/page-1", "LP3853ESX-3.3-NOPB")</f>
        <v>LP3853ESX-3.3-NOPB</v>
      </c>
      <c r="B7665" s="3" t="str">
        <f>HYPERLINK("https://www.773grp.com/manufacturer/national-semiconductor?pageNo=26", "National Semiconductor")</f>
        <v>National Semiconductor</v>
      </c>
      <c r="C7665" s="6">
        <v>390</v>
      </c>
      <c r="D7665" s="7">
        <v>7.88</v>
      </c>
      <c r="E7665" t="s">
        <v>19</v>
      </c>
    </row>
    <row r="7666" spans="1:5" x14ac:dyDescent="0.25">
      <c r="A7666" t="str">
        <f>HYPERLINK("https://www.773grp.com/globalSearch/LP3853ESX-5.0-NOPB/page-1", "LP3853ESX-5.0-NOPB")</f>
        <v>LP3853ESX-5.0-NOPB</v>
      </c>
      <c r="B7666" s="3" t="str">
        <f>HYPERLINK("https://www.773grp.com/manufacturer/national-semiconductor?pageNo=27", "National Semiconductor")</f>
        <v>National Semiconductor</v>
      </c>
      <c r="C7666" s="6">
        <v>500</v>
      </c>
      <c r="D7666" s="7">
        <v>7.88</v>
      </c>
      <c r="E7666" t="s">
        <v>19</v>
      </c>
    </row>
    <row r="7667" spans="1:5" x14ac:dyDescent="0.25">
      <c r="A7667" t="str">
        <f>HYPERLINK("https://www.773grp.com/globalSearch/LP3853ET-3.3-NOPB/page-1", "LP3853ET-3.3-NOPB")</f>
        <v>LP3853ET-3.3-NOPB</v>
      </c>
      <c r="B7667" s="3" t="str">
        <f>HYPERLINK("https://www.773grp.com/manufacturer/national-semiconductor?pageNo=28", "National Semiconductor")</f>
        <v>National Semiconductor</v>
      </c>
      <c r="C7667" s="6">
        <v>252</v>
      </c>
      <c r="D7667" s="7">
        <v>7.88</v>
      </c>
      <c r="E7667" t="s">
        <v>19</v>
      </c>
    </row>
    <row r="7668" spans="1:5" x14ac:dyDescent="0.25">
      <c r="A7668" t="str">
        <f>HYPERLINK("https://www.773grp.com/globalSearch/LP3853ET-5.0-NOPB/page-1", "LP3853ET-5.0-NOPB")</f>
        <v>LP3853ET-5.0-NOPB</v>
      </c>
      <c r="B7668" s="3" t="str">
        <f>HYPERLINK("https://www.773grp.com/manufacturer/national-semiconductor?pageNo=29", "National Semiconductor")</f>
        <v>National Semiconductor</v>
      </c>
      <c r="C7668" s="6">
        <v>252</v>
      </c>
      <c r="D7668" s="7">
        <v>7.88</v>
      </c>
      <c r="E7668" t="s">
        <v>19</v>
      </c>
    </row>
    <row r="7669" spans="1:5" x14ac:dyDescent="0.25">
      <c r="A7669" t="str">
        <f>HYPERLINK("https://www.773grp.com/globalSearch/LP3856ESX-ADJ/page-1", "LP3856ESX-ADJ")</f>
        <v>LP3856ESX-ADJ</v>
      </c>
      <c r="B7669" s="3" t="str">
        <f>HYPERLINK("https://www.773grp.com/manufacturer/national-semiconductor?pageNo=30", "National Semiconductor")</f>
        <v>National Semiconductor</v>
      </c>
      <c r="C7669" s="6">
        <v>500</v>
      </c>
      <c r="D7669" s="7">
        <v>7.88</v>
      </c>
      <c r="E7669" t="s">
        <v>25</v>
      </c>
    </row>
    <row r="7670" spans="1:5" x14ac:dyDescent="0.25">
      <c r="A7670" t="str">
        <f>HYPERLINK("https://www.773grp.com/globalSearch/LP3856ESX-ADJ-NOPB/page-1", "LP3856ESX-ADJ-NOPB")</f>
        <v>LP3856ESX-ADJ-NOPB</v>
      </c>
      <c r="B7670" s="3" t="str">
        <f>HYPERLINK("https://www.773grp.com/manufacturer/national-semiconductor?pageNo=31", "National Semiconductor")</f>
        <v>National Semiconductor</v>
      </c>
      <c r="C7670" s="6">
        <v>887</v>
      </c>
      <c r="D7670" s="7">
        <v>7.88</v>
      </c>
      <c r="E7670" t="s">
        <v>25</v>
      </c>
    </row>
    <row r="7671" spans="1:5" x14ac:dyDescent="0.25">
      <c r="A7671" t="str">
        <f>HYPERLINK("https://www.773grp.com/globalSearch/LP3856ET-ADJ-NOPB/page-1", "LP3856ET-ADJ-NOPB")</f>
        <v>LP3856ET-ADJ-NOPB</v>
      </c>
      <c r="B7671" s="3" t="str">
        <f>HYPERLINK("https://www.773grp.com/manufacturer/national-semiconductor?pageNo=32", "National Semiconductor")</f>
        <v>National Semiconductor</v>
      </c>
      <c r="C7671" s="6">
        <v>159</v>
      </c>
      <c r="D7671" s="7">
        <v>7.88</v>
      </c>
      <c r="E7671" t="s">
        <v>25</v>
      </c>
    </row>
    <row r="7672" spans="1:5" x14ac:dyDescent="0.25">
      <c r="A7672" t="str">
        <f>HYPERLINK("https://www.773grp.com/globalSearch/MM74HC259J/page-1", "MM74HC259J")</f>
        <v>MM74HC259J</v>
      </c>
      <c r="B7672" s="3" t="str">
        <f>HYPERLINK("https://www.773grp.com/manufacturer/national-semiconductor?pageNo=33", "National Semiconductor")</f>
        <v>National Semiconductor</v>
      </c>
      <c r="C7672" s="6">
        <v>319</v>
      </c>
      <c r="D7672" s="7">
        <v>7.88</v>
      </c>
      <c r="E7672" t="s">
        <v>35</v>
      </c>
    </row>
    <row r="7673" spans="1:5" x14ac:dyDescent="0.25">
      <c r="A7673" t="str">
        <f>HYPERLINK("https://www.773grp.com/globalSearch/MM74HC393J/page-1", "MM74HC393J")</f>
        <v>MM74HC393J</v>
      </c>
      <c r="B7673" s="3" t="str">
        <f>HYPERLINK("https://www.773grp.com/manufacturer/national-semiconductor?pageNo=34", "National Semiconductor")</f>
        <v>National Semiconductor</v>
      </c>
      <c r="C7673" s="6">
        <v>3335</v>
      </c>
      <c r="D7673" s="7">
        <v>7.88</v>
      </c>
      <c r="E7673" t="s">
        <v>26</v>
      </c>
    </row>
    <row r="7674" spans="1:5" x14ac:dyDescent="0.25">
      <c r="A7674" t="str">
        <f>HYPERLINK("https://www.773grp.com/globalSearch/DP83847ALQA56AX-NOPB/page-1", "DP83847ALQA56AX-NOPB")</f>
        <v>DP83847ALQA56AX-NOPB</v>
      </c>
      <c r="B7674" s="3" t="str">
        <f>HYPERLINK("https://www.773grp.com/manufacturer/national-semiconductor?pageNo=35", "National Semiconductor")</f>
        <v>National Semiconductor</v>
      </c>
      <c r="C7674" s="6">
        <v>2000</v>
      </c>
      <c r="D7674" s="7">
        <v>7.88</v>
      </c>
      <c r="E7674" t="s">
        <v>55</v>
      </c>
    </row>
    <row r="7675" spans="1:5" x14ac:dyDescent="0.25">
      <c r="A7675" t="str">
        <f>HYPERLINK("https://www.773grp.com/globalSearch/LM25066APSQ-NOPB/page-1", "LM25066APSQ-NOPB")</f>
        <v>LM25066APSQ-NOPB</v>
      </c>
      <c r="B7675" s="3" t="str">
        <f>HYPERLINK("https://www.773grp.com/manufacturer/national-semiconductor?pageNo=36", "National Semiconductor")</f>
        <v>National Semiconductor</v>
      </c>
      <c r="C7675" s="6">
        <v>1000</v>
      </c>
      <c r="D7675" s="7">
        <v>7.88</v>
      </c>
    </row>
    <row r="7676" spans="1:5" x14ac:dyDescent="0.25">
      <c r="A7676" t="str">
        <f>HYPERLINK("https://www.773grp.com/globalSearch/LP3853ES-5.0/page-1", "LP3853ES-5.0")</f>
        <v>LP3853ES-5.0</v>
      </c>
      <c r="B7676" s="3" t="str">
        <f>HYPERLINK("https://www.773grp.com/manufacturer/national-semiconductor?pageNo=37", "National Semiconductor")</f>
        <v>National Semiconductor</v>
      </c>
      <c r="C7676" s="6">
        <v>270</v>
      </c>
      <c r="D7676" s="7">
        <v>7.88</v>
      </c>
      <c r="E7676" t="s">
        <v>19</v>
      </c>
    </row>
    <row r="7677" spans="1:5" x14ac:dyDescent="0.25">
      <c r="A7677" t="str">
        <f>HYPERLINK("https://www.773grp.com/globalSearch/LP3853ESX-2.5-NOPB/page-1", "LP3853ESX-2.5-NOPB")</f>
        <v>LP3853ESX-2.5-NOPB</v>
      </c>
      <c r="B7677" s="3" t="str">
        <f>HYPERLINK("https://www.773grp.com/manufacturer/national-semiconductor?pageNo=38", "National Semiconductor")</f>
        <v>National Semiconductor</v>
      </c>
      <c r="C7677" s="6">
        <v>2500</v>
      </c>
      <c r="D7677" s="7">
        <v>7.88</v>
      </c>
      <c r="E7677" t="s">
        <v>19</v>
      </c>
    </row>
    <row r="7678" spans="1:5" x14ac:dyDescent="0.25">
      <c r="A7678" t="str">
        <f>HYPERLINK("https://www.773grp.com/globalSearch/LP3853ET-2.5-NOPB/page-1", "LP3853ET-2.5-NOPB")</f>
        <v>LP3853ET-2.5-NOPB</v>
      </c>
      <c r="B7678" s="3" t="str">
        <f>HYPERLINK("https://www.773grp.com/manufacturer/national-semiconductor?pageNo=39", "National Semiconductor")</f>
        <v>National Semiconductor</v>
      </c>
      <c r="C7678" s="6">
        <v>4950</v>
      </c>
      <c r="D7678" s="7">
        <v>7.88</v>
      </c>
    </row>
    <row r="7679" spans="1:5" x14ac:dyDescent="0.25">
      <c r="A7679" t="str">
        <f>HYPERLINK("https://www.773grp.com/globalSearch/LP3853ET-3.3-NOPB/page-1", "LP3853ET-3.3-NOPB")</f>
        <v>LP3853ET-3.3-NOPB</v>
      </c>
      <c r="B7679" s="3" t="str">
        <f>HYPERLINK("https://www.773grp.com/manufacturer/national-semiconductor?pageNo=40", "National Semiconductor")</f>
        <v>National Semiconductor</v>
      </c>
      <c r="C7679" s="6">
        <v>365</v>
      </c>
      <c r="D7679" s="7">
        <v>7.88</v>
      </c>
      <c r="E7679" t="s">
        <v>19</v>
      </c>
    </row>
    <row r="7680" spans="1:5" x14ac:dyDescent="0.25">
      <c r="A7680" t="str">
        <f>HYPERLINK("https://www.773grp.com/globalSearch/LP3853ET-5.0-NOPB/page-1", "LP3853ET-5.0-NOPB")</f>
        <v>LP3853ET-5.0-NOPB</v>
      </c>
      <c r="B7680" s="3" t="str">
        <f>HYPERLINK("https://www.773grp.com/manufacturer/national-semiconductor?pageNo=41", "National Semiconductor")</f>
        <v>National Semiconductor</v>
      </c>
      <c r="C7680" s="6">
        <v>157</v>
      </c>
      <c r="D7680" s="7">
        <v>7.88</v>
      </c>
      <c r="E7680" t="s">
        <v>19</v>
      </c>
    </row>
    <row r="7681" spans="1:5" x14ac:dyDescent="0.25">
      <c r="A7681" t="str">
        <f>HYPERLINK("https://www.773grp.com/globalSearch/LP3856ESX-ADJ-NOPB/page-1", "LP3856ESX-ADJ-NOPB")</f>
        <v>LP3856ESX-ADJ-NOPB</v>
      </c>
      <c r="B7681" s="3" t="str">
        <f>HYPERLINK("https://www.773grp.com/manufacturer/national-semiconductor?pageNo=42", "National Semiconductor")</f>
        <v>National Semiconductor</v>
      </c>
      <c r="C7681" s="6">
        <v>850</v>
      </c>
      <c r="D7681" s="7">
        <v>7.88</v>
      </c>
      <c r="E7681" t="s">
        <v>25</v>
      </c>
    </row>
    <row r="7682" spans="1:5" x14ac:dyDescent="0.25">
      <c r="A7682" t="str">
        <f>HYPERLINK("https://www.773grp.com/globalSearch/LP3856ET-ADJ-NOPB/page-1", "LP3856ET-ADJ-NOPB")</f>
        <v>LP3856ET-ADJ-NOPB</v>
      </c>
      <c r="B7682" s="3" t="str">
        <f>HYPERLINK("https://www.773grp.com/manufacturer/national-semiconductor?pageNo=43", "National Semiconductor")</f>
        <v>National Semiconductor</v>
      </c>
      <c r="C7682" s="6">
        <v>3529</v>
      </c>
      <c r="D7682" s="7">
        <v>7.88</v>
      </c>
      <c r="E7682" t="s">
        <v>25</v>
      </c>
    </row>
    <row r="7683" spans="1:5" x14ac:dyDescent="0.25">
      <c r="A7683" t="str">
        <f>HYPERLINK("https://www.773grp.com/globalSearch/4020BDMQB/page-1", "4020BDMQB")</f>
        <v>4020BDMQB</v>
      </c>
      <c r="B7683" s="3" t="str">
        <f>HYPERLINK("https://www.773grp.com/manufacturer/national-semiconductor?pageNo=44", "National Semiconductor")</f>
        <v>National Semiconductor</v>
      </c>
      <c r="C7683" s="6">
        <v>4350</v>
      </c>
      <c r="D7683" s="7">
        <v>7.9</v>
      </c>
    </row>
    <row r="7684" spans="1:5" x14ac:dyDescent="0.25">
      <c r="A7684" t="str">
        <f>HYPERLINK("https://www.773grp.com/globalSearch/LP2954AIS/page-1", "LP2954AIS")</f>
        <v>LP2954AIS</v>
      </c>
      <c r="B7684" s="3" t="str">
        <f>HYPERLINK("https://www.773grp.com/manufacturer/national-semiconductor?pageNo=45", "National Semiconductor")</f>
        <v>National Semiconductor</v>
      </c>
      <c r="C7684" s="6">
        <v>2468</v>
      </c>
      <c r="D7684" s="7">
        <v>7.9</v>
      </c>
      <c r="E7684" t="s">
        <v>19</v>
      </c>
    </row>
    <row r="7685" spans="1:5" x14ac:dyDescent="0.25">
      <c r="A7685" t="str">
        <f>HYPERLINK("https://www.773grp.com/globalSearch/40014BDC/page-1", "40014BDC")</f>
        <v>40014BDC</v>
      </c>
      <c r="B7685" s="3" t="str">
        <f>HYPERLINK("https://www.773grp.com/manufacturer/national-semiconductor?pageNo=46", "National Semiconductor")</f>
        <v>National Semiconductor</v>
      </c>
      <c r="C7685" s="6">
        <v>282</v>
      </c>
      <c r="D7685" s="7">
        <v>7.94</v>
      </c>
    </row>
    <row r="7686" spans="1:5" x14ac:dyDescent="0.25">
      <c r="A7686" t="str">
        <f>HYPERLINK("https://www.773grp.com/globalSearch/74FCT244SCX/page-1", "74FCT244SCX")</f>
        <v>74FCT244SCX</v>
      </c>
      <c r="B7686" s="3" t="str">
        <f>HYPERLINK("https://www.773grp.com/manufacturer/national-semiconductor?pageNo=47", "National Semiconductor")</f>
        <v>National Semiconductor</v>
      </c>
      <c r="C7686" s="6">
        <v>837</v>
      </c>
      <c r="D7686" s="7">
        <v>7.94</v>
      </c>
      <c r="E7686" t="s">
        <v>14</v>
      </c>
    </row>
    <row r="7687" spans="1:5" x14ac:dyDescent="0.25">
      <c r="A7687" t="str">
        <f>HYPERLINK("https://www.773grp.com/globalSearch/74H21DC/page-1", "74H21DC")</f>
        <v>74H21DC</v>
      </c>
      <c r="B7687" s="3" t="str">
        <f>HYPERLINK("https://www.773grp.com/manufacturer/national-semiconductor?pageNo=48", "National Semiconductor")</f>
        <v>National Semiconductor</v>
      </c>
      <c r="C7687" s="6">
        <v>1029</v>
      </c>
      <c r="D7687" s="7">
        <v>7.94</v>
      </c>
    </row>
    <row r="7688" spans="1:5" x14ac:dyDescent="0.25">
      <c r="A7688" t="str">
        <f>HYPERLINK("https://www.773grp.com/globalSearch/LM25576MHX/page-1", "LM25576MHX")</f>
        <v>LM25576MHX</v>
      </c>
      <c r="B7688" s="3" t="str">
        <f>HYPERLINK("https://www.773grp.com/manufacturer/national-semiconductor?pageNo=49", "National Semiconductor")</f>
        <v>National Semiconductor</v>
      </c>
      <c r="C7688" s="6">
        <v>25000</v>
      </c>
      <c r="D7688" s="7">
        <v>7.94</v>
      </c>
      <c r="E7688" t="s">
        <v>7</v>
      </c>
    </row>
    <row r="7689" spans="1:5" x14ac:dyDescent="0.25">
      <c r="A7689" t="str">
        <f>HYPERLINK("https://www.773grp.com/globalSearch/LM2591HVSX-ADJ/page-1", "LM2591HVSX-ADJ")</f>
        <v>LM2591HVSX-ADJ</v>
      </c>
      <c r="B7689" s="3" t="str">
        <f>HYPERLINK("https://www.773grp.com/manufacturer/national-semiconductor?pageNo=50", "National Semiconductor")</f>
        <v>National Semiconductor</v>
      </c>
      <c r="C7689" s="6">
        <v>5500</v>
      </c>
      <c r="D7689" s="7">
        <v>7.94</v>
      </c>
      <c r="E7689" t="s">
        <v>7</v>
      </c>
    </row>
    <row r="7690" spans="1:5" x14ac:dyDescent="0.25">
      <c r="A7690" t="str">
        <f>HYPERLINK("https://www.773grp.com/globalSearch/LM2591HVT-5.0/page-1", "LM2591HVT-5.0")</f>
        <v>LM2591HVT-5.0</v>
      </c>
      <c r="B7690" s="3" t="str">
        <f>HYPERLINK("https://www.773grp.com/manufacturer/national-semiconductor?pageNo=51", "National Semiconductor")</f>
        <v>National Semiconductor</v>
      </c>
      <c r="C7690" s="6">
        <v>180</v>
      </c>
      <c r="D7690" s="7">
        <v>7.94</v>
      </c>
      <c r="E7690" t="s">
        <v>7</v>
      </c>
    </row>
    <row r="7691" spans="1:5" x14ac:dyDescent="0.25">
      <c r="A7691" t="str">
        <f>HYPERLINK("https://www.773grp.com/globalSearch/LM6142AIM-NOPB/page-1", "LM6142AIM-NOPB")</f>
        <v>LM6142AIM-NOPB</v>
      </c>
      <c r="B7691" s="3" t="str">
        <f>HYPERLINK("https://www.773grp.com/manufacturer/national-semiconductor?pageNo=52", "National Semiconductor")</f>
        <v>National Semiconductor</v>
      </c>
      <c r="C7691" s="6">
        <v>1685</v>
      </c>
      <c r="D7691" s="7">
        <v>7.94</v>
      </c>
      <c r="E7691" t="s">
        <v>13</v>
      </c>
    </row>
    <row r="7692" spans="1:5" x14ac:dyDescent="0.25">
      <c r="A7692" t="str">
        <f>HYPERLINK("https://www.773grp.com/globalSearch/LM22678TJE-5.0-NOPB/page-1", "LM22678TJE-5.0-NOPB")</f>
        <v>LM22678TJE-5.0-NOPB</v>
      </c>
      <c r="B7692" s="3" t="str">
        <f>HYPERLINK("https://www.773grp.com/manufacturer/national-semiconductor?pageNo=53", "National Semiconductor")</f>
        <v>National Semiconductor</v>
      </c>
      <c r="C7692" s="6">
        <v>1481</v>
      </c>
      <c r="D7692" s="7">
        <v>7.94</v>
      </c>
    </row>
    <row r="7693" spans="1:5" x14ac:dyDescent="0.25">
      <c r="A7693" t="str">
        <f>HYPERLINK("https://www.773grp.com/globalSearch/LM22678TJE-ADJ-NOPB/page-1", "LM22678TJE-ADJ-NOPB")</f>
        <v>LM22678TJE-ADJ-NOPB</v>
      </c>
      <c r="B7693" s="3" t="str">
        <f>HYPERLINK("https://www.773grp.com/manufacturer/national-semiconductor?pageNo=54", "National Semiconductor")</f>
        <v>National Semiconductor</v>
      </c>
      <c r="C7693" s="6">
        <v>860</v>
      </c>
      <c r="D7693" s="7">
        <v>7.94</v>
      </c>
    </row>
    <row r="7694" spans="1:5" x14ac:dyDescent="0.25">
      <c r="A7694" t="str">
        <f>HYPERLINK("https://www.773grp.com/globalSearch/LM25576MHX/page-1", "LM25576MHX")</f>
        <v>LM25576MHX</v>
      </c>
      <c r="B7694" s="3" t="str">
        <f>HYPERLINK("https://www.773grp.com/manufacturer/national-semiconductor?pageNo=55", "National Semiconductor")</f>
        <v>National Semiconductor</v>
      </c>
      <c r="C7694" s="6">
        <v>137</v>
      </c>
      <c r="D7694" s="7">
        <v>7.94</v>
      </c>
      <c r="E7694" t="s">
        <v>7</v>
      </c>
    </row>
    <row r="7695" spans="1:5" x14ac:dyDescent="0.25">
      <c r="A7695" t="str">
        <f>HYPERLINK("https://www.773grp.com/globalSearch/LM2591HVT-5.0/page-1", "LM2591HVT-5.0")</f>
        <v>LM2591HVT-5.0</v>
      </c>
      <c r="B7695" s="3" t="str">
        <f>HYPERLINK("https://www.773grp.com/manufacturer/national-semiconductor?pageNo=56", "National Semiconductor")</f>
        <v>National Semiconductor</v>
      </c>
      <c r="C7695" s="6">
        <v>65</v>
      </c>
      <c r="D7695" s="7">
        <v>7.94</v>
      </c>
      <c r="E7695" t="s">
        <v>7</v>
      </c>
    </row>
    <row r="7696" spans="1:5" x14ac:dyDescent="0.25">
      <c r="A7696" t="str">
        <f>HYPERLINK("https://www.773grp.com/globalSearch/LM5117QPMH-NOPB/page-1", "LM5117QPMH-NOPB")</f>
        <v>LM5117QPMH-NOPB</v>
      </c>
      <c r="B7696" s="3" t="str">
        <f>HYPERLINK("https://www.773grp.com/manufacturer/national-semiconductor?pageNo=57", "National Semiconductor")</f>
        <v>National Semiconductor</v>
      </c>
      <c r="C7696" s="6">
        <v>240</v>
      </c>
      <c r="D7696" s="7">
        <v>7.94</v>
      </c>
    </row>
    <row r="7697" spans="1:5" x14ac:dyDescent="0.25">
      <c r="A7697" t="str">
        <f>HYPERLINK("https://www.773grp.com/globalSearch/LM6142AIM-NOPB/page-1", "LM6142AIM-NOPB")</f>
        <v>LM6142AIM-NOPB</v>
      </c>
      <c r="B7697" s="3" t="str">
        <f>HYPERLINK("https://www.773grp.com/manufacturer/national-semiconductor?pageNo=58", "National Semiconductor")</f>
        <v>National Semiconductor</v>
      </c>
      <c r="C7697" s="6">
        <v>12064</v>
      </c>
      <c r="D7697" s="7">
        <v>7.94</v>
      </c>
      <c r="E7697" t="s">
        <v>13</v>
      </c>
    </row>
    <row r="7698" spans="1:5" x14ac:dyDescent="0.25">
      <c r="A7698" t="str">
        <f>HYPERLINK("https://www.773grp.com/globalSearch/74H00DC/page-1", "74H00DC")</f>
        <v>74H00DC</v>
      </c>
      <c r="B7698" s="3" t="str">
        <f>HYPERLINK("https://www.773grp.com/manufacturer/national-semiconductor?pageNo=59", "National Semiconductor")</f>
        <v>National Semiconductor</v>
      </c>
      <c r="C7698" s="6">
        <v>3167</v>
      </c>
      <c r="D7698" s="7">
        <v>7.96</v>
      </c>
      <c r="E7698" t="s">
        <v>31</v>
      </c>
    </row>
    <row r="7699" spans="1:5" x14ac:dyDescent="0.25">
      <c r="A7699" t="str">
        <f>HYPERLINK("https://www.773grp.com/globalSearch/CGS74B2528N/page-1", "CGS74B2528N")</f>
        <v>CGS74B2528N</v>
      </c>
      <c r="B7699" s="3" t="str">
        <f>HYPERLINK("https://www.773grp.com/manufacturer/national-semiconductor?pageNo=60", "National Semiconductor")</f>
        <v>National Semiconductor</v>
      </c>
      <c r="C7699" s="6">
        <v>1249</v>
      </c>
      <c r="D7699" s="7">
        <v>7.96</v>
      </c>
      <c r="E7699" t="s">
        <v>34</v>
      </c>
    </row>
    <row r="7700" spans="1:5" x14ac:dyDescent="0.25">
      <c r="A7700" t="str">
        <f>HYPERLINK("https://www.773grp.com/globalSearch/CGS74CT2526N/page-1", "CGS74CT2526N")</f>
        <v>CGS74CT2526N</v>
      </c>
      <c r="B7700" s="3" t="str">
        <f>HYPERLINK("https://www.773grp.com/manufacturer/national-semiconductor?pageNo=61", "National Semiconductor")</f>
        <v>National Semiconductor</v>
      </c>
      <c r="C7700" s="6">
        <v>640</v>
      </c>
      <c r="D7700" s="7">
        <v>7.96</v>
      </c>
      <c r="E7700" t="s">
        <v>34</v>
      </c>
    </row>
    <row r="7701" spans="1:5" x14ac:dyDescent="0.25">
      <c r="A7701" t="str">
        <f>HYPERLINK("https://www.773grp.com/globalSearch/LMX2515LQ1321/page-1", "LMX2515LQ1321")</f>
        <v>LMX2515LQ1321</v>
      </c>
      <c r="B7701" s="3" t="str">
        <f>HYPERLINK("https://www.773grp.com/manufacturer/national-semiconductor?pageNo=62", "National Semiconductor")</f>
        <v>National Semiconductor</v>
      </c>
      <c r="C7701" s="6">
        <v>21000</v>
      </c>
      <c r="D7701" s="7">
        <v>7.96</v>
      </c>
      <c r="E7701" t="s">
        <v>38</v>
      </c>
    </row>
    <row r="7702" spans="1:5" x14ac:dyDescent="0.25">
      <c r="A7702" t="str">
        <f>HYPERLINK("https://www.773grp.com/globalSearch/TP3054WM-X-NOPB/page-1", "TP3054WM-X-NOPB")</f>
        <v>TP3054WM-X-NOPB</v>
      </c>
      <c r="B7702" s="3" t="str">
        <f>HYPERLINK("https://www.773grp.com/manufacturer/national-semiconductor?pageNo=63", "National Semiconductor")</f>
        <v>National Semiconductor</v>
      </c>
      <c r="C7702" s="6">
        <v>135</v>
      </c>
      <c r="D7702" s="7">
        <v>7.96</v>
      </c>
    </row>
    <row r="7703" spans="1:5" x14ac:dyDescent="0.25">
      <c r="A7703" t="str">
        <f>HYPERLINK("https://www.773grp.com/globalSearch/LP3974RME-NOPB/page-1", "LP3974RME-NOPB")</f>
        <v>LP3974RME-NOPB</v>
      </c>
      <c r="B7703" s="3" t="str">
        <f>HYPERLINK("https://www.773grp.com/manufacturer/national-semiconductor?pageNo=64", "National Semiconductor")</f>
        <v>National Semiconductor</v>
      </c>
      <c r="C7703" s="6">
        <v>1000</v>
      </c>
      <c r="D7703" s="7">
        <v>7.96</v>
      </c>
    </row>
    <row r="7704" spans="1:5" x14ac:dyDescent="0.25">
      <c r="A7704" t="str">
        <f>HYPERLINK("https://www.773grp.com/globalSearch/TP3054WM-X-NOPB/page-1", "TP3054WM-X-NOPB")</f>
        <v>TP3054WM-X-NOPB</v>
      </c>
      <c r="B7704" s="3" t="str">
        <f>HYPERLINK("https://www.773grp.com/manufacturer/national-semiconductor?pageNo=65", "National Semiconductor")</f>
        <v>National Semiconductor</v>
      </c>
      <c r="C7704" s="6">
        <v>1211</v>
      </c>
      <c r="D7704" s="7">
        <v>7.96</v>
      </c>
    </row>
    <row r="7705" spans="1:5" x14ac:dyDescent="0.25">
      <c r="A7705" t="str">
        <f>HYPERLINK("https://www.773grp.com/globalSearch/ADC0802LCN-NOPB/page-1", "ADC0802LCN-NOPB")</f>
        <v>ADC0802LCN-NOPB</v>
      </c>
      <c r="B7705" s="3" t="str">
        <f>HYPERLINK("https://www.773grp.com/manufacturer/national-semiconductor?pageNo=66", "National Semiconductor")</f>
        <v>National Semiconductor</v>
      </c>
      <c r="C7705" s="6">
        <v>54</v>
      </c>
      <c r="D7705" s="7">
        <v>7.99</v>
      </c>
      <c r="E7705" t="s">
        <v>39</v>
      </c>
    </row>
    <row r="7706" spans="1:5" x14ac:dyDescent="0.25">
      <c r="A7706" t="str">
        <f>HYPERLINK("https://www.773grp.com/globalSearch/ADC10158CIWMX-NOPB/page-1", "ADC10158CIWMX-NOPB")</f>
        <v>ADC10158CIWMX-NOPB</v>
      </c>
      <c r="B7706" s="3" t="str">
        <f>HYPERLINK("https://www.773grp.com/manufacturer/national-semiconductor?pageNo=67", "National Semiconductor")</f>
        <v>National Semiconductor</v>
      </c>
      <c r="C7706" s="6">
        <v>6800</v>
      </c>
      <c r="D7706" s="7">
        <v>7.99</v>
      </c>
      <c r="E7706" t="s">
        <v>39</v>
      </c>
    </row>
    <row r="7707" spans="1:5" x14ac:dyDescent="0.25">
      <c r="A7707" t="str">
        <f>HYPERLINK("https://www.773grp.com/globalSearch/LM2678LD-5.0/page-1", "LM2678LD-5.0")</f>
        <v>LM2678LD-5.0</v>
      </c>
      <c r="B7707" s="3" t="str">
        <f>HYPERLINK("https://www.773grp.com/manufacturer/national-semiconductor?pageNo=68", "National Semiconductor")</f>
        <v>National Semiconductor</v>
      </c>
      <c r="C7707" s="6">
        <v>3250</v>
      </c>
      <c r="D7707" s="7">
        <v>7.99</v>
      </c>
      <c r="E7707" t="s">
        <v>7</v>
      </c>
    </row>
    <row r="7708" spans="1:5" x14ac:dyDescent="0.25">
      <c r="A7708" t="str">
        <f>HYPERLINK("https://www.773grp.com/globalSearch/LM6154BCMX-NOPB/page-1", "LM6154BCMX-NOPB")</f>
        <v>LM6154BCMX-NOPB</v>
      </c>
      <c r="B7708" s="3" t="str">
        <f>HYPERLINK("https://www.773grp.com/manufacturer/national-semiconductor?pageNo=69", "National Semiconductor")</f>
        <v>National Semiconductor</v>
      </c>
      <c r="C7708" s="6">
        <v>12500</v>
      </c>
      <c r="D7708" s="7">
        <v>7.99</v>
      </c>
      <c r="E7708" t="s">
        <v>13</v>
      </c>
    </row>
    <row r="7709" spans="1:5" x14ac:dyDescent="0.25">
      <c r="A7709" t="str">
        <f>HYPERLINK("https://www.773grp.com/globalSearch/ADC0802LCN-NOPB/page-1", "ADC0802LCN-NOPB")</f>
        <v>ADC0802LCN-NOPB</v>
      </c>
      <c r="B7709" s="3" t="str">
        <f>HYPERLINK("https://www.773grp.com/manufacturer/national-semiconductor?pageNo=70", "National Semiconductor")</f>
        <v>National Semiconductor</v>
      </c>
      <c r="C7709" s="6">
        <v>78</v>
      </c>
      <c r="D7709" s="7">
        <v>7.99</v>
      </c>
      <c r="E7709" t="s">
        <v>39</v>
      </c>
    </row>
    <row r="7710" spans="1:5" x14ac:dyDescent="0.25">
      <c r="A7710" t="str">
        <f>HYPERLINK("https://www.773grp.com/globalSearch/ADC10158CIWMX-NOPB/page-1", "ADC10158CIWMX-NOPB")</f>
        <v>ADC10158CIWMX-NOPB</v>
      </c>
      <c r="B7710" s="3" t="str">
        <f>HYPERLINK("https://www.773grp.com/manufacturer/national-semiconductor?pageNo=71", "National Semiconductor")</f>
        <v>National Semiconductor</v>
      </c>
      <c r="C7710" s="6">
        <v>2284</v>
      </c>
      <c r="D7710" s="7">
        <v>7.99</v>
      </c>
      <c r="E7710" t="s">
        <v>39</v>
      </c>
    </row>
    <row r="7711" spans="1:5" x14ac:dyDescent="0.25">
      <c r="A7711" t="str">
        <f>HYPERLINK("https://www.773grp.com/globalSearch/54161ADM/page-1", "54161ADM")</f>
        <v>54161ADM</v>
      </c>
      <c r="B7711" s="3" t="str">
        <f>HYPERLINK("https://www.773grp.com/manufacturer/national-semiconductor?pageNo=72", "National Semiconductor")</f>
        <v>National Semiconductor</v>
      </c>
      <c r="C7711" s="6">
        <v>256</v>
      </c>
      <c r="D7711" s="7">
        <v>8.01</v>
      </c>
    </row>
    <row r="7712" spans="1:5" x14ac:dyDescent="0.25">
      <c r="A7712" t="str">
        <f>HYPERLINK("https://www.773grp.com/globalSearch/5416FM/page-1", "5416FM")</f>
        <v>5416FM</v>
      </c>
      <c r="B7712" s="3" t="str">
        <f>HYPERLINK("https://www.773grp.com/manufacturer/national-semiconductor?pageNo=73", "National Semiconductor")</f>
        <v>National Semiconductor</v>
      </c>
      <c r="C7712" s="6">
        <v>672</v>
      </c>
      <c r="D7712" s="7">
        <v>8.01</v>
      </c>
    </row>
    <row r="7713" spans="1:5" x14ac:dyDescent="0.25">
      <c r="A7713" t="str">
        <f>HYPERLINK("https://www.773grp.com/globalSearch/74H30DC/page-1", "74H30DC")</f>
        <v>74H30DC</v>
      </c>
      <c r="B7713" s="3" t="str">
        <f>HYPERLINK("https://www.773grp.com/manufacturer/national-semiconductor?pageNo=74", "National Semiconductor")</f>
        <v>National Semiconductor</v>
      </c>
      <c r="C7713" s="6">
        <v>2363</v>
      </c>
      <c r="D7713" s="7">
        <v>8.01</v>
      </c>
      <c r="E7713" t="s">
        <v>31</v>
      </c>
    </row>
    <row r="7714" spans="1:5" x14ac:dyDescent="0.25">
      <c r="A7714" t="str">
        <f>HYPERLINK("https://www.773grp.com/globalSearch/DM7221J-883/page-1", "DM7221J-883")</f>
        <v>DM7221J-883</v>
      </c>
      <c r="B7714" s="3" t="str">
        <f>HYPERLINK("https://www.773grp.com/manufacturer/national-semiconductor?pageNo=75", "National Semiconductor")</f>
        <v>National Semiconductor</v>
      </c>
      <c r="C7714" s="6">
        <v>464</v>
      </c>
      <c r="D7714" s="7">
        <v>8.01</v>
      </c>
    </row>
    <row r="7715" spans="1:5" x14ac:dyDescent="0.25">
      <c r="A7715" t="str">
        <f>HYPERLINK("https://www.773grp.com/globalSearch/GAL20V8A-12LVC/page-1", "GAL20V8A-12LVC")</f>
        <v>GAL20V8A-12LVC</v>
      </c>
      <c r="B7715" s="3" t="str">
        <f>HYPERLINK("https://www.773grp.com/manufacturer/national-semiconductor?pageNo=76", "National Semiconductor")</f>
        <v>National Semiconductor</v>
      </c>
      <c r="C7715" s="6">
        <v>10361</v>
      </c>
      <c r="D7715" s="7">
        <v>8.01</v>
      </c>
      <c r="E7715" t="s">
        <v>51</v>
      </c>
    </row>
    <row r="7716" spans="1:5" x14ac:dyDescent="0.25">
      <c r="A7716" t="str">
        <f>HYPERLINK("https://www.773grp.com/globalSearch/LM1876T-NOPB/page-1", "LM1876T-NOPB")</f>
        <v>LM1876T-NOPB</v>
      </c>
      <c r="B7716" s="3" t="str">
        <f>HYPERLINK("https://www.773grp.com/manufacturer/national-semiconductor?pageNo=77", "National Semiconductor")</f>
        <v>National Semiconductor</v>
      </c>
      <c r="C7716" s="6">
        <v>525</v>
      </c>
      <c r="D7716" s="7">
        <v>8.01</v>
      </c>
      <c r="E7716" t="s">
        <v>18</v>
      </c>
    </row>
    <row r="7717" spans="1:5" x14ac:dyDescent="0.25">
      <c r="A7717" t="str">
        <f>HYPERLINK("https://www.773grp.com/globalSearch/LM1876TF-NOPB/page-1", "LM1876TF-NOPB")</f>
        <v>LM1876TF-NOPB</v>
      </c>
      <c r="B7717" s="3" t="str">
        <f>HYPERLINK("https://www.773grp.com/manufacturer/national-semiconductor?pageNo=78", "National Semiconductor")</f>
        <v>National Semiconductor</v>
      </c>
      <c r="C7717" s="6">
        <v>199</v>
      </c>
      <c r="D7717" s="7">
        <v>8.01</v>
      </c>
      <c r="E7717" t="s">
        <v>18</v>
      </c>
    </row>
    <row r="7718" spans="1:5" x14ac:dyDescent="0.25">
      <c r="A7718" t="str">
        <f>HYPERLINK("https://www.773grp.com/globalSearch/MM54HC161J/page-1", "MM54HC161J")</f>
        <v>MM54HC161J</v>
      </c>
      <c r="B7718" s="3" t="str">
        <f>HYPERLINK("https://www.773grp.com/manufacturer/national-semiconductor?pageNo=79", "National Semiconductor")</f>
        <v>National Semiconductor</v>
      </c>
      <c r="C7718" s="6">
        <v>3</v>
      </c>
      <c r="D7718" s="7">
        <v>8.01</v>
      </c>
      <c r="E7718" t="s">
        <v>26</v>
      </c>
    </row>
    <row r="7719" spans="1:5" x14ac:dyDescent="0.25">
      <c r="A7719" t="str">
        <f>HYPERLINK("https://www.773grp.com/globalSearch/LM1876T-NOPB/page-1", "LM1876T-NOPB")</f>
        <v>LM1876T-NOPB</v>
      </c>
      <c r="B7719" s="3" t="str">
        <f>HYPERLINK("https://www.773grp.com/manufacturer/national-semiconductor?pageNo=80", "National Semiconductor")</f>
        <v>National Semiconductor</v>
      </c>
      <c r="C7719" s="6">
        <v>265</v>
      </c>
      <c r="D7719" s="7">
        <v>8.01</v>
      </c>
      <c r="E7719" t="s">
        <v>18</v>
      </c>
    </row>
    <row r="7720" spans="1:5" x14ac:dyDescent="0.25">
      <c r="A7720" t="str">
        <f>HYPERLINK("https://www.773grp.com/globalSearch/LM1876TF-NOPB/page-1", "LM1876TF-NOPB")</f>
        <v>LM1876TF-NOPB</v>
      </c>
      <c r="B7720" s="3" t="str">
        <f>HYPERLINK("https://www.773grp.com/manufacturer/national-semiconductor?pageNo=81", "National Semiconductor")</f>
        <v>National Semiconductor</v>
      </c>
      <c r="C7720" s="6">
        <v>233</v>
      </c>
      <c r="D7720" s="7">
        <v>8.01</v>
      </c>
      <c r="E7720" t="s">
        <v>18</v>
      </c>
    </row>
    <row r="7721" spans="1:5" x14ac:dyDescent="0.25">
      <c r="A7721" t="str">
        <f>HYPERLINK("https://www.773grp.com/globalSearch/TLV320AIC1110GQER/page-1", "TLV320AIC1110GQER")</f>
        <v>TLV320AIC1110GQER</v>
      </c>
      <c r="B7721" s="3" t="str">
        <f>HYPERLINK("https://www.773grp.com/manufacturer/national-semiconductor?pageNo=82", "National Semiconductor")</f>
        <v>National Semiconductor</v>
      </c>
      <c r="C7721" s="6">
        <v>2500</v>
      </c>
      <c r="D7721" s="7">
        <v>8.01</v>
      </c>
    </row>
    <row r="7722" spans="1:5" x14ac:dyDescent="0.25">
      <c r="A7722" t="str">
        <f>HYPERLINK("https://www.773grp.com/globalSearch/LM5118MH-NOPB/page-1", "LM5118MH-NOPB")</f>
        <v>LM5118MH-NOPB</v>
      </c>
      <c r="B7722" s="3" t="str">
        <f>HYPERLINK("https://www.773grp.com/manufacturer/national-semiconductor?pageNo=83", "National Semiconductor")</f>
        <v>National Semiconductor</v>
      </c>
      <c r="C7722" s="6">
        <v>40</v>
      </c>
      <c r="D7722" s="7">
        <v>8.0500000000000007</v>
      </c>
      <c r="E7722" t="s">
        <v>7</v>
      </c>
    </row>
    <row r="7723" spans="1:5" x14ac:dyDescent="0.25">
      <c r="A7723" t="str">
        <f>HYPERLINK("https://www.773grp.com/globalSearch/MM5453N/page-1", "MM5453N")</f>
        <v>MM5453N</v>
      </c>
      <c r="B7723" s="3" t="str">
        <f>HYPERLINK("https://www.773grp.com/manufacturer/national-semiconductor?pageNo=84", "National Semiconductor")</f>
        <v>National Semiconductor</v>
      </c>
      <c r="C7723" s="6">
        <v>709</v>
      </c>
      <c r="D7723" s="7">
        <v>8.0500000000000007</v>
      </c>
      <c r="E7723" t="s">
        <v>10</v>
      </c>
    </row>
    <row r="7724" spans="1:5" x14ac:dyDescent="0.25">
      <c r="A7724" t="str">
        <f>HYPERLINK("https://www.773grp.com/globalSearch/MM5453V-NOPB/page-1", "MM5453V-NOPB")</f>
        <v>MM5453V-NOPB</v>
      </c>
      <c r="B7724" s="3" t="str">
        <f>HYPERLINK("https://www.773grp.com/manufacturer/national-semiconductor?pageNo=85", "National Semiconductor")</f>
        <v>National Semiconductor</v>
      </c>
      <c r="C7724" s="6">
        <v>265</v>
      </c>
      <c r="D7724" s="7">
        <v>8.0500000000000007</v>
      </c>
      <c r="E7724" t="s">
        <v>10</v>
      </c>
    </row>
    <row r="7725" spans="1:5" x14ac:dyDescent="0.25">
      <c r="A7725" t="str">
        <f>HYPERLINK("https://www.773grp.com/globalSearch/CF4320HZKFR/page-1", "CF4320HZKFR")</f>
        <v>CF4320HZKFR</v>
      </c>
      <c r="B7725" s="3" t="str">
        <f>HYPERLINK("https://www.773grp.com/manufacturer/national-semiconductor?pageNo=86", "National Semiconductor")</f>
        <v>National Semiconductor</v>
      </c>
      <c r="C7725" s="6">
        <v>1000</v>
      </c>
      <c r="D7725" s="7">
        <v>8.0500000000000007</v>
      </c>
    </row>
    <row r="7726" spans="1:5" x14ac:dyDescent="0.25">
      <c r="A7726" t="str">
        <f>HYPERLINK("https://www.773grp.com/globalSearch/LM2676SD-ADJ/page-1", "LM2676SD-ADJ")</f>
        <v>LM2676SD-ADJ</v>
      </c>
      <c r="B7726" s="3" t="str">
        <f>HYPERLINK("https://www.773grp.com/manufacturer/national-semiconductor?pageNo=87", "National Semiconductor")</f>
        <v>National Semiconductor</v>
      </c>
      <c r="C7726" s="6">
        <v>1000</v>
      </c>
      <c r="D7726" s="7">
        <v>8.0500000000000007</v>
      </c>
    </row>
    <row r="7727" spans="1:5" x14ac:dyDescent="0.25">
      <c r="A7727" t="str">
        <f>HYPERLINK("https://www.773grp.com/globalSearch/LM5118MH-NOPB/page-1", "LM5118MH-NOPB")</f>
        <v>LM5118MH-NOPB</v>
      </c>
      <c r="B7727" s="3" t="str">
        <f>HYPERLINK("https://www.773grp.com/manufacturer/national-semiconductor?pageNo=88", "National Semiconductor")</f>
        <v>National Semiconductor</v>
      </c>
      <c r="C7727" s="6">
        <v>1228</v>
      </c>
      <c r="D7727" s="7">
        <v>8.0500000000000007</v>
      </c>
      <c r="E7727" t="s">
        <v>7</v>
      </c>
    </row>
    <row r="7728" spans="1:5" x14ac:dyDescent="0.25">
      <c r="A7728" t="str">
        <f>HYPERLINK("https://www.773grp.com/globalSearch/54F109FMQB/page-1", "54F109FMQB")</f>
        <v>54F109FMQB</v>
      </c>
      <c r="B7728" s="3" t="str">
        <f>HYPERLINK("https://www.773grp.com/manufacturer/national-semiconductor?pageNo=89", "National Semiconductor")</f>
        <v>National Semiconductor</v>
      </c>
      <c r="C7728" s="6">
        <v>47</v>
      </c>
      <c r="D7728" s="7">
        <v>8.06</v>
      </c>
      <c r="E7728" t="s">
        <v>35</v>
      </c>
    </row>
    <row r="7729" spans="1:5" x14ac:dyDescent="0.25">
      <c r="A7729" t="str">
        <f>HYPERLINK("https://www.773grp.com/globalSearch/LMH6505MA-NOPB/page-1", "LMH6505MA-NOPB")</f>
        <v>LMH6505MA-NOPB</v>
      </c>
      <c r="B7729" s="3" t="str">
        <f>HYPERLINK("https://www.773grp.com/manufacturer/national-semiconductor?pageNo=90", "National Semiconductor")</f>
        <v>National Semiconductor</v>
      </c>
      <c r="C7729" s="6">
        <v>76</v>
      </c>
      <c r="D7729" s="7">
        <v>8.06</v>
      </c>
    </row>
    <row r="7730" spans="1:5" x14ac:dyDescent="0.25">
      <c r="A7730" t="str">
        <f>HYPERLINK("https://www.773grp.com/globalSearch/LMH6505MA-NOPB/page-1", "LMH6505MA-NOPB")</f>
        <v>LMH6505MA-NOPB</v>
      </c>
      <c r="B7730" s="3" t="str">
        <f>HYPERLINK("https://www.773grp.com/manufacturer/national-semiconductor?pageNo=91", "National Semiconductor")</f>
        <v>National Semiconductor</v>
      </c>
      <c r="C7730" s="6">
        <v>1718</v>
      </c>
      <c r="D7730" s="7">
        <v>8.06</v>
      </c>
    </row>
    <row r="7731" spans="1:5" x14ac:dyDescent="0.25">
      <c r="A7731" t="str">
        <f>HYPERLINK("https://www.773grp.com/globalSearch/9158DC/page-1", "9158DC")</f>
        <v>9158DC</v>
      </c>
      <c r="B7731" s="3" t="str">
        <f>HYPERLINK("https://www.773grp.com/manufacturer/national-semiconductor?pageNo=92", "National Semiconductor")</f>
        <v>National Semiconductor</v>
      </c>
      <c r="C7731" s="6">
        <v>163</v>
      </c>
      <c r="D7731" s="7">
        <v>8.1</v>
      </c>
    </row>
    <row r="7732" spans="1:5" x14ac:dyDescent="0.25">
      <c r="A7732" t="str">
        <f>HYPERLINK("https://www.773grp.com/globalSearch/LM21305SQE-NOPB/page-1", "LM21305SQE-NOPB")</f>
        <v>LM21305SQE-NOPB</v>
      </c>
      <c r="B7732" s="3" t="str">
        <f>HYPERLINK("https://www.773grp.com/manufacturer/national-semiconductor?pageNo=93", "National Semiconductor")</f>
        <v>National Semiconductor</v>
      </c>
      <c r="C7732" s="6">
        <v>250</v>
      </c>
      <c r="D7732" s="7">
        <v>8.1</v>
      </c>
    </row>
    <row r="7733" spans="1:5" x14ac:dyDescent="0.25">
      <c r="A7733" t="str">
        <f>HYPERLINK("https://www.773grp.com/globalSearch/LM22677TJE-5.0-NOPB/page-1", "LM22677TJE-5.0-NOPB")</f>
        <v>LM22677TJE-5.0-NOPB</v>
      </c>
      <c r="B7733" s="3" t="str">
        <f>HYPERLINK("https://www.773grp.com/manufacturer/national-semiconductor?pageNo=94", "National Semiconductor")</f>
        <v>National Semiconductor</v>
      </c>
      <c r="C7733" s="6">
        <v>450</v>
      </c>
      <c r="D7733" s="7">
        <v>8.1</v>
      </c>
    </row>
    <row r="7734" spans="1:5" x14ac:dyDescent="0.25">
      <c r="A7734" t="str">
        <f>HYPERLINK("https://www.773grp.com/globalSearch/LM22677TJE-ADJ-NOPB/page-1", "LM22677TJE-ADJ-NOPB")</f>
        <v>LM22677TJE-ADJ-NOPB</v>
      </c>
      <c r="B7734" s="3" t="str">
        <f>HYPERLINK("https://www.773grp.com/manufacturer/national-semiconductor?pageNo=95", "National Semiconductor")</f>
        <v>National Semiconductor</v>
      </c>
      <c r="C7734" s="6">
        <v>750</v>
      </c>
      <c r="D7734" s="7">
        <v>8.1</v>
      </c>
    </row>
    <row r="7735" spans="1:5" x14ac:dyDescent="0.25">
      <c r="A7735" t="str">
        <f>HYPERLINK("https://www.773grp.com/globalSearch/LM2592HVS-3.3-NOPB/page-1", "LM2592HVS-3.3-NOPB")</f>
        <v>LM2592HVS-3.3-NOPB</v>
      </c>
      <c r="B7735" s="3" t="str">
        <f>HYPERLINK("https://www.773grp.com/manufacturer/national-semiconductor?pageNo=96", "National Semiconductor")</f>
        <v>National Semiconductor</v>
      </c>
      <c r="C7735" s="6">
        <v>45</v>
      </c>
      <c r="D7735" s="7">
        <v>8.1</v>
      </c>
      <c r="E7735" t="s">
        <v>7</v>
      </c>
    </row>
    <row r="7736" spans="1:5" x14ac:dyDescent="0.25">
      <c r="A7736" t="str">
        <f>HYPERLINK("https://www.773grp.com/globalSearch/LM2592HVS-5.0-NOPB/page-1", "LM2592HVS-5.0-NOPB")</f>
        <v>LM2592HVS-5.0-NOPB</v>
      </c>
      <c r="B7736" s="3" t="str">
        <f>HYPERLINK("https://www.773grp.com/manufacturer/national-semiconductor?pageNo=97", "National Semiconductor")</f>
        <v>National Semiconductor</v>
      </c>
      <c r="C7736" s="6">
        <v>526</v>
      </c>
      <c r="D7736" s="7">
        <v>8.1</v>
      </c>
      <c r="E7736" t="s">
        <v>7</v>
      </c>
    </row>
    <row r="7737" spans="1:5" x14ac:dyDescent="0.25">
      <c r="A7737" t="str">
        <f>HYPERLINK("https://www.773grp.com/globalSearch/LM2592HVS-ADJ-NOPB/page-1", "LM2592HVS-ADJ-NOPB")</f>
        <v>LM2592HVS-ADJ-NOPB</v>
      </c>
      <c r="B7737" s="3" t="str">
        <f>HYPERLINK("https://www.773grp.com/manufacturer/national-semiconductor?pageNo=98", "National Semiconductor")</f>
        <v>National Semiconductor</v>
      </c>
      <c r="C7737" s="6">
        <v>2230</v>
      </c>
      <c r="D7737" s="7">
        <v>8.1</v>
      </c>
      <c r="E7737" t="s">
        <v>7</v>
      </c>
    </row>
    <row r="7738" spans="1:5" x14ac:dyDescent="0.25">
      <c r="A7738" t="str">
        <f>HYPERLINK("https://www.773grp.com/globalSearch/LM2853MH-1.8/page-1", "LM2853MH-1.8")</f>
        <v>LM2853MH-1.8</v>
      </c>
      <c r="B7738" s="3" t="str">
        <f>HYPERLINK("https://www.773grp.com/manufacturer/national-semiconductor?pageNo=99", "National Semiconductor")</f>
        <v>National Semiconductor</v>
      </c>
      <c r="C7738" s="6">
        <v>7</v>
      </c>
      <c r="D7738" s="7">
        <v>8.1</v>
      </c>
      <c r="E7738" t="s">
        <v>7</v>
      </c>
    </row>
    <row r="7739" spans="1:5" x14ac:dyDescent="0.25">
      <c r="A7739" t="str">
        <f>HYPERLINK("https://www.773grp.com/globalSearch/LM2853MH-3.3/page-1", "LM2853MH-3.3")</f>
        <v>LM2853MH-3.3</v>
      </c>
      <c r="B7739" s="3" t="str">
        <f>HYPERLINK("https://www.773grp.com/manufacturer/national-semiconductor?pageNo=100", "National Semiconductor")</f>
        <v>National Semiconductor</v>
      </c>
      <c r="C7739" s="6">
        <v>158</v>
      </c>
      <c r="D7739" s="7">
        <v>8.1</v>
      </c>
      <c r="E7739" t="s">
        <v>7</v>
      </c>
    </row>
    <row r="7740" spans="1:5" x14ac:dyDescent="0.25">
      <c r="A7740" t="str">
        <f>HYPERLINK("https://www.773grp.com/globalSearch/LM5642MTC/page-1", "LM5642MTC")</f>
        <v>LM5642MTC</v>
      </c>
      <c r="B7740" s="3" t="str">
        <f>HYPERLINK("https://www.773grp.com/manufacturer/national-semiconductor?pageNo=101", "National Semiconductor")</f>
        <v>National Semiconductor</v>
      </c>
      <c r="C7740" s="6">
        <v>1700</v>
      </c>
      <c r="D7740" s="7">
        <v>8.1</v>
      </c>
      <c r="E7740" t="s">
        <v>7</v>
      </c>
    </row>
    <row r="7741" spans="1:5" x14ac:dyDescent="0.25">
      <c r="A7741" t="str">
        <f>HYPERLINK("https://www.773grp.com/globalSearch/LMH6732MA-NOPB/page-1", "LMH6732MA-NOPB")</f>
        <v>LMH6732MA-NOPB</v>
      </c>
      <c r="B7741" s="3" t="str">
        <f>HYPERLINK("https://www.773grp.com/manufacturer/national-semiconductor?pageNo=102", "National Semiconductor")</f>
        <v>National Semiconductor</v>
      </c>
      <c r="C7741" s="6">
        <v>475</v>
      </c>
      <c r="D7741" s="7">
        <v>8.1</v>
      </c>
      <c r="E7741" t="s">
        <v>18</v>
      </c>
    </row>
    <row r="7742" spans="1:5" x14ac:dyDescent="0.25">
      <c r="A7742" t="str">
        <f>HYPERLINK("https://www.773grp.com/globalSearch/LMP7704MT/page-1", "LMP7704MT")</f>
        <v>LMP7704MT</v>
      </c>
      <c r="B7742" s="3" t="str">
        <f>HYPERLINK("https://www.773grp.com/manufacturer/national-semiconductor?pageNo=103", "National Semiconductor")</f>
        <v>National Semiconductor</v>
      </c>
      <c r="C7742" s="6">
        <v>394</v>
      </c>
      <c r="D7742" s="7">
        <v>8.1</v>
      </c>
      <c r="E7742" t="s">
        <v>13</v>
      </c>
    </row>
    <row r="7743" spans="1:5" x14ac:dyDescent="0.25">
      <c r="A7743" t="str">
        <f>HYPERLINK("https://www.773grp.com/globalSearch/LP3873ES-2.5/page-1", "LP3873ES-2.5")</f>
        <v>LP3873ES-2.5</v>
      </c>
      <c r="B7743" s="3" t="str">
        <f>HYPERLINK("https://www.773grp.com/manufacturer/national-semiconductor?pageNo=104", "National Semiconductor")</f>
        <v>National Semiconductor</v>
      </c>
      <c r="C7743" s="6">
        <v>177</v>
      </c>
      <c r="D7743" s="7">
        <v>8.1</v>
      </c>
      <c r="E7743" t="s">
        <v>19</v>
      </c>
    </row>
    <row r="7744" spans="1:5" x14ac:dyDescent="0.25">
      <c r="A7744" t="str">
        <f>HYPERLINK("https://www.773grp.com/globalSearch/LP3873ES-3.3/page-1", "LP3873ES-3.3")</f>
        <v>LP3873ES-3.3</v>
      </c>
      <c r="B7744" s="3" t="str">
        <f>HYPERLINK("https://www.773grp.com/manufacturer/national-semiconductor?pageNo=105", "National Semiconductor")</f>
        <v>National Semiconductor</v>
      </c>
      <c r="C7744" s="6">
        <v>11</v>
      </c>
      <c r="D7744" s="7">
        <v>8.1</v>
      </c>
      <c r="E7744" t="s">
        <v>19</v>
      </c>
    </row>
    <row r="7745" spans="1:5" x14ac:dyDescent="0.25">
      <c r="A7745" t="str">
        <f>HYPERLINK("https://www.773grp.com/globalSearch/LP3883ES-1.2-NOPB/page-1", "LP3883ES-1.2-NOPB")</f>
        <v>LP3883ES-1.2-NOPB</v>
      </c>
      <c r="B7745" s="3" t="str">
        <f>HYPERLINK("https://www.773grp.com/manufacturer/national-semiconductor?pageNo=106", "National Semiconductor")</f>
        <v>National Semiconductor</v>
      </c>
      <c r="C7745" s="6">
        <v>975</v>
      </c>
      <c r="D7745" s="7">
        <v>8.1</v>
      </c>
      <c r="E7745" t="s">
        <v>19</v>
      </c>
    </row>
    <row r="7746" spans="1:5" x14ac:dyDescent="0.25">
      <c r="A7746" t="str">
        <f>HYPERLINK("https://www.773grp.com/globalSearch/UA318TC/page-1", "UA318TC")</f>
        <v>UA318TC</v>
      </c>
      <c r="B7746" s="3" t="str">
        <f>HYPERLINK("https://www.773grp.com/manufacturer/national-semiconductor?pageNo=107", "National Semiconductor")</f>
        <v>National Semiconductor</v>
      </c>
      <c r="C7746" s="6">
        <v>54</v>
      </c>
      <c r="D7746" s="7">
        <v>8.1</v>
      </c>
    </row>
    <row r="7747" spans="1:5" x14ac:dyDescent="0.25">
      <c r="A7747" t="str">
        <f>HYPERLINK("https://www.773grp.com/globalSearch/DS90C185SQE-NOPB/page-1", "DS90C185SQE-NOPB")</f>
        <v>DS90C185SQE-NOPB</v>
      </c>
      <c r="B7747" s="3" t="str">
        <f>HYPERLINK("https://www.773grp.com/manufacturer/national-semiconductor?pageNo=108", "National Semiconductor")</f>
        <v>National Semiconductor</v>
      </c>
      <c r="C7747" s="6">
        <v>140</v>
      </c>
      <c r="D7747" s="7">
        <v>8.1</v>
      </c>
    </row>
    <row r="7748" spans="1:5" x14ac:dyDescent="0.25">
      <c r="A7748" t="str">
        <f>HYPERLINK("https://www.773grp.com/globalSearch/LM21305SQE-NOPB/page-1", "LM21305SQE-NOPB")</f>
        <v>LM21305SQE-NOPB</v>
      </c>
      <c r="B7748" s="3" t="str">
        <f>HYPERLINK("https://www.773grp.com/manufacturer/national-semiconductor?pageNo=109", "National Semiconductor")</f>
        <v>National Semiconductor</v>
      </c>
      <c r="C7748" s="6">
        <v>60</v>
      </c>
      <c r="D7748" s="7">
        <v>8.1</v>
      </c>
    </row>
    <row r="7749" spans="1:5" x14ac:dyDescent="0.25">
      <c r="A7749" t="str">
        <f>HYPERLINK("https://www.773grp.com/globalSearch/LM22677TJE-5.0-NOPB/page-1", "LM22677TJE-5.0-NOPB")</f>
        <v>LM22677TJE-5.0-NOPB</v>
      </c>
      <c r="B7749" s="3" t="str">
        <f>HYPERLINK("https://www.773grp.com/manufacturer/national-semiconductor?pageNo=110", "National Semiconductor")</f>
        <v>National Semiconductor</v>
      </c>
      <c r="C7749" s="6">
        <v>679</v>
      </c>
      <c r="D7749" s="7">
        <v>8.1</v>
      </c>
    </row>
    <row r="7750" spans="1:5" x14ac:dyDescent="0.25">
      <c r="A7750" t="str">
        <f>HYPERLINK("https://www.773grp.com/globalSearch/LM22677TJE-ADJ-NOPB/page-1", "LM22677TJE-ADJ-NOPB")</f>
        <v>LM22677TJE-ADJ-NOPB</v>
      </c>
      <c r="B7750" s="3" t="str">
        <f>HYPERLINK("https://www.773grp.com/manufacturer/national-semiconductor?pageNo=111", "National Semiconductor")</f>
        <v>National Semiconductor</v>
      </c>
      <c r="C7750" s="6">
        <v>1069</v>
      </c>
      <c r="D7750" s="7">
        <v>8.1</v>
      </c>
    </row>
    <row r="7751" spans="1:5" x14ac:dyDescent="0.25">
      <c r="A7751" t="str">
        <f>HYPERLINK("https://www.773grp.com/globalSearch/LM2592HVS-3.3-NOPB/page-1", "LM2592HVS-3.3-NOPB")</f>
        <v>LM2592HVS-3.3-NOPB</v>
      </c>
      <c r="B7751" s="3" t="str">
        <f>HYPERLINK("https://www.773grp.com/manufacturer/national-semiconductor?pageNo=112", "National Semiconductor")</f>
        <v>National Semiconductor</v>
      </c>
      <c r="C7751" s="6">
        <v>326</v>
      </c>
      <c r="D7751" s="7">
        <v>8.1</v>
      </c>
      <c r="E7751" t="s">
        <v>7</v>
      </c>
    </row>
    <row r="7752" spans="1:5" x14ac:dyDescent="0.25">
      <c r="A7752" t="str">
        <f>HYPERLINK("https://www.773grp.com/globalSearch/LM2592HVS-5.0-NOPB/page-1", "LM2592HVS-5.0-NOPB")</f>
        <v>LM2592HVS-5.0-NOPB</v>
      </c>
      <c r="B7752" s="3" t="str">
        <f>HYPERLINK("https://www.773grp.com/manufacturer/national-semiconductor?pageNo=113", "National Semiconductor")</f>
        <v>National Semiconductor</v>
      </c>
      <c r="C7752" s="6">
        <v>245</v>
      </c>
      <c r="D7752" s="7">
        <v>8.1</v>
      </c>
      <c r="E7752" t="s">
        <v>7</v>
      </c>
    </row>
    <row r="7753" spans="1:5" x14ac:dyDescent="0.25">
      <c r="A7753" t="str">
        <f>HYPERLINK("https://www.773grp.com/globalSearch/LM2592HVS-ADJ-NOPB/page-1", "LM2592HVS-ADJ-NOPB")</f>
        <v>LM2592HVS-ADJ-NOPB</v>
      </c>
      <c r="B7753" s="3" t="str">
        <f>HYPERLINK("https://www.773grp.com/manufacturer/national-semiconductor?pageNo=114", "National Semiconductor")</f>
        <v>National Semiconductor</v>
      </c>
      <c r="C7753" s="6">
        <v>274</v>
      </c>
      <c r="D7753" s="7">
        <v>8.1</v>
      </c>
      <c r="E7753" t="s">
        <v>7</v>
      </c>
    </row>
    <row r="7754" spans="1:5" x14ac:dyDescent="0.25">
      <c r="A7754" t="str">
        <f>HYPERLINK("https://www.773grp.com/globalSearch/LM2592HVS-ADJ-NOPB/page-1", "LM2592HVS-ADJ-NOPB")</f>
        <v>LM2592HVS-ADJ-NOPB</v>
      </c>
      <c r="B7754" s="3" t="str">
        <f>HYPERLINK("https://www.773grp.com/manufacturer/national-semiconductor?pageNo=115", "National Semiconductor")</f>
        <v>National Semiconductor</v>
      </c>
      <c r="C7754" s="6">
        <v>350</v>
      </c>
      <c r="D7754" s="7">
        <v>8.1</v>
      </c>
      <c r="E7754" t="s">
        <v>7</v>
      </c>
    </row>
    <row r="7755" spans="1:5" x14ac:dyDescent="0.25">
      <c r="A7755" t="str">
        <f>HYPERLINK("https://www.773grp.com/globalSearch/LM2853MH-1.8/page-1", "LM2853MH-1.8")</f>
        <v>LM2853MH-1.8</v>
      </c>
      <c r="B7755" s="3" t="str">
        <f>HYPERLINK("https://www.773grp.com/manufacturer/national-semiconductor?pageNo=116", "National Semiconductor")</f>
        <v>National Semiconductor</v>
      </c>
      <c r="C7755" s="6">
        <v>172</v>
      </c>
      <c r="D7755" s="7">
        <v>8.1</v>
      </c>
      <c r="E7755" t="s">
        <v>7</v>
      </c>
    </row>
    <row r="7756" spans="1:5" x14ac:dyDescent="0.25">
      <c r="A7756" t="str">
        <f>HYPERLINK("https://www.773grp.com/globalSearch/LM5005MH/page-1", "LM5005MH")</f>
        <v>LM5005MH</v>
      </c>
      <c r="B7756" s="3" t="str">
        <f>HYPERLINK("https://www.773grp.com/manufacturer/national-semiconductor?pageNo=117", "National Semiconductor")</f>
        <v>National Semiconductor</v>
      </c>
      <c r="C7756" s="6">
        <v>409</v>
      </c>
      <c r="D7756" s="7">
        <v>8.1</v>
      </c>
    </row>
    <row r="7757" spans="1:5" x14ac:dyDescent="0.25">
      <c r="A7757" t="str">
        <f>HYPERLINK("https://www.773grp.com/globalSearch/LM5642MTC/page-1", "LM5642MTC")</f>
        <v>LM5642MTC</v>
      </c>
      <c r="B7757" s="3" t="str">
        <f>HYPERLINK("https://www.773grp.com/manufacturer/national-semiconductor?pageNo=118", "National Semiconductor")</f>
        <v>National Semiconductor</v>
      </c>
      <c r="C7757" s="6">
        <v>149</v>
      </c>
      <c r="D7757" s="7">
        <v>8.1</v>
      </c>
      <c r="E7757" t="s">
        <v>7</v>
      </c>
    </row>
    <row r="7758" spans="1:5" x14ac:dyDescent="0.25">
      <c r="A7758" t="str">
        <f>HYPERLINK("https://www.773grp.com/globalSearch/LMH6732MA-NOPB/page-1", "LMH6732MA-NOPB")</f>
        <v>LMH6732MA-NOPB</v>
      </c>
      <c r="B7758" s="3" t="str">
        <f>HYPERLINK("https://www.773grp.com/manufacturer/national-semiconductor?pageNo=119", "National Semiconductor")</f>
        <v>National Semiconductor</v>
      </c>
      <c r="C7758" s="6">
        <v>10275</v>
      </c>
      <c r="D7758" s="7">
        <v>8.1</v>
      </c>
      <c r="E7758" t="s">
        <v>18</v>
      </c>
    </row>
    <row r="7759" spans="1:5" x14ac:dyDescent="0.25">
      <c r="A7759" t="str">
        <f>HYPERLINK("https://www.773grp.com/globalSearch/LP3873ES-2.5/page-1", "LP3873ES-2.5")</f>
        <v>LP3873ES-2.5</v>
      </c>
      <c r="B7759" s="3" t="str">
        <f>HYPERLINK("https://www.773grp.com/manufacturer/national-semiconductor?pageNo=120", "National Semiconductor")</f>
        <v>National Semiconductor</v>
      </c>
      <c r="C7759" s="6">
        <v>288</v>
      </c>
      <c r="D7759" s="7">
        <v>8.1</v>
      </c>
      <c r="E7759" t="s">
        <v>19</v>
      </c>
    </row>
    <row r="7760" spans="1:5" x14ac:dyDescent="0.25">
      <c r="A7760" t="str">
        <f>HYPERLINK("https://www.773grp.com/globalSearch/LP3873ES-3.3/page-1", "LP3873ES-3.3")</f>
        <v>LP3873ES-3.3</v>
      </c>
      <c r="B7760" s="3" t="str">
        <f>HYPERLINK("https://www.773grp.com/manufacturer/national-semiconductor?pageNo=121", "National Semiconductor")</f>
        <v>National Semiconductor</v>
      </c>
      <c r="C7760" s="6">
        <v>1645</v>
      </c>
      <c r="D7760" s="7">
        <v>8.1</v>
      </c>
      <c r="E7760" t="s">
        <v>19</v>
      </c>
    </row>
    <row r="7761" spans="1:5" x14ac:dyDescent="0.25">
      <c r="A7761" t="str">
        <f>HYPERLINK("https://www.773grp.com/globalSearch/LP3883ES-1.2-NOPB/page-1", "LP3883ES-1.2-NOPB")</f>
        <v>LP3883ES-1.2-NOPB</v>
      </c>
      <c r="B7761" s="3" t="str">
        <f>HYPERLINK("https://www.773grp.com/manufacturer/national-semiconductor?pageNo=122", "National Semiconductor")</f>
        <v>National Semiconductor</v>
      </c>
      <c r="C7761" s="6">
        <v>368</v>
      </c>
      <c r="D7761" s="7">
        <v>8.1</v>
      </c>
      <c r="E7761" t="s">
        <v>19</v>
      </c>
    </row>
    <row r="7762" spans="1:5" x14ac:dyDescent="0.25">
      <c r="A7762" t="str">
        <f>HYPERLINK("https://www.773grp.com/globalSearch/LP3972SQE-E514-NOPB/page-1", "LP3972SQE-E514-NOPB")</f>
        <v>LP3972SQE-E514-NOPB</v>
      </c>
      <c r="B7762" s="3" t="str">
        <f>HYPERLINK("https://www.773grp.com/manufacturer/national-semiconductor?pageNo=123", "National Semiconductor")</f>
        <v>National Semiconductor</v>
      </c>
      <c r="C7762" s="6">
        <v>250</v>
      </c>
      <c r="D7762" s="7">
        <v>8.1</v>
      </c>
    </row>
    <row r="7763" spans="1:5" x14ac:dyDescent="0.25">
      <c r="A7763" t="str">
        <f>HYPERLINK("https://www.773grp.com/globalSearch/LP3972SQE-I514-NOPB/page-1", "LP3972SQE-I514-NOPB")</f>
        <v>LP3972SQE-I514-NOPB</v>
      </c>
      <c r="B7763" s="3" t="str">
        <f>HYPERLINK("https://www.773grp.com/manufacturer/national-semiconductor?pageNo=124", "National Semiconductor")</f>
        <v>National Semiconductor</v>
      </c>
      <c r="C7763" s="6">
        <v>250</v>
      </c>
      <c r="D7763" s="7">
        <v>8.1</v>
      </c>
    </row>
    <row r="7764" spans="1:5" x14ac:dyDescent="0.25">
      <c r="A7764" t="str">
        <f>HYPERLINK("https://www.773grp.com/globalSearch/COP8AME9ENA8/page-1", "COP8AME9ENA8")</f>
        <v>COP8AME9ENA8</v>
      </c>
      <c r="B7764" s="3" t="str">
        <f>HYPERLINK("https://www.773grp.com/manufacturer/national-semiconductor?pageNo=125", "National Semiconductor")</f>
        <v>National Semiconductor</v>
      </c>
      <c r="C7764" s="6">
        <v>1484</v>
      </c>
      <c r="D7764" s="7">
        <v>8.14</v>
      </c>
      <c r="E7764" t="s">
        <v>52</v>
      </c>
    </row>
    <row r="7765" spans="1:5" x14ac:dyDescent="0.25">
      <c r="A7765" t="str">
        <f>HYPERLINK("https://www.773grp.com/globalSearch/DM9300J-883/page-1", "DM9300J-883")</f>
        <v>DM9300J-883</v>
      </c>
      <c r="B7765" s="3" t="str">
        <f>HYPERLINK("https://www.773grp.com/manufacturer/national-semiconductor?pageNo=126", "National Semiconductor")</f>
        <v>National Semiconductor</v>
      </c>
      <c r="C7765" s="6">
        <v>317</v>
      </c>
      <c r="D7765" s="7">
        <v>8.14</v>
      </c>
    </row>
    <row r="7766" spans="1:5" x14ac:dyDescent="0.25">
      <c r="A7766" t="str">
        <f>HYPERLINK("https://www.773grp.com/globalSearch/GAL20V8QS-10LVI/page-1", "GAL20V8QS-10LVI")</f>
        <v>GAL20V8QS-10LVI</v>
      </c>
      <c r="B7766" s="3" t="str">
        <f>HYPERLINK("https://www.773grp.com/manufacturer/national-semiconductor?pageNo=127", "National Semiconductor")</f>
        <v>National Semiconductor</v>
      </c>
      <c r="C7766" s="6">
        <v>1995</v>
      </c>
      <c r="D7766" s="7">
        <v>8.14</v>
      </c>
    </row>
    <row r="7767" spans="1:5" x14ac:dyDescent="0.25">
      <c r="A7767" t="str">
        <f>HYPERLINK("https://www.773grp.com/globalSearch/TP3067V-X/page-1", "TP3067V-X")</f>
        <v>TP3067V-X</v>
      </c>
      <c r="B7767" s="3" t="str">
        <f>HYPERLINK("https://www.773grp.com/manufacturer/national-semiconductor?pageNo=128", "National Semiconductor")</f>
        <v>National Semiconductor</v>
      </c>
      <c r="C7767" s="6">
        <v>562</v>
      </c>
      <c r="D7767" s="7">
        <v>8.14</v>
      </c>
    </row>
    <row r="7768" spans="1:5" x14ac:dyDescent="0.25">
      <c r="A7768" t="str">
        <f>HYPERLINK("https://www.773grp.com/globalSearch/USBN9603SLBX/page-1", "USBN9603SLBX")</f>
        <v>USBN9603SLBX</v>
      </c>
      <c r="B7768" s="3" t="str">
        <f>HYPERLINK("https://www.773grp.com/manufacturer/national-semiconductor?pageNo=129", "National Semiconductor")</f>
        <v>National Semiconductor</v>
      </c>
      <c r="C7768" s="6">
        <v>3574</v>
      </c>
      <c r="D7768" s="7">
        <v>8.14</v>
      </c>
      <c r="E7768" t="s">
        <v>68</v>
      </c>
    </row>
    <row r="7769" spans="1:5" x14ac:dyDescent="0.25">
      <c r="A7769" t="str">
        <f>HYPERLINK("https://www.773grp.com/globalSearch/LM2599T-ADJ/page-1", "LM2599T-ADJ")</f>
        <v>LM2599T-ADJ</v>
      </c>
      <c r="B7769" s="3" t="str">
        <f>HYPERLINK("https://www.773grp.com/manufacturer/national-semiconductor?pageNo=130", "National Semiconductor")</f>
        <v>National Semiconductor</v>
      </c>
      <c r="C7769" s="6">
        <v>810</v>
      </c>
      <c r="D7769" s="7">
        <v>8.14</v>
      </c>
    </row>
    <row r="7770" spans="1:5" x14ac:dyDescent="0.25">
      <c r="A7770" t="str">
        <f>HYPERLINK("https://www.773grp.com/globalSearch/LM4731TA-NOPB/page-1", "LM4731TA-NOPB")</f>
        <v>LM4731TA-NOPB</v>
      </c>
      <c r="B7770" s="3" t="str">
        <f>HYPERLINK("https://www.773grp.com/manufacturer/national-semiconductor?pageNo=131", "National Semiconductor")</f>
        <v>National Semiconductor</v>
      </c>
      <c r="C7770" s="6">
        <v>40</v>
      </c>
      <c r="D7770" s="7">
        <v>8.14</v>
      </c>
      <c r="E7770" t="s">
        <v>18</v>
      </c>
    </row>
    <row r="7771" spans="1:5" x14ac:dyDescent="0.25">
      <c r="A7771" t="str">
        <f>HYPERLINK("https://www.773grp.com/globalSearch/USBN9603-28MX-NOPB/page-1", "USBN9603-28MX-NOPB")</f>
        <v>USBN9603-28MX-NOPB</v>
      </c>
      <c r="B7771" s="3" t="str">
        <f>HYPERLINK("https://www.773grp.com/manufacturer/national-semiconductor?pageNo=132", "National Semiconductor")</f>
        <v>National Semiconductor</v>
      </c>
      <c r="C7771" s="6">
        <v>12170</v>
      </c>
      <c r="D7771" s="7">
        <v>8.14</v>
      </c>
    </row>
    <row r="7772" spans="1:5" x14ac:dyDescent="0.25">
      <c r="A7772" t="str">
        <f>HYPERLINK("https://www.773grp.com/globalSearch/USBN9603SLBX/page-1", "USBN9603SLBX")</f>
        <v>USBN9603SLBX</v>
      </c>
      <c r="B7772" s="3" t="str">
        <f>HYPERLINK("https://www.773grp.com/manufacturer/national-semiconductor?pageNo=133", "National Semiconductor")</f>
        <v>National Semiconductor</v>
      </c>
      <c r="C7772" s="6">
        <v>5000</v>
      </c>
      <c r="D7772" s="7">
        <v>8.14</v>
      </c>
      <c r="E7772" t="s">
        <v>68</v>
      </c>
    </row>
    <row r="7773" spans="1:5" x14ac:dyDescent="0.25">
      <c r="A7773" t="str">
        <f>HYPERLINK("https://www.773grp.com/globalSearch/100118DC/page-1", "100118DC")</f>
        <v>100118DC</v>
      </c>
      <c r="B7773" s="3" t="str">
        <f>HYPERLINK("https://www.773grp.com/manufacturer/national-semiconductor?pageNo=134", "National Semiconductor")</f>
        <v>National Semiconductor</v>
      </c>
      <c r="C7773" s="6">
        <v>30</v>
      </c>
      <c r="D7773" s="7">
        <v>8.15</v>
      </c>
      <c r="E7773" t="s">
        <v>31</v>
      </c>
    </row>
    <row r="7774" spans="1:5" x14ac:dyDescent="0.25">
      <c r="A7774" t="str">
        <f>HYPERLINK("https://www.773grp.com/globalSearch/9324PCQR/page-1", "9324PCQR")</f>
        <v>9324PCQR</v>
      </c>
      <c r="B7774" s="3" t="str">
        <f>HYPERLINK("https://www.773grp.com/manufacturer/national-semiconductor?pageNo=1", "National Semiconductor")</f>
        <v>National Semiconductor</v>
      </c>
      <c r="C7774" s="6">
        <v>41</v>
      </c>
      <c r="D7774" s="7">
        <v>8.15</v>
      </c>
    </row>
    <row r="7775" spans="1:5" x14ac:dyDescent="0.25">
      <c r="A7775" t="str">
        <f>HYPERLINK("https://www.773grp.com/globalSearch/ADC0808CCN/page-1", "ADC0808CCN")</f>
        <v>ADC0808CCN</v>
      </c>
      <c r="B7775" s="3" t="str">
        <f>HYPERLINK("https://www.773grp.com/manufacturer/national-semiconductor?pageNo=2", "National Semiconductor")</f>
        <v>National Semiconductor</v>
      </c>
      <c r="C7775" s="6">
        <v>41</v>
      </c>
      <c r="D7775" s="7">
        <v>8.15</v>
      </c>
      <c r="E7775" t="s">
        <v>39</v>
      </c>
    </row>
    <row r="7776" spans="1:5" x14ac:dyDescent="0.25">
      <c r="A7776" t="str">
        <f>HYPERLINK("https://www.773grp.com/globalSearch/COP8SDR9IMT8/page-1", "COP8SDR9IMT8")</f>
        <v>COP8SDR9IMT8</v>
      </c>
      <c r="B7776" s="3" t="str">
        <f>HYPERLINK("https://www.773grp.com/manufacturer/national-semiconductor?pageNo=3", "National Semiconductor")</f>
        <v>National Semiconductor</v>
      </c>
      <c r="C7776" s="6">
        <v>5852</v>
      </c>
      <c r="D7776" s="7">
        <v>8.15</v>
      </c>
    </row>
    <row r="7777" spans="1:5" x14ac:dyDescent="0.25">
      <c r="A7777" t="str">
        <f>HYPERLINK("https://www.773grp.com/globalSearch/DM5410J-883/page-1", "DM5410J-883")</f>
        <v>DM5410J-883</v>
      </c>
      <c r="B7777" s="3" t="str">
        <f>HYPERLINK("https://www.773grp.com/manufacturer/national-semiconductor?pageNo=4", "National Semiconductor")</f>
        <v>National Semiconductor</v>
      </c>
      <c r="C7777" s="6">
        <v>938</v>
      </c>
      <c r="D7777" s="7">
        <v>8.15</v>
      </c>
      <c r="E7777" t="s">
        <v>31</v>
      </c>
    </row>
    <row r="7778" spans="1:5" x14ac:dyDescent="0.25">
      <c r="A7778" t="str">
        <f>HYPERLINK("https://www.773grp.com/globalSearch/DM54125W-883/page-1", "DM54125W-883")</f>
        <v>DM54125W-883</v>
      </c>
      <c r="B7778" s="3" t="str">
        <f>HYPERLINK("https://www.773grp.com/manufacturer/national-semiconductor?pageNo=5", "National Semiconductor")</f>
        <v>National Semiconductor</v>
      </c>
      <c r="C7778" s="6">
        <v>228</v>
      </c>
      <c r="D7778" s="7">
        <v>8.15</v>
      </c>
      <c r="E7778" t="s">
        <v>14</v>
      </c>
    </row>
    <row r="7779" spans="1:5" x14ac:dyDescent="0.25">
      <c r="A7779" t="str">
        <f>HYPERLINK("https://www.773grp.com/globalSearch/DM54LS02J-883/page-1", "DM54LS02J-883")</f>
        <v>DM54LS02J-883</v>
      </c>
      <c r="B7779" s="3" t="str">
        <f>HYPERLINK("https://www.773grp.com/manufacturer/national-semiconductor?pageNo=6", "National Semiconductor")</f>
        <v>National Semiconductor</v>
      </c>
      <c r="C7779" s="6">
        <v>769</v>
      </c>
      <c r="D7779" s="7">
        <v>8.15</v>
      </c>
      <c r="E7779" t="s">
        <v>31</v>
      </c>
    </row>
    <row r="7780" spans="1:5" x14ac:dyDescent="0.25">
      <c r="A7780" t="str">
        <f>HYPERLINK("https://www.773grp.com/globalSearch/DM54LS04J-883/page-1", "DM54LS04J-883")</f>
        <v>DM54LS04J-883</v>
      </c>
      <c r="B7780" s="3" t="str">
        <f>HYPERLINK("https://www.773grp.com/manufacturer/national-semiconductor?pageNo=7", "National Semiconductor")</f>
        <v>National Semiconductor</v>
      </c>
      <c r="C7780" s="6">
        <v>1349</v>
      </c>
      <c r="D7780" s="7">
        <v>8.15</v>
      </c>
      <c r="E7780" t="s">
        <v>31</v>
      </c>
    </row>
    <row r="7781" spans="1:5" x14ac:dyDescent="0.25">
      <c r="A7781" t="str">
        <f>HYPERLINK("https://www.773grp.com/globalSearch/DM54LS05J-883/page-1", "DM54LS05J-883")</f>
        <v>DM54LS05J-883</v>
      </c>
      <c r="B7781" s="3" t="str">
        <f>HYPERLINK("https://www.773grp.com/manufacturer/national-semiconductor?pageNo=8", "National Semiconductor")</f>
        <v>National Semiconductor</v>
      </c>
      <c r="C7781" s="6">
        <v>372</v>
      </c>
      <c r="D7781" s="7">
        <v>8.15</v>
      </c>
      <c r="E7781" t="s">
        <v>31</v>
      </c>
    </row>
    <row r="7782" spans="1:5" x14ac:dyDescent="0.25">
      <c r="A7782" t="str">
        <f>HYPERLINK("https://www.773grp.com/globalSearch/DM54LS08J-883/page-1", "DM54LS08J-883")</f>
        <v>DM54LS08J-883</v>
      </c>
      <c r="B7782" s="3" t="str">
        <f>HYPERLINK("https://www.773grp.com/manufacturer/national-semiconductor?pageNo=9", "National Semiconductor")</f>
        <v>National Semiconductor</v>
      </c>
      <c r="C7782" s="6">
        <v>937</v>
      </c>
      <c r="D7782" s="7">
        <v>8.15</v>
      </c>
      <c r="E7782" t="s">
        <v>31</v>
      </c>
    </row>
    <row r="7783" spans="1:5" x14ac:dyDescent="0.25">
      <c r="A7783" t="str">
        <f>HYPERLINK("https://www.773grp.com/globalSearch/DM54LS109J-883/page-1", "DM54LS109J-883")</f>
        <v>DM54LS109J-883</v>
      </c>
      <c r="B7783" s="3" t="str">
        <f>HYPERLINK("https://www.773grp.com/manufacturer/national-semiconductor?pageNo=10", "National Semiconductor")</f>
        <v>National Semiconductor</v>
      </c>
      <c r="C7783" s="6">
        <v>54</v>
      </c>
      <c r="D7783" s="7">
        <v>8.15</v>
      </c>
      <c r="E7783" t="s">
        <v>35</v>
      </c>
    </row>
    <row r="7784" spans="1:5" x14ac:dyDescent="0.25">
      <c r="A7784" t="str">
        <f>HYPERLINK("https://www.773grp.com/globalSearch/DM54LS125AJ-883/page-1", "DM54LS125AJ-883")</f>
        <v>DM54LS125AJ-883</v>
      </c>
      <c r="B7784" s="3" t="str">
        <f>HYPERLINK("https://www.773grp.com/manufacturer/national-semiconductor?pageNo=11", "National Semiconductor")</f>
        <v>National Semiconductor</v>
      </c>
      <c r="C7784" s="6">
        <v>4565</v>
      </c>
      <c r="D7784" s="7">
        <v>8.15</v>
      </c>
      <c r="E7784" t="s">
        <v>14</v>
      </c>
    </row>
    <row r="7785" spans="1:5" x14ac:dyDescent="0.25">
      <c r="A7785" t="str">
        <f>HYPERLINK("https://www.773grp.com/globalSearch/DM54LS151J-883/page-1", "DM54LS151J-883")</f>
        <v>DM54LS151J-883</v>
      </c>
      <c r="B7785" s="3" t="str">
        <f>HYPERLINK("https://www.773grp.com/manufacturer/national-semiconductor?pageNo=12", "National Semiconductor")</f>
        <v>National Semiconductor</v>
      </c>
      <c r="C7785" s="6">
        <v>326</v>
      </c>
      <c r="D7785" s="7">
        <v>8.15</v>
      </c>
      <c r="E7785" t="s">
        <v>20</v>
      </c>
    </row>
    <row r="7786" spans="1:5" x14ac:dyDescent="0.25">
      <c r="A7786" t="str">
        <f>HYPERLINK("https://www.773grp.com/globalSearch/DM54LS174J-883/page-1", "DM54LS174J-883")</f>
        <v>DM54LS174J-883</v>
      </c>
      <c r="B7786" s="3" t="str">
        <f>HYPERLINK("https://www.773grp.com/manufacturer/national-semiconductor?pageNo=13", "National Semiconductor")</f>
        <v>National Semiconductor</v>
      </c>
      <c r="C7786" s="6">
        <v>39</v>
      </c>
      <c r="D7786" s="7">
        <v>8.15</v>
      </c>
      <c r="E7786" t="s">
        <v>35</v>
      </c>
    </row>
    <row r="7787" spans="1:5" x14ac:dyDescent="0.25">
      <c r="A7787" t="str">
        <f>HYPERLINK("https://www.773grp.com/globalSearch/DM54LS193J-883/page-1", "DM54LS193J-883")</f>
        <v>DM54LS193J-883</v>
      </c>
      <c r="B7787" s="3" t="str">
        <f>HYPERLINK("https://www.773grp.com/manufacturer/national-semiconductor?pageNo=14", "National Semiconductor")</f>
        <v>National Semiconductor</v>
      </c>
      <c r="C7787" s="6">
        <v>1499</v>
      </c>
      <c r="D7787" s="7">
        <v>8.15</v>
      </c>
      <c r="E7787" t="s">
        <v>26</v>
      </c>
    </row>
    <row r="7788" spans="1:5" x14ac:dyDescent="0.25">
      <c r="A7788" t="str">
        <f>HYPERLINK("https://www.773grp.com/globalSearch/DM54LS20J-883/page-1", "DM54LS20J-883")</f>
        <v>DM54LS20J-883</v>
      </c>
      <c r="B7788" s="3" t="str">
        <f>HYPERLINK("https://www.773grp.com/manufacturer/national-semiconductor?pageNo=15", "National Semiconductor")</f>
        <v>National Semiconductor</v>
      </c>
      <c r="C7788" s="6">
        <v>516</v>
      </c>
      <c r="D7788" s="7">
        <v>8.15</v>
      </c>
      <c r="E7788" t="s">
        <v>31</v>
      </c>
    </row>
    <row r="7789" spans="1:5" x14ac:dyDescent="0.25">
      <c r="A7789" t="str">
        <f>HYPERLINK("https://www.773grp.com/globalSearch/DM54LS257A-1E-M/page-1", "DM54LS257A-1E-M")</f>
        <v>DM54LS257A-1E-M</v>
      </c>
      <c r="B7789" s="3" t="str">
        <f>HYPERLINK("https://www.773grp.com/manufacturer/national-semiconductor?pageNo=16", "National Semiconductor")</f>
        <v>National Semiconductor</v>
      </c>
      <c r="C7789" s="6">
        <v>185</v>
      </c>
      <c r="D7789" s="7">
        <v>8.15</v>
      </c>
    </row>
    <row r="7790" spans="1:5" x14ac:dyDescent="0.25">
      <c r="A7790" t="str">
        <f>HYPERLINK("https://www.773grp.com/globalSearch/DM54LS258J-883/page-1", "DM54LS258J-883")</f>
        <v>DM54LS258J-883</v>
      </c>
      <c r="B7790" s="3" t="str">
        <f>HYPERLINK("https://www.773grp.com/manufacturer/national-semiconductor?pageNo=17", "National Semiconductor")</f>
        <v>National Semiconductor</v>
      </c>
      <c r="C7790" s="6">
        <v>134</v>
      </c>
      <c r="D7790" s="7">
        <v>8.15</v>
      </c>
    </row>
    <row r="7791" spans="1:5" x14ac:dyDescent="0.25">
      <c r="A7791" t="str">
        <f>HYPERLINK("https://www.773grp.com/globalSearch/DM54LS260J-883/page-1", "DM54LS260J-883")</f>
        <v>DM54LS260J-883</v>
      </c>
      <c r="B7791" s="3" t="str">
        <f>HYPERLINK("https://www.773grp.com/manufacturer/national-semiconductor?pageNo=18", "National Semiconductor")</f>
        <v>National Semiconductor</v>
      </c>
      <c r="C7791" s="6">
        <v>1</v>
      </c>
      <c r="D7791" s="7">
        <v>8.15</v>
      </c>
      <c r="E7791" t="s">
        <v>31</v>
      </c>
    </row>
    <row r="7792" spans="1:5" x14ac:dyDescent="0.25">
      <c r="A7792" t="str">
        <f>HYPERLINK("https://www.773grp.com/globalSearch/DM54LS279J-883/page-1", "DM54LS279J-883")</f>
        <v>DM54LS279J-883</v>
      </c>
      <c r="B7792" s="3" t="str">
        <f>HYPERLINK("https://www.773grp.com/manufacturer/national-semiconductor?pageNo=19", "National Semiconductor")</f>
        <v>National Semiconductor</v>
      </c>
      <c r="C7792" s="6">
        <v>131</v>
      </c>
      <c r="D7792" s="7">
        <v>8.15</v>
      </c>
      <c r="E7792" t="s">
        <v>35</v>
      </c>
    </row>
    <row r="7793" spans="1:5" x14ac:dyDescent="0.25">
      <c r="A7793" t="str">
        <f>HYPERLINK("https://www.773grp.com/globalSearch/DM54LS283J-883/page-1", "DM54LS283J-883")</f>
        <v>DM54LS283J-883</v>
      </c>
      <c r="B7793" s="3" t="str">
        <f>HYPERLINK("https://www.773grp.com/manufacturer/national-semiconductor?pageNo=20", "National Semiconductor")</f>
        <v>National Semiconductor</v>
      </c>
      <c r="C7793" s="6">
        <v>437</v>
      </c>
      <c r="D7793" s="7">
        <v>8.15</v>
      </c>
      <c r="E7793" t="s">
        <v>43</v>
      </c>
    </row>
    <row r="7794" spans="1:5" x14ac:dyDescent="0.25">
      <c r="A7794" t="str">
        <f>HYPERLINK("https://www.773grp.com/globalSearch/DM54LS30J-883/page-1", "DM54LS30J-883")</f>
        <v>DM54LS30J-883</v>
      </c>
      <c r="B7794" s="3" t="str">
        <f>HYPERLINK("https://www.773grp.com/manufacturer/national-semiconductor?pageNo=21", "National Semiconductor")</f>
        <v>National Semiconductor</v>
      </c>
      <c r="C7794" s="6">
        <v>221</v>
      </c>
      <c r="D7794" s="7">
        <v>8.15</v>
      </c>
      <c r="E7794" t="s">
        <v>31</v>
      </c>
    </row>
    <row r="7795" spans="1:5" x14ac:dyDescent="0.25">
      <c r="A7795" t="str">
        <f>HYPERLINK("https://www.773grp.com/globalSearch/DM54LS32J-883/page-1", "DM54LS32J-883")</f>
        <v>DM54LS32J-883</v>
      </c>
      <c r="B7795" s="3" t="str">
        <f>HYPERLINK("https://www.773grp.com/manufacturer/national-semiconductor?pageNo=22", "National Semiconductor")</f>
        <v>National Semiconductor</v>
      </c>
      <c r="C7795" s="6">
        <v>18</v>
      </c>
      <c r="D7795" s="7">
        <v>8.15</v>
      </c>
      <c r="E7795" t="s">
        <v>31</v>
      </c>
    </row>
    <row r="7796" spans="1:5" x14ac:dyDescent="0.25">
      <c r="A7796" t="str">
        <f>HYPERLINK("https://www.773grp.com/globalSearch/DM54LS365AJ-883/page-1", "DM54LS365AJ-883")</f>
        <v>DM54LS365AJ-883</v>
      </c>
      <c r="B7796" s="3" t="str">
        <f>HYPERLINK("https://www.773grp.com/manufacturer/national-semiconductor?pageNo=23", "National Semiconductor")</f>
        <v>National Semiconductor</v>
      </c>
      <c r="C7796" s="6">
        <v>129</v>
      </c>
      <c r="D7796" s="7">
        <v>8.15</v>
      </c>
      <c r="E7796" t="s">
        <v>14</v>
      </c>
    </row>
    <row r="7797" spans="1:5" x14ac:dyDescent="0.25">
      <c r="A7797" t="str">
        <f>HYPERLINK("https://www.773grp.com/globalSearch/DM54LS375DM-MIL/page-1", "DM54LS375DM-MIL")</f>
        <v>DM54LS375DM-MIL</v>
      </c>
      <c r="B7797" s="3" t="str">
        <f>HYPERLINK("https://www.773grp.com/manufacturer/national-semiconductor?pageNo=24", "National Semiconductor")</f>
        <v>National Semiconductor</v>
      </c>
      <c r="C7797" s="6">
        <v>700</v>
      </c>
      <c r="D7797" s="7">
        <v>8.15</v>
      </c>
    </row>
    <row r="7798" spans="1:5" x14ac:dyDescent="0.25">
      <c r="A7798" t="str">
        <f>HYPERLINK("https://www.773grp.com/globalSearch/DM54LS38J-883/page-1", "DM54LS38J-883")</f>
        <v>DM54LS38J-883</v>
      </c>
      <c r="B7798" s="3" t="str">
        <f>HYPERLINK("https://www.773grp.com/manufacturer/national-semiconductor?pageNo=25", "National Semiconductor")</f>
        <v>National Semiconductor</v>
      </c>
      <c r="C7798" s="6">
        <v>36</v>
      </c>
      <c r="D7798" s="7">
        <v>8.15</v>
      </c>
      <c r="E7798" t="s">
        <v>31</v>
      </c>
    </row>
    <row r="7799" spans="1:5" x14ac:dyDescent="0.25">
      <c r="A7799" t="str">
        <f>HYPERLINK("https://www.773grp.com/globalSearch/DM54LS75J-883/page-1", "DM54LS75J-883")</f>
        <v>DM54LS75J-883</v>
      </c>
      <c r="B7799" s="3" t="str">
        <f>HYPERLINK("https://www.773grp.com/manufacturer/national-semiconductor?pageNo=26", "National Semiconductor")</f>
        <v>National Semiconductor</v>
      </c>
      <c r="C7799" s="6">
        <v>54909</v>
      </c>
      <c r="D7799" s="7">
        <v>8.15</v>
      </c>
      <c r="E7799" t="s">
        <v>35</v>
      </c>
    </row>
    <row r="7800" spans="1:5" x14ac:dyDescent="0.25">
      <c r="A7800" t="str">
        <f>HYPERLINK("https://www.773grp.com/globalSearch/DM54LS85J-MIL/page-1", "DM54LS85J-MIL")</f>
        <v>DM54LS85J-MIL</v>
      </c>
      <c r="B7800" s="3" t="str">
        <f>HYPERLINK("https://www.773grp.com/manufacturer/national-semiconductor?pageNo=27", "National Semiconductor")</f>
        <v>National Semiconductor</v>
      </c>
      <c r="C7800" s="6">
        <v>75</v>
      </c>
      <c r="D7800" s="7">
        <v>8.15</v>
      </c>
    </row>
    <row r="7801" spans="1:5" x14ac:dyDescent="0.25">
      <c r="A7801" t="str">
        <f>HYPERLINK("https://www.773grp.com/globalSearch/DM54S11W-883/page-1", "DM54S11W-883")</f>
        <v>DM54S11W-883</v>
      </c>
      <c r="B7801" s="3" t="str">
        <f>HYPERLINK("https://www.773grp.com/manufacturer/national-semiconductor?pageNo=28", "National Semiconductor")</f>
        <v>National Semiconductor</v>
      </c>
      <c r="C7801" s="6">
        <v>49</v>
      </c>
      <c r="D7801" s="7">
        <v>8.15</v>
      </c>
      <c r="E7801" t="s">
        <v>31</v>
      </c>
    </row>
    <row r="7802" spans="1:5" x14ac:dyDescent="0.25">
      <c r="A7802" t="str">
        <f>HYPERLINK("https://www.773grp.com/globalSearch/DM54S20J-883/page-1", "DM54S20J-883")</f>
        <v>DM54S20J-883</v>
      </c>
      <c r="B7802" s="3" t="str">
        <f>HYPERLINK("https://www.773grp.com/manufacturer/national-semiconductor?pageNo=29", "National Semiconductor")</f>
        <v>National Semiconductor</v>
      </c>
      <c r="C7802" s="6">
        <v>105</v>
      </c>
      <c r="D7802" s="7">
        <v>8.15</v>
      </c>
      <c r="E7802" t="s">
        <v>31</v>
      </c>
    </row>
    <row r="7803" spans="1:5" x14ac:dyDescent="0.25">
      <c r="A7803" t="str">
        <f>HYPERLINK("https://www.773grp.com/globalSearch/DM54S30J-883/page-1", "DM54S30J-883")</f>
        <v>DM54S30J-883</v>
      </c>
      <c r="B7803" s="3" t="str">
        <f>HYPERLINK("https://www.773grp.com/manufacturer/national-semiconductor?pageNo=30", "National Semiconductor")</f>
        <v>National Semiconductor</v>
      </c>
      <c r="C7803" s="6">
        <v>5</v>
      </c>
      <c r="D7803" s="7">
        <v>8.15</v>
      </c>
      <c r="E7803" t="s">
        <v>31</v>
      </c>
    </row>
    <row r="7804" spans="1:5" x14ac:dyDescent="0.25">
      <c r="A7804" t="str">
        <f>HYPERLINK("https://www.773grp.com/globalSearch/DM54S64J-883/page-1", "DM54S64J-883")</f>
        <v>DM54S64J-883</v>
      </c>
      <c r="B7804" s="3" t="str">
        <f>HYPERLINK("https://www.773grp.com/manufacturer/national-semiconductor?pageNo=31", "National Semiconductor")</f>
        <v>National Semiconductor</v>
      </c>
      <c r="C7804" s="6">
        <v>180</v>
      </c>
      <c r="D7804" s="7">
        <v>8.15</v>
      </c>
      <c r="E7804" t="s">
        <v>31</v>
      </c>
    </row>
    <row r="7805" spans="1:5" x14ac:dyDescent="0.25">
      <c r="A7805" t="str">
        <f>HYPERLINK("https://www.773grp.com/globalSearch/DM7010J-883/page-1", "DM7010J-883")</f>
        <v>DM7010J-883</v>
      </c>
      <c r="B7805" s="3" t="str">
        <f>HYPERLINK("https://www.773grp.com/manufacturer/national-semiconductor?pageNo=32", "National Semiconductor")</f>
        <v>National Semiconductor</v>
      </c>
      <c r="C7805" s="6">
        <v>1632</v>
      </c>
      <c r="D7805" s="7">
        <v>8.15</v>
      </c>
    </row>
    <row r="7806" spans="1:5" x14ac:dyDescent="0.25">
      <c r="A7806" t="str">
        <f>HYPERLINK("https://www.773grp.com/globalSearch/DM7124J-MIL/page-1", "DM7124J-MIL")</f>
        <v>DM7124J-MIL</v>
      </c>
      <c r="B7806" s="3" t="str">
        <f>HYPERLINK("https://www.773grp.com/manufacturer/national-semiconductor?pageNo=33", "National Semiconductor")</f>
        <v>National Semiconductor</v>
      </c>
      <c r="C7806" s="6">
        <v>928</v>
      </c>
      <c r="D7806" s="7">
        <v>8.15</v>
      </c>
    </row>
    <row r="7807" spans="1:5" x14ac:dyDescent="0.25">
      <c r="A7807" t="str">
        <f>HYPERLINK("https://www.773grp.com/globalSearch/DM7212J-883/page-1", "DM7212J-883")</f>
        <v>DM7212J-883</v>
      </c>
      <c r="B7807" s="3" t="str">
        <f>HYPERLINK("https://www.773grp.com/manufacturer/national-semiconductor?pageNo=34", "National Semiconductor")</f>
        <v>National Semiconductor</v>
      </c>
      <c r="C7807" s="6">
        <v>490</v>
      </c>
      <c r="D7807" s="7">
        <v>8.15</v>
      </c>
    </row>
    <row r="7808" spans="1:5" x14ac:dyDescent="0.25">
      <c r="A7808" t="str">
        <f>HYPERLINK("https://www.773grp.com/globalSearch/DM7550J-883/page-1", "DM7550J-883")</f>
        <v>DM7550J-883</v>
      </c>
      <c r="B7808" s="3" t="str">
        <f>HYPERLINK("https://www.773grp.com/manufacturer/national-semiconductor?pageNo=35", "National Semiconductor")</f>
        <v>National Semiconductor</v>
      </c>
      <c r="C7808" s="6">
        <v>73</v>
      </c>
      <c r="D7808" s="7">
        <v>8.15</v>
      </c>
    </row>
    <row r="7809" spans="1:5" x14ac:dyDescent="0.25">
      <c r="A7809" t="str">
        <f>HYPERLINK("https://www.773grp.com/globalSearch/LM5116MH-NOPB/page-1", "LM5116MH-NOPB")</f>
        <v>LM5116MH-NOPB</v>
      </c>
      <c r="B7809" s="3" t="str">
        <f>HYPERLINK("https://www.773grp.com/manufacturer/national-semiconductor?pageNo=36", "National Semiconductor")</f>
        <v>National Semiconductor</v>
      </c>
      <c r="C7809" s="6">
        <v>1887</v>
      </c>
      <c r="D7809" s="7">
        <v>8.15</v>
      </c>
      <c r="E7809" t="s">
        <v>7</v>
      </c>
    </row>
    <row r="7810" spans="1:5" x14ac:dyDescent="0.25">
      <c r="A7810" t="str">
        <f>HYPERLINK("https://www.773grp.com/globalSearch/LM2512ASN-NOPB/page-1", "LM2512ASN-NOPB")</f>
        <v>LM2512ASN-NOPB</v>
      </c>
      <c r="B7810" s="3" t="str">
        <f>HYPERLINK("https://www.773grp.com/manufacturer/national-semiconductor?pageNo=37", "National Semiconductor")</f>
        <v>National Semiconductor</v>
      </c>
      <c r="C7810" s="6">
        <v>310</v>
      </c>
      <c r="D7810" s="7">
        <v>8.15</v>
      </c>
    </row>
    <row r="7811" spans="1:5" x14ac:dyDescent="0.25">
      <c r="A7811" t="str">
        <f>HYPERLINK("https://www.773grp.com/globalSearch/LM5116MH-NOPB/page-1", "LM5116MH-NOPB")</f>
        <v>LM5116MH-NOPB</v>
      </c>
      <c r="B7811" s="3" t="str">
        <f>HYPERLINK("https://www.773grp.com/manufacturer/national-semiconductor?pageNo=38", "National Semiconductor")</f>
        <v>National Semiconductor</v>
      </c>
      <c r="C7811" s="6">
        <v>2561</v>
      </c>
      <c r="D7811" s="7">
        <v>8.15</v>
      </c>
      <c r="E7811" t="s">
        <v>7</v>
      </c>
    </row>
    <row r="7812" spans="1:5" x14ac:dyDescent="0.25">
      <c r="A7812" t="str">
        <f>HYPERLINK("https://www.773grp.com/globalSearch/OPA2132UA/page-1", "OPA2132UA")</f>
        <v>OPA2132UA</v>
      </c>
      <c r="B7812" s="3" t="str">
        <f>HYPERLINK("https://www.773grp.com/manufacturer/national-semiconductor?pageNo=39", "National Semiconductor")</f>
        <v>National Semiconductor</v>
      </c>
      <c r="C7812" s="6">
        <v>2025</v>
      </c>
      <c r="D7812" s="7">
        <v>8.15</v>
      </c>
    </row>
    <row r="7813" spans="1:5" x14ac:dyDescent="0.25">
      <c r="A7813" t="str">
        <f>HYPERLINK("https://www.773grp.com/globalSearch/LMH6624MA/page-1", "LMH6624MA")</f>
        <v>LMH6624MA</v>
      </c>
      <c r="B7813" s="3" t="str">
        <f>HYPERLINK("https://www.773grp.com/manufacturer/national-semiconductor?pageNo=40", "National Semiconductor")</f>
        <v>National Semiconductor</v>
      </c>
      <c r="C7813" s="6">
        <v>190</v>
      </c>
      <c r="D7813" s="7">
        <v>8.19</v>
      </c>
      <c r="E7813" t="s">
        <v>13</v>
      </c>
    </row>
    <row r="7814" spans="1:5" x14ac:dyDescent="0.25">
      <c r="A7814" t="str">
        <f>HYPERLINK("https://www.773grp.com/globalSearch/74H04DC/page-1", "74H04DC")</f>
        <v>74H04DC</v>
      </c>
      <c r="B7814" s="3" t="str">
        <f>HYPERLINK("https://www.773grp.com/manufacturer/national-semiconductor?pageNo=41", "National Semiconductor")</f>
        <v>National Semiconductor</v>
      </c>
      <c r="C7814" s="6">
        <v>77</v>
      </c>
      <c r="D7814" s="7">
        <v>8.2100000000000009</v>
      </c>
    </row>
    <row r="7815" spans="1:5" x14ac:dyDescent="0.25">
      <c r="A7815" t="str">
        <f>HYPERLINK("https://www.773grp.com/globalSearch/74H05DC/page-1", "74H05DC")</f>
        <v>74H05DC</v>
      </c>
      <c r="B7815" s="3" t="str">
        <f>HYPERLINK("https://www.773grp.com/manufacturer/national-semiconductor?pageNo=42", "National Semiconductor")</f>
        <v>National Semiconductor</v>
      </c>
      <c r="C7815" s="6">
        <v>545</v>
      </c>
      <c r="D7815" s="7">
        <v>8.2100000000000009</v>
      </c>
    </row>
    <row r="7816" spans="1:5" x14ac:dyDescent="0.25">
      <c r="A7816" t="str">
        <f>HYPERLINK("https://www.773grp.com/globalSearch/9322DM/page-1", "9322DM")</f>
        <v>9322DM</v>
      </c>
      <c r="B7816" s="3" t="str">
        <f>HYPERLINK("https://www.773grp.com/manufacturer/national-semiconductor?pageNo=43", "National Semiconductor")</f>
        <v>National Semiconductor</v>
      </c>
      <c r="C7816" s="6">
        <v>442</v>
      </c>
      <c r="D7816" s="7">
        <v>8.2100000000000009</v>
      </c>
      <c r="E7816" t="s">
        <v>20</v>
      </c>
    </row>
    <row r="7817" spans="1:5" x14ac:dyDescent="0.25">
      <c r="A7817" t="str">
        <f>HYPERLINK("https://www.773grp.com/globalSearch/CLC404AJM5/page-1", "CLC404AJM5")</f>
        <v>CLC404AJM5</v>
      </c>
      <c r="B7817" s="3" t="str">
        <f>HYPERLINK("https://www.773grp.com/manufacturer/national-semiconductor?pageNo=44", "National Semiconductor")</f>
        <v>National Semiconductor</v>
      </c>
      <c r="C7817" s="6">
        <v>7428</v>
      </c>
      <c r="D7817" s="7">
        <v>8.2100000000000009</v>
      </c>
      <c r="E7817" t="s">
        <v>13</v>
      </c>
    </row>
    <row r="7818" spans="1:5" x14ac:dyDescent="0.25">
      <c r="A7818" t="str">
        <f>HYPERLINK("https://www.773grp.com/globalSearch/CLC404AJM5X/page-1", "CLC404AJM5X")</f>
        <v>CLC404AJM5X</v>
      </c>
      <c r="B7818" s="3" t="str">
        <f>HYPERLINK("https://www.773grp.com/manufacturer/national-semiconductor?pageNo=45", "National Semiconductor")</f>
        <v>National Semiconductor</v>
      </c>
      <c r="C7818" s="6">
        <v>15000</v>
      </c>
      <c r="D7818" s="7">
        <v>8.2100000000000009</v>
      </c>
      <c r="E7818" t="s">
        <v>13</v>
      </c>
    </row>
    <row r="7819" spans="1:5" x14ac:dyDescent="0.25">
      <c r="A7819" t="str">
        <f>HYPERLINK("https://www.773grp.com/globalSearch/COP8CBE9HVA7/page-1", "COP8CBE9HVA7")</f>
        <v>COP8CBE9HVA7</v>
      </c>
      <c r="B7819" s="3" t="str">
        <f>HYPERLINK("https://www.773grp.com/manufacturer/national-semiconductor?pageNo=46", "National Semiconductor")</f>
        <v>National Semiconductor</v>
      </c>
      <c r="C7819" s="6">
        <v>3404</v>
      </c>
      <c r="D7819" s="7">
        <v>8.2100000000000009</v>
      </c>
    </row>
    <row r="7820" spans="1:5" x14ac:dyDescent="0.25">
      <c r="A7820" t="str">
        <f>HYPERLINK("https://www.773grp.com/globalSearch/DM74S194J/page-1", "DM74S194J")</f>
        <v>DM74S194J</v>
      </c>
      <c r="B7820" s="3" t="str">
        <f>HYPERLINK("https://www.773grp.com/manufacturer/national-semiconductor?pageNo=47", "National Semiconductor")</f>
        <v>National Semiconductor</v>
      </c>
      <c r="C7820" s="6">
        <v>458</v>
      </c>
      <c r="D7820" s="7">
        <v>8.2100000000000009</v>
      </c>
    </row>
    <row r="7821" spans="1:5" x14ac:dyDescent="0.25">
      <c r="A7821" t="str">
        <f>HYPERLINK("https://www.773grp.com/globalSearch/ADC122S655CIMM-NOPB/page-1", "ADC122S655CIMM-NOPB")</f>
        <v>ADC122S655CIMM-NOPB</v>
      </c>
      <c r="B7821" s="3" t="str">
        <f>HYPERLINK("https://www.773grp.com/manufacturer/national-semiconductor?pageNo=48", "National Semiconductor")</f>
        <v>National Semiconductor</v>
      </c>
      <c r="C7821" s="6">
        <v>2467</v>
      </c>
      <c r="D7821" s="7">
        <v>8.24</v>
      </c>
    </row>
    <row r="7822" spans="1:5" x14ac:dyDescent="0.25">
      <c r="A7822" t="str">
        <f>HYPERLINK("https://www.773grp.com/globalSearch/DM54LS257W-883/page-1", "DM54LS257W-883")</f>
        <v>DM54LS257W-883</v>
      </c>
      <c r="B7822" s="3" t="str">
        <f>HYPERLINK("https://www.773grp.com/manufacturer/national-semiconductor?pageNo=49", "National Semiconductor")</f>
        <v>National Semiconductor</v>
      </c>
      <c r="C7822" s="6">
        <v>261</v>
      </c>
      <c r="D7822" s="7">
        <v>8.24</v>
      </c>
    </row>
    <row r="7823" spans="1:5" x14ac:dyDescent="0.25">
      <c r="A7823" t="str">
        <f>HYPERLINK("https://www.773grp.com/globalSearch/DM54LS283W-883/page-1", "DM54LS283W-883")</f>
        <v>DM54LS283W-883</v>
      </c>
      <c r="B7823" s="3" t="str">
        <f>HYPERLINK("https://www.773grp.com/manufacturer/national-semiconductor?pageNo=50", "National Semiconductor")</f>
        <v>National Semiconductor</v>
      </c>
      <c r="C7823" s="6">
        <v>54</v>
      </c>
      <c r="D7823" s="7">
        <v>8.24</v>
      </c>
      <c r="E7823" t="s">
        <v>43</v>
      </c>
    </row>
    <row r="7824" spans="1:5" x14ac:dyDescent="0.25">
      <c r="A7824" t="str">
        <f>HYPERLINK("https://www.773grp.com/globalSearch/DM54S153J-MIL/page-1", "DM54S153J-MIL")</f>
        <v>DM54S153J-MIL</v>
      </c>
      <c r="B7824" s="3" t="str">
        <f>HYPERLINK("https://www.773grp.com/manufacturer/national-semiconductor?pageNo=51", "National Semiconductor")</f>
        <v>National Semiconductor</v>
      </c>
      <c r="C7824" s="6">
        <v>427</v>
      </c>
      <c r="D7824" s="7">
        <v>8.24</v>
      </c>
    </row>
    <row r="7825" spans="1:5" x14ac:dyDescent="0.25">
      <c r="A7825" t="str">
        <f>HYPERLINK("https://www.773grp.com/globalSearch/DM54S251J-MIL/page-1", "DM54S251J-MIL")</f>
        <v>DM54S251J-MIL</v>
      </c>
      <c r="B7825" s="3" t="str">
        <f>HYPERLINK("https://www.773grp.com/manufacturer/national-semiconductor?pageNo=52", "National Semiconductor")</f>
        <v>National Semiconductor</v>
      </c>
      <c r="C7825" s="6">
        <v>223</v>
      </c>
      <c r="D7825" s="7">
        <v>8.24</v>
      </c>
    </row>
    <row r="7826" spans="1:5" x14ac:dyDescent="0.25">
      <c r="A7826" t="str">
        <f>HYPERLINK("https://www.773grp.com/globalSearch/LM6144BIN-NOPB/page-1", "LM6144BIN-NOPB")</f>
        <v>LM6144BIN-NOPB</v>
      </c>
      <c r="B7826" s="3" t="str">
        <f>HYPERLINK("https://www.773grp.com/manufacturer/national-semiconductor?pageNo=53", "National Semiconductor")</f>
        <v>National Semiconductor</v>
      </c>
      <c r="C7826" s="6">
        <v>138</v>
      </c>
      <c r="D7826" s="7">
        <v>8.24</v>
      </c>
      <c r="E7826" t="s">
        <v>13</v>
      </c>
    </row>
    <row r="7827" spans="1:5" x14ac:dyDescent="0.25">
      <c r="A7827" t="str">
        <f>HYPERLINK("https://www.773grp.com/globalSearch/LM6144BIN-NOPB/page-1", "LM6144BIN-NOPB")</f>
        <v>LM6144BIN-NOPB</v>
      </c>
      <c r="B7827" s="3" t="str">
        <f>HYPERLINK("https://www.773grp.com/manufacturer/national-semiconductor?pageNo=54", "National Semiconductor")</f>
        <v>National Semiconductor</v>
      </c>
      <c r="C7827" s="6">
        <v>25</v>
      </c>
      <c r="D7827" s="7">
        <v>8.24</v>
      </c>
      <c r="E7827" t="s">
        <v>13</v>
      </c>
    </row>
    <row r="7828" spans="1:5" x14ac:dyDescent="0.25">
      <c r="A7828" t="str">
        <f>HYPERLINK("https://www.773grp.com/globalSearch/DM54S140J-MIL/page-1", "DM54S140J-MIL")</f>
        <v>DM54S140J-MIL</v>
      </c>
      <c r="B7828" s="3" t="str">
        <f>HYPERLINK("https://www.773grp.com/manufacturer/national-semiconductor?pageNo=55", "National Semiconductor")</f>
        <v>National Semiconductor</v>
      </c>
      <c r="C7828" s="6">
        <v>3251</v>
      </c>
      <c r="D7828" s="7">
        <v>8.2799999999999994</v>
      </c>
    </row>
    <row r="7829" spans="1:5" x14ac:dyDescent="0.25">
      <c r="A7829" t="str">
        <f>HYPERLINK("https://www.773grp.com/globalSearch/DS32EV100SD-NOPB/page-1", "DS32EV100SD-NOPB")</f>
        <v>DS32EV100SD-NOPB</v>
      </c>
      <c r="B7829" s="3" t="str">
        <f>HYPERLINK("https://www.773grp.com/manufacturer/national-semiconductor?pageNo=56", "National Semiconductor")</f>
        <v>National Semiconductor</v>
      </c>
      <c r="C7829" s="6">
        <v>134</v>
      </c>
      <c r="D7829" s="7">
        <v>8.2799999999999994</v>
      </c>
    </row>
    <row r="7830" spans="1:5" x14ac:dyDescent="0.25">
      <c r="A7830" t="str">
        <f>HYPERLINK("https://www.773grp.com/globalSearch/LM6144BIMX-NOPB/page-1", "LM6144BIMX-NOPB")</f>
        <v>LM6144BIMX-NOPB</v>
      </c>
      <c r="B7830" s="3" t="str">
        <f>HYPERLINK("https://www.773grp.com/manufacturer/national-semiconductor?pageNo=57", "National Semiconductor")</f>
        <v>National Semiconductor</v>
      </c>
      <c r="C7830" s="6">
        <v>12500</v>
      </c>
      <c r="D7830" s="7">
        <v>8.2799999999999994</v>
      </c>
      <c r="E7830" t="s">
        <v>13</v>
      </c>
    </row>
    <row r="7831" spans="1:5" x14ac:dyDescent="0.25">
      <c r="A7831" t="str">
        <f>HYPERLINK("https://www.773grp.com/globalSearch/DS32EV100SD/page-1", "DS32EV100SD")</f>
        <v>DS32EV100SD</v>
      </c>
      <c r="B7831" s="3" t="str">
        <f>HYPERLINK("https://www.773grp.com/manufacturer/national-semiconductor?pageNo=58", "National Semiconductor")</f>
        <v>National Semiconductor</v>
      </c>
      <c r="C7831" s="6">
        <v>117</v>
      </c>
      <c r="D7831" s="7">
        <v>8.2799999999999994</v>
      </c>
    </row>
    <row r="7832" spans="1:5" x14ac:dyDescent="0.25">
      <c r="A7832" t="str">
        <f>HYPERLINK("https://www.773grp.com/globalSearch/DS32EV100SD-NOPB/page-1", "DS32EV100SD-NOPB")</f>
        <v>DS32EV100SD-NOPB</v>
      </c>
      <c r="B7832" s="3" t="str">
        <f>HYPERLINK("https://www.773grp.com/manufacturer/national-semiconductor?pageNo=59", "National Semiconductor")</f>
        <v>National Semiconductor</v>
      </c>
      <c r="C7832" s="6">
        <v>1000</v>
      </c>
      <c r="D7832" s="7">
        <v>8.2799999999999994</v>
      </c>
    </row>
    <row r="7833" spans="1:5" x14ac:dyDescent="0.25">
      <c r="A7833" t="str">
        <f>HYPERLINK("https://www.773grp.com/globalSearch/LM3102QMH-NOPB/page-1", "LM3102QMH-NOPB")</f>
        <v>LM3102QMH-NOPB</v>
      </c>
      <c r="B7833" s="3" t="str">
        <f>HYPERLINK("https://www.773grp.com/manufacturer/national-semiconductor?pageNo=60", "National Semiconductor")</f>
        <v>National Semiconductor</v>
      </c>
      <c r="C7833" s="6">
        <v>238</v>
      </c>
      <c r="D7833" s="7">
        <v>8.2799999999999994</v>
      </c>
    </row>
    <row r="7834" spans="1:5" x14ac:dyDescent="0.25">
      <c r="A7834" t="str">
        <f>HYPERLINK("https://www.773grp.com/globalSearch/LM6144BIMX-NOPB/page-1", "LM6144BIMX-NOPB")</f>
        <v>LM6144BIMX-NOPB</v>
      </c>
      <c r="B7834" s="3" t="str">
        <f>HYPERLINK("https://www.773grp.com/manufacturer/national-semiconductor?pageNo=61", "National Semiconductor")</f>
        <v>National Semiconductor</v>
      </c>
      <c r="C7834" s="6">
        <v>40623</v>
      </c>
      <c r="D7834" s="7">
        <v>8.2799999999999994</v>
      </c>
      <c r="E7834" t="s">
        <v>13</v>
      </c>
    </row>
    <row r="7835" spans="1:5" x14ac:dyDescent="0.25">
      <c r="A7835" t="str">
        <f>HYPERLINK("https://www.773grp.com/globalSearch/54ALS138W-883/page-1", "54ALS138W-883")</f>
        <v>54ALS138W-883</v>
      </c>
      <c r="B7835" s="3" t="str">
        <f>HYPERLINK("https://www.773grp.com/manufacturer/national-semiconductor?pageNo=62", "National Semiconductor")</f>
        <v>National Semiconductor</v>
      </c>
      <c r="C7835" s="6">
        <v>157</v>
      </c>
      <c r="D7835" s="7">
        <v>8.3000000000000007</v>
      </c>
    </row>
    <row r="7836" spans="1:5" x14ac:dyDescent="0.25">
      <c r="A7836" t="str">
        <f>HYPERLINK("https://www.773grp.com/globalSearch/54ALS151W-883/page-1", "54ALS151W-883")</f>
        <v>54ALS151W-883</v>
      </c>
      <c r="B7836" s="3" t="str">
        <f>HYPERLINK("https://www.773grp.com/manufacturer/national-semiconductor?pageNo=63", "National Semiconductor")</f>
        <v>National Semiconductor</v>
      </c>
      <c r="C7836" s="6">
        <v>21</v>
      </c>
      <c r="D7836" s="7">
        <v>8.3000000000000007</v>
      </c>
    </row>
    <row r="7837" spans="1:5" x14ac:dyDescent="0.25">
      <c r="A7837" t="str">
        <f>HYPERLINK("https://www.773grp.com/globalSearch/54ALS153W-883/page-1", "54ALS153W-883")</f>
        <v>54ALS153W-883</v>
      </c>
      <c r="B7837" s="3" t="str">
        <f>HYPERLINK("https://www.773grp.com/manufacturer/national-semiconductor?pageNo=64", "National Semiconductor")</f>
        <v>National Semiconductor</v>
      </c>
      <c r="C7837" s="6">
        <v>765</v>
      </c>
      <c r="D7837" s="7">
        <v>8.3000000000000007</v>
      </c>
    </row>
    <row r="7838" spans="1:5" x14ac:dyDescent="0.25">
      <c r="A7838" t="str">
        <f>HYPERLINK("https://www.773grp.com/globalSearch/74F823SCX/page-1", "74F823SCX")</f>
        <v>74F823SCX</v>
      </c>
      <c r="B7838" s="3" t="str">
        <f>HYPERLINK("https://www.773grp.com/manufacturer/national-semiconductor?pageNo=65", "National Semiconductor")</f>
        <v>National Semiconductor</v>
      </c>
      <c r="C7838" s="6">
        <v>1000</v>
      </c>
      <c r="D7838" s="7">
        <v>8.3000000000000007</v>
      </c>
      <c r="E7838" t="s">
        <v>14</v>
      </c>
    </row>
    <row r="7839" spans="1:5" x14ac:dyDescent="0.25">
      <c r="A7839" t="str">
        <f>HYPERLINK("https://www.773grp.com/globalSearch/DAC0830LCN-NOPB/page-1", "DAC0830LCN-NOPB")</f>
        <v>DAC0830LCN-NOPB</v>
      </c>
      <c r="B7839" s="3" t="str">
        <f>HYPERLINK("https://www.773grp.com/manufacturer/national-semiconductor?pageNo=66", "National Semiconductor")</f>
        <v>National Semiconductor</v>
      </c>
      <c r="C7839" s="6">
        <v>18</v>
      </c>
      <c r="D7839" s="7">
        <v>8.3000000000000007</v>
      </c>
      <c r="E7839" t="s">
        <v>33</v>
      </c>
    </row>
    <row r="7840" spans="1:5" x14ac:dyDescent="0.25">
      <c r="A7840" t="str">
        <f>HYPERLINK("https://www.773grp.com/globalSearch/DAC161S055CISQ-NOPB/page-1", "DAC161S055CISQ-NOPB")</f>
        <v>DAC161S055CISQ-NOPB</v>
      </c>
      <c r="B7840" s="3" t="str">
        <f>HYPERLINK("https://www.773grp.com/manufacturer/national-semiconductor?pageNo=67", "National Semiconductor")</f>
        <v>National Semiconductor</v>
      </c>
      <c r="C7840" s="6">
        <v>2996</v>
      </c>
      <c r="D7840" s="7">
        <v>8.3000000000000007</v>
      </c>
    </row>
    <row r="7841" spans="1:5" x14ac:dyDescent="0.25">
      <c r="A7841" t="str">
        <f>HYPERLINK("https://www.773grp.com/globalSearch/DM5493AW-883C/page-1", "DM5493AW-883C")</f>
        <v>DM5493AW-883C</v>
      </c>
      <c r="B7841" s="3" t="str">
        <f>HYPERLINK("https://www.773grp.com/manufacturer/national-semiconductor?pageNo=68", "National Semiconductor")</f>
        <v>National Semiconductor</v>
      </c>
      <c r="C7841" s="6">
        <v>147</v>
      </c>
      <c r="D7841" s="7">
        <v>8.3000000000000007</v>
      </c>
    </row>
    <row r="7842" spans="1:5" x14ac:dyDescent="0.25">
      <c r="A7842" t="str">
        <f>HYPERLINK("https://www.773grp.com/globalSearch/DM7086J-883C/page-1", "DM7086J-883C")</f>
        <v>DM7086J-883C</v>
      </c>
      <c r="B7842" s="3" t="str">
        <f>HYPERLINK("https://www.773grp.com/manufacturer/national-semiconductor?pageNo=69", "National Semiconductor")</f>
        <v>National Semiconductor</v>
      </c>
      <c r="C7842" s="6">
        <v>117</v>
      </c>
      <c r="D7842" s="7">
        <v>8.3000000000000007</v>
      </c>
    </row>
    <row r="7843" spans="1:5" x14ac:dyDescent="0.25">
      <c r="A7843" t="str">
        <f>HYPERLINK("https://www.773grp.com/globalSearch/DM74L98N/page-1", "DM74L98N")</f>
        <v>DM74L98N</v>
      </c>
      <c r="B7843" s="3" t="str">
        <f>HYPERLINK("https://www.773grp.com/manufacturer/national-semiconductor?pageNo=70", "National Semiconductor")</f>
        <v>National Semiconductor</v>
      </c>
      <c r="C7843" s="6">
        <v>1</v>
      </c>
      <c r="D7843" s="7">
        <v>8.3000000000000007</v>
      </c>
    </row>
    <row r="7844" spans="1:5" x14ac:dyDescent="0.25">
      <c r="A7844" t="str">
        <f>HYPERLINK("https://www.773grp.com/globalSearch/LM10CLWM/page-1", "LM10CLWM")</f>
        <v>LM10CLWM</v>
      </c>
      <c r="B7844" s="3" t="str">
        <f>HYPERLINK("https://www.773grp.com/manufacturer/national-semiconductor?pageNo=71", "National Semiconductor")</f>
        <v>National Semiconductor</v>
      </c>
      <c r="C7844" s="6">
        <v>1901</v>
      </c>
      <c r="D7844" s="7">
        <v>8.3000000000000007</v>
      </c>
      <c r="E7844" t="s">
        <v>13</v>
      </c>
    </row>
    <row r="7845" spans="1:5" x14ac:dyDescent="0.25">
      <c r="A7845" t="str">
        <f>HYPERLINK("https://www.773grp.com/globalSearch/LM2936CM-5.0/page-1", "LM2936CM-5.0")</f>
        <v>LM2936CM-5.0</v>
      </c>
      <c r="B7845" s="3" t="str">
        <f>HYPERLINK("https://www.773grp.com/manufacturer/national-semiconductor?pageNo=72", "National Semiconductor")</f>
        <v>National Semiconductor</v>
      </c>
      <c r="C7845" s="6">
        <v>35191</v>
      </c>
      <c r="D7845" s="7">
        <v>8.3000000000000007</v>
      </c>
    </row>
    <row r="7846" spans="1:5" x14ac:dyDescent="0.25">
      <c r="A7846" t="str">
        <f>HYPERLINK("https://www.773grp.com/globalSearch/LME49811TB/page-1", "LME49811TB")</f>
        <v>LME49811TB</v>
      </c>
      <c r="B7846" s="3" t="str">
        <f>HYPERLINK("https://www.773grp.com/manufacturer/national-semiconductor?pageNo=73", "National Semiconductor")</f>
        <v>National Semiconductor</v>
      </c>
      <c r="C7846" s="6">
        <v>96</v>
      </c>
      <c r="D7846" s="7">
        <v>8.3000000000000007</v>
      </c>
      <c r="E7846" t="s">
        <v>18</v>
      </c>
    </row>
    <row r="7847" spans="1:5" x14ac:dyDescent="0.25">
      <c r="A7847" t="str">
        <f>HYPERLINK("https://www.773grp.com/globalSearch/LMX2487ESQ-NOPB/page-1", "LMX2487ESQ-NOPB")</f>
        <v>LMX2487ESQ-NOPB</v>
      </c>
      <c r="B7847" s="3" t="str">
        <f>HYPERLINK("https://www.773grp.com/manufacturer/national-semiconductor?pageNo=74", "National Semiconductor")</f>
        <v>National Semiconductor</v>
      </c>
      <c r="C7847" s="6">
        <v>1957</v>
      </c>
      <c r="D7847" s="7">
        <v>8.3000000000000007</v>
      </c>
      <c r="E7847" t="s">
        <v>38</v>
      </c>
    </row>
    <row r="7848" spans="1:5" x14ac:dyDescent="0.25">
      <c r="A7848" t="str">
        <f>HYPERLINK("https://www.773grp.com/globalSearch/LP3972SQ-BI414-NOPB/page-1", "LP3972SQ-BI414-NOPB")</f>
        <v>LP3972SQ-BI414-NOPB</v>
      </c>
      <c r="B7848" s="3" t="str">
        <f>HYPERLINK("https://www.773grp.com/manufacturer/national-semiconductor?pageNo=75", "National Semiconductor")</f>
        <v>National Semiconductor</v>
      </c>
      <c r="C7848" s="6">
        <v>6000</v>
      </c>
      <c r="D7848" s="7">
        <v>8.3000000000000007</v>
      </c>
    </row>
    <row r="7849" spans="1:5" x14ac:dyDescent="0.25">
      <c r="A7849" t="str">
        <f>HYPERLINK("https://www.773grp.com/globalSearch/UA720PC/page-1", "UA720PC")</f>
        <v>UA720PC</v>
      </c>
      <c r="B7849" s="3" t="str">
        <f>HYPERLINK("https://www.773grp.com/manufacturer/national-semiconductor?pageNo=76", "National Semiconductor")</f>
        <v>National Semiconductor</v>
      </c>
      <c r="C7849" s="6">
        <v>75</v>
      </c>
      <c r="D7849" s="7">
        <v>8.3000000000000007</v>
      </c>
    </row>
    <row r="7850" spans="1:5" x14ac:dyDescent="0.25">
      <c r="A7850" t="str">
        <f>HYPERLINK("https://www.773grp.com/globalSearch/DAC0830LCN-NOPB/page-1", "DAC0830LCN-NOPB")</f>
        <v>DAC0830LCN-NOPB</v>
      </c>
      <c r="B7850" s="3" t="str">
        <f>HYPERLINK("https://www.773grp.com/manufacturer/national-semiconductor?pageNo=77", "National Semiconductor")</f>
        <v>National Semiconductor</v>
      </c>
      <c r="C7850" s="6">
        <v>105</v>
      </c>
      <c r="D7850" s="7">
        <v>8.3000000000000007</v>
      </c>
      <c r="E7850" t="s">
        <v>33</v>
      </c>
    </row>
    <row r="7851" spans="1:5" x14ac:dyDescent="0.25">
      <c r="A7851" t="str">
        <f>HYPERLINK("https://www.773grp.com/globalSearch/DAC161S055CISQ-NOPB/page-1", "DAC161S055CISQ-NOPB")</f>
        <v>DAC161S055CISQ-NOPB</v>
      </c>
      <c r="B7851" s="3" t="str">
        <f>HYPERLINK("https://www.773grp.com/manufacturer/national-semiconductor?pageNo=78", "National Semiconductor")</f>
        <v>National Semiconductor</v>
      </c>
      <c r="C7851" s="6">
        <v>1000</v>
      </c>
      <c r="D7851" s="7">
        <v>8.3000000000000007</v>
      </c>
    </row>
    <row r="7852" spans="1:5" x14ac:dyDescent="0.25">
      <c r="A7852" t="str">
        <f>HYPERLINK("https://www.773grp.com/globalSearch/LMX2487ESQ-NOPB/page-1", "LMX2487ESQ-NOPB")</f>
        <v>LMX2487ESQ-NOPB</v>
      </c>
      <c r="B7852" s="3" t="str">
        <f>HYPERLINK("https://www.773grp.com/manufacturer/national-semiconductor?pageNo=79", "National Semiconductor")</f>
        <v>National Semiconductor</v>
      </c>
      <c r="C7852" s="6">
        <v>5769</v>
      </c>
      <c r="D7852" s="7">
        <v>8.3000000000000007</v>
      </c>
      <c r="E7852" t="s">
        <v>38</v>
      </c>
    </row>
    <row r="7853" spans="1:5" x14ac:dyDescent="0.25">
      <c r="A7853" t="str">
        <f>HYPERLINK("https://www.773grp.com/globalSearch/74H74PC/page-1", "74H74PC")</f>
        <v>74H74PC</v>
      </c>
      <c r="B7853" s="3" t="str">
        <f>HYPERLINK("https://www.773grp.com/manufacturer/national-semiconductor?pageNo=80", "National Semiconductor")</f>
        <v>National Semiconductor</v>
      </c>
      <c r="C7853" s="6">
        <v>773</v>
      </c>
      <c r="D7853" s="7">
        <v>8.33</v>
      </c>
    </row>
    <row r="7854" spans="1:5" x14ac:dyDescent="0.25">
      <c r="A7854" t="str">
        <f>HYPERLINK("https://www.773grp.com/globalSearch/LM2575HVT-12/page-1", "LM2575HVT-12")</f>
        <v>LM2575HVT-12</v>
      </c>
      <c r="B7854" s="3" t="str">
        <f>HYPERLINK("https://www.773grp.com/manufacturer/national-semiconductor?pageNo=81", "National Semiconductor")</f>
        <v>National Semiconductor</v>
      </c>
      <c r="C7854" s="6">
        <v>691</v>
      </c>
      <c r="D7854" s="7">
        <v>8.33</v>
      </c>
      <c r="E7854" t="s">
        <v>7</v>
      </c>
    </row>
    <row r="7855" spans="1:5" x14ac:dyDescent="0.25">
      <c r="A7855" t="str">
        <f>HYPERLINK("https://www.773grp.com/globalSearch/LM2575HVT-15/page-1", "LM2575HVT-15")</f>
        <v>LM2575HVT-15</v>
      </c>
      <c r="B7855" s="3" t="str">
        <f>HYPERLINK("https://www.773grp.com/manufacturer/national-semiconductor?pageNo=82", "National Semiconductor")</f>
        <v>National Semiconductor</v>
      </c>
      <c r="C7855" s="6">
        <v>209</v>
      </c>
      <c r="D7855" s="7">
        <v>8.33</v>
      </c>
      <c r="E7855" t="s">
        <v>7</v>
      </c>
    </row>
    <row r="7856" spans="1:5" x14ac:dyDescent="0.25">
      <c r="A7856" t="str">
        <f>HYPERLINK("https://www.773grp.com/globalSearch/LM2575HVT-5.0/page-1", "LM2575HVT-5.0")</f>
        <v>LM2575HVT-5.0</v>
      </c>
      <c r="B7856" s="3" t="str">
        <f>HYPERLINK("https://www.773grp.com/manufacturer/national-semiconductor?pageNo=83", "National Semiconductor")</f>
        <v>National Semiconductor</v>
      </c>
      <c r="C7856" s="6">
        <v>7</v>
      </c>
      <c r="D7856" s="7">
        <v>8.33</v>
      </c>
      <c r="E7856" t="s">
        <v>7</v>
      </c>
    </row>
    <row r="7857" spans="1:5" x14ac:dyDescent="0.25">
      <c r="A7857" t="str">
        <f>HYPERLINK("https://www.773grp.com/globalSearch/LM2575HVT-ADJ/page-1", "LM2575HVT-ADJ")</f>
        <v>LM2575HVT-ADJ</v>
      </c>
      <c r="B7857" s="3" t="str">
        <f>HYPERLINK("https://www.773grp.com/manufacturer/national-semiconductor?pageNo=84", "National Semiconductor")</f>
        <v>National Semiconductor</v>
      </c>
      <c r="C7857" s="6">
        <v>243</v>
      </c>
      <c r="D7857" s="7">
        <v>8.33</v>
      </c>
      <c r="E7857" t="s">
        <v>7</v>
      </c>
    </row>
    <row r="7858" spans="1:5" x14ac:dyDescent="0.25">
      <c r="A7858" t="str">
        <f>HYPERLINK("https://www.773grp.com/globalSearch/LM2575HVT-ADJ-LB03/page-1", "LM2575HVT-ADJ-LB03")</f>
        <v>LM2575HVT-ADJ-LB03</v>
      </c>
      <c r="B7858" s="3" t="str">
        <f>HYPERLINK("https://www.773grp.com/manufacturer/national-semiconductor?pageNo=85", "National Semiconductor")</f>
        <v>National Semiconductor</v>
      </c>
      <c r="C7858" s="6">
        <v>29</v>
      </c>
      <c r="D7858" s="7">
        <v>8.33</v>
      </c>
    </row>
    <row r="7859" spans="1:5" x14ac:dyDescent="0.25">
      <c r="A7859" t="str">
        <f>HYPERLINK("https://www.773grp.com/globalSearch/LMH6733MQ-NOPB/page-1", "LMH6733MQ-NOPB")</f>
        <v>LMH6733MQ-NOPB</v>
      </c>
      <c r="B7859" s="3" t="str">
        <f>HYPERLINK("https://www.773grp.com/manufacturer/national-semiconductor?pageNo=86", "National Semiconductor")</f>
        <v>National Semiconductor</v>
      </c>
      <c r="C7859" s="6">
        <v>55</v>
      </c>
      <c r="D7859" s="7">
        <v>8.33</v>
      </c>
      <c r="E7859" t="s">
        <v>18</v>
      </c>
    </row>
    <row r="7860" spans="1:5" x14ac:dyDescent="0.25">
      <c r="A7860" t="str">
        <f>HYPERLINK("https://www.773grp.com/globalSearch/TP3067WM-NOPB/page-1", "TP3067WM-NOPB")</f>
        <v>TP3067WM-NOPB</v>
      </c>
      <c r="B7860" s="3" t="str">
        <f>HYPERLINK("https://www.773grp.com/manufacturer/national-semiconductor?pageNo=87", "National Semiconductor")</f>
        <v>National Semiconductor</v>
      </c>
      <c r="C7860" s="6">
        <v>8</v>
      </c>
      <c r="D7860" s="7">
        <v>8.33</v>
      </c>
      <c r="E7860" t="s">
        <v>66</v>
      </c>
    </row>
    <row r="7861" spans="1:5" x14ac:dyDescent="0.25">
      <c r="A7861" t="str">
        <f>HYPERLINK("https://www.773grp.com/globalSearch/DS90LV804TSQ/page-1", "DS90LV804TSQ")</f>
        <v>DS90LV804TSQ</v>
      </c>
      <c r="B7861" s="3" t="str">
        <f>HYPERLINK("https://www.773grp.com/manufacturer/national-semiconductor?pageNo=88", "National Semiconductor")</f>
        <v>National Semiconductor</v>
      </c>
      <c r="C7861" s="6">
        <v>177</v>
      </c>
      <c r="D7861" s="7">
        <v>8.33</v>
      </c>
      <c r="E7861" t="s">
        <v>21</v>
      </c>
    </row>
    <row r="7862" spans="1:5" x14ac:dyDescent="0.25">
      <c r="A7862" t="str">
        <f>HYPERLINK("https://www.773grp.com/globalSearch/LM2575HVT-12-LB03/page-1", "LM2575HVT-12-LB03")</f>
        <v>LM2575HVT-12-LB03</v>
      </c>
      <c r="B7862" s="3" t="str">
        <f>HYPERLINK("https://www.773grp.com/manufacturer/national-semiconductor?pageNo=89", "National Semiconductor")</f>
        <v>National Semiconductor</v>
      </c>
      <c r="C7862" s="6">
        <v>80</v>
      </c>
      <c r="D7862" s="7">
        <v>8.33</v>
      </c>
    </row>
    <row r="7863" spans="1:5" x14ac:dyDescent="0.25">
      <c r="A7863" t="str">
        <f>HYPERLINK("https://www.773grp.com/globalSearch/LMH6733MQ-NOPB/page-1", "LMH6733MQ-NOPB")</f>
        <v>LMH6733MQ-NOPB</v>
      </c>
      <c r="B7863" s="3" t="str">
        <f>HYPERLINK("https://www.773grp.com/manufacturer/national-semiconductor?pageNo=90", "National Semiconductor")</f>
        <v>National Semiconductor</v>
      </c>
      <c r="C7863" s="6">
        <v>1120</v>
      </c>
      <c r="D7863" s="7">
        <v>8.33</v>
      </c>
      <c r="E7863" t="s">
        <v>18</v>
      </c>
    </row>
    <row r="7864" spans="1:5" x14ac:dyDescent="0.25">
      <c r="A7864" t="str">
        <f>HYPERLINK("https://www.773grp.com/globalSearch/4050BDC/page-1", "4050BDC")</f>
        <v>4050BDC</v>
      </c>
      <c r="B7864" s="3" t="str">
        <f>HYPERLINK("https://www.773grp.com/manufacturer/national-semiconductor?pageNo=91", "National Semiconductor")</f>
        <v>National Semiconductor</v>
      </c>
      <c r="C7864" s="6">
        <v>1320</v>
      </c>
      <c r="D7864" s="7">
        <v>8.35</v>
      </c>
    </row>
    <row r="7865" spans="1:5" x14ac:dyDescent="0.25">
      <c r="A7865" t="str">
        <f>HYPERLINK("https://www.773grp.com/globalSearch/74LS502PC/page-1", "74LS502PC")</f>
        <v>74LS502PC</v>
      </c>
      <c r="B7865" s="3" t="str">
        <f>HYPERLINK("https://www.773grp.com/manufacturer/national-semiconductor?pageNo=92", "National Semiconductor")</f>
        <v>National Semiconductor</v>
      </c>
      <c r="C7865" s="6">
        <v>1989</v>
      </c>
      <c r="D7865" s="7">
        <v>8.35</v>
      </c>
      <c r="E7865" t="s">
        <v>32</v>
      </c>
    </row>
    <row r="7866" spans="1:5" x14ac:dyDescent="0.25">
      <c r="A7866" t="str">
        <f>HYPERLINK("https://www.773grp.com/globalSearch/LM2575HVS-ADJ/page-1", "LM2575HVS-ADJ")</f>
        <v>LM2575HVS-ADJ</v>
      </c>
      <c r="B7866" s="3" t="str">
        <f>HYPERLINK("https://www.773grp.com/manufacturer/national-semiconductor?pageNo=93", "National Semiconductor")</f>
        <v>National Semiconductor</v>
      </c>
      <c r="C7866" s="6">
        <v>354</v>
      </c>
      <c r="D7866" s="7">
        <v>8.35</v>
      </c>
      <c r="E7866" t="s">
        <v>7</v>
      </c>
    </row>
    <row r="7867" spans="1:5" x14ac:dyDescent="0.25">
      <c r="A7867" t="str">
        <f>HYPERLINK("https://www.773grp.com/globalSearch/LM2596S-3.3/page-1", "LM2596S-3.3")</f>
        <v>LM2596S-3.3</v>
      </c>
      <c r="B7867" s="3" t="str">
        <f>HYPERLINK("https://www.773grp.com/manufacturer/national-semiconductor?pageNo=94", "National Semiconductor")</f>
        <v>National Semiconductor</v>
      </c>
      <c r="C7867" s="6">
        <v>853</v>
      </c>
      <c r="D7867" s="7">
        <v>8.35</v>
      </c>
      <c r="E7867" t="s">
        <v>7</v>
      </c>
    </row>
    <row r="7868" spans="1:5" x14ac:dyDescent="0.25">
      <c r="A7868" t="str">
        <f>HYPERLINK("https://www.773grp.com/globalSearch/LM2676S-12/page-1", "LM2676S-12")</f>
        <v>LM2676S-12</v>
      </c>
      <c r="B7868" s="3" t="str">
        <f>HYPERLINK("https://www.773grp.com/manufacturer/national-semiconductor?pageNo=95", "National Semiconductor")</f>
        <v>National Semiconductor</v>
      </c>
      <c r="C7868" s="6">
        <v>105</v>
      </c>
      <c r="D7868" s="7">
        <v>8.35</v>
      </c>
      <c r="E7868" t="s">
        <v>7</v>
      </c>
    </row>
    <row r="7869" spans="1:5" x14ac:dyDescent="0.25">
      <c r="A7869" t="str">
        <f>HYPERLINK("https://www.773grp.com/globalSearch/LM2676S-3.3/page-1", "LM2676S-3.3")</f>
        <v>LM2676S-3.3</v>
      </c>
      <c r="B7869" s="3" t="str">
        <f>HYPERLINK("https://www.773grp.com/manufacturer/national-semiconductor?pageNo=96", "National Semiconductor")</f>
        <v>National Semiconductor</v>
      </c>
      <c r="C7869" s="6">
        <v>360</v>
      </c>
      <c r="D7869" s="7">
        <v>8.35</v>
      </c>
      <c r="E7869" t="s">
        <v>7</v>
      </c>
    </row>
    <row r="7870" spans="1:5" x14ac:dyDescent="0.25">
      <c r="A7870" t="str">
        <f>HYPERLINK("https://www.773grp.com/globalSearch/LM2676S-5.0/page-1", "LM2676S-5.0")</f>
        <v>LM2676S-5.0</v>
      </c>
      <c r="B7870" s="3" t="str">
        <f>HYPERLINK("https://www.773grp.com/manufacturer/national-semiconductor?pageNo=97", "National Semiconductor")</f>
        <v>National Semiconductor</v>
      </c>
      <c r="C7870" s="6">
        <v>3908</v>
      </c>
      <c r="D7870" s="7">
        <v>8.35</v>
      </c>
      <c r="E7870" t="s">
        <v>7</v>
      </c>
    </row>
    <row r="7871" spans="1:5" x14ac:dyDescent="0.25">
      <c r="A7871" t="str">
        <f>HYPERLINK("https://www.773grp.com/globalSearch/LM2676S-ADJ/page-1", "LM2676S-ADJ")</f>
        <v>LM2676S-ADJ</v>
      </c>
      <c r="B7871" s="3" t="str">
        <f>HYPERLINK("https://www.773grp.com/manufacturer/national-semiconductor?pageNo=98", "National Semiconductor")</f>
        <v>National Semiconductor</v>
      </c>
      <c r="C7871" s="6">
        <v>5528</v>
      </c>
      <c r="D7871" s="7">
        <v>8.35</v>
      </c>
      <c r="E7871" t="s">
        <v>7</v>
      </c>
    </row>
    <row r="7872" spans="1:5" x14ac:dyDescent="0.25">
      <c r="A7872" t="str">
        <f>HYPERLINK("https://www.773grp.com/globalSearch/LM2678SD-ADJ-HALF/page-1", "LM2678SD-ADJ-HALF")</f>
        <v>LM2678SD-ADJ-HALF</v>
      </c>
      <c r="B7872" s="3" t="str">
        <f>HYPERLINK("https://www.773grp.com/manufacturer/national-semiconductor?pageNo=99", "National Semiconductor")</f>
        <v>National Semiconductor</v>
      </c>
      <c r="C7872" s="6">
        <v>250</v>
      </c>
      <c r="D7872" s="7">
        <v>8.35</v>
      </c>
    </row>
    <row r="7873" spans="1:5" x14ac:dyDescent="0.25">
      <c r="A7873" t="str">
        <f>HYPERLINK("https://www.773grp.com/globalSearch/LM4140ACM-2.5/page-1", "LM4140ACM-2.5")</f>
        <v>LM4140ACM-2.5</v>
      </c>
      <c r="B7873" s="3" t="str">
        <f>HYPERLINK("https://www.773grp.com/manufacturer/national-semiconductor?pageNo=100", "National Semiconductor")</f>
        <v>National Semiconductor</v>
      </c>
      <c r="C7873" s="6">
        <v>255</v>
      </c>
      <c r="D7873" s="7">
        <v>8.35</v>
      </c>
      <c r="E7873" t="s">
        <v>17</v>
      </c>
    </row>
    <row r="7874" spans="1:5" x14ac:dyDescent="0.25">
      <c r="A7874" t="str">
        <f>HYPERLINK("https://www.773grp.com/globalSearch/LM5000-3MTC/page-1", "LM5000-3MTC")</f>
        <v>LM5000-3MTC</v>
      </c>
      <c r="B7874" s="3" t="str">
        <f>HYPERLINK("https://www.773grp.com/manufacturer/national-semiconductor?pageNo=101", "National Semiconductor")</f>
        <v>National Semiconductor</v>
      </c>
      <c r="C7874" s="6">
        <v>313</v>
      </c>
      <c r="D7874" s="7">
        <v>8.35</v>
      </c>
      <c r="E7874" t="s">
        <v>7</v>
      </c>
    </row>
    <row r="7875" spans="1:5" x14ac:dyDescent="0.25">
      <c r="A7875" t="str">
        <f>HYPERLINK("https://www.773grp.com/globalSearch/LMC1983CIN/page-1", "LMC1983CIN")</f>
        <v>LMC1983CIN</v>
      </c>
      <c r="B7875" s="3" t="str">
        <f>HYPERLINK("https://www.773grp.com/manufacturer/national-semiconductor?pageNo=102", "National Semiconductor")</f>
        <v>National Semiconductor</v>
      </c>
      <c r="C7875" s="6">
        <v>2063</v>
      </c>
      <c r="D7875" s="7">
        <v>8.35</v>
      </c>
      <c r="E7875" t="s">
        <v>41</v>
      </c>
    </row>
    <row r="7876" spans="1:5" x14ac:dyDescent="0.25">
      <c r="A7876" t="str">
        <f>HYPERLINK("https://www.773grp.com/globalSearch/LM2596S-5.0/page-1", "LM2596S-5.0")</f>
        <v>LM2596S-5.0</v>
      </c>
      <c r="B7876" s="3" t="str">
        <f>HYPERLINK("https://www.773grp.com/manufacturer/national-semiconductor?pageNo=103", "National Semiconductor")</f>
        <v>National Semiconductor</v>
      </c>
      <c r="C7876" s="6">
        <v>315</v>
      </c>
      <c r="D7876" s="7">
        <v>8.35</v>
      </c>
    </row>
    <row r="7877" spans="1:5" x14ac:dyDescent="0.25">
      <c r="A7877" t="str">
        <f>HYPERLINK("https://www.773grp.com/globalSearch/LM2676S-12/page-1", "LM2676S-12")</f>
        <v>LM2676S-12</v>
      </c>
      <c r="B7877" s="3" t="str">
        <f>HYPERLINK("https://www.773grp.com/manufacturer/national-semiconductor?pageNo=104", "National Semiconductor")</f>
        <v>National Semiconductor</v>
      </c>
      <c r="C7877" s="6">
        <v>300</v>
      </c>
      <c r="D7877" s="7">
        <v>8.35</v>
      </c>
      <c r="E7877" t="s">
        <v>7</v>
      </c>
    </row>
    <row r="7878" spans="1:5" x14ac:dyDescent="0.25">
      <c r="A7878" t="str">
        <f>HYPERLINK("https://www.773grp.com/globalSearch/LM2676S-3.3/page-1", "LM2676S-3.3")</f>
        <v>LM2676S-3.3</v>
      </c>
      <c r="B7878" s="3" t="str">
        <f>HYPERLINK("https://www.773grp.com/manufacturer/national-semiconductor?pageNo=105", "National Semiconductor")</f>
        <v>National Semiconductor</v>
      </c>
      <c r="C7878" s="6">
        <v>2276</v>
      </c>
      <c r="D7878" s="7">
        <v>8.35</v>
      </c>
      <c r="E7878" t="s">
        <v>7</v>
      </c>
    </row>
    <row r="7879" spans="1:5" x14ac:dyDescent="0.25">
      <c r="A7879" t="str">
        <f>HYPERLINK("https://www.773grp.com/globalSearch/LM2676S-5.0/page-1", "LM2676S-5.0")</f>
        <v>LM2676S-5.0</v>
      </c>
      <c r="B7879" s="3" t="str">
        <f>HYPERLINK("https://www.773grp.com/manufacturer/national-semiconductor?pageNo=106", "National Semiconductor")</f>
        <v>National Semiconductor</v>
      </c>
      <c r="C7879" s="6">
        <v>10</v>
      </c>
      <c r="D7879" s="7">
        <v>8.35</v>
      </c>
      <c r="E7879" t="s">
        <v>7</v>
      </c>
    </row>
    <row r="7880" spans="1:5" x14ac:dyDescent="0.25">
      <c r="A7880" t="str">
        <f>HYPERLINK("https://www.773grp.com/globalSearch/LM4140ACM-2.5/page-1", "LM4140ACM-2.5")</f>
        <v>LM4140ACM-2.5</v>
      </c>
      <c r="B7880" s="3" t="str">
        <f>HYPERLINK("https://www.773grp.com/manufacturer/national-semiconductor?pageNo=107", "National Semiconductor")</f>
        <v>National Semiconductor</v>
      </c>
      <c r="C7880" s="6">
        <v>234</v>
      </c>
      <c r="D7880" s="7">
        <v>8.35</v>
      </c>
      <c r="E7880" t="s">
        <v>17</v>
      </c>
    </row>
    <row r="7881" spans="1:5" x14ac:dyDescent="0.25">
      <c r="A7881" t="str">
        <f>HYPERLINK("https://www.773grp.com/globalSearch/LM4140ACM-4.1/page-1", "LM4140ACM-4.1")</f>
        <v>LM4140ACM-4.1</v>
      </c>
      <c r="B7881" s="3" t="str">
        <f>HYPERLINK("https://www.773grp.com/manufacturer/national-semiconductor?pageNo=108", "National Semiconductor")</f>
        <v>National Semiconductor</v>
      </c>
      <c r="C7881" s="6">
        <v>65</v>
      </c>
      <c r="D7881" s="7">
        <v>8.35</v>
      </c>
    </row>
    <row r="7882" spans="1:5" x14ac:dyDescent="0.25">
      <c r="A7882" t="str">
        <f>HYPERLINK("https://www.773grp.com/globalSearch/LM5000-3MTC/page-1", "LM5000-3MTC")</f>
        <v>LM5000-3MTC</v>
      </c>
      <c r="B7882" s="3" t="str">
        <f>HYPERLINK("https://www.773grp.com/manufacturer/national-semiconductor?pageNo=109", "National Semiconductor")</f>
        <v>National Semiconductor</v>
      </c>
      <c r="C7882" s="6">
        <v>3389</v>
      </c>
      <c r="D7882" s="7">
        <v>8.35</v>
      </c>
      <c r="E7882" t="s">
        <v>7</v>
      </c>
    </row>
    <row r="7883" spans="1:5" x14ac:dyDescent="0.25">
      <c r="A7883" t="str">
        <f>HYPERLINK("https://www.773grp.com/globalSearch/ADC78H89CIMT-NOPB/page-1", "ADC78H89CIMT-NOPB")</f>
        <v>ADC78H89CIMT-NOPB</v>
      </c>
      <c r="B7883" s="3" t="str">
        <f>HYPERLINK("https://www.773grp.com/manufacturer/national-semiconductor?pageNo=110", "National Semiconductor")</f>
        <v>National Semiconductor</v>
      </c>
      <c r="C7883" s="6">
        <v>94</v>
      </c>
      <c r="D7883" s="7">
        <v>8.39</v>
      </c>
      <c r="E7883" t="s">
        <v>39</v>
      </c>
    </row>
    <row r="7884" spans="1:5" x14ac:dyDescent="0.25">
      <c r="A7884" t="str">
        <f>HYPERLINK("https://www.773grp.com/globalSearch/DM54LS11J-883/page-1", "DM54LS11J-883")</f>
        <v>DM54LS11J-883</v>
      </c>
      <c r="B7884" s="3" t="str">
        <f>HYPERLINK("https://www.773grp.com/manufacturer/national-semiconductor?pageNo=111", "National Semiconductor")</f>
        <v>National Semiconductor</v>
      </c>
      <c r="C7884" s="6">
        <v>2426</v>
      </c>
      <c r="D7884" s="7">
        <v>8.39</v>
      </c>
      <c r="E7884" t="s">
        <v>31</v>
      </c>
    </row>
    <row r="7885" spans="1:5" x14ac:dyDescent="0.25">
      <c r="A7885" t="str">
        <f>HYPERLINK("https://www.773grp.com/globalSearch/DM54LS27J-883/page-1", "DM54LS27J-883")</f>
        <v>DM54LS27J-883</v>
      </c>
      <c r="B7885" s="3" t="str">
        <f>HYPERLINK("https://www.773grp.com/manufacturer/national-semiconductor?pageNo=112", "National Semiconductor")</f>
        <v>National Semiconductor</v>
      </c>
      <c r="C7885" s="6">
        <v>575</v>
      </c>
      <c r="D7885" s="7">
        <v>8.39</v>
      </c>
      <c r="E7885" t="s">
        <v>31</v>
      </c>
    </row>
    <row r="7886" spans="1:5" x14ac:dyDescent="0.25">
      <c r="A7886" t="str">
        <f>HYPERLINK("https://www.773grp.com/globalSearch/DS90CF383MTD/page-1", "DS90CF383MTD")</f>
        <v>DS90CF383MTD</v>
      </c>
      <c r="B7886" s="3" t="str">
        <f>HYPERLINK("https://www.773grp.com/manufacturer/national-semiconductor?pageNo=113", "National Semiconductor")</f>
        <v>National Semiconductor</v>
      </c>
      <c r="C7886" s="6">
        <v>1823</v>
      </c>
      <c r="D7886" s="7">
        <v>8.39</v>
      </c>
      <c r="E7886" t="s">
        <v>21</v>
      </c>
    </row>
    <row r="7887" spans="1:5" x14ac:dyDescent="0.25">
      <c r="A7887" t="str">
        <f>HYPERLINK("https://www.773grp.com/globalSearch/DS90CR216AMTD-NOPB/page-1", "DS90CR216AMTD-NOPB")</f>
        <v>DS90CR216AMTD-NOPB</v>
      </c>
      <c r="B7887" s="3" t="str">
        <f>HYPERLINK("https://www.773grp.com/manufacturer/national-semiconductor?pageNo=114", "National Semiconductor")</f>
        <v>National Semiconductor</v>
      </c>
      <c r="C7887" s="6">
        <v>497</v>
      </c>
      <c r="D7887" s="7">
        <v>8.39</v>
      </c>
      <c r="E7887" t="s">
        <v>21</v>
      </c>
    </row>
    <row r="7888" spans="1:5" x14ac:dyDescent="0.25">
      <c r="A7888" t="str">
        <f>HYPERLINK("https://www.773grp.com/globalSearch/DS90CR286MTDX/page-1", "DS90CR286MTDX")</f>
        <v>DS90CR286MTDX</v>
      </c>
      <c r="B7888" s="3" t="str">
        <f>HYPERLINK("https://www.773grp.com/manufacturer/national-semiconductor?pageNo=115", "National Semiconductor")</f>
        <v>National Semiconductor</v>
      </c>
      <c r="C7888" s="6">
        <v>1000</v>
      </c>
      <c r="D7888" s="7">
        <v>8.39</v>
      </c>
      <c r="E7888" t="s">
        <v>21</v>
      </c>
    </row>
    <row r="7889" spans="1:5" x14ac:dyDescent="0.25">
      <c r="A7889" t="str">
        <f>HYPERLINK("https://www.773grp.com/globalSearch/LM2679LD-3.3/page-1", "LM2679LD-3.3")</f>
        <v>LM2679LD-3.3</v>
      </c>
      <c r="B7889" s="3" t="str">
        <f>HYPERLINK("https://www.773grp.com/manufacturer/national-semiconductor?pageNo=116", "National Semiconductor")</f>
        <v>National Semiconductor</v>
      </c>
      <c r="C7889" s="6">
        <v>1750</v>
      </c>
      <c r="D7889" s="7">
        <v>8.39</v>
      </c>
      <c r="E7889" t="s">
        <v>7</v>
      </c>
    </row>
    <row r="7890" spans="1:5" x14ac:dyDescent="0.25">
      <c r="A7890" t="str">
        <f>HYPERLINK("https://www.773grp.com/globalSearch/USBN9604-28MX-NOPB/page-1", "USBN9604-28MX-NOPB")</f>
        <v>USBN9604-28MX-NOPB</v>
      </c>
      <c r="B7890" s="3" t="str">
        <f>HYPERLINK("https://www.773grp.com/manufacturer/national-semiconductor?pageNo=117", "National Semiconductor")</f>
        <v>National Semiconductor</v>
      </c>
      <c r="C7890" s="6">
        <v>13000</v>
      </c>
      <c r="D7890" s="7">
        <v>8.39</v>
      </c>
      <c r="E7890" t="s">
        <v>68</v>
      </c>
    </row>
    <row r="7891" spans="1:5" x14ac:dyDescent="0.25">
      <c r="A7891" t="str">
        <f>HYPERLINK("https://www.773grp.com/globalSearch/ADC12030CIWM/page-1", "ADC12030CIWM")</f>
        <v>ADC12030CIWM</v>
      </c>
      <c r="B7891" s="3" t="str">
        <f>HYPERLINK("https://www.773grp.com/manufacturer/national-semiconductor?pageNo=118", "National Semiconductor")</f>
        <v>National Semiconductor</v>
      </c>
      <c r="C7891" s="6">
        <v>97</v>
      </c>
      <c r="D7891" s="7">
        <v>8.39</v>
      </c>
    </row>
    <row r="7892" spans="1:5" x14ac:dyDescent="0.25">
      <c r="A7892" t="str">
        <f>HYPERLINK("https://www.773grp.com/globalSearch/ADC78H89CIMT-NOPB/page-1", "ADC78H89CIMT-NOPB")</f>
        <v>ADC78H89CIMT-NOPB</v>
      </c>
      <c r="B7892" s="3" t="str">
        <f>HYPERLINK("https://www.773grp.com/manufacturer/national-semiconductor?pageNo=119", "National Semiconductor")</f>
        <v>National Semiconductor</v>
      </c>
      <c r="C7892" s="6">
        <v>271</v>
      </c>
      <c r="D7892" s="7">
        <v>8.39</v>
      </c>
      <c r="E7892" t="s">
        <v>39</v>
      </c>
    </row>
    <row r="7893" spans="1:5" x14ac:dyDescent="0.25">
      <c r="A7893" t="str">
        <f>HYPERLINK("https://www.773grp.com/globalSearch/DS90CF383MTD/page-1", "DS90CF383MTD")</f>
        <v>DS90CF383MTD</v>
      </c>
      <c r="B7893" s="3" t="str">
        <f>HYPERLINK("https://www.773grp.com/manufacturer/national-semiconductor?pageNo=120", "National Semiconductor")</f>
        <v>National Semiconductor</v>
      </c>
      <c r="C7893" s="6">
        <v>3570</v>
      </c>
      <c r="D7893" s="7">
        <v>8.39</v>
      </c>
      <c r="E7893" t="s">
        <v>21</v>
      </c>
    </row>
    <row r="7894" spans="1:5" x14ac:dyDescent="0.25">
      <c r="A7894" t="str">
        <f>HYPERLINK("https://www.773grp.com/globalSearch/DS90CR216AMTD-NOPB/page-1", "DS90CR216AMTD-NOPB")</f>
        <v>DS90CR216AMTD-NOPB</v>
      </c>
      <c r="B7894" s="3" t="str">
        <f>HYPERLINK("https://www.773grp.com/manufacturer/national-semiconductor?pageNo=121", "National Semiconductor")</f>
        <v>National Semiconductor</v>
      </c>
      <c r="C7894" s="6">
        <v>244</v>
      </c>
      <c r="D7894" s="7">
        <v>8.39</v>
      </c>
      <c r="E7894" t="s">
        <v>21</v>
      </c>
    </row>
    <row r="7895" spans="1:5" x14ac:dyDescent="0.25">
      <c r="A7895" t="str">
        <f>HYPERLINK("https://www.773grp.com/globalSearch/DS90CR286MTDX/page-1", "DS90CR286MTDX")</f>
        <v>DS90CR286MTDX</v>
      </c>
      <c r="B7895" s="3" t="str">
        <f>HYPERLINK("https://www.773grp.com/manufacturer/national-semiconductor?pageNo=122", "National Semiconductor")</f>
        <v>National Semiconductor</v>
      </c>
      <c r="C7895" s="6">
        <v>390</v>
      </c>
      <c r="D7895" s="7">
        <v>8.39</v>
      </c>
      <c r="E7895" t="s">
        <v>21</v>
      </c>
    </row>
    <row r="7896" spans="1:5" x14ac:dyDescent="0.25">
      <c r="A7896" t="str">
        <f>HYPERLINK("https://www.773grp.com/globalSearch/USBN9604-28MX-NOPB/page-1", "USBN9604-28MX-NOPB")</f>
        <v>USBN9604-28MX-NOPB</v>
      </c>
      <c r="B7896" s="3" t="str">
        <f>HYPERLINK("https://www.773grp.com/manufacturer/national-semiconductor?pageNo=123", "National Semiconductor")</f>
        <v>National Semiconductor</v>
      </c>
      <c r="C7896" s="6">
        <v>3000</v>
      </c>
      <c r="D7896" s="7">
        <v>8.39</v>
      </c>
      <c r="E7896" t="s">
        <v>68</v>
      </c>
    </row>
    <row r="7897" spans="1:5" x14ac:dyDescent="0.25">
      <c r="A7897" t="str">
        <f>HYPERLINK("https://www.773grp.com/globalSearch/LM22678TJ-5.0/page-1", "LM22678TJ-5.0")</f>
        <v>LM22678TJ-5.0</v>
      </c>
      <c r="B7897" s="3" t="str">
        <f>HYPERLINK("https://www.773grp.com/manufacturer/national-semiconductor?pageNo=124", "National Semiconductor")</f>
        <v>National Semiconductor</v>
      </c>
      <c r="C7897" s="6">
        <v>1000</v>
      </c>
      <c r="D7897" s="7">
        <v>8.4</v>
      </c>
      <c r="E7897" t="s">
        <v>7</v>
      </c>
    </row>
    <row r="7898" spans="1:5" x14ac:dyDescent="0.25">
      <c r="A7898" t="str">
        <f>HYPERLINK("https://www.773grp.com/globalSearch/LM22689TJE-ADJ-NOPB/page-1", "LM22689TJE-ADJ-NOPB")</f>
        <v>LM22689TJE-ADJ-NOPB</v>
      </c>
      <c r="B7898" s="3" t="str">
        <f>HYPERLINK("https://www.773grp.com/manufacturer/national-semiconductor?pageNo=125", "National Semiconductor")</f>
        <v>National Semiconductor</v>
      </c>
      <c r="C7898" s="6">
        <v>56</v>
      </c>
      <c r="D7898" s="7">
        <v>8.4</v>
      </c>
    </row>
    <row r="7899" spans="1:5" x14ac:dyDescent="0.25">
      <c r="A7899" t="str">
        <f>HYPERLINK("https://www.773grp.com/globalSearch/LM25119PSQE-NOPB/page-1", "LM25119PSQE-NOPB")</f>
        <v>LM25119PSQE-NOPB</v>
      </c>
      <c r="B7899" s="3" t="str">
        <f>HYPERLINK("https://www.773grp.com/manufacturer/national-semiconductor?pageNo=126", "National Semiconductor")</f>
        <v>National Semiconductor</v>
      </c>
      <c r="C7899" s="6">
        <v>182</v>
      </c>
      <c r="D7899" s="7">
        <v>8.4</v>
      </c>
    </row>
    <row r="7900" spans="1:5" x14ac:dyDescent="0.25">
      <c r="A7900" t="str">
        <f>HYPERLINK("https://www.773grp.com/globalSearch/LM87CIMT-NOPB/page-1", "LM87CIMT-NOPB")</f>
        <v>LM87CIMT-NOPB</v>
      </c>
      <c r="B7900" s="3" t="str">
        <f>HYPERLINK("https://www.773grp.com/manufacturer/national-semiconductor?pageNo=127", "National Semiconductor")</f>
        <v>National Semiconductor</v>
      </c>
      <c r="C7900" s="6">
        <v>1037</v>
      </c>
      <c r="D7900" s="7">
        <v>8.4</v>
      </c>
      <c r="E7900" t="s">
        <v>30</v>
      </c>
    </row>
    <row r="7901" spans="1:5" x14ac:dyDescent="0.25">
      <c r="A7901" t="str">
        <f>HYPERLINK("https://www.773grp.com/globalSearch/LMV1089VY-NOPB/page-1", "LMV1089VY-NOPB")</f>
        <v>LMV1089VY-NOPB</v>
      </c>
      <c r="B7901" s="3" t="str">
        <f>HYPERLINK("https://www.773grp.com/manufacturer/national-semiconductor?pageNo=128", "National Semiconductor")</f>
        <v>National Semiconductor</v>
      </c>
      <c r="C7901" s="6">
        <v>250</v>
      </c>
      <c r="D7901" s="7">
        <v>8.4</v>
      </c>
    </row>
    <row r="7902" spans="1:5" x14ac:dyDescent="0.25">
      <c r="A7902" t="str">
        <f>HYPERLINK("https://www.773grp.com/globalSearch/LM87CIMT-NOPB/page-1", "LM87CIMT-NOPB")</f>
        <v>LM87CIMT-NOPB</v>
      </c>
      <c r="B7902" s="3" t="str">
        <f>HYPERLINK("https://www.773grp.com/manufacturer/national-semiconductor?pageNo=129", "National Semiconductor")</f>
        <v>National Semiconductor</v>
      </c>
      <c r="C7902" s="6">
        <v>717</v>
      </c>
      <c r="D7902" s="7">
        <v>8.4</v>
      </c>
      <c r="E7902" t="s">
        <v>30</v>
      </c>
    </row>
    <row r="7903" spans="1:5" x14ac:dyDescent="0.25">
      <c r="A7903" t="str">
        <f>HYPERLINK("https://www.773grp.com/globalSearch/LMV1089VY-NOPB/page-1", "LMV1089VY-NOPB")</f>
        <v>LMV1089VY-NOPB</v>
      </c>
      <c r="B7903" s="3" t="str">
        <f>HYPERLINK("https://www.773grp.com/manufacturer/national-semiconductor?pageNo=130", "National Semiconductor")</f>
        <v>National Semiconductor</v>
      </c>
      <c r="C7903" s="6">
        <v>260</v>
      </c>
      <c r="D7903" s="7">
        <v>8.4</v>
      </c>
    </row>
    <row r="7904" spans="1:5" x14ac:dyDescent="0.25">
      <c r="A7904" t="str">
        <f>HYPERLINK("https://www.773grp.com/globalSearch/2N2920/page-1", "2N2920")</f>
        <v>2N2920</v>
      </c>
      <c r="B7904" s="3" t="str">
        <f>HYPERLINK("https://www.773grp.com/manufacturer/national-semiconductor?pageNo=131", "National Semiconductor")</f>
        <v>National Semiconductor</v>
      </c>
      <c r="C7904" s="6">
        <v>10</v>
      </c>
      <c r="D7904" s="7">
        <v>8.44</v>
      </c>
      <c r="E7904" t="s">
        <v>69</v>
      </c>
    </row>
    <row r="7905" spans="1:5" x14ac:dyDescent="0.25">
      <c r="A7905" t="str">
        <f>HYPERLINK("https://www.773grp.com/globalSearch/54F253DC/page-1", "54F253DC")</f>
        <v>54F253DC</v>
      </c>
      <c r="B7905" s="3" t="str">
        <f>HYPERLINK("https://www.773grp.com/manufacturer/national-semiconductor?pageNo=132", "National Semiconductor")</f>
        <v>National Semiconductor</v>
      </c>
      <c r="C7905" s="6">
        <v>135</v>
      </c>
      <c r="D7905" s="7">
        <v>8.44</v>
      </c>
      <c r="E7905" t="s">
        <v>20</v>
      </c>
    </row>
    <row r="7906" spans="1:5" x14ac:dyDescent="0.25">
      <c r="A7906" t="str">
        <f>HYPERLINK("https://www.773grp.com/globalSearch/54F253DM/page-1", "54F253DM")</f>
        <v>54F253DM</v>
      </c>
      <c r="B7906" s="3" t="str">
        <f>HYPERLINK("https://www.773grp.com/manufacturer/national-semiconductor?pageNo=133", "National Semiconductor")</f>
        <v>National Semiconductor</v>
      </c>
      <c r="C7906" s="6">
        <v>15</v>
      </c>
      <c r="D7906" s="7">
        <v>8.44</v>
      </c>
      <c r="E7906" t="s">
        <v>20</v>
      </c>
    </row>
    <row r="7907" spans="1:5" x14ac:dyDescent="0.25">
      <c r="A7907" t="str">
        <f>HYPERLINK("https://www.773grp.com/globalSearch/54F258ADC/page-1", "54F258ADC")</f>
        <v>54F258ADC</v>
      </c>
      <c r="B7907" s="3" t="str">
        <f>HYPERLINK("https://www.773grp.com/manufacturer/national-semiconductor?pageNo=134", "National Semiconductor")</f>
        <v>National Semiconductor</v>
      </c>
      <c r="C7907" s="6">
        <v>250</v>
      </c>
      <c r="D7907" s="7">
        <v>8.44</v>
      </c>
      <c r="E7907" t="s">
        <v>20</v>
      </c>
    </row>
    <row r="7908" spans="1:5" x14ac:dyDescent="0.25">
      <c r="A7908" t="str">
        <f>HYPERLINK("https://www.773grp.com/globalSearch/93L14DC/page-1", "93L14DC")</f>
        <v>93L14DC</v>
      </c>
      <c r="B7908" s="3" t="str">
        <f>HYPERLINK("https://www.773grp.com/manufacturer/national-semiconductor?pageNo=1", "National Semiconductor")</f>
        <v>National Semiconductor</v>
      </c>
      <c r="C7908" s="6">
        <v>1706</v>
      </c>
      <c r="D7908" s="7">
        <v>8.44</v>
      </c>
      <c r="E7908" t="s">
        <v>35</v>
      </c>
    </row>
    <row r="7909" spans="1:5" x14ac:dyDescent="0.25">
      <c r="A7909" t="str">
        <f>HYPERLINK("https://www.773grp.com/globalSearch/9601PC/page-1", "9601PC")</f>
        <v>9601PC</v>
      </c>
      <c r="B7909" s="3" t="str">
        <f>HYPERLINK("https://www.773grp.com/manufacturer/national-semiconductor?pageNo=2", "National Semiconductor")</f>
        <v>National Semiconductor</v>
      </c>
      <c r="C7909" s="6">
        <v>7290</v>
      </c>
      <c r="D7909" s="7">
        <v>8.44</v>
      </c>
      <c r="E7909" t="s">
        <v>54</v>
      </c>
    </row>
    <row r="7910" spans="1:5" x14ac:dyDescent="0.25">
      <c r="A7910" t="str">
        <f>HYPERLINK("https://www.773grp.com/globalSearch/DAC124S085CIMM-NOPB/page-1", "DAC124S085CIMM-NOPB")</f>
        <v>DAC124S085CIMM-NOPB</v>
      </c>
      <c r="B7910" s="3" t="str">
        <f>HYPERLINK("https://www.773grp.com/manufacturer/national-semiconductor?pageNo=3", "National Semiconductor")</f>
        <v>National Semiconductor</v>
      </c>
      <c r="C7910" s="6">
        <v>751</v>
      </c>
      <c r="D7910" s="7">
        <v>8.44</v>
      </c>
      <c r="E7910" t="s">
        <v>33</v>
      </c>
    </row>
    <row r="7911" spans="1:5" x14ac:dyDescent="0.25">
      <c r="A7911" t="str">
        <f>HYPERLINK("https://www.773grp.com/globalSearch/DAC124S085CISD-NOPB/page-1", "DAC124S085CISD-NOPB")</f>
        <v>DAC124S085CISD-NOPB</v>
      </c>
      <c r="B7911" s="3" t="str">
        <f>HYPERLINK("https://www.773grp.com/manufacturer/national-semiconductor?pageNo=4", "National Semiconductor")</f>
        <v>National Semiconductor</v>
      </c>
      <c r="C7911" s="6">
        <v>1000</v>
      </c>
      <c r="D7911" s="7">
        <v>8.44</v>
      </c>
    </row>
    <row r="7912" spans="1:5" x14ac:dyDescent="0.25">
      <c r="A7912" t="str">
        <f>HYPERLINK("https://www.773grp.com/globalSearch/DAC161P997CISQ/page-1", "DAC161P997CISQ")</f>
        <v>DAC161P997CISQ</v>
      </c>
      <c r="B7912" s="3" t="str">
        <f>HYPERLINK("https://www.773grp.com/manufacturer/national-semiconductor?pageNo=5", "National Semiconductor")</f>
        <v>National Semiconductor</v>
      </c>
      <c r="C7912" s="6">
        <v>1990</v>
      </c>
      <c r="D7912" s="7">
        <v>8.44</v>
      </c>
      <c r="E7912" t="s">
        <v>33</v>
      </c>
    </row>
    <row r="7913" spans="1:5" x14ac:dyDescent="0.25">
      <c r="A7913" t="str">
        <f>HYPERLINK("https://www.773grp.com/globalSearch/DM54LS153J-883/page-1", "DM54LS153J-883")</f>
        <v>DM54LS153J-883</v>
      </c>
      <c r="B7913" s="3" t="str">
        <f>HYPERLINK("https://www.773grp.com/manufacturer/national-semiconductor?pageNo=6", "National Semiconductor")</f>
        <v>National Semiconductor</v>
      </c>
      <c r="C7913" s="6">
        <v>75</v>
      </c>
      <c r="D7913" s="7">
        <v>8.44</v>
      </c>
      <c r="E7913" t="s">
        <v>20</v>
      </c>
    </row>
    <row r="7914" spans="1:5" x14ac:dyDescent="0.25">
      <c r="A7914" t="str">
        <f>HYPERLINK("https://www.773grp.com/globalSearch/DM54LS165J-883/page-1", "DM54LS165J-883")</f>
        <v>DM54LS165J-883</v>
      </c>
      <c r="B7914" s="3" t="str">
        <f>HYPERLINK("https://www.773grp.com/manufacturer/national-semiconductor?pageNo=7", "National Semiconductor")</f>
        <v>National Semiconductor</v>
      </c>
      <c r="C7914" s="6">
        <v>58</v>
      </c>
      <c r="D7914" s="7">
        <v>8.44</v>
      </c>
      <c r="E7914" t="s">
        <v>32</v>
      </c>
    </row>
    <row r="7915" spans="1:5" x14ac:dyDescent="0.25">
      <c r="A7915" t="str">
        <f>HYPERLINK("https://www.773grp.com/globalSearch/DM7122J-883/page-1", "DM7122J-883")</f>
        <v>DM7122J-883</v>
      </c>
      <c r="B7915" s="3" t="str">
        <f>HYPERLINK("https://www.773grp.com/manufacturer/national-semiconductor?pageNo=8", "National Semiconductor")</f>
        <v>National Semiconductor</v>
      </c>
      <c r="C7915" s="6">
        <v>1618</v>
      </c>
      <c r="D7915" s="7">
        <v>8.44</v>
      </c>
    </row>
    <row r="7916" spans="1:5" x14ac:dyDescent="0.25">
      <c r="A7916" t="str">
        <f>HYPERLINK("https://www.773grp.com/globalSearch/DM7850J/page-1", "DM7850J")</f>
        <v>DM7850J</v>
      </c>
      <c r="B7916" s="3" t="str">
        <f>HYPERLINK("https://www.773grp.com/manufacturer/national-semiconductor?pageNo=9", "National Semiconductor")</f>
        <v>National Semiconductor</v>
      </c>
      <c r="C7916" s="6">
        <v>345</v>
      </c>
      <c r="D7916" s="7">
        <v>8.44</v>
      </c>
    </row>
    <row r="7917" spans="1:5" x14ac:dyDescent="0.25">
      <c r="A7917" t="str">
        <f>HYPERLINK("https://www.773grp.com/globalSearch/DS90CF366MTD/page-1", "DS90CF366MTD")</f>
        <v>DS90CF366MTD</v>
      </c>
      <c r="B7917" s="3" t="str">
        <f>HYPERLINK("https://www.773grp.com/manufacturer/national-semiconductor?pageNo=10", "National Semiconductor")</f>
        <v>National Semiconductor</v>
      </c>
      <c r="C7917" s="6">
        <v>8</v>
      </c>
      <c r="D7917" s="7">
        <v>8.44</v>
      </c>
      <c r="E7917" t="s">
        <v>21</v>
      </c>
    </row>
    <row r="7918" spans="1:5" x14ac:dyDescent="0.25">
      <c r="A7918" t="str">
        <f>HYPERLINK("https://www.773grp.com/globalSearch/DS90CF366MTDX-NOPB/page-1", "DS90CF366MTDX-NOPB")</f>
        <v>DS90CF366MTDX-NOPB</v>
      </c>
      <c r="B7918" s="3" t="str">
        <f>HYPERLINK("https://www.773grp.com/manufacturer/national-semiconductor?pageNo=11", "National Semiconductor")</f>
        <v>National Semiconductor</v>
      </c>
      <c r="C7918" s="6">
        <v>890</v>
      </c>
      <c r="D7918" s="7">
        <v>8.44</v>
      </c>
      <c r="E7918" t="s">
        <v>21</v>
      </c>
    </row>
    <row r="7919" spans="1:5" x14ac:dyDescent="0.25">
      <c r="A7919" t="str">
        <f>HYPERLINK("https://www.773grp.com/globalSearch/DS90CF384MTD-NOPB/page-1", "DS90CF384MTD-NOPB")</f>
        <v>DS90CF384MTD-NOPB</v>
      </c>
      <c r="B7919" s="3" t="str">
        <f>HYPERLINK("https://www.773grp.com/manufacturer/national-semiconductor?pageNo=12", "National Semiconductor")</f>
        <v>National Semiconductor</v>
      </c>
      <c r="C7919" s="6">
        <v>798</v>
      </c>
      <c r="D7919" s="7">
        <v>8.44</v>
      </c>
      <c r="E7919" t="s">
        <v>21</v>
      </c>
    </row>
    <row r="7920" spans="1:5" x14ac:dyDescent="0.25">
      <c r="A7920" t="str">
        <f>HYPERLINK("https://www.773grp.com/globalSearch/DS90CR216MTDX-NOPB/page-1", "DS90CR216MTDX-NOPB")</f>
        <v>DS90CR216MTDX-NOPB</v>
      </c>
      <c r="B7920" s="3" t="str">
        <f>HYPERLINK("https://www.773grp.com/manufacturer/national-semiconductor?pageNo=13", "National Semiconductor")</f>
        <v>National Semiconductor</v>
      </c>
      <c r="C7920" s="6">
        <v>3000</v>
      </c>
      <c r="D7920" s="7">
        <v>8.44</v>
      </c>
      <c r="E7920" t="s">
        <v>21</v>
      </c>
    </row>
    <row r="7921" spans="1:5" x14ac:dyDescent="0.25">
      <c r="A7921" t="str">
        <f>HYPERLINK("https://www.773grp.com/globalSearch/GAL20V8QS-10LNC/page-1", "GAL20V8QS-10LNC")</f>
        <v>GAL20V8QS-10LNC</v>
      </c>
      <c r="B7921" s="3" t="str">
        <f>HYPERLINK("https://www.773grp.com/manufacturer/national-semiconductor?pageNo=14", "National Semiconductor")</f>
        <v>National Semiconductor</v>
      </c>
      <c r="C7921" s="6">
        <v>1220</v>
      </c>
      <c r="D7921" s="7">
        <v>8.44</v>
      </c>
    </row>
    <row r="7922" spans="1:5" x14ac:dyDescent="0.25">
      <c r="A7922" t="str">
        <f>HYPERLINK("https://www.773grp.com/globalSearch/GAL20V8QS-10LVC/page-1", "GAL20V8QS-10LVC")</f>
        <v>GAL20V8QS-10LVC</v>
      </c>
      <c r="B7922" s="3" t="str">
        <f>HYPERLINK("https://www.773grp.com/manufacturer/national-semiconductor?pageNo=15", "National Semiconductor")</f>
        <v>National Semiconductor</v>
      </c>
      <c r="C7922" s="6">
        <v>2803</v>
      </c>
      <c r="D7922" s="7">
        <v>8.44</v>
      </c>
    </row>
    <row r="7923" spans="1:5" x14ac:dyDescent="0.25">
      <c r="A7923" t="str">
        <f>HYPERLINK("https://www.773grp.com/globalSearch/GAL20V8QS-15QNC/page-1", "GAL20V8QS-15QNC")</f>
        <v>GAL20V8QS-15QNC</v>
      </c>
      <c r="B7923" s="3" t="str">
        <f>HYPERLINK("https://www.773grp.com/manufacturer/national-semiconductor?pageNo=16", "National Semiconductor")</f>
        <v>National Semiconductor</v>
      </c>
      <c r="C7923" s="6">
        <v>1020</v>
      </c>
      <c r="D7923" s="7">
        <v>8.44</v>
      </c>
      <c r="E7923" t="s">
        <v>51</v>
      </c>
    </row>
    <row r="7924" spans="1:5" x14ac:dyDescent="0.25">
      <c r="A7924" t="str">
        <f>HYPERLINK("https://www.773grp.com/globalSearch/LM18293N/page-1", "LM18293N")</f>
        <v>LM18293N</v>
      </c>
      <c r="B7924" s="3" t="str">
        <f>HYPERLINK("https://www.773grp.com/manufacturer/national-semiconductor?pageNo=17", "National Semiconductor")</f>
        <v>National Semiconductor</v>
      </c>
      <c r="C7924" s="6">
        <v>32801</v>
      </c>
      <c r="D7924" s="7">
        <v>8.44</v>
      </c>
      <c r="E7924" t="s">
        <v>11</v>
      </c>
    </row>
    <row r="7925" spans="1:5" x14ac:dyDescent="0.25">
      <c r="A7925" t="str">
        <f>HYPERLINK("https://www.773grp.com/globalSearch/LM236H2.5/page-1", "LM236H2.5")</f>
        <v>LM236H2.5</v>
      </c>
      <c r="B7925" s="3" t="str">
        <f>HYPERLINK("https://www.773grp.com/manufacturer/national-semiconductor?pageNo=18", "National Semiconductor")</f>
        <v>National Semiconductor</v>
      </c>
      <c r="C7925" s="6">
        <v>89</v>
      </c>
      <c r="D7925" s="7">
        <v>8.44</v>
      </c>
    </row>
    <row r="7926" spans="1:5" x14ac:dyDescent="0.25">
      <c r="A7926" t="str">
        <f>HYPERLINK("https://www.773grp.com/globalSearch/LM2585S-12/page-1", "LM2585S-12")</f>
        <v>LM2585S-12</v>
      </c>
      <c r="B7926" s="3" t="str">
        <f>HYPERLINK("https://www.773grp.com/manufacturer/national-semiconductor?pageNo=19", "National Semiconductor")</f>
        <v>National Semiconductor</v>
      </c>
      <c r="C7926" s="6">
        <v>35</v>
      </c>
      <c r="D7926" s="7">
        <v>8.44</v>
      </c>
      <c r="E7926" t="s">
        <v>7</v>
      </c>
    </row>
    <row r="7927" spans="1:5" x14ac:dyDescent="0.25">
      <c r="A7927" t="str">
        <f>HYPERLINK("https://www.773grp.com/globalSearch/LM2585SX-12/page-1", "LM2585SX-12")</f>
        <v>LM2585SX-12</v>
      </c>
      <c r="B7927" s="3" t="str">
        <f>HYPERLINK("https://www.773grp.com/manufacturer/national-semiconductor?pageNo=20", "National Semiconductor")</f>
        <v>National Semiconductor</v>
      </c>
      <c r="C7927" s="6">
        <v>1000</v>
      </c>
      <c r="D7927" s="7">
        <v>8.44</v>
      </c>
      <c r="E7927" t="s">
        <v>7</v>
      </c>
    </row>
    <row r="7928" spans="1:5" x14ac:dyDescent="0.25">
      <c r="A7928" t="str">
        <f>HYPERLINK("https://www.773grp.com/globalSearch/LM2585SX-12-NOPB/page-1", "LM2585SX-12-NOPB")</f>
        <v>LM2585SX-12-NOPB</v>
      </c>
      <c r="B7928" s="3" t="str">
        <f>HYPERLINK("https://www.773grp.com/manufacturer/national-semiconductor?pageNo=21", "National Semiconductor")</f>
        <v>National Semiconductor</v>
      </c>
      <c r="C7928" s="6">
        <v>500</v>
      </c>
      <c r="D7928" s="7">
        <v>8.44</v>
      </c>
      <c r="E7928" t="s">
        <v>7</v>
      </c>
    </row>
    <row r="7929" spans="1:5" x14ac:dyDescent="0.25">
      <c r="A7929" t="str">
        <f>HYPERLINK("https://www.773grp.com/globalSearch/LM2585SX-5.0-NOPB/page-1", "LM2585SX-5.0-NOPB")</f>
        <v>LM2585SX-5.0-NOPB</v>
      </c>
      <c r="B7929" s="3" t="str">
        <f>HYPERLINK("https://www.773grp.com/manufacturer/national-semiconductor?pageNo=22", "National Semiconductor")</f>
        <v>National Semiconductor</v>
      </c>
      <c r="C7929" s="6">
        <v>6500</v>
      </c>
      <c r="D7929" s="7">
        <v>8.44</v>
      </c>
      <c r="E7929" t="s">
        <v>7</v>
      </c>
    </row>
    <row r="7930" spans="1:5" x14ac:dyDescent="0.25">
      <c r="A7930" t="str">
        <f>HYPERLINK("https://www.773grp.com/globalSearch/LM2585SX-ADJ-NOPB/page-1", "LM2585SX-ADJ-NOPB")</f>
        <v>LM2585SX-ADJ-NOPB</v>
      </c>
      <c r="B7930" s="3" t="str">
        <f>HYPERLINK("https://www.773grp.com/manufacturer/national-semiconductor?pageNo=23", "National Semiconductor")</f>
        <v>National Semiconductor</v>
      </c>
      <c r="C7930" s="6">
        <v>5500</v>
      </c>
      <c r="D7930" s="7">
        <v>8.44</v>
      </c>
      <c r="E7930" t="s">
        <v>7</v>
      </c>
    </row>
    <row r="7931" spans="1:5" x14ac:dyDescent="0.25">
      <c r="A7931" t="str">
        <f>HYPERLINK("https://www.773grp.com/globalSearch/LM2585T-12-NOPB/page-1", "LM2585T-12-NOPB")</f>
        <v>LM2585T-12-NOPB</v>
      </c>
      <c r="B7931" s="3" t="str">
        <f>HYPERLINK("https://www.773grp.com/manufacturer/national-semiconductor?pageNo=24", "National Semiconductor")</f>
        <v>National Semiconductor</v>
      </c>
      <c r="C7931" s="6">
        <v>225</v>
      </c>
      <c r="D7931" s="7">
        <v>8.44</v>
      </c>
      <c r="E7931" t="s">
        <v>7</v>
      </c>
    </row>
    <row r="7932" spans="1:5" x14ac:dyDescent="0.25">
      <c r="A7932" t="str">
        <f>HYPERLINK("https://www.773grp.com/globalSearch/LM2585T-3.3-NOPB/page-1", "LM2585T-3.3-NOPB")</f>
        <v>LM2585T-3.3-NOPB</v>
      </c>
      <c r="B7932" s="3" t="str">
        <f>HYPERLINK("https://www.773grp.com/manufacturer/national-semiconductor?pageNo=25", "National Semiconductor")</f>
        <v>National Semiconductor</v>
      </c>
      <c r="C7932" s="6">
        <v>132</v>
      </c>
      <c r="D7932" s="7">
        <v>8.44</v>
      </c>
    </row>
    <row r="7933" spans="1:5" x14ac:dyDescent="0.25">
      <c r="A7933" t="str">
        <f>HYPERLINK("https://www.773grp.com/globalSearch/LM2585T-5.0-NOPB/page-1", "LM2585T-5.0-NOPB")</f>
        <v>LM2585T-5.0-NOPB</v>
      </c>
      <c r="B7933" s="3" t="str">
        <f>HYPERLINK("https://www.773grp.com/manufacturer/national-semiconductor?pageNo=26", "National Semiconductor")</f>
        <v>National Semiconductor</v>
      </c>
      <c r="C7933" s="6">
        <v>2953</v>
      </c>
      <c r="D7933" s="7">
        <v>8.44</v>
      </c>
    </row>
    <row r="7934" spans="1:5" x14ac:dyDescent="0.25">
      <c r="A7934" t="str">
        <f>HYPERLINK("https://www.773grp.com/globalSearch/LM2585T-ADJ-NOPB/page-1", "LM2585T-ADJ-NOPB")</f>
        <v>LM2585T-ADJ-NOPB</v>
      </c>
      <c r="B7934" s="3" t="str">
        <f>HYPERLINK("https://www.773grp.com/manufacturer/national-semiconductor?pageNo=27", "National Semiconductor")</f>
        <v>National Semiconductor</v>
      </c>
      <c r="C7934" s="6">
        <v>5362</v>
      </c>
      <c r="D7934" s="7">
        <v>8.44</v>
      </c>
      <c r="E7934" t="s">
        <v>7</v>
      </c>
    </row>
    <row r="7935" spans="1:5" x14ac:dyDescent="0.25">
      <c r="A7935" t="str">
        <f>HYPERLINK("https://www.773grp.com/globalSearch/LM2641MTC-ADJ/page-1", "LM2641MTC-ADJ")</f>
        <v>LM2641MTC-ADJ</v>
      </c>
      <c r="B7935" s="3" t="str">
        <f>HYPERLINK("https://www.773grp.com/manufacturer/national-semiconductor?pageNo=28", "National Semiconductor")</f>
        <v>National Semiconductor</v>
      </c>
      <c r="C7935" s="6">
        <v>390</v>
      </c>
      <c r="D7935" s="7">
        <v>8.44</v>
      </c>
      <c r="E7935" t="s">
        <v>7</v>
      </c>
    </row>
    <row r="7936" spans="1:5" x14ac:dyDescent="0.25">
      <c r="A7936" t="str">
        <f>HYPERLINK("https://www.773grp.com/globalSearch/LM49100GR/page-1", "LM49100GR")</f>
        <v>LM49100GR</v>
      </c>
      <c r="B7936" s="3" t="str">
        <f>HYPERLINK("https://www.773grp.com/manufacturer/national-semiconductor?pageNo=29", "National Semiconductor")</f>
        <v>National Semiconductor</v>
      </c>
      <c r="C7936" s="6">
        <v>910</v>
      </c>
      <c r="D7936" s="7">
        <v>8.44</v>
      </c>
      <c r="E7936" t="s">
        <v>18</v>
      </c>
    </row>
    <row r="7937" spans="1:5" x14ac:dyDescent="0.25">
      <c r="A7937" t="str">
        <f>HYPERLINK("https://www.773grp.com/globalSearch/LM49100GR-NOPB/page-1", "LM49100GR-NOPB")</f>
        <v>LM49100GR-NOPB</v>
      </c>
      <c r="B7937" s="3" t="str">
        <f>HYPERLINK("https://www.773grp.com/manufacturer/national-semiconductor?pageNo=30", "National Semiconductor")</f>
        <v>National Semiconductor</v>
      </c>
      <c r="C7937" s="6">
        <v>1960</v>
      </c>
      <c r="D7937" s="7">
        <v>8.44</v>
      </c>
    </row>
    <row r="7938" spans="1:5" x14ac:dyDescent="0.25">
      <c r="A7938" t="str">
        <f>HYPERLINK("https://www.773grp.com/globalSearch/LM49100GRX-J7002330/page-1", "LM49100GRX-J7002330")</f>
        <v>LM49100GRX-J7002330</v>
      </c>
      <c r="B7938" s="3" t="str">
        <f>HYPERLINK("https://www.773grp.com/manufacturer/national-semiconductor?pageNo=31", "National Semiconductor")</f>
        <v>National Semiconductor</v>
      </c>
      <c r="C7938" s="6">
        <v>14000</v>
      </c>
      <c r="D7938" s="7">
        <v>8.44</v>
      </c>
    </row>
    <row r="7939" spans="1:5" x14ac:dyDescent="0.25">
      <c r="A7939" t="str">
        <f>HYPERLINK("https://www.773grp.com/globalSearch/LM49450SQ/page-1", "LM49450SQ")</f>
        <v>LM49450SQ</v>
      </c>
      <c r="B7939" s="3" t="str">
        <f>HYPERLINK("https://www.773grp.com/manufacturer/national-semiconductor?pageNo=32", "National Semiconductor")</f>
        <v>National Semiconductor</v>
      </c>
      <c r="C7939" s="6">
        <v>1000</v>
      </c>
      <c r="D7939" s="7">
        <v>8.44</v>
      </c>
      <c r="E7939" t="s">
        <v>18</v>
      </c>
    </row>
    <row r="7940" spans="1:5" x14ac:dyDescent="0.25">
      <c r="A7940" t="str">
        <f>HYPERLINK("https://www.773grp.com/globalSearch/LMC6084AIM-NOPB/page-1", "LMC6084AIM-NOPB")</f>
        <v>LMC6084AIM-NOPB</v>
      </c>
      <c r="B7940" s="3" t="str">
        <f>HYPERLINK("https://www.773grp.com/manufacturer/national-semiconductor?pageNo=33", "National Semiconductor")</f>
        <v>National Semiconductor</v>
      </c>
      <c r="C7940" s="6">
        <v>2050</v>
      </c>
      <c r="D7940" s="7">
        <v>8.44</v>
      </c>
      <c r="E7940" t="s">
        <v>13</v>
      </c>
    </row>
    <row r="7941" spans="1:5" x14ac:dyDescent="0.25">
      <c r="A7941" t="str">
        <f>HYPERLINK("https://www.773grp.com/globalSearch/LME49710HA-NOPB/page-1", "LME49710HA-NOPB")</f>
        <v>LME49710HA-NOPB</v>
      </c>
      <c r="B7941" s="3" t="str">
        <f>HYPERLINK("https://www.773grp.com/manufacturer/national-semiconductor?pageNo=34", "National Semiconductor")</f>
        <v>National Semiconductor</v>
      </c>
      <c r="C7941" s="6">
        <v>220</v>
      </c>
      <c r="D7941" s="7">
        <v>8.44</v>
      </c>
    </row>
    <row r="7942" spans="1:5" x14ac:dyDescent="0.25">
      <c r="A7942" t="str">
        <f>HYPERLINK("https://www.773grp.com/globalSearch/LMH6570MA-NOPB/page-1", "LMH6570MA-NOPB")</f>
        <v>LMH6570MA-NOPB</v>
      </c>
      <c r="B7942" s="3" t="str">
        <f>HYPERLINK("https://www.773grp.com/manufacturer/national-semiconductor?pageNo=35", "National Semiconductor")</f>
        <v>National Semiconductor</v>
      </c>
      <c r="C7942" s="6">
        <v>948</v>
      </c>
      <c r="D7942" s="7">
        <v>8.44</v>
      </c>
      <c r="E7942" t="s">
        <v>56</v>
      </c>
    </row>
    <row r="7943" spans="1:5" x14ac:dyDescent="0.25">
      <c r="A7943" t="str">
        <f>HYPERLINK("https://www.773grp.com/globalSearch/LMH6572MQ-NOPB/page-1", "LMH6572MQ-NOPB")</f>
        <v>LMH6572MQ-NOPB</v>
      </c>
      <c r="B7943" s="3" t="str">
        <f>HYPERLINK("https://www.773grp.com/manufacturer/national-semiconductor?pageNo=36", "National Semiconductor")</f>
        <v>National Semiconductor</v>
      </c>
      <c r="C7943" s="6">
        <v>584</v>
      </c>
      <c r="D7943" s="7">
        <v>8.44</v>
      </c>
      <c r="E7943" t="s">
        <v>56</v>
      </c>
    </row>
    <row r="7944" spans="1:5" x14ac:dyDescent="0.25">
      <c r="A7944" t="str">
        <f>HYPERLINK("https://www.773grp.com/globalSearch/LMH6574MA-NOPB/page-1", "LMH6574MA-NOPB")</f>
        <v>LMH6574MA-NOPB</v>
      </c>
      <c r="B7944" s="3" t="str">
        <f>HYPERLINK("https://www.773grp.com/manufacturer/national-semiconductor?pageNo=37", "National Semiconductor")</f>
        <v>National Semiconductor</v>
      </c>
      <c r="C7944" s="6">
        <v>90</v>
      </c>
      <c r="D7944" s="7">
        <v>8.44</v>
      </c>
      <c r="E7944" t="s">
        <v>56</v>
      </c>
    </row>
    <row r="7945" spans="1:5" x14ac:dyDescent="0.25">
      <c r="A7945" t="str">
        <f>HYPERLINK("https://www.773grp.com/globalSearch/LP3972SQ-A514/page-1", "LP3972SQ-A514")</f>
        <v>LP3972SQ-A514</v>
      </c>
      <c r="B7945" s="3" t="str">
        <f>HYPERLINK("https://www.773grp.com/manufacturer/national-semiconductor?pageNo=38", "National Semiconductor")</f>
        <v>National Semiconductor</v>
      </c>
      <c r="C7945" s="6">
        <v>2313</v>
      </c>
      <c r="D7945" s="7">
        <v>8.44</v>
      </c>
      <c r="E7945" t="s">
        <v>30</v>
      </c>
    </row>
    <row r="7946" spans="1:5" x14ac:dyDescent="0.25">
      <c r="A7946" t="str">
        <f>HYPERLINK("https://www.773grp.com/globalSearch/LP3972SQ-I514/page-1", "LP3972SQ-I514")</f>
        <v>LP3972SQ-I514</v>
      </c>
      <c r="B7946" s="3" t="str">
        <f>HYPERLINK("https://www.773grp.com/manufacturer/national-semiconductor?pageNo=39", "National Semiconductor")</f>
        <v>National Semiconductor</v>
      </c>
      <c r="C7946" s="6">
        <v>1000</v>
      </c>
      <c r="D7946" s="7">
        <v>8.44</v>
      </c>
      <c r="E7946" t="s">
        <v>30</v>
      </c>
    </row>
    <row r="7947" spans="1:5" x14ac:dyDescent="0.25">
      <c r="A7947" t="str">
        <f>HYPERLINK("https://www.773grp.com/globalSearch/MM4602BJ-883C/page-1", "MM4602BJ-883C")</f>
        <v>MM4602BJ-883C</v>
      </c>
      <c r="B7947" s="3" t="str">
        <f>HYPERLINK("https://www.773grp.com/manufacturer/national-semiconductor?pageNo=40", "National Semiconductor")</f>
        <v>National Semiconductor</v>
      </c>
      <c r="C7947" s="6">
        <v>101</v>
      </c>
      <c r="D7947" s="7">
        <v>8.44</v>
      </c>
    </row>
    <row r="7948" spans="1:5" x14ac:dyDescent="0.25">
      <c r="A7948" t="str">
        <f>HYPERLINK("https://www.773grp.com/globalSearch/MM4676BJ-883C/page-1", "MM4676BJ-883C")</f>
        <v>MM4676BJ-883C</v>
      </c>
      <c r="B7948" s="3" t="str">
        <f>HYPERLINK("https://www.773grp.com/manufacturer/national-semiconductor?pageNo=41", "National Semiconductor")</f>
        <v>National Semiconductor</v>
      </c>
      <c r="C7948" s="6">
        <v>54</v>
      </c>
      <c r="D7948" s="7">
        <v>8.44</v>
      </c>
    </row>
    <row r="7949" spans="1:5" x14ac:dyDescent="0.25">
      <c r="A7949" t="str">
        <f>HYPERLINK("https://www.773grp.com/globalSearch/MM54HC109J-883/page-1", "MM54HC109J-883")</f>
        <v>MM54HC109J-883</v>
      </c>
      <c r="B7949" s="3" t="str">
        <f>HYPERLINK("https://www.773grp.com/manufacturer/national-semiconductor?pageNo=42", "National Semiconductor")</f>
        <v>National Semiconductor</v>
      </c>
      <c r="C7949" s="6">
        <v>218</v>
      </c>
      <c r="D7949" s="7">
        <v>8.44</v>
      </c>
    </row>
    <row r="7950" spans="1:5" x14ac:dyDescent="0.25">
      <c r="A7950" t="str">
        <f>HYPERLINK("https://www.773grp.com/globalSearch/DAC124S085CIMM-NOPB/page-1", "DAC124S085CIMM-NOPB")</f>
        <v>DAC124S085CIMM-NOPB</v>
      </c>
      <c r="B7950" s="3" t="str">
        <f>HYPERLINK("https://www.773grp.com/manufacturer/national-semiconductor?pageNo=43", "National Semiconductor")</f>
        <v>National Semiconductor</v>
      </c>
      <c r="C7950" s="6">
        <v>1000</v>
      </c>
      <c r="D7950" s="7">
        <v>8.44</v>
      </c>
      <c r="E7950" t="s">
        <v>33</v>
      </c>
    </row>
    <row r="7951" spans="1:5" x14ac:dyDescent="0.25">
      <c r="A7951" t="str">
        <f>HYPERLINK("https://www.773grp.com/globalSearch/DAC124S085CISD/page-1", "DAC124S085CISD")</f>
        <v>DAC124S085CISD</v>
      </c>
      <c r="B7951" s="3" t="str">
        <f>HYPERLINK("https://www.773grp.com/manufacturer/national-semiconductor?pageNo=44", "National Semiconductor")</f>
        <v>National Semiconductor</v>
      </c>
      <c r="C7951" s="6">
        <v>950</v>
      </c>
      <c r="D7951" s="7">
        <v>8.44</v>
      </c>
    </row>
    <row r="7952" spans="1:5" x14ac:dyDescent="0.25">
      <c r="A7952" t="str">
        <f>HYPERLINK("https://www.773grp.com/globalSearch/DAC124S085CISD-NOPB/page-1", "DAC124S085CISD-NOPB")</f>
        <v>DAC124S085CISD-NOPB</v>
      </c>
      <c r="B7952" s="3" t="str">
        <f>HYPERLINK("https://www.773grp.com/manufacturer/national-semiconductor?pageNo=45", "National Semiconductor")</f>
        <v>National Semiconductor</v>
      </c>
      <c r="C7952" s="6">
        <v>425</v>
      </c>
      <c r="D7952" s="7">
        <v>8.44</v>
      </c>
    </row>
    <row r="7953" spans="1:5" x14ac:dyDescent="0.25">
      <c r="A7953" t="str">
        <f>HYPERLINK("https://www.773grp.com/globalSearch/DS90CF384MTD-NOPB/page-1", "DS90CF384MTD-NOPB")</f>
        <v>DS90CF384MTD-NOPB</v>
      </c>
      <c r="B7953" s="3" t="str">
        <f>HYPERLINK("https://www.773grp.com/manufacturer/national-semiconductor?pageNo=46", "National Semiconductor")</f>
        <v>National Semiconductor</v>
      </c>
      <c r="C7953" s="6">
        <v>97</v>
      </c>
      <c r="D7953" s="7">
        <v>8.44</v>
      </c>
      <c r="E7953" t="s">
        <v>21</v>
      </c>
    </row>
    <row r="7954" spans="1:5" x14ac:dyDescent="0.25">
      <c r="A7954" t="str">
        <f>HYPERLINK("https://www.773grp.com/globalSearch/INA121UA/page-1", "INA121UA")</f>
        <v>INA121UA</v>
      </c>
      <c r="B7954" s="3" t="str">
        <f>HYPERLINK("https://www.773grp.com/manufacturer/national-semiconductor?pageNo=47", "National Semiconductor")</f>
        <v>National Semiconductor</v>
      </c>
      <c r="C7954" s="6">
        <v>3825</v>
      </c>
      <c r="D7954" s="7">
        <v>8.44</v>
      </c>
    </row>
    <row r="7955" spans="1:5" x14ac:dyDescent="0.25">
      <c r="A7955" t="str">
        <f>HYPERLINK("https://www.773grp.com/globalSearch/LM2585S-3.3/page-1", "LM2585S-3.3")</f>
        <v>LM2585S-3.3</v>
      </c>
      <c r="B7955" s="3" t="str">
        <f>HYPERLINK("https://www.773grp.com/manufacturer/national-semiconductor?pageNo=48", "National Semiconductor")</f>
        <v>National Semiconductor</v>
      </c>
      <c r="C7955" s="6">
        <v>186</v>
      </c>
      <c r="D7955" s="7">
        <v>8.44</v>
      </c>
    </row>
    <row r="7956" spans="1:5" x14ac:dyDescent="0.25">
      <c r="A7956" t="str">
        <f>HYPERLINK("https://www.773grp.com/globalSearch/LM2585SX-3.3-NOPB/page-1", "LM2585SX-3.3-NOPB")</f>
        <v>LM2585SX-3.3-NOPB</v>
      </c>
      <c r="B7956" s="3" t="str">
        <f>HYPERLINK("https://www.773grp.com/manufacturer/national-semiconductor?pageNo=49", "National Semiconductor")</f>
        <v>National Semiconductor</v>
      </c>
      <c r="C7956" s="6">
        <v>1000</v>
      </c>
      <c r="D7956" s="7">
        <v>8.44</v>
      </c>
    </row>
    <row r="7957" spans="1:5" x14ac:dyDescent="0.25">
      <c r="A7957" t="str">
        <f>HYPERLINK("https://www.773grp.com/globalSearch/LM2585SX-ADJ-NOPB/page-1", "LM2585SX-ADJ-NOPB")</f>
        <v>LM2585SX-ADJ-NOPB</v>
      </c>
      <c r="B7957" s="3" t="str">
        <f>HYPERLINK("https://www.773grp.com/manufacturer/national-semiconductor?pageNo=50", "National Semiconductor")</f>
        <v>National Semiconductor</v>
      </c>
      <c r="C7957" s="6">
        <v>798</v>
      </c>
      <c r="D7957" s="7">
        <v>8.44</v>
      </c>
      <c r="E7957" t="s">
        <v>7</v>
      </c>
    </row>
    <row r="7958" spans="1:5" x14ac:dyDescent="0.25">
      <c r="A7958" t="str">
        <f>HYPERLINK("https://www.773grp.com/globalSearch/LM2585T-12-NOPB/page-1", "LM2585T-12-NOPB")</f>
        <v>LM2585T-12-NOPB</v>
      </c>
      <c r="B7958" s="3" t="str">
        <f>HYPERLINK("https://www.773grp.com/manufacturer/national-semiconductor?pageNo=51", "National Semiconductor")</f>
        <v>National Semiconductor</v>
      </c>
      <c r="C7958" s="6">
        <v>303</v>
      </c>
      <c r="D7958" s="7">
        <v>8.44</v>
      </c>
      <c r="E7958" t="s">
        <v>7</v>
      </c>
    </row>
    <row r="7959" spans="1:5" x14ac:dyDescent="0.25">
      <c r="A7959" t="str">
        <f>HYPERLINK("https://www.773grp.com/globalSearch/LM2585T-3.3-NOPB/page-1", "LM2585T-3.3-NOPB")</f>
        <v>LM2585T-3.3-NOPB</v>
      </c>
      <c r="B7959" s="3" t="str">
        <f>HYPERLINK("https://www.773grp.com/manufacturer/national-semiconductor?pageNo=52", "National Semiconductor")</f>
        <v>National Semiconductor</v>
      </c>
      <c r="C7959" s="6">
        <v>409</v>
      </c>
      <c r="D7959" s="7">
        <v>8.44</v>
      </c>
    </row>
    <row r="7960" spans="1:5" x14ac:dyDescent="0.25">
      <c r="A7960" t="str">
        <f>HYPERLINK("https://www.773grp.com/globalSearch/LM2585T-5.0-NOPB/page-1", "LM2585T-5.0-NOPB")</f>
        <v>LM2585T-5.0-NOPB</v>
      </c>
      <c r="B7960" s="3" t="str">
        <f>HYPERLINK("https://www.773grp.com/manufacturer/national-semiconductor?pageNo=53", "National Semiconductor")</f>
        <v>National Semiconductor</v>
      </c>
      <c r="C7960" s="6">
        <v>299</v>
      </c>
      <c r="D7960" s="7">
        <v>8.44</v>
      </c>
    </row>
    <row r="7961" spans="1:5" x14ac:dyDescent="0.25">
      <c r="A7961" t="str">
        <f>HYPERLINK("https://www.773grp.com/globalSearch/LM2585T-ADJ-NOPB/page-1", "LM2585T-ADJ-NOPB")</f>
        <v>LM2585T-ADJ-NOPB</v>
      </c>
      <c r="B7961" s="3" t="str">
        <f>HYPERLINK("https://www.773grp.com/manufacturer/national-semiconductor?pageNo=54", "National Semiconductor")</f>
        <v>National Semiconductor</v>
      </c>
      <c r="C7961" s="6">
        <v>416</v>
      </c>
      <c r="D7961" s="7">
        <v>8.44</v>
      </c>
      <c r="E7961" t="s">
        <v>7</v>
      </c>
    </row>
    <row r="7962" spans="1:5" x14ac:dyDescent="0.25">
      <c r="A7962" t="str">
        <f>HYPERLINK("https://www.773grp.com/globalSearch/LM2640MTCX-ADJ-NOPB/page-1", "LM2640MTCX-ADJ-NOPB")</f>
        <v>LM2640MTCX-ADJ-NOPB</v>
      </c>
      <c r="B7962" s="3" t="str">
        <f>HYPERLINK("https://www.773grp.com/manufacturer/national-semiconductor?pageNo=55", "National Semiconductor")</f>
        <v>National Semiconductor</v>
      </c>
      <c r="C7962" s="6">
        <v>2500</v>
      </c>
      <c r="D7962" s="7">
        <v>8.44</v>
      </c>
    </row>
    <row r="7963" spans="1:5" x14ac:dyDescent="0.25">
      <c r="A7963" t="str">
        <f>HYPERLINK("https://www.773grp.com/globalSearch/LM6152ACM/page-1", "LM6152ACM")</f>
        <v>LM6152ACM</v>
      </c>
      <c r="B7963" s="3" t="str">
        <f>HYPERLINK("https://www.773grp.com/manufacturer/national-semiconductor?pageNo=56", "National Semiconductor")</f>
        <v>National Semiconductor</v>
      </c>
      <c r="C7963" s="6">
        <v>2457</v>
      </c>
      <c r="D7963" s="7">
        <v>8.44</v>
      </c>
    </row>
    <row r="7964" spans="1:5" x14ac:dyDescent="0.25">
      <c r="A7964" t="str">
        <f>HYPERLINK("https://www.773grp.com/globalSearch/LMC6084AIM-NOPB/page-1", "LMC6084AIM-NOPB")</f>
        <v>LMC6084AIM-NOPB</v>
      </c>
      <c r="B7964" s="3" t="str">
        <f>HYPERLINK("https://www.773grp.com/manufacturer/national-semiconductor?pageNo=57", "National Semiconductor")</f>
        <v>National Semiconductor</v>
      </c>
      <c r="C7964" s="6">
        <v>373</v>
      </c>
      <c r="D7964" s="7">
        <v>8.44</v>
      </c>
      <c r="E7964" t="s">
        <v>13</v>
      </c>
    </row>
    <row r="7965" spans="1:5" x14ac:dyDescent="0.25">
      <c r="A7965" t="str">
        <f>HYPERLINK("https://www.773grp.com/globalSearch/LME49710HA-NOPB/page-1", "LME49710HA-NOPB")</f>
        <v>LME49710HA-NOPB</v>
      </c>
      <c r="B7965" s="3" t="str">
        <f>HYPERLINK("https://www.773grp.com/manufacturer/national-semiconductor?pageNo=58", "National Semiconductor")</f>
        <v>National Semiconductor</v>
      </c>
      <c r="C7965" s="6">
        <v>258</v>
      </c>
      <c r="D7965" s="7">
        <v>8.44</v>
      </c>
    </row>
    <row r="7966" spans="1:5" x14ac:dyDescent="0.25">
      <c r="A7966" t="str">
        <f>HYPERLINK("https://www.773grp.com/globalSearch/LMH6570MA-NOPB/page-1", "LMH6570MA-NOPB")</f>
        <v>LMH6570MA-NOPB</v>
      </c>
      <c r="B7966" s="3" t="str">
        <f>HYPERLINK("https://www.773grp.com/manufacturer/national-semiconductor?pageNo=59", "National Semiconductor")</f>
        <v>National Semiconductor</v>
      </c>
      <c r="C7966" s="6">
        <v>1599</v>
      </c>
      <c r="D7966" s="7">
        <v>8.44</v>
      </c>
      <c r="E7966" t="s">
        <v>56</v>
      </c>
    </row>
    <row r="7967" spans="1:5" x14ac:dyDescent="0.25">
      <c r="A7967" t="str">
        <f>HYPERLINK("https://www.773grp.com/globalSearch/LMH6572MQ-NOPB/page-1", "LMH6572MQ-NOPB")</f>
        <v>LMH6572MQ-NOPB</v>
      </c>
      <c r="B7967" s="3" t="str">
        <f>HYPERLINK("https://www.773grp.com/manufacturer/national-semiconductor?pageNo=60", "National Semiconductor")</f>
        <v>National Semiconductor</v>
      </c>
      <c r="C7967" s="6">
        <v>5094</v>
      </c>
      <c r="D7967" s="7">
        <v>8.44</v>
      </c>
      <c r="E7967" t="s">
        <v>56</v>
      </c>
    </row>
    <row r="7968" spans="1:5" x14ac:dyDescent="0.25">
      <c r="A7968" t="str">
        <f>HYPERLINK("https://www.773grp.com/globalSearch/LMH6574MA-NOPB/page-1", "LMH6574MA-NOPB")</f>
        <v>LMH6574MA-NOPB</v>
      </c>
      <c r="B7968" s="3" t="str">
        <f>HYPERLINK("https://www.773grp.com/manufacturer/national-semiconductor?pageNo=61", "National Semiconductor")</f>
        <v>National Semiconductor</v>
      </c>
      <c r="C7968" s="6">
        <v>56</v>
      </c>
      <c r="D7968" s="7">
        <v>8.44</v>
      </c>
      <c r="E7968" t="s">
        <v>56</v>
      </c>
    </row>
    <row r="7969" spans="1:5" x14ac:dyDescent="0.25">
      <c r="A7969" t="str">
        <f>HYPERLINK("https://www.773grp.com/globalSearch/LP3972SQ-A514/page-1", "LP3972SQ-A514")</f>
        <v>LP3972SQ-A514</v>
      </c>
      <c r="B7969" s="3" t="str">
        <f>HYPERLINK("https://www.773grp.com/manufacturer/national-semiconductor?pageNo=62", "National Semiconductor")</f>
        <v>National Semiconductor</v>
      </c>
      <c r="C7969" s="6">
        <v>283</v>
      </c>
      <c r="D7969" s="7">
        <v>8.44</v>
      </c>
      <c r="E7969" t="s">
        <v>30</v>
      </c>
    </row>
    <row r="7970" spans="1:5" x14ac:dyDescent="0.25">
      <c r="A7970" t="str">
        <f>HYPERLINK("https://www.773grp.com/globalSearch/LP3972SQ-A514/page-1", "LP3972SQ-A514")</f>
        <v>LP3972SQ-A514</v>
      </c>
      <c r="B7970" s="3" t="str">
        <f>HYPERLINK("https://www.773grp.com/manufacturer/national-semiconductor?pageNo=63", "National Semiconductor")</f>
        <v>National Semiconductor</v>
      </c>
      <c r="C7970" s="6">
        <v>141</v>
      </c>
      <c r="D7970" s="7">
        <v>8.44</v>
      </c>
      <c r="E7970" t="s">
        <v>30</v>
      </c>
    </row>
    <row r="7971" spans="1:5" x14ac:dyDescent="0.25">
      <c r="A7971" t="str">
        <f>HYPERLINK("https://www.773grp.com/globalSearch/DM54LS156W-883/page-1", "DM54LS156W-883")</f>
        <v>DM54LS156W-883</v>
      </c>
      <c r="B7971" s="3" t="str">
        <f>HYPERLINK("https://www.773grp.com/manufacturer/national-semiconductor?pageNo=64", "National Semiconductor")</f>
        <v>National Semiconductor</v>
      </c>
      <c r="C7971" s="6">
        <v>99</v>
      </c>
      <c r="D7971" s="7">
        <v>8.48</v>
      </c>
      <c r="E7971" t="s">
        <v>36</v>
      </c>
    </row>
    <row r="7972" spans="1:5" x14ac:dyDescent="0.25">
      <c r="A7972" t="str">
        <f>HYPERLINK("https://www.773grp.com/globalSearch/DM54LS54W-883/page-1", "DM54LS54W-883")</f>
        <v>DM54LS54W-883</v>
      </c>
      <c r="B7972" s="3" t="str">
        <f>HYPERLINK("https://www.773grp.com/manufacturer/national-semiconductor?pageNo=65", "National Semiconductor")</f>
        <v>National Semiconductor</v>
      </c>
      <c r="C7972" s="6">
        <v>18</v>
      </c>
      <c r="D7972" s="7">
        <v>8.48</v>
      </c>
    </row>
    <row r="7973" spans="1:5" x14ac:dyDescent="0.25">
      <c r="A7973" t="str">
        <f>HYPERLINK("https://www.773grp.com/globalSearch/DM9301W-883/page-1", "DM9301W-883")</f>
        <v>DM9301W-883</v>
      </c>
      <c r="B7973" s="3" t="str">
        <f>HYPERLINK("https://www.773grp.com/manufacturer/national-semiconductor?pageNo=66", "National Semiconductor")</f>
        <v>National Semiconductor</v>
      </c>
      <c r="C7973" s="6">
        <v>161</v>
      </c>
      <c r="D7973" s="7">
        <v>8.48</v>
      </c>
    </row>
    <row r="7974" spans="1:5" x14ac:dyDescent="0.25">
      <c r="A7974" t="str">
        <f>HYPERLINK("https://www.773grp.com/globalSearch/LMX2532LQ0967/page-1", "LMX2532LQ0967")</f>
        <v>LMX2532LQ0967</v>
      </c>
      <c r="B7974" s="3" t="str">
        <f>HYPERLINK("https://www.773grp.com/manufacturer/national-semiconductor?pageNo=67", "National Semiconductor")</f>
        <v>National Semiconductor</v>
      </c>
      <c r="C7974" s="6">
        <v>3000</v>
      </c>
      <c r="D7974" s="7">
        <v>8.48</v>
      </c>
      <c r="E7974" t="s">
        <v>38</v>
      </c>
    </row>
    <row r="7975" spans="1:5" x14ac:dyDescent="0.25">
      <c r="A7975" t="str">
        <f>HYPERLINK("https://www.773grp.com/globalSearch/LMX2532LQ1065/page-1", "LMX2532LQ1065")</f>
        <v>LMX2532LQ1065</v>
      </c>
      <c r="B7975" s="3" t="str">
        <f>HYPERLINK("https://www.773grp.com/manufacturer/national-semiconductor?pageNo=68", "National Semiconductor")</f>
        <v>National Semiconductor</v>
      </c>
      <c r="C7975" s="6">
        <v>5000</v>
      </c>
      <c r="D7975" s="7">
        <v>8.48</v>
      </c>
      <c r="E7975" t="s">
        <v>38</v>
      </c>
    </row>
    <row r="7976" spans="1:5" x14ac:dyDescent="0.25">
      <c r="A7976" t="str">
        <f>HYPERLINK("https://www.773grp.com/globalSearch/DS92CK16TMTC-NOPB/page-1", "DS92CK16TMTC-NOPB")</f>
        <v>DS92CK16TMTC-NOPB</v>
      </c>
      <c r="B7976" s="3" t="str">
        <f>HYPERLINK("https://www.773grp.com/manufacturer/national-semiconductor?pageNo=69", "National Semiconductor")</f>
        <v>National Semiconductor</v>
      </c>
      <c r="C7976" s="6">
        <v>164</v>
      </c>
      <c r="D7976" s="7">
        <v>8.49</v>
      </c>
      <c r="E7976" t="s">
        <v>21</v>
      </c>
    </row>
    <row r="7977" spans="1:5" x14ac:dyDescent="0.25">
      <c r="A7977" t="str">
        <f>HYPERLINK("https://www.773grp.com/globalSearch/LMH6504MA-NOPB/page-1", "LMH6504MA-NOPB")</f>
        <v>LMH6504MA-NOPB</v>
      </c>
      <c r="B7977" s="3" t="str">
        <f>HYPERLINK("https://www.773grp.com/manufacturer/national-semiconductor?pageNo=70", "National Semiconductor")</f>
        <v>National Semiconductor</v>
      </c>
      <c r="C7977" s="6">
        <v>5525</v>
      </c>
      <c r="D7977" s="7">
        <v>8.49</v>
      </c>
      <c r="E7977" t="s">
        <v>40</v>
      </c>
    </row>
    <row r="7978" spans="1:5" x14ac:dyDescent="0.25">
      <c r="A7978" t="str">
        <f>HYPERLINK("https://www.773grp.com/globalSearch/DS92CK16TMTC-NOPB/page-1", "DS92CK16TMTC-NOPB")</f>
        <v>DS92CK16TMTC-NOPB</v>
      </c>
      <c r="B7978" s="3" t="str">
        <f>HYPERLINK("https://www.773grp.com/manufacturer/national-semiconductor?pageNo=71", "National Semiconductor")</f>
        <v>National Semiconductor</v>
      </c>
      <c r="C7978" s="6">
        <v>5673</v>
      </c>
      <c r="D7978" s="7">
        <v>8.49</v>
      </c>
      <c r="E7978" t="s">
        <v>21</v>
      </c>
    </row>
    <row r="7979" spans="1:5" x14ac:dyDescent="0.25">
      <c r="A7979" t="str">
        <f>HYPERLINK("https://www.773grp.com/globalSearch/LMH6504MA-NOPB/page-1", "LMH6504MA-NOPB")</f>
        <v>LMH6504MA-NOPB</v>
      </c>
      <c r="B7979" s="3" t="str">
        <f>HYPERLINK("https://www.773grp.com/manufacturer/national-semiconductor?pageNo=72", "National Semiconductor")</f>
        <v>National Semiconductor</v>
      </c>
      <c r="C7979" s="6">
        <v>4845</v>
      </c>
      <c r="D7979" s="7">
        <v>8.49</v>
      </c>
      <c r="E7979" t="s">
        <v>40</v>
      </c>
    </row>
    <row r="7980" spans="1:5" x14ac:dyDescent="0.25">
      <c r="A7980" t="str">
        <f>HYPERLINK("https://www.773grp.com/globalSearch/LM4540VH/page-1", "LM4540VH")</f>
        <v>LM4540VH</v>
      </c>
      <c r="B7980" s="3" t="str">
        <f>HYPERLINK("https://www.773grp.com/manufacturer/national-semiconductor?pageNo=73", "National Semiconductor")</f>
        <v>National Semiconductor</v>
      </c>
      <c r="C7980" s="6">
        <v>2246</v>
      </c>
      <c r="D7980" s="7">
        <v>8.5299999999999994</v>
      </c>
      <c r="E7980" t="s">
        <v>23</v>
      </c>
    </row>
    <row r="7981" spans="1:5" x14ac:dyDescent="0.25">
      <c r="A7981" t="str">
        <f>HYPERLINK("https://www.773grp.com/globalSearch/LM4543VH/page-1", "LM4543VH")</f>
        <v>LM4543VH</v>
      </c>
      <c r="B7981" s="3" t="str">
        <f>HYPERLINK("https://www.773grp.com/manufacturer/national-semiconductor?pageNo=74", "National Semiconductor")</f>
        <v>National Semiconductor</v>
      </c>
      <c r="C7981" s="6">
        <v>4562</v>
      </c>
      <c r="D7981" s="7">
        <v>8.5299999999999994</v>
      </c>
      <c r="E7981" t="s">
        <v>23</v>
      </c>
    </row>
    <row r="7982" spans="1:5" x14ac:dyDescent="0.25">
      <c r="A7982" t="str">
        <f>HYPERLINK("https://www.773grp.com/globalSearch/DS92LV1021AMSAX-NOPB/page-1", "DS92LV1021AMSAX-NOPB")</f>
        <v>DS92LV1021AMSAX-NOPB</v>
      </c>
      <c r="B7982" s="3" t="str">
        <f>HYPERLINK("https://www.773grp.com/manufacturer/national-semiconductor?pageNo=75", "National Semiconductor")</f>
        <v>National Semiconductor</v>
      </c>
      <c r="C7982" s="6">
        <v>10000</v>
      </c>
      <c r="D7982" s="7">
        <v>8.5500000000000007</v>
      </c>
      <c r="E7982" t="s">
        <v>21</v>
      </c>
    </row>
    <row r="7983" spans="1:5" x14ac:dyDescent="0.25">
      <c r="A7983" t="str">
        <f>HYPERLINK("https://www.773grp.com/globalSearch/DS92LV1212AMSAX-NOPB/page-1", "DS92LV1212AMSAX-NOPB")</f>
        <v>DS92LV1212AMSAX-NOPB</v>
      </c>
      <c r="B7983" s="3" t="str">
        <f>HYPERLINK("https://www.773grp.com/manufacturer/national-semiconductor?pageNo=76", "National Semiconductor")</f>
        <v>National Semiconductor</v>
      </c>
      <c r="C7983" s="6">
        <v>6000</v>
      </c>
      <c r="D7983" s="7">
        <v>8.5500000000000007</v>
      </c>
      <c r="E7983" t="s">
        <v>21</v>
      </c>
    </row>
    <row r="7984" spans="1:5" x14ac:dyDescent="0.25">
      <c r="A7984" t="str">
        <f>HYPERLINK("https://www.773grp.com/globalSearch/74FCT841BSPC/page-1", "74FCT841BSPC")</f>
        <v>74FCT841BSPC</v>
      </c>
      <c r="B7984" s="3" t="str">
        <f>HYPERLINK("https://www.773grp.com/manufacturer/national-semiconductor?pageNo=77", "National Semiconductor")</f>
        <v>National Semiconductor</v>
      </c>
      <c r="C7984" s="6">
        <v>34254</v>
      </c>
      <c r="D7984" s="7">
        <v>8.58</v>
      </c>
      <c r="E7984" t="s">
        <v>14</v>
      </c>
    </row>
    <row r="7985" spans="1:5" x14ac:dyDescent="0.25">
      <c r="A7985" t="str">
        <f>HYPERLINK("https://www.773grp.com/globalSearch/74FCT843BSC/page-1", "74FCT843BSC")</f>
        <v>74FCT843BSC</v>
      </c>
      <c r="B7985" s="3" t="str">
        <f>HYPERLINK("https://www.773grp.com/manufacturer/national-semiconductor?pageNo=78", "National Semiconductor")</f>
        <v>National Semiconductor</v>
      </c>
      <c r="C7985" s="6">
        <v>17276</v>
      </c>
      <c r="D7985" s="7">
        <v>8.58</v>
      </c>
      <c r="E7985" t="s">
        <v>14</v>
      </c>
    </row>
    <row r="7986" spans="1:5" x14ac:dyDescent="0.25">
      <c r="A7986" t="str">
        <f>HYPERLINK("https://www.773grp.com/globalSearch/74FCT843BSPC/page-1", "74FCT843BSPC")</f>
        <v>74FCT843BSPC</v>
      </c>
      <c r="B7986" s="3" t="str">
        <f>HYPERLINK("https://www.773grp.com/manufacturer/national-semiconductor?pageNo=79", "National Semiconductor")</f>
        <v>National Semiconductor</v>
      </c>
      <c r="C7986" s="6">
        <v>2367</v>
      </c>
      <c r="D7986" s="7">
        <v>8.58</v>
      </c>
      <c r="E7986" t="s">
        <v>14</v>
      </c>
    </row>
    <row r="7987" spans="1:5" x14ac:dyDescent="0.25">
      <c r="A7987" t="str">
        <f>HYPERLINK("https://www.773grp.com/globalSearch/9004PC/page-1", "9004PC")</f>
        <v>9004PC</v>
      </c>
      <c r="B7987" s="3" t="str">
        <f>HYPERLINK("https://www.773grp.com/manufacturer/national-semiconductor?pageNo=80", "National Semiconductor")</f>
        <v>National Semiconductor</v>
      </c>
      <c r="C7987" s="6">
        <v>5955</v>
      </c>
      <c r="D7987" s="7">
        <v>8.58</v>
      </c>
    </row>
    <row r="7988" spans="1:5" x14ac:dyDescent="0.25">
      <c r="A7988" t="str">
        <f>HYPERLINK("https://www.773grp.com/globalSearch/DM7579J-883/page-1", "DM7579J-883")</f>
        <v>DM7579J-883</v>
      </c>
      <c r="B7988" s="3" t="str">
        <f>HYPERLINK("https://www.773grp.com/manufacturer/national-semiconductor?pageNo=81", "National Semiconductor")</f>
        <v>National Semiconductor</v>
      </c>
      <c r="C7988" s="6">
        <v>106</v>
      </c>
      <c r="D7988" s="7">
        <v>8.58</v>
      </c>
    </row>
    <row r="7989" spans="1:5" x14ac:dyDescent="0.25">
      <c r="A7989" t="str">
        <f>HYPERLINK("https://www.773grp.com/globalSearch/LM2594HVM-12/page-1", "LM2594HVM-12")</f>
        <v>LM2594HVM-12</v>
      </c>
      <c r="B7989" s="3" t="str">
        <f>HYPERLINK("https://www.773grp.com/manufacturer/national-semiconductor?pageNo=82", "National Semiconductor")</f>
        <v>National Semiconductor</v>
      </c>
      <c r="C7989" s="6">
        <v>33</v>
      </c>
      <c r="D7989" s="7">
        <v>8.58</v>
      </c>
      <c r="E7989" t="s">
        <v>7</v>
      </c>
    </row>
    <row r="7990" spans="1:5" x14ac:dyDescent="0.25">
      <c r="A7990" t="str">
        <f>HYPERLINK("https://www.773grp.com/globalSearch/LM2594HVM-3.3/page-1", "LM2594HVM-3.3")</f>
        <v>LM2594HVM-3.3</v>
      </c>
      <c r="B7990" s="3" t="str">
        <f>HYPERLINK("https://www.773grp.com/manufacturer/national-semiconductor?pageNo=83", "National Semiconductor")</f>
        <v>National Semiconductor</v>
      </c>
      <c r="C7990" s="6">
        <v>121</v>
      </c>
      <c r="D7990" s="7">
        <v>8.58</v>
      </c>
      <c r="E7990" t="s">
        <v>7</v>
      </c>
    </row>
    <row r="7991" spans="1:5" x14ac:dyDescent="0.25">
      <c r="A7991" t="str">
        <f>HYPERLINK("https://www.773grp.com/globalSearch/LM2594HVM-ADJ/page-1", "LM2594HVM-ADJ")</f>
        <v>LM2594HVM-ADJ</v>
      </c>
      <c r="B7991" s="3" t="str">
        <f>HYPERLINK("https://www.773grp.com/manufacturer/national-semiconductor?pageNo=84", "National Semiconductor")</f>
        <v>National Semiconductor</v>
      </c>
      <c r="C7991" s="6">
        <v>35</v>
      </c>
      <c r="D7991" s="7">
        <v>8.58</v>
      </c>
      <c r="E7991" t="s">
        <v>7</v>
      </c>
    </row>
    <row r="7992" spans="1:5" x14ac:dyDescent="0.25">
      <c r="A7992" t="str">
        <f>HYPERLINK("https://www.773grp.com/globalSearch/LM2670S-5.0/page-1", "LM2670S-5.0")</f>
        <v>LM2670S-5.0</v>
      </c>
      <c r="B7992" s="3" t="str">
        <f>HYPERLINK("https://www.773grp.com/manufacturer/national-semiconductor?pageNo=85", "National Semiconductor")</f>
        <v>National Semiconductor</v>
      </c>
      <c r="C7992" s="6">
        <v>154</v>
      </c>
      <c r="D7992" s="7">
        <v>8.58</v>
      </c>
      <c r="E7992" t="s">
        <v>7</v>
      </c>
    </row>
    <row r="7993" spans="1:5" x14ac:dyDescent="0.25">
      <c r="A7993" t="str">
        <f>HYPERLINK("https://www.773grp.com/globalSearch/LM2670S-ADJ/page-1", "LM2670S-ADJ")</f>
        <v>LM2670S-ADJ</v>
      </c>
      <c r="B7993" s="3" t="str">
        <f>HYPERLINK("https://www.773grp.com/manufacturer/national-semiconductor?pageNo=86", "National Semiconductor")</f>
        <v>National Semiconductor</v>
      </c>
      <c r="C7993" s="6">
        <v>1752</v>
      </c>
      <c r="D7993" s="7">
        <v>8.58</v>
      </c>
      <c r="E7993" t="s">
        <v>7</v>
      </c>
    </row>
    <row r="7994" spans="1:5" x14ac:dyDescent="0.25">
      <c r="A7994" t="str">
        <f>HYPERLINK("https://www.773grp.com/globalSearch/LM2673S-12/page-1", "LM2673S-12")</f>
        <v>LM2673S-12</v>
      </c>
      <c r="B7994" s="3" t="str">
        <f>HYPERLINK("https://www.773grp.com/manufacturer/national-semiconductor?pageNo=87", "National Semiconductor")</f>
        <v>National Semiconductor</v>
      </c>
      <c r="C7994" s="6">
        <v>180</v>
      </c>
      <c r="D7994" s="7">
        <v>8.58</v>
      </c>
      <c r="E7994" t="s">
        <v>7</v>
      </c>
    </row>
    <row r="7995" spans="1:5" x14ac:dyDescent="0.25">
      <c r="A7995" t="str">
        <f>HYPERLINK("https://www.773grp.com/globalSearch/LM2673S-3.3/page-1", "LM2673S-3.3")</f>
        <v>LM2673S-3.3</v>
      </c>
      <c r="B7995" s="3" t="str">
        <f>HYPERLINK("https://www.773grp.com/manufacturer/national-semiconductor?pageNo=88", "National Semiconductor")</f>
        <v>National Semiconductor</v>
      </c>
      <c r="C7995" s="6">
        <v>590</v>
      </c>
      <c r="D7995" s="7">
        <v>8.58</v>
      </c>
      <c r="E7995" t="s">
        <v>7</v>
      </c>
    </row>
    <row r="7996" spans="1:5" x14ac:dyDescent="0.25">
      <c r="A7996" t="str">
        <f>HYPERLINK("https://www.773grp.com/globalSearch/LM2673S-5.0/page-1", "LM2673S-5.0")</f>
        <v>LM2673S-5.0</v>
      </c>
      <c r="B7996" s="3" t="str">
        <f>HYPERLINK("https://www.773grp.com/manufacturer/national-semiconductor?pageNo=89", "National Semiconductor")</f>
        <v>National Semiconductor</v>
      </c>
      <c r="C7996" s="6">
        <v>290</v>
      </c>
      <c r="D7996" s="7">
        <v>8.58</v>
      </c>
      <c r="E7996" t="s">
        <v>7</v>
      </c>
    </row>
    <row r="7997" spans="1:5" x14ac:dyDescent="0.25">
      <c r="A7997" t="str">
        <f>HYPERLINK("https://www.773grp.com/globalSearch/LM2673S-ADJ/page-1", "LM2673S-ADJ")</f>
        <v>LM2673S-ADJ</v>
      </c>
      <c r="B7997" s="3" t="str">
        <f>HYPERLINK("https://www.773grp.com/manufacturer/national-semiconductor?pageNo=90", "National Semiconductor")</f>
        <v>National Semiconductor</v>
      </c>
      <c r="C7997" s="6">
        <v>121</v>
      </c>
      <c r="D7997" s="7">
        <v>8.58</v>
      </c>
      <c r="E7997" t="s">
        <v>7</v>
      </c>
    </row>
    <row r="7998" spans="1:5" x14ac:dyDescent="0.25">
      <c r="A7998" t="str">
        <f>HYPERLINK("https://www.773grp.com/globalSearch/LM4546BVHX/page-1", "LM4546BVHX")</f>
        <v>LM4546BVHX</v>
      </c>
      <c r="B7998" s="3" t="str">
        <f>HYPERLINK("https://www.773grp.com/manufacturer/national-semiconductor?pageNo=91", "National Semiconductor")</f>
        <v>National Semiconductor</v>
      </c>
      <c r="C7998" s="6">
        <v>1000</v>
      </c>
      <c r="D7998" s="7">
        <v>8.58</v>
      </c>
      <c r="E7998" t="s">
        <v>23</v>
      </c>
    </row>
    <row r="7999" spans="1:5" x14ac:dyDescent="0.25">
      <c r="A7999" t="str">
        <f>HYPERLINK("https://www.773grp.com/globalSearch/LM80CIMTX-3-NOPB/page-1", "LM80CIMTX-3-NOPB")</f>
        <v>LM80CIMTX-3-NOPB</v>
      </c>
      <c r="B7999" s="3" t="str">
        <f>HYPERLINK("https://www.773grp.com/manufacturer/national-semiconductor?pageNo=92", "National Semiconductor")</f>
        <v>National Semiconductor</v>
      </c>
      <c r="C7999" s="6">
        <v>2500</v>
      </c>
      <c r="D7999" s="7">
        <v>8.58</v>
      </c>
      <c r="E7999" t="s">
        <v>30</v>
      </c>
    </row>
    <row r="8000" spans="1:5" x14ac:dyDescent="0.25">
      <c r="A8000" t="str">
        <f>HYPERLINK("https://www.773grp.com/globalSearch/LMF100CIWM/page-1", "LMF100CIWM")</f>
        <v>LMF100CIWM</v>
      </c>
      <c r="B8000" s="3" t="str">
        <f>HYPERLINK("https://www.773grp.com/manufacturer/national-semiconductor?pageNo=93", "National Semiconductor")</f>
        <v>National Semiconductor</v>
      </c>
      <c r="C8000" s="6">
        <v>26</v>
      </c>
      <c r="D8000" s="7">
        <v>8.58</v>
      </c>
      <c r="E8000" t="s">
        <v>58</v>
      </c>
    </row>
    <row r="8001" spans="1:5" x14ac:dyDescent="0.25">
      <c r="A8001" t="str">
        <f>HYPERLINK("https://www.773grp.com/globalSearch/LP3893ES-1.2/page-1", "LP3893ES-1.2")</f>
        <v>LP3893ES-1.2</v>
      </c>
      <c r="B8001" s="3" t="str">
        <f>HYPERLINK("https://www.773grp.com/manufacturer/national-semiconductor?pageNo=94", "National Semiconductor")</f>
        <v>National Semiconductor</v>
      </c>
      <c r="C8001" s="6">
        <v>39</v>
      </c>
      <c r="D8001" s="7">
        <v>8.58</v>
      </c>
      <c r="E8001" t="s">
        <v>19</v>
      </c>
    </row>
    <row r="8002" spans="1:5" x14ac:dyDescent="0.25">
      <c r="A8002" t="str">
        <f>HYPERLINK("https://www.773grp.com/globalSearch/LM22677QTJE-5.0-NOPB/page-1", "LM22677QTJE-5.0-NOPB")</f>
        <v>LM22677QTJE-5.0-NOPB</v>
      </c>
      <c r="B8002" s="3" t="str">
        <f>HYPERLINK("https://www.773grp.com/manufacturer/national-semiconductor?pageNo=95", "National Semiconductor")</f>
        <v>National Semiconductor</v>
      </c>
      <c r="C8002" s="6">
        <v>2250</v>
      </c>
      <c r="D8002" s="7">
        <v>8.58</v>
      </c>
    </row>
    <row r="8003" spans="1:5" x14ac:dyDescent="0.25">
      <c r="A8003" t="str">
        <f>HYPERLINK("https://www.773grp.com/globalSearch/LM22677QTJE-ADJ-NOPB/page-1", "LM22677QTJE-ADJ-NOPB")</f>
        <v>LM22677QTJE-ADJ-NOPB</v>
      </c>
      <c r="B8003" s="3" t="str">
        <f>HYPERLINK("https://www.773grp.com/manufacturer/national-semiconductor?pageNo=96", "National Semiconductor")</f>
        <v>National Semiconductor</v>
      </c>
      <c r="C8003" s="6">
        <v>1097</v>
      </c>
      <c r="D8003" s="7">
        <v>8.58</v>
      </c>
    </row>
    <row r="8004" spans="1:5" x14ac:dyDescent="0.25">
      <c r="A8004" t="str">
        <f>HYPERLINK("https://www.773grp.com/globalSearch/LM22678QTJE-5.0-NOPB/page-1", "LM22678QTJE-5.0-NOPB")</f>
        <v>LM22678QTJE-5.0-NOPB</v>
      </c>
      <c r="B8004" s="3" t="str">
        <f>HYPERLINK("https://www.773grp.com/manufacturer/national-semiconductor?pageNo=97", "National Semiconductor")</f>
        <v>National Semiconductor</v>
      </c>
      <c r="C8004" s="6">
        <v>1994</v>
      </c>
      <c r="D8004" s="7">
        <v>8.58</v>
      </c>
    </row>
    <row r="8005" spans="1:5" x14ac:dyDescent="0.25">
      <c r="A8005" t="str">
        <f>HYPERLINK("https://www.773grp.com/globalSearch/LM22678QTJE-ADJ-NOPB/page-1", "LM22678QTJE-ADJ-NOPB")</f>
        <v>LM22678QTJE-ADJ-NOPB</v>
      </c>
      <c r="B8005" s="3" t="str">
        <f>HYPERLINK("https://www.773grp.com/manufacturer/national-semiconductor?pageNo=98", "National Semiconductor")</f>
        <v>National Semiconductor</v>
      </c>
      <c r="C8005" s="6">
        <v>1540</v>
      </c>
      <c r="D8005" s="7">
        <v>8.58</v>
      </c>
    </row>
    <row r="8006" spans="1:5" x14ac:dyDescent="0.25">
      <c r="A8006" t="str">
        <f>HYPERLINK("https://www.773grp.com/globalSearch/LM25116MH/page-1", "LM25116MH")</f>
        <v>LM25116MH</v>
      </c>
      <c r="B8006" s="3" t="str">
        <f>HYPERLINK("https://www.773grp.com/manufacturer/national-semiconductor?pageNo=99", "National Semiconductor")</f>
        <v>National Semiconductor</v>
      </c>
      <c r="C8006" s="6">
        <v>1481</v>
      </c>
      <c r="D8006" s="7">
        <v>8.58</v>
      </c>
    </row>
    <row r="8007" spans="1:5" x14ac:dyDescent="0.25">
      <c r="A8007" t="str">
        <f>HYPERLINK("https://www.773grp.com/globalSearch/LM2594HVM-12/page-1", "LM2594HVM-12")</f>
        <v>LM2594HVM-12</v>
      </c>
      <c r="B8007" s="3" t="str">
        <f>HYPERLINK("https://www.773grp.com/manufacturer/national-semiconductor?pageNo=100", "National Semiconductor")</f>
        <v>National Semiconductor</v>
      </c>
      <c r="C8007" s="6">
        <v>180</v>
      </c>
      <c r="D8007" s="7">
        <v>8.58</v>
      </c>
      <c r="E8007" t="s">
        <v>7</v>
      </c>
    </row>
    <row r="8008" spans="1:5" x14ac:dyDescent="0.25">
      <c r="A8008" t="str">
        <f>HYPERLINK("https://www.773grp.com/globalSearch/LM2594HVM-3.3/page-1", "LM2594HVM-3.3")</f>
        <v>LM2594HVM-3.3</v>
      </c>
      <c r="B8008" s="3" t="str">
        <f>HYPERLINK("https://www.773grp.com/manufacturer/national-semiconductor?pageNo=101", "National Semiconductor")</f>
        <v>National Semiconductor</v>
      </c>
      <c r="C8008" s="6">
        <v>68</v>
      </c>
      <c r="D8008" s="7">
        <v>8.58</v>
      </c>
      <c r="E8008" t="s">
        <v>7</v>
      </c>
    </row>
    <row r="8009" spans="1:5" x14ac:dyDescent="0.25">
      <c r="A8009" t="str">
        <f>HYPERLINK("https://www.773grp.com/globalSearch/LM2594HVM-5.0/page-1", "LM2594HVM-5.0")</f>
        <v>LM2594HVM-5.0</v>
      </c>
      <c r="B8009" s="3" t="str">
        <f>HYPERLINK("https://www.773grp.com/manufacturer/national-semiconductor?pageNo=102", "National Semiconductor")</f>
        <v>National Semiconductor</v>
      </c>
      <c r="C8009" s="6">
        <v>350</v>
      </c>
      <c r="D8009" s="7">
        <v>8.58</v>
      </c>
    </row>
    <row r="8010" spans="1:5" x14ac:dyDescent="0.25">
      <c r="A8010" t="str">
        <f>HYPERLINK("https://www.773grp.com/globalSearch/LM2594HVM-ADJ/page-1", "LM2594HVM-ADJ")</f>
        <v>LM2594HVM-ADJ</v>
      </c>
      <c r="B8010" s="3" t="str">
        <f>HYPERLINK("https://www.773grp.com/manufacturer/national-semiconductor?pageNo=103", "National Semiconductor")</f>
        <v>National Semiconductor</v>
      </c>
      <c r="C8010" s="6">
        <v>1010</v>
      </c>
      <c r="D8010" s="7">
        <v>8.58</v>
      </c>
      <c r="E8010" t="s">
        <v>7</v>
      </c>
    </row>
    <row r="8011" spans="1:5" x14ac:dyDescent="0.25">
      <c r="A8011" t="str">
        <f>HYPERLINK("https://www.773grp.com/globalSearch/LM2670S-5.0/page-1", "LM2670S-5.0")</f>
        <v>LM2670S-5.0</v>
      </c>
      <c r="B8011" s="3" t="str">
        <f>HYPERLINK("https://www.773grp.com/manufacturer/national-semiconductor?pageNo=104", "National Semiconductor")</f>
        <v>National Semiconductor</v>
      </c>
      <c r="C8011" s="6">
        <v>947</v>
      </c>
      <c r="D8011" s="7">
        <v>8.58</v>
      </c>
      <c r="E8011" t="s">
        <v>7</v>
      </c>
    </row>
    <row r="8012" spans="1:5" x14ac:dyDescent="0.25">
      <c r="A8012" t="str">
        <f>HYPERLINK("https://www.773grp.com/globalSearch/LM2673S-12/page-1", "LM2673S-12")</f>
        <v>LM2673S-12</v>
      </c>
      <c r="B8012" s="3" t="str">
        <f>HYPERLINK("https://www.773grp.com/manufacturer/national-semiconductor?pageNo=105", "National Semiconductor")</f>
        <v>National Semiconductor</v>
      </c>
      <c r="C8012" s="6">
        <v>360</v>
      </c>
      <c r="D8012" s="7">
        <v>8.58</v>
      </c>
      <c r="E8012" t="s">
        <v>7</v>
      </c>
    </row>
    <row r="8013" spans="1:5" x14ac:dyDescent="0.25">
      <c r="A8013" t="str">
        <f>HYPERLINK("https://www.773grp.com/globalSearch/LM2673S-3.3/page-1", "LM2673S-3.3")</f>
        <v>LM2673S-3.3</v>
      </c>
      <c r="B8013" s="3" t="str">
        <f>HYPERLINK("https://www.773grp.com/manufacturer/national-semiconductor?pageNo=106", "National Semiconductor")</f>
        <v>National Semiconductor</v>
      </c>
      <c r="C8013" s="6">
        <v>16</v>
      </c>
      <c r="D8013" s="7">
        <v>8.58</v>
      </c>
      <c r="E8013" t="s">
        <v>7</v>
      </c>
    </row>
    <row r="8014" spans="1:5" x14ac:dyDescent="0.25">
      <c r="A8014" t="str">
        <f>HYPERLINK("https://www.773grp.com/globalSearch/LM2673S-5.0/page-1", "LM2673S-5.0")</f>
        <v>LM2673S-5.0</v>
      </c>
      <c r="B8014" s="3" t="str">
        <f>HYPERLINK("https://www.773grp.com/manufacturer/national-semiconductor?pageNo=107", "National Semiconductor")</f>
        <v>National Semiconductor</v>
      </c>
      <c r="C8014" s="6">
        <v>1980</v>
      </c>
      <c r="D8014" s="7">
        <v>8.58</v>
      </c>
      <c r="E8014" t="s">
        <v>7</v>
      </c>
    </row>
    <row r="8015" spans="1:5" x14ac:dyDescent="0.25">
      <c r="A8015" t="str">
        <f>HYPERLINK("https://www.773grp.com/globalSearch/LM2673S-ADJ/page-1", "LM2673S-ADJ")</f>
        <v>LM2673S-ADJ</v>
      </c>
      <c r="B8015" s="3" t="str">
        <f>HYPERLINK("https://www.773grp.com/manufacturer/national-semiconductor?pageNo=108", "National Semiconductor")</f>
        <v>National Semiconductor</v>
      </c>
      <c r="C8015" s="6">
        <v>5500</v>
      </c>
      <c r="D8015" s="7">
        <v>8.58</v>
      </c>
      <c r="E8015" t="s">
        <v>7</v>
      </c>
    </row>
    <row r="8016" spans="1:5" x14ac:dyDescent="0.25">
      <c r="A8016" t="str">
        <f>HYPERLINK("https://www.773grp.com/globalSearch/LM3100MH/page-1", "LM3100MH")</f>
        <v>LM3100MH</v>
      </c>
      <c r="B8016" s="3" t="str">
        <f>HYPERLINK("https://www.773grp.com/manufacturer/national-semiconductor?pageNo=109", "National Semiconductor")</f>
        <v>National Semiconductor</v>
      </c>
      <c r="C8016" s="6">
        <v>131</v>
      </c>
      <c r="D8016" s="7">
        <v>8.58</v>
      </c>
    </row>
    <row r="8017" spans="1:5" x14ac:dyDescent="0.25">
      <c r="A8017" t="str">
        <f>HYPERLINK("https://www.773grp.com/globalSearch/LMF100CIWM/page-1", "LMF100CIWM")</f>
        <v>LMF100CIWM</v>
      </c>
      <c r="B8017" s="3" t="str">
        <f>HYPERLINK("https://www.773grp.com/manufacturer/national-semiconductor?pageNo=110", "National Semiconductor")</f>
        <v>National Semiconductor</v>
      </c>
      <c r="C8017" s="6">
        <v>1602</v>
      </c>
      <c r="D8017" s="7">
        <v>8.58</v>
      </c>
      <c r="E8017" t="s">
        <v>58</v>
      </c>
    </row>
    <row r="8018" spans="1:5" x14ac:dyDescent="0.25">
      <c r="A8018" t="str">
        <f>HYPERLINK("https://www.773grp.com/globalSearch/LP3893ES-1.2/page-1", "LP3893ES-1.2")</f>
        <v>LP3893ES-1.2</v>
      </c>
      <c r="B8018" s="3" t="str">
        <f>HYPERLINK("https://www.773grp.com/manufacturer/national-semiconductor?pageNo=111", "National Semiconductor")</f>
        <v>National Semiconductor</v>
      </c>
      <c r="C8018" s="6">
        <v>135</v>
      </c>
      <c r="D8018" s="7">
        <v>8.58</v>
      </c>
      <c r="E8018" t="s">
        <v>19</v>
      </c>
    </row>
    <row r="8019" spans="1:5" x14ac:dyDescent="0.25">
      <c r="A8019" t="str">
        <f>HYPERLINK("https://www.773grp.com/globalSearch/ADC0820BCWM/page-1", "ADC0820BCWM")</f>
        <v>ADC0820BCWM</v>
      </c>
      <c r="B8019" s="3" t="str">
        <f>HYPERLINK("https://www.773grp.com/manufacturer/national-semiconductor?pageNo=112", "National Semiconductor")</f>
        <v>National Semiconductor</v>
      </c>
      <c r="C8019" s="6">
        <v>120</v>
      </c>
      <c r="D8019" s="7">
        <v>8.61</v>
      </c>
      <c r="E8019" t="s">
        <v>39</v>
      </c>
    </row>
    <row r="8020" spans="1:5" x14ac:dyDescent="0.25">
      <c r="A8020" t="str">
        <f>HYPERLINK("https://www.773grp.com/globalSearch/LM2593HVS-3.3-NOPB/page-1", "LM2593HVS-3.3-NOPB")</f>
        <v>LM2593HVS-3.3-NOPB</v>
      </c>
      <c r="B8020" s="3" t="str">
        <f>HYPERLINK("https://www.773grp.com/manufacturer/national-semiconductor?pageNo=113", "National Semiconductor")</f>
        <v>National Semiconductor</v>
      </c>
      <c r="C8020" s="6">
        <v>5000</v>
      </c>
      <c r="D8020" s="7">
        <v>8.61</v>
      </c>
      <c r="E8020" t="s">
        <v>7</v>
      </c>
    </row>
    <row r="8021" spans="1:5" x14ac:dyDescent="0.25">
      <c r="A8021" t="str">
        <f>HYPERLINK("https://www.773grp.com/globalSearch/LM2593HVS-ADJ-NOPB/page-1", "LM2593HVS-ADJ-NOPB")</f>
        <v>LM2593HVS-ADJ-NOPB</v>
      </c>
      <c r="B8021" s="3" t="str">
        <f>HYPERLINK("https://www.773grp.com/manufacturer/national-semiconductor?pageNo=114", "National Semiconductor")</f>
        <v>National Semiconductor</v>
      </c>
      <c r="C8021" s="6">
        <v>2155</v>
      </c>
      <c r="D8021" s="7">
        <v>8.61</v>
      </c>
      <c r="E8021" t="s">
        <v>7</v>
      </c>
    </row>
    <row r="8022" spans="1:5" x14ac:dyDescent="0.25">
      <c r="A8022" t="str">
        <f>HYPERLINK("https://www.773grp.com/globalSearch/LM4937RL-NOPB/page-1", "LM4937RL-NOPB")</f>
        <v>LM4937RL-NOPB</v>
      </c>
      <c r="B8022" s="3" t="str">
        <f>HYPERLINK("https://www.773grp.com/manufacturer/national-semiconductor?pageNo=115", "National Semiconductor")</f>
        <v>National Semiconductor</v>
      </c>
      <c r="C8022" s="6">
        <v>500</v>
      </c>
      <c r="D8022" s="7">
        <v>8.61</v>
      </c>
    </row>
    <row r="8023" spans="1:5" x14ac:dyDescent="0.25">
      <c r="A8023" t="str">
        <f>HYPERLINK("https://www.773grp.com/globalSearch/LM4937TL-NOPB/page-1", "LM4937TL-NOPB")</f>
        <v>LM4937TL-NOPB</v>
      </c>
      <c r="B8023" s="3" t="str">
        <f>HYPERLINK("https://www.773grp.com/manufacturer/national-semiconductor?pageNo=116", "National Semiconductor")</f>
        <v>National Semiconductor</v>
      </c>
      <c r="C8023" s="6">
        <v>500</v>
      </c>
      <c r="D8023" s="7">
        <v>8.61</v>
      </c>
      <c r="E8023" t="s">
        <v>23</v>
      </c>
    </row>
    <row r="8024" spans="1:5" x14ac:dyDescent="0.25">
      <c r="A8024" t="str">
        <f>HYPERLINK("https://www.773grp.com/globalSearch/LMS1145M/page-1", "LMS1145M")</f>
        <v>LMS1145M</v>
      </c>
      <c r="B8024" s="3" t="str">
        <f>HYPERLINK("https://www.773grp.com/manufacturer/national-semiconductor?pageNo=117", "National Semiconductor")</f>
        <v>National Semiconductor</v>
      </c>
      <c r="C8024" s="6">
        <v>1</v>
      </c>
      <c r="D8024" s="7">
        <v>8.61</v>
      </c>
      <c r="E8024" t="s">
        <v>7</v>
      </c>
    </row>
    <row r="8025" spans="1:5" x14ac:dyDescent="0.25">
      <c r="A8025" t="str">
        <f>HYPERLINK("https://www.773grp.com/globalSearch/LM2593HVS-3.3-NOPB/page-1", "LM2593HVS-3.3-NOPB")</f>
        <v>LM2593HVS-3.3-NOPB</v>
      </c>
      <c r="B8025" s="3" t="str">
        <f>HYPERLINK("https://www.773grp.com/manufacturer/national-semiconductor?pageNo=118", "National Semiconductor")</f>
        <v>National Semiconductor</v>
      </c>
      <c r="C8025" s="6">
        <v>425</v>
      </c>
      <c r="D8025" s="7">
        <v>8.61</v>
      </c>
      <c r="E8025" t="s">
        <v>7</v>
      </c>
    </row>
    <row r="8026" spans="1:5" x14ac:dyDescent="0.25">
      <c r="A8026" t="str">
        <f>HYPERLINK("https://www.773grp.com/globalSearch/LM2593HVS-5.0-NOPB/page-1", "LM2593HVS-5.0-NOPB")</f>
        <v>LM2593HVS-5.0-NOPB</v>
      </c>
      <c r="B8026" s="3" t="str">
        <f>HYPERLINK("https://www.773grp.com/manufacturer/national-semiconductor?pageNo=119", "National Semiconductor")</f>
        <v>National Semiconductor</v>
      </c>
      <c r="C8026" s="6">
        <v>240</v>
      </c>
      <c r="D8026" s="7">
        <v>8.61</v>
      </c>
    </row>
    <row r="8027" spans="1:5" x14ac:dyDescent="0.25">
      <c r="A8027" t="str">
        <f>HYPERLINK("https://www.773grp.com/globalSearch/LM2593HVS-ADJ-NOPB/page-1", "LM2593HVS-ADJ-NOPB")</f>
        <v>LM2593HVS-ADJ-NOPB</v>
      </c>
      <c r="B8027" s="3" t="str">
        <f>HYPERLINK("https://www.773grp.com/manufacturer/national-semiconductor?pageNo=120", "National Semiconductor")</f>
        <v>National Semiconductor</v>
      </c>
      <c r="C8027" s="6">
        <v>425</v>
      </c>
      <c r="D8027" s="7">
        <v>8.61</v>
      </c>
      <c r="E8027" t="s">
        <v>7</v>
      </c>
    </row>
    <row r="8028" spans="1:5" x14ac:dyDescent="0.25">
      <c r="A8028" t="str">
        <f>HYPERLINK("https://www.773grp.com/globalSearch/LM49321RL-NOPB/page-1", "LM49321RL-NOPB")</f>
        <v>LM49321RL-NOPB</v>
      </c>
      <c r="B8028" s="3" t="str">
        <f>HYPERLINK("https://www.773grp.com/manufacturer/national-semiconductor?pageNo=121", "National Semiconductor")</f>
        <v>National Semiconductor</v>
      </c>
      <c r="C8028" s="6">
        <v>250</v>
      </c>
      <c r="D8028" s="7">
        <v>8.61</v>
      </c>
    </row>
    <row r="8029" spans="1:5" x14ac:dyDescent="0.25">
      <c r="A8029" t="str">
        <f>HYPERLINK("https://www.773grp.com/globalSearch/LM4937RL-NOPB/page-1", "LM4937RL-NOPB")</f>
        <v>LM4937RL-NOPB</v>
      </c>
      <c r="B8029" s="3" t="str">
        <f>HYPERLINK("https://www.773grp.com/manufacturer/national-semiconductor?pageNo=122", "National Semiconductor")</f>
        <v>National Semiconductor</v>
      </c>
      <c r="C8029" s="6">
        <v>250</v>
      </c>
      <c r="D8029" s="7">
        <v>8.61</v>
      </c>
    </row>
    <row r="8030" spans="1:5" x14ac:dyDescent="0.25">
      <c r="A8030" t="str">
        <f>HYPERLINK("https://www.773grp.com/globalSearch/LM4937TL-NOPB/page-1", "LM4937TL-NOPB")</f>
        <v>LM4937TL-NOPB</v>
      </c>
      <c r="B8030" s="3" t="str">
        <f>HYPERLINK("https://www.773grp.com/manufacturer/national-semiconductor?pageNo=123", "National Semiconductor")</f>
        <v>National Semiconductor</v>
      </c>
      <c r="C8030" s="6">
        <v>1500</v>
      </c>
      <c r="D8030" s="7">
        <v>8.61</v>
      </c>
      <c r="E8030" t="s">
        <v>23</v>
      </c>
    </row>
    <row r="8031" spans="1:5" x14ac:dyDescent="0.25">
      <c r="A8031" t="str">
        <f>HYPERLINK("https://www.773grp.com/globalSearch/74FCT841BSC/page-1", "74FCT841BSC")</f>
        <v>74FCT841BSC</v>
      </c>
      <c r="B8031" s="3" t="str">
        <f>HYPERLINK("https://www.773grp.com/manufacturer/national-semiconductor?pageNo=124", "National Semiconductor")</f>
        <v>National Semiconductor</v>
      </c>
      <c r="C8031" s="6">
        <v>212</v>
      </c>
      <c r="D8031" s="7">
        <v>8.64</v>
      </c>
      <c r="E8031" t="s">
        <v>14</v>
      </c>
    </row>
    <row r="8032" spans="1:5" x14ac:dyDescent="0.25">
      <c r="A8032" t="str">
        <f>HYPERLINK("https://www.773grp.com/globalSearch/ADC1061CIN-NOPB/page-1", "ADC1061CIN-NOPB")</f>
        <v>ADC1061CIN-NOPB</v>
      </c>
      <c r="B8032" s="3" t="str">
        <f>HYPERLINK("https://www.773grp.com/manufacturer/national-semiconductor?pageNo=125", "National Semiconductor")</f>
        <v>National Semiconductor</v>
      </c>
      <c r="C8032" s="6">
        <v>5</v>
      </c>
      <c r="D8032" s="7">
        <v>8.64</v>
      </c>
      <c r="E8032" t="s">
        <v>39</v>
      </c>
    </row>
    <row r="8033" spans="1:5" x14ac:dyDescent="0.25">
      <c r="A8033" t="str">
        <f>HYPERLINK("https://www.773grp.com/globalSearch/LM3549SQE-NOPB/page-1", "LM3549SQE-NOPB")</f>
        <v>LM3549SQE-NOPB</v>
      </c>
      <c r="B8033" s="3" t="str">
        <f>HYPERLINK("https://www.773grp.com/manufacturer/national-semiconductor?pageNo=126", "National Semiconductor")</f>
        <v>National Semiconductor</v>
      </c>
      <c r="C8033" s="6">
        <v>250</v>
      </c>
      <c r="D8033" s="7">
        <v>8.64</v>
      </c>
    </row>
    <row r="8034" spans="1:5" x14ac:dyDescent="0.25">
      <c r="A8034" t="str">
        <f>HYPERLINK("https://www.773grp.com/globalSearch/LM8500IMT9/page-1", "LM8500IMT9")</f>
        <v>LM8500IMT9</v>
      </c>
      <c r="B8034" s="3" t="str">
        <f>HYPERLINK("https://www.773grp.com/manufacturer/national-semiconductor?pageNo=127", "National Semiconductor")</f>
        <v>National Semiconductor</v>
      </c>
      <c r="C8034" s="6">
        <v>596</v>
      </c>
      <c r="D8034" s="7">
        <v>8.64</v>
      </c>
      <c r="E8034" t="s">
        <v>23</v>
      </c>
    </row>
    <row r="8035" spans="1:5" x14ac:dyDescent="0.25">
      <c r="A8035" t="str">
        <f>HYPERLINK("https://www.773grp.com/globalSearch/LM3549SQE-NOPB/page-1", "LM3549SQE-NOPB")</f>
        <v>LM3549SQE-NOPB</v>
      </c>
      <c r="B8035" s="3" t="str">
        <f>HYPERLINK("https://www.773grp.com/manufacturer/national-semiconductor?pageNo=128", "National Semiconductor")</f>
        <v>National Semiconductor</v>
      </c>
      <c r="C8035" s="6">
        <v>1215</v>
      </c>
      <c r="D8035" s="7">
        <v>8.64</v>
      </c>
    </row>
    <row r="8036" spans="1:5" x14ac:dyDescent="0.25">
      <c r="A8036" t="str">
        <f>HYPERLINK("https://www.773grp.com/globalSearch/74298DC/page-1", "74298DC")</f>
        <v>74298DC</v>
      </c>
      <c r="B8036" s="3" t="str">
        <f>HYPERLINK("https://www.773grp.com/manufacturer/national-semiconductor?pageNo=129", "National Semiconductor")</f>
        <v>National Semiconductor</v>
      </c>
      <c r="C8036" s="6">
        <v>567</v>
      </c>
      <c r="D8036" s="7">
        <v>8.66</v>
      </c>
    </row>
    <row r="8037" spans="1:5" x14ac:dyDescent="0.25">
      <c r="A8037" t="str">
        <f>HYPERLINK("https://www.773grp.com/globalSearch/74298PC/page-1", "74298PC")</f>
        <v>74298PC</v>
      </c>
      <c r="B8037" s="3" t="str">
        <f>HYPERLINK("https://www.773grp.com/manufacturer/national-semiconductor?pageNo=130", "National Semiconductor")</f>
        <v>National Semiconductor</v>
      </c>
      <c r="C8037" s="6">
        <v>34839</v>
      </c>
      <c r="D8037" s="7">
        <v>8.66</v>
      </c>
    </row>
    <row r="8038" spans="1:5" x14ac:dyDescent="0.25">
      <c r="A8038" t="str">
        <f>HYPERLINK("https://www.773grp.com/globalSearch/74298PCS/page-1", "74298PCS")</f>
        <v>74298PCS</v>
      </c>
      <c r="B8038" s="3" t="str">
        <f>HYPERLINK("https://www.773grp.com/manufacturer/national-semiconductor?pageNo=131", "National Semiconductor")</f>
        <v>National Semiconductor</v>
      </c>
      <c r="C8038" s="6">
        <v>1692</v>
      </c>
      <c r="D8038" s="7">
        <v>8.66</v>
      </c>
    </row>
    <row r="8039" spans="1:5" x14ac:dyDescent="0.25">
      <c r="A8039" t="str">
        <f>HYPERLINK("https://www.773grp.com/globalSearch/DM54LS138W-883/page-1", "DM54LS138W-883")</f>
        <v>DM54LS138W-883</v>
      </c>
      <c r="B8039" s="3" t="str">
        <f>HYPERLINK("https://www.773grp.com/manufacturer/national-semiconductor?pageNo=132", "National Semiconductor")</f>
        <v>National Semiconductor</v>
      </c>
      <c r="C8039" s="6">
        <v>3057</v>
      </c>
      <c r="D8039" s="7">
        <v>8.66</v>
      </c>
      <c r="E8039" t="s">
        <v>36</v>
      </c>
    </row>
    <row r="8040" spans="1:5" x14ac:dyDescent="0.25">
      <c r="A8040" t="str">
        <f>HYPERLINK("https://www.773grp.com/globalSearch/DM54LS164W-883/page-1", "DM54LS164W-883")</f>
        <v>DM54LS164W-883</v>
      </c>
      <c r="B8040" s="3" t="str">
        <f>HYPERLINK("https://www.773grp.com/manufacturer/national-semiconductor?pageNo=133", "National Semiconductor")</f>
        <v>National Semiconductor</v>
      </c>
      <c r="C8040" s="6">
        <v>107</v>
      </c>
      <c r="D8040" s="7">
        <v>8.66</v>
      </c>
      <c r="E8040" t="s">
        <v>32</v>
      </c>
    </row>
    <row r="8041" spans="1:5" x14ac:dyDescent="0.25">
      <c r="A8041" t="str">
        <f>HYPERLINK("https://www.773grp.com/globalSearch/DM54LS174W-883/page-1", "DM54LS174W-883")</f>
        <v>DM54LS174W-883</v>
      </c>
      <c r="B8041" s="3" t="str">
        <f>HYPERLINK("https://www.773grp.com/manufacturer/national-semiconductor?pageNo=134", "National Semiconductor")</f>
        <v>National Semiconductor</v>
      </c>
      <c r="C8041" s="6">
        <v>1129</v>
      </c>
      <c r="D8041" s="7">
        <v>8.66</v>
      </c>
      <c r="E8041" t="s">
        <v>35</v>
      </c>
    </row>
    <row r="8042" spans="1:5" x14ac:dyDescent="0.25">
      <c r="A8042" t="str">
        <f>HYPERLINK("https://www.773grp.com/globalSearch/DM54LS85W-883/page-1", "DM54LS85W-883")</f>
        <v>DM54LS85W-883</v>
      </c>
      <c r="B8042" s="3" t="str">
        <f>HYPERLINK("https://www.773grp.com/manufacturer/national-semiconductor?pageNo=1", "National Semiconductor")</f>
        <v>National Semiconductor</v>
      </c>
      <c r="C8042" s="6">
        <v>464</v>
      </c>
      <c r="D8042" s="7">
        <v>8.66</v>
      </c>
      <c r="E8042" t="s">
        <v>43</v>
      </c>
    </row>
    <row r="8043" spans="1:5" x14ac:dyDescent="0.25">
      <c r="A8043" t="str">
        <f>HYPERLINK("https://www.773grp.com/globalSearch/DM80L04N/page-1", "DM80L04N")</f>
        <v>DM80L04N</v>
      </c>
      <c r="B8043" s="3" t="str">
        <f>HYPERLINK("https://www.773grp.com/manufacturer/national-semiconductor?pageNo=2", "National Semiconductor")</f>
        <v>National Semiconductor</v>
      </c>
      <c r="C8043" s="6">
        <v>4052</v>
      </c>
      <c r="D8043" s="7">
        <v>8.66</v>
      </c>
    </row>
    <row r="8044" spans="1:5" x14ac:dyDescent="0.25">
      <c r="A8044" t="str">
        <f>HYPERLINK("https://www.773grp.com/globalSearch/MM5452VX-NOPB/page-1", "MM5452VX-NOPB")</f>
        <v>MM5452VX-NOPB</v>
      </c>
      <c r="B8044" s="3" t="str">
        <f>HYPERLINK("https://www.773grp.com/manufacturer/national-semiconductor?pageNo=3", "National Semiconductor")</f>
        <v>National Semiconductor</v>
      </c>
      <c r="C8044" s="6">
        <v>390</v>
      </c>
      <c r="D8044" s="7">
        <v>8.66</v>
      </c>
      <c r="E8044" t="s">
        <v>10</v>
      </c>
    </row>
    <row r="8045" spans="1:5" x14ac:dyDescent="0.25">
      <c r="A8045" t="str">
        <f>HYPERLINK("https://www.773grp.com/globalSearch/TP3057N/page-1", "TP3057N")</f>
        <v>TP3057N</v>
      </c>
      <c r="B8045" s="3" t="str">
        <f>HYPERLINK("https://www.773grp.com/manufacturer/national-semiconductor?pageNo=4", "National Semiconductor")</f>
        <v>National Semiconductor</v>
      </c>
      <c r="C8045" s="6">
        <v>100</v>
      </c>
      <c r="D8045" s="7">
        <v>8.66</v>
      </c>
      <c r="E8045" t="s">
        <v>66</v>
      </c>
    </row>
    <row r="8046" spans="1:5" x14ac:dyDescent="0.25">
      <c r="A8046" t="str">
        <f>HYPERLINK("https://www.773grp.com/globalSearch/DS90CF384AQMT-NOPB/page-1", "DS90CF384AQMT-NOPB")</f>
        <v>DS90CF384AQMT-NOPB</v>
      </c>
      <c r="B8046" s="3" t="str">
        <f>HYPERLINK("https://www.773grp.com/manufacturer/national-semiconductor?pageNo=5", "National Semiconductor")</f>
        <v>National Semiconductor</v>
      </c>
      <c r="C8046" s="6">
        <v>15</v>
      </c>
      <c r="D8046" s="7">
        <v>8.66</v>
      </c>
    </row>
    <row r="8047" spans="1:5" x14ac:dyDescent="0.25">
      <c r="A8047" t="str">
        <f>HYPERLINK("https://www.773grp.com/globalSearch/DS90CF384AQMT-NOPB/page-1", "DS90CF384AQMT-NOPB")</f>
        <v>DS90CF384AQMT-NOPB</v>
      </c>
      <c r="B8047" s="3" t="str">
        <f>HYPERLINK("https://www.773grp.com/manufacturer/national-semiconductor?pageNo=6", "National Semiconductor")</f>
        <v>National Semiconductor</v>
      </c>
      <c r="C8047" s="6">
        <v>408</v>
      </c>
      <c r="D8047" s="7">
        <v>8.66</v>
      </c>
    </row>
    <row r="8048" spans="1:5" x14ac:dyDescent="0.25">
      <c r="A8048" t="str">
        <f>HYPERLINK("https://www.773grp.com/globalSearch/ADC10664CIWM-NOPB/page-1", "ADC10664CIWM-NOPB")</f>
        <v>ADC10664CIWM-NOPB</v>
      </c>
      <c r="B8048" s="3" t="str">
        <f>HYPERLINK("https://www.773grp.com/manufacturer/national-semiconductor?pageNo=7", "National Semiconductor")</f>
        <v>National Semiconductor</v>
      </c>
      <c r="C8048" s="6">
        <v>12</v>
      </c>
      <c r="D8048" s="7">
        <v>8.69</v>
      </c>
      <c r="E8048" t="s">
        <v>39</v>
      </c>
    </row>
    <row r="8049" spans="1:5" x14ac:dyDescent="0.25">
      <c r="A8049" t="str">
        <f>HYPERLINK("https://www.773grp.com/globalSearch/DS64EV100SD-NOPB/page-1", "DS64EV100SD-NOPB")</f>
        <v>DS64EV100SD-NOPB</v>
      </c>
      <c r="B8049" s="3" t="str">
        <f>HYPERLINK("https://www.773grp.com/manufacturer/national-semiconductor?pageNo=8", "National Semiconductor")</f>
        <v>National Semiconductor</v>
      </c>
      <c r="C8049" s="6">
        <v>1138</v>
      </c>
      <c r="D8049" s="7">
        <v>8.69</v>
      </c>
    </row>
    <row r="8050" spans="1:5" x14ac:dyDescent="0.25">
      <c r="A8050" t="str">
        <f>HYPERLINK("https://www.773grp.com/globalSearch/LMX2525LQ1321/page-1", "LMX2525LQ1321")</f>
        <v>LMX2525LQ1321</v>
      </c>
      <c r="B8050" s="3" t="str">
        <f>HYPERLINK("https://www.773grp.com/manufacturer/national-semiconductor?pageNo=9", "National Semiconductor")</f>
        <v>National Semiconductor</v>
      </c>
      <c r="C8050" s="6">
        <v>6000</v>
      </c>
      <c r="D8050" s="7">
        <v>8.69</v>
      </c>
      <c r="E8050" t="s">
        <v>38</v>
      </c>
    </row>
    <row r="8051" spans="1:5" x14ac:dyDescent="0.25">
      <c r="A8051" t="str">
        <f>HYPERLINK("https://www.773grp.com/globalSearch/MM54HC4017J/page-1", "MM54HC4017J")</f>
        <v>MM54HC4017J</v>
      </c>
      <c r="B8051" s="3" t="str">
        <f>HYPERLINK("https://www.773grp.com/manufacturer/national-semiconductor?pageNo=10", "National Semiconductor")</f>
        <v>National Semiconductor</v>
      </c>
      <c r="C8051" s="6">
        <v>96</v>
      </c>
      <c r="D8051" s="7">
        <v>8.69</v>
      </c>
      <c r="E8051" t="s">
        <v>26</v>
      </c>
    </row>
    <row r="8052" spans="1:5" x14ac:dyDescent="0.25">
      <c r="A8052" t="str">
        <f>HYPERLINK("https://www.773grp.com/globalSearch/USBN9604SLBX/page-1", "USBN9604SLBX")</f>
        <v>USBN9604SLBX</v>
      </c>
      <c r="B8052" s="3" t="str">
        <f>HYPERLINK("https://www.773grp.com/manufacturer/national-semiconductor?pageNo=11", "National Semiconductor")</f>
        <v>National Semiconductor</v>
      </c>
      <c r="C8052" s="6">
        <v>7323</v>
      </c>
      <c r="D8052" s="7">
        <v>8.69</v>
      </c>
      <c r="E8052" t="s">
        <v>68</v>
      </c>
    </row>
    <row r="8053" spans="1:5" x14ac:dyDescent="0.25">
      <c r="A8053" t="str">
        <f>HYPERLINK("https://www.773grp.com/globalSearch/USBN9604SLBX-NOPB/page-1", "USBN9604SLBX-NOPB")</f>
        <v>USBN9604SLBX-NOPB</v>
      </c>
      <c r="B8053" s="3" t="str">
        <f>HYPERLINK("https://www.773grp.com/manufacturer/national-semiconductor?pageNo=12", "National Semiconductor")</f>
        <v>National Semiconductor</v>
      </c>
      <c r="C8053" s="6">
        <v>20174</v>
      </c>
      <c r="D8053" s="7">
        <v>8.69</v>
      </c>
    </row>
    <row r="8054" spans="1:5" x14ac:dyDescent="0.25">
      <c r="A8054" t="str">
        <f>HYPERLINK("https://www.773grp.com/globalSearch/ADC10664CIWM-NOPB/page-1", "ADC10664CIWM-NOPB")</f>
        <v>ADC10664CIWM-NOPB</v>
      </c>
      <c r="B8054" s="3" t="str">
        <f>HYPERLINK("https://www.773grp.com/manufacturer/national-semiconductor?pageNo=13", "National Semiconductor")</f>
        <v>National Semiconductor</v>
      </c>
      <c r="C8054" s="6">
        <v>360</v>
      </c>
      <c r="D8054" s="7">
        <v>8.69</v>
      </c>
      <c r="E8054" t="s">
        <v>39</v>
      </c>
    </row>
    <row r="8055" spans="1:5" x14ac:dyDescent="0.25">
      <c r="A8055" t="str">
        <f>HYPERLINK("https://www.773grp.com/globalSearch/LM7372IMA/page-1", "LM7372IMA")</f>
        <v>LM7372IMA</v>
      </c>
      <c r="B8055" s="3" t="str">
        <f>HYPERLINK("https://www.773grp.com/manufacturer/national-semiconductor?pageNo=14", "National Semiconductor")</f>
        <v>National Semiconductor</v>
      </c>
      <c r="C8055" s="6">
        <v>2112</v>
      </c>
      <c r="D8055" s="7">
        <v>8.69</v>
      </c>
    </row>
    <row r="8056" spans="1:5" x14ac:dyDescent="0.25">
      <c r="A8056" t="str">
        <f>HYPERLINK("https://www.773grp.com/globalSearch/LM7372MR/page-1", "LM7372MR")</f>
        <v>LM7372MR</v>
      </c>
      <c r="B8056" s="3" t="str">
        <f>HYPERLINK("https://www.773grp.com/manufacturer/national-semiconductor?pageNo=15", "National Semiconductor")</f>
        <v>National Semiconductor</v>
      </c>
      <c r="C8056" s="6">
        <v>9655</v>
      </c>
      <c r="D8056" s="7">
        <v>8.69</v>
      </c>
    </row>
    <row r="8057" spans="1:5" x14ac:dyDescent="0.25">
      <c r="A8057" t="str">
        <f>HYPERLINK("https://www.773grp.com/globalSearch/USBN9604SLBX/page-1", "USBN9604SLBX")</f>
        <v>USBN9604SLBX</v>
      </c>
      <c r="B8057" s="3" t="str">
        <f>HYPERLINK("https://www.773grp.com/manufacturer/national-semiconductor?pageNo=16", "National Semiconductor")</f>
        <v>National Semiconductor</v>
      </c>
      <c r="C8057" s="6">
        <v>5000</v>
      </c>
      <c r="D8057" s="7">
        <v>8.69</v>
      </c>
      <c r="E8057" t="s">
        <v>68</v>
      </c>
    </row>
    <row r="8058" spans="1:5" x14ac:dyDescent="0.25">
      <c r="A8058" t="str">
        <f>HYPERLINK("https://www.773grp.com/globalSearch/USBN9604SLBX-NOPB/page-1", "USBN9604SLBX-NOPB")</f>
        <v>USBN9604SLBX-NOPB</v>
      </c>
      <c r="B8058" s="3" t="str">
        <f>HYPERLINK("https://www.773grp.com/manufacturer/national-semiconductor?pageNo=17", "National Semiconductor")</f>
        <v>National Semiconductor</v>
      </c>
      <c r="C8058" s="6">
        <v>15000</v>
      </c>
      <c r="D8058" s="7">
        <v>8.69</v>
      </c>
    </row>
    <row r="8059" spans="1:5" x14ac:dyDescent="0.25">
      <c r="A8059" t="str">
        <f>HYPERLINK("https://www.773grp.com/globalSearch/54AC157DM/page-1", "54AC157DM")</f>
        <v>54AC157DM</v>
      </c>
      <c r="B8059" s="3" t="str">
        <f>HYPERLINK("https://www.773grp.com/manufacturer/national-semiconductor?pageNo=18", "National Semiconductor")</f>
        <v>National Semiconductor</v>
      </c>
      <c r="C8059" s="6">
        <v>152</v>
      </c>
      <c r="D8059" s="7">
        <v>8.73</v>
      </c>
      <c r="E8059" t="s">
        <v>20</v>
      </c>
    </row>
    <row r="8060" spans="1:5" x14ac:dyDescent="0.25">
      <c r="A8060" t="str">
        <f>HYPERLINK("https://www.773grp.com/globalSearch/54ACT161DM/page-1", "54ACT161DM")</f>
        <v>54ACT161DM</v>
      </c>
      <c r="B8060" s="3" t="str">
        <f>HYPERLINK("https://www.773grp.com/manufacturer/national-semiconductor?pageNo=19", "National Semiconductor")</f>
        <v>National Semiconductor</v>
      </c>
      <c r="C8060" s="6">
        <v>415</v>
      </c>
      <c r="D8060" s="7">
        <v>8.73</v>
      </c>
      <c r="E8060" t="s">
        <v>26</v>
      </c>
    </row>
    <row r="8061" spans="1:5" x14ac:dyDescent="0.25">
      <c r="A8061" t="str">
        <f>HYPERLINK("https://www.773grp.com/globalSearch/74FCT841BSCX/page-1", "74FCT841BSCX")</f>
        <v>74FCT841BSCX</v>
      </c>
      <c r="B8061" s="3" t="str">
        <f>HYPERLINK("https://www.773grp.com/manufacturer/national-semiconductor?pageNo=20", "National Semiconductor")</f>
        <v>National Semiconductor</v>
      </c>
      <c r="C8061" s="6">
        <v>50183</v>
      </c>
      <c r="D8061" s="7">
        <v>8.73</v>
      </c>
      <c r="E8061" t="s">
        <v>14</v>
      </c>
    </row>
    <row r="8062" spans="1:5" x14ac:dyDescent="0.25">
      <c r="A8062" t="str">
        <f>HYPERLINK("https://www.773grp.com/globalSearch/DS90CF386MTDX-NOPB/page-1", "DS90CF386MTDX-NOPB")</f>
        <v>DS90CF386MTDX-NOPB</v>
      </c>
      <c r="B8062" s="3" t="str">
        <f>HYPERLINK("https://www.773grp.com/manufacturer/national-semiconductor?pageNo=21", "National Semiconductor")</f>
        <v>National Semiconductor</v>
      </c>
      <c r="C8062" s="6">
        <v>19000</v>
      </c>
      <c r="D8062" s="7">
        <v>8.73</v>
      </c>
      <c r="E8062" t="s">
        <v>21</v>
      </c>
    </row>
    <row r="8063" spans="1:5" x14ac:dyDescent="0.25">
      <c r="A8063" t="str">
        <f>HYPERLINK("https://www.773grp.com/globalSearch/DS90CF386SLC/page-1", "DS90CF386SLC")</f>
        <v>DS90CF386SLC</v>
      </c>
      <c r="B8063" s="3" t="str">
        <f>HYPERLINK("https://www.773grp.com/manufacturer/national-semiconductor?pageNo=22", "National Semiconductor")</f>
        <v>National Semiconductor</v>
      </c>
      <c r="C8063" s="6">
        <v>249</v>
      </c>
      <c r="D8063" s="7">
        <v>8.73</v>
      </c>
      <c r="E8063" t="s">
        <v>21</v>
      </c>
    </row>
    <row r="8064" spans="1:5" x14ac:dyDescent="0.25">
      <c r="A8064" t="str">
        <f>HYPERLINK("https://www.773grp.com/globalSearch/DS90CF386SLC-NOPB/page-1", "DS90CF386SLC-NOPB")</f>
        <v>DS90CF386SLC-NOPB</v>
      </c>
      <c r="B8064" s="3" t="str">
        <f>HYPERLINK("https://www.773grp.com/manufacturer/national-semiconductor?pageNo=23", "National Semiconductor")</f>
        <v>National Semiconductor</v>
      </c>
      <c r="C8064" s="6">
        <v>210</v>
      </c>
      <c r="D8064" s="7">
        <v>8.73</v>
      </c>
      <c r="E8064" t="s">
        <v>21</v>
      </c>
    </row>
    <row r="8065" spans="1:5" x14ac:dyDescent="0.25">
      <c r="A8065" t="str">
        <f>HYPERLINK("https://www.773grp.com/globalSearch/DS90CF386SLCX-NOPB/page-1", "DS90CF386SLCX-NOPB")</f>
        <v>DS90CF386SLCX-NOPB</v>
      </c>
      <c r="B8065" s="3" t="str">
        <f>HYPERLINK("https://www.773grp.com/manufacturer/national-semiconductor?pageNo=24", "National Semiconductor")</f>
        <v>National Semiconductor</v>
      </c>
      <c r="C8065" s="6">
        <v>6000</v>
      </c>
      <c r="D8065" s="7">
        <v>8.73</v>
      </c>
      <c r="E8065" t="s">
        <v>21</v>
      </c>
    </row>
    <row r="8066" spans="1:5" x14ac:dyDescent="0.25">
      <c r="A8066" t="str">
        <f>HYPERLINK("https://www.773grp.com/globalSearch/DS90CR215MTD-NOPB/page-1", "DS90CR215MTD-NOPB")</f>
        <v>DS90CR215MTD-NOPB</v>
      </c>
      <c r="B8066" s="3" t="str">
        <f>HYPERLINK("https://www.773grp.com/manufacturer/national-semiconductor?pageNo=25", "National Semiconductor")</f>
        <v>National Semiconductor</v>
      </c>
      <c r="C8066" s="6">
        <v>2037</v>
      </c>
      <c r="D8066" s="7">
        <v>8.73</v>
      </c>
      <c r="E8066" t="s">
        <v>21</v>
      </c>
    </row>
    <row r="8067" spans="1:5" x14ac:dyDescent="0.25">
      <c r="A8067" t="str">
        <f>HYPERLINK("https://www.773grp.com/globalSearch/DS90CR215MTDX/page-1", "DS90CR215MTDX")</f>
        <v>DS90CR215MTDX</v>
      </c>
      <c r="B8067" s="3" t="str">
        <f>HYPERLINK("https://www.773grp.com/manufacturer/national-semiconductor?pageNo=26", "National Semiconductor")</f>
        <v>National Semiconductor</v>
      </c>
      <c r="C8067" s="6">
        <v>2000</v>
      </c>
      <c r="D8067" s="7">
        <v>8.73</v>
      </c>
      <c r="E8067" t="s">
        <v>21</v>
      </c>
    </row>
    <row r="8068" spans="1:5" x14ac:dyDescent="0.25">
      <c r="A8068" t="str">
        <f>HYPERLINK("https://www.773grp.com/globalSearch/DS90CR216AMTDX/page-1", "DS90CR216AMTDX")</f>
        <v>DS90CR216AMTDX</v>
      </c>
      <c r="B8068" s="3" t="str">
        <f>HYPERLINK("https://www.773grp.com/manufacturer/national-semiconductor?pageNo=27", "National Semiconductor")</f>
        <v>National Semiconductor</v>
      </c>
      <c r="C8068" s="6">
        <v>4000</v>
      </c>
      <c r="D8068" s="7">
        <v>8.73</v>
      </c>
      <c r="E8068" t="s">
        <v>21</v>
      </c>
    </row>
    <row r="8069" spans="1:5" x14ac:dyDescent="0.25">
      <c r="A8069" t="str">
        <f>HYPERLINK("https://www.773grp.com/globalSearch/LM2586S-12/page-1", "LM2586S-12")</f>
        <v>LM2586S-12</v>
      </c>
      <c r="B8069" s="3" t="str">
        <f>HYPERLINK("https://www.773grp.com/manufacturer/national-semiconductor?pageNo=28", "National Semiconductor")</f>
        <v>National Semiconductor</v>
      </c>
      <c r="C8069" s="6">
        <v>93</v>
      </c>
      <c r="D8069" s="7">
        <v>8.73</v>
      </c>
      <c r="E8069" t="s">
        <v>7</v>
      </c>
    </row>
    <row r="8070" spans="1:5" x14ac:dyDescent="0.25">
      <c r="A8070" t="str">
        <f>HYPERLINK("https://www.773grp.com/globalSearch/LM2586S-12-NOPB/page-1", "LM2586S-12-NOPB")</f>
        <v>LM2586S-12-NOPB</v>
      </c>
      <c r="B8070" s="3" t="str">
        <f>HYPERLINK("https://www.773grp.com/manufacturer/national-semiconductor?pageNo=29", "National Semiconductor")</f>
        <v>National Semiconductor</v>
      </c>
      <c r="C8070" s="6">
        <v>178</v>
      </c>
      <c r="D8070" s="7">
        <v>8.73</v>
      </c>
      <c r="E8070" t="s">
        <v>7</v>
      </c>
    </row>
    <row r="8071" spans="1:5" x14ac:dyDescent="0.25">
      <c r="A8071" t="str">
        <f>HYPERLINK("https://www.773grp.com/globalSearch/LM2586SX-3.3-NOPB/page-1", "LM2586SX-3.3-NOPB")</f>
        <v>LM2586SX-3.3-NOPB</v>
      </c>
      <c r="B8071" s="3" t="str">
        <f>HYPERLINK("https://www.773grp.com/manufacturer/national-semiconductor?pageNo=30", "National Semiconductor")</f>
        <v>National Semiconductor</v>
      </c>
      <c r="C8071" s="6">
        <v>2000</v>
      </c>
      <c r="D8071" s="7">
        <v>8.73</v>
      </c>
      <c r="E8071" t="s">
        <v>7</v>
      </c>
    </row>
    <row r="8072" spans="1:5" x14ac:dyDescent="0.25">
      <c r="A8072" t="str">
        <f>HYPERLINK("https://www.773grp.com/globalSearch/LM2586SX-ADJ-NOPB/page-1", "LM2586SX-ADJ-NOPB")</f>
        <v>LM2586SX-ADJ-NOPB</v>
      </c>
      <c r="B8072" s="3" t="str">
        <f>HYPERLINK("https://www.773grp.com/manufacturer/national-semiconductor?pageNo=31", "National Semiconductor")</f>
        <v>National Semiconductor</v>
      </c>
      <c r="C8072" s="6">
        <v>2000</v>
      </c>
      <c r="D8072" s="7">
        <v>8.73</v>
      </c>
      <c r="E8072" t="s">
        <v>7</v>
      </c>
    </row>
    <row r="8073" spans="1:5" x14ac:dyDescent="0.25">
      <c r="A8073" t="str">
        <f>HYPERLINK("https://www.773grp.com/globalSearch/LM2586T-5.0-NOPB/page-1", "LM2586T-5.0-NOPB")</f>
        <v>LM2586T-5.0-NOPB</v>
      </c>
      <c r="B8073" s="3" t="str">
        <f>HYPERLINK("https://www.773grp.com/manufacturer/national-semiconductor?pageNo=32", "National Semiconductor")</f>
        <v>National Semiconductor</v>
      </c>
      <c r="C8073" s="6">
        <v>66</v>
      </c>
      <c r="D8073" s="7">
        <v>8.73</v>
      </c>
    </row>
    <row r="8074" spans="1:5" x14ac:dyDescent="0.25">
      <c r="A8074" t="str">
        <f>HYPERLINK("https://www.773grp.com/globalSearch/LM2586T-ADJ-NOPB/page-1", "LM2586T-ADJ-NOPB")</f>
        <v>LM2586T-ADJ-NOPB</v>
      </c>
      <c r="B8074" s="3" t="str">
        <f>HYPERLINK("https://www.773grp.com/manufacturer/national-semiconductor?pageNo=33", "National Semiconductor")</f>
        <v>National Semiconductor</v>
      </c>
      <c r="C8074" s="6">
        <v>59</v>
      </c>
      <c r="D8074" s="7">
        <v>8.73</v>
      </c>
    </row>
    <row r="8075" spans="1:5" x14ac:dyDescent="0.25">
      <c r="A8075" t="str">
        <f>HYPERLINK("https://www.773grp.com/globalSearch/LM34CZ-NOPB/page-1", "LM34CZ-NOPB")</f>
        <v>LM34CZ-NOPB</v>
      </c>
      <c r="B8075" s="3" t="str">
        <f>HYPERLINK("https://www.773grp.com/manufacturer/national-semiconductor?pageNo=34", "National Semiconductor")</f>
        <v>National Semiconductor</v>
      </c>
      <c r="C8075" s="6">
        <v>1375</v>
      </c>
      <c r="D8075" s="7">
        <v>8.73</v>
      </c>
      <c r="E8075" t="s">
        <v>8</v>
      </c>
    </row>
    <row r="8076" spans="1:5" x14ac:dyDescent="0.25">
      <c r="A8076" t="str">
        <f>HYPERLINK("https://www.773grp.com/globalSearch/LM3886T-NOPB/page-1", "LM3886T-NOPB")</f>
        <v>LM3886T-NOPB</v>
      </c>
      <c r="B8076" s="3" t="str">
        <f>HYPERLINK("https://www.773grp.com/manufacturer/national-semiconductor?pageNo=35", "National Semiconductor")</f>
        <v>National Semiconductor</v>
      </c>
      <c r="C8076" s="6">
        <v>9800</v>
      </c>
      <c r="D8076" s="7">
        <v>8.73</v>
      </c>
    </row>
    <row r="8077" spans="1:5" x14ac:dyDescent="0.25">
      <c r="A8077" t="str">
        <f>HYPERLINK("https://www.773grp.com/globalSearch/LM3886TF-NOPB/page-1", "LM3886TF-NOPB")</f>
        <v>LM3886TF-NOPB</v>
      </c>
      <c r="B8077" s="3" t="str">
        <f>HYPERLINK("https://www.773grp.com/manufacturer/national-semiconductor?pageNo=36", "National Semiconductor")</f>
        <v>National Semiconductor</v>
      </c>
      <c r="C8077" s="6">
        <v>5284</v>
      </c>
      <c r="D8077" s="7">
        <v>8.73</v>
      </c>
      <c r="E8077" t="s">
        <v>18</v>
      </c>
    </row>
    <row r="8078" spans="1:5" x14ac:dyDescent="0.25">
      <c r="A8078" t="str">
        <f>HYPERLINK("https://www.773grp.com/globalSearch/MM4648BJ-883C/page-1", "MM4648BJ-883C")</f>
        <v>MM4648BJ-883C</v>
      </c>
      <c r="B8078" s="3" t="str">
        <f>HYPERLINK("https://www.773grp.com/manufacturer/national-semiconductor?pageNo=37", "National Semiconductor")</f>
        <v>National Semiconductor</v>
      </c>
      <c r="C8078" s="6">
        <v>88</v>
      </c>
      <c r="D8078" s="7">
        <v>8.73</v>
      </c>
    </row>
    <row r="8079" spans="1:5" x14ac:dyDescent="0.25">
      <c r="A8079" t="str">
        <f>HYPERLINK("https://www.773grp.com/globalSearch/MM54HC251J-883/page-1", "MM54HC251J-883")</f>
        <v>MM54HC251J-883</v>
      </c>
      <c r="B8079" s="3" t="str">
        <f>HYPERLINK("https://www.773grp.com/manufacturer/national-semiconductor?pageNo=38", "National Semiconductor")</f>
        <v>National Semiconductor</v>
      </c>
      <c r="C8079" s="6">
        <v>231</v>
      </c>
      <c r="D8079" s="7">
        <v>8.73</v>
      </c>
      <c r="E8079" t="s">
        <v>20</v>
      </c>
    </row>
    <row r="8080" spans="1:5" x14ac:dyDescent="0.25">
      <c r="A8080" t="str">
        <f>HYPERLINK("https://www.773grp.com/globalSearch/MM54HC257J-883/page-1", "MM54HC257J-883")</f>
        <v>MM54HC257J-883</v>
      </c>
      <c r="B8080" s="3" t="str">
        <f>HYPERLINK("https://www.773grp.com/manufacturer/national-semiconductor?pageNo=39", "National Semiconductor")</f>
        <v>National Semiconductor</v>
      </c>
      <c r="C8080" s="6">
        <v>29</v>
      </c>
      <c r="D8080" s="7">
        <v>8.73</v>
      </c>
    </row>
    <row r="8081" spans="1:5" x14ac:dyDescent="0.25">
      <c r="A8081" t="str">
        <f>HYPERLINK("https://www.773grp.com/globalSearch/DS90CF386SLC-NOPB/page-1", "DS90CF386SLC-NOPB")</f>
        <v>DS90CF386SLC-NOPB</v>
      </c>
      <c r="B8081" s="3" t="str">
        <f>HYPERLINK("https://www.773grp.com/manufacturer/national-semiconductor?pageNo=40", "National Semiconductor")</f>
        <v>National Semiconductor</v>
      </c>
      <c r="C8081" s="6">
        <v>1824</v>
      </c>
      <c r="D8081" s="7">
        <v>8.73</v>
      </c>
      <c r="E8081" t="s">
        <v>21</v>
      </c>
    </row>
    <row r="8082" spans="1:5" x14ac:dyDescent="0.25">
      <c r="A8082" t="str">
        <f>HYPERLINK("https://www.773grp.com/globalSearch/DS90CF386SLCX-NOPB/page-1", "DS90CF386SLCX-NOPB")</f>
        <v>DS90CF386SLCX-NOPB</v>
      </c>
      <c r="B8082" s="3" t="str">
        <f>HYPERLINK("https://www.773grp.com/manufacturer/national-semiconductor?pageNo=41", "National Semiconductor")</f>
        <v>National Semiconductor</v>
      </c>
      <c r="C8082" s="6">
        <v>28000</v>
      </c>
      <c r="D8082" s="7">
        <v>8.73</v>
      </c>
      <c r="E8082" t="s">
        <v>21</v>
      </c>
    </row>
    <row r="8083" spans="1:5" x14ac:dyDescent="0.25">
      <c r="A8083" t="str">
        <f>HYPERLINK("https://www.773grp.com/globalSearch/DS90CR215MTD-NOPB/page-1", "DS90CR215MTD-NOPB")</f>
        <v>DS90CR215MTD-NOPB</v>
      </c>
      <c r="B8083" s="3" t="str">
        <f>HYPERLINK("https://www.773grp.com/manufacturer/national-semiconductor?pageNo=42", "National Semiconductor")</f>
        <v>National Semiconductor</v>
      </c>
      <c r="C8083" s="6">
        <v>227</v>
      </c>
      <c r="D8083" s="7">
        <v>8.73</v>
      </c>
      <c r="E8083" t="s">
        <v>21</v>
      </c>
    </row>
    <row r="8084" spans="1:5" x14ac:dyDescent="0.25">
      <c r="A8084" t="str">
        <f>HYPERLINK("https://www.773grp.com/globalSearch/LM2586S-12/page-1", "LM2586S-12")</f>
        <v>LM2586S-12</v>
      </c>
      <c r="B8084" s="3" t="str">
        <f>HYPERLINK("https://www.773grp.com/manufacturer/national-semiconductor?pageNo=43", "National Semiconductor")</f>
        <v>National Semiconductor</v>
      </c>
      <c r="C8084" s="6">
        <v>135</v>
      </c>
      <c r="D8084" s="7">
        <v>8.73</v>
      </c>
      <c r="E8084" t="s">
        <v>7</v>
      </c>
    </row>
    <row r="8085" spans="1:5" x14ac:dyDescent="0.25">
      <c r="A8085" t="str">
        <f>HYPERLINK("https://www.773grp.com/globalSearch/LM2586S-12-NOPB/page-1", "LM2586S-12-NOPB")</f>
        <v>LM2586S-12-NOPB</v>
      </c>
      <c r="B8085" s="3" t="str">
        <f>HYPERLINK("https://www.773grp.com/manufacturer/national-semiconductor?pageNo=44", "National Semiconductor")</f>
        <v>National Semiconductor</v>
      </c>
      <c r="C8085" s="6">
        <v>138</v>
      </c>
      <c r="D8085" s="7">
        <v>8.73</v>
      </c>
      <c r="E8085" t="s">
        <v>7</v>
      </c>
    </row>
    <row r="8086" spans="1:5" x14ac:dyDescent="0.25">
      <c r="A8086" t="str">
        <f>HYPERLINK("https://www.773grp.com/globalSearch/LM2586SX-ADJ-NOPB/page-1", "LM2586SX-ADJ-NOPB")</f>
        <v>LM2586SX-ADJ-NOPB</v>
      </c>
      <c r="B8086" s="3" t="str">
        <f>HYPERLINK("https://www.773grp.com/manufacturer/national-semiconductor?pageNo=45", "National Semiconductor")</f>
        <v>National Semiconductor</v>
      </c>
      <c r="C8086" s="6">
        <v>80</v>
      </c>
      <c r="D8086" s="7">
        <v>8.73</v>
      </c>
      <c r="E8086" t="s">
        <v>7</v>
      </c>
    </row>
    <row r="8087" spans="1:5" x14ac:dyDescent="0.25">
      <c r="A8087" t="str">
        <f>HYPERLINK("https://www.773grp.com/globalSearch/LM2586T-3.3/page-1", "LM2586T-3.3")</f>
        <v>LM2586T-3.3</v>
      </c>
      <c r="B8087" s="3" t="str">
        <f>HYPERLINK("https://www.773grp.com/manufacturer/national-semiconductor?pageNo=46", "National Semiconductor")</f>
        <v>National Semiconductor</v>
      </c>
      <c r="C8087" s="6">
        <v>88</v>
      </c>
      <c r="D8087" s="7">
        <v>8.73</v>
      </c>
    </row>
    <row r="8088" spans="1:5" x14ac:dyDescent="0.25">
      <c r="A8088" t="str">
        <f>HYPERLINK("https://www.773grp.com/globalSearch/LM2586T-3.3-NOPB/page-1", "LM2586T-3.3-NOPB")</f>
        <v>LM2586T-3.3-NOPB</v>
      </c>
      <c r="B8088" s="3" t="str">
        <f>HYPERLINK("https://www.773grp.com/manufacturer/national-semiconductor?pageNo=47", "National Semiconductor")</f>
        <v>National Semiconductor</v>
      </c>
      <c r="C8088" s="6">
        <v>250</v>
      </c>
      <c r="D8088" s="7">
        <v>8.73</v>
      </c>
    </row>
    <row r="8089" spans="1:5" x14ac:dyDescent="0.25">
      <c r="A8089" t="str">
        <f>HYPERLINK("https://www.773grp.com/globalSearch/LM2586T-5.0-NOPB/page-1", "LM2586T-5.0-NOPB")</f>
        <v>LM2586T-5.0-NOPB</v>
      </c>
      <c r="B8089" s="3" t="str">
        <f>HYPERLINK("https://www.773grp.com/manufacturer/national-semiconductor?pageNo=48", "National Semiconductor")</f>
        <v>National Semiconductor</v>
      </c>
      <c r="C8089" s="6">
        <v>385</v>
      </c>
      <c r="D8089" s="7">
        <v>8.73</v>
      </c>
    </row>
    <row r="8090" spans="1:5" x14ac:dyDescent="0.25">
      <c r="A8090" t="str">
        <f>HYPERLINK("https://www.773grp.com/globalSearch/LM2586T-ADJ-NOPB/page-1", "LM2586T-ADJ-NOPB")</f>
        <v>LM2586T-ADJ-NOPB</v>
      </c>
      <c r="B8090" s="3" t="str">
        <f>HYPERLINK("https://www.773grp.com/manufacturer/national-semiconductor?pageNo=49", "National Semiconductor")</f>
        <v>National Semiconductor</v>
      </c>
      <c r="C8090" s="6">
        <v>250</v>
      </c>
      <c r="D8090" s="7">
        <v>8.73</v>
      </c>
    </row>
    <row r="8091" spans="1:5" x14ac:dyDescent="0.25">
      <c r="A8091" t="str">
        <f>HYPERLINK("https://www.773grp.com/globalSearch/LM34CZ-NOPB/page-1", "LM34CZ-NOPB")</f>
        <v>LM34CZ-NOPB</v>
      </c>
      <c r="B8091" s="3" t="str">
        <f>HYPERLINK("https://www.773grp.com/manufacturer/national-semiconductor?pageNo=50", "National Semiconductor")</f>
        <v>National Semiconductor</v>
      </c>
      <c r="C8091" s="6">
        <v>11050</v>
      </c>
      <c r="D8091" s="7">
        <v>8.73</v>
      </c>
      <c r="E8091" t="s">
        <v>8</v>
      </c>
    </row>
    <row r="8092" spans="1:5" x14ac:dyDescent="0.25">
      <c r="A8092" t="str">
        <f>HYPERLINK("https://www.773grp.com/globalSearch/LM3886T-NOPB/page-1", "LM3886T-NOPB")</f>
        <v>LM3886T-NOPB</v>
      </c>
      <c r="B8092" s="3" t="str">
        <f>HYPERLINK("https://www.773grp.com/manufacturer/national-semiconductor?pageNo=51", "National Semiconductor")</f>
        <v>National Semiconductor</v>
      </c>
      <c r="C8092" s="6">
        <v>319</v>
      </c>
      <c r="D8092" s="7">
        <v>8.73</v>
      </c>
    </row>
    <row r="8093" spans="1:5" x14ac:dyDescent="0.25">
      <c r="A8093" t="str">
        <f>HYPERLINK("https://www.773grp.com/globalSearch/LM3886TF-NOPB/page-1", "LM3886TF-NOPB")</f>
        <v>LM3886TF-NOPB</v>
      </c>
      <c r="B8093" s="3" t="str">
        <f>HYPERLINK("https://www.773grp.com/manufacturer/national-semiconductor?pageNo=52", "National Semiconductor")</f>
        <v>National Semiconductor</v>
      </c>
      <c r="C8093" s="6">
        <v>450</v>
      </c>
      <c r="D8093" s="7">
        <v>8.73</v>
      </c>
      <c r="E8093" t="s">
        <v>18</v>
      </c>
    </row>
    <row r="8094" spans="1:5" x14ac:dyDescent="0.25">
      <c r="A8094" t="str">
        <f>HYPERLINK("https://www.773grp.com/globalSearch/SN65HVD30MDREP/page-1", "SN65HVD30MDREP")</f>
        <v>SN65HVD30MDREP</v>
      </c>
      <c r="B8094" s="3" t="str">
        <f>HYPERLINK("https://www.773grp.com/manufacturer/national-semiconductor?pageNo=53", "National Semiconductor")</f>
        <v>National Semiconductor</v>
      </c>
      <c r="C8094" s="6">
        <v>91</v>
      </c>
      <c r="D8094" s="7">
        <v>8.73</v>
      </c>
    </row>
    <row r="8095" spans="1:5" x14ac:dyDescent="0.25">
      <c r="A8095" t="str">
        <f>HYPERLINK("https://www.773grp.com/globalSearch/100117DC/page-1", "100117DC")</f>
        <v>100117DC</v>
      </c>
      <c r="B8095" s="3" t="str">
        <f>HYPERLINK("https://www.773grp.com/manufacturer/national-semiconductor?pageNo=54", "National Semiconductor")</f>
        <v>National Semiconductor</v>
      </c>
      <c r="C8095" s="6">
        <v>275</v>
      </c>
      <c r="D8095" s="7">
        <v>8.74</v>
      </c>
      <c r="E8095" t="s">
        <v>31</v>
      </c>
    </row>
    <row r="8096" spans="1:5" x14ac:dyDescent="0.25">
      <c r="A8096" t="str">
        <f>HYPERLINK("https://www.773grp.com/globalSearch/4016BDC/page-1", "4016BDC")</f>
        <v>4016BDC</v>
      </c>
      <c r="B8096" s="3" t="str">
        <f>HYPERLINK("https://www.773grp.com/manufacturer/national-semiconductor?pageNo=55", "National Semiconductor")</f>
        <v>National Semiconductor</v>
      </c>
      <c r="C8096" s="6">
        <v>4470</v>
      </c>
      <c r="D8096" s="7">
        <v>8.74</v>
      </c>
    </row>
    <row r="8097" spans="1:5" x14ac:dyDescent="0.25">
      <c r="A8097" t="str">
        <f>HYPERLINK("https://www.773grp.com/globalSearch/9007PC/page-1", "9007PC")</f>
        <v>9007PC</v>
      </c>
      <c r="B8097" s="3" t="str">
        <f>HYPERLINK("https://www.773grp.com/manufacturer/national-semiconductor?pageNo=56", "National Semiconductor")</f>
        <v>National Semiconductor</v>
      </c>
      <c r="C8097" s="6">
        <v>4191</v>
      </c>
      <c r="D8097" s="7">
        <v>8.74</v>
      </c>
    </row>
    <row r="8098" spans="1:5" x14ac:dyDescent="0.25">
      <c r="A8098" t="str">
        <f>HYPERLINK("https://www.773grp.com/globalSearch/LM2586T-12/page-1", "LM2586T-12")</f>
        <v>LM2586T-12</v>
      </c>
      <c r="B8098" s="3" t="str">
        <f>HYPERLINK("https://www.773grp.com/manufacturer/national-semiconductor?pageNo=57", "National Semiconductor")</f>
        <v>National Semiconductor</v>
      </c>
      <c r="C8098" s="6">
        <v>19</v>
      </c>
      <c r="D8098" s="7">
        <v>8.74</v>
      </c>
      <c r="E8098" t="s">
        <v>7</v>
      </c>
    </row>
    <row r="8099" spans="1:5" x14ac:dyDescent="0.25">
      <c r="A8099" t="str">
        <f>HYPERLINK("https://www.773grp.com/globalSearch/LM2678S-12/page-1", "LM2678S-12")</f>
        <v>LM2678S-12</v>
      </c>
      <c r="B8099" s="3" t="str">
        <f>HYPERLINK("https://www.773grp.com/manufacturer/national-semiconductor?pageNo=58", "National Semiconductor")</f>
        <v>National Semiconductor</v>
      </c>
      <c r="C8099" s="6">
        <v>109</v>
      </c>
      <c r="D8099" s="7">
        <v>8.74</v>
      </c>
      <c r="E8099" t="s">
        <v>7</v>
      </c>
    </row>
    <row r="8100" spans="1:5" x14ac:dyDescent="0.25">
      <c r="A8100" t="str">
        <f>HYPERLINK("https://www.773grp.com/globalSearch/LM2678SX-ADJ/page-1", "LM2678SX-ADJ")</f>
        <v>LM2678SX-ADJ</v>
      </c>
      <c r="B8100" s="3" t="str">
        <f>HYPERLINK("https://www.773grp.com/manufacturer/national-semiconductor?pageNo=59", "National Semiconductor")</f>
        <v>National Semiconductor</v>
      </c>
      <c r="C8100" s="6">
        <v>1000</v>
      </c>
      <c r="D8100" s="7">
        <v>8.74</v>
      </c>
      <c r="E8100" t="s">
        <v>7</v>
      </c>
    </row>
    <row r="8101" spans="1:5" x14ac:dyDescent="0.25">
      <c r="A8101" t="str">
        <f>HYPERLINK("https://www.773grp.com/globalSearch/LM2678T-5.0/page-1", "LM2678T-5.0")</f>
        <v>LM2678T-5.0</v>
      </c>
      <c r="B8101" s="3" t="str">
        <f>HYPERLINK("https://www.773grp.com/manufacturer/national-semiconductor?pageNo=60", "National Semiconductor")</f>
        <v>National Semiconductor</v>
      </c>
      <c r="C8101" s="6">
        <v>7</v>
      </c>
      <c r="D8101" s="7">
        <v>8.74</v>
      </c>
      <c r="E8101" t="s">
        <v>7</v>
      </c>
    </row>
    <row r="8102" spans="1:5" x14ac:dyDescent="0.25">
      <c r="A8102" t="str">
        <f>HYPERLINK("https://www.773grp.com/globalSearch/LMP91000SDE-NOPB/page-1", "LMP91000SDE-NOPB")</f>
        <v>LMP91000SDE-NOPB</v>
      </c>
      <c r="B8102" s="3" t="str">
        <f>HYPERLINK("https://www.773grp.com/manufacturer/national-semiconductor?pageNo=61", "National Semiconductor")</f>
        <v>National Semiconductor</v>
      </c>
      <c r="C8102" s="6">
        <v>550</v>
      </c>
      <c r="D8102" s="7">
        <v>8.74</v>
      </c>
    </row>
    <row r="8103" spans="1:5" x14ac:dyDescent="0.25">
      <c r="A8103" t="str">
        <f>HYPERLINK("https://www.773grp.com/globalSearch/UA558HM/page-1", "UA558HM")</f>
        <v>UA558HM</v>
      </c>
      <c r="B8103" s="3" t="str">
        <f>HYPERLINK("https://www.773grp.com/manufacturer/national-semiconductor?pageNo=62", "National Semiconductor")</f>
        <v>National Semiconductor</v>
      </c>
      <c r="C8103" s="6">
        <v>100</v>
      </c>
      <c r="D8103" s="7">
        <v>8.74</v>
      </c>
    </row>
    <row r="8104" spans="1:5" x14ac:dyDescent="0.25">
      <c r="A8104" t="str">
        <f>HYPERLINK("https://www.773grp.com/globalSearch/UA8T28PC/page-1", "UA8T28PC")</f>
        <v>UA8T28PC</v>
      </c>
      <c r="B8104" s="3" t="str">
        <f>HYPERLINK("https://www.773grp.com/manufacturer/national-semiconductor?pageNo=63", "National Semiconductor")</f>
        <v>National Semiconductor</v>
      </c>
      <c r="C8104" s="6">
        <v>3</v>
      </c>
      <c r="D8104" s="7">
        <v>8.74</v>
      </c>
    </row>
    <row r="8105" spans="1:5" x14ac:dyDescent="0.25">
      <c r="A8105" t="str">
        <f>HYPERLINK("https://www.773grp.com/globalSearch/ADC10738CIWM/page-1", "ADC10738CIWM")</f>
        <v>ADC10738CIWM</v>
      </c>
      <c r="B8105" s="3" t="str">
        <f>HYPERLINK("https://www.773grp.com/manufacturer/national-semiconductor?pageNo=64", "National Semiconductor")</f>
        <v>National Semiconductor</v>
      </c>
      <c r="C8105" s="6">
        <v>160</v>
      </c>
      <c r="D8105" s="7">
        <v>8.74</v>
      </c>
    </row>
    <row r="8106" spans="1:5" x14ac:dyDescent="0.25">
      <c r="A8106" t="str">
        <f>HYPERLINK("https://www.773grp.com/globalSearch/LM2678SX-5.0/page-1", "LM2678SX-5.0")</f>
        <v>LM2678SX-5.0</v>
      </c>
      <c r="B8106" s="3" t="str">
        <f>HYPERLINK("https://www.773grp.com/manufacturer/national-semiconductor?pageNo=65", "National Semiconductor")</f>
        <v>National Semiconductor</v>
      </c>
      <c r="C8106" s="6">
        <v>500</v>
      </c>
      <c r="D8106" s="7">
        <v>8.74</v>
      </c>
    </row>
    <row r="8107" spans="1:5" x14ac:dyDescent="0.25">
      <c r="A8107" t="str">
        <f>HYPERLINK("https://www.773grp.com/globalSearch/LM2678SX-ADJ/page-1", "LM2678SX-ADJ")</f>
        <v>LM2678SX-ADJ</v>
      </c>
      <c r="B8107" s="3" t="str">
        <f>HYPERLINK("https://www.773grp.com/manufacturer/national-semiconductor?pageNo=66", "National Semiconductor")</f>
        <v>National Semiconductor</v>
      </c>
      <c r="C8107" s="6">
        <v>360</v>
      </c>
      <c r="D8107" s="7">
        <v>8.74</v>
      </c>
      <c r="E8107" t="s">
        <v>7</v>
      </c>
    </row>
    <row r="8108" spans="1:5" x14ac:dyDescent="0.25">
      <c r="A8108" t="str">
        <f>HYPERLINK("https://www.773grp.com/globalSearch/LM2678T-5.0/page-1", "LM2678T-5.0")</f>
        <v>LM2678T-5.0</v>
      </c>
      <c r="B8108" s="3" t="str">
        <f>HYPERLINK("https://www.773grp.com/manufacturer/national-semiconductor?pageNo=67", "National Semiconductor")</f>
        <v>National Semiconductor</v>
      </c>
      <c r="C8108" s="6">
        <v>80</v>
      </c>
      <c r="D8108" s="7">
        <v>8.74</v>
      </c>
      <c r="E8108" t="s">
        <v>7</v>
      </c>
    </row>
    <row r="8109" spans="1:5" x14ac:dyDescent="0.25">
      <c r="A8109" t="str">
        <f>HYPERLINK("https://www.773grp.com/globalSearch/LMP91000SDE-NOPB/page-1", "LMP91000SDE-NOPB")</f>
        <v>LMP91000SDE-NOPB</v>
      </c>
      <c r="B8109" s="3" t="str">
        <f>HYPERLINK("https://www.773grp.com/manufacturer/national-semiconductor?pageNo=68", "National Semiconductor")</f>
        <v>National Semiconductor</v>
      </c>
      <c r="C8109" s="6">
        <v>98</v>
      </c>
      <c r="D8109" s="7">
        <v>8.74</v>
      </c>
    </row>
    <row r="8110" spans="1:5" x14ac:dyDescent="0.25">
      <c r="A8110" t="str">
        <f>HYPERLINK("https://www.773grp.com/globalSearch/1N3595JTXV/page-1", "1N3595JTXV")</f>
        <v>1N3595JTXV</v>
      </c>
      <c r="B8110" s="3" t="str">
        <f>HYPERLINK("https://www.773grp.com/manufacturer/national-semiconductor?pageNo=69", "National Semiconductor")</f>
        <v>National Semiconductor</v>
      </c>
      <c r="C8110" s="6">
        <v>245</v>
      </c>
      <c r="D8110" s="7">
        <v>8.7799999999999994</v>
      </c>
    </row>
    <row r="8111" spans="1:5" x14ac:dyDescent="0.25">
      <c r="A8111" t="str">
        <f>HYPERLINK("https://www.773grp.com/globalSearch/ADC0808CCVX/page-1", "ADC0808CCVX")</f>
        <v>ADC0808CCVX</v>
      </c>
      <c r="B8111" s="3" t="str">
        <f>HYPERLINK("https://www.773grp.com/manufacturer/national-semiconductor?pageNo=70", "National Semiconductor")</f>
        <v>National Semiconductor</v>
      </c>
      <c r="C8111" s="6">
        <v>750</v>
      </c>
      <c r="D8111" s="7">
        <v>8.7799999999999994</v>
      </c>
      <c r="E8111" t="s">
        <v>39</v>
      </c>
    </row>
    <row r="8112" spans="1:5" x14ac:dyDescent="0.25">
      <c r="A8112" t="str">
        <f>HYPERLINK("https://www.773grp.com/globalSearch/DM54LS14-1E-MIL/page-1", "DM54LS14-1E-MIL")</f>
        <v>DM54LS14-1E-MIL</v>
      </c>
      <c r="B8112" s="3" t="str">
        <f>HYPERLINK("https://www.773grp.com/manufacturer/national-semiconductor?pageNo=71", "National Semiconductor")</f>
        <v>National Semiconductor</v>
      </c>
      <c r="C8112" s="6">
        <v>74</v>
      </c>
      <c r="D8112" s="7">
        <v>8.7799999999999994</v>
      </c>
    </row>
    <row r="8113" spans="1:5" x14ac:dyDescent="0.25">
      <c r="A8113" t="str">
        <f>HYPERLINK("https://www.773grp.com/globalSearch/DM9301J-883/page-1", "DM9301J-883")</f>
        <v>DM9301J-883</v>
      </c>
      <c r="B8113" s="3" t="str">
        <f>HYPERLINK("https://www.773grp.com/manufacturer/national-semiconductor?pageNo=72", "National Semiconductor")</f>
        <v>National Semiconductor</v>
      </c>
      <c r="C8113" s="6">
        <v>916</v>
      </c>
      <c r="D8113" s="7">
        <v>8.7799999999999994</v>
      </c>
    </row>
    <row r="8114" spans="1:5" x14ac:dyDescent="0.25">
      <c r="A8114" t="str">
        <f>HYPERLINK("https://www.773grp.com/globalSearch/DS90CR218AMTD-NOPB/page-1", "DS90CR218AMTD-NOPB")</f>
        <v>DS90CR218AMTD-NOPB</v>
      </c>
      <c r="B8114" s="3" t="str">
        <f>HYPERLINK("https://www.773grp.com/manufacturer/national-semiconductor?pageNo=73", "National Semiconductor")</f>
        <v>National Semiconductor</v>
      </c>
      <c r="C8114" s="6">
        <v>7608</v>
      </c>
      <c r="D8114" s="7">
        <v>8.7799999999999994</v>
      </c>
      <c r="E8114" t="s">
        <v>21</v>
      </c>
    </row>
    <row r="8115" spans="1:5" x14ac:dyDescent="0.25">
      <c r="A8115" t="str">
        <f>HYPERLINK("https://www.773grp.com/globalSearch/LM2679SD-12-NOPB/page-1", "LM2679SD-12-NOPB")</f>
        <v>LM2679SD-12-NOPB</v>
      </c>
      <c r="B8115" s="3" t="str">
        <f>HYPERLINK("https://www.773grp.com/manufacturer/national-semiconductor?pageNo=74", "National Semiconductor")</f>
        <v>National Semiconductor</v>
      </c>
      <c r="C8115" s="6">
        <v>6</v>
      </c>
      <c r="D8115" s="7">
        <v>8.7799999999999994</v>
      </c>
      <c r="E8115" t="s">
        <v>7</v>
      </c>
    </row>
    <row r="8116" spans="1:5" x14ac:dyDescent="0.25">
      <c r="A8116" t="str">
        <f>HYPERLINK("https://www.773grp.com/globalSearch/LM5576MH-NOPB/page-1", "LM5576MH-NOPB")</f>
        <v>LM5576MH-NOPB</v>
      </c>
      <c r="B8116" s="3" t="str">
        <f>HYPERLINK("https://www.773grp.com/manufacturer/national-semiconductor?pageNo=75", "National Semiconductor")</f>
        <v>National Semiconductor</v>
      </c>
      <c r="C8116" s="6">
        <v>519</v>
      </c>
      <c r="D8116" s="7">
        <v>8.7799999999999994</v>
      </c>
      <c r="E8116" t="s">
        <v>7</v>
      </c>
    </row>
    <row r="8117" spans="1:5" x14ac:dyDescent="0.25">
      <c r="A8117" t="str">
        <f>HYPERLINK("https://www.773grp.com/globalSearch/LMH6738MQ-NOPB/page-1", "LMH6738MQ-NOPB")</f>
        <v>LMH6738MQ-NOPB</v>
      </c>
      <c r="B8117" s="3" t="str">
        <f>HYPERLINK("https://www.773grp.com/manufacturer/national-semiconductor?pageNo=76", "National Semiconductor")</f>
        <v>National Semiconductor</v>
      </c>
      <c r="C8117" s="6">
        <v>349</v>
      </c>
      <c r="D8117" s="7">
        <v>8.7799999999999994</v>
      </c>
      <c r="E8117" t="s">
        <v>13</v>
      </c>
    </row>
    <row r="8118" spans="1:5" x14ac:dyDescent="0.25">
      <c r="A8118" t="str">
        <f>HYPERLINK("https://www.773grp.com/globalSearch/MM4606BJ-883C/page-1", "MM4606BJ-883C")</f>
        <v>MM4606BJ-883C</v>
      </c>
      <c r="B8118" s="3" t="str">
        <f>HYPERLINK("https://www.773grp.com/manufacturer/national-semiconductor?pageNo=77", "National Semiconductor")</f>
        <v>National Semiconductor</v>
      </c>
      <c r="C8118" s="6">
        <v>209</v>
      </c>
      <c r="D8118" s="7">
        <v>8.7799999999999994</v>
      </c>
    </row>
    <row r="8119" spans="1:5" x14ac:dyDescent="0.25">
      <c r="A8119" t="str">
        <f>HYPERLINK("https://www.773grp.com/globalSearch/MM5483N-NOPB/page-1", "MM5483N-NOPB")</f>
        <v>MM5483N-NOPB</v>
      </c>
      <c r="B8119" s="3" t="str">
        <f>HYPERLINK("https://www.773grp.com/manufacturer/national-semiconductor?pageNo=78", "National Semiconductor")</f>
        <v>National Semiconductor</v>
      </c>
      <c r="C8119" s="6">
        <v>2769</v>
      </c>
      <c r="D8119" s="7">
        <v>8.7799999999999994</v>
      </c>
      <c r="E8119" t="s">
        <v>10</v>
      </c>
    </row>
    <row r="8120" spans="1:5" x14ac:dyDescent="0.25">
      <c r="A8120" t="str">
        <f>HYPERLINK("https://www.773grp.com/globalSearch/DS90CR218AMTD-NOPB/page-1", "DS90CR218AMTD-NOPB")</f>
        <v>DS90CR218AMTD-NOPB</v>
      </c>
      <c r="B8120" s="3" t="str">
        <f>HYPERLINK("https://www.773grp.com/manufacturer/national-semiconductor?pageNo=79", "National Semiconductor")</f>
        <v>National Semiconductor</v>
      </c>
      <c r="C8120" s="6">
        <v>82</v>
      </c>
      <c r="D8120" s="7">
        <v>8.7799999999999994</v>
      </c>
      <c r="E8120" t="s">
        <v>21</v>
      </c>
    </row>
    <row r="8121" spans="1:5" x14ac:dyDescent="0.25">
      <c r="A8121" t="str">
        <f>HYPERLINK("https://www.773grp.com/globalSearch/LM5576MH-NOPB/page-1", "LM5576MH-NOPB")</f>
        <v>LM5576MH-NOPB</v>
      </c>
      <c r="B8121" s="3" t="str">
        <f>HYPERLINK("https://www.773grp.com/manufacturer/national-semiconductor?pageNo=80", "National Semiconductor")</f>
        <v>National Semiconductor</v>
      </c>
      <c r="C8121" s="6">
        <v>584</v>
      </c>
      <c r="D8121" s="7">
        <v>8.7799999999999994</v>
      </c>
      <c r="E8121" t="s">
        <v>7</v>
      </c>
    </row>
    <row r="8122" spans="1:5" x14ac:dyDescent="0.25">
      <c r="A8122" t="str">
        <f>HYPERLINK("https://www.773grp.com/globalSearch/LMH6738MQ-NOPB/page-1", "LMH6738MQ-NOPB")</f>
        <v>LMH6738MQ-NOPB</v>
      </c>
      <c r="B8122" s="3" t="str">
        <f>HYPERLINK("https://www.773grp.com/manufacturer/national-semiconductor?pageNo=81", "National Semiconductor")</f>
        <v>National Semiconductor</v>
      </c>
      <c r="C8122" s="6">
        <v>1689</v>
      </c>
      <c r="D8122" s="7">
        <v>8.7799999999999994</v>
      </c>
      <c r="E8122" t="s">
        <v>13</v>
      </c>
    </row>
    <row r="8123" spans="1:5" x14ac:dyDescent="0.25">
      <c r="A8123" t="str">
        <f>HYPERLINK("https://www.773grp.com/globalSearch/54LS161LM/page-1", "54LS161LM")</f>
        <v>54LS161LM</v>
      </c>
      <c r="B8123" s="3" t="str">
        <f>HYPERLINK("https://www.773grp.com/manufacturer/national-semiconductor?pageNo=82", "National Semiconductor")</f>
        <v>National Semiconductor</v>
      </c>
      <c r="C8123" s="6">
        <v>107</v>
      </c>
      <c r="D8123" s="7">
        <v>8.81</v>
      </c>
    </row>
    <row r="8124" spans="1:5" x14ac:dyDescent="0.25">
      <c r="A8124" t="str">
        <f>HYPERLINK("https://www.773grp.com/globalSearch/DS90C365AMT-NOPB/page-1", "DS90C365AMT-NOPB")</f>
        <v>DS90C365AMT-NOPB</v>
      </c>
      <c r="B8124" s="3" t="str">
        <f>HYPERLINK("https://www.773grp.com/manufacturer/national-semiconductor?pageNo=83", "National Semiconductor")</f>
        <v>National Semiconductor</v>
      </c>
      <c r="C8124" s="6">
        <v>545</v>
      </c>
      <c r="D8124" s="7">
        <v>8.81</v>
      </c>
      <c r="E8124" t="s">
        <v>21</v>
      </c>
    </row>
    <row r="8125" spans="1:5" x14ac:dyDescent="0.25">
      <c r="A8125" t="str">
        <f>HYPERLINK("https://www.773grp.com/globalSearch/DS90CF364AMTD-NOPB/page-1", "DS90CF364AMTD-NOPB")</f>
        <v>DS90CF364AMTD-NOPB</v>
      </c>
      <c r="B8125" s="3" t="str">
        <f>HYPERLINK("https://www.773grp.com/manufacturer/national-semiconductor?pageNo=84", "National Semiconductor")</f>
        <v>National Semiconductor</v>
      </c>
      <c r="C8125" s="6">
        <v>722</v>
      </c>
      <c r="D8125" s="7">
        <v>8.81</v>
      </c>
      <c r="E8125" t="s">
        <v>21</v>
      </c>
    </row>
    <row r="8126" spans="1:5" x14ac:dyDescent="0.25">
      <c r="A8126" t="str">
        <f>HYPERLINK("https://www.773grp.com/globalSearch/LM2678LD-12/page-1", "LM2678LD-12")</f>
        <v>LM2678LD-12</v>
      </c>
      <c r="B8126" s="3" t="str">
        <f>HYPERLINK("https://www.773grp.com/manufacturer/national-semiconductor?pageNo=85", "National Semiconductor")</f>
        <v>National Semiconductor</v>
      </c>
      <c r="C8126" s="6">
        <v>750</v>
      </c>
      <c r="D8126" s="7">
        <v>8.81</v>
      </c>
      <c r="E8126" t="s">
        <v>7</v>
      </c>
    </row>
    <row r="8127" spans="1:5" x14ac:dyDescent="0.25">
      <c r="A8127" t="str">
        <f>HYPERLINK("https://www.773grp.com/globalSearch/LM2678LD-3.3/page-1", "LM2678LD-3.3")</f>
        <v>LM2678LD-3.3</v>
      </c>
      <c r="B8127" s="3" t="str">
        <f>HYPERLINK("https://www.773grp.com/manufacturer/national-semiconductor?pageNo=86", "National Semiconductor")</f>
        <v>National Semiconductor</v>
      </c>
      <c r="C8127" s="6">
        <v>1000</v>
      </c>
      <c r="D8127" s="7">
        <v>8.81</v>
      </c>
      <c r="E8127" t="s">
        <v>7</v>
      </c>
    </row>
    <row r="8128" spans="1:5" x14ac:dyDescent="0.25">
      <c r="A8128" t="str">
        <f>HYPERLINK("https://www.773grp.com/globalSearch/P83848IVV/page-1", "P83848IVV")</f>
        <v>P83848IVV</v>
      </c>
      <c r="B8128" s="3" t="str">
        <f>HYPERLINK("https://www.773grp.com/manufacturer/national-semiconductor?pageNo=87", "National Semiconductor")</f>
        <v>National Semiconductor</v>
      </c>
      <c r="C8128" s="6">
        <v>1000</v>
      </c>
      <c r="D8128" s="7">
        <v>8.81</v>
      </c>
    </row>
    <row r="8129" spans="1:5" x14ac:dyDescent="0.25">
      <c r="A8129" t="str">
        <f>HYPERLINK("https://www.773grp.com/globalSearch/BQ4845YS-A4N/page-1", "BQ4845YS-A4N")</f>
        <v>BQ4845YS-A4N</v>
      </c>
      <c r="B8129" s="3" t="str">
        <f>HYPERLINK("https://www.773grp.com/manufacturer/national-semiconductor?pageNo=88", "National Semiconductor")</f>
        <v>National Semiconductor</v>
      </c>
      <c r="C8129" s="6">
        <v>320</v>
      </c>
      <c r="D8129" s="7">
        <v>8.81</v>
      </c>
    </row>
    <row r="8130" spans="1:5" x14ac:dyDescent="0.25">
      <c r="A8130" t="str">
        <f>HYPERLINK("https://www.773grp.com/globalSearch/DP83848EVV-NOPB/page-1", "DP83848EVV-NOPB")</f>
        <v>DP83848EVV-NOPB</v>
      </c>
      <c r="B8130" s="3" t="str">
        <f>HYPERLINK("https://www.773grp.com/manufacturer/national-semiconductor?pageNo=89", "National Semiconductor")</f>
        <v>National Semiconductor</v>
      </c>
      <c r="C8130" s="6">
        <v>6822</v>
      </c>
      <c r="D8130" s="7">
        <v>8.81</v>
      </c>
    </row>
    <row r="8131" spans="1:5" x14ac:dyDescent="0.25">
      <c r="A8131" t="str">
        <f>HYPERLINK("https://www.773grp.com/globalSearch/DS90C365AMT-NOPB/page-1", "DS90C365AMT-NOPB")</f>
        <v>DS90C365AMT-NOPB</v>
      </c>
      <c r="B8131" s="3" t="str">
        <f>HYPERLINK("https://www.773grp.com/manufacturer/national-semiconductor?pageNo=90", "National Semiconductor")</f>
        <v>National Semiconductor</v>
      </c>
      <c r="C8131" s="6">
        <v>212</v>
      </c>
      <c r="D8131" s="7">
        <v>8.81</v>
      </c>
      <c r="E8131" t="s">
        <v>21</v>
      </c>
    </row>
    <row r="8132" spans="1:5" x14ac:dyDescent="0.25">
      <c r="A8132" t="str">
        <f>HYPERLINK("https://www.773grp.com/globalSearch/DS90CF364AMTD-NOPB/page-1", "DS90CF364AMTD-NOPB")</f>
        <v>DS90CF364AMTD-NOPB</v>
      </c>
      <c r="B8132" s="3" t="str">
        <f>HYPERLINK("https://www.773grp.com/manufacturer/national-semiconductor?pageNo=91", "National Semiconductor")</f>
        <v>National Semiconductor</v>
      </c>
      <c r="C8132" s="6">
        <v>229</v>
      </c>
      <c r="D8132" s="7">
        <v>8.81</v>
      </c>
      <c r="E8132" t="s">
        <v>21</v>
      </c>
    </row>
    <row r="8133" spans="1:5" x14ac:dyDescent="0.25">
      <c r="A8133" t="str">
        <f>HYPERLINK("https://www.773grp.com/globalSearch/DS90CF364AMTD-NOPB/page-1", "DS90CF364AMTD-NOPB")</f>
        <v>DS90CF364AMTD-NOPB</v>
      </c>
      <c r="B8133" s="3" t="str">
        <f>HYPERLINK("https://www.773grp.com/manufacturer/national-semiconductor?pageNo=92", "National Semiconductor")</f>
        <v>National Semiconductor</v>
      </c>
      <c r="C8133" s="6">
        <v>912</v>
      </c>
      <c r="D8133" s="7">
        <v>8.81</v>
      </c>
      <c r="E8133" t="s">
        <v>21</v>
      </c>
    </row>
    <row r="8134" spans="1:5" x14ac:dyDescent="0.25">
      <c r="A8134" t="str">
        <f>HYPERLINK("https://www.773grp.com/globalSearch/54F352FMQB/page-1", "54F352FMQB")</f>
        <v>54F352FMQB</v>
      </c>
      <c r="B8134" s="3" t="str">
        <f>HYPERLINK("https://www.773grp.com/manufacturer/national-semiconductor?pageNo=93", "National Semiconductor")</f>
        <v>National Semiconductor</v>
      </c>
      <c r="C8134" s="6">
        <v>501</v>
      </c>
      <c r="D8134" s="7">
        <v>8.83</v>
      </c>
      <c r="E8134" t="s">
        <v>20</v>
      </c>
    </row>
    <row r="8135" spans="1:5" x14ac:dyDescent="0.25">
      <c r="A8135" t="str">
        <f>HYPERLINK("https://www.773grp.com/globalSearch/CLC001AJE/page-1", "CLC001AJE")</f>
        <v>CLC001AJE</v>
      </c>
      <c r="B8135" s="3" t="str">
        <f>HYPERLINK("https://www.773grp.com/manufacturer/national-semiconductor?pageNo=94", "National Semiconductor")</f>
        <v>National Semiconductor</v>
      </c>
      <c r="C8135" s="6">
        <v>3269</v>
      </c>
      <c r="D8135" s="7">
        <v>8.83</v>
      </c>
      <c r="E8135" t="s">
        <v>21</v>
      </c>
    </row>
    <row r="8136" spans="1:5" x14ac:dyDescent="0.25">
      <c r="A8136" t="str">
        <f>HYPERLINK("https://www.773grp.com/globalSearch/DS90LV004TVS-NOPB/page-1", "DS90LV004TVS-NOPB")</f>
        <v>DS90LV004TVS-NOPB</v>
      </c>
      <c r="B8136" s="3" t="str">
        <f>HYPERLINK("https://www.773grp.com/manufacturer/national-semiconductor?pageNo=95", "National Semiconductor")</f>
        <v>National Semiconductor</v>
      </c>
      <c r="C8136" s="6">
        <v>983</v>
      </c>
      <c r="D8136" s="7">
        <v>8.83</v>
      </c>
    </row>
    <row r="8137" spans="1:5" x14ac:dyDescent="0.25">
      <c r="A8137" t="str">
        <f>HYPERLINK("https://www.773grp.com/globalSearch/JM38510-33002BCA/page-1", "JM38510-33002BCA")</f>
        <v>JM38510-33002BCA</v>
      </c>
      <c r="B8137" s="3" t="str">
        <f>HYPERLINK("https://www.773grp.com/manufacturer/national-semiconductor?pageNo=96", "National Semiconductor")</f>
        <v>National Semiconductor</v>
      </c>
      <c r="C8137" s="6">
        <v>39</v>
      </c>
      <c r="D8137" s="7">
        <v>8.83</v>
      </c>
      <c r="E8137" t="s">
        <v>31</v>
      </c>
    </row>
    <row r="8138" spans="1:5" x14ac:dyDescent="0.25">
      <c r="A8138" t="str">
        <f>HYPERLINK("https://www.773grp.com/globalSearch/LM2597HVM-5.0/page-1", "LM2597HVM-5.0")</f>
        <v>LM2597HVM-5.0</v>
      </c>
      <c r="B8138" s="3" t="str">
        <f>HYPERLINK("https://www.773grp.com/manufacturer/national-semiconductor?pageNo=97", "National Semiconductor")</f>
        <v>National Semiconductor</v>
      </c>
      <c r="C8138" s="6">
        <v>260</v>
      </c>
      <c r="D8138" s="7">
        <v>8.83</v>
      </c>
      <c r="E8138" t="s">
        <v>7</v>
      </c>
    </row>
    <row r="8139" spans="1:5" x14ac:dyDescent="0.25">
      <c r="A8139" t="str">
        <f>HYPERLINK("https://www.773grp.com/globalSearch/LM2597HVM-ADJ/page-1", "LM2597HVM-ADJ")</f>
        <v>LM2597HVM-ADJ</v>
      </c>
      <c r="B8139" s="3" t="str">
        <f>HYPERLINK("https://www.773grp.com/manufacturer/national-semiconductor?pageNo=98", "National Semiconductor")</f>
        <v>National Semiconductor</v>
      </c>
      <c r="C8139" s="6">
        <v>99</v>
      </c>
      <c r="D8139" s="7">
        <v>8.83</v>
      </c>
      <c r="E8139" t="s">
        <v>7</v>
      </c>
    </row>
    <row r="8140" spans="1:5" x14ac:dyDescent="0.25">
      <c r="A8140" t="str">
        <f>HYPERLINK("https://www.773grp.com/globalSearch/LMH6553MRE/page-1", "LMH6553MRE")</f>
        <v>LMH6553MRE</v>
      </c>
      <c r="B8140" s="3" t="str">
        <f>HYPERLINK("https://www.773grp.com/manufacturer/national-semiconductor?pageNo=99", "National Semiconductor")</f>
        <v>National Semiconductor</v>
      </c>
      <c r="C8140" s="6">
        <v>396</v>
      </c>
      <c r="D8140" s="7">
        <v>8.83</v>
      </c>
      <c r="E8140" t="s">
        <v>18</v>
      </c>
    </row>
    <row r="8141" spans="1:5" x14ac:dyDescent="0.25">
      <c r="A8141" t="str">
        <f>HYPERLINK("https://www.773grp.com/globalSearch/LMH6553SD-NOPB/page-1", "LMH6553SD-NOPB")</f>
        <v>LMH6553SD-NOPB</v>
      </c>
      <c r="B8141" s="3" t="str">
        <f>HYPERLINK("https://www.773grp.com/manufacturer/national-semiconductor?pageNo=100", "National Semiconductor")</f>
        <v>National Semiconductor</v>
      </c>
      <c r="C8141" s="6">
        <v>488</v>
      </c>
      <c r="D8141" s="7">
        <v>8.83</v>
      </c>
    </row>
    <row r="8142" spans="1:5" x14ac:dyDescent="0.25">
      <c r="A8142" t="str">
        <f>HYPERLINK("https://www.773grp.com/globalSearch/LMH6553SDE/page-1", "LMH6553SDE")</f>
        <v>LMH6553SDE</v>
      </c>
      <c r="B8142" s="3" t="str">
        <f>HYPERLINK("https://www.773grp.com/manufacturer/national-semiconductor?pageNo=101", "National Semiconductor")</f>
        <v>National Semiconductor</v>
      </c>
      <c r="C8142" s="6">
        <v>250</v>
      </c>
      <c r="D8142" s="7">
        <v>8.83</v>
      </c>
      <c r="E8142" t="s">
        <v>18</v>
      </c>
    </row>
    <row r="8143" spans="1:5" x14ac:dyDescent="0.25">
      <c r="A8143" t="str">
        <f>HYPERLINK("https://www.773grp.com/globalSearch/LP3856ES-1.8/page-1", "LP3856ES-1.8")</f>
        <v>LP3856ES-1.8</v>
      </c>
      <c r="B8143" s="3" t="str">
        <f>HYPERLINK("https://www.773grp.com/manufacturer/national-semiconductor?pageNo=102", "National Semiconductor")</f>
        <v>National Semiconductor</v>
      </c>
      <c r="C8143" s="6">
        <v>115</v>
      </c>
      <c r="D8143" s="7">
        <v>8.83</v>
      </c>
      <c r="E8143" t="s">
        <v>19</v>
      </c>
    </row>
    <row r="8144" spans="1:5" x14ac:dyDescent="0.25">
      <c r="A8144" t="str">
        <f>HYPERLINK("https://www.773grp.com/globalSearch/LP3856ES-5.0/page-1", "LP3856ES-5.0")</f>
        <v>LP3856ES-5.0</v>
      </c>
      <c r="B8144" s="3" t="str">
        <f>HYPERLINK("https://www.773grp.com/manufacturer/national-semiconductor?pageNo=103", "National Semiconductor")</f>
        <v>National Semiconductor</v>
      </c>
      <c r="C8144" s="6">
        <v>66</v>
      </c>
      <c r="D8144" s="7">
        <v>8.83</v>
      </c>
      <c r="E8144" t="s">
        <v>19</v>
      </c>
    </row>
    <row r="8145" spans="1:5" x14ac:dyDescent="0.25">
      <c r="A8145" t="str">
        <f>HYPERLINK("https://www.773grp.com/globalSearch/CLC001AJE/page-1", "CLC001AJE")</f>
        <v>CLC001AJE</v>
      </c>
      <c r="B8145" s="3" t="str">
        <f>HYPERLINK("https://www.773grp.com/manufacturer/national-semiconductor?pageNo=104", "National Semiconductor")</f>
        <v>National Semiconductor</v>
      </c>
      <c r="C8145" s="6">
        <v>5946</v>
      </c>
      <c r="D8145" s="7">
        <v>8.83</v>
      </c>
      <c r="E8145" t="s">
        <v>21</v>
      </c>
    </row>
    <row r="8146" spans="1:5" x14ac:dyDescent="0.25">
      <c r="A8146" t="str">
        <f>HYPERLINK("https://www.773grp.com/globalSearch/DS90LV004TVS-NOPB/page-1", "DS90LV004TVS-NOPB")</f>
        <v>DS90LV004TVS-NOPB</v>
      </c>
      <c r="B8146" s="3" t="str">
        <f>HYPERLINK("https://www.773grp.com/manufacturer/national-semiconductor?pageNo=105", "National Semiconductor")</f>
        <v>National Semiconductor</v>
      </c>
      <c r="C8146" s="6">
        <v>489</v>
      </c>
      <c r="D8146" s="7">
        <v>8.83</v>
      </c>
    </row>
    <row r="8147" spans="1:5" x14ac:dyDescent="0.25">
      <c r="A8147" t="str">
        <f>HYPERLINK("https://www.773grp.com/globalSearch/LM2597HVM-5.0/page-1", "LM2597HVM-5.0")</f>
        <v>LM2597HVM-5.0</v>
      </c>
      <c r="B8147" s="3" t="str">
        <f>HYPERLINK("https://www.773grp.com/manufacturer/national-semiconductor?pageNo=106", "National Semiconductor")</f>
        <v>National Semiconductor</v>
      </c>
      <c r="C8147" s="6">
        <v>3917</v>
      </c>
      <c r="D8147" s="7">
        <v>8.83</v>
      </c>
      <c r="E8147" t="s">
        <v>7</v>
      </c>
    </row>
    <row r="8148" spans="1:5" x14ac:dyDescent="0.25">
      <c r="A8148" t="str">
        <f>HYPERLINK("https://www.773grp.com/globalSearch/LMH6553MRX-NOPB/page-1", "LMH6553MRX-NOPB")</f>
        <v>LMH6553MRX-NOPB</v>
      </c>
      <c r="B8148" s="3" t="str">
        <f>HYPERLINK("https://www.773grp.com/manufacturer/national-semiconductor?pageNo=107", "National Semiconductor")</f>
        <v>National Semiconductor</v>
      </c>
      <c r="C8148" s="6">
        <v>5000</v>
      </c>
      <c r="D8148" s="7">
        <v>8.83</v>
      </c>
    </row>
    <row r="8149" spans="1:5" x14ac:dyDescent="0.25">
      <c r="A8149" t="str">
        <f>HYPERLINK("https://www.773grp.com/globalSearch/LP3856ES-3.3/page-1", "LP3856ES-3.3")</f>
        <v>LP3856ES-3.3</v>
      </c>
      <c r="B8149" s="3" t="str">
        <f>HYPERLINK("https://www.773grp.com/manufacturer/national-semiconductor?pageNo=108", "National Semiconductor")</f>
        <v>National Semiconductor</v>
      </c>
      <c r="C8149" s="6">
        <v>45</v>
      </c>
      <c r="D8149" s="7">
        <v>8.83</v>
      </c>
    </row>
    <row r="8150" spans="1:5" x14ac:dyDescent="0.25">
      <c r="A8150" t="str">
        <f>HYPERLINK("https://www.773grp.com/globalSearch/5475FMQB/page-1", "5475FMQB")</f>
        <v>5475FMQB</v>
      </c>
      <c r="B8150" s="3" t="str">
        <f>HYPERLINK("https://www.773grp.com/manufacturer/national-semiconductor?pageNo=109", "National Semiconductor")</f>
        <v>National Semiconductor</v>
      </c>
      <c r="C8150" s="6">
        <v>475</v>
      </c>
      <c r="D8150" s="7">
        <v>8.86</v>
      </c>
      <c r="E8150" t="s">
        <v>35</v>
      </c>
    </row>
    <row r="8151" spans="1:5" x14ac:dyDescent="0.25">
      <c r="A8151" t="str">
        <f>HYPERLINK("https://www.773grp.com/globalSearch/74F160ADC/page-1", "74F160ADC")</f>
        <v>74F160ADC</v>
      </c>
      <c r="B8151" s="3" t="str">
        <f>HYPERLINK("https://www.773grp.com/manufacturer/national-semiconductor?pageNo=110", "National Semiconductor")</f>
        <v>National Semiconductor</v>
      </c>
      <c r="C8151" s="6">
        <v>8520</v>
      </c>
      <c r="D8151" s="7">
        <v>8.86</v>
      </c>
      <c r="E8151" t="s">
        <v>26</v>
      </c>
    </row>
    <row r="8152" spans="1:5" x14ac:dyDescent="0.25">
      <c r="A8152" t="str">
        <f>HYPERLINK("https://www.773grp.com/globalSearch/74S165PC/page-1", "74S165PC")</f>
        <v>74S165PC</v>
      </c>
      <c r="B8152" s="3" t="str">
        <f>HYPERLINK("https://www.773grp.com/manufacturer/national-semiconductor?pageNo=111", "National Semiconductor")</f>
        <v>National Semiconductor</v>
      </c>
      <c r="C8152" s="6">
        <v>2000</v>
      </c>
      <c r="D8152" s="7">
        <v>8.86</v>
      </c>
    </row>
    <row r="8153" spans="1:5" x14ac:dyDescent="0.25">
      <c r="A8153" t="str">
        <f>HYPERLINK("https://www.773grp.com/globalSearch/DM54LS175W-883/page-1", "DM54LS175W-883")</f>
        <v>DM54LS175W-883</v>
      </c>
      <c r="B8153" s="3" t="str">
        <f>HYPERLINK("https://www.773grp.com/manufacturer/national-semiconductor?pageNo=112", "National Semiconductor")</f>
        <v>National Semiconductor</v>
      </c>
      <c r="C8153" s="6">
        <v>208</v>
      </c>
      <c r="D8153" s="7">
        <v>8.86</v>
      </c>
      <c r="E8153" t="s">
        <v>35</v>
      </c>
    </row>
    <row r="8154" spans="1:5" x14ac:dyDescent="0.25">
      <c r="A8154" t="str">
        <f>HYPERLINK("https://www.773grp.com/globalSearch/DM54LS193W-883/page-1", "DM54LS193W-883")</f>
        <v>DM54LS193W-883</v>
      </c>
      <c r="B8154" s="3" t="str">
        <f>HYPERLINK("https://www.773grp.com/manufacturer/national-semiconductor?pageNo=113", "National Semiconductor")</f>
        <v>National Semiconductor</v>
      </c>
      <c r="C8154" s="6">
        <v>614</v>
      </c>
      <c r="D8154" s="7">
        <v>8.86</v>
      </c>
      <c r="E8154" t="s">
        <v>26</v>
      </c>
    </row>
    <row r="8155" spans="1:5" x14ac:dyDescent="0.25">
      <c r="A8155" t="str">
        <f>HYPERLINK("https://www.773grp.com/globalSearch/DM7557J-883/page-1", "DM7557J-883")</f>
        <v>DM7557J-883</v>
      </c>
      <c r="B8155" s="3" t="str">
        <f>HYPERLINK("https://www.773grp.com/manufacturer/national-semiconductor?pageNo=114", "National Semiconductor")</f>
        <v>National Semiconductor</v>
      </c>
      <c r="C8155" s="6">
        <v>512</v>
      </c>
      <c r="D8155" s="7">
        <v>8.86</v>
      </c>
    </row>
    <row r="8156" spans="1:5" x14ac:dyDescent="0.25">
      <c r="A8156" t="str">
        <f>HYPERLINK("https://www.773grp.com/globalSearch/GAL20V8QS-15QVC/page-1", "GAL20V8QS-15QVC")</f>
        <v>GAL20V8QS-15QVC</v>
      </c>
      <c r="B8156" s="3" t="str">
        <f>HYPERLINK("https://www.773grp.com/manufacturer/national-semiconductor?pageNo=115", "National Semiconductor")</f>
        <v>National Semiconductor</v>
      </c>
      <c r="C8156" s="6">
        <v>5100</v>
      </c>
      <c r="D8156" s="7">
        <v>8.86</v>
      </c>
      <c r="E8156" t="s">
        <v>51</v>
      </c>
    </row>
    <row r="8157" spans="1:5" x14ac:dyDescent="0.25">
      <c r="A8157" t="str">
        <f>HYPERLINK("https://www.773grp.com/globalSearch/LM5576QMHX/page-1", "LM5576QMHX")</f>
        <v>LM5576QMHX</v>
      </c>
      <c r="B8157" s="3" t="str">
        <f>HYPERLINK("https://www.773grp.com/manufacturer/national-semiconductor?pageNo=116", "National Semiconductor")</f>
        <v>National Semiconductor</v>
      </c>
      <c r="C8157" s="6">
        <v>2500</v>
      </c>
      <c r="D8157" s="7">
        <v>8.86</v>
      </c>
      <c r="E8157" t="s">
        <v>7</v>
      </c>
    </row>
    <row r="8158" spans="1:5" x14ac:dyDescent="0.25">
      <c r="A8158" t="str">
        <f>HYPERLINK("https://www.773grp.com/globalSearch/DP802512V/page-1", "DP802512V")</f>
        <v>DP802512V</v>
      </c>
      <c r="B8158" s="3" t="str">
        <f>HYPERLINK("https://www.773grp.com/manufacturer/national-semiconductor?pageNo=117", "National Semiconductor")</f>
        <v>National Semiconductor</v>
      </c>
      <c r="C8158" s="6">
        <v>600</v>
      </c>
      <c r="D8158" s="7">
        <v>8.89</v>
      </c>
    </row>
    <row r="8159" spans="1:5" x14ac:dyDescent="0.25">
      <c r="A8159" t="str">
        <f>HYPERLINK("https://www.773grp.com/globalSearch/LM22677TJE-5.0/page-1", "LM22677TJE-5.0")</f>
        <v>LM22677TJE-5.0</v>
      </c>
      <c r="B8159" s="3" t="str">
        <f>HYPERLINK("https://www.773grp.com/manufacturer/national-semiconductor?pageNo=118", "National Semiconductor")</f>
        <v>National Semiconductor</v>
      </c>
      <c r="C8159" s="6">
        <v>250</v>
      </c>
      <c r="D8159" s="7">
        <v>8.89</v>
      </c>
      <c r="E8159" t="s">
        <v>7</v>
      </c>
    </row>
    <row r="8160" spans="1:5" x14ac:dyDescent="0.25">
      <c r="A8160" t="str">
        <f>HYPERLINK("https://www.773grp.com/globalSearch/LM22679TJ-5.0/page-1", "LM22679TJ-5.0")</f>
        <v>LM22679TJ-5.0</v>
      </c>
      <c r="B8160" s="3" t="str">
        <f>HYPERLINK("https://www.773grp.com/manufacturer/national-semiconductor?pageNo=119", "National Semiconductor")</f>
        <v>National Semiconductor</v>
      </c>
      <c r="C8160" s="6">
        <v>1000</v>
      </c>
      <c r="D8160" s="7">
        <v>8.89</v>
      </c>
      <c r="E8160" t="s">
        <v>7</v>
      </c>
    </row>
    <row r="8161" spans="1:5" x14ac:dyDescent="0.25">
      <c r="A8161" t="str">
        <f>HYPERLINK("https://www.773grp.com/globalSearch/LM6181AIM-8/page-1", "LM6181AIM-8")</f>
        <v>LM6181AIM-8</v>
      </c>
      <c r="B8161" s="3" t="str">
        <f>HYPERLINK("https://www.773grp.com/manufacturer/national-semiconductor?pageNo=120", "National Semiconductor")</f>
        <v>National Semiconductor</v>
      </c>
      <c r="C8161" s="6">
        <v>57</v>
      </c>
      <c r="D8161" s="7">
        <v>8.89</v>
      </c>
      <c r="E8161" t="s">
        <v>18</v>
      </c>
    </row>
    <row r="8162" spans="1:5" x14ac:dyDescent="0.25">
      <c r="A8162" t="str">
        <f>HYPERLINK("https://www.773grp.com/globalSearch/TP3057WM/page-1", "TP3057WM")</f>
        <v>TP3057WM</v>
      </c>
      <c r="B8162" s="3" t="str">
        <f>HYPERLINK("https://www.773grp.com/manufacturer/national-semiconductor?pageNo=121", "National Semiconductor")</f>
        <v>National Semiconductor</v>
      </c>
      <c r="C8162" s="6">
        <v>90</v>
      </c>
      <c r="D8162" s="7">
        <v>8.89</v>
      </c>
      <c r="E8162" t="s">
        <v>66</v>
      </c>
    </row>
    <row r="8163" spans="1:5" x14ac:dyDescent="0.25">
      <c r="A8163" t="str">
        <f>HYPERLINK("https://www.773grp.com/globalSearch/DS08MB200TSQ-NOPB/page-1", "DS08MB200TSQ-NOPB")</f>
        <v>DS08MB200TSQ-NOPB</v>
      </c>
      <c r="B8163" s="3" t="str">
        <f>HYPERLINK("https://www.773grp.com/manufacturer/national-semiconductor?pageNo=122", "National Semiconductor")</f>
        <v>National Semiconductor</v>
      </c>
      <c r="C8163" s="6">
        <v>224</v>
      </c>
      <c r="D8163" s="7">
        <v>8.89</v>
      </c>
    </row>
    <row r="8164" spans="1:5" x14ac:dyDescent="0.25">
      <c r="A8164" t="str">
        <f>HYPERLINK("https://www.773grp.com/globalSearch/100112DC/page-1", "100112DC")</f>
        <v>100112DC</v>
      </c>
      <c r="B8164" s="3" t="str">
        <f>HYPERLINK("https://www.773grp.com/manufacturer/national-semiconductor?pageNo=123", "National Semiconductor")</f>
        <v>National Semiconductor</v>
      </c>
      <c r="C8164" s="6">
        <v>1625</v>
      </c>
      <c r="D8164" s="7">
        <v>8.91</v>
      </c>
      <c r="E8164" t="s">
        <v>31</v>
      </c>
    </row>
    <row r="8165" spans="1:5" x14ac:dyDescent="0.25">
      <c r="A8165" t="str">
        <f>HYPERLINK("https://www.773grp.com/globalSearch/JM38510-34201BEA/page-1", "JM38510-34201BEA")</f>
        <v>JM38510-34201BEA</v>
      </c>
      <c r="B8165" s="3" t="str">
        <f>HYPERLINK("https://www.773grp.com/manufacturer/national-semiconductor?pageNo=124", "National Semiconductor")</f>
        <v>National Semiconductor</v>
      </c>
      <c r="C8165" s="6">
        <v>192</v>
      </c>
      <c r="D8165" s="7">
        <v>8.91</v>
      </c>
      <c r="E8165" t="s">
        <v>43</v>
      </c>
    </row>
    <row r="8166" spans="1:5" x14ac:dyDescent="0.25">
      <c r="A8166" t="str">
        <f>HYPERLINK("https://www.773grp.com/globalSearch/LM2412ATA/page-1", "LM2412ATA")</f>
        <v>LM2412ATA</v>
      </c>
      <c r="B8166" s="3" t="str">
        <f>HYPERLINK("https://www.773grp.com/manufacturer/national-semiconductor?pageNo=125", "National Semiconductor")</f>
        <v>National Semiconductor</v>
      </c>
      <c r="C8166" s="6">
        <v>3589</v>
      </c>
      <c r="D8166" s="7">
        <v>8.91</v>
      </c>
      <c r="E8166" t="s">
        <v>18</v>
      </c>
    </row>
    <row r="8167" spans="1:5" x14ac:dyDescent="0.25">
      <c r="A8167" t="str">
        <f>HYPERLINK("https://www.773grp.com/globalSearch/LM4549BVHX-NOPB/page-1", "LM4549BVHX-NOPB")</f>
        <v>LM4549BVHX-NOPB</v>
      </c>
      <c r="B8167" s="3" t="str">
        <f>HYPERLINK("https://www.773grp.com/manufacturer/national-semiconductor?pageNo=126", "National Semiconductor")</f>
        <v>National Semiconductor</v>
      </c>
      <c r="C8167" s="6">
        <v>13000</v>
      </c>
      <c r="D8167" s="7">
        <v>8.91</v>
      </c>
      <c r="E8167" t="s">
        <v>23</v>
      </c>
    </row>
    <row r="8168" spans="1:5" x14ac:dyDescent="0.25">
      <c r="A8168" t="str">
        <f>HYPERLINK("https://www.773grp.com/globalSearch/LM4765T-NOPB/page-1", "LM4765T-NOPB")</f>
        <v>LM4765T-NOPB</v>
      </c>
      <c r="B8168" s="3" t="str">
        <f>HYPERLINK("https://www.773grp.com/manufacturer/national-semiconductor?pageNo=127", "National Semiconductor")</f>
        <v>National Semiconductor</v>
      </c>
      <c r="C8168" s="6">
        <v>7399</v>
      </c>
      <c r="D8168" s="7">
        <v>8.91</v>
      </c>
      <c r="E8168" t="s">
        <v>18</v>
      </c>
    </row>
    <row r="8169" spans="1:5" x14ac:dyDescent="0.25">
      <c r="A8169" t="str">
        <f>HYPERLINK("https://www.773grp.com/globalSearch/LM9073T/page-1", "LM9073T")</f>
        <v>LM9073T</v>
      </c>
      <c r="B8169" s="3" t="str">
        <f>HYPERLINK("https://www.773grp.com/manufacturer/national-semiconductor?pageNo=128", "National Semiconductor")</f>
        <v>National Semiconductor</v>
      </c>
      <c r="C8169" s="6">
        <v>6420</v>
      </c>
      <c r="D8169" s="7">
        <v>8.91</v>
      </c>
      <c r="E8169" t="s">
        <v>44</v>
      </c>
    </row>
    <row r="8170" spans="1:5" x14ac:dyDescent="0.25">
      <c r="A8170" t="str">
        <f>HYPERLINK("https://www.773grp.com/globalSearch/MM145453V-NOPB/page-1", "MM145453V-NOPB")</f>
        <v>MM145453V-NOPB</v>
      </c>
      <c r="B8170" s="3" t="str">
        <f>HYPERLINK("https://www.773grp.com/manufacturer/national-semiconductor?pageNo=129", "National Semiconductor")</f>
        <v>National Semiconductor</v>
      </c>
      <c r="C8170" s="6">
        <v>200</v>
      </c>
      <c r="D8170" s="7">
        <v>8.91</v>
      </c>
      <c r="E8170" t="s">
        <v>10</v>
      </c>
    </row>
    <row r="8171" spans="1:5" x14ac:dyDescent="0.25">
      <c r="A8171" t="str">
        <f>HYPERLINK("https://www.773grp.com/globalSearch/LM4765T-NOPB/page-1", "LM4765T-NOPB")</f>
        <v>LM4765T-NOPB</v>
      </c>
      <c r="B8171" s="3" t="str">
        <f>HYPERLINK("https://www.773grp.com/manufacturer/national-semiconductor?pageNo=130", "National Semiconductor")</f>
        <v>National Semiconductor</v>
      </c>
      <c r="C8171" s="6">
        <v>260</v>
      </c>
      <c r="D8171" s="7">
        <v>8.91</v>
      </c>
      <c r="E8171" t="s">
        <v>18</v>
      </c>
    </row>
    <row r="8172" spans="1:5" x14ac:dyDescent="0.25">
      <c r="A8172" t="str">
        <f>HYPERLINK("https://www.773grp.com/globalSearch/ADC0808CCV-NOPB/page-1", "ADC0808CCV-NOPB")</f>
        <v>ADC0808CCV-NOPB</v>
      </c>
      <c r="B8172" s="3" t="str">
        <f>HYPERLINK("https://www.773grp.com/manufacturer/national-semiconductor?pageNo=131", "National Semiconductor")</f>
        <v>National Semiconductor</v>
      </c>
      <c r="C8172" s="6">
        <v>1995</v>
      </c>
      <c r="D8172" s="7">
        <v>8.9499999999999993</v>
      </c>
      <c r="E8172" t="s">
        <v>39</v>
      </c>
    </row>
    <row r="8173" spans="1:5" x14ac:dyDescent="0.25">
      <c r="A8173" t="str">
        <f>HYPERLINK("https://www.773grp.com/globalSearch/DS90CP22MT-NOPB/page-1", "DS90CP22MT-NOPB")</f>
        <v>DS90CP22MT-NOPB</v>
      </c>
      <c r="B8173" s="3" t="str">
        <f>HYPERLINK("https://www.773grp.com/manufacturer/national-semiconductor?pageNo=132", "National Semiconductor")</f>
        <v>National Semiconductor</v>
      </c>
      <c r="C8173" s="6">
        <v>655</v>
      </c>
      <c r="D8173" s="7">
        <v>8.9499999999999993</v>
      </c>
      <c r="E8173" t="s">
        <v>56</v>
      </c>
    </row>
    <row r="8174" spans="1:5" x14ac:dyDescent="0.25">
      <c r="A8174" t="str">
        <f>HYPERLINK("https://www.773grp.com/globalSearch/LM2577N-ADJ/page-1", "LM2577N-ADJ")</f>
        <v>LM2577N-ADJ</v>
      </c>
      <c r="B8174" s="3" t="str">
        <f>HYPERLINK("https://www.773grp.com/manufacturer/national-semiconductor?pageNo=133", "National Semiconductor")</f>
        <v>National Semiconductor</v>
      </c>
      <c r="C8174" s="6">
        <v>53</v>
      </c>
      <c r="D8174" s="7">
        <v>8.9499999999999993</v>
      </c>
      <c r="E8174" t="s">
        <v>7</v>
      </c>
    </row>
    <row r="8175" spans="1:5" x14ac:dyDescent="0.25">
      <c r="A8175" t="str">
        <f>HYPERLINK("https://www.773grp.com/globalSearch/LM2577S-12-NOPB/page-1", "LM2577S-12-NOPB")</f>
        <v>LM2577S-12-NOPB</v>
      </c>
      <c r="B8175" s="3" t="str">
        <f>HYPERLINK("https://www.773grp.com/manufacturer/national-semiconductor?pageNo=134", "National Semiconductor")</f>
        <v>National Semiconductor</v>
      </c>
      <c r="C8175" s="6">
        <v>185</v>
      </c>
      <c r="D8175" s="7">
        <v>8.9499999999999993</v>
      </c>
      <c r="E8175" t="s">
        <v>7</v>
      </c>
    </row>
    <row r="8176" spans="1:5" x14ac:dyDescent="0.25">
      <c r="A8176" t="str">
        <f>HYPERLINK("https://www.773grp.com/globalSearch/LM2577S-ADJ-NOPB/page-1", "LM2577S-ADJ-NOPB")</f>
        <v>LM2577S-ADJ-NOPB</v>
      </c>
      <c r="B8176" s="3" t="str">
        <f>HYPERLINK("https://www.773grp.com/manufacturer/national-semiconductor?pageNo=1", "National Semiconductor")</f>
        <v>National Semiconductor</v>
      </c>
      <c r="C8176" s="6">
        <v>172</v>
      </c>
      <c r="D8176" s="7">
        <v>8.9499999999999993</v>
      </c>
      <c r="E8176" t="s">
        <v>7</v>
      </c>
    </row>
    <row r="8177" spans="1:5" x14ac:dyDescent="0.25">
      <c r="A8177" t="str">
        <f>HYPERLINK("https://www.773grp.com/globalSearch/LM2677SX-ADJ/page-1", "LM2677SX-ADJ")</f>
        <v>LM2677SX-ADJ</v>
      </c>
      <c r="B8177" s="3" t="str">
        <f>HYPERLINK("https://www.773grp.com/manufacturer/national-semiconductor?pageNo=2", "National Semiconductor")</f>
        <v>National Semiconductor</v>
      </c>
      <c r="C8177" s="6">
        <v>6500</v>
      </c>
      <c r="D8177" s="7">
        <v>8.9499999999999993</v>
      </c>
      <c r="E8177" t="s">
        <v>7</v>
      </c>
    </row>
    <row r="8178" spans="1:5" x14ac:dyDescent="0.25">
      <c r="A8178" t="str">
        <f>HYPERLINK("https://www.773grp.com/globalSearch/LM2677T-ADJ/page-1", "LM2677T-ADJ")</f>
        <v>LM2677T-ADJ</v>
      </c>
      <c r="B8178" s="3" t="str">
        <f>HYPERLINK("https://www.773grp.com/manufacturer/national-semiconductor?pageNo=3", "National Semiconductor")</f>
        <v>National Semiconductor</v>
      </c>
      <c r="C8178" s="6">
        <v>155</v>
      </c>
      <c r="D8178" s="7">
        <v>8.9499999999999993</v>
      </c>
      <c r="E8178" t="s">
        <v>7</v>
      </c>
    </row>
    <row r="8179" spans="1:5" x14ac:dyDescent="0.25">
      <c r="A8179" t="str">
        <f>HYPERLINK("https://www.773grp.com/globalSearch/LM2679SX-ADJ/page-1", "LM2679SX-ADJ")</f>
        <v>LM2679SX-ADJ</v>
      </c>
      <c r="B8179" s="3" t="str">
        <f>HYPERLINK("https://www.773grp.com/manufacturer/national-semiconductor?pageNo=4", "National Semiconductor")</f>
        <v>National Semiconductor</v>
      </c>
      <c r="C8179" s="6">
        <v>1000</v>
      </c>
      <c r="D8179" s="7">
        <v>8.9499999999999993</v>
      </c>
      <c r="E8179" t="s">
        <v>7</v>
      </c>
    </row>
    <row r="8180" spans="1:5" x14ac:dyDescent="0.25">
      <c r="A8180" t="str">
        <f>HYPERLINK("https://www.773grp.com/globalSearch/LM2679T-5.0/page-1", "LM2679T-5.0")</f>
        <v>LM2679T-5.0</v>
      </c>
      <c r="B8180" s="3" t="str">
        <f>HYPERLINK("https://www.773grp.com/manufacturer/national-semiconductor?pageNo=5", "National Semiconductor")</f>
        <v>National Semiconductor</v>
      </c>
      <c r="C8180" s="6">
        <v>65</v>
      </c>
      <c r="D8180" s="7">
        <v>8.9499999999999993</v>
      </c>
      <c r="E8180" t="s">
        <v>7</v>
      </c>
    </row>
    <row r="8181" spans="1:5" x14ac:dyDescent="0.25">
      <c r="A8181" t="str">
        <f>HYPERLINK("https://www.773grp.com/globalSearch/LM2717MT-NOPB/page-1", "LM2717MT-NOPB")</f>
        <v>LM2717MT-NOPB</v>
      </c>
      <c r="B8181" s="3" t="str">
        <f>HYPERLINK("https://www.773grp.com/manufacturer/national-semiconductor?pageNo=6", "National Semiconductor")</f>
        <v>National Semiconductor</v>
      </c>
      <c r="C8181" s="6">
        <v>103</v>
      </c>
      <c r="D8181" s="7">
        <v>8.9499999999999993</v>
      </c>
      <c r="E8181" t="s">
        <v>7</v>
      </c>
    </row>
    <row r="8182" spans="1:5" x14ac:dyDescent="0.25">
      <c r="A8182" t="str">
        <f>HYPERLINK("https://www.773grp.com/globalSearch/ADC0808CCV-NOPB/page-1", "ADC0808CCV-NOPB")</f>
        <v>ADC0808CCV-NOPB</v>
      </c>
      <c r="B8182" s="3" t="str">
        <f>HYPERLINK("https://www.773grp.com/manufacturer/national-semiconductor?pageNo=7", "National Semiconductor")</f>
        <v>National Semiconductor</v>
      </c>
      <c r="C8182" s="6">
        <v>936</v>
      </c>
      <c r="D8182" s="7">
        <v>8.9499999999999993</v>
      </c>
      <c r="E8182" t="s">
        <v>39</v>
      </c>
    </row>
    <row r="8183" spans="1:5" x14ac:dyDescent="0.25">
      <c r="A8183" t="str">
        <f>HYPERLINK("https://www.773grp.com/globalSearch/DS90CP22MT-NOPB/page-1", "DS90CP22MT-NOPB")</f>
        <v>DS90CP22MT-NOPB</v>
      </c>
      <c r="B8183" s="3" t="str">
        <f>HYPERLINK("https://www.773grp.com/manufacturer/national-semiconductor?pageNo=8", "National Semiconductor")</f>
        <v>National Semiconductor</v>
      </c>
      <c r="C8183" s="6">
        <v>804</v>
      </c>
      <c r="D8183" s="7">
        <v>8.9499999999999993</v>
      </c>
      <c r="E8183" t="s">
        <v>56</v>
      </c>
    </row>
    <row r="8184" spans="1:5" x14ac:dyDescent="0.25">
      <c r="A8184" t="str">
        <f>HYPERLINK("https://www.773grp.com/globalSearch/LM2577S-12-NOPB/page-1", "LM2577S-12-NOPB")</f>
        <v>LM2577S-12-NOPB</v>
      </c>
      <c r="B8184" s="3" t="str">
        <f>HYPERLINK("https://www.773grp.com/manufacturer/national-semiconductor?pageNo=9", "National Semiconductor")</f>
        <v>National Semiconductor</v>
      </c>
      <c r="C8184" s="6">
        <v>108</v>
      </c>
      <c r="D8184" s="7">
        <v>8.9499999999999993</v>
      </c>
      <c r="E8184" t="s">
        <v>7</v>
      </c>
    </row>
    <row r="8185" spans="1:5" x14ac:dyDescent="0.25">
      <c r="A8185" t="str">
        <f>HYPERLINK("https://www.773grp.com/globalSearch/LM2577S-ADJ-NOPB/page-1", "LM2577S-ADJ-NOPB")</f>
        <v>LM2577S-ADJ-NOPB</v>
      </c>
      <c r="B8185" s="3" t="str">
        <f>HYPERLINK("https://www.773grp.com/manufacturer/national-semiconductor?pageNo=10", "National Semiconductor")</f>
        <v>National Semiconductor</v>
      </c>
      <c r="C8185" s="6">
        <v>1489</v>
      </c>
      <c r="D8185" s="7">
        <v>8.9499999999999993</v>
      </c>
      <c r="E8185" t="s">
        <v>7</v>
      </c>
    </row>
    <row r="8186" spans="1:5" x14ac:dyDescent="0.25">
      <c r="A8186" t="str">
        <f>HYPERLINK("https://www.773grp.com/globalSearch/LM2679T-5.0/page-1", "LM2679T-5.0")</f>
        <v>LM2679T-5.0</v>
      </c>
      <c r="B8186" s="3" t="str">
        <f>HYPERLINK("https://www.773grp.com/manufacturer/national-semiconductor?pageNo=11", "National Semiconductor")</f>
        <v>National Semiconductor</v>
      </c>
      <c r="C8186" s="6">
        <v>39</v>
      </c>
      <c r="D8186" s="7">
        <v>8.9499999999999993</v>
      </c>
      <c r="E8186" t="s">
        <v>7</v>
      </c>
    </row>
    <row r="8187" spans="1:5" x14ac:dyDescent="0.25">
      <c r="A8187" t="str">
        <f>HYPERLINK("https://www.773grp.com/globalSearch/54S139FM/page-1", "54S139FM")</f>
        <v>54S139FM</v>
      </c>
      <c r="B8187" s="3" t="str">
        <f>HYPERLINK("https://www.773grp.com/manufacturer/national-semiconductor?pageNo=12", "National Semiconductor")</f>
        <v>National Semiconductor</v>
      </c>
      <c r="C8187" s="6">
        <v>1823</v>
      </c>
      <c r="D8187" s="7">
        <v>9</v>
      </c>
    </row>
    <row r="8188" spans="1:5" x14ac:dyDescent="0.25">
      <c r="A8188" t="str">
        <f>HYPERLINK("https://www.773grp.com/globalSearch/54S151FM/page-1", "54S151FM")</f>
        <v>54S151FM</v>
      </c>
      <c r="B8188" s="3" t="str">
        <f>HYPERLINK("https://www.773grp.com/manufacturer/national-semiconductor?pageNo=13", "National Semiconductor")</f>
        <v>National Semiconductor</v>
      </c>
      <c r="C8188" s="6">
        <v>2430</v>
      </c>
      <c r="D8188" s="7">
        <v>9</v>
      </c>
    </row>
    <row r="8189" spans="1:5" x14ac:dyDescent="0.25">
      <c r="A8189" t="str">
        <f>HYPERLINK("https://www.773grp.com/globalSearch/54S158FM/page-1", "54S158FM")</f>
        <v>54S158FM</v>
      </c>
      <c r="B8189" s="3" t="str">
        <f>HYPERLINK("https://www.773grp.com/manufacturer/national-semiconductor?pageNo=14", "National Semiconductor")</f>
        <v>National Semiconductor</v>
      </c>
      <c r="C8189" s="6">
        <v>3415</v>
      </c>
      <c r="D8189" s="7">
        <v>9</v>
      </c>
    </row>
    <row r="8190" spans="1:5" x14ac:dyDescent="0.25">
      <c r="A8190" t="str">
        <f>HYPERLINK("https://www.773grp.com/globalSearch/54S253FM/page-1", "54S253FM")</f>
        <v>54S253FM</v>
      </c>
      <c r="B8190" s="3" t="str">
        <f>HYPERLINK("https://www.773grp.com/manufacturer/national-semiconductor?pageNo=15", "National Semiconductor")</f>
        <v>National Semiconductor</v>
      </c>
      <c r="C8190" s="6">
        <v>2959</v>
      </c>
      <c r="D8190" s="7">
        <v>9</v>
      </c>
    </row>
    <row r="8191" spans="1:5" x14ac:dyDescent="0.25">
      <c r="A8191" t="str">
        <f>HYPERLINK("https://www.773grp.com/globalSearch/54S74FM/page-1", "54S74FM")</f>
        <v>54S74FM</v>
      </c>
      <c r="B8191" s="3" t="str">
        <f>HYPERLINK("https://www.773grp.com/manufacturer/national-semiconductor?pageNo=16", "National Semiconductor")</f>
        <v>National Semiconductor</v>
      </c>
      <c r="C8191" s="6">
        <v>1239</v>
      </c>
      <c r="D8191" s="7">
        <v>9</v>
      </c>
    </row>
    <row r="8192" spans="1:5" x14ac:dyDescent="0.25">
      <c r="A8192" t="str">
        <f>HYPERLINK("https://www.773grp.com/globalSearch/54S86FM/page-1", "54S86FM")</f>
        <v>54S86FM</v>
      </c>
      <c r="B8192" s="3" t="str">
        <f>HYPERLINK("https://www.773grp.com/manufacturer/national-semiconductor?pageNo=17", "National Semiconductor")</f>
        <v>National Semiconductor</v>
      </c>
      <c r="C8192" s="6">
        <v>450</v>
      </c>
      <c r="D8192" s="7">
        <v>9</v>
      </c>
    </row>
    <row r="8193" spans="1:5" x14ac:dyDescent="0.25">
      <c r="A8193" t="str">
        <f>HYPERLINK("https://www.773grp.com/globalSearch/9334PC/page-1", "9334PC")</f>
        <v>9334PC</v>
      </c>
      <c r="B8193" s="3" t="str">
        <f>HYPERLINK("https://www.773grp.com/manufacturer/national-semiconductor?pageNo=18", "National Semiconductor")</f>
        <v>National Semiconductor</v>
      </c>
      <c r="C8193" s="6">
        <v>5865</v>
      </c>
      <c r="D8193" s="7">
        <v>9</v>
      </c>
      <c r="E8193" t="s">
        <v>35</v>
      </c>
    </row>
    <row r="8194" spans="1:5" x14ac:dyDescent="0.25">
      <c r="A8194" t="str">
        <f>HYPERLINK("https://www.773grp.com/globalSearch/ADC0844CCN/page-1", "ADC0844CCN")</f>
        <v>ADC0844CCN</v>
      </c>
      <c r="B8194" s="3" t="str">
        <f>HYPERLINK("https://www.773grp.com/manufacturer/national-semiconductor?pageNo=19", "National Semiconductor")</f>
        <v>National Semiconductor</v>
      </c>
      <c r="C8194" s="6">
        <v>17</v>
      </c>
      <c r="D8194" s="7">
        <v>9</v>
      </c>
      <c r="E8194" t="s">
        <v>39</v>
      </c>
    </row>
    <row r="8195" spans="1:5" x14ac:dyDescent="0.25">
      <c r="A8195" t="str">
        <f>HYPERLINK("https://www.773grp.com/globalSearch/DM8334N/page-1", "DM8334N")</f>
        <v>DM8334N</v>
      </c>
      <c r="B8195" s="3" t="str">
        <f>HYPERLINK("https://www.773grp.com/manufacturer/national-semiconductor?pageNo=20", "National Semiconductor")</f>
        <v>National Semiconductor</v>
      </c>
      <c r="C8195" s="6">
        <v>417</v>
      </c>
      <c r="D8195" s="7">
        <v>9</v>
      </c>
    </row>
    <row r="8196" spans="1:5" x14ac:dyDescent="0.25">
      <c r="A8196" t="str">
        <f>HYPERLINK("https://www.773grp.com/globalSearch/DS3698N/page-1", "DS3698N")</f>
        <v>DS3698N</v>
      </c>
      <c r="B8196" s="3" t="str">
        <f>HYPERLINK("https://www.773grp.com/manufacturer/national-semiconductor?pageNo=21", "National Semiconductor")</f>
        <v>National Semiconductor</v>
      </c>
      <c r="C8196" s="6">
        <v>451</v>
      </c>
      <c r="D8196" s="7">
        <v>9</v>
      </c>
      <c r="E8196" t="s">
        <v>21</v>
      </c>
    </row>
    <row r="8197" spans="1:5" x14ac:dyDescent="0.25">
      <c r="A8197" t="str">
        <f>HYPERLINK("https://www.773grp.com/globalSearch/LM10CLH-NOPB/page-1", "LM10CLH-NOPB")</f>
        <v>LM10CLH-NOPB</v>
      </c>
      <c r="B8197" s="3" t="str">
        <f>HYPERLINK("https://www.773grp.com/manufacturer/national-semiconductor?pageNo=22", "National Semiconductor")</f>
        <v>National Semiconductor</v>
      </c>
      <c r="C8197" s="6">
        <v>395</v>
      </c>
      <c r="D8197" s="7">
        <v>9</v>
      </c>
      <c r="E8197" t="s">
        <v>13</v>
      </c>
    </row>
    <row r="8198" spans="1:5" x14ac:dyDescent="0.25">
      <c r="A8198" t="str">
        <f>HYPERLINK("https://www.773grp.com/globalSearch/LP3971SQE-7848-NOPB/page-1", "LP3971SQE-7848-NOPB")</f>
        <v>LP3971SQE-7848-NOPB</v>
      </c>
      <c r="B8198" s="3" t="str">
        <f>HYPERLINK("https://www.773grp.com/manufacturer/national-semiconductor?pageNo=23", "National Semiconductor")</f>
        <v>National Semiconductor</v>
      </c>
      <c r="C8198" s="6">
        <v>250</v>
      </c>
      <c r="D8198" s="7">
        <v>9</v>
      </c>
    </row>
    <row r="8199" spans="1:5" x14ac:dyDescent="0.25">
      <c r="A8199" t="str">
        <f>HYPERLINK("https://www.773grp.com/globalSearch/LP3971SQE-B510-NOPB/page-1", "LP3971SQE-B510-NOPB")</f>
        <v>LP3971SQE-B510-NOPB</v>
      </c>
      <c r="B8199" s="3" t="str">
        <f>HYPERLINK("https://www.773grp.com/manufacturer/national-semiconductor?pageNo=24", "National Semiconductor")</f>
        <v>National Semiconductor</v>
      </c>
      <c r="C8199" s="6">
        <v>249</v>
      </c>
      <c r="D8199" s="7">
        <v>9</v>
      </c>
    </row>
    <row r="8200" spans="1:5" x14ac:dyDescent="0.25">
      <c r="A8200" t="str">
        <f>HYPERLINK("https://www.773grp.com/globalSearch/LP3971SQE-N510-NOPB/page-1", "LP3971SQE-N510-NOPB")</f>
        <v>LP3971SQE-N510-NOPB</v>
      </c>
      <c r="B8200" s="3" t="str">
        <f>HYPERLINK("https://www.773grp.com/manufacturer/national-semiconductor?pageNo=25", "National Semiconductor")</f>
        <v>National Semiconductor</v>
      </c>
      <c r="C8200" s="6">
        <v>249</v>
      </c>
      <c r="D8200" s="7">
        <v>9</v>
      </c>
    </row>
    <row r="8201" spans="1:5" x14ac:dyDescent="0.25">
      <c r="A8201" t="str">
        <f>HYPERLINK("https://www.773grp.com/globalSearch/LP3971SQE-P55A-NOPB/page-1", "LP3971SQE-P55A-NOPB")</f>
        <v>LP3971SQE-P55A-NOPB</v>
      </c>
      <c r="B8201" s="3" t="str">
        <f>HYPERLINK("https://www.773grp.com/manufacturer/national-semiconductor?pageNo=26", "National Semiconductor")</f>
        <v>National Semiconductor</v>
      </c>
      <c r="C8201" s="6">
        <v>249</v>
      </c>
      <c r="D8201" s="7">
        <v>9</v>
      </c>
    </row>
    <row r="8202" spans="1:5" x14ac:dyDescent="0.25">
      <c r="A8202" t="str">
        <f>HYPERLINK("https://www.773grp.com/globalSearch/ADC0844CCN/page-1", "ADC0844CCN")</f>
        <v>ADC0844CCN</v>
      </c>
      <c r="B8202" s="3" t="str">
        <f>HYPERLINK("https://www.773grp.com/manufacturer/national-semiconductor?pageNo=27", "National Semiconductor")</f>
        <v>National Semiconductor</v>
      </c>
      <c r="C8202" s="6">
        <v>531</v>
      </c>
      <c r="D8202" s="7">
        <v>9</v>
      </c>
      <c r="E8202" t="s">
        <v>39</v>
      </c>
    </row>
    <row r="8203" spans="1:5" x14ac:dyDescent="0.25">
      <c r="A8203" t="str">
        <f>HYPERLINK("https://www.773grp.com/globalSearch/LMX2502LQ1635/page-1", "LMX2502LQ1635")</f>
        <v>LMX2502LQ1635</v>
      </c>
      <c r="B8203" s="3" t="str">
        <f>HYPERLINK("https://www.773grp.com/manufacturer/national-semiconductor?pageNo=28", "National Semiconductor")</f>
        <v>National Semiconductor</v>
      </c>
      <c r="C8203" s="6">
        <v>2000</v>
      </c>
      <c r="D8203" s="7">
        <v>9</v>
      </c>
    </row>
    <row r="8204" spans="1:5" x14ac:dyDescent="0.25">
      <c r="A8204" t="str">
        <f>HYPERLINK("https://www.773grp.com/globalSearch/LP3971SQE-B510-NOPB/page-1", "LP3971SQE-B510-NOPB")</f>
        <v>LP3971SQE-B510-NOPB</v>
      </c>
      <c r="B8204" s="3" t="str">
        <f>HYPERLINK("https://www.773grp.com/manufacturer/national-semiconductor?pageNo=29", "National Semiconductor")</f>
        <v>National Semiconductor</v>
      </c>
      <c r="C8204" s="6">
        <v>250</v>
      </c>
      <c r="D8204" s="7">
        <v>9</v>
      </c>
    </row>
    <row r="8205" spans="1:5" x14ac:dyDescent="0.25">
      <c r="A8205" t="str">
        <f>HYPERLINK("https://www.773grp.com/globalSearch/LP3971SQE-N510-NOPB/page-1", "LP3971SQE-N510-NOPB")</f>
        <v>LP3971SQE-N510-NOPB</v>
      </c>
      <c r="B8205" s="3" t="str">
        <f>HYPERLINK("https://www.773grp.com/manufacturer/national-semiconductor?pageNo=30", "National Semiconductor")</f>
        <v>National Semiconductor</v>
      </c>
      <c r="C8205" s="6">
        <v>250</v>
      </c>
      <c r="D8205" s="7">
        <v>9</v>
      </c>
    </row>
    <row r="8206" spans="1:5" x14ac:dyDescent="0.25">
      <c r="A8206" t="str">
        <f>HYPERLINK("https://www.773grp.com/globalSearch/LP3971SQE-P55A-NOPB/page-1", "LP3971SQE-P55A-NOPB")</f>
        <v>LP3971SQE-P55A-NOPB</v>
      </c>
      <c r="B8206" s="3" t="str">
        <f>HYPERLINK("https://www.773grp.com/manufacturer/national-semiconductor?pageNo=31", "National Semiconductor")</f>
        <v>National Semiconductor</v>
      </c>
      <c r="C8206" s="6">
        <v>250</v>
      </c>
      <c r="D8206" s="7">
        <v>9</v>
      </c>
    </row>
    <row r="8207" spans="1:5" x14ac:dyDescent="0.25">
      <c r="A8207" t="str">
        <f>HYPERLINK("https://www.773grp.com/globalSearch/LP3971SQE-W416-NOPB/page-1", "LP3971SQE-W416-NOPB")</f>
        <v>LP3971SQE-W416-NOPB</v>
      </c>
      <c r="B8207" s="3" t="str">
        <f>HYPERLINK("https://www.773grp.com/manufacturer/national-semiconductor?pageNo=32", "National Semiconductor")</f>
        <v>National Semiconductor</v>
      </c>
      <c r="C8207" s="6">
        <v>250</v>
      </c>
      <c r="D8207" s="7">
        <v>9</v>
      </c>
    </row>
    <row r="8208" spans="1:5" x14ac:dyDescent="0.25">
      <c r="A8208" t="str">
        <f>HYPERLINK("https://www.773grp.com/globalSearch/4025BDM/page-1", "4025BDM")</f>
        <v>4025BDM</v>
      </c>
      <c r="B8208" s="3" t="str">
        <f>HYPERLINK("https://www.773grp.com/manufacturer/national-semiconductor?pageNo=33", "National Semiconductor")</f>
        <v>National Semiconductor</v>
      </c>
      <c r="C8208" s="6">
        <v>3526</v>
      </c>
      <c r="D8208" s="7">
        <v>9.0299999999999994</v>
      </c>
    </row>
    <row r="8209" spans="1:5" x14ac:dyDescent="0.25">
      <c r="A8209" t="str">
        <f>HYPERLINK("https://www.773grp.com/globalSearch/74H40PC/page-1", "74H40PC")</f>
        <v>74H40PC</v>
      </c>
      <c r="B8209" s="3" t="str">
        <f>HYPERLINK("https://www.773grp.com/manufacturer/national-semiconductor?pageNo=34", "National Semiconductor")</f>
        <v>National Semiconductor</v>
      </c>
      <c r="C8209" s="6">
        <v>37845</v>
      </c>
      <c r="D8209" s="7">
        <v>9.0299999999999994</v>
      </c>
    </row>
    <row r="8210" spans="1:5" x14ac:dyDescent="0.25">
      <c r="A8210" t="str">
        <f>HYPERLINK("https://www.773grp.com/globalSearch/74H54PC/page-1", "74H54PC")</f>
        <v>74H54PC</v>
      </c>
      <c r="B8210" s="3" t="str">
        <f>HYPERLINK("https://www.773grp.com/manufacturer/national-semiconductor?pageNo=35", "National Semiconductor")</f>
        <v>National Semiconductor</v>
      </c>
      <c r="C8210" s="6">
        <v>45224</v>
      </c>
      <c r="D8210" s="7">
        <v>9.0299999999999994</v>
      </c>
    </row>
    <row r="8211" spans="1:5" x14ac:dyDescent="0.25">
      <c r="A8211" t="str">
        <f>HYPERLINK("https://www.773grp.com/globalSearch/ADC0848CCV-NOPB/page-1", "ADC0848CCV-NOPB")</f>
        <v>ADC0848CCV-NOPB</v>
      </c>
      <c r="B8211" s="3" t="str">
        <f>HYPERLINK("https://www.773grp.com/manufacturer/national-semiconductor?pageNo=36", "National Semiconductor")</f>
        <v>National Semiconductor</v>
      </c>
      <c r="C8211" s="6">
        <v>55</v>
      </c>
      <c r="D8211" s="7">
        <v>9.0299999999999994</v>
      </c>
      <c r="E8211" t="s">
        <v>39</v>
      </c>
    </row>
    <row r="8212" spans="1:5" x14ac:dyDescent="0.25">
      <c r="A8212" t="str">
        <f>HYPERLINK("https://www.773grp.com/globalSearch/ADC10464CIWM/page-1", "ADC10464CIWM")</f>
        <v>ADC10464CIWM</v>
      </c>
      <c r="B8212" s="3" t="str">
        <f>HYPERLINK("https://www.773grp.com/manufacturer/national-semiconductor?pageNo=37", "National Semiconductor")</f>
        <v>National Semiconductor</v>
      </c>
      <c r="C8212" s="6">
        <v>2</v>
      </c>
      <c r="D8212" s="7">
        <v>9.0299999999999994</v>
      </c>
      <c r="E8212" t="s">
        <v>39</v>
      </c>
    </row>
    <row r="8213" spans="1:5" x14ac:dyDescent="0.25">
      <c r="A8213" t="str">
        <f>HYPERLINK("https://www.773grp.com/globalSearch/ADC10464CIWMX/page-1", "ADC10464CIWMX")</f>
        <v>ADC10464CIWMX</v>
      </c>
      <c r="B8213" s="3" t="str">
        <f>HYPERLINK("https://www.773grp.com/manufacturer/national-semiconductor?pageNo=38", "National Semiconductor")</f>
        <v>National Semiconductor</v>
      </c>
      <c r="C8213" s="6">
        <v>1000</v>
      </c>
      <c r="D8213" s="7">
        <v>9.0299999999999994</v>
      </c>
      <c r="E8213" t="s">
        <v>39</v>
      </c>
    </row>
    <row r="8214" spans="1:5" x14ac:dyDescent="0.25">
      <c r="A8214" t="str">
        <f>HYPERLINK("https://www.773grp.com/globalSearch/ADC12130CIWMX-NOPB/page-1", "ADC12130CIWMX-NOPB")</f>
        <v>ADC12130CIWMX-NOPB</v>
      </c>
      <c r="B8214" s="3" t="str">
        <f>HYPERLINK("https://www.773grp.com/manufacturer/national-semiconductor?pageNo=39", "National Semiconductor")</f>
        <v>National Semiconductor</v>
      </c>
      <c r="C8214" s="6">
        <v>1000</v>
      </c>
      <c r="D8214" s="7">
        <v>9.0299999999999994</v>
      </c>
    </row>
    <row r="8215" spans="1:5" x14ac:dyDescent="0.25">
      <c r="A8215" t="str">
        <f>HYPERLINK("https://www.773grp.com/globalSearch/DS90C363BMT/page-1", "DS90C363BMT")</f>
        <v>DS90C363BMT</v>
      </c>
      <c r="B8215" s="3" t="str">
        <f>HYPERLINK("https://www.773grp.com/manufacturer/national-semiconductor?pageNo=40", "National Semiconductor")</f>
        <v>National Semiconductor</v>
      </c>
      <c r="C8215" s="6">
        <v>190</v>
      </c>
      <c r="D8215" s="7">
        <v>9.0299999999999994</v>
      </c>
      <c r="E8215" t="s">
        <v>21</v>
      </c>
    </row>
    <row r="8216" spans="1:5" x14ac:dyDescent="0.25">
      <c r="A8216" t="str">
        <f>HYPERLINK("https://www.773grp.com/globalSearch/LM3875TF-NOPB/page-1", "LM3875TF-NOPB")</f>
        <v>LM3875TF-NOPB</v>
      </c>
      <c r="B8216" s="3" t="str">
        <f>HYPERLINK("https://www.773grp.com/manufacturer/national-semiconductor?pageNo=41", "National Semiconductor")</f>
        <v>National Semiconductor</v>
      </c>
      <c r="C8216" s="6">
        <v>62</v>
      </c>
      <c r="D8216" s="7">
        <v>9.0299999999999994</v>
      </c>
      <c r="E8216" t="s">
        <v>18</v>
      </c>
    </row>
    <row r="8217" spans="1:5" x14ac:dyDescent="0.25">
      <c r="A8217" t="str">
        <f>HYPERLINK("https://www.773grp.com/globalSearch/LMC6064AIM/page-1", "LMC6064AIM")</f>
        <v>LMC6064AIM</v>
      </c>
      <c r="B8217" s="3" t="str">
        <f>HYPERLINK("https://www.773grp.com/manufacturer/national-semiconductor?pageNo=42", "National Semiconductor")</f>
        <v>National Semiconductor</v>
      </c>
      <c r="C8217" s="6">
        <v>2</v>
      </c>
      <c r="D8217" s="7">
        <v>9.0299999999999994</v>
      </c>
      <c r="E8217" t="s">
        <v>13</v>
      </c>
    </row>
    <row r="8218" spans="1:5" x14ac:dyDescent="0.25">
      <c r="A8218" t="str">
        <f>HYPERLINK("https://www.773grp.com/globalSearch/SCAN90CP02VY-NOPB/page-1", "SCAN90CP02VY-NOPB")</f>
        <v>SCAN90CP02VY-NOPB</v>
      </c>
      <c r="B8218" s="3" t="str">
        <f>HYPERLINK("https://www.773grp.com/manufacturer/national-semiconductor?pageNo=43", "National Semiconductor")</f>
        <v>National Semiconductor</v>
      </c>
      <c r="C8218" s="6">
        <v>563</v>
      </c>
      <c r="D8218" s="7">
        <v>9.0299999999999994</v>
      </c>
      <c r="E8218" t="s">
        <v>56</v>
      </c>
    </row>
    <row r="8219" spans="1:5" x14ac:dyDescent="0.25">
      <c r="A8219" t="str">
        <f>HYPERLINK("https://www.773grp.com/globalSearch/ADC0848CCV-NOPB/page-1", "ADC0848CCV-NOPB")</f>
        <v>ADC0848CCV-NOPB</v>
      </c>
      <c r="B8219" s="3" t="str">
        <f>HYPERLINK("https://www.773grp.com/manufacturer/national-semiconductor?pageNo=44", "National Semiconductor")</f>
        <v>National Semiconductor</v>
      </c>
      <c r="C8219" s="6">
        <v>408</v>
      </c>
      <c r="D8219" s="7">
        <v>9.0299999999999994</v>
      </c>
      <c r="E8219" t="s">
        <v>39</v>
      </c>
    </row>
    <row r="8220" spans="1:5" x14ac:dyDescent="0.25">
      <c r="A8220" t="str">
        <f>HYPERLINK("https://www.773grp.com/globalSearch/LM3875TF-NOPB/page-1", "LM3875TF-NOPB")</f>
        <v>LM3875TF-NOPB</v>
      </c>
      <c r="B8220" s="3" t="str">
        <f>HYPERLINK("https://www.773grp.com/manufacturer/national-semiconductor?pageNo=45", "National Semiconductor")</f>
        <v>National Semiconductor</v>
      </c>
      <c r="C8220" s="6">
        <v>337</v>
      </c>
      <c r="D8220" s="7">
        <v>9.0299999999999994</v>
      </c>
      <c r="E8220" t="s">
        <v>18</v>
      </c>
    </row>
    <row r="8221" spans="1:5" x14ac:dyDescent="0.25">
      <c r="A8221" t="str">
        <f>HYPERLINK("https://www.773grp.com/globalSearch/LP3855ES-1.8/page-1", "LP3855ES-1.8")</f>
        <v>LP3855ES-1.8</v>
      </c>
      <c r="B8221" s="3" t="str">
        <f>HYPERLINK("https://www.773grp.com/manufacturer/national-semiconductor?pageNo=46", "National Semiconductor")</f>
        <v>National Semiconductor</v>
      </c>
      <c r="C8221" s="6">
        <v>186</v>
      </c>
      <c r="D8221" s="7">
        <v>9.0299999999999994</v>
      </c>
    </row>
    <row r="8222" spans="1:5" x14ac:dyDescent="0.25">
      <c r="A8222" t="str">
        <f>HYPERLINK("https://www.773grp.com/globalSearch/SCAN90CP02VY-NOPB/page-1", "SCAN90CP02VY-NOPB")</f>
        <v>SCAN90CP02VY-NOPB</v>
      </c>
      <c r="B8222" s="3" t="str">
        <f>HYPERLINK("https://www.773grp.com/manufacturer/national-semiconductor?pageNo=47", "National Semiconductor")</f>
        <v>National Semiconductor</v>
      </c>
      <c r="C8222" s="6">
        <v>3261</v>
      </c>
      <c r="D8222" s="7">
        <v>9.0299999999999994</v>
      </c>
      <c r="E8222" t="s">
        <v>56</v>
      </c>
    </row>
    <row r="8223" spans="1:5" x14ac:dyDescent="0.25">
      <c r="A8223" t="str">
        <f>HYPERLINK("https://www.773grp.com/globalSearch/100107DC/page-1", "100107DC")</f>
        <v>100107DC</v>
      </c>
      <c r="B8223" s="3" t="str">
        <f>HYPERLINK("https://www.773grp.com/manufacturer/national-semiconductor?pageNo=48", "National Semiconductor")</f>
        <v>National Semiconductor</v>
      </c>
      <c r="C8223" s="6">
        <v>247</v>
      </c>
      <c r="D8223" s="7">
        <v>9.06</v>
      </c>
      <c r="E8223" t="s">
        <v>31</v>
      </c>
    </row>
    <row r="8224" spans="1:5" x14ac:dyDescent="0.25">
      <c r="A8224" t="str">
        <f>HYPERLINK("https://www.773grp.com/globalSearch/74F240LC/page-1", "74F240LC")</f>
        <v>74F240LC</v>
      </c>
      <c r="B8224" s="3" t="str">
        <f>HYPERLINK("https://www.773grp.com/manufacturer/national-semiconductor?pageNo=49", "National Semiconductor")</f>
        <v>National Semiconductor</v>
      </c>
      <c r="C8224" s="6">
        <v>213</v>
      </c>
      <c r="D8224" s="7">
        <v>9.06</v>
      </c>
    </row>
    <row r="8225" spans="1:5" x14ac:dyDescent="0.25">
      <c r="A8225" t="str">
        <f>HYPERLINK("https://www.773grp.com/globalSearch/74F244DC/page-1", "74F244DC")</f>
        <v>74F244DC</v>
      </c>
      <c r="B8225" s="3" t="str">
        <f>HYPERLINK("https://www.773grp.com/manufacturer/national-semiconductor?pageNo=50", "National Semiconductor")</f>
        <v>National Semiconductor</v>
      </c>
      <c r="C8225" s="6">
        <v>5</v>
      </c>
      <c r="D8225" s="7">
        <v>9.06</v>
      </c>
      <c r="E8225" t="s">
        <v>14</v>
      </c>
    </row>
    <row r="8226" spans="1:5" x14ac:dyDescent="0.25">
      <c r="A8226" t="str">
        <f>HYPERLINK("https://www.773grp.com/globalSearch/74F244LC/page-1", "74F244LC")</f>
        <v>74F244LC</v>
      </c>
      <c r="B8226" s="3" t="str">
        <f>HYPERLINK("https://www.773grp.com/manufacturer/national-semiconductor?pageNo=51", "National Semiconductor")</f>
        <v>National Semiconductor</v>
      </c>
      <c r="C8226" s="6">
        <v>187</v>
      </c>
      <c r="D8226" s="7">
        <v>9.06</v>
      </c>
    </row>
    <row r="8227" spans="1:5" x14ac:dyDescent="0.25">
      <c r="A8227" t="str">
        <f>HYPERLINK("https://www.773grp.com/globalSearch/74F299PC/page-1", "74F299PC")</f>
        <v>74F299PC</v>
      </c>
      <c r="B8227" s="3" t="str">
        <f>HYPERLINK("https://www.773grp.com/manufacturer/national-semiconductor?pageNo=52", "National Semiconductor")</f>
        <v>National Semiconductor</v>
      </c>
      <c r="C8227" s="6">
        <v>3155</v>
      </c>
      <c r="D8227" s="7">
        <v>9.06</v>
      </c>
      <c r="E8227" t="s">
        <v>32</v>
      </c>
    </row>
    <row r="8228" spans="1:5" x14ac:dyDescent="0.25">
      <c r="A8228" t="str">
        <f>HYPERLINK("https://www.773grp.com/globalSearch/DM54LS190W-883/page-1", "DM54LS190W-883")</f>
        <v>DM54LS190W-883</v>
      </c>
      <c r="B8228" s="3" t="str">
        <f>HYPERLINK("https://www.773grp.com/manufacturer/national-semiconductor?pageNo=53", "National Semiconductor")</f>
        <v>National Semiconductor</v>
      </c>
      <c r="C8228" s="6">
        <v>363</v>
      </c>
      <c r="D8228" s="7">
        <v>9.06</v>
      </c>
      <c r="E8228" t="s">
        <v>26</v>
      </c>
    </row>
    <row r="8229" spans="1:5" x14ac:dyDescent="0.25">
      <c r="A8229" t="str">
        <f>HYPERLINK("https://www.773grp.com/globalSearch/LM25066APSQE-NOPB/page-1", "LM25066APSQE-NOPB")</f>
        <v>LM25066APSQE-NOPB</v>
      </c>
      <c r="B8229" s="3" t="str">
        <f>HYPERLINK("https://www.773grp.com/manufacturer/national-semiconductor?pageNo=54", "National Semiconductor")</f>
        <v>National Semiconductor</v>
      </c>
      <c r="C8229" s="6">
        <v>454</v>
      </c>
      <c r="D8229" s="7">
        <v>9.06</v>
      </c>
    </row>
    <row r="8230" spans="1:5" x14ac:dyDescent="0.25">
      <c r="A8230" t="str">
        <f>HYPERLINK("https://www.773grp.com/globalSearch/LM98510CCMT/page-1", "LM98510CCMT")</f>
        <v>LM98510CCMT</v>
      </c>
      <c r="B8230" s="3" t="str">
        <f>HYPERLINK("https://www.773grp.com/manufacturer/national-semiconductor?pageNo=55", "National Semiconductor")</f>
        <v>National Semiconductor</v>
      </c>
      <c r="C8230" s="6">
        <v>372</v>
      </c>
      <c r="D8230" s="7">
        <v>9.06</v>
      </c>
    </row>
    <row r="8231" spans="1:5" x14ac:dyDescent="0.25">
      <c r="A8231" t="str">
        <f>HYPERLINK("https://www.773grp.com/globalSearch/LM98510CCMT-NOPB/page-1", "LM98510CCMT-NOPB")</f>
        <v>LM98510CCMT-NOPB</v>
      </c>
      <c r="B8231" s="3" t="str">
        <f>HYPERLINK("https://www.773grp.com/manufacturer/national-semiconductor?pageNo=56", "National Semiconductor")</f>
        <v>National Semiconductor</v>
      </c>
      <c r="C8231" s="6">
        <v>72</v>
      </c>
      <c r="D8231" s="7">
        <v>9.06</v>
      </c>
    </row>
    <row r="8232" spans="1:5" x14ac:dyDescent="0.25">
      <c r="A8232" t="str">
        <f>HYPERLINK("https://www.773grp.com/globalSearch/LM98510CCMTX-NOPB/page-1", "LM98510CCMTX-NOPB")</f>
        <v>LM98510CCMTX-NOPB</v>
      </c>
      <c r="B8232" s="3" t="str">
        <f>HYPERLINK("https://www.773grp.com/manufacturer/national-semiconductor?pageNo=57", "National Semiconductor")</f>
        <v>National Semiconductor</v>
      </c>
      <c r="C8232" s="6">
        <v>1000</v>
      </c>
      <c r="D8232" s="7">
        <v>9.06</v>
      </c>
    </row>
    <row r="8233" spans="1:5" x14ac:dyDescent="0.25">
      <c r="A8233" t="str">
        <f>HYPERLINK("https://www.773grp.com/globalSearch/LMP90077MHE-NOPB/page-1", "LMP90077MHE-NOPB")</f>
        <v>LMP90077MHE-NOPB</v>
      </c>
      <c r="B8233" s="3" t="str">
        <f>HYPERLINK("https://www.773grp.com/manufacturer/national-semiconductor?pageNo=58", "National Semiconductor")</f>
        <v>National Semiconductor</v>
      </c>
      <c r="C8233" s="6">
        <v>250</v>
      </c>
      <c r="D8233" s="7">
        <v>9.06</v>
      </c>
      <c r="E8233" t="s">
        <v>40</v>
      </c>
    </row>
    <row r="8234" spans="1:5" x14ac:dyDescent="0.25">
      <c r="A8234" t="str">
        <f>HYPERLINK("https://www.773grp.com/globalSearch/MM54HC253J-883/page-1", "MM54HC253J-883")</f>
        <v>MM54HC253J-883</v>
      </c>
      <c r="B8234" s="3" t="str">
        <f>HYPERLINK("https://www.773grp.com/manufacturer/national-semiconductor?pageNo=59", "National Semiconductor")</f>
        <v>National Semiconductor</v>
      </c>
      <c r="C8234" s="6">
        <v>28</v>
      </c>
      <c r="D8234" s="7">
        <v>9.06</v>
      </c>
    </row>
    <row r="8235" spans="1:5" x14ac:dyDescent="0.25">
      <c r="A8235" t="str">
        <f>HYPERLINK("https://www.773grp.com/globalSearch/TP3054N/page-1", "TP3054N")</f>
        <v>TP3054N</v>
      </c>
      <c r="B8235" s="3" t="str">
        <f>HYPERLINK("https://www.773grp.com/manufacturer/national-semiconductor?pageNo=60", "National Semiconductor")</f>
        <v>National Semiconductor</v>
      </c>
      <c r="C8235" s="6">
        <v>4445</v>
      </c>
      <c r="D8235" s="7">
        <v>9.06</v>
      </c>
      <c r="E8235" t="s">
        <v>66</v>
      </c>
    </row>
    <row r="8236" spans="1:5" x14ac:dyDescent="0.25">
      <c r="A8236" t="str">
        <f>HYPERLINK("https://www.773grp.com/globalSearch/LM25066APSQE-NOPB/page-1", "LM25066APSQE-NOPB")</f>
        <v>LM25066APSQE-NOPB</v>
      </c>
      <c r="B8236" s="3" t="str">
        <f>HYPERLINK("https://www.773grp.com/manufacturer/national-semiconductor?pageNo=61", "National Semiconductor")</f>
        <v>National Semiconductor</v>
      </c>
      <c r="C8236" s="6">
        <v>250</v>
      </c>
      <c r="D8236" s="7">
        <v>9.06</v>
      </c>
    </row>
    <row r="8237" spans="1:5" x14ac:dyDescent="0.25">
      <c r="A8237" t="str">
        <f>HYPERLINK("https://www.773grp.com/globalSearch/LMP90077MHE-NOPB/page-1", "LMP90077MHE-NOPB")</f>
        <v>LMP90077MHE-NOPB</v>
      </c>
      <c r="B8237" s="3" t="str">
        <f>HYPERLINK("https://www.773grp.com/manufacturer/national-semiconductor?pageNo=62", "National Semiconductor")</f>
        <v>National Semiconductor</v>
      </c>
      <c r="C8237" s="6">
        <v>450</v>
      </c>
      <c r="D8237" s="7">
        <v>9.06</v>
      </c>
      <c r="E8237" t="s">
        <v>40</v>
      </c>
    </row>
    <row r="8238" spans="1:5" x14ac:dyDescent="0.25">
      <c r="A8238" t="str">
        <f>HYPERLINK("https://www.773grp.com/globalSearch/TP3054N/page-1", "TP3054N")</f>
        <v>TP3054N</v>
      </c>
      <c r="B8238" s="3" t="str">
        <f>HYPERLINK("https://www.773grp.com/manufacturer/national-semiconductor?pageNo=63", "National Semiconductor")</f>
        <v>National Semiconductor</v>
      </c>
      <c r="C8238" s="6">
        <v>850</v>
      </c>
      <c r="D8238" s="7">
        <v>9.06</v>
      </c>
      <c r="E8238" t="s">
        <v>66</v>
      </c>
    </row>
    <row r="8239" spans="1:5" x14ac:dyDescent="0.25">
      <c r="A8239" t="str">
        <f>HYPERLINK("https://www.773grp.com/globalSearch/74H40DC/page-1", "74H40DC")</f>
        <v>74H40DC</v>
      </c>
      <c r="B8239" s="3" t="str">
        <f>HYPERLINK("https://www.773grp.com/manufacturer/national-semiconductor?pageNo=64", "National Semiconductor")</f>
        <v>National Semiconductor</v>
      </c>
      <c r="C8239" s="6">
        <v>1371</v>
      </c>
      <c r="D8239" s="7">
        <v>9.08</v>
      </c>
    </row>
    <row r="8240" spans="1:5" x14ac:dyDescent="0.25">
      <c r="A8240" t="str">
        <f>HYPERLINK("https://www.773grp.com/globalSearch/ADC108S102CIMT-NOPB/page-1", "ADC108S102CIMT-NOPB")</f>
        <v>ADC108S102CIMT-NOPB</v>
      </c>
      <c r="B8240" s="3" t="str">
        <f>HYPERLINK("https://www.773grp.com/manufacturer/national-semiconductor?pageNo=65", "National Semiconductor")</f>
        <v>National Semiconductor</v>
      </c>
      <c r="C8240" s="6">
        <v>430</v>
      </c>
      <c r="D8240" s="7">
        <v>9.08</v>
      </c>
    </row>
    <row r="8241" spans="1:5" x14ac:dyDescent="0.25">
      <c r="A8241" t="str">
        <f>HYPERLINK("https://www.773grp.com/globalSearch/LMH7322SQ/page-1", "LMH7322SQ")</f>
        <v>LMH7322SQ</v>
      </c>
      <c r="B8241" s="3" t="str">
        <f>HYPERLINK("https://www.773grp.com/manufacturer/national-semiconductor?pageNo=66", "National Semiconductor")</f>
        <v>National Semiconductor</v>
      </c>
      <c r="C8241" s="6">
        <v>1818</v>
      </c>
      <c r="D8241" s="7">
        <v>9.08</v>
      </c>
      <c r="E8241" t="s">
        <v>9</v>
      </c>
    </row>
    <row r="8242" spans="1:5" x14ac:dyDescent="0.25">
      <c r="A8242" t="str">
        <f>HYPERLINK("https://www.773grp.com/globalSearch/TP3057N-NOPB/page-1", "TP3057N-NOPB")</f>
        <v>TP3057N-NOPB</v>
      </c>
      <c r="B8242" s="3" t="str">
        <f>HYPERLINK("https://www.773grp.com/manufacturer/national-semiconductor?pageNo=67", "National Semiconductor")</f>
        <v>National Semiconductor</v>
      </c>
      <c r="C8242" s="6">
        <v>4325</v>
      </c>
      <c r="D8242" s="7">
        <v>9.08</v>
      </c>
      <c r="E8242" t="s">
        <v>66</v>
      </c>
    </row>
    <row r="8243" spans="1:5" x14ac:dyDescent="0.25">
      <c r="A8243" t="str">
        <f>HYPERLINK("https://www.773grp.com/globalSearch/TP3067N-NOPB/page-1", "TP3067N-NOPB")</f>
        <v>TP3067N-NOPB</v>
      </c>
      <c r="B8243" s="3" t="str">
        <f>HYPERLINK("https://www.773grp.com/manufacturer/national-semiconductor?pageNo=68", "National Semiconductor")</f>
        <v>National Semiconductor</v>
      </c>
      <c r="C8243" s="6">
        <v>828</v>
      </c>
      <c r="D8243" s="7">
        <v>9.08</v>
      </c>
      <c r="E8243" t="s">
        <v>66</v>
      </c>
    </row>
    <row r="8244" spans="1:5" x14ac:dyDescent="0.25">
      <c r="A8244" t="str">
        <f>HYPERLINK("https://www.773grp.com/globalSearch/ADC108S102CIMT-NOPB/page-1", "ADC108S102CIMT-NOPB")</f>
        <v>ADC108S102CIMT-NOPB</v>
      </c>
      <c r="B8244" s="3" t="str">
        <f>HYPERLINK("https://www.773grp.com/manufacturer/national-semiconductor?pageNo=69", "National Semiconductor")</f>
        <v>National Semiconductor</v>
      </c>
      <c r="C8244" s="6">
        <v>8784</v>
      </c>
      <c r="D8244" s="7">
        <v>9.08</v>
      </c>
    </row>
    <row r="8245" spans="1:5" x14ac:dyDescent="0.25">
      <c r="A8245" t="str">
        <f>HYPERLINK("https://www.773grp.com/globalSearch/TP3067N-NOPB/page-1", "TP3067N-NOPB")</f>
        <v>TP3067N-NOPB</v>
      </c>
      <c r="B8245" s="3" t="str">
        <f>HYPERLINK("https://www.773grp.com/manufacturer/national-semiconductor?pageNo=70", "National Semiconductor")</f>
        <v>National Semiconductor</v>
      </c>
      <c r="C8245" s="6">
        <v>612</v>
      </c>
      <c r="D8245" s="7">
        <v>9.08</v>
      </c>
      <c r="E8245" t="s">
        <v>66</v>
      </c>
    </row>
    <row r="8246" spans="1:5" x14ac:dyDescent="0.25">
      <c r="A8246" t="str">
        <f>HYPERLINK("https://www.773grp.com/globalSearch/TP3067N-NOPB/page-1", "TP3067N-NOPB")</f>
        <v>TP3067N-NOPB</v>
      </c>
      <c r="B8246" s="3" t="str">
        <f>HYPERLINK("https://www.773grp.com/manufacturer/national-semiconductor?pageNo=71", "National Semiconductor")</f>
        <v>National Semiconductor</v>
      </c>
      <c r="C8246" s="6">
        <v>12690</v>
      </c>
      <c r="D8246" s="7">
        <v>9.08</v>
      </c>
      <c r="E8246" t="s">
        <v>66</v>
      </c>
    </row>
    <row r="8247" spans="1:5" x14ac:dyDescent="0.25">
      <c r="A8247" t="str">
        <f>HYPERLINK("https://www.773grp.com/globalSearch/ADC128S022CIMT-NOPB/page-1", "ADC128S022CIMT-NOPB")</f>
        <v>ADC128S022CIMT-NOPB</v>
      </c>
      <c r="B8247" s="3" t="str">
        <f>HYPERLINK("https://www.773grp.com/manufacturer/national-semiconductor?pageNo=72", "National Semiconductor")</f>
        <v>National Semiconductor</v>
      </c>
      <c r="C8247" s="6">
        <v>137</v>
      </c>
      <c r="D8247" s="7">
        <v>9.11</v>
      </c>
    </row>
    <row r="8248" spans="1:5" x14ac:dyDescent="0.25">
      <c r="A8248" t="str">
        <f>HYPERLINK("https://www.773grp.com/globalSearch/LM3753SQ-NOPB/page-1", "LM3753SQ-NOPB")</f>
        <v>LM3753SQ-NOPB</v>
      </c>
      <c r="B8248" s="3" t="str">
        <f>HYPERLINK("https://www.773grp.com/manufacturer/national-semiconductor?pageNo=73", "National Semiconductor")</f>
        <v>National Semiconductor</v>
      </c>
      <c r="C8248" s="6">
        <v>3000</v>
      </c>
      <c r="D8248" s="7">
        <v>9.11</v>
      </c>
    </row>
    <row r="8249" spans="1:5" x14ac:dyDescent="0.25">
      <c r="A8249" t="str">
        <f>HYPERLINK("https://www.773grp.com/globalSearch/ADC128S022CIMT-NOPB/page-1", "ADC128S022CIMT-NOPB")</f>
        <v>ADC128S022CIMT-NOPB</v>
      </c>
      <c r="B8249" s="3" t="str">
        <f>HYPERLINK("https://www.773grp.com/manufacturer/national-semiconductor?pageNo=74", "National Semiconductor")</f>
        <v>National Semiconductor</v>
      </c>
      <c r="C8249" s="6">
        <v>271</v>
      </c>
      <c r="D8249" s="7">
        <v>9.11</v>
      </c>
    </row>
    <row r="8250" spans="1:5" x14ac:dyDescent="0.25">
      <c r="A8250" t="str">
        <f>HYPERLINK("https://www.773grp.com/globalSearch/LM3753SQ-NOPB/page-1", "LM3753SQ-NOPB")</f>
        <v>LM3753SQ-NOPB</v>
      </c>
      <c r="B8250" s="3" t="str">
        <f>HYPERLINK("https://www.773grp.com/manufacturer/national-semiconductor?pageNo=75", "National Semiconductor")</f>
        <v>National Semiconductor</v>
      </c>
      <c r="C8250" s="6">
        <v>1968</v>
      </c>
      <c r="D8250" s="7">
        <v>9.11</v>
      </c>
    </row>
    <row r="8251" spans="1:5" x14ac:dyDescent="0.25">
      <c r="A8251" t="str">
        <f>HYPERLINK("https://www.773grp.com/globalSearch/40161BDM/page-1", "40161BDM")</f>
        <v>40161BDM</v>
      </c>
      <c r="B8251" s="3" t="str">
        <f>HYPERLINK("https://www.773grp.com/manufacturer/national-semiconductor?pageNo=76", "National Semiconductor")</f>
        <v>National Semiconductor</v>
      </c>
      <c r="C8251" s="6">
        <v>1147</v>
      </c>
      <c r="D8251" s="7">
        <v>9.15</v>
      </c>
    </row>
    <row r="8252" spans="1:5" x14ac:dyDescent="0.25">
      <c r="A8252" t="str">
        <f>HYPERLINK("https://www.773grp.com/globalSearch/54F253FM/page-1", "54F253FM")</f>
        <v>54F253FM</v>
      </c>
      <c r="B8252" s="3" t="str">
        <f>HYPERLINK("https://www.773grp.com/manufacturer/national-semiconductor?pageNo=77", "National Semiconductor")</f>
        <v>National Semiconductor</v>
      </c>
      <c r="C8252" s="6">
        <v>43</v>
      </c>
      <c r="D8252" s="7">
        <v>9.15</v>
      </c>
      <c r="E8252" t="s">
        <v>20</v>
      </c>
    </row>
    <row r="8253" spans="1:5" x14ac:dyDescent="0.25">
      <c r="A8253" t="str">
        <f>HYPERLINK("https://www.773grp.com/globalSearch/9311PCQR/page-1", "9311PCQR")</f>
        <v>9311PCQR</v>
      </c>
      <c r="B8253" s="3" t="str">
        <f>HYPERLINK("https://www.773grp.com/manufacturer/national-semiconductor?pageNo=78", "National Semiconductor")</f>
        <v>National Semiconductor</v>
      </c>
      <c r="C8253" s="6">
        <v>1503</v>
      </c>
      <c r="D8253" s="7">
        <v>9.15</v>
      </c>
    </row>
    <row r="8254" spans="1:5" x14ac:dyDescent="0.25">
      <c r="A8254" t="str">
        <f>HYPERLINK("https://www.773grp.com/globalSearch/9334PCQR/page-1", "9334PCQR")</f>
        <v>9334PCQR</v>
      </c>
      <c r="B8254" s="3" t="str">
        <f>HYPERLINK("https://www.773grp.com/manufacturer/national-semiconductor?pageNo=79", "National Semiconductor")</f>
        <v>National Semiconductor</v>
      </c>
      <c r="C8254" s="6">
        <v>1019</v>
      </c>
      <c r="D8254" s="7">
        <v>9.15</v>
      </c>
    </row>
    <row r="8255" spans="1:5" x14ac:dyDescent="0.25">
      <c r="A8255" t="str">
        <f>HYPERLINK("https://www.773grp.com/globalSearch/DM54LS157J-883C/page-1", "DM54LS157J-883C")</f>
        <v>DM54LS157J-883C</v>
      </c>
      <c r="B8255" s="3" t="str">
        <f>HYPERLINK("https://www.773grp.com/manufacturer/national-semiconductor?pageNo=80", "National Semiconductor")</f>
        <v>National Semiconductor</v>
      </c>
      <c r="C8255" s="6">
        <v>170</v>
      </c>
      <c r="D8255" s="7">
        <v>9.15</v>
      </c>
    </row>
    <row r="8256" spans="1:5" x14ac:dyDescent="0.25">
      <c r="A8256" t="str">
        <f>HYPERLINK("https://www.773grp.com/globalSearch/DM54LS193DMQB/page-1", "DM54LS193DMQB")</f>
        <v>DM54LS193DMQB</v>
      </c>
      <c r="B8256" s="3" t="str">
        <f>HYPERLINK("https://www.773grp.com/manufacturer/national-semiconductor?pageNo=81", "National Semiconductor")</f>
        <v>National Semiconductor</v>
      </c>
      <c r="C8256" s="6">
        <v>176</v>
      </c>
      <c r="D8256" s="7">
        <v>9.15</v>
      </c>
    </row>
    <row r="8257" spans="1:5" x14ac:dyDescent="0.25">
      <c r="A8257" t="str">
        <f>HYPERLINK("https://www.773grp.com/globalSearch/DM54S86J-883/page-1", "DM54S86J-883")</f>
        <v>DM54S86J-883</v>
      </c>
      <c r="B8257" s="3" t="str">
        <f>HYPERLINK("https://www.773grp.com/manufacturer/national-semiconductor?pageNo=82", "National Semiconductor")</f>
        <v>National Semiconductor</v>
      </c>
      <c r="C8257" s="6">
        <v>146</v>
      </c>
      <c r="D8257" s="7">
        <v>9.15</v>
      </c>
      <c r="E8257" t="s">
        <v>31</v>
      </c>
    </row>
    <row r="8258" spans="1:5" x14ac:dyDescent="0.25">
      <c r="A8258" t="str">
        <f>HYPERLINK("https://www.773grp.com/globalSearch/DS90CR217MTD-NOPB/page-1", "DS90CR217MTD-NOPB")</f>
        <v>DS90CR217MTD-NOPB</v>
      </c>
      <c r="B8258" s="3" t="str">
        <f>HYPERLINK("https://www.773grp.com/manufacturer/national-semiconductor?pageNo=83", "National Semiconductor")</f>
        <v>National Semiconductor</v>
      </c>
      <c r="C8258" s="6">
        <v>331</v>
      </c>
      <c r="D8258" s="7">
        <v>9.15</v>
      </c>
      <c r="E8258" t="s">
        <v>21</v>
      </c>
    </row>
    <row r="8259" spans="1:5" x14ac:dyDescent="0.25">
      <c r="A8259" t="str">
        <f>HYPERLINK("https://www.773grp.com/globalSearch/LM2576HVSX-12/page-1", "LM2576HVSX-12")</f>
        <v>LM2576HVSX-12</v>
      </c>
      <c r="B8259" s="3" t="str">
        <f>HYPERLINK("https://www.773grp.com/manufacturer/national-semiconductor?pageNo=84", "National Semiconductor")</f>
        <v>National Semiconductor</v>
      </c>
      <c r="C8259" s="6">
        <v>500</v>
      </c>
      <c r="D8259" s="7">
        <v>9.15</v>
      </c>
      <c r="E8259" t="s">
        <v>7</v>
      </c>
    </row>
    <row r="8260" spans="1:5" x14ac:dyDescent="0.25">
      <c r="A8260" t="str">
        <f>HYPERLINK("https://www.773grp.com/globalSearch/LM2576HVT-12/page-1", "LM2576HVT-12")</f>
        <v>LM2576HVT-12</v>
      </c>
      <c r="B8260" s="3" t="str">
        <f>HYPERLINK("https://www.773grp.com/manufacturer/national-semiconductor?pageNo=85", "National Semiconductor")</f>
        <v>National Semiconductor</v>
      </c>
      <c r="C8260" s="6">
        <v>245</v>
      </c>
      <c r="D8260" s="7">
        <v>9.15</v>
      </c>
      <c r="E8260" t="s">
        <v>7</v>
      </c>
    </row>
    <row r="8261" spans="1:5" x14ac:dyDescent="0.25">
      <c r="A8261" t="str">
        <f>HYPERLINK("https://www.773grp.com/globalSearch/LM2576HVT-15/page-1", "LM2576HVT-15")</f>
        <v>LM2576HVT-15</v>
      </c>
      <c r="B8261" s="3" t="str">
        <f>HYPERLINK("https://www.773grp.com/manufacturer/national-semiconductor?pageNo=86", "National Semiconductor")</f>
        <v>National Semiconductor</v>
      </c>
      <c r="C8261" s="6">
        <v>147</v>
      </c>
      <c r="D8261" s="7">
        <v>9.15</v>
      </c>
      <c r="E8261" t="s">
        <v>7</v>
      </c>
    </row>
    <row r="8262" spans="1:5" x14ac:dyDescent="0.25">
      <c r="A8262" t="str">
        <f>HYPERLINK("https://www.773grp.com/globalSearch/LM2576HVT-5.0/page-1", "LM2576HVT-5.0")</f>
        <v>LM2576HVT-5.0</v>
      </c>
      <c r="B8262" s="3" t="str">
        <f>HYPERLINK("https://www.773grp.com/manufacturer/national-semiconductor?pageNo=87", "National Semiconductor")</f>
        <v>National Semiconductor</v>
      </c>
      <c r="C8262" s="6">
        <v>4065</v>
      </c>
      <c r="D8262" s="7">
        <v>9.15</v>
      </c>
      <c r="E8262" t="s">
        <v>7</v>
      </c>
    </row>
    <row r="8263" spans="1:5" x14ac:dyDescent="0.25">
      <c r="A8263" t="str">
        <f>HYPERLINK("https://www.773grp.com/globalSearch/LM2576HVT-ADJ-LB03/page-1", "LM2576HVT-ADJ-LB03")</f>
        <v>LM2576HVT-ADJ-LB03</v>
      </c>
      <c r="B8263" s="3" t="str">
        <f>HYPERLINK("https://www.773grp.com/manufacturer/national-semiconductor?pageNo=88", "National Semiconductor")</f>
        <v>National Semiconductor</v>
      </c>
      <c r="C8263" s="6">
        <v>50</v>
      </c>
      <c r="D8263" s="7">
        <v>9.15</v>
      </c>
    </row>
    <row r="8264" spans="1:5" x14ac:dyDescent="0.25">
      <c r="A8264" t="str">
        <f>HYPERLINK("https://www.773grp.com/globalSearch/LM27213SQ/page-1", "LM27213SQ")</f>
        <v>LM27213SQ</v>
      </c>
      <c r="B8264" s="3" t="str">
        <f>HYPERLINK("https://www.773grp.com/manufacturer/national-semiconductor?pageNo=89", "National Semiconductor")</f>
        <v>National Semiconductor</v>
      </c>
      <c r="C8264" s="6">
        <v>250</v>
      </c>
      <c r="D8264" s="7">
        <v>9.15</v>
      </c>
      <c r="E8264" t="s">
        <v>7</v>
      </c>
    </row>
    <row r="8265" spans="1:5" x14ac:dyDescent="0.25">
      <c r="A8265" t="str">
        <f>HYPERLINK("https://www.773grp.com/globalSearch/LMP8358MT-NOPB/page-1", "LMP8358MT-NOPB")</f>
        <v>LMP8358MT-NOPB</v>
      </c>
      <c r="B8265" s="3" t="str">
        <f>HYPERLINK("https://www.773grp.com/manufacturer/national-semiconductor?pageNo=90", "National Semiconductor")</f>
        <v>National Semiconductor</v>
      </c>
      <c r="C8265" s="6">
        <v>666</v>
      </c>
      <c r="D8265" s="7">
        <v>9.15</v>
      </c>
    </row>
    <row r="8266" spans="1:5" x14ac:dyDescent="0.25">
      <c r="A8266" t="str">
        <f>HYPERLINK("https://www.773grp.com/globalSearch/LP3971SQ-B410/page-1", "LP3971SQ-B410")</f>
        <v>LP3971SQ-B410</v>
      </c>
      <c r="B8266" s="3" t="str">
        <f>HYPERLINK("https://www.773grp.com/manufacturer/national-semiconductor?pageNo=91", "National Semiconductor")</f>
        <v>National Semiconductor</v>
      </c>
      <c r="C8266" s="6">
        <v>2000</v>
      </c>
      <c r="D8266" s="7">
        <v>9.15</v>
      </c>
      <c r="E8266" t="s">
        <v>30</v>
      </c>
    </row>
    <row r="8267" spans="1:5" x14ac:dyDescent="0.25">
      <c r="A8267" t="str">
        <f>HYPERLINK("https://www.773grp.com/globalSearch/LP3971SQ-F211/page-1", "LP3971SQ-F211")</f>
        <v>LP3971SQ-F211</v>
      </c>
      <c r="B8267" s="3" t="str">
        <f>HYPERLINK("https://www.773grp.com/manufacturer/national-semiconductor?pageNo=92", "National Semiconductor")</f>
        <v>National Semiconductor</v>
      </c>
      <c r="C8267" s="6">
        <v>1000</v>
      </c>
      <c r="D8267" s="7">
        <v>9.15</v>
      </c>
      <c r="E8267" t="s">
        <v>30</v>
      </c>
    </row>
    <row r="8268" spans="1:5" x14ac:dyDescent="0.25">
      <c r="A8268" t="str">
        <f>HYPERLINK("https://www.773grp.com/globalSearch/LP3972SQ-A413/page-1", "LP3972SQ-A413")</f>
        <v>LP3972SQ-A413</v>
      </c>
      <c r="B8268" s="3" t="str">
        <f>HYPERLINK("https://www.773grp.com/manufacturer/national-semiconductor?pageNo=93", "National Semiconductor")</f>
        <v>National Semiconductor</v>
      </c>
      <c r="C8268" s="6">
        <v>1960</v>
      </c>
      <c r="D8268" s="7">
        <v>9.15</v>
      </c>
      <c r="E8268" t="s">
        <v>30</v>
      </c>
    </row>
    <row r="8269" spans="1:5" x14ac:dyDescent="0.25">
      <c r="A8269" t="str">
        <f>HYPERLINK("https://www.773grp.com/globalSearch/MM4699BJ-883C/page-1", "MM4699BJ-883C")</f>
        <v>MM4699BJ-883C</v>
      </c>
      <c r="B8269" s="3" t="str">
        <f>HYPERLINK("https://www.773grp.com/manufacturer/national-semiconductor?pageNo=94", "National Semiconductor")</f>
        <v>National Semiconductor</v>
      </c>
      <c r="C8269" s="6">
        <v>243</v>
      </c>
      <c r="D8269" s="7">
        <v>9.15</v>
      </c>
    </row>
    <row r="8270" spans="1:5" x14ac:dyDescent="0.25">
      <c r="A8270" t="str">
        <f>HYPERLINK("https://www.773grp.com/globalSearch/DS90CR217MTD-NOPB/page-1", "DS90CR217MTD-NOPB")</f>
        <v>DS90CR217MTD-NOPB</v>
      </c>
      <c r="B8270" s="3" t="str">
        <f>HYPERLINK("https://www.773grp.com/manufacturer/national-semiconductor?pageNo=95", "National Semiconductor")</f>
        <v>National Semiconductor</v>
      </c>
      <c r="C8270" s="6">
        <v>187</v>
      </c>
      <c r="D8270" s="7">
        <v>9.15</v>
      </c>
      <c r="E8270" t="s">
        <v>21</v>
      </c>
    </row>
    <row r="8271" spans="1:5" x14ac:dyDescent="0.25">
      <c r="A8271" t="str">
        <f>HYPERLINK("https://www.773grp.com/globalSearch/DS90CR217MTD-NOPB/page-1", "DS90CR217MTD-NOPB")</f>
        <v>DS90CR217MTD-NOPB</v>
      </c>
      <c r="B8271" s="3" t="str">
        <f>HYPERLINK("https://www.773grp.com/manufacturer/national-semiconductor?pageNo=96", "National Semiconductor")</f>
        <v>National Semiconductor</v>
      </c>
      <c r="C8271" s="6">
        <v>152</v>
      </c>
      <c r="D8271" s="7">
        <v>9.15</v>
      </c>
      <c r="E8271" t="s">
        <v>21</v>
      </c>
    </row>
    <row r="8272" spans="1:5" x14ac:dyDescent="0.25">
      <c r="A8272" t="str">
        <f>HYPERLINK("https://www.773grp.com/globalSearch/LM2576HVSX-5.0/page-1", "LM2576HVSX-5.0")</f>
        <v>LM2576HVSX-5.0</v>
      </c>
      <c r="B8272" s="3" t="str">
        <f>HYPERLINK("https://www.773grp.com/manufacturer/national-semiconductor?pageNo=97", "National Semiconductor")</f>
        <v>National Semiconductor</v>
      </c>
      <c r="C8272" s="6">
        <v>1500</v>
      </c>
      <c r="D8272" s="7">
        <v>9.15</v>
      </c>
    </row>
    <row r="8273" spans="1:5" x14ac:dyDescent="0.25">
      <c r="A8273" t="str">
        <f>HYPERLINK("https://www.773grp.com/globalSearch/LM2576HVT-12/page-1", "LM2576HVT-12")</f>
        <v>LM2576HVT-12</v>
      </c>
      <c r="B8273" s="3" t="str">
        <f>HYPERLINK("https://www.773grp.com/manufacturer/national-semiconductor?pageNo=98", "National Semiconductor")</f>
        <v>National Semiconductor</v>
      </c>
      <c r="C8273" s="6">
        <v>957</v>
      </c>
      <c r="D8273" s="7">
        <v>9.15</v>
      </c>
      <c r="E8273" t="s">
        <v>7</v>
      </c>
    </row>
    <row r="8274" spans="1:5" x14ac:dyDescent="0.25">
      <c r="A8274" t="str">
        <f>HYPERLINK("https://www.773grp.com/globalSearch/LM2576HVT-15/page-1", "LM2576HVT-15")</f>
        <v>LM2576HVT-15</v>
      </c>
      <c r="B8274" s="3" t="str">
        <f>HYPERLINK("https://www.773grp.com/manufacturer/national-semiconductor?pageNo=99", "National Semiconductor")</f>
        <v>National Semiconductor</v>
      </c>
      <c r="C8274" s="6">
        <v>369</v>
      </c>
      <c r="D8274" s="7">
        <v>9.15</v>
      </c>
      <c r="E8274" t="s">
        <v>7</v>
      </c>
    </row>
    <row r="8275" spans="1:5" x14ac:dyDescent="0.25">
      <c r="A8275" t="str">
        <f>HYPERLINK("https://www.773grp.com/globalSearch/LM2576HVT-15-LB03/page-1", "LM2576HVT-15-LB03")</f>
        <v>LM2576HVT-15-LB03</v>
      </c>
      <c r="B8275" s="3" t="str">
        <f>HYPERLINK("https://www.773grp.com/manufacturer/national-semiconductor?pageNo=100", "National Semiconductor")</f>
        <v>National Semiconductor</v>
      </c>
      <c r="C8275" s="6">
        <v>263</v>
      </c>
      <c r="D8275" s="7">
        <v>9.15</v>
      </c>
    </row>
    <row r="8276" spans="1:5" x14ac:dyDescent="0.25">
      <c r="A8276" t="str">
        <f>HYPERLINK("https://www.773grp.com/globalSearch/LMP8358MA-NOPB/page-1", "LMP8358MA-NOPB")</f>
        <v>LMP8358MA-NOPB</v>
      </c>
      <c r="B8276" s="3" t="str">
        <f>HYPERLINK("https://www.773grp.com/manufacturer/national-semiconductor?pageNo=101", "National Semiconductor")</f>
        <v>National Semiconductor</v>
      </c>
      <c r="C8276" s="6">
        <v>251</v>
      </c>
      <c r="D8276" s="7">
        <v>9.15</v>
      </c>
    </row>
    <row r="8277" spans="1:5" x14ac:dyDescent="0.25">
      <c r="A8277" t="str">
        <f>HYPERLINK("https://www.773grp.com/globalSearch/LMP8358MT-NOPB/page-1", "LMP8358MT-NOPB")</f>
        <v>LMP8358MT-NOPB</v>
      </c>
      <c r="B8277" s="3" t="str">
        <f>HYPERLINK("https://www.773grp.com/manufacturer/national-semiconductor?pageNo=102", "National Semiconductor")</f>
        <v>National Semiconductor</v>
      </c>
      <c r="C8277" s="6">
        <v>502</v>
      </c>
      <c r="D8277" s="7">
        <v>9.15</v>
      </c>
    </row>
    <row r="8278" spans="1:5" x14ac:dyDescent="0.25">
      <c r="A8278" t="str">
        <f>HYPERLINK("https://www.773grp.com/globalSearch/4019BDC/page-1", "4019BDC")</f>
        <v>4019BDC</v>
      </c>
      <c r="B8278" s="3" t="str">
        <f>HYPERLINK("https://www.773grp.com/manufacturer/national-semiconductor?pageNo=103", "National Semiconductor")</f>
        <v>National Semiconductor</v>
      </c>
      <c r="C8278" s="6">
        <v>4931</v>
      </c>
      <c r="D8278" s="7">
        <v>9.16</v>
      </c>
    </row>
    <row r="8279" spans="1:5" x14ac:dyDescent="0.25">
      <c r="A8279" t="str">
        <f>HYPERLINK("https://www.773grp.com/globalSearch/LMC6084IMX/page-1", "LMC6084IMX")</f>
        <v>LMC6084IMX</v>
      </c>
      <c r="B8279" s="3" t="str">
        <f>HYPERLINK("https://www.773grp.com/manufacturer/national-semiconductor?pageNo=104", "National Semiconductor")</f>
        <v>National Semiconductor</v>
      </c>
      <c r="C8279" s="6">
        <v>15000</v>
      </c>
      <c r="D8279" s="7">
        <v>9.16</v>
      </c>
      <c r="E8279" t="s">
        <v>13</v>
      </c>
    </row>
    <row r="8280" spans="1:5" x14ac:dyDescent="0.25">
      <c r="A8280" t="str">
        <f>HYPERLINK("https://www.773grp.com/globalSearch/74F299SCX/page-1", "74F299SCX")</f>
        <v>74F299SCX</v>
      </c>
      <c r="B8280" s="3" t="str">
        <f>HYPERLINK("https://www.773grp.com/manufacturer/national-semiconductor?pageNo=105", "National Semiconductor")</f>
        <v>National Semiconductor</v>
      </c>
      <c r="C8280" s="6">
        <v>2000</v>
      </c>
      <c r="D8280" s="7">
        <v>9.1999999999999993</v>
      </c>
      <c r="E8280" t="s">
        <v>32</v>
      </c>
    </row>
    <row r="8281" spans="1:5" x14ac:dyDescent="0.25">
      <c r="A8281" t="str">
        <f>HYPERLINK("https://www.773grp.com/globalSearch/74H54DC/page-1", "74H54DC")</f>
        <v>74H54DC</v>
      </c>
      <c r="B8281" s="3" t="str">
        <f>HYPERLINK("https://www.773grp.com/manufacturer/national-semiconductor?pageNo=106", "National Semiconductor")</f>
        <v>National Semiconductor</v>
      </c>
      <c r="C8281" s="6">
        <v>381</v>
      </c>
      <c r="D8281" s="7">
        <v>9.1999999999999993</v>
      </c>
    </row>
    <row r="8282" spans="1:5" x14ac:dyDescent="0.25">
      <c r="A8282" t="str">
        <f>HYPERLINK("https://www.773grp.com/globalSearch/MM54HC138J-883/page-1", "MM54HC138J-883")</f>
        <v>MM54HC138J-883</v>
      </c>
      <c r="B8282" s="3" t="str">
        <f>HYPERLINK("https://www.773grp.com/manufacturer/national-semiconductor?pageNo=107", "National Semiconductor")</f>
        <v>National Semiconductor</v>
      </c>
      <c r="C8282" s="6">
        <v>6</v>
      </c>
      <c r="D8282" s="7">
        <v>9.1999999999999993</v>
      </c>
    </row>
    <row r="8283" spans="1:5" x14ac:dyDescent="0.25">
      <c r="A8283" t="str">
        <f>HYPERLINK("https://www.773grp.com/globalSearch/ADC0848CCN/page-1", "ADC0848CCN")</f>
        <v>ADC0848CCN</v>
      </c>
      <c r="B8283" s="3" t="str">
        <f>HYPERLINK("https://www.773grp.com/manufacturer/national-semiconductor?pageNo=108", "National Semiconductor")</f>
        <v>National Semiconductor</v>
      </c>
      <c r="C8283" s="6">
        <v>18</v>
      </c>
      <c r="D8283" s="7">
        <v>9.23</v>
      </c>
      <c r="E8283" t="s">
        <v>39</v>
      </c>
    </row>
    <row r="8284" spans="1:5" x14ac:dyDescent="0.25">
      <c r="A8284" t="str">
        <f>HYPERLINK("https://www.773grp.com/globalSearch/COP8SAB720M9/page-1", "COP8SAB720M9")</f>
        <v>COP8SAB720M9</v>
      </c>
      <c r="B8284" s="3" t="str">
        <f>HYPERLINK("https://www.773grp.com/manufacturer/national-semiconductor?pageNo=109", "National Semiconductor")</f>
        <v>National Semiconductor</v>
      </c>
      <c r="C8284" s="6">
        <v>11</v>
      </c>
      <c r="D8284" s="7">
        <v>9.23</v>
      </c>
      <c r="E8284" t="s">
        <v>52</v>
      </c>
    </row>
    <row r="8285" spans="1:5" x14ac:dyDescent="0.25">
      <c r="A8285" t="str">
        <f>HYPERLINK("https://www.773grp.com/globalSearch/DM8130N/page-1", "DM8130N")</f>
        <v>DM8130N</v>
      </c>
      <c r="B8285" s="3" t="str">
        <f>HYPERLINK("https://www.773grp.com/manufacturer/national-semiconductor?pageNo=110", "National Semiconductor")</f>
        <v>National Semiconductor</v>
      </c>
      <c r="C8285" s="6">
        <v>2005</v>
      </c>
      <c r="D8285" s="7">
        <v>9.23</v>
      </c>
      <c r="E8285" t="s">
        <v>43</v>
      </c>
    </row>
    <row r="8286" spans="1:5" x14ac:dyDescent="0.25">
      <c r="A8286" t="str">
        <f>HYPERLINK("https://www.773grp.com/globalSearch/ADC0809CCV-NOPB/page-1", "ADC0809CCV-NOPB")</f>
        <v>ADC0809CCV-NOPB</v>
      </c>
      <c r="B8286" s="3" t="str">
        <f>HYPERLINK("https://www.773grp.com/manufacturer/national-semiconductor?pageNo=111", "National Semiconductor")</f>
        <v>National Semiconductor</v>
      </c>
      <c r="C8286" s="6">
        <v>1285</v>
      </c>
      <c r="D8286" s="7">
        <v>9.25</v>
      </c>
      <c r="E8286" t="s">
        <v>39</v>
      </c>
    </row>
    <row r="8287" spans="1:5" x14ac:dyDescent="0.25">
      <c r="A8287" t="str">
        <f>HYPERLINK("https://www.773grp.com/globalSearch/ADC128S102CIMT-NOPB/page-1", "ADC128S102CIMT-NOPB")</f>
        <v>ADC128S102CIMT-NOPB</v>
      </c>
      <c r="B8287" s="3" t="str">
        <f>HYPERLINK("https://www.773grp.com/manufacturer/national-semiconductor?pageNo=112", "National Semiconductor")</f>
        <v>National Semiconductor</v>
      </c>
      <c r="C8287" s="6">
        <v>43</v>
      </c>
      <c r="D8287" s="7">
        <v>9.25</v>
      </c>
    </row>
    <row r="8288" spans="1:5" x14ac:dyDescent="0.25">
      <c r="A8288" t="str">
        <f>HYPERLINK("https://www.773grp.com/globalSearch/LM2591HVS-5.0/page-1", "LM2591HVS-5.0")</f>
        <v>LM2591HVS-5.0</v>
      </c>
      <c r="B8288" s="3" t="str">
        <f>HYPERLINK("https://www.773grp.com/manufacturer/national-semiconductor?pageNo=113", "National Semiconductor")</f>
        <v>National Semiconductor</v>
      </c>
      <c r="C8288" s="6">
        <v>45</v>
      </c>
      <c r="D8288" s="7">
        <v>9.25</v>
      </c>
      <c r="E8288" t="s">
        <v>7</v>
      </c>
    </row>
    <row r="8289" spans="1:5" x14ac:dyDescent="0.25">
      <c r="A8289" t="str">
        <f>HYPERLINK("https://www.773grp.com/globalSearch/LMC6464AIM/page-1", "LMC6464AIM")</f>
        <v>LMC6464AIM</v>
      </c>
      <c r="B8289" s="3" t="str">
        <f>HYPERLINK("https://www.773grp.com/manufacturer/national-semiconductor?pageNo=114", "National Semiconductor")</f>
        <v>National Semiconductor</v>
      </c>
      <c r="C8289" s="6">
        <v>463</v>
      </c>
      <c r="D8289" s="7">
        <v>9.25</v>
      </c>
      <c r="E8289" t="s">
        <v>13</v>
      </c>
    </row>
    <row r="8290" spans="1:5" x14ac:dyDescent="0.25">
      <c r="A8290" t="str">
        <f>HYPERLINK("https://www.773grp.com/globalSearch/ADC0809CCV-NOPB/page-1", "ADC0809CCV-NOPB")</f>
        <v>ADC0809CCV-NOPB</v>
      </c>
      <c r="B8290" s="3" t="str">
        <f>HYPERLINK("https://www.773grp.com/manufacturer/national-semiconductor?pageNo=115", "National Semiconductor")</f>
        <v>National Semiconductor</v>
      </c>
      <c r="C8290" s="6">
        <v>54</v>
      </c>
      <c r="D8290" s="7">
        <v>9.25</v>
      </c>
      <c r="E8290" t="s">
        <v>39</v>
      </c>
    </row>
    <row r="8291" spans="1:5" x14ac:dyDescent="0.25">
      <c r="A8291" t="str">
        <f>HYPERLINK("https://www.773grp.com/globalSearch/ADC128S102CIMT-NOPB/page-1", "ADC128S102CIMT-NOPB")</f>
        <v>ADC128S102CIMT-NOPB</v>
      </c>
      <c r="B8291" s="3" t="str">
        <f>HYPERLINK("https://www.773grp.com/manufacturer/national-semiconductor?pageNo=116", "National Semiconductor")</f>
        <v>National Semiconductor</v>
      </c>
      <c r="C8291" s="6">
        <v>249</v>
      </c>
      <c r="D8291" s="7">
        <v>9.25</v>
      </c>
    </row>
    <row r="8292" spans="1:5" x14ac:dyDescent="0.25">
      <c r="A8292" t="str">
        <f>HYPERLINK("https://www.773grp.com/globalSearch/LM2591HVS-5.0/page-1", "LM2591HVS-5.0")</f>
        <v>LM2591HVS-5.0</v>
      </c>
      <c r="B8292" s="3" t="str">
        <f>HYPERLINK("https://www.773grp.com/manufacturer/national-semiconductor?pageNo=117", "National Semiconductor")</f>
        <v>National Semiconductor</v>
      </c>
      <c r="C8292" s="6">
        <v>50</v>
      </c>
      <c r="D8292" s="7">
        <v>9.25</v>
      </c>
      <c r="E8292" t="s">
        <v>7</v>
      </c>
    </row>
    <row r="8293" spans="1:5" x14ac:dyDescent="0.25">
      <c r="A8293" t="str">
        <f>HYPERLINK("https://www.773grp.com/globalSearch/7496PC/page-1", "7496PC")</f>
        <v>7496PC</v>
      </c>
      <c r="B8293" s="3" t="str">
        <f>HYPERLINK("https://www.773grp.com/manufacturer/national-semiconductor?pageNo=118", "National Semiconductor")</f>
        <v>National Semiconductor</v>
      </c>
      <c r="C8293" s="6">
        <v>25</v>
      </c>
      <c r="D8293" s="7">
        <v>9.2899999999999991</v>
      </c>
    </row>
    <row r="8294" spans="1:5" x14ac:dyDescent="0.25">
      <c r="A8294" t="str">
        <f>HYPERLINK("https://www.773grp.com/globalSearch/74F182LC/page-1", "74F182LC")</f>
        <v>74F182LC</v>
      </c>
      <c r="B8294" s="3" t="str">
        <f>HYPERLINK("https://www.773grp.com/manufacturer/national-semiconductor?pageNo=119", "National Semiconductor")</f>
        <v>National Semiconductor</v>
      </c>
      <c r="C8294" s="6">
        <v>574</v>
      </c>
      <c r="D8294" s="7">
        <v>9.2899999999999991</v>
      </c>
    </row>
    <row r="8295" spans="1:5" x14ac:dyDescent="0.25">
      <c r="A8295" t="str">
        <f>HYPERLINK("https://www.773grp.com/globalSearch/74FCT821ASC/page-1", "74FCT821ASC")</f>
        <v>74FCT821ASC</v>
      </c>
      <c r="B8295" s="3" t="str">
        <f>HYPERLINK("https://www.773grp.com/manufacturer/national-semiconductor?pageNo=120", "National Semiconductor")</f>
        <v>National Semiconductor</v>
      </c>
      <c r="C8295" s="6">
        <v>1811</v>
      </c>
      <c r="D8295" s="7">
        <v>9.2899999999999991</v>
      </c>
      <c r="E8295" t="s">
        <v>14</v>
      </c>
    </row>
    <row r="8296" spans="1:5" x14ac:dyDescent="0.25">
      <c r="A8296" t="str">
        <f>HYPERLINK("https://www.773grp.com/globalSearch/74FCT821ASPC/page-1", "74FCT821ASPC")</f>
        <v>74FCT821ASPC</v>
      </c>
      <c r="B8296" s="3" t="str">
        <f>HYPERLINK("https://www.773grp.com/manufacturer/national-semiconductor?pageNo=121", "National Semiconductor")</f>
        <v>National Semiconductor</v>
      </c>
      <c r="C8296" s="6">
        <v>3390</v>
      </c>
      <c r="D8296" s="7">
        <v>9.2899999999999991</v>
      </c>
      <c r="E8296" t="s">
        <v>14</v>
      </c>
    </row>
    <row r="8297" spans="1:5" x14ac:dyDescent="0.25">
      <c r="A8297" t="str">
        <f>HYPERLINK("https://www.773grp.com/globalSearch/74LS503SC/page-1", "74LS503SC")</f>
        <v>74LS503SC</v>
      </c>
      <c r="B8297" s="3" t="str">
        <f>HYPERLINK("https://www.773grp.com/manufacturer/national-semiconductor?pageNo=122", "National Semiconductor")</f>
        <v>National Semiconductor</v>
      </c>
      <c r="C8297" s="6">
        <v>1919</v>
      </c>
      <c r="D8297" s="7">
        <v>9.2899999999999991</v>
      </c>
    </row>
    <row r="8298" spans="1:5" x14ac:dyDescent="0.25">
      <c r="A8298" t="str">
        <f>HYPERLINK("https://www.773grp.com/globalSearch/ADC10154CIWM-NOPB/page-1", "ADC10154CIWM-NOPB")</f>
        <v>ADC10154CIWM-NOPB</v>
      </c>
      <c r="B8298" s="3" t="str">
        <f>HYPERLINK("https://www.773grp.com/manufacturer/national-semiconductor?pageNo=123", "National Semiconductor")</f>
        <v>National Semiconductor</v>
      </c>
      <c r="C8298" s="6">
        <v>421</v>
      </c>
      <c r="D8298" s="7">
        <v>9.2899999999999991</v>
      </c>
      <c r="E8298" t="s">
        <v>39</v>
      </c>
    </row>
    <row r="8299" spans="1:5" x14ac:dyDescent="0.25">
      <c r="A8299" t="str">
        <f>HYPERLINK("https://www.773grp.com/globalSearch/DM54S157J-MIL/page-1", "DM54S157J-MIL")</f>
        <v>DM54S157J-MIL</v>
      </c>
      <c r="B8299" s="3" t="str">
        <f>HYPERLINK("https://www.773grp.com/manufacturer/national-semiconductor?pageNo=124", "National Semiconductor")</f>
        <v>National Semiconductor</v>
      </c>
      <c r="C8299" s="6">
        <v>3079</v>
      </c>
      <c r="D8299" s="7">
        <v>9.2899999999999991</v>
      </c>
    </row>
    <row r="8300" spans="1:5" x14ac:dyDescent="0.25">
      <c r="A8300" t="str">
        <f>HYPERLINK("https://www.773grp.com/globalSearch/DM54S158J-MIL/page-1", "DM54S158J-MIL")</f>
        <v>DM54S158J-MIL</v>
      </c>
      <c r="B8300" s="3" t="str">
        <f>HYPERLINK("https://www.773grp.com/manufacturer/national-semiconductor?pageNo=125", "National Semiconductor")</f>
        <v>National Semiconductor</v>
      </c>
      <c r="C8300" s="6">
        <v>803</v>
      </c>
      <c r="D8300" s="7">
        <v>9.2899999999999991</v>
      </c>
    </row>
    <row r="8301" spans="1:5" x14ac:dyDescent="0.25">
      <c r="A8301" t="str">
        <f>HYPERLINK("https://www.773grp.com/globalSearch/DM54S195J-MIL/page-1", "DM54S195J-MIL")</f>
        <v>DM54S195J-MIL</v>
      </c>
      <c r="B8301" s="3" t="str">
        <f>HYPERLINK("https://www.773grp.com/manufacturer/national-semiconductor?pageNo=126", "National Semiconductor")</f>
        <v>National Semiconductor</v>
      </c>
      <c r="C8301" s="6">
        <v>412</v>
      </c>
      <c r="D8301" s="7">
        <v>9.2899999999999991</v>
      </c>
    </row>
    <row r="8302" spans="1:5" x14ac:dyDescent="0.25">
      <c r="A8302" t="str">
        <f>HYPERLINK("https://www.773grp.com/globalSearch/DM7001W-883/page-1", "DM7001W-883")</f>
        <v>DM7001W-883</v>
      </c>
      <c r="B8302" s="3" t="str">
        <f>HYPERLINK("https://www.773grp.com/manufacturer/national-semiconductor?pageNo=127", "National Semiconductor")</f>
        <v>National Semiconductor</v>
      </c>
      <c r="C8302" s="6">
        <v>128</v>
      </c>
      <c r="D8302" s="7">
        <v>9.2899999999999991</v>
      </c>
    </row>
    <row r="8303" spans="1:5" x14ac:dyDescent="0.25">
      <c r="A8303" t="str">
        <f>HYPERLINK("https://www.773grp.com/globalSearch/DM7010W-883/page-1", "DM7010W-883")</f>
        <v>DM7010W-883</v>
      </c>
      <c r="B8303" s="3" t="str">
        <f>HYPERLINK("https://www.773grp.com/manufacturer/national-semiconductor?pageNo=128", "National Semiconductor")</f>
        <v>National Semiconductor</v>
      </c>
      <c r="C8303" s="6">
        <v>5</v>
      </c>
      <c r="D8303" s="7">
        <v>9.2899999999999991</v>
      </c>
    </row>
    <row r="8304" spans="1:5" x14ac:dyDescent="0.25">
      <c r="A8304" t="str">
        <f>HYPERLINK("https://www.773grp.com/globalSearch/DM85L95N/page-1", "DM85L95N")</f>
        <v>DM85L95N</v>
      </c>
      <c r="B8304" s="3" t="str">
        <f>HYPERLINK("https://www.773grp.com/manufacturer/national-semiconductor?pageNo=129", "National Semiconductor")</f>
        <v>National Semiconductor</v>
      </c>
      <c r="C8304" s="6">
        <v>2649</v>
      </c>
      <c r="D8304" s="7">
        <v>9.2899999999999991</v>
      </c>
    </row>
    <row r="8305" spans="1:5" x14ac:dyDescent="0.25">
      <c r="A8305" t="str">
        <f>HYPERLINK("https://www.773grp.com/globalSearch/LM3876T-NOPB/page-1", "LM3876T-NOPB")</f>
        <v>LM3876T-NOPB</v>
      </c>
      <c r="B8305" s="3" t="str">
        <f>HYPERLINK("https://www.773grp.com/manufacturer/national-semiconductor?pageNo=130", "National Semiconductor")</f>
        <v>National Semiconductor</v>
      </c>
      <c r="C8305" s="6">
        <v>8590</v>
      </c>
      <c r="D8305" s="7">
        <v>9.2899999999999991</v>
      </c>
    </row>
    <row r="8306" spans="1:5" x14ac:dyDescent="0.25">
      <c r="A8306" t="str">
        <f>HYPERLINK("https://www.773grp.com/globalSearch/LM3876TF-NOPB/page-1", "LM3876TF-NOPB")</f>
        <v>LM3876TF-NOPB</v>
      </c>
      <c r="B8306" s="3" t="str">
        <f>HYPERLINK("https://www.773grp.com/manufacturer/national-semiconductor?pageNo=131", "National Semiconductor")</f>
        <v>National Semiconductor</v>
      </c>
      <c r="C8306" s="6">
        <v>1112</v>
      </c>
      <c r="D8306" s="7">
        <v>9.2899999999999991</v>
      </c>
      <c r="E8306" t="s">
        <v>18</v>
      </c>
    </row>
    <row r="8307" spans="1:5" x14ac:dyDescent="0.25">
      <c r="A8307" t="str">
        <f>HYPERLINK("https://www.773grp.com/globalSearch/LM4550BVHX-NOPB/page-1", "LM4550BVHX-NOPB")</f>
        <v>LM4550BVHX-NOPB</v>
      </c>
      <c r="B8307" s="3" t="str">
        <f>HYPERLINK("https://www.773grp.com/manufacturer/national-semiconductor?pageNo=132", "National Semiconductor")</f>
        <v>National Semiconductor</v>
      </c>
      <c r="C8307" s="6">
        <v>1000</v>
      </c>
      <c r="D8307" s="7">
        <v>9.2899999999999991</v>
      </c>
      <c r="E8307" t="s">
        <v>23</v>
      </c>
    </row>
    <row r="8308" spans="1:5" x14ac:dyDescent="0.25">
      <c r="A8308" t="str">
        <f>HYPERLINK("https://www.773grp.com/globalSearch/LM4730TA-NOPB/page-1", "LM4730TA-NOPB")</f>
        <v>LM4730TA-NOPB</v>
      </c>
      <c r="B8308" s="3" t="str">
        <f>HYPERLINK("https://www.773grp.com/manufacturer/national-semiconductor?pageNo=133", "National Semiconductor")</f>
        <v>National Semiconductor</v>
      </c>
      <c r="C8308" s="6">
        <v>231</v>
      </c>
      <c r="D8308" s="7">
        <v>9.2899999999999991</v>
      </c>
      <c r="E8308" t="s">
        <v>18</v>
      </c>
    </row>
    <row r="8309" spans="1:5" x14ac:dyDescent="0.25">
      <c r="A8309" t="str">
        <f>HYPERLINK("https://www.773grp.com/globalSearch/TP3054WM-X/page-1", "TP3054WM-X")</f>
        <v>TP3054WM-X</v>
      </c>
      <c r="B8309" s="3" t="str">
        <f>HYPERLINK("https://www.773grp.com/manufacturer/national-semiconductor?pageNo=134", "National Semiconductor")</f>
        <v>National Semiconductor</v>
      </c>
      <c r="C8309" s="6">
        <v>36</v>
      </c>
      <c r="D8309" s="7">
        <v>9.2899999999999991</v>
      </c>
      <c r="E8309" t="s">
        <v>66</v>
      </c>
    </row>
    <row r="8310" spans="1:5" x14ac:dyDescent="0.25">
      <c r="A8310" t="str">
        <f>HYPERLINK("https://www.773grp.com/globalSearch/ADC10154CIWM-NOPB/page-1", "ADC10154CIWM-NOPB")</f>
        <v>ADC10154CIWM-NOPB</v>
      </c>
      <c r="B8310" s="3" t="str">
        <f>HYPERLINK("https://www.773grp.com/manufacturer/national-semiconductor?pageNo=1", "National Semiconductor")</f>
        <v>National Semiconductor</v>
      </c>
      <c r="C8310" s="6">
        <v>270</v>
      </c>
      <c r="D8310" s="7">
        <v>9.2899999999999991</v>
      </c>
      <c r="E8310" t="s">
        <v>39</v>
      </c>
    </row>
    <row r="8311" spans="1:5" x14ac:dyDescent="0.25">
      <c r="A8311" t="str">
        <f>HYPERLINK("https://www.773grp.com/globalSearch/LM3876T-NOPB/page-1", "LM3876T-NOPB")</f>
        <v>LM3876T-NOPB</v>
      </c>
      <c r="B8311" s="3" t="str">
        <f>HYPERLINK("https://www.773grp.com/manufacturer/national-semiconductor?pageNo=2", "National Semiconductor")</f>
        <v>National Semiconductor</v>
      </c>
      <c r="C8311" s="6">
        <v>223</v>
      </c>
      <c r="D8311" s="7">
        <v>9.2899999999999991</v>
      </c>
    </row>
    <row r="8312" spans="1:5" x14ac:dyDescent="0.25">
      <c r="A8312" t="str">
        <f>HYPERLINK("https://www.773grp.com/globalSearch/LM3876TF-NOPB/page-1", "LM3876TF-NOPB")</f>
        <v>LM3876TF-NOPB</v>
      </c>
      <c r="B8312" s="3" t="str">
        <f>HYPERLINK("https://www.773grp.com/manufacturer/national-semiconductor?pageNo=3", "National Semiconductor")</f>
        <v>National Semiconductor</v>
      </c>
      <c r="C8312" s="6">
        <v>1414</v>
      </c>
      <c r="D8312" s="7">
        <v>9.2899999999999991</v>
      </c>
      <c r="E8312" t="s">
        <v>18</v>
      </c>
    </row>
    <row r="8313" spans="1:5" x14ac:dyDescent="0.25">
      <c r="A8313" t="str">
        <f>HYPERLINK("https://www.773grp.com/globalSearch/LM5118Q1MH-NOPB/page-1", "LM5118Q1MH-NOPB")</f>
        <v>LM5118Q1MH-NOPB</v>
      </c>
      <c r="B8313" s="3" t="str">
        <f>HYPERLINK("https://www.773grp.com/manufacturer/national-semiconductor?pageNo=4", "National Semiconductor")</f>
        <v>National Semiconductor</v>
      </c>
      <c r="C8313" s="6">
        <v>895</v>
      </c>
      <c r="D8313" s="7">
        <v>9.2899999999999991</v>
      </c>
    </row>
    <row r="8314" spans="1:5" x14ac:dyDescent="0.25">
      <c r="A8314" t="str">
        <f>HYPERLINK("https://www.773grp.com/globalSearch/LMP7312MA/page-1", "LMP7312MA")</f>
        <v>LMP7312MA</v>
      </c>
      <c r="B8314" s="3" t="str">
        <f>HYPERLINK("https://www.773grp.com/manufacturer/national-semiconductor?pageNo=5", "National Semiconductor")</f>
        <v>National Semiconductor</v>
      </c>
      <c r="C8314" s="6">
        <v>62</v>
      </c>
      <c r="D8314" s="7">
        <v>9.2899999999999991</v>
      </c>
      <c r="E8314" t="s">
        <v>13</v>
      </c>
    </row>
    <row r="8315" spans="1:5" x14ac:dyDescent="0.25">
      <c r="A8315" t="str">
        <f>HYPERLINK("https://www.773grp.com/globalSearch/LMP8358MA/page-1", "LMP8358MA")</f>
        <v>LMP8358MA</v>
      </c>
      <c r="B8315" s="3" t="str">
        <f>HYPERLINK("https://www.773grp.com/manufacturer/national-semiconductor?pageNo=6", "National Semiconductor")</f>
        <v>National Semiconductor</v>
      </c>
      <c r="C8315" s="6">
        <v>22</v>
      </c>
      <c r="D8315" s="7">
        <v>9.2899999999999991</v>
      </c>
      <c r="E8315" t="s">
        <v>70</v>
      </c>
    </row>
    <row r="8316" spans="1:5" x14ac:dyDescent="0.25">
      <c r="A8316" t="str">
        <f>HYPERLINK("https://www.773grp.com/globalSearch/TP3054WM-X/page-1", "TP3054WM-X")</f>
        <v>TP3054WM-X</v>
      </c>
      <c r="B8316" s="3" t="str">
        <f>HYPERLINK("https://www.773grp.com/manufacturer/national-semiconductor?pageNo=7", "National Semiconductor")</f>
        <v>National Semiconductor</v>
      </c>
      <c r="C8316" s="6">
        <v>990</v>
      </c>
      <c r="D8316" s="7">
        <v>9.2899999999999991</v>
      </c>
      <c r="E8316" t="s">
        <v>66</v>
      </c>
    </row>
    <row r="8317" spans="1:5" x14ac:dyDescent="0.25">
      <c r="A8317" t="str">
        <f>HYPERLINK("https://www.773grp.com/globalSearch/UC3872DWTR/page-1", "UC3872DWTR")</f>
        <v>UC3872DWTR</v>
      </c>
      <c r="B8317" s="3" t="str">
        <f>HYPERLINK("https://www.773grp.com/manufacturer/national-semiconductor?pageNo=8", "National Semiconductor")</f>
        <v>National Semiconductor</v>
      </c>
      <c r="C8317" s="6">
        <v>2000</v>
      </c>
      <c r="D8317" s="7">
        <v>9.2899999999999991</v>
      </c>
    </row>
    <row r="8318" spans="1:5" x14ac:dyDescent="0.25">
      <c r="A8318" t="str">
        <f>HYPERLINK("https://www.773grp.com/globalSearch/ADC12032CIWM/page-1", "ADC12032CIWM")</f>
        <v>ADC12032CIWM</v>
      </c>
      <c r="B8318" s="3" t="str">
        <f>HYPERLINK("https://www.773grp.com/manufacturer/national-semiconductor?pageNo=9", "National Semiconductor")</f>
        <v>National Semiconductor</v>
      </c>
      <c r="C8318" s="6">
        <v>1269</v>
      </c>
      <c r="D8318" s="7">
        <v>9.31</v>
      </c>
      <c r="E8318" t="s">
        <v>39</v>
      </c>
    </row>
    <row r="8319" spans="1:5" x14ac:dyDescent="0.25">
      <c r="A8319" t="str">
        <f>HYPERLINK("https://www.773grp.com/globalSearch/DS96F174CJ/page-1", "DS96F174CJ")</f>
        <v>DS96F174CJ</v>
      </c>
      <c r="B8319" s="3" t="str">
        <f>HYPERLINK("https://www.773grp.com/manufacturer/national-semiconductor?pageNo=10", "National Semiconductor")</f>
        <v>National Semiconductor</v>
      </c>
      <c r="C8319" s="6">
        <v>7006</v>
      </c>
      <c r="D8319" s="7">
        <v>9.31</v>
      </c>
      <c r="E8319" t="s">
        <v>21</v>
      </c>
    </row>
    <row r="8320" spans="1:5" x14ac:dyDescent="0.25">
      <c r="A8320" t="str">
        <f>HYPERLINK("https://www.773grp.com/globalSearch/DS96F175CJ/page-1", "DS96F175CJ")</f>
        <v>DS96F175CJ</v>
      </c>
      <c r="B8320" s="3" t="str">
        <f>HYPERLINK("https://www.773grp.com/manufacturer/national-semiconductor?pageNo=11", "National Semiconductor")</f>
        <v>National Semiconductor</v>
      </c>
      <c r="C8320" s="6">
        <v>2432</v>
      </c>
      <c r="D8320" s="7">
        <v>9.31</v>
      </c>
      <c r="E8320" t="s">
        <v>21</v>
      </c>
    </row>
    <row r="8321" spans="1:5" x14ac:dyDescent="0.25">
      <c r="A8321" t="str">
        <f>HYPERLINK("https://www.773grp.com/globalSearch/LM2453TA/page-1", "LM2453TA")</f>
        <v>LM2453TA</v>
      </c>
      <c r="B8321" s="3" t="str">
        <f>HYPERLINK("https://www.773grp.com/manufacturer/national-semiconductor?pageNo=12", "National Semiconductor")</f>
        <v>National Semiconductor</v>
      </c>
      <c r="C8321" s="6">
        <v>8940</v>
      </c>
      <c r="D8321" s="7">
        <v>9.31</v>
      </c>
      <c r="E8321" t="s">
        <v>18</v>
      </c>
    </row>
    <row r="8322" spans="1:5" x14ac:dyDescent="0.25">
      <c r="A8322" t="str">
        <f>HYPERLINK("https://www.773grp.com/globalSearch/LM2677LD-12/page-1", "LM2677LD-12")</f>
        <v>LM2677LD-12</v>
      </c>
      <c r="B8322" s="3" t="str">
        <f>HYPERLINK("https://www.773grp.com/manufacturer/national-semiconductor?pageNo=13", "National Semiconductor")</f>
        <v>National Semiconductor</v>
      </c>
      <c r="C8322" s="6">
        <v>750</v>
      </c>
      <c r="D8322" s="7">
        <v>9.31</v>
      </c>
      <c r="E8322" t="s">
        <v>7</v>
      </c>
    </row>
    <row r="8323" spans="1:5" x14ac:dyDescent="0.25">
      <c r="A8323" t="str">
        <f>HYPERLINK("https://www.773grp.com/globalSearch/LM6142AIMX/page-1", "LM6142AIMX")</f>
        <v>LM6142AIMX</v>
      </c>
      <c r="B8323" s="3" t="str">
        <f>HYPERLINK("https://www.773grp.com/manufacturer/national-semiconductor?pageNo=14", "National Semiconductor")</f>
        <v>National Semiconductor</v>
      </c>
      <c r="C8323" s="6">
        <v>2500</v>
      </c>
      <c r="D8323" s="7">
        <v>9.31</v>
      </c>
      <c r="E8323" t="s">
        <v>13</v>
      </c>
    </row>
    <row r="8324" spans="1:5" x14ac:dyDescent="0.25">
      <c r="A8324" t="str">
        <f>HYPERLINK("https://www.773grp.com/globalSearch/LMH6502MAX-NOPB/page-1", "LMH6502MAX-NOPB")</f>
        <v>LMH6502MAX-NOPB</v>
      </c>
      <c r="B8324" s="3" t="str">
        <f>HYPERLINK("https://www.773grp.com/manufacturer/national-semiconductor?pageNo=15", "National Semiconductor")</f>
        <v>National Semiconductor</v>
      </c>
      <c r="C8324" s="6">
        <v>5000</v>
      </c>
      <c r="D8324" s="7">
        <v>9.31</v>
      </c>
      <c r="E8324" t="s">
        <v>40</v>
      </c>
    </row>
    <row r="8325" spans="1:5" x14ac:dyDescent="0.25">
      <c r="A8325" t="str">
        <f>HYPERLINK("https://www.773grp.com/globalSearch/LMH6503MAX/page-1", "LMH6503MAX")</f>
        <v>LMH6503MAX</v>
      </c>
      <c r="B8325" s="3" t="str">
        <f>HYPERLINK("https://www.773grp.com/manufacturer/national-semiconductor?pageNo=16", "National Semiconductor")</f>
        <v>National Semiconductor</v>
      </c>
      <c r="C8325" s="6">
        <v>2500</v>
      </c>
      <c r="D8325" s="7">
        <v>9.31</v>
      </c>
      <c r="E8325" t="s">
        <v>40</v>
      </c>
    </row>
    <row r="8326" spans="1:5" x14ac:dyDescent="0.25">
      <c r="A8326" t="str">
        <f>HYPERLINK("https://www.773grp.com/globalSearch/LMH6503MAX-NOPB/page-1", "LMH6503MAX-NOPB")</f>
        <v>LMH6503MAX-NOPB</v>
      </c>
      <c r="B8326" s="3" t="str">
        <f>HYPERLINK("https://www.773grp.com/manufacturer/national-semiconductor?pageNo=17", "National Semiconductor")</f>
        <v>National Semiconductor</v>
      </c>
      <c r="C8326" s="6">
        <v>43118</v>
      </c>
      <c r="D8326" s="7">
        <v>9.31</v>
      </c>
      <c r="E8326" t="s">
        <v>40</v>
      </c>
    </row>
    <row r="8327" spans="1:5" x14ac:dyDescent="0.25">
      <c r="A8327" t="str">
        <f>HYPERLINK("https://www.773grp.com/globalSearch/MM5452N/page-1", "MM5452N")</f>
        <v>MM5452N</v>
      </c>
      <c r="B8327" s="3" t="str">
        <f>HYPERLINK("https://www.773grp.com/manufacturer/national-semiconductor?pageNo=18", "National Semiconductor")</f>
        <v>National Semiconductor</v>
      </c>
      <c r="C8327" s="6">
        <v>13</v>
      </c>
      <c r="D8327" s="7">
        <v>9.31</v>
      </c>
      <c r="E8327" t="s">
        <v>10</v>
      </c>
    </row>
    <row r="8328" spans="1:5" x14ac:dyDescent="0.25">
      <c r="A8328" t="str">
        <f>HYPERLINK("https://www.773grp.com/globalSearch/LMH6502MAX-NOPB/page-1", "LMH6502MAX-NOPB")</f>
        <v>LMH6502MAX-NOPB</v>
      </c>
      <c r="B8328" s="3" t="str">
        <f>HYPERLINK("https://www.773grp.com/manufacturer/national-semiconductor?pageNo=19", "National Semiconductor")</f>
        <v>National Semiconductor</v>
      </c>
      <c r="C8328" s="6">
        <v>15000</v>
      </c>
      <c r="D8328" s="7">
        <v>9.31</v>
      </c>
      <c r="E8328" t="s">
        <v>40</v>
      </c>
    </row>
    <row r="8329" spans="1:5" x14ac:dyDescent="0.25">
      <c r="A8329" t="str">
        <f>HYPERLINK("https://www.773grp.com/globalSearch/LMH6503MAX-NOPB/page-1", "LMH6503MAX-NOPB")</f>
        <v>LMH6503MAX-NOPB</v>
      </c>
      <c r="B8329" s="3" t="str">
        <f>HYPERLINK("https://www.773grp.com/manufacturer/national-semiconductor?pageNo=20", "National Semiconductor")</f>
        <v>National Semiconductor</v>
      </c>
      <c r="C8329" s="6">
        <v>57450</v>
      </c>
      <c r="D8329" s="7">
        <v>9.31</v>
      </c>
      <c r="E8329" t="s">
        <v>40</v>
      </c>
    </row>
    <row r="8330" spans="1:5" x14ac:dyDescent="0.25">
      <c r="A8330" t="str">
        <f>HYPERLINK("https://www.773grp.com/globalSearch/LMH6503MTX-NOPB/page-1", "LMH6503MTX-NOPB")</f>
        <v>LMH6503MTX-NOPB</v>
      </c>
      <c r="B8330" s="3" t="str">
        <f>HYPERLINK("https://www.773grp.com/manufacturer/national-semiconductor?pageNo=21", "National Semiconductor")</f>
        <v>National Semiconductor</v>
      </c>
      <c r="C8330" s="6">
        <v>5000</v>
      </c>
      <c r="D8330" s="7">
        <v>9.31</v>
      </c>
    </row>
    <row r="8331" spans="1:5" x14ac:dyDescent="0.25">
      <c r="A8331" t="str">
        <f>HYPERLINK("https://www.773grp.com/globalSearch/9309FM/page-1", "9309FM")</f>
        <v>9309FM</v>
      </c>
      <c r="B8331" s="3" t="str">
        <f>HYPERLINK("https://www.773grp.com/manufacturer/national-semiconductor?pageNo=22", "National Semiconductor")</f>
        <v>National Semiconductor</v>
      </c>
      <c r="C8331" s="6">
        <v>868</v>
      </c>
      <c r="D8331" s="7">
        <v>9.34</v>
      </c>
    </row>
    <row r="8332" spans="1:5" x14ac:dyDescent="0.25">
      <c r="A8332" t="str">
        <f>HYPERLINK("https://www.773grp.com/globalSearch/ADC0802LCN/page-1", "ADC0802LCN")</f>
        <v>ADC0802LCN</v>
      </c>
      <c r="B8332" s="3" t="str">
        <f>HYPERLINK("https://www.773grp.com/manufacturer/national-semiconductor?pageNo=23", "National Semiconductor")</f>
        <v>National Semiconductor</v>
      </c>
      <c r="C8332" s="6">
        <v>52</v>
      </c>
      <c r="D8332" s="7">
        <v>9.34</v>
      </c>
      <c r="E8332" t="s">
        <v>39</v>
      </c>
    </row>
    <row r="8333" spans="1:5" x14ac:dyDescent="0.25">
      <c r="A8333" t="str">
        <f>HYPERLINK("https://www.773grp.com/globalSearch/ADC10158CIWMX/page-1", "ADC10158CIWMX")</f>
        <v>ADC10158CIWMX</v>
      </c>
      <c r="B8333" s="3" t="str">
        <f>HYPERLINK("https://www.773grp.com/manufacturer/national-semiconductor?pageNo=24", "National Semiconductor")</f>
        <v>National Semiconductor</v>
      </c>
      <c r="C8333" s="6">
        <v>3000</v>
      </c>
      <c r="D8333" s="7">
        <v>9.34</v>
      </c>
      <c r="E8333" t="s">
        <v>39</v>
      </c>
    </row>
    <row r="8334" spans="1:5" x14ac:dyDescent="0.25">
      <c r="A8334" t="str">
        <f>HYPERLINK("https://www.773grp.com/globalSearch/COP8SAB728N8/page-1", "COP8SAB728N8")</f>
        <v>COP8SAB728N8</v>
      </c>
      <c r="B8334" s="3" t="str">
        <f>HYPERLINK("https://www.773grp.com/manufacturer/national-semiconductor?pageNo=25", "National Semiconductor")</f>
        <v>National Semiconductor</v>
      </c>
      <c r="C8334" s="6">
        <v>1460</v>
      </c>
      <c r="D8334" s="7">
        <v>9.34</v>
      </c>
      <c r="E8334" t="s">
        <v>52</v>
      </c>
    </row>
    <row r="8335" spans="1:5" x14ac:dyDescent="0.25">
      <c r="A8335" t="str">
        <f>HYPERLINK("https://www.773grp.com/globalSearch/COP8SAB728N9/page-1", "COP8SAB728N9")</f>
        <v>COP8SAB728N9</v>
      </c>
      <c r="B8335" s="3" t="str">
        <f>HYPERLINK("https://www.773grp.com/manufacturer/national-semiconductor?pageNo=26", "National Semiconductor")</f>
        <v>National Semiconductor</v>
      </c>
      <c r="C8335" s="6">
        <v>3498</v>
      </c>
      <c r="D8335" s="7">
        <v>9.34</v>
      </c>
      <c r="E8335" t="s">
        <v>52</v>
      </c>
    </row>
    <row r="8336" spans="1:5" x14ac:dyDescent="0.25">
      <c r="A8336" t="str">
        <f>HYPERLINK("https://www.773grp.com/globalSearch/DP83849CVS-NOPB/page-1", "DP83849CVS-NOPB")</f>
        <v>DP83849CVS-NOPB</v>
      </c>
      <c r="B8336" s="3" t="str">
        <f>HYPERLINK("https://www.773grp.com/manufacturer/national-semiconductor?pageNo=27", "National Semiconductor")</f>
        <v>National Semiconductor</v>
      </c>
      <c r="C8336" s="6">
        <v>1139</v>
      </c>
      <c r="D8336" s="7">
        <v>9.34</v>
      </c>
      <c r="E8336" t="s">
        <v>55</v>
      </c>
    </row>
    <row r="8337" spans="1:5" x14ac:dyDescent="0.25">
      <c r="A8337" t="str">
        <f>HYPERLINK("https://www.773grp.com/globalSearch/DS90CR286AMTDX-NOPB/page-1", "DS90CR286AMTDX-NOPB")</f>
        <v>DS90CR286AMTDX-NOPB</v>
      </c>
      <c r="B8337" s="3" t="str">
        <f>HYPERLINK("https://www.773grp.com/manufacturer/national-semiconductor?pageNo=28", "National Semiconductor")</f>
        <v>National Semiconductor</v>
      </c>
      <c r="C8337" s="6">
        <v>8616</v>
      </c>
      <c r="D8337" s="7">
        <v>9.34</v>
      </c>
      <c r="E8337" t="s">
        <v>21</v>
      </c>
    </row>
    <row r="8338" spans="1:5" x14ac:dyDescent="0.25">
      <c r="A8338" t="str">
        <f>HYPERLINK("https://www.773grp.com/globalSearch/DS92LV040ATLQAX/page-1", "DS92LV040ATLQAX")</f>
        <v>DS92LV040ATLQAX</v>
      </c>
      <c r="B8338" s="3" t="str">
        <f>HYPERLINK("https://www.773grp.com/manufacturer/national-semiconductor?pageNo=29", "National Semiconductor")</f>
        <v>National Semiconductor</v>
      </c>
      <c r="C8338" s="6">
        <v>2500</v>
      </c>
      <c r="D8338" s="7">
        <v>9.34</v>
      </c>
      <c r="E8338" t="s">
        <v>21</v>
      </c>
    </row>
    <row r="8339" spans="1:5" x14ac:dyDescent="0.25">
      <c r="A8339" t="str">
        <f>HYPERLINK("https://www.773grp.com/globalSearch/DS92LV040ATLQAX-NOPB/page-1", "DS92LV040ATLQAX-NOPB")</f>
        <v>DS92LV040ATLQAX-NOPB</v>
      </c>
      <c r="B8339" s="3" t="str">
        <f>HYPERLINK("https://www.773grp.com/manufacturer/national-semiconductor?pageNo=30", "National Semiconductor")</f>
        <v>National Semiconductor</v>
      </c>
      <c r="C8339" s="6">
        <v>9700</v>
      </c>
      <c r="D8339" s="7">
        <v>9.34</v>
      </c>
      <c r="E8339" t="s">
        <v>21</v>
      </c>
    </row>
    <row r="8340" spans="1:5" x14ac:dyDescent="0.25">
      <c r="A8340" t="str">
        <f>HYPERLINK("https://www.773grp.com/globalSearch/HL043997/page-1", "HL043997")</f>
        <v>HL043997</v>
      </c>
      <c r="B8340" s="3" t="str">
        <f>HYPERLINK("https://www.773grp.com/manufacturer/national-semiconductor?pageNo=31", "National Semiconductor")</f>
        <v>National Semiconductor</v>
      </c>
      <c r="C8340" s="6">
        <v>282</v>
      </c>
      <c r="D8340" s="7">
        <v>9.34</v>
      </c>
    </row>
    <row r="8341" spans="1:5" x14ac:dyDescent="0.25">
      <c r="A8341" t="str">
        <f>HYPERLINK("https://www.773grp.com/globalSearch/LM346J/page-1", "LM346J")</f>
        <v>LM346J</v>
      </c>
      <c r="B8341" s="3" t="str">
        <f>HYPERLINK("https://www.773grp.com/manufacturer/national-semiconductor?pageNo=32", "National Semiconductor")</f>
        <v>National Semiconductor</v>
      </c>
      <c r="C8341" s="6">
        <v>1282</v>
      </c>
      <c r="D8341" s="7">
        <v>9.34</v>
      </c>
      <c r="E8341" t="s">
        <v>13</v>
      </c>
    </row>
    <row r="8342" spans="1:5" x14ac:dyDescent="0.25">
      <c r="A8342" t="str">
        <f>HYPERLINK("https://www.773grp.com/globalSearch/LM98516CCMT/page-1", "LM98516CCMT")</f>
        <v>LM98516CCMT</v>
      </c>
      <c r="B8342" s="3" t="str">
        <f>HYPERLINK("https://www.773grp.com/manufacturer/national-semiconductor?pageNo=33", "National Semiconductor")</f>
        <v>National Semiconductor</v>
      </c>
      <c r="C8342" s="6">
        <v>204</v>
      </c>
      <c r="D8342" s="7">
        <v>9.34</v>
      </c>
    </row>
    <row r="8343" spans="1:5" x14ac:dyDescent="0.25">
      <c r="A8343" t="str">
        <f>HYPERLINK("https://www.773grp.com/globalSearch/LMX2330ATM/page-1", "LMX2330ATM")</f>
        <v>LMX2330ATM</v>
      </c>
      <c r="B8343" s="3" t="str">
        <f>HYPERLINK("https://www.773grp.com/manufacturer/national-semiconductor?pageNo=34", "National Semiconductor")</f>
        <v>National Semiconductor</v>
      </c>
      <c r="C8343" s="6">
        <v>2309</v>
      </c>
      <c r="D8343" s="7">
        <v>9.34</v>
      </c>
      <c r="E8343" t="s">
        <v>38</v>
      </c>
    </row>
    <row r="8344" spans="1:5" x14ac:dyDescent="0.25">
      <c r="A8344" t="str">
        <f>HYPERLINK("https://www.773grp.com/globalSearch/LMX2330ATMX/page-1", "LMX2330ATMX")</f>
        <v>LMX2330ATMX</v>
      </c>
      <c r="B8344" s="3" t="str">
        <f>HYPERLINK("https://www.773grp.com/manufacturer/national-semiconductor?pageNo=35", "National Semiconductor")</f>
        <v>National Semiconductor</v>
      </c>
      <c r="C8344" s="6">
        <v>17450</v>
      </c>
      <c r="D8344" s="7">
        <v>9.34</v>
      </c>
      <c r="E8344" t="s">
        <v>38</v>
      </c>
    </row>
    <row r="8345" spans="1:5" x14ac:dyDescent="0.25">
      <c r="A8345" t="str">
        <f>HYPERLINK("https://www.773grp.com/globalSearch/ADC0802LCN/page-1", "ADC0802LCN")</f>
        <v>ADC0802LCN</v>
      </c>
      <c r="B8345" s="3" t="str">
        <f>HYPERLINK("https://www.773grp.com/manufacturer/national-semiconductor?pageNo=36", "National Semiconductor")</f>
        <v>National Semiconductor</v>
      </c>
      <c r="C8345" s="6">
        <v>594</v>
      </c>
      <c r="D8345" s="7">
        <v>9.34</v>
      </c>
      <c r="E8345" t="s">
        <v>39</v>
      </c>
    </row>
    <row r="8346" spans="1:5" x14ac:dyDescent="0.25">
      <c r="A8346" t="str">
        <f>HYPERLINK("https://www.773grp.com/globalSearch/DP83849CVS-NOPB/page-1", "DP83849CVS-NOPB")</f>
        <v>DP83849CVS-NOPB</v>
      </c>
      <c r="B8346" s="3" t="str">
        <f>HYPERLINK("https://www.773grp.com/manufacturer/national-semiconductor?pageNo=37", "National Semiconductor")</f>
        <v>National Semiconductor</v>
      </c>
      <c r="C8346" s="6">
        <v>1562</v>
      </c>
      <c r="D8346" s="7">
        <v>9.34</v>
      </c>
      <c r="E8346" t="s">
        <v>55</v>
      </c>
    </row>
    <row r="8347" spans="1:5" x14ac:dyDescent="0.25">
      <c r="A8347" t="str">
        <f>HYPERLINK("https://www.773grp.com/globalSearch/DP83849CVSX-NOPB/page-1", "DP83849CVSX-NOPB")</f>
        <v>DP83849CVSX-NOPB</v>
      </c>
      <c r="B8347" s="3" t="str">
        <f>HYPERLINK("https://www.773grp.com/manufacturer/national-semiconductor?pageNo=38", "National Semiconductor")</f>
        <v>National Semiconductor</v>
      </c>
      <c r="C8347" s="6">
        <v>971</v>
      </c>
      <c r="D8347" s="7">
        <v>9.34</v>
      </c>
    </row>
    <row r="8348" spans="1:5" x14ac:dyDescent="0.25">
      <c r="A8348" t="str">
        <f>HYPERLINK("https://www.773grp.com/globalSearch/DS90CR286AMTDX-NOPB/page-1", "DS90CR286AMTDX-NOPB")</f>
        <v>DS90CR286AMTDX-NOPB</v>
      </c>
      <c r="B8348" s="3" t="str">
        <f>HYPERLINK("https://www.773grp.com/manufacturer/national-semiconductor?pageNo=39", "National Semiconductor")</f>
        <v>National Semiconductor</v>
      </c>
      <c r="C8348" s="6">
        <v>1000</v>
      </c>
      <c r="D8348" s="7">
        <v>9.34</v>
      </c>
      <c r="E8348" t="s">
        <v>21</v>
      </c>
    </row>
    <row r="8349" spans="1:5" x14ac:dyDescent="0.25">
      <c r="A8349" t="str">
        <f>HYPERLINK("https://www.773grp.com/globalSearch/DS92LV040ATLQAX-NOPB/page-1", "DS92LV040ATLQAX-NOPB")</f>
        <v>DS92LV040ATLQAX-NOPB</v>
      </c>
      <c r="B8349" s="3" t="str">
        <f>HYPERLINK("https://www.773grp.com/manufacturer/national-semiconductor?pageNo=40", "National Semiconductor")</f>
        <v>National Semiconductor</v>
      </c>
      <c r="C8349" s="6">
        <v>12</v>
      </c>
      <c r="D8349" s="7">
        <v>9.34</v>
      </c>
      <c r="E8349" t="s">
        <v>21</v>
      </c>
    </row>
    <row r="8350" spans="1:5" x14ac:dyDescent="0.25">
      <c r="A8350" t="str">
        <f>HYPERLINK("https://www.773grp.com/globalSearch/CLC5654IN/page-1", "CLC5654IN")</f>
        <v>CLC5654IN</v>
      </c>
      <c r="B8350" s="3" t="str">
        <f>HYPERLINK("https://www.773grp.com/manufacturer/national-semiconductor?pageNo=41", "National Semiconductor")</f>
        <v>National Semiconductor</v>
      </c>
      <c r="C8350" s="6">
        <v>13641</v>
      </c>
      <c r="D8350" s="7">
        <v>9.36</v>
      </c>
      <c r="E8350" t="s">
        <v>13</v>
      </c>
    </row>
    <row r="8351" spans="1:5" x14ac:dyDescent="0.25">
      <c r="A8351" t="str">
        <f>HYPERLINK("https://www.773grp.com/globalSearch/DS90LV110ATMTX-NOPB/page-1", "DS90LV110ATMTX-NOPB")</f>
        <v>DS90LV110ATMTX-NOPB</v>
      </c>
      <c r="B8351" s="3" t="str">
        <f>HYPERLINK("https://www.773grp.com/manufacturer/national-semiconductor?pageNo=42", "National Semiconductor")</f>
        <v>National Semiconductor</v>
      </c>
      <c r="C8351" s="6">
        <v>4660</v>
      </c>
      <c r="D8351" s="7">
        <v>9.36</v>
      </c>
    </row>
    <row r="8352" spans="1:5" x14ac:dyDescent="0.25">
      <c r="A8352" t="str">
        <f>HYPERLINK("https://www.773grp.com/globalSearch/54F175DC/page-1", "54F175DC")</f>
        <v>54F175DC</v>
      </c>
      <c r="B8352" s="3" t="str">
        <f>HYPERLINK("https://www.773grp.com/manufacturer/national-semiconductor?pageNo=43", "National Semiconductor")</f>
        <v>National Semiconductor</v>
      </c>
      <c r="C8352" s="6">
        <v>123</v>
      </c>
      <c r="D8352" s="7">
        <v>9.4</v>
      </c>
      <c r="E8352" t="s">
        <v>35</v>
      </c>
    </row>
    <row r="8353" spans="1:5" x14ac:dyDescent="0.25">
      <c r="A8353" t="str">
        <f>HYPERLINK("https://www.773grp.com/globalSearch/74FCT825ASC/page-1", "74FCT825ASC")</f>
        <v>74FCT825ASC</v>
      </c>
      <c r="B8353" s="3" t="str">
        <f>HYPERLINK("https://www.773grp.com/manufacturer/national-semiconductor?pageNo=44", "National Semiconductor")</f>
        <v>National Semiconductor</v>
      </c>
      <c r="C8353" s="6">
        <v>1080</v>
      </c>
      <c r="D8353" s="7">
        <v>9.4</v>
      </c>
      <c r="E8353" t="s">
        <v>14</v>
      </c>
    </row>
    <row r="8354" spans="1:5" x14ac:dyDescent="0.25">
      <c r="A8354" t="str">
        <f>HYPERLINK("https://www.773grp.com/globalSearch/74FCT825ASPC/page-1", "74FCT825ASPC")</f>
        <v>74FCT825ASPC</v>
      </c>
      <c r="B8354" s="3" t="str">
        <f>HYPERLINK("https://www.773grp.com/manufacturer/national-semiconductor?pageNo=45", "National Semiconductor")</f>
        <v>National Semiconductor</v>
      </c>
      <c r="C8354" s="6">
        <v>5785</v>
      </c>
      <c r="D8354" s="7">
        <v>9.4</v>
      </c>
      <c r="E8354" t="s">
        <v>14</v>
      </c>
    </row>
    <row r="8355" spans="1:5" x14ac:dyDescent="0.25">
      <c r="A8355" t="str">
        <f>HYPERLINK("https://www.773grp.com/globalSearch/LM1207AN/page-1", "LM1207AN")</f>
        <v>LM1207AN</v>
      </c>
      <c r="B8355" s="3" t="str">
        <f>HYPERLINK("https://www.773grp.com/manufacturer/national-semiconductor?pageNo=46", "National Semiconductor")</f>
        <v>National Semiconductor</v>
      </c>
      <c r="C8355" s="6">
        <v>13406</v>
      </c>
      <c r="D8355" s="7">
        <v>9.4</v>
      </c>
      <c r="E8355" t="s">
        <v>18</v>
      </c>
    </row>
    <row r="8356" spans="1:5" x14ac:dyDescent="0.25">
      <c r="A8356" t="str">
        <f>HYPERLINK("https://www.773grp.com/globalSearch/LM1207N/page-1", "LM1207N")</f>
        <v>LM1207N</v>
      </c>
      <c r="B8356" s="3" t="str">
        <f>HYPERLINK("https://www.773grp.com/manufacturer/national-semiconductor?pageNo=47", "National Semiconductor")</f>
        <v>National Semiconductor</v>
      </c>
      <c r="C8356" s="6">
        <v>41007</v>
      </c>
      <c r="D8356" s="7">
        <v>9.4</v>
      </c>
      <c r="E8356" t="s">
        <v>18</v>
      </c>
    </row>
    <row r="8357" spans="1:5" x14ac:dyDescent="0.25">
      <c r="A8357" t="str">
        <f>HYPERLINK("https://www.773grp.com/globalSearch/LM211J-8/page-1", "LM211J-8")</f>
        <v>LM211J-8</v>
      </c>
      <c r="B8357" s="3" t="str">
        <f>HYPERLINK("https://www.773grp.com/manufacturer/national-semiconductor?pageNo=48", "National Semiconductor")</f>
        <v>National Semiconductor</v>
      </c>
      <c r="C8357" s="6">
        <v>378</v>
      </c>
      <c r="D8357" s="7">
        <v>9.4</v>
      </c>
      <c r="E8357" t="s">
        <v>9</v>
      </c>
    </row>
    <row r="8358" spans="1:5" x14ac:dyDescent="0.25">
      <c r="A8358" t="str">
        <f>HYPERLINK("https://www.773grp.com/globalSearch/LM320K-5.0/page-1", "LM320K-5.0")</f>
        <v>LM320K-5.0</v>
      </c>
      <c r="B8358" s="3" t="str">
        <f>HYPERLINK("https://www.773grp.com/manufacturer/national-semiconductor?pageNo=49", "National Semiconductor")</f>
        <v>National Semiconductor</v>
      </c>
      <c r="C8358" s="6">
        <v>117</v>
      </c>
      <c r="D8358" s="7">
        <v>9.4</v>
      </c>
      <c r="E8358" t="s">
        <v>65</v>
      </c>
    </row>
    <row r="8359" spans="1:5" x14ac:dyDescent="0.25">
      <c r="A8359" t="str">
        <f>HYPERLINK("https://www.773grp.com/globalSearch/40097BDC/page-1", "40097BDC")</f>
        <v>40097BDC</v>
      </c>
      <c r="B8359" s="3" t="str">
        <f>HYPERLINK("https://www.773grp.com/manufacturer/national-semiconductor?pageNo=50", "National Semiconductor")</f>
        <v>National Semiconductor</v>
      </c>
      <c r="C8359" s="6">
        <v>18021</v>
      </c>
      <c r="D8359" s="7">
        <v>9.41</v>
      </c>
    </row>
    <row r="8360" spans="1:5" x14ac:dyDescent="0.25">
      <c r="A8360" t="str">
        <f>HYPERLINK("https://www.773grp.com/globalSearch/40098BDC/page-1", "40098BDC")</f>
        <v>40098BDC</v>
      </c>
      <c r="B8360" s="3" t="str">
        <f>HYPERLINK("https://www.773grp.com/manufacturer/national-semiconductor?pageNo=51", "National Semiconductor")</f>
        <v>National Semiconductor</v>
      </c>
      <c r="C8360" s="6">
        <v>442</v>
      </c>
      <c r="D8360" s="7">
        <v>9.41</v>
      </c>
    </row>
    <row r="8361" spans="1:5" x14ac:dyDescent="0.25">
      <c r="A8361" t="str">
        <f>HYPERLINK("https://www.773grp.com/globalSearch/54ALS175W-883/page-1", "54ALS175W-883")</f>
        <v>54ALS175W-883</v>
      </c>
      <c r="B8361" s="3" t="str">
        <f>HYPERLINK("https://www.773grp.com/manufacturer/national-semiconductor?pageNo=52", "National Semiconductor")</f>
        <v>National Semiconductor</v>
      </c>
      <c r="C8361" s="6">
        <v>88</v>
      </c>
      <c r="D8361" s="7">
        <v>9.41</v>
      </c>
    </row>
    <row r="8362" spans="1:5" x14ac:dyDescent="0.25">
      <c r="A8362" t="str">
        <f>HYPERLINK("https://www.773grp.com/globalSearch/54ALS251W-883/page-1", "54ALS251W-883")</f>
        <v>54ALS251W-883</v>
      </c>
      <c r="B8362" s="3" t="str">
        <f>HYPERLINK("https://www.773grp.com/manufacturer/national-semiconductor?pageNo=53", "National Semiconductor")</f>
        <v>National Semiconductor</v>
      </c>
      <c r="C8362" s="6">
        <v>359</v>
      </c>
      <c r="D8362" s="7">
        <v>9.41</v>
      </c>
    </row>
    <row r="8363" spans="1:5" x14ac:dyDescent="0.25">
      <c r="A8363" t="str">
        <f>HYPERLINK("https://www.773grp.com/globalSearch/54ALS253W-883/page-1", "54ALS253W-883")</f>
        <v>54ALS253W-883</v>
      </c>
      <c r="B8363" s="3" t="str">
        <f>HYPERLINK("https://www.773grp.com/manufacturer/national-semiconductor?pageNo=54", "National Semiconductor")</f>
        <v>National Semiconductor</v>
      </c>
      <c r="C8363" s="6">
        <v>574</v>
      </c>
      <c r="D8363" s="7">
        <v>9.41</v>
      </c>
    </row>
    <row r="8364" spans="1:5" x14ac:dyDescent="0.25">
      <c r="A8364" t="str">
        <f>HYPERLINK("https://www.773grp.com/globalSearch/LMK00304SQ-NOPB/page-1", "LMK00304SQ-NOPB")</f>
        <v>LMK00304SQ-NOPB</v>
      </c>
      <c r="B8364" s="3" t="str">
        <f>HYPERLINK("https://www.773grp.com/manufacturer/national-semiconductor?pageNo=55", "National Semiconductor")</f>
        <v>National Semiconductor</v>
      </c>
      <c r="C8364" s="6">
        <v>887</v>
      </c>
      <c r="D8364" s="7">
        <v>9.41</v>
      </c>
    </row>
    <row r="8365" spans="1:5" x14ac:dyDescent="0.25">
      <c r="A8365" t="str">
        <f>HYPERLINK("https://www.773grp.com/globalSearch/TPS75733KTTT/page-1", "TPS75733KTTT")</f>
        <v>TPS75733KTTT</v>
      </c>
      <c r="B8365" s="3" t="str">
        <f>HYPERLINK("https://www.773grp.com/manufacturer/national-semiconductor?pageNo=56", "National Semiconductor")</f>
        <v>National Semiconductor</v>
      </c>
      <c r="C8365" s="6">
        <v>50</v>
      </c>
      <c r="D8365" s="7">
        <v>9.41</v>
      </c>
    </row>
    <row r="8366" spans="1:5" x14ac:dyDescent="0.25">
      <c r="A8366" t="str">
        <f>HYPERLINK("https://www.773grp.com/globalSearch/54LS169FM/page-1", "54LS169FM")</f>
        <v>54LS169FM</v>
      </c>
      <c r="B8366" s="3" t="str">
        <f>HYPERLINK("https://www.773grp.com/manufacturer/national-semiconductor?pageNo=57", "National Semiconductor")</f>
        <v>National Semiconductor</v>
      </c>
      <c r="C8366" s="6">
        <v>513</v>
      </c>
      <c r="D8366" s="7">
        <v>9.4499999999999993</v>
      </c>
    </row>
    <row r="8367" spans="1:5" x14ac:dyDescent="0.25">
      <c r="A8367" t="str">
        <f>HYPERLINK("https://www.773grp.com/globalSearch/54LS323DMQB/page-1", "54LS323DMQB")</f>
        <v>54LS323DMQB</v>
      </c>
      <c r="B8367" s="3" t="str">
        <f>HYPERLINK("https://www.773grp.com/manufacturer/national-semiconductor?pageNo=58", "National Semiconductor")</f>
        <v>National Semiconductor</v>
      </c>
      <c r="C8367" s="6">
        <v>1487</v>
      </c>
      <c r="D8367" s="7">
        <v>9.4499999999999993</v>
      </c>
      <c r="E8367" t="s">
        <v>32</v>
      </c>
    </row>
    <row r="8368" spans="1:5" x14ac:dyDescent="0.25">
      <c r="A8368" t="str">
        <f>HYPERLINK("https://www.773grp.com/globalSearch/DP83847ALQA56A-NOPB/page-1", "DP83847ALQA56A-NOPB")</f>
        <v>DP83847ALQA56A-NOPB</v>
      </c>
      <c r="B8368" s="3" t="str">
        <f>HYPERLINK("https://www.773grp.com/manufacturer/national-semiconductor?pageNo=59", "National Semiconductor")</f>
        <v>National Semiconductor</v>
      </c>
      <c r="C8368" s="6">
        <v>7077</v>
      </c>
      <c r="D8368" s="7">
        <v>9.4499999999999993</v>
      </c>
      <c r="E8368" t="s">
        <v>55</v>
      </c>
    </row>
    <row r="8369" spans="1:5" x14ac:dyDescent="0.25">
      <c r="A8369" t="str">
        <f>HYPERLINK("https://www.773grp.com/globalSearch/LP3853ES-1.8-NOPB/page-1", "LP3853ES-1.8-NOPB")</f>
        <v>LP3853ES-1.8-NOPB</v>
      </c>
      <c r="B8369" s="3" t="str">
        <f>HYPERLINK("https://www.773grp.com/manufacturer/national-semiconductor?pageNo=60", "National Semiconductor")</f>
        <v>National Semiconductor</v>
      </c>
      <c r="C8369" s="6">
        <v>200</v>
      </c>
      <c r="D8369" s="7">
        <v>9.4499999999999993</v>
      </c>
      <c r="E8369" t="s">
        <v>19</v>
      </c>
    </row>
    <row r="8370" spans="1:5" x14ac:dyDescent="0.25">
      <c r="A8370" t="str">
        <f>HYPERLINK("https://www.773grp.com/globalSearch/LP3853ES-2.5-NOPB/page-1", "LP3853ES-2.5-NOPB")</f>
        <v>LP3853ES-2.5-NOPB</v>
      </c>
      <c r="B8370" s="3" t="str">
        <f>HYPERLINK("https://www.773grp.com/manufacturer/national-semiconductor?pageNo=61", "National Semiconductor")</f>
        <v>National Semiconductor</v>
      </c>
      <c r="C8370" s="6">
        <v>3</v>
      </c>
      <c r="D8370" s="7">
        <v>9.4499999999999993</v>
      </c>
      <c r="E8370" t="s">
        <v>19</v>
      </c>
    </row>
    <row r="8371" spans="1:5" x14ac:dyDescent="0.25">
      <c r="A8371" t="str">
        <f>HYPERLINK("https://www.773grp.com/globalSearch/LP3853ES-3.3-NOPB/page-1", "LP3853ES-3.3-NOPB")</f>
        <v>LP3853ES-3.3-NOPB</v>
      </c>
      <c r="B8371" s="3" t="str">
        <f>HYPERLINK("https://www.773grp.com/manufacturer/national-semiconductor?pageNo=62", "National Semiconductor")</f>
        <v>National Semiconductor</v>
      </c>
      <c r="C8371" s="6">
        <v>137</v>
      </c>
      <c r="D8371" s="7">
        <v>9.4499999999999993</v>
      </c>
      <c r="E8371" t="s">
        <v>19</v>
      </c>
    </row>
    <row r="8372" spans="1:5" x14ac:dyDescent="0.25">
      <c r="A8372" t="str">
        <f>HYPERLINK("https://www.773grp.com/globalSearch/LP3853ES-5.0-NOPB/page-1", "LP3853ES-5.0-NOPB")</f>
        <v>LP3853ES-5.0-NOPB</v>
      </c>
      <c r="B8372" s="3" t="str">
        <f>HYPERLINK("https://www.773grp.com/manufacturer/national-semiconductor?pageNo=63", "National Semiconductor")</f>
        <v>National Semiconductor</v>
      </c>
      <c r="C8372" s="6">
        <v>95</v>
      </c>
      <c r="D8372" s="7">
        <v>9.4499999999999993</v>
      </c>
      <c r="E8372" t="s">
        <v>19</v>
      </c>
    </row>
    <row r="8373" spans="1:5" x14ac:dyDescent="0.25">
      <c r="A8373" t="str">
        <f>HYPERLINK("https://www.773grp.com/globalSearch/LP3856ES-ADJ-NOPB/page-1", "LP3856ES-ADJ-NOPB")</f>
        <v>LP3856ES-ADJ-NOPB</v>
      </c>
      <c r="B8373" s="3" t="str">
        <f>HYPERLINK("https://www.773grp.com/manufacturer/national-semiconductor?pageNo=64", "National Semiconductor")</f>
        <v>National Semiconductor</v>
      </c>
      <c r="C8373" s="6">
        <v>622</v>
      </c>
      <c r="D8373" s="7">
        <v>9.4499999999999993</v>
      </c>
      <c r="E8373" t="s">
        <v>25</v>
      </c>
    </row>
    <row r="8374" spans="1:5" x14ac:dyDescent="0.25">
      <c r="A8374" t="str">
        <f>HYPERLINK("https://www.773grp.com/globalSearch/DP83847ALQA56A-NOPB/page-1", "DP83847ALQA56A-NOPB")</f>
        <v>DP83847ALQA56A-NOPB</v>
      </c>
      <c r="B8374" s="3" t="str">
        <f>HYPERLINK("https://www.773grp.com/manufacturer/national-semiconductor?pageNo=65", "National Semiconductor")</f>
        <v>National Semiconductor</v>
      </c>
      <c r="C8374" s="6">
        <v>5500</v>
      </c>
      <c r="D8374" s="7">
        <v>9.4499999999999993</v>
      </c>
      <c r="E8374" t="s">
        <v>55</v>
      </c>
    </row>
    <row r="8375" spans="1:5" x14ac:dyDescent="0.25">
      <c r="A8375" t="str">
        <f>HYPERLINK("https://www.773grp.com/globalSearch/LMP90077MH-NOPB/page-1", "LMP90077MH-NOPB")</f>
        <v>LMP90077MH-NOPB</v>
      </c>
      <c r="B8375" s="3" t="str">
        <f>HYPERLINK("https://www.773grp.com/manufacturer/national-semiconductor?pageNo=66", "National Semiconductor")</f>
        <v>National Semiconductor</v>
      </c>
      <c r="C8375" s="6">
        <v>40</v>
      </c>
      <c r="D8375" s="7">
        <v>9.4499999999999993</v>
      </c>
    </row>
    <row r="8376" spans="1:5" x14ac:dyDescent="0.25">
      <c r="A8376" t="str">
        <f>HYPERLINK("https://www.773grp.com/globalSearch/LP3853ES-2.5-NOPB/page-1", "LP3853ES-2.5-NOPB")</f>
        <v>LP3853ES-2.5-NOPB</v>
      </c>
      <c r="B8376" s="3" t="str">
        <f>HYPERLINK("https://www.773grp.com/manufacturer/national-semiconductor?pageNo=67", "National Semiconductor")</f>
        <v>National Semiconductor</v>
      </c>
      <c r="C8376" s="6">
        <v>38</v>
      </c>
      <c r="D8376" s="7">
        <v>9.4499999999999993</v>
      </c>
      <c r="E8376" t="s">
        <v>19</v>
      </c>
    </row>
    <row r="8377" spans="1:5" x14ac:dyDescent="0.25">
      <c r="A8377" t="str">
        <f>HYPERLINK("https://www.773grp.com/globalSearch/LP3853ES-3.3-NOPB/page-1", "LP3853ES-3.3-NOPB")</f>
        <v>LP3853ES-3.3-NOPB</v>
      </c>
      <c r="B8377" s="3" t="str">
        <f>HYPERLINK("https://www.773grp.com/manufacturer/national-semiconductor?pageNo=68", "National Semiconductor")</f>
        <v>National Semiconductor</v>
      </c>
      <c r="C8377" s="6">
        <v>155</v>
      </c>
      <c r="D8377" s="7">
        <v>9.4499999999999993</v>
      </c>
      <c r="E8377" t="s">
        <v>19</v>
      </c>
    </row>
    <row r="8378" spans="1:5" x14ac:dyDescent="0.25">
      <c r="A8378" t="str">
        <f>HYPERLINK("https://www.773grp.com/globalSearch/LP3853ES-5.0-NOPB/page-1", "LP3853ES-5.0-NOPB")</f>
        <v>LP3853ES-5.0-NOPB</v>
      </c>
      <c r="B8378" s="3" t="str">
        <f>HYPERLINK("https://www.773grp.com/manufacturer/national-semiconductor?pageNo=69", "National Semiconductor")</f>
        <v>National Semiconductor</v>
      </c>
      <c r="C8378" s="6">
        <v>197</v>
      </c>
      <c r="D8378" s="7">
        <v>9.4499999999999993</v>
      </c>
      <c r="E8378" t="s">
        <v>19</v>
      </c>
    </row>
    <row r="8379" spans="1:5" x14ac:dyDescent="0.25">
      <c r="A8379" t="str">
        <f>HYPERLINK("https://www.773grp.com/globalSearch/LP3856ES-ADJ-NOPB/page-1", "LP3856ES-ADJ-NOPB")</f>
        <v>LP3856ES-ADJ-NOPB</v>
      </c>
      <c r="B8379" s="3" t="str">
        <f>HYPERLINK("https://www.773grp.com/manufacturer/national-semiconductor?pageNo=70", "National Semiconductor")</f>
        <v>National Semiconductor</v>
      </c>
      <c r="C8379" s="6">
        <v>488</v>
      </c>
      <c r="D8379" s="7">
        <v>9.4499999999999993</v>
      </c>
      <c r="E8379" t="s">
        <v>25</v>
      </c>
    </row>
    <row r="8380" spans="1:5" x14ac:dyDescent="0.25">
      <c r="A8380" t="str">
        <f>HYPERLINK("https://www.773grp.com/globalSearch/ADC10464CIWMX-NOPB/page-1", "ADC10464CIWMX-NOPB")</f>
        <v>ADC10464CIWMX-NOPB</v>
      </c>
      <c r="B8380" s="3" t="str">
        <f>HYPERLINK("https://www.773grp.com/manufacturer/national-semiconductor?pageNo=71", "National Semiconductor")</f>
        <v>National Semiconductor</v>
      </c>
      <c r="C8380" s="6">
        <v>1000</v>
      </c>
      <c r="D8380" s="7">
        <v>9.49</v>
      </c>
    </row>
    <row r="8381" spans="1:5" x14ac:dyDescent="0.25">
      <c r="A8381" t="str">
        <f>HYPERLINK("https://www.773grp.com/globalSearch/LM2599S-3.3/page-1", "LM2599S-3.3")</f>
        <v>LM2599S-3.3</v>
      </c>
      <c r="B8381" s="3" t="str">
        <f>HYPERLINK("https://www.773grp.com/manufacturer/national-semiconductor?pageNo=72", "National Semiconductor")</f>
        <v>National Semiconductor</v>
      </c>
      <c r="C8381" s="6">
        <v>1795</v>
      </c>
      <c r="D8381" s="7">
        <v>9.49</v>
      </c>
      <c r="E8381" t="s">
        <v>7</v>
      </c>
    </row>
    <row r="8382" spans="1:5" x14ac:dyDescent="0.25">
      <c r="A8382" t="str">
        <f>HYPERLINK("https://www.773grp.com/globalSearch/LM2599S-ADJ/page-1", "LM2599S-ADJ")</f>
        <v>LM2599S-ADJ</v>
      </c>
      <c r="B8382" s="3" t="str">
        <f>HYPERLINK("https://www.773grp.com/manufacturer/national-semiconductor?pageNo=73", "National Semiconductor")</f>
        <v>National Semiconductor</v>
      </c>
      <c r="C8382" s="6">
        <v>293</v>
      </c>
      <c r="D8382" s="7">
        <v>9.49</v>
      </c>
      <c r="E8382" t="s">
        <v>7</v>
      </c>
    </row>
    <row r="8383" spans="1:5" x14ac:dyDescent="0.25">
      <c r="A8383" t="str">
        <f>HYPERLINK("https://www.773grp.com/globalSearch/LM2599S-5.0/page-1", "LM2599S-5.0")</f>
        <v>LM2599S-5.0</v>
      </c>
      <c r="B8383" s="3" t="str">
        <f>HYPERLINK("https://www.773grp.com/manufacturer/national-semiconductor?pageNo=74", "National Semiconductor")</f>
        <v>National Semiconductor</v>
      </c>
      <c r="C8383" s="6">
        <v>149</v>
      </c>
      <c r="D8383" s="7">
        <v>9.49</v>
      </c>
      <c r="E8383" t="s">
        <v>7</v>
      </c>
    </row>
    <row r="8384" spans="1:5" x14ac:dyDescent="0.25">
      <c r="A8384" t="str">
        <f>HYPERLINK("https://www.773grp.com/globalSearch/LM5575MH/page-1", "LM5575MH")</f>
        <v>LM5575MH</v>
      </c>
      <c r="B8384" s="3" t="str">
        <f>HYPERLINK("https://www.773grp.com/manufacturer/national-semiconductor?pageNo=75", "National Semiconductor")</f>
        <v>National Semiconductor</v>
      </c>
      <c r="C8384" s="6">
        <v>500</v>
      </c>
      <c r="D8384" s="7">
        <v>9.49</v>
      </c>
    </row>
    <row r="8385" spans="1:5" x14ac:dyDescent="0.25">
      <c r="A8385" t="str">
        <f>HYPERLINK("https://www.773grp.com/globalSearch/ADC10158CIWM-NOPB/page-1", "ADC10158CIWM-NOPB")</f>
        <v>ADC10158CIWM-NOPB</v>
      </c>
      <c r="B8385" s="3" t="str">
        <f>HYPERLINK("https://www.773grp.com/manufacturer/national-semiconductor?pageNo=76", "National Semiconductor")</f>
        <v>National Semiconductor</v>
      </c>
      <c r="C8385" s="6">
        <v>1403</v>
      </c>
      <c r="D8385" s="7">
        <v>9.5</v>
      </c>
      <c r="E8385" t="s">
        <v>39</v>
      </c>
    </row>
    <row r="8386" spans="1:5" x14ac:dyDescent="0.25">
      <c r="A8386" t="str">
        <f>HYPERLINK("https://www.773grp.com/globalSearch/DM7551J-883/page-1", "DM7551J-883")</f>
        <v>DM7551J-883</v>
      </c>
      <c r="B8386" s="3" t="str">
        <f>HYPERLINK("https://www.773grp.com/manufacturer/national-semiconductor?pageNo=77", "National Semiconductor")</f>
        <v>National Semiconductor</v>
      </c>
      <c r="C8386" s="6">
        <v>16</v>
      </c>
      <c r="D8386" s="7">
        <v>9.5</v>
      </c>
    </row>
    <row r="8387" spans="1:5" x14ac:dyDescent="0.25">
      <c r="A8387" t="str">
        <f>HYPERLINK("https://www.773grp.com/globalSearch/DS14C535MSAX/page-1", "DS14C535MSAX")</f>
        <v>DS14C535MSAX</v>
      </c>
      <c r="B8387" s="3" t="str">
        <f>HYPERLINK("https://www.773grp.com/manufacturer/national-semiconductor?pageNo=78", "National Semiconductor")</f>
        <v>National Semiconductor</v>
      </c>
      <c r="C8387" s="6">
        <v>2000</v>
      </c>
      <c r="D8387" s="7">
        <v>9.5</v>
      </c>
      <c r="E8387" t="s">
        <v>21</v>
      </c>
    </row>
    <row r="8388" spans="1:5" x14ac:dyDescent="0.25">
      <c r="A8388" t="str">
        <f>HYPERLINK("https://www.773grp.com/globalSearch/LM2592HVSX-3.3/page-1", "LM2592HVSX-3.3")</f>
        <v>LM2592HVSX-3.3</v>
      </c>
      <c r="B8388" s="3" t="str">
        <f>HYPERLINK("https://www.773grp.com/manufacturer/national-semiconductor?pageNo=79", "National Semiconductor")</f>
        <v>National Semiconductor</v>
      </c>
      <c r="C8388" s="6">
        <v>3000</v>
      </c>
      <c r="D8388" s="7">
        <v>9.5</v>
      </c>
      <c r="E8388" t="s">
        <v>7</v>
      </c>
    </row>
    <row r="8389" spans="1:5" x14ac:dyDescent="0.25">
      <c r="A8389" t="str">
        <f>HYPERLINK("https://www.773grp.com/globalSearch/LM2592HVSX-ADJ/page-1", "LM2592HVSX-ADJ")</f>
        <v>LM2592HVSX-ADJ</v>
      </c>
      <c r="B8389" s="3" t="str">
        <f>HYPERLINK("https://www.773grp.com/manufacturer/national-semiconductor?pageNo=80", "National Semiconductor")</f>
        <v>National Semiconductor</v>
      </c>
      <c r="C8389" s="6">
        <v>780</v>
      </c>
      <c r="D8389" s="7">
        <v>9.5</v>
      </c>
      <c r="E8389" t="s">
        <v>7</v>
      </c>
    </row>
    <row r="8390" spans="1:5" x14ac:dyDescent="0.25">
      <c r="A8390" t="str">
        <f>HYPERLINK("https://www.773grp.com/globalSearch/LM2592HVT-ADJ/page-1", "LM2592HVT-ADJ")</f>
        <v>LM2592HVT-ADJ</v>
      </c>
      <c r="B8390" s="3" t="str">
        <f>HYPERLINK("https://www.773grp.com/manufacturer/national-semiconductor?pageNo=81", "National Semiconductor")</f>
        <v>National Semiconductor</v>
      </c>
      <c r="C8390" s="6">
        <v>12</v>
      </c>
      <c r="D8390" s="7">
        <v>9.5</v>
      </c>
      <c r="E8390" t="s">
        <v>7</v>
      </c>
    </row>
    <row r="8391" spans="1:5" x14ac:dyDescent="0.25">
      <c r="A8391" t="str">
        <f>HYPERLINK("https://www.773grp.com/globalSearch/LM6154BCM-NOPB/page-1", "LM6154BCM-NOPB")</f>
        <v>LM6154BCM-NOPB</v>
      </c>
      <c r="B8391" s="3" t="str">
        <f>HYPERLINK("https://www.773grp.com/manufacturer/national-semiconductor?pageNo=82", "National Semiconductor")</f>
        <v>National Semiconductor</v>
      </c>
      <c r="C8391" s="6">
        <v>239</v>
      </c>
      <c r="D8391" s="7">
        <v>9.5</v>
      </c>
      <c r="E8391" t="s">
        <v>13</v>
      </c>
    </row>
    <row r="8392" spans="1:5" x14ac:dyDescent="0.25">
      <c r="A8392" t="str">
        <f>HYPERLINK("https://www.773grp.com/globalSearch/LMP90078MHE-NOPB/page-1", "LMP90078MHE-NOPB")</f>
        <v>LMP90078MHE-NOPB</v>
      </c>
      <c r="B8392" s="3" t="str">
        <f>HYPERLINK("https://www.773grp.com/manufacturer/national-semiconductor?pageNo=83", "National Semiconductor")</f>
        <v>National Semiconductor</v>
      </c>
      <c r="C8392" s="6">
        <v>250</v>
      </c>
      <c r="D8392" s="7">
        <v>9.5</v>
      </c>
      <c r="E8392" t="s">
        <v>40</v>
      </c>
    </row>
    <row r="8393" spans="1:5" x14ac:dyDescent="0.25">
      <c r="A8393" t="str">
        <f>HYPERLINK("https://www.773grp.com/globalSearch/ADC10158CIWM-NOPB/page-1", "ADC10158CIWM-NOPB")</f>
        <v>ADC10158CIWM-NOPB</v>
      </c>
      <c r="B8393" s="3" t="str">
        <f>HYPERLINK("https://www.773grp.com/manufacturer/national-semiconductor?pageNo=84", "National Semiconductor")</f>
        <v>National Semiconductor</v>
      </c>
      <c r="C8393" s="6">
        <v>237</v>
      </c>
      <c r="D8393" s="7">
        <v>9.5</v>
      </c>
      <c r="E8393" t="s">
        <v>39</v>
      </c>
    </row>
    <row r="8394" spans="1:5" x14ac:dyDescent="0.25">
      <c r="A8394" t="str">
        <f>HYPERLINK("https://www.773grp.com/globalSearch/LM6154BCM-NOPB/page-1", "LM6154BCM-NOPB")</f>
        <v>LM6154BCM-NOPB</v>
      </c>
      <c r="B8394" s="3" t="str">
        <f>HYPERLINK("https://www.773grp.com/manufacturer/national-semiconductor?pageNo=85", "National Semiconductor")</f>
        <v>National Semiconductor</v>
      </c>
      <c r="C8394" s="6">
        <v>352</v>
      </c>
      <c r="D8394" s="7">
        <v>9.5</v>
      </c>
      <c r="E8394" t="s">
        <v>13</v>
      </c>
    </row>
    <row r="8395" spans="1:5" x14ac:dyDescent="0.25">
      <c r="A8395" t="str">
        <f>HYPERLINK("https://www.773grp.com/globalSearch/LMP90078MHE-NOPB/page-1", "LMP90078MHE-NOPB")</f>
        <v>LMP90078MHE-NOPB</v>
      </c>
      <c r="B8395" s="3" t="str">
        <f>HYPERLINK("https://www.773grp.com/manufacturer/national-semiconductor?pageNo=86", "National Semiconductor")</f>
        <v>National Semiconductor</v>
      </c>
      <c r="C8395" s="6">
        <v>465</v>
      </c>
      <c r="D8395" s="7">
        <v>9.5</v>
      </c>
      <c r="E8395" t="s">
        <v>40</v>
      </c>
    </row>
    <row r="8396" spans="1:5" x14ac:dyDescent="0.25">
      <c r="A8396" t="str">
        <f>HYPERLINK("https://www.773grp.com/globalSearch/LP3883ES-1.5/page-1", "LP3883ES-1.5")</f>
        <v>LP3883ES-1.5</v>
      </c>
      <c r="B8396" s="3" t="str">
        <f>HYPERLINK("https://www.773grp.com/manufacturer/national-semiconductor?pageNo=87", "National Semiconductor")</f>
        <v>National Semiconductor</v>
      </c>
      <c r="C8396" s="6">
        <v>4680</v>
      </c>
      <c r="D8396" s="7">
        <v>9.5</v>
      </c>
    </row>
    <row r="8397" spans="1:5" x14ac:dyDescent="0.25">
      <c r="A8397" t="str">
        <f>HYPERLINK("https://www.773grp.com/globalSearch/74H108PC/page-1", "74H108PC")</f>
        <v>74H108PC</v>
      </c>
      <c r="B8397" s="3" t="str">
        <f>HYPERLINK("https://www.773grp.com/manufacturer/national-semiconductor?pageNo=88", "National Semiconductor")</f>
        <v>National Semiconductor</v>
      </c>
      <c r="C8397" s="6">
        <v>24201</v>
      </c>
      <c r="D8397" s="7">
        <v>9.5399999999999991</v>
      </c>
    </row>
    <row r="8398" spans="1:5" x14ac:dyDescent="0.25">
      <c r="A8398" t="str">
        <f>HYPERLINK("https://www.773grp.com/globalSearch/ADC08032CIN/page-1", "ADC08032CIN")</f>
        <v>ADC08032CIN</v>
      </c>
      <c r="B8398" s="3" t="str">
        <f>HYPERLINK("https://www.773grp.com/manufacturer/national-semiconductor?pageNo=89", "National Semiconductor")</f>
        <v>National Semiconductor</v>
      </c>
      <c r="C8398" s="6">
        <v>2547</v>
      </c>
      <c r="D8398" s="7">
        <v>9.5399999999999991</v>
      </c>
      <c r="E8398" t="s">
        <v>39</v>
      </c>
    </row>
    <row r="8399" spans="1:5" x14ac:dyDescent="0.25">
      <c r="A8399" t="str">
        <f>HYPERLINK("https://www.773grp.com/globalSearch/DS32EV400SQ-NOPB/page-1", "DS32EV400SQ-NOPB")</f>
        <v>DS32EV400SQ-NOPB</v>
      </c>
      <c r="B8399" s="3" t="str">
        <f>HYPERLINK("https://www.773grp.com/manufacturer/national-semiconductor?pageNo=90", "National Semiconductor")</f>
        <v>National Semiconductor</v>
      </c>
      <c r="C8399" s="6">
        <v>651</v>
      </c>
      <c r="D8399" s="7">
        <v>9.5399999999999991</v>
      </c>
    </row>
    <row r="8400" spans="1:5" x14ac:dyDescent="0.25">
      <c r="A8400" t="str">
        <f>HYPERLINK("https://www.773grp.com/globalSearch/DAC161S055CISQE-NOPB/page-1", "DAC161S055CISQE-NOPB")</f>
        <v>DAC161S055CISQE-NOPB</v>
      </c>
      <c r="B8400" s="3" t="str">
        <f>HYPERLINK("https://www.773grp.com/manufacturer/national-semiconductor?pageNo=91", "National Semiconductor")</f>
        <v>National Semiconductor</v>
      </c>
      <c r="C8400" s="6">
        <v>14000</v>
      </c>
      <c r="D8400" s="7">
        <v>9.5399999999999991</v>
      </c>
    </row>
    <row r="8401" spans="1:5" x14ac:dyDescent="0.25">
      <c r="A8401" t="str">
        <f>HYPERLINK("https://www.773grp.com/globalSearch/DS32EV400SQ-NOPB/page-1", "DS32EV400SQ-NOPB")</f>
        <v>DS32EV400SQ-NOPB</v>
      </c>
      <c r="B8401" s="3" t="str">
        <f>HYPERLINK("https://www.773grp.com/manufacturer/national-semiconductor?pageNo=92", "National Semiconductor")</f>
        <v>National Semiconductor</v>
      </c>
      <c r="C8401" s="6">
        <v>357</v>
      </c>
      <c r="D8401" s="7">
        <v>9.5399999999999991</v>
      </c>
    </row>
    <row r="8402" spans="1:5" x14ac:dyDescent="0.25">
      <c r="A8402" t="str">
        <f>HYPERLINK("https://www.773grp.com/globalSearch/LM10520MHE-NOPB/page-1", "LM10520MHE-NOPB")</f>
        <v>LM10520MHE-NOPB</v>
      </c>
      <c r="B8402" s="3" t="str">
        <f>HYPERLINK("https://www.773grp.com/manufacturer/national-semiconductor?pageNo=93", "National Semiconductor")</f>
        <v>National Semiconductor</v>
      </c>
      <c r="C8402" s="6">
        <v>250</v>
      </c>
      <c r="D8402" s="7">
        <v>9.5399999999999991</v>
      </c>
    </row>
    <row r="8403" spans="1:5" x14ac:dyDescent="0.25">
      <c r="A8403" t="str">
        <f>HYPERLINK("https://www.773grp.com/globalSearch/LMH7322SQ-NOPB/page-1", "LMH7322SQ-NOPB")</f>
        <v>LMH7322SQ-NOPB</v>
      </c>
      <c r="B8403" s="3" t="str">
        <f>HYPERLINK("https://www.773grp.com/manufacturer/national-semiconductor?pageNo=94", "National Semiconductor")</f>
        <v>National Semiconductor</v>
      </c>
      <c r="C8403" s="6">
        <v>83</v>
      </c>
      <c r="D8403" s="7">
        <v>9.5399999999999991</v>
      </c>
    </row>
    <row r="8404" spans="1:5" x14ac:dyDescent="0.25">
      <c r="A8404" t="str">
        <f>HYPERLINK("https://www.773grp.com/globalSearch/DS3691VX/page-1", "DS3691VX")</f>
        <v>DS3691VX</v>
      </c>
      <c r="B8404" s="3" t="str">
        <f>HYPERLINK("https://www.773grp.com/manufacturer/national-semiconductor?pageNo=95", "National Semiconductor")</f>
        <v>National Semiconductor</v>
      </c>
      <c r="C8404" s="6">
        <v>7000</v>
      </c>
      <c r="D8404" s="7">
        <v>9.56</v>
      </c>
      <c r="E8404" t="s">
        <v>21</v>
      </c>
    </row>
    <row r="8405" spans="1:5" x14ac:dyDescent="0.25">
      <c r="A8405" t="str">
        <f>HYPERLINK("https://www.773grp.com/globalSearch/LM2677LD-5.0/page-1", "LM2677LD-5.0")</f>
        <v>LM2677LD-5.0</v>
      </c>
      <c r="B8405" s="3" t="str">
        <f>HYPERLINK("https://www.773grp.com/manufacturer/national-semiconductor?pageNo=96", "National Semiconductor")</f>
        <v>National Semiconductor</v>
      </c>
      <c r="C8405" s="6">
        <v>1500</v>
      </c>
      <c r="D8405" s="7">
        <v>9.56</v>
      </c>
      <c r="E8405" t="s">
        <v>7</v>
      </c>
    </row>
    <row r="8406" spans="1:5" x14ac:dyDescent="0.25">
      <c r="A8406" t="str">
        <f>HYPERLINK("https://www.773grp.com/globalSearch/LM2677LD-ADJ/page-1", "LM2677LD-ADJ")</f>
        <v>LM2677LD-ADJ</v>
      </c>
      <c r="B8406" s="3" t="str">
        <f>HYPERLINK("https://www.773grp.com/manufacturer/national-semiconductor?pageNo=97", "National Semiconductor")</f>
        <v>National Semiconductor</v>
      </c>
      <c r="C8406" s="6">
        <v>2750</v>
      </c>
      <c r="D8406" s="7">
        <v>9.56</v>
      </c>
      <c r="E8406" t="s">
        <v>7</v>
      </c>
    </row>
    <row r="8407" spans="1:5" x14ac:dyDescent="0.25">
      <c r="A8407" t="str">
        <f>HYPERLINK("https://www.773grp.com/globalSearch/LM34CAZ/page-1", "LM34CAZ")</f>
        <v>LM34CAZ</v>
      </c>
      <c r="B8407" s="3" t="str">
        <f>HYPERLINK("https://www.773grp.com/manufacturer/national-semiconductor?pageNo=98", "National Semiconductor")</f>
        <v>National Semiconductor</v>
      </c>
      <c r="C8407" s="6">
        <v>1735</v>
      </c>
      <c r="D8407" s="7">
        <v>9.56</v>
      </c>
      <c r="E8407" t="s">
        <v>8</v>
      </c>
    </row>
    <row r="8408" spans="1:5" x14ac:dyDescent="0.25">
      <c r="A8408" t="str">
        <f>HYPERLINK("https://www.773grp.com/globalSearch/LM85BIMQX/page-1", "LM85BIMQX")</f>
        <v>LM85BIMQX</v>
      </c>
      <c r="B8408" s="3" t="str">
        <f>HYPERLINK("https://www.773grp.com/manufacturer/national-semiconductor?pageNo=99", "National Semiconductor")</f>
        <v>National Semiconductor</v>
      </c>
      <c r="C8408" s="6">
        <v>17500</v>
      </c>
      <c r="D8408" s="7">
        <v>9.56</v>
      </c>
      <c r="E8408" t="s">
        <v>40</v>
      </c>
    </row>
    <row r="8409" spans="1:5" x14ac:dyDescent="0.25">
      <c r="A8409" t="str">
        <f>HYPERLINK("https://www.773grp.com/globalSearch/LMH6554LE-NOPB/page-1", "LMH6554LE-NOPB")</f>
        <v>LMH6554LE-NOPB</v>
      </c>
      <c r="B8409" s="3" t="str">
        <f>HYPERLINK("https://www.773grp.com/manufacturer/national-semiconductor?pageNo=100", "National Semiconductor")</f>
        <v>National Semiconductor</v>
      </c>
      <c r="C8409" s="6">
        <v>480</v>
      </c>
      <c r="D8409" s="7">
        <v>9.56</v>
      </c>
    </row>
    <row r="8410" spans="1:5" x14ac:dyDescent="0.25">
      <c r="A8410" t="str">
        <f>HYPERLINK("https://www.773grp.com/globalSearch/MM74HC125J/page-1", "MM74HC125J")</f>
        <v>MM74HC125J</v>
      </c>
      <c r="B8410" s="3" t="str">
        <f>HYPERLINK("https://www.773grp.com/manufacturer/national-semiconductor?pageNo=101", "National Semiconductor")</f>
        <v>National Semiconductor</v>
      </c>
      <c r="C8410" s="6">
        <v>1647</v>
      </c>
      <c r="D8410" s="7">
        <v>9.56</v>
      </c>
      <c r="E8410" t="s">
        <v>14</v>
      </c>
    </row>
    <row r="8411" spans="1:5" x14ac:dyDescent="0.25">
      <c r="A8411" t="str">
        <f>HYPERLINK("https://www.773grp.com/globalSearch/USBN9603SLBX-NOPB/page-1", "USBN9603SLBX-NOPB")</f>
        <v>USBN9603SLBX-NOPB</v>
      </c>
      <c r="B8411" s="3" t="str">
        <f>HYPERLINK("https://www.773grp.com/manufacturer/national-semiconductor?pageNo=102", "National Semiconductor")</f>
        <v>National Semiconductor</v>
      </c>
      <c r="C8411" s="6">
        <v>5000</v>
      </c>
      <c r="D8411" s="7">
        <v>9.56</v>
      </c>
    </row>
    <row r="8412" spans="1:5" x14ac:dyDescent="0.25">
      <c r="A8412" t="str">
        <f>HYPERLINK("https://www.773grp.com/globalSearch/LM1458H-NOPB/page-1", "LM1458H-NOPB")</f>
        <v>LM1458H-NOPB</v>
      </c>
      <c r="B8412" s="3" t="str">
        <f>HYPERLINK("https://www.773grp.com/manufacturer/national-semiconductor?pageNo=103", "National Semiconductor")</f>
        <v>National Semiconductor</v>
      </c>
      <c r="C8412" s="6">
        <v>960</v>
      </c>
      <c r="D8412" s="7">
        <v>9.59</v>
      </c>
      <c r="E8412" t="s">
        <v>13</v>
      </c>
    </row>
    <row r="8413" spans="1:5" x14ac:dyDescent="0.25">
      <c r="A8413" t="str">
        <f>HYPERLINK("https://www.773grp.com/globalSearch/54F240DC/page-1", "54F240DC")</f>
        <v>54F240DC</v>
      </c>
      <c r="B8413" s="3" t="str">
        <f>HYPERLINK("https://www.773grp.com/manufacturer/national-semiconductor?pageNo=104", "National Semiconductor")</f>
        <v>National Semiconductor</v>
      </c>
      <c r="C8413" s="6">
        <v>140</v>
      </c>
      <c r="D8413" s="7">
        <v>9.6300000000000008</v>
      </c>
      <c r="E8413" t="s">
        <v>14</v>
      </c>
    </row>
    <row r="8414" spans="1:5" x14ac:dyDescent="0.25">
      <c r="A8414" t="str">
        <f>HYPERLINK("https://www.773grp.com/globalSearch/LM5116MHX/page-1", "LM5116MHX")</f>
        <v>LM5116MHX</v>
      </c>
      <c r="B8414" s="3" t="str">
        <f>HYPERLINK("https://www.773grp.com/manufacturer/national-semiconductor?pageNo=105", "National Semiconductor")</f>
        <v>National Semiconductor</v>
      </c>
      <c r="C8414" s="6">
        <v>5000</v>
      </c>
      <c r="D8414" s="7">
        <v>9.6300000000000008</v>
      </c>
      <c r="E8414" t="s">
        <v>7</v>
      </c>
    </row>
    <row r="8415" spans="1:5" x14ac:dyDescent="0.25">
      <c r="A8415" t="str">
        <f>HYPERLINK("https://www.773grp.com/globalSearch/CLC426AJP/page-1", "CLC426AJP")</f>
        <v>CLC426AJP</v>
      </c>
      <c r="B8415" s="3" t="str">
        <f>HYPERLINK("https://www.773grp.com/manufacturer/national-semiconductor?pageNo=106", "National Semiconductor")</f>
        <v>National Semiconductor</v>
      </c>
      <c r="C8415" s="6">
        <v>3702</v>
      </c>
      <c r="D8415" s="7">
        <v>9.65</v>
      </c>
      <c r="E8415" t="s">
        <v>13</v>
      </c>
    </row>
    <row r="8416" spans="1:5" x14ac:dyDescent="0.25">
      <c r="A8416" t="str">
        <f>HYPERLINK("https://www.773grp.com/globalSearch/JD54LS74BDA/page-1", "JD54LS74BDA")</f>
        <v>JD54LS74BDA</v>
      </c>
      <c r="B8416" s="3" t="str">
        <f>HYPERLINK("https://www.773grp.com/manufacturer/national-semiconductor?pageNo=107", "National Semiconductor")</f>
        <v>National Semiconductor</v>
      </c>
      <c r="C8416" s="6">
        <v>276</v>
      </c>
      <c r="D8416" s="7">
        <v>9.65</v>
      </c>
    </row>
    <row r="8417" spans="1:5" x14ac:dyDescent="0.25">
      <c r="A8417" t="str">
        <f>HYPERLINK("https://www.773grp.com/globalSearch/TLV5613CDW/page-1", "TLV5613CDW")</f>
        <v>TLV5613CDW</v>
      </c>
      <c r="B8417" s="3" t="str">
        <f>HYPERLINK("https://www.773grp.com/manufacturer/national-semiconductor?pageNo=108", "National Semiconductor")</f>
        <v>National Semiconductor</v>
      </c>
      <c r="C8417" s="6">
        <v>200</v>
      </c>
      <c r="D8417" s="7">
        <v>9.65</v>
      </c>
    </row>
    <row r="8418" spans="1:5" x14ac:dyDescent="0.25">
      <c r="A8418" t="str">
        <f>HYPERLINK("https://www.773grp.com/globalSearch/4071BDM/page-1", "4071BDM")</f>
        <v>4071BDM</v>
      </c>
      <c r="B8418" s="3" t="str">
        <f>HYPERLINK("https://www.773grp.com/manufacturer/national-semiconductor?pageNo=109", "National Semiconductor")</f>
        <v>National Semiconductor</v>
      </c>
      <c r="C8418" s="6">
        <v>1010</v>
      </c>
      <c r="D8418" s="7">
        <v>9.68</v>
      </c>
    </row>
    <row r="8419" spans="1:5" x14ac:dyDescent="0.25">
      <c r="A8419" t="str">
        <f>HYPERLINK("https://www.773grp.com/globalSearch/74F537PC/page-1", "74F537PC")</f>
        <v>74F537PC</v>
      </c>
      <c r="B8419" s="3" t="str">
        <f>HYPERLINK("https://www.773grp.com/manufacturer/national-semiconductor?pageNo=110", "National Semiconductor")</f>
        <v>National Semiconductor</v>
      </c>
      <c r="C8419" s="6">
        <v>279</v>
      </c>
      <c r="D8419" s="7">
        <v>9.68</v>
      </c>
      <c r="E8419" t="s">
        <v>36</v>
      </c>
    </row>
    <row r="8420" spans="1:5" x14ac:dyDescent="0.25">
      <c r="A8420" t="str">
        <f>HYPERLINK("https://www.773grp.com/globalSearch/LM4682SQ-NOPB/page-1", "LM4682SQ-NOPB")</f>
        <v>LM4682SQ-NOPB</v>
      </c>
      <c r="B8420" s="3" t="str">
        <f>HYPERLINK("https://www.773grp.com/manufacturer/national-semiconductor?pageNo=111", "National Semiconductor")</f>
        <v>National Semiconductor</v>
      </c>
      <c r="C8420" s="6">
        <v>326</v>
      </c>
      <c r="D8420" s="7">
        <v>9.68</v>
      </c>
      <c r="E8420" t="s">
        <v>18</v>
      </c>
    </row>
    <row r="8421" spans="1:5" x14ac:dyDescent="0.25">
      <c r="A8421" t="str">
        <f>HYPERLINK("https://www.773grp.com/globalSearch/LMH6321MR/page-1", "LMH6321MR")</f>
        <v>LMH6321MR</v>
      </c>
      <c r="B8421" s="3" t="str">
        <f>HYPERLINK("https://www.773grp.com/manufacturer/national-semiconductor?pageNo=112", "National Semiconductor")</f>
        <v>National Semiconductor</v>
      </c>
      <c r="C8421" s="6">
        <v>75</v>
      </c>
      <c r="D8421" s="7">
        <v>9.68</v>
      </c>
      <c r="E8421" t="s">
        <v>48</v>
      </c>
    </row>
    <row r="8422" spans="1:5" x14ac:dyDescent="0.25">
      <c r="A8422" t="str">
        <f>HYPERLINK("https://www.773grp.com/globalSearch/LMH6321TS/page-1", "LMH6321TS")</f>
        <v>LMH6321TS</v>
      </c>
      <c r="B8422" s="3" t="str">
        <f>HYPERLINK("https://www.773grp.com/manufacturer/national-semiconductor?pageNo=113", "National Semiconductor")</f>
        <v>National Semiconductor</v>
      </c>
      <c r="C8422" s="6">
        <v>36</v>
      </c>
      <c r="D8422" s="7">
        <v>9.68</v>
      </c>
      <c r="E8422" t="s">
        <v>48</v>
      </c>
    </row>
    <row r="8423" spans="1:5" x14ac:dyDescent="0.25">
      <c r="A8423" t="str">
        <f>HYPERLINK("https://www.773grp.com/globalSearch/MM54HCT138J-883C/page-1", "MM54HCT138J-883C")</f>
        <v>MM54HCT138J-883C</v>
      </c>
      <c r="B8423" s="3" t="str">
        <f>HYPERLINK("https://www.773grp.com/manufacturer/national-semiconductor?pageNo=114", "National Semiconductor")</f>
        <v>National Semiconductor</v>
      </c>
      <c r="C8423" s="6">
        <v>12</v>
      </c>
      <c r="D8423" s="7">
        <v>9.68</v>
      </c>
    </row>
    <row r="8424" spans="1:5" x14ac:dyDescent="0.25">
      <c r="A8424" t="str">
        <f>HYPERLINK("https://www.773grp.com/globalSearch/MM54HCT138J-883QS/page-1", "MM54HCT138J-883QS")</f>
        <v>MM54HCT138J-883QS</v>
      </c>
      <c r="B8424" s="3" t="str">
        <f>HYPERLINK("https://www.773grp.com/manufacturer/national-semiconductor?pageNo=115", "National Semiconductor")</f>
        <v>National Semiconductor</v>
      </c>
      <c r="C8424" s="6">
        <v>53</v>
      </c>
      <c r="D8424" s="7">
        <v>9.68</v>
      </c>
    </row>
    <row r="8425" spans="1:5" x14ac:dyDescent="0.25">
      <c r="A8425" t="str">
        <f>HYPERLINK("https://www.773grp.com/globalSearch/DAC108S085CISQ-NOPB/page-1", "DAC108S085CISQ-NOPB")</f>
        <v>DAC108S085CISQ-NOPB</v>
      </c>
      <c r="B8425" s="3" t="str">
        <f>HYPERLINK("https://www.773grp.com/manufacturer/national-semiconductor?pageNo=116", "National Semiconductor")</f>
        <v>National Semiconductor</v>
      </c>
      <c r="C8425" s="6">
        <v>145</v>
      </c>
      <c r="D8425" s="7">
        <v>9.68</v>
      </c>
    </row>
    <row r="8426" spans="1:5" x14ac:dyDescent="0.25">
      <c r="A8426" t="str">
        <f>HYPERLINK("https://www.773grp.com/globalSearch/LM4682SQ-NOPB/page-1", "LM4682SQ-NOPB")</f>
        <v>LM4682SQ-NOPB</v>
      </c>
      <c r="B8426" s="3" t="str">
        <f>HYPERLINK("https://www.773grp.com/manufacturer/national-semiconductor?pageNo=117", "National Semiconductor")</f>
        <v>National Semiconductor</v>
      </c>
      <c r="C8426" s="6">
        <v>250</v>
      </c>
      <c r="D8426" s="7">
        <v>9.68</v>
      </c>
      <c r="E8426" t="s">
        <v>18</v>
      </c>
    </row>
    <row r="8427" spans="1:5" x14ac:dyDescent="0.25">
      <c r="A8427" t="str">
        <f>HYPERLINK("https://www.773grp.com/globalSearch/40014BDM/page-1", "40014BDM")</f>
        <v>40014BDM</v>
      </c>
      <c r="B8427" s="3" t="str">
        <f>HYPERLINK("https://www.773grp.com/manufacturer/national-semiconductor?pageNo=118", "National Semiconductor")</f>
        <v>National Semiconductor</v>
      </c>
      <c r="C8427" s="6">
        <v>3180</v>
      </c>
      <c r="D8427" s="7">
        <v>9.6999999999999993</v>
      </c>
    </row>
    <row r="8428" spans="1:5" x14ac:dyDescent="0.25">
      <c r="A8428" t="str">
        <f>HYPERLINK("https://www.773grp.com/globalSearch/54LS245FMQB/page-1", "54LS245FMQB")</f>
        <v>54LS245FMQB</v>
      </c>
      <c r="B8428" s="3" t="str">
        <f>HYPERLINK("https://www.773grp.com/manufacturer/national-semiconductor?pageNo=119", "National Semiconductor")</f>
        <v>National Semiconductor</v>
      </c>
      <c r="C8428" s="6">
        <v>44</v>
      </c>
      <c r="D8428" s="7">
        <v>9.6999999999999993</v>
      </c>
      <c r="E8428" t="s">
        <v>14</v>
      </c>
    </row>
    <row r="8429" spans="1:5" x14ac:dyDescent="0.25">
      <c r="A8429" t="str">
        <f>HYPERLINK("https://www.773grp.com/globalSearch/LM2650MX-ADJ-NOPB/page-1", "LM2650MX-ADJ-NOPB")</f>
        <v>LM2650MX-ADJ-NOPB</v>
      </c>
      <c r="B8429" s="3" t="str">
        <f>HYPERLINK("https://www.773grp.com/manufacturer/national-semiconductor?pageNo=120", "National Semiconductor")</f>
        <v>National Semiconductor</v>
      </c>
      <c r="C8429" s="6">
        <v>8000</v>
      </c>
      <c r="D8429" s="7">
        <v>9.6999999999999993</v>
      </c>
    </row>
    <row r="8430" spans="1:5" x14ac:dyDescent="0.25">
      <c r="A8430" t="str">
        <f>HYPERLINK("https://www.773grp.com/globalSearch/TPA5050RSAR/page-1", "TPA5050RSAR")</f>
        <v>TPA5050RSAR</v>
      </c>
      <c r="B8430" s="3" t="str">
        <f>HYPERLINK("https://www.773grp.com/manufacturer/national-semiconductor?pageNo=121", "National Semiconductor")</f>
        <v>National Semiconductor</v>
      </c>
      <c r="C8430" s="6">
        <v>3000</v>
      </c>
      <c r="D8430" s="7">
        <v>9.6999999999999993</v>
      </c>
    </row>
    <row r="8431" spans="1:5" x14ac:dyDescent="0.25">
      <c r="A8431" t="str">
        <f>HYPERLINK("https://www.773grp.com/globalSearch/LM6182AIM/page-1", "LM6182AIM")</f>
        <v>LM6182AIM</v>
      </c>
      <c r="B8431" s="3" t="str">
        <f>HYPERLINK("https://www.773grp.com/manufacturer/national-semiconductor?pageNo=122", "National Semiconductor")</f>
        <v>National Semiconductor</v>
      </c>
      <c r="C8431" s="6">
        <v>14944</v>
      </c>
      <c r="D8431" s="7">
        <v>9.74</v>
      </c>
      <c r="E8431" t="s">
        <v>13</v>
      </c>
    </row>
    <row r="8432" spans="1:5" x14ac:dyDescent="0.25">
      <c r="A8432" t="str">
        <f>HYPERLINK("https://www.773grp.com/globalSearch/TP3067WM/page-1", "TP3067WM")</f>
        <v>TP3067WM</v>
      </c>
      <c r="B8432" s="3" t="str">
        <f>HYPERLINK("https://www.773grp.com/manufacturer/national-semiconductor?pageNo=123", "National Semiconductor")</f>
        <v>National Semiconductor</v>
      </c>
      <c r="C8432" s="6">
        <v>1799</v>
      </c>
      <c r="D8432" s="7">
        <v>9.74</v>
      </c>
      <c r="E8432" t="s">
        <v>66</v>
      </c>
    </row>
    <row r="8433" spans="1:5" x14ac:dyDescent="0.25">
      <c r="A8433" t="str">
        <f>HYPERLINK("https://www.773grp.com/globalSearch/9093PC/page-1", "9093PC")</f>
        <v>9093PC</v>
      </c>
      <c r="B8433" s="3" t="str">
        <f>HYPERLINK("https://www.773grp.com/manufacturer/national-semiconductor?pageNo=124", "National Semiconductor")</f>
        <v>National Semiconductor</v>
      </c>
      <c r="C8433" s="6">
        <v>6881</v>
      </c>
      <c r="D8433" s="7">
        <v>9.75</v>
      </c>
    </row>
    <row r="8434" spans="1:5" x14ac:dyDescent="0.25">
      <c r="A8434" t="str">
        <f>HYPERLINK("https://www.773grp.com/globalSearch/DM54121W-883/page-1", "DM54121W-883")</f>
        <v>DM54121W-883</v>
      </c>
      <c r="B8434" s="3" t="str">
        <f>HYPERLINK("https://www.773grp.com/manufacturer/national-semiconductor?pageNo=125", "National Semiconductor")</f>
        <v>National Semiconductor</v>
      </c>
      <c r="C8434" s="6">
        <v>7</v>
      </c>
      <c r="D8434" s="7">
        <v>9.75</v>
      </c>
      <c r="E8434" t="s">
        <v>54</v>
      </c>
    </row>
    <row r="8435" spans="1:5" x14ac:dyDescent="0.25">
      <c r="A8435" t="str">
        <f>HYPERLINK("https://www.773grp.com/globalSearch/DM54122W-883/page-1", "DM54122W-883")</f>
        <v>DM54122W-883</v>
      </c>
      <c r="B8435" s="3" t="str">
        <f>HYPERLINK("https://www.773grp.com/manufacturer/national-semiconductor?pageNo=126", "National Semiconductor")</f>
        <v>National Semiconductor</v>
      </c>
      <c r="C8435" s="6">
        <v>32</v>
      </c>
      <c r="D8435" s="7">
        <v>9.75</v>
      </c>
    </row>
    <row r="8436" spans="1:5" x14ac:dyDescent="0.25">
      <c r="A8436" t="str">
        <f>HYPERLINK("https://www.773grp.com/globalSearch/LM285AM-2.5/page-1", "LM285AM-2.5")</f>
        <v>LM285AM-2.5</v>
      </c>
      <c r="B8436" s="3" t="str">
        <f>HYPERLINK("https://www.773grp.com/manufacturer/national-semiconductor?pageNo=127", "National Semiconductor")</f>
        <v>National Semiconductor</v>
      </c>
      <c r="C8436" s="6">
        <v>2843</v>
      </c>
      <c r="D8436" s="7">
        <v>9.75</v>
      </c>
      <c r="E8436" t="s">
        <v>17</v>
      </c>
    </row>
    <row r="8437" spans="1:5" x14ac:dyDescent="0.25">
      <c r="A8437" t="str">
        <f>HYPERLINK("https://www.773grp.com/globalSearch/LM285AZ-2.5/page-1", "LM285AZ-2.5")</f>
        <v>LM285AZ-2.5</v>
      </c>
      <c r="B8437" s="3" t="str">
        <f>HYPERLINK("https://www.773grp.com/manufacturer/national-semiconductor?pageNo=128", "National Semiconductor")</f>
        <v>National Semiconductor</v>
      </c>
      <c r="C8437" s="6">
        <v>838</v>
      </c>
      <c r="D8437" s="7">
        <v>9.75</v>
      </c>
      <c r="E8437" t="s">
        <v>17</v>
      </c>
    </row>
    <row r="8438" spans="1:5" x14ac:dyDescent="0.25">
      <c r="A8438" t="str">
        <f>HYPERLINK("https://www.773grp.com/globalSearch/USBN9603-28M-NOPB/page-1", "USBN9603-28M-NOPB")</f>
        <v>USBN9603-28M-NOPB</v>
      </c>
      <c r="B8438" s="3" t="str">
        <f>HYPERLINK("https://www.773grp.com/manufacturer/national-semiconductor?pageNo=129", "National Semiconductor")</f>
        <v>National Semiconductor</v>
      </c>
      <c r="C8438" s="6">
        <v>210</v>
      </c>
      <c r="D8438" s="7">
        <v>9.75</v>
      </c>
      <c r="E8438" t="s">
        <v>68</v>
      </c>
    </row>
    <row r="8439" spans="1:5" x14ac:dyDescent="0.25">
      <c r="A8439" t="str">
        <f>HYPERLINK("https://www.773grp.com/globalSearch/USBN9603-28M-NOPB/page-1", "USBN9603-28M-NOPB")</f>
        <v>USBN9603-28M-NOPB</v>
      </c>
      <c r="B8439" s="3" t="str">
        <f>HYPERLINK("https://www.773grp.com/manufacturer/national-semiconductor?pageNo=130", "National Semiconductor")</f>
        <v>National Semiconductor</v>
      </c>
      <c r="C8439" s="6">
        <v>390</v>
      </c>
      <c r="D8439" s="7">
        <v>9.75</v>
      </c>
      <c r="E8439" t="s">
        <v>68</v>
      </c>
    </row>
    <row r="8440" spans="1:5" x14ac:dyDescent="0.25">
      <c r="A8440" t="str">
        <f>HYPERLINK("https://www.773grp.com/globalSearch/DS90CR285MTDX-NOPB/page-1", "DS90CR285MTDX-NOPB")</f>
        <v>DS90CR285MTDX-NOPB</v>
      </c>
      <c r="B8440" s="3" t="str">
        <f>HYPERLINK("https://www.773grp.com/manufacturer/national-semiconductor?pageNo=131", "National Semiconductor")</f>
        <v>National Semiconductor</v>
      </c>
      <c r="C8440" s="6">
        <v>7340</v>
      </c>
      <c r="D8440" s="7">
        <v>9.83</v>
      </c>
      <c r="E8440" t="s">
        <v>21</v>
      </c>
    </row>
    <row r="8441" spans="1:5" x14ac:dyDescent="0.25">
      <c r="A8441" t="str">
        <f>HYPERLINK("https://www.773grp.com/globalSearch/LM331AN/page-1", "LM331AN")</f>
        <v>LM331AN</v>
      </c>
      <c r="B8441" s="3" t="str">
        <f>HYPERLINK("https://www.773grp.com/manufacturer/national-semiconductor?pageNo=132", "National Semiconductor")</f>
        <v>National Semiconductor</v>
      </c>
      <c r="C8441" s="6">
        <v>105</v>
      </c>
      <c r="D8441" s="7">
        <v>9.83</v>
      </c>
      <c r="E8441" t="s">
        <v>45</v>
      </c>
    </row>
    <row r="8442" spans="1:5" x14ac:dyDescent="0.25">
      <c r="A8442" t="str">
        <f>HYPERLINK("https://www.773grp.com/globalSearch/LM331AN/page-1", "LM331AN")</f>
        <v>LM331AN</v>
      </c>
      <c r="B8442" s="3" t="str">
        <f>HYPERLINK("https://www.773grp.com/manufacturer/national-semiconductor?pageNo=133", "National Semiconductor")</f>
        <v>National Semiconductor</v>
      </c>
      <c r="C8442" s="6">
        <v>1714</v>
      </c>
      <c r="D8442" s="7">
        <v>9.83</v>
      </c>
      <c r="E8442" t="s">
        <v>45</v>
      </c>
    </row>
    <row r="8443" spans="1:5" x14ac:dyDescent="0.25">
      <c r="A8443" t="str">
        <f>HYPERLINK("https://www.773grp.com/globalSearch/5403LM/page-1", "5403LM")</f>
        <v>5403LM</v>
      </c>
      <c r="B8443" s="3" t="str">
        <f>HYPERLINK("https://www.773grp.com/manufacturer/national-semiconductor?pageNo=134", "National Semiconductor")</f>
        <v>National Semiconductor</v>
      </c>
      <c r="C8443" s="6">
        <v>198</v>
      </c>
      <c r="D8443" s="7">
        <v>9.84</v>
      </c>
    </row>
    <row r="8444" spans="1:5" x14ac:dyDescent="0.25">
      <c r="A8444" t="str">
        <f>HYPERLINK("https://www.773grp.com/globalSearch/5497FMQB/page-1", "5497FMQB")</f>
        <v>5497FMQB</v>
      </c>
      <c r="B8444" s="3" t="str">
        <f>HYPERLINK("https://www.773grp.com/manufacturer/national-semiconductor?pageNo=1", "National Semiconductor")</f>
        <v>National Semiconductor</v>
      </c>
      <c r="C8444" s="6">
        <v>320</v>
      </c>
      <c r="D8444" s="7">
        <v>9.84</v>
      </c>
      <c r="E8444" t="s">
        <v>26</v>
      </c>
    </row>
    <row r="8445" spans="1:5" x14ac:dyDescent="0.25">
      <c r="A8445" t="str">
        <f>HYPERLINK("https://www.773grp.com/globalSearch/54F258ADM/page-1", "54F258ADM")</f>
        <v>54F258ADM</v>
      </c>
      <c r="B8445" s="3" t="str">
        <f>HYPERLINK("https://www.773grp.com/manufacturer/national-semiconductor?pageNo=2", "National Semiconductor")</f>
        <v>National Semiconductor</v>
      </c>
      <c r="C8445" s="6">
        <v>3020</v>
      </c>
      <c r="D8445" s="7">
        <v>9.84</v>
      </c>
      <c r="E8445" t="s">
        <v>20</v>
      </c>
    </row>
    <row r="8446" spans="1:5" x14ac:dyDescent="0.25">
      <c r="A8446" t="str">
        <f>HYPERLINK("https://www.773grp.com/globalSearch/9338PC/page-1", "9338PC")</f>
        <v>9338PC</v>
      </c>
      <c r="B8446" s="3" t="str">
        <f>HYPERLINK("https://www.773grp.com/manufacturer/national-semiconductor?pageNo=3", "National Semiconductor")</f>
        <v>National Semiconductor</v>
      </c>
      <c r="C8446" s="6">
        <v>39272</v>
      </c>
      <c r="D8446" s="7">
        <v>9.84</v>
      </c>
    </row>
    <row r="8447" spans="1:5" x14ac:dyDescent="0.25">
      <c r="A8447" t="str">
        <f>HYPERLINK("https://www.773grp.com/globalSearch/9370DC/page-1", "9370DC")</f>
        <v>9370DC</v>
      </c>
      <c r="B8447" s="3" t="str">
        <f>HYPERLINK("https://www.773grp.com/manufacturer/national-semiconductor?pageNo=4", "National Semiconductor")</f>
        <v>National Semiconductor</v>
      </c>
      <c r="C8447" s="6">
        <v>38</v>
      </c>
      <c r="D8447" s="7">
        <v>9.84</v>
      </c>
      <c r="E8447" t="s">
        <v>36</v>
      </c>
    </row>
    <row r="8448" spans="1:5" x14ac:dyDescent="0.25">
      <c r="A8448" t="str">
        <f>HYPERLINK("https://www.773grp.com/globalSearch/93L28PC/page-1", "93L28PC")</f>
        <v>93L28PC</v>
      </c>
      <c r="B8448" s="3" t="str">
        <f>HYPERLINK("https://www.773grp.com/manufacturer/national-semiconductor?pageNo=5", "National Semiconductor")</f>
        <v>National Semiconductor</v>
      </c>
      <c r="C8448" s="6">
        <v>1080</v>
      </c>
      <c r="D8448" s="7">
        <v>9.84</v>
      </c>
    </row>
    <row r="8449" spans="1:5" x14ac:dyDescent="0.25">
      <c r="A8449" t="str">
        <f>HYPERLINK("https://www.773grp.com/globalSearch/96LS02SC/page-1", "96LS02SC")</f>
        <v>96LS02SC</v>
      </c>
      <c r="B8449" s="3" t="str">
        <f>HYPERLINK("https://www.773grp.com/manufacturer/national-semiconductor?pageNo=6", "National Semiconductor")</f>
        <v>National Semiconductor</v>
      </c>
      <c r="C8449" s="6">
        <v>9</v>
      </c>
      <c r="D8449" s="7">
        <v>9.84</v>
      </c>
    </row>
    <row r="8450" spans="1:5" x14ac:dyDescent="0.25">
      <c r="A8450" t="str">
        <f>HYPERLINK("https://www.773grp.com/globalSearch/ADC12L038CIWM/page-1", "ADC12L038CIWM")</f>
        <v>ADC12L038CIWM</v>
      </c>
      <c r="B8450" s="3" t="str">
        <f>HYPERLINK("https://www.773grp.com/manufacturer/national-semiconductor?pageNo=7", "National Semiconductor")</f>
        <v>National Semiconductor</v>
      </c>
      <c r="C8450" s="6">
        <v>2474</v>
      </c>
      <c r="D8450" s="7">
        <v>9.84</v>
      </c>
      <c r="E8450" t="s">
        <v>39</v>
      </c>
    </row>
    <row r="8451" spans="1:5" x14ac:dyDescent="0.25">
      <c r="A8451" t="str">
        <f>HYPERLINK("https://www.773grp.com/globalSearch/DM54LS174J-883C/page-1", "DM54LS174J-883C")</f>
        <v>DM54LS174J-883C</v>
      </c>
      <c r="B8451" s="3" t="str">
        <f>HYPERLINK("https://www.773grp.com/manufacturer/national-semiconductor?pageNo=8", "National Semiconductor")</f>
        <v>National Semiconductor</v>
      </c>
      <c r="C8451" s="6">
        <v>63</v>
      </c>
      <c r="D8451" s="7">
        <v>9.84</v>
      </c>
    </row>
    <row r="8452" spans="1:5" x14ac:dyDescent="0.25">
      <c r="A8452" t="str">
        <f>HYPERLINK("https://www.773grp.com/globalSearch/DM54S00W-883/page-1", "DM54S00W-883")</f>
        <v>DM54S00W-883</v>
      </c>
      <c r="B8452" s="3" t="str">
        <f>HYPERLINK("https://www.773grp.com/manufacturer/national-semiconductor?pageNo=9", "National Semiconductor")</f>
        <v>National Semiconductor</v>
      </c>
      <c r="C8452" s="6">
        <v>37</v>
      </c>
      <c r="D8452" s="7">
        <v>9.84</v>
      </c>
      <c r="E8452" t="s">
        <v>31</v>
      </c>
    </row>
    <row r="8453" spans="1:5" x14ac:dyDescent="0.25">
      <c r="A8453" t="str">
        <f>HYPERLINK("https://www.773grp.com/globalSearch/DM54S02W-883/page-1", "DM54S02W-883")</f>
        <v>DM54S02W-883</v>
      </c>
      <c r="B8453" s="3" t="str">
        <f>HYPERLINK("https://www.773grp.com/manufacturer/national-semiconductor?pageNo=10", "National Semiconductor")</f>
        <v>National Semiconductor</v>
      </c>
      <c r="C8453" s="6">
        <v>426</v>
      </c>
      <c r="D8453" s="7">
        <v>9.84</v>
      </c>
      <c r="E8453" t="s">
        <v>31</v>
      </c>
    </row>
    <row r="8454" spans="1:5" x14ac:dyDescent="0.25">
      <c r="A8454" t="str">
        <f>HYPERLINK("https://www.773grp.com/globalSearch/DM54S08W-883/page-1", "DM54S08W-883")</f>
        <v>DM54S08W-883</v>
      </c>
      <c r="B8454" s="3" t="str">
        <f>HYPERLINK("https://www.773grp.com/manufacturer/national-semiconductor?pageNo=11", "National Semiconductor")</f>
        <v>National Semiconductor</v>
      </c>
      <c r="C8454" s="6">
        <v>16</v>
      </c>
      <c r="D8454" s="7">
        <v>9.84</v>
      </c>
      <c r="E8454" t="s">
        <v>31</v>
      </c>
    </row>
    <row r="8455" spans="1:5" x14ac:dyDescent="0.25">
      <c r="A8455" t="str">
        <f>HYPERLINK("https://www.773grp.com/globalSearch/DM54S10W-883/page-1", "DM54S10W-883")</f>
        <v>DM54S10W-883</v>
      </c>
      <c r="B8455" s="3" t="str">
        <f>HYPERLINK("https://www.773grp.com/manufacturer/national-semiconductor?pageNo=12", "National Semiconductor")</f>
        <v>National Semiconductor</v>
      </c>
      <c r="C8455" s="6">
        <v>9</v>
      </c>
      <c r="D8455" s="7">
        <v>9.84</v>
      </c>
      <c r="E8455" t="s">
        <v>31</v>
      </c>
    </row>
    <row r="8456" spans="1:5" x14ac:dyDescent="0.25">
      <c r="A8456" t="str">
        <f>HYPERLINK("https://www.773grp.com/globalSearch/DM54S32W-883/page-1", "DM54S32W-883")</f>
        <v>DM54S32W-883</v>
      </c>
      <c r="B8456" s="3" t="str">
        <f>HYPERLINK("https://www.773grp.com/manufacturer/national-semiconductor?pageNo=13", "National Semiconductor")</f>
        <v>National Semiconductor</v>
      </c>
      <c r="C8456" s="6">
        <v>998</v>
      </c>
      <c r="D8456" s="7">
        <v>9.84</v>
      </c>
      <c r="E8456" t="s">
        <v>31</v>
      </c>
    </row>
    <row r="8457" spans="1:5" x14ac:dyDescent="0.25">
      <c r="A8457" t="str">
        <f>HYPERLINK("https://www.773grp.com/globalSearch/DM54S74J-883C/page-1", "DM54S74J-883C")</f>
        <v>DM54S74J-883C</v>
      </c>
      <c r="B8457" s="3" t="str">
        <f>HYPERLINK("https://www.773grp.com/manufacturer/national-semiconductor?pageNo=14", "National Semiconductor")</f>
        <v>National Semiconductor</v>
      </c>
      <c r="C8457" s="6">
        <v>1953</v>
      </c>
      <c r="D8457" s="7">
        <v>9.84</v>
      </c>
    </row>
    <row r="8458" spans="1:5" x14ac:dyDescent="0.25">
      <c r="A8458" t="str">
        <f>HYPERLINK("https://www.773grp.com/globalSearch/DM7013J-883/page-1", "DM7013J-883")</f>
        <v>DM7013J-883</v>
      </c>
      <c r="B8458" s="3" t="str">
        <f>HYPERLINK("https://www.773grp.com/manufacturer/national-semiconductor?pageNo=15", "National Semiconductor")</f>
        <v>National Semiconductor</v>
      </c>
      <c r="C8458" s="6">
        <v>2</v>
      </c>
      <c r="D8458" s="7">
        <v>9.84</v>
      </c>
    </row>
    <row r="8459" spans="1:5" x14ac:dyDescent="0.25">
      <c r="A8459" t="str">
        <f>HYPERLINK("https://www.773grp.com/globalSearch/GAL20V8QS-10LNI/page-1", "GAL20V8QS-10LNI")</f>
        <v>GAL20V8QS-10LNI</v>
      </c>
      <c r="B8459" s="3" t="str">
        <f>HYPERLINK("https://www.773grp.com/manufacturer/national-semiconductor?pageNo=16", "National Semiconductor")</f>
        <v>National Semiconductor</v>
      </c>
      <c r="C8459" s="6">
        <v>1682</v>
      </c>
      <c r="D8459" s="7">
        <v>9.84</v>
      </c>
    </row>
    <row r="8460" spans="1:5" x14ac:dyDescent="0.25">
      <c r="A8460" t="str">
        <f>HYPERLINK("https://www.773grp.com/globalSearch/LM236AH-5.0-46/page-1", "LM236AH-5.0-46")</f>
        <v>LM236AH-5.0-46</v>
      </c>
      <c r="B8460" s="3" t="str">
        <f>HYPERLINK("https://www.773grp.com/manufacturer/national-semiconductor?pageNo=17", "National Semiconductor")</f>
        <v>National Semiconductor</v>
      </c>
      <c r="C8460" s="6">
        <v>150</v>
      </c>
      <c r="D8460" s="7">
        <v>9.84</v>
      </c>
    </row>
    <row r="8461" spans="1:5" x14ac:dyDescent="0.25">
      <c r="A8461" t="str">
        <f>HYPERLINK("https://www.773grp.com/globalSearch/LM2678SD-12/page-1", "LM2678SD-12")</f>
        <v>LM2678SD-12</v>
      </c>
      <c r="B8461" s="3" t="str">
        <f>HYPERLINK("https://www.773grp.com/manufacturer/national-semiconductor?pageNo=18", "National Semiconductor")</f>
        <v>National Semiconductor</v>
      </c>
      <c r="C8461" s="6">
        <v>14</v>
      </c>
      <c r="D8461" s="7">
        <v>9.84</v>
      </c>
      <c r="E8461" t="s">
        <v>7</v>
      </c>
    </row>
    <row r="8462" spans="1:5" x14ac:dyDescent="0.25">
      <c r="A8462" t="str">
        <f>HYPERLINK("https://www.773grp.com/globalSearch/LM2678SD-ADJ/page-1", "LM2678SD-ADJ")</f>
        <v>LM2678SD-ADJ</v>
      </c>
      <c r="B8462" s="3" t="str">
        <f>HYPERLINK("https://www.773grp.com/manufacturer/national-semiconductor?pageNo=19", "National Semiconductor")</f>
        <v>National Semiconductor</v>
      </c>
      <c r="C8462" s="6">
        <v>1000</v>
      </c>
      <c r="D8462" s="7">
        <v>9.84</v>
      </c>
      <c r="E8462" t="s">
        <v>7</v>
      </c>
    </row>
    <row r="8463" spans="1:5" x14ac:dyDescent="0.25">
      <c r="A8463" t="str">
        <f>HYPERLINK("https://www.773grp.com/globalSearch/LM6144BIM-NOPB/page-1", "LM6144BIM-NOPB")</f>
        <v>LM6144BIM-NOPB</v>
      </c>
      <c r="B8463" s="3" t="str">
        <f>HYPERLINK("https://www.773grp.com/manufacturer/national-semiconductor?pageNo=20", "National Semiconductor")</f>
        <v>National Semiconductor</v>
      </c>
      <c r="C8463" s="6">
        <v>60</v>
      </c>
      <c r="D8463" s="7">
        <v>9.84</v>
      </c>
      <c r="E8463" t="s">
        <v>13</v>
      </c>
    </row>
    <row r="8464" spans="1:5" x14ac:dyDescent="0.25">
      <c r="A8464" t="str">
        <f>HYPERLINK("https://www.773grp.com/globalSearch/LM79CCVF/page-1", "LM79CCVF")</f>
        <v>LM79CCVF</v>
      </c>
      <c r="B8464" s="3" t="str">
        <f>HYPERLINK("https://www.773grp.com/manufacturer/national-semiconductor?pageNo=21", "National Semiconductor")</f>
        <v>National Semiconductor</v>
      </c>
      <c r="C8464" s="6">
        <v>20097</v>
      </c>
      <c r="D8464" s="7">
        <v>9.84</v>
      </c>
      <c r="E8464" t="s">
        <v>40</v>
      </c>
    </row>
    <row r="8465" spans="1:5" x14ac:dyDescent="0.25">
      <c r="A8465" t="str">
        <f>HYPERLINK("https://www.773grp.com/globalSearch/LM87CIMT/page-1", "LM87CIMT")</f>
        <v>LM87CIMT</v>
      </c>
      <c r="B8465" s="3" t="str">
        <f>HYPERLINK("https://www.773grp.com/manufacturer/national-semiconductor?pageNo=22", "National Semiconductor")</f>
        <v>National Semiconductor</v>
      </c>
      <c r="C8465" s="6">
        <v>1342</v>
      </c>
      <c r="D8465" s="7">
        <v>9.84</v>
      </c>
      <c r="E8465" t="s">
        <v>30</v>
      </c>
    </row>
    <row r="8466" spans="1:5" x14ac:dyDescent="0.25">
      <c r="A8466" t="str">
        <f>HYPERLINK("https://www.773grp.com/globalSearch/LMH0002MAX-NOPB/page-1", "LMH0002MAX-NOPB")</f>
        <v>LMH0002MAX-NOPB</v>
      </c>
      <c r="B8466" s="3" t="str">
        <f>HYPERLINK("https://www.773grp.com/manufacturer/national-semiconductor?pageNo=23", "National Semiconductor")</f>
        <v>National Semiconductor</v>
      </c>
      <c r="C8466" s="6">
        <v>7000</v>
      </c>
      <c r="D8466" s="7">
        <v>9.84</v>
      </c>
      <c r="E8466" t="s">
        <v>21</v>
      </c>
    </row>
    <row r="8467" spans="1:5" x14ac:dyDescent="0.25">
      <c r="A8467" t="str">
        <f>HYPERLINK("https://www.773grp.com/globalSearch/LMH0002SQ-NOPB/page-1", "LMH0002SQ-NOPB")</f>
        <v>LMH0002SQ-NOPB</v>
      </c>
      <c r="B8467" s="3" t="str">
        <f>HYPERLINK("https://www.773grp.com/manufacturer/national-semiconductor?pageNo=24", "National Semiconductor")</f>
        <v>National Semiconductor</v>
      </c>
      <c r="C8467" s="6">
        <v>3000</v>
      </c>
      <c r="D8467" s="7">
        <v>9.84</v>
      </c>
      <c r="E8467" t="s">
        <v>21</v>
      </c>
    </row>
    <row r="8468" spans="1:5" x14ac:dyDescent="0.25">
      <c r="A8468" t="str">
        <f>HYPERLINK("https://www.773grp.com/globalSearch/LP5551SQ/page-1", "LP5551SQ")</f>
        <v>LP5551SQ</v>
      </c>
      <c r="B8468" s="3" t="str">
        <f>HYPERLINK("https://www.773grp.com/manufacturer/national-semiconductor?pageNo=25", "National Semiconductor")</f>
        <v>National Semiconductor</v>
      </c>
      <c r="C8468" s="6">
        <v>250</v>
      </c>
      <c r="D8468" s="7">
        <v>9.84</v>
      </c>
      <c r="E8468" t="s">
        <v>40</v>
      </c>
    </row>
    <row r="8469" spans="1:5" x14ac:dyDescent="0.25">
      <c r="A8469" t="str">
        <f>HYPERLINK("https://www.773grp.com/globalSearch/LP5551SQ-NOPB/page-1", "LP5551SQ-NOPB")</f>
        <v>LP5551SQ-NOPB</v>
      </c>
      <c r="B8469" s="3" t="str">
        <f>HYPERLINK("https://www.773grp.com/manufacturer/national-semiconductor?pageNo=26", "National Semiconductor")</f>
        <v>National Semiconductor</v>
      </c>
      <c r="C8469" s="6">
        <v>219</v>
      </c>
      <c r="D8469" s="7">
        <v>9.84</v>
      </c>
    </row>
    <row r="8470" spans="1:5" x14ac:dyDescent="0.25">
      <c r="A8470" t="str">
        <f>HYPERLINK("https://www.773grp.com/globalSearch/LM2678SD-ADJ/page-1", "LM2678SD-ADJ")</f>
        <v>LM2678SD-ADJ</v>
      </c>
      <c r="B8470" s="3" t="str">
        <f>HYPERLINK("https://www.773grp.com/manufacturer/national-semiconductor?pageNo=27", "National Semiconductor")</f>
        <v>National Semiconductor</v>
      </c>
      <c r="C8470" s="6">
        <v>250</v>
      </c>
      <c r="D8470" s="7">
        <v>9.84</v>
      </c>
      <c r="E8470" t="s">
        <v>7</v>
      </c>
    </row>
    <row r="8471" spans="1:5" x14ac:dyDescent="0.25">
      <c r="A8471" t="str">
        <f>HYPERLINK("https://www.773grp.com/globalSearch/LM4562HA-NOPB/page-1", "LM4562HA-NOPB")</f>
        <v>LM4562HA-NOPB</v>
      </c>
      <c r="B8471" s="3" t="str">
        <f>HYPERLINK("https://www.773grp.com/manufacturer/national-semiconductor?pageNo=28", "National Semiconductor")</f>
        <v>National Semiconductor</v>
      </c>
      <c r="C8471" s="6">
        <v>33</v>
      </c>
      <c r="D8471" s="7">
        <v>9.84</v>
      </c>
    </row>
    <row r="8472" spans="1:5" x14ac:dyDescent="0.25">
      <c r="A8472" t="str">
        <f>HYPERLINK("https://www.773grp.com/globalSearch/LM6144BIM-NOPB/page-1", "LM6144BIM-NOPB")</f>
        <v>LM6144BIM-NOPB</v>
      </c>
      <c r="B8472" s="3" t="str">
        <f>HYPERLINK("https://www.773grp.com/manufacturer/national-semiconductor?pageNo=29", "National Semiconductor")</f>
        <v>National Semiconductor</v>
      </c>
      <c r="C8472" s="6">
        <v>7040</v>
      </c>
      <c r="D8472" s="7">
        <v>9.84</v>
      </c>
      <c r="E8472" t="s">
        <v>13</v>
      </c>
    </row>
    <row r="8473" spans="1:5" x14ac:dyDescent="0.25">
      <c r="A8473" t="str">
        <f>HYPERLINK("https://www.773grp.com/globalSearch/LM6144BIM-NOPB/page-1", "LM6144BIM-NOPB")</f>
        <v>LM6144BIM-NOPB</v>
      </c>
      <c r="B8473" s="3" t="str">
        <f>HYPERLINK("https://www.773grp.com/manufacturer/national-semiconductor?pageNo=30", "National Semiconductor")</f>
        <v>National Semiconductor</v>
      </c>
      <c r="C8473" s="6">
        <v>11000</v>
      </c>
      <c r="D8473" s="7">
        <v>9.84</v>
      </c>
      <c r="E8473" t="s">
        <v>13</v>
      </c>
    </row>
    <row r="8474" spans="1:5" x14ac:dyDescent="0.25">
      <c r="A8474" t="str">
        <f>HYPERLINK("https://www.773grp.com/globalSearch/LME49720HA-NOPB/page-1", "LME49720HA-NOPB")</f>
        <v>LME49720HA-NOPB</v>
      </c>
      <c r="B8474" s="3" t="str">
        <f>HYPERLINK("https://www.773grp.com/manufacturer/national-semiconductor?pageNo=31", "National Semiconductor")</f>
        <v>National Semiconductor</v>
      </c>
      <c r="C8474" s="6">
        <v>136</v>
      </c>
      <c r="D8474" s="7">
        <v>9.84</v>
      </c>
    </row>
    <row r="8475" spans="1:5" x14ac:dyDescent="0.25">
      <c r="A8475" t="str">
        <f>HYPERLINK("https://www.773grp.com/globalSearch/LMH0002SQ-NOPB/page-1", "LMH0002SQ-NOPB")</f>
        <v>LMH0002SQ-NOPB</v>
      </c>
      <c r="B8475" s="3" t="str">
        <f>HYPERLINK("https://www.773grp.com/manufacturer/national-semiconductor?pageNo=32", "National Semiconductor")</f>
        <v>National Semiconductor</v>
      </c>
      <c r="C8475" s="6">
        <v>5000</v>
      </c>
      <c r="D8475" s="7">
        <v>9.84</v>
      </c>
      <c r="E8475" t="s">
        <v>21</v>
      </c>
    </row>
    <row r="8476" spans="1:5" x14ac:dyDescent="0.25">
      <c r="A8476" t="str">
        <f>HYPERLINK("https://www.773grp.com/globalSearch/LMH0002SQ-NOPB/page-1", "LMH0002SQ-NOPB")</f>
        <v>LMH0002SQ-NOPB</v>
      </c>
      <c r="B8476" s="3" t="str">
        <f>HYPERLINK("https://www.773grp.com/manufacturer/national-semiconductor?pageNo=33", "National Semiconductor")</f>
        <v>National Semiconductor</v>
      </c>
      <c r="C8476" s="6">
        <v>3222</v>
      </c>
      <c r="D8476" s="7">
        <v>9.84</v>
      </c>
      <c r="E8476" t="s">
        <v>21</v>
      </c>
    </row>
    <row r="8477" spans="1:5" x14ac:dyDescent="0.25">
      <c r="A8477" t="str">
        <f>HYPERLINK("https://www.773grp.com/globalSearch/LP5551SQ-NOPB/page-1", "LP5551SQ-NOPB")</f>
        <v>LP5551SQ-NOPB</v>
      </c>
      <c r="B8477" s="3" t="str">
        <f>HYPERLINK("https://www.773grp.com/manufacturer/national-semiconductor?pageNo=34", "National Semiconductor")</f>
        <v>National Semiconductor</v>
      </c>
      <c r="C8477" s="6">
        <v>250</v>
      </c>
      <c r="D8477" s="7">
        <v>9.84</v>
      </c>
    </row>
    <row r="8478" spans="1:5" x14ac:dyDescent="0.25">
      <c r="A8478" t="str">
        <f>HYPERLINK("https://www.773grp.com/globalSearch/ADC12138CIWMX-NOPB/page-1", "ADC12138CIWMX-NOPB")</f>
        <v>ADC12138CIWMX-NOPB</v>
      </c>
      <c r="B8478" s="3" t="str">
        <f>HYPERLINK("https://www.773grp.com/manufacturer/national-semiconductor?pageNo=35", "National Semiconductor")</f>
        <v>National Semiconductor</v>
      </c>
      <c r="C8478" s="6">
        <v>6000</v>
      </c>
      <c r="D8478" s="7">
        <v>9.8800000000000008</v>
      </c>
    </row>
    <row r="8479" spans="1:5" x14ac:dyDescent="0.25">
      <c r="A8479" t="str">
        <f>HYPERLINK("https://www.773grp.com/globalSearch/CLC505AJE/page-1", "CLC505AJE")</f>
        <v>CLC505AJE</v>
      </c>
      <c r="B8479" s="3" t="str">
        <f>HYPERLINK("https://www.773grp.com/manufacturer/national-semiconductor?pageNo=36", "National Semiconductor")</f>
        <v>National Semiconductor</v>
      </c>
      <c r="C8479" s="6">
        <v>1950</v>
      </c>
      <c r="D8479" s="7">
        <v>9.8800000000000008</v>
      </c>
      <c r="E8479" t="s">
        <v>13</v>
      </c>
    </row>
    <row r="8480" spans="1:5" x14ac:dyDescent="0.25">
      <c r="A8480" t="str">
        <f>HYPERLINK("https://www.773grp.com/globalSearch/CLC505AJP/page-1", "CLC505AJP")</f>
        <v>CLC505AJP</v>
      </c>
      <c r="B8480" s="3" t="str">
        <f>HYPERLINK("https://www.773grp.com/manufacturer/national-semiconductor?pageNo=37", "National Semiconductor")</f>
        <v>National Semiconductor</v>
      </c>
      <c r="C8480" s="6">
        <v>41</v>
      </c>
      <c r="D8480" s="7">
        <v>9.8800000000000008</v>
      </c>
      <c r="E8480" t="s">
        <v>13</v>
      </c>
    </row>
    <row r="8481" spans="1:5" x14ac:dyDescent="0.25">
      <c r="A8481" t="str">
        <f>HYPERLINK("https://www.773grp.com/globalSearch/DS90CR286MTDX-NOPB/page-1", "DS90CR286MTDX-NOPB")</f>
        <v>DS90CR286MTDX-NOPB</v>
      </c>
      <c r="B8481" s="3" t="str">
        <f>HYPERLINK("https://www.773grp.com/manufacturer/national-semiconductor?pageNo=38", "National Semiconductor")</f>
        <v>National Semiconductor</v>
      </c>
      <c r="C8481" s="6">
        <v>3000</v>
      </c>
      <c r="D8481" s="7">
        <v>9.8800000000000008</v>
      </c>
      <c r="E8481" t="s">
        <v>21</v>
      </c>
    </row>
    <row r="8482" spans="1:5" x14ac:dyDescent="0.25">
      <c r="A8482" t="str">
        <f>HYPERLINK("https://www.773grp.com/globalSearch/LM4546BVH-NOPB/page-1", "LM4546BVH-NOPB")</f>
        <v>LM4546BVH-NOPB</v>
      </c>
      <c r="B8482" s="3" t="str">
        <f>HYPERLINK("https://www.773grp.com/manufacturer/national-semiconductor?pageNo=39", "National Semiconductor")</f>
        <v>National Semiconductor</v>
      </c>
      <c r="C8482" s="6">
        <v>85</v>
      </c>
      <c r="D8482" s="7">
        <v>9.8800000000000008</v>
      </c>
      <c r="E8482" t="s">
        <v>23</v>
      </c>
    </row>
    <row r="8483" spans="1:5" x14ac:dyDescent="0.25">
      <c r="A8483" t="str">
        <f>HYPERLINK("https://www.773grp.com/globalSearch/MM74HCT273J/page-1", "MM74HCT273J")</f>
        <v>MM74HCT273J</v>
      </c>
      <c r="B8483" s="3" t="str">
        <f>HYPERLINK("https://www.773grp.com/manufacturer/national-semiconductor?pageNo=40", "National Semiconductor")</f>
        <v>National Semiconductor</v>
      </c>
      <c r="C8483" s="6">
        <v>2540</v>
      </c>
      <c r="D8483" s="7">
        <v>9.8800000000000008</v>
      </c>
      <c r="E8483" t="s">
        <v>35</v>
      </c>
    </row>
    <row r="8484" spans="1:5" x14ac:dyDescent="0.25">
      <c r="A8484" t="str">
        <f>HYPERLINK("https://www.773grp.com/globalSearch/ADC12138CIWMX-NOPB/page-1", "ADC12138CIWMX-NOPB")</f>
        <v>ADC12138CIWMX-NOPB</v>
      </c>
      <c r="B8484" s="3" t="str">
        <f>HYPERLINK("https://www.773grp.com/manufacturer/national-semiconductor?pageNo=41", "National Semiconductor")</f>
        <v>National Semiconductor</v>
      </c>
      <c r="C8484" s="6">
        <v>1000</v>
      </c>
      <c r="D8484" s="7">
        <v>9.8800000000000008</v>
      </c>
    </row>
    <row r="8485" spans="1:5" x14ac:dyDescent="0.25">
      <c r="A8485" t="str">
        <f>HYPERLINK("https://www.773grp.com/globalSearch/DS90CR286MTD-NOPB/page-1", "DS90CR286MTD-NOPB")</f>
        <v>DS90CR286MTD-NOPB</v>
      </c>
      <c r="B8485" s="3" t="str">
        <f>HYPERLINK("https://www.773grp.com/manufacturer/national-semiconductor?pageNo=42", "National Semiconductor")</f>
        <v>National Semiconductor</v>
      </c>
      <c r="C8485" s="6">
        <v>65</v>
      </c>
      <c r="D8485" s="7">
        <v>9.8800000000000008</v>
      </c>
    </row>
    <row r="8486" spans="1:5" x14ac:dyDescent="0.25">
      <c r="A8486" t="str">
        <f>HYPERLINK("https://www.773grp.com/globalSearch/DS90CR286MTDX-NOPB/page-1", "DS90CR286MTDX-NOPB")</f>
        <v>DS90CR286MTDX-NOPB</v>
      </c>
      <c r="B8486" s="3" t="str">
        <f>HYPERLINK("https://www.773grp.com/manufacturer/national-semiconductor?pageNo=43", "National Semiconductor")</f>
        <v>National Semiconductor</v>
      </c>
      <c r="C8486" s="6">
        <v>1000</v>
      </c>
      <c r="D8486" s="7">
        <v>9.8800000000000008</v>
      </c>
      <c r="E8486" t="s">
        <v>21</v>
      </c>
    </row>
    <row r="8487" spans="1:5" x14ac:dyDescent="0.25">
      <c r="A8487" t="str">
        <f>HYPERLINK("https://www.773grp.com/globalSearch/LM4546BVH-NOPB/page-1", "LM4546BVH-NOPB")</f>
        <v>LM4546BVH-NOPB</v>
      </c>
      <c r="B8487" s="3" t="str">
        <f>HYPERLINK("https://www.773grp.com/manufacturer/national-semiconductor?pageNo=44", "National Semiconductor")</f>
        <v>National Semiconductor</v>
      </c>
      <c r="C8487" s="6">
        <v>2070</v>
      </c>
      <c r="D8487" s="7">
        <v>9.8800000000000008</v>
      </c>
      <c r="E8487" t="s">
        <v>23</v>
      </c>
    </row>
    <row r="8488" spans="1:5" x14ac:dyDescent="0.25">
      <c r="A8488" t="str">
        <f>HYPERLINK("https://www.773grp.com/globalSearch/54F00FMQB/page-1", "54F00FMQB")</f>
        <v>54F00FMQB</v>
      </c>
      <c r="B8488" s="3" t="str">
        <f>HYPERLINK("https://www.773grp.com/manufacturer/national-semiconductor?pageNo=45", "National Semiconductor")</f>
        <v>National Semiconductor</v>
      </c>
      <c r="C8488" s="6">
        <v>5162</v>
      </c>
      <c r="D8488" s="7">
        <v>9.9</v>
      </c>
      <c r="E8488" t="s">
        <v>31</v>
      </c>
    </row>
    <row r="8489" spans="1:5" x14ac:dyDescent="0.25">
      <c r="A8489" t="str">
        <f>HYPERLINK("https://www.773grp.com/globalSearch/54F02FMQB/page-1", "54F02FMQB")</f>
        <v>54F02FMQB</v>
      </c>
      <c r="B8489" s="3" t="str">
        <f>HYPERLINK("https://www.773grp.com/manufacturer/national-semiconductor?pageNo=46", "National Semiconductor")</f>
        <v>National Semiconductor</v>
      </c>
      <c r="C8489" s="6">
        <v>1682</v>
      </c>
      <c r="D8489" s="7">
        <v>9.9</v>
      </c>
      <c r="E8489" t="s">
        <v>31</v>
      </c>
    </row>
    <row r="8490" spans="1:5" x14ac:dyDescent="0.25">
      <c r="A8490" t="str">
        <f>HYPERLINK("https://www.773grp.com/globalSearch/54F10FMQB/page-1", "54F10FMQB")</f>
        <v>54F10FMQB</v>
      </c>
      <c r="B8490" s="3" t="str">
        <f>HYPERLINK("https://www.773grp.com/manufacturer/national-semiconductor?pageNo=47", "National Semiconductor")</f>
        <v>National Semiconductor</v>
      </c>
      <c r="C8490" s="6">
        <v>3430</v>
      </c>
      <c r="D8490" s="7">
        <v>9.9</v>
      </c>
      <c r="E8490" t="s">
        <v>31</v>
      </c>
    </row>
    <row r="8491" spans="1:5" x14ac:dyDescent="0.25">
      <c r="A8491" t="str">
        <f>HYPERLINK("https://www.773grp.com/globalSearch/54F138FMQB/page-1", "54F138FMQB")</f>
        <v>54F138FMQB</v>
      </c>
      <c r="B8491" s="3" t="str">
        <f>HYPERLINK("https://www.773grp.com/manufacturer/national-semiconductor?pageNo=48", "National Semiconductor")</f>
        <v>National Semiconductor</v>
      </c>
      <c r="C8491" s="6">
        <v>1513</v>
      </c>
      <c r="D8491" s="7">
        <v>9.9</v>
      </c>
      <c r="E8491" t="s">
        <v>36</v>
      </c>
    </row>
    <row r="8492" spans="1:5" x14ac:dyDescent="0.25">
      <c r="A8492" t="str">
        <f>HYPERLINK("https://www.773grp.com/globalSearch/54F153FMQB/page-1", "54F153FMQB")</f>
        <v>54F153FMQB</v>
      </c>
      <c r="B8492" s="3" t="str">
        <f>HYPERLINK("https://www.773grp.com/manufacturer/national-semiconductor?pageNo=49", "National Semiconductor")</f>
        <v>National Semiconductor</v>
      </c>
      <c r="C8492" s="6">
        <v>6365</v>
      </c>
      <c r="D8492" s="7">
        <v>9.9</v>
      </c>
      <c r="E8492" t="s">
        <v>20</v>
      </c>
    </row>
    <row r="8493" spans="1:5" x14ac:dyDescent="0.25">
      <c r="A8493" t="str">
        <f>HYPERLINK("https://www.773grp.com/globalSearch/54F32FMQB/page-1", "54F32FMQB")</f>
        <v>54F32FMQB</v>
      </c>
      <c r="B8493" s="3" t="str">
        <f>HYPERLINK("https://www.773grp.com/manufacturer/national-semiconductor?pageNo=50", "National Semiconductor")</f>
        <v>National Semiconductor</v>
      </c>
      <c r="C8493" s="6">
        <v>4648</v>
      </c>
      <c r="D8493" s="7">
        <v>9.9</v>
      </c>
      <c r="E8493" t="s">
        <v>31</v>
      </c>
    </row>
    <row r="8494" spans="1:5" x14ac:dyDescent="0.25">
      <c r="A8494" t="str">
        <f>HYPERLINK("https://www.773grp.com/globalSearch/DS92CK16TMTC/page-1", "DS92CK16TMTC")</f>
        <v>DS92CK16TMTC</v>
      </c>
      <c r="B8494" s="3" t="str">
        <f>HYPERLINK("https://www.773grp.com/manufacturer/national-semiconductor?pageNo=51", "National Semiconductor")</f>
        <v>National Semiconductor</v>
      </c>
      <c r="C8494" s="6">
        <v>128</v>
      </c>
      <c r="D8494" s="7">
        <v>9.93</v>
      </c>
      <c r="E8494" t="s">
        <v>21</v>
      </c>
    </row>
    <row r="8495" spans="1:5" x14ac:dyDescent="0.25">
      <c r="A8495" t="str">
        <f>HYPERLINK("https://www.773grp.com/globalSearch/LM236H2.5-NOPB/page-1", "LM236H2.5-NOPB")</f>
        <v>LM236H2.5-NOPB</v>
      </c>
      <c r="B8495" s="3" t="str">
        <f>HYPERLINK("https://www.773grp.com/manufacturer/national-semiconductor?pageNo=52", "National Semiconductor")</f>
        <v>National Semiconductor</v>
      </c>
      <c r="C8495" s="6">
        <v>600</v>
      </c>
      <c r="D8495" s="7">
        <v>9.93</v>
      </c>
    </row>
    <row r="8496" spans="1:5" x14ac:dyDescent="0.25">
      <c r="A8496" t="str">
        <f>HYPERLINK("https://www.773grp.com/globalSearch/LMP90078MH-NOPB/page-1", "LMP90078MH-NOPB")</f>
        <v>LMP90078MH-NOPB</v>
      </c>
      <c r="B8496" s="3" t="str">
        <f>HYPERLINK("https://www.773grp.com/manufacturer/national-semiconductor?pageNo=53", "National Semiconductor")</f>
        <v>National Semiconductor</v>
      </c>
      <c r="C8496" s="6">
        <v>951</v>
      </c>
      <c r="D8496" s="7">
        <v>9.93</v>
      </c>
    </row>
    <row r="8497" spans="1:5" x14ac:dyDescent="0.25">
      <c r="A8497" t="str">
        <f>HYPERLINK("https://www.773grp.com/globalSearch/54LS240FMQB/page-1", "54LS240FMQB")</f>
        <v>54LS240FMQB</v>
      </c>
      <c r="B8497" s="3" t="str">
        <f>HYPERLINK("https://www.773grp.com/manufacturer/national-semiconductor?pageNo=54", "National Semiconductor")</f>
        <v>National Semiconductor</v>
      </c>
      <c r="C8497" s="6">
        <v>1839</v>
      </c>
      <c r="D8497" s="7">
        <v>9.9600000000000009</v>
      </c>
      <c r="E8497" t="s">
        <v>14</v>
      </c>
    </row>
    <row r="8498" spans="1:5" x14ac:dyDescent="0.25">
      <c r="A8498" t="str">
        <f>HYPERLINK("https://www.773grp.com/globalSearch/54LS244FMQB/page-1", "54LS244FMQB")</f>
        <v>54LS244FMQB</v>
      </c>
      <c r="B8498" s="3" t="str">
        <f>HYPERLINK("https://www.773grp.com/manufacturer/national-semiconductor?pageNo=55", "National Semiconductor")</f>
        <v>National Semiconductor</v>
      </c>
      <c r="C8498" s="6">
        <v>1803</v>
      </c>
      <c r="D8498" s="7">
        <v>9.9600000000000009</v>
      </c>
      <c r="E8498" t="s">
        <v>14</v>
      </c>
    </row>
    <row r="8499" spans="1:5" x14ac:dyDescent="0.25">
      <c r="A8499" t="str">
        <f>HYPERLINK("https://www.773grp.com/globalSearch/54LS273FM/page-1", "54LS273FM")</f>
        <v>54LS273FM</v>
      </c>
      <c r="B8499" s="3" t="str">
        <f>HYPERLINK("https://www.773grp.com/manufacturer/national-semiconductor?pageNo=56", "National Semiconductor")</f>
        <v>National Semiconductor</v>
      </c>
      <c r="C8499" s="6">
        <v>511</v>
      </c>
      <c r="D8499" s="7">
        <v>9.9600000000000009</v>
      </c>
    </row>
    <row r="8500" spans="1:5" x14ac:dyDescent="0.25">
      <c r="A8500" t="str">
        <f>HYPERLINK("https://www.773grp.com/globalSearch/54LS273FMQB/page-1", "54LS273FMQB")</f>
        <v>54LS273FMQB</v>
      </c>
      <c r="B8500" s="3" t="str">
        <f>HYPERLINK("https://www.773grp.com/manufacturer/national-semiconductor?pageNo=57", "National Semiconductor")</f>
        <v>National Semiconductor</v>
      </c>
      <c r="C8500" s="6">
        <v>1108</v>
      </c>
      <c r="D8500" s="7">
        <v>9.9600000000000009</v>
      </c>
      <c r="E8500" t="s">
        <v>35</v>
      </c>
    </row>
    <row r="8501" spans="1:5" x14ac:dyDescent="0.25">
      <c r="A8501" t="str">
        <f>HYPERLINK("https://www.773grp.com/globalSearch/54LS377FM/page-1", "54LS377FM")</f>
        <v>54LS377FM</v>
      </c>
      <c r="B8501" s="3" t="str">
        <f>HYPERLINK("https://www.773grp.com/manufacturer/national-semiconductor?pageNo=58", "National Semiconductor")</f>
        <v>National Semiconductor</v>
      </c>
      <c r="C8501" s="6">
        <v>293</v>
      </c>
      <c r="D8501" s="7">
        <v>9.9600000000000009</v>
      </c>
    </row>
    <row r="8502" spans="1:5" x14ac:dyDescent="0.25">
      <c r="A8502" t="str">
        <f>HYPERLINK("https://www.773grp.com/globalSearch/54LS377FMQB/page-1", "54LS377FMQB")</f>
        <v>54LS377FMQB</v>
      </c>
      <c r="B8502" s="3" t="str">
        <f>HYPERLINK("https://www.773grp.com/manufacturer/national-semiconductor?pageNo=59", "National Semiconductor")</f>
        <v>National Semiconductor</v>
      </c>
      <c r="C8502" s="6">
        <v>297</v>
      </c>
      <c r="D8502" s="7">
        <v>9.9600000000000009</v>
      </c>
      <c r="E8502" t="s">
        <v>35</v>
      </c>
    </row>
    <row r="8503" spans="1:5" x14ac:dyDescent="0.25">
      <c r="A8503" t="str">
        <f>HYPERLINK("https://www.773grp.com/globalSearch/DM54LS26N-883/page-1", "DM54LS26N-883")</f>
        <v>DM54LS26N-883</v>
      </c>
      <c r="B8503" s="3" t="str">
        <f>HYPERLINK("https://www.773grp.com/manufacturer/national-semiconductor?pageNo=60", "National Semiconductor")</f>
        <v>National Semiconductor</v>
      </c>
      <c r="C8503" s="6">
        <v>33</v>
      </c>
      <c r="D8503" s="7">
        <v>9.9600000000000009</v>
      </c>
    </row>
    <row r="8504" spans="1:5" x14ac:dyDescent="0.25">
      <c r="A8504" t="str">
        <f>HYPERLINK("https://www.773grp.com/globalSearch/JM38510-33202BRA/page-1", "JM38510-33202BRA")</f>
        <v>JM38510-33202BRA</v>
      </c>
      <c r="B8504" s="3" t="str">
        <f>HYPERLINK("https://www.773grp.com/manufacturer/national-semiconductor?pageNo=61", "National Semiconductor")</f>
        <v>National Semiconductor</v>
      </c>
      <c r="C8504" s="6">
        <v>194</v>
      </c>
      <c r="D8504" s="7">
        <v>9.9600000000000009</v>
      </c>
      <c r="E8504" t="s">
        <v>14</v>
      </c>
    </row>
    <row r="8505" spans="1:5" x14ac:dyDescent="0.25">
      <c r="A8505" t="str">
        <f>HYPERLINK("https://www.773grp.com/globalSearch/LM2590HVS-ADJ/page-1", "LM2590HVS-ADJ")</f>
        <v>LM2590HVS-ADJ</v>
      </c>
      <c r="B8505" s="3" t="str">
        <f>HYPERLINK("https://www.773grp.com/manufacturer/national-semiconductor?pageNo=62", "National Semiconductor")</f>
        <v>National Semiconductor</v>
      </c>
      <c r="C8505" s="6">
        <v>40712</v>
      </c>
      <c r="D8505" s="7">
        <v>9.9600000000000009</v>
      </c>
      <c r="E8505" t="s">
        <v>7</v>
      </c>
    </row>
    <row r="8506" spans="1:5" x14ac:dyDescent="0.25">
      <c r="A8506" t="str">
        <f>HYPERLINK("https://www.773grp.com/globalSearch/LM285AMX-1.2/page-1", "LM285AMX-1.2")</f>
        <v>LM285AMX-1.2</v>
      </c>
      <c r="B8506" s="3" t="str">
        <f>HYPERLINK("https://www.773grp.com/manufacturer/national-semiconductor?pageNo=63", "National Semiconductor")</f>
        <v>National Semiconductor</v>
      </c>
      <c r="C8506" s="6">
        <v>2421</v>
      </c>
      <c r="D8506" s="7">
        <v>9.9600000000000009</v>
      </c>
      <c r="E8506" t="s">
        <v>17</v>
      </c>
    </row>
    <row r="8507" spans="1:5" x14ac:dyDescent="0.25">
      <c r="A8507" t="str">
        <f>HYPERLINK("https://www.773grp.com/globalSearch/LM285AMX-2.5/page-1", "LM285AMX-2.5")</f>
        <v>LM285AMX-2.5</v>
      </c>
      <c r="B8507" s="3" t="str">
        <f>HYPERLINK("https://www.773grp.com/manufacturer/national-semiconductor?pageNo=64", "National Semiconductor")</f>
        <v>National Semiconductor</v>
      </c>
      <c r="C8507" s="6">
        <v>10000</v>
      </c>
      <c r="D8507" s="7">
        <v>9.9600000000000009</v>
      </c>
      <c r="E8507" t="s">
        <v>17</v>
      </c>
    </row>
    <row r="8508" spans="1:5" x14ac:dyDescent="0.25">
      <c r="A8508" t="str">
        <f>HYPERLINK("https://www.773grp.com/globalSearch/COP8SAA716M8-NOPB/page-1", "COP8SAA716M8-NOPB")</f>
        <v>COP8SAA716M8-NOPB</v>
      </c>
      <c r="B8508" s="3" t="str">
        <f>HYPERLINK("https://www.773grp.com/manufacturer/national-semiconductor?pageNo=65", "National Semiconductor")</f>
        <v>National Semiconductor</v>
      </c>
      <c r="C8508" s="6">
        <v>125</v>
      </c>
      <c r="D8508" s="7">
        <v>9.9600000000000009</v>
      </c>
    </row>
    <row r="8509" spans="1:5" x14ac:dyDescent="0.25">
      <c r="A8509" t="str">
        <f>HYPERLINK("https://www.773grp.com/globalSearch/LM10520MH-NOPB/page-1", "LM10520MH-NOPB")</f>
        <v>LM10520MH-NOPB</v>
      </c>
      <c r="B8509" s="3" t="str">
        <f>HYPERLINK("https://www.773grp.com/manufacturer/national-semiconductor?pageNo=66", "National Semiconductor")</f>
        <v>National Semiconductor</v>
      </c>
      <c r="C8509" s="6">
        <v>250</v>
      </c>
      <c r="D8509" s="7">
        <v>9.9600000000000009</v>
      </c>
    </row>
    <row r="8510" spans="1:5" x14ac:dyDescent="0.25">
      <c r="A8510" t="str">
        <f>HYPERLINK("https://www.773grp.com/globalSearch/LM2590HVS-ADJ/page-1", "LM2590HVS-ADJ")</f>
        <v>LM2590HVS-ADJ</v>
      </c>
      <c r="B8510" s="3" t="str">
        <f>HYPERLINK("https://www.773grp.com/manufacturer/national-semiconductor?pageNo=67", "National Semiconductor")</f>
        <v>National Semiconductor</v>
      </c>
      <c r="C8510" s="6">
        <v>90</v>
      </c>
      <c r="D8510" s="7">
        <v>9.9600000000000009</v>
      </c>
      <c r="E8510" t="s">
        <v>7</v>
      </c>
    </row>
    <row r="8511" spans="1:5" x14ac:dyDescent="0.25">
      <c r="A8511" t="str">
        <f>HYPERLINK("https://www.773grp.com/globalSearch/TP3057V-NOPB/page-1", "TP3057V-NOPB")</f>
        <v>TP3057V-NOPB</v>
      </c>
      <c r="B8511" s="3" t="str">
        <f>HYPERLINK("https://www.773grp.com/manufacturer/national-semiconductor?pageNo=68", "National Semiconductor")</f>
        <v>National Semiconductor</v>
      </c>
      <c r="C8511" s="6">
        <v>1080</v>
      </c>
      <c r="D8511" s="7">
        <v>9.9600000000000009</v>
      </c>
    </row>
    <row r="8512" spans="1:5" x14ac:dyDescent="0.25">
      <c r="A8512" t="str">
        <f>HYPERLINK("https://www.773grp.com/globalSearch/4001BDMQB/page-1", "4001BDMQB")</f>
        <v>4001BDMQB</v>
      </c>
      <c r="B8512" s="3" t="str">
        <f>HYPERLINK("https://www.773grp.com/manufacturer/national-semiconductor?pageNo=69", "National Semiconductor")</f>
        <v>National Semiconductor</v>
      </c>
      <c r="C8512" s="6">
        <v>7005</v>
      </c>
      <c r="D8512" s="7">
        <v>9.99</v>
      </c>
    </row>
    <row r="8513" spans="1:5" x14ac:dyDescent="0.25">
      <c r="A8513" t="str">
        <f>HYPERLINK("https://www.773grp.com/globalSearch/DS14C535MSAX-NOPB/page-1", "DS14C535MSAX-NOPB")</f>
        <v>DS14C535MSAX-NOPB</v>
      </c>
      <c r="B8513" s="3" t="str">
        <f>HYPERLINK("https://www.773grp.com/manufacturer/national-semiconductor?pageNo=70", "National Semiconductor")</f>
        <v>National Semiconductor</v>
      </c>
      <c r="C8513" s="6">
        <v>6000</v>
      </c>
      <c r="D8513" s="7">
        <v>9.99</v>
      </c>
      <c r="E8513" t="s">
        <v>21</v>
      </c>
    </row>
    <row r="8514" spans="1:5" x14ac:dyDescent="0.25">
      <c r="A8514" t="str">
        <f>HYPERLINK("https://www.773grp.com/globalSearch/LMX2522LQ1635/page-1", "LMX2522LQ1635")</f>
        <v>LMX2522LQ1635</v>
      </c>
      <c r="B8514" s="3" t="str">
        <f>HYPERLINK("https://www.773grp.com/manufacturer/national-semiconductor?pageNo=71", "National Semiconductor")</f>
        <v>National Semiconductor</v>
      </c>
      <c r="C8514" s="6">
        <v>12816</v>
      </c>
      <c r="D8514" s="7">
        <v>9.99</v>
      </c>
      <c r="E8514" t="s">
        <v>38</v>
      </c>
    </row>
    <row r="8515" spans="1:5" x14ac:dyDescent="0.25">
      <c r="A8515" t="str">
        <f>HYPERLINK("https://www.773grp.com/globalSearch/PC16550DVX-NOPB/page-1", "PC16550DVX-NOPB")</f>
        <v>PC16550DVX-NOPB</v>
      </c>
      <c r="B8515" s="3" t="str">
        <f>HYPERLINK("https://www.773grp.com/manufacturer/national-semiconductor?pageNo=72", "National Semiconductor")</f>
        <v>National Semiconductor</v>
      </c>
      <c r="C8515" s="6">
        <v>1500</v>
      </c>
      <c r="D8515" s="7">
        <v>9.99</v>
      </c>
      <c r="E8515" t="s">
        <v>71</v>
      </c>
    </row>
    <row r="8516" spans="1:5" x14ac:dyDescent="0.25">
      <c r="A8516" t="str">
        <f>HYPERLINK("https://www.773grp.com/globalSearch/CDCF5801ADBQ/page-1", "CDCF5801ADBQ")</f>
        <v>CDCF5801ADBQ</v>
      </c>
      <c r="B8516" s="3" t="str">
        <f>HYPERLINK("https://www.773grp.com/manufacturer/national-semiconductor?pageNo=73", "National Semiconductor")</f>
        <v>National Semiconductor</v>
      </c>
      <c r="C8516" s="6">
        <v>192</v>
      </c>
      <c r="D8516" s="7">
        <v>9.99</v>
      </c>
    </row>
    <row r="8517" spans="1:5" x14ac:dyDescent="0.25">
      <c r="A8517" t="str">
        <f>HYPERLINK("https://www.773grp.com/globalSearch/DS14C535MSAX-NOPB/page-1", "DS14C535MSAX-NOPB")</f>
        <v>DS14C535MSAX-NOPB</v>
      </c>
      <c r="B8517" s="3" t="str">
        <f>HYPERLINK("https://www.773grp.com/manufacturer/national-semiconductor?pageNo=74", "National Semiconductor")</f>
        <v>National Semiconductor</v>
      </c>
      <c r="C8517" s="6">
        <v>8000</v>
      </c>
      <c r="D8517" s="7">
        <v>9.99</v>
      </c>
      <c r="E8517" t="s">
        <v>21</v>
      </c>
    </row>
    <row r="8518" spans="1:5" x14ac:dyDescent="0.25">
      <c r="A8518" t="str">
        <f>HYPERLINK("https://www.773grp.com/globalSearch/LMX2522LQ1635/page-1", "LMX2522LQ1635")</f>
        <v>LMX2522LQ1635</v>
      </c>
      <c r="B8518" s="3" t="str">
        <f>HYPERLINK("https://www.773grp.com/manufacturer/national-semiconductor?pageNo=75", "National Semiconductor")</f>
        <v>National Semiconductor</v>
      </c>
      <c r="C8518" s="6">
        <v>6000</v>
      </c>
      <c r="D8518" s="7">
        <v>9.99</v>
      </c>
      <c r="E8518" t="s">
        <v>38</v>
      </c>
    </row>
    <row r="8519" spans="1:5" x14ac:dyDescent="0.25">
      <c r="A8519" t="str">
        <f>HYPERLINK("https://www.773grp.com/globalSearch/USBN9604SLB/page-1", "USBN9604SLB")</f>
        <v>USBN9604SLB</v>
      </c>
      <c r="B8519" s="3" t="str">
        <f>HYPERLINK("https://www.773grp.com/manufacturer/national-semiconductor?pageNo=76", "National Semiconductor")</f>
        <v>National Semiconductor</v>
      </c>
      <c r="C8519" s="6">
        <v>1750</v>
      </c>
      <c r="D8519" s="7">
        <v>9.99</v>
      </c>
    </row>
    <row r="8520" spans="1:5" x14ac:dyDescent="0.25">
      <c r="A8520" t="str">
        <f>HYPERLINK("https://www.773grp.com/globalSearch/USBN9604SLB-NOPB/page-1", "USBN9604SLB-NOPB")</f>
        <v>USBN9604SLB-NOPB</v>
      </c>
      <c r="B8520" s="3" t="str">
        <f>HYPERLINK("https://www.773grp.com/manufacturer/national-semiconductor?pageNo=77", "National Semiconductor")</f>
        <v>National Semiconductor</v>
      </c>
      <c r="C8520" s="6">
        <v>4470</v>
      </c>
      <c r="D8520" s="7">
        <v>9.99</v>
      </c>
    </row>
    <row r="8521" spans="1:5" x14ac:dyDescent="0.25">
      <c r="A8521" t="str">
        <f>HYPERLINK("https://www.773grp.com/globalSearch/54F158AFMQB/page-1", "54F158AFMQB")</f>
        <v>54F158AFMQB</v>
      </c>
      <c r="B8521" s="3" t="str">
        <f>HYPERLINK("https://www.773grp.com/manufacturer/national-semiconductor?pageNo=78", "National Semiconductor")</f>
        <v>National Semiconductor</v>
      </c>
      <c r="C8521" s="6">
        <v>23</v>
      </c>
      <c r="D8521" s="7">
        <v>10.01</v>
      </c>
      <c r="E8521" t="s">
        <v>20</v>
      </c>
    </row>
    <row r="8522" spans="1:5" x14ac:dyDescent="0.25">
      <c r="A8522" t="str">
        <f>HYPERLINK("https://www.773grp.com/globalSearch/54LS670DM/page-1", "54LS670DM")</f>
        <v>54LS670DM</v>
      </c>
      <c r="B8522" s="3" t="str">
        <f>HYPERLINK("https://www.773grp.com/manufacturer/national-semiconductor?pageNo=79", "National Semiconductor")</f>
        <v>National Semiconductor</v>
      </c>
      <c r="C8522" s="6">
        <v>674</v>
      </c>
      <c r="D8522" s="7">
        <v>10.01</v>
      </c>
    </row>
    <row r="8523" spans="1:5" x14ac:dyDescent="0.25">
      <c r="A8523" t="str">
        <f>HYPERLINK("https://www.773grp.com/globalSearch/DS25BR440TSQX-NOPB/page-1", "DS25BR440TSQX-NOPB")</f>
        <v>DS25BR440TSQX-NOPB</v>
      </c>
      <c r="B8523" s="3" t="str">
        <f>HYPERLINK("https://www.773grp.com/manufacturer/national-semiconductor?pageNo=80", "National Semiconductor")</f>
        <v>National Semiconductor</v>
      </c>
      <c r="C8523" s="6">
        <v>2400</v>
      </c>
      <c r="D8523" s="7">
        <v>10.01</v>
      </c>
    </row>
    <row r="8524" spans="1:5" x14ac:dyDescent="0.25">
      <c r="A8524" t="str">
        <f>HYPERLINK("https://www.773grp.com/globalSearch/JD54LS20BCA/page-1", "JD54LS20BCA")</f>
        <v>JD54LS20BCA</v>
      </c>
      <c r="B8524" s="3" t="str">
        <f>HYPERLINK("https://www.773grp.com/manufacturer/national-semiconductor?pageNo=81", "National Semiconductor")</f>
        <v>National Semiconductor</v>
      </c>
      <c r="C8524" s="6">
        <v>22</v>
      </c>
      <c r="D8524" s="7">
        <v>10.01</v>
      </c>
    </row>
    <row r="8525" spans="1:5" x14ac:dyDescent="0.25">
      <c r="A8525" t="str">
        <f>HYPERLINK("https://www.773grp.com/globalSearch/DS90C387AVJD/page-1", "DS90C387AVJD")</f>
        <v>DS90C387AVJD</v>
      </c>
      <c r="B8525" s="3" t="str">
        <f>HYPERLINK("https://www.773grp.com/manufacturer/national-semiconductor?pageNo=82", "National Semiconductor")</f>
        <v>National Semiconductor</v>
      </c>
      <c r="C8525" s="6">
        <v>90</v>
      </c>
      <c r="D8525" s="7">
        <v>10.039999999999999</v>
      </c>
      <c r="E8525" t="s">
        <v>21</v>
      </c>
    </row>
    <row r="8526" spans="1:5" x14ac:dyDescent="0.25">
      <c r="A8526" t="str">
        <f>HYPERLINK("https://www.773grp.com/globalSearch/DS90C387AVJD-NOPB/page-1", "DS90C387AVJD-NOPB")</f>
        <v>DS90C387AVJD-NOPB</v>
      </c>
      <c r="B8526" s="3" t="str">
        <f>HYPERLINK("https://www.773grp.com/manufacturer/national-semiconductor?pageNo=83", "National Semiconductor")</f>
        <v>National Semiconductor</v>
      </c>
      <c r="C8526" s="6">
        <v>6337</v>
      </c>
      <c r="D8526" s="7">
        <v>10.039999999999999</v>
      </c>
      <c r="E8526" t="s">
        <v>21</v>
      </c>
    </row>
    <row r="8527" spans="1:5" x14ac:dyDescent="0.25">
      <c r="A8527" t="str">
        <f>HYPERLINK("https://www.773grp.com/globalSearch/DS90C387AVJD-NOPB/page-1", "DS90C387AVJD-NOPB")</f>
        <v>DS90C387AVJD-NOPB</v>
      </c>
      <c r="B8527" s="3" t="str">
        <f>HYPERLINK("https://www.773grp.com/manufacturer/national-semiconductor?pageNo=84", "National Semiconductor")</f>
        <v>National Semiconductor</v>
      </c>
      <c r="C8527" s="6">
        <v>250</v>
      </c>
      <c r="D8527" s="7">
        <v>10.039999999999999</v>
      </c>
      <c r="E8527" t="s">
        <v>21</v>
      </c>
    </row>
    <row r="8528" spans="1:5" x14ac:dyDescent="0.25">
      <c r="A8528" t="str">
        <f>HYPERLINK("https://www.773grp.com/globalSearch/LMP90079MHE-NOPB/page-1", "LMP90079MHE-NOPB")</f>
        <v>LMP90079MHE-NOPB</v>
      </c>
      <c r="B8528" s="3" t="str">
        <f>HYPERLINK("https://www.773grp.com/manufacturer/national-semiconductor?pageNo=85", "National Semiconductor")</f>
        <v>National Semiconductor</v>
      </c>
      <c r="C8528" s="6">
        <v>500</v>
      </c>
      <c r="D8528" s="7">
        <v>10.039999999999999</v>
      </c>
      <c r="E8528" t="s">
        <v>40</v>
      </c>
    </row>
    <row r="8529" spans="1:5" x14ac:dyDescent="0.25">
      <c r="A8529" t="str">
        <f>HYPERLINK("https://www.773grp.com/globalSearch/54F257ADC/page-1", "54F257ADC")</f>
        <v>54F257ADC</v>
      </c>
      <c r="B8529" s="3" t="str">
        <f>HYPERLINK("https://www.773grp.com/manufacturer/national-semiconductor?pageNo=86", "National Semiconductor")</f>
        <v>National Semiconductor</v>
      </c>
      <c r="C8529" s="6">
        <v>16</v>
      </c>
      <c r="D8529" s="7">
        <v>10.08</v>
      </c>
      <c r="E8529" t="s">
        <v>20</v>
      </c>
    </row>
    <row r="8530" spans="1:5" x14ac:dyDescent="0.25">
      <c r="A8530" t="str">
        <f>HYPERLINK("https://www.773grp.com/globalSearch/LM2677SD-12/page-1", "LM2677SD-12")</f>
        <v>LM2677SD-12</v>
      </c>
      <c r="B8530" s="3" t="str">
        <f>HYPERLINK("https://www.773grp.com/manufacturer/national-semiconductor?pageNo=87", "National Semiconductor")</f>
        <v>National Semiconductor</v>
      </c>
      <c r="C8530" s="6">
        <v>89</v>
      </c>
      <c r="D8530" s="7">
        <v>10.08</v>
      </c>
      <c r="E8530" t="s">
        <v>7</v>
      </c>
    </row>
    <row r="8531" spans="1:5" x14ac:dyDescent="0.25">
      <c r="A8531" t="str">
        <f>HYPERLINK("https://www.773grp.com/globalSearch/LM2677SD-ADJ/page-1", "LM2677SD-ADJ")</f>
        <v>LM2677SD-ADJ</v>
      </c>
      <c r="B8531" s="3" t="str">
        <f>HYPERLINK("https://www.773grp.com/manufacturer/national-semiconductor?pageNo=88", "National Semiconductor")</f>
        <v>National Semiconductor</v>
      </c>
      <c r="C8531" s="6">
        <v>500</v>
      </c>
      <c r="D8531" s="7">
        <v>10.08</v>
      </c>
      <c r="E8531" t="s">
        <v>7</v>
      </c>
    </row>
    <row r="8532" spans="1:5" x14ac:dyDescent="0.25">
      <c r="A8532" t="str">
        <f>HYPERLINK("https://www.773grp.com/globalSearch/LM2679SD-5.0/page-1", "LM2679SD-5.0")</f>
        <v>LM2679SD-5.0</v>
      </c>
      <c r="B8532" s="3" t="str">
        <f>HYPERLINK("https://www.773grp.com/manufacturer/national-semiconductor?pageNo=89", "National Semiconductor")</f>
        <v>National Semiconductor</v>
      </c>
      <c r="C8532" s="6">
        <v>46</v>
      </c>
      <c r="D8532" s="7">
        <v>10.08</v>
      </c>
      <c r="E8532" t="s">
        <v>7</v>
      </c>
    </row>
    <row r="8533" spans="1:5" x14ac:dyDescent="0.25">
      <c r="A8533" t="str">
        <f>HYPERLINK("https://www.773grp.com/globalSearch/LM340AK-12/page-1", "LM340AK-12")</f>
        <v>LM340AK-12</v>
      </c>
      <c r="B8533" s="3" t="str">
        <f>HYPERLINK("https://www.773grp.com/manufacturer/national-semiconductor?pageNo=90", "National Semiconductor")</f>
        <v>National Semiconductor</v>
      </c>
      <c r="C8533" s="6">
        <v>356</v>
      </c>
      <c r="D8533" s="7">
        <v>10.08</v>
      </c>
      <c r="E8533" t="s">
        <v>28</v>
      </c>
    </row>
    <row r="8534" spans="1:5" x14ac:dyDescent="0.25">
      <c r="A8534" t="str">
        <f>HYPERLINK("https://www.773grp.com/globalSearch/USBN9604-28M-NOPB/page-1", "USBN9604-28M-NOPB")</f>
        <v>USBN9604-28M-NOPB</v>
      </c>
      <c r="B8534" s="3" t="str">
        <f>HYPERLINK("https://www.773grp.com/manufacturer/national-semiconductor?pageNo=91", "National Semiconductor")</f>
        <v>National Semiconductor</v>
      </c>
      <c r="C8534" s="6">
        <v>232</v>
      </c>
      <c r="D8534" s="7">
        <v>10.08</v>
      </c>
      <c r="E8534" t="s">
        <v>68</v>
      </c>
    </row>
    <row r="8535" spans="1:5" x14ac:dyDescent="0.25">
      <c r="A8535" t="str">
        <f>HYPERLINK("https://www.773grp.com/globalSearch/USBN9604-28M-NOPB/page-1", "USBN9604-28M-NOPB")</f>
        <v>USBN9604-28M-NOPB</v>
      </c>
      <c r="B8535" s="3" t="str">
        <f>HYPERLINK("https://www.773grp.com/manufacturer/national-semiconductor?pageNo=92", "National Semiconductor")</f>
        <v>National Semiconductor</v>
      </c>
      <c r="C8535" s="6">
        <v>166</v>
      </c>
      <c r="D8535" s="7">
        <v>10.08</v>
      </c>
      <c r="E8535" t="s">
        <v>68</v>
      </c>
    </row>
    <row r="8536" spans="1:5" x14ac:dyDescent="0.25">
      <c r="A8536" t="str">
        <f>HYPERLINK("https://www.773grp.com/globalSearch/54F11LMQB/page-1", "54F11LMQB")</f>
        <v>54F11LMQB</v>
      </c>
      <c r="B8536" s="3" t="str">
        <f>HYPERLINK("https://www.773grp.com/manufacturer/national-semiconductor?pageNo=93", "National Semiconductor")</f>
        <v>National Semiconductor</v>
      </c>
      <c r="C8536" s="6">
        <v>466</v>
      </c>
      <c r="D8536" s="7">
        <v>10.09</v>
      </c>
      <c r="E8536" t="s">
        <v>31</v>
      </c>
    </row>
    <row r="8537" spans="1:5" x14ac:dyDescent="0.25">
      <c r="A8537" t="str">
        <f>HYPERLINK("https://www.773grp.com/globalSearch/ADC12132CIMSA/page-1", "ADC12132CIMSA")</f>
        <v>ADC12132CIMSA</v>
      </c>
      <c r="B8537" s="3" t="str">
        <f>HYPERLINK("https://www.773grp.com/manufacturer/national-semiconductor?pageNo=94", "National Semiconductor")</f>
        <v>National Semiconductor</v>
      </c>
      <c r="C8537" s="6">
        <v>5719</v>
      </c>
      <c r="D8537" s="7">
        <v>10.09</v>
      </c>
      <c r="E8537" t="s">
        <v>39</v>
      </c>
    </row>
    <row r="8538" spans="1:5" x14ac:dyDescent="0.25">
      <c r="A8538" t="str">
        <f>HYPERLINK("https://www.773grp.com/globalSearch/ADC12132CIMSA-NOPB/page-1", "ADC12132CIMSA-NOPB")</f>
        <v>ADC12132CIMSA-NOPB</v>
      </c>
      <c r="B8538" s="3" t="str">
        <f>HYPERLINK("https://www.773grp.com/manufacturer/national-semiconductor?pageNo=95", "National Semiconductor")</f>
        <v>National Semiconductor</v>
      </c>
      <c r="C8538" s="6">
        <v>2</v>
      </c>
      <c r="D8538" s="7">
        <v>10.09</v>
      </c>
    </row>
    <row r="8539" spans="1:5" x14ac:dyDescent="0.25">
      <c r="A8539" t="str">
        <f>HYPERLINK("https://www.773grp.com/globalSearch/CLC412AJE/page-1", "CLC412AJE")</f>
        <v>CLC412AJE</v>
      </c>
      <c r="B8539" s="3" t="str">
        <f>HYPERLINK("https://www.773grp.com/manufacturer/national-semiconductor?pageNo=96", "National Semiconductor")</f>
        <v>National Semiconductor</v>
      </c>
      <c r="C8539" s="6">
        <v>3303</v>
      </c>
      <c r="D8539" s="7">
        <v>10.09</v>
      </c>
      <c r="E8539" t="s">
        <v>18</v>
      </c>
    </row>
    <row r="8540" spans="1:5" x14ac:dyDescent="0.25">
      <c r="A8540" t="str">
        <f>HYPERLINK("https://www.773grp.com/globalSearch/LM313H/page-1", "LM313H")</f>
        <v>LM313H</v>
      </c>
      <c r="B8540" s="3" t="str">
        <f>HYPERLINK("https://www.773grp.com/manufacturer/national-semiconductor?pageNo=97", "National Semiconductor")</f>
        <v>National Semiconductor</v>
      </c>
      <c r="C8540" s="6">
        <v>22</v>
      </c>
      <c r="D8540" s="7">
        <v>10.09</v>
      </c>
      <c r="E8540" t="s">
        <v>17</v>
      </c>
    </row>
    <row r="8541" spans="1:5" x14ac:dyDescent="0.25">
      <c r="A8541" t="str">
        <f>HYPERLINK("https://www.773grp.com/globalSearch/54151AFMQB/page-1", "54151AFMQB")</f>
        <v>54151AFMQB</v>
      </c>
      <c r="B8541" s="3" t="str">
        <f>HYPERLINK("https://www.773grp.com/manufacturer/national-semiconductor?pageNo=98", "National Semiconductor")</f>
        <v>National Semiconductor</v>
      </c>
      <c r="C8541" s="6">
        <v>2164</v>
      </c>
      <c r="D8541" s="7">
        <v>10.130000000000001</v>
      </c>
      <c r="E8541" t="s">
        <v>20</v>
      </c>
    </row>
    <row r="8542" spans="1:5" x14ac:dyDescent="0.25">
      <c r="A8542" t="str">
        <f>HYPERLINK("https://www.773grp.com/globalSearch/54153FM/page-1", "54153FM")</f>
        <v>54153FM</v>
      </c>
      <c r="B8542" s="3" t="str">
        <f>HYPERLINK("https://www.773grp.com/manufacturer/national-semiconductor?pageNo=99", "National Semiconductor")</f>
        <v>National Semiconductor</v>
      </c>
      <c r="C8542" s="6">
        <v>1206</v>
      </c>
      <c r="D8542" s="7">
        <v>10.130000000000001</v>
      </c>
    </row>
    <row r="8543" spans="1:5" x14ac:dyDescent="0.25">
      <c r="A8543" t="str">
        <f>HYPERLINK("https://www.773grp.com/globalSearch/54175FM/page-1", "54175FM")</f>
        <v>54175FM</v>
      </c>
      <c r="B8543" s="3" t="str">
        <f>HYPERLINK("https://www.773grp.com/manufacturer/national-semiconductor?pageNo=100", "National Semiconductor")</f>
        <v>National Semiconductor</v>
      </c>
      <c r="C8543" s="6">
        <v>212</v>
      </c>
      <c r="D8543" s="7">
        <v>10.130000000000001</v>
      </c>
    </row>
    <row r="8544" spans="1:5" x14ac:dyDescent="0.25">
      <c r="A8544" t="str">
        <f>HYPERLINK("https://www.773grp.com/globalSearch/54175FMQB/page-1", "54175FMQB")</f>
        <v>54175FMQB</v>
      </c>
      <c r="B8544" s="3" t="str">
        <f>HYPERLINK("https://www.773grp.com/manufacturer/national-semiconductor?pageNo=101", "National Semiconductor")</f>
        <v>National Semiconductor</v>
      </c>
      <c r="C8544" s="6">
        <v>842</v>
      </c>
      <c r="D8544" s="7">
        <v>10.130000000000001</v>
      </c>
      <c r="E8544" t="s">
        <v>35</v>
      </c>
    </row>
    <row r="8545" spans="1:5" x14ac:dyDescent="0.25">
      <c r="A8545" t="str">
        <f>HYPERLINK("https://www.773grp.com/globalSearch/74FCT245SCX/page-1", "74FCT245SCX")</f>
        <v>74FCT245SCX</v>
      </c>
      <c r="B8545" s="3" t="str">
        <f>HYPERLINK("https://www.773grp.com/manufacturer/national-semiconductor?pageNo=102", "National Semiconductor")</f>
        <v>National Semiconductor</v>
      </c>
      <c r="C8545" s="6">
        <v>1495</v>
      </c>
      <c r="D8545" s="7">
        <v>10.130000000000001</v>
      </c>
      <c r="E8545" t="s">
        <v>14</v>
      </c>
    </row>
    <row r="8546" spans="1:5" x14ac:dyDescent="0.25">
      <c r="A8546" t="str">
        <f>HYPERLINK("https://www.773grp.com/globalSearch/74LS502DC/page-1", "74LS502DC")</f>
        <v>74LS502DC</v>
      </c>
      <c r="B8546" s="3" t="str">
        <f>HYPERLINK("https://www.773grp.com/manufacturer/national-semiconductor?pageNo=103", "National Semiconductor")</f>
        <v>National Semiconductor</v>
      </c>
      <c r="C8546" s="6">
        <v>1582</v>
      </c>
      <c r="D8546" s="7">
        <v>10.130000000000001</v>
      </c>
    </row>
    <row r="8547" spans="1:5" x14ac:dyDescent="0.25">
      <c r="A8547" t="str">
        <f>HYPERLINK("https://www.773grp.com/globalSearch/ADC0808CCV/page-1", "ADC0808CCV")</f>
        <v>ADC0808CCV</v>
      </c>
      <c r="B8547" s="3" t="str">
        <f>HYPERLINK("https://www.773grp.com/manufacturer/national-semiconductor?pageNo=104", "National Semiconductor")</f>
        <v>National Semiconductor</v>
      </c>
      <c r="C8547" s="6">
        <v>126</v>
      </c>
      <c r="D8547" s="7">
        <v>10.130000000000001</v>
      </c>
      <c r="E8547" t="s">
        <v>39</v>
      </c>
    </row>
    <row r="8548" spans="1:5" x14ac:dyDescent="0.25">
      <c r="A8548" t="str">
        <f>HYPERLINK("https://www.773grp.com/globalSearch/CLC425AJM5/page-1", "CLC425AJM5")</f>
        <v>CLC425AJM5</v>
      </c>
      <c r="B8548" s="3" t="str">
        <f>HYPERLINK("https://www.773grp.com/manufacturer/national-semiconductor?pageNo=105", "National Semiconductor")</f>
        <v>National Semiconductor</v>
      </c>
      <c r="C8548" s="6">
        <v>16894</v>
      </c>
      <c r="D8548" s="7">
        <v>10.130000000000001</v>
      </c>
      <c r="E8548" t="s">
        <v>13</v>
      </c>
    </row>
    <row r="8549" spans="1:5" x14ac:dyDescent="0.25">
      <c r="A8549" t="str">
        <f>HYPERLINK("https://www.773grp.com/globalSearch/DS90C3201VS-NOPB/page-1", "DS90C3201VS-NOPB")</f>
        <v>DS90C3201VS-NOPB</v>
      </c>
      <c r="B8549" s="3" t="str">
        <f>HYPERLINK("https://www.773grp.com/manufacturer/national-semiconductor?pageNo=106", "National Semiconductor")</f>
        <v>National Semiconductor</v>
      </c>
      <c r="C8549" s="6">
        <v>24</v>
      </c>
      <c r="D8549" s="7">
        <v>10.130000000000001</v>
      </c>
    </row>
    <row r="8550" spans="1:5" x14ac:dyDescent="0.25">
      <c r="A8550" t="str">
        <f>HYPERLINK("https://www.773grp.com/globalSearch/DS90CF366MTD-NOPB/page-1", "DS90CF366MTD-NOPB")</f>
        <v>DS90CF366MTD-NOPB</v>
      </c>
      <c r="B8550" s="3" t="str">
        <f>HYPERLINK("https://www.773grp.com/manufacturer/national-semiconductor?pageNo=107", "National Semiconductor")</f>
        <v>National Semiconductor</v>
      </c>
      <c r="C8550" s="6">
        <v>39</v>
      </c>
      <c r="D8550" s="7">
        <v>10.130000000000001</v>
      </c>
      <c r="E8550" t="s">
        <v>21</v>
      </c>
    </row>
    <row r="8551" spans="1:5" x14ac:dyDescent="0.25">
      <c r="A8551" t="str">
        <f>HYPERLINK("https://www.773grp.com/globalSearch/DS90CR216MTD-NOPB/page-1", "DS90CR216MTD-NOPB")</f>
        <v>DS90CR216MTD-NOPB</v>
      </c>
      <c r="B8551" s="3" t="str">
        <f>HYPERLINK("https://www.773grp.com/manufacturer/national-semiconductor?pageNo=108", "National Semiconductor")</f>
        <v>National Semiconductor</v>
      </c>
      <c r="C8551" s="6">
        <v>15</v>
      </c>
      <c r="D8551" s="7">
        <v>10.130000000000001</v>
      </c>
      <c r="E8551" t="s">
        <v>21</v>
      </c>
    </row>
    <row r="8552" spans="1:5" x14ac:dyDescent="0.25">
      <c r="A8552" t="str">
        <f>HYPERLINK("https://www.773grp.com/globalSearch/DS90CR216MTDX/page-1", "DS90CR216MTDX")</f>
        <v>DS90CR216MTDX</v>
      </c>
      <c r="B8552" s="3" t="str">
        <f>HYPERLINK("https://www.773grp.com/manufacturer/national-semiconductor?pageNo=109", "National Semiconductor")</f>
        <v>National Semiconductor</v>
      </c>
      <c r="C8552" s="6">
        <v>1000</v>
      </c>
      <c r="D8552" s="7">
        <v>10.130000000000001</v>
      </c>
      <c r="E8552" t="s">
        <v>21</v>
      </c>
    </row>
    <row r="8553" spans="1:5" x14ac:dyDescent="0.25">
      <c r="A8553" t="str">
        <f>HYPERLINK("https://www.773grp.com/globalSearch/DS91M040TSQ-NOPB/page-1", "DS91M040TSQ-NOPB")</f>
        <v>DS91M040TSQ-NOPB</v>
      </c>
      <c r="B8553" s="3" t="str">
        <f>HYPERLINK("https://www.773grp.com/manufacturer/national-semiconductor?pageNo=110", "National Semiconductor")</f>
        <v>National Semiconductor</v>
      </c>
      <c r="C8553" s="6">
        <v>235</v>
      </c>
      <c r="D8553" s="7">
        <v>10.130000000000001</v>
      </c>
      <c r="E8553" t="s">
        <v>21</v>
      </c>
    </row>
    <row r="8554" spans="1:5" x14ac:dyDescent="0.25">
      <c r="A8554" t="str">
        <f>HYPERLINK("https://www.773grp.com/globalSearch/JD54LS51BDA/page-1", "JD54LS51BDA")</f>
        <v>JD54LS51BDA</v>
      </c>
      <c r="B8554" s="3" t="str">
        <f>HYPERLINK("https://www.773grp.com/manufacturer/national-semiconductor?pageNo=111", "National Semiconductor")</f>
        <v>National Semiconductor</v>
      </c>
      <c r="C8554" s="6">
        <v>32</v>
      </c>
      <c r="D8554" s="7">
        <v>10.130000000000001</v>
      </c>
    </row>
    <row r="8555" spans="1:5" x14ac:dyDescent="0.25">
      <c r="A8555" t="str">
        <f>HYPERLINK("https://www.773grp.com/globalSearch/LM2585S-12-NOPB/page-1", "LM2585S-12-NOPB")</f>
        <v>LM2585S-12-NOPB</v>
      </c>
      <c r="B8555" s="3" t="str">
        <f>HYPERLINK("https://www.773grp.com/manufacturer/national-semiconductor?pageNo=112", "National Semiconductor")</f>
        <v>National Semiconductor</v>
      </c>
      <c r="C8555" s="6">
        <v>1949</v>
      </c>
      <c r="D8555" s="7">
        <v>10.130000000000001</v>
      </c>
      <c r="E8555" t="s">
        <v>7</v>
      </c>
    </row>
    <row r="8556" spans="1:5" x14ac:dyDescent="0.25">
      <c r="A8556" t="str">
        <f>HYPERLINK("https://www.773grp.com/globalSearch/LM2585S-5.0-NOPB/page-1", "LM2585S-5.0-NOPB")</f>
        <v>LM2585S-5.0-NOPB</v>
      </c>
      <c r="B8556" s="3" t="str">
        <f>HYPERLINK("https://www.773grp.com/manufacturer/national-semiconductor?pageNo=113", "National Semiconductor")</f>
        <v>National Semiconductor</v>
      </c>
      <c r="C8556" s="6">
        <v>915</v>
      </c>
      <c r="D8556" s="7">
        <v>10.130000000000001</v>
      </c>
      <c r="E8556" t="s">
        <v>7</v>
      </c>
    </row>
    <row r="8557" spans="1:5" x14ac:dyDescent="0.25">
      <c r="A8557" t="str">
        <f>HYPERLINK("https://www.773grp.com/globalSearch/LM2585S-ADJ-NOPB/page-1", "LM2585S-ADJ-NOPB")</f>
        <v>LM2585S-ADJ-NOPB</v>
      </c>
      <c r="B8557" s="3" t="str">
        <f>HYPERLINK("https://www.773grp.com/manufacturer/national-semiconductor?pageNo=114", "National Semiconductor")</f>
        <v>National Semiconductor</v>
      </c>
      <c r="C8557" s="6">
        <v>451</v>
      </c>
      <c r="D8557" s="7">
        <v>10.130000000000001</v>
      </c>
      <c r="E8557" t="s">
        <v>7</v>
      </c>
    </row>
    <row r="8558" spans="1:5" x14ac:dyDescent="0.25">
      <c r="A8558" t="str">
        <f>HYPERLINK("https://www.773grp.com/globalSearch/LM2640MTC-ADJ-NOPB/page-1", "LM2640MTC-ADJ-NOPB")</f>
        <v>LM2640MTC-ADJ-NOPB</v>
      </c>
      <c r="B8558" s="3" t="str">
        <f>HYPERLINK("https://www.773grp.com/manufacturer/national-semiconductor?pageNo=115", "National Semiconductor")</f>
        <v>National Semiconductor</v>
      </c>
      <c r="C8558" s="6">
        <v>239</v>
      </c>
      <c r="D8558" s="7">
        <v>10.130000000000001</v>
      </c>
      <c r="E8558" t="s">
        <v>7</v>
      </c>
    </row>
    <row r="8559" spans="1:5" x14ac:dyDescent="0.25">
      <c r="A8559" t="str">
        <f>HYPERLINK("https://www.773grp.com/globalSearch/LM2641MTC-ADJ-NOPB/page-1", "LM2641MTC-ADJ-NOPB")</f>
        <v>LM2641MTC-ADJ-NOPB</v>
      </c>
      <c r="B8559" s="3" t="str">
        <f>HYPERLINK("https://www.773grp.com/manufacturer/national-semiconductor?pageNo=116", "National Semiconductor")</f>
        <v>National Semiconductor</v>
      </c>
      <c r="C8559" s="6">
        <v>243</v>
      </c>
      <c r="D8559" s="7">
        <v>10.130000000000001</v>
      </c>
      <c r="E8559" t="s">
        <v>7</v>
      </c>
    </row>
    <row r="8560" spans="1:5" x14ac:dyDescent="0.25">
      <c r="A8560" t="str">
        <f>HYPERLINK("https://www.773grp.com/globalSearch/DS90C3201VS-NOPB/page-1", "DS90C3201VS-NOPB")</f>
        <v>DS90C3201VS-NOPB</v>
      </c>
      <c r="B8560" s="3" t="str">
        <f>HYPERLINK("https://www.773grp.com/manufacturer/national-semiconductor?pageNo=117", "National Semiconductor")</f>
        <v>National Semiconductor</v>
      </c>
      <c r="C8560" s="6">
        <v>34</v>
      </c>
      <c r="D8560" s="7">
        <v>10.130000000000001</v>
      </c>
    </row>
    <row r="8561" spans="1:5" x14ac:dyDescent="0.25">
      <c r="A8561" t="str">
        <f>HYPERLINK("https://www.773grp.com/globalSearch/DS90C3201VS-NOPB/page-1", "DS90C3201VS-NOPB")</f>
        <v>DS90C3201VS-NOPB</v>
      </c>
      <c r="B8561" s="3" t="str">
        <f>HYPERLINK("https://www.773grp.com/manufacturer/national-semiconductor?pageNo=118", "National Semiconductor")</f>
        <v>National Semiconductor</v>
      </c>
      <c r="C8561" s="6">
        <v>2826</v>
      </c>
      <c r="D8561" s="7">
        <v>10.130000000000001</v>
      </c>
    </row>
    <row r="8562" spans="1:5" x14ac:dyDescent="0.25">
      <c r="A8562" t="str">
        <f>HYPERLINK("https://www.773grp.com/globalSearch/DS90C3202VS-NOPB/page-1", "DS90C3202VS-NOPB")</f>
        <v>DS90C3202VS-NOPB</v>
      </c>
      <c r="B8562" s="3" t="str">
        <f>HYPERLINK("https://www.773grp.com/manufacturer/national-semiconductor?pageNo=119", "National Semiconductor")</f>
        <v>National Semiconductor</v>
      </c>
      <c r="C8562" s="6">
        <v>36</v>
      </c>
      <c r="D8562" s="7">
        <v>10.130000000000001</v>
      </c>
    </row>
    <row r="8563" spans="1:5" x14ac:dyDescent="0.25">
      <c r="A8563" t="str">
        <f>HYPERLINK("https://www.773grp.com/globalSearch/DS90CF366MTD-NOPB/page-1", "DS90CF366MTD-NOPB")</f>
        <v>DS90CF366MTD-NOPB</v>
      </c>
      <c r="B8563" s="3" t="str">
        <f>HYPERLINK("https://www.773grp.com/manufacturer/national-semiconductor?pageNo=120", "National Semiconductor")</f>
        <v>National Semiconductor</v>
      </c>
      <c r="C8563" s="6">
        <v>130</v>
      </c>
      <c r="D8563" s="7">
        <v>10.130000000000001</v>
      </c>
      <c r="E8563" t="s">
        <v>21</v>
      </c>
    </row>
    <row r="8564" spans="1:5" x14ac:dyDescent="0.25">
      <c r="A8564" t="str">
        <f>HYPERLINK("https://www.773grp.com/globalSearch/DS90CR216MTDX/page-1", "DS90CR216MTDX")</f>
        <v>DS90CR216MTDX</v>
      </c>
      <c r="B8564" s="3" t="str">
        <f>HYPERLINK("https://www.773grp.com/manufacturer/national-semiconductor?pageNo=121", "National Semiconductor")</f>
        <v>National Semiconductor</v>
      </c>
      <c r="C8564" s="6">
        <v>4000</v>
      </c>
      <c r="D8564" s="7">
        <v>10.130000000000001</v>
      </c>
      <c r="E8564" t="s">
        <v>21</v>
      </c>
    </row>
    <row r="8565" spans="1:5" x14ac:dyDescent="0.25">
      <c r="A8565" t="str">
        <f>HYPERLINK("https://www.773grp.com/globalSearch/LM2585S-12-NOPB/page-1", "LM2585S-12-NOPB")</f>
        <v>LM2585S-12-NOPB</v>
      </c>
      <c r="B8565" s="3" t="str">
        <f>HYPERLINK("https://www.773grp.com/manufacturer/national-semiconductor?pageNo=122", "National Semiconductor")</f>
        <v>National Semiconductor</v>
      </c>
      <c r="C8565" s="6">
        <v>290</v>
      </c>
      <c r="D8565" s="7">
        <v>10.130000000000001</v>
      </c>
      <c r="E8565" t="s">
        <v>7</v>
      </c>
    </row>
    <row r="8566" spans="1:5" x14ac:dyDescent="0.25">
      <c r="A8566" t="str">
        <f>HYPERLINK("https://www.773grp.com/globalSearch/LM2585S-5.0-NOPB/page-1", "LM2585S-5.0-NOPB")</f>
        <v>LM2585S-5.0-NOPB</v>
      </c>
      <c r="B8566" s="3" t="str">
        <f>HYPERLINK("https://www.773grp.com/manufacturer/national-semiconductor?pageNo=123", "National Semiconductor")</f>
        <v>National Semiconductor</v>
      </c>
      <c r="C8566" s="6">
        <v>255</v>
      </c>
      <c r="D8566" s="7">
        <v>10.130000000000001</v>
      </c>
      <c r="E8566" t="s">
        <v>7</v>
      </c>
    </row>
    <row r="8567" spans="1:5" x14ac:dyDescent="0.25">
      <c r="A8567" t="str">
        <f>HYPERLINK("https://www.773grp.com/globalSearch/LM2585S-ADJ-NOPB/page-1", "LM2585S-ADJ-NOPB")</f>
        <v>LM2585S-ADJ-NOPB</v>
      </c>
      <c r="B8567" s="3" t="str">
        <f>HYPERLINK("https://www.773grp.com/manufacturer/national-semiconductor?pageNo=124", "National Semiconductor")</f>
        <v>National Semiconductor</v>
      </c>
      <c r="C8567" s="6">
        <v>715</v>
      </c>
      <c r="D8567" s="7">
        <v>10.130000000000001</v>
      </c>
      <c r="E8567" t="s">
        <v>7</v>
      </c>
    </row>
    <row r="8568" spans="1:5" x14ac:dyDescent="0.25">
      <c r="A8568" t="str">
        <f>HYPERLINK("https://www.773grp.com/globalSearch/LM2640MTC-ADJ-NOPB/page-1", "LM2640MTC-ADJ-NOPB")</f>
        <v>LM2640MTC-ADJ-NOPB</v>
      </c>
      <c r="B8568" s="3" t="str">
        <f>HYPERLINK("https://www.773grp.com/manufacturer/national-semiconductor?pageNo=125", "National Semiconductor")</f>
        <v>National Semiconductor</v>
      </c>
      <c r="C8568" s="6">
        <v>78</v>
      </c>
      <c r="D8568" s="7">
        <v>10.130000000000001</v>
      </c>
      <c r="E8568" t="s">
        <v>7</v>
      </c>
    </row>
    <row r="8569" spans="1:5" x14ac:dyDescent="0.25">
      <c r="A8569" t="str">
        <f>HYPERLINK("https://www.773grp.com/globalSearch/LM2641MTC-ADJ-NOPB/page-1", "LM2641MTC-ADJ-NOPB")</f>
        <v>LM2641MTC-ADJ-NOPB</v>
      </c>
      <c r="B8569" s="3" t="str">
        <f>HYPERLINK("https://www.773grp.com/manufacturer/national-semiconductor?pageNo=126", "National Semiconductor")</f>
        <v>National Semiconductor</v>
      </c>
      <c r="C8569" s="6">
        <v>340</v>
      </c>
      <c r="D8569" s="7">
        <v>10.130000000000001</v>
      </c>
      <c r="E8569" t="s">
        <v>7</v>
      </c>
    </row>
    <row r="8570" spans="1:5" x14ac:dyDescent="0.25">
      <c r="A8570" t="str">
        <f>HYPERLINK("https://www.773grp.com/globalSearch/UCC2803QDREP/page-1", "UCC2803QDREP")</f>
        <v>UCC2803QDREP</v>
      </c>
      <c r="B8570" s="3" t="str">
        <f>HYPERLINK("https://www.773grp.com/manufacturer/national-semiconductor?pageNo=127", "National Semiconductor")</f>
        <v>National Semiconductor</v>
      </c>
      <c r="C8570" s="6">
        <v>2500</v>
      </c>
      <c r="D8570" s="7">
        <v>10.130000000000001</v>
      </c>
    </row>
    <row r="8571" spans="1:5" x14ac:dyDescent="0.25">
      <c r="A8571" t="str">
        <f>HYPERLINK("https://www.773grp.com/globalSearch/UCC5621MWP/page-1", "UCC5621MWP")</f>
        <v>UCC5621MWP</v>
      </c>
      <c r="B8571" s="3" t="str">
        <f>HYPERLINK("https://www.773grp.com/manufacturer/national-semiconductor?pageNo=128", "National Semiconductor")</f>
        <v>National Semiconductor</v>
      </c>
      <c r="C8571" s="6">
        <v>1840</v>
      </c>
      <c r="D8571" s="7">
        <v>10.130000000000001</v>
      </c>
    </row>
    <row r="8572" spans="1:5" x14ac:dyDescent="0.25">
      <c r="A8572" t="str">
        <f>HYPERLINK("https://www.773grp.com/globalSearch/100101DCQR/page-1", "100101DCQR")</f>
        <v>100101DCQR</v>
      </c>
      <c r="B8572" s="3" t="str">
        <f>HYPERLINK("https://www.773grp.com/manufacturer/national-semiconductor?pageNo=129", "National Semiconductor")</f>
        <v>National Semiconductor</v>
      </c>
      <c r="C8572" s="6">
        <v>4381</v>
      </c>
      <c r="D8572" s="7">
        <v>10.16</v>
      </c>
      <c r="E8572" t="s">
        <v>31</v>
      </c>
    </row>
    <row r="8573" spans="1:5" x14ac:dyDescent="0.25">
      <c r="A8573" t="str">
        <f>HYPERLINK("https://www.773grp.com/globalSearch/100102DCQR/page-1", "100102DCQR")</f>
        <v>100102DCQR</v>
      </c>
      <c r="B8573" s="3" t="str">
        <f>HYPERLINK("https://www.773grp.com/manufacturer/national-semiconductor?pageNo=130", "National Semiconductor")</f>
        <v>National Semiconductor</v>
      </c>
      <c r="C8573" s="6">
        <v>11</v>
      </c>
      <c r="D8573" s="7">
        <v>10.16</v>
      </c>
      <c r="E8573" t="s">
        <v>31</v>
      </c>
    </row>
    <row r="8574" spans="1:5" x14ac:dyDescent="0.25">
      <c r="A8574" t="str">
        <f>HYPERLINK("https://www.773grp.com/globalSearch/ADC141S626CIMM/page-1", "ADC141S626CIMM")</f>
        <v>ADC141S626CIMM</v>
      </c>
      <c r="B8574" s="3" t="str">
        <f>HYPERLINK("https://www.773grp.com/manufacturer/national-semiconductor?pageNo=131", "National Semiconductor")</f>
        <v>National Semiconductor</v>
      </c>
      <c r="C8574" s="6">
        <v>1000</v>
      </c>
      <c r="D8574" s="7">
        <v>10.16</v>
      </c>
      <c r="E8574" t="s">
        <v>39</v>
      </c>
    </row>
    <row r="8575" spans="1:5" x14ac:dyDescent="0.25">
      <c r="A8575" t="str">
        <f>HYPERLINK("https://www.773grp.com/globalSearch/CLC5644IM/page-1", "CLC5644IM")</f>
        <v>CLC5644IM</v>
      </c>
      <c r="B8575" s="3" t="str">
        <f>HYPERLINK("https://www.773grp.com/manufacturer/national-semiconductor?pageNo=132", "National Semiconductor")</f>
        <v>National Semiconductor</v>
      </c>
      <c r="C8575" s="6">
        <v>264</v>
      </c>
      <c r="D8575" s="7">
        <v>10.16</v>
      </c>
      <c r="E8575" t="s">
        <v>13</v>
      </c>
    </row>
    <row r="8576" spans="1:5" x14ac:dyDescent="0.25">
      <c r="A8576" t="str">
        <f>HYPERLINK("https://www.773grp.com/globalSearch/CLC5644IMX/page-1", "CLC5644IMX")</f>
        <v>CLC5644IMX</v>
      </c>
      <c r="B8576" s="3" t="str">
        <f>HYPERLINK("https://www.773grp.com/manufacturer/national-semiconductor?pageNo=133", "National Semiconductor")</f>
        <v>National Semiconductor</v>
      </c>
      <c r="C8576" s="6">
        <v>1113</v>
      </c>
      <c r="D8576" s="7">
        <v>10.16</v>
      </c>
      <c r="E8576" t="s">
        <v>13</v>
      </c>
    </row>
    <row r="8577" spans="1:5" x14ac:dyDescent="0.25">
      <c r="A8577" t="str">
        <f>HYPERLINK("https://www.773grp.com/globalSearch/LMH6553MRE-NOPB/page-1", "LMH6553MRE-NOPB")</f>
        <v>LMH6553MRE-NOPB</v>
      </c>
      <c r="B8577" s="3" t="str">
        <f>HYPERLINK("https://www.773grp.com/manufacturer/national-semiconductor?pageNo=134", "National Semiconductor")</f>
        <v>National Semiconductor</v>
      </c>
      <c r="C8577" s="6">
        <v>680</v>
      </c>
      <c r="D8577" s="7">
        <v>10.16</v>
      </c>
    </row>
    <row r="8578" spans="1:5" x14ac:dyDescent="0.25">
      <c r="A8578" t="str">
        <f>HYPERLINK("https://www.773grp.com/globalSearch/LMH6553SDE-NOPB/page-1", "LMH6553SDE-NOPB")</f>
        <v>LMH6553SDE-NOPB</v>
      </c>
      <c r="B8578" s="3" t="str">
        <f>HYPERLINK("https://www.773grp.com/manufacturer/national-semiconductor?pageNo=1", "National Semiconductor")</f>
        <v>National Semiconductor</v>
      </c>
      <c r="C8578" s="6">
        <v>250</v>
      </c>
      <c r="D8578" s="7">
        <v>10.16</v>
      </c>
    </row>
    <row r="8579" spans="1:5" x14ac:dyDescent="0.25">
      <c r="A8579" t="str">
        <f>HYPERLINK("https://www.773grp.com/globalSearch/LMH6553MRE-NOPB/page-1", "LMH6553MRE-NOPB")</f>
        <v>LMH6553MRE-NOPB</v>
      </c>
      <c r="B8579" s="3" t="str">
        <f>HYPERLINK("https://www.773grp.com/manufacturer/national-semiconductor?pageNo=2", "National Semiconductor")</f>
        <v>National Semiconductor</v>
      </c>
      <c r="C8579" s="6">
        <v>700</v>
      </c>
      <c r="D8579" s="7">
        <v>10.16</v>
      </c>
    </row>
    <row r="8580" spans="1:5" x14ac:dyDescent="0.25">
      <c r="A8580" t="str">
        <f>HYPERLINK("https://www.773grp.com/globalSearch/LMH6553SDE-NOPB/page-1", "LMH6553SDE-NOPB")</f>
        <v>LMH6553SDE-NOPB</v>
      </c>
      <c r="B8580" s="3" t="str">
        <f>HYPERLINK("https://www.773grp.com/manufacturer/national-semiconductor?pageNo=3", "National Semiconductor")</f>
        <v>National Semiconductor</v>
      </c>
      <c r="C8580" s="6">
        <v>513</v>
      </c>
      <c r="D8580" s="7">
        <v>10.16</v>
      </c>
    </row>
    <row r="8581" spans="1:5" x14ac:dyDescent="0.25">
      <c r="A8581" t="str">
        <f>HYPERLINK("https://www.773grp.com/globalSearch/LM331AN-NOPB/page-1", "LM331AN-NOPB")</f>
        <v>LM331AN-NOPB</v>
      </c>
      <c r="B8581" s="3" t="str">
        <f>HYPERLINK("https://www.773grp.com/manufacturer/national-semiconductor?pageNo=4", "National Semiconductor")</f>
        <v>National Semiconductor</v>
      </c>
      <c r="C8581" s="6">
        <v>520</v>
      </c>
      <c r="D8581" s="7">
        <v>10.210000000000001</v>
      </c>
      <c r="E8581" t="s">
        <v>45</v>
      </c>
    </row>
    <row r="8582" spans="1:5" x14ac:dyDescent="0.25">
      <c r="A8582" t="str">
        <f>HYPERLINK("https://www.773grp.com/globalSearch/LM2678S-3.3/page-1", "LM2678S-3.3")</f>
        <v>LM2678S-3.3</v>
      </c>
      <c r="B8582" s="3" t="str">
        <f>HYPERLINK("https://www.773grp.com/manufacturer/national-semiconductor?pageNo=5", "National Semiconductor")</f>
        <v>National Semiconductor</v>
      </c>
      <c r="C8582" s="6">
        <v>365</v>
      </c>
      <c r="D8582" s="7">
        <v>10.210000000000001</v>
      </c>
      <c r="E8582" t="s">
        <v>7</v>
      </c>
    </row>
    <row r="8583" spans="1:5" x14ac:dyDescent="0.25">
      <c r="A8583" t="str">
        <f>HYPERLINK("https://www.773grp.com/globalSearch/TWL6030B1ADCMRR/page-1", "TWL6030B1ADCMRR")</f>
        <v>TWL6030B1ADCMRR</v>
      </c>
      <c r="B8583" s="3" t="str">
        <f>HYPERLINK("https://www.773grp.com/manufacturer/national-semiconductor?pageNo=6", "National Semiconductor")</f>
        <v>National Semiconductor</v>
      </c>
      <c r="C8583" s="6">
        <v>2500</v>
      </c>
      <c r="D8583" s="7">
        <v>10.210000000000001</v>
      </c>
    </row>
    <row r="8584" spans="1:5" x14ac:dyDescent="0.25">
      <c r="A8584" t="str">
        <f>HYPERLINK("https://www.773grp.com/globalSearch/ADC10030CIVT-NOPB/page-1", "ADC10030CIVT-NOPB")</f>
        <v>ADC10030CIVT-NOPB</v>
      </c>
      <c r="B8584" s="3" t="str">
        <f>HYPERLINK("https://www.773grp.com/manufacturer/national-semiconductor?pageNo=7", "National Semiconductor")</f>
        <v>National Semiconductor</v>
      </c>
      <c r="C8584" s="6">
        <v>102</v>
      </c>
      <c r="D8584" s="7">
        <v>10.24</v>
      </c>
      <c r="E8584" t="s">
        <v>39</v>
      </c>
    </row>
    <row r="8585" spans="1:5" x14ac:dyDescent="0.25">
      <c r="A8585" t="str">
        <f>HYPERLINK("https://www.773grp.com/globalSearch/4027BDC/page-1", "4027BDC")</f>
        <v>4027BDC</v>
      </c>
      <c r="B8585" s="3" t="str">
        <f>HYPERLINK("https://www.773grp.com/manufacturer/national-semiconductor?pageNo=8", "National Semiconductor")</f>
        <v>National Semiconductor</v>
      </c>
      <c r="C8585" s="6">
        <v>11095</v>
      </c>
      <c r="D8585" s="7">
        <v>10.26</v>
      </c>
    </row>
    <row r="8586" spans="1:5" x14ac:dyDescent="0.25">
      <c r="A8586" t="str">
        <f>HYPERLINK("https://www.773grp.com/globalSearch/9003DC/page-1", "9003DC")</f>
        <v>9003DC</v>
      </c>
      <c r="B8586" s="3" t="str">
        <f>HYPERLINK("https://www.773grp.com/manufacturer/national-semiconductor?pageNo=9", "National Semiconductor")</f>
        <v>National Semiconductor</v>
      </c>
      <c r="C8586" s="6">
        <v>720</v>
      </c>
      <c r="D8586" s="7">
        <v>10.26</v>
      </c>
    </row>
    <row r="8587" spans="1:5" x14ac:dyDescent="0.25">
      <c r="A8587" t="str">
        <f>HYPERLINK("https://www.773grp.com/globalSearch/9004DC/page-1", "9004DC")</f>
        <v>9004DC</v>
      </c>
      <c r="B8587" s="3" t="str">
        <f>HYPERLINK("https://www.773grp.com/manufacturer/national-semiconductor?pageNo=10", "National Semiconductor")</f>
        <v>National Semiconductor</v>
      </c>
      <c r="C8587" s="6">
        <v>30377</v>
      </c>
      <c r="D8587" s="7">
        <v>10.26</v>
      </c>
    </row>
    <row r="8588" spans="1:5" x14ac:dyDescent="0.25">
      <c r="A8588" t="str">
        <f>HYPERLINK("https://www.773grp.com/globalSearch/9005PC/page-1", "9005PC")</f>
        <v>9005PC</v>
      </c>
      <c r="B8588" s="3" t="str">
        <f>HYPERLINK("https://www.773grp.com/manufacturer/national-semiconductor?pageNo=11", "National Semiconductor")</f>
        <v>National Semiconductor</v>
      </c>
      <c r="C8588" s="6">
        <v>1917</v>
      </c>
      <c r="D8588" s="7">
        <v>10.26</v>
      </c>
    </row>
    <row r="8589" spans="1:5" x14ac:dyDescent="0.25">
      <c r="A8589" t="str">
        <f>HYPERLINK("https://www.773grp.com/globalSearch/9007DC/page-1", "9007DC")</f>
        <v>9007DC</v>
      </c>
      <c r="B8589" s="3" t="str">
        <f>HYPERLINK("https://www.773grp.com/manufacturer/national-semiconductor?pageNo=12", "National Semiconductor")</f>
        <v>National Semiconductor</v>
      </c>
      <c r="C8589" s="6">
        <v>4759</v>
      </c>
      <c r="D8589" s="7">
        <v>10.26</v>
      </c>
      <c r="E8589" t="s">
        <v>31</v>
      </c>
    </row>
    <row r="8590" spans="1:5" x14ac:dyDescent="0.25">
      <c r="A8590" t="str">
        <f>HYPERLINK("https://www.773grp.com/globalSearch/9015DC/page-1", "9015DC")</f>
        <v>9015DC</v>
      </c>
      <c r="B8590" s="3" t="str">
        <f>HYPERLINK("https://www.773grp.com/manufacturer/national-semiconductor?pageNo=13", "National Semiconductor")</f>
        <v>National Semiconductor</v>
      </c>
      <c r="C8590" s="6">
        <v>16344</v>
      </c>
      <c r="D8590" s="7">
        <v>10.26</v>
      </c>
    </row>
    <row r="8591" spans="1:5" x14ac:dyDescent="0.25">
      <c r="A8591" t="str">
        <f>HYPERLINK("https://www.773grp.com/globalSearch/93S47PC/page-1", "93S47PC")</f>
        <v>93S47PC</v>
      </c>
      <c r="B8591" s="3" t="str">
        <f>HYPERLINK("https://www.773grp.com/manufacturer/national-semiconductor?pageNo=14", "National Semiconductor")</f>
        <v>National Semiconductor</v>
      </c>
      <c r="C8591" s="6">
        <v>7922</v>
      </c>
      <c r="D8591" s="7">
        <v>10.26</v>
      </c>
    </row>
    <row r="8592" spans="1:5" x14ac:dyDescent="0.25">
      <c r="A8592" t="str">
        <f>HYPERLINK("https://www.773grp.com/globalSearch/93S62PC/page-1", "93S62PC")</f>
        <v>93S62PC</v>
      </c>
      <c r="B8592" s="3" t="str">
        <f>HYPERLINK("https://www.773grp.com/manufacturer/national-semiconductor?pageNo=15", "National Semiconductor")</f>
        <v>National Semiconductor</v>
      </c>
      <c r="C8592" s="6">
        <v>5008</v>
      </c>
      <c r="D8592" s="7">
        <v>10.26</v>
      </c>
    </row>
    <row r="8593" spans="1:5" x14ac:dyDescent="0.25">
      <c r="A8593" t="str">
        <f>HYPERLINK("https://www.773grp.com/globalSearch/DM54LS257AJ-883/page-1", "DM54LS257AJ-883")</f>
        <v>DM54LS257AJ-883</v>
      </c>
      <c r="B8593" s="3" t="str">
        <f>HYPERLINK("https://www.773grp.com/manufacturer/national-semiconductor?pageNo=16", "National Semiconductor")</f>
        <v>National Semiconductor</v>
      </c>
      <c r="C8593" s="6">
        <v>132</v>
      </c>
      <c r="D8593" s="7">
        <v>10.26</v>
      </c>
      <c r="E8593" t="s">
        <v>20</v>
      </c>
    </row>
    <row r="8594" spans="1:5" x14ac:dyDescent="0.25">
      <c r="A8594" t="str">
        <f>HYPERLINK("https://www.773grp.com/globalSearch/DM54LS85J-883/page-1", "DM54LS85J-883")</f>
        <v>DM54LS85J-883</v>
      </c>
      <c r="B8594" s="3" t="str">
        <f>HYPERLINK("https://www.773grp.com/manufacturer/national-semiconductor?pageNo=17", "National Semiconductor")</f>
        <v>National Semiconductor</v>
      </c>
      <c r="C8594" s="6">
        <v>31</v>
      </c>
      <c r="D8594" s="7">
        <v>10.26</v>
      </c>
      <c r="E8594" t="s">
        <v>43</v>
      </c>
    </row>
    <row r="8595" spans="1:5" x14ac:dyDescent="0.25">
      <c r="A8595" t="str">
        <f>HYPERLINK("https://www.773grp.com/globalSearch/DS92LV1021AMSA-NOPB/page-1", "DS92LV1021AMSA-NOPB")</f>
        <v>DS92LV1021AMSA-NOPB</v>
      </c>
      <c r="B8595" s="3" t="str">
        <f>HYPERLINK("https://www.773grp.com/manufacturer/national-semiconductor?pageNo=18", "National Semiconductor")</f>
        <v>National Semiconductor</v>
      </c>
      <c r="C8595" s="6">
        <v>16785</v>
      </c>
      <c r="D8595" s="7">
        <v>10.26</v>
      </c>
      <c r="E8595" t="s">
        <v>21</v>
      </c>
    </row>
    <row r="8596" spans="1:5" x14ac:dyDescent="0.25">
      <c r="A8596" t="str">
        <f>HYPERLINK("https://www.773grp.com/globalSearch/DS92LV1212AMSA-NOPB/page-1", "DS92LV1212AMSA-NOPB")</f>
        <v>DS92LV1212AMSA-NOPB</v>
      </c>
      <c r="B8596" s="3" t="str">
        <f>HYPERLINK("https://www.773grp.com/manufacturer/national-semiconductor?pageNo=19", "National Semiconductor")</f>
        <v>National Semiconductor</v>
      </c>
      <c r="C8596" s="6">
        <v>7809</v>
      </c>
      <c r="D8596" s="7">
        <v>10.26</v>
      </c>
      <c r="E8596" t="s">
        <v>21</v>
      </c>
    </row>
    <row r="8597" spans="1:5" x14ac:dyDescent="0.25">
      <c r="A8597" t="str">
        <f>HYPERLINK("https://www.773grp.com/globalSearch/LM385AYM-2.5/page-1", "LM385AYM-2.5")</f>
        <v>LM385AYM-2.5</v>
      </c>
      <c r="B8597" s="3" t="str">
        <f>HYPERLINK("https://www.773grp.com/manufacturer/national-semiconductor?pageNo=20", "National Semiconductor")</f>
        <v>National Semiconductor</v>
      </c>
      <c r="C8597" s="6">
        <v>925</v>
      </c>
      <c r="D8597" s="7">
        <v>10.26</v>
      </c>
      <c r="E8597" t="s">
        <v>17</v>
      </c>
    </row>
    <row r="8598" spans="1:5" x14ac:dyDescent="0.25">
      <c r="A8598" t="str">
        <f>HYPERLINK("https://www.773grp.com/globalSearch/LM385AYZ-1.2/page-1", "LM385AYZ-1.2")</f>
        <v>LM385AYZ-1.2</v>
      </c>
      <c r="B8598" s="3" t="str">
        <f>HYPERLINK("https://www.773grp.com/manufacturer/national-semiconductor?pageNo=21", "National Semiconductor")</f>
        <v>National Semiconductor</v>
      </c>
      <c r="C8598" s="6">
        <v>889</v>
      </c>
      <c r="D8598" s="7">
        <v>10.26</v>
      </c>
      <c r="E8598" t="s">
        <v>17</v>
      </c>
    </row>
    <row r="8599" spans="1:5" x14ac:dyDescent="0.25">
      <c r="A8599" t="str">
        <f>HYPERLINK("https://www.773grp.com/globalSearch/LM385AYZ-2.5/page-1", "LM385AYZ-2.5")</f>
        <v>LM385AYZ-2.5</v>
      </c>
      <c r="B8599" s="3" t="str">
        <f>HYPERLINK("https://www.773grp.com/manufacturer/national-semiconductor?pageNo=22", "National Semiconductor")</f>
        <v>National Semiconductor</v>
      </c>
      <c r="C8599" s="6">
        <v>1908</v>
      </c>
      <c r="D8599" s="7">
        <v>10.26</v>
      </c>
      <c r="E8599" t="s">
        <v>17</v>
      </c>
    </row>
    <row r="8600" spans="1:5" x14ac:dyDescent="0.25">
      <c r="A8600" t="str">
        <f>HYPERLINK("https://www.773grp.com/globalSearch/LM4549BVH-NOPB/page-1", "LM4549BVH-NOPB")</f>
        <v>LM4549BVH-NOPB</v>
      </c>
      <c r="B8600" s="3" t="str">
        <f>HYPERLINK("https://www.773grp.com/manufacturer/national-semiconductor?pageNo=23", "National Semiconductor")</f>
        <v>National Semiconductor</v>
      </c>
      <c r="C8600" s="6">
        <v>477</v>
      </c>
      <c r="D8600" s="7">
        <v>10.26</v>
      </c>
      <c r="E8600" t="s">
        <v>23</v>
      </c>
    </row>
    <row r="8601" spans="1:5" x14ac:dyDescent="0.25">
      <c r="A8601" t="str">
        <f>HYPERLINK("https://www.773grp.com/globalSearch/DS92LV1021AMSA-NOPB/page-1", "DS92LV1021AMSA-NOPB")</f>
        <v>DS92LV1021AMSA-NOPB</v>
      </c>
      <c r="B8601" s="3" t="str">
        <f>HYPERLINK("https://www.773grp.com/manufacturer/national-semiconductor?pageNo=24", "National Semiconductor")</f>
        <v>National Semiconductor</v>
      </c>
      <c r="C8601" s="6">
        <v>3990</v>
      </c>
      <c r="D8601" s="7">
        <v>10.26</v>
      </c>
      <c r="E8601" t="s">
        <v>21</v>
      </c>
    </row>
    <row r="8602" spans="1:5" x14ac:dyDescent="0.25">
      <c r="A8602" t="str">
        <f>HYPERLINK("https://www.773grp.com/globalSearch/DS92LV1212AMSA-NOPB/page-1", "DS92LV1212AMSA-NOPB")</f>
        <v>DS92LV1212AMSA-NOPB</v>
      </c>
      <c r="B8602" s="3" t="str">
        <f>HYPERLINK("https://www.773grp.com/manufacturer/national-semiconductor?pageNo=25", "National Semiconductor")</f>
        <v>National Semiconductor</v>
      </c>
      <c r="C8602" s="6">
        <v>707</v>
      </c>
      <c r="D8602" s="7">
        <v>10.26</v>
      </c>
      <c r="E8602" t="s">
        <v>21</v>
      </c>
    </row>
    <row r="8603" spans="1:5" x14ac:dyDescent="0.25">
      <c r="A8603" t="str">
        <f>HYPERLINK("https://www.773grp.com/globalSearch/DS92LV1212AMSA-NOPB/page-1", "DS92LV1212AMSA-NOPB")</f>
        <v>DS92LV1212AMSA-NOPB</v>
      </c>
      <c r="B8603" s="3" t="str">
        <f>HYPERLINK("https://www.773grp.com/manufacturer/national-semiconductor?pageNo=26", "National Semiconductor")</f>
        <v>National Semiconductor</v>
      </c>
      <c r="C8603" s="6">
        <v>406</v>
      </c>
      <c r="D8603" s="7">
        <v>10.26</v>
      </c>
      <c r="E8603" t="s">
        <v>21</v>
      </c>
    </row>
    <row r="8604" spans="1:5" x14ac:dyDescent="0.25">
      <c r="A8604" t="str">
        <f>HYPERLINK("https://www.773grp.com/globalSearch/LM4549BVH-NOPB/page-1", "LM4549BVH-NOPB")</f>
        <v>LM4549BVH-NOPB</v>
      </c>
      <c r="B8604" s="3" t="str">
        <f>HYPERLINK("https://www.773grp.com/manufacturer/national-semiconductor?pageNo=27", "National Semiconductor")</f>
        <v>National Semiconductor</v>
      </c>
      <c r="C8604" s="6">
        <v>147</v>
      </c>
      <c r="D8604" s="7">
        <v>10.26</v>
      </c>
      <c r="E8604" t="s">
        <v>23</v>
      </c>
    </row>
    <row r="8605" spans="1:5" x14ac:dyDescent="0.25">
      <c r="A8605" t="str">
        <f>HYPERLINK("https://www.773grp.com/globalSearch/ADC78H90CIMT-NOPB/page-1", "ADC78H90CIMT-NOPB")</f>
        <v>ADC78H90CIMT-NOPB</v>
      </c>
      <c r="B8605" s="3" t="str">
        <f>HYPERLINK("https://www.773grp.com/manufacturer/national-semiconductor?pageNo=28", "National Semiconductor")</f>
        <v>National Semiconductor</v>
      </c>
      <c r="C8605" s="6">
        <v>22</v>
      </c>
      <c r="D8605" s="7">
        <v>10.3</v>
      </c>
      <c r="E8605" t="s">
        <v>39</v>
      </c>
    </row>
    <row r="8606" spans="1:5" x14ac:dyDescent="0.25">
      <c r="A8606" t="str">
        <f>HYPERLINK("https://www.773grp.com/globalSearch/LM80CIMT-3-NOPB/page-1", "LM80CIMT-3-NOPB")</f>
        <v>LM80CIMT-3-NOPB</v>
      </c>
      <c r="B8606" s="3" t="str">
        <f>HYPERLINK("https://www.773grp.com/manufacturer/national-semiconductor?pageNo=29", "National Semiconductor")</f>
        <v>National Semiconductor</v>
      </c>
      <c r="C8606" s="6">
        <v>16</v>
      </c>
      <c r="D8606" s="7">
        <v>10.3</v>
      </c>
      <c r="E8606" t="s">
        <v>30</v>
      </c>
    </row>
    <row r="8607" spans="1:5" x14ac:dyDescent="0.25">
      <c r="A8607" t="str">
        <f>HYPERLINK("https://www.773grp.com/globalSearch/ADC78H90CIMT-NOPB/page-1", "ADC78H90CIMT-NOPB")</f>
        <v>ADC78H90CIMT-NOPB</v>
      </c>
      <c r="B8607" s="3" t="str">
        <f>HYPERLINK("https://www.773grp.com/manufacturer/national-semiconductor?pageNo=30", "National Semiconductor")</f>
        <v>National Semiconductor</v>
      </c>
      <c r="C8607" s="6">
        <v>265</v>
      </c>
      <c r="D8607" s="7">
        <v>10.3</v>
      </c>
      <c r="E8607" t="s">
        <v>39</v>
      </c>
    </row>
    <row r="8608" spans="1:5" x14ac:dyDescent="0.25">
      <c r="A8608" t="str">
        <f>HYPERLINK("https://www.773grp.com/globalSearch/4042BDC/page-1", "4042BDC")</f>
        <v>4042BDC</v>
      </c>
      <c r="B8608" s="3" t="str">
        <f>HYPERLINK("https://www.773grp.com/manufacturer/national-semiconductor?pageNo=31", "National Semiconductor")</f>
        <v>National Semiconductor</v>
      </c>
      <c r="C8608" s="6">
        <v>23324</v>
      </c>
      <c r="D8608" s="7">
        <v>10.33</v>
      </c>
    </row>
    <row r="8609" spans="1:5" x14ac:dyDescent="0.25">
      <c r="A8609" t="str">
        <f>HYPERLINK("https://www.773grp.com/globalSearch/JD54LS27BCA/page-1", "JD54LS27BCA")</f>
        <v>JD54LS27BCA</v>
      </c>
      <c r="B8609" s="3" t="str">
        <f>HYPERLINK("https://www.773grp.com/manufacturer/national-semiconductor?pageNo=32", "National Semiconductor")</f>
        <v>National Semiconductor</v>
      </c>
      <c r="C8609" s="6">
        <v>132</v>
      </c>
      <c r="D8609" s="7">
        <v>10.33</v>
      </c>
    </row>
    <row r="8610" spans="1:5" x14ac:dyDescent="0.25">
      <c r="A8610" t="str">
        <f>HYPERLINK("https://www.773grp.com/globalSearch/ADC10321CIVT-NOPB/page-1", "ADC10321CIVT-NOPB")</f>
        <v>ADC10321CIVT-NOPB</v>
      </c>
      <c r="B8610" s="3" t="str">
        <f>HYPERLINK("https://www.773grp.com/manufacturer/national-semiconductor?pageNo=33", "National Semiconductor")</f>
        <v>National Semiconductor</v>
      </c>
      <c r="C8610" s="6">
        <v>681</v>
      </c>
      <c r="D8610" s="7">
        <v>10.35</v>
      </c>
      <c r="E8610" t="s">
        <v>39</v>
      </c>
    </row>
    <row r="8611" spans="1:5" x14ac:dyDescent="0.25">
      <c r="A8611" t="str">
        <f>HYPERLINK("https://www.773grp.com/globalSearch/DM7002W-883/page-1", "DM7002W-883")</f>
        <v>DM7002W-883</v>
      </c>
      <c r="B8611" s="3" t="str">
        <f>HYPERLINK("https://www.773grp.com/manufacturer/national-semiconductor?pageNo=34", "National Semiconductor")</f>
        <v>National Semiconductor</v>
      </c>
      <c r="C8611" s="6">
        <v>97</v>
      </c>
      <c r="D8611" s="7">
        <v>10.35</v>
      </c>
    </row>
    <row r="8612" spans="1:5" x14ac:dyDescent="0.25">
      <c r="A8612" t="str">
        <f>HYPERLINK("https://www.773grp.com/globalSearch/DM7004W-883/page-1", "DM7004W-883")</f>
        <v>DM7004W-883</v>
      </c>
      <c r="B8612" s="3" t="str">
        <f>HYPERLINK("https://www.773grp.com/manufacturer/national-semiconductor?pageNo=35", "National Semiconductor")</f>
        <v>National Semiconductor</v>
      </c>
      <c r="C8612" s="6">
        <v>74</v>
      </c>
      <c r="D8612" s="7">
        <v>10.35</v>
      </c>
    </row>
    <row r="8613" spans="1:5" x14ac:dyDescent="0.25">
      <c r="A8613" t="str">
        <f>HYPERLINK("https://www.773grp.com/globalSearch/DM7030W-883/page-1", "DM7030W-883")</f>
        <v>DM7030W-883</v>
      </c>
      <c r="B8613" s="3" t="str">
        <f>HYPERLINK("https://www.773grp.com/manufacturer/national-semiconductor?pageNo=36", "National Semiconductor")</f>
        <v>National Semiconductor</v>
      </c>
      <c r="C8613" s="6">
        <v>32</v>
      </c>
      <c r="D8613" s="7">
        <v>10.35</v>
      </c>
    </row>
    <row r="8614" spans="1:5" x14ac:dyDescent="0.25">
      <c r="A8614" t="str">
        <f>HYPERLINK("https://www.773grp.com/globalSearch/DM7037W-883/page-1", "DM7037W-883")</f>
        <v>DM7037W-883</v>
      </c>
      <c r="B8614" s="3" t="str">
        <f>HYPERLINK("https://www.773grp.com/manufacturer/national-semiconductor?pageNo=37", "National Semiconductor")</f>
        <v>National Semiconductor</v>
      </c>
      <c r="C8614" s="6">
        <v>280</v>
      </c>
      <c r="D8614" s="7">
        <v>10.35</v>
      </c>
    </row>
    <row r="8615" spans="1:5" x14ac:dyDescent="0.25">
      <c r="A8615" t="str">
        <f>HYPERLINK("https://www.773grp.com/globalSearch/DS90CF364AMTDX/page-1", "DS90CF364AMTDX")</f>
        <v>DS90CF364AMTDX</v>
      </c>
      <c r="B8615" s="3" t="str">
        <f>HYPERLINK("https://www.773grp.com/manufacturer/national-semiconductor?pageNo=38", "National Semiconductor")</f>
        <v>National Semiconductor</v>
      </c>
      <c r="C8615" s="6">
        <v>3000</v>
      </c>
      <c r="D8615" s="7">
        <v>10.35</v>
      </c>
      <c r="E8615" t="s">
        <v>21</v>
      </c>
    </row>
    <row r="8616" spans="1:5" x14ac:dyDescent="0.25">
      <c r="A8616" t="str">
        <f>HYPERLINK("https://www.773grp.com/globalSearch/ADC10321CIVT-NOPB/page-1", "ADC10321CIVT-NOPB")</f>
        <v>ADC10321CIVT-NOPB</v>
      </c>
      <c r="B8616" s="3" t="str">
        <f>HYPERLINK("https://www.773grp.com/manufacturer/national-semiconductor?pageNo=39", "National Semiconductor")</f>
        <v>National Semiconductor</v>
      </c>
      <c r="C8616" s="6">
        <v>217</v>
      </c>
      <c r="D8616" s="7">
        <v>10.35</v>
      </c>
      <c r="E8616" t="s">
        <v>39</v>
      </c>
    </row>
    <row r="8617" spans="1:5" x14ac:dyDescent="0.25">
      <c r="A8617" t="str">
        <f>HYPERLINK("https://www.773grp.com/globalSearch/CLC409AJE/page-1", "CLC409AJE")</f>
        <v>CLC409AJE</v>
      </c>
      <c r="B8617" s="3" t="str">
        <f>HYPERLINK("https://www.773grp.com/manufacturer/national-semiconductor?pageNo=40", "National Semiconductor")</f>
        <v>National Semiconductor</v>
      </c>
      <c r="C8617" s="6">
        <v>547</v>
      </c>
      <c r="D8617" s="7">
        <v>10.38</v>
      </c>
      <c r="E8617" t="s">
        <v>13</v>
      </c>
    </row>
    <row r="8618" spans="1:5" x14ac:dyDescent="0.25">
      <c r="A8618" t="str">
        <f>HYPERLINK("https://www.773grp.com/globalSearch/CLC409AJE-TR13/page-1", "CLC409AJE-TR13")</f>
        <v>CLC409AJE-TR13</v>
      </c>
      <c r="B8618" s="3" t="str">
        <f>HYPERLINK("https://www.773grp.com/manufacturer/national-semiconductor?pageNo=41", "National Semiconductor")</f>
        <v>National Semiconductor</v>
      </c>
      <c r="C8618" s="6">
        <v>157500</v>
      </c>
      <c r="D8618" s="7">
        <v>10.38</v>
      </c>
      <c r="E8618" t="s">
        <v>13</v>
      </c>
    </row>
    <row r="8619" spans="1:5" x14ac:dyDescent="0.25">
      <c r="A8619" t="str">
        <f>HYPERLINK("https://www.773grp.com/globalSearch/DS14C238WMX/page-1", "DS14C238WMX")</f>
        <v>DS14C238WMX</v>
      </c>
      <c r="B8619" s="3" t="str">
        <f>HYPERLINK("https://www.773grp.com/manufacturer/national-semiconductor?pageNo=42", "National Semiconductor")</f>
        <v>National Semiconductor</v>
      </c>
      <c r="C8619" s="6">
        <v>1000</v>
      </c>
      <c r="D8619" s="7">
        <v>10.38</v>
      </c>
      <c r="E8619" t="s">
        <v>21</v>
      </c>
    </row>
    <row r="8620" spans="1:5" x14ac:dyDescent="0.25">
      <c r="A8620" t="str">
        <f>HYPERLINK("https://www.773grp.com/globalSearch/DS90CF383MTDX-NOPB/page-1", "DS90CF383MTDX-NOPB")</f>
        <v>DS90CF383MTDX-NOPB</v>
      </c>
      <c r="B8620" s="3" t="str">
        <f>HYPERLINK("https://www.773grp.com/manufacturer/national-semiconductor?pageNo=43", "National Semiconductor")</f>
        <v>National Semiconductor</v>
      </c>
      <c r="C8620" s="6">
        <v>6000</v>
      </c>
      <c r="D8620" s="7">
        <v>10.38</v>
      </c>
    </row>
    <row r="8621" spans="1:5" x14ac:dyDescent="0.25">
      <c r="A8621" t="str">
        <f>HYPERLINK("https://www.773grp.com/globalSearch/2N2219AJTXV/page-1", "2N2219AJTXV")</f>
        <v>2N2219AJTXV</v>
      </c>
      <c r="B8621" s="3" t="str">
        <f>HYPERLINK("https://www.773grp.com/manufacturer/national-semiconductor?pageNo=44", "National Semiconductor")</f>
        <v>National Semiconductor</v>
      </c>
      <c r="C8621" s="6">
        <v>172</v>
      </c>
      <c r="D8621" s="7">
        <v>10.41</v>
      </c>
    </row>
    <row r="8622" spans="1:5" x14ac:dyDescent="0.25">
      <c r="A8622" t="str">
        <f>HYPERLINK("https://www.773grp.com/globalSearch/54LS374FMQB/page-1", "54LS374FMQB")</f>
        <v>54LS374FMQB</v>
      </c>
      <c r="B8622" s="3" t="str">
        <f>HYPERLINK("https://www.773grp.com/manufacturer/national-semiconductor?pageNo=45", "National Semiconductor")</f>
        <v>National Semiconductor</v>
      </c>
      <c r="C8622" s="6">
        <v>83</v>
      </c>
      <c r="D8622" s="7">
        <v>10.41</v>
      </c>
      <c r="E8622" t="s">
        <v>14</v>
      </c>
    </row>
    <row r="8623" spans="1:5" x14ac:dyDescent="0.25">
      <c r="A8623" t="str">
        <f>HYPERLINK("https://www.773grp.com/globalSearch/9099DC/page-1", "9099DC")</f>
        <v>9099DC</v>
      </c>
      <c r="B8623" s="3" t="str">
        <f>HYPERLINK("https://www.773grp.com/manufacturer/national-semiconductor?pageNo=46", "National Semiconductor")</f>
        <v>National Semiconductor</v>
      </c>
      <c r="C8623" s="6">
        <v>15903</v>
      </c>
      <c r="D8623" s="7">
        <v>10.41</v>
      </c>
    </row>
    <row r="8624" spans="1:5" x14ac:dyDescent="0.25">
      <c r="A8624" t="str">
        <f>HYPERLINK("https://www.773grp.com/globalSearch/DM74S240J/page-1", "DM74S240J")</f>
        <v>DM74S240J</v>
      </c>
      <c r="B8624" s="3" t="str">
        <f>HYPERLINK("https://www.773grp.com/manufacturer/national-semiconductor?pageNo=47", "National Semiconductor")</f>
        <v>National Semiconductor</v>
      </c>
      <c r="C8624" s="6">
        <v>22283</v>
      </c>
      <c r="D8624" s="7">
        <v>10.41</v>
      </c>
    </row>
    <row r="8625" spans="1:5" x14ac:dyDescent="0.25">
      <c r="A8625" t="str">
        <f>HYPERLINK("https://www.773grp.com/globalSearch/DM74S241J/page-1", "DM74S241J")</f>
        <v>DM74S241J</v>
      </c>
      <c r="B8625" s="3" t="str">
        <f>HYPERLINK("https://www.773grp.com/manufacturer/national-semiconductor?pageNo=48", "National Semiconductor")</f>
        <v>National Semiconductor</v>
      </c>
      <c r="C8625" s="6">
        <v>16407</v>
      </c>
      <c r="D8625" s="7">
        <v>10.41</v>
      </c>
    </row>
    <row r="8626" spans="1:5" x14ac:dyDescent="0.25">
      <c r="A8626" t="str">
        <f>HYPERLINK("https://www.773grp.com/globalSearch/DM81LS97AJ/page-1", "DM81LS97AJ")</f>
        <v>DM81LS97AJ</v>
      </c>
      <c r="B8626" s="3" t="str">
        <f>HYPERLINK("https://www.773grp.com/manufacturer/national-semiconductor?pageNo=49", "National Semiconductor")</f>
        <v>National Semiconductor</v>
      </c>
      <c r="C8626" s="6">
        <v>2684</v>
      </c>
      <c r="D8626" s="7">
        <v>10.41</v>
      </c>
    </row>
    <row r="8627" spans="1:5" x14ac:dyDescent="0.25">
      <c r="A8627" t="str">
        <f>HYPERLINK("https://www.773grp.com/globalSearch/DS15BR400TSQ-NOPB/page-1", "DS15BR400TSQ-NOPB")</f>
        <v>DS15BR400TSQ-NOPB</v>
      </c>
      <c r="B8627" s="3" t="str">
        <f>HYPERLINK("https://www.773grp.com/manufacturer/national-semiconductor?pageNo=50", "National Semiconductor")</f>
        <v>National Semiconductor</v>
      </c>
      <c r="C8627" s="6">
        <v>1428</v>
      </c>
      <c r="D8627" s="7">
        <v>10.41</v>
      </c>
      <c r="E8627" t="s">
        <v>21</v>
      </c>
    </row>
    <row r="8628" spans="1:5" x14ac:dyDescent="0.25">
      <c r="A8628" t="str">
        <f>HYPERLINK("https://www.773grp.com/globalSearch/DS15BR401TSQ-NOPB/page-1", "DS15BR401TSQ-NOPB")</f>
        <v>DS15BR401TSQ-NOPB</v>
      </c>
      <c r="B8628" s="3" t="str">
        <f>HYPERLINK("https://www.773grp.com/manufacturer/national-semiconductor?pageNo=51", "National Semiconductor")</f>
        <v>National Semiconductor</v>
      </c>
      <c r="C8628" s="6">
        <v>1325</v>
      </c>
      <c r="D8628" s="7">
        <v>10.41</v>
      </c>
    </row>
    <row r="8629" spans="1:5" x14ac:dyDescent="0.25">
      <c r="A8629" t="str">
        <f>HYPERLINK("https://www.773grp.com/globalSearch/DS15BR401TVS/page-1", "DS15BR401TVS")</f>
        <v>DS15BR401TVS</v>
      </c>
      <c r="B8629" s="3" t="str">
        <f>HYPERLINK("https://www.773grp.com/manufacturer/national-semiconductor?pageNo=52", "National Semiconductor")</f>
        <v>National Semiconductor</v>
      </c>
      <c r="C8629" s="6">
        <v>392</v>
      </c>
      <c r="D8629" s="7">
        <v>10.41</v>
      </c>
      <c r="E8629" t="s">
        <v>21</v>
      </c>
    </row>
    <row r="8630" spans="1:5" x14ac:dyDescent="0.25">
      <c r="A8630" t="str">
        <f>HYPERLINK("https://www.773grp.com/globalSearch/DS90C363AMTD/page-1", "DS90C363AMTD")</f>
        <v>DS90C363AMTD</v>
      </c>
      <c r="B8630" s="3" t="str">
        <f>HYPERLINK("https://www.773grp.com/manufacturer/national-semiconductor?pageNo=53", "National Semiconductor")</f>
        <v>National Semiconductor</v>
      </c>
      <c r="C8630" s="6">
        <v>1076</v>
      </c>
      <c r="D8630" s="7">
        <v>10.41</v>
      </c>
      <c r="E8630" t="s">
        <v>21</v>
      </c>
    </row>
    <row r="8631" spans="1:5" x14ac:dyDescent="0.25">
      <c r="A8631" t="str">
        <f>HYPERLINK("https://www.773grp.com/globalSearch/DS90C363AMTDX/page-1", "DS90C363AMTDX")</f>
        <v>DS90C363AMTDX</v>
      </c>
      <c r="B8631" s="3" t="str">
        <f>HYPERLINK("https://www.773grp.com/manufacturer/national-semiconductor?pageNo=54", "National Semiconductor")</f>
        <v>National Semiconductor</v>
      </c>
      <c r="C8631" s="6">
        <v>24155</v>
      </c>
      <c r="D8631" s="7">
        <v>10.41</v>
      </c>
      <c r="E8631" t="s">
        <v>21</v>
      </c>
    </row>
    <row r="8632" spans="1:5" x14ac:dyDescent="0.25">
      <c r="A8632" t="str">
        <f>HYPERLINK("https://www.773grp.com/globalSearch/DS90C383AMTDX/page-1", "DS90C383AMTDX")</f>
        <v>DS90C383AMTDX</v>
      </c>
      <c r="B8632" s="3" t="str">
        <f>HYPERLINK("https://www.773grp.com/manufacturer/national-semiconductor?pageNo=55", "National Semiconductor")</f>
        <v>National Semiconductor</v>
      </c>
      <c r="C8632" s="6">
        <v>4226</v>
      </c>
      <c r="D8632" s="7">
        <v>10.41</v>
      </c>
      <c r="E8632" t="s">
        <v>21</v>
      </c>
    </row>
    <row r="8633" spans="1:5" x14ac:dyDescent="0.25">
      <c r="A8633" t="str">
        <f>HYPERLINK("https://www.773grp.com/globalSearch/DS90C385MTDX/page-1", "DS90C385MTDX")</f>
        <v>DS90C385MTDX</v>
      </c>
      <c r="B8633" s="3" t="str">
        <f>HYPERLINK("https://www.773grp.com/manufacturer/national-semiconductor?pageNo=56", "National Semiconductor")</f>
        <v>National Semiconductor</v>
      </c>
      <c r="C8633" s="6">
        <v>39693</v>
      </c>
      <c r="D8633" s="7">
        <v>10.41</v>
      </c>
      <c r="E8633" t="s">
        <v>21</v>
      </c>
    </row>
    <row r="8634" spans="1:5" x14ac:dyDescent="0.25">
      <c r="A8634" t="str">
        <f>HYPERLINK("https://www.773grp.com/globalSearch/DS90CF564MTD/page-1", "DS90CF564MTD")</f>
        <v>DS90CF564MTD</v>
      </c>
      <c r="B8634" s="3" t="str">
        <f>HYPERLINK("https://www.773grp.com/manufacturer/national-semiconductor?pageNo=57", "National Semiconductor")</f>
        <v>National Semiconductor</v>
      </c>
      <c r="C8634" s="6">
        <v>5</v>
      </c>
      <c r="D8634" s="7">
        <v>10.41</v>
      </c>
      <c r="E8634" t="s">
        <v>21</v>
      </c>
    </row>
    <row r="8635" spans="1:5" x14ac:dyDescent="0.25">
      <c r="A8635" t="str">
        <f>HYPERLINK("https://www.773grp.com/globalSearch/LMH6550MA/page-1", "LMH6550MA")</f>
        <v>LMH6550MA</v>
      </c>
      <c r="B8635" s="3" t="str">
        <f>HYPERLINK("https://www.773grp.com/manufacturer/national-semiconductor?pageNo=58", "National Semiconductor")</f>
        <v>National Semiconductor</v>
      </c>
      <c r="C8635" s="6">
        <v>432</v>
      </c>
      <c r="D8635" s="7">
        <v>10.41</v>
      </c>
      <c r="E8635" t="s">
        <v>13</v>
      </c>
    </row>
    <row r="8636" spans="1:5" x14ac:dyDescent="0.25">
      <c r="A8636" t="str">
        <f>HYPERLINK("https://www.773grp.com/globalSearch/LMH6552MA/page-1", "LMH6552MA")</f>
        <v>LMH6552MA</v>
      </c>
      <c r="B8636" s="3" t="str">
        <f>HYPERLINK("https://www.773grp.com/manufacturer/national-semiconductor?pageNo=59", "National Semiconductor")</f>
        <v>National Semiconductor</v>
      </c>
      <c r="C8636" s="6">
        <v>175</v>
      </c>
      <c r="D8636" s="7">
        <v>10.41</v>
      </c>
      <c r="E8636" t="s">
        <v>13</v>
      </c>
    </row>
    <row r="8637" spans="1:5" x14ac:dyDescent="0.25">
      <c r="A8637" t="str">
        <f>HYPERLINK("https://www.773grp.com/globalSearch/MM5452V-NOPB/page-1", "MM5452V-NOPB")</f>
        <v>MM5452V-NOPB</v>
      </c>
      <c r="B8637" s="3" t="str">
        <f>HYPERLINK("https://www.773grp.com/manufacturer/national-semiconductor?pageNo=60", "National Semiconductor")</f>
        <v>National Semiconductor</v>
      </c>
      <c r="C8637" s="6">
        <v>2742</v>
      </c>
      <c r="D8637" s="7">
        <v>10.41</v>
      </c>
      <c r="E8637" t="s">
        <v>10</v>
      </c>
    </row>
    <row r="8638" spans="1:5" x14ac:dyDescent="0.25">
      <c r="A8638" t="str">
        <f>HYPERLINK("https://www.773grp.com/globalSearch/DS15BR400TSQ-NOPB/page-1", "DS15BR400TSQ-NOPB")</f>
        <v>DS15BR400TSQ-NOPB</v>
      </c>
      <c r="B8638" s="3" t="str">
        <f>HYPERLINK("https://www.773grp.com/manufacturer/national-semiconductor?pageNo=61", "National Semiconductor")</f>
        <v>National Semiconductor</v>
      </c>
      <c r="C8638" s="6">
        <v>161</v>
      </c>
      <c r="D8638" s="7">
        <v>10.41</v>
      </c>
      <c r="E8638" t="s">
        <v>21</v>
      </c>
    </row>
    <row r="8639" spans="1:5" x14ac:dyDescent="0.25">
      <c r="A8639" t="str">
        <f>HYPERLINK("https://www.773grp.com/globalSearch/DS15BR400TVSX-NOPB/page-1", "DS15BR400TVSX-NOPB")</f>
        <v>DS15BR400TVSX-NOPB</v>
      </c>
      <c r="B8639" s="3" t="str">
        <f>HYPERLINK("https://www.773grp.com/manufacturer/national-semiconductor?pageNo=62", "National Semiconductor")</f>
        <v>National Semiconductor</v>
      </c>
      <c r="C8639" s="6">
        <v>2000</v>
      </c>
      <c r="D8639" s="7">
        <v>10.41</v>
      </c>
    </row>
    <row r="8640" spans="1:5" x14ac:dyDescent="0.25">
      <c r="A8640" t="str">
        <f>HYPERLINK("https://www.773grp.com/globalSearch/DS15BR401TSQ-NOPB/page-1", "DS15BR401TSQ-NOPB")</f>
        <v>DS15BR401TSQ-NOPB</v>
      </c>
      <c r="B8640" s="3" t="str">
        <f>HYPERLINK("https://www.773grp.com/manufacturer/national-semiconductor?pageNo=63", "National Semiconductor")</f>
        <v>National Semiconductor</v>
      </c>
      <c r="C8640" s="6">
        <v>8</v>
      </c>
      <c r="D8640" s="7">
        <v>10.41</v>
      </c>
    </row>
    <row r="8641" spans="1:5" x14ac:dyDescent="0.25">
      <c r="A8641" t="str">
        <f>HYPERLINK("https://www.773grp.com/globalSearch/DS15BR401TVSX-NOPB/page-1", "DS15BR401TVSX-NOPB")</f>
        <v>DS15BR401TVSX-NOPB</v>
      </c>
      <c r="B8641" s="3" t="str">
        <f>HYPERLINK("https://www.773grp.com/manufacturer/national-semiconductor?pageNo=64", "National Semiconductor")</f>
        <v>National Semiconductor</v>
      </c>
      <c r="C8641" s="6">
        <v>9000</v>
      </c>
      <c r="D8641" s="7">
        <v>10.41</v>
      </c>
    </row>
    <row r="8642" spans="1:5" x14ac:dyDescent="0.25">
      <c r="A8642" t="str">
        <f>HYPERLINK("https://www.773grp.com/globalSearch/MM5452V-NOPB/page-1", "MM5452V-NOPB")</f>
        <v>MM5452V-NOPB</v>
      </c>
      <c r="B8642" s="3" t="str">
        <f>HYPERLINK("https://www.773grp.com/manufacturer/national-semiconductor?pageNo=65", "National Semiconductor")</f>
        <v>National Semiconductor</v>
      </c>
      <c r="C8642" s="6">
        <v>100</v>
      </c>
      <c r="D8642" s="7">
        <v>10.41</v>
      </c>
      <c r="E8642" t="s">
        <v>10</v>
      </c>
    </row>
    <row r="8643" spans="1:5" x14ac:dyDescent="0.25">
      <c r="A8643" t="str">
        <f>HYPERLINK("https://www.773grp.com/globalSearch/74H74DC/page-1", "74H74DC")</f>
        <v>74H74DC</v>
      </c>
      <c r="B8643" s="3" t="str">
        <f>HYPERLINK("https://www.773grp.com/manufacturer/national-semiconductor?pageNo=66", "National Semiconductor")</f>
        <v>National Semiconductor</v>
      </c>
      <c r="C8643" s="6">
        <v>698</v>
      </c>
      <c r="D8643" s="7">
        <v>10.43</v>
      </c>
    </row>
    <row r="8644" spans="1:5" x14ac:dyDescent="0.25">
      <c r="A8644" t="str">
        <f>HYPERLINK("https://www.773grp.com/globalSearch/CLC007BMX-NOPB/page-1", "CLC007BMX-NOPB")</f>
        <v>CLC007BMX-NOPB</v>
      </c>
      <c r="B8644" s="3" t="str">
        <f>HYPERLINK("https://www.773grp.com/manufacturer/national-semiconductor?pageNo=67", "National Semiconductor")</f>
        <v>National Semiconductor</v>
      </c>
      <c r="C8644" s="6">
        <v>2500</v>
      </c>
      <c r="D8644" s="7">
        <v>10.43</v>
      </c>
    </row>
    <row r="8645" spans="1:5" x14ac:dyDescent="0.25">
      <c r="A8645" t="str">
        <f>HYPERLINK("https://www.773grp.com/globalSearch/DS90LV110TMTC-NOPB/page-1", "DS90LV110TMTC-NOPB")</f>
        <v>DS90LV110TMTC-NOPB</v>
      </c>
      <c r="B8645" s="3" t="str">
        <f>HYPERLINK("https://www.773grp.com/manufacturer/national-semiconductor?pageNo=68", "National Semiconductor")</f>
        <v>National Semiconductor</v>
      </c>
      <c r="C8645" s="6">
        <v>7</v>
      </c>
      <c r="D8645" s="7">
        <v>10.43</v>
      </c>
      <c r="E8645" t="s">
        <v>34</v>
      </c>
    </row>
    <row r="8646" spans="1:5" x14ac:dyDescent="0.25">
      <c r="A8646" t="str">
        <f>HYPERLINK("https://www.773grp.com/globalSearch/LM236H-2.5/page-1", "LM236H-2.5")</f>
        <v>LM236H-2.5</v>
      </c>
      <c r="B8646" s="3" t="str">
        <f>HYPERLINK("https://www.773grp.com/manufacturer/national-semiconductor?pageNo=69", "National Semiconductor")</f>
        <v>National Semiconductor</v>
      </c>
      <c r="C8646" s="6">
        <v>880</v>
      </c>
      <c r="D8646" s="7">
        <v>10.43</v>
      </c>
      <c r="E8646" t="s">
        <v>17</v>
      </c>
    </row>
    <row r="8647" spans="1:5" x14ac:dyDescent="0.25">
      <c r="A8647" t="str">
        <f>HYPERLINK("https://www.773grp.com/globalSearch/LM236H-2.5-NOPB/page-1", "LM236H-2.5-NOPB")</f>
        <v>LM236H-2.5-NOPB</v>
      </c>
      <c r="B8647" s="3" t="str">
        <f>HYPERLINK("https://www.773grp.com/manufacturer/national-semiconductor?pageNo=70", "National Semiconductor")</f>
        <v>National Semiconductor</v>
      </c>
      <c r="C8647" s="6">
        <v>1874</v>
      </c>
      <c r="D8647" s="7">
        <v>10.43</v>
      </c>
    </row>
    <row r="8648" spans="1:5" x14ac:dyDescent="0.25">
      <c r="A8648" t="str">
        <f>HYPERLINK("https://www.773grp.com/globalSearch/LM236H-5.0/page-1", "LM236H-5.0")</f>
        <v>LM236H-5.0</v>
      </c>
      <c r="B8648" s="3" t="str">
        <f>HYPERLINK("https://www.773grp.com/manufacturer/national-semiconductor?pageNo=71", "National Semiconductor")</f>
        <v>National Semiconductor</v>
      </c>
      <c r="C8648" s="6">
        <v>1271</v>
      </c>
      <c r="D8648" s="7">
        <v>10.43</v>
      </c>
      <c r="E8648" t="s">
        <v>17</v>
      </c>
    </row>
    <row r="8649" spans="1:5" x14ac:dyDescent="0.25">
      <c r="A8649" t="str">
        <f>HYPERLINK("https://www.773grp.com/globalSearch/LM2677S-5.0/page-1", "LM2677S-5.0")</f>
        <v>LM2677S-5.0</v>
      </c>
      <c r="B8649" s="3" t="str">
        <f>HYPERLINK("https://www.773grp.com/manufacturer/national-semiconductor?pageNo=72", "National Semiconductor")</f>
        <v>National Semiconductor</v>
      </c>
      <c r="C8649" s="6">
        <v>706</v>
      </c>
      <c r="D8649" s="7">
        <v>10.43</v>
      </c>
      <c r="E8649" t="s">
        <v>7</v>
      </c>
    </row>
    <row r="8650" spans="1:5" x14ac:dyDescent="0.25">
      <c r="A8650" t="str">
        <f>HYPERLINK("https://www.773grp.com/globalSearch/LM2679S-3.3/page-1", "LM2679S-3.3")</f>
        <v>LM2679S-3.3</v>
      </c>
      <c r="B8650" s="3" t="str">
        <f>HYPERLINK("https://www.773grp.com/manufacturer/national-semiconductor?pageNo=73", "National Semiconductor")</f>
        <v>National Semiconductor</v>
      </c>
      <c r="C8650" s="6">
        <v>5</v>
      </c>
      <c r="D8650" s="7">
        <v>10.43</v>
      </c>
      <c r="E8650" t="s">
        <v>7</v>
      </c>
    </row>
    <row r="8651" spans="1:5" x14ac:dyDescent="0.25">
      <c r="A8651" t="str">
        <f>HYPERLINK("https://www.773grp.com/globalSearch/LM2679S-5.0/page-1", "LM2679S-5.0")</f>
        <v>LM2679S-5.0</v>
      </c>
      <c r="B8651" s="3" t="str">
        <f>HYPERLINK("https://www.773grp.com/manufacturer/national-semiconductor?pageNo=74", "National Semiconductor")</f>
        <v>National Semiconductor</v>
      </c>
      <c r="C8651" s="6">
        <v>1410</v>
      </c>
      <c r="D8651" s="7">
        <v>10.43</v>
      </c>
      <c r="E8651" t="s">
        <v>7</v>
      </c>
    </row>
    <row r="8652" spans="1:5" x14ac:dyDescent="0.25">
      <c r="A8652" t="str">
        <f>HYPERLINK("https://www.773grp.com/globalSearch/LM2679S-ADJ/page-1", "LM2679S-ADJ")</f>
        <v>LM2679S-ADJ</v>
      </c>
      <c r="B8652" s="3" t="str">
        <f>HYPERLINK("https://www.773grp.com/manufacturer/national-semiconductor?pageNo=75", "National Semiconductor")</f>
        <v>National Semiconductor</v>
      </c>
      <c r="C8652" s="6">
        <v>136</v>
      </c>
      <c r="D8652" s="7">
        <v>10.43</v>
      </c>
      <c r="E8652" t="s">
        <v>7</v>
      </c>
    </row>
    <row r="8653" spans="1:5" x14ac:dyDescent="0.25">
      <c r="A8653" t="str">
        <f>HYPERLINK("https://www.773grp.com/globalSearch/LM285H-2.5/page-1", "LM285H-2.5")</f>
        <v>LM285H-2.5</v>
      </c>
      <c r="B8653" s="3" t="str">
        <f>HYPERLINK("https://www.773grp.com/manufacturer/national-semiconductor?pageNo=76", "National Semiconductor")</f>
        <v>National Semiconductor</v>
      </c>
      <c r="C8653" s="6">
        <v>20</v>
      </c>
      <c r="D8653" s="7">
        <v>10.43</v>
      </c>
      <c r="E8653" t="s">
        <v>17</v>
      </c>
    </row>
    <row r="8654" spans="1:5" x14ac:dyDescent="0.25">
      <c r="A8654" t="str">
        <f>HYPERLINK("https://www.773grp.com/globalSearch/LM293H-NOPB/page-1", "LM293H-NOPB")</f>
        <v>LM293H-NOPB</v>
      </c>
      <c r="B8654" s="3" t="str">
        <f>HYPERLINK("https://www.773grp.com/manufacturer/national-semiconductor?pageNo=77", "National Semiconductor")</f>
        <v>National Semiconductor</v>
      </c>
      <c r="C8654" s="6">
        <v>160</v>
      </c>
      <c r="D8654" s="7">
        <v>10.43</v>
      </c>
      <c r="E8654" t="s">
        <v>9</v>
      </c>
    </row>
    <row r="8655" spans="1:5" x14ac:dyDescent="0.25">
      <c r="A8655" t="str">
        <f>HYPERLINK("https://www.773grp.com/globalSearch/LM358H-NOPB/page-1", "LM358H-NOPB")</f>
        <v>LM358H-NOPB</v>
      </c>
      <c r="B8655" s="3" t="str">
        <f>HYPERLINK("https://www.773grp.com/manufacturer/national-semiconductor?pageNo=78", "National Semiconductor")</f>
        <v>National Semiconductor</v>
      </c>
      <c r="C8655" s="6">
        <v>210</v>
      </c>
      <c r="D8655" s="7">
        <v>10.43</v>
      </c>
      <c r="E8655" t="s">
        <v>13</v>
      </c>
    </row>
    <row r="8656" spans="1:5" x14ac:dyDescent="0.25">
      <c r="A8656" t="str">
        <f>HYPERLINK("https://www.773grp.com/globalSearch/MM145453V/page-1", "MM145453V")</f>
        <v>MM145453V</v>
      </c>
      <c r="B8656" s="3" t="str">
        <f>HYPERLINK("https://www.773grp.com/manufacturer/national-semiconductor?pageNo=79", "National Semiconductor")</f>
        <v>National Semiconductor</v>
      </c>
      <c r="C8656" s="6">
        <v>5</v>
      </c>
      <c r="D8656" s="7">
        <v>10.43</v>
      </c>
      <c r="E8656" t="s">
        <v>10</v>
      </c>
    </row>
    <row r="8657" spans="1:5" x14ac:dyDescent="0.25">
      <c r="A8657" t="str">
        <f>HYPERLINK("https://www.773grp.com/globalSearch/CLC007BMX-NOPB/page-1", "CLC007BMX-NOPB")</f>
        <v>CLC007BMX-NOPB</v>
      </c>
      <c r="B8657" s="3" t="str">
        <f>HYPERLINK("https://www.773grp.com/manufacturer/national-semiconductor?pageNo=80", "National Semiconductor")</f>
        <v>National Semiconductor</v>
      </c>
      <c r="C8657" s="6">
        <v>4597</v>
      </c>
      <c r="D8657" s="7">
        <v>10.43</v>
      </c>
    </row>
    <row r="8658" spans="1:5" x14ac:dyDescent="0.25">
      <c r="A8658" t="str">
        <f>HYPERLINK("https://www.773grp.com/globalSearch/DS90LV110TMTC-NOPB/page-1", "DS90LV110TMTC-NOPB")</f>
        <v>DS90LV110TMTC-NOPB</v>
      </c>
      <c r="B8658" s="3" t="str">
        <f>HYPERLINK("https://www.773grp.com/manufacturer/national-semiconductor?pageNo=81", "National Semiconductor")</f>
        <v>National Semiconductor</v>
      </c>
      <c r="C8658" s="6">
        <v>2047</v>
      </c>
      <c r="D8658" s="7">
        <v>10.43</v>
      </c>
      <c r="E8658" t="s">
        <v>34</v>
      </c>
    </row>
    <row r="8659" spans="1:5" x14ac:dyDescent="0.25">
      <c r="A8659" t="str">
        <f>HYPERLINK("https://www.773grp.com/globalSearch/LM236H-2.5/page-1", "LM236H-2.5")</f>
        <v>LM236H-2.5</v>
      </c>
      <c r="B8659" s="3" t="str">
        <f>HYPERLINK("https://www.773grp.com/manufacturer/national-semiconductor?pageNo=82", "National Semiconductor")</f>
        <v>National Semiconductor</v>
      </c>
      <c r="C8659" s="6">
        <v>457</v>
      </c>
      <c r="D8659" s="7">
        <v>10.43</v>
      </c>
      <c r="E8659" t="s">
        <v>17</v>
      </c>
    </row>
    <row r="8660" spans="1:5" x14ac:dyDescent="0.25">
      <c r="A8660" t="str">
        <f>HYPERLINK("https://www.773grp.com/globalSearch/LM236H-2.5-NOPB/page-1", "LM236H-2.5-NOPB")</f>
        <v>LM236H-2.5-NOPB</v>
      </c>
      <c r="B8660" s="3" t="str">
        <f>HYPERLINK("https://www.773grp.com/manufacturer/national-semiconductor?pageNo=83", "National Semiconductor")</f>
        <v>National Semiconductor</v>
      </c>
      <c r="C8660" s="6">
        <v>900</v>
      </c>
      <c r="D8660" s="7">
        <v>10.43</v>
      </c>
    </row>
    <row r="8661" spans="1:5" x14ac:dyDescent="0.25">
      <c r="A8661" t="str">
        <f>HYPERLINK("https://www.773grp.com/globalSearch/LM236H-5.0/page-1", "LM236H-5.0")</f>
        <v>LM236H-5.0</v>
      </c>
      <c r="B8661" s="3" t="str">
        <f>HYPERLINK("https://www.773grp.com/manufacturer/national-semiconductor?pageNo=84", "National Semiconductor")</f>
        <v>National Semiconductor</v>
      </c>
      <c r="C8661" s="6">
        <v>4787</v>
      </c>
      <c r="D8661" s="7">
        <v>10.43</v>
      </c>
      <c r="E8661" t="s">
        <v>17</v>
      </c>
    </row>
    <row r="8662" spans="1:5" x14ac:dyDescent="0.25">
      <c r="A8662" t="str">
        <f>HYPERLINK("https://www.773grp.com/globalSearch/LM2677S-3.3/page-1", "LM2677S-3.3")</f>
        <v>LM2677S-3.3</v>
      </c>
      <c r="B8662" s="3" t="str">
        <f>HYPERLINK("https://www.773grp.com/manufacturer/national-semiconductor?pageNo=85", "National Semiconductor")</f>
        <v>National Semiconductor</v>
      </c>
      <c r="C8662" s="6">
        <v>125</v>
      </c>
      <c r="D8662" s="7">
        <v>10.43</v>
      </c>
    </row>
    <row r="8663" spans="1:5" x14ac:dyDescent="0.25">
      <c r="A8663" t="str">
        <f>HYPERLINK("https://www.773grp.com/globalSearch/LM2679S-3.3/page-1", "LM2679S-3.3")</f>
        <v>LM2679S-3.3</v>
      </c>
      <c r="B8663" s="3" t="str">
        <f>HYPERLINK("https://www.773grp.com/manufacturer/national-semiconductor?pageNo=86", "National Semiconductor")</f>
        <v>National Semiconductor</v>
      </c>
      <c r="C8663" s="6">
        <v>45</v>
      </c>
      <c r="D8663" s="7">
        <v>10.43</v>
      </c>
      <c r="E8663" t="s">
        <v>7</v>
      </c>
    </row>
    <row r="8664" spans="1:5" x14ac:dyDescent="0.25">
      <c r="A8664" t="str">
        <f>HYPERLINK("https://www.773grp.com/globalSearch/LM2679S-5.0/page-1", "LM2679S-5.0")</f>
        <v>LM2679S-5.0</v>
      </c>
      <c r="B8664" s="3" t="str">
        <f>HYPERLINK("https://www.773grp.com/manufacturer/national-semiconductor?pageNo=87", "National Semiconductor")</f>
        <v>National Semiconductor</v>
      </c>
      <c r="C8664" s="6">
        <v>455</v>
      </c>
      <c r="D8664" s="7">
        <v>10.43</v>
      </c>
      <c r="E8664" t="s">
        <v>7</v>
      </c>
    </row>
    <row r="8665" spans="1:5" x14ac:dyDescent="0.25">
      <c r="A8665" t="str">
        <f>HYPERLINK("https://www.773grp.com/globalSearch/LM293H-NOPB/page-1", "LM293H-NOPB")</f>
        <v>LM293H-NOPB</v>
      </c>
      <c r="B8665" s="3" t="str">
        <f>HYPERLINK("https://www.773grp.com/manufacturer/national-semiconductor?pageNo=88", "National Semiconductor")</f>
        <v>National Semiconductor</v>
      </c>
      <c r="C8665" s="6">
        <v>1843</v>
      </c>
      <c r="D8665" s="7">
        <v>10.43</v>
      </c>
      <c r="E8665" t="s">
        <v>9</v>
      </c>
    </row>
    <row r="8666" spans="1:5" x14ac:dyDescent="0.25">
      <c r="A8666" t="str">
        <f>HYPERLINK("https://www.773grp.com/globalSearch/LM358H/page-1", "LM358H")</f>
        <v>LM358H</v>
      </c>
      <c r="B8666" s="3" t="str">
        <f>HYPERLINK("https://www.773grp.com/manufacturer/national-semiconductor?pageNo=89", "National Semiconductor")</f>
        <v>National Semiconductor</v>
      </c>
      <c r="C8666" s="6">
        <v>2336</v>
      </c>
      <c r="D8666" s="7">
        <v>10.43</v>
      </c>
    </row>
    <row r="8667" spans="1:5" x14ac:dyDescent="0.25">
      <c r="A8667" t="str">
        <f>HYPERLINK("https://www.773grp.com/globalSearch/LM358H-NOPB/page-1", "LM358H-NOPB")</f>
        <v>LM358H-NOPB</v>
      </c>
      <c r="B8667" s="3" t="str">
        <f>HYPERLINK("https://www.773grp.com/manufacturer/national-semiconductor?pageNo=90", "National Semiconductor")</f>
        <v>National Semiconductor</v>
      </c>
      <c r="C8667" s="6">
        <v>2882</v>
      </c>
      <c r="D8667" s="7">
        <v>10.43</v>
      </c>
      <c r="E8667" t="s">
        <v>13</v>
      </c>
    </row>
    <row r="8668" spans="1:5" x14ac:dyDescent="0.25">
      <c r="A8668" t="str">
        <f>HYPERLINK("https://www.773grp.com/globalSearch/54F224IDM/page-1", "54F224IDM")</f>
        <v>54F224IDM</v>
      </c>
      <c r="B8668" s="3" t="str">
        <f>HYPERLINK("https://www.773grp.com/manufacturer/national-semiconductor?pageNo=91", "National Semiconductor")</f>
        <v>National Semiconductor</v>
      </c>
      <c r="C8668" s="6">
        <v>273</v>
      </c>
      <c r="D8668" s="7">
        <v>10.46</v>
      </c>
    </row>
    <row r="8669" spans="1:5" x14ac:dyDescent="0.25">
      <c r="A8669" t="str">
        <f>HYPERLINK("https://www.773grp.com/globalSearch/54F240DM/page-1", "54F240DM")</f>
        <v>54F240DM</v>
      </c>
      <c r="B8669" s="3" t="str">
        <f>HYPERLINK("https://www.773grp.com/manufacturer/national-semiconductor?pageNo=92", "National Semiconductor")</f>
        <v>National Semiconductor</v>
      </c>
      <c r="C8669" s="6">
        <v>370</v>
      </c>
      <c r="D8669" s="7">
        <v>10.46</v>
      </c>
      <c r="E8669" t="s">
        <v>14</v>
      </c>
    </row>
    <row r="8670" spans="1:5" x14ac:dyDescent="0.25">
      <c r="A8670" t="str">
        <f>HYPERLINK("https://www.773grp.com/globalSearch/54F241DM/page-1", "54F241DM")</f>
        <v>54F241DM</v>
      </c>
      <c r="B8670" s="3" t="str">
        <f>HYPERLINK("https://www.773grp.com/manufacturer/national-semiconductor?pageNo=93", "National Semiconductor")</f>
        <v>National Semiconductor</v>
      </c>
      <c r="C8670" s="6">
        <v>673</v>
      </c>
      <c r="D8670" s="7">
        <v>10.46</v>
      </c>
      <c r="E8670" t="s">
        <v>14</v>
      </c>
    </row>
    <row r="8671" spans="1:5" x14ac:dyDescent="0.25">
      <c r="A8671" t="str">
        <f>HYPERLINK("https://www.773grp.com/globalSearch/54F258AFMQB/page-1", "54F258AFMQB")</f>
        <v>54F258AFMQB</v>
      </c>
      <c r="B8671" s="3" t="str">
        <f>HYPERLINK("https://www.773grp.com/manufacturer/national-semiconductor?pageNo=94", "National Semiconductor")</f>
        <v>National Semiconductor</v>
      </c>
      <c r="C8671" s="6">
        <v>21643</v>
      </c>
      <c r="D8671" s="7">
        <v>10.46</v>
      </c>
      <c r="E8671" t="s">
        <v>20</v>
      </c>
    </row>
    <row r="8672" spans="1:5" x14ac:dyDescent="0.25">
      <c r="A8672" t="str">
        <f>HYPERLINK("https://www.773grp.com/globalSearch/54LS193  LL2/page-1", "54LS193  LL2")</f>
        <v>54LS193  LL2</v>
      </c>
      <c r="B8672" s="3" t="str">
        <f>HYPERLINK("https://www.773grp.com/manufacturer/national-semiconductor?pageNo=95", "National Semiconductor")</f>
        <v>National Semiconductor</v>
      </c>
      <c r="C8672" s="6">
        <v>9</v>
      </c>
      <c r="D8672" s="7">
        <v>10.46</v>
      </c>
    </row>
    <row r="8673" spans="1:5" x14ac:dyDescent="0.25">
      <c r="A8673" t="str">
        <f>HYPERLINK("https://www.773grp.com/globalSearch/54LS244  L2/page-1", "54LS244  L2")</f>
        <v>54LS244  L2</v>
      </c>
      <c r="B8673" s="3" t="str">
        <f>HYPERLINK("https://www.773grp.com/manufacturer/national-semiconductor?pageNo=96", "National Semiconductor")</f>
        <v>National Semiconductor</v>
      </c>
      <c r="C8673" s="6">
        <v>97</v>
      </c>
      <c r="D8673" s="7">
        <v>10.46</v>
      </c>
    </row>
    <row r="8674" spans="1:5" x14ac:dyDescent="0.25">
      <c r="A8674" t="str">
        <f>HYPERLINK("https://www.773grp.com/globalSearch/ADC0809CCV/page-1", "ADC0809CCV")</f>
        <v>ADC0809CCV</v>
      </c>
      <c r="B8674" s="3" t="str">
        <f>HYPERLINK("https://www.773grp.com/manufacturer/national-semiconductor?pageNo=97", "National Semiconductor")</f>
        <v>National Semiconductor</v>
      </c>
      <c r="C8674" s="6">
        <v>175</v>
      </c>
      <c r="D8674" s="7">
        <v>10.46</v>
      </c>
      <c r="E8674" t="s">
        <v>39</v>
      </c>
    </row>
    <row r="8675" spans="1:5" x14ac:dyDescent="0.25">
      <c r="A8675" t="str">
        <f>HYPERLINK("https://www.773grp.com/globalSearch/DS90C383MTDX-NOPB/page-1", "DS90C383MTDX-NOPB")</f>
        <v>DS90C383MTDX-NOPB</v>
      </c>
      <c r="B8675" s="3" t="str">
        <f>HYPERLINK("https://www.773grp.com/manufacturer/national-semiconductor?pageNo=98", "National Semiconductor")</f>
        <v>National Semiconductor</v>
      </c>
      <c r="C8675" s="6">
        <v>1000</v>
      </c>
      <c r="D8675" s="7">
        <v>10.46</v>
      </c>
      <c r="E8675" t="s">
        <v>21</v>
      </c>
    </row>
    <row r="8676" spans="1:5" x14ac:dyDescent="0.25">
      <c r="A8676" t="str">
        <f>HYPERLINK("https://www.773grp.com/globalSearch/DS90CF386MTD-NOPB/page-1", "DS90CF386MTD-NOPB")</f>
        <v>DS90CF386MTD-NOPB</v>
      </c>
      <c r="B8676" s="3" t="str">
        <f>HYPERLINK("https://www.773grp.com/manufacturer/national-semiconductor?pageNo=99", "National Semiconductor")</f>
        <v>National Semiconductor</v>
      </c>
      <c r="C8676" s="6">
        <v>1914</v>
      </c>
      <c r="D8676" s="7">
        <v>10.46</v>
      </c>
      <c r="E8676" t="s">
        <v>21</v>
      </c>
    </row>
    <row r="8677" spans="1:5" x14ac:dyDescent="0.25">
      <c r="A8677" t="str">
        <f>HYPERLINK("https://www.773grp.com/globalSearch/LM2586S-3.3-NOPB/page-1", "LM2586S-3.3-NOPB")</f>
        <v>LM2586S-3.3-NOPB</v>
      </c>
      <c r="B8677" s="3" t="str">
        <f>HYPERLINK("https://www.773grp.com/manufacturer/national-semiconductor?pageNo=100", "National Semiconductor")</f>
        <v>National Semiconductor</v>
      </c>
      <c r="C8677" s="6">
        <v>272</v>
      </c>
      <c r="D8677" s="7">
        <v>10.46</v>
      </c>
      <c r="E8677" t="s">
        <v>7</v>
      </c>
    </row>
    <row r="8678" spans="1:5" x14ac:dyDescent="0.25">
      <c r="A8678" t="str">
        <f>HYPERLINK("https://www.773grp.com/globalSearch/LM2586S-5.0-NOPB/page-1", "LM2586S-5.0-NOPB")</f>
        <v>LM2586S-5.0-NOPB</v>
      </c>
      <c r="B8678" s="3" t="str">
        <f>HYPERLINK("https://www.773grp.com/manufacturer/national-semiconductor?pageNo=101", "National Semiconductor")</f>
        <v>National Semiconductor</v>
      </c>
      <c r="C8678" s="6">
        <v>147</v>
      </c>
      <c r="D8678" s="7">
        <v>10.46</v>
      </c>
      <c r="E8678" t="s">
        <v>7</v>
      </c>
    </row>
    <row r="8679" spans="1:5" x14ac:dyDescent="0.25">
      <c r="A8679" t="str">
        <f>HYPERLINK("https://www.773grp.com/globalSearch/LM2586S-ADJ-NOPB/page-1", "LM2586S-ADJ-NOPB")</f>
        <v>LM2586S-ADJ-NOPB</v>
      </c>
      <c r="B8679" s="3" t="str">
        <f>HYPERLINK("https://www.773grp.com/manufacturer/national-semiconductor?pageNo=102", "National Semiconductor")</f>
        <v>National Semiconductor</v>
      </c>
      <c r="C8679" s="6">
        <v>10311</v>
      </c>
      <c r="D8679" s="7">
        <v>10.46</v>
      </c>
      <c r="E8679" t="s">
        <v>7</v>
      </c>
    </row>
    <row r="8680" spans="1:5" x14ac:dyDescent="0.25">
      <c r="A8680" t="str">
        <f>HYPERLINK("https://www.773grp.com/globalSearch/LM385AYMX-2.5/page-1", "LM385AYMX-2.5")</f>
        <v>LM385AYMX-2.5</v>
      </c>
      <c r="B8680" s="3" t="str">
        <f>HYPERLINK("https://www.773grp.com/manufacturer/national-semiconductor?pageNo=103", "National Semiconductor")</f>
        <v>National Semiconductor</v>
      </c>
      <c r="C8680" s="6">
        <v>5000</v>
      </c>
      <c r="D8680" s="7">
        <v>10.46</v>
      </c>
      <c r="E8680" t="s">
        <v>17</v>
      </c>
    </row>
    <row r="8681" spans="1:5" x14ac:dyDescent="0.25">
      <c r="A8681" t="str">
        <f>HYPERLINK("https://www.773grp.com/globalSearch/LM3886TF/page-1", "LM3886TF")</f>
        <v>LM3886TF</v>
      </c>
      <c r="B8681" s="3" t="str">
        <f>HYPERLINK("https://www.773grp.com/manufacturer/national-semiconductor?pageNo=104", "National Semiconductor")</f>
        <v>National Semiconductor</v>
      </c>
      <c r="C8681" s="6">
        <v>630</v>
      </c>
      <c r="D8681" s="7">
        <v>10.46</v>
      </c>
      <c r="E8681" t="s">
        <v>18</v>
      </c>
    </row>
    <row r="8682" spans="1:5" x14ac:dyDescent="0.25">
      <c r="A8682" t="str">
        <f>HYPERLINK("https://www.773grp.com/globalSearch/SCAN16512ASM/page-1", "SCAN16512ASM")</f>
        <v>SCAN16512ASM</v>
      </c>
      <c r="B8682" s="3" t="str">
        <f>HYPERLINK("https://www.773grp.com/manufacturer/national-semiconductor?pageNo=105", "National Semiconductor")</f>
        <v>National Semiconductor</v>
      </c>
      <c r="C8682" s="6">
        <v>3232</v>
      </c>
      <c r="D8682" s="7">
        <v>10.46</v>
      </c>
      <c r="E8682" t="s">
        <v>14</v>
      </c>
    </row>
    <row r="8683" spans="1:5" x14ac:dyDescent="0.25">
      <c r="A8683" t="str">
        <f>HYPERLINK("https://www.773grp.com/globalSearch/DS90CF386MTD-NOPB/page-1", "DS90CF386MTD-NOPB")</f>
        <v>DS90CF386MTD-NOPB</v>
      </c>
      <c r="B8683" s="3" t="str">
        <f>HYPERLINK("https://www.773grp.com/manufacturer/national-semiconductor?pageNo=106", "National Semiconductor")</f>
        <v>National Semiconductor</v>
      </c>
      <c r="C8683" s="6">
        <v>10579</v>
      </c>
      <c r="D8683" s="7">
        <v>10.46</v>
      </c>
      <c r="E8683" t="s">
        <v>21</v>
      </c>
    </row>
    <row r="8684" spans="1:5" x14ac:dyDescent="0.25">
      <c r="A8684" t="str">
        <f>HYPERLINK("https://www.773grp.com/globalSearch/LM2586S-3.3-NOPB/page-1", "LM2586S-3.3-NOPB")</f>
        <v>LM2586S-3.3-NOPB</v>
      </c>
      <c r="B8684" s="3" t="str">
        <f>HYPERLINK("https://www.773grp.com/manufacturer/national-semiconductor?pageNo=107", "National Semiconductor")</f>
        <v>National Semiconductor</v>
      </c>
      <c r="C8684" s="6">
        <v>2232</v>
      </c>
      <c r="D8684" s="7">
        <v>10.46</v>
      </c>
      <c r="E8684" t="s">
        <v>7</v>
      </c>
    </row>
    <row r="8685" spans="1:5" x14ac:dyDescent="0.25">
      <c r="A8685" t="str">
        <f>HYPERLINK("https://www.773grp.com/globalSearch/LM2586S-5.0-NOPB/page-1", "LM2586S-5.0-NOPB")</f>
        <v>LM2586S-5.0-NOPB</v>
      </c>
      <c r="B8685" s="3" t="str">
        <f>HYPERLINK("https://www.773grp.com/manufacturer/national-semiconductor?pageNo=108", "National Semiconductor")</f>
        <v>National Semiconductor</v>
      </c>
      <c r="C8685" s="6">
        <v>332</v>
      </c>
      <c r="D8685" s="7">
        <v>10.46</v>
      </c>
      <c r="E8685" t="s">
        <v>7</v>
      </c>
    </row>
    <row r="8686" spans="1:5" x14ac:dyDescent="0.25">
      <c r="A8686" t="str">
        <f>HYPERLINK("https://www.773grp.com/globalSearch/LM2586S-ADJ-NOPB/page-1", "LM2586S-ADJ-NOPB")</f>
        <v>LM2586S-ADJ-NOPB</v>
      </c>
      <c r="B8686" s="3" t="str">
        <f>HYPERLINK("https://www.773grp.com/manufacturer/national-semiconductor?pageNo=109", "National Semiconductor")</f>
        <v>National Semiconductor</v>
      </c>
      <c r="C8686" s="6">
        <v>295</v>
      </c>
      <c r="D8686" s="7">
        <v>10.46</v>
      </c>
      <c r="E8686" t="s">
        <v>7</v>
      </c>
    </row>
    <row r="8687" spans="1:5" x14ac:dyDescent="0.25">
      <c r="A8687" t="str">
        <f>HYPERLINK("https://www.773grp.com/globalSearch/LMP90079MH-NOPB/page-1", "LMP90079MH-NOPB")</f>
        <v>LMP90079MH-NOPB</v>
      </c>
      <c r="B8687" s="3" t="str">
        <f>HYPERLINK("https://www.773grp.com/manufacturer/national-semiconductor?pageNo=110", "National Semiconductor")</f>
        <v>National Semiconductor</v>
      </c>
      <c r="C8687" s="6">
        <v>2106</v>
      </c>
      <c r="D8687" s="7">
        <v>10.46</v>
      </c>
    </row>
    <row r="8688" spans="1:5" x14ac:dyDescent="0.25">
      <c r="A8688" t="str">
        <f>HYPERLINK("https://www.773grp.com/globalSearch/TPS54612PWP/page-1", "TPS54612PWP")</f>
        <v>TPS54612PWP</v>
      </c>
      <c r="B8688" s="3" t="str">
        <f>HYPERLINK("https://www.773grp.com/manufacturer/national-semiconductor?pageNo=111", "National Semiconductor")</f>
        <v>National Semiconductor</v>
      </c>
      <c r="C8688" s="6">
        <v>950</v>
      </c>
      <c r="D8688" s="7">
        <v>10.46</v>
      </c>
    </row>
    <row r="8689" spans="1:5" x14ac:dyDescent="0.25">
      <c r="A8689" t="str">
        <f>HYPERLINK("https://www.773grp.com/globalSearch/ADC12030CIWM-NOPB/page-1", "ADC12030CIWM-NOPB")</f>
        <v>ADC12030CIWM-NOPB</v>
      </c>
      <c r="B8689" s="3" t="str">
        <f>HYPERLINK("https://www.773grp.com/manufacturer/national-semiconductor?pageNo=112", "National Semiconductor")</f>
        <v>National Semiconductor</v>
      </c>
      <c r="C8689" s="6">
        <v>92</v>
      </c>
      <c r="D8689" s="7">
        <v>10.5</v>
      </c>
      <c r="E8689" t="s">
        <v>39</v>
      </c>
    </row>
    <row r="8690" spans="1:5" x14ac:dyDescent="0.25">
      <c r="A8690" t="str">
        <f>HYPERLINK("https://www.773grp.com/globalSearch/LM193H/page-1", "LM193H")</f>
        <v>LM193H</v>
      </c>
      <c r="B8690" s="3" t="str">
        <f>HYPERLINK("https://www.773grp.com/manufacturer/national-semiconductor?pageNo=113", "National Semiconductor")</f>
        <v>National Semiconductor</v>
      </c>
      <c r="C8690" s="6">
        <v>380</v>
      </c>
      <c r="D8690" s="7">
        <v>10.5</v>
      </c>
      <c r="E8690" t="s">
        <v>9</v>
      </c>
    </row>
    <row r="8691" spans="1:5" x14ac:dyDescent="0.25">
      <c r="A8691" t="str">
        <f>HYPERLINK("https://www.773grp.com/globalSearch/LM193H-NOPB/page-1", "LM193H-NOPB")</f>
        <v>LM193H-NOPB</v>
      </c>
      <c r="B8691" s="3" t="str">
        <f>HYPERLINK("https://www.773grp.com/manufacturer/national-semiconductor?pageNo=114", "National Semiconductor")</f>
        <v>National Semiconductor</v>
      </c>
      <c r="C8691" s="6">
        <v>1752</v>
      </c>
      <c r="D8691" s="7">
        <v>10.5</v>
      </c>
      <c r="E8691" t="s">
        <v>9</v>
      </c>
    </row>
    <row r="8692" spans="1:5" x14ac:dyDescent="0.25">
      <c r="A8692" t="str">
        <f>HYPERLINK("https://www.773grp.com/globalSearch/LM258H/page-1", "LM258H")</f>
        <v>LM258H</v>
      </c>
      <c r="B8692" s="3" t="str">
        <f>HYPERLINK("https://www.773grp.com/manufacturer/national-semiconductor?pageNo=115", "National Semiconductor")</f>
        <v>National Semiconductor</v>
      </c>
      <c r="C8692" s="6">
        <v>950</v>
      </c>
      <c r="D8692" s="7">
        <v>10.5</v>
      </c>
      <c r="E8692" t="s">
        <v>13</v>
      </c>
    </row>
    <row r="8693" spans="1:5" x14ac:dyDescent="0.25">
      <c r="A8693" t="str">
        <f>HYPERLINK("https://www.773grp.com/globalSearch/ADC12030CIWM-NOPB/page-1", "ADC12030CIWM-NOPB")</f>
        <v>ADC12030CIWM-NOPB</v>
      </c>
      <c r="B8693" s="3" t="str">
        <f>HYPERLINK("https://www.773grp.com/manufacturer/national-semiconductor?pageNo=116", "National Semiconductor")</f>
        <v>National Semiconductor</v>
      </c>
      <c r="C8693" s="6">
        <v>270</v>
      </c>
      <c r="D8693" s="7">
        <v>10.5</v>
      </c>
      <c r="E8693" t="s">
        <v>39</v>
      </c>
    </row>
    <row r="8694" spans="1:5" x14ac:dyDescent="0.25">
      <c r="A8694" t="str">
        <f>HYPERLINK("https://www.773grp.com/globalSearch/LM193H/page-1", "LM193H")</f>
        <v>LM193H</v>
      </c>
      <c r="B8694" s="3" t="str">
        <f>HYPERLINK("https://www.773grp.com/manufacturer/national-semiconductor?pageNo=117", "National Semiconductor")</f>
        <v>National Semiconductor</v>
      </c>
      <c r="C8694" s="6">
        <v>2500</v>
      </c>
      <c r="D8694" s="7">
        <v>10.5</v>
      </c>
      <c r="E8694" t="s">
        <v>9</v>
      </c>
    </row>
    <row r="8695" spans="1:5" x14ac:dyDescent="0.25">
      <c r="A8695" t="str">
        <f>HYPERLINK("https://www.773grp.com/globalSearch/LM193H-NOPB/page-1", "LM193H-NOPB")</f>
        <v>LM193H-NOPB</v>
      </c>
      <c r="B8695" s="3" t="str">
        <f>HYPERLINK("https://www.773grp.com/manufacturer/national-semiconductor?pageNo=118", "National Semiconductor")</f>
        <v>National Semiconductor</v>
      </c>
      <c r="C8695" s="6">
        <v>476</v>
      </c>
      <c r="D8695" s="7">
        <v>10.5</v>
      </c>
      <c r="E8695" t="s">
        <v>9</v>
      </c>
    </row>
    <row r="8696" spans="1:5" x14ac:dyDescent="0.25">
      <c r="A8696" t="str">
        <f>HYPERLINK("https://www.773grp.com/globalSearch/LM258H/page-1", "LM258H")</f>
        <v>LM258H</v>
      </c>
      <c r="B8696" s="3" t="str">
        <f>HYPERLINK("https://www.773grp.com/manufacturer/national-semiconductor?pageNo=119", "National Semiconductor")</f>
        <v>National Semiconductor</v>
      </c>
      <c r="C8696" s="6">
        <v>13</v>
      </c>
      <c r="D8696" s="7">
        <v>10.5</v>
      </c>
      <c r="E8696" t="s">
        <v>13</v>
      </c>
    </row>
    <row r="8697" spans="1:5" x14ac:dyDescent="0.25">
      <c r="A8697" t="str">
        <f>HYPERLINK("https://www.773grp.com/globalSearch/74LS323PC/page-1", "74LS323PC")</f>
        <v>74LS323PC</v>
      </c>
      <c r="B8697" s="3" t="str">
        <f>HYPERLINK("https://www.773grp.com/manufacturer/national-semiconductor?pageNo=120", "National Semiconductor")</f>
        <v>National Semiconductor</v>
      </c>
      <c r="C8697" s="6">
        <v>9709</v>
      </c>
      <c r="D8697" s="7">
        <v>10.51</v>
      </c>
    </row>
    <row r="8698" spans="1:5" x14ac:dyDescent="0.25">
      <c r="A8698" t="str">
        <f>HYPERLINK("https://www.773grp.com/globalSearch/DS15MB200TSQ-NOPB/page-1", "DS15MB200TSQ-NOPB")</f>
        <v>DS15MB200TSQ-NOPB</v>
      </c>
      <c r="B8698" s="3" t="str">
        <f>HYPERLINK("https://www.773grp.com/manufacturer/national-semiconductor?pageNo=121", "National Semiconductor")</f>
        <v>National Semiconductor</v>
      </c>
      <c r="C8698" s="6">
        <v>56</v>
      </c>
      <c r="D8698" s="7">
        <v>10.51</v>
      </c>
      <c r="E8698" t="s">
        <v>21</v>
      </c>
    </row>
    <row r="8699" spans="1:5" x14ac:dyDescent="0.25">
      <c r="A8699" t="str">
        <f>HYPERLINK("https://www.773grp.com/globalSearch/DS90CP22M-8/page-1", "DS90CP22M-8")</f>
        <v>DS90CP22M-8</v>
      </c>
      <c r="B8699" s="3" t="str">
        <f>HYPERLINK("https://www.773grp.com/manufacturer/national-semiconductor?pageNo=122", "National Semiconductor")</f>
        <v>National Semiconductor</v>
      </c>
      <c r="C8699" s="6">
        <v>2496</v>
      </c>
      <c r="D8699" s="7">
        <v>10.51</v>
      </c>
      <c r="E8699" t="s">
        <v>56</v>
      </c>
    </row>
    <row r="8700" spans="1:5" x14ac:dyDescent="0.25">
      <c r="A8700" t="str">
        <f>HYPERLINK("https://www.773grp.com/globalSearch/LM2577T-15/page-1", "LM2577T-15")</f>
        <v>LM2577T-15</v>
      </c>
      <c r="B8700" s="3" t="str">
        <f>HYPERLINK("https://www.773grp.com/manufacturer/national-semiconductor?pageNo=123", "National Semiconductor")</f>
        <v>National Semiconductor</v>
      </c>
      <c r="C8700" s="6">
        <v>140</v>
      </c>
      <c r="D8700" s="7">
        <v>10.51</v>
      </c>
      <c r="E8700" t="s">
        <v>7</v>
      </c>
    </row>
    <row r="8701" spans="1:5" x14ac:dyDescent="0.25">
      <c r="A8701" t="str">
        <f>HYPERLINK("https://www.773grp.com/globalSearch/LM2577T-15-LB03/page-1", "LM2577T-15-LB03")</f>
        <v>LM2577T-15-LB03</v>
      </c>
      <c r="B8701" s="3" t="str">
        <f>HYPERLINK("https://www.773grp.com/manufacturer/national-semiconductor?pageNo=124", "National Semiconductor")</f>
        <v>National Semiconductor</v>
      </c>
      <c r="C8701" s="6">
        <v>1400</v>
      </c>
      <c r="D8701" s="7">
        <v>10.51</v>
      </c>
    </row>
    <row r="8702" spans="1:5" x14ac:dyDescent="0.25">
      <c r="A8702" t="str">
        <f>HYPERLINK("https://www.773grp.com/globalSearch/LM2577T-ADJ/page-1", "LM2577T-ADJ")</f>
        <v>LM2577T-ADJ</v>
      </c>
      <c r="B8702" s="3" t="str">
        <f>HYPERLINK("https://www.773grp.com/manufacturer/national-semiconductor?pageNo=125", "National Semiconductor")</f>
        <v>National Semiconductor</v>
      </c>
      <c r="C8702" s="6">
        <v>1575</v>
      </c>
      <c r="D8702" s="7">
        <v>10.51</v>
      </c>
      <c r="E8702" t="s">
        <v>7</v>
      </c>
    </row>
    <row r="8703" spans="1:5" x14ac:dyDescent="0.25">
      <c r="A8703" t="str">
        <f>HYPERLINK("https://www.773grp.com/globalSearch/LM2577T-ADJ-LB03/page-1", "LM2577T-ADJ-LB03")</f>
        <v>LM2577T-ADJ-LB03</v>
      </c>
      <c r="B8703" s="3" t="str">
        <f>HYPERLINK("https://www.773grp.com/manufacturer/national-semiconductor?pageNo=126", "National Semiconductor")</f>
        <v>National Semiconductor</v>
      </c>
      <c r="C8703" s="6">
        <v>8819</v>
      </c>
      <c r="D8703" s="7">
        <v>10.51</v>
      </c>
    </row>
    <row r="8704" spans="1:5" x14ac:dyDescent="0.25">
      <c r="A8704" t="str">
        <f>HYPERLINK("https://www.773grp.com/globalSearch/LM5119PSQE-NOPB/page-1", "LM5119PSQE-NOPB")</f>
        <v>LM5119PSQE-NOPB</v>
      </c>
      <c r="B8704" s="3" t="str">
        <f>HYPERLINK("https://www.773grp.com/manufacturer/national-semiconductor?pageNo=127", "National Semiconductor")</f>
        <v>National Semiconductor</v>
      </c>
      <c r="C8704" s="6">
        <v>149</v>
      </c>
      <c r="D8704" s="7">
        <v>10.51</v>
      </c>
    </row>
    <row r="8705" spans="1:5" x14ac:dyDescent="0.25">
      <c r="A8705" t="str">
        <f>HYPERLINK("https://www.773grp.com/globalSearch/LP3970SQ-31-NOPB/page-1", "LP3970SQ-31-NOPB")</f>
        <v>LP3970SQ-31-NOPB</v>
      </c>
      <c r="B8705" s="3" t="str">
        <f>HYPERLINK("https://www.773grp.com/manufacturer/national-semiconductor?pageNo=128", "National Semiconductor")</f>
        <v>National Semiconductor</v>
      </c>
      <c r="C8705" s="6">
        <v>2171</v>
      </c>
      <c r="D8705" s="7">
        <v>10.51</v>
      </c>
    </row>
    <row r="8706" spans="1:5" x14ac:dyDescent="0.25">
      <c r="A8706" t="str">
        <f>HYPERLINK("https://www.773grp.com/globalSearch/LP3970SQ-35-NOPB/page-1", "LP3970SQ-35-NOPB")</f>
        <v>LP3970SQ-35-NOPB</v>
      </c>
      <c r="B8706" s="3" t="str">
        <f>HYPERLINK("https://www.773grp.com/manufacturer/national-semiconductor?pageNo=129", "National Semiconductor")</f>
        <v>National Semiconductor</v>
      </c>
      <c r="C8706" s="6">
        <v>424</v>
      </c>
      <c r="D8706" s="7">
        <v>10.51</v>
      </c>
    </row>
    <row r="8707" spans="1:5" x14ac:dyDescent="0.25">
      <c r="A8707" t="str">
        <f>HYPERLINK("https://www.773grp.com/globalSearch/LP3970SQ-44-NOPB/page-1", "LP3970SQ-44-NOPB")</f>
        <v>LP3970SQ-44-NOPB</v>
      </c>
      <c r="B8707" s="3" t="str">
        <f>HYPERLINK("https://www.773grp.com/manufacturer/national-semiconductor?pageNo=130", "National Semiconductor")</f>
        <v>National Semiconductor</v>
      </c>
      <c r="C8707" s="6">
        <v>284</v>
      </c>
      <c r="D8707" s="7">
        <v>10.51</v>
      </c>
    </row>
    <row r="8708" spans="1:5" x14ac:dyDescent="0.25">
      <c r="A8708" t="str">
        <f>HYPERLINK("https://www.773grp.com/globalSearch/DS15MB200TSQ-NOPB/page-1", "DS15MB200TSQ-NOPB")</f>
        <v>DS15MB200TSQ-NOPB</v>
      </c>
      <c r="B8708" s="3" t="str">
        <f>HYPERLINK("https://www.773grp.com/manufacturer/national-semiconductor?pageNo=131", "National Semiconductor")</f>
        <v>National Semiconductor</v>
      </c>
      <c r="C8708" s="6">
        <v>2073</v>
      </c>
      <c r="D8708" s="7">
        <v>10.51</v>
      </c>
      <c r="E8708" t="s">
        <v>21</v>
      </c>
    </row>
    <row r="8709" spans="1:5" x14ac:dyDescent="0.25">
      <c r="A8709" t="str">
        <f>HYPERLINK("https://www.773grp.com/globalSearch/DS90CP22M-8/page-1", "DS90CP22M-8")</f>
        <v>DS90CP22M-8</v>
      </c>
      <c r="B8709" s="3" t="str">
        <f>HYPERLINK("https://www.773grp.com/manufacturer/national-semiconductor?pageNo=132", "National Semiconductor")</f>
        <v>National Semiconductor</v>
      </c>
      <c r="C8709" s="6">
        <v>4128</v>
      </c>
      <c r="D8709" s="7">
        <v>10.51</v>
      </c>
      <c r="E8709" t="s">
        <v>56</v>
      </c>
    </row>
    <row r="8710" spans="1:5" x14ac:dyDescent="0.25">
      <c r="A8710" t="str">
        <f>HYPERLINK("https://www.773grp.com/globalSearch/LM2577T-12/page-1", "LM2577T-12")</f>
        <v>LM2577T-12</v>
      </c>
      <c r="B8710" s="3" t="str">
        <f>HYPERLINK("https://www.773grp.com/manufacturer/national-semiconductor?pageNo=133", "National Semiconductor")</f>
        <v>National Semiconductor</v>
      </c>
      <c r="C8710" s="6">
        <v>115</v>
      </c>
      <c r="D8710" s="7">
        <v>10.51</v>
      </c>
    </row>
    <row r="8711" spans="1:5" x14ac:dyDescent="0.25">
      <c r="A8711" t="str">
        <f>HYPERLINK("https://www.773grp.com/globalSearch/LM2577T-15/page-1", "LM2577T-15")</f>
        <v>LM2577T-15</v>
      </c>
      <c r="B8711" s="3" t="str">
        <f>HYPERLINK("https://www.773grp.com/manufacturer/national-semiconductor?pageNo=134", "National Semiconductor")</f>
        <v>National Semiconductor</v>
      </c>
      <c r="C8711" s="6">
        <v>107</v>
      </c>
      <c r="D8711" s="7">
        <v>10.51</v>
      </c>
      <c r="E8711" t="s">
        <v>7</v>
      </c>
    </row>
    <row r="8712" spans="1:5" x14ac:dyDescent="0.25">
      <c r="A8712" t="str">
        <f>HYPERLINK("https://www.773grp.com/globalSearch/LM2577T-ADJ/page-1", "LM2577T-ADJ")</f>
        <v>LM2577T-ADJ</v>
      </c>
      <c r="B8712" s="3" t="str">
        <f>HYPERLINK("https://www.773grp.com/manufacturer/national-semiconductor?pageNo=1", "National Semiconductor")</f>
        <v>National Semiconductor</v>
      </c>
      <c r="C8712" s="6">
        <v>2025</v>
      </c>
      <c r="D8712" s="7">
        <v>10.51</v>
      </c>
      <c r="E8712" t="s">
        <v>7</v>
      </c>
    </row>
    <row r="8713" spans="1:5" x14ac:dyDescent="0.25">
      <c r="A8713" t="str">
        <f>HYPERLINK("https://www.773grp.com/globalSearch/LM5119PSQE-NOPB/page-1", "LM5119PSQE-NOPB")</f>
        <v>LM5119PSQE-NOPB</v>
      </c>
      <c r="B8713" s="3" t="str">
        <f>HYPERLINK("https://www.773grp.com/manufacturer/national-semiconductor?pageNo=2", "National Semiconductor")</f>
        <v>National Semiconductor</v>
      </c>
      <c r="C8713" s="6">
        <v>4592</v>
      </c>
      <c r="D8713" s="7">
        <v>10.51</v>
      </c>
    </row>
    <row r="8714" spans="1:5" x14ac:dyDescent="0.25">
      <c r="A8714" t="str">
        <f>HYPERLINK("https://www.773grp.com/globalSearch/74ACT573DC/page-1", "74ACT573DC")</f>
        <v>74ACT573DC</v>
      </c>
      <c r="B8714" s="3" t="str">
        <f>HYPERLINK("https://www.773grp.com/manufacturer/national-semiconductor?pageNo=3", "National Semiconductor")</f>
        <v>National Semiconductor</v>
      </c>
      <c r="C8714" s="6">
        <v>2417</v>
      </c>
      <c r="D8714" s="7">
        <v>10.55</v>
      </c>
      <c r="E8714" t="s">
        <v>14</v>
      </c>
    </row>
    <row r="8715" spans="1:5" x14ac:dyDescent="0.25">
      <c r="A8715" t="str">
        <f>HYPERLINK("https://www.773grp.com/globalSearch/9338PCQR/page-1", "9338PCQR")</f>
        <v>9338PCQR</v>
      </c>
      <c r="B8715" s="3" t="str">
        <f>HYPERLINK("https://www.773grp.com/manufacturer/national-semiconductor?pageNo=4", "National Semiconductor")</f>
        <v>National Semiconductor</v>
      </c>
      <c r="C8715" s="6">
        <v>3168</v>
      </c>
      <c r="D8715" s="7">
        <v>10.55</v>
      </c>
    </row>
    <row r="8716" spans="1:5" x14ac:dyDescent="0.25">
      <c r="A8716" t="str">
        <f>HYPERLINK("https://www.773grp.com/globalSearch/93S16PC/page-1", "93S16PC")</f>
        <v>93S16PC</v>
      </c>
      <c r="B8716" s="3" t="str">
        <f>HYPERLINK("https://www.773grp.com/manufacturer/national-semiconductor?pageNo=5", "National Semiconductor")</f>
        <v>National Semiconductor</v>
      </c>
      <c r="C8716" s="6">
        <v>8504</v>
      </c>
      <c r="D8716" s="7">
        <v>10.55</v>
      </c>
      <c r="E8716" t="s">
        <v>26</v>
      </c>
    </row>
    <row r="8717" spans="1:5" x14ac:dyDescent="0.25">
      <c r="A8717" t="str">
        <f>HYPERLINK("https://www.773grp.com/globalSearch/9504DC/page-1", "9504DC")</f>
        <v>9504DC</v>
      </c>
      <c r="B8717" s="3" t="str">
        <f>HYPERLINK("https://www.773grp.com/manufacturer/national-semiconductor?pageNo=6", "National Semiconductor")</f>
        <v>National Semiconductor</v>
      </c>
      <c r="C8717" s="6">
        <v>8233</v>
      </c>
      <c r="D8717" s="7">
        <v>10.55</v>
      </c>
    </row>
    <row r="8718" spans="1:5" x14ac:dyDescent="0.25">
      <c r="A8718" t="str">
        <f>HYPERLINK("https://www.773grp.com/globalSearch/DM7122W-883/page-1", "DM7122W-883")</f>
        <v>DM7122W-883</v>
      </c>
      <c r="B8718" s="3" t="str">
        <f>HYPERLINK("https://www.773grp.com/manufacturer/national-semiconductor?pageNo=7", "National Semiconductor")</f>
        <v>National Semiconductor</v>
      </c>
      <c r="C8718" s="6">
        <v>78</v>
      </c>
      <c r="D8718" s="7">
        <v>10.55</v>
      </c>
    </row>
    <row r="8719" spans="1:5" x14ac:dyDescent="0.25">
      <c r="A8719" t="str">
        <f>HYPERLINK("https://www.773grp.com/globalSearch/DM74ALS520WM/page-1", "DM74ALS520WM")</f>
        <v>DM74ALS520WM</v>
      </c>
      <c r="B8719" s="3" t="str">
        <f>HYPERLINK("https://www.773grp.com/manufacturer/national-semiconductor?pageNo=8", "National Semiconductor")</f>
        <v>National Semiconductor</v>
      </c>
      <c r="C8719" s="6">
        <v>40</v>
      </c>
      <c r="D8719" s="7">
        <v>10.55</v>
      </c>
      <c r="E8719" t="s">
        <v>43</v>
      </c>
    </row>
    <row r="8720" spans="1:5" x14ac:dyDescent="0.25">
      <c r="A8720" t="str">
        <f>HYPERLINK("https://www.773grp.com/globalSearch/DS10BR254TSQ/page-1", "DS10BR254TSQ")</f>
        <v>DS10BR254TSQ</v>
      </c>
      <c r="B8720" s="3" t="str">
        <f>HYPERLINK("https://www.773grp.com/manufacturer/national-semiconductor?pageNo=9", "National Semiconductor")</f>
        <v>National Semiconductor</v>
      </c>
      <c r="C8720" s="6">
        <v>140</v>
      </c>
      <c r="D8720" s="7">
        <v>10.55</v>
      </c>
      <c r="E8720" t="s">
        <v>21</v>
      </c>
    </row>
    <row r="8721" spans="1:5" x14ac:dyDescent="0.25">
      <c r="A8721" t="str">
        <f>HYPERLINK("https://www.773grp.com/globalSearch/DS16EV5110ASQ/page-1", "DS16EV5110ASQ")</f>
        <v>DS16EV5110ASQ</v>
      </c>
      <c r="B8721" s="3" t="str">
        <f>HYPERLINK("https://www.773grp.com/manufacturer/national-semiconductor?pageNo=10", "National Semiconductor")</f>
        <v>National Semiconductor</v>
      </c>
      <c r="C8721" s="6">
        <v>2000</v>
      </c>
      <c r="D8721" s="7">
        <v>10.55</v>
      </c>
      <c r="E8721" t="s">
        <v>23</v>
      </c>
    </row>
    <row r="8722" spans="1:5" x14ac:dyDescent="0.25">
      <c r="A8722" t="str">
        <f>HYPERLINK("https://www.773grp.com/globalSearch/DS16EV5110ASQ-NOPB/page-1", "DS16EV5110ASQ-NOPB")</f>
        <v>DS16EV5110ASQ-NOPB</v>
      </c>
      <c r="B8722" s="3" t="str">
        <f>HYPERLINK("https://www.773grp.com/manufacturer/national-semiconductor?pageNo=11", "National Semiconductor")</f>
        <v>National Semiconductor</v>
      </c>
      <c r="C8722" s="6">
        <v>1650</v>
      </c>
      <c r="D8722" s="7">
        <v>10.55</v>
      </c>
    </row>
    <row r="8723" spans="1:5" x14ac:dyDescent="0.25">
      <c r="A8723" t="str">
        <f>HYPERLINK("https://www.773grp.com/globalSearch/LM4930ITL-NOPB/page-1", "LM4930ITL-NOPB")</f>
        <v>LM4930ITL-NOPB</v>
      </c>
      <c r="B8723" s="3" t="str">
        <f>HYPERLINK("https://www.773grp.com/manufacturer/national-semiconductor?pageNo=12", "National Semiconductor")</f>
        <v>National Semiconductor</v>
      </c>
      <c r="C8723" s="6">
        <v>735</v>
      </c>
      <c r="D8723" s="7">
        <v>10.55</v>
      </c>
      <c r="E8723" t="s">
        <v>23</v>
      </c>
    </row>
    <row r="8724" spans="1:5" x14ac:dyDescent="0.25">
      <c r="A8724" t="str">
        <f>HYPERLINK("https://www.773grp.com/globalSearch/LM4930LQ/page-1", "LM4930LQ")</f>
        <v>LM4930LQ</v>
      </c>
      <c r="B8724" s="3" t="str">
        <f>HYPERLINK("https://www.773grp.com/manufacturer/national-semiconductor?pageNo=13", "National Semiconductor")</f>
        <v>National Semiconductor</v>
      </c>
      <c r="C8724" s="6">
        <v>250</v>
      </c>
      <c r="D8724" s="7">
        <v>10.55</v>
      </c>
      <c r="E8724" t="s">
        <v>23</v>
      </c>
    </row>
    <row r="8725" spans="1:5" x14ac:dyDescent="0.25">
      <c r="A8725" t="str">
        <f>HYPERLINK("https://www.773grp.com/globalSearch/MM54C20W-883C/page-1", "MM54C20W-883C")</f>
        <v>MM54C20W-883C</v>
      </c>
      <c r="B8725" s="3" t="str">
        <f>HYPERLINK("https://www.773grp.com/manufacturer/national-semiconductor?pageNo=14", "National Semiconductor")</f>
        <v>National Semiconductor</v>
      </c>
      <c r="C8725" s="6">
        <v>60</v>
      </c>
      <c r="D8725" s="7">
        <v>10.55</v>
      </c>
    </row>
    <row r="8726" spans="1:5" x14ac:dyDescent="0.25">
      <c r="A8726" t="str">
        <f>HYPERLINK("https://www.773grp.com/globalSearch/DS16EV5110ASQ-NOPB/page-1", "DS16EV5110ASQ-NOPB")</f>
        <v>DS16EV5110ASQ-NOPB</v>
      </c>
      <c r="B8726" s="3" t="str">
        <f>HYPERLINK("https://www.773grp.com/manufacturer/national-semiconductor?pageNo=15", "National Semiconductor")</f>
        <v>National Semiconductor</v>
      </c>
      <c r="C8726" s="6">
        <v>284</v>
      </c>
      <c r="D8726" s="7">
        <v>10.55</v>
      </c>
    </row>
    <row r="8727" spans="1:5" x14ac:dyDescent="0.25">
      <c r="A8727" t="str">
        <f>HYPERLINK("https://www.773grp.com/globalSearch/LM4930ITL-NOPB/page-1", "LM4930ITL-NOPB")</f>
        <v>LM4930ITL-NOPB</v>
      </c>
      <c r="B8727" s="3" t="str">
        <f>HYPERLINK("https://www.773grp.com/manufacturer/national-semiconductor?pageNo=16", "National Semiconductor")</f>
        <v>National Semiconductor</v>
      </c>
      <c r="C8727" s="6">
        <v>250</v>
      </c>
      <c r="D8727" s="7">
        <v>10.55</v>
      </c>
      <c r="E8727" t="s">
        <v>23</v>
      </c>
    </row>
    <row r="8728" spans="1:5" x14ac:dyDescent="0.25">
      <c r="A8728" t="str">
        <f>HYPERLINK("https://www.773grp.com/globalSearch/54F158ADM/page-1", "54F158ADM")</f>
        <v>54F158ADM</v>
      </c>
      <c r="B8728" s="3" t="str">
        <f>HYPERLINK("https://www.773grp.com/manufacturer/national-semiconductor?pageNo=17", "National Semiconductor")</f>
        <v>National Semiconductor</v>
      </c>
      <c r="C8728" s="6">
        <v>11</v>
      </c>
      <c r="D8728" s="7">
        <v>10.58</v>
      </c>
      <c r="E8728" t="s">
        <v>20</v>
      </c>
    </row>
    <row r="8729" spans="1:5" x14ac:dyDescent="0.25">
      <c r="A8729" t="str">
        <f>HYPERLINK("https://www.773grp.com/globalSearch/54F163ADM/page-1", "54F163ADM")</f>
        <v>54F163ADM</v>
      </c>
      <c r="B8729" s="3" t="str">
        <f>HYPERLINK("https://www.773grp.com/manufacturer/national-semiconductor?pageNo=18", "National Semiconductor")</f>
        <v>National Semiconductor</v>
      </c>
      <c r="C8729" s="6">
        <v>2351</v>
      </c>
      <c r="D8729" s="7">
        <v>10.58</v>
      </c>
      <c r="E8729" t="s">
        <v>26</v>
      </c>
    </row>
    <row r="8730" spans="1:5" x14ac:dyDescent="0.25">
      <c r="A8730" t="str">
        <f>HYPERLINK("https://www.773grp.com/globalSearch/SCAN90004TVS-NOPB/page-1", "SCAN90004TVS-NOPB")</f>
        <v>SCAN90004TVS-NOPB</v>
      </c>
      <c r="B8730" s="3" t="str">
        <f>HYPERLINK("https://www.773grp.com/manufacturer/national-semiconductor?pageNo=19", "National Semiconductor")</f>
        <v>National Semiconductor</v>
      </c>
      <c r="C8730" s="6">
        <v>422</v>
      </c>
      <c r="D8730" s="7">
        <v>10.58</v>
      </c>
    </row>
    <row r="8731" spans="1:5" x14ac:dyDescent="0.25">
      <c r="A8731" t="str">
        <f>HYPERLINK("https://www.773grp.com/globalSearch/SCAN90004TVS-NOPB/page-1", "SCAN90004TVS-NOPB")</f>
        <v>SCAN90004TVS-NOPB</v>
      </c>
      <c r="B8731" s="3" t="str">
        <f>HYPERLINK("https://www.773grp.com/manufacturer/national-semiconductor?pageNo=20", "National Semiconductor")</f>
        <v>National Semiconductor</v>
      </c>
      <c r="C8731" s="6">
        <v>393</v>
      </c>
      <c r="D8731" s="7">
        <v>10.58</v>
      </c>
    </row>
    <row r="8732" spans="1:5" x14ac:dyDescent="0.25">
      <c r="A8732" t="str">
        <f>HYPERLINK("https://www.773grp.com/globalSearch/ADC0832BCN/page-1", "ADC0832BCN")</f>
        <v>ADC0832BCN</v>
      </c>
      <c r="B8732" s="3" t="str">
        <f>HYPERLINK("https://www.773grp.com/manufacturer/national-semiconductor?pageNo=21", "National Semiconductor")</f>
        <v>National Semiconductor</v>
      </c>
      <c r="C8732" s="6">
        <v>1791</v>
      </c>
      <c r="D8732" s="7">
        <v>10.6</v>
      </c>
      <c r="E8732" t="s">
        <v>39</v>
      </c>
    </row>
    <row r="8733" spans="1:5" x14ac:dyDescent="0.25">
      <c r="A8733" t="str">
        <f>HYPERLINK("https://www.773grp.com/globalSearch/DS25BR400TSQ-NOPB/page-1", "DS25BR400TSQ-NOPB")</f>
        <v>DS25BR400TSQ-NOPB</v>
      </c>
      <c r="B8733" s="3" t="str">
        <f>HYPERLINK("https://www.773grp.com/manufacturer/national-semiconductor?pageNo=22", "National Semiconductor")</f>
        <v>National Semiconductor</v>
      </c>
      <c r="C8733" s="6">
        <v>500</v>
      </c>
      <c r="D8733" s="7">
        <v>10.6</v>
      </c>
    </row>
    <row r="8734" spans="1:5" x14ac:dyDescent="0.25">
      <c r="A8734" t="str">
        <f>HYPERLINK("https://www.773grp.com/globalSearch/LMH6553MR-NOPB/page-1", "LMH6553MR-NOPB")</f>
        <v>LMH6553MR-NOPB</v>
      </c>
      <c r="B8734" s="3" t="str">
        <f>HYPERLINK("https://www.773grp.com/manufacturer/national-semiconductor?pageNo=23", "National Semiconductor")</f>
        <v>National Semiconductor</v>
      </c>
      <c r="C8734" s="6">
        <v>840</v>
      </c>
      <c r="D8734" s="7">
        <v>10.6</v>
      </c>
    </row>
    <row r="8735" spans="1:5" x14ac:dyDescent="0.25">
      <c r="A8735" t="str">
        <f>HYPERLINK("https://www.773grp.com/globalSearch/MM74HC240J/page-1", "MM74HC240J")</f>
        <v>MM74HC240J</v>
      </c>
      <c r="B8735" s="3" t="str">
        <f>HYPERLINK("https://www.773grp.com/manufacturer/national-semiconductor?pageNo=24", "National Semiconductor")</f>
        <v>National Semiconductor</v>
      </c>
      <c r="C8735" s="6">
        <v>611</v>
      </c>
      <c r="D8735" s="7">
        <v>10.6</v>
      </c>
      <c r="E8735" t="s">
        <v>14</v>
      </c>
    </row>
    <row r="8736" spans="1:5" x14ac:dyDescent="0.25">
      <c r="A8736" t="str">
        <f>HYPERLINK("https://www.773grp.com/globalSearch/ADC10065CIMTX-NOPB/page-1", "ADC10065CIMTX-NOPB")</f>
        <v>ADC10065CIMTX-NOPB</v>
      </c>
      <c r="B8736" s="3" t="str">
        <f>HYPERLINK("https://www.773grp.com/manufacturer/national-semiconductor?pageNo=25", "National Semiconductor")</f>
        <v>National Semiconductor</v>
      </c>
      <c r="C8736" s="6">
        <v>5000</v>
      </c>
      <c r="D8736" s="7">
        <v>10.6</v>
      </c>
    </row>
    <row r="8737" spans="1:5" x14ac:dyDescent="0.25">
      <c r="A8737" t="str">
        <f>HYPERLINK("https://www.773grp.com/globalSearch/DS25BR400TSQ-NOPB/page-1", "DS25BR400TSQ-NOPB")</f>
        <v>DS25BR400TSQ-NOPB</v>
      </c>
      <c r="B8737" s="3" t="str">
        <f>HYPERLINK("https://www.773grp.com/manufacturer/national-semiconductor?pageNo=26", "National Semiconductor")</f>
        <v>National Semiconductor</v>
      </c>
      <c r="C8737" s="6">
        <v>495</v>
      </c>
      <c r="D8737" s="7">
        <v>10.6</v>
      </c>
    </row>
    <row r="8738" spans="1:5" x14ac:dyDescent="0.25">
      <c r="A8738" t="str">
        <f>HYPERLINK("https://www.773grp.com/globalSearch/LM324J/page-1", "LM324J")</f>
        <v>LM324J</v>
      </c>
      <c r="B8738" s="3" t="str">
        <f>HYPERLINK("https://www.773grp.com/manufacturer/national-semiconductor?pageNo=27", "National Semiconductor")</f>
        <v>National Semiconductor</v>
      </c>
      <c r="C8738" s="6">
        <v>61</v>
      </c>
      <c r="D8738" s="7">
        <v>10.6</v>
      </c>
    </row>
    <row r="8739" spans="1:5" x14ac:dyDescent="0.25">
      <c r="A8739" t="str">
        <f>HYPERLINK("https://www.773grp.com/globalSearch/LMH6553MR-NOPB/page-1", "LMH6553MR-NOPB")</f>
        <v>LMH6553MR-NOPB</v>
      </c>
      <c r="B8739" s="3" t="str">
        <f>HYPERLINK("https://www.773grp.com/manufacturer/national-semiconductor?pageNo=28", "National Semiconductor")</f>
        <v>National Semiconductor</v>
      </c>
      <c r="C8739" s="6">
        <v>266</v>
      </c>
      <c r="D8739" s="7">
        <v>10.6</v>
      </c>
    </row>
    <row r="8740" spans="1:5" x14ac:dyDescent="0.25">
      <c r="A8740" t="str">
        <f>HYPERLINK("https://www.773grp.com/globalSearch/CD4014BMW-883/page-1", "CD4014BMW-883")</f>
        <v>CD4014BMW-883</v>
      </c>
      <c r="B8740" s="3" t="str">
        <f>HYPERLINK("https://www.773grp.com/manufacturer/national-semiconductor?pageNo=29", "National Semiconductor")</f>
        <v>National Semiconductor</v>
      </c>
      <c r="C8740" s="6">
        <v>86</v>
      </c>
      <c r="D8740" s="7">
        <v>10.64</v>
      </c>
      <c r="E8740" t="s">
        <v>32</v>
      </c>
    </row>
    <row r="8741" spans="1:5" x14ac:dyDescent="0.25">
      <c r="A8741" t="str">
        <f>HYPERLINK("https://www.773grp.com/globalSearch/LM3S2016-IQC50-A2/page-1", "LM3S2016-IQC50-A2")</f>
        <v>LM3S2016-IQC50-A2</v>
      </c>
      <c r="B8741" s="3" t="str">
        <f>HYPERLINK("https://www.773grp.com/manufacturer/national-semiconductor?pageNo=30", "National Semiconductor")</f>
        <v>National Semiconductor</v>
      </c>
      <c r="C8741" s="6">
        <v>11090</v>
      </c>
      <c r="D8741" s="7">
        <v>10.64</v>
      </c>
    </row>
    <row r="8742" spans="1:5" x14ac:dyDescent="0.25">
      <c r="A8742" t="str">
        <f>HYPERLINK("https://www.773grp.com/globalSearch/LM5576QMH-NOPB/page-1", "LM5576QMH-NOPB")</f>
        <v>LM5576QMH-NOPB</v>
      </c>
      <c r="B8742" s="3" t="str">
        <f>HYPERLINK("https://www.773grp.com/manufacturer/national-semiconductor?pageNo=31", "National Semiconductor")</f>
        <v>National Semiconductor</v>
      </c>
      <c r="C8742" s="6">
        <v>193</v>
      </c>
      <c r="D8742" s="7">
        <v>10.64</v>
      </c>
    </row>
    <row r="8743" spans="1:5" x14ac:dyDescent="0.25">
      <c r="A8743" t="str">
        <f>HYPERLINK("https://www.773grp.com/globalSearch/93S46PC/page-1", "93S46PC")</f>
        <v>93S46PC</v>
      </c>
      <c r="B8743" s="3" t="str">
        <f>HYPERLINK("https://www.773grp.com/manufacturer/national-semiconductor?pageNo=32", "National Semiconductor")</f>
        <v>National Semiconductor</v>
      </c>
      <c r="C8743" s="6">
        <v>2698</v>
      </c>
      <c r="D8743" s="7">
        <v>10.66</v>
      </c>
    </row>
    <row r="8744" spans="1:5" x14ac:dyDescent="0.25">
      <c r="A8744" t="str">
        <f>HYPERLINK("https://www.773grp.com/globalSearch/LM2576HVS-3.3/page-1", "LM2576HVS-3.3")</f>
        <v>LM2576HVS-3.3</v>
      </c>
      <c r="B8744" s="3" t="str">
        <f>HYPERLINK("https://www.773grp.com/manufacturer/national-semiconductor?pageNo=33", "National Semiconductor")</f>
        <v>National Semiconductor</v>
      </c>
      <c r="C8744" s="6">
        <v>2566</v>
      </c>
      <c r="D8744" s="7">
        <v>10.66</v>
      </c>
      <c r="E8744" t="s">
        <v>7</v>
      </c>
    </row>
    <row r="8745" spans="1:5" x14ac:dyDescent="0.25">
      <c r="A8745" t="str">
        <f>HYPERLINK("https://www.773grp.com/globalSearch/LM2576HVS-5.0/page-1", "LM2576HVS-5.0")</f>
        <v>LM2576HVS-5.0</v>
      </c>
      <c r="B8745" s="3" t="str">
        <f>HYPERLINK("https://www.773grp.com/manufacturer/national-semiconductor?pageNo=34", "National Semiconductor")</f>
        <v>National Semiconductor</v>
      </c>
      <c r="C8745" s="6">
        <v>315</v>
      </c>
      <c r="D8745" s="7">
        <v>10.66</v>
      </c>
      <c r="E8745" t="s">
        <v>7</v>
      </c>
    </row>
    <row r="8746" spans="1:5" x14ac:dyDescent="0.25">
      <c r="A8746" t="str">
        <f>HYPERLINK("https://www.773grp.com/globalSearch/LM2576HVS-5.0/page-1", "LM2576HVS-5.0")</f>
        <v>LM2576HVS-5.0</v>
      </c>
      <c r="B8746" s="3" t="str">
        <f>HYPERLINK("https://www.773grp.com/manufacturer/national-semiconductor?pageNo=35", "National Semiconductor")</f>
        <v>National Semiconductor</v>
      </c>
      <c r="C8746" s="6">
        <v>274</v>
      </c>
      <c r="D8746" s="7">
        <v>10.66</v>
      </c>
      <c r="E8746" t="s">
        <v>7</v>
      </c>
    </row>
    <row r="8747" spans="1:5" x14ac:dyDescent="0.25">
      <c r="A8747" t="str">
        <f>HYPERLINK("https://www.773grp.com/globalSearch/54LS299FM/page-1", "54LS299FM")</f>
        <v>54LS299FM</v>
      </c>
      <c r="B8747" s="3" t="str">
        <f>HYPERLINK("https://www.773grp.com/manufacturer/national-semiconductor?pageNo=36", "National Semiconductor")</f>
        <v>National Semiconductor</v>
      </c>
      <c r="C8747" s="6">
        <v>165</v>
      </c>
      <c r="D8747" s="7">
        <v>10.69</v>
      </c>
    </row>
    <row r="8748" spans="1:5" x14ac:dyDescent="0.25">
      <c r="A8748" t="str">
        <f>HYPERLINK("https://www.773grp.com/globalSearch/LM1208N/page-1", "LM1208N")</f>
        <v>LM1208N</v>
      </c>
      <c r="B8748" s="3" t="str">
        <f>HYPERLINK("https://www.773grp.com/manufacturer/national-semiconductor?pageNo=37", "National Semiconductor")</f>
        <v>National Semiconductor</v>
      </c>
      <c r="C8748" s="6">
        <v>19</v>
      </c>
      <c r="D8748" s="7">
        <v>10.69</v>
      </c>
      <c r="E8748" t="s">
        <v>18</v>
      </c>
    </row>
    <row r="8749" spans="1:5" x14ac:dyDescent="0.25">
      <c r="A8749" t="str">
        <f>HYPERLINK("https://www.773grp.com/globalSearch/LM4550BVH-NOPB/page-1", "LM4550BVH-NOPB")</f>
        <v>LM4550BVH-NOPB</v>
      </c>
      <c r="B8749" s="3" t="str">
        <f>HYPERLINK("https://www.773grp.com/manufacturer/national-semiconductor?pageNo=38", "National Semiconductor")</f>
        <v>National Semiconductor</v>
      </c>
      <c r="C8749" s="6">
        <v>182</v>
      </c>
      <c r="D8749" s="7">
        <v>10.69</v>
      </c>
      <c r="E8749" t="s">
        <v>23</v>
      </c>
    </row>
    <row r="8750" spans="1:5" x14ac:dyDescent="0.25">
      <c r="A8750" t="str">
        <f>HYPERLINK("https://www.773grp.com/globalSearch/LM21212MHE-1-NOPB/page-1", "LM21212MHE-1-NOPB")</f>
        <v>LM21212MHE-1-NOPB</v>
      </c>
      <c r="B8750" s="3" t="str">
        <f>HYPERLINK("https://www.773grp.com/manufacturer/national-semiconductor?pageNo=39", "National Semiconductor")</f>
        <v>National Semiconductor</v>
      </c>
      <c r="C8750" s="6">
        <v>390</v>
      </c>
      <c r="D8750" s="7">
        <v>10.69</v>
      </c>
    </row>
    <row r="8751" spans="1:5" x14ac:dyDescent="0.25">
      <c r="A8751" t="str">
        <f>HYPERLINK("https://www.773grp.com/globalSearch/LM21212MHE-2-NOPB/page-1", "LM21212MHE-2-NOPB")</f>
        <v>LM21212MHE-2-NOPB</v>
      </c>
      <c r="B8751" s="3" t="str">
        <f>HYPERLINK("https://www.773grp.com/manufacturer/national-semiconductor?pageNo=40", "National Semiconductor")</f>
        <v>National Semiconductor</v>
      </c>
      <c r="C8751" s="6">
        <v>1226</v>
      </c>
      <c r="D8751" s="7">
        <v>10.69</v>
      </c>
    </row>
    <row r="8752" spans="1:5" x14ac:dyDescent="0.25">
      <c r="A8752" t="str">
        <f>HYPERLINK("https://www.773grp.com/globalSearch/LM4550BVH-NOPB/page-1", "LM4550BVH-NOPB")</f>
        <v>LM4550BVH-NOPB</v>
      </c>
      <c r="B8752" s="3" t="str">
        <f>HYPERLINK("https://www.773grp.com/manufacturer/national-semiconductor?pageNo=41", "National Semiconductor")</f>
        <v>National Semiconductor</v>
      </c>
      <c r="C8752" s="6">
        <v>986</v>
      </c>
      <c r="D8752" s="7">
        <v>10.69</v>
      </c>
      <c r="E8752" t="s">
        <v>23</v>
      </c>
    </row>
    <row r="8753" spans="1:5" x14ac:dyDescent="0.25">
      <c r="A8753" t="str">
        <f>HYPERLINK("https://www.773grp.com/globalSearch/100104FC/page-1", "100104FC")</f>
        <v>100104FC</v>
      </c>
      <c r="B8753" s="3" t="str">
        <f>HYPERLINK("https://www.773grp.com/manufacturer/national-semiconductor?pageNo=42", "National Semiconductor")</f>
        <v>National Semiconductor</v>
      </c>
      <c r="C8753" s="6">
        <v>693</v>
      </c>
      <c r="D8753" s="7">
        <v>10.71</v>
      </c>
      <c r="E8753" t="s">
        <v>31</v>
      </c>
    </row>
    <row r="8754" spans="1:5" x14ac:dyDescent="0.25">
      <c r="A8754" t="str">
        <f>HYPERLINK("https://www.773grp.com/globalSearch/96S02PC/page-1", "96S02PC")</f>
        <v>96S02PC</v>
      </c>
      <c r="B8754" s="3" t="str">
        <f>HYPERLINK("https://www.773grp.com/manufacturer/national-semiconductor?pageNo=43", "National Semiconductor")</f>
        <v>National Semiconductor</v>
      </c>
      <c r="C8754" s="6">
        <v>4191</v>
      </c>
      <c r="D8754" s="7">
        <v>10.71</v>
      </c>
    </row>
    <row r="8755" spans="1:5" x14ac:dyDescent="0.25">
      <c r="A8755" t="str">
        <f>HYPERLINK("https://www.773grp.com/globalSearch/DS92LV040ATLQA-NOPB/page-1", "DS92LV040ATLQA-NOPB")</f>
        <v>DS92LV040ATLQA-NOPB</v>
      </c>
      <c r="B8755" s="3" t="str">
        <f>HYPERLINK("https://www.773grp.com/manufacturer/national-semiconductor?pageNo=44", "National Semiconductor")</f>
        <v>National Semiconductor</v>
      </c>
      <c r="C8755" s="6">
        <v>167</v>
      </c>
      <c r="D8755" s="7">
        <v>10.75</v>
      </c>
      <c r="E8755" t="s">
        <v>21</v>
      </c>
    </row>
    <row r="8756" spans="1:5" x14ac:dyDescent="0.25">
      <c r="A8756" t="str">
        <f>HYPERLINK("https://www.773grp.com/globalSearch/LM6144AIMX-NOPB/page-1", "LM6144AIMX-NOPB")</f>
        <v>LM6144AIMX-NOPB</v>
      </c>
      <c r="B8756" s="3" t="str">
        <f>HYPERLINK("https://www.773grp.com/manufacturer/national-semiconductor?pageNo=45", "National Semiconductor")</f>
        <v>National Semiconductor</v>
      </c>
      <c r="C8756" s="6">
        <v>5000</v>
      </c>
      <c r="D8756" s="7">
        <v>10.75</v>
      </c>
      <c r="E8756" t="s">
        <v>13</v>
      </c>
    </row>
    <row r="8757" spans="1:5" x14ac:dyDescent="0.25">
      <c r="A8757" t="str">
        <f>HYPERLINK("https://www.773grp.com/globalSearch/LMH0002SQE/page-1", "LMH0002SQE")</f>
        <v>LMH0002SQE</v>
      </c>
      <c r="B8757" s="3" t="str">
        <f>HYPERLINK("https://www.773grp.com/manufacturer/national-semiconductor?pageNo=46", "National Semiconductor")</f>
        <v>National Semiconductor</v>
      </c>
      <c r="C8757" s="6">
        <v>450</v>
      </c>
      <c r="D8757" s="7">
        <v>10.75</v>
      </c>
    </row>
    <row r="8758" spans="1:5" x14ac:dyDescent="0.25">
      <c r="A8758" t="str">
        <f>HYPERLINK("https://www.773grp.com/globalSearch/LP5550SQ-NOPB/page-1", "LP5550SQ-NOPB")</f>
        <v>LP5550SQ-NOPB</v>
      </c>
      <c r="B8758" s="3" t="str">
        <f>HYPERLINK("https://www.773grp.com/manufacturer/national-semiconductor?pageNo=47", "National Semiconductor")</f>
        <v>National Semiconductor</v>
      </c>
      <c r="C8758" s="6">
        <v>683</v>
      </c>
      <c r="D8758" s="7">
        <v>10.75</v>
      </c>
    </row>
    <row r="8759" spans="1:5" x14ac:dyDescent="0.25">
      <c r="A8759" t="str">
        <f>HYPERLINK("https://www.773grp.com/globalSearch/DS92LV040ATLQA-NOPB/page-1", "DS92LV040ATLQA-NOPB")</f>
        <v>DS92LV040ATLQA-NOPB</v>
      </c>
      <c r="B8759" s="3" t="str">
        <f>HYPERLINK("https://www.773grp.com/manufacturer/national-semiconductor?pageNo=48", "National Semiconductor")</f>
        <v>National Semiconductor</v>
      </c>
      <c r="C8759" s="6">
        <v>111</v>
      </c>
      <c r="D8759" s="7">
        <v>10.75</v>
      </c>
      <c r="E8759" t="s">
        <v>21</v>
      </c>
    </row>
    <row r="8760" spans="1:5" x14ac:dyDescent="0.25">
      <c r="A8760" t="str">
        <f>HYPERLINK("https://www.773grp.com/globalSearch/DS92LV040ATLQA-NOPB/page-1", "DS92LV040ATLQA-NOPB")</f>
        <v>DS92LV040ATLQA-NOPB</v>
      </c>
      <c r="B8760" s="3" t="str">
        <f>HYPERLINK("https://www.773grp.com/manufacturer/national-semiconductor?pageNo=49", "National Semiconductor")</f>
        <v>National Semiconductor</v>
      </c>
      <c r="C8760" s="6">
        <v>16</v>
      </c>
      <c r="D8760" s="7">
        <v>10.75</v>
      </c>
      <c r="E8760" t="s">
        <v>21</v>
      </c>
    </row>
    <row r="8761" spans="1:5" x14ac:dyDescent="0.25">
      <c r="A8761" t="str">
        <f>HYPERLINK("https://www.773grp.com/globalSearch/EMB1432QSQE-NOPB/page-1", "EMB1432QSQE-NOPB")</f>
        <v>EMB1432QSQE-NOPB</v>
      </c>
      <c r="B8761" s="3" t="str">
        <f>HYPERLINK("https://www.773grp.com/manufacturer/national-semiconductor?pageNo=50", "National Semiconductor")</f>
        <v>National Semiconductor</v>
      </c>
      <c r="C8761" s="6">
        <v>250</v>
      </c>
      <c r="D8761" s="7">
        <v>10.75</v>
      </c>
    </row>
    <row r="8762" spans="1:5" x14ac:dyDescent="0.25">
      <c r="A8762" t="str">
        <f>HYPERLINK("https://www.773grp.com/globalSearch/LM6144AIMX-NOPB/page-1", "LM6144AIMX-NOPB")</f>
        <v>LM6144AIMX-NOPB</v>
      </c>
      <c r="B8762" s="3" t="str">
        <f>HYPERLINK("https://www.773grp.com/manufacturer/national-semiconductor?pageNo=51", "National Semiconductor")</f>
        <v>National Semiconductor</v>
      </c>
      <c r="C8762" s="6">
        <v>7500</v>
      </c>
      <c r="D8762" s="7">
        <v>10.75</v>
      </c>
      <c r="E8762" t="s">
        <v>13</v>
      </c>
    </row>
    <row r="8763" spans="1:5" x14ac:dyDescent="0.25">
      <c r="A8763" t="str">
        <f>HYPERLINK("https://www.773grp.com/globalSearch/ADC10158CIWM/page-1", "ADC10158CIWM")</f>
        <v>ADC10158CIWM</v>
      </c>
      <c r="B8763" s="3" t="str">
        <f>HYPERLINK("https://www.773grp.com/manufacturer/national-semiconductor?pageNo=52", "National Semiconductor")</f>
        <v>National Semiconductor</v>
      </c>
      <c r="C8763" s="6">
        <v>877</v>
      </c>
      <c r="D8763" s="7">
        <v>10.76</v>
      </c>
      <c r="E8763" t="s">
        <v>39</v>
      </c>
    </row>
    <row r="8764" spans="1:5" x14ac:dyDescent="0.25">
      <c r="A8764" t="str">
        <f>HYPERLINK("https://www.773grp.com/globalSearch/ADC12130CIWM-NOPB/page-1", "ADC12130CIWM-NOPB")</f>
        <v>ADC12130CIWM-NOPB</v>
      </c>
      <c r="B8764" s="3" t="str">
        <f>HYPERLINK("https://www.773grp.com/manufacturer/national-semiconductor?pageNo=53", "National Semiconductor")</f>
        <v>National Semiconductor</v>
      </c>
      <c r="C8764" s="6">
        <v>14</v>
      </c>
      <c r="D8764" s="7">
        <v>10.76</v>
      </c>
      <c r="E8764" t="s">
        <v>39</v>
      </c>
    </row>
    <row r="8765" spans="1:5" x14ac:dyDescent="0.25">
      <c r="A8765" t="str">
        <f>HYPERLINK("https://www.773grp.com/globalSearch/LM2422TE-NOPB/page-1", "LM2422TE-NOPB")</f>
        <v>LM2422TE-NOPB</v>
      </c>
      <c r="B8765" s="3" t="str">
        <f>HYPERLINK("https://www.773grp.com/manufacturer/national-semiconductor?pageNo=54", "National Semiconductor")</f>
        <v>National Semiconductor</v>
      </c>
      <c r="C8765" s="6">
        <v>118</v>
      </c>
      <c r="D8765" s="7">
        <v>10.76</v>
      </c>
      <c r="E8765" t="s">
        <v>18</v>
      </c>
    </row>
    <row r="8766" spans="1:5" x14ac:dyDescent="0.25">
      <c r="A8766" t="str">
        <f>HYPERLINK("https://www.773grp.com/globalSearch/ADC12130CIWM-NOPB/page-1", "ADC12130CIWM-NOPB")</f>
        <v>ADC12130CIWM-NOPB</v>
      </c>
      <c r="B8766" s="3" t="str">
        <f>HYPERLINK("https://www.773grp.com/manufacturer/national-semiconductor?pageNo=55", "National Semiconductor")</f>
        <v>National Semiconductor</v>
      </c>
      <c r="C8766" s="6">
        <v>230</v>
      </c>
      <c r="D8766" s="7">
        <v>10.76</v>
      </c>
      <c r="E8766" t="s">
        <v>39</v>
      </c>
    </row>
    <row r="8767" spans="1:5" x14ac:dyDescent="0.25">
      <c r="A8767" t="str">
        <f>HYPERLINK("https://www.773grp.com/globalSearch/LM2422TE-NOPB/page-1", "LM2422TE-NOPB")</f>
        <v>LM2422TE-NOPB</v>
      </c>
      <c r="B8767" s="3" t="str">
        <f>HYPERLINK("https://www.773grp.com/manufacturer/national-semiconductor?pageNo=56", "National Semiconductor")</f>
        <v>National Semiconductor</v>
      </c>
      <c r="C8767" s="6">
        <v>1289</v>
      </c>
      <c r="D8767" s="7">
        <v>10.76</v>
      </c>
      <c r="E8767" t="s">
        <v>18</v>
      </c>
    </row>
    <row r="8768" spans="1:5" x14ac:dyDescent="0.25">
      <c r="A8768" t="str">
        <f>HYPERLINK("https://www.773grp.com/globalSearch/LMH6515SQ/page-1", "LMH6515SQ")</f>
        <v>LMH6515SQ</v>
      </c>
      <c r="B8768" s="3" t="str">
        <f>HYPERLINK("https://www.773grp.com/manufacturer/national-semiconductor?pageNo=57", "National Semiconductor")</f>
        <v>National Semiconductor</v>
      </c>
      <c r="C8768" s="6">
        <v>1000</v>
      </c>
      <c r="D8768" s="7">
        <v>10.8</v>
      </c>
      <c r="E8768" t="s">
        <v>13</v>
      </c>
    </row>
    <row r="8769" spans="1:5" x14ac:dyDescent="0.25">
      <c r="A8769" t="str">
        <f>HYPERLINK("https://www.773grp.com/globalSearch/LMH6515SQ-NOPB/page-1", "LMH6515SQ-NOPB")</f>
        <v>LMH6515SQ-NOPB</v>
      </c>
      <c r="B8769" s="3" t="str">
        <f>HYPERLINK("https://www.773grp.com/manufacturer/national-semiconductor?pageNo=58", "National Semiconductor")</f>
        <v>National Semiconductor</v>
      </c>
      <c r="C8769" s="6">
        <v>3228</v>
      </c>
      <c r="D8769" s="7">
        <v>10.8</v>
      </c>
    </row>
    <row r="8770" spans="1:5" x14ac:dyDescent="0.25">
      <c r="A8770" t="str">
        <f>HYPERLINK("https://www.773grp.com/globalSearch/LMH6515SQ-NOPB/page-1", "LMH6515SQ-NOPB")</f>
        <v>LMH6515SQ-NOPB</v>
      </c>
      <c r="B8770" s="3" t="str">
        <f>HYPERLINK("https://www.773grp.com/manufacturer/national-semiconductor?pageNo=59", "National Semiconductor")</f>
        <v>National Semiconductor</v>
      </c>
      <c r="C8770" s="6">
        <v>365</v>
      </c>
      <c r="D8770" s="7">
        <v>10.8</v>
      </c>
    </row>
    <row r="8771" spans="1:5" x14ac:dyDescent="0.25">
      <c r="A8771" t="str">
        <f>HYPERLINK("https://www.773grp.com/globalSearch/9009PC/page-1", "9009PC")</f>
        <v>9009PC</v>
      </c>
      <c r="B8771" s="3" t="str">
        <f>HYPERLINK("https://www.773grp.com/manufacturer/national-semiconductor?pageNo=60", "National Semiconductor")</f>
        <v>National Semiconductor</v>
      </c>
      <c r="C8771" s="6">
        <v>3276</v>
      </c>
      <c r="D8771" s="7">
        <v>10.84</v>
      </c>
    </row>
    <row r="8772" spans="1:5" x14ac:dyDescent="0.25">
      <c r="A8772" t="str">
        <f>HYPERLINK("https://www.773grp.com/globalSearch/935DC/page-1", "935DC")</f>
        <v>935DC</v>
      </c>
      <c r="B8772" s="3" t="str">
        <f>HYPERLINK("https://www.773grp.com/manufacturer/national-semiconductor?pageNo=61", "National Semiconductor")</f>
        <v>National Semiconductor</v>
      </c>
      <c r="C8772" s="6">
        <v>1113</v>
      </c>
      <c r="D8772" s="7">
        <v>10.84</v>
      </c>
    </row>
    <row r="8773" spans="1:5" x14ac:dyDescent="0.25">
      <c r="A8773" t="str">
        <f>HYPERLINK("https://www.773grp.com/globalSearch/LM760CN/page-1", "LM760CN")</f>
        <v>LM760CN</v>
      </c>
      <c r="B8773" s="3" t="str">
        <f>HYPERLINK("https://www.773grp.com/manufacturer/national-semiconductor?pageNo=62", "National Semiconductor")</f>
        <v>National Semiconductor</v>
      </c>
      <c r="C8773" s="6">
        <v>2</v>
      </c>
      <c r="D8773" s="7">
        <v>10.84</v>
      </c>
      <c r="E8773" t="s">
        <v>9</v>
      </c>
    </row>
    <row r="8774" spans="1:5" x14ac:dyDescent="0.25">
      <c r="A8774" t="str">
        <f>HYPERLINK("https://www.773grp.com/globalSearch/LMH6555SQ-NOPB/page-1", "LMH6555SQ-NOPB")</f>
        <v>LMH6555SQ-NOPB</v>
      </c>
      <c r="B8774" s="3" t="str">
        <f>HYPERLINK("https://www.773grp.com/manufacturer/national-semiconductor?pageNo=63", "National Semiconductor")</f>
        <v>National Semiconductor</v>
      </c>
      <c r="C8774" s="6">
        <v>3990</v>
      </c>
      <c r="D8774" s="7">
        <v>10.84</v>
      </c>
      <c r="E8774" t="s">
        <v>21</v>
      </c>
    </row>
    <row r="8775" spans="1:5" x14ac:dyDescent="0.25">
      <c r="A8775" t="str">
        <f>HYPERLINK("https://www.773grp.com/globalSearch/LMH6555SQ-NOPB/page-1", "LMH6555SQ-NOPB")</f>
        <v>LMH6555SQ-NOPB</v>
      </c>
      <c r="B8775" s="3" t="str">
        <f>HYPERLINK("https://www.773grp.com/manufacturer/national-semiconductor?pageNo=64", "National Semiconductor")</f>
        <v>National Semiconductor</v>
      </c>
      <c r="C8775" s="6">
        <v>385</v>
      </c>
      <c r="D8775" s="7">
        <v>10.84</v>
      </c>
      <c r="E8775" t="s">
        <v>21</v>
      </c>
    </row>
    <row r="8776" spans="1:5" x14ac:dyDescent="0.25">
      <c r="A8776" t="str">
        <f>HYPERLINK("https://www.773grp.com/globalSearch/DM54LS241J-MIL/page-1", "DM54LS241J-MIL")</f>
        <v>DM54LS241J-MIL</v>
      </c>
      <c r="B8776" s="3" t="str">
        <f>HYPERLINK("https://www.773grp.com/manufacturer/national-semiconductor?pageNo=65", "National Semiconductor")</f>
        <v>National Semiconductor</v>
      </c>
      <c r="C8776" s="6">
        <v>329</v>
      </c>
      <c r="D8776" s="7">
        <v>10.85</v>
      </c>
    </row>
    <row r="8777" spans="1:5" x14ac:dyDescent="0.25">
      <c r="A8777" t="str">
        <f>HYPERLINK("https://www.773grp.com/globalSearch/DS14C238WM/page-1", "DS14C238WM")</f>
        <v>DS14C238WM</v>
      </c>
      <c r="B8777" s="3" t="str">
        <f>HYPERLINK("https://www.773grp.com/manufacturer/national-semiconductor?pageNo=66", "National Semiconductor")</f>
        <v>National Semiconductor</v>
      </c>
      <c r="C8777" s="6">
        <v>1451</v>
      </c>
      <c r="D8777" s="7">
        <v>10.85</v>
      </c>
      <c r="E8777" t="s">
        <v>21</v>
      </c>
    </row>
    <row r="8778" spans="1:5" x14ac:dyDescent="0.25">
      <c r="A8778" t="str">
        <f>HYPERLINK("https://www.773grp.com/globalSearch/DS14C238WM-NOPB/page-1", "DS14C238WM-NOPB")</f>
        <v>DS14C238WM-NOPB</v>
      </c>
      <c r="B8778" s="3" t="str">
        <f>HYPERLINK("https://www.773grp.com/manufacturer/national-semiconductor?pageNo=67", "National Semiconductor")</f>
        <v>National Semiconductor</v>
      </c>
      <c r="C8778" s="6">
        <v>24</v>
      </c>
      <c r="D8778" s="7">
        <v>10.85</v>
      </c>
      <c r="E8778" t="s">
        <v>21</v>
      </c>
    </row>
    <row r="8779" spans="1:5" x14ac:dyDescent="0.25">
      <c r="A8779" t="str">
        <f>HYPERLINK("https://www.773grp.com/globalSearch/LM6142AIM/page-1", "LM6142AIM")</f>
        <v>LM6142AIM</v>
      </c>
      <c r="B8779" s="3" t="str">
        <f>HYPERLINK("https://www.773grp.com/manufacturer/national-semiconductor?pageNo=68", "National Semiconductor")</f>
        <v>National Semiconductor</v>
      </c>
      <c r="C8779" s="6">
        <v>92</v>
      </c>
      <c r="D8779" s="7">
        <v>10.85</v>
      </c>
      <c r="E8779" t="s">
        <v>13</v>
      </c>
    </row>
    <row r="8780" spans="1:5" x14ac:dyDescent="0.25">
      <c r="A8780" t="str">
        <f>HYPERLINK("https://www.773grp.com/globalSearch/LM6142AIM/page-1", "LM6142AIM")</f>
        <v>LM6142AIM</v>
      </c>
      <c r="B8780" s="3" t="str">
        <f>HYPERLINK("https://www.773grp.com/manufacturer/national-semiconductor?pageNo=69", "National Semiconductor")</f>
        <v>National Semiconductor</v>
      </c>
      <c r="C8780" s="6">
        <v>4802</v>
      </c>
      <c r="D8780" s="7">
        <v>10.85</v>
      </c>
      <c r="E8780" t="s">
        <v>13</v>
      </c>
    </row>
    <row r="8781" spans="1:5" x14ac:dyDescent="0.25">
      <c r="A8781" t="str">
        <f>HYPERLINK("https://www.773grp.com/globalSearch/54F00LMQB/page-1", "54F00LMQB")</f>
        <v>54F00LMQB</v>
      </c>
      <c r="B8781" s="3" t="str">
        <f>HYPERLINK("https://www.773grp.com/manufacturer/national-semiconductor?pageNo=70", "National Semiconductor")</f>
        <v>National Semiconductor</v>
      </c>
      <c r="C8781" s="6">
        <v>1019</v>
      </c>
      <c r="D8781" s="7">
        <v>10.89</v>
      </c>
      <c r="E8781" t="s">
        <v>31</v>
      </c>
    </row>
    <row r="8782" spans="1:5" x14ac:dyDescent="0.25">
      <c r="A8782" t="str">
        <f>HYPERLINK("https://www.773grp.com/globalSearch/54F10LM/page-1", "54F10LM")</f>
        <v>54F10LM</v>
      </c>
      <c r="B8782" s="3" t="str">
        <f>HYPERLINK("https://www.773grp.com/manufacturer/national-semiconductor?pageNo=71", "National Semiconductor")</f>
        <v>National Semiconductor</v>
      </c>
      <c r="C8782" s="6">
        <v>205</v>
      </c>
      <c r="D8782" s="7">
        <v>10.89</v>
      </c>
      <c r="E8782" t="s">
        <v>31</v>
      </c>
    </row>
    <row r="8783" spans="1:5" x14ac:dyDescent="0.25">
      <c r="A8783" t="str">
        <f>HYPERLINK("https://www.773grp.com/globalSearch/54F10LMQB/page-1", "54F10LMQB")</f>
        <v>54F10LMQB</v>
      </c>
      <c r="B8783" s="3" t="str">
        <f>HYPERLINK("https://www.773grp.com/manufacturer/national-semiconductor?pageNo=72", "National Semiconductor")</f>
        <v>National Semiconductor</v>
      </c>
      <c r="C8783" s="6">
        <v>3637</v>
      </c>
      <c r="D8783" s="7">
        <v>10.89</v>
      </c>
      <c r="E8783" t="s">
        <v>31</v>
      </c>
    </row>
    <row r="8784" spans="1:5" x14ac:dyDescent="0.25">
      <c r="A8784" t="str">
        <f>HYPERLINK("https://www.773grp.com/globalSearch/54F153LM/page-1", "54F153LM")</f>
        <v>54F153LM</v>
      </c>
      <c r="B8784" s="3" t="str">
        <f>HYPERLINK("https://www.773grp.com/manufacturer/national-semiconductor?pageNo=73", "National Semiconductor")</f>
        <v>National Semiconductor</v>
      </c>
      <c r="C8784" s="6">
        <v>324</v>
      </c>
      <c r="D8784" s="7">
        <v>10.89</v>
      </c>
      <c r="E8784" t="s">
        <v>20</v>
      </c>
    </row>
    <row r="8785" spans="1:5" x14ac:dyDescent="0.25">
      <c r="A8785" t="str">
        <f>HYPERLINK("https://www.773grp.com/globalSearch/54F153LMQB/page-1", "54F153LMQB")</f>
        <v>54F153LMQB</v>
      </c>
      <c r="B8785" s="3" t="str">
        <f>HYPERLINK("https://www.773grp.com/manufacturer/national-semiconductor?pageNo=74", "National Semiconductor")</f>
        <v>National Semiconductor</v>
      </c>
      <c r="C8785" s="6">
        <v>1541</v>
      </c>
      <c r="D8785" s="7">
        <v>10.89</v>
      </c>
      <c r="E8785" t="s">
        <v>20</v>
      </c>
    </row>
    <row r="8786" spans="1:5" x14ac:dyDescent="0.25">
      <c r="A8786" t="str">
        <f>HYPERLINK("https://www.773grp.com/globalSearch/54F373LM/page-1", "54F373LM")</f>
        <v>54F373LM</v>
      </c>
      <c r="B8786" s="3" t="str">
        <f>HYPERLINK("https://www.773grp.com/manufacturer/national-semiconductor?pageNo=75", "National Semiconductor")</f>
        <v>National Semiconductor</v>
      </c>
      <c r="C8786" s="6">
        <v>17</v>
      </c>
      <c r="D8786" s="7">
        <v>10.89</v>
      </c>
      <c r="E8786" t="s">
        <v>14</v>
      </c>
    </row>
    <row r="8787" spans="1:5" x14ac:dyDescent="0.25">
      <c r="A8787" t="str">
        <f>HYPERLINK("https://www.773grp.com/globalSearch/54F373LMQB/page-1", "54F373LMQB")</f>
        <v>54F373LMQB</v>
      </c>
      <c r="B8787" s="3" t="str">
        <f>HYPERLINK("https://www.773grp.com/manufacturer/national-semiconductor?pageNo=76", "National Semiconductor")</f>
        <v>National Semiconductor</v>
      </c>
      <c r="C8787" s="6">
        <v>712</v>
      </c>
      <c r="D8787" s="7">
        <v>10.89</v>
      </c>
      <c r="E8787" t="s">
        <v>14</v>
      </c>
    </row>
    <row r="8788" spans="1:5" x14ac:dyDescent="0.25">
      <c r="A8788" t="str">
        <f>HYPERLINK("https://www.773grp.com/globalSearch/54F521LMQB/page-1", "54F521LMQB")</f>
        <v>54F521LMQB</v>
      </c>
      <c r="B8788" s="3" t="str">
        <f>HYPERLINK("https://www.773grp.com/manufacturer/national-semiconductor?pageNo=77", "National Semiconductor")</f>
        <v>National Semiconductor</v>
      </c>
      <c r="C8788" s="6">
        <v>266</v>
      </c>
      <c r="D8788" s="7">
        <v>10.89</v>
      </c>
      <c r="E8788" t="s">
        <v>43</v>
      </c>
    </row>
    <row r="8789" spans="1:5" x14ac:dyDescent="0.25">
      <c r="A8789" t="str">
        <f>HYPERLINK("https://www.773grp.com/globalSearch/93S10DC/page-1", "93S10DC")</f>
        <v>93S10DC</v>
      </c>
      <c r="B8789" s="3" t="str">
        <f>HYPERLINK("https://www.773grp.com/manufacturer/national-semiconductor?pageNo=78", "National Semiconductor")</f>
        <v>National Semiconductor</v>
      </c>
      <c r="C8789" s="6">
        <v>4297</v>
      </c>
      <c r="D8789" s="7">
        <v>10.89</v>
      </c>
      <c r="E8789" t="s">
        <v>26</v>
      </c>
    </row>
    <row r="8790" spans="1:5" x14ac:dyDescent="0.25">
      <c r="A8790" t="str">
        <f>HYPERLINK("https://www.773grp.com/globalSearch/93S16DC/page-1", "93S16DC")</f>
        <v>93S16DC</v>
      </c>
      <c r="B8790" s="3" t="str">
        <f>HYPERLINK("https://www.773grp.com/manufacturer/national-semiconductor?pageNo=79", "National Semiconductor")</f>
        <v>National Semiconductor</v>
      </c>
      <c r="C8790" s="6">
        <v>23317</v>
      </c>
      <c r="D8790" s="7">
        <v>10.89</v>
      </c>
    </row>
    <row r="8791" spans="1:5" x14ac:dyDescent="0.25">
      <c r="A8791" t="str">
        <f>HYPERLINK("https://www.773grp.com/globalSearch/DS14C238WMX-NOPB/page-1", "DS14C238WMX-NOPB")</f>
        <v>DS14C238WMX-NOPB</v>
      </c>
      <c r="B8791" s="3" t="str">
        <f>HYPERLINK("https://www.773grp.com/manufacturer/national-semiconductor?pageNo=80", "National Semiconductor")</f>
        <v>National Semiconductor</v>
      </c>
      <c r="C8791" s="6">
        <v>1000</v>
      </c>
      <c r="D8791" s="7">
        <v>10.89</v>
      </c>
      <c r="E8791" t="s">
        <v>21</v>
      </c>
    </row>
    <row r="8792" spans="1:5" x14ac:dyDescent="0.25">
      <c r="A8792" t="str">
        <f>HYPERLINK("https://www.773grp.com/globalSearch/DS14C238WMX-NOPB/page-1", "DS14C238WMX-NOPB")</f>
        <v>DS14C238WMX-NOPB</v>
      </c>
      <c r="B8792" s="3" t="str">
        <f>HYPERLINK("https://www.773grp.com/manufacturer/national-semiconductor?pageNo=81", "National Semiconductor")</f>
        <v>National Semiconductor</v>
      </c>
      <c r="C8792" s="6">
        <v>1598</v>
      </c>
      <c r="D8792" s="7">
        <v>10.89</v>
      </c>
      <c r="E8792" t="s">
        <v>21</v>
      </c>
    </row>
    <row r="8793" spans="1:5" x14ac:dyDescent="0.25">
      <c r="A8793" t="str">
        <f>HYPERLINK("https://www.773grp.com/globalSearch/9094PC/page-1", "9094PC")</f>
        <v>9094PC</v>
      </c>
      <c r="B8793" s="3" t="str">
        <f>HYPERLINK("https://www.773grp.com/manufacturer/national-semiconductor?pageNo=82", "National Semiconductor")</f>
        <v>National Semiconductor</v>
      </c>
      <c r="C8793" s="6">
        <v>371</v>
      </c>
      <c r="D8793" s="7">
        <v>10.91</v>
      </c>
    </row>
    <row r="8794" spans="1:5" x14ac:dyDescent="0.25">
      <c r="A8794" t="str">
        <f>HYPERLINK("https://www.773grp.com/globalSearch/ADC12038CIWM-NOPB/page-1", "ADC12038CIWM-NOPB")</f>
        <v>ADC12038CIWM-NOPB</v>
      </c>
      <c r="B8794" s="3" t="str">
        <f>HYPERLINK("https://www.773grp.com/manufacturer/national-semiconductor?pageNo=83", "National Semiconductor")</f>
        <v>National Semiconductor</v>
      </c>
      <c r="C8794" s="6">
        <v>91</v>
      </c>
      <c r="D8794" s="7">
        <v>10.91</v>
      </c>
      <c r="E8794" t="s">
        <v>39</v>
      </c>
    </row>
    <row r="8795" spans="1:5" x14ac:dyDescent="0.25">
      <c r="A8795" t="str">
        <f>HYPERLINK("https://www.773grp.com/globalSearch/LM224J/page-1", "LM224J")</f>
        <v>LM224J</v>
      </c>
      <c r="B8795" s="3" t="str">
        <f>HYPERLINK("https://www.773grp.com/manufacturer/national-semiconductor?pageNo=84", "National Semiconductor")</f>
        <v>National Semiconductor</v>
      </c>
      <c r="C8795" s="6">
        <v>13004</v>
      </c>
      <c r="D8795" s="7">
        <v>10.91</v>
      </c>
      <c r="E8795" t="s">
        <v>13</v>
      </c>
    </row>
    <row r="8796" spans="1:5" x14ac:dyDescent="0.25">
      <c r="A8796" t="str">
        <f>HYPERLINK("https://www.773grp.com/globalSearch/ADC12038CIWM-NOPB/page-1", "ADC12038CIWM-NOPB")</f>
        <v>ADC12038CIWM-NOPB</v>
      </c>
      <c r="B8796" s="3" t="str">
        <f>HYPERLINK("https://www.773grp.com/manufacturer/national-semiconductor?pageNo=85", "National Semiconductor")</f>
        <v>National Semiconductor</v>
      </c>
      <c r="C8796" s="6">
        <v>252</v>
      </c>
      <c r="D8796" s="7">
        <v>10.91</v>
      </c>
      <c r="E8796" t="s">
        <v>39</v>
      </c>
    </row>
    <row r="8797" spans="1:5" x14ac:dyDescent="0.25">
      <c r="A8797" t="str">
        <f>HYPERLINK("https://www.773grp.com/globalSearch/4028BDC/page-1", "4028BDC")</f>
        <v>4028BDC</v>
      </c>
      <c r="B8797" s="3" t="str">
        <f>HYPERLINK("https://www.773grp.com/manufacturer/national-semiconductor?pageNo=86", "National Semiconductor")</f>
        <v>National Semiconductor</v>
      </c>
      <c r="C8797" s="6">
        <v>4406</v>
      </c>
      <c r="D8797" s="7">
        <v>10.94</v>
      </c>
    </row>
    <row r="8798" spans="1:5" x14ac:dyDescent="0.25">
      <c r="A8798" t="str">
        <f>HYPERLINK("https://www.773grp.com/globalSearch/9158DM/page-1", "9158DM")</f>
        <v>9158DM</v>
      </c>
      <c r="B8798" s="3" t="str">
        <f>HYPERLINK("https://www.773grp.com/manufacturer/national-semiconductor?pageNo=87", "National Semiconductor")</f>
        <v>National Semiconductor</v>
      </c>
      <c r="C8798" s="6">
        <v>493</v>
      </c>
      <c r="D8798" s="7">
        <v>10.94</v>
      </c>
    </row>
    <row r="8799" spans="1:5" x14ac:dyDescent="0.25">
      <c r="A8799" t="str">
        <f>HYPERLINK("https://www.773grp.com/globalSearch/9S42PC/page-1", "9S42PC")</f>
        <v>9S42PC</v>
      </c>
      <c r="B8799" s="3" t="str">
        <f>HYPERLINK("https://www.773grp.com/manufacturer/national-semiconductor?pageNo=88", "National Semiconductor")</f>
        <v>National Semiconductor</v>
      </c>
      <c r="C8799" s="6">
        <v>7522</v>
      </c>
      <c r="D8799" s="7">
        <v>10.94</v>
      </c>
    </row>
    <row r="8800" spans="1:5" x14ac:dyDescent="0.25">
      <c r="A8800" t="str">
        <f>HYPERLINK("https://www.773grp.com/globalSearch/DP8308N/page-1", "DP8308N")</f>
        <v>DP8308N</v>
      </c>
      <c r="B8800" s="3" t="str">
        <f>HYPERLINK("https://www.773grp.com/manufacturer/national-semiconductor?pageNo=89", "National Semiconductor")</f>
        <v>National Semiconductor</v>
      </c>
      <c r="C8800" s="6">
        <v>229</v>
      </c>
      <c r="D8800" s="7">
        <v>10.94</v>
      </c>
      <c r="E8800" t="s">
        <v>14</v>
      </c>
    </row>
    <row r="8801" spans="1:5" x14ac:dyDescent="0.25">
      <c r="A8801" t="str">
        <f>HYPERLINK("https://www.773grp.com/globalSearch/54LS47DMQB/page-1", "54LS47DMQB")</f>
        <v>54LS47DMQB</v>
      </c>
      <c r="B8801" s="3" t="str">
        <f>HYPERLINK("https://www.773grp.com/manufacturer/national-semiconductor?pageNo=90", "National Semiconductor")</f>
        <v>National Semiconductor</v>
      </c>
      <c r="C8801" s="6">
        <v>1</v>
      </c>
      <c r="D8801" s="7">
        <v>10.98</v>
      </c>
      <c r="E8801" t="s">
        <v>36</v>
      </c>
    </row>
    <row r="8802" spans="1:5" x14ac:dyDescent="0.25">
      <c r="A8802" t="str">
        <f>HYPERLINK("https://www.773grp.com/globalSearch/54LS85DMQB/page-1", "54LS85DMQB")</f>
        <v>54LS85DMQB</v>
      </c>
      <c r="B8802" s="3" t="str">
        <f>HYPERLINK("https://www.773grp.com/manufacturer/national-semiconductor?pageNo=91", "National Semiconductor")</f>
        <v>National Semiconductor</v>
      </c>
      <c r="C8802" s="6">
        <v>254</v>
      </c>
      <c r="D8802" s="7">
        <v>10.98</v>
      </c>
      <c r="E8802" t="s">
        <v>43</v>
      </c>
    </row>
    <row r="8803" spans="1:5" x14ac:dyDescent="0.25">
      <c r="A8803" t="str">
        <f>HYPERLINK("https://www.773grp.com/globalSearch/DM54S04J-883/page-1", "DM54S04J-883")</f>
        <v>DM54S04J-883</v>
      </c>
      <c r="B8803" s="3" t="str">
        <f>HYPERLINK("https://www.773grp.com/manufacturer/national-semiconductor?pageNo=92", "National Semiconductor")</f>
        <v>National Semiconductor</v>
      </c>
      <c r="C8803" s="6">
        <v>3757</v>
      </c>
      <c r="D8803" s="7">
        <v>10.98</v>
      </c>
      <c r="E8803" t="s">
        <v>31</v>
      </c>
    </row>
    <row r="8804" spans="1:5" x14ac:dyDescent="0.25">
      <c r="A8804" t="str">
        <f>HYPERLINK("https://www.773grp.com/globalSearch/DS90CR286AMTDX/page-1", "DS90CR286AMTDX")</f>
        <v>DS90CR286AMTDX</v>
      </c>
      <c r="B8804" s="3" t="str">
        <f>HYPERLINK("https://www.773grp.com/manufacturer/national-semiconductor?pageNo=93", "National Semiconductor")</f>
        <v>National Semiconductor</v>
      </c>
      <c r="C8804" s="6">
        <v>2000</v>
      </c>
      <c r="D8804" s="7">
        <v>10.98</v>
      </c>
      <c r="E8804" t="s">
        <v>21</v>
      </c>
    </row>
    <row r="8805" spans="1:5" x14ac:dyDescent="0.25">
      <c r="A8805" t="str">
        <f>HYPERLINK("https://www.773grp.com/globalSearch/DS99R106SQ-NOPB/page-1", "DS99R106SQ-NOPB")</f>
        <v>DS99R106SQ-NOPB</v>
      </c>
      <c r="B8805" s="3" t="str">
        <f>HYPERLINK("https://www.773grp.com/manufacturer/national-semiconductor?pageNo=94", "National Semiconductor")</f>
        <v>National Semiconductor</v>
      </c>
      <c r="C8805" s="6">
        <v>250</v>
      </c>
      <c r="D8805" s="7">
        <v>10.98</v>
      </c>
      <c r="E8805" t="s">
        <v>21</v>
      </c>
    </row>
    <row r="8806" spans="1:5" x14ac:dyDescent="0.25">
      <c r="A8806" t="str">
        <f>HYPERLINK("https://www.773grp.com/globalSearch/LM158H/page-1", "LM158H")</f>
        <v>LM158H</v>
      </c>
      <c r="B8806" s="3" t="str">
        <f>HYPERLINK("https://www.773grp.com/manufacturer/national-semiconductor?pageNo=95", "National Semiconductor")</f>
        <v>National Semiconductor</v>
      </c>
      <c r="C8806" s="6">
        <v>563</v>
      </c>
      <c r="D8806" s="7">
        <v>10.98</v>
      </c>
      <c r="E8806" t="s">
        <v>13</v>
      </c>
    </row>
    <row r="8807" spans="1:5" x14ac:dyDescent="0.25">
      <c r="A8807" t="str">
        <f>HYPERLINK("https://www.773grp.com/globalSearch/LM158H-NOPB/page-1", "LM158H-NOPB")</f>
        <v>LM158H-NOPB</v>
      </c>
      <c r="B8807" s="3" t="str">
        <f>HYPERLINK("https://www.773grp.com/manufacturer/national-semiconductor?pageNo=96", "National Semiconductor")</f>
        <v>National Semiconductor</v>
      </c>
      <c r="C8807" s="6">
        <v>592</v>
      </c>
      <c r="D8807" s="7">
        <v>10.98</v>
      </c>
      <c r="E8807" t="s">
        <v>13</v>
      </c>
    </row>
    <row r="8808" spans="1:5" x14ac:dyDescent="0.25">
      <c r="A8808" t="str">
        <f>HYPERLINK("https://www.773grp.com/globalSearch/LM4041AIM-1.2/page-1", "LM4041AIM-1.2")</f>
        <v>LM4041AIM-1.2</v>
      </c>
      <c r="B8808" s="3" t="str">
        <f>HYPERLINK("https://www.773grp.com/manufacturer/national-semiconductor?pageNo=97", "National Semiconductor")</f>
        <v>National Semiconductor</v>
      </c>
      <c r="C8808" s="6">
        <v>435</v>
      </c>
      <c r="D8808" s="7">
        <v>10.98</v>
      </c>
      <c r="E8808" t="s">
        <v>17</v>
      </c>
    </row>
    <row r="8809" spans="1:5" x14ac:dyDescent="0.25">
      <c r="A8809" t="str">
        <f>HYPERLINK("https://www.773grp.com/globalSearch/LM158H-NOPB/page-1", "LM158H-NOPB")</f>
        <v>LM158H-NOPB</v>
      </c>
      <c r="B8809" s="3" t="str">
        <f>HYPERLINK("https://www.773grp.com/manufacturer/national-semiconductor?pageNo=98", "National Semiconductor")</f>
        <v>National Semiconductor</v>
      </c>
      <c r="C8809" s="6">
        <v>709</v>
      </c>
      <c r="D8809" s="7">
        <v>10.98</v>
      </c>
      <c r="E8809" t="s">
        <v>13</v>
      </c>
    </row>
    <row r="8810" spans="1:5" x14ac:dyDescent="0.25">
      <c r="A8810" t="str">
        <f>HYPERLINK("https://www.773grp.com/globalSearch/LMH7322SQE-NOPB/page-1", "LMH7322SQE-NOPB")</f>
        <v>LMH7322SQE-NOPB</v>
      </c>
      <c r="B8810" s="3" t="str">
        <f>HYPERLINK("https://www.773grp.com/manufacturer/national-semiconductor?pageNo=99", "National Semiconductor")</f>
        <v>National Semiconductor</v>
      </c>
      <c r="C8810" s="6">
        <v>250</v>
      </c>
      <c r="D8810" s="7">
        <v>10.98</v>
      </c>
    </row>
    <row r="8811" spans="1:5" x14ac:dyDescent="0.25">
      <c r="A8811" t="str">
        <f>HYPERLINK("https://www.773grp.com/globalSearch/DS90CR285SLC/page-1", "DS90CR285SLC")</f>
        <v>DS90CR285SLC</v>
      </c>
      <c r="B8811" s="3" t="str">
        <f>HYPERLINK("https://www.773grp.com/manufacturer/national-semiconductor?pageNo=100", "National Semiconductor")</f>
        <v>National Semiconductor</v>
      </c>
      <c r="C8811" s="6">
        <v>3421</v>
      </c>
      <c r="D8811" s="7">
        <v>11</v>
      </c>
      <c r="E8811" t="s">
        <v>21</v>
      </c>
    </row>
    <row r="8812" spans="1:5" x14ac:dyDescent="0.25">
      <c r="A8812" t="str">
        <f>HYPERLINK("https://www.773grp.com/globalSearch/DS90CR286ASLC/page-1", "DS90CR286ASLC")</f>
        <v>DS90CR286ASLC</v>
      </c>
      <c r="B8812" s="3" t="str">
        <f>HYPERLINK("https://www.773grp.com/manufacturer/national-semiconductor?pageNo=101", "National Semiconductor")</f>
        <v>National Semiconductor</v>
      </c>
      <c r="C8812" s="6">
        <v>2615</v>
      </c>
      <c r="D8812" s="7">
        <v>11</v>
      </c>
      <c r="E8812" t="s">
        <v>21</v>
      </c>
    </row>
    <row r="8813" spans="1:5" x14ac:dyDescent="0.25">
      <c r="A8813" t="str">
        <f>HYPERLINK("https://www.773grp.com/globalSearch/LMP90080MH-NOPB/page-1", "LMP90080MH-NOPB")</f>
        <v>LMP90080MH-NOPB</v>
      </c>
      <c r="B8813" s="3" t="str">
        <f>HYPERLINK("https://www.773grp.com/manufacturer/national-semiconductor?pageNo=102", "National Semiconductor")</f>
        <v>National Semiconductor</v>
      </c>
      <c r="C8813" s="6">
        <v>448</v>
      </c>
      <c r="D8813" s="7">
        <v>11</v>
      </c>
    </row>
    <row r="8814" spans="1:5" x14ac:dyDescent="0.25">
      <c r="A8814" t="str">
        <f>HYPERLINK("https://www.773grp.com/globalSearch/USBN9603SLB-NOPB/page-1", "USBN9603SLB-NOPB")</f>
        <v>USBN9603SLB-NOPB</v>
      </c>
      <c r="B8814" s="3" t="str">
        <f>HYPERLINK("https://www.773grp.com/manufacturer/national-semiconductor?pageNo=103", "National Semiconductor")</f>
        <v>National Semiconductor</v>
      </c>
      <c r="C8814" s="6">
        <v>1000</v>
      </c>
      <c r="D8814" s="7">
        <v>11</v>
      </c>
    </row>
    <row r="8815" spans="1:5" x14ac:dyDescent="0.25">
      <c r="A8815" t="str">
        <f>HYPERLINK("https://www.773grp.com/globalSearch/DM74S280J/page-1", "DM74S280J")</f>
        <v>DM74S280J</v>
      </c>
      <c r="B8815" s="3" t="str">
        <f>HYPERLINK("https://www.773grp.com/manufacturer/national-semiconductor?pageNo=104", "National Semiconductor")</f>
        <v>National Semiconductor</v>
      </c>
      <c r="C8815" s="6">
        <v>587</v>
      </c>
      <c r="D8815" s="7">
        <v>11.03</v>
      </c>
    </row>
    <row r="8816" spans="1:5" x14ac:dyDescent="0.25">
      <c r="A8816" t="str">
        <f>HYPERLINK("https://www.773grp.com/globalSearch/DS90C365MTD/page-1", "DS90C365MTD")</f>
        <v>DS90C365MTD</v>
      </c>
      <c r="B8816" s="3" t="str">
        <f>HYPERLINK("https://www.773grp.com/manufacturer/national-semiconductor?pageNo=105", "National Semiconductor")</f>
        <v>National Semiconductor</v>
      </c>
      <c r="C8816" s="6">
        <v>24357</v>
      </c>
      <c r="D8816" s="7">
        <v>11.03</v>
      </c>
      <c r="E8816" t="s">
        <v>21</v>
      </c>
    </row>
    <row r="8817" spans="1:5" x14ac:dyDescent="0.25">
      <c r="A8817" t="str">
        <f>HYPERLINK("https://www.773grp.com/globalSearch/DS90C365MTDX/page-1", "DS90C365MTDX")</f>
        <v>DS90C365MTDX</v>
      </c>
      <c r="B8817" s="3" t="str">
        <f>HYPERLINK("https://www.773grp.com/manufacturer/national-semiconductor?pageNo=106", "National Semiconductor")</f>
        <v>National Semiconductor</v>
      </c>
      <c r="C8817" s="6">
        <v>1541</v>
      </c>
      <c r="D8817" s="7">
        <v>11.03</v>
      </c>
      <c r="E8817" t="s">
        <v>21</v>
      </c>
    </row>
    <row r="8818" spans="1:5" x14ac:dyDescent="0.25">
      <c r="A8818" t="str">
        <f>HYPERLINK("https://www.773grp.com/globalSearch/DS90C383AMTD/page-1", "DS90C383AMTD")</f>
        <v>DS90C383AMTD</v>
      </c>
      <c r="B8818" s="3" t="str">
        <f>HYPERLINK("https://www.773grp.com/manufacturer/national-semiconductor?pageNo=107", "National Semiconductor")</f>
        <v>National Semiconductor</v>
      </c>
      <c r="C8818" s="6">
        <v>3062</v>
      </c>
      <c r="D8818" s="7">
        <v>11.03</v>
      </c>
      <c r="E8818" t="s">
        <v>21</v>
      </c>
    </row>
    <row r="8819" spans="1:5" x14ac:dyDescent="0.25">
      <c r="A8819" t="str">
        <f>HYPERLINK("https://www.773grp.com/globalSearch/DS90C385MTD/page-1", "DS90C385MTD")</f>
        <v>DS90C385MTD</v>
      </c>
      <c r="B8819" s="3" t="str">
        <f>HYPERLINK("https://www.773grp.com/manufacturer/national-semiconductor?pageNo=108", "National Semiconductor")</f>
        <v>National Semiconductor</v>
      </c>
      <c r="C8819" s="6">
        <v>10247</v>
      </c>
      <c r="D8819" s="7">
        <v>11.03</v>
      </c>
      <c r="E8819" t="s">
        <v>21</v>
      </c>
    </row>
    <row r="8820" spans="1:5" x14ac:dyDescent="0.25">
      <c r="A8820" t="str">
        <f>HYPERLINK("https://www.773grp.com/globalSearch/DS90CF363AMTD/page-1", "DS90CF363AMTD")</f>
        <v>DS90CF363AMTD</v>
      </c>
      <c r="B8820" s="3" t="str">
        <f>HYPERLINK("https://www.773grp.com/manufacturer/national-semiconductor?pageNo=109", "National Semiconductor")</f>
        <v>National Semiconductor</v>
      </c>
      <c r="C8820" s="6">
        <v>2519</v>
      </c>
      <c r="D8820" s="7">
        <v>11.03</v>
      </c>
      <c r="E8820" t="s">
        <v>21</v>
      </c>
    </row>
    <row r="8821" spans="1:5" x14ac:dyDescent="0.25">
      <c r="A8821" t="str">
        <f>HYPERLINK("https://www.773grp.com/globalSearch/DS90CF363AMTDX/page-1", "DS90CF363AMTDX")</f>
        <v>DS90CF363AMTDX</v>
      </c>
      <c r="B8821" s="3" t="str">
        <f>HYPERLINK("https://www.773grp.com/manufacturer/national-semiconductor?pageNo=110", "National Semiconductor")</f>
        <v>National Semiconductor</v>
      </c>
      <c r="C8821" s="6">
        <v>13244</v>
      </c>
      <c r="D8821" s="7">
        <v>11.03</v>
      </c>
      <c r="E8821" t="s">
        <v>21</v>
      </c>
    </row>
    <row r="8822" spans="1:5" x14ac:dyDescent="0.25">
      <c r="A8822" t="str">
        <f>HYPERLINK("https://www.773grp.com/globalSearch/DS90CF383AMTD/page-1", "DS90CF383AMTD")</f>
        <v>DS90CF383AMTD</v>
      </c>
      <c r="B8822" s="3" t="str">
        <f>HYPERLINK("https://www.773grp.com/manufacturer/national-semiconductor?pageNo=111", "National Semiconductor")</f>
        <v>National Semiconductor</v>
      </c>
      <c r="C8822" s="6">
        <v>1656</v>
      </c>
      <c r="D8822" s="7">
        <v>11.03</v>
      </c>
      <c r="E8822" t="s">
        <v>21</v>
      </c>
    </row>
    <row r="8823" spans="1:5" x14ac:dyDescent="0.25">
      <c r="A8823" t="str">
        <f>HYPERLINK("https://www.773grp.com/globalSearch/DS90CF383AMTDX/page-1", "DS90CF383AMTDX")</f>
        <v>DS90CF383AMTDX</v>
      </c>
      <c r="B8823" s="3" t="str">
        <f>HYPERLINK("https://www.773grp.com/manufacturer/national-semiconductor?pageNo=112", "National Semiconductor")</f>
        <v>National Semiconductor</v>
      </c>
      <c r="C8823" s="6">
        <v>9939</v>
      </c>
      <c r="D8823" s="7">
        <v>11.03</v>
      </c>
      <c r="E8823" t="s">
        <v>21</v>
      </c>
    </row>
    <row r="8824" spans="1:5" x14ac:dyDescent="0.25">
      <c r="A8824" t="str">
        <f>HYPERLINK("https://www.773grp.com/globalSearch/LM2426TE-NOPB/page-1", "LM2426TE-NOPB")</f>
        <v>LM2426TE-NOPB</v>
      </c>
      <c r="B8824" s="3" t="str">
        <f>HYPERLINK("https://www.773grp.com/manufacturer/national-semiconductor?pageNo=113", "National Semiconductor")</f>
        <v>National Semiconductor</v>
      </c>
      <c r="C8824" s="6">
        <v>2900</v>
      </c>
      <c r="D8824" s="7">
        <v>11.03</v>
      </c>
      <c r="E8824" t="s">
        <v>18</v>
      </c>
    </row>
    <row r="8825" spans="1:5" x14ac:dyDescent="0.25">
      <c r="A8825" t="str">
        <f>HYPERLINK("https://www.773grp.com/globalSearch/LM27213SQ-NOPB/page-1", "LM27213SQ-NOPB")</f>
        <v>LM27213SQ-NOPB</v>
      </c>
      <c r="B8825" s="3" t="str">
        <f>HYPERLINK("https://www.773grp.com/manufacturer/national-semiconductor?pageNo=114", "National Semiconductor")</f>
        <v>National Semiconductor</v>
      </c>
      <c r="C8825" s="6">
        <v>1000</v>
      </c>
      <c r="D8825" s="7">
        <v>11.03</v>
      </c>
    </row>
    <row r="8826" spans="1:5" x14ac:dyDescent="0.25">
      <c r="A8826" t="str">
        <f>HYPERLINK("https://www.773grp.com/globalSearch/LM741CH/page-1", "LM741CH")</f>
        <v>LM741CH</v>
      </c>
      <c r="B8826" s="3" t="str">
        <f>HYPERLINK("https://www.773grp.com/manufacturer/national-semiconductor?pageNo=115", "National Semiconductor")</f>
        <v>National Semiconductor</v>
      </c>
      <c r="C8826" s="6">
        <v>1207</v>
      </c>
      <c r="D8826" s="7">
        <v>11.03</v>
      </c>
      <c r="E8826" t="s">
        <v>13</v>
      </c>
    </row>
    <row r="8827" spans="1:5" x14ac:dyDescent="0.25">
      <c r="A8827" t="str">
        <f>HYPERLINK("https://www.773grp.com/globalSearch/LM741CH-NOPB/page-1", "LM741CH-NOPB")</f>
        <v>LM741CH-NOPB</v>
      </c>
      <c r="B8827" s="3" t="str">
        <f>HYPERLINK("https://www.773grp.com/manufacturer/national-semiconductor?pageNo=116", "National Semiconductor")</f>
        <v>National Semiconductor</v>
      </c>
      <c r="C8827" s="6">
        <v>445</v>
      </c>
      <c r="D8827" s="7">
        <v>11.03</v>
      </c>
      <c r="E8827" t="s">
        <v>13</v>
      </c>
    </row>
    <row r="8828" spans="1:5" x14ac:dyDescent="0.25">
      <c r="A8828" t="str">
        <f>HYPERLINK("https://www.773grp.com/globalSearch/LM741H/page-1", "LM741H")</f>
        <v>LM741H</v>
      </c>
      <c r="B8828" s="3" t="str">
        <f>HYPERLINK("https://www.773grp.com/manufacturer/national-semiconductor?pageNo=117", "National Semiconductor")</f>
        <v>National Semiconductor</v>
      </c>
      <c r="C8828" s="6">
        <v>267</v>
      </c>
      <c r="D8828" s="7">
        <v>11.03</v>
      </c>
      <c r="E8828" t="s">
        <v>13</v>
      </c>
    </row>
    <row r="8829" spans="1:5" x14ac:dyDescent="0.25">
      <c r="A8829" t="str">
        <f>HYPERLINK("https://www.773grp.com/globalSearch/LM741H-NOPB/page-1", "LM741H-NOPB")</f>
        <v>LM741H-NOPB</v>
      </c>
      <c r="B8829" s="3" t="str">
        <f>HYPERLINK("https://www.773grp.com/manufacturer/national-semiconductor?pageNo=118", "National Semiconductor")</f>
        <v>National Semiconductor</v>
      </c>
      <c r="C8829" s="6">
        <v>1345</v>
      </c>
      <c r="D8829" s="7">
        <v>11.03</v>
      </c>
      <c r="E8829" t="s">
        <v>13</v>
      </c>
    </row>
    <row r="8830" spans="1:5" x14ac:dyDescent="0.25">
      <c r="A8830" t="str">
        <f>HYPERLINK("https://www.773grp.com/globalSearch/MM5452V/page-1", "MM5452V")</f>
        <v>MM5452V</v>
      </c>
      <c r="B8830" s="3" t="str">
        <f>HYPERLINK("https://www.773grp.com/manufacturer/national-semiconductor?pageNo=119", "National Semiconductor")</f>
        <v>National Semiconductor</v>
      </c>
      <c r="C8830" s="6">
        <v>50</v>
      </c>
      <c r="D8830" s="7">
        <v>11.03</v>
      </c>
      <c r="E8830" t="s">
        <v>10</v>
      </c>
    </row>
    <row r="8831" spans="1:5" x14ac:dyDescent="0.25">
      <c r="A8831" t="str">
        <f>HYPERLINK("https://www.773grp.com/globalSearch/LM741CH/page-1", "LM741CH")</f>
        <v>LM741CH</v>
      </c>
      <c r="B8831" s="3" t="str">
        <f>HYPERLINK("https://www.773grp.com/manufacturer/national-semiconductor?pageNo=120", "National Semiconductor")</f>
        <v>National Semiconductor</v>
      </c>
      <c r="C8831" s="6">
        <v>37</v>
      </c>
      <c r="D8831" s="7">
        <v>11.03</v>
      </c>
      <c r="E8831" t="s">
        <v>13</v>
      </c>
    </row>
    <row r="8832" spans="1:5" x14ac:dyDescent="0.25">
      <c r="A8832" t="str">
        <f>HYPERLINK("https://www.773grp.com/globalSearch/LM741CH-NOPB/page-1", "LM741CH-NOPB")</f>
        <v>LM741CH-NOPB</v>
      </c>
      <c r="B8832" s="3" t="str">
        <f>HYPERLINK("https://www.773grp.com/manufacturer/national-semiconductor?pageNo=121", "National Semiconductor")</f>
        <v>National Semiconductor</v>
      </c>
      <c r="C8832" s="6">
        <v>166</v>
      </c>
      <c r="D8832" s="7">
        <v>11.03</v>
      </c>
      <c r="E8832" t="s">
        <v>13</v>
      </c>
    </row>
    <row r="8833" spans="1:5" x14ac:dyDescent="0.25">
      <c r="A8833" t="str">
        <f>HYPERLINK("https://www.773grp.com/globalSearch/MM5452V/page-1", "MM5452V")</f>
        <v>MM5452V</v>
      </c>
      <c r="B8833" s="3" t="str">
        <f>HYPERLINK("https://www.773grp.com/manufacturer/national-semiconductor?pageNo=122", "National Semiconductor")</f>
        <v>National Semiconductor</v>
      </c>
      <c r="C8833" s="6">
        <v>249</v>
      </c>
      <c r="D8833" s="7">
        <v>11.03</v>
      </c>
      <c r="E8833" t="s">
        <v>10</v>
      </c>
    </row>
    <row r="8834" spans="1:5" x14ac:dyDescent="0.25">
      <c r="A8834" t="str">
        <f>HYPERLINK("https://www.773grp.com/globalSearch/54F241DMQB/page-1", "54F241DMQB")</f>
        <v>54F241DMQB</v>
      </c>
      <c r="B8834" s="3" t="str">
        <f>HYPERLINK("https://www.773grp.com/manufacturer/national-semiconductor?pageNo=123", "National Semiconductor")</f>
        <v>National Semiconductor</v>
      </c>
      <c r="C8834" s="6">
        <v>44</v>
      </c>
      <c r="D8834" s="7">
        <v>11.05</v>
      </c>
      <c r="E8834" t="s">
        <v>14</v>
      </c>
    </row>
    <row r="8835" spans="1:5" x14ac:dyDescent="0.25">
      <c r="A8835" t="str">
        <f>HYPERLINK("https://www.773grp.com/globalSearch/9020DC/page-1", "9020DC")</f>
        <v>9020DC</v>
      </c>
      <c r="B8835" s="3" t="str">
        <f>HYPERLINK("https://www.773grp.com/manufacturer/national-semiconductor?pageNo=124", "National Semiconductor")</f>
        <v>National Semiconductor</v>
      </c>
      <c r="C8835" s="6">
        <v>36325</v>
      </c>
      <c r="D8835" s="7">
        <v>11.05</v>
      </c>
    </row>
    <row r="8836" spans="1:5" x14ac:dyDescent="0.25">
      <c r="A8836" t="str">
        <f>HYPERLINK("https://www.773grp.com/globalSearch/ADC0848CCVX/page-1", "ADC0848CCVX")</f>
        <v>ADC0848CCVX</v>
      </c>
      <c r="B8836" s="3" t="str">
        <f>HYPERLINK("https://www.773grp.com/manufacturer/national-semiconductor?pageNo=125", "National Semiconductor")</f>
        <v>National Semiconductor</v>
      </c>
      <c r="C8836" s="6">
        <v>2250</v>
      </c>
      <c r="D8836" s="7">
        <v>11.05</v>
      </c>
      <c r="E8836" t="s">
        <v>39</v>
      </c>
    </row>
    <row r="8837" spans="1:5" x14ac:dyDescent="0.25">
      <c r="A8837" t="str">
        <f>HYPERLINK("https://www.773grp.com/globalSearch/DP83847ALQA56A/page-1", "DP83847ALQA56A")</f>
        <v>DP83847ALQA56A</v>
      </c>
      <c r="B8837" s="3" t="str">
        <f>HYPERLINK("https://www.773grp.com/manufacturer/national-semiconductor?pageNo=126", "National Semiconductor")</f>
        <v>National Semiconductor</v>
      </c>
      <c r="C8837" s="6">
        <v>889</v>
      </c>
      <c r="D8837" s="7">
        <v>11.05</v>
      </c>
      <c r="E8837" t="s">
        <v>55</v>
      </c>
    </row>
    <row r="8838" spans="1:5" x14ac:dyDescent="0.25">
      <c r="A8838" t="str">
        <f>HYPERLINK("https://www.773grp.com/globalSearch/DS0056CN/page-1", "DS0056CN")</f>
        <v>DS0056CN</v>
      </c>
      <c r="B8838" s="3" t="str">
        <f>HYPERLINK("https://www.773grp.com/manufacturer/national-semiconductor?pageNo=127", "National Semiconductor")</f>
        <v>National Semiconductor</v>
      </c>
      <c r="C8838" s="6">
        <v>1090</v>
      </c>
      <c r="D8838" s="7">
        <v>11.05</v>
      </c>
      <c r="E8838" t="s">
        <v>34</v>
      </c>
    </row>
    <row r="8839" spans="1:5" x14ac:dyDescent="0.25">
      <c r="A8839" t="str">
        <f>HYPERLINK("https://www.773grp.com/globalSearch/LM201AH/page-1", "LM201AH")</f>
        <v>LM201AH</v>
      </c>
      <c r="B8839" s="3" t="str">
        <f>HYPERLINK("https://www.773grp.com/manufacturer/national-semiconductor?pageNo=128", "National Semiconductor")</f>
        <v>National Semiconductor</v>
      </c>
      <c r="C8839" s="6">
        <v>126</v>
      </c>
      <c r="D8839" s="7">
        <v>11.05</v>
      </c>
      <c r="E8839" t="s">
        <v>13</v>
      </c>
    </row>
    <row r="8840" spans="1:5" x14ac:dyDescent="0.25">
      <c r="A8840" t="str">
        <f>HYPERLINK("https://www.773grp.com/globalSearch/LM201AH-NOPB/page-1", "LM201AH-NOPB")</f>
        <v>LM201AH-NOPB</v>
      </c>
      <c r="B8840" s="3" t="str">
        <f>HYPERLINK("https://www.773grp.com/manufacturer/national-semiconductor?pageNo=129", "National Semiconductor")</f>
        <v>National Semiconductor</v>
      </c>
      <c r="C8840" s="6">
        <v>155</v>
      </c>
      <c r="D8840" s="7">
        <v>11.05</v>
      </c>
      <c r="E8840" t="s">
        <v>13</v>
      </c>
    </row>
    <row r="8841" spans="1:5" x14ac:dyDescent="0.25">
      <c r="A8841" t="str">
        <f>HYPERLINK("https://www.773grp.com/globalSearch/LM301AH/page-1", "LM301AH")</f>
        <v>LM301AH</v>
      </c>
      <c r="B8841" s="3" t="str">
        <f>HYPERLINK("https://www.773grp.com/manufacturer/national-semiconductor?pageNo=130", "National Semiconductor")</f>
        <v>National Semiconductor</v>
      </c>
      <c r="C8841" s="6">
        <v>335</v>
      </c>
      <c r="D8841" s="7">
        <v>11.05</v>
      </c>
      <c r="E8841" t="s">
        <v>13</v>
      </c>
    </row>
    <row r="8842" spans="1:5" x14ac:dyDescent="0.25">
      <c r="A8842" t="str">
        <f>HYPERLINK("https://www.773grp.com/globalSearch/LM301AH-NOPB/page-1", "LM301AH-NOPB")</f>
        <v>LM301AH-NOPB</v>
      </c>
      <c r="B8842" s="3" t="str">
        <f>HYPERLINK("https://www.773grp.com/manufacturer/national-semiconductor?pageNo=131", "National Semiconductor")</f>
        <v>National Semiconductor</v>
      </c>
      <c r="C8842" s="6">
        <v>622</v>
      </c>
      <c r="D8842" s="7">
        <v>11.05</v>
      </c>
      <c r="E8842" t="s">
        <v>13</v>
      </c>
    </row>
    <row r="8843" spans="1:5" x14ac:dyDescent="0.25">
      <c r="A8843" t="str">
        <f>HYPERLINK("https://www.773grp.com/globalSearch/LM361H/page-1", "LM361H")</f>
        <v>LM361H</v>
      </c>
      <c r="B8843" s="3" t="str">
        <f>HYPERLINK("https://www.773grp.com/manufacturer/national-semiconductor?pageNo=132", "National Semiconductor")</f>
        <v>National Semiconductor</v>
      </c>
      <c r="C8843" s="6">
        <v>375</v>
      </c>
      <c r="D8843" s="7">
        <v>11.05</v>
      </c>
      <c r="E8843" t="s">
        <v>9</v>
      </c>
    </row>
    <row r="8844" spans="1:5" x14ac:dyDescent="0.25">
      <c r="A8844" t="str">
        <f>HYPERLINK("https://www.773grp.com/globalSearch/DP83847ALQA56A/page-1", "DP83847ALQA56A")</f>
        <v>DP83847ALQA56A</v>
      </c>
      <c r="B8844" s="3" t="str">
        <f>HYPERLINK("https://www.773grp.com/manufacturer/national-semiconductor?pageNo=133", "National Semiconductor")</f>
        <v>National Semiconductor</v>
      </c>
      <c r="C8844" s="6">
        <v>6554</v>
      </c>
      <c r="D8844" s="7">
        <v>11.05</v>
      </c>
      <c r="E8844" t="s">
        <v>55</v>
      </c>
    </row>
    <row r="8845" spans="1:5" x14ac:dyDescent="0.25">
      <c r="A8845" t="str">
        <f>HYPERLINK("https://www.773grp.com/globalSearch/LM201AH-NOPB/page-1", "LM201AH-NOPB")</f>
        <v>LM201AH-NOPB</v>
      </c>
      <c r="B8845" s="3" t="str">
        <f>HYPERLINK("https://www.773grp.com/manufacturer/national-semiconductor?pageNo=134", "National Semiconductor")</f>
        <v>National Semiconductor</v>
      </c>
      <c r="C8845" s="6">
        <v>13</v>
      </c>
      <c r="D8845" s="7">
        <v>11.05</v>
      </c>
      <c r="E8845" t="s">
        <v>13</v>
      </c>
    </row>
    <row r="8846" spans="1:5" x14ac:dyDescent="0.25">
      <c r="A8846" t="str">
        <f>HYPERLINK("https://www.773grp.com/globalSearch/LM201AH-NOPB/page-1", "LM201AH-NOPB")</f>
        <v>LM201AH-NOPB</v>
      </c>
      <c r="B8846" s="3" t="str">
        <f>HYPERLINK("https://www.773grp.com/manufacturer/national-semiconductor?pageNo=1", "National Semiconductor")</f>
        <v>National Semiconductor</v>
      </c>
      <c r="C8846" s="6">
        <v>215</v>
      </c>
      <c r="D8846" s="7">
        <v>11.05</v>
      </c>
      <c r="E8846" t="s">
        <v>13</v>
      </c>
    </row>
    <row r="8847" spans="1:5" x14ac:dyDescent="0.25">
      <c r="A8847" t="str">
        <f>HYPERLINK("https://www.773grp.com/globalSearch/LM301AH-NOPB/page-1", "LM301AH-NOPB")</f>
        <v>LM301AH-NOPB</v>
      </c>
      <c r="B8847" s="3" t="str">
        <f>HYPERLINK("https://www.773grp.com/manufacturer/national-semiconductor?pageNo=2", "National Semiconductor")</f>
        <v>National Semiconductor</v>
      </c>
      <c r="C8847" s="6">
        <v>143</v>
      </c>
      <c r="D8847" s="7">
        <v>11.05</v>
      </c>
      <c r="E8847" t="s">
        <v>13</v>
      </c>
    </row>
    <row r="8848" spans="1:5" x14ac:dyDescent="0.25">
      <c r="A8848" t="str">
        <f>HYPERLINK("https://www.773grp.com/globalSearch/100101FCQR/page-1", "100101FCQR")</f>
        <v>100101FCQR</v>
      </c>
      <c r="B8848" s="3" t="str">
        <f>HYPERLINK("https://www.773grp.com/manufacturer/national-semiconductor?pageNo=3", "National Semiconductor")</f>
        <v>National Semiconductor</v>
      </c>
      <c r="C8848" s="6">
        <v>1496</v>
      </c>
      <c r="D8848" s="7">
        <v>11.09</v>
      </c>
      <c r="E8848" t="s">
        <v>31</v>
      </c>
    </row>
    <row r="8849" spans="1:5" x14ac:dyDescent="0.25">
      <c r="A8849" t="str">
        <f>HYPERLINK("https://www.773grp.com/globalSearch/100102FC/page-1", "100102FC")</f>
        <v>100102FC</v>
      </c>
      <c r="B8849" s="3" t="str">
        <f>HYPERLINK("https://www.773grp.com/manufacturer/national-semiconductor?pageNo=4", "National Semiconductor")</f>
        <v>National Semiconductor</v>
      </c>
      <c r="C8849" s="6">
        <v>2169</v>
      </c>
      <c r="D8849" s="7">
        <v>11.09</v>
      </c>
      <c r="E8849" t="s">
        <v>31</v>
      </c>
    </row>
    <row r="8850" spans="1:5" x14ac:dyDescent="0.25">
      <c r="A8850" t="str">
        <f>HYPERLINK("https://www.773grp.com/globalSearch/100102FCQL/page-1", "100102FCQL")</f>
        <v>100102FCQL</v>
      </c>
      <c r="B8850" s="3" t="str">
        <f>HYPERLINK("https://www.773grp.com/manufacturer/national-semiconductor?pageNo=5", "National Semiconductor")</f>
        <v>National Semiconductor</v>
      </c>
      <c r="C8850" s="6">
        <v>1910</v>
      </c>
      <c r="D8850" s="7">
        <v>11.09</v>
      </c>
    </row>
    <row r="8851" spans="1:5" x14ac:dyDescent="0.25">
      <c r="A8851" t="str">
        <f>HYPERLINK("https://www.773grp.com/globalSearch/100102FCQR/page-1", "100102FCQR")</f>
        <v>100102FCQR</v>
      </c>
      <c r="B8851" s="3" t="str">
        <f>HYPERLINK("https://www.773grp.com/manufacturer/national-semiconductor?pageNo=6", "National Semiconductor")</f>
        <v>National Semiconductor</v>
      </c>
      <c r="C8851" s="6">
        <v>2506</v>
      </c>
      <c r="D8851" s="7">
        <v>11.09</v>
      </c>
      <c r="E8851" t="s">
        <v>31</v>
      </c>
    </row>
    <row r="8852" spans="1:5" x14ac:dyDescent="0.25">
      <c r="A8852" t="str">
        <f>HYPERLINK("https://www.773grp.com/globalSearch/54F283LM/page-1", "54F283LM")</f>
        <v>54F283LM</v>
      </c>
      <c r="B8852" s="3" t="str">
        <f>HYPERLINK("https://www.773grp.com/manufacturer/national-semiconductor?pageNo=7", "National Semiconductor")</f>
        <v>National Semiconductor</v>
      </c>
      <c r="C8852" s="6">
        <v>679</v>
      </c>
      <c r="D8852" s="7">
        <v>11.09</v>
      </c>
      <c r="E8852" t="s">
        <v>43</v>
      </c>
    </row>
    <row r="8853" spans="1:5" x14ac:dyDescent="0.25">
      <c r="A8853" t="str">
        <f>HYPERLINK("https://www.773grp.com/globalSearch/54F283LMQB/page-1", "54F283LMQB")</f>
        <v>54F283LMQB</v>
      </c>
      <c r="B8853" s="3" t="str">
        <f>HYPERLINK("https://www.773grp.com/manufacturer/national-semiconductor?pageNo=8", "National Semiconductor")</f>
        <v>National Semiconductor</v>
      </c>
      <c r="C8853" s="6">
        <v>65</v>
      </c>
      <c r="D8853" s="7">
        <v>11.09</v>
      </c>
      <c r="E8853" t="s">
        <v>43</v>
      </c>
    </row>
    <row r="8854" spans="1:5" x14ac:dyDescent="0.25">
      <c r="A8854" t="str">
        <f>HYPERLINK("https://www.773grp.com/globalSearch/54F374LM/page-1", "54F374LM")</f>
        <v>54F374LM</v>
      </c>
      <c r="B8854" s="3" t="str">
        <f>HYPERLINK("https://www.773grp.com/manufacturer/national-semiconductor?pageNo=9", "National Semiconductor")</f>
        <v>National Semiconductor</v>
      </c>
      <c r="C8854" s="6">
        <v>174</v>
      </c>
      <c r="D8854" s="7">
        <v>11.09</v>
      </c>
      <c r="E8854" t="s">
        <v>14</v>
      </c>
    </row>
    <row r="8855" spans="1:5" x14ac:dyDescent="0.25">
      <c r="A8855" t="str">
        <f>HYPERLINK("https://www.773grp.com/globalSearch/ADC10064CIWMX-NOPB/page-1", "ADC10064CIWMX-NOPB")</f>
        <v>ADC10064CIWMX-NOPB</v>
      </c>
      <c r="B8855" s="3" t="str">
        <f>HYPERLINK("https://www.773grp.com/manufacturer/national-semiconductor?pageNo=10", "National Semiconductor")</f>
        <v>National Semiconductor</v>
      </c>
      <c r="C8855" s="6">
        <v>2000</v>
      </c>
      <c r="D8855" s="7">
        <v>11.09</v>
      </c>
    </row>
    <row r="8856" spans="1:5" x14ac:dyDescent="0.25">
      <c r="A8856" t="str">
        <f>HYPERLINK("https://www.773grp.com/globalSearch/DS14C335MSAX-NOPB/page-1", "DS14C335MSAX-NOPB")</f>
        <v>DS14C335MSAX-NOPB</v>
      </c>
      <c r="B8856" s="3" t="str">
        <f>HYPERLINK("https://www.773grp.com/manufacturer/national-semiconductor?pageNo=11", "National Semiconductor")</f>
        <v>National Semiconductor</v>
      </c>
      <c r="C8856" s="6">
        <v>8000</v>
      </c>
      <c r="D8856" s="7">
        <v>11.09</v>
      </c>
      <c r="E8856" t="s">
        <v>21</v>
      </c>
    </row>
    <row r="8857" spans="1:5" x14ac:dyDescent="0.25">
      <c r="A8857" t="str">
        <f>HYPERLINK("https://www.773grp.com/globalSearch/DS3896M/page-1", "DS3896M")</f>
        <v>DS3896M</v>
      </c>
      <c r="B8857" s="3" t="str">
        <f>HYPERLINK("https://www.773grp.com/manufacturer/national-semiconductor?pageNo=12", "National Semiconductor")</f>
        <v>National Semiconductor</v>
      </c>
      <c r="C8857" s="6">
        <v>1224</v>
      </c>
      <c r="D8857" s="7">
        <v>11.09</v>
      </c>
      <c r="E8857" t="s">
        <v>21</v>
      </c>
    </row>
    <row r="8858" spans="1:5" x14ac:dyDescent="0.25">
      <c r="A8858" t="str">
        <f>HYPERLINK("https://www.773grp.com/globalSearch/DS3896MX/page-1", "DS3896MX")</f>
        <v>DS3896MX</v>
      </c>
      <c r="B8858" s="3" t="str">
        <f>HYPERLINK("https://www.773grp.com/manufacturer/national-semiconductor?pageNo=13", "National Semiconductor")</f>
        <v>National Semiconductor</v>
      </c>
      <c r="C8858" s="6">
        <v>8000</v>
      </c>
      <c r="D8858" s="7">
        <v>11.09</v>
      </c>
      <c r="E8858" t="s">
        <v>21</v>
      </c>
    </row>
    <row r="8859" spans="1:5" x14ac:dyDescent="0.25">
      <c r="A8859" t="str">
        <f>HYPERLINK("https://www.773grp.com/globalSearch/DS92LV1023EMQX/page-1", "DS92LV1023EMQX")</f>
        <v>DS92LV1023EMQX</v>
      </c>
      <c r="B8859" s="3" t="str">
        <f>HYPERLINK("https://www.773grp.com/manufacturer/national-semiconductor?pageNo=14", "National Semiconductor")</f>
        <v>National Semiconductor</v>
      </c>
      <c r="C8859" s="6">
        <v>2000</v>
      </c>
      <c r="D8859" s="7">
        <v>11.09</v>
      </c>
    </row>
    <row r="8860" spans="1:5" x14ac:dyDescent="0.25">
      <c r="A8860" t="str">
        <f>HYPERLINK("https://www.773grp.com/globalSearch/LM4930ITLX-NOPB/page-1", "LM4930ITLX-NOPB")</f>
        <v>LM4930ITLX-NOPB</v>
      </c>
      <c r="B8860" s="3" t="str">
        <f>HYPERLINK("https://www.773grp.com/manufacturer/national-semiconductor?pageNo=15", "National Semiconductor")</f>
        <v>National Semiconductor</v>
      </c>
      <c r="C8860" s="6">
        <v>12000</v>
      </c>
      <c r="D8860" s="7">
        <v>11.09</v>
      </c>
    </row>
    <row r="8861" spans="1:5" x14ac:dyDescent="0.25">
      <c r="A8861" t="str">
        <f>HYPERLINK("https://www.773grp.com/globalSearch/LM4930LQ-NOPB/page-1", "LM4930LQ-NOPB")</f>
        <v>LM4930LQ-NOPB</v>
      </c>
      <c r="B8861" s="3" t="str">
        <f>HYPERLINK("https://www.773grp.com/manufacturer/national-semiconductor?pageNo=16", "National Semiconductor")</f>
        <v>National Semiconductor</v>
      </c>
      <c r="C8861" s="6">
        <v>309</v>
      </c>
      <c r="D8861" s="7">
        <v>11.09</v>
      </c>
      <c r="E8861" t="s">
        <v>23</v>
      </c>
    </row>
    <row r="8862" spans="1:5" x14ac:dyDescent="0.25">
      <c r="A8862" t="str">
        <f>HYPERLINK("https://www.773grp.com/globalSearch/ADC12138CIMSA-NOPB/page-1", "ADC12138CIMSA-NOPB")</f>
        <v>ADC12138CIMSA-NOPB</v>
      </c>
      <c r="B8862" s="3" t="str">
        <f>HYPERLINK("https://www.773grp.com/manufacturer/national-semiconductor?pageNo=17", "National Semiconductor")</f>
        <v>National Semiconductor</v>
      </c>
      <c r="C8862" s="6">
        <v>3169</v>
      </c>
      <c r="D8862" s="7">
        <v>11.09</v>
      </c>
    </row>
    <row r="8863" spans="1:5" x14ac:dyDescent="0.25">
      <c r="A8863" t="str">
        <f>HYPERLINK("https://www.773grp.com/globalSearch/DS14C335MSAX-NOPB/page-1", "DS14C335MSAX-NOPB")</f>
        <v>DS14C335MSAX-NOPB</v>
      </c>
      <c r="B8863" s="3" t="str">
        <f>HYPERLINK("https://www.773grp.com/manufacturer/national-semiconductor?pageNo=18", "National Semiconductor")</f>
        <v>National Semiconductor</v>
      </c>
      <c r="C8863" s="6">
        <v>2000</v>
      </c>
      <c r="D8863" s="7">
        <v>11.09</v>
      </c>
      <c r="E8863" t="s">
        <v>21</v>
      </c>
    </row>
    <row r="8864" spans="1:5" x14ac:dyDescent="0.25">
      <c r="A8864" t="str">
        <f>HYPERLINK("https://www.773grp.com/globalSearch/DS92LV1023EMQX-NOPB/page-1", "DS92LV1023EMQX-NOPB")</f>
        <v>DS92LV1023EMQX-NOPB</v>
      </c>
      <c r="B8864" s="3" t="str">
        <f>HYPERLINK("https://www.773grp.com/manufacturer/national-semiconductor?pageNo=19", "National Semiconductor")</f>
        <v>National Semiconductor</v>
      </c>
      <c r="C8864" s="6">
        <v>10000</v>
      </c>
      <c r="D8864" s="7">
        <v>11.09</v>
      </c>
    </row>
    <row r="8865" spans="1:5" x14ac:dyDescent="0.25">
      <c r="A8865" t="str">
        <f>HYPERLINK("https://www.773grp.com/globalSearch/LMP90097MHE-NOPB/page-1", "LMP90097MHE-NOPB")</f>
        <v>LMP90097MHE-NOPB</v>
      </c>
      <c r="B8865" s="3" t="str">
        <f>HYPERLINK("https://www.773grp.com/manufacturer/national-semiconductor?pageNo=20", "National Semiconductor")</f>
        <v>National Semiconductor</v>
      </c>
      <c r="C8865" s="6">
        <v>500</v>
      </c>
      <c r="D8865" s="7">
        <v>11.09</v>
      </c>
    </row>
    <row r="8866" spans="1:5" x14ac:dyDescent="0.25">
      <c r="A8866" t="str">
        <f>HYPERLINK("https://www.773grp.com/globalSearch/9016DC/page-1", "9016DC")</f>
        <v>9016DC</v>
      </c>
      <c r="B8866" s="3" t="str">
        <f>HYPERLINK("https://www.773grp.com/manufacturer/national-semiconductor?pageNo=21", "National Semiconductor")</f>
        <v>National Semiconductor</v>
      </c>
      <c r="C8866" s="6">
        <v>9888</v>
      </c>
      <c r="D8866" s="7">
        <v>11.1</v>
      </c>
    </row>
    <row r="8867" spans="1:5" x14ac:dyDescent="0.25">
      <c r="A8867" t="str">
        <f>HYPERLINK("https://www.773grp.com/globalSearch/JD54LS32BCA/page-1", "JD54LS32BCA")</f>
        <v>JD54LS32BCA</v>
      </c>
      <c r="B8867" s="3" t="str">
        <f>HYPERLINK("https://www.773grp.com/manufacturer/national-semiconductor?pageNo=22", "National Semiconductor")</f>
        <v>National Semiconductor</v>
      </c>
      <c r="C8867" s="6">
        <v>814</v>
      </c>
      <c r="D8867" s="7">
        <v>11.1</v>
      </c>
    </row>
    <row r="8868" spans="1:5" x14ac:dyDescent="0.25">
      <c r="A8868" t="str">
        <f>HYPERLINK("https://www.773grp.com/globalSearch/LM2587S-3.3-NOPB/page-1", "LM2587S-3.3-NOPB")</f>
        <v>LM2587S-3.3-NOPB</v>
      </c>
      <c r="B8868" s="3" t="str">
        <f>HYPERLINK("https://www.773grp.com/manufacturer/national-semiconductor?pageNo=23", "National Semiconductor")</f>
        <v>National Semiconductor</v>
      </c>
      <c r="C8868" s="6">
        <v>152</v>
      </c>
      <c r="D8868" s="7">
        <v>11.1</v>
      </c>
      <c r="E8868" t="s">
        <v>7</v>
      </c>
    </row>
    <row r="8869" spans="1:5" x14ac:dyDescent="0.25">
      <c r="A8869" t="str">
        <f>HYPERLINK("https://www.773grp.com/globalSearch/LM2587SX-12-NOPB/page-1", "LM2587SX-12-NOPB")</f>
        <v>LM2587SX-12-NOPB</v>
      </c>
      <c r="B8869" s="3" t="str">
        <f>HYPERLINK("https://www.773grp.com/manufacturer/national-semiconductor?pageNo=24", "National Semiconductor")</f>
        <v>National Semiconductor</v>
      </c>
      <c r="C8869" s="6">
        <v>2000</v>
      </c>
      <c r="D8869" s="7">
        <v>11.1</v>
      </c>
      <c r="E8869" t="s">
        <v>7</v>
      </c>
    </row>
    <row r="8870" spans="1:5" x14ac:dyDescent="0.25">
      <c r="A8870" t="str">
        <f>HYPERLINK("https://www.773grp.com/globalSearch/LM2587SX-5.0-NOPB/page-1", "LM2587SX-5.0-NOPB")</f>
        <v>LM2587SX-5.0-NOPB</v>
      </c>
      <c r="B8870" s="3" t="str">
        <f>HYPERLINK("https://www.773grp.com/manufacturer/national-semiconductor?pageNo=25", "National Semiconductor")</f>
        <v>National Semiconductor</v>
      </c>
      <c r="C8870" s="6">
        <v>50</v>
      </c>
      <c r="D8870" s="7">
        <v>11.1</v>
      </c>
      <c r="E8870" t="s">
        <v>7</v>
      </c>
    </row>
    <row r="8871" spans="1:5" x14ac:dyDescent="0.25">
      <c r="A8871" t="str">
        <f>HYPERLINK("https://www.773grp.com/globalSearch/LM2587SX-ADJ-NOPB/page-1", "LM2587SX-ADJ-NOPB")</f>
        <v>LM2587SX-ADJ-NOPB</v>
      </c>
      <c r="B8871" s="3" t="str">
        <f>HYPERLINK("https://www.773grp.com/manufacturer/national-semiconductor?pageNo=26", "National Semiconductor")</f>
        <v>National Semiconductor</v>
      </c>
      <c r="C8871" s="6">
        <v>4500</v>
      </c>
      <c r="D8871" s="7">
        <v>11.1</v>
      </c>
      <c r="E8871" t="s">
        <v>7</v>
      </c>
    </row>
    <row r="8872" spans="1:5" x14ac:dyDescent="0.25">
      <c r="A8872" t="str">
        <f>HYPERLINK("https://www.773grp.com/globalSearch/LM2587T-12-NOPB/page-1", "LM2587T-12-NOPB")</f>
        <v>LM2587T-12-NOPB</v>
      </c>
      <c r="B8872" s="3" t="str">
        <f>HYPERLINK("https://www.773grp.com/manufacturer/national-semiconductor?pageNo=27", "National Semiconductor")</f>
        <v>National Semiconductor</v>
      </c>
      <c r="C8872" s="6">
        <v>263</v>
      </c>
      <c r="D8872" s="7">
        <v>11.1</v>
      </c>
      <c r="E8872" t="s">
        <v>7</v>
      </c>
    </row>
    <row r="8873" spans="1:5" x14ac:dyDescent="0.25">
      <c r="A8873" t="str">
        <f>HYPERLINK("https://www.773grp.com/globalSearch/LM2587T-3.3-NOPB/page-1", "LM2587T-3.3-NOPB")</f>
        <v>LM2587T-3.3-NOPB</v>
      </c>
      <c r="B8873" s="3" t="str">
        <f>HYPERLINK("https://www.773grp.com/manufacturer/national-semiconductor?pageNo=28", "National Semiconductor")</f>
        <v>National Semiconductor</v>
      </c>
      <c r="C8873" s="6">
        <v>87</v>
      </c>
      <c r="D8873" s="7">
        <v>11.1</v>
      </c>
    </row>
    <row r="8874" spans="1:5" x14ac:dyDescent="0.25">
      <c r="A8874" t="str">
        <f>HYPERLINK("https://www.773grp.com/globalSearch/LM2587T-ADJ-NOPB/page-1", "LM2587T-ADJ-NOPB")</f>
        <v>LM2587T-ADJ-NOPB</v>
      </c>
      <c r="B8874" s="3" t="str">
        <f>HYPERLINK("https://www.773grp.com/manufacturer/national-semiconductor?pageNo=29", "National Semiconductor")</f>
        <v>National Semiconductor</v>
      </c>
      <c r="C8874" s="6">
        <v>526</v>
      </c>
      <c r="D8874" s="7">
        <v>11.1</v>
      </c>
      <c r="E8874" t="s">
        <v>7</v>
      </c>
    </row>
    <row r="8875" spans="1:5" x14ac:dyDescent="0.25">
      <c r="A8875" t="str">
        <f>HYPERLINK("https://www.773grp.com/globalSearch/LM2592HVS-5.0/page-1", "LM2592HVS-5.0")</f>
        <v>LM2592HVS-5.0</v>
      </c>
      <c r="B8875" s="3" t="str">
        <f>HYPERLINK("https://www.773grp.com/manufacturer/national-semiconductor?pageNo=30", "National Semiconductor")</f>
        <v>National Semiconductor</v>
      </c>
      <c r="C8875" s="6">
        <v>115</v>
      </c>
      <c r="D8875" s="7">
        <v>11.1</v>
      </c>
      <c r="E8875" t="s">
        <v>7</v>
      </c>
    </row>
    <row r="8876" spans="1:5" x14ac:dyDescent="0.25">
      <c r="A8876" t="str">
        <f>HYPERLINK("https://www.773grp.com/globalSearch/LM2592HVS-ADJ/page-1", "LM2592HVS-ADJ")</f>
        <v>LM2592HVS-ADJ</v>
      </c>
      <c r="B8876" s="3" t="str">
        <f>HYPERLINK("https://www.773grp.com/manufacturer/national-semiconductor?pageNo=31", "National Semiconductor")</f>
        <v>National Semiconductor</v>
      </c>
      <c r="C8876" s="6">
        <v>250</v>
      </c>
      <c r="D8876" s="7">
        <v>11.1</v>
      </c>
      <c r="E8876" t="s">
        <v>7</v>
      </c>
    </row>
    <row r="8877" spans="1:5" x14ac:dyDescent="0.25">
      <c r="A8877" t="str">
        <f>HYPERLINK("https://www.773grp.com/globalSearch/LM4931ITL-NOPB/page-1", "LM4931ITL-NOPB")</f>
        <v>LM4931ITL-NOPB</v>
      </c>
      <c r="B8877" s="3" t="str">
        <f>HYPERLINK("https://www.773grp.com/manufacturer/national-semiconductor?pageNo=32", "National Semiconductor")</f>
        <v>National Semiconductor</v>
      </c>
      <c r="C8877" s="6">
        <v>91</v>
      </c>
      <c r="D8877" s="7">
        <v>11.1</v>
      </c>
      <c r="E8877" t="s">
        <v>23</v>
      </c>
    </row>
    <row r="8878" spans="1:5" x14ac:dyDescent="0.25">
      <c r="A8878" t="str">
        <f>HYPERLINK("https://www.773grp.com/globalSearch/SM72442MTE/page-1", "SM72442MTE")</f>
        <v>SM72442MTE</v>
      </c>
      <c r="B8878" s="3" t="str">
        <f>HYPERLINK("https://www.773grp.com/manufacturer/national-semiconductor?pageNo=33", "National Semiconductor")</f>
        <v>National Semiconductor</v>
      </c>
      <c r="C8878" s="6">
        <v>250</v>
      </c>
      <c r="D8878" s="7">
        <v>11.1</v>
      </c>
      <c r="E8878" t="s">
        <v>40</v>
      </c>
    </row>
    <row r="8879" spans="1:5" x14ac:dyDescent="0.25">
      <c r="A8879" t="str">
        <f>HYPERLINK("https://www.773grp.com/globalSearch/LM2587SX-5.0-NOPB/page-1", "LM2587SX-5.0-NOPB")</f>
        <v>LM2587SX-5.0-NOPB</v>
      </c>
      <c r="B8879" s="3" t="str">
        <f>HYPERLINK("https://www.773grp.com/manufacturer/national-semiconductor?pageNo=34", "National Semiconductor")</f>
        <v>National Semiconductor</v>
      </c>
      <c r="C8879" s="6">
        <v>500</v>
      </c>
      <c r="D8879" s="7">
        <v>11.1</v>
      </c>
      <c r="E8879" t="s">
        <v>7</v>
      </c>
    </row>
    <row r="8880" spans="1:5" x14ac:dyDescent="0.25">
      <c r="A8880" t="str">
        <f>HYPERLINK("https://www.773grp.com/globalSearch/LM2587T-12-NOPB/page-1", "LM2587T-12-NOPB")</f>
        <v>LM2587T-12-NOPB</v>
      </c>
      <c r="B8880" s="3" t="str">
        <f>HYPERLINK("https://www.773grp.com/manufacturer/national-semiconductor?pageNo=35", "National Semiconductor")</f>
        <v>National Semiconductor</v>
      </c>
      <c r="C8880" s="6">
        <v>160</v>
      </c>
      <c r="D8880" s="7">
        <v>11.1</v>
      </c>
      <c r="E8880" t="s">
        <v>7</v>
      </c>
    </row>
    <row r="8881" spans="1:5" x14ac:dyDescent="0.25">
      <c r="A8881" t="str">
        <f>HYPERLINK("https://www.773grp.com/globalSearch/LM2587T-3.3-NOPB/page-1", "LM2587T-3.3-NOPB")</f>
        <v>LM2587T-3.3-NOPB</v>
      </c>
      <c r="B8881" s="3" t="str">
        <f>HYPERLINK("https://www.773grp.com/manufacturer/national-semiconductor?pageNo=36", "National Semiconductor")</f>
        <v>National Semiconductor</v>
      </c>
      <c r="C8881" s="6">
        <v>978</v>
      </c>
      <c r="D8881" s="7">
        <v>11.1</v>
      </c>
    </row>
    <row r="8882" spans="1:5" x14ac:dyDescent="0.25">
      <c r="A8882" t="str">
        <f>HYPERLINK("https://www.773grp.com/globalSearch/LM2587T-5.0-NOPB/page-1", "LM2587T-5.0-NOPB")</f>
        <v>LM2587T-5.0-NOPB</v>
      </c>
      <c r="B8882" s="3" t="str">
        <f>HYPERLINK("https://www.773grp.com/manufacturer/national-semiconductor?pageNo=37", "National Semiconductor")</f>
        <v>National Semiconductor</v>
      </c>
      <c r="C8882" s="6">
        <v>6</v>
      </c>
      <c r="D8882" s="7">
        <v>11.1</v>
      </c>
    </row>
    <row r="8883" spans="1:5" x14ac:dyDescent="0.25">
      <c r="A8883" t="str">
        <f>HYPERLINK("https://www.773grp.com/globalSearch/LM2587T-ADJ-NOPB/page-1", "LM2587T-ADJ-NOPB")</f>
        <v>LM2587T-ADJ-NOPB</v>
      </c>
      <c r="B8883" s="3" t="str">
        <f>HYPERLINK("https://www.773grp.com/manufacturer/national-semiconductor?pageNo=38", "National Semiconductor")</f>
        <v>National Semiconductor</v>
      </c>
      <c r="C8883" s="6">
        <v>957</v>
      </c>
      <c r="D8883" s="7">
        <v>11.1</v>
      </c>
      <c r="E8883" t="s">
        <v>7</v>
      </c>
    </row>
    <row r="8884" spans="1:5" x14ac:dyDescent="0.25">
      <c r="A8884" t="str">
        <f>HYPERLINK("https://www.773grp.com/globalSearch/LM2592HVS-5.0/page-1", "LM2592HVS-5.0")</f>
        <v>LM2592HVS-5.0</v>
      </c>
      <c r="B8884" s="3" t="str">
        <f>HYPERLINK("https://www.773grp.com/manufacturer/national-semiconductor?pageNo=39", "National Semiconductor")</f>
        <v>National Semiconductor</v>
      </c>
      <c r="C8884" s="6">
        <v>135</v>
      </c>
      <c r="D8884" s="7">
        <v>11.1</v>
      </c>
      <c r="E8884" t="s">
        <v>7</v>
      </c>
    </row>
    <row r="8885" spans="1:5" x14ac:dyDescent="0.25">
      <c r="A8885" t="str">
        <f>HYPERLINK("https://www.773grp.com/globalSearch/LM2592HVS-ADJ/page-1", "LM2592HVS-ADJ")</f>
        <v>LM2592HVS-ADJ</v>
      </c>
      <c r="B8885" s="3" t="str">
        <f>HYPERLINK("https://www.773grp.com/manufacturer/national-semiconductor?pageNo=40", "National Semiconductor")</f>
        <v>National Semiconductor</v>
      </c>
      <c r="C8885" s="6">
        <v>1350</v>
      </c>
      <c r="D8885" s="7">
        <v>11.1</v>
      </c>
      <c r="E8885" t="s">
        <v>7</v>
      </c>
    </row>
    <row r="8886" spans="1:5" x14ac:dyDescent="0.25">
      <c r="A8886" t="str">
        <f>HYPERLINK("https://www.773grp.com/globalSearch/LM4931ITL-NOPB/page-1", "LM4931ITL-NOPB")</f>
        <v>LM4931ITL-NOPB</v>
      </c>
      <c r="B8886" s="3" t="str">
        <f>HYPERLINK("https://www.773grp.com/manufacturer/national-semiconductor?pageNo=41", "National Semiconductor")</f>
        <v>National Semiconductor</v>
      </c>
      <c r="C8886" s="6">
        <v>750</v>
      </c>
      <c r="D8886" s="7">
        <v>11.1</v>
      </c>
      <c r="E8886" t="s">
        <v>23</v>
      </c>
    </row>
    <row r="8887" spans="1:5" x14ac:dyDescent="0.25">
      <c r="A8887" t="str">
        <f>HYPERLINK("https://www.773grp.com/globalSearch/74FCT240ASC/page-1", "74FCT240ASC")</f>
        <v>74FCT240ASC</v>
      </c>
      <c r="B8887" s="3" t="str">
        <f>HYPERLINK("https://www.773grp.com/manufacturer/national-semiconductor?pageNo=42", "National Semiconductor")</f>
        <v>National Semiconductor</v>
      </c>
      <c r="C8887" s="6">
        <v>2766</v>
      </c>
      <c r="D8887" s="7">
        <v>11.14</v>
      </c>
      <c r="E8887" t="s">
        <v>14</v>
      </c>
    </row>
    <row r="8888" spans="1:5" x14ac:dyDescent="0.25">
      <c r="A8888" t="str">
        <f>HYPERLINK("https://www.773grp.com/globalSearch/74FCT534APC/page-1", "74FCT534APC")</f>
        <v>74FCT534APC</v>
      </c>
      <c r="B8888" s="3" t="str">
        <f>HYPERLINK("https://www.773grp.com/manufacturer/national-semiconductor?pageNo=43", "National Semiconductor")</f>
        <v>National Semiconductor</v>
      </c>
      <c r="C8888" s="6">
        <v>2682</v>
      </c>
      <c r="D8888" s="7">
        <v>11.14</v>
      </c>
      <c r="E8888" t="s">
        <v>14</v>
      </c>
    </row>
    <row r="8889" spans="1:5" x14ac:dyDescent="0.25">
      <c r="A8889" t="str">
        <f>HYPERLINK("https://www.773grp.com/globalSearch/74FCT534ASC/page-1", "74FCT534ASC")</f>
        <v>74FCT534ASC</v>
      </c>
      <c r="B8889" s="3" t="str">
        <f>HYPERLINK("https://www.773grp.com/manufacturer/national-semiconductor?pageNo=44", "National Semiconductor")</f>
        <v>National Semiconductor</v>
      </c>
      <c r="C8889" s="6">
        <v>2160</v>
      </c>
      <c r="D8889" s="7">
        <v>11.14</v>
      </c>
      <c r="E8889" t="s">
        <v>14</v>
      </c>
    </row>
    <row r="8890" spans="1:5" x14ac:dyDescent="0.25">
      <c r="A8890" t="str">
        <f>HYPERLINK("https://www.773grp.com/globalSearch/74FCT564APC/page-1", "74FCT564APC")</f>
        <v>74FCT564APC</v>
      </c>
      <c r="B8890" s="3" t="str">
        <f>HYPERLINK("https://www.773grp.com/manufacturer/national-semiconductor?pageNo=45", "National Semiconductor")</f>
        <v>National Semiconductor</v>
      </c>
      <c r="C8890" s="6">
        <v>2014</v>
      </c>
      <c r="D8890" s="7">
        <v>11.14</v>
      </c>
      <c r="E8890" t="s">
        <v>14</v>
      </c>
    </row>
    <row r="8891" spans="1:5" x14ac:dyDescent="0.25">
      <c r="A8891" t="str">
        <f>HYPERLINK("https://www.773grp.com/globalSearch/ADC08L060CIMT-NOPB/page-1", "ADC08L060CIMT-NOPB")</f>
        <v>ADC08L060CIMT-NOPB</v>
      </c>
      <c r="B8891" s="3" t="str">
        <f>HYPERLINK("https://www.773grp.com/manufacturer/national-semiconductor?pageNo=46", "National Semiconductor")</f>
        <v>National Semiconductor</v>
      </c>
      <c r="C8891" s="6">
        <v>24</v>
      </c>
      <c r="D8891" s="7">
        <v>11.14</v>
      </c>
      <c r="E8891" t="s">
        <v>39</v>
      </c>
    </row>
    <row r="8892" spans="1:5" x14ac:dyDescent="0.25">
      <c r="A8892" t="str">
        <f>HYPERLINK("https://www.773grp.com/globalSearch/LM21212MH-2-NOPB/page-1", "LM21212MH-2-NOPB")</f>
        <v>LM21212MH-2-NOPB</v>
      </c>
      <c r="B8892" s="3" t="str">
        <f>HYPERLINK("https://www.773grp.com/manufacturer/national-semiconductor?pageNo=47", "National Semiconductor")</f>
        <v>National Semiconductor</v>
      </c>
      <c r="C8892" s="6">
        <v>112</v>
      </c>
      <c r="D8892" s="7">
        <v>11.14</v>
      </c>
    </row>
    <row r="8893" spans="1:5" x14ac:dyDescent="0.25">
      <c r="A8893" t="str">
        <f>HYPERLINK("https://www.773grp.com/globalSearch/LMP7312MA-NOPB/page-1", "LMP7312MA-NOPB")</f>
        <v>LMP7312MA-NOPB</v>
      </c>
      <c r="B8893" s="3" t="str">
        <f>HYPERLINK("https://www.773grp.com/manufacturer/national-semiconductor?pageNo=48", "National Semiconductor")</f>
        <v>National Semiconductor</v>
      </c>
      <c r="C8893" s="6">
        <v>442</v>
      </c>
      <c r="D8893" s="7">
        <v>11.14</v>
      </c>
    </row>
    <row r="8894" spans="1:5" x14ac:dyDescent="0.25">
      <c r="A8894" t="str">
        <f>HYPERLINK("https://www.773grp.com/globalSearch/ADC08L060CIMT-NOPB/page-1", "ADC08L060CIMT-NOPB")</f>
        <v>ADC08L060CIMT-NOPB</v>
      </c>
      <c r="B8894" s="3" t="str">
        <f>HYPERLINK("https://www.773grp.com/manufacturer/national-semiconductor?pageNo=49", "National Semiconductor")</f>
        <v>National Semiconductor</v>
      </c>
      <c r="C8894" s="6">
        <v>130</v>
      </c>
      <c r="D8894" s="7">
        <v>11.14</v>
      </c>
      <c r="E8894" t="s">
        <v>39</v>
      </c>
    </row>
    <row r="8895" spans="1:5" x14ac:dyDescent="0.25">
      <c r="A8895" t="str">
        <f>HYPERLINK("https://www.773grp.com/globalSearch/LM21212MH-1-NOPB/page-1", "LM21212MH-1-NOPB")</f>
        <v>LM21212MH-1-NOPB</v>
      </c>
      <c r="B8895" s="3" t="str">
        <f>HYPERLINK("https://www.773grp.com/manufacturer/national-semiconductor?pageNo=50", "National Semiconductor")</f>
        <v>National Semiconductor</v>
      </c>
      <c r="C8895" s="6">
        <v>292</v>
      </c>
      <c r="D8895" s="7">
        <v>11.14</v>
      </c>
    </row>
    <row r="8896" spans="1:5" x14ac:dyDescent="0.25">
      <c r="A8896" t="str">
        <f>HYPERLINK("https://www.773grp.com/globalSearch/LMP7312MA-NOPB/page-1", "LMP7312MA-NOPB")</f>
        <v>LMP7312MA-NOPB</v>
      </c>
      <c r="B8896" s="3" t="str">
        <f>HYPERLINK("https://www.773grp.com/manufacturer/national-semiconductor?pageNo=51", "National Semiconductor")</f>
        <v>National Semiconductor</v>
      </c>
      <c r="C8896" s="6">
        <v>247</v>
      </c>
      <c r="D8896" s="7">
        <v>11.14</v>
      </c>
    </row>
    <row r="8897" spans="1:5" x14ac:dyDescent="0.25">
      <c r="A8897" t="str">
        <f>HYPERLINK("https://www.773grp.com/globalSearch/4017BDC/page-1", "4017BDC")</f>
        <v>4017BDC</v>
      </c>
      <c r="B8897" s="3" t="str">
        <f>HYPERLINK("https://www.773grp.com/manufacturer/national-semiconductor?pageNo=52", "National Semiconductor")</f>
        <v>National Semiconductor</v>
      </c>
      <c r="C8897" s="6">
        <v>737</v>
      </c>
      <c r="D8897" s="7">
        <v>11.18</v>
      </c>
    </row>
    <row r="8898" spans="1:5" x14ac:dyDescent="0.25">
      <c r="A8898" t="str">
        <f>HYPERLINK("https://www.773grp.com/globalSearch/4019BDM/page-1", "4019BDM")</f>
        <v>4019BDM</v>
      </c>
      <c r="B8898" s="3" t="str">
        <f>HYPERLINK("https://www.773grp.com/manufacturer/national-semiconductor?pageNo=53", "National Semiconductor")</f>
        <v>National Semiconductor</v>
      </c>
      <c r="C8898" s="6">
        <v>19275</v>
      </c>
      <c r="D8898" s="7">
        <v>11.18</v>
      </c>
    </row>
    <row r="8899" spans="1:5" x14ac:dyDescent="0.25">
      <c r="A8899" t="str">
        <f>HYPERLINK("https://www.773grp.com/globalSearch/4050BDM/page-1", "4050BDM")</f>
        <v>4050BDM</v>
      </c>
      <c r="B8899" s="3" t="str">
        <f>HYPERLINK("https://www.773grp.com/manufacturer/national-semiconductor?pageNo=54", "National Semiconductor")</f>
        <v>National Semiconductor</v>
      </c>
      <c r="C8899" s="6">
        <v>1275</v>
      </c>
      <c r="D8899" s="7">
        <v>11.18</v>
      </c>
    </row>
    <row r="8900" spans="1:5" x14ac:dyDescent="0.25">
      <c r="A8900" t="str">
        <f>HYPERLINK("https://www.773grp.com/globalSearch/4528BDC/page-1", "4528BDC")</f>
        <v>4528BDC</v>
      </c>
      <c r="B8900" s="3" t="str">
        <f>HYPERLINK("https://www.773grp.com/manufacturer/national-semiconductor?pageNo=55", "National Semiconductor")</f>
        <v>National Semiconductor</v>
      </c>
      <c r="C8900" s="6">
        <v>5181</v>
      </c>
      <c r="D8900" s="7">
        <v>11.18</v>
      </c>
    </row>
    <row r="8901" spans="1:5" x14ac:dyDescent="0.25">
      <c r="A8901" t="str">
        <f>HYPERLINK("https://www.773grp.com/globalSearch/9012DC/page-1", "9012DC")</f>
        <v>9012DC</v>
      </c>
      <c r="B8901" s="3" t="str">
        <f>HYPERLINK("https://www.773grp.com/manufacturer/national-semiconductor?pageNo=56", "National Semiconductor")</f>
        <v>National Semiconductor</v>
      </c>
      <c r="C8901" s="6">
        <v>3711</v>
      </c>
      <c r="D8901" s="7">
        <v>11.18</v>
      </c>
    </row>
    <row r="8902" spans="1:5" x14ac:dyDescent="0.25">
      <c r="A8902" t="str">
        <f>HYPERLINK("https://www.773grp.com/globalSearch/952DC/page-1", "952DC")</f>
        <v>952DC</v>
      </c>
      <c r="B8902" s="3" t="str">
        <f>HYPERLINK("https://www.773grp.com/manufacturer/national-semiconductor?pageNo=57", "National Semiconductor")</f>
        <v>National Semiconductor</v>
      </c>
      <c r="C8902" s="6">
        <v>9350</v>
      </c>
      <c r="D8902" s="7">
        <v>11.18</v>
      </c>
    </row>
    <row r="8903" spans="1:5" x14ac:dyDescent="0.25">
      <c r="A8903" t="str">
        <f>HYPERLINK("https://www.773grp.com/globalSearch/LMH6502MA-NOPB/page-1", "LMH6502MA-NOPB")</f>
        <v>LMH6502MA-NOPB</v>
      </c>
      <c r="B8903" s="3" t="str">
        <f>HYPERLINK("https://www.773grp.com/manufacturer/national-semiconductor?pageNo=58", "National Semiconductor")</f>
        <v>National Semiconductor</v>
      </c>
      <c r="C8903" s="6">
        <v>643</v>
      </c>
      <c r="D8903" s="7">
        <v>11.18</v>
      </c>
      <c r="E8903" t="s">
        <v>40</v>
      </c>
    </row>
    <row r="8904" spans="1:5" x14ac:dyDescent="0.25">
      <c r="A8904" t="str">
        <f>HYPERLINK("https://www.773grp.com/globalSearch/LMH6502MT-NOPB/page-1", "LMH6502MT-NOPB")</f>
        <v>LMH6502MT-NOPB</v>
      </c>
      <c r="B8904" s="3" t="str">
        <f>HYPERLINK("https://www.773grp.com/manufacturer/national-semiconductor?pageNo=59", "National Semiconductor")</f>
        <v>National Semiconductor</v>
      </c>
      <c r="C8904" s="6">
        <v>163</v>
      </c>
      <c r="D8904" s="7">
        <v>11.18</v>
      </c>
      <c r="E8904" t="s">
        <v>40</v>
      </c>
    </row>
    <row r="8905" spans="1:5" x14ac:dyDescent="0.25">
      <c r="A8905" t="str">
        <f>HYPERLINK("https://www.773grp.com/globalSearch/LMH6503MA-NOPB/page-1", "LMH6503MA-NOPB")</f>
        <v>LMH6503MA-NOPB</v>
      </c>
      <c r="B8905" s="3" t="str">
        <f>HYPERLINK("https://www.773grp.com/manufacturer/national-semiconductor?pageNo=60", "National Semiconductor")</f>
        <v>National Semiconductor</v>
      </c>
      <c r="C8905" s="6">
        <v>770</v>
      </c>
      <c r="D8905" s="7">
        <v>11.18</v>
      </c>
      <c r="E8905" t="s">
        <v>40</v>
      </c>
    </row>
    <row r="8906" spans="1:5" x14ac:dyDescent="0.25">
      <c r="A8906" t="str">
        <f>HYPERLINK("https://www.773grp.com/globalSearch/LMH6503MT-NOPB/page-1", "LMH6503MT-NOPB")</f>
        <v>LMH6503MT-NOPB</v>
      </c>
      <c r="B8906" s="3" t="str">
        <f>HYPERLINK("https://www.773grp.com/manufacturer/national-semiconductor?pageNo=61", "National Semiconductor")</f>
        <v>National Semiconductor</v>
      </c>
      <c r="C8906" s="6">
        <v>62</v>
      </c>
      <c r="D8906" s="7">
        <v>11.18</v>
      </c>
      <c r="E8906" t="s">
        <v>40</v>
      </c>
    </row>
    <row r="8907" spans="1:5" x14ac:dyDescent="0.25">
      <c r="A8907" t="str">
        <f>HYPERLINK("https://www.773grp.com/globalSearch/PC16550DN-NOPB/page-1", "PC16550DN-NOPB")</f>
        <v>PC16550DN-NOPB</v>
      </c>
      <c r="B8907" s="3" t="str">
        <f>HYPERLINK("https://www.773grp.com/manufacturer/national-semiconductor?pageNo=62", "National Semiconductor")</f>
        <v>National Semiconductor</v>
      </c>
      <c r="C8907" s="6">
        <v>151</v>
      </c>
      <c r="D8907" s="7">
        <v>11.18</v>
      </c>
      <c r="E8907" t="s">
        <v>71</v>
      </c>
    </row>
    <row r="8908" spans="1:5" x14ac:dyDescent="0.25">
      <c r="A8908" t="str">
        <f>HYPERLINK("https://www.773grp.com/globalSearch/UA774APC/page-1", "UA774APC")</f>
        <v>UA774APC</v>
      </c>
      <c r="B8908" s="3" t="str">
        <f>HYPERLINK("https://www.773grp.com/manufacturer/national-semiconductor?pageNo=63", "National Semiconductor")</f>
        <v>National Semiconductor</v>
      </c>
      <c r="C8908" s="6">
        <v>16</v>
      </c>
      <c r="D8908" s="7">
        <v>11.18</v>
      </c>
    </row>
    <row r="8909" spans="1:5" x14ac:dyDescent="0.25">
      <c r="A8909" t="str">
        <f>HYPERLINK("https://www.773grp.com/globalSearch/LM5064PMHE-NOPB/page-1", "LM5064PMHE-NOPB")</f>
        <v>LM5064PMHE-NOPB</v>
      </c>
      <c r="B8909" s="3" t="str">
        <f>HYPERLINK("https://www.773grp.com/manufacturer/national-semiconductor?pageNo=64", "National Semiconductor")</f>
        <v>National Semiconductor</v>
      </c>
      <c r="C8909" s="6">
        <v>250</v>
      </c>
      <c r="D8909" s="7">
        <v>11.18</v>
      </c>
    </row>
    <row r="8910" spans="1:5" x14ac:dyDescent="0.25">
      <c r="A8910" t="str">
        <f>HYPERLINK("https://www.773grp.com/globalSearch/LMH6502MA-NOPB/page-1", "LMH6502MA-NOPB")</f>
        <v>LMH6502MA-NOPB</v>
      </c>
      <c r="B8910" s="3" t="str">
        <f>HYPERLINK("https://www.773grp.com/manufacturer/national-semiconductor?pageNo=65", "National Semiconductor")</f>
        <v>National Semiconductor</v>
      </c>
      <c r="C8910" s="6">
        <v>5626</v>
      </c>
      <c r="D8910" s="7">
        <v>11.18</v>
      </c>
      <c r="E8910" t="s">
        <v>40</v>
      </c>
    </row>
    <row r="8911" spans="1:5" x14ac:dyDescent="0.25">
      <c r="A8911" t="str">
        <f>HYPERLINK("https://www.773grp.com/globalSearch/LMH6502MT-NOPB/page-1", "LMH6502MT-NOPB")</f>
        <v>LMH6502MT-NOPB</v>
      </c>
      <c r="B8911" s="3" t="str">
        <f>HYPERLINK("https://www.773grp.com/manufacturer/national-semiconductor?pageNo=66", "National Semiconductor")</f>
        <v>National Semiconductor</v>
      </c>
      <c r="C8911" s="6">
        <v>4833</v>
      </c>
      <c r="D8911" s="7">
        <v>11.18</v>
      </c>
      <c r="E8911" t="s">
        <v>40</v>
      </c>
    </row>
    <row r="8912" spans="1:5" x14ac:dyDescent="0.25">
      <c r="A8912" t="str">
        <f>HYPERLINK("https://www.773grp.com/globalSearch/LMH6503MA-NOPB/page-1", "LMH6503MA-NOPB")</f>
        <v>LMH6503MA-NOPB</v>
      </c>
      <c r="B8912" s="3" t="str">
        <f>HYPERLINK("https://www.773grp.com/manufacturer/national-semiconductor?pageNo=67", "National Semiconductor")</f>
        <v>National Semiconductor</v>
      </c>
      <c r="C8912" s="6">
        <v>8504</v>
      </c>
      <c r="D8912" s="7">
        <v>11.18</v>
      </c>
      <c r="E8912" t="s">
        <v>40</v>
      </c>
    </row>
    <row r="8913" spans="1:5" x14ac:dyDescent="0.25">
      <c r="A8913" t="str">
        <f>HYPERLINK("https://www.773grp.com/globalSearch/LMH6503MT-NOPB/page-1", "LMH6503MT-NOPB")</f>
        <v>LMH6503MT-NOPB</v>
      </c>
      <c r="B8913" s="3" t="str">
        <f>HYPERLINK("https://www.773grp.com/manufacturer/national-semiconductor?pageNo=68", "National Semiconductor")</f>
        <v>National Semiconductor</v>
      </c>
      <c r="C8913" s="6">
        <v>2583</v>
      </c>
      <c r="D8913" s="7">
        <v>11.18</v>
      </c>
      <c r="E8913" t="s">
        <v>40</v>
      </c>
    </row>
    <row r="8914" spans="1:5" x14ac:dyDescent="0.25">
      <c r="A8914" t="str">
        <f>HYPERLINK("https://www.773grp.com/globalSearch/DS90CR286AMTD-NOPB/page-1", "DS90CR286AMTD-NOPB")</f>
        <v>DS90CR286AMTD-NOPB</v>
      </c>
      <c r="B8914" s="3" t="str">
        <f>HYPERLINK("https://www.773grp.com/manufacturer/national-semiconductor?pageNo=69", "National Semiconductor")</f>
        <v>National Semiconductor</v>
      </c>
      <c r="C8914" s="6">
        <v>1174</v>
      </c>
      <c r="D8914" s="7">
        <v>11.19</v>
      </c>
      <c r="E8914" t="s">
        <v>21</v>
      </c>
    </row>
    <row r="8915" spans="1:5" x14ac:dyDescent="0.25">
      <c r="A8915" t="str">
        <f>HYPERLINK("https://www.773grp.com/globalSearch/LM2984CT-NOPB/page-1", "LM2984CT-NOPB")</f>
        <v>LM2984CT-NOPB</v>
      </c>
      <c r="B8915" s="3" t="str">
        <f>HYPERLINK("https://www.773grp.com/manufacturer/national-semiconductor?pageNo=70", "National Semiconductor")</f>
        <v>National Semiconductor</v>
      </c>
      <c r="C8915" s="6">
        <v>115</v>
      </c>
      <c r="D8915" s="7">
        <v>11.19</v>
      </c>
    </row>
    <row r="8916" spans="1:5" x14ac:dyDescent="0.25">
      <c r="A8916" t="str">
        <f>HYPERLINK("https://www.773grp.com/globalSearch/LM311H/page-1", "LM311H")</f>
        <v>LM311H</v>
      </c>
      <c r="B8916" s="3" t="str">
        <f>HYPERLINK("https://www.773grp.com/manufacturer/national-semiconductor?pageNo=71", "National Semiconductor")</f>
        <v>National Semiconductor</v>
      </c>
      <c r="C8916" s="6">
        <v>468</v>
      </c>
      <c r="D8916" s="7">
        <v>11.19</v>
      </c>
      <c r="E8916" t="s">
        <v>9</v>
      </c>
    </row>
    <row r="8917" spans="1:5" x14ac:dyDescent="0.25">
      <c r="A8917" t="str">
        <f>HYPERLINK("https://www.773grp.com/globalSearch/LM723CH/page-1", "LM723CH")</f>
        <v>LM723CH</v>
      </c>
      <c r="B8917" s="3" t="str">
        <f>HYPERLINK("https://www.773grp.com/manufacturer/national-semiconductor?pageNo=72", "National Semiconductor")</f>
        <v>National Semiconductor</v>
      </c>
      <c r="C8917" s="6">
        <v>1128</v>
      </c>
      <c r="D8917" s="7">
        <v>11.19</v>
      </c>
      <c r="E8917" t="s">
        <v>22</v>
      </c>
    </row>
    <row r="8918" spans="1:5" x14ac:dyDescent="0.25">
      <c r="A8918" t="str">
        <f>HYPERLINK("https://www.773grp.com/globalSearch/LM723CH-NOPB/page-1", "LM723CH-NOPB")</f>
        <v>LM723CH-NOPB</v>
      </c>
      <c r="B8918" s="3" t="str">
        <f>HYPERLINK("https://www.773grp.com/manufacturer/national-semiconductor?pageNo=73", "National Semiconductor")</f>
        <v>National Semiconductor</v>
      </c>
      <c r="C8918" s="6">
        <v>3418</v>
      </c>
      <c r="D8918" s="7">
        <v>11.19</v>
      </c>
      <c r="E8918" t="s">
        <v>22</v>
      </c>
    </row>
    <row r="8919" spans="1:5" x14ac:dyDescent="0.25">
      <c r="A8919" t="str">
        <f>HYPERLINK("https://www.773grp.com/globalSearch/LM723H/page-1", "LM723H")</f>
        <v>LM723H</v>
      </c>
      <c r="B8919" s="3" t="str">
        <f>HYPERLINK("https://www.773grp.com/manufacturer/national-semiconductor?pageNo=74", "National Semiconductor")</f>
        <v>National Semiconductor</v>
      </c>
      <c r="C8919" s="6">
        <v>116</v>
      </c>
      <c r="D8919" s="7">
        <v>11.19</v>
      </c>
      <c r="E8919" t="s">
        <v>22</v>
      </c>
    </row>
    <row r="8920" spans="1:5" x14ac:dyDescent="0.25">
      <c r="A8920" t="str">
        <f>HYPERLINK("https://www.773grp.com/globalSearch/LM723H-NOPB/page-1", "LM723H-NOPB")</f>
        <v>LM723H-NOPB</v>
      </c>
      <c r="B8920" s="3" t="str">
        <f>HYPERLINK("https://www.773grp.com/manufacturer/national-semiconductor?pageNo=75", "National Semiconductor")</f>
        <v>National Semiconductor</v>
      </c>
      <c r="C8920" s="6">
        <v>391</v>
      </c>
      <c r="D8920" s="7">
        <v>11.19</v>
      </c>
      <c r="E8920" t="s">
        <v>22</v>
      </c>
    </row>
    <row r="8921" spans="1:5" x14ac:dyDescent="0.25">
      <c r="A8921" t="str">
        <f>HYPERLINK("https://www.773grp.com/globalSearch/LM98516CCMT-NOPB/page-1", "LM98516CCMT-NOPB")</f>
        <v>LM98516CCMT-NOPB</v>
      </c>
      <c r="B8921" s="3" t="str">
        <f>HYPERLINK("https://www.773grp.com/manufacturer/national-semiconductor?pageNo=76", "National Semiconductor")</f>
        <v>National Semiconductor</v>
      </c>
      <c r="C8921" s="6">
        <v>408</v>
      </c>
      <c r="D8921" s="7">
        <v>11.19</v>
      </c>
    </row>
    <row r="8922" spans="1:5" x14ac:dyDescent="0.25">
      <c r="A8922" t="str">
        <f>HYPERLINK("https://www.773grp.com/globalSearch/MM54HC75W-883/page-1", "MM54HC75W-883")</f>
        <v>MM54HC75W-883</v>
      </c>
      <c r="B8922" s="3" t="str">
        <f>HYPERLINK("https://www.773grp.com/manufacturer/national-semiconductor?pageNo=77", "National Semiconductor")</f>
        <v>National Semiconductor</v>
      </c>
      <c r="C8922" s="6">
        <v>492</v>
      </c>
      <c r="D8922" s="7">
        <v>11.19</v>
      </c>
    </row>
    <row r="8923" spans="1:5" x14ac:dyDescent="0.25">
      <c r="A8923" t="str">
        <f>HYPERLINK("https://www.773grp.com/globalSearch/DS90CR286AMTD-NOPB/page-1", "DS90CR286AMTD-NOPB")</f>
        <v>DS90CR286AMTD-NOPB</v>
      </c>
      <c r="B8923" s="3" t="str">
        <f>HYPERLINK("https://www.773grp.com/manufacturer/national-semiconductor?pageNo=78", "National Semiconductor")</f>
        <v>National Semiconductor</v>
      </c>
      <c r="C8923" s="6">
        <v>186</v>
      </c>
      <c r="D8923" s="7">
        <v>11.19</v>
      </c>
      <c r="E8923" t="s">
        <v>21</v>
      </c>
    </row>
    <row r="8924" spans="1:5" x14ac:dyDescent="0.25">
      <c r="A8924" t="str">
        <f>HYPERLINK("https://www.773grp.com/globalSearch/LM311H/page-1", "LM311H")</f>
        <v>LM311H</v>
      </c>
      <c r="B8924" s="3" t="str">
        <f>HYPERLINK("https://www.773grp.com/manufacturer/national-semiconductor?pageNo=79", "National Semiconductor")</f>
        <v>National Semiconductor</v>
      </c>
      <c r="C8924" s="6">
        <v>2092</v>
      </c>
      <c r="D8924" s="7">
        <v>11.19</v>
      </c>
      <c r="E8924" t="s">
        <v>9</v>
      </c>
    </row>
    <row r="8925" spans="1:5" x14ac:dyDescent="0.25">
      <c r="A8925" t="str">
        <f>HYPERLINK("https://www.773grp.com/globalSearch/LM723CH/page-1", "LM723CH")</f>
        <v>LM723CH</v>
      </c>
      <c r="B8925" s="3" t="str">
        <f>HYPERLINK("https://www.773grp.com/manufacturer/national-semiconductor?pageNo=80", "National Semiconductor")</f>
        <v>National Semiconductor</v>
      </c>
      <c r="C8925" s="6">
        <v>193</v>
      </c>
      <c r="D8925" s="7">
        <v>11.19</v>
      </c>
      <c r="E8925" t="s">
        <v>22</v>
      </c>
    </row>
    <row r="8926" spans="1:5" x14ac:dyDescent="0.25">
      <c r="A8926" t="str">
        <f>HYPERLINK("https://www.773grp.com/globalSearch/LM723CH-NOPB/page-1", "LM723CH-NOPB")</f>
        <v>LM723CH-NOPB</v>
      </c>
      <c r="B8926" s="3" t="str">
        <f>HYPERLINK("https://www.773grp.com/manufacturer/national-semiconductor?pageNo=81", "National Semiconductor")</f>
        <v>National Semiconductor</v>
      </c>
      <c r="C8926" s="6">
        <v>22</v>
      </c>
      <c r="D8926" s="7">
        <v>11.19</v>
      </c>
      <c r="E8926" t="s">
        <v>22</v>
      </c>
    </row>
    <row r="8927" spans="1:5" x14ac:dyDescent="0.25">
      <c r="A8927" t="str">
        <f>HYPERLINK("https://www.773grp.com/globalSearch/LM723H-NOPB/page-1", "LM723H-NOPB")</f>
        <v>LM723H-NOPB</v>
      </c>
      <c r="B8927" s="3" t="str">
        <f>HYPERLINK("https://www.773grp.com/manufacturer/national-semiconductor?pageNo=82", "National Semiconductor")</f>
        <v>National Semiconductor</v>
      </c>
      <c r="C8927" s="6">
        <v>633</v>
      </c>
      <c r="D8927" s="7">
        <v>11.19</v>
      </c>
      <c r="E8927" t="s">
        <v>22</v>
      </c>
    </row>
    <row r="8928" spans="1:5" x14ac:dyDescent="0.25">
      <c r="A8928" t="str">
        <f>HYPERLINK("https://www.773grp.com/globalSearch/LM98516CCMT-NOPB/page-1", "LM98516CCMT-NOPB")</f>
        <v>LM98516CCMT-NOPB</v>
      </c>
      <c r="B8928" s="3" t="str">
        <f>HYPERLINK("https://www.773grp.com/manufacturer/national-semiconductor?pageNo=83", "National Semiconductor")</f>
        <v>National Semiconductor</v>
      </c>
      <c r="C8928" s="6">
        <v>1160</v>
      </c>
      <c r="D8928" s="7">
        <v>11.19</v>
      </c>
    </row>
    <row r="8929" spans="1:5" x14ac:dyDescent="0.25">
      <c r="A8929" t="str">
        <f>HYPERLINK("https://www.773grp.com/globalSearch/DP83849IDVS-NOPB/page-1", "DP83849IDVS-NOPB")</f>
        <v>DP83849IDVS-NOPB</v>
      </c>
      <c r="B8929" s="3" t="str">
        <f>HYPERLINK("https://www.773grp.com/manufacturer/national-semiconductor?pageNo=84", "National Semiconductor")</f>
        <v>National Semiconductor</v>
      </c>
      <c r="C8929" s="6">
        <v>1521</v>
      </c>
      <c r="D8929" s="7">
        <v>11.23</v>
      </c>
    </row>
    <row r="8930" spans="1:5" x14ac:dyDescent="0.25">
      <c r="A8930" t="str">
        <f>HYPERLINK("https://www.773grp.com/globalSearch/DP83849IDVSX-NOPB/page-1", "DP83849IDVSX-NOPB")</f>
        <v>DP83849IDVSX-NOPB</v>
      </c>
      <c r="B8930" s="3" t="str">
        <f>HYPERLINK("https://www.773grp.com/manufacturer/national-semiconductor?pageNo=85", "National Semiconductor")</f>
        <v>National Semiconductor</v>
      </c>
      <c r="C8930" s="6">
        <v>6000</v>
      </c>
      <c r="D8930" s="7">
        <v>11.23</v>
      </c>
    </row>
    <row r="8931" spans="1:5" x14ac:dyDescent="0.25">
      <c r="A8931" t="str">
        <f>HYPERLINK("https://www.773grp.com/globalSearch/DS3896N/page-1", "DS3896N")</f>
        <v>DS3896N</v>
      </c>
      <c r="B8931" s="3" t="str">
        <f>HYPERLINK("https://www.773grp.com/manufacturer/national-semiconductor?pageNo=86", "National Semiconductor")</f>
        <v>National Semiconductor</v>
      </c>
      <c r="C8931" s="6">
        <v>3620</v>
      </c>
      <c r="D8931" s="7">
        <v>11.23</v>
      </c>
      <c r="E8931" t="s">
        <v>21</v>
      </c>
    </row>
    <row r="8932" spans="1:5" x14ac:dyDescent="0.25">
      <c r="A8932" t="str">
        <f>HYPERLINK("https://www.773grp.com/globalSearch/LM5116MH/page-1", "LM5116MH")</f>
        <v>LM5116MH</v>
      </c>
      <c r="B8932" s="3" t="str">
        <f>HYPERLINK("https://www.773grp.com/manufacturer/national-semiconductor?pageNo=87", "National Semiconductor")</f>
        <v>National Semiconductor</v>
      </c>
      <c r="C8932" s="6">
        <v>141</v>
      </c>
      <c r="D8932" s="7">
        <v>11.23</v>
      </c>
      <c r="E8932" t="s">
        <v>7</v>
      </c>
    </row>
    <row r="8933" spans="1:5" x14ac:dyDescent="0.25">
      <c r="A8933" t="str">
        <f>HYPERLINK("https://www.773grp.com/globalSearch/PC16550DVX/page-1", "PC16550DVX")</f>
        <v>PC16550DVX</v>
      </c>
      <c r="B8933" s="3" t="str">
        <f>HYPERLINK("https://www.773grp.com/manufacturer/national-semiconductor?pageNo=88", "National Semiconductor")</f>
        <v>National Semiconductor</v>
      </c>
      <c r="C8933" s="6">
        <v>879</v>
      </c>
      <c r="D8933" s="7">
        <v>11.23</v>
      </c>
      <c r="E8933" t="s">
        <v>71</v>
      </c>
    </row>
    <row r="8934" spans="1:5" x14ac:dyDescent="0.25">
      <c r="A8934" t="str">
        <f>HYPERLINK("https://www.773grp.com/globalSearch/DP83849IDVS/page-1", "DP83849IDVS")</f>
        <v>DP83849IDVS</v>
      </c>
      <c r="B8934" s="3" t="str">
        <f>HYPERLINK("https://www.773grp.com/manufacturer/national-semiconductor?pageNo=89", "National Semiconductor")</f>
        <v>National Semiconductor</v>
      </c>
      <c r="C8934" s="6">
        <v>5419</v>
      </c>
      <c r="D8934" s="7">
        <v>11.23</v>
      </c>
    </row>
    <row r="8935" spans="1:5" x14ac:dyDescent="0.25">
      <c r="A8935" t="str">
        <f>HYPERLINK("https://www.773grp.com/globalSearch/DP83849IDVS-NOPB/page-1", "DP83849IDVS-NOPB")</f>
        <v>DP83849IDVS-NOPB</v>
      </c>
      <c r="B8935" s="3" t="str">
        <f>HYPERLINK("https://www.773grp.com/manufacturer/national-semiconductor?pageNo=90", "National Semiconductor")</f>
        <v>National Semiconductor</v>
      </c>
      <c r="C8935" s="6">
        <v>13</v>
      </c>
      <c r="D8935" s="7">
        <v>11.23</v>
      </c>
    </row>
    <row r="8936" spans="1:5" x14ac:dyDescent="0.25">
      <c r="A8936" t="str">
        <f>HYPERLINK("https://www.773grp.com/globalSearch/DP83849IDVSX-NOPB/page-1", "DP83849IDVSX-NOPB")</f>
        <v>DP83849IDVSX-NOPB</v>
      </c>
      <c r="B8936" s="3" t="str">
        <f>HYPERLINK("https://www.773grp.com/manufacturer/national-semiconductor?pageNo=91", "National Semiconductor")</f>
        <v>National Semiconductor</v>
      </c>
      <c r="C8936" s="6">
        <v>4000</v>
      </c>
      <c r="D8936" s="7">
        <v>11.23</v>
      </c>
    </row>
    <row r="8937" spans="1:5" x14ac:dyDescent="0.25">
      <c r="A8937" t="str">
        <f>HYPERLINK("https://www.773grp.com/globalSearch/PC16550DVX/page-1", "PC16550DVX")</f>
        <v>PC16550DVX</v>
      </c>
      <c r="B8937" s="3" t="str">
        <f>HYPERLINK("https://www.773grp.com/manufacturer/national-semiconductor?pageNo=92", "National Semiconductor")</f>
        <v>National Semiconductor</v>
      </c>
      <c r="C8937" s="6">
        <v>2500</v>
      </c>
      <c r="D8937" s="7">
        <v>11.23</v>
      </c>
      <c r="E8937" t="s">
        <v>71</v>
      </c>
    </row>
    <row r="8938" spans="1:5" x14ac:dyDescent="0.25">
      <c r="A8938" t="str">
        <f>HYPERLINK("https://www.773grp.com/globalSearch/100112DCQR/page-1", "100112DCQR")</f>
        <v>100112DCQR</v>
      </c>
      <c r="B8938" s="3" t="str">
        <f>HYPERLINK("https://www.773grp.com/manufacturer/national-semiconductor?pageNo=93", "National Semiconductor")</f>
        <v>National Semiconductor</v>
      </c>
      <c r="C8938" s="6">
        <v>2681</v>
      </c>
      <c r="D8938" s="7">
        <v>11.25</v>
      </c>
      <c r="E8938" t="s">
        <v>31</v>
      </c>
    </row>
    <row r="8939" spans="1:5" x14ac:dyDescent="0.25">
      <c r="A8939" t="str">
        <f>HYPERLINK("https://www.773grp.com/globalSearch/74FCT240APC/page-1", "74FCT240APC")</f>
        <v>74FCT240APC</v>
      </c>
      <c r="B8939" s="3" t="str">
        <f>HYPERLINK("https://www.773grp.com/manufacturer/national-semiconductor?pageNo=94", "National Semiconductor")</f>
        <v>National Semiconductor</v>
      </c>
      <c r="C8939" s="6">
        <v>2998</v>
      </c>
      <c r="D8939" s="7">
        <v>11.25</v>
      </c>
      <c r="E8939" t="s">
        <v>14</v>
      </c>
    </row>
    <row r="8940" spans="1:5" x14ac:dyDescent="0.25">
      <c r="A8940" t="str">
        <f>HYPERLINK("https://www.773grp.com/globalSearch/74FCT244ASC/page-1", "74FCT244ASC")</f>
        <v>74FCT244ASC</v>
      </c>
      <c r="B8940" s="3" t="str">
        <f>HYPERLINK("https://www.773grp.com/manufacturer/national-semiconductor?pageNo=95", "National Semiconductor")</f>
        <v>National Semiconductor</v>
      </c>
      <c r="C8940" s="6">
        <v>1574</v>
      </c>
      <c r="D8940" s="7">
        <v>11.25</v>
      </c>
      <c r="E8940" t="s">
        <v>14</v>
      </c>
    </row>
    <row r="8941" spans="1:5" x14ac:dyDescent="0.25">
      <c r="A8941" t="str">
        <f>HYPERLINK("https://www.773grp.com/globalSearch/74FCT373APC/page-1", "74FCT373APC")</f>
        <v>74FCT373APC</v>
      </c>
      <c r="B8941" s="3" t="str">
        <f>HYPERLINK("https://www.773grp.com/manufacturer/national-semiconductor?pageNo=96", "National Semiconductor")</f>
        <v>National Semiconductor</v>
      </c>
      <c r="C8941" s="6">
        <v>3409</v>
      </c>
      <c r="D8941" s="7">
        <v>11.25</v>
      </c>
      <c r="E8941" t="s">
        <v>14</v>
      </c>
    </row>
    <row r="8942" spans="1:5" x14ac:dyDescent="0.25">
      <c r="A8942" t="str">
        <f>HYPERLINK("https://www.773grp.com/globalSearch/74FCT373ASC/page-1", "74FCT373ASC")</f>
        <v>74FCT373ASC</v>
      </c>
      <c r="B8942" s="3" t="str">
        <f>HYPERLINK("https://www.773grp.com/manufacturer/national-semiconductor?pageNo=97", "National Semiconductor")</f>
        <v>National Semiconductor</v>
      </c>
      <c r="C8942" s="6">
        <v>1789</v>
      </c>
      <c r="D8942" s="7">
        <v>11.25</v>
      </c>
      <c r="E8942" t="s">
        <v>14</v>
      </c>
    </row>
    <row r="8943" spans="1:5" x14ac:dyDescent="0.25">
      <c r="A8943" t="str">
        <f>HYPERLINK("https://www.773grp.com/globalSearch/74FCT374APC/page-1", "74FCT374APC")</f>
        <v>74FCT374APC</v>
      </c>
      <c r="B8943" s="3" t="str">
        <f>HYPERLINK("https://www.773grp.com/manufacturer/national-semiconductor?pageNo=98", "National Semiconductor")</f>
        <v>National Semiconductor</v>
      </c>
      <c r="C8943" s="6">
        <v>1062</v>
      </c>
      <c r="D8943" s="7">
        <v>11.25</v>
      </c>
      <c r="E8943" t="s">
        <v>14</v>
      </c>
    </row>
    <row r="8944" spans="1:5" x14ac:dyDescent="0.25">
      <c r="A8944" t="str">
        <f>HYPERLINK("https://www.773grp.com/globalSearch/74FCT374ASC/page-1", "74FCT374ASC")</f>
        <v>74FCT374ASC</v>
      </c>
      <c r="B8944" s="3" t="str">
        <f>HYPERLINK("https://www.773grp.com/manufacturer/national-semiconductor?pageNo=99", "National Semiconductor")</f>
        <v>National Semiconductor</v>
      </c>
      <c r="C8944" s="6">
        <v>2079</v>
      </c>
      <c r="D8944" s="7">
        <v>11.25</v>
      </c>
      <c r="E8944" t="s">
        <v>14</v>
      </c>
    </row>
    <row r="8945" spans="1:5" x14ac:dyDescent="0.25">
      <c r="A8945" t="str">
        <f>HYPERLINK("https://www.773grp.com/globalSearch/74FCT573APC/page-1", "74FCT573APC")</f>
        <v>74FCT573APC</v>
      </c>
      <c r="B8945" s="3" t="str">
        <f>HYPERLINK("https://www.773grp.com/manufacturer/national-semiconductor?pageNo=100", "National Semiconductor")</f>
        <v>National Semiconductor</v>
      </c>
      <c r="C8945" s="6">
        <v>1956</v>
      </c>
      <c r="D8945" s="7">
        <v>11.25</v>
      </c>
      <c r="E8945" t="s">
        <v>14</v>
      </c>
    </row>
    <row r="8946" spans="1:5" x14ac:dyDescent="0.25">
      <c r="A8946" t="str">
        <f>HYPERLINK("https://www.773grp.com/globalSearch/74FCT573ASC/page-1", "74FCT573ASC")</f>
        <v>74FCT573ASC</v>
      </c>
      <c r="B8946" s="3" t="str">
        <f>HYPERLINK("https://www.773grp.com/manufacturer/national-semiconductor?pageNo=101", "National Semiconductor")</f>
        <v>National Semiconductor</v>
      </c>
      <c r="C8946" s="6">
        <v>94</v>
      </c>
      <c r="D8946" s="7">
        <v>11.25</v>
      </c>
      <c r="E8946" t="s">
        <v>14</v>
      </c>
    </row>
    <row r="8947" spans="1:5" x14ac:dyDescent="0.25">
      <c r="A8947" t="str">
        <f>HYPERLINK("https://www.773grp.com/globalSearch/74FCT574APC/page-1", "74FCT574APC")</f>
        <v>74FCT574APC</v>
      </c>
      <c r="B8947" s="3" t="str">
        <f>HYPERLINK("https://www.773grp.com/manufacturer/national-semiconductor?pageNo=102", "National Semiconductor")</f>
        <v>National Semiconductor</v>
      </c>
      <c r="C8947" s="6">
        <v>2590</v>
      </c>
      <c r="D8947" s="7">
        <v>11.25</v>
      </c>
      <c r="E8947" t="s">
        <v>14</v>
      </c>
    </row>
    <row r="8948" spans="1:5" x14ac:dyDescent="0.25">
      <c r="A8948" t="str">
        <f>HYPERLINK("https://www.773grp.com/globalSearch/74FCT574ASC/page-1", "74FCT574ASC")</f>
        <v>74FCT574ASC</v>
      </c>
      <c r="B8948" s="3" t="str">
        <f>HYPERLINK("https://www.773grp.com/manufacturer/national-semiconductor?pageNo=103", "National Semiconductor")</f>
        <v>National Semiconductor</v>
      </c>
      <c r="C8948" s="6">
        <v>53</v>
      </c>
      <c r="D8948" s="7">
        <v>11.25</v>
      </c>
      <c r="E8948" t="s">
        <v>14</v>
      </c>
    </row>
    <row r="8949" spans="1:5" x14ac:dyDescent="0.25">
      <c r="A8949" t="str">
        <f>HYPERLINK("https://www.773grp.com/globalSearch/COP8SBR9KMT8/page-1", "COP8SBR9KMT8")</f>
        <v>COP8SBR9KMT8</v>
      </c>
      <c r="B8949" s="3" t="str">
        <f>HYPERLINK("https://www.773grp.com/manufacturer/national-semiconductor?pageNo=104", "National Semiconductor")</f>
        <v>National Semiconductor</v>
      </c>
      <c r="C8949" s="6">
        <v>328</v>
      </c>
      <c r="D8949" s="7">
        <v>11.25</v>
      </c>
      <c r="E8949" t="s">
        <v>52</v>
      </c>
    </row>
    <row r="8950" spans="1:5" x14ac:dyDescent="0.25">
      <c r="A8950" t="str">
        <f>HYPERLINK("https://www.773grp.com/globalSearch/COP8SCR9KMT8/page-1", "COP8SCR9KMT8")</f>
        <v>COP8SCR9KMT8</v>
      </c>
      <c r="B8950" s="3" t="str">
        <f>HYPERLINK("https://www.773grp.com/manufacturer/national-semiconductor?pageNo=105", "National Semiconductor")</f>
        <v>National Semiconductor</v>
      </c>
      <c r="C8950" s="6">
        <v>332</v>
      </c>
      <c r="D8950" s="7">
        <v>11.25</v>
      </c>
      <c r="E8950" t="s">
        <v>52</v>
      </c>
    </row>
    <row r="8951" spans="1:5" x14ac:dyDescent="0.25">
      <c r="A8951" t="str">
        <f>HYPERLINK("https://www.773grp.com/globalSearch/DM5432W-883/page-1", "DM5432W-883")</f>
        <v>DM5432W-883</v>
      </c>
      <c r="B8951" s="3" t="str">
        <f>HYPERLINK("https://www.773grp.com/manufacturer/national-semiconductor?pageNo=106", "National Semiconductor")</f>
        <v>National Semiconductor</v>
      </c>
      <c r="C8951" s="6">
        <v>65</v>
      </c>
      <c r="D8951" s="7">
        <v>11.25</v>
      </c>
      <c r="E8951" t="s">
        <v>31</v>
      </c>
    </row>
    <row r="8952" spans="1:5" x14ac:dyDescent="0.25">
      <c r="A8952" t="str">
        <f>HYPERLINK("https://www.773grp.com/globalSearch/DM54LS11W-883/page-1", "DM54LS11W-883")</f>
        <v>DM54LS11W-883</v>
      </c>
      <c r="B8952" s="3" t="str">
        <f>HYPERLINK("https://www.773grp.com/manufacturer/national-semiconductor?pageNo=107", "National Semiconductor")</f>
        <v>National Semiconductor</v>
      </c>
      <c r="C8952" s="6">
        <v>565</v>
      </c>
      <c r="D8952" s="7">
        <v>11.25</v>
      </c>
      <c r="E8952" t="s">
        <v>31</v>
      </c>
    </row>
    <row r="8953" spans="1:5" x14ac:dyDescent="0.25">
      <c r="A8953" t="str">
        <f>HYPERLINK("https://www.773grp.com/globalSearch/DM54LS191W-883/page-1", "DM54LS191W-883")</f>
        <v>DM54LS191W-883</v>
      </c>
      <c r="B8953" s="3" t="str">
        <f>HYPERLINK("https://www.773grp.com/manufacturer/national-semiconductor?pageNo=108", "National Semiconductor")</f>
        <v>National Semiconductor</v>
      </c>
      <c r="C8953" s="6">
        <v>414</v>
      </c>
      <c r="D8953" s="7">
        <v>11.25</v>
      </c>
      <c r="E8953" t="s">
        <v>26</v>
      </c>
    </row>
    <row r="8954" spans="1:5" x14ac:dyDescent="0.25">
      <c r="A8954" t="str">
        <f>HYPERLINK("https://www.773grp.com/globalSearch/DM54LS377J-883/page-1", "DM54LS377J-883")</f>
        <v>DM54LS377J-883</v>
      </c>
      <c r="B8954" s="3" t="str">
        <f>HYPERLINK("https://www.773grp.com/manufacturer/national-semiconductor?pageNo=109", "National Semiconductor")</f>
        <v>National Semiconductor</v>
      </c>
      <c r="C8954" s="6">
        <v>700</v>
      </c>
      <c r="D8954" s="7">
        <v>11.25</v>
      </c>
      <c r="E8954" t="s">
        <v>35</v>
      </c>
    </row>
    <row r="8955" spans="1:5" x14ac:dyDescent="0.25">
      <c r="A8955" t="str">
        <f>HYPERLINK("https://www.773grp.com/globalSearch/DM74S244J/page-1", "DM74S244J")</f>
        <v>DM74S244J</v>
      </c>
      <c r="B8955" s="3" t="str">
        <f>HYPERLINK("https://www.773grp.com/manufacturer/national-semiconductor?pageNo=110", "National Semiconductor")</f>
        <v>National Semiconductor</v>
      </c>
      <c r="C8955" s="6">
        <v>393</v>
      </c>
      <c r="D8955" s="7">
        <v>11.25</v>
      </c>
    </row>
    <row r="8956" spans="1:5" x14ac:dyDescent="0.25">
      <c r="A8956" t="str">
        <f>HYPERLINK("https://www.773grp.com/globalSearch/DM7845J-883/page-1", "DM7845J-883")</f>
        <v>DM7845J-883</v>
      </c>
      <c r="B8956" s="3" t="str">
        <f>HYPERLINK("https://www.773grp.com/manufacturer/national-semiconductor?pageNo=111", "National Semiconductor")</f>
        <v>National Semiconductor</v>
      </c>
      <c r="C8956" s="6">
        <v>374</v>
      </c>
      <c r="D8956" s="7">
        <v>11.25</v>
      </c>
    </row>
    <row r="8957" spans="1:5" x14ac:dyDescent="0.25">
      <c r="A8957" t="str">
        <f>HYPERLINK("https://www.773grp.com/globalSearch/DM8556N/page-1", "DM8556N")</f>
        <v>DM8556N</v>
      </c>
      <c r="B8957" s="3" t="str">
        <f>HYPERLINK("https://www.773grp.com/manufacturer/national-semiconductor?pageNo=112", "National Semiconductor")</f>
        <v>National Semiconductor</v>
      </c>
      <c r="C8957" s="6">
        <v>81</v>
      </c>
      <c r="D8957" s="7">
        <v>11.25</v>
      </c>
      <c r="E8957" t="s">
        <v>26</v>
      </c>
    </row>
    <row r="8958" spans="1:5" x14ac:dyDescent="0.25">
      <c r="A8958" t="str">
        <f>HYPERLINK("https://www.773grp.com/globalSearch/DS25CP152TSQ/page-1", "DS25CP152TSQ")</f>
        <v>DS25CP152TSQ</v>
      </c>
      <c r="B8958" s="3" t="str">
        <f>HYPERLINK("https://www.773grp.com/manufacturer/national-semiconductor?pageNo=113", "National Semiconductor")</f>
        <v>National Semiconductor</v>
      </c>
      <c r="C8958" s="6">
        <v>2000</v>
      </c>
      <c r="D8958" s="7">
        <v>11.25</v>
      </c>
      <c r="E8958" t="s">
        <v>56</v>
      </c>
    </row>
    <row r="8959" spans="1:5" x14ac:dyDescent="0.25">
      <c r="A8959" t="str">
        <f>HYPERLINK("https://www.773grp.com/globalSearch/DS25CP152TSQ-NOPB/page-1", "DS25CP152TSQ-NOPB")</f>
        <v>DS25CP152TSQ-NOPB</v>
      </c>
      <c r="B8959" s="3" t="str">
        <f>HYPERLINK("https://www.773grp.com/manufacturer/national-semiconductor?pageNo=114", "National Semiconductor")</f>
        <v>National Semiconductor</v>
      </c>
      <c r="C8959" s="6">
        <v>850</v>
      </c>
      <c r="D8959" s="7">
        <v>11.25</v>
      </c>
    </row>
    <row r="8960" spans="1:5" x14ac:dyDescent="0.25">
      <c r="A8960" t="str">
        <f>HYPERLINK("https://www.773grp.com/globalSearch/DS90LV110ATMT-NOPB/page-1", "DS90LV110ATMT-NOPB")</f>
        <v>DS90LV110ATMT-NOPB</v>
      </c>
      <c r="B8960" s="3" t="str">
        <f>HYPERLINK("https://www.773grp.com/manufacturer/national-semiconductor?pageNo=115", "National Semiconductor")</f>
        <v>National Semiconductor</v>
      </c>
      <c r="C8960" s="6">
        <v>545</v>
      </c>
      <c r="D8960" s="7">
        <v>11.25</v>
      </c>
      <c r="E8960" t="s">
        <v>34</v>
      </c>
    </row>
    <row r="8961" spans="1:5" x14ac:dyDescent="0.25">
      <c r="A8961" t="str">
        <f>HYPERLINK("https://www.773grp.com/globalSearch/LM2408T/page-1", "LM2408T")</f>
        <v>LM2408T</v>
      </c>
      <c r="B8961" s="3" t="str">
        <f>HYPERLINK("https://www.773grp.com/manufacturer/national-semiconductor?pageNo=116", "National Semiconductor")</f>
        <v>National Semiconductor</v>
      </c>
      <c r="C8961" s="6">
        <v>1090</v>
      </c>
      <c r="D8961" s="7">
        <v>11.25</v>
      </c>
    </row>
    <row r="8962" spans="1:5" x14ac:dyDescent="0.25">
      <c r="A8962" t="str">
        <f>HYPERLINK("https://www.773grp.com/globalSearch/LM34CAZ-NOPB/page-1", "LM34CAZ-NOPB")</f>
        <v>LM34CAZ-NOPB</v>
      </c>
      <c r="B8962" s="3" t="str">
        <f>HYPERLINK("https://www.773grp.com/manufacturer/national-semiconductor?pageNo=117", "National Semiconductor")</f>
        <v>National Semiconductor</v>
      </c>
      <c r="C8962" s="6">
        <v>153</v>
      </c>
      <c r="D8962" s="7">
        <v>11.25</v>
      </c>
      <c r="E8962" t="s">
        <v>8</v>
      </c>
    </row>
    <row r="8963" spans="1:5" x14ac:dyDescent="0.25">
      <c r="A8963" t="str">
        <f>HYPERLINK("https://www.773grp.com/globalSearch/LMF40CIWM-100/page-1", "LMF40CIWM-100")</f>
        <v>LMF40CIWM-100</v>
      </c>
      <c r="B8963" s="3" t="str">
        <f>HYPERLINK("https://www.773grp.com/manufacturer/national-semiconductor?pageNo=118", "National Semiconductor")</f>
        <v>National Semiconductor</v>
      </c>
      <c r="C8963" s="6">
        <v>507</v>
      </c>
      <c r="D8963" s="7">
        <v>11.25</v>
      </c>
      <c r="E8963" t="s">
        <v>58</v>
      </c>
    </row>
    <row r="8964" spans="1:5" x14ac:dyDescent="0.25">
      <c r="A8964" t="str">
        <f>HYPERLINK("https://www.773grp.com/globalSearch/DS25CP152TSQ-NOPB/page-1", "DS25CP152TSQ-NOPB")</f>
        <v>DS25CP152TSQ-NOPB</v>
      </c>
      <c r="B8964" s="3" t="str">
        <f>HYPERLINK("https://www.773grp.com/manufacturer/national-semiconductor?pageNo=119", "National Semiconductor")</f>
        <v>National Semiconductor</v>
      </c>
      <c r="C8964" s="6">
        <v>1230</v>
      </c>
      <c r="D8964" s="7">
        <v>11.25</v>
      </c>
    </row>
    <row r="8965" spans="1:5" x14ac:dyDescent="0.25">
      <c r="A8965" t="str">
        <f>HYPERLINK("https://www.773grp.com/globalSearch/DS90LV110ATMT-NOPB/page-1", "DS90LV110ATMT-NOPB")</f>
        <v>DS90LV110ATMT-NOPB</v>
      </c>
      <c r="B8965" s="3" t="str">
        <f>HYPERLINK("https://www.773grp.com/manufacturer/national-semiconductor?pageNo=120", "National Semiconductor")</f>
        <v>National Semiconductor</v>
      </c>
      <c r="C8965" s="6">
        <v>225</v>
      </c>
      <c r="D8965" s="7">
        <v>11.25</v>
      </c>
      <c r="E8965" t="s">
        <v>34</v>
      </c>
    </row>
    <row r="8966" spans="1:5" x14ac:dyDescent="0.25">
      <c r="A8966" t="str">
        <f>HYPERLINK("https://www.773grp.com/globalSearch/LM34CAZ-NOPB/page-1", "LM34CAZ-NOPB")</f>
        <v>LM34CAZ-NOPB</v>
      </c>
      <c r="B8966" s="3" t="str">
        <f>HYPERLINK("https://www.773grp.com/manufacturer/national-semiconductor?pageNo=121", "National Semiconductor")</f>
        <v>National Semiconductor</v>
      </c>
      <c r="C8966" s="6">
        <v>7539</v>
      </c>
      <c r="D8966" s="7">
        <v>11.25</v>
      </c>
      <c r="E8966" t="s">
        <v>8</v>
      </c>
    </row>
    <row r="8967" spans="1:5" x14ac:dyDescent="0.25">
      <c r="A8967" t="str">
        <f>HYPERLINK("https://www.773grp.com/globalSearch/XTR114UA/page-1", "XTR114UA")</f>
        <v>XTR114UA</v>
      </c>
      <c r="B8967" s="3" t="str">
        <f>HYPERLINK("https://www.773grp.com/manufacturer/national-semiconductor?pageNo=122", "National Semiconductor")</f>
        <v>National Semiconductor</v>
      </c>
      <c r="C8967" s="6">
        <v>15550</v>
      </c>
      <c r="D8967" s="7">
        <v>11.25</v>
      </c>
    </row>
    <row r="8968" spans="1:5" x14ac:dyDescent="0.25">
      <c r="A8968" t="str">
        <f>HYPERLINK("https://www.773grp.com/globalSearch/9008DC/page-1", "9008DC")</f>
        <v>9008DC</v>
      </c>
      <c r="B8968" s="3" t="str">
        <f>HYPERLINK("https://www.773grp.com/manufacturer/national-semiconductor?pageNo=123", "National Semiconductor")</f>
        <v>National Semiconductor</v>
      </c>
      <c r="C8968" s="6">
        <v>24707</v>
      </c>
      <c r="D8968" s="7">
        <v>11.28</v>
      </c>
    </row>
    <row r="8969" spans="1:5" x14ac:dyDescent="0.25">
      <c r="A8969" t="str">
        <f>HYPERLINK("https://www.773grp.com/globalSearch/ADC10464CIWM-NOPB/page-1", "ADC10464CIWM-NOPB")</f>
        <v>ADC10464CIWM-NOPB</v>
      </c>
      <c r="B8969" s="3" t="str">
        <f>HYPERLINK("https://www.773grp.com/manufacturer/national-semiconductor?pageNo=124", "National Semiconductor")</f>
        <v>National Semiconductor</v>
      </c>
      <c r="C8969" s="6">
        <v>85</v>
      </c>
      <c r="D8969" s="7">
        <v>11.28</v>
      </c>
      <c r="E8969" t="s">
        <v>39</v>
      </c>
    </row>
    <row r="8970" spans="1:5" x14ac:dyDescent="0.25">
      <c r="A8970" t="str">
        <f>HYPERLINK("https://www.773grp.com/globalSearch/CLC401AJE/page-1", "CLC401AJE")</f>
        <v>CLC401AJE</v>
      </c>
      <c r="B8970" s="3" t="str">
        <f>HYPERLINK("https://www.773grp.com/manufacturer/national-semiconductor?pageNo=125", "National Semiconductor")</f>
        <v>National Semiconductor</v>
      </c>
      <c r="C8970" s="6">
        <v>25315</v>
      </c>
      <c r="D8970" s="7">
        <v>11.28</v>
      </c>
      <c r="E8970" t="s">
        <v>13</v>
      </c>
    </row>
    <row r="8971" spans="1:5" x14ac:dyDescent="0.25">
      <c r="A8971" t="str">
        <f>HYPERLINK("https://www.773grp.com/globalSearch/CLC401AJE-TR13/page-1", "CLC401AJE-TR13")</f>
        <v>CLC401AJE-TR13</v>
      </c>
      <c r="B8971" s="3" t="str">
        <f>HYPERLINK("https://www.773grp.com/manufacturer/national-semiconductor?pageNo=126", "National Semiconductor")</f>
        <v>National Semiconductor</v>
      </c>
      <c r="C8971" s="6">
        <v>2500</v>
      </c>
      <c r="D8971" s="7">
        <v>11.28</v>
      </c>
      <c r="E8971" t="s">
        <v>13</v>
      </c>
    </row>
    <row r="8972" spans="1:5" x14ac:dyDescent="0.25">
      <c r="A8972" t="str">
        <f>HYPERLINK("https://www.773grp.com/globalSearch/COP8SAC7SLB8/page-1", "COP8SAC7SLB8")</f>
        <v>COP8SAC7SLB8</v>
      </c>
      <c r="B8972" s="3" t="str">
        <f>HYPERLINK("https://www.773grp.com/manufacturer/national-semiconductor?pageNo=127", "National Semiconductor")</f>
        <v>National Semiconductor</v>
      </c>
      <c r="C8972" s="6">
        <v>1250</v>
      </c>
      <c r="D8972" s="7">
        <v>11.28</v>
      </c>
      <c r="E8972" t="s">
        <v>52</v>
      </c>
    </row>
    <row r="8973" spans="1:5" x14ac:dyDescent="0.25">
      <c r="A8973" t="str">
        <f>HYPERLINK("https://www.773grp.com/globalSearch/LM1871N/page-1", "LM1871N")</f>
        <v>LM1871N</v>
      </c>
      <c r="B8973" s="3" t="str">
        <f>HYPERLINK("https://www.773grp.com/manufacturer/national-semiconductor?pageNo=128", "National Semiconductor")</f>
        <v>National Semiconductor</v>
      </c>
      <c r="C8973" s="6">
        <v>1228</v>
      </c>
      <c r="D8973" s="7">
        <v>11.28</v>
      </c>
      <c r="E8973" t="s">
        <v>23</v>
      </c>
    </row>
    <row r="8974" spans="1:5" x14ac:dyDescent="0.25">
      <c r="A8974" t="str">
        <f>HYPERLINK("https://www.773grp.com/globalSearch/LM604CM/page-1", "LM604CM")</f>
        <v>LM604CM</v>
      </c>
      <c r="B8974" s="3" t="str">
        <f>HYPERLINK("https://www.773grp.com/manufacturer/national-semiconductor?pageNo=129", "National Semiconductor")</f>
        <v>National Semiconductor</v>
      </c>
      <c r="C8974" s="6">
        <v>512</v>
      </c>
      <c r="D8974" s="7">
        <v>11.28</v>
      </c>
      <c r="E8974" t="s">
        <v>13</v>
      </c>
    </row>
    <row r="8975" spans="1:5" x14ac:dyDescent="0.25">
      <c r="A8975" t="str">
        <f>HYPERLINK("https://www.773grp.com/globalSearch/DS90LV032TMX/page-1", "DS90LV032TMX")</f>
        <v>DS90LV032TMX</v>
      </c>
      <c r="B8975" s="3" t="str">
        <f>HYPERLINK("https://www.773grp.com/manufacturer/national-semiconductor?pageNo=130", "National Semiconductor")</f>
        <v>National Semiconductor</v>
      </c>
      <c r="C8975" s="6">
        <v>3906</v>
      </c>
      <c r="D8975" s="7">
        <v>11.34</v>
      </c>
      <c r="E8975" t="s">
        <v>21</v>
      </c>
    </row>
    <row r="8976" spans="1:5" x14ac:dyDescent="0.25">
      <c r="A8976" t="str">
        <f>HYPERLINK("https://www.773grp.com/globalSearch/DS96172CJ/page-1", "DS96172CJ")</f>
        <v>DS96172CJ</v>
      </c>
      <c r="B8976" s="3" t="str">
        <f>HYPERLINK("https://www.773grp.com/manufacturer/national-semiconductor?pageNo=131", "National Semiconductor")</f>
        <v>National Semiconductor</v>
      </c>
      <c r="C8976" s="6">
        <v>516</v>
      </c>
      <c r="D8976" s="7">
        <v>11.34</v>
      </c>
      <c r="E8976" t="s">
        <v>21</v>
      </c>
    </row>
    <row r="8977" spans="1:5" x14ac:dyDescent="0.25">
      <c r="A8977" t="str">
        <f>HYPERLINK("https://www.773grp.com/globalSearch/LMH0002SQE-NOPB/page-1", "LMH0002SQE-NOPB")</f>
        <v>LMH0002SQE-NOPB</v>
      </c>
      <c r="B8977" s="3" t="str">
        <f>HYPERLINK("https://www.773grp.com/manufacturer/national-semiconductor?pageNo=132", "National Semiconductor")</f>
        <v>National Semiconductor</v>
      </c>
      <c r="C8977" s="6">
        <v>4150</v>
      </c>
      <c r="D8977" s="7">
        <v>11.34</v>
      </c>
      <c r="E8977" t="s">
        <v>21</v>
      </c>
    </row>
    <row r="8978" spans="1:5" x14ac:dyDescent="0.25">
      <c r="A8978" t="str">
        <f>HYPERLINK("https://www.773grp.com/globalSearch/LMH0002SQE-NOPB/page-1", "LMH0002SQE-NOPB")</f>
        <v>LMH0002SQE-NOPB</v>
      </c>
      <c r="B8978" s="3" t="str">
        <f>HYPERLINK("https://www.773grp.com/manufacturer/national-semiconductor?pageNo=133", "National Semiconductor")</f>
        <v>National Semiconductor</v>
      </c>
      <c r="C8978" s="6">
        <v>4365</v>
      </c>
      <c r="D8978" s="7">
        <v>11.34</v>
      </c>
      <c r="E8978" t="s">
        <v>21</v>
      </c>
    </row>
    <row r="8979" spans="1:5" x14ac:dyDescent="0.25">
      <c r="A8979" t="str">
        <f>HYPERLINK("https://www.773grp.com/globalSearch/LMH0002SQE-NOPB/page-1", "LMH0002SQE-NOPB")</f>
        <v>LMH0002SQE-NOPB</v>
      </c>
      <c r="B8979" s="3" t="str">
        <f>HYPERLINK("https://www.773grp.com/manufacturer/national-semiconductor?pageNo=134", "National Semiconductor")</f>
        <v>National Semiconductor</v>
      </c>
      <c r="C8979" s="6">
        <v>290</v>
      </c>
      <c r="D8979" s="7">
        <v>11.34</v>
      </c>
      <c r="E8979" t="s">
        <v>21</v>
      </c>
    </row>
    <row r="8980" spans="1:5" x14ac:dyDescent="0.25">
      <c r="A8980" t="str">
        <f>HYPERLINK("https://www.773grp.com/globalSearch/JM38510-11201BCA/page-1", "JM38510-11201BCA")</f>
        <v>JM38510-11201BCA</v>
      </c>
      <c r="B8980" s="3" t="str">
        <f>HYPERLINK("https://www.773grp.com/manufacturer/national-semiconductor?pageNo=1", "National Semiconductor")</f>
        <v>National Semiconductor</v>
      </c>
      <c r="C8980" s="6">
        <v>15</v>
      </c>
      <c r="D8980" s="7">
        <v>11.36</v>
      </c>
      <c r="E8980" t="s">
        <v>9</v>
      </c>
    </row>
    <row r="8981" spans="1:5" x14ac:dyDescent="0.25">
      <c r="A8981" t="str">
        <f>HYPERLINK("https://www.773grp.com/globalSearch/74FCT373ASCX/page-1", "74FCT373ASCX")</f>
        <v>74FCT373ASCX</v>
      </c>
      <c r="B8981" s="3" t="str">
        <f>HYPERLINK("https://www.773grp.com/manufacturer/national-semiconductor?pageNo=2", "National Semiconductor")</f>
        <v>National Semiconductor</v>
      </c>
      <c r="C8981" s="6">
        <v>798</v>
      </c>
      <c r="D8981" s="7">
        <v>11.39</v>
      </c>
      <c r="E8981" t="s">
        <v>14</v>
      </c>
    </row>
    <row r="8982" spans="1:5" x14ac:dyDescent="0.25">
      <c r="A8982" t="str">
        <f>HYPERLINK("https://www.773grp.com/globalSearch/74FCT374ASCX/page-1", "74FCT374ASCX")</f>
        <v>74FCT374ASCX</v>
      </c>
      <c r="B8982" s="3" t="str">
        <f>HYPERLINK("https://www.773grp.com/manufacturer/national-semiconductor?pageNo=3", "National Semiconductor")</f>
        <v>National Semiconductor</v>
      </c>
      <c r="C8982" s="6">
        <v>1699</v>
      </c>
      <c r="D8982" s="7">
        <v>11.39</v>
      </c>
      <c r="E8982" t="s">
        <v>14</v>
      </c>
    </row>
    <row r="8983" spans="1:5" x14ac:dyDescent="0.25">
      <c r="A8983" t="str">
        <f>HYPERLINK("https://www.773grp.com/globalSearch/74FCT573ASCX/page-1", "74FCT573ASCX")</f>
        <v>74FCT573ASCX</v>
      </c>
      <c r="B8983" s="3" t="str">
        <f>HYPERLINK("https://www.773grp.com/manufacturer/national-semiconductor?pageNo=4", "National Semiconductor")</f>
        <v>National Semiconductor</v>
      </c>
      <c r="C8983" s="6">
        <v>3845</v>
      </c>
      <c r="D8983" s="7">
        <v>11.39</v>
      </c>
      <c r="E8983" t="s">
        <v>14</v>
      </c>
    </row>
    <row r="8984" spans="1:5" x14ac:dyDescent="0.25">
      <c r="A8984" t="str">
        <f>HYPERLINK("https://www.773grp.com/globalSearch/9322DC/page-1", "9322DC")</f>
        <v>9322DC</v>
      </c>
      <c r="B8984" s="3" t="str">
        <f>HYPERLINK("https://www.773grp.com/manufacturer/national-semiconductor?pageNo=5", "National Semiconductor")</f>
        <v>National Semiconductor</v>
      </c>
      <c r="C8984" s="6">
        <v>959</v>
      </c>
      <c r="D8984" s="7">
        <v>11.39</v>
      </c>
      <c r="E8984" t="s">
        <v>20</v>
      </c>
    </row>
    <row r="8985" spans="1:5" x14ac:dyDescent="0.25">
      <c r="A8985" t="str">
        <f>HYPERLINK("https://www.773grp.com/globalSearch/DM54LS374E-883/page-1", "DM54LS374E-883")</f>
        <v>DM54LS374E-883</v>
      </c>
      <c r="B8985" s="3" t="str">
        <f>HYPERLINK("https://www.773grp.com/manufacturer/national-semiconductor?pageNo=6", "National Semiconductor")</f>
        <v>National Semiconductor</v>
      </c>
      <c r="C8985" s="6">
        <v>102</v>
      </c>
      <c r="D8985" s="7">
        <v>11.39</v>
      </c>
      <c r="E8985" t="s">
        <v>14</v>
      </c>
    </row>
    <row r="8986" spans="1:5" x14ac:dyDescent="0.25">
      <c r="A8986" t="str">
        <f>HYPERLINK("https://www.773grp.com/globalSearch/100107DCQR/page-1", "100107DCQR")</f>
        <v>100107DCQR</v>
      </c>
      <c r="B8986" s="3" t="str">
        <f>HYPERLINK("https://www.773grp.com/manufacturer/national-semiconductor?pageNo=7", "National Semiconductor")</f>
        <v>National Semiconductor</v>
      </c>
      <c r="C8986" s="6">
        <v>211</v>
      </c>
      <c r="D8986" s="7">
        <v>11.43</v>
      </c>
      <c r="E8986" t="s">
        <v>31</v>
      </c>
    </row>
    <row r="8987" spans="1:5" x14ac:dyDescent="0.25">
      <c r="A8987" t="str">
        <f>HYPERLINK("https://www.773grp.com/globalSearch/LMH6552SD-NOPB/page-1", "LMH6552SD-NOPB")</f>
        <v>LMH6552SD-NOPB</v>
      </c>
      <c r="B8987" s="3" t="str">
        <f>HYPERLINK("https://www.773grp.com/manufacturer/national-semiconductor?pageNo=8", "National Semiconductor")</f>
        <v>National Semiconductor</v>
      </c>
      <c r="C8987" s="6">
        <v>1985</v>
      </c>
      <c r="D8987" s="7">
        <v>11.44</v>
      </c>
      <c r="E8987" t="s">
        <v>13</v>
      </c>
    </row>
    <row r="8988" spans="1:5" x14ac:dyDescent="0.25">
      <c r="A8988" t="str">
        <f>HYPERLINK("https://www.773grp.com/globalSearch/LMH6552SD-NOPB/page-1", "LMH6552SD-NOPB")</f>
        <v>LMH6552SD-NOPB</v>
      </c>
      <c r="B8988" s="3" t="str">
        <f>HYPERLINK("https://www.773grp.com/manufacturer/national-semiconductor?pageNo=9", "National Semiconductor")</f>
        <v>National Semiconductor</v>
      </c>
      <c r="C8988" s="6">
        <v>1051</v>
      </c>
      <c r="D8988" s="7">
        <v>11.44</v>
      </c>
      <c r="E8988" t="s">
        <v>13</v>
      </c>
    </row>
    <row r="8989" spans="1:5" x14ac:dyDescent="0.25">
      <c r="A8989" t="str">
        <f>HYPERLINK("https://www.773grp.com/globalSearch/54F13FMQB/page-1", "54F13FMQB")</f>
        <v>54F13FMQB</v>
      </c>
      <c r="B8989" s="3" t="str">
        <f>HYPERLINK("https://www.773grp.com/manufacturer/national-semiconductor?pageNo=10", "National Semiconductor")</f>
        <v>National Semiconductor</v>
      </c>
      <c r="C8989" s="6">
        <v>157</v>
      </c>
      <c r="D8989" s="7">
        <v>11.48</v>
      </c>
      <c r="E8989" t="s">
        <v>31</v>
      </c>
    </row>
    <row r="8990" spans="1:5" x14ac:dyDescent="0.25">
      <c r="A8990" t="str">
        <f>HYPERLINK("https://www.773grp.com/globalSearch/DM54LS153W-883/page-1", "DM54LS153W-883")</f>
        <v>DM54LS153W-883</v>
      </c>
      <c r="B8990" s="3" t="str">
        <f>HYPERLINK("https://www.773grp.com/manufacturer/national-semiconductor?pageNo=11", "National Semiconductor")</f>
        <v>National Semiconductor</v>
      </c>
      <c r="C8990" s="6">
        <v>109</v>
      </c>
      <c r="D8990" s="7">
        <v>11.48</v>
      </c>
      <c r="E8990" t="s">
        <v>20</v>
      </c>
    </row>
    <row r="8991" spans="1:5" x14ac:dyDescent="0.25">
      <c r="A8991" t="str">
        <f>HYPERLINK("https://www.773grp.com/globalSearch/DS10CP152TMA-NOPB/page-1", "DS10CP152TMA-NOPB")</f>
        <v>DS10CP152TMA-NOPB</v>
      </c>
      <c r="B8991" s="3" t="str">
        <f>HYPERLINK("https://www.773grp.com/manufacturer/national-semiconductor?pageNo=12", "National Semiconductor")</f>
        <v>National Semiconductor</v>
      </c>
      <c r="C8991" s="6">
        <v>1759</v>
      </c>
      <c r="D8991" s="7">
        <v>11.48</v>
      </c>
    </row>
    <row r="8992" spans="1:5" x14ac:dyDescent="0.25">
      <c r="A8992" t="str">
        <f>HYPERLINK("https://www.773grp.com/globalSearch/LM21215MHE-NOPB/page-1", "LM21215MHE-NOPB")</f>
        <v>LM21215MHE-NOPB</v>
      </c>
      <c r="B8992" s="3" t="str">
        <f>HYPERLINK("https://www.773grp.com/manufacturer/national-semiconductor?pageNo=13", "National Semiconductor")</f>
        <v>National Semiconductor</v>
      </c>
      <c r="C8992" s="6">
        <v>250</v>
      </c>
      <c r="D8992" s="7">
        <v>11.48</v>
      </c>
    </row>
    <row r="8993" spans="1:5" x14ac:dyDescent="0.25">
      <c r="A8993" t="str">
        <f>HYPERLINK("https://www.773grp.com/globalSearch/LME49830TB/page-1", "LME49830TB")</f>
        <v>LME49830TB</v>
      </c>
      <c r="B8993" s="3" t="str">
        <f>HYPERLINK("https://www.773grp.com/manufacturer/national-semiconductor?pageNo=14", "National Semiconductor")</f>
        <v>National Semiconductor</v>
      </c>
      <c r="C8993" s="6">
        <v>664</v>
      </c>
      <c r="D8993" s="7">
        <v>11.48</v>
      </c>
      <c r="E8993" t="s">
        <v>18</v>
      </c>
    </row>
    <row r="8994" spans="1:5" x14ac:dyDescent="0.25">
      <c r="A8994" t="str">
        <f>HYPERLINK("https://www.773grp.com/globalSearch/DS10CP152TMA-NOPB/page-1", "DS10CP152TMA-NOPB")</f>
        <v>DS10CP152TMA-NOPB</v>
      </c>
      <c r="B8994" s="3" t="str">
        <f>HYPERLINK("https://www.773grp.com/manufacturer/national-semiconductor?pageNo=15", "National Semiconductor")</f>
        <v>National Semiconductor</v>
      </c>
      <c r="C8994" s="6">
        <v>2354</v>
      </c>
      <c r="D8994" s="7">
        <v>11.48</v>
      </c>
    </row>
    <row r="8995" spans="1:5" x14ac:dyDescent="0.25">
      <c r="A8995" t="str">
        <f>HYPERLINK("https://www.773grp.com/globalSearch/LM21215AMHE-1-NOPB/page-1", "LM21215AMHE-1-NOPB")</f>
        <v>LM21215AMHE-1-NOPB</v>
      </c>
      <c r="B8995" s="3" t="str">
        <f>HYPERLINK("https://www.773grp.com/manufacturer/national-semiconductor?pageNo=16", "National Semiconductor")</f>
        <v>National Semiconductor</v>
      </c>
      <c r="C8995" s="6">
        <v>398</v>
      </c>
      <c r="D8995" s="7">
        <v>11.48</v>
      </c>
    </row>
    <row r="8996" spans="1:5" x14ac:dyDescent="0.25">
      <c r="A8996" t="str">
        <f>HYPERLINK("https://www.773grp.com/globalSearch/LM21215MHE-NOPB/page-1", "LM21215MHE-NOPB")</f>
        <v>LM21215MHE-NOPB</v>
      </c>
      <c r="B8996" s="3" t="str">
        <f>HYPERLINK("https://www.773grp.com/manufacturer/national-semiconductor?pageNo=17", "National Semiconductor")</f>
        <v>National Semiconductor</v>
      </c>
      <c r="C8996" s="6">
        <v>1084</v>
      </c>
      <c r="D8996" s="7">
        <v>11.48</v>
      </c>
    </row>
    <row r="8997" spans="1:5" x14ac:dyDescent="0.25">
      <c r="A8997" t="str">
        <f>HYPERLINK("https://www.773grp.com/globalSearch/LM5576Q0MH-NOPB/page-1", "LM5576Q0MH-NOPB")</f>
        <v>LM5576Q0MH-NOPB</v>
      </c>
      <c r="B8997" s="3" t="str">
        <f>HYPERLINK("https://www.773grp.com/manufacturer/national-semiconductor?pageNo=18", "National Semiconductor")</f>
        <v>National Semiconductor</v>
      </c>
      <c r="C8997" s="6">
        <v>250</v>
      </c>
      <c r="D8997" s="7">
        <v>11.48</v>
      </c>
    </row>
    <row r="8998" spans="1:5" x14ac:dyDescent="0.25">
      <c r="A8998" t="str">
        <f>HYPERLINK("https://www.773grp.com/globalSearch/LMC6084AIM/page-1", "LMC6084AIM")</f>
        <v>LMC6084AIM</v>
      </c>
      <c r="B8998" s="3" t="str">
        <f>HYPERLINK("https://www.773grp.com/manufacturer/national-semiconductor?pageNo=19", "National Semiconductor")</f>
        <v>National Semiconductor</v>
      </c>
      <c r="C8998" s="6">
        <v>440</v>
      </c>
      <c r="D8998" s="7">
        <v>11.48</v>
      </c>
      <c r="E8998" t="s">
        <v>13</v>
      </c>
    </row>
    <row r="8999" spans="1:5" x14ac:dyDescent="0.25">
      <c r="A8999" t="str">
        <f>HYPERLINK("https://www.773grp.com/globalSearch/54LS10LM/page-1", "54LS10LM")</f>
        <v>54LS10LM</v>
      </c>
      <c r="B8999" s="3" t="str">
        <f>HYPERLINK("https://www.773grp.com/manufacturer/national-semiconductor?pageNo=20", "National Semiconductor")</f>
        <v>National Semiconductor</v>
      </c>
      <c r="C8999" s="6">
        <v>253</v>
      </c>
      <c r="D8999" s="7">
        <v>11.51</v>
      </c>
    </row>
    <row r="9000" spans="1:5" x14ac:dyDescent="0.25">
      <c r="A9000" t="str">
        <f>HYPERLINK("https://www.773grp.com/globalSearch/54LS11LM/page-1", "54LS11LM")</f>
        <v>54LS11LM</v>
      </c>
      <c r="B9000" s="3" t="str">
        <f>HYPERLINK("https://www.773grp.com/manufacturer/national-semiconductor?pageNo=21", "National Semiconductor")</f>
        <v>National Semiconductor</v>
      </c>
      <c r="C9000" s="6">
        <v>238</v>
      </c>
      <c r="D9000" s="7">
        <v>11.51</v>
      </c>
    </row>
    <row r="9001" spans="1:5" x14ac:dyDescent="0.25">
      <c r="A9001" t="str">
        <f>HYPERLINK("https://www.773grp.com/globalSearch/54LS51LM/page-1", "54LS51LM")</f>
        <v>54LS51LM</v>
      </c>
      <c r="B9001" s="3" t="str">
        <f>HYPERLINK("https://www.773grp.com/manufacturer/national-semiconductor?pageNo=22", "National Semiconductor")</f>
        <v>National Semiconductor</v>
      </c>
      <c r="C9001" s="6">
        <v>389</v>
      </c>
      <c r="D9001" s="7">
        <v>11.51</v>
      </c>
    </row>
    <row r="9002" spans="1:5" x14ac:dyDescent="0.25">
      <c r="A9002" t="str">
        <f>HYPERLINK("https://www.773grp.com/globalSearch/DS25BR440TSQ-NOPB/page-1", "DS25BR440TSQ-NOPB")</f>
        <v>DS25BR440TSQ-NOPB</v>
      </c>
      <c r="B9002" s="3" t="str">
        <f>HYPERLINK("https://www.773grp.com/manufacturer/national-semiconductor?pageNo=23", "National Semiconductor")</f>
        <v>National Semiconductor</v>
      </c>
      <c r="C9002" s="6">
        <v>650</v>
      </c>
      <c r="D9002" s="7">
        <v>11.51</v>
      </c>
    </row>
    <row r="9003" spans="1:5" x14ac:dyDescent="0.25">
      <c r="A9003" t="str">
        <f>HYPERLINK("https://www.773grp.com/globalSearch/DS90CR216AMTD/page-1", "DS90CR216AMTD")</f>
        <v>DS90CR216AMTD</v>
      </c>
      <c r="B9003" s="3" t="str">
        <f>HYPERLINK("https://www.773grp.com/manufacturer/national-semiconductor?pageNo=24", "National Semiconductor")</f>
        <v>National Semiconductor</v>
      </c>
      <c r="C9003" s="6">
        <v>1398</v>
      </c>
      <c r="D9003" s="7">
        <v>11.51</v>
      </c>
      <c r="E9003" t="s">
        <v>21</v>
      </c>
    </row>
    <row r="9004" spans="1:5" x14ac:dyDescent="0.25">
      <c r="A9004" t="str">
        <f>HYPERLINK("https://www.773grp.com/globalSearch/DS25BR440TSQ-NOPB/page-1", "DS25BR440TSQ-NOPB")</f>
        <v>DS25BR440TSQ-NOPB</v>
      </c>
      <c r="B9004" s="3" t="str">
        <f>HYPERLINK("https://www.773grp.com/manufacturer/national-semiconductor?pageNo=25", "National Semiconductor")</f>
        <v>National Semiconductor</v>
      </c>
      <c r="C9004" s="6">
        <v>53</v>
      </c>
      <c r="D9004" s="7">
        <v>11.51</v>
      </c>
    </row>
    <row r="9005" spans="1:5" x14ac:dyDescent="0.25">
      <c r="A9005" t="str">
        <f>HYPERLINK("https://www.773grp.com/globalSearch/DS90CR216AMTD/page-1", "DS90CR216AMTD")</f>
        <v>DS90CR216AMTD</v>
      </c>
      <c r="B9005" s="3" t="str">
        <f>HYPERLINK("https://www.773grp.com/manufacturer/national-semiconductor?pageNo=26", "National Semiconductor")</f>
        <v>National Semiconductor</v>
      </c>
      <c r="C9005" s="6">
        <v>4142</v>
      </c>
      <c r="D9005" s="7">
        <v>11.51</v>
      </c>
      <c r="E9005" t="s">
        <v>21</v>
      </c>
    </row>
    <row r="9006" spans="1:5" x14ac:dyDescent="0.25">
      <c r="A9006" t="str">
        <f>HYPERLINK("https://www.773grp.com/globalSearch/LM27213MTD-NOPB/page-1", "LM27213MTD-NOPB")</f>
        <v>LM27213MTD-NOPB</v>
      </c>
      <c r="B9006" s="3" t="str">
        <f>HYPERLINK("https://www.773grp.com/manufacturer/national-semiconductor?pageNo=27", "National Semiconductor")</f>
        <v>National Semiconductor</v>
      </c>
      <c r="C9006" s="6">
        <v>1134</v>
      </c>
      <c r="D9006" s="7">
        <v>11.51</v>
      </c>
    </row>
    <row r="9007" spans="1:5" x14ac:dyDescent="0.25">
      <c r="A9007" t="str">
        <f>HYPERLINK("https://www.773grp.com/globalSearch/4016BDM/page-1", "4016BDM")</f>
        <v>4016BDM</v>
      </c>
      <c r="B9007" s="3" t="str">
        <f>HYPERLINK("https://www.773grp.com/manufacturer/national-semiconductor?pageNo=28", "National Semiconductor")</f>
        <v>National Semiconductor</v>
      </c>
      <c r="C9007" s="6">
        <v>2264</v>
      </c>
      <c r="D9007" s="7">
        <v>11.56</v>
      </c>
    </row>
    <row r="9008" spans="1:5" x14ac:dyDescent="0.25">
      <c r="A9008" t="str">
        <f>HYPERLINK("https://www.773grp.com/globalSearch/4016BDMQB/page-1", "4016BDMQB")</f>
        <v>4016BDMQB</v>
      </c>
      <c r="B9008" s="3" t="str">
        <f>HYPERLINK("https://www.773grp.com/manufacturer/national-semiconductor?pageNo=29", "National Semiconductor")</f>
        <v>National Semiconductor</v>
      </c>
      <c r="C9008" s="6">
        <v>4900</v>
      </c>
      <c r="D9008" s="7">
        <v>11.56</v>
      </c>
    </row>
    <row r="9009" spans="1:5" x14ac:dyDescent="0.25">
      <c r="A9009" t="str">
        <f>HYPERLINK("https://www.773grp.com/globalSearch/9002DC/page-1", "9002DC")</f>
        <v>9002DC</v>
      </c>
      <c r="B9009" s="3" t="str">
        <f>HYPERLINK("https://www.773grp.com/manufacturer/national-semiconductor?pageNo=30", "National Semiconductor")</f>
        <v>National Semiconductor</v>
      </c>
      <c r="C9009" s="6">
        <v>22926</v>
      </c>
      <c r="D9009" s="7">
        <v>11.56</v>
      </c>
    </row>
    <row r="9010" spans="1:5" x14ac:dyDescent="0.25">
      <c r="A9010" t="str">
        <f>HYPERLINK("https://www.773grp.com/globalSearch/9014DC/page-1", "9014DC")</f>
        <v>9014DC</v>
      </c>
      <c r="B9010" s="3" t="str">
        <f>HYPERLINK("https://www.773grp.com/manufacturer/national-semiconductor?pageNo=31", "National Semiconductor")</f>
        <v>National Semiconductor</v>
      </c>
      <c r="C9010" s="6">
        <v>24087</v>
      </c>
      <c r="D9010" s="7">
        <v>11.56</v>
      </c>
    </row>
    <row r="9011" spans="1:5" x14ac:dyDescent="0.25">
      <c r="A9011" t="str">
        <f>HYPERLINK("https://www.773grp.com/globalSearch/LM6144BIMX/page-1", "LM6144BIMX")</f>
        <v>LM6144BIMX</v>
      </c>
      <c r="B9011" s="3" t="str">
        <f>HYPERLINK("https://www.773grp.com/manufacturer/national-semiconductor?pageNo=32", "National Semiconductor")</f>
        <v>National Semiconductor</v>
      </c>
      <c r="C9011" s="6">
        <v>7500</v>
      </c>
      <c r="D9011" s="7">
        <v>11.56</v>
      </c>
      <c r="E9011" t="s">
        <v>13</v>
      </c>
    </row>
    <row r="9012" spans="1:5" x14ac:dyDescent="0.25">
      <c r="A9012" t="str">
        <f>HYPERLINK("https://www.773grp.com/globalSearch/MM74HC165J/page-1", "MM74HC165J")</f>
        <v>MM74HC165J</v>
      </c>
      <c r="B9012" s="3" t="str">
        <f>HYPERLINK("https://www.773grp.com/manufacturer/national-semiconductor?pageNo=33", "National Semiconductor")</f>
        <v>National Semiconductor</v>
      </c>
      <c r="C9012" s="6">
        <v>654</v>
      </c>
      <c r="D9012" s="7">
        <v>11.56</v>
      </c>
      <c r="E9012" t="s">
        <v>32</v>
      </c>
    </row>
    <row r="9013" spans="1:5" x14ac:dyDescent="0.25">
      <c r="A9013" t="str">
        <f>HYPERLINK("https://www.773grp.com/globalSearch/UA7307TC/page-1", "UA7307TC")</f>
        <v>UA7307TC</v>
      </c>
      <c r="B9013" s="3" t="str">
        <f>HYPERLINK("https://www.773grp.com/manufacturer/national-semiconductor?pageNo=34", "National Semiconductor")</f>
        <v>National Semiconductor</v>
      </c>
      <c r="C9013" s="6">
        <v>259</v>
      </c>
      <c r="D9013" s="7">
        <v>11.56</v>
      </c>
    </row>
    <row r="9014" spans="1:5" x14ac:dyDescent="0.25">
      <c r="A9014" t="str">
        <f>HYPERLINK("https://www.773grp.com/globalSearch/UA798HC/page-1", "UA798HC")</f>
        <v>UA798HC</v>
      </c>
      <c r="B9014" s="3" t="str">
        <f>HYPERLINK("https://www.773grp.com/manufacturer/national-semiconductor?pageNo=35", "National Semiconductor")</f>
        <v>National Semiconductor</v>
      </c>
      <c r="C9014" s="6">
        <v>78</v>
      </c>
      <c r="D9014" s="7">
        <v>11.56</v>
      </c>
    </row>
    <row r="9015" spans="1:5" x14ac:dyDescent="0.25">
      <c r="A9015" t="str">
        <f>HYPERLINK("https://www.773grp.com/globalSearch/LMH6574MA/page-1", "LMH6574MA")</f>
        <v>LMH6574MA</v>
      </c>
      <c r="B9015" s="3" t="str">
        <f>HYPERLINK("https://www.773grp.com/manufacturer/national-semiconductor?pageNo=36", "National Semiconductor")</f>
        <v>National Semiconductor</v>
      </c>
      <c r="C9015" s="6">
        <v>11</v>
      </c>
      <c r="D9015" s="7">
        <v>11.59</v>
      </c>
      <c r="E9015" t="s">
        <v>56</v>
      </c>
    </row>
    <row r="9016" spans="1:5" x14ac:dyDescent="0.25">
      <c r="A9016" t="str">
        <f>HYPERLINK("https://www.773grp.com/globalSearch/LMP90097MH-NOPB/page-1", "LMP90097MH-NOPB")</f>
        <v>LMP90097MH-NOPB</v>
      </c>
      <c r="B9016" s="3" t="str">
        <f>HYPERLINK("https://www.773grp.com/manufacturer/national-semiconductor?pageNo=37", "National Semiconductor")</f>
        <v>National Semiconductor</v>
      </c>
      <c r="C9016" s="6">
        <v>993</v>
      </c>
      <c r="D9016" s="7">
        <v>11.59</v>
      </c>
    </row>
    <row r="9017" spans="1:5" x14ac:dyDescent="0.25">
      <c r="A9017" t="str">
        <f>HYPERLINK("https://www.773grp.com/globalSearch/5482FM/page-1", "5482FM")</f>
        <v>5482FM</v>
      </c>
      <c r="B9017" s="3" t="str">
        <f>HYPERLINK("https://www.773grp.com/manufacturer/national-semiconductor?pageNo=38", "National Semiconductor")</f>
        <v>National Semiconductor</v>
      </c>
      <c r="C9017" s="6">
        <v>111</v>
      </c>
      <c r="D9017" s="7">
        <v>11.61</v>
      </c>
    </row>
    <row r="9018" spans="1:5" x14ac:dyDescent="0.25">
      <c r="A9018" t="str">
        <f>HYPERLINK("https://www.773grp.com/globalSearch/ADC10040CIMTX-NOPB/page-1", "ADC10040CIMTX-NOPB")</f>
        <v>ADC10040CIMTX-NOPB</v>
      </c>
      <c r="B9018" s="3" t="str">
        <f>HYPERLINK("https://www.773grp.com/manufacturer/national-semiconductor?pageNo=39", "National Semiconductor")</f>
        <v>National Semiconductor</v>
      </c>
      <c r="C9018" s="6">
        <v>2500</v>
      </c>
      <c r="D9018" s="7">
        <v>11.61</v>
      </c>
    </row>
    <row r="9019" spans="1:5" x14ac:dyDescent="0.25">
      <c r="A9019" t="str">
        <f>HYPERLINK("https://www.773grp.com/globalSearch/DM7212W-883/page-1", "DM7212W-883")</f>
        <v>DM7212W-883</v>
      </c>
      <c r="B9019" s="3" t="str">
        <f>HYPERLINK("https://www.773grp.com/manufacturer/national-semiconductor?pageNo=40", "National Semiconductor")</f>
        <v>National Semiconductor</v>
      </c>
      <c r="C9019" s="6">
        <v>4931</v>
      </c>
      <c r="D9019" s="7">
        <v>11.61</v>
      </c>
    </row>
    <row r="9020" spans="1:5" x14ac:dyDescent="0.25">
      <c r="A9020" t="str">
        <f>HYPERLINK("https://www.773grp.com/globalSearch/LM101AH/page-1", "LM101AH")</f>
        <v>LM101AH</v>
      </c>
      <c r="B9020" s="3" t="str">
        <f>HYPERLINK("https://www.773grp.com/manufacturer/national-semiconductor?pageNo=41", "National Semiconductor")</f>
        <v>National Semiconductor</v>
      </c>
      <c r="C9020" s="6">
        <v>47</v>
      </c>
      <c r="D9020" s="7">
        <v>11.61</v>
      </c>
      <c r="E9020" t="s">
        <v>13</v>
      </c>
    </row>
    <row r="9021" spans="1:5" x14ac:dyDescent="0.25">
      <c r="A9021" t="str">
        <f>HYPERLINK("https://www.773grp.com/globalSearch/LM101AH-NOPB/page-1", "LM101AH-NOPB")</f>
        <v>LM101AH-NOPB</v>
      </c>
      <c r="B9021" s="3" t="str">
        <f>HYPERLINK("https://www.773grp.com/manufacturer/national-semiconductor?pageNo=42", "National Semiconductor")</f>
        <v>National Semiconductor</v>
      </c>
      <c r="C9021" s="6">
        <v>13259</v>
      </c>
      <c r="D9021" s="7">
        <v>11.61</v>
      </c>
      <c r="E9021" t="s">
        <v>13</v>
      </c>
    </row>
    <row r="9022" spans="1:5" x14ac:dyDescent="0.25">
      <c r="A9022" t="str">
        <f>HYPERLINK("https://www.773grp.com/globalSearch/LM101AH/page-1", "LM101AH")</f>
        <v>LM101AH</v>
      </c>
      <c r="B9022" s="3" t="str">
        <f>HYPERLINK("https://www.773grp.com/manufacturer/national-semiconductor?pageNo=43", "National Semiconductor")</f>
        <v>National Semiconductor</v>
      </c>
      <c r="C9022" s="6">
        <v>350</v>
      </c>
      <c r="D9022" s="7">
        <v>11.61</v>
      </c>
      <c r="E9022" t="s">
        <v>13</v>
      </c>
    </row>
    <row r="9023" spans="1:5" x14ac:dyDescent="0.25">
      <c r="A9023" t="str">
        <f>HYPERLINK("https://www.773grp.com/globalSearch/LM2650M-ADJ-NOPB/page-1", "LM2650M-ADJ-NOPB")</f>
        <v>LM2650M-ADJ-NOPB</v>
      </c>
      <c r="B9023" s="3" t="str">
        <f>HYPERLINK("https://www.773grp.com/manufacturer/national-semiconductor?pageNo=44", "National Semiconductor")</f>
        <v>National Semiconductor</v>
      </c>
      <c r="C9023" s="6">
        <v>343</v>
      </c>
      <c r="D9023" s="7">
        <v>11.65</v>
      </c>
      <c r="E9023" t="s">
        <v>7</v>
      </c>
    </row>
    <row r="9024" spans="1:5" x14ac:dyDescent="0.25">
      <c r="A9024" t="str">
        <f>HYPERLINK("https://www.773grp.com/globalSearch/LM4546BVH/page-1", "LM4546BVH")</f>
        <v>LM4546BVH</v>
      </c>
      <c r="B9024" s="3" t="str">
        <f>HYPERLINK("https://www.773grp.com/manufacturer/national-semiconductor?pageNo=45", "National Semiconductor")</f>
        <v>National Semiconductor</v>
      </c>
      <c r="C9024" s="6">
        <v>1270</v>
      </c>
      <c r="D9024" s="7">
        <v>11.65</v>
      </c>
      <c r="E9024" t="s">
        <v>23</v>
      </c>
    </row>
    <row r="9025" spans="1:5" x14ac:dyDescent="0.25">
      <c r="A9025" t="str">
        <f>HYPERLINK("https://www.773grp.com/globalSearch/DS91M040TSQE-NOPB/page-1", "DS91M040TSQE-NOPB")</f>
        <v>DS91M040TSQE-NOPB</v>
      </c>
      <c r="B9025" s="3" t="str">
        <f>HYPERLINK("https://www.773grp.com/manufacturer/national-semiconductor?pageNo=46", "National Semiconductor")</f>
        <v>National Semiconductor</v>
      </c>
      <c r="C9025" s="6">
        <v>120</v>
      </c>
      <c r="D9025" s="7">
        <v>11.65</v>
      </c>
    </row>
    <row r="9026" spans="1:5" x14ac:dyDescent="0.25">
      <c r="A9026" t="str">
        <f>HYPERLINK("https://www.773grp.com/globalSearch/LM2650M-ADJ-NOPB/page-1", "LM2650M-ADJ-NOPB")</f>
        <v>LM2650M-ADJ-NOPB</v>
      </c>
      <c r="B9026" s="3" t="str">
        <f>HYPERLINK("https://www.773grp.com/manufacturer/national-semiconductor?pageNo=47", "National Semiconductor")</f>
        <v>National Semiconductor</v>
      </c>
      <c r="C9026" s="6">
        <v>360</v>
      </c>
      <c r="D9026" s="7">
        <v>11.65</v>
      </c>
      <c r="E9026" t="s">
        <v>7</v>
      </c>
    </row>
    <row r="9027" spans="1:5" x14ac:dyDescent="0.25">
      <c r="A9027" t="str">
        <f>HYPERLINK("https://www.773grp.com/globalSearch/LM5064PMH-NOPB/page-1", "LM5064PMH-NOPB")</f>
        <v>LM5064PMH-NOPB</v>
      </c>
      <c r="B9027" s="3" t="str">
        <f>HYPERLINK("https://www.773grp.com/manufacturer/national-semiconductor?pageNo=48", "National Semiconductor")</f>
        <v>National Semiconductor</v>
      </c>
      <c r="C9027" s="6">
        <v>556</v>
      </c>
      <c r="D9027" s="7">
        <v>11.65</v>
      </c>
    </row>
    <row r="9028" spans="1:5" x14ac:dyDescent="0.25">
      <c r="A9028" t="str">
        <f>HYPERLINK("https://www.773grp.com/globalSearch/54LS299FMQB/page-1", "54LS299FMQB")</f>
        <v>54LS299FMQB</v>
      </c>
      <c r="B9028" s="3" t="str">
        <f>HYPERLINK("https://www.773grp.com/manufacturer/national-semiconductor?pageNo=49", "National Semiconductor")</f>
        <v>National Semiconductor</v>
      </c>
      <c r="C9028" s="6">
        <v>256</v>
      </c>
      <c r="D9028" s="7">
        <v>11.68</v>
      </c>
      <c r="E9028" t="s">
        <v>32</v>
      </c>
    </row>
    <row r="9029" spans="1:5" x14ac:dyDescent="0.25">
      <c r="A9029" t="str">
        <f>HYPERLINK("https://www.773grp.com/globalSearch/9300FMQB/page-1", "9300FMQB")</f>
        <v>9300FMQB</v>
      </c>
      <c r="B9029" s="3" t="str">
        <f>HYPERLINK("https://www.773grp.com/manufacturer/national-semiconductor?pageNo=50", "National Semiconductor")</f>
        <v>National Semiconductor</v>
      </c>
      <c r="C9029" s="6">
        <v>473</v>
      </c>
      <c r="D9029" s="7">
        <v>11.68</v>
      </c>
      <c r="E9029" t="s">
        <v>32</v>
      </c>
    </row>
    <row r="9030" spans="1:5" x14ac:dyDescent="0.25">
      <c r="A9030" t="str">
        <f>HYPERLINK("https://www.773grp.com/globalSearch/9322FMQB/page-1", "9322FMQB")</f>
        <v>9322FMQB</v>
      </c>
      <c r="B9030" s="3" t="str">
        <f>HYPERLINK("https://www.773grp.com/manufacturer/national-semiconductor?pageNo=51", "National Semiconductor")</f>
        <v>National Semiconductor</v>
      </c>
      <c r="C9030" s="6">
        <v>530</v>
      </c>
      <c r="D9030" s="7">
        <v>11.68</v>
      </c>
      <c r="E9030" t="s">
        <v>20</v>
      </c>
    </row>
    <row r="9031" spans="1:5" x14ac:dyDescent="0.25">
      <c r="A9031" t="str">
        <f>HYPERLINK("https://www.773grp.com/globalSearch/DS25MB100TSQ/page-1", "DS25MB100TSQ")</f>
        <v>DS25MB100TSQ</v>
      </c>
      <c r="B9031" s="3" t="str">
        <f>HYPERLINK("https://www.773grp.com/manufacturer/national-semiconductor?pageNo=52", "National Semiconductor")</f>
        <v>National Semiconductor</v>
      </c>
      <c r="C9031" s="6">
        <v>250</v>
      </c>
      <c r="D9031" s="7">
        <v>11.68</v>
      </c>
      <c r="E9031" t="s">
        <v>21</v>
      </c>
    </row>
    <row r="9032" spans="1:5" x14ac:dyDescent="0.25">
      <c r="A9032" t="str">
        <f>HYPERLINK("https://www.773grp.com/globalSearch/LM4935RL-NOPB/page-1", "LM4935RL-NOPB")</f>
        <v>LM4935RL-NOPB</v>
      </c>
      <c r="B9032" s="3" t="str">
        <f>HYPERLINK("https://www.773grp.com/manufacturer/national-semiconductor?pageNo=53", "National Semiconductor")</f>
        <v>National Semiconductor</v>
      </c>
      <c r="C9032" s="6">
        <v>250</v>
      </c>
      <c r="D9032" s="7">
        <v>11.68</v>
      </c>
    </row>
    <row r="9033" spans="1:5" x14ac:dyDescent="0.25">
      <c r="A9033" t="str">
        <f>HYPERLINK("https://www.773grp.com/globalSearch/LMH0302SQ-NOPB/page-1", "LMH0302SQ-NOPB")</f>
        <v>LMH0302SQ-NOPB</v>
      </c>
      <c r="B9033" s="3" t="str">
        <f>HYPERLINK("https://www.773grp.com/manufacturer/national-semiconductor?pageNo=54", "National Semiconductor")</f>
        <v>National Semiconductor</v>
      </c>
      <c r="C9033" s="6">
        <v>1000</v>
      </c>
      <c r="D9033" s="7">
        <v>11.68</v>
      </c>
      <c r="E9033" t="s">
        <v>21</v>
      </c>
    </row>
    <row r="9034" spans="1:5" x14ac:dyDescent="0.25">
      <c r="A9034" t="str">
        <f>HYPERLINK("https://www.773grp.com/globalSearch/LMP90098MHE-NOPB/page-1", "LMP90098MHE-NOPB")</f>
        <v>LMP90098MHE-NOPB</v>
      </c>
      <c r="B9034" s="3" t="str">
        <f>HYPERLINK("https://www.773grp.com/manufacturer/national-semiconductor?pageNo=55", "National Semiconductor")</f>
        <v>National Semiconductor</v>
      </c>
      <c r="C9034" s="6">
        <v>250</v>
      </c>
      <c r="D9034" s="7">
        <v>11.68</v>
      </c>
      <c r="E9034" t="s">
        <v>40</v>
      </c>
    </row>
    <row r="9035" spans="1:5" x14ac:dyDescent="0.25">
      <c r="A9035" t="str">
        <f>HYPERLINK("https://www.773grp.com/globalSearch/LM4935RL-NOPB/page-1", "LM4935RL-NOPB")</f>
        <v>LM4935RL-NOPB</v>
      </c>
      <c r="B9035" s="3" t="str">
        <f>HYPERLINK("https://www.773grp.com/manufacturer/national-semiconductor?pageNo=56", "National Semiconductor")</f>
        <v>National Semiconductor</v>
      </c>
      <c r="C9035" s="6">
        <v>1367</v>
      </c>
      <c r="D9035" s="7">
        <v>11.68</v>
      </c>
    </row>
    <row r="9036" spans="1:5" x14ac:dyDescent="0.25">
      <c r="A9036" t="str">
        <f>HYPERLINK("https://www.773grp.com/globalSearch/LMH0302SQ-NOPB/page-1", "LMH0302SQ-NOPB")</f>
        <v>LMH0302SQ-NOPB</v>
      </c>
      <c r="B9036" s="3" t="str">
        <f>HYPERLINK("https://www.773grp.com/manufacturer/national-semiconductor?pageNo=57", "National Semiconductor")</f>
        <v>National Semiconductor</v>
      </c>
      <c r="C9036" s="6">
        <v>2234</v>
      </c>
      <c r="D9036" s="7">
        <v>11.68</v>
      </c>
      <c r="E9036" t="s">
        <v>21</v>
      </c>
    </row>
    <row r="9037" spans="1:5" x14ac:dyDescent="0.25">
      <c r="A9037" t="str">
        <f>HYPERLINK("https://www.773grp.com/globalSearch/LMP90098MHE-NOPB/page-1", "LMP90098MHE-NOPB")</f>
        <v>LMP90098MHE-NOPB</v>
      </c>
      <c r="B9037" s="3" t="str">
        <f>HYPERLINK("https://www.773grp.com/manufacturer/national-semiconductor?pageNo=58", "National Semiconductor")</f>
        <v>National Semiconductor</v>
      </c>
      <c r="C9037" s="6">
        <v>441</v>
      </c>
      <c r="D9037" s="7">
        <v>11.68</v>
      </c>
      <c r="E9037" t="s">
        <v>40</v>
      </c>
    </row>
    <row r="9038" spans="1:5" x14ac:dyDescent="0.25">
      <c r="A9038" t="str">
        <f>HYPERLINK("https://www.773grp.com/globalSearch/100112FCQR/page-1", "100112FCQR")</f>
        <v>100112FCQR</v>
      </c>
      <c r="B9038" s="3" t="str">
        <f>HYPERLINK("https://www.773grp.com/manufacturer/national-semiconductor?pageNo=59", "National Semiconductor")</f>
        <v>National Semiconductor</v>
      </c>
      <c r="C9038" s="6">
        <v>297</v>
      </c>
      <c r="D9038" s="7">
        <v>11.7</v>
      </c>
      <c r="E9038" t="s">
        <v>31</v>
      </c>
    </row>
    <row r="9039" spans="1:5" x14ac:dyDescent="0.25">
      <c r="A9039" t="str">
        <f>HYPERLINK("https://www.773grp.com/globalSearch/COP8SAC720M8-NOPB/page-1", "COP8SAC720M8-NOPB")</f>
        <v>COP8SAC720M8-NOPB</v>
      </c>
      <c r="B9039" s="3" t="str">
        <f>HYPERLINK("https://www.773grp.com/manufacturer/national-semiconductor?pageNo=60", "National Semiconductor")</f>
        <v>National Semiconductor</v>
      </c>
      <c r="C9039" s="6">
        <v>24</v>
      </c>
      <c r="D9039" s="7">
        <v>11.7</v>
      </c>
    </row>
    <row r="9040" spans="1:5" x14ac:dyDescent="0.25">
      <c r="A9040" t="str">
        <f>HYPERLINK("https://www.773grp.com/globalSearch/DS3897MX/page-1", "DS3897MX")</f>
        <v>DS3897MX</v>
      </c>
      <c r="B9040" s="3" t="str">
        <f>HYPERLINK("https://www.773grp.com/manufacturer/national-semiconductor?pageNo=61", "National Semiconductor")</f>
        <v>National Semiconductor</v>
      </c>
      <c r="C9040" s="6">
        <v>7000</v>
      </c>
      <c r="D9040" s="7">
        <v>11.73</v>
      </c>
      <c r="E9040" t="s">
        <v>21</v>
      </c>
    </row>
    <row r="9041" spans="1:5" x14ac:dyDescent="0.25">
      <c r="A9041" t="str">
        <f>HYPERLINK("https://www.773grp.com/globalSearch/DS89C387TMEAX-NOPB/page-1", "DS89C387TMEAX-NOPB")</f>
        <v>DS89C387TMEAX-NOPB</v>
      </c>
      <c r="B9041" s="3" t="str">
        <f>HYPERLINK("https://www.773grp.com/manufacturer/national-semiconductor?pageNo=62", "National Semiconductor")</f>
        <v>National Semiconductor</v>
      </c>
      <c r="C9041" s="6">
        <v>1000</v>
      </c>
      <c r="D9041" s="7">
        <v>11.73</v>
      </c>
      <c r="E9041" t="s">
        <v>21</v>
      </c>
    </row>
    <row r="9042" spans="1:5" x14ac:dyDescent="0.25">
      <c r="A9042" t="str">
        <f>HYPERLINK("https://www.773grp.com/globalSearch/9311DC/page-1", "9311DC")</f>
        <v>9311DC</v>
      </c>
      <c r="B9042" s="3" t="str">
        <f>HYPERLINK("https://www.773grp.com/manufacturer/national-semiconductor?pageNo=63", "National Semiconductor")</f>
        <v>National Semiconductor</v>
      </c>
      <c r="C9042" s="6">
        <v>974</v>
      </c>
      <c r="D9042" s="7">
        <v>11.76</v>
      </c>
    </row>
    <row r="9043" spans="1:5" x14ac:dyDescent="0.25">
      <c r="A9043" t="str">
        <f>HYPERLINK("https://www.773grp.com/globalSearch/ADC12138CIWM-NOPB/page-1", "ADC12138CIWM-NOPB")</f>
        <v>ADC12138CIWM-NOPB</v>
      </c>
      <c r="B9043" s="3" t="str">
        <f>HYPERLINK("https://www.773grp.com/manufacturer/national-semiconductor?pageNo=64", "National Semiconductor")</f>
        <v>National Semiconductor</v>
      </c>
      <c r="C9043" s="6">
        <v>25</v>
      </c>
      <c r="D9043" s="7">
        <v>11.76</v>
      </c>
      <c r="E9043" t="s">
        <v>39</v>
      </c>
    </row>
    <row r="9044" spans="1:5" x14ac:dyDescent="0.25">
      <c r="A9044" t="str">
        <f>HYPERLINK("https://www.773grp.com/globalSearch/CLC007AJE/page-1", "CLC007AJE")</f>
        <v>CLC007AJE</v>
      </c>
      <c r="B9044" s="3" t="str">
        <f>HYPERLINK("https://www.773grp.com/manufacturer/national-semiconductor?pageNo=65", "National Semiconductor")</f>
        <v>National Semiconductor</v>
      </c>
      <c r="C9044" s="6">
        <v>5</v>
      </c>
      <c r="D9044" s="7">
        <v>11.76</v>
      </c>
      <c r="E9044" t="s">
        <v>21</v>
      </c>
    </row>
    <row r="9045" spans="1:5" x14ac:dyDescent="0.25">
      <c r="A9045" t="str">
        <f>HYPERLINK("https://www.773grp.com/globalSearch/LM111H/page-1", "LM111H")</f>
        <v>LM111H</v>
      </c>
      <c r="B9045" s="3" t="str">
        <f>HYPERLINK("https://www.773grp.com/manufacturer/national-semiconductor?pageNo=66", "National Semiconductor")</f>
        <v>National Semiconductor</v>
      </c>
      <c r="C9045" s="6">
        <v>5</v>
      </c>
      <c r="D9045" s="7">
        <v>11.76</v>
      </c>
      <c r="E9045" t="s">
        <v>9</v>
      </c>
    </row>
    <row r="9046" spans="1:5" x14ac:dyDescent="0.25">
      <c r="A9046" t="str">
        <f>HYPERLINK("https://www.773grp.com/globalSearch/LM111H-NOPB/page-1", "LM111H-NOPB")</f>
        <v>LM111H-NOPB</v>
      </c>
      <c r="B9046" s="3" t="str">
        <f>HYPERLINK("https://www.773grp.com/manufacturer/national-semiconductor?pageNo=67", "National Semiconductor")</f>
        <v>National Semiconductor</v>
      </c>
      <c r="C9046" s="6">
        <v>1354</v>
      </c>
      <c r="D9046" s="7">
        <v>11.76</v>
      </c>
      <c r="E9046" t="s">
        <v>9</v>
      </c>
    </row>
    <row r="9047" spans="1:5" x14ac:dyDescent="0.25">
      <c r="A9047" t="str">
        <f>HYPERLINK("https://www.773grp.com/globalSearch/ADC12138CIWM-NOPB/page-1", "ADC12138CIWM-NOPB")</f>
        <v>ADC12138CIWM-NOPB</v>
      </c>
      <c r="B9047" s="3" t="str">
        <f>HYPERLINK("https://www.773grp.com/manufacturer/national-semiconductor?pageNo=68", "National Semiconductor")</f>
        <v>National Semiconductor</v>
      </c>
      <c r="C9047" s="6">
        <v>75</v>
      </c>
      <c r="D9047" s="7">
        <v>11.76</v>
      </c>
      <c r="E9047" t="s">
        <v>39</v>
      </c>
    </row>
    <row r="9048" spans="1:5" x14ac:dyDescent="0.25">
      <c r="A9048" t="str">
        <f>HYPERLINK("https://www.773grp.com/globalSearch/LM111H/page-1", "LM111H")</f>
        <v>LM111H</v>
      </c>
      <c r="B9048" s="3" t="str">
        <f>HYPERLINK("https://www.773grp.com/manufacturer/national-semiconductor?pageNo=69", "National Semiconductor")</f>
        <v>National Semiconductor</v>
      </c>
      <c r="C9048" s="6">
        <v>480</v>
      </c>
      <c r="D9048" s="7">
        <v>11.76</v>
      </c>
      <c r="E9048" t="s">
        <v>9</v>
      </c>
    </row>
    <row r="9049" spans="1:5" x14ac:dyDescent="0.25">
      <c r="A9049" t="str">
        <f>HYPERLINK("https://www.773grp.com/globalSearch/74F657SCX/page-1", "74F657SCX")</f>
        <v>74F657SCX</v>
      </c>
      <c r="B9049" s="3" t="str">
        <f>HYPERLINK("https://www.773grp.com/manufacturer/national-semiconductor?pageNo=70", "National Semiconductor")</f>
        <v>National Semiconductor</v>
      </c>
      <c r="C9049" s="6">
        <v>3000</v>
      </c>
      <c r="D9049" s="7">
        <v>11.78</v>
      </c>
      <c r="E9049" t="s">
        <v>14</v>
      </c>
    </row>
    <row r="9050" spans="1:5" x14ac:dyDescent="0.25">
      <c r="A9050" t="str">
        <f>HYPERLINK("https://www.773grp.com/globalSearch/DM54LS163AW-883/page-1", "DM54LS163AW-883")</f>
        <v>DM54LS163AW-883</v>
      </c>
      <c r="B9050" s="3" t="str">
        <f>HYPERLINK("https://www.773grp.com/manufacturer/national-semiconductor?pageNo=71", "National Semiconductor")</f>
        <v>National Semiconductor</v>
      </c>
      <c r="C9050" s="6">
        <v>7</v>
      </c>
      <c r="D9050" s="7">
        <v>11.78</v>
      </c>
      <c r="E9050" t="s">
        <v>26</v>
      </c>
    </row>
    <row r="9051" spans="1:5" x14ac:dyDescent="0.25">
      <c r="A9051" t="str">
        <f>HYPERLINK("https://www.773grp.com/globalSearch/LM4831VF/page-1", "LM4831VF")</f>
        <v>LM4831VF</v>
      </c>
      <c r="B9051" s="3" t="str">
        <f>HYPERLINK("https://www.773grp.com/manufacturer/national-semiconductor?pageNo=72", "National Semiconductor")</f>
        <v>National Semiconductor</v>
      </c>
      <c r="C9051" s="6">
        <v>2880</v>
      </c>
      <c r="D9051" s="7">
        <v>11.78</v>
      </c>
      <c r="E9051" t="s">
        <v>23</v>
      </c>
    </row>
    <row r="9052" spans="1:5" x14ac:dyDescent="0.25">
      <c r="A9052" t="str">
        <f>HYPERLINK("https://www.773grp.com/globalSearch/LM4831VFX/page-1", "LM4831VFX")</f>
        <v>LM4831VFX</v>
      </c>
      <c r="B9052" s="3" t="str">
        <f>HYPERLINK("https://www.773grp.com/manufacturer/national-semiconductor?pageNo=73", "National Semiconductor")</f>
        <v>National Semiconductor</v>
      </c>
      <c r="C9052" s="6">
        <v>2000</v>
      </c>
      <c r="D9052" s="7">
        <v>11.78</v>
      </c>
      <c r="E9052" t="s">
        <v>23</v>
      </c>
    </row>
    <row r="9053" spans="1:5" x14ac:dyDescent="0.25">
      <c r="A9053" t="str">
        <f>HYPERLINK("https://www.773grp.com/globalSearch/MM54HC374J-883/page-1", "MM54HC374J-883")</f>
        <v>MM54HC374J-883</v>
      </c>
      <c r="B9053" s="3" t="str">
        <f>HYPERLINK("https://www.773grp.com/manufacturer/national-semiconductor?pageNo=74", "National Semiconductor")</f>
        <v>National Semiconductor</v>
      </c>
      <c r="C9053" s="6">
        <v>25</v>
      </c>
      <c r="D9053" s="7">
        <v>11.78</v>
      </c>
      <c r="E9053" t="s">
        <v>14</v>
      </c>
    </row>
    <row r="9054" spans="1:5" x14ac:dyDescent="0.25">
      <c r="A9054" t="str">
        <f>HYPERLINK("https://www.773grp.com/globalSearch/MM54HC393J-883/page-1", "MM54HC393J-883")</f>
        <v>MM54HC393J-883</v>
      </c>
      <c r="B9054" s="3" t="str">
        <f>HYPERLINK("https://www.773grp.com/manufacturer/national-semiconductor?pageNo=75", "National Semiconductor")</f>
        <v>National Semiconductor</v>
      </c>
      <c r="C9054" s="6">
        <v>3</v>
      </c>
      <c r="D9054" s="7">
        <v>11.78</v>
      </c>
    </row>
    <row r="9055" spans="1:5" x14ac:dyDescent="0.25">
      <c r="A9055" t="str">
        <f>HYPERLINK("https://www.773grp.com/globalSearch/DS90UR904QSQ-NOPB/page-1", "DS90UR904QSQ-NOPB")</f>
        <v>DS90UR904QSQ-NOPB</v>
      </c>
      <c r="B9055" s="3" t="str">
        <f>HYPERLINK("https://www.773grp.com/manufacturer/national-semiconductor?pageNo=76", "National Semiconductor")</f>
        <v>National Semiconductor</v>
      </c>
      <c r="C9055" s="6">
        <v>2000</v>
      </c>
      <c r="D9055" s="7">
        <v>11.78</v>
      </c>
    </row>
    <row r="9056" spans="1:5" x14ac:dyDescent="0.25">
      <c r="A9056" t="str">
        <f>HYPERLINK("https://www.773grp.com/globalSearch/DS90CR216MTD/page-1", "DS90CR216MTD")</f>
        <v>DS90CR216MTD</v>
      </c>
      <c r="B9056" s="3" t="str">
        <f>HYPERLINK("https://www.773grp.com/manufacturer/national-semiconductor?pageNo=77", "National Semiconductor")</f>
        <v>National Semiconductor</v>
      </c>
      <c r="C9056" s="6">
        <v>23</v>
      </c>
      <c r="D9056" s="7">
        <v>11.81</v>
      </c>
      <c r="E9056" t="s">
        <v>21</v>
      </c>
    </row>
    <row r="9057" spans="1:5" x14ac:dyDescent="0.25">
      <c r="A9057" t="str">
        <f>HYPERLINK("https://www.773grp.com/globalSearch/DS90CR287MTDX-NOPB/page-1", "DS90CR287MTDX-NOPB")</f>
        <v>DS90CR287MTDX-NOPB</v>
      </c>
      <c r="B9057" s="3" t="str">
        <f>HYPERLINK("https://www.773grp.com/manufacturer/national-semiconductor?pageNo=78", "National Semiconductor")</f>
        <v>National Semiconductor</v>
      </c>
      <c r="C9057" s="6">
        <v>960</v>
      </c>
      <c r="D9057" s="7">
        <v>11.81</v>
      </c>
      <c r="E9057" t="s">
        <v>21</v>
      </c>
    </row>
    <row r="9058" spans="1:5" x14ac:dyDescent="0.25">
      <c r="A9058" t="str">
        <f>HYPERLINK("https://www.773grp.com/globalSearch/DS90CR288AMTDX-NOPB/page-1", "DS90CR288AMTDX-NOPB")</f>
        <v>DS90CR288AMTDX-NOPB</v>
      </c>
      <c r="B9058" s="3" t="str">
        <f>HYPERLINK("https://www.773grp.com/manufacturer/national-semiconductor?pageNo=79", "National Semiconductor")</f>
        <v>National Semiconductor</v>
      </c>
      <c r="C9058" s="6">
        <v>1000</v>
      </c>
      <c r="D9058" s="7">
        <v>11.81</v>
      </c>
      <c r="E9058" t="s">
        <v>21</v>
      </c>
    </row>
    <row r="9059" spans="1:5" x14ac:dyDescent="0.25">
      <c r="A9059" t="str">
        <f>HYPERLINK("https://www.773grp.com/globalSearch/LM2593HVS-ADJ/page-1", "LM2593HVS-ADJ")</f>
        <v>LM2593HVS-ADJ</v>
      </c>
      <c r="B9059" s="3" t="str">
        <f>HYPERLINK("https://www.773grp.com/manufacturer/national-semiconductor?pageNo=80", "National Semiconductor")</f>
        <v>National Semiconductor</v>
      </c>
      <c r="C9059" s="6">
        <v>29</v>
      </c>
      <c r="D9059" s="7">
        <v>11.81</v>
      </c>
      <c r="E9059" t="s">
        <v>7</v>
      </c>
    </row>
    <row r="9060" spans="1:5" x14ac:dyDescent="0.25">
      <c r="A9060" t="str">
        <f>HYPERLINK("https://www.773grp.com/globalSearch/LMH0002MA-NOPB/page-1", "LMH0002MA-NOPB")</f>
        <v>LMH0002MA-NOPB</v>
      </c>
      <c r="B9060" s="3" t="str">
        <f>HYPERLINK("https://www.773grp.com/manufacturer/national-semiconductor?pageNo=81", "National Semiconductor")</f>
        <v>National Semiconductor</v>
      </c>
      <c r="C9060" s="6">
        <v>2451</v>
      </c>
      <c r="D9060" s="7">
        <v>11.81</v>
      </c>
      <c r="E9060" t="s">
        <v>21</v>
      </c>
    </row>
    <row r="9061" spans="1:5" x14ac:dyDescent="0.25">
      <c r="A9061" t="str">
        <f>HYPERLINK("https://www.773grp.com/globalSearch/LMH0002TMA-NOPB/page-1", "LMH0002TMA-NOPB")</f>
        <v>LMH0002TMA-NOPB</v>
      </c>
      <c r="B9061" s="3" t="str">
        <f>HYPERLINK("https://www.773grp.com/manufacturer/national-semiconductor?pageNo=82", "National Semiconductor")</f>
        <v>National Semiconductor</v>
      </c>
      <c r="C9061" s="6">
        <v>87</v>
      </c>
      <c r="D9061" s="7">
        <v>11.81</v>
      </c>
      <c r="E9061" t="s">
        <v>21</v>
      </c>
    </row>
    <row r="9062" spans="1:5" x14ac:dyDescent="0.25">
      <c r="A9062" t="str">
        <f>HYPERLINK("https://www.773grp.com/globalSearch/TP3071N-G-NOPB/page-1", "TP3071N-G-NOPB")</f>
        <v>TP3071N-G-NOPB</v>
      </c>
      <c r="B9062" s="3" t="str">
        <f>HYPERLINK("https://www.773grp.com/manufacturer/national-semiconductor?pageNo=83", "National Semiconductor")</f>
        <v>National Semiconductor</v>
      </c>
      <c r="C9062" s="6">
        <v>1353</v>
      </c>
      <c r="D9062" s="7">
        <v>11.81</v>
      </c>
      <c r="E9062" t="s">
        <v>66</v>
      </c>
    </row>
    <row r="9063" spans="1:5" x14ac:dyDescent="0.25">
      <c r="A9063" t="str">
        <f>HYPERLINK("https://www.773grp.com/globalSearch/DS90CR216MTD/page-1", "DS90CR216MTD")</f>
        <v>DS90CR216MTD</v>
      </c>
      <c r="B9063" s="3" t="str">
        <f>HYPERLINK("https://www.773grp.com/manufacturer/national-semiconductor?pageNo=84", "National Semiconductor")</f>
        <v>National Semiconductor</v>
      </c>
      <c r="C9063" s="6">
        <v>2698</v>
      </c>
      <c r="D9063" s="7">
        <v>11.81</v>
      </c>
      <c r="E9063" t="s">
        <v>21</v>
      </c>
    </row>
    <row r="9064" spans="1:5" x14ac:dyDescent="0.25">
      <c r="A9064" t="str">
        <f>HYPERLINK("https://www.773grp.com/globalSearch/DS90CR287MTDX-NOPB/page-1", "DS90CR287MTDX-NOPB")</f>
        <v>DS90CR287MTDX-NOPB</v>
      </c>
      <c r="B9064" s="3" t="str">
        <f>HYPERLINK("https://www.773grp.com/manufacturer/national-semiconductor?pageNo=85", "National Semiconductor")</f>
        <v>National Semiconductor</v>
      </c>
      <c r="C9064" s="6">
        <v>1000</v>
      </c>
      <c r="D9064" s="7">
        <v>11.81</v>
      </c>
      <c r="E9064" t="s">
        <v>21</v>
      </c>
    </row>
    <row r="9065" spans="1:5" x14ac:dyDescent="0.25">
      <c r="A9065" t="str">
        <f>HYPERLINK("https://www.773grp.com/globalSearch/DS90CR288AMTDX-NOPB/page-1", "DS90CR288AMTDX-NOPB")</f>
        <v>DS90CR288AMTDX-NOPB</v>
      </c>
      <c r="B9065" s="3" t="str">
        <f>HYPERLINK("https://www.773grp.com/manufacturer/national-semiconductor?pageNo=86", "National Semiconductor")</f>
        <v>National Semiconductor</v>
      </c>
      <c r="C9065" s="6">
        <v>1960</v>
      </c>
      <c r="D9065" s="7">
        <v>11.81</v>
      </c>
      <c r="E9065" t="s">
        <v>21</v>
      </c>
    </row>
    <row r="9066" spans="1:5" x14ac:dyDescent="0.25">
      <c r="A9066" t="str">
        <f>HYPERLINK("https://www.773grp.com/globalSearch/LM2593HVS-ADJ/page-1", "LM2593HVS-ADJ")</f>
        <v>LM2593HVS-ADJ</v>
      </c>
      <c r="B9066" s="3" t="str">
        <f>HYPERLINK("https://www.773grp.com/manufacturer/national-semiconductor?pageNo=87", "National Semiconductor")</f>
        <v>National Semiconductor</v>
      </c>
      <c r="C9066" s="6">
        <v>247</v>
      </c>
      <c r="D9066" s="7">
        <v>11.81</v>
      </c>
      <c r="E9066" t="s">
        <v>7</v>
      </c>
    </row>
    <row r="9067" spans="1:5" x14ac:dyDescent="0.25">
      <c r="A9067" t="str">
        <f>HYPERLINK("https://www.773grp.com/globalSearch/LMH0002MA-NOPB/page-1", "LMH0002MA-NOPB")</f>
        <v>LMH0002MA-NOPB</v>
      </c>
      <c r="B9067" s="3" t="str">
        <f>HYPERLINK("https://www.773grp.com/manufacturer/national-semiconductor?pageNo=88", "National Semiconductor")</f>
        <v>National Semiconductor</v>
      </c>
      <c r="C9067" s="6">
        <v>1503</v>
      </c>
      <c r="D9067" s="7">
        <v>11.81</v>
      </c>
      <c r="E9067" t="s">
        <v>21</v>
      </c>
    </row>
    <row r="9068" spans="1:5" x14ac:dyDescent="0.25">
      <c r="A9068" t="str">
        <f>HYPERLINK("https://www.773grp.com/globalSearch/LMH0002TMA-NOPB/page-1", "LMH0002TMA-NOPB")</f>
        <v>LMH0002TMA-NOPB</v>
      </c>
      <c r="B9068" s="3" t="str">
        <f>HYPERLINK("https://www.773grp.com/manufacturer/national-semiconductor?pageNo=89", "National Semiconductor")</f>
        <v>National Semiconductor</v>
      </c>
      <c r="C9068" s="6">
        <v>28985</v>
      </c>
      <c r="D9068" s="7">
        <v>11.81</v>
      </c>
      <c r="E9068" t="s">
        <v>21</v>
      </c>
    </row>
    <row r="9069" spans="1:5" x14ac:dyDescent="0.25">
      <c r="A9069" t="str">
        <f>HYPERLINK("https://www.773grp.com/globalSearch/LMP8674MA-NOPB/page-1", "LMP8674MA-NOPB")</f>
        <v>LMP8674MA-NOPB</v>
      </c>
      <c r="B9069" s="3" t="str">
        <f>HYPERLINK("https://www.773grp.com/manufacturer/national-semiconductor?pageNo=90", "National Semiconductor")</f>
        <v>National Semiconductor</v>
      </c>
      <c r="C9069" s="6">
        <v>312</v>
      </c>
      <c r="D9069" s="7">
        <v>11.81</v>
      </c>
    </row>
    <row r="9070" spans="1:5" x14ac:dyDescent="0.25">
      <c r="A9070" t="str">
        <f>HYPERLINK("https://www.773grp.com/globalSearch/TP3071N-G-NOPB/page-1", "TP3071N-G-NOPB")</f>
        <v>TP3071N-G-NOPB</v>
      </c>
      <c r="B9070" s="3" t="str">
        <f>HYPERLINK("https://www.773grp.com/manufacturer/national-semiconductor?pageNo=91", "National Semiconductor")</f>
        <v>National Semiconductor</v>
      </c>
      <c r="C9070" s="6">
        <v>1008</v>
      </c>
      <c r="D9070" s="7">
        <v>11.81</v>
      </c>
      <c r="E9070" t="s">
        <v>66</v>
      </c>
    </row>
    <row r="9071" spans="1:5" x14ac:dyDescent="0.25">
      <c r="A9071" t="str">
        <f>HYPERLINK("https://www.773grp.com/globalSearch/9310PC/page-1", "9310PC")</f>
        <v>9310PC</v>
      </c>
      <c r="B9071" s="3" t="str">
        <f>HYPERLINK("https://www.773grp.com/manufacturer/national-semiconductor?pageNo=92", "National Semiconductor")</f>
        <v>National Semiconductor</v>
      </c>
      <c r="C9071" s="6">
        <v>4374</v>
      </c>
      <c r="D9071" s="7">
        <v>11.85</v>
      </c>
    </row>
    <row r="9072" spans="1:5" x14ac:dyDescent="0.25">
      <c r="A9072" t="str">
        <f>HYPERLINK("https://www.773grp.com/globalSearch/LM1558H/page-1", "LM1558H")</f>
        <v>LM1558H</v>
      </c>
      <c r="B9072" s="3" t="str">
        <f>HYPERLINK("https://www.773grp.com/manufacturer/national-semiconductor?pageNo=93", "National Semiconductor")</f>
        <v>National Semiconductor</v>
      </c>
      <c r="C9072" s="6">
        <v>1396</v>
      </c>
      <c r="D9072" s="7">
        <v>11.85</v>
      </c>
      <c r="E9072" t="s">
        <v>13</v>
      </c>
    </row>
    <row r="9073" spans="1:5" x14ac:dyDescent="0.25">
      <c r="A9073" t="str">
        <f>HYPERLINK("https://www.773grp.com/globalSearch/LM1558H-NOPB/page-1", "LM1558H-NOPB")</f>
        <v>LM1558H-NOPB</v>
      </c>
      <c r="B9073" s="3" t="str">
        <f>HYPERLINK("https://www.773grp.com/manufacturer/national-semiconductor?pageNo=94", "National Semiconductor")</f>
        <v>National Semiconductor</v>
      </c>
      <c r="C9073" s="6">
        <v>671</v>
      </c>
      <c r="D9073" s="7">
        <v>11.85</v>
      </c>
      <c r="E9073" t="s">
        <v>13</v>
      </c>
    </row>
    <row r="9074" spans="1:5" x14ac:dyDescent="0.25">
      <c r="A9074" t="str">
        <f>HYPERLINK("https://www.773grp.com/globalSearch/DS90CR286MTD/page-1", "DS90CR286MTD")</f>
        <v>DS90CR286MTD</v>
      </c>
      <c r="B9074" s="3" t="str">
        <f>HYPERLINK("https://www.773grp.com/manufacturer/national-semiconductor?pageNo=95", "National Semiconductor")</f>
        <v>National Semiconductor</v>
      </c>
      <c r="C9074" s="6">
        <v>2754</v>
      </c>
      <c r="D9074" s="7">
        <v>11.85</v>
      </c>
    </row>
    <row r="9075" spans="1:5" x14ac:dyDescent="0.25">
      <c r="A9075" t="str">
        <f>HYPERLINK("https://www.773grp.com/globalSearch/54ABT573J-QML/page-1", "54ABT573J-QML")</f>
        <v>54ABT573J-QML</v>
      </c>
      <c r="B9075" s="3" t="str">
        <f>HYPERLINK("https://www.773grp.com/manufacturer/national-semiconductor?pageNo=96", "National Semiconductor")</f>
        <v>National Semiconductor</v>
      </c>
      <c r="C9075" s="6">
        <v>231</v>
      </c>
      <c r="D9075" s="7">
        <v>11.86</v>
      </c>
      <c r="E9075" t="s">
        <v>14</v>
      </c>
    </row>
    <row r="9076" spans="1:5" x14ac:dyDescent="0.25">
      <c r="A9076" t="str">
        <f>HYPERLINK("https://www.773grp.com/globalSearch/54AC14LM/page-1", "54AC14LM")</f>
        <v>54AC14LM</v>
      </c>
      <c r="B9076" s="3" t="str">
        <f>HYPERLINK("https://www.773grp.com/manufacturer/national-semiconductor?pageNo=97", "National Semiconductor")</f>
        <v>National Semiconductor</v>
      </c>
      <c r="C9076" s="6">
        <v>21</v>
      </c>
      <c r="D9076" s="7">
        <v>11.86</v>
      </c>
      <c r="E9076" t="s">
        <v>31</v>
      </c>
    </row>
    <row r="9077" spans="1:5" x14ac:dyDescent="0.25">
      <c r="A9077" t="str">
        <f>HYPERLINK("https://www.773grp.com/globalSearch/54F139FMQB/page-1", "54F139FMQB")</f>
        <v>54F139FMQB</v>
      </c>
      <c r="B9077" s="3" t="str">
        <f>HYPERLINK("https://www.773grp.com/manufacturer/national-semiconductor?pageNo=98", "National Semiconductor")</f>
        <v>National Semiconductor</v>
      </c>
      <c r="C9077" s="6">
        <v>1048</v>
      </c>
      <c r="D9077" s="7">
        <v>11.86</v>
      </c>
      <c r="E9077" t="s">
        <v>36</v>
      </c>
    </row>
    <row r="9078" spans="1:5" x14ac:dyDescent="0.25">
      <c r="A9078" t="str">
        <f>HYPERLINK("https://www.773grp.com/globalSearch/DS90CF384SLC/page-1", "DS90CF384SLC")</f>
        <v>DS90CF384SLC</v>
      </c>
      <c r="B9078" s="3" t="str">
        <f>HYPERLINK("https://www.773grp.com/manufacturer/national-semiconductor?pageNo=99", "National Semiconductor")</f>
        <v>National Semiconductor</v>
      </c>
      <c r="C9078" s="6">
        <v>357</v>
      </c>
      <c r="D9078" s="7">
        <v>11.86</v>
      </c>
      <c r="E9078" t="s">
        <v>21</v>
      </c>
    </row>
    <row r="9079" spans="1:5" x14ac:dyDescent="0.25">
      <c r="A9079" t="str">
        <f>HYPERLINK("https://www.773grp.com/globalSearch/LF256H/page-1", "LF256H")</f>
        <v>LF256H</v>
      </c>
      <c r="B9079" s="3" t="str">
        <f>HYPERLINK("https://www.773grp.com/manufacturer/national-semiconductor?pageNo=100", "National Semiconductor")</f>
        <v>National Semiconductor</v>
      </c>
      <c r="C9079" s="6">
        <v>158</v>
      </c>
      <c r="D9079" s="7">
        <v>11.86</v>
      </c>
      <c r="E9079" t="s">
        <v>13</v>
      </c>
    </row>
    <row r="9080" spans="1:5" x14ac:dyDescent="0.25">
      <c r="A9080" t="str">
        <f>HYPERLINK("https://www.773grp.com/globalSearch/LF256H-NOPB/page-1", "LF256H-NOPB")</f>
        <v>LF256H-NOPB</v>
      </c>
      <c r="B9080" s="3" t="str">
        <f>HYPERLINK("https://www.773grp.com/manufacturer/national-semiconductor?pageNo=101", "National Semiconductor")</f>
        <v>National Semiconductor</v>
      </c>
      <c r="C9080" s="6">
        <v>490</v>
      </c>
      <c r="D9080" s="7">
        <v>11.86</v>
      </c>
      <c r="E9080" t="s">
        <v>13</v>
      </c>
    </row>
    <row r="9081" spans="1:5" x14ac:dyDescent="0.25">
      <c r="A9081" t="str">
        <f>HYPERLINK("https://www.773grp.com/globalSearch/LF356H/page-1", "LF356H")</f>
        <v>LF356H</v>
      </c>
      <c r="B9081" s="3" t="str">
        <f>HYPERLINK("https://www.773grp.com/manufacturer/national-semiconductor?pageNo=102", "National Semiconductor")</f>
        <v>National Semiconductor</v>
      </c>
      <c r="C9081" s="6">
        <v>292</v>
      </c>
      <c r="D9081" s="7">
        <v>11.86</v>
      </c>
      <c r="E9081" t="s">
        <v>13</v>
      </c>
    </row>
    <row r="9082" spans="1:5" x14ac:dyDescent="0.25">
      <c r="A9082" t="str">
        <f>HYPERLINK("https://www.773grp.com/globalSearch/LF356H-NOPB/page-1", "LF356H-NOPB")</f>
        <v>LF356H-NOPB</v>
      </c>
      <c r="B9082" s="3" t="str">
        <f>HYPERLINK("https://www.773grp.com/manufacturer/national-semiconductor?pageNo=103", "National Semiconductor")</f>
        <v>National Semiconductor</v>
      </c>
      <c r="C9082" s="6">
        <v>8</v>
      </c>
      <c r="D9082" s="7">
        <v>11.86</v>
      </c>
      <c r="E9082" t="s">
        <v>13</v>
      </c>
    </row>
    <row r="9083" spans="1:5" x14ac:dyDescent="0.25">
      <c r="A9083" t="str">
        <f>HYPERLINK("https://www.773grp.com/globalSearch/LM2202M/page-1", "LM2202M")</f>
        <v>LM2202M</v>
      </c>
      <c r="B9083" s="3" t="str">
        <f>HYPERLINK("https://www.773grp.com/manufacturer/national-semiconductor?pageNo=104", "National Semiconductor")</f>
        <v>National Semiconductor</v>
      </c>
      <c r="C9083" s="6">
        <v>9073</v>
      </c>
      <c r="D9083" s="7">
        <v>11.86</v>
      </c>
      <c r="E9083" t="s">
        <v>18</v>
      </c>
    </row>
    <row r="9084" spans="1:5" x14ac:dyDescent="0.25">
      <c r="A9084" t="str">
        <f>HYPERLINK("https://www.773grp.com/globalSearch/LM2202MX/page-1", "LM2202MX")</f>
        <v>LM2202MX</v>
      </c>
      <c r="B9084" s="3" t="str">
        <f>HYPERLINK("https://www.773grp.com/manufacturer/national-semiconductor?pageNo=105", "National Semiconductor")</f>
        <v>National Semiconductor</v>
      </c>
      <c r="C9084" s="6">
        <v>765</v>
      </c>
      <c r="D9084" s="7">
        <v>11.86</v>
      </c>
      <c r="E9084" t="s">
        <v>18</v>
      </c>
    </row>
    <row r="9085" spans="1:5" x14ac:dyDescent="0.25">
      <c r="A9085" t="str">
        <f>HYPERLINK("https://www.773grp.com/globalSearch/LM4546AVH/page-1", "LM4546AVH")</f>
        <v>LM4546AVH</v>
      </c>
      <c r="B9085" s="3" t="str">
        <f>HYPERLINK("https://www.773grp.com/manufacturer/national-semiconductor?pageNo=106", "National Semiconductor")</f>
        <v>National Semiconductor</v>
      </c>
      <c r="C9085" s="6">
        <v>8641</v>
      </c>
      <c r="D9085" s="7">
        <v>11.86</v>
      </c>
      <c r="E9085" t="s">
        <v>23</v>
      </c>
    </row>
    <row r="9086" spans="1:5" x14ac:dyDescent="0.25">
      <c r="A9086" t="str">
        <f>HYPERLINK("https://www.773grp.com/globalSearch/LM4550VH/page-1", "LM4550VH")</f>
        <v>LM4550VH</v>
      </c>
      <c r="B9086" s="3" t="str">
        <f>HYPERLINK("https://www.773grp.com/manufacturer/national-semiconductor?pageNo=107", "National Semiconductor")</f>
        <v>National Semiconductor</v>
      </c>
      <c r="C9086" s="6">
        <v>14872</v>
      </c>
      <c r="D9086" s="7">
        <v>11.86</v>
      </c>
      <c r="E9086" t="s">
        <v>23</v>
      </c>
    </row>
    <row r="9087" spans="1:5" x14ac:dyDescent="0.25">
      <c r="A9087" t="str">
        <f>HYPERLINK("https://www.773grp.com/globalSearch/LF356H/page-1", "LF356H")</f>
        <v>LF356H</v>
      </c>
      <c r="B9087" s="3" t="str">
        <f>HYPERLINK("https://www.773grp.com/manufacturer/national-semiconductor?pageNo=108", "National Semiconductor")</f>
        <v>National Semiconductor</v>
      </c>
      <c r="C9087" s="6">
        <v>390</v>
      </c>
      <c r="D9087" s="7">
        <v>11.86</v>
      </c>
      <c r="E9087" t="s">
        <v>13</v>
      </c>
    </row>
    <row r="9088" spans="1:5" x14ac:dyDescent="0.25">
      <c r="A9088" t="str">
        <f>HYPERLINK("https://www.773grp.com/globalSearch/LF356H-NOPB/page-1", "LF356H-NOPB")</f>
        <v>LF356H-NOPB</v>
      </c>
      <c r="B9088" s="3" t="str">
        <f>HYPERLINK("https://www.773grp.com/manufacturer/national-semiconductor?pageNo=109", "National Semiconductor")</f>
        <v>National Semiconductor</v>
      </c>
      <c r="C9088" s="6">
        <v>604</v>
      </c>
      <c r="D9088" s="7">
        <v>11.86</v>
      </c>
      <c r="E9088" t="s">
        <v>13</v>
      </c>
    </row>
    <row r="9089" spans="1:5" x14ac:dyDescent="0.25">
      <c r="A9089" t="str">
        <f>HYPERLINK("https://www.773grp.com/globalSearch/PT82C206F-LV/page-1", "PT82C206F-LV")</f>
        <v>PT82C206F-LV</v>
      </c>
      <c r="B9089" s="3" t="str">
        <f>HYPERLINK("https://www.773grp.com/manufacturer/national-semiconductor?pageNo=110", "National Semiconductor")</f>
        <v>National Semiconductor</v>
      </c>
      <c r="C9089" s="6">
        <v>3999</v>
      </c>
      <c r="D9089" s="7">
        <v>11.9</v>
      </c>
      <c r="E9089" t="s">
        <v>72</v>
      </c>
    </row>
    <row r="9090" spans="1:5" x14ac:dyDescent="0.25">
      <c r="A9090" t="str">
        <f>HYPERLINK("https://www.773grp.com/globalSearch/ADC10080CIMT/page-1", "ADC10080CIMT")</f>
        <v>ADC10080CIMT</v>
      </c>
      <c r="B9090" s="3" t="str">
        <f>HYPERLINK("https://www.773grp.com/manufacturer/national-semiconductor?pageNo=111", "National Semiconductor")</f>
        <v>National Semiconductor</v>
      </c>
      <c r="C9090" s="6">
        <v>242</v>
      </c>
      <c r="D9090" s="7">
        <v>11.9</v>
      </c>
      <c r="E9090" t="s">
        <v>39</v>
      </c>
    </row>
    <row r="9091" spans="1:5" x14ac:dyDescent="0.25">
      <c r="A9091" t="str">
        <f>HYPERLINK("https://www.773grp.com/globalSearch/DS14C535MSA-NOPB/page-1", "DS14C535MSA-NOPB")</f>
        <v>DS14C535MSA-NOPB</v>
      </c>
      <c r="B9091" s="3" t="str">
        <f>HYPERLINK("https://www.773grp.com/manufacturer/national-semiconductor?pageNo=112", "National Semiconductor")</f>
        <v>National Semiconductor</v>
      </c>
      <c r="C9091" s="6">
        <v>16</v>
      </c>
      <c r="D9091" s="7">
        <v>11.9</v>
      </c>
      <c r="E9091" t="s">
        <v>21</v>
      </c>
    </row>
    <row r="9092" spans="1:5" x14ac:dyDescent="0.25">
      <c r="A9092" t="str">
        <f>HYPERLINK("https://www.773grp.com/globalSearch/LM258AH/page-1", "LM258AH")</f>
        <v>LM258AH</v>
      </c>
      <c r="B9092" s="3" t="str">
        <f>HYPERLINK("https://www.773grp.com/manufacturer/national-semiconductor?pageNo=113", "National Semiconductor")</f>
        <v>National Semiconductor</v>
      </c>
      <c r="C9092" s="6">
        <v>260</v>
      </c>
      <c r="D9092" s="7">
        <v>11.9</v>
      </c>
      <c r="E9092" t="s">
        <v>13</v>
      </c>
    </row>
    <row r="9093" spans="1:5" x14ac:dyDescent="0.25">
      <c r="A9093" t="str">
        <f>HYPERLINK("https://www.773grp.com/globalSearch/PC16550DV-NOPB/page-1", "PC16550DV-NOPB")</f>
        <v>PC16550DV-NOPB</v>
      </c>
      <c r="B9093" s="3" t="str">
        <f>HYPERLINK("https://www.773grp.com/manufacturer/national-semiconductor?pageNo=114", "National Semiconductor")</f>
        <v>National Semiconductor</v>
      </c>
      <c r="C9093" s="6">
        <v>129</v>
      </c>
      <c r="D9093" s="7">
        <v>11.9</v>
      </c>
      <c r="E9093" t="s">
        <v>71</v>
      </c>
    </row>
    <row r="9094" spans="1:5" x14ac:dyDescent="0.25">
      <c r="A9094" t="str">
        <f>HYPERLINK("https://www.773grp.com/globalSearch/PT82C206F-LV/page-1", "PT82C206F-LV")</f>
        <v>PT82C206F-LV</v>
      </c>
      <c r="B9094" s="3" t="str">
        <f>HYPERLINK("https://www.773grp.com/manufacturer/national-semiconductor?pageNo=115", "National Semiconductor")</f>
        <v>National Semiconductor</v>
      </c>
      <c r="C9094" s="6">
        <v>9083</v>
      </c>
      <c r="D9094" s="7">
        <v>11.9</v>
      </c>
      <c r="E9094" t="s">
        <v>72</v>
      </c>
    </row>
    <row r="9095" spans="1:5" x14ac:dyDescent="0.25">
      <c r="A9095" t="str">
        <f>HYPERLINK("https://www.773grp.com/globalSearch/DS14C535MSA-NOPB/page-1", "DS14C535MSA-NOPB")</f>
        <v>DS14C535MSA-NOPB</v>
      </c>
      <c r="B9095" s="3" t="str">
        <f>HYPERLINK("https://www.773grp.com/manufacturer/national-semiconductor?pageNo=116", "National Semiconductor")</f>
        <v>National Semiconductor</v>
      </c>
      <c r="C9095" s="6">
        <v>376</v>
      </c>
      <c r="D9095" s="7">
        <v>11.9</v>
      </c>
      <c r="E9095" t="s">
        <v>21</v>
      </c>
    </row>
    <row r="9096" spans="1:5" x14ac:dyDescent="0.25">
      <c r="A9096" t="str">
        <f>HYPERLINK("https://www.773grp.com/globalSearch/DS14C535MSA-NOPB/page-1", "DS14C535MSA-NOPB")</f>
        <v>DS14C535MSA-NOPB</v>
      </c>
      <c r="B9096" s="3" t="str">
        <f>HYPERLINK("https://www.773grp.com/manufacturer/national-semiconductor?pageNo=117", "National Semiconductor")</f>
        <v>National Semiconductor</v>
      </c>
      <c r="C9096" s="6">
        <v>6439</v>
      </c>
      <c r="D9096" s="7">
        <v>11.9</v>
      </c>
      <c r="E9096" t="s">
        <v>21</v>
      </c>
    </row>
    <row r="9097" spans="1:5" x14ac:dyDescent="0.25">
      <c r="A9097" t="str">
        <f>HYPERLINK("https://www.773grp.com/globalSearch/PC16550DV-NOPB/page-1", "PC16550DV-NOPB")</f>
        <v>PC16550DV-NOPB</v>
      </c>
      <c r="B9097" s="3" t="str">
        <f>HYPERLINK("https://www.773grp.com/manufacturer/national-semiconductor?pageNo=118", "National Semiconductor")</f>
        <v>National Semiconductor</v>
      </c>
      <c r="C9097" s="6">
        <v>1348</v>
      </c>
      <c r="D9097" s="7">
        <v>11.9</v>
      </c>
      <c r="E9097" t="s">
        <v>71</v>
      </c>
    </row>
    <row r="9098" spans="1:5" x14ac:dyDescent="0.25">
      <c r="A9098" t="str">
        <f>HYPERLINK("https://www.773grp.com/globalSearch/ADC12H034CIMSAX-NOPB/page-1", "ADC12H034CIMSAX-NOPB")</f>
        <v>ADC12H034CIMSAX-NOPB</v>
      </c>
      <c r="B9098" s="3" t="str">
        <f>HYPERLINK("https://www.773grp.com/manufacturer/national-semiconductor?pageNo=119", "National Semiconductor")</f>
        <v>National Semiconductor</v>
      </c>
      <c r="C9098" s="6">
        <v>6000</v>
      </c>
      <c r="D9098" s="7">
        <v>11.93</v>
      </c>
    </row>
    <row r="9099" spans="1:5" x14ac:dyDescent="0.25">
      <c r="A9099" t="str">
        <f>HYPERLINK("https://www.773grp.com/globalSearch/DAC124S085CIMM/page-1", "DAC124S085CIMM")</f>
        <v>DAC124S085CIMM</v>
      </c>
      <c r="B9099" s="3" t="str">
        <f>HYPERLINK("https://www.773grp.com/manufacturer/national-semiconductor?pageNo=120", "National Semiconductor")</f>
        <v>National Semiconductor</v>
      </c>
      <c r="C9099" s="6">
        <v>2810</v>
      </c>
      <c r="D9099" s="7">
        <v>11.93</v>
      </c>
      <c r="E9099" t="s">
        <v>33</v>
      </c>
    </row>
    <row r="9100" spans="1:5" x14ac:dyDescent="0.25">
      <c r="A9100" t="str">
        <f>HYPERLINK("https://www.773grp.com/globalSearch/LM2585T-5.0/page-1", "LM2585T-5.0")</f>
        <v>LM2585T-5.0</v>
      </c>
      <c r="B9100" s="3" t="str">
        <f>HYPERLINK("https://www.773grp.com/manufacturer/national-semiconductor?pageNo=121", "National Semiconductor")</f>
        <v>National Semiconductor</v>
      </c>
      <c r="C9100" s="6">
        <v>1300</v>
      </c>
      <c r="D9100" s="7">
        <v>11.93</v>
      </c>
      <c r="E9100" t="s">
        <v>7</v>
      </c>
    </row>
    <row r="9101" spans="1:5" x14ac:dyDescent="0.25">
      <c r="A9101" t="str">
        <f>HYPERLINK("https://www.773grp.com/globalSearch/LM2585T-ADJ/page-1", "LM2585T-ADJ")</f>
        <v>LM2585T-ADJ</v>
      </c>
      <c r="B9101" s="3" t="str">
        <f>HYPERLINK("https://www.773grp.com/manufacturer/national-semiconductor?pageNo=122", "National Semiconductor")</f>
        <v>National Semiconductor</v>
      </c>
      <c r="C9101" s="6">
        <v>134</v>
      </c>
      <c r="D9101" s="7">
        <v>11.93</v>
      </c>
      <c r="E9101" t="s">
        <v>7</v>
      </c>
    </row>
    <row r="9102" spans="1:5" x14ac:dyDescent="0.25">
      <c r="A9102" t="str">
        <f>HYPERLINK("https://www.773grp.com/globalSearch/ADC128S052QCMT-NOPB/page-1", "ADC128S052QCMT-NOPB")</f>
        <v>ADC128S052QCMT-NOPB</v>
      </c>
      <c r="B9102" s="3" t="str">
        <f>HYPERLINK("https://www.773grp.com/manufacturer/national-semiconductor?pageNo=123", "National Semiconductor")</f>
        <v>National Semiconductor</v>
      </c>
      <c r="C9102" s="6">
        <v>286</v>
      </c>
      <c r="D9102" s="7">
        <v>11.93</v>
      </c>
    </row>
    <row r="9103" spans="1:5" x14ac:dyDescent="0.25">
      <c r="A9103" t="str">
        <f>HYPERLINK("https://www.773grp.com/globalSearch/DAC124S085CIMM/page-1", "DAC124S085CIMM")</f>
        <v>DAC124S085CIMM</v>
      </c>
      <c r="B9103" s="3" t="str">
        <f>HYPERLINK("https://www.773grp.com/manufacturer/national-semiconductor?pageNo=124", "National Semiconductor")</f>
        <v>National Semiconductor</v>
      </c>
      <c r="C9103" s="6">
        <v>4747</v>
      </c>
      <c r="D9103" s="7">
        <v>11.93</v>
      </c>
      <c r="E9103" t="s">
        <v>33</v>
      </c>
    </row>
    <row r="9104" spans="1:5" x14ac:dyDescent="0.25">
      <c r="A9104" t="str">
        <f>HYPERLINK("https://www.773grp.com/globalSearch/54154DMQB/page-1", "54154DMQB")</f>
        <v>54154DMQB</v>
      </c>
      <c r="B9104" s="3" t="str">
        <f>HYPERLINK("https://www.773grp.com/manufacturer/national-semiconductor?pageNo=125", "National Semiconductor")</f>
        <v>National Semiconductor</v>
      </c>
      <c r="C9104" s="6">
        <v>132</v>
      </c>
      <c r="D9104" s="7">
        <v>11.95</v>
      </c>
      <c r="E9104" t="s">
        <v>36</v>
      </c>
    </row>
    <row r="9105" spans="1:5" x14ac:dyDescent="0.25">
      <c r="A9105" t="str">
        <f>HYPERLINK("https://www.773grp.com/globalSearch/74FCT240ASCX/page-1", "74FCT240ASCX")</f>
        <v>74FCT240ASCX</v>
      </c>
      <c r="B9105" s="3" t="str">
        <f>HYPERLINK("https://www.773grp.com/manufacturer/national-semiconductor?pageNo=126", "National Semiconductor")</f>
        <v>National Semiconductor</v>
      </c>
      <c r="C9105" s="6">
        <v>7889</v>
      </c>
      <c r="D9105" s="7">
        <v>11.95</v>
      </c>
      <c r="E9105" t="s">
        <v>14</v>
      </c>
    </row>
    <row r="9106" spans="1:5" x14ac:dyDescent="0.25">
      <c r="A9106" t="str">
        <f>HYPERLINK("https://www.773grp.com/globalSearch/74FCT244ASCX/page-1", "74FCT244ASCX")</f>
        <v>74FCT244ASCX</v>
      </c>
      <c r="B9106" s="3" t="str">
        <f>HYPERLINK("https://www.773grp.com/manufacturer/national-semiconductor?pageNo=127", "National Semiconductor")</f>
        <v>National Semiconductor</v>
      </c>
      <c r="C9106" s="6">
        <v>2750</v>
      </c>
      <c r="D9106" s="7">
        <v>11.95</v>
      </c>
      <c r="E9106" t="s">
        <v>14</v>
      </c>
    </row>
    <row r="9107" spans="1:5" x14ac:dyDescent="0.25">
      <c r="A9107" t="str">
        <f>HYPERLINK("https://www.773grp.com/globalSearch/9009DC/page-1", "9009DC")</f>
        <v>9009DC</v>
      </c>
      <c r="B9107" s="3" t="str">
        <f>HYPERLINK("https://www.773grp.com/manufacturer/national-semiconductor?pageNo=128", "National Semiconductor")</f>
        <v>National Semiconductor</v>
      </c>
      <c r="C9107" s="6">
        <v>9674</v>
      </c>
      <c r="D9107" s="7">
        <v>11.95</v>
      </c>
    </row>
    <row r="9108" spans="1:5" x14ac:dyDescent="0.25">
      <c r="A9108" t="str">
        <f>HYPERLINK("https://www.773grp.com/globalSearch/9022DC/page-1", "9022DC")</f>
        <v>9022DC</v>
      </c>
      <c r="B9108" s="3" t="str">
        <f>HYPERLINK("https://www.773grp.com/manufacturer/national-semiconductor?pageNo=129", "National Semiconductor")</f>
        <v>National Semiconductor</v>
      </c>
      <c r="C9108" s="6">
        <v>4129</v>
      </c>
      <c r="D9108" s="7">
        <v>11.95</v>
      </c>
    </row>
    <row r="9109" spans="1:5" x14ac:dyDescent="0.25">
      <c r="A9109" t="str">
        <f>HYPERLINK("https://www.773grp.com/globalSearch/9093DC/page-1", "9093DC")</f>
        <v>9093DC</v>
      </c>
      <c r="B9109" s="3" t="str">
        <f>HYPERLINK("https://www.773grp.com/manufacturer/national-semiconductor?pageNo=130", "National Semiconductor")</f>
        <v>National Semiconductor</v>
      </c>
      <c r="C9109" s="6">
        <v>3005</v>
      </c>
      <c r="D9109" s="7">
        <v>11.95</v>
      </c>
    </row>
    <row r="9110" spans="1:5" x14ac:dyDescent="0.25">
      <c r="A9110" t="str">
        <f>HYPERLINK("https://www.773grp.com/globalSearch/953PC/page-1", "953PC")</f>
        <v>953PC</v>
      </c>
      <c r="B9110" s="3" t="str">
        <f>HYPERLINK("https://www.773grp.com/manufacturer/national-semiconductor?pageNo=131", "National Semiconductor")</f>
        <v>National Semiconductor</v>
      </c>
      <c r="C9110" s="6">
        <v>1797</v>
      </c>
      <c r="D9110" s="7">
        <v>11.95</v>
      </c>
    </row>
    <row r="9111" spans="1:5" x14ac:dyDescent="0.25">
      <c r="A9111" t="str">
        <f>HYPERLINK("https://www.773grp.com/globalSearch/DM7014J-883/page-1", "DM7014J-883")</f>
        <v>DM7014J-883</v>
      </c>
      <c r="B9111" s="3" t="str">
        <f>HYPERLINK("https://www.773grp.com/manufacturer/national-semiconductor?pageNo=132", "National Semiconductor")</f>
        <v>National Semiconductor</v>
      </c>
      <c r="C9111" s="6">
        <v>280</v>
      </c>
      <c r="D9111" s="7">
        <v>11.95</v>
      </c>
    </row>
    <row r="9112" spans="1:5" x14ac:dyDescent="0.25">
      <c r="A9112" t="str">
        <f>HYPERLINK("https://www.773grp.com/globalSearch/DS90CF562MTD/page-1", "DS90CF562MTD")</f>
        <v>DS90CF562MTD</v>
      </c>
      <c r="B9112" s="3" t="str">
        <f>HYPERLINK("https://www.773grp.com/manufacturer/national-semiconductor?pageNo=133", "National Semiconductor")</f>
        <v>National Semiconductor</v>
      </c>
      <c r="C9112" s="6">
        <v>494</v>
      </c>
      <c r="D9112" s="7">
        <v>11.95</v>
      </c>
      <c r="E9112" t="s">
        <v>21</v>
      </c>
    </row>
    <row r="9113" spans="1:5" x14ac:dyDescent="0.25">
      <c r="A9113" t="str">
        <f>HYPERLINK("https://www.773grp.com/globalSearch/DS90CF562MTD-NOPB/page-1", "DS90CF562MTD-NOPB")</f>
        <v>DS90CF562MTD-NOPB</v>
      </c>
      <c r="B9113" s="3" t="str">
        <f>HYPERLINK("https://www.773grp.com/manufacturer/national-semiconductor?pageNo=134", "National Semiconductor")</f>
        <v>National Semiconductor</v>
      </c>
      <c r="C9113" s="6">
        <v>1</v>
      </c>
      <c r="D9113" s="7">
        <v>11.95</v>
      </c>
      <c r="E9113" t="s">
        <v>21</v>
      </c>
    </row>
    <row r="9114" spans="1:5" x14ac:dyDescent="0.25">
      <c r="A9114" t="str">
        <f>HYPERLINK("https://www.773grp.com/globalSearch/DS90CF562MTDX/page-1", "DS90CF562MTDX")</f>
        <v>DS90CF562MTDX</v>
      </c>
      <c r="B9114" s="3" t="str">
        <f>HYPERLINK("https://www.773grp.com/manufacturer/national-semiconductor?pageNo=1", "National Semiconductor")</f>
        <v>National Semiconductor</v>
      </c>
      <c r="C9114" s="6">
        <v>1637</v>
      </c>
      <c r="D9114" s="7">
        <v>11.95</v>
      </c>
      <c r="E9114" t="s">
        <v>21</v>
      </c>
    </row>
    <row r="9115" spans="1:5" x14ac:dyDescent="0.25">
      <c r="A9115" t="str">
        <f>HYPERLINK("https://www.773grp.com/globalSearch/DS90CF584MTD/page-1", "DS90CF584MTD")</f>
        <v>DS90CF584MTD</v>
      </c>
      <c r="B9115" s="3" t="str">
        <f>HYPERLINK("https://www.773grp.com/manufacturer/national-semiconductor?pageNo=2", "National Semiconductor")</f>
        <v>National Semiconductor</v>
      </c>
      <c r="C9115" s="6">
        <v>6</v>
      </c>
      <c r="D9115" s="7">
        <v>11.95</v>
      </c>
      <c r="E9115" t="s">
        <v>21</v>
      </c>
    </row>
    <row r="9116" spans="1:5" x14ac:dyDescent="0.25">
      <c r="A9116" t="str">
        <f>HYPERLINK("https://www.773grp.com/globalSearch/LM2588SX-ADJ-NOPB/page-1", "LM2588SX-ADJ-NOPB")</f>
        <v>LM2588SX-ADJ-NOPB</v>
      </c>
      <c r="B9116" s="3" t="str">
        <f>HYPERLINK("https://www.773grp.com/manufacturer/national-semiconductor?pageNo=3", "National Semiconductor")</f>
        <v>National Semiconductor</v>
      </c>
      <c r="C9116" s="6">
        <v>2000</v>
      </c>
      <c r="D9116" s="7">
        <v>11.95</v>
      </c>
      <c r="E9116" t="s">
        <v>7</v>
      </c>
    </row>
    <row r="9117" spans="1:5" x14ac:dyDescent="0.25">
      <c r="A9117" t="str">
        <f>HYPERLINK("https://www.773grp.com/globalSearch/LM2588T-ADJ-NOPB/page-1", "LM2588T-ADJ-NOPB")</f>
        <v>LM2588T-ADJ-NOPB</v>
      </c>
      <c r="B9117" s="3" t="str">
        <f>HYPERLINK("https://www.773grp.com/manufacturer/national-semiconductor?pageNo=4", "National Semiconductor")</f>
        <v>National Semiconductor</v>
      </c>
      <c r="C9117" s="6">
        <v>515</v>
      </c>
      <c r="D9117" s="7">
        <v>11.95</v>
      </c>
    </row>
    <row r="9118" spans="1:5" x14ac:dyDescent="0.25">
      <c r="A9118" t="str">
        <f>HYPERLINK("https://www.773grp.com/globalSearch/DAC7612UB/page-1", "DAC7612UB")</f>
        <v>DAC7612UB</v>
      </c>
      <c r="B9118" s="3" t="str">
        <f>HYPERLINK("https://www.773grp.com/manufacturer/national-semiconductor?pageNo=5", "National Semiconductor")</f>
        <v>National Semiconductor</v>
      </c>
      <c r="C9118" s="6">
        <v>150</v>
      </c>
      <c r="D9118" s="7">
        <v>11.95</v>
      </c>
    </row>
    <row r="9119" spans="1:5" x14ac:dyDescent="0.25">
      <c r="A9119" t="str">
        <f>HYPERLINK("https://www.773grp.com/globalSearch/LM2588S-3.3/page-1", "LM2588S-3.3")</f>
        <v>LM2588S-3.3</v>
      </c>
      <c r="B9119" s="3" t="str">
        <f>HYPERLINK("https://www.773grp.com/manufacturer/national-semiconductor?pageNo=6", "National Semiconductor")</f>
        <v>National Semiconductor</v>
      </c>
      <c r="C9119" s="6">
        <v>120</v>
      </c>
      <c r="D9119" s="7">
        <v>11.95</v>
      </c>
    </row>
    <row r="9120" spans="1:5" x14ac:dyDescent="0.25">
      <c r="A9120" t="str">
        <f>HYPERLINK("https://www.773grp.com/globalSearch/LM2588SX-5.0-NOPB/page-1", "LM2588SX-5.0-NOPB")</f>
        <v>LM2588SX-5.0-NOPB</v>
      </c>
      <c r="B9120" s="3" t="str">
        <f>HYPERLINK("https://www.773grp.com/manufacturer/national-semiconductor?pageNo=7", "National Semiconductor")</f>
        <v>National Semiconductor</v>
      </c>
      <c r="C9120" s="6">
        <v>500</v>
      </c>
      <c r="D9120" s="7">
        <v>11.95</v>
      </c>
    </row>
    <row r="9121" spans="1:5" x14ac:dyDescent="0.25">
      <c r="A9121" t="str">
        <f>HYPERLINK("https://www.773grp.com/globalSearch/LM2588SX-ADJ-NOPB/page-1", "LM2588SX-ADJ-NOPB")</f>
        <v>LM2588SX-ADJ-NOPB</v>
      </c>
      <c r="B9121" s="3" t="str">
        <f>HYPERLINK("https://www.773grp.com/manufacturer/national-semiconductor?pageNo=8", "National Semiconductor")</f>
        <v>National Semiconductor</v>
      </c>
      <c r="C9121" s="6">
        <v>1500</v>
      </c>
      <c r="D9121" s="7">
        <v>11.95</v>
      </c>
      <c r="E9121" t="s">
        <v>7</v>
      </c>
    </row>
    <row r="9122" spans="1:5" x14ac:dyDescent="0.25">
      <c r="A9122" t="str">
        <f>HYPERLINK("https://www.773grp.com/globalSearch/LM2588T-3.3-NOPB/page-1", "LM2588T-3.3-NOPB")</f>
        <v>LM2588T-3.3-NOPB</v>
      </c>
      <c r="B9122" s="3" t="str">
        <f>HYPERLINK("https://www.773grp.com/manufacturer/national-semiconductor?pageNo=9", "National Semiconductor")</f>
        <v>National Semiconductor</v>
      </c>
      <c r="C9122" s="6">
        <v>77</v>
      </c>
      <c r="D9122" s="7">
        <v>11.95</v>
      </c>
    </row>
    <row r="9123" spans="1:5" x14ac:dyDescent="0.25">
      <c r="A9123" t="str">
        <f>HYPERLINK("https://www.773grp.com/globalSearch/LM2588T-5.0-NOPB/page-1", "LM2588T-5.0-NOPB")</f>
        <v>LM2588T-5.0-NOPB</v>
      </c>
      <c r="B9123" s="3" t="str">
        <f>HYPERLINK("https://www.773grp.com/manufacturer/national-semiconductor?pageNo=10", "National Semiconductor")</f>
        <v>National Semiconductor</v>
      </c>
      <c r="C9123" s="6">
        <v>370</v>
      </c>
      <c r="D9123" s="7">
        <v>11.95</v>
      </c>
    </row>
    <row r="9124" spans="1:5" x14ac:dyDescent="0.25">
      <c r="A9124" t="str">
        <f>HYPERLINK("https://www.773grp.com/globalSearch/LM2588T-ADJ-NOPB/page-1", "LM2588T-ADJ-NOPB")</f>
        <v>LM2588T-ADJ-NOPB</v>
      </c>
      <c r="B9124" s="3" t="str">
        <f>HYPERLINK("https://www.773grp.com/manufacturer/national-semiconductor?pageNo=11", "National Semiconductor")</f>
        <v>National Semiconductor</v>
      </c>
      <c r="C9124" s="6">
        <v>376</v>
      </c>
      <c r="D9124" s="7">
        <v>11.95</v>
      </c>
    </row>
    <row r="9125" spans="1:5" x14ac:dyDescent="0.25">
      <c r="A9125" t="str">
        <f>HYPERLINK("https://www.773grp.com/globalSearch/LMZ12001TZX-ADJ-NOPB/page-1", "LMZ12001TZX-ADJ-NOPB")</f>
        <v>LMZ12001TZX-ADJ-NOPB</v>
      </c>
      <c r="B9125" s="3" t="str">
        <f>HYPERLINK("https://www.773grp.com/manufacturer/national-semiconductor?pageNo=12", "National Semiconductor")</f>
        <v>National Semiconductor</v>
      </c>
      <c r="C9125" s="6">
        <v>450</v>
      </c>
      <c r="D9125" s="7">
        <v>11.95</v>
      </c>
    </row>
    <row r="9126" spans="1:5" x14ac:dyDescent="0.25">
      <c r="A9126" t="str">
        <f>HYPERLINK("https://www.773grp.com/globalSearch/TMS320F28032PNS/page-1", "TMS320F28032PNS")</f>
        <v>TMS320F28032PNS</v>
      </c>
      <c r="B9126" s="3" t="str">
        <f>HYPERLINK("https://www.773grp.com/manufacturer/national-semiconductor?pageNo=13", "National Semiconductor")</f>
        <v>National Semiconductor</v>
      </c>
      <c r="C9126" s="6">
        <v>760</v>
      </c>
      <c r="D9126" s="7">
        <v>11.95</v>
      </c>
    </row>
    <row r="9127" spans="1:5" x14ac:dyDescent="0.25">
      <c r="A9127" t="str">
        <f>HYPERLINK("https://www.773grp.com/globalSearch/DS15BR400TVS-NOPB/page-1", "DS15BR400TVS-NOPB")</f>
        <v>DS15BR400TVS-NOPB</v>
      </c>
      <c r="B9127" s="3" t="str">
        <f>HYPERLINK("https://www.773grp.com/manufacturer/national-semiconductor?pageNo=14", "National Semiconductor")</f>
        <v>National Semiconductor</v>
      </c>
      <c r="C9127" s="6">
        <v>518</v>
      </c>
      <c r="D9127" s="7">
        <v>11.99</v>
      </c>
    </row>
    <row r="9128" spans="1:5" x14ac:dyDescent="0.25">
      <c r="A9128" t="str">
        <f>HYPERLINK("https://www.773grp.com/globalSearch/DS15BR401TVS-NOPB/page-1", "DS15BR401TVS-NOPB")</f>
        <v>DS15BR401TVS-NOPB</v>
      </c>
      <c r="B9128" s="3" t="str">
        <f>HYPERLINK("https://www.773grp.com/manufacturer/national-semiconductor?pageNo=15", "National Semiconductor")</f>
        <v>National Semiconductor</v>
      </c>
      <c r="C9128" s="6">
        <v>447</v>
      </c>
      <c r="D9128" s="7">
        <v>11.99</v>
      </c>
    </row>
    <row r="9129" spans="1:5" x14ac:dyDescent="0.25">
      <c r="A9129" t="str">
        <f>HYPERLINK("https://www.773grp.com/globalSearch/DS15BR400TVS-NOPB/page-1", "DS15BR400TVS-NOPB")</f>
        <v>DS15BR400TVS-NOPB</v>
      </c>
      <c r="B9129" s="3" t="str">
        <f>HYPERLINK("https://www.773grp.com/manufacturer/national-semiconductor?pageNo=16", "National Semiconductor")</f>
        <v>National Semiconductor</v>
      </c>
      <c r="C9129" s="6">
        <v>353</v>
      </c>
      <c r="D9129" s="7">
        <v>11.99</v>
      </c>
    </row>
    <row r="9130" spans="1:5" x14ac:dyDescent="0.25">
      <c r="A9130" t="str">
        <f>HYPERLINK("https://www.773grp.com/globalSearch/DS15BR401TVS-NOPB/page-1", "DS15BR401TVS-NOPB")</f>
        <v>DS15BR401TVS-NOPB</v>
      </c>
      <c r="B9130" s="3" t="str">
        <f>HYPERLINK("https://www.773grp.com/manufacturer/national-semiconductor?pageNo=17", "National Semiconductor")</f>
        <v>National Semiconductor</v>
      </c>
      <c r="C9130" s="6">
        <v>2889</v>
      </c>
      <c r="D9130" s="7">
        <v>11.99</v>
      </c>
    </row>
    <row r="9131" spans="1:5" x14ac:dyDescent="0.25">
      <c r="A9131" t="str">
        <f>HYPERLINK("https://www.773grp.com/globalSearch/LM21215AMH-1-NOPB/page-1", "LM21215AMH-1-NOPB")</f>
        <v>LM21215AMH-1-NOPB</v>
      </c>
      <c r="B9131" s="3" t="str">
        <f>HYPERLINK("https://www.773grp.com/manufacturer/national-semiconductor?pageNo=18", "National Semiconductor")</f>
        <v>National Semiconductor</v>
      </c>
      <c r="C9131" s="6">
        <v>29</v>
      </c>
      <c r="D9131" s="7">
        <v>11.99</v>
      </c>
    </row>
    <row r="9132" spans="1:5" x14ac:dyDescent="0.25">
      <c r="A9132" t="str">
        <f>HYPERLINK("https://www.773grp.com/globalSearch/LM21215MH-NOPB/page-1", "LM21215MH-NOPB")</f>
        <v>LM21215MH-NOPB</v>
      </c>
      <c r="B9132" s="3" t="str">
        <f>HYPERLINK("https://www.773grp.com/manufacturer/national-semiconductor?pageNo=19", "National Semiconductor")</f>
        <v>National Semiconductor</v>
      </c>
      <c r="C9132" s="6">
        <v>1239</v>
      </c>
      <c r="D9132" s="7">
        <v>11.99</v>
      </c>
    </row>
    <row r="9133" spans="1:5" x14ac:dyDescent="0.25">
      <c r="A9133" t="str">
        <f>HYPERLINK("https://www.773grp.com/globalSearch/DS14C232CWM/page-1", "DS14C232CWM")</f>
        <v>DS14C232CWM</v>
      </c>
      <c r="B9133" s="3" t="str">
        <f>HYPERLINK("https://www.773grp.com/manufacturer/national-semiconductor?pageNo=20", "National Semiconductor")</f>
        <v>National Semiconductor</v>
      </c>
      <c r="C9133" s="6">
        <v>4450</v>
      </c>
      <c r="D9133" s="7">
        <v>12.01</v>
      </c>
      <c r="E9133" t="s">
        <v>21</v>
      </c>
    </row>
    <row r="9134" spans="1:5" x14ac:dyDescent="0.25">
      <c r="A9134" t="str">
        <f>HYPERLINK("https://www.773grp.com/globalSearch/DS90UB901QSQX-NOPB/page-1", "DS90UB901QSQX-NOPB")</f>
        <v>DS90UB901QSQX-NOPB</v>
      </c>
      <c r="B9134" s="3" t="str">
        <f>HYPERLINK("https://www.773grp.com/manufacturer/national-semiconductor?pageNo=21", "National Semiconductor")</f>
        <v>National Semiconductor</v>
      </c>
      <c r="C9134" s="6">
        <v>5000</v>
      </c>
      <c r="D9134" s="7">
        <v>12.01</v>
      </c>
    </row>
    <row r="9135" spans="1:5" x14ac:dyDescent="0.25">
      <c r="A9135" t="str">
        <f>HYPERLINK("https://www.773grp.com/globalSearch/DS90UB903QSQ-NOPB/page-1", "DS90UB903QSQ-NOPB")</f>
        <v>DS90UB903QSQ-NOPB</v>
      </c>
      <c r="B9135" s="3" t="str">
        <f>HYPERLINK("https://www.773grp.com/manufacturer/national-semiconductor?pageNo=22", "National Semiconductor")</f>
        <v>National Semiconductor</v>
      </c>
      <c r="C9135" s="6">
        <v>4000</v>
      </c>
      <c r="D9135" s="7">
        <v>12.01</v>
      </c>
    </row>
    <row r="9136" spans="1:5" x14ac:dyDescent="0.25">
      <c r="A9136" t="str">
        <f>HYPERLINK("https://www.773grp.com/globalSearch/DS90UB903QSQX-NOPB/page-1", "DS90UB903QSQX-NOPB")</f>
        <v>DS90UB903QSQX-NOPB</v>
      </c>
      <c r="B9136" s="3" t="str">
        <f>HYPERLINK("https://www.773grp.com/manufacturer/national-semiconductor?pageNo=23", "National Semiconductor")</f>
        <v>National Semiconductor</v>
      </c>
      <c r="C9136" s="6">
        <v>5000</v>
      </c>
      <c r="D9136" s="7">
        <v>12.01</v>
      </c>
    </row>
    <row r="9137" spans="1:5" x14ac:dyDescent="0.25">
      <c r="A9137" t="str">
        <f>HYPERLINK("https://www.773grp.com/globalSearch/DS90UB904QSQ-NOPB/page-1", "DS90UB904QSQ-NOPB")</f>
        <v>DS90UB904QSQ-NOPB</v>
      </c>
      <c r="B9137" s="3" t="str">
        <f>HYPERLINK("https://www.773grp.com/manufacturer/national-semiconductor?pageNo=24", "National Semiconductor")</f>
        <v>National Semiconductor</v>
      </c>
      <c r="C9137" s="6">
        <v>8000</v>
      </c>
      <c r="D9137" s="7">
        <v>12.01</v>
      </c>
    </row>
    <row r="9138" spans="1:5" x14ac:dyDescent="0.25">
      <c r="A9138" t="str">
        <f>HYPERLINK("https://www.773grp.com/globalSearch/DS90UB904QSQX-NOPB/page-1", "DS90UB904QSQX-NOPB")</f>
        <v>DS90UB904QSQX-NOPB</v>
      </c>
      <c r="B9138" s="3" t="str">
        <f>HYPERLINK("https://www.773grp.com/manufacturer/national-semiconductor?pageNo=25", "National Semiconductor")</f>
        <v>National Semiconductor</v>
      </c>
      <c r="C9138" s="6">
        <v>2500</v>
      </c>
      <c r="D9138" s="7">
        <v>12.01</v>
      </c>
    </row>
    <row r="9139" spans="1:5" x14ac:dyDescent="0.25">
      <c r="A9139" t="str">
        <f>HYPERLINK("https://www.773grp.com/globalSearch/LMH6881SQE-NOPB/page-1", "LMH6881SQE-NOPB")</f>
        <v>LMH6881SQE-NOPB</v>
      </c>
      <c r="B9139" s="3" t="str">
        <f>HYPERLINK("https://www.773grp.com/manufacturer/national-semiconductor?pageNo=26", "National Semiconductor")</f>
        <v>National Semiconductor</v>
      </c>
      <c r="C9139" s="6">
        <v>389</v>
      </c>
      <c r="D9139" s="7">
        <v>12.01</v>
      </c>
    </row>
    <row r="9140" spans="1:5" x14ac:dyDescent="0.25">
      <c r="A9140" t="str">
        <f>HYPERLINK("https://www.773grp.com/globalSearch/ADC10D020CIVSE-NOPB/page-1", "ADC10D020CIVSE-NOPB")</f>
        <v>ADC10D020CIVSE-NOPB</v>
      </c>
      <c r="B9140" s="3" t="str">
        <f>HYPERLINK("https://www.773grp.com/manufacturer/national-semiconductor?pageNo=27", "National Semiconductor")</f>
        <v>National Semiconductor</v>
      </c>
      <c r="C9140" s="6">
        <v>250</v>
      </c>
      <c r="D9140" s="7">
        <v>12.04</v>
      </c>
    </row>
    <row r="9141" spans="1:5" x14ac:dyDescent="0.25">
      <c r="A9141" t="str">
        <f>HYPERLINK("https://www.773grp.com/globalSearch/LM5576MH/page-1", "LM5576MH")</f>
        <v>LM5576MH</v>
      </c>
      <c r="B9141" s="3" t="str">
        <f>HYPERLINK("https://www.773grp.com/manufacturer/national-semiconductor?pageNo=28", "National Semiconductor")</f>
        <v>National Semiconductor</v>
      </c>
      <c r="C9141" s="6">
        <v>1460</v>
      </c>
      <c r="D9141" s="7">
        <v>12.04</v>
      </c>
      <c r="E9141" t="s">
        <v>7</v>
      </c>
    </row>
    <row r="9142" spans="1:5" x14ac:dyDescent="0.25">
      <c r="A9142" t="str">
        <f>HYPERLINK("https://www.773grp.com/globalSearch/SCAN921025HSM-NOPB/page-1", "SCAN921025HSM-NOPB")</f>
        <v>SCAN921025HSM-NOPB</v>
      </c>
      <c r="B9142" s="3" t="str">
        <f>HYPERLINK("https://www.773grp.com/manufacturer/national-semiconductor?pageNo=29", "National Semiconductor")</f>
        <v>National Semiconductor</v>
      </c>
      <c r="C9142" s="6">
        <v>4885</v>
      </c>
      <c r="D9142" s="7">
        <v>12.04</v>
      </c>
      <c r="E9142" t="s">
        <v>21</v>
      </c>
    </row>
    <row r="9143" spans="1:5" x14ac:dyDescent="0.25">
      <c r="A9143" t="str">
        <f>HYPERLINK("https://www.773grp.com/globalSearch/SCAN921226HSM-NOPB/page-1", "SCAN921226HSM-NOPB")</f>
        <v>SCAN921226HSM-NOPB</v>
      </c>
      <c r="B9143" s="3" t="str">
        <f>HYPERLINK("https://www.773grp.com/manufacturer/national-semiconductor?pageNo=30", "National Semiconductor")</f>
        <v>National Semiconductor</v>
      </c>
      <c r="C9143" s="6">
        <v>3746</v>
      </c>
      <c r="D9143" s="7">
        <v>12.04</v>
      </c>
      <c r="E9143" t="s">
        <v>21</v>
      </c>
    </row>
    <row r="9144" spans="1:5" x14ac:dyDescent="0.25">
      <c r="A9144" t="str">
        <f>HYPERLINK("https://www.773grp.com/globalSearch/DS92LV1224TMSAX-NOPB/page-1", "DS92LV1224TMSAX-NOPB")</f>
        <v>DS92LV1224TMSAX-NOPB</v>
      </c>
      <c r="B9144" s="3" t="str">
        <f>HYPERLINK("https://www.773grp.com/manufacturer/national-semiconductor?pageNo=31", "National Semiconductor")</f>
        <v>National Semiconductor</v>
      </c>
      <c r="C9144" s="6">
        <v>8000</v>
      </c>
      <c r="D9144" s="7">
        <v>12.04</v>
      </c>
    </row>
    <row r="9145" spans="1:5" x14ac:dyDescent="0.25">
      <c r="A9145" t="str">
        <f>HYPERLINK("https://www.773grp.com/globalSearch/SCAN921025HSM-NOPB/page-1", "SCAN921025HSM-NOPB")</f>
        <v>SCAN921025HSM-NOPB</v>
      </c>
      <c r="B9145" s="3" t="str">
        <f>HYPERLINK("https://www.773grp.com/manufacturer/national-semiconductor?pageNo=32", "National Semiconductor")</f>
        <v>National Semiconductor</v>
      </c>
      <c r="C9145" s="6">
        <v>18366</v>
      </c>
      <c r="D9145" s="7">
        <v>12.04</v>
      </c>
      <c r="E9145" t="s">
        <v>21</v>
      </c>
    </row>
    <row r="9146" spans="1:5" x14ac:dyDescent="0.25">
      <c r="A9146" t="str">
        <f>HYPERLINK("https://www.773grp.com/globalSearch/SCAN921226HSM-NOPB/page-1", "SCAN921226HSM-NOPB")</f>
        <v>SCAN921226HSM-NOPB</v>
      </c>
      <c r="B9146" s="3" t="str">
        <f>HYPERLINK("https://www.773grp.com/manufacturer/national-semiconductor?pageNo=33", "National Semiconductor")</f>
        <v>National Semiconductor</v>
      </c>
      <c r="C9146" s="6">
        <v>2515</v>
      </c>
      <c r="D9146" s="7">
        <v>12.04</v>
      </c>
      <c r="E9146" t="s">
        <v>21</v>
      </c>
    </row>
    <row r="9147" spans="1:5" x14ac:dyDescent="0.25">
      <c r="A9147" t="str">
        <f>HYPERLINK("https://www.773grp.com/globalSearch/ADC0831BCN/page-1", "ADC0831BCN")</f>
        <v>ADC0831BCN</v>
      </c>
      <c r="B9147" s="3" t="str">
        <f>HYPERLINK("https://www.773grp.com/manufacturer/national-semiconductor?pageNo=34", "National Semiconductor")</f>
        <v>National Semiconductor</v>
      </c>
      <c r="C9147" s="6">
        <v>1152</v>
      </c>
      <c r="D9147" s="7">
        <v>12.06</v>
      </c>
      <c r="E9147" t="s">
        <v>39</v>
      </c>
    </row>
    <row r="9148" spans="1:5" x14ac:dyDescent="0.25">
      <c r="A9148" t="str">
        <f>HYPERLINK("https://www.773grp.com/globalSearch/DM54LS169J-883C/page-1", "DM54LS169J-883C")</f>
        <v>DM54LS169J-883C</v>
      </c>
      <c r="B9148" s="3" t="str">
        <f>HYPERLINK("https://www.773grp.com/manufacturer/national-semiconductor?pageNo=35", "National Semiconductor")</f>
        <v>National Semiconductor</v>
      </c>
      <c r="C9148" s="6">
        <v>60</v>
      </c>
      <c r="D9148" s="7">
        <v>12.06</v>
      </c>
    </row>
    <row r="9149" spans="1:5" x14ac:dyDescent="0.25">
      <c r="A9149" t="str">
        <f>HYPERLINK("https://www.773grp.com/globalSearch/MM74HC365J/page-1", "MM74HC365J")</f>
        <v>MM74HC365J</v>
      </c>
      <c r="B9149" s="3" t="str">
        <f>HYPERLINK("https://www.773grp.com/manufacturer/national-semiconductor?pageNo=36", "National Semiconductor")</f>
        <v>National Semiconductor</v>
      </c>
      <c r="C9149" s="6">
        <v>1090</v>
      </c>
      <c r="D9149" s="7">
        <v>12.06</v>
      </c>
      <c r="E9149" t="s">
        <v>14</v>
      </c>
    </row>
    <row r="9150" spans="1:5" x14ac:dyDescent="0.25">
      <c r="A9150" t="str">
        <f>HYPERLINK("https://www.773grp.com/globalSearch/MM74HC367J/page-1", "MM74HC367J")</f>
        <v>MM74HC367J</v>
      </c>
      <c r="B9150" s="3" t="str">
        <f>HYPERLINK("https://www.773grp.com/manufacturer/national-semiconductor?pageNo=37", "National Semiconductor")</f>
        <v>National Semiconductor</v>
      </c>
      <c r="C9150" s="6">
        <v>1055</v>
      </c>
      <c r="D9150" s="7">
        <v>12.06</v>
      </c>
      <c r="E9150" t="s">
        <v>14</v>
      </c>
    </row>
    <row r="9151" spans="1:5" x14ac:dyDescent="0.25">
      <c r="A9151" t="str">
        <f>HYPERLINK("https://www.773grp.com/globalSearch/SCANSTA111MTX/page-1", "SCANSTA111MTX")</f>
        <v>SCANSTA111MTX</v>
      </c>
      <c r="B9151" s="3" t="str">
        <f>HYPERLINK("https://www.773grp.com/manufacturer/national-semiconductor?pageNo=38", "National Semiconductor")</f>
        <v>National Semiconductor</v>
      </c>
      <c r="C9151" s="6">
        <v>3000</v>
      </c>
      <c r="D9151" s="7">
        <v>12.06</v>
      </c>
      <c r="E9151" t="s">
        <v>42</v>
      </c>
    </row>
    <row r="9152" spans="1:5" x14ac:dyDescent="0.25">
      <c r="A9152" t="str">
        <f>HYPERLINK("https://www.773grp.com/globalSearch/SCANSTA111MTX-NOPB/page-1", "SCANSTA111MTX-NOPB")</f>
        <v>SCANSTA111MTX-NOPB</v>
      </c>
      <c r="B9152" s="3" t="str">
        <f>HYPERLINK("https://www.773grp.com/manufacturer/national-semiconductor?pageNo=39", "National Semiconductor")</f>
        <v>National Semiconductor</v>
      </c>
      <c r="C9152" s="6">
        <v>2000</v>
      </c>
      <c r="D9152" s="7">
        <v>12.06</v>
      </c>
    </row>
    <row r="9153" spans="1:5" x14ac:dyDescent="0.25">
      <c r="A9153" t="str">
        <f>HYPERLINK("https://www.773grp.com/globalSearch/SCANSTA111MTX-NOPB/page-1", "SCANSTA111MTX-NOPB")</f>
        <v>SCANSTA111MTX-NOPB</v>
      </c>
      <c r="B9153" s="3" t="str">
        <f>HYPERLINK("https://www.773grp.com/manufacturer/national-semiconductor?pageNo=40", "National Semiconductor")</f>
        <v>National Semiconductor</v>
      </c>
      <c r="C9153" s="6">
        <v>1000</v>
      </c>
      <c r="D9153" s="7">
        <v>12.06</v>
      </c>
    </row>
    <row r="9154" spans="1:5" x14ac:dyDescent="0.25">
      <c r="A9154" t="str">
        <f>HYPERLINK("https://www.773grp.com/globalSearch/54155FM/page-1", "54155FM")</f>
        <v>54155FM</v>
      </c>
      <c r="B9154" s="3" t="str">
        <f>HYPERLINK("https://www.773grp.com/manufacturer/national-semiconductor?pageNo=41", "National Semiconductor")</f>
        <v>National Semiconductor</v>
      </c>
      <c r="C9154" s="6">
        <v>961</v>
      </c>
      <c r="D9154" s="7">
        <v>12.1</v>
      </c>
    </row>
    <row r="9155" spans="1:5" x14ac:dyDescent="0.25">
      <c r="A9155" t="str">
        <f>HYPERLINK("https://www.773grp.com/globalSearch/54174FM/page-1", "54174FM")</f>
        <v>54174FM</v>
      </c>
      <c r="B9155" s="3" t="str">
        <f>HYPERLINK("https://www.773grp.com/manufacturer/national-semiconductor?pageNo=42", "National Semiconductor")</f>
        <v>National Semiconductor</v>
      </c>
      <c r="C9155" s="6">
        <v>7000</v>
      </c>
      <c r="D9155" s="7">
        <v>12.1</v>
      </c>
    </row>
    <row r="9156" spans="1:5" x14ac:dyDescent="0.25">
      <c r="A9156" t="str">
        <f>HYPERLINK("https://www.773grp.com/globalSearch/54180FM/page-1", "54180FM")</f>
        <v>54180FM</v>
      </c>
      <c r="B9156" s="3" t="str">
        <f>HYPERLINK("https://www.773grp.com/manufacturer/national-semiconductor?pageNo=43", "National Semiconductor")</f>
        <v>National Semiconductor</v>
      </c>
      <c r="C9156" s="6">
        <v>97</v>
      </c>
      <c r="D9156" s="7">
        <v>12.1</v>
      </c>
    </row>
    <row r="9157" spans="1:5" x14ac:dyDescent="0.25">
      <c r="A9157" t="str">
        <f>HYPERLINK("https://www.773grp.com/globalSearch/54181DM/page-1", "54181DM")</f>
        <v>54181DM</v>
      </c>
      <c r="B9157" s="3" t="str">
        <f>HYPERLINK("https://www.773grp.com/manufacturer/national-semiconductor?pageNo=44", "National Semiconductor")</f>
        <v>National Semiconductor</v>
      </c>
      <c r="C9157" s="6">
        <v>561</v>
      </c>
      <c r="D9157" s="7">
        <v>12.1</v>
      </c>
    </row>
    <row r="9158" spans="1:5" x14ac:dyDescent="0.25">
      <c r="A9158" t="str">
        <f>HYPERLINK("https://www.773grp.com/globalSearch/54193FM/page-1", "54193FM")</f>
        <v>54193FM</v>
      </c>
      <c r="B9158" s="3" t="str">
        <f>HYPERLINK("https://www.773grp.com/manufacturer/national-semiconductor?pageNo=45", "National Semiconductor")</f>
        <v>National Semiconductor</v>
      </c>
      <c r="C9158" s="6">
        <v>81</v>
      </c>
      <c r="D9158" s="7">
        <v>12.1</v>
      </c>
    </row>
    <row r="9159" spans="1:5" x14ac:dyDescent="0.25">
      <c r="A9159" t="str">
        <f>HYPERLINK("https://www.773grp.com/globalSearch/54F161A-1E-MIL/page-1", "54F161A-1E-MIL")</f>
        <v>54F161A-1E-MIL</v>
      </c>
      <c r="B9159" s="3" t="str">
        <f>HYPERLINK("https://www.773grp.com/manufacturer/national-semiconductor?pageNo=46", "National Semiconductor")</f>
        <v>National Semiconductor</v>
      </c>
      <c r="C9159" s="6">
        <v>222</v>
      </c>
      <c r="D9159" s="7">
        <v>12.1</v>
      </c>
    </row>
    <row r="9160" spans="1:5" x14ac:dyDescent="0.25">
      <c r="A9160" t="str">
        <f>HYPERLINK("https://www.773grp.com/globalSearch/54F74LM/page-1", "54F74LM")</f>
        <v>54F74LM</v>
      </c>
      <c r="B9160" s="3" t="str">
        <f>HYPERLINK("https://www.773grp.com/manufacturer/national-semiconductor?pageNo=47", "National Semiconductor")</f>
        <v>National Semiconductor</v>
      </c>
      <c r="C9160" s="6">
        <v>2</v>
      </c>
      <c r="D9160" s="7">
        <v>12.1</v>
      </c>
      <c r="E9160" t="s">
        <v>35</v>
      </c>
    </row>
    <row r="9161" spans="1:5" x14ac:dyDescent="0.25">
      <c r="A9161" t="str">
        <f>HYPERLINK("https://www.773grp.com/globalSearch/54FCT244DM/page-1", "54FCT244DM")</f>
        <v>54FCT244DM</v>
      </c>
      <c r="B9161" s="3" t="str">
        <f>HYPERLINK("https://www.773grp.com/manufacturer/national-semiconductor?pageNo=48", "National Semiconductor")</f>
        <v>National Semiconductor</v>
      </c>
      <c r="C9161" s="6">
        <v>50</v>
      </c>
      <c r="D9161" s="7">
        <v>12.1</v>
      </c>
    </row>
    <row r="9162" spans="1:5" x14ac:dyDescent="0.25">
      <c r="A9162" t="str">
        <f>HYPERLINK("https://www.773grp.com/globalSearch/ADC0832BIWM/page-1", "ADC0832BIWM")</f>
        <v>ADC0832BIWM</v>
      </c>
      <c r="B9162" s="3" t="str">
        <f>HYPERLINK("https://www.773grp.com/manufacturer/national-semiconductor?pageNo=49", "National Semiconductor")</f>
        <v>National Semiconductor</v>
      </c>
      <c r="C9162" s="6">
        <v>200</v>
      </c>
      <c r="D9162" s="7">
        <v>12.1</v>
      </c>
      <c r="E9162" t="s">
        <v>39</v>
      </c>
    </row>
    <row r="9163" spans="1:5" x14ac:dyDescent="0.25">
      <c r="A9163" t="str">
        <f>HYPERLINK("https://www.773grp.com/globalSearch/COP8SAA716M8/page-1", "COP8SAA716M8")</f>
        <v>COP8SAA716M8</v>
      </c>
      <c r="B9163" s="3" t="str">
        <f>HYPERLINK("https://www.773grp.com/manufacturer/national-semiconductor?pageNo=50", "National Semiconductor")</f>
        <v>National Semiconductor</v>
      </c>
      <c r="C9163" s="6">
        <v>135</v>
      </c>
      <c r="D9163" s="7">
        <v>12.1</v>
      </c>
      <c r="E9163" t="s">
        <v>52</v>
      </c>
    </row>
    <row r="9164" spans="1:5" x14ac:dyDescent="0.25">
      <c r="A9164" t="str">
        <f>HYPERLINK("https://www.773grp.com/globalSearch/DAC0830LCN/page-1", "DAC0830LCN")</f>
        <v>DAC0830LCN</v>
      </c>
      <c r="B9164" s="3" t="str">
        <f>HYPERLINK("https://www.773grp.com/manufacturer/national-semiconductor?pageNo=51", "National Semiconductor")</f>
        <v>National Semiconductor</v>
      </c>
      <c r="C9164" s="6">
        <v>470</v>
      </c>
      <c r="D9164" s="7">
        <v>12.1</v>
      </c>
      <c r="E9164" t="s">
        <v>33</v>
      </c>
    </row>
    <row r="9165" spans="1:5" x14ac:dyDescent="0.25">
      <c r="A9165" t="str">
        <f>HYPERLINK("https://www.773grp.com/globalSearch/DM54LS169J-883/page-1", "DM54LS169J-883")</f>
        <v>DM54LS169J-883</v>
      </c>
      <c r="B9165" s="3" t="str">
        <f>HYPERLINK("https://www.773grp.com/manufacturer/national-semiconductor?pageNo=52", "National Semiconductor")</f>
        <v>National Semiconductor</v>
      </c>
      <c r="C9165" s="6">
        <v>3589</v>
      </c>
      <c r="D9165" s="7">
        <v>12.1</v>
      </c>
      <c r="E9165" t="s">
        <v>26</v>
      </c>
    </row>
    <row r="9166" spans="1:5" x14ac:dyDescent="0.25">
      <c r="A9166" t="str">
        <f>HYPERLINK("https://www.773grp.com/globalSearch/DM54LS194AW-883/page-1", "DM54LS194AW-883")</f>
        <v>DM54LS194AW-883</v>
      </c>
      <c r="B9166" s="3" t="str">
        <f>HYPERLINK("https://www.773grp.com/manufacturer/national-semiconductor?pageNo=53", "National Semiconductor")</f>
        <v>National Semiconductor</v>
      </c>
      <c r="C9166" s="6">
        <v>197</v>
      </c>
      <c r="D9166" s="7">
        <v>12.1</v>
      </c>
    </row>
    <row r="9167" spans="1:5" x14ac:dyDescent="0.25">
      <c r="A9167" t="str">
        <f>HYPERLINK("https://www.773grp.com/globalSearch/DM54LS279W-883/page-1", "DM54LS279W-883")</f>
        <v>DM54LS279W-883</v>
      </c>
      <c r="B9167" s="3" t="str">
        <f>HYPERLINK("https://www.773grp.com/manufacturer/national-semiconductor?pageNo=54", "National Semiconductor")</f>
        <v>National Semiconductor</v>
      </c>
      <c r="C9167" s="6">
        <v>816</v>
      </c>
      <c r="D9167" s="7">
        <v>12.1</v>
      </c>
      <c r="E9167" t="s">
        <v>35</v>
      </c>
    </row>
    <row r="9168" spans="1:5" x14ac:dyDescent="0.25">
      <c r="A9168" t="str">
        <f>HYPERLINK("https://www.773grp.com/globalSearch/DM7005W-883/page-1", "DM7005W-883")</f>
        <v>DM7005W-883</v>
      </c>
      <c r="B9168" s="3" t="str">
        <f>HYPERLINK("https://www.773grp.com/manufacturer/national-semiconductor?pageNo=55", "National Semiconductor")</f>
        <v>National Semiconductor</v>
      </c>
      <c r="C9168" s="6">
        <v>75</v>
      </c>
      <c r="D9168" s="7">
        <v>12.1</v>
      </c>
    </row>
    <row r="9169" spans="1:5" x14ac:dyDescent="0.25">
      <c r="A9169" t="str">
        <f>HYPERLINK("https://www.773grp.com/globalSearch/DM7501W-883/page-1", "DM7501W-883")</f>
        <v>DM7501W-883</v>
      </c>
      <c r="B9169" s="3" t="str">
        <f>HYPERLINK("https://www.773grp.com/manufacturer/national-semiconductor?pageNo=56", "National Semiconductor")</f>
        <v>National Semiconductor</v>
      </c>
      <c r="C9169" s="6">
        <v>1</v>
      </c>
      <c r="D9169" s="7">
        <v>12.1</v>
      </c>
    </row>
    <row r="9170" spans="1:5" x14ac:dyDescent="0.25">
      <c r="A9170" t="str">
        <f>HYPERLINK("https://www.773grp.com/globalSearch/DM7510W-883/page-1", "DM7510W-883")</f>
        <v>DM7510W-883</v>
      </c>
      <c r="B9170" s="3" t="str">
        <f>HYPERLINK("https://www.773grp.com/manufacturer/national-semiconductor?pageNo=57", "National Semiconductor")</f>
        <v>National Semiconductor</v>
      </c>
      <c r="C9170" s="6">
        <v>13</v>
      </c>
      <c r="D9170" s="7">
        <v>12.1</v>
      </c>
    </row>
    <row r="9171" spans="1:5" x14ac:dyDescent="0.25">
      <c r="A9171" t="str">
        <f>HYPERLINK("https://www.773grp.com/globalSearch/DS90C365AMT/page-1", "DS90C365AMT")</f>
        <v>DS90C365AMT</v>
      </c>
      <c r="B9171" s="3" t="str">
        <f>HYPERLINK("https://www.773grp.com/manufacturer/national-semiconductor?pageNo=58", "National Semiconductor")</f>
        <v>National Semiconductor</v>
      </c>
      <c r="C9171" s="6">
        <v>179</v>
      </c>
      <c r="D9171" s="7">
        <v>12.1</v>
      </c>
      <c r="E9171" t="s">
        <v>21</v>
      </c>
    </row>
    <row r="9172" spans="1:5" x14ac:dyDescent="0.25">
      <c r="A9172" t="str">
        <f>HYPERLINK("https://www.773grp.com/globalSearch/DS90CF364AMTD/page-1", "DS90CF364AMTD")</f>
        <v>DS90CF364AMTD</v>
      </c>
      <c r="B9172" s="3" t="str">
        <f>HYPERLINK("https://www.773grp.com/manufacturer/national-semiconductor?pageNo=59", "National Semiconductor")</f>
        <v>National Semiconductor</v>
      </c>
      <c r="C9172" s="6">
        <v>113</v>
      </c>
      <c r="D9172" s="7">
        <v>12.1</v>
      </c>
      <c r="E9172" t="s">
        <v>21</v>
      </c>
    </row>
    <row r="9173" spans="1:5" x14ac:dyDescent="0.25">
      <c r="A9173" t="str">
        <f>HYPERLINK("https://www.773grp.com/globalSearch/DS92LV1212AMSAX/page-1", "DS92LV1212AMSAX")</f>
        <v>DS92LV1212AMSAX</v>
      </c>
      <c r="B9173" s="3" t="str">
        <f>HYPERLINK("https://www.773grp.com/manufacturer/national-semiconductor?pageNo=60", "National Semiconductor")</f>
        <v>National Semiconductor</v>
      </c>
      <c r="C9173" s="6">
        <v>4000</v>
      </c>
      <c r="D9173" s="7">
        <v>12.1</v>
      </c>
      <c r="E9173" t="s">
        <v>21</v>
      </c>
    </row>
    <row r="9174" spans="1:5" x14ac:dyDescent="0.25">
      <c r="A9174" t="str">
        <f>HYPERLINK("https://www.773grp.com/globalSearch/LMZ10504TZX-ADJ-NOPB/page-1", "LMZ10504TZX-ADJ-NOPB")</f>
        <v>LMZ10504TZX-ADJ-NOPB</v>
      </c>
      <c r="B9174" s="3" t="str">
        <f>HYPERLINK("https://www.773grp.com/manufacturer/national-semiconductor?pageNo=61", "National Semiconductor")</f>
        <v>National Semiconductor</v>
      </c>
      <c r="C9174" s="6">
        <v>4488</v>
      </c>
      <c r="D9174" s="7">
        <v>12.1</v>
      </c>
      <c r="E9174" t="s">
        <v>7</v>
      </c>
    </row>
    <row r="9175" spans="1:5" x14ac:dyDescent="0.25">
      <c r="A9175" t="str">
        <f>HYPERLINK("https://www.773grp.com/globalSearch/MM54HC160J-883/page-1", "MM54HC160J-883")</f>
        <v>MM54HC160J-883</v>
      </c>
      <c r="B9175" s="3" t="str">
        <f>HYPERLINK("https://www.773grp.com/manufacturer/national-semiconductor?pageNo=62", "National Semiconductor")</f>
        <v>National Semiconductor</v>
      </c>
      <c r="C9175" s="6">
        <v>134</v>
      </c>
      <c r="D9175" s="7">
        <v>12.1</v>
      </c>
    </row>
    <row r="9176" spans="1:5" x14ac:dyDescent="0.25">
      <c r="A9176" t="str">
        <f>HYPERLINK("https://www.773grp.com/globalSearch/COP8SAA716M8/page-1", "COP8SAA716M8")</f>
        <v>COP8SAA716M8</v>
      </c>
      <c r="B9176" s="3" t="str">
        <f>HYPERLINK("https://www.773grp.com/manufacturer/national-semiconductor?pageNo=63", "National Semiconductor")</f>
        <v>National Semiconductor</v>
      </c>
      <c r="C9176" s="6">
        <v>900</v>
      </c>
      <c r="D9176" s="7">
        <v>12.1</v>
      </c>
      <c r="E9176" t="s">
        <v>52</v>
      </c>
    </row>
    <row r="9177" spans="1:5" x14ac:dyDescent="0.25">
      <c r="A9177" t="str">
        <f>HYPERLINK("https://www.773grp.com/globalSearch/ADC0848BCVX/page-1", "ADC0848BCVX")</f>
        <v>ADC0848BCVX</v>
      </c>
      <c r="B9177" s="3" t="str">
        <f>HYPERLINK("https://www.773grp.com/manufacturer/national-semiconductor?pageNo=64", "National Semiconductor")</f>
        <v>National Semiconductor</v>
      </c>
      <c r="C9177" s="6">
        <v>750</v>
      </c>
      <c r="D9177" s="7">
        <v>12.11</v>
      </c>
      <c r="E9177" t="s">
        <v>39</v>
      </c>
    </row>
    <row r="9178" spans="1:5" x14ac:dyDescent="0.25">
      <c r="A9178" t="str">
        <f>HYPERLINK("https://www.773grp.com/globalSearch/DS10BR254TSQ-NOPB/page-1", "DS10BR254TSQ-NOPB")</f>
        <v>DS10BR254TSQ-NOPB</v>
      </c>
      <c r="B9178" s="3" t="str">
        <f>HYPERLINK("https://www.773grp.com/manufacturer/national-semiconductor?pageNo=65", "National Semiconductor")</f>
        <v>National Semiconductor</v>
      </c>
      <c r="C9178" s="6">
        <v>1050</v>
      </c>
      <c r="D9178" s="7">
        <v>12.11</v>
      </c>
    </row>
    <row r="9179" spans="1:5" x14ac:dyDescent="0.25">
      <c r="A9179" t="str">
        <f>HYPERLINK("https://www.773grp.com/globalSearch/DS16EV5110ASQE-NOPB/page-1", "DS16EV5110ASQE-NOPB")</f>
        <v>DS16EV5110ASQE-NOPB</v>
      </c>
      <c r="B9179" s="3" t="str">
        <f>HYPERLINK("https://www.773grp.com/manufacturer/national-semiconductor?pageNo=66", "National Semiconductor")</f>
        <v>National Semiconductor</v>
      </c>
      <c r="C9179" s="6">
        <v>1950</v>
      </c>
      <c r="D9179" s="7">
        <v>12.11</v>
      </c>
    </row>
    <row r="9180" spans="1:5" x14ac:dyDescent="0.25">
      <c r="A9180" t="str">
        <f>HYPERLINK("https://www.773grp.com/globalSearch/LM4549BVH/page-1", "LM4549BVH")</f>
        <v>LM4549BVH</v>
      </c>
      <c r="B9180" s="3" t="str">
        <f>HYPERLINK("https://www.773grp.com/manufacturer/national-semiconductor?pageNo=67", "National Semiconductor")</f>
        <v>National Semiconductor</v>
      </c>
      <c r="C9180" s="6">
        <v>1546</v>
      </c>
      <c r="D9180" s="7">
        <v>12.11</v>
      </c>
      <c r="E9180" t="s">
        <v>23</v>
      </c>
    </row>
    <row r="9181" spans="1:5" x14ac:dyDescent="0.25">
      <c r="A9181" t="str">
        <f>HYPERLINK("https://www.773grp.com/globalSearch/PC16552DVX-NOPB/page-1", "PC16552DVX-NOPB")</f>
        <v>PC16552DVX-NOPB</v>
      </c>
      <c r="B9181" s="3" t="str">
        <f>HYPERLINK("https://www.773grp.com/manufacturer/national-semiconductor?pageNo=68", "National Semiconductor")</f>
        <v>National Semiconductor</v>
      </c>
      <c r="C9181" s="6">
        <v>2000</v>
      </c>
      <c r="D9181" s="7">
        <v>12.11</v>
      </c>
      <c r="E9181" t="s">
        <v>71</v>
      </c>
    </row>
    <row r="9182" spans="1:5" x14ac:dyDescent="0.25">
      <c r="A9182" t="str">
        <f>HYPERLINK("https://www.773grp.com/globalSearch/ADS1286UL/page-1", "ADS1286UL")</f>
        <v>ADS1286UL</v>
      </c>
      <c r="B9182" s="3" t="str">
        <f>HYPERLINK("https://www.773grp.com/manufacturer/national-semiconductor?pageNo=69", "National Semiconductor")</f>
        <v>National Semiconductor</v>
      </c>
      <c r="C9182" s="6">
        <v>825</v>
      </c>
      <c r="D9182" s="7">
        <v>12.11</v>
      </c>
    </row>
    <row r="9183" spans="1:5" x14ac:dyDescent="0.25">
      <c r="A9183" t="str">
        <f>HYPERLINK("https://www.773grp.com/globalSearch/DS16EV5110ASQE-NOPB/page-1", "DS16EV5110ASQE-NOPB")</f>
        <v>DS16EV5110ASQE-NOPB</v>
      </c>
      <c r="B9183" s="3" t="str">
        <f>HYPERLINK("https://www.773grp.com/manufacturer/national-semiconductor?pageNo=70", "National Semiconductor")</f>
        <v>National Semiconductor</v>
      </c>
      <c r="C9183" s="6">
        <v>5750</v>
      </c>
      <c r="D9183" s="7">
        <v>12.11</v>
      </c>
    </row>
    <row r="9184" spans="1:5" x14ac:dyDescent="0.25">
      <c r="A9184" t="str">
        <f>HYPERLINK("https://www.773grp.com/globalSearch/LM4549BVH/page-1", "LM4549BVH")</f>
        <v>LM4549BVH</v>
      </c>
      <c r="B9184" s="3" t="str">
        <f>HYPERLINK("https://www.773grp.com/manufacturer/national-semiconductor?pageNo=71", "National Semiconductor")</f>
        <v>National Semiconductor</v>
      </c>
      <c r="C9184" s="6">
        <v>134</v>
      </c>
      <c r="D9184" s="7">
        <v>12.11</v>
      </c>
      <c r="E9184" t="s">
        <v>23</v>
      </c>
    </row>
    <row r="9185" spans="1:5" x14ac:dyDescent="0.25">
      <c r="A9185" t="str">
        <f>HYPERLINK("https://www.773grp.com/globalSearch/TLV5639CDW/page-1", "TLV5639CDW")</f>
        <v>TLV5639CDW</v>
      </c>
      <c r="B9185" s="3" t="str">
        <f>HYPERLINK("https://www.773grp.com/manufacturer/national-semiconductor?pageNo=72", "National Semiconductor")</f>
        <v>National Semiconductor</v>
      </c>
      <c r="C9185" s="6">
        <v>50</v>
      </c>
      <c r="D9185" s="7">
        <v>12.11</v>
      </c>
    </row>
    <row r="9186" spans="1:5" x14ac:dyDescent="0.25">
      <c r="A9186" t="str">
        <f>HYPERLINK("https://www.773grp.com/globalSearch/54ALS374J-883/page-1", "54ALS374J-883")</f>
        <v>54ALS374J-883</v>
      </c>
      <c r="B9186" s="3" t="str">
        <f>HYPERLINK("https://www.773grp.com/manufacturer/national-semiconductor?pageNo=73", "National Semiconductor")</f>
        <v>National Semiconductor</v>
      </c>
      <c r="C9186" s="6">
        <v>180</v>
      </c>
      <c r="D9186" s="7">
        <v>12.15</v>
      </c>
    </row>
    <row r="9187" spans="1:5" x14ac:dyDescent="0.25">
      <c r="A9187" t="str">
        <f>HYPERLINK("https://www.773grp.com/globalSearch/SCANSTA111SM-NOPB/page-1", "SCANSTA111SM-NOPB")</f>
        <v>SCANSTA111SM-NOPB</v>
      </c>
      <c r="B9187" s="3" t="str">
        <f>HYPERLINK("https://www.773grp.com/manufacturer/national-semiconductor?pageNo=74", "National Semiconductor")</f>
        <v>National Semiconductor</v>
      </c>
      <c r="C9187" s="6">
        <v>19323</v>
      </c>
      <c r="D9187" s="7">
        <v>12.15</v>
      </c>
      <c r="E9187" t="s">
        <v>42</v>
      </c>
    </row>
    <row r="9188" spans="1:5" x14ac:dyDescent="0.25">
      <c r="A9188" t="str">
        <f>HYPERLINK("https://www.773grp.com/globalSearch/4555BDM/page-1", "4555BDM")</f>
        <v>4555BDM</v>
      </c>
      <c r="B9188" s="3" t="str">
        <f>HYPERLINK("https://www.773grp.com/manufacturer/national-semiconductor?pageNo=75", "National Semiconductor")</f>
        <v>National Semiconductor</v>
      </c>
      <c r="C9188" s="6">
        <v>3332</v>
      </c>
      <c r="D9188" s="7">
        <v>12.19</v>
      </c>
      <c r="E9188" t="s">
        <v>36</v>
      </c>
    </row>
    <row r="9189" spans="1:5" x14ac:dyDescent="0.25">
      <c r="A9189" t="str">
        <f>HYPERLINK("https://www.773grp.com/globalSearch/LM119H-NOPB/page-1", "LM119H-NOPB")</f>
        <v>LM119H-NOPB</v>
      </c>
      <c r="B9189" s="3" t="str">
        <f>HYPERLINK("https://www.773grp.com/manufacturer/national-semiconductor?pageNo=76", "National Semiconductor")</f>
        <v>National Semiconductor</v>
      </c>
      <c r="C9189" s="6">
        <v>848</v>
      </c>
      <c r="D9189" s="7">
        <v>12.19</v>
      </c>
      <c r="E9189" t="s">
        <v>9</v>
      </c>
    </row>
    <row r="9190" spans="1:5" x14ac:dyDescent="0.25">
      <c r="A9190" t="str">
        <f>HYPERLINK("https://www.773grp.com/globalSearch/LM236AH-5.0/page-1", "LM236AH-5.0")</f>
        <v>LM236AH-5.0</v>
      </c>
      <c r="B9190" s="3" t="str">
        <f>HYPERLINK("https://www.773grp.com/manufacturer/national-semiconductor?pageNo=77", "National Semiconductor")</f>
        <v>National Semiconductor</v>
      </c>
      <c r="C9190" s="6">
        <v>293</v>
      </c>
      <c r="D9190" s="7">
        <v>12.19</v>
      </c>
      <c r="E9190" t="s">
        <v>17</v>
      </c>
    </row>
    <row r="9191" spans="1:5" x14ac:dyDescent="0.25">
      <c r="A9191" t="str">
        <f>HYPERLINK("https://www.773grp.com/globalSearch/LM236AH-5.0-NOPB/page-1", "LM236AH-5.0-NOPB")</f>
        <v>LM236AH-5.0-NOPB</v>
      </c>
      <c r="B9191" s="3" t="str">
        <f>HYPERLINK("https://www.773grp.com/manufacturer/national-semiconductor?pageNo=78", "National Semiconductor")</f>
        <v>National Semiconductor</v>
      </c>
      <c r="C9191" s="6">
        <v>3181</v>
      </c>
      <c r="D9191" s="7">
        <v>12.19</v>
      </c>
    </row>
    <row r="9192" spans="1:5" x14ac:dyDescent="0.25">
      <c r="A9192" t="str">
        <f>HYPERLINK("https://www.773grp.com/globalSearch/LM335AH/page-1", "LM335AH")</f>
        <v>LM335AH</v>
      </c>
      <c r="B9192" s="3" t="str">
        <f>HYPERLINK("https://www.773grp.com/manufacturer/national-semiconductor?pageNo=79", "National Semiconductor")</f>
        <v>National Semiconductor</v>
      </c>
      <c r="C9192" s="6">
        <v>1415</v>
      </c>
      <c r="D9192" s="7">
        <v>12.19</v>
      </c>
      <c r="E9192" t="s">
        <v>8</v>
      </c>
    </row>
    <row r="9193" spans="1:5" x14ac:dyDescent="0.25">
      <c r="A9193" t="str">
        <f>HYPERLINK("https://www.773grp.com/globalSearch/LM335AH-NOPB/page-1", "LM335AH-NOPB")</f>
        <v>LM335AH-NOPB</v>
      </c>
      <c r="B9193" s="3" t="str">
        <f>HYPERLINK("https://www.773grp.com/manufacturer/national-semiconductor?pageNo=80", "National Semiconductor")</f>
        <v>National Semiconductor</v>
      </c>
      <c r="C9193" s="6">
        <v>2435</v>
      </c>
      <c r="D9193" s="7">
        <v>12.19</v>
      </c>
      <c r="E9193" t="s">
        <v>8</v>
      </c>
    </row>
    <row r="9194" spans="1:5" x14ac:dyDescent="0.25">
      <c r="A9194" t="str">
        <f>HYPERLINK("https://www.773grp.com/globalSearch/LM119H-NOPB/page-1", "LM119H-NOPB")</f>
        <v>LM119H-NOPB</v>
      </c>
      <c r="B9194" s="3" t="str">
        <f>HYPERLINK("https://www.773grp.com/manufacturer/national-semiconductor?pageNo=81", "National Semiconductor")</f>
        <v>National Semiconductor</v>
      </c>
      <c r="C9194" s="6">
        <v>766</v>
      </c>
      <c r="D9194" s="7">
        <v>12.19</v>
      </c>
      <c r="E9194" t="s">
        <v>9</v>
      </c>
    </row>
    <row r="9195" spans="1:5" x14ac:dyDescent="0.25">
      <c r="A9195" t="str">
        <f>HYPERLINK("https://www.773grp.com/globalSearch/LM236AH-5.0-NOPB/page-1", "LM236AH-5.0-NOPB")</f>
        <v>LM236AH-5.0-NOPB</v>
      </c>
      <c r="B9195" s="3" t="str">
        <f>HYPERLINK("https://www.773grp.com/manufacturer/national-semiconductor?pageNo=82", "National Semiconductor")</f>
        <v>National Semiconductor</v>
      </c>
      <c r="C9195" s="6">
        <v>286</v>
      </c>
      <c r="D9195" s="7">
        <v>12.19</v>
      </c>
    </row>
    <row r="9196" spans="1:5" x14ac:dyDescent="0.25">
      <c r="A9196" t="str">
        <f>HYPERLINK("https://www.773grp.com/globalSearch/LM335AH/page-1", "LM335AH")</f>
        <v>LM335AH</v>
      </c>
      <c r="B9196" s="3" t="str">
        <f>HYPERLINK("https://www.773grp.com/manufacturer/national-semiconductor?pageNo=83", "National Semiconductor")</f>
        <v>National Semiconductor</v>
      </c>
      <c r="C9196" s="6">
        <v>2</v>
      </c>
      <c r="D9196" s="7">
        <v>12.19</v>
      </c>
      <c r="E9196" t="s">
        <v>8</v>
      </c>
    </row>
    <row r="9197" spans="1:5" x14ac:dyDescent="0.25">
      <c r="A9197" t="str">
        <f>HYPERLINK("https://www.773grp.com/globalSearch/LMP90098MH-NOPB/page-1", "LMP90098MH-NOPB")</f>
        <v>LMP90098MH-NOPB</v>
      </c>
      <c r="B9197" s="3" t="str">
        <f>HYPERLINK("https://www.773grp.com/manufacturer/national-semiconductor?pageNo=84", "National Semiconductor")</f>
        <v>National Semiconductor</v>
      </c>
      <c r="C9197" s="6">
        <v>980</v>
      </c>
      <c r="D9197" s="7">
        <v>12.19</v>
      </c>
    </row>
    <row r="9198" spans="1:5" x14ac:dyDescent="0.25">
      <c r="A9198" t="str">
        <f>HYPERLINK("https://www.773grp.com/globalSearch/4027BDM/page-1", "4027BDM")</f>
        <v>4027BDM</v>
      </c>
      <c r="B9198" s="3" t="str">
        <f>HYPERLINK("https://www.773grp.com/manufacturer/national-semiconductor?pageNo=85", "National Semiconductor")</f>
        <v>National Semiconductor</v>
      </c>
      <c r="C9198" s="6">
        <v>1061</v>
      </c>
      <c r="D9198" s="7">
        <v>12.2</v>
      </c>
    </row>
    <row r="9199" spans="1:5" x14ac:dyDescent="0.25">
      <c r="A9199" t="str">
        <f>HYPERLINK("https://www.773grp.com/globalSearch/54174FMQB/page-1", "54174FMQB")</f>
        <v>54174FMQB</v>
      </c>
      <c r="B9199" s="3" t="str">
        <f>HYPERLINK("https://www.773grp.com/manufacturer/national-semiconductor?pageNo=86", "National Semiconductor")</f>
        <v>National Semiconductor</v>
      </c>
      <c r="C9199" s="6">
        <v>62</v>
      </c>
      <c r="D9199" s="7">
        <v>12.2</v>
      </c>
      <c r="E9199" t="s">
        <v>35</v>
      </c>
    </row>
    <row r="9200" spans="1:5" x14ac:dyDescent="0.25">
      <c r="A9200" t="str">
        <f>HYPERLINK("https://www.773grp.com/globalSearch/DM7557W-883/page-1", "DM7557W-883")</f>
        <v>DM7557W-883</v>
      </c>
      <c r="B9200" s="3" t="str">
        <f>HYPERLINK("https://www.773grp.com/manufacturer/national-semiconductor?pageNo=87", "National Semiconductor")</f>
        <v>National Semiconductor</v>
      </c>
      <c r="C9200" s="6">
        <v>71</v>
      </c>
      <c r="D9200" s="7">
        <v>12.2</v>
      </c>
    </row>
    <row r="9201" spans="1:5" x14ac:dyDescent="0.25">
      <c r="A9201" t="str">
        <f>HYPERLINK("https://www.773grp.com/globalSearch/MM54HC245AJ/page-1", "MM54HC245AJ")</f>
        <v>MM54HC245AJ</v>
      </c>
      <c r="B9201" s="3" t="str">
        <f>HYPERLINK("https://www.773grp.com/manufacturer/national-semiconductor?pageNo=88", "National Semiconductor")</f>
        <v>National Semiconductor</v>
      </c>
      <c r="C9201" s="6">
        <v>404</v>
      </c>
      <c r="D9201" s="7">
        <v>12.2</v>
      </c>
      <c r="E9201" t="s">
        <v>14</v>
      </c>
    </row>
    <row r="9202" spans="1:5" x14ac:dyDescent="0.25">
      <c r="A9202" t="str">
        <f>HYPERLINK("https://www.773grp.com/globalSearch/CLC5523IN/page-1", "CLC5523IN")</f>
        <v>CLC5523IN</v>
      </c>
      <c r="B9202" s="3" t="str">
        <f>HYPERLINK("https://www.773grp.com/manufacturer/national-semiconductor?pageNo=89", "National Semiconductor")</f>
        <v>National Semiconductor</v>
      </c>
      <c r="C9202" s="6">
        <v>105</v>
      </c>
      <c r="D9202" s="7">
        <v>12.26</v>
      </c>
      <c r="E9202" t="s">
        <v>40</v>
      </c>
    </row>
    <row r="9203" spans="1:5" x14ac:dyDescent="0.25">
      <c r="A9203" t="str">
        <f>HYPERLINK("https://www.773grp.com/globalSearch/ADC10664CIWM/page-1", "ADC10664CIWM")</f>
        <v>ADC10664CIWM</v>
      </c>
      <c r="B9203" s="3" t="str">
        <f>HYPERLINK("https://www.773grp.com/manufacturer/national-semiconductor?pageNo=90", "National Semiconductor")</f>
        <v>National Semiconductor</v>
      </c>
      <c r="C9203" s="6">
        <v>26</v>
      </c>
      <c r="D9203" s="7">
        <v>12.29</v>
      </c>
      <c r="E9203" t="s">
        <v>39</v>
      </c>
    </row>
    <row r="9204" spans="1:5" x14ac:dyDescent="0.25">
      <c r="A9204" t="str">
        <f>HYPERLINK("https://www.773grp.com/globalSearch/DM74S283J/page-1", "DM74S283J")</f>
        <v>DM74S283J</v>
      </c>
      <c r="B9204" s="3" t="str">
        <f>HYPERLINK("https://www.773grp.com/manufacturer/national-semiconductor?pageNo=91", "National Semiconductor")</f>
        <v>National Semiconductor</v>
      </c>
      <c r="C9204" s="6">
        <v>1000</v>
      </c>
      <c r="D9204" s="7">
        <v>12.29</v>
      </c>
    </row>
    <row r="9205" spans="1:5" x14ac:dyDescent="0.25">
      <c r="A9205" t="str">
        <f>HYPERLINK("https://www.773grp.com/globalSearch/DM74S373J/page-1", "DM74S373J")</f>
        <v>DM74S373J</v>
      </c>
      <c r="B9205" s="3" t="str">
        <f>HYPERLINK("https://www.773grp.com/manufacturer/national-semiconductor?pageNo=92", "National Semiconductor")</f>
        <v>National Semiconductor</v>
      </c>
      <c r="C9205" s="6">
        <v>431</v>
      </c>
      <c r="D9205" s="7">
        <v>12.29</v>
      </c>
    </row>
    <row r="9206" spans="1:5" x14ac:dyDescent="0.25">
      <c r="A9206" t="str">
        <f>HYPERLINK("https://www.773grp.com/globalSearch/DM74S374J/page-1", "DM74S374J")</f>
        <v>DM74S374J</v>
      </c>
      <c r="B9206" s="3" t="str">
        <f>HYPERLINK("https://www.773grp.com/manufacturer/national-semiconductor?pageNo=93", "National Semiconductor")</f>
        <v>National Semiconductor</v>
      </c>
      <c r="C9206" s="6">
        <v>6047</v>
      </c>
      <c r="D9206" s="7">
        <v>12.29</v>
      </c>
    </row>
    <row r="9207" spans="1:5" x14ac:dyDescent="0.25">
      <c r="A9207" t="str">
        <f>HYPERLINK("https://www.773grp.com/globalSearch/DS90CP22MT/page-1", "DS90CP22MT")</f>
        <v>DS90CP22MT</v>
      </c>
      <c r="B9207" s="3" t="str">
        <f>HYPERLINK("https://www.773grp.com/manufacturer/national-semiconductor?pageNo=94", "National Semiconductor")</f>
        <v>National Semiconductor</v>
      </c>
      <c r="C9207" s="6">
        <v>1024</v>
      </c>
      <c r="D9207" s="7">
        <v>12.29</v>
      </c>
      <c r="E9207" t="s">
        <v>56</v>
      </c>
    </row>
    <row r="9208" spans="1:5" x14ac:dyDescent="0.25">
      <c r="A9208" t="str">
        <f>HYPERLINK("https://www.773grp.com/globalSearch/LM2577S-ADJ/page-1", "LM2577S-ADJ")</f>
        <v>LM2577S-ADJ</v>
      </c>
      <c r="B9208" s="3" t="str">
        <f>HYPERLINK("https://www.773grp.com/manufacturer/national-semiconductor?pageNo=95", "National Semiconductor")</f>
        <v>National Semiconductor</v>
      </c>
      <c r="C9208" s="6">
        <v>139</v>
      </c>
      <c r="D9208" s="7">
        <v>12.29</v>
      </c>
      <c r="E9208" t="s">
        <v>7</v>
      </c>
    </row>
    <row r="9209" spans="1:5" x14ac:dyDescent="0.25">
      <c r="A9209" t="str">
        <f>HYPERLINK("https://www.773grp.com/globalSearch/LM96194CISQ-NOPB/page-1", "LM96194CISQ-NOPB")</f>
        <v>LM96194CISQ-NOPB</v>
      </c>
      <c r="B9209" s="3" t="str">
        <f>HYPERLINK("https://www.773grp.com/manufacturer/national-semiconductor?pageNo=96", "National Semiconductor")</f>
        <v>National Semiconductor</v>
      </c>
      <c r="C9209" s="6">
        <v>652</v>
      </c>
      <c r="D9209" s="7">
        <v>12.29</v>
      </c>
    </row>
    <row r="9210" spans="1:5" x14ac:dyDescent="0.25">
      <c r="A9210" t="str">
        <f>HYPERLINK("https://www.773grp.com/globalSearch/LMP90099MHE-NOPB/page-1", "LMP90099MHE-NOPB")</f>
        <v>LMP90099MHE-NOPB</v>
      </c>
      <c r="B9210" s="3" t="str">
        <f>HYPERLINK("https://www.773grp.com/manufacturer/national-semiconductor?pageNo=97", "National Semiconductor")</f>
        <v>National Semiconductor</v>
      </c>
      <c r="C9210" s="6">
        <v>250</v>
      </c>
      <c r="D9210" s="7">
        <v>12.29</v>
      </c>
      <c r="E9210" t="s">
        <v>40</v>
      </c>
    </row>
    <row r="9211" spans="1:5" x14ac:dyDescent="0.25">
      <c r="A9211" t="str">
        <f>HYPERLINK("https://www.773grp.com/globalSearch/DS90CP22MT/page-1", "DS90CP22MT")</f>
        <v>DS90CP22MT</v>
      </c>
      <c r="B9211" s="3" t="str">
        <f>HYPERLINK("https://www.773grp.com/manufacturer/national-semiconductor?pageNo=98", "National Semiconductor")</f>
        <v>National Semiconductor</v>
      </c>
      <c r="C9211" s="6">
        <v>4324</v>
      </c>
      <c r="D9211" s="7">
        <v>12.29</v>
      </c>
      <c r="E9211" t="s">
        <v>56</v>
      </c>
    </row>
    <row r="9212" spans="1:5" x14ac:dyDescent="0.25">
      <c r="A9212" t="str">
        <f>HYPERLINK("https://www.773grp.com/globalSearch/LM2577S-ADJ/page-1", "LM2577S-ADJ")</f>
        <v>LM2577S-ADJ</v>
      </c>
      <c r="B9212" s="3" t="str">
        <f>HYPERLINK("https://www.773grp.com/manufacturer/national-semiconductor?pageNo=99", "National Semiconductor")</f>
        <v>National Semiconductor</v>
      </c>
      <c r="C9212" s="6">
        <v>1015</v>
      </c>
      <c r="D9212" s="7">
        <v>12.29</v>
      </c>
      <c r="E9212" t="s">
        <v>7</v>
      </c>
    </row>
    <row r="9213" spans="1:5" x14ac:dyDescent="0.25">
      <c r="A9213" t="str">
        <f>HYPERLINK("https://www.773grp.com/globalSearch/LM96194CISQ-NOPB/page-1", "LM96194CISQ-NOPB")</f>
        <v>LM96194CISQ-NOPB</v>
      </c>
      <c r="B9213" s="3" t="str">
        <f>HYPERLINK("https://www.773grp.com/manufacturer/national-semiconductor?pageNo=100", "National Semiconductor")</f>
        <v>National Semiconductor</v>
      </c>
      <c r="C9213" s="6">
        <v>250</v>
      </c>
      <c r="D9213" s="7">
        <v>12.29</v>
      </c>
    </row>
    <row r="9214" spans="1:5" x14ac:dyDescent="0.25">
      <c r="A9214" t="str">
        <f>HYPERLINK("https://www.773grp.com/globalSearch/LMP90099MHE-NOPB/page-1", "LMP90099MHE-NOPB")</f>
        <v>LMP90099MHE-NOPB</v>
      </c>
      <c r="B9214" s="3" t="str">
        <f>HYPERLINK("https://www.773grp.com/manufacturer/national-semiconductor?pageNo=101", "National Semiconductor")</f>
        <v>National Semiconductor</v>
      </c>
      <c r="C9214" s="6">
        <v>500</v>
      </c>
      <c r="D9214" s="7">
        <v>12.29</v>
      </c>
      <c r="E9214" t="s">
        <v>40</v>
      </c>
    </row>
    <row r="9215" spans="1:5" x14ac:dyDescent="0.25">
      <c r="A9215" t="str">
        <f>HYPERLINK("https://www.773grp.com/globalSearch/COP8CDR9KMT8/page-1", "COP8CDR9KMT8")</f>
        <v>COP8CDR9KMT8</v>
      </c>
      <c r="B9215" s="3" t="str">
        <f>HYPERLINK("https://www.773grp.com/manufacturer/national-semiconductor?pageNo=102", "National Semiconductor")</f>
        <v>National Semiconductor</v>
      </c>
      <c r="C9215" s="6">
        <v>2584</v>
      </c>
      <c r="D9215" s="7">
        <v>12.33</v>
      </c>
      <c r="E9215" t="s">
        <v>52</v>
      </c>
    </row>
    <row r="9216" spans="1:5" x14ac:dyDescent="0.25">
      <c r="A9216" t="str">
        <f>HYPERLINK("https://www.773grp.com/globalSearch/LM231AN-NOPB/page-1", "LM231AN-NOPB")</f>
        <v>LM231AN-NOPB</v>
      </c>
      <c r="B9216" s="3" t="str">
        <f>HYPERLINK("https://www.773grp.com/manufacturer/national-semiconductor?pageNo=103", "National Semiconductor")</f>
        <v>National Semiconductor</v>
      </c>
      <c r="C9216" s="6">
        <v>135</v>
      </c>
      <c r="D9216" s="7">
        <v>12.33</v>
      </c>
      <c r="E9216" t="s">
        <v>45</v>
      </c>
    </row>
    <row r="9217" spans="1:5" x14ac:dyDescent="0.25">
      <c r="A9217" t="str">
        <f>HYPERLINK("https://www.773grp.com/globalSearch/LM2426TE/page-1", "LM2426TE")</f>
        <v>LM2426TE</v>
      </c>
      <c r="B9217" s="3" t="str">
        <f>HYPERLINK("https://www.773grp.com/manufacturer/national-semiconductor?pageNo=104", "National Semiconductor")</f>
        <v>National Semiconductor</v>
      </c>
      <c r="C9217" s="6">
        <v>2515</v>
      </c>
      <c r="D9217" s="7">
        <v>12.33</v>
      </c>
      <c r="E9217" t="s">
        <v>18</v>
      </c>
    </row>
    <row r="9218" spans="1:5" x14ac:dyDescent="0.25">
      <c r="A9218" t="str">
        <f>HYPERLINK("https://www.773grp.com/globalSearch/LM246J/page-1", "LM246J")</f>
        <v>LM246J</v>
      </c>
      <c r="B9218" s="3" t="str">
        <f>HYPERLINK("https://www.773grp.com/manufacturer/national-semiconductor?pageNo=105", "National Semiconductor")</f>
        <v>National Semiconductor</v>
      </c>
      <c r="C9218" s="6">
        <v>258</v>
      </c>
      <c r="D9218" s="7">
        <v>12.33</v>
      </c>
      <c r="E9218" t="s">
        <v>13</v>
      </c>
    </row>
    <row r="9219" spans="1:5" x14ac:dyDescent="0.25">
      <c r="A9219" t="str">
        <f>HYPERLINK("https://www.773grp.com/globalSearch/LM231AN-NOPB/page-1", "LM231AN-NOPB")</f>
        <v>LM231AN-NOPB</v>
      </c>
      <c r="B9219" s="3" t="str">
        <f>HYPERLINK("https://www.773grp.com/manufacturer/national-semiconductor?pageNo=106", "National Semiconductor")</f>
        <v>National Semiconductor</v>
      </c>
      <c r="C9219" s="6">
        <v>203</v>
      </c>
      <c r="D9219" s="7">
        <v>12.33</v>
      </c>
      <c r="E9219" t="s">
        <v>45</v>
      </c>
    </row>
    <row r="9220" spans="1:5" x14ac:dyDescent="0.25">
      <c r="A9220" t="str">
        <f>HYPERLINK("https://www.773grp.com/globalSearch/100131DC/page-1", "100131DC")</f>
        <v>100131DC</v>
      </c>
      <c r="B9220" s="3" t="str">
        <f>HYPERLINK("https://www.773grp.com/manufacturer/national-semiconductor?pageNo=107", "National Semiconductor")</f>
        <v>National Semiconductor</v>
      </c>
      <c r="C9220" s="6">
        <v>179</v>
      </c>
      <c r="D9220" s="7">
        <v>12.35</v>
      </c>
      <c r="E9220" t="s">
        <v>35</v>
      </c>
    </row>
    <row r="9221" spans="1:5" x14ac:dyDescent="0.25">
      <c r="A9221" t="str">
        <f>HYPERLINK("https://www.773grp.com/globalSearch/DS90CF383MTD-NOPB/page-1", "DS90CF383MTD-NOPB")</f>
        <v>DS90CF383MTD-NOPB</v>
      </c>
      <c r="B9221" s="3" t="str">
        <f>HYPERLINK("https://www.773grp.com/manufacturer/national-semiconductor?pageNo=108", "National Semiconductor")</f>
        <v>National Semiconductor</v>
      </c>
      <c r="C9221" s="6">
        <v>677</v>
      </c>
      <c r="D9221" s="7">
        <v>12.35</v>
      </c>
      <c r="E9221" t="s">
        <v>21</v>
      </c>
    </row>
    <row r="9222" spans="1:5" x14ac:dyDescent="0.25">
      <c r="A9222" t="str">
        <f>HYPERLINK("https://www.773grp.com/globalSearch/DS90CF383MTD-NOPB/page-1", "DS90CF383MTD-NOPB")</f>
        <v>DS90CF383MTD-NOPB</v>
      </c>
      <c r="B9222" s="3" t="str">
        <f>HYPERLINK("https://www.773grp.com/manufacturer/national-semiconductor?pageNo=109", "National Semiconductor")</f>
        <v>National Semiconductor</v>
      </c>
      <c r="C9222" s="6">
        <v>102</v>
      </c>
      <c r="D9222" s="7">
        <v>12.35</v>
      </c>
      <c r="E9222" t="s">
        <v>21</v>
      </c>
    </row>
    <row r="9223" spans="1:5" x14ac:dyDescent="0.25">
      <c r="A9223" t="str">
        <f>HYPERLINK("https://www.773grp.com/globalSearch/54F64FMQB/page-1", "54F64FMQB")</f>
        <v>54F64FMQB</v>
      </c>
      <c r="B9223" s="3" t="str">
        <f>HYPERLINK("https://www.773grp.com/manufacturer/national-semiconductor?pageNo=110", "National Semiconductor")</f>
        <v>National Semiconductor</v>
      </c>
      <c r="C9223" s="6">
        <v>12098</v>
      </c>
      <c r="D9223" s="7">
        <v>12.38</v>
      </c>
      <c r="E9223" t="s">
        <v>31</v>
      </c>
    </row>
    <row r="9224" spans="1:5" x14ac:dyDescent="0.25">
      <c r="A9224" t="str">
        <f>HYPERLINK("https://www.773grp.com/globalSearch/9301FMQB/page-1", "9301FMQB")</f>
        <v>9301FMQB</v>
      </c>
      <c r="B9224" s="3" t="str">
        <f>HYPERLINK("https://www.773grp.com/manufacturer/national-semiconductor?pageNo=111", "National Semiconductor")</f>
        <v>National Semiconductor</v>
      </c>
      <c r="C9224" s="6">
        <v>537</v>
      </c>
      <c r="D9224" s="7">
        <v>12.38</v>
      </c>
      <c r="E9224" t="s">
        <v>36</v>
      </c>
    </row>
    <row r="9225" spans="1:5" x14ac:dyDescent="0.25">
      <c r="A9225" t="str">
        <f>HYPERLINK("https://www.773grp.com/globalSearch/GAL16V8A-12LVC/page-1", "GAL16V8A-12LVC")</f>
        <v>GAL16V8A-12LVC</v>
      </c>
      <c r="B9225" s="3" t="str">
        <f>HYPERLINK("https://www.773grp.com/manufacturer/national-semiconductor?pageNo=112", "National Semiconductor")</f>
        <v>National Semiconductor</v>
      </c>
      <c r="C9225" s="6">
        <v>36786</v>
      </c>
      <c r="D9225" s="7">
        <v>12.38</v>
      </c>
      <c r="E9225" t="s">
        <v>51</v>
      </c>
    </row>
    <row r="9226" spans="1:5" x14ac:dyDescent="0.25">
      <c r="A9226" t="str">
        <f>HYPERLINK("https://www.773grp.com/globalSearch/MM74HC374J/page-1", "MM74HC374J")</f>
        <v>MM74HC374J</v>
      </c>
      <c r="B9226" s="3" t="str">
        <f>HYPERLINK("https://www.773grp.com/manufacturer/national-semiconductor?pageNo=113", "National Semiconductor")</f>
        <v>National Semiconductor</v>
      </c>
      <c r="C9226" s="6">
        <v>4990</v>
      </c>
      <c r="D9226" s="7">
        <v>12.38</v>
      </c>
      <c r="E9226" t="s">
        <v>14</v>
      </c>
    </row>
    <row r="9227" spans="1:5" x14ac:dyDescent="0.25">
      <c r="A9227" t="str">
        <f>HYPERLINK("https://www.773grp.com/globalSearch/CDCVF857RHAT/page-1", "CDCVF857RHAT")</f>
        <v>CDCVF857RHAT</v>
      </c>
      <c r="B9227" s="3" t="str">
        <f>HYPERLINK("https://www.773grp.com/manufacturer/national-semiconductor?pageNo=114", "National Semiconductor")</f>
        <v>National Semiconductor</v>
      </c>
      <c r="C9227" s="6">
        <v>20</v>
      </c>
      <c r="D9227" s="7">
        <v>12.38</v>
      </c>
    </row>
    <row r="9228" spans="1:5" x14ac:dyDescent="0.25">
      <c r="A9228" t="str">
        <f>HYPERLINK("https://www.773grp.com/globalSearch/MSP430F147IPAG/page-1", "MSP430F147IPAG")</f>
        <v>MSP430F147IPAG</v>
      </c>
      <c r="B9228" s="3" t="str">
        <f>HYPERLINK("https://www.773grp.com/manufacturer/national-semiconductor?pageNo=115", "National Semiconductor")</f>
        <v>National Semiconductor</v>
      </c>
      <c r="C9228" s="6">
        <v>4640</v>
      </c>
      <c r="D9228" s="7">
        <v>12.38</v>
      </c>
    </row>
    <row r="9229" spans="1:5" x14ac:dyDescent="0.25">
      <c r="A9229" t="str">
        <f>HYPERLINK("https://www.773grp.com/globalSearch/4030BDM/page-1", "4030BDM")</f>
        <v>4030BDM</v>
      </c>
      <c r="B9229" s="3" t="str">
        <f>HYPERLINK("https://www.773grp.com/manufacturer/national-semiconductor?pageNo=116", "National Semiconductor")</f>
        <v>National Semiconductor</v>
      </c>
      <c r="C9229" s="6">
        <v>17297</v>
      </c>
      <c r="D9229" s="7">
        <v>12.44</v>
      </c>
    </row>
    <row r="9230" spans="1:5" x14ac:dyDescent="0.25">
      <c r="A9230" t="str">
        <f>HYPERLINK("https://www.773grp.com/globalSearch/4052BDM/page-1", "4052BDM")</f>
        <v>4052BDM</v>
      </c>
      <c r="B9230" s="3" t="str">
        <f>HYPERLINK("https://www.773grp.com/manufacturer/national-semiconductor?pageNo=117", "National Semiconductor")</f>
        <v>National Semiconductor</v>
      </c>
      <c r="C9230" s="6">
        <v>471</v>
      </c>
      <c r="D9230" s="7">
        <v>12.44</v>
      </c>
    </row>
    <row r="9231" spans="1:5" x14ac:dyDescent="0.25">
      <c r="A9231" t="str">
        <f>HYPERLINK("https://www.773grp.com/globalSearch/LF398H/page-1", "LF398H")</f>
        <v>LF398H</v>
      </c>
      <c r="B9231" s="3" t="str">
        <f>HYPERLINK("https://www.773grp.com/manufacturer/national-semiconductor?pageNo=118", "National Semiconductor")</f>
        <v>National Semiconductor</v>
      </c>
      <c r="C9231" s="6">
        <v>208</v>
      </c>
      <c r="D9231" s="7">
        <v>12.44</v>
      </c>
      <c r="E9231" t="s">
        <v>6</v>
      </c>
    </row>
    <row r="9232" spans="1:5" x14ac:dyDescent="0.25">
      <c r="A9232" t="str">
        <f>HYPERLINK("https://www.773grp.com/globalSearch/LF398H-NOPB/page-1", "LF398H-NOPB")</f>
        <v>LF398H-NOPB</v>
      </c>
      <c r="B9232" s="3" t="str">
        <f>HYPERLINK("https://www.773grp.com/manufacturer/national-semiconductor?pageNo=119", "National Semiconductor")</f>
        <v>National Semiconductor</v>
      </c>
      <c r="C9232" s="6">
        <v>1234</v>
      </c>
      <c r="D9232" s="7">
        <v>12.44</v>
      </c>
      <c r="E9232" t="s">
        <v>6</v>
      </c>
    </row>
    <row r="9233" spans="1:5" x14ac:dyDescent="0.25">
      <c r="A9233" t="str">
        <f>HYPERLINK("https://www.773grp.com/globalSearch/LF398H/page-1", "LF398H")</f>
        <v>LF398H</v>
      </c>
      <c r="B9233" s="3" t="str">
        <f>HYPERLINK("https://www.773grp.com/manufacturer/national-semiconductor?pageNo=120", "National Semiconductor")</f>
        <v>National Semiconductor</v>
      </c>
      <c r="C9233" s="6">
        <v>51</v>
      </c>
      <c r="D9233" s="7">
        <v>12.44</v>
      </c>
      <c r="E9233" t="s">
        <v>6</v>
      </c>
    </row>
    <row r="9234" spans="1:5" x14ac:dyDescent="0.25">
      <c r="A9234" t="str">
        <f>HYPERLINK("https://www.773grp.com/globalSearch/LMH6555SQE-NOPB/page-1", "LMH6555SQE-NOPB")</f>
        <v>LMH6555SQE-NOPB</v>
      </c>
      <c r="B9234" s="3" t="str">
        <f>HYPERLINK("https://www.773grp.com/manufacturer/national-semiconductor?pageNo=121", "National Semiconductor")</f>
        <v>National Semiconductor</v>
      </c>
      <c r="C9234" s="6">
        <v>250</v>
      </c>
      <c r="D9234" s="7">
        <v>12.45</v>
      </c>
    </row>
    <row r="9235" spans="1:5" x14ac:dyDescent="0.25">
      <c r="A9235" t="str">
        <f>HYPERLINK("https://www.773grp.com/globalSearch/LMH6555SQE-NOPB/page-1", "LMH6555SQE-NOPB")</f>
        <v>LMH6555SQE-NOPB</v>
      </c>
      <c r="B9235" s="3" t="str">
        <f>HYPERLINK("https://www.773grp.com/manufacturer/national-semiconductor?pageNo=122", "National Semiconductor")</f>
        <v>National Semiconductor</v>
      </c>
      <c r="C9235" s="6">
        <v>725</v>
      </c>
      <c r="D9235" s="7">
        <v>12.45</v>
      </c>
    </row>
    <row r="9236" spans="1:5" x14ac:dyDescent="0.25">
      <c r="A9236" t="str">
        <f>HYPERLINK("https://www.773grp.com/globalSearch/100126DC/page-1", "100126DC")</f>
        <v>100126DC</v>
      </c>
      <c r="B9236" s="3" t="str">
        <f>HYPERLINK("https://www.773grp.com/manufacturer/national-semiconductor?pageNo=123", "National Semiconductor")</f>
        <v>National Semiconductor</v>
      </c>
      <c r="C9236" s="6">
        <v>45</v>
      </c>
      <c r="D9236" s="7">
        <v>12.49</v>
      </c>
      <c r="E9236" t="s">
        <v>31</v>
      </c>
    </row>
    <row r="9237" spans="1:5" x14ac:dyDescent="0.25">
      <c r="A9237" t="str">
        <f>HYPERLINK("https://www.773grp.com/globalSearch/54LS323FMQB/page-1", "54LS323FMQB")</f>
        <v>54LS323FMQB</v>
      </c>
      <c r="B9237" s="3" t="str">
        <f>HYPERLINK("https://www.773grp.com/manufacturer/national-semiconductor?pageNo=124", "National Semiconductor")</f>
        <v>National Semiconductor</v>
      </c>
      <c r="C9237" s="6">
        <v>509</v>
      </c>
      <c r="D9237" s="7">
        <v>12.49</v>
      </c>
      <c r="E9237" t="s">
        <v>32</v>
      </c>
    </row>
    <row r="9238" spans="1:5" x14ac:dyDescent="0.25">
      <c r="A9238" t="str">
        <f>HYPERLINK("https://www.773grp.com/globalSearch/74196DC/page-1", "74196DC")</f>
        <v>74196DC</v>
      </c>
      <c r="B9238" s="3" t="str">
        <f>HYPERLINK("https://www.773grp.com/manufacturer/national-semiconductor?pageNo=125", "National Semiconductor")</f>
        <v>National Semiconductor</v>
      </c>
      <c r="C9238" s="6">
        <v>1358</v>
      </c>
      <c r="D9238" s="7">
        <v>12.49</v>
      </c>
    </row>
    <row r="9239" spans="1:5" x14ac:dyDescent="0.25">
      <c r="A9239" t="str">
        <f>HYPERLINK("https://www.773grp.com/globalSearch/DM54LS00E-883/page-1", "DM54LS00E-883")</f>
        <v>DM54LS00E-883</v>
      </c>
      <c r="B9239" s="3" t="str">
        <f>HYPERLINK("https://www.773grp.com/manufacturer/national-semiconductor?pageNo=126", "National Semiconductor")</f>
        <v>National Semiconductor</v>
      </c>
      <c r="C9239" s="6">
        <v>44</v>
      </c>
      <c r="D9239" s="7">
        <v>12.49</v>
      </c>
      <c r="E9239" t="s">
        <v>31</v>
      </c>
    </row>
    <row r="9240" spans="1:5" x14ac:dyDescent="0.25">
      <c r="A9240" t="str">
        <f>HYPERLINK("https://www.773grp.com/globalSearch/DM54LS378W-883/page-1", "DM54LS378W-883")</f>
        <v>DM54LS378W-883</v>
      </c>
      <c r="B9240" s="3" t="str">
        <f>HYPERLINK("https://www.773grp.com/manufacturer/national-semiconductor?pageNo=127", "National Semiconductor")</f>
        <v>National Semiconductor</v>
      </c>
      <c r="C9240" s="6">
        <v>65</v>
      </c>
      <c r="D9240" s="7">
        <v>12.49</v>
      </c>
    </row>
    <row r="9241" spans="1:5" x14ac:dyDescent="0.25">
      <c r="A9241" t="str">
        <f>HYPERLINK("https://www.773grp.com/globalSearch/DS15BR401TSQ/page-1", "DS15BR401TSQ")</f>
        <v>DS15BR401TSQ</v>
      </c>
      <c r="B9241" s="3" t="str">
        <f>HYPERLINK("https://www.773grp.com/manufacturer/national-semiconductor?pageNo=128", "National Semiconductor")</f>
        <v>National Semiconductor</v>
      </c>
      <c r="C9241" s="6">
        <v>1000</v>
      </c>
      <c r="D9241" s="7">
        <v>12.49</v>
      </c>
      <c r="E9241" t="s">
        <v>21</v>
      </c>
    </row>
    <row r="9242" spans="1:5" x14ac:dyDescent="0.25">
      <c r="A9242" t="str">
        <f>HYPERLINK("https://www.773grp.com/globalSearch/DS90CR217MTD/page-1", "DS90CR217MTD")</f>
        <v>DS90CR217MTD</v>
      </c>
      <c r="B9242" s="3" t="str">
        <f>HYPERLINK("https://www.773grp.com/manufacturer/national-semiconductor?pageNo=129", "National Semiconductor")</f>
        <v>National Semiconductor</v>
      </c>
      <c r="C9242" s="6">
        <v>13</v>
      </c>
      <c r="D9242" s="7">
        <v>12.49</v>
      </c>
      <c r="E9242" t="s">
        <v>21</v>
      </c>
    </row>
    <row r="9243" spans="1:5" x14ac:dyDescent="0.25">
      <c r="A9243" t="str">
        <f>HYPERLINK("https://www.773grp.com/globalSearch/UA318HC/page-1", "UA318HC")</f>
        <v>UA318HC</v>
      </c>
      <c r="B9243" s="3" t="str">
        <f>HYPERLINK("https://www.773grp.com/manufacturer/national-semiconductor?pageNo=130", "National Semiconductor")</f>
        <v>National Semiconductor</v>
      </c>
      <c r="C9243" s="6">
        <v>20</v>
      </c>
      <c r="D9243" s="7">
        <v>12.49</v>
      </c>
    </row>
    <row r="9244" spans="1:5" x14ac:dyDescent="0.25">
      <c r="A9244" t="str">
        <f>HYPERLINK("https://www.773grp.com/globalSearch/DS15BR401TSQ/page-1", "DS15BR401TSQ")</f>
        <v>DS15BR401TSQ</v>
      </c>
      <c r="B9244" s="3" t="str">
        <f>HYPERLINK("https://www.773grp.com/manufacturer/national-semiconductor?pageNo=131", "National Semiconductor")</f>
        <v>National Semiconductor</v>
      </c>
      <c r="C9244" s="6">
        <v>67</v>
      </c>
      <c r="D9244" s="7">
        <v>12.49</v>
      </c>
      <c r="E9244" t="s">
        <v>21</v>
      </c>
    </row>
    <row r="9245" spans="1:5" x14ac:dyDescent="0.25">
      <c r="A9245" t="str">
        <f>HYPERLINK("https://www.773grp.com/globalSearch/DS90CR217MTD/page-1", "DS90CR217MTD")</f>
        <v>DS90CR217MTD</v>
      </c>
      <c r="B9245" s="3" t="str">
        <f>HYPERLINK("https://www.773grp.com/manufacturer/national-semiconductor?pageNo=132", "National Semiconductor")</f>
        <v>National Semiconductor</v>
      </c>
      <c r="C9245" s="6">
        <v>1597</v>
      </c>
      <c r="D9245" s="7">
        <v>12.49</v>
      </c>
      <c r="E9245" t="s">
        <v>21</v>
      </c>
    </row>
    <row r="9246" spans="1:5" x14ac:dyDescent="0.25">
      <c r="A9246" t="str">
        <f>HYPERLINK("https://www.773grp.com/globalSearch/9097DC/page-1", "9097DC")</f>
        <v>9097DC</v>
      </c>
      <c r="B9246" s="3" t="str">
        <f>HYPERLINK("https://www.773grp.com/manufacturer/national-semiconductor?pageNo=133", "National Semiconductor")</f>
        <v>National Semiconductor</v>
      </c>
      <c r="C9246" s="6">
        <v>7516</v>
      </c>
      <c r="D9246" s="7">
        <v>12.53</v>
      </c>
    </row>
    <row r="9247" spans="1:5" x14ac:dyDescent="0.25">
      <c r="A9247" t="str">
        <f>HYPERLINK("https://www.773grp.com/globalSearch/CLC007BM-NOPB/page-1", "CLC007BM-NOPB")</f>
        <v>CLC007BM-NOPB</v>
      </c>
      <c r="B9247" s="3" t="str">
        <f>HYPERLINK("https://www.773grp.com/manufacturer/national-semiconductor?pageNo=134", "National Semiconductor")</f>
        <v>National Semiconductor</v>
      </c>
      <c r="C9247" s="6">
        <v>1705</v>
      </c>
      <c r="D9247" s="7">
        <v>12.53</v>
      </c>
    </row>
    <row r="9248" spans="1:5" x14ac:dyDescent="0.25">
      <c r="A9248" t="str">
        <f>HYPERLINK("https://www.773grp.com/globalSearch/DS75161AWM/page-1", "DS75161AWM")</f>
        <v>DS75161AWM</v>
      </c>
      <c r="B9248" s="3" t="str">
        <f>HYPERLINK("https://www.773grp.com/manufacturer/national-semiconductor?pageNo=1", "National Semiconductor")</f>
        <v>National Semiconductor</v>
      </c>
      <c r="C9248" s="6">
        <v>8</v>
      </c>
      <c r="D9248" s="7">
        <v>12.53</v>
      </c>
      <c r="E9248" t="s">
        <v>21</v>
      </c>
    </row>
    <row r="9249" spans="1:5" x14ac:dyDescent="0.25">
      <c r="A9249" t="str">
        <f>HYPERLINK("https://www.773grp.com/globalSearch/LM101AJ/page-1", "LM101AJ")</f>
        <v>LM101AJ</v>
      </c>
      <c r="B9249" s="3" t="str">
        <f>HYPERLINK("https://www.773grp.com/manufacturer/national-semiconductor?pageNo=2", "National Semiconductor")</f>
        <v>National Semiconductor</v>
      </c>
      <c r="C9249" s="6">
        <v>310</v>
      </c>
      <c r="D9249" s="7">
        <v>12.53</v>
      </c>
      <c r="E9249" t="s">
        <v>13</v>
      </c>
    </row>
    <row r="9250" spans="1:5" x14ac:dyDescent="0.25">
      <c r="A9250" t="str">
        <f>HYPERLINK("https://www.773grp.com/globalSearch/LM158J/page-1", "LM158J")</f>
        <v>LM158J</v>
      </c>
      <c r="B9250" s="3" t="str">
        <f>HYPERLINK("https://www.773grp.com/manufacturer/national-semiconductor?pageNo=3", "National Semiconductor")</f>
        <v>National Semiconductor</v>
      </c>
      <c r="C9250" s="6">
        <v>14057</v>
      </c>
      <c r="D9250" s="7">
        <v>12.53</v>
      </c>
      <c r="E9250" t="s">
        <v>13</v>
      </c>
    </row>
    <row r="9251" spans="1:5" x14ac:dyDescent="0.25">
      <c r="A9251" t="str">
        <f>HYPERLINK("https://www.773grp.com/globalSearch/LMH0303SQ-NOPB/page-1", "LMH0303SQ-NOPB")</f>
        <v>LMH0303SQ-NOPB</v>
      </c>
      <c r="B9251" s="3" t="str">
        <f>HYPERLINK("https://www.773grp.com/manufacturer/national-semiconductor?pageNo=4", "National Semiconductor")</f>
        <v>National Semiconductor</v>
      </c>
      <c r="C9251" s="6">
        <v>1003</v>
      </c>
      <c r="D9251" s="7">
        <v>12.53</v>
      </c>
      <c r="E9251" t="s">
        <v>21</v>
      </c>
    </row>
    <row r="9252" spans="1:5" x14ac:dyDescent="0.25">
      <c r="A9252" t="str">
        <f>HYPERLINK("https://www.773grp.com/globalSearch/CLC007BM-NOPB/page-1", "CLC007BM-NOPB")</f>
        <v>CLC007BM-NOPB</v>
      </c>
      <c r="B9252" s="3" t="str">
        <f>HYPERLINK("https://www.773grp.com/manufacturer/national-semiconductor?pageNo=5", "National Semiconductor")</f>
        <v>National Semiconductor</v>
      </c>
      <c r="C9252" s="6">
        <v>334</v>
      </c>
      <c r="D9252" s="7">
        <v>12.53</v>
      </c>
    </row>
    <row r="9253" spans="1:5" x14ac:dyDescent="0.25">
      <c r="A9253" t="str">
        <f>HYPERLINK("https://www.773grp.com/globalSearch/DS92LV1023TMSAX-NOPB/page-1", "DS92LV1023TMSAX-NOPB")</f>
        <v>DS92LV1023TMSAX-NOPB</v>
      </c>
      <c r="B9253" s="3" t="str">
        <f>HYPERLINK("https://www.773grp.com/manufacturer/national-semiconductor?pageNo=6", "National Semiconductor")</f>
        <v>National Semiconductor</v>
      </c>
      <c r="C9253" s="6">
        <v>10000</v>
      </c>
      <c r="D9253" s="7">
        <v>12.53</v>
      </c>
      <c r="E9253" t="s">
        <v>21</v>
      </c>
    </row>
    <row r="9254" spans="1:5" x14ac:dyDescent="0.25">
      <c r="A9254" t="str">
        <f>HYPERLINK("https://www.773grp.com/globalSearch/LM158J/page-1", "LM158J")</f>
        <v>LM158J</v>
      </c>
      <c r="B9254" s="3" t="str">
        <f>HYPERLINK("https://www.773grp.com/manufacturer/national-semiconductor?pageNo=7", "National Semiconductor")</f>
        <v>National Semiconductor</v>
      </c>
      <c r="C9254" s="6">
        <v>93</v>
      </c>
      <c r="D9254" s="7">
        <v>12.53</v>
      </c>
      <c r="E9254" t="s">
        <v>13</v>
      </c>
    </row>
    <row r="9255" spans="1:5" x14ac:dyDescent="0.25">
      <c r="A9255" t="str">
        <f>HYPERLINK("https://www.773grp.com/globalSearch/LMH0303SQ-NOPB/page-1", "LMH0303SQ-NOPB")</f>
        <v>LMH0303SQ-NOPB</v>
      </c>
      <c r="B9255" s="3" t="str">
        <f>HYPERLINK("https://www.773grp.com/manufacturer/national-semiconductor?pageNo=8", "National Semiconductor")</f>
        <v>National Semiconductor</v>
      </c>
      <c r="C9255" s="6">
        <v>100</v>
      </c>
      <c r="D9255" s="7">
        <v>12.53</v>
      </c>
      <c r="E9255" t="s">
        <v>21</v>
      </c>
    </row>
    <row r="9256" spans="1:5" x14ac:dyDescent="0.25">
      <c r="A9256" t="str">
        <f>HYPERLINK("https://www.773grp.com/globalSearch/LMH0303SQX-NOPB/page-1", "LMH0303SQX-NOPB")</f>
        <v>LMH0303SQX-NOPB</v>
      </c>
      <c r="B9256" s="3" t="str">
        <f>HYPERLINK("https://www.773grp.com/manufacturer/national-semiconductor?pageNo=9", "National Semiconductor")</f>
        <v>National Semiconductor</v>
      </c>
      <c r="C9256" s="6">
        <v>9000</v>
      </c>
      <c r="D9256" s="7">
        <v>12.53</v>
      </c>
    </row>
    <row r="9257" spans="1:5" x14ac:dyDescent="0.25">
      <c r="A9257" t="str">
        <f>HYPERLINK("https://www.773grp.com/globalSearch/COP8CCR9LVA8/page-1", "COP8CCR9LVA8")</f>
        <v>COP8CCR9LVA8</v>
      </c>
      <c r="B9257" s="3" t="str">
        <f>HYPERLINK("https://www.773grp.com/manufacturer/national-semiconductor?pageNo=10", "National Semiconductor")</f>
        <v>National Semiconductor</v>
      </c>
      <c r="C9257" s="6">
        <v>2856</v>
      </c>
      <c r="D9257" s="7">
        <v>12.54</v>
      </c>
      <c r="E9257" t="s">
        <v>52</v>
      </c>
    </row>
    <row r="9258" spans="1:5" x14ac:dyDescent="0.25">
      <c r="A9258" t="str">
        <f>HYPERLINK("https://www.773grp.com/globalSearch/DS90C363MTD-NOPB/page-1", "DS90C363MTD-NOPB")</f>
        <v>DS90C363MTD-NOPB</v>
      </c>
      <c r="B9258" s="3" t="str">
        <f>HYPERLINK("https://www.773grp.com/manufacturer/national-semiconductor?pageNo=11", "National Semiconductor")</f>
        <v>National Semiconductor</v>
      </c>
      <c r="C9258" s="6">
        <v>106</v>
      </c>
      <c r="D9258" s="7">
        <v>12.54</v>
      </c>
      <c r="E9258" t="s">
        <v>21</v>
      </c>
    </row>
    <row r="9259" spans="1:5" x14ac:dyDescent="0.25">
      <c r="A9259" t="str">
        <f>HYPERLINK("https://www.773grp.com/globalSearch/DS90C383MTD-NOPB/page-1", "DS90C383MTD-NOPB")</f>
        <v>DS90C383MTD-NOPB</v>
      </c>
      <c r="B9259" s="3" t="str">
        <f>HYPERLINK("https://www.773grp.com/manufacturer/national-semiconductor?pageNo=12", "National Semiconductor")</f>
        <v>National Semiconductor</v>
      </c>
      <c r="C9259" s="6">
        <v>1558</v>
      </c>
      <c r="D9259" s="7">
        <v>12.54</v>
      </c>
      <c r="E9259" t="s">
        <v>21</v>
      </c>
    </row>
    <row r="9260" spans="1:5" x14ac:dyDescent="0.25">
      <c r="A9260" t="str">
        <f>HYPERLINK("https://www.773grp.com/globalSearch/DS90C387VJDX-NOPB/page-1", "DS90C387VJDX-NOPB")</f>
        <v>DS90C387VJDX-NOPB</v>
      </c>
      <c r="B9260" s="3" t="str">
        <f>HYPERLINK("https://www.773grp.com/manufacturer/national-semiconductor?pageNo=13", "National Semiconductor")</f>
        <v>National Semiconductor</v>
      </c>
      <c r="C9260" s="6">
        <v>1000</v>
      </c>
      <c r="D9260" s="7">
        <v>12.54</v>
      </c>
      <c r="E9260" t="s">
        <v>21</v>
      </c>
    </row>
    <row r="9261" spans="1:5" x14ac:dyDescent="0.25">
      <c r="A9261" t="str">
        <f>HYPERLINK("https://www.773grp.com/globalSearch/PC16550DN/page-1", "PC16550DN")</f>
        <v>PC16550DN</v>
      </c>
      <c r="B9261" s="3" t="str">
        <f>HYPERLINK("https://www.773grp.com/manufacturer/national-semiconductor?pageNo=14", "National Semiconductor")</f>
        <v>National Semiconductor</v>
      </c>
      <c r="C9261" s="6">
        <v>318</v>
      </c>
      <c r="D9261" s="7">
        <v>12.54</v>
      </c>
      <c r="E9261" t="s">
        <v>71</v>
      </c>
    </row>
    <row r="9262" spans="1:5" x14ac:dyDescent="0.25">
      <c r="A9262" t="str">
        <f>HYPERLINK("https://www.773grp.com/globalSearch/DS90C363MTD-NOPB/page-1", "DS90C363MTD-NOPB")</f>
        <v>DS90C363MTD-NOPB</v>
      </c>
      <c r="B9262" s="3" t="str">
        <f>HYPERLINK("https://www.773grp.com/manufacturer/national-semiconductor?pageNo=15", "National Semiconductor")</f>
        <v>National Semiconductor</v>
      </c>
      <c r="C9262" s="6">
        <v>116</v>
      </c>
      <c r="D9262" s="7">
        <v>12.54</v>
      </c>
      <c r="E9262" t="s">
        <v>21</v>
      </c>
    </row>
    <row r="9263" spans="1:5" x14ac:dyDescent="0.25">
      <c r="A9263" t="str">
        <f>HYPERLINK("https://www.773grp.com/globalSearch/DS90C383MTD-NOPB/page-1", "DS90C383MTD-NOPB")</f>
        <v>DS90C383MTD-NOPB</v>
      </c>
      <c r="B9263" s="3" t="str">
        <f>HYPERLINK("https://www.773grp.com/manufacturer/national-semiconductor?pageNo=16", "National Semiconductor")</f>
        <v>National Semiconductor</v>
      </c>
      <c r="C9263" s="6">
        <v>34</v>
      </c>
      <c r="D9263" s="7">
        <v>12.54</v>
      </c>
      <c r="E9263" t="s">
        <v>21</v>
      </c>
    </row>
    <row r="9264" spans="1:5" x14ac:dyDescent="0.25">
      <c r="A9264" t="str">
        <f>HYPERLINK("https://www.773grp.com/globalSearch/DS90C383MTDX/page-1", "DS90C383MTDX")</f>
        <v>DS90C383MTDX</v>
      </c>
      <c r="B9264" s="3" t="str">
        <f>HYPERLINK("https://www.773grp.com/manufacturer/national-semiconductor?pageNo=17", "National Semiconductor")</f>
        <v>National Semiconductor</v>
      </c>
      <c r="C9264" s="6">
        <v>2000</v>
      </c>
      <c r="D9264" s="7">
        <v>12.54</v>
      </c>
    </row>
    <row r="9265" spans="1:5" x14ac:dyDescent="0.25">
      <c r="A9265" t="str">
        <f>HYPERLINK("https://www.773grp.com/globalSearch/DS90C387VJDX-NOPB/page-1", "DS90C387VJDX-NOPB")</f>
        <v>DS90C387VJDX-NOPB</v>
      </c>
      <c r="B9265" s="3" t="str">
        <f>HYPERLINK("https://www.773grp.com/manufacturer/national-semiconductor?pageNo=18", "National Semiconductor")</f>
        <v>National Semiconductor</v>
      </c>
      <c r="C9265" s="6">
        <v>3000</v>
      </c>
      <c r="D9265" s="7">
        <v>12.54</v>
      </c>
      <c r="E9265" t="s">
        <v>21</v>
      </c>
    </row>
    <row r="9266" spans="1:5" x14ac:dyDescent="0.25">
      <c r="A9266" t="str">
        <f>HYPERLINK("https://www.773grp.com/globalSearch/54298FMQB/page-1", "54298FMQB")</f>
        <v>54298FMQB</v>
      </c>
      <c r="B9266" s="3" t="str">
        <f>HYPERLINK("https://www.773grp.com/manufacturer/national-semiconductor?pageNo=19", "National Semiconductor")</f>
        <v>National Semiconductor</v>
      </c>
      <c r="C9266" s="6">
        <v>193</v>
      </c>
      <c r="D9266" s="7">
        <v>12.58</v>
      </c>
      <c r="E9266" t="s">
        <v>35</v>
      </c>
    </row>
    <row r="9267" spans="1:5" x14ac:dyDescent="0.25">
      <c r="A9267" t="str">
        <f>HYPERLINK("https://www.773grp.com/globalSearch/DS90C383SLC/page-1", "DS90C383SLC")</f>
        <v>DS90C383SLC</v>
      </c>
      <c r="B9267" s="3" t="str">
        <f>HYPERLINK("https://www.773grp.com/manufacturer/national-semiconductor?pageNo=20", "National Semiconductor")</f>
        <v>National Semiconductor</v>
      </c>
      <c r="C9267" s="6">
        <v>345</v>
      </c>
      <c r="D9267" s="7">
        <v>12.58</v>
      </c>
      <c r="E9267" t="s">
        <v>21</v>
      </c>
    </row>
    <row r="9268" spans="1:5" x14ac:dyDescent="0.25">
      <c r="A9268" t="str">
        <f>HYPERLINK("https://www.773grp.com/globalSearch/DS55107J/page-1", "DS55107J")</f>
        <v>DS55107J</v>
      </c>
      <c r="B9268" s="3" t="str">
        <f>HYPERLINK("https://www.773grp.com/manufacturer/national-semiconductor?pageNo=21", "National Semiconductor")</f>
        <v>National Semiconductor</v>
      </c>
      <c r="C9268" s="6">
        <v>695</v>
      </c>
      <c r="D9268" s="7">
        <v>12.6</v>
      </c>
      <c r="E9268" t="s">
        <v>21</v>
      </c>
    </row>
    <row r="9269" spans="1:5" x14ac:dyDescent="0.25">
      <c r="A9269" t="str">
        <f>HYPERLINK("https://www.773grp.com/globalSearch/DS55113J/page-1", "DS55113J")</f>
        <v>DS55113J</v>
      </c>
      <c r="B9269" s="3" t="str">
        <f>HYPERLINK("https://www.773grp.com/manufacturer/national-semiconductor?pageNo=22", "National Semiconductor")</f>
        <v>National Semiconductor</v>
      </c>
      <c r="C9269" s="6">
        <v>167</v>
      </c>
      <c r="D9269" s="7">
        <v>12.6</v>
      </c>
      <c r="E9269" t="s">
        <v>21</v>
      </c>
    </row>
    <row r="9270" spans="1:5" x14ac:dyDescent="0.25">
      <c r="A9270" t="str">
        <f>HYPERLINK("https://www.773grp.com/globalSearch/LM4550BVH/page-1", "LM4550BVH")</f>
        <v>LM4550BVH</v>
      </c>
      <c r="B9270" s="3" t="str">
        <f>HYPERLINK("https://www.773grp.com/manufacturer/national-semiconductor?pageNo=23", "National Semiconductor")</f>
        <v>National Semiconductor</v>
      </c>
      <c r="C9270" s="6">
        <v>179</v>
      </c>
      <c r="D9270" s="7">
        <v>12.6</v>
      </c>
      <c r="E9270" t="s">
        <v>23</v>
      </c>
    </row>
    <row r="9271" spans="1:5" x14ac:dyDescent="0.25">
      <c r="A9271" t="str">
        <f>HYPERLINK("https://www.773grp.com/globalSearch/LM4550BVH/page-1", "LM4550BVH")</f>
        <v>LM4550BVH</v>
      </c>
      <c r="B9271" s="3" t="str">
        <f>HYPERLINK("https://www.773grp.com/manufacturer/national-semiconductor?pageNo=24", "National Semiconductor")</f>
        <v>National Semiconductor</v>
      </c>
      <c r="C9271" s="6">
        <v>251</v>
      </c>
      <c r="D9271" s="7">
        <v>12.6</v>
      </c>
      <c r="E9271" t="s">
        <v>23</v>
      </c>
    </row>
    <row r="9272" spans="1:5" x14ac:dyDescent="0.25">
      <c r="A9272" t="str">
        <f>HYPERLINK("https://www.773grp.com/globalSearch/100125DC/page-1", "100125DC")</f>
        <v>100125DC</v>
      </c>
      <c r="B9272" s="3" t="str">
        <f>HYPERLINK("https://www.773grp.com/manufacturer/national-semiconductor?pageNo=25", "National Semiconductor")</f>
        <v>National Semiconductor</v>
      </c>
      <c r="C9272" s="6">
        <v>3152</v>
      </c>
      <c r="D9272" s="7">
        <v>12.66</v>
      </c>
      <c r="E9272" t="s">
        <v>73</v>
      </c>
    </row>
    <row r="9273" spans="1:5" x14ac:dyDescent="0.25">
      <c r="A9273" t="str">
        <f>HYPERLINK("https://www.773grp.com/globalSearch/54LS00  LL3/page-1", "54LS00  LL3")</f>
        <v>54LS00  LL3</v>
      </c>
      <c r="B9273" s="3" t="str">
        <f>HYPERLINK("https://www.773grp.com/manufacturer/national-semiconductor?pageNo=26", "National Semiconductor")</f>
        <v>National Semiconductor</v>
      </c>
      <c r="C9273" s="6">
        <v>25</v>
      </c>
      <c r="D9273" s="7">
        <v>12.66</v>
      </c>
    </row>
    <row r="9274" spans="1:5" x14ac:dyDescent="0.25">
      <c r="A9274" t="str">
        <f>HYPERLINK("https://www.773grp.com/globalSearch/74196DCS/page-1", "74196DCS")</f>
        <v>74196DCS</v>
      </c>
      <c r="B9274" s="3" t="str">
        <f>HYPERLINK("https://www.773grp.com/manufacturer/national-semiconductor?pageNo=27", "National Semiconductor")</f>
        <v>National Semiconductor</v>
      </c>
      <c r="C9274" s="6">
        <v>27</v>
      </c>
      <c r="D9274" s="7">
        <v>12.66</v>
      </c>
    </row>
    <row r="9275" spans="1:5" x14ac:dyDescent="0.25">
      <c r="A9275" t="str">
        <f>HYPERLINK("https://www.773grp.com/globalSearch/DS25MB200TSQ-NOPB/page-1", "DS25MB200TSQ-NOPB")</f>
        <v>DS25MB200TSQ-NOPB</v>
      </c>
      <c r="B9275" s="3" t="str">
        <f>HYPERLINK("https://www.773grp.com/manufacturer/national-semiconductor?pageNo=28", "National Semiconductor")</f>
        <v>National Semiconductor</v>
      </c>
      <c r="C9275" s="6">
        <v>500</v>
      </c>
      <c r="D9275" s="7">
        <v>12.66</v>
      </c>
      <c r="E9275" t="s">
        <v>21</v>
      </c>
    </row>
    <row r="9276" spans="1:5" x14ac:dyDescent="0.25">
      <c r="A9276" t="str">
        <f>HYPERLINK("https://www.773grp.com/globalSearch/MM4673BMW-883/page-1", "MM4673BMW-883")</f>
        <v>MM4673BMW-883</v>
      </c>
      <c r="B9276" s="3" t="str">
        <f>HYPERLINK("https://www.773grp.com/manufacturer/national-semiconductor?pageNo=29", "National Semiconductor")</f>
        <v>National Semiconductor</v>
      </c>
      <c r="C9276" s="6">
        <v>237</v>
      </c>
      <c r="D9276" s="7">
        <v>12.66</v>
      </c>
    </row>
    <row r="9277" spans="1:5" x14ac:dyDescent="0.25">
      <c r="A9277" t="str">
        <f>HYPERLINK("https://www.773grp.com/globalSearch/MM4675BMW-883/page-1", "MM4675BMW-883")</f>
        <v>MM4675BMW-883</v>
      </c>
      <c r="B9277" s="3" t="str">
        <f>HYPERLINK("https://www.773grp.com/manufacturer/national-semiconductor?pageNo=30", "National Semiconductor")</f>
        <v>National Semiconductor</v>
      </c>
      <c r="C9277" s="6">
        <v>267</v>
      </c>
      <c r="D9277" s="7">
        <v>12.66</v>
      </c>
    </row>
    <row r="9278" spans="1:5" x14ac:dyDescent="0.25">
      <c r="A9278" t="str">
        <f>HYPERLINK("https://www.773grp.com/globalSearch/DS25MB200TSQ-NOPB/page-1", "DS25MB200TSQ-NOPB")</f>
        <v>DS25MB200TSQ-NOPB</v>
      </c>
      <c r="B9278" s="3" t="str">
        <f>HYPERLINK("https://www.773grp.com/manufacturer/national-semiconductor?pageNo=31", "National Semiconductor")</f>
        <v>National Semiconductor</v>
      </c>
      <c r="C9278" s="6">
        <v>44</v>
      </c>
      <c r="D9278" s="7">
        <v>12.66</v>
      </c>
      <c r="E9278" t="s">
        <v>21</v>
      </c>
    </row>
    <row r="9279" spans="1:5" x14ac:dyDescent="0.25">
      <c r="A9279" t="str">
        <f>HYPERLINK("https://www.773grp.com/globalSearch/DM7000W-883/page-1", "DM7000W-883")</f>
        <v>DM7000W-883</v>
      </c>
      <c r="B9279" s="3" t="str">
        <f>HYPERLINK("https://www.773grp.com/manufacturer/national-semiconductor?pageNo=32", "National Semiconductor")</f>
        <v>National Semiconductor</v>
      </c>
      <c r="C9279" s="6">
        <v>108</v>
      </c>
      <c r="D9279" s="7">
        <v>12.69</v>
      </c>
    </row>
    <row r="9280" spans="1:5" x14ac:dyDescent="0.25">
      <c r="A9280" t="str">
        <f>HYPERLINK("https://www.773grp.com/globalSearch/DP83849IVS-NOPB/page-1", "DP83849IVS-NOPB")</f>
        <v>DP83849IVS-NOPB</v>
      </c>
      <c r="B9280" s="3" t="str">
        <f>HYPERLINK("https://www.773grp.com/manufacturer/national-semiconductor?pageNo=33", "National Semiconductor")</f>
        <v>National Semiconductor</v>
      </c>
      <c r="C9280" s="6">
        <v>1924</v>
      </c>
      <c r="D9280" s="7">
        <v>12.69</v>
      </c>
      <c r="E9280" t="s">
        <v>55</v>
      </c>
    </row>
    <row r="9281" spans="1:5" x14ac:dyDescent="0.25">
      <c r="A9281" t="str">
        <f>HYPERLINK("https://www.773grp.com/globalSearch/DS10CP154TSQ-NOPB/page-1", "DS10CP154TSQ-NOPB")</f>
        <v>DS10CP154TSQ-NOPB</v>
      </c>
      <c r="B9281" s="3" t="str">
        <f>HYPERLINK("https://www.773grp.com/manufacturer/national-semiconductor?pageNo=34", "National Semiconductor")</f>
        <v>National Semiconductor</v>
      </c>
      <c r="C9281" s="6">
        <v>176</v>
      </c>
      <c r="D9281" s="7">
        <v>12.69</v>
      </c>
    </row>
    <row r="9282" spans="1:5" x14ac:dyDescent="0.25">
      <c r="A9282" t="str">
        <f>HYPERLINK("https://www.773grp.com/globalSearch/DS92LV090ATVEH/page-1", "DS92LV090ATVEH")</f>
        <v>DS92LV090ATVEH</v>
      </c>
      <c r="B9282" s="3" t="str">
        <f>HYPERLINK("https://www.773grp.com/manufacturer/national-semiconductor?pageNo=35", "National Semiconductor")</f>
        <v>National Semiconductor</v>
      </c>
      <c r="C9282" s="6">
        <v>2012</v>
      </c>
      <c r="D9282" s="7">
        <v>12.69</v>
      </c>
      <c r="E9282" t="s">
        <v>21</v>
      </c>
    </row>
    <row r="9283" spans="1:5" x14ac:dyDescent="0.25">
      <c r="A9283" t="str">
        <f>HYPERLINK("https://www.773grp.com/globalSearch/DS92LV090ATVEHX-NOPB/page-1", "DS92LV090ATVEHX-NOPB")</f>
        <v>DS92LV090ATVEHX-NOPB</v>
      </c>
      <c r="B9283" s="3" t="str">
        <f>HYPERLINK("https://www.773grp.com/manufacturer/national-semiconductor?pageNo=36", "National Semiconductor")</f>
        <v>National Semiconductor</v>
      </c>
      <c r="C9283" s="6">
        <v>30000</v>
      </c>
      <c r="D9283" s="7">
        <v>12.69</v>
      </c>
      <c r="E9283" t="s">
        <v>21</v>
      </c>
    </row>
    <row r="9284" spans="1:5" x14ac:dyDescent="0.25">
      <c r="A9284" t="str">
        <f>HYPERLINK("https://www.773grp.com/globalSearch/LM6685IM/page-1", "LM6685IM")</f>
        <v>LM6685IM</v>
      </c>
      <c r="B9284" s="3" t="str">
        <f>HYPERLINK("https://www.773grp.com/manufacturer/national-semiconductor?pageNo=37", "National Semiconductor")</f>
        <v>National Semiconductor</v>
      </c>
      <c r="C9284" s="6">
        <v>485</v>
      </c>
      <c r="D9284" s="7">
        <v>12.69</v>
      </c>
      <c r="E9284" t="s">
        <v>9</v>
      </c>
    </row>
    <row r="9285" spans="1:5" x14ac:dyDescent="0.25">
      <c r="A9285" t="str">
        <f>HYPERLINK("https://www.773grp.com/globalSearch/ADC12010CIVY/page-1", "ADC12010CIVY")</f>
        <v>ADC12010CIVY</v>
      </c>
      <c r="B9285" s="3" t="str">
        <f>HYPERLINK("https://www.773grp.com/manufacturer/national-semiconductor?pageNo=38", "National Semiconductor")</f>
        <v>National Semiconductor</v>
      </c>
      <c r="C9285" s="6">
        <v>250</v>
      </c>
      <c r="D9285" s="7">
        <v>12.69</v>
      </c>
    </row>
    <row r="9286" spans="1:5" x14ac:dyDescent="0.25">
      <c r="A9286" t="str">
        <f>HYPERLINK("https://www.773grp.com/globalSearch/DP83849IVS-NOPB/page-1", "DP83849IVS-NOPB")</f>
        <v>DP83849IVS-NOPB</v>
      </c>
      <c r="B9286" s="3" t="str">
        <f>HYPERLINK("https://www.773grp.com/manufacturer/national-semiconductor?pageNo=39", "National Semiconductor")</f>
        <v>National Semiconductor</v>
      </c>
      <c r="C9286" s="6">
        <v>1267</v>
      </c>
      <c r="D9286" s="7">
        <v>12.69</v>
      </c>
      <c r="E9286" t="s">
        <v>55</v>
      </c>
    </row>
    <row r="9287" spans="1:5" x14ac:dyDescent="0.25">
      <c r="A9287" t="str">
        <f>HYPERLINK("https://www.773grp.com/globalSearch/DS92LV090ATVEH/page-1", "DS92LV090ATVEH")</f>
        <v>DS92LV090ATVEH</v>
      </c>
      <c r="B9287" s="3" t="str">
        <f>HYPERLINK("https://www.773grp.com/manufacturer/national-semiconductor?pageNo=40", "National Semiconductor")</f>
        <v>National Semiconductor</v>
      </c>
      <c r="C9287" s="6">
        <v>5280</v>
      </c>
      <c r="D9287" s="7">
        <v>12.69</v>
      </c>
      <c r="E9287" t="s">
        <v>21</v>
      </c>
    </row>
    <row r="9288" spans="1:5" x14ac:dyDescent="0.25">
      <c r="A9288" t="str">
        <f>HYPERLINK("https://www.773grp.com/globalSearch/DS92LV090ATVEHX/page-1", "DS92LV090ATVEHX")</f>
        <v>DS92LV090ATVEHX</v>
      </c>
      <c r="B9288" s="3" t="str">
        <f>HYPERLINK("https://www.773grp.com/manufacturer/national-semiconductor?pageNo=41", "National Semiconductor")</f>
        <v>National Semiconductor</v>
      </c>
      <c r="C9288" s="6">
        <v>1000</v>
      </c>
      <c r="D9288" s="7">
        <v>12.69</v>
      </c>
    </row>
    <row r="9289" spans="1:5" x14ac:dyDescent="0.25">
      <c r="A9289" t="str">
        <f>HYPERLINK("https://www.773grp.com/globalSearch/DS99R101VS-NOPB/page-1", "DS99R101VS-NOPB")</f>
        <v>DS99R101VS-NOPB</v>
      </c>
      <c r="B9289" s="3" t="str">
        <f>HYPERLINK("https://www.773grp.com/manufacturer/national-semiconductor?pageNo=42", "National Semiconductor")</f>
        <v>National Semiconductor</v>
      </c>
      <c r="C9289" s="6">
        <v>608</v>
      </c>
      <c r="D9289" s="7">
        <v>12.69</v>
      </c>
    </row>
    <row r="9290" spans="1:5" x14ac:dyDescent="0.25">
      <c r="A9290" t="str">
        <f>HYPERLINK("https://www.773grp.com/globalSearch/DS99R101VSX-NOPB/page-1", "DS99R101VSX-NOPB")</f>
        <v>DS99R101VSX-NOPB</v>
      </c>
      <c r="B9290" s="3" t="str">
        <f>HYPERLINK("https://www.773grp.com/manufacturer/national-semiconductor?pageNo=43", "National Semiconductor")</f>
        <v>National Semiconductor</v>
      </c>
      <c r="C9290" s="6">
        <v>2000</v>
      </c>
      <c r="D9290" s="7">
        <v>12.69</v>
      </c>
    </row>
    <row r="9291" spans="1:5" x14ac:dyDescent="0.25">
      <c r="A9291" t="str">
        <f>HYPERLINK("https://www.773grp.com/globalSearch/DS99R102VS-NOPB/page-1", "DS99R102VS-NOPB")</f>
        <v>DS99R102VS-NOPB</v>
      </c>
      <c r="B9291" s="3" t="str">
        <f>HYPERLINK("https://www.773grp.com/manufacturer/national-semiconductor?pageNo=44", "National Semiconductor")</f>
        <v>National Semiconductor</v>
      </c>
      <c r="C9291" s="6">
        <v>291</v>
      </c>
      <c r="D9291" s="7">
        <v>12.69</v>
      </c>
    </row>
    <row r="9292" spans="1:5" x14ac:dyDescent="0.25">
      <c r="A9292" t="str">
        <f>HYPERLINK("https://www.773grp.com/globalSearch/DS99R102VSX-NOPB/page-1", "DS99R102VSX-NOPB")</f>
        <v>DS99R102VSX-NOPB</v>
      </c>
      <c r="B9292" s="3" t="str">
        <f>HYPERLINK("https://www.773grp.com/manufacturer/national-semiconductor?pageNo=45", "National Semiconductor")</f>
        <v>National Semiconductor</v>
      </c>
      <c r="C9292" s="6">
        <v>2000</v>
      </c>
      <c r="D9292" s="7">
        <v>12.69</v>
      </c>
    </row>
    <row r="9293" spans="1:5" x14ac:dyDescent="0.25">
      <c r="A9293" t="str">
        <f>HYPERLINK("https://www.773grp.com/globalSearch/ADC10065CIMT-NOPB/page-1", "ADC10065CIMT-NOPB")</f>
        <v>ADC10065CIMT-NOPB</v>
      </c>
      <c r="B9293" s="3" t="str">
        <f>HYPERLINK("https://www.773grp.com/manufacturer/national-semiconductor?pageNo=46", "National Semiconductor")</f>
        <v>National Semiconductor</v>
      </c>
      <c r="C9293" s="6">
        <v>129</v>
      </c>
      <c r="D9293" s="7">
        <v>12.71</v>
      </c>
      <c r="E9293" t="s">
        <v>39</v>
      </c>
    </row>
    <row r="9294" spans="1:5" x14ac:dyDescent="0.25">
      <c r="A9294" t="str">
        <f>HYPERLINK("https://www.773grp.com/globalSearch/ADC10065CIMT-NOPB/page-1", "ADC10065CIMT-NOPB")</f>
        <v>ADC10065CIMT-NOPB</v>
      </c>
      <c r="B9294" s="3" t="str">
        <f>HYPERLINK("https://www.773grp.com/manufacturer/national-semiconductor?pageNo=47", "National Semiconductor")</f>
        <v>National Semiconductor</v>
      </c>
      <c r="C9294" s="6">
        <v>240</v>
      </c>
      <c r="D9294" s="7">
        <v>12.71</v>
      </c>
      <c r="E9294" t="s">
        <v>39</v>
      </c>
    </row>
    <row r="9295" spans="1:5" x14ac:dyDescent="0.25">
      <c r="A9295" t="str">
        <f>HYPERLINK("https://www.773grp.com/globalSearch/ADC0848BCVX-NOPB/page-1", "ADC0848BCVX-NOPB")</f>
        <v>ADC0848BCVX-NOPB</v>
      </c>
      <c r="B9295" s="3" t="str">
        <f>HYPERLINK("https://www.773grp.com/manufacturer/national-semiconductor?pageNo=48", "National Semiconductor")</f>
        <v>National Semiconductor</v>
      </c>
      <c r="C9295" s="6">
        <v>750</v>
      </c>
      <c r="D9295" s="7">
        <v>12.74</v>
      </c>
      <c r="E9295" t="s">
        <v>39</v>
      </c>
    </row>
    <row r="9296" spans="1:5" x14ac:dyDescent="0.25">
      <c r="A9296" t="str">
        <f>HYPERLINK("https://www.773grp.com/globalSearch/ADC0848CCV/page-1", "ADC0848CCV")</f>
        <v>ADC0848CCV</v>
      </c>
      <c r="B9296" s="3" t="str">
        <f>HYPERLINK("https://www.773grp.com/manufacturer/national-semiconductor?pageNo=49", "National Semiconductor")</f>
        <v>National Semiconductor</v>
      </c>
      <c r="C9296" s="6">
        <v>196</v>
      </c>
      <c r="D9296" s="7">
        <v>12.74</v>
      </c>
      <c r="E9296" t="s">
        <v>39</v>
      </c>
    </row>
    <row r="9297" spans="1:5" x14ac:dyDescent="0.25">
      <c r="A9297" t="str">
        <f>HYPERLINK("https://www.773grp.com/globalSearch/COP8CDR9IMT7/page-1", "COP8CDR9IMT7")</f>
        <v>COP8CDR9IMT7</v>
      </c>
      <c r="B9297" s="3" t="str">
        <f>HYPERLINK("https://www.773grp.com/manufacturer/national-semiconductor?pageNo=50", "National Semiconductor")</f>
        <v>National Semiconductor</v>
      </c>
      <c r="C9297" s="6">
        <v>4940</v>
      </c>
      <c r="D9297" s="7">
        <v>12.74</v>
      </c>
      <c r="E9297" t="s">
        <v>52</v>
      </c>
    </row>
    <row r="9298" spans="1:5" x14ac:dyDescent="0.25">
      <c r="A9298" t="str">
        <f>HYPERLINK("https://www.773grp.com/globalSearch/ADC0848BCVX-NOPB/page-1", "ADC0848BCVX-NOPB")</f>
        <v>ADC0848BCVX-NOPB</v>
      </c>
      <c r="B9298" s="3" t="str">
        <f>HYPERLINK("https://www.773grp.com/manufacturer/national-semiconductor?pageNo=51", "National Semiconductor")</f>
        <v>National Semiconductor</v>
      </c>
      <c r="C9298" s="6">
        <v>1500</v>
      </c>
      <c r="D9298" s="7">
        <v>12.74</v>
      </c>
      <c r="E9298" t="s">
        <v>39</v>
      </c>
    </row>
    <row r="9299" spans="1:5" x14ac:dyDescent="0.25">
      <c r="A9299" t="str">
        <f>HYPERLINK("https://www.773grp.com/globalSearch/ADC0848CCV/page-1", "ADC0848CCV")</f>
        <v>ADC0848CCV</v>
      </c>
      <c r="B9299" s="3" t="str">
        <f>HYPERLINK("https://www.773grp.com/manufacturer/national-semiconductor?pageNo=52", "National Semiconductor")</f>
        <v>National Semiconductor</v>
      </c>
      <c r="C9299" s="6">
        <v>126</v>
      </c>
      <c r="D9299" s="7">
        <v>12.74</v>
      </c>
      <c r="E9299" t="s">
        <v>39</v>
      </c>
    </row>
    <row r="9300" spans="1:5" x14ac:dyDescent="0.25">
      <c r="A9300" t="str">
        <f>HYPERLINK("https://www.773grp.com/globalSearch/DS32EL0124SQE-NOPB/page-1", "DS32EL0124SQE-NOPB")</f>
        <v>DS32EL0124SQE-NOPB</v>
      </c>
      <c r="B9300" s="3" t="str">
        <f>HYPERLINK("https://www.773grp.com/manufacturer/national-semiconductor?pageNo=53", "National Semiconductor")</f>
        <v>National Semiconductor</v>
      </c>
      <c r="C9300" s="6">
        <v>1250</v>
      </c>
      <c r="D9300" s="7">
        <v>12.78</v>
      </c>
    </row>
    <row r="9301" spans="1:5" x14ac:dyDescent="0.25">
      <c r="A9301" t="str">
        <f>HYPERLINK("https://www.773grp.com/globalSearch/DS32EL0421SQE-NOPB/page-1", "DS32EL0421SQE-NOPB")</f>
        <v>DS32EL0421SQE-NOPB</v>
      </c>
      <c r="B9301" s="3" t="str">
        <f>HYPERLINK("https://www.773grp.com/manufacturer/national-semiconductor?pageNo=54", "National Semiconductor")</f>
        <v>National Semiconductor</v>
      </c>
      <c r="C9301" s="6">
        <v>1250</v>
      </c>
      <c r="D9301" s="7">
        <v>12.78</v>
      </c>
    </row>
    <row r="9302" spans="1:5" x14ac:dyDescent="0.25">
      <c r="A9302" t="str">
        <f>HYPERLINK("https://www.773grp.com/globalSearch/SM72442MTE-NOPB/page-1", "SM72442MTE-NOPB")</f>
        <v>SM72442MTE-NOPB</v>
      </c>
      <c r="B9302" s="3" t="str">
        <f>HYPERLINK("https://www.773grp.com/manufacturer/national-semiconductor?pageNo=55", "National Semiconductor")</f>
        <v>National Semiconductor</v>
      </c>
      <c r="C9302" s="6">
        <v>250</v>
      </c>
      <c r="D9302" s="7">
        <v>12.78</v>
      </c>
    </row>
    <row r="9303" spans="1:5" x14ac:dyDescent="0.25">
      <c r="A9303" t="str">
        <f>HYPERLINK("https://www.773grp.com/globalSearch/DS32EL0124SQE-NOPB/page-1", "DS32EL0124SQE-NOPB")</f>
        <v>DS32EL0124SQE-NOPB</v>
      </c>
      <c r="B9303" s="3" t="str">
        <f>HYPERLINK("https://www.773grp.com/manufacturer/national-semiconductor?pageNo=56", "National Semiconductor")</f>
        <v>National Semiconductor</v>
      </c>
      <c r="C9303" s="6">
        <v>1689</v>
      </c>
      <c r="D9303" s="7">
        <v>12.78</v>
      </c>
    </row>
    <row r="9304" spans="1:5" x14ac:dyDescent="0.25">
      <c r="A9304" t="str">
        <f>HYPERLINK("https://www.773grp.com/globalSearch/DS32EL0421SQE-NOPB/page-1", "DS32EL0421SQE-NOPB")</f>
        <v>DS32EL0421SQE-NOPB</v>
      </c>
      <c r="B9304" s="3" t="str">
        <f>HYPERLINK("https://www.773grp.com/manufacturer/national-semiconductor?pageNo=57", "National Semiconductor")</f>
        <v>National Semiconductor</v>
      </c>
      <c r="C9304" s="6">
        <v>1500</v>
      </c>
      <c r="D9304" s="7">
        <v>12.78</v>
      </c>
    </row>
    <row r="9305" spans="1:5" x14ac:dyDescent="0.25">
      <c r="A9305" t="str">
        <f>HYPERLINK("https://www.773grp.com/globalSearch/LM5066PMHE-NOPB/page-1", "LM5066PMHE-NOPB")</f>
        <v>LM5066PMHE-NOPB</v>
      </c>
      <c r="B9305" s="3" t="str">
        <f>HYPERLINK("https://www.773grp.com/manufacturer/national-semiconductor?pageNo=58", "National Semiconductor")</f>
        <v>National Semiconductor</v>
      </c>
      <c r="C9305" s="6">
        <v>250</v>
      </c>
      <c r="D9305" s="7">
        <v>12.78</v>
      </c>
    </row>
    <row r="9306" spans="1:5" x14ac:dyDescent="0.25">
      <c r="A9306" t="str">
        <f>HYPERLINK("https://www.773grp.com/globalSearch/SM72442MTE-NOPB/page-1", "SM72442MTE-NOPB")</f>
        <v>SM72442MTE-NOPB</v>
      </c>
      <c r="B9306" s="3" t="str">
        <f>HYPERLINK("https://www.773grp.com/manufacturer/national-semiconductor?pageNo=59", "National Semiconductor")</f>
        <v>National Semiconductor</v>
      </c>
      <c r="C9306" s="6">
        <v>478</v>
      </c>
      <c r="D9306" s="7">
        <v>12.78</v>
      </c>
    </row>
    <row r="9307" spans="1:5" x14ac:dyDescent="0.25">
      <c r="A9307" t="str">
        <f>HYPERLINK("https://www.773grp.com/globalSearch/4042BDM/page-1", "4042BDM")</f>
        <v>4042BDM</v>
      </c>
      <c r="B9307" s="3" t="str">
        <f>HYPERLINK("https://www.773grp.com/manufacturer/national-semiconductor?pageNo=60", "National Semiconductor")</f>
        <v>National Semiconductor</v>
      </c>
      <c r="C9307" s="6">
        <v>5353</v>
      </c>
      <c r="D9307" s="7">
        <v>12.79</v>
      </c>
    </row>
    <row r="9308" spans="1:5" x14ac:dyDescent="0.25">
      <c r="A9308" t="str">
        <f>HYPERLINK("https://www.773grp.com/globalSearch/9310DC/page-1", "9310DC")</f>
        <v>9310DC</v>
      </c>
      <c r="B9308" s="3" t="str">
        <f>HYPERLINK("https://www.773grp.com/manufacturer/national-semiconductor?pageNo=61", "National Semiconductor")</f>
        <v>National Semiconductor</v>
      </c>
      <c r="C9308" s="6">
        <v>2276</v>
      </c>
      <c r="D9308" s="7">
        <v>12.79</v>
      </c>
    </row>
    <row r="9309" spans="1:5" x14ac:dyDescent="0.25">
      <c r="A9309" t="str">
        <f>HYPERLINK("https://www.773grp.com/globalSearch/953DC/page-1", "953DC")</f>
        <v>953DC</v>
      </c>
      <c r="B9309" s="3" t="str">
        <f>HYPERLINK("https://www.773grp.com/manufacturer/national-semiconductor?pageNo=62", "National Semiconductor")</f>
        <v>National Semiconductor</v>
      </c>
      <c r="C9309" s="6">
        <v>10384</v>
      </c>
      <c r="D9309" s="7">
        <v>12.79</v>
      </c>
    </row>
    <row r="9310" spans="1:5" x14ac:dyDescent="0.25">
      <c r="A9310" t="str">
        <f>HYPERLINK("https://www.773grp.com/globalSearch/DM74LS573N/page-1", "DM74LS573N")</f>
        <v>DM74LS573N</v>
      </c>
      <c r="B9310" s="3" t="str">
        <f>HYPERLINK("https://www.773grp.com/manufacturer/national-semiconductor?pageNo=63", "National Semiconductor")</f>
        <v>National Semiconductor</v>
      </c>
      <c r="C9310" s="6">
        <v>5</v>
      </c>
      <c r="D9310" s="7">
        <v>12.79</v>
      </c>
      <c r="E9310" t="s">
        <v>14</v>
      </c>
    </row>
    <row r="9311" spans="1:5" x14ac:dyDescent="0.25">
      <c r="A9311" t="str">
        <f>HYPERLINK("https://www.773grp.com/globalSearch/MM54HC240J/page-1", "MM54HC240J")</f>
        <v>MM54HC240J</v>
      </c>
      <c r="B9311" s="3" t="str">
        <f>HYPERLINK("https://www.773grp.com/manufacturer/national-semiconductor?pageNo=64", "National Semiconductor")</f>
        <v>National Semiconductor</v>
      </c>
      <c r="C9311" s="6">
        <v>115</v>
      </c>
      <c r="D9311" s="7">
        <v>12.79</v>
      </c>
      <c r="E9311" t="s">
        <v>14</v>
      </c>
    </row>
    <row r="9312" spans="1:5" x14ac:dyDescent="0.25">
      <c r="A9312" t="str">
        <f>HYPERLINK("https://www.773grp.com/globalSearch/JM38510-32501BRA/page-1", "JM38510-32501BRA")</f>
        <v>JM38510-32501BRA</v>
      </c>
      <c r="B9312" s="3" t="str">
        <f>HYPERLINK("https://www.773grp.com/manufacturer/national-semiconductor?pageNo=65", "National Semiconductor")</f>
        <v>National Semiconductor</v>
      </c>
      <c r="C9312" s="6">
        <v>89</v>
      </c>
      <c r="D9312" s="7">
        <v>12.79</v>
      </c>
    </row>
    <row r="9313" spans="1:5" x14ac:dyDescent="0.25">
      <c r="A9313" t="str">
        <f>HYPERLINK("https://www.773grp.com/globalSearch/LM6144AIM-NOPB/page-1", "LM6144AIM-NOPB")</f>
        <v>LM6144AIM-NOPB</v>
      </c>
      <c r="B9313" s="3" t="str">
        <f>HYPERLINK("https://www.773grp.com/manufacturer/national-semiconductor?pageNo=66", "National Semiconductor")</f>
        <v>National Semiconductor</v>
      </c>
      <c r="C9313" s="6">
        <v>252</v>
      </c>
      <c r="D9313" s="7">
        <v>12.79</v>
      </c>
    </row>
    <row r="9314" spans="1:5" x14ac:dyDescent="0.25">
      <c r="A9314" t="str">
        <f>HYPERLINK("https://www.773grp.com/globalSearch/100117FCQR/page-1", "100117FCQR")</f>
        <v>100117FCQR</v>
      </c>
      <c r="B9314" s="3" t="str">
        <f>HYPERLINK("https://www.773grp.com/manufacturer/national-semiconductor?pageNo=67", "National Semiconductor")</f>
        <v>National Semiconductor</v>
      </c>
      <c r="C9314" s="6">
        <v>2452</v>
      </c>
      <c r="D9314" s="7">
        <v>12.83</v>
      </c>
      <c r="E9314" t="s">
        <v>31</v>
      </c>
    </row>
    <row r="9315" spans="1:5" x14ac:dyDescent="0.25">
      <c r="A9315" t="str">
        <f>HYPERLINK("https://www.773grp.com/globalSearch/CLC440AJP/page-1", "CLC440AJP")</f>
        <v>CLC440AJP</v>
      </c>
      <c r="B9315" s="3" t="str">
        <f>HYPERLINK("https://www.773grp.com/manufacturer/national-semiconductor?pageNo=68", "National Semiconductor")</f>
        <v>National Semiconductor</v>
      </c>
      <c r="C9315" s="6">
        <v>2738</v>
      </c>
      <c r="D9315" s="7">
        <v>12.83</v>
      </c>
      <c r="E9315" t="s">
        <v>13</v>
      </c>
    </row>
    <row r="9316" spans="1:5" x14ac:dyDescent="0.25">
      <c r="A9316" t="str">
        <f>HYPERLINK("https://www.773grp.com/globalSearch/DS99R103TSQ/page-1", "DS99R103TSQ")</f>
        <v>DS99R103TSQ</v>
      </c>
      <c r="B9316" s="3" t="str">
        <f>HYPERLINK("https://www.773grp.com/manufacturer/national-semiconductor?pageNo=69", "National Semiconductor")</f>
        <v>National Semiconductor</v>
      </c>
      <c r="C9316" s="6">
        <v>390</v>
      </c>
      <c r="D9316" s="7">
        <v>12.83</v>
      </c>
      <c r="E9316" t="s">
        <v>21</v>
      </c>
    </row>
    <row r="9317" spans="1:5" x14ac:dyDescent="0.25">
      <c r="A9317" t="str">
        <f>HYPERLINK("https://www.773grp.com/globalSearch/DS99R103TSQ-NOPB/page-1", "DS99R103TSQ-NOPB")</f>
        <v>DS99R103TSQ-NOPB</v>
      </c>
      <c r="B9317" s="3" t="str">
        <f>HYPERLINK("https://www.773grp.com/manufacturer/national-semiconductor?pageNo=70", "National Semiconductor")</f>
        <v>National Semiconductor</v>
      </c>
      <c r="C9317" s="6">
        <v>4650</v>
      </c>
      <c r="D9317" s="7">
        <v>12.83</v>
      </c>
    </row>
    <row r="9318" spans="1:5" x14ac:dyDescent="0.25">
      <c r="A9318" t="str">
        <f>HYPERLINK("https://www.773grp.com/globalSearch/DS99R103TSQX-NOPB/page-1", "DS99R103TSQX-NOPB")</f>
        <v>DS99R103TSQX-NOPB</v>
      </c>
      <c r="B9318" s="3" t="str">
        <f>HYPERLINK("https://www.773grp.com/manufacturer/national-semiconductor?pageNo=71", "National Semiconductor")</f>
        <v>National Semiconductor</v>
      </c>
      <c r="C9318" s="6">
        <v>15000</v>
      </c>
      <c r="D9318" s="7">
        <v>12.83</v>
      </c>
      <c r="E9318" t="s">
        <v>21</v>
      </c>
    </row>
    <row r="9319" spans="1:5" x14ac:dyDescent="0.25">
      <c r="A9319" t="str">
        <f>HYPERLINK("https://www.773grp.com/globalSearch/DS99R104TSQ/page-1", "DS99R104TSQ")</f>
        <v>DS99R104TSQ</v>
      </c>
      <c r="B9319" s="3" t="str">
        <f>HYPERLINK("https://www.773grp.com/manufacturer/national-semiconductor?pageNo=72", "National Semiconductor")</f>
        <v>National Semiconductor</v>
      </c>
      <c r="C9319" s="6">
        <v>240</v>
      </c>
      <c r="D9319" s="7">
        <v>12.83</v>
      </c>
      <c r="E9319" t="s">
        <v>21</v>
      </c>
    </row>
    <row r="9320" spans="1:5" x14ac:dyDescent="0.25">
      <c r="A9320" t="str">
        <f>HYPERLINK("https://www.773grp.com/globalSearch/DS99R104TSQ-NOPB/page-1", "DS99R104TSQ-NOPB")</f>
        <v>DS99R104TSQ-NOPB</v>
      </c>
      <c r="B9320" s="3" t="str">
        <f>HYPERLINK("https://www.773grp.com/manufacturer/national-semiconductor?pageNo=73", "National Semiconductor")</f>
        <v>National Semiconductor</v>
      </c>
      <c r="C9320" s="6">
        <v>4797</v>
      </c>
      <c r="D9320" s="7">
        <v>12.83</v>
      </c>
    </row>
    <row r="9321" spans="1:5" x14ac:dyDescent="0.25">
      <c r="A9321" t="str">
        <f>HYPERLINK("https://www.773grp.com/globalSearch/DS99R104TSQX-NOPB/page-1", "DS99R104TSQX-NOPB")</f>
        <v>DS99R104TSQX-NOPB</v>
      </c>
      <c r="B9321" s="3" t="str">
        <f>HYPERLINK("https://www.773grp.com/manufacturer/national-semiconductor?pageNo=74", "National Semiconductor")</f>
        <v>National Semiconductor</v>
      </c>
      <c r="C9321" s="6">
        <v>15000</v>
      </c>
      <c r="D9321" s="7">
        <v>12.83</v>
      </c>
    </row>
    <row r="9322" spans="1:5" x14ac:dyDescent="0.25">
      <c r="A9322" t="str">
        <f>HYPERLINK("https://www.773grp.com/globalSearch/SCAN921025SLC/page-1", "SCAN921025SLC")</f>
        <v>SCAN921025SLC</v>
      </c>
      <c r="B9322" s="3" t="str">
        <f>HYPERLINK("https://www.773grp.com/manufacturer/national-semiconductor?pageNo=75", "National Semiconductor")</f>
        <v>National Semiconductor</v>
      </c>
      <c r="C9322" s="6">
        <v>530</v>
      </c>
      <c r="D9322" s="7">
        <v>12.83</v>
      </c>
      <c r="E9322" t="s">
        <v>21</v>
      </c>
    </row>
    <row r="9323" spans="1:5" x14ac:dyDescent="0.25">
      <c r="A9323" t="str">
        <f>HYPERLINK("https://www.773grp.com/globalSearch/DS99R103TSQ-NOPB/page-1", "DS99R103TSQ-NOPB")</f>
        <v>DS99R103TSQ-NOPB</v>
      </c>
      <c r="B9323" s="3" t="str">
        <f>HYPERLINK("https://www.773grp.com/manufacturer/national-semiconductor?pageNo=76", "National Semiconductor")</f>
        <v>National Semiconductor</v>
      </c>
      <c r="C9323" s="6">
        <v>435</v>
      </c>
      <c r="D9323" s="7">
        <v>12.83</v>
      </c>
    </row>
    <row r="9324" spans="1:5" x14ac:dyDescent="0.25">
      <c r="A9324" t="str">
        <f>HYPERLINK("https://www.773grp.com/globalSearch/DS99R104TSQ-NOPB/page-1", "DS99R104TSQ-NOPB")</f>
        <v>DS99R104TSQ-NOPB</v>
      </c>
      <c r="B9324" s="3" t="str">
        <f>HYPERLINK("https://www.773grp.com/manufacturer/national-semiconductor?pageNo=77", "National Semiconductor")</f>
        <v>National Semiconductor</v>
      </c>
      <c r="C9324" s="6">
        <v>366</v>
      </c>
      <c r="D9324" s="7">
        <v>12.83</v>
      </c>
    </row>
    <row r="9325" spans="1:5" x14ac:dyDescent="0.25">
      <c r="A9325" t="str">
        <f>HYPERLINK("https://www.773grp.com/globalSearch/LMP90099MH-NOPB/page-1", "LMP90099MH-NOPB")</f>
        <v>LMP90099MH-NOPB</v>
      </c>
      <c r="B9325" s="3" t="str">
        <f>HYPERLINK("https://www.773grp.com/manufacturer/national-semiconductor?pageNo=78", "National Semiconductor")</f>
        <v>National Semiconductor</v>
      </c>
      <c r="C9325" s="6">
        <v>964</v>
      </c>
      <c r="D9325" s="7">
        <v>12.83</v>
      </c>
    </row>
    <row r="9326" spans="1:5" x14ac:dyDescent="0.25">
      <c r="A9326" t="str">
        <f>HYPERLINK("https://www.773grp.com/globalSearch/9024PC/page-1", "9024PC")</f>
        <v>9024PC</v>
      </c>
      <c r="B9326" s="3" t="str">
        <f>HYPERLINK("https://www.773grp.com/manufacturer/national-semiconductor?pageNo=79", "National Semiconductor")</f>
        <v>National Semiconductor</v>
      </c>
      <c r="C9326" s="6">
        <v>3912</v>
      </c>
      <c r="D9326" s="7">
        <v>12.86</v>
      </c>
    </row>
    <row r="9327" spans="1:5" x14ac:dyDescent="0.25">
      <c r="A9327" t="str">
        <f>HYPERLINK("https://www.773grp.com/globalSearch/LM335H/page-1", "LM335H")</f>
        <v>LM335H</v>
      </c>
      <c r="B9327" s="3" t="str">
        <f>HYPERLINK("https://www.773grp.com/manufacturer/national-semiconductor?pageNo=80", "National Semiconductor")</f>
        <v>National Semiconductor</v>
      </c>
      <c r="C9327" s="6">
        <v>556</v>
      </c>
      <c r="D9327" s="7">
        <v>12.86</v>
      </c>
      <c r="E9327" t="s">
        <v>8</v>
      </c>
    </row>
    <row r="9328" spans="1:5" x14ac:dyDescent="0.25">
      <c r="A9328" t="str">
        <f>HYPERLINK("https://www.773grp.com/globalSearch/LM335H-NOPB/page-1", "LM335H-NOPB")</f>
        <v>LM335H-NOPB</v>
      </c>
      <c r="B9328" s="3" t="str">
        <f>HYPERLINK("https://www.773grp.com/manufacturer/national-semiconductor?pageNo=81", "National Semiconductor")</f>
        <v>National Semiconductor</v>
      </c>
      <c r="C9328" s="6">
        <v>672</v>
      </c>
      <c r="D9328" s="7">
        <v>12.86</v>
      </c>
      <c r="E9328" t="s">
        <v>8</v>
      </c>
    </row>
    <row r="9329" spans="1:5" x14ac:dyDescent="0.25">
      <c r="A9329" t="str">
        <f>HYPERLINK("https://www.773grp.com/globalSearch/CD74FCT843AM/page-1", "CD74FCT843AM")</f>
        <v>CD74FCT843AM</v>
      </c>
      <c r="B9329" s="3" t="str">
        <f>HYPERLINK("https://www.773grp.com/manufacturer/national-semiconductor?pageNo=82", "National Semiconductor")</f>
        <v>National Semiconductor</v>
      </c>
      <c r="C9329" s="6">
        <v>1650</v>
      </c>
      <c r="D9329" s="7">
        <v>12.86</v>
      </c>
    </row>
    <row r="9330" spans="1:5" x14ac:dyDescent="0.25">
      <c r="A9330" t="str">
        <f>HYPERLINK("https://www.773grp.com/globalSearch/DS90CF564MTDX-NOPB/page-1", "DS90CF564MTDX-NOPB")</f>
        <v>DS90CF564MTDX-NOPB</v>
      </c>
      <c r="B9330" s="3" t="str">
        <f>HYPERLINK("https://www.773grp.com/manufacturer/national-semiconductor?pageNo=83", "National Semiconductor")</f>
        <v>National Semiconductor</v>
      </c>
      <c r="C9330" s="6">
        <v>2000</v>
      </c>
      <c r="D9330" s="7">
        <v>12.86</v>
      </c>
    </row>
    <row r="9331" spans="1:5" x14ac:dyDescent="0.25">
      <c r="A9331" t="str">
        <f>HYPERLINK("https://www.773grp.com/globalSearch/LM335H/page-1", "LM335H")</f>
        <v>LM335H</v>
      </c>
      <c r="B9331" s="3" t="str">
        <f>HYPERLINK("https://www.773grp.com/manufacturer/national-semiconductor?pageNo=84", "National Semiconductor")</f>
        <v>National Semiconductor</v>
      </c>
      <c r="C9331" s="6">
        <v>384</v>
      </c>
      <c r="D9331" s="7">
        <v>12.86</v>
      </c>
      <c r="E9331" t="s">
        <v>8</v>
      </c>
    </row>
    <row r="9332" spans="1:5" x14ac:dyDescent="0.25">
      <c r="A9332" t="str">
        <f>HYPERLINK("https://www.773grp.com/globalSearch/LM335H-NOPB/page-1", "LM335H-NOPB")</f>
        <v>LM335H-NOPB</v>
      </c>
      <c r="B9332" s="3" t="str">
        <f>HYPERLINK("https://www.773grp.com/manufacturer/national-semiconductor?pageNo=85", "National Semiconductor")</f>
        <v>National Semiconductor</v>
      </c>
      <c r="C9332" s="6">
        <v>1426</v>
      </c>
      <c r="D9332" s="7">
        <v>12.86</v>
      </c>
      <c r="E9332" t="s">
        <v>8</v>
      </c>
    </row>
    <row r="9333" spans="1:5" x14ac:dyDescent="0.25">
      <c r="A9333" t="str">
        <f>HYPERLINK("https://www.773grp.com/globalSearch/54151FM/page-1", "54151FM")</f>
        <v>54151FM</v>
      </c>
      <c r="B9333" s="3" t="str">
        <f>HYPERLINK("https://www.773grp.com/manufacturer/national-semiconductor?pageNo=86", "National Semiconductor")</f>
        <v>National Semiconductor</v>
      </c>
      <c r="C9333" s="6">
        <v>595</v>
      </c>
      <c r="D9333" s="7">
        <v>12.88</v>
      </c>
    </row>
    <row r="9334" spans="1:5" x14ac:dyDescent="0.25">
      <c r="A9334" t="str">
        <f>HYPERLINK("https://www.773grp.com/globalSearch/54F139LM/page-1", "54F139LM")</f>
        <v>54F139LM</v>
      </c>
      <c r="B9334" s="3" t="str">
        <f>HYPERLINK("https://www.773grp.com/manufacturer/national-semiconductor?pageNo=87", "National Semiconductor")</f>
        <v>National Semiconductor</v>
      </c>
      <c r="C9334" s="6">
        <v>33</v>
      </c>
      <c r="D9334" s="7">
        <v>12.88</v>
      </c>
      <c r="E9334" t="s">
        <v>36</v>
      </c>
    </row>
    <row r="9335" spans="1:5" x14ac:dyDescent="0.25">
      <c r="A9335" t="str">
        <f>HYPERLINK("https://www.773grp.com/globalSearch/54F139LMQB/page-1", "54F139LMQB")</f>
        <v>54F139LMQB</v>
      </c>
      <c r="B9335" s="3" t="str">
        <f>HYPERLINK("https://www.773grp.com/manufacturer/national-semiconductor?pageNo=88", "National Semiconductor")</f>
        <v>National Semiconductor</v>
      </c>
      <c r="C9335" s="6">
        <v>2274</v>
      </c>
      <c r="D9335" s="7">
        <v>12.88</v>
      </c>
      <c r="E9335" t="s">
        <v>36</v>
      </c>
    </row>
    <row r="9336" spans="1:5" x14ac:dyDescent="0.25">
      <c r="A9336" t="str">
        <f>HYPERLINK("https://www.773grp.com/globalSearch/932DM/page-1", "932DM")</f>
        <v>932DM</v>
      </c>
      <c r="B9336" s="3" t="str">
        <f>HYPERLINK("https://www.773grp.com/manufacturer/national-semiconductor?pageNo=89", "National Semiconductor")</f>
        <v>National Semiconductor</v>
      </c>
      <c r="C9336" s="6">
        <v>1437</v>
      </c>
      <c r="D9336" s="7">
        <v>12.88</v>
      </c>
    </row>
    <row r="9337" spans="1:5" x14ac:dyDescent="0.25">
      <c r="A9337" t="str">
        <f>HYPERLINK("https://www.773grp.com/globalSearch/93S62DC/page-1", "93S62DC")</f>
        <v>93S62DC</v>
      </c>
      <c r="B9337" s="3" t="str">
        <f>HYPERLINK("https://www.773grp.com/manufacturer/national-semiconductor?pageNo=90", "National Semiconductor")</f>
        <v>National Semiconductor</v>
      </c>
      <c r="C9337" s="6">
        <v>89</v>
      </c>
      <c r="D9337" s="7">
        <v>12.88</v>
      </c>
    </row>
    <row r="9338" spans="1:5" x14ac:dyDescent="0.25">
      <c r="A9338" t="str">
        <f>HYPERLINK("https://www.773grp.com/globalSearch/962DM/page-1", "962DM")</f>
        <v>962DM</v>
      </c>
      <c r="B9338" s="3" t="str">
        <f>HYPERLINK("https://www.773grp.com/manufacturer/national-semiconductor?pageNo=91", "National Semiconductor")</f>
        <v>National Semiconductor</v>
      </c>
      <c r="C9338" s="6">
        <v>355</v>
      </c>
      <c r="D9338" s="7">
        <v>12.88</v>
      </c>
    </row>
    <row r="9339" spans="1:5" x14ac:dyDescent="0.25">
      <c r="A9339" t="str">
        <f>HYPERLINK("https://www.773grp.com/globalSearch/54S175FM/page-1", "54S175FM")</f>
        <v>54S175FM</v>
      </c>
      <c r="B9339" s="3" t="str">
        <f>HYPERLINK("https://www.773grp.com/manufacturer/national-semiconductor?pageNo=92", "National Semiconductor")</f>
        <v>National Semiconductor</v>
      </c>
      <c r="C9339" s="6">
        <v>10628</v>
      </c>
      <c r="D9339" s="7">
        <v>12.91</v>
      </c>
    </row>
    <row r="9340" spans="1:5" x14ac:dyDescent="0.25">
      <c r="A9340" t="str">
        <f>HYPERLINK("https://www.773grp.com/globalSearch/DM85L72N/page-1", "DM85L72N")</f>
        <v>DM85L72N</v>
      </c>
      <c r="B9340" s="3" t="str">
        <f>HYPERLINK("https://www.773grp.com/manufacturer/national-semiconductor?pageNo=93", "National Semiconductor")</f>
        <v>National Semiconductor</v>
      </c>
      <c r="C9340" s="6">
        <v>1853</v>
      </c>
      <c r="D9340" s="7">
        <v>12.91</v>
      </c>
    </row>
    <row r="9341" spans="1:5" x14ac:dyDescent="0.25">
      <c r="A9341" t="str">
        <f>HYPERLINK("https://www.773grp.com/globalSearch/LM193AH-NOPB/page-1", "LM193AH-NOPB")</f>
        <v>LM193AH-NOPB</v>
      </c>
      <c r="B9341" s="3" t="str">
        <f>HYPERLINK("https://www.773grp.com/manufacturer/national-semiconductor?pageNo=94", "National Semiconductor")</f>
        <v>National Semiconductor</v>
      </c>
      <c r="C9341" s="6">
        <v>380</v>
      </c>
      <c r="D9341" s="7">
        <v>12.91</v>
      </c>
      <c r="E9341" t="s">
        <v>9</v>
      </c>
    </row>
    <row r="9342" spans="1:5" x14ac:dyDescent="0.25">
      <c r="A9342" t="str">
        <f>HYPERLINK("https://www.773grp.com/globalSearch/LM285H-1.2/page-1", "LM285H-1.2")</f>
        <v>LM285H-1.2</v>
      </c>
      <c r="B9342" s="3" t="str">
        <f>HYPERLINK("https://www.773grp.com/manufacturer/national-semiconductor?pageNo=95", "National Semiconductor")</f>
        <v>National Semiconductor</v>
      </c>
      <c r="C9342" s="6">
        <v>1837</v>
      </c>
      <c r="D9342" s="7">
        <v>12.91</v>
      </c>
      <c r="E9342" t="s">
        <v>17</v>
      </c>
    </row>
    <row r="9343" spans="1:5" x14ac:dyDescent="0.25">
      <c r="A9343" t="str">
        <f>HYPERLINK("https://www.773grp.com/globalSearch/LM285H-1.2-NOPB/page-1", "LM285H-1.2-NOPB")</f>
        <v>LM285H-1.2-NOPB</v>
      </c>
      <c r="B9343" s="3" t="str">
        <f>HYPERLINK("https://www.773grp.com/manufacturer/national-semiconductor?pageNo=96", "National Semiconductor")</f>
        <v>National Semiconductor</v>
      </c>
      <c r="C9343" s="6">
        <v>955</v>
      </c>
      <c r="D9343" s="7">
        <v>12.91</v>
      </c>
      <c r="E9343" t="s">
        <v>17</v>
      </c>
    </row>
    <row r="9344" spans="1:5" x14ac:dyDescent="0.25">
      <c r="A9344" t="str">
        <f>HYPERLINK("https://www.773grp.com/globalSearch/DS90C387RVJDX-NOPB/page-1", "DS90C387RVJDX-NOPB")</f>
        <v>DS90C387RVJDX-NOPB</v>
      </c>
      <c r="B9344" s="3" t="str">
        <f>HYPERLINK("https://www.773grp.com/manufacturer/national-semiconductor?pageNo=97", "National Semiconductor")</f>
        <v>National Semiconductor</v>
      </c>
      <c r="C9344" s="6">
        <v>6000</v>
      </c>
      <c r="D9344" s="7">
        <v>12.91</v>
      </c>
    </row>
    <row r="9345" spans="1:5" x14ac:dyDescent="0.25">
      <c r="A9345" t="str">
        <f>HYPERLINK("https://www.773grp.com/globalSearch/LM193AH-NOPB/page-1", "LM193AH-NOPB")</f>
        <v>LM193AH-NOPB</v>
      </c>
      <c r="B9345" s="3" t="str">
        <f>HYPERLINK("https://www.773grp.com/manufacturer/national-semiconductor?pageNo=98", "National Semiconductor")</f>
        <v>National Semiconductor</v>
      </c>
      <c r="C9345" s="6">
        <v>30</v>
      </c>
      <c r="D9345" s="7">
        <v>12.91</v>
      </c>
      <c r="E9345" t="s">
        <v>9</v>
      </c>
    </row>
    <row r="9346" spans="1:5" x14ac:dyDescent="0.25">
      <c r="A9346" t="str">
        <f>HYPERLINK("https://www.773grp.com/globalSearch/LM285H-1.2/page-1", "LM285H-1.2")</f>
        <v>LM285H-1.2</v>
      </c>
      <c r="B9346" s="3" t="str">
        <f>HYPERLINK("https://www.773grp.com/manufacturer/national-semiconductor?pageNo=99", "National Semiconductor")</f>
        <v>National Semiconductor</v>
      </c>
      <c r="C9346" s="6">
        <v>4704</v>
      </c>
      <c r="D9346" s="7">
        <v>12.91</v>
      </c>
      <c r="E9346" t="s">
        <v>17</v>
      </c>
    </row>
    <row r="9347" spans="1:5" x14ac:dyDescent="0.25">
      <c r="A9347" t="str">
        <f>HYPERLINK("https://www.773grp.com/globalSearch/LMP90100MHE-NOPB/page-1", "LMP90100MHE-NOPB")</f>
        <v>LMP90100MHE-NOPB</v>
      </c>
      <c r="B9347" s="3" t="str">
        <f>HYPERLINK("https://www.773grp.com/manufacturer/national-semiconductor?pageNo=100", "National Semiconductor")</f>
        <v>National Semiconductor</v>
      </c>
      <c r="C9347" s="6">
        <v>554</v>
      </c>
      <c r="D9347" s="7">
        <v>12.94</v>
      </c>
      <c r="E9347" t="s">
        <v>40</v>
      </c>
    </row>
    <row r="9348" spans="1:5" x14ac:dyDescent="0.25">
      <c r="A9348" t="str">
        <f>HYPERLINK("https://www.773grp.com/globalSearch/LMP90100MHE-NOPB/page-1", "LMP90100MHE-NOPB")</f>
        <v>LMP90100MHE-NOPB</v>
      </c>
      <c r="B9348" s="3" t="str">
        <f>HYPERLINK("https://www.773grp.com/manufacturer/national-semiconductor?pageNo=101", "National Semiconductor")</f>
        <v>National Semiconductor</v>
      </c>
      <c r="C9348" s="6">
        <v>117</v>
      </c>
      <c r="D9348" s="7">
        <v>12.94</v>
      </c>
      <c r="E9348" t="s">
        <v>40</v>
      </c>
    </row>
    <row r="9349" spans="1:5" x14ac:dyDescent="0.25">
      <c r="A9349" t="str">
        <f>HYPERLINK("https://www.773grp.com/globalSearch/100123DCQR/page-1", "100123DCQR")</f>
        <v>100123DCQR</v>
      </c>
      <c r="B9349" s="3" t="str">
        <f>HYPERLINK("https://www.773grp.com/manufacturer/national-semiconductor?pageNo=102", "National Semiconductor")</f>
        <v>National Semiconductor</v>
      </c>
      <c r="C9349" s="6">
        <v>3165</v>
      </c>
      <c r="D9349" s="7">
        <v>12.96</v>
      </c>
      <c r="E9349" t="s">
        <v>14</v>
      </c>
    </row>
    <row r="9350" spans="1:5" x14ac:dyDescent="0.25">
      <c r="A9350" t="str">
        <f>HYPERLINK("https://www.773grp.com/globalSearch/DS14C535MSA/page-1", "DS14C535MSA")</f>
        <v>DS14C535MSA</v>
      </c>
      <c r="B9350" s="3" t="str">
        <f>HYPERLINK("https://www.773grp.com/manufacturer/national-semiconductor?pageNo=103", "National Semiconductor")</f>
        <v>National Semiconductor</v>
      </c>
      <c r="C9350" s="6">
        <v>491</v>
      </c>
      <c r="D9350" s="7">
        <v>12.96</v>
      </c>
      <c r="E9350" t="s">
        <v>21</v>
      </c>
    </row>
    <row r="9351" spans="1:5" x14ac:dyDescent="0.25">
      <c r="A9351" t="str">
        <f>HYPERLINK("https://www.773grp.com/globalSearch/LP3853ES-1.8/page-1", "LP3853ES-1.8")</f>
        <v>LP3853ES-1.8</v>
      </c>
      <c r="B9351" s="3" t="str">
        <f>HYPERLINK("https://www.773grp.com/manufacturer/national-semiconductor?pageNo=104", "National Semiconductor")</f>
        <v>National Semiconductor</v>
      </c>
      <c r="C9351" s="6">
        <v>585</v>
      </c>
      <c r="D9351" s="7">
        <v>12.96</v>
      </c>
      <c r="E9351" t="s">
        <v>19</v>
      </c>
    </row>
    <row r="9352" spans="1:5" x14ac:dyDescent="0.25">
      <c r="A9352" t="str">
        <f>HYPERLINK("https://www.773grp.com/globalSearch/LP3853ES-2.5/page-1", "LP3853ES-2.5")</f>
        <v>LP3853ES-2.5</v>
      </c>
      <c r="B9352" s="3" t="str">
        <f>HYPERLINK("https://www.773grp.com/manufacturer/national-semiconductor?pageNo=105", "National Semiconductor")</f>
        <v>National Semiconductor</v>
      </c>
      <c r="C9352" s="6">
        <v>80</v>
      </c>
      <c r="D9352" s="7">
        <v>12.96</v>
      </c>
      <c r="E9352" t="s">
        <v>19</v>
      </c>
    </row>
    <row r="9353" spans="1:5" x14ac:dyDescent="0.25">
      <c r="A9353" t="str">
        <f>HYPERLINK("https://www.773grp.com/globalSearch/LP3853ES-3.3/page-1", "LP3853ES-3.3")</f>
        <v>LP3853ES-3.3</v>
      </c>
      <c r="B9353" s="3" t="str">
        <f>HYPERLINK("https://www.773grp.com/manufacturer/national-semiconductor?pageNo=106", "National Semiconductor")</f>
        <v>National Semiconductor</v>
      </c>
      <c r="C9353" s="6">
        <v>191</v>
      </c>
      <c r="D9353" s="7">
        <v>12.96</v>
      </c>
      <c r="E9353" t="s">
        <v>19</v>
      </c>
    </row>
    <row r="9354" spans="1:5" x14ac:dyDescent="0.25">
      <c r="A9354" t="str">
        <f>HYPERLINK("https://www.773grp.com/globalSearch/LP3853ES-2.5/page-1", "LP3853ES-2.5")</f>
        <v>LP3853ES-2.5</v>
      </c>
      <c r="B9354" s="3" t="str">
        <f>HYPERLINK("https://www.773grp.com/manufacturer/national-semiconductor?pageNo=107", "National Semiconductor")</f>
        <v>National Semiconductor</v>
      </c>
      <c r="C9354" s="6">
        <v>123</v>
      </c>
      <c r="D9354" s="7">
        <v>12.96</v>
      </c>
      <c r="E9354" t="s">
        <v>19</v>
      </c>
    </row>
    <row r="9355" spans="1:5" x14ac:dyDescent="0.25">
      <c r="A9355" t="str">
        <f>HYPERLINK("https://www.773grp.com/globalSearch/54LS169DM/page-1", "54LS169DM")</f>
        <v>54LS169DM</v>
      </c>
      <c r="B9355" s="3" t="str">
        <f>HYPERLINK("https://www.773grp.com/manufacturer/national-semiconductor?pageNo=108", "National Semiconductor")</f>
        <v>National Semiconductor</v>
      </c>
      <c r="C9355" s="6">
        <v>2336</v>
      </c>
      <c r="D9355" s="7">
        <v>13</v>
      </c>
    </row>
    <row r="9356" spans="1:5" x14ac:dyDescent="0.25">
      <c r="A9356" t="str">
        <f>HYPERLINK("https://www.773grp.com/globalSearch/54LS85FMQB/page-1", "54LS85FMQB")</f>
        <v>54LS85FMQB</v>
      </c>
      <c r="B9356" s="3" t="str">
        <f>HYPERLINK("https://www.773grp.com/manufacturer/national-semiconductor?pageNo=109", "National Semiconductor")</f>
        <v>National Semiconductor</v>
      </c>
      <c r="C9356" s="6">
        <v>1953</v>
      </c>
      <c r="D9356" s="7">
        <v>13</v>
      </c>
      <c r="E9356" t="s">
        <v>43</v>
      </c>
    </row>
    <row r="9357" spans="1:5" x14ac:dyDescent="0.25">
      <c r="A9357" t="str">
        <f>HYPERLINK("https://www.773grp.com/globalSearch/DM54LS138J-883/page-1", "DM54LS138J-883")</f>
        <v>DM54LS138J-883</v>
      </c>
      <c r="B9357" s="3" t="str">
        <f>HYPERLINK("https://www.773grp.com/manufacturer/national-semiconductor?pageNo=110", "National Semiconductor")</f>
        <v>National Semiconductor</v>
      </c>
      <c r="C9357" s="6">
        <v>75</v>
      </c>
      <c r="D9357" s="7">
        <v>13</v>
      </c>
      <c r="E9357" t="s">
        <v>36</v>
      </c>
    </row>
    <row r="9358" spans="1:5" x14ac:dyDescent="0.25">
      <c r="A9358" t="str">
        <f>HYPERLINK("https://www.773grp.com/globalSearch/DM54LS257J-883/page-1", "DM54LS257J-883")</f>
        <v>DM54LS257J-883</v>
      </c>
      <c r="B9358" s="3" t="str">
        <f>HYPERLINK("https://www.773grp.com/manufacturer/national-semiconductor?pageNo=111", "National Semiconductor")</f>
        <v>National Semiconductor</v>
      </c>
      <c r="C9358" s="6">
        <v>325</v>
      </c>
      <c r="D9358" s="7">
        <v>13</v>
      </c>
    </row>
    <row r="9359" spans="1:5" x14ac:dyDescent="0.25">
      <c r="A9359" t="str">
        <f>HYPERLINK("https://www.773grp.com/globalSearch/DM54S139J-883/page-1", "DM54S139J-883")</f>
        <v>DM54S139J-883</v>
      </c>
      <c r="B9359" s="3" t="str">
        <f>HYPERLINK("https://www.773grp.com/manufacturer/national-semiconductor?pageNo=112", "National Semiconductor")</f>
        <v>National Semiconductor</v>
      </c>
      <c r="C9359" s="6">
        <v>486</v>
      </c>
      <c r="D9359" s="7">
        <v>13</v>
      </c>
      <c r="E9359" t="s">
        <v>36</v>
      </c>
    </row>
    <row r="9360" spans="1:5" x14ac:dyDescent="0.25">
      <c r="A9360" t="str">
        <f>HYPERLINK("https://www.773grp.com/globalSearch/DM54S194J-883/page-1", "DM54S194J-883")</f>
        <v>DM54S194J-883</v>
      </c>
      <c r="B9360" s="3" t="str">
        <f>HYPERLINK("https://www.773grp.com/manufacturer/national-semiconductor?pageNo=113", "National Semiconductor")</f>
        <v>National Semiconductor</v>
      </c>
      <c r="C9360" s="6">
        <v>951</v>
      </c>
      <c r="D9360" s="7">
        <v>13</v>
      </c>
      <c r="E9360" t="s">
        <v>32</v>
      </c>
    </row>
    <row r="9361" spans="1:5" x14ac:dyDescent="0.25">
      <c r="A9361" t="str">
        <f>HYPERLINK("https://www.773grp.com/globalSearch/DM54S257J-MIL/page-1", "DM54S257J-MIL")</f>
        <v>DM54S257J-MIL</v>
      </c>
      <c r="B9361" s="3" t="str">
        <f>HYPERLINK("https://www.773grp.com/manufacturer/national-semiconductor?pageNo=114", "National Semiconductor")</f>
        <v>National Semiconductor</v>
      </c>
      <c r="C9361" s="6">
        <v>513</v>
      </c>
      <c r="D9361" s="7">
        <v>13</v>
      </c>
    </row>
    <row r="9362" spans="1:5" x14ac:dyDescent="0.25">
      <c r="A9362" t="str">
        <f>HYPERLINK("https://www.773grp.com/globalSearch/DM7020W-883/page-1", "DM7020W-883")</f>
        <v>DM7020W-883</v>
      </c>
      <c r="B9362" s="3" t="str">
        <f>HYPERLINK("https://www.773grp.com/manufacturer/national-semiconductor?pageNo=115", "National Semiconductor")</f>
        <v>National Semiconductor</v>
      </c>
      <c r="C9362" s="6">
        <v>137</v>
      </c>
      <c r="D9362" s="7">
        <v>13</v>
      </c>
    </row>
    <row r="9363" spans="1:5" x14ac:dyDescent="0.25">
      <c r="A9363" t="str">
        <f>HYPERLINK("https://www.773grp.com/globalSearch/DM7038W-883/page-1", "DM7038W-883")</f>
        <v>DM7038W-883</v>
      </c>
      <c r="B9363" s="3" t="str">
        <f>HYPERLINK("https://www.773grp.com/manufacturer/national-semiconductor?pageNo=116", "National Semiconductor")</f>
        <v>National Semiconductor</v>
      </c>
      <c r="C9363" s="6">
        <v>57</v>
      </c>
      <c r="D9363" s="7">
        <v>13</v>
      </c>
    </row>
    <row r="9364" spans="1:5" x14ac:dyDescent="0.25">
      <c r="A9364" t="str">
        <f>HYPERLINK("https://www.773grp.com/globalSearch/DM7543J-883/page-1", "DM7543J-883")</f>
        <v>DM7543J-883</v>
      </c>
      <c r="B9364" s="3" t="str">
        <f>HYPERLINK("https://www.773grp.com/manufacturer/national-semiconductor?pageNo=117", "National Semiconductor")</f>
        <v>National Semiconductor</v>
      </c>
      <c r="C9364" s="6">
        <v>2594</v>
      </c>
      <c r="D9364" s="7">
        <v>13</v>
      </c>
    </row>
    <row r="9365" spans="1:5" x14ac:dyDescent="0.25">
      <c r="A9365" t="str">
        <f>HYPERLINK("https://www.773grp.com/globalSearch/MM54HC10W-883/page-1", "MM54HC10W-883")</f>
        <v>MM54HC10W-883</v>
      </c>
      <c r="B9365" s="3" t="str">
        <f>HYPERLINK("https://www.773grp.com/manufacturer/national-semiconductor?pageNo=118", "National Semiconductor")</f>
        <v>National Semiconductor</v>
      </c>
      <c r="C9365" s="6">
        <v>61</v>
      </c>
      <c r="D9365" s="7">
        <v>13</v>
      </c>
    </row>
    <row r="9366" spans="1:5" x14ac:dyDescent="0.25">
      <c r="A9366" t="str">
        <f>HYPERLINK("https://www.773grp.com/globalSearch/4518BDC/page-1", "4518BDC")</f>
        <v>4518BDC</v>
      </c>
      <c r="B9366" s="3" t="str">
        <f>HYPERLINK("https://www.773grp.com/manufacturer/national-semiconductor?pageNo=119", "National Semiconductor")</f>
        <v>National Semiconductor</v>
      </c>
      <c r="C9366" s="6">
        <v>3518</v>
      </c>
      <c r="D9366" s="7">
        <v>13.03</v>
      </c>
    </row>
    <row r="9367" spans="1:5" x14ac:dyDescent="0.25">
      <c r="A9367" t="str">
        <f>HYPERLINK("https://www.773grp.com/globalSearch/74199PC/page-1", "74199PC")</f>
        <v>74199PC</v>
      </c>
      <c r="B9367" s="3" t="str">
        <f>HYPERLINK("https://www.773grp.com/manufacturer/national-semiconductor?pageNo=120", "National Semiconductor")</f>
        <v>National Semiconductor</v>
      </c>
      <c r="C9367" s="6">
        <v>2516</v>
      </c>
      <c r="D9367" s="7">
        <v>13.03</v>
      </c>
    </row>
    <row r="9368" spans="1:5" x14ac:dyDescent="0.25">
      <c r="A9368" t="str">
        <f>HYPERLINK("https://www.773grp.com/globalSearch/9309DMQB/page-1", "9309DMQB")</f>
        <v>9309DMQB</v>
      </c>
      <c r="B9368" s="3" t="str">
        <f>HYPERLINK("https://www.773grp.com/manufacturer/national-semiconductor?pageNo=121", "National Semiconductor")</f>
        <v>National Semiconductor</v>
      </c>
      <c r="C9368" s="6">
        <v>56</v>
      </c>
      <c r="D9368" s="7">
        <v>13.03</v>
      </c>
      <c r="E9368" t="s">
        <v>20</v>
      </c>
    </row>
    <row r="9369" spans="1:5" x14ac:dyDescent="0.25">
      <c r="A9369" t="str">
        <f>HYPERLINK("https://www.773grp.com/globalSearch/930DM/page-1", "930DM")</f>
        <v>930DM</v>
      </c>
      <c r="B9369" s="3" t="str">
        <f>HYPERLINK("https://www.773grp.com/manufacturer/national-semiconductor?pageNo=122", "National Semiconductor")</f>
        <v>National Semiconductor</v>
      </c>
      <c r="C9369" s="6">
        <v>594</v>
      </c>
      <c r="D9369" s="7">
        <v>13.03</v>
      </c>
    </row>
    <row r="9370" spans="1:5" x14ac:dyDescent="0.25">
      <c r="A9370" t="str">
        <f>HYPERLINK("https://www.773grp.com/globalSearch/CLC415AJE/page-1", "CLC415AJE")</f>
        <v>CLC415AJE</v>
      </c>
      <c r="B9370" s="3" t="str">
        <f>HYPERLINK("https://www.773grp.com/manufacturer/national-semiconductor?pageNo=123", "National Semiconductor")</f>
        <v>National Semiconductor</v>
      </c>
      <c r="C9370" s="6">
        <v>8123</v>
      </c>
      <c r="D9370" s="7">
        <v>13.03</v>
      </c>
      <c r="E9370" t="s">
        <v>18</v>
      </c>
    </row>
    <row r="9371" spans="1:5" x14ac:dyDescent="0.25">
      <c r="A9371" t="str">
        <f>HYPERLINK("https://www.773grp.com/globalSearch/CLC415AJE-TR13/page-1", "CLC415AJE-TR13")</f>
        <v>CLC415AJE-TR13</v>
      </c>
      <c r="B9371" s="3" t="str">
        <f>HYPERLINK("https://www.773grp.com/manufacturer/national-semiconductor?pageNo=124", "National Semiconductor")</f>
        <v>National Semiconductor</v>
      </c>
      <c r="C9371" s="6">
        <v>3501</v>
      </c>
      <c r="D9371" s="7">
        <v>13.03</v>
      </c>
      <c r="E9371" t="s">
        <v>18</v>
      </c>
    </row>
    <row r="9372" spans="1:5" x14ac:dyDescent="0.25">
      <c r="A9372" t="str">
        <f>HYPERLINK("https://www.773grp.com/globalSearch/CLC415AJP/page-1", "CLC415AJP")</f>
        <v>CLC415AJP</v>
      </c>
      <c r="B9372" s="3" t="str">
        <f>HYPERLINK("https://www.773grp.com/manufacturer/national-semiconductor?pageNo=125", "National Semiconductor")</f>
        <v>National Semiconductor</v>
      </c>
      <c r="C9372" s="6">
        <v>5503</v>
      </c>
      <c r="D9372" s="7">
        <v>13.03</v>
      </c>
      <c r="E9372" t="s">
        <v>18</v>
      </c>
    </row>
    <row r="9373" spans="1:5" x14ac:dyDescent="0.25">
      <c r="A9373" t="str">
        <f>HYPERLINK("https://www.773grp.com/globalSearch/MM54C173J-883/page-1", "MM54C173J-883")</f>
        <v>MM54C173J-883</v>
      </c>
      <c r="B9373" s="3" t="str">
        <f>HYPERLINK("https://www.773grp.com/manufacturer/national-semiconductor?pageNo=126", "National Semiconductor")</f>
        <v>National Semiconductor</v>
      </c>
      <c r="C9373" s="6">
        <v>2643</v>
      </c>
      <c r="D9373" s="7">
        <v>13.03</v>
      </c>
    </row>
    <row r="9374" spans="1:5" x14ac:dyDescent="0.25">
      <c r="A9374" t="str">
        <f>HYPERLINK("https://www.773grp.com/globalSearch/MM54C173J-883C/page-1", "MM54C173J-883C")</f>
        <v>MM54C173J-883C</v>
      </c>
      <c r="B9374" s="3" t="str">
        <f>HYPERLINK("https://www.773grp.com/manufacturer/national-semiconductor?pageNo=127", "National Semiconductor")</f>
        <v>National Semiconductor</v>
      </c>
      <c r="C9374" s="6">
        <v>2036</v>
      </c>
      <c r="D9374" s="7">
        <v>13.03</v>
      </c>
    </row>
    <row r="9375" spans="1:5" x14ac:dyDescent="0.25">
      <c r="A9375" t="str">
        <f>HYPERLINK("https://www.773grp.com/globalSearch/PC16550DV/page-1", "PC16550DV")</f>
        <v>PC16550DV</v>
      </c>
      <c r="B9375" s="3" t="str">
        <f>HYPERLINK("https://www.773grp.com/manufacturer/national-semiconductor?pageNo=128", "National Semiconductor")</f>
        <v>National Semiconductor</v>
      </c>
      <c r="C9375" s="6">
        <v>9524</v>
      </c>
      <c r="D9375" s="7">
        <v>13.03</v>
      </c>
      <c r="E9375" t="s">
        <v>71</v>
      </c>
    </row>
    <row r="9376" spans="1:5" x14ac:dyDescent="0.25">
      <c r="A9376" t="str">
        <f>HYPERLINK("https://www.773grp.com/globalSearch/TLV5639IDW/page-1", "TLV5639IDW")</f>
        <v>TLV5639IDW</v>
      </c>
      <c r="B9376" s="3" t="str">
        <f>HYPERLINK("https://www.773grp.com/manufacturer/national-semiconductor?pageNo=129", "National Semiconductor")</f>
        <v>National Semiconductor</v>
      </c>
      <c r="C9376" s="6">
        <v>50</v>
      </c>
      <c r="D9376" s="7">
        <v>13.03</v>
      </c>
    </row>
    <row r="9377" spans="1:5" x14ac:dyDescent="0.25">
      <c r="A9377" t="str">
        <f>HYPERLINK("https://www.773grp.com/globalSearch/DS90C124IVS-NOPB/page-1", "DS90C124IVS-NOPB")</f>
        <v>DS90C124IVS-NOPB</v>
      </c>
      <c r="B9377" s="3" t="str">
        <f>HYPERLINK("https://www.773grp.com/manufacturer/national-semiconductor?pageNo=130", "National Semiconductor")</f>
        <v>National Semiconductor</v>
      </c>
      <c r="C9377" s="6">
        <v>583</v>
      </c>
      <c r="D9377" s="7">
        <v>13.05</v>
      </c>
    </row>
    <row r="9378" spans="1:5" x14ac:dyDescent="0.25">
      <c r="A9378" t="str">
        <f>HYPERLINK("https://www.773grp.com/globalSearch/DS90C124IVSX-NOPB/page-1", "DS90C124IVSX-NOPB")</f>
        <v>DS90C124IVSX-NOPB</v>
      </c>
      <c r="B9378" s="3" t="str">
        <f>HYPERLINK("https://www.773grp.com/manufacturer/national-semiconductor?pageNo=131", "National Semiconductor")</f>
        <v>National Semiconductor</v>
      </c>
      <c r="C9378" s="6">
        <v>1000</v>
      </c>
      <c r="D9378" s="7">
        <v>13.05</v>
      </c>
    </row>
    <row r="9379" spans="1:5" x14ac:dyDescent="0.25">
      <c r="A9379" t="str">
        <f>HYPERLINK("https://www.773grp.com/globalSearch/DS90C124QVS-NOPB/page-1", "DS90C124QVS-NOPB")</f>
        <v>DS90C124QVS-NOPB</v>
      </c>
      <c r="B9379" s="3" t="str">
        <f>HYPERLINK("https://www.773grp.com/manufacturer/national-semiconductor?pageNo=132", "National Semiconductor")</f>
        <v>National Semiconductor</v>
      </c>
      <c r="C9379" s="6">
        <v>4874</v>
      </c>
      <c r="D9379" s="7">
        <v>13.05</v>
      </c>
    </row>
    <row r="9380" spans="1:5" x14ac:dyDescent="0.25">
      <c r="A9380" t="str">
        <f>HYPERLINK("https://www.773grp.com/globalSearch/DS90C241IVS-NOPB/page-1", "DS90C241IVS-NOPB")</f>
        <v>DS90C241IVS-NOPB</v>
      </c>
      <c r="B9380" s="3" t="str">
        <f>HYPERLINK("https://www.773grp.com/manufacturer/national-semiconductor?pageNo=133", "National Semiconductor")</f>
        <v>National Semiconductor</v>
      </c>
      <c r="C9380" s="6">
        <v>90</v>
      </c>
      <c r="D9380" s="7">
        <v>13.05</v>
      </c>
    </row>
    <row r="9381" spans="1:5" x14ac:dyDescent="0.25">
      <c r="A9381" t="str">
        <f>HYPERLINK("https://www.773grp.com/globalSearch/DS90C241IVSX-NOPB/page-1", "DS90C241IVSX-NOPB")</f>
        <v>DS90C241IVSX-NOPB</v>
      </c>
      <c r="B9381" s="3" t="str">
        <f>HYPERLINK("https://www.773grp.com/manufacturer/national-semiconductor?pageNo=134", "National Semiconductor")</f>
        <v>National Semiconductor</v>
      </c>
      <c r="C9381" s="6">
        <v>1000</v>
      </c>
      <c r="D9381" s="7">
        <v>13.05</v>
      </c>
    </row>
    <row r="9382" spans="1:5" x14ac:dyDescent="0.25">
      <c r="A9382" t="str">
        <f>HYPERLINK("https://www.773grp.com/globalSearch/DS90C241QVS-NOPB/page-1", "DS90C241QVS-NOPB")</f>
        <v>DS90C241QVS-NOPB</v>
      </c>
      <c r="B9382" s="3" t="str">
        <f>HYPERLINK("https://www.773grp.com/manufacturer/national-semiconductor?pageNo=1", "National Semiconductor")</f>
        <v>National Semiconductor</v>
      </c>
      <c r="C9382" s="6">
        <v>985</v>
      </c>
      <c r="D9382" s="7">
        <v>13.05</v>
      </c>
    </row>
    <row r="9383" spans="1:5" x14ac:dyDescent="0.25">
      <c r="A9383" t="str">
        <f>HYPERLINK("https://www.773grp.com/globalSearch/DS90C124IVS-NOPB/page-1", "DS90C124IVS-NOPB")</f>
        <v>DS90C124IVS-NOPB</v>
      </c>
      <c r="B9383" s="3" t="str">
        <f>HYPERLINK("https://www.773grp.com/manufacturer/national-semiconductor?pageNo=2", "National Semiconductor")</f>
        <v>National Semiconductor</v>
      </c>
      <c r="C9383" s="6">
        <v>1229</v>
      </c>
      <c r="D9383" s="7">
        <v>13.05</v>
      </c>
    </row>
    <row r="9384" spans="1:5" x14ac:dyDescent="0.25">
      <c r="A9384" t="str">
        <f>HYPERLINK("https://www.773grp.com/globalSearch/DS90C124QVS-NOPB/page-1", "DS90C124QVS-NOPB")</f>
        <v>DS90C124QVS-NOPB</v>
      </c>
      <c r="B9384" s="3" t="str">
        <f>HYPERLINK("https://www.773grp.com/manufacturer/national-semiconductor?pageNo=3", "National Semiconductor")</f>
        <v>National Semiconductor</v>
      </c>
      <c r="C9384" s="6">
        <v>688</v>
      </c>
      <c r="D9384" s="7">
        <v>13.05</v>
      </c>
    </row>
    <row r="9385" spans="1:5" x14ac:dyDescent="0.25">
      <c r="A9385" t="str">
        <f>HYPERLINK("https://www.773grp.com/globalSearch/DS90C241IVS-NOPB/page-1", "DS90C241IVS-NOPB")</f>
        <v>DS90C241IVS-NOPB</v>
      </c>
      <c r="B9385" s="3" t="str">
        <f>HYPERLINK("https://www.773grp.com/manufacturer/national-semiconductor?pageNo=4", "National Semiconductor")</f>
        <v>National Semiconductor</v>
      </c>
      <c r="C9385" s="6">
        <v>239</v>
      </c>
      <c r="D9385" s="7">
        <v>13.05</v>
      </c>
    </row>
    <row r="9386" spans="1:5" x14ac:dyDescent="0.25">
      <c r="A9386" t="str">
        <f>HYPERLINK("https://www.773grp.com/globalSearch/DS90C241QVS-NOPB/page-1", "DS90C241QVS-NOPB")</f>
        <v>DS90C241QVS-NOPB</v>
      </c>
      <c r="B9386" s="3" t="str">
        <f>HYPERLINK("https://www.773grp.com/manufacturer/national-semiconductor?pageNo=5", "National Semiconductor")</f>
        <v>National Semiconductor</v>
      </c>
      <c r="C9386" s="6">
        <v>1363</v>
      </c>
      <c r="D9386" s="7">
        <v>13.05</v>
      </c>
    </row>
    <row r="9387" spans="1:5" x14ac:dyDescent="0.25">
      <c r="A9387" t="str">
        <f>HYPERLINK("https://www.773grp.com/globalSearch/54F132DM/page-1", "54F132DM")</f>
        <v>54F132DM</v>
      </c>
      <c r="B9387" s="3" t="str">
        <f>HYPERLINK("https://www.773grp.com/manufacturer/national-semiconductor?pageNo=6", "National Semiconductor")</f>
        <v>National Semiconductor</v>
      </c>
      <c r="C9387" s="6">
        <v>2109</v>
      </c>
      <c r="D9387" s="7">
        <v>13.08</v>
      </c>
      <c r="E9387" t="s">
        <v>31</v>
      </c>
    </row>
    <row r="9388" spans="1:5" x14ac:dyDescent="0.25">
      <c r="A9388" t="str">
        <f>HYPERLINK("https://www.773grp.com/globalSearch/54LS153LM/page-1", "54LS153LM")</f>
        <v>54LS153LM</v>
      </c>
      <c r="B9388" s="3" t="str">
        <f>HYPERLINK("https://www.773grp.com/manufacturer/national-semiconductor?pageNo=7", "National Semiconductor")</f>
        <v>National Semiconductor</v>
      </c>
      <c r="C9388" s="6">
        <v>561</v>
      </c>
      <c r="D9388" s="7">
        <v>13.08</v>
      </c>
    </row>
    <row r="9389" spans="1:5" x14ac:dyDescent="0.25">
      <c r="A9389" t="str">
        <f>HYPERLINK("https://www.773grp.com/globalSearch/54LS157LM/page-1", "54LS157LM")</f>
        <v>54LS157LM</v>
      </c>
      <c r="B9389" s="3" t="str">
        <f>HYPERLINK("https://www.773grp.com/manufacturer/national-semiconductor?pageNo=8", "National Semiconductor")</f>
        <v>National Semiconductor</v>
      </c>
      <c r="C9389" s="6">
        <v>81</v>
      </c>
      <c r="D9389" s="7">
        <v>13.08</v>
      </c>
    </row>
    <row r="9390" spans="1:5" x14ac:dyDescent="0.25">
      <c r="A9390" t="str">
        <f>HYPERLINK("https://www.773grp.com/globalSearch/COP8SAC728M8-NOPB/page-1", "COP8SAC728M8-NOPB")</f>
        <v>COP8SAC728M8-NOPB</v>
      </c>
      <c r="B9390" s="3" t="str">
        <f>HYPERLINK("https://www.773grp.com/manufacturer/national-semiconductor?pageNo=9", "National Semiconductor")</f>
        <v>National Semiconductor</v>
      </c>
      <c r="C9390" s="6">
        <v>2194</v>
      </c>
      <c r="D9390" s="7">
        <v>13.08</v>
      </c>
      <c r="E9390" t="s">
        <v>52</v>
      </c>
    </row>
    <row r="9391" spans="1:5" x14ac:dyDescent="0.25">
      <c r="A9391" t="str">
        <f>HYPERLINK("https://www.773grp.com/globalSearch/COP8SAC728M8-NOPB/page-1", "COP8SAC728M8-NOPB")</f>
        <v>COP8SAC728M8-NOPB</v>
      </c>
      <c r="B9391" s="3" t="str">
        <f>HYPERLINK("https://www.773grp.com/manufacturer/national-semiconductor?pageNo=10", "National Semiconductor")</f>
        <v>National Semiconductor</v>
      </c>
      <c r="C9391" s="6">
        <v>5377</v>
      </c>
      <c r="D9391" s="7">
        <v>13.08</v>
      </c>
      <c r="E9391" t="s">
        <v>52</v>
      </c>
    </row>
    <row r="9392" spans="1:5" x14ac:dyDescent="0.25">
      <c r="A9392" t="str">
        <f>HYPERLINK("https://www.773grp.com/globalSearch/DS32ELX0124SQ-NOPB/page-1", "DS32ELX0124SQ-NOPB")</f>
        <v>DS32ELX0124SQ-NOPB</v>
      </c>
      <c r="B9392" s="3" t="str">
        <f>HYPERLINK("https://www.773grp.com/manufacturer/national-semiconductor?pageNo=11", "National Semiconductor")</f>
        <v>National Semiconductor</v>
      </c>
      <c r="C9392" s="6">
        <v>1000</v>
      </c>
      <c r="D9392" s="7">
        <v>13.08</v>
      </c>
    </row>
    <row r="9393" spans="1:5" x14ac:dyDescent="0.25">
      <c r="A9393" t="str">
        <f>HYPERLINK("https://www.773grp.com/globalSearch/DS32ELX0421SQX-NOPB/page-1", "DS32ELX0421SQX-NOPB")</f>
        <v>DS32ELX0421SQX-NOPB</v>
      </c>
      <c r="B9393" s="3" t="str">
        <f>HYPERLINK("https://www.773grp.com/manufacturer/national-semiconductor?pageNo=12", "National Semiconductor")</f>
        <v>National Semiconductor</v>
      </c>
      <c r="C9393" s="6">
        <v>2500</v>
      </c>
      <c r="D9393" s="7">
        <v>13.08</v>
      </c>
    </row>
    <row r="9394" spans="1:5" x14ac:dyDescent="0.25">
      <c r="A9394" t="str">
        <f>HYPERLINK("https://www.773grp.com/globalSearch/4076BDC/page-1", "4076BDC")</f>
        <v>4076BDC</v>
      </c>
      <c r="B9394" s="3" t="str">
        <f>HYPERLINK("https://www.773grp.com/manufacturer/national-semiconductor?pageNo=13", "National Semiconductor")</f>
        <v>National Semiconductor</v>
      </c>
      <c r="C9394" s="6">
        <v>7426</v>
      </c>
      <c r="D9394" s="7">
        <v>13.11</v>
      </c>
    </row>
    <row r="9395" spans="1:5" x14ac:dyDescent="0.25">
      <c r="A9395" t="str">
        <f>HYPERLINK("https://www.773grp.com/globalSearch/4076BDCQR/page-1", "4076BDCQR")</f>
        <v>4076BDCQR</v>
      </c>
      <c r="B9395" s="3" t="str">
        <f>HYPERLINK("https://www.773grp.com/manufacturer/national-semiconductor?pageNo=14", "National Semiconductor")</f>
        <v>National Semiconductor</v>
      </c>
      <c r="C9395" s="6">
        <v>575</v>
      </c>
      <c r="D9395" s="7">
        <v>13.11</v>
      </c>
    </row>
    <row r="9396" spans="1:5" x14ac:dyDescent="0.25">
      <c r="A9396" t="str">
        <f>HYPERLINK("https://www.773grp.com/globalSearch/DP83816AVNG-NOPB/page-1", "DP83816AVNG-NOPB")</f>
        <v>DP83816AVNG-NOPB</v>
      </c>
      <c r="B9396" s="3" t="str">
        <f>HYPERLINK("https://www.773grp.com/manufacturer/national-semiconductor?pageNo=15", "National Semiconductor")</f>
        <v>National Semiconductor</v>
      </c>
      <c r="C9396" s="6">
        <v>4775</v>
      </c>
      <c r="D9396" s="7">
        <v>13.11</v>
      </c>
      <c r="E9396" t="s">
        <v>71</v>
      </c>
    </row>
    <row r="9397" spans="1:5" x14ac:dyDescent="0.25">
      <c r="A9397" t="str">
        <f>HYPERLINK("https://www.773grp.com/globalSearch/DP83816AVNG-EX-NOPB/page-1", "DP83816AVNG-EX-NOPB")</f>
        <v>DP83816AVNG-EX-NOPB</v>
      </c>
      <c r="B9397" s="3" t="str">
        <f>HYPERLINK("https://www.773grp.com/manufacturer/national-semiconductor?pageNo=16", "National Semiconductor")</f>
        <v>National Semiconductor</v>
      </c>
      <c r="C9397" s="6">
        <v>600</v>
      </c>
      <c r="D9397" s="7">
        <v>13.11</v>
      </c>
    </row>
    <row r="9398" spans="1:5" x14ac:dyDescent="0.25">
      <c r="A9398" t="str">
        <f>HYPERLINK("https://www.773grp.com/globalSearch/DP83816AVNG-NOPB/page-1", "DP83816AVNG-NOPB")</f>
        <v>DP83816AVNG-NOPB</v>
      </c>
      <c r="B9398" s="3" t="str">
        <f>HYPERLINK("https://www.773grp.com/manufacturer/national-semiconductor?pageNo=17", "National Semiconductor")</f>
        <v>National Semiconductor</v>
      </c>
      <c r="C9398" s="6">
        <v>3000</v>
      </c>
      <c r="D9398" s="7">
        <v>13.11</v>
      </c>
      <c r="E9398" t="s">
        <v>71</v>
      </c>
    </row>
    <row r="9399" spans="1:5" x14ac:dyDescent="0.25">
      <c r="A9399" t="str">
        <f>HYPERLINK("https://www.773grp.com/globalSearch/DP83816AVNG-EX-NOPB/page-1", "DP83816AVNG-EX-NOPB")</f>
        <v>DP83816AVNG-EX-NOPB</v>
      </c>
      <c r="B9399" s="3" t="str">
        <f>HYPERLINK("https://www.773grp.com/manufacturer/national-semiconductor?pageNo=18", "National Semiconductor")</f>
        <v>National Semiconductor</v>
      </c>
      <c r="C9399" s="6">
        <v>3420</v>
      </c>
      <c r="D9399" s="7">
        <v>13.11</v>
      </c>
    </row>
    <row r="9400" spans="1:5" x14ac:dyDescent="0.25">
      <c r="A9400" t="str">
        <f>HYPERLINK("https://www.773grp.com/globalSearch/9097PC/page-1", "9097PC")</f>
        <v>9097PC</v>
      </c>
      <c r="B9400" s="3" t="str">
        <f>HYPERLINK("https://www.773grp.com/manufacturer/national-semiconductor?pageNo=19", "National Semiconductor")</f>
        <v>National Semiconductor</v>
      </c>
      <c r="C9400" s="6">
        <v>7551</v>
      </c>
      <c r="D9400" s="7">
        <v>13.13</v>
      </c>
    </row>
    <row r="9401" spans="1:5" x14ac:dyDescent="0.25">
      <c r="A9401" t="str">
        <f>HYPERLINK("https://www.773grp.com/globalSearch/ADC10154CIWM/page-1", "ADC10154CIWM")</f>
        <v>ADC10154CIWM</v>
      </c>
      <c r="B9401" s="3" t="str">
        <f>HYPERLINK("https://www.773grp.com/manufacturer/national-semiconductor?pageNo=20", "National Semiconductor")</f>
        <v>National Semiconductor</v>
      </c>
      <c r="C9401" s="6">
        <v>91</v>
      </c>
      <c r="D9401" s="7">
        <v>13.13</v>
      </c>
      <c r="E9401" t="s">
        <v>39</v>
      </c>
    </row>
    <row r="9402" spans="1:5" x14ac:dyDescent="0.25">
      <c r="A9402" t="str">
        <f>HYPERLINK("https://www.773grp.com/globalSearch/DS90CF388VJD/page-1", "DS90CF388VJD")</f>
        <v>DS90CF388VJD</v>
      </c>
      <c r="B9402" s="3" t="str">
        <f>HYPERLINK("https://www.773grp.com/manufacturer/national-semiconductor?pageNo=21", "National Semiconductor")</f>
        <v>National Semiconductor</v>
      </c>
      <c r="C9402" s="6">
        <v>1768</v>
      </c>
      <c r="D9402" s="7">
        <v>13.16</v>
      </c>
      <c r="E9402" t="s">
        <v>21</v>
      </c>
    </row>
    <row r="9403" spans="1:5" x14ac:dyDescent="0.25">
      <c r="A9403" t="str">
        <f>HYPERLINK("https://www.773grp.com/globalSearch/ADC10064CIWM-NOPB/page-1", "ADC10064CIWM-NOPB")</f>
        <v>ADC10064CIWM-NOPB</v>
      </c>
      <c r="B9403" s="3" t="str">
        <f>HYPERLINK("https://www.773grp.com/manufacturer/national-semiconductor?pageNo=22", "National Semiconductor")</f>
        <v>National Semiconductor</v>
      </c>
      <c r="C9403" s="6">
        <v>4828</v>
      </c>
      <c r="D9403" s="7">
        <v>13.2</v>
      </c>
      <c r="E9403" t="s">
        <v>39</v>
      </c>
    </row>
    <row r="9404" spans="1:5" x14ac:dyDescent="0.25">
      <c r="A9404" t="str">
        <f>HYPERLINK("https://www.773grp.com/globalSearch/DS14C335MSA-NOPB/page-1", "DS14C335MSA-NOPB")</f>
        <v>DS14C335MSA-NOPB</v>
      </c>
      <c r="B9404" s="3" t="str">
        <f>HYPERLINK("https://www.773grp.com/manufacturer/national-semiconductor?pageNo=23", "National Semiconductor")</f>
        <v>National Semiconductor</v>
      </c>
      <c r="C9404" s="6">
        <v>94</v>
      </c>
      <c r="D9404" s="7">
        <v>13.2</v>
      </c>
      <c r="E9404" t="s">
        <v>21</v>
      </c>
    </row>
    <row r="9405" spans="1:5" x14ac:dyDescent="0.25">
      <c r="A9405" t="str">
        <f>HYPERLINK("https://www.773grp.com/globalSearch/LM158AH/page-1", "LM158AH")</f>
        <v>LM158AH</v>
      </c>
      <c r="B9405" s="3" t="str">
        <f>HYPERLINK("https://www.773grp.com/manufacturer/national-semiconductor?pageNo=24", "National Semiconductor")</f>
        <v>National Semiconductor</v>
      </c>
      <c r="C9405" s="6">
        <v>14050</v>
      </c>
      <c r="D9405" s="7">
        <v>13.2</v>
      </c>
      <c r="E9405" t="s">
        <v>13</v>
      </c>
    </row>
    <row r="9406" spans="1:5" x14ac:dyDescent="0.25">
      <c r="A9406" t="str">
        <f>HYPERLINK("https://www.773grp.com/globalSearch/LM158AH-NOPB/page-1", "LM158AH-NOPB")</f>
        <v>LM158AH-NOPB</v>
      </c>
      <c r="B9406" s="3" t="str">
        <f>HYPERLINK("https://www.773grp.com/manufacturer/national-semiconductor?pageNo=25", "National Semiconductor")</f>
        <v>National Semiconductor</v>
      </c>
      <c r="C9406" s="6">
        <v>1234</v>
      </c>
      <c r="D9406" s="7">
        <v>13.2</v>
      </c>
      <c r="E9406" t="s">
        <v>13</v>
      </c>
    </row>
    <row r="9407" spans="1:5" x14ac:dyDescent="0.25">
      <c r="A9407" t="str">
        <f>HYPERLINK("https://www.773grp.com/globalSearch/ADC10064CIWM-NOPB/page-1", "ADC10064CIWM-NOPB")</f>
        <v>ADC10064CIWM-NOPB</v>
      </c>
      <c r="B9407" s="3" t="str">
        <f>HYPERLINK("https://www.773grp.com/manufacturer/national-semiconductor?pageNo=26", "National Semiconductor")</f>
        <v>National Semiconductor</v>
      </c>
      <c r="C9407" s="6">
        <v>234</v>
      </c>
      <c r="D9407" s="7">
        <v>13.2</v>
      </c>
      <c r="E9407" t="s">
        <v>39</v>
      </c>
    </row>
    <row r="9408" spans="1:5" x14ac:dyDescent="0.25">
      <c r="A9408" t="str">
        <f>HYPERLINK("https://www.773grp.com/globalSearch/DS10CP152QMA-NOPB/page-1", "DS10CP152QMA-NOPB")</f>
        <v>DS10CP152QMA-NOPB</v>
      </c>
      <c r="B9408" s="3" t="str">
        <f>HYPERLINK("https://www.773grp.com/manufacturer/national-semiconductor?pageNo=27", "National Semiconductor")</f>
        <v>National Semiconductor</v>
      </c>
      <c r="C9408" s="6">
        <v>117</v>
      </c>
      <c r="D9408" s="7">
        <v>13.2</v>
      </c>
    </row>
    <row r="9409" spans="1:5" x14ac:dyDescent="0.25">
      <c r="A9409" t="str">
        <f>HYPERLINK("https://www.773grp.com/globalSearch/DS14C335MSA-NOPB/page-1", "DS14C335MSA-NOPB")</f>
        <v>DS14C335MSA-NOPB</v>
      </c>
      <c r="B9409" s="3" t="str">
        <f>HYPERLINK("https://www.773grp.com/manufacturer/national-semiconductor?pageNo=28", "National Semiconductor")</f>
        <v>National Semiconductor</v>
      </c>
      <c r="C9409" s="6">
        <v>1126</v>
      </c>
      <c r="D9409" s="7">
        <v>13.2</v>
      </c>
      <c r="E9409" t="s">
        <v>21</v>
      </c>
    </row>
    <row r="9410" spans="1:5" x14ac:dyDescent="0.25">
      <c r="A9410" t="str">
        <f>HYPERLINK("https://www.773grp.com/globalSearch/LM158AH-NOPB/page-1", "LM158AH-NOPB")</f>
        <v>LM158AH-NOPB</v>
      </c>
      <c r="B9410" s="3" t="str">
        <f>HYPERLINK("https://www.773grp.com/manufacturer/national-semiconductor?pageNo=29", "National Semiconductor")</f>
        <v>National Semiconductor</v>
      </c>
      <c r="C9410" s="6">
        <v>500</v>
      </c>
      <c r="D9410" s="7">
        <v>13.2</v>
      </c>
      <c r="E9410" t="s">
        <v>13</v>
      </c>
    </row>
    <row r="9411" spans="1:5" x14ac:dyDescent="0.25">
      <c r="A9411" t="str">
        <f>HYPERLINK("https://www.773grp.com/globalSearch/NS16C2552TVSX-NOPB/page-1", "NS16C2552TVSX-NOPB")</f>
        <v>NS16C2552TVSX-NOPB</v>
      </c>
      <c r="B9411" s="3" t="str">
        <f>HYPERLINK("https://www.773grp.com/manufacturer/national-semiconductor?pageNo=30", "National Semiconductor")</f>
        <v>National Semiconductor</v>
      </c>
      <c r="C9411" s="6">
        <v>5000</v>
      </c>
      <c r="D9411" s="7">
        <v>13.2</v>
      </c>
    </row>
    <row r="9412" spans="1:5" x14ac:dyDescent="0.25">
      <c r="A9412" t="str">
        <f>HYPERLINK("https://www.773grp.com/globalSearch/DM7008W-883/page-1", "DM7008W-883")</f>
        <v>DM7008W-883</v>
      </c>
      <c r="B9412" s="3" t="str">
        <f>HYPERLINK("https://www.773grp.com/manufacturer/national-semiconductor?pageNo=31", "National Semiconductor")</f>
        <v>National Semiconductor</v>
      </c>
      <c r="C9412" s="6">
        <v>160</v>
      </c>
      <c r="D9412" s="7">
        <v>13.21</v>
      </c>
    </row>
    <row r="9413" spans="1:5" x14ac:dyDescent="0.25">
      <c r="A9413" t="str">
        <f>HYPERLINK("https://www.773grp.com/globalSearch/DS25CP102TSQ-NOPB/page-1", "DS25CP102TSQ-NOPB")</f>
        <v>DS25CP102TSQ-NOPB</v>
      </c>
      <c r="B9413" s="3" t="str">
        <f>HYPERLINK("https://www.773grp.com/manufacturer/national-semiconductor?pageNo=32", "National Semiconductor")</f>
        <v>National Semiconductor</v>
      </c>
      <c r="C9413" s="6">
        <v>573</v>
      </c>
      <c r="D9413" s="7">
        <v>13.21</v>
      </c>
    </row>
    <row r="9414" spans="1:5" x14ac:dyDescent="0.25">
      <c r="A9414" t="str">
        <f>HYPERLINK("https://www.773grp.com/globalSearch/DS25CP152QSQ-NOPB/page-1", "DS25CP152QSQ-NOPB")</f>
        <v>DS25CP152QSQ-NOPB</v>
      </c>
      <c r="B9414" s="3" t="str">
        <f>HYPERLINK("https://www.773grp.com/manufacturer/national-semiconductor?pageNo=33", "National Semiconductor")</f>
        <v>National Semiconductor</v>
      </c>
      <c r="C9414" s="6">
        <v>1000</v>
      </c>
      <c r="D9414" s="7">
        <v>13.21</v>
      </c>
    </row>
    <row r="9415" spans="1:5" x14ac:dyDescent="0.25">
      <c r="A9415" t="str">
        <f>HYPERLINK("https://www.773grp.com/globalSearch/DS25CP102TSQ-NOPB/page-1", "DS25CP102TSQ-NOPB")</f>
        <v>DS25CP102TSQ-NOPB</v>
      </c>
      <c r="B9415" s="3" t="str">
        <f>HYPERLINK("https://www.773grp.com/manufacturer/national-semiconductor?pageNo=34", "National Semiconductor")</f>
        <v>National Semiconductor</v>
      </c>
      <c r="C9415" s="6">
        <v>204</v>
      </c>
      <c r="D9415" s="7">
        <v>13.21</v>
      </c>
    </row>
    <row r="9416" spans="1:5" x14ac:dyDescent="0.25">
      <c r="A9416" t="str">
        <f>HYPERLINK("https://www.773grp.com/globalSearch/DS25CP152QSQ-NOPB/page-1", "DS25CP152QSQ-NOPB")</f>
        <v>DS25CP152QSQ-NOPB</v>
      </c>
      <c r="B9416" s="3" t="str">
        <f>HYPERLINK("https://www.773grp.com/manufacturer/national-semiconductor?pageNo=35", "National Semiconductor")</f>
        <v>National Semiconductor</v>
      </c>
      <c r="C9416" s="6">
        <v>251</v>
      </c>
      <c r="D9416" s="7">
        <v>13.21</v>
      </c>
    </row>
    <row r="9417" spans="1:5" x14ac:dyDescent="0.25">
      <c r="A9417" t="str">
        <f>HYPERLINK("https://www.773grp.com/globalSearch/DS50EV401SQ-NOPB/page-1", "DS50EV401SQ-NOPB")</f>
        <v>DS50EV401SQ-NOPB</v>
      </c>
      <c r="B9417" s="3" t="str">
        <f>HYPERLINK("https://www.773grp.com/manufacturer/national-semiconductor?pageNo=36", "National Semiconductor")</f>
        <v>National Semiconductor</v>
      </c>
      <c r="C9417" s="6">
        <v>2000</v>
      </c>
      <c r="D9417" s="7">
        <v>13.21</v>
      </c>
    </row>
    <row r="9418" spans="1:5" x14ac:dyDescent="0.25">
      <c r="A9418" t="str">
        <f>HYPERLINK("https://www.773grp.com/globalSearch/LMH1251MTX/page-1", "LMH1251MTX")</f>
        <v>LMH1251MTX</v>
      </c>
      <c r="B9418" s="3" t="str">
        <f>HYPERLINK("https://www.773grp.com/manufacturer/national-semiconductor?pageNo=37", "National Semiconductor")</f>
        <v>National Semiconductor</v>
      </c>
      <c r="C9418" s="6">
        <v>2500</v>
      </c>
      <c r="D9418" s="7">
        <v>13.21</v>
      </c>
    </row>
    <row r="9419" spans="1:5" x14ac:dyDescent="0.25">
      <c r="A9419" t="str">
        <f>HYPERLINK("https://www.773grp.com/globalSearch/LM239J/page-1", "LM239J")</f>
        <v>LM239J</v>
      </c>
      <c r="B9419" s="3" t="str">
        <f>HYPERLINK("https://www.773grp.com/manufacturer/national-semiconductor?pageNo=38", "National Semiconductor")</f>
        <v>National Semiconductor</v>
      </c>
      <c r="C9419" s="6">
        <v>420</v>
      </c>
      <c r="D9419" s="7">
        <v>13.25</v>
      </c>
      <c r="E9419" t="s">
        <v>9</v>
      </c>
    </row>
    <row r="9420" spans="1:5" x14ac:dyDescent="0.25">
      <c r="A9420" t="str">
        <f>HYPERLINK("https://www.773grp.com/globalSearch/LM339J/page-1", "LM339J")</f>
        <v>LM339J</v>
      </c>
      <c r="B9420" s="3" t="str">
        <f>HYPERLINK("https://www.773grp.com/manufacturer/national-semiconductor?pageNo=39", "National Semiconductor")</f>
        <v>National Semiconductor</v>
      </c>
      <c r="C9420" s="6">
        <v>30</v>
      </c>
      <c r="D9420" s="7">
        <v>13.25</v>
      </c>
      <c r="E9420" t="s">
        <v>9</v>
      </c>
    </row>
    <row r="9421" spans="1:5" x14ac:dyDescent="0.25">
      <c r="A9421" t="str">
        <f>HYPERLINK("https://www.773grp.com/globalSearch/LM239J/page-1", "LM239J")</f>
        <v>LM239J</v>
      </c>
      <c r="B9421" s="3" t="str">
        <f>HYPERLINK("https://www.773grp.com/manufacturer/national-semiconductor?pageNo=40", "National Semiconductor")</f>
        <v>National Semiconductor</v>
      </c>
      <c r="C9421" s="6">
        <v>75</v>
      </c>
      <c r="D9421" s="7">
        <v>13.25</v>
      </c>
      <c r="E9421" t="s">
        <v>9</v>
      </c>
    </row>
    <row r="9422" spans="1:5" x14ac:dyDescent="0.25">
      <c r="A9422" t="str">
        <f>HYPERLINK("https://www.773grp.com/globalSearch/LM339J/page-1", "LM339J")</f>
        <v>LM339J</v>
      </c>
      <c r="B9422" s="3" t="str">
        <f>HYPERLINK("https://www.773grp.com/manufacturer/national-semiconductor?pageNo=41", "National Semiconductor")</f>
        <v>National Semiconductor</v>
      </c>
      <c r="C9422" s="6">
        <v>12013</v>
      </c>
      <c r="D9422" s="7">
        <v>13.25</v>
      </c>
      <c r="E9422" t="s">
        <v>9</v>
      </c>
    </row>
    <row r="9423" spans="1:5" x14ac:dyDescent="0.25">
      <c r="A9423" t="str">
        <f>HYPERLINK("https://www.773grp.com/globalSearch/100118FC/page-1", "100118FC")</f>
        <v>100118FC</v>
      </c>
      <c r="B9423" s="3" t="str">
        <f>HYPERLINK("https://www.773grp.com/manufacturer/national-semiconductor?pageNo=42", "National Semiconductor")</f>
        <v>National Semiconductor</v>
      </c>
      <c r="C9423" s="6">
        <v>2863</v>
      </c>
      <c r="D9423" s="7">
        <v>13.28</v>
      </c>
      <c r="E9423" t="s">
        <v>31</v>
      </c>
    </row>
    <row r="9424" spans="1:5" x14ac:dyDescent="0.25">
      <c r="A9424" t="str">
        <f>HYPERLINK("https://www.773grp.com/globalSearch/100163DC/page-1", "100163DC")</f>
        <v>100163DC</v>
      </c>
      <c r="B9424" s="3" t="str">
        <f>HYPERLINK("https://www.773grp.com/manufacturer/national-semiconductor?pageNo=43", "National Semiconductor")</f>
        <v>National Semiconductor</v>
      </c>
      <c r="C9424" s="6">
        <v>3536</v>
      </c>
      <c r="D9424" s="7">
        <v>13.28</v>
      </c>
      <c r="E9424" t="s">
        <v>20</v>
      </c>
    </row>
    <row r="9425" spans="1:5" x14ac:dyDescent="0.25">
      <c r="A9425" t="str">
        <f>HYPERLINK("https://www.773grp.com/globalSearch/54LS125ALM/page-1", "54LS125ALM")</f>
        <v>54LS125ALM</v>
      </c>
      <c r="B9425" s="3" t="str">
        <f>HYPERLINK("https://www.773grp.com/manufacturer/national-semiconductor?pageNo=44", "National Semiconductor")</f>
        <v>National Semiconductor</v>
      </c>
      <c r="C9425" s="6">
        <v>1699</v>
      </c>
      <c r="D9425" s="7">
        <v>13.28</v>
      </c>
    </row>
    <row r="9426" spans="1:5" x14ac:dyDescent="0.25">
      <c r="A9426" t="str">
        <f>HYPERLINK("https://www.773grp.com/globalSearch/54LS125ALMQB/page-1", "54LS125ALMQB")</f>
        <v>54LS125ALMQB</v>
      </c>
      <c r="B9426" s="3" t="str">
        <f>HYPERLINK("https://www.773grp.com/manufacturer/national-semiconductor?pageNo=45", "National Semiconductor")</f>
        <v>National Semiconductor</v>
      </c>
      <c r="C9426" s="6">
        <v>427</v>
      </c>
      <c r="D9426" s="7">
        <v>13.28</v>
      </c>
      <c r="E9426" t="s">
        <v>14</v>
      </c>
    </row>
    <row r="9427" spans="1:5" x14ac:dyDescent="0.25">
      <c r="A9427" t="str">
        <f>HYPERLINK("https://www.773grp.com/globalSearch/COP8CDR9LVA8/page-1", "COP8CDR9LVA8")</f>
        <v>COP8CDR9LVA8</v>
      </c>
      <c r="B9427" s="3" t="str">
        <f>HYPERLINK("https://www.773grp.com/manufacturer/national-semiconductor?pageNo=46", "National Semiconductor")</f>
        <v>National Semiconductor</v>
      </c>
      <c r="C9427" s="6">
        <v>135</v>
      </c>
      <c r="D9427" s="7">
        <v>13.28</v>
      </c>
      <c r="E9427" t="s">
        <v>52</v>
      </c>
    </row>
    <row r="9428" spans="1:5" x14ac:dyDescent="0.25">
      <c r="A9428" t="str">
        <f>HYPERLINK("https://www.773grp.com/globalSearch/LM9822CCWM/page-1", "LM9822CCWM")</f>
        <v>LM9822CCWM</v>
      </c>
      <c r="B9428" s="3" t="str">
        <f>HYPERLINK("https://www.773grp.com/manufacturer/national-semiconductor?pageNo=47", "National Semiconductor")</f>
        <v>National Semiconductor</v>
      </c>
      <c r="C9428" s="6">
        <v>156</v>
      </c>
      <c r="D9428" s="7">
        <v>13.28</v>
      </c>
      <c r="E9428" t="s">
        <v>40</v>
      </c>
    </row>
    <row r="9429" spans="1:5" x14ac:dyDescent="0.25">
      <c r="A9429" t="str">
        <f>HYPERLINK("https://www.773grp.com/globalSearch/DM7124W-MIL/page-1", "DM7124W-MIL")</f>
        <v>DM7124W-MIL</v>
      </c>
      <c r="B9429" s="3" t="str">
        <f>HYPERLINK("https://www.773grp.com/manufacturer/national-semiconductor?pageNo=48", "National Semiconductor")</f>
        <v>National Semiconductor</v>
      </c>
      <c r="C9429" s="6">
        <v>578</v>
      </c>
      <c r="D9429" s="7">
        <v>13.3</v>
      </c>
    </row>
    <row r="9430" spans="1:5" x14ac:dyDescent="0.25">
      <c r="A9430" t="str">
        <f>HYPERLINK("https://www.773grp.com/globalSearch/JD55107BCA/page-1", "JD55107BCA")</f>
        <v>JD55107BCA</v>
      </c>
      <c r="B9430" s="3" t="str">
        <f>HYPERLINK("https://www.773grp.com/manufacturer/national-semiconductor?pageNo=49", "National Semiconductor")</f>
        <v>National Semiconductor</v>
      </c>
      <c r="C9430" s="6">
        <v>2</v>
      </c>
      <c r="D9430" s="7">
        <v>13.3</v>
      </c>
    </row>
    <row r="9431" spans="1:5" x14ac:dyDescent="0.25">
      <c r="A9431" t="str">
        <f>HYPERLINK("https://www.773grp.com/globalSearch/DS92LV1023EMQ-NOPB/page-1", "DS92LV1023EMQ-NOPB")</f>
        <v>DS92LV1023EMQ-NOPB</v>
      </c>
      <c r="B9431" s="3" t="str">
        <f>HYPERLINK("https://www.773grp.com/manufacturer/national-semiconductor?pageNo=50", "National Semiconductor")</f>
        <v>National Semiconductor</v>
      </c>
      <c r="C9431" s="6">
        <v>2649</v>
      </c>
      <c r="D9431" s="7">
        <v>13.3</v>
      </c>
    </row>
    <row r="9432" spans="1:5" x14ac:dyDescent="0.25">
      <c r="A9432" t="str">
        <f>HYPERLINK("https://www.773grp.com/globalSearch/LM2587S-12-NOPB/page-1", "LM2587S-12-NOPB")</f>
        <v>LM2587S-12-NOPB</v>
      </c>
      <c r="B9432" s="3" t="str">
        <f>HYPERLINK("https://www.773grp.com/manufacturer/national-semiconductor?pageNo=51", "National Semiconductor")</f>
        <v>National Semiconductor</v>
      </c>
      <c r="C9432" s="6">
        <v>5</v>
      </c>
      <c r="D9432" s="7">
        <v>13.34</v>
      </c>
      <c r="E9432" t="s">
        <v>7</v>
      </c>
    </row>
    <row r="9433" spans="1:5" x14ac:dyDescent="0.25">
      <c r="A9433" t="str">
        <f>HYPERLINK("https://www.773grp.com/globalSearch/LM2587S-5.0-NOPB/page-1", "LM2587S-5.0-NOPB")</f>
        <v>LM2587S-5.0-NOPB</v>
      </c>
      <c r="B9433" s="3" t="str">
        <f>HYPERLINK("https://www.773grp.com/manufacturer/national-semiconductor?pageNo=52", "National Semiconductor")</f>
        <v>National Semiconductor</v>
      </c>
      <c r="C9433" s="6">
        <v>121</v>
      </c>
      <c r="D9433" s="7">
        <v>13.34</v>
      </c>
      <c r="E9433" t="s">
        <v>7</v>
      </c>
    </row>
    <row r="9434" spans="1:5" x14ac:dyDescent="0.25">
      <c r="A9434" t="str">
        <f>HYPERLINK("https://www.773grp.com/globalSearch/LM2587S-ADJ-NOPB/page-1", "LM2587S-ADJ-NOPB")</f>
        <v>LM2587S-ADJ-NOPB</v>
      </c>
      <c r="B9434" s="3" t="str">
        <f>HYPERLINK("https://www.773grp.com/manufacturer/national-semiconductor?pageNo=53", "National Semiconductor")</f>
        <v>National Semiconductor</v>
      </c>
      <c r="C9434" s="6">
        <v>3065</v>
      </c>
      <c r="D9434" s="7">
        <v>13.34</v>
      </c>
      <c r="E9434" t="s">
        <v>7</v>
      </c>
    </row>
    <row r="9435" spans="1:5" x14ac:dyDescent="0.25">
      <c r="A9435" t="str">
        <f>HYPERLINK("https://www.773grp.com/globalSearch/LM5066PMH-NOPB/page-1", "LM5066PMH-NOPB")</f>
        <v>LM5066PMH-NOPB</v>
      </c>
      <c r="B9435" s="3" t="str">
        <f>HYPERLINK("https://www.773grp.com/manufacturer/national-semiconductor?pageNo=54", "National Semiconductor")</f>
        <v>National Semiconductor</v>
      </c>
      <c r="C9435" s="6">
        <v>86</v>
      </c>
      <c r="D9435" s="7">
        <v>13.34</v>
      </c>
    </row>
    <row r="9436" spans="1:5" x14ac:dyDescent="0.25">
      <c r="A9436" t="str">
        <f>HYPERLINK("https://www.773grp.com/globalSearch/LM2587S-12-NOPB/page-1", "LM2587S-12-NOPB")</f>
        <v>LM2587S-12-NOPB</v>
      </c>
      <c r="B9436" s="3" t="str">
        <f>HYPERLINK("https://www.773grp.com/manufacturer/national-semiconductor?pageNo=55", "National Semiconductor")</f>
        <v>National Semiconductor</v>
      </c>
      <c r="C9436" s="6">
        <v>537</v>
      </c>
      <c r="D9436" s="7">
        <v>13.34</v>
      </c>
      <c r="E9436" t="s">
        <v>7</v>
      </c>
    </row>
    <row r="9437" spans="1:5" x14ac:dyDescent="0.25">
      <c r="A9437" t="str">
        <f>HYPERLINK("https://www.773grp.com/globalSearch/LM2587S-5.0-NOPB/page-1", "LM2587S-5.0-NOPB")</f>
        <v>LM2587S-5.0-NOPB</v>
      </c>
      <c r="B9437" s="3" t="str">
        <f>HYPERLINK("https://www.773grp.com/manufacturer/national-semiconductor?pageNo=56", "National Semiconductor")</f>
        <v>National Semiconductor</v>
      </c>
      <c r="C9437" s="6">
        <v>288</v>
      </c>
      <c r="D9437" s="7">
        <v>13.34</v>
      </c>
      <c r="E9437" t="s">
        <v>7</v>
      </c>
    </row>
    <row r="9438" spans="1:5" x14ac:dyDescent="0.25">
      <c r="A9438" t="str">
        <f>HYPERLINK("https://www.773grp.com/globalSearch/LM2587S-ADJ-NOPB/page-1", "LM2587S-ADJ-NOPB")</f>
        <v>LM2587S-ADJ-NOPB</v>
      </c>
      <c r="B9438" s="3" t="str">
        <f>HYPERLINK("https://www.773grp.com/manufacturer/national-semiconductor?pageNo=57", "National Semiconductor")</f>
        <v>National Semiconductor</v>
      </c>
      <c r="C9438" s="6">
        <v>1143</v>
      </c>
      <c r="D9438" s="7">
        <v>13.34</v>
      </c>
      <c r="E9438" t="s">
        <v>7</v>
      </c>
    </row>
    <row r="9439" spans="1:5" x14ac:dyDescent="0.25">
      <c r="A9439" t="str">
        <f>HYPERLINK("https://www.773grp.com/globalSearch/LM5066PMH-NOPB/page-1", "LM5066PMH-NOPB")</f>
        <v>LM5066PMH-NOPB</v>
      </c>
      <c r="B9439" s="3" t="str">
        <f>HYPERLINK("https://www.773grp.com/manufacturer/national-semiconductor?pageNo=58", "National Semiconductor")</f>
        <v>National Semiconductor</v>
      </c>
      <c r="C9439" s="6">
        <v>960</v>
      </c>
      <c r="D9439" s="7">
        <v>13.34</v>
      </c>
    </row>
    <row r="9440" spans="1:5" x14ac:dyDescent="0.25">
      <c r="A9440" t="str">
        <f>HYPERLINK("https://www.773grp.com/globalSearch/SM72442MT-NOPB/page-1", "SM72442MT-NOPB")</f>
        <v>SM72442MT-NOPB</v>
      </c>
      <c r="B9440" s="3" t="str">
        <f>HYPERLINK("https://www.773grp.com/manufacturer/national-semiconductor?pageNo=59", "National Semiconductor")</f>
        <v>National Semiconductor</v>
      </c>
      <c r="C9440" s="6">
        <v>94</v>
      </c>
      <c r="D9440" s="7">
        <v>13.34</v>
      </c>
    </row>
    <row r="9441" spans="1:5" x14ac:dyDescent="0.25">
      <c r="A9441" t="str">
        <f>HYPERLINK("https://www.773grp.com/globalSearch/4028BDM/page-1", "4028BDM")</f>
        <v>4028BDM</v>
      </c>
      <c r="B9441" s="3" t="str">
        <f>HYPERLINK("https://www.773grp.com/manufacturer/national-semiconductor?pageNo=60", "National Semiconductor")</f>
        <v>National Semiconductor</v>
      </c>
      <c r="C9441" s="6">
        <v>5471</v>
      </c>
      <c r="D9441" s="7">
        <v>13.36</v>
      </c>
    </row>
    <row r="9442" spans="1:5" x14ac:dyDescent="0.25">
      <c r="A9442" t="str">
        <f>HYPERLINK("https://www.773grp.com/globalSearch/9503DC/page-1", "9503DC")</f>
        <v>9503DC</v>
      </c>
      <c r="B9442" s="3" t="str">
        <f>HYPERLINK("https://www.773grp.com/manufacturer/national-semiconductor?pageNo=61", "National Semiconductor")</f>
        <v>National Semiconductor</v>
      </c>
      <c r="C9442" s="6">
        <v>458</v>
      </c>
      <c r="D9442" s="7">
        <v>13.36</v>
      </c>
    </row>
    <row r="9443" spans="1:5" x14ac:dyDescent="0.25">
      <c r="A9443" t="str">
        <f>HYPERLINK("https://www.773grp.com/globalSearch/ADC161S626CIMM/page-1", "ADC161S626CIMM")</f>
        <v>ADC161S626CIMM</v>
      </c>
      <c r="B9443" s="3" t="str">
        <f>HYPERLINK("https://www.773grp.com/manufacturer/national-semiconductor?pageNo=62", "National Semiconductor")</f>
        <v>National Semiconductor</v>
      </c>
      <c r="C9443" s="6">
        <v>1800</v>
      </c>
      <c r="D9443" s="7">
        <v>13.36</v>
      </c>
      <c r="E9443" t="s">
        <v>39</v>
      </c>
    </row>
    <row r="9444" spans="1:5" x14ac:dyDescent="0.25">
      <c r="A9444" t="str">
        <f>HYPERLINK("https://www.773grp.com/globalSearch/DM54ALS175J-883/page-1", "DM54ALS175J-883")</f>
        <v>DM54ALS175J-883</v>
      </c>
      <c r="B9444" s="3" t="str">
        <f>HYPERLINK("https://www.773grp.com/manufacturer/national-semiconductor?pageNo=63", "National Semiconductor")</f>
        <v>National Semiconductor</v>
      </c>
      <c r="C9444" s="6">
        <v>225</v>
      </c>
      <c r="D9444" s="7">
        <v>13.36</v>
      </c>
    </row>
    <row r="9445" spans="1:5" x14ac:dyDescent="0.25">
      <c r="A9445" t="str">
        <f>HYPERLINK("https://www.773grp.com/globalSearch/DP83849IFVSX-NOPB/page-1", "DP83849IFVSX-NOPB")</f>
        <v>DP83849IFVSX-NOPB</v>
      </c>
      <c r="B9445" s="3" t="str">
        <f>HYPERLINK("https://www.773grp.com/manufacturer/national-semiconductor?pageNo=64", "National Semiconductor")</f>
        <v>National Semiconductor</v>
      </c>
      <c r="C9445" s="6">
        <v>1000</v>
      </c>
      <c r="D9445" s="7">
        <v>13.36</v>
      </c>
    </row>
    <row r="9446" spans="1:5" x14ac:dyDescent="0.25">
      <c r="A9446" t="str">
        <f>HYPERLINK("https://www.773grp.com/globalSearch/DS99R103TVS-NOPB/page-1", "DS99R103TVS-NOPB")</f>
        <v>DS99R103TVS-NOPB</v>
      </c>
      <c r="B9446" s="3" t="str">
        <f>HYPERLINK("https://www.773grp.com/manufacturer/national-semiconductor?pageNo=65", "National Semiconductor")</f>
        <v>National Semiconductor</v>
      </c>
      <c r="C9446" s="6">
        <v>80</v>
      </c>
      <c r="D9446" s="7">
        <v>13.36</v>
      </c>
      <c r="E9446" t="s">
        <v>21</v>
      </c>
    </row>
    <row r="9447" spans="1:5" x14ac:dyDescent="0.25">
      <c r="A9447" t="str">
        <f>HYPERLINK("https://www.773grp.com/globalSearch/DS99R104TVS-NOPB/page-1", "DS99R104TVS-NOPB")</f>
        <v>DS99R104TVS-NOPB</v>
      </c>
      <c r="B9447" s="3" t="str">
        <f>HYPERLINK("https://www.773grp.com/manufacturer/national-semiconductor?pageNo=66", "National Semiconductor")</f>
        <v>National Semiconductor</v>
      </c>
      <c r="C9447" s="6">
        <v>524</v>
      </c>
      <c r="D9447" s="7">
        <v>13.36</v>
      </c>
      <c r="E9447" t="s">
        <v>21</v>
      </c>
    </row>
    <row r="9448" spans="1:5" x14ac:dyDescent="0.25">
      <c r="A9448" t="str">
        <f>HYPERLINK("https://www.773grp.com/globalSearch/LM733J-883/page-1", "LM733J-883")</f>
        <v>LM733J-883</v>
      </c>
      <c r="B9448" s="3" t="str">
        <f>HYPERLINK("https://www.773grp.com/manufacturer/national-semiconductor?pageNo=67", "National Semiconductor")</f>
        <v>National Semiconductor</v>
      </c>
      <c r="C9448" s="6">
        <v>11</v>
      </c>
      <c r="D9448" s="7">
        <v>13.36</v>
      </c>
    </row>
    <row r="9449" spans="1:5" x14ac:dyDescent="0.25">
      <c r="A9449" t="str">
        <f>HYPERLINK("https://www.773grp.com/globalSearch/DP83849IFVS-NOPB/page-1", "DP83849IFVS-NOPB")</f>
        <v>DP83849IFVS-NOPB</v>
      </c>
      <c r="B9449" s="3" t="str">
        <f>HYPERLINK("https://www.773grp.com/manufacturer/national-semiconductor?pageNo=68", "National Semiconductor")</f>
        <v>National Semiconductor</v>
      </c>
      <c r="C9449" s="6">
        <v>14</v>
      </c>
      <c r="D9449" s="7">
        <v>13.36</v>
      </c>
    </row>
    <row r="9450" spans="1:5" x14ac:dyDescent="0.25">
      <c r="A9450" t="str">
        <f>HYPERLINK("https://www.773grp.com/globalSearch/DP83849IFVSX-NOPB/page-1", "DP83849IFVSX-NOPB")</f>
        <v>DP83849IFVSX-NOPB</v>
      </c>
      <c r="B9450" s="3" t="str">
        <f>HYPERLINK("https://www.773grp.com/manufacturer/national-semiconductor?pageNo=69", "National Semiconductor")</f>
        <v>National Semiconductor</v>
      </c>
      <c r="C9450" s="6">
        <v>4000</v>
      </c>
      <c r="D9450" s="7">
        <v>13.36</v>
      </c>
    </row>
    <row r="9451" spans="1:5" x14ac:dyDescent="0.25">
      <c r="A9451" t="str">
        <f>HYPERLINK("https://www.773grp.com/globalSearch/DS99R103TVS-NOPB/page-1", "DS99R103TVS-NOPB")</f>
        <v>DS99R103TVS-NOPB</v>
      </c>
      <c r="B9451" s="3" t="str">
        <f>HYPERLINK("https://www.773grp.com/manufacturer/national-semiconductor?pageNo=70", "National Semiconductor")</f>
        <v>National Semiconductor</v>
      </c>
      <c r="C9451" s="6">
        <v>572</v>
      </c>
      <c r="D9451" s="7">
        <v>13.36</v>
      </c>
      <c r="E9451" t="s">
        <v>21</v>
      </c>
    </row>
    <row r="9452" spans="1:5" x14ac:dyDescent="0.25">
      <c r="A9452" t="str">
        <f>HYPERLINK("https://www.773grp.com/globalSearch/DS99R103TVSX-NOPB/page-1", "DS99R103TVSX-NOPB")</f>
        <v>DS99R103TVSX-NOPB</v>
      </c>
      <c r="B9452" s="3" t="str">
        <f>HYPERLINK("https://www.773grp.com/manufacturer/national-semiconductor?pageNo=71", "National Semiconductor")</f>
        <v>National Semiconductor</v>
      </c>
      <c r="C9452" s="6">
        <v>4000</v>
      </c>
      <c r="D9452" s="7">
        <v>13.36</v>
      </c>
    </row>
    <row r="9453" spans="1:5" x14ac:dyDescent="0.25">
      <c r="A9453" t="str">
        <f>HYPERLINK("https://www.773grp.com/globalSearch/DS99R104TVS-NOPB/page-1", "DS99R104TVS-NOPB")</f>
        <v>DS99R104TVS-NOPB</v>
      </c>
      <c r="B9453" s="3" t="str">
        <f>HYPERLINK("https://www.773grp.com/manufacturer/national-semiconductor?pageNo=72", "National Semiconductor")</f>
        <v>National Semiconductor</v>
      </c>
      <c r="C9453" s="6">
        <v>1886</v>
      </c>
      <c r="D9453" s="7">
        <v>13.36</v>
      </c>
      <c r="E9453" t="s">
        <v>21</v>
      </c>
    </row>
    <row r="9454" spans="1:5" x14ac:dyDescent="0.25">
      <c r="A9454" t="str">
        <f>HYPERLINK("https://www.773grp.com/globalSearch/4029BDC/page-1", "4029BDC")</f>
        <v>4029BDC</v>
      </c>
      <c r="B9454" s="3" t="str">
        <f>HYPERLINK("https://www.773grp.com/manufacturer/national-semiconductor?pageNo=73", "National Semiconductor")</f>
        <v>National Semiconductor</v>
      </c>
      <c r="C9454" s="6">
        <v>13171</v>
      </c>
      <c r="D9454" s="7">
        <v>13.39</v>
      </c>
    </row>
    <row r="9455" spans="1:5" x14ac:dyDescent="0.25">
      <c r="A9455" t="str">
        <f>HYPERLINK("https://www.773grp.com/globalSearch/4035BDC/page-1", "4035BDC")</f>
        <v>4035BDC</v>
      </c>
      <c r="B9455" s="3" t="str">
        <f>HYPERLINK("https://www.773grp.com/manufacturer/national-semiconductor?pageNo=74", "National Semiconductor")</f>
        <v>National Semiconductor</v>
      </c>
      <c r="C9455" s="6">
        <v>16808</v>
      </c>
      <c r="D9455" s="7">
        <v>13.39</v>
      </c>
    </row>
    <row r="9456" spans="1:5" x14ac:dyDescent="0.25">
      <c r="A9456" t="str">
        <f>HYPERLINK("https://www.773grp.com/globalSearch/4047BDC/page-1", "4047BDC")</f>
        <v>4047BDC</v>
      </c>
      <c r="B9456" s="3" t="str">
        <f>HYPERLINK("https://www.773grp.com/manufacturer/national-semiconductor?pageNo=75", "National Semiconductor")</f>
        <v>National Semiconductor</v>
      </c>
      <c r="C9456" s="6">
        <v>10764</v>
      </c>
      <c r="D9456" s="7">
        <v>13.39</v>
      </c>
    </row>
    <row r="9457" spans="1:5" x14ac:dyDescent="0.25">
      <c r="A9457" t="str">
        <f>HYPERLINK("https://www.773grp.com/globalSearch/4085BDC/page-1", "4085BDC")</f>
        <v>4085BDC</v>
      </c>
      <c r="B9457" s="3" t="str">
        <f>HYPERLINK("https://www.773grp.com/manufacturer/national-semiconductor?pageNo=76", "National Semiconductor")</f>
        <v>National Semiconductor</v>
      </c>
      <c r="C9457" s="6">
        <v>3194</v>
      </c>
      <c r="D9457" s="7">
        <v>13.39</v>
      </c>
    </row>
    <row r="9458" spans="1:5" x14ac:dyDescent="0.25">
      <c r="A9458" t="str">
        <f>HYPERLINK("https://www.773grp.com/globalSearch/9S41PC/page-1", "9S41PC")</f>
        <v>9S41PC</v>
      </c>
      <c r="B9458" s="3" t="str">
        <f>HYPERLINK("https://www.773grp.com/manufacturer/national-semiconductor?pageNo=77", "National Semiconductor")</f>
        <v>National Semiconductor</v>
      </c>
      <c r="C9458" s="6">
        <v>9624</v>
      </c>
      <c r="D9458" s="7">
        <v>13.39</v>
      </c>
    </row>
    <row r="9459" spans="1:5" x14ac:dyDescent="0.25">
      <c r="A9459" t="str">
        <f>HYPERLINK("https://www.773grp.com/globalSearch/CLC428AJE/page-1", "CLC428AJE")</f>
        <v>CLC428AJE</v>
      </c>
      <c r="B9459" s="3" t="str">
        <f>HYPERLINK("https://www.773grp.com/manufacturer/national-semiconductor?pageNo=78", "National Semiconductor")</f>
        <v>National Semiconductor</v>
      </c>
      <c r="C9459" s="6">
        <v>2267</v>
      </c>
      <c r="D9459" s="7">
        <v>13.39</v>
      </c>
      <c r="E9459" t="s">
        <v>13</v>
      </c>
    </row>
    <row r="9460" spans="1:5" x14ac:dyDescent="0.25">
      <c r="A9460" t="str">
        <f>HYPERLINK("https://www.773grp.com/globalSearch/CLC428AJE-TR13/page-1", "CLC428AJE-TR13")</f>
        <v>CLC428AJE-TR13</v>
      </c>
      <c r="B9460" s="3" t="str">
        <f>HYPERLINK("https://www.773grp.com/manufacturer/national-semiconductor?pageNo=79", "National Semiconductor")</f>
        <v>National Semiconductor</v>
      </c>
      <c r="C9460" s="6">
        <v>52500</v>
      </c>
      <c r="D9460" s="7">
        <v>13.39</v>
      </c>
      <c r="E9460" t="s">
        <v>13</v>
      </c>
    </row>
    <row r="9461" spans="1:5" x14ac:dyDescent="0.25">
      <c r="A9461" t="str">
        <f>HYPERLINK("https://www.773grp.com/globalSearch/CLC428AJP/page-1", "CLC428AJP")</f>
        <v>CLC428AJP</v>
      </c>
      <c r="B9461" s="3" t="str">
        <f>HYPERLINK("https://www.773grp.com/manufacturer/national-semiconductor?pageNo=80", "National Semiconductor")</f>
        <v>National Semiconductor</v>
      </c>
      <c r="C9461" s="6">
        <v>2553</v>
      </c>
      <c r="D9461" s="7">
        <v>13.39</v>
      </c>
      <c r="E9461" t="s">
        <v>13</v>
      </c>
    </row>
    <row r="9462" spans="1:5" x14ac:dyDescent="0.25">
      <c r="A9462" t="str">
        <f>HYPERLINK("https://www.773grp.com/globalSearch/LF13202M/page-1", "LF13202M")</f>
        <v>LF13202M</v>
      </c>
      <c r="B9462" s="3" t="str">
        <f>HYPERLINK("https://www.773grp.com/manufacturer/national-semiconductor?pageNo=81", "National Semiconductor")</f>
        <v>National Semiconductor</v>
      </c>
      <c r="C9462" s="6">
        <v>1390</v>
      </c>
      <c r="D9462" s="7">
        <v>13.39</v>
      </c>
      <c r="E9462" t="s">
        <v>56</v>
      </c>
    </row>
    <row r="9463" spans="1:5" x14ac:dyDescent="0.25">
      <c r="A9463" t="str">
        <f>HYPERLINK("https://www.773grp.com/globalSearch/DS25MB100TSQ-NOPB/page-1", "DS25MB100TSQ-NOPB")</f>
        <v>DS25MB100TSQ-NOPB</v>
      </c>
      <c r="B9463" s="3" t="str">
        <f>HYPERLINK("https://www.773grp.com/manufacturer/national-semiconductor?pageNo=82", "National Semiconductor")</f>
        <v>National Semiconductor</v>
      </c>
      <c r="C9463" s="6">
        <v>1225</v>
      </c>
      <c r="D9463" s="7">
        <v>13.41</v>
      </c>
    </row>
    <row r="9464" spans="1:5" x14ac:dyDescent="0.25">
      <c r="A9464" t="str">
        <f>HYPERLINK("https://www.773grp.com/globalSearch/LMH0302SQE-NOPB/page-1", "LMH0302SQE-NOPB")</f>
        <v>LMH0302SQE-NOPB</v>
      </c>
      <c r="B9464" s="3" t="str">
        <f>HYPERLINK("https://www.773grp.com/manufacturer/national-semiconductor?pageNo=83", "National Semiconductor")</f>
        <v>National Semiconductor</v>
      </c>
      <c r="C9464" s="6">
        <v>500</v>
      </c>
      <c r="D9464" s="7">
        <v>13.41</v>
      </c>
    </row>
    <row r="9465" spans="1:5" x14ac:dyDescent="0.25">
      <c r="A9465" t="str">
        <f>HYPERLINK("https://www.773grp.com/globalSearch/DS25MB100TSQ-NOPB/page-1", "DS25MB100TSQ-NOPB")</f>
        <v>DS25MB100TSQ-NOPB</v>
      </c>
      <c r="B9465" s="3" t="str">
        <f>HYPERLINK("https://www.773grp.com/manufacturer/national-semiconductor?pageNo=84", "National Semiconductor")</f>
        <v>National Semiconductor</v>
      </c>
      <c r="C9465" s="6">
        <v>492</v>
      </c>
      <c r="D9465" s="7">
        <v>13.41</v>
      </c>
    </row>
    <row r="9466" spans="1:5" x14ac:dyDescent="0.25">
      <c r="A9466" t="str">
        <f>HYPERLINK("https://www.773grp.com/globalSearch/LM6144BIM/page-1", "LM6144BIM")</f>
        <v>LM6144BIM</v>
      </c>
      <c r="B9466" s="3" t="str">
        <f>HYPERLINK("https://www.773grp.com/manufacturer/national-semiconductor?pageNo=85", "National Semiconductor")</f>
        <v>National Semiconductor</v>
      </c>
      <c r="C9466" s="6">
        <v>12372</v>
      </c>
      <c r="D9466" s="7">
        <v>13.41</v>
      </c>
    </row>
    <row r="9467" spans="1:5" x14ac:dyDescent="0.25">
      <c r="A9467" t="str">
        <f>HYPERLINK("https://www.773grp.com/globalSearch/LMH0302SQE-NOPB/page-1", "LMH0302SQE-NOPB")</f>
        <v>LMH0302SQE-NOPB</v>
      </c>
      <c r="B9467" s="3" t="str">
        <f>HYPERLINK("https://www.773grp.com/manufacturer/national-semiconductor?pageNo=86", "National Semiconductor")</f>
        <v>National Semiconductor</v>
      </c>
      <c r="C9467" s="6">
        <v>191</v>
      </c>
      <c r="D9467" s="7">
        <v>13.41</v>
      </c>
    </row>
    <row r="9468" spans="1:5" x14ac:dyDescent="0.25">
      <c r="A9468" t="str">
        <f>HYPERLINK("https://www.773grp.com/globalSearch/DS14C237WMX/page-1", "DS14C237WMX")</f>
        <v>DS14C237WMX</v>
      </c>
      <c r="B9468" s="3" t="str">
        <f>HYPERLINK("https://www.773grp.com/manufacturer/national-semiconductor?pageNo=87", "National Semiconductor")</f>
        <v>National Semiconductor</v>
      </c>
      <c r="C9468" s="6">
        <v>2000</v>
      </c>
      <c r="D9468" s="7">
        <v>13.45</v>
      </c>
      <c r="E9468" t="s">
        <v>21</v>
      </c>
    </row>
    <row r="9469" spans="1:5" x14ac:dyDescent="0.25">
      <c r="A9469" t="str">
        <f>HYPERLINK("https://www.773grp.com/globalSearch/DS14C239WM/page-1", "DS14C239WM")</f>
        <v>DS14C239WM</v>
      </c>
      <c r="B9469" s="3" t="str">
        <f>HYPERLINK("https://www.773grp.com/manufacturer/national-semiconductor?pageNo=88", "National Semiconductor")</f>
        <v>National Semiconductor</v>
      </c>
      <c r="C9469" s="6">
        <v>5316</v>
      </c>
      <c r="D9469" s="7">
        <v>13.45</v>
      </c>
      <c r="E9469" t="s">
        <v>21</v>
      </c>
    </row>
    <row r="9470" spans="1:5" x14ac:dyDescent="0.25">
      <c r="A9470" t="str">
        <f>HYPERLINK("https://www.773grp.com/globalSearch/DP83630SQ-NOPB/page-1", "DP83630SQ-NOPB")</f>
        <v>DP83630SQ-NOPB</v>
      </c>
      <c r="B9470" s="3" t="str">
        <f>HYPERLINK("https://www.773grp.com/manufacturer/national-semiconductor?pageNo=89", "National Semiconductor")</f>
        <v>National Semiconductor</v>
      </c>
      <c r="C9470" s="6">
        <v>679</v>
      </c>
      <c r="D9470" s="7">
        <v>13.45</v>
      </c>
    </row>
    <row r="9471" spans="1:5" x14ac:dyDescent="0.25">
      <c r="A9471" t="str">
        <f>HYPERLINK("https://www.773grp.com/globalSearch/DS90UR124IVS-NOPB/page-1", "DS90UR124IVS-NOPB")</f>
        <v>DS90UR124IVS-NOPB</v>
      </c>
      <c r="B9471" s="3" t="str">
        <f>HYPERLINK("https://www.773grp.com/manufacturer/national-semiconductor?pageNo=90", "National Semiconductor")</f>
        <v>National Semiconductor</v>
      </c>
      <c r="C9471" s="6">
        <v>1308</v>
      </c>
      <c r="D9471" s="7">
        <v>13.46</v>
      </c>
    </row>
    <row r="9472" spans="1:5" x14ac:dyDescent="0.25">
      <c r="A9472" t="str">
        <f>HYPERLINK("https://www.773grp.com/globalSearch/DS90UR124IVSX-NOPB/page-1", "DS90UR124IVSX-NOPB")</f>
        <v>DS90UR124IVSX-NOPB</v>
      </c>
      <c r="B9472" s="3" t="str">
        <f>HYPERLINK("https://www.773grp.com/manufacturer/national-semiconductor?pageNo=91", "National Semiconductor")</f>
        <v>National Semiconductor</v>
      </c>
      <c r="C9472" s="6">
        <v>13000</v>
      </c>
      <c r="D9472" s="7">
        <v>13.46</v>
      </c>
      <c r="E9472" t="s">
        <v>21</v>
      </c>
    </row>
    <row r="9473" spans="1:5" x14ac:dyDescent="0.25">
      <c r="A9473" t="str">
        <f>HYPERLINK("https://www.773grp.com/globalSearch/DS90UR124QVS-NOPB/page-1", "DS90UR124QVS-NOPB")</f>
        <v>DS90UR124QVS-NOPB</v>
      </c>
      <c r="B9473" s="3" t="str">
        <f>HYPERLINK("https://www.773grp.com/manufacturer/national-semiconductor?pageNo=92", "National Semiconductor")</f>
        <v>National Semiconductor</v>
      </c>
      <c r="C9473" s="6">
        <v>11526</v>
      </c>
      <c r="D9473" s="7">
        <v>13.46</v>
      </c>
    </row>
    <row r="9474" spans="1:5" x14ac:dyDescent="0.25">
      <c r="A9474" t="str">
        <f>HYPERLINK("https://www.773grp.com/globalSearch/DS90UR124QVSX-NOPB/page-1", "DS90UR124QVSX-NOPB")</f>
        <v>DS90UR124QVSX-NOPB</v>
      </c>
      <c r="B9474" s="3" t="str">
        <f>HYPERLINK("https://www.773grp.com/manufacturer/national-semiconductor?pageNo=93", "National Semiconductor")</f>
        <v>National Semiconductor</v>
      </c>
      <c r="C9474" s="6">
        <v>970</v>
      </c>
      <c r="D9474" s="7">
        <v>13.46</v>
      </c>
    </row>
    <row r="9475" spans="1:5" x14ac:dyDescent="0.25">
      <c r="A9475" t="str">
        <f>HYPERLINK("https://www.773grp.com/globalSearch/DS90UR241IVS-NOPB/page-1", "DS90UR241IVS-NOPB")</f>
        <v>DS90UR241IVS-NOPB</v>
      </c>
      <c r="B9475" s="3" t="str">
        <f>HYPERLINK("https://www.773grp.com/manufacturer/national-semiconductor?pageNo=94", "National Semiconductor")</f>
        <v>National Semiconductor</v>
      </c>
      <c r="C9475" s="6">
        <v>1573</v>
      </c>
      <c r="D9475" s="7">
        <v>13.46</v>
      </c>
    </row>
    <row r="9476" spans="1:5" x14ac:dyDescent="0.25">
      <c r="A9476" t="str">
        <f>HYPERLINK("https://www.773grp.com/globalSearch/DS90UR241IVSX-NOPB/page-1", "DS90UR241IVSX-NOPB")</f>
        <v>DS90UR241IVSX-NOPB</v>
      </c>
      <c r="B9476" s="3" t="str">
        <f>HYPERLINK("https://www.773grp.com/manufacturer/national-semiconductor?pageNo=95", "National Semiconductor")</f>
        <v>National Semiconductor</v>
      </c>
      <c r="C9476" s="6">
        <v>8680</v>
      </c>
      <c r="D9476" s="7">
        <v>13.46</v>
      </c>
    </row>
    <row r="9477" spans="1:5" x14ac:dyDescent="0.25">
      <c r="A9477" t="str">
        <f>HYPERLINK("https://www.773grp.com/globalSearch/DS90UR241QVS-NOPB/page-1", "DS90UR241QVS-NOPB")</f>
        <v>DS90UR241QVS-NOPB</v>
      </c>
      <c r="B9477" s="3" t="str">
        <f>HYPERLINK("https://www.773grp.com/manufacturer/national-semiconductor?pageNo=96", "National Semiconductor")</f>
        <v>National Semiconductor</v>
      </c>
      <c r="C9477" s="6">
        <v>195</v>
      </c>
      <c r="D9477" s="7">
        <v>13.46</v>
      </c>
    </row>
    <row r="9478" spans="1:5" x14ac:dyDescent="0.25">
      <c r="A9478" t="str">
        <f>HYPERLINK("https://www.773grp.com/globalSearch/DS90UR124IVS-NOPB/page-1", "DS90UR124IVS-NOPB")</f>
        <v>DS90UR124IVS-NOPB</v>
      </c>
      <c r="B9478" s="3" t="str">
        <f>HYPERLINK("https://www.773grp.com/manufacturer/national-semiconductor?pageNo=97", "National Semiconductor")</f>
        <v>National Semiconductor</v>
      </c>
      <c r="C9478" s="6">
        <v>295</v>
      </c>
      <c r="D9478" s="7">
        <v>13.46</v>
      </c>
    </row>
    <row r="9479" spans="1:5" x14ac:dyDescent="0.25">
      <c r="A9479" t="str">
        <f>HYPERLINK("https://www.773grp.com/globalSearch/DS90UR124QVS-NOPB/page-1", "DS90UR124QVS-NOPB")</f>
        <v>DS90UR124QVS-NOPB</v>
      </c>
      <c r="B9479" s="3" t="str">
        <f>HYPERLINK("https://www.773grp.com/manufacturer/national-semiconductor?pageNo=98", "National Semiconductor")</f>
        <v>National Semiconductor</v>
      </c>
      <c r="C9479" s="6">
        <v>2616</v>
      </c>
      <c r="D9479" s="7">
        <v>13.46</v>
      </c>
    </row>
    <row r="9480" spans="1:5" x14ac:dyDescent="0.25">
      <c r="A9480" t="str">
        <f>HYPERLINK("https://www.773grp.com/globalSearch/DS90UR241IVSX-NOPB/page-1", "DS90UR241IVSX-NOPB")</f>
        <v>DS90UR241IVSX-NOPB</v>
      </c>
      <c r="B9480" s="3" t="str">
        <f>HYPERLINK("https://www.773grp.com/manufacturer/national-semiconductor?pageNo=99", "National Semiconductor")</f>
        <v>National Semiconductor</v>
      </c>
      <c r="C9480" s="6">
        <v>2000</v>
      </c>
      <c r="D9480" s="7">
        <v>13.46</v>
      </c>
    </row>
    <row r="9481" spans="1:5" x14ac:dyDescent="0.25">
      <c r="A9481" t="str">
        <f>HYPERLINK("https://www.773grp.com/globalSearch/DS90UR241QVS-NOPB/page-1", "DS90UR241QVS-NOPB")</f>
        <v>DS90UR241QVS-NOPB</v>
      </c>
      <c r="B9481" s="3" t="str">
        <f>HYPERLINK("https://www.773grp.com/manufacturer/national-semiconductor?pageNo=100", "National Semiconductor")</f>
        <v>National Semiconductor</v>
      </c>
      <c r="C9481" s="6">
        <v>73</v>
      </c>
      <c r="D9481" s="7">
        <v>13.46</v>
      </c>
    </row>
    <row r="9482" spans="1:5" x14ac:dyDescent="0.25">
      <c r="A9482" t="str">
        <f>HYPERLINK("https://www.773grp.com/globalSearch/54F86  LL/page-1", "54F86  LL")</f>
        <v>54F86  LL</v>
      </c>
      <c r="B9482" s="3" t="str">
        <f>HYPERLINK("https://www.773grp.com/manufacturer/national-semiconductor?pageNo=101", "National Semiconductor")</f>
        <v>National Semiconductor</v>
      </c>
      <c r="C9482" s="6">
        <v>24</v>
      </c>
      <c r="D9482" s="7">
        <v>13.5</v>
      </c>
    </row>
    <row r="9483" spans="1:5" x14ac:dyDescent="0.25">
      <c r="A9483" t="str">
        <f>HYPERLINK("https://www.773grp.com/globalSearch/ADC0804LCV/page-1", "ADC0804LCV")</f>
        <v>ADC0804LCV</v>
      </c>
      <c r="B9483" s="3" t="str">
        <f>HYPERLINK("https://www.773grp.com/manufacturer/national-semiconductor?pageNo=102", "National Semiconductor")</f>
        <v>National Semiconductor</v>
      </c>
      <c r="C9483" s="6">
        <v>1220</v>
      </c>
      <c r="D9483" s="7">
        <v>13.5</v>
      </c>
      <c r="E9483" t="s">
        <v>39</v>
      </c>
    </row>
    <row r="9484" spans="1:5" x14ac:dyDescent="0.25">
      <c r="A9484" t="str">
        <f>HYPERLINK("https://www.773grp.com/globalSearch/DM54S158W-MIL/page-1", "DM54S158W-MIL")</f>
        <v>DM54S158W-MIL</v>
      </c>
      <c r="B9484" s="3" t="str">
        <f>HYPERLINK("https://www.773grp.com/manufacturer/national-semiconductor?pageNo=103", "National Semiconductor")</f>
        <v>National Semiconductor</v>
      </c>
      <c r="C9484" s="6">
        <v>1238</v>
      </c>
      <c r="D9484" s="7">
        <v>13.5</v>
      </c>
    </row>
    <row r="9485" spans="1:5" x14ac:dyDescent="0.25">
      <c r="A9485" t="str">
        <f>HYPERLINK("https://www.773grp.com/globalSearch/DM54S257W-MIL/page-1", "DM54S257W-MIL")</f>
        <v>DM54S257W-MIL</v>
      </c>
      <c r="B9485" s="3" t="str">
        <f>HYPERLINK("https://www.773grp.com/manufacturer/national-semiconductor?pageNo=104", "National Semiconductor")</f>
        <v>National Semiconductor</v>
      </c>
      <c r="C9485" s="6">
        <v>492</v>
      </c>
      <c r="D9485" s="7">
        <v>13.5</v>
      </c>
    </row>
    <row r="9486" spans="1:5" x14ac:dyDescent="0.25">
      <c r="A9486" t="str">
        <f>HYPERLINK("https://www.773grp.com/globalSearch/DM54S258J-MIL/page-1", "DM54S258J-MIL")</f>
        <v>DM54S258J-MIL</v>
      </c>
      <c r="B9486" s="3" t="str">
        <f>HYPERLINK("https://www.773grp.com/manufacturer/national-semiconductor?pageNo=105", "National Semiconductor")</f>
        <v>National Semiconductor</v>
      </c>
      <c r="C9486" s="6">
        <v>167</v>
      </c>
      <c r="D9486" s="7">
        <v>13.5</v>
      </c>
    </row>
    <row r="9487" spans="1:5" x14ac:dyDescent="0.25">
      <c r="A9487" t="str">
        <f>HYPERLINK("https://www.773grp.com/globalSearch/LMP90100MH-NOPB/page-1", "LMP90100MH-NOPB")</f>
        <v>LMP90100MH-NOPB</v>
      </c>
      <c r="B9487" s="3" t="str">
        <f>HYPERLINK("https://www.773grp.com/manufacturer/national-semiconductor?pageNo=106", "National Semiconductor")</f>
        <v>National Semiconductor</v>
      </c>
      <c r="C9487" s="6">
        <v>114</v>
      </c>
      <c r="D9487" s="7">
        <v>13.5</v>
      </c>
      <c r="E9487" t="s">
        <v>40</v>
      </c>
    </row>
    <row r="9488" spans="1:5" x14ac:dyDescent="0.25">
      <c r="A9488" t="str">
        <f>HYPERLINK("https://www.773grp.com/globalSearch/SCAN921023SLC-NOPB/page-1", "SCAN921023SLC-NOPB")</f>
        <v>SCAN921023SLC-NOPB</v>
      </c>
      <c r="B9488" s="3" t="str">
        <f>HYPERLINK("https://www.773grp.com/manufacturer/national-semiconductor?pageNo=107", "National Semiconductor")</f>
        <v>National Semiconductor</v>
      </c>
      <c r="C9488" s="6">
        <v>1067</v>
      </c>
      <c r="D9488" s="7">
        <v>13.5</v>
      </c>
      <c r="E9488" t="s">
        <v>74</v>
      </c>
    </row>
    <row r="9489" spans="1:5" x14ac:dyDescent="0.25">
      <c r="A9489" t="str">
        <f>HYPERLINK("https://www.773grp.com/globalSearch/SCAN921025SLC-NOPB/page-1", "SCAN921025SLC-NOPB")</f>
        <v>SCAN921025SLC-NOPB</v>
      </c>
      <c r="B9489" s="3" t="str">
        <f>HYPERLINK("https://www.773grp.com/manufacturer/national-semiconductor?pageNo=108", "National Semiconductor")</f>
        <v>National Semiconductor</v>
      </c>
      <c r="C9489" s="6">
        <v>30</v>
      </c>
      <c r="D9489" s="7">
        <v>13.5</v>
      </c>
      <c r="E9489" t="s">
        <v>21</v>
      </c>
    </row>
    <row r="9490" spans="1:5" x14ac:dyDescent="0.25">
      <c r="A9490" t="str">
        <f>HYPERLINK("https://www.773grp.com/globalSearch/SCAN921224SLC-NOPB/page-1", "SCAN921224SLC-NOPB")</f>
        <v>SCAN921224SLC-NOPB</v>
      </c>
      <c r="B9490" s="3" t="str">
        <f>HYPERLINK("https://www.773grp.com/manufacturer/national-semiconductor?pageNo=109", "National Semiconductor")</f>
        <v>National Semiconductor</v>
      </c>
      <c r="C9490" s="6">
        <v>2655</v>
      </c>
      <c r="D9490" s="7">
        <v>13.5</v>
      </c>
      <c r="E9490" t="s">
        <v>74</v>
      </c>
    </row>
    <row r="9491" spans="1:5" x14ac:dyDescent="0.25">
      <c r="A9491" t="str">
        <f>HYPERLINK("https://www.773grp.com/globalSearch/SCAN921226SLC-NOPB/page-1", "SCAN921226SLC-NOPB")</f>
        <v>SCAN921226SLC-NOPB</v>
      </c>
      <c r="B9491" s="3" t="str">
        <f>HYPERLINK("https://www.773grp.com/manufacturer/national-semiconductor?pageNo=110", "National Semiconductor")</f>
        <v>National Semiconductor</v>
      </c>
      <c r="C9491" s="6">
        <v>122</v>
      </c>
      <c r="D9491" s="7">
        <v>13.5</v>
      </c>
      <c r="E9491" t="s">
        <v>21</v>
      </c>
    </row>
    <row r="9492" spans="1:5" x14ac:dyDescent="0.25">
      <c r="A9492" t="str">
        <f>HYPERLINK("https://www.773grp.com/globalSearch/DS92LX1621SQ-NOPB/page-1", "DS92LX1621SQ-NOPB")</f>
        <v>DS92LX1621SQ-NOPB</v>
      </c>
      <c r="B9492" s="3" t="str">
        <f>HYPERLINK("https://www.773grp.com/manufacturer/national-semiconductor?pageNo=111", "National Semiconductor")</f>
        <v>National Semiconductor</v>
      </c>
      <c r="C9492" s="6">
        <v>3980</v>
      </c>
      <c r="D9492" s="7">
        <v>13.5</v>
      </c>
    </row>
    <row r="9493" spans="1:5" x14ac:dyDescent="0.25">
      <c r="A9493" t="str">
        <f>HYPERLINK("https://www.773grp.com/globalSearch/LMP90100MH-NOPB/page-1", "LMP90100MH-NOPB")</f>
        <v>LMP90100MH-NOPB</v>
      </c>
      <c r="B9493" s="3" t="str">
        <f>HYPERLINK("https://www.773grp.com/manufacturer/national-semiconductor?pageNo=112", "National Semiconductor")</f>
        <v>National Semiconductor</v>
      </c>
      <c r="C9493" s="6">
        <v>809</v>
      </c>
      <c r="D9493" s="7">
        <v>13.5</v>
      </c>
      <c r="E9493" t="s">
        <v>40</v>
      </c>
    </row>
    <row r="9494" spans="1:5" x14ac:dyDescent="0.25">
      <c r="A9494" t="str">
        <f>HYPERLINK("https://www.773grp.com/globalSearch/SCAN921023SLC-NOPB/page-1", "SCAN921023SLC-NOPB")</f>
        <v>SCAN921023SLC-NOPB</v>
      </c>
      <c r="B9494" s="3" t="str">
        <f>HYPERLINK("https://www.773grp.com/manufacturer/national-semiconductor?pageNo=113", "National Semiconductor")</f>
        <v>National Semiconductor</v>
      </c>
      <c r="C9494" s="6">
        <v>1578</v>
      </c>
      <c r="D9494" s="7">
        <v>13.5</v>
      </c>
      <c r="E9494" t="s">
        <v>74</v>
      </c>
    </row>
    <row r="9495" spans="1:5" x14ac:dyDescent="0.25">
      <c r="A9495" t="str">
        <f>HYPERLINK("https://www.773grp.com/globalSearch/SCAN921025SLC-NOPB/page-1", "SCAN921025SLC-NOPB")</f>
        <v>SCAN921025SLC-NOPB</v>
      </c>
      <c r="B9495" s="3" t="str">
        <f>HYPERLINK("https://www.773grp.com/manufacturer/national-semiconductor?pageNo=114", "National Semiconductor")</f>
        <v>National Semiconductor</v>
      </c>
      <c r="C9495" s="6">
        <v>1206</v>
      </c>
      <c r="D9495" s="7">
        <v>13.5</v>
      </c>
      <c r="E9495" t="s">
        <v>21</v>
      </c>
    </row>
    <row r="9496" spans="1:5" x14ac:dyDescent="0.25">
      <c r="A9496" t="str">
        <f>HYPERLINK("https://www.773grp.com/globalSearch/SCAN921224SLC-NOPB/page-1", "SCAN921224SLC-NOPB")</f>
        <v>SCAN921224SLC-NOPB</v>
      </c>
      <c r="B9496" s="3" t="str">
        <f>HYPERLINK("https://www.773grp.com/manufacturer/national-semiconductor?pageNo=115", "National Semiconductor")</f>
        <v>National Semiconductor</v>
      </c>
      <c r="C9496" s="6">
        <v>2312</v>
      </c>
      <c r="D9496" s="7">
        <v>13.5</v>
      </c>
      <c r="E9496" t="s">
        <v>74</v>
      </c>
    </row>
    <row r="9497" spans="1:5" x14ac:dyDescent="0.25">
      <c r="A9497" t="str">
        <f>HYPERLINK("https://www.773grp.com/globalSearch/SCAN921226SLC-NOPB/page-1", "SCAN921226SLC-NOPB")</f>
        <v>SCAN921226SLC-NOPB</v>
      </c>
      <c r="B9497" s="3" t="str">
        <f>HYPERLINK("https://www.773grp.com/manufacturer/national-semiconductor?pageNo=116", "National Semiconductor")</f>
        <v>National Semiconductor</v>
      </c>
      <c r="C9497" s="6">
        <v>10038</v>
      </c>
      <c r="D9497" s="7">
        <v>13.5</v>
      </c>
      <c r="E9497" t="s">
        <v>21</v>
      </c>
    </row>
    <row r="9498" spans="1:5" x14ac:dyDescent="0.25">
      <c r="A9498" t="str">
        <f>HYPERLINK("https://www.773grp.com/globalSearch/TMS320F28035PAGT/page-1", "TMS320F28035PAGT")</f>
        <v>TMS320F28035PAGT</v>
      </c>
      <c r="B9498" s="3" t="str">
        <f>HYPERLINK("https://www.773grp.com/manufacturer/national-semiconductor?pageNo=117", "National Semiconductor")</f>
        <v>National Semiconductor</v>
      </c>
      <c r="C9498" s="6">
        <v>1000</v>
      </c>
      <c r="D9498" s="7">
        <v>13.5</v>
      </c>
    </row>
    <row r="9499" spans="1:5" x14ac:dyDescent="0.25">
      <c r="A9499" t="str">
        <f>HYPERLINK("https://www.773grp.com/globalSearch/LM285BYH-2.5/page-1", "LM285BYH-2.5")</f>
        <v>LM285BYH-2.5</v>
      </c>
      <c r="B9499" s="3" t="str">
        <f>HYPERLINK("https://www.773grp.com/manufacturer/national-semiconductor?pageNo=118", "National Semiconductor")</f>
        <v>National Semiconductor</v>
      </c>
      <c r="C9499" s="6">
        <v>1558</v>
      </c>
      <c r="D9499" s="7">
        <v>13.54</v>
      </c>
      <c r="E9499" t="s">
        <v>17</v>
      </c>
    </row>
    <row r="9500" spans="1:5" x14ac:dyDescent="0.25">
      <c r="A9500" t="str">
        <f>HYPERLINK("https://www.773grp.com/globalSearch/40193BDC/page-1", "40193BDC")</f>
        <v>40193BDC</v>
      </c>
      <c r="B9500" s="3" t="str">
        <f>HYPERLINK("https://www.773grp.com/manufacturer/national-semiconductor?pageNo=119", "National Semiconductor")</f>
        <v>National Semiconductor</v>
      </c>
      <c r="C9500" s="6">
        <v>262</v>
      </c>
      <c r="D9500" s="7">
        <v>13.55</v>
      </c>
    </row>
    <row r="9501" spans="1:5" x14ac:dyDescent="0.25">
      <c r="A9501" t="str">
        <f>HYPERLINK("https://www.773grp.com/globalSearch/40193BDCQB/page-1", "40193BDCQB")</f>
        <v>40193BDCQB</v>
      </c>
      <c r="B9501" s="3" t="str">
        <f>HYPERLINK("https://www.773grp.com/manufacturer/national-semiconductor?pageNo=120", "National Semiconductor")</f>
        <v>National Semiconductor</v>
      </c>
      <c r="C9501" s="6">
        <v>442</v>
      </c>
      <c r="D9501" s="7">
        <v>13.55</v>
      </c>
    </row>
    <row r="9502" spans="1:5" x14ac:dyDescent="0.25">
      <c r="A9502" t="str">
        <f>HYPERLINK("https://www.773grp.com/globalSearch/LM235H-NOPB/page-1", "LM235H-NOPB")</f>
        <v>LM235H-NOPB</v>
      </c>
      <c r="B9502" s="3" t="str">
        <f>HYPERLINK("https://www.773grp.com/manufacturer/national-semiconductor?pageNo=121", "National Semiconductor")</f>
        <v>National Semiconductor</v>
      </c>
      <c r="C9502" s="6">
        <v>525</v>
      </c>
      <c r="D9502" s="7">
        <v>13.55</v>
      </c>
      <c r="E9502" t="s">
        <v>8</v>
      </c>
    </row>
    <row r="9503" spans="1:5" x14ac:dyDescent="0.25">
      <c r="A9503" t="str">
        <f>HYPERLINK("https://www.773grp.com/globalSearch/DS90UR904QSQE-NOPB/page-1", "DS90UR904QSQE-NOPB")</f>
        <v>DS90UR904QSQE-NOPB</v>
      </c>
      <c r="B9503" s="3" t="str">
        <f>HYPERLINK("https://www.773grp.com/manufacturer/national-semiconductor?pageNo=122", "National Semiconductor")</f>
        <v>National Semiconductor</v>
      </c>
      <c r="C9503" s="6">
        <v>1500</v>
      </c>
      <c r="D9503" s="7">
        <v>13.55</v>
      </c>
    </row>
    <row r="9504" spans="1:5" x14ac:dyDescent="0.25">
      <c r="A9504" t="str">
        <f>HYPERLINK("https://www.773grp.com/globalSearch/LMK00306SQE-NOPB/page-1", "LMK00306SQE-NOPB")</f>
        <v>LMK00306SQE-NOPB</v>
      </c>
      <c r="B9504" s="3" t="str">
        <f>HYPERLINK("https://www.773grp.com/manufacturer/national-semiconductor?pageNo=123", "National Semiconductor")</f>
        <v>National Semiconductor</v>
      </c>
      <c r="C9504" s="6">
        <v>2500</v>
      </c>
      <c r="D9504" s="7">
        <v>13.55</v>
      </c>
    </row>
    <row r="9505" spans="1:5" x14ac:dyDescent="0.25">
      <c r="A9505" t="str">
        <f>HYPERLINK("https://www.773grp.com/globalSearch/DM54S151J-883/page-1", "DM54S151J-883")</f>
        <v>DM54S151J-883</v>
      </c>
      <c r="B9505" s="3" t="str">
        <f>HYPERLINK("https://www.773grp.com/manufacturer/national-semiconductor?pageNo=124", "National Semiconductor")</f>
        <v>National Semiconductor</v>
      </c>
      <c r="C9505" s="6">
        <v>190</v>
      </c>
      <c r="D9505" s="7">
        <v>13.59</v>
      </c>
      <c r="E9505" t="s">
        <v>20</v>
      </c>
    </row>
    <row r="9506" spans="1:5" x14ac:dyDescent="0.25">
      <c r="A9506" t="str">
        <f>HYPERLINK("https://www.773grp.com/globalSearch/DM54S64W-883/page-1", "DM54S64W-883")</f>
        <v>DM54S64W-883</v>
      </c>
      <c r="B9506" s="3" t="str">
        <f>HYPERLINK("https://www.773grp.com/manufacturer/national-semiconductor?pageNo=125", "National Semiconductor")</f>
        <v>National Semiconductor</v>
      </c>
      <c r="C9506" s="6">
        <v>910</v>
      </c>
      <c r="D9506" s="7">
        <v>13.59</v>
      </c>
      <c r="E9506" t="s">
        <v>31</v>
      </c>
    </row>
    <row r="9507" spans="1:5" x14ac:dyDescent="0.25">
      <c r="A9507" t="str">
        <f>HYPERLINK("https://www.773grp.com/globalSearch/JD54LS283B2A/page-1", "JD54LS283B2A")</f>
        <v>JD54LS283B2A</v>
      </c>
      <c r="B9507" s="3" t="str">
        <f>HYPERLINK("https://www.773grp.com/manufacturer/national-semiconductor?pageNo=126", "National Semiconductor")</f>
        <v>National Semiconductor</v>
      </c>
      <c r="C9507" s="6">
        <v>37</v>
      </c>
      <c r="D9507" s="7">
        <v>13.59</v>
      </c>
    </row>
    <row r="9508" spans="1:5" x14ac:dyDescent="0.25">
      <c r="A9508" t="str">
        <f>HYPERLINK("https://www.773grp.com/globalSearch/JD54LS283BFA/page-1", "JD54LS283BFA")</f>
        <v>JD54LS283BFA</v>
      </c>
      <c r="B9508" s="3" t="str">
        <f>HYPERLINK("https://www.773grp.com/manufacturer/national-semiconductor?pageNo=127", "National Semiconductor")</f>
        <v>National Semiconductor</v>
      </c>
      <c r="C9508" s="6">
        <v>363</v>
      </c>
      <c r="D9508" s="7">
        <v>13.59</v>
      </c>
    </row>
    <row r="9509" spans="1:5" x14ac:dyDescent="0.25">
      <c r="A9509" t="str">
        <f>HYPERLINK("https://www.773grp.com/globalSearch/LF13201MX/page-1", "LF13201MX")</f>
        <v>LF13201MX</v>
      </c>
      <c r="B9509" s="3" t="str">
        <f>HYPERLINK("https://www.773grp.com/manufacturer/national-semiconductor?pageNo=128", "National Semiconductor")</f>
        <v>National Semiconductor</v>
      </c>
      <c r="C9509" s="6">
        <v>3097</v>
      </c>
      <c r="D9509" s="7">
        <v>13.59</v>
      </c>
      <c r="E9509" t="s">
        <v>56</v>
      </c>
    </row>
    <row r="9510" spans="1:5" x14ac:dyDescent="0.25">
      <c r="A9510" t="str">
        <f>HYPERLINK("https://www.773grp.com/globalSearch/MM54HC163W-883/page-1", "MM54HC163W-883")</f>
        <v>MM54HC163W-883</v>
      </c>
      <c r="B9510" s="3" t="str">
        <f>HYPERLINK("https://www.773grp.com/manufacturer/national-semiconductor?pageNo=129", "National Semiconductor")</f>
        <v>National Semiconductor</v>
      </c>
      <c r="C9510" s="6">
        <v>155</v>
      </c>
      <c r="D9510" s="7">
        <v>13.59</v>
      </c>
    </row>
    <row r="9511" spans="1:5" x14ac:dyDescent="0.25">
      <c r="A9511" t="str">
        <f>HYPERLINK("https://www.773grp.com/globalSearch/4516BDC/page-1", "4516BDC")</f>
        <v>4516BDC</v>
      </c>
      <c r="B9511" s="3" t="str">
        <f>HYPERLINK("https://www.773grp.com/manufacturer/national-semiconductor?pageNo=130", "National Semiconductor")</f>
        <v>National Semiconductor</v>
      </c>
      <c r="C9511" s="6">
        <v>1025</v>
      </c>
      <c r="D9511" s="7">
        <v>13.61</v>
      </c>
    </row>
    <row r="9512" spans="1:5" x14ac:dyDescent="0.25">
      <c r="A9512" t="str">
        <f>HYPERLINK("https://www.773grp.com/globalSearch/DS15EA101SQ-NOPB/page-1", "DS15EA101SQ-NOPB")</f>
        <v>DS15EA101SQ-NOPB</v>
      </c>
      <c r="B9512" s="3" t="str">
        <f>HYPERLINK("https://www.773grp.com/manufacturer/national-semiconductor?pageNo=131", "National Semiconductor")</f>
        <v>National Semiconductor</v>
      </c>
      <c r="C9512" s="6">
        <v>1261</v>
      </c>
      <c r="D9512" s="7">
        <v>13.64</v>
      </c>
    </row>
    <row r="9513" spans="1:5" x14ac:dyDescent="0.25">
      <c r="A9513" t="str">
        <f>HYPERLINK("https://www.773grp.com/globalSearch/4724BDM/page-1", "4724BDM")</f>
        <v>4724BDM</v>
      </c>
      <c r="B9513" s="3" t="str">
        <f>HYPERLINK("https://www.773grp.com/manufacturer/national-semiconductor?pageNo=132", "National Semiconductor")</f>
        <v>National Semiconductor</v>
      </c>
      <c r="C9513" s="6">
        <v>1195</v>
      </c>
      <c r="D9513" s="7">
        <v>13.68</v>
      </c>
    </row>
    <row r="9514" spans="1:5" x14ac:dyDescent="0.25">
      <c r="A9514" t="str">
        <f>HYPERLINK("https://www.773grp.com/globalSearch/LM2650MX-ADJ/page-1", "LM2650MX-ADJ")</f>
        <v>LM2650MX-ADJ</v>
      </c>
      <c r="B9514" s="3" t="str">
        <f>HYPERLINK("https://www.773grp.com/manufacturer/national-semiconductor?pageNo=133", "National Semiconductor")</f>
        <v>National Semiconductor</v>
      </c>
      <c r="C9514" s="6">
        <v>2000</v>
      </c>
      <c r="D9514" s="7">
        <v>13.7</v>
      </c>
      <c r="E9514" t="s">
        <v>7</v>
      </c>
    </row>
    <row r="9515" spans="1:5" x14ac:dyDescent="0.25">
      <c r="A9515" t="str">
        <f>HYPERLINK("https://www.773grp.com/globalSearch/MF10ACWM/page-1", "MF10ACWM")</f>
        <v>MF10ACWM</v>
      </c>
      <c r="B9515" s="3" t="str">
        <f>HYPERLINK("https://www.773grp.com/manufacturer/national-semiconductor?pageNo=134", "National Semiconductor")</f>
        <v>National Semiconductor</v>
      </c>
      <c r="C9515" s="6">
        <v>200</v>
      </c>
      <c r="D9515" s="7">
        <v>13.7</v>
      </c>
      <c r="E9515" t="s">
        <v>58</v>
      </c>
    </row>
    <row r="9516" spans="1:5" x14ac:dyDescent="0.25">
      <c r="A9516" t="str">
        <f>HYPERLINK("https://www.773grp.com/globalSearch/4093BDM/page-1", "4093BDM")</f>
        <v>4093BDM</v>
      </c>
      <c r="B9516" s="3" t="str">
        <f>HYPERLINK("https://www.773grp.com/manufacturer/national-semiconductor?pageNo=1", "National Semiconductor")</f>
        <v>National Semiconductor</v>
      </c>
      <c r="C9516" s="6">
        <v>3177</v>
      </c>
      <c r="D9516" s="7">
        <v>13.73</v>
      </c>
    </row>
    <row r="9517" spans="1:5" x14ac:dyDescent="0.25">
      <c r="A9517" t="str">
        <f>HYPERLINK("https://www.773grp.com/globalSearch/4510BDC/page-1", "4510BDC")</f>
        <v>4510BDC</v>
      </c>
      <c r="B9517" s="3" t="str">
        <f>HYPERLINK("https://www.773grp.com/manufacturer/national-semiconductor?pageNo=2", "National Semiconductor")</f>
        <v>National Semiconductor</v>
      </c>
      <c r="C9517" s="6">
        <v>9688</v>
      </c>
      <c r="D9517" s="7">
        <v>13.73</v>
      </c>
    </row>
    <row r="9518" spans="1:5" x14ac:dyDescent="0.25">
      <c r="A9518" t="str">
        <f>HYPERLINK("https://www.773grp.com/globalSearch/4511BDC/page-1", "4511BDC")</f>
        <v>4511BDC</v>
      </c>
      <c r="B9518" s="3" t="str">
        <f>HYPERLINK("https://www.773grp.com/manufacturer/national-semiconductor?pageNo=3", "National Semiconductor")</f>
        <v>National Semiconductor</v>
      </c>
      <c r="C9518" s="6">
        <v>12595</v>
      </c>
      <c r="D9518" s="7">
        <v>13.73</v>
      </c>
    </row>
    <row r="9519" spans="1:5" x14ac:dyDescent="0.25">
      <c r="A9519" t="str">
        <f>HYPERLINK("https://www.773grp.com/globalSearch/74FCT244AQSC/page-1", "74FCT244AQSC")</f>
        <v>74FCT244AQSC</v>
      </c>
      <c r="B9519" s="3" t="str">
        <f>HYPERLINK("https://www.773grp.com/manufacturer/national-semiconductor?pageNo=4", "National Semiconductor")</f>
        <v>National Semiconductor</v>
      </c>
      <c r="C9519" s="6">
        <v>1872</v>
      </c>
      <c r="D9519" s="7">
        <v>13.73</v>
      </c>
      <c r="E9519" t="s">
        <v>14</v>
      </c>
    </row>
    <row r="9520" spans="1:5" x14ac:dyDescent="0.25">
      <c r="A9520" t="str">
        <f>HYPERLINK("https://www.773grp.com/globalSearch/74S175FM/page-1", "74S175FM")</f>
        <v>74S175FM</v>
      </c>
      <c r="B9520" s="3" t="str">
        <f>HYPERLINK("https://www.773grp.com/manufacturer/national-semiconductor?pageNo=5", "National Semiconductor")</f>
        <v>National Semiconductor</v>
      </c>
      <c r="C9520" s="6">
        <v>27</v>
      </c>
      <c r="D9520" s="7">
        <v>13.73</v>
      </c>
    </row>
    <row r="9521" spans="1:5" x14ac:dyDescent="0.25">
      <c r="A9521" t="str">
        <f>HYPERLINK("https://www.773grp.com/globalSearch/COP8SGE7VEJ7/page-1", "COP8SGE7VEJ7")</f>
        <v>COP8SGE7VEJ7</v>
      </c>
      <c r="B9521" s="3" t="str">
        <f>HYPERLINK("https://www.773grp.com/manufacturer/national-semiconductor?pageNo=6", "National Semiconductor")</f>
        <v>National Semiconductor</v>
      </c>
      <c r="C9521" s="6">
        <v>12</v>
      </c>
      <c r="D9521" s="7">
        <v>13.73</v>
      </c>
      <c r="E9521" t="s">
        <v>52</v>
      </c>
    </row>
    <row r="9522" spans="1:5" x14ac:dyDescent="0.25">
      <c r="A9522" t="str">
        <f>HYPERLINK("https://www.773grp.com/globalSearch/LMH6552MA-NOPB/page-1", "LMH6552MA-NOPB")</f>
        <v>LMH6552MA-NOPB</v>
      </c>
      <c r="B9522" s="3" t="str">
        <f>HYPERLINK("https://www.773grp.com/manufacturer/national-semiconductor?pageNo=7", "National Semiconductor")</f>
        <v>National Semiconductor</v>
      </c>
      <c r="C9522" s="6">
        <v>555</v>
      </c>
      <c r="D9522" s="7">
        <v>13.73</v>
      </c>
      <c r="E9522" t="s">
        <v>13</v>
      </c>
    </row>
    <row r="9523" spans="1:5" x14ac:dyDescent="0.25">
      <c r="A9523" t="str">
        <f>HYPERLINK("https://www.773grp.com/globalSearch/LMH6552MA-NOPB/page-1", "LMH6552MA-NOPB")</f>
        <v>LMH6552MA-NOPB</v>
      </c>
      <c r="B9523" s="3" t="str">
        <f>HYPERLINK("https://www.773grp.com/manufacturer/national-semiconductor?pageNo=8", "National Semiconductor")</f>
        <v>National Semiconductor</v>
      </c>
      <c r="C9523" s="6">
        <v>153</v>
      </c>
      <c r="D9523" s="7">
        <v>13.73</v>
      </c>
      <c r="E9523" t="s">
        <v>13</v>
      </c>
    </row>
    <row r="9524" spans="1:5" x14ac:dyDescent="0.25">
      <c r="A9524" t="str">
        <f>HYPERLINK("https://www.773grp.com/globalSearch/100114FC/page-1", "100114FC")</f>
        <v>100114FC</v>
      </c>
      <c r="B9524" s="3" t="str">
        <f>HYPERLINK("https://www.773grp.com/manufacturer/national-semiconductor?pageNo=9", "National Semiconductor")</f>
        <v>National Semiconductor</v>
      </c>
      <c r="C9524" s="6">
        <v>723</v>
      </c>
      <c r="D9524" s="7">
        <v>13.75</v>
      </c>
      <c r="E9524" t="s">
        <v>21</v>
      </c>
    </row>
    <row r="9525" spans="1:5" x14ac:dyDescent="0.25">
      <c r="A9525" t="str">
        <f>HYPERLINK("https://www.773grp.com/globalSearch/100114FCQR/page-1", "100114FCQR")</f>
        <v>100114FCQR</v>
      </c>
      <c r="B9525" s="3" t="str">
        <f>HYPERLINK("https://www.773grp.com/manufacturer/national-semiconductor?pageNo=10", "National Semiconductor")</f>
        <v>National Semiconductor</v>
      </c>
      <c r="C9525" s="6">
        <v>1</v>
      </c>
      <c r="D9525" s="7">
        <v>13.75</v>
      </c>
      <c r="E9525" t="s">
        <v>21</v>
      </c>
    </row>
    <row r="9526" spans="1:5" x14ac:dyDescent="0.25">
      <c r="A9526" t="str">
        <f>HYPERLINK("https://www.773grp.com/globalSearch/ADC0817CCN-NOPB/page-1", "ADC0817CCN-NOPB")</f>
        <v>ADC0817CCN-NOPB</v>
      </c>
      <c r="B9526" s="3" t="str">
        <f>HYPERLINK("https://www.773grp.com/manufacturer/national-semiconductor?pageNo=11", "National Semiconductor")</f>
        <v>National Semiconductor</v>
      </c>
      <c r="C9526" s="6">
        <v>77</v>
      </c>
      <c r="D9526" s="7">
        <v>13.75</v>
      </c>
    </row>
    <row r="9527" spans="1:5" x14ac:dyDescent="0.25">
      <c r="A9527" t="str">
        <f>HYPERLINK("https://www.773grp.com/globalSearch/LMH1981MT/page-1", "LMH1981MT")</f>
        <v>LMH1981MT</v>
      </c>
      <c r="B9527" s="3" t="str">
        <f>HYPERLINK("https://www.773grp.com/manufacturer/national-semiconductor?pageNo=12", "National Semiconductor")</f>
        <v>National Semiconductor</v>
      </c>
      <c r="C9527" s="6">
        <v>554</v>
      </c>
      <c r="D9527" s="7">
        <v>13.75</v>
      </c>
      <c r="E9527" t="s">
        <v>15</v>
      </c>
    </row>
    <row r="9528" spans="1:5" x14ac:dyDescent="0.25">
      <c r="A9528" t="str">
        <f>HYPERLINK("https://www.773grp.com/globalSearch/LMH1981MTX-NOPB/page-1", "LMH1981MTX-NOPB")</f>
        <v>LMH1981MTX-NOPB</v>
      </c>
      <c r="B9528" s="3" t="str">
        <f>HYPERLINK("https://www.773grp.com/manufacturer/national-semiconductor?pageNo=13", "National Semiconductor")</f>
        <v>National Semiconductor</v>
      </c>
      <c r="C9528" s="6">
        <v>11688</v>
      </c>
      <c r="D9528" s="7">
        <v>13.75</v>
      </c>
    </row>
    <row r="9529" spans="1:5" x14ac:dyDescent="0.25">
      <c r="A9529" t="str">
        <f>HYPERLINK("https://www.773grp.com/globalSearch/LMZ12001TZ-ADJ-NOPB/page-1", "LMZ12001TZ-ADJ-NOPB")</f>
        <v>LMZ12001TZ-ADJ-NOPB</v>
      </c>
      <c r="B9529" s="3" t="str">
        <f>HYPERLINK("https://www.773grp.com/manufacturer/national-semiconductor?pageNo=14", "National Semiconductor")</f>
        <v>National Semiconductor</v>
      </c>
      <c r="C9529" s="6">
        <v>1373</v>
      </c>
      <c r="D9529" s="7">
        <v>13.75</v>
      </c>
    </row>
    <row r="9530" spans="1:5" x14ac:dyDescent="0.25">
      <c r="A9530" t="str">
        <f>HYPERLINK("https://www.773grp.com/globalSearch/ADC0817CCN-NOPB/page-1", "ADC0817CCN-NOPB")</f>
        <v>ADC0817CCN-NOPB</v>
      </c>
      <c r="B9530" s="3" t="str">
        <f>HYPERLINK("https://www.773grp.com/manufacturer/national-semiconductor?pageNo=15", "National Semiconductor")</f>
        <v>National Semiconductor</v>
      </c>
      <c r="C9530" s="6">
        <v>1016</v>
      </c>
      <c r="D9530" s="7">
        <v>13.75</v>
      </c>
    </row>
    <row r="9531" spans="1:5" x14ac:dyDescent="0.25">
      <c r="A9531" t="str">
        <f>HYPERLINK("https://www.773grp.com/globalSearch/LM98555CCMHX-NOPB/page-1", "LM98555CCMHX-NOPB")</f>
        <v>LM98555CCMHX-NOPB</v>
      </c>
      <c r="B9531" s="3" t="str">
        <f>HYPERLINK("https://www.773grp.com/manufacturer/national-semiconductor?pageNo=16", "National Semiconductor")</f>
        <v>National Semiconductor</v>
      </c>
      <c r="C9531" s="6">
        <v>3000</v>
      </c>
      <c r="D9531" s="7">
        <v>13.75</v>
      </c>
    </row>
    <row r="9532" spans="1:5" x14ac:dyDescent="0.25">
      <c r="A9532" t="str">
        <f>HYPERLINK("https://www.773grp.com/globalSearch/LMH1981MTX-NOPB/page-1", "LMH1981MTX-NOPB")</f>
        <v>LMH1981MTX-NOPB</v>
      </c>
      <c r="B9532" s="3" t="str">
        <f>HYPERLINK("https://www.773grp.com/manufacturer/national-semiconductor?pageNo=17", "National Semiconductor")</f>
        <v>National Semiconductor</v>
      </c>
      <c r="C9532" s="6">
        <v>5000</v>
      </c>
      <c r="D9532" s="7">
        <v>13.75</v>
      </c>
    </row>
    <row r="9533" spans="1:5" x14ac:dyDescent="0.25">
      <c r="A9533" t="str">
        <f>HYPERLINK("https://www.773grp.com/globalSearch/54LS02LMQB/page-1", "54LS02LMQB")</f>
        <v>54LS02LMQB</v>
      </c>
      <c r="B9533" s="3" t="str">
        <f>HYPERLINK("https://www.773grp.com/manufacturer/national-semiconductor?pageNo=18", "National Semiconductor")</f>
        <v>National Semiconductor</v>
      </c>
      <c r="C9533" s="6">
        <v>1443</v>
      </c>
      <c r="D9533" s="7">
        <v>13.79</v>
      </c>
      <c r="E9533" t="s">
        <v>31</v>
      </c>
    </row>
    <row r="9534" spans="1:5" x14ac:dyDescent="0.25">
      <c r="A9534" t="str">
        <f>HYPERLINK("https://www.773grp.com/globalSearch/54LS04LMQB/page-1", "54LS04LMQB")</f>
        <v>54LS04LMQB</v>
      </c>
      <c r="B9534" s="3" t="str">
        <f>HYPERLINK("https://www.773grp.com/manufacturer/national-semiconductor?pageNo=19", "National Semiconductor")</f>
        <v>National Semiconductor</v>
      </c>
      <c r="C9534" s="6">
        <v>1236</v>
      </c>
      <c r="D9534" s="7">
        <v>13.79</v>
      </c>
      <c r="E9534" t="s">
        <v>31</v>
      </c>
    </row>
    <row r="9535" spans="1:5" x14ac:dyDescent="0.25">
      <c r="A9535" t="str">
        <f>HYPERLINK("https://www.773grp.com/globalSearch/54LS08LMQB/page-1", "54LS08LMQB")</f>
        <v>54LS08LMQB</v>
      </c>
      <c r="B9535" s="3" t="str">
        <f>HYPERLINK("https://www.773grp.com/manufacturer/national-semiconductor?pageNo=20", "National Semiconductor")</f>
        <v>National Semiconductor</v>
      </c>
      <c r="C9535" s="6">
        <v>2365</v>
      </c>
      <c r="D9535" s="7">
        <v>13.79</v>
      </c>
      <c r="E9535" t="s">
        <v>31</v>
      </c>
    </row>
    <row r="9536" spans="1:5" x14ac:dyDescent="0.25">
      <c r="A9536" t="str">
        <f>HYPERLINK("https://www.773grp.com/globalSearch/54LS20LM/page-1", "54LS20LM")</f>
        <v>54LS20LM</v>
      </c>
      <c r="B9536" s="3" t="str">
        <f>HYPERLINK("https://www.773grp.com/manufacturer/national-semiconductor?pageNo=21", "National Semiconductor")</f>
        <v>National Semiconductor</v>
      </c>
      <c r="C9536" s="6">
        <v>553</v>
      </c>
      <c r="D9536" s="7">
        <v>13.79</v>
      </c>
    </row>
    <row r="9537" spans="1:5" x14ac:dyDescent="0.25">
      <c r="A9537" t="str">
        <f>HYPERLINK("https://www.773grp.com/globalSearch/54LS30LMQB/page-1", "54LS30LMQB")</f>
        <v>54LS30LMQB</v>
      </c>
      <c r="B9537" s="3" t="str">
        <f>HYPERLINK("https://www.773grp.com/manufacturer/national-semiconductor?pageNo=22", "National Semiconductor")</f>
        <v>National Semiconductor</v>
      </c>
      <c r="C9537" s="6">
        <v>72</v>
      </c>
      <c r="D9537" s="7">
        <v>13.79</v>
      </c>
      <c r="E9537" t="s">
        <v>31</v>
      </c>
    </row>
    <row r="9538" spans="1:5" x14ac:dyDescent="0.25">
      <c r="A9538" t="str">
        <f>HYPERLINK("https://www.773grp.com/globalSearch/54LS32LM/page-1", "54LS32LM")</f>
        <v>54LS32LM</v>
      </c>
      <c r="B9538" s="3" t="str">
        <f>HYPERLINK("https://www.773grp.com/manufacturer/national-semiconductor?pageNo=23", "National Semiconductor")</f>
        <v>National Semiconductor</v>
      </c>
      <c r="C9538" s="6">
        <v>147</v>
      </c>
      <c r="D9538" s="7">
        <v>13.79</v>
      </c>
    </row>
    <row r="9539" spans="1:5" x14ac:dyDescent="0.25">
      <c r="A9539" t="str">
        <f>HYPERLINK("https://www.773grp.com/globalSearch/54LS32LMQB/page-1", "54LS32LMQB")</f>
        <v>54LS32LMQB</v>
      </c>
      <c r="B9539" s="3" t="str">
        <f>HYPERLINK("https://www.773grp.com/manufacturer/national-semiconductor?pageNo=24", "National Semiconductor")</f>
        <v>National Semiconductor</v>
      </c>
      <c r="C9539" s="6">
        <v>7047</v>
      </c>
      <c r="D9539" s="7">
        <v>13.79</v>
      </c>
      <c r="E9539" t="s">
        <v>31</v>
      </c>
    </row>
    <row r="9540" spans="1:5" x14ac:dyDescent="0.25">
      <c r="A9540" t="str">
        <f>HYPERLINK("https://www.773grp.com/globalSearch/DM54S157W-MIL/page-1", "DM54S157W-MIL")</f>
        <v>DM54S157W-MIL</v>
      </c>
      <c r="B9540" s="3" t="str">
        <f>HYPERLINK("https://www.773grp.com/manufacturer/national-semiconductor?pageNo=25", "National Semiconductor")</f>
        <v>National Semiconductor</v>
      </c>
      <c r="C9540" s="6">
        <v>15</v>
      </c>
      <c r="D9540" s="7">
        <v>13.79</v>
      </c>
    </row>
    <row r="9541" spans="1:5" x14ac:dyDescent="0.25">
      <c r="A9541" t="str">
        <f>HYPERLINK("https://www.773grp.com/globalSearch/DS90CF388AVJD/page-1", "DS90CF388AVJD")</f>
        <v>DS90CF388AVJD</v>
      </c>
      <c r="B9541" s="3" t="str">
        <f>HYPERLINK("https://www.773grp.com/manufacturer/national-semiconductor?pageNo=26", "National Semiconductor")</f>
        <v>National Semiconductor</v>
      </c>
      <c r="C9541" s="6">
        <v>11</v>
      </c>
      <c r="D9541" s="7">
        <v>13.79</v>
      </c>
      <c r="E9541" t="s">
        <v>21</v>
      </c>
    </row>
    <row r="9542" spans="1:5" x14ac:dyDescent="0.25">
      <c r="A9542" t="str">
        <f>HYPERLINK("https://www.773grp.com/globalSearch/DS90CF388AVJD-NOPB/page-1", "DS90CF388AVJD-NOPB")</f>
        <v>DS90CF388AVJD-NOPB</v>
      </c>
      <c r="B9542" s="3" t="str">
        <f>HYPERLINK("https://www.773grp.com/manufacturer/national-semiconductor?pageNo=27", "National Semiconductor")</f>
        <v>National Semiconductor</v>
      </c>
      <c r="C9542" s="6">
        <v>5167</v>
      </c>
      <c r="D9542" s="7">
        <v>13.79</v>
      </c>
      <c r="E9542" t="s">
        <v>21</v>
      </c>
    </row>
    <row r="9543" spans="1:5" x14ac:dyDescent="0.25">
      <c r="A9543" t="str">
        <f>HYPERLINK("https://www.773grp.com/globalSearch/LM1131BN-02/page-1", "LM1131BN-02")</f>
        <v>LM1131BN-02</v>
      </c>
      <c r="B9543" s="3" t="str">
        <f>HYPERLINK("https://www.773grp.com/manufacturer/national-semiconductor?pageNo=28", "National Semiconductor")</f>
        <v>National Semiconductor</v>
      </c>
      <c r="C9543" s="6">
        <v>2170</v>
      </c>
      <c r="D9543" s="7">
        <v>13.79</v>
      </c>
    </row>
    <row r="9544" spans="1:5" x14ac:dyDescent="0.25">
      <c r="A9544" t="str">
        <f>HYPERLINK("https://www.773grp.com/globalSearch/DS90CF388AVJD-NOPB/page-1", "DS90CF388AVJD-NOPB")</f>
        <v>DS90CF388AVJD-NOPB</v>
      </c>
      <c r="B9544" s="3" t="str">
        <f>HYPERLINK("https://www.773grp.com/manufacturer/national-semiconductor?pageNo=29", "National Semiconductor")</f>
        <v>National Semiconductor</v>
      </c>
      <c r="C9544" s="6">
        <v>540</v>
      </c>
      <c r="D9544" s="7">
        <v>13.79</v>
      </c>
      <c r="E9544" t="s">
        <v>21</v>
      </c>
    </row>
    <row r="9545" spans="1:5" x14ac:dyDescent="0.25">
      <c r="A9545" t="str">
        <f>HYPERLINK("https://www.773grp.com/globalSearch/DS90UB901QSQE-NOPB/page-1", "DS90UB901QSQE-NOPB")</f>
        <v>DS90UB901QSQE-NOPB</v>
      </c>
      <c r="B9545" s="3" t="str">
        <f>HYPERLINK("https://www.773grp.com/manufacturer/national-semiconductor?pageNo=30", "National Semiconductor")</f>
        <v>National Semiconductor</v>
      </c>
      <c r="C9545" s="6">
        <v>1860</v>
      </c>
      <c r="D9545" s="7">
        <v>13.8</v>
      </c>
    </row>
    <row r="9546" spans="1:5" x14ac:dyDescent="0.25">
      <c r="A9546" t="str">
        <f>HYPERLINK("https://www.773grp.com/globalSearch/DS90UB902QSQE-NOPB/page-1", "DS90UB902QSQE-NOPB")</f>
        <v>DS90UB902QSQE-NOPB</v>
      </c>
      <c r="B9546" s="3" t="str">
        <f>HYPERLINK("https://www.773grp.com/manufacturer/national-semiconductor?pageNo=31", "National Semiconductor")</f>
        <v>National Semiconductor</v>
      </c>
      <c r="C9546" s="6">
        <v>30</v>
      </c>
      <c r="D9546" s="7">
        <v>13.8</v>
      </c>
    </row>
    <row r="9547" spans="1:5" x14ac:dyDescent="0.25">
      <c r="A9547" t="str">
        <f>HYPERLINK("https://www.773grp.com/globalSearch/DS90UB903QSQE-NOPB/page-1", "DS90UB903QSQE-NOPB")</f>
        <v>DS90UB903QSQE-NOPB</v>
      </c>
      <c r="B9547" s="3" t="str">
        <f>HYPERLINK("https://www.773grp.com/manufacturer/national-semiconductor?pageNo=32", "National Semiconductor")</f>
        <v>National Semiconductor</v>
      </c>
      <c r="C9547" s="6">
        <v>5468</v>
      </c>
      <c r="D9547" s="7">
        <v>13.8</v>
      </c>
    </row>
    <row r="9548" spans="1:5" x14ac:dyDescent="0.25">
      <c r="A9548" t="str">
        <f>HYPERLINK("https://www.773grp.com/globalSearch/DS90UB904QSQE-NOPB/page-1", "DS90UB904QSQE-NOPB")</f>
        <v>DS90UB904QSQE-NOPB</v>
      </c>
      <c r="B9548" s="3" t="str">
        <f>HYPERLINK("https://www.773grp.com/manufacturer/national-semiconductor?pageNo=33", "National Semiconductor")</f>
        <v>National Semiconductor</v>
      </c>
      <c r="C9548" s="6">
        <v>1230</v>
      </c>
      <c r="D9548" s="7">
        <v>13.8</v>
      </c>
    </row>
    <row r="9549" spans="1:5" x14ac:dyDescent="0.25">
      <c r="A9549" t="str">
        <f>HYPERLINK("https://www.773grp.com/globalSearch/LMH6514SQE-NOPB/page-1", "LMH6514SQE-NOPB")</f>
        <v>LMH6514SQE-NOPB</v>
      </c>
      <c r="B9549" s="3" t="str">
        <f>HYPERLINK("https://www.773grp.com/manufacturer/national-semiconductor?pageNo=34", "National Semiconductor")</f>
        <v>National Semiconductor</v>
      </c>
      <c r="C9549" s="6">
        <v>543</v>
      </c>
      <c r="D9549" s="7">
        <v>13.84</v>
      </c>
    </row>
    <row r="9550" spans="1:5" x14ac:dyDescent="0.25">
      <c r="A9550" t="str">
        <f>HYPERLINK("https://www.773grp.com/globalSearch/LMH6514SQE-NOPB/page-1", "LMH6514SQE-NOPB")</f>
        <v>LMH6514SQE-NOPB</v>
      </c>
      <c r="B9550" s="3" t="str">
        <f>HYPERLINK("https://www.773grp.com/manufacturer/national-semiconductor?pageNo=35", "National Semiconductor")</f>
        <v>National Semiconductor</v>
      </c>
      <c r="C9550" s="6">
        <v>250</v>
      </c>
      <c r="D9550" s="7">
        <v>13.84</v>
      </c>
    </row>
    <row r="9551" spans="1:5" x14ac:dyDescent="0.25">
      <c r="A9551" t="str">
        <f>HYPERLINK("https://www.773grp.com/globalSearch/54AC245DM/page-1", "54AC245DM")</f>
        <v>54AC245DM</v>
      </c>
      <c r="B9551" s="3" t="str">
        <f>HYPERLINK("https://www.773grp.com/manufacturer/national-semiconductor?pageNo=36", "National Semiconductor")</f>
        <v>National Semiconductor</v>
      </c>
      <c r="C9551" s="6">
        <v>34</v>
      </c>
      <c r="D9551" s="7">
        <v>13.88</v>
      </c>
      <c r="E9551" t="s">
        <v>14</v>
      </c>
    </row>
    <row r="9552" spans="1:5" x14ac:dyDescent="0.25">
      <c r="A9552" t="str">
        <f>HYPERLINK("https://www.773grp.com/globalSearch/54ACT244DM/page-1", "54ACT244DM")</f>
        <v>54ACT244DM</v>
      </c>
      <c r="B9552" s="3" t="str">
        <f>HYPERLINK("https://www.773grp.com/manufacturer/national-semiconductor?pageNo=37", "National Semiconductor")</f>
        <v>National Semiconductor</v>
      </c>
      <c r="C9552" s="6">
        <v>11</v>
      </c>
      <c r="D9552" s="7">
        <v>13.88</v>
      </c>
      <c r="E9552" t="s">
        <v>14</v>
      </c>
    </row>
    <row r="9553" spans="1:5" x14ac:dyDescent="0.25">
      <c r="A9553" t="str">
        <f>HYPERLINK("https://www.773grp.com/globalSearch/54ACT245DMQB/page-1", "54ACT245DMQB")</f>
        <v>54ACT245DMQB</v>
      </c>
      <c r="B9553" s="3" t="str">
        <f>HYPERLINK("https://www.773grp.com/manufacturer/national-semiconductor?pageNo=38", "National Semiconductor")</f>
        <v>National Semiconductor</v>
      </c>
      <c r="C9553" s="6">
        <v>158</v>
      </c>
      <c r="D9553" s="7">
        <v>13.88</v>
      </c>
      <c r="E9553" t="s">
        <v>14</v>
      </c>
    </row>
    <row r="9554" spans="1:5" x14ac:dyDescent="0.25">
      <c r="A9554" t="str">
        <f>HYPERLINK("https://www.773grp.com/globalSearch/100121DC/page-1", "100121DC")</f>
        <v>100121DC</v>
      </c>
      <c r="B9554" s="3" t="str">
        <f>HYPERLINK("https://www.773grp.com/manufacturer/national-semiconductor?pageNo=39", "National Semiconductor")</f>
        <v>National Semiconductor</v>
      </c>
      <c r="C9554" s="6">
        <v>51</v>
      </c>
      <c r="D9554" s="7">
        <v>13.89</v>
      </c>
      <c r="E9554" t="s">
        <v>31</v>
      </c>
    </row>
    <row r="9555" spans="1:5" x14ac:dyDescent="0.25">
      <c r="A9555" t="str">
        <f>HYPERLINK("https://www.773grp.com/globalSearch/100121DCQR/page-1", "100121DCQR")</f>
        <v>100121DCQR</v>
      </c>
      <c r="B9555" s="3" t="str">
        <f>HYPERLINK("https://www.773grp.com/manufacturer/national-semiconductor?pageNo=40", "National Semiconductor")</f>
        <v>National Semiconductor</v>
      </c>
      <c r="C9555" s="6">
        <v>2203</v>
      </c>
      <c r="D9555" s="7">
        <v>13.89</v>
      </c>
      <c r="E9555" t="s">
        <v>31</v>
      </c>
    </row>
    <row r="9556" spans="1:5" x14ac:dyDescent="0.25">
      <c r="A9556" t="str">
        <f>HYPERLINK("https://www.773grp.com/globalSearch/ADC122S706CIMT-NOPB/page-1", "ADC122S706CIMT-NOPB")</f>
        <v>ADC122S706CIMT-NOPB</v>
      </c>
      <c r="B9556" s="3" t="str">
        <f>HYPERLINK("https://www.773grp.com/manufacturer/national-semiconductor?pageNo=41", "National Semiconductor")</f>
        <v>National Semiconductor</v>
      </c>
      <c r="C9556" s="6">
        <v>88</v>
      </c>
      <c r="D9556" s="7">
        <v>13.89</v>
      </c>
    </row>
    <row r="9557" spans="1:5" x14ac:dyDescent="0.25">
      <c r="A9557" t="str">
        <f>HYPERLINK("https://www.773grp.com/globalSearch/LM2585S-ADJ/page-1", "LM2585S-ADJ")</f>
        <v>LM2585S-ADJ</v>
      </c>
      <c r="B9557" s="3" t="str">
        <f>HYPERLINK("https://www.773grp.com/manufacturer/national-semiconductor?pageNo=42", "National Semiconductor")</f>
        <v>National Semiconductor</v>
      </c>
      <c r="C9557" s="6">
        <v>450</v>
      </c>
      <c r="D9557" s="7">
        <v>13.89</v>
      </c>
      <c r="E9557" t="s">
        <v>7</v>
      </c>
    </row>
    <row r="9558" spans="1:5" x14ac:dyDescent="0.25">
      <c r="A9558" t="str">
        <f>HYPERLINK("https://www.773grp.com/globalSearch/LMH0002SQ/page-1", "LMH0002SQ")</f>
        <v>LMH0002SQ</v>
      </c>
      <c r="B9558" s="3" t="str">
        <f>HYPERLINK("https://www.773grp.com/manufacturer/national-semiconductor?pageNo=43", "National Semiconductor")</f>
        <v>National Semiconductor</v>
      </c>
      <c r="C9558" s="6">
        <v>1949</v>
      </c>
      <c r="D9558" s="7">
        <v>13.89</v>
      </c>
      <c r="E9558" t="s">
        <v>21</v>
      </c>
    </row>
    <row r="9559" spans="1:5" x14ac:dyDescent="0.25">
      <c r="A9559" t="str">
        <f>HYPERLINK("https://www.773grp.com/globalSearch/MM54HC194J-883/page-1", "MM54HC194J-883")</f>
        <v>MM54HC194J-883</v>
      </c>
      <c r="B9559" s="3" t="str">
        <f>HYPERLINK("https://www.773grp.com/manufacturer/national-semiconductor?pageNo=44", "National Semiconductor")</f>
        <v>National Semiconductor</v>
      </c>
      <c r="C9559" s="6">
        <v>323</v>
      </c>
      <c r="D9559" s="7">
        <v>13.89</v>
      </c>
    </row>
    <row r="9560" spans="1:5" x14ac:dyDescent="0.25">
      <c r="A9560" t="str">
        <f>HYPERLINK("https://www.773grp.com/globalSearch/MM54HC195J-883/page-1", "MM54HC195J-883")</f>
        <v>MM54HC195J-883</v>
      </c>
      <c r="B9560" s="3" t="str">
        <f>HYPERLINK("https://www.773grp.com/manufacturer/national-semiconductor?pageNo=45", "National Semiconductor")</f>
        <v>National Semiconductor</v>
      </c>
      <c r="C9560" s="6">
        <v>75</v>
      </c>
      <c r="D9560" s="7">
        <v>13.89</v>
      </c>
    </row>
    <row r="9561" spans="1:5" x14ac:dyDescent="0.25">
      <c r="A9561" t="str">
        <f>HYPERLINK("https://www.773grp.com/globalSearch/ADC10D020CIVSX-NOPB/page-1", "ADC10D020CIVSX-NOPB")</f>
        <v>ADC10D020CIVSX-NOPB</v>
      </c>
      <c r="B9561" s="3" t="str">
        <f>HYPERLINK("https://www.773grp.com/manufacturer/national-semiconductor?pageNo=46", "National Semiconductor")</f>
        <v>National Semiconductor</v>
      </c>
      <c r="C9561" s="6">
        <v>18000</v>
      </c>
      <c r="D9561" s="7">
        <v>13.89</v>
      </c>
    </row>
    <row r="9562" spans="1:5" x14ac:dyDescent="0.25">
      <c r="A9562" t="str">
        <f>HYPERLINK("https://www.773grp.com/globalSearch/ADC122S706CIMT-NOPB/page-1", "ADC122S706CIMT-NOPB")</f>
        <v>ADC122S706CIMT-NOPB</v>
      </c>
      <c r="B9562" s="3" t="str">
        <f>HYPERLINK("https://www.773grp.com/manufacturer/national-semiconductor?pageNo=47", "National Semiconductor")</f>
        <v>National Semiconductor</v>
      </c>
      <c r="C9562" s="6">
        <v>250</v>
      </c>
      <c r="D9562" s="7">
        <v>13.89</v>
      </c>
    </row>
    <row r="9563" spans="1:5" x14ac:dyDescent="0.25">
      <c r="A9563" t="str">
        <f>HYPERLINK("https://www.773grp.com/globalSearch/DS90C241QVSX/page-1", "DS90C241QVSX")</f>
        <v>DS90C241QVSX</v>
      </c>
      <c r="B9563" s="3" t="str">
        <f>HYPERLINK("https://www.773grp.com/manufacturer/national-semiconductor?pageNo=48", "National Semiconductor")</f>
        <v>National Semiconductor</v>
      </c>
      <c r="C9563" s="6">
        <v>1000</v>
      </c>
      <c r="D9563" s="7">
        <v>13.89</v>
      </c>
      <c r="E9563" t="s">
        <v>21</v>
      </c>
    </row>
    <row r="9564" spans="1:5" x14ac:dyDescent="0.25">
      <c r="A9564" t="str">
        <f>HYPERLINK("https://www.773grp.com/globalSearch/LM139AJ-PB/page-1", "LM139AJ-PB")</f>
        <v>LM139AJ-PB</v>
      </c>
      <c r="B9564" s="3" t="str">
        <f>HYPERLINK("https://www.773grp.com/manufacturer/national-semiconductor?pageNo=49", "National Semiconductor")</f>
        <v>National Semiconductor</v>
      </c>
      <c r="C9564" s="6">
        <v>900</v>
      </c>
      <c r="D9564" s="7">
        <v>13.89</v>
      </c>
    </row>
    <row r="9565" spans="1:5" x14ac:dyDescent="0.25">
      <c r="A9565" t="str">
        <f>HYPERLINK("https://www.773grp.com/globalSearch/LM2585S-ADJ/page-1", "LM2585S-ADJ")</f>
        <v>LM2585S-ADJ</v>
      </c>
      <c r="B9565" s="3" t="str">
        <f>HYPERLINK("https://www.773grp.com/manufacturer/national-semiconductor?pageNo=50", "National Semiconductor")</f>
        <v>National Semiconductor</v>
      </c>
      <c r="C9565" s="6">
        <v>368</v>
      </c>
      <c r="D9565" s="7">
        <v>13.89</v>
      </c>
      <c r="E9565" t="s">
        <v>7</v>
      </c>
    </row>
    <row r="9566" spans="1:5" x14ac:dyDescent="0.25">
      <c r="A9566" t="str">
        <f>HYPERLINK("https://www.773grp.com/globalSearch/LMH0002SQ/page-1", "LMH0002SQ")</f>
        <v>LMH0002SQ</v>
      </c>
      <c r="B9566" s="3" t="str">
        <f>HYPERLINK("https://www.773grp.com/manufacturer/national-semiconductor?pageNo=51", "National Semiconductor")</f>
        <v>National Semiconductor</v>
      </c>
      <c r="C9566" s="6">
        <v>1250</v>
      </c>
      <c r="D9566" s="7">
        <v>13.89</v>
      </c>
      <c r="E9566" t="s">
        <v>21</v>
      </c>
    </row>
    <row r="9567" spans="1:5" x14ac:dyDescent="0.25">
      <c r="A9567" t="str">
        <f>HYPERLINK("https://www.773grp.com/globalSearch/40085BDM/page-1", "40085BDM")</f>
        <v>40085BDM</v>
      </c>
      <c r="B9567" s="3" t="str">
        <f>HYPERLINK("https://www.773grp.com/manufacturer/national-semiconductor?pageNo=52", "National Semiconductor")</f>
        <v>National Semiconductor</v>
      </c>
      <c r="C9567" s="6">
        <v>7431</v>
      </c>
      <c r="D9567" s="7">
        <v>13.93</v>
      </c>
    </row>
    <row r="9568" spans="1:5" x14ac:dyDescent="0.25">
      <c r="A9568" t="str">
        <f>HYPERLINK("https://www.773grp.com/globalSearch/54LS181FMQB/page-1", "54LS181FMQB")</f>
        <v>54LS181FMQB</v>
      </c>
      <c r="B9568" s="3" t="str">
        <f>HYPERLINK("https://www.773grp.com/manufacturer/national-semiconductor?pageNo=53", "National Semiconductor")</f>
        <v>National Semiconductor</v>
      </c>
      <c r="C9568" s="6">
        <v>664</v>
      </c>
      <c r="D9568" s="7">
        <v>13.93</v>
      </c>
      <c r="E9568" t="s">
        <v>43</v>
      </c>
    </row>
    <row r="9569" spans="1:5" x14ac:dyDescent="0.25">
      <c r="A9569" t="str">
        <f>HYPERLINK("https://www.773grp.com/globalSearch/54LS260LMQB/page-1", "54LS260LMQB")</f>
        <v>54LS260LMQB</v>
      </c>
      <c r="B9569" s="3" t="str">
        <f>HYPERLINK("https://www.773grp.com/manufacturer/national-semiconductor?pageNo=54", "National Semiconductor")</f>
        <v>National Semiconductor</v>
      </c>
      <c r="C9569" s="6">
        <v>1436</v>
      </c>
      <c r="D9569" s="7">
        <v>13.93</v>
      </c>
      <c r="E9569" t="s">
        <v>31</v>
      </c>
    </row>
    <row r="9570" spans="1:5" x14ac:dyDescent="0.25">
      <c r="A9570" t="str">
        <f>HYPERLINK("https://www.773grp.com/globalSearch/74F544SPC/page-1", "74F544SPC")</f>
        <v>74F544SPC</v>
      </c>
      <c r="B9570" s="3" t="str">
        <f>HYPERLINK("https://www.773grp.com/manufacturer/national-semiconductor?pageNo=55", "National Semiconductor")</f>
        <v>National Semiconductor</v>
      </c>
      <c r="C9570" s="6">
        <v>207</v>
      </c>
      <c r="D9570" s="7">
        <v>13.93</v>
      </c>
      <c r="E9570" t="s">
        <v>14</v>
      </c>
    </row>
    <row r="9571" spans="1:5" x14ac:dyDescent="0.25">
      <c r="A9571" t="str">
        <f>HYPERLINK("https://www.773grp.com/globalSearch/9005DC/page-1", "9005DC")</f>
        <v>9005DC</v>
      </c>
      <c r="B9571" s="3" t="str">
        <f>HYPERLINK("https://www.773grp.com/manufacturer/national-semiconductor?pageNo=56", "National Semiconductor")</f>
        <v>National Semiconductor</v>
      </c>
      <c r="C9571" s="6">
        <v>33580</v>
      </c>
      <c r="D9571" s="7">
        <v>13.93</v>
      </c>
    </row>
    <row r="9572" spans="1:5" x14ac:dyDescent="0.25">
      <c r="A9572" t="str">
        <f>HYPERLINK("https://www.773grp.com/globalSearch/ADC10040CIMT-NOPB/page-1", "ADC10040CIMT-NOPB")</f>
        <v>ADC10040CIMT-NOPB</v>
      </c>
      <c r="B9572" s="3" t="str">
        <f>HYPERLINK("https://www.773grp.com/manufacturer/national-semiconductor?pageNo=57", "National Semiconductor")</f>
        <v>National Semiconductor</v>
      </c>
      <c r="C9572" s="6">
        <v>220</v>
      </c>
      <c r="D9572" s="7">
        <v>13.93</v>
      </c>
      <c r="E9572" t="s">
        <v>39</v>
      </c>
    </row>
    <row r="9573" spans="1:5" x14ac:dyDescent="0.25">
      <c r="A9573" t="str">
        <f>HYPERLINK("https://www.773grp.com/globalSearch/COP8SGR728M8-NOPB/page-1", "COP8SGR728M8-NOPB")</f>
        <v>COP8SGR728M8-NOPB</v>
      </c>
      <c r="B9573" s="3" t="str">
        <f>HYPERLINK("https://www.773grp.com/manufacturer/national-semiconductor?pageNo=58", "National Semiconductor")</f>
        <v>National Semiconductor</v>
      </c>
      <c r="C9573" s="6">
        <v>598</v>
      </c>
      <c r="D9573" s="7">
        <v>13.93</v>
      </c>
      <c r="E9573" t="s">
        <v>52</v>
      </c>
    </row>
    <row r="9574" spans="1:5" x14ac:dyDescent="0.25">
      <c r="A9574" t="str">
        <f>HYPERLINK("https://www.773grp.com/globalSearch/DM54S174J-MIL/page-1", "DM54S174J-MIL")</f>
        <v>DM54S174J-MIL</v>
      </c>
      <c r="B9574" s="3" t="str">
        <f>HYPERLINK("https://www.773grp.com/manufacturer/national-semiconductor?pageNo=59", "National Semiconductor")</f>
        <v>National Semiconductor</v>
      </c>
      <c r="C9574" s="6">
        <v>761</v>
      </c>
      <c r="D9574" s="7">
        <v>13.93</v>
      </c>
    </row>
    <row r="9575" spans="1:5" x14ac:dyDescent="0.25">
      <c r="A9575" t="str">
        <f>HYPERLINK("https://www.773grp.com/globalSearch/DP8392CV-1/page-1", "DP8392CV-1")</f>
        <v>DP8392CV-1</v>
      </c>
      <c r="B9575" s="3" t="str">
        <f>HYPERLINK("https://www.773grp.com/manufacturer/national-semiconductor?pageNo=60", "National Semiconductor")</f>
        <v>National Semiconductor</v>
      </c>
      <c r="C9575" s="6">
        <v>2</v>
      </c>
      <c r="D9575" s="7">
        <v>13.93</v>
      </c>
      <c r="E9575" t="s">
        <v>55</v>
      </c>
    </row>
    <row r="9576" spans="1:5" x14ac:dyDescent="0.25">
      <c r="A9576" t="str">
        <f>HYPERLINK("https://www.773grp.com/globalSearch/DS89C386TMEA-NOPB/page-1", "DS89C386TMEA-NOPB")</f>
        <v>DS89C386TMEA-NOPB</v>
      </c>
      <c r="B9576" s="3" t="str">
        <f>HYPERLINK("https://www.773grp.com/manufacturer/national-semiconductor?pageNo=61", "National Semiconductor")</f>
        <v>National Semiconductor</v>
      </c>
      <c r="C9576" s="6">
        <v>722</v>
      </c>
      <c r="D9576" s="7">
        <v>13.93</v>
      </c>
      <c r="E9576" t="s">
        <v>21</v>
      </c>
    </row>
    <row r="9577" spans="1:5" x14ac:dyDescent="0.25">
      <c r="A9577" t="str">
        <f>HYPERLINK("https://www.773grp.com/globalSearch/DS89C387TMEA-NOPB/page-1", "DS89C387TMEA-NOPB")</f>
        <v>DS89C387TMEA-NOPB</v>
      </c>
      <c r="B9577" s="3" t="str">
        <f>HYPERLINK("https://www.773grp.com/manufacturer/national-semiconductor?pageNo=62", "National Semiconductor")</f>
        <v>National Semiconductor</v>
      </c>
      <c r="C9577" s="6">
        <v>6</v>
      </c>
      <c r="D9577" s="7">
        <v>13.93</v>
      </c>
    </row>
    <row r="9578" spans="1:5" x14ac:dyDescent="0.25">
      <c r="A9578" t="str">
        <f>HYPERLINK("https://www.773grp.com/globalSearch/LMZ10504TZ-ADJ-NOPB/page-1", "LMZ10504TZ-ADJ-NOPB")</f>
        <v>LMZ10504TZ-ADJ-NOPB</v>
      </c>
      <c r="B9578" s="3" t="str">
        <f>HYPERLINK("https://www.773grp.com/manufacturer/national-semiconductor?pageNo=63", "National Semiconductor")</f>
        <v>National Semiconductor</v>
      </c>
      <c r="C9578" s="6">
        <v>6435</v>
      </c>
      <c r="D9578" s="7">
        <v>13.93</v>
      </c>
      <c r="E9578" t="s">
        <v>7</v>
      </c>
    </row>
    <row r="9579" spans="1:5" x14ac:dyDescent="0.25">
      <c r="A9579" t="str">
        <f>HYPERLINK("https://www.773grp.com/globalSearch/ADC10040CIMT-NOPB/page-1", "ADC10040CIMT-NOPB")</f>
        <v>ADC10040CIMT-NOPB</v>
      </c>
      <c r="B9579" s="3" t="str">
        <f>HYPERLINK("https://www.773grp.com/manufacturer/national-semiconductor?pageNo=64", "National Semiconductor")</f>
        <v>National Semiconductor</v>
      </c>
      <c r="C9579" s="6">
        <v>294</v>
      </c>
      <c r="D9579" s="7">
        <v>13.93</v>
      </c>
      <c r="E9579" t="s">
        <v>39</v>
      </c>
    </row>
    <row r="9580" spans="1:5" x14ac:dyDescent="0.25">
      <c r="A9580" t="str">
        <f>HYPERLINK("https://www.773grp.com/globalSearch/COP8SGR728M7-NOPB/page-1", "COP8SGR728M7-NOPB")</f>
        <v>COP8SGR728M7-NOPB</v>
      </c>
      <c r="B9580" s="3" t="str">
        <f>HYPERLINK("https://www.773grp.com/manufacturer/national-semiconductor?pageNo=65", "National Semiconductor")</f>
        <v>National Semiconductor</v>
      </c>
      <c r="C9580" s="6">
        <v>274</v>
      </c>
      <c r="D9580" s="7">
        <v>13.93</v>
      </c>
    </row>
    <row r="9581" spans="1:5" x14ac:dyDescent="0.25">
      <c r="A9581" t="str">
        <f>HYPERLINK("https://www.773grp.com/globalSearch/COP8SGR728M8-NOPB/page-1", "COP8SGR728M8-NOPB")</f>
        <v>COP8SGR728M8-NOPB</v>
      </c>
      <c r="B9581" s="3" t="str">
        <f>HYPERLINK("https://www.773grp.com/manufacturer/national-semiconductor?pageNo=66", "National Semiconductor")</f>
        <v>National Semiconductor</v>
      </c>
      <c r="C9581" s="6">
        <v>702</v>
      </c>
      <c r="D9581" s="7">
        <v>13.93</v>
      </c>
      <c r="E9581" t="s">
        <v>52</v>
      </c>
    </row>
    <row r="9582" spans="1:5" x14ac:dyDescent="0.25">
      <c r="A9582" t="str">
        <f>HYPERLINK("https://www.773grp.com/globalSearch/DS89C386TMEA-NOPB/page-1", "DS89C386TMEA-NOPB")</f>
        <v>DS89C386TMEA-NOPB</v>
      </c>
      <c r="B9582" s="3" t="str">
        <f>HYPERLINK("https://www.773grp.com/manufacturer/national-semiconductor?pageNo=67", "National Semiconductor")</f>
        <v>National Semiconductor</v>
      </c>
      <c r="C9582" s="6">
        <v>1750</v>
      </c>
      <c r="D9582" s="7">
        <v>13.93</v>
      </c>
      <c r="E9582" t="s">
        <v>21</v>
      </c>
    </row>
    <row r="9583" spans="1:5" x14ac:dyDescent="0.25">
      <c r="A9583" t="str">
        <f>HYPERLINK("https://www.773grp.com/globalSearch/DS89C387TMEA-NOPB/page-1", "DS89C387TMEA-NOPB")</f>
        <v>DS89C387TMEA-NOPB</v>
      </c>
      <c r="B9583" s="3" t="str">
        <f>HYPERLINK("https://www.773grp.com/manufacturer/national-semiconductor?pageNo=68", "National Semiconductor")</f>
        <v>National Semiconductor</v>
      </c>
      <c r="C9583" s="6">
        <v>2264</v>
      </c>
      <c r="D9583" s="7">
        <v>13.93</v>
      </c>
    </row>
    <row r="9584" spans="1:5" x14ac:dyDescent="0.25">
      <c r="A9584" t="str">
        <f>HYPERLINK("https://www.773grp.com/globalSearch/TMS320C5534AZHH10/page-1", "TMS320C5534AZHH10")</f>
        <v>TMS320C5534AZHH10</v>
      </c>
      <c r="B9584" s="3" t="str">
        <f>HYPERLINK("https://www.773grp.com/manufacturer/national-semiconductor?pageNo=69", "National Semiconductor")</f>
        <v>National Semiconductor</v>
      </c>
      <c r="C9584" s="6">
        <v>480</v>
      </c>
      <c r="D9584" s="7">
        <v>13.93</v>
      </c>
    </row>
    <row r="9585" spans="1:5" x14ac:dyDescent="0.25">
      <c r="A9585" t="str">
        <f>HYPERLINK("https://www.773grp.com/globalSearch/DAC108S085CIMT-NOPB/page-1", "DAC108S085CIMT-NOPB")</f>
        <v>DAC108S085CIMT-NOPB</v>
      </c>
      <c r="B9585" s="3" t="str">
        <f>HYPERLINK("https://www.773grp.com/manufacturer/national-semiconductor?pageNo=70", "National Semiconductor")</f>
        <v>National Semiconductor</v>
      </c>
      <c r="C9585" s="6">
        <v>67</v>
      </c>
      <c r="D9585" s="7">
        <v>13.95</v>
      </c>
    </row>
    <row r="9586" spans="1:5" x14ac:dyDescent="0.25">
      <c r="A9586" t="str">
        <f>HYPERLINK("https://www.773grp.com/globalSearch/DAC108S085CIMT-NOPB/page-1", "DAC108S085CIMT-NOPB")</f>
        <v>DAC108S085CIMT-NOPB</v>
      </c>
      <c r="B9586" s="3" t="str">
        <f>HYPERLINK("https://www.773grp.com/manufacturer/national-semiconductor?pageNo=71", "National Semiconductor")</f>
        <v>National Semiconductor</v>
      </c>
      <c r="C9586" s="6">
        <v>175</v>
      </c>
      <c r="D9586" s="7">
        <v>13.95</v>
      </c>
    </row>
    <row r="9587" spans="1:5" x14ac:dyDescent="0.25">
      <c r="A9587" t="str">
        <f>HYPERLINK("https://www.773grp.com/globalSearch/4017BDM/page-1", "4017BDM")</f>
        <v>4017BDM</v>
      </c>
      <c r="B9587" s="3" t="str">
        <f>HYPERLINK("https://www.773grp.com/manufacturer/national-semiconductor?pageNo=72", "National Semiconductor")</f>
        <v>National Semiconductor</v>
      </c>
      <c r="C9587" s="6">
        <v>5556</v>
      </c>
      <c r="D9587" s="7">
        <v>13.98</v>
      </c>
    </row>
    <row r="9588" spans="1:5" x14ac:dyDescent="0.25">
      <c r="A9588" t="str">
        <f>HYPERLINK("https://www.773grp.com/globalSearch/7494PC/page-1", "7494PC")</f>
        <v>7494PC</v>
      </c>
      <c r="B9588" s="3" t="str">
        <f>HYPERLINK("https://www.773grp.com/manufacturer/national-semiconductor?pageNo=73", "National Semiconductor")</f>
        <v>National Semiconductor</v>
      </c>
      <c r="C9588" s="6">
        <v>100</v>
      </c>
      <c r="D9588" s="7">
        <v>13.98</v>
      </c>
    </row>
    <row r="9589" spans="1:5" x14ac:dyDescent="0.25">
      <c r="A9589" t="str">
        <f>HYPERLINK("https://www.773grp.com/globalSearch/9098PC/page-1", "9098PC")</f>
        <v>9098PC</v>
      </c>
      <c r="B9589" s="3" t="str">
        <f>HYPERLINK("https://www.773grp.com/manufacturer/national-semiconductor?pageNo=74", "National Semiconductor")</f>
        <v>National Semiconductor</v>
      </c>
      <c r="C9589" s="6">
        <v>11968</v>
      </c>
      <c r="D9589" s="7">
        <v>13.98</v>
      </c>
    </row>
    <row r="9590" spans="1:5" x14ac:dyDescent="0.25">
      <c r="A9590" t="str">
        <f>HYPERLINK("https://www.773grp.com/globalSearch/9S41DC/page-1", "9S41DC")</f>
        <v>9S41DC</v>
      </c>
      <c r="B9590" s="3" t="str">
        <f>HYPERLINK("https://www.773grp.com/manufacturer/national-semiconductor?pageNo=75", "National Semiconductor")</f>
        <v>National Semiconductor</v>
      </c>
      <c r="C9590" s="6">
        <v>12</v>
      </c>
      <c r="D9590" s="7">
        <v>13.98</v>
      </c>
    </row>
    <row r="9591" spans="1:5" x14ac:dyDescent="0.25">
      <c r="A9591" t="str">
        <f>HYPERLINK("https://www.773grp.com/globalSearch/9305PC/page-1", "9305PC")</f>
        <v>9305PC</v>
      </c>
      <c r="B9591" s="3" t="str">
        <f>HYPERLINK("https://www.773grp.com/manufacturer/national-semiconductor?pageNo=76", "National Semiconductor")</f>
        <v>National Semiconductor</v>
      </c>
      <c r="C9591" s="6">
        <v>6641</v>
      </c>
      <c r="D9591" s="7">
        <v>14.01</v>
      </c>
    </row>
    <row r="9592" spans="1:5" x14ac:dyDescent="0.25">
      <c r="A9592" t="str">
        <f>HYPERLINK("https://www.773grp.com/globalSearch/DP83640TVVX-NOPB/page-1", "DP83640TVVX-NOPB")</f>
        <v>DP83640TVVX-NOPB</v>
      </c>
      <c r="B9592" s="3" t="str">
        <f>HYPERLINK("https://www.773grp.com/manufacturer/national-semiconductor?pageNo=77", "National Semiconductor")</f>
        <v>National Semiconductor</v>
      </c>
      <c r="C9592" s="6">
        <v>990</v>
      </c>
      <c r="D9592" s="7">
        <v>14.01</v>
      </c>
    </row>
    <row r="9593" spans="1:5" x14ac:dyDescent="0.25">
      <c r="A9593" t="str">
        <f>HYPERLINK("https://www.773grp.com/globalSearch/MM54HCT240J/page-1", "MM54HCT240J")</f>
        <v>MM54HCT240J</v>
      </c>
      <c r="B9593" s="3" t="str">
        <f>HYPERLINK("https://www.773grp.com/manufacturer/national-semiconductor?pageNo=78", "National Semiconductor")</f>
        <v>National Semiconductor</v>
      </c>
      <c r="C9593" s="6">
        <v>310</v>
      </c>
      <c r="D9593" s="7">
        <v>14.01</v>
      </c>
      <c r="E9593" t="s">
        <v>14</v>
      </c>
    </row>
    <row r="9594" spans="1:5" x14ac:dyDescent="0.25">
      <c r="A9594" t="str">
        <f>HYPERLINK("https://www.773grp.com/globalSearch/DP83640TVV-NOPB/page-1", "DP83640TVV-NOPB")</f>
        <v>DP83640TVV-NOPB</v>
      </c>
      <c r="B9594" s="3" t="str">
        <f>HYPERLINK("https://www.773grp.com/manufacturer/national-semiconductor?pageNo=79", "National Semiconductor")</f>
        <v>National Semiconductor</v>
      </c>
      <c r="C9594" s="6">
        <v>118</v>
      </c>
      <c r="D9594" s="7">
        <v>14.01</v>
      </c>
    </row>
    <row r="9595" spans="1:5" x14ac:dyDescent="0.25">
      <c r="A9595" t="str">
        <f>HYPERLINK("https://www.773grp.com/globalSearch/DP83640TVVX-NOPB/page-1", "DP83640TVVX-NOPB")</f>
        <v>DP83640TVVX-NOPB</v>
      </c>
      <c r="B9595" s="3" t="str">
        <f>HYPERLINK("https://www.773grp.com/manufacturer/national-semiconductor?pageNo=80", "National Semiconductor")</f>
        <v>National Semiconductor</v>
      </c>
      <c r="C9595" s="6">
        <v>11000</v>
      </c>
      <c r="D9595" s="7">
        <v>14.01</v>
      </c>
    </row>
    <row r="9596" spans="1:5" x14ac:dyDescent="0.25">
      <c r="A9596" t="str">
        <f>HYPERLINK("https://www.773grp.com/globalSearch/DRV1100U/page-1", "DRV1100U")</f>
        <v>DRV1100U</v>
      </c>
      <c r="B9596" s="3" t="str">
        <f>HYPERLINK("https://www.773grp.com/manufacturer/national-semiconductor?pageNo=81", "National Semiconductor")</f>
        <v>National Semiconductor</v>
      </c>
      <c r="C9596" s="6">
        <v>30</v>
      </c>
      <c r="D9596" s="7">
        <v>14.01</v>
      </c>
    </row>
    <row r="9597" spans="1:5" x14ac:dyDescent="0.25">
      <c r="A9597" t="str">
        <f>HYPERLINK("https://www.773grp.com/globalSearch/DS99R106VS-NOPB/page-1", "DS99R106VS-NOPB")</f>
        <v>DS99R106VS-NOPB</v>
      </c>
      <c r="B9597" s="3" t="str">
        <f>HYPERLINK("https://www.773grp.com/manufacturer/national-semiconductor?pageNo=82", "National Semiconductor")</f>
        <v>National Semiconductor</v>
      </c>
      <c r="C9597" s="6">
        <v>80</v>
      </c>
      <c r="D9597" s="7">
        <v>14.04</v>
      </c>
      <c r="E9597" t="s">
        <v>21</v>
      </c>
    </row>
    <row r="9598" spans="1:5" x14ac:dyDescent="0.25">
      <c r="A9598" t="str">
        <f>HYPERLINK("https://www.773grp.com/globalSearch/DS99R105VS-NOPB/page-1", "DS99R105VS-NOPB")</f>
        <v>DS99R105VS-NOPB</v>
      </c>
      <c r="B9598" s="3" t="str">
        <f>HYPERLINK("https://www.773grp.com/manufacturer/national-semiconductor?pageNo=83", "National Semiconductor")</f>
        <v>National Semiconductor</v>
      </c>
      <c r="C9598" s="6">
        <v>826</v>
      </c>
      <c r="D9598" s="7">
        <v>14.04</v>
      </c>
    </row>
    <row r="9599" spans="1:5" x14ac:dyDescent="0.25">
      <c r="A9599" t="str">
        <f>HYPERLINK("https://www.773grp.com/globalSearch/DS99R106VS-NOPB/page-1", "DS99R106VS-NOPB")</f>
        <v>DS99R106VS-NOPB</v>
      </c>
      <c r="B9599" s="3" t="str">
        <f>HYPERLINK("https://www.773grp.com/manufacturer/national-semiconductor?pageNo=84", "National Semiconductor")</f>
        <v>National Semiconductor</v>
      </c>
      <c r="C9599" s="6">
        <v>672</v>
      </c>
      <c r="D9599" s="7">
        <v>14.04</v>
      </c>
      <c r="E9599" t="s">
        <v>21</v>
      </c>
    </row>
    <row r="9600" spans="1:5" x14ac:dyDescent="0.25">
      <c r="A9600" t="str">
        <f>HYPERLINK("https://www.773grp.com/globalSearch/100122FC/page-1", "100122FC")</f>
        <v>100122FC</v>
      </c>
      <c r="B9600" s="3" t="str">
        <f>HYPERLINK("https://www.773grp.com/manufacturer/national-semiconductor?pageNo=85", "National Semiconductor")</f>
        <v>National Semiconductor</v>
      </c>
      <c r="C9600" s="6">
        <v>981</v>
      </c>
      <c r="D9600" s="7">
        <v>14.06</v>
      </c>
      <c r="E9600" t="s">
        <v>31</v>
      </c>
    </row>
    <row r="9601" spans="1:5" x14ac:dyDescent="0.25">
      <c r="A9601" t="str">
        <f>HYPERLINK("https://www.773grp.com/globalSearch/100124DC/page-1", "100124DC")</f>
        <v>100124DC</v>
      </c>
      <c r="B9601" s="3" t="str">
        <f>HYPERLINK("https://www.773grp.com/manufacturer/national-semiconductor?pageNo=86", "National Semiconductor")</f>
        <v>National Semiconductor</v>
      </c>
      <c r="C9601" s="6">
        <v>842</v>
      </c>
      <c r="D9601" s="7">
        <v>14.06</v>
      </c>
      <c r="E9601" t="s">
        <v>73</v>
      </c>
    </row>
    <row r="9602" spans="1:5" x14ac:dyDescent="0.25">
      <c r="A9602" t="str">
        <f>HYPERLINK("https://www.773grp.com/globalSearch/100125DCQR/page-1", "100125DCQR")</f>
        <v>100125DCQR</v>
      </c>
      <c r="B9602" s="3" t="str">
        <f>HYPERLINK("https://www.773grp.com/manufacturer/national-semiconductor?pageNo=87", "National Semiconductor")</f>
        <v>National Semiconductor</v>
      </c>
      <c r="C9602" s="6">
        <v>1426</v>
      </c>
      <c r="D9602" s="7">
        <v>14.06</v>
      </c>
      <c r="E9602" t="s">
        <v>73</v>
      </c>
    </row>
    <row r="9603" spans="1:5" x14ac:dyDescent="0.25">
      <c r="A9603" t="str">
        <f>HYPERLINK("https://www.773grp.com/globalSearch/100126FC/page-1", "100126FC")</f>
        <v>100126FC</v>
      </c>
      <c r="B9603" s="3" t="str">
        <f>HYPERLINK("https://www.773grp.com/manufacturer/national-semiconductor?pageNo=88", "National Semiconductor")</f>
        <v>National Semiconductor</v>
      </c>
      <c r="C9603" s="6">
        <v>899</v>
      </c>
      <c r="D9603" s="7">
        <v>14.06</v>
      </c>
      <c r="E9603" t="s">
        <v>31</v>
      </c>
    </row>
    <row r="9604" spans="1:5" x14ac:dyDescent="0.25">
      <c r="A9604" t="str">
        <f>HYPERLINK("https://www.773grp.com/globalSearch/54170DM/page-1", "54170DM")</f>
        <v>54170DM</v>
      </c>
      <c r="B9604" s="3" t="str">
        <f>HYPERLINK("https://www.773grp.com/manufacturer/national-semiconductor?pageNo=89", "National Semiconductor")</f>
        <v>National Semiconductor</v>
      </c>
      <c r="C9604" s="6">
        <v>1721</v>
      </c>
      <c r="D9604" s="7">
        <v>14.06</v>
      </c>
    </row>
    <row r="9605" spans="1:5" x14ac:dyDescent="0.25">
      <c r="A9605" t="str">
        <f>HYPERLINK("https://www.773grp.com/globalSearch/54F157ADM/page-1", "54F157ADM")</f>
        <v>54F157ADM</v>
      </c>
      <c r="B9605" s="3" t="str">
        <f>HYPERLINK("https://www.773grp.com/manufacturer/national-semiconductor?pageNo=90", "National Semiconductor")</f>
        <v>National Semiconductor</v>
      </c>
      <c r="C9605" s="6">
        <v>51</v>
      </c>
      <c r="D9605" s="7">
        <v>14.06</v>
      </c>
      <c r="E9605" t="s">
        <v>20</v>
      </c>
    </row>
    <row r="9606" spans="1:5" x14ac:dyDescent="0.25">
      <c r="A9606" t="str">
        <f>HYPERLINK("https://www.773grp.com/globalSearch/54LS20DMQB/page-1", "54LS20DMQB")</f>
        <v>54LS20DMQB</v>
      </c>
      <c r="B9606" s="3" t="str">
        <f>HYPERLINK("https://www.773grp.com/manufacturer/national-semiconductor?pageNo=91", "National Semiconductor")</f>
        <v>National Semiconductor</v>
      </c>
      <c r="C9606" s="6">
        <v>334</v>
      </c>
      <c r="D9606" s="7">
        <v>14.06</v>
      </c>
      <c r="E9606" t="s">
        <v>31</v>
      </c>
    </row>
    <row r="9607" spans="1:5" x14ac:dyDescent="0.25">
      <c r="A9607" t="str">
        <f>HYPERLINK("https://www.773grp.com/globalSearch/54LS38LM/page-1", "54LS38LM")</f>
        <v>54LS38LM</v>
      </c>
      <c r="B9607" s="3" t="str">
        <f>HYPERLINK("https://www.773grp.com/manufacturer/national-semiconductor?pageNo=92", "National Semiconductor")</f>
        <v>National Semiconductor</v>
      </c>
      <c r="C9607" s="6">
        <v>1177</v>
      </c>
      <c r="D9607" s="7">
        <v>14.06</v>
      </c>
    </row>
    <row r="9608" spans="1:5" x14ac:dyDescent="0.25">
      <c r="A9608" t="str">
        <f>HYPERLINK("https://www.773grp.com/globalSearch/54LS38LMQB/page-1", "54LS38LMQB")</f>
        <v>54LS38LMQB</v>
      </c>
      <c r="B9608" s="3" t="str">
        <f>HYPERLINK("https://www.773grp.com/manufacturer/national-semiconductor?pageNo=93", "National Semiconductor")</f>
        <v>National Semiconductor</v>
      </c>
      <c r="C9608" s="6">
        <v>1532</v>
      </c>
      <c r="D9608" s="7">
        <v>14.06</v>
      </c>
      <c r="E9608" t="s">
        <v>31</v>
      </c>
    </row>
    <row r="9609" spans="1:5" x14ac:dyDescent="0.25">
      <c r="A9609" t="str">
        <f>HYPERLINK("https://www.773grp.com/globalSearch/74ACT646SC/page-1", "74ACT646SC")</f>
        <v>74ACT646SC</v>
      </c>
      <c r="B9609" s="3" t="str">
        <f>HYPERLINK("https://www.773grp.com/manufacturer/national-semiconductor?pageNo=94", "National Semiconductor")</f>
        <v>National Semiconductor</v>
      </c>
      <c r="C9609" s="6">
        <v>11</v>
      </c>
      <c r="D9609" s="7">
        <v>14.06</v>
      </c>
      <c r="E9609" t="s">
        <v>14</v>
      </c>
    </row>
    <row r="9610" spans="1:5" x14ac:dyDescent="0.25">
      <c r="A9610" t="str">
        <f>HYPERLINK("https://www.773grp.com/globalSearch/ADC161S626CIMM-NOPB/page-1", "ADC161S626CIMM-NOPB")</f>
        <v>ADC161S626CIMM-NOPB</v>
      </c>
      <c r="B9610" s="3" t="str">
        <f>HYPERLINK("https://www.773grp.com/manufacturer/national-semiconductor?pageNo=95", "National Semiconductor")</f>
        <v>National Semiconductor</v>
      </c>
      <c r="C9610" s="6">
        <v>1690</v>
      </c>
      <c r="D9610" s="7">
        <v>14.06</v>
      </c>
    </row>
    <row r="9611" spans="1:5" x14ac:dyDescent="0.25">
      <c r="A9611" t="str">
        <f>HYPERLINK("https://www.773grp.com/globalSearch/ADC161S626CIMME-NOPB/page-1", "ADC161S626CIMME-NOPB")</f>
        <v>ADC161S626CIMME-NOPB</v>
      </c>
      <c r="B9611" s="3" t="str">
        <f>HYPERLINK("https://www.773grp.com/manufacturer/national-semiconductor?pageNo=96", "National Semiconductor")</f>
        <v>National Semiconductor</v>
      </c>
      <c r="C9611" s="6">
        <v>450</v>
      </c>
      <c r="D9611" s="7">
        <v>14.06</v>
      </c>
    </row>
    <row r="9612" spans="1:5" x14ac:dyDescent="0.25">
      <c r="A9612" t="str">
        <f>HYPERLINK("https://www.773grp.com/globalSearch/DS75129N/page-1", "DS75129N")</f>
        <v>DS75129N</v>
      </c>
      <c r="B9612" s="3" t="str">
        <f>HYPERLINK("https://www.773grp.com/manufacturer/national-semiconductor?pageNo=97", "National Semiconductor")</f>
        <v>National Semiconductor</v>
      </c>
      <c r="C9612" s="6">
        <v>615</v>
      </c>
      <c r="D9612" s="7">
        <v>14.06</v>
      </c>
      <c r="E9612" t="s">
        <v>21</v>
      </c>
    </row>
    <row r="9613" spans="1:5" x14ac:dyDescent="0.25">
      <c r="A9613" t="str">
        <f>HYPERLINK("https://www.773grp.com/globalSearch/DS75162AWM/page-1", "DS75162AWM")</f>
        <v>DS75162AWM</v>
      </c>
      <c r="B9613" s="3" t="str">
        <f>HYPERLINK("https://www.773grp.com/manufacturer/national-semiconductor?pageNo=98", "National Semiconductor")</f>
        <v>National Semiconductor</v>
      </c>
      <c r="C9613" s="6">
        <v>594</v>
      </c>
      <c r="D9613" s="7">
        <v>14.06</v>
      </c>
      <c r="E9613" t="s">
        <v>21</v>
      </c>
    </row>
    <row r="9614" spans="1:5" x14ac:dyDescent="0.25">
      <c r="A9614" t="str">
        <f>HYPERLINK("https://www.773grp.com/globalSearch/GAL22CV10-15LNC/page-1", "GAL22CV10-15LNC")</f>
        <v>GAL22CV10-15LNC</v>
      </c>
      <c r="B9614" s="3" t="str">
        <f>HYPERLINK("https://www.773grp.com/manufacturer/national-semiconductor?pageNo=99", "National Semiconductor")</f>
        <v>National Semiconductor</v>
      </c>
      <c r="C9614" s="6">
        <v>310</v>
      </c>
      <c r="D9614" s="7">
        <v>14.06</v>
      </c>
    </row>
    <row r="9615" spans="1:5" x14ac:dyDescent="0.25">
      <c r="A9615" t="str">
        <f>HYPERLINK("https://www.773grp.com/globalSearch/HL122070.03/page-1", "HL122070.03")</f>
        <v>HL122070.03</v>
      </c>
      <c r="B9615" s="3" t="str">
        <f>HYPERLINK("https://www.773grp.com/manufacturer/national-semiconductor?pageNo=100", "National Semiconductor")</f>
        <v>National Semiconductor</v>
      </c>
      <c r="C9615" s="6">
        <v>34</v>
      </c>
      <c r="D9615" s="7">
        <v>14.06</v>
      </c>
    </row>
    <row r="9616" spans="1:5" x14ac:dyDescent="0.25">
      <c r="A9616" t="str">
        <f>HYPERLINK("https://www.773grp.com/globalSearch/LMF100CIN/page-1", "LMF100CIN")</f>
        <v>LMF100CIN</v>
      </c>
      <c r="B9616" s="3" t="str">
        <f>HYPERLINK("https://www.773grp.com/manufacturer/national-semiconductor?pageNo=101", "National Semiconductor")</f>
        <v>National Semiconductor</v>
      </c>
      <c r="C9616" s="6">
        <v>1</v>
      </c>
      <c r="D9616" s="7">
        <v>14.06</v>
      </c>
      <c r="E9616" t="s">
        <v>58</v>
      </c>
    </row>
    <row r="9617" spans="1:5" x14ac:dyDescent="0.25">
      <c r="A9617" t="str">
        <f>HYPERLINK("https://www.773grp.com/globalSearch/MM54C193J-883/page-1", "MM54C193J-883")</f>
        <v>MM54C193J-883</v>
      </c>
      <c r="B9617" s="3" t="str">
        <f>HYPERLINK("https://www.773grp.com/manufacturer/national-semiconductor?pageNo=102", "National Semiconductor")</f>
        <v>National Semiconductor</v>
      </c>
      <c r="C9617" s="6">
        <v>112</v>
      </c>
      <c r="D9617" s="7">
        <v>14.06</v>
      </c>
    </row>
    <row r="9618" spans="1:5" x14ac:dyDescent="0.25">
      <c r="A9618" t="str">
        <f>HYPERLINK("https://www.773grp.com/globalSearch/MM74HC191J/page-1", "MM74HC191J")</f>
        <v>MM74HC191J</v>
      </c>
      <c r="B9618" s="3" t="str">
        <f>HYPERLINK("https://www.773grp.com/manufacturer/national-semiconductor?pageNo=103", "National Semiconductor")</f>
        <v>National Semiconductor</v>
      </c>
      <c r="C9618" s="6">
        <v>591</v>
      </c>
      <c r="D9618" s="7">
        <v>14.06</v>
      </c>
      <c r="E9618" t="s">
        <v>26</v>
      </c>
    </row>
    <row r="9619" spans="1:5" x14ac:dyDescent="0.25">
      <c r="A9619" t="str">
        <f>HYPERLINK("https://www.773grp.com/globalSearch/DS92LV1212AMSA/page-1", "DS92LV1212AMSA")</f>
        <v>DS92LV1212AMSA</v>
      </c>
      <c r="B9619" s="3" t="str">
        <f>HYPERLINK("https://www.773grp.com/manufacturer/national-semiconductor?pageNo=104", "National Semiconductor")</f>
        <v>National Semiconductor</v>
      </c>
      <c r="C9619" s="6">
        <v>2696</v>
      </c>
      <c r="D9619" s="7">
        <v>14.09</v>
      </c>
      <c r="E9619" t="s">
        <v>21</v>
      </c>
    </row>
    <row r="9620" spans="1:5" x14ac:dyDescent="0.25">
      <c r="A9620" t="str">
        <f>HYPERLINK("https://www.773grp.com/globalSearch/DS92LV1021AMSA/page-1", "DS92LV1021AMSA")</f>
        <v>DS92LV1021AMSA</v>
      </c>
      <c r="B9620" s="3" t="str">
        <f>HYPERLINK("https://www.773grp.com/manufacturer/national-semiconductor?pageNo=105", "National Semiconductor")</f>
        <v>National Semiconductor</v>
      </c>
      <c r="C9620" s="6">
        <v>470</v>
      </c>
      <c r="D9620" s="7">
        <v>14.09</v>
      </c>
    </row>
    <row r="9621" spans="1:5" x14ac:dyDescent="0.25">
      <c r="A9621" t="str">
        <f>HYPERLINK("https://www.773grp.com/globalSearch/DS92LV1212AMSA/page-1", "DS92LV1212AMSA")</f>
        <v>DS92LV1212AMSA</v>
      </c>
      <c r="B9621" s="3" t="str">
        <f>HYPERLINK("https://www.773grp.com/manufacturer/national-semiconductor?pageNo=106", "National Semiconductor")</f>
        <v>National Semiconductor</v>
      </c>
      <c r="C9621" s="6">
        <v>1766</v>
      </c>
      <c r="D9621" s="7">
        <v>14.09</v>
      </c>
      <c r="E9621" t="s">
        <v>21</v>
      </c>
    </row>
    <row r="9622" spans="1:5" x14ac:dyDescent="0.25">
      <c r="A9622" t="str">
        <f>HYPERLINK("https://www.773grp.com/globalSearch/COP8SAC720M8/page-1", "COP8SAC720M8")</f>
        <v>COP8SAC720M8</v>
      </c>
      <c r="B9622" s="3" t="str">
        <f>HYPERLINK("https://www.773grp.com/manufacturer/national-semiconductor?pageNo=107", "National Semiconductor")</f>
        <v>National Semiconductor</v>
      </c>
      <c r="C9622" s="6">
        <v>117</v>
      </c>
      <c r="D9622" s="7">
        <v>14.13</v>
      </c>
      <c r="E9622" t="s">
        <v>52</v>
      </c>
    </row>
    <row r="9623" spans="1:5" x14ac:dyDescent="0.25">
      <c r="A9623" t="str">
        <f>HYPERLINK("https://www.773grp.com/globalSearch/COP8SAC720M8/page-1", "COP8SAC720M8")</f>
        <v>COP8SAC720M8</v>
      </c>
      <c r="B9623" s="3" t="str">
        <f>HYPERLINK("https://www.773grp.com/manufacturer/national-semiconductor?pageNo=108", "National Semiconductor")</f>
        <v>National Semiconductor</v>
      </c>
      <c r="C9623" s="6">
        <v>993</v>
      </c>
      <c r="D9623" s="7">
        <v>14.13</v>
      </c>
      <c r="E9623" t="s">
        <v>52</v>
      </c>
    </row>
    <row r="9624" spans="1:5" x14ac:dyDescent="0.25">
      <c r="A9624" t="str">
        <f>HYPERLINK("https://www.773grp.com/globalSearch/9321DM/page-1", "9321DM")</f>
        <v>9321DM</v>
      </c>
      <c r="B9624" s="3" t="str">
        <f>HYPERLINK("https://www.773grp.com/manufacturer/national-semiconductor?pageNo=109", "National Semiconductor")</f>
        <v>National Semiconductor</v>
      </c>
      <c r="C9624" s="6">
        <v>82</v>
      </c>
      <c r="D9624" s="7">
        <v>14.14</v>
      </c>
    </row>
    <row r="9625" spans="1:5" x14ac:dyDescent="0.25">
      <c r="A9625" t="str">
        <f>HYPERLINK("https://www.773grp.com/globalSearch/ADC12662CIV/page-1", "ADC12662CIV")</f>
        <v>ADC12662CIV</v>
      </c>
      <c r="B9625" s="3" t="str">
        <f>HYPERLINK("https://www.773grp.com/manufacturer/national-semiconductor?pageNo=110", "National Semiconductor")</f>
        <v>National Semiconductor</v>
      </c>
      <c r="C9625" s="6">
        <v>7840</v>
      </c>
      <c r="D9625" s="7">
        <v>14.18</v>
      </c>
      <c r="E9625" t="s">
        <v>39</v>
      </c>
    </row>
    <row r="9626" spans="1:5" x14ac:dyDescent="0.25">
      <c r="A9626" t="str">
        <f>HYPERLINK("https://www.773grp.com/globalSearch/DS90CR287MTD-NOPB/page-1", "DS90CR287MTD-NOPB")</f>
        <v>DS90CR287MTD-NOPB</v>
      </c>
      <c r="B9626" s="3" t="str">
        <f>HYPERLINK("https://www.773grp.com/manufacturer/national-semiconductor?pageNo=111", "National Semiconductor")</f>
        <v>National Semiconductor</v>
      </c>
      <c r="C9626" s="6">
        <v>180</v>
      </c>
      <c r="D9626" s="7">
        <v>14.18</v>
      </c>
      <c r="E9626" t="s">
        <v>21</v>
      </c>
    </row>
    <row r="9627" spans="1:5" x14ac:dyDescent="0.25">
      <c r="A9627" t="str">
        <f>HYPERLINK("https://www.773grp.com/globalSearch/DS90CR288AMTD-NOPB/page-1", "DS90CR288AMTD-NOPB")</f>
        <v>DS90CR288AMTD-NOPB</v>
      </c>
      <c r="B9627" s="3" t="str">
        <f>HYPERLINK("https://www.773grp.com/manufacturer/national-semiconductor?pageNo=112", "National Semiconductor")</f>
        <v>National Semiconductor</v>
      </c>
      <c r="C9627" s="6">
        <v>1629</v>
      </c>
      <c r="D9627" s="7">
        <v>14.18</v>
      </c>
      <c r="E9627" t="s">
        <v>21</v>
      </c>
    </row>
    <row r="9628" spans="1:5" x14ac:dyDescent="0.25">
      <c r="A9628" t="str">
        <f>HYPERLINK("https://www.773grp.com/globalSearch/DS90UR124QVS/page-1", "DS90UR124QVS")</f>
        <v>DS90UR124QVS</v>
      </c>
      <c r="B9628" s="3" t="str">
        <f>HYPERLINK("https://www.773grp.com/manufacturer/national-semiconductor?pageNo=113", "National Semiconductor")</f>
        <v>National Semiconductor</v>
      </c>
      <c r="C9628" s="6">
        <v>5990</v>
      </c>
      <c r="D9628" s="7">
        <v>14.18</v>
      </c>
      <c r="E9628" t="s">
        <v>21</v>
      </c>
    </row>
    <row r="9629" spans="1:5" x14ac:dyDescent="0.25">
      <c r="A9629" t="str">
        <f>HYPERLINK("https://www.773grp.com/globalSearch/DS90UR241QVSX/page-1", "DS90UR241QVSX")</f>
        <v>DS90UR241QVSX</v>
      </c>
      <c r="B9629" s="3" t="str">
        <f>HYPERLINK("https://www.773grp.com/manufacturer/national-semiconductor?pageNo=114", "National Semiconductor")</f>
        <v>National Semiconductor</v>
      </c>
      <c r="C9629" s="6">
        <v>2000</v>
      </c>
      <c r="D9629" s="7">
        <v>14.18</v>
      </c>
      <c r="E9629" t="s">
        <v>21</v>
      </c>
    </row>
    <row r="9630" spans="1:5" x14ac:dyDescent="0.25">
      <c r="A9630" t="str">
        <f>HYPERLINK("https://www.773grp.com/globalSearch/LM741CM/page-1", "LM741CM")</f>
        <v>LM741CM</v>
      </c>
      <c r="B9630" s="3" t="str">
        <f>HYPERLINK("https://www.773grp.com/manufacturer/national-semiconductor?pageNo=115", "National Semiconductor")</f>
        <v>National Semiconductor</v>
      </c>
      <c r="C9630" s="6">
        <v>77</v>
      </c>
      <c r="D9630" s="7">
        <v>14.18</v>
      </c>
      <c r="E9630" t="s">
        <v>13</v>
      </c>
    </row>
    <row r="9631" spans="1:5" x14ac:dyDescent="0.25">
      <c r="A9631" t="str">
        <f>HYPERLINK("https://www.773grp.com/globalSearch/TP3071N-G/page-1", "TP3071N-G")</f>
        <v>TP3071N-G</v>
      </c>
      <c r="B9631" s="3" t="str">
        <f>HYPERLINK("https://www.773grp.com/manufacturer/national-semiconductor?pageNo=116", "National Semiconductor")</f>
        <v>National Semiconductor</v>
      </c>
      <c r="C9631" s="6">
        <v>8</v>
      </c>
      <c r="D9631" s="7">
        <v>14.18</v>
      </c>
      <c r="E9631" t="s">
        <v>66</v>
      </c>
    </row>
    <row r="9632" spans="1:5" x14ac:dyDescent="0.25">
      <c r="A9632" t="str">
        <f>HYPERLINK("https://www.773grp.com/globalSearch/DS90CR287MTD-NOPB/page-1", "DS90CR287MTD-NOPB")</f>
        <v>DS90CR287MTD-NOPB</v>
      </c>
      <c r="B9632" s="3" t="str">
        <f>HYPERLINK("https://www.773grp.com/manufacturer/national-semiconductor?pageNo=117", "National Semiconductor")</f>
        <v>National Semiconductor</v>
      </c>
      <c r="C9632" s="6">
        <v>109</v>
      </c>
      <c r="D9632" s="7">
        <v>14.18</v>
      </c>
      <c r="E9632" t="s">
        <v>21</v>
      </c>
    </row>
    <row r="9633" spans="1:5" x14ac:dyDescent="0.25">
      <c r="A9633" t="str">
        <f>HYPERLINK("https://www.773grp.com/globalSearch/DS90CR288AMTD-NOPB/page-1", "DS90CR288AMTD-NOPB")</f>
        <v>DS90CR288AMTD-NOPB</v>
      </c>
      <c r="B9633" s="3" t="str">
        <f>HYPERLINK("https://www.773grp.com/manufacturer/national-semiconductor?pageNo=118", "National Semiconductor")</f>
        <v>National Semiconductor</v>
      </c>
      <c r="C9633" s="6">
        <v>54</v>
      </c>
      <c r="D9633" s="7">
        <v>14.18</v>
      </c>
      <c r="E9633" t="s">
        <v>21</v>
      </c>
    </row>
    <row r="9634" spans="1:5" x14ac:dyDescent="0.25">
      <c r="A9634" t="str">
        <f>HYPERLINK("https://www.773grp.com/globalSearch/TP3071N-G/page-1", "TP3071N-G")</f>
        <v>TP3071N-G</v>
      </c>
      <c r="B9634" s="3" t="str">
        <f>HYPERLINK("https://www.773grp.com/manufacturer/national-semiconductor?pageNo=119", "National Semiconductor")</f>
        <v>National Semiconductor</v>
      </c>
      <c r="C9634" s="6">
        <v>4526</v>
      </c>
      <c r="D9634" s="7">
        <v>14.18</v>
      </c>
      <c r="E9634" t="s">
        <v>66</v>
      </c>
    </row>
    <row r="9635" spans="1:5" x14ac:dyDescent="0.25">
      <c r="A9635" t="str">
        <f>HYPERLINK("https://www.773grp.com/globalSearch/936DM/page-1", "936DM")</f>
        <v>936DM</v>
      </c>
      <c r="B9635" s="3" t="str">
        <f>HYPERLINK("https://www.773grp.com/manufacturer/national-semiconductor?pageNo=120", "National Semiconductor")</f>
        <v>National Semiconductor</v>
      </c>
      <c r="C9635" s="6">
        <v>627</v>
      </c>
      <c r="D9635" s="7">
        <v>14.21</v>
      </c>
    </row>
    <row r="9636" spans="1:5" x14ac:dyDescent="0.25">
      <c r="A9636" t="str">
        <f>HYPERLINK("https://www.773grp.com/globalSearch/ADC12H034CIMSA-NOPB/page-1", "ADC12H034CIMSA-NOPB")</f>
        <v>ADC12H034CIMSA-NOPB</v>
      </c>
      <c r="B9636" s="3" t="str">
        <f>HYPERLINK("https://www.773grp.com/manufacturer/national-semiconductor?pageNo=121", "National Semiconductor")</f>
        <v>National Semiconductor</v>
      </c>
      <c r="C9636" s="6">
        <v>24</v>
      </c>
      <c r="D9636" s="7">
        <v>14.21</v>
      </c>
      <c r="E9636" t="s">
        <v>39</v>
      </c>
    </row>
    <row r="9637" spans="1:5" x14ac:dyDescent="0.25">
      <c r="A9637" t="str">
        <f>HYPERLINK("https://www.773grp.com/globalSearch/MM74HCT374J/page-1", "MM74HCT374J")</f>
        <v>MM74HCT374J</v>
      </c>
      <c r="B9637" s="3" t="str">
        <f>HYPERLINK("https://www.773grp.com/manufacturer/national-semiconductor?pageNo=122", "National Semiconductor")</f>
        <v>National Semiconductor</v>
      </c>
      <c r="C9637" s="6">
        <v>270</v>
      </c>
      <c r="D9637" s="7">
        <v>14.21</v>
      </c>
      <c r="E9637" t="s">
        <v>14</v>
      </c>
    </row>
    <row r="9638" spans="1:5" x14ac:dyDescent="0.25">
      <c r="A9638" t="str">
        <f>HYPERLINK("https://www.773grp.com/globalSearch/ADC12H034CIMSA-NOPB/page-1", "ADC12H034CIMSA-NOPB")</f>
        <v>ADC12H034CIMSA-NOPB</v>
      </c>
      <c r="B9638" s="3" t="str">
        <f>HYPERLINK("https://www.773grp.com/manufacturer/national-semiconductor?pageNo=123", "National Semiconductor")</f>
        <v>National Semiconductor</v>
      </c>
      <c r="C9638" s="6">
        <v>500</v>
      </c>
      <c r="D9638" s="7">
        <v>14.21</v>
      </c>
      <c r="E9638" t="s">
        <v>39</v>
      </c>
    </row>
    <row r="9639" spans="1:5" x14ac:dyDescent="0.25">
      <c r="A9639" t="str">
        <f>HYPERLINK("https://www.773grp.com/globalSearch/COP8SAC720N8YYY-NOPB/page-1", "COP8SAC720N8YYY-NOPB")</f>
        <v>COP8SAC720N8YYY-NOPB</v>
      </c>
      <c r="B9639" s="3" t="str">
        <f>HYPERLINK("https://www.773grp.com/manufacturer/national-semiconductor?pageNo=124", "National Semiconductor")</f>
        <v>National Semiconductor</v>
      </c>
      <c r="C9639" s="6">
        <v>2448</v>
      </c>
      <c r="D9639" s="7">
        <v>14.21</v>
      </c>
    </row>
    <row r="9640" spans="1:5" x14ac:dyDescent="0.25">
      <c r="A9640" t="str">
        <f>HYPERLINK("https://www.773grp.com/globalSearch/54F244LM/page-1", "54F244LM")</f>
        <v>54F244LM</v>
      </c>
      <c r="B9640" s="3" t="str">
        <f>HYPERLINK("https://www.773grp.com/manufacturer/national-semiconductor?pageNo=125", "National Semiconductor")</f>
        <v>National Semiconductor</v>
      </c>
      <c r="C9640" s="6">
        <v>1810</v>
      </c>
      <c r="D9640" s="7">
        <v>14.23</v>
      </c>
      <c r="E9640" t="s">
        <v>14</v>
      </c>
    </row>
    <row r="9641" spans="1:5" x14ac:dyDescent="0.25">
      <c r="A9641" t="str">
        <f>HYPERLINK("https://www.773grp.com/globalSearch/DM54LS366W-883/page-1", "DM54LS366W-883")</f>
        <v>DM54LS366W-883</v>
      </c>
      <c r="B9641" s="3" t="str">
        <f>HYPERLINK("https://www.773grp.com/manufacturer/national-semiconductor?pageNo=126", "National Semiconductor")</f>
        <v>National Semiconductor</v>
      </c>
      <c r="C9641" s="6">
        <v>54</v>
      </c>
      <c r="D9641" s="7">
        <v>14.31</v>
      </c>
    </row>
    <row r="9642" spans="1:5" x14ac:dyDescent="0.25">
      <c r="A9642" t="str">
        <f>HYPERLINK("https://www.773grp.com/globalSearch/ADC0834CIWM/page-1", "ADC0834CIWM")</f>
        <v>ADC0834CIWM</v>
      </c>
      <c r="B9642" s="3" t="str">
        <f>HYPERLINK("https://www.773grp.com/manufacturer/national-semiconductor?pageNo=127", "National Semiconductor")</f>
        <v>National Semiconductor</v>
      </c>
      <c r="C9642" s="6">
        <v>1326</v>
      </c>
      <c r="D9642" s="7">
        <v>14.35</v>
      </c>
      <c r="E9642" t="s">
        <v>39</v>
      </c>
    </row>
    <row r="9643" spans="1:5" x14ac:dyDescent="0.25">
      <c r="A9643" t="str">
        <f>HYPERLINK("https://www.773grp.com/globalSearch/LM2588S-12-NOPB/page-1", "LM2588S-12-NOPB")</f>
        <v>LM2588S-12-NOPB</v>
      </c>
      <c r="B9643" s="3" t="str">
        <f>HYPERLINK("https://www.773grp.com/manufacturer/national-semiconductor?pageNo=128", "National Semiconductor")</f>
        <v>National Semiconductor</v>
      </c>
      <c r="C9643" s="6">
        <v>25</v>
      </c>
      <c r="D9643" s="7">
        <v>14.35</v>
      </c>
      <c r="E9643" t="s">
        <v>7</v>
      </c>
    </row>
    <row r="9644" spans="1:5" x14ac:dyDescent="0.25">
      <c r="A9644" t="str">
        <f>HYPERLINK("https://www.773grp.com/globalSearch/LM2588S-5.0-NOPB/page-1", "LM2588S-5.0-NOPB")</f>
        <v>LM2588S-5.0-NOPB</v>
      </c>
      <c r="B9644" s="3" t="str">
        <f>HYPERLINK("https://www.773grp.com/manufacturer/national-semiconductor?pageNo=129", "National Semiconductor")</f>
        <v>National Semiconductor</v>
      </c>
      <c r="C9644" s="6">
        <v>100</v>
      </c>
      <c r="D9644" s="7">
        <v>14.35</v>
      </c>
      <c r="E9644" t="s">
        <v>7</v>
      </c>
    </row>
    <row r="9645" spans="1:5" x14ac:dyDescent="0.25">
      <c r="A9645" t="str">
        <f>HYPERLINK("https://www.773grp.com/globalSearch/LM2588S-ADJ-NOPB/page-1", "LM2588S-ADJ-NOPB")</f>
        <v>LM2588S-ADJ-NOPB</v>
      </c>
      <c r="B9645" s="3" t="str">
        <f>HYPERLINK("https://www.773grp.com/manufacturer/national-semiconductor?pageNo=130", "National Semiconductor")</f>
        <v>National Semiconductor</v>
      </c>
      <c r="C9645" s="6">
        <v>360</v>
      </c>
      <c r="D9645" s="7">
        <v>14.35</v>
      </c>
      <c r="E9645" t="s">
        <v>7</v>
      </c>
    </row>
    <row r="9646" spans="1:5" x14ac:dyDescent="0.25">
      <c r="A9646" t="str">
        <f>HYPERLINK("https://www.773grp.com/globalSearch/LM385AXM-1.2/page-1", "LM385AXM-1.2")</f>
        <v>LM385AXM-1.2</v>
      </c>
      <c r="B9646" s="3" t="str">
        <f>HYPERLINK("https://www.773grp.com/manufacturer/national-semiconductor?pageNo=131", "National Semiconductor")</f>
        <v>National Semiconductor</v>
      </c>
      <c r="C9646" s="6">
        <v>995</v>
      </c>
      <c r="D9646" s="7">
        <v>14.35</v>
      </c>
      <c r="E9646" t="s">
        <v>17</v>
      </c>
    </row>
    <row r="9647" spans="1:5" x14ac:dyDescent="0.25">
      <c r="A9647" t="str">
        <f>HYPERLINK("https://www.773grp.com/globalSearch/LM385AXM-2.5/page-1", "LM385AXM-2.5")</f>
        <v>LM385AXM-2.5</v>
      </c>
      <c r="B9647" s="3" t="str">
        <f>HYPERLINK("https://www.773grp.com/manufacturer/national-semiconductor?pageNo=132", "National Semiconductor")</f>
        <v>National Semiconductor</v>
      </c>
      <c r="C9647" s="6">
        <v>3014</v>
      </c>
      <c r="D9647" s="7">
        <v>14.35</v>
      </c>
      <c r="E9647" t="s">
        <v>17</v>
      </c>
    </row>
    <row r="9648" spans="1:5" x14ac:dyDescent="0.25">
      <c r="A9648" t="str">
        <f>HYPERLINK("https://www.773grp.com/globalSearch/LM385AXZ-1.2/page-1", "LM385AXZ-1.2")</f>
        <v>LM385AXZ-1.2</v>
      </c>
      <c r="B9648" s="3" t="str">
        <f>HYPERLINK("https://www.773grp.com/manufacturer/national-semiconductor?pageNo=133", "National Semiconductor")</f>
        <v>National Semiconductor</v>
      </c>
      <c r="C9648" s="6">
        <v>862</v>
      </c>
      <c r="D9648" s="7">
        <v>14.35</v>
      </c>
      <c r="E9648" t="s">
        <v>17</v>
      </c>
    </row>
    <row r="9649" spans="1:5" x14ac:dyDescent="0.25">
      <c r="A9649" t="str">
        <f>HYPERLINK("https://www.773grp.com/globalSearch/LM385AXZ-2.5/page-1", "LM385AXZ-2.5")</f>
        <v>LM385AXZ-2.5</v>
      </c>
      <c r="B9649" s="3" t="str">
        <f>HYPERLINK("https://www.773grp.com/manufacturer/national-semiconductor?pageNo=134", "National Semiconductor")</f>
        <v>National Semiconductor</v>
      </c>
      <c r="C9649" s="6">
        <v>1980</v>
      </c>
      <c r="D9649" s="7">
        <v>14.35</v>
      </c>
      <c r="E9649" t="s">
        <v>17</v>
      </c>
    </row>
    <row r="9650" spans="1:5" x14ac:dyDescent="0.25">
      <c r="A9650" t="str">
        <f>HYPERLINK("https://www.773grp.com/globalSearch/LMZ12001TZE-ADJ-NOPB/page-1", "LMZ12001TZE-ADJ-NOPB")</f>
        <v>LMZ12001TZE-ADJ-NOPB</v>
      </c>
      <c r="B9650" s="3" t="str">
        <f>HYPERLINK("https://www.773grp.com/manufacturer/national-semiconductor?pageNo=1", "National Semiconductor")</f>
        <v>National Semiconductor</v>
      </c>
      <c r="C9650" s="6">
        <v>879</v>
      </c>
      <c r="D9650" s="7">
        <v>14.35</v>
      </c>
    </row>
    <row r="9651" spans="1:5" x14ac:dyDescent="0.25">
      <c r="A9651" t="str">
        <f>HYPERLINK("https://www.773grp.com/globalSearch/DS90LV110TMTC/page-1", "DS90LV110TMTC")</f>
        <v>DS90LV110TMTC</v>
      </c>
      <c r="B9651" s="3" t="str">
        <f>HYPERLINK("https://www.773grp.com/manufacturer/national-semiconductor?pageNo=2", "National Semiconductor")</f>
        <v>National Semiconductor</v>
      </c>
      <c r="C9651" s="6">
        <v>830</v>
      </c>
      <c r="D9651" s="7">
        <v>14.35</v>
      </c>
    </row>
    <row r="9652" spans="1:5" x14ac:dyDescent="0.25">
      <c r="A9652" t="str">
        <f>HYPERLINK("https://www.773grp.com/globalSearch/LM2588S-12-NOPB/page-1", "LM2588S-12-NOPB")</f>
        <v>LM2588S-12-NOPB</v>
      </c>
      <c r="B9652" s="3" t="str">
        <f>HYPERLINK("https://www.773grp.com/manufacturer/national-semiconductor?pageNo=3", "National Semiconductor")</f>
        <v>National Semiconductor</v>
      </c>
      <c r="C9652" s="6">
        <v>248</v>
      </c>
      <c r="D9652" s="7">
        <v>14.35</v>
      </c>
      <c r="E9652" t="s">
        <v>7</v>
      </c>
    </row>
    <row r="9653" spans="1:5" x14ac:dyDescent="0.25">
      <c r="A9653" t="str">
        <f>HYPERLINK("https://www.773grp.com/globalSearch/LM2588S-3.3-NOPB/page-1", "LM2588S-3.3-NOPB")</f>
        <v>LM2588S-3.3-NOPB</v>
      </c>
      <c r="B9653" s="3" t="str">
        <f>HYPERLINK("https://www.773grp.com/manufacturer/national-semiconductor?pageNo=4", "National Semiconductor")</f>
        <v>National Semiconductor</v>
      </c>
      <c r="C9653" s="6">
        <v>245</v>
      </c>
      <c r="D9653" s="7">
        <v>14.35</v>
      </c>
    </row>
    <row r="9654" spans="1:5" x14ac:dyDescent="0.25">
      <c r="A9654" t="str">
        <f>HYPERLINK("https://www.773grp.com/globalSearch/LM2588S-5.0-NOPB/page-1", "LM2588S-5.0-NOPB")</f>
        <v>LM2588S-5.0-NOPB</v>
      </c>
      <c r="B9654" s="3" t="str">
        <f>HYPERLINK("https://www.773grp.com/manufacturer/national-semiconductor?pageNo=5", "National Semiconductor")</f>
        <v>National Semiconductor</v>
      </c>
      <c r="C9654" s="6">
        <v>905</v>
      </c>
      <c r="D9654" s="7">
        <v>14.35</v>
      </c>
      <c r="E9654" t="s">
        <v>7</v>
      </c>
    </row>
    <row r="9655" spans="1:5" x14ac:dyDescent="0.25">
      <c r="A9655" t="str">
        <f>HYPERLINK("https://www.773grp.com/globalSearch/LM2588S-ADJ-NOPB/page-1", "LM2588S-ADJ-NOPB")</f>
        <v>LM2588S-ADJ-NOPB</v>
      </c>
      <c r="B9655" s="3" t="str">
        <f>HYPERLINK("https://www.773grp.com/manufacturer/national-semiconductor?pageNo=6", "National Semiconductor")</f>
        <v>National Semiconductor</v>
      </c>
      <c r="C9655" s="6">
        <v>240</v>
      </c>
      <c r="D9655" s="7">
        <v>14.35</v>
      </c>
      <c r="E9655" t="s">
        <v>7</v>
      </c>
    </row>
    <row r="9656" spans="1:5" x14ac:dyDescent="0.25">
      <c r="A9656" t="str">
        <f>HYPERLINK("https://www.773grp.com/globalSearch/LMZ12001TZE-ADJ-NOPB/page-1", "LMZ12001TZE-ADJ-NOPB")</f>
        <v>LMZ12001TZE-ADJ-NOPB</v>
      </c>
      <c r="B9656" s="3" t="str">
        <f>HYPERLINK("https://www.773grp.com/manufacturer/national-semiconductor?pageNo=7", "National Semiconductor")</f>
        <v>National Semiconductor</v>
      </c>
      <c r="C9656" s="6">
        <v>185</v>
      </c>
      <c r="D9656" s="7">
        <v>14.35</v>
      </c>
    </row>
    <row r="9657" spans="1:5" x14ac:dyDescent="0.25">
      <c r="A9657" t="str">
        <f>HYPERLINK("https://www.773grp.com/globalSearch/100164DC/page-1", "100164DC")</f>
        <v>100164DC</v>
      </c>
      <c r="B9657" s="3" t="str">
        <f>HYPERLINK("https://www.773grp.com/manufacturer/national-semiconductor?pageNo=8", "National Semiconductor")</f>
        <v>National Semiconductor</v>
      </c>
      <c r="C9657" s="6">
        <v>109</v>
      </c>
      <c r="D9657" s="7">
        <v>14.38</v>
      </c>
      <c r="E9657" t="s">
        <v>20</v>
      </c>
    </row>
    <row r="9658" spans="1:5" x14ac:dyDescent="0.25">
      <c r="A9658" t="str">
        <f>HYPERLINK("https://www.773grp.com/globalSearch/100165DC/page-1", "100165DC")</f>
        <v>100165DC</v>
      </c>
      <c r="B9658" s="3" t="str">
        <f>HYPERLINK("https://www.773grp.com/manufacturer/national-semiconductor?pageNo=9", "National Semiconductor")</f>
        <v>National Semiconductor</v>
      </c>
      <c r="C9658" s="6">
        <v>45</v>
      </c>
      <c r="D9658" s="7">
        <v>14.38</v>
      </c>
      <c r="E9658" t="s">
        <v>43</v>
      </c>
    </row>
    <row r="9659" spans="1:5" x14ac:dyDescent="0.25">
      <c r="A9659" t="str">
        <f>HYPERLINK("https://www.773grp.com/globalSearch/9024DC/page-1", "9024DC")</f>
        <v>9024DC</v>
      </c>
      <c r="B9659" s="3" t="str">
        <f>HYPERLINK("https://www.773grp.com/manufacturer/national-semiconductor?pageNo=10", "National Semiconductor")</f>
        <v>National Semiconductor</v>
      </c>
      <c r="C9659" s="6">
        <v>2239</v>
      </c>
      <c r="D9659" s="7">
        <v>14.38</v>
      </c>
      <c r="E9659" t="s">
        <v>35</v>
      </c>
    </row>
    <row r="9660" spans="1:5" x14ac:dyDescent="0.25">
      <c r="A9660" t="str">
        <f>HYPERLINK("https://www.773grp.com/globalSearch/96106PC/page-1", "96106PC")</f>
        <v>96106PC</v>
      </c>
      <c r="B9660" s="3" t="str">
        <f>HYPERLINK("https://www.773grp.com/manufacturer/national-semiconductor?pageNo=11", "National Semiconductor")</f>
        <v>National Semiconductor</v>
      </c>
      <c r="C9660" s="6">
        <v>11252</v>
      </c>
      <c r="D9660" s="7">
        <v>14.38</v>
      </c>
    </row>
    <row r="9661" spans="1:5" x14ac:dyDescent="0.25">
      <c r="A9661" t="str">
        <f>HYPERLINK("https://www.773grp.com/globalSearch/9S42DC/page-1", "9S42DC")</f>
        <v>9S42DC</v>
      </c>
      <c r="B9661" s="3" t="str">
        <f>HYPERLINK("https://www.773grp.com/manufacturer/national-semiconductor?pageNo=12", "National Semiconductor")</f>
        <v>National Semiconductor</v>
      </c>
      <c r="C9661" s="6">
        <v>303</v>
      </c>
      <c r="D9661" s="7">
        <v>14.38</v>
      </c>
    </row>
    <row r="9662" spans="1:5" x14ac:dyDescent="0.25">
      <c r="A9662" t="str">
        <f>HYPERLINK("https://www.773grp.com/globalSearch/DS90CF386MTD/page-1", "DS90CF386MTD")</f>
        <v>DS90CF386MTD</v>
      </c>
      <c r="B9662" s="3" t="str">
        <f>HYPERLINK("https://www.773grp.com/manufacturer/national-semiconductor?pageNo=13", "National Semiconductor")</f>
        <v>National Semiconductor</v>
      </c>
      <c r="C9662" s="6">
        <v>110</v>
      </c>
      <c r="D9662" s="7">
        <v>14.38</v>
      </c>
      <c r="E9662" t="s">
        <v>21</v>
      </c>
    </row>
    <row r="9663" spans="1:5" x14ac:dyDescent="0.25">
      <c r="A9663" t="str">
        <f>HYPERLINK("https://www.773grp.com/globalSearch/LM2586S-ADJ/page-1", "LM2586S-ADJ")</f>
        <v>LM2586S-ADJ</v>
      </c>
      <c r="B9663" s="3" t="str">
        <f>HYPERLINK("https://www.773grp.com/manufacturer/national-semiconductor?pageNo=14", "National Semiconductor")</f>
        <v>National Semiconductor</v>
      </c>
      <c r="C9663" s="6">
        <v>55</v>
      </c>
      <c r="D9663" s="7">
        <v>14.38</v>
      </c>
      <c r="E9663" t="s">
        <v>7</v>
      </c>
    </row>
    <row r="9664" spans="1:5" x14ac:dyDescent="0.25">
      <c r="A9664" t="str">
        <f>HYPERLINK("https://www.773grp.com/globalSearch/DS90CF386MTD/page-1", "DS90CF386MTD")</f>
        <v>DS90CF386MTD</v>
      </c>
      <c r="B9664" s="3" t="str">
        <f>HYPERLINK("https://www.773grp.com/manufacturer/national-semiconductor?pageNo=15", "National Semiconductor")</f>
        <v>National Semiconductor</v>
      </c>
      <c r="C9664" s="6">
        <v>2647</v>
      </c>
      <c r="D9664" s="7">
        <v>14.38</v>
      </c>
      <c r="E9664" t="s">
        <v>21</v>
      </c>
    </row>
    <row r="9665" spans="1:5" x14ac:dyDescent="0.25">
      <c r="A9665" t="str">
        <f>HYPERLINK("https://www.773grp.com/globalSearch/LM2586S-ADJ/page-1", "LM2586S-ADJ")</f>
        <v>LM2586S-ADJ</v>
      </c>
      <c r="B9665" s="3" t="str">
        <f>HYPERLINK("https://www.773grp.com/manufacturer/national-semiconductor?pageNo=16", "National Semiconductor")</f>
        <v>National Semiconductor</v>
      </c>
      <c r="C9665" s="6">
        <v>71</v>
      </c>
      <c r="D9665" s="7">
        <v>14.38</v>
      </c>
      <c r="E9665" t="s">
        <v>7</v>
      </c>
    </row>
    <row r="9666" spans="1:5" x14ac:dyDescent="0.25">
      <c r="A9666" t="str">
        <f>HYPERLINK("https://www.773grp.com/globalSearch/LMH0303SQE-NOPB/page-1", "LMH0303SQE-NOPB")</f>
        <v>LMH0303SQE-NOPB</v>
      </c>
      <c r="B9666" s="3" t="str">
        <f>HYPERLINK("https://www.773grp.com/manufacturer/national-semiconductor?pageNo=17", "National Semiconductor")</f>
        <v>National Semiconductor</v>
      </c>
      <c r="C9666" s="6">
        <v>265</v>
      </c>
      <c r="D9666" s="7">
        <v>14.4</v>
      </c>
      <c r="E9666" t="s">
        <v>21</v>
      </c>
    </row>
    <row r="9667" spans="1:5" x14ac:dyDescent="0.25">
      <c r="A9667" t="str">
        <f>HYPERLINK("https://www.773grp.com/globalSearch/LMH0303SQE-NOPB/page-1", "LMH0303SQE-NOPB")</f>
        <v>LMH0303SQE-NOPB</v>
      </c>
      <c r="B9667" s="3" t="str">
        <f>HYPERLINK("https://www.773grp.com/manufacturer/national-semiconductor?pageNo=18", "National Semiconductor")</f>
        <v>National Semiconductor</v>
      </c>
      <c r="C9667" s="6">
        <v>250</v>
      </c>
      <c r="D9667" s="7">
        <v>14.4</v>
      </c>
      <c r="E9667" t="s">
        <v>21</v>
      </c>
    </row>
    <row r="9668" spans="1:5" x14ac:dyDescent="0.25">
      <c r="A9668" t="str">
        <f>HYPERLINK("https://www.773grp.com/globalSearch/DS14C335MSA/page-1", "DS14C335MSA")</f>
        <v>DS14C335MSA</v>
      </c>
      <c r="B9668" s="3" t="str">
        <f>HYPERLINK("https://www.773grp.com/manufacturer/national-semiconductor?pageNo=19", "National Semiconductor")</f>
        <v>National Semiconductor</v>
      </c>
      <c r="C9668" s="6">
        <v>104</v>
      </c>
      <c r="D9668" s="7">
        <v>14.43</v>
      </c>
      <c r="E9668" t="s">
        <v>21</v>
      </c>
    </row>
    <row r="9669" spans="1:5" x14ac:dyDescent="0.25">
      <c r="A9669" t="str">
        <f>HYPERLINK("https://www.773grp.com/globalSearch/PC16552DV-NOPB/page-1", "PC16552DV-NOPB")</f>
        <v>PC16552DV-NOPB</v>
      </c>
      <c r="B9669" s="3" t="str">
        <f>HYPERLINK("https://www.773grp.com/manufacturer/national-semiconductor?pageNo=20", "National Semiconductor")</f>
        <v>National Semiconductor</v>
      </c>
      <c r="C9669" s="6">
        <v>277</v>
      </c>
      <c r="D9669" s="7">
        <v>14.43</v>
      </c>
      <c r="E9669" t="s">
        <v>71</v>
      </c>
    </row>
    <row r="9670" spans="1:5" x14ac:dyDescent="0.25">
      <c r="A9670" t="str">
        <f>HYPERLINK("https://www.773grp.com/globalSearch/DS14C335MSA/page-1", "DS14C335MSA")</f>
        <v>DS14C335MSA</v>
      </c>
      <c r="B9670" s="3" t="str">
        <f>HYPERLINK("https://www.773grp.com/manufacturer/national-semiconductor?pageNo=21", "National Semiconductor")</f>
        <v>National Semiconductor</v>
      </c>
      <c r="C9670" s="6">
        <v>2064</v>
      </c>
      <c r="D9670" s="7">
        <v>14.43</v>
      </c>
      <c r="E9670" t="s">
        <v>21</v>
      </c>
    </row>
    <row r="9671" spans="1:5" x14ac:dyDescent="0.25">
      <c r="A9671" t="str">
        <f>HYPERLINK("https://www.773grp.com/globalSearch/PC16552DV-NOPB/page-1", "PC16552DV-NOPB")</f>
        <v>PC16552DV-NOPB</v>
      </c>
      <c r="B9671" s="3" t="str">
        <f>HYPERLINK("https://www.773grp.com/manufacturer/national-semiconductor?pageNo=22", "National Semiconductor")</f>
        <v>National Semiconductor</v>
      </c>
      <c r="C9671" s="6">
        <v>20</v>
      </c>
      <c r="D9671" s="7">
        <v>14.43</v>
      </c>
      <c r="E9671" t="s">
        <v>71</v>
      </c>
    </row>
    <row r="9672" spans="1:5" x14ac:dyDescent="0.25">
      <c r="A9672" t="str">
        <f>HYPERLINK("https://www.773grp.com/globalSearch/DS36950V-NOPB/page-1", "DS36950V-NOPB")</f>
        <v>DS36950V-NOPB</v>
      </c>
      <c r="B9672" s="3" t="str">
        <f>HYPERLINK("https://www.773grp.com/manufacturer/national-semiconductor?pageNo=23", "National Semiconductor")</f>
        <v>National Semiconductor</v>
      </c>
      <c r="C9672" s="6">
        <v>4820</v>
      </c>
      <c r="D9672" s="7">
        <v>14.46</v>
      </c>
      <c r="E9672" t="s">
        <v>21</v>
      </c>
    </row>
    <row r="9673" spans="1:5" x14ac:dyDescent="0.25">
      <c r="A9673" t="str">
        <f>HYPERLINK("https://www.773grp.com/globalSearch/DS90CR213MTD/page-1", "DS90CR213MTD")</f>
        <v>DS90CR213MTD</v>
      </c>
      <c r="B9673" s="3" t="str">
        <f>HYPERLINK("https://www.773grp.com/manufacturer/national-semiconductor?pageNo=24", "National Semiconductor")</f>
        <v>National Semiconductor</v>
      </c>
      <c r="C9673" s="6">
        <v>715</v>
      </c>
      <c r="D9673" s="7">
        <v>14.46</v>
      </c>
      <c r="E9673" t="s">
        <v>21</v>
      </c>
    </row>
    <row r="9674" spans="1:5" x14ac:dyDescent="0.25">
      <c r="A9674" t="str">
        <f>HYPERLINK("https://www.773grp.com/globalSearch/DS90CR213MTDX-NOPB/page-1", "DS90CR213MTDX-NOPB")</f>
        <v>DS90CR213MTDX-NOPB</v>
      </c>
      <c r="B9674" s="3" t="str">
        <f>HYPERLINK("https://www.773grp.com/manufacturer/national-semiconductor?pageNo=25", "National Semiconductor")</f>
        <v>National Semiconductor</v>
      </c>
      <c r="C9674" s="6">
        <v>3852</v>
      </c>
      <c r="D9674" s="7">
        <v>14.46</v>
      </c>
      <c r="E9674" t="s">
        <v>21</v>
      </c>
    </row>
    <row r="9675" spans="1:5" x14ac:dyDescent="0.25">
      <c r="A9675" t="str">
        <f>HYPERLINK("https://www.773grp.com/globalSearch/DS92LV1224TMSA-NOPB/page-1", "DS92LV1224TMSA-NOPB")</f>
        <v>DS92LV1224TMSA-NOPB</v>
      </c>
      <c r="B9675" s="3" t="str">
        <f>HYPERLINK("https://www.773grp.com/manufacturer/national-semiconductor?pageNo=26", "National Semiconductor")</f>
        <v>National Semiconductor</v>
      </c>
      <c r="C9675" s="6">
        <v>4227</v>
      </c>
      <c r="D9675" s="7">
        <v>14.46</v>
      </c>
      <c r="E9675" t="s">
        <v>21</v>
      </c>
    </row>
    <row r="9676" spans="1:5" x14ac:dyDescent="0.25">
      <c r="A9676" t="str">
        <f>HYPERLINK("https://www.773grp.com/globalSearch/DS92LV1224TMSA-NOPB/page-1", "DS92LV1224TMSA-NOPB")</f>
        <v>DS92LV1224TMSA-NOPB</v>
      </c>
      <c r="B9676" s="3" t="str">
        <f>HYPERLINK("https://www.773grp.com/manufacturer/national-semiconductor?pageNo=27", "National Semiconductor")</f>
        <v>National Semiconductor</v>
      </c>
      <c r="C9676" s="6">
        <v>5015</v>
      </c>
      <c r="D9676" s="7">
        <v>14.46</v>
      </c>
      <c r="E9676" t="s">
        <v>21</v>
      </c>
    </row>
    <row r="9677" spans="1:5" x14ac:dyDescent="0.25">
      <c r="A9677" t="str">
        <f>HYPERLINK("https://www.773grp.com/globalSearch/9316FM/page-1", "9316FM")</f>
        <v>9316FM</v>
      </c>
      <c r="B9677" s="3" t="str">
        <f>HYPERLINK("https://www.773grp.com/manufacturer/national-semiconductor?pageNo=28", "National Semiconductor")</f>
        <v>National Semiconductor</v>
      </c>
      <c r="C9677" s="6">
        <v>100</v>
      </c>
      <c r="D9677" s="7">
        <v>14.48</v>
      </c>
    </row>
    <row r="9678" spans="1:5" x14ac:dyDescent="0.25">
      <c r="A9678" t="str">
        <f>HYPERLINK("https://www.773grp.com/globalSearch/933DM/page-1", "933DM")</f>
        <v>933DM</v>
      </c>
      <c r="B9678" s="3" t="str">
        <f>HYPERLINK("https://www.773grp.com/manufacturer/national-semiconductor?pageNo=29", "National Semiconductor")</f>
        <v>National Semiconductor</v>
      </c>
      <c r="C9678" s="6">
        <v>1478</v>
      </c>
      <c r="D9678" s="7">
        <v>14.48</v>
      </c>
    </row>
    <row r="9679" spans="1:5" x14ac:dyDescent="0.25">
      <c r="A9679" t="str">
        <f>HYPERLINK("https://www.773grp.com/globalSearch/DS42BR400TSQ/page-1", "DS42BR400TSQ")</f>
        <v>DS42BR400TSQ</v>
      </c>
      <c r="B9679" s="3" t="str">
        <f>HYPERLINK("https://www.773grp.com/manufacturer/national-semiconductor?pageNo=30", "National Semiconductor")</f>
        <v>National Semiconductor</v>
      </c>
      <c r="C9679" s="6">
        <v>220</v>
      </c>
      <c r="D9679" s="7">
        <v>14.48</v>
      </c>
      <c r="E9679" t="s">
        <v>21</v>
      </c>
    </row>
    <row r="9680" spans="1:5" x14ac:dyDescent="0.25">
      <c r="A9680" t="str">
        <f>HYPERLINK("https://www.773grp.com/globalSearch/DS42BR400TSQ-NOPB/page-1", "DS42BR400TSQ-NOPB")</f>
        <v>DS42BR400TSQ-NOPB</v>
      </c>
      <c r="B9680" s="3" t="str">
        <f>HYPERLINK("https://www.773grp.com/manufacturer/national-semiconductor?pageNo=31", "National Semiconductor")</f>
        <v>National Semiconductor</v>
      </c>
      <c r="C9680" s="6">
        <v>686</v>
      </c>
      <c r="D9680" s="7">
        <v>14.48</v>
      </c>
      <c r="E9680" t="s">
        <v>21</v>
      </c>
    </row>
    <row r="9681" spans="1:5" x14ac:dyDescent="0.25">
      <c r="A9681" t="str">
        <f>HYPERLINK("https://www.773grp.com/globalSearch/SCANSTA111MT-NOPB/page-1", "SCANSTA111MT-NOPB")</f>
        <v>SCANSTA111MT-NOPB</v>
      </c>
      <c r="B9681" s="3" t="str">
        <f>HYPERLINK("https://www.773grp.com/manufacturer/national-semiconductor?pageNo=32", "National Semiconductor")</f>
        <v>National Semiconductor</v>
      </c>
      <c r="C9681" s="6">
        <v>572</v>
      </c>
      <c r="D9681" s="7">
        <v>14.48</v>
      </c>
      <c r="E9681" t="s">
        <v>42</v>
      </c>
    </row>
    <row r="9682" spans="1:5" x14ac:dyDescent="0.25">
      <c r="A9682" t="str">
        <f>HYPERLINK("https://www.773grp.com/globalSearch/DS42BR400TSQ-NOPB/page-1", "DS42BR400TSQ-NOPB")</f>
        <v>DS42BR400TSQ-NOPB</v>
      </c>
      <c r="B9682" s="3" t="str">
        <f>HYPERLINK("https://www.773grp.com/manufacturer/national-semiconductor?pageNo=33", "National Semiconductor")</f>
        <v>National Semiconductor</v>
      </c>
      <c r="C9682" s="6">
        <v>750</v>
      </c>
      <c r="D9682" s="7">
        <v>14.48</v>
      </c>
      <c r="E9682" t="s">
        <v>21</v>
      </c>
    </row>
    <row r="9683" spans="1:5" x14ac:dyDescent="0.25">
      <c r="A9683" t="str">
        <f>HYPERLINK("https://www.773grp.com/globalSearch/SCANSTA111MT-NOPB/page-1", "SCANSTA111MT-NOPB")</f>
        <v>SCANSTA111MT-NOPB</v>
      </c>
      <c r="B9683" s="3" t="str">
        <f>HYPERLINK("https://www.773grp.com/manufacturer/national-semiconductor?pageNo=34", "National Semiconductor")</f>
        <v>National Semiconductor</v>
      </c>
      <c r="C9683" s="6">
        <v>487</v>
      </c>
      <c r="D9683" s="7">
        <v>14.48</v>
      </c>
      <c r="E9683" t="s">
        <v>42</v>
      </c>
    </row>
    <row r="9684" spans="1:5" x14ac:dyDescent="0.25">
      <c r="A9684" t="str">
        <f>HYPERLINK("https://www.773grp.com/globalSearch/54ALS245AW-883/page-1", "54ALS245AW-883")</f>
        <v>54ALS245AW-883</v>
      </c>
      <c r="B9684" s="3" t="str">
        <f>HYPERLINK("https://www.773grp.com/manufacturer/national-semiconductor?pageNo=35", "National Semiconductor")</f>
        <v>National Semiconductor</v>
      </c>
      <c r="C9684" s="6">
        <v>308</v>
      </c>
      <c r="D9684" s="7">
        <v>14.51</v>
      </c>
    </row>
    <row r="9685" spans="1:5" x14ac:dyDescent="0.25">
      <c r="A9685" t="str">
        <f>HYPERLINK("https://www.773grp.com/globalSearch/DP83846AVHG-HALF/page-1", "DP83846AVHG-HALF")</f>
        <v>DP83846AVHG-HALF</v>
      </c>
      <c r="B9685" s="3" t="str">
        <f>HYPERLINK("https://www.773grp.com/manufacturer/national-semiconductor?pageNo=36", "National Semiconductor")</f>
        <v>National Semiconductor</v>
      </c>
      <c r="C9685" s="6">
        <v>13</v>
      </c>
      <c r="D9685" s="7">
        <v>14.51</v>
      </c>
    </row>
    <row r="9686" spans="1:5" x14ac:dyDescent="0.25">
      <c r="A9686" t="str">
        <f>HYPERLINK("https://www.773grp.com/globalSearch/DS15MB200TSQ/page-1", "DS15MB200TSQ")</f>
        <v>DS15MB200TSQ</v>
      </c>
      <c r="B9686" s="3" t="str">
        <f>HYPERLINK("https://www.773grp.com/manufacturer/national-semiconductor?pageNo=37", "National Semiconductor")</f>
        <v>National Semiconductor</v>
      </c>
      <c r="C9686" s="6">
        <v>500</v>
      </c>
      <c r="D9686" s="7">
        <v>14.51</v>
      </c>
      <c r="E9686" t="s">
        <v>21</v>
      </c>
    </row>
    <row r="9687" spans="1:5" x14ac:dyDescent="0.25">
      <c r="A9687" t="str">
        <f>HYPERLINK("https://www.773grp.com/globalSearch/DS15MB200TSQ/page-1", "DS15MB200TSQ")</f>
        <v>DS15MB200TSQ</v>
      </c>
      <c r="B9687" s="3" t="str">
        <f>HYPERLINK("https://www.773grp.com/manufacturer/national-semiconductor?pageNo=38", "National Semiconductor")</f>
        <v>National Semiconductor</v>
      </c>
      <c r="C9687" s="6">
        <v>406</v>
      </c>
      <c r="D9687" s="7">
        <v>14.51</v>
      </c>
      <c r="E9687" t="s">
        <v>21</v>
      </c>
    </row>
    <row r="9688" spans="1:5" x14ac:dyDescent="0.25">
      <c r="A9688" t="str">
        <f>HYPERLINK("https://www.773grp.com/globalSearch/LMZ10504TZE-ADJ-NOPB/page-1", "LMZ10504TZE-ADJ-NOPB")</f>
        <v>LMZ10504TZE-ADJ-NOPB</v>
      </c>
      <c r="B9688" s="3" t="str">
        <f>HYPERLINK("https://www.773grp.com/manufacturer/national-semiconductor?pageNo=39", "National Semiconductor")</f>
        <v>National Semiconductor</v>
      </c>
      <c r="C9688" s="6">
        <v>7</v>
      </c>
      <c r="D9688" s="7">
        <v>14.51</v>
      </c>
    </row>
    <row r="9689" spans="1:5" x14ac:dyDescent="0.25">
      <c r="A9689" t="str">
        <f>HYPERLINK("https://www.773grp.com/globalSearch/COP8ACC720M9-RE/page-1", "COP8ACC720M9-RE")</f>
        <v>COP8ACC720M9-RE</v>
      </c>
      <c r="B9689" s="3" t="str">
        <f>HYPERLINK("https://www.773grp.com/manufacturer/national-semiconductor?pageNo=40", "National Semiconductor")</f>
        <v>National Semiconductor</v>
      </c>
      <c r="C9689" s="6">
        <v>1602</v>
      </c>
      <c r="D9689" s="7">
        <v>14.56</v>
      </c>
      <c r="E9689" t="s">
        <v>52</v>
      </c>
    </row>
    <row r="9690" spans="1:5" x14ac:dyDescent="0.25">
      <c r="A9690" t="str">
        <f>HYPERLINK("https://www.773grp.com/globalSearch/DS42MB100TSQ-NOPB/page-1", "DS42MB100TSQ-NOPB")</f>
        <v>DS42MB100TSQ-NOPB</v>
      </c>
      <c r="B9690" s="3" t="str">
        <f>HYPERLINK("https://www.773grp.com/manufacturer/national-semiconductor?pageNo=41", "National Semiconductor")</f>
        <v>National Semiconductor</v>
      </c>
      <c r="C9690" s="6">
        <v>250</v>
      </c>
      <c r="D9690" s="7">
        <v>14.56</v>
      </c>
    </row>
    <row r="9691" spans="1:5" x14ac:dyDescent="0.25">
      <c r="A9691" t="str">
        <f>HYPERLINK("https://www.773grp.com/globalSearch/LMH0303SQE/page-1", "LMH0303SQE")</f>
        <v>LMH0303SQE</v>
      </c>
      <c r="B9691" s="3" t="str">
        <f>HYPERLINK("https://www.773grp.com/manufacturer/national-semiconductor?pageNo=42", "National Semiconductor")</f>
        <v>National Semiconductor</v>
      </c>
      <c r="C9691" s="6">
        <v>250</v>
      </c>
      <c r="D9691" s="7">
        <v>14.56</v>
      </c>
    </row>
    <row r="9692" spans="1:5" x14ac:dyDescent="0.25">
      <c r="A9692" t="str">
        <f>HYPERLINK("https://www.773grp.com/globalSearch/DRV1101U/page-1", "DRV1101U")</f>
        <v>DRV1101U</v>
      </c>
      <c r="B9692" s="3" t="str">
        <f>HYPERLINK("https://www.773grp.com/manufacturer/national-semiconductor?pageNo=43", "National Semiconductor")</f>
        <v>National Semiconductor</v>
      </c>
      <c r="C9692" s="6">
        <v>41</v>
      </c>
      <c r="D9692" s="7">
        <v>14.56</v>
      </c>
    </row>
    <row r="9693" spans="1:5" x14ac:dyDescent="0.25">
      <c r="A9693" t="str">
        <f>HYPERLINK("https://www.773grp.com/globalSearch/DS10CP154ATSQ-NOPB/page-1", "DS10CP154ATSQ-NOPB")</f>
        <v>DS10CP154ATSQ-NOPB</v>
      </c>
      <c r="B9693" s="3" t="str">
        <f>HYPERLINK("https://www.773grp.com/manufacturer/national-semiconductor?pageNo=44", "National Semiconductor")</f>
        <v>National Semiconductor</v>
      </c>
      <c r="C9693" s="6">
        <v>1000</v>
      </c>
      <c r="D9693" s="7">
        <v>14.6</v>
      </c>
    </row>
    <row r="9694" spans="1:5" x14ac:dyDescent="0.25">
      <c r="A9694" t="str">
        <f>HYPERLINK("https://www.773grp.com/globalSearch/LM134H/page-1", "LM134H")</f>
        <v>LM134H</v>
      </c>
      <c r="B9694" s="3" t="str">
        <f>HYPERLINK("https://www.773grp.com/manufacturer/national-semiconductor?pageNo=45", "National Semiconductor")</f>
        <v>National Semiconductor</v>
      </c>
      <c r="C9694" s="6">
        <v>2327</v>
      </c>
      <c r="D9694" s="7">
        <v>14.6</v>
      </c>
      <c r="E9694" t="s">
        <v>8</v>
      </c>
    </row>
    <row r="9695" spans="1:5" x14ac:dyDescent="0.25">
      <c r="A9695" t="str">
        <f>HYPERLINK("https://www.773grp.com/globalSearch/LM134H-NOPB/page-1", "LM134H-NOPB")</f>
        <v>LM134H-NOPB</v>
      </c>
      <c r="B9695" s="3" t="str">
        <f>HYPERLINK("https://www.773grp.com/manufacturer/national-semiconductor?pageNo=46", "National Semiconductor")</f>
        <v>National Semiconductor</v>
      </c>
      <c r="C9695" s="6">
        <v>968</v>
      </c>
      <c r="D9695" s="7">
        <v>14.6</v>
      </c>
      <c r="E9695" t="s">
        <v>8</v>
      </c>
    </row>
    <row r="9696" spans="1:5" x14ac:dyDescent="0.25">
      <c r="A9696" t="str">
        <f>HYPERLINK("https://www.773grp.com/globalSearch/LMH7324SQ-NOPB/page-1", "LMH7324SQ-NOPB")</f>
        <v>LMH7324SQ-NOPB</v>
      </c>
      <c r="B9696" s="3" t="str">
        <f>HYPERLINK("https://www.773grp.com/manufacturer/national-semiconductor?pageNo=47", "National Semiconductor")</f>
        <v>National Semiconductor</v>
      </c>
      <c r="C9696" s="6">
        <v>591</v>
      </c>
      <c r="D9696" s="7">
        <v>14.6</v>
      </c>
    </row>
    <row r="9697" spans="1:5" x14ac:dyDescent="0.25">
      <c r="A9697" t="str">
        <f>HYPERLINK("https://www.773grp.com/globalSearch/DS10CP154ATSQ-NOPB/page-1", "DS10CP154ATSQ-NOPB")</f>
        <v>DS10CP154ATSQ-NOPB</v>
      </c>
      <c r="B9697" s="3" t="str">
        <f>HYPERLINK("https://www.773grp.com/manufacturer/national-semiconductor?pageNo=48", "National Semiconductor")</f>
        <v>National Semiconductor</v>
      </c>
      <c r="C9697" s="6">
        <v>11</v>
      </c>
      <c r="D9697" s="7">
        <v>14.6</v>
      </c>
    </row>
    <row r="9698" spans="1:5" x14ac:dyDescent="0.25">
      <c r="A9698" t="str">
        <f>HYPERLINK("https://www.773grp.com/globalSearch/LMH7324SQ-NOPB/page-1", "LMH7324SQ-NOPB")</f>
        <v>LMH7324SQ-NOPB</v>
      </c>
      <c r="B9698" s="3" t="str">
        <f>HYPERLINK("https://www.773grp.com/manufacturer/national-semiconductor?pageNo=49", "National Semiconductor")</f>
        <v>National Semiconductor</v>
      </c>
      <c r="C9698" s="6">
        <v>186</v>
      </c>
      <c r="D9698" s="7">
        <v>14.6</v>
      </c>
    </row>
    <row r="9699" spans="1:5" x14ac:dyDescent="0.25">
      <c r="A9699" t="str">
        <f>HYPERLINK("https://www.773grp.com/globalSearch/LMH7324SQX-NOPB/page-1", "LMH7324SQX-NOPB")</f>
        <v>LMH7324SQX-NOPB</v>
      </c>
      <c r="B9699" s="3" t="str">
        <f>HYPERLINK("https://www.773grp.com/manufacturer/national-semiconductor?pageNo=50", "National Semiconductor")</f>
        <v>National Semiconductor</v>
      </c>
      <c r="C9699" s="6">
        <v>4500</v>
      </c>
      <c r="D9699" s="7">
        <v>14.6</v>
      </c>
    </row>
    <row r="9700" spans="1:5" x14ac:dyDescent="0.25">
      <c r="A9700" t="str">
        <f>HYPERLINK("https://www.773grp.com/globalSearch/9580DC/page-1", "9580DC")</f>
        <v>9580DC</v>
      </c>
      <c r="B9700" s="3" t="str">
        <f>HYPERLINK("https://www.773grp.com/manufacturer/national-semiconductor?pageNo=51", "National Semiconductor")</f>
        <v>National Semiconductor</v>
      </c>
      <c r="C9700" s="6">
        <v>19890</v>
      </c>
      <c r="D9700" s="7">
        <v>14.63</v>
      </c>
    </row>
    <row r="9701" spans="1:5" x14ac:dyDescent="0.25">
      <c r="A9701" t="str">
        <f>HYPERLINK("https://www.773grp.com/globalSearch/ADC08100CIMTC-NOPB/page-1", "ADC08100CIMTC-NOPB")</f>
        <v>ADC08100CIMTC-NOPB</v>
      </c>
      <c r="B9701" s="3" t="str">
        <f>HYPERLINK("https://www.773grp.com/manufacturer/national-semiconductor?pageNo=52", "National Semiconductor")</f>
        <v>National Semiconductor</v>
      </c>
      <c r="C9701" s="6">
        <v>41</v>
      </c>
      <c r="D9701" s="7">
        <v>14.63</v>
      </c>
      <c r="E9701" t="s">
        <v>39</v>
      </c>
    </row>
    <row r="9702" spans="1:5" x14ac:dyDescent="0.25">
      <c r="A9702" t="str">
        <f>HYPERLINK("https://www.773grp.com/globalSearch/LM285AYM-2.5/page-1", "LM285AYM-2.5")</f>
        <v>LM285AYM-2.5</v>
      </c>
      <c r="B9702" s="3" t="str">
        <f>HYPERLINK("https://www.773grp.com/manufacturer/national-semiconductor?pageNo=53", "National Semiconductor")</f>
        <v>National Semiconductor</v>
      </c>
      <c r="C9702" s="6">
        <v>615</v>
      </c>
      <c r="D9702" s="7">
        <v>14.63</v>
      </c>
      <c r="E9702" t="s">
        <v>17</v>
      </c>
    </row>
    <row r="9703" spans="1:5" x14ac:dyDescent="0.25">
      <c r="A9703" t="str">
        <f>HYPERLINK("https://www.773grp.com/globalSearch/ADC08100CIMTC-NOPB/page-1", "ADC08100CIMTC-NOPB")</f>
        <v>ADC08100CIMTC-NOPB</v>
      </c>
      <c r="B9703" s="3" t="str">
        <f>HYPERLINK("https://www.773grp.com/manufacturer/national-semiconductor?pageNo=54", "National Semiconductor")</f>
        <v>National Semiconductor</v>
      </c>
      <c r="C9703" s="6">
        <v>213</v>
      </c>
      <c r="D9703" s="7">
        <v>14.63</v>
      </c>
      <c r="E9703" t="s">
        <v>39</v>
      </c>
    </row>
    <row r="9704" spans="1:5" x14ac:dyDescent="0.25">
      <c r="A9704" t="str">
        <f>HYPERLINK("https://www.773grp.com/globalSearch/TMS320F28035PAGS/page-1", "TMS320F28035PAGS")</f>
        <v>TMS320F28035PAGS</v>
      </c>
      <c r="B9704" s="3" t="str">
        <f>HYPERLINK("https://www.773grp.com/manufacturer/national-semiconductor?pageNo=55", "National Semiconductor")</f>
        <v>National Semiconductor</v>
      </c>
      <c r="C9704" s="6">
        <v>2879</v>
      </c>
      <c r="D9704" s="7">
        <v>14.63</v>
      </c>
    </row>
    <row r="9705" spans="1:5" x14ac:dyDescent="0.25">
      <c r="A9705" t="str">
        <f>HYPERLINK("https://www.773grp.com/globalSearch/ADC12010CIVY-NOPB/page-1", "ADC12010CIVY-NOPB")</f>
        <v>ADC12010CIVY-NOPB</v>
      </c>
      <c r="B9705" s="3" t="str">
        <f>HYPERLINK("https://www.773grp.com/manufacturer/national-semiconductor?pageNo=56", "National Semiconductor")</f>
        <v>National Semiconductor</v>
      </c>
      <c r="C9705" s="6">
        <v>96</v>
      </c>
      <c r="D9705" s="7">
        <v>14.65</v>
      </c>
      <c r="E9705" t="s">
        <v>39</v>
      </c>
    </row>
    <row r="9706" spans="1:5" x14ac:dyDescent="0.25">
      <c r="A9706" t="str">
        <f>HYPERLINK("https://www.773grp.com/globalSearch/DS90C383MTD/page-1", "DS90C383MTD")</f>
        <v>DS90C383MTD</v>
      </c>
      <c r="B9706" s="3" t="str">
        <f>HYPERLINK("https://www.773grp.com/manufacturer/national-semiconductor?pageNo=57", "National Semiconductor")</f>
        <v>National Semiconductor</v>
      </c>
      <c r="C9706" s="6">
        <v>68</v>
      </c>
      <c r="D9706" s="7">
        <v>14.65</v>
      </c>
      <c r="E9706" t="s">
        <v>21</v>
      </c>
    </row>
    <row r="9707" spans="1:5" x14ac:dyDescent="0.25">
      <c r="A9707" t="str">
        <f>HYPERLINK("https://www.773grp.com/globalSearch/LM140LAH-12/page-1", "LM140LAH-12")</f>
        <v>LM140LAH-12</v>
      </c>
      <c r="B9707" s="3" t="str">
        <f>HYPERLINK("https://www.773grp.com/manufacturer/national-semiconductor?pageNo=58", "National Semiconductor")</f>
        <v>National Semiconductor</v>
      </c>
      <c r="C9707" s="6">
        <v>127</v>
      </c>
      <c r="D9707" s="7">
        <v>14.65</v>
      </c>
      <c r="E9707" t="s">
        <v>28</v>
      </c>
    </row>
    <row r="9708" spans="1:5" x14ac:dyDescent="0.25">
      <c r="A9708" t="str">
        <f>HYPERLINK("https://www.773grp.com/globalSearch/LM140LAH-12-NOPB/page-1", "LM140LAH-12-NOPB")</f>
        <v>LM140LAH-12-NOPB</v>
      </c>
      <c r="B9708" s="3" t="str">
        <f>HYPERLINK("https://www.773grp.com/manufacturer/national-semiconductor?pageNo=59", "National Semiconductor")</f>
        <v>National Semiconductor</v>
      </c>
      <c r="C9708" s="6">
        <v>694</v>
      </c>
      <c r="D9708" s="7">
        <v>14.65</v>
      </c>
      <c r="E9708" t="s">
        <v>28</v>
      </c>
    </row>
    <row r="9709" spans="1:5" x14ac:dyDescent="0.25">
      <c r="A9709" t="str">
        <f>HYPERLINK("https://www.773grp.com/globalSearch/LM140LAH-15/page-1", "LM140LAH-15")</f>
        <v>LM140LAH-15</v>
      </c>
      <c r="B9709" s="3" t="str">
        <f>HYPERLINK("https://www.773grp.com/manufacturer/national-semiconductor?pageNo=60", "National Semiconductor")</f>
        <v>National Semiconductor</v>
      </c>
      <c r="C9709" s="6">
        <v>418</v>
      </c>
      <c r="D9709" s="7">
        <v>14.65</v>
      </c>
      <c r="E9709" t="s">
        <v>28</v>
      </c>
    </row>
    <row r="9710" spans="1:5" x14ac:dyDescent="0.25">
      <c r="A9710" t="str">
        <f>HYPERLINK("https://www.773grp.com/globalSearch/LM140LAH-5.0/page-1", "LM140LAH-5.0")</f>
        <v>LM140LAH-5.0</v>
      </c>
      <c r="B9710" s="3" t="str">
        <f>HYPERLINK("https://www.773grp.com/manufacturer/national-semiconductor?pageNo=61", "National Semiconductor")</f>
        <v>National Semiconductor</v>
      </c>
      <c r="C9710" s="6">
        <v>500</v>
      </c>
      <c r="D9710" s="7">
        <v>14.65</v>
      </c>
      <c r="E9710" t="s">
        <v>28</v>
      </c>
    </row>
    <row r="9711" spans="1:5" x14ac:dyDescent="0.25">
      <c r="A9711" t="str">
        <f>HYPERLINK("https://www.773grp.com/globalSearch/LM140LAH-5.0-NOPB/page-1", "LM140LAH-5.0-NOPB")</f>
        <v>LM140LAH-5.0-NOPB</v>
      </c>
      <c r="B9711" s="3" t="str">
        <f>HYPERLINK("https://www.773grp.com/manufacturer/national-semiconductor?pageNo=62", "National Semiconductor")</f>
        <v>National Semiconductor</v>
      </c>
      <c r="C9711" s="6">
        <v>1916</v>
      </c>
      <c r="D9711" s="7">
        <v>14.65</v>
      </c>
      <c r="E9711" t="s">
        <v>28</v>
      </c>
    </row>
    <row r="9712" spans="1:5" x14ac:dyDescent="0.25">
      <c r="A9712" t="str">
        <f>HYPERLINK("https://www.773grp.com/globalSearch/DS90C363MTD/page-1", "DS90C363MTD")</f>
        <v>DS90C363MTD</v>
      </c>
      <c r="B9712" s="3" t="str">
        <f>HYPERLINK("https://www.773grp.com/manufacturer/national-semiconductor?pageNo=63", "National Semiconductor")</f>
        <v>National Semiconductor</v>
      </c>
      <c r="C9712" s="6">
        <v>4931</v>
      </c>
      <c r="D9712" s="7">
        <v>14.65</v>
      </c>
      <c r="E9712" t="s">
        <v>21</v>
      </c>
    </row>
    <row r="9713" spans="1:5" x14ac:dyDescent="0.25">
      <c r="A9713" t="str">
        <f>HYPERLINK("https://www.773grp.com/globalSearch/DS90C383MTD/page-1", "DS90C383MTD")</f>
        <v>DS90C383MTD</v>
      </c>
      <c r="B9713" s="3" t="str">
        <f>HYPERLINK("https://www.773grp.com/manufacturer/national-semiconductor?pageNo=64", "National Semiconductor")</f>
        <v>National Semiconductor</v>
      </c>
      <c r="C9713" s="6">
        <v>3366</v>
      </c>
      <c r="D9713" s="7">
        <v>14.65</v>
      </c>
      <c r="E9713" t="s">
        <v>21</v>
      </c>
    </row>
    <row r="9714" spans="1:5" x14ac:dyDescent="0.25">
      <c r="A9714" t="str">
        <f>HYPERLINK("https://www.773grp.com/globalSearch/LM140LAH-5.0/page-1", "LM140LAH-5.0")</f>
        <v>LM140LAH-5.0</v>
      </c>
      <c r="B9714" s="3" t="str">
        <f>HYPERLINK("https://www.773grp.com/manufacturer/national-semiconductor?pageNo=65", "National Semiconductor")</f>
        <v>National Semiconductor</v>
      </c>
      <c r="C9714" s="6">
        <v>3080</v>
      </c>
      <c r="D9714" s="7">
        <v>14.65</v>
      </c>
      <c r="E9714" t="s">
        <v>28</v>
      </c>
    </row>
    <row r="9715" spans="1:5" x14ac:dyDescent="0.25">
      <c r="A9715" t="str">
        <f>HYPERLINK("https://www.773grp.com/globalSearch/100121FC/page-1", "100121FC")</f>
        <v>100121FC</v>
      </c>
      <c r="B9715" s="3" t="str">
        <f>HYPERLINK("https://www.773grp.com/manufacturer/national-semiconductor?pageNo=66", "National Semiconductor")</f>
        <v>National Semiconductor</v>
      </c>
      <c r="C9715" s="6">
        <v>271</v>
      </c>
      <c r="D9715" s="7">
        <v>14.69</v>
      </c>
      <c r="E9715" t="s">
        <v>31</v>
      </c>
    </row>
    <row r="9716" spans="1:5" x14ac:dyDescent="0.25">
      <c r="A9716" t="str">
        <f>HYPERLINK("https://www.773grp.com/globalSearch/9304PC/page-1", "9304PC")</f>
        <v>9304PC</v>
      </c>
      <c r="B9716" s="3" t="str">
        <f>HYPERLINK("https://www.773grp.com/manufacturer/national-semiconductor?pageNo=67", "National Semiconductor")</f>
        <v>National Semiconductor</v>
      </c>
      <c r="C9716" s="6">
        <v>17685</v>
      </c>
      <c r="D9716" s="7">
        <v>14.69</v>
      </c>
    </row>
    <row r="9717" spans="1:5" x14ac:dyDescent="0.25">
      <c r="A9717" t="str">
        <f>HYPERLINK("https://www.773grp.com/globalSearch/9342PC/page-1", "9342PC")</f>
        <v>9342PC</v>
      </c>
      <c r="B9717" s="3" t="str">
        <f>HYPERLINK("https://www.773grp.com/manufacturer/national-semiconductor?pageNo=68", "National Semiconductor")</f>
        <v>National Semiconductor</v>
      </c>
      <c r="C9717" s="6">
        <v>3323</v>
      </c>
      <c r="D9717" s="7">
        <v>14.69</v>
      </c>
    </row>
    <row r="9718" spans="1:5" x14ac:dyDescent="0.25">
      <c r="A9718" t="str">
        <f>HYPERLINK("https://www.773grp.com/globalSearch/DS50PCI401EVK/page-1", "DS50PCI401EVK")</f>
        <v>DS50PCI401EVK</v>
      </c>
      <c r="B9718" s="3" t="str">
        <f>HYPERLINK("https://www.773grp.com/manufacturer/national-semiconductor?pageNo=69", "National Semiconductor")</f>
        <v>National Semiconductor</v>
      </c>
      <c r="C9718" s="6">
        <v>1</v>
      </c>
      <c r="D9718" s="7">
        <v>14.71</v>
      </c>
    </row>
    <row r="9719" spans="1:5" x14ac:dyDescent="0.25">
      <c r="A9719" t="str">
        <f>HYPERLINK("https://www.773grp.com/globalSearch/DS92LV3221TVSX-NOPB/page-1", "DS92LV3221TVSX-NOPB")</f>
        <v>DS92LV3221TVSX-NOPB</v>
      </c>
      <c r="B9719" s="3" t="str">
        <f>HYPERLINK("https://www.773grp.com/manufacturer/national-semiconductor?pageNo=70", "National Semiconductor")</f>
        <v>National Semiconductor</v>
      </c>
      <c r="C9719" s="6">
        <v>970</v>
      </c>
      <c r="D9719" s="7">
        <v>14.71</v>
      </c>
    </row>
    <row r="9720" spans="1:5" x14ac:dyDescent="0.25">
      <c r="A9720" t="str">
        <f>HYPERLINK("https://www.773grp.com/globalSearch/TP3465V-NOPB/page-1", "TP3465V-NOPB")</f>
        <v>TP3465V-NOPB</v>
      </c>
      <c r="B9720" s="3" t="str">
        <f>HYPERLINK("https://www.773grp.com/manufacturer/national-semiconductor?pageNo=71", "National Semiconductor")</f>
        <v>National Semiconductor</v>
      </c>
      <c r="C9720" s="6">
        <v>139</v>
      </c>
      <c r="D9720" s="7">
        <v>14.71</v>
      </c>
      <c r="E9720" t="s">
        <v>42</v>
      </c>
    </row>
    <row r="9721" spans="1:5" x14ac:dyDescent="0.25">
      <c r="A9721" t="str">
        <f>HYPERLINK("https://www.773grp.com/globalSearch/DS92LV3221TVSX-NOPB/page-1", "DS92LV3221TVSX-NOPB")</f>
        <v>DS92LV3221TVSX-NOPB</v>
      </c>
      <c r="B9721" s="3" t="str">
        <f>HYPERLINK("https://www.773grp.com/manufacturer/national-semiconductor?pageNo=72", "National Semiconductor")</f>
        <v>National Semiconductor</v>
      </c>
      <c r="C9721" s="6">
        <v>1000</v>
      </c>
      <c r="D9721" s="7">
        <v>14.71</v>
      </c>
    </row>
    <row r="9722" spans="1:5" x14ac:dyDescent="0.25">
      <c r="A9722" t="str">
        <f>HYPERLINK("https://www.773grp.com/globalSearch/TP3465V-NOPB/page-1", "TP3465V-NOPB")</f>
        <v>TP3465V-NOPB</v>
      </c>
      <c r="B9722" s="3" t="str">
        <f>HYPERLINK("https://www.773grp.com/manufacturer/national-semiconductor?pageNo=73", "National Semiconductor")</f>
        <v>National Semiconductor</v>
      </c>
      <c r="C9722" s="6">
        <v>16153</v>
      </c>
      <c r="D9722" s="7">
        <v>14.71</v>
      </c>
      <c r="E9722" t="s">
        <v>42</v>
      </c>
    </row>
    <row r="9723" spans="1:5" x14ac:dyDescent="0.25">
      <c r="A9723" t="str">
        <f>HYPERLINK("https://www.773grp.com/globalSearch/54LS151LMQB/page-1", "54LS151LMQB")</f>
        <v>54LS151LMQB</v>
      </c>
      <c r="B9723" s="3" t="str">
        <f>HYPERLINK("https://www.773grp.com/manufacturer/national-semiconductor?pageNo=74", "National Semiconductor")</f>
        <v>National Semiconductor</v>
      </c>
      <c r="C9723" s="6">
        <v>2303</v>
      </c>
      <c r="D9723" s="7">
        <v>14.76</v>
      </c>
      <c r="E9723" t="s">
        <v>20</v>
      </c>
    </row>
    <row r="9724" spans="1:5" x14ac:dyDescent="0.25">
      <c r="A9724" t="str">
        <f>HYPERLINK("https://www.773grp.com/globalSearch/54LS279LMQB/page-1", "54LS279LMQB")</f>
        <v>54LS279LMQB</v>
      </c>
      <c r="B9724" s="3" t="str">
        <f>HYPERLINK("https://www.773grp.com/manufacturer/national-semiconductor?pageNo=75", "National Semiconductor")</f>
        <v>National Semiconductor</v>
      </c>
      <c r="C9724" s="6">
        <v>148</v>
      </c>
      <c r="D9724" s="7">
        <v>14.76</v>
      </c>
      <c r="E9724" t="s">
        <v>35</v>
      </c>
    </row>
    <row r="9725" spans="1:5" x14ac:dyDescent="0.25">
      <c r="A9725" t="str">
        <f>HYPERLINK("https://www.773grp.com/globalSearch/DAC128S085CIMT/page-1", "DAC128S085CIMT")</f>
        <v>DAC128S085CIMT</v>
      </c>
      <c r="B9725" s="3" t="str">
        <f>HYPERLINK("https://www.773grp.com/manufacturer/national-semiconductor?pageNo=76", "National Semiconductor")</f>
        <v>National Semiconductor</v>
      </c>
      <c r="C9725" s="6">
        <v>15</v>
      </c>
      <c r="D9725" s="7">
        <v>14.76</v>
      </c>
      <c r="E9725" t="s">
        <v>33</v>
      </c>
    </row>
    <row r="9726" spans="1:5" x14ac:dyDescent="0.25">
      <c r="A9726" t="str">
        <f>HYPERLINK("https://www.773grp.com/globalSearch/DM85L74N/page-1", "DM85L74N")</f>
        <v>DM85L74N</v>
      </c>
      <c r="B9726" s="3" t="str">
        <f>HYPERLINK("https://www.773grp.com/manufacturer/national-semiconductor?pageNo=77", "National Semiconductor")</f>
        <v>National Semiconductor</v>
      </c>
      <c r="C9726" s="6">
        <v>9374</v>
      </c>
      <c r="D9726" s="7">
        <v>14.76</v>
      </c>
    </row>
    <row r="9727" spans="1:5" x14ac:dyDescent="0.25">
      <c r="A9727" t="str">
        <f>HYPERLINK("https://www.773grp.com/globalSearch/DS14C232TWM/page-1", "DS14C232TWM")</f>
        <v>DS14C232TWM</v>
      </c>
      <c r="B9727" s="3" t="str">
        <f>HYPERLINK("https://www.773grp.com/manufacturer/national-semiconductor?pageNo=78", "National Semiconductor")</f>
        <v>National Semiconductor</v>
      </c>
      <c r="C9727" s="6">
        <v>2830</v>
      </c>
      <c r="D9727" s="7">
        <v>14.76</v>
      </c>
      <c r="E9727" t="s">
        <v>21</v>
      </c>
    </row>
    <row r="9728" spans="1:5" x14ac:dyDescent="0.25">
      <c r="A9728" t="str">
        <f>HYPERLINK("https://www.773grp.com/globalSearch/GAL22CV10-15LVC/page-1", "GAL22CV10-15LVC")</f>
        <v>GAL22CV10-15LVC</v>
      </c>
      <c r="B9728" s="3" t="str">
        <f>HYPERLINK("https://www.773grp.com/manufacturer/national-semiconductor?pageNo=79", "National Semiconductor")</f>
        <v>National Semiconductor</v>
      </c>
      <c r="C9728" s="6">
        <v>156</v>
      </c>
      <c r="D9728" s="7">
        <v>14.76</v>
      </c>
    </row>
    <row r="9729" spans="1:5" x14ac:dyDescent="0.25">
      <c r="A9729" t="str">
        <f>HYPERLINK("https://www.773grp.com/globalSearch/GAL22V10-15LVC/page-1", "GAL22V10-15LVC")</f>
        <v>GAL22V10-15LVC</v>
      </c>
      <c r="B9729" s="3" t="str">
        <f>HYPERLINK("https://www.773grp.com/manufacturer/national-semiconductor?pageNo=80", "National Semiconductor")</f>
        <v>National Semiconductor</v>
      </c>
      <c r="C9729" s="6">
        <v>441</v>
      </c>
      <c r="D9729" s="7">
        <v>14.76</v>
      </c>
      <c r="E9729" t="s">
        <v>51</v>
      </c>
    </row>
    <row r="9730" spans="1:5" x14ac:dyDescent="0.25">
      <c r="A9730" t="str">
        <f>HYPERLINK("https://www.773grp.com/globalSearch/LMC6462AMN/page-1", "LMC6462AMN")</f>
        <v>LMC6462AMN</v>
      </c>
      <c r="B9730" s="3" t="str">
        <f>HYPERLINK("https://www.773grp.com/manufacturer/national-semiconductor?pageNo=81", "National Semiconductor")</f>
        <v>National Semiconductor</v>
      </c>
      <c r="C9730" s="6">
        <v>528</v>
      </c>
      <c r="D9730" s="7">
        <v>14.76</v>
      </c>
      <c r="E9730" t="s">
        <v>13</v>
      </c>
    </row>
    <row r="9731" spans="1:5" x14ac:dyDescent="0.25">
      <c r="A9731" t="str">
        <f>HYPERLINK("https://www.773grp.com/globalSearch/DAC128S085CISQ-NOPB/page-1", "DAC128S085CISQ-NOPB")</f>
        <v>DAC128S085CISQ-NOPB</v>
      </c>
      <c r="B9731" s="3" t="str">
        <f>HYPERLINK("https://www.773grp.com/manufacturer/national-semiconductor?pageNo=82", "National Semiconductor")</f>
        <v>National Semiconductor</v>
      </c>
      <c r="C9731" s="6">
        <v>8600</v>
      </c>
      <c r="D9731" s="7">
        <v>14.76</v>
      </c>
    </row>
    <row r="9732" spans="1:5" x14ac:dyDescent="0.25">
      <c r="A9732" t="str">
        <f>HYPERLINK("https://www.773grp.com/globalSearch/100130DC/page-1", "100130DC")</f>
        <v>100130DC</v>
      </c>
      <c r="B9732" s="3" t="str">
        <f>HYPERLINK("https://www.773grp.com/manufacturer/national-semiconductor?pageNo=83", "National Semiconductor")</f>
        <v>National Semiconductor</v>
      </c>
      <c r="C9732" s="6">
        <v>1401</v>
      </c>
      <c r="D9732" s="7">
        <v>14.85</v>
      </c>
      <c r="E9732" t="s">
        <v>35</v>
      </c>
    </row>
    <row r="9733" spans="1:5" x14ac:dyDescent="0.25">
      <c r="A9733" t="str">
        <f>HYPERLINK("https://www.773grp.com/globalSearch/100150DC/page-1", "100150DC")</f>
        <v>100150DC</v>
      </c>
      <c r="B9733" s="3" t="str">
        <f>HYPERLINK("https://www.773grp.com/manufacturer/national-semiconductor?pageNo=84", "National Semiconductor")</f>
        <v>National Semiconductor</v>
      </c>
      <c r="C9733" s="6">
        <v>3867</v>
      </c>
      <c r="D9733" s="7">
        <v>14.85</v>
      </c>
      <c r="E9733" t="s">
        <v>35</v>
      </c>
    </row>
    <row r="9734" spans="1:5" x14ac:dyDescent="0.25">
      <c r="A9734" t="str">
        <f>HYPERLINK("https://www.773grp.com/globalSearch/54AC299DMQB/page-1", "54AC299DMQB")</f>
        <v>54AC299DMQB</v>
      </c>
      <c r="B9734" s="3" t="str">
        <f>HYPERLINK("https://www.773grp.com/manufacturer/national-semiconductor?pageNo=85", "National Semiconductor")</f>
        <v>National Semiconductor</v>
      </c>
      <c r="C9734" s="6">
        <v>501</v>
      </c>
      <c r="D9734" s="7">
        <v>14.85</v>
      </c>
      <c r="E9734" t="s">
        <v>32</v>
      </c>
    </row>
    <row r="9735" spans="1:5" x14ac:dyDescent="0.25">
      <c r="A9735" t="str">
        <f>HYPERLINK("https://www.773grp.com/globalSearch/54AC378DMQB/page-1", "54AC378DMQB")</f>
        <v>54AC378DMQB</v>
      </c>
      <c r="B9735" s="3" t="str">
        <f>HYPERLINK("https://www.773grp.com/manufacturer/national-semiconductor?pageNo=86", "National Semiconductor")</f>
        <v>National Semiconductor</v>
      </c>
      <c r="C9735" s="6">
        <v>69</v>
      </c>
      <c r="D9735" s="7">
        <v>14.85</v>
      </c>
      <c r="E9735" t="s">
        <v>35</v>
      </c>
    </row>
    <row r="9736" spans="1:5" x14ac:dyDescent="0.25">
      <c r="A9736" t="str">
        <f>HYPERLINK("https://www.773grp.com/globalSearch/MM74HC373J/page-1", "MM74HC373J")</f>
        <v>MM74HC373J</v>
      </c>
      <c r="B9736" s="3" t="str">
        <f>HYPERLINK("https://www.773grp.com/manufacturer/national-semiconductor?pageNo=87", "National Semiconductor")</f>
        <v>National Semiconductor</v>
      </c>
      <c r="C9736" s="6">
        <v>473</v>
      </c>
      <c r="D9736" s="7">
        <v>14.85</v>
      </c>
      <c r="E9736" t="s">
        <v>14</v>
      </c>
    </row>
    <row r="9737" spans="1:5" x14ac:dyDescent="0.25">
      <c r="A9737" t="str">
        <f>HYPERLINK("https://www.773grp.com/globalSearch/SMM74HC125J/page-1", "SMM74HC125J")</f>
        <v>SMM74HC125J</v>
      </c>
      <c r="B9737" s="3" t="str">
        <f>HYPERLINK("https://www.773grp.com/manufacturer/national-semiconductor?pageNo=88", "National Semiconductor")</f>
        <v>National Semiconductor</v>
      </c>
      <c r="C9737" s="6">
        <v>417</v>
      </c>
      <c r="D9737" s="7">
        <v>14.85</v>
      </c>
    </row>
    <row r="9738" spans="1:5" x14ac:dyDescent="0.25">
      <c r="A9738" t="str">
        <f>HYPERLINK("https://www.773grp.com/globalSearch/DS92LV040ATLQA/page-1", "DS92LV040ATLQA")</f>
        <v>DS92LV040ATLQA</v>
      </c>
      <c r="B9738" s="3" t="str">
        <f>HYPERLINK("https://www.773grp.com/manufacturer/national-semiconductor?pageNo=89", "National Semiconductor")</f>
        <v>National Semiconductor</v>
      </c>
      <c r="C9738" s="6">
        <v>36</v>
      </c>
      <c r="D9738" s="7">
        <v>14.85</v>
      </c>
      <c r="E9738" t="s">
        <v>21</v>
      </c>
    </row>
    <row r="9739" spans="1:5" x14ac:dyDescent="0.25">
      <c r="A9739" t="str">
        <f>HYPERLINK("https://www.773grp.com/globalSearch/DM54150J-883/page-1", "DM54150J-883")</f>
        <v>DM54150J-883</v>
      </c>
      <c r="B9739" s="3" t="str">
        <f>HYPERLINK("https://www.773grp.com/manufacturer/national-semiconductor?pageNo=90", "National Semiconductor")</f>
        <v>National Semiconductor</v>
      </c>
      <c r="C9739" s="6">
        <v>130</v>
      </c>
      <c r="D9739" s="7">
        <v>14.89</v>
      </c>
      <c r="E9739" t="s">
        <v>20</v>
      </c>
    </row>
    <row r="9740" spans="1:5" x14ac:dyDescent="0.25">
      <c r="A9740" t="str">
        <f>HYPERLINK("https://www.773grp.com/globalSearch/DS14C232TWMX/page-1", "DS14C232TWMX")</f>
        <v>DS14C232TWMX</v>
      </c>
      <c r="B9740" s="3" t="str">
        <f>HYPERLINK("https://www.773grp.com/manufacturer/national-semiconductor?pageNo=91", "National Semiconductor")</f>
        <v>National Semiconductor</v>
      </c>
      <c r="C9740" s="6">
        <v>1000</v>
      </c>
      <c r="D9740" s="7">
        <v>14.9</v>
      </c>
      <c r="E9740" t="s">
        <v>21</v>
      </c>
    </row>
    <row r="9741" spans="1:5" x14ac:dyDescent="0.25">
      <c r="A9741" t="str">
        <f>HYPERLINK("https://www.773grp.com/globalSearch/LM35DH/page-1", "LM35DH")</f>
        <v>LM35DH</v>
      </c>
      <c r="B9741" s="3" t="str">
        <f>HYPERLINK("https://www.773grp.com/manufacturer/national-semiconductor?pageNo=92", "National Semiconductor")</f>
        <v>National Semiconductor</v>
      </c>
      <c r="C9741" s="6">
        <v>2</v>
      </c>
      <c r="D9741" s="7">
        <v>14.9</v>
      </c>
      <c r="E9741" t="s">
        <v>8</v>
      </c>
    </row>
    <row r="9742" spans="1:5" x14ac:dyDescent="0.25">
      <c r="A9742" t="str">
        <f>HYPERLINK("https://www.773grp.com/globalSearch/LM35DH-NOPB/page-1", "LM35DH-NOPB")</f>
        <v>LM35DH-NOPB</v>
      </c>
      <c r="B9742" s="3" t="str">
        <f>HYPERLINK("https://www.773grp.com/manufacturer/national-semiconductor?pageNo=93", "National Semiconductor")</f>
        <v>National Semiconductor</v>
      </c>
      <c r="C9742" s="6">
        <v>1296</v>
      </c>
      <c r="D9742" s="7">
        <v>14.9</v>
      </c>
      <c r="E9742" t="s">
        <v>8</v>
      </c>
    </row>
    <row r="9743" spans="1:5" x14ac:dyDescent="0.25">
      <c r="A9743" t="str">
        <f>HYPERLINK("https://www.773grp.com/globalSearch/LM34DH/page-1", "LM34DH")</f>
        <v>LM34DH</v>
      </c>
      <c r="B9743" s="3" t="str">
        <f>HYPERLINK("https://www.773grp.com/manufacturer/national-semiconductor?pageNo=94", "National Semiconductor")</f>
        <v>National Semiconductor</v>
      </c>
      <c r="C9743" s="6">
        <v>96</v>
      </c>
      <c r="D9743" s="7">
        <v>14.9</v>
      </c>
    </row>
    <row r="9744" spans="1:5" x14ac:dyDescent="0.25">
      <c r="A9744" t="str">
        <f>HYPERLINK("https://www.773grp.com/globalSearch/LM34DH-NOPB/page-1", "LM34DH-NOPB")</f>
        <v>LM34DH-NOPB</v>
      </c>
      <c r="B9744" s="3" t="str">
        <f>HYPERLINK("https://www.773grp.com/manufacturer/national-semiconductor?pageNo=95", "National Semiconductor")</f>
        <v>National Semiconductor</v>
      </c>
      <c r="C9744" s="6">
        <v>506</v>
      </c>
      <c r="D9744" s="7">
        <v>14.9</v>
      </c>
    </row>
    <row r="9745" spans="1:5" x14ac:dyDescent="0.25">
      <c r="A9745" t="str">
        <f>HYPERLINK("https://www.773grp.com/globalSearch/LM35DH/page-1", "LM35DH")</f>
        <v>LM35DH</v>
      </c>
      <c r="B9745" s="3" t="str">
        <f>HYPERLINK("https://www.773grp.com/manufacturer/national-semiconductor?pageNo=96", "National Semiconductor")</f>
        <v>National Semiconductor</v>
      </c>
      <c r="C9745" s="6">
        <v>486</v>
      </c>
      <c r="D9745" s="7">
        <v>14.9</v>
      </c>
      <c r="E9745" t="s">
        <v>8</v>
      </c>
    </row>
    <row r="9746" spans="1:5" x14ac:dyDescent="0.25">
      <c r="A9746" t="str">
        <f>HYPERLINK("https://www.773grp.com/globalSearch/LM35DH-NOPB/page-1", "LM35DH-NOPB")</f>
        <v>LM35DH-NOPB</v>
      </c>
      <c r="B9746" s="3" t="str">
        <f>HYPERLINK("https://www.773grp.com/manufacturer/national-semiconductor?pageNo=97", "National Semiconductor")</f>
        <v>National Semiconductor</v>
      </c>
      <c r="C9746" s="6">
        <v>369</v>
      </c>
      <c r="D9746" s="7">
        <v>14.9</v>
      </c>
      <c r="E9746" t="s">
        <v>8</v>
      </c>
    </row>
    <row r="9747" spans="1:5" x14ac:dyDescent="0.25">
      <c r="A9747" t="str">
        <f>HYPERLINK("https://www.773grp.com/globalSearch/932DMQB/page-1", "932DMQB")</f>
        <v>932DMQB</v>
      </c>
      <c r="B9747" s="3" t="str">
        <f>HYPERLINK("https://www.773grp.com/manufacturer/national-semiconductor?pageNo=98", "National Semiconductor")</f>
        <v>National Semiconductor</v>
      </c>
      <c r="C9747" s="6">
        <v>7149</v>
      </c>
      <c r="D9747" s="7">
        <v>14.94</v>
      </c>
    </row>
    <row r="9748" spans="1:5" x14ac:dyDescent="0.25">
      <c r="A9748" t="str">
        <f>HYPERLINK("https://www.773grp.com/globalSearch/LM78M05CH/page-1", "LM78M05CH")</f>
        <v>LM78M05CH</v>
      </c>
      <c r="B9748" s="3" t="str">
        <f>HYPERLINK("https://www.773grp.com/manufacturer/national-semiconductor?pageNo=99", "National Semiconductor")</f>
        <v>National Semiconductor</v>
      </c>
      <c r="C9748" s="6">
        <v>293</v>
      </c>
      <c r="D9748" s="7">
        <v>14.94</v>
      </c>
      <c r="E9748" t="s">
        <v>28</v>
      </c>
    </row>
    <row r="9749" spans="1:5" x14ac:dyDescent="0.25">
      <c r="A9749" t="str">
        <f>HYPERLINK("https://www.773grp.com/globalSearch/LM78M05CH-NOPB/page-1", "LM78M05CH-NOPB")</f>
        <v>LM78M05CH-NOPB</v>
      </c>
      <c r="B9749" s="3" t="str">
        <f>HYPERLINK("https://www.773grp.com/manufacturer/national-semiconductor?pageNo=100", "National Semiconductor")</f>
        <v>National Semiconductor</v>
      </c>
      <c r="C9749" s="6">
        <v>5095</v>
      </c>
      <c r="D9749" s="7">
        <v>14.94</v>
      </c>
      <c r="E9749" t="s">
        <v>28</v>
      </c>
    </row>
    <row r="9750" spans="1:5" x14ac:dyDescent="0.25">
      <c r="A9750" t="str">
        <f>HYPERLINK("https://www.773grp.com/globalSearch/LM78M05CH-NOPB/page-1", "LM78M05CH-NOPB")</f>
        <v>LM78M05CH-NOPB</v>
      </c>
      <c r="B9750" s="3" t="str">
        <f>HYPERLINK("https://www.773grp.com/manufacturer/national-semiconductor?pageNo=101", "National Semiconductor")</f>
        <v>National Semiconductor</v>
      </c>
      <c r="C9750" s="6">
        <v>1848</v>
      </c>
      <c r="D9750" s="7">
        <v>14.94</v>
      </c>
      <c r="E9750" t="s">
        <v>28</v>
      </c>
    </row>
    <row r="9751" spans="1:5" x14ac:dyDescent="0.25">
      <c r="A9751" t="str">
        <f>HYPERLINK("https://www.773grp.com/globalSearch/54LS151LM/page-1", "54LS151LM")</f>
        <v>54LS151LM</v>
      </c>
      <c r="B9751" s="3" t="str">
        <f>HYPERLINK("https://www.773grp.com/manufacturer/national-semiconductor?pageNo=102", "National Semiconductor")</f>
        <v>National Semiconductor</v>
      </c>
      <c r="C9751" s="6">
        <v>119</v>
      </c>
      <c r="D9751" s="7">
        <v>14.96</v>
      </c>
    </row>
    <row r="9752" spans="1:5" x14ac:dyDescent="0.25">
      <c r="A9752" t="str">
        <f>HYPERLINK("https://www.773grp.com/globalSearch/54LS158LMQB/page-1", "54LS158LMQB")</f>
        <v>54LS158LMQB</v>
      </c>
      <c r="B9752" s="3" t="str">
        <f>HYPERLINK("https://www.773grp.com/manufacturer/national-semiconductor?pageNo=103", "National Semiconductor")</f>
        <v>National Semiconductor</v>
      </c>
      <c r="C9752" s="6">
        <v>260</v>
      </c>
      <c r="D9752" s="7">
        <v>14.96</v>
      </c>
      <c r="E9752" t="s">
        <v>20</v>
      </c>
    </row>
    <row r="9753" spans="1:5" x14ac:dyDescent="0.25">
      <c r="A9753" t="str">
        <f>HYPERLINK("https://www.773grp.com/globalSearch/LM309H/page-1", "LM309H")</f>
        <v>LM309H</v>
      </c>
      <c r="B9753" s="3" t="str">
        <f>HYPERLINK("https://www.773grp.com/manufacturer/national-semiconductor?pageNo=104", "National Semiconductor")</f>
        <v>National Semiconductor</v>
      </c>
      <c r="C9753" s="6">
        <v>724</v>
      </c>
      <c r="D9753" s="7">
        <v>14.96</v>
      </c>
      <c r="E9753" t="s">
        <v>28</v>
      </c>
    </row>
    <row r="9754" spans="1:5" x14ac:dyDescent="0.25">
      <c r="A9754" t="str">
        <f>HYPERLINK("https://www.773grp.com/globalSearch/LM309H-NOPB/page-1", "LM309H-NOPB")</f>
        <v>LM309H-NOPB</v>
      </c>
      <c r="B9754" s="3" t="str">
        <f>HYPERLINK("https://www.773grp.com/manufacturer/national-semiconductor?pageNo=105", "National Semiconductor")</f>
        <v>National Semiconductor</v>
      </c>
      <c r="C9754" s="6">
        <v>992</v>
      </c>
      <c r="D9754" s="7">
        <v>14.96</v>
      </c>
      <c r="E9754" t="s">
        <v>28</v>
      </c>
    </row>
    <row r="9755" spans="1:5" x14ac:dyDescent="0.25">
      <c r="A9755" t="str">
        <f>HYPERLINK("https://www.773grp.com/globalSearch/LM309H/page-1", "LM309H")</f>
        <v>LM309H</v>
      </c>
      <c r="B9755" s="3" t="str">
        <f>HYPERLINK("https://www.773grp.com/manufacturer/national-semiconductor?pageNo=106", "National Semiconductor")</f>
        <v>National Semiconductor</v>
      </c>
      <c r="C9755" s="6">
        <v>2640</v>
      </c>
      <c r="D9755" s="7">
        <v>14.96</v>
      </c>
      <c r="E9755" t="s">
        <v>28</v>
      </c>
    </row>
    <row r="9756" spans="1:5" x14ac:dyDescent="0.25">
      <c r="A9756" t="str">
        <f>HYPERLINK("https://www.773grp.com/globalSearch/LM309H-NOPB/page-1", "LM309H-NOPB")</f>
        <v>LM309H-NOPB</v>
      </c>
      <c r="B9756" s="3" t="str">
        <f>HYPERLINK("https://www.773grp.com/manufacturer/national-semiconductor?pageNo=107", "National Semiconductor")</f>
        <v>National Semiconductor</v>
      </c>
      <c r="C9756" s="6">
        <v>597</v>
      </c>
      <c r="D9756" s="7">
        <v>14.96</v>
      </c>
      <c r="E9756" t="s">
        <v>28</v>
      </c>
    </row>
    <row r="9757" spans="1:5" x14ac:dyDescent="0.25">
      <c r="A9757" t="str">
        <f>HYPERLINK("https://www.773grp.com/globalSearch/LF412MH/page-1", "LF412MH")</f>
        <v>LF412MH</v>
      </c>
      <c r="B9757" s="3" t="str">
        <f>HYPERLINK("https://www.773grp.com/manufacturer/national-semiconductor?pageNo=108", "National Semiconductor")</f>
        <v>National Semiconductor</v>
      </c>
      <c r="C9757" s="6">
        <v>322</v>
      </c>
      <c r="D9757" s="7">
        <v>14.99</v>
      </c>
      <c r="E9757" t="s">
        <v>13</v>
      </c>
    </row>
    <row r="9758" spans="1:5" x14ac:dyDescent="0.25">
      <c r="A9758" t="str">
        <f>HYPERLINK("https://www.773grp.com/globalSearch/LM117H/page-1", "LM117H")</f>
        <v>LM117H</v>
      </c>
      <c r="B9758" s="3" t="str">
        <f>HYPERLINK("https://www.773grp.com/manufacturer/national-semiconductor?pageNo=109", "National Semiconductor")</f>
        <v>National Semiconductor</v>
      </c>
      <c r="C9758" s="6">
        <v>1</v>
      </c>
      <c r="D9758" s="7">
        <v>14.99</v>
      </c>
      <c r="E9758" t="s">
        <v>22</v>
      </c>
    </row>
    <row r="9759" spans="1:5" x14ac:dyDescent="0.25">
      <c r="A9759" t="str">
        <f>HYPERLINK("https://www.773grp.com/globalSearch/LM117H-NOPB/page-1", "LM117H-NOPB")</f>
        <v>LM117H-NOPB</v>
      </c>
      <c r="B9759" s="3" t="str">
        <f>HYPERLINK("https://www.773grp.com/manufacturer/national-semiconductor?pageNo=110", "National Semiconductor")</f>
        <v>National Semiconductor</v>
      </c>
      <c r="C9759" s="6">
        <v>17</v>
      </c>
      <c r="D9759" s="7">
        <v>14.99</v>
      </c>
      <c r="E9759" t="s">
        <v>22</v>
      </c>
    </row>
    <row r="9760" spans="1:5" x14ac:dyDescent="0.25">
      <c r="A9760" t="str">
        <f>HYPERLINK("https://www.773grp.com/globalSearch/LM317AH/page-1", "LM317AH")</f>
        <v>LM317AH</v>
      </c>
      <c r="B9760" s="3" t="str">
        <f>HYPERLINK("https://www.773grp.com/manufacturer/national-semiconductor?pageNo=111", "National Semiconductor")</f>
        <v>National Semiconductor</v>
      </c>
      <c r="C9760" s="6">
        <v>1072</v>
      </c>
      <c r="D9760" s="7">
        <v>14.99</v>
      </c>
      <c r="E9760" t="s">
        <v>22</v>
      </c>
    </row>
    <row r="9761" spans="1:5" x14ac:dyDescent="0.25">
      <c r="A9761" t="str">
        <f>HYPERLINK("https://www.773grp.com/globalSearch/LM317AH-NOPB/page-1", "LM317AH-NOPB")</f>
        <v>LM317AH-NOPB</v>
      </c>
      <c r="B9761" s="3" t="str">
        <f>HYPERLINK("https://www.773grp.com/manufacturer/national-semiconductor?pageNo=112", "National Semiconductor")</f>
        <v>National Semiconductor</v>
      </c>
      <c r="C9761" s="6">
        <v>325</v>
      </c>
      <c r="D9761" s="7">
        <v>14.99</v>
      </c>
      <c r="E9761" t="s">
        <v>22</v>
      </c>
    </row>
    <row r="9762" spans="1:5" x14ac:dyDescent="0.25">
      <c r="A9762" t="str">
        <f>HYPERLINK("https://www.773grp.com/globalSearch/LM317H/page-1", "LM317H")</f>
        <v>LM317H</v>
      </c>
      <c r="B9762" s="3" t="str">
        <f>HYPERLINK("https://www.773grp.com/manufacturer/national-semiconductor?pageNo=113", "National Semiconductor")</f>
        <v>National Semiconductor</v>
      </c>
      <c r="C9762" s="6">
        <v>208</v>
      </c>
      <c r="D9762" s="7">
        <v>14.99</v>
      </c>
      <c r="E9762" t="s">
        <v>22</v>
      </c>
    </row>
    <row r="9763" spans="1:5" x14ac:dyDescent="0.25">
      <c r="A9763" t="str">
        <f>HYPERLINK("https://www.773grp.com/globalSearch/LM317H-NOPB/page-1", "LM317H-NOPB")</f>
        <v>LM317H-NOPB</v>
      </c>
      <c r="B9763" s="3" t="str">
        <f>HYPERLINK("https://www.773grp.com/manufacturer/national-semiconductor?pageNo=114", "National Semiconductor")</f>
        <v>National Semiconductor</v>
      </c>
      <c r="C9763" s="6">
        <v>1946</v>
      </c>
      <c r="D9763" s="7">
        <v>14.99</v>
      </c>
      <c r="E9763" t="s">
        <v>22</v>
      </c>
    </row>
    <row r="9764" spans="1:5" x14ac:dyDescent="0.25">
      <c r="A9764" t="str">
        <f>HYPERLINK("https://www.773grp.com/globalSearch/LF412MH/page-1", "LF412MH")</f>
        <v>LF412MH</v>
      </c>
      <c r="B9764" s="3" t="str">
        <f>HYPERLINK("https://www.773grp.com/manufacturer/national-semiconductor?pageNo=115", "National Semiconductor")</f>
        <v>National Semiconductor</v>
      </c>
      <c r="C9764" s="6">
        <v>7562</v>
      </c>
      <c r="D9764" s="7">
        <v>14.99</v>
      </c>
      <c r="E9764" t="s">
        <v>13</v>
      </c>
    </row>
    <row r="9765" spans="1:5" x14ac:dyDescent="0.25">
      <c r="A9765" t="str">
        <f>HYPERLINK("https://www.773grp.com/globalSearch/LM117H-NOPB/page-1", "LM117H-NOPB")</f>
        <v>LM117H-NOPB</v>
      </c>
      <c r="B9765" s="3" t="str">
        <f>HYPERLINK("https://www.773grp.com/manufacturer/national-semiconductor?pageNo=116", "National Semiconductor")</f>
        <v>National Semiconductor</v>
      </c>
      <c r="C9765" s="6">
        <v>3</v>
      </c>
      <c r="D9765" s="7">
        <v>14.99</v>
      </c>
      <c r="E9765" t="s">
        <v>22</v>
      </c>
    </row>
    <row r="9766" spans="1:5" x14ac:dyDescent="0.25">
      <c r="A9766" t="str">
        <f>HYPERLINK("https://www.773grp.com/globalSearch/LM317AH/page-1", "LM317AH")</f>
        <v>LM317AH</v>
      </c>
      <c r="B9766" s="3" t="str">
        <f>HYPERLINK("https://www.773grp.com/manufacturer/national-semiconductor?pageNo=117", "National Semiconductor")</f>
        <v>National Semiconductor</v>
      </c>
      <c r="C9766" s="6">
        <v>2920</v>
      </c>
      <c r="D9766" s="7">
        <v>14.99</v>
      </c>
      <c r="E9766" t="s">
        <v>22</v>
      </c>
    </row>
    <row r="9767" spans="1:5" x14ac:dyDescent="0.25">
      <c r="A9767" t="str">
        <f>HYPERLINK("https://www.773grp.com/globalSearch/LM317AH-NOPB/page-1", "LM317AH-NOPB")</f>
        <v>LM317AH-NOPB</v>
      </c>
      <c r="B9767" s="3" t="str">
        <f>HYPERLINK("https://www.773grp.com/manufacturer/national-semiconductor?pageNo=118", "National Semiconductor")</f>
        <v>National Semiconductor</v>
      </c>
      <c r="C9767" s="6">
        <v>10038</v>
      </c>
      <c r="D9767" s="7">
        <v>14.99</v>
      </c>
      <c r="E9767" t="s">
        <v>22</v>
      </c>
    </row>
    <row r="9768" spans="1:5" x14ac:dyDescent="0.25">
      <c r="A9768" t="str">
        <f>HYPERLINK("https://www.773grp.com/globalSearch/LM317H/page-1", "LM317H")</f>
        <v>LM317H</v>
      </c>
      <c r="B9768" s="3" t="str">
        <f>HYPERLINK("https://www.773grp.com/manufacturer/national-semiconductor?pageNo=119", "National Semiconductor")</f>
        <v>National Semiconductor</v>
      </c>
      <c r="C9768" s="6">
        <v>192</v>
      </c>
      <c r="D9768" s="7">
        <v>14.99</v>
      </c>
      <c r="E9768" t="s">
        <v>22</v>
      </c>
    </row>
    <row r="9769" spans="1:5" x14ac:dyDescent="0.25">
      <c r="A9769" t="str">
        <f>HYPERLINK("https://www.773grp.com/globalSearch/LM317H-NOPB/page-1", "LM317H-NOPB")</f>
        <v>LM317H-NOPB</v>
      </c>
      <c r="B9769" s="3" t="str">
        <f>HYPERLINK("https://www.773grp.com/manufacturer/national-semiconductor?pageNo=120", "National Semiconductor")</f>
        <v>National Semiconductor</v>
      </c>
      <c r="C9769" s="6">
        <v>19</v>
      </c>
      <c r="D9769" s="7">
        <v>14.99</v>
      </c>
      <c r="E9769" t="s">
        <v>22</v>
      </c>
    </row>
    <row r="9770" spans="1:5" x14ac:dyDescent="0.25">
      <c r="A9770" t="str">
        <f>HYPERLINK("https://www.773grp.com/globalSearch/DS92LV1023TMSA-NOPB/page-1", "DS92LV1023TMSA-NOPB")</f>
        <v>DS92LV1023TMSA-NOPB</v>
      </c>
      <c r="B9770" s="3" t="str">
        <f>HYPERLINK("https://www.773grp.com/manufacturer/national-semiconductor?pageNo=121", "National Semiconductor")</f>
        <v>National Semiconductor</v>
      </c>
      <c r="C9770" s="6">
        <v>19</v>
      </c>
      <c r="D9770" s="7">
        <v>15.03</v>
      </c>
      <c r="E9770" t="s">
        <v>21</v>
      </c>
    </row>
    <row r="9771" spans="1:5" x14ac:dyDescent="0.25">
      <c r="A9771" t="str">
        <f>HYPERLINK("https://www.773grp.com/globalSearch/DS90UB913QSQE-NOPB/page-1", "DS90UB913QSQE-NOPB")</f>
        <v>DS90UB913QSQE-NOPB</v>
      </c>
      <c r="B9771" s="3" t="str">
        <f>HYPERLINK("https://www.773grp.com/manufacturer/national-semiconductor?pageNo=122", "National Semiconductor")</f>
        <v>National Semiconductor</v>
      </c>
      <c r="C9771" s="6">
        <v>15</v>
      </c>
      <c r="D9771" s="7">
        <v>15.03</v>
      </c>
    </row>
    <row r="9772" spans="1:5" x14ac:dyDescent="0.25">
      <c r="A9772" t="str">
        <f>HYPERLINK("https://www.773grp.com/globalSearch/DS92LV1023TMSA-NOPB/page-1", "DS92LV1023TMSA-NOPB")</f>
        <v>DS92LV1023TMSA-NOPB</v>
      </c>
      <c r="B9772" s="3" t="str">
        <f>HYPERLINK("https://www.773grp.com/manufacturer/national-semiconductor?pageNo=123", "National Semiconductor")</f>
        <v>National Semiconductor</v>
      </c>
      <c r="C9772" s="6">
        <v>9617</v>
      </c>
      <c r="D9772" s="7">
        <v>15.03</v>
      </c>
      <c r="E9772" t="s">
        <v>21</v>
      </c>
    </row>
    <row r="9773" spans="1:5" x14ac:dyDescent="0.25">
      <c r="A9773" t="str">
        <f>HYPERLINK("https://www.773grp.com/globalSearch/DS92LV1023TMSAX/page-1", "DS92LV1023TMSAX")</f>
        <v>DS92LV1023TMSAX</v>
      </c>
      <c r="B9773" s="3" t="str">
        <f>HYPERLINK("https://www.773grp.com/manufacturer/national-semiconductor?pageNo=124", "National Semiconductor")</f>
        <v>National Semiconductor</v>
      </c>
      <c r="C9773" s="6">
        <v>2000</v>
      </c>
      <c r="D9773" s="7">
        <v>15.03</v>
      </c>
    </row>
    <row r="9774" spans="1:5" x14ac:dyDescent="0.25">
      <c r="A9774" t="str">
        <f>HYPERLINK("https://www.773grp.com/globalSearch/54LS253LM/page-1", "54LS253LM")</f>
        <v>54LS253LM</v>
      </c>
      <c r="B9774" s="3" t="str">
        <f>HYPERLINK("https://www.773grp.com/manufacturer/national-semiconductor?pageNo=125", "National Semiconductor")</f>
        <v>National Semiconductor</v>
      </c>
      <c r="C9774" s="6">
        <v>2129</v>
      </c>
      <c r="D9774" s="7">
        <v>15.05</v>
      </c>
    </row>
    <row r="9775" spans="1:5" x14ac:dyDescent="0.25">
      <c r="A9775" t="str">
        <f>HYPERLINK("https://www.773grp.com/globalSearch/54LS253LMQB/page-1", "54LS253LMQB")</f>
        <v>54LS253LMQB</v>
      </c>
      <c r="B9775" s="3" t="str">
        <f>HYPERLINK("https://www.773grp.com/manufacturer/national-semiconductor?pageNo=126", "National Semiconductor")</f>
        <v>National Semiconductor</v>
      </c>
      <c r="C9775" s="6">
        <v>42</v>
      </c>
      <c r="D9775" s="7">
        <v>15.05</v>
      </c>
      <c r="E9775" t="s">
        <v>20</v>
      </c>
    </row>
    <row r="9776" spans="1:5" x14ac:dyDescent="0.25">
      <c r="A9776" t="str">
        <f>HYPERLINK("https://www.773grp.com/globalSearch/54LS257ALMQB/page-1", "54LS257ALMQB")</f>
        <v>54LS257ALMQB</v>
      </c>
      <c r="B9776" s="3" t="str">
        <f>HYPERLINK("https://www.773grp.com/manufacturer/national-semiconductor?pageNo=127", "National Semiconductor")</f>
        <v>National Semiconductor</v>
      </c>
      <c r="C9776" s="6">
        <v>431</v>
      </c>
      <c r="D9776" s="7">
        <v>15.05</v>
      </c>
      <c r="E9776" t="s">
        <v>20</v>
      </c>
    </row>
    <row r="9777" spans="1:5" x14ac:dyDescent="0.25">
      <c r="A9777" t="str">
        <f>HYPERLINK("https://www.773grp.com/globalSearch/54LS259LM/page-1", "54LS259LM")</f>
        <v>54LS259LM</v>
      </c>
      <c r="B9777" s="3" t="str">
        <f>HYPERLINK("https://www.773grp.com/manufacturer/national-semiconductor?pageNo=128", "National Semiconductor")</f>
        <v>National Semiconductor</v>
      </c>
      <c r="C9777" s="6">
        <v>276</v>
      </c>
      <c r="D9777" s="7">
        <v>15.05</v>
      </c>
    </row>
    <row r="9778" spans="1:5" x14ac:dyDescent="0.25">
      <c r="A9778" t="str">
        <f>HYPERLINK("https://www.773grp.com/globalSearch/54LS259LMQB/page-1", "54LS259LMQB")</f>
        <v>54LS259LMQB</v>
      </c>
      <c r="B9778" s="3" t="str">
        <f>HYPERLINK("https://www.773grp.com/manufacturer/national-semiconductor?pageNo=129", "National Semiconductor")</f>
        <v>National Semiconductor</v>
      </c>
      <c r="C9778" s="6">
        <v>523</v>
      </c>
      <c r="D9778" s="7">
        <v>15.05</v>
      </c>
      <c r="E9778" t="s">
        <v>35</v>
      </c>
    </row>
    <row r="9779" spans="1:5" x14ac:dyDescent="0.25">
      <c r="A9779" t="str">
        <f>HYPERLINK("https://www.773grp.com/globalSearch/54LS365ALMQB/page-1", "54LS365ALMQB")</f>
        <v>54LS365ALMQB</v>
      </c>
      <c r="B9779" s="3" t="str">
        <f>HYPERLINK("https://www.773grp.com/manufacturer/national-semiconductor?pageNo=130", "National Semiconductor")</f>
        <v>National Semiconductor</v>
      </c>
      <c r="C9779" s="6">
        <v>2026</v>
      </c>
      <c r="D9779" s="7">
        <v>15.05</v>
      </c>
      <c r="E9779" t="s">
        <v>14</v>
      </c>
    </row>
    <row r="9780" spans="1:5" x14ac:dyDescent="0.25">
      <c r="A9780" t="str">
        <f>HYPERLINK("https://www.773grp.com/globalSearch/54LS366ALM/page-1", "54LS366ALM")</f>
        <v>54LS366ALM</v>
      </c>
      <c r="B9780" s="3" t="str">
        <f>HYPERLINK("https://www.773grp.com/manufacturer/national-semiconductor?pageNo=131", "National Semiconductor")</f>
        <v>National Semiconductor</v>
      </c>
      <c r="C9780" s="6">
        <v>1619</v>
      </c>
      <c r="D9780" s="7">
        <v>15.05</v>
      </c>
    </row>
    <row r="9781" spans="1:5" x14ac:dyDescent="0.25">
      <c r="A9781" t="str">
        <f>HYPERLINK("https://www.773grp.com/globalSearch/DS32ELX0124SQE-NOPB/page-1", "DS32ELX0124SQE-NOPB")</f>
        <v>DS32ELX0124SQE-NOPB</v>
      </c>
      <c r="B9781" s="3" t="str">
        <f>HYPERLINK("https://www.773grp.com/manufacturer/national-semiconductor?pageNo=132", "National Semiconductor")</f>
        <v>National Semiconductor</v>
      </c>
      <c r="C9781" s="6">
        <v>1810</v>
      </c>
      <c r="D9781" s="7">
        <v>15.05</v>
      </c>
    </row>
    <row r="9782" spans="1:5" x14ac:dyDescent="0.25">
      <c r="A9782" t="str">
        <f>HYPERLINK("https://www.773grp.com/globalSearch/DS90C387VJD-NOPB/page-1", "DS90C387VJD-NOPB")</f>
        <v>DS90C387VJD-NOPB</v>
      </c>
      <c r="B9782" s="3" t="str">
        <f>HYPERLINK("https://www.773grp.com/manufacturer/national-semiconductor?pageNo=133", "National Semiconductor")</f>
        <v>National Semiconductor</v>
      </c>
      <c r="C9782" s="6">
        <v>1058</v>
      </c>
      <c r="D9782" s="7">
        <v>15.05</v>
      </c>
      <c r="E9782" t="s">
        <v>21</v>
      </c>
    </row>
    <row r="9783" spans="1:5" x14ac:dyDescent="0.25">
      <c r="A9783" t="str">
        <f>HYPERLINK("https://www.773grp.com/globalSearch/LM725H/page-1", "LM725H")</f>
        <v>LM725H</v>
      </c>
      <c r="B9783" s="3" t="str">
        <f>HYPERLINK("https://www.773grp.com/manufacturer/national-semiconductor?pageNo=134", "National Semiconductor")</f>
        <v>National Semiconductor</v>
      </c>
      <c r="C9783" s="6">
        <v>2</v>
      </c>
      <c r="D9783" s="7">
        <v>15.05</v>
      </c>
      <c r="E9783" t="s">
        <v>13</v>
      </c>
    </row>
    <row r="9784" spans="1:5" x14ac:dyDescent="0.25">
      <c r="A9784" t="str">
        <f>HYPERLINK("https://www.773grp.com/globalSearch/LM760CJ-14/page-1", "LM760CJ-14")</f>
        <v>LM760CJ-14</v>
      </c>
      <c r="B9784" s="3" t="str">
        <f>HYPERLINK("https://www.773grp.com/manufacturer/national-semiconductor?pageNo=1", "National Semiconductor")</f>
        <v>National Semiconductor</v>
      </c>
      <c r="C9784" s="6">
        <v>5394</v>
      </c>
      <c r="D9784" s="7">
        <v>15.05</v>
      </c>
      <c r="E9784" t="s">
        <v>9</v>
      </c>
    </row>
    <row r="9785" spans="1:5" x14ac:dyDescent="0.25">
      <c r="A9785" t="str">
        <f>HYPERLINK("https://www.773grp.com/globalSearch/LM760J-14/page-1", "LM760J-14")</f>
        <v>LM760J-14</v>
      </c>
      <c r="B9785" s="3" t="str">
        <f>HYPERLINK("https://www.773grp.com/manufacturer/national-semiconductor?pageNo=2", "National Semiconductor")</f>
        <v>National Semiconductor</v>
      </c>
      <c r="C9785" s="6">
        <v>1117</v>
      </c>
      <c r="D9785" s="7">
        <v>15.05</v>
      </c>
      <c r="E9785" t="s">
        <v>9</v>
      </c>
    </row>
    <row r="9786" spans="1:5" x14ac:dyDescent="0.25">
      <c r="A9786" t="str">
        <f>HYPERLINK("https://www.773grp.com/globalSearch/LMH0307SQ-NOPB/page-1", "LMH0307SQ-NOPB")</f>
        <v>LMH0307SQ-NOPB</v>
      </c>
      <c r="B9786" s="3" t="str">
        <f>HYPERLINK("https://www.773grp.com/manufacturer/national-semiconductor?pageNo=3", "National Semiconductor")</f>
        <v>National Semiconductor</v>
      </c>
      <c r="C9786" s="6">
        <v>800</v>
      </c>
      <c r="D9786" s="7">
        <v>15.05</v>
      </c>
      <c r="E9786" t="s">
        <v>21</v>
      </c>
    </row>
    <row r="9787" spans="1:5" x14ac:dyDescent="0.25">
      <c r="A9787" t="str">
        <f>HYPERLINK("https://www.773grp.com/globalSearch/DS32ELX0124SQE-NOPB/page-1", "DS32ELX0124SQE-NOPB")</f>
        <v>DS32ELX0124SQE-NOPB</v>
      </c>
      <c r="B9787" s="3" t="str">
        <f>HYPERLINK("https://www.773grp.com/manufacturer/national-semiconductor?pageNo=4", "National Semiconductor")</f>
        <v>National Semiconductor</v>
      </c>
      <c r="C9787" s="6">
        <v>3869</v>
      </c>
      <c r="D9787" s="7">
        <v>15.05</v>
      </c>
    </row>
    <row r="9788" spans="1:5" x14ac:dyDescent="0.25">
      <c r="A9788" t="str">
        <f>HYPERLINK("https://www.773grp.com/globalSearch/DS32ELX0421SQE-NOPB/page-1", "DS32ELX0421SQE-NOPB")</f>
        <v>DS32ELX0421SQE-NOPB</v>
      </c>
      <c r="B9788" s="3" t="str">
        <f>HYPERLINK("https://www.773grp.com/manufacturer/national-semiconductor?pageNo=5", "National Semiconductor")</f>
        <v>National Semiconductor</v>
      </c>
      <c r="C9788" s="6">
        <v>558</v>
      </c>
      <c r="D9788" s="7">
        <v>15.05</v>
      </c>
    </row>
    <row r="9789" spans="1:5" x14ac:dyDescent="0.25">
      <c r="A9789" t="str">
        <f>HYPERLINK("https://www.773grp.com/globalSearch/DS90C387VJD-NOPB/page-1", "DS90C387VJD-NOPB")</f>
        <v>DS90C387VJD-NOPB</v>
      </c>
      <c r="B9789" s="3" t="str">
        <f>HYPERLINK("https://www.773grp.com/manufacturer/national-semiconductor?pageNo=6", "National Semiconductor")</f>
        <v>National Semiconductor</v>
      </c>
      <c r="C9789" s="6">
        <v>845</v>
      </c>
      <c r="D9789" s="7">
        <v>15.05</v>
      </c>
      <c r="E9789" t="s">
        <v>21</v>
      </c>
    </row>
    <row r="9790" spans="1:5" x14ac:dyDescent="0.25">
      <c r="A9790" t="str">
        <f>HYPERLINK("https://www.773grp.com/globalSearch/LM6144AIMX/page-1", "LM6144AIMX")</f>
        <v>LM6144AIMX</v>
      </c>
      <c r="B9790" s="3" t="str">
        <f>HYPERLINK("https://www.773grp.com/manufacturer/national-semiconductor?pageNo=7", "National Semiconductor")</f>
        <v>National Semiconductor</v>
      </c>
      <c r="C9790" s="6">
        <v>2500</v>
      </c>
      <c r="D9790" s="7">
        <v>15.05</v>
      </c>
    </row>
    <row r="9791" spans="1:5" x14ac:dyDescent="0.25">
      <c r="A9791" t="str">
        <f>HYPERLINK("https://www.773grp.com/globalSearch/LMH0307SQ-NOPB/page-1", "LMH0307SQ-NOPB")</f>
        <v>LMH0307SQ-NOPB</v>
      </c>
      <c r="B9791" s="3" t="str">
        <f>HYPERLINK("https://www.773grp.com/manufacturer/national-semiconductor?pageNo=8", "National Semiconductor")</f>
        <v>National Semiconductor</v>
      </c>
      <c r="C9791" s="6">
        <v>2000</v>
      </c>
      <c r="D9791" s="7">
        <v>15.05</v>
      </c>
      <c r="E9791" t="s">
        <v>21</v>
      </c>
    </row>
    <row r="9792" spans="1:5" x14ac:dyDescent="0.25">
      <c r="A9792" t="str">
        <f>HYPERLINK("https://www.773grp.com/globalSearch/DS92LV0412SQE-NOPB/page-1", "DS92LV0412SQE-NOPB")</f>
        <v>DS92LV0412SQE-NOPB</v>
      </c>
      <c r="B9792" s="3" t="str">
        <f>HYPERLINK("https://www.773grp.com/manufacturer/national-semiconductor?pageNo=9", "National Semiconductor")</f>
        <v>National Semiconductor</v>
      </c>
      <c r="C9792" s="6">
        <v>250</v>
      </c>
      <c r="D9792" s="7">
        <v>15.08</v>
      </c>
    </row>
    <row r="9793" spans="1:5" x14ac:dyDescent="0.25">
      <c r="A9793" t="str">
        <f>HYPERLINK("https://www.773grp.com/globalSearch/DS92LV0411SQE-NOPB/page-1", "DS92LV0411SQE-NOPB")</f>
        <v>DS92LV0411SQE-NOPB</v>
      </c>
      <c r="B9793" s="3" t="str">
        <f>HYPERLINK("https://www.773grp.com/manufacturer/national-semiconductor?pageNo=10", "National Semiconductor")</f>
        <v>National Semiconductor</v>
      </c>
      <c r="C9793" s="6">
        <v>2500</v>
      </c>
      <c r="D9793" s="7">
        <v>15.08</v>
      </c>
    </row>
    <row r="9794" spans="1:5" x14ac:dyDescent="0.25">
      <c r="A9794" t="str">
        <f>HYPERLINK("https://www.773grp.com/globalSearch/DS92LV0412SQE-NOPB/page-1", "DS92LV0412SQE-NOPB")</f>
        <v>DS92LV0412SQE-NOPB</v>
      </c>
      <c r="B9794" s="3" t="str">
        <f>HYPERLINK("https://www.773grp.com/manufacturer/national-semiconductor?pageNo=11", "National Semiconductor")</f>
        <v>National Semiconductor</v>
      </c>
      <c r="C9794" s="6">
        <v>500</v>
      </c>
      <c r="D9794" s="7">
        <v>15.08</v>
      </c>
    </row>
    <row r="9795" spans="1:5" x14ac:dyDescent="0.25">
      <c r="A9795" t="str">
        <f>HYPERLINK("https://www.773grp.com/globalSearch/SN74ALS646ADW/page-1", "SN74ALS646ADW")</f>
        <v>SN74ALS646ADW</v>
      </c>
      <c r="B9795" s="3" t="str">
        <f>HYPERLINK("https://www.773grp.com/manufacturer/national-semiconductor?pageNo=12", "National Semiconductor")</f>
        <v>National Semiconductor</v>
      </c>
      <c r="C9795" s="6">
        <v>65</v>
      </c>
      <c r="D9795" s="7">
        <v>15.08</v>
      </c>
    </row>
    <row r="9796" spans="1:5" x14ac:dyDescent="0.25">
      <c r="A9796" t="str">
        <f>HYPERLINK("https://www.773grp.com/globalSearch/100155DC/page-1", "100155DC")</f>
        <v>100155DC</v>
      </c>
      <c r="B9796" s="3" t="str">
        <f>HYPERLINK("https://www.773grp.com/manufacturer/national-semiconductor?pageNo=13", "National Semiconductor")</f>
        <v>National Semiconductor</v>
      </c>
      <c r="C9796" s="6">
        <v>952</v>
      </c>
      <c r="D9796" s="7">
        <v>15.15</v>
      </c>
      <c r="E9796" t="s">
        <v>35</v>
      </c>
    </row>
    <row r="9797" spans="1:5" x14ac:dyDescent="0.25">
      <c r="A9797" t="str">
        <f>HYPERLINK("https://www.773grp.com/globalSearch/ADC10D020CIVSX/page-1", "ADC10D020CIVSX")</f>
        <v>ADC10D020CIVSX</v>
      </c>
      <c r="B9797" s="3" t="str">
        <f>HYPERLINK("https://www.773grp.com/manufacturer/national-semiconductor?pageNo=14", "National Semiconductor")</f>
        <v>National Semiconductor</v>
      </c>
      <c r="C9797" s="6">
        <v>2000</v>
      </c>
      <c r="D9797" s="7">
        <v>15.15</v>
      </c>
    </row>
    <row r="9798" spans="1:5" x14ac:dyDescent="0.25">
      <c r="A9798" t="str">
        <f>HYPERLINK("https://www.773grp.com/globalSearch/NS16C2552TVS-NOPB/page-1", "NS16C2552TVS-NOPB")</f>
        <v>NS16C2552TVS-NOPB</v>
      </c>
      <c r="B9798" s="3" t="str">
        <f>HYPERLINK("https://www.773grp.com/manufacturer/national-semiconductor?pageNo=15", "National Semiconductor")</f>
        <v>National Semiconductor</v>
      </c>
      <c r="C9798" s="6">
        <v>250</v>
      </c>
      <c r="D9798" s="7">
        <v>15.15</v>
      </c>
    </row>
    <row r="9799" spans="1:5" x14ac:dyDescent="0.25">
      <c r="A9799" t="str">
        <f>HYPERLINK("https://www.773grp.com/globalSearch/54ALS244AW-883/page-1", "54ALS244AW-883")</f>
        <v>54ALS244AW-883</v>
      </c>
      <c r="B9799" s="3" t="str">
        <f>HYPERLINK("https://www.773grp.com/manufacturer/national-semiconductor?pageNo=16", "National Semiconductor")</f>
        <v>National Semiconductor</v>
      </c>
      <c r="C9799" s="6">
        <v>254</v>
      </c>
      <c r="D9799" s="7">
        <v>15.19</v>
      </c>
    </row>
    <row r="9800" spans="1:5" x14ac:dyDescent="0.25">
      <c r="A9800" t="str">
        <f>HYPERLINK("https://www.773grp.com/globalSearch/54ALS373W-883-C/page-1", "54ALS373W-883-C")</f>
        <v>54ALS373W-883-C</v>
      </c>
      <c r="B9800" s="3" t="str">
        <f>HYPERLINK("https://www.773grp.com/manufacturer/national-semiconductor?pageNo=17", "National Semiconductor")</f>
        <v>National Semiconductor</v>
      </c>
      <c r="C9800" s="6">
        <v>859</v>
      </c>
      <c r="D9800" s="7">
        <v>15.19</v>
      </c>
    </row>
    <row r="9801" spans="1:5" x14ac:dyDescent="0.25">
      <c r="A9801" t="str">
        <f>HYPERLINK("https://www.773grp.com/globalSearch/54LS670DMQB/page-1", "54LS670DMQB")</f>
        <v>54LS670DMQB</v>
      </c>
      <c r="B9801" s="3" t="str">
        <f>HYPERLINK("https://www.773grp.com/manufacturer/national-semiconductor?pageNo=18", "National Semiconductor")</f>
        <v>National Semiconductor</v>
      </c>
      <c r="C9801" s="6">
        <v>362</v>
      </c>
      <c r="D9801" s="7">
        <v>15.19</v>
      </c>
      <c r="E9801" t="s">
        <v>75</v>
      </c>
    </row>
    <row r="9802" spans="1:5" x14ac:dyDescent="0.25">
      <c r="A9802" t="str">
        <f>HYPERLINK("https://www.773grp.com/globalSearch/54LS670J-883/page-1", "54LS670J-883")</f>
        <v>54LS670J-883</v>
      </c>
      <c r="B9802" s="3" t="str">
        <f>HYPERLINK("https://www.773grp.com/manufacturer/national-semiconductor?pageNo=19", "National Semiconductor")</f>
        <v>National Semiconductor</v>
      </c>
      <c r="C9802" s="6">
        <v>46</v>
      </c>
      <c r="D9802" s="7">
        <v>15.19</v>
      </c>
    </row>
    <row r="9803" spans="1:5" x14ac:dyDescent="0.25">
      <c r="A9803" t="str">
        <f>HYPERLINK("https://www.773grp.com/globalSearch/ADC12130CIWM/page-1", "ADC12130CIWM")</f>
        <v>ADC12130CIWM</v>
      </c>
      <c r="B9803" s="3" t="str">
        <f>HYPERLINK("https://www.773grp.com/manufacturer/national-semiconductor?pageNo=20", "National Semiconductor")</f>
        <v>National Semiconductor</v>
      </c>
      <c r="C9803" s="6">
        <v>80</v>
      </c>
      <c r="D9803" s="7">
        <v>15.19</v>
      </c>
      <c r="E9803" t="s">
        <v>39</v>
      </c>
    </row>
    <row r="9804" spans="1:5" x14ac:dyDescent="0.25">
      <c r="A9804" t="str">
        <f>HYPERLINK("https://www.773grp.com/globalSearch/DM54LS670J-883/page-1", "DM54LS670J-883")</f>
        <v>DM54LS670J-883</v>
      </c>
      <c r="B9804" s="3" t="str">
        <f>HYPERLINK("https://www.773grp.com/manufacturer/national-semiconductor?pageNo=21", "National Semiconductor")</f>
        <v>National Semiconductor</v>
      </c>
      <c r="C9804" s="6">
        <v>121</v>
      </c>
      <c r="D9804" s="7">
        <v>15.19</v>
      </c>
      <c r="E9804" t="s">
        <v>75</v>
      </c>
    </row>
    <row r="9805" spans="1:5" x14ac:dyDescent="0.25">
      <c r="A9805" t="str">
        <f>HYPERLINK("https://www.773grp.com/globalSearch/DM7095W-883/page-1", "DM7095W-883")</f>
        <v>DM7095W-883</v>
      </c>
      <c r="B9805" s="3" t="str">
        <f>HYPERLINK("https://www.773grp.com/manufacturer/national-semiconductor?pageNo=22", "National Semiconductor")</f>
        <v>National Semiconductor</v>
      </c>
      <c r="C9805" s="6">
        <v>7</v>
      </c>
      <c r="D9805" s="7">
        <v>15.19</v>
      </c>
      <c r="E9805" t="s">
        <v>31</v>
      </c>
    </row>
    <row r="9806" spans="1:5" x14ac:dyDescent="0.25">
      <c r="A9806" t="str">
        <f>HYPERLINK("https://www.773grp.com/globalSearch/LM93CIMT-NOPB/page-1", "LM93CIMT-NOPB")</f>
        <v>LM93CIMT-NOPB</v>
      </c>
      <c r="B9806" s="3" t="str">
        <f>HYPERLINK("https://www.773grp.com/manufacturer/national-semiconductor?pageNo=23", "National Semiconductor")</f>
        <v>National Semiconductor</v>
      </c>
      <c r="C9806" s="6">
        <v>39</v>
      </c>
      <c r="D9806" s="7">
        <v>15.19</v>
      </c>
      <c r="E9806" t="s">
        <v>30</v>
      </c>
    </row>
    <row r="9807" spans="1:5" x14ac:dyDescent="0.25">
      <c r="A9807" t="str">
        <f>HYPERLINK("https://www.773grp.com/globalSearch/MM54HC147J-883QS/page-1", "MM54HC147J-883QS")</f>
        <v>MM54HC147J-883QS</v>
      </c>
      <c r="B9807" s="3" t="str">
        <f>HYPERLINK("https://www.773grp.com/manufacturer/national-semiconductor?pageNo=24", "National Semiconductor")</f>
        <v>National Semiconductor</v>
      </c>
      <c r="C9807" s="6">
        <v>116</v>
      </c>
      <c r="D9807" s="7">
        <v>15.19</v>
      </c>
    </row>
    <row r="9808" spans="1:5" x14ac:dyDescent="0.25">
      <c r="A9808" t="str">
        <f>HYPERLINK("https://www.773grp.com/globalSearch/MM54HC14W-883/page-1", "MM54HC14W-883")</f>
        <v>MM54HC14W-883</v>
      </c>
      <c r="B9808" s="3" t="str">
        <f>HYPERLINK("https://www.773grp.com/manufacturer/national-semiconductor?pageNo=25", "National Semiconductor")</f>
        <v>National Semiconductor</v>
      </c>
      <c r="C9808" s="6">
        <v>69</v>
      </c>
      <c r="D9808" s="7">
        <v>15.19</v>
      </c>
    </row>
    <row r="9809" spans="1:5" x14ac:dyDescent="0.25">
      <c r="A9809" t="str">
        <f>HYPERLINK("https://www.773grp.com/globalSearch/LM93CIMT-NOPB/page-1", "LM93CIMT-NOPB")</f>
        <v>LM93CIMT-NOPB</v>
      </c>
      <c r="B9809" s="3" t="str">
        <f>HYPERLINK("https://www.773grp.com/manufacturer/national-semiconductor?pageNo=26", "National Semiconductor")</f>
        <v>National Semiconductor</v>
      </c>
      <c r="C9809" s="6">
        <v>293</v>
      </c>
      <c r="D9809" s="7">
        <v>15.19</v>
      </c>
      <c r="E9809" t="s">
        <v>30</v>
      </c>
    </row>
    <row r="9810" spans="1:5" x14ac:dyDescent="0.25">
      <c r="A9810" t="str">
        <f>HYPERLINK("https://www.773grp.com/globalSearch/DS50EV401SQE-NOPB/page-1", "DS50EV401SQE-NOPB")</f>
        <v>DS50EV401SQE-NOPB</v>
      </c>
      <c r="B9810" s="3" t="str">
        <f>HYPERLINK("https://www.773grp.com/manufacturer/national-semiconductor?pageNo=27", "National Semiconductor")</f>
        <v>National Semiconductor</v>
      </c>
      <c r="C9810" s="6">
        <v>650</v>
      </c>
      <c r="D9810" s="7">
        <v>15.23</v>
      </c>
    </row>
    <row r="9811" spans="1:5" x14ac:dyDescent="0.25">
      <c r="A9811" t="str">
        <f>HYPERLINK("https://www.773grp.com/globalSearch/DS92LV090ATVEH-NOPB/page-1", "DS92LV090ATVEH-NOPB")</f>
        <v>DS92LV090ATVEH-NOPB</v>
      </c>
      <c r="B9811" s="3" t="str">
        <f>HYPERLINK("https://www.773grp.com/manufacturer/national-semiconductor?pageNo=28", "National Semiconductor")</f>
        <v>National Semiconductor</v>
      </c>
      <c r="C9811" s="6">
        <v>628</v>
      </c>
      <c r="D9811" s="7">
        <v>15.23</v>
      </c>
      <c r="E9811" t="s">
        <v>21</v>
      </c>
    </row>
    <row r="9812" spans="1:5" x14ac:dyDescent="0.25">
      <c r="A9812" t="str">
        <f>HYPERLINK("https://www.773grp.com/globalSearch/DS92LV2411SQE-NOPB/page-1", "DS92LV2411SQE-NOPB")</f>
        <v>DS92LV2411SQE-NOPB</v>
      </c>
      <c r="B9812" s="3" t="str">
        <f>HYPERLINK("https://www.773grp.com/manufacturer/national-semiconductor?pageNo=29", "National Semiconductor")</f>
        <v>National Semiconductor</v>
      </c>
      <c r="C9812" s="6">
        <v>560</v>
      </c>
      <c r="D9812" s="7">
        <v>15.23</v>
      </c>
    </row>
    <row r="9813" spans="1:5" x14ac:dyDescent="0.25">
      <c r="A9813" t="str">
        <f>HYPERLINK("https://www.773grp.com/globalSearch/DS92LV2412SQE-NOPB/page-1", "DS92LV2412SQE-NOPB")</f>
        <v>DS92LV2412SQE-NOPB</v>
      </c>
      <c r="B9813" s="3" t="str">
        <f>HYPERLINK("https://www.773grp.com/manufacturer/national-semiconductor?pageNo=30", "National Semiconductor")</f>
        <v>National Semiconductor</v>
      </c>
      <c r="C9813" s="6">
        <v>159</v>
      </c>
      <c r="D9813" s="7">
        <v>15.23</v>
      </c>
    </row>
    <row r="9814" spans="1:5" x14ac:dyDescent="0.25">
      <c r="A9814" t="str">
        <f>HYPERLINK("https://www.773grp.com/globalSearch/LM741J/page-1", "LM741J")</f>
        <v>LM741J</v>
      </c>
      <c r="B9814" s="3" t="str">
        <f>HYPERLINK("https://www.773grp.com/manufacturer/national-semiconductor?pageNo=31", "National Semiconductor")</f>
        <v>National Semiconductor</v>
      </c>
      <c r="C9814" s="6">
        <v>82</v>
      </c>
      <c r="D9814" s="7">
        <v>15.23</v>
      </c>
      <c r="E9814" t="s">
        <v>13</v>
      </c>
    </row>
    <row r="9815" spans="1:5" x14ac:dyDescent="0.25">
      <c r="A9815" t="str">
        <f>HYPERLINK("https://www.773grp.com/globalSearch/LMH6555SQ/page-1", "LMH6555SQ")</f>
        <v>LMH6555SQ</v>
      </c>
      <c r="B9815" s="3" t="str">
        <f>HYPERLINK("https://www.773grp.com/manufacturer/national-semiconductor?pageNo=32", "National Semiconductor")</f>
        <v>National Semiconductor</v>
      </c>
      <c r="C9815" s="6">
        <v>1000</v>
      </c>
      <c r="D9815" s="7">
        <v>15.23</v>
      </c>
      <c r="E9815" t="s">
        <v>21</v>
      </c>
    </row>
    <row r="9816" spans="1:5" x14ac:dyDescent="0.25">
      <c r="A9816" t="str">
        <f>HYPERLINK("https://www.773grp.com/globalSearch/DS92LV090ATVEH-NOPB/page-1", "DS92LV090ATVEH-NOPB")</f>
        <v>DS92LV090ATVEH-NOPB</v>
      </c>
      <c r="B9816" s="3" t="str">
        <f>HYPERLINK("https://www.773grp.com/manufacturer/national-semiconductor?pageNo=33", "National Semiconductor")</f>
        <v>National Semiconductor</v>
      </c>
      <c r="C9816" s="6">
        <v>257</v>
      </c>
      <c r="D9816" s="7">
        <v>15.23</v>
      </c>
      <c r="E9816" t="s">
        <v>21</v>
      </c>
    </row>
    <row r="9817" spans="1:5" x14ac:dyDescent="0.25">
      <c r="A9817" t="str">
        <f>HYPERLINK("https://www.773grp.com/globalSearch/DS92LV2411SQE-NOPB/page-1", "DS92LV2411SQE-NOPB")</f>
        <v>DS92LV2411SQE-NOPB</v>
      </c>
      <c r="B9817" s="3" t="str">
        <f>HYPERLINK("https://www.773grp.com/manufacturer/national-semiconductor?pageNo=34", "National Semiconductor")</f>
        <v>National Semiconductor</v>
      </c>
      <c r="C9817" s="6">
        <v>9</v>
      </c>
      <c r="D9817" s="7">
        <v>15.23</v>
      </c>
    </row>
    <row r="9818" spans="1:5" x14ac:dyDescent="0.25">
      <c r="A9818" t="str">
        <f>HYPERLINK("https://www.773grp.com/globalSearch/DS92LV2412SQE-NOPB/page-1", "DS92LV2412SQE-NOPB")</f>
        <v>DS92LV2412SQE-NOPB</v>
      </c>
      <c r="B9818" s="3" t="str">
        <f>HYPERLINK("https://www.773grp.com/manufacturer/national-semiconductor?pageNo=35", "National Semiconductor")</f>
        <v>National Semiconductor</v>
      </c>
      <c r="C9818" s="6">
        <v>210</v>
      </c>
      <c r="D9818" s="7">
        <v>15.23</v>
      </c>
    </row>
    <row r="9819" spans="1:5" x14ac:dyDescent="0.25">
      <c r="A9819" t="str">
        <f>HYPERLINK("https://www.773grp.com/globalSearch/SCANSTA112SMX-NOPB/page-1", "SCANSTA112SMX-NOPB")</f>
        <v>SCANSTA112SMX-NOPB</v>
      </c>
      <c r="B9819" s="3" t="str">
        <f>HYPERLINK("https://www.773grp.com/manufacturer/national-semiconductor?pageNo=36", "National Semiconductor")</f>
        <v>National Semiconductor</v>
      </c>
      <c r="C9819" s="6">
        <v>926</v>
      </c>
      <c r="D9819" s="7">
        <v>15.24</v>
      </c>
      <c r="E9819" t="s">
        <v>42</v>
      </c>
    </row>
    <row r="9820" spans="1:5" x14ac:dyDescent="0.25">
      <c r="A9820" t="str">
        <f>HYPERLINK("https://www.773grp.com/globalSearch/DS90CR286AQMT-NOPB/page-1", "DS90CR286AQMT-NOPB")</f>
        <v>DS90CR286AQMT-NOPB</v>
      </c>
      <c r="B9820" s="3" t="str">
        <f>HYPERLINK("https://www.773grp.com/manufacturer/national-semiconductor?pageNo=37", "National Semiconductor")</f>
        <v>National Semiconductor</v>
      </c>
      <c r="C9820" s="6">
        <v>15</v>
      </c>
      <c r="D9820" s="7">
        <v>15.24</v>
      </c>
    </row>
    <row r="9821" spans="1:5" x14ac:dyDescent="0.25">
      <c r="A9821" t="str">
        <f>HYPERLINK("https://www.773grp.com/globalSearch/DS90CR211MTD/page-1", "DS90CR211MTD")</f>
        <v>DS90CR211MTD</v>
      </c>
      <c r="B9821" s="3" t="str">
        <f>HYPERLINK("https://www.773grp.com/manufacturer/national-semiconductor?pageNo=38", "National Semiconductor")</f>
        <v>National Semiconductor</v>
      </c>
      <c r="C9821" s="6">
        <v>3</v>
      </c>
      <c r="D9821" s="7">
        <v>15.28</v>
      </c>
      <c r="E9821" t="s">
        <v>21</v>
      </c>
    </row>
    <row r="9822" spans="1:5" x14ac:dyDescent="0.25">
      <c r="A9822" t="str">
        <f>HYPERLINK("https://www.773grp.com/globalSearch/DS90CR211MTDX/page-1", "DS90CR211MTDX")</f>
        <v>DS90CR211MTDX</v>
      </c>
      <c r="B9822" s="3" t="str">
        <f>HYPERLINK("https://www.773grp.com/manufacturer/national-semiconductor?pageNo=39", "National Semiconductor")</f>
        <v>National Semiconductor</v>
      </c>
      <c r="C9822" s="6">
        <v>2480</v>
      </c>
      <c r="D9822" s="7">
        <v>15.28</v>
      </c>
      <c r="E9822" t="s">
        <v>21</v>
      </c>
    </row>
    <row r="9823" spans="1:5" x14ac:dyDescent="0.25">
      <c r="A9823" t="str">
        <f>HYPERLINK("https://www.773grp.com/globalSearch/DS90CR212MTD/page-1", "DS90CR212MTD")</f>
        <v>DS90CR212MTD</v>
      </c>
      <c r="B9823" s="3" t="str">
        <f>HYPERLINK("https://www.773grp.com/manufacturer/national-semiconductor?pageNo=40", "National Semiconductor")</f>
        <v>National Semiconductor</v>
      </c>
      <c r="C9823" s="6">
        <v>62</v>
      </c>
      <c r="D9823" s="7">
        <v>15.28</v>
      </c>
      <c r="E9823" t="s">
        <v>21</v>
      </c>
    </row>
    <row r="9824" spans="1:5" x14ac:dyDescent="0.25">
      <c r="A9824" t="str">
        <f>HYPERLINK("https://www.773grp.com/globalSearch/100141DC/page-1", "100141DC")</f>
        <v>100141DC</v>
      </c>
      <c r="B9824" s="3" t="str">
        <f>HYPERLINK("https://www.773grp.com/manufacturer/national-semiconductor?pageNo=41", "National Semiconductor")</f>
        <v>National Semiconductor</v>
      </c>
      <c r="C9824" s="6">
        <v>3156</v>
      </c>
      <c r="D9824" s="7">
        <v>15.3</v>
      </c>
      <c r="E9824" t="s">
        <v>32</v>
      </c>
    </row>
    <row r="9825" spans="1:5" x14ac:dyDescent="0.25">
      <c r="A9825" t="str">
        <f>HYPERLINK("https://www.773grp.com/globalSearch/4076BDM/page-1", "4076BDM")</f>
        <v>4076BDM</v>
      </c>
      <c r="B9825" s="3" t="str">
        <f>HYPERLINK("https://www.773grp.com/manufacturer/national-semiconductor?pageNo=42", "National Semiconductor")</f>
        <v>National Semiconductor</v>
      </c>
      <c r="C9825" s="6">
        <v>13940</v>
      </c>
      <c r="D9825" s="7">
        <v>15.3</v>
      </c>
    </row>
    <row r="9826" spans="1:5" x14ac:dyDescent="0.25">
      <c r="A9826" t="str">
        <f>HYPERLINK("https://www.773grp.com/globalSearch/4724BDC/page-1", "4724BDC")</f>
        <v>4724BDC</v>
      </c>
      <c r="B9826" s="3" t="str">
        <f>HYPERLINK("https://www.773grp.com/manufacturer/national-semiconductor?pageNo=43", "National Semiconductor")</f>
        <v>National Semiconductor</v>
      </c>
      <c r="C9826" s="6">
        <v>7819</v>
      </c>
      <c r="D9826" s="7">
        <v>15.3</v>
      </c>
    </row>
    <row r="9827" spans="1:5" x14ac:dyDescent="0.25">
      <c r="A9827" t="str">
        <f>HYPERLINK("https://www.773grp.com/globalSearch/4724BDCQR/page-1", "4724BDCQR")</f>
        <v>4724BDCQR</v>
      </c>
      <c r="B9827" s="3" t="str">
        <f>HYPERLINK("https://www.773grp.com/manufacturer/national-semiconductor?pageNo=44", "National Semiconductor")</f>
        <v>National Semiconductor</v>
      </c>
      <c r="C9827" s="6">
        <v>1774</v>
      </c>
      <c r="D9827" s="7">
        <v>15.3</v>
      </c>
    </row>
    <row r="9828" spans="1:5" x14ac:dyDescent="0.25">
      <c r="A9828" t="str">
        <f>HYPERLINK("https://www.773grp.com/globalSearch/54ALS00AE-883/page-1", "54ALS00AE-883")</f>
        <v>54ALS00AE-883</v>
      </c>
      <c r="B9828" s="3" t="str">
        <f>HYPERLINK("https://www.773grp.com/manufacturer/national-semiconductor?pageNo=45", "National Semiconductor")</f>
        <v>National Semiconductor</v>
      </c>
      <c r="C9828" s="6">
        <v>301</v>
      </c>
      <c r="D9828" s="7">
        <v>15.3</v>
      </c>
    </row>
    <row r="9829" spans="1:5" x14ac:dyDescent="0.25">
      <c r="A9829" t="str">
        <f>HYPERLINK("https://www.773grp.com/globalSearch/54ALS04AE-883/page-1", "54ALS04AE-883")</f>
        <v>54ALS04AE-883</v>
      </c>
      <c r="B9829" s="3" t="str">
        <f>HYPERLINK("https://www.773grp.com/manufacturer/national-semiconductor?pageNo=46", "National Semiconductor")</f>
        <v>National Semiconductor</v>
      </c>
      <c r="C9829" s="6">
        <v>129</v>
      </c>
      <c r="D9829" s="7">
        <v>15.3</v>
      </c>
    </row>
    <row r="9830" spans="1:5" x14ac:dyDescent="0.25">
      <c r="A9830" t="str">
        <f>HYPERLINK("https://www.773grp.com/globalSearch/54ALS21AE-883/page-1", "54ALS21AE-883")</f>
        <v>54ALS21AE-883</v>
      </c>
      <c r="B9830" s="3" t="str">
        <f>HYPERLINK("https://www.773grp.com/manufacturer/national-semiconductor?pageNo=47", "National Semiconductor")</f>
        <v>National Semiconductor</v>
      </c>
      <c r="C9830" s="6">
        <v>409</v>
      </c>
      <c r="D9830" s="7">
        <v>15.3</v>
      </c>
    </row>
    <row r="9831" spans="1:5" x14ac:dyDescent="0.25">
      <c r="A9831" t="str">
        <f>HYPERLINK("https://www.773grp.com/globalSearch/54ALS27E-883/page-1", "54ALS27E-883")</f>
        <v>54ALS27E-883</v>
      </c>
      <c r="B9831" s="3" t="str">
        <f>HYPERLINK("https://www.773grp.com/manufacturer/national-semiconductor?pageNo=48", "National Semiconductor")</f>
        <v>National Semiconductor</v>
      </c>
      <c r="C9831" s="6">
        <v>319</v>
      </c>
      <c r="D9831" s="7">
        <v>15.3</v>
      </c>
    </row>
    <row r="9832" spans="1:5" x14ac:dyDescent="0.25">
      <c r="A9832" t="str">
        <f>HYPERLINK("https://www.773grp.com/globalSearch/54ALS30AE-883/page-1", "54ALS30AE-883")</f>
        <v>54ALS30AE-883</v>
      </c>
      <c r="B9832" s="3" t="str">
        <f>HYPERLINK("https://www.773grp.com/manufacturer/national-semiconductor?pageNo=49", "National Semiconductor")</f>
        <v>National Semiconductor</v>
      </c>
      <c r="C9832" s="6">
        <v>7362</v>
      </c>
      <c r="D9832" s="7">
        <v>15.3</v>
      </c>
    </row>
    <row r="9833" spans="1:5" x14ac:dyDescent="0.25">
      <c r="A9833" t="str">
        <f>HYPERLINK("https://www.773grp.com/globalSearch/54ALS32E-883/page-1", "54ALS32E-883")</f>
        <v>54ALS32E-883</v>
      </c>
      <c r="B9833" s="3" t="str">
        <f>HYPERLINK("https://www.773grp.com/manufacturer/national-semiconductor?pageNo=50", "National Semiconductor")</f>
        <v>National Semiconductor</v>
      </c>
      <c r="C9833" s="6">
        <v>694</v>
      </c>
      <c r="D9833" s="7">
        <v>15.3</v>
      </c>
    </row>
    <row r="9834" spans="1:5" x14ac:dyDescent="0.25">
      <c r="A9834" t="str">
        <f>HYPERLINK("https://www.773grp.com/globalSearch/54ALS38AE-883/page-1", "54ALS38AE-883")</f>
        <v>54ALS38AE-883</v>
      </c>
      <c r="B9834" s="3" t="str">
        <f>HYPERLINK("https://www.773grp.com/manufacturer/national-semiconductor?pageNo=51", "National Semiconductor")</f>
        <v>National Semiconductor</v>
      </c>
      <c r="C9834" s="6">
        <v>238</v>
      </c>
      <c r="D9834" s="7">
        <v>15.3</v>
      </c>
    </row>
    <row r="9835" spans="1:5" x14ac:dyDescent="0.25">
      <c r="A9835" t="str">
        <f>HYPERLINK("https://www.773grp.com/globalSearch/7455PC/page-1", "7455PC")</f>
        <v>7455PC</v>
      </c>
      <c r="B9835" s="3" t="str">
        <f>HYPERLINK("https://www.773grp.com/manufacturer/national-semiconductor?pageNo=52", "National Semiconductor")</f>
        <v>National Semiconductor</v>
      </c>
      <c r="C9835" s="6">
        <v>2041</v>
      </c>
      <c r="D9835" s="7">
        <v>15.3</v>
      </c>
    </row>
    <row r="9836" spans="1:5" x14ac:dyDescent="0.25">
      <c r="A9836" t="str">
        <f>HYPERLINK("https://www.773grp.com/globalSearch/93L01PC/page-1", "93L01PC")</f>
        <v>93L01PC</v>
      </c>
      <c r="B9836" s="3" t="str">
        <f>HYPERLINK("https://www.773grp.com/manufacturer/national-semiconductor?pageNo=53", "National Semiconductor")</f>
        <v>National Semiconductor</v>
      </c>
      <c r="C9836" s="6">
        <v>18328</v>
      </c>
      <c r="D9836" s="7">
        <v>15.3</v>
      </c>
    </row>
    <row r="9837" spans="1:5" x14ac:dyDescent="0.25">
      <c r="A9837" t="str">
        <f>HYPERLINK("https://www.773grp.com/globalSearch/COP8ACC720M8-RE/page-1", "COP8ACC720M8-RE")</f>
        <v>COP8ACC720M8-RE</v>
      </c>
      <c r="B9837" s="3" t="str">
        <f>HYPERLINK("https://www.773grp.com/manufacturer/national-semiconductor?pageNo=54", "National Semiconductor")</f>
        <v>National Semiconductor</v>
      </c>
      <c r="C9837" s="6">
        <v>1512</v>
      </c>
      <c r="D9837" s="7">
        <v>15.3</v>
      </c>
      <c r="E9837" t="s">
        <v>52</v>
      </c>
    </row>
    <row r="9838" spans="1:5" x14ac:dyDescent="0.25">
      <c r="A9838" t="str">
        <f>HYPERLINK("https://www.773grp.com/globalSearch/COP8ACC720M8-XE/page-1", "COP8ACC720M8-XE")</f>
        <v>COP8ACC720M8-XE</v>
      </c>
      <c r="B9838" s="3" t="str">
        <f>HYPERLINK("https://www.773grp.com/manufacturer/national-semiconductor?pageNo=55", "National Semiconductor")</f>
        <v>National Semiconductor</v>
      </c>
      <c r="C9838" s="6">
        <v>757</v>
      </c>
      <c r="D9838" s="7">
        <v>15.3</v>
      </c>
      <c r="E9838" t="s">
        <v>52</v>
      </c>
    </row>
    <row r="9839" spans="1:5" x14ac:dyDescent="0.25">
      <c r="A9839" t="str">
        <f>HYPERLINK("https://www.773grp.com/globalSearch/COP8CBE9HVA9/page-1", "COP8CBE9HVA9")</f>
        <v>COP8CBE9HVA9</v>
      </c>
      <c r="B9839" s="3" t="str">
        <f>HYPERLINK("https://www.773grp.com/manufacturer/national-semiconductor?pageNo=56", "National Semiconductor")</f>
        <v>National Semiconductor</v>
      </c>
      <c r="C9839" s="6">
        <v>500</v>
      </c>
      <c r="D9839" s="7">
        <v>15.3</v>
      </c>
      <c r="E9839" t="s">
        <v>52</v>
      </c>
    </row>
    <row r="9840" spans="1:5" x14ac:dyDescent="0.25">
      <c r="A9840" t="str">
        <f>HYPERLINK("https://www.773grp.com/globalSearch/DS90CF564MTD-NOPB/page-1", "DS90CF564MTD-NOPB")</f>
        <v>DS90CF564MTD-NOPB</v>
      </c>
      <c r="B9840" s="3" t="str">
        <f>HYPERLINK("https://www.773grp.com/manufacturer/national-semiconductor?pageNo=57", "National Semiconductor")</f>
        <v>National Semiconductor</v>
      </c>
      <c r="C9840" s="6">
        <v>14</v>
      </c>
      <c r="D9840" s="7">
        <v>15.3</v>
      </c>
      <c r="E9840" t="s">
        <v>21</v>
      </c>
    </row>
    <row r="9841" spans="1:5" x14ac:dyDescent="0.25">
      <c r="A9841" t="str">
        <f>HYPERLINK("https://www.773grp.com/globalSearch/DS90CF564MTD-NOPB/page-1", "DS90CF564MTD-NOPB")</f>
        <v>DS90CF564MTD-NOPB</v>
      </c>
      <c r="B9841" s="3" t="str">
        <f>HYPERLINK("https://www.773grp.com/manufacturer/national-semiconductor?pageNo=58", "National Semiconductor")</f>
        <v>National Semiconductor</v>
      </c>
      <c r="C9841" s="6">
        <v>361</v>
      </c>
      <c r="D9841" s="7">
        <v>15.3</v>
      </c>
      <c r="E9841" t="s">
        <v>21</v>
      </c>
    </row>
    <row r="9842" spans="1:5" x14ac:dyDescent="0.25">
      <c r="A9842" t="str">
        <f>HYPERLINK("https://www.773grp.com/globalSearch/54LS395LM/page-1", "54LS395LM")</f>
        <v>54LS395LM</v>
      </c>
      <c r="B9842" s="3" t="str">
        <f>HYPERLINK("https://www.773grp.com/manufacturer/national-semiconductor?pageNo=59", "National Semiconductor")</f>
        <v>National Semiconductor</v>
      </c>
      <c r="C9842" s="6">
        <v>1780</v>
      </c>
      <c r="D9842" s="7">
        <v>15.33</v>
      </c>
    </row>
    <row r="9843" spans="1:5" x14ac:dyDescent="0.25">
      <c r="A9843" t="str">
        <f>HYPERLINK("https://www.773grp.com/globalSearch/54LS395LMQB/page-1", "54LS395LMQB")</f>
        <v>54LS395LMQB</v>
      </c>
      <c r="B9843" s="3" t="str">
        <f>HYPERLINK("https://www.773grp.com/manufacturer/national-semiconductor?pageNo=60", "National Semiconductor")</f>
        <v>National Semiconductor</v>
      </c>
      <c r="C9843" s="6">
        <v>389</v>
      </c>
      <c r="D9843" s="7">
        <v>15.33</v>
      </c>
      <c r="E9843" t="s">
        <v>32</v>
      </c>
    </row>
    <row r="9844" spans="1:5" x14ac:dyDescent="0.25">
      <c r="A9844" t="str">
        <f>HYPERLINK("https://www.773grp.com/globalSearch/7491APC/page-1", "7491APC")</f>
        <v>7491APC</v>
      </c>
      <c r="B9844" s="3" t="str">
        <f>HYPERLINK("https://www.773grp.com/manufacturer/national-semiconductor?pageNo=61", "National Semiconductor")</f>
        <v>National Semiconductor</v>
      </c>
      <c r="C9844" s="6">
        <v>7468</v>
      </c>
      <c r="D9844" s="7">
        <v>15.33</v>
      </c>
    </row>
    <row r="9845" spans="1:5" x14ac:dyDescent="0.25">
      <c r="A9845" t="str">
        <f>HYPERLINK("https://www.773grp.com/globalSearch/7491PC/page-1", "7491PC")</f>
        <v>7491PC</v>
      </c>
      <c r="B9845" s="3" t="str">
        <f>HYPERLINK("https://www.773grp.com/manufacturer/national-semiconductor?pageNo=62", "National Semiconductor")</f>
        <v>National Semiconductor</v>
      </c>
      <c r="C9845" s="6">
        <v>840</v>
      </c>
      <c r="D9845" s="7">
        <v>15.33</v>
      </c>
    </row>
    <row r="9846" spans="1:5" x14ac:dyDescent="0.25">
      <c r="A9846" t="str">
        <f>HYPERLINK("https://www.773grp.com/globalSearch/DM5416J-MIL/page-1", "DM5416J-MIL")</f>
        <v>DM5416J-MIL</v>
      </c>
      <c r="B9846" s="3" t="str">
        <f>HYPERLINK("https://www.773grp.com/manufacturer/national-semiconductor?pageNo=63", "National Semiconductor")</f>
        <v>National Semiconductor</v>
      </c>
      <c r="C9846" s="6">
        <v>125</v>
      </c>
      <c r="D9846" s="7">
        <v>15.33</v>
      </c>
    </row>
    <row r="9847" spans="1:5" x14ac:dyDescent="0.25">
      <c r="A9847" t="str">
        <f>HYPERLINK("https://www.773grp.com/globalSearch/DM54279J-883/page-1", "DM54279J-883")</f>
        <v>DM54279J-883</v>
      </c>
      <c r="B9847" s="3" t="str">
        <f>HYPERLINK("https://www.773grp.com/manufacturer/national-semiconductor?pageNo=64", "National Semiconductor")</f>
        <v>National Semiconductor</v>
      </c>
      <c r="C9847" s="6">
        <v>10</v>
      </c>
      <c r="D9847" s="7">
        <v>15.33</v>
      </c>
    </row>
    <row r="9848" spans="1:5" x14ac:dyDescent="0.25">
      <c r="A9848" t="str">
        <f>HYPERLINK("https://www.773grp.com/globalSearch/DM5437W-883/page-1", "DM5437W-883")</f>
        <v>DM5437W-883</v>
      </c>
      <c r="B9848" s="3" t="str">
        <f>HYPERLINK("https://www.773grp.com/manufacturer/national-semiconductor?pageNo=65", "National Semiconductor")</f>
        <v>National Semiconductor</v>
      </c>
      <c r="C9848" s="6">
        <v>186</v>
      </c>
      <c r="D9848" s="7">
        <v>15.33</v>
      </c>
      <c r="E9848" t="s">
        <v>31</v>
      </c>
    </row>
    <row r="9849" spans="1:5" x14ac:dyDescent="0.25">
      <c r="A9849" t="str">
        <f>HYPERLINK("https://www.773grp.com/globalSearch/DM5486J-883/page-1", "DM5486J-883")</f>
        <v>DM5486J-883</v>
      </c>
      <c r="B9849" s="3" t="str">
        <f>HYPERLINK("https://www.773grp.com/manufacturer/national-semiconductor?pageNo=66", "National Semiconductor")</f>
        <v>National Semiconductor</v>
      </c>
      <c r="C9849" s="6">
        <v>65</v>
      </c>
      <c r="D9849" s="7">
        <v>15.33</v>
      </c>
      <c r="E9849" t="s">
        <v>31</v>
      </c>
    </row>
    <row r="9850" spans="1:5" x14ac:dyDescent="0.25">
      <c r="A9850" t="str">
        <f>HYPERLINK("https://www.773grp.com/globalSearch/DM54LS109W-883/page-1", "DM54LS109W-883")</f>
        <v>DM54LS109W-883</v>
      </c>
      <c r="B9850" s="3" t="str">
        <f>HYPERLINK("https://www.773grp.com/manufacturer/national-semiconductor?pageNo=67", "National Semiconductor")</f>
        <v>National Semiconductor</v>
      </c>
      <c r="C9850" s="6">
        <v>29</v>
      </c>
      <c r="D9850" s="7">
        <v>15.33</v>
      </c>
      <c r="E9850" t="s">
        <v>35</v>
      </c>
    </row>
    <row r="9851" spans="1:5" x14ac:dyDescent="0.25">
      <c r="A9851" t="str">
        <f>HYPERLINK("https://www.773grp.com/globalSearch/DS14C535TMSA/page-1", "DS14C535TMSA")</f>
        <v>DS14C535TMSA</v>
      </c>
      <c r="B9851" s="3" t="str">
        <f>HYPERLINK("https://www.773grp.com/manufacturer/national-semiconductor?pageNo=68", "National Semiconductor")</f>
        <v>National Semiconductor</v>
      </c>
      <c r="C9851" s="6">
        <v>846</v>
      </c>
      <c r="D9851" s="7">
        <v>15.33</v>
      </c>
      <c r="E9851" t="s">
        <v>21</v>
      </c>
    </row>
    <row r="9852" spans="1:5" x14ac:dyDescent="0.25">
      <c r="A9852" t="str">
        <f>HYPERLINK("https://www.773grp.com/globalSearch/LMH6503MA/page-1", "LMH6503MA")</f>
        <v>LMH6503MA</v>
      </c>
      <c r="B9852" s="3" t="str">
        <f>HYPERLINK("https://www.773grp.com/manufacturer/national-semiconductor?pageNo=69", "National Semiconductor")</f>
        <v>National Semiconductor</v>
      </c>
      <c r="C9852" s="6">
        <v>11</v>
      </c>
      <c r="D9852" s="7">
        <v>15.33</v>
      </c>
      <c r="E9852" t="s">
        <v>40</v>
      </c>
    </row>
    <row r="9853" spans="1:5" x14ac:dyDescent="0.25">
      <c r="A9853" t="str">
        <f>HYPERLINK("https://www.773grp.com/globalSearch/LMH6503MT/page-1", "LMH6503MT")</f>
        <v>LMH6503MT</v>
      </c>
      <c r="B9853" s="3" t="str">
        <f>HYPERLINK("https://www.773grp.com/manufacturer/national-semiconductor?pageNo=70", "National Semiconductor")</f>
        <v>National Semiconductor</v>
      </c>
      <c r="C9853" s="6">
        <v>66</v>
      </c>
      <c r="D9853" s="7">
        <v>15.33</v>
      </c>
      <c r="E9853" t="s">
        <v>40</v>
      </c>
    </row>
    <row r="9854" spans="1:5" x14ac:dyDescent="0.25">
      <c r="A9854" t="str">
        <f>HYPERLINK("https://www.773grp.com/globalSearch/OP07EZ/page-1", "OP07EZ")</f>
        <v>OP07EZ</v>
      </c>
      <c r="B9854" s="3" t="str">
        <f>HYPERLINK("https://www.773grp.com/manufacturer/national-semiconductor?pageNo=71", "National Semiconductor")</f>
        <v>National Semiconductor</v>
      </c>
      <c r="C9854" s="6">
        <v>449</v>
      </c>
      <c r="D9854" s="7">
        <v>15.33</v>
      </c>
      <c r="E9854" t="s">
        <v>13</v>
      </c>
    </row>
    <row r="9855" spans="1:5" x14ac:dyDescent="0.25">
      <c r="A9855" t="str">
        <f>HYPERLINK("https://www.773grp.com/globalSearch/LMH6502MA/page-1", "LMH6502MA")</f>
        <v>LMH6502MA</v>
      </c>
      <c r="B9855" s="3" t="str">
        <f>HYPERLINK("https://www.773grp.com/manufacturer/national-semiconductor?pageNo=72", "National Semiconductor")</f>
        <v>National Semiconductor</v>
      </c>
      <c r="C9855" s="6">
        <v>18054</v>
      </c>
      <c r="D9855" s="7">
        <v>15.33</v>
      </c>
    </row>
    <row r="9856" spans="1:5" x14ac:dyDescent="0.25">
      <c r="A9856" t="str">
        <f>HYPERLINK("https://www.773grp.com/globalSearch/PTH08000WAZT/page-1", "PTH08000WAZT")</f>
        <v>PTH08000WAZT</v>
      </c>
      <c r="B9856" s="3" t="str">
        <f>HYPERLINK("https://www.773grp.com/manufacturer/national-semiconductor?pageNo=73", "National Semiconductor")</f>
        <v>National Semiconductor</v>
      </c>
      <c r="C9856" s="6">
        <v>94</v>
      </c>
      <c r="D9856" s="7">
        <v>15.33</v>
      </c>
    </row>
    <row r="9857" spans="1:5" x14ac:dyDescent="0.25">
      <c r="A9857" t="str">
        <f>HYPERLINK("https://www.773grp.com/globalSearch/DS50PCI402SQ-NOPB/page-1", "DS50PCI402SQ-NOPB")</f>
        <v>DS50PCI402SQ-NOPB</v>
      </c>
      <c r="B9857" s="3" t="str">
        <f>HYPERLINK("https://www.773grp.com/manufacturer/national-semiconductor?pageNo=74", "National Semiconductor")</f>
        <v>National Semiconductor</v>
      </c>
      <c r="C9857" s="6">
        <v>2000</v>
      </c>
      <c r="D9857" s="7">
        <v>15.36</v>
      </c>
      <c r="E9857" t="s">
        <v>21</v>
      </c>
    </row>
    <row r="9858" spans="1:5" x14ac:dyDescent="0.25">
      <c r="A9858" t="str">
        <f>HYPERLINK("https://www.773grp.com/globalSearch/LM317HVH-NOPB/page-1", "LM317HVH-NOPB")</f>
        <v>LM317HVH-NOPB</v>
      </c>
      <c r="B9858" s="3" t="str">
        <f>HYPERLINK("https://www.773grp.com/manufacturer/national-semiconductor?pageNo=75", "National Semiconductor")</f>
        <v>National Semiconductor</v>
      </c>
      <c r="C9858" s="6">
        <v>840</v>
      </c>
      <c r="D9858" s="7">
        <v>15.36</v>
      </c>
      <c r="E9858" t="s">
        <v>22</v>
      </c>
    </row>
    <row r="9859" spans="1:5" x14ac:dyDescent="0.25">
      <c r="A9859" t="str">
        <f>HYPERLINK("https://www.773grp.com/globalSearch/DS90CR286AMTD/page-1", "DS90CR286AMTD")</f>
        <v>DS90CR286AMTD</v>
      </c>
      <c r="B9859" s="3" t="str">
        <f>HYPERLINK("https://www.773grp.com/manufacturer/national-semiconductor?pageNo=76", "National Semiconductor")</f>
        <v>National Semiconductor</v>
      </c>
      <c r="C9859" s="6">
        <v>16</v>
      </c>
      <c r="D9859" s="7">
        <v>15.39</v>
      </c>
      <c r="E9859" t="s">
        <v>21</v>
      </c>
    </row>
    <row r="9860" spans="1:5" x14ac:dyDescent="0.25">
      <c r="A9860" t="str">
        <f>HYPERLINK("https://www.773grp.com/globalSearch/54AC158FMQB/page-1", "54AC158FMQB")</f>
        <v>54AC158FMQB</v>
      </c>
      <c r="B9860" s="3" t="str">
        <f>HYPERLINK("https://www.773grp.com/manufacturer/national-semiconductor?pageNo=77", "National Semiconductor")</f>
        <v>National Semiconductor</v>
      </c>
      <c r="C9860" s="6">
        <v>107</v>
      </c>
      <c r="D9860" s="7">
        <v>15.41</v>
      </c>
      <c r="E9860" t="s">
        <v>20</v>
      </c>
    </row>
    <row r="9861" spans="1:5" x14ac:dyDescent="0.25">
      <c r="A9861" t="str">
        <f>HYPERLINK("https://www.773grp.com/globalSearch/DS90LV110ATMT/page-1", "DS90LV110ATMT")</f>
        <v>DS90LV110ATMT</v>
      </c>
      <c r="B9861" s="3" t="str">
        <f>HYPERLINK("https://www.773grp.com/manufacturer/national-semiconductor?pageNo=78", "National Semiconductor")</f>
        <v>National Semiconductor</v>
      </c>
      <c r="C9861" s="6">
        <v>94</v>
      </c>
      <c r="D9861" s="7">
        <v>15.44</v>
      </c>
      <c r="E9861" t="s">
        <v>34</v>
      </c>
    </row>
    <row r="9862" spans="1:5" x14ac:dyDescent="0.25">
      <c r="A9862" t="str">
        <f>HYPERLINK("https://www.773grp.com/globalSearch/JM38510-33902BFA/page-1", "JM38510-33902BFA")</f>
        <v>JM38510-33902BFA</v>
      </c>
      <c r="B9862" s="3" t="str">
        <f>HYPERLINK("https://www.773grp.com/manufacturer/national-semiconductor?pageNo=79", "National Semiconductor")</f>
        <v>National Semiconductor</v>
      </c>
      <c r="C9862" s="6">
        <v>489</v>
      </c>
      <c r="D9862" s="7">
        <v>15.44</v>
      </c>
      <c r="E9862" t="s">
        <v>20</v>
      </c>
    </row>
    <row r="9863" spans="1:5" x14ac:dyDescent="0.25">
      <c r="A9863" t="str">
        <f>HYPERLINK("https://www.773grp.com/globalSearch/DS90LV110ATMT/page-1", "DS90LV110ATMT")</f>
        <v>DS90LV110ATMT</v>
      </c>
      <c r="B9863" s="3" t="str">
        <f>HYPERLINK("https://www.773grp.com/manufacturer/national-semiconductor?pageNo=80", "National Semiconductor")</f>
        <v>National Semiconductor</v>
      </c>
      <c r="C9863" s="6">
        <v>5438</v>
      </c>
      <c r="D9863" s="7">
        <v>15.44</v>
      </c>
      <c r="E9863" t="s">
        <v>34</v>
      </c>
    </row>
    <row r="9864" spans="1:5" x14ac:dyDescent="0.25">
      <c r="A9864" t="str">
        <f>HYPERLINK("https://www.773grp.com/globalSearch/54LS175LM/page-1", "54LS175LM")</f>
        <v>54LS175LM</v>
      </c>
      <c r="B9864" s="3" t="str">
        <f>HYPERLINK("https://www.773grp.com/manufacturer/national-semiconductor?pageNo=81", "National Semiconductor")</f>
        <v>National Semiconductor</v>
      </c>
      <c r="C9864" s="6">
        <v>55</v>
      </c>
      <c r="D9864" s="7">
        <v>15.48</v>
      </c>
    </row>
    <row r="9865" spans="1:5" x14ac:dyDescent="0.25">
      <c r="A9865" t="str">
        <f>HYPERLINK("https://www.773grp.com/globalSearch/54LS175LMQB/page-1", "54LS175LMQB")</f>
        <v>54LS175LMQB</v>
      </c>
      <c r="B9865" s="3" t="str">
        <f>HYPERLINK("https://www.773grp.com/manufacturer/national-semiconductor?pageNo=82", "National Semiconductor")</f>
        <v>National Semiconductor</v>
      </c>
      <c r="C9865" s="6">
        <v>1494</v>
      </c>
      <c r="D9865" s="7">
        <v>15.48</v>
      </c>
      <c r="E9865" t="s">
        <v>35</v>
      </c>
    </row>
    <row r="9866" spans="1:5" x14ac:dyDescent="0.25">
      <c r="A9866" t="str">
        <f>HYPERLINK("https://www.773grp.com/globalSearch/74F161ADC/page-1", "74F161ADC")</f>
        <v>74F161ADC</v>
      </c>
      <c r="B9866" s="3" t="str">
        <f>HYPERLINK("https://www.773grp.com/manufacturer/national-semiconductor?pageNo=83", "National Semiconductor")</f>
        <v>National Semiconductor</v>
      </c>
      <c r="C9866" s="6">
        <v>5</v>
      </c>
      <c r="D9866" s="7">
        <v>15.48</v>
      </c>
      <c r="E9866" t="s">
        <v>26</v>
      </c>
    </row>
    <row r="9867" spans="1:5" x14ac:dyDescent="0.25">
      <c r="A9867" t="str">
        <f>HYPERLINK("https://www.773grp.com/globalSearch/CGS2534V/page-1", "CGS2534V")</f>
        <v>CGS2534V</v>
      </c>
      <c r="B9867" s="3" t="str">
        <f>HYPERLINK("https://www.773grp.com/manufacturer/national-semiconductor?pageNo=84", "National Semiconductor")</f>
        <v>National Semiconductor</v>
      </c>
      <c r="C9867" s="6">
        <v>7615</v>
      </c>
      <c r="D9867" s="7">
        <v>15.48</v>
      </c>
      <c r="E9867" t="s">
        <v>34</v>
      </c>
    </row>
    <row r="9868" spans="1:5" x14ac:dyDescent="0.25">
      <c r="A9868" t="str">
        <f>HYPERLINK("https://www.773grp.com/globalSearch/CGS2534VX/page-1", "CGS2534VX")</f>
        <v>CGS2534VX</v>
      </c>
      <c r="B9868" s="3" t="str">
        <f>HYPERLINK("https://www.773grp.com/manufacturer/national-semiconductor?pageNo=85", "National Semiconductor")</f>
        <v>National Semiconductor</v>
      </c>
      <c r="C9868" s="6">
        <v>750</v>
      </c>
      <c r="D9868" s="7">
        <v>15.48</v>
      </c>
      <c r="E9868" t="s">
        <v>34</v>
      </c>
    </row>
    <row r="9869" spans="1:5" x14ac:dyDescent="0.25">
      <c r="A9869" t="str">
        <f>HYPERLINK("https://www.773grp.com/globalSearch/CGS2537V/page-1", "CGS2537V")</f>
        <v>CGS2537V</v>
      </c>
      <c r="B9869" s="3" t="str">
        <f>HYPERLINK("https://www.773grp.com/manufacturer/national-semiconductor?pageNo=86", "National Semiconductor")</f>
        <v>National Semiconductor</v>
      </c>
      <c r="C9869" s="6">
        <v>2765</v>
      </c>
      <c r="D9869" s="7">
        <v>15.48</v>
      </c>
      <c r="E9869" t="s">
        <v>34</v>
      </c>
    </row>
    <row r="9870" spans="1:5" x14ac:dyDescent="0.25">
      <c r="A9870" t="str">
        <f>HYPERLINK("https://www.773grp.com/globalSearch/LMX2531LQ1146E-NOPB/page-1", "LMX2531LQ1146E-NOPB")</f>
        <v>LMX2531LQ1146E-NOPB</v>
      </c>
      <c r="B9870" s="3" t="str">
        <f>HYPERLINK("https://www.773grp.com/manufacturer/national-semiconductor?pageNo=87", "National Semiconductor")</f>
        <v>National Semiconductor</v>
      </c>
      <c r="C9870" s="6">
        <v>700</v>
      </c>
      <c r="D9870" s="7">
        <v>15.48</v>
      </c>
    </row>
    <row r="9871" spans="1:5" x14ac:dyDescent="0.25">
      <c r="A9871" t="str">
        <f>HYPERLINK("https://www.773grp.com/globalSearch/LMX2531LQ1415E-NOPB/page-1", "LMX2531LQ1415E-NOPB")</f>
        <v>LMX2531LQ1415E-NOPB</v>
      </c>
      <c r="B9871" s="3" t="str">
        <f>HYPERLINK("https://www.773grp.com/manufacturer/national-semiconductor?pageNo=88", "National Semiconductor")</f>
        <v>National Semiconductor</v>
      </c>
      <c r="C9871" s="6">
        <v>250</v>
      </c>
      <c r="D9871" s="7">
        <v>15.48</v>
      </c>
    </row>
    <row r="9872" spans="1:5" x14ac:dyDescent="0.25">
      <c r="A9872" t="str">
        <f>HYPERLINK("https://www.773grp.com/globalSearch/LMX2531LQ1500E-NOPB/page-1", "LMX2531LQ1500E-NOPB")</f>
        <v>LMX2531LQ1500E-NOPB</v>
      </c>
      <c r="B9872" s="3" t="str">
        <f>HYPERLINK("https://www.773grp.com/manufacturer/national-semiconductor?pageNo=89", "National Semiconductor")</f>
        <v>National Semiconductor</v>
      </c>
      <c r="C9872" s="6">
        <v>316</v>
      </c>
      <c r="D9872" s="7">
        <v>15.48</v>
      </c>
    </row>
    <row r="9873" spans="1:5" x14ac:dyDescent="0.25">
      <c r="A9873" t="str">
        <f>HYPERLINK("https://www.773grp.com/globalSearch/LMX2531LQ1515E/page-1", "LMX2531LQ1515E")</f>
        <v>LMX2531LQ1515E</v>
      </c>
      <c r="B9873" s="3" t="str">
        <f>HYPERLINK("https://www.773grp.com/manufacturer/national-semiconductor?pageNo=90", "National Semiconductor")</f>
        <v>National Semiconductor</v>
      </c>
      <c r="C9873" s="6">
        <v>3</v>
      </c>
      <c r="D9873" s="7">
        <v>15.48</v>
      </c>
      <c r="E9873" t="s">
        <v>38</v>
      </c>
    </row>
    <row r="9874" spans="1:5" x14ac:dyDescent="0.25">
      <c r="A9874" t="str">
        <f>HYPERLINK("https://www.773grp.com/globalSearch/LMX2531LQ2265E/page-1", "LMX2531LQ2265E")</f>
        <v>LMX2531LQ2265E</v>
      </c>
      <c r="B9874" s="3" t="str">
        <f>HYPERLINK("https://www.773grp.com/manufacturer/national-semiconductor?pageNo=91", "National Semiconductor")</f>
        <v>National Semiconductor</v>
      </c>
      <c r="C9874" s="6">
        <v>2500</v>
      </c>
      <c r="D9874" s="7">
        <v>15.48</v>
      </c>
      <c r="E9874" t="s">
        <v>38</v>
      </c>
    </row>
    <row r="9875" spans="1:5" x14ac:dyDescent="0.25">
      <c r="A9875" t="str">
        <f>HYPERLINK("https://www.773grp.com/globalSearch/LMX2531LQ2820E-NOPB/page-1", "LMX2531LQ2820E-NOPB")</f>
        <v>LMX2531LQ2820E-NOPB</v>
      </c>
      <c r="B9875" s="3" t="str">
        <f>HYPERLINK("https://www.773grp.com/manufacturer/national-semiconductor?pageNo=92", "National Semiconductor")</f>
        <v>National Semiconductor</v>
      </c>
      <c r="C9875" s="6">
        <v>1000</v>
      </c>
      <c r="D9875" s="7">
        <v>15.48</v>
      </c>
    </row>
    <row r="9876" spans="1:5" x14ac:dyDescent="0.25">
      <c r="A9876" t="str">
        <f>HYPERLINK("https://www.773grp.com/globalSearch/LMX2531LQX1650E-NOPB/page-1", "LMX2531LQX1650E-NOPB")</f>
        <v>LMX2531LQX1650E-NOPB</v>
      </c>
      <c r="B9876" s="3" t="str">
        <f>HYPERLINK("https://www.773grp.com/manufacturer/national-semiconductor?pageNo=93", "National Semiconductor")</f>
        <v>National Semiconductor</v>
      </c>
      <c r="C9876" s="6">
        <v>5000</v>
      </c>
      <c r="D9876" s="7">
        <v>15.48</v>
      </c>
    </row>
    <row r="9877" spans="1:5" x14ac:dyDescent="0.25">
      <c r="A9877" t="str">
        <f>HYPERLINK("https://www.773grp.com/globalSearch/DP83630SQE-NOPB/page-1", "DP83630SQE-NOPB")</f>
        <v>DP83630SQE-NOPB</v>
      </c>
      <c r="B9877" s="3" t="str">
        <f>HYPERLINK("https://www.773grp.com/manufacturer/national-semiconductor?pageNo=94", "National Semiconductor")</f>
        <v>National Semiconductor</v>
      </c>
      <c r="C9877" s="6">
        <v>500</v>
      </c>
      <c r="D9877" s="7">
        <v>15.48</v>
      </c>
    </row>
    <row r="9878" spans="1:5" x14ac:dyDescent="0.25">
      <c r="A9878" t="str">
        <f>HYPERLINK("https://www.773grp.com/globalSearch/DS100BR210SQ-NOPB/page-1", "DS100BR210SQ-NOPB")</f>
        <v>DS100BR210SQ-NOPB</v>
      </c>
      <c r="B9878" s="3" t="str">
        <f>HYPERLINK("https://www.773grp.com/manufacturer/national-semiconductor?pageNo=95", "National Semiconductor")</f>
        <v>National Semiconductor</v>
      </c>
      <c r="C9878" s="6">
        <v>826</v>
      </c>
      <c r="D9878" s="7">
        <v>15.48</v>
      </c>
    </row>
    <row r="9879" spans="1:5" x14ac:dyDescent="0.25">
      <c r="A9879" t="str">
        <f>HYPERLINK("https://www.773grp.com/globalSearch/LME49713HA-NOPB/page-1", "LME49713HA-NOPB")</f>
        <v>LME49713HA-NOPB</v>
      </c>
      <c r="B9879" s="3" t="str">
        <f>HYPERLINK("https://www.773grp.com/manufacturer/national-semiconductor?pageNo=96", "National Semiconductor")</f>
        <v>National Semiconductor</v>
      </c>
      <c r="C9879" s="6">
        <v>158</v>
      </c>
      <c r="D9879" s="7">
        <v>15.48</v>
      </c>
    </row>
    <row r="9880" spans="1:5" x14ac:dyDescent="0.25">
      <c r="A9880" t="str">
        <f>HYPERLINK("https://www.773grp.com/globalSearch/LMX2531LQ1226EVAL/page-1", "LMX2531LQ1226EVAL")</f>
        <v>LMX2531LQ1226EVAL</v>
      </c>
      <c r="B9880" s="3" t="str">
        <f>HYPERLINK("https://www.773grp.com/manufacturer/national-semiconductor?pageNo=97", "National Semiconductor")</f>
        <v>National Semiconductor</v>
      </c>
      <c r="C9880" s="6">
        <v>1</v>
      </c>
      <c r="D9880" s="7">
        <v>15.48</v>
      </c>
    </row>
    <row r="9881" spans="1:5" x14ac:dyDescent="0.25">
      <c r="A9881" t="str">
        <f>HYPERLINK("https://www.773grp.com/globalSearch/LMX2531LQ1415E-NOPB/page-1", "LMX2531LQ1415E-NOPB")</f>
        <v>LMX2531LQ1415E-NOPB</v>
      </c>
      <c r="B9881" s="3" t="str">
        <f>HYPERLINK("https://www.773grp.com/manufacturer/national-semiconductor?pageNo=98", "National Semiconductor")</f>
        <v>National Semiconductor</v>
      </c>
      <c r="C9881" s="6">
        <v>1000</v>
      </c>
      <c r="D9881" s="7">
        <v>15.48</v>
      </c>
    </row>
    <row r="9882" spans="1:5" x14ac:dyDescent="0.25">
      <c r="A9882" t="str">
        <f>HYPERLINK("https://www.773grp.com/globalSearch/LMX2531LQ1500E-NOPB/page-1", "LMX2531LQ1500E-NOPB")</f>
        <v>LMX2531LQ1500E-NOPB</v>
      </c>
      <c r="B9882" s="3" t="str">
        <f>HYPERLINK("https://www.773grp.com/manufacturer/national-semiconductor?pageNo=99", "National Semiconductor")</f>
        <v>National Semiconductor</v>
      </c>
      <c r="C9882" s="6">
        <v>659</v>
      </c>
      <c r="D9882" s="7">
        <v>15.48</v>
      </c>
    </row>
    <row r="9883" spans="1:5" x14ac:dyDescent="0.25">
      <c r="A9883" t="str">
        <f>HYPERLINK("https://www.773grp.com/globalSearch/LMX2531LQ1515E-NOPB/page-1", "LMX2531LQ1515E-NOPB")</f>
        <v>LMX2531LQ1515E-NOPB</v>
      </c>
      <c r="B9883" s="3" t="str">
        <f>HYPERLINK("https://www.773grp.com/manufacturer/national-semiconductor?pageNo=100", "National Semiconductor")</f>
        <v>National Semiconductor</v>
      </c>
      <c r="C9883" s="6">
        <v>2043</v>
      </c>
      <c r="D9883" s="7">
        <v>15.48</v>
      </c>
      <c r="E9883" t="s">
        <v>38</v>
      </c>
    </row>
    <row r="9884" spans="1:5" x14ac:dyDescent="0.25">
      <c r="A9884" t="str">
        <f>HYPERLINK("https://www.773grp.com/globalSearch/LMX2531LQ3010E-NOPB/page-1", "LMX2531LQ3010E-NOPB")</f>
        <v>LMX2531LQ3010E-NOPB</v>
      </c>
      <c r="B9884" s="3" t="str">
        <f>HYPERLINK("https://www.773grp.com/manufacturer/national-semiconductor?pageNo=101", "National Semiconductor")</f>
        <v>National Semiconductor</v>
      </c>
      <c r="C9884" s="6">
        <v>2000</v>
      </c>
      <c r="D9884" s="7">
        <v>15.48</v>
      </c>
    </row>
    <row r="9885" spans="1:5" x14ac:dyDescent="0.25">
      <c r="A9885" t="str">
        <f>HYPERLINK("https://www.773grp.com/globalSearch/DS3862N/page-1", "DS3862N")</f>
        <v>DS3862N</v>
      </c>
      <c r="B9885" s="3" t="str">
        <f>HYPERLINK("https://www.773grp.com/manufacturer/national-semiconductor?pageNo=102", "National Semiconductor")</f>
        <v>National Semiconductor</v>
      </c>
      <c r="C9885" s="6">
        <v>558</v>
      </c>
      <c r="D9885" s="7">
        <v>15.49</v>
      </c>
      <c r="E9885" t="s">
        <v>21</v>
      </c>
    </row>
    <row r="9886" spans="1:5" x14ac:dyDescent="0.25">
      <c r="A9886" t="str">
        <f>HYPERLINK("https://www.773grp.com/globalSearch/DS90C387RVJD-NOPB/page-1", "DS90C387RVJD-NOPB")</f>
        <v>DS90C387RVJD-NOPB</v>
      </c>
      <c r="B9886" s="3" t="str">
        <f>HYPERLINK("https://www.773grp.com/manufacturer/national-semiconductor?pageNo=103", "National Semiconductor")</f>
        <v>National Semiconductor</v>
      </c>
      <c r="C9886" s="6">
        <v>210</v>
      </c>
      <c r="D9886" s="7">
        <v>15.49</v>
      </c>
      <c r="E9886" t="s">
        <v>21</v>
      </c>
    </row>
    <row r="9887" spans="1:5" x14ac:dyDescent="0.25">
      <c r="A9887" t="str">
        <f>HYPERLINK("https://www.773grp.com/globalSearch/DS90C387RVJD-NOPB/page-1", "DS90C387RVJD-NOPB")</f>
        <v>DS90C387RVJD-NOPB</v>
      </c>
      <c r="B9887" s="3" t="str">
        <f>HYPERLINK("https://www.773grp.com/manufacturer/national-semiconductor?pageNo=104", "National Semiconductor")</f>
        <v>National Semiconductor</v>
      </c>
      <c r="C9887" s="6">
        <v>5933</v>
      </c>
      <c r="D9887" s="7">
        <v>15.49</v>
      </c>
      <c r="E9887" t="s">
        <v>21</v>
      </c>
    </row>
    <row r="9888" spans="1:5" x14ac:dyDescent="0.25">
      <c r="A9888" t="str">
        <f>HYPERLINK("https://www.773grp.com/globalSearch/4047BDM/page-1", "4047BDM")</f>
        <v>4047BDM</v>
      </c>
      <c r="B9888" s="3" t="str">
        <f>HYPERLINK("https://www.773grp.com/manufacturer/national-semiconductor?pageNo=105", "National Semiconductor")</f>
        <v>National Semiconductor</v>
      </c>
      <c r="C9888" s="6">
        <v>5029</v>
      </c>
      <c r="D9888" s="7">
        <v>15.53</v>
      </c>
    </row>
    <row r="9889" spans="1:5" x14ac:dyDescent="0.25">
      <c r="A9889" t="str">
        <f>HYPERLINK("https://www.773grp.com/globalSearch/4047BDMQB/page-1", "4047BDMQB")</f>
        <v>4047BDMQB</v>
      </c>
      <c r="B9889" s="3" t="str">
        <f>HYPERLINK("https://www.773grp.com/manufacturer/national-semiconductor?pageNo=106", "National Semiconductor")</f>
        <v>National Semiconductor</v>
      </c>
      <c r="C9889" s="6">
        <v>570</v>
      </c>
      <c r="D9889" s="7">
        <v>15.53</v>
      </c>
      <c r="E9889" t="s">
        <v>54</v>
      </c>
    </row>
    <row r="9890" spans="1:5" x14ac:dyDescent="0.25">
      <c r="A9890" t="str">
        <f>HYPERLINK("https://www.773grp.com/globalSearch/DS16EV5110SQ-NOPB/page-1", "DS16EV5110SQ-NOPB")</f>
        <v>DS16EV5110SQ-NOPB</v>
      </c>
      <c r="B9890" s="3" t="str">
        <f>HYPERLINK("https://www.773grp.com/manufacturer/national-semiconductor?pageNo=107", "National Semiconductor")</f>
        <v>National Semiconductor</v>
      </c>
      <c r="C9890" s="6">
        <v>3077</v>
      </c>
      <c r="D9890" s="7">
        <v>15.53</v>
      </c>
    </row>
    <row r="9891" spans="1:5" x14ac:dyDescent="0.25">
      <c r="A9891" t="str">
        <f>HYPERLINK("https://www.773grp.com/globalSearch/DS92LX1621SQE-NOPB/page-1", "DS92LX1621SQE-NOPB")</f>
        <v>DS92LX1621SQE-NOPB</v>
      </c>
      <c r="B9891" s="3" t="str">
        <f>HYPERLINK("https://www.773grp.com/manufacturer/national-semiconductor?pageNo=108", "National Semiconductor")</f>
        <v>National Semiconductor</v>
      </c>
      <c r="C9891" s="6">
        <v>100</v>
      </c>
      <c r="D9891" s="7">
        <v>15.53</v>
      </c>
      <c r="E9891" t="s">
        <v>21</v>
      </c>
    </row>
    <row r="9892" spans="1:5" x14ac:dyDescent="0.25">
      <c r="A9892" t="str">
        <f>HYPERLINK("https://www.773grp.com/globalSearch/DS92LX1622SQE-NOPB/page-1", "DS92LX1622SQE-NOPB")</f>
        <v>DS92LX1622SQE-NOPB</v>
      </c>
      <c r="B9892" s="3" t="str">
        <f>HYPERLINK("https://www.773grp.com/manufacturer/national-semiconductor?pageNo=109", "National Semiconductor")</f>
        <v>National Semiconductor</v>
      </c>
      <c r="C9892" s="6">
        <v>450</v>
      </c>
      <c r="D9892" s="7">
        <v>15.53</v>
      </c>
      <c r="E9892" t="s">
        <v>21</v>
      </c>
    </row>
    <row r="9893" spans="1:5" x14ac:dyDescent="0.25">
      <c r="A9893" t="str">
        <f>HYPERLINK("https://www.773grp.com/globalSearch/LM4780TA-NOPB/page-1", "LM4780TA-NOPB")</f>
        <v>LM4780TA-NOPB</v>
      </c>
      <c r="B9893" s="3" t="str">
        <f>HYPERLINK("https://www.773grp.com/manufacturer/national-semiconductor?pageNo=110", "National Semiconductor")</f>
        <v>National Semiconductor</v>
      </c>
      <c r="C9893" s="6">
        <v>6330</v>
      </c>
      <c r="D9893" s="7">
        <v>15.53</v>
      </c>
    </row>
    <row r="9894" spans="1:5" x14ac:dyDescent="0.25">
      <c r="A9894" t="str">
        <f>HYPERLINK("https://www.773grp.com/globalSearch/DS16EV5110SQ-NOPB/page-1", "DS16EV5110SQ-NOPB")</f>
        <v>DS16EV5110SQ-NOPB</v>
      </c>
      <c r="B9894" s="3" t="str">
        <f>HYPERLINK("https://www.773grp.com/manufacturer/national-semiconductor?pageNo=111", "National Semiconductor")</f>
        <v>National Semiconductor</v>
      </c>
      <c r="C9894" s="6">
        <v>3000</v>
      </c>
      <c r="D9894" s="7">
        <v>15.53</v>
      </c>
    </row>
    <row r="9895" spans="1:5" x14ac:dyDescent="0.25">
      <c r="A9895" t="str">
        <f>HYPERLINK("https://www.773grp.com/globalSearch/DS92LX1621SQE-NOPB/page-1", "DS92LX1621SQE-NOPB")</f>
        <v>DS92LX1621SQE-NOPB</v>
      </c>
      <c r="B9895" s="3" t="str">
        <f>HYPERLINK("https://www.773grp.com/manufacturer/national-semiconductor?pageNo=112", "National Semiconductor")</f>
        <v>National Semiconductor</v>
      </c>
      <c r="C9895" s="6">
        <v>2554</v>
      </c>
      <c r="D9895" s="7">
        <v>15.53</v>
      </c>
      <c r="E9895" t="s">
        <v>21</v>
      </c>
    </row>
    <row r="9896" spans="1:5" x14ac:dyDescent="0.25">
      <c r="A9896" t="str">
        <f>HYPERLINK("https://www.773grp.com/globalSearch/DS92LX1622SQE-NOPB/page-1", "DS92LX1622SQE-NOPB")</f>
        <v>DS92LX1622SQE-NOPB</v>
      </c>
      <c r="B9896" s="3" t="str">
        <f>HYPERLINK("https://www.773grp.com/manufacturer/national-semiconductor?pageNo=113", "National Semiconductor")</f>
        <v>National Semiconductor</v>
      </c>
      <c r="C9896" s="6">
        <v>191</v>
      </c>
      <c r="D9896" s="7">
        <v>15.53</v>
      </c>
      <c r="E9896" t="s">
        <v>21</v>
      </c>
    </row>
    <row r="9897" spans="1:5" x14ac:dyDescent="0.25">
      <c r="A9897" t="str">
        <f>HYPERLINK("https://www.773grp.com/globalSearch/LM4780TA-NOPB/page-1", "LM4780TA-NOPB")</f>
        <v>LM4780TA-NOPB</v>
      </c>
      <c r="B9897" s="3" t="str">
        <f>HYPERLINK("https://www.773grp.com/manufacturer/national-semiconductor?pageNo=114", "National Semiconductor")</f>
        <v>National Semiconductor</v>
      </c>
      <c r="C9897" s="6">
        <v>170</v>
      </c>
      <c r="D9897" s="7">
        <v>15.53</v>
      </c>
    </row>
    <row r="9898" spans="1:5" x14ac:dyDescent="0.25">
      <c r="A9898" t="str">
        <f>HYPERLINK("https://www.773grp.com/globalSearch/CLC5506IM/page-1", "CLC5506IM")</f>
        <v>CLC5506IM</v>
      </c>
      <c r="B9898" s="3" t="str">
        <f>HYPERLINK("https://www.773grp.com/manufacturer/national-semiconductor?pageNo=115", "National Semiconductor")</f>
        <v>National Semiconductor</v>
      </c>
      <c r="C9898" s="6">
        <v>3527</v>
      </c>
      <c r="D9898" s="7">
        <v>15.56</v>
      </c>
      <c r="E9898" t="s">
        <v>40</v>
      </c>
    </row>
    <row r="9899" spans="1:5" x14ac:dyDescent="0.25">
      <c r="A9899" t="str">
        <f>HYPERLINK("https://www.773grp.com/globalSearch/DS92LV1210TMSA-NOPB/page-1", "DS92LV1210TMSA-NOPB")</f>
        <v>DS92LV1210TMSA-NOPB</v>
      </c>
      <c r="B9899" s="3" t="str">
        <f>HYPERLINK("https://www.773grp.com/manufacturer/national-semiconductor?pageNo=116", "National Semiconductor")</f>
        <v>National Semiconductor</v>
      </c>
      <c r="C9899" s="6">
        <v>70</v>
      </c>
      <c r="D9899" s="7">
        <v>15.56</v>
      </c>
      <c r="E9899" t="s">
        <v>21</v>
      </c>
    </row>
    <row r="9900" spans="1:5" x14ac:dyDescent="0.25">
      <c r="A9900" t="str">
        <f>HYPERLINK("https://www.773grp.com/globalSearch/LM337H/page-1", "LM337H")</f>
        <v>LM337H</v>
      </c>
      <c r="B9900" s="3" t="str">
        <f>HYPERLINK("https://www.773grp.com/manufacturer/national-semiconductor?pageNo=117", "National Semiconductor")</f>
        <v>National Semiconductor</v>
      </c>
      <c r="C9900" s="6">
        <v>608</v>
      </c>
      <c r="D9900" s="7">
        <v>15.56</v>
      </c>
      <c r="E9900" t="s">
        <v>37</v>
      </c>
    </row>
    <row r="9901" spans="1:5" x14ac:dyDescent="0.25">
      <c r="A9901" t="str">
        <f>HYPERLINK("https://www.773grp.com/globalSearch/LM337H-NOPB/page-1", "LM337H-NOPB")</f>
        <v>LM337H-NOPB</v>
      </c>
      <c r="B9901" s="3" t="str">
        <f>HYPERLINK("https://www.773grp.com/manufacturer/national-semiconductor?pageNo=118", "National Semiconductor")</f>
        <v>National Semiconductor</v>
      </c>
      <c r="C9901" s="6">
        <v>626</v>
      </c>
      <c r="D9901" s="7">
        <v>15.56</v>
      </c>
      <c r="E9901" t="s">
        <v>37</v>
      </c>
    </row>
    <row r="9902" spans="1:5" x14ac:dyDescent="0.25">
      <c r="A9902" t="str">
        <f>HYPERLINK("https://www.773grp.com/globalSearch/LM337H/page-1", "LM337H")</f>
        <v>LM337H</v>
      </c>
      <c r="B9902" s="3" t="str">
        <f>HYPERLINK("https://www.773grp.com/manufacturer/national-semiconductor?pageNo=119", "National Semiconductor")</f>
        <v>National Semiconductor</v>
      </c>
      <c r="C9902" s="6">
        <v>1480</v>
      </c>
      <c r="D9902" s="7">
        <v>15.56</v>
      </c>
      <c r="E9902" t="s">
        <v>37</v>
      </c>
    </row>
    <row r="9903" spans="1:5" x14ac:dyDescent="0.25">
      <c r="A9903" t="str">
        <f>HYPERLINK("https://www.773grp.com/globalSearch/54F378DM/page-1", "54F378DM")</f>
        <v>54F378DM</v>
      </c>
      <c r="B9903" s="3" t="str">
        <f>HYPERLINK("https://www.773grp.com/manufacturer/national-semiconductor?pageNo=120", "National Semiconductor")</f>
        <v>National Semiconductor</v>
      </c>
      <c r="C9903" s="6">
        <v>202</v>
      </c>
      <c r="D9903" s="7">
        <v>15.58</v>
      </c>
      <c r="E9903" t="s">
        <v>35</v>
      </c>
    </row>
    <row r="9904" spans="1:5" x14ac:dyDescent="0.25">
      <c r="A9904" t="str">
        <f>HYPERLINK("https://www.773grp.com/globalSearch/DS99R421QSQ-NOPB/page-1", "DS99R421QSQ-NOPB")</f>
        <v>DS99R421QSQ-NOPB</v>
      </c>
      <c r="B9904" s="3" t="str">
        <f>HYPERLINK("https://www.773grp.com/manufacturer/national-semiconductor?pageNo=121", "National Semiconductor")</f>
        <v>National Semiconductor</v>
      </c>
      <c r="C9904" s="6">
        <v>496</v>
      </c>
      <c r="D9904" s="7">
        <v>15.58</v>
      </c>
    </row>
    <row r="9905" spans="1:5" x14ac:dyDescent="0.25">
      <c r="A9905" t="str">
        <f>HYPERLINK("https://www.773grp.com/globalSearch/DS99R124QSQ-NOPB/page-1", "DS99R124QSQ-NOPB")</f>
        <v>DS99R124QSQ-NOPB</v>
      </c>
      <c r="B9905" s="3" t="str">
        <f>HYPERLINK("https://www.773grp.com/manufacturer/national-semiconductor?pageNo=122", "National Semiconductor")</f>
        <v>National Semiconductor</v>
      </c>
      <c r="C9905" s="6">
        <v>8000</v>
      </c>
      <c r="D9905" s="7">
        <v>15.58</v>
      </c>
    </row>
    <row r="9906" spans="1:5" x14ac:dyDescent="0.25">
      <c r="A9906" t="str">
        <f>HYPERLINK("https://www.773grp.com/globalSearch/DS99R421QSQ-NOPB/page-1", "DS99R421QSQ-NOPB")</f>
        <v>DS99R421QSQ-NOPB</v>
      </c>
      <c r="B9906" s="3" t="str">
        <f>HYPERLINK("https://www.773grp.com/manufacturer/national-semiconductor?pageNo=123", "National Semiconductor")</f>
        <v>National Semiconductor</v>
      </c>
      <c r="C9906" s="6">
        <v>958</v>
      </c>
      <c r="D9906" s="7">
        <v>15.58</v>
      </c>
    </row>
    <row r="9907" spans="1:5" x14ac:dyDescent="0.25">
      <c r="A9907" t="str">
        <f>HYPERLINK("https://www.773grp.com/globalSearch/54LS112LMQB/page-1", "54LS112LMQB")</f>
        <v>54LS112LMQB</v>
      </c>
      <c r="B9907" s="3" t="str">
        <f>HYPERLINK("https://www.773grp.com/manufacturer/national-semiconductor?pageNo=124", "National Semiconductor")</f>
        <v>National Semiconductor</v>
      </c>
      <c r="C9907" s="6">
        <v>2002</v>
      </c>
      <c r="D9907" s="7">
        <v>15.61</v>
      </c>
      <c r="E9907" t="s">
        <v>35</v>
      </c>
    </row>
    <row r="9908" spans="1:5" x14ac:dyDescent="0.25">
      <c r="A9908" t="str">
        <f>HYPERLINK("https://www.773grp.com/globalSearch/DM54LS257AW-883/page-1", "DM54LS257AW-883")</f>
        <v>DM54LS257AW-883</v>
      </c>
      <c r="B9908" s="3" t="str">
        <f>HYPERLINK("https://www.773grp.com/manufacturer/national-semiconductor?pageNo=125", "National Semiconductor")</f>
        <v>National Semiconductor</v>
      </c>
      <c r="C9908" s="6">
        <v>446</v>
      </c>
      <c r="D9908" s="7">
        <v>15.61</v>
      </c>
      <c r="E9908" t="s">
        <v>20</v>
      </c>
    </row>
    <row r="9909" spans="1:5" x14ac:dyDescent="0.25">
      <c r="A9909" t="str">
        <f>HYPERLINK("https://www.773grp.com/globalSearch/100170DCQR/page-1", "100170DCQR")</f>
        <v>100170DCQR</v>
      </c>
      <c r="B9909" s="3" t="str">
        <f>HYPERLINK("https://www.773grp.com/manufacturer/national-semiconductor?pageNo=126", "National Semiconductor")</f>
        <v>National Semiconductor</v>
      </c>
      <c r="C9909" s="6">
        <v>943</v>
      </c>
      <c r="D9909" s="7">
        <v>15.64</v>
      </c>
      <c r="E9909" t="s">
        <v>36</v>
      </c>
    </row>
    <row r="9910" spans="1:5" x14ac:dyDescent="0.25">
      <c r="A9910" t="str">
        <f>HYPERLINK("https://www.773grp.com/globalSearch/CLC520AJP/page-1", "CLC520AJP")</f>
        <v>CLC520AJP</v>
      </c>
      <c r="B9910" s="3" t="str">
        <f>HYPERLINK("https://www.773grp.com/manufacturer/national-semiconductor?pageNo=127", "National Semiconductor")</f>
        <v>National Semiconductor</v>
      </c>
      <c r="C9910" s="6">
        <v>1606</v>
      </c>
      <c r="D9910" s="7">
        <v>15.64</v>
      </c>
      <c r="E9910" t="s">
        <v>18</v>
      </c>
    </row>
    <row r="9911" spans="1:5" x14ac:dyDescent="0.25">
      <c r="A9911" t="str">
        <f>HYPERLINK("https://www.773grp.com/globalSearch/LM109H/page-1", "LM109H")</f>
        <v>LM109H</v>
      </c>
      <c r="B9911" s="3" t="str">
        <f>HYPERLINK("https://www.773grp.com/manufacturer/national-semiconductor?pageNo=128", "National Semiconductor")</f>
        <v>National Semiconductor</v>
      </c>
      <c r="C9911" s="6">
        <v>677</v>
      </c>
      <c r="D9911" s="7">
        <v>15.7</v>
      </c>
      <c r="E9911" t="s">
        <v>28</v>
      </c>
    </row>
    <row r="9912" spans="1:5" x14ac:dyDescent="0.25">
      <c r="A9912" t="str">
        <f>HYPERLINK("https://www.773grp.com/globalSearch/LM109H-NOPB/page-1", "LM109H-NOPB")</f>
        <v>LM109H-NOPB</v>
      </c>
      <c r="B9912" s="3" t="str">
        <f>HYPERLINK("https://www.773grp.com/manufacturer/national-semiconductor?pageNo=129", "National Semiconductor")</f>
        <v>National Semiconductor</v>
      </c>
      <c r="C9912" s="6">
        <v>100</v>
      </c>
      <c r="D9912" s="7">
        <v>15.7</v>
      </c>
      <c r="E9912" t="s">
        <v>28</v>
      </c>
    </row>
    <row r="9913" spans="1:5" x14ac:dyDescent="0.25">
      <c r="A9913" t="str">
        <f>HYPERLINK("https://www.773grp.com/globalSearch/LM2587SX-ADJ/page-1", "LM2587SX-ADJ")</f>
        <v>LM2587SX-ADJ</v>
      </c>
      <c r="B9913" s="3" t="str">
        <f>HYPERLINK("https://www.773grp.com/manufacturer/national-semiconductor?pageNo=130", "National Semiconductor")</f>
        <v>National Semiconductor</v>
      </c>
      <c r="C9913" s="6">
        <v>297</v>
      </c>
      <c r="D9913" s="7">
        <v>15.7</v>
      </c>
      <c r="E9913" t="s">
        <v>7</v>
      </c>
    </row>
    <row r="9914" spans="1:5" x14ac:dyDescent="0.25">
      <c r="A9914" t="str">
        <f>HYPERLINK("https://www.773grp.com/globalSearch/LM2587T-ADJ/page-1", "LM2587T-ADJ")</f>
        <v>LM2587T-ADJ</v>
      </c>
      <c r="B9914" s="3" t="str">
        <f>HYPERLINK("https://www.773grp.com/manufacturer/national-semiconductor?pageNo=131", "National Semiconductor")</f>
        <v>National Semiconductor</v>
      </c>
      <c r="C9914" s="6">
        <v>1</v>
      </c>
      <c r="D9914" s="7">
        <v>15.7</v>
      </c>
      <c r="E9914" t="s">
        <v>7</v>
      </c>
    </row>
    <row r="9915" spans="1:5" x14ac:dyDescent="0.25">
      <c r="A9915" t="str">
        <f>HYPERLINK("https://www.773grp.com/globalSearch/SCAN15MB200TSQ-NOPB/page-1", "SCAN15MB200TSQ-NOPB")</f>
        <v>SCAN15MB200TSQ-NOPB</v>
      </c>
      <c r="B9915" s="3" t="str">
        <f>HYPERLINK("https://www.773grp.com/manufacturer/national-semiconductor?pageNo=132", "National Semiconductor")</f>
        <v>National Semiconductor</v>
      </c>
      <c r="C9915" s="6">
        <v>891</v>
      </c>
      <c r="D9915" s="7">
        <v>15.7</v>
      </c>
    </row>
    <row r="9916" spans="1:5" x14ac:dyDescent="0.25">
      <c r="A9916" t="str">
        <f>HYPERLINK("https://www.773grp.com/globalSearch/DS15EA101SQE-NOPB/page-1", "DS15EA101SQE-NOPB")</f>
        <v>DS15EA101SQE-NOPB</v>
      </c>
      <c r="B9916" s="3" t="str">
        <f>HYPERLINK("https://www.773grp.com/manufacturer/national-semiconductor?pageNo=133", "National Semiconductor")</f>
        <v>National Semiconductor</v>
      </c>
      <c r="C9916" s="6">
        <v>148</v>
      </c>
      <c r="D9916" s="7">
        <v>15.7</v>
      </c>
    </row>
    <row r="9917" spans="1:5" x14ac:dyDescent="0.25">
      <c r="A9917" t="str">
        <f>HYPERLINK("https://www.773grp.com/globalSearch/LM109H/page-1", "LM109H")</f>
        <v>LM109H</v>
      </c>
      <c r="B9917" s="3" t="str">
        <f>HYPERLINK("https://www.773grp.com/manufacturer/national-semiconductor?pageNo=134", "National Semiconductor")</f>
        <v>National Semiconductor</v>
      </c>
      <c r="C9917" s="6">
        <v>3942</v>
      </c>
      <c r="D9917" s="7">
        <v>15.7</v>
      </c>
      <c r="E9917" t="s">
        <v>28</v>
      </c>
    </row>
    <row r="9918" spans="1:5" x14ac:dyDescent="0.25">
      <c r="A9918" t="str">
        <f>HYPERLINK("https://www.773grp.com/globalSearch/LM109H-NOPB/page-1", "LM109H-NOPB")</f>
        <v>LM109H-NOPB</v>
      </c>
      <c r="B9918" s="3" t="str">
        <f>HYPERLINK("https://www.773grp.com/manufacturer/national-semiconductor?pageNo=1", "National Semiconductor")</f>
        <v>National Semiconductor</v>
      </c>
      <c r="C9918" s="6">
        <v>115</v>
      </c>
      <c r="D9918" s="7">
        <v>15.7</v>
      </c>
      <c r="E9918" t="s">
        <v>28</v>
      </c>
    </row>
    <row r="9919" spans="1:5" x14ac:dyDescent="0.25">
      <c r="A9919" t="str">
        <f>HYPERLINK("https://www.773grp.com/globalSearch/LM2587SX-ADJ/page-1", "LM2587SX-ADJ")</f>
        <v>LM2587SX-ADJ</v>
      </c>
      <c r="B9919" s="3" t="str">
        <f>HYPERLINK("https://www.773grp.com/manufacturer/national-semiconductor?pageNo=2", "National Semiconductor")</f>
        <v>National Semiconductor</v>
      </c>
      <c r="C9919" s="6">
        <v>500</v>
      </c>
      <c r="D9919" s="7">
        <v>15.7</v>
      </c>
      <c r="E9919" t="s">
        <v>7</v>
      </c>
    </row>
    <row r="9920" spans="1:5" x14ac:dyDescent="0.25">
      <c r="A9920" t="str">
        <f>HYPERLINK("https://www.773grp.com/globalSearch/LM2587T-12/page-1", "LM2587T-12")</f>
        <v>LM2587T-12</v>
      </c>
      <c r="B9920" s="3" t="str">
        <f>HYPERLINK("https://www.773grp.com/manufacturer/national-semiconductor?pageNo=3", "National Semiconductor")</f>
        <v>National Semiconductor</v>
      </c>
      <c r="C9920" s="6">
        <v>45</v>
      </c>
      <c r="D9920" s="7">
        <v>15.7</v>
      </c>
    </row>
    <row r="9921" spans="1:5" x14ac:dyDescent="0.25">
      <c r="A9921" t="str">
        <f>HYPERLINK("https://www.773grp.com/globalSearch/SCAN15MB200TSQ-NOPB/page-1", "SCAN15MB200TSQ-NOPB")</f>
        <v>SCAN15MB200TSQ-NOPB</v>
      </c>
      <c r="B9921" s="3" t="str">
        <f>HYPERLINK("https://www.773grp.com/manufacturer/national-semiconductor?pageNo=4", "National Semiconductor")</f>
        <v>National Semiconductor</v>
      </c>
      <c r="C9921" s="6">
        <v>990</v>
      </c>
      <c r="D9921" s="7">
        <v>15.7</v>
      </c>
    </row>
    <row r="9922" spans="1:5" x14ac:dyDescent="0.25">
      <c r="A9922" t="str">
        <f>HYPERLINK("https://www.773grp.com/globalSearch/54LS379LMQB/page-1", "54LS379LMQB")</f>
        <v>54LS379LMQB</v>
      </c>
      <c r="B9922" s="3" t="str">
        <f>HYPERLINK("https://www.773grp.com/manufacturer/national-semiconductor?pageNo=5", "National Semiconductor")</f>
        <v>National Semiconductor</v>
      </c>
      <c r="C9922" s="6">
        <v>312</v>
      </c>
      <c r="D9922" s="7">
        <v>15.75</v>
      </c>
      <c r="E9922" t="s">
        <v>35</v>
      </c>
    </row>
    <row r="9923" spans="1:5" x14ac:dyDescent="0.25">
      <c r="A9923" t="str">
        <f>HYPERLINK("https://www.773grp.com/globalSearch/74FCT544ASC/page-1", "74FCT544ASC")</f>
        <v>74FCT544ASC</v>
      </c>
      <c r="B9923" s="3" t="str">
        <f>HYPERLINK("https://www.773grp.com/manufacturer/national-semiconductor?pageNo=6", "National Semiconductor")</f>
        <v>National Semiconductor</v>
      </c>
      <c r="C9923" s="6">
        <v>4763</v>
      </c>
      <c r="D9923" s="7">
        <v>15.75</v>
      </c>
      <c r="E9923" t="s">
        <v>14</v>
      </c>
    </row>
    <row r="9924" spans="1:5" x14ac:dyDescent="0.25">
      <c r="A9924" t="str">
        <f>HYPERLINK("https://www.773grp.com/globalSearch/74FCT544ASPC/page-1", "74FCT544ASPC")</f>
        <v>74FCT544ASPC</v>
      </c>
      <c r="B9924" s="3" t="str">
        <f>HYPERLINK("https://www.773grp.com/manufacturer/national-semiconductor?pageNo=7", "National Semiconductor")</f>
        <v>National Semiconductor</v>
      </c>
      <c r="C9924" s="6">
        <v>1350</v>
      </c>
      <c r="D9924" s="7">
        <v>15.75</v>
      </c>
      <c r="E9924" t="s">
        <v>14</v>
      </c>
    </row>
    <row r="9925" spans="1:5" x14ac:dyDescent="0.25">
      <c r="A9925" t="str">
        <f>HYPERLINK("https://www.773grp.com/globalSearch/CGS74B304V/page-1", "CGS74B304V")</f>
        <v>CGS74B304V</v>
      </c>
      <c r="B9925" s="3" t="str">
        <f>HYPERLINK("https://www.773grp.com/manufacturer/national-semiconductor?pageNo=8", "National Semiconductor")</f>
        <v>National Semiconductor</v>
      </c>
      <c r="C9925" s="6">
        <v>1750</v>
      </c>
      <c r="D9925" s="7">
        <v>15.75</v>
      </c>
      <c r="E9925" t="s">
        <v>34</v>
      </c>
    </row>
    <row r="9926" spans="1:5" x14ac:dyDescent="0.25">
      <c r="A9926" t="str">
        <f>HYPERLINK("https://www.773grp.com/globalSearch/CLC005AJE/page-1", "CLC005AJE")</f>
        <v>CLC005AJE</v>
      </c>
      <c r="B9926" s="3" t="str">
        <f>HYPERLINK("https://www.773grp.com/manufacturer/national-semiconductor?pageNo=9", "National Semiconductor")</f>
        <v>National Semiconductor</v>
      </c>
      <c r="C9926" s="6">
        <v>45</v>
      </c>
      <c r="D9926" s="7">
        <v>15.75</v>
      </c>
      <c r="E9926" t="s">
        <v>21</v>
      </c>
    </row>
    <row r="9927" spans="1:5" x14ac:dyDescent="0.25">
      <c r="A9927" t="str">
        <f>HYPERLINK("https://www.773grp.com/globalSearch/CLC005AJE-TR13-NOPB/page-1", "CLC005AJE-TR13-NOPB")</f>
        <v>CLC005AJE-TR13-NOPB</v>
      </c>
      <c r="B9927" s="3" t="str">
        <f>HYPERLINK("https://www.773grp.com/manufacturer/national-semiconductor?pageNo=10", "National Semiconductor")</f>
        <v>National Semiconductor</v>
      </c>
      <c r="C9927" s="6">
        <v>1110</v>
      </c>
      <c r="D9927" s="7">
        <v>15.75</v>
      </c>
      <c r="E9927" t="s">
        <v>21</v>
      </c>
    </row>
    <row r="9928" spans="1:5" x14ac:dyDescent="0.25">
      <c r="A9928" t="str">
        <f>HYPERLINK("https://www.773grp.com/globalSearch/COP8SAC728M8/page-1", "COP8SAC728M8")</f>
        <v>COP8SAC728M8</v>
      </c>
      <c r="B9928" s="3" t="str">
        <f>HYPERLINK("https://www.773grp.com/manufacturer/national-semiconductor?pageNo=11", "National Semiconductor")</f>
        <v>National Semiconductor</v>
      </c>
      <c r="C9928" s="6">
        <v>995</v>
      </c>
      <c r="D9928" s="7">
        <v>15.75</v>
      </c>
      <c r="E9928" t="s">
        <v>52</v>
      </c>
    </row>
    <row r="9929" spans="1:5" x14ac:dyDescent="0.25">
      <c r="A9929" t="str">
        <f>HYPERLINK("https://www.773grp.com/globalSearch/DM7847AJ-MIL/page-1", "DM7847AJ-MIL")</f>
        <v>DM7847AJ-MIL</v>
      </c>
      <c r="B9929" s="3" t="str">
        <f>HYPERLINK("https://www.773grp.com/manufacturer/national-semiconductor?pageNo=12", "National Semiconductor")</f>
        <v>National Semiconductor</v>
      </c>
      <c r="C9929" s="6">
        <v>728</v>
      </c>
      <c r="D9929" s="7">
        <v>15.75</v>
      </c>
    </row>
    <row r="9930" spans="1:5" x14ac:dyDescent="0.25">
      <c r="A9930" t="str">
        <f>HYPERLINK("https://www.773grp.com/globalSearch/JD54F158BEA/page-1", "JD54F158BEA")</f>
        <v>JD54F158BEA</v>
      </c>
      <c r="B9930" s="3" t="str">
        <f>HYPERLINK("https://www.773grp.com/manufacturer/national-semiconductor?pageNo=13", "National Semiconductor")</f>
        <v>National Semiconductor</v>
      </c>
      <c r="C9930" s="6">
        <v>252</v>
      </c>
      <c r="D9930" s="7">
        <v>15.75</v>
      </c>
    </row>
    <row r="9931" spans="1:5" x14ac:dyDescent="0.25">
      <c r="A9931" t="str">
        <f>HYPERLINK("https://www.773grp.com/globalSearch/JD54F158BFA/page-1", "JD54F158BFA")</f>
        <v>JD54F158BFA</v>
      </c>
      <c r="B9931" s="3" t="str">
        <f>HYPERLINK("https://www.773grp.com/manufacturer/national-semiconductor?pageNo=14", "National Semiconductor")</f>
        <v>National Semiconductor</v>
      </c>
      <c r="C9931" s="6">
        <v>317</v>
      </c>
      <c r="D9931" s="7">
        <v>15.75</v>
      </c>
    </row>
    <row r="9932" spans="1:5" x14ac:dyDescent="0.25">
      <c r="A9932" t="str">
        <f>HYPERLINK("https://www.773grp.com/globalSearch/LM134H-6/page-1", "LM134H-6")</f>
        <v>LM134H-6</v>
      </c>
      <c r="B9932" s="3" t="str">
        <f>HYPERLINK("https://www.773grp.com/manufacturer/national-semiconductor?pageNo=15", "National Semiconductor")</f>
        <v>National Semiconductor</v>
      </c>
      <c r="C9932" s="6">
        <v>18</v>
      </c>
      <c r="D9932" s="7">
        <v>15.75</v>
      </c>
      <c r="E9932" t="s">
        <v>8</v>
      </c>
    </row>
    <row r="9933" spans="1:5" x14ac:dyDescent="0.25">
      <c r="A9933" t="str">
        <f>HYPERLINK("https://www.773grp.com/globalSearch/LM306H/page-1", "LM306H")</f>
        <v>LM306H</v>
      </c>
      <c r="B9933" s="3" t="str">
        <f>HYPERLINK("https://www.773grp.com/manufacturer/national-semiconductor?pageNo=16", "National Semiconductor")</f>
        <v>National Semiconductor</v>
      </c>
      <c r="C9933" s="6">
        <v>5</v>
      </c>
      <c r="D9933" s="7">
        <v>15.75</v>
      </c>
      <c r="E9933" t="s">
        <v>9</v>
      </c>
    </row>
    <row r="9934" spans="1:5" x14ac:dyDescent="0.25">
      <c r="A9934" t="str">
        <f>HYPERLINK("https://www.773grp.com/globalSearch/MM14543BMJ-MIL/page-1", "MM14543BMJ-MIL")</f>
        <v>MM14543BMJ-MIL</v>
      </c>
      <c r="B9934" s="3" t="str">
        <f>HYPERLINK("https://www.773grp.com/manufacturer/national-semiconductor?pageNo=17", "National Semiconductor")</f>
        <v>National Semiconductor</v>
      </c>
      <c r="C9934" s="6">
        <v>624</v>
      </c>
      <c r="D9934" s="7">
        <v>15.75</v>
      </c>
    </row>
    <row r="9935" spans="1:5" x14ac:dyDescent="0.25">
      <c r="A9935" t="str">
        <f>HYPERLINK("https://www.773grp.com/globalSearch/CLC005AJE-TR13-NOPB/page-1", "CLC005AJE-TR13-NOPB")</f>
        <v>CLC005AJE-TR13-NOPB</v>
      </c>
      <c r="B9935" s="3" t="str">
        <f>HYPERLINK("https://www.773grp.com/manufacturer/national-semiconductor?pageNo=18", "National Semiconductor")</f>
        <v>National Semiconductor</v>
      </c>
      <c r="C9935" s="6">
        <v>5000</v>
      </c>
      <c r="D9935" s="7">
        <v>15.75</v>
      </c>
      <c r="E9935" t="s">
        <v>21</v>
      </c>
    </row>
    <row r="9936" spans="1:5" x14ac:dyDescent="0.25">
      <c r="A9936" t="str">
        <f>HYPERLINK("https://www.773grp.com/globalSearch/XTR106U-2K5/page-1", "XTR106U-2K5")</f>
        <v>XTR106U-2K5</v>
      </c>
      <c r="B9936" s="3" t="str">
        <f>HYPERLINK("https://www.773grp.com/manufacturer/national-semiconductor?pageNo=19", "National Semiconductor")</f>
        <v>National Semiconductor</v>
      </c>
      <c r="C9936" s="6">
        <v>5000</v>
      </c>
      <c r="D9936" s="7">
        <v>15.75</v>
      </c>
    </row>
    <row r="9937" spans="1:5" x14ac:dyDescent="0.25">
      <c r="A9937" t="str">
        <f>HYPERLINK("https://www.773grp.com/globalSearch/DS92LV2421SQ-NOPB/page-1", "DS92LV2421SQ-NOPB")</f>
        <v>DS92LV2421SQ-NOPB</v>
      </c>
      <c r="B9937" s="3" t="str">
        <f>HYPERLINK("https://www.773grp.com/manufacturer/national-semiconductor?pageNo=20", "National Semiconductor")</f>
        <v>National Semiconductor</v>
      </c>
      <c r="C9937" s="6">
        <v>1431</v>
      </c>
      <c r="D9937" s="7">
        <v>15.78</v>
      </c>
    </row>
    <row r="9938" spans="1:5" x14ac:dyDescent="0.25">
      <c r="A9938" t="str">
        <f>HYPERLINK("https://www.773grp.com/globalSearch/PC16552DV/page-1", "PC16552DV")</f>
        <v>PC16552DV</v>
      </c>
      <c r="B9938" s="3" t="str">
        <f>HYPERLINK("https://www.773grp.com/manufacturer/national-semiconductor?pageNo=21", "National Semiconductor")</f>
        <v>National Semiconductor</v>
      </c>
      <c r="C9938" s="6">
        <v>65</v>
      </c>
      <c r="D9938" s="7">
        <v>15.78</v>
      </c>
      <c r="E9938" t="s">
        <v>71</v>
      </c>
    </row>
    <row r="9939" spans="1:5" x14ac:dyDescent="0.25">
      <c r="A9939" t="str">
        <f>HYPERLINK("https://www.773grp.com/globalSearch/DS92LV2421SQ-NOPB/page-1", "DS92LV2421SQ-NOPB")</f>
        <v>DS92LV2421SQ-NOPB</v>
      </c>
      <c r="B9939" s="3" t="str">
        <f>HYPERLINK("https://www.773grp.com/manufacturer/national-semiconductor?pageNo=22", "National Semiconductor")</f>
        <v>National Semiconductor</v>
      </c>
      <c r="C9939" s="6">
        <v>2000</v>
      </c>
      <c r="D9939" s="7">
        <v>15.78</v>
      </c>
    </row>
    <row r="9940" spans="1:5" x14ac:dyDescent="0.25">
      <c r="A9940" t="str">
        <f>HYPERLINK("https://www.773grp.com/globalSearch/74LS299DC/page-1", "74LS299DC")</f>
        <v>74LS299DC</v>
      </c>
      <c r="B9940" s="3" t="str">
        <f>HYPERLINK("https://www.773grp.com/manufacturer/national-semiconductor?pageNo=23", "National Semiconductor")</f>
        <v>National Semiconductor</v>
      </c>
      <c r="C9940" s="6">
        <v>335</v>
      </c>
      <c r="D9940" s="7">
        <v>15.81</v>
      </c>
    </row>
    <row r="9941" spans="1:5" x14ac:dyDescent="0.25">
      <c r="A9941" t="str">
        <f>HYPERLINK("https://www.773grp.com/globalSearch/DS90CF388VJD-NOPB/page-1", "DS90CF388VJD-NOPB")</f>
        <v>DS90CF388VJD-NOPB</v>
      </c>
      <c r="B9941" s="3" t="str">
        <f>HYPERLINK("https://www.773grp.com/manufacturer/national-semiconductor?pageNo=24", "National Semiconductor")</f>
        <v>National Semiconductor</v>
      </c>
      <c r="C9941" s="6">
        <v>4129</v>
      </c>
      <c r="D9941" s="7">
        <v>15.81</v>
      </c>
      <c r="E9941" t="s">
        <v>21</v>
      </c>
    </row>
    <row r="9942" spans="1:5" x14ac:dyDescent="0.25">
      <c r="A9942" t="str">
        <f>HYPERLINK("https://www.773grp.com/globalSearch/DS36954VX-NOPB/page-1", "DS36954VX-NOPB")</f>
        <v>DS36954VX-NOPB</v>
      </c>
      <c r="B9942" s="3" t="str">
        <f>HYPERLINK("https://www.773grp.com/manufacturer/national-semiconductor?pageNo=25", "National Semiconductor")</f>
        <v>National Semiconductor</v>
      </c>
      <c r="C9942" s="6">
        <v>1979</v>
      </c>
      <c r="D9942" s="7">
        <v>15.81</v>
      </c>
    </row>
    <row r="9943" spans="1:5" x14ac:dyDescent="0.25">
      <c r="A9943" t="str">
        <f>HYPERLINK("https://www.773grp.com/globalSearch/DS90CF388VJD-NOPB/page-1", "DS90CF388VJD-NOPB")</f>
        <v>DS90CF388VJD-NOPB</v>
      </c>
      <c r="B9943" s="3" t="str">
        <f>HYPERLINK("https://www.773grp.com/manufacturer/national-semiconductor?pageNo=26", "National Semiconductor")</f>
        <v>National Semiconductor</v>
      </c>
      <c r="C9943" s="6">
        <v>98</v>
      </c>
      <c r="D9943" s="7">
        <v>15.81</v>
      </c>
      <c r="E9943" t="s">
        <v>21</v>
      </c>
    </row>
    <row r="9944" spans="1:5" x14ac:dyDescent="0.25">
      <c r="A9944" t="str">
        <f>HYPERLINK("https://www.773grp.com/globalSearch/TSB41LV03APFP/page-1", "TSB41LV03APFP")</f>
        <v>TSB41LV03APFP</v>
      </c>
      <c r="B9944" s="3" t="str">
        <f>HYPERLINK("https://www.773grp.com/manufacturer/national-semiconductor?pageNo=27", "National Semiconductor")</f>
        <v>National Semiconductor</v>
      </c>
      <c r="C9944" s="6">
        <v>1824</v>
      </c>
      <c r="D9944" s="7">
        <v>15.81</v>
      </c>
    </row>
    <row r="9945" spans="1:5" x14ac:dyDescent="0.25">
      <c r="A9945" t="str">
        <f>HYPERLINK("https://www.773grp.com/globalSearch/MM54C192J-883/page-1", "MM54C192J-883")</f>
        <v>MM54C192J-883</v>
      </c>
      <c r="B9945" s="3" t="str">
        <f>HYPERLINK("https://www.773grp.com/manufacturer/national-semiconductor?pageNo=28", "National Semiconductor")</f>
        <v>National Semiconductor</v>
      </c>
      <c r="C9945" s="6">
        <v>81</v>
      </c>
      <c r="D9945" s="7">
        <v>15.83</v>
      </c>
    </row>
    <row r="9946" spans="1:5" x14ac:dyDescent="0.25">
      <c r="A9946" t="str">
        <f>HYPERLINK("https://www.773grp.com/globalSearch/NS16C2552TVA-NOPB/page-1", "NS16C2552TVA-NOPB")</f>
        <v>NS16C2552TVA-NOPB</v>
      </c>
      <c r="B9946" s="3" t="str">
        <f>HYPERLINK("https://www.773grp.com/manufacturer/national-semiconductor?pageNo=29", "National Semiconductor")</f>
        <v>National Semiconductor</v>
      </c>
      <c r="C9946" s="6">
        <v>50</v>
      </c>
      <c r="D9946" s="7">
        <v>15.83</v>
      </c>
    </row>
    <row r="9947" spans="1:5" x14ac:dyDescent="0.25">
      <c r="A9947" t="str">
        <f>HYPERLINK("https://www.773grp.com/globalSearch/TP3070V-G-NOPB/page-1", "TP3070V-G-NOPB")</f>
        <v>TP3070V-G-NOPB</v>
      </c>
      <c r="B9947" s="3" t="str">
        <f>HYPERLINK("https://www.773grp.com/manufacturer/national-semiconductor?pageNo=30", "National Semiconductor")</f>
        <v>National Semiconductor</v>
      </c>
      <c r="C9947" s="6">
        <v>370</v>
      </c>
      <c r="D9947" s="7">
        <v>15.83</v>
      </c>
      <c r="E9947" t="s">
        <v>66</v>
      </c>
    </row>
    <row r="9948" spans="1:5" x14ac:dyDescent="0.25">
      <c r="A9948" t="str">
        <f>HYPERLINK("https://www.773grp.com/globalSearch/TP3070V-XG-NOPB/page-1", "TP3070V-XG-NOPB")</f>
        <v>TP3070V-XG-NOPB</v>
      </c>
      <c r="B9948" s="3" t="str">
        <f>HYPERLINK("https://www.773grp.com/manufacturer/national-semiconductor?pageNo=31", "National Semiconductor")</f>
        <v>National Semiconductor</v>
      </c>
      <c r="C9948" s="6">
        <v>12</v>
      </c>
      <c r="D9948" s="7">
        <v>15.83</v>
      </c>
      <c r="E9948" t="s">
        <v>66</v>
      </c>
    </row>
    <row r="9949" spans="1:5" x14ac:dyDescent="0.25">
      <c r="A9949" t="str">
        <f>HYPERLINK("https://www.773grp.com/globalSearch/TP3070V-G-NOPB/page-1", "TP3070V-G-NOPB")</f>
        <v>TP3070V-G-NOPB</v>
      </c>
      <c r="B9949" s="3" t="str">
        <f>HYPERLINK("https://www.773grp.com/manufacturer/national-semiconductor?pageNo=32", "National Semiconductor")</f>
        <v>National Semiconductor</v>
      </c>
      <c r="C9949" s="6">
        <v>1003</v>
      </c>
      <c r="D9949" s="7">
        <v>15.83</v>
      </c>
      <c r="E9949" t="s">
        <v>66</v>
      </c>
    </row>
    <row r="9950" spans="1:5" x14ac:dyDescent="0.25">
      <c r="A9950" t="str">
        <f>HYPERLINK("https://www.773grp.com/globalSearch/CLC006BM-NOPB/page-1", "CLC006BM-NOPB")</f>
        <v>CLC006BM-NOPB</v>
      </c>
      <c r="B9950" s="3" t="str">
        <f>HYPERLINK("https://www.773grp.com/manufacturer/national-semiconductor?pageNo=33", "National Semiconductor")</f>
        <v>National Semiconductor</v>
      </c>
      <c r="C9950" s="6">
        <v>94</v>
      </c>
      <c r="D9950" s="7">
        <v>15.86</v>
      </c>
      <c r="E9950" t="s">
        <v>21</v>
      </c>
    </row>
    <row r="9951" spans="1:5" x14ac:dyDescent="0.25">
      <c r="A9951" t="str">
        <f>HYPERLINK("https://www.773grp.com/globalSearch/LMH1251MT-NOPB/page-1", "LMH1251MT-NOPB")</f>
        <v>LMH1251MT-NOPB</v>
      </c>
      <c r="B9951" s="3" t="str">
        <f>HYPERLINK("https://www.773grp.com/manufacturer/national-semiconductor?pageNo=34", "National Semiconductor")</f>
        <v>National Semiconductor</v>
      </c>
      <c r="C9951" s="6">
        <v>1697</v>
      </c>
      <c r="D9951" s="7">
        <v>15.86</v>
      </c>
    </row>
    <row r="9952" spans="1:5" x14ac:dyDescent="0.25">
      <c r="A9952" t="str">
        <f>HYPERLINK("https://www.773grp.com/globalSearch/LMP7721MA-NOPB/page-1", "LMP7721MA-NOPB")</f>
        <v>LMP7721MA-NOPB</v>
      </c>
      <c r="B9952" s="3" t="str">
        <f>HYPERLINK("https://www.773grp.com/manufacturer/national-semiconductor?pageNo=35", "National Semiconductor")</f>
        <v>National Semiconductor</v>
      </c>
      <c r="C9952" s="6">
        <v>115</v>
      </c>
      <c r="D9952" s="7">
        <v>15.86</v>
      </c>
    </row>
    <row r="9953" spans="1:5" x14ac:dyDescent="0.25">
      <c r="A9953" t="str">
        <f>HYPERLINK("https://www.773grp.com/globalSearch/LMZ10505TZE-ADJ-NOPB/page-1", "LMZ10505TZE-ADJ-NOPB")</f>
        <v>LMZ10505TZE-ADJ-NOPB</v>
      </c>
      <c r="B9953" s="3" t="str">
        <f>HYPERLINK("https://www.773grp.com/manufacturer/national-semiconductor?pageNo=36", "National Semiconductor")</f>
        <v>National Semiconductor</v>
      </c>
      <c r="C9953" s="6">
        <v>3</v>
      </c>
      <c r="D9953" s="7">
        <v>15.86</v>
      </c>
      <c r="E9953" t="s">
        <v>7</v>
      </c>
    </row>
    <row r="9954" spans="1:5" x14ac:dyDescent="0.25">
      <c r="A9954" t="str">
        <f>HYPERLINK("https://www.773grp.com/globalSearch/CLC006BM-NOPB/page-1", "CLC006BM-NOPB")</f>
        <v>CLC006BM-NOPB</v>
      </c>
      <c r="B9954" s="3" t="str">
        <f>HYPERLINK("https://www.773grp.com/manufacturer/national-semiconductor?pageNo=37", "National Semiconductor")</f>
        <v>National Semiconductor</v>
      </c>
      <c r="C9954" s="6">
        <v>92</v>
      </c>
      <c r="D9954" s="7">
        <v>15.86</v>
      </c>
      <c r="E9954" t="s">
        <v>21</v>
      </c>
    </row>
    <row r="9955" spans="1:5" x14ac:dyDescent="0.25">
      <c r="A9955" t="str">
        <f>HYPERLINK("https://www.773grp.com/globalSearch/LMH1251MT-NOPB/page-1", "LMH1251MT-NOPB")</f>
        <v>LMH1251MT-NOPB</v>
      </c>
      <c r="B9955" s="3" t="str">
        <f>HYPERLINK("https://www.773grp.com/manufacturer/national-semiconductor?pageNo=38", "National Semiconductor")</f>
        <v>National Semiconductor</v>
      </c>
      <c r="C9955" s="6">
        <v>440</v>
      </c>
      <c r="D9955" s="7">
        <v>15.86</v>
      </c>
    </row>
    <row r="9956" spans="1:5" x14ac:dyDescent="0.25">
      <c r="A9956" t="str">
        <f>HYPERLINK("https://www.773grp.com/globalSearch/LMP7721MA-NOPB/page-1", "LMP7721MA-NOPB")</f>
        <v>LMP7721MA-NOPB</v>
      </c>
      <c r="B9956" s="3" t="str">
        <f>HYPERLINK("https://www.773grp.com/manufacturer/national-semiconductor?pageNo=39", "National Semiconductor")</f>
        <v>National Semiconductor</v>
      </c>
      <c r="C9956" s="6">
        <v>2059</v>
      </c>
      <c r="D9956" s="7">
        <v>15.86</v>
      </c>
    </row>
    <row r="9957" spans="1:5" x14ac:dyDescent="0.25">
      <c r="A9957" t="str">
        <f>HYPERLINK("https://www.773grp.com/globalSearch/54F164FMQB/page-1", "54F164FMQB")</f>
        <v>54F164FMQB</v>
      </c>
      <c r="B9957" s="3" t="str">
        <f>HYPERLINK("https://www.773grp.com/manufacturer/national-semiconductor?pageNo=40", "National Semiconductor")</f>
        <v>National Semiconductor</v>
      </c>
      <c r="C9957" s="6">
        <v>1599</v>
      </c>
      <c r="D9957" s="7">
        <v>15.9</v>
      </c>
      <c r="E9957" t="s">
        <v>32</v>
      </c>
    </row>
    <row r="9958" spans="1:5" x14ac:dyDescent="0.25">
      <c r="A9958" t="str">
        <f>HYPERLINK("https://www.773grp.com/globalSearch/74F169DC/page-1", "74F169DC")</f>
        <v>74F169DC</v>
      </c>
      <c r="B9958" s="3" t="str">
        <f>HYPERLINK("https://www.773grp.com/manufacturer/national-semiconductor?pageNo=41", "National Semiconductor")</f>
        <v>National Semiconductor</v>
      </c>
      <c r="C9958" s="6">
        <v>2</v>
      </c>
      <c r="D9958" s="7">
        <v>15.9</v>
      </c>
      <c r="E9958" t="s">
        <v>26</v>
      </c>
    </row>
    <row r="9959" spans="1:5" x14ac:dyDescent="0.25">
      <c r="A9959" t="str">
        <f>HYPERLINK("https://www.773grp.com/globalSearch/ADC0811CCJ/page-1", "ADC0811CCJ")</f>
        <v>ADC0811CCJ</v>
      </c>
      <c r="B9959" s="3" t="str">
        <f>HYPERLINK("https://www.773grp.com/manufacturer/national-semiconductor?pageNo=42", "National Semiconductor")</f>
        <v>National Semiconductor</v>
      </c>
      <c r="C9959" s="6">
        <v>30</v>
      </c>
      <c r="D9959" s="7">
        <v>15.9</v>
      </c>
      <c r="E9959" t="s">
        <v>39</v>
      </c>
    </row>
    <row r="9960" spans="1:5" x14ac:dyDescent="0.25">
      <c r="A9960" t="str">
        <f>HYPERLINK("https://www.773grp.com/globalSearch/DS25CP102QSQ-NOPB/page-1", "DS25CP102QSQ-NOPB")</f>
        <v>DS25CP102QSQ-NOPB</v>
      </c>
      <c r="B9960" s="3" t="str">
        <f>HYPERLINK("https://www.773grp.com/manufacturer/national-semiconductor?pageNo=43", "National Semiconductor")</f>
        <v>National Semiconductor</v>
      </c>
      <c r="C9960" s="6">
        <v>750</v>
      </c>
      <c r="D9960" s="7">
        <v>15.9</v>
      </c>
    </row>
    <row r="9961" spans="1:5" x14ac:dyDescent="0.25">
      <c r="A9961" t="str">
        <f>HYPERLINK("https://www.773grp.com/globalSearch/100171DC/page-1", "100171DC")</f>
        <v>100171DC</v>
      </c>
      <c r="B9961" s="3" t="str">
        <f>HYPERLINK("https://www.773grp.com/manufacturer/national-semiconductor?pageNo=44", "National Semiconductor")</f>
        <v>National Semiconductor</v>
      </c>
      <c r="C9961" s="6">
        <v>266</v>
      </c>
      <c r="D9961" s="7">
        <v>15.95</v>
      </c>
      <c r="E9961" t="s">
        <v>20</v>
      </c>
    </row>
    <row r="9962" spans="1:5" x14ac:dyDescent="0.25">
      <c r="A9962" t="str">
        <f>HYPERLINK("https://www.773grp.com/globalSearch/DS90CR285MTD/page-1", "DS90CR285MTD")</f>
        <v>DS90CR285MTD</v>
      </c>
      <c r="B9962" s="3" t="str">
        <f>HYPERLINK("https://www.773grp.com/manufacturer/national-semiconductor?pageNo=45", "National Semiconductor")</f>
        <v>National Semiconductor</v>
      </c>
      <c r="C9962" s="6">
        <v>16</v>
      </c>
      <c r="D9962" s="7">
        <v>15.95</v>
      </c>
      <c r="E9962" t="s">
        <v>21</v>
      </c>
    </row>
    <row r="9963" spans="1:5" x14ac:dyDescent="0.25">
      <c r="A9963" t="str">
        <f>HYPERLINK("https://www.773grp.com/globalSearch/ADC10D020CIVS-NOPB/page-1", "ADC10D020CIVS-NOPB")</f>
        <v>ADC10D020CIVS-NOPB</v>
      </c>
      <c r="B9963" s="3" t="str">
        <f>HYPERLINK("https://www.773grp.com/manufacturer/national-semiconductor?pageNo=46", "National Semiconductor")</f>
        <v>National Semiconductor</v>
      </c>
      <c r="C9963" s="6">
        <v>623</v>
      </c>
      <c r="D9963" s="7">
        <v>15.98</v>
      </c>
      <c r="E9963" t="s">
        <v>39</v>
      </c>
    </row>
    <row r="9964" spans="1:5" x14ac:dyDescent="0.25">
      <c r="A9964" t="str">
        <f>HYPERLINK("https://www.773grp.com/globalSearch/DS90CP04TLQ-NOPB/page-1", "DS90CP04TLQ-NOPB")</f>
        <v>DS90CP04TLQ-NOPB</v>
      </c>
      <c r="B9964" s="3" t="str">
        <f>HYPERLINK("https://www.773grp.com/manufacturer/national-semiconductor?pageNo=47", "National Semiconductor")</f>
        <v>National Semiconductor</v>
      </c>
      <c r="C9964" s="6">
        <v>299</v>
      </c>
      <c r="D9964" s="7">
        <v>15.98</v>
      </c>
      <c r="E9964" t="s">
        <v>56</v>
      </c>
    </row>
    <row r="9965" spans="1:5" x14ac:dyDescent="0.25">
      <c r="A9965" t="str">
        <f>HYPERLINK("https://www.773grp.com/globalSearch/LM185H-1.2/page-1", "LM185H-1.2")</f>
        <v>LM185H-1.2</v>
      </c>
      <c r="B9965" s="3" t="str">
        <f>HYPERLINK("https://www.773grp.com/manufacturer/national-semiconductor?pageNo=48", "National Semiconductor")</f>
        <v>National Semiconductor</v>
      </c>
      <c r="C9965" s="6">
        <v>3791</v>
      </c>
      <c r="D9965" s="7">
        <v>15.98</v>
      </c>
      <c r="E9965" t="s">
        <v>17</v>
      </c>
    </row>
    <row r="9966" spans="1:5" x14ac:dyDescent="0.25">
      <c r="A9966" t="str">
        <f>HYPERLINK("https://www.773grp.com/globalSearch/LM185H-1.2-NOPB/page-1", "LM185H-1.2-NOPB")</f>
        <v>LM185H-1.2-NOPB</v>
      </c>
      <c r="B9966" s="3" t="str">
        <f>HYPERLINK("https://www.773grp.com/manufacturer/national-semiconductor?pageNo=49", "National Semiconductor")</f>
        <v>National Semiconductor</v>
      </c>
      <c r="C9966" s="6">
        <v>700</v>
      </c>
      <c r="D9966" s="7">
        <v>15.98</v>
      </c>
      <c r="E9966" t="s">
        <v>17</v>
      </c>
    </row>
    <row r="9967" spans="1:5" x14ac:dyDescent="0.25">
      <c r="A9967" t="str">
        <f>HYPERLINK("https://www.773grp.com/globalSearch/LM185H-2.5/page-1", "LM185H-2.5")</f>
        <v>LM185H-2.5</v>
      </c>
      <c r="B9967" s="3" t="str">
        <f>HYPERLINK("https://www.773grp.com/manufacturer/national-semiconductor?pageNo=50", "National Semiconductor")</f>
        <v>National Semiconductor</v>
      </c>
      <c r="C9967" s="6">
        <v>3113</v>
      </c>
      <c r="D9967" s="7">
        <v>15.98</v>
      </c>
      <c r="E9967" t="s">
        <v>17</v>
      </c>
    </row>
    <row r="9968" spans="1:5" x14ac:dyDescent="0.25">
      <c r="A9968" t="str">
        <f>HYPERLINK("https://www.773grp.com/globalSearch/LM185H-2.5-NOPB/page-1", "LM185H-2.5-NOPB")</f>
        <v>LM185H-2.5-NOPB</v>
      </c>
      <c r="B9968" s="3" t="str">
        <f>HYPERLINK("https://www.773grp.com/manufacturer/national-semiconductor?pageNo=51", "National Semiconductor")</f>
        <v>National Semiconductor</v>
      </c>
      <c r="C9968" s="6">
        <v>5247</v>
      </c>
      <c r="D9968" s="7">
        <v>15.98</v>
      </c>
      <c r="E9968" t="s">
        <v>17</v>
      </c>
    </row>
    <row r="9969" spans="1:5" x14ac:dyDescent="0.25">
      <c r="A9969" t="str">
        <f>HYPERLINK("https://www.773grp.com/globalSearch/ADC10D020CIVS-NOPB/page-1", "ADC10D020CIVS-NOPB")</f>
        <v>ADC10D020CIVS-NOPB</v>
      </c>
      <c r="B9969" s="3" t="str">
        <f>HYPERLINK("https://www.773grp.com/manufacturer/national-semiconductor?pageNo=52", "National Semiconductor")</f>
        <v>National Semiconductor</v>
      </c>
      <c r="C9969" s="6">
        <v>665</v>
      </c>
      <c r="D9969" s="7">
        <v>15.98</v>
      </c>
      <c r="E9969" t="s">
        <v>39</v>
      </c>
    </row>
    <row r="9970" spans="1:5" x14ac:dyDescent="0.25">
      <c r="A9970" t="str">
        <f>HYPERLINK("https://www.773grp.com/globalSearch/DS90CP04TLQ-NOPB/page-1", "DS90CP04TLQ-NOPB")</f>
        <v>DS90CP04TLQ-NOPB</v>
      </c>
      <c r="B9970" s="3" t="str">
        <f>HYPERLINK("https://www.773grp.com/manufacturer/national-semiconductor?pageNo=53", "National Semiconductor")</f>
        <v>National Semiconductor</v>
      </c>
      <c r="C9970" s="6">
        <v>992</v>
      </c>
      <c r="D9970" s="7">
        <v>15.98</v>
      </c>
      <c r="E9970" t="s">
        <v>56</v>
      </c>
    </row>
    <row r="9971" spans="1:5" x14ac:dyDescent="0.25">
      <c r="A9971" t="str">
        <f>HYPERLINK("https://www.773grp.com/globalSearch/LM185H-1.2/page-1", "LM185H-1.2")</f>
        <v>LM185H-1.2</v>
      </c>
      <c r="B9971" s="3" t="str">
        <f>HYPERLINK("https://www.773grp.com/manufacturer/national-semiconductor?pageNo=54", "National Semiconductor")</f>
        <v>National Semiconductor</v>
      </c>
      <c r="C9971" s="6">
        <v>873</v>
      </c>
      <c r="D9971" s="7">
        <v>15.98</v>
      </c>
      <c r="E9971" t="s">
        <v>17</v>
      </c>
    </row>
    <row r="9972" spans="1:5" x14ac:dyDescent="0.25">
      <c r="A9972" t="str">
        <f>HYPERLINK("https://www.773grp.com/globalSearch/LM185H-2.5/page-1", "LM185H-2.5")</f>
        <v>LM185H-2.5</v>
      </c>
      <c r="B9972" s="3" t="str">
        <f>HYPERLINK("https://www.773grp.com/manufacturer/national-semiconductor?pageNo=55", "National Semiconductor")</f>
        <v>National Semiconductor</v>
      </c>
      <c r="C9972" s="6">
        <v>600</v>
      </c>
      <c r="D9972" s="7">
        <v>15.98</v>
      </c>
      <c r="E9972" t="s">
        <v>17</v>
      </c>
    </row>
    <row r="9973" spans="1:5" x14ac:dyDescent="0.25">
      <c r="A9973" t="str">
        <f>HYPERLINK("https://www.773grp.com/globalSearch/LM185H-2.5/page-1", "LM185H-2.5")</f>
        <v>LM185H-2.5</v>
      </c>
      <c r="B9973" s="3" t="str">
        <f>HYPERLINK("https://www.773grp.com/manufacturer/national-semiconductor?pageNo=56", "National Semiconductor")</f>
        <v>National Semiconductor</v>
      </c>
      <c r="C9973" s="6">
        <v>915</v>
      </c>
      <c r="D9973" s="7">
        <v>15.98</v>
      </c>
      <c r="E9973" t="s">
        <v>17</v>
      </c>
    </row>
    <row r="9974" spans="1:5" x14ac:dyDescent="0.25">
      <c r="A9974" t="str">
        <f>HYPERLINK("https://www.773grp.com/globalSearch/LM185H-2.5-NOPB/page-1", "LM185H-2.5-NOPB")</f>
        <v>LM185H-2.5-NOPB</v>
      </c>
      <c r="B9974" s="3" t="str">
        <f>HYPERLINK("https://www.773grp.com/manufacturer/national-semiconductor?pageNo=57", "National Semiconductor")</f>
        <v>National Semiconductor</v>
      </c>
      <c r="C9974" s="6">
        <v>580</v>
      </c>
      <c r="D9974" s="7">
        <v>15.98</v>
      </c>
      <c r="E9974" t="s">
        <v>17</v>
      </c>
    </row>
    <row r="9975" spans="1:5" x14ac:dyDescent="0.25">
      <c r="A9975" t="str">
        <f>HYPERLINK("https://www.773grp.com/globalSearch/NS16C2752TVS-NOPB/page-1", "NS16C2752TVS-NOPB")</f>
        <v>NS16C2752TVS-NOPB</v>
      </c>
      <c r="B9975" s="3" t="str">
        <f>HYPERLINK("https://www.773grp.com/manufacturer/national-semiconductor?pageNo=58", "National Semiconductor")</f>
        <v>National Semiconductor</v>
      </c>
      <c r="C9975" s="6">
        <v>2410</v>
      </c>
      <c r="D9975" s="7">
        <v>15.98</v>
      </c>
    </row>
    <row r="9976" spans="1:5" x14ac:dyDescent="0.25">
      <c r="A9976" t="str">
        <f>HYPERLINK("https://www.773grp.com/globalSearch/93L38PC/page-1", "93L38PC")</f>
        <v>93L38PC</v>
      </c>
      <c r="B9976" s="3" t="str">
        <f>HYPERLINK("https://www.773grp.com/manufacturer/national-semiconductor?pageNo=59", "National Semiconductor")</f>
        <v>National Semiconductor</v>
      </c>
      <c r="C9976" s="6">
        <v>772</v>
      </c>
      <c r="D9976" s="7">
        <v>16.04</v>
      </c>
    </row>
    <row r="9977" spans="1:5" x14ac:dyDescent="0.25">
      <c r="A9977" t="str">
        <f>HYPERLINK("https://www.773grp.com/globalSearch/DM5490AW-883/page-1", "DM5490AW-883")</f>
        <v>DM5490AW-883</v>
      </c>
      <c r="B9977" s="3" t="str">
        <f>HYPERLINK("https://www.773grp.com/manufacturer/national-semiconductor?pageNo=60", "National Semiconductor")</f>
        <v>National Semiconductor</v>
      </c>
      <c r="C9977" s="6">
        <v>143</v>
      </c>
      <c r="D9977" s="7">
        <v>16.04</v>
      </c>
      <c r="E9977" t="s">
        <v>26</v>
      </c>
    </row>
    <row r="9978" spans="1:5" x14ac:dyDescent="0.25">
      <c r="A9978" t="str">
        <f>HYPERLINK("https://www.773grp.com/globalSearch/DS90C124IVS/page-1", "DS90C124IVS")</f>
        <v>DS90C124IVS</v>
      </c>
      <c r="B9978" s="3" t="str">
        <f>HYPERLINK("https://www.773grp.com/manufacturer/national-semiconductor?pageNo=61", "National Semiconductor")</f>
        <v>National Semiconductor</v>
      </c>
      <c r="C9978" s="6">
        <v>250</v>
      </c>
      <c r="D9978" s="7">
        <v>16.04</v>
      </c>
      <c r="E9978" t="s">
        <v>21</v>
      </c>
    </row>
    <row r="9979" spans="1:5" x14ac:dyDescent="0.25">
      <c r="A9979" t="str">
        <f>HYPERLINK("https://www.773grp.com/globalSearch/DS90C241IVS/page-1", "DS90C241IVS")</f>
        <v>DS90C241IVS</v>
      </c>
      <c r="B9979" s="3" t="str">
        <f>HYPERLINK("https://www.773grp.com/manufacturer/national-semiconductor?pageNo=62", "National Semiconductor")</f>
        <v>National Semiconductor</v>
      </c>
      <c r="C9979" s="6">
        <v>218</v>
      </c>
      <c r="D9979" s="7">
        <v>16.04</v>
      </c>
      <c r="E9979" t="s">
        <v>21</v>
      </c>
    </row>
    <row r="9980" spans="1:5" x14ac:dyDescent="0.25">
      <c r="A9980" t="str">
        <f>HYPERLINK("https://www.773grp.com/globalSearch/DS90CR283MTD/page-1", "DS90CR283MTD")</f>
        <v>DS90CR283MTD</v>
      </c>
      <c r="B9980" s="3" t="str">
        <f>HYPERLINK("https://www.773grp.com/manufacturer/national-semiconductor?pageNo=63", "National Semiconductor")</f>
        <v>National Semiconductor</v>
      </c>
      <c r="C9980" s="6">
        <v>15</v>
      </c>
      <c r="D9980" s="7">
        <v>16.04</v>
      </c>
      <c r="E9980" t="s">
        <v>21</v>
      </c>
    </row>
    <row r="9981" spans="1:5" x14ac:dyDescent="0.25">
      <c r="A9981" t="str">
        <f>HYPERLINK("https://www.773grp.com/globalSearch/DS90CR283MTDX/page-1", "DS90CR283MTDX")</f>
        <v>DS90CR283MTDX</v>
      </c>
      <c r="B9981" s="3" t="str">
        <f>HYPERLINK("https://www.773grp.com/manufacturer/national-semiconductor?pageNo=64", "National Semiconductor")</f>
        <v>National Semiconductor</v>
      </c>
      <c r="C9981" s="6">
        <v>61</v>
      </c>
      <c r="D9981" s="7">
        <v>16.04</v>
      </c>
      <c r="E9981" t="s">
        <v>21</v>
      </c>
    </row>
    <row r="9982" spans="1:5" x14ac:dyDescent="0.25">
      <c r="A9982" t="str">
        <f>HYPERLINK("https://www.773grp.com/globalSearch/DS90CR284MTD/page-1", "DS90CR284MTD")</f>
        <v>DS90CR284MTD</v>
      </c>
      <c r="B9982" s="3" t="str">
        <f>HYPERLINK("https://www.773grp.com/manufacturer/national-semiconductor?pageNo=65", "National Semiconductor")</f>
        <v>National Semiconductor</v>
      </c>
      <c r="C9982" s="6">
        <v>1</v>
      </c>
      <c r="D9982" s="7">
        <v>16.04</v>
      </c>
      <c r="E9982" t="s">
        <v>21</v>
      </c>
    </row>
    <row r="9983" spans="1:5" x14ac:dyDescent="0.25">
      <c r="A9983" t="str">
        <f>HYPERLINK("https://www.773grp.com/globalSearch/DS90UR241IVS/page-1", "DS90UR241IVS")</f>
        <v>DS90UR241IVS</v>
      </c>
      <c r="B9983" s="3" t="str">
        <f>HYPERLINK("https://www.773grp.com/manufacturer/national-semiconductor?pageNo=66", "National Semiconductor")</f>
        <v>National Semiconductor</v>
      </c>
      <c r="C9983" s="6">
        <v>150</v>
      </c>
      <c r="D9983" s="7">
        <v>16.04</v>
      </c>
      <c r="E9983" t="s">
        <v>21</v>
      </c>
    </row>
    <row r="9984" spans="1:5" x14ac:dyDescent="0.25">
      <c r="A9984" t="str">
        <f>HYPERLINK("https://www.773grp.com/globalSearch/FPD80205AXCYB/page-1", "FPD80205AXCYB")</f>
        <v>FPD80205AXCYB</v>
      </c>
      <c r="B9984" s="3" t="str">
        <f>HYPERLINK("https://www.773grp.com/manufacturer/national-semiconductor?pageNo=67", "National Semiconductor")</f>
        <v>National Semiconductor</v>
      </c>
      <c r="C9984" s="6">
        <v>160</v>
      </c>
      <c r="D9984" s="7">
        <v>16.04</v>
      </c>
    </row>
    <row r="9985" spans="1:5" x14ac:dyDescent="0.25">
      <c r="A9985" t="str">
        <f>HYPERLINK("https://www.773grp.com/globalSearch/LF156H-NOPB/page-1", "LF156H-NOPB")</f>
        <v>LF156H-NOPB</v>
      </c>
      <c r="B9985" s="3" t="str">
        <f>HYPERLINK("https://www.773grp.com/manufacturer/national-semiconductor?pageNo=68", "National Semiconductor")</f>
        <v>National Semiconductor</v>
      </c>
      <c r="C9985" s="6">
        <v>1218</v>
      </c>
      <c r="D9985" s="7">
        <v>16.04</v>
      </c>
      <c r="E9985" t="s">
        <v>13</v>
      </c>
    </row>
    <row r="9986" spans="1:5" x14ac:dyDescent="0.25">
      <c r="A9986" t="str">
        <f>HYPERLINK("https://www.773grp.com/globalSearch/MM54HC688J-883/page-1", "MM54HC688J-883")</f>
        <v>MM54HC688J-883</v>
      </c>
      <c r="B9986" s="3" t="str">
        <f>HYPERLINK("https://www.773grp.com/manufacturer/national-semiconductor?pageNo=69", "National Semiconductor")</f>
        <v>National Semiconductor</v>
      </c>
      <c r="C9986" s="6">
        <v>74</v>
      </c>
      <c r="D9986" s="7">
        <v>16.04</v>
      </c>
    </row>
    <row r="9987" spans="1:5" x14ac:dyDescent="0.25">
      <c r="A9987" t="str">
        <f>HYPERLINK("https://www.773grp.com/globalSearch/LF156H/page-1", "LF156H")</f>
        <v>LF156H</v>
      </c>
      <c r="B9987" s="3" t="str">
        <f>HYPERLINK("https://www.773grp.com/manufacturer/national-semiconductor?pageNo=70", "National Semiconductor")</f>
        <v>National Semiconductor</v>
      </c>
      <c r="C9987" s="6">
        <v>160</v>
      </c>
      <c r="D9987" s="7">
        <v>16.04</v>
      </c>
    </row>
    <row r="9988" spans="1:5" x14ac:dyDescent="0.25">
      <c r="A9988" t="str">
        <f>HYPERLINK("https://www.773grp.com/globalSearch/LF156H-NOPB/page-1", "LF156H-NOPB")</f>
        <v>LF156H-NOPB</v>
      </c>
      <c r="B9988" s="3" t="str">
        <f>HYPERLINK("https://www.773grp.com/manufacturer/national-semiconductor?pageNo=71", "National Semiconductor")</f>
        <v>National Semiconductor</v>
      </c>
      <c r="C9988" s="6">
        <v>5</v>
      </c>
      <c r="D9988" s="7">
        <v>16.04</v>
      </c>
      <c r="E9988" t="s">
        <v>13</v>
      </c>
    </row>
    <row r="9989" spans="1:5" x14ac:dyDescent="0.25">
      <c r="A9989" t="str">
        <f>HYPERLINK("https://www.773grp.com/globalSearch/TLC2543IFN/page-1", "TLC2543IFN")</f>
        <v>TLC2543IFN</v>
      </c>
      <c r="B9989" s="3" t="str">
        <f>HYPERLINK("https://www.773grp.com/manufacturer/national-semiconductor?pageNo=72", "National Semiconductor")</f>
        <v>National Semiconductor</v>
      </c>
      <c r="C9989" s="6">
        <v>1702</v>
      </c>
      <c r="D9989" s="7">
        <v>16.04</v>
      </c>
    </row>
    <row r="9990" spans="1:5" x14ac:dyDescent="0.25">
      <c r="A9990" t="str">
        <f>HYPERLINK("https://www.773grp.com/globalSearch/DS90UR907QSQ-NOPB/page-1", "DS90UR907QSQ-NOPB")</f>
        <v>DS90UR907QSQ-NOPB</v>
      </c>
      <c r="B9990" s="3" t="str">
        <f>HYPERLINK("https://www.773grp.com/manufacturer/national-semiconductor?pageNo=73", "National Semiconductor")</f>
        <v>National Semiconductor</v>
      </c>
      <c r="C9990" s="6">
        <v>2000</v>
      </c>
      <c r="D9990" s="7">
        <v>16.059999999999999</v>
      </c>
    </row>
    <row r="9991" spans="1:5" x14ac:dyDescent="0.25">
      <c r="A9991" t="str">
        <f>HYPERLINK("https://www.773grp.com/globalSearch/100250DC/page-1", "100250DC")</f>
        <v>100250DC</v>
      </c>
      <c r="B9991" s="3" t="str">
        <f>HYPERLINK("https://www.773grp.com/manufacturer/national-semiconductor?pageNo=74", "National Semiconductor")</f>
        <v>National Semiconductor</v>
      </c>
      <c r="C9991" s="6">
        <v>80</v>
      </c>
      <c r="D9991" s="7">
        <v>16.09</v>
      </c>
      <c r="E9991" t="s">
        <v>21</v>
      </c>
    </row>
    <row r="9992" spans="1:5" x14ac:dyDescent="0.25">
      <c r="A9992" t="str">
        <f>HYPERLINK("https://www.773grp.com/globalSearch/40193BDM/page-1", "40193BDM")</f>
        <v>40193BDM</v>
      </c>
      <c r="B9992" s="3" t="str">
        <f>HYPERLINK("https://www.773grp.com/manufacturer/national-semiconductor?pageNo=75", "National Semiconductor")</f>
        <v>National Semiconductor</v>
      </c>
      <c r="C9992" s="6">
        <v>589</v>
      </c>
      <c r="D9992" s="7">
        <v>16.09</v>
      </c>
    </row>
    <row r="9993" spans="1:5" x14ac:dyDescent="0.25">
      <c r="A9993" t="str">
        <f>HYPERLINK("https://www.773grp.com/globalSearch/93S42PC/page-1", "93S42PC")</f>
        <v>93S42PC</v>
      </c>
      <c r="B9993" s="3" t="str">
        <f>HYPERLINK("https://www.773grp.com/manufacturer/national-semiconductor?pageNo=76", "National Semiconductor")</f>
        <v>National Semiconductor</v>
      </c>
      <c r="C9993" s="6">
        <v>570</v>
      </c>
      <c r="D9993" s="7">
        <v>16.149999999999999</v>
      </c>
    </row>
    <row r="9994" spans="1:5" x14ac:dyDescent="0.25">
      <c r="A9994" t="str">
        <f>HYPERLINK("https://www.773grp.com/globalSearch/DS92LX2122SQE-NOPB/page-1", "DS92LX2122SQE-NOPB")</f>
        <v>DS92LX2122SQE-NOPB</v>
      </c>
      <c r="B9994" s="3" t="str">
        <f>HYPERLINK("https://www.773grp.com/manufacturer/national-semiconductor?pageNo=77", "National Semiconductor")</f>
        <v>National Semiconductor</v>
      </c>
      <c r="C9994" s="6">
        <v>5200</v>
      </c>
      <c r="D9994" s="7">
        <v>16.149999999999999</v>
      </c>
      <c r="E9994" t="s">
        <v>21</v>
      </c>
    </row>
    <row r="9995" spans="1:5" x14ac:dyDescent="0.25">
      <c r="A9995" t="str">
        <f>HYPERLINK("https://www.773grp.com/globalSearch/DS92LX2121SQE-NOPB/page-1", "DS92LX2121SQE-NOPB")</f>
        <v>DS92LX2121SQE-NOPB</v>
      </c>
      <c r="B9995" s="3" t="str">
        <f>HYPERLINK("https://www.773grp.com/manufacturer/national-semiconductor?pageNo=78", "National Semiconductor")</f>
        <v>National Semiconductor</v>
      </c>
      <c r="C9995" s="6">
        <v>650</v>
      </c>
      <c r="D9995" s="7">
        <v>16.149999999999999</v>
      </c>
    </row>
    <row r="9996" spans="1:5" x14ac:dyDescent="0.25">
      <c r="A9996" t="str">
        <f>HYPERLINK("https://www.773grp.com/globalSearch/DS92LX2122SQE-NOPB/page-1", "DS92LX2122SQE-NOPB")</f>
        <v>DS92LX2122SQE-NOPB</v>
      </c>
      <c r="B9996" s="3" t="str">
        <f>HYPERLINK("https://www.773grp.com/manufacturer/national-semiconductor?pageNo=79", "National Semiconductor")</f>
        <v>National Semiconductor</v>
      </c>
      <c r="C9996" s="6">
        <v>300</v>
      </c>
      <c r="D9996" s="7">
        <v>16.149999999999999</v>
      </c>
      <c r="E9996" t="s">
        <v>21</v>
      </c>
    </row>
    <row r="9997" spans="1:5" x14ac:dyDescent="0.25">
      <c r="A9997" t="str">
        <f>HYPERLINK("https://www.773grp.com/globalSearch/DS92LX2122SQE-NOPB/page-1", "DS92LX2122SQE-NOPB")</f>
        <v>DS92LX2122SQE-NOPB</v>
      </c>
      <c r="B9997" s="3" t="str">
        <f>HYPERLINK("https://www.773grp.com/manufacturer/national-semiconductor?pageNo=80", "National Semiconductor")</f>
        <v>National Semiconductor</v>
      </c>
      <c r="C9997" s="6">
        <v>30</v>
      </c>
      <c r="D9997" s="7">
        <v>16.149999999999999</v>
      </c>
      <c r="E9997" t="s">
        <v>21</v>
      </c>
    </row>
    <row r="9998" spans="1:5" x14ac:dyDescent="0.25">
      <c r="A9998" t="str">
        <f>HYPERLINK("https://www.773grp.com/globalSearch/54F379DC/page-1", "54F379DC")</f>
        <v>54F379DC</v>
      </c>
      <c r="B9998" s="3" t="str">
        <f>HYPERLINK("https://www.773grp.com/manufacturer/national-semiconductor?pageNo=81", "National Semiconductor")</f>
        <v>National Semiconductor</v>
      </c>
      <c r="C9998" s="6">
        <v>2059</v>
      </c>
      <c r="D9998" s="7">
        <v>16.16</v>
      </c>
      <c r="E9998" t="s">
        <v>35</v>
      </c>
    </row>
    <row r="9999" spans="1:5" x14ac:dyDescent="0.25">
      <c r="A9999" t="str">
        <f>HYPERLINK("https://www.773grp.com/globalSearch/54F379DM/page-1", "54F379DM")</f>
        <v>54F379DM</v>
      </c>
      <c r="B9999" s="3" t="str">
        <f>HYPERLINK("https://www.773grp.com/manufacturer/national-semiconductor?pageNo=82", "National Semiconductor")</f>
        <v>National Semiconductor</v>
      </c>
      <c r="C9999" s="6">
        <v>275</v>
      </c>
      <c r="D9999" s="7">
        <v>16.16</v>
      </c>
      <c r="E9999" t="s">
        <v>35</v>
      </c>
    </row>
    <row r="10000" spans="1:5" x14ac:dyDescent="0.25">
      <c r="A10000" t="str">
        <f>HYPERLINK("https://www.773grp.com/globalSearch/54F379FMQB/page-1", "54F379FMQB")</f>
        <v>54F379FMQB</v>
      </c>
      <c r="B10000" s="3" t="str">
        <f>HYPERLINK("https://www.773grp.com/manufacturer/national-semiconductor?pageNo=83", "National Semiconductor")</f>
        <v>National Semiconductor</v>
      </c>
      <c r="C10000" s="6">
        <v>303</v>
      </c>
      <c r="D10000" s="7">
        <v>16.16</v>
      </c>
      <c r="E10000" t="s">
        <v>35</v>
      </c>
    </row>
    <row r="10001" spans="1:5" x14ac:dyDescent="0.25">
      <c r="A10001" t="str">
        <f>HYPERLINK("https://www.773grp.com/globalSearch/9312DM/page-1", "9312DM")</f>
        <v>9312DM</v>
      </c>
      <c r="B10001" s="3" t="str">
        <f>HYPERLINK("https://www.773grp.com/manufacturer/national-semiconductor?pageNo=84", "National Semiconductor")</f>
        <v>National Semiconductor</v>
      </c>
      <c r="C10001" s="6">
        <v>7</v>
      </c>
      <c r="D10001" s="7">
        <v>16.16</v>
      </c>
      <c r="E10001" t="s">
        <v>20</v>
      </c>
    </row>
    <row r="10002" spans="1:5" x14ac:dyDescent="0.25">
      <c r="A10002" t="str">
        <f>HYPERLINK("https://www.773grp.com/globalSearch/DM85L93N/page-1", "DM85L93N")</f>
        <v>DM85L93N</v>
      </c>
      <c r="B10002" s="3" t="str">
        <f>HYPERLINK("https://www.773grp.com/manufacturer/national-semiconductor?pageNo=85", "National Semiconductor")</f>
        <v>National Semiconductor</v>
      </c>
      <c r="C10002" s="6">
        <v>3323</v>
      </c>
      <c r="D10002" s="7">
        <v>16.16</v>
      </c>
    </row>
    <row r="10003" spans="1:5" x14ac:dyDescent="0.25">
      <c r="A10003" t="str">
        <f>HYPERLINK("https://www.773grp.com/globalSearch/LM604ACM/page-1", "LM604ACM")</f>
        <v>LM604ACM</v>
      </c>
      <c r="B10003" s="3" t="str">
        <f>HYPERLINK("https://www.773grp.com/manufacturer/national-semiconductor?pageNo=86", "National Semiconductor")</f>
        <v>National Semiconductor</v>
      </c>
      <c r="C10003" s="6">
        <v>419</v>
      </c>
      <c r="D10003" s="7">
        <v>16.16</v>
      </c>
      <c r="E10003" t="s">
        <v>13</v>
      </c>
    </row>
    <row r="10004" spans="1:5" x14ac:dyDescent="0.25">
      <c r="A10004" t="str">
        <f>HYPERLINK("https://www.773grp.com/globalSearch/LMK00308SQE-NOPB/page-1", "LMK00308SQE-NOPB")</f>
        <v>LMK00308SQE-NOPB</v>
      </c>
      <c r="B10004" s="3" t="str">
        <f>HYPERLINK("https://www.773grp.com/manufacturer/national-semiconductor?pageNo=87", "National Semiconductor")</f>
        <v>National Semiconductor</v>
      </c>
      <c r="C10004" s="6">
        <v>236</v>
      </c>
      <c r="D10004" s="7">
        <v>16.16</v>
      </c>
    </row>
    <row r="10005" spans="1:5" x14ac:dyDescent="0.25">
      <c r="A10005" t="str">
        <f>HYPERLINK("https://www.773grp.com/globalSearch/OPA547T/page-1", "OPA547T")</f>
        <v>OPA547T</v>
      </c>
      <c r="B10005" s="3" t="str">
        <f>HYPERLINK("https://www.773grp.com/manufacturer/national-semiconductor?pageNo=88", "National Semiconductor")</f>
        <v>National Semiconductor</v>
      </c>
      <c r="C10005" s="6">
        <v>100</v>
      </c>
      <c r="D10005" s="7">
        <v>16.16</v>
      </c>
    </row>
    <row r="10006" spans="1:5" x14ac:dyDescent="0.25">
      <c r="A10006" t="str">
        <f>HYPERLINK("https://www.773grp.com/globalSearch/OPA547T-1/page-1", "OPA547T-1")</f>
        <v>OPA547T-1</v>
      </c>
      <c r="B10006" s="3" t="str">
        <f>HYPERLINK("https://www.773grp.com/manufacturer/national-semiconductor?pageNo=89", "National Semiconductor")</f>
        <v>National Semiconductor</v>
      </c>
      <c r="C10006" s="6">
        <v>250</v>
      </c>
      <c r="D10006" s="7">
        <v>16.16</v>
      </c>
    </row>
    <row r="10007" spans="1:5" x14ac:dyDescent="0.25">
      <c r="A10007" t="str">
        <f>HYPERLINK("https://www.773grp.com/globalSearch/ADC0801LCN-NOPB/page-1", "ADC0801LCN-NOPB")</f>
        <v>ADC0801LCN-NOPB</v>
      </c>
      <c r="B10007" s="3" t="str">
        <f>HYPERLINK("https://www.773grp.com/manufacturer/national-semiconductor?pageNo=90", "National Semiconductor")</f>
        <v>National Semiconductor</v>
      </c>
      <c r="C10007" s="6">
        <v>15</v>
      </c>
      <c r="D10007" s="7">
        <v>16.2</v>
      </c>
      <c r="E10007" t="s">
        <v>39</v>
      </c>
    </row>
    <row r="10008" spans="1:5" x14ac:dyDescent="0.25">
      <c r="A10008" t="str">
        <f>HYPERLINK("https://www.773grp.com/globalSearch/SCAN92LV090VEH-NOPB/page-1", "SCAN92LV090VEH-NOPB")</f>
        <v>SCAN92LV090VEH-NOPB</v>
      </c>
      <c r="B10008" s="3" t="str">
        <f>HYPERLINK("https://www.773grp.com/manufacturer/national-semiconductor?pageNo=91", "National Semiconductor")</f>
        <v>National Semiconductor</v>
      </c>
      <c r="C10008" s="6">
        <v>729</v>
      </c>
      <c r="D10008" s="7">
        <v>16.2</v>
      </c>
      <c r="E10008" t="s">
        <v>21</v>
      </c>
    </row>
    <row r="10009" spans="1:5" x14ac:dyDescent="0.25">
      <c r="A10009" t="str">
        <f>HYPERLINK("https://www.773grp.com/globalSearch/LMC6001BIN-NOPB/page-1", "LMC6001BIN-NOPB")</f>
        <v>LMC6001BIN-NOPB</v>
      </c>
      <c r="B10009" s="3" t="str">
        <f>HYPERLINK("https://www.773grp.com/manufacturer/national-semiconductor?pageNo=92", "National Semiconductor")</f>
        <v>National Semiconductor</v>
      </c>
      <c r="C10009" s="6">
        <v>50</v>
      </c>
      <c r="D10009" s="7">
        <v>16.2</v>
      </c>
    </row>
    <row r="10010" spans="1:5" x14ac:dyDescent="0.25">
      <c r="A10010" t="str">
        <f>HYPERLINK("https://www.773grp.com/globalSearch/SCAN92LV090VEH-NOPB/page-1", "SCAN92LV090VEH-NOPB")</f>
        <v>SCAN92LV090VEH-NOPB</v>
      </c>
      <c r="B10010" s="3" t="str">
        <f>HYPERLINK("https://www.773grp.com/manufacturer/national-semiconductor?pageNo=93", "National Semiconductor")</f>
        <v>National Semiconductor</v>
      </c>
      <c r="C10010" s="6">
        <v>1105</v>
      </c>
      <c r="D10010" s="7">
        <v>16.2</v>
      </c>
      <c r="E10010" t="s">
        <v>21</v>
      </c>
    </row>
    <row r="10011" spans="1:5" x14ac:dyDescent="0.25">
      <c r="A10011" t="str">
        <f>HYPERLINK("https://www.773grp.com/globalSearch/40163BDM/page-1", "40163BDM")</f>
        <v>40163BDM</v>
      </c>
      <c r="B10011" s="3" t="str">
        <f>HYPERLINK("https://www.773grp.com/manufacturer/national-semiconductor?pageNo=94", "National Semiconductor")</f>
        <v>National Semiconductor</v>
      </c>
      <c r="C10011" s="6">
        <v>1637</v>
      </c>
      <c r="D10011" s="7">
        <v>16.239999999999998</v>
      </c>
    </row>
    <row r="10012" spans="1:5" x14ac:dyDescent="0.25">
      <c r="A10012" t="str">
        <f>HYPERLINK("https://www.773grp.com/globalSearch/4528BDM/page-1", "4528BDM")</f>
        <v>4528BDM</v>
      </c>
      <c r="B10012" s="3" t="str">
        <f>HYPERLINK("https://www.773grp.com/manufacturer/national-semiconductor?pageNo=95", "National Semiconductor")</f>
        <v>National Semiconductor</v>
      </c>
      <c r="C10012" s="6">
        <v>20356</v>
      </c>
      <c r="D10012" s="7">
        <v>16.239999999999998</v>
      </c>
      <c r="E10012" t="s">
        <v>54</v>
      </c>
    </row>
    <row r="10013" spans="1:5" x14ac:dyDescent="0.25">
      <c r="A10013" t="str">
        <f>HYPERLINK("https://www.773grp.com/globalSearch/4528BDMQB/page-1", "4528BDMQB")</f>
        <v>4528BDMQB</v>
      </c>
      <c r="B10013" s="3" t="str">
        <f>HYPERLINK("https://www.773grp.com/manufacturer/national-semiconductor?pageNo=96", "National Semiconductor")</f>
        <v>National Semiconductor</v>
      </c>
      <c r="C10013" s="6">
        <v>5786</v>
      </c>
      <c r="D10013" s="7">
        <v>16.239999999999998</v>
      </c>
    </row>
    <row r="10014" spans="1:5" x14ac:dyDescent="0.25">
      <c r="A10014" t="str">
        <f>HYPERLINK("https://www.773grp.com/globalSearch/LMH0002MA/page-1", "LMH0002MA")</f>
        <v>LMH0002MA</v>
      </c>
      <c r="B10014" s="3" t="str">
        <f>HYPERLINK("https://www.773grp.com/manufacturer/national-semiconductor?pageNo=97", "National Semiconductor")</f>
        <v>National Semiconductor</v>
      </c>
      <c r="C10014" s="6">
        <v>131</v>
      </c>
      <c r="D10014" s="7">
        <v>16.239999999999998</v>
      </c>
      <c r="E10014" t="s">
        <v>21</v>
      </c>
    </row>
    <row r="10015" spans="1:5" x14ac:dyDescent="0.25">
      <c r="A10015" t="str">
        <f>HYPERLINK("https://www.773grp.com/globalSearch/UA55452BRM/page-1", "UA55452BRM")</f>
        <v>UA55452BRM</v>
      </c>
      <c r="B10015" s="3" t="str">
        <f>HYPERLINK("https://www.773grp.com/manufacturer/national-semiconductor?pageNo=98", "National Semiconductor")</f>
        <v>National Semiconductor</v>
      </c>
      <c r="C10015" s="6">
        <v>40</v>
      </c>
      <c r="D10015" s="7">
        <v>16.239999999999998</v>
      </c>
    </row>
    <row r="10016" spans="1:5" x14ac:dyDescent="0.25">
      <c r="A10016" t="str">
        <f>HYPERLINK("https://www.773grp.com/globalSearch/LMH0002MA/page-1", "LMH0002MA")</f>
        <v>LMH0002MA</v>
      </c>
      <c r="B10016" s="3" t="str">
        <f>HYPERLINK("https://www.773grp.com/manufacturer/national-semiconductor?pageNo=99", "National Semiconductor")</f>
        <v>National Semiconductor</v>
      </c>
      <c r="C10016" s="6">
        <v>39763</v>
      </c>
      <c r="D10016" s="7">
        <v>16.239999999999998</v>
      </c>
      <c r="E10016" t="s">
        <v>21</v>
      </c>
    </row>
    <row r="10017" spans="1:5" x14ac:dyDescent="0.25">
      <c r="A10017" t="str">
        <f>HYPERLINK("https://www.773grp.com/globalSearch/100151DC/page-1", "100151DC")</f>
        <v>100151DC</v>
      </c>
      <c r="B10017" s="3" t="str">
        <f>HYPERLINK("https://www.773grp.com/manufacturer/national-semiconductor?pageNo=100", "National Semiconductor")</f>
        <v>National Semiconductor</v>
      </c>
      <c r="C10017" s="6">
        <v>979</v>
      </c>
      <c r="D10017" s="7">
        <v>16.25</v>
      </c>
      <c r="E10017" t="s">
        <v>35</v>
      </c>
    </row>
    <row r="10018" spans="1:5" x14ac:dyDescent="0.25">
      <c r="A10018" t="str">
        <f>HYPERLINK("https://www.773grp.com/globalSearch/SCAN921023SLC/page-1", "SCAN921023SLC")</f>
        <v>SCAN921023SLC</v>
      </c>
      <c r="B10018" s="3" t="str">
        <f>HYPERLINK("https://www.773grp.com/manufacturer/national-semiconductor?pageNo=101", "National Semiconductor")</f>
        <v>National Semiconductor</v>
      </c>
      <c r="C10018" s="6">
        <v>135</v>
      </c>
      <c r="D10018" s="7">
        <v>16.25</v>
      </c>
      <c r="E10018" t="s">
        <v>74</v>
      </c>
    </row>
    <row r="10019" spans="1:5" x14ac:dyDescent="0.25">
      <c r="A10019" t="str">
        <f>HYPERLINK("https://www.773grp.com/globalSearch/SCAN921224SLC/page-1", "SCAN921224SLC")</f>
        <v>SCAN921224SLC</v>
      </c>
      <c r="B10019" s="3" t="str">
        <f>HYPERLINK("https://www.773grp.com/manufacturer/national-semiconductor?pageNo=102", "National Semiconductor")</f>
        <v>National Semiconductor</v>
      </c>
      <c r="C10019" s="6">
        <v>159</v>
      </c>
      <c r="D10019" s="7">
        <v>16.25</v>
      </c>
      <c r="E10019" t="s">
        <v>74</v>
      </c>
    </row>
    <row r="10020" spans="1:5" x14ac:dyDescent="0.25">
      <c r="A10020" t="str">
        <f>HYPERLINK("https://www.773grp.com/globalSearch/DS14C237TWM/page-1", "DS14C237TWM")</f>
        <v>DS14C237TWM</v>
      </c>
      <c r="B10020" s="3" t="str">
        <f>HYPERLINK("https://www.773grp.com/manufacturer/national-semiconductor?pageNo=103", "National Semiconductor")</f>
        <v>National Semiconductor</v>
      </c>
      <c r="C10020" s="6">
        <v>50</v>
      </c>
      <c r="D10020" s="7">
        <v>16.309999999999999</v>
      </c>
      <c r="E10020" t="s">
        <v>21</v>
      </c>
    </row>
    <row r="10021" spans="1:5" x14ac:dyDescent="0.25">
      <c r="A10021" t="str">
        <f>HYPERLINK("https://www.773grp.com/globalSearch/DS14C237TWMX/page-1", "DS14C237TWMX")</f>
        <v>DS14C237TWMX</v>
      </c>
      <c r="B10021" s="3" t="str">
        <f>HYPERLINK("https://www.773grp.com/manufacturer/national-semiconductor?pageNo=104", "National Semiconductor")</f>
        <v>National Semiconductor</v>
      </c>
      <c r="C10021" s="6">
        <v>1000</v>
      </c>
      <c r="D10021" s="7">
        <v>16.309999999999999</v>
      </c>
      <c r="E10021" t="s">
        <v>21</v>
      </c>
    </row>
    <row r="10022" spans="1:5" x14ac:dyDescent="0.25">
      <c r="A10022" t="str">
        <f>HYPERLINK("https://www.773grp.com/globalSearch/DS14C238TWMX/page-1", "DS14C238TWMX")</f>
        <v>DS14C238TWMX</v>
      </c>
      <c r="B10022" s="3" t="str">
        <f>HYPERLINK("https://www.773grp.com/manufacturer/national-semiconductor?pageNo=105", "National Semiconductor")</f>
        <v>National Semiconductor</v>
      </c>
      <c r="C10022" s="6">
        <v>4000</v>
      </c>
      <c r="D10022" s="7">
        <v>16.309999999999999</v>
      </c>
      <c r="E10022" t="s">
        <v>21</v>
      </c>
    </row>
    <row r="10023" spans="1:5" x14ac:dyDescent="0.25">
      <c r="A10023" t="str">
        <f>HYPERLINK("https://www.773grp.com/globalSearch/DS14C239N/page-1", "DS14C239N")</f>
        <v>DS14C239N</v>
      </c>
      <c r="B10023" s="3" t="str">
        <f>HYPERLINK("https://www.773grp.com/manufacturer/national-semiconductor?pageNo=106", "National Semiconductor")</f>
        <v>National Semiconductor</v>
      </c>
      <c r="C10023" s="6">
        <v>1140</v>
      </c>
      <c r="D10023" s="7">
        <v>16.309999999999999</v>
      </c>
      <c r="E10023" t="s">
        <v>21</v>
      </c>
    </row>
    <row r="10024" spans="1:5" x14ac:dyDescent="0.25">
      <c r="A10024" t="str">
        <f>HYPERLINK("https://www.773grp.com/globalSearch/DS14C239TN/page-1", "DS14C239TN")</f>
        <v>DS14C239TN</v>
      </c>
      <c r="B10024" s="3" t="str">
        <f>HYPERLINK("https://www.773grp.com/manufacturer/national-semiconductor?pageNo=107", "National Semiconductor")</f>
        <v>National Semiconductor</v>
      </c>
      <c r="C10024" s="6">
        <v>1440</v>
      </c>
      <c r="D10024" s="7">
        <v>16.309999999999999</v>
      </c>
      <c r="E10024" t="s">
        <v>21</v>
      </c>
    </row>
    <row r="10025" spans="1:5" x14ac:dyDescent="0.25">
      <c r="A10025" t="str">
        <f>HYPERLINK("https://www.773grp.com/globalSearch/LM111J-8-NOPB/page-1", "LM111J-8-NOPB")</f>
        <v>LM111J-8-NOPB</v>
      </c>
      <c r="B10025" s="3" t="str">
        <f>HYPERLINK("https://www.773grp.com/manufacturer/national-semiconductor?pageNo=108", "National Semiconductor")</f>
        <v>National Semiconductor</v>
      </c>
      <c r="C10025" s="6">
        <v>20</v>
      </c>
      <c r="D10025" s="7">
        <v>16.309999999999999</v>
      </c>
      <c r="E10025" t="s">
        <v>9</v>
      </c>
    </row>
    <row r="10026" spans="1:5" x14ac:dyDescent="0.25">
      <c r="A10026" t="str">
        <f>HYPERLINK("https://www.773grp.com/globalSearch/INA111AU/page-1", "INA111AU")</f>
        <v>INA111AU</v>
      </c>
      <c r="B10026" s="3" t="str">
        <f>HYPERLINK("https://www.773grp.com/manufacturer/national-semiconductor?pageNo=109", "National Semiconductor")</f>
        <v>National Semiconductor</v>
      </c>
      <c r="C10026" s="6">
        <v>920</v>
      </c>
      <c r="D10026" s="7">
        <v>16.309999999999999</v>
      </c>
    </row>
    <row r="10027" spans="1:5" x14ac:dyDescent="0.25">
      <c r="A10027" t="str">
        <f>HYPERLINK("https://www.773grp.com/globalSearch/TLV2542CDGK/page-1", "TLV2542CDGK")</f>
        <v>TLV2542CDGK</v>
      </c>
      <c r="B10027" s="3" t="str">
        <f>HYPERLINK("https://www.773grp.com/manufacturer/national-semiconductor?pageNo=110", "National Semiconductor")</f>
        <v>National Semiconductor</v>
      </c>
      <c r="C10027" s="6">
        <v>640</v>
      </c>
      <c r="D10027" s="7">
        <v>16.309999999999999</v>
      </c>
    </row>
    <row r="10028" spans="1:5" x14ac:dyDescent="0.25">
      <c r="A10028" t="str">
        <f>HYPERLINK("https://www.773grp.com/globalSearch/93L09/page-1", "93L09")</f>
        <v>93L09</v>
      </c>
      <c r="B10028" s="3" t="str">
        <f>HYPERLINK("https://www.773grp.com/manufacturer/national-semiconductor?pageNo=111", "National Semiconductor")</f>
        <v>National Semiconductor</v>
      </c>
      <c r="C10028" s="6">
        <v>19</v>
      </c>
      <c r="D10028" s="7">
        <v>16.34</v>
      </c>
    </row>
    <row r="10029" spans="1:5" x14ac:dyDescent="0.25">
      <c r="A10029" t="str">
        <f>HYPERLINK("https://www.773grp.com/globalSearch/LM136H-2.5-NOPB/page-1", "LM136H-2.5-NOPB")</f>
        <v>LM136H-2.5-NOPB</v>
      </c>
      <c r="B10029" s="3" t="str">
        <f>HYPERLINK("https://www.773grp.com/manufacturer/national-semiconductor?pageNo=112", "National Semiconductor")</f>
        <v>National Semiconductor</v>
      </c>
      <c r="C10029" s="6">
        <v>1089</v>
      </c>
      <c r="D10029" s="7">
        <v>16.34</v>
      </c>
      <c r="E10029" t="s">
        <v>17</v>
      </c>
    </row>
    <row r="10030" spans="1:5" x14ac:dyDescent="0.25">
      <c r="A10030" t="str">
        <f>HYPERLINK("https://www.773grp.com/globalSearch/LM136H-5.0/page-1", "LM136H-5.0")</f>
        <v>LM136H-5.0</v>
      </c>
      <c r="B10030" s="3" t="str">
        <f>HYPERLINK("https://www.773grp.com/manufacturer/national-semiconductor?pageNo=113", "National Semiconductor")</f>
        <v>National Semiconductor</v>
      </c>
      <c r="C10030" s="6">
        <v>333</v>
      </c>
      <c r="D10030" s="7">
        <v>16.34</v>
      </c>
      <c r="E10030" t="s">
        <v>17</v>
      </c>
    </row>
    <row r="10031" spans="1:5" x14ac:dyDescent="0.25">
      <c r="A10031" t="str">
        <f>HYPERLINK("https://www.773grp.com/globalSearch/LM136H-5.0-NOPB/page-1", "LM136H-5.0-NOPB")</f>
        <v>LM136H-5.0-NOPB</v>
      </c>
      <c r="B10031" s="3" t="str">
        <f>HYPERLINK("https://www.773grp.com/manufacturer/national-semiconductor?pageNo=114", "National Semiconductor")</f>
        <v>National Semiconductor</v>
      </c>
      <c r="C10031" s="6">
        <v>1212</v>
      </c>
      <c r="D10031" s="7">
        <v>16.34</v>
      </c>
    </row>
    <row r="10032" spans="1:5" x14ac:dyDescent="0.25">
      <c r="A10032" t="str">
        <f>HYPERLINK("https://www.773grp.com/globalSearch/LM136H-2.5-NOPB/page-1", "LM136H-2.5-NOPB")</f>
        <v>LM136H-2.5-NOPB</v>
      </c>
      <c r="B10032" s="3" t="str">
        <f>HYPERLINK("https://www.773grp.com/manufacturer/national-semiconductor?pageNo=115", "National Semiconductor")</f>
        <v>National Semiconductor</v>
      </c>
      <c r="C10032" s="6">
        <v>4434</v>
      </c>
      <c r="D10032" s="7">
        <v>16.34</v>
      </c>
      <c r="E10032" t="s">
        <v>17</v>
      </c>
    </row>
    <row r="10033" spans="1:5" x14ac:dyDescent="0.25">
      <c r="A10033" t="str">
        <f>HYPERLINK("https://www.773grp.com/globalSearch/LM136H-5.0-NOPB/page-1", "LM136H-5.0-NOPB")</f>
        <v>LM136H-5.0-NOPB</v>
      </c>
      <c r="B10033" s="3" t="str">
        <f>HYPERLINK("https://www.773grp.com/manufacturer/national-semiconductor?pageNo=116", "National Semiconductor")</f>
        <v>National Semiconductor</v>
      </c>
      <c r="C10033" s="6">
        <v>1000</v>
      </c>
      <c r="D10033" s="7">
        <v>16.34</v>
      </c>
    </row>
    <row r="10034" spans="1:5" x14ac:dyDescent="0.25">
      <c r="A10034" t="str">
        <f>HYPERLINK("https://www.773grp.com/globalSearch/JM38510-31508BEA/page-1", "JM38510-31508BEA")</f>
        <v>JM38510-31508BEA</v>
      </c>
      <c r="B10034" s="3" t="str">
        <f>HYPERLINK("https://www.773grp.com/manufacturer/national-semiconductor?pageNo=117", "National Semiconductor")</f>
        <v>National Semiconductor</v>
      </c>
      <c r="C10034" s="6">
        <v>697</v>
      </c>
      <c r="D10034" s="7">
        <v>16.38</v>
      </c>
      <c r="E10034" t="s">
        <v>26</v>
      </c>
    </row>
    <row r="10035" spans="1:5" x14ac:dyDescent="0.25">
      <c r="A10035" t="str">
        <f>HYPERLINK("https://www.773grp.com/globalSearch/100124DCQR/page-1", "100124DCQR")</f>
        <v>100124DCQR</v>
      </c>
      <c r="B10035" s="3" t="str">
        <f>HYPERLINK("https://www.773grp.com/manufacturer/national-semiconductor?pageNo=118", "National Semiconductor")</f>
        <v>National Semiconductor</v>
      </c>
      <c r="C10035" s="6">
        <v>1039</v>
      </c>
      <c r="D10035" s="7">
        <v>16.399999999999999</v>
      </c>
      <c r="E10035" t="s">
        <v>73</v>
      </c>
    </row>
    <row r="10036" spans="1:5" x14ac:dyDescent="0.25">
      <c r="A10036" t="str">
        <f>HYPERLINK("https://www.773grp.com/globalSearch/100160DC/page-1", "100160DC")</f>
        <v>100160DC</v>
      </c>
      <c r="B10036" s="3" t="str">
        <f>HYPERLINK("https://www.773grp.com/manufacturer/national-semiconductor?pageNo=119", "National Semiconductor")</f>
        <v>National Semiconductor</v>
      </c>
      <c r="C10036" s="6">
        <v>100</v>
      </c>
      <c r="D10036" s="7">
        <v>16.399999999999999</v>
      </c>
      <c r="E10036" t="s">
        <v>43</v>
      </c>
    </row>
    <row r="10037" spans="1:5" x14ac:dyDescent="0.25">
      <c r="A10037" t="str">
        <f>HYPERLINK("https://www.773grp.com/globalSearch/4539BDM/page-1", "4539BDM")</f>
        <v>4539BDM</v>
      </c>
      <c r="B10037" s="3" t="str">
        <f>HYPERLINK("https://www.773grp.com/manufacturer/national-semiconductor?pageNo=120", "National Semiconductor")</f>
        <v>National Semiconductor</v>
      </c>
      <c r="C10037" s="6">
        <v>3549</v>
      </c>
      <c r="D10037" s="7">
        <v>16.399999999999999</v>
      </c>
    </row>
    <row r="10038" spans="1:5" x14ac:dyDescent="0.25">
      <c r="A10038" t="str">
        <f>HYPERLINK("https://www.773grp.com/globalSearch/LMH6521SQE/page-1", "LMH6521SQE")</f>
        <v>LMH6521SQE</v>
      </c>
      <c r="B10038" s="3" t="str">
        <f>HYPERLINK("https://www.773grp.com/manufacturer/national-semiconductor?pageNo=121", "National Semiconductor")</f>
        <v>National Semiconductor</v>
      </c>
      <c r="C10038" s="6">
        <v>250</v>
      </c>
      <c r="D10038" s="7">
        <v>16.399999999999999</v>
      </c>
      <c r="E10038" t="s">
        <v>76</v>
      </c>
    </row>
    <row r="10039" spans="1:5" x14ac:dyDescent="0.25">
      <c r="A10039" t="str">
        <f>HYPERLINK("https://www.773grp.com/globalSearch/93L22PC/page-1", "93L22PC")</f>
        <v>93L22PC</v>
      </c>
      <c r="B10039" s="3" t="str">
        <f>HYPERLINK("https://www.773grp.com/manufacturer/national-semiconductor?pageNo=122", "National Semiconductor")</f>
        <v>National Semiconductor</v>
      </c>
      <c r="C10039" s="6">
        <v>14410</v>
      </c>
      <c r="D10039" s="7">
        <v>16.43</v>
      </c>
    </row>
    <row r="10040" spans="1:5" x14ac:dyDescent="0.25">
      <c r="A10040" t="str">
        <f>HYPERLINK("https://www.773grp.com/globalSearch/DS99R124QSQ-E7002678/page-1", "DS99R124QSQ-E7002678")</f>
        <v>DS99R124QSQ-E7002678</v>
      </c>
      <c r="B10040" s="3" t="str">
        <f>HYPERLINK("https://www.773grp.com/manufacturer/national-semiconductor?pageNo=123", "National Semiconductor")</f>
        <v>National Semiconductor</v>
      </c>
      <c r="C10040" s="6">
        <v>38000</v>
      </c>
      <c r="D10040" s="7">
        <v>16.43</v>
      </c>
    </row>
    <row r="10041" spans="1:5" x14ac:dyDescent="0.25">
      <c r="A10041" t="str">
        <f>HYPERLINK("https://www.773grp.com/globalSearch/LMZ14201TZX-ADJ-NOPB/page-1", "LMZ14201TZX-ADJ-NOPB")</f>
        <v>LMZ14201TZX-ADJ-NOPB</v>
      </c>
      <c r="B10041" s="3" t="str">
        <f>HYPERLINK("https://www.773grp.com/manufacturer/national-semiconductor?pageNo=124", "National Semiconductor")</f>
        <v>National Semiconductor</v>
      </c>
      <c r="C10041" s="6">
        <v>2500</v>
      </c>
      <c r="D10041" s="7">
        <v>16.45</v>
      </c>
      <c r="E10041" t="s">
        <v>7</v>
      </c>
    </row>
    <row r="10042" spans="1:5" x14ac:dyDescent="0.25">
      <c r="A10042" t="str">
        <f>HYPERLINK("https://www.773grp.com/globalSearch/SCAN92LV090SLC/page-1", "SCAN92LV090SLC")</f>
        <v>SCAN92LV090SLC</v>
      </c>
      <c r="B10042" s="3" t="str">
        <f>HYPERLINK("https://www.773grp.com/manufacturer/national-semiconductor?pageNo=125", "National Semiconductor")</f>
        <v>National Semiconductor</v>
      </c>
      <c r="C10042" s="6">
        <v>360</v>
      </c>
      <c r="D10042" s="7">
        <v>16.489999999999998</v>
      </c>
      <c r="E10042" t="s">
        <v>21</v>
      </c>
    </row>
    <row r="10043" spans="1:5" x14ac:dyDescent="0.25">
      <c r="A10043" t="str">
        <f>HYPERLINK("https://www.773grp.com/globalSearch/LM8500IMT9B-NOPB/page-1", "LM8500IMT9B-NOPB")</f>
        <v>LM8500IMT9B-NOPB</v>
      </c>
      <c r="B10043" s="3" t="str">
        <f>HYPERLINK("https://www.773grp.com/manufacturer/national-semiconductor?pageNo=126", "National Semiconductor")</f>
        <v>National Semiconductor</v>
      </c>
      <c r="C10043" s="6">
        <v>76</v>
      </c>
      <c r="D10043" s="7">
        <v>16.489999999999998</v>
      </c>
    </row>
    <row r="10044" spans="1:5" x14ac:dyDescent="0.25">
      <c r="A10044" t="str">
        <f>HYPERLINK("https://www.773grp.com/globalSearch/SCAN92LV090SLC/page-1", "SCAN92LV090SLC")</f>
        <v>SCAN92LV090SLC</v>
      </c>
      <c r="B10044" s="3" t="str">
        <f>HYPERLINK("https://www.773grp.com/manufacturer/national-semiconductor?pageNo=127", "National Semiconductor")</f>
        <v>National Semiconductor</v>
      </c>
      <c r="C10044" s="6">
        <v>24</v>
      </c>
      <c r="D10044" s="7">
        <v>16.489999999999998</v>
      </c>
      <c r="E10044" t="s">
        <v>21</v>
      </c>
    </row>
    <row r="10045" spans="1:5" x14ac:dyDescent="0.25">
      <c r="A10045" t="str">
        <f>HYPERLINK("https://www.773grp.com/globalSearch/4518BDM/page-1", "4518BDM")</f>
        <v>4518BDM</v>
      </c>
      <c r="B10045" s="3" t="str">
        <f>HYPERLINK("https://www.773grp.com/manufacturer/national-semiconductor?pageNo=128", "National Semiconductor")</f>
        <v>National Semiconductor</v>
      </c>
      <c r="C10045" s="6">
        <v>2232</v>
      </c>
      <c r="D10045" s="7">
        <v>16.5</v>
      </c>
      <c r="E10045" t="s">
        <v>26</v>
      </c>
    </row>
    <row r="10046" spans="1:5" x14ac:dyDescent="0.25">
      <c r="A10046" t="str">
        <f>HYPERLINK("https://www.773grp.com/globalSearch/ADC128S052CIMT/page-1", "ADC128S052CIMT")</f>
        <v>ADC128S052CIMT</v>
      </c>
      <c r="B10046" s="3" t="str">
        <f>HYPERLINK("https://www.773grp.com/manufacturer/national-semiconductor?pageNo=129", "National Semiconductor")</f>
        <v>National Semiconductor</v>
      </c>
      <c r="C10046" s="6">
        <v>2</v>
      </c>
      <c r="D10046" s="7">
        <v>16.5</v>
      </c>
      <c r="E10046" t="s">
        <v>39</v>
      </c>
    </row>
    <row r="10047" spans="1:5" x14ac:dyDescent="0.25">
      <c r="A10047" t="str">
        <f>HYPERLINK("https://www.773grp.com/globalSearch/LM98555CCMH-NOPB/page-1", "LM98555CCMH-NOPB")</f>
        <v>LM98555CCMH-NOPB</v>
      </c>
      <c r="B10047" s="3" t="str">
        <f>HYPERLINK("https://www.773grp.com/manufacturer/national-semiconductor?pageNo=130", "National Semiconductor")</f>
        <v>National Semiconductor</v>
      </c>
      <c r="C10047" s="6">
        <v>80</v>
      </c>
      <c r="D10047" s="7">
        <v>16.5</v>
      </c>
    </row>
    <row r="10048" spans="1:5" x14ac:dyDescent="0.25">
      <c r="A10048" t="str">
        <f>HYPERLINK("https://www.773grp.com/globalSearch/LM98555CCMH-NOPB/page-1", "LM98555CCMH-NOPB")</f>
        <v>LM98555CCMH-NOPB</v>
      </c>
      <c r="B10048" s="3" t="str">
        <f>HYPERLINK("https://www.773grp.com/manufacturer/national-semiconductor?pageNo=131", "National Semiconductor")</f>
        <v>National Semiconductor</v>
      </c>
      <c r="C10048" s="6">
        <v>250</v>
      </c>
      <c r="D10048" s="7">
        <v>16.5</v>
      </c>
    </row>
    <row r="10049" spans="1:5" x14ac:dyDescent="0.25">
      <c r="A10049" t="str">
        <f>HYPERLINK("https://www.773grp.com/globalSearch/LMH1981MT-NOPB/page-1", "LMH1981MT-NOPB")</f>
        <v>LMH1981MT-NOPB</v>
      </c>
      <c r="B10049" s="3" t="str">
        <f>HYPERLINK("https://www.773grp.com/manufacturer/national-semiconductor?pageNo=132", "National Semiconductor")</f>
        <v>National Semiconductor</v>
      </c>
      <c r="C10049" s="6">
        <v>5</v>
      </c>
      <c r="D10049" s="7">
        <v>16.5</v>
      </c>
    </row>
    <row r="10050" spans="1:5" x14ac:dyDescent="0.25">
      <c r="A10050" t="str">
        <f>HYPERLINK("https://www.773grp.com/globalSearch/4035BDM/page-1", "4035BDM")</f>
        <v>4035BDM</v>
      </c>
      <c r="B10050" s="3" t="str">
        <f>HYPERLINK("https://www.773grp.com/manufacturer/national-semiconductor?pageNo=133", "National Semiconductor")</f>
        <v>National Semiconductor</v>
      </c>
      <c r="C10050" s="6">
        <v>5180</v>
      </c>
      <c r="D10050" s="7">
        <v>16.54</v>
      </c>
    </row>
    <row r="10051" spans="1:5" x14ac:dyDescent="0.25">
      <c r="A10051" t="str">
        <f>HYPERLINK("https://www.773grp.com/globalSearch/4035BDMQB/page-1", "4035BDMQB")</f>
        <v>4035BDMQB</v>
      </c>
      <c r="B10051" s="3" t="str">
        <f>HYPERLINK("https://www.773grp.com/manufacturer/national-semiconductor?pageNo=134", "National Semiconductor")</f>
        <v>National Semiconductor</v>
      </c>
      <c r="C10051" s="6">
        <v>423</v>
      </c>
      <c r="D10051" s="7">
        <v>16.54</v>
      </c>
    </row>
    <row r="10052" spans="1:5" x14ac:dyDescent="0.25">
      <c r="A10052" t="str">
        <f>HYPERLINK("https://www.773grp.com/globalSearch/DS89C386TMEA/page-1", "DS89C386TMEA")</f>
        <v>DS89C386TMEA</v>
      </c>
      <c r="B10052" s="3" t="str">
        <f>HYPERLINK("https://www.773grp.com/manufacturer/national-semiconductor?pageNo=1", "National Semiconductor")</f>
        <v>National Semiconductor</v>
      </c>
      <c r="C10052" s="6">
        <v>370</v>
      </c>
      <c r="D10052" s="7">
        <v>16.579999999999998</v>
      </c>
      <c r="E10052" t="s">
        <v>21</v>
      </c>
    </row>
    <row r="10053" spans="1:5" x14ac:dyDescent="0.25">
      <c r="A10053" t="str">
        <f>HYPERLINK("https://www.773grp.com/globalSearch/DS92LV0421SQE/page-1", "DS92LV0421SQE")</f>
        <v>DS92LV0421SQE</v>
      </c>
      <c r="B10053" s="3" t="str">
        <f>HYPERLINK("https://www.773grp.com/manufacturer/national-semiconductor?pageNo=2", "National Semiconductor")</f>
        <v>National Semiconductor</v>
      </c>
      <c r="C10053" s="6">
        <v>250</v>
      </c>
      <c r="D10053" s="7">
        <v>16.579999999999998</v>
      </c>
    </row>
    <row r="10054" spans="1:5" x14ac:dyDescent="0.25">
      <c r="A10054" t="str">
        <f>HYPERLINK("https://www.773grp.com/globalSearch/PC87108AVHG/page-1", "PC87108AVHG")</f>
        <v>PC87108AVHG</v>
      </c>
      <c r="B10054" s="3" t="str">
        <f>HYPERLINK("https://www.773grp.com/manufacturer/national-semiconductor?pageNo=3", "National Semiconductor")</f>
        <v>National Semiconductor</v>
      </c>
      <c r="C10054" s="6">
        <v>1378</v>
      </c>
      <c r="D10054" s="7">
        <v>16.579999999999998</v>
      </c>
      <c r="E10054" t="s">
        <v>71</v>
      </c>
    </row>
    <row r="10055" spans="1:5" x14ac:dyDescent="0.25">
      <c r="A10055" t="str">
        <f>HYPERLINK("https://www.773grp.com/globalSearch/LM94CIMTX-NOPB/page-1", "LM94CIMTX-NOPB")</f>
        <v>LM94CIMTX-NOPB</v>
      </c>
      <c r="B10055" s="3" t="str">
        <f>HYPERLINK("https://www.773grp.com/manufacturer/national-semiconductor?pageNo=4", "National Semiconductor")</f>
        <v>National Semiconductor</v>
      </c>
      <c r="C10055" s="6">
        <v>6000</v>
      </c>
      <c r="D10055" s="7">
        <v>16.579999999999998</v>
      </c>
    </row>
    <row r="10056" spans="1:5" x14ac:dyDescent="0.25">
      <c r="A10056" t="str">
        <f>HYPERLINK("https://www.773grp.com/globalSearch/4556BDM/page-1", "4556BDM")</f>
        <v>4556BDM</v>
      </c>
      <c r="B10056" s="3" t="str">
        <f>HYPERLINK("https://www.773grp.com/manufacturer/national-semiconductor?pageNo=5", "National Semiconductor")</f>
        <v>National Semiconductor</v>
      </c>
      <c r="C10056" s="6">
        <v>749</v>
      </c>
      <c r="D10056" s="7">
        <v>16.59</v>
      </c>
      <c r="E10056" t="s">
        <v>36</v>
      </c>
    </row>
    <row r="10057" spans="1:5" x14ac:dyDescent="0.25">
      <c r="A10057" t="str">
        <f>HYPERLINK("https://www.773grp.com/globalSearch/54LS10LMQB/page-1", "54LS10LMQB")</f>
        <v>54LS10LMQB</v>
      </c>
      <c r="B10057" s="3" t="str">
        <f>HYPERLINK("https://www.773grp.com/manufacturer/national-semiconductor?pageNo=6", "National Semiconductor")</f>
        <v>National Semiconductor</v>
      </c>
      <c r="C10057" s="6">
        <v>611</v>
      </c>
      <c r="D10057" s="7">
        <v>16.59</v>
      </c>
      <c r="E10057" t="s">
        <v>31</v>
      </c>
    </row>
    <row r="10058" spans="1:5" x14ac:dyDescent="0.25">
      <c r="A10058" t="str">
        <f>HYPERLINK("https://www.773grp.com/globalSearch/964DC/page-1", "964DC")</f>
        <v>964DC</v>
      </c>
      <c r="B10058" s="3" t="str">
        <f>HYPERLINK("https://www.773grp.com/manufacturer/national-semiconductor?pageNo=7", "National Semiconductor")</f>
        <v>National Semiconductor</v>
      </c>
      <c r="C10058" s="6">
        <v>287</v>
      </c>
      <c r="D10058" s="7">
        <v>16.59</v>
      </c>
    </row>
    <row r="10059" spans="1:5" x14ac:dyDescent="0.25">
      <c r="A10059" t="str">
        <f>HYPERLINK("https://www.773grp.com/globalSearch/966DC/page-1", "966DC")</f>
        <v>966DC</v>
      </c>
      <c r="B10059" s="3" t="str">
        <f>HYPERLINK("https://www.773grp.com/manufacturer/national-semiconductor?pageNo=8", "National Semiconductor")</f>
        <v>National Semiconductor</v>
      </c>
      <c r="C10059" s="6">
        <v>4856</v>
      </c>
      <c r="D10059" s="7">
        <v>16.59</v>
      </c>
    </row>
    <row r="10060" spans="1:5" x14ac:dyDescent="0.25">
      <c r="A10060" t="str">
        <f>HYPERLINK("https://www.773grp.com/globalSearch/966PC/page-1", "966PC")</f>
        <v>966PC</v>
      </c>
      <c r="B10060" s="3" t="str">
        <f>HYPERLINK("https://www.773grp.com/manufacturer/national-semiconductor?pageNo=9", "National Semiconductor")</f>
        <v>National Semiconductor</v>
      </c>
      <c r="C10060" s="6">
        <v>12081</v>
      </c>
      <c r="D10060" s="7">
        <v>16.59</v>
      </c>
    </row>
    <row r="10061" spans="1:5" x14ac:dyDescent="0.25">
      <c r="A10061" t="str">
        <f>HYPERLINK("https://www.773grp.com/globalSearch/967DC/page-1", "967DC")</f>
        <v>967DC</v>
      </c>
      <c r="B10061" s="3" t="str">
        <f>HYPERLINK("https://www.773grp.com/manufacturer/national-semiconductor?pageNo=10", "National Semiconductor")</f>
        <v>National Semiconductor</v>
      </c>
      <c r="C10061" s="6">
        <v>2162</v>
      </c>
      <c r="D10061" s="7">
        <v>16.59</v>
      </c>
    </row>
    <row r="10062" spans="1:5" x14ac:dyDescent="0.25">
      <c r="A10062" t="str">
        <f>HYPERLINK("https://www.773grp.com/globalSearch/DM7661AW-883C/page-1", "DM7661AW-883C")</f>
        <v>DM7661AW-883C</v>
      </c>
      <c r="B10062" s="3" t="str">
        <f>HYPERLINK("https://www.773grp.com/manufacturer/national-semiconductor?pageNo=11", "National Semiconductor")</f>
        <v>National Semiconductor</v>
      </c>
      <c r="C10062" s="6">
        <v>41</v>
      </c>
      <c r="D10062" s="7">
        <v>16.59</v>
      </c>
    </row>
    <row r="10063" spans="1:5" x14ac:dyDescent="0.25">
      <c r="A10063" t="str">
        <f>HYPERLINK("https://www.773grp.com/globalSearch/LM118H/page-1", "LM118H")</f>
        <v>LM118H</v>
      </c>
      <c r="B10063" s="3" t="str">
        <f>HYPERLINK("https://www.773grp.com/manufacturer/national-semiconductor?pageNo=12", "National Semiconductor")</f>
        <v>National Semiconductor</v>
      </c>
      <c r="C10063" s="6">
        <v>1763</v>
      </c>
      <c r="D10063" s="7">
        <v>16.59</v>
      </c>
      <c r="E10063" t="s">
        <v>13</v>
      </c>
    </row>
    <row r="10064" spans="1:5" x14ac:dyDescent="0.25">
      <c r="A10064" t="str">
        <f>HYPERLINK("https://www.773grp.com/globalSearch/LM118H-NOPB/page-1", "LM118H-NOPB")</f>
        <v>LM118H-NOPB</v>
      </c>
      <c r="B10064" s="3" t="str">
        <f>HYPERLINK("https://www.773grp.com/manufacturer/national-semiconductor?pageNo=13", "National Semiconductor")</f>
        <v>National Semiconductor</v>
      </c>
      <c r="C10064" s="6">
        <v>10</v>
      </c>
      <c r="D10064" s="7">
        <v>16.59</v>
      </c>
      <c r="E10064" t="s">
        <v>13</v>
      </c>
    </row>
    <row r="10065" spans="1:5" x14ac:dyDescent="0.25">
      <c r="A10065" t="str">
        <f>HYPERLINK("https://www.773grp.com/globalSearch/NMC27C256BN150/page-1", "NMC27C256BN150")</f>
        <v>NMC27C256BN150</v>
      </c>
      <c r="B10065" s="3" t="str">
        <f>HYPERLINK("https://www.773grp.com/manufacturer/national-semiconductor?pageNo=14", "National Semiconductor")</f>
        <v>National Semiconductor</v>
      </c>
      <c r="C10065" s="6">
        <v>2918</v>
      </c>
      <c r="D10065" s="7">
        <v>16.59</v>
      </c>
      <c r="E10065" t="s">
        <v>64</v>
      </c>
    </row>
    <row r="10066" spans="1:5" x14ac:dyDescent="0.25">
      <c r="A10066" t="str">
        <f>HYPERLINK("https://www.773grp.com/globalSearch/LM118H-NOPB/page-1", "LM118H-NOPB")</f>
        <v>LM118H-NOPB</v>
      </c>
      <c r="B10066" s="3" t="str">
        <f>HYPERLINK("https://www.773grp.com/manufacturer/national-semiconductor?pageNo=15", "National Semiconductor")</f>
        <v>National Semiconductor</v>
      </c>
      <c r="C10066" s="6">
        <v>276</v>
      </c>
      <c r="D10066" s="7">
        <v>16.59</v>
      </c>
      <c r="E10066" t="s">
        <v>13</v>
      </c>
    </row>
    <row r="10067" spans="1:5" x14ac:dyDescent="0.25">
      <c r="A10067" t="str">
        <f>HYPERLINK("https://www.773grp.com/globalSearch/TLV5618ACP/page-1", "TLV5618ACP")</f>
        <v>TLV5618ACP</v>
      </c>
      <c r="B10067" s="3" t="str">
        <f>HYPERLINK("https://www.773grp.com/manufacturer/national-semiconductor?pageNo=16", "National Semiconductor")</f>
        <v>National Semiconductor</v>
      </c>
      <c r="C10067" s="6">
        <v>900</v>
      </c>
      <c r="D10067" s="7">
        <v>16.59</v>
      </c>
    </row>
    <row r="10068" spans="1:5" x14ac:dyDescent="0.25">
      <c r="A10068" t="str">
        <f>HYPERLINK("https://www.773grp.com/globalSearch/7491ADC/page-1", "7491ADC")</f>
        <v>7491ADC</v>
      </c>
      <c r="B10068" s="3" t="str">
        <f>HYPERLINK("https://www.773grp.com/manufacturer/national-semiconductor?pageNo=17", "National Semiconductor")</f>
        <v>National Semiconductor</v>
      </c>
      <c r="C10068" s="6">
        <v>1651</v>
      </c>
      <c r="D10068" s="7">
        <v>16.649999999999999</v>
      </c>
    </row>
    <row r="10069" spans="1:5" x14ac:dyDescent="0.25">
      <c r="A10069" t="str">
        <f>HYPERLINK("https://www.773grp.com/globalSearch/LMZ12003TZ-ADJ-NOPB/page-1", "LMZ12003TZ-ADJ-NOPB")</f>
        <v>LMZ12003TZ-ADJ-NOPB</v>
      </c>
      <c r="B10069" s="3" t="str">
        <f>HYPERLINK("https://www.773grp.com/manufacturer/national-semiconductor?pageNo=18", "National Semiconductor")</f>
        <v>National Semiconductor</v>
      </c>
      <c r="C10069" s="6">
        <v>10</v>
      </c>
      <c r="D10069" s="7">
        <v>16.649999999999999</v>
      </c>
    </row>
    <row r="10070" spans="1:5" x14ac:dyDescent="0.25">
      <c r="A10070" t="str">
        <f>HYPERLINK("https://www.773grp.com/globalSearch/DS90CR288AMTDX/page-1", "DS90CR288AMTDX")</f>
        <v>DS90CR288AMTDX</v>
      </c>
      <c r="B10070" s="3" t="str">
        <f>HYPERLINK("https://www.773grp.com/manufacturer/national-semiconductor?pageNo=19", "National Semiconductor")</f>
        <v>National Semiconductor</v>
      </c>
      <c r="C10070" s="6">
        <v>18000</v>
      </c>
      <c r="D10070" s="7">
        <v>16.68</v>
      </c>
      <c r="E10070" t="s">
        <v>21</v>
      </c>
    </row>
    <row r="10071" spans="1:5" x14ac:dyDescent="0.25">
      <c r="A10071" t="str">
        <f>HYPERLINK("https://www.773grp.com/globalSearch/LM135H/page-1", "LM135H")</f>
        <v>LM135H</v>
      </c>
      <c r="B10071" s="3" t="str">
        <f>HYPERLINK("https://www.773grp.com/manufacturer/national-semiconductor?pageNo=20", "National Semiconductor")</f>
        <v>National Semiconductor</v>
      </c>
      <c r="C10071" s="6">
        <v>1815</v>
      </c>
      <c r="D10071" s="7">
        <v>16.68</v>
      </c>
      <c r="E10071" t="s">
        <v>8</v>
      </c>
    </row>
    <row r="10072" spans="1:5" x14ac:dyDescent="0.25">
      <c r="A10072" t="str">
        <f>HYPERLINK("https://www.773grp.com/globalSearch/LM135H-NOPB/page-1", "LM135H-NOPB")</f>
        <v>LM135H-NOPB</v>
      </c>
      <c r="B10072" s="3" t="str">
        <f>HYPERLINK("https://www.773grp.com/manufacturer/national-semiconductor?pageNo=21", "National Semiconductor")</f>
        <v>National Semiconductor</v>
      </c>
      <c r="C10072" s="6">
        <v>1095</v>
      </c>
      <c r="D10072" s="7">
        <v>16.68</v>
      </c>
      <c r="E10072" t="s">
        <v>8</v>
      </c>
    </row>
    <row r="10073" spans="1:5" x14ac:dyDescent="0.25">
      <c r="A10073" t="str">
        <f>HYPERLINK("https://www.773grp.com/globalSearch/LM135H-NOPB/page-1", "LM135H-NOPB")</f>
        <v>LM135H-NOPB</v>
      </c>
      <c r="B10073" s="3" t="str">
        <f>HYPERLINK("https://www.773grp.com/manufacturer/national-semiconductor?pageNo=22", "National Semiconductor")</f>
        <v>National Semiconductor</v>
      </c>
      <c r="C10073" s="6">
        <v>169</v>
      </c>
      <c r="D10073" s="7">
        <v>16.68</v>
      </c>
      <c r="E10073" t="s">
        <v>8</v>
      </c>
    </row>
    <row r="10074" spans="1:5" x14ac:dyDescent="0.25">
      <c r="A10074" t="str">
        <f>HYPERLINK("https://www.773grp.com/globalSearch/100164DCQR/page-1", "100164DCQR")</f>
        <v>100164DCQR</v>
      </c>
      <c r="B10074" s="3" t="str">
        <f>HYPERLINK("https://www.773grp.com/manufacturer/national-semiconductor?pageNo=23", "National Semiconductor")</f>
        <v>National Semiconductor</v>
      </c>
      <c r="C10074" s="6">
        <v>2064</v>
      </c>
      <c r="D10074" s="7">
        <v>16.71</v>
      </c>
      <c r="E10074" t="s">
        <v>20</v>
      </c>
    </row>
    <row r="10075" spans="1:5" x14ac:dyDescent="0.25">
      <c r="A10075" t="str">
        <f>HYPERLINK("https://www.773grp.com/globalSearch/100165DCQR/page-1", "100165DCQR")</f>
        <v>100165DCQR</v>
      </c>
      <c r="B10075" s="3" t="str">
        <f>HYPERLINK("https://www.773grp.com/manufacturer/national-semiconductor?pageNo=24", "National Semiconductor")</f>
        <v>National Semiconductor</v>
      </c>
      <c r="C10075" s="6">
        <v>1750</v>
      </c>
      <c r="D10075" s="7">
        <v>16.71</v>
      </c>
      <c r="E10075" t="s">
        <v>43</v>
      </c>
    </row>
    <row r="10076" spans="1:5" x14ac:dyDescent="0.25">
      <c r="A10076" t="str">
        <f>HYPERLINK("https://www.773grp.com/globalSearch/100175DC/page-1", "100175DC")</f>
        <v>100175DC</v>
      </c>
      <c r="B10076" s="3" t="str">
        <f>HYPERLINK("https://www.773grp.com/manufacturer/national-semiconductor?pageNo=25", "National Semiconductor")</f>
        <v>National Semiconductor</v>
      </c>
      <c r="C10076" s="6">
        <v>2452</v>
      </c>
      <c r="D10076" s="7">
        <v>16.71</v>
      </c>
      <c r="E10076" t="s">
        <v>35</v>
      </c>
    </row>
    <row r="10077" spans="1:5" x14ac:dyDescent="0.25">
      <c r="A10077" t="str">
        <f>HYPERLINK("https://www.773grp.com/globalSearch/ADC10080CIMT-NOPB/page-1", "ADC10080CIMT-NOPB")</f>
        <v>ADC10080CIMT-NOPB</v>
      </c>
      <c r="B10077" s="3" t="str">
        <f>HYPERLINK("https://www.773grp.com/manufacturer/national-semiconductor?pageNo=26", "National Semiconductor")</f>
        <v>National Semiconductor</v>
      </c>
      <c r="C10077" s="6">
        <v>200</v>
      </c>
      <c r="D10077" s="7">
        <v>16.71</v>
      </c>
    </row>
    <row r="10078" spans="1:5" x14ac:dyDescent="0.25">
      <c r="A10078" t="str">
        <f>HYPERLINK("https://www.773grp.com/globalSearch/4027BDMQB/page-1", "4027BDMQB")</f>
        <v>4027BDMQB</v>
      </c>
      <c r="B10078" s="3" t="str">
        <f>HYPERLINK("https://www.773grp.com/manufacturer/national-semiconductor?pageNo=27", "National Semiconductor")</f>
        <v>National Semiconductor</v>
      </c>
      <c r="C10078" s="6">
        <v>2058</v>
      </c>
      <c r="D10078" s="7">
        <v>16.739999999999998</v>
      </c>
    </row>
    <row r="10079" spans="1:5" x14ac:dyDescent="0.25">
      <c r="A10079" t="str">
        <f>HYPERLINK("https://www.773grp.com/globalSearch/74192DC/page-1", "74192DC")</f>
        <v>74192DC</v>
      </c>
      <c r="B10079" s="3" t="str">
        <f>HYPERLINK("https://www.773grp.com/manufacturer/national-semiconductor?pageNo=28", "National Semiconductor")</f>
        <v>National Semiconductor</v>
      </c>
      <c r="C10079" s="6">
        <v>5948</v>
      </c>
      <c r="D10079" s="7">
        <v>16.739999999999998</v>
      </c>
    </row>
    <row r="10080" spans="1:5" x14ac:dyDescent="0.25">
      <c r="A10080" t="str">
        <f>HYPERLINK("https://www.773grp.com/globalSearch/MM4660BJ-883C/page-1", "MM4660BJ-883C")</f>
        <v>MM4660BJ-883C</v>
      </c>
      <c r="B10080" s="3" t="str">
        <f>HYPERLINK("https://www.773grp.com/manufacturer/national-semiconductor?pageNo=29", "National Semiconductor")</f>
        <v>National Semiconductor</v>
      </c>
      <c r="C10080" s="6">
        <v>25</v>
      </c>
      <c r="D10080" s="7">
        <v>16.739999999999998</v>
      </c>
    </row>
    <row r="10081" spans="1:5" x14ac:dyDescent="0.25">
      <c r="A10081" t="str">
        <f>HYPERLINK("https://www.773grp.com/globalSearch/TLC2551CDGK/page-1", "TLC2551CDGK")</f>
        <v>TLC2551CDGK</v>
      </c>
      <c r="B10081" s="3" t="str">
        <f>HYPERLINK("https://www.773grp.com/manufacturer/national-semiconductor?pageNo=30", "National Semiconductor")</f>
        <v>National Semiconductor</v>
      </c>
      <c r="C10081" s="6">
        <v>560</v>
      </c>
      <c r="D10081" s="7">
        <v>16.739999999999998</v>
      </c>
    </row>
    <row r="10082" spans="1:5" x14ac:dyDescent="0.25">
      <c r="A10082" t="str">
        <f>HYPERLINK("https://www.773grp.com/globalSearch/4520BDM/page-1", "4520BDM")</f>
        <v>4520BDM</v>
      </c>
      <c r="B10082" s="3" t="str">
        <f>HYPERLINK("https://www.773grp.com/manufacturer/national-semiconductor?pageNo=31", "National Semiconductor")</f>
        <v>National Semiconductor</v>
      </c>
      <c r="C10082" s="6">
        <v>28568</v>
      </c>
      <c r="D10082" s="7">
        <v>16.760000000000002</v>
      </c>
      <c r="E10082" t="s">
        <v>26</v>
      </c>
    </row>
    <row r="10083" spans="1:5" x14ac:dyDescent="0.25">
      <c r="A10083" t="str">
        <f>HYPERLINK("https://www.773grp.com/globalSearch/4520BDMQB/page-1", "4520BDMQB")</f>
        <v>4520BDMQB</v>
      </c>
      <c r="B10083" s="3" t="str">
        <f>HYPERLINK("https://www.773grp.com/manufacturer/national-semiconductor?pageNo=32", "National Semiconductor")</f>
        <v>National Semiconductor</v>
      </c>
      <c r="C10083" s="6">
        <v>29207</v>
      </c>
      <c r="D10083" s="7">
        <v>16.760000000000002</v>
      </c>
      <c r="E10083" t="s">
        <v>26</v>
      </c>
    </row>
    <row r="10084" spans="1:5" x14ac:dyDescent="0.25">
      <c r="A10084" t="str">
        <f>HYPERLINK("https://www.773grp.com/globalSearch/93L21PC/page-1", "93L21PC")</f>
        <v>93L21PC</v>
      </c>
      <c r="B10084" s="3" t="str">
        <f>HYPERLINK("https://www.773grp.com/manufacturer/national-semiconductor?pageNo=33", "National Semiconductor")</f>
        <v>National Semiconductor</v>
      </c>
      <c r="C10084" s="6">
        <v>2188</v>
      </c>
      <c r="D10084" s="7">
        <v>16.760000000000002</v>
      </c>
    </row>
    <row r="10085" spans="1:5" x14ac:dyDescent="0.25">
      <c r="A10085" t="str">
        <f>HYPERLINK("https://www.773grp.com/globalSearch/COP8SGR728M8/page-1", "COP8SGR728M8")</f>
        <v>COP8SGR728M8</v>
      </c>
      <c r="B10085" s="3" t="str">
        <f>HYPERLINK("https://www.773grp.com/manufacturer/national-semiconductor?pageNo=34", "National Semiconductor")</f>
        <v>National Semiconductor</v>
      </c>
      <c r="C10085" s="6">
        <v>200</v>
      </c>
      <c r="D10085" s="7">
        <v>16.760000000000002</v>
      </c>
      <c r="E10085" t="s">
        <v>52</v>
      </c>
    </row>
    <row r="10086" spans="1:5" x14ac:dyDescent="0.25">
      <c r="A10086" t="str">
        <f>HYPERLINK("https://www.773grp.com/globalSearch/COP8SGR728M8/page-1", "COP8SGR728M8")</f>
        <v>COP8SGR728M8</v>
      </c>
      <c r="B10086" s="3" t="str">
        <f>HYPERLINK("https://www.773grp.com/manufacturer/national-semiconductor?pageNo=35", "National Semiconductor")</f>
        <v>National Semiconductor</v>
      </c>
      <c r="C10086" s="6">
        <v>244</v>
      </c>
      <c r="D10086" s="7">
        <v>16.760000000000002</v>
      </c>
      <c r="E10086" t="s">
        <v>52</v>
      </c>
    </row>
    <row r="10087" spans="1:5" x14ac:dyDescent="0.25">
      <c r="A10087" t="str">
        <f>HYPERLINK("https://www.773grp.com/globalSearch/9302PC/page-1", "9302PC")</f>
        <v>9302PC</v>
      </c>
      <c r="B10087" s="3" t="str">
        <f>HYPERLINK("https://www.773grp.com/manufacturer/national-semiconductor?pageNo=36", "National Semiconductor")</f>
        <v>National Semiconductor</v>
      </c>
      <c r="C10087" s="6">
        <v>2116</v>
      </c>
      <c r="D10087" s="7">
        <v>16.79</v>
      </c>
    </row>
    <row r="10088" spans="1:5" x14ac:dyDescent="0.25">
      <c r="A10088" t="str">
        <f>HYPERLINK("https://www.773grp.com/globalSearch/9304DC/page-1", "9304DC")</f>
        <v>9304DC</v>
      </c>
      <c r="B10088" s="3" t="str">
        <f>HYPERLINK("https://www.773grp.com/manufacturer/national-semiconductor?pageNo=37", "National Semiconductor")</f>
        <v>National Semiconductor</v>
      </c>
      <c r="C10088" s="6">
        <v>18945</v>
      </c>
      <c r="D10088" s="7">
        <v>16.79</v>
      </c>
    </row>
    <row r="10089" spans="1:5" x14ac:dyDescent="0.25">
      <c r="A10089" t="str">
        <f>HYPERLINK("https://www.773grp.com/globalSearch/9307PC/page-1", "9307PC")</f>
        <v>9307PC</v>
      </c>
      <c r="B10089" s="3" t="str">
        <f>HYPERLINK("https://www.773grp.com/manufacturer/national-semiconductor?pageNo=38", "National Semiconductor")</f>
        <v>National Semiconductor</v>
      </c>
      <c r="C10089" s="6">
        <v>2302</v>
      </c>
      <c r="D10089" s="7">
        <v>16.79</v>
      </c>
    </row>
    <row r="10090" spans="1:5" x14ac:dyDescent="0.25">
      <c r="A10090" t="str">
        <f>HYPERLINK("https://www.773grp.com/globalSearch/LM139AJ-883/page-1", "LM139AJ-883")</f>
        <v>LM139AJ-883</v>
      </c>
      <c r="B10090" s="3" t="str">
        <f>HYPERLINK("https://www.773grp.com/manufacturer/national-semiconductor?pageNo=39", "National Semiconductor")</f>
        <v>National Semiconductor</v>
      </c>
      <c r="C10090" s="6">
        <v>18</v>
      </c>
      <c r="D10090" s="7">
        <v>16.79</v>
      </c>
    </row>
    <row r="10091" spans="1:5" x14ac:dyDescent="0.25">
      <c r="A10091" t="str">
        <f>HYPERLINK("https://www.773grp.com/globalSearch/LM20C-EVAL/page-1", "LM20C-EVAL")</f>
        <v>LM20C-EVAL</v>
      </c>
      <c r="B10091" s="3" t="str">
        <f>HYPERLINK("https://www.773grp.com/manufacturer/national-semiconductor?pageNo=40", "National Semiconductor")</f>
        <v>National Semiconductor</v>
      </c>
      <c r="C10091" s="6">
        <v>1</v>
      </c>
      <c r="D10091" s="7">
        <v>16.84</v>
      </c>
    </row>
    <row r="10092" spans="1:5" x14ac:dyDescent="0.25">
      <c r="A10092" t="str">
        <f>HYPERLINK("https://www.773grp.com/globalSearch/LM20S-EVAL/page-1", "LM20S-EVAL")</f>
        <v>LM20S-EVAL</v>
      </c>
      <c r="B10092" s="3" t="str">
        <f>HYPERLINK("https://www.773grp.com/manufacturer/national-semiconductor?pageNo=41", "National Semiconductor")</f>
        <v>National Semiconductor</v>
      </c>
      <c r="C10092" s="6">
        <v>1</v>
      </c>
      <c r="D10092" s="7">
        <v>16.84</v>
      </c>
    </row>
    <row r="10093" spans="1:5" x14ac:dyDescent="0.25">
      <c r="A10093" t="str">
        <f>HYPERLINK("https://www.773grp.com/globalSearch/LMH6517SQ-NOPB/page-1", "LMH6517SQ-NOPB")</f>
        <v>LMH6517SQ-NOPB</v>
      </c>
      <c r="B10093" s="3" t="str">
        <f>HYPERLINK("https://www.773grp.com/manufacturer/national-semiconductor?pageNo=42", "National Semiconductor")</f>
        <v>National Semiconductor</v>
      </c>
      <c r="C10093" s="6">
        <v>2236</v>
      </c>
      <c r="D10093" s="7">
        <v>16.84</v>
      </c>
    </row>
    <row r="10094" spans="1:5" x14ac:dyDescent="0.25">
      <c r="A10094" t="str">
        <f>HYPERLINK("https://www.773grp.com/globalSearch/LMH6517SQX-NOPB/page-1", "LMH6517SQX-NOPB")</f>
        <v>LMH6517SQX-NOPB</v>
      </c>
      <c r="B10094" s="3" t="str">
        <f>HYPERLINK("https://www.773grp.com/manufacturer/national-semiconductor?pageNo=43", "National Semiconductor")</f>
        <v>National Semiconductor</v>
      </c>
      <c r="C10094" s="6">
        <v>9000</v>
      </c>
      <c r="D10094" s="7">
        <v>16.84</v>
      </c>
    </row>
    <row r="10095" spans="1:5" x14ac:dyDescent="0.25">
      <c r="A10095" t="str">
        <f>HYPERLINK("https://www.773grp.com/globalSearch/54F157L2M/page-1", "54F157L2M")</f>
        <v>54F157L2M</v>
      </c>
      <c r="B10095" s="3" t="str">
        <f>HYPERLINK("https://www.773grp.com/manufacturer/national-semiconductor?pageNo=44", "National Semiconductor")</f>
        <v>National Semiconductor</v>
      </c>
      <c r="C10095" s="6">
        <v>22</v>
      </c>
      <c r="D10095" s="7">
        <v>16.88</v>
      </c>
    </row>
    <row r="10096" spans="1:5" x14ac:dyDescent="0.25">
      <c r="A10096" t="str">
        <f>HYPERLINK("https://www.773grp.com/globalSearch/54F162ADM/page-1", "54F162ADM")</f>
        <v>54F162ADM</v>
      </c>
      <c r="B10096" s="3" t="str">
        <f>HYPERLINK("https://www.773grp.com/manufacturer/national-semiconductor?pageNo=45", "National Semiconductor")</f>
        <v>National Semiconductor</v>
      </c>
      <c r="C10096" s="6">
        <v>357</v>
      </c>
      <c r="D10096" s="7">
        <v>16.88</v>
      </c>
      <c r="E10096" t="s">
        <v>26</v>
      </c>
    </row>
    <row r="10097" spans="1:5" x14ac:dyDescent="0.25">
      <c r="A10097" t="str">
        <f>HYPERLINK("https://www.773grp.com/globalSearch/54F175DM/page-1", "54F175DM")</f>
        <v>54F175DM</v>
      </c>
      <c r="B10097" s="3" t="str">
        <f>HYPERLINK("https://www.773grp.com/manufacturer/national-semiconductor?pageNo=46", "National Semiconductor")</f>
        <v>National Semiconductor</v>
      </c>
      <c r="C10097" s="6">
        <v>213</v>
      </c>
      <c r="D10097" s="7">
        <v>16.88</v>
      </c>
      <c r="E10097" t="s">
        <v>35</v>
      </c>
    </row>
    <row r="10098" spans="1:5" x14ac:dyDescent="0.25">
      <c r="A10098" t="str">
        <f>HYPERLINK("https://www.773grp.com/globalSearch/54LS245LMQB/page-1", "54LS245LMQB")</f>
        <v>54LS245LMQB</v>
      </c>
      <c r="B10098" s="3" t="str">
        <f>HYPERLINK("https://www.773grp.com/manufacturer/national-semiconductor?pageNo=47", "National Semiconductor")</f>
        <v>National Semiconductor</v>
      </c>
      <c r="C10098" s="6">
        <v>96</v>
      </c>
      <c r="D10098" s="7">
        <v>16.88</v>
      </c>
      <c r="E10098" t="s">
        <v>14</v>
      </c>
    </row>
    <row r="10099" spans="1:5" x14ac:dyDescent="0.25">
      <c r="A10099" t="str">
        <f>HYPERLINK("https://www.773grp.com/globalSearch/74FCT245APC/page-1", "74FCT245APC")</f>
        <v>74FCT245APC</v>
      </c>
      <c r="B10099" s="3" t="str">
        <f>HYPERLINK("https://www.773grp.com/manufacturer/national-semiconductor?pageNo=48", "National Semiconductor")</f>
        <v>National Semiconductor</v>
      </c>
      <c r="C10099" s="6">
        <v>5385</v>
      </c>
      <c r="D10099" s="7">
        <v>16.88</v>
      </c>
      <c r="E10099" t="s">
        <v>14</v>
      </c>
    </row>
    <row r="10100" spans="1:5" x14ac:dyDescent="0.25">
      <c r="A10100" t="str">
        <f>HYPERLINK("https://www.773grp.com/globalSearch/74FCT245ASC/page-1", "74FCT245ASC")</f>
        <v>74FCT245ASC</v>
      </c>
      <c r="B10100" s="3" t="str">
        <f>HYPERLINK("https://www.773grp.com/manufacturer/national-semiconductor?pageNo=49", "National Semiconductor")</f>
        <v>National Semiconductor</v>
      </c>
      <c r="C10100" s="6">
        <v>20041</v>
      </c>
      <c r="D10100" s="7">
        <v>16.88</v>
      </c>
      <c r="E10100" t="s">
        <v>14</v>
      </c>
    </row>
    <row r="10101" spans="1:5" x14ac:dyDescent="0.25">
      <c r="A10101" t="str">
        <f>HYPERLINK("https://www.773grp.com/globalSearch/96L02DC/page-1", "96L02DC")</f>
        <v>96L02DC</v>
      </c>
      <c r="B10101" s="3" t="str">
        <f>HYPERLINK("https://www.773grp.com/manufacturer/national-semiconductor?pageNo=50", "National Semiconductor")</f>
        <v>National Semiconductor</v>
      </c>
      <c r="C10101" s="6">
        <v>2992</v>
      </c>
      <c r="D10101" s="7">
        <v>16.88</v>
      </c>
      <c r="E10101" t="s">
        <v>54</v>
      </c>
    </row>
    <row r="10102" spans="1:5" x14ac:dyDescent="0.25">
      <c r="A10102" t="str">
        <f>HYPERLINK("https://www.773grp.com/globalSearch/DM7006W-883/page-1", "DM7006W-883")</f>
        <v>DM7006W-883</v>
      </c>
      <c r="B10102" s="3" t="str">
        <f>HYPERLINK("https://www.773grp.com/manufacturer/national-semiconductor?pageNo=51", "National Semiconductor")</f>
        <v>National Semiconductor</v>
      </c>
      <c r="C10102" s="6">
        <v>156</v>
      </c>
      <c r="D10102" s="7">
        <v>16.88</v>
      </c>
    </row>
    <row r="10103" spans="1:5" x14ac:dyDescent="0.25">
      <c r="A10103" t="str">
        <f>HYPERLINK("https://www.773grp.com/globalSearch/DM7016W-MIL/page-1", "DM7016W-MIL")</f>
        <v>DM7016W-MIL</v>
      </c>
      <c r="B10103" s="3" t="str">
        <f>HYPERLINK("https://www.773grp.com/manufacturer/national-semiconductor?pageNo=52", "National Semiconductor")</f>
        <v>National Semiconductor</v>
      </c>
      <c r="C10103" s="6">
        <v>111</v>
      </c>
      <c r="D10103" s="7">
        <v>16.88</v>
      </c>
    </row>
    <row r="10104" spans="1:5" x14ac:dyDescent="0.25">
      <c r="A10104" t="str">
        <f>HYPERLINK("https://www.773grp.com/globalSearch/LM2588T-5.0/page-1", "LM2588T-5.0")</f>
        <v>LM2588T-5.0</v>
      </c>
      <c r="B10104" s="3" t="str">
        <f>HYPERLINK("https://www.773grp.com/manufacturer/national-semiconductor?pageNo=53", "National Semiconductor")</f>
        <v>National Semiconductor</v>
      </c>
      <c r="C10104" s="6">
        <v>60</v>
      </c>
      <c r="D10104" s="7">
        <v>16.88</v>
      </c>
      <c r="E10104" t="s">
        <v>7</v>
      </c>
    </row>
    <row r="10105" spans="1:5" x14ac:dyDescent="0.25">
      <c r="A10105" t="str">
        <f>HYPERLINK("https://www.773grp.com/globalSearch/LM2588T-ADJ/page-1", "LM2588T-ADJ")</f>
        <v>LM2588T-ADJ</v>
      </c>
      <c r="B10105" s="3" t="str">
        <f>HYPERLINK("https://www.773grp.com/manufacturer/national-semiconductor?pageNo=54", "National Semiconductor")</f>
        <v>National Semiconductor</v>
      </c>
      <c r="C10105" s="6">
        <v>17</v>
      </c>
      <c r="D10105" s="7">
        <v>16.88</v>
      </c>
      <c r="E10105" t="s">
        <v>7</v>
      </c>
    </row>
    <row r="10106" spans="1:5" x14ac:dyDescent="0.25">
      <c r="A10106" t="str">
        <f>HYPERLINK("https://www.773grp.com/globalSearch/LMV1088RL/page-1", "LMV1088RL")</f>
        <v>LMV1088RL</v>
      </c>
      <c r="B10106" s="3" t="str">
        <f>HYPERLINK("https://www.773grp.com/manufacturer/national-semiconductor?pageNo=55", "National Semiconductor")</f>
        <v>National Semiconductor</v>
      </c>
      <c r="C10106" s="6">
        <v>500</v>
      </c>
      <c r="D10106" s="7">
        <v>16.88</v>
      </c>
      <c r="E10106" t="s">
        <v>18</v>
      </c>
    </row>
    <row r="10107" spans="1:5" x14ac:dyDescent="0.25">
      <c r="A10107" t="str">
        <f>HYPERLINK("https://www.773grp.com/globalSearch/LMX2531LQ1312E/page-1", "LMX2531LQ1312E")</f>
        <v>LMX2531LQ1312E</v>
      </c>
      <c r="B10107" s="3" t="str">
        <f>HYPERLINK("https://www.773grp.com/manufacturer/national-semiconductor?pageNo=56", "National Semiconductor")</f>
        <v>National Semiconductor</v>
      </c>
      <c r="C10107" s="6">
        <v>31</v>
      </c>
      <c r="D10107" s="7">
        <v>16.88</v>
      </c>
      <c r="E10107" t="s">
        <v>38</v>
      </c>
    </row>
    <row r="10108" spans="1:5" x14ac:dyDescent="0.25">
      <c r="A10108" t="str">
        <f>HYPERLINK("https://www.773grp.com/globalSearch/LMX2531LQ1415E/page-1", "LMX2531LQ1415E")</f>
        <v>LMX2531LQ1415E</v>
      </c>
      <c r="B10108" s="3" t="str">
        <f>HYPERLINK("https://www.773grp.com/manufacturer/national-semiconductor?pageNo=57", "National Semiconductor")</f>
        <v>National Semiconductor</v>
      </c>
      <c r="C10108" s="6">
        <v>802</v>
      </c>
      <c r="D10108" s="7">
        <v>16.88</v>
      </c>
      <c r="E10108" t="s">
        <v>38</v>
      </c>
    </row>
    <row r="10109" spans="1:5" x14ac:dyDescent="0.25">
      <c r="A10109" t="str">
        <f>HYPERLINK("https://www.773grp.com/globalSearch/LMX2531LQ1500E/page-1", "LMX2531LQ1500E")</f>
        <v>LMX2531LQ1500E</v>
      </c>
      <c r="B10109" s="3" t="str">
        <f>HYPERLINK("https://www.773grp.com/manufacturer/national-semiconductor?pageNo=58", "National Semiconductor")</f>
        <v>National Semiconductor</v>
      </c>
      <c r="C10109" s="6">
        <v>10</v>
      </c>
      <c r="D10109" s="7">
        <v>16.88</v>
      </c>
      <c r="E10109" t="s">
        <v>38</v>
      </c>
    </row>
    <row r="10110" spans="1:5" x14ac:dyDescent="0.25">
      <c r="A10110" t="str">
        <f>HYPERLINK("https://www.773grp.com/globalSearch/LMX2531LQ1742/page-1", "LMX2531LQ1742")</f>
        <v>LMX2531LQ1742</v>
      </c>
      <c r="B10110" s="3" t="str">
        <f>HYPERLINK("https://www.773grp.com/manufacturer/national-semiconductor?pageNo=59", "National Semiconductor")</f>
        <v>National Semiconductor</v>
      </c>
      <c r="C10110" s="6">
        <v>214</v>
      </c>
      <c r="D10110" s="7">
        <v>16.88</v>
      </c>
      <c r="E10110" t="s">
        <v>38</v>
      </c>
    </row>
    <row r="10111" spans="1:5" x14ac:dyDescent="0.25">
      <c r="A10111" t="str">
        <f>HYPERLINK("https://www.773grp.com/globalSearch/LMX2531LQ1910E/page-1", "LMX2531LQ1910E")</f>
        <v>LMX2531LQ1910E</v>
      </c>
      <c r="B10111" s="3" t="str">
        <f>HYPERLINK("https://www.773grp.com/manufacturer/national-semiconductor?pageNo=60", "National Semiconductor")</f>
        <v>National Semiconductor</v>
      </c>
      <c r="C10111" s="6">
        <v>3500</v>
      </c>
      <c r="D10111" s="7">
        <v>16.88</v>
      </c>
      <c r="E10111" t="s">
        <v>38</v>
      </c>
    </row>
    <row r="10112" spans="1:5" x14ac:dyDescent="0.25">
      <c r="A10112" t="str">
        <f>HYPERLINK("https://www.773grp.com/globalSearch/LM96570SQ-NOPB/page-1", "LM96570SQ-NOPB")</f>
        <v>LM96570SQ-NOPB</v>
      </c>
      <c r="B10112" s="3" t="str">
        <f>HYPERLINK("https://www.773grp.com/manufacturer/national-semiconductor?pageNo=61", "National Semiconductor")</f>
        <v>National Semiconductor</v>
      </c>
      <c r="C10112" s="6">
        <v>5000</v>
      </c>
      <c r="D10112" s="7">
        <v>16.88</v>
      </c>
    </row>
    <row r="10113" spans="1:5" x14ac:dyDescent="0.25">
      <c r="A10113" t="str">
        <f>HYPERLINK("https://www.773grp.com/globalSearch/OPA2211AIDRGT/page-1", "OPA2211AIDRGT")</f>
        <v>OPA2211AIDRGT</v>
      </c>
      <c r="B10113" s="3" t="str">
        <f>HYPERLINK("https://www.773grp.com/manufacturer/national-semiconductor?pageNo=62", "National Semiconductor")</f>
        <v>National Semiconductor</v>
      </c>
      <c r="C10113" s="6">
        <v>750</v>
      </c>
      <c r="D10113" s="7">
        <v>16.88</v>
      </c>
    </row>
    <row r="10114" spans="1:5" x14ac:dyDescent="0.25">
      <c r="A10114" t="str">
        <f>HYPERLINK("https://www.773grp.com/globalSearch/DS50PCI401SQE-NOPB/page-1", "DS50PCI401SQE-NOPB")</f>
        <v>DS50PCI401SQE-NOPB</v>
      </c>
      <c r="B10114" s="3" t="str">
        <f>HYPERLINK("https://www.773grp.com/manufacturer/national-semiconductor?pageNo=63", "National Semiconductor")</f>
        <v>National Semiconductor</v>
      </c>
      <c r="C10114" s="6">
        <v>441</v>
      </c>
      <c r="D10114" s="7">
        <v>16.91</v>
      </c>
      <c r="E10114" t="s">
        <v>21</v>
      </c>
    </row>
    <row r="10115" spans="1:5" x14ac:dyDescent="0.25">
      <c r="A10115" t="str">
        <f>HYPERLINK("https://www.773grp.com/globalSearch/DS50PCI401SQE-NOPB/page-1", "DS50PCI401SQE-NOPB")</f>
        <v>DS50PCI401SQE-NOPB</v>
      </c>
      <c r="B10115" s="3" t="str">
        <f>HYPERLINK("https://www.773grp.com/manufacturer/national-semiconductor?pageNo=64", "National Semiconductor")</f>
        <v>National Semiconductor</v>
      </c>
      <c r="C10115" s="6">
        <v>750</v>
      </c>
      <c r="D10115" s="7">
        <v>16.91</v>
      </c>
      <c r="E10115" t="s">
        <v>21</v>
      </c>
    </row>
    <row r="10116" spans="1:5" x14ac:dyDescent="0.25">
      <c r="A10116" t="str">
        <f>HYPERLINK("https://www.773grp.com/globalSearch/54LS155LM/page-1", "54LS155LM")</f>
        <v>54LS155LM</v>
      </c>
      <c r="B10116" s="3" t="str">
        <f>HYPERLINK("https://www.773grp.com/manufacturer/national-semiconductor?pageNo=65", "National Semiconductor")</f>
        <v>National Semiconductor</v>
      </c>
      <c r="C10116" s="6">
        <v>1313</v>
      </c>
      <c r="D10116" s="7">
        <v>16.989999999999998</v>
      </c>
    </row>
    <row r="10117" spans="1:5" x14ac:dyDescent="0.25">
      <c r="A10117" t="str">
        <f>HYPERLINK("https://www.773grp.com/globalSearch/ADC12081CIVT-NOPB/page-1", "ADC12081CIVT-NOPB")</f>
        <v>ADC12081CIVT-NOPB</v>
      </c>
      <c r="B10117" s="3" t="str">
        <f>HYPERLINK("https://www.773grp.com/manufacturer/national-semiconductor?pageNo=66", "National Semiconductor")</f>
        <v>National Semiconductor</v>
      </c>
      <c r="C10117" s="6">
        <v>215</v>
      </c>
      <c r="D10117" s="7">
        <v>16.989999999999998</v>
      </c>
      <c r="E10117" t="s">
        <v>39</v>
      </c>
    </row>
    <row r="10118" spans="1:5" x14ac:dyDescent="0.25">
      <c r="A10118" t="str">
        <f>HYPERLINK("https://www.773grp.com/globalSearch/ADC12081CIVT-NOPB/page-1", "ADC12081CIVT-NOPB")</f>
        <v>ADC12081CIVT-NOPB</v>
      </c>
      <c r="B10118" s="3" t="str">
        <f>HYPERLINK("https://www.773grp.com/manufacturer/national-semiconductor?pageNo=67", "National Semiconductor")</f>
        <v>National Semiconductor</v>
      </c>
      <c r="C10118" s="6">
        <v>250</v>
      </c>
      <c r="D10118" s="7">
        <v>16.989999999999998</v>
      </c>
      <c r="E10118" t="s">
        <v>39</v>
      </c>
    </row>
    <row r="10119" spans="1:5" x14ac:dyDescent="0.25">
      <c r="A10119" t="str">
        <f>HYPERLINK("https://www.773grp.com/globalSearch/LMK00301SQE-NOPB/page-1", "LMK00301SQE-NOPB")</f>
        <v>LMK00301SQE-NOPB</v>
      </c>
      <c r="B10119" s="3" t="str">
        <f>HYPERLINK("https://www.773grp.com/manufacturer/national-semiconductor?pageNo=68", "National Semiconductor")</f>
        <v>National Semiconductor</v>
      </c>
      <c r="C10119" s="6">
        <v>160</v>
      </c>
      <c r="D10119" s="7">
        <v>16.989999999999998</v>
      </c>
    </row>
    <row r="10120" spans="1:5" x14ac:dyDescent="0.25">
      <c r="A10120" t="str">
        <f>HYPERLINK("https://www.773grp.com/globalSearch/74FCT245ASCX/page-1", "74FCT245ASCX")</f>
        <v>74FCT245ASCX</v>
      </c>
      <c r="B10120" s="3" t="str">
        <f>HYPERLINK("https://www.773grp.com/manufacturer/national-semiconductor?pageNo=69", "National Semiconductor")</f>
        <v>National Semiconductor</v>
      </c>
      <c r="C10120" s="6">
        <v>4304</v>
      </c>
      <c r="D10120" s="7">
        <v>17.010000000000002</v>
      </c>
      <c r="E10120" t="s">
        <v>14</v>
      </c>
    </row>
    <row r="10121" spans="1:5" x14ac:dyDescent="0.25">
      <c r="A10121" t="str">
        <f>HYPERLINK("https://www.773grp.com/globalSearch/9301DC/page-1", "9301DC")</f>
        <v>9301DC</v>
      </c>
      <c r="B10121" s="3" t="str">
        <f>HYPERLINK("https://www.773grp.com/manufacturer/national-semiconductor?pageNo=70", "National Semiconductor")</f>
        <v>National Semiconductor</v>
      </c>
      <c r="C10121" s="6">
        <v>19</v>
      </c>
      <c r="D10121" s="7">
        <v>17.010000000000002</v>
      </c>
      <c r="E10121" t="s">
        <v>36</v>
      </c>
    </row>
    <row r="10122" spans="1:5" x14ac:dyDescent="0.25">
      <c r="A10122" t="str">
        <f>HYPERLINK("https://www.773grp.com/globalSearch/DM54LS169W-883/page-1", "DM54LS169W-883")</f>
        <v>DM54LS169W-883</v>
      </c>
      <c r="B10122" s="3" t="str">
        <f>HYPERLINK("https://www.773grp.com/manufacturer/national-semiconductor?pageNo=71", "National Semiconductor")</f>
        <v>National Semiconductor</v>
      </c>
      <c r="C10122" s="6">
        <v>250</v>
      </c>
      <c r="D10122" s="7">
        <v>17.010000000000002</v>
      </c>
      <c r="E10122" t="s">
        <v>26</v>
      </c>
    </row>
    <row r="10123" spans="1:5" x14ac:dyDescent="0.25">
      <c r="A10123" t="str">
        <f>HYPERLINK("https://www.773grp.com/globalSearch/LM9779CCVS-NOPB/page-1", "LM9779CCVS-NOPB")</f>
        <v>LM9779CCVS-NOPB</v>
      </c>
      <c r="B10123" s="3" t="str">
        <f>HYPERLINK("https://www.773grp.com/manufacturer/national-semiconductor?pageNo=72", "National Semiconductor")</f>
        <v>National Semiconductor</v>
      </c>
      <c r="C10123" s="6">
        <v>250</v>
      </c>
      <c r="D10123" s="7">
        <v>17.010000000000002</v>
      </c>
    </row>
    <row r="10124" spans="1:5" x14ac:dyDescent="0.25">
      <c r="A10124" t="str">
        <f>HYPERLINK("https://www.773grp.com/globalSearch/SCAN921025HSM/page-1", "SCAN921025HSM")</f>
        <v>SCAN921025HSM</v>
      </c>
      <c r="B10124" s="3" t="str">
        <f>HYPERLINK("https://www.773grp.com/manufacturer/national-semiconductor?pageNo=73", "National Semiconductor")</f>
        <v>National Semiconductor</v>
      </c>
      <c r="C10124" s="6">
        <v>3013</v>
      </c>
      <c r="D10124" s="7">
        <v>17.010000000000002</v>
      </c>
    </row>
    <row r="10125" spans="1:5" x14ac:dyDescent="0.25">
      <c r="A10125" t="str">
        <f>HYPERLINK("https://www.773grp.com/globalSearch/DP83846AVHG-NOPB/page-1", "DP83846AVHG-NOPB")</f>
        <v>DP83846AVHG-NOPB</v>
      </c>
      <c r="B10125" s="3" t="str">
        <f>HYPERLINK("https://www.773grp.com/manufacturer/national-semiconductor?pageNo=74", "National Semiconductor")</f>
        <v>National Semiconductor</v>
      </c>
      <c r="C10125" s="6">
        <v>2151</v>
      </c>
      <c r="D10125" s="7">
        <v>17.079999999999998</v>
      </c>
      <c r="E10125" t="s">
        <v>55</v>
      </c>
    </row>
    <row r="10126" spans="1:5" x14ac:dyDescent="0.25">
      <c r="A10126" t="str">
        <f>HYPERLINK("https://www.773grp.com/globalSearch/DP83846AVHG-NOPB/page-1", "DP83846AVHG-NOPB")</f>
        <v>DP83846AVHG-NOPB</v>
      </c>
      <c r="B10126" s="3" t="str">
        <f>HYPERLINK("https://www.773grp.com/manufacturer/national-semiconductor?pageNo=75", "National Semiconductor")</f>
        <v>National Semiconductor</v>
      </c>
      <c r="C10126" s="6">
        <v>321</v>
      </c>
      <c r="D10126" s="7">
        <v>17.079999999999998</v>
      </c>
      <c r="E10126" t="s">
        <v>55</v>
      </c>
    </row>
    <row r="10127" spans="1:5" x14ac:dyDescent="0.25">
      <c r="A10127" t="str">
        <f>HYPERLINK("https://www.773grp.com/globalSearch/54LS139LMQB/page-1", "54LS139LMQB")</f>
        <v>54LS139LMQB</v>
      </c>
      <c r="B10127" s="3" t="str">
        <f>HYPERLINK("https://www.773grp.com/manufacturer/national-semiconductor?pageNo=76", "National Semiconductor")</f>
        <v>National Semiconductor</v>
      </c>
      <c r="C10127" s="6">
        <v>1569</v>
      </c>
      <c r="D10127" s="7">
        <v>17.100000000000001</v>
      </c>
      <c r="E10127" t="s">
        <v>36</v>
      </c>
    </row>
    <row r="10128" spans="1:5" x14ac:dyDescent="0.25">
      <c r="A10128" t="str">
        <f>HYPERLINK("https://www.773grp.com/globalSearch/COP8SGE728N8-NOPB/page-1", "COP8SGE728N8-NOPB")</f>
        <v>COP8SGE728N8-NOPB</v>
      </c>
      <c r="B10128" s="3" t="str">
        <f>HYPERLINK("https://www.773grp.com/manufacturer/national-semiconductor?pageNo=77", "National Semiconductor")</f>
        <v>National Semiconductor</v>
      </c>
      <c r="C10128" s="6">
        <v>5532</v>
      </c>
      <c r="D10128" s="7">
        <v>17.100000000000001</v>
      </c>
      <c r="E10128" t="s">
        <v>52</v>
      </c>
    </row>
    <row r="10129" spans="1:5" x14ac:dyDescent="0.25">
      <c r="A10129" t="str">
        <f>HYPERLINK("https://www.773grp.com/globalSearch/COP8SGR728N8/page-1", "COP8SGR728N8")</f>
        <v>COP8SGR728N8</v>
      </c>
      <c r="B10129" s="3" t="str">
        <f>HYPERLINK("https://www.773grp.com/manufacturer/national-semiconductor?pageNo=78", "National Semiconductor")</f>
        <v>National Semiconductor</v>
      </c>
      <c r="C10129" s="6">
        <v>40</v>
      </c>
      <c r="D10129" s="7">
        <v>17.100000000000001</v>
      </c>
      <c r="E10129" t="s">
        <v>52</v>
      </c>
    </row>
    <row r="10130" spans="1:5" x14ac:dyDescent="0.25">
      <c r="A10130" t="str">
        <f>HYPERLINK("https://www.773grp.com/globalSearch/COP8SGR728N8-NOPB/page-1", "COP8SGR728N8-NOPB")</f>
        <v>COP8SGR728N8-NOPB</v>
      </c>
      <c r="B10130" s="3" t="str">
        <f>HYPERLINK("https://www.773grp.com/manufacturer/national-semiconductor?pageNo=79", "National Semiconductor")</f>
        <v>National Semiconductor</v>
      </c>
      <c r="C10130" s="6">
        <v>65</v>
      </c>
      <c r="D10130" s="7">
        <v>17.100000000000001</v>
      </c>
      <c r="E10130" t="s">
        <v>52</v>
      </c>
    </row>
    <row r="10131" spans="1:5" x14ac:dyDescent="0.25">
      <c r="A10131" t="str">
        <f>HYPERLINK("https://www.773grp.com/globalSearch/COP8SGE728N8-NOPB/page-1", "COP8SGE728N8-NOPB")</f>
        <v>COP8SGE728N8-NOPB</v>
      </c>
      <c r="B10131" s="3" t="str">
        <f>HYPERLINK("https://www.773grp.com/manufacturer/national-semiconductor?pageNo=80", "National Semiconductor")</f>
        <v>National Semiconductor</v>
      </c>
      <c r="C10131" s="6">
        <v>94</v>
      </c>
      <c r="D10131" s="7">
        <v>17.100000000000001</v>
      </c>
      <c r="E10131" t="s">
        <v>52</v>
      </c>
    </row>
    <row r="10132" spans="1:5" x14ac:dyDescent="0.25">
      <c r="A10132" t="str">
        <f>HYPERLINK("https://www.773grp.com/globalSearch/COP8SGR728N8-NOPB/page-1", "COP8SGR728N8-NOPB")</f>
        <v>COP8SGR728N8-NOPB</v>
      </c>
      <c r="B10132" s="3" t="str">
        <f>HYPERLINK("https://www.773grp.com/manufacturer/national-semiconductor?pageNo=81", "National Semiconductor")</f>
        <v>National Semiconductor</v>
      </c>
      <c r="C10132" s="6">
        <v>8</v>
      </c>
      <c r="D10132" s="7">
        <v>17.100000000000001</v>
      </c>
      <c r="E10132" t="s">
        <v>52</v>
      </c>
    </row>
    <row r="10133" spans="1:5" x14ac:dyDescent="0.25">
      <c r="A10133" t="str">
        <f>HYPERLINK("https://www.773grp.com/globalSearch/949DM/page-1", "949DM")</f>
        <v>949DM</v>
      </c>
      <c r="B10133" s="3" t="str">
        <f>HYPERLINK("https://www.773grp.com/manufacturer/national-semiconductor?pageNo=82", "National Semiconductor")</f>
        <v>National Semiconductor</v>
      </c>
      <c r="C10133" s="6">
        <v>244</v>
      </c>
      <c r="D10133" s="7">
        <v>17.13</v>
      </c>
      <c r="E10133" t="s">
        <v>31</v>
      </c>
    </row>
    <row r="10134" spans="1:5" x14ac:dyDescent="0.25">
      <c r="A10134" t="str">
        <f>HYPERLINK("https://www.773grp.com/globalSearch/54H01DM/page-1", "54H01DM")</f>
        <v>54H01DM</v>
      </c>
      <c r="B10134" s="3" t="str">
        <f>HYPERLINK("https://www.773grp.com/manufacturer/national-semiconductor?pageNo=83", "National Semiconductor")</f>
        <v>National Semiconductor</v>
      </c>
      <c r="C10134" s="6">
        <v>65</v>
      </c>
      <c r="D10134" s="7">
        <v>17.16</v>
      </c>
    </row>
    <row r="10135" spans="1:5" x14ac:dyDescent="0.25">
      <c r="A10135" t="str">
        <f>HYPERLINK("https://www.773grp.com/globalSearch/54H51DM/page-1", "54H51DM")</f>
        <v>54H51DM</v>
      </c>
      <c r="B10135" s="3" t="str">
        <f>HYPERLINK("https://www.773grp.com/manufacturer/national-semiconductor?pageNo=84", "National Semiconductor")</f>
        <v>National Semiconductor</v>
      </c>
      <c r="C10135" s="6">
        <v>1020</v>
      </c>
      <c r="D10135" s="7">
        <v>17.16</v>
      </c>
      <c r="E10135" t="s">
        <v>31</v>
      </c>
    </row>
    <row r="10136" spans="1:5" x14ac:dyDescent="0.25">
      <c r="A10136" t="str">
        <f>HYPERLINK("https://www.773grp.com/globalSearch/54H52DM/page-1", "54H52DM")</f>
        <v>54H52DM</v>
      </c>
      <c r="B10136" s="3" t="str">
        <f>HYPERLINK("https://www.773grp.com/manufacturer/national-semiconductor?pageNo=85", "National Semiconductor")</f>
        <v>National Semiconductor</v>
      </c>
      <c r="C10136" s="6">
        <v>126</v>
      </c>
      <c r="D10136" s="7">
        <v>17.16</v>
      </c>
    </row>
    <row r="10137" spans="1:5" x14ac:dyDescent="0.25">
      <c r="A10137" t="str">
        <f>HYPERLINK("https://www.773grp.com/globalSearch/CLC007BM/page-1", "CLC007BM")</f>
        <v>CLC007BM</v>
      </c>
      <c r="B10137" s="3" t="str">
        <f>HYPERLINK("https://www.773grp.com/manufacturer/national-semiconductor?pageNo=86", "National Semiconductor")</f>
        <v>National Semiconductor</v>
      </c>
      <c r="C10137" s="6">
        <v>2486</v>
      </c>
      <c r="D10137" s="7">
        <v>17.16</v>
      </c>
      <c r="E10137" t="s">
        <v>21</v>
      </c>
    </row>
    <row r="10138" spans="1:5" x14ac:dyDescent="0.25">
      <c r="A10138" t="str">
        <f>HYPERLINK("https://www.773grp.com/globalSearch/DM54LS253W-883/page-1", "DM54LS253W-883")</f>
        <v>DM54LS253W-883</v>
      </c>
      <c r="B10138" s="3" t="str">
        <f>HYPERLINK("https://www.773grp.com/manufacturer/national-semiconductor?pageNo=87", "National Semiconductor")</f>
        <v>National Semiconductor</v>
      </c>
      <c r="C10138" s="6">
        <v>817</v>
      </c>
      <c r="D10138" s="7">
        <v>17.16</v>
      </c>
      <c r="E10138" t="s">
        <v>20</v>
      </c>
    </row>
    <row r="10139" spans="1:5" x14ac:dyDescent="0.25">
      <c r="A10139" t="str">
        <f>HYPERLINK("https://www.773grp.com/globalSearch/LM369N/page-1", "LM369N")</f>
        <v>LM369N</v>
      </c>
      <c r="B10139" s="3" t="str">
        <f>HYPERLINK("https://www.773grp.com/manufacturer/national-semiconductor?pageNo=88", "National Semiconductor")</f>
        <v>National Semiconductor</v>
      </c>
      <c r="C10139" s="6">
        <v>916</v>
      </c>
      <c r="D10139" s="7">
        <v>17.16</v>
      </c>
      <c r="E10139" t="s">
        <v>17</v>
      </c>
    </row>
    <row r="10140" spans="1:5" x14ac:dyDescent="0.25">
      <c r="A10140" t="str">
        <f>HYPERLINK("https://www.773grp.com/globalSearch/SCANSTA111SM/page-1", "SCANSTA111SM")</f>
        <v>SCANSTA111SM</v>
      </c>
      <c r="B10140" s="3" t="str">
        <f>HYPERLINK("https://www.773grp.com/manufacturer/national-semiconductor?pageNo=89", "National Semiconductor")</f>
        <v>National Semiconductor</v>
      </c>
      <c r="C10140" s="6">
        <v>903</v>
      </c>
      <c r="D10140" s="7">
        <v>17.16</v>
      </c>
      <c r="E10140" t="s">
        <v>42</v>
      </c>
    </row>
    <row r="10141" spans="1:5" x14ac:dyDescent="0.25">
      <c r="A10141" t="str">
        <f>HYPERLINK("https://www.773grp.com/globalSearch/TP3465V/page-1", "TP3465V")</f>
        <v>TP3465V</v>
      </c>
      <c r="B10141" s="3" t="str">
        <f>HYPERLINK("https://www.773grp.com/manufacturer/national-semiconductor?pageNo=90", "National Semiconductor")</f>
        <v>National Semiconductor</v>
      </c>
      <c r="C10141" s="6">
        <v>760</v>
      </c>
      <c r="D10141" s="7">
        <v>17.16</v>
      </c>
      <c r="E10141" t="s">
        <v>42</v>
      </c>
    </row>
    <row r="10142" spans="1:5" x14ac:dyDescent="0.25">
      <c r="A10142" t="str">
        <f>HYPERLINK("https://www.773grp.com/globalSearch/CLC007BM/page-1", "CLC007BM")</f>
        <v>CLC007BM</v>
      </c>
      <c r="B10142" s="3" t="str">
        <f>HYPERLINK("https://www.773grp.com/manufacturer/national-semiconductor?pageNo=91", "National Semiconductor")</f>
        <v>National Semiconductor</v>
      </c>
      <c r="C10142" s="6">
        <v>178</v>
      </c>
      <c r="D10142" s="7">
        <v>17.16</v>
      </c>
      <c r="E10142" t="s">
        <v>21</v>
      </c>
    </row>
    <row r="10143" spans="1:5" x14ac:dyDescent="0.25">
      <c r="A10143" t="str">
        <f>HYPERLINK("https://www.773grp.com/globalSearch/SCANSTA111SM/page-1", "SCANSTA111SM")</f>
        <v>SCANSTA111SM</v>
      </c>
      <c r="B10143" s="3" t="str">
        <f>HYPERLINK("https://www.773grp.com/manufacturer/national-semiconductor?pageNo=92", "National Semiconductor")</f>
        <v>National Semiconductor</v>
      </c>
      <c r="C10143" s="6">
        <v>3718</v>
      </c>
      <c r="D10143" s="7">
        <v>17.16</v>
      </c>
      <c r="E10143" t="s">
        <v>42</v>
      </c>
    </row>
    <row r="10144" spans="1:5" x14ac:dyDescent="0.25">
      <c r="A10144" t="str">
        <f>HYPERLINK("https://www.773grp.com/globalSearch/TP3465V/page-1", "TP3465V")</f>
        <v>TP3465V</v>
      </c>
      <c r="B10144" s="3" t="str">
        <f>HYPERLINK("https://www.773grp.com/manufacturer/national-semiconductor?pageNo=93", "National Semiconductor")</f>
        <v>National Semiconductor</v>
      </c>
      <c r="C10144" s="6">
        <v>525</v>
      </c>
      <c r="D10144" s="7">
        <v>17.16</v>
      </c>
      <c r="E10144" t="s">
        <v>42</v>
      </c>
    </row>
    <row r="10145" spans="1:5" x14ac:dyDescent="0.25">
      <c r="A10145" t="str">
        <f>HYPERLINK("https://www.773grp.com/globalSearch/100130DCQR/page-1", "100130DCQR")</f>
        <v>100130DCQR</v>
      </c>
      <c r="B10145" s="3" t="str">
        <f>HYPERLINK("https://www.773grp.com/manufacturer/national-semiconductor?pageNo=94", "National Semiconductor")</f>
        <v>National Semiconductor</v>
      </c>
      <c r="C10145" s="6">
        <v>3579</v>
      </c>
      <c r="D10145" s="7">
        <v>17.18</v>
      </c>
      <c r="E10145" t="s">
        <v>35</v>
      </c>
    </row>
    <row r="10146" spans="1:5" x14ac:dyDescent="0.25">
      <c r="A10146" t="str">
        <f>HYPERLINK("https://www.773grp.com/globalSearch/100150DCQR/page-1", "100150DCQR")</f>
        <v>100150DCQR</v>
      </c>
      <c r="B10146" s="3" t="str">
        <f>HYPERLINK("https://www.773grp.com/manufacturer/national-semiconductor?pageNo=95", "National Semiconductor")</f>
        <v>National Semiconductor</v>
      </c>
      <c r="C10146" s="6">
        <v>1663</v>
      </c>
      <c r="D10146" s="7">
        <v>17.18</v>
      </c>
      <c r="E10146" t="s">
        <v>35</v>
      </c>
    </row>
    <row r="10147" spans="1:5" x14ac:dyDescent="0.25">
      <c r="A10147" t="str">
        <f>HYPERLINK("https://www.773grp.com/globalSearch/7439PC/page-1", "7439PC")</f>
        <v>7439PC</v>
      </c>
      <c r="B10147" s="3" t="str">
        <f>HYPERLINK("https://www.773grp.com/manufacturer/national-semiconductor?pageNo=96", "National Semiconductor")</f>
        <v>National Semiconductor</v>
      </c>
      <c r="C10147" s="6">
        <v>4912</v>
      </c>
      <c r="D10147" s="7">
        <v>17.18</v>
      </c>
    </row>
    <row r="10148" spans="1:5" x14ac:dyDescent="0.25">
      <c r="A10148" t="str">
        <f>HYPERLINK("https://www.773grp.com/globalSearch/93L09PC/page-1", "93L09PC")</f>
        <v>93L09PC</v>
      </c>
      <c r="B10148" s="3" t="str">
        <f>HYPERLINK("https://www.773grp.com/manufacturer/national-semiconductor?pageNo=97", "National Semiconductor")</f>
        <v>National Semiconductor</v>
      </c>
      <c r="C10148" s="6">
        <v>14794</v>
      </c>
      <c r="D10148" s="7">
        <v>17.18</v>
      </c>
    </row>
    <row r="10149" spans="1:5" x14ac:dyDescent="0.25">
      <c r="A10149" t="str">
        <f>HYPERLINK("https://www.773grp.com/globalSearch/93L22DC/page-1", "93L22DC")</f>
        <v>93L22DC</v>
      </c>
      <c r="B10149" s="3" t="str">
        <f>HYPERLINK("https://www.773grp.com/manufacturer/national-semiconductor?pageNo=98", "National Semiconductor")</f>
        <v>National Semiconductor</v>
      </c>
      <c r="C10149" s="6">
        <v>903</v>
      </c>
      <c r="D10149" s="7">
        <v>17.18</v>
      </c>
    </row>
    <row r="10150" spans="1:5" x14ac:dyDescent="0.25">
      <c r="A10150" t="str">
        <f>HYPERLINK("https://www.773grp.com/globalSearch/971DC/page-1", "971DC")</f>
        <v>971DC</v>
      </c>
      <c r="B10150" s="3" t="str">
        <f>HYPERLINK("https://www.773grp.com/manufacturer/national-semiconductor?pageNo=99", "National Semiconductor")</f>
        <v>National Semiconductor</v>
      </c>
      <c r="C10150" s="6">
        <v>1729</v>
      </c>
      <c r="D10150" s="7">
        <v>17.18</v>
      </c>
    </row>
    <row r="10151" spans="1:5" x14ac:dyDescent="0.25">
      <c r="A10151" t="str">
        <f>HYPERLINK("https://www.773grp.com/globalSearch/SL056833.01/page-1", "SL056833.01")</f>
        <v>SL056833.01</v>
      </c>
      <c r="B10151" s="3" t="str">
        <f>HYPERLINK("https://www.773grp.com/manufacturer/national-semiconductor?pageNo=100", "National Semiconductor")</f>
        <v>National Semiconductor</v>
      </c>
      <c r="C10151" s="6">
        <v>192</v>
      </c>
      <c r="D10151" s="7">
        <v>17.18</v>
      </c>
    </row>
    <row r="10152" spans="1:5" x14ac:dyDescent="0.25">
      <c r="A10152" t="str">
        <f>HYPERLINK("https://www.773grp.com/globalSearch/54LS138LM/page-1", "54LS138LM")</f>
        <v>54LS138LM</v>
      </c>
      <c r="B10152" s="3" t="str">
        <f>HYPERLINK("https://www.773grp.com/manufacturer/national-semiconductor?pageNo=101", "National Semiconductor")</f>
        <v>National Semiconductor</v>
      </c>
      <c r="C10152" s="6">
        <v>621</v>
      </c>
      <c r="D10152" s="7">
        <v>17.21</v>
      </c>
    </row>
    <row r="10153" spans="1:5" x14ac:dyDescent="0.25">
      <c r="A10153" t="str">
        <f>HYPERLINK("https://www.773grp.com/globalSearch/54LS138LMQB/page-1", "54LS138LMQB")</f>
        <v>54LS138LMQB</v>
      </c>
      <c r="B10153" s="3" t="str">
        <f>HYPERLINK("https://www.773grp.com/manufacturer/national-semiconductor?pageNo=102", "National Semiconductor")</f>
        <v>National Semiconductor</v>
      </c>
      <c r="C10153" s="6">
        <v>288</v>
      </c>
      <c r="D10153" s="7">
        <v>17.21</v>
      </c>
      <c r="E10153" t="s">
        <v>36</v>
      </c>
    </row>
    <row r="10154" spans="1:5" x14ac:dyDescent="0.25">
      <c r="A10154" t="str">
        <f>HYPERLINK("https://www.773grp.com/globalSearch/LM2416T/page-1", "LM2416T")</f>
        <v>LM2416T</v>
      </c>
      <c r="B10154" s="3" t="str">
        <f>HYPERLINK("https://www.773grp.com/manufacturer/national-semiconductor?pageNo=103", "National Semiconductor")</f>
        <v>National Semiconductor</v>
      </c>
      <c r="C10154" s="6">
        <v>73822</v>
      </c>
      <c r="D10154" s="7">
        <v>17.25</v>
      </c>
      <c r="E10154" t="s">
        <v>18</v>
      </c>
    </row>
    <row r="10155" spans="1:5" x14ac:dyDescent="0.25">
      <c r="A10155" t="str">
        <f>HYPERLINK("https://www.773grp.com/globalSearch/LMH0307SQE-NOPB/page-1", "LMH0307SQE-NOPB")</f>
        <v>LMH0307SQE-NOPB</v>
      </c>
      <c r="B10155" s="3" t="str">
        <f>HYPERLINK("https://www.773grp.com/manufacturer/national-semiconductor?pageNo=104", "National Semiconductor")</f>
        <v>National Semiconductor</v>
      </c>
      <c r="C10155" s="6">
        <v>2845</v>
      </c>
      <c r="D10155" s="7">
        <v>17.3</v>
      </c>
      <c r="E10155" t="s">
        <v>21</v>
      </c>
    </row>
    <row r="10156" spans="1:5" x14ac:dyDescent="0.25">
      <c r="A10156" t="str">
        <f>HYPERLINK("https://www.773grp.com/globalSearch/LMH0307GRE-NOPB/page-1", "LMH0307GRE-NOPB")</f>
        <v>LMH0307GRE-NOPB</v>
      </c>
      <c r="B10156" s="3" t="str">
        <f>HYPERLINK("https://www.773grp.com/manufacturer/national-semiconductor?pageNo=105", "National Semiconductor")</f>
        <v>National Semiconductor</v>
      </c>
      <c r="C10156" s="6">
        <v>8000</v>
      </c>
      <c r="D10156" s="7">
        <v>17.3</v>
      </c>
    </row>
    <row r="10157" spans="1:5" x14ac:dyDescent="0.25">
      <c r="A10157" t="str">
        <f>HYPERLINK("https://www.773grp.com/globalSearch/LMH0307SQE-NOPB/page-1", "LMH0307SQE-NOPB")</f>
        <v>LMH0307SQE-NOPB</v>
      </c>
      <c r="B10157" s="3" t="str">
        <f>HYPERLINK("https://www.773grp.com/manufacturer/national-semiconductor?pageNo=106", "National Semiconductor")</f>
        <v>National Semiconductor</v>
      </c>
      <c r="C10157" s="6">
        <v>393</v>
      </c>
      <c r="D10157" s="7">
        <v>17.3</v>
      </c>
      <c r="E10157" t="s">
        <v>21</v>
      </c>
    </row>
    <row r="10158" spans="1:5" x14ac:dyDescent="0.25">
      <c r="A10158" t="str">
        <f>HYPERLINK("https://www.773grp.com/globalSearch/100166DCQR/page-1", "100166DCQR")</f>
        <v>100166DCQR</v>
      </c>
      <c r="B10158" s="3" t="str">
        <f>HYPERLINK("https://www.773grp.com/manufacturer/national-semiconductor?pageNo=107", "National Semiconductor")</f>
        <v>National Semiconductor</v>
      </c>
      <c r="C10158" s="6">
        <v>825</v>
      </c>
      <c r="D10158" s="7">
        <v>17.350000000000001</v>
      </c>
      <c r="E10158" t="s">
        <v>43</v>
      </c>
    </row>
    <row r="10159" spans="1:5" x14ac:dyDescent="0.25">
      <c r="A10159" t="str">
        <f>HYPERLINK("https://www.773grp.com/globalSearch/ADC12020CIVY/page-1", "ADC12020CIVY")</f>
        <v>ADC12020CIVY</v>
      </c>
      <c r="B10159" s="3" t="str">
        <f>HYPERLINK("https://www.773grp.com/manufacturer/national-semiconductor?pageNo=108", "National Semiconductor")</f>
        <v>National Semiconductor</v>
      </c>
      <c r="C10159" s="6">
        <v>149</v>
      </c>
      <c r="D10159" s="7">
        <v>17.39</v>
      </c>
      <c r="E10159" t="s">
        <v>39</v>
      </c>
    </row>
    <row r="10160" spans="1:5" x14ac:dyDescent="0.25">
      <c r="A10160" t="str">
        <f>HYPERLINK("https://www.773grp.com/globalSearch/DS22EV5110SQ-NOPB/page-1", "DS22EV5110SQ-NOPB")</f>
        <v>DS22EV5110SQ-NOPB</v>
      </c>
      <c r="B10160" s="3" t="str">
        <f>HYPERLINK("https://www.773grp.com/manufacturer/national-semiconductor?pageNo=109", "National Semiconductor")</f>
        <v>National Semiconductor</v>
      </c>
      <c r="C10160" s="6">
        <v>900</v>
      </c>
      <c r="D10160" s="7">
        <v>17.39</v>
      </c>
    </row>
    <row r="10161" spans="1:5" x14ac:dyDescent="0.25">
      <c r="A10161" t="str">
        <f>HYPERLINK("https://www.773grp.com/globalSearch/ADC12020CIVY/page-1", "ADC12020CIVY")</f>
        <v>ADC12020CIVY</v>
      </c>
      <c r="B10161" s="3" t="str">
        <f>HYPERLINK("https://www.773grp.com/manufacturer/national-semiconductor?pageNo=110", "National Semiconductor")</f>
        <v>National Semiconductor</v>
      </c>
      <c r="C10161" s="6">
        <v>45</v>
      </c>
      <c r="D10161" s="7">
        <v>17.39</v>
      </c>
      <c r="E10161" t="s">
        <v>39</v>
      </c>
    </row>
    <row r="10162" spans="1:5" x14ac:dyDescent="0.25">
      <c r="A10162" t="str">
        <f>HYPERLINK("https://www.773grp.com/globalSearch/STA400MTEP/page-1", "STA400MTEP")</f>
        <v>STA400MTEP</v>
      </c>
      <c r="B10162" s="3" t="str">
        <f>HYPERLINK("https://www.773grp.com/manufacturer/national-semiconductor?pageNo=111", "National Semiconductor")</f>
        <v>National Semiconductor</v>
      </c>
      <c r="C10162" s="6">
        <v>2708</v>
      </c>
      <c r="D10162" s="7">
        <v>17.41</v>
      </c>
      <c r="E10162" t="s">
        <v>56</v>
      </c>
    </row>
    <row r="10163" spans="1:5" x14ac:dyDescent="0.25">
      <c r="A10163" t="str">
        <f>HYPERLINK("https://www.773grp.com/globalSearch/54ALS74AE-883/page-1", "54ALS74AE-883")</f>
        <v>54ALS74AE-883</v>
      </c>
      <c r="B10163" s="3" t="str">
        <f>HYPERLINK("https://www.773grp.com/manufacturer/national-semiconductor?pageNo=112", "National Semiconductor")</f>
        <v>National Semiconductor</v>
      </c>
      <c r="C10163" s="6">
        <v>238</v>
      </c>
      <c r="D10163" s="7">
        <v>17.440000000000001</v>
      </c>
    </row>
    <row r="10164" spans="1:5" x14ac:dyDescent="0.25">
      <c r="A10164" t="str">
        <f>HYPERLINK("https://www.773grp.com/globalSearch/54LS160ALM/page-1", "54LS160ALM")</f>
        <v>54LS160ALM</v>
      </c>
      <c r="B10164" s="3" t="str">
        <f>HYPERLINK("https://www.773grp.com/manufacturer/national-semiconductor?pageNo=113", "National Semiconductor")</f>
        <v>National Semiconductor</v>
      </c>
      <c r="C10164" s="6">
        <v>430</v>
      </c>
      <c r="D10164" s="7">
        <v>17.440000000000001</v>
      </c>
    </row>
    <row r="10165" spans="1:5" x14ac:dyDescent="0.25">
      <c r="A10165" t="str">
        <f>HYPERLINK("https://www.773grp.com/globalSearch/54LS163ALM/page-1", "54LS163ALM")</f>
        <v>54LS163ALM</v>
      </c>
      <c r="B10165" s="3" t="str">
        <f>HYPERLINK("https://www.773grp.com/manufacturer/national-semiconductor?pageNo=114", "National Semiconductor")</f>
        <v>National Semiconductor</v>
      </c>
      <c r="C10165" s="6">
        <v>503</v>
      </c>
      <c r="D10165" s="7">
        <v>17.440000000000001</v>
      </c>
    </row>
    <row r="10166" spans="1:5" x14ac:dyDescent="0.25">
      <c r="A10166" t="str">
        <f>HYPERLINK("https://www.773grp.com/globalSearch/54LS163ALMQB/page-1", "54LS163ALMQB")</f>
        <v>54LS163ALMQB</v>
      </c>
      <c r="B10166" s="3" t="str">
        <f>HYPERLINK("https://www.773grp.com/manufacturer/national-semiconductor?pageNo=115", "National Semiconductor")</f>
        <v>National Semiconductor</v>
      </c>
      <c r="C10166" s="6">
        <v>1023</v>
      </c>
      <c r="D10166" s="7">
        <v>17.440000000000001</v>
      </c>
      <c r="E10166" t="s">
        <v>26</v>
      </c>
    </row>
    <row r="10167" spans="1:5" x14ac:dyDescent="0.25">
      <c r="A10167" t="str">
        <f>HYPERLINK("https://www.773grp.com/globalSearch/UCD9240RGCT/page-1", "UCD9240RGCT")</f>
        <v>UCD9240RGCT</v>
      </c>
      <c r="B10167" s="3" t="str">
        <f>HYPERLINK("https://www.773grp.com/manufacturer/national-semiconductor?pageNo=116", "National Semiconductor")</f>
        <v>National Semiconductor</v>
      </c>
      <c r="C10167" s="6">
        <v>30</v>
      </c>
      <c r="D10167" s="7">
        <v>17.46</v>
      </c>
    </row>
    <row r="10168" spans="1:5" x14ac:dyDescent="0.25">
      <c r="A10168" t="str">
        <f>HYPERLINK("https://www.773grp.com/globalSearch/40174BDM/page-1", "40174BDM")</f>
        <v>40174BDM</v>
      </c>
      <c r="B10168" s="3" t="str">
        <f>HYPERLINK("https://www.773grp.com/manufacturer/national-semiconductor?pageNo=117", "National Semiconductor")</f>
        <v>National Semiconductor</v>
      </c>
      <c r="C10168" s="6">
        <v>20227</v>
      </c>
      <c r="D10168" s="7">
        <v>17.5</v>
      </c>
    </row>
    <row r="10169" spans="1:5" x14ac:dyDescent="0.25">
      <c r="A10169" t="str">
        <f>HYPERLINK("https://www.773grp.com/globalSearch/40174BDMQB/page-1", "40174BDMQB")</f>
        <v>40174BDMQB</v>
      </c>
      <c r="B10169" s="3" t="str">
        <f>HYPERLINK("https://www.773grp.com/manufacturer/national-semiconductor?pageNo=118", "National Semiconductor")</f>
        <v>National Semiconductor</v>
      </c>
      <c r="C10169" s="6">
        <v>27435</v>
      </c>
      <c r="D10169" s="7">
        <v>17.5</v>
      </c>
      <c r="E10169" t="s">
        <v>35</v>
      </c>
    </row>
    <row r="10170" spans="1:5" x14ac:dyDescent="0.25">
      <c r="A10170" t="str">
        <f>HYPERLINK("https://www.773grp.com/globalSearch/40175BDM/page-1", "40175BDM")</f>
        <v>40175BDM</v>
      </c>
      <c r="B10170" s="3" t="str">
        <f>HYPERLINK("https://www.773grp.com/manufacturer/national-semiconductor?pageNo=119", "National Semiconductor")</f>
        <v>National Semiconductor</v>
      </c>
      <c r="C10170" s="6">
        <v>1559</v>
      </c>
      <c r="D10170" s="7">
        <v>17.5</v>
      </c>
    </row>
    <row r="10171" spans="1:5" x14ac:dyDescent="0.25">
      <c r="A10171" t="str">
        <f>HYPERLINK("https://www.773grp.com/globalSearch/DS92LV1023TMSA/page-1", "DS92LV1023TMSA")</f>
        <v>DS92LV1023TMSA</v>
      </c>
      <c r="B10171" s="3" t="str">
        <f>HYPERLINK("https://www.773grp.com/manufacturer/national-semiconductor?pageNo=120", "National Semiconductor")</f>
        <v>National Semiconductor</v>
      </c>
      <c r="C10171" s="6">
        <v>648</v>
      </c>
      <c r="D10171" s="7">
        <v>17.510000000000002</v>
      </c>
      <c r="E10171" t="s">
        <v>21</v>
      </c>
    </row>
    <row r="10172" spans="1:5" x14ac:dyDescent="0.25">
      <c r="A10172" t="str">
        <f>HYPERLINK("https://www.773grp.com/globalSearch/54F174DM/page-1", "54F174DM")</f>
        <v>54F174DM</v>
      </c>
      <c r="B10172" s="3" t="str">
        <f>HYPERLINK("https://www.773grp.com/manufacturer/national-semiconductor?pageNo=121", "National Semiconductor")</f>
        <v>National Semiconductor</v>
      </c>
      <c r="C10172" s="6">
        <v>2352</v>
      </c>
      <c r="D10172" s="7">
        <v>17.55</v>
      </c>
      <c r="E10172" t="s">
        <v>35</v>
      </c>
    </row>
    <row r="10173" spans="1:5" x14ac:dyDescent="0.25">
      <c r="A10173" t="str">
        <f>HYPERLINK("https://www.773grp.com/globalSearch/54F182DM/page-1", "54F182DM")</f>
        <v>54F182DM</v>
      </c>
      <c r="B10173" s="3" t="str">
        <f>HYPERLINK("https://www.773grp.com/manufacturer/national-semiconductor?pageNo=122", "National Semiconductor")</f>
        <v>National Semiconductor</v>
      </c>
      <c r="C10173" s="6">
        <v>2370</v>
      </c>
      <c r="D10173" s="7">
        <v>17.55</v>
      </c>
      <c r="E10173" t="s">
        <v>43</v>
      </c>
    </row>
    <row r="10174" spans="1:5" x14ac:dyDescent="0.25">
      <c r="A10174" t="str">
        <f>HYPERLINK("https://www.773grp.com/globalSearch/54F251ADC/page-1", "54F251ADC")</f>
        <v>54F251ADC</v>
      </c>
      <c r="B10174" s="3" t="str">
        <f>HYPERLINK("https://www.773grp.com/manufacturer/national-semiconductor?pageNo=123", "National Semiconductor")</f>
        <v>National Semiconductor</v>
      </c>
      <c r="C10174" s="6">
        <v>67</v>
      </c>
      <c r="D10174" s="7">
        <v>17.55</v>
      </c>
      <c r="E10174" t="s">
        <v>20</v>
      </c>
    </row>
    <row r="10175" spans="1:5" x14ac:dyDescent="0.25">
      <c r="A10175" t="str">
        <f>HYPERLINK("https://www.773grp.com/globalSearch/54F280DC/page-1", "54F280DC")</f>
        <v>54F280DC</v>
      </c>
      <c r="B10175" s="3" t="str">
        <f>HYPERLINK("https://www.773grp.com/manufacturer/national-semiconductor?pageNo=124", "National Semiconductor")</f>
        <v>National Semiconductor</v>
      </c>
      <c r="C10175" s="6">
        <v>275</v>
      </c>
      <c r="D10175" s="7">
        <v>17.55</v>
      </c>
      <c r="E10175" t="s">
        <v>43</v>
      </c>
    </row>
    <row r="10176" spans="1:5" x14ac:dyDescent="0.25">
      <c r="A10176" t="str">
        <f>HYPERLINK("https://www.773grp.com/globalSearch/54F521DC/page-1", "54F521DC")</f>
        <v>54F521DC</v>
      </c>
      <c r="B10176" s="3" t="str">
        <f>HYPERLINK("https://www.773grp.com/manufacturer/national-semiconductor?pageNo=125", "National Semiconductor")</f>
        <v>National Semiconductor</v>
      </c>
      <c r="C10176" s="6">
        <v>164</v>
      </c>
      <c r="D10176" s="7">
        <v>17.55</v>
      </c>
      <c r="E10176" t="s">
        <v>43</v>
      </c>
    </row>
    <row r="10177" spans="1:5" x14ac:dyDescent="0.25">
      <c r="A10177" t="str">
        <f>HYPERLINK("https://www.773grp.com/globalSearch/54F574DM/page-1", "54F574DM")</f>
        <v>54F574DM</v>
      </c>
      <c r="B10177" s="3" t="str">
        <f>HYPERLINK("https://www.773grp.com/manufacturer/national-semiconductor?pageNo=126", "National Semiconductor")</f>
        <v>National Semiconductor</v>
      </c>
      <c r="C10177" s="6">
        <v>303</v>
      </c>
      <c r="D10177" s="7">
        <v>17.55</v>
      </c>
      <c r="E10177" t="s">
        <v>14</v>
      </c>
    </row>
    <row r="10178" spans="1:5" x14ac:dyDescent="0.25">
      <c r="A10178" t="str">
        <f>HYPERLINK("https://www.773grp.com/globalSearch/54LS164LM/page-1", "54LS164LM")</f>
        <v>54LS164LM</v>
      </c>
      <c r="B10178" s="3" t="str">
        <f>HYPERLINK("https://www.773grp.com/manufacturer/national-semiconductor?pageNo=127", "National Semiconductor")</f>
        <v>National Semiconductor</v>
      </c>
      <c r="C10178" s="6">
        <v>1247</v>
      </c>
      <c r="D10178" s="7">
        <v>17.55</v>
      </c>
    </row>
    <row r="10179" spans="1:5" x14ac:dyDescent="0.25">
      <c r="A10179" t="str">
        <f>HYPERLINK("https://www.773grp.com/globalSearch/54F253FMQB/page-1", "54F253FMQB")</f>
        <v>54F253FMQB</v>
      </c>
      <c r="B10179" s="3" t="str">
        <f>HYPERLINK("https://www.773grp.com/manufacturer/national-semiconductor?pageNo=128", "National Semiconductor")</f>
        <v>National Semiconductor</v>
      </c>
      <c r="C10179" s="6">
        <v>536</v>
      </c>
      <c r="D10179" s="7">
        <v>17.59</v>
      </c>
      <c r="E10179" t="s">
        <v>20</v>
      </c>
    </row>
    <row r="10180" spans="1:5" x14ac:dyDescent="0.25">
      <c r="A10180" t="str">
        <f>HYPERLINK("https://www.773grp.com/globalSearch/54LS169LMQB/page-1", "54LS169LMQB")</f>
        <v>54LS169LMQB</v>
      </c>
      <c r="B10180" s="3" t="str">
        <f>HYPERLINK("https://www.773grp.com/manufacturer/national-semiconductor?pageNo=129", "National Semiconductor")</f>
        <v>National Semiconductor</v>
      </c>
      <c r="C10180" s="6">
        <v>793</v>
      </c>
      <c r="D10180" s="7">
        <v>17.59</v>
      </c>
      <c r="E10180" t="s">
        <v>26</v>
      </c>
    </row>
    <row r="10181" spans="1:5" x14ac:dyDescent="0.25">
      <c r="A10181" t="str">
        <f>HYPERLINK("https://www.773grp.com/globalSearch/74F521DC/page-1", "74F521DC")</f>
        <v>74F521DC</v>
      </c>
      <c r="B10181" s="3" t="str">
        <f>HYPERLINK("https://www.773grp.com/manufacturer/national-semiconductor?pageNo=130", "National Semiconductor")</f>
        <v>National Semiconductor</v>
      </c>
      <c r="C10181" s="6">
        <v>323</v>
      </c>
      <c r="D10181" s="7">
        <v>17.59</v>
      </c>
      <c r="E10181" t="s">
        <v>43</v>
      </c>
    </row>
    <row r="10182" spans="1:5" x14ac:dyDescent="0.25">
      <c r="A10182" t="str">
        <f>HYPERLINK("https://www.773grp.com/globalSearch/DM54194J-883/page-1", "DM54194J-883")</f>
        <v>DM54194J-883</v>
      </c>
      <c r="B10182" s="3" t="str">
        <f>HYPERLINK("https://www.773grp.com/manufacturer/national-semiconductor?pageNo=131", "National Semiconductor")</f>
        <v>National Semiconductor</v>
      </c>
      <c r="C10182" s="6">
        <v>110</v>
      </c>
      <c r="D10182" s="7">
        <v>17.59</v>
      </c>
      <c r="E10182" t="s">
        <v>32</v>
      </c>
    </row>
    <row r="10183" spans="1:5" x14ac:dyDescent="0.25">
      <c r="A10183" t="str">
        <f>HYPERLINK("https://www.773grp.com/globalSearch/DS40MB200SQ-NOPB/page-1", "DS40MB200SQ-NOPB")</f>
        <v>DS40MB200SQ-NOPB</v>
      </c>
      <c r="B10183" s="3" t="str">
        <f>HYPERLINK("https://www.773grp.com/manufacturer/national-semiconductor?pageNo=132", "National Semiconductor")</f>
        <v>National Semiconductor</v>
      </c>
      <c r="C10183" s="6">
        <v>670</v>
      </c>
      <c r="D10183" s="7">
        <v>17.59</v>
      </c>
      <c r="E10183" t="s">
        <v>20</v>
      </c>
    </row>
    <row r="10184" spans="1:5" x14ac:dyDescent="0.25">
      <c r="A10184" t="str">
        <f>HYPERLINK("https://www.773grp.com/globalSearch/GAL22CV10-10LNC/page-1", "GAL22CV10-10LNC")</f>
        <v>GAL22CV10-10LNC</v>
      </c>
      <c r="B10184" s="3" t="str">
        <f>HYPERLINK("https://www.773grp.com/manufacturer/national-semiconductor?pageNo=133", "National Semiconductor")</f>
        <v>National Semiconductor</v>
      </c>
      <c r="C10184" s="6">
        <v>11800</v>
      </c>
      <c r="D10184" s="7">
        <v>17.59</v>
      </c>
    </row>
    <row r="10185" spans="1:5" x14ac:dyDescent="0.25">
      <c r="A10185" t="str">
        <f>HYPERLINK("https://www.773grp.com/globalSearch/GAL22CV10-10LVC/page-1", "GAL22CV10-10LVC")</f>
        <v>GAL22CV10-10LVC</v>
      </c>
      <c r="B10185" s="3" t="str">
        <f>HYPERLINK("https://www.773grp.com/manufacturer/national-semiconductor?pageNo=134", "National Semiconductor")</f>
        <v>National Semiconductor</v>
      </c>
      <c r="C10185" s="6">
        <v>12323</v>
      </c>
      <c r="D10185" s="7">
        <v>17.59</v>
      </c>
    </row>
    <row r="10186" spans="1:5" x14ac:dyDescent="0.25">
      <c r="A10186" t="str">
        <f>HYPERLINK("https://www.773grp.com/globalSearch/GAL22CV10-LNC/page-1", "GAL22CV10-LNC")</f>
        <v>GAL22CV10-LNC</v>
      </c>
      <c r="B10186" s="3" t="str">
        <f>HYPERLINK("https://www.773grp.com/manufacturer/national-semiconductor?pageNo=1", "National Semiconductor")</f>
        <v>National Semiconductor</v>
      </c>
      <c r="C10186" s="6">
        <v>1060</v>
      </c>
      <c r="D10186" s="7">
        <v>17.59</v>
      </c>
    </row>
    <row r="10187" spans="1:5" x14ac:dyDescent="0.25">
      <c r="A10187" t="str">
        <f>HYPERLINK("https://www.773grp.com/globalSearch/DS40MB200SQ-NOPB/page-1", "DS40MB200SQ-NOPB")</f>
        <v>DS40MB200SQ-NOPB</v>
      </c>
      <c r="B10187" s="3" t="str">
        <f>HYPERLINK("https://www.773grp.com/manufacturer/national-semiconductor?pageNo=2", "National Semiconductor")</f>
        <v>National Semiconductor</v>
      </c>
      <c r="C10187" s="6">
        <v>51</v>
      </c>
      <c r="D10187" s="7">
        <v>17.59</v>
      </c>
      <c r="E10187" t="s">
        <v>20</v>
      </c>
    </row>
    <row r="10188" spans="1:5" x14ac:dyDescent="0.25">
      <c r="A10188" t="str">
        <f>HYPERLINK("https://www.773grp.com/globalSearch/100141DCQR/page-1", "100141DCQR")</f>
        <v>100141DCQR</v>
      </c>
      <c r="B10188" s="3" t="str">
        <f>HYPERLINK("https://www.773grp.com/manufacturer/national-semiconductor?pageNo=3", "National Semiconductor")</f>
        <v>National Semiconductor</v>
      </c>
      <c r="C10188" s="6">
        <v>2508</v>
      </c>
      <c r="D10188" s="7">
        <v>17.66</v>
      </c>
      <c r="E10188" t="s">
        <v>32</v>
      </c>
    </row>
    <row r="10189" spans="1:5" x14ac:dyDescent="0.25">
      <c r="A10189" t="str">
        <f>HYPERLINK("https://www.773grp.com/globalSearch/DS90CR561MTD/page-1", "DS90CR561MTD")</f>
        <v>DS90CR561MTD</v>
      </c>
      <c r="B10189" s="3" t="str">
        <f>HYPERLINK("https://www.773grp.com/manufacturer/national-semiconductor?pageNo=4", "National Semiconductor")</f>
        <v>National Semiconductor</v>
      </c>
      <c r="C10189" s="6">
        <v>3182</v>
      </c>
      <c r="D10189" s="7">
        <v>17.66</v>
      </c>
      <c r="E10189" t="s">
        <v>21</v>
      </c>
    </row>
    <row r="10190" spans="1:5" x14ac:dyDescent="0.25">
      <c r="A10190" t="str">
        <f>HYPERLINK("https://www.773grp.com/globalSearch/DS90CR561MTDX/page-1", "DS90CR561MTDX")</f>
        <v>DS90CR561MTDX</v>
      </c>
      <c r="B10190" s="3" t="str">
        <f>HYPERLINK("https://www.773grp.com/manufacturer/national-semiconductor?pageNo=5", "National Semiconductor")</f>
        <v>National Semiconductor</v>
      </c>
      <c r="C10190" s="6">
        <v>2000</v>
      </c>
      <c r="D10190" s="7">
        <v>17.66</v>
      </c>
      <c r="E10190" t="s">
        <v>21</v>
      </c>
    </row>
    <row r="10191" spans="1:5" x14ac:dyDescent="0.25">
      <c r="A10191" t="str">
        <f>HYPERLINK("https://www.773grp.com/globalSearch/DS90CR562MTD/page-1", "DS90CR562MTD")</f>
        <v>DS90CR562MTD</v>
      </c>
      <c r="B10191" s="3" t="str">
        <f>HYPERLINK("https://www.773grp.com/manufacturer/national-semiconductor?pageNo=6", "National Semiconductor")</f>
        <v>National Semiconductor</v>
      </c>
      <c r="C10191" s="6">
        <v>3851</v>
      </c>
      <c r="D10191" s="7">
        <v>17.66</v>
      </c>
      <c r="E10191" t="s">
        <v>21</v>
      </c>
    </row>
    <row r="10192" spans="1:5" x14ac:dyDescent="0.25">
      <c r="A10192" t="str">
        <f>HYPERLINK("https://www.773grp.com/globalSearch/LMZ22003TZ-NOPB/page-1", "LMZ22003TZ-NOPB")</f>
        <v>LMZ22003TZ-NOPB</v>
      </c>
      <c r="B10192" s="3" t="str">
        <f>HYPERLINK("https://www.773grp.com/manufacturer/national-semiconductor?pageNo=7", "National Semiconductor")</f>
        <v>National Semiconductor</v>
      </c>
      <c r="C10192" s="6">
        <v>1</v>
      </c>
      <c r="D10192" s="7">
        <v>17.66</v>
      </c>
      <c r="E10192" t="s">
        <v>7</v>
      </c>
    </row>
    <row r="10193" spans="1:5" x14ac:dyDescent="0.25">
      <c r="A10193" t="str">
        <f>HYPERLINK("https://www.773grp.com/globalSearch/DS50PCI402SQE-NOPB/page-1", "DS50PCI402SQE-NOPB")</f>
        <v>DS50PCI402SQE-NOPB</v>
      </c>
      <c r="B10193" s="3" t="str">
        <f>HYPERLINK("https://www.773grp.com/manufacturer/national-semiconductor?pageNo=8", "National Semiconductor")</f>
        <v>National Semiconductor</v>
      </c>
      <c r="C10193" s="6">
        <v>89</v>
      </c>
      <c r="D10193" s="7">
        <v>17.66</v>
      </c>
    </row>
    <row r="10194" spans="1:5" x14ac:dyDescent="0.25">
      <c r="A10194" t="str">
        <f>HYPERLINK("https://www.773grp.com/globalSearch/DS92LV3221TVS-NOPB/page-1", "DS92LV3221TVS-NOPB")</f>
        <v>DS92LV3221TVS-NOPB</v>
      </c>
      <c r="B10194" s="3" t="str">
        <f>HYPERLINK("https://www.773grp.com/manufacturer/national-semiconductor?pageNo=9", "National Semiconductor")</f>
        <v>National Semiconductor</v>
      </c>
      <c r="C10194" s="6">
        <v>1370</v>
      </c>
      <c r="D10194" s="7">
        <v>17.66</v>
      </c>
    </row>
    <row r="10195" spans="1:5" x14ac:dyDescent="0.25">
      <c r="A10195" t="str">
        <f>HYPERLINK("https://www.773grp.com/globalSearch/93L24PC/page-1", "93L24PC")</f>
        <v>93L24PC</v>
      </c>
      <c r="B10195" s="3" t="str">
        <f>HYPERLINK("https://www.773grp.com/manufacturer/national-semiconductor?pageNo=10", "National Semiconductor")</f>
        <v>National Semiconductor</v>
      </c>
      <c r="C10195" s="6">
        <v>259</v>
      </c>
      <c r="D10195" s="7">
        <v>17.73</v>
      </c>
    </row>
    <row r="10196" spans="1:5" x14ac:dyDescent="0.25">
      <c r="A10196" t="str">
        <f>HYPERLINK("https://www.773grp.com/globalSearch/93L34PC/page-1", "93L34PC")</f>
        <v>93L34PC</v>
      </c>
      <c r="B10196" s="3" t="str">
        <f>HYPERLINK("https://www.773grp.com/manufacturer/national-semiconductor?pageNo=11", "National Semiconductor")</f>
        <v>National Semiconductor</v>
      </c>
      <c r="C10196" s="6">
        <v>3357</v>
      </c>
      <c r="D10196" s="7">
        <v>17.73</v>
      </c>
    </row>
    <row r="10197" spans="1:5" x14ac:dyDescent="0.25">
      <c r="A10197" t="str">
        <f>HYPERLINK("https://www.773grp.com/globalSearch/ADC12081CIVT/page-1", "ADC12081CIVT")</f>
        <v>ADC12081CIVT</v>
      </c>
      <c r="B10197" s="3" t="str">
        <f>HYPERLINK("https://www.773grp.com/manufacturer/national-semiconductor?pageNo=12", "National Semiconductor")</f>
        <v>National Semiconductor</v>
      </c>
      <c r="C10197" s="6">
        <v>239</v>
      </c>
      <c r="D10197" s="7">
        <v>17.73</v>
      </c>
      <c r="E10197" t="s">
        <v>39</v>
      </c>
    </row>
    <row r="10198" spans="1:5" x14ac:dyDescent="0.25">
      <c r="A10198" t="str">
        <f>HYPERLINK("https://www.773grp.com/globalSearch/DAC128S085CIMT-NOPB/page-1", "DAC128S085CIMT-NOPB")</f>
        <v>DAC128S085CIMT-NOPB</v>
      </c>
      <c r="B10198" s="3" t="str">
        <f>HYPERLINK("https://www.773grp.com/manufacturer/national-semiconductor?pageNo=13", "National Semiconductor")</f>
        <v>National Semiconductor</v>
      </c>
      <c r="C10198" s="6">
        <v>3887</v>
      </c>
      <c r="D10198" s="7">
        <v>17.73</v>
      </c>
    </row>
    <row r="10199" spans="1:5" x14ac:dyDescent="0.25">
      <c r="A10199" t="str">
        <f>HYPERLINK("https://www.773grp.com/globalSearch/LM4546AVHX/page-1", "LM4546AVHX")</f>
        <v>LM4546AVHX</v>
      </c>
      <c r="B10199" s="3" t="str">
        <f>HYPERLINK("https://www.773grp.com/manufacturer/national-semiconductor?pageNo=14", "National Semiconductor")</f>
        <v>National Semiconductor</v>
      </c>
      <c r="C10199" s="6">
        <v>48000</v>
      </c>
      <c r="D10199" s="7">
        <v>17.73</v>
      </c>
      <c r="E10199" t="s">
        <v>23</v>
      </c>
    </row>
    <row r="10200" spans="1:5" x14ac:dyDescent="0.25">
      <c r="A10200" t="str">
        <f>HYPERLINK("https://www.773grp.com/globalSearch/LM4548AVH/page-1", "LM4548AVH")</f>
        <v>LM4548AVH</v>
      </c>
      <c r="B10200" s="3" t="str">
        <f>HYPERLINK("https://www.773grp.com/manufacturer/national-semiconductor?pageNo=15", "National Semiconductor")</f>
        <v>National Semiconductor</v>
      </c>
      <c r="C10200" s="6">
        <v>11540</v>
      </c>
      <c r="D10200" s="7">
        <v>17.73</v>
      </c>
      <c r="E10200" t="s">
        <v>23</v>
      </c>
    </row>
    <row r="10201" spans="1:5" x14ac:dyDescent="0.25">
      <c r="A10201" t="str">
        <f>HYPERLINK("https://www.773grp.com/globalSearch/LM4548AVHX/page-1", "LM4548AVHX")</f>
        <v>LM4548AVHX</v>
      </c>
      <c r="B10201" s="3" t="str">
        <f>HYPERLINK("https://www.773grp.com/manufacturer/national-semiconductor?pageNo=16", "National Semiconductor")</f>
        <v>National Semiconductor</v>
      </c>
      <c r="C10201" s="6">
        <v>3000</v>
      </c>
      <c r="D10201" s="7">
        <v>17.73</v>
      </c>
    </row>
    <row r="10202" spans="1:5" x14ac:dyDescent="0.25">
      <c r="A10202" t="str">
        <f>HYPERLINK("https://www.773grp.com/globalSearch/LM4549AVH/page-1", "LM4549AVH")</f>
        <v>LM4549AVH</v>
      </c>
      <c r="B10202" s="3" t="str">
        <f>HYPERLINK("https://www.773grp.com/manufacturer/national-semiconductor?pageNo=17", "National Semiconductor")</f>
        <v>National Semiconductor</v>
      </c>
      <c r="C10202" s="6">
        <v>7567</v>
      </c>
      <c r="D10202" s="7">
        <v>17.73</v>
      </c>
      <c r="E10202" t="s">
        <v>23</v>
      </c>
    </row>
    <row r="10203" spans="1:5" x14ac:dyDescent="0.25">
      <c r="A10203" t="str">
        <f>HYPERLINK("https://www.773grp.com/globalSearch/LM4549AVHX/page-1", "LM4549AVHX")</f>
        <v>LM4549AVHX</v>
      </c>
      <c r="B10203" s="3" t="str">
        <f>HYPERLINK("https://www.773grp.com/manufacturer/national-semiconductor?pageNo=18", "National Semiconductor")</f>
        <v>National Semiconductor</v>
      </c>
      <c r="C10203" s="6">
        <v>10000</v>
      </c>
      <c r="D10203" s="7">
        <v>17.73</v>
      </c>
    </row>
    <row r="10204" spans="1:5" x14ac:dyDescent="0.25">
      <c r="A10204" t="str">
        <f>HYPERLINK("https://www.773grp.com/globalSearch/LM4550VHX/page-1", "LM4550VHX")</f>
        <v>LM4550VHX</v>
      </c>
      <c r="B10204" s="3" t="str">
        <f>HYPERLINK("https://www.773grp.com/manufacturer/national-semiconductor?pageNo=19", "National Semiconductor")</f>
        <v>National Semiconductor</v>
      </c>
      <c r="C10204" s="6">
        <v>16000</v>
      </c>
      <c r="D10204" s="7">
        <v>17.73</v>
      </c>
      <c r="E10204" t="s">
        <v>23</v>
      </c>
    </row>
    <row r="10205" spans="1:5" x14ac:dyDescent="0.25">
      <c r="A10205" t="str">
        <f>HYPERLINK("https://www.773grp.com/globalSearch/DAC128S085CIMT-NOPB/page-1", "DAC128S085CIMT-NOPB")</f>
        <v>DAC128S085CIMT-NOPB</v>
      </c>
      <c r="B10205" s="3" t="str">
        <f>HYPERLINK("https://www.773grp.com/manufacturer/national-semiconductor?pageNo=20", "National Semiconductor")</f>
        <v>National Semiconductor</v>
      </c>
      <c r="C10205" s="6">
        <v>170</v>
      </c>
      <c r="D10205" s="7">
        <v>17.73</v>
      </c>
    </row>
    <row r="10206" spans="1:5" x14ac:dyDescent="0.25">
      <c r="A10206" t="str">
        <f>HYPERLINK("https://www.773grp.com/globalSearch/ADC128S102CIMT/page-1", "ADC128S102CIMT")</f>
        <v>ADC128S102CIMT</v>
      </c>
      <c r="B10206" s="3" t="str">
        <f>HYPERLINK("https://www.773grp.com/manufacturer/national-semiconductor?pageNo=21", "National Semiconductor")</f>
        <v>National Semiconductor</v>
      </c>
      <c r="C10206" s="6">
        <v>35</v>
      </c>
      <c r="D10206" s="7">
        <v>17.75</v>
      </c>
      <c r="E10206" t="s">
        <v>39</v>
      </c>
    </row>
    <row r="10207" spans="1:5" x14ac:dyDescent="0.25">
      <c r="A10207" t="str">
        <f>HYPERLINK("https://www.773grp.com/globalSearch/54H11DM/page-1", "54H11DM")</f>
        <v>54H11DM</v>
      </c>
      <c r="B10207" s="3" t="str">
        <f>HYPERLINK("https://www.773grp.com/manufacturer/national-semiconductor?pageNo=22", "National Semiconductor")</f>
        <v>National Semiconductor</v>
      </c>
      <c r="C10207" s="6">
        <v>1420</v>
      </c>
      <c r="D10207" s="7">
        <v>17.8</v>
      </c>
      <c r="E10207" t="s">
        <v>31</v>
      </c>
    </row>
    <row r="10208" spans="1:5" x14ac:dyDescent="0.25">
      <c r="A10208" t="str">
        <f>HYPERLINK("https://www.773grp.com/globalSearch/LM93CIMT/page-1", "LM93CIMT")</f>
        <v>LM93CIMT</v>
      </c>
      <c r="B10208" s="3" t="str">
        <f>HYPERLINK("https://www.773grp.com/manufacturer/national-semiconductor?pageNo=23", "National Semiconductor")</f>
        <v>National Semiconductor</v>
      </c>
      <c r="C10208" s="6">
        <v>63</v>
      </c>
      <c r="D10208" s="7">
        <v>17.8</v>
      </c>
      <c r="E10208" t="s">
        <v>30</v>
      </c>
    </row>
    <row r="10209" spans="1:5" x14ac:dyDescent="0.25">
      <c r="A10209" t="str">
        <f>HYPERLINK("https://www.773grp.com/globalSearch/LMX2531LQ1570E-NOPB/page-1", "LMX2531LQ1570E-NOPB")</f>
        <v>LMX2531LQ1570E-NOPB</v>
      </c>
      <c r="B10209" s="3" t="str">
        <f>HYPERLINK("https://www.773grp.com/manufacturer/national-semiconductor?pageNo=24", "National Semiconductor")</f>
        <v>National Semiconductor</v>
      </c>
      <c r="C10209" s="6">
        <v>1271</v>
      </c>
      <c r="D10209" s="7">
        <v>17.8</v>
      </c>
    </row>
    <row r="10210" spans="1:5" x14ac:dyDescent="0.25">
      <c r="A10210" t="str">
        <f>HYPERLINK("https://www.773grp.com/globalSearch/LMX2531LQ1650E-NOPB/page-1", "LMX2531LQ1650E-NOPB")</f>
        <v>LMX2531LQ1650E-NOPB</v>
      </c>
      <c r="B10210" s="3" t="str">
        <f>HYPERLINK("https://www.773grp.com/manufacturer/national-semiconductor?pageNo=25", "National Semiconductor")</f>
        <v>National Semiconductor</v>
      </c>
      <c r="C10210" s="6">
        <v>1230</v>
      </c>
      <c r="D10210" s="7">
        <v>17.8</v>
      </c>
      <c r="E10210" t="s">
        <v>38</v>
      </c>
    </row>
    <row r="10211" spans="1:5" x14ac:dyDescent="0.25">
      <c r="A10211" t="str">
        <f>HYPERLINK("https://www.773grp.com/globalSearch/LMX2531LQ1742-NOPB/page-1", "LMX2531LQ1742-NOPB")</f>
        <v>LMX2531LQ1742-NOPB</v>
      </c>
      <c r="B10211" s="3" t="str">
        <f>HYPERLINK("https://www.773grp.com/manufacturer/national-semiconductor?pageNo=26", "National Semiconductor")</f>
        <v>National Semiconductor</v>
      </c>
      <c r="C10211" s="6">
        <v>229</v>
      </c>
      <c r="D10211" s="7">
        <v>17.8</v>
      </c>
    </row>
    <row r="10212" spans="1:5" x14ac:dyDescent="0.25">
      <c r="A10212" t="str">
        <f>HYPERLINK("https://www.773grp.com/globalSearch/LMX2531LQ1778E-NOPB/page-1", "LMX2531LQ1778E-NOPB")</f>
        <v>LMX2531LQ1778E-NOPB</v>
      </c>
      <c r="B10212" s="3" t="str">
        <f>HYPERLINK("https://www.773grp.com/manufacturer/national-semiconductor?pageNo=27", "National Semiconductor")</f>
        <v>National Semiconductor</v>
      </c>
      <c r="C10212" s="6">
        <v>1000</v>
      </c>
      <c r="D10212" s="7">
        <v>17.8</v>
      </c>
    </row>
    <row r="10213" spans="1:5" x14ac:dyDescent="0.25">
      <c r="A10213" t="str">
        <f>HYPERLINK("https://www.773grp.com/globalSearch/LMX2531LQ1910E-NOPB/page-1", "LMX2531LQ1910E-NOPB")</f>
        <v>LMX2531LQ1910E-NOPB</v>
      </c>
      <c r="B10213" s="3" t="str">
        <f>HYPERLINK("https://www.773grp.com/manufacturer/national-semiconductor?pageNo=28", "National Semiconductor")</f>
        <v>National Semiconductor</v>
      </c>
      <c r="C10213" s="6">
        <v>740</v>
      </c>
      <c r="D10213" s="7">
        <v>17.8</v>
      </c>
    </row>
    <row r="10214" spans="1:5" x14ac:dyDescent="0.25">
      <c r="A10214" t="str">
        <f>HYPERLINK("https://www.773grp.com/globalSearch/LMX2531LQ2265E-NOPB/page-1", "LMX2531LQ2265E-NOPB")</f>
        <v>LMX2531LQ2265E-NOPB</v>
      </c>
      <c r="B10214" s="3" t="str">
        <f>HYPERLINK("https://www.773grp.com/manufacturer/national-semiconductor?pageNo=29", "National Semiconductor")</f>
        <v>National Semiconductor</v>
      </c>
      <c r="C10214" s="6">
        <v>725</v>
      </c>
      <c r="D10214" s="7">
        <v>17.8</v>
      </c>
      <c r="E10214" t="s">
        <v>38</v>
      </c>
    </row>
    <row r="10215" spans="1:5" x14ac:dyDescent="0.25">
      <c r="A10215" t="str">
        <f>HYPERLINK("https://www.773grp.com/globalSearch/LMX2531LQ2570E-NOPB/page-1", "LMX2531LQ2570E-NOPB")</f>
        <v>LMX2531LQ2570E-NOPB</v>
      </c>
      <c r="B10215" s="3" t="str">
        <f>HYPERLINK("https://www.773grp.com/manufacturer/national-semiconductor?pageNo=30", "National Semiconductor")</f>
        <v>National Semiconductor</v>
      </c>
      <c r="C10215" s="6">
        <v>246</v>
      </c>
      <c r="D10215" s="7">
        <v>17.8</v>
      </c>
      <c r="E10215" t="s">
        <v>38</v>
      </c>
    </row>
    <row r="10216" spans="1:5" x14ac:dyDescent="0.25">
      <c r="A10216" t="str">
        <f>HYPERLINK("https://www.773grp.com/globalSearch/LMX2531LQE1146E-NOPB/page-1", "LMX2531LQE1146E-NOPB")</f>
        <v>LMX2531LQE1146E-NOPB</v>
      </c>
      <c r="B10216" s="3" t="str">
        <f>HYPERLINK("https://www.773grp.com/manufacturer/national-semiconductor?pageNo=31", "National Semiconductor")</f>
        <v>National Semiconductor</v>
      </c>
      <c r="C10216" s="6">
        <v>220</v>
      </c>
      <c r="D10216" s="7">
        <v>17.8</v>
      </c>
    </row>
    <row r="10217" spans="1:5" x14ac:dyDescent="0.25">
      <c r="A10217" t="str">
        <f>HYPERLINK("https://www.773grp.com/globalSearch/LMX2531LQE1415E-NOPB/page-1", "LMX2531LQE1415E-NOPB")</f>
        <v>LMX2531LQE1415E-NOPB</v>
      </c>
      <c r="B10217" s="3" t="str">
        <f>HYPERLINK("https://www.773grp.com/manufacturer/national-semiconductor?pageNo=32", "National Semiconductor")</f>
        <v>National Semiconductor</v>
      </c>
      <c r="C10217" s="6">
        <v>250</v>
      </c>
      <c r="D10217" s="7">
        <v>17.8</v>
      </c>
    </row>
    <row r="10218" spans="1:5" x14ac:dyDescent="0.25">
      <c r="A10218" t="str">
        <f>HYPERLINK("https://www.773grp.com/globalSearch/LMX2531LQE1515E-NOPB/page-1", "LMX2531LQE1515E-NOPB")</f>
        <v>LMX2531LQE1515E-NOPB</v>
      </c>
      <c r="B10218" s="3" t="str">
        <f>HYPERLINK("https://www.773grp.com/manufacturer/national-semiconductor?pageNo=33", "National Semiconductor")</f>
        <v>National Semiconductor</v>
      </c>
      <c r="C10218" s="6">
        <v>145</v>
      </c>
      <c r="D10218" s="7">
        <v>17.8</v>
      </c>
    </row>
    <row r="10219" spans="1:5" x14ac:dyDescent="0.25">
      <c r="A10219" t="str">
        <f>HYPERLINK("https://www.773grp.com/globalSearch/LMX2531LQE2820E-NOPB/page-1", "LMX2531LQE2820E-NOPB")</f>
        <v>LMX2531LQE2820E-NOPB</v>
      </c>
      <c r="B10219" s="3" t="str">
        <f>HYPERLINK("https://www.773grp.com/manufacturer/national-semiconductor?pageNo=34", "National Semiconductor")</f>
        <v>National Semiconductor</v>
      </c>
      <c r="C10219" s="6">
        <v>250</v>
      </c>
      <c r="D10219" s="7">
        <v>17.8</v>
      </c>
    </row>
    <row r="10220" spans="1:5" x14ac:dyDescent="0.25">
      <c r="A10220" t="str">
        <f>HYPERLINK("https://www.773grp.com/globalSearch/LMX2531LQE3010E-NOPB/page-1", "LMX2531LQE3010E-NOPB")</f>
        <v>LMX2531LQE3010E-NOPB</v>
      </c>
      <c r="B10220" s="3" t="str">
        <f>HYPERLINK("https://www.773grp.com/manufacturer/national-semiconductor?pageNo=35", "National Semiconductor")</f>
        <v>National Semiconductor</v>
      </c>
      <c r="C10220" s="6">
        <v>250</v>
      </c>
      <c r="D10220" s="7">
        <v>17.8</v>
      </c>
    </row>
    <row r="10221" spans="1:5" x14ac:dyDescent="0.25">
      <c r="A10221" t="str">
        <f>HYPERLINK("https://www.773grp.com/globalSearch/DS100BR111SQE-NOPB/page-1", "DS100BR111SQE-NOPB")</f>
        <v>DS100BR111SQE-NOPB</v>
      </c>
      <c r="B10221" s="3" t="str">
        <f>HYPERLINK("https://www.773grp.com/manufacturer/national-semiconductor?pageNo=36", "National Semiconductor")</f>
        <v>National Semiconductor</v>
      </c>
      <c r="C10221" s="6">
        <v>425</v>
      </c>
      <c r="D10221" s="7">
        <v>17.8</v>
      </c>
    </row>
    <row r="10222" spans="1:5" x14ac:dyDescent="0.25">
      <c r="A10222" t="str">
        <f>HYPERLINK("https://www.773grp.com/globalSearch/DS100BR111SQE-NOPB/page-1", "DS100BR111SQE-NOPB")</f>
        <v>DS100BR111SQE-NOPB</v>
      </c>
      <c r="B10222" s="3" t="str">
        <f>HYPERLINK("https://www.773grp.com/manufacturer/national-semiconductor?pageNo=37", "National Semiconductor")</f>
        <v>National Semiconductor</v>
      </c>
      <c r="C10222" s="6">
        <v>350</v>
      </c>
      <c r="D10222" s="7">
        <v>17.8</v>
      </c>
    </row>
    <row r="10223" spans="1:5" x14ac:dyDescent="0.25">
      <c r="A10223" t="str">
        <f>HYPERLINK("https://www.773grp.com/globalSearch/LM93CIMT/page-1", "LM93CIMT")</f>
        <v>LM93CIMT</v>
      </c>
      <c r="B10223" s="3" t="str">
        <f>HYPERLINK("https://www.773grp.com/manufacturer/national-semiconductor?pageNo=38", "National Semiconductor")</f>
        <v>National Semiconductor</v>
      </c>
      <c r="C10223" s="6">
        <v>1718</v>
      </c>
      <c r="D10223" s="7">
        <v>17.8</v>
      </c>
      <c r="E10223" t="s">
        <v>30</v>
      </c>
    </row>
    <row r="10224" spans="1:5" x14ac:dyDescent="0.25">
      <c r="A10224" t="str">
        <f>HYPERLINK("https://www.773grp.com/globalSearch/LMX2531LQ1570E-NOPB/page-1", "LMX2531LQ1570E-NOPB")</f>
        <v>LMX2531LQ1570E-NOPB</v>
      </c>
      <c r="B10224" s="3" t="str">
        <f>HYPERLINK("https://www.773grp.com/manufacturer/national-semiconductor?pageNo=39", "National Semiconductor")</f>
        <v>National Semiconductor</v>
      </c>
      <c r="C10224" s="6">
        <v>70</v>
      </c>
      <c r="D10224" s="7">
        <v>17.8</v>
      </c>
    </row>
    <row r="10225" spans="1:5" x14ac:dyDescent="0.25">
      <c r="A10225" t="str">
        <f>HYPERLINK("https://www.773grp.com/globalSearch/LMX2531LQ1778E-NOPB/page-1", "LMX2531LQ1778E-NOPB")</f>
        <v>LMX2531LQ1778E-NOPB</v>
      </c>
      <c r="B10225" s="3" t="str">
        <f>HYPERLINK("https://www.773grp.com/manufacturer/national-semiconductor?pageNo=40", "National Semiconductor")</f>
        <v>National Semiconductor</v>
      </c>
      <c r="C10225" s="6">
        <v>67</v>
      </c>
      <c r="D10225" s="7">
        <v>17.8</v>
      </c>
    </row>
    <row r="10226" spans="1:5" x14ac:dyDescent="0.25">
      <c r="A10226" t="str">
        <f>HYPERLINK("https://www.773grp.com/globalSearch/LMX2531LQ2265E-NOPB/page-1", "LMX2531LQ2265E-NOPB")</f>
        <v>LMX2531LQ2265E-NOPB</v>
      </c>
      <c r="B10226" s="3" t="str">
        <f>HYPERLINK("https://www.773grp.com/manufacturer/national-semiconductor?pageNo=41", "National Semiconductor")</f>
        <v>National Semiconductor</v>
      </c>
      <c r="C10226" s="6">
        <v>59</v>
      </c>
      <c r="D10226" s="7">
        <v>17.8</v>
      </c>
      <c r="E10226" t="s">
        <v>38</v>
      </c>
    </row>
    <row r="10227" spans="1:5" x14ac:dyDescent="0.25">
      <c r="A10227" t="str">
        <f>HYPERLINK("https://www.773grp.com/globalSearch/LMX2531LQE1226E-NOPB/page-1", "LMX2531LQE1226E-NOPB")</f>
        <v>LMX2531LQE1226E-NOPB</v>
      </c>
      <c r="B10227" s="3" t="str">
        <f>HYPERLINK("https://www.773grp.com/manufacturer/national-semiconductor?pageNo=42", "National Semiconductor")</f>
        <v>National Semiconductor</v>
      </c>
      <c r="C10227" s="6">
        <v>750</v>
      </c>
      <c r="D10227" s="7">
        <v>17.8</v>
      </c>
    </row>
    <row r="10228" spans="1:5" x14ac:dyDescent="0.25">
      <c r="A10228" t="str">
        <f>HYPERLINK("https://www.773grp.com/globalSearch/LMX2531LQE1312E-NOPB/page-1", "LMX2531LQE1312E-NOPB")</f>
        <v>LMX2531LQE1312E-NOPB</v>
      </c>
      <c r="B10228" s="3" t="str">
        <f>HYPERLINK("https://www.773grp.com/manufacturer/national-semiconductor?pageNo=43", "National Semiconductor")</f>
        <v>National Semiconductor</v>
      </c>
      <c r="C10228" s="6">
        <v>321</v>
      </c>
      <c r="D10228" s="7">
        <v>17.8</v>
      </c>
    </row>
    <row r="10229" spans="1:5" x14ac:dyDescent="0.25">
      <c r="A10229" t="str">
        <f>HYPERLINK("https://www.773grp.com/globalSearch/LMX2531LQE1415E-NOPB/page-1", "LMX2531LQE1415E-NOPB")</f>
        <v>LMX2531LQE1415E-NOPB</v>
      </c>
      <c r="B10229" s="3" t="str">
        <f>HYPERLINK("https://www.773grp.com/manufacturer/national-semiconductor?pageNo=44", "National Semiconductor")</f>
        <v>National Semiconductor</v>
      </c>
      <c r="C10229" s="6">
        <v>199</v>
      </c>
      <c r="D10229" s="7">
        <v>17.8</v>
      </c>
    </row>
    <row r="10230" spans="1:5" x14ac:dyDescent="0.25">
      <c r="A10230" t="str">
        <f>HYPERLINK("https://www.773grp.com/globalSearch/LMX2531LQE1515E-NOPB/page-1", "LMX2531LQE1515E-NOPB")</f>
        <v>LMX2531LQE1515E-NOPB</v>
      </c>
      <c r="B10230" s="3" t="str">
        <f>HYPERLINK("https://www.773grp.com/manufacturer/national-semiconductor?pageNo=45", "National Semiconductor")</f>
        <v>National Semiconductor</v>
      </c>
      <c r="C10230" s="6">
        <v>250</v>
      </c>
      <c r="D10230" s="7">
        <v>17.8</v>
      </c>
    </row>
    <row r="10231" spans="1:5" x14ac:dyDescent="0.25">
      <c r="A10231" t="str">
        <f>HYPERLINK("https://www.773grp.com/globalSearch/LMX2531LQE2820E-NOPB/page-1", "LMX2531LQE2820E-NOPB")</f>
        <v>LMX2531LQE2820E-NOPB</v>
      </c>
      <c r="B10231" s="3" t="str">
        <f>HYPERLINK("https://www.773grp.com/manufacturer/national-semiconductor?pageNo=46", "National Semiconductor")</f>
        <v>National Semiconductor</v>
      </c>
      <c r="C10231" s="6">
        <v>1000</v>
      </c>
      <c r="D10231" s="7">
        <v>17.8</v>
      </c>
    </row>
    <row r="10232" spans="1:5" x14ac:dyDescent="0.25">
      <c r="A10232" t="str">
        <f>HYPERLINK("https://www.773grp.com/globalSearch/54150FM/page-1", "54150FM")</f>
        <v>54150FM</v>
      </c>
      <c r="B10232" s="3" t="str">
        <f>HYPERLINK("https://www.773grp.com/manufacturer/national-semiconductor?pageNo=47", "National Semiconductor")</f>
        <v>National Semiconductor</v>
      </c>
      <c r="C10232" s="6">
        <v>89</v>
      </c>
      <c r="D10232" s="7">
        <v>17.850000000000001</v>
      </c>
    </row>
    <row r="10233" spans="1:5" x14ac:dyDescent="0.25">
      <c r="A10233" t="str">
        <f>HYPERLINK("https://www.773grp.com/globalSearch/54150FMQB/page-1", "54150FMQB")</f>
        <v>54150FMQB</v>
      </c>
      <c r="B10233" s="3" t="str">
        <f>HYPERLINK("https://www.773grp.com/manufacturer/national-semiconductor?pageNo=48", "National Semiconductor")</f>
        <v>National Semiconductor</v>
      </c>
      <c r="C10233" s="6">
        <v>1297</v>
      </c>
      <c r="D10233" s="7">
        <v>17.850000000000001</v>
      </c>
      <c r="E10233" t="s">
        <v>20</v>
      </c>
    </row>
    <row r="10234" spans="1:5" x14ac:dyDescent="0.25">
      <c r="A10234" t="str">
        <f>HYPERLINK("https://www.773grp.com/globalSearch/54154FMQB/page-1", "54154FMQB")</f>
        <v>54154FMQB</v>
      </c>
      <c r="B10234" s="3" t="str">
        <f>HYPERLINK("https://www.773grp.com/manufacturer/national-semiconductor?pageNo=49", "National Semiconductor")</f>
        <v>National Semiconductor</v>
      </c>
      <c r="C10234" s="6">
        <v>1116</v>
      </c>
      <c r="D10234" s="7">
        <v>17.850000000000001</v>
      </c>
      <c r="E10234" t="s">
        <v>36</v>
      </c>
    </row>
    <row r="10235" spans="1:5" x14ac:dyDescent="0.25">
      <c r="A10235" t="str">
        <f>HYPERLINK("https://www.773grp.com/globalSearch/DS14C241TWM/page-1", "DS14C241TWM")</f>
        <v>DS14C241TWM</v>
      </c>
      <c r="B10235" s="3" t="str">
        <f>HYPERLINK("https://www.773grp.com/manufacturer/national-semiconductor?pageNo=50", "National Semiconductor")</f>
        <v>National Semiconductor</v>
      </c>
      <c r="C10235" s="6">
        <v>3199</v>
      </c>
      <c r="D10235" s="7">
        <v>17.850000000000001</v>
      </c>
      <c r="E10235" t="s">
        <v>21</v>
      </c>
    </row>
    <row r="10236" spans="1:5" x14ac:dyDescent="0.25">
      <c r="A10236" t="str">
        <f>HYPERLINK("https://www.773grp.com/globalSearch/DS75208N/page-1", "DS75208N")</f>
        <v>DS75208N</v>
      </c>
      <c r="B10236" s="3" t="str">
        <f>HYPERLINK("https://www.773grp.com/manufacturer/national-semiconductor?pageNo=51", "National Semiconductor")</f>
        <v>National Semiconductor</v>
      </c>
      <c r="C10236" s="6">
        <v>2900</v>
      </c>
      <c r="D10236" s="7">
        <v>17.850000000000001</v>
      </c>
      <c r="E10236" t="s">
        <v>21</v>
      </c>
    </row>
    <row r="10237" spans="1:5" x14ac:dyDescent="0.25">
      <c r="A10237" t="str">
        <f>HYPERLINK("https://www.773grp.com/globalSearch/LM35CH/page-1", "LM35CH")</f>
        <v>LM35CH</v>
      </c>
      <c r="B10237" s="3" t="str">
        <f>HYPERLINK("https://www.773grp.com/manufacturer/national-semiconductor?pageNo=52", "National Semiconductor")</f>
        <v>National Semiconductor</v>
      </c>
      <c r="C10237" s="6">
        <v>3396</v>
      </c>
      <c r="D10237" s="7">
        <v>17.93</v>
      </c>
      <c r="E10237" t="s">
        <v>8</v>
      </c>
    </row>
    <row r="10238" spans="1:5" x14ac:dyDescent="0.25">
      <c r="A10238" t="str">
        <f>HYPERLINK("https://www.773grp.com/globalSearch/LM35CH-NOPB/page-1", "LM35CH-NOPB")</f>
        <v>LM35CH-NOPB</v>
      </c>
      <c r="B10238" s="3" t="str">
        <f>HYPERLINK("https://www.773grp.com/manufacturer/national-semiconductor?pageNo=53", "National Semiconductor")</f>
        <v>National Semiconductor</v>
      </c>
      <c r="C10238" s="6">
        <v>3116</v>
      </c>
      <c r="D10238" s="7">
        <v>17.93</v>
      </c>
      <c r="E10238" t="s">
        <v>8</v>
      </c>
    </row>
    <row r="10239" spans="1:5" x14ac:dyDescent="0.25">
      <c r="A10239" t="str">
        <f>HYPERLINK("https://www.773grp.com/globalSearch/LM35CH/page-1", "LM35CH")</f>
        <v>LM35CH</v>
      </c>
      <c r="B10239" s="3" t="str">
        <f>HYPERLINK("https://www.773grp.com/manufacturer/national-semiconductor?pageNo=54", "National Semiconductor")</f>
        <v>National Semiconductor</v>
      </c>
      <c r="C10239" s="6">
        <v>50</v>
      </c>
      <c r="D10239" s="7">
        <v>17.93</v>
      </c>
      <c r="E10239" t="s">
        <v>8</v>
      </c>
    </row>
    <row r="10240" spans="1:5" x14ac:dyDescent="0.25">
      <c r="A10240" t="str">
        <f>HYPERLINK("https://www.773grp.com/globalSearch/LM98714CCMT-NOPB/page-1", "LM98714CCMT-NOPB")</f>
        <v>LM98714CCMT-NOPB</v>
      </c>
      <c r="B10240" s="3" t="str">
        <f>HYPERLINK("https://www.773grp.com/manufacturer/national-semiconductor?pageNo=55", "National Semiconductor")</f>
        <v>National Semiconductor</v>
      </c>
      <c r="C10240" s="6">
        <v>39</v>
      </c>
      <c r="D10240" s="7">
        <v>17.940000000000001</v>
      </c>
    </row>
    <row r="10241" spans="1:5" x14ac:dyDescent="0.25">
      <c r="A10241" t="str">
        <f>HYPERLINK("https://www.773grp.com/globalSearch/LM4781TA-NOPB/page-1", "LM4781TA-NOPB")</f>
        <v>LM4781TA-NOPB</v>
      </c>
      <c r="B10241" s="3" t="str">
        <f>HYPERLINK("https://www.773grp.com/manufacturer/national-semiconductor?pageNo=56", "National Semiconductor")</f>
        <v>National Semiconductor</v>
      </c>
      <c r="C10241" s="6">
        <v>279</v>
      </c>
      <c r="D10241" s="7">
        <v>17.940000000000001</v>
      </c>
    </row>
    <row r="10242" spans="1:5" x14ac:dyDescent="0.25">
      <c r="A10242" t="str">
        <f>HYPERLINK("https://www.773grp.com/globalSearch/LM98714CCMT-NOPB/page-1", "LM98714CCMT-NOPB")</f>
        <v>LM98714CCMT-NOPB</v>
      </c>
      <c r="B10242" s="3" t="str">
        <f>HYPERLINK("https://www.773grp.com/manufacturer/national-semiconductor?pageNo=57", "National Semiconductor")</f>
        <v>National Semiconductor</v>
      </c>
      <c r="C10242" s="6">
        <v>86</v>
      </c>
      <c r="D10242" s="7">
        <v>17.940000000000001</v>
      </c>
    </row>
    <row r="10243" spans="1:5" x14ac:dyDescent="0.25">
      <c r="A10243" t="str">
        <f>HYPERLINK("https://www.773grp.com/globalSearch/9311DM/page-1", "9311DM")</f>
        <v>9311DM</v>
      </c>
      <c r="B10243" s="3" t="str">
        <f>HYPERLINK("https://www.773grp.com/manufacturer/national-semiconductor?pageNo=58", "National Semiconductor")</f>
        <v>National Semiconductor</v>
      </c>
      <c r="C10243" s="6">
        <v>1</v>
      </c>
      <c r="D10243" s="7">
        <v>17.98</v>
      </c>
    </row>
    <row r="10244" spans="1:5" x14ac:dyDescent="0.25">
      <c r="A10244" t="str">
        <f>HYPERLINK("https://www.773grp.com/globalSearch/DS90UR905QSQE-NOPB/page-1", "DS90UR905QSQE-NOPB")</f>
        <v>DS90UR905QSQE-NOPB</v>
      </c>
      <c r="B10244" s="3" t="str">
        <f>HYPERLINK("https://www.773grp.com/manufacturer/national-semiconductor?pageNo=59", "National Semiconductor")</f>
        <v>National Semiconductor</v>
      </c>
      <c r="C10244" s="6">
        <v>350</v>
      </c>
      <c r="D10244" s="7">
        <v>17.98</v>
      </c>
      <c r="E10244" t="s">
        <v>21</v>
      </c>
    </row>
    <row r="10245" spans="1:5" x14ac:dyDescent="0.25">
      <c r="A10245" t="str">
        <f>HYPERLINK("https://www.773grp.com/globalSearch/DS90UR906QSQE-NOPB/page-1", "DS90UR906QSQE-NOPB")</f>
        <v>DS90UR906QSQE-NOPB</v>
      </c>
      <c r="B10245" s="3" t="str">
        <f>HYPERLINK("https://www.773grp.com/manufacturer/national-semiconductor?pageNo=60", "National Semiconductor")</f>
        <v>National Semiconductor</v>
      </c>
      <c r="C10245" s="6">
        <v>9</v>
      </c>
      <c r="D10245" s="7">
        <v>17.98</v>
      </c>
    </row>
    <row r="10246" spans="1:5" x14ac:dyDescent="0.25">
      <c r="A10246" t="str">
        <f>HYPERLINK("https://www.773grp.com/globalSearch/ADC0820CCMSA/page-1", "ADC0820CCMSA")</f>
        <v>ADC0820CCMSA</v>
      </c>
      <c r="B10246" s="3" t="str">
        <f>HYPERLINK("https://www.773grp.com/manufacturer/national-semiconductor?pageNo=61", "National Semiconductor")</f>
        <v>National Semiconductor</v>
      </c>
      <c r="C10246" s="6">
        <v>661</v>
      </c>
      <c r="D10246" s="7">
        <v>18</v>
      </c>
      <c r="E10246" t="s">
        <v>39</v>
      </c>
    </row>
    <row r="10247" spans="1:5" x14ac:dyDescent="0.25">
      <c r="A10247" t="str">
        <f>HYPERLINK("https://www.773grp.com/globalSearch/DS14C241TWMX/page-1", "DS14C241TWMX")</f>
        <v>DS14C241TWMX</v>
      </c>
      <c r="B10247" s="3" t="str">
        <f>HYPERLINK("https://www.773grp.com/manufacturer/national-semiconductor?pageNo=62", "National Semiconductor")</f>
        <v>National Semiconductor</v>
      </c>
      <c r="C10247" s="6">
        <v>8000</v>
      </c>
      <c r="D10247" s="7">
        <v>18</v>
      </c>
      <c r="E10247" t="s">
        <v>21</v>
      </c>
    </row>
    <row r="10248" spans="1:5" x14ac:dyDescent="0.25">
      <c r="A10248" t="str">
        <f>HYPERLINK("https://www.773grp.com/globalSearch/XTR106U/page-1", "XTR106U")</f>
        <v>XTR106U</v>
      </c>
      <c r="B10248" s="3" t="str">
        <f>HYPERLINK("https://www.773grp.com/manufacturer/national-semiconductor?pageNo=63", "National Semiconductor")</f>
        <v>National Semiconductor</v>
      </c>
      <c r="C10248" s="6">
        <v>1400</v>
      </c>
      <c r="D10248" s="7">
        <v>18</v>
      </c>
    </row>
    <row r="10249" spans="1:5" x14ac:dyDescent="0.25">
      <c r="A10249" t="str">
        <f>HYPERLINK("https://www.773grp.com/globalSearch/4015BDM/page-1", "4015BDM")</f>
        <v>4015BDM</v>
      </c>
      <c r="B10249" s="3" t="str">
        <f>HYPERLINK("https://www.773grp.com/manufacturer/national-semiconductor?pageNo=64", "National Semiconductor")</f>
        <v>National Semiconductor</v>
      </c>
      <c r="C10249" s="6">
        <v>36124</v>
      </c>
      <c r="D10249" s="7">
        <v>18.059999999999999</v>
      </c>
    </row>
    <row r="10250" spans="1:5" x14ac:dyDescent="0.25">
      <c r="A10250" t="str">
        <f>HYPERLINK("https://www.773grp.com/globalSearch/4015BDMQB/page-1", "4015BDMQB")</f>
        <v>4015BDMQB</v>
      </c>
      <c r="B10250" s="3" t="str">
        <f>HYPERLINK("https://www.773grp.com/manufacturer/national-semiconductor?pageNo=65", "National Semiconductor")</f>
        <v>National Semiconductor</v>
      </c>
      <c r="C10250" s="6">
        <v>4920</v>
      </c>
      <c r="D10250" s="7">
        <v>18.059999999999999</v>
      </c>
      <c r="E10250" t="s">
        <v>32</v>
      </c>
    </row>
    <row r="10251" spans="1:5" x14ac:dyDescent="0.25">
      <c r="A10251" t="str">
        <f>HYPERLINK("https://www.773grp.com/globalSearch/9316DC/page-1", "9316DC")</f>
        <v>9316DC</v>
      </c>
      <c r="B10251" s="3" t="str">
        <f>HYPERLINK("https://www.773grp.com/manufacturer/national-semiconductor?pageNo=66", "National Semiconductor")</f>
        <v>National Semiconductor</v>
      </c>
      <c r="C10251" s="6">
        <v>17</v>
      </c>
      <c r="D10251" s="7">
        <v>18.09</v>
      </c>
      <c r="E10251" t="s">
        <v>26</v>
      </c>
    </row>
    <row r="10252" spans="1:5" x14ac:dyDescent="0.25">
      <c r="A10252" t="str">
        <f>HYPERLINK("https://www.773grp.com/globalSearch/LF298H/page-1", "LF298H")</f>
        <v>LF298H</v>
      </c>
      <c r="B10252" s="3" t="str">
        <f>HYPERLINK("https://www.773grp.com/manufacturer/national-semiconductor?pageNo=67", "National Semiconductor")</f>
        <v>National Semiconductor</v>
      </c>
      <c r="C10252" s="6">
        <v>240</v>
      </c>
      <c r="D10252" s="7">
        <v>18.09</v>
      </c>
      <c r="E10252" t="s">
        <v>6</v>
      </c>
    </row>
    <row r="10253" spans="1:5" x14ac:dyDescent="0.25">
      <c r="A10253" t="str">
        <f>HYPERLINK("https://www.773grp.com/globalSearch/LF298H-NOPB/page-1", "LF298H-NOPB")</f>
        <v>LF298H-NOPB</v>
      </c>
      <c r="B10253" s="3" t="str">
        <f>HYPERLINK("https://www.773grp.com/manufacturer/national-semiconductor?pageNo=68", "National Semiconductor")</f>
        <v>National Semiconductor</v>
      </c>
      <c r="C10253" s="6">
        <v>100</v>
      </c>
      <c r="D10253" s="7">
        <v>18.09</v>
      </c>
      <c r="E10253" t="s">
        <v>6</v>
      </c>
    </row>
    <row r="10254" spans="1:5" x14ac:dyDescent="0.25">
      <c r="A10254" t="str">
        <f>HYPERLINK("https://www.773grp.com/globalSearch/LF298H/page-1", "LF298H")</f>
        <v>LF298H</v>
      </c>
      <c r="B10254" s="3" t="str">
        <f>HYPERLINK("https://www.773grp.com/manufacturer/national-semiconductor?pageNo=69", "National Semiconductor")</f>
        <v>National Semiconductor</v>
      </c>
      <c r="C10254" s="6">
        <v>500</v>
      </c>
      <c r="D10254" s="7">
        <v>18.09</v>
      </c>
      <c r="E10254" t="s">
        <v>6</v>
      </c>
    </row>
    <row r="10255" spans="1:5" x14ac:dyDescent="0.25">
      <c r="A10255" t="str">
        <f>HYPERLINK("https://www.773grp.com/globalSearch/LF298H-NOPB/page-1", "LF298H-NOPB")</f>
        <v>LF298H-NOPB</v>
      </c>
      <c r="B10255" s="3" t="str">
        <f>HYPERLINK("https://www.773grp.com/manufacturer/national-semiconductor?pageNo=70", "National Semiconductor")</f>
        <v>National Semiconductor</v>
      </c>
      <c r="C10255" s="6">
        <v>810</v>
      </c>
      <c r="D10255" s="7">
        <v>18.09</v>
      </c>
      <c r="E10255" t="s">
        <v>6</v>
      </c>
    </row>
    <row r="10256" spans="1:5" x14ac:dyDescent="0.25">
      <c r="A10256" t="str">
        <f>HYPERLINK("https://www.773grp.com/globalSearch/TMS320C5514AZCH10/page-1", "TMS320C5514AZCH10")</f>
        <v>TMS320C5514AZCH10</v>
      </c>
      <c r="B10256" s="3" t="str">
        <f>HYPERLINK("https://www.773grp.com/manufacturer/national-semiconductor?pageNo=71", "National Semiconductor")</f>
        <v>National Semiconductor</v>
      </c>
      <c r="C10256" s="6">
        <v>736</v>
      </c>
      <c r="D10256" s="7">
        <v>18.11</v>
      </c>
    </row>
    <row r="10257" spans="1:5" x14ac:dyDescent="0.25">
      <c r="A10257" t="str">
        <f>HYPERLINK("https://www.773grp.com/globalSearch/54F132FMQB/page-1", "54F132FMQB")</f>
        <v>54F132FMQB</v>
      </c>
      <c r="B10257" s="3" t="str">
        <f>HYPERLINK("https://www.773grp.com/manufacturer/national-semiconductor?pageNo=72", "National Semiconductor")</f>
        <v>National Semiconductor</v>
      </c>
      <c r="C10257" s="6">
        <v>463</v>
      </c>
      <c r="D10257" s="7">
        <v>18.14</v>
      </c>
      <c r="E10257" t="s">
        <v>31</v>
      </c>
    </row>
    <row r="10258" spans="1:5" x14ac:dyDescent="0.25">
      <c r="A10258" t="str">
        <f>HYPERLINK("https://www.773grp.com/globalSearch/74F245DC/page-1", "74F245DC")</f>
        <v>74F245DC</v>
      </c>
      <c r="B10258" s="3" t="str">
        <f>HYPERLINK("https://www.773grp.com/manufacturer/national-semiconductor?pageNo=73", "National Semiconductor")</f>
        <v>National Semiconductor</v>
      </c>
      <c r="C10258" s="6">
        <v>40</v>
      </c>
      <c r="D10258" s="7">
        <v>18.14</v>
      </c>
      <c r="E10258" t="s">
        <v>14</v>
      </c>
    </row>
    <row r="10259" spans="1:5" x14ac:dyDescent="0.25">
      <c r="A10259" t="str">
        <f>HYPERLINK("https://www.773grp.com/globalSearch/DM7216W-883/page-1", "DM7216W-883")</f>
        <v>DM7216W-883</v>
      </c>
      <c r="B10259" s="3" t="str">
        <f>HYPERLINK("https://www.773grp.com/manufacturer/national-semiconductor?pageNo=74", "National Semiconductor")</f>
        <v>National Semiconductor</v>
      </c>
      <c r="C10259" s="6">
        <v>944</v>
      </c>
      <c r="D10259" s="7">
        <v>18.14</v>
      </c>
    </row>
    <row r="10260" spans="1:5" x14ac:dyDescent="0.25">
      <c r="A10260" t="str">
        <f>HYPERLINK("https://www.773grp.com/globalSearch/DM7221W-883/page-1", "DM7221W-883")</f>
        <v>DM7221W-883</v>
      </c>
      <c r="B10260" s="3" t="str">
        <f>HYPERLINK("https://www.773grp.com/manufacturer/national-semiconductor?pageNo=75", "National Semiconductor")</f>
        <v>National Semiconductor</v>
      </c>
      <c r="C10260" s="6">
        <v>251</v>
      </c>
      <c r="D10260" s="7">
        <v>18.14</v>
      </c>
    </row>
    <row r="10261" spans="1:5" x14ac:dyDescent="0.25">
      <c r="A10261" t="str">
        <f>HYPERLINK("https://www.773grp.com/globalSearch/DM7563W-883/page-1", "DM7563W-883")</f>
        <v>DM7563W-883</v>
      </c>
      <c r="B10261" s="3" t="str">
        <f>HYPERLINK("https://www.773grp.com/manufacturer/national-semiconductor?pageNo=76", "National Semiconductor")</f>
        <v>National Semiconductor</v>
      </c>
      <c r="C10261" s="6">
        <v>114</v>
      </c>
      <c r="D10261" s="7">
        <v>18.14</v>
      </c>
    </row>
    <row r="10262" spans="1:5" x14ac:dyDescent="0.25">
      <c r="A10262" t="str">
        <f>HYPERLINK("https://www.773grp.com/globalSearch/DM7849W-883/page-1", "DM7849W-883")</f>
        <v>DM7849W-883</v>
      </c>
      <c r="B10262" s="3" t="str">
        <f>HYPERLINK("https://www.773grp.com/manufacturer/national-semiconductor?pageNo=77", "National Semiconductor")</f>
        <v>National Semiconductor</v>
      </c>
      <c r="C10262" s="6">
        <v>339</v>
      </c>
      <c r="D10262" s="7">
        <v>18.14</v>
      </c>
    </row>
    <row r="10263" spans="1:5" x14ac:dyDescent="0.25">
      <c r="A10263" t="str">
        <f>HYPERLINK("https://www.773grp.com/globalSearch/DS92LV2421SQE-NOPB/page-1", "DS92LV2421SQE-NOPB")</f>
        <v>DS92LV2421SQE-NOPB</v>
      </c>
      <c r="B10263" s="3" t="str">
        <f>HYPERLINK("https://www.773grp.com/manufacturer/national-semiconductor?pageNo=78", "National Semiconductor")</f>
        <v>National Semiconductor</v>
      </c>
      <c r="C10263" s="6">
        <v>280</v>
      </c>
      <c r="D10263" s="7">
        <v>18.14</v>
      </c>
    </row>
    <row r="10264" spans="1:5" x14ac:dyDescent="0.25">
      <c r="A10264" t="str">
        <f>HYPERLINK("https://www.773grp.com/globalSearch/JD5438BCA/page-1", "JD5438BCA")</f>
        <v>JD5438BCA</v>
      </c>
      <c r="B10264" s="3" t="str">
        <f>HYPERLINK("https://www.773grp.com/manufacturer/national-semiconductor?pageNo=79", "National Semiconductor")</f>
        <v>National Semiconductor</v>
      </c>
      <c r="C10264" s="6">
        <v>72</v>
      </c>
      <c r="D10264" s="7">
        <v>18.14</v>
      </c>
    </row>
    <row r="10265" spans="1:5" x14ac:dyDescent="0.25">
      <c r="A10265" t="str">
        <f>HYPERLINK("https://www.773grp.com/globalSearch/JM38510-34701B2A/page-1", "JM38510-34701B2A")</f>
        <v>JM38510-34701B2A</v>
      </c>
      <c r="B10265" s="3" t="str">
        <f>HYPERLINK("https://www.773grp.com/manufacturer/national-semiconductor?pageNo=80", "National Semiconductor")</f>
        <v>National Semiconductor</v>
      </c>
      <c r="C10265" s="6">
        <v>386</v>
      </c>
      <c r="D10265" s="7">
        <v>18.14</v>
      </c>
      <c r="E10265" t="s">
        <v>43</v>
      </c>
    </row>
    <row r="10266" spans="1:5" x14ac:dyDescent="0.25">
      <c r="A10266" t="str">
        <f>HYPERLINK("https://www.773grp.com/globalSearch/DS42MB200TSQ-NOPB/page-1", "DS42MB200TSQ-NOPB")</f>
        <v>DS42MB200TSQ-NOPB</v>
      </c>
      <c r="B10266" s="3" t="str">
        <f>HYPERLINK("https://www.773grp.com/manufacturer/national-semiconductor?pageNo=81", "National Semiconductor")</f>
        <v>National Semiconductor</v>
      </c>
      <c r="C10266" s="6">
        <v>400</v>
      </c>
      <c r="D10266" s="7">
        <v>18.14</v>
      </c>
    </row>
    <row r="10267" spans="1:5" x14ac:dyDescent="0.25">
      <c r="A10267" t="str">
        <f>HYPERLINK("https://www.773grp.com/globalSearch/LM4782TA-NOPB/page-1", "LM4782TA-NOPB")</f>
        <v>LM4782TA-NOPB</v>
      </c>
      <c r="B10267" s="3" t="str">
        <f>HYPERLINK("https://www.773grp.com/manufacturer/national-semiconductor?pageNo=82", "National Semiconductor")</f>
        <v>National Semiconductor</v>
      </c>
      <c r="C10267" s="6">
        <v>58</v>
      </c>
      <c r="D10267" s="7">
        <v>18.14</v>
      </c>
    </row>
    <row r="10268" spans="1:5" x14ac:dyDescent="0.25">
      <c r="A10268" t="str">
        <f>HYPERLINK("https://www.773grp.com/globalSearch/LM148J/page-1", "LM148J")</f>
        <v>LM148J</v>
      </c>
      <c r="B10268" s="3" t="str">
        <f>HYPERLINK("https://www.773grp.com/manufacturer/national-semiconductor?pageNo=83", "National Semiconductor")</f>
        <v>National Semiconductor</v>
      </c>
      <c r="C10268" s="6">
        <v>100</v>
      </c>
      <c r="D10268" s="7">
        <v>18.18</v>
      </c>
      <c r="E10268" t="s">
        <v>13</v>
      </c>
    </row>
    <row r="10269" spans="1:5" x14ac:dyDescent="0.25">
      <c r="A10269" t="str">
        <f>HYPERLINK("https://www.773grp.com/globalSearch/ADC12020CIVY-NOPB/page-1", "ADC12020CIVY-NOPB")</f>
        <v>ADC12020CIVY-NOPB</v>
      </c>
      <c r="B10269" s="3" t="str">
        <f>HYPERLINK("https://www.773grp.com/manufacturer/national-semiconductor?pageNo=84", "National Semiconductor")</f>
        <v>National Semiconductor</v>
      </c>
      <c r="C10269" s="6">
        <v>161</v>
      </c>
      <c r="D10269" s="7">
        <v>18.260000000000002</v>
      </c>
      <c r="E10269" t="s">
        <v>39</v>
      </c>
    </row>
    <row r="10270" spans="1:5" x14ac:dyDescent="0.25">
      <c r="A10270" t="str">
        <f>HYPERLINK("https://www.773grp.com/globalSearch/CLC501AJE-TR13/page-1", "CLC501AJE-TR13")</f>
        <v>CLC501AJE-TR13</v>
      </c>
      <c r="B10270" s="3" t="str">
        <f>HYPERLINK("https://www.773grp.com/manufacturer/national-semiconductor?pageNo=85", "National Semiconductor")</f>
        <v>National Semiconductor</v>
      </c>
      <c r="C10270" s="6">
        <v>3344</v>
      </c>
      <c r="D10270" s="7">
        <v>18.260000000000002</v>
      </c>
      <c r="E10270" t="s">
        <v>13</v>
      </c>
    </row>
    <row r="10271" spans="1:5" x14ac:dyDescent="0.25">
      <c r="A10271" t="str">
        <f>HYPERLINK("https://www.773grp.com/globalSearch/100171DCQR/page-1", "100171DCQR")</f>
        <v>100171DCQR</v>
      </c>
      <c r="B10271" s="3" t="str">
        <f>HYPERLINK("https://www.773grp.com/manufacturer/national-semiconductor?pageNo=86", "National Semiconductor")</f>
        <v>National Semiconductor</v>
      </c>
      <c r="C10271" s="6">
        <v>1559</v>
      </c>
      <c r="D10271" s="7">
        <v>18.28</v>
      </c>
      <c r="E10271" t="s">
        <v>20</v>
      </c>
    </row>
    <row r="10272" spans="1:5" x14ac:dyDescent="0.25">
      <c r="A10272" t="str">
        <f>HYPERLINK("https://www.773grp.com/globalSearch/1154DC/page-1", "1154DC")</f>
        <v>1154DC</v>
      </c>
      <c r="B10272" s="3" t="str">
        <f>HYPERLINK("https://www.773grp.com/manufacturer/national-semiconductor?pageNo=87", "National Semiconductor")</f>
        <v>National Semiconductor</v>
      </c>
      <c r="C10272" s="6">
        <v>291</v>
      </c>
      <c r="D10272" s="7">
        <v>18.28</v>
      </c>
    </row>
    <row r="10273" spans="1:5" x14ac:dyDescent="0.25">
      <c r="A10273" t="str">
        <f>HYPERLINK("https://www.773grp.com/globalSearch/1156PC/page-1", "1156PC")</f>
        <v>1156PC</v>
      </c>
      <c r="B10273" s="3" t="str">
        <f>HYPERLINK("https://www.773grp.com/manufacturer/national-semiconductor?pageNo=88", "National Semiconductor")</f>
        <v>National Semiconductor</v>
      </c>
      <c r="C10273" s="6">
        <v>680</v>
      </c>
      <c r="D10273" s="7">
        <v>18.28</v>
      </c>
    </row>
    <row r="10274" spans="1:5" x14ac:dyDescent="0.25">
      <c r="A10274" t="str">
        <f>HYPERLINK("https://www.773grp.com/globalSearch/1157DC/page-1", "1157DC")</f>
        <v>1157DC</v>
      </c>
      <c r="B10274" s="3" t="str">
        <f>HYPERLINK("https://www.773grp.com/manufacturer/national-semiconductor?pageNo=89", "National Semiconductor")</f>
        <v>National Semiconductor</v>
      </c>
      <c r="C10274" s="6">
        <v>3945</v>
      </c>
      <c r="D10274" s="7">
        <v>18.28</v>
      </c>
    </row>
    <row r="10275" spans="1:5" x14ac:dyDescent="0.25">
      <c r="A10275" t="str">
        <f>HYPERLINK("https://www.773grp.com/globalSearch/1158DC/page-1", "1158DC")</f>
        <v>1158DC</v>
      </c>
      <c r="B10275" s="3" t="str">
        <f>HYPERLINK("https://www.773grp.com/manufacturer/national-semiconductor?pageNo=90", "National Semiconductor")</f>
        <v>National Semiconductor</v>
      </c>
      <c r="C10275" s="6">
        <v>1060</v>
      </c>
      <c r="D10275" s="7">
        <v>18.28</v>
      </c>
    </row>
    <row r="10276" spans="1:5" x14ac:dyDescent="0.25">
      <c r="A10276" t="str">
        <f>HYPERLINK("https://www.773grp.com/globalSearch/9001PC/page-1", "9001PC")</f>
        <v>9001PC</v>
      </c>
      <c r="B10276" s="3" t="str">
        <f>HYPERLINK("https://www.773grp.com/manufacturer/national-semiconductor?pageNo=91", "National Semiconductor")</f>
        <v>National Semiconductor</v>
      </c>
      <c r="C10276" s="6">
        <v>372</v>
      </c>
      <c r="D10276" s="7">
        <v>18.28</v>
      </c>
    </row>
    <row r="10277" spans="1:5" x14ac:dyDescent="0.25">
      <c r="A10277" t="str">
        <f>HYPERLINK("https://www.773grp.com/globalSearch/9318PC/page-1", "9318PC")</f>
        <v>9318PC</v>
      </c>
      <c r="B10277" s="3" t="str">
        <f>HYPERLINK("https://www.773grp.com/manufacturer/national-semiconductor?pageNo=92", "National Semiconductor")</f>
        <v>National Semiconductor</v>
      </c>
      <c r="C10277" s="6">
        <v>4397</v>
      </c>
      <c r="D10277" s="7">
        <v>18.28</v>
      </c>
    </row>
    <row r="10278" spans="1:5" x14ac:dyDescent="0.25">
      <c r="A10278" t="str">
        <f>HYPERLINK("https://www.773grp.com/globalSearch/DM8604N/page-1", "DM8604N")</f>
        <v>DM8604N</v>
      </c>
      <c r="B10278" s="3" t="str">
        <f>HYPERLINK("https://www.773grp.com/manufacturer/national-semiconductor?pageNo=93", "National Semiconductor")</f>
        <v>National Semiconductor</v>
      </c>
      <c r="C10278" s="6">
        <v>324</v>
      </c>
      <c r="D10278" s="7">
        <v>18.28</v>
      </c>
    </row>
    <row r="10279" spans="1:5" x14ac:dyDescent="0.25">
      <c r="A10279" t="str">
        <f>HYPERLINK("https://www.773grp.com/globalSearch/DP83815DVNG-NOPB/page-1", "DP83815DVNG-NOPB")</f>
        <v>DP83815DVNG-NOPB</v>
      </c>
      <c r="B10279" s="3" t="str">
        <f>HYPERLINK("https://www.773grp.com/manufacturer/national-semiconductor?pageNo=94", "National Semiconductor")</f>
        <v>National Semiconductor</v>
      </c>
      <c r="C10279" s="6">
        <v>657</v>
      </c>
      <c r="D10279" s="7">
        <v>18.28</v>
      </c>
      <c r="E10279" t="s">
        <v>71</v>
      </c>
    </row>
    <row r="10280" spans="1:5" x14ac:dyDescent="0.25">
      <c r="A10280" t="str">
        <f>HYPERLINK("https://www.773grp.com/globalSearch/DP8464BV-3/page-1", "DP8464BV-3")</f>
        <v>DP8464BV-3</v>
      </c>
      <c r="B10280" s="3" t="str">
        <f>HYPERLINK("https://www.773grp.com/manufacturer/national-semiconductor?pageNo=95", "National Semiconductor")</f>
        <v>National Semiconductor</v>
      </c>
      <c r="C10280" s="6">
        <v>82</v>
      </c>
      <c r="D10280" s="7">
        <v>18.28</v>
      </c>
      <c r="E10280" t="s">
        <v>77</v>
      </c>
    </row>
    <row r="10281" spans="1:5" x14ac:dyDescent="0.25">
      <c r="A10281" t="str">
        <f>HYPERLINK("https://www.773grp.com/globalSearch/LM124AJ-883/page-1", "LM124AJ-883")</f>
        <v>LM124AJ-883</v>
      </c>
      <c r="B10281" s="3" t="str">
        <f>HYPERLINK("https://www.773grp.com/manufacturer/national-semiconductor?pageNo=96", "National Semiconductor")</f>
        <v>National Semiconductor</v>
      </c>
      <c r="C10281" s="6">
        <v>19</v>
      </c>
      <c r="D10281" s="7">
        <v>18.28</v>
      </c>
      <c r="E10281" t="s">
        <v>13</v>
      </c>
    </row>
    <row r="10282" spans="1:5" x14ac:dyDescent="0.25">
      <c r="A10282" t="str">
        <f>HYPERLINK("https://www.773grp.com/globalSearch/LMH0202MT/page-1", "LMH0202MT")</f>
        <v>LMH0202MT</v>
      </c>
      <c r="B10282" s="3" t="str">
        <f>HYPERLINK("https://www.773grp.com/manufacturer/national-semiconductor?pageNo=97", "National Semiconductor")</f>
        <v>National Semiconductor</v>
      </c>
      <c r="C10282" s="6">
        <v>65</v>
      </c>
      <c r="D10282" s="7">
        <v>18.28</v>
      </c>
      <c r="E10282" t="s">
        <v>21</v>
      </c>
    </row>
    <row r="10283" spans="1:5" x14ac:dyDescent="0.25">
      <c r="A10283" t="str">
        <f>HYPERLINK("https://www.773grp.com/globalSearch/LMX2541SQ2060E-NOPB/page-1", "LMX2541SQ2060E-NOPB")</f>
        <v>LMX2541SQ2060E-NOPB</v>
      </c>
      <c r="B10283" s="3" t="str">
        <f>HYPERLINK("https://www.773grp.com/manufacturer/national-semiconductor?pageNo=98", "National Semiconductor")</f>
        <v>National Semiconductor</v>
      </c>
      <c r="C10283" s="6">
        <v>289</v>
      </c>
      <c r="D10283" s="7">
        <v>18.28</v>
      </c>
    </row>
    <row r="10284" spans="1:5" x14ac:dyDescent="0.25">
      <c r="A10284" t="str">
        <f>HYPERLINK("https://www.773grp.com/globalSearch/LMX2541SQ2380E-NOPB/page-1", "LMX2541SQ2380E-NOPB")</f>
        <v>LMX2541SQ2380E-NOPB</v>
      </c>
      <c r="B10284" s="3" t="str">
        <f>HYPERLINK("https://www.773grp.com/manufacturer/national-semiconductor?pageNo=99", "National Semiconductor")</f>
        <v>National Semiconductor</v>
      </c>
      <c r="C10284" s="6">
        <v>729</v>
      </c>
      <c r="D10284" s="7">
        <v>18.28</v>
      </c>
    </row>
    <row r="10285" spans="1:5" x14ac:dyDescent="0.25">
      <c r="A10285" t="str">
        <f>HYPERLINK("https://www.773grp.com/globalSearch/LMX2541SQ3740E-NOPB/page-1", "LMX2541SQ3740E-NOPB")</f>
        <v>LMX2541SQ3740E-NOPB</v>
      </c>
      <c r="B10285" s="3" t="str">
        <f>HYPERLINK("https://www.773grp.com/manufacturer/national-semiconductor?pageNo=100", "National Semiconductor")</f>
        <v>National Semiconductor</v>
      </c>
      <c r="C10285" s="6">
        <v>1762</v>
      </c>
      <c r="D10285" s="7">
        <v>18.28</v>
      </c>
    </row>
    <row r="10286" spans="1:5" x14ac:dyDescent="0.25">
      <c r="A10286" t="str">
        <f>HYPERLINK("https://www.773grp.com/globalSearch/SCANSTA112SM-NOPB/page-1", "SCANSTA112SM-NOPB")</f>
        <v>SCANSTA112SM-NOPB</v>
      </c>
      <c r="B10286" s="3" t="str">
        <f>HYPERLINK("https://www.773grp.com/manufacturer/national-semiconductor?pageNo=101", "National Semiconductor")</f>
        <v>National Semiconductor</v>
      </c>
      <c r="C10286" s="6">
        <v>585</v>
      </c>
      <c r="D10286" s="7">
        <v>18.28</v>
      </c>
      <c r="E10286" t="s">
        <v>42</v>
      </c>
    </row>
    <row r="10287" spans="1:5" x14ac:dyDescent="0.25">
      <c r="A10287" t="str">
        <f>HYPERLINK("https://www.773grp.com/globalSearch/DP83815DVNG-NOPB/page-1", "DP83815DVNG-NOPB")</f>
        <v>DP83815DVNG-NOPB</v>
      </c>
      <c r="B10287" s="3" t="str">
        <f>HYPERLINK("https://www.773grp.com/manufacturer/national-semiconductor?pageNo=102", "National Semiconductor")</f>
        <v>National Semiconductor</v>
      </c>
      <c r="C10287" s="6">
        <v>100</v>
      </c>
      <c r="D10287" s="7">
        <v>18.28</v>
      </c>
      <c r="E10287" t="s">
        <v>71</v>
      </c>
    </row>
    <row r="10288" spans="1:5" x14ac:dyDescent="0.25">
      <c r="A10288" t="str">
        <f>HYPERLINK("https://www.773grp.com/globalSearch/LMX2541SQ2060E-NOPB/page-1", "LMX2541SQ2060E-NOPB")</f>
        <v>LMX2541SQ2060E-NOPB</v>
      </c>
      <c r="B10288" s="3" t="str">
        <f>HYPERLINK("https://www.773grp.com/manufacturer/national-semiconductor?pageNo=103", "National Semiconductor")</f>
        <v>National Semiconductor</v>
      </c>
      <c r="C10288" s="6">
        <v>1000</v>
      </c>
      <c r="D10288" s="7">
        <v>18.28</v>
      </c>
    </row>
    <row r="10289" spans="1:5" x14ac:dyDescent="0.25">
      <c r="A10289" t="str">
        <f>HYPERLINK("https://www.773grp.com/globalSearch/LMX2541SQ2060E-NOPB/page-1", "LMX2541SQ2060E-NOPB")</f>
        <v>LMX2541SQ2060E-NOPB</v>
      </c>
      <c r="B10289" s="3" t="str">
        <f>HYPERLINK("https://www.773grp.com/manufacturer/national-semiconductor?pageNo=104", "National Semiconductor")</f>
        <v>National Semiconductor</v>
      </c>
      <c r="C10289" s="6">
        <v>3509</v>
      </c>
      <c r="D10289" s="7">
        <v>18.28</v>
      </c>
    </row>
    <row r="10290" spans="1:5" x14ac:dyDescent="0.25">
      <c r="A10290" t="str">
        <f>HYPERLINK("https://www.773grp.com/globalSearch/LMX2541SQ2060E-NOPB/page-1", "LMX2541SQ2060E-NOPB")</f>
        <v>LMX2541SQ2060E-NOPB</v>
      </c>
      <c r="B10290" s="3" t="str">
        <f>HYPERLINK("https://www.773grp.com/manufacturer/national-semiconductor?pageNo=105", "National Semiconductor")</f>
        <v>National Semiconductor</v>
      </c>
      <c r="C10290" s="6">
        <v>178</v>
      </c>
      <c r="D10290" s="7">
        <v>18.28</v>
      </c>
    </row>
    <row r="10291" spans="1:5" x14ac:dyDescent="0.25">
      <c r="A10291" t="str">
        <f>HYPERLINK("https://www.773grp.com/globalSearch/LMX2541SQ2380E/page-1", "LMX2541SQ2380E")</f>
        <v>LMX2541SQ2380E</v>
      </c>
      <c r="B10291" s="3" t="str">
        <f>HYPERLINK("https://www.773grp.com/manufacturer/national-semiconductor?pageNo=106", "National Semiconductor")</f>
        <v>National Semiconductor</v>
      </c>
      <c r="C10291" s="6">
        <v>926</v>
      </c>
      <c r="D10291" s="7">
        <v>18.28</v>
      </c>
    </row>
    <row r="10292" spans="1:5" x14ac:dyDescent="0.25">
      <c r="A10292" t="str">
        <f>HYPERLINK("https://www.773grp.com/globalSearch/LMX2541SQ2380E-NOPB/page-1", "LMX2541SQ2380E-NOPB")</f>
        <v>LMX2541SQ2380E-NOPB</v>
      </c>
      <c r="B10292" s="3" t="str">
        <f>HYPERLINK("https://www.773grp.com/manufacturer/national-semiconductor?pageNo=107", "National Semiconductor")</f>
        <v>National Semiconductor</v>
      </c>
      <c r="C10292" s="6">
        <v>790</v>
      </c>
      <c r="D10292" s="7">
        <v>18.28</v>
      </c>
    </row>
    <row r="10293" spans="1:5" x14ac:dyDescent="0.25">
      <c r="A10293" t="str">
        <f>HYPERLINK("https://www.773grp.com/globalSearch/LMX2541SQ2690E-NOPB/page-1", "LMX2541SQ2690E-NOPB")</f>
        <v>LMX2541SQ2690E-NOPB</v>
      </c>
      <c r="B10293" s="3" t="str">
        <f>HYPERLINK("https://www.773grp.com/manufacturer/national-semiconductor?pageNo=108", "National Semiconductor")</f>
        <v>National Semiconductor</v>
      </c>
      <c r="C10293" s="6">
        <v>715</v>
      </c>
      <c r="D10293" s="7">
        <v>18.28</v>
      </c>
    </row>
    <row r="10294" spans="1:5" x14ac:dyDescent="0.25">
      <c r="A10294" t="str">
        <f>HYPERLINK("https://www.773grp.com/globalSearch/LMX2541SQ3030E-NOPB/page-1", "LMX2541SQ3030E-NOPB")</f>
        <v>LMX2541SQ3030E-NOPB</v>
      </c>
      <c r="B10294" s="3" t="str">
        <f>HYPERLINK("https://www.773grp.com/manufacturer/national-semiconductor?pageNo=109", "National Semiconductor")</f>
        <v>National Semiconductor</v>
      </c>
      <c r="C10294" s="6">
        <v>621</v>
      </c>
      <c r="D10294" s="7">
        <v>18.28</v>
      </c>
    </row>
    <row r="10295" spans="1:5" x14ac:dyDescent="0.25">
      <c r="A10295" t="str">
        <f>HYPERLINK("https://www.773grp.com/globalSearch/LMX2541SQ3320E-NOPB/page-1", "LMX2541SQ3320E-NOPB")</f>
        <v>LMX2541SQ3320E-NOPB</v>
      </c>
      <c r="B10295" s="3" t="str">
        <f>HYPERLINK("https://www.773grp.com/manufacturer/national-semiconductor?pageNo=110", "National Semiconductor")</f>
        <v>National Semiconductor</v>
      </c>
      <c r="C10295" s="6">
        <v>473</v>
      </c>
      <c r="D10295" s="7">
        <v>18.28</v>
      </c>
    </row>
    <row r="10296" spans="1:5" x14ac:dyDescent="0.25">
      <c r="A10296" t="str">
        <f>HYPERLINK("https://www.773grp.com/globalSearch/LMX2541SQ3740E-NOPB/page-1", "LMX2541SQ3740E-NOPB")</f>
        <v>LMX2541SQ3740E-NOPB</v>
      </c>
      <c r="B10296" s="3" t="str">
        <f>HYPERLINK("https://www.773grp.com/manufacturer/national-semiconductor?pageNo=111", "National Semiconductor")</f>
        <v>National Semiconductor</v>
      </c>
      <c r="C10296" s="6">
        <v>994</v>
      </c>
      <c r="D10296" s="7">
        <v>18.28</v>
      </c>
    </row>
    <row r="10297" spans="1:5" x14ac:dyDescent="0.25">
      <c r="A10297" t="str">
        <f>HYPERLINK("https://www.773grp.com/globalSearch/LMX2541SQE3030E/page-1", "LMX2541SQE3030E")</f>
        <v>LMX2541SQE3030E</v>
      </c>
      <c r="B10297" s="3" t="str">
        <f>HYPERLINK("https://www.773grp.com/manufacturer/national-semiconductor?pageNo=112", "National Semiconductor")</f>
        <v>National Semiconductor</v>
      </c>
      <c r="C10297" s="6">
        <v>250</v>
      </c>
      <c r="D10297" s="7">
        <v>18.28</v>
      </c>
    </row>
    <row r="10298" spans="1:5" x14ac:dyDescent="0.25">
      <c r="A10298" t="str">
        <f>HYPERLINK("https://www.773grp.com/globalSearch/SCANSTA112SM-NOPB/page-1", "SCANSTA112SM-NOPB")</f>
        <v>SCANSTA112SM-NOPB</v>
      </c>
      <c r="B10298" s="3" t="str">
        <f>HYPERLINK("https://www.773grp.com/manufacturer/national-semiconductor?pageNo=113", "National Semiconductor")</f>
        <v>National Semiconductor</v>
      </c>
      <c r="C10298" s="6">
        <v>687</v>
      </c>
      <c r="D10298" s="7">
        <v>18.28</v>
      </c>
      <c r="E10298" t="s">
        <v>42</v>
      </c>
    </row>
    <row r="10299" spans="1:5" x14ac:dyDescent="0.25">
      <c r="A10299" t="str">
        <f>HYPERLINK("https://www.773grp.com/globalSearch/SCANSTA112VS-NOPB/page-1", "SCANSTA112VS-NOPB")</f>
        <v>SCANSTA112VS-NOPB</v>
      </c>
      <c r="B10299" s="3" t="str">
        <f>HYPERLINK("https://www.773grp.com/manufacturer/national-semiconductor?pageNo=114", "National Semiconductor")</f>
        <v>National Semiconductor</v>
      </c>
      <c r="C10299" s="6">
        <v>1130</v>
      </c>
      <c r="D10299" s="7">
        <v>18.28</v>
      </c>
      <c r="E10299" t="s">
        <v>42</v>
      </c>
    </row>
    <row r="10300" spans="1:5" x14ac:dyDescent="0.25">
      <c r="A10300" t="str">
        <f>HYPERLINK("https://www.773grp.com/globalSearch/LM2587S-5.0/page-1", "LM2587S-5.0")</f>
        <v>LM2587S-5.0</v>
      </c>
      <c r="B10300" s="3" t="str">
        <f>HYPERLINK("https://www.773grp.com/manufacturer/national-semiconductor?pageNo=115", "National Semiconductor")</f>
        <v>National Semiconductor</v>
      </c>
      <c r="C10300" s="6">
        <v>26</v>
      </c>
      <c r="D10300" s="7">
        <v>18.309999999999999</v>
      </c>
      <c r="E10300" t="s">
        <v>7</v>
      </c>
    </row>
    <row r="10301" spans="1:5" x14ac:dyDescent="0.25">
      <c r="A10301" t="str">
        <f>HYPERLINK("https://www.773grp.com/globalSearch/LM2587S-ADJ/page-1", "LM2587S-ADJ")</f>
        <v>LM2587S-ADJ</v>
      </c>
      <c r="B10301" s="3" t="str">
        <f>HYPERLINK("https://www.773grp.com/manufacturer/national-semiconductor?pageNo=116", "National Semiconductor")</f>
        <v>National Semiconductor</v>
      </c>
      <c r="C10301" s="6">
        <v>89</v>
      </c>
      <c r="D10301" s="7">
        <v>18.309999999999999</v>
      </c>
      <c r="E10301" t="s">
        <v>7</v>
      </c>
    </row>
    <row r="10302" spans="1:5" x14ac:dyDescent="0.25">
      <c r="A10302" t="str">
        <f>HYPERLINK("https://www.773grp.com/globalSearch/LM2587S-5.0/page-1", "LM2587S-5.0")</f>
        <v>LM2587S-5.0</v>
      </c>
      <c r="B10302" s="3" t="str">
        <f>HYPERLINK("https://www.773grp.com/manufacturer/national-semiconductor?pageNo=117", "National Semiconductor")</f>
        <v>National Semiconductor</v>
      </c>
      <c r="C10302" s="6">
        <v>450</v>
      </c>
      <c r="D10302" s="7">
        <v>18.309999999999999</v>
      </c>
      <c r="E10302" t="s">
        <v>7</v>
      </c>
    </row>
    <row r="10303" spans="1:5" x14ac:dyDescent="0.25">
      <c r="A10303" t="str">
        <f>HYPERLINK("https://www.773grp.com/globalSearch/LM2587S-ADJ/page-1", "LM2587S-ADJ")</f>
        <v>LM2587S-ADJ</v>
      </c>
      <c r="B10303" s="3" t="str">
        <f>HYPERLINK("https://www.773grp.com/manufacturer/national-semiconductor?pageNo=118", "National Semiconductor")</f>
        <v>National Semiconductor</v>
      </c>
      <c r="C10303" s="6">
        <v>900</v>
      </c>
      <c r="D10303" s="7">
        <v>18.309999999999999</v>
      </c>
      <c r="E10303" t="s">
        <v>7</v>
      </c>
    </row>
    <row r="10304" spans="1:5" x14ac:dyDescent="0.25">
      <c r="A10304" t="str">
        <f>HYPERLINK("https://www.773grp.com/globalSearch/COP8CDR9HLQ8/page-1", "COP8CDR9HLQ8")</f>
        <v>COP8CDR9HLQ8</v>
      </c>
      <c r="B10304" s="3" t="str">
        <f>HYPERLINK("https://www.773grp.com/manufacturer/national-semiconductor?pageNo=119", "National Semiconductor")</f>
        <v>National Semiconductor</v>
      </c>
      <c r="C10304" s="6">
        <v>1250</v>
      </c>
      <c r="D10304" s="7">
        <v>18.399999999999999</v>
      </c>
      <c r="E10304" t="s">
        <v>52</v>
      </c>
    </row>
    <row r="10305" spans="1:5" x14ac:dyDescent="0.25">
      <c r="A10305" t="str">
        <f>HYPERLINK("https://www.773grp.com/globalSearch/LMC646AMN/page-1", "LMC646AMN")</f>
        <v>LMC646AMN</v>
      </c>
      <c r="B10305" s="3" t="str">
        <f>HYPERLINK("https://www.773grp.com/manufacturer/national-semiconductor?pageNo=120", "National Semiconductor")</f>
        <v>National Semiconductor</v>
      </c>
      <c r="C10305" s="6">
        <v>1071</v>
      </c>
      <c r="D10305" s="7">
        <v>18.43</v>
      </c>
    </row>
    <row r="10306" spans="1:5" x14ac:dyDescent="0.25">
      <c r="A10306" t="str">
        <f>HYPERLINK("https://www.773grp.com/globalSearch/LMD18400N-NOPB/page-1", "LMD18400N-NOPB")</f>
        <v>LMD18400N-NOPB</v>
      </c>
      <c r="B10306" s="3" t="str">
        <f>HYPERLINK("https://www.773grp.com/manufacturer/national-semiconductor?pageNo=121", "National Semiconductor")</f>
        <v>National Semiconductor</v>
      </c>
      <c r="C10306" s="6">
        <v>2664</v>
      </c>
      <c r="D10306" s="7">
        <v>18.43</v>
      </c>
    </row>
    <row r="10307" spans="1:5" x14ac:dyDescent="0.25">
      <c r="A10307" t="str">
        <f>HYPERLINK("https://www.773grp.com/globalSearch/LMD18400N-NOPB/page-1", "LMD18400N-NOPB")</f>
        <v>LMD18400N-NOPB</v>
      </c>
      <c r="B10307" s="3" t="str">
        <f>HYPERLINK("https://www.773grp.com/manufacturer/national-semiconductor?pageNo=122", "National Semiconductor")</f>
        <v>National Semiconductor</v>
      </c>
      <c r="C10307" s="6">
        <v>50</v>
      </c>
      <c r="D10307" s="7">
        <v>18.43</v>
      </c>
    </row>
    <row r="10308" spans="1:5" x14ac:dyDescent="0.25">
      <c r="A10308" t="str">
        <f>HYPERLINK("https://www.773grp.com/globalSearch/TAS5630PHD/page-1", "TAS5630PHD")</f>
        <v>TAS5630PHD</v>
      </c>
      <c r="B10308" s="3" t="str">
        <f>HYPERLINK("https://www.773grp.com/manufacturer/national-semiconductor?pageNo=123", "National Semiconductor")</f>
        <v>National Semiconductor</v>
      </c>
      <c r="C10308" s="6">
        <v>270</v>
      </c>
      <c r="D10308" s="7">
        <v>18.43</v>
      </c>
    </row>
    <row r="10309" spans="1:5" x14ac:dyDescent="0.25">
      <c r="A10309" t="str">
        <f>HYPERLINK("https://www.773grp.com/globalSearch/ADC12048CIV-NOPB/page-1", "ADC12048CIV-NOPB")</f>
        <v>ADC12048CIV-NOPB</v>
      </c>
      <c r="B10309" s="3" t="str">
        <f>HYPERLINK("https://www.773grp.com/manufacturer/national-semiconductor?pageNo=124", "National Semiconductor")</f>
        <v>National Semiconductor</v>
      </c>
      <c r="C10309" s="6">
        <v>271</v>
      </c>
      <c r="D10309" s="7">
        <v>18.45</v>
      </c>
      <c r="E10309" t="s">
        <v>39</v>
      </c>
    </row>
    <row r="10310" spans="1:5" x14ac:dyDescent="0.25">
      <c r="A10310" t="str">
        <f>HYPERLINK("https://www.773grp.com/globalSearch/ADC12048CIVF-NOPB/page-1", "ADC12048CIVF-NOPB")</f>
        <v>ADC12048CIVF-NOPB</v>
      </c>
      <c r="B10310" s="3" t="str">
        <f>HYPERLINK("https://www.773grp.com/manufacturer/national-semiconductor?pageNo=125", "National Semiconductor")</f>
        <v>National Semiconductor</v>
      </c>
      <c r="C10310" s="6">
        <v>698</v>
      </c>
      <c r="D10310" s="7">
        <v>18.45</v>
      </c>
      <c r="E10310" t="s">
        <v>39</v>
      </c>
    </row>
    <row r="10311" spans="1:5" x14ac:dyDescent="0.25">
      <c r="A10311" t="str">
        <f>HYPERLINK("https://www.773grp.com/globalSearch/LMH6518SQE-NOPB/page-1", "LMH6518SQE-NOPB")</f>
        <v>LMH6518SQE-NOPB</v>
      </c>
      <c r="B10311" s="3" t="str">
        <f>HYPERLINK("https://www.773grp.com/manufacturer/national-semiconductor?pageNo=126", "National Semiconductor")</f>
        <v>National Semiconductor</v>
      </c>
      <c r="C10311" s="6">
        <v>853</v>
      </c>
      <c r="D10311" s="7">
        <v>18.45</v>
      </c>
    </row>
    <row r="10312" spans="1:5" x14ac:dyDescent="0.25">
      <c r="A10312" t="str">
        <f>HYPERLINK("https://www.773grp.com/globalSearch/ADC12048CIV-NOPB/page-1", "ADC12048CIV-NOPB")</f>
        <v>ADC12048CIV-NOPB</v>
      </c>
      <c r="B10312" s="3" t="str">
        <f>HYPERLINK("https://www.773grp.com/manufacturer/national-semiconductor?pageNo=127", "National Semiconductor")</f>
        <v>National Semiconductor</v>
      </c>
      <c r="C10312" s="6">
        <v>100</v>
      </c>
      <c r="D10312" s="7">
        <v>18.45</v>
      </c>
      <c r="E10312" t="s">
        <v>39</v>
      </c>
    </row>
    <row r="10313" spans="1:5" x14ac:dyDescent="0.25">
      <c r="A10313" t="str">
        <f>HYPERLINK("https://www.773grp.com/globalSearch/ADC12048CIVF-NOPB/page-1", "ADC12048CIVF-NOPB")</f>
        <v>ADC12048CIVF-NOPB</v>
      </c>
      <c r="B10313" s="3" t="str">
        <f>HYPERLINK("https://www.773grp.com/manufacturer/national-semiconductor?pageNo=128", "National Semiconductor")</f>
        <v>National Semiconductor</v>
      </c>
      <c r="C10313" s="6">
        <v>228</v>
      </c>
      <c r="D10313" s="7">
        <v>18.45</v>
      </c>
      <c r="E10313" t="s">
        <v>39</v>
      </c>
    </row>
    <row r="10314" spans="1:5" x14ac:dyDescent="0.25">
      <c r="A10314" t="str">
        <f>HYPERLINK("https://www.773grp.com/globalSearch/TP3070V-G/page-1", "TP3070V-G")</f>
        <v>TP3070V-G</v>
      </c>
      <c r="B10314" s="3" t="str">
        <f>HYPERLINK("https://www.773grp.com/manufacturer/national-semiconductor?pageNo=129", "National Semiconductor")</f>
        <v>National Semiconductor</v>
      </c>
      <c r="C10314" s="6">
        <v>455</v>
      </c>
      <c r="D10314" s="7">
        <v>18.48</v>
      </c>
      <c r="E10314" t="s">
        <v>66</v>
      </c>
    </row>
    <row r="10315" spans="1:5" x14ac:dyDescent="0.25">
      <c r="A10315" t="str">
        <f>HYPERLINK("https://www.773grp.com/globalSearch/TP3070V-XG/page-1", "TP3070V-XG")</f>
        <v>TP3070V-XG</v>
      </c>
      <c r="B10315" s="3" t="str">
        <f>HYPERLINK("https://www.773grp.com/manufacturer/national-semiconductor?pageNo=130", "National Semiconductor")</f>
        <v>National Semiconductor</v>
      </c>
      <c r="C10315" s="6">
        <v>1467</v>
      </c>
      <c r="D10315" s="7">
        <v>18.48</v>
      </c>
      <c r="E10315" t="s">
        <v>66</v>
      </c>
    </row>
    <row r="10316" spans="1:5" x14ac:dyDescent="0.25">
      <c r="A10316" t="str">
        <f>HYPERLINK("https://www.773grp.com/globalSearch/DS90UR907QSQE-NOPB/page-1", "DS90UR907QSQE-NOPB")</f>
        <v>DS90UR907QSQE-NOPB</v>
      </c>
      <c r="B10316" s="3" t="str">
        <f>HYPERLINK("https://www.773grp.com/manufacturer/national-semiconductor?pageNo=131", "National Semiconductor")</f>
        <v>National Semiconductor</v>
      </c>
      <c r="C10316" s="6">
        <v>500</v>
      </c>
      <c r="D10316" s="7">
        <v>18.48</v>
      </c>
    </row>
    <row r="10317" spans="1:5" x14ac:dyDescent="0.25">
      <c r="A10317" t="str">
        <f>HYPERLINK("https://www.773grp.com/globalSearch/DS90UR908QSQE-NOPB/page-1", "DS90UR908QSQE-NOPB")</f>
        <v>DS90UR908QSQE-NOPB</v>
      </c>
      <c r="B10317" s="3" t="str">
        <f>HYPERLINK("https://www.773grp.com/manufacturer/national-semiconductor?pageNo=132", "National Semiconductor")</f>
        <v>National Semiconductor</v>
      </c>
      <c r="C10317" s="6">
        <v>1000</v>
      </c>
      <c r="D10317" s="7">
        <v>18.48</v>
      </c>
    </row>
    <row r="10318" spans="1:5" x14ac:dyDescent="0.25">
      <c r="A10318" t="str">
        <f>HYPERLINK("https://www.773grp.com/globalSearch/TP3070V-G/page-1", "TP3070V-G")</f>
        <v>TP3070V-G</v>
      </c>
      <c r="B10318" s="3" t="str">
        <f>HYPERLINK("https://www.773grp.com/manufacturer/national-semiconductor?pageNo=133", "National Semiconductor")</f>
        <v>National Semiconductor</v>
      </c>
      <c r="C10318" s="6">
        <v>90</v>
      </c>
      <c r="D10318" s="7">
        <v>18.48</v>
      </c>
      <c r="E10318" t="s">
        <v>66</v>
      </c>
    </row>
    <row r="10319" spans="1:5" x14ac:dyDescent="0.25">
      <c r="A10319" t="str">
        <f>HYPERLINK("https://www.773grp.com/globalSearch/9342DC/page-1", "9342DC")</f>
        <v>9342DC</v>
      </c>
      <c r="B10319" s="3" t="str">
        <f>HYPERLINK("https://www.773grp.com/manufacturer/national-semiconductor?pageNo=134", "National Semiconductor")</f>
        <v>National Semiconductor</v>
      </c>
      <c r="C10319" s="6">
        <v>231</v>
      </c>
      <c r="D10319" s="7">
        <v>18.510000000000002</v>
      </c>
    </row>
    <row r="10320" spans="1:5" x14ac:dyDescent="0.25">
      <c r="A10320" t="str">
        <f>HYPERLINK("https://www.773grp.com/globalSearch/DP83816AVNG/page-1", "DP83816AVNG")</f>
        <v>DP83816AVNG</v>
      </c>
      <c r="B10320" s="3" t="str">
        <f>HYPERLINK("https://www.773grp.com/manufacturer/national-semiconductor?pageNo=1", "National Semiconductor")</f>
        <v>National Semiconductor</v>
      </c>
      <c r="C10320" s="6">
        <v>326</v>
      </c>
      <c r="D10320" s="7">
        <v>18.510000000000002</v>
      </c>
      <c r="E10320" t="s">
        <v>71</v>
      </c>
    </row>
    <row r="10321" spans="1:5" x14ac:dyDescent="0.25">
      <c r="A10321" t="str">
        <f>HYPERLINK("https://www.773grp.com/globalSearch/DP83816AVNG/page-1", "DP83816AVNG")</f>
        <v>DP83816AVNG</v>
      </c>
      <c r="B10321" s="3" t="str">
        <f>HYPERLINK("https://www.773grp.com/manufacturer/national-semiconductor?pageNo=2", "National Semiconductor")</f>
        <v>National Semiconductor</v>
      </c>
      <c r="C10321" s="6">
        <v>867</v>
      </c>
      <c r="D10321" s="7">
        <v>18.510000000000002</v>
      </c>
      <c r="E10321" t="s">
        <v>71</v>
      </c>
    </row>
    <row r="10322" spans="1:5" x14ac:dyDescent="0.25">
      <c r="A10322" t="str">
        <f>HYPERLINK("https://www.773grp.com/globalSearch/9334DM/page-1", "9334DM")</f>
        <v>9334DM</v>
      </c>
      <c r="B10322" s="3" t="str">
        <f>HYPERLINK("https://www.773grp.com/manufacturer/national-semiconductor?pageNo=3", "National Semiconductor")</f>
        <v>National Semiconductor</v>
      </c>
      <c r="C10322" s="6">
        <v>159</v>
      </c>
      <c r="D10322" s="7">
        <v>18.559999999999999</v>
      </c>
    </row>
    <row r="10323" spans="1:5" x14ac:dyDescent="0.25">
      <c r="A10323" t="str">
        <f>HYPERLINK("https://www.773grp.com/globalSearch/DS92LV3241TVSX-NOPB/page-1", "DS92LV3241TVSX-NOPB")</f>
        <v>DS92LV3241TVSX-NOPB</v>
      </c>
      <c r="B10323" s="3" t="str">
        <f>HYPERLINK("https://www.773grp.com/manufacturer/national-semiconductor?pageNo=4", "National Semiconductor")</f>
        <v>National Semiconductor</v>
      </c>
      <c r="C10323" s="6">
        <v>990</v>
      </c>
      <c r="D10323" s="7">
        <v>18.559999999999999</v>
      </c>
    </row>
    <row r="10324" spans="1:5" x14ac:dyDescent="0.25">
      <c r="A10324" t="str">
        <f>HYPERLINK("https://www.773grp.com/globalSearch/LM2426TA/page-1", "LM2426TA")</f>
        <v>LM2426TA</v>
      </c>
      <c r="B10324" s="3" t="str">
        <f>HYPERLINK("https://www.773grp.com/manufacturer/national-semiconductor?pageNo=5", "National Semiconductor")</f>
        <v>National Semiconductor</v>
      </c>
      <c r="C10324" s="6">
        <v>850</v>
      </c>
      <c r="D10324" s="7">
        <v>18.559999999999999</v>
      </c>
      <c r="E10324" t="s">
        <v>18</v>
      </c>
    </row>
    <row r="10325" spans="1:5" x14ac:dyDescent="0.25">
      <c r="A10325" t="str">
        <f>HYPERLINK("https://www.773grp.com/globalSearch/DS92LV3241TVSX-NOPB/page-1", "DS92LV3241TVSX-NOPB")</f>
        <v>DS92LV3241TVSX-NOPB</v>
      </c>
      <c r="B10325" s="3" t="str">
        <f>HYPERLINK("https://www.773grp.com/manufacturer/national-semiconductor?pageNo=6", "National Semiconductor")</f>
        <v>National Semiconductor</v>
      </c>
      <c r="C10325" s="6">
        <v>1000</v>
      </c>
      <c r="D10325" s="7">
        <v>18.559999999999999</v>
      </c>
    </row>
    <row r="10326" spans="1:5" x14ac:dyDescent="0.25">
      <c r="A10326" t="str">
        <f>HYPERLINK("https://www.773grp.com/globalSearch/54F13LMQB/page-1", "54F13LMQB")</f>
        <v>54F13LMQB</v>
      </c>
      <c r="B10326" s="3" t="str">
        <f>HYPERLINK("https://www.773grp.com/manufacturer/national-semiconductor?pageNo=7", "National Semiconductor")</f>
        <v>National Semiconductor</v>
      </c>
      <c r="C10326" s="6">
        <v>86</v>
      </c>
      <c r="D10326" s="7">
        <v>18.7</v>
      </c>
      <c r="E10326" t="s">
        <v>31</v>
      </c>
    </row>
    <row r="10327" spans="1:5" x14ac:dyDescent="0.25">
      <c r="A10327" t="str">
        <f>HYPERLINK("https://www.773grp.com/globalSearch/54LS157LMQB/page-1", "54LS157LMQB")</f>
        <v>54LS157LMQB</v>
      </c>
      <c r="B10327" s="3" t="str">
        <f>HYPERLINK("https://www.773grp.com/manufacturer/national-semiconductor?pageNo=8", "National Semiconductor")</f>
        <v>National Semiconductor</v>
      </c>
      <c r="C10327" s="6">
        <v>51</v>
      </c>
      <c r="D10327" s="7">
        <v>18.7</v>
      </c>
      <c r="E10327" t="s">
        <v>20</v>
      </c>
    </row>
    <row r="10328" spans="1:5" x14ac:dyDescent="0.25">
      <c r="A10328" t="str">
        <f>HYPERLINK("https://www.773grp.com/globalSearch/54LS74LMQB/page-1", "54LS74LMQB")</f>
        <v>54LS74LMQB</v>
      </c>
      <c r="B10328" s="3" t="str">
        <f>HYPERLINK("https://www.773grp.com/manufacturer/national-semiconductor?pageNo=9", "National Semiconductor")</f>
        <v>National Semiconductor</v>
      </c>
      <c r="C10328" s="6">
        <v>1775</v>
      </c>
      <c r="D10328" s="7">
        <v>18.7</v>
      </c>
      <c r="E10328" t="s">
        <v>35</v>
      </c>
    </row>
    <row r="10329" spans="1:5" x14ac:dyDescent="0.25">
      <c r="A10329" t="str">
        <f>HYPERLINK("https://www.773grp.com/globalSearch/54LS85LMQB/page-1", "54LS85LMQB")</f>
        <v>54LS85LMQB</v>
      </c>
      <c r="B10329" s="3" t="str">
        <f>HYPERLINK("https://www.773grp.com/manufacturer/national-semiconductor?pageNo=10", "National Semiconductor")</f>
        <v>National Semiconductor</v>
      </c>
      <c r="C10329" s="6">
        <v>675</v>
      </c>
      <c r="D10329" s="7">
        <v>18.7</v>
      </c>
      <c r="E10329" t="s">
        <v>43</v>
      </c>
    </row>
    <row r="10330" spans="1:5" x14ac:dyDescent="0.25">
      <c r="A10330" t="str">
        <f>HYPERLINK("https://www.773grp.com/globalSearch/93L00DM/page-1", "93L00DM")</f>
        <v>93L00DM</v>
      </c>
      <c r="B10330" s="3" t="str">
        <f>HYPERLINK("https://www.773grp.com/manufacturer/national-semiconductor?pageNo=11", "National Semiconductor")</f>
        <v>National Semiconductor</v>
      </c>
      <c r="C10330" s="6">
        <v>525</v>
      </c>
      <c r="D10330" s="7">
        <v>18.7</v>
      </c>
    </row>
    <row r="10331" spans="1:5" x14ac:dyDescent="0.25">
      <c r="A10331" t="str">
        <f>HYPERLINK("https://www.773grp.com/globalSearch/DS99R121TVS-NOPB/page-1", "DS99R121TVS-NOPB")</f>
        <v>DS99R121TVS-NOPB</v>
      </c>
      <c r="B10331" s="3" t="str">
        <f>HYPERLINK("https://www.773grp.com/manufacturer/national-semiconductor?pageNo=12", "National Semiconductor")</f>
        <v>National Semiconductor</v>
      </c>
      <c r="C10331" s="6">
        <v>481</v>
      </c>
      <c r="D10331" s="7">
        <v>18.7</v>
      </c>
    </row>
    <row r="10332" spans="1:5" x14ac:dyDescent="0.25">
      <c r="A10332" t="str">
        <f>HYPERLINK("https://www.773grp.com/globalSearch/DS99R122TVS-NOPB/page-1", "DS99R122TVS-NOPB")</f>
        <v>DS99R122TVS-NOPB</v>
      </c>
      <c r="B10332" s="3" t="str">
        <f>HYPERLINK("https://www.773grp.com/manufacturer/national-semiconductor?pageNo=13", "National Semiconductor")</f>
        <v>National Semiconductor</v>
      </c>
      <c r="C10332" s="6">
        <v>800</v>
      </c>
      <c r="D10332" s="7">
        <v>18.7</v>
      </c>
    </row>
    <row r="10333" spans="1:5" x14ac:dyDescent="0.25">
      <c r="A10333" t="str">
        <f>HYPERLINK("https://www.773grp.com/globalSearch/LM1291N/page-1", "LM1291N")</f>
        <v>LM1291N</v>
      </c>
      <c r="B10333" s="3" t="str">
        <f>HYPERLINK("https://www.773grp.com/manufacturer/national-semiconductor?pageNo=14", "National Semiconductor")</f>
        <v>National Semiconductor</v>
      </c>
      <c r="C10333" s="6">
        <v>10530</v>
      </c>
      <c r="D10333" s="7">
        <v>18.7</v>
      </c>
      <c r="E10333" t="s">
        <v>53</v>
      </c>
    </row>
    <row r="10334" spans="1:5" x14ac:dyDescent="0.25">
      <c r="A10334" t="str">
        <f>HYPERLINK("https://www.773grp.com/globalSearch/LM137H/page-1", "LM137H")</f>
        <v>LM137H</v>
      </c>
      <c r="B10334" s="3" t="str">
        <f>HYPERLINK("https://www.773grp.com/manufacturer/national-semiconductor?pageNo=15", "National Semiconductor")</f>
        <v>National Semiconductor</v>
      </c>
      <c r="C10334" s="6">
        <v>554</v>
      </c>
      <c r="D10334" s="7">
        <v>18.760000000000002</v>
      </c>
      <c r="E10334" t="s">
        <v>37</v>
      </c>
    </row>
    <row r="10335" spans="1:5" x14ac:dyDescent="0.25">
      <c r="A10335" t="str">
        <f>HYPERLINK("https://www.773grp.com/globalSearch/LM137H-NOPB/page-1", "LM137H-NOPB")</f>
        <v>LM137H-NOPB</v>
      </c>
      <c r="B10335" s="3" t="str">
        <f>HYPERLINK("https://www.773grp.com/manufacturer/national-semiconductor?pageNo=16", "National Semiconductor")</f>
        <v>National Semiconductor</v>
      </c>
      <c r="C10335" s="6">
        <v>2266</v>
      </c>
      <c r="D10335" s="7">
        <v>18.760000000000002</v>
      </c>
      <c r="E10335" t="s">
        <v>37</v>
      </c>
    </row>
    <row r="10336" spans="1:5" x14ac:dyDescent="0.25">
      <c r="A10336" t="str">
        <f>HYPERLINK("https://www.773grp.com/globalSearch/PT82C786-VC-C/page-1", "PT82C786-VC-C")</f>
        <v>PT82C786-VC-C</v>
      </c>
      <c r="B10336" s="3" t="str">
        <f>HYPERLINK("https://www.773grp.com/manufacturer/national-semiconductor?pageNo=17", "National Semiconductor")</f>
        <v>National Semiconductor</v>
      </c>
      <c r="C10336" s="6">
        <v>15235</v>
      </c>
      <c r="D10336" s="7">
        <v>18.760000000000002</v>
      </c>
    </row>
    <row r="10337" spans="1:5" x14ac:dyDescent="0.25">
      <c r="A10337" t="str">
        <f>HYPERLINK("https://www.773grp.com/globalSearch/LM137H-NOPB/page-1", "LM137H-NOPB")</f>
        <v>LM137H-NOPB</v>
      </c>
      <c r="B10337" s="3" t="str">
        <f>HYPERLINK("https://www.773grp.com/manufacturer/national-semiconductor?pageNo=18", "National Semiconductor")</f>
        <v>National Semiconductor</v>
      </c>
      <c r="C10337" s="6">
        <v>1143</v>
      </c>
      <c r="D10337" s="7">
        <v>18.760000000000002</v>
      </c>
      <c r="E10337" t="s">
        <v>37</v>
      </c>
    </row>
    <row r="10338" spans="1:5" x14ac:dyDescent="0.25">
      <c r="A10338" t="str">
        <f>HYPERLINK("https://www.773grp.com/globalSearch/LM137H-NOPB/page-1", "LM137H-NOPB")</f>
        <v>LM137H-NOPB</v>
      </c>
      <c r="B10338" s="3" t="str">
        <f>HYPERLINK("https://www.773grp.com/manufacturer/national-semiconductor?pageNo=19", "National Semiconductor")</f>
        <v>National Semiconductor</v>
      </c>
      <c r="C10338" s="6">
        <v>3860</v>
      </c>
      <c r="D10338" s="7">
        <v>18.760000000000002</v>
      </c>
      <c r="E10338" t="s">
        <v>37</v>
      </c>
    </row>
    <row r="10339" spans="1:5" x14ac:dyDescent="0.25">
      <c r="A10339" t="str">
        <f>HYPERLINK("https://www.773grp.com/globalSearch/54FCT241FMQB/page-1", "54FCT241FMQB")</f>
        <v>54FCT241FMQB</v>
      </c>
      <c r="B10339" s="3" t="str">
        <f>HYPERLINK("https://www.773grp.com/manufacturer/national-semiconductor?pageNo=20", "National Semiconductor")</f>
        <v>National Semiconductor</v>
      </c>
      <c r="C10339" s="6">
        <v>59</v>
      </c>
      <c r="D10339" s="7">
        <v>18.79</v>
      </c>
      <c r="E10339" t="s">
        <v>14</v>
      </c>
    </row>
    <row r="10340" spans="1:5" x14ac:dyDescent="0.25">
      <c r="A10340" t="str">
        <f>HYPERLINK("https://www.773grp.com/globalSearch/54F163AFMQB/page-1", "54F163AFMQB")</f>
        <v>54F163AFMQB</v>
      </c>
      <c r="B10340" s="3" t="str">
        <f>HYPERLINK("https://www.773grp.com/manufacturer/national-semiconductor?pageNo=21", "National Semiconductor")</f>
        <v>National Semiconductor</v>
      </c>
      <c r="C10340" s="6">
        <v>16</v>
      </c>
      <c r="D10340" s="7">
        <v>18.850000000000001</v>
      </c>
      <c r="E10340" t="s">
        <v>26</v>
      </c>
    </row>
    <row r="10341" spans="1:5" x14ac:dyDescent="0.25">
      <c r="A10341" t="str">
        <f>HYPERLINK("https://www.773grp.com/globalSearch/54LS240LM/page-1", "54LS240LM")</f>
        <v>54LS240LM</v>
      </c>
      <c r="B10341" s="3" t="str">
        <f>HYPERLINK("https://www.773grp.com/manufacturer/national-semiconductor?pageNo=22", "National Semiconductor")</f>
        <v>National Semiconductor</v>
      </c>
      <c r="C10341" s="6">
        <v>11</v>
      </c>
      <c r="D10341" s="7">
        <v>18.850000000000001</v>
      </c>
    </row>
    <row r="10342" spans="1:5" x14ac:dyDescent="0.25">
      <c r="A10342" t="str">
        <f>HYPERLINK("https://www.773grp.com/globalSearch/54LS240LMQB/page-1", "54LS240LMQB")</f>
        <v>54LS240LMQB</v>
      </c>
      <c r="B10342" s="3" t="str">
        <f>HYPERLINK("https://www.773grp.com/manufacturer/national-semiconductor?pageNo=23", "National Semiconductor")</f>
        <v>National Semiconductor</v>
      </c>
      <c r="C10342" s="6">
        <v>421</v>
      </c>
      <c r="D10342" s="7">
        <v>18.850000000000001</v>
      </c>
      <c r="E10342" t="s">
        <v>14</v>
      </c>
    </row>
    <row r="10343" spans="1:5" x14ac:dyDescent="0.25">
      <c r="A10343" t="str">
        <f>HYPERLINK("https://www.773grp.com/globalSearch/54LS241LMQB/page-1", "54LS241LMQB")</f>
        <v>54LS241LMQB</v>
      </c>
      <c r="B10343" s="3" t="str">
        <f>HYPERLINK("https://www.773grp.com/manufacturer/national-semiconductor?pageNo=24", "National Semiconductor")</f>
        <v>National Semiconductor</v>
      </c>
      <c r="C10343" s="6">
        <v>474</v>
      </c>
      <c r="D10343" s="7">
        <v>18.850000000000001</v>
      </c>
      <c r="E10343" t="s">
        <v>14</v>
      </c>
    </row>
    <row r="10344" spans="1:5" x14ac:dyDescent="0.25">
      <c r="A10344" t="str">
        <f>HYPERLINK("https://www.773grp.com/globalSearch/54LS244LMQB/page-1", "54LS244LMQB")</f>
        <v>54LS244LMQB</v>
      </c>
      <c r="B10344" s="3" t="str">
        <f>HYPERLINK("https://www.773grp.com/manufacturer/national-semiconductor?pageNo=25", "National Semiconductor")</f>
        <v>National Semiconductor</v>
      </c>
      <c r="C10344" s="6">
        <v>1506</v>
      </c>
      <c r="D10344" s="7">
        <v>18.850000000000001</v>
      </c>
      <c r="E10344" t="s">
        <v>14</v>
      </c>
    </row>
    <row r="10345" spans="1:5" x14ac:dyDescent="0.25">
      <c r="A10345" t="str">
        <f>HYPERLINK("https://www.773grp.com/globalSearch/54LS374LMQB/page-1", "54LS374LMQB")</f>
        <v>54LS374LMQB</v>
      </c>
      <c r="B10345" s="3" t="str">
        <f>HYPERLINK("https://www.773grp.com/manufacturer/national-semiconductor?pageNo=26", "National Semiconductor")</f>
        <v>National Semiconductor</v>
      </c>
      <c r="C10345" s="6">
        <v>197</v>
      </c>
      <c r="D10345" s="7">
        <v>18.850000000000001</v>
      </c>
      <c r="E10345" t="s">
        <v>14</v>
      </c>
    </row>
    <row r="10346" spans="1:5" x14ac:dyDescent="0.25">
      <c r="A10346" t="str">
        <f>HYPERLINK("https://www.773grp.com/globalSearch/54LS377LM/page-1", "54LS377LM")</f>
        <v>54LS377LM</v>
      </c>
      <c r="B10346" s="3" t="str">
        <f>HYPERLINK("https://www.773grp.com/manufacturer/national-semiconductor?pageNo=27", "National Semiconductor")</f>
        <v>National Semiconductor</v>
      </c>
      <c r="C10346" s="6">
        <v>274</v>
      </c>
      <c r="D10346" s="7">
        <v>18.850000000000001</v>
      </c>
    </row>
    <row r="10347" spans="1:5" x14ac:dyDescent="0.25">
      <c r="A10347" t="str">
        <f>HYPERLINK("https://www.773grp.com/globalSearch/54LS377LMQB/page-1", "54LS377LMQB")</f>
        <v>54LS377LMQB</v>
      </c>
      <c r="B10347" s="3" t="str">
        <f>HYPERLINK("https://www.773grp.com/manufacturer/national-semiconductor?pageNo=28", "National Semiconductor")</f>
        <v>National Semiconductor</v>
      </c>
      <c r="C10347" s="6">
        <v>610</v>
      </c>
      <c r="D10347" s="7">
        <v>18.850000000000001</v>
      </c>
      <c r="E10347" t="s">
        <v>35</v>
      </c>
    </row>
    <row r="10348" spans="1:5" x14ac:dyDescent="0.25">
      <c r="A10348" t="str">
        <f>HYPERLINK("https://www.773grp.com/globalSearch/ADC10D040CIVS-NOPB/page-1", "ADC10D040CIVS-NOPB")</f>
        <v>ADC10D040CIVS-NOPB</v>
      </c>
      <c r="B10348" s="3" t="str">
        <f>HYPERLINK("https://www.773grp.com/manufacturer/national-semiconductor?pageNo=29", "National Semiconductor")</f>
        <v>National Semiconductor</v>
      </c>
      <c r="C10348" s="6">
        <v>384</v>
      </c>
      <c r="D10348" s="7">
        <v>18.850000000000001</v>
      </c>
      <c r="E10348" t="s">
        <v>39</v>
      </c>
    </row>
    <row r="10349" spans="1:5" x14ac:dyDescent="0.25">
      <c r="A10349" t="str">
        <f>HYPERLINK("https://www.773grp.com/globalSearch/CD4052BMW-883/page-1", "CD4052BMW-883")</f>
        <v>CD4052BMW-883</v>
      </c>
      <c r="B10349" s="3" t="str">
        <f>HYPERLINK("https://www.773grp.com/manufacturer/national-semiconductor?pageNo=30", "National Semiconductor")</f>
        <v>National Semiconductor</v>
      </c>
      <c r="C10349" s="6">
        <v>176</v>
      </c>
      <c r="D10349" s="7">
        <v>18.850000000000001</v>
      </c>
      <c r="E10349" t="s">
        <v>56</v>
      </c>
    </row>
    <row r="10350" spans="1:5" x14ac:dyDescent="0.25">
      <c r="A10350" t="str">
        <f>HYPERLINK("https://www.773grp.com/globalSearch/DM9321J-883/page-1", "DM9321J-883")</f>
        <v>DM9321J-883</v>
      </c>
      <c r="B10350" s="3" t="str">
        <f>HYPERLINK("https://www.773grp.com/manufacturer/national-semiconductor?pageNo=31", "National Semiconductor")</f>
        <v>National Semiconductor</v>
      </c>
      <c r="C10350" s="6">
        <v>488</v>
      </c>
      <c r="D10350" s="7">
        <v>18.850000000000001</v>
      </c>
    </row>
    <row r="10351" spans="1:5" x14ac:dyDescent="0.25">
      <c r="A10351" t="str">
        <f>HYPERLINK("https://www.773grp.com/globalSearch/DM9322J-883/page-1", "DM9322J-883")</f>
        <v>DM9322J-883</v>
      </c>
      <c r="B10351" s="3" t="str">
        <f>HYPERLINK("https://www.773grp.com/manufacturer/national-semiconductor?pageNo=32", "National Semiconductor")</f>
        <v>National Semiconductor</v>
      </c>
      <c r="C10351" s="6">
        <v>240</v>
      </c>
      <c r="D10351" s="7">
        <v>18.850000000000001</v>
      </c>
      <c r="E10351" t="s">
        <v>20</v>
      </c>
    </row>
    <row r="10352" spans="1:5" x14ac:dyDescent="0.25">
      <c r="A10352" t="str">
        <f>HYPERLINK("https://www.773grp.com/globalSearch/DS90CR583MTD/page-1", "DS90CR583MTD")</f>
        <v>DS90CR583MTD</v>
      </c>
      <c r="B10352" s="3" t="str">
        <f>HYPERLINK("https://www.773grp.com/manufacturer/national-semiconductor?pageNo=33", "National Semiconductor")</f>
        <v>National Semiconductor</v>
      </c>
      <c r="C10352" s="6">
        <v>4862</v>
      </c>
      <c r="D10352" s="7">
        <v>18.850000000000001</v>
      </c>
      <c r="E10352" t="s">
        <v>21</v>
      </c>
    </row>
    <row r="10353" spans="1:5" x14ac:dyDescent="0.25">
      <c r="A10353" t="str">
        <f>HYPERLINK("https://www.773grp.com/globalSearch/JD54LS253BEA/page-1", "JD54LS253BEA")</f>
        <v>JD54LS253BEA</v>
      </c>
      <c r="B10353" s="3" t="str">
        <f>HYPERLINK("https://www.773grp.com/manufacturer/national-semiconductor?pageNo=34", "National Semiconductor")</f>
        <v>National Semiconductor</v>
      </c>
      <c r="C10353" s="6">
        <v>237</v>
      </c>
      <c r="D10353" s="7">
        <v>18.850000000000001</v>
      </c>
    </row>
    <row r="10354" spans="1:5" x14ac:dyDescent="0.25">
      <c r="A10354" t="str">
        <f>HYPERLINK("https://www.773grp.com/globalSearch/LMH6521SQE-NOPB/page-1", "LMH6521SQE-NOPB")</f>
        <v>LMH6521SQE-NOPB</v>
      </c>
      <c r="B10354" s="3" t="str">
        <f>HYPERLINK("https://www.773grp.com/manufacturer/national-semiconductor?pageNo=35", "National Semiconductor")</f>
        <v>National Semiconductor</v>
      </c>
      <c r="C10354" s="6">
        <v>500</v>
      </c>
      <c r="D10354" s="7">
        <v>18.850000000000001</v>
      </c>
    </row>
    <row r="10355" spans="1:5" x14ac:dyDescent="0.25">
      <c r="A10355" t="str">
        <f>HYPERLINK("https://www.773grp.com/globalSearch/MM54HC157W-883/page-1", "MM54HC157W-883")</f>
        <v>MM54HC157W-883</v>
      </c>
      <c r="B10355" s="3" t="str">
        <f>HYPERLINK("https://www.773grp.com/manufacturer/national-semiconductor?pageNo=36", "National Semiconductor")</f>
        <v>National Semiconductor</v>
      </c>
      <c r="C10355" s="6">
        <v>203</v>
      </c>
      <c r="D10355" s="7">
        <v>18.850000000000001</v>
      </c>
    </row>
    <row r="10356" spans="1:5" x14ac:dyDescent="0.25">
      <c r="A10356" t="str">
        <f>HYPERLINK("https://www.773grp.com/globalSearch/ADC10D040CIVS-NOPB/page-1", "ADC10D040CIVS-NOPB")</f>
        <v>ADC10D040CIVS-NOPB</v>
      </c>
      <c r="B10356" s="3" t="str">
        <f>HYPERLINK("https://www.773grp.com/manufacturer/national-semiconductor?pageNo=37", "National Semiconductor")</f>
        <v>National Semiconductor</v>
      </c>
      <c r="C10356" s="6">
        <v>270</v>
      </c>
      <c r="D10356" s="7">
        <v>18.850000000000001</v>
      </c>
      <c r="E10356" t="s">
        <v>39</v>
      </c>
    </row>
    <row r="10357" spans="1:5" x14ac:dyDescent="0.25">
      <c r="A10357" t="str">
        <f>HYPERLINK("https://www.773grp.com/globalSearch/LMH6521SQE-NOPB/page-1", "LMH6521SQE-NOPB")</f>
        <v>LMH6521SQE-NOPB</v>
      </c>
      <c r="B10357" s="3" t="str">
        <f>HYPERLINK("https://www.773grp.com/manufacturer/national-semiconductor?pageNo=38", "National Semiconductor")</f>
        <v>National Semiconductor</v>
      </c>
      <c r="C10357" s="6">
        <v>200</v>
      </c>
      <c r="D10357" s="7">
        <v>18.850000000000001</v>
      </c>
    </row>
    <row r="10358" spans="1:5" x14ac:dyDescent="0.25">
      <c r="A10358" t="str">
        <f>HYPERLINK("https://www.773grp.com/globalSearch/9328FMQB/page-1", "9328FMQB")</f>
        <v>9328FMQB</v>
      </c>
      <c r="B10358" s="3" t="str">
        <f>HYPERLINK("https://www.773grp.com/manufacturer/national-semiconductor?pageNo=39", "National Semiconductor")</f>
        <v>National Semiconductor</v>
      </c>
      <c r="C10358" s="6">
        <v>195</v>
      </c>
      <c r="D10358" s="7">
        <v>18.899999999999999</v>
      </c>
      <c r="E10358" t="s">
        <v>32</v>
      </c>
    </row>
    <row r="10359" spans="1:5" x14ac:dyDescent="0.25">
      <c r="A10359" t="str">
        <f>HYPERLINK("https://www.773grp.com/globalSearch/LMC6009MT/page-1", "LMC6009MT")</f>
        <v>LMC6009MT</v>
      </c>
      <c r="B10359" s="3" t="str">
        <f>HYPERLINK("https://www.773grp.com/manufacturer/national-semiconductor?pageNo=40", "National Semiconductor")</f>
        <v>National Semiconductor</v>
      </c>
      <c r="C10359" s="6">
        <v>323</v>
      </c>
      <c r="D10359" s="7">
        <v>18.940000000000001</v>
      </c>
      <c r="E10359" t="s">
        <v>48</v>
      </c>
    </row>
    <row r="10360" spans="1:5" x14ac:dyDescent="0.25">
      <c r="A10360" t="str">
        <f>HYPERLINK("https://www.773grp.com/globalSearch/LMC6009MTX/page-1", "LMC6009MTX")</f>
        <v>LMC6009MTX</v>
      </c>
      <c r="B10360" s="3" t="str">
        <f>HYPERLINK("https://www.773grp.com/manufacturer/national-semiconductor?pageNo=41", "National Semiconductor")</f>
        <v>National Semiconductor</v>
      </c>
      <c r="C10360" s="6">
        <v>4138</v>
      </c>
      <c r="D10360" s="7">
        <v>18.940000000000001</v>
      </c>
      <c r="E10360" t="s">
        <v>48</v>
      </c>
    </row>
    <row r="10361" spans="1:5" x14ac:dyDescent="0.25">
      <c r="A10361" t="str">
        <f>HYPERLINK("https://www.773grp.com/globalSearch/93L16PC/page-1", "93L16PC")</f>
        <v>93L16PC</v>
      </c>
      <c r="B10361" s="3" t="str">
        <f>HYPERLINK("https://www.773grp.com/manufacturer/national-semiconductor?pageNo=42", "National Semiconductor")</f>
        <v>National Semiconductor</v>
      </c>
      <c r="C10361" s="6">
        <v>35735</v>
      </c>
      <c r="D10361" s="7">
        <v>18.989999999999998</v>
      </c>
    </row>
    <row r="10362" spans="1:5" x14ac:dyDescent="0.25">
      <c r="A10362" t="str">
        <f>HYPERLINK("https://www.773grp.com/globalSearch/95H03DC/page-1", "95H03DC")</f>
        <v>95H03DC</v>
      </c>
      <c r="B10362" s="3" t="str">
        <f>HYPERLINK("https://www.773grp.com/manufacturer/national-semiconductor?pageNo=43", "National Semiconductor")</f>
        <v>National Semiconductor</v>
      </c>
      <c r="C10362" s="6">
        <v>682</v>
      </c>
      <c r="D10362" s="7">
        <v>18.989999999999998</v>
      </c>
    </row>
    <row r="10363" spans="1:5" x14ac:dyDescent="0.25">
      <c r="A10363" t="str">
        <f>HYPERLINK("https://www.773grp.com/globalSearch/DM54ALS245AJ-883/page-1", "DM54ALS245AJ-883")</f>
        <v>DM54ALS245AJ-883</v>
      </c>
      <c r="B10363" s="3" t="str">
        <f>HYPERLINK("https://www.773grp.com/manufacturer/national-semiconductor?pageNo=44", "National Semiconductor")</f>
        <v>National Semiconductor</v>
      </c>
      <c r="C10363" s="6">
        <v>28</v>
      </c>
      <c r="D10363" s="7">
        <v>18.989999999999998</v>
      </c>
    </row>
    <row r="10364" spans="1:5" x14ac:dyDescent="0.25">
      <c r="A10364" t="str">
        <f>HYPERLINK("https://www.773grp.com/globalSearch/DM54S138W-883/page-1", "DM54S138W-883")</f>
        <v>DM54S138W-883</v>
      </c>
      <c r="B10364" s="3" t="str">
        <f>HYPERLINK("https://www.773grp.com/manufacturer/national-semiconductor?pageNo=45", "National Semiconductor")</f>
        <v>National Semiconductor</v>
      </c>
      <c r="C10364" s="6">
        <v>42</v>
      </c>
      <c r="D10364" s="7">
        <v>18.989999999999998</v>
      </c>
      <c r="E10364" t="s">
        <v>36</v>
      </c>
    </row>
    <row r="10365" spans="1:5" x14ac:dyDescent="0.25">
      <c r="A10365" t="str">
        <f>HYPERLINK("https://www.773grp.com/globalSearch/DM54S139W-883/page-1", "DM54S139W-883")</f>
        <v>DM54S139W-883</v>
      </c>
      <c r="B10365" s="3" t="str">
        <f>HYPERLINK("https://www.773grp.com/manufacturer/national-semiconductor?pageNo=46", "National Semiconductor")</f>
        <v>National Semiconductor</v>
      </c>
      <c r="C10365" s="6">
        <v>52</v>
      </c>
      <c r="D10365" s="7">
        <v>18.989999999999998</v>
      </c>
      <c r="E10365" t="s">
        <v>36</v>
      </c>
    </row>
    <row r="10366" spans="1:5" x14ac:dyDescent="0.25">
      <c r="A10366" t="str">
        <f>HYPERLINK("https://www.773grp.com/globalSearch/DM54S253W-883/page-1", "DM54S253W-883")</f>
        <v>DM54S253W-883</v>
      </c>
      <c r="B10366" s="3" t="str">
        <f>HYPERLINK("https://www.773grp.com/manufacturer/national-semiconductor?pageNo=47", "National Semiconductor")</f>
        <v>National Semiconductor</v>
      </c>
      <c r="C10366" s="6">
        <v>80</v>
      </c>
      <c r="D10366" s="7">
        <v>18.989999999999998</v>
      </c>
      <c r="E10366" t="s">
        <v>20</v>
      </c>
    </row>
    <row r="10367" spans="1:5" x14ac:dyDescent="0.25">
      <c r="A10367" t="str">
        <f>HYPERLINK("https://www.773grp.com/globalSearch/DM54S74W-883/page-1", "DM54S74W-883")</f>
        <v>DM54S74W-883</v>
      </c>
      <c r="B10367" s="3" t="str">
        <f>HYPERLINK("https://www.773grp.com/manufacturer/national-semiconductor?pageNo=48", "National Semiconductor")</f>
        <v>National Semiconductor</v>
      </c>
      <c r="C10367" s="6">
        <v>31</v>
      </c>
      <c r="D10367" s="7">
        <v>18.989999999999998</v>
      </c>
      <c r="E10367" t="s">
        <v>35</v>
      </c>
    </row>
    <row r="10368" spans="1:5" x14ac:dyDescent="0.25">
      <c r="A10368" t="str">
        <f>HYPERLINK("https://www.773grp.com/globalSearch/DM54S86W-883/page-1", "DM54S86W-883")</f>
        <v>DM54S86W-883</v>
      </c>
      <c r="B10368" s="3" t="str">
        <f>HYPERLINK("https://www.773grp.com/manufacturer/national-semiconductor?pageNo=49", "National Semiconductor")</f>
        <v>National Semiconductor</v>
      </c>
      <c r="C10368" s="6">
        <v>360</v>
      </c>
      <c r="D10368" s="7">
        <v>18.989999999999998</v>
      </c>
      <c r="E10368" t="s">
        <v>31</v>
      </c>
    </row>
    <row r="10369" spans="1:5" x14ac:dyDescent="0.25">
      <c r="A10369" t="str">
        <f>HYPERLINK("https://www.773grp.com/globalSearch/DM7218J-883/page-1", "DM7218J-883")</f>
        <v>DM7218J-883</v>
      </c>
      <c r="B10369" s="3" t="str">
        <f>HYPERLINK("https://www.773grp.com/manufacturer/national-semiconductor?pageNo=50", "National Semiconductor")</f>
        <v>National Semiconductor</v>
      </c>
      <c r="C10369" s="6">
        <v>61</v>
      </c>
      <c r="D10369" s="7">
        <v>18.989999999999998</v>
      </c>
    </row>
    <row r="10370" spans="1:5" x14ac:dyDescent="0.25">
      <c r="A10370" t="str">
        <f>HYPERLINK("https://www.773grp.com/globalSearch/DP8464BV-2/page-1", "DP8464BV-2")</f>
        <v>DP8464BV-2</v>
      </c>
      <c r="B10370" s="3" t="str">
        <f>HYPERLINK("https://www.773grp.com/manufacturer/national-semiconductor?pageNo=51", "National Semiconductor")</f>
        <v>National Semiconductor</v>
      </c>
      <c r="C10370" s="6">
        <v>16725</v>
      </c>
      <c r="D10370" s="7">
        <v>18.989999999999998</v>
      </c>
      <c r="E10370" t="s">
        <v>77</v>
      </c>
    </row>
    <row r="10371" spans="1:5" x14ac:dyDescent="0.25">
      <c r="A10371" t="str">
        <f>HYPERLINK("https://www.773grp.com/globalSearch/DP8464BV-23/page-1", "DP8464BV-23")</f>
        <v>DP8464BV-23</v>
      </c>
      <c r="B10371" s="3" t="str">
        <f>HYPERLINK("https://www.773grp.com/manufacturer/national-semiconductor?pageNo=52", "National Semiconductor")</f>
        <v>National Semiconductor</v>
      </c>
      <c r="C10371" s="6">
        <v>37500</v>
      </c>
      <c r="D10371" s="7">
        <v>18.989999999999998</v>
      </c>
    </row>
    <row r="10372" spans="1:5" x14ac:dyDescent="0.25">
      <c r="A10372" t="str">
        <f>HYPERLINK("https://www.773grp.com/globalSearch/GD4723BJ/page-1", "GD4723BJ")</f>
        <v>GD4723BJ</v>
      </c>
      <c r="B10372" s="3" t="str">
        <f>HYPERLINK("https://www.773grp.com/manufacturer/national-semiconductor?pageNo=53", "National Semiconductor")</f>
        <v>National Semiconductor</v>
      </c>
      <c r="C10372" s="6">
        <v>5565</v>
      </c>
      <c r="D10372" s="7">
        <v>18.989999999999998</v>
      </c>
    </row>
    <row r="10373" spans="1:5" x14ac:dyDescent="0.25">
      <c r="A10373" t="str">
        <f>HYPERLINK("https://www.773grp.com/globalSearch/LM733W-883/page-1", "LM733W-883")</f>
        <v>LM733W-883</v>
      </c>
      <c r="B10373" s="3" t="str">
        <f>HYPERLINK("https://www.773grp.com/manufacturer/national-semiconductor?pageNo=54", "National Semiconductor")</f>
        <v>National Semiconductor</v>
      </c>
      <c r="C10373" s="6">
        <v>265</v>
      </c>
      <c r="D10373" s="7">
        <v>18.989999999999998</v>
      </c>
    </row>
    <row r="10374" spans="1:5" x14ac:dyDescent="0.25">
      <c r="A10374" t="str">
        <f>HYPERLINK("https://www.773grp.com/globalSearch/DS90CR287SLC-NOPB/page-1", "DS90CR287SLC-NOPB")</f>
        <v>DS90CR287SLC-NOPB</v>
      </c>
      <c r="B10374" s="3" t="str">
        <f>HYPERLINK("https://www.773grp.com/manufacturer/national-semiconductor?pageNo=55", "National Semiconductor")</f>
        <v>National Semiconductor</v>
      </c>
      <c r="C10374" s="6">
        <v>1020</v>
      </c>
      <c r="D10374" s="7">
        <v>19.010000000000002</v>
      </c>
      <c r="E10374" t="s">
        <v>21</v>
      </c>
    </row>
    <row r="10375" spans="1:5" x14ac:dyDescent="0.25">
      <c r="A10375" t="str">
        <f>HYPERLINK("https://www.773grp.com/globalSearch/DS90CR287SLC-NOPB/page-1", "DS90CR287SLC-NOPB")</f>
        <v>DS90CR287SLC-NOPB</v>
      </c>
      <c r="B10375" s="3" t="str">
        <f>HYPERLINK("https://www.773grp.com/manufacturer/national-semiconductor?pageNo=56", "National Semiconductor")</f>
        <v>National Semiconductor</v>
      </c>
      <c r="C10375" s="6">
        <v>448</v>
      </c>
      <c r="D10375" s="7">
        <v>19.010000000000002</v>
      </c>
      <c r="E10375" t="s">
        <v>21</v>
      </c>
    </row>
    <row r="10376" spans="1:5" x14ac:dyDescent="0.25">
      <c r="A10376" t="str">
        <f>HYPERLINK("https://www.773grp.com/globalSearch/4511BDM/page-1", "4511BDM")</f>
        <v>4511BDM</v>
      </c>
      <c r="B10376" s="3" t="str">
        <f>HYPERLINK("https://www.773grp.com/manufacturer/national-semiconductor?pageNo=57", "National Semiconductor")</f>
        <v>National Semiconductor</v>
      </c>
      <c r="C10376" s="6">
        <v>518</v>
      </c>
      <c r="D10376" s="7">
        <v>19.04</v>
      </c>
      <c r="E10376" t="s">
        <v>36</v>
      </c>
    </row>
    <row r="10377" spans="1:5" x14ac:dyDescent="0.25">
      <c r="A10377" t="str">
        <f>HYPERLINK("https://www.773grp.com/globalSearch/COP8SGE728M8-NOPB/page-1", "COP8SGE728M8-NOPB")</f>
        <v>COP8SGE728M8-NOPB</v>
      </c>
      <c r="B10377" s="3" t="str">
        <f>HYPERLINK("https://www.773grp.com/manufacturer/national-semiconductor?pageNo=58", "National Semiconductor")</f>
        <v>National Semiconductor</v>
      </c>
      <c r="C10377" s="6">
        <v>1842</v>
      </c>
      <c r="D10377" s="7">
        <v>19.04</v>
      </c>
      <c r="E10377" t="s">
        <v>52</v>
      </c>
    </row>
    <row r="10378" spans="1:5" x14ac:dyDescent="0.25">
      <c r="A10378" t="str">
        <f>HYPERLINK("https://www.773grp.com/globalSearch/COP8SGE728M8-NOPB/page-1", "COP8SGE728M8-NOPB")</f>
        <v>COP8SGE728M8-NOPB</v>
      </c>
      <c r="B10378" s="3" t="str">
        <f>HYPERLINK("https://www.773grp.com/manufacturer/national-semiconductor?pageNo=59", "National Semiconductor")</f>
        <v>National Semiconductor</v>
      </c>
      <c r="C10378" s="6">
        <v>50</v>
      </c>
      <c r="D10378" s="7">
        <v>19.04</v>
      </c>
      <c r="E10378" t="s">
        <v>52</v>
      </c>
    </row>
    <row r="10379" spans="1:5" x14ac:dyDescent="0.25">
      <c r="A10379" t="str">
        <f>HYPERLINK("https://www.773grp.com/globalSearch/DS92LV0421SQE-NOPB/page-1", "DS92LV0421SQE-NOPB")</f>
        <v>DS92LV0421SQE-NOPB</v>
      </c>
      <c r="B10379" s="3" t="str">
        <f>HYPERLINK("https://www.773grp.com/manufacturer/national-semiconductor?pageNo=60", "National Semiconductor")</f>
        <v>National Semiconductor</v>
      </c>
      <c r="C10379" s="6">
        <v>250</v>
      </c>
      <c r="D10379" s="7">
        <v>19.04</v>
      </c>
    </row>
    <row r="10380" spans="1:5" x14ac:dyDescent="0.25">
      <c r="A10380" t="str">
        <f>HYPERLINK("https://www.773grp.com/globalSearch/DS92LV0422SQE-NOPB/page-1", "DS92LV0422SQE-NOPB")</f>
        <v>DS92LV0422SQE-NOPB</v>
      </c>
      <c r="B10380" s="3" t="str">
        <f>HYPERLINK("https://www.773grp.com/manufacturer/national-semiconductor?pageNo=61", "National Semiconductor")</f>
        <v>National Semiconductor</v>
      </c>
      <c r="C10380" s="6">
        <v>383</v>
      </c>
      <c r="D10380" s="7">
        <v>19.04</v>
      </c>
    </row>
    <row r="10381" spans="1:5" x14ac:dyDescent="0.25">
      <c r="A10381" t="str">
        <f>HYPERLINK("https://www.773grp.com/globalSearch/COP8SGR744V8/page-1", "COP8SGR744V8")</f>
        <v>COP8SGR744V8</v>
      </c>
      <c r="B10381" s="3" t="str">
        <f>HYPERLINK("https://www.773grp.com/manufacturer/national-semiconductor?pageNo=62", "National Semiconductor")</f>
        <v>National Semiconductor</v>
      </c>
      <c r="C10381" s="6">
        <v>300</v>
      </c>
      <c r="D10381" s="7">
        <v>19.079999999999998</v>
      </c>
      <c r="E10381" t="s">
        <v>52</v>
      </c>
    </row>
    <row r="10382" spans="1:5" x14ac:dyDescent="0.25">
      <c r="A10382" t="str">
        <f>HYPERLINK("https://www.773grp.com/globalSearch/COP8SGR744V8-63SN/page-1", "COP8SGR744V8-63SN")</f>
        <v>COP8SGR744V8-63SN</v>
      </c>
      <c r="B10382" s="3" t="str">
        <f>HYPERLINK("https://www.773grp.com/manufacturer/national-semiconductor?pageNo=63", "National Semiconductor")</f>
        <v>National Semiconductor</v>
      </c>
      <c r="C10382" s="6">
        <v>500</v>
      </c>
      <c r="D10382" s="7">
        <v>19.079999999999998</v>
      </c>
    </row>
    <row r="10383" spans="1:5" x14ac:dyDescent="0.25">
      <c r="A10383" t="str">
        <f>HYPERLINK("https://www.773grp.com/globalSearch/EQ50F100LR/page-1", "EQ50F100LR")</f>
        <v>EQ50F100LR</v>
      </c>
      <c r="B10383" s="3" t="str">
        <f>HYPERLINK("https://www.773grp.com/manufacturer/national-semiconductor?pageNo=64", "National Semiconductor")</f>
        <v>National Semiconductor</v>
      </c>
      <c r="C10383" s="6">
        <v>6000</v>
      </c>
      <c r="D10383" s="7">
        <v>19.100000000000001</v>
      </c>
      <c r="E10383" t="s">
        <v>78</v>
      </c>
    </row>
    <row r="10384" spans="1:5" x14ac:dyDescent="0.25">
      <c r="A10384" t="str">
        <f>HYPERLINK("https://www.773grp.com/globalSearch/EQ50F100LR-NOPB/page-1", "EQ50F100LR-NOPB")</f>
        <v>EQ50F100LR-NOPB</v>
      </c>
      <c r="B10384" s="3" t="str">
        <f>HYPERLINK("https://www.773grp.com/manufacturer/national-semiconductor?pageNo=65", "National Semiconductor")</f>
        <v>National Semiconductor</v>
      </c>
      <c r="C10384" s="6">
        <v>1658</v>
      </c>
      <c r="D10384" s="7">
        <v>19.100000000000001</v>
      </c>
    </row>
    <row r="10385" spans="1:5" x14ac:dyDescent="0.25">
      <c r="A10385" t="str">
        <f>HYPERLINK("https://www.773grp.com/globalSearch/54F160AFMQB/page-1", "54F160AFMQB")</f>
        <v>54F160AFMQB</v>
      </c>
      <c r="B10385" s="3" t="str">
        <f>HYPERLINK("https://www.773grp.com/manufacturer/national-semiconductor?pageNo=66", "National Semiconductor")</f>
        <v>National Semiconductor</v>
      </c>
      <c r="C10385" s="6">
        <v>1252</v>
      </c>
      <c r="D10385" s="7">
        <v>19.13</v>
      </c>
      <c r="E10385" t="s">
        <v>26</v>
      </c>
    </row>
    <row r="10386" spans="1:5" x14ac:dyDescent="0.25">
      <c r="A10386" t="str">
        <f>HYPERLINK("https://www.773grp.com/globalSearch/54F258ALMQB/page-1", "54F258ALMQB")</f>
        <v>54F258ALMQB</v>
      </c>
      <c r="B10386" s="3" t="str">
        <f>HYPERLINK("https://www.773grp.com/manufacturer/national-semiconductor?pageNo=67", "National Semiconductor")</f>
        <v>National Semiconductor</v>
      </c>
      <c r="C10386" s="6">
        <v>771</v>
      </c>
      <c r="D10386" s="7">
        <v>19.13</v>
      </c>
      <c r="E10386" t="s">
        <v>20</v>
      </c>
    </row>
    <row r="10387" spans="1:5" x14ac:dyDescent="0.25">
      <c r="A10387" t="str">
        <f>HYPERLINK("https://www.773grp.com/globalSearch/74FCT821BSC/page-1", "74FCT821BSC")</f>
        <v>74FCT821BSC</v>
      </c>
      <c r="B10387" s="3" t="str">
        <f>HYPERLINK("https://www.773grp.com/manufacturer/national-semiconductor?pageNo=68", "National Semiconductor")</f>
        <v>National Semiconductor</v>
      </c>
      <c r="C10387" s="6">
        <v>1590</v>
      </c>
      <c r="D10387" s="7">
        <v>19.13</v>
      </c>
      <c r="E10387" t="s">
        <v>14</v>
      </c>
    </row>
    <row r="10388" spans="1:5" x14ac:dyDescent="0.25">
      <c r="A10388" t="str">
        <f>HYPERLINK("https://www.773grp.com/globalSearch/74FCT823BSPC/page-1", "74FCT823BSPC")</f>
        <v>74FCT823BSPC</v>
      </c>
      <c r="B10388" s="3" t="str">
        <f>HYPERLINK("https://www.773grp.com/manufacturer/national-semiconductor?pageNo=69", "National Semiconductor")</f>
        <v>National Semiconductor</v>
      </c>
      <c r="C10388" s="6">
        <v>2775</v>
      </c>
      <c r="D10388" s="7">
        <v>19.13</v>
      </c>
      <c r="E10388" t="s">
        <v>14</v>
      </c>
    </row>
    <row r="10389" spans="1:5" x14ac:dyDescent="0.25">
      <c r="A10389" t="str">
        <f>HYPERLINK("https://www.773grp.com/globalSearch/74FCT827BSC/page-1", "74FCT827BSC")</f>
        <v>74FCT827BSC</v>
      </c>
      <c r="B10389" s="3" t="str">
        <f>HYPERLINK("https://www.773grp.com/manufacturer/national-semiconductor?pageNo=70", "National Semiconductor")</f>
        <v>National Semiconductor</v>
      </c>
      <c r="C10389" s="6">
        <v>7321</v>
      </c>
      <c r="D10389" s="7">
        <v>19.13</v>
      </c>
      <c r="E10389" t="s">
        <v>14</v>
      </c>
    </row>
    <row r="10390" spans="1:5" x14ac:dyDescent="0.25">
      <c r="A10390" t="str">
        <f>HYPERLINK("https://www.773grp.com/globalSearch/74FCT827BSPC/page-1", "74FCT827BSPC")</f>
        <v>74FCT827BSPC</v>
      </c>
      <c r="B10390" s="3" t="str">
        <f>HYPERLINK("https://www.773grp.com/manufacturer/national-semiconductor?pageNo=71", "National Semiconductor")</f>
        <v>National Semiconductor</v>
      </c>
      <c r="C10390" s="6">
        <v>13089</v>
      </c>
      <c r="D10390" s="7">
        <v>19.13</v>
      </c>
      <c r="E10390" t="s">
        <v>14</v>
      </c>
    </row>
    <row r="10391" spans="1:5" x14ac:dyDescent="0.25">
      <c r="A10391" t="str">
        <f>HYPERLINK("https://www.773grp.com/globalSearch/DM54LS00W-883/page-1", "DM54LS00W-883")</f>
        <v>DM54LS00W-883</v>
      </c>
      <c r="B10391" s="3" t="str">
        <f>HYPERLINK("https://www.773grp.com/manufacturer/national-semiconductor?pageNo=72", "National Semiconductor")</f>
        <v>National Semiconductor</v>
      </c>
      <c r="C10391" s="6">
        <v>226</v>
      </c>
      <c r="D10391" s="7">
        <v>19.13</v>
      </c>
      <c r="E10391" t="s">
        <v>31</v>
      </c>
    </row>
    <row r="10392" spans="1:5" x14ac:dyDescent="0.25">
      <c r="A10392" t="str">
        <f>HYPERLINK("https://www.773grp.com/globalSearch/DS55107AJ-883/page-1", "DS55107AJ-883")</f>
        <v>DS55107AJ-883</v>
      </c>
      <c r="B10392" s="3" t="str">
        <f>HYPERLINK("https://www.773grp.com/manufacturer/national-semiconductor?pageNo=73", "National Semiconductor")</f>
        <v>National Semiconductor</v>
      </c>
      <c r="C10392" s="6">
        <v>106</v>
      </c>
      <c r="D10392" s="7">
        <v>19.13</v>
      </c>
      <c r="E10392" t="s">
        <v>21</v>
      </c>
    </row>
    <row r="10393" spans="1:5" x14ac:dyDescent="0.25">
      <c r="A10393" t="str">
        <f>HYPERLINK("https://www.773grp.com/globalSearch/DS5510AJ-883/page-1", "DS5510AJ-883")</f>
        <v>DS5510AJ-883</v>
      </c>
      <c r="B10393" s="3" t="str">
        <f>HYPERLINK("https://www.773grp.com/manufacturer/national-semiconductor?pageNo=74", "National Semiconductor")</f>
        <v>National Semiconductor</v>
      </c>
      <c r="C10393" s="6">
        <v>163</v>
      </c>
      <c r="D10393" s="7">
        <v>19.13</v>
      </c>
    </row>
    <row r="10394" spans="1:5" x14ac:dyDescent="0.25">
      <c r="A10394" t="str">
        <f>HYPERLINK("https://www.773grp.com/globalSearch/LMX5453SM-NOPB/page-1", "LMX5453SM-NOPB")</f>
        <v>LMX5453SM-NOPB</v>
      </c>
      <c r="B10394" s="3" t="str">
        <f>HYPERLINK("https://www.773grp.com/manufacturer/national-semiconductor?pageNo=75", "National Semiconductor")</f>
        <v>National Semiconductor</v>
      </c>
      <c r="C10394" s="6">
        <v>385</v>
      </c>
      <c r="D10394" s="7">
        <v>19.13</v>
      </c>
      <c r="E10394" t="s">
        <v>67</v>
      </c>
    </row>
    <row r="10395" spans="1:5" x14ac:dyDescent="0.25">
      <c r="A10395" t="str">
        <f>HYPERLINK("https://www.773grp.com/globalSearch/LMX5453SMX-NOPB/page-1", "LMX5453SMX-NOPB")</f>
        <v>LMX5453SMX-NOPB</v>
      </c>
      <c r="B10395" s="3" t="str">
        <f>HYPERLINK("https://www.773grp.com/manufacturer/national-semiconductor?pageNo=76", "National Semiconductor")</f>
        <v>National Semiconductor</v>
      </c>
      <c r="C10395" s="6">
        <v>5786</v>
      </c>
      <c r="D10395" s="7">
        <v>19.13</v>
      </c>
      <c r="E10395" t="s">
        <v>67</v>
      </c>
    </row>
    <row r="10396" spans="1:5" x14ac:dyDescent="0.25">
      <c r="A10396" t="str">
        <f>HYPERLINK("https://www.773grp.com/globalSearch/LMX9830SMX-NOPB/page-1", "LMX9830SMX-NOPB")</f>
        <v>LMX9830SMX-NOPB</v>
      </c>
      <c r="B10396" s="3" t="str">
        <f>HYPERLINK("https://www.773grp.com/manufacturer/national-semiconductor?pageNo=77", "National Semiconductor")</f>
        <v>National Semiconductor</v>
      </c>
      <c r="C10396" s="6">
        <v>5000</v>
      </c>
      <c r="D10396" s="7">
        <v>19.13</v>
      </c>
      <c r="E10396" t="s">
        <v>67</v>
      </c>
    </row>
    <row r="10397" spans="1:5" x14ac:dyDescent="0.25">
      <c r="A10397" t="str">
        <f>HYPERLINK("https://www.773grp.com/globalSearch/LMX5453SMX-NOPB/page-1", "LMX5453SMX-NOPB")</f>
        <v>LMX5453SMX-NOPB</v>
      </c>
      <c r="B10397" s="3" t="str">
        <f>HYPERLINK("https://www.773grp.com/manufacturer/national-semiconductor?pageNo=78", "National Semiconductor")</f>
        <v>National Semiconductor</v>
      </c>
      <c r="C10397" s="6">
        <v>2430</v>
      </c>
      <c r="D10397" s="7">
        <v>19.13</v>
      </c>
      <c r="E10397" t="s">
        <v>67</v>
      </c>
    </row>
    <row r="10398" spans="1:5" x14ac:dyDescent="0.25">
      <c r="A10398" t="str">
        <f>HYPERLINK("https://www.773grp.com/globalSearch/LMX9830SM-NOPB/page-1", "LMX9830SM-NOPB")</f>
        <v>LMX9830SM-NOPB</v>
      </c>
      <c r="B10398" s="3" t="str">
        <f>HYPERLINK("https://www.773grp.com/manufacturer/national-semiconductor?pageNo=79", "National Semiconductor")</f>
        <v>National Semiconductor</v>
      </c>
      <c r="C10398" s="6">
        <v>117</v>
      </c>
      <c r="D10398" s="7">
        <v>19.13</v>
      </c>
    </row>
    <row r="10399" spans="1:5" x14ac:dyDescent="0.25">
      <c r="A10399" t="str">
        <f>HYPERLINK("https://www.773grp.com/globalSearch/LMX9830SMX-NOPB/page-1", "LMX9830SMX-NOPB")</f>
        <v>LMX9830SMX-NOPB</v>
      </c>
      <c r="B10399" s="3" t="str">
        <f>HYPERLINK("https://www.773grp.com/manufacturer/national-semiconductor?pageNo=80", "National Semiconductor")</f>
        <v>National Semiconductor</v>
      </c>
      <c r="C10399" s="6">
        <v>20000</v>
      </c>
      <c r="D10399" s="7">
        <v>19.13</v>
      </c>
      <c r="E10399" t="s">
        <v>67</v>
      </c>
    </row>
    <row r="10400" spans="1:5" x14ac:dyDescent="0.25">
      <c r="A10400" t="str">
        <f>HYPERLINK("https://www.773grp.com/globalSearch/TP3094V/page-1", "TP3094V")</f>
        <v>TP3094V</v>
      </c>
      <c r="B10400" s="3" t="str">
        <f>HYPERLINK("https://www.773grp.com/manufacturer/national-semiconductor?pageNo=81", "National Semiconductor")</f>
        <v>National Semiconductor</v>
      </c>
      <c r="C10400" s="6">
        <v>625</v>
      </c>
      <c r="D10400" s="7">
        <v>19.190000000000001</v>
      </c>
    </row>
    <row r="10401" spans="1:5" x14ac:dyDescent="0.25">
      <c r="A10401" t="str">
        <f>HYPERLINK("https://www.773grp.com/globalSearch/93L00PC/page-1", "93L00PC")</f>
        <v>93L00PC</v>
      </c>
      <c r="B10401" s="3" t="str">
        <f>HYPERLINK("https://www.773grp.com/manufacturer/national-semiconductor?pageNo=82", "National Semiconductor")</f>
        <v>National Semiconductor</v>
      </c>
      <c r="C10401" s="6">
        <v>2165</v>
      </c>
      <c r="D10401" s="7">
        <v>19.2</v>
      </c>
    </row>
    <row r="10402" spans="1:5" x14ac:dyDescent="0.25">
      <c r="A10402" t="str">
        <f>HYPERLINK("https://www.773grp.com/globalSearch/HPC46003V20-NOPB/page-1", "HPC46003V20-NOPB")</f>
        <v>HPC46003V20-NOPB</v>
      </c>
      <c r="B10402" s="3" t="str">
        <f>HYPERLINK("https://www.773grp.com/manufacturer/national-semiconductor?pageNo=83", "National Semiconductor")</f>
        <v>National Semiconductor</v>
      </c>
      <c r="C10402" s="6">
        <v>250</v>
      </c>
      <c r="D10402" s="7">
        <v>19.2</v>
      </c>
      <c r="E10402" t="s">
        <v>52</v>
      </c>
    </row>
    <row r="10403" spans="1:5" x14ac:dyDescent="0.25">
      <c r="A10403" t="str">
        <f>HYPERLINK("https://www.773grp.com/globalSearch/NM27C040Q170/page-1", "NM27C040Q170")</f>
        <v>NM27C040Q170</v>
      </c>
      <c r="B10403" s="3" t="str">
        <f>HYPERLINK("https://www.773grp.com/manufacturer/national-semiconductor?pageNo=84", "National Semiconductor")</f>
        <v>National Semiconductor</v>
      </c>
      <c r="C10403" s="6">
        <v>915</v>
      </c>
      <c r="D10403" s="7">
        <v>19.2</v>
      </c>
      <c r="E10403" t="s">
        <v>64</v>
      </c>
    </row>
    <row r="10404" spans="1:5" x14ac:dyDescent="0.25">
      <c r="A10404" t="str">
        <f>HYPERLINK("https://www.773grp.com/globalSearch/100124FC/page-1", "100124FC")</f>
        <v>100124FC</v>
      </c>
      <c r="B10404" s="3" t="str">
        <f>HYPERLINK("https://www.773grp.com/manufacturer/national-semiconductor?pageNo=85", "National Semiconductor")</f>
        <v>National Semiconductor</v>
      </c>
      <c r="C10404" s="6">
        <v>891</v>
      </c>
      <c r="D10404" s="7">
        <v>19.239999999999998</v>
      </c>
      <c r="E10404" t="s">
        <v>73</v>
      </c>
    </row>
    <row r="10405" spans="1:5" x14ac:dyDescent="0.25">
      <c r="A10405" t="str">
        <f>HYPERLINK("https://www.773grp.com/globalSearch/LMH6882SQE-NOPB/page-1", "LMH6882SQE-NOPB")</f>
        <v>LMH6882SQE-NOPB</v>
      </c>
      <c r="B10405" s="3" t="str">
        <f>HYPERLINK("https://www.773grp.com/manufacturer/national-semiconductor?pageNo=86", "National Semiconductor")</f>
        <v>National Semiconductor</v>
      </c>
      <c r="C10405" s="6">
        <v>216</v>
      </c>
      <c r="D10405" s="7">
        <v>19.239999999999998</v>
      </c>
    </row>
    <row r="10406" spans="1:5" x14ac:dyDescent="0.25">
      <c r="A10406" t="str">
        <f>HYPERLINK("https://www.773grp.com/globalSearch/MM54HCT245J/page-1", "MM54HCT245J")</f>
        <v>MM54HCT245J</v>
      </c>
      <c r="B10406" s="3" t="str">
        <f>HYPERLINK("https://www.773grp.com/manufacturer/national-semiconductor?pageNo=87", "National Semiconductor")</f>
        <v>National Semiconductor</v>
      </c>
      <c r="C10406" s="6">
        <v>72</v>
      </c>
      <c r="D10406" s="7">
        <v>19.28</v>
      </c>
      <c r="E10406" t="s">
        <v>14</v>
      </c>
    </row>
    <row r="10407" spans="1:5" x14ac:dyDescent="0.25">
      <c r="A10407" t="str">
        <f>HYPERLINK("https://www.773grp.com/globalSearch/74F373DC/page-1", "74F373DC")</f>
        <v>74F373DC</v>
      </c>
      <c r="B10407" s="3" t="str">
        <f>HYPERLINK("https://www.773grp.com/manufacturer/national-semiconductor?pageNo=88", "National Semiconductor")</f>
        <v>National Semiconductor</v>
      </c>
      <c r="C10407" s="6">
        <v>110</v>
      </c>
      <c r="D10407" s="7">
        <v>19.329999999999998</v>
      </c>
      <c r="E10407" t="s">
        <v>14</v>
      </c>
    </row>
    <row r="10408" spans="1:5" x14ac:dyDescent="0.25">
      <c r="A10408" t="str">
        <f>HYPERLINK("https://www.773grp.com/globalSearch/74F373LC/page-1", "74F373LC")</f>
        <v>74F373LC</v>
      </c>
      <c r="B10408" s="3" t="str">
        <f>HYPERLINK("https://www.773grp.com/manufacturer/national-semiconductor?pageNo=89", "National Semiconductor")</f>
        <v>National Semiconductor</v>
      </c>
      <c r="C10408" s="6">
        <v>3706</v>
      </c>
      <c r="D10408" s="7">
        <v>19.329999999999998</v>
      </c>
      <c r="E10408" t="s">
        <v>14</v>
      </c>
    </row>
    <row r="10409" spans="1:5" x14ac:dyDescent="0.25">
      <c r="A10409" t="str">
        <f>HYPERLINK("https://www.773grp.com/globalSearch/74F374LC/page-1", "74F374LC")</f>
        <v>74F374LC</v>
      </c>
      <c r="B10409" s="3" t="str">
        <f>HYPERLINK("https://www.773grp.com/manufacturer/national-semiconductor?pageNo=90", "National Semiconductor")</f>
        <v>National Semiconductor</v>
      </c>
      <c r="C10409" s="6">
        <v>275</v>
      </c>
      <c r="D10409" s="7">
        <v>19.329999999999998</v>
      </c>
      <c r="E10409" t="s">
        <v>14</v>
      </c>
    </row>
    <row r="10410" spans="1:5" x14ac:dyDescent="0.25">
      <c r="A10410" t="str">
        <f>HYPERLINK("https://www.773grp.com/globalSearch/54F353LMQB/page-1", "54F353LMQB")</f>
        <v>54F353LMQB</v>
      </c>
      <c r="B10410" s="3" t="str">
        <f>HYPERLINK("https://www.773grp.com/manufacturer/national-semiconductor?pageNo=91", "National Semiconductor")</f>
        <v>National Semiconductor</v>
      </c>
      <c r="C10410" s="6">
        <v>6916</v>
      </c>
      <c r="D10410" s="7">
        <v>19.350000000000001</v>
      </c>
      <c r="E10410" t="s">
        <v>20</v>
      </c>
    </row>
    <row r="10411" spans="1:5" x14ac:dyDescent="0.25">
      <c r="A10411" t="str">
        <f>HYPERLINK("https://www.773grp.com/globalSearch/9319PC/page-1", "9319PC")</f>
        <v>9319PC</v>
      </c>
      <c r="B10411" s="3" t="str">
        <f>HYPERLINK("https://www.773grp.com/manufacturer/national-semiconductor?pageNo=92", "National Semiconductor")</f>
        <v>National Semiconductor</v>
      </c>
      <c r="C10411" s="6">
        <v>3878</v>
      </c>
      <c r="D10411" s="7">
        <v>19.350000000000001</v>
      </c>
    </row>
    <row r="10412" spans="1:5" x14ac:dyDescent="0.25">
      <c r="A10412" t="str">
        <f>HYPERLINK("https://www.773grp.com/globalSearch/LM9822CCWM-NOPB/page-1", "LM9822CCWM-NOPB")</f>
        <v>LM9822CCWM-NOPB</v>
      </c>
      <c r="B10412" s="3" t="str">
        <f>HYPERLINK("https://www.773grp.com/manufacturer/national-semiconductor?pageNo=93", "National Semiconductor")</f>
        <v>National Semiconductor</v>
      </c>
      <c r="C10412" s="6">
        <v>898</v>
      </c>
      <c r="D10412" s="7">
        <v>19.350000000000001</v>
      </c>
    </row>
    <row r="10413" spans="1:5" x14ac:dyDescent="0.25">
      <c r="A10413" t="str">
        <f>HYPERLINK("https://www.773grp.com/globalSearch/100130FC/page-1", "100130FC")</f>
        <v>100130FC</v>
      </c>
      <c r="B10413" s="3" t="str">
        <f>HYPERLINK("https://www.773grp.com/manufacturer/national-semiconductor?pageNo=94", "National Semiconductor")</f>
        <v>National Semiconductor</v>
      </c>
      <c r="C10413" s="6">
        <v>1518</v>
      </c>
      <c r="D10413" s="7">
        <v>19.38</v>
      </c>
      <c r="E10413" t="s">
        <v>35</v>
      </c>
    </row>
    <row r="10414" spans="1:5" x14ac:dyDescent="0.25">
      <c r="A10414" t="str">
        <f>HYPERLINK("https://www.773grp.com/globalSearch/LMH6517SQE-NOPB/page-1", "LMH6517SQE-NOPB")</f>
        <v>LMH6517SQE-NOPB</v>
      </c>
      <c r="B10414" s="3" t="str">
        <f>HYPERLINK("https://www.773grp.com/manufacturer/national-semiconductor?pageNo=95", "National Semiconductor")</f>
        <v>National Semiconductor</v>
      </c>
      <c r="C10414" s="6">
        <v>500</v>
      </c>
      <c r="D10414" s="7">
        <v>19.38</v>
      </c>
    </row>
    <row r="10415" spans="1:5" x14ac:dyDescent="0.25">
      <c r="A10415" t="str">
        <f>HYPERLINK("https://www.773grp.com/globalSearch/LMK01000ISQ-NOPB/page-1", "LMK01000ISQ-NOPB")</f>
        <v>LMK01000ISQ-NOPB</v>
      </c>
      <c r="B10415" s="3" t="str">
        <f>HYPERLINK("https://www.773grp.com/manufacturer/national-semiconductor?pageNo=96", "National Semiconductor")</f>
        <v>National Semiconductor</v>
      </c>
      <c r="C10415" s="6">
        <v>960</v>
      </c>
      <c r="D10415" s="7">
        <v>19.38</v>
      </c>
    </row>
    <row r="10416" spans="1:5" x14ac:dyDescent="0.25">
      <c r="A10416" t="str">
        <f>HYPERLINK("https://www.773grp.com/globalSearch/LMK01010ISQE/page-1", "LMK01010ISQE")</f>
        <v>LMK01010ISQE</v>
      </c>
      <c r="B10416" s="3" t="str">
        <f>HYPERLINK("https://www.773grp.com/manufacturer/national-semiconductor?pageNo=97", "National Semiconductor")</f>
        <v>National Semiconductor</v>
      </c>
      <c r="C10416" s="6">
        <v>730</v>
      </c>
      <c r="D10416" s="7">
        <v>19.38</v>
      </c>
      <c r="E10416" t="s">
        <v>34</v>
      </c>
    </row>
    <row r="10417" spans="1:5" x14ac:dyDescent="0.25">
      <c r="A10417" t="str">
        <f>HYPERLINK("https://www.773grp.com/globalSearch/LMK01020ISQ-NOPB/page-1", "LMK01020ISQ-NOPB")</f>
        <v>LMK01020ISQ-NOPB</v>
      </c>
      <c r="B10417" s="3" t="str">
        <f>HYPERLINK("https://www.773grp.com/manufacturer/national-semiconductor?pageNo=98", "National Semiconductor")</f>
        <v>National Semiconductor</v>
      </c>
      <c r="C10417" s="6">
        <v>5950</v>
      </c>
      <c r="D10417" s="7">
        <v>19.38</v>
      </c>
      <c r="E10417" t="s">
        <v>34</v>
      </c>
    </row>
    <row r="10418" spans="1:5" x14ac:dyDescent="0.25">
      <c r="A10418" t="str">
        <f>HYPERLINK("https://www.773grp.com/globalSearch/LMH6517SQE-NOPB/page-1", "LMH6517SQE-NOPB")</f>
        <v>LMH6517SQE-NOPB</v>
      </c>
      <c r="B10418" s="3" t="str">
        <f>HYPERLINK("https://www.773grp.com/manufacturer/national-semiconductor?pageNo=99", "National Semiconductor")</f>
        <v>National Semiconductor</v>
      </c>
      <c r="C10418" s="6">
        <v>40</v>
      </c>
      <c r="D10418" s="7">
        <v>19.38</v>
      </c>
    </row>
    <row r="10419" spans="1:5" x14ac:dyDescent="0.25">
      <c r="A10419" t="str">
        <f>HYPERLINK("https://www.773grp.com/globalSearch/74FCT245AQSC/page-1", "74FCT245AQSC")</f>
        <v>74FCT245AQSC</v>
      </c>
      <c r="B10419" s="3" t="str">
        <f>HYPERLINK("https://www.773grp.com/manufacturer/national-semiconductor?pageNo=100", "National Semiconductor")</f>
        <v>National Semiconductor</v>
      </c>
      <c r="C10419" s="6">
        <v>1085</v>
      </c>
      <c r="D10419" s="7">
        <v>19.41</v>
      </c>
      <c r="E10419" t="s">
        <v>14</v>
      </c>
    </row>
    <row r="10420" spans="1:5" x14ac:dyDescent="0.25">
      <c r="A10420" t="str">
        <f>HYPERLINK("https://www.773grp.com/globalSearch/93L34DC/page-1", "93L34DC")</f>
        <v>93L34DC</v>
      </c>
      <c r="B10420" s="3" t="str">
        <f>HYPERLINK("https://www.773grp.com/manufacturer/national-semiconductor?pageNo=101", "National Semiconductor")</f>
        <v>National Semiconductor</v>
      </c>
      <c r="C10420" s="6">
        <v>1247</v>
      </c>
      <c r="D10420" s="7">
        <v>19.41</v>
      </c>
    </row>
    <row r="10421" spans="1:5" x14ac:dyDescent="0.25">
      <c r="A10421" t="str">
        <f>HYPERLINK("https://www.773grp.com/globalSearch/COP8SGE744V8-NOPB/page-1", "COP8SGE744V8-NOPB")</f>
        <v>COP8SGE744V8-NOPB</v>
      </c>
      <c r="B10421" s="3" t="str">
        <f>HYPERLINK("https://www.773grp.com/manufacturer/national-semiconductor?pageNo=102", "National Semiconductor")</f>
        <v>National Semiconductor</v>
      </c>
      <c r="C10421" s="6">
        <v>739</v>
      </c>
      <c r="D10421" s="7">
        <v>19.41</v>
      </c>
      <c r="E10421" t="s">
        <v>52</v>
      </c>
    </row>
    <row r="10422" spans="1:5" x14ac:dyDescent="0.25">
      <c r="A10422" t="str">
        <f>HYPERLINK("https://www.773grp.com/globalSearch/LM285AXM-1.2/page-1", "LM285AXM-1.2")</f>
        <v>LM285AXM-1.2</v>
      </c>
      <c r="B10422" s="3" t="str">
        <f>HYPERLINK("https://www.773grp.com/manufacturer/national-semiconductor?pageNo=103", "National Semiconductor")</f>
        <v>National Semiconductor</v>
      </c>
      <c r="C10422" s="6">
        <v>560</v>
      </c>
      <c r="D10422" s="7">
        <v>19.41</v>
      </c>
      <c r="E10422" t="s">
        <v>17</v>
      </c>
    </row>
    <row r="10423" spans="1:5" x14ac:dyDescent="0.25">
      <c r="A10423" t="str">
        <f>HYPERLINK("https://www.773grp.com/globalSearch/LM285AXZ-1.2/page-1", "LM285AXZ-1.2")</f>
        <v>LM285AXZ-1.2</v>
      </c>
      <c r="B10423" s="3" t="str">
        <f>HYPERLINK("https://www.773grp.com/manufacturer/national-semiconductor?pageNo=104", "National Semiconductor")</f>
        <v>National Semiconductor</v>
      </c>
      <c r="C10423" s="6">
        <v>4</v>
      </c>
      <c r="D10423" s="7">
        <v>19.41</v>
      </c>
      <c r="E10423" t="s">
        <v>17</v>
      </c>
    </row>
    <row r="10424" spans="1:5" x14ac:dyDescent="0.25">
      <c r="A10424" t="str">
        <f>HYPERLINK("https://www.773grp.com/globalSearch/LM96570SQE-NOPB/page-1", "LM96570SQE-NOPB")</f>
        <v>LM96570SQE-NOPB</v>
      </c>
      <c r="B10424" s="3" t="str">
        <f>HYPERLINK("https://www.773grp.com/manufacturer/national-semiconductor?pageNo=105", "National Semiconductor")</f>
        <v>National Semiconductor</v>
      </c>
      <c r="C10424" s="6">
        <v>250</v>
      </c>
      <c r="D10424" s="7">
        <v>19.41</v>
      </c>
    </row>
    <row r="10425" spans="1:5" x14ac:dyDescent="0.25">
      <c r="A10425" t="str">
        <f>HYPERLINK("https://www.773grp.com/globalSearch/MF10CCJ/page-1", "MF10CCJ")</f>
        <v>MF10CCJ</v>
      </c>
      <c r="B10425" s="3" t="str">
        <f>HYPERLINK("https://www.773grp.com/manufacturer/national-semiconductor?pageNo=106", "National Semiconductor")</f>
        <v>National Semiconductor</v>
      </c>
      <c r="C10425" s="6">
        <v>1430</v>
      </c>
      <c r="D10425" s="7">
        <v>19.41</v>
      </c>
      <c r="E10425" t="s">
        <v>58</v>
      </c>
    </row>
    <row r="10426" spans="1:5" x14ac:dyDescent="0.25">
      <c r="A10426" t="str">
        <f>HYPERLINK("https://www.773grp.com/globalSearch/LMK04100SQE-NOPB/page-1", "LMK04100SQE-NOPB")</f>
        <v>LMK04100SQE-NOPB</v>
      </c>
      <c r="B10426" s="3" t="str">
        <f>HYPERLINK("https://www.773grp.com/manufacturer/national-semiconductor?pageNo=107", "National Semiconductor")</f>
        <v>National Semiconductor</v>
      </c>
      <c r="C10426" s="6">
        <v>250</v>
      </c>
      <c r="D10426" s="7">
        <v>19.41</v>
      </c>
    </row>
    <row r="10427" spans="1:5" x14ac:dyDescent="0.25">
      <c r="A10427" t="str">
        <f>HYPERLINK("https://www.773grp.com/globalSearch/9317BPC/page-1", "9317BPC")</f>
        <v>9317BPC</v>
      </c>
      <c r="B10427" s="3" t="str">
        <f>HYPERLINK("https://www.773grp.com/manufacturer/national-semiconductor?pageNo=108", "National Semiconductor")</f>
        <v>National Semiconductor</v>
      </c>
      <c r="C10427" s="6">
        <v>6668</v>
      </c>
      <c r="D10427" s="7">
        <v>19.440000000000001</v>
      </c>
    </row>
    <row r="10428" spans="1:5" x14ac:dyDescent="0.25">
      <c r="A10428" t="str">
        <f>HYPERLINK("https://www.773grp.com/globalSearch/9317CPC/page-1", "9317CPC")</f>
        <v>9317CPC</v>
      </c>
      <c r="B10428" s="3" t="str">
        <f>HYPERLINK("https://www.773grp.com/manufacturer/national-semiconductor?pageNo=109", "National Semiconductor")</f>
        <v>National Semiconductor</v>
      </c>
      <c r="C10428" s="6">
        <v>2112</v>
      </c>
      <c r="D10428" s="7">
        <v>19.440000000000001</v>
      </c>
    </row>
    <row r="10429" spans="1:5" x14ac:dyDescent="0.25">
      <c r="A10429" t="str">
        <f>HYPERLINK("https://www.773grp.com/globalSearch/DS90CR287MTD/page-1", "DS90CR287MTD")</f>
        <v>DS90CR287MTD</v>
      </c>
      <c r="B10429" s="3" t="str">
        <f>HYPERLINK("https://www.773grp.com/manufacturer/national-semiconductor?pageNo=110", "National Semiconductor")</f>
        <v>National Semiconductor</v>
      </c>
      <c r="C10429" s="6">
        <v>1483</v>
      </c>
      <c r="D10429" s="7">
        <v>19.46</v>
      </c>
      <c r="E10429" t="s">
        <v>21</v>
      </c>
    </row>
    <row r="10430" spans="1:5" x14ac:dyDescent="0.25">
      <c r="A10430" t="str">
        <f>HYPERLINK("https://www.773grp.com/globalSearch/DS90CR288AMTD/page-1", "DS90CR288AMTD")</f>
        <v>DS90CR288AMTD</v>
      </c>
      <c r="B10430" s="3" t="str">
        <f>HYPERLINK("https://www.773grp.com/manufacturer/national-semiconductor?pageNo=111", "National Semiconductor")</f>
        <v>National Semiconductor</v>
      </c>
      <c r="C10430" s="6">
        <v>24</v>
      </c>
      <c r="D10430" s="7">
        <v>19.46</v>
      </c>
      <c r="E10430" t="s">
        <v>21</v>
      </c>
    </row>
    <row r="10431" spans="1:5" x14ac:dyDescent="0.25">
      <c r="A10431" t="str">
        <f>HYPERLINK("https://www.773grp.com/globalSearch/MM74HC4514J/page-1", "MM74HC4514J")</f>
        <v>MM74HC4514J</v>
      </c>
      <c r="B10431" s="3" t="str">
        <f>HYPERLINK("https://www.773grp.com/manufacturer/national-semiconductor?pageNo=112", "National Semiconductor")</f>
        <v>National Semiconductor</v>
      </c>
      <c r="C10431" s="6">
        <v>91</v>
      </c>
      <c r="D10431" s="7">
        <v>19.46</v>
      </c>
      <c r="E10431" t="s">
        <v>36</v>
      </c>
    </row>
    <row r="10432" spans="1:5" x14ac:dyDescent="0.25">
      <c r="A10432" t="str">
        <f>HYPERLINK("https://www.773grp.com/globalSearch/DS90CR287MTD/page-1", "DS90CR287MTD")</f>
        <v>DS90CR287MTD</v>
      </c>
      <c r="B10432" s="3" t="str">
        <f>HYPERLINK("https://www.773grp.com/manufacturer/national-semiconductor?pageNo=113", "National Semiconductor")</f>
        <v>National Semiconductor</v>
      </c>
      <c r="C10432" s="6">
        <v>4386</v>
      </c>
      <c r="D10432" s="7">
        <v>19.46</v>
      </c>
      <c r="E10432" t="s">
        <v>21</v>
      </c>
    </row>
    <row r="10433" spans="1:5" x14ac:dyDescent="0.25">
      <c r="A10433" t="str">
        <f>HYPERLINK("https://www.773grp.com/globalSearch/100179DC/page-1", "100179DC")</f>
        <v>100179DC</v>
      </c>
      <c r="B10433" s="3" t="str">
        <f>HYPERLINK("https://www.773grp.com/manufacturer/national-semiconductor?pageNo=114", "National Semiconductor")</f>
        <v>National Semiconductor</v>
      </c>
      <c r="C10433" s="6">
        <v>926</v>
      </c>
      <c r="D10433" s="7">
        <v>19.53</v>
      </c>
      <c r="E10433" t="s">
        <v>43</v>
      </c>
    </row>
    <row r="10434" spans="1:5" x14ac:dyDescent="0.25">
      <c r="A10434" t="str">
        <f>HYPERLINK("https://www.773grp.com/globalSearch/100179DCQR/page-1", "100179DCQR")</f>
        <v>100179DCQR</v>
      </c>
      <c r="B10434" s="3" t="str">
        <f>HYPERLINK("https://www.773grp.com/manufacturer/national-semiconductor?pageNo=115", "National Semiconductor")</f>
        <v>National Semiconductor</v>
      </c>
      <c r="C10434" s="6">
        <v>1465</v>
      </c>
      <c r="D10434" s="7">
        <v>19.53</v>
      </c>
      <c r="E10434" t="s">
        <v>43</v>
      </c>
    </row>
    <row r="10435" spans="1:5" x14ac:dyDescent="0.25">
      <c r="A10435" t="str">
        <f>HYPERLINK("https://www.773grp.com/globalSearch/9318DC/page-1", "9318DC")</f>
        <v>9318DC</v>
      </c>
      <c r="B10435" s="3" t="str">
        <f>HYPERLINK("https://www.773grp.com/manufacturer/national-semiconductor?pageNo=116", "National Semiconductor")</f>
        <v>National Semiconductor</v>
      </c>
      <c r="C10435" s="6">
        <v>3898</v>
      </c>
      <c r="D10435" s="7">
        <v>19.53</v>
      </c>
      <c r="E10435" t="s">
        <v>43</v>
      </c>
    </row>
    <row r="10436" spans="1:5" x14ac:dyDescent="0.25">
      <c r="A10436" t="str">
        <f>HYPERLINK("https://www.773grp.com/globalSearch/93L01DC/page-1", "93L01DC")</f>
        <v>93L01DC</v>
      </c>
      <c r="B10436" s="3" t="str">
        <f>HYPERLINK("https://www.773grp.com/manufacturer/national-semiconductor?pageNo=117", "National Semiconductor")</f>
        <v>National Semiconductor</v>
      </c>
      <c r="C10436" s="6">
        <v>5625</v>
      </c>
      <c r="D10436" s="7">
        <v>19.54</v>
      </c>
    </row>
    <row r="10437" spans="1:5" x14ac:dyDescent="0.25">
      <c r="A10437" t="str">
        <f>HYPERLINK("https://www.773grp.com/globalSearch/95H02DC/page-1", "95H02DC")</f>
        <v>95H02DC</v>
      </c>
      <c r="B10437" s="3" t="str">
        <f>HYPERLINK("https://www.773grp.com/manufacturer/national-semiconductor?pageNo=118", "National Semiconductor")</f>
        <v>National Semiconductor</v>
      </c>
      <c r="C10437" s="6">
        <v>256</v>
      </c>
      <c r="D10437" s="7">
        <v>19.54</v>
      </c>
    </row>
    <row r="10438" spans="1:5" x14ac:dyDescent="0.25">
      <c r="A10438" t="str">
        <f>HYPERLINK("https://www.773grp.com/globalSearch/9600PC/page-1", "9600PC")</f>
        <v>9600PC</v>
      </c>
      <c r="B10438" s="3" t="str">
        <f>HYPERLINK("https://www.773grp.com/manufacturer/national-semiconductor?pageNo=119", "National Semiconductor")</f>
        <v>National Semiconductor</v>
      </c>
      <c r="C10438" s="6">
        <v>311</v>
      </c>
      <c r="D10438" s="7">
        <v>19.54</v>
      </c>
    </row>
    <row r="10439" spans="1:5" x14ac:dyDescent="0.25">
      <c r="A10439" t="str">
        <f>HYPERLINK("https://www.773grp.com/globalSearch/54F161ALM/page-1", "54F161ALM")</f>
        <v>54F161ALM</v>
      </c>
      <c r="B10439" s="3" t="str">
        <f>HYPERLINK("https://www.773grp.com/manufacturer/national-semiconductor?pageNo=120", "National Semiconductor")</f>
        <v>National Semiconductor</v>
      </c>
      <c r="C10439" s="6">
        <v>7</v>
      </c>
      <c r="D10439" s="7">
        <v>19.579999999999998</v>
      </c>
      <c r="E10439" t="s">
        <v>26</v>
      </c>
    </row>
    <row r="10440" spans="1:5" x14ac:dyDescent="0.25">
      <c r="A10440" t="str">
        <f>HYPERLINK("https://www.773grp.com/globalSearch/54F365FMQB/page-1", "54F365FMQB")</f>
        <v>54F365FMQB</v>
      </c>
      <c r="B10440" s="3" t="str">
        <f>HYPERLINK("https://www.773grp.com/manufacturer/national-semiconductor?pageNo=121", "National Semiconductor")</f>
        <v>National Semiconductor</v>
      </c>
      <c r="C10440" s="6">
        <v>257</v>
      </c>
      <c r="D10440" s="7">
        <v>19.579999999999998</v>
      </c>
      <c r="E10440" t="s">
        <v>14</v>
      </c>
    </row>
    <row r="10441" spans="1:5" x14ac:dyDescent="0.25">
      <c r="A10441" t="str">
        <f>HYPERLINK("https://www.773grp.com/globalSearch/54F378FMQB/page-1", "54F378FMQB")</f>
        <v>54F378FMQB</v>
      </c>
      <c r="B10441" s="3" t="str">
        <f>HYPERLINK("https://www.773grp.com/manufacturer/national-semiconductor?pageNo=122", "National Semiconductor")</f>
        <v>National Semiconductor</v>
      </c>
      <c r="C10441" s="6">
        <v>159</v>
      </c>
      <c r="D10441" s="7">
        <v>19.579999999999998</v>
      </c>
      <c r="E10441" t="s">
        <v>35</v>
      </c>
    </row>
    <row r="10442" spans="1:5" x14ac:dyDescent="0.25">
      <c r="A10442" t="str">
        <f>HYPERLINK("https://www.773grp.com/globalSearch/54293DM/page-1", "54293DM")</f>
        <v>54293DM</v>
      </c>
      <c r="B10442" s="3" t="str">
        <f>HYPERLINK("https://www.773grp.com/manufacturer/national-semiconductor?pageNo=123", "National Semiconductor")</f>
        <v>National Semiconductor</v>
      </c>
      <c r="C10442" s="6">
        <v>366</v>
      </c>
      <c r="D10442" s="7">
        <v>19.61</v>
      </c>
    </row>
    <row r="10443" spans="1:5" x14ac:dyDescent="0.25">
      <c r="A10443" t="str">
        <f>HYPERLINK("https://www.773grp.com/globalSearch/54H05DM/page-1", "54H05DM")</f>
        <v>54H05DM</v>
      </c>
      <c r="B10443" s="3" t="str">
        <f>HYPERLINK("https://www.773grp.com/manufacturer/national-semiconductor?pageNo=124", "National Semiconductor")</f>
        <v>National Semiconductor</v>
      </c>
      <c r="C10443" s="6">
        <v>148</v>
      </c>
      <c r="D10443" s="7">
        <v>19.61</v>
      </c>
    </row>
    <row r="10444" spans="1:5" x14ac:dyDescent="0.25">
      <c r="A10444" t="str">
        <f>HYPERLINK("https://www.773grp.com/globalSearch/9308FM/page-1", "9308FM")</f>
        <v>9308FM</v>
      </c>
      <c r="B10444" s="3" t="str">
        <f>HYPERLINK("https://www.773grp.com/manufacturer/national-semiconductor?pageNo=125", "National Semiconductor")</f>
        <v>National Semiconductor</v>
      </c>
      <c r="C10444" s="6">
        <v>359</v>
      </c>
      <c r="D10444" s="7">
        <v>19.63</v>
      </c>
    </row>
    <row r="10445" spans="1:5" x14ac:dyDescent="0.25">
      <c r="A10445" t="str">
        <f>HYPERLINK("https://www.773grp.com/globalSearch/93S42DC/page-1", "93S42DC")</f>
        <v>93S42DC</v>
      </c>
      <c r="B10445" s="3" t="str">
        <f>HYPERLINK("https://www.773grp.com/manufacturer/national-semiconductor?pageNo=126", "National Semiconductor")</f>
        <v>National Semiconductor</v>
      </c>
      <c r="C10445" s="6">
        <v>530</v>
      </c>
      <c r="D10445" s="7">
        <v>19.63</v>
      </c>
    </row>
    <row r="10446" spans="1:5" x14ac:dyDescent="0.25">
      <c r="A10446" t="str">
        <f>HYPERLINK("https://www.773grp.com/globalSearch/54F240LM/page-1", "54F240LM")</f>
        <v>54F240LM</v>
      </c>
      <c r="B10446" s="3" t="str">
        <f>HYPERLINK("https://www.773grp.com/manufacturer/national-semiconductor?pageNo=127", "National Semiconductor")</f>
        <v>National Semiconductor</v>
      </c>
      <c r="C10446" s="6">
        <v>420</v>
      </c>
      <c r="D10446" s="7">
        <v>19.690000000000001</v>
      </c>
      <c r="E10446" t="s">
        <v>14</v>
      </c>
    </row>
    <row r="10447" spans="1:5" x14ac:dyDescent="0.25">
      <c r="A10447" t="str">
        <f>HYPERLINK("https://www.773grp.com/globalSearch/74FCT245AQSCX/page-1", "74FCT245AQSCX")</f>
        <v>74FCT245AQSCX</v>
      </c>
      <c r="B10447" s="3" t="str">
        <f>HYPERLINK("https://www.773grp.com/manufacturer/national-semiconductor?pageNo=128", "National Semiconductor")</f>
        <v>National Semiconductor</v>
      </c>
      <c r="C10447" s="6">
        <v>7830</v>
      </c>
      <c r="D10447" s="7">
        <v>19.690000000000001</v>
      </c>
      <c r="E10447" t="s">
        <v>14</v>
      </c>
    </row>
    <row r="10448" spans="1:5" x14ac:dyDescent="0.25">
      <c r="A10448" t="str">
        <f>HYPERLINK("https://www.773grp.com/globalSearch/LM2588S-ADJ/page-1", "LM2588S-ADJ")</f>
        <v>LM2588S-ADJ</v>
      </c>
      <c r="B10448" s="3" t="str">
        <f>HYPERLINK("https://www.773grp.com/manufacturer/national-semiconductor?pageNo=129", "National Semiconductor")</f>
        <v>National Semiconductor</v>
      </c>
      <c r="C10448" s="6">
        <v>28</v>
      </c>
      <c r="D10448" s="7">
        <v>19.690000000000001</v>
      </c>
      <c r="E10448" t="s">
        <v>7</v>
      </c>
    </row>
    <row r="10449" spans="1:5" x14ac:dyDescent="0.25">
      <c r="A10449" t="str">
        <f>HYPERLINK("https://www.773grp.com/globalSearch/LM4560VJD/page-1", "LM4560VJD")</f>
        <v>LM4560VJD</v>
      </c>
      <c r="B10449" s="3" t="str">
        <f>HYPERLINK("https://www.773grp.com/manufacturer/national-semiconductor?pageNo=130", "National Semiconductor")</f>
        <v>National Semiconductor</v>
      </c>
      <c r="C10449" s="6">
        <v>746</v>
      </c>
      <c r="D10449" s="7">
        <v>19.690000000000001</v>
      </c>
      <c r="E10449" t="s">
        <v>23</v>
      </c>
    </row>
    <row r="10450" spans="1:5" x14ac:dyDescent="0.25">
      <c r="A10450" t="str">
        <f>HYPERLINK("https://www.773grp.com/globalSearch/MM54HC533J-883/page-1", "MM54HC533J-883")</f>
        <v>MM54HC533J-883</v>
      </c>
      <c r="B10450" s="3" t="str">
        <f>HYPERLINK("https://www.773grp.com/manufacturer/national-semiconductor?pageNo=131", "National Semiconductor")</f>
        <v>National Semiconductor</v>
      </c>
      <c r="C10450" s="6">
        <v>98</v>
      </c>
      <c r="D10450" s="7">
        <v>19.690000000000001</v>
      </c>
    </row>
    <row r="10451" spans="1:5" x14ac:dyDescent="0.25">
      <c r="A10451" t="str">
        <f>HYPERLINK("https://www.773grp.com/globalSearch/THS4503MDGNREP/page-1", "THS4503MDGNREP")</f>
        <v>THS4503MDGNREP</v>
      </c>
      <c r="B10451" s="3" t="str">
        <f>HYPERLINK("https://www.773grp.com/manufacturer/national-semiconductor?pageNo=132", "National Semiconductor")</f>
        <v>National Semiconductor</v>
      </c>
      <c r="C10451" s="6">
        <v>18</v>
      </c>
      <c r="D10451" s="7">
        <v>19.690000000000001</v>
      </c>
    </row>
    <row r="10452" spans="1:5" x14ac:dyDescent="0.25">
      <c r="A10452" t="str">
        <f>HYPERLINK("https://www.773grp.com/globalSearch/LMZ14201TZE-ADJ-NOPB/page-1", "LMZ14201TZE-ADJ-NOPB")</f>
        <v>LMZ14201TZE-ADJ-NOPB</v>
      </c>
      <c r="B10452" s="3" t="str">
        <f>HYPERLINK("https://www.773grp.com/manufacturer/national-semiconductor?pageNo=133", "National Semiconductor")</f>
        <v>National Semiconductor</v>
      </c>
      <c r="C10452" s="6">
        <v>1233</v>
      </c>
      <c r="D10452" s="7">
        <v>19.75</v>
      </c>
    </row>
    <row r="10453" spans="1:5" x14ac:dyDescent="0.25">
      <c r="A10453" t="str">
        <f>HYPERLINK("https://www.773grp.com/globalSearch/ADC10DL065CIVS-NOPB/page-1", "ADC10DL065CIVS-NOPB")</f>
        <v>ADC10DL065CIVS-NOPB</v>
      </c>
      <c r="B10453" s="3" t="str">
        <f>HYPERLINK("https://www.773grp.com/manufacturer/national-semiconductor?pageNo=134", "National Semiconductor")</f>
        <v>National Semiconductor</v>
      </c>
      <c r="C10453" s="6">
        <v>160</v>
      </c>
      <c r="D10453" s="7">
        <v>19.78</v>
      </c>
    </row>
    <row r="10454" spans="1:5" x14ac:dyDescent="0.25">
      <c r="A10454" t="str">
        <f>HYPERLINK("https://www.773grp.com/globalSearch/ADC10DL065CIVS/page-1", "ADC10DL065CIVS")</f>
        <v>ADC10DL065CIVS</v>
      </c>
      <c r="B10454" s="3" t="str">
        <f>HYPERLINK("https://www.773grp.com/manufacturer/national-semiconductor?pageNo=1", "National Semiconductor")</f>
        <v>National Semiconductor</v>
      </c>
      <c r="C10454" s="6">
        <v>38</v>
      </c>
      <c r="D10454" s="7">
        <v>19.78</v>
      </c>
    </row>
    <row r="10455" spans="1:5" x14ac:dyDescent="0.25">
      <c r="A10455" t="str">
        <f>HYPERLINK("https://www.773grp.com/globalSearch/ADC10DL065CIVS-NOPB/page-1", "ADC10DL065CIVS-NOPB")</f>
        <v>ADC10DL065CIVS-NOPB</v>
      </c>
      <c r="B10455" s="3" t="str">
        <f>HYPERLINK("https://www.773grp.com/manufacturer/national-semiconductor?pageNo=2", "National Semiconductor")</f>
        <v>National Semiconductor</v>
      </c>
      <c r="C10455" s="6">
        <v>499</v>
      </c>
      <c r="D10455" s="7">
        <v>19.78</v>
      </c>
    </row>
    <row r="10456" spans="1:5" x14ac:dyDescent="0.25">
      <c r="A10456" t="str">
        <f>HYPERLINK("https://www.773grp.com/globalSearch/DP83640TVV/page-1", "DP83640TVV")</f>
        <v>DP83640TVV</v>
      </c>
      <c r="B10456" s="3" t="str">
        <f>HYPERLINK("https://www.773grp.com/manufacturer/national-semiconductor?pageNo=3", "National Semiconductor")</f>
        <v>National Semiconductor</v>
      </c>
      <c r="C10456" s="6">
        <v>30</v>
      </c>
      <c r="D10456" s="7">
        <v>19.78</v>
      </c>
    </row>
    <row r="10457" spans="1:5" x14ac:dyDescent="0.25">
      <c r="A10457" t="str">
        <f>HYPERLINK("https://www.773grp.com/globalSearch/54ACT244LM/page-1", "54ACT244LM")</f>
        <v>54ACT244LM</v>
      </c>
      <c r="B10457" s="3" t="str">
        <f>HYPERLINK("https://www.773grp.com/manufacturer/national-semiconductor?pageNo=4", "National Semiconductor")</f>
        <v>National Semiconductor</v>
      </c>
      <c r="C10457" s="6">
        <v>23</v>
      </c>
      <c r="D10457" s="7">
        <v>19.8</v>
      </c>
      <c r="E10457" t="s">
        <v>14</v>
      </c>
    </row>
    <row r="10458" spans="1:5" x14ac:dyDescent="0.25">
      <c r="A10458" t="str">
        <f>HYPERLINK("https://www.773grp.com/globalSearch/9302DC/page-1", "9302DC")</f>
        <v>9302DC</v>
      </c>
      <c r="B10458" s="3" t="str">
        <f>HYPERLINK("https://www.773grp.com/manufacturer/national-semiconductor?pageNo=5", "National Semiconductor")</f>
        <v>National Semiconductor</v>
      </c>
      <c r="C10458" s="6">
        <v>73</v>
      </c>
      <c r="D10458" s="7">
        <v>19.829999999999998</v>
      </c>
    </row>
    <row r="10459" spans="1:5" x14ac:dyDescent="0.25">
      <c r="A10459" t="str">
        <f>HYPERLINK("https://www.773grp.com/globalSearch/LM120H-12/page-1", "LM120H-12")</f>
        <v>LM120H-12</v>
      </c>
      <c r="B10459" s="3" t="str">
        <f>HYPERLINK("https://www.773grp.com/manufacturer/national-semiconductor?pageNo=6", "National Semiconductor")</f>
        <v>National Semiconductor</v>
      </c>
      <c r="C10459" s="6">
        <v>582</v>
      </c>
      <c r="D10459" s="7">
        <v>19.829999999999998</v>
      </c>
      <c r="E10459" t="s">
        <v>65</v>
      </c>
    </row>
    <row r="10460" spans="1:5" x14ac:dyDescent="0.25">
      <c r="A10460" t="str">
        <f>HYPERLINK("https://www.773grp.com/globalSearch/LM120H-12-NOPB/page-1", "LM120H-12-NOPB")</f>
        <v>LM120H-12-NOPB</v>
      </c>
      <c r="B10460" s="3" t="str">
        <f>HYPERLINK("https://www.773grp.com/manufacturer/national-semiconductor?pageNo=7", "National Semiconductor")</f>
        <v>National Semiconductor</v>
      </c>
      <c r="C10460" s="6">
        <v>475</v>
      </c>
      <c r="D10460" s="7">
        <v>19.829999999999998</v>
      </c>
      <c r="E10460" t="s">
        <v>65</v>
      </c>
    </row>
    <row r="10461" spans="1:5" x14ac:dyDescent="0.25">
      <c r="A10461" t="str">
        <f>HYPERLINK("https://www.773grp.com/globalSearch/LM120H-15/page-1", "LM120H-15")</f>
        <v>LM120H-15</v>
      </c>
      <c r="B10461" s="3" t="str">
        <f>HYPERLINK("https://www.773grp.com/manufacturer/national-semiconductor?pageNo=8", "National Semiconductor")</f>
        <v>National Semiconductor</v>
      </c>
      <c r="C10461" s="6">
        <v>481</v>
      </c>
      <c r="D10461" s="7">
        <v>19.829999999999998</v>
      </c>
      <c r="E10461" t="s">
        <v>65</v>
      </c>
    </row>
    <row r="10462" spans="1:5" x14ac:dyDescent="0.25">
      <c r="A10462" t="str">
        <f>HYPERLINK("https://www.773grp.com/globalSearch/LM120H-5.0/page-1", "LM120H-5.0")</f>
        <v>LM120H-5.0</v>
      </c>
      <c r="B10462" s="3" t="str">
        <f>HYPERLINK("https://www.773grp.com/manufacturer/national-semiconductor?pageNo=9", "National Semiconductor")</f>
        <v>National Semiconductor</v>
      </c>
      <c r="C10462" s="6">
        <v>290</v>
      </c>
      <c r="D10462" s="7">
        <v>19.829999999999998</v>
      </c>
      <c r="E10462" t="s">
        <v>65</v>
      </c>
    </row>
    <row r="10463" spans="1:5" x14ac:dyDescent="0.25">
      <c r="A10463" t="str">
        <f>HYPERLINK("https://www.773grp.com/globalSearch/LM120H-5.0-NOPB/page-1", "LM120H-5.0-NOPB")</f>
        <v>LM120H-5.0-NOPB</v>
      </c>
      <c r="B10463" s="3" t="str">
        <f>HYPERLINK("https://www.773grp.com/manufacturer/national-semiconductor?pageNo=10", "National Semiconductor")</f>
        <v>National Semiconductor</v>
      </c>
      <c r="C10463" s="6">
        <v>2501</v>
      </c>
      <c r="D10463" s="7">
        <v>19.829999999999998</v>
      </c>
      <c r="E10463" t="s">
        <v>65</v>
      </c>
    </row>
    <row r="10464" spans="1:5" x14ac:dyDescent="0.25">
      <c r="A10464" t="str">
        <f>HYPERLINK("https://www.773grp.com/globalSearch/LM120H-12/page-1", "LM120H-12")</f>
        <v>LM120H-12</v>
      </c>
      <c r="B10464" s="3" t="str">
        <f>HYPERLINK("https://www.773grp.com/manufacturer/national-semiconductor?pageNo=11", "National Semiconductor")</f>
        <v>National Semiconductor</v>
      </c>
      <c r="C10464" s="6">
        <v>770</v>
      </c>
      <c r="D10464" s="7">
        <v>19.829999999999998</v>
      </c>
      <c r="E10464" t="s">
        <v>65</v>
      </c>
    </row>
    <row r="10465" spans="1:5" x14ac:dyDescent="0.25">
      <c r="A10465" t="str">
        <f>HYPERLINK("https://www.773grp.com/globalSearch/LM120H-12-NOPB/page-1", "LM120H-12-NOPB")</f>
        <v>LM120H-12-NOPB</v>
      </c>
      <c r="B10465" s="3" t="str">
        <f>HYPERLINK("https://www.773grp.com/manufacturer/national-semiconductor?pageNo=12", "National Semiconductor")</f>
        <v>National Semiconductor</v>
      </c>
      <c r="C10465" s="6">
        <v>500</v>
      </c>
      <c r="D10465" s="7">
        <v>19.829999999999998</v>
      </c>
      <c r="E10465" t="s">
        <v>65</v>
      </c>
    </row>
    <row r="10466" spans="1:5" x14ac:dyDescent="0.25">
      <c r="A10466" t="str">
        <f>HYPERLINK("https://www.773grp.com/globalSearch/LM120H-15-NOPB/page-1", "LM120H-15-NOPB")</f>
        <v>LM120H-15-NOPB</v>
      </c>
      <c r="B10466" s="3" t="str">
        <f>HYPERLINK("https://www.773grp.com/manufacturer/national-semiconductor?pageNo=13", "National Semiconductor")</f>
        <v>National Semiconductor</v>
      </c>
      <c r="C10466" s="6">
        <v>72</v>
      </c>
      <c r="D10466" s="7">
        <v>19.829999999999998</v>
      </c>
    </row>
    <row r="10467" spans="1:5" x14ac:dyDescent="0.25">
      <c r="A10467" t="str">
        <f>HYPERLINK("https://www.773grp.com/globalSearch/LM120H-5.0/page-1", "LM120H-5.0")</f>
        <v>LM120H-5.0</v>
      </c>
      <c r="B10467" s="3" t="str">
        <f>HYPERLINK("https://www.773grp.com/manufacturer/national-semiconductor?pageNo=14", "National Semiconductor")</f>
        <v>National Semiconductor</v>
      </c>
      <c r="C10467" s="6">
        <v>430</v>
      </c>
      <c r="D10467" s="7">
        <v>19.829999999999998</v>
      </c>
      <c r="E10467" t="s">
        <v>65</v>
      </c>
    </row>
    <row r="10468" spans="1:5" x14ac:dyDescent="0.25">
      <c r="A10468" t="str">
        <f>HYPERLINK("https://www.773grp.com/globalSearch/LM120H-5.0-NOPB/page-1", "LM120H-5.0-NOPB")</f>
        <v>LM120H-5.0-NOPB</v>
      </c>
      <c r="B10468" s="3" t="str">
        <f>HYPERLINK("https://www.773grp.com/manufacturer/national-semiconductor?pageNo=15", "National Semiconductor")</f>
        <v>National Semiconductor</v>
      </c>
      <c r="C10468" s="6">
        <v>217</v>
      </c>
      <c r="D10468" s="7">
        <v>19.829999999999998</v>
      </c>
      <c r="E10468" t="s">
        <v>65</v>
      </c>
    </row>
    <row r="10469" spans="1:5" x14ac:dyDescent="0.25">
      <c r="A10469" t="str">
        <f>HYPERLINK("https://www.773grp.com/globalSearch/DS92LV1224TMSA/page-1", "DS92LV1224TMSA")</f>
        <v>DS92LV1224TMSA</v>
      </c>
      <c r="B10469" s="3" t="str">
        <f>HYPERLINK("https://www.773grp.com/manufacturer/national-semiconductor?pageNo=16", "National Semiconductor")</f>
        <v>National Semiconductor</v>
      </c>
      <c r="C10469" s="6">
        <v>195</v>
      </c>
      <c r="D10469" s="7">
        <v>19.86</v>
      </c>
      <c r="E10469" t="s">
        <v>21</v>
      </c>
    </row>
    <row r="10470" spans="1:5" x14ac:dyDescent="0.25">
      <c r="A10470" t="str">
        <f>HYPERLINK("https://www.773grp.com/globalSearch/SCANSTA111MT/page-1", "SCANSTA111MT")</f>
        <v>SCANSTA111MT</v>
      </c>
      <c r="B10470" s="3" t="str">
        <f>HYPERLINK("https://www.773grp.com/manufacturer/national-semiconductor?pageNo=17", "National Semiconductor")</f>
        <v>National Semiconductor</v>
      </c>
      <c r="C10470" s="6">
        <v>378</v>
      </c>
      <c r="D10470" s="7">
        <v>19.86</v>
      </c>
      <c r="E10470" t="s">
        <v>42</v>
      </c>
    </row>
    <row r="10471" spans="1:5" x14ac:dyDescent="0.25">
      <c r="A10471" t="str">
        <f>HYPERLINK("https://www.773grp.com/globalSearch/DS92LV1224TMSA/page-1", "DS92LV1224TMSA")</f>
        <v>DS92LV1224TMSA</v>
      </c>
      <c r="B10471" s="3" t="str">
        <f>HYPERLINK("https://www.773grp.com/manufacturer/national-semiconductor?pageNo=18", "National Semiconductor")</f>
        <v>National Semiconductor</v>
      </c>
      <c r="C10471" s="6">
        <v>2538</v>
      </c>
      <c r="D10471" s="7">
        <v>19.86</v>
      </c>
      <c r="E10471" t="s">
        <v>21</v>
      </c>
    </row>
    <row r="10472" spans="1:5" x14ac:dyDescent="0.25">
      <c r="A10472" t="str">
        <f>HYPERLINK("https://www.773grp.com/globalSearch/949DMQB/page-1", "949DMQB")</f>
        <v>949DMQB</v>
      </c>
      <c r="B10472" s="3" t="str">
        <f>HYPERLINK("https://www.773grp.com/manufacturer/national-semiconductor?pageNo=19", "National Semiconductor")</f>
        <v>National Semiconductor</v>
      </c>
      <c r="C10472" s="6">
        <v>710</v>
      </c>
      <c r="D10472" s="7">
        <v>19.88</v>
      </c>
    </row>
    <row r="10473" spans="1:5" x14ac:dyDescent="0.25">
      <c r="A10473" t="str">
        <f>HYPERLINK("https://www.773grp.com/globalSearch/LM94CIMT-NOPB/page-1", "LM94CIMT-NOPB")</f>
        <v>LM94CIMT-NOPB</v>
      </c>
      <c r="B10473" s="3" t="str">
        <f>HYPERLINK("https://www.773grp.com/manufacturer/national-semiconductor?pageNo=20", "National Semiconductor")</f>
        <v>National Semiconductor</v>
      </c>
      <c r="C10473" s="6">
        <v>306</v>
      </c>
      <c r="D10473" s="7">
        <v>19.88</v>
      </c>
    </row>
    <row r="10474" spans="1:5" x14ac:dyDescent="0.25">
      <c r="A10474" t="str">
        <f>HYPERLINK("https://www.773grp.com/globalSearch/LM94CIMT-NOPB/page-1", "LM94CIMT-NOPB")</f>
        <v>LM94CIMT-NOPB</v>
      </c>
      <c r="B10474" s="3" t="str">
        <f>HYPERLINK("https://www.773grp.com/manufacturer/national-semiconductor?pageNo=21", "National Semiconductor")</f>
        <v>National Semiconductor</v>
      </c>
      <c r="C10474" s="6">
        <v>352</v>
      </c>
      <c r="D10474" s="7">
        <v>19.88</v>
      </c>
    </row>
    <row r="10475" spans="1:5" x14ac:dyDescent="0.25">
      <c r="A10475" t="str">
        <f>HYPERLINK("https://www.773grp.com/globalSearch/54LS51FM/page-1", "54LS51FM")</f>
        <v>54LS51FM</v>
      </c>
      <c r="B10475" s="3" t="str">
        <f>HYPERLINK("https://www.773grp.com/manufacturer/national-semiconductor?pageNo=22", "National Semiconductor")</f>
        <v>National Semiconductor</v>
      </c>
      <c r="C10475" s="6">
        <v>1941</v>
      </c>
      <c r="D10475" s="7">
        <v>19.96</v>
      </c>
    </row>
    <row r="10476" spans="1:5" x14ac:dyDescent="0.25">
      <c r="A10476" t="str">
        <f>HYPERLINK("https://www.773grp.com/globalSearch/DS3892N/page-1", "DS3892N")</f>
        <v>DS3892N</v>
      </c>
      <c r="B10476" s="3" t="str">
        <f>HYPERLINK("https://www.773grp.com/manufacturer/national-semiconductor?pageNo=23", "National Semiconductor")</f>
        <v>National Semiconductor</v>
      </c>
      <c r="C10476" s="6">
        <v>2050</v>
      </c>
      <c r="D10476" s="7">
        <v>19.96</v>
      </c>
      <c r="E10476" t="s">
        <v>21</v>
      </c>
    </row>
    <row r="10477" spans="1:5" x14ac:dyDescent="0.25">
      <c r="A10477" t="str">
        <f>HYPERLINK("https://www.773grp.com/globalSearch/LF13201D/page-1", "LF13201D")</f>
        <v>LF13201D</v>
      </c>
      <c r="B10477" s="3" t="str">
        <f>HYPERLINK("https://www.773grp.com/manufacturer/national-semiconductor?pageNo=24", "National Semiconductor")</f>
        <v>National Semiconductor</v>
      </c>
      <c r="C10477" s="6">
        <v>2308</v>
      </c>
      <c r="D10477" s="7">
        <v>19.96</v>
      </c>
      <c r="E10477" t="s">
        <v>56</v>
      </c>
    </row>
    <row r="10478" spans="1:5" x14ac:dyDescent="0.25">
      <c r="A10478" t="str">
        <f>HYPERLINK("https://www.773grp.com/globalSearch/9001DC/page-1", "9001DC")</f>
        <v>9001DC</v>
      </c>
      <c r="B10478" s="3" t="str">
        <f>HYPERLINK("https://www.773grp.com/manufacturer/national-semiconductor?pageNo=25", "National Semiconductor")</f>
        <v>National Semiconductor</v>
      </c>
      <c r="C10478" s="6">
        <v>35455</v>
      </c>
      <c r="D10478" s="7">
        <v>20</v>
      </c>
    </row>
    <row r="10479" spans="1:5" x14ac:dyDescent="0.25">
      <c r="A10479" t="str">
        <f>HYPERLINK("https://www.773grp.com/globalSearch/93L10DC/page-1", "93L10DC")</f>
        <v>93L10DC</v>
      </c>
      <c r="B10479" s="3" t="str">
        <f>HYPERLINK("https://www.773grp.com/manufacturer/national-semiconductor?pageNo=26", "National Semiconductor")</f>
        <v>National Semiconductor</v>
      </c>
      <c r="C10479" s="6">
        <v>3823</v>
      </c>
      <c r="D10479" s="7">
        <v>20</v>
      </c>
    </row>
    <row r="10480" spans="1:5" x14ac:dyDescent="0.25">
      <c r="A10480" t="str">
        <f>HYPERLINK("https://www.773grp.com/globalSearch/93L10PC/page-1", "93L10PC")</f>
        <v>93L10PC</v>
      </c>
      <c r="B10480" s="3" t="str">
        <f>HYPERLINK("https://www.773grp.com/manufacturer/national-semiconductor?pageNo=27", "National Semiconductor")</f>
        <v>National Semiconductor</v>
      </c>
      <c r="C10480" s="6">
        <v>3799</v>
      </c>
      <c r="D10480" s="7">
        <v>20</v>
      </c>
    </row>
    <row r="10481" spans="1:5" x14ac:dyDescent="0.25">
      <c r="A10481" t="str">
        <f>HYPERLINK("https://www.773grp.com/globalSearch/95105DC/page-1", "95105DC")</f>
        <v>95105DC</v>
      </c>
      <c r="B10481" s="3" t="str">
        <f>HYPERLINK("https://www.773grp.com/manufacturer/national-semiconductor?pageNo=28", "National Semiconductor")</f>
        <v>National Semiconductor</v>
      </c>
      <c r="C10481" s="6">
        <v>171</v>
      </c>
      <c r="D10481" s="7">
        <v>20</v>
      </c>
    </row>
    <row r="10482" spans="1:5" x14ac:dyDescent="0.25">
      <c r="A10482" t="str">
        <f>HYPERLINK("https://www.773grp.com/globalSearch/DS22EV5110SQE-NOPB/page-1", "DS22EV5110SQE-NOPB")</f>
        <v>DS22EV5110SQE-NOPB</v>
      </c>
      <c r="B10482" s="3" t="str">
        <f>HYPERLINK("https://www.773grp.com/manufacturer/national-semiconductor?pageNo=29", "National Semiconductor")</f>
        <v>National Semiconductor</v>
      </c>
      <c r="C10482" s="6">
        <v>2127</v>
      </c>
      <c r="D10482" s="7">
        <v>20</v>
      </c>
    </row>
    <row r="10483" spans="1:5" x14ac:dyDescent="0.25">
      <c r="A10483" t="str">
        <f>HYPERLINK("https://www.773grp.com/globalSearch/UAF772LHC/page-1", "UAF772LHC")</f>
        <v>UAF772LHC</v>
      </c>
      <c r="B10483" s="3" t="str">
        <f>HYPERLINK("https://www.773grp.com/manufacturer/national-semiconductor?pageNo=30", "National Semiconductor")</f>
        <v>National Semiconductor</v>
      </c>
      <c r="C10483" s="6">
        <v>149</v>
      </c>
      <c r="D10483" s="7">
        <v>20</v>
      </c>
    </row>
    <row r="10484" spans="1:5" x14ac:dyDescent="0.25">
      <c r="A10484" t="str">
        <f>HYPERLINK("https://www.773grp.com/globalSearch/DS22EV5110SQE-NOPB/page-1", "DS22EV5110SQE-NOPB")</f>
        <v>DS22EV5110SQE-NOPB</v>
      </c>
      <c r="B10484" s="3" t="str">
        <f>HYPERLINK("https://www.773grp.com/manufacturer/national-semiconductor?pageNo=31", "National Semiconductor")</f>
        <v>National Semiconductor</v>
      </c>
      <c r="C10484" s="6">
        <v>1250</v>
      </c>
      <c r="D10484" s="7">
        <v>20</v>
      </c>
    </row>
    <row r="10485" spans="1:5" x14ac:dyDescent="0.25">
      <c r="A10485" t="str">
        <f>HYPERLINK("https://www.773grp.com/globalSearch/DS22EV5110SQE-NOPB/page-1", "DS22EV5110SQE-NOPB")</f>
        <v>DS22EV5110SQE-NOPB</v>
      </c>
      <c r="B10485" s="3" t="str">
        <f>HYPERLINK("https://www.773grp.com/manufacturer/national-semiconductor?pageNo=32", "National Semiconductor")</f>
        <v>National Semiconductor</v>
      </c>
      <c r="C10485" s="6">
        <v>414</v>
      </c>
      <c r="D10485" s="7">
        <v>20</v>
      </c>
    </row>
    <row r="10486" spans="1:5" x14ac:dyDescent="0.25">
      <c r="A10486" t="str">
        <f>HYPERLINK("https://www.773grp.com/globalSearch/54F182FMQB/page-1", "54F182FMQB")</f>
        <v>54F182FMQB</v>
      </c>
      <c r="B10486" s="3" t="str">
        <f>HYPERLINK("https://www.773grp.com/manufacturer/national-semiconductor?pageNo=33", "National Semiconductor")</f>
        <v>National Semiconductor</v>
      </c>
      <c r="C10486" s="6">
        <v>1254</v>
      </c>
      <c r="D10486" s="7">
        <v>20.03</v>
      </c>
      <c r="E10486" t="s">
        <v>43</v>
      </c>
    </row>
    <row r="10487" spans="1:5" x14ac:dyDescent="0.25">
      <c r="A10487" t="str">
        <f>HYPERLINK("https://www.773grp.com/globalSearch/74S138DC/page-1", "74S138DC")</f>
        <v>74S138DC</v>
      </c>
      <c r="B10487" s="3" t="str">
        <f>HYPERLINK("https://www.773grp.com/manufacturer/national-semiconductor?pageNo=34", "National Semiconductor")</f>
        <v>National Semiconductor</v>
      </c>
      <c r="C10487" s="6">
        <v>11055</v>
      </c>
      <c r="D10487" s="7">
        <v>20.05</v>
      </c>
    </row>
    <row r="10488" spans="1:5" x14ac:dyDescent="0.25">
      <c r="A10488" t="str">
        <f>HYPERLINK("https://www.773grp.com/globalSearch/LMK03000DISQ/page-1", "LMK03000DISQ")</f>
        <v>LMK03000DISQ</v>
      </c>
      <c r="B10488" s="3" t="str">
        <f>HYPERLINK("https://www.773grp.com/manufacturer/national-semiconductor?pageNo=35", "National Semiconductor")</f>
        <v>National Semiconductor</v>
      </c>
      <c r="C10488" s="6">
        <v>1000</v>
      </c>
      <c r="D10488" s="7">
        <v>20.05</v>
      </c>
      <c r="E10488" t="s">
        <v>79</v>
      </c>
    </row>
    <row r="10489" spans="1:5" x14ac:dyDescent="0.25">
      <c r="A10489" t="str">
        <f>HYPERLINK("https://www.773grp.com/globalSearch/LMK03000DISQ-NOPB/page-1", "LMK03000DISQ-NOPB")</f>
        <v>LMK03000DISQ-NOPB</v>
      </c>
      <c r="B10489" s="3" t="str">
        <f>HYPERLINK("https://www.773grp.com/manufacturer/national-semiconductor?pageNo=36", "National Semiconductor")</f>
        <v>National Semiconductor</v>
      </c>
      <c r="C10489" s="6">
        <v>1000</v>
      </c>
      <c r="D10489" s="7">
        <v>20.05</v>
      </c>
    </row>
    <row r="10490" spans="1:5" x14ac:dyDescent="0.25">
      <c r="A10490" t="str">
        <f>HYPERLINK("https://www.773grp.com/globalSearch/LMK03001DISQ-NOPB/page-1", "LMK03001DISQ-NOPB")</f>
        <v>LMK03001DISQ-NOPB</v>
      </c>
      <c r="B10490" s="3" t="str">
        <f>HYPERLINK("https://www.773grp.com/manufacturer/national-semiconductor?pageNo=37", "National Semiconductor")</f>
        <v>National Semiconductor</v>
      </c>
      <c r="C10490" s="6">
        <v>1000</v>
      </c>
      <c r="D10490" s="7">
        <v>20.05</v>
      </c>
    </row>
    <row r="10491" spans="1:5" x14ac:dyDescent="0.25">
      <c r="A10491" t="str">
        <f>HYPERLINK("https://www.773grp.com/globalSearch/LM136AH-2.5/page-1", "LM136AH-2.5")</f>
        <v>LM136AH-2.5</v>
      </c>
      <c r="B10491" s="3" t="str">
        <f>HYPERLINK("https://www.773grp.com/manufacturer/national-semiconductor?pageNo=38", "National Semiconductor")</f>
        <v>National Semiconductor</v>
      </c>
      <c r="C10491" s="6">
        <v>1365</v>
      </c>
      <c r="D10491" s="7">
        <v>20.09</v>
      </c>
      <c r="E10491" t="s">
        <v>17</v>
      </c>
    </row>
    <row r="10492" spans="1:5" x14ac:dyDescent="0.25">
      <c r="A10492" t="str">
        <f>HYPERLINK("https://www.773grp.com/globalSearch/LM136AH-2.5-NOPB/page-1", "LM136AH-2.5-NOPB")</f>
        <v>LM136AH-2.5-NOPB</v>
      </c>
      <c r="B10492" s="3" t="str">
        <f>HYPERLINK("https://www.773grp.com/manufacturer/national-semiconductor?pageNo=39", "National Semiconductor")</f>
        <v>National Semiconductor</v>
      </c>
      <c r="C10492" s="6">
        <v>336</v>
      </c>
      <c r="D10492" s="7">
        <v>20.09</v>
      </c>
      <c r="E10492" t="s">
        <v>17</v>
      </c>
    </row>
    <row r="10493" spans="1:5" x14ac:dyDescent="0.25">
      <c r="A10493" t="str">
        <f>HYPERLINK("https://www.773grp.com/globalSearch/LM136AH-2.5/page-1", "LM136AH-2.5")</f>
        <v>LM136AH-2.5</v>
      </c>
      <c r="B10493" s="3" t="str">
        <f>HYPERLINK("https://www.773grp.com/manufacturer/national-semiconductor?pageNo=40", "National Semiconductor")</f>
        <v>National Semiconductor</v>
      </c>
      <c r="C10493" s="6">
        <v>42</v>
      </c>
      <c r="D10493" s="7">
        <v>20.09</v>
      </c>
      <c r="E10493" t="s">
        <v>17</v>
      </c>
    </row>
    <row r="10494" spans="1:5" x14ac:dyDescent="0.25">
      <c r="A10494" t="str">
        <f>HYPERLINK("https://www.773grp.com/globalSearch/54ALS161BE-883/page-1", "54ALS161BE-883")</f>
        <v>54ALS161BE-883</v>
      </c>
      <c r="B10494" s="3" t="str">
        <f>HYPERLINK("https://www.773grp.com/manufacturer/national-semiconductor?pageNo=41", "National Semiconductor")</f>
        <v>National Semiconductor</v>
      </c>
      <c r="C10494" s="6">
        <v>126</v>
      </c>
      <c r="D10494" s="7">
        <v>20.14</v>
      </c>
    </row>
    <row r="10495" spans="1:5" x14ac:dyDescent="0.25">
      <c r="A10495" t="str">
        <f>HYPERLINK("https://www.773grp.com/globalSearch/54ALS169B-E-883/page-1", "54ALS169B-E-883")</f>
        <v>54ALS169B-E-883</v>
      </c>
      <c r="B10495" s="3" t="str">
        <f>HYPERLINK("https://www.773grp.com/manufacturer/national-semiconductor?pageNo=42", "National Semiconductor")</f>
        <v>National Semiconductor</v>
      </c>
      <c r="C10495" s="6">
        <v>178</v>
      </c>
      <c r="D10495" s="7">
        <v>20.14</v>
      </c>
    </row>
    <row r="10496" spans="1:5" x14ac:dyDescent="0.25">
      <c r="A10496" t="str">
        <f>HYPERLINK("https://www.773grp.com/globalSearch/LM111J-8/page-1", "LM111J-8")</f>
        <v>LM111J-8</v>
      </c>
      <c r="B10496" s="3" t="str">
        <f>HYPERLINK("https://www.773grp.com/manufacturer/national-semiconductor?pageNo=43", "National Semiconductor")</f>
        <v>National Semiconductor</v>
      </c>
      <c r="C10496" s="6">
        <v>5</v>
      </c>
      <c r="D10496" s="7">
        <v>20.14</v>
      </c>
      <c r="E10496" t="s">
        <v>9</v>
      </c>
    </row>
    <row r="10497" spans="1:5" x14ac:dyDescent="0.25">
      <c r="A10497" t="str">
        <f>HYPERLINK("https://www.773grp.com/globalSearch/LM111J-8/page-1", "LM111J-8")</f>
        <v>LM111J-8</v>
      </c>
      <c r="B10497" s="3" t="str">
        <f>HYPERLINK("https://www.773grp.com/manufacturer/national-semiconductor?pageNo=44", "National Semiconductor")</f>
        <v>National Semiconductor</v>
      </c>
      <c r="C10497" s="6">
        <v>1</v>
      </c>
      <c r="D10497" s="7">
        <v>20.14</v>
      </c>
      <c r="E10497" t="s">
        <v>9</v>
      </c>
    </row>
    <row r="10498" spans="1:5" x14ac:dyDescent="0.25">
      <c r="A10498" t="str">
        <f>HYPERLINK("https://www.773grp.com/globalSearch/930FM/page-1", "930FM")</f>
        <v>930FM</v>
      </c>
      <c r="B10498" s="3" t="str">
        <f>HYPERLINK("https://www.773grp.com/manufacturer/national-semiconductor?pageNo=45", "National Semiconductor")</f>
        <v>National Semiconductor</v>
      </c>
      <c r="C10498" s="6">
        <v>71</v>
      </c>
      <c r="D10498" s="7">
        <v>20.21</v>
      </c>
    </row>
    <row r="10499" spans="1:5" x14ac:dyDescent="0.25">
      <c r="A10499" t="str">
        <f>HYPERLINK("https://www.773grp.com/globalSearch/COP8ACC728M9-XE/page-1", "COP8ACC728M9-XE")</f>
        <v>COP8ACC728M9-XE</v>
      </c>
      <c r="B10499" s="3" t="str">
        <f>HYPERLINK("https://www.773grp.com/manufacturer/national-semiconductor?pageNo=46", "National Semiconductor")</f>
        <v>National Semiconductor</v>
      </c>
      <c r="C10499" s="6">
        <v>2739</v>
      </c>
      <c r="D10499" s="7">
        <v>20.21</v>
      </c>
      <c r="E10499" t="s">
        <v>52</v>
      </c>
    </row>
    <row r="10500" spans="1:5" x14ac:dyDescent="0.25">
      <c r="A10500" t="str">
        <f>HYPERLINK("https://www.773grp.com/globalSearch/DS90CR481VJD-NOPB/page-1", "DS90CR481VJD-NOPB")</f>
        <v>DS90CR481VJD-NOPB</v>
      </c>
      <c r="B10500" s="3" t="str">
        <f>HYPERLINK("https://www.773grp.com/manufacturer/national-semiconductor?pageNo=47", "National Semiconductor")</f>
        <v>National Semiconductor</v>
      </c>
      <c r="C10500" s="6">
        <v>1555</v>
      </c>
      <c r="D10500" s="7">
        <v>20.25</v>
      </c>
      <c r="E10500" t="s">
        <v>74</v>
      </c>
    </row>
    <row r="10501" spans="1:5" x14ac:dyDescent="0.25">
      <c r="A10501" t="str">
        <f>HYPERLINK("https://www.773grp.com/globalSearch/MM54HC688J/page-1", "MM54HC688J")</f>
        <v>MM54HC688J</v>
      </c>
      <c r="B10501" s="3" t="str">
        <f>HYPERLINK("https://www.773grp.com/manufacturer/national-semiconductor?pageNo=48", "National Semiconductor")</f>
        <v>National Semiconductor</v>
      </c>
      <c r="C10501" s="6">
        <v>972</v>
      </c>
      <c r="D10501" s="7">
        <v>20.25</v>
      </c>
      <c r="E10501" t="s">
        <v>43</v>
      </c>
    </row>
    <row r="10502" spans="1:5" x14ac:dyDescent="0.25">
      <c r="A10502" t="str">
        <f>HYPERLINK("https://www.773grp.com/globalSearch/DS90CR481VJD-NOPB/page-1", "DS90CR481VJD-NOPB")</f>
        <v>DS90CR481VJD-NOPB</v>
      </c>
      <c r="B10502" s="3" t="str">
        <f>HYPERLINK("https://www.773grp.com/manufacturer/national-semiconductor?pageNo=49", "National Semiconductor")</f>
        <v>National Semiconductor</v>
      </c>
      <c r="C10502" s="6">
        <v>4477</v>
      </c>
      <c r="D10502" s="7">
        <v>20.25</v>
      </c>
      <c r="E10502" t="s">
        <v>74</v>
      </c>
    </row>
    <row r="10503" spans="1:5" x14ac:dyDescent="0.25">
      <c r="A10503" t="str">
        <f>HYPERLINK("https://www.773grp.com/globalSearch/DS90CR563MTD/page-1", "DS90CR563MTD")</f>
        <v>DS90CR563MTD</v>
      </c>
      <c r="B10503" s="3" t="str">
        <f>HYPERLINK("https://www.773grp.com/manufacturer/national-semiconductor?pageNo=50", "National Semiconductor")</f>
        <v>National Semiconductor</v>
      </c>
      <c r="C10503" s="6">
        <v>2014</v>
      </c>
      <c r="D10503" s="7">
        <v>20.29</v>
      </c>
      <c r="E10503" t="s">
        <v>21</v>
      </c>
    </row>
    <row r="10504" spans="1:5" x14ac:dyDescent="0.25">
      <c r="A10504" t="str">
        <f>HYPERLINK("https://www.773grp.com/globalSearch/LM8300IMT9B-NOPB/page-1", "LM8300IMT9B-NOPB")</f>
        <v>LM8300IMT9B-NOPB</v>
      </c>
      <c r="B10504" s="3" t="str">
        <f>HYPERLINK("https://www.773grp.com/manufacturer/national-semiconductor?pageNo=51", "National Semiconductor")</f>
        <v>National Semiconductor</v>
      </c>
      <c r="C10504" s="6">
        <v>237</v>
      </c>
      <c r="D10504" s="7">
        <v>20.29</v>
      </c>
    </row>
    <row r="10505" spans="1:5" x14ac:dyDescent="0.25">
      <c r="A10505" t="str">
        <f>HYPERLINK("https://www.773grp.com/globalSearch/4516BDM/page-1", "4516BDM")</f>
        <v>4516BDM</v>
      </c>
      <c r="B10505" s="3" t="str">
        <f>HYPERLINK("https://www.773grp.com/manufacturer/national-semiconductor?pageNo=52", "National Semiconductor")</f>
        <v>National Semiconductor</v>
      </c>
      <c r="C10505" s="6">
        <v>4050</v>
      </c>
      <c r="D10505" s="7">
        <v>20.3</v>
      </c>
      <c r="E10505" t="s">
        <v>26</v>
      </c>
    </row>
    <row r="10506" spans="1:5" x14ac:dyDescent="0.25">
      <c r="A10506" t="str">
        <f>HYPERLINK("https://www.773grp.com/globalSearch/COP8SGE7VEJ8/page-1", "COP8SGE7VEJ8")</f>
        <v>COP8SGE7VEJ8</v>
      </c>
      <c r="B10506" s="3" t="str">
        <f>HYPERLINK("https://www.773grp.com/manufacturer/national-semiconductor?pageNo=53", "National Semiconductor")</f>
        <v>National Semiconductor</v>
      </c>
      <c r="C10506" s="6">
        <v>160</v>
      </c>
      <c r="D10506" s="7">
        <v>20.34</v>
      </c>
      <c r="E10506" t="s">
        <v>52</v>
      </c>
    </row>
    <row r="10507" spans="1:5" x14ac:dyDescent="0.25">
      <c r="A10507" t="str">
        <f>HYPERLINK("https://www.773grp.com/globalSearch/54ALS138E-883/page-1", "54ALS138E-883")</f>
        <v>54ALS138E-883</v>
      </c>
      <c r="B10507" s="3" t="str">
        <f>HYPERLINK("https://www.773grp.com/manufacturer/national-semiconductor?pageNo=54", "National Semiconductor")</f>
        <v>National Semiconductor</v>
      </c>
      <c r="C10507" s="6">
        <v>574</v>
      </c>
      <c r="D10507" s="7">
        <v>20.36</v>
      </c>
    </row>
    <row r="10508" spans="1:5" x14ac:dyDescent="0.25">
      <c r="A10508" t="str">
        <f>HYPERLINK("https://www.773grp.com/globalSearch/54ALS153-883/page-1", "54ALS153-883")</f>
        <v>54ALS153-883</v>
      </c>
      <c r="B10508" s="3" t="str">
        <f>HYPERLINK("https://www.773grp.com/manufacturer/national-semiconductor?pageNo=55", "National Semiconductor")</f>
        <v>National Semiconductor</v>
      </c>
      <c r="C10508" s="6">
        <v>242</v>
      </c>
      <c r="D10508" s="7">
        <v>20.36</v>
      </c>
    </row>
    <row r="10509" spans="1:5" x14ac:dyDescent="0.25">
      <c r="A10509" t="str">
        <f>HYPERLINK("https://www.773grp.com/globalSearch/54ALS153E-883/page-1", "54ALS153E-883")</f>
        <v>54ALS153E-883</v>
      </c>
      <c r="B10509" s="3" t="str">
        <f>HYPERLINK("https://www.773grp.com/manufacturer/national-semiconductor?pageNo=56", "National Semiconductor")</f>
        <v>National Semiconductor</v>
      </c>
      <c r="C10509" s="6">
        <v>242</v>
      </c>
      <c r="D10509" s="7">
        <v>20.36</v>
      </c>
    </row>
    <row r="10510" spans="1:5" x14ac:dyDescent="0.25">
      <c r="A10510" t="str">
        <f>HYPERLINK("https://www.773grp.com/globalSearch/54ALS174E-883/page-1", "54ALS174E-883")</f>
        <v>54ALS174E-883</v>
      </c>
      <c r="B10510" s="3" t="str">
        <f>HYPERLINK("https://www.773grp.com/manufacturer/national-semiconductor?pageNo=57", "National Semiconductor")</f>
        <v>National Semiconductor</v>
      </c>
      <c r="C10510" s="6">
        <v>393</v>
      </c>
      <c r="D10510" s="7">
        <v>20.36</v>
      </c>
    </row>
    <row r="10511" spans="1:5" x14ac:dyDescent="0.25">
      <c r="A10511" t="str">
        <f>HYPERLINK("https://www.773grp.com/globalSearch/54ALS251E-883/page-1", "54ALS251E-883")</f>
        <v>54ALS251E-883</v>
      </c>
      <c r="B10511" s="3" t="str">
        <f>HYPERLINK("https://www.773grp.com/manufacturer/national-semiconductor?pageNo=58", "National Semiconductor")</f>
        <v>National Semiconductor</v>
      </c>
      <c r="C10511" s="6">
        <v>293</v>
      </c>
      <c r="D10511" s="7">
        <v>20.36</v>
      </c>
    </row>
    <row r="10512" spans="1:5" x14ac:dyDescent="0.25">
      <c r="A10512" t="str">
        <f>HYPERLINK("https://www.773grp.com/globalSearch/DM54S283J-883/page-1", "DM54S283J-883")</f>
        <v>DM54S283J-883</v>
      </c>
      <c r="B10512" s="3" t="str">
        <f>HYPERLINK("https://www.773grp.com/manufacturer/national-semiconductor?pageNo=59", "National Semiconductor")</f>
        <v>National Semiconductor</v>
      </c>
      <c r="C10512" s="6">
        <v>967</v>
      </c>
      <c r="D10512" s="7">
        <v>20.39</v>
      </c>
      <c r="E10512" t="s">
        <v>43</v>
      </c>
    </row>
    <row r="10513" spans="1:5" x14ac:dyDescent="0.25">
      <c r="A10513" t="str">
        <f>HYPERLINK("https://www.773grp.com/globalSearch/DM74AS881BNT/page-1", "DM74AS881BNT")</f>
        <v>DM74AS881BNT</v>
      </c>
      <c r="B10513" s="3" t="str">
        <f>HYPERLINK("https://www.773grp.com/manufacturer/national-semiconductor?pageNo=60", "National Semiconductor")</f>
        <v>National Semiconductor</v>
      </c>
      <c r="C10513" s="6">
        <v>26</v>
      </c>
      <c r="D10513" s="7">
        <v>20.39</v>
      </c>
      <c r="E10513" t="s">
        <v>43</v>
      </c>
    </row>
    <row r="10514" spans="1:5" x14ac:dyDescent="0.25">
      <c r="A10514" t="str">
        <f>HYPERLINK("https://www.773grp.com/globalSearch/DM8543N/page-1", "DM8543N")</f>
        <v>DM8543N</v>
      </c>
      <c r="B10514" s="3" t="str">
        <f>HYPERLINK("https://www.773grp.com/manufacturer/national-semiconductor?pageNo=61", "National Semiconductor")</f>
        <v>National Semiconductor</v>
      </c>
      <c r="C10514" s="6">
        <v>1509</v>
      </c>
      <c r="D10514" s="7">
        <v>20.39</v>
      </c>
    </row>
    <row r="10515" spans="1:5" x14ac:dyDescent="0.25">
      <c r="A10515" t="str">
        <f>HYPERLINK("https://www.773grp.com/globalSearch/LM4702CTA-NOPB/page-1", "LM4702CTA-NOPB")</f>
        <v>LM4702CTA-NOPB</v>
      </c>
      <c r="B10515" s="3" t="str">
        <f>HYPERLINK("https://www.773grp.com/manufacturer/national-semiconductor?pageNo=62", "National Semiconductor")</f>
        <v>National Semiconductor</v>
      </c>
      <c r="C10515" s="6">
        <v>3580</v>
      </c>
      <c r="D10515" s="7">
        <v>20.39</v>
      </c>
    </row>
    <row r="10516" spans="1:5" x14ac:dyDescent="0.25">
      <c r="A10516" t="str">
        <f>HYPERLINK("https://www.773grp.com/globalSearch/LM4702CTA-NOPB/page-1", "LM4702CTA-NOPB")</f>
        <v>LM4702CTA-NOPB</v>
      </c>
      <c r="B10516" s="3" t="str">
        <f>HYPERLINK("https://www.773grp.com/manufacturer/national-semiconductor?pageNo=63", "National Semiconductor")</f>
        <v>National Semiconductor</v>
      </c>
      <c r="C10516" s="6">
        <v>261</v>
      </c>
      <c r="D10516" s="7">
        <v>20.39</v>
      </c>
    </row>
    <row r="10517" spans="1:5" x14ac:dyDescent="0.25">
      <c r="A10517" t="str">
        <f>HYPERLINK("https://www.773grp.com/globalSearch/TP11362AV/page-1", "TP11362AV")</f>
        <v>TP11362AV</v>
      </c>
      <c r="B10517" s="3" t="str">
        <f>HYPERLINK("https://www.773grp.com/manufacturer/national-semiconductor?pageNo=64", "National Semiconductor")</f>
        <v>National Semiconductor</v>
      </c>
      <c r="C10517" s="6">
        <v>3</v>
      </c>
      <c r="D10517" s="7">
        <v>20.43</v>
      </c>
      <c r="E10517" t="s">
        <v>66</v>
      </c>
    </row>
    <row r="10518" spans="1:5" x14ac:dyDescent="0.25">
      <c r="A10518" t="str">
        <f>HYPERLINK("https://www.773grp.com/globalSearch/DP83846AVHG/page-1", "DP83846AVHG")</f>
        <v>DP83846AVHG</v>
      </c>
      <c r="B10518" s="3" t="str">
        <f>HYPERLINK("https://www.773grp.com/manufacturer/national-semiconductor?pageNo=65", "National Semiconductor")</f>
        <v>National Semiconductor</v>
      </c>
      <c r="C10518" s="6">
        <v>47</v>
      </c>
      <c r="D10518" s="7">
        <v>20.48</v>
      </c>
      <c r="E10518" t="s">
        <v>55</v>
      </c>
    </row>
    <row r="10519" spans="1:5" x14ac:dyDescent="0.25">
      <c r="A10519" t="str">
        <f>HYPERLINK("https://www.773grp.com/globalSearch/DS55452H-MIL/page-1", "DS55452H-MIL")</f>
        <v>DS55452H-MIL</v>
      </c>
      <c r="B10519" s="3" t="str">
        <f>HYPERLINK("https://www.773grp.com/manufacturer/national-semiconductor?pageNo=66", "National Semiconductor")</f>
        <v>National Semiconductor</v>
      </c>
      <c r="C10519" s="6">
        <v>34</v>
      </c>
      <c r="D10519" s="7">
        <v>20.48</v>
      </c>
    </row>
    <row r="10520" spans="1:5" x14ac:dyDescent="0.25">
      <c r="A10520" t="str">
        <f>HYPERLINK("https://www.773grp.com/globalSearch/93S41PC/page-1", "93S41PC")</f>
        <v>93S41PC</v>
      </c>
      <c r="B10520" s="3" t="str">
        <f>HYPERLINK("https://www.773grp.com/manufacturer/national-semiconductor?pageNo=67", "National Semiconductor")</f>
        <v>National Semiconductor</v>
      </c>
      <c r="C10520" s="6">
        <v>487</v>
      </c>
      <c r="D10520" s="7">
        <v>20.54</v>
      </c>
    </row>
    <row r="10521" spans="1:5" x14ac:dyDescent="0.25">
      <c r="A10521" t="str">
        <f>HYPERLINK("https://www.773grp.com/globalSearch/LM4702BTA-NOPB/page-1", "LM4702BTA-NOPB")</f>
        <v>LM4702BTA-NOPB</v>
      </c>
      <c r="B10521" s="3" t="str">
        <f>HYPERLINK("https://www.773grp.com/manufacturer/national-semiconductor?pageNo=68", "National Semiconductor")</f>
        <v>National Semiconductor</v>
      </c>
      <c r="C10521" s="6">
        <v>112</v>
      </c>
      <c r="D10521" s="7">
        <v>20.54</v>
      </c>
    </row>
    <row r="10522" spans="1:5" x14ac:dyDescent="0.25">
      <c r="A10522" t="str">
        <f>HYPERLINK("https://www.773grp.com/globalSearch/LM4702BTA-NOPB/page-1", "LM4702BTA-NOPB")</f>
        <v>LM4702BTA-NOPB</v>
      </c>
      <c r="B10522" s="3" t="str">
        <f>HYPERLINK("https://www.773grp.com/manufacturer/national-semiconductor?pageNo=69", "National Semiconductor")</f>
        <v>National Semiconductor</v>
      </c>
      <c r="C10522" s="6">
        <v>91</v>
      </c>
      <c r="D10522" s="7">
        <v>20.54</v>
      </c>
    </row>
    <row r="10523" spans="1:5" x14ac:dyDescent="0.25">
      <c r="A10523" t="str">
        <f>HYPERLINK("https://www.773grp.com/globalSearch/TP3420AN308/page-1", "TP3420AN308")</f>
        <v>TP3420AN308</v>
      </c>
      <c r="B10523" s="3" t="str">
        <f>HYPERLINK("https://www.773grp.com/manufacturer/national-semiconductor?pageNo=70", "National Semiconductor")</f>
        <v>National Semiconductor</v>
      </c>
      <c r="C10523" s="6">
        <v>3393</v>
      </c>
      <c r="D10523" s="7">
        <v>20.59</v>
      </c>
      <c r="E10523" t="s">
        <v>80</v>
      </c>
    </row>
    <row r="10524" spans="1:5" x14ac:dyDescent="0.25">
      <c r="A10524" t="str">
        <f>HYPERLINK("https://www.773grp.com/globalSearch/4040BDM/page-1", "4040BDM")</f>
        <v>4040BDM</v>
      </c>
      <c r="B10524" s="3" t="str">
        <f>HYPERLINK("https://www.773grp.com/manufacturer/national-semiconductor?pageNo=71", "National Semiconductor")</f>
        <v>National Semiconductor</v>
      </c>
      <c r="C10524" s="6">
        <v>166</v>
      </c>
      <c r="D10524" s="7">
        <v>20.64</v>
      </c>
    </row>
    <row r="10525" spans="1:5" x14ac:dyDescent="0.25">
      <c r="A10525" t="str">
        <f>HYPERLINK("https://www.773grp.com/globalSearch/DP83815DVNG/page-1", "DP83815DVNG")</f>
        <v>DP83815DVNG</v>
      </c>
      <c r="B10525" s="3" t="str">
        <f>HYPERLINK("https://www.773grp.com/manufacturer/national-semiconductor?pageNo=72", "National Semiconductor")</f>
        <v>National Semiconductor</v>
      </c>
      <c r="C10525" s="6">
        <v>2</v>
      </c>
      <c r="D10525" s="7">
        <v>20.64</v>
      </c>
      <c r="E10525" t="s">
        <v>71</v>
      </c>
    </row>
    <row r="10526" spans="1:5" x14ac:dyDescent="0.25">
      <c r="A10526" t="str">
        <f>HYPERLINK("https://www.773grp.com/globalSearch/DP83815DVNG/page-1", "DP83815DVNG")</f>
        <v>DP83815DVNG</v>
      </c>
      <c r="B10526" s="3" t="str">
        <f>HYPERLINK("https://www.773grp.com/manufacturer/national-semiconductor?pageNo=73", "National Semiconductor")</f>
        <v>National Semiconductor</v>
      </c>
      <c r="C10526" s="6">
        <v>229</v>
      </c>
      <c r="D10526" s="7">
        <v>20.64</v>
      </c>
      <c r="E10526" t="s">
        <v>71</v>
      </c>
    </row>
    <row r="10527" spans="1:5" x14ac:dyDescent="0.25">
      <c r="A10527" t="str">
        <f>HYPERLINK("https://www.773grp.com/globalSearch/DS90C387VJD/page-1", "DS90C387VJD")</f>
        <v>DS90C387VJD</v>
      </c>
      <c r="B10527" s="3" t="str">
        <f>HYPERLINK("https://www.773grp.com/manufacturer/national-semiconductor?pageNo=74", "National Semiconductor")</f>
        <v>National Semiconductor</v>
      </c>
      <c r="C10527" s="6">
        <v>735</v>
      </c>
      <c r="D10527" s="7">
        <v>20.68</v>
      </c>
      <c r="E10527" t="s">
        <v>21</v>
      </c>
    </row>
    <row r="10528" spans="1:5" x14ac:dyDescent="0.25">
      <c r="A10528" t="str">
        <f>HYPERLINK("https://www.773grp.com/globalSearch/DS92LV1212TMSA-NOPB/page-1", "DS92LV1212TMSA-NOPB")</f>
        <v>DS92LV1212TMSA-NOPB</v>
      </c>
      <c r="B10528" s="3" t="str">
        <f>HYPERLINK("https://www.773grp.com/manufacturer/national-semiconductor?pageNo=75", "National Semiconductor")</f>
        <v>National Semiconductor</v>
      </c>
      <c r="C10528" s="6">
        <v>7</v>
      </c>
      <c r="D10528" s="7">
        <v>20.68</v>
      </c>
      <c r="E10528" t="s">
        <v>21</v>
      </c>
    </row>
    <row r="10529" spans="1:5" x14ac:dyDescent="0.25">
      <c r="A10529" t="str">
        <f>HYPERLINK("https://www.773grp.com/globalSearch/JD54LS241BRA/page-1", "JD54LS241BRA")</f>
        <v>JD54LS241BRA</v>
      </c>
      <c r="B10529" s="3" t="str">
        <f>HYPERLINK("https://www.773grp.com/manufacturer/national-semiconductor?pageNo=76", "National Semiconductor")</f>
        <v>National Semiconductor</v>
      </c>
      <c r="C10529" s="6">
        <v>824</v>
      </c>
      <c r="D10529" s="7">
        <v>20.68</v>
      </c>
    </row>
    <row r="10530" spans="1:5" x14ac:dyDescent="0.25">
      <c r="A10530" t="str">
        <f>HYPERLINK("https://www.773grp.com/globalSearch/DS90C387VJD/page-1", "DS90C387VJD")</f>
        <v>DS90C387VJD</v>
      </c>
      <c r="B10530" s="3" t="str">
        <f>HYPERLINK("https://www.773grp.com/manufacturer/national-semiconductor?pageNo=77", "National Semiconductor")</f>
        <v>National Semiconductor</v>
      </c>
      <c r="C10530" s="6">
        <v>45</v>
      </c>
      <c r="D10530" s="7">
        <v>20.68</v>
      </c>
      <c r="E10530" t="s">
        <v>21</v>
      </c>
    </row>
    <row r="10531" spans="1:5" x14ac:dyDescent="0.25">
      <c r="A10531" t="str">
        <f>HYPERLINK("https://www.773grp.com/globalSearch/DS92LV1021TMSAX-NOPB/page-1", "DS92LV1021TMSAX-NOPB")</f>
        <v>DS92LV1021TMSAX-NOPB</v>
      </c>
      <c r="B10531" s="3" t="str">
        <f>HYPERLINK("https://www.773grp.com/manufacturer/national-semiconductor?pageNo=78", "National Semiconductor")</f>
        <v>National Semiconductor</v>
      </c>
      <c r="C10531" s="6">
        <v>12000</v>
      </c>
      <c r="D10531" s="7">
        <v>20.68</v>
      </c>
    </row>
    <row r="10532" spans="1:5" x14ac:dyDescent="0.25">
      <c r="A10532" t="str">
        <f>HYPERLINK("https://www.773grp.com/globalSearch/DS92LV1212TMSA-NOPB/page-1", "DS92LV1212TMSA-NOPB")</f>
        <v>DS92LV1212TMSA-NOPB</v>
      </c>
      <c r="B10532" s="3" t="str">
        <f>HYPERLINK("https://www.773grp.com/manufacturer/national-semiconductor?pageNo=79", "National Semiconductor")</f>
        <v>National Semiconductor</v>
      </c>
      <c r="C10532" s="6">
        <v>3567</v>
      </c>
      <c r="D10532" s="7">
        <v>20.68</v>
      </c>
      <c r="E10532" t="s">
        <v>21</v>
      </c>
    </row>
    <row r="10533" spans="1:5" x14ac:dyDescent="0.25">
      <c r="A10533" t="str">
        <f>HYPERLINK("https://www.773grp.com/globalSearch/DS90UH925QSQE-NOPB/page-1", "DS90UH925QSQE-NOPB")</f>
        <v>DS90UH925QSQE-NOPB</v>
      </c>
      <c r="B10533" s="3" t="str">
        <f>HYPERLINK("https://www.773grp.com/manufacturer/national-semiconductor?pageNo=80", "National Semiconductor")</f>
        <v>National Semiconductor</v>
      </c>
      <c r="C10533" s="6">
        <v>128</v>
      </c>
      <c r="D10533" s="7">
        <v>20.7</v>
      </c>
    </row>
    <row r="10534" spans="1:5" x14ac:dyDescent="0.25">
      <c r="A10534" t="str">
        <f>HYPERLINK("https://www.773grp.com/globalSearch/54F399FMQB/page-1", "54F399FMQB")</f>
        <v>54F399FMQB</v>
      </c>
      <c r="B10534" s="3" t="str">
        <f>HYPERLINK("https://www.773grp.com/manufacturer/national-semiconductor?pageNo=81", "National Semiconductor")</f>
        <v>National Semiconductor</v>
      </c>
      <c r="C10534" s="6">
        <v>5891</v>
      </c>
      <c r="D10534" s="7">
        <v>20.81</v>
      </c>
      <c r="E10534" t="s">
        <v>35</v>
      </c>
    </row>
    <row r="10535" spans="1:5" x14ac:dyDescent="0.25">
      <c r="A10535" t="str">
        <f>HYPERLINK("https://www.773grp.com/globalSearch/DP8458V-25/page-1", "DP8458V-25")</f>
        <v>DP8458V-25</v>
      </c>
      <c r="B10535" s="3" t="str">
        <f>HYPERLINK("https://www.773grp.com/manufacturer/national-semiconductor?pageNo=82", "National Semiconductor")</f>
        <v>National Semiconductor</v>
      </c>
      <c r="C10535" s="6">
        <v>560</v>
      </c>
      <c r="D10535" s="7">
        <v>20.81</v>
      </c>
    </row>
    <row r="10536" spans="1:5" x14ac:dyDescent="0.25">
      <c r="A10536" t="str">
        <f>HYPERLINK("https://www.773grp.com/globalSearch/54H40DM/page-1", "54H40DM")</f>
        <v>54H40DM</v>
      </c>
      <c r="B10536" s="3" t="str">
        <f>HYPERLINK("https://www.773grp.com/manufacturer/national-semiconductor?pageNo=83", "National Semiconductor")</f>
        <v>National Semiconductor</v>
      </c>
      <c r="C10536" s="6">
        <v>245</v>
      </c>
      <c r="D10536" s="7">
        <v>20.84</v>
      </c>
    </row>
    <row r="10537" spans="1:5" x14ac:dyDescent="0.25">
      <c r="A10537" t="str">
        <f>HYPERLINK("https://www.773grp.com/globalSearch/LM235AH/page-1", "LM235AH")</f>
        <v>LM235AH</v>
      </c>
      <c r="B10537" s="3" t="str">
        <f>HYPERLINK("https://www.773grp.com/manufacturer/national-semiconductor?pageNo=84", "National Semiconductor")</f>
        <v>National Semiconductor</v>
      </c>
      <c r="C10537" s="6">
        <v>1549</v>
      </c>
      <c r="D10537" s="7">
        <v>20.84</v>
      </c>
      <c r="E10537" t="s">
        <v>8</v>
      </c>
    </row>
    <row r="10538" spans="1:5" x14ac:dyDescent="0.25">
      <c r="A10538" t="str">
        <f>HYPERLINK("https://www.773grp.com/globalSearch/LM235AH-NOPB/page-1", "LM235AH-NOPB")</f>
        <v>LM235AH-NOPB</v>
      </c>
      <c r="B10538" s="3" t="str">
        <f>HYPERLINK("https://www.773grp.com/manufacturer/national-semiconductor?pageNo=85", "National Semiconductor")</f>
        <v>National Semiconductor</v>
      </c>
      <c r="C10538" s="6">
        <v>144</v>
      </c>
      <c r="D10538" s="7">
        <v>20.84</v>
      </c>
      <c r="E10538" t="s">
        <v>8</v>
      </c>
    </row>
    <row r="10539" spans="1:5" x14ac:dyDescent="0.25">
      <c r="A10539" t="str">
        <f>HYPERLINK("https://www.773grp.com/globalSearch/LM235AH/page-1", "LM235AH")</f>
        <v>LM235AH</v>
      </c>
      <c r="B10539" s="3" t="str">
        <f>HYPERLINK("https://www.773grp.com/manufacturer/national-semiconductor?pageNo=86", "National Semiconductor")</f>
        <v>National Semiconductor</v>
      </c>
      <c r="C10539" s="6">
        <v>1215</v>
      </c>
      <c r="D10539" s="7">
        <v>20.84</v>
      </c>
      <c r="E10539" t="s">
        <v>8</v>
      </c>
    </row>
    <row r="10540" spans="1:5" x14ac:dyDescent="0.25">
      <c r="A10540" t="str">
        <f>HYPERLINK("https://www.773grp.com/globalSearch/54F241FMQB/page-1", "54F241FMQB")</f>
        <v>54F241FMQB</v>
      </c>
      <c r="B10540" s="3" t="str">
        <f>HYPERLINK("https://www.773grp.com/manufacturer/national-semiconductor?pageNo=87", "National Semiconductor")</f>
        <v>National Semiconductor</v>
      </c>
      <c r="C10540" s="6">
        <v>1506</v>
      </c>
      <c r="D10540" s="7">
        <v>20.93</v>
      </c>
      <c r="E10540" t="s">
        <v>14</v>
      </c>
    </row>
    <row r="10541" spans="1:5" x14ac:dyDescent="0.25">
      <c r="A10541" t="str">
        <f>HYPERLINK("https://www.773grp.com/globalSearch/PC87591S-VPCI00/page-1", "PC87591S-VPCI00")</f>
        <v>PC87591S-VPCI00</v>
      </c>
      <c r="B10541" s="3" t="str">
        <f>HYPERLINK("https://www.773grp.com/manufacturer/national-semiconductor?pageNo=88", "National Semiconductor")</f>
        <v>National Semiconductor</v>
      </c>
      <c r="C10541" s="6">
        <v>111</v>
      </c>
      <c r="D10541" s="7">
        <v>20.93</v>
      </c>
    </row>
    <row r="10542" spans="1:5" x14ac:dyDescent="0.25">
      <c r="A10542" t="str">
        <f>HYPERLINK("https://www.773grp.com/globalSearch/UC2841DW/page-1", "UC2841DW")</f>
        <v>UC2841DW</v>
      </c>
      <c r="B10542" s="3" t="str">
        <f>HYPERLINK("https://www.773grp.com/manufacturer/national-semiconductor?pageNo=89", "National Semiconductor")</f>
        <v>National Semiconductor</v>
      </c>
      <c r="C10542" s="6">
        <v>110</v>
      </c>
      <c r="D10542" s="7">
        <v>20.96</v>
      </c>
    </row>
    <row r="10543" spans="1:5" x14ac:dyDescent="0.25">
      <c r="A10543" t="str">
        <f>HYPERLINK("https://www.773grp.com/globalSearch/LMX2541SQE2060E-NOPB/page-1", "LMX2541SQE2060E-NOPB")</f>
        <v>LMX2541SQE2060E-NOPB</v>
      </c>
      <c r="B10543" s="3" t="str">
        <f>HYPERLINK("https://www.773grp.com/manufacturer/national-semiconductor?pageNo=90", "National Semiconductor")</f>
        <v>National Semiconductor</v>
      </c>
      <c r="C10543" s="6">
        <v>2000</v>
      </c>
      <c r="D10543" s="7">
        <v>21.04</v>
      </c>
    </row>
    <row r="10544" spans="1:5" x14ac:dyDescent="0.25">
      <c r="A10544" t="str">
        <f>HYPERLINK("https://www.773grp.com/globalSearch/LMX2541SQE2380E-NOPB/page-1", "LMX2541SQE2380E-NOPB")</f>
        <v>LMX2541SQE2380E-NOPB</v>
      </c>
      <c r="B10544" s="3" t="str">
        <f>HYPERLINK("https://www.773grp.com/manufacturer/national-semiconductor?pageNo=91", "National Semiconductor")</f>
        <v>National Semiconductor</v>
      </c>
      <c r="C10544" s="6">
        <v>250</v>
      </c>
      <c r="D10544" s="7">
        <v>21.04</v>
      </c>
    </row>
    <row r="10545" spans="1:5" x14ac:dyDescent="0.25">
      <c r="A10545" t="str">
        <f>HYPERLINK("https://www.773grp.com/globalSearch/LMX2541SQE2690E-NOPB/page-1", "LMX2541SQE2690E-NOPB")</f>
        <v>LMX2541SQE2690E-NOPB</v>
      </c>
      <c r="B10545" s="3" t="str">
        <f>HYPERLINK("https://www.773grp.com/manufacturer/national-semiconductor?pageNo=92", "National Semiconductor")</f>
        <v>National Semiconductor</v>
      </c>
      <c r="C10545" s="6">
        <v>485</v>
      </c>
      <c r="D10545" s="7">
        <v>21.04</v>
      </c>
    </row>
    <row r="10546" spans="1:5" x14ac:dyDescent="0.25">
      <c r="A10546" t="str">
        <f>HYPERLINK("https://www.773grp.com/globalSearch/LMX2541SQE3030E-NOPB/page-1", "LMX2541SQE3030E-NOPB")</f>
        <v>LMX2541SQE3030E-NOPB</v>
      </c>
      <c r="B10546" s="3" t="str">
        <f>HYPERLINK("https://www.773grp.com/manufacturer/national-semiconductor?pageNo=93", "National Semiconductor")</f>
        <v>National Semiconductor</v>
      </c>
      <c r="C10546" s="6">
        <v>500</v>
      </c>
      <c r="D10546" s="7">
        <v>21.04</v>
      </c>
    </row>
    <row r="10547" spans="1:5" x14ac:dyDescent="0.25">
      <c r="A10547" t="str">
        <f>HYPERLINK("https://www.773grp.com/globalSearch/LMX2541SQE3320E-NOPB/page-1", "LMX2541SQE3320E-NOPB")</f>
        <v>LMX2541SQE3320E-NOPB</v>
      </c>
      <c r="B10547" s="3" t="str">
        <f>HYPERLINK("https://www.773grp.com/manufacturer/national-semiconductor?pageNo=94", "National Semiconductor")</f>
        <v>National Semiconductor</v>
      </c>
      <c r="C10547" s="6">
        <v>1000</v>
      </c>
      <c r="D10547" s="7">
        <v>21.04</v>
      </c>
    </row>
    <row r="10548" spans="1:5" x14ac:dyDescent="0.25">
      <c r="A10548" t="str">
        <f>HYPERLINK("https://www.773grp.com/globalSearch/LMX2541SQE3740E-NOPB/page-1", "LMX2541SQE3740E-NOPB")</f>
        <v>LMX2541SQE3740E-NOPB</v>
      </c>
      <c r="B10548" s="3" t="str">
        <f>HYPERLINK("https://www.773grp.com/manufacturer/national-semiconductor?pageNo=95", "National Semiconductor")</f>
        <v>National Semiconductor</v>
      </c>
      <c r="C10548" s="6">
        <v>1250</v>
      </c>
      <c r="D10548" s="7">
        <v>21.04</v>
      </c>
    </row>
    <row r="10549" spans="1:5" x14ac:dyDescent="0.25">
      <c r="A10549" t="str">
        <f>HYPERLINK("https://www.773grp.com/globalSearch/LMX2541SQE2060E-NOPB/page-1", "LMX2541SQE2060E-NOPB")</f>
        <v>LMX2541SQE2060E-NOPB</v>
      </c>
      <c r="B10549" s="3" t="str">
        <f>HYPERLINK("https://www.773grp.com/manufacturer/national-semiconductor?pageNo=96", "National Semiconductor")</f>
        <v>National Semiconductor</v>
      </c>
      <c r="C10549" s="6">
        <v>3000</v>
      </c>
      <c r="D10549" s="7">
        <v>21.04</v>
      </c>
    </row>
    <row r="10550" spans="1:5" x14ac:dyDescent="0.25">
      <c r="A10550" t="str">
        <f>HYPERLINK("https://www.773grp.com/globalSearch/LMX2541SQE2380E-NOPB/page-1", "LMX2541SQE2380E-NOPB")</f>
        <v>LMX2541SQE2380E-NOPB</v>
      </c>
      <c r="B10550" s="3" t="str">
        <f>HYPERLINK("https://www.773grp.com/manufacturer/national-semiconductor?pageNo=97", "National Semiconductor")</f>
        <v>National Semiconductor</v>
      </c>
      <c r="C10550" s="6">
        <v>2000</v>
      </c>
      <c r="D10550" s="7">
        <v>21.04</v>
      </c>
    </row>
    <row r="10551" spans="1:5" x14ac:dyDescent="0.25">
      <c r="A10551" t="str">
        <f>HYPERLINK("https://www.773grp.com/globalSearch/LMX2541SQE2690E-NOPB/page-1", "LMX2541SQE2690E-NOPB")</f>
        <v>LMX2541SQE2690E-NOPB</v>
      </c>
      <c r="B10551" s="3" t="str">
        <f>HYPERLINK("https://www.773grp.com/manufacturer/national-semiconductor?pageNo=98", "National Semiconductor")</f>
        <v>National Semiconductor</v>
      </c>
      <c r="C10551" s="6">
        <v>250</v>
      </c>
      <c r="D10551" s="7">
        <v>21.04</v>
      </c>
    </row>
    <row r="10552" spans="1:5" x14ac:dyDescent="0.25">
      <c r="A10552" t="str">
        <f>HYPERLINK("https://www.773grp.com/globalSearch/LMX2541SQE3030E-NOPB/page-1", "LMX2541SQE3030E-NOPB")</f>
        <v>LMX2541SQE3030E-NOPB</v>
      </c>
      <c r="B10552" s="3" t="str">
        <f>HYPERLINK("https://www.773grp.com/manufacturer/national-semiconductor?pageNo=99", "National Semiconductor")</f>
        <v>National Semiconductor</v>
      </c>
      <c r="C10552" s="6">
        <v>250</v>
      </c>
      <c r="D10552" s="7">
        <v>21.04</v>
      </c>
    </row>
    <row r="10553" spans="1:5" x14ac:dyDescent="0.25">
      <c r="A10553" t="str">
        <f>HYPERLINK("https://www.773grp.com/globalSearch/LMX2541SQE3320E-NOPB/page-1", "LMX2541SQE3320E-NOPB")</f>
        <v>LMX2541SQE3320E-NOPB</v>
      </c>
      <c r="B10553" s="3" t="str">
        <f>HYPERLINK("https://www.773grp.com/manufacturer/national-semiconductor?pageNo=100", "National Semiconductor")</f>
        <v>National Semiconductor</v>
      </c>
      <c r="C10553" s="6">
        <v>1500</v>
      </c>
      <c r="D10553" s="7">
        <v>21.04</v>
      </c>
    </row>
    <row r="10554" spans="1:5" x14ac:dyDescent="0.25">
      <c r="A10554" t="str">
        <f>HYPERLINK("https://www.773grp.com/globalSearch/LMX2541SQE3740E-NOPB/page-1", "LMX2541SQE3740E-NOPB")</f>
        <v>LMX2541SQE3740E-NOPB</v>
      </c>
      <c r="B10554" s="3" t="str">
        <f>HYPERLINK("https://www.773grp.com/manufacturer/national-semiconductor?pageNo=101", "National Semiconductor")</f>
        <v>National Semiconductor</v>
      </c>
      <c r="C10554" s="6">
        <v>670</v>
      </c>
      <c r="D10554" s="7">
        <v>21.04</v>
      </c>
    </row>
    <row r="10555" spans="1:5" x14ac:dyDescent="0.25">
      <c r="A10555" t="str">
        <f>HYPERLINK("https://www.773grp.com/globalSearch/LMX2541SQE3740E-NOPB/page-1", "LMX2541SQE3740E-NOPB")</f>
        <v>LMX2541SQE3740E-NOPB</v>
      </c>
      <c r="B10555" s="3" t="str">
        <f>HYPERLINK("https://www.773grp.com/manufacturer/national-semiconductor?pageNo=102", "National Semiconductor")</f>
        <v>National Semiconductor</v>
      </c>
      <c r="C10555" s="6">
        <v>750</v>
      </c>
      <c r="D10555" s="7">
        <v>21.04</v>
      </c>
    </row>
    <row r="10556" spans="1:5" x14ac:dyDescent="0.25">
      <c r="A10556" t="str">
        <f>HYPERLINK("https://www.773grp.com/globalSearch/100131FC/page-1", "100131FC")</f>
        <v>100131FC</v>
      </c>
      <c r="B10556" s="3" t="str">
        <f>HYPERLINK("https://www.773grp.com/manufacturer/national-semiconductor?pageNo=103", "National Semiconductor")</f>
        <v>National Semiconductor</v>
      </c>
      <c r="C10556" s="6">
        <v>1</v>
      </c>
      <c r="D10556" s="7">
        <v>21.1</v>
      </c>
      <c r="E10556" t="s">
        <v>35</v>
      </c>
    </row>
    <row r="10557" spans="1:5" x14ac:dyDescent="0.25">
      <c r="A10557" t="str">
        <f>HYPERLINK("https://www.773grp.com/globalSearch/100131FCQL/page-1", "100131FCQL")</f>
        <v>100131FCQL</v>
      </c>
      <c r="B10557" s="3" t="str">
        <f>HYPERLINK("https://www.773grp.com/manufacturer/national-semiconductor?pageNo=104", "National Semiconductor")</f>
        <v>National Semiconductor</v>
      </c>
      <c r="C10557" s="6">
        <v>1081</v>
      </c>
      <c r="D10557" s="7">
        <v>21.1</v>
      </c>
    </row>
    <row r="10558" spans="1:5" x14ac:dyDescent="0.25">
      <c r="A10558" t="str">
        <f>HYPERLINK("https://www.773grp.com/globalSearch/100131FCQR/page-1", "100131FCQR")</f>
        <v>100131FCQR</v>
      </c>
      <c r="B10558" s="3" t="str">
        <f>HYPERLINK("https://www.773grp.com/manufacturer/national-semiconductor?pageNo=105", "National Semiconductor")</f>
        <v>National Semiconductor</v>
      </c>
      <c r="C10558" s="6">
        <v>90</v>
      </c>
      <c r="D10558" s="7">
        <v>21.1</v>
      </c>
      <c r="E10558" t="s">
        <v>35</v>
      </c>
    </row>
    <row r="10559" spans="1:5" x14ac:dyDescent="0.25">
      <c r="A10559" t="str">
        <f>HYPERLINK("https://www.773grp.com/globalSearch/54F169DM/page-1", "54F169DM")</f>
        <v>54F169DM</v>
      </c>
      <c r="B10559" s="3" t="str">
        <f>HYPERLINK("https://www.773grp.com/manufacturer/national-semiconductor?pageNo=106", "National Semiconductor")</f>
        <v>National Semiconductor</v>
      </c>
      <c r="C10559" s="6">
        <v>210</v>
      </c>
      <c r="D10559" s="7">
        <v>21.1</v>
      </c>
      <c r="E10559" t="s">
        <v>26</v>
      </c>
    </row>
    <row r="10560" spans="1:5" x14ac:dyDescent="0.25">
      <c r="A10560" t="str">
        <f>HYPERLINK("https://www.773grp.com/globalSearch/TP3420AV308/page-1", "TP3420AV308")</f>
        <v>TP3420AV308</v>
      </c>
      <c r="B10560" s="3" t="str">
        <f>HYPERLINK("https://www.773grp.com/manufacturer/national-semiconductor?pageNo=107", "National Semiconductor")</f>
        <v>National Semiconductor</v>
      </c>
      <c r="C10560" s="6">
        <v>110</v>
      </c>
      <c r="D10560" s="7">
        <v>21.1</v>
      </c>
      <c r="E10560" t="s">
        <v>80</v>
      </c>
    </row>
    <row r="10561" spans="1:5" x14ac:dyDescent="0.25">
      <c r="A10561" t="str">
        <f>HYPERLINK("https://www.773grp.com/globalSearch/LM9833CCVJD-NOPB/page-1", "LM9833CCVJD-NOPB")</f>
        <v>LM9833CCVJD-NOPB</v>
      </c>
      <c r="B10561" s="3" t="str">
        <f>HYPERLINK("https://www.773grp.com/manufacturer/national-semiconductor?pageNo=108", "National Semiconductor")</f>
        <v>National Semiconductor</v>
      </c>
      <c r="C10561" s="6">
        <v>2711</v>
      </c>
      <c r="D10561" s="7">
        <v>21.1</v>
      </c>
    </row>
    <row r="10562" spans="1:5" x14ac:dyDescent="0.25">
      <c r="A10562" t="str">
        <f>HYPERLINK("https://www.773grp.com/globalSearch/54S64LM/page-1", "54S64LM")</f>
        <v>54S64LM</v>
      </c>
      <c r="B10562" s="3" t="str">
        <f>HYPERLINK("https://www.773grp.com/manufacturer/national-semiconductor?pageNo=109", "National Semiconductor")</f>
        <v>National Semiconductor</v>
      </c>
      <c r="C10562" s="6">
        <v>122</v>
      </c>
      <c r="D10562" s="7">
        <v>21.15</v>
      </c>
    </row>
    <row r="10563" spans="1:5" x14ac:dyDescent="0.25">
      <c r="A10563" t="str">
        <f>HYPERLINK("https://www.773grp.com/globalSearch/54LS670FMQB/page-1", "54LS670FMQB")</f>
        <v>54LS670FMQB</v>
      </c>
      <c r="B10563" s="3" t="str">
        <f>HYPERLINK("https://www.773grp.com/manufacturer/national-semiconductor?pageNo=110", "National Semiconductor")</f>
        <v>National Semiconductor</v>
      </c>
      <c r="C10563" s="6">
        <v>26</v>
      </c>
      <c r="D10563" s="7">
        <v>21.23</v>
      </c>
      <c r="E10563" t="s">
        <v>75</v>
      </c>
    </row>
    <row r="10564" spans="1:5" x14ac:dyDescent="0.25">
      <c r="A10564" t="str">
        <f>HYPERLINK("https://www.773grp.com/globalSearch/LM139J/page-1", "LM139J")</f>
        <v>LM139J</v>
      </c>
      <c r="B10564" s="3" t="str">
        <f>HYPERLINK("https://www.773grp.com/manufacturer/national-semiconductor?pageNo=111", "National Semiconductor")</f>
        <v>National Semiconductor</v>
      </c>
      <c r="C10564" s="6">
        <v>890</v>
      </c>
      <c r="D10564" s="7">
        <v>21.23</v>
      </c>
      <c r="E10564" t="s">
        <v>9</v>
      </c>
    </row>
    <row r="10565" spans="1:5" x14ac:dyDescent="0.25">
      <c r="A10565" t="str">
        <f>HYPERLINK("https://www.773grp.com/globalSearch/MM54HC161W-883/page-1", "MM54HC161W-883")</f>
        <v>MM54HC161W-883</v>
      </c>
      <c r="B10565" s="3" t="str">
        <f>HYPERLINK("https://www.773grp.com/manufacturer/national-semiconductor?pageNo=112", "National Semiconductor")</f>
        <v>National Semiconductor</v>
      </c>
      <c r="C10565" s="6">
        <v>110</v>
      </c>
      <c r="D10565" s="7">
        <v>21.23</v>
      </c>
    </row>
    <row r="10566" spans="1:5" x14ac:dyDescent="0.25">
      <c r="A10566" t="str">
        <f>HYPERLINK("https://www.773grp.com/globalSearch/DS90CR288MTD/page-1", "DS90CR288MTD")</f>
        <v>DS90CR288MTD</v>
      </c>
      <c r="B10566" s="3" t="str">
        <f>HYPERLINK("https://www.773grp.com/manufacturer/national-semiconductor?pageNo=113", "National Semiconductor")</f>
        <v>National Semiconductor</v>
      </c>
      <c r="C10566" s="6">
        <v>94</v>
      </c>
      <c r="D10566" s="7">
        <v>21.26</v>
      </c>
      <c r="E10566" t="s">
        <v>21</v>
      </c>
    </row>
    <row r="10567" spans="1:5" x14ac:dyDescent="0.25">
      <c r="A10567" t="str">
        <f>HYPERLINK("https://www.773grp.com/globalSearch/DS90CR288MTDX/page-1", "DS90CR288MTDX")</f>
        <v>DS90CR288MTDX</v>
      </c>
      <c r="B10567" s="3" t="str">
        <f>HYPERLINK("https://www.773grp.com/manufacturer/national-semiconductor?pageNo=114", "National Semiconductor")</f>
        <v>National Semiconductor</v>
      </c>
      <c r="C10567" s="6">
        <v>5000</v>
      </c>
      <c r="D10567" s="7">
        <v>21.26</v>
      </c>
      <c r="E10567" t="s">
        <v>21</v>
      </c>
    </row>
    <row r="10568" spans="1:5" x14ac:dyDescent="0.25">
      <c r="A10568" t="str">
        <f>HYPERLINK("https://www.773grp.com/globalSearch/54F251ALMQB/page-1", "54F251ALMQB")</f>
        <v>54F251ALMQB</v>
      </c>
      <c r="B10568" s="3" t="str">
        <f>HYPERLINK("https://www.773grp.com/manufacturer/national-semiconductor?pageNo=115", "National Semiconductor")</f>
        <v>National Semiconductor</v>
      </c>
      <c r="C10568" s="6">
        <v>3</v>
      </c>
      <c r="D10568" s="7">
        <v>21.3</v>
      </c>
      <c r="E10568" t="s">
        <v>20</v>
      </c>
    </row>
    <row r="10569" spans="1:5" x14ac:dyDescent="0.25">
      <c r="A10569" t="str">
        <f>HYPERLINK("https://www.773grp.com/globalSearch/54F280FMQB/page-1", "54F280FMQB")</f>
        <v>54F280FMQB</v>
      </c>
      <c r="B10569" s="3" t="str">
        <f>HYPERLINK("https://www.773grp.com/manufacturer/national-semiconductor?pageNo=116", "National Semiconductor")</f>
        <v>National Semiconductor</v>
      </c>
      <c r="C10569" s="6">
        <v>760</v>
      </c>
      <c r="D10569" s="7">
        <v>21.3</v>
      </c>
      <c r="E10569" t="s">
        <v>43</v>
      </c>
    </row>
    <row r="10570" spans="1:5" x14ac:dyDescent="0.25">
      <c r="A10570" t="str">
        <f>HYPERLINK("https://www.773grp.com/globalSearch/54F192DM/page-1", "54F192DM")</f>
        <v>54F192DM</v>
      </c>
      <c r="B10570" s="3" t="str">
        <f>HYPERLINK("https://www.773grp.com/manufacturer/national-semiconductor?pageNo=117", "National Semiconductor")</f>
        <v>National Semiconductor</v>
      </c>
      <c r="C10570" s="6">
        <v>168</v>
      </c>
      <c r="D10570" s="7">
        <v>21.38</v>
      </c>
      <c r="E10570" t="s">
        <v>26</v>
      </c>
    </row>
    <row r="10571" spans="1:5" x14ac:dyDescent="0.25">
      <c r="A10571" t="str">
        <f>HYPERLINK("https://www.773grp.com/globalSearch/54LS283LMQB/page-1", "54LS283LMQB")</f>
        <v>54LS283LMQB</v>
      </c>
      <c r="B10571" s="3" t="str">
        <f>HYPERLINK("https://www.773grp.com/manufacturer/national-semiconductor?pageNo=118", "National Semiconductor")</f>
        <v>National Semiconductor</v>
      </c>
      <c r="C10571" s="6">
        <v>766</v>
      </c>
      <c r="D10571" s="7">
        <v>21.38</v>
      </c>
      <c r="E10571" t="s">
        <v>43</v>
      </c>
    </row>
    <row r="10572" spans="1:5" x14ac:dyDescent="0.25">
      <c r="A10572" t="str">
        <f>HYPERLINK("https://www.773grp.com/globalSearch/DM7132W-883/page-1", "DM7132W-883")</f>
        <v>DM7132W-883</v>
      </c>
      <c r="B10572" s="3" t="str">
        <f>HYPERLINK("https://www.773grp.com/manufacturer/national-semiconductor?pageNo=119", "National Semiconductor")</f>
        <v>National Semiconductor</v>
      </c>
      <c r="C10572" s="6">
        <v>1</v>
      </c>
      <c r="D10572" s="7">
        <v>21.38</v>
      </c>
    </row>
    <row r="10573" spans="1:5" x14ac:dyDescent="0.25">
      <c r="A10573" t="str">
        <f>HYPERLINK("https://www.773grp.com/globalSearch/DM7580W-MIL/page-1", "DM7580W-MIL")</f>
        <v>DM7580W-MIL</v>
      </c>
      <c r="B10573" s="3" t="str">
        <f>HYPERLINK("https://www.773grp.com/manufacturer/national-semiconductor?pageNo=120", "National Semiconductor")</f>
        <v>National Semiconductor</v>
      </c>
      <c r="C10573" s="6">
        <v>14</v>
      </c>
      <c r="D10573" s="7">
        <v>21.38</v>
      </c>
    </row>
    <row r="10574" spans="1:5" x14ac:dyDescent="0.25">
      <c r="A10574" t="str">
        <f>HYPERLINK("https://www.773grp.com/globalSearch/JD54LS74B2A/page-1", "JD54LS74B2A")</f>
        <v>JD54LS74B2A</v>
      </c>
      <c r="B10574" s="3" t="str">
        <f>HYPERLINK("https://www.773grp.com/manufacturer/national-semiconductor?pageNo=121", "National Semiconductor")</f>
        <v>National Semiconductor</v>
      </c>
      <c r="C10574" s="6">
        <v>320</v>
      </c>
      <c r="D10574" s="7">
        <v>21.38</v>
      </c>
    </row>
    <row r="10575" spans="1:5" x14ac:dyDescent="0.25">
      <c r="A10575" t="str">
        <f>HYPERLINK("https://www.773grp.com/globalSearch/TVP6000CPFP/page-1", "TVP6000CPFP")</f>
        <v>TVP6000CPFP</v>
      </c>
      <c r="B10575" s="3" t="str">
        <f>HYPERLINK("https://www.773grp.com/manufacturer/national-semiconductor?pageNo=122", "National Semiconductor")</f>
        <v>National Semiconductor</v>
      </c>
      <c r="C10575" s="6">
        <v>672</v>
      </c>
      <c r="D10575" s="7">
        <v>21.38</v>
      </c>
    </row>
    <row r="10576" spans="1:5" x14ac:dyDescent="0.25">
      <c r="A10576" t="str">
        <f>HYPERLINK("https://www.773grp.com/globalSearch/ADC0848BCV/page-1", "ADC0848BCV")</f>
        <v>ADC0848BCV</v>
      </c>
      <c r="B10576" s="3" t="str">
        <f>HYPERLINK("https://www.773grp.com/manufacturer/national-semiconductor?pageNo=123", "National Semiconductor")</f>
        <v>National Semiconductor</v>
      </c>
      <c r="C10576" s="6">
        <v>50</v>
      </c>
      <c r="D10576" s="7">
        <v>21.4</v>
      </c>
      <c r="E10576" t="s">
        <v>39</v>
      </c>
    </row>
    <row r="10577" spans="1:5" x14ac:dyDescent="0.25">
      <c r="A10577" t="str">
        <f>HYPERLINK("https://www.773grp.com/globalSearch/ADC0848BCV/page-1", "ADC0848BCV")</f>
        <v>ADC0848BCV</v>
      </c>
      <c r="B10577" s="3" t="str">
        <f>HYPERLINK("https://www.773grp.com/manufacturer/national-semiconductor?pageNo=124", "National Semiconductor")</f>
        <v>National Semiconductor</v>
      </c>
      <c r="C10577" s="6">
        <v>490</v>
      </c>
      <c r="D10577" s="7">
        <v>21.4</v>
      </c>
      <c r="E10577" t="s">
        <v>39</v>
      </c>
    </row>
    <row r="10578" spans="1:5" x14ac:dyDescent="0.25">
      <c r="A10578" t="str">
        <f>HYPERLINK("https://www.773grp.com/globalSearch/LMH0202MT-NOPB/page-1", "LMH0202MT-NOPB")</f>
        <v>LMH0202MT-NOPB</v>
      </c>
      <c r="B10578" s="3" t="str">
        <f>HYPERLINK("https://www.773grp.com/manufacturer/national-semiconductor?pageNo=125", "National Semiconductor")</f>
        <v>National Semiconductor</v>
      </c>
      <c r="C10578" s="6">
        <v>515</v>
      </c>
      <c r="D10578" s="7">
        <v>21.44</v>
      </c>
    </row>
    <row r="10579" spans="1:5" x14ac:dyDescent="0.25">
      <c r="A10579" t="str">
        <f>HYPERLINK("https://www.773grp.com/globalSearch/LMH0202MT-NOPB/page-1", "LMH0202MT-NOPB")</f>
        <v>LMH0202MT-NOPB</v>
      </c>
      <c r="B10579" s="3" t="str">
        <f>HYPERLINK("https://www.773grp.com/manufacturer/national-semiconductor?pageNo=126", "National Semiconductor")</f>
        <v>National Semiconductor</v>
      </c>
      <c r="C10579" s="6">
        <v>3870</v>
      </c>
      <c r="D10579" s="7">
        <v>21.44</v>
      </c>
    </row>
    <row r="10580" spans="1:5" x14ac:dyDescent="0.25">
      <c r="A10580" t="str">
        <f>HYPERLINK("https://www.773grp.com/globalSearch/9309FMQB/page-1", "9309FMQB")</f>
        <v>9309FMQB</v>
      </c>
      <c r="B10580" s="3" t="str">
        <f>HYPERLINK("https://www.773grp.com/manufacturer/national-semiconductor?pageNo=127", "National Semiconductor")</f>
        <v>National Semiconductor</v>
      </c>
      <c r="C10580" s="6">
        <v>458</v>
      </c>
      <c r="D10580" s="7">
        <v>21.46</v>
      </c>
      <c r="E10580" t="s">
        <v>20</v>
      </c>
    </row>
    <row r="10581" spans="1:5" x14ac:dyDescent="0.25">
      <c r="A10581" t="str">
        <f>HYPERLINK("https://www.773grp.com/globalSearch/9314FMQB/page-1", "9314FMQB")</f>
        <v>9314FMQB</v>
      </c>
      <c r="B10581" s="3" t="str">
        <f>HYPERLINK("https://www.773grp.com/manufacturer/national-semiconductor?pageNo=128", "National Semiconductor")</f>
        <v>National Semiconductor</v>
      </c>
      <c r="C10581" s="6">
        <v>6482</v>
      </c>
      <c r="D10581" s="7">
        <v>21.46</v>
      </c>
      <c r="E10581" t="s">
        <v>35</v>
      </c>
    </row>
    <row r="10582" spans="1:5" x14ac:dyDescent="0.25">
      <c r="A10582" t="str">
        <f>HYPERLINK("https://www.773grp.com/globalSearch/ADC12048CIV/page-1", "ADC12048CIV")</f>
        <v>ADC12048CIV</v>
      </c>
      <c r="B10582" s="3" t="str">
        <f>HYPERLINK("https://www.773grp.com/manufacturer/national-semiconductor?pageNo=129", "National Semiconductor")</f>
        <v>National Semiconductor</v>
      </c>
      <c r="C10582" s="6">
        <v>732</v>
      </c>
      <c r="D10582" s="7">
        <v>21.49</v>
      </c>
      <c r="E10582" t="s">
        <v>39</v>
      </c>
    </row>
    <row r="10583" spans="1:5" x14ac:dyDescent="0.25">
      <c r="A10583" t="str">
        <f>HYPERLINK("https://www.773grp.com/globalSearch/ADC0819CCV/page-1", "ADC0819CCV")</f>
        <v>ADC0819CCV</v>
      </c>
      <c r="B10583" s="3" t="str">
        <f>HYPERLINK("https://www.773grp.com/manufacturer/national-semiconductor?pageNo=130", "National Semiconductor")</f>
        <v>National Semiconductor</v>
      </c>
      <c r="C10583" s="6">
        <v>3</v>
      </c>
      <c r="D10583" s="7">
        <v>21.51</v>
      </c>
      <c r="E10583" t="s">
        <v>39</v>
      </c>
    </row>
    <row r="10584" spans="1:5" x14ac:dyDescent="0.25">
      <c r="A10584" t="str">
        <f>HYPERLINK("https://www.773grp.com/globalSearch/LMK02002ISQ-NOPB/page-1", "LMK02002ISQ-NOPB")</f>
        <v>LMK02002ISQ-NOPB</v>
      </c>
      <c r="B10584" s="3" t="str">
        <f>HYPERLINK("https://www.773grp.com/manufacturer/national-semiconductor?pageNo=131", "National Semiconductor")</f>
        <v>National Semiconductor</v>
      </c>
      <c r="C10584" s="6">
        <v>933</v>
      </c>
      <c r="D10584" s="7">
        <v>21.51</v>
      </c>
    </row>
    <row r="10585" spans="1:5" x14ac:dyDescent="0.25">
      <c r="A10585" t="str">
        <f>HYPERLINK("https://www.773grp.com/globalSearch/LMK02002ISQ-NOPB/page-1", "LMK02002ISQ-NOPB")</f>
        <v>LMK02002ISQ-NOPB</v>
      </c>
      <c r="B10585" s="3" t="str">
        <f>HYPERLINK("https://www.773grp.com/manufacturer/national-semiconductor?pageNo=132", "National Semiconductor")</f>
        <v>National Semiconductor</v>
      </c>
      <c r="C10585" s="6">
        <v>250</v>
      </c>
      <c r="D10585" s="7">
        <v>21.51</v>
      </c>
    </row>
    <row r="10586" spans="1:5" x14ac:dyDescent="0.25">
      <c r="A10586" t="str">
        <f>HYPERLINK("https://www.773grp.com/globalSearch/SCANSTA112SMX/page-1", "SCANSTA112SMX")</f>
        <v>SCANSTA112SMX</v>
      </c>
      <c r="B10586" s="3" t="str">
        <f>HYPERLINK("https://www.773grp.com/manufacturer/national-semiconductor?pageNo=133", "National Semiconductor")</f>
        <v>National Semiconductor</v>
      </c>
      <c r="C10586" s="6">
        <v>1250</v>
      </c>
      <c r="D10586" s="7">
        <v>21.55</v>
      </c>
      <c r="E10586" t="s">
        <v>42</v>
      </c>
    </row>
    <row r="10587" spans="1:5" x14ac:dyDescent="0.25">
      <c r="A10587" t="str">
        <f>HYPERLINK("https://www.773grp.com/globalSearch/DS3892M/page-1", "DS3892M")</f>
        <v>DS3892M</v>
      </c>
      <c r="B10587" s="3" t="str">
        <f>HYPERLINK("https://www.773grp.com/manufacturer/national-semiconductor?pageNo=134", "National Semiconductor")</f>
        <v>National Semiconductor</v>
      </c>
      <c r="C10587" s="6">
        <v>2016</v>
      </c>
      <c r="D10587" s="7">
        <v>21.56</v>
      </c>
      <c r="E10587" t="s">
        <v>21</v>
      </c>
    </row>
    <row r="10588" spans="1:5" x14ac:dyDescent="0.25">
      <c r="A10588" t="str">
        <f>HYPERLINK("https://www.773grp.com/globalSearch/LM9830VJD/page-1", "LM9830VJD")</f>
        <v>LM9830VJD</v>
      </c>
      <c r="B10588" s="3" t="str">
        <f>HYPERLINK("https://www.773grp.com/manufacturer/national-semiconductor?pageNo=1", "National Semiconductor")</f>
        <v>National Semiconductor</v>
      </c>
      <c r="C10588" s="6">
        <v>2031</v>
      </c>
      <c r="D10588" s="7">
        <v>21.6</v>
      </c>
      <c r="E10588" t="s">
        <v>23</v>
      </c>
    </row>
    <row r="10589" spans="1:5" x14ac:dyDescent="0.25">
      <c r="A10589" t="str">
        <f>HYPERLINK("https://www.773grp.com/globalSearch/LM9830VJD-NOPB/page-1", "LM9830VJD-NOPB")</f>
        <v>LM9830VJD-NOPB</v>
      </c>
      <c r="B10589" s="3" t="str">
        <f>HYPERLINK("https://www.773grp.com/manufacturer/national-semiconductor?pageNo=2", "National Semiconductor")</f>
        <v>National Semiconductor</v>
      </c>
      <c r="C10589" s="6">
        <v>4255</v>
      </c>
      <c r="D10589" s="7">
        <v>21.6</v>
      </c>
      <c r="E10589" t="s">
        <v>23</v>
      </c>
    </row>
    <row r="10590" spans="1:5" x14ac:dyDescent="0.25">
      <c r="A10590" t="str">
        <f>HYPERLINK("https://www.773grp.com/globalSearch/LM9830VJD-NOPB/page-1", "LM9830VJD-NOPB")</f>
        <v>LM9830VJD-NOPB</v>
      </c>
      <c r="B10590" s="3" t="str">
        <f>HYPERLINK("https://www.773grp.com/manufacturer/national-semiconductor?pageNo=3", "National Semiconductor")</f>
        <v>National Semiconductor</v>
      </c>
      <c r="C10590" s="6">
        <v>767</v>
      </c>
      <c r="D10590" s="7">
        <v>21.6</v>
      </c>
      <c r="E10590" t="s">
        <v>23</v>
      </c>
    </row>
    <row r="10591" spans="1:5" x14ac:dyDescent="0.25">
      <c r="A10591" t="str">
        <f>HYPERLINK("https://www.773grp.com/globalSearch/DM9316J-883/page-1", "DM9316J-883")</f>
        <v>DM9316J-883</v>
      </c>
      <c r="B10591" s="3" t="str">
        <f>HYPERLINK("https://www.773grp.com/manufacturer/national-semiconductor?pageNo=4", "National Semiconductor")</f>
        <v>National Semiconductor</v>
      </c>
      <c r="C10591" s="6">
        <v>63</v>
      </c>
      <c r="D10591" s="7">
        <v>21.64</v>
      </c>
      <c r="E10591" t="s">
        <v>26</v>
      </c>
    </row>
    <row r="10592" spans="1:5" x14ac:dyDescent="0.25">
      <c r="A10592" t="str">
        <f>HYPERLINK("https://www.773grp.com/globalSearch/DM5417W-883/page-1", "DM5417W-883")</f>
        <v>DM5417W-883</v>
      </c>
      <c r="B10592" s="3" t="str">
        <f>HYPERLINK("https://www.773grp.com/manufacturer/national-semiconductor?pageNo=5", "National Semiconductor")</f>
        <v>National Semiconductor</v>
      </c>
      <c r="C10592" s="6">
        <v>217</v>
      </c>
      <c r="D10592" s="7">
        <v>21.65</v>
      </c>
      <c r="E10592" t="s">
        <v>31</v>
      </c>
    </row>
    <row r="10593" spans="1:5" x14ac:dyDescent="0.25">
      <c r="A10593" t="str">
        <f>HYPERLINK("https://www.773grp.com/globalSearch/LMD18201T-NOPB/page-1", "LMD18201T-NOPB")</f>
        <v>LMD18201T-NOPB</v>
      </c>
      <c r="B10593" s="3" t="str">
        <f>HYPERLINK("https://www.773grp.com/manufacturer/national-semiconductor?pageNo=6", "National Semiconductor")</f>
        <v>National Semiconductor</v>
      </c>
      <c r="C10593" s="6">
        <v>1240</v>
      </c>
      <c r="D10593" s="7">
        <v>21.65</v>
      </c>
      <c r="E10593" t="s">
        <v>11</v>
      </c>
    </row>
    <row r="10594" spans="1:5" x14ac:dyDescent="0.25">
      <c r="A10594" t="str">
        <f>HYPERLINK("https://www.773grp.com/globalSearch/DS92LV18TVVX-NOPB/page-1", "DS92LV18TVVX-NOPB")</f>
        <v>DS92LV18TVVX-NOPB</v>
      </c>
      <c r="B10594" s="3" t="str">
        <f>HYPERLINK("https://www.773grp.com/manufacturer/national-semiconductor?pageNo=7", "National Semiconductor")</f>
        <v>National Semiconductor</v>
      </c>
      <c r="C10594" s="6">
        <v>6000</v>
      </c>
      <c r="D10594" s="7">
        <v>21.65</v>
      </c>
    </row>
    <row r="10595" spans="1:5" x14ac:dyDescent="0.25">
      <c r="A10595" t="str">
        <f>HYPERLINK("https://www.773grp.com/globalSearch/INA111BU/page-1", "INA111BU")</f>
        <v>INA111BU</v>
      </c>
      <c r="B10595" s="3" t="str">
        <f>HYPERLINK("https://www.773grp.com/manufacturer/national-semiconductor?pageNo=8", "National Semiconductor")</f>
        <v>National Semiconductor</v>
      </c>
      <c r="C10595" s="6">
        <v>40</v>
      </c>
      <c r="D10595" s="7">
        <v>21.65</v>
      </c>
    </row>
    <row r="10596" spans="1:5" x14ac:dyDescent="0.25">
      <c r="A10596" t="str">
        <f>HYPERLINK("https://www.773grp.com/globalSearch/LMD18201T-NOPB/page-1", "LMD18201T-NOPB")</f>
        <v>LMD18201T-NOPB</v>
      </c>
      <c r="B10596" s="3" t="str">
        <f>HYPERLINK("https://www.773grp.com/manufacturer/national-semiconductor?pageNo=9", "National Semiconductor")</f>
        <v>National Semiconductor</v>
      </c>
      <c r="C10596" s="6">
        <v>308</v>
      </c>
      <c r="D10596" s="7">
        <v>21.65</v>
      </c>
      <c r="E10596" t="s">
        <v>11</v>
      </c>
    </row>
    <row r="10597" spans="1:5" x14ac:dyDescent="0.25">
      <c r="A10597" t="str">
        <f>HYPERLINK("https://www.773grp.com/globalSearch/9317BDC/page-1", "9317BDC")</f>
        <v>9317BDC</v>
      </c>
      <c r="B10597" s="3" t="str">
        <f>HYPERLINK("https://www.773grp.com/manufacturer/national-semiconductor?pageNo=10", "National Semiconductor")</f>
        <v>National Semiconductor</v>
      </c>
      <c r="C10597" s="6">
        <v>2982</v>
      </c>
      <c r="D10597" s="7">
        <v>21.69</v>
      </c>
    </row>
    <row r="10598" spans="1:5" x14ac:dyDescent="0.25">
      <c r="A10598" t="str">
        <f>HYPERLINK("https://www.773grp.com/globalSearch/9600DC/page-1", "9600DC")</f>
        <v>9600DC</v>
      </c>
      <c r="B10598" s="3" t="str">
        <f>HYPERLINK("https://www.773grp.com/manufacturer/national-semiconductor?pageNo=11", "National Semiconductor")</f>
        <v>National Semiconductor</v>
      </c>
      <c r="C10598" s="6">
        <v>5235</v>
      </c>
      <c r="D10598" s="7">
        <v>21.69</v>
      </c>
    </row>
    <row r="10599" spans="1:5" x14ac:dyDescent="0.25">
      <c r="A10599" t="str">
        <f>HYPERLINK("https://www.773grp.com/globalSearch/54F398DM/page-1", "54F398DM")</f>
        <v>54F398DM</v>
      </c>
      <c r="B10599" s="3" t="str">
        <f>HYPERLINK("https://www.773grp.com/manufacturer/national-semiconductor?pageNo=12", "National Semiconductor")</f>
        <v>National Semiconductor</v>
      </c>
      <c r="C10599" s="6">
        <v>65</v>
      </c>
      <c r="D10599" s="7">
        <v>21.71</v>
      </c>
      <c r="E10599" t="s">
        <v>35</v>
      </c>
    </row>
    <row r="10600" spans="1:5" x14ac:dyDescent="0.25">
      <c r="A10600" t="str">
        <f>HYPERLINK("https://www.773grp.com/globalSearch/54F398DMQB/page-1", "54F398DMQB")</f>
        <v>54F398DMQB</v>
      </c>
      <c r="B10600" s="3" t="str">
        <f>HYPERLINK("https://www.773grp.com/manufacturer/national-semiconductor?pageNo=13", "National Semiconductor")</f>
        <v>National Semiconductor</v>
      </c>
      <c r="C10600" s="6">
        <v>2606</v>
      </c>
      <c r="D10600" s="7">
        <v>21.71</v>
      </c>
      <c r="E10600" t="s">
        <v>35</v>
      </c>
    </row>
    <row r="10601" spans="1:5" x14ac:dyDescent="0.25">
      <c r="A10601" t="str">
        <f>HYPERLINK("https://www.773grp.com/globalSearch/DS36954M-NOPB/page-1", "DS36954M-NOPB")</f>
        <v>DS36954M-NOPB</v>
      </c>
      <c r="B10601" s="3" t="str">
        <f>HYPERLINK("https://www.773grp.com/manufacturer/national-semiconductor?pageNo=14", "National Semiconductor")</f>
        <v>National Semiconductor</v>
      </c>
      <c r="C10601" s="6">
        <v>21</v>
      </c>
      <c r="D10601" s="7">
        <v>21.74</v>
      </c>
      <c r="E10601" t="s">
        <v>21</v>
      </c>
    </row>
    <row r="10602" spans="1:5" x14ac:dyDescent="0.25">
      <c r="A10602" t="str">
        <f>HYPERLINK("https://www.773grp.com/globalSearch/DS36954M-NOPB/page-1", "DS36954M-NOPB")</f>
        <v>DS36954M-NOPB</v>
      </c>
      <c r="B10602" s="3" t="str">
        <f>HYPERLINK("https://www.773grp.com/manufacturer/national-semiconductor?pageNo=15", "National Semiconductor")</f>
        <v>National Semiconductor</v>
      </c>
      <c r="C10602" s="6">
        <v>4068</v>
      </c>
      <c r="D10602" s="7">
        <v>21.74</v>
      </c>
      <c r="E10602" t="s">
        <v>21</v>
      </c>
    </row>
    <row r="10603" spans="1:5" x14ac:dyDescent="0.25">
      <c r="A10603" t="str">
        <f>HYPERLINK("https://www.773grp.com/globalSearch/LMH1251MT/page-1", "LMH1251MT")</f>
        <v>LMH1251MT</v>
      </c>
      <c r="B10603" s="3" t="str">
        <f>HYPERLINK("https://www.773grp.com/manufacturer/national-semiconductor?pageNo=16", "National Semiconductor")</f>
        <v>National Semiconductor</v>
      </c>
      <c r="C10603" s="6">
        <v>361</v>
      </c>
      <c r="D10603" s="7">
        <v>21.78</v>
      </c>
      <c r="E10603" t="s">
        <v>56</v>
      </c>
    </row>
    <row r="10604" spans="1:5" x14ac:dyDescent="0.25">
      <c r="A10604" t="str">
        <f>HYPERLINK("https://www.773grp.com/globalSearch/LMH1251MT/page-1", "LMH1251MT")</f>
        <v>LMH1251MT</v>
      </c>
      <c r="B10604" s="3" t="str">
        <f>HYPERLINK("https://www.773grp.com/manufacturer/national-semiconductor?pageNo=17", "National Semiconductor")</f>
        <v>National Semiconductor</v>
      </c>
      <c r="C10604" s="6">
        <v>5607</v>
      </c>
      <c r="D10604" s="7">
        <v>21.78</v>
      </c>
      <c r="E10604" t="s">
        <v>56</v>
      </c>
    </row>
    <row r="10605" spans="1:5" x14ac:dyDescent="0.25">
      <c r="A10605" t="str">
        <f>HYPERLINK("https://www.773grp.com/globalSearch/93L08DCQR/page-1", "93L08DCQR")</f>
        <v>93L08DCQR</v>
      </c>
      <c r="B10605" s="3" t="str">
        <f>HYPERLINK("https://www.773grp.com/manufacturer/national-semiconductor?pageNo=18", "National Semiconductor")</f>
        <v>National Semiconductor</v>
      </c>
      <c r="C10605" s="6">
        <v>2296</v>
      </c>
      <c r="D10605" s="7">
        <v>21.8</v>
      </c>
    </row>
    <row r="10606" spans="1:5" x14ac:dyDescent="0.25">
      <c r="A10606" t="str">
        <f>HYPERLINK("https://www.773grp.com/globalSearch/SCAN921821TSM-NOPB/page-1", "SCAN921821TSM-NOPB")</f>
        <v>SCAN921821TSM-NOPB</v>
      </c>
      <c r="B10606" s="3" t="str">
        <f>HYPERLINK("https://www.773grp.com/manufacturer/national-semiconductor?pageNo=19", "National Semiconductor")</f>
        <v>National Semiconductor</v>
      </c>
      <c r="C10606" s="6">
        <v>142</v>
      </c>
      <c r="D10606" s="7">
        <v>21.8</v>
      </c>
      <c r="E10606" t="s">
        <v>21</v>
      </c>
    </row>
    <row r="10607" spans="1:5" x14ac:dyDescent="0.25">
      <c r="A10607" t="str">
        <f>HYPERLINK("https://www.773grp.com/globalSearch/54H22DM/page-1", "54H22DM")</f>
        <v>54H22DM</v>
      </c>
      <c r="B10607" s="3" t="str">
        <f>HYPERLINK("https://www.773grp.com/manufacturer/national-semiconductor?pageNo=20", "National Semiconductor")</f>
        <v>National Semiconductor</v>
      </c>
      <c r="C10607" s="6">
        <v>327</v>
      </c>
      <c r="D10607" s="7">
        <v>21.85</v>
      </c>
    </row>
    <row r="10608" spans="1:5" x14ac:dyDescent="0.25">
      <c r="A10608" t="str">
        <f>HYPERLINK("https://www.773grp.com/globalSearch/HPC46003V20-63/page-1", "HPC46003V20-63")</f>
        <v>HPC46003V20-63</v>
      </c>
      <c r="B10608" s="3" t="str">
        <f>HYPERLINK("https://www.773grp.com/manufacturer/national-semiconductor?pageNo=21", "National Semiconductor")</f>
        <v>National Semiconductor</v>
      </c>
      <c r="C10608" s="6">
        <v>250</v>
      </c>
      <c r="D10608" s="7">
        <v>21.89</v>
      </c>
    </row>
    <row r="10609" spans="1:5" x14ac:dyDescent="0.25">
      <c r="A10609" t="str">
        <f>HYPERLINK("https://www.773grp.com/globalSearch/LM136AH-5.0-NOPB/page-1", "LM136AH-5.0-NOPB")</f>
        <v>LM136AH-5.0-NOPB</v>
      </c>
      <c r="B10609" s="3" t="str">
        <f>HYPERLINK("https://www.773grp.com/manufacturer/national-semiconductor?pageNo=22", "National Semiconductor")</f>
        <v>National Semiconductor</v>
      </c>
      <c r="C10609" s="6">
        <v>19</v>
      </c>
      <c r="D10609" s="7">
        <v>21.89</v>
      </c>
    </row>
    <row r="10610" spans="1:5" x14ac:dyDescent="0.25">
      <c r="A10610" t="str">
        <f>HYPERLINK("https://www.773grp.com/globalSearch/LM136AH-5.0-NOPB/page-1", "LM136AH-5.0-NOPB")</f>
        <v>LM136AH-5.0-NOPB</v>
      </c>
      <c r="B10610" s="3" t="str">
        <f>HYPERLINK("https://www.773grp.com/manufacturer/national-semiconductor?pageNo=23", "National Semiconductor")</f>
        <v>National Semiconductor</v>
      </c>
      <c r="C10610" s="6">
        <v>4855</v>
      </c>
      <c r="D10610" s="7">
        <v>21.89</v>
      </c>
    </row>
    <row r="10611" spans="1:5" x14ac:dyDescent="0.25">
      <c r="A10611" t="str">
        <f>HYPERLINK("https://www.773grp.com/globalSearch/ADC0816CCN-NOPB/page-1", "ADC0816CCN-NOPB")</f>
        <v>ADC0816CCN-NOPB</v>
      </c>
      <c r="B10611" s="3" t="str">
        <f>HYPERLINK("https://www.773grp.com/manufacturer/national-semiconductor?pageNo=24", "National Semiconductor")</f>
        <v>National Semiconductor</v>
      </c>
      <c r="C10611" s="6">
        <v>561</v>
      </c>
      <c r="D10611" s="7">
        <v>21.94</v>
      </c>
      <c r="E10611" t="s">
        <v>39</v>
      </c>
    </row>
    <row r="10612" spans="1:5" x14ac:dyDescent="0.25">
      <c r="A10612" t="str">
        <f>HYPERLINK("https://www.773grp.com/globalSearch/DS90LV031TM/page-1", "DS90LV031TM")</f>
        <v>DS90LV031TM</v>
      </c>
      <c r="B10612" s="3" t="str">
        <f>HYPERLINK("https://www.773grp.com/manufacturer/national-semiconductor?pageNo=25", "National Semiconductor")</f>
        <v>National Semiconductor</v>
      </c>
      <c r="C10612" s="6">
        <v>747</v>
      </c>
      <c r="D10612" s="7">
        <v>21.94</v>
      </c>
      <c r="E10612" t="s">
        <v>21</v>
      </c>
    </row>
    <row r="10613" spans="1:5" x14ac:dyDescent="0.25">
      <c r="A10613" t="str">
        <f>HYPERLINK("https://www.773grp.com/globalSearch/JD54LS00B2A/page-1", "JD54LS00B2A")</f>
        <v>JD54LS00B2A</v>
      </c>
      <c r="B10613" s="3" t="str">
        <f>HYPERLINK("https://www.773grp.com/manufacturer/national-semiconductor?pageNo=26", "National Semiconductor")</f>
        <v>National Semiconductor</v>
      </c>
      <c r="C10613" s="6">
        <v>216</v>
      </c>
      <c r="D10613" s="7">
        <v>21.94</v>
      </c>
    </row>
    <row r="10614" spans="1:5" x14ac:dyDescent="0.25">
      <c r="A10614" t="str">
        <f>HYPERLINK("https://www.773grp.com/globalSearch/JD54LS241BSA/page-1", "JD54LS241BSA")</f>
        <v>JD54LS241BSA</v>
      </c>
      <c r="B10614" s="3" t="str">
        <f>HYPERLINK("https://www.773grp.com/manufacturer/national-semiconductor?pageNo=27", "National Semiconductor")</f>
        <v>National Semiconductor</v>
      </c>
      <c r="C10614" s="6">
        <v>179</v>
      </c>
      <c r="D10614" s="7">
        <v>21.94</v>
      </c>
    </row>
    <row r="10615" spans="1:5" x14ac:dyDescent="0.25">
      <c r="A10615" t="str">
        <f>HYPERLINK("https://www.773grp.com/globalSearch/JD54LS279BFA/page-1", "JD54LS279BFA")</f>
        <v>JD54LS279BFA</v>
      </c>
      <c r="B10615" s="3" t="str">
        <f>HYPERLINK("https://www.773grp.com/manufacturer/national-semiconductor?pageNo=28", "National Semiconductor")</f>
        <v>National Semiconductor</v>
      </c>
      <c r="C10615" s="6">
        <v>50</v>
      </c>
      <c r="D10615" s="7">
        <v>21.94</v>
      </c>
    </row>
    <row r="10616" spans="1:5" x14ac:dyDescent="0.25">
      <c r="A10616" t="str">
        <f>HYPERLINK("https://www.773grp.com/globalSearch/LMK02000ISQ/page-1", "LMK02000ISQ")</f>
        <v>LMK02000ISQ</v>
      </c>
      <c r="B10616" s="3" t="str">
        <f>HYPERLINK("https://www.773grp.com/manufacturer/national-semiconductor?pageNo=29", "National Semiconductor")</f>
        <v>National Semiconductor</v>
      </c>
      <c r="C10616" s="6">
        <v>500</v>
      </c>
      <c r="D10616" s="7">
        <v>21.94</v>
      </c>
      <c r="E10616" t="s">
        <v>79</v>
      </c>
    </row>
    <row r="10617" spans="1:5" x14ac:dyDescent="0.25">
      <c r="A10617" t="str">
        <f>HYPERLINK("https://www.773grp.com/globalSearch/ADC0816CCN-NOPB/page-1", "ADC0816CCN-NOPB")</f>
        <v>ADC0816CCN-NOPB</v>
      </c>
      <c r="B10617" s="3" t="str">
        <f>HYPERLINK("https://www.773grp.com/manufacturer/national-semiconductor?pageNo=30", "National Semiconductor")</f>
        <v>National Semiconductor</v>
      </c>
      <c r="C10617" s="6">
        <v>5337</v>
      </c>
      <c r="D10617" s="7">
        <v>21.94</v>
      </c>
      <c r="E10617" t="s">
        <v>39</v>
      </c>
    </row>
    <row r="10618" spans="1:5" x14ac:dyDescent="0.25">
      <c r="A10618" t="str">
        <f>HYPERLINK("https://www.773grp.com/globalSearch/EQ50F100LRE-NOPB/page-1", "EQ50F100LRE-NOPB")</f>
        <v>EQ50F100LRE-NOPB</v>
      </c>
      <c r="B10618" s="3" t="str">
        <f>HYPERLINK("https://www.773grp.com/manufacturer/national-semiconductor?pageNo=31", "National Semiconductor")</f>
        <v>National Semiconductor</v>
      </c>
      <c r="C10618" s="6">
        <v>250</v>
      </c>
      <c r="D10618" s="7">
        <v>21.98</v>
      </c>
    </row>
    <row r="10619" spans="1:5" x14ac:dyDescent="0.25">
      <c r="A10619" t="str">
        <f>HYPERLINK("https://www.773grp.com/globalSearch/9317CDC/page-1", "9317CDC")</f>
        <v>9317CDC</v>
      </c>
      <c r="B10619" s="3" t="str">
        <f>HYPERLINK("https://www.773grp.com/manufacturer/national-semiconductor?pageNo=32", "National Semiconductor")</f>
        <v>National Semiconductor</v>
      </c>
      <c r="C10619" s="6">
        <v>2572</v>
      </c>
      <c r="D10619" s="7">
        <v>22.03</v>
      </c>
    </row>
    <row r="10620" spans="1:5" x14ac:dyDescent="0.25">
      <c r="A10620" t="str">
        <f>HYPERLINK("https://www.773grp.com/globalSearch/DS90CP04TLQ/page-1", "DS90CP04TLQ")</f>
        <v>DS90CP04TLQ</v>
      </c>
      <c r="B10620" s="3" t="str">
        <f>HYPERLINK("https://www.773grp.com/manufacturer/national-semiconductor?pageNo=33", "National Semiconductor")</f>
        <v>National Semiconductor</v>
      </c>
      <c r="C10620" s="6">
        <v>200</v>
      </c>
      <c r="D10620" s="7">
        <v>22.05</v>
      </c>
      <c r="E10620" t="s">
        <v>56</v>
      </c>
    </row>
    <row r="10621" spans="1:5" x14ac:dyDescent="0.25">
      <c r="A10621" t="str">
        <f>HYPERLINK("https://www.773grp.com/globalSearch/93S12DC/page-1", "93S12DC")</f>
        <v>93S12DC</v>
      </c>
      <c r="B10621" s="3" t="str">
        <f>HYPERLINK("https://www.773grp.com/manufacturer/national-semiconductor?pageNo=34", "National Semiconductor")</f>
        <v>National Semiconductor</v>
      </c>
      <c r="C10621" s="6">
        <v>653</v>
      </c>
      <c r="D10621" s="7">
        <v>22.08</v>
      </c>
    </row>
    <row r="10622" spans="1:5" x14ac:dyDescent="0.25">
      <c r="A10622" t="str">
        <f>HYPERLINK("https://www.773grp.com/globalSearch/LM124WG-883/page-1", "LM124WG-883")</f>
        <v>LM124WG-883</v>
      </c>
      <c r="B10622" s="3" t="str">
        <f>HYPERLINK("https://www.773grp.com/manufacturer/national-semiconductor?pageNo=35", "National Semiconductor")</f>
        <v>National Semiconductor</v>
      </c>
      <c r="C10622" s="6">
        <v>2599</v>
      </c>
      <c r="D10622" s="7">
        <v>22.08</v>
      </c>
      <c r="E10622" t="s">
        <v>13</v>
      </c>
    </row>
    <row r="10623" spans="1:5" x14ac:dyDescent="0.25">
      <c r="A10623" t="str">
        <f>HYPERLINK("https://www.773grp.com/globalSearch/LMH0074SQ-NOPB/page-1", "LMH0074SQ-NOPB")</f>
        <v>LMH0074SQ-NOPB</v>
      </c>
      <c r="B10623" s="3" t="str">
        <f>HYPERLINK("https://www.773grp.com/manufacturer/national-semiconductor?pageNo=36", "National Semiconductor")</f>
        <v>National Semiconductor</v>
      </c>
      <c r="C10623" s="6">
        <v>1044</v>
      </c>
      <c r="D10623" s="7">
        <v>22.08</v>
      </c>
    </row>
    <row r="10624" spans="1:5" x14ac:dyDescent="0.25">
      <c r="A10624" t="str">
        <f>HYPERLINK("https://www.773grp.com/globalSearch/5962-8773901CA/page-1", "5962-8773901CA")</f>
        <v>5962-8773901CA</v>
      </c>
      <c r="B10624" s="3" t="str">
        <f>HYPERLINK("https://www.773grp.com/manufacturer/national-semiconductor?pageNo=37", "National Semiconductor")</f>
        <v>National Semiconductor</v>
      </c>
      <c r="C10624" s="6">
        <v>3</v>
      </c>
      <c r="D10624" s="7">
        <v>22.14</v>
      </c>
      <c r="E10624" t="s">
        <v>9</v>
      </c>
    </row>
    <row r="10625" spans="1:4" x14ac:dyDescent="0.25">
      <c r="A10625" t="str">
        <f>HYPERLINK("https://www.773grp.com/globalSearch/93L16DC/page-1", "93L16DC")</f>
        <v>93L16DC</v>
      </c>
      <c r="B10625" s="3" t="str">
        <f>HYPERLINK("https://www.773grp.com/manufacturer/national-semiconductor?pageNo=38", "National Semiconductor")</f>
        <v>National Semiconductor</v>
      </c>
      <c r="C10625" s="6">
        <v>2069</v>
      </c>
      <c r="D10625" s="7">
        <v>22.16</v>
      </c>
    </row>
    <row r="10626" spans="1:4" x14ac:dyDescent="0.25">
      <c r="A10626" t="str">
        <f>HYPERLINK("https://www.773grp.com/globalSearch/9806PC/page-1", "9806PC")</f>
        <v>9806PC</v>
      </c>
      <c r="B10626" s="3" t="str">
        <f>HYPERLINK("https://www.773grp.com/manufacturer/national-semiconductor?pageNo=39", "National Semiconductor")</f>
        <v>National Semiconductor</v>
      </c>
      <c r="C10626" s="6">
        <v>16278</v>
      </c>
      <c r="D10626" s="7">
        <v>22.16</v>
      </c>
    </row>
    <row r="10627" spans="1:4" x14ac:dyDescent="0.25">
      <c r="A10627" t="str">
        <f>HYPERLINK("https://www.773grp.com/globalSearch/9816PC/page-1", "9816PC")</f>
        <v>9816PC</v>
      </c>
      <c r="B10627" s="3" t="str">
        <f>HYPERLINK("https://www.773grp.com/manufacturer/national-semiconductor?pageNo=40", "National Semiconductor")</f>
        <v>National Semiconductor</v>
      </c>
      <c r="C10627" s="6">
        <v>46734</v>
      </c>
      <c r="D10627" s="7">
        <v>22.16</v>
      </c>
    </row>
    <row r="10628" spans="1:4" x14ac:dyDescent="0.25">
      <c r="A10628" t="str">
        <f>HYPERLINK("https://www.773grp.com/globalSearch/9818PC/page-1", "9818PC")</f>
        <v>9818PC</v>
      </c>
      <c r="B10628" s="3" t="str">
        <f>HYPERLINK("https://www.773grp.com/manufacturer/national-semiconductor?pageNo=41", "National Semiconductor")</f>
        <v>National Semiconductor</v>
      </c>
      <c r="C10628" s="6">
        <v>1740</v>
      </c>
      <c r="D10628" s="7">
        <v>22.16</v>
      </c>
    </row>
    <row r="10629" spans="1:4" x14ac:dyDescent="0.25">
      <c r="A10629" t="str">
        <f>HYPERLINK("https://www.773grp.com/globalSearch/9819PC/page-1", "9819PC")</f>
        <v>9819PC</v>
      </c>
      <c r="B10629" s="3" t="str">
        <f>HYPERLINK("https://www.773grp.com/manufacturer/national-semiconductor?pageNo=42", "National Semiconductor")</f>
        <v>National Semiconductor</v>
      </c>
      <c r="C10629" s="6">
        <v>5988</v>
      </c>
      <c r="D10629" s="7">
        <v>22.16</v>
      </c>
    </row>
    <row r="10630" spans="1:4" x14ac:dyDescent="0.25">
      <c r="A10630" t="str">
        <f>HYPERLINK("https://www.773grp.com/globalSearch/9820DC/page-1", "9820DC")</f>
        <v>9820DC</v>
      </c>
      <c r="B10630" s="3" t="str">
        <f>HYPERLINK("https://www.773grp.com/manufacturer/national-semiconductor?pageNo=43", "National Semiconductor")</f>
        <v>National Semiconductor</v>
      </c>
      <c r="C10630" s="6">
        <v>4331</v>
      </c>
      <c r="D10630" s="7">
        <v>22.16</v>
      </c>
    </row>
    <row r="10631" spans="1:4" x14ac:dyDescent="0.25">
      <c r="A10631" t="str">
        <f>HYPERLINK("https://www.773grp.com/globalSearch/9852PC/page-1", "9852PC")</f>
        <v>9852PC</v>
      </c>
      <c r="B10631" s="3" t="str">
        <f>HYPERLINK("https://www.773grp.com/manufacturer/national-semiconductor?pageNo=44", "National Semiconductor")</f>
        <v>National Semiconductor</v>
      </c>
      <c r="C10631" s="6">
        <v>30796</v>
      </c>
      <c r="D10631" s="7">
        <v>22.16</v>
      </c>
    </row>
    <row r="10632" spans="1:4" x14ac:dyDescent="0.25">
      <c r="A10632" t="str">
        <f>HYPERLINK("https://www.773grp.com/globalSearch/9853PC/page-1", "9853PC")</f>
        <v>9853PC</v>
      </c>
      <c r="B10632" s="3" t="str">
        <f>HYPERLINK("https://www.773grp.com/manufacturer/national-semiconductor?pageNo=45", "National Semiconductor")</f>
        <v>National Semiconductor</v>
      </c>
      <c r="C10632" s="6">
        <v>20000</v>
      </c>
      <c r="D10632" s="7">
        <v>22.16</v>
      </c>
    </row>
    <row r="10633" spans="1:4" x14ac:dyDescent="0.25">
      <c r="A10633" t="str">
        <f>HYPERLINK("https://www.773grp.com/globalSearch/9854PC/page-1", "9854PC")</f>
        <v>9854PC</v>
      </c>
      <c r="B10633" s="3" t="str">
        <f>HYPERLINK("https://www.773grp.com/manufacturer/national-semiconductor?pageNo=46", "National Semiconductor")</f>
        <v>National Semiconductor</v>
      </c>
      <c r="C10633" s="6">
        <v>5772</v>
      </c>
      <c r="D10633" s="7">
        <v>22.16</v>
      </c>
    </row>
    <row r="10634" spans="1:4" x14ac:dyDescent="0.25">
      <c r="A10634" t="str">
        <f>HYPERLINK("https://www.773grp.com/globalSearch/9863PC/page-1", "9863PC")</f>
        <v>9863PC</v>
      </c>
      <c r="B10634" s="3" t="str">
        <f>HYPERLINK("https://www.773grp.com/manufacturer/national-semiconductor?pageNo=47", "National Semiconductor")</f>
        <v>National Semiconductor</v>
      </c>
      <c r="C10634" s="6">
        <v>3120</v>
      </c>
      <c r="D10634" s="7">
        <v>22.16</v>
      </c>
    </row>
    <row r="10635" spans="1:4" x14ac:dyDescent="0.25">
      <c r="A10635" t="str">
        <f>HYPERLINK("https://www.773grp.com/globalSearch/9864PC/page-1", "9864PC")</f>
        <v>9864PC</v>
      </c>
      <c r="B10635" s="3" t="str">
        <f>HYPERLINK("https://www.773grp.com/manufacturer/national-semiconductor?pageNo=48", "National Semiconductor")</f>
        <v>National Semiconductor</v>
      </c>
      <c r="C10635" s="6">
        <v>6183</v>
      </c>
      <c r="D10635" s="7">
        <v>22.16</v>
      </c>
    </row>
    <row r="10636" spans="1:4" x14ac:dyDescent="0.25">
      <c r="A10636" t="str">
        <f>HYPERLINK("https://www.773grp.com/globalSearch/9865PC/page-1", "9865PC")</f>
        <v>9865PC</v>
      </c>
      <c r="B10636" s="3" t="str">
        <f>HYPERLINK("https://www.773grp.com/manufacturer/national-semiconductor?pageNo=49", "National Semiconductor")</f>
        <v>National Semiconductor</v>
      </c>
      <c r="C10636" s="6">
        <v>52954</v>
      </c>
      <c r="D10636" s="7">
        <v>22.16</v>
      </c>
    </row>
    <row r="10637" spans="1:4" x14ac:dyDescent="0.25">
      <c r="A10637" t="str">
        <f>HYPERLINK("https://www.773grp.com/globalSearch/9866PC/page-1", "9866PC")</f>
        <v>9866PC</v>
      </c>
      <c r="B10637" s="3" t="str">
        <f>HYPERLINK("https://www.773grp.com/manufacturer/national-semiconductor?pageNo=50", "National Semiconductor")</f>
        <v>National Semiconductor</v>
      </c>
      <c r="C10637" s="6">
        <v>6065</v>
      </c>
      <c r="D10637" s="7">
        <v>22.16</v>
      </c>
    </row>
    <row r="10638" spans="1:4" x14ac:dyDescent="0.25">
      <c r="A10638" t="str">
        <f>HYPERLINK("https://www.773grp.com/globalSearch/9871PC/page-1", "9871PC")</f>
        <v>9871PC</v>
      </c>
      <c r="B10638" s="3" t="str">
        <f>HYPERLINK("https://www.773grp.com/manufacturer/national-semiconductor?pageNo=51", "National Semiconductor")</f>
        <v>National Semiconductor</v>
      </c>
      <c r="C10638" s="6">
        <v>43248</v>
      </c>
      <c r="D10638" s="7">
        <v>22.16</v>
      </c>
    </row>
    <row r="10639" spans="1:4" x14ac:dyDescent="0.25">
      <c r="A10639" t="str">
        <f>HYPERLINK("https://www.773grp.com/globalSearch/9874PC/page-1", "9874PC")</f>
        <v>9874PC</v>
      </c>
      <c r="B10639" s="3" t="str">
        <f>HYPERLINK("https://www.773grp.com/manufacturer/national-semiconductor?pageNo=52", "National Semiconductor")</f>
        <v>National Semiconductor</v>
      </c>
      <c r="C10639" s="6">
        <v>22715</v>
      </c>
      <c r="D10639" s="7">
        <v>22.16</v>
      </c>
    </row>
    <row r="10640" spans="1:4" x14ac:dyDescent="0.25">
      <c r="A10640" t="str">
        <f>HYPERLINK("https://www.773grp.com/globalSearch/9875PC/page-1", "9875PC")</f>
        <v>9875PC</v>
      </c>
      <c r="B10640" s="3" t="str">
        <f>HYPERLINK("https://www.773grp.com/manufacturer/national-semiconductor?pageNo=53", "National Semiconductor")</f>
        <v>National Semiconductor</v>
      </c>
      <c r="C10640" s="6">
        <v>746</v>
      </c>
      <c r="D10640" s="7">
        <v>22.16</v>
      </c>
    </row>
    <row r="10641" spans="1:5" x14ac:dyDescent="0.25">
      <c r="A10641" t="str">
        <f>HYPERLINK("https://www.773grp.com/globalSearch/9877PC/page-1", "9877PC")</f>
        <v>9877PC</v>
      </c>
      <c r="B10641" s="3" t="str">
        <f>HYPERLINK("https://www.773grp.com/manufacturer/national-semiconductor?pageNo=54", "National Semiconductor")</f>
        <v>National Semiconductor</v>
      </c>
      <c r="C10641" s="6">
        <v>14945</v>
      </c>
      <c r="D10641" s="7">
        <v>22.16</v>
      </c>
    </row>
    <row r="10642" spans="1:5" x14ac:dyDescent="0.25">
      <c r="A10642" t="str">
        <f>HYPERLINK("https://www.773grp.com/globalSearch/54F240LMQB/page-1", "54F240LMQB")</f>
        <v>54F240LMQB</v>
      </c>
      <c r="B10642" s="3" t="str">
        <f>HYPERLINK("https://www.773grp.com/manufacturer/national-semiconductor?pageNo=55", "National Semiconductor")</f>
        <v>National Semiconductor</v>
      </c>
      <c r="C10642" s="6">
        <v>11</v>
      </c>
      <c r="D10642" s="7">
        <v>22.28</v>
      </c>
      <c r="E10642" t="s">
        <v>14</v>
      </c>
    </row>
    <row r="10643" spans="1:5" x14ac:dyDescent="0.25">
      <c r="A10643" t="str">
        <f>HYPERLINK("https://www.773grp.com/globalSearch/CLC002MA/page-1", "CLC002MA")</f>
        <v>CLC002MA</v>
      </c>
      <c r="B10643" s="3" t="str">
        <f>HYPERLINK("https://www.773grp.com/manufacturer/national-semiconductor?pageNo=56", "National Semiconductor")</f>
        <v>National Semiconductor</v>
      </c>
      <c r="C10643" s="6">
        <v>26</v>
      </c>
      <c r="D10643" s="7">
        <v>22.28</v>
      </c>
      <c r="E10643" t="s">
        <v>23</v>
      </c>
    </row>
    <row r="10644" spans="1:5" x14ac:dyDescent="0.25">
      <c r="A10644" t="str">
        <f>HYPERLINK("https://www.773grp.com/globalSearch/DS92LV3241TVS-NOPB/page-1", "DS92LV3241TVS-NOPB")</f>
        <v>DS92LV3241TVS-NOPB</v>
      </c>
      <c r="B10644" s="3" t="str">
        <f>HYPERLINK("https://www.773grp.com/manufacturer/national-semiconductor?pageNo=57", "National Semiconductor")</f>
        <v>National Semiconductor</v>
      </c>
      <c r="C10644" s="6">
        <v>98</v>
      </c>
      <c r="D10644" s="7">
        <v>22.28</v>
      </c>
    </row>
    <row r="10645" spans="1:5" x14ac:dyDescent="0.25">
      <c r="A10645" t="str">
        <f>HYPERLINK("https://www.773grp.com/globalSearch/DS92LV3242TVS-NOPB/page-1", "DS92LV3242TVS-NOPB")</f>
        <v>DS92LV3242TVS-NOPB</v>
      </c>
      <c r="B10645" s="3" t="str">
        <f>HYPERLINK("https://www.773grp.com/manufacturer/national-semiconductor?pageNo=58", "National Semiconductor")</f>
        <v>National Semiconductor</v>
      </c>
      <c r="C10645" s="6">
        <v>147</v>
      </c>
      <c r="D10645" s="7">
        <v>22.28</v>
      </c>
    </row>
    <row r="10646" spans="1:5" x14ac:dyDescent="0.25">
      <c r="A10646" t="str">
        <f>HYPERLINK("https://www.773grp.com/globalSearch/LMK01020ISQE-NOPB/page-1", "LMK01020ISQE-NOPB")</f>
        <v>LMK01020ISQE-NOPB</v>
      </c>
      <c r="B10646" s="3" t="str">
        <f>HYPERLINK("https://www.773grp.com/manufacturer/national-semiconductor?pageNo=59", "National Semiconductor")</f>
        <v>National Semiconductor</v>
      </c>
      <c r="C10646" s="6">
        <v>263</v>
      </c>
      <c r="D10646" s="7">
        <v>22.28</v>
      </c>
    </row>
    <row r="10647" spans="1:5" x14ac:dyDescent="0.25">
      <c r="A10647" t="str">
        <f>HYPERLINK("https://www.773grp.com/globalSearch/DS92LV3241TVS-NOPB/page-1", "DS92LV3241TVS-NOPB")</f>
        <v>DS92LV3241TVS-NOPB</v>
      </c>
      <c r="B10647" s="3" t="str">
        <f>HYPERLINK("https://www.773grp.com/manufacturer/national-semiconductor?pageNo=60", "National Semiconductor")</f>
        <v>National Semiconductor</v>
      </c>
      <c r="C10647" s="6">
        <v>392</v>
      </c>
      <c r="D10647" s="7">
        <v>22.28</v>
      </c>
    </row>
    <row r="10648" spans="1:5" x14ac:dyDescent="0.25">
      <c r="A10648" t="str">
        <f>HYPERLINK("https://www.773grp.com/globalSearch/DS92LV3242TVS-NOPB/page-1", "DS92LV3242TVS-NOPB")</f>
        <v>DS92LV3242TVS-NOPB</v>
      </c>
      <c r="B10648" s="3" t="str">
        <f>HYPERLINK("https://www.773grp.com/manufacturer/national-semiconductor?pageNo=61", "National Semiconductor")</f>
        <v>National Semiconductor</v>
      </c>
      <c r="C10648" s="6">
        <v>376</v>
      </c>
      <c r="D10648" s="7">
        <v>22.28</v>
      </c>
    </row>
    <row r="10649" spans="1:5" x14ac:dyDescent="0.25">
      <c r="A10649" t="str">
        <f>HYPERLINK("https://www.773grp.com/globalSearch/LMK01000ISQE-NOPB/page-1", "LMK01000ISQE-NOPB")</f>
        <v>LMK01000ISQE-NOPB</v>
      </c>
      <c r="B10649" s="3" t="str">
        <f>HYPERLINK("https://www.773grp.com/manufacturer/national-semiconductor?pageNo=62", "National Semiconductor")</f>
        <v>National Semiconductor</v>
      </c>
      <c r="C10649" s="6">
        <v>509</v>
      </c>
      <c r="D10649" s="7">
        <v>22.28</v>
      </c>
    </row>
    <row r="10650" spans="1:5" x14ac:dyDescent="0.25">
      <c r="A10650" t="str">
        <f>HYPERLINK("https://www.773grp.com/globalSearch/LMK01010ISQE-NOPB/page-1", "LMK01010ISQE-NOPB")</f>
        <v>LMK01010ISQE-NOPB</v>
      </c>
      <c r="B10650" s="3" t="str">
        <f>HYPERLINK("https://www.773grp.com/manufacturer/national-semiconductor?pageNo=63", "National Semiconductor")</f>
        <v>National Semiconductor</v>
      </c>
      <c r="C10650" s="6">
        <v>4885</v>
      </c>
      <c r="D10650" s="7">
        <v>22.28</v>
      </c>
    </row>
    <row r="10651" spans="1:5" x14ac:dyDescent="0.25">
      <c r="A10651" t="str">
        <f>HYPERLINK("https://www.773grp.com/globalSearch/LMK01020ISQE-NOPB/page-1", "LMK01020ISQE-NOPB")</f>
        <v>LMK01020ISQE-NOPB</v>
      </c>
      <c r="B10651" s="3" t="str">
        <f>HYPERLINK("https://www.773grp.com/manufacturer/national-semiconductor?pageNo=64", "National Semiconductor")</f>
        <v>National Semiconductor</v>
      </c>
      <c r="C10651" s="6">
        <v>702</v>
      </c>
      <c r="D10651" s="7">
        <v>22.28</v>
      </c>
    </row>
    <row r="10652" spans="1:5" x14ac:dyDescent="0.25">
      <c r="A10652" t="str">
        <f>HYPERLINK("https://www.773grp.com/globalSearch/9316DM/page-1", "9316DM")</f>
        <v>9316DM</v>
      </c>
      <c r="B10652" s="3" t="str">
        <f>HYPERLINK("https://www.773grp.com/manufacturer/national-semiconductor?pageNo=65", "National Semiconductor")</f>
        <v>National Semiconductor</v>
      </c>
      <c r="C10652" s="6">
        <v>362</v>
      </c>
      <c r="D10652" s="7">
        <v>22.33</v>
      </c>
      <c r="E10652" t="s">
        <v>26</v>
      </c>
    </row>
    <row r="10653" spans="1:5" x14ac:dyDescent="0.25">
      <c r="A10653" t="str">
        <f>HYPERLINK("https://www.773grp.com/globalSearch/COP8SGE728M8/page-1", "COP8SGE728M8")</f>
        <v>COP8SGE728M8</v>
      </c>
      <c r="B10653" s="3" t="str">
        <f>HYPERLINK("https://www.773grp.com/manufacturer/national-semiconductor?pageNo=66", "National Semiconductor")</f>
        <v>National Semiconductor</v>
      </c>
      <c r="C10653" s="6">
        <v>20070</v>
      </c>
      <c r="D10653" s="7">
        <v>22.33</v>
      </c>
      <c r="E10653" t="s">
        <v>52</v>
      </c>
    </row>
    <row r="10654" spans="1:5" x14ac:dyDescent="0.25">
      <c r="A10654" t="str">
        <f>HYPERLINK("https://www.773grp.com/globalSearch/DAC108S085CIMT/page-1", "DAC108S085CIMT")</f>
        <v>DAC108S085CIMT</v>
      </c>
      <c r="B10654" s="3" t="str">
        <f>HYPERLINK("https://www.773grp.com/manufacturer/national-semiconductor?pageNo=67", "National Semiconductor")</f>
        <v>National Semiconductor</v>
      </c>
      <c r="C10654" s="6">
        <v>36</v>
      </c>
      <c r="D10654" s="7">
        <v>22.33</v>
      </c>
      <c r="E10654" t="s">
        <v>33</v>
      </c>
    </row>
    <row r="10655" spans="1:5" x14ac:dyDescent="0.25">
      <c r="A10655" t="str">
        <f>HYPERLINK("https://www.773grp.com/globalSearch/LMH0024MA/page-1", "LMH0024MA")</f>
        <v>LMH0024MA</v>
      </c>
      <c r="B10655" s="3" t="str">
        <f>HYPERLINK("https://www.773grp.com/manufacturer/national-semiconductor?pageNo=68", "National Semiconductor")</f>
        <v>National Semiconductor</v>
      </c>
      <c r="C10655" s="6">
        <v>16</v>
      </c>
      <c r="D10655" s="7">
        <v>22.33</v>
      </c>
      <c r="E10655" t="s">
        <v>78</v>
      </c>
    </row>
    <row r="10656" spans="1:5" x14ac:dyDescent="0.25">
      <c r="A10656" t="str">
        <f>HYPERLINK("https://www.773grp.com/globalSearch/LMH0074SQ/page-1", "LMH0074SQ")</f>
        <v>LMH0074SQ</v>
      </c>
      <c r="B10656" s="3" t="str">
        <f>HYPERLINK("https://www.773grp.com/manufacturer/national-semiconductor?pageNo=69", "National Semiconductor")</f>
        <v>National Semiconductor</v>
      </c>
      <c r="C10656" s="6">
        <v>1000</v>
      </c>
      <c r="D10656" s="7">
        <v>22.33</v>
      </c>
      <c r="E10656" t="s">
        <v>78</v>
      </c>
    </row>
    <row r="10657" spans="1:5" x14ac:dyDescent="0.25">
      <c r="A10657" t="str">
        <f>HYPERLINK("https://www.773grp.com/globalSearch/OPA548T/page-1", "OPA548T")</f>
        <v>OPA548T</v>
      </c>
      <c r="B10657" s="3" t="str">
        <f>HYPERLINK("https://www.773grp.com/manufacturer/national-semiconductor?pageNo=70", "National Semiconductor")</f>
        <v>National Semiconductor</v>
      </c>
      <c r="C10657" s="6">
        <v>89</v>
      </c>
      <c r="D10657" s="7">
        <v>22.33</v>
      </c>
    </row>
    <row r="10658" spans="1:5" x14ac:dyDescent="0.25">
      <c r="A10658" t="str">
        <f>HYPERLINK("https://www.773grp.com/globalSearch/10116FC/page-1", "10116FC")</f>
        <v>10116FC</v>
      </c>
      <c r="B10658" s="3" t="str">
        <f>HYPERLINK("https://www.773grp.com/manufacturer/national-semiconductor?pageNo=71", "National Semiconductor")</f>
        <v>National Semiconductor</v>
      </c>
      <c r="C10658" s="6">
        <v>3168</v>
      </c>
      <c r="D10658" s="7">
        <v>22.36</v>
      </c>
      <c r="E10658" t="s">
        <v>21</v>
      </c>
    </row>
    <row r="10659" spans="1:5" x14ac:dyDescent="0.25">
      <c r="A10659" t="str">
        <f>HYPERLINK("https://www.773grp.com/globalSearch/54H00FM/page-1", "54H00FM")</f>
        <v>54H00FM</v>
      </c>
      <c r="B10659" s="3" t="str">
        <f>HYPERLINK("https://www.773grp.com/manufacturer/national-semiconductor?pageNo=72", "National Semiconductor")</f>
        <v>National Semiconductor</v>
      </c>
      <c r="C10659" s="6">
        <v>878</v>
      </c>
      <c r="D10659" s="7">
        <v>22.36</v>
      </c>
    </row>
    <row r="10660" spans="1:5" x14ac:dyDescent="0.25">
      <c r="A10660" t="str">
        <f>HYPERLINK("https://www.773grp.com/globalSearch/DS64MB201SQE/page-1", "DS64MB201SQE")</f>
        <v>DS64MB201SQE</v>
      </c>
      <c r="B10660" s="3" t="str">
        <f>HYPERLINK("https://www.773grp.com/manufacturer/national-semiconductor?pageNo=73", "National Semiconductor")</f>
        <v>National Semiconductor</v>
      </c>
      <c r="C10660" s="6">
        <v>240</v>
      </c>
      <c r="D10660" s="7">
        <v>22.36</v>
      </c>
    </row>
    <row r="10661" spans="1:5" x14ac:dyDescent="0.25">
      <c r="A10661" t="str">
        <f>HYPERLINK("https://www.773grp.com/globalSearch/LMH0024MA/page-1", "LMH0024MA")</f>
        <v>LMH0024MA</v>
      </c>
      <c r="B10661" s="3" t="str">
        <f>HYPERLINK("https://www.773grp.com/manufacturer/national-semiconductor?pageNo=74", "National Semiconductor")</f>
        <v>National Semiconductor</v>
      </c>
      <c r="C10661" s="6">
        <v>2500</v>
      </c>
      <c r="D10661" s="7">
        <v>22.36</v>
      </c>
      <c r="E10661" t="s">
        <v>78</v>
      </c>
    </row>
    <row r="10662" spans="1:5" x14ac:dyDescent="0.25">
      <c r="A10662" t="str">
        <f>HYPERLINK("https://www.773grp.com/globalSearch/LMZ23603TZX-NOPB/page-1", "LMZ23603TZX-NOPB")</f>
        <v>LMZ23603TZX-NOPB</v>
      </c>
      <c r="B10662" s="3" t="str">
        <f>HYPERLINK("https://www.773grp.com/manufacturer/national-semiconductor?pageNo=75", "National Semiconductor")</f>
        <v>National Semiconductor</v>
      </c>
      <c r="C10662" s="6">
        <v>1000</v>
      </c>
      <c r="D10662" s="7">
        <v>22.36</v>
      </c>
    </row>
    <row r="10663" spans="1:5" x14ac:dyDescent="0.25">
      <c r="A10663" t="str">
        <f>HYPERLINK("https://www.773grp.com/globalSearch/54ALS273E-883/page-1", "54ALS273E-883")</f>
        <v>54ALS273E-883</v>
      </c>
      <c r="B10663" s="3" t="str">
        <f>HYPERLINK("https://www.773grp.com/manufacturer/national-semiconductor?pageNo=76", "National Semiconductor")</f>
        <v>National Semiconductor</v>
      </c>
      <c r="C10663" s="6">
        <v>23</v>
      </c>
      <c r="D10663" s="7">
        <v>22.39</v>
      </c>
    </row>
    <row r="10664" spans="1:5" x14ac:dyDescent="0.25">
      <c r="A10664" t="str">
        <f>HYPERLINK("https://www.773grp.com/globalSearch/54ALS374E-883/page-1", "54ALS374E-883")</f>
        <v>54ALS374E-883</v>
      </c>
      <c r="B10664" s="3" t="str">
        <f>HYPERLINK("https://www.773grp.com/manufacturer/national-semiconductor?pageNo=77", "National Semiconductor")</f>
        <v>National Semiconductor</v>
      </c>
      <c r="C10664" s="6">
        <v>43</v>
      </c>
      <c r="D10664" s="7">
        <v>22.39</v>
      </c>
    </row>
    <row r="10665" spans="1:5" x14ac:dyDescent="0.25">
      <c r="A10665" t="str">
        <f>HYPERLINK("https://www.773grp.com/globalSearch/93L12DM/page-1", "93L12DM")</f>
        <v>93L12DM</v>
      </c>
      <c r="B10665" s="3" t="str">
        <f>HYPERLINK("https://www.773grp.com/manufacturer/national-semiconductor?pageNo=78", "National Semiconductor")</f>
        <v>National Semiconductor</v>
      </c>
      <c r="C10665" s="6">
        <v>11</v>
      </c>
      <c r="D10665" s="7">
        <v>22.45</v>
      </c>
    </row>
    <row r="10666" spans="1:5" x14ac:dyDescent="0.25">
      <c r="A10666" t="str">
        <f>HYPERLINK("https://www.773grp.com/globalSearch/93L14DM/page-1", "93L14DM")</f>
        <v>93L14DM</v>
      </c>
      <c r="B10666" s="3" t="str">
        <f>HYPERLINK("https://www.773grp.com/manufacturer/national-semiconductor?pageNo=79", "National Semiconductor")</f>
        <v>National Semiconductor</v>
      </c>
      <c r="C10666" s="6">
        <v>13</v>
      </c>
      <c r="D10666" s="7">
        <v>22.45</v>
      </c>
    </row>
    <row r="10667" spans="1:5" x14ac:dyDescent="0.25">
      <c r="A10667" t="str">
        <f>HYPERLINK("https://www.773grp.com/globalSearch/DM54LS323J-883/page-1", "DM54LS323J-883")</f>
        <v>DM54LS323J-883</v>
      </c>
      <c r="B10667" s="3" t="str">
        <f>HYPERLINK("https://www.773grp.com/manufacturer/national-semiconductor?pageNo=80", "National Semiconductor")</f>
        <v>National Semiconductor</v>
      </c>
      <c r="C10667" s="6">
        <v>57</v>
      </c>
      <c r="D10667" s="7">
        <v>22.45</v>
      </c>
    </row>
    <row r="10668" spans="1:5" x14ac:dyDescent="0.25">
      <c r="A10668" t="str">
        <f>HYPERLINK("https://www.773grp.com/globalSearch/DM7160J-883/page-1", "DM7160J-883")</f>
        <v>DM7160J-883</v>
      </c>
      <c r="B10668" s="3" t="str">
        <f>HYPERLINK("https://www.773grp.com/manufacturer/national-semiconductor?pageNo=81", "National Semiconductor")</f>
        <v>National Semiconductor</v>
      </c>
      <c r="C10668" s="6">
        <v>5</v>
      </c>
      <c r="D10668" s="7">
        <v>22.48</v>
      </c>
      <c r="E10668" t="s">
        <v>43</v>
      </c>
    </row>
    <row r="10669" spans="1:5" x14ac:dyDescent="0.25">
      <c r="A10669" t="str">
        <f>HYPERLINK("https://www.773grp.com/globalSearch/DS64EV400SQ-NOPB/page-1", "DS64EV400SQ-NOPB")</f>
        <v>DS64EV400SQ-NOPB</v>
      </c>
      <c r="B10669" s="3" t="str">
        <f>HYPERLINK("https://www.773grp.com/manufacturer/national-semiconductor?pageNo=82", "National Semiconductor")</f>
        <v>National Semiconductor</v>
      </c>
      <c r="C10669" s="6">
        <v>388</v>
      </c>
      <c r="D10669" s="7">
        <v>22.48</v>
      </c>
    </row>
    <row r="10670" spans="1:5" x14ac:dyDescent="0.25">
      <c r="A10670" t="str">
        <f>HYPERLINK("https://www.773grp.com/globalSearch/DS80PCI800SQE-NOPB/page-1", "DS80PCI800SQE-NOPB")</f>
        <v>DS80PCI800SQE-NOPB</v>
      </c>
      <c r="B10670" s="3" t="str">
        <f>HYPERLINK("https://www.773grp.com/manufacturer/national-semiconductor?pageNo=83", "National Semiconductor")</f>
        <v>National Semiconductor</v>
      </c>
      <c r="C10670" s="6">
        <v>40</v>
      </c>
      <c r="D10670" s="7">
        <v>22.48</v>
      </c>
    </row>
    <row r="10671" spans="1:5" x14ac:dyDescent="0.25">
      <c r="A10671" t="str">
        <f>HYPERLINK("https://www.773grp.com/globalSearch/54F533FMQB/page-1", "54F533FMQB")</f>
        <v>54F533FMQB</v>
      </c>
      <c r="B10671" s="3" t="str">
        <f>HYPERLINK("https://www.773grp.com/manufacturer/national-semiconductor?pageNo=84", "National Semiconductor")</f>
        <v>National Semiconductor</v>
      </c>
      <c r="C10671" s="6">
        <v>3046</v>
      </c>
      <c r="D10671" s="7">
        <v>22.5</v>
      </c>
      <c r="E10671" t="s">
        <v>14</v>
      </c>
    </row>
    <row r="10672" spans="1:5" x14ac:dyDescent="0.25">
      <c r="A10672" t="str">
        <f>HYPERLINK("https://www.773grp.com/globalSearch/551600142-002/page-1", "551600142-002")</f>
        <v>551600142-002</v>
      </c>
      <c r="B10672" s="3" t="str">
        <f>HYPERLINK("https://www.773grp.com/manufacturer/national-semiconductor?pageNo=85", "National Semiconductor")</f>
        <v>National Semiconductor</v>
      </c>
      <c r="C10672" s="6">
        <v>3</v>
      </c>
      <c r="D10672" s="7">
        <v>22.5</v>
      </c>
    </row>
    <row r="10673" spans="1:5" x14ac:dyDescent="0.25">
      <c r="A10673" t="str">
        <f>HYPERLINK("https://www.773grp.com/globalSearch/DM54S241J-883/page-1", "DM54S241J-883")</f>
        <v>DM54S241J-883</v>
      </c>
      <c r="B10673" s="3" t="str">
        <f>HYPERLINK("https://www.773grp.com/manufacturer/national-semiconductor?pageNo=86", "National Semiconductor")</f>
        <v>National Semiconductor</v>
      </c>
      <c r="C10673" s="6">
        <v>150</v>
      </c>
      <c r="D10673" s="7">
        <v>22.5</v>
      </c>
      <c r="E10673" t="s">
        <v>14</v>
      </c>
    </row>
    <row r="10674" spans="1:5" x14ac:dyDescent="0.25">
      <c r="A10674" t="str">
        <f>HYPERLINK("https://www.773grp.com/globalSearch/DM54S241J-MIL/page-1", "DM54S241J-MIL")</f>
        <v>DM54S241J-MIL</v>
      </c>
      <c r="B10674" s="3" t="str">
        <f>HYPERLINK("https://www.773grp.com/manufacturer/national-semiconductor?pageNo=87", "National Semiconductor")</f>
        <v>National Semiconductor</v>
      </c>
      <c r="C10674" s="6">
        <v>563</v>
      </c>
      <c r="D10674" s="7">
        <v>22.5</v>
      </c>
    </row>
    <row r="10675" spans="1:5" x14ac:dyDescent="0.25">
      <c r="A10675" t="str">
        <f>HYPERLINK("https://www.773grp.com/globalSearch/LM9780CCVS/page-1", "LM9780CCVS")</f>
        <v>LM9780CCVS</v>
      </c>
      <c r="B10675" s="3" t="str">
        <f>HYPERLINK("https://www.773grp.com/manufacturer/national-semiconductor?pageNo=88", "National Semiconductor")</f>
        <v>National Semiconductor</v>
      </c>
      <c r="C10675" s="6">
        <v>12421</v>
      </c>
      <c r="D10675" s="7">
        <v>22.5</v>
      </c>
    </row>
    <row r="10676" spans="1:5" x14ac:dyDescent="0.25">
      <c r="A10676" t="str">
        <f>HYPERLINK("https://www.773grp.com/globalSearch/LMK03002ISQX-NOPB/page-1", "LMK03002ISQX-NOPB")</f>
        <v>LMK03002ISQX-NOPB</v>
      </c>
      <c r="B10676" s="3" t="str">
        <f>HYPERLINK("https://www.773grp.com/manufacturer/national-semiconductor?pageNo=89", "National Semiconductor")</f>
        <v>National Semiconductor</v>
      </c>
      <c r="C10676" s="6">
        <v>2500</v>
      </c>
      <c r="D10676" s="7">
        <v>22.5</v>
      </c>
    </row>
    <row r="10677" spans="1:5" x14ac:dyDescent="0.25">
      <c r="A10677" t="str">
        <f>HYPERLINK("https://www.773grp.com/globalSearch/LMX3150TMX/page-1", "LMX3150TMX")</f>
        <v>LMX3150TMX</v>
      </c>
      <c r="B10677" s="3" t="str">
        <f>HYPERLINK("https://www.773grp.com/manufacturer/national-semiconductor?pageNo=90", "National Semiconductor")</f>
        <v>National Semiconductor</v>
      </c>
      <c r="C10677" s="6">
        <v>5000</v>
      </c>
      <c r="D10677" s="7">
        <v>22.5</v>
      </c>
      <c r="E10677" t="s">
        <v>38</v>
      </c>
    </row>
    <row r="10678" spans="1:5" x14ac:dyDescent="0.25">
      <c r="A10678" t="str">
        <f>HYPERLINK("https://www.773grp.com/globalSearch/CP3CN17K38-NOPB/page-1", "CP3CN17K38-NOPB")</f>
        <v>CP3CN17K38-NOPB</v>
      </c>
      <c r="B10678" s="3" t="str">
        <f>HYPERLINK("https://www.773grp.com/manufacturer/national-semiconductor?pageNo=91", "National Semiconductor")</f>
        <v>National Semiconductor</v>
      </c>
      <c r="C10678" s="6">
        <v>1000</v>
      </c>
      <c r="D10678" s="7">
        <v>22.5</v>
      </c>
    </row>
    <row r="10679" spans="1:5" x14ac:dyDescent="0.25">
      <c r="A10679" t="str">
        <f>HYPERLINK("https://www.773grp.com/globalSearch/LM9780CCVS-NOPB/page-1", "LM9780CCVS-NOPB")</f>
        <v>LM9780CCVS-NOPB</v>
      </c>
      <c r="B10679" s="3" t="str">
        <f>HYPERLINK("https://www.773grp.com/manufacturer/national-semiconductor?pageNo=92", "National Semiconductor")</f>
        <v>National Semiconductor</v>
      </c>
      <c r="C10679" s="6">
        <v>290</v>
      </c>
      <c r="D10679" s="7">
        <v>22.5</v>
      </c>
    </row>
    <row r="10680" spans="1:5" x14ac:dyDescent="0.25">
      <c r="A10680" t="str">
        <f>HYPERLINK("https://www.773grp.com/globalSearch/DS30EA101SQE-NOPB/page-1", "DS30EA101SQE-NOPB")</f>
        <v>DS30EA101SQE-NOPB</v>
      </c>
      <c r="B10680" s="3" t="str">
        <f>HYPERLINK("https://www.773grp.com/manufacturer/national-semiconductor?pageNo=93", "National Semiconductor")</f>
        <v>National Semiconductor</v>
      </c>
      <c r="C10680" s="6">
        <v>250</v>
      </c>
      <c r="D10680" s="7">
        <v>22.61</v>
      </c>
    </row>
    <row r="10681" spans="1:5" x14ac:dyDescent="0.25">
      <c r="A10681" t="str">
        <f>HYPERLINK("https://www.773grp.com/globalSearch/LF13509D/page-1", "LF13509D")</f>
        <v>LF13509D</v>
      </c>
      <c r="B10681" s="3" t="str">
        <f>HYPERLINK("https://www.773grp.com/manufacturer/national-semiconductor?pageNo=94", "National Semiconductor")</f>
        <v>National Semiconductor</v>
      </c>
      <c r="C10681" s="6">
        <v>2847</v>
      </c>
      <c r="D10681" s="7">
        <v>22.65</v>
      </c>
      <c r="E10681" t="s">
        <v>56</v>
      </c>
    </row>
    <row r="10682" spans="1:5" x14ac:dyDescent="0.25">
      <c r="A10682" t="str">
        <f>HYPERLINK("https://www.773grp.com/globalSearch/DAC7614U/page-1", "DAC7614U")</f>
        <v>DAC7614U</v>
      </c>
      <c r="B10682" s="3" t="str">
        <f>HYPERLINK("https://www.773grp.com/manufacturer/national-semiconductor?pageNo=95", "National Semiconductor")</f>
        <v>National Semiconductor</v>
      </c>
      <c r="C10682" s="6">
        <v>40</v>
      </c>
      <c r="D10682" s="7">
        <v>22.65</v>
      </c>
    </row>
    <row r="10683" spans="1:5" x14ac:dyDescent="0.25">
      <c r="A10683" t="str">
        <f>HYPERLINK("https://www.773grp.com/globalSearch/DAC7615U/page-1", "DAC7615U")</f>
        <v>DAC7615U</v>
      </c>
      <c r="B10683" s="3" t="str">
        <f>HYPERLINK("https://www.773grp.com/manufacturer/national-semiconductor?pageNo=96", "National Semiconductor")</f>
        <v>National Semiconductor</v>
      </c>
      <c r="C10683" s="6">
        <v>13200</v>
      </c>
      <c r="D10683" s="7">
        <v>22.65</v>
      </c>
    </row>
    <row r="10684" spans="1:5" x14ac:dyDescent="0.25">
      <c r="A10684" t="str">
        <f>HYPERLINK("https://www.773grp.com/globalSearch/DS90CR484AVJDX-NOPB/page-1", "DS90CR484AVJDX-NOPB")</f>
        <v>DS90CR484AVJDX-NOPB</v>
      </c>
      <c r="B10684" s="3" t="str">
        <f>HYPERLINK("https://www.773grp.com/manufacturer/national-semiconductor?pageNo=97", "National Semiconductor")</f>
        <v>National Semiconductor</v>
      </c>
      <c r="C10684" s="6">
        <v>1000</v>
      </c>
      <c r="D10684" s="7">
        <v>22.66</v>
      </c>
    </row>
    <row r="10685" spans="1:5" x14ac:dyDescent="0.25">
      <c r="A10685" t="str">
        <f>HYPERLINK("https://www.773grp.com/globalSearch/SN74ALS869NT/page-1", "SN74ALS869NT")</f>
        <v>SN74ALS869NT</v>
      </c>
      <c r="B10685" s="3" t="str">
        <f>HYPERLINK("https://www.773grp.com/manufacturer/national-semiconductor?pageNo=98", "National Semiconductor")</f>
        <v>National Semiconductor</v>
      </c>
      <c r="C10685" s="6">
        <v>16</v>
      </c>
      <c r="D10685" s="7">
        <v>22.7</v>
      </c>
    </row>
    <row r="10686" spans="1:5" x14ac:dyDescent="0.25">
      <c r="A10686" t="str">
        <f>HYPERLINK("https://www.773grp.com/globalSearch/54F132LMQB/page-1", "54F132LMQB")</f>
        <v>54F132LMQB</v>
      </c>
      <c r="B10686" s="3" t="str">
        <f>HYPERLINK("https://www.773grp.com/manufacturer/national-semiconductor?pageNo=99", "National Semiconductor")</f>
        <v>National Semiconductor</v>
      </c>
      <c r="C10686" s="6">
        <v>932</v>
      </c>
      <c r="D10686" s="7">
        <v>22.73</v>
      </c>
      <c r="E10686" t="s">
        <v>31</v>
      </c>
    </row>
    <row r="10687" spans="1:5" x14ac:dyDescent="0.25">
      <c r="A10687" t="str">
        <f>HYPERLINK("https://www.773grp.com/globalSearch/SCANSTA101SM-NOPB/page-1", "SCANSTA101SM-NOPB")</f>
        <v>SCANSTA101SM-NOPB</v>
      </c>
      <c r="B10687" s="3" t="str">
        <f>HYPERLINK("https://www.773grp.com/manufacturer/national-semiconductor?pageNo=100", "National Semiconductor")</f>
        <v>National Semiconductor</v>
      </c>
      <c r="C10687" s="6">
        <v>1594</v>
      </c>
      <c r="D10687" s="7">
        <v>22.73</v>
      </c>
      <c r="E10687" t="s">
        <v>42</v>
      </c>
    </row>
    <row r="10688" spans="1:5" x14ac:dyDescent="0.25">
      <c r="A10688" t="str">
        <f>HYPERLINK("https://www.773grp.com/globalSearch/SCANSTA101SM-NOPB/page-1", "SCANSTA101SM-NOPB")</f>
        <v>SCANSTA101SM-NOPB</v>
      </c>
      <c r="B10688" s="3" t="str">
        <f>HYPERLINK("https://www.773grp.com/manufacturer/national-semiconductor?pageNo=101", "National Semiconductor")</f>
        <v>National Semiconductor</v>
      </c>
      <c r="C10688" s="6">
        <v>449</v>
      </c>
      <c r="D10688" s="7">
        <v>22.73</v>
      </c>
      <c r="E10688" t="s">
        <v>42</v>
      </c>
    </row>
    <row r="10689" spans="1:5" x14ac:dyDescent="0.25">
      <c r="A10689" t="str">
        <f>HYPERLINK("https://www.773grp.com/globalSearch/54LS670LMQB/page-1", "54LS670LMQB")</f>
        <v>54LS670LMQB</v>
      </c>
      <c r="B10689" s="3" t="str">
        <f>HYPERLINK("https://www.773grp.com/manufacturer/national-semiconductor?pageNo=102", "National Semiconductor")</f>
        <v>National Semiconductor</v>
      </c>
      <c r="C10689" s="6">
        <v>377</v>
      </c>
      <c r="D10689" s="7">
        <v>22.79</v>
      </c>
      <c r="E10689" t="s">
        <v>75</v>
      </c>
    </row>
    <row r="10690" spans="1:5" x14ac:dyDescent="0.25">
      <c r="A10690" t="str">
        <f>HYPERLINK("https://www.773grp.com/globalSearch/ADC11DL066CIVS/page-1", "ADC11DL066CIVS")</f>
        <v>ADC11DL066CIVS</v>
      </c>
      <c r="B10690" s="3" t="str">
        <f>HYPERLINK("https://www.773grp.com/manufacturer/national-semiconductor?pageNo=103", "National Semiconductor")</f>
        <v>National Semiconductor</v>
      </c>
      <c r="C10690" s="6">
        <v>71</v>
      </c>
      <c r="D10690" s="7">
        <v>22.79</v>
      </c>
      <c r="E10690" t="s">
        <v>39</v>
      </c>
    </row>
    <row r="10691" spans="1:5" x14ac:dyDescent="0.25">
      <c r="A10691" t="str">
        <f>HYPERLINK("https://www.773grp.com/globalSearch/LM98513CCMTX-NOPB/page-1", "LM98513CCMTX-NOPB")</f>
        <v>LM98513CCMTX-NOPB</v>
      </c>
      <c r="B10691" s="3" t="str">
        <f>HYPERLINK("https://www.773grp.com/manufacturer/national-semiconductor?pageNo=104", "National Semiconductor")</f>
        <v>National Semiconductor</v>
      </c>
      <c r="C10691" s="6">
        <v>14200</v>
      </c>
      <c r="D10691" s="7">
        <v>22.79</v>
      </c>
    </row>
    <row r="10692" spans="1:5" x14ac:dyDescent="0.25">
      <c r="A10692" t="str">
        <f>HYPERLINK("https://www.773grp.com/globalSearch/LMD18200T-LF14/page-1", "LMD18200T-LF14")</f>
        <v>LMD18200T-LF14</v>
      </c>
      <c r="B10692" s="3" t="str">
        <f>HYPERLINK("https://www.773grp.com/manufacturer/national-semiconductor?pageNo=105", "National Semiconductor")</f>
        <v>National Semiconductor</v>
      </c>
      <c r="C10692" s="6">
        <v>36</v>
      </c>
      <c r="D10692" s="7">
        <v>22.79</v>
      </c>
    </row>
    <row r="10693" spans="1:5" x14ac:dyDescent="0.25">
      <c r="A10693" t="str">
        <f>HYPERLINK("https://www.773grp.com/globalSearch/LMD18200T-NOPB/page-1", "LMD18200T-NOPB")</f>
        <v>LMD18200T-NOPB</v>
      </c>
      <c r="B10693" s="3" t="str">
        <f>HYPERLINK("https://www.773grp.com/manufacturer/national-semiconductor?pageNo=106", "National Semiconductor")</f>
        <v>National Semiconductor</v>
      </c>
      <c r="C10693" s="6">
        <v>123</v>
      </c>
      <c r="D10693" s="7">
        <v>22.79</v>
      </c>
      <c r="E10693" t="s">
        <v>11</v>
      </c>
    </row>
    <row r="10694" spans="1:5" x14ac:dyDescent="0.25">
      <c r="A10694" t="str">
        <f>HYPERLINK("https://www.773grp.com/globalSearch/LMZ14202TZE-ADJ-NOPB/page-1", "LMZ14202TZE-ADJ-NOPB")</f>
        <v>LMZ14202TZE-ADJ-NOPB</v>
      </c>
      <c r="B10694" s="3" t="str">
        <f>HYPERLINK("https://www.773grp.com/manufacturer/national-semiconductor?pageNo=107", "National Semiconductor")</f>
        <v>National Semiconductor</v>
      </c>
      <c r="C10694" s="6">
        <v>25</v>
      </c>
      <c r="D10694" s="7">
        <v>22.79</v>
      </c>
    </row>
    <row r="10695" spans="1:5" x14ac:dyDescent="0.25">
      <c r="A10695" t="str">
        <f>HYPERLINK("https://www.773grp.com/globalSearch/LM98513CCMTX-NOPB/page-1", "LM98513CCMTX-NOPB")</f>
        <v>LM98513CCMTX-NOPB</v>
      </c>
      <c r="B10695" s="3" t="str">
        <f>HYPERLINK("https://www.773grp.com/manufacturer/national-semiconductor?pageNo=108", "National Semiconductor")</f>
        <v>National Semiconductor</v>
      </c>
      <c r="C10695" s="6">
        <v>1000</v>
      </c>
      <c r="D10695" s="7">
        <v>22.79</v>
      </c>
    </row>
    <row r="10696" spans="1:5" x14ac:dyDescent="0.25">
      <c r="A10696" t="str">
        <f>HYPERLINK("https://www.773grp.com/globalSearch/LMD18200T-NOPB/page-1", "LMD18200T-NOPB")</f>
        <v>LMD18200T-NOPB</v>
      </c>
      <c r="B10696" s="3" t="str">
        <f>HYPERLINK("https://www.773grp.com/manufacturer/national-semiconductor?pageNo=109", "National Semiconductor")</f>
        <v>National Semiconductor</v>
      </c>
      <c r="C10696" s="6">
        <v>3120</v>
      </c>
      <c r="D10696" s="7">
        <v>22.79</v>
      </c>
      <c r="E10696" t="s">
        <v>11</v>
      </c>
    </row>
    <row r="10697" spans="1:5" x14ac:dyDescent="0.25">
      <c r="A10697" t="str">
        <f>HYPERLINK("https://www.773grp.com/globalSearch/9348PC/page-1", "9348PC")</f>
        <v>9348PC</v>
      </c>
      <c r="B10697" s="3" t="str">
        <f>HYPERLINK("https://www.773grp.com/manufacturer/national-semiconductor?pageNo=110", "National Semiconductor")</f>
        <v>National Semiconductor</v>
      </c>
      <c r="C10697" s="6">
        <v>11388</v>
      </c>
      <c r="D10697" s="7">
        <v>22.81</v>
      </c>
    </row>
    <row r="10698" spans="1:5" x14ac:dyDescent="0.25">
      <c r="A10698" t="str">
        <f>HYPERLINK("https://www.773grp.com/globalSearch/9822DC/page-1", "9822DC")</f>
        <v>9822DC</v>
      </c>
      <c r="B10698" s="3" t="str">
        <f>HYPERLINK("https://www.773grp.com/manufacturer/national-semiconductor?pageNo=111", "National Semiconductor")</f>
        <v>National Semiconductor</v>
      </c>
      <c r="C10698" s="6">
        <v>6112</v>
      </c>
      <c r="D10698" s="7">
        <v>22.81</v>
      </c>
    </row>
    <row r="10699" spans="1:5" x14ac:dyDescent="0.25">
      <c r="A10699" t="str">
        <f>HYPERLINK("https://www.773grp.com/globalSearch/9823DC/page-1", "9823DC")</f>
        <v>9823DC</v>
      </c>
      <c r="B10699" s="3" t="str">
        <f>HYPERLINK("https://www.773grp.com/manufacturer/national-semiconductor?pageNo=112", "National Semiconductor")</f>
        <v>National Semiconductor</v>
      </c>
      <c r="C10699" s="6">
        <v>5447</v>
      </c>
      <c r="D10699" s="7">
        <v>22.81</v>
      </c>
    </row>
    <row r="10700" spans="1:5" x14ac:dyDescent="0.25">
      <c r="A10700" t="str">
        <f>HYPERLINK("https://www.773grp.com/globalSearch/9824DC/page-1", "9824DC")</f>
        <v>9824DC</v>
      </c>
      <c r="B10700" s="3" t="str">
        <f>HYPERLINK("https://www.773grp.com/manufacturer/national-semiconductor?pageNo=113", "National Semiconductor")</f>
        <v>National Semiconductor</v>
      </c>
      <c r="C10700" s="6">
        <v>14399</v>
      </c>
      <c r="D10700" s="7">
        <v>22.81</v>
      </c>
    </row>
    <row r="10701" spans="1:5" x14ac:dyDescent="0.25">
      <c r="A10701" t="str">
        <f>HYPERLINK("https://www.773grp.com/globalSearch/9828DC/page-1", "9828DC")</f>
        <v>9828DC</v>
      </c>
      <c r="B10701" s="3" t="str">
        <f>HYPERLINK("https://www.773grp.com/manufacturer/national-semiconductor?pageNo=114", "National Semiconductor")</f>
        <v>National Semiconductor</v>
      </c>
      <c r="C10701" s="6">
        <v>10536</v>
      </c>
      <c r="D10701" s="7">
        <v>22.81</v>
      </c>
    </row>
    <row r="10702" spans="1:5" x14ac:dyDescent="0.25">
      <c r="A10702" t="str">
        <f>HYPERLINK("https://www.773grp.com/globalSearch/9834DC/page-1", "9834DC")</f>
        <v>9834DC</v>
      </c>
      <c r="B10702" s="3" t="str">
        <f>HYPERLINK("https://www.773grp.com/manufacturer/national-semiconductor?pageNo=115", "National Semiconductor")</f>
        <v>National Semiconductor</v>
      </c>
      <c r="C10702" s="6">
        <v>10903</v>
      </c>
      <c r="D10702" s="7">
        <v>22.81</v>
      </c>
    </row>
    <row r="10703" spans="1:5" x14ac:dyDescent="0.25">
      <c r="A10703" t="str">
        <f>HYPERLINK("https://www.773grp.com/globalSearch/9838DC/page-1", "9838DC")</f>
        <v>9838DC</v>
      </c>
      <c r="B10703" s="3" t="str">
        <f>HYPERLINK("https://www.773grp.com/manufacturer/national-semiconductor?pageNo=116", "National Semiconductor")</f>
        <v>National Semiconductor</v>
      </c>
      <c r="C10703" s="6">
        <v>36507</v>
      </c>
      <c r="D10703" s="7">
        <v>22.81</v>
      </c>
    </row>
    <row r="10704" spans="1:5" x14ac:dyDescent="0.25">
      <c r="A10704" t="str">
        <f>HYPERLINK("https://www.773grp.com/globalSearch/9856DC/page-1", "9856DC")</f>
        <v>9856DC</v>
      </c>
      <c r="B10704" s="3" t="str">
        <f>HYPERLINK("https://www.773grp.com/manufacturer/national-semiconductor?pageNo=117", "National Semiconductor")</f>
        <v>National Semiconductor</v>
      </c>
      <c r="C10704" s="6">
        <v>240079</v>
      </c>
      <c r="D10704" s="7">
        <v>22.81</v>
      </c>
    </row>
    <row r="10705" spans="1:5" x14ac:dyDescent="0.25">
      <c r="A10705" t="str">
        <f>HYPERLINK("https://www.773grp.com/globalSearch/9864DC/page-1", "9864DC")</f>
        <v>9864DC</v>
      </c>
      <c r="B10705" s="3" t="str">
        <f>HYPERLINK("https://www.773grp.com/manufacturer/national-semiconductor?pageNo=118", "National Semiconductor")</f>
        <v>National Semiconductor</v>
      </c>
      <c r="C10705" s="6">
        <v>2762</v>
      </c>
      <c r="D10705" s="7">
        <v>22.81</v>
      </c>
    </row>
    <row r="10706" spans="1:5" x14ac:dyDescent="0.25">
      <c r="A10706" t="str">
        <f>HYPERLINK("https://www.773grp.com/globalSearch/9872DC/page-1", "9872DC")</f>
        <v>9872DC</v>
      </c>
      <c r="B10706" s="3" t="str">
        <f>HYPERLINK("https://www.773grp.com/manufacturer/national-semiconductor?pageNo=119", "National Semiconductor")</f>
        <v>National Semiconductor</v>
      </c>
      <c r="C10706" s="6">
        <v>3123</v>
      </c>
      <c r="D10706" s="7">
        <v>22.81</v>
      </c>
    </row>
    <row r="10707" spans="1:5" x14ac:dyDescent="0.25">
      <c r="A10707" t="str">
        <f>HYPERLINK("https://www.773grp.com/globalSearch/9881DC/page-1", "9881DC")</f>
        <v>9881DC</v>
      </c>
      <c r="B10707" s="3" t="str">
        <f>HYPERLINK("https://www.773grp.com/manufacturer/national-semiconductor?pageNo=120", "National Semiconductor")</f>
        <v>National Semiconductor</v>
      </c>
      <c r="C10707" s="6">
        <v>21378</v>
      </c>
      <c r="D10707" s="7">
        <v>22.81</v>
      </c>
    </row>
    <row r="10708" spans="1:5" x14ac:dyDescent="0.25">
      <c r="A10708" t="str">
        <f>HYPERLINK("https://www.773grp.com/globalSearch/9883DC/page-1", "9883DC")</f>
        <v>9883DC</v>
      </c>
      <c r="B10708" s="3" t="str">
        <f>HYPERLINK("https://www.773grp.com/manufacturer/national-semiconductor?pageNo=121", "National Semiconductor")</f>
        <v>National Semiconductor</v>
      </c>
      <c r="C10708" s="6">
        <v>2957</v>
      </c>
      <c r="D10708" s="7">
        <v>22.81</v>
      </c>
    </row>
    <row r="10709" spans="1:5" x14ac:dyDescent="0.25">
      <c r="A10709" t="str">
        <f>HYPERLINK("https://www.773grp.com/globalSearch/COP8SGR744V8-NOPB/page-1", "COP8SGR744V8-NOPB")</f>
        <v>COP8SGR744V8-NOPB</v>
      </c>
      <c r="B10709" s="3" t="str">
        <f>HYPERLINK("https://www.773grp.com/manufacturer/national-semiconductor?pageNo=122", "National Semiconductor")</f>
        <v>National Semiconductor</v>
      </c>
      <c r="C10709" s="6">
        <v>195</v>
      </c>
      <c r="D10709" s="7">
        <v>22.9</v>
      </c>
      <c r="E10709" t="s">
        <v>52</v>
      </c>
    </row>
    <row r="10710" spans="1:5" x14ac:dyDescent="0.25">
      <c r="A10710" t="str">
        <f>HYPERLINK("https://www.773grp.com/globalSearch/COP8SGR744V8-NOPB/page-1", "COP8SGR744V8-NOPB")</f>
        <v>COP8SGR744V8-NOPB</v>
      </c>
      <c r="B10710" s="3" t="str">
        <f>HYPERLINK("https://www.773grp.com/manufacturer/national-semiconductor?pageNo=123", "National Semiconductor")</f>
        <v>National Semiconductor</v>
      </c>
      <c r="C10710" s="6">
        <v>75</v>
      </c>
      <c r="D10710" s="7">
        <v>22.9</v>
      </c>
      <c r="E10710" t="s">
        <v>52</v>
      </c>
    </row>
    <row r="10711" spans="1:5" x14ac:dyDescent="0.25">
      <c r="A10711" t="str">
        <f>HYPERLINK("https://www.773grp.com/globalSearch/CD40161BMW-883/page-1", "CD40161BMW-883")</f>
        <v>CD40161BMW-883</v>
      </c>
      <c r="B10711" s="3" t="str">
        <f>HYPERLINK("https://www.773grp.com/manufacturer/national-semiconductor?pageNo=124", "National Semiconductor")</f>
        <v>National Semiconductor</v>
      </c>
      <c r="C10711" s="6">
        <v>5</v>
      </c>
      <c r="D10711" s="7">
        <v>22.91</v>
      </c>
    </row>
    <row r="10712" spans="1:5" x14ac:dyDescent="0.25">
      <c r="A10712" t="str">
        <f>HYPERLINK("https://www.773grp.com/globalSearch/CD4069MW-883/page-1", "CD4069MW-883")</f>
        <v>CD4069MW-883</v>
      </c>
      <c r="B10712" s="3" t="str">
        <f>HYPERLINK("https://www.773grp.com/manufacturer/national-semiconductor?pageNo=125", "National Semiconductor")</f>
        <v>National Semiconductor</v>
      </c>
      <c r="C10712" s="6">
        <v>9</v>
      </c>
      <c r="D10712" s="7">
        <v>22.91</v>
      </c>
    </row>
    <row r="10713" spans="1:5" x14ac:dyDescent="0.25">
      <c r="A10713" t="str">
        <f>HYPERLINK("https://www.773grp.com/globalSearch/DM54153J-883/page-1", "DM54153J-883")</f>
        <v>DM54153J-883</v>
      </c>
      <c r="B10713" s="3" t="str">
        <f>HYPERLINK("https://www.773grp.com/manufacturer/national-semiconductor?pageNo=126", "National Semiconductor")</f>
        <v>National Semiconductor</v>
      </c>
      <c r="C10713" s="6">
        <v>146</v>
      </c>
      <c r="D10713" s="7">
        <v>22.91</v>
      </c>
      <c r="E10713" t="s">
        <v>20</v>
      </c>
    </row>
    <row r="10714" spans="1:5" x14ac:dyDescent="0.25">
      <c r="A10714" t="str">
        <f>HYPERLINK("https://www.773grp.com/globalSearch/DM54180J-883/page-1", "DM54180J-883")</f>
        <v>DM54180J-883</v>
      </c>
      <c r="B10714" s="3" t="str">
        <f>HYPERLINK("https://www.773grp.com/manufacturer/national-semiconductor?pageNo=127", "National Semiconductor")</f>
        <v>National Semiconductor</v>
      </c>
      <c r="C10714" s="6">
        <v>23</v>
      </c>
      <c r="D10714" s="7">
        <v>22.91</v>
      </c>
      <c r="E10714" t="s">
        <v>43</v>
      </c>
    </row>
    <row r="10715" spans="1:5" x14ac:dyDescent="0.25">
      <c r="A10715" t="str">
        <f>HYPERLINK("https://www.773grp.com/globalSearch/DM9311J-883/page-1", "DM9311J-883")</f>
        <v>DM9311J-883</v>
      </c>
      <c r="B10715" s="3" t="str">
        <f>HYPERLINK("https://www.773grp.com/manufacturer/national-semiconductor?pageNo=128", "National Semiconductor")</f>
        <v>National Semiconductor</v>
      </c>
      <c r="C10715" s="6">
        <v>39</v>
      </c>
      <c r="D10715" s="7">
        <v>22.91</v>
      </c>
      <c r="E10715" t="s">
        <v>36</v>
      </c>
    </row>
    <row r="10716" spans="1:5" x14ac:dyDescent="0.25">
      <c r="A10716" t="str">
        <f>HYPERLINK("https://www.773grp.com/globalSearch/JD54LS253BFA/page-1", "JD54LS253BFA")</f>
        <v>JD54LS253BFA</v>
      </c>
      <c r="B10716" s="3" t="str">
        <f>HYPERLINK("https://www.773grp.com/manufacturer/national-semiconductor?pageNo=129", "National Semiconductor")</f>
        <v>National Semiconductor</v>
      </c>
      <c r="C10716" s="6">
        <v>213</v>
      </c>
      <c r="D10716" s="7">
        <v>22.91</v>
      </c>
    </row>
    <row r="10717" spans="1:5" x14ac:dyDescent="0.25">
      <c r="A10717" t="str">
        <f>HYPERLINK("https://www.773grp.com/globalSearch/LF13333D/page-1", "LF13333D")</f>
        <v>LF13333D</v>
      </c>
      <c r="B10717" s="3" t="str">
        <f>HYPERLINK("https://www.773grp.com/manufacturer/national-semiconductor?pageNo=130", "National Semiconductor")</f>
        <v>National Semiconductor</v>
      </c>
      <c r="C10717" s="6">
        <v>1287</v>
      </c>
      <c r="D10717" s="7">
        <v>22.91</v>
      </c>
      <c r="E10717" t="s">
        <v>56</v>
      </c>
    </row>
    <row r="10718" spans="1:5" x14ac:dyDescent="0.25">
      <c r="A10718" t="str">
        <f>HYPERLINK("https://www.773grp.com/globalSearch/LM35CAH/page-1", "LM35CAH")</f>
        <v>LM35CAH</v>
      </c>
      <c r="B10718" s="3" t="str">
        <f>HYPERLINK("https://www.773grp.com/manufacturer/national-semiconductor?pageNo=131", "National Semiconductor")</f>
        <v>National Semiconductor</v>
      </c>
      <c r="C10718" s="6">
        <v>2084</v>
      </c>
      <c r="D10718" s="7">
        <v>22.95</v>
      </c>
      <c r="E10718" t="s">
        <v>8</v>
      </c>
    </row>
    <row r="10719" spans="1:5" x14ac:dyDescent="0.25">
      <c r="A10719" t="str">
        <f>HYPERLINK("https://www.773grp.com/globalSearch/LM35CAH-NOPB/page-1", "LM35CAH-NOPB")</f>
        <v>LM35CAH-NOPB</v>
      </c>
      <c r="B10719" s="3" t="str">
        <f>HYPERLINK("https://www.773grp.com/manufacturer/national-semiconductor?pageNo=132", "National Semiconductor")</f>
        <v>National Semiconductor</v>
      </c>
      <c r="C10719" s="6">
        <v>66</v>
      </c>
      <c r="D10719" s="7">
        <v>22.95</v>
      </c>
      <c r="E10719" t="s">
        <v>8</v>
      </c>
    </row>
    <row r="10720" spans="1:5" x14ac:dyDescent="0.25">
      <c r="A10720" t="str">
        <f>HYPERLINK("https://www.773grp.com/globalSearch/LM35CAH-NOPB/page-1", "LM35CAH-NOPB")</f>
        <v>LM35CAH-NOPB</v>
      </c>
      <c r="B10720" s="3" t="str">
        <f>HYPERLINK("https://www.773grp.com/manufacturer/national-semiconductor?pageNo=133", "National Semiconductor")</f>
        <v>National Semiconductor</v>
      </c>
      <c r="C10720" s="6">
        <v>525</v>
      </c>
      <c r="D10720" s="7">
        <v>22.95</v>
      </c>
      <c r="E10720" t="s">
        <v>8</v>
      </c>
    </row>
    <row r="10721" spans="1:5" x14ac:dyDescent="0.25">
      <c r="A10721" t="str">
        <f>HYPERLINK("https://www.773grp.com/globalSearch/DAC1000LCN/page-1", "DAC1000LCN")</f>
        <v>DAC1000LCN</v>
      </c>
      <c r="B10721" s="3" t="str">
        <f>HYPERLINK("https://www.773grp.com/manufacturer/national-semiconductor?pageNo=134", "National Semiconductor")</f>
        <v>National Semiconductor</v>
      </c>
      <c r="C10721" s="6">
        <v>80</v>
      </c>
      <c r="D10721" s="7">
        <v>23.04</v>
      </c>
      <c r="E10721" t="s">
        <v>33</v>
      </c>
    </row>
    <row r="10722" spans="1:5" x14ac:dyDescent="0.25">
      <c r="A10722" t="str">
        <f>HYPERLINK("https://www.773grp.com/globalSearch/5962-9076610MEA/page-1", "5962-9076610MEA")</f>
        <v>5962-9076610MEA</v>
      </c>
      <c r="B10722" s="3" t="str">
        <f>HYPERLINK("https://www.773grp.com/manufacturer/national-semiconductor?pageNo=1", "National Semiconductor")</f>
        <v>National Semiconductor</v>
      </c>
      <c r="C10722" s="6">
        <v>3</v>
      </c>
      <c r="D10722" s="7">
        <v>23.06</v>
      </c>
    </row>
    <row r="10723" spans="1:5" x14ac:dyDescent="0.25">
      <c r="A10723" t="str">
        <f>HYPERLINK("https://www.773grp.com/globalSearch/ADC1031CIN/page-1", "ADC1031CIN")</f>
        <v>ADC1031CIN</v>
      </c>
      <c r="B10723" s="3" t="str">
        <f>HYPERLINK("https://www.773grp.com/manufacturer/national-semiconductor?pageNo=2", "National Semiconductor")</f>
        <v>National Semiconductor</v>
      </c>
      <c r="C10723" s="6">
        <v>796</v>
      </c>
      <c r="D10723" s="7">
        <v>23.06</v>
      </c>
      <c r="E10723" t="s">
        <v>39</v>
      </c>
    </row>
    <row r="10724" spans="1:5" x14ac:dyDescent="0.25">
      <c r="A10724" t="str">
        <f>HYPERLINK("https://www.773grp.com/globalSearch/LMK03000DISQE-NOPB/page-1", "LMK03000DISQE-NOPB")</f>
        <v>LMK03000DISQE-NOPB</v>
      </c>
      <c r="B10724" s="3" t="str">
        <f>HYPERLINK("https://www.773grp.com/manufacturer/national-semiconductor?pageNo=3", "National Semiconductor")</f>
        <v>National Semiconductor</v>
      </c>
      <c r="C10724" s="6">
        <v>185</v>
      </c>
      <c r="D10724" s="7">
        <v>23.06</v>
      </c>
    </row>
    <row r="10725" spans="1:5" x14ac:dyDescent="0.25">
      <c r="A10725" t="str">
        <f>HYPERLINK("https://www.773grp.com/globalSearch/LMK03001DISQE-NOPB/page-1", "LMK03001DISQE-NOPB")</f>
        <v>LMK03001DISQE-NOPB</v>
      </c>
      <c r="B10725" s="3" t="str">
        <f>HYPERLINK("https://www.773grp.com/manufacturer/national-semiconductor?pageNo=4", "National Semiconductor")</f>
        <v>National Semiconductor</v>
      </c>
      <c r="C10725" s="6">
        <v>250</v>
      </c>
      <c r="D10725" s="7">
        <v>23.06</v>
      </c>
    </row>
    <row r="10726" spans="1:5" x14ac:dyDescent="0.25">
      <c r="A10726" t="str">
        <f>HYPERLINK("https://www.773grp.com/globalSearch/LMK03000DISQE-NOPB/page-1", "LMK03000DISQE-NOPB")</f>
        <v>LMK03000DISQE-NOPB</v>
      </c>
      <c r="B10726" s="3" t="str">
        <f>HYPERLINK("https://www.773grp.com/manufacturer/national-semiconductor?pageNo=5", "National Semiconductor")</f>
        <v>National Semiconductor</v>
      </c>
      <c r="C10726" s="6">
        <v>1936</v>
      </c>
      <c r="D10726" s="7">
        <v>23.06</v>
      </c>
    </row>
    <row r="10727" spans="1:5" x14ac:dyDescent="0.25">
      <c r="A10727" t="str">
        <f>HYPERLINK("https://www.773grp.com/globalSearch/LMK03001DISQE-NOPB/page-1", "LMK03001DISQE-NOPB")</f>
        <v>LMK03001DISQE-NOPB</v>
      </c>
      <c r="B10727" s="3" t="str">
        <f>HYPERLINK("https://www.773grp.com/manufacturer/national-semiconductor?pageNo=6", "National Semiconductor")</f>
        <v>National Semiconductor</v>
      </c>
      <c r="C10727" s="6">
        <v>1450</v>
      </c>
      <c r="D10727" s="7">
        <v>23.06</v>
      </c>
    </row>
    <row r="10728" spans="1:5" x14ac:dyDescent="0.25">
      <c r="A10728" t="str">
        <f>HYPERLINK("https://www.773grp.com/globalSearch/93L24DM/page-1", "93L24DM")</f>
        <v>93L24DM</v>
      </c>
      <c r="B10728" s="3" t="str">
        <f>HYPERLINK("https://www.773grp.com/manufacturer/national-semiconductor?pageNo=7", "National Semiconductor")</f>
        <v>National Semiconductor</v>
      </c>
      <c r="C10728" s="6">
        <v>489</v>
      </c>
      <c r="D10728" s="7">
        <v>23.13</v>
      </c>
    </row>
    <row r="10729" spans="1:5" x14ac:dyDescent="0.25">
      <c r="A10729" t="str">
        <f>HYPERLINK("https://www.773grp.com/globalSearch/TP11368V/page-1", "TP11368V")</f>
        <v>TP11368V</v>
      </c>
      <c r="B10729" s="3" t="str">
        <f>HYPERLINK("https://www.773grp.com/manufacturer/national-semiconductor?pageNo=8", "National Semiconductor")</f>
        <v>National Semiconductor</v>
      </c>
      <c r="C10729" s="6">
        <v>637</v>
      </c>
      <c r="D10729" s="7">
        <v>23.15</v>
      </c>
      <c r="E10729" t="s">
        <v>66</v>
      </c>
    </row>
    <row r="10730" spans="1:5" x14ac:dyDescent="0.25">
      <c r="A10730" t="str">
        <f>HYPERLINK("https://www.773grp.com/globalSearch/TP11368V/page-1", "TP11368V")</f>
        <v>TP11368V</v>
      </c>
      <c r="B10730" s="3" t="str">
        <f>HYPERLINK("https://www.773grp.com/manufacturer/national-semiconductor?pageNo=9", "National Semiconductor")</f>
        <v>National Semiconductor</v>
      </c>
      <c r="C10730" s="6">
        <v>3570</v>
      </c>
      <c r="D10730" s="7">
        <v>23.15</v>
      </c>
      <c r="E10730" t="s">
        <v>66</v>
      </c>
    </row>
    <row r="10731" spans="1:5" x14ac:dyDescent="0.25">
      <c r="A10731" t="str">
        <f>HYPERLINK("https://www.773grp.com/globalSearch/DS90UR916QSQX/page-1", "DS90UR916QSQX")</f>
        <v>DS90UR916QSQX</v>
      </c>
      <c r="B10731" s="3" t="str">
        <f>HYPERLINK("https://www.773grp.com/manufacturer/national-semiconductor?pageNo=10", "National Semiconductor")</f>
        <v>National Semiconductor</v>
      </c>
      <c r="C10731" s="6">
        <v>2000</v>
      </c>
      <c r="D10731" s="7">
        <v>23.2</v>
      </c>
    </row>
    <row r="10732" spans="1:5" x14ac:dyDescent="0.25">
      <c r="A10732" t="str">
        <f>HYPERLINK("https://www.773grp.com/globalSearch/54F174LMQB/page-1", "54F174LMQB")</f>
        <v>54F174LMQB</v>
      </c>
      <c r="B10732" s="3" t="str">
        <f>HYPERLINK("https://www.773grp.com/manufacturer/national-semiconductor?pageNo=11", "National Semiconductor")</f>
        <v>National Semiconductor</v>
      </c>
      <c r="C10732" s="6">
        <v>705</v>
      </c>
      <c r="D10732" s="7">
        <v>23.25</v>
      </c>
      <c r="E10732" t="s">
        <v>35</v>
      </c>
    </row>
    <row r="10733" spans="1:5" x14ac:dyDescent="0.25">
      <c r="A10733" t="str">
        <f>HYPERLINK("https://www.773grp.com/globalSearch/54F175FMQB/page-1", "54F175FMQB")</f>
        <v>54F175FMQB</v>
      </c>
      <c r="B10733" s="3" t="str">
        <f>HYPERLINK("https://www.773grp.com/manufacturer/national-semiconductor?pageNo=12", "National Semiconductor")</f>
        <v>National Semiconductor</v>
      </c>
      <c r="C10733" s="6">
        <v>409</v>
      </c>
      <c r="D10733" s="7">
        <v>23.25</v>
      </c>
      <c r="E10733" t="s">
        <v>35</v>
      </c>
    </row>
    <row r="10734" spans="1:5" x14ac:dyDescent="0.25">
      <c r="A10734" t="str">
        <f>HYPERLINK("https://www.773grp.com/globalSearch/54F175LM/page-1", "54F175LM")</f>
        <v>54F175LM</v>
      </c>
      <c r="B10734" s="3" t="str">
        <f>HYPERLINK("https://www.773grp.com/manufacturer/national-semiconductor?pageNo=13", "National Semiconductor")</f>
        <v>National Semiconductor</v>
      </c>
      <c r="C10734" s="6">
        <v>448</v>
      </c>
      <c r="D10734" s="7">
        <v>23.25</v>
      </c>
      <c r="E10734" t="s">
        <v>35</v>
      </c>
    </row>
    <row r="10735" spans="1:5" x14ac:dyDescent="0.25">
      <c r="A10735" t="str">
        <f>HYPERLINK("https://www.773grp.com/globalSearch/54F181FMQB/page-1", "54F181FMQB")</f>
        <v>54F181FMQB</v>
      </c>
      <c r="B10735" s="3" t="str">
        <f>HYPERLINK("https://www.773grp.com/manufacturer/national-semiconductor?pageNo=14", "National Semiconductor")</f>
        <v>National Semiconductor</v>
      </c>
      <c r="C10735" s="6">
        <v>186</v>
      </c>
      <c r="D10735" s="7">
        <v>23.25</v>
      </c>
      <c r="E10735" t="s">
        <v>43</v>
      </c>
    </row>
    <row r="10736" spans="1:5" x14ac:dyDescent="0.25">
      <c r="A10736" t="str">
        <f>HYPERLINK("https://www.773grp.com/globalSearch/54F193DC/page-1", "54F193DC")</f>
        <v>54F193DC</v>
      </c>
      <c r="B10736" s="3" t="str">
        <f>HYPERLINK("https://www.773grp.com/manufacturer/national-semiconductor?pageNo=15", "National Semiconductor")</f>
        <v>National Semiconductor</v>
      </c>
      <c r="C10736" s="6">
        <v>97</v>
      </c>
      <c r="D10736" s="7">
        <v>23.25</v>
      </c>
      <c r="E10736" t="s">
        <v>26</v>
      </c>
    </row>
    <row r="10737" spans="1:5" x14ac:dyDescent="0.25">
      <c r="A10737" t="str">
        <f>HYPERLINK("https://www.773grp.com/globalSearch/93L11PC/page-1", "93L11PC")</f>
        <v>93L11PC</v>
      </c>
      <c r="B10737" s="3" t="str">
        <f>HYPERLINK("https://www.773grp.com/manufacturer/national-semiconductor?pageNo=16", "National Semiconductor")</f>
        <v>National Semiconductor</v>
      </c>
      <c r="C10737" s="6">
        <v>20526</v>
      </c>
      <c r="D10737" s="7">
        <v>23.38</v>
      </c>
    </row>
    <row r="10738" spans="1:5" x14ac:dyDescent="0.25">
      <c r="A10738" t="str">
        <f>HYPERLINK("https://www.773grp.com/globalSearch/DM54LS670W-883/page-1", "DM54LS670W-883")</f>
        <v>DM54LS670W-883</v>
      </c>
      <c r="B10738" s="3" t="str">
        <f>HYPERLINK("https://www.773grp.com/manufacturer/national-semiconductor?pageNo=17", "National Semiconductor")</f>
        <v>National Semiconductor</v>
      </c>
      <c r="C10738" s="6">
        <v>708</v>
      </c>
      <c r="D10738" s="7">
        <v>23.38</v>
      </c>
      <c r="E10738" t="s">
        <v>75</v>
      </c>
    </row>
    <row r="10739" spans="1:5" x14ac:dyDescent="0.25">
      <c r="A10739" t="str">
        <f>HYPERLINK("https://www.773grp.com/globalSearch/DS25CP104TSQ/page-1", "DS25CP104TSQ")</f>
        <v>DS25CP104TSQ</v>
      </c>
      <c r="B10739" s="3" t="str">
        <f>HYPERLINK("https://www.773grp.com/manufacturer/national-semiconductor?pageNo=18", "National Semiconductor")</f>
        <v>National Semiconductor</v>
      </c>
      <c r="C10739" s="6">
        <v>394</v>
      </c>
      <c r="D10739" s="7">
        <v>23.38</v>
      </c>
      <c r="E10739" t="s">
        <v>56</v>
      </c>
    </row>
    <row r="10740" spans="1:5" x14ac:dyDescent="0.25">
      <c r="A10740" t="str">
        <f>HYPERLINK("https://www.773grp.com/globalSearch/100422FC10/page-1", "100422FC10")</f>
        <v>100422FC10</v>
      </c>
      <c r="B10740" s="3" t="str">
        <f>HYPERLINK("https://www.773grp.com/manufacturer/national-semiconductor?pageNo=19", "National Semiconductor")</f>
        <v>National Semiconductor</v>
      </c>
      <c r="C10740" s="6">
        <v>4808</v>
      </c>
      <c r="D10740" s="7">
        <v>23.43</v>
      </c>
    </row>
    <row r="10741" spans="1:5" x14ac:dyDescent="0.25">
      <c r="A10741" t="str">
        <f>HYPERLINK("https://www.773grp.com/globalSearch/PT86C618A1-B/page-1", "PT86C618A1-B")</f>
        <v>PT86C618A1-B</v>
      </c>
      <c r="B10741" s="3" t="str">
        <f>HYPERLINK("https://www.773grp.com/manufacturer/national-semiconductor?pageNo=20", "National Semiconductor")</f>
        <v>National Semiconductor</v>
      </c>
      <c r="C10741" s="6">
        <v>664</v>
      </c>
      <c r="D10741" s="7">
        <v>23.46</v>
      </c>
    </row>
    <row r="10742" spans="1:5" x14ac:dyDescent="0.25">
      <c r="A10742" t="str">
        <f>HYPERLINK("https://www.773grp.com/globalSearch/PT86C618A1-C/page-1", "PT86C618A1-C")</f>
        <v>PT86C618A1-C</v>
      </c>
      <c r="B10742" s="3" t="str">
        <f>HYPERLINK("https://www.773grp.com/manufacturer/national-semiconductor?pageNo=21", "National Semiconductor")</f>
        <v>National Semiconductor</v>
      </c>
      <c r="C10742" s="6">
        <v>148</v>
      </c>
      <c r="D10742" s="7">
        <v>23.46</v>
      </c>
    </row>
    <row r="10743" spans="1:5" x14ac:dyDescent="0.25">
      <c r="A10743" t="str">
        <f>HYPERLINK("https://www.773grp.com/globalSearch/93L21DM/page-1", "93L21DM")</f>
        <v>93L21DM</v>
      </c>
      <c r="B10743" s="3" t="str">
        <f>HYPERLINK("https://www.773grp.com/manufacturer/national-semiconductor?pageNo=22", "National Semiconductor")</f>
        <v>National Semiconductor</v>
      </c>
      <c r="C10743" s="6">
        <v>160</v>
      </c>
      <c r="D10743" s="7">
        <v>23.49</v>
      </c>
    </row>
    <row r="10744" spans="1:5" x14ac:dyDescent="0.25">
      <c r="A10744" t="str">
        <f>HYPERLINK("https://www.773grp.com/globalSearch/LM741J-883/page-1", "LM741J-883")</f>
        <v>LM741J-883</v>
      </c>
      <c r="B10744" s="3" t="str">
        <f>HYPERLINK("https://www.773grp.com/manufacturer/national-semiconductor?pageNo=23", "National Semiconductor")</f>
        <v>National Semiconductor</v>
      </c>
      <c r="C10744" s="6">
        <v>41</v>
      </c>
      <c r="D10744" s="7">
        <v>23.49</v>
      </c>
      <c r="E10744" t="s">
        <v>13</v>
      </c>
    </row>
    <row r="10745" spans="1:5" x14ac:dyDescent="0.25">
      <c r="A10745" t="str">
        <f>HYPERLINK("https://www.773grp.com/globalSearch/LOG101AID/page-1", "LOG101AID")</f>
        <v>LOG101AID</v>
      </c>
      <c r="B10745" s="3" t="str">
        <f>HYPERLINK("https://www.773grp.com/manufacturer/national-semiconductor?pageNo=24", "National Semiconductor")</f>
        <v>National Semiconductor</v>
      </c>
      <c r="C10745" s="6">
        <v>45</v>
      </c>
      <c r="D10745" s="7">
        <v>23.49</v>
      </c>
    </row>
    <row r="10746" spans="1:5" x14ac:dyDescent="0.25">
      <c r="A10746" t="str">
        <f>HYPERLINK("https://www.773grp.com/globalSearch/54F544DM/page-1", "54F544DM")</f>
        <v>54F544DM</v>
      </c>
      <c r="B10746" s="3" t="str">
        <f>HYPERLINK("https://www.773grp.com/manufacturer/national-semiconductor?pageNo=25", "National Semiconductor")</f>
        <v>National Semiconductor</v>
      </c>
      <c r="C10746" s="6">
        <v>487</v>
      </c>
      <c r="D10746" s="7">
        <v>23.63</v>
      </c>
      <c r="E10746" t="s">
        <v>14</v>
      </c>
    </row>
    <row r="10747" spans="1:5" x14ac:dyDescent="0.25">
      <c r="A10747" t="str">
        <f>HYPERLINK("https://www.773grp.com/globalSearch/DS90CR483AVJDX-NOPB/page-1", "DS90CR483AVJDX-NOPB")</f>
        <v>DS90CR483AVJDX-NOPB</v>
      </c>
      <c r="B10747" s="3" t="str">
        <f>HYPERLINK("https://www.773grp.com/manufacturer/national-semiconductor?pageNo=26", "National Semiconductor")</f>
        <v>National Semiconductor</v>
      </c>
      <c r="C10747" s="6">
        <v>1000</v>
      </c>
      <c r="D10747" s="7">
        <v>23.63</v>
      </c>
    </row>
    <row r="10748" spans="1:5" x14ac:dyDescent="0.25">
      <c r="A10748" t="str">
        <f>HYPERLINK("https://www.773grp.com/globalSearch/54F86FMQB/page-1", "54F86FMQB")</f>
        <v>54F86FMQB</v>
      </c>
      <c r="B10748" s="3" t="str">
        <f>HYPERLINK("https://www.773grp.com/manufacturer/national-semiconductor?pageNo=27", "National Semiconductor")</f>
        <v>National Semiconductor</v>
      </c>
      <c r="C10748" s="6">
        <v>8902</v>
      </c>
      <c r="D10748" s="7">
        <v>23.74</v>
      </c>
      <c r="E10748" t="s">
        <v>31</v>
      </c>
    </row>
    <row r="10749" spans="1:5" x14ac:dyDescent="0.25">
      <c r="A10749" t="str">
        <f>HYPERLINK("https://www.773grp.com/globalSearch/ADC08200CIMTX-NOPB/page-1", "ADC08200CIMTX-NOPB")</f>
        <v>ADC08200CIMTX-NOPB</v>
      </c>
      <c r="B10749" s="3" t="str">
        <f>HYPERLINK("https://www.773grp.com/manufacturer/national-semiconductor?pageNo=28", "National Semiconductor")</f>
        <v>National Semiconductor</v>
      </c>
      <c r="C10749" s="6">
        <v>2500</v>
      </c>
      <c r="D10749" s="7">
        <v>23.74</v>
      </c>
      <c r="E10749" t="s">
        <v>39</v>
      </c>
    </row>
    <row r="10750" spans="1:5" x14ac:dyDescent="0.25">
      <c r="A10750" t="str">
        <f>HYPERLINK("https://www.773grp.com/globalSearch/100122DCQR/page-1", "100122DCQR")</f>
        <v>100122DCQR</v>
      </c>
      <c r="B10750" s="3" t="str">
        <f>HYPERLINK("https://www.773grp.com/manufacturer/national-semiconductor?pageNo=29", "National Semiconductor")</f>
        <v>National Semiconductor</v>
      </c>
      <c r="C10750" s="6">
        <v>138</v>
      </c>
      <c r="D10750" s="7">
        <v>23.91</v>
      </c>
      <c r="E10750" t="s">
        <v>31</v>
      </c>
    </row>
    <row r="10751" spans="1:5" x14ac:dyDescent="0.25">
      <c r="A10751" t="str">
        <f>HYPERLINK("https://www.773grp.com/globalSearch/100179FC/page-1", "100179FC")</f>
        <v>100179FC</v>
      </c>
      <c r="B10751" s="3" t="str">
        <f>HYPERLINK("https://www.773grp.com/manufacturer/national-semiconductor?pageNo=30", "National Semiconductor")</f>
        <v>National Semiconductor</v>
      </c>
      <c r="C10751" s="6">
        <v>938</v>
      </c>
      <c r="D10751" s="7">
        <v>23.91</v>
      </c>
      <c r="E10751" t="s">
        <v>43</v>
      </c>
    </row>
    <row r="10752" spans="1:5" x14ac:dyDescent="0.25">
      <c r="A10752" t="str">
        <f>HYPERLINK("https://www.773grp.com/globalSearch/956DC/page-1", "956DC")</f>
        <v>956DC</v>
      </c>
      <c r="B10752" s="3" t="str">
        <f>HYPERLINK("https://www.773grp.com/manufacturer/national-semiconductor?pageNo=31", "National Semiconductor")</f>
        <v>National Semiconductor</v>
      </c>
      <c r="C10752" s="6">
        <v>3958</v>
      </c>
      <c r="D10752" s="7">
        <v>23.91</v>
      </c>
    </row>
    <row r="10753" spans="1:5" x14ac:dyDescent="0.25">
      <c r="A10753" t="str">
        <f>HYPERLINK("https://www.773grp.com/globalSearch/DM8124N/page-1", "DM8124N")</f>
        <v>DM8124N</v>
      </c>
      <c r="B10753" s="3" t="str">
        <f>HYPERLINK("https://www.773grp.com/manufacturer/national-semiconductor?pageNo=32", "National Semiconductor")</f>
        <v>National Semiconductor</v>
      </c>
      <c r="C10753" s="6">
        <v>2953</v>
      </c>
      <c r="D10753" s="7">
        <v>23.91</v>
      </c>
    </row>
    <row r="10754" spans="1:5" x14ac:dyDescent="0.25">
      <c r="A10754" t="str">
        <f>HYPERLINK("https://www.773grp.com/globalSearch/DM8546N/page-1", "DM8546N")</f>
        <v>DM8546N</v>
      </c>
      <c r="B10754" s="3" t="str">
        <f>HYPERLINK("https://www.773grp.com/manufacturer/national-semiconductor?pageNo=33", "National Semiconductor")</f>
        <v>National Semiconductor</v>
      </c>
      <c r="C10754" s="6">
        <v>532</v>
      </c>
      <c r="D10754" s="7">
        <v>23.91</v>
      </c>
    </row>
    <row r="10755" spans="1:5" x14ac:dyDescent="0.25">
      <c r="A10755" t="str">
        <f>HYPERLINK("https://www.773grp.com/globalSearch/DS55110AJ-MIL/page-1", "DS55110AJ-MIL")</f>
        <v>DS55110AJ-MIL</v>
      </c>
      <c r="B10755" s="3" t="str">
        <f>HYPERLINK("https://www.773grp.com/manufacturer/national-semiconductor?pageNo=34", "National Semiconductor")</f>
        <v>National Semiconductor</v>
      </c>
      <c r="C10755" s="6">
        <v>1365</v>
      </c>
      <c r="D10755" s="7">
        <v>23.91</v>
      </c>
    </row>
    <row r="10756" spans="1:5" x14ac:dyDescent="0.25">
      <c r="A10756" t="str">
        <f>HYPERLINK("https://www.773grp.com/globalSearch/GAL22V10-20LVI/page-1", "GAL22V10-20LVI")</f>
        <v>GAL22V10-20LVI</v>
      </c>
      <c r="B10756" s="3" t="str">
        <f>HYPERLINK("https://www.773grp.com/manufacturer/national-semiconductor?pageNo=35", "National Semiconductor")</f>
        <v>National Semiconductor</v>
      </c>
      <c r="C10756" s="6">
        <v>1050</v>
      </c>
      <c r="D10756" s="7">
        <v>23.91</v>
      </c>
      <c r="E10756" t="s">
        <v>51</v>
      </c>
    </row>
    <row r="10757" spans="1:5" x14ac:dyDescent="0.25">
      <c r="A10757" t="str">
        <f>HYPERLINK("https://www.773grp.com/globalSearch/LMH730121/page-1", "LMH730121")</f>
        <v>LMH730121</v>
      </c>
      <c r="B10757" s="3" t="str">
        <f>HYPERLINK("https://www.773grp.com/manufacturer/national-semiconductor?pageNo=36", "National Semiconductor")</f>
        <v>National Semiconductor</v>
      </c>
      <c r="C10757" s="6">
        <v>1</v>
      </c>
      <c r="D10757" s="7">
        <v>23.91</v>
      </c>
    </row>
    <row r="10758" spans="1:5" x14ac:dyDescent="0.25">
      <c r="A10758" t="str">
        <f>HYPERLINK("https://www.773grp.com/globalSearch/LMH730151/page-1", "LMH730151")</f>
        <v>LMH730151</v>
      </c>
      <c r="B10758" s="3" t="str">
        <f>HYPERLINK("https://www.773grp.com/manufacturer/national-semiconductor?pageNo=37", "National Semiconductor")</f>
        <v>National Semiconductor</v>
      </c>
      <c r="C10758" s="6">
        <v>102</v>
      </c>
      <c r="D10758" s="7">
        <v>23.91</v>
      </c>
    </row>
    <row r="10759" spans="1:5" x14ac:dyDescent="0.25">
      <c r="A10759" t="str">
        <f>HYPERLINK("https://www.773grp.com/globalSearch/LMH730277/page-1", "LMH730277")</f>
        <v>LMH730277</v>
      </c>
      <c r="B10759" s="3" t="str">
        <f>HYPERLINK("https://www.773grp.com/manufacturer/national-semiconductor?pageNo=38", "National Semiconductor")</f>
        <v>National Semiconductor</v>
      </c>
      <c r="C10759" s="6">
        <v>28</v>
      </c>
      <c r="D10759" s="7">
        <v>23.91</v>
      </c>
    </row>
    <row r="10760" spans="1:5" x14ac:dyDescent="0.25">
      <c r="A10760" t="str">
        <f>HYPERLINK("https://www.773grp.com/globalSearch/LMZ14203TZX-ADJ-NOPB/page-1", "LMZ14203TZX-ADJ-NOPB")</f>
        <v>LMZ14203TZX-ADJ-NOPB</v>
      </c>
      <c r="B10760" s="3" t="str">
        <f>HYPERLINK("https://www.773grp.com/manufacturer/national-semiconductor?pageNo=39", "National Semiconductor")</f>
        <v>National Semiconductor</v>
      </c>
      <c r="C10760" s="6">
        <v>1283</v>
      </c>
      <c r="D10760" s="7">
        <v>23.91</v>
      </c>
      <c r="E10760" t="s">
        <v>7</v>
      </c>
    </row>
    <row r="10761" spans="1:5" x14ac:dyDescent="0.25">
      <c r="A10761" t="str">
        <f>HYPERLINK("https://www.773grp.com/globalSearch/ADC11DL066CIVS-NOPB/page-1", "ADC11DL066CIVS-NOPB")</f>
        <v>ADC11DL066CIVS-NOPB</v>
      </c>
      <c r="B10761" s="3" t="str">
        <f>HYPERLINK("https://www.773grp.com/manufacturer/national-semiconductor?pageNo=40", "National Semiconductor")</f>
        <v>National Semiconductor</v>
      </c>
      <c r="C10761" s="6">
        <v>160</v>
      </c>
      <c r="D10761" s="7">
        <v>23.93</v>
      </c>
      <c r="E10761" t="s">
        <v>39</v>
      </c>
    </row>
    <row r="10762" spans="1:5" x14ac:dyDescent="0.25">
      <c r="A10762" t="str">
        <f>HYPERLINK("https://www.773grp.com/globalSearch/DS34RT5110SQ-NOPB/page-1", "DS34RT5110SQ-NOPB")</f>
        <v>DS34RT5110SQ-NOPB</v>
      </c>
      <c r="B10762" s="3" t="str">
        <f>HYPERLINK("https://www.773grp.com/manufacturer/national-semiconductor?pageNo=41", "National Semiconductor")</f>
        <v>National Semiconductor</v>
      </c>
      <c r="C10762" s="6">
        <v>6000</v>
      </c>
      <c r="D10762" s="7">
        <v>23.93</v>
      </c>
    </row>
    <row r="10763" spans="1:5" x14ac:dyDescent="0.25">
      <c r="A10763" t="str">
        <f>HYPERLINK("https://www.773grp.com/globalSearch/DS34RT5110SQ-NOPB/page-1", "DS34RT5110SQ-NOPB")</f>
        <v>DS34RT5110SQ-NOPB</v>
      </c>
      <c r="B10763" s="3" t="str">
        <f>HYPERLINK("https://www.773grp.com/manufacturer/national-semiconductor?pageNo=42", "National Semiconductor")</f>
        <v>National Semiconductor</v>
      </c>
      <c r="C10763" s="6">
        <v>1581</v>
      </c>
      <c r="D10763" s="7">
        <v>23.93</v>
      </c>
    </row>
    <row r="10764" spans="1:5" x14ac:dyDescent="0.25">
      <c r="A10764" t="str">
        <f>HYPERLINK("https://www.773grp.com/globalSearch/LM185BH/page-1", "LM185BH")</f>
        <v>LM185BH</v>
      </c>
      <c r="B10764" s="3" t="str">
        <f>HYPERLINK("https://www.773grp.com/manufacturer/national-semiconductor?pageNo=43", "National Semiconductor")</f>
        <v>National Semiconductor</v>
      </c>
      <c r="C10764" s="6">
        <v>1744</v>
      </c>
      <c r="D10764" s="7">
        <v>24</v>
      </c>
      <c r="E10764" t="s">
        <v>17</v>
      </c>
    </row>
    <row r="10765" spans="1:5" x14ac:dyDescent="0.25">
      <c r="A10765" t="str">
        <f>HYPERLINK("https://www.773grp.com/globalSearch/LF198H/page-1", "LF198H")</f>
        <v>LF198H</v>
      </c>
      <c r="B10765" s="3" t="str">
        <f>HYPERLINK("https://www.773grp.com/manufacturer/national-semiconductor?pageNo=44", "National Semiconductor")</f>
        <v>National Semiconductor</v>
      </c>
      <c r="C10765" s="6">
        <v>1031</v>
      </c>
      <c r="D10765" s="7">
        <v>24</v>
      </c>
    </row>
    <row r="10766" spans="1:5" x14ac:dyDescent="0.25">
      <c r="A10766" t="str">
        <f>HYPERLINK("https://www.773grp.com/globalSearch/54H71DM/page-1", "54H71DM")</f>
        <v>54H71DM</v>
      </c>
      <c r="B10766" s="3" t="str">
        <f>HYPERLINK("https://www.773grp.com/manufacturer/national-semiconductor?pageNo=45", "National Semiconductor")</f>
        <v>National Semiconductor</v>
      </c>
      <c r="C10766" s="6">
        <v>118</v>
      </c>
      <c r="D10766" s="7">
        <v>24.05</v>
      </c>
    </row>
    <row r="10767" spans="1:5" x14ac:dyDescent="0.25">
      <c r="A10767" t="str">
        <f>HYPERLINK("https://www.773grp.com/globalSearch/SCAN12100TYA/page-1", "SCAN12100TYA")</f>
        <v>SCAN12100TYA</v>
      </c>
      <c r="B10767" s="3" t="str">
        <f>HYPERLINK("https://www.773grp.com/manufacturer/national-semiconductor?pageNo=46", "National Semiconductor")</f>
        <v>National Semiconductor</v>
      </c>
      <c r="C10767" s="6">
        <v>46</v>
      </c>
      <c r="D10767" s="7">
        <v>24.05</v>
      </c>
      <c r="E10767" t="s">
        <v>21</v>
      </c>
    </row>
    <row r="10768" spans="1:5" x14ac:dyDescent="0.25">
      <c r="A10768" t="str">
        <f>HYPERLINK("https://www.773grp.com/globalSearch/SCAN12100TYA-NOPB/page-1", "SCAN12100TYA-NOPB")</f>
        <v>SCAN12100TYA-NOPB</v>
      </c>
      <c r="B10768" s="3" t="str">
        <f>HYPERLINK("https://www.773grp.com/manufacturer/national-semiconductor?pageNo=47", "National Semiconductor")</f>
        <v>National Semiconductor</v>
      </c>
      <c r="C10768" s="6">
        <v>532</v>
      </c>
      <c r="D10768" s="7">
        <v>24.05</v>
      </c>
    </row>
    <row r="10769" spans="1:5" x14ac:dyDescent="0.25">
      <c r="A10769" t="str">
        <f>HYPERLINK("https://www.773grp.com/globalSearch/ADC1034CIWMX/page-1", "ADC1034CIWMX")</f>
        <v>ADC1034CIWMX</v>
      </c>
      <c r="B10769" s="3" t="str">
        <f>HYPERLINK("https://www.773grp.com/manufacturer/national-semiconductor?pageNo=48", "National Semiconductor")</f>
        <v>National Semiconductor</v>
      </c>
      <c r="C10769" s="6">
        <v>658</v>
      </c>
      <c r="D10769" s="7">
        <v>24.19</v>
      </c>
      <c r="E10769" t="s">
        <v>39</v>
      </c>
    </row>
    <row r="10770" spans="1:5" x14ac:dyDescent="0.25">
      <c r="A10770" t="str">
        <f>HYPERLINK("https://www.773grp.com/globalSearch/MM4601AW-883C/page-1", "MM4601AW-883C")</f>
        <v>MM4601AW-883C</v>
      </c>
      <c r="B10770" s="3" t="str">
        <f>HYPERLINK("https://www.773grp.com/manufacturer/national-semiconductor?pageNo=49", "National Semiconductor")</f>
        <v>National Semiconductor</v>
      </c>
      <c r="C10770" s="6">
        <v>250</v>
      </c>
      <c r="D10770" s="7">
        <v>24.19</v>
      </c>
    </row>
    <row r="10771" spans="1:5" x14ac:dyDescent="0.25">
      <c r="A10771" t="str">
        <f>HYPERLINK("https://www.773grp.com/globalSearch/MM4673BW-883/page-1", "MM4673BW-883")</f>
        <v>MM4673BW-883</v>
      </c>
      <c r="B10771" s="3" t="str">
        <f>HYPERLINK("https://www.773grp.com/manufacturer/national-semiconductor?pageNo=50", "National Semiconductor")</f>
        <v>National Semiconductor</v>
      </c>
      <c r="C10771" s="6">
        <v>163</v>
      </c>
      <c r="D10771" s="7">
        <v>24.19</v>
      </c>
    </row>
    <row r="10772" spans="1:5" x14ac:dyDescent="0.25">
      <c r="A10772" t="str">
        <f>HYPERLINK("https://www.773grp.com/globalSearch/MM4675BW-883C/page-1", "MM4675BW-883C")</f>
        <v>MM4675BW-883C</v>
      </c>
      <c r="B10772" s="3" t="str">
        <f>HYPERLINK("https://www.773grp.com/manufacturer/national-semiconductor?pageNo=51", "National Semiconductor")</f>
        <v>National Semiconductor</v>
      </c>
      <c r="C10772" s="6">
        <v>139</v>
      </c>
      <c r="D10772" s="7">
        <v>24.19</v>
      </c>
    </row>
    <row r="10773" spans="1:5" x14ac:dyDescent="0.25">
      <c r="A10773" t="str">
        <f>HYPERLINK("https://www.773grp.com/globalSearch/MM54HC393W-883/page-1", "MM54HC393W-883")</f>
        <v>MM54HC393W-883</v>
      </c>
      <c r="B10773" s="3" t="str">
        <f>HYPERLINK("https://www.773grp.com/manufacturer/national-semiconductor?pageNo=52", "National Semiconductor")</f>
        <v>National Semiconductor</v>
      </c>
      <c r="C10773" s="6">
        <v>218</v>
      </c>
      <c r="D10773" s="7">
        <v>24.19</v>
      </c>
    </row>
    <row r="10774" spans="1:5" x14ac:dyDescent="0.25">
      <c r="A10774" t="str">
        <f>HYPERLINK("https://www.773grp.com/globalSearch/LM98515CCMTX-NOPB/page-1", "LM98515CCMTX-NOPB")</f>
        <v>LM98515CCMTX-NOPB</v>
      </c>
      <c r="B10774" s="3" t="str">
        <f>HYPERLINK("https://www.773grp.com/manufacturer/national-semiconductor?pageNo=53", "National Semiconductor")</f>
        <v>National Semiconductor</v>
      </c>
      <c r="C10774" s="6">
        <v>40000</v>
      </c>
      <c r="D10774" s="7">
        <v>24.26</v>
      </c>
    </row>
    <row r="10775" spans="1:5" x14ac:dyDescent="0.25">
      <c r="A10775" t="str">
        <f>HYPERLINK("https://www.773grp.com/globalSearch/54F241LMQB/page-1", "54F241LMQB")</f>
        <v>54F241LMQB</v>
      </c>
      <c r="B10775" s="3" t="str">
        <f>HYPERLINK("https://www.773grp.com/manufacturer/national-semiconductor?pageNo=54", "National Semiconductor")</f>
        <v>National Semiconductor</v>
      </c>
      <c r="C10775" s="6">
        <v>571</v>
      </c>
      <c r="D10775" s="7">
        <v>24.3</v>
      </c>
      <c r="E10775" t="s">
        <v>14</v>
      </c>
    </row>
    <row r="10776" spans="1:5" x14ac:dyDescent="0.25">
      <c r="A10776" t="str">
        <f>HYPERLINK("https://www.773grp.com/globalSearch/54F521FMQB/page-1", "54F521FMQB")</f>
        <v>54F521FMQB</v>
      </c>
      <c r="B10776" s="3" t="str">
        <f>HYPERLINK("https://www.773grp.com/manufacturer/national-semiconductor?pageNo=55", "National Semiconductor")</f>
        <v>National Semiconductor</v>
      </c>
      <c r="C10776" s="6">
        <v>882</v>
      </c>
      <c r="D10776" s="7">
        <v>24.3</v>
      </c>
      <c r="E10776" t="s">
        <v>43</v>
      </c>
    </row>
    <row r="10777" spans="1:5" x14ac:dyDescent="0.25">
      <c r="A10777" t="str">
        <f>HYPERLINK("https://www.773grp.com/globalSearch/DS90CR482VS-NOPB/page-1", "DS90CR482VS-NOPB")</f>
        <v>DS90CR482VS-NOPB</v>
      </c>
      <c r="B10777" s="3" t="str">
        <f>HYPERLINK("https://www.773grp.com/manufacturer/national-semiconductor?pageNo=56", "National Semiconductor")</f>
        <v>National Semiconductor</v>
      </c>
      <c r="C10777" s="6">
        <v>90</v>
      </c>
      <c r="D10777" s="7">
        <v>24.3</v>
      </c>
      <c r="E10777" t="s">
        <v>21</v>
      </c>
    </row>
    <row r="10778" spans="1:5" x14ac:dyDescent="0.25">
      <c r="A10778" t="str">
        <f>HYPERLINK("https://www.773grp.com/globalSearch/DS90CR482VS-NOPB/page-1", "DS90CR482VS-NOPB")</f>
        <v>DS90CR482VS-NOPB</v>
      </c>
      <c r="B10778" s="3" t="str">
        <f>HYPERLINK("https://www.773grp.com/manufacturer/national-semiconductor?pageNo=57", "National Semiconductor")</f>
        <v>National Semiconductor</v>
      </c>
      <c r="C10778" s="6">
        <v>173</v>
      </c>
      <c r="D10778" s="7">
        <v>24.3</v>
      </c>
      <c r="E10778" t="s">
        <v>21</v>
      </c>
    </row>
    <row r="10779" spans="1:5" x14ac:dyDescent="0.25">
      <c r="A10779" t="str">
        <f>HYPERLINK("https://www.773grp.com/globalSearch/100163FC/page-1", "100163FC")</f>
        <v>100163FC</v>
      </c>
      <c r="B10779" s="3" t="str">
        <f>HYPERLINK("https://www.773grp.com/manufacturer/national-semiconductor?pageNo=58", "National Semiconductor")</f>
        <v>National Semiconductor</v>
      </c>
      <c r="C10779" s="6">
        <v>126</v>
      </c>
      <c r="D10779" s="7">
        <v>24.39</v>
      </c>
      <c r="E10779" t="s">
        <v>20</v>
      </c>
    </row>
    <row r="10780" spans="1:5" x14ac:dyDescent="0.25">
      <c r="A10780" t="str">
        <f>HYPERLINK("https://www.773grp.com/globalSearch/CP3BT13G38/page-1", "CP3BT13G38")</f>
        <v>CP3BT13G38</v>
      </c>
      <c r="B10780" s="3" t="str">
        <f>HYPERLINK("https://www.773grp.com/manufacturer/national-semiconductor?pageNo=59", "National Semiconductor")</f>
        <v>National Semiconductor</v>
      </c>
      <c r="C10780" s="6">
        <v>749</v>
      </c>
      <c r="D10780" s="7">
        <v>24.41</v>
      </c>
      <c r="E10780" t="s">
        <v>81</v>
      </c>
    </row>
    <row r="10781" spans="1:5" x14ac:dyDescent="0.25">
      <c r="A10781" t="str">
        <f>HYPERLINK("https://www.773grp.com/globalSearch/LMK03806BISQE-NOPB/page-1", "LMK03806BISQE-NOPB")</f>
        <v>LMK03806BISQE-NOPB</v>
      </c>
      <c r="B10781" s="3" t="str">
        <f>HYPERLINK("https://www.773grp.com/manufacturer/national-semiconductor?pageNo=60", "National Semiconductor")</f>
        <v>National Semiconductor</v>
      </c>
      <c r="C10781" s="6">
        <v>142</v>
      </c>
      <c r="D10781" s="7">
        <v>24.41</v>
      </c>
    </row>
    <row r="10782" spans="1:5" x14ac:dyDescent="0.25">
      <c r="A10782" t="str">
        <f>HYPERLINK("https://www.773grp.com/globalSearch/MM54HC299J-883/page-1", "MM54HC299J-883")</f>
        <v>MM54HC299J-883</v>
      </c>
      <c r="B10782" s="3" t="str">
        <f>HYPERLINK("https://www.773grp.com/manufacturer/national-semiconductor?pageNo=61", "National Semiconductor")</f>
        <v>National Semiconductor</v>
      </c>
      <c r="C10782" s="6">
        <v>1</v>
      </c>
      <c r="D10782" s="7">
        <v>24.44</v>
      </c>
      <c r="E10782" t="s">
        <v>32</v>
      </c>
    </row>
    <row r="10783" spans="1:5" x14ac:dyDescent="0.25">
      <c r="A10783" t="str">
        <f>HYPERLINK("https://www.773grp.com/globalSearch/LMK04806BISQ-NOPB/page-1", "LMK04806BISQ-NOPB")</f>
        <v>LMK04806BISQ-NOPB</v>
      </c>
      <c r="B10783" s="3" t="str">
        <f>HYPERLINK("https://www.773grp.com/manufacturer/national-semiconductor?pageNo=62", "National Semiconductor")</f>
        <v>National Semiconductor</v>
      </c>
      <c r="C10783" s="6">
        <v>1000</v>
      </c>
      <c r="D10783" s="7">
        <v>24.48</v>
      </c>
    </row>
    <row r="10784" spans="1:5" x14ac:dyDescent="0.25">
      <c r="A10784" t="str">
        <f>HYPERLINK("https://www.773grp.com/globalSearch/LMK04803BISQ-NOPB/page-1", "LMK04803BISQ-NOPB")</f>
        <v>LMK04803BISQ-NOPB</v>
      </c>
      <c r="B10784" s="3" t="str">
        <f>HYPERLINK("https://www.773grp.com/manufacturer/national-semiconductor?pageNo=63", "National Semiconductor")</f>
        <v>National Semiconductor</v>
      </c>
      <c r="C10784" s="6">
        <v>372</v>
      </c>
      <c r="D10784" s="7">
        <v>24.48</v>
      </c>
    </row>
    <row r="10785" spans="1:5" x14ac:dyDescent="0.25">
      <c r="A10785" t="str">
        <f>HYPERLINK("https://www.773grp.com/globalSearch/LMK04806BISQX-NOPB/page-1", "LMK04806BISQX-NOPB")</f>
        <v>LMK04806BISQX-NOPB</v>
      </c>
      <c r="B10785" s="3" t="str">
        <f>HYPERLINK("https://www.773grp.com/manufacturer/national-semiconductor?pageNo=64", "National Semiconductor")</f>
        <v>National Semiconductor</v>
      </c>
      <c r="C10785" s="6">
        <v>2000</v>
      </c>
      <c r="D10785" s="7">
        <v>24.48</v>
      </c>
    </row>
    <row r="10786" spans="1:5" x14ac:dyDescent="0.25">
      <c r="A10786" t="str">
        <f>HYPERLINK("https://www.773grp.com/globalSearch/PGA205AU/page-1", "PGA205AU")</f>
        <v>PGA205AU</v>
      </c>
      <c r="B10786" s="3" t="str">
        <f>HYPERLINK("https://www.773grp.com/manufacturer/national-semiconductor?pageNo=65", "National Semiconductor")</f>
        <v>National Semiconductor</v>
      </c>
      <c r="C10786" s="6">
        <v>3400</v>
      </c>
      <c r="D10786" s="7">
        <v>24.48</v>
      </c>
    </row>
    <row r="10787" spans="1:5" x14ac:dyDescent="0.25">
      <c r="A10787" t="str">
        <f>HYPERLINK("https://www.773grp.com/globalSearch/SM73201IMMX-NOPB/page-1", "SM73201IMMX-NOPB")</f>
        <v>SM73201IMMX-NOPB</v>
      </c>
      <c r="B10787" s="3" t="str">
        <f>HYPERLINK("https://www.773grp.com/manufacturer/national-semiconductor?pageNo=66", "National Semiconductor")</f>
        <v>National Semiconductor</v>
      </c>
      <c r="C10787" s="6">
        <v>3500</v>
      </c>
      <c r="D10787" s="7">
        <v>24.48</v>
      </c>
    </row>
    <row r="10788" spans="1:5" x14ac:dyDescent="0.25">
      <c r="A10788" t="str">
        <f>HYPERLINK("https://www.773grp.com/globalSearch/54F2244LMQB/page-1", "54F2244LMQB")</f>
        <v>54F2244LMQB</v>
      </c>
      <c r="B10788" s="3" t="str">
        <f>HYPERLINK("https://www.773grp.com/manufacturer/national-semiconductor?pageNo=67", "National Semiconductor")</f>
        <v>National Semiconductor</v>
      </c>
      <c r="C10788" s="6">
        <v>39</v>
      </c>
      <c r="D10788" s="7">
        <v>24.53</v>
      </c>
      <c r="E10788" t="s">
        <v>14</v>
      </c>
    </row>
    <row r="10789" spans="1:5" x14ac:dyDescent="0.25">
      <c r="A10789" t="str">
        <f>HYPERLINK("https://www.773grp.com/globalSearch/AM1808BZWT4/page-1", "AM1808BZWT4")</f>
        <v>AM1808BZWT4</v>
      </c>
      <c r="B10789" s="3" t="str">
        <f>HYPERLINK("https://www.773grp.com/manufacturer/national-semiconductor?pageNo=68", "National Semiconductor")</f>
        <v>National Semiconductor</v>
      </c>
      <c r="C10789" s="6">
        <v>450</v>
      </c>
      <c r="D10789" s="7">
        <v>24.59</v>
      </c>
    </row>
    <row r="10790" spans="1:5" x14ac:dyDescent="0.25">
      <c r="A10790" t="str">
        <f>HYPERLINK("https://www.773grp.com/globalSearch/74F381LC/page-1", "74F381LC")</f>
        <v>74F381LC</v>
      </c>
      <c r="B10790" s="3" t="str">
        <f>HYPERLINK("https://www.773grp.com/manufacturer/national-semiconductor?pageNo=69", "National Semiconductor")</f>
        <v>National Semiconductor</v>
      </c>
      <c r="C10790" s="6">
        <v>103</v>
      </c>
      <c r="D10790" s="7">
        <v>24.6</v>
      </c>
      <c r="E10790" t="s">
        <v>43</v>
      </c>
    </row>
    <row r="10791" spans="1:5" x14ac:dyDescent="0.25">
      <c r="A10791" t="str">
        <f>HYPERLINK("https://www.773grp.com/globalSearch/9301DM/page-1", "9301DM")</f>
        <v>9301DM</v>
      </c>
      <c r="B10791" s="3" t="str">
        <f>HYPERLINK("https://www.773grp.com/manufacturer/national-semiconductor?pageNo=70", "National Semiconductor")</f>
        <v>National Semiconductor</v>
      </c>
      <c r="C10791" s="6">
        <v>6</v>
      </c>
      <c r="D10791" s="7">
        <v>24.6</v>
      </c>
      <c r="E10791" t="s">
        <v>36</v>
      </c>
    </row>
    <row r="10792" spans="1:5" x14ac:dyDescent="0.25">
      <c r="A10792" t="str">
        <f>HYPERLINK("https://www.773grp.com/globalSearch/54F192DMQB/page-1", "54F192DMQB")</f>
        <v>54F192DMQB</v>
      </c>
      <c r="B10792" s="3" t="str">
        <f>HYPERLINK("https://www.773grp.com/manufacturer/national-semiconductor?pageNo=71", "National Semiconductor")</f>
        <v>National Semiconductor</v>
      </c>
      <c r="C10792" s="6">
        <v>272</v>
      </c>
      <c r="D10792" s="7">
        <v>24.75</v>
      </c>
      <c r="E10792" t="s">
        <v>26</v>
      </c>
    </row>
    <row r="10793" spans="1:5" x14ac:dyDescent="0.25">
      <c r="A10793" t="str">
        <f>HYPERLINK("https://www.773grp.com/globalSearch/54LS27LMQB/page-1", "54LS27LMQB")</f>
        <v>54LS27LMQB</v>
      </c>
      <c r="B10793" s="3" t="str">
        <f>HYPERLINK("https://www.773grp.com/manufacturer/national-semiconductor?pageNo=72", "National Semiconductor")</f>
        <v>National Semiconductor</v>
      </c>
      <c r="C10793" s="6">
        <v>393</v>
      </c>
      <c r="D10793" s="7">
        <v>24.75</v>
      </c>
      <c r="E10793" t="s">
        <v>31</v>
      </c>
    </row>
    <row r="10794" spans="1:5" x14ac:dyDescent="0.25">
      <c r="A10794" t="str">
        <f>HYPERLINK("https://www.773grp.com/globalSearch/9321FMQB/page-1", "9321FMQB")</f>
        <v>9321FMQB</v>
      </c>
      <c r="B10794" s="3" t="str">
        <f>HYPERLINK("https://www.773grp.com/manufacturer/national-semiconductor?pageNo=73", "National Semiconductor")</f>
        <v>National Semiconductor</v>
      </c>
      <c r="C10794" s="6">
        <v>510</v>
      </c>
      <c r="D10794" s="7">
        <v>24.75</v>
      </c>
      <c r="E10794" t="s">
        <v>36</v>
      </c>
    </row>
    <row r="10795" spans="1:5" x14ac:dyDescent="0.25">
      <c r="A10795" t="str">
        <f>HYPERLINK("https://www.773grp.com/globalSearch/ADC0803LCV/page-1", "ADC0803LCV")</f>
        <v>ADC0803LCV</v>
      </c>
      <c r="B10795" s="3" t="str">
        <f>HYPERLINK("https://www.773grp.com/manufacturer/national-semiconductor?pageNo=74", "National Semiconductor")</f>
        <v>National Semiconductor</v>
      </c>
      <c r="C10795" s="6">
        <v>69</v>
      </c>
      <c r="D10795" s="7">
        <v>24.75</v>
      </c>
      <c r="E10795" t="s">
        <v>39</v>
      </c>
    </row>
    <row r="10796" spans="1:5" x14ac:dyDescent="0.25">
      <c r="A10796" t="str">
        <f>HYPERLINK("https://www.773grp.com/globalSearch/ADC08234BIN/page-1", "ADC08234BIN")</f>
        <v>ADC08234BIN</v>
      </c>
      <c r="B10796" s="3" t="str">
        <f>HYPERLINK("https://www.773grp.com/manufacturer/national-semiconductor?pageNo=75", "National Semiconductor")</f>
        <v>National Semiconductor</v>
      </c>
      <c r="C10796" s="6">
        <v>681</v>
      </c>
      <c r="D10796" s="7">
        <v>24.75</v>
      </c>
      <c r="E10796" t="s">
        <v>39</v>
      </c>
    </row>
    <row r="10797" spans="1:5" x14ac:dyDescent="0.25">
      <c r="A10797" t="str">
        <f>HYPERLINK("https://www.773grp.com/globalSearch/MM54HC126E-883/page-1", "MM54HC126E-883")</f>
        <v>MM54HC126E-883</v>
      </c>
      <c r="B10797" s="3" t="str">
        <f>HYPERLINK("https://www.773grp.com/manufacturer/national-semiconductor?pageNo=76", "National Semiconductor")</f>
        <v>National Semiconductor</v>
      </c>
      <c r="C10797" s="6">
        <v>53</v>
      </c>
      <c r="D10797" s="7">
        <v>24.75</v>
      </c>
    </row>
    <row r="10798" spans="1:5" x14ac:dyDescent="0.25">
      <c r="A10798" t="str">
        <f>HYPERLINK("https://www.773grp.com/globalSearch/54AC299FMQB/page-1", "54AC299FMQB")</f>
        <v>54AC299FMQB</v>
      </c>
      <c r="B10798" s="3" t="str">
        <f>HYPERLINK("https://www.773grp.com/manufacturer/national-semiconductor?pageNo=77", "National Semiconductor")</f>
        <v>National Semiconductor</v>
      </c>
      <c r="C10798" s="6">
        <v>6</v>
      </c>
      <c r="D10798" s="7">
        <v>24.78</v>
      </c>
      <c r="E10798" t="s">
        <v>32</v>
      </c>
    </row>
    <row r="10799" spans="1:5" x14ac:dyDescent="0.25">
      <c r="A10799" t="str">
        <f>HYPERLINK("https://www.773grp.com/globalSearch/54AC299LMQB/page-1", "54AC299LMQB")</f>
        <v>54AC299LMQB</v>
      </c>
      <c r="B10799" s="3" t="str">
        <f>HYPERLINK("https://www.773grp.com/manufacturer/national-semiconductor?pageNo=78", "National Semiconductor")</f>
        <v>National Semiconductor</v>
      </c>
      <c r="C10799" s="6">
        <v>94</v>
      </c>
      <c r="D10799" s="7">
        <v>24.78</v>
      </c>
      <c r="E10799" t="s">
        <v>32</v>
      </c>
    </row>
    <row r="10800" spans="1:5" x14ac:dyDescent="0.25">
      <c r="A10800" t="str">
        <f>HYPERLINK("https://www.773grp.com/globalSearch/CD4060BMW-MIL/page-1", "CD4060BMW-MIL")</f>
        <v>CD4060BMW-MIL</v>
      </c>
      <c r="B10800" s="3" t="str">
        <f>HYPERLINK("https://www.773grp.com/manufacturer/national-semiconductor?pageNo=79", "National Semiconductor")</f>
        <v>National Semiconductor</v>
      </c>
      <c r="C10800" s="6">
        <v>166</v>
      </c>
      <c r="D10800" s="7">
        <v>24.78</v>
      </c>
      <c r="E10800" t="s">
        <v>26</v>
      </c>
    </row>
    <row r="10801" spans="1:5" x14ac:dyDescent="0.25">
      <c r="A10801" t="str">
        <f>HYPERLINK("https://www.773grp.com/globalSearch/COP8SBR9LVA8-NOPB/page-1", "COP8SBR9LVA8-NOPB")</f>
        <v>COP8SBR9LVA8-NOPB</v>
      </c>
      <c r="B10801" s="3" t="str">
        <f>HYPERLINK("https://www.773grp.com/manufacturer/national-semiconductor?pageNo=80", "National Semiconductor")</f>
        <v>National Semiconductor</v>
      </c>
      <c r="C10801" s="6">
        <v>56</v>
      </c>
      <c r="D10801" s="7">
        <v>24.78</v>
      </c>
    </row>
    <row r="10802" spans="1:5" x14ac:dyDescent="0.25">
      <c r="A10802" t="str">
        <f>HYPERLINK("https://www.773grp.com/globalSearch/COP8SBR9LVA8-NOPB/page-1", "COP8SBR9LVA8-NOPB")</f>
        <v>COP8SBR9LVA8-NOPB</v>
      </c>
      <c r="B10802" s="3" t="str">
        <f>HYPERLINK("https://www.773grp.com/manufacturer/national-semiconductor?pageNo=81", "National Semiconductor")</f>
        <v>National Semiconductor</v>
      </c>
      <c r="C10802" s="6">
        <v>16046</v>
      </c>
      <c r="D10802" s="7">
        <v>24.78</v>
      </c>
    </row>
    <row r="10803" spans="1:5" x14ac:dyDescent="0.25">
      <c r="A10803" t="str">
        <f>HYPERLINK("https://www.773grp.com/globalSearch/DS40MB200SQ/page-1", "DS40MB200SQ")</f>
        <v>DS40MB200SQ</v>
      </c>
      <c r="B10803" s="3" t="str">
        <f>HYPERLINK("https://www.773grp.com/manufacturer/national-semiconductor?pageNo=82", "National Semiconductor")</f>
        <v>National Semiconductor</v>
      </c>
      <c r="C10803" s="6">
        <v>1000</v>
      </c>
      <c r="D10803" s="7">
        <v>24.81</v>
      </c>
    </row>
    <row r="10804" spans="1:5" x14ac:dyDescent="0.25">
      <c r="A10804" t="str">
        <f>HYPERLINK("https://www.773grp.com/globalSearch/DS92LV1021TMSA-NOPB/page-1", "DS92LV1021TMSA-NOPB")</f>
        <v>DS92LV1021TMSA-NOPB</v>
      </c>
      <c r="B10804" s="3" t="str">
        <f>HYPERLINK("https://www.773grp.com/manufacturer/national-semiconductor?pageNo=83", "National Semiconductor")</f>
        <v>National Semiconductor</v>
      </c>
      <c r="C10804" s="6">
        <v>658</v>
      </c>
      <c r="D10804" s="7">
        <v>24.81</v>
      </c>
      <c r="E10804" t="s">
        <v>21</v>
      </c>
    </row>
    <row r="10805" spans="1:5" x14ac:dyDescent="0.25">
      <c r="A10805" t="str">
        <f>HYPERLINK("https://www.773grp.com/globalSearch/DS40MB200SQ/page-1", "DS40MB200SQ")</f>
        <v>DS40MB200SQ</v>
      </c>
      <c r="B10805" s="3" t="str">
        <f>HYPERLINK("https://www.773grp.com/manufacturer/national-semiconductor?pageNo=84", "National Semiconductor")</f>
        <v>National Semiconductor</v>
      </c>
      <c r="C10805" s="6">
        <v>4250</v>
      </c>
      <c r="D10805" s="7">
        <v>24.81</v>
      </c>
    </row>
    <row r="10806" spans="1:5" x14ac:dyDescent="0.25">
      <c r="A10806" t="str">
        <f>HYPERLINK("https://www.773grp.com/globalSearch/DS92LV1021TMSA-NOPB/page-1", "DS92LV1021TMSA-NOPB")</f>
        <v>DS92LV1021TMSA-NOPB</v>
      </c>
      <c r="B10806" s="3" t="str">
        <f>HYPERLINK("https://www.773grp.com/manufacturer/national-semiconductor?pageNo=85", "National Semiconductor")</f>
        <v>National Semiconductor</v>
      </c>
      <c r="C10806" s="6">
        <v>6405</v>
      </c>
      <c r="D10806" s="7">
        <v>24.81</v>
      </c>
      <c r="E10806" t="s">
        <v>21</v>
      </c>
    </row>
    <row r="10807" spans="1:5" x14ac:dyDescent="0.25">
      <c r="A10807" t="str">
        <f>HYPERLINK("https://www.773grp.com/globalSearch/COP8SGE744V8/page-1", "COP8SGE744V8")</f>
        <v>COP8SGE744V8</v>
      </c>
      <c r="B10807" s="3" t="str">
        <f>HYPERLINK("https://www.773grp.com/manufacturer/national-semiconductor?pageNo=86", "National Semiconductor")</f>
        <v>National Semiconductor</v>
      </c>
      <c r="C10807" s="6">
        <v>67</v>
      </c>
      <c r="D10807" s="7">
        <v>24.84</v>
      </c>
      <c r="E10807" t="s">
        <v>52</v>
      </c>
    </row>
    <row r="10808" spans="1:5" x14ac:dyDescent="0.25">
      <c r="A10808" t="str">
        <f>HYPERLINK("https://www.773grp.com/globalSearch/COP8SGE744V8/page-1", "COP8SGE744V8")</f>
        <v>COP8SGE744V8</v>
      </c>
      <c r="B10808" s="3" t="str">
        <f>HYPERLINK("https://www.773grp.com/manufacturer/national-semiconductor?pageNo=87", "National Semiconductor")</f>
        <v>National Semiconductor</v>
      </c>
      <c r="C10808" s="6">
        <v>245</v>
      </c>
      <c r="D10808" s="7">
        <v>24.84</v>
      </c>
      <c r="E10808" t="s">
        <v>52</v>
      </c>
    </row>
    <row r="10809" spans="1:5" x14ac:dyDescent="0.25">
      <c r="A10809" t="str">
        <f>HYPERLINK("https://www.773grp.com/globalSearch/100101FM-MLS/page-1", "100101FM-MLS")</f>
        <v>100101FM-MLS</v>
      </c>
      <c r="B10809" s="3" t="str">
        <f>HYPERLINK("https://www.773grp.com/manufacturer/national-semiconductor?pageNo=88", "National Semiconductor")</f>
        <v>National Semiconductor</v>
      </c>
      <c r="C10809" s="6">
        <v>42</v>
      </c>
      <c r="D10809" s="7">
        <v>24.93</v>
      </c>
    </row>
    <row r="10810" spans="1:5" x14ac:dyDescent="0.25">
      <c r="A10810" t="str">
        <f>HYPERLINK("https://www.773grp.com/globalSearch/HPC36003V20/page-1", "HPC36003V20")</f>
        <v>HPC36003V20</v>
      </c>
      <c r="B10810" s="3" t="str">
        <f>HYPERLINK("https://www.773grp.com/manufacturer/national-semiconductor?pageNo=89", "National Semiconductor")</f>
        <v>National Semiconductor</v>
      </c>
      <c r="C10810" s="6">
        <v>198</v>
      </c>
      <c r="D10810" s="7">
        <v>24.98</v>
      </c>
      <c r="E10810" t="s">
        <v>52</v>
      </c>
    </row>
    <row r="10811" spans="1:5" x14ac:dyDescent="0.25">
      <c r="A10811" t="str">
        <f>HYPERLINK("https://www.773grp.com/globalSearch/HPC36003V20/page-1", "HPC36003V20")</f>
        <v>HPC36003V20</v>
      </c>
      <c r="B10811" s="3" t="str">
        <f>HYPERLINK("https://www.773grp.com/manufacturer/national-semiconductor?pageNo=90", "National Semiconductor")</f>
        <v>National Semiconductor</v>
      </c>
      <c r="C10811" s="6">
        <v>288</v>
      </c>
      <c r="D10811" s="7">
        <v>24.98</v>
      </c>
      <c r="E10811" t="s">
        <v>52</v>
      </c>
    </row>
    <row r="10812" spans="1:5" x14ac:dyDescent="0.25">
      <c r="A10812" t="str">
        <f>HYPERLINK("https://www.773grp.com/globalSearch/54F161AFMQB/page-1", "54F161AFMQB")</f>
        <v>54F161AFMQB</v>
      </c>
      <c r="B10812" s="3" t="str">
        <f>HYPERLINK("https://www.773grp.com/manufacturer/national-semiconductor?pageNo=91", "National Semiconductor")</f>
        <v>National Semiconductor</v>
      </c>
      <c r="C10812" s="6">
        <v>100</v>
      </c>
      <c r="D10812" s="7">
        <v>25.03</v>
      </c>
      <c r="E10812" t="s">
        <v>26</v>
      </c>
    </row>
    <row r="10813" spans="1:5" x14ac:dyDescent="0.25">
      <c r="A10813" t="str">
        <f>HYPERLINK("https://www.773grp.com/globalSearch/DM8605J/page-1", "DM8605J")</f>
        <v>DM8605J</v>
      </c>
      <c r="B10813" s="3" t="str">
        <f>HYPERLINK("https://www.773grp.com/manufacturer/national-semiconductor?pageNo=92", "National Semiconductor")</f>
        <v>National Semiconductor</v>
      </c>
      <c r="C10813" s="6">
        <v>22</v>
      </c>
      <c r="D10813" s="7">
        <v>25.03</v>
      </c>
    </row>
    <row r="10814" spans="1:5" x14ac:dyDescent="0.25">
      <c r="A10814" t="str">
        <f>HYPERLINK("https://www.773grp.com/globalSearch/LM34H/page-1", "LM34H")</f>
        <v>LM34H</v>
      </c>
      <c r="B10814" s="3" t="str">
        <f>HYPERLINK("https://www.773grp.com/manufacturer/national-semiconductor?pageNo=93", "National Semiconductor")</f>
        <v>National Semiconductor</v>
      </c>
      <c r="C10814" s="6">
        <v>1667</v>
      </c>
      <c r="D10814" s="7">
        <v>25.03</v>
      </c>
      <c r="E10814" t="s">
        <v>8</v>
      </c>
    </row>
    <row r="10815" spans="1:5" x14ac:dyDescent="0.25">
      <c r="A10815" t="str">
        <f>HYPERLINK("https://www.773grp.com/globalSearch/MNC2148HJ-2/page-1", "MNC2148HJ-2")</f>
        <v>MNC2148HJ-2</v>
      </c>
      <c r="B10815" s="3" t="str">
        <f>HYPERLINK("https://www.773grp.com/manufacturer/national-semiconductor?pageNo=94", "National Semiconductor")</f>
        <v>National Semiconductor</v>
      </c>
      <c r="C10815" s="6">
        <v>2660</v>
      </c>
      <c r="D10815" s="7">
        <v>25.03</v>
      </c>
    </row>
    <row r="10816" spans="1:5" x14ac:dyDescent="0.25">
      <c r="A10816" t="str">
        <f>HYPERLINK("https://www.773grp.com/globalSearch/NMC2148HJ-2/page-1", "NMC2148HJ-2")</f>
        <v>NMC2148HJ-2</v>
      </c>
      <c r="B10816" s="3" t="str">
        <f>HYPERLINK("https://www.773grp.com/manufacturer/national-semiconductor?pageNo=95", "National Semiconductor")</f>
        <v>National Semiconductor</v>
      </c>
      <c r="C10816" s="6">
        <v>4056</v>
      </c>
      <c r="D10816" s="7">
        <v>25.03</v>
      </c>
      <c r="E10816" t="s">
        <v>75</v>
      </c>
    </row>
    <row r="10817" spans="1:5" x14ac:dyDescent="0.25">
      <c r="A10817" t="str">
        <f>HYPERLINK("https://www.773grp.com/globalSearch/LP2994EVAL/page-1", "LP2994EVAL")</f>
        <v>LP2994EVAL</v>
      </c>
      <c r="B10817" s="3" t="str">
        <f>HYPERLINK("https://www.773grp.com/manufacturer/national-semiconductor?pageNo=96", "National Semiconductor")</f>
        <v>National Semiconductor</v>
      </c>
      <c r="C10817" s="6">
        <v>1</v>
      </c>
      <c r="D10817" s="7">
        <v>25.11</v>
      </c>
    </row>
    <row r="10818" spans="1:5" x14ac:dyDescent="0.25">
      <c r="A10818" t="str">
        <f>HYPERLINK("https://www.773grp.com/globalSearch/SCANSTA112SM/page-1", "SCANSTA112SM")</f>
        <v>SCANSTA112SM</v>
      </c>
      <c r="B10818" s="3" t="str">
        <f>HYPERLINK("https://www.773grp.com/manufacturer/national-semiconductor?pageNo=97", "National Semiconductor")</f>
        <v>National Semiconductor</v>
      </c>
      <c r="C10818" s="6">
        <v>385</v>
      </c>
      <c r="D10818" s="7">
        <v>25.11</v>
      </c>
      <c r="E10818" t="s">
        <v>42</v>
      </c>
    </row>
    <row r="10819" spans="1:5" x14ac:dyDescent="0.25">
      <c r="A10819" t="str">
        <f>HYPERLINK("https://www.773grp.com/globalSearch/SCANSTA112VS/page-1", "SCANSTA112VS")</f>
        <v>SCANSTA112VS</v>
      </c>
      <c r="B10819" s="3" t="str">
        <f>HYPERLINK("https://www.773grp.com/manufacturer/national-semiconductor?pageNo=98", "National Semiconductor")</f>
        <v>National Semiconductor</v>
      </c>
      <c r="C10819" s="6">
        <v>133</v>
      </c>
      <c r="D10819" s="7">
        <v>25.11</v>
      </c>
      <c r="E10819" t="s">
        <v>42</v>
      </c>
    </row>
    <row r="10820" spans="1:5" x14ac:dyDescent="0.25">
      <c r="A10820" t="str">
        <f>HYPERLINK("https://www.773grp.com/globalSearch/SCANSTA112SM/page-1", "SCANSTA112SM")</f>
        <v>SCANSTA112SM</v>
      </c>
      <c r="B10820" s="3" t="str">
        <f>HYPERLINK("https://www.773grp.com/manufacturer/national-semiconductor?pageNo=99", "National Semiconductor")</f>
        <v>National Semiconductor</v>
      </c>
      <c r="C10820" s="6">
        <v>273</v>
      </c>
      <c r="D10820" s="7">
        <v>25.11</v>
      </c>
      <c r="E10820" t="s">
        <v>42</v>
      </c>
    </row>
    <row r="10821" spans="1:5" x14ac:dyDescent="0.25">
      <c r="A10821" t="str">
        <f>HYPERLINK("https://www.773grp.com/globalSearch/SCANSTA112VS/page-1", "SCANSTA112VS")</f>
        <v>SCANSTA112VS</v>
      </c>
      <c r="B10821" s="3" t="str">
        <f>HYPERLINK("https://www.773grp.com/manufacturer/national-semiconductor?pageNo=100", "National Semiconductor")</f>
        <v>National Semiconductor</v>
      </c>
      <c r="C10821" s="6">
        <v>520</v>
      </c>
      <c r="D10821" s="7">
        <v>25.11</v>
      </c>
      <c r="E10821" t="s">
        <v>42</v>
      </c>
    </row>
    <row r="10822" spans="1:5" x14ac:dyDescent="0.25">
      <c r="A10822" t="str">
        <f>HYPERLINK("https://www.773grp.com/globalSearch/5421DM/page-1", "5421DM")</f>
        <v>5421DM</v>
      </c>
      <c r="B10822" s="3" t="str">
        <f>HYPERLINK("https://www.773grp.com/manufacturer/national-semiconductor?pageNo=101", "National Semiconductor")</f>
        <v>National Semiconductor</v>
      </c>
      <c r="C10822" s="6">
        <v>3470</v>
      </c>
      <c r="D10822" s="7">
        <v>25.15</v>
      </c>
    </row>
    <row r="10823" spans="1:5" x14ac:dyDescent="0.25">
      <c r="A10823" t="str">
        <f>HYPERLINK("https://www.773grp.com/globalSearch/54H01FM/page-1", "54H01FM")</f>
        <v>54H01FM</v>
      </c>
      <c r="B10823" s="3" t="str">
        <f>HYPERLINK("https://www.773grp.com/manufacturer/national-semiconductor?pageNo=102", "National Semiconductor")</f>
        <v>National Semiconductor</v>
      </c>
      <c r="C10823" s="6">
        <v>1069</v>
      </c>
      <c r="D10823" s="7">
        <v>25.15</v>
      </c>
    </row>
    <row r="10824" spans="1:5" x14ac:dyDescent="0.25">
      <c r="A10824" t="str">
        <f>HYPERLINK("https://www.773grp.com/globalSearch/54H05FM/page-1", "54H05FM")</f>
        <v>54H05FM</v>
      </c>
      <c r="B10824" s="3" t="str">
        <f>HYPERLINK("https://www.773grp.com/manufacturer/national-semiconductor?pageNo=103", "National Semiconductor")</f>
        <v>National Semiconductor</v>
      </c>
      <c r="C10824" s="6">
        <v>302</v>
      </c>
      <c r="D10824" s="7">
        <v>25.15</v>
      </c>
    </row>
    <row r="10825" spans="1:5" x14ac:dyDescent="0.25">
      <c r="A10825" t="str">
        <f>HYPERLINK("https://www.773grp.com/globalSearch/54H08FM/page-1", "54H08FM")</f>
        <v>54H08FM</v>
      </c>
      <c r="B10825" s="3" t="str">
        <f>HYPERLINK("https://www.773grp.com/manufacturer/national-semiconductor?pageNo=104", "National Semiconductor")</f>
        <v>National Semiconductor</v>
      </c>
      <c r="C10825" s="6">
        <v>42</v>
      </c>
      <c r="D10825" s="7">
        <v>25.15</v>
      </c>
    </row>
    <row r="10826" spans="1:5" x14ac:dyDescent="0.25">
      <c r="A10826" t="str">
        <f>HYPERLINK("https://www.773grp.com/globalSearch/54H30FM/page-1", "54H30FM")</f>
        <v>54H30FM</v>
      </c>
      <c r="B10826" s="3" t="str">
        <f>HYPERLINK("https://www.773grp.com/manufacturer/national-semiconductor?pageNo=105", "National Semiconductor")</f>
        <v>National Semiconductor</v>
      </c>
      <c r="C10826" s="6">
        <v>875</v>
      </c>
      <c r="D10826" s="7">
        <v>25.15</v>
      </c>
    </row>
    <row r="10827" spans="1:5" x14ac:dyDescent="0.25">
      <c r="A10827" t="str">
        <f>HYPERLINK("https://www.773grp.com/globalSearch/54H30FM_S3/page-1", "54H30FM_S3")</f>
        <v>54H30FM_S3</v>
      </c>
      <c r="B10827" s="3" t="str">
        <f>HYPERLINK("https://www.773grp.com/manufacturer/national-semiconductor?pageNo=106", "National Semiconductor")</f>
        <v>National Semiconductor</v>
      </c>
      <c r="C10827" s="6">
        <v>551</v>
      </c>
      <c r="D10827" s="7">
        <v>25.15</v>
      </c>
    </row>
    <row r="10828" spans="1:5" x14ac:dyDescent="0.25">
      <c r="A10828" t="str">
        <f>HYPERLINK("https://www.773grp.com/globalSearch/54H40FM/page-1", "54H40FM")</f>
        <v>54H40FM</v>
      </c>
      <c r="B10828" s="3" t="str">
        <f>HYPERLINK("https://www.773grp.com/manufacturer/national-semiconductor?pageNo=107", "National Semiconductor")</f>
        <v>National Semiconductor</v>
      </c>
      <c r="C10828" s="6">
        <v>653</v>
      </c>
      <c r="D10828" s="7">
        <v>25.15</v>
      </c>
    </row>
    <row r="10829" spans="1:5" x14ac:dyDescent="0.25">
      <c r="A10829" t="str">
        <f>HYPERLINK("https://www.773grp.com/globalSearch/54H71FM/page-1", "54H71FM")</f>
        <v>54H71FM</v>
      </c>
      <c r="B10829" s="3" t="str">
        <f>HYPERLINK("https://www.773grp.com/manufacturer/national-semiconductor?pageNo=108", "National Semiconductor")</f>
        <v>National Semiconductor</v>
      </c>
      <c r="C10829" s="6">
        <v>990</v>
      </c>
      <c r="D10829" s="7">
        <v>25.15</v>
      </c>
    </row>
    <row r="10830" spans="1:5" x14ac:dyDescent="0.25">
      <c r="A10830" t="str">
        <f>HYPERLINK("https://www.773grp.com/globalSearch/54H72FM/page-1", "54H72FM")</f>
        <v>54H72FM</v>
      </c>
      <c r="B10830" s="3" t="str">
        <f>HYPERLINK("https://www.773grp.com/manufacturer/national-semiconductor?pageNo=109", "National Semiconductor")</f>
        <v>National Semiconductor</v>
      </c>
      <c r="C10830" s="6">
        <v>708</v>
      </c>
      <c r="D10830" s="7">
        <v>25.15</v>
      </c>
    </row>
    <row r="10831" spans="1:5" x14ac:dyDescent="0.25">
      <c r="A10831" t="str">
        <f>HYPERLINK("https://www.773grp.com/globalSearch/54LS670FM/page-1", "54LS670FM")</f>
        <v>54LS670FM</v>
      </c>
      <c r="B10831" s="3" t="str">
        <f>HYPERLINK("https://www.773grp.com/manufacturer/national-semiconductor?pageNo=110", "National Semiconductor")</f>
        <v>National Semiconductor</v>
      </c>
      <c r="C10831" s="6">
        <v>358</v>
      </c>
      <c r="D10831" s="7">
        <v>25.15</v>
      </c>
    </row>
    <row r="10832" spans="1:5" x14ac:dyDescent="0.25">
      <c r="A10832" t="str">
        <f>HYPERLINK("https://www.773grp.com/globalSearch/933FM/page-1", "933FM")</f>
        <v>933FM</v>
      </c>
      <c r="B10832" s="3" t="str">
        <f>HYPERLINK("https://www.773grp.com/manufacturer/national-semiconductor?pageNo=111", "National Semiconductor")</f>
        <v>National Semiconductor</v>
      </c>
      <c r="C10832" s="6">
        <v>1273</v>
      </c>
      <c r="D10832" s="7">
        <v>25.15</v>
      </c>
    </row>
    <row r="10833" spans="1:5" x14ac:dyDescent="0.25">
      <c r="A10833" t="str">
        <f>HYPERLINK("https://www.773grp.com/globalSearch/9348DC/page-1", "9348DC")</f>
        <v>9348DC</v>
      </c>
      <c r="B10833" s="3" t="str">
        <f>HYPERLINK("https://www.773grp.com/manufacturer/national-semiconductor?pageNo=112", "National Semiconductor")</f>
        <v>National Semiconductor</v>
      </c>
      <c r="C10833" s="6">
        <v>6102</v>
      </c>
      <c r="D10833" s="7">
        <v>25.15</v>
      </c>
    </row>
    <row r="10834" spans="1:5" x14ac:dyDescent="0.25">
      <c r="A10834" t="str">
        <f>HYPERLINK("https://www.773grp.com/globalSearch/963FM/page-1", "963FM")</f>
        <v>963FM</v>
      </c>
      <c r="B10834" s="3" t="str">
        <f>HYPERLINK("https://www.773grp.com/manufacturer/national-semiconductor?pageNo=113", "National Semiconductor")</f>
        <v>National Semiconductor</v>
      </c>
      <c r="C10834" s="6">
        <v>2625</v>
      </c>
      <c r="D10834" s="7">
        <v>25.15</v>
      </c>
    </row>
    <row r="10835" spans="1:5" x14ac:dyDescent="0.25">
      <c r="A10835" t="str">
        <f>HYPERLINK("https://www.773grp.com/globalSearch/DM7213J-883/page-1", "DM7213J-883")</f>
        <v>DM7213J-883</v>
      </c>
      <c r="B10835" s="3" t="str">
        <f>HYPERLINK("https://www.773grp.com/manufacturer/national-semiconductor?pageNo=114", "National Semiconductor")</f>
        <v>National Semiconductor</v>
      </c>
      <c r="C10835" s="6">
        <v>678</v>
      </c>
      <c r="D10835" s="7">
        <v>25.15</v>
      </c>
    </row>
    <row r="10836" spans="1:5" x14ac:dyDescent="0.25">
      <c r="A10836" t="str">
        <f>HYPERLINK("https://www.773grp.com/globalSearch/LM747J-883/page-1", "LM747J-883")</f>
        <v>LM747J-883</v>
      </c>
      <c r="B10836" s="3" t="str">
        <f>HYPERLINK("https://www.773grp.com/manufacturer/national-semiconductor?pageNo=115", "National Semiconductor")</f>
        <v>National Semiconductor</v>
      </c>
      <c r="C10836" s="6">
        <v>284</v>
      </c>
      <c r="D10836" s="7">
        <v>25.15</v>
      </c>
      <c r="E10836" t="s">
        <v>13</v>
      </c>
    </row>
    <row r="10837" spans="1:5" x14ac:dyDescent="0.25">
      <c r="A10837" t="str">
        <f>HYPERLINK("https://www.773grp.com/globalSearch/LM747J-883/page-1", "LM747J-883")</f>
        <v>LM747J-883</v>
      </c>
      <c r="B10837" s="3" t="str">
        <f>HYPERLINK("https://www.773grp.com/manufacturer/national-semiconductor?pageNo=116", "National Semiconductor")</f>
        <v>National Semiconductor</v>
      </c>
      <c r="C10837" s="6">
        <v>15</v>
      </c>
      <c r="D10837" s="7">
        <v>25.15</v>
      </c>
      <c r="E10837" t="s">
        <v>13</v>
      </c>
    </row>
    <row r="10838" spans="1:5" x14ac:dyDescent="0.25">
      <c r="A10838" t="str">
        <f>HYPERLINK("https://www.773grp.com/globalSearch/5422DM/page-1", "5422DM")</f>
        <v>5422DM</v>
      </c>
      <c r="B10838" s="3" t="str">
        <f>HYPERLINK("https://www.773grp.com/manufacturer/national-semiconductor?pageNo=117", "National Semiconductor")</f>
        <v>National Semiconductor</v>
      </c>
      <c r="C10838" s="6">
        <v>2107</v>
      </c>
      <c r="D10838" s="7">
        <v>25.23</v>
      </c>
    </row>
    <row r="10839" spans="1:5" x14ac:dyDescent="0.25">
      <c r="A10839" t="str">
        <f>HYPERLINK("https://www.773grp.com/globalSearch/54H10FM/page-1", "54H10FM")</f>
        <v>54H10FM</v>
      </c>
      <c r="B10839" s="3" t="str">
        <f>HYPERLINK("https://www.773grp.com/manufacturer/national-semiconductor?pageNo=118", "National Semiconductor")</f>
        <v>National Semiconductor</v>
      </c>
      <c r="C10839" s="6">
        <v>69</v>
      </c>
      <c r="D10839" s="7">
        <v>25.23</v>
      </c>
    </row>
    <row r="10840" spans="1:5" x14ac:dyDescent="0.25">
      <c r="A10840" t="str">
        <f>HYPERLINK("https://www.773grp.com/globalSearch/LMK02000ISQ-NOPB/page-1", "LMK02000ISQ-NOPB")</f>
        <v>LMK02000ISQ-NOPB</v>
      </c>
      <c r="B10840" s="3" t="str">
        <f>HYPERLINK("https://www.773grp.com/manufacturer/national-semiconductor?pageNo=119", "National Semiconductor")</f>
        <v>National Semiconductor</v>
      </c>
      <c r="C10840" s="6">
        <v>558</v>
      </c>
      <c r="D10840" s="7">
        <v>25.23</v>
      </c>
      <c r="E10840" t="s">
        <v>79</v>
      </c>
    </row>
    <row r="10841" spans="1:5" x14ac:dyDescent="0.25">
      <c r="A10841" t="str">
        <f>HYPERLINK("https://www.773grp.com/globalSearch/LMK02000ISQ-NOPB/page-1", "LMK02000ISQ-NOPB")</f>
        <v>LMK02000ISQ-NOPB</v>
      </c>
      <c r="B10841" s="3" t="str">
        <f>HYPERLINK("https://www.773grp.com/manufacturer/national-semiconductor?pageNo=120", "National Semiconductor")</f>
        <v>National Semiconductor</v>
      </c>
      <c r="C10841" s="6">
        <v>354</v>
      </c>
      <c r="D10841" s="7">
        <v>25.23</v>
      </c>
      <c r="E10841" t="s">
        <v>79</v>
      </c>
    </row>
    <row r="10842" spans="1:5" x14ac:dyDescent="0.25">
      <c r="A10842" t="str">
        <f>HYPERLINK("https://www.773grp.com/globalSearch/54F189DC/page-1", "54F189DC")</f>
        <v>54F189DC</v>
      </c>
      <c r="B10842" s="3" t="str">
        <f>HYPERLINK("https://www.773grp.com/manufacturer/national-semiconductor?pageNo=121", "National Semiconductor")</f>
        <v>National Semiconductor</v>
      </c>
      <c r="C10842" s="6">
        <v>238</v>
      </c>
      <c r="D10842" s="7">
        <v>25.26</v>
      </c>
      <c r="E10842" t="s">
        <v>75</v>
      </c>
    </row>
    <row r="10843" spans="1:5" x14ac:dyDescent="0.25">
      <c r="A10843" t="str">
        <f>HYPERLINK("https://www.773grp.com/globalSearch/54F189DLQB/page-1", "54F189DLQB")</f>
        <v>54F189DLQB</v>
      </c>
      <c r="B10843" s="3" t="str">
        <f>HYPERLINK("https://www.773grp.com/manufacturer/national-semiconductor?pageNo=122", "National Semiconductor")</f>
        <v>National Semiconductor</v>
      </c>
      <c r="C10843" s="6">
        <v>236</v>
      </c>
      <c r="D10843" s="7">
        <v>25.26</v>
      </c>
      <c r="E10843" t="s">
        <v>75</v>
      </c>
    </row>
    <row r="10844" spans="1:5" x14ac:dyDescent="0.25">
      <c r="A10844" t="str">
        <f>HYPERLINK("https://www.773grp.com/globalSearch/54F322DM/page-1", "54F322DM")</f>
        <v>54F322DM</v>
      </c>
      <c r="B10844" s="3" t="str">
        <f>HYPERLINK("https://www.773grp.com/manufacturer/national-semiconductor?pageNo=123", "National Semiconductor")</f>
        <v>National Semiconductor</v>
      </c>
      <c r="C10844" s="6">
        <v>845</v>
      </c>
      <c r="D10844" s="7">
        <v>25.26</v>
      </c>
      <c r="E10844" t="s">
        <v>32</v>
      </c>
    </row>
    <row r="10845" spans="1:5" x14ac:dyDescent="0.25">
      <c r="A10845" t="str">
        <f>HYPERLINK("https://www.773grp.com/globalSearch/948FM/page-1", "948FM")</f>
        <v>948FM</v>
      </c>
      <c r="B10845" s="3" t="str">
        <f>HYPERLINK("https://www.773grp.com/manufacturer/national-semiconductor?pageNo=124", "National Semiconductor")</f>
        <v>National Semiconductor</v>
      </c>
      <c r="C10845" s="6">
        <v>2</v>
      </c>
      <c r="D10845" s="7">
        <v>25.26</v>
      </c>
    </row>
    <row r="10846" spans="1:5" x14ac:dyDescent="0.25">
      <c r="A10846" t="str">
        <f>HYPERLINK("https://www.773grp.com/globalSearch/CLC002MAX/page-1", "CLC002MAX")</f>
        <v>CLC002MAX</v>
      </c>
      <c r="B10846" s="3" t="str">
        <f>HYPERLINK("https://www.773grp.com/manufacturer/national-semiconductor?pageNo=125", "National Semiconductor")</f>
        <v>National Semiconductor</v>
      </c>
      <c r="C10846" s="6">
        <v>10000</v>
      </c>
      <c r="D10846" s="7">
        <v>25.26</v>
      </c>
    </row>
    <row r="10847" spans="1:5" x14ac:dyDescent="0.25">
      <c r="A10847" t="str">
        <f>HYPERLINK("https://www.773grp.com/globalSearch/9316FMQB/page-1", "9316FMQB")</f>
        <v>9316FMQB</v>
      </c>
      <c r="B10847" s="3" t="str">
        <f>HYPERLINK("https://www.773grp.com/manufacturer/national-semiconductor?pageNo=126", "National Semiconductor")</f>
        <v>National Semiconductor</v>
      </c>
      <c r="C10847" s="6">
        <v>1216</v>
      </c>
      <c r="D10847" s="7">
        <v>25.31</v>
      </c>
      <c r="E10847" t="s">
        <v>26</v>
      </c>
    </row>
    <row r="10848" spans="1:5" x14ac:dyDescent="0.25">
      <c r="A10848" t="str">
        <f>HYPERLINK("https://www.773grp.com/globalSearch/93425DM  I2/page-1", "93425DM  I2")</f>
        <v>93425DM  I2</v>
      </c>
      <c r="B10848" s="3" t="str">
        <f>HYPERLINK("https://www.773grp.com/manufacturer/national-semiconductor?pageNo=127", "National Semiconductor")</f>
        <v>National Semiconductor</v>
      </c>
      <c r="C10848" s="6">
        <v>20</v>
      </c>
      <c r="D10848" s="7">
        <v>25.31</v>
      </c>
    </row>
    <row r="10849" spans="1:5" x14ac:dyDescent="0.25">
      <c r="A10849" t="str">
        <f>HYPERLINK("https://www.773grp.com/globalSearch/DS90CR482VS/page-1", "DS90CR482VS")</f>
        <v>DS90CR482VS</v>
      </c>
      <c r="B10849" s="3" t="str">
        <f>HYPERLINK("https://www.773grp.com/manufacturer/national-semiconductor?pageNo=128", "National Semiconductor")</f>
        <v>National Semiconductor</v>
      </c>
      <c r="C10849" s="6">
        <v>415</v>
      </c>
      <c r="D10849" s="7">
        <v>25.31</v>
      </c>
      <c r="E10849" t="s">
        <v>21</v>
      </c>
    </row>
    <row r="10850" spans="1:5" x14ac:dyDescent="0.25">
      <c r="A10850" t="str">
        <f>HYPERLINK("https://www.773grp.com/globalSearch/JM38510-08003BAA/page-1", "JM38510-08003BAA")</f>
        <v>JM38510-08003BAA</v>
      </c>
      <c r="B10850" s="3" t="str">
        <f>HYPERLINK("https://www.773grp.com/manufacturer/national-semiconductor?pageNo=129", "National Semiconductor")</f>
        <v>National Semiconductor</v>
      </c>
      <c r="C10850" s="6">
        <v>2400</v>
      </c>
      <c r="D10850" s="7">
        <v>25.31</v>
      </c>
    </row>
    <row r="10851" spans="1:5" x14ac:dyDescent="0.25">
      <c r="A10851" t="str">
        <f>HYPERLINK("https://www.773grp.com/globalSearch/LMH0074SQE-NOPB/page-1", "LMH0074SQE-NOPB")</f>
        <v>LMH0074SQE-NOPB</v>
      </c>
      <c r="B10851" s="3" t="str">
        <f>HYPERLINK("https://www.773grp.com/manufacturer/national-semiconductor?pageNo=130", "National Semiconductor")</f>
        <v>National Semiconductor</v>
      </c>
      <c r="C10851" s="6">
        <v>815</v>
      </c>
      <c r="D10851" s="7">
        <v>25.4</v>
      </c>
    </row>
    <row r="10852" spans="1:5" x14ac:dyDescent="0.25">
      <c r="A10852" t="str">
        <f>HYPERLINK("https://www.773grp.com/globalSearch/54H00DM/page-1", "54H00DM")</f>
        <v>54H00DM</v>
      </c>
      <c r="B10852" s="3" t="str">
        <f>HYPERLINK("https://www.773grp.com/manufacturer/national-semiconductor?pageNo=131", "National Semiconductor")</f>
        <v>National Semiconductor</v>
      </c>
      <c r="C10852" s="6">
        <v>618</v>
      </c>
      <c r="D10852" s="7">
        <v>25.45</v>
      </c>
      <c r="E10852" t="s">
        <v>31</v>
      </c>
    </row>
    <row r="10853" spans="1:5" x14ac:dyDescent="0.25">
      <c r="A10853" t="str">
        <f>HYPERLINK("https://www.773grp.com/globalSearch/54H10DM/page-1", "54H10DM")</f>
        <v>54H10DM</v>
      </c>
      <c r="B10853" s="3" t="str">
        <f>HYPERLINK("https://www.773grp.com/manufacturer/national-semiconductor?pageNo=132", "National Semiconductor")</f>
        <v>National Semiconductor</v>
      </c>
      <c r="C10853" s="6">
        <v>4862</v>
      </c>
      <c r="D10853" s="7">
        <v>25.45</v>
      </c>
    </row>
    <row r="10854" spans="1:5" x14ac:dyDescent="0.25">
      <c r="A10854" t="str">
        <f>HYPERLINK("https://www.773grp.com/globalSearch/54H20DM/page-1", "54H20DM")</f>
        <v>54H20DM</v>
      </c>
      <c r="B10854" s="3" t="str">
        <f>HYPERLINK("https://www.773grp.com/manufacturer/national-semiconductor?pageNo=133", "National Semiconductor")</f>
        <v>National Semiconductor</v>
      </c>
      <c r="C10854" s="6">
        <v>7059</v>
      </c>
      <c r="D10854" s="7">
        <v>25.45</v>
      </c>
    </row>
    <row r="10855" spans="1:5" x14ac:dyDescent="0.25">
      <c r="A10855" t="str">
        <f>HYPERLINK("https://www.773grp.com/globalSearch/54H30DM/page-1", "54H30DM")</f>
        <v>54H30DM</v>
      </c>
      <c r="B10855" s="3" t="str">
        <f>HYPERLINK("https://www.773grp.com/manufacturer/national-semiconductor?pageNo=134", "National Semiconductor")</f>
        <v>National Semiconductor</v>
      </c>
      <c r="C10855" s="6">
        <v>3077</v>
      </c>
      <c r="D10855" s="7">
        <v>25.45</v>
      </c>
    </row>
    <row r="10856" spans="1:5" x14ac:dyDescent="0.25">
      <c r="A10856" t="str">
        <f>HYPERLINK("https://www.773grp.com/globalSearch/DM7181J-883/page-1", "DM7181J-883")</f>
        <v>DM7181J-883</v>
      </c>
      <c r="B10856" s="3" t="str">
        <f>HYPERLINK("https://www.773grp.com/manufacturer/national-semiconductor?pageNo=1", "National Semiconductor")</f>
        <v>National Semiconductor</v>
      </c>
      <c r="C10856" s="6">
        <v>83</v>
      </c>
      <c r="D10856" s="7">
        <v>25.45</v>
      </c>
    </row>
    <row r="10857" spans="1:5" x14ac:dyDescent="0.25">
      <c r="A10857" t="str">
        <f>HYPERLINK("https://www.773grp.com/globalSearch/93L10DM/page-1", "93L10DM")</f>
        <v>93L10DM</v>
      </c>
      <c r="B10857" s="3" t="str">
        <f>HYPERLINK("https://www.773grp.com/manufacturer/national-semiconductor?pageNo=2", "National Semiconductor")</f>
        <v>National Semiconductor</v>
      </c>
      <c r="C10857" s="6">
        <v>969</v>
      </c>
      <c r="D10857" s="7">
        <v>25.49</v>
      </c>
    </row>
    <row r="10858" spans="1:5" x14ac:dyDescent="0.25">
      <c r="A10858" t="str">
        <f>HYPERLINK("https://www.773grp.com/globalSearch/HPC46003V30/page-1", "HPC46003V30")</f>
        <v>HPC46003V30</v>
      </c>
      <c r="B10858" s="3" t="str">
        <f>HYPERLINK("https://www.773grp.com/manufacturer/national-semiconductor?pageNo=3", "National Semiconductor")</f>
        <v>National Semiconductor</v>
      </c>
      <c r="C10858" s="6">
        <v>35</v>
      </c>
      <c r="D10858" s="7">
        <v>25.49</v>
      </c>
      <c r="E10858" t="s">
        <v>52</v>
      </c>
    </row>
    <row r="10859" spans="1:5" x14ac:dyDescent="0.25">
      <c r="A10859" t="str">
        <f>HYPERLINK("https://www.773grp.com/globalSearch/LM723J-883/page-1", "LM723J-883")</f>
        <v>LM723J-883</v>
      </c>
      <c r="B10859" s="3" t="str">
        <f>HYPERLINK("https://www.773grp.com/manufacturer/national-semiconductor?pageNo=4", "National Semiconductor")</f>
        <v>National Semiconductor</v>
      </c>
      <c r="C10859" s="6">
        <v>7</v>
      </c>
      <c r="D10859" s="7">
        <v>25.49</v>
      </c>
      <c r="E10859" t="s">
        <v>22</v>
      </c>
    </row>
    <row r="10860" spans="1:5" x14ac:dyDescent="0.25">
      <c r="A10860" t="str">
        <f>HYPERLINK("https://www.773grp.com/globalSearch/MM74HC299J/page-1", "MM74HC299J")</f>
        <v>MM74HC299J</v>
      </c>
      <c r="B10860" s="3" t="str">
        <f>HYPERLINK("https://www.773grp.com/manufacturer/national-semiconductor?pageNo=5", "National Semiconductor")</f>
        <v>National Semiconductor</v>
      </c>
      <c r="C10860" s="6">
        <v>49</v>
      </c>
      <c r="D10860" s="7">
        <v>25.49</v>
      </c>
      <c r="E10860" t="s">
        <v>32</v>
      </c>
    </row>
    <row r="10861" spans="1:5" x14ac:dyDescent="0.25">
      <c r="A10861" t="str">
        <f>HYPERLINK("https://www.773grp.com/globalSearch/LM723J-883/page-1", "LM723J-883")</f>
        <v>LM723J-883</v>
      </c>
      <c r="B10861" s="3" t="str">
        <f>HYPERLINK("https://www.773grp.com/manufacturer/national-semiconductor?pageNo=6", "National Semiconductor")</f>
        <v>National Semiconductor</v>
      </c>
      <c r="C10861" s="6">
        <v>4</v>
      </c>
      <c r="D10861" s="7">
        <v>25.49</v>
      </c>
      <c r="E10861" t="s">
        <v>22</v>
      </c>
    </row>
    <row r="10862" spans="1:5" x14ac:dyDescent="0.25">
      <c r="A10862" t="str">
        <f>HYPERLINK("https://www.773grp.com/globalSearch/4104BDM/page-1", "4104BDM")</f>
        <v>4104BDM</v>
      </c>
      <c r="B10862" s="3" t="str">
        <f>HYPERLINK("https://www.773grp.com/manufacturer/national-semiconductor?pageNo=7", "National Semiconductor")</f>
        <v>National Semiconductor</v>
      </c>
      <c r="C10862" s="6">
        <v>4009</v>
      </c>
      <c r="D10862" s="7">
        <v>25.56</v>
      </c>
    </row>
    <row r="10863" spans="1:5" x14ac:dyDescent="0.25">
      <c r="A10863" t="str">
        <f>HYPERLINK("https://www.773grp.com/globalSearch/9006DM/page-1", "9006DM")</f>
        <v>9006DM</v>
      </c>
      <c r="B10863" s="3" t="str">
        <f>HYPERLINK("https://www.773grp.com/manufacturer/national-semiconductor?pageNo=8", "National Semiconductor")</f>
        <v>National Semiconductor</v>
      </c>
      <c r="C10863" s="6">
        <v>23</v>
      </c>
      <c r="D10863" s="7">
        <v>25.61</v>
      </c>
    </row>
    <row r="10864" spans="1:5" x14ac:dyDescent="0.25">
      <c r="A10864" t="str">
        <f>HYPERLINK("https://www.773grp.com/globalSearch/9302DM/page-1", "9302DM")</f>
        <v>9302DM</v>
      </c>
      <c r="B10864" s="3" t="str">
        <f>HYPERLINK("https://www.773grp.com/manufacturer/national-semiconductor?pageNo=9", "National Semiconductor")</f>
        <v>National Semiconductor</v>
      </c>
      <c r="C10864" s="6">
        <v>857</v>
      </c>
      <c r="D10864" s="7">
        <v>25.61</v>
      </c>
    </row>
    <row r="10865" spans="1:5" x14ac:dyDescent="0.25">
      <c r="A10865" t="str">
        <f>HYPERLINK("https://www.773grp.com/globalSearch/LM78S40J/page-1", "LM78S40J")</f>
        <v>LM78S40J</v>
      </c>
      <c r="B10865" s="3" t="str">
        <f>HYPERLINK("https://www.773grp.com/manufacturer/national-semiconductor?pageNo=10", "National Semiconductor")</f>
        <v>National Semiconductor</v>
      </c>
      <c r="C10865" s="6">
        <v>4561</v>
      </c>
      <c r="D10865" s="7">
        <v>25.61</v>
      </c>
      <c r="E10865" t="s">
        <v>7</v>
      </c>
    </row>
    <row r="10866" spans="1:5" x14ac:dyDescent="0.25">
      <c r="A10866" t="str">
        <f>HYPERLINK("https://www.773grp.com/globalSearch/UA774BDM/page-1", "UA774BDM")</f>
        <v>UA774BDM</v>
      </c>
      <c r="B10866" s="3" t="str">
        <f>HYPERLINK("https://www.773grp.com/manufacturer/national-semiconductor?pageNo=11", "National Semiconductor")</f>
        <v>National Semiconductor</v>
      </c>
      <c r="C10866" s="6">
        <v>8</v>
      </c>
      <c r="D10866" s="7">
        <v>25.61</v>
      </c>
    </row>
    <row r="10867" spans="1:5" x14ac:dyDescent="0.25">
      <c r="A10867" t="str">
        <f>HYPERLINK("https://www.773grp.com/globalSearch/DS92LV16TVHG-NOPB/page-1", "DS92LV16TVHG-NOPB")</f>
        <v>DS92LV16TVHG-NOPB</v>
      </c>
      <c r="B10867" s="3" t="str">
        <f>HYPERLINK("https://www.773grp.com/manufacturer/national-semiconductor?pageNo=12", "National Semiconductor")</f>
        <v>National Semiconductor</v>
      </c>
      <c r="C10867" s="6">
        <v>57</v>
      </c>
      <c r="D10867" s="7">
        <v>25.61</v>
      </c>
    </row>
    <row r="10868" spans="1:5" x14ac:dyDescent="0.25">
      <c r="A10868" t="str">
        <f>HYPERLINK("https://www.773grp.com/globalSearch/DS64BR401SQE-NOPB/page-1", "DS64BR401SQE-NOPB")</f>
        <v>DS64BR401SQE-NOPB</v>
      </c>
      <c r="B10868" s="3" t="str">
        <f>HYPERLINK("https://www.773grp.com/manufacturer/national-semiconductor?pageNo=13", "National Semiconductor")</f>
        <v>National Semiconductor</v>
      </c>
      <c r="C10868" s="6">
        <v>60</v>
      </c>
      <c r="D10868" s="7">
        <v>25.7</v>
      </c>
      <c r="E10868" t="s">
        <v>21</v>
      </c>
    </row>
    <row r="10869" spans="1:5" x14ac:dyDescent="0.25">
      <c r="A10869" t="str">
        <f>HYPERLINK("https://www.773grp.com/globalSearch/DS64BR401SQE-NOPB/page-1", "DS64BR401SQE-NOPB")</f>
        <v>DS64BR401SQE-NOPB</v>
      </c>
      <c r="B10869" s="3" t="str">
        <f>HYPERLINK("https://www.773grp.com/manufacturer/national-semiconductor?pageNo=14", "National Semiconductor")</f>
        <v>National Semiconductor</v>
      </c>
      <c r="C10869" s="6">
        <v>111</v>
      </c>
      <c r="D10869" s="7">
        <v>25.7</v>
      </c>
      <c r="E10869" t="s">
        <v>21</v>
      </c>
    </row>
    <row r="10870" spans="1:5" x14ac:dyDescent="0.25">
      <c r="A10870" t="str">
        <f>HYPERLINK("https://www.773grp.com/globalSearch/DS64MB201SQE-NOPB/page-1", "DS64MB201SQE-NOPB")</f>
        <v>DS64MB201SQE-NOPB</v>
      </c>
      <c r="B10870" s="3" t="str">
        <f>HYPERLINK("https://www.773grp.com/manufacturer/national-semiconductor?pageNo=15", "National Semiconductor")</f>
        <v>National Semiconductor</v>
      </c>
      <c r="C10870" s="6">
        <v>1064</v>
      </c>
      <c r="D10870" s="7">
        <v>25.7</v>
      </c>
    </row>
    <row r="10871" spans="1:5" x14ac:dyDescent="0.25">
      <c r="A10871" t="str">
        <f>HYPERLINK("https://www.773grp.com/globalSearch/LMH0024MAE-NOPB/page-1", "LMH0024MAE-NOPB")</f>
        <v>LMH0024MAE-NOPB</v>
      </c>
      <c r="B10871" s="3" t="str">
        <f>HYPERLINK("https://www.773grp.com/manufacturer/national-semiconductor?pageNo=16", "National Semiconductor")</f>
        <v>National Semiconductor</v>
      </c>
      <c r="C10871" s="6">
        <v>250</v>
      </c>
      <c r="D10871" s="7">
        <v>25.7</v>
      </c>
    </row>
    <row r="10872" spans="1:5" x14ac:dyDescent="0.25">
      <c r="A10872" t="str">
        <f>HYPERLINK("https://www.773grp.com/globalSearch/ADC08238BIN/page-1", "ADC08238BIN")</f>
        <v>ADC08238BIN</v>
      </c>
      <c r="B10872" s="3" t="str">
        <f>HYPERLINK("https://www.773grp.com/manufacturer/national-semiconductor?pageNo=17", "National Semiconductor")</f>
        <v>National Semiconductor</v>
      </c>
      <c r="C10872" s="6">
        <v>847</v>
      </c>
      <c r="D10872" s="7">
        <v>25.74</v>
      </c>
      <c r="E10872" t="s">
        <v>39</v>
      </c>
    </row>
    <row r="10873" spans="1:5" x14ac:dyDescent="0.25">
      <c r="A10873" t="str">
        <f>HYPERLINK("https://www.773grp.com/globalSearch/LMD18245T-NOPB/page-1", "LMD18245T-NOPB")</f>
        <v>LMD18245T-NOPB</v>
      </c>
      <c r="B10873" s="3" t="str">
        <f>HYPERLINK("https://www.773grp.com/manufacturer/national-semiconductor?pageNo=18", "National Semiconductor")</f>
        <v>National Semiconductor</v>
      </c>
      <c r="C10873" s="6">
        <v>18522</v>
      </c>
      <c r="D10873" s="7">
        <v>25.74</v>
      </c>
      <c r="E10873" t="s">
        <v>62</v>
      </c>
    </row>
    <row r="10874" spans="1:5" x14ac:dyDescent="0.25">
      <c r="A10874" t="str">
        <f>HYPERLINK("https://www.773grp.com/globalSearch/LMD18245T-NOPB/page-1", "LMD18245T-NOPB")</f>
        <v>LMD18245T-NOPB</v>
      </c>
      <c r="B10874" s="3" t="str">
        <f>HYPERLINK("https://www.773grp.com/manufacturer/national-semiconductor?pageNo=19", "National Semiconductor")</f>
        <v>National Semiconductor</v>
      </c>
      <c r="C10874" s="6">
        <v>235</v>
      </c>
      <c r="D10874" s="7">
        <v>25.74</v>
      </c>
      <c r="E10874" t="s">
        <v>62</v>
      </c>
    </row>
    <row r="10875" spans="1:5" x14ac:dyDescent="0.25">
      <c r="A10875" t="str">
        <f>HYPERLINK("https://www.773grp.com/globalSearch/DAC1222LCJ/page-1", "DAC1222LCJ")</f>
        <v>DAC1222LCJ</v>
      </c>
      <c r="B10875" s="3" t="str">
        <f>HYPERLINK("https://www.773grp.com/manufacturer/national-semiconductor?pageNo=20", "National Semiconductor")</f>
        <v>National Semiconductor</v>
      </c>
      <c r="C10875" s="6">
        <v>340</v>
      </c>
      <c r="D10875" s="7">
        <v>25.88</v>
      </c>
      <c r="E10875" t="s">
        <v>33</v>
      </c>
    </row>
    <row r="10876" spans="1:5" x14ac:dyDescent="0.25">
      <c r="A10876" t="str">
        <f>HYPERLINK("https://www.773grp.com/globalSearch/LMK03002ISQ-NOPB/page-1", "LMK03002ISQ-NOPB")</f>
        <v>LMK03002ISQ-NOPB</v>
      </c>
      <c r="B10876" s="3" t="str">
        <f>HYPERLINK("https://www.773grp.com/manufacturer/national-semiconductor?pageNo=21", "National Semiconductor")</f>
        <v>National Semiconductor</v>
      </c>
      <c r="C10876" s="6">
        <v>123</v>
      </c>
      <c r="D10876" s="7">
        <v>25.88</v>
      </c>
    </row>
    <row r="10877" spans="1:5" x14ac:dyDescent="0.25">
      <c r="A10877" t="str">
        <f>HYPERLINK("https://www.773grp.com/globalSearch/LMK03002ISQ-NOPB/page-1", "LMK03002ISQ-NOPB")</f>
        <v>LMK03002ISQ-NOPB</v>
      </c>
      <c r="B10877" s="3" t="str">
        <f>HYPERLINK("https://www.773grp.com/manufacturer/national-semiconductor?pageNo=22", "National Semiconductor")</f>
        <v>National Semiconductor</v>
      </c>
      <c r="C10877" s="6">
        <v>870</v>
      </c>
      <c r="D10877" s="7">
        <v>25.88</v>
      </c>
    </row>
    <row r="10878" spans="1:5" x14ac:dyDescent="0.25">
      <c r="A10878" t="str">
        <f>HYPERLINK("https://www.773grp.com/globalSearch/54S40DM/page-1", "54S40DM")</f>
        <v>54S40DM</v>
      </c>
      <c r="B10878" s="3" t="str">
        <f>HYPERLINK("https://www.773grp.com/manufacturer/national-semiconductor?pageNo=23", "National Semiconductor")</f>
        <v>National Semiconductor</v>
      </c>
      <c r="C10878" s="6">
        <v>14642</v>
      </c>
      <c r="D10878" s="7">
        <v>25.94</v>
      </c>
    </row>
    <row r="10879" spans="1:5" x14ac:dyDescent="0.25">
      <c r="A10879" t="str">
        <f>HYPERLINK("https://www.773grp.com/globalSearch/DS92LV18TVV-NOPB/page-1", "DS92LV18TVV-NOPB")</f>
        <v>DS92LV18TVV-NOPB</v>
      </c>
      <c r="B10879" s="3" t="str">
        <f>HYPERLINK("https://www.773grp.com/manufacturer/national-semiconductor?pageNo=24", "National Semiconductor")</f>
        <v>National Semiconductor</v>
      </c>
      <c r="C10879" s="6">
        <v>2596</v>
      </c>
      <c r="D10879" s="7">
        <v>25.99</v>
      </c>
      <c r="E10879" t="s">
        <v>21</v>
      </c>
    </row>
    <row r="10880" spans="1:5" x14ac:dyDescent="0.25">
      <c r="A10880" t="str">
        <f>HYPERLINK("https://www.773grp.com/globalSearch/DS92LV18TVV-NOPB/page-1", "DS92LV18TVV-NOPB")</f>
        <v>DS92LV18TVV-NOPB</v>
      </c>
      <c r="B10880" s="3" t="str">
        <f>HYPERLINK("https://www.773grp.com/manufacturer/national-semiconductor?pageNo=25", "National Semiconductor")</f>
        <v>National Semiconductor</v>
      </c>
      <c r="C10880" s="6">
        <v>31</v>
      </c>
      <c r="D10880" s="7">
        <v>25.99</v>
      </c>
      <c r="E10880" t="s">
        <v>21</v>
      </c>
    </row>
    <row r="10881" spans="1:5" x14ac:dyDescent="0.25">
      <c r="A10881" t="str">
        <f>HYPERLINK("https://www.773grp.com/globalSearch/100114DC/page-1", "100114DC")</f>
        <v>100114DC</v>
      </c>
      <c r="B10881" s="3" t="str">
        <f>HYPERLINK("https://www.773grp.com/manufacturer/national-semiconductor?pageNo=26", "National Semiconductor")</f>
        <v>National Semiconductor</v>
      </c>
      <c r="C10881" s="6">
        <v>54</v>
      </c>
      <c r="D10881" s="7">
        <v>26.03</v>
      </c>
      <c r="E10881" t="s">
        <v>21</v>
      </c>
    </row>
    <row r="10882" spans="1:5" x14ac:dyDescent="0.25">
      <c r="A10882" t="str">
        <f>HYPERLINK("https://www.773grp.com/globalSearch/9348DM/page-1", "9348DM")</f>
        <v>9348DM</v>
      </c>
      <c r="B10882" s="3" t="str">
        <f>HYPERLINK("https://www.773grp.com/manufacturer/national-semiconductor?pageNo=27", "National Semiconductor")</f>
        <v>National Semiconductor</v>
      </c>
      <c r="C10882" s="6">
        <v>414</v>
      </c>
      <c r="D10882" s="7">
        <v>26.03</v>
      </c>
    </row>
    <row r="10883" spans="1:5" x14ac:dyDescent="0.25">
      <c r="A10883" t="str">
        <f>HYPERLINK("https://www.773grp.com/globalSearch/LM1882CM/page-1", "LM1882CM")</f>
        <v>LM1882CM</v>
      </c>
      <c r="B10883" s="3" t="str">
        <f>HYPERLINK("https://www.773grp.com/manufacturer/national-semiconductor?pageNo=28", "National Semiconductor")</f>
        <v>National Semiconductor</v>
      </c>
      <c r="C10883" s="6">
        <v>45</v>
      </c>
      <c r="D10883" s="7">
        <v>26.03</v>
      </c>
      <c r="E10883" t="s">
        <v>23</v>
      </c>
    </row>
    <row r="10884" spans="1:5" x14ac:dyDescent="0.25">
      <c r="A10884" t="str">
        <f>HYPERLINK("https://www.773grp.com/globalSearch/LPC660AMD/page-1", "LPC660AMD")</f>
        <v>LPC660AMD</v>
      </c>
      <c r="B10884" s="3" t="str">
        <f>HYPERLINK("https://www.773grp.com/manufacturer/national-semiconductor?pageNo=29", "National Semiconductor")</f>
        <v>National Semiconductor</v>
      </c>
      <c r="C10884" s="6">
        <v>66</v>
      </c>
      <c r="D10884" s="7">
        <v>26.03</v>
      </c>
      <c r="E10884" t="s">
        <v>13</v>
      </c>
    </row>
    <row r="10885" spans="1:5" x14ac:dyDescent="0.25">
      <c r="A10885" t="str">
        <f>HYPERLINK("https://www.773grp.com/globalSearch/LMZ12008TZ-NOPB/page-1", "LMZ12008TZ-NOPB")</f>
        <v>LMZ12008TZ-NOPB</v>
      </c>
      <c r="B10885" s="3" t="str">
        <f>HYPERLINK("https://www.773grp.com/manufacturer/national-semiconductor?pageNo=30", "National Semiconductor")</f>
        <v>National Semiconductor</v>
      </c>
      <c r="C10885" s="6">
        <v>200</v>
      </c>
      <c r="D10885" s="7">
        <v>26.03</v>
      </c>
    </row>
    <row r="10886" spans="1:5" x14ac:dyDescent="0.25">
      <c r="A10886" t="str">
        <f>HYPERLINK("https://www.773grp.com/globalSearch/LMZ23605TZ-NOPB/page-1", "LMZ23605TZ-NOPB")</f>
        <v>LMZ23605TZ-NOPB</v>
      </c>
      <c r="B10886" s="3" t="str">
        <f>HYPERLINK("https://www.773grp.com/manufacturer/national-semiconductor?pageNo=31", "National Semiconductor")</f>
        <v>National Semiconductor</v>
      </c>
      <c r="C10886" s="6">
        <v>122</v>
      </c>
      <c r="D10886" s="7">
        <v>26.03</v>
      </c>
    </row>
    <row r="10887" spans="1:5" x14ac:dyDescent="0.25">
      <c r="A10887" t="str">
        <f>HYPERLINK("https://www.773grp.com/globalSearch/9005DM/page-1", "9005DM")</f>
        <v>9005DM</v>
      </c>
      <c r="B10887" s="3" t="str">
        <f>HYPERLINK("https://www.773grp.com/manufacturer/national-semiconductor?pageNo=32", "National Semiconductor")</f>
        <v>National Semiconductor</v>
      </c>
      <c r="C10887" s="6">
        <v>956</v>
      </c>
      <c r="D10887" s="7">
        <v>26.08</v>
      </c>
    </row>
    <row r="10888" spans="1:5" x14ac:dyDescent="0.25">
      <c r="A10888" t="str">
        <f>HYPERLINK("https://www.773grp.com/globalSearch/DS90CR486VSX-NOPB/page-1", "DS90CR486VSX-NOPB")</f>
        <v>DS90CR486VSX-NOPB</v>
      </c>
      <c r="B10888" s="3" t="str">
        <f>HYPERLINK("https://www.773grp.com/manufacturer/national-semiconductor?pageNo=33", "National Semiconductor")</f>
        <v>National Semiconductor</v>
      </c>
      <c r="C10888" s="6">
        <v>3000</v>
      </c>
      <c r="D10888" s="7">
        <v>26.1</v>
      </c>
      <c r="E10888" t="s">
        <v>21</v>
      </c>
    </row>
    <row r="10889" spans="1:5" x14ac:dyDescent="0.25">
      <c r="A10889" t="str">
        <f>HYPERLINK("https://www.773grp.com/globalSearch/LM555J-883/page-1", "LM555J-883")</f>
        <v>LM555J-883</v>
      </c>
      <c r="B10889" s="3" t="str">
        <f>HYPERLINK("https://www.773grp.com/manufacturer/national-semiconductor?pageNo=34", "National Semiconductor")</f>
        <v>National Semiconductor</v>
      </c>
      <c r="C10889" s="6">
        <v>58</v>
      </c>
      <c r="D10889" s="7">
        <v>26.13</v>
      </c>
      <c r="E10889" t="s">
        <v>29</v>
      </c>
    </row>
    <row r="10890" spans="1:5" x14ac:dyDescent="0.25">
      <c r="A10890" t="str">
        <f>HYPERLINK("https://www.773grp.com/globalSearch/54ACTQ827FMQB/page-1", "54ACTQ827FMQB")</f>
        <v>54ACTQ827FMQB</v>
      </c>
      <c r="B10890" s="3" t="str">
        <f>HYPERLINK("https://www.773grp.com/manufacturer/national-semiconductor?pageNo=35", "National Semiconductor")</f>
        <v>National Semiconductor</v>
      </c>
      <c r="C10890" s="6">
        <v>162</v>
      </c>
      <c r="D10890" s="7">
        <v>26.24</v>
      </c>
      <c r="E10890" t="s">
        <v>14</v>
      </c>
    </row>
    <row r="10891" spans="1:5" x14ac:dyDescent="0.25">
      <c r="A10891" t="str">
        <f>HYPERLINK("https://www.773grp.com/globalSearch/5962-8771001PA/page-1", "5962-8771001PA")</f>
        <v>5962-8771001PA</v>
      </c>
      <c r="B10891" s="3" t="str">
        <f>HYPERLINK("https://www.773grp.com/manufacturer/national-semiconductor?pageNo=36", "National Semiconductor")</f>
        <v>National Semiconductor</v>
      </c>
      <c r="C10891" s="6">
        <v>14</v>
      </c>
      <c r="D10891" s="7">
        <v>26.24</v>
      </c>
      <c r="E10891" t="s">
        <v>13</v>
      </c>
    </row>
    <row r="10892" spans="1:5" x14ac:dyDescent="0.25">
      <c r="A10892" t="str">
        <f>HYPERLINK("https://www.773grp.com/globalSearch/HPC46003V20/page-1", "HPC46003V20")</f>
        <v>HPC46003V20</v>
      </c>
      <c r="B10892" s="3" t="str">
        <f>HYPERLINK("https://www.773grp.com/manufacturer/national-semiconductor?pageNo=37", "National Semiconductor")</f>
        <v>National Semiconductor</v>
      </c>
      <c r="C10892" s="6">
        <v>34</v>
      </c>
      <c r="D10892" s="7">
        <v>26.28</v>
      </c>
      <c r="E10892" t="s">
        <v>52</v>
      </c>
    </row>
    <row r="10893" spans="1:5" x14ac:dyDescent="0.25">
      <c r="A10893" t="str">
        <f>HYPERLINK("https://www.773grp.com/globalSearch/HPC46003V20/page-1", "HPC46003V20")</f>
        <v>HPC46003V20</v>
      </c>
      <c r="B10893" s="3" t="str">
        <f>HYPERLINK("https://www.773grp.com/manufacturer/national-semiconductor?pageNo=38", "National Semiconductor")</f>
        <v>National Semiconductor</v>
      </c>
      <c r="C10893" s="6">
        <v>296</v>
      </c>
      <c r="D10893" s="7">
        <v>26.28</v>
      </c>
      <c r="E10893" t="s">
        <v>52</v>
      </c>
    </row>
    <row r="10894" spans="1:5" x14ac:dyDescent="0.25">
      <c r="A10894" t="str">
        <f>HYPERLINK("https://www.773grp.com/globalSearch/54ABT541E-GML/page-1", "54ABT541E-GML")</f>
        <v>54ABT541E-GML</v>
      </c>
      <c r="B10894" s="3" t="str">
        <f>HYPERLINK("https://www.773grp.com/manufacturer/national-semiconductor?pageNo=39", "National Semiconductor")</f>
        <v>National Semiconductor</v>
      </c>
      <c r="C10894" s="6">
        <v>757</v>
      </c>
      <c r="D10894" s="7">
        <v>26.29</v>
      </c>
    </row>
    <row r="10895" spans="1:5" x14ac:dyDescent="0.25">
      <c r="A10895" t="str">
        <f>HYPERLINK("https://www.773grp.com/globalSearch/54197FM/page-1", "54197FM")</f>
        <v>54197FM</v>
      </c>
      <c r="B10895" s="3" t="str">
        <f>HYPERLINK("https://www.773grp.com/manufacturer/national-semiconductor?pageNo=40", "National Semiconductor")</f>
        <v>National Semiconductor</v>
      </c>
      <c r="C10895" s="6">
        <v>1225</v>
      </c>
      <c r="D10895" s="7">
        <v>26.33</v>
      </c>
    </row>
    <row r="10896" spans="1:5" x14ac:dyDescent="0.25">
      <c r="A10896" t="str">
        <f>HYPERLINK("https://www.773grp.com/globalSearch/9386DM/page-1", "9386DM")</f>
        <v>9386DM</v>
      </c>
      <c r="B10896" s="3" t="str">
        <f>HYPERLINK("https://www.773grp.com/manufacturer/national-semiconductor?pageNo=41", "National Semiconductor")</f>
        <v>National Semiconductor</v>
      </c>
      <c r="C10896" s="6">
        <v>3</v>
      </c>
      <c r="D10896" s="7">
        <v>26.33</v>
      </c>
    </row>
    <row r="10897" spans="1:5" x14ac:dyDescent="0.25">
      <c r="A10897" t="str">
        <f>HYPERLINK("https://www.773grp.com/globalSearch/54S15FM/page-1", "54S15FM")</f>
        <v>54S15FM</v>
      </c>
      <c r="B10897" s="3" t="str">
        <f>HYPERLINK("https://www.773grp.com/manufacturer/national-semiconductor?pageNo=42", "National Semiconductor")</f>
        <v>National Semiconductor</v>
      </c>
      <c r="C10897" s="6">
        <v>1004</v>
      </c>
      <c r="D10897" s="7">
        <v>26.38</v>
      </c>
    </row>
    <row r="10898" spans="1:5" x14ac:dyDescent="0.25">
      <c r="A10898" t="str">
        <f>HYPERLINK("https://www.773grp.com/globalSearch/54178DM/page-1", "54178DM")</f>
        <v>54178DM</v>
      </c>
      <c r="B10898" s="3" t="str">
        <f>HYPERLINK("https://www.773grp.com/manufacturer/national-semiconductor?pageNo=43", "National Semiconductor")</f>
        <v>National Semiconductor</v>
      </c>
      <c r="C10898" s="6">
        <v>2357</v>
      </c>
      <c r="D10898" s="7">
        <v>26.46</v>
      </c>
    </row>
    <row r="10899" spans="1:5" x14ac:dyDescent="0.25">
      <c r="A10899" t="str">
        <f>HYPERLINK("https://www.773grp.com/globalSearch/54179DM/page-1", "54179DM")</f>
        <v>54179DM</v>
      </c>
      <c r="B10899" s="3" t="str">
        <f>HYPERLINK("https://www.773grp.com/manufacturer/national-semiconductor?pageNo=44", "National Semiconductor")</f>
        <v>National Semiconductor</v>
      </c>
      <c r="C10899" s="6">
        <v>130</v>
      </c>
      <c r="D10899" s="7">
        <v>26.46</v>
      </c>
    </row>
    <row r="10900" spans="1:5" x14ac:dyDescent="0.25">
      <c r="A10900" t="str">
        <f>HYPERLINK("https://www.773grp.com/globalSearch/100182DC/page-1", "100182DC")</f>
        <v>100182DC</v>
      </c>
      <c r="B10900" s="3" t="str">
        <f>HYPERLINK("https://www.773grp.com/manufacturer/national-semiconductor?pageNo=45", "National Semiconductor")</f>
        <v>National Semiconductor</v>
      </c>
      <c r="C10900" s="6">
        <v>170</v>
      </c>
      <c r="D10900" s="7">
        <v>26.55</v>
      </c>
      <c r="E10900" t="s">
        <v>43</v>
      </c>
    </row>
    <row r="10901" spans="1:5" x14ac:dyDescent="0.25">
      <c r="A10901" t="str">
        <f>HYPERLINK("https://www.773grp.com/globalSearch/PT86C718A1-E-HEDIA/page-1", "PT86C718A1-E-HEDIA")</f>
        <v>PT86C718A1-E-HEDIA</v>
      </c>
      <c r="B10901" s="3" t="str">
        <f>HYPERLINK("https://www.773grp.com/manufacturer/national-semiconductor?pageNo=46", "National Semiconductor")</f>
        <v>National Semiconductor</v>
      </c>
      <c r="C10901" s="6">
        <v>2560</v>
      </c>
      <c r="D10901" s="7">
        <v>26.58</v>
      </c>
    </row>
    <row r="10902" spans="1:5" x14ac:dyDescent="0.25">
      <c r="A10902" t="str">
        <f>HYPERLINK("https://www.773grp.com/globalSearch/ADC10061CIN/page-1", "ADC10061CIN")</f>
        <v>ADC10061CIN</v>
      </c>
      <c r="B10902" s="3" t="str">
        <f>HYPERLINK("https://www.773grp.com/manufacturer/national-semiconductor?pageNo=47", "National Semiconductor")</f>
        <v>National Semiconductor</v>
      </c>
      <c r="C10902" s="6">
        <v>321</v>
      </c>
      <c r="D10902" s="7">
        <v>26.58</v>
      </c>
      <c r="E10902" t="s">
        <v>39</v>
      </c>
    </row>
    <row r="10903" spans="1:5" x14ac:dyDescent="0.25">
      <c r="A10903" t="str">
        <f>HYPERLINK("https://www.773grp.com/globalSearch/ADC11L066CIVY/page-1", "ADC11L066CIVY")</f>
        <v>ADC11L066CIVY</v>
      </c>
      <c r="B10903" s="3" t="str">
        <f>HYPERLINK("https://www.773grp.com/manufacturer/national-semiconductor?pageNo=48", "National Semiconductor")</f>
        <v>National Semiconductor</v>
      </c>
      <c r="C10903" s="6">
        <v>500</v>
      </c>
      <c r="D10903" s="7">
        <v>26.58</v>
      </c>
      <c r="E10903" t="s">
        <v>39</v>
      </c>
    </row>
    <row r="10904" spans="1:5" x14ac:dyDescent="0.25">
      <c r="A10904" t="str">
        <f>HYPERLINK("https://www.773grp.com/globalSearch/PT86C718A1-B/page-1", "PT86C718A1-B")</f>
        <v>PT86C718A1-B</v>
      </c>
      <c r="B10904" s="3" t="str">
        <f>HYPERLINK("https://www.773grp.com/manufacturer/national-semiconductor?pageNo=49", "National Semiconductor")</f>
        <v>National Semiconductor</v>
      </c>
      <c r="C10904" s="6">
        <v>38560</v>
      </c>
      <c r="D10904" s="7">
        <v>26.58</v>
      </c>
    </row>
    <row r="10905" spans="1:5" x14ac:dyDescent="0.25">
      <c r="A10905" t="str">
        <f>HYPERLINK("https://www.773grp.com/globalSearch/PT86C718A1-E/page-1", "PT86C718A1-E")</f>
        <v>PT86C718A1-E</v>
      </c>
      <c r="B10905" s="3" t="str">
        <f>HYPERLINK("https://www.773grp.com/manufacturer/national-semiconductor?pageNo=50", "National Semiconductor")</f>
        <v>National Semiconductor</v>
      </c>
      <c r="C10905" s="6">
        <v>24450</v>
      </c>
      <c r="D10905" s="7">
        <v>26.58</v>
      </c>
    </row>
    <row r="10906" spans="1:5" x14ac:dyDescent="0.25">
      <c r="A10906" t="str">
        <f>HYPERLINK("https://www.773grp.com/globalSearch/PT86C818A1-B/page-1", "PT86C818A1-B")</f>
        <v>PT86C818A1-B</v>
      </c>
      <c r="B10906" s="3" t="str">
        <f>HYPERLINK("https://www.773grp.com/manufacturer/national-semiconductor?pageNo=51", "National Semiconductor")</f>
        <v>National Semiconductor</v>
      </c>
      <c r="C10906" s="6">
        <v>33646</v>
      </c>
      <c r="D10906" s="7">
        <v>26.58</v>
      </c>
    </row>
    <row r="10907" spans="1:5" x14ac:dyDescent="0.25">
      <c r="A10907" t="str">
        <f>HYPERLINK("https://www.773grp.com/globalSearch/LMC6001AIN-NOPB/page-1", "LMC6001AIN-NOPB")</f>
        <v>LMC6001AIN-NOPB</v>
      </c>
      <c r="B10907" s="3" t="str">
        <f>HYPERLINK("https://www.773grp.com/manufacturer/national-semiconductor?pageNo=52", "National Semiconductor")</f>
        <v>National Semiconductor</v>
      </c>
      <c r="C10907" s="6">
        <v>50</v>
      </c>
      <c r="D10907" s="7">
        <v>26.61</v>
      </c>
      <c r="E10907" t="s">
        <v>13</v>
      </c>
    </row>
    <row r="10908" spans="1:5" x14ac:dyDescent="0.25">
      <c r="A10908" t="str">
        <f>HYPERLINK("https://www.773grp.com/globalSearch/TP3420AV308-NOPB/page-1", "TP3420AV308-NOPB")</f>
        <v>TP3420AV308-NOPB</v>
      </c>
      <c r="B10908" s="3" t="str">
        <f>HYPERLINK("https://www.773grp.com/manufacturer/national-semiconductor?pageNo=53", "National Semiconductor")</f>
        <v>National Semiconductor</v>
      </c>
      <c r="C10908" s="6">
        <v>2304</v>
      </c>
      <c r="D10908" s="7">
        <v>26.61</v>
      </c>
      <c r="E10908" t="s">
        <v>80</v>
      </c>
    </row>
    <row r="10909" spans="1:5" x14ac:dyDescent="0.25">
      <c r="A10909" t="str">
        <f>HYPERLINK("https://www.773grp.com/globalSearch/DS26LS33MJ-883/page-1", "DS26LS33MJ-883")</f>
        <v>DS26LS33MJ-883</v>
      </c>
      <c r="B10909" s="3" t="str">
        <f>HYPERLINK("https://www.773grp.com/manufacturer/national-semiconductor?pageNo=54", "National Semiconductor")</f>
        <v>National Semiconductor</v>
      </c>
      <c r="C10909" s="6">
        <v>110</v>
      </c>
      <c r="D10909" s="7">
        <v>26.61</v>
      </c>
    </row>
    <row r="10910" spans="1:5" x14ac:dyDescent="0.25">
      <c r="A10910" t="str">
        <f>HYPERLINK("https://www.773grp.com/globalSearch/LMC6001AIN-NOPB/page-1", "LMC6001AIN-NOPB")</f>
        <v>LMC6001AIN-NOPB</v>
      </c>
      <c r="B10910" s="3" t="str">
        <f>HYPERLINK("https://www.773grp.com/manufacturer/national-semiconductor?pageNo=55", "National Semiconductor")</f>
        <v>National Semiconductor</v>
      </c>
      <c r="C10910" s="6">
        <v>218</v>
      </c>
      <c r="D10910" s="7">
        <v>26.61</v>
      </c>
      <c r="E10910" t="s">
        <v>13</v>
      </c>
    </row>
    <row r="10911" spans="1:5" x14ac:dyDescent="0.25">
      <c r="A10911" t="str">
        <f>HYPERLINK("https://www.773grp.com/globalSearch/TP3420AV308-NOPB/page-1", "TP3420AV308-NOPB")</f>
        <v>TP3420AV308-NOPB</v>
      </c>
      <c r="B10911" s="3" t="str">
        <f>HYPERLINK("https://www.773grp.com/manufacturer/national-semiconductor?pageNo=56", "National Semiconductor")</f>
        <v>National Semiconductor</v>
      </c>
      <c r="C10911" s="6">
        <v>710</v>
      </c>
      <c r="D10911" s="7">
        <v>26.61</v>
      </c>
      <c r="E10911" t="s">
        <v>80</v>
      </c>
    </row>
    <row r="10912" spans="1:5" x14ac:dyDescent="0.25">
      <c r="A10912" t="str">
        <f>HYPERLINK("https://www.773grp.com/globalSearch/TP3420AV309-NOPB/page-1", "TP3420AV309-NOPB")</f>
        <v>TP3420AV309-NOPB</v>
      </c>
      <c r="B10912" s="3" t="str">
        <f>HYPERLINK("https://www.773grp.com/manufacturer/national-semiconductor?pageNo=57", "National Semiconductor")</f>
        <v>National Semiconductor</v>
      </c>
      <c r="C10912" s="6">
        <v>3880</v>
      </c>
      <c r="D10912" s="7">
        <v>26.61</v>
      </c>
    </row>
    <row r="10913" spans="1:5" x14ac:dyDescent="0.25">
      <c r="A10913" t="str">
        <f>HYPERLINK("https://www.773grp.com/globalSearch/100163FCQR/page-1", "100163FCQR")</f>
        <v>100163FCQR</v>
      </c>
      <c r="B10913" s="3" t="str">
        <f>HYPERLINK("https://www.773grp.com/manufacturer/national-semiconductor?pageNo=58", "National Semiconductor")</f>
        <v>National Semiconductor</v>
      </c>
      <c r="C10913" s="6">
        <v>174</v>
      </c>
      <c r="D10913" s="7">
        <v>26.71</v>
      </c>
      <c r="E10913" t="s">
        <v>20</v>
      </c>
    </row>
    <row r="10914" spans="1:5" x14ac:dyDescent="0.25">
      <c r="A10914" t="str">
        <f>HYPERLINK("https://www.773grp.com/globalSearch/COP8CCR9HVA8-NOPB/page-1", "COP8CCR9HVA8-NOPB")</f>
        <v>COP8CCR9HVA8-NOPB</v>
      </c>
      <c r="B10914" s="3" t="str">
        <f>HYPERLINK("https://www.773grp.com/manufacturer/national-semiconductor?pageNo=59", "National Semiconductor")</f>
        <v>National Semiconductor</v>
      </c>
      <c r="C10914" s="6">
        <v>840</v>
      </c>
      <c r="D10914" s="7">
        <v>26.71</v>
      </c>
      <c r="E10914" t="s">
        <v>52</v>
      </c>
    </row>
    <row r="10915" spans="1:5" x14ac:dyDescent="0.25">
      <c r="A10915" t="str">
        <f>HYPERLINK("https://www.773grp.com/globalSearch/JD54LS273BSA/page-1", "JD54LS273BSA")</f>
        <v>JD54LS273BSA</v>
      </c>
      <c r="B10915" s="3" t="str">
        <f>HYPERLINK("https://www.773grp.com/manufacturer/national-semiconductor?pageNo=60", "National Semiconductor")</f>
        <v>National Semiconductor</v>
      </c>
      <c r="C10915" s="6">
        <v>158</v>
      </c>
      <c r="D10915" s="7">
        <v>26.71</v>
      </c>
    </row>
    <row r="10916" spans="1:5" x14ac:dyDescent="0.25">
      <c r="A10916" t="str">
        <f>HYPERLINK("https://www.773grp.com/globalSearch/COP8CCR9HVA8-NOPB/page-1", "COP8CCR9HVA8-NOPB")</f>
        <v>COP8CCR9HVA8-NOPB</v>
      </c>
      <c r="B10916" s="3" t="str">
        <f>HYPERLINK("https://www.773grp.com/manufacturer/national-semiconductor?pageNo=61", "National Semiconductor")</f>
        <v>National Semiconductor</v>
      </c>
      <c r="C10916" s="6">
        <v>11525</v>
      </c>
      <c r="D10916" s="7">
        <v>26.71</v>
      </c>
      <c r="E10916" t="s">
        <v>52</v>
      </c>
    </row>
    <row r="10917" spans="1:5" x14ac:dyDescent="0.25">
      <c r="A10917" t="str">
        <f>HYPERLINK("https://www.773grp.com/globalSearch/54S08L1M/page-1", "54S08L1M")</f>
        <v>54S08L1M</v>
      </c>
      <c r="B10917" s="3" t="str">
        <f>HYPERLINK("https://www.773grp.com/manufacturer/national-semiconductor?pageNo=62", "National Semiconductor")</f>
        <v>National Semiconductor</v>
      </c>
      <c r="C10917" s="6">
        <v>178</v>
      </c>
      <c r="D10917" s="7">
        <v>26.75</v>
      </c>
    </row>
    <row r="10918" spans="1:5" x14ac:dyDescent="0.25">
      <c r="A10918" t="str">
        <f>HYPERLINK("https://www.773grp.com/globalSearch/54S11LM/page-1", "54S11LM")</f>
        <v>54S11LM</v>
      </c>
      <c r="B10918" s="3" t="str">
        <f>HYPERLINK("https://www.773grp.com/manufacturer/national-semiconductor?pageNo=63", "National Semiconductor")</f>
        <v>National Semiconductor</v>
      </c>
      <c r="C10918" s="6">
        <v>127</v>
      </c>
      <c r="D10918" s="7">
        <v>26.75</v>
      </c>
    </row>
    <row r="10919" spans="1:5" x14ac:dyDescent="0.25">
      <c r="A10919" t="str">
        <f>HYPERLINK("https://www.773grp.com/globalSearch/54S133L1/page-1", "54S133L1")</f>
        <v>54S133L1</v>
      </c>
      <c r="B10919" s="3" t="str">
        <f>HYPERLINK("https://www.773grp.com/manufacturer/national-semiconductor?pageNo=64", "National Semiconductor")</f>
        <v>National Semiconductor</v>
      </c>
      <c r="C10919" s="6">
        <v>978</v>
      </c>
      <c r="D10919" s="7">
        <v>26.75</v>
      </c>
    </row>
    <row r="10920" spans="1:5" x14ac:dyDescent="0.25">
      <c r="A10920" t="str">
        <f>HYPERLINK("https://www.773grp.com/globalSearch/54S140L1M/page-1", "54S140L1M")</f>
        <v>54S140L1M</v>
      </c>
      <c r="B10920" s="3" t="str">
        <f>HYPERLINK("https://www.773grp.com/manufacturer/national-semiconductor?pageNo=65", "National Semiconductor")</f>
        <v>National Semiconductor</v>
      </c>
      <c r="C10920" s="6">
        <v>1671</v>
      </c>
      <c r="D10920" s="7">
        <v>26.75</v>
      </c>
    </row>
    <row r="10921" spans="1:5" x14ac:dyDescent="0.25">
      <c r="A10921" t="str">
        <f>HYPERLINK("https://www.773grp.com/globalSearch/54S140LM/page-1", "54S140LM")</f>
        <v>54S140LM</v>
      </c>
      <c r="B10921" s="3" t="str">
        <f>HYPERLINK("https://www.773grp.com/manufacturer/national-semiconductor?pageNo=66", "National Semiconductor")</f>
        <v>National Semiconductor</v>
      </c>
      <c r="C10921" s="6">
        <v>219</v>
      </c>
      <c r="D10921" s="7">
        <v>26.75</v>
      </c>
    </row>
    <row r="10922" spans="1:5" x14ac:dyDescent="0.25">
      <c r="A10922" t="str">
        <f>HYPERLINK("https://www.773grp.com/globalSearch/9L86DM/page-1", "9L86DM")</f>
        <v>9L86DM</v>
      </c>
      <c r="B10922" s="3" t="str">
        <f>HYPERLINK("https://www.773grp.com/manufacturer/national-semiconductor?pageNo=67", "National Semiconductor")</f>
        <v>National Semiconductor</v>
      </c>
      <c r="C10922" s="6">
        <v>37</v>
      </c>
      <c r="D10922" s="7">
        <v>26.75</v>
      </c>
    </row>
    <row r="10923" spans="1:5" x14ac:dyDescent="0.25">
      <c r="A10923" t="str">
        <f>HYPERLINK("https://www.773grp.com/globalSearch/54S00LM/page-1", "54S00LM")</f>
        <v>54S00LM</v>
      </c>
      <c r="B10923" s="3" t="str">
        <f>HYPERLINK("https://www.773grp.com/manufacturer/national-semiconductor?pageNo=68", "National Semiconductor")</f>
        <v>National Semiconductor</v>
      </c>
      <c r="C10923" s="6">
        <v>271</v>
      </c>
      <c r="D10923" s="7">
        <v>26.78</v>
      </c>
    </row>
    <row r="10924" spans="1:5" x14ac:dyDescent="0.25">
      <c r="A10924" t="str">
        <f>HYPERLINK("https://www.773grp.com/globalSearch/54S02L1/page-1", "54S02L1")</f>
        <v>54S02L1</v>
      </c>
      <c r="B10924" s="3" t="str">
        <f>HYPERLINK("https://www.773grp.com/manufacturer/national-semiconductor?pageNo=69", "National Semiconductor")</f>
        <v>National Semiconductor</v>
      </c>
      <c r="C10924" s="6">
        <v>122</v>
      </c>
      <c r="D10924" s="7">
        <v>26.78</v>
      </c>
    </row>
    <row r="10925" spans="1:5" x14ac:dyDescent="0.25">
      <c r="A10925" t="str">
        <f>HYPERLINK("https://www.773grp.com/globalSearch/54S04L1M/page-1", "54S04L1M")</f>
        <v>54S04L1M</v>
      </c>
      <c r="B10925" s="3" t="str">
        <f>HYPERLINK("https://www.773grp.com/manufacturer/national-semiconductor?pageNo=70", "National Semiconductor")</f>
        <v>National Semiconductor</v>
      </c>
      <c r="C10925" s="6">
        <v>368</v>
      </c>
      <c r="D10925" s="7">
        <v>26.78</v>
      </c>
    </row>
    <row r="10926" spans="1:5" x14ac:dyDescent="0.25">
      <c r="A10926" t="str">
        <f>HYPERLINK("https://www.773grp.com/globalSearch/LMH0024MA-NOPB/page-1", "LMH0024MA-NOPB")</f>
        <v>LMH0024MA-NOPB</v>
      </c>
      <c r="B10926" s="3" t="str">
        <f>HYPERLINK("https://www.773grp.com/manufacturer/national-semiconductor?pageNo=71", "National Semiconductor")</f>
        <v>National Semiconductor</v>
      </c>
      <c r="C10926" s="6">
        <v>19</v>
      </c>
      <c r="D10926" s="7">
        <v>26.84</v>
      </c>
    </row>
    <row r="10927" spans="1:5" x14ac:dyDescent="0.25">
      <c r="A10927" t="str">
        <f>HYPERLINK("https://www.773grp.com/globalSearch/LMH0024MA-NOPB/page-1", "LMH0024MA-NOPB")</f>
        <v>LMH0024MA-NOPB</v>
      </c>
      <c r="B10927" s="3" t="str">
        <f>HYPERLINK("https://www.773grp.com/manufacturer/national-semiconductor?pageNo=72", "National Semiconductor")</f>
        <v>National Semiconductor</v>
      </c>
      <c r="C10927" s="6">
        <v>408</v>
      </c>
      <c r="D10927" s="7">
        <v>26.84</v>
      </c>
    </row>
    <row r="10928" spans="1:5" x14ac:dyDescent="0.25">
      <c r="A10928" t="str">
        <f>HYPERLINK("https://www.773grp.com/globalSearch/9313DM/page-1", "9313DM")</f>
        <v>9313DM</v>
      </c>
      <c r="B10928" s="3" t="str">
        <f>HYPERLINK("https://www.773grp.com/manufacturer/national-semiconductor?pageNo=73", "National Semiconductor")</f>
        <v>National Semiconductor</v>
      </c>
      <c r="C10928" s="6">
        <v>1227</v>
      </c>
      <c r="D10928" s="7">
        <v>26.91</v>
      </c>
    </row>
    <row r="10929" spans="1:5" x14ac:dyDescent="0.25">
      <c r="A10929" t="str">
        <f>HYPERLINK("https://www.773grp.com/globalSearch/CR16MFS944V7/page-1", "CR16MFS944V7")</f>
        <v>CR16MFS944V7</v>
      </c>
      <c r="B10929" s="3" t="str">
        <f>HYPERLINK("https://www.773grp.com/manufacturer/national-semiconductor?pageNo=74", "National Semiconductor")</f>
        <v>National Semiconductor</v>
      </c>
      <c r="C10929" s="6">
        <v>300</v>
      </c>
      <c r="D10929" s="7">
        <v>26.96</v>
      </c>
      <c r="E10929" t="s">
        <v>52</v>
      </c>
    </row>
    <row r="10930" spans="1:5" x14ac:dyDescent="0.25">
      <c r="A10930" t="str">
        <f>HYPERLINK("https://www.773grp.com/globalSearch/54F193FMQB/page-1", "54F193FMQB")</f>
        <v>54F193FMQB</v>
      </c>
      <c r="B10930" s="3" t="str">
        <f>HYPERLINK("https://www.773grp.com/manufacturer/national-semiconductor?pageNo=75", "National Semiconductor")</f>
        <v>National Semiconductor</v>
      </c>
      <c r="C10930" s="6">
        <v>1</v>
      </c>
      <c r="D10930" s="7">
        <v>27</v>
      </c>
      <c r="E10930" t="s">
        <v>26</v>
      </c>
    </row>
    <row r="10931" spans="1:5" x14ac:dyDescent="0.25">
      <c r="A10931" t="str">
        <f>HYPERLINK("https://www.773grp.com/globalSearch/54F544DMQB/page-1", "54F544DMQB")</f>
        <v>54F544DMQB</v>
      </c>
      <c r="B10931" s="3" t="str">
        <f>HYPERLINK("https://www.773grp.com/manufacturer/national-semiconductor?pageNo=76", "National Semiconductor")</f>
        <v>National Semiconductor</v>
      </c>
      <c r="C10931" s="6">
        <v>772</v>
      </c>
      <c r="D10931" s="7">
        <v>27</v>
      </c>
      <c r="E10931" t="s">
        <v>14</v>
      </c>
    </row>
    <row r="10932" spans="1:5" x14ac:dyDescent="0.25">
      <c r="A10932" t="str">
        <f>HYPERLINK("https://www.773grp.com/globalSearch/LMC6001AIN/page-1", "LMC6001AIN")</f>
        <v>LMC6001AIN</v>
      </c>
      <c r="B10932" s="3" t="str">
        <f>HYPERLINK("https://www.773grp.com/manufacturer/national-semiconductor?pageNo=77", "National Semiconductor")</f>
        <v>National Semiconductor</v>
      </c>
      <c r="C10932" s="6">
        <v>15</v>
      </c>
      <c r="D10932" s="7">
        <v>27</v>
      </c>
      <c r="E10932" t="s">
        <v>13</v>
      </c>
    </row>
    <row r="10933" spans="1:5" x14ac:dyDescent="0.25">
      <c r="A10933" t="str">
        <f>HYPERLINK("https://www.773grp.com/globalSearch/LMC6001AIN/page-1", "LMC6001AIN")</f>
        <v>LMC6001AIN</v>
      </c>
      <c r="B10933" s="3" t="str">
        <f>HYPERLINK("https://www.773grp.com/manufacturer/national-semiconductor?pageNo=78", "National Semiconductor")</f>
        <v>National Semiconductor</v>
      </c>
      <c r="C10933" s="6">
        <v>54</v>
      </c>
      <c r="D10933" s="7">
        <v>27</v>
      </c>
      <c r="E10933" t="s">
        <v>13</v>
      </c>
    </row>
    <row r="10934" spans="1:5" x14ac:dyDescent="0.25">
      <c r="A10934" t="str">
        <f>HYPERLINK("https://www.773grp.com/globalSearch/93S43PC/page-1", "93S43PC")</f>
        <v>93S43PC</v>
      </c>
      <c r="B10934" s="3" t="str">
        <f>HYPERLINK("https://www.773grp.com/manufacturer/national-semiconductor?pageNo=79", "National Semiconductor")</f>
        <v>National Semiconductor</v>
      </c>
      <c r="C10934" s="6">
        <v>996</v>
      </c>
      <c r="D10934" s="7">
        <v>27.14</v>
      </c>
    </row>
    <row r="10935" spans="1:5" x14ac:dyDescent="0.25">
      <c r="A10935" t="str">
        <f>HYPERLINK("https://www.773grp.com/globalSearch/95H28DC/page-1", "95H28DC")</f>
        <v>95H28DC</v>
      </c>
      <c r="B10935" s="3" t="str">
        <f>HYPERLINK("https://www.773grp.com/manufacturer/national-semiconductor?pageNo=80", "National Semiconductor")</f>
        <v>National Semiconductor</v>
      </c>
      <c r="C10935" s="6">
        <v>3780</v>
      </c>
      <c r="D10935" s="7">
        <v>27.14</v>
      </c>
    </row>
    <row r="10936" spans="1:5" x14ac:dyDescent="0.25">
      <c r="A10936" t="str">
        <f>HYPERLINK("https://www.773grp.com/globalSearch/54H50FM/page-1", "54H50FM")</f>
        <v>54H50FM</v>
      </c>
      <c r="B10936" s="3" t="str">
        <f>HYPERLINK("https://www.773grp.com/manufacturer/national-semiconductor?pageNo=81", "National Semiconductor")</f>
        <v>National Semiconductor</v>
      </c>
      <c r="C10936" s="6">
        <v>2006</v>
      </c>
      <c r="D10936" s="7">
        <v>27.18</v>
      </c>
    </row>
    <row r="10937" spans="1:5" x14ac:dyDescent="0.25">
      <c r="A10937" t="str">
        <f>HYPERLINK("https://www.773grp.com/globalSearch/DS90CR484AVJD-NOPB/page-1", "DS90CR484AVJD-NOPB")</f>
        <v>DS90CR484AVJD-NOPB</v>
      </c>
      <c r="B10937" s="3" t="str">
        <f>HYPERLINK("https://www.773grp.com/manufacturer/national-semiconductor?pageNo=82", "National Semiconductor")</f>
        <v>National Semiconductor</v>
      </c>
      <c r="C10937" s="6">
        <v>249</v>
      </c>
      <c r="D10937" s="7">
        <v>27.2</v>
      </c>
      <c r="E10937" t="s">
        <v>21</v>
      </c>
    </row>
    <row r="10938" spans="1:5" x14ac:dyDescent="0.25">
      <c r="A10938" t="str">
        <f>HYPERLINK("https://www.773grp.com/globalSearch/DS90CR484AVJD-NOPB/page-1", "DS90CR484AVJD-NOPB")</f>
        <v>DS90CR484AVJD-NOPB</v>
      </c>
      <c r="B10938" s="3" t="str">
        <f>HYPERLINK("https://www.773grp.com/manufacturer/national-semiconductor?pageNo=83", "National Semiconductor")</f>
        <v>National Semiconductor</v>
      </c>
      <c r="C10938" s="6">
        <v>1269</v>
      </c>
      <c r="D10938" s="7">
        <v>27.2</v>
      </c>
      <c r="E10938" t="s">
        <v>21</v>
      </c>
    </row>
    <row r="10939" spans="1:5" x14ac:dyDescent="0.25">
      <c r="A10939" t="str">
        <f>HYPERLINK("https://www.773grp.com/globalSearch/54F160ALMQB/page-1", "54F160ALMQB")</f>
        <v>54F160ALMQB</v>
      </c>
      <c r="B10939" s="3" t="str">
        <f>HYPERLINK("https://www.773grp.com/manufacturer/national-semiconductor?pageNo=84", "National Semiconductor")</f>
        <v>National Semiconductor</v>
      </c>
      <c r="C10939" s="6">
        <v>504</v>
      </c>
      <c r="D10939" s="7">
        <v>27.25</v>
      </c>
      <c r="E10939" t="s">
        <v>26</v>
      </c>
    </row>
    <row r="10940" spans="1:5" x14ac:dyDescent="0.25">
      <c r="A10940" t="str">
        <f>HYPERLINK("https://www.773grp.com/globalSearch/54H72DM/page-1", "54H72DM")</f>
        <v>54H72DM</v>
      </c>
      <c r="B10940" s="3" t="str">
        <f>HYPERLINK("https://www.773grp.com/manufacturer/national-semiconductor?pageNo=85", "National Semiconductor")</f>
        <v>National Semiconductor</v>
      </c>
      <c r="C10940" s="6">
        <v>635</v>
      </c>
      <c r="D10940" s="7">
        <v>27.25</v>
      </c>
    </row>
    <row r="10941" spans="1:5" x14ac:dyDescent="0.25">
      <c r="A10941" t="str">
        <f>HYPERLINK("https://www.773grp.com/globalSearch/74181DC/page-1", "74181DC")</f>
        <v>74181DC</v>
      </c>
      <c r="B10941" s="3" t="str">
        <f>HYPERLINK("https://www.773grp.com/manufacturer/national-semiconductor?pageNo=86", "National Semiconductor")</f>
        <v>National Semiconductor</v>
      </c>
      <c r="C10941" s="6">
        <v>193</v>
      </c>
      <c r="D10941" s="7">
        <v>27.25</v>
      </c>
    </row>
    <row r="10942" spans="1:5" x14ac:dyDescent="0.25">
      <c r="A10942" t="str">
        <f>HYPERLINK("https://www.773grp.com/globalSearch/DM54S175W-883/page-1", "DM54S175W-883")</f>
        <v>DM54S175W-883</v>
      </c>
      <c r="B10942" s="3" t="str">
        <f>HYPERLINK("https://www.773grp.com/manufacturer/national-semiconductor?pageNo=87", "National Semiconductor")</f>
        <v>National Semiconductor</v>
      </c>
      <c r="C10942" s="6">
        <v>1033</v>
      </c>
      <c r="D10942" s="7">
        <v>27.25</v>
      </c>
      <c r="E10942" t="s">
        <v>35</v>
      </c>
    </row>
    <row r="10943" spans="1:5" x14ac:dyDescent="0.25">
      <c r="A10943" t="str">
        <f>HYPERLINK("https://www.773grp.com/globalSearch/JM38510-34001BDA/page-1", "JM38510-34001BDA")</f>
        <v>JM38510-34001BDA</v>
      </c>
      <c r="B10943" s="3" t="str">
        <f>HYPERLINK("https://www.773grp.com/manufacturer/national-semiconductor?pageNo=88", "National Semiconductor")</f>
        <v>National Semiconductor</v>
      </c>
      <c r="C10943" s="6">
        <v>1</v>
      </c>
      <c r="D10943" s="7">
        <v>27.25</v>
      </c>
      <c r="E10943" t="s">
        <v>31</v>
      </c>
    </row>
    <row r="10944" spans="1:5" x14ac:dyDescent="0.25">
      <c r="A10944" t="str">
        <f>HYPERLINK("https://www.773grp.com/globalSearch/5491ADM/page-1", "5491ADM")</f>
        <v>5491ADM</v>
      </c>
      <c r="B10944" s="3" t="str">
        <f>HYPERLINK("https://www.773grp.com/manufacturer/national-semiconductor?pageNo=89", "National Semiconductor")</f>
        <v>National Semiconductor</v>
      </c>
      <c r="C10944" s="6">
        <v>224</v>
      </c>
      <c r="D10944" s="7">
        <v>27.39</v>
      </c>
    </row>
    <row r="10945" spans="1:5" x14ac:dyDescent="0.25">
      <c r="A10945" t="str">
        <f>HYPERLINK("https://www.773grp.com/globalSearch/9004DM/page-1", "9004DM")</f>
        <v>9004DM</v>
      </c>
      <c r="B10945" s="3" t="str">
        <f>HYPERLINK("https://www.773grp.com/manufacturer/national-semiconductor?pageNo=90", "National Semiconductor")</f>
        <v>National Semiconductor</v>
      </c>
      <c r="C10945" s="6">
        <v>96</v>
      </c>
      <c r="D10945" s="7">
        <v>27.43</v>
      </c>
    </row>
    <row r="10946" spans="1:5" x14ac:dyDescent="0.25">
      <c r="A10946" t="str">
        <f>HYPERLINK("https://www.773grp.com/globalSearch/9308DC/page-1", "9308DC")</f>
        <v>9308DC</v>
      </c>
      <c r="B10946" s="3" t="str">
        <f>HYPERLINK("https://www.773grp.com/manufacturer/national-semiconductor?pageNo=91", "National Semiconductor")</f>
        <v>National Semiconductor</v>
      </c>
      <c r="C10946" s="6">
        <v>8</v>
      </c>
      <c r="D10946" s="7">
        <v>27.45</v>
      </c>
    </row>
    <row r="10947" spans="1:5" x14ac:dyDescent="0.25">
      <c r="A10947" t="str">
        <f>HYPERLINK("https://www.773grp.com/globalSearch/DP8573AVX-NOPB/page-1", "DP8573AVX-NOPB")</f>
        <v>DP8573AVX-NOPB</v>
      </c>
      <c r="B10947" s="3" t="str">
        <f>HYPERLINK("https://www.773grp.com/manufacturer/national-semiconductor?pageNo=92", "National Semiconductor")</f>
        <v>National Semiconductor</v>
      </c>
      <c r="C10947" s="6">
        <v>750</v>
      </c>
      <c r="D10947" s="7">
        <v>27.48</v>
      </c>
      <c r="E10947" t="s">
        <v>82</v>
      </c>
    </row>
    <row r="10948" spans="1:5" x14ac:dyDescent="0.25">
      <c r="A10948" t="str">
        <f>HYPERLINK("https://www.773grp.com/globalSearch/11C01FC/page-1", "11C01FC")</f>
        <v>11C01FC</v>
      </c>
      <c r="B10948" s="3" t="str">
        <f>HYPERLINK("https://www.773grp.com/manufacturer/national-semiconductor?pageNo=93", "National Semiconductor")</f>
        <v>National Semiconductor</v>
      </c>
      <c r="C10948" s="6">
        <v>5547</v>
      </c>
      <c r="D10948" s="7">
        <v>27.51</v>
      </c>
      <c r="E10948" t="s">
        <v>31</v>
      </c>
    </row>
    <row r="10949" spans="1:5" x14ac:dyDescent="0.25">
      <c r="A10949" t="str">
        <f>HYPERLINK("https://www.773grp.com/globalSearch/LMK03002CISQ-NOPB/page-1", "LMK03002CISQ-NOPB")</f>
        <v>LMK03002CISQ-NOPB</v>
      </c>
      <c r="B10949" s="3" t="str">
        <f>HYPERLINK("https://www.773grp.com/manufacturer/national-semiconductor?pageNo=94", "National Semiconductor")</f>
        <v>National Semiconductor</v>
      </c>
      <c r="C10949" s="6">
        <v>2394</v>
      </c>
      <c r="D10949" s="7">
        <v>27.51</v>
      </c>
    </row>
    <row r="10950" spans="1:5" x14ac:dyDescent="0.25">
      <c r="A10950" t="str">
        <f>HYPERLINK("https://www.773grp.com/globalSearch/LMK03200ISQE-NOPB/page-1", "LMK03200ISQE-NOPB")</f>
        <v>LMK03200ISQE-NOPB</v>
      </c>
      <c r="B10950" s="3" t="str">
        <f>HYPERLINK("https://www.773grp.com/manufacturer/national-semiconductor?pageNo=95", "National Semiconductor")</f>
        <v>National Semiconductor</v>
      </c>
      <c r="C10950" s="6">
        <v>248</v>
      </c>
      <c r="D10950" s="7">
        <v>27.51</v>
      </c>
    </row>
    <row r="10951" spans="1:5" x14ac:dyDescent="0.25">
      <c r="A10951" t="str">
        <f>HYPERLINK("https://www.773grp.com/globalSearch/LMZ14203TZ-ADJ-NOPB/page-1", "LMZ14203TZ-ADJ-NOPB")</f>
        <v>LMZ14203TZ-ADJ-NOPB</v>
      </c>
      <c r="B10951" s="3" t="str">
        <f>HYPERLINK("https://www.773grp.com/manufacturer/national-semiconductor?pageNo=96", "National Semiconductor")</f>
        <v>National Semiconductor</v>
      </c>
      <c r="C10951" s="6">
        <v>66</v>
      </c>
      <c r="D10951" s="7">
        <v>27.51</v>
      </c>
      <c r="E10951" t="s">
        <v>7</v>
      </c>
    </row>
    <row r="10952" spans="1:5" x14ac:dyDescent="0.25">
      <c r="A10952" t="str">
        <f>HYPERLINK("https://www.773grp.com/globalSearch/LMK03002CISQ-NOPB/page-1", "LMK03002CISQ-NOPB")</f>
        <v>LMK03002CISQ-NOPB</v>
      </c>
      <c r="B10952" s="3" t="str">
        <f>HYPERLINK("https://www.773grp.com/manufacturer/national-semiconductor?pageNo=97", "National Semiconductor")</f>
        <v>National Semiconductor</v>
      </c>
      <c r="C10952" s="6">
        <v>480</v>
      </c>
      <c r="D10952" s="7">
        <v>27.51</v>
      </c>
    </row>
    <row r="10953" spans="1:5" x14ac:dyDescent="0.25">
      <c r="A10953" t="str">
        <f>HYPERLINK("https://www.773grp.com/globalSearch/DS34RT5110SQE-NOPB/page-1", "DS34RT5110SQE-NOPB")</f>
        <v>DS34RT5110SQE-NOPB</v>
      </c>
      <c r="B10953" s="3" t="str">
        <f>HYPERLINK("https://www.773grp.com/manufacturer/national-semiconductor?pageNo=98", "National Semiconductor")</f>
        <v>National Semiconductor</v>
      </c>
      <c r="C10953" s="6">
        <v>1050</v>
      </c>
      <c r="D10953" s="7">
        <v>27.54</v>
      </c>
    </row>
    <row r="10954" spans="1:5" x14ac:dyDescent="0.25">
      <c r="A10954" t="str">
        <f>HYPERLINK("https://www.773grp.com/globalSearch/DS34RT5110SQE-NOPB/page-1", "DS34RT5110SQE-NOPB")</f>
        <v>DS34RT5110SQE-NOPB</v>
      </c>
      <c r="B10954" s="3" t="str">
        <f>HYPERLINK("https://www.773grp.com/manufacturer/national-semiconductor?pageNo=99", "National Semiconductor")</f>
        <v>National Semiconductor</v>
      </c>
      <c r="C10954" s="6">
        <v>2</v>
      </c>
      <c r="D10954" s="7">
        <v>27.54</v>
      </c>
    </row>
    <row r="10955" spans="1:5" x14ac:dyDescent="0.25">
      <c r="A10955" t="str">
        <f>HYPERLINK("https://www.773grp.com/globalSearch/LF198AH/page-1", "LF198AH")</f>
        <v>LF198AH</v>
      </c>
      <c r="B10955" s="3" t="str">
        <f>HYPERLINK("https://www.773grp.com/manufacturer/national-semiconductor?pageNo=100", "National Semiconductor")</f>
        <v>National Semiconductor</v>
      </c>
      <c r="C10955" s="6">
        <v>2769</v>
      </c>
      <c r="D10955" s="7">
        <v>27.54</v>
      </c>
    </row>
    <row r="10956" spans="1:5" x14ac:dyDescent="0.25">
      <c r="A10956" t="str">
        <f>HYPERLINK("https://www.773grp.com/globalSearch/LF198AH-NOPB/page-1", "LF198AH-NOPB")</f>
        <v>LF198AH-NOPB</v>
      </c>
      <c r="B10956" s="3" t="str">
        <f>HYPERLINK("https://www.773grp.com/manufacturer/national-semiconductor?pageNo=101", "National Semiconductor")</f>
        <v>National Semiconductor</v>
      </c>
      <c r="C10956" s="6">
        <v>1009</v>
      </c>
      <c r="D10956" s="7">
        <v>27.54</v>
      </c>
    </row>
    <row r="10957" spans="1:5" x14ac:dyDescent="0.25">
      <c r="A10957" t="str">
        <f>HYPERLINK("https://www.773grp.com/globalSearch/LM611AMN/page-1", "LM611AMN")</f>
        <v>LM611AMN</v>
      </c>
      <c r="B10957" s="3" t="str">
        <f>HYPERLINK("https://www.773grp.com/manufacturer/national-semiconductor?pageNo=102", "National Semiconductor")</f>
        <v>National Semiconductor</v>
      </c>
      <c r="C10957" s="6">
        <v>446</v>
      </c>
      <c r="D10957" s="7">
        <v>27.56</v>
      </c>
      <c r="E10957" t="s">
        <v>13</v>
      </c>
    </row>
    <row r="10958" spans="1:5" x14ac:dyDescent="0.25">
      <c r="A10958" t="str">
        <f>HYPERLINK("https://www.773grp.com/globalSearch/54LS83FM/page-1", "54LS83FM")</f>
        <v>54LS83FM</v>
      </c>
      <c r="B10958" s="3" t="str">
        <f>HYPERLINK("https://www.773grp.com/manufacturer/national-semiconductor?pageNo=103", "National Semiconductor")</f>
        <v>National Semiconductor</v>
      </c>
      <c r="C10958" s="6">
        <v>202</v>
      </c>
      <c r="D10958" s="7">
        <v>27.73</v>
      </c>
    </row>
    <row r="10959" spans="1:5" x14ac:dyDescent="0.25">
      <c r="A10959" t="str">
        <f>HYPERLINK("https://www.773grp.com/globalSearch/DP83815DUJB-NOPB/page-1", "DP83815DUJB-NOPB")</f>
        <v>DP83815DUJB-NOPB</v>
      </c>
      <c r="B10959" s="3" t="str">
        <f>HYPERLINK("https://www.773grp.com/manufacturer/national-semiconductor?pageNo=104", "National Semiconductor")</f>
        <v>National Semiconductor</v>
      </c>
      <c r="C10959" s="6">
        <v>3447</v>
      </c>
      <c r="D10959" s="7">
        <v>27.79</v>
      </c>
    </row>
    <row r="10960" spans="1:5" x14ac:dyDescent="0.25">
      <c r="A10960" t="str">
        <f>HYPERLINK("https://www.773grp.com/globalSearch/DP83815DUJB-NOPB/page-1", "DP83815DUJB-NOPB")</f>
        <v>DP83815DUJB-NOPB</v>
      </c>
      <c r="B10960" s="3" t="str">
        <f>HYPERLINK("https://www.773grp.com/manufacturer/national-semiconductor?pageNo=105", "National Semiconductor")</f>
        <v>National Semiconductor</v>
      </c>
      <c r="C10960" s="6">
        <v>7735</v>
      </c>
      <c r="D10960" s="7">
        <v>27.79</v>
      </c>
    </row>
    <row r="10961" spans="1:5" x14ac:dyDescent="0.25">
      <c r="A10961" t="str">
        <f>HYPERLINK("https://www.773grp.com/globalSearch/JM38510-00203BCA/page-1", "JM38510-00203BCA")</f>
        <v>JM38510-00203BCA</v>
      </c>
      <c r="B10961" s="3" t="str">
        <f>HYPERLINK("https://www.773grp.com/manufacturer/national-semiconductor?pageNo=106", "National Semiconductor")</f>
        <v>National Semiconductor</v>
      </c>
      <c r="C10961" s="6">
        <v>27</v>
      </c>
      <c r="D10961" s="7">
        <v>27.81</v>
      </c>
      <c r="E10961" t="s">
        <v>35</v>
      </c>
    </row>
    <row r="10962" spans="1:5" x14ac:dyDescent="0.25">
      <c r="A10962" t="str">
        <f>HYPERLINK("https://www.773grp.com/globalSearch/937FMQB/page-1", "937FMQB")</f>
        <v>937FMQB</v>
      </c>
      <c r="B10962" s="3" t="str">
        <f>HYPERLINK("https://www.773grp.com/manufacturer/national-semiconductor?pageNo=107", "National Semiconductor")</f>
        <v>National Semiconductor</v>
      </c>
      <c r="C10962" s="6">
        <v>643</v>
      </c>
      <c r="D10962" s="7">
        <v>27.85</v>
      </c>
    </row>
    <row r="10963" spans="1:5" x14ac:dyDescent="0.25">
      <c r="A10963" t="str">
        <f>HYPERLINK("https://www.773grp.com/globalSearch/DM54150W-883/page-1", "DM54150W-883")</f>
        <v>DM54150W-883</v>
      </c>
      <c r="B10963" s="3" t="str">
        <f>HYPERLINK("https://www.773grp.com/manufacturer/national-semiconductor?pageNo=108", "National Semiconductor")</f>
        <v>National Semiconductor</v>
      </c>
      <c r="C10963" s="6">
        <v>231</v>
      </c>
      <c r="D10963" s="7">
        <v>27.85</v>
      </c>
      <c r="E10963" t="s">
        <v>20</v>
      </c>
    </row>
    <row r="10964" spans="1:5" x14ac:dyDescent="0.25">
      <c r="A10964" t="str">
        <f>HYPERLINK("https://www.773grp.com/globalSearch/MM54HC4020W-883/page-1", "MM54HC4020W-883")</f>
        <v>MM54HC4020W-883</v>
      </c>
      <c r="B10964" s="3" t="str">
        <f>HYPERLINK("https://www.773grp.com/manufacturer/national-semiconductor?pageNo=109", "National Semiconductor")</f>
        <v>National Semiconductor</v>
      </c>
      <c r="C10964" s="6">
        <v>122</v>
      </c>
      <c r="D10964" s="7">
        <v>27.85</v>
      </c>
    </row>
    <row r="10965" spans="1:5" x14ac:dyDescent="0.25">
      <c r="A10965" t="str">
        <f>HYPERLINK("https://www.773grp.com/globalSearch/9338FMQB/page-1", "9338FMQB")</f>
        <v>9338FMQB</v>
      </c>
      <c r="B10965" s="3" t="str">
        <f>HYPERLINK("https://www.773grp.com/manufacturer/national-semiconductor?pageNo=110", "National Semiconductor")</f>
        <v>National Semiconductor</v>
      </c>
      <c r="C10965" s="6">
        <v>714</v>
      </c>
      <c r="D10965" s="7">
        <v>27.88</v>
      </c>
      <c r="E10965" t="s">
        <v>83</v>
      </c>
    </row>
    <row r="10966" spans="1:5" x14ac:dyDescent="0.25">
      <c r="A10966" t="str">
        <f>HYPERLINK("https://www.773grp.com/globalSearch/ADC11L066CIVY-NOPB/page-1", "ADC11L066CIVY-NOPB")</f>
        <v>ADC11L066CIVY-NOPB</v>
      </c>
      <c r="B10966" s="3" t="str">
        <f>HYPERLINK("https://www.773grp.com/manufacturer/national-semiconductor?pageNo=111", "National Semiconductor")</f>
        <v>National Semiconductor</v>
      </c>
      <c r="C10966" s="6">
        <v>28</v>
      </c>
      <c r="D10966" s="7">
        <v>27.9</v>
      </c>
    </row>
    <row r="10967" spans="1:5" x14ac:dyDescent="0.25">
      <c r="A10967" t="str">
        <f>HYPERLINK("https://www.773grp.com/globalSearch/ADC12181CIVT/page-1", "ADC12181CIVT")</f>
        <v>ADC12181CIVT</v>
      </c>
      <c r="B10967" s="3" t="str">
        <f>HYPERLINK("https://www.773grp.com/manufacturer/national-semiconductor?pageNo=112", "National Semiconductor")</f>
        <v>National Semiconductor</v>
      </c>
      <c r="C10967" s="6">
        <v>2560</v>
      </c>
      <c r="D10967" s="7">
        <v>27.93</v>
      </c>
      <c r="E10967" t="s">
        <v>39</v>
      </c>
    </row>
    <row r="10968" spans="1:5" x14ac:dyDescent="0.25">
      <c r="A10968" t="str">
        <f>HYPERLINK("https://www.773grp.com/globalSearch/54H08DM/page-1", "54H08DM")</f>
        <v>54H08DM</v>
      </c>
      <c r="B10968" s="3" t="str">
        <f>HYPERLINK("https://www.773grp.com/manufacturer/national-semiconductor?pageNo=113", "National Semiconductor")</f>
        <v>National Semiconductor</v>
      </c>
      <c r="C10968" s="6">
        <v>116</v>
      </c>
      <c r="D10968" s="7">
        <v>27.96</v>
      </c>
    </row>
    <row r="10969" spans="1:5" x14ac:dyDescent="0.25">
      <c r="A10969" t="str">
        <f>HYPERLINK("https://www.773grp.com/globalSearch/54H11FM/page-1", "54H11FM")</f>
        <v>54H11FM</v>
      </c>
      <c r="B10969" s="3" t="str">
        <f>HYPERLINK("https://www.773grp.com/manufacturer/national-semiconductor?pageNo=114", "National Semiconductor")</f>
        <v>National Semiconductor</v>
      </c>
      <c r="C10969" s="6">
        <v>3200</v>
      </c>
      <c r="D10969" s="7">
        <v>27.96</v>
      </c>
    </row>
    <row r="10970" spans="1:5" x14ac:dyDescent="0.25">
      <c r="A10970" t="str">
        <f>HYPERLINK("https://www.773grp.com/globalSearch/904HC/page-1", "904HC")</f>
        <v>904HC</v>
      </c>
      <c r="B10970" s="3" t="str">
        <f>HYPERLINK("https://www.773grp.com/manufacturer/national-semiconductor?pageNo=115", "National Semiconductor")</f>
        <v>National Semiconductor</v>
      </c>
      <c r="C10970" s="6">
        <v>126</v>
      </c>
      <c r="D10970" s="7">
        <v>27.96</v>
      </c>
    </row>
    <row r="10971" spans="1:5" x14ac:dyDescent="0.25">
      <c r="A10971" t="str">
        <f>HYPERLINK("https://www.773grp.com/globalSearch/9158FM/page-1", "9158FM")</f>
        <v>9158FM</v>
      </c>
      <c r="B10971" s="3" t="str">
        <f>HYPERLINK("https://www.773grp.com/manufacturer/national-semiconductor?pageNo=116", "National Semiconductor")</f>
        <v>National Semiconductor</v>
      </c>
      <c r="C10971" s="6">
        <v>1044</v>
      </c>
      <c r="D10971" s="7">
        <v>27.96</v>
      </c>
    </row>
    <row r="10972" spans="1:5" x14ac:dyDescent="0.25">
      <c r="A10972" t="str">
        <f>HYPERLINK("https://www.773grp.com/globalSearch/935DM/page-1", "935DM")</f>
        <v>935DM</v>
      </c>
      <c r="B10972" s="3" t="str">
        <f>HYPERLINK("https://www.773grp.com/manufacturer/national-semiconductor?pageNo=117", "National Semiconductor")</f>
        <v>National Semiconductor</v>
      </c>
      <c r="C10972" s="6">
        <v>3652</v>
      </c>
      <c r="D10972" s="7">
        <v>27.96</v>
      </c>
    </row>
    <row r="10973" spans="1:5" x14ac:dyDescent="0.25">
      <c r="A10973" t="str">
        <f>HYPERLINK("https://www.773grp.com/globalSearch/COP8CBE9IMT9/page-1", "COP8CBE9IMT9")</f>
        <v>COP8CBE9IMT9</v>
      </c>
      <c r="B10973" s="3" t="str">
        <f>HYPERLINK("https://www.773grp.com/manufacturer/national-semiconductor?pageNo=118", "National Semiconductor")</f>
        <v>National Semiconductor</v>
      </c>
      <c r="C10973" s="6">
        <v>76</v>
      </c>
      <c r="D10973" s="7">
        <v>27.96</v>
      </c>
      <c r="E10973" t="s">
        <v>52</v>
      </c>
    </row>
    <row r="10974" spans="1:5" x14ac:dyDescent="0.25">
      <c r="A10974" t="str">
        <f>HYPERLINK("https://www.773grp.com/globalSearch/COP8CBE9IMT9-NOPB/page-1", "COP8CBE9IMT9-NOPB")</f>
        <v>COP8CBE9IMT9-NOPB</v>
      </c>
      <c r="B10974" s="3" t="str">
        <f>HYPERLINK("https://www.773grp.com/manufacturer/national-semiconductor?pageNo=119", "National Semiconductor")</f>
        <v>National Semiconductor</v>
      </c>
      <c r="C10974" s="6">
        <v>38</v>
      </c>
      <c r="D10974" s="7">
        <v>27.96</v>
      </c>
      <c r="E10974" t="s">
        <v>52</v>
      </c>
    </row>
    <row r="10975" spans="1:5" x14ac:dyDescent="0.25">
      <c r="A10975" t="str">
        <f>HYPERLINK("https://www.773grp.com/globalSearch/LM2416CT/page-1", "LM2416CT")</f>
        <v>LM2416CT</v>
      </c>
      <c r="B10975" s="3" t="str">
        <f>HYPERLINK("https://www.773grp.com/manufacturer/national-semiconductor?pageNo=120", "National Semiconductor")</f>
        <v>National Semiconductor</v>
      </c>
      <c r="C10975" s="6">
        <v>3</v>
      </c>
      <c r="D10975" s="7">
        <v>27.96</v>
      </c>
      <c r="E10975" t="s">
        <v>18</v>
      </c>
    </row>
    <row r="10976" spans="1:5" x14ac:dyDescent="0.25">
      <c r="A10976" t="str">
        <f>HYPERLINK("https://www.773grp.com/globalSearch/LMH0034MA-NOPB/page-1", "LMH0034MA-NOPB")</f>
        <v>LMH0034MA-NOPB</v>
      </c>
      <c r="B10976" s="3" t="str">
        <f>HYPERLINK("https://www.773grp.com/manufacturer/national-semiconductor?pageNo=121", "National Semiconductor")</f>
        <v>National Semiconductor</v>
      </c>
      <c r="C10976" s="6">
        <v>30</v>
      </c>
      <c r="D10976" s="7">
        <v>27.98</v>
      </c>
      <c r="E10976" t="s">
        <v>78</v>
      </c>
    </row>
    <row r="10977" spans="1:5" x14ac:dyDescent="0.25">
      <c r="A10977" t="str">
        <f>HYPERLINK("https://www.773grp.com/globalSearch/LMH0044SQ-NOPB/page-1", "LMH0044SQ-NOPB")</f>
        <v>LMH0044SQ-NOPB</v>
      </c>
      <c r="B10977" s="3" t="str">
        <f>HYPERLINK("https://www.773grp.com/manufacturer/national-semiconductor?pageNo=122", "National Semiconductor")</f>
        <v>National Semiconductor</v>
      </c>
      <c r="C10977" s="6">
        <v>4662</v>
      </c>
      <c r="D10977" s="7">
        <v>27.98</v>
      </c>
    </row>
    <row r="10978" spans="1:5" x14ac:dyDescent="0.25">
      <c r="A10978" t="str">
        <f>HYPERLINK("https://www.773grp.com/globalSearch/LMH0044SQ-NOPB/page-1", "LMH0044SQ-NOPB")</f>
        <v>LMH0044SQ-NOPB</v>
      </c>
      <c r="B10978" s="3" t="str">
        <f>HYPERLINK("https://www.773grp.com/manufacturer/national-semiconductor?pageNo=123", "National Semiconductor")</f>
        <v>National Semiconductor</v>
      </c>
      <c r="C10978" s="6">
        <v>300</v>
      </c>
      <c r="D10978" s="7">
        <v>27.98</v>
      </c>
    </row>
    <row r="10979" spans="1:5" x14ac:dyDescent="0.25">
      <c r="A10979" t="str">
        <f>HYPERLINK("https://www.773grp.com/globalSearch/9341PC/page-1", "9341PC")</f>
        <v>9341PC</v>
      </c>
      <c r="B10979" s="3" t="str">
        <f>HYPERLINK("https://www.773grp.com/manufacturer/national-semiconductor?pageNo=124", "National Semiconductor")</f>
        <v>National Semiconductor</v>
      </c>
      <c r="C10979" s="6">
        <v>12627</v>
      </c>
      <c r="D10979" s="7">
        <v>28.05</v>
      </c>
    </row>
    <row r="10980" spans="1:5" x14ac:dyDescent="0.25">
      <c r="A10980" t="str">
        <f>HYPERLINK("https://www.773grp.com/globalSearch/ADC14L020CIVY/page-1", "ADC14L020CIVY")</f>
        <v>ADC14L020CIVY</v>
      </c>
      <c r="B10980" s="3" t="str">
        <f>HYPERLINK("https://www.773grp.com/manufacturer/national-semiconductor?pageNo=125", "National Semiconductor")</f>
        <v>National Semiconductor</v>
      </c>
      <c r="C10980" s="6">
        <v>204</v>
      </c>
      <c r="D10980" s="7">
        <v>28.06</v>
      </c>
      <c r="E10980" t="s">
        <v>39</v>
      </c>
    </row>
    <row r="10981" spans="1:5" x14ac:dyDescent="0.25">
      <c r="A10981" t="str">
        <f>HYPERLINK("https://www.773grp.com/globalSearch/EK-LM4F120XL/page-1", "EK-LM4F120XL")</f>
        <v>EK-LM4F120XL</v>
      </c>
      <c r="B10981" s="3" t="str">
        <f>HYPERLINK("https://www.773grp.com/manufacturer/national-semiconductor?pageNo=126", "National Semiconductor")</f>
        <v>National Semiconductor</v>
      </c>
      <c r="C10981" s="6">
        <v>43</v>
      </c>
      <c r="D10981" s="7">
        <v>28.1</v>
      </c>
    </row>
    <row r="10982" spans="1:5" x14ac:dyDescent="0.25">
      <c r="A10982" t="str">
        <f>HYPERLINK("https://www.773grp.com/globalSearch/100183DC/page-1", "100183DC")</f>
        <v>100183DC</v>
      </c>
      <c r="B10982" s="3" t="str">
        <f>HYPERLINK("https://www.773grp.com/manufacturer/national-semiconductor?pageNo=127", "National Semiconductor")</f>
        <v>National Semiconductor</v>
      </c>
      <c r="C10982" s="6">
        <v>210</v>
      </c>
      <c r="D10982" s="7">
        <v>28.13</v>
      </c>
      <c r="E10982" t="s">
        <v>43</v>
      </c>
    </row>
    <row r="10983" spans="1:5" x14ac:dyDescent="0.25">
      <c r="A10983" t="str">
        <f>HYPERLINK("https://www.773grp.com/globalSearch/1305F/page-1", "1305F")</f>
        <v>1305F</v>
      </c>
      <c r="B10983" s="3" t="str">
        <f>HYPERLINK("https://www.773grp.com/manufacturer/national-semiconductor?pageNo=128", "National Semiconductor")</f>
        <v>National Semiconductor</v>
      </c>
      <c r="C10983" s="6">
        <v>4426</v>
      </c>
      <c r="D10983" s="7">
        <v>28.13</v>
      </c>
    </row>
    <row r="10984" spans="1:5" x14ac:dyDescent="0.25">
      <c r="A10984" t="str">
        <f>HYPERLINK("https://www.773grp.com/globalSearch/1306F/page-1", "1306F")</f>
        <v>1306F</v>
      </c>
      <c r="B10984" s="3" t="str">
        <f>HYPERLINK("https://www.773grp.com/manufacturer/national-semiconductor?pageNo=129", "National Semiconductor")</f>
        <v>National Semiconductor</v>
      </c>
      <c r="C10984" s="6">
        <v>19853</v>
      </c>
      <c r="D10984" s="7">
        <v>28.13</v>
      </c>
      <c r="E10984" t="s">
        <v>84</v>
      </c>
    </row>
    <row r="10985" spans="1:5" x14ac:dyDescent="0.25">
      <c r="A10985" t="str">
        <f>HYPERLINK("https://www.773grp.com/globalSearch/551011367-021/page-1", "551011367-021")</f>
        <v>551011367-021</v>
      </c>
      <c r="B10985" s="3" t="str">
        <f>HYPERLINK("https://www.773grp.com/manufacturer/national-semiconductor?pageNo=130", "National Semiconductor")</f>
        <v>National Semiconductor</v>
      </c>
      <c r="C10985" s="6">
        <v>19</v>
      </c>
      <c r="D10985" s="7">
        <v>28.13</v>
      </c>
    </row>
    <row r="10986" spans="1:5" x14ac:dyDescent="0.25">
      <c r="A10986" t="str">
        <f>HYPERLINK("https://www.773grp.com/globalSearch/551011367-031/page-1", "551011367-031")</f>
        <v>551011367-031</v>
      </c>
      <c r="B10986" s="3" t="str">
        <f>HYPERLINK("https://www.773grp.com/manufacturer/national-semiconductor?pageNo=131", "National Semiconductor")</f>
        <v>National Semiconductor</v>
      </c>
      <c r="C10986" s="6">
        <v>10</v>
      </c>
      <c r="D10986" s="7">
        <v>28.13</v>
      </c>
    </row>
    <row r="10987" spans="1:5" x14ac:dyDescent="0.25">
      <c r="A10987" t="str">
        <f>HYPERLINK("https://www.773grp.com/globalSearch/551011367-051-NOPB/page-1", "551011367-051-NOPB")</f>
        <v>551011367-051-NOPB</v>
      </c>
      <c r="B10987" s="3" t="str">
        <f>HYPERLINK("https://www.773grp.com/manufacturer/national-semiconductor?pageNo=132", "National Semiconductor")</f>
        <v>National Semiconductor</v>
      </c>
      <c r="C10987" s="6">
        <v>9</v>
      </c>
      <c r="D10987" s="7">
        <v>28.13</v>
      </c>
    </row>
    <row r="10988" spans="1:5" x14ac:dyDescent="0.25">
      <c r="A10988" t="str">
        <f>HYPERLINK("https://www.773grp.com/globalSearch/551600437-001-NOPB/page-1", "551600437-001-NOPB")</f>
        <v>551600437-001-NOPB</v>
      </c>
      <c r="B10988" s="3" t="str">
        <f>HYPERLINK("https://www.773grp.com/manufacturer/national-semiconductor?pageNo=133", "National Semiconductor")</f>
        <v>National Semiconductor</v>
      </c>
      <c r="C10988" s="6">
        <v>6</v>
      </c>
      <c r="D10988" s="7">
        <v>28.13</v>
      </c>
    </row>
    <row r="10989" spans="1:5" x14ac:dyDescent="0.25">
      <c r="A10989" t="str">
        <f>HYPERLINK("https://www.773grp.com/globalSearch/551600440-001-NOPB/page-1", "551600440-001-NOPB")</f>
        <v>551600440-001-NOPB</v>
      </c>
      <c r="B10989" s="3" t="str">
        <f>HYPERLINK("https://www.773grp.com/manufacturer/national-semiconductor?pageNo=134", "National Semiconductor")</f>
        <v>National Semiconductor</v>
      </c>
      <c r="C10989" s="6">
        <v>6</v>
      </c>
      <c r="D10989" s="7">
        <v>28.13</v>
      </c>
    </row>
    <row r="10990" spans="1:5" x14ac:dyDescent="0.25">
      <c r="A10990" t="str">
        <f>HYPERLINK("https://www.773grp.com/globalSearch/CGS64B2528V/page-1", "CGS64B2528V")</f>
        <v>CGS64B2528V</v>
      </c>
      <c r="B10990" s="3" t="str">
        <f>HYPERLINK("https://www.773grp.com/manufacturer/national-semiconductor?pageNo=1", "National Semiconductor")</f>
        <v>National Semiconductor</v>
      </c>
      <c r="C10990" s="6">
        <v>1190</v>
      </c>
      <c r="D10990" s="7">
        <v>28.13</v>
      </c>
      <c r="E10990" t="s">
        <v>34</v>
      </c>
    </row>
    <row r="10991" spans="1:5" x14ac:dyDescent="0.25">
      <c r="A10991" t="str">
        <f>HYPERLINK("https://www.773grp.com/globalSearch/CGS64B2528WM/page-1", "CGS64B2528WM")</f>
        <v>CGS64B2528WM</v>
      </c>
      <c r="B10991" s="3" t="str">
        <f>HYPERLINK("https://www.773grp.com/manufacturer/national-semiconductor?pageNo=2", "National Semiconductor")</f>
        <v>National Semiconductor</v>
      </c>
      <c r="C10991" s="6">
        <v>2968</v>
      </c>
      <c r="D10991" s="7">
        <v>28.13</v>
      </c>
    </row>
    <row r="10992" spans="1:5" x14ac:dyDescent="0.25">
      <c r="A10992" t="str">
        <f>HYPERLINK("https://www.773grp.com/globalSearch/DS26LS32MJ/page-1", "DS26LS32MJ")</f>
        <v>DS26LS32MJ</v>
      </c>
      <c r="B10992" s="3" t="str">
        <f>HYPERLINK("https://www.773grp.com/manufacturer/national-semiconductor?pageNo=3", "National Semiconductor")</f>
        <v>National Semiconductor</v>
      </c>
      <c r="C10992" s="6">
        <v>10551</v>
      </c>
      <c r="D10992" s="7">
        <v>28.13</v>
      </c>
      <c r="E10992" t="s">
        <v>21</v>
      </c>
    </row>
    <row r="10993" spans="1:5" x14ac:dyDescent="0.25">
      <c r="A10993" t="str">
        <f>HYPERLINK("https://www.773grp.com/globalSearch/JD54LS279B2A/page-1", "JD54LS279B2A")</f>
        <v>JD54LS279B2A</v>
      </c>
      <c r="B10993" s="3" t="str">
        <f>HYPERLINK("https://www.773grp.com/manufacturer/national-semiconductor?pageNo=4", "National Semiconductor")</f>
        <v>National Semiconductor</v>
      </c>
      <c r="C10993" s="6">
        <v>115</v>
      </c>
      <c r="D10993" s="7">
        <v>28.13</v>
      </c>
    </row>
    <row r="10994" spans="1:5" x14ac:dyDescent="0.25">
      <c r="A10994" t="str">
        <f>HYPERLINK("https://www.773grp.com/globalSearch/LM25575BLDT/page-1", "LM25575BLDT")</f>
        <v>LM25575BLDT</v>
      </c>
      <c r="B10994" s="3" t="str">
        <f>HYPERLINK("https://www.773grp.com/manufacturer/national-semiconductor?pageNo=5", "National Semiconductor")</f>
        <v>National Semiconductor</v>
      </c>
      <c r="C10994" s="6">
        <v>5</v>
      </c>
      <c r="D10994" s="7">
        <v>28.13</v>
      </c>
    </row>
    <row r="10995" spans="1:5" x14ac:dyDescent="0.25">
      <c r="A10995" t="str">
        <f>HYPERLINK("https://www.773grp.com/globalSearch/LM9832CCVJD/page-1", "LM9832CCVJD")</f>
        <v>LM9832CCVJD</v>
      </c>
      <c r="B10995" s="3" t="str">
        <f>HYPERLINK("https://www.773grp.com/manufacturer/national-semiconductor?pageNo=6", "National Semiconductor")</f>
        <v>National Semiconductor</v>
      </c>
      <c r="C10995" s="6">
        <v>19558</v>
      </c>
      <c r="D10995" s="7">
        <v>28.13</v>
      </c>
      <c r="E10995" t="s">
        <v>23</v>
      </c>
    </row>
    <row r="10996" spans="1:5" x14ac:dyDescent="0.25">
      <c r="A10996" t="str">
        <f>HYPERLINK("https://www.773grp.com/globalSearch/LMH730033-NOPB/page-1", "LMH730033-NOPB")</f>
        <v>LMH730033-NOPB</v>
      </c>
      <c r="B10996" s="3" t="str">
        <f>HYPERLINK("https://www.773grp.com/manufacturer/national-semiconductor?pageNo=7", "National Semiconductor")</f>
        <v>National Semiconductor</v>
      </c>
      <c r="C10996" s="6">
        <v>2</v>
      </c>
      <c r="D10996" s="7">
        <v>28.13</v>
      </c>
    </row>
    <row r="10997" spans="1:5" x14ac:dyDescent="0.25">
      <c r="A10997" t="str">
        <f>HYPERLINK("https://www.773grp.com/globalSearch/LMH730036-NOPB/page-1", "LMH730036-NOPB")</f>
        <v>LMH730036-NOPB</v>
      </c>
      <c r="B10997" s="3" t="str">
        <f>HYPERLINK("https://www.773grp.com/manufacturer/national-semiconductor?pageNo=8", "National Semiconductor")</f>
        <v>National Semiconductor</v>
      </c>
      <c r="C10997" s="6">
        <v>2</v>
      </c>
      <c r="D10997" s="7">
        <v>28.13</v>
      </c>
    </row>
    <row r="10998" spans="1:5" x14ac:dyDescent="0.25">
      <c r="A10998" t="str">
        <f>HYPERLINK("https://www.773grp.com/globalSearch/LMH730066-NOPB/page-1", "LMH730066-NOPB")</f>
        <v>LMH730066-NOPB</v>
      </c>
      <c r="B10998" s="3" t="str">
        <f>HYPERLINK("https://www.773grp.com/manufacturer/national-semiconductor?pageNo=9", "National Semiconductor")</f>
        <v>National Semiconductor</v>
      </c>
      <c r="C10998" s="6">
        <v>5</v>
      </c>
      <c r="D10998" s="7">
        <v>28.13</v>
      </c>
    </row>
    <row r="10999" spans="1:5" x14ac:dyDescent="0.25">
      <c r="A10999" t="str">
        <f>HYPERLINK("https://www.773grp.com/globalSearch/LMH730123-NOPB/page-1", "LMH730123-NOPB")</f>
        <v>LMH730123-NOPB</v>
      </c>
      <c r="B10999" s="3" t="str">
        <f>HYPERLINK("https://www.773grp.com/manufacturer/national-semiconductor?pageNo=10", "National Semiconductor")</f>
        <v>National Semiconductor</v>
      </c>
      <c r="C10999" s="6">
        <v>2</v>
      </c>
      <c r="D10999" s="7">
        <v>28.13</v>
      </c>
    </row>
    <row r="11000" spans="1:5" x14ac:dyDescent="0.25">
      <c r="A11000" t="str">
        <f>HYPERLINK("https://www.773grp.com/globalSearch/LMH730131-NOPB/page-1", "LMH730131-NOPB")</f>
        <v>LMH730131-NOPB</v>
      </c>
      <c r="B11000" s="3" t="str">
        <f>HYPERLINK("https://www.773grp.com/manufacturer/national-semiconductor?pageNo=11", "National Semiconductor")</f>
        <v>National Semiconductor</v>
      </c>
      <c r="C11000" s="6">
        <v>4</v>
      </c>
      <c r="D11000" s="7">
        <v>28.13</v>
      </c>
    </row>
    <row r="11001" spans="1:5" x14ac:dyDescent="0.25">
      <c r="A11001" t="str">
        <f>HYPERLINK("https://www.773grp.com/globalSearch/LMH730216-NOPB/page-1", "LMH730216-NOPB")</f>
        <v>LMH730216-NOPB</v>
      </c>
      <c r="B11001" s="3" t="str">
        <f>HYPERLINK("https://www.773grp.com/manufacturer/national-semiconductor?pageNo=12", "National Semiconductor")</f>
        <v>National Semiconductor</v>
      </c>
      <c r="C11001" s="6">
        <v>2</v>
      </c>
      <c r="D11001" s="7">
        <v>28.13</v>
      </c>
    </row>
    <row r="11002" spans="1:5" x14ac:dyDescent="0.25">
      <c r="A11002" t="str">
        <f>HYPERLINK("https://www.773grp.com/globalSearch/LMH730231-NOPB/page-1", "LMH730231-NOPB")</f>
        <v>LMH730231-NOPB</v>
      </c>
      <c r="B11002" s="3" t="str">
        <f>HYPERLINK("https://www.773grp.com/manufacturer/national-semiconductor?pageNo=13", "National Semiconductor")</f>
        <v>National Semiconductor</v>
      </c>
      <c r="C11002" s="6">
        <v>3</v>
      </c>
      <c r="D11002" s="7">
        <v>28.13</v>
      </c>
    </row>
    <row r="11003" spans="1:5" x14ac:dyDescent="0.25">
      <c r="A11003" t="str">
        <f>HYPERLINK("https://www.773grp.com/globalSearch/LMH730245-NOPB/page-1", "LMH730245-NOPB")</f>
        <v>LMH730245-NOPB</v>
      </c>
      <c r="B11003" s="3" t="str">
        <f>HYPERLINK("https://www.773grp.com/manufacturer/national-semiconductor?pageNo=14", "National Semiconductor")</f>
        <v>National Semiconductor</v>
      </c>
      <c r="C11003" s="6">
        <v>4</v>
      </c>
      <c r="D11003" s="7">
        <v>28.13</v>
      </c>
    </row>
    <row r="11004" spans="1:5" x14ac:dyDescent="0.25">
      <c r="A11004" t="str">
        <f>HYPERLINK("https://www.773grp.com/globalSearch/LMH730275-NOPB/page-1", "LMH730275-NOPB")</f>
        <v>LMH730275-NOPB</v>
      </c>
      <c r="B11004" s="3" t="str">
        <f>HYPERLINK("https://www.773grp.com/manufacturer/national-semiconductor?pageNo=15", "National Semiconductor")</f>
        <v>National Semiconductor</v>
      </c>
      <c r="C11004" s="6">
        <v>46</v>
      </c>
      <c r="D11004" s="7">
        <v>28.13</v>
      </c>
    </row>
    <row r="11005" spans="1:5" x14ac:dyDescent="0.25">
      <c r="A11005" t="str">
        <f>HYPERLINK("https://www.773grp.com/globalSearch/LMH730276/page-1", "LMH730276")</f>
        <v>LMH730276</v>
      </c>
      <c r="B11005" s="3" t="str">
        <f>HYPERLINK("https://www.773grp.com/manufacturer/national-semiconductor?pageNo=16", "National Semiconductor")</f>
        <v>National Semiconductor</v>
      </c>
      <c r="C11005" s="6">
        <v>49</v>
      </c>
      <c r="D11005" s="7">
        <v>28.13</v>
      </c>
    </row>
    <row r="11006" spans="1:5" x14ac:dyDescent="0.25">
      <c r="A11006" t="str">
        <f>HYPERLINK("https://www.773grp.com/globalSearch/LMH730277-NOPB/page-1", "LMH730277-NOPB")</f>
        <v>LMH730277-NOPB</v>
      </c>
      <c r="B11006" s="3" t="str">
        <f>HYPERLINK("https://www.773grp.com/manufacturer/national-semiconductor?pageNo=17", "National Semiconductor")</f>
        <v>National Semiconductor</v>
      </c>
      <c r="C11006" s="6">
        <v>3</v>
      </c>
      <c r="D11006" s="7">
        <v>28.13</v>
      </c>
    </row>
    <row r="11007" spans="1:5" x14ac:dyDescent="0.25">
      <c r="A11007" t="str">
        <f>HYPERLINK("https://www.773grp.com/globalSearch/LMK03000ISQX-NOPB/page-1", "LMK03000ISQX-NOPB")</f>
        <v>LMK03000ISQX-NOPB</v>
      </c>
      <c r="B11007" s="3" t="str">
        <f>HYPERLINK("https://www.773grp.com/manufacturer/national-semiconductor?pageNo=18", "National Semiconductor")</f>
        <v>National Semiconductor</v>
      </c>
      <c r="C11007" s="6">
        <v>2500</v>
      </c>
      <c r="D11007" s="7">
        <v>28.13</v>
      </c>
      <c r="E11007" t="s">
        <v>79</v>
      </c>
    </row>
    <row r="11008" spans="1:5" x14ac:dyDescent="0.25">
      <c r="A11008" t="str">
        <f>HYPERLINK("https://www.773grp.com/globalSearch/LMK03033ISQX-NOPB/page-1", "LMK03033ISQX-NOPB")</f>
        <v>LMK03033ISQX-NOPB</v>
      </c>
      <c r="B11008" s="3" t="str">
        <f>HYPERLINK("https://www.773grp.com/manufacturer/national-semiconductor?pageNo=19", "National Semiconductor")</f>
        <v>National Semiconductor</v>
      </c>
      <c r="C11008" s="6">
        <v>2500</v>
      </c>
      <c r="D11008" s="7">
        <v>28.13</v>
      </c>
    </row>
    <row r="11009" spans="1:4" x14ac:dyDescent="0.25">
      <c r="A11009" t="str">
        <f>HYPERLINK("https://www.773grp.com/globalSearch/LP2995LQEVAL/page-1", "LP2995LQEVAL")</f>
        <v>LP2995LQEVAL</v>
      </c>
      <c r="B11009" s="3" t="str">
        <f>HYPERLINK("https://www.773grp.com/manufacturer/national-semiconductor?pageNo=20", "National Semiconductor")</f>
        <v>National Semiconductor</v>
      </c>
      <c r="C11009" s="6">
        <v>1</v>
      </c>
      <c r="D11009" s="7">
        <v>28.13</v>
      </c>
    </row>
    <row r="11010" spans="1:4" x14ac:dyDescent="0.25">
      <c r="A11010" t="str">
        <f>HYPERLINK("https://www.773grp.com/globalSearch/LP2995M-EVAL/page-1", "LP2995M-EVAL")</f>
        <v>LP2995M-EVAL</v>
      </c>
      <c r="B11010" s="3" t="str">
        <f>HYPERLINK("https://www.773grp.com/manufacturer/national-semiconductor?pageNo=21", "National Semiconductor")</f>
        <v>National Semiconductor</v>
      </c>
      <c r="C11010" s="6">
        <v>3</v>
      </c>
      <c r="D11010" s="7">
        <v>28.13</v>
      </c>
    </row>
    <row r="11011" spans="1:4" x14ac:dyDescent="0.25">
      <c r="A11011" t="str">
        <f>HYPERLINK("https://www.773grp.com/globalSearch/LP2996LQEVAL/page-1", "LP2996LQEVAL")</f>
        <v>LP2996LQEVAL</v>
      </c>
      <c r="B11011" s="3" t="str">
        <f>HYPERLINK("https://www.773grp.com/manufacturer/national-semiconductor?pageNo=22", "National Semiconductor")</f>
        <v>National Semiconductor</v>
      </c>
      <c r="C11011" s="6">
        <v>1</v>
      </c>
      <c r="D11011" s="7">
        <v>28.13</v>
      </c>
    </row>
    <row r="11012" spans="1:4" x14ac:dyDescent="0.25">
      <c r="A11012" t="str">
        <f>HYPERLINK("https://www.773grp.com/globalSearch/LP2996MREVAL/page-1", "LP2996MREVAL")</f>
        <v>LP2996MREVAL</v>
      </c>
      <c r="B11012" s="3" t="str">
        <f>HYPERLINK("https://www.773grp.com/manufacturer/national-semiconductor?pageNo=23", "National Semiconductor")</f>
        <v>National Semiconductor</v>
      </c>
      <c r="C11012" s="6">
        <v>1</v>
      </c>
      <c r="D11012" s="7">
        <v>28.13</v>
      </c>
    </row>
    <row r="11013" spans="1:4" x14ac:dyDescent="0.25">
      <c r="A11013" t="str">
        <f>HYPERLINK("https://www.773grp.com/globalSearch/LP38692EVAL/page-1", "LP38692EVAL")</f>
        <v>LP38692EVAL</v>
      </c>
      <c r="B11013" s="3" t="str">
        <f>HYPERLINK("https://www.773grp.com/manufacturer/national-semiconductor?pageNo=24", "National Semiconductor")</f>
        <v>National Semiconductor</v>
      </c>
      <c r="C11013" s="6">
        <v>1</v>
      </c>
      <c r="D11013" s="7">
        <v>28.13</v>
      </c>
    </row>
    <row r="11014" spans="1:4" x14ac:dyDescent="0.25">
      <c r="A11014" t="str">
        <f>HYPERLINK("https://www.773grp.com/globalSearch/MM54HC00E-883/page-1", "MM54HC00E-883")</f>
        <v>MM54HC00E-883</v>
      </c>
      <c r="B11014" s="3" t="str">
        <f>HYPERLINK("https://www.773grp.com/manufacturer/national-semiconductor?pageNo=25", "National Semiconductor")</f>
        <v>National Semiconductor</v>
      </c>
      <c r="C11014" s="6">
        <v>3</v>
      </c>
      <c r="D11014" s="7">
        <v>28.13</v>
      </c>
    </row>
    <row r="11015" spans="1:4" x14ac:dyDescent="0.25">
      <c r="A11015" t="str">
        <f>HYPERLINK("https://www.773grp.com/globalSearch/MM54HC02E-883/page-1", "MM54HC02E-883")</f>
        <v>MM54HC02E-883</v>
      </c>
      <c r="B11015" s="3" t="str">
        <f>HYPERLINK("https://www.773grp.com/manufacturer/national-semiconductor?pageNo=26", "National Semiconductor")</f>
        <v>National Semiconductor</v>
      </c>
      <c r="C11015" s="6">
        <v>72</v>
      </c>
      <c r="D11015" s="7">
        <v>28.13</v>
      </c>
    </row>
    <row r="11016" spans="1:4" x14ac:dyDescent="0.25">
      <c r="A11016" t="str">
        <f>HYPERLINK("https://www.773grp.com/globalSearch/MM54HC03E-883/page-1", "MM54HC03E-883")</f>
        <v>MM54HC03E-883</v>
      </c>
      <c r="B11016" s="3" t="str">
        <f>HYPERLINK("https://www.773grp.com/manufacturer/national-semiconductor?pageNo=27", "National Semiconductor")</f>
        <v>National Semiconductor</v>
      </c>
      <c r="C11016" s="6">
        <v>19</v>
      </c>
      <c r="D11016" s="7">
        <v>28.13</v>
      </c>
    </row>
    <row r="11017" spans="1:4" x14ac:dyDescent="0.25">
      <c r="A11017" t="str">
        <f>HYPERLINK("https://www.773grp.com/globalSearch/MM54HC08E-883/page-1", "MM54HC08E-883")</f>
        <v>MM54HC08E-883</v>
      </c>
      <c r="B11017" s="3" t="str">
        <f>HYPERLINK("https://www.773grp.com/manufacturer/national-semiconductor?pageNo=28", "National Semiconductor")</f>
        <v>National Semiconductor</v>
      </c>
      <c r="C11017" s="6">
        <v>118</v>
      </c>
      <c r="D11017" s="7">
        <v>28.13</v>
      </c>
    </row>
    <row r="11018" spans="1:4" x14ac:dyDescent="0.25">
      <c r="A11018" t="str">
        <f>HYPERLINK("https://www.773grp.com/globalSearch/MM54HC10E-883/page-1", "MM54HC10E-883")</f>
        <v>MM54HC10E-883</v>
      </c>
      <c r="B11018" s="3" t="str">
        <f>HYPERLINK("https://www.773grp.com/manufacturer/national-semiconductor?pageNo=29", "National Semiconductor")</f>
        <v>National Semiconductor</v>
      </c>
      <c r="C11018" s="6">
        <v>56</v>
      </c>
      <c r="D11018" s="7">
        <v>28.13</v>
      </c>
    </row>
    <row r="11019" spans="1:4" x14ac:dyDescent="0.25">
      <c r="A11019" t="str">
        <f>HYPERLINK("https://www.773grp.com/globalSearch/MM54HC11E-883/page-1", "MM54HC11E-883")</f>
        <v>MM54HC11E-883</v>
      </c>
      <c r="B11019" s="3" t="str">
        <f>HYPERLINK("https://www.773grp.com/manufacturer/national-semiconductor?pageNo=30", "National Semiconductor")</f>
        <v>National Semiconductor</v>
      </c>
      <c r="C11019" s="6">
        <v>30</v>
      </c>
      <c r="D11019" s="7">
        <v>28.13</v>
      </c>
    </row>
    <row r="11020" spans="1:4" x14ac:dyDescent="0.25">
      <c r="A11020" t="str">
        <f>HYPERLINK("https://www.773grp.com/globalSearch/MM54HC125E-883/page-1", "MM54HC125E-883")</f>
        <v>MM54HC125E-883</v>
      </c>
      <c r="B11020" s="3" t="str">
        <f>HYPERLINK("https://www.773grp.com/manufacturer/national-semiconductor?pageNo=31", "National Semiconductor")</f>
        <v>National Semiconductor</v>
      </c>
      <c r="C11020" s="6">
        <v>197</v>
      </c>
      <c r="D11020" s="7">
        <v>28.13</v>
      </c>
    </row>
    <row r="11021" spans="1:4" x14ac:dyDescent="0.25">
      <c r="A11021" t="str">
        <f>HYPERLINK("https://www.773grp.com/globalSearch/MM54HC20E-883/page-1", "MM54HC20E-883")</f>
        <v>MM54HC20E-883</v>
      </c>
      <c r="B11021" s="3" t="str">
        <f>HYPERLINK("https://www.773grp.com/manufacturer/national-semiconductor?pageNo=32", "National Semiconductor")</f>
        <v>National Semiconductor</v>
      </c>
      <c r="C11021" s="6">
        <v>81</v>
      </c>
      <c r="D11021" s="7">
        <v>28.13</v>
      </c>
    </row>
    <row r="11022" spans="1:4" x14ac:dyDescent="0.25">
      <c r="A11022" t="str">
        <f>HYPERLINK("https://www.773grp.com/globalSearch/MM54HC27E-883/page-1", "MM54HC27E-883")</f>
        <v>MM54HC27E-883</v>
      </c>
      <c r="B11022" s="3" t="str">
        <f>HYPERLINK("https://www.773grp.com/manufacturer/national-semiconductor?pageNo=33", "National Semiconductor")</f>
        <v>National Semiconductor</v>
      </c>
      <c r="C11022" s="6">
        <v>80</v>
      </c>
      <c r="D11022" s="7">
        <v>28.13</v>
      </c>
    </row>
    <row r="11023" spans="1:4" x14ac:dyDescent="0.25">
      <c r="A11023" t="str">
        <f>HYPERLINK("https://www.773grp.com/globalSearch/MM54HC4078E-883/page-1", "MM54HC4078E-883")</f>
        <v>MM54HC4078E-883</v>
      </c>
      <c r="B11023" s="3" t="str">
        <f>HYPERLINK("https://www.773grp.com/manufacturer/national-semiconductor?pageNo=34", "National Semiconductor")</f>
        <v>National Semiconductor</v>
      </c>
      <c r="C11023" s="6">
        <v>264</v>
      </c>
      <c r="D11023" s="7">
        <v>28.13</v>
      </c>
    </row>
    <row r="11024" spans="1:4" x14ac:dyDescent="0.25">
      <c r="A11024" t="str">
        <f>HYPERLINK("https://www.773grp.com/globalSearch/MM54HC58E-883/page-1", "MM54HC58E-883")</f>
        <v>MM54HC58E-883</v>
      </c>
      <c r="B11024" s="3" t="str">
        <f>HYPERLINK("https://www.773grp.com/manufacturer/national-semiconductor?pageNo=35", "National Semiconductor")</f>
        <v>National Semiconductor</v>
      </c>
      <c r="C11024" s="6">
        <v>668</v>
      </c>
      <c r="D11024" s="7">
        <v>28.13</v>
      </c>
    </row>
    <row r="11025" spans="1:5" x14ac:dyDescent="0.25">
      <c r="A11025" t="str">
        <f>HYPERLINK("https://www.773grp.com/globalSearch/UA26LS32PC/page-1", "UA26LS32PC")</f>
        <v>UA26LS32PC</v>
      </c>
      <c r="B11025" s="3" t="str">
        <f>HYPERLINK("https://www.773grp.com/manufacturer/national-semiconductor?pageNo=36", "National Semiconductor")</f>
        <v>National Semiconductor</v>
      </c>
      <c r="C11025" s="6">
        <v>65</v>
      </c>
      <c r="D11025" s="7">
        <v>28.13</v>
      </c>
    </row>
    <row r="11026" spans="1:5" x14ac:dyDescent="0.25">
      <c r="A11026" t="str">
        <f>HYPERLINK("https://www.773grp.com/globalSearch/551600612-001/page-1", "551600612-001")</f>
        <v>551600612-001</v>
      </c>
      <c r="B11026" s="3" t="str">
        <f>HYPERLINK("https://www.773grp.com/manufacturer/national-semiconductor?pageNo=37", "National Semiconductor")</f>
        <v>National Semiconductor</v>
      </c>
      <c r="C11026" s="6">
        <v>29</v>
      </c>
      <c r="D11026" s="7">
        <v>28.13</v>
      </c>
    </row>
    <row r="11027" spans="1:5" x14ac:dyDescent="0.25">
      <c r="A11027" t="str">
        <f>HYPERLINK("https://www.773grp.com/globalSearch/SP1602S02RB-PCB-NOPB/page-1", "SP1602S02RB-PCB-NOPB")</f>
        <v>SP1602S02RB-PCB-NOPB</v>
      </c>
      <c r="B11027" s="3" t="str">
        <f>HYPERLINK("https://www.773grp.com/manufacturer/national-semiconductor?pageNo=38", "National Semiconductor")</f>
        <v>National Semiconductor</v>
      </c>
      <c r="C11027" s="6">
        <v>1</v>
      </c>
      <c r="D11027" s="7">
        <v>28.13</v>
      </c>
    </row>
    <row r="11028" spans="1:5" x14ac:dyDescent="0.25">
      <c r="A11028" t="str">
        <f>HYPERLINK("https://www.773grp.com/globalSearch/LMK04806BISQE-NOPB/page-1", "LMK04806BISQE-NOPB")</f>
        <v>LMK04806BISQE-NOPB</v>
      </c>
      <c r="B11028" s="3" t="str">
        <f>HYPERLINK("https://www.773grp.com/manufacturer/national-semiconductor?pageNo=39", "National Semiconductor")</f>
        <v>National Semiconductor</v>
      </c>
      <c r="C11028" s="6">
        <v>50</v>
      </c>
      <c r="D11028" s="7">
        <v>28.15</v>
      </c>
    </row>
    <row r="11029" spans="1:5" x14ac:dyDescent="0.25">
      <c r="A11029" t="str">
        <f>HYPERLINK("https://www.773grp.com/globalSearch/LMK04803BISQE-NOPB/page-1", "LMK04803BISQE-NOPB")</f>
        <v>LMK04803BISQE-NOPB</v>
      </c>
      <c r="B11029" s="3" t="str">
        <f>HYPERLINK("https://www.773grp.com/manufacturer/national-semiconductor?pageNo=40", "National Semiconductor")</f>
        <v>National Semiconductor</v>
      </c>
      <c r="C11029" s="6">
        <v>250</v>
      </c>
      <c r="D11029" s="7">
        <v>28.15</v>
      </c>
    </row>
    <row r="11030" spans="1:5" x14ac:dyDescent="0.25">
      <c r="A11030" t="str">
        <f>HYPERLINK("https://www.773grp.com/globalSearch/LMK04806BISQE-NOPB/page-1", "LMK04806BISQE-NOPB")</f>
        <v>LMK04806BISQE-NOPB</v>
      </c>
      <c r="B11030" s="3" t="str">
        <f>HYPERLINK("https://www.773grp.com/manufacturer/national-semiconductor?pageNo=41", "National Semiconductor")</f>
        <v>National Semiconductor</v>
      </c>
      <c r="C11030" s="6">
        <v>395</v>
      </c>
      <c r="D11030" s="7">
        <v>28.15</v>
      </c>
    </row>
    <row r="11031" spans="1:5" x14ac:dyDescent="0.25">
      <c r="A11031" t="str">
        <f>HYPERLINK("https://www.773grp.com/globalSearch/LMK04808BISQE-NOPB/page-1", "LMK04808BISQE-NOPB")</f>
        <v>LMK04808BISQE-NOPB</v>
      </c>
      <c r="B11031" s="3" t="str">
        <f>HYPERLINK("https://www.773grp.com/manufacturer/national-semiconductor?pageNo=42", "National Semiconductor")</f>
        <v>National Semiconductor</v>
      </c>
      <c r="C11031" s="6">
        <v>250</v>
      </c>
      <c r="D11031" s="7">
        <v>28.15</v>
      </c>
    </row>
    <row r="11032" spans="1:5" x14ac:dyDescent="0.25">
      <c r="A11032" t="str">
        <f>HYPERLINK("https://www.773grp.com/globalSearch/LMK04816BISQE-NOPB/page-1", "LMK04816BISQE-NOPB")</f>
        <v>LMK04816BISQE-NOPB</v>
      </c>
      <c r="B11032" s="3" t="str">
        <f>HYPERLINK("https://www.773grp.com/manufacturer/national-semiconductor?pageNo=43", "National Semiconductor")</f>
        <v>National Semiconductor</v>
      </c>
      <c r="C11032" s="6">
        <v>196</v>
      </c>
      <c r="D11032" s="7">
        <v>28.15</v>
      </c>
    </row>
    <row r="11033" spans="1:5" x14ac:dyDescent="0.25">
      <c r="A11033" t="str">
        <f>HYPERLINK("https://www.773grp.com/globalSearch/SM73201IMME-NOPB/page-1", "SM73201IMME-NOPB")</f>
        <v>SM73201IMME-NOPB</v>
      </c>
      <c r="B11033" s="3" t="str">
        <f>HYPERLINK("https://www.773grp.com/manufacturer/national-semiconductor?pageNo=44", "National Semiconductor")</f>
        <v>National Semiconductor</v>
      </c>
      <c r="C11033" s="6">
        <v>750</v>
      </c>
      <c r="D11033" s="7">
        <v>28.15</v>
      </c>
    </row>
    <row r="11034" spans="1:5" x14ac:dyDescent="0.25">
      <c r="A11034" t="str">
        <f>HYPERLINK("https://www.773grp.com/globalSearch/54195FM/page-1", "54195FM")</f>
        <v>54195FM</v>
      </c>
      <c r="B11034" s="3" t="str">
        <f>HYPERLINK("https://www.773grp.com/manufacturer/national-semiconductor?pageNo=45", "National Semiconductor")</f>
        <v>National Semiconductor</v>
      </c>
      <c r="C11034" s="6">
        <v>614</v>
      </c>
      <c r="D11034" s="7">
        <v>28.21</v>
      </c>
    </row>
    <row r="11035" spans="1:5" x14ac:dyDescent="0.25">
      <c r="A11035" t="str">
        <f>HYPERLINK("https://www.773grp.com/globalSearch/54H52FM/page-1", "54H52FM")</f>
        <v>54H52FM</v>
      </c>
      <c r="B11035" s="3" t="str">
        <f>HYPERLINK("https://www.773grp.com/manufacturer/national-semiconductor?pageNo=46", "National Semiconductor")</f>
        <v>National Semiconductor</v>
      </c>
      <c r="C11035" s="6">
        <v>305</v>
      </c>
      <c r="D11035" s="7">
        <v>28.26</v>
      </c>
    </row>
    <row r="11036" spans="1:5" x14ac:dyDescent="0.25">
      <c r="A11036" t="str">
        <f>HYPERLINK("https://www.773grp.com/globalSearch/5472DM/page-1", "5472DM")</f>
        <v>5472DM</v>
      </c>
      <c r="B11036" s="3" t="str">
        <f>HYPERLINK("https://www.773grp.com/manufacturer/national-semiconductor?pageNo=47", "National Semiconductor")</f>
        <v>National Semiconductor</v>
      </c>
      <c r="C11036" s="6">
        <v>640</v>
      </c>
      <c r="D11036" s="7">
        <v>28.31</v>
      </c>
    </row>
    <row r="11037" spans="1:5" x14ac:dyDescent="0.25">
      <c r="A11037" t="str">
        <f>HYPERLINK("https://www.773grp.com/globalSearch/54F547DM/page-1", "54F547DM")</f>
        <v>54F547DM</v>
      </c>
      <c r="B11037" s="3" t="str">
        <f>HYPERLINK("https://www.773grp.com/manufacturer/national-semiconductor?pageNo=48", "National Semiconductor")</f>
        <v>National Semiconductor</v>
      </c>
      <c r="C11037" s="6">
        <v>616</v>
      </c>
      <c r="D11037" s="7">
        <v>28.35</v>
      </c>
      <c r="E11037" t="s">
        <v>36</v>
      </c>
    </row>
    <row r="11038" spans="1:5" x14ac:dyDescent="0.25">
      <c r="A11038" t="str">
        <f>HYPERLINK("https://www.773grp.com/globalSearch/DS90CR483AVJD-NOPB/page-1", "DS90CR483AVJD-NOPB")</f>
        <v>DS90CR483AVJD-NOPB</v>
      </c>
      <c r="B11038" s="3" t="str">
        <f>HYPERLINK("https://www.773grp.com/manufacturer/national-semiconductor?pageNo=49", "National Semiconductor")</f>
        <v>National Semiconductor</v>
      </c>
      <c r="C11038" s="6">
        <v>134</v>
      </c>
      <c r="D11038" s="7">
        <v>28.35</v>
      </c>
    </row>
    <row r="11039" spans="1:5" x14ac:dyDescent="0.25">
      <c r="A11039" t="str">
        <f>HYPERLINK("https://www.773grp.com/globalSearch/DS25CP104ATSQ-NOPB/page-1", "DS25CP104ATSQ-NOPB")</f>
        <v>DS25CP104ATSQ-NOPB</v>
      </c>
      <c r="B11039" s="3" t="str">
        <f>HYPERLINK("https://www.773grp.com/manufacturer/national-semiconductor?pageNo=50", "National Semiconductor")</f>
        <v>National Semiconductor</v>
      </c>
      <c r="C11039" s="6">
        <v>499</v>
      </c>
      <c r="D11039" s="7">
        <v>28.39</v>
      </c>
      <c r="E11039" t="s">
        <v>56</v>
      </c>
    </row>
    <row r="11040" spans="1:5" x14ac:dyDescent="0.25">
      <c r="A11040" t="str">
        <f>HYPERLINK("https://www.773grp.com/globalSearch/DS25CP104ATSQ-NOPB/page-1", "DS25CP104ATSQ-NOPB")</f>
        <v>DS25CP104ATSQ-NOPB</v>
      </c>
      <c r="B11040" s="3" t="str">
        <f>HYPERLINK("https://www.773grp.com/manufacturer/national-semiconductor?pageNo=51", "National Semiconductor")</f>
        <v>National Semiconductor</v>
      </c>
      <c r="C11040" s="6">
        <v>179</v>
      </c>
      <c r="D11040" s="7">
        <v>28.39</v>
      </c>
      <c r="E11040" t="s">
        <v>56</v>
      </c>
    </row>
    <row r="11041" spans="1:5" x14ac:dyDescent="0.25">
      <c r="A11041" t="str">
        <f>HYPERLINK("https://www.773grp.com/globalSearch/93H00DC/page-1", "93H00DC")</f>
        <v>93H00DC</v>
      </c>
      <c r="B11041" s="3" t="str">
        <f>HYPERLINK("https://www.773grp.com/manufacturer/national-semiconductor?pageNo=52", "National Semiconductor")</f>
        <v>National Semiconductor</v>
      </c>
      <c r="C11041" s="6">
        <v>3947</v>
      </c>
      <c r="D11041" s="7">
        <v>28.4</v>
      </c>
      <c r="E11041" t="s">
        <v>32</v>
      </c>
    </row>
    <row r="11042" spans="1:5" x14ac:dyDescent="0.25">
      <c r="A11042" t="str">
        <f>HYPERLINK("https://www.773grp.com/globalSearch/93L22DM/page-1", "93L22DM")</f>
        <v>93L22DM</v>
      </c>
      <c r="B11042" s="3" t="str">
        <f>HYPERLINK("https://www.773grp.com/manufacturer/national-semiconductor?pageNo=53", "National Semiconductor")</f>
        <v>National Semiconductor</v>
      </c>
      <c r="C11042" s="6">
        <v>270</v>
      </c>
      <c r="D11042" s="7">
        <v>28.44</v>
      </c>
    </row>
    <row r="11043" spans="1:5" x14ac:dyDescent="0.25">
      <c r="A11043" t="str">
        <f>HYPERLINK("https://www.773grp.com/globalSearch/963DM/page-1", "963DM")</f>
        <v>963DM</v>
      </c>
      <c r="B11043" s="3" t="str">
        <f>HYPERLINK("https://www.773grp.com/manufacturer/national-semiconductor?pageNo=54", "National Semiconductor")</f>
        <v>National Semiconductor</v>
      </c>
      <c r="C11043" s="6">
        <v>279</v>
      </c>
      <c r="D11043" s="7">
        <v>28.44</v>
      </c>
    </row>
    <row r="11044" spans="1:5" x14ac:dyDescent="0.25">
      <c r="A11044" t="str">
        <f>HYPERLINK("https://www.773grp.com/globalSearch/9L00DM/page-1", "9L00DM")</f>
        <v>9L00DM</v>
      </c>
      <c r="B11044" s="3" t="str">
        <f>HYPERLINK("https://www.773grp.com/manufacturer/national-semiconductor?pageNo=55", "National Semiconductor")</f>
        <v>National Semiconductor</v>
      </c>
      <c r="C11044" s="6">
        <v>5116</v>
      </c>
      <c r="D11044" s="7">
        <v>28.44</v>
      </c>
    </row>
    <row r="11045" spans="1:5" x14ac:dyDescent="0.25">
      <c r="A11045" t="str">
        <f>HYPERLINK("https://www.773grp.com/globalSearch/9L04DM/page-1", "9L04DM")</f>
        <v>9L04DM</v>
      </c>
      <c r="B11045" s="3" t="str">
        <f>HYPERLINK("https://www.773grp.com/manufacturer/national-semiconductor?pageNo=56", "National Semiconductor")</f>
        <v>National Semiconductor</v>
      </c>
      <c r="C11045" s="6">
        <v>3372</v>
      </c>
      <c r="D11045" s="7">
        <v>28.44</v>
      </c>
    </row>
    <row r="11046" spans="1:5" x14ac:dyDescent="0.25">
      <c r="A11046" t="str">
        <f>HYPERLINK("https://www.773grp.com/globalSearch/DP83223V/page-1", "DP83223V")</f>
        <v>DP83223V</v>
      </c>
      <c r="B11046" s="3" t="str">
        <f>HYPERLINK("https://www.773grp.com/manufacturer/national-semiconductor?pageNo=57", "National Semiconductor")</f>
        <v>National Semiconductor</v>
      </c>
      <c r="C11046" s="6">
        <v>5924</v>
      </c>
      <c r="D11046" s="7">
        <v>28.44</v>
      </c>
      <c r="E11046" t="s">
        <v>55</v>
      </c>
    </row>
    <row r="11047" spans="1:5" x14ac:dyDescent="0.25">
      <c r="A11047" t="str">
        <f>HYPERLINK("https://www.773grp.com/globalSearch/DP83223V-1/page-1", "DP83223V-1")</f>
        <v>DP83223V-1</v>
      </c>
      <c r="B11047" s="3" t="str">
        <f>HYPERLINK("https://www.773grp.com/manufacturer/national-semiconductor?pageNo=58", "National Semiconductor")</f>
        <v>National Semiconductor</v>
      </c>
      <c r="C11047" s="6">
        <v>235</v>
      </c>
      <c r="D11047" s="7">
        <v>28.44</v>
      </c>
    </row>
    <row r="11048" spans="1:5" x14ac:dyDescent="0.25">
      <c r="A11048" t="str">
        <f>HYPERLINK("https://www.773grp.com/globalSearch/DP83223VX/page-1", "DP83223VX")</f>
        <v>DP83223VX</v>
      </c>
      <c r="B11048" s="3" t="str">
        <f>HYPERLINK("https://www.773grp.com/manufacturer/national-semiconductor?pageNo=59", "National Semiconductor")</f>
        <v>National Semiconductor</v>
      </c>
      <c r="C11048" s="6">
        <v>10500</v>
      </c>
      <c r="D11048" s="7">
        <v>28.44</v>
      </c>
    </row>
    <row r="11049" spans="1:5" x14ac:dyDescent="0.25">
      <c r="A11049" t="str">
        <f>HYPERLINK("https://www.773grp.com/globalSearch/PT80C733AA/page-1", "PT80C733AA")</f>
        <v>PT80C733AA</v>
      </c>
      <c r="B11049" s="3" t="str">
        <f>HYPERLINK("https://www.773grp.com/manufacturer/national-semiconductor?pageNo=60", "National Semiconductor")</f>
        <v>National Semiconductor</v>
      </c>
      <c r="C11049" s="6">
        <v>34657</v>
      </c>
      <c r="D11049" s="7">
        <v>28.44</v>
      </c>
    </row>
    <row r="11050" spans="1:5" x14ac:dyDescent="0.25">
      <c r="A11050" t="str">
        <f>HYPERLINK("https://www.773grp.com/globalSearch/PT80C733AO/page-1", "PT80C733AO")</f>
        <v>PT80C733AO</v>
      </c>
      <c r="B11050" s="3" t="str">
        <f>HYPERLINK("https://www.773grp.com/manufacturer/national-semiconductor?pageNo=61", "National Semiconductor")</f>
        <v>National Semiconductor</v>
      </c>
      <c r="C11050" s="6">
        <v>38256</v>
      </c>
      <c r="D11050" s="7">
        <v>28.44</v>
      </c>
    </row>
    <row r="11051" spans="1:5" x14ac:dyDescent="0.25">
      <c r="A11051" t="str">
        <f>HYPERLINK("https://www.773grp.com/globalSearch/ADC08200CIMT-NOPB/page-1", "ADC08200CIMT-NOPB")</f>
        <v>ADC08200CIMT-NOPB</v>
      </c>
      <c r="B11051" s="3" t="str">
        <f>HYPERLINK("https://www.773grp.com/manufacturer/national-semiconductor?pageNo=62", "National Semiconductor")</f>
        <v>National Semiconductor</v>
      </c>
      <c r="C11051" s="6">
        <v>2279</v>
      </c>
      <c r="D11051" s="7">
        <v>28.46</v>
      </c>
      <c r="E11051" t="s">
        <v>39</v>
      </c>
    </row>
    <row r="11052" spans="1:5" x14ac:dyDescent="0.25">
      <c r="A11052" t="str">
        <f>HYPERLINK("https://www.773grp.com/globalSearch/5962-9076602MEA/page-1", "5962-9076602MEA")</f>
        <v>5962-9076602MEA</v>
      </c>
      <c r="B11052" s="3" t="str">
        <f>HYPERLINK("https://www.773grp.com/manufacturer/national-semiconductor?pageNo=63", "National Semiconductor")</f>
        <v>National Semiconductor</v>
      </c>
      <c r="C11052" s="6">
        <v>8</v>
      </c>
      <c r="D11052" s="7">
        <v>28.49</v>
      </c>
      <c r="E11052" t="s">
        <v>21</v>
      </c>
    </row>
    <row r="11053" spans="1:5" x14ac:dyDescent="0.25">
      <c r="A11053" t="str">
        <f>HYPERLINK("https://www.773grp.com/globalSearch/DS96F173MJ-883/page-1", "DS96F173MJ-883")</f>
        <v>DS96F173MJ-883</v>
      </c>
      <c r="B11053" s="3" t="str">
        <f>HYPERLINK("https://www.773grp.com/manufacturer/national-semiconductor?pageNo=64", "National Semiconductor")</f>
        <v>National Semiconductor</v>
      </c>
      <c r="C11053" s="6">
        <v>29</v>
      </c>
      <c r="D11053" s="7">
        <v>28.49</v>
      </c>
      <c r="E11053" t="s">
        <v>21</v>
      </c>
    </row>
    <row r="11054" spans="1:5" x14ac:dyDescent="0.25">
      <c r="A11054" t="str">
        <f>HYPERLINK("https://www.773grp.com/globalSearch/5962-9076602MEA/page-1", "5962-9076602MEA")</f>
        <v>5962-9076602MEA</v>
      </c>
      <c r="B11054" s="3" t="str">
        <f>HYPERLINK("https://www.773grp.com/manufacturer/national-semiconductor?pageNo=65", "National Semiconductor")</f>
        <v>National Semiconductor</v>
      </c>
      <c r="C11054" s="6">
        <v>35</v>
      </c>
      <c r="D11054" s="7">
        <v>28.49</v>
      </c>
      <c r="E11054" t="s">
        <v>21</v>
      </c>
    </row>
    <row r="11055" spans="1:5" x14ac:dyDescent="0.25">
      <c r="A11055" t="str">
        <f>HYPERLINK("https://www.773grp.com/globalSearch/DS96F173MJ-883/page-1", "DS96F173MJ-883")</f>
        <v>DS96F173MJ-883</v>
      </c>
      <c r="B11055" s="3" t="str">
        <f>HYPERLINK("https://www.773grp.com/manufacturer/national-semiconductor?pageNo=66", "National Semiconductor")</f>
        <v>National Semiconductor</v>
      </c>
      <c r="C11055" s="6">
        <v>6</v>
      </c>
      <c r="D11055" s="7">
        <v>28.49</v>
      </c>
      <c r="E11055" t="s">
        <v>21</v>
      </c>
    </row>
    <row r="11056" spans="1:5" x14ac:dyDescent="0.25">
      <c r="A11056" t="str">
        <f>HYPERLINK("https://www.773grp.com/globalSearch/54F182LMQB/page-1", "54F182LMQB")</f>
        <v>54F182LMQB</v>
      </c>
      <c r="B11056" s="3" t="str">
        <f>HYPERLINK("https://www.773grp.com/manufacturer/national-semiconductor?pageNo=67", "National Semiconductor")</f>
        <v>National Semiconductor</v>
      </c>
      <c r="C11056" s="6">
        <v>1044</v>
      </c>
      <c r="D11056" s="7">
        <v>28.58</v>
      </c>
      <c r="E11056" t="s">
        <v>43</v>
      </c>
    </row>
    <row r="11057" spans="1:5" x14ac:dyDescent="0.25">
      <c r="A11057" t="str">
        <f>HYPERLINK("https://www.773grp.com/globalSearch/CD4013BMW-883/page-1", "CD4013BMW-883")</f>
        <v>CD4013BMW-883</v>
      </c>
      <c r="B11057" s="3" t="str">
        <f>HYPERLINK("https://www.773grp.com/manufacturer/national-semiconductor?pageNo=68", "National Semiconductor")</f>
        <v>National Semiconductor</v>
      </c>
      <c r="C11057" s="6">
        <v>8</v>
      </c>
      <c r="D11057" s="7">
        <v>28.69</v>
      </c>
      <c r="E11057" t="s">
        <v>35</v>
      </c>
    </row>
    <row r="11058" spans="1:5" x14ac:dyDescent="0.25">
      <c r="A11058" t="str">
        <f>HYPERLINK("https://www.773grp.com/globalSearch/LM2419T/page-1", "LM2419T")</f>
        <v>LM2419T</v>
      </c>
      <c r="B11058" s="3" t="str">
        <f>HYPERLINK("https://www.773grp.com/manufacturer/national-semiconductor?pageNo=69", "National Semiconductor")</f>
        <v>National Semiconductor</v>
      </c>
      <c r="C11058" s="6">
        <v>4316</v>
      </c>
      <c r="D11058" s="7">
        <v>28.69</v>
      </c>
      <c r="E11058" t="s">
        <v>18</v>
      </c>
    </row>
    <row r="11059" spans="1:5" x14ac:dyDescent="0.25">
      <c r="A11059" t="str">
        <f>HYPERLINK("https://www.773grp.com/globalSearch/LMZ14203TZE-ADJ-NOPB/page-1", "LMZ14203TZE-ADJ-NOPB")</f>
        <v>LMZ14203TZE-ADJ-NOPB</v>
      </c>
      <c r="B11059" s="3" t="str">
        <f>HYPERLINK("https://www.773grp.com/manufacturer/national-semiconductor?pageNo=70", "National Semiconductor")</f>
        <v>National Semiconductor</v>
      </c>
      <c r="C11059" s="6">
        <v>9</v>
      </c>
      <c r="D11059" s="7">
        <v>28.69</v>
      </c>
      <c r="E11059" t="s">
        <v>7</v>
      </c>
    </row>
    <row r="11060" spans="1:5" x14ac:dyDescent="0.25">
      <c r="A11060" t="str">
        <f>HYPERLINK("https://www.773grp.com/globalSearch/54ACQ244W-QML/page-1", "54ACQ244W-QML")</f>
        <v>54ACQ244W-QML</v>
      </c>
      <c r="B11060" s="3" t="str">
        <f>HYPERLINK("https://www.773grp.com/manufacturer/national-semiconductor?pageNo=71", "National Semiconductor")</f>
        <v>National Semiconductor</v>
      </c>
      <c r="C11060" s="6">
        <v>257</v>
      </c>
      <c r="D11060" s="7">
        <v>28.73</v>
      </c>
    </row>
    <row r="11061" spans="1:5" x14ac:dyDescent="0.25">
      <c r="A11061" t="str">
        <f>HYPERLINK("https://www.773grp.com/globalSearch/MM54HC74E-883/page-1", "MM54HC74E-883")</f>
        <v>MM54HC74E-883</v>
      </c>
      <c r="B11061" s="3" t="str">
        <f>HYPERLINK("https://www.773grp.com/manufacturer/national-semiconductor?pageNo=72", "National Semiconductor")</f>
        <v>National Semiconductor</v>
      </c>
      <c r="C11061" s="6">
        <v>51</v>
      </c>
      <c r="D11061" s="7">
        <v>28.8</v>
      </c>
    </row>
    <row r="11062" spans="1:5" x14ac:dyDescent="0.25">
      <c r="A11062" t="str">
        <f>HYPERLINK("https://www.773grp.com/globalSearch/COP8CCR9LVA7-NOPB/page-1", "COP8CCR9LVA7-NOPB")</f>
        <v>COP8CCR9LVA7-NOPB</v>
      </c>
      <c r="B11062" s="3" t="str">
        <f>HYPERLINK("https://www.773grp.com/manufacturer/national-semiconductor?pageNo=73", "National Semiconductor")</f>
        <v>National Semiconductor</v>
      </c>
      <c r="C11062" s="6">
        <v>2304</v>
      </c>
      <c r="D11062" s="7">
        <v>28.83</v>
      </c>
    </row>
    <row r="11063" spans="1:5" x14ac:dyDescent="0.25">
      <c r="A11063" t="str">
        <f>HYPERLINK("https://www.773grp.com/globalSearch/LM117HVH-NOPB/page-1", "LM117HVH-NOPB")</f>
        <v>LM117HVH-NOPB</v>
      </c>
      <c r="B11063" s="3" t="str">
        <f>HYPERLINK("https://www.773grp.com/manufacturer/national-semiconductor?pageNo=74", "National Semiconductor")</f>
        <v>National Semiconductor</v>
      </c>
      <c r="C11063" s="6">
        <v>237</v>
      </c>
      <c r="D11063" s="7">
        <v>28.86</v>
      </c>
      <c r="E11063" t="s">
        <v>22</v>
      </c>
    </row>
    <row r="11064" spans="1:5" x14ac:dyDescent="0.25">
      <c r="A11064" t="str">
        <f>HYPERLINK("https://www.773grp.com/globalSearch/LM117HVH-NOPB/page-1", "LM117HVH-NOPB")</f>
        <v>LM117HVH-NOPB</v>
      </c>
      <c r="B11064" s="3" t="str">
        <f>HYPERLINK("https://www.773grp.com/manufacturer/national-semiconductor?pageNo=75", "National Semiconductor")</f>
        <v>National Semiconductor</v>
      </c>
      <c r="C11064" s="6">
        <v>26</v>
      </c>
      <c r="D11064" s="7">
        <v>28.86</v>
      </c>
      <c r="E11064" t="s">
        <v>22</v>
      </c>
    </row>
    <row r="11065" spans="1:5" x14ac:dyDescent="0.25">
      <c r="A11065" t="str">
        <f>HYPERLINK("https://www.773grp.com/globalSearch/100160FCQR/page-1", "100160FCQR")</f>
        <v>100160FCQR</v>
      </c>
      <c r="B11065" s="3" t="str">
        <f>HYPERLINK("https://www.773grp.com/manufacturer/national-semiconductor?pageNo=76", "National Semiconductor")</f>
        <v>National Semiconductor</v>
      </c>
      <c r="C11065" s="6">
        <v>1037</v>
      </c>
      <c r="D11065" s="7">
        <v>28.91</v>
      </c>
      <c r="E11065" t="s">
        <v>43</v>
      </c>
    </row>
    <row r="11066" spans="1:5" x14ac:dyDescent="0.25">
      <c r="A11066" t="str">
        <f>HYPERLINK("https://www.773grp.com/globalSearch/DS100MB201SQE-NOPB/page-1", "DS100MB201SQE-NOPB")</f>
        <v>DS100MB201SQE-NOPB</v>
      </c>
      <c r="B11066" s="3" t="str">
        <f>HYPERLINK("https://www.773grp.com/manufacturer/national-semiconductor?pageNo=77", "National Semiconductor")</f>
        <v>National Semiconductor</v>
      </c>
      <c r="C11066" s="6">
        <v>244</v>
      </c>
      <c r="D11066" s="7">
        <v>28.94</v>
      </c>
    </row>
    <row r="11067" spans="1:5" x14ac:dyDescent="0.25">
      <c r="A11067" t="str">
        <f>HYPERLINK("https://www.773grp.com/globalSearch/DS92LV1021TMSA/page-1", "DS92LV1021TMSA")</f>
        <v>DS92LV1021TMSA</v>
      </c>
      <c r="B11067" s="3" t="str">
        <f>HYPERLINK("https://www.773grp.com/manufacturer/national-semiconductor?pageNo=78", "National Semiconductor")</f>
        <v>National Semiconductor</v>
      </c>
      <c r="C11067" s="6">
        <v>351</v>
      </c>
      <c r="D11067" s="7">
        <v>28.94</v>
      </c>
      <c r="E11067" t="s">
        <v>21</v>
      </c>
    </row>
    <row r="11068" spans="1:5" x14ac:dyDescent="0.25">
      <c r="A11068" t="str">
        <f>HYPERLINK("https://www.773grp.com/globalSearch/JM54HC04BCA/page-1", "JM54HC04BCA")</f>
        <v>JM54HC04BCA</v>
      </c>
      <c r="B11068" s="3" t="str">
        <f>HYPERLINK("https://www.773grp.com/manufacturer/national-semiconductor?pageNo=79", "National Semiconductor")</f>
        <v>National Semiconductor</v>
      </c>
      <c r="C11068" s="6">
        <v>1</v>
      </c>
      <c r="D11068" s="7">
        <v>28.94</v>
      </c>
    </row>
    <row r="11069" spans="1:5" x14ac:dyDescent="0.25">
      <c r="A11069" t="str">
        <f>HYPERLINK("https://www.773grp.com/globalSearch/JM54HC245BRA/page-1", "JM54HC245BRA")</f>
        <v>JM54HC245BRA</v>
      </c>
      <c r="B11069" s="3" t="str">
        <f>HYPERLINK("https://www.773grp.com/manufacturer/national-semiconductor?pageNo=80", "National Semiconductor")</f>
        <v>National Semiconductor</v>
      </c>
      <c r="C11069" s="6">
        <v>585</v>
      </c>
      <c r="D11069" s="7">
        <v>28.94</v>
      </c>
    </row>
    <row r="11070" spans="1:5" x14ac:dyDescent="0.25">
      <c r="A11070" t="str">
        <f>HYPERLINK("https://www.773grp.com/globalSearch/JM54HC32BCA/page-1", "JM54HC32BCA")</f>
        <v>JM54HC32BCA</v>
      </c>
      <c r="B11070" s="3" t="str">
        <f>HYPERLINK("https://www.773grp.com/manufacturer/national-semiconductor?pageNo=81", "National Semiconductor")</f>
        <v>National Semiconductor</v>
      </c>
      <c r="C11070" s="6">
        <v>12</v>
      </c>
      <c r="D11070" s="7">
        <v>28.94</v>
      </c>
    </row>
    <row r="11071" spans="1:5" x14ac:dyDescent="0.25">
      <c r="A11071" t="str">
        <f>HYPERLINK("https://www.773grp.com/globalSearch/DS100MB201SQE-NOPB/page-1", "DS100MB201SQE-NOPB")</f>
        <v>DS100MB201SQE-NOPB</v>
      </c>
      <c r="B11071" s="3" t="str">
        <f>HYPERLINK("https://www.773grp.com/manufacturer/national-semiconductor?pageNo=82", "National Semiconductor")</f>
        <v>National Semiconductor</v>
      </c>
      <c r="C11071" s="6">
        <v>2228</v>
      </c>
      <c r="D11071" s="7">
        <v>28.94</v>
      </c>
    </row>
    <row r="11072" spans="1:5" x14ac:dyDescent="0.25">
      <c r="A11072" t="str">
        <f>HYPERLINK("https://www.773grp.com/globalSearch/DS92LV1021TMSA/page-1", "DS92LV1021TMSA")</f>
        <v>DS92LV1021TMSA</v>
      </c>
      <c r="B11072" s="3" t="str">
        <f>HYPERLINK("https://www.773grp.com/manufacturer/national-semiconductor?pageNo=83", "National Semiconductor")</f>
        <v>National Semiconductor</v>
      </c>
      <c r="C11072" s="6">
        <v>4747</v>
      </c>
      <c r="D11072" s="7">
        <v>28.94</v>
      </c>
      <c r="E11072" t="s">
        <v>21</v>
      </c>
    </row>
    <row r="11073" spans="1:5" x14ac:dyDescent="0.25">
      <c r="A11073" t="str">
        <f>HYPERLINK("https://www.773grp.com/globalSearch/ADC12L063CIVY/page-1", "ADC12L063CIVY")</f>
        <v>ADC12L063CIVY</v>
      </c>
      <c r="B11073" s="3" t="str">
        <f>HYPERLINK("https://www.773grp.com/manufacturer/national-semiconductor?pageNo=84", "National Semiconductor")</f>
        <v>National Semiconductor</v>
      </c>
      <c r="C11073" s="6">
        <v>121</v>
      </c>
      <c r="D11073" s="7">
        <v>28.98</v>
      </c>
      <c r="E11073" t="s">
        <v>39</v>
      </c>
    </row>
    <row r="11074" spans="1:5" x14ac:dyDescent="0.25">
      <c r="A11074" t="str">
        <f>HYPERLINK("https://www.773grp.com/globalSearch/LM6104M/page-1", "LM6104M")</f>
        <v>LM6104M</v>
      </c>
      <c r="B11074" s="3" t="str">
        <f>HYPERLINK("https://www.773grp.com/manufacturer/national-semiconductor?pageNo=85", "National Semiconductor")</f>
        <v>National Semiconductor</v>
      </c>
      <c r="C11074" s="6">
        <v>1201</v>
      </c>
      <c r="D11074" s="7">
        <v>28.98</v>
      </c>
      <c r="E11074" t="s">
        <v>13</v>
      </c>
    </row>
    <row r="11075" spans="1:5" x14ac:dyDescent="0.25">
      <c r="A11075" t="str">
        <f>HYPERLINK("https://www.773grp.com/globalSearch/MM74C947N/page-1", "MM74C947N")</f>
        <v>MM74C947N</v>
      </c>
      <c r="B11075" s="3" t="str">
        <f>HYPERLINK("https://www.773grp.com/manufacturer/national-semiconductor?pageNo=86", "National Semiconductor")</f>
        <v>National Semiconductor</v>
      </c>
      <c r="C11075" s="6">
        <v>12692</v>
      </c>
      <c r="D11075" s="7">
        <v>28.98</v>
      </c>
      <c r="E11075" t="s">
        <v>26</v>
      </c>
    </row>
    <row r="11076" spans="1:5" x14ac:dyDescent="0.25">
      <c r="A11076" t="str">
        <f>HYPERLINK("https://www.773grp.com/globalSearch/54F398LMQB/page-1", "54F398LMQB")</f>
        <v>54F398LMQB</v>
      </c>
      <c r="B11076" s="3" t="str">
        <f>HYPERLINK("https://www.773grp.com/manufacturer/national-semiconductor?pageNo=87", "National Semiconductor")</f>
        <v>National Semiconductor</v>
      </c>
      <c r="C11076" s="6">
        <v>285</v>
      </c>
      <c r="D11076" s="7">
        <v>29.03</v>
      </c>
      <c r="E11076" t="s">
        <v>35</v>
      </c>
    </row>
    <row r="11077" spans="1:5" x14ac:dyDescent="0.25">
      <c r="A11077" t="str">
        <f>HYPERLINK("https://www.773grp.com/globalSearch/5443ADM/page-1", "5443ADM")</f>
        <v>5443ADM</v>
      </c>
      <c r="B11077" s="3" t="str">
        <f>HYPERLINK("https://www.773grp.com/manufacturer/national-semiconductor?pageNo=88", "National Semiconductor")</f>
        <v>National Semiconductor</v>
      </c>
      <c r="C11077" s="6">
        <v>558</v>
      </c>
      <c r="D11077" s="7">
        <v>29.06</v>
      </c>
    </row>
    <row r="11078" spans="1:5" x14ac:dyDescent="0.25">
      <c r="A11078" t="str">
        <f>HYPERLINK("https://www.773grp.com/globalSearch/9009DM/page-1", "9009DM")</f>
        <v>9009DM</v>
      </c>
      <c r="B11078" s="3" t="str">
        <f>HYPERLINK("https://www.773grp.com/manufacturer/national-semiconductor?pageNo=89", "National Semiconductor")</f>
        <v>National Semiconductor</v>
      </c>
      <c r="C11078" s="6">
        <v>1675</v>
      </c>
      <c r="D11078" s="7">
        <v>29.11</v>
      </c>
    </row>
    <row r="11079" spans="1:5" x14ac:dyDescent="0.25">
      <c r="A11079" t="str">
        <f>HYPERLINK("https://www.773grp.com/globalSearch/9015DM/page-1", "9015DM")</f>
        <v>9015DM</v>
      </c>
      <c r="B11079" s="3" t="str">
        <f>HYPERLINK("https://www.773grp.com/manufacturer/national-semiconductor?pageNo=90", "National Semiconductor")</f>
        <v>National Semiconductor</v>
      </c>
      <c r="C11079" s="6">
        <v>282</v>
      </c>
      <c r="D11079" s="7">
        <v>29.11</v>
      </c>
    </row>
    <row r="11080" spans="1:5" x14ac:dyDescent="0.25">
      <c r="A11080" t="str">
        <f>HYPERLINK("https://www.773grp.com/globalSearch/LMP92001SQE-NOPB/page-1", "LMP92001SQE-NOPB")</f>
        <v>LMP92001SQE-NOPB</v>
      </c>
      <c r="B11080" s="3" t="str">
        <f>HYPERLINK("https://www.773grp.com/manufacturer/national-semiconductor?pageNo=91", "National Semiconductor")</f>
        <v>National Semiconductor</v>
      </c>
      <c r="C11080" s="6">
        <v>450</v>
      </c>
      <c r="D11080" s="7">
        <v>29.11</v>
      </c>
    </row>
    <row r="11081" spans="1:5" x14ac:dyDescent="0.25">
      <c r="A11081" t="str">
        <f>HYPERLINK("https://www.773grp.com/globalSearch/LMP92001SQE-NOPB/page-1", "LMP92001SQE-NOPB")</f>
        <v>LMP92001SQE-NOPB</v>
      </c>
      <c r="B11081" s="3" t="str">
        <f>HYPERLINK("https://www.773grp.com/manufacturer/national-semiconductor?pageNo=92", "National Semiconductor")</f>
        <v>National Semiconductor</v>
      </c>
      <c r="C11081" s="6">
        <v>1000</v>
      </c>
      <c r="D11081" s="7">
        <v>29.11</v>
      </c>
    </row>
    <row r="11082" spans="1:5" x14ac:dyDescent="0.25">
      <c r="A11082" t="str">
        <f>HYPERLINK("https://www.773grp.com/globalSearch/93L38DC/page-1", "93L38DC")</f>
        <v>93L38DC</v>
      </c>
      <c r="B11082" s="3" t="str">
        <f>HYPERLINK("https://www.773grp.com/manufacturer/national-semiconductor?pageNo=93", "National Semiconductor")</f>
        <v>National Semiconductor</v>
      </c>
      <c r="C11082" s="6">
        <v>2217</v>
      </c>
      <c r="D11082" s="7">
        <v>29.16</v>
      </c>
    </row>
    <row r="11083" spans="1:5" x14ac:dyDescent="0.25">
      <c r="A11083" t="str">
        <f>HYPERLINK("https://www.773grp.com/globalSearch/LF147J-883/page-1", "LF147J-883")</f>
        <v>LF147J-883</v>
      </c>
      <c r="B11083" s="3" t="str">
        <f>HYPERLINK("https://www.773grp.com/manufacturer/national-semiconductor?pageNo=94", "National Semiconductor")</f>
        <v>National Semiconductor</v>
      </c>
      <c r="C11083" s="6">
        <v>13918</v>
      </c>
      <c r="D11083" s="7">
        <v>29.2</v>
      </c>
      <c r="E11083" t="s">
        <v>13</v>
      </c>
    </row>
    <row r="11084" spans="1:5" x14ac:dyDescent="0.25">
      <c r="A11084" t="str">
        <f>HYPERLINK("https://www.773grp.com/globalSearch/54S22FM/page-1", "54S22FM")</f>
        <v>54S22FM</v>
      </c>
      <c r="B11084" s="3" t="str">
        <f>HYPERLINK("https://www.773grp.com/manufacturer/national-semiconductor?pageNo=95", "National Semiconductor")</f>
        <v>National Semiconductor</v>
      </c>
      <c r="C11084" s="6">
        <v>734</v>
      </c>
      <c r="D11084" s="7">
        <v>29.25</v>
      </c>
    </row>
    <row r="11085" spans="1:5" x14ac:dyDescent="0.25">
      <c r="A11085" t="str">
        <f>HYPERLINK("https://www.773grp.com/globalSearch/54S62FM/page-1", "54S62FM")</f>
        <v>54S62FM</v>
      </c>
      <c r="B11085" s="3" t="str">
        <f>HYPERLINK("https://www.773grp.com/manufacturer/national-semiconductor?pageNo=96", "National Semiconductor")</f>
        <v>National Semiconductor</v>
      </c>
      <c r="C11085" s="6">
        <v>102</v>
      </c>
      <c r="D11085" s="7">
        <v>29.25</v>
      </c>
    </row>
    <row r="11086" spans="1:5" x14ac:dyDescent="0.25">
      <c r="A11086" t="str">
        <f>HYPERLINK("https://www.773grp.com/globalSearch/ADC0819BCN/page-1", "ADC0819BCN")</f>
        <v>ADC0819BCN</v>
      </c>
      <c r="B11086" s="3" t="str">
        <f>HYPERLINK("https://www.773grp.com/manufacturer/national-semiconductor?pageNo=97", "National Semiconductor")</f>
        <v>National Semiconductor</v>
      </c>
      <c r="C11086" s="6">
        <v>169</v>
      </c>
      <c r="D11086" s="7">
        <v>29.25</v>
      </c>
      <c r="E11086" t="s">
        <v>39</v>
      </c>
    </row>
    <row r="11087" spans="1:5" x14ac:dyDescent="0.25">
      <c r="A11087" t="str">
        <f>HYPERLINK("https://www.773grp.com/globalSearch/DM54LS158E-883/page-1", "DM54LS158E-883")</f>
        <v>DM54LS158E-883</v>
      </c>
      <c r="B11087" s="3" t="str">
        <f>HYPERLINK("https://www.773grp.com/manufacturer/national-semiconductor?pageNo=98", "National Semiconductor")</f>
        <v>National Semiconductor</v>
      </c>
      <c r="C11087" s="6">
        <v>79</v>
      </c>
      <c r="D11087" s="7">
        <v>29.25</v>
      </c>
      <c r="E11087" t="s">
        <v>20</v>
      </c>
    </row>
    <row r="11088" spans="1:5" x14ac:dyDescent="0.25">
      <c r="A11088" t="str">
        <f>HYPERLINK("https://www.773grp.com/globalSearch/LM2418T/page-1", "LM2418T")</f>
        <v>LM2418T</v>
      </c>
      <c r="B11088" s="3" t="str">
        <f>HYPERLINK("https://www.773grp.com/manufacturer/national-semiconductor?pageNo=99", "National Semiconductor")</f>
        <v>National Semiconductor</v>
      </c>
      <c r="C11088" s="6">
        <v>2932</v>
      </c>
      <c r="D11088" s="7">
        <v>29.25</v>
      </c>
      <c r="E11088" t="s">
        <v>18</v>
      </c>
    </row>
    <row r="11089" spans="1:5" x14ac:dyDescent="0.25">
      <c r="A11089" t="str">
        <f>HYPERLINK("https://www.773grp.com/globalSearch/54LS54LM/page-1", "54LS54LM")</f>
        <v>54LS54LM</v>
      </c>
      <c r="B11089" s="3" t="str">
        <f>HYPERLINK("https://www.773grp.com/manufacturer/national-semiconductor?pageNo=100", "National Semiconductor")</f>
        <v>National Semiconductor</v>
      </c>
      <c r="C11089" s="6">
        <v>152</v>
      </c>
      <c r="D11089" s="7">
        <v>29.28</v>
      </c>
    </row>
    <row r="11090" spans="1:5" x14ac:dyDescent="0.25">
      <c r="A11090" t="str">
        <f>HYPERLINK("https://www.773grp.com/globalSearch/LMZ12001EXTTZ-NOPB/page-1", "LMZ12001EXTTZ-NOPB")</f>
        <v>LMZ12001EXTTZ-NOPB</v>
      </c>
      <c r="B11090" s="3" t="str">
        <f>HYPERLINK("https://www.773grp.com/manufacturer/national-semiconductor?pageNo=101", "National Semiconductor")</f>
        <v>National Semiconductor</v>
      </c>
      <c r="C11090" s="6">
        <v>250</v>
      </c>
      <c r="D11090" s="7">
        <v>29.28</v>
      </c>
    </row>
    <row r="11091" spans="1:5" x14ac:dyDescent="0.25">
      <c r="A11091" t="str">
        <f>HYPERLINK("https://www.773grp.com/globalSearch/COP8SBR9HVA8-NOPB/page-1", "COP8SBR9HVA8-NOPB")</f>
        <v>COP8SBR9HVA8-NOPB</v>
      </c>
      <c r="B11091" s="3" t="str">
        <f>HYPERLINK("https://www.773grp.com/manufacturer/national-semiconductor?pageNo=102", "National Semiconductor")</f>
        <v>National Semiconductor</v>
      </c>
      <c r="C11091" s="6">
        <v>50</v>
      </c>
      <c r="D11091" s="7">
        <v>29.31</v>
      </c>
    </row>
    <row r="11092" spans="1:5" x14ac:dyDescent="0.25">
      <c r="A11092" t="str">
        <f>HYPERLINK("https://www.773grp.com/globalSearch/5439DM/page-1", "5439DM")</f>
        <v>5439DM</v>
      </c>
      <c r="B11092" s="3" t="str">
        <f>HYPERLINK("https://www.773grp.com/manufacturer/national-semiconductor?pageNo=103", "National Semiconductor")</f>
        <v>National Semiconductor</v>
      </c>
      <c r="C11092" s="6">
        <v>3</v>
      </c>
      <c r="D11092" s="7">
        <v>29.36</v>
      </c>
    </row>
    <row r="11093" spans="1:5" x14ac:dyDescent="0.25">
      <c r="A11093" t="str">
        <f>HYPERLINK("https://www.773grp.com/globalSearch/DM75L51J-MIL/page-1", "DM75L51J-MIL")</f>
        <v>DM75L51J-MIL</v>
      </c>
      <c r="B11093" s="3" t="str">
        <f>HYPERLINK("https://www.773grp.com/manufacturer/national-semiconductor?pageNo=104", "National Semiconductor")</f>
        <v>National Semiconductor</v>
      </c>
      <c r="C11093" s="6">
        <v>470</v>
      </c>
      <c r="D11093" s="7">
        <v>29.54</v>
      </c>
    </row>
    <row r="11094" spans="1:5" x14ac:dyDescent="0.25">
      <c r="A11094" t="str">
        <f>HYPERLINK("https://www.773grp.com/globalSearch/DM75L54J-MIL/page-1", "DM75L54J-MIL")</f>
        <v>DM75L54J-MIL</v>
      </c>
      <c r="B11094" s="3" t="str">
        <f>HYPERLINK("https://www.773grp.com/manufacturer/national-semiconductor?pageNo=105", "National Semiconductor")</f>
        <v>National Semiconductor</v>
      </c>
      <c r="C11094" s="6">
        <v>36</v>
      </c>
      <c r="D11094" s="7">
        <v>29.54</v>
      </c>
    </row>
    <row r="11095" spans="1:5" x14ac:dyDescent="0.25">
      <c r="A11095" t="str">
        <f>HYPERLINK("https://www.773grp.com/globalSearch/DS90CR483VJDX-NOPB/page-1", "DS90CR483VJDX-NOPB")</f>
        <v>DS90CR483VJDX-NOPB</v>
      </c>
      <c r="B11095" s="3" t="str">
        <f>HYPERLINK("https://www.773grp.com/manufacturer/national-semiconductor?pageNo=106", "National Semiconductor")</f>
        <v>National Semiconductor</v>
      </c>
      <c r="C11095" s="6">
        <v>1000</v>
      </c>
      <c r="D11095" s="7">
        <v>29.54</v>
      </c>
      <c r="E11095" t="s">
        <v>21</v>
      </c>
    </row>
    <row r="11096" spans="1:5" x14ac:dyDescent="0.25">
      <c r="A11096" t="str">
        <f>HYPERLINK("https://www.773grp.com/globalSearch/DS90CR484VJD/page-1", "DS90CR484VJD")</f>
        <v>DS90CR484VJD</v>
      </c>
      <c r="B11096" s="3" t="str">
        <f>HYPERLINK("https://www.773grp.com/manufacturer/national-semiconductor?pageNo=107", "National Semiconductor")</f>
        <v>National Semiconductor</v>
      </c>
      <c r="C11096" s="6">
        <v>169</v>
      </c>
      <c r="D11096" s="7">
        <v>29.54</v>
      </c>
      <c r="E11096" t="s">
        <v>21</v>
      </c>
    </row>
    <row r="11097" spans="1:5" x14ac:dyDescent="0.25">
      <c r="A11097" t="str">
        <f>HYPERLINK("https://www.773grp.com/globalSearch/LM111J-8-883/page-1", "LM111J-8-883")</f>
        <v>LM111J-8-883</v>
      </c>
      <c r="B11097" s="3" t="str">
        <f>HYPERLINK("https://www.773grp.com/manufacturer/national-semiconductor?pageNo=108", "National Semiconductor")</f>
        <v>National Semiconductor</v>
      </c>
      <c r="C11097" s="6">
        <v>80</v>
      </c>
      <c r="D11097" s="7">
        <v>29.54</v>
      </c>
      <c r="E11097" t="s">
        <v>9</v>
      </c>
    </row>
    <row r="11098" spans="1:5" x14ac:dyDescent="0.25">
      <c r="A11098" t="str">
        <f>HYPERLINK("https://www.773grp.com/globalSearch/DS90CR483VJDX-NOPB/page-1", "DS90CR483VJDX-NOPB")</f>
        <v>DS90CR483VJDX-NOPB</v>
      </c>
      <c r="B11098" s="3" t="str">
        <f>HYPERLINK("https://www.773grp.com/manufacturer/national-semiconductor?pageNo=109", "National Semiconductor")</f>
        <v>National Semiconductor</v>
      </c>
      <c r="C11098" s="6">
        <v>6000</v>
      </c>
      <c r="D11098" s="7">
        <v>29.54</v>
      </c>
      <c r="E11098" t="s">
        <v>21</v>
      </c>
    </row>
    <row r="11099" spans="1:5" x14ac:dyDescent="0.25">
      <c r="A11099" t="str">
        <f>HYPERLINK("https://www.773grp.com/globalSearch/AM3354BZCZD80/page-1", "AM3354BZCZD80")</f>
        <v>AM3354BZCZD80</v>
      </c>
      <c r="B11099" s="3" t="str">
        <f>HYPERLINK("https://www.773grp.com/manufacturer/national-semiconductor?pageNo=110", "National Semiconductor")</f>
        <v>National Semiconductor</v>
      </c>
      <c r="C11099" s="6">
        <v>78</v>
      </c>
      <c r="D11099" s="7">
        <v>29.59</v>
      </c>
    </row>
    <row r="11100" spans="1:5" x14ac:dyDescent="0.25">
      <c r="A11100" t="str">
        <f>HYPERLINK("https://www.773grp.com/globalSearch/DP83840AVCE/page-1", "DP83840AVCE")</f>
        <v>DP83840AVCE</v>
      </c>
      <c r="B11100" s="3" t="str">
        <f>HYPERLINK("https://www.773grp.com/manufacturer/national-semiconductor?pageNo=111", "National Semiconductor")</f>
        <v>National Semiconductor</v>
      </c>
      <c r="C11100" s="6">
        <v>16477</v>
      </c>
      <c r="D11100" s="7">
        <v>29.65</v>
      </c>
      <c r="E11100" t="s">
        <v>67</v>
      </c>
    </row>
    <row r="11101" spans="1:5" x14ac:dyDescent="0.25">
      <c r="A11101" t="str">
        <f>HYPERLINK("https://www.773grp.com/globalSearch/54F378LMQB/page-1", "54F378LMQB")</f>
        <v>54F378LMQB</v>
      </c>
      <c r="B11101" s="3" t="str">
        <f>HYPERLINK("https://www.773grp.com/manufacturer/national-semiconductor?pageNo=112", "National Semiconductor")</f>
        <v>National Semiconductor</v>
      </c>
      <c r="C11101" s="6">
        <v>3210</v>
      </c>
      <c r="D11101" s="7">
        <v>29.7</v>
      </c>
      <c r="E11101" t="s">
        <v>35</v>
      </c>
    </row>
    <row r="11102" spans="1:5" x14ac:dyDescent="0.25">
      <c r="A11102" t="str">
        <f>HYPERLINK("https://www.773grp.com/globalSearch/JM54HC14BCA/page-1", "JM54HC14BCA")</f>
        <v>JM54HC14BCA</v>
      </c>
      <c r="B11102" s="3" t="str">
        <f>HYPERLINK("https://www.773grp.com/manufacturer/national-semiconductor?pageNo=113", "National Semiconductor")</f>
        <v>National Semiconductor</v>
      </c>
      <c r="C11102" s="6">
        <v>1</v>
      </c>
      <c r="D11102" s="7">
        <v>29.7</v>
      </c>
    </row>
    <row r="11103" spans="1:5" x14ac:dyDescent="0.25">
      <c r="A11103" t="str">
        <f>HYPERLINK("https://www.773grp.com/globalSearch/PT86C668A1-D/page-1", "PT86C668A1-D")</f>
        <v>PT86C668A1-D</v>
      </c>
      <c r="B11103" s="3" t="str">
        <f>HYPERLINK("https://www.773grp.com/manufacturer/national-semiconductor?pageNo=114", "National Semiconductor")</f>
        <v>National Semiconductor</v>
      </c>
      <c r="C11103" s="6">
        <v>1273</v>
      </c>
      <c r="D11103" s="7">
        <v>29.7</v>
      </c>
    </row>
    <row r="11104" spans="1:5" x14ac:dyDescent="0.25">
      <c r="A11104" t="str">
        <f>HYPERLINK("https://www.773grp.com/globalSearch/COP8SCR9HVA8-NOPB/page-1", "COP8SCR9HVA8-NOPB")</f>
        <v>COP8SCR9HVA8-NOPB</v>
      </c>
      <c r="B11104" s="3" t="str">
        <f>HYPERLINK("https://www.773grp.com/manufacturer/national-semiconductor?pageNo=115", "National Semiconductor")</f>
        <v>National Semiconductor</v>
      </c>
      <c r="C11104" s="6">
        <v>888</v>
      </c>
      <c r="D11104" s="7">
        <v>29.74</v>
      </c>
      <c r="E11104" t="s">
        <v>52</v>
      </c>
    </row>
    <row r="11105" spans="1:5" x14ac:dyDescent="0.25">
      <c r="A11105" t="str">
        <f>HYPERLINK("https://www.773grp.com/globalSearch/COP8SCR9HVA8-NOPB/page-1", "COP8SCR9HVA8-NOPB")</f>
        <v>COP8SCR9HVA8-NOPB</v>
      </c>
      <c r="B11105" s="3" t="str">
        <f>HYPERLINK("https://www.773grp.com/manufacturer/national-semiconductor?pageNo=116", "National Semiconductor")</f>
        <v>National Semiconductor</v>
      </c>
      <c r="C11105" s="6">
        <v>2050</v>
      </c>
      <c r="D11105" s="7">
        <v>29.74</v>
      </c>
      <c r="E11105" t="s">
        <v>52</v>
      </c>
    </row>
    <row r="11106" spans="1:5" x14ac:dyDescent="0.25">
      <c r="A11106" t="str">
        <f>HYPERLINK("https://www.773grp.com/globalSearch/JD54F158B2A/page-1", "JD54F158B2A")</f>
        <v>JD54F158B2A</v>
      </c>
      <c r="B11106" s="3" t="str">
        <f>HYPERLINK("https://www.773grp.com/manufacturer/national-semiconductor?pageNo=117", "National Semiconductor")</f>
        <v>National Semiconductor</v>
      </c>
      <c r="C11106" s="6">
        <v>21</v>
      </c>
      <c r="D11106" s="7">
        <v>29.81</v>
      </c>
    </row>
    <row r="11107" spans="1:5" x14ac:dyDescent="0.25">
      <c r="A11107" t="str">
        <f>HYPERLINK("https://www.773grp.com/globalSearch/JM4007ABCA/page-1", "JM4007ABCA")</f>
        <v>JM4007ABCA</v>
      </c>
      <c r="B11107" s="3" t="str">
        <f>HYPERLINK("https://www.773grp.com/manufacturer/national-semiconductor?pageNo=118", "National Semiconductor")</f>
        <v>National Semiconductor</v>
      </c>
      <c r="C11107" s="6">
        <v>49</v>
      </c>
      <c r="D11107" s="7">
        <v>29.81</v>
      </c>
    </row>
    <row r="11108" spans="1:5" x14ac:dyDescent="0.25">
      <c r="A11108" t="str">
        <f>HYPERLINK("https://www.773grp.com/globalSearch/LH4002CN/page-1", "LH4002CN")</f>
        <v>LH4002CN</v>
      </c>
      <c r="B11108" s="3" t="str">
        <f>HYPERLINK("https://www.773grp.com/manufacturer/national-semiconductor?pageNo=119", "National Semiconductor")</f>
        <v>National Semiconductor</v>
      </c>
      <c r="C11108" s="6">
        <v>11</v>
      </c>
      <c r="D11108" s="7">
        <v>29.81</v>
      </c>
      <c r="E11108" t="s">
        <v>48</v>
      </c>
    </row>
    <row r="11109" spans="1:5" x14ac:dyDescent="0.25">
      <c r="A11109" t="str">
        <f>HYPERLINK("https://www.773grp.com/globalSearch/MM54C174J-883/page-1", "MM54C174J-883")</f>
        <v>MM54C174J-883</v>
      </c>
      <c r="B11109" s="3" t="str">
        <f>HYPERLINK("https://www.773grp.com/manufacturer/national-semiconductor?pageNo=120", "National Semiconductor")</f>
        <v>National Semiconductor</v>
      </c>
      <c r="C11109" s="6">
        <v>458</v>
      </c>
      <c r="D11109" s="7">
        <v>29.81</v>
      </c>
      <c r="E11109" t="s">
        <v>35</v>
      </c>
    </row>
    <row r="11110" spans="1:5" x14ac:dyDescent="0.25">
      <c r="A11110" t="str">
        <f>HYPERLINK("https://www.773grp.com/globalSearch/COP8SBR9LVA8/page-1", "COP8SBR9LVA8")</f>
        <v>COP8SBR9LVA8</v>
      </c>
      <c r="B11110" s="3" t="str">
        <f>HYPERLINK("https://www.773grp.com/manufacturer/national-semiconductor?pageNo=121", "National Semiconductor")</f>
        <v>National Semiconductor</v>
      </c>
      <c r="C11110" s="6">
        <v>180</v>
      </c>
      <c r="D11110" s="7">
        <v>29.88</v>
      </c>
      <c r="E11110" t="s">
        <v>52</v>
      </c>
    </row>
    <row r="11111" spans="1:5" x14ac:dyDescent="0.25">
      <c r="A11111" t="str">
        <f>HYPERLINK("https://www.773grp.com/globalSearch/100118W-MIL/page-1", "100118W-MIL")</f>
        <v>100118W-MIL</v>
      </c>
      <c r="B11111" s="3" t="str">
        <f>HYPERLINK("https://www.773grp.com/manufacturer/national-semiconductor?pageNo=122", "National Semiconductor")</f>
        <v>National Semiconductor</v>
      </c>
      <c r="C11111" s="6">
        <v>196</v>
      </c>
      <c r="D11111" s="7">
        <v>29.9</v>
      </c>
    </row>
    <row r="11112" spans="1:5" x14ac:dyDescent="0.25">
      <c r="A11112" t="str">
        <f>HYPERLINK("https://www.773grp.com/globalSearch/9317DM/page-1", "9317DM")</f>
        <v>9317DM</v>
      </c>
      <c r="B11112" s="3" t="str">
        <f>HYPERLINK("https://www.773grp.com/manufacturer/national-semiconductor?pageNo=123", "National Semiconductor")</f>
        <v>National Semiconductor</v>
      </c>
      <c r="C11112" s="6">
        <v>357</v>
      </c>
      <c r="D11112" s="7">
        <v>29.95</v>
      </c>
    </row>
    <row r="11113" spans="1:5" x14ac:dyDescent="0.25">
      <c r="A11113" t="str">
        <f>HYPERLINK("https://www.773grp.com/globalSearch/LMH6522SQE-NOPB/page-1", "LMH6522SQE-NOPB")</f>
        <v>LMH6522SQE-NOPB</v>
      </c>
      <c r="B11113" s="3" t="str">
        <f>HYPERLINK("https://www.773grp.com/manufacturer/national-semiconductor?pageNo=124", "National Semiconductor")</f>
        <v>National Semiconductor</v>
      </c>
      <c r="C11113" s="6">
        <v>144</v>
      </c>
      <c r="D11113" s="7">
        <v>29.95</v>
      </c>
    </row>
    <row r="11114" spans="1:5" x14ac:dyDescent="0.25">
      <c r="A11114" t="str">
        <f>HYPERLINK("https://www.773grp.com/globalSearch/100164FC/page-1", "100164FC")</f>
        <v>100164FC</v>
      </c>
      <c r="B11114" s="3" t="str">
        <f>HYPERLINK("https://www.773grp.com/manufacturer/national-semiconductor?pageNo=125", "National Semiconductor")</f>
        <v>National Semiconductor</v>
      </c>
      <c r="C11114" s="6">
        <v>2721</v>
      </c>
      <c r="D11114" s="7">
        <v>29.99</v>
      </c>
      <c r="E11114" t="s">
        <v>20</v>
      </c>
    </row>
    <row r="11115" spans="1:5" x14ac:dyDescent="0.25">
      <c r="A11115" t="str">
        <f>HYPERLINK("https://www.773grp.com/globalSearch/AH5010CN/page-1", "AH5010CN")</f>
        <v>AH5010CN</v>
      </c>
      <c r="B11115" s="3" t="str">
        <f>HYPERLINK("https://www.773grp.com/manufacturer/national-semiconductor?pageNo=126", "National Semiconductor")</f>
        <v>National Semiconductor</v>
      </c>
      <c r="C11115" s="6">
        <v>933</v>
      </c>
      <c r="D11115" s="7">
        <v>30.09</v>
      </c>
      <c r="E11115" t="s">
        <v>56</v>
      </c>
    </row>
    <row r="11116" spans="1:5" x14ac:dyDescent="0.25">
      <c r="A11116" t="str">
        <f>HYPERLINK("https://www.773grp.com/globalSearch/DM54L10J-883/page-1", "DM54L10J-883")</f>
        <v>DM54L10J-883</v>
      </c>
      <c r="B11116" s="3" t="str">
        <f>HYPERLINK("https://www.773grp.com/manufacturer/national-semiconductor?pageNo=127", "National Semiconductor")</f>
        <v>National Semiconductor</v>
      </c>
      <c r="C11116" s="6">
        <v>25</v>
      </c>
      <c r="D11116" s="7">
        <v>30.09</v>
      </c>
      <c r="E11116" t="s">
        <v>31</v>
      </c>
    </row>
    <row r="11117" spans="1:5" x14ac:dyDescent="0.25">
      <c r="A11117" t="str">
        <f>HYPERLINK("https://www.773grp.com/globalSearch/DM54L74J-883/page-1", "DM54L74J-883")</f>
        <v>DM54L74J-883</v>
      </c>
      <c r="B11117" s="3" t="str">
        <f>HYPERLINK("https://www.773grp.com/manufacturer/national-semiconductor?pageNo=128", "National Semiconductor")</f>
        <v>National Semiconductor</v>
      </c>
      <c r="C11117" s="6">
        <v>64</v>
      </c>
      <c r="D11117" s="7">
        <v>30.09</v>
      </c>
      <c r="E11117" t="s">
        <v>35</v>
      </c>
    </row>
    <row r="11118" spans="1:5" x14ac:dyDescent="0.25">
      <c r="A11118" t="str">
        <f>HYPERLINK("https://www.773grp.com/globalSearch/DM54L93J-883/page-1", "DM54L93J-883")</f>
        <v>DM54L93J-883</v>
      </c>
      <c r="B11118" s="3" t="str">
        <f>HYPERLINK("https://www.773grp.com/manufacturer/national-semiconductor?pageNo=129", "National Semiconductor")</f>
        <v>National Semiconductor</v>
      </c>
      <c r="C11118" s="6">
        <v>55</v>
      </c>
      <c r="D11118" s="7">
        <v>30.09</v>
      </c>
      <c r="E11118" t="s">
        <v>26</v>
      </c>
    </row>
    <row r="11119" spans="1:5" x14ac:dyDescent="0.25">
      <c r="A11119" t="str">
        <f>HYPERLINK("https://www.773grp.com/globalSearch/DM75L93J-883/page-1", "DM75L93J-883")</f>
        <v>DM75L93J-883</v>
      </c>
      <c r="B11119" s="3" t="str">
        <f>HYPERLINK("https://www.773grp.com/manufacturer/national-semiconductor?pageNo=130", "National Semiconductor")</f>
        <v>National Semiconductor</v>
      </c>
      <c r="C11119" s="6">
        <v>144</v>
      </c>
      <c r="D11119" s="7">
        <v>30.09</v>
      </c>
    </row>
    <row r="11120" spans="1:5" x14ac:dyDescent="0.25">
      <c r="A11120" t="str">
        <f>HYPERLINK("https://www.773grp.com/globalSearch/DS34F86J/page-1", "DS34F86J")</f>
        <v>DS34F86J</v>
      </c>
      <c r="B11120" s="3" t="str">
        <f>HYPERLINK("https://www.773grp.com/manufacturer/national-semiconductor?pageNo=131", "National Semiconductor")</f>
        <v>National Semiconductor</v>
      </c>
      <c r="C11120" s="6">
        <v>3114</v>
      </c>
      <c r="D11120" s="7">
        <v>30.09</v>
      </c>
      <c r="E11120" t="s">
        <v>21</v>
      </c>
    </row>
    <row r="11121" spans="1:5" x14ac:dyDescent="0.25">
      <c r="A11121" t="str">
        <f>HYPERLINK("https://www.773grp.com/globalSearch/LF13508D/page-1", "LF13508D")</f>
        <v>LF13508D</v>
      </c>
      <c r="B11121" s="3" t="str">
        <f>HYPERLINK("https://www.773grp.com/manufacturer/national-semiconductor?pageNo=132", "National Semiconductor")</f>
        <v>National Semiconductor</v>
      </c>
      <c r="C11121" s="6">
        <v>749</v>
      </c>
      <c r="D11121" s="7">
        <v>30.09</v>
      </c>
      <c r="E11121" t="s">
        <v>56</v>
      </c>
    </row>
    <row r="11122" spans="1:5" x14ac:dyDescent="0.25">
      <c r="A11122" t="str">
        <f>HYPERLINK("https://www.773grp.com/globalSearch/LM139AW-883/page-1", "LM139AW-883")</f>
        <v>LM139AW-883</v>
      </c>
      <c r="B11122" s="3" t="str">
        <f>HYPERLINK("https://www.773grp.com/manufacturer/national-semiconductor?pageNo=133", "National Semiconductor")</f>
        <v>National Semiconductor</v>
      </c>
      <c r="C11122" s="6">
        <v>3</v>
      </c>
      <c r="D11122" s="7">
        <v>30.21</v>
      </c>
      <c r="E11122" t="s">
        <v>9</v>
      </c>
    </row>
    <row r="11123" spans="1:5" x14ac:dyDescent="0.25">
      <c r="A11123" t="str">
        <f>HYPERLINK("https://www.773grp.com/globalSearch/LM35H/page-1", "LM35H")</f>
        <v>LM35H</v>
      </c>
      <c r="B11123" s="3" t="str">
        <f>HYPERLINK("https://www.773grp.com/manufacturer/national-semiconductor?pageNo=134", "National Semiconductor")</f>
        <v>National Semiconductor</v>
      </c>
      <c r="C11123" s="6">
        <v>2064</v>
      </c>
      <c r="D11123" s="7">
        <v>30.29</v>
      </c>
      <c r="E11123" t="s">
        <v>8</v>
      </c>
    </row>
    <row r="11124" spans="1:5" x14ac:dyDescent="0.25">
      <c r="A11124" t="str">
        <f>HYPERLINK("https://www.773grp.com/globalSearch/LM35H-NOPB/page-1", "LM35H-NOPB")</f>
        <v>LM35H-NOPB</v>
      </c>
      <c r="B11124" s="3" t="str">
        <f>HYPERLINK("https://www.773grp.com/manufacturer/national-semiconductor?pageNo=1", "National Semiconductor")</f>
        <v>National Semiconductor</v>
      </c>
      <c r="C11124" s="6">
        <v>655</v>
      </c>
      <c r="D11124" s="7">
        <v>30.29</v>
      </c>
    </row>
    <row r="11125" spans="1:5" x14ac:dyDescent="0.25">
      <c r="A11125" t="str">
        <f>HYPERLINK("https://www.773grp.com/globalSearch/9002DM/page-1", "9002DM")</f>
        <v>9002DM</v>
      </c>
      <c r="B11125" s="3" t="str">
        <f>HYPERLINK("https://www.773grp.com/manufacturer/national-semiconductor?pageNo=2", "National Semiconductor")</f>
        <v>National Semiconductor</v>
      </c>
      <c r="C11125" s="6">
        <v>575</v>
      </c>
      <c r="D11125" s="7">
        <v>30.38</v>
      </c>
    </row>
    <row r="11126" spans="1:5" x14ac:dyDescent="0.25">
      <c r="A11126" t="str">
        <f>HYPERLINK("https://www.773grp.com/globalSearch/9014DM/page-1", "9014DM")</f>
        <v>9014DM</v>
      </c>
      <c r="B11126" s="3" t="str">
        <f>HYPERLINK("https://www.773grp.com/manufacturer/national-semiconductor?pageNo=3", "National Semiconductor")</f>
        <v>National Semiconductor</v>
      </c>
      <c r="C11126" s="6">
        <v>4227</v>
      </c>
      <c r="D11126" s="7">
        <v>30.38</v>
      </c>
    </row>
    <row r="11127" spans="1:5" x14ac:dyDescent="0.25">
      <c r="A11127" t="str">
        <f>HYPERLINK("https://www.773grp.com/globalSearch/9016DM/page-1", "9016DM")</f>
        <v>9016DM</v>
      </c>
      <c r="B11127" s="3" t="str">
        <f>HYPERLINK("https://www.773grp.com/manufacturer/national-semiconductor?pageNo=4", "National Semiconductor")</f>
        <v>National Semiconductor</v>
      </c>
      <c r="C11127" s="6">
        <v>7625</v>
      </c>
      <c r="D11127" s="7">
        <v>30.38</v>
      </c>
      <c r="E11127" t="s">
        <v>31</v>
      </c>
    </row>
    <row r="11128" spans="1:5" x14ac:dyDescent="0.25">
      <c r="A11128" t="str">
        <f>HYPERLINK("https://www.773grp.com/globalSearch/ADC08038CMJ/page-1", "ADC08038CMJ")</f>
        <v>ADC08038CMJ</v>
      </c>
      <c r="B11128" s="3" t="str">
        <f>HYPERLINK("https://www.773grp.com/manufacturer/national-semiconductor?pageNo=5", "National Semiconductor")</f>
        <v>National Semiconductor</v>
      </c>
      <c r="C11128" s="6">
        <v>684</v>
      </c>
      <c r="D11128" s="7">
        <v>30.38</v>
      </c>
      <c r="E11128" t="s">
        <v>39</v>
      </c>
    </row>
    <row r="11129" spans="1:5" x14ac:dyDescent="0.25">
      <c r="A11129" t="str">
        <f>HYPERLINK("https://www.773grp.com/globalSearch/DS8908BN/page-1", "DS8908BN")</f>
        <v>DS8908BN</v>
      </c>
      <c r="B11129" s="3" t="str">
        <f>HYPERLINK("https://www.773grp.com/manufacturer/national-semiconductor?pageNo=6", "National Semiconductor")</f>
        <v>National Semiconductor</v>
      </c>
      <c r="C11129" s="6">
        <v>5605</v>
      </c>
      <c r="D11129" s="7">
        <v>30.38</v>
      </c>
      <c r="E11129" t="s">
        <v>38</v>
      </c>
    </row>
    <row r="11130" spans="1:5" x14ac:dyDescent="0.25">
      <c r="A11130" t="str">
        <f>HYPERLINK("https://www.773grp.com/globalSearch/JM38510-34001B2A/page-1", "JM38510-34001B2A")</f>
        <v>JM38510-34001B2A</v>
      </c>
      <c r="B11130" s="3" t="str">
        <f>HYPERLINK("https://www.773grp.com/manufacturer/national-semiconductor?pageNo=7", "National Semiconductor")</f>
        <v>National Semiconductor</v>
      </c>
      <c r="C11130" s="6">
        <v>1</v>
      </c>
      <c r="D11130" s="7">
        <v>30.38</v>
      </c>
      <c r="E11130" t="s">
        <v>31</v>
      </c>
    </row>
    <row r="11131" spans="1:5" x14ac:dyDescent="0.25">
      <c r="A11131" t="str">
        <f>HYPERLINK("https://www.773grp.com/globalSearch/ADC08200CIMT/page-1", "ADC08200CIMT")</f>
        <v>ADC08200CIMT</v>
      </c>
      <c r="B11131" s="3" t="str">
        <f>HYPERLINK("https://www.773grp.com/manufacturer/national-semiconductor?pageNo=8", "National Semiconductor")</f>
        <v>National Semiconductor</v>
      </c>
      <c r="C11131" s="6">
        <v>307</v>
      </c>
      <c r="D11131" s="7">
        <v>30.43</v>
      </c>
      <c r="E11131" t="s">
        <v>39</v>
      </c>
    </row>
    <row r="11132" spans="1:5" x14ac:dyDescent="0.25">
      <c r="A11132" t="str">
        <f>HYPERLINK("https://www.773grp.com/globalSearch/ADC12040CIVY-NOPB/page-1", "ADC12040CIVY-NOPB")</f>
        <v>ADC12040CIVY-NOPB</v>
      </c>
      <c r="B11132" s="3" t="str">
        <f>HYPERLINK("https://www.773grp.com/manufacturer/national-semiconductor?pageNo=9", "National Semiconductor")</f>
        <v>National Semiconductor</v>
      </c>
      <c r="C11132" s="6">
        <v>1</v>
      </c>
      <c r="D11132" s="7">
        <v>30.43</v>
      </c>
      <c r="E11132" t="s">
        <v>39</v>
      </c>
    </row>
    <row r="11133" spans="1:5" x14ac:dyDescent="0.25">
      <c r="A11133" t="str">
        <f>HYPERLINK("https://www.773grp.com/globalSearch/ADC08200CIMT/page-1", "ADC08200CIMT")</f>
        <v>ADC08200CIMT</v>
      </c>
      <c r="B11133" s="3" t="str">
        <f>HYPERLINK("https://www.773grp.com/manufacturer/national-semiconductor?pageNo=10", "National Semiconductor")</f>
        <v>National Semiconductor</v>
      </c>
      <c r="C11133" s="6">
        <v>8116</v>
      </c>
      <c r="D11133" s="7">
        <v>30.43</v>
      </c>
      <c r="E11133" t="s">
        <v>39</v>
      </c>
    </row>
    <row r="11134" spans="1:5" x14ac:dyDescent="0.25">
      <c r="A11134" t="str">
        <f>HYPERLINK("https://www.773grp.com/globalSearch/ADC12040CIVY-NOPB/page-1", "ADC12040CIVY-NOPB")</f>
        <v>ADC12040CIVY-NOPB</v>
      </c>
      <c r="B11134" s="3" t="str">
        <f>HYPERLINK("https://www.773grp.com/manufacturer/national-semiconductor?pageNo=11", "National Semiconductor")</f>
        <v>National Semiconductor</v>
      </c>
      <c r="C11134" s="6">
        <v>234</v>
      </c>
      <c r="D11134" s="7">
        <v>30.43</v>
      </c>
      <c r="E11134" t="s">
        <v>39</v>
      </c>
    </row>
    <row r="11135" spans="1:5" x14ac:dyDescent="0.25">
      <c r="A11135" t="str">
        <f>HYPERLINK("https://www.773grp.com/globalSearch/100183DCQR/page-1", "100183DCQR")</f>
        <v>100183DCQR</v>
      </c>
      <c r="B11135" s="3" t="str">
        <f>HYPERLINK("https://www.773grp.com/manufacturer/national-semiconductor?pageNo=12", "National Semiconductor")</f>
        <v>National Semiconductor</v>
      </c>
      <c r="C11135" s="6">
        <v>4484</v>
      </c>
      <c r="D11135" s="7">
        <v>30.46</v>
      </c>
      <c r="E11135" t="s">
        <v>43</v>
      </c>
    </row>
    <row r="11136" spans="1:5" x14ac:dyDescent="0.25">
      <c r="A11136" t="str">
        <f>HYPERLINK("https://www.773grp.com/globalSearch/LM34AH/page-1", "LM34AH")</f>
        <v>LM34AH</v>
      </c>
      <c r="B11136" s="3" t="str">
        <f>HYPERLINK("https://www.773grp.com/manufacturer/national-semiconductor?pageNo=13", "National Semiconductor")</f>
        <v>National Semiconductor</v>
      </c>
      <c r="C11136" s="6">
        <v>1298</v>
      </c>
      <c r="D11136" s="7">
        <v>30.51</v>
      </c>
      <c r="E11136" t="s">
        <v>8</v>
      </c>
    </row>
    <row r="11137" spans="1:5" x14ac:dyDescent="0.25">
      <c r="A11137" t="str">
        <f>HYPERLINK("https://www.773grp.com/globalSearch/LM34AH-NOPB/page-1", "LM34AH-NOPB")</f>
        <v>LM34AH-NOPB</v>
      </c>
      <c r="B11137" s="3" t="str">
        <f>HYPERLINK("https://www.773grp.com/manufacturer/national-semiconductor?pageNo=14", "National Semiconductor")</f>
        <v>National Semiconductor</v>
      </c>
      <c r="C11137" s="6">
        <v>100</v>
      </c>
      <c r="D11137" s="7">
        <v>30.51</v>
      </c>
      <c r="E11137" t="s">
        <v>8</v>
      </c>
    </row>
    <row r="11138" spans="1:5" x14ac:dyDescent="0.25">
      <c r="A11138" t="str">
        <f>HYPERLINK("https://www.773grp.com/globalSearch/LM34AH/page-1", "LM34AH")</f>
        <v>LM34AH</v>
      </c>
      <c r="B11138" s="3" t="str">
        <f>HYPERLINK("https://www.773grp.com/manufacturer/national-semiconductor?pageNo=15", "National Semiconductor")</f>
        <v>National Semiconductor</v>
      </c>
      <c r="C11138" s="6">
        <v>33</v>
      </c>
      <c r="D11138" s="7">
        <v>30.51</v>
      </c>
      <c r="E11138" t="s">
        <v>8</v>
      </c>
    </row>
    <row r="11139" spans="1:5" x14ac:dyDescent="0.25">
      <c r="A11139" t="str">
        <f>HYPERLINK("https://www.773grp.com/globalSearch/LM34CAH/page-1", "LM34CAH")</f>
        <v>LM34CAH</v>
      </c>
      <c r="B11139" s="3" t="str">
        <f>HYPERLINK("https://www.773grp.com/manufacturer/national-semiconductor?pageNo=16", "National Semiconductor")</f>
        <v>National Semiconductor</v>
      </c>
      <c r="C11139" s="6">
        <v>1166</v>
      </c>
      <c r="D11139" s="7">
        <v>30.51</v>
      </c>
    </row>
    <row r="11140" spans="1:5" x14ac:dyDescent="0.25">
      <c r="A11140" t="str">
        <f>HYPERLINK("https://www.773grp.com/globalSearch/LMZ12001EXTTZE-NOPB/page-1", "LMZ12001EXTTZE-NOPB")</f>
        <v>LMZ12001EXTTZE-NOPB</v>
      </c>
      <c r="B11140" s="3" t="str">
        <f>HYPERLINK("https://www.773grp.com/manufacturer/national-semiconductor?pageNo=17", "National Semiconductor")</f>
        <v>National Semiconductor</v>
      </c>
      <c r="C11140" s="6">
        <v>5</v>
      </c>
      <c r="D11140" s="7">
        <v>30.55</v>
      </c>
    </row>
    <row r="11141" spans="1:5" x14ac:dyDescent="0.25">
      <c r="A11141" t="str">
        <f>HYPERLINK("https://www.773grp.com/globalSearch/LMD18201T/page-1", "LMD18201T")</f>
        <v>LMD18201T</v>
      </c>
      <c r="B11141" s="3" t="str">
        <f>HYPERLINK("https://www.773grp.com/manufacturer/national-semiconductor?pageNo=18", "National Semiconductor")</f>
        <v>National Semiconductor</v>
      </c>
      <c r="C11141" s="6">
        <v>868</v>
      </c>
      <c r="D11141" s="7">
        <v>30.58</v>
      </c>
      <c r="E11141" t="s">
        <v>11</v>
      </c>
    </row>
    <row r="11142" spans="1:5" x14ac:dyDescent="0.25">
      <c r="A11142" t="str">
        <f>HYPERLINK("https://www.773grp.com/globalSearch/DS100BR410SQE-NOPB/page-1", "DS100BR410SQE-NOPB")</f>
        <v>DS100BR410SQE-NOPB</v>
      </c>
      <c r="B11142" s="3" t="str">
        <f>HYPERLINK("https://www.773grp.com/manufacturer/national-semiconductor?pageNo=19", "National Semiconductor")</f>
        <v>National Semiconductor</v>
      </c>
      <c r="C11142" s="6">
        <v>3250</v>
      </c>
      <c r="D11142" s="7">
        <v>30.58</v>
      </c>
    </row>
    <row r="11143" spans="1:5" x14ac:dyDescent="0.25">
      <c r="A11143" t="str">
        <f>HYPERLINK("https://www.773grp.com/globalSearch/54F651SDMQB/page-1", "54F651SDMQB")</f>
        <v>54F651SDMQB</v>
      </c>
      <c r="B11143" s="3" t="str">
        <f>HYPERLINK("https://www.773grp.com/manufacturer/national-semiconductor?pageNo=20", "National Semiconductor")</f>
        <v>National Semiconductor</v>
      </c>
      <c r="C11143" s="6">
        <v>869</v>
      </c>
      <c r="D11143" s="7">
        <v>30.6</v>
      </c>
      <c r="E11143" t="s">
        <v>14</v>
      </c>
    </row>
    <row r="11144" spans="1:5" x14ac:dyDescent="0.25">
      <c r="A11144" t="str">
        <f>HYPERLINK("https://www.773grp.com/globalSearch/54F652SDM/page-1", "54F652SDM")</f>
        <v>54F652SDM</v>
      </c>
      <c r="B11144" s="3" t="str">
        <f>HYPERLINK("https://www.773grp.com/manufacturer/national-semiconductor?pageNo=21", "National Semiconductor")</f>
        <v>National Semiconductor</v>
      </c>
      <c r="C11144" s="6">
        <v>451</v>
      </c>
      <c r="D11144" s="7">
        <v>30.6</v>
      </c>
      <c r="E11144" t="s">
        <v>14</v>
      </c>
    </row>
    <row r="11145" spans="1:5" x14ac:dyDescent="0.25">
      <c r="A11145" t="str">
        <f>HYPERLINK("https://www.773grp.com/globalSearch/9310DM/page-1", "9310DM")</f>
        <v>9310DM</v>
      </c>
      <c r="B11145" s="3" t="str">
        <f>HYPERLINK("https://www.773grp.com/manufacturer/national-semiconductor?pageNo=22", "National Semiconductor")</f>
        <v>National Semiconductor</v>
      </c>
      <c r="C11145" s="6">
        <v>574</v>
      </c>
      <c r="D11145" s="7">
        <v>30.6</v>
      </c>
    </row>
    <row r="11146" spans="1:5" x14ac:dyDescent="0.25">
      <c r="A11146" t="str">
        <f>HYPERLINK("https://www.773grp.com/globalSearch/COP8CBR9IMT8/page-1", "COP8CBR9IMT8")</f>
        <v>COP8CBR9IMT8</v>
      </c>
      <c r="B11146" s="3" t="str">
        <f>HYPERLINK("https://www.773grp.com/manufacturer/national-semiconductor?pageNo=23", "National Semiconductor")</f>
        <v>National Semiconductor</v>
      </c>
      <c r="C11146" s="6">
        <v>63</v>
      </c>
      <c r="D11146" s="7">
        <v>30.63</v>
      </c>
      <c r="E11146" t="s">
        <v>52</v>
      </c>
    </row>
    <row r="11147" spans="1:5" x14ac:dyDescent="0.25">
      <c r="A11147" t="str">
        <f>HYPERLINK("https://www.773grp.com/globalSearch/COP8CBR9IMT8-NOPB/page-1", "COP8CBR9IMT8-NOPB")</f>
        <v>COP8CBR9IMT8-NOPB</v>
      </c>
      <c r="B11147" s="3" t="str">
        <f>HYPERLINK("https://www.773grp.com/manufacturer/national-semiconductor?pageNo=24", "National Semiconductor")</f>
        <v>National Semiconductor</v>
      </c>
      <c r="C11147" s="6">
        <v>45</v>
      </c>
      <c r="D11147" s="7">
        <v>30.63</v>
      </c>
      <c r="E11147" t="s">
        <v>52</v>
      </c>
    </row>
    <row r="11148" spans="1:5" x14ac:dyDescent="0.25">
      <c r="A11148" t="str">
        <f>HYPERLINK("https://www.773grp.com/globalSearch/COP8SCR9LVA8/page-1", "COP8SCR9LVA8")</f>
        <v>COP8SCR9LVA8</v>
      </c>
      <c r="B11148" s="3" t="str">
        <f>HYPERLINK("https://www.773grp.com/manufacturer/national-semiconductor?pageNo=25", "National Semiconductor")</f>
        <v>National Semiconductor</v>
      </c>
      <c r="C11148" s="6">
        <v>54</v>
      </c>
      <c r="D11148" s="7">
        <v>30.63</v>
      </c>
      <c r="E11148" t="s">
        <v>52</v>
      </c>
    </row>
    <row r="11149" spans="1:5" x14ac:dyDescent="0.25">
      <c r="A11149" t="str">
        <f>HYPERLINK("https://www.773grp.com/globalSearch/COP8SDR9HVA8-63SN/page-1", "COP8SDR9HVA8-63SN")</f>
        <v>COP8SDR9HVA8-63SN</v>
      </c>
      <c r="B11149" s="3" t="str">
        <f>HYPERLINK("https://www.773grp.com/manufacturer/national-semiconductor?pageNo=26", "National Semiconductor")</f>
        <v>National Semiconductor</v>
      </c>
      <c r="C11149" s="6">
        <v>1500</v>
      </c>
      <c r="D11149" s="7">
        <v>30.63</v>
      </c>
    </row>
    <row r="11150" spans="1:5" x14ac:dyDescent="0.25">
      <c r="A11150" t="str">
        <f>HYPERLINK("https://www.773grp.com/globalSearch/DM5497J-883/page-1", "DM5497J-883")</f>
        <v>DM5497J-883</v>
      </c>
      <c r="B11150" s="3" t="str">
        <f>HYPERLINK("https://www.773grp.com/manufacturer/national-semiconductor?pageNo=27", "National Semiconductor")</f>
        <v>National Semiconductor</v>
      </c>
      <c r="C11150" s="6">
        <v>164</v>
      </c>
      <c r="D11150" s="7">
        <v>30.66</v>
      </c>
    </row>
    <row r="11151" spans="1:5" x14ac:dyDescent="0.25">
      <c r="A11151" t="str">
        <f>HYPERLINK("https://www.773grp.com/globalSearch/LMK03000CISQ/page-1", "LMK03000CISQ")</f>
        <v>LMK03000CISQ</v>
      </c>
      <c r="B11151" s="3" t="str">
        <f>HYPERLINK("https://www.773grp.com/manufacturer/national-semiconductor?pageNo=28", "National Semiconductor")</f>
        <v>National Semiconductor</v>
      </c>
      <c r="C11151" s="6">
        <v>14</v>
      </c>
      <c r="D11151" s="7">
        <v>30.66</v>
      </c>
      <c r="E11151" t="s">
        <v>79</v>
      </c>
    </row>
    <row r="11152" spans="1:5" x14ac:dyDescent="0.25">
      <c r="A11152" t="str">
        <f>HYPERLINK("https://www.773grp.com/globalSearch/LMK03001CISQ/page-1", "LMK03001CISQ")</f>
        <v>LMK03001CISQ</v>
      </c>
      <c r="B11152" s="3" t="str">
        <f>HYPERLINK("https://www.773grp.com/manufacturer/national-semiconductor?pageNo=29", "National Semiconductor")</f>
        <v>National Semiconductor</v>
      </c>
      <c r="C11152" s="6">
        <v>200</v>
      </c>
      <c r="D11152" s="7">
        <v>30.66</v>
      </c>
      <c r="E11152" t="s">
        <v>79</v>
      </c>
    </row>
    <row r="11153" spans="1:5" x14ac:dyDescent="0.25">
      <c r="A11153" t="str">
        <f>HYPERLINK("https://www.773grp.com/globalSearch/LMK03001CISQ-J7002618/page-1", "LMK03001CISQ-J7002618")</f>
        <v>LMK03001CISQ-J7002618</v>
      </c>
      <c r="B11153" s="3" t="str">
        <f>HYPERLINK("https://www.773grp.com/manufacturer/national-semiconductor?pageNo=30", "National Semiconductor")</f>
        <v>National Semiconductor</v>
      </c>
      <c r="C11153" s="6">
        <v>1750</v>
      </c>
      <c r="D11153" s="7">
        <v>30.66</v>
      </c>
    </row>
    <row r="11154" spans="1:5" x14ac:dyDescent="0.25">
      <c r="A11154" t="str">
        <f>HYPERLINK("https://www.773grp.com/globalSearch/LMK03000CISQ/page-1", "LMK03000CISQ")</f>
        <v>LMK03000CISQ</v>
      </c>
      <c r="B11154" s="3" t="str">
        <f>HYPERLINK("https://www.773grp.com/manufacturer/national-semiconductor?pageNo=31", "National Semiconductor")</f>
        <v>National Semiconductor</v>
      </c>
      <c r="C11154" s="6">
        <v>41</v>
      </c>
      <c r="D11154" s="7">
        <v>30.66</v>
      </c>
      <c r="E11154" t="s">
        <v>79</v>
      </c>
    </row>
    <row r="11155" spans="1:5" x14ac:dyDescent="0.25">
      <c r="A11155" t="str">
        <f>HYPERLINK("https://www.773grp.com/globalSearch/LMK03001CISQ/page-1", "LMK03001CISQ")</f>
        <v>LMK03001CISQ</v>
      </c>
      <c r="B11155" s="3" t="str">
        <f>HYPERLINK("https://www.773grp.com/manufacturer/national-semiconductor?pageNo=32", "National Semiconductor")</f>
        <v>National Semiconductor</v>
      </c>
      <c r="C11155" s="6">
        <v>25</v>
      </c>
      <c r="D11155" s="7">
        <v>30.66</v>
      </c>
      <c r="E11155" t="s">
        <v>79</v>
      </c>
    </row>
    <row r="11156" spans="1:5" x14ac:dyDescent="0.25">
      <c r="A11156" t="str">
        <f>HYPERLINK("https://www.773grp.com/globalSearch/LMK03001CISQ-J7002618/page-1", "LMK03001CISQ-J7002618")</f>
        <v>LMK03001CISQ-J7002618</v>
      </c>
      <c r="B11156" s="3" t="str">
        <f>HYPERLINK("https://www.773grp.com/manufacturer/national-semiconductor?pageNo=33", "National Semiconductor")</f>
        <v>National Semiconductor</v>
      </c>
      <c r="C11156" s="6">
        <v>9000</v>
      </c>
      <c r="D11156" s="7">
        <v>30.66</v>
      </c>
    </row>
    <row r="11157" spans="1:5" x14ac:dyDescent="0.25">
      <c r="A11157" t="str">
        <f>HYPERLINK("https://www.773grp.com/globalSearch/5421FM/page-1", "5421FM")</f>
        <v>5421FM</v>
      </c>
      <c r="B11157" s="3" t="str">
        <f>HYPERLINK("https://www.773grp.com/manufacturer/national-semiconductor?pageNo=34", "National Semiconductor")</f>
        <v>National Semiconductor</v>
      </c>
      <c r="C11157" s="6">
        <v>190</v>
      </c>
      <c r="D11157" s="7">
        <v>30.8</v>
      </c>
    </row>
    <row r="11158" spans="1:5" x14ac:dyDescent="0.25">
      <c r="A11158" t="str">
        <f>HYPERLINK("https://www.773grp.com/globalSearch/9012FM/page-1", "9012FM")</f>
        <v>9012FM</v>
      </c>
      <c r="B11158" s="3" t="str">
        <f>HYPERLINK("https://www.773grp.com/manufacturer/national-semiconductor?pageNo=35", "National Semiconductor")</f>
        <v>National Semiconductor</v>
      </c>
      <c r="C11158" s="6">
        <v>424</v>
      </c>
      <c r="D11158" s="7">
        <v>30.8</v>
      </c>
      <c r="E11158" t="s">
        <v>31</v>
      </c>
    </row>
    <row r="11159" spans="1:5" x14ac:dyDescent="0.25">
      <c r="A11159" t="str">
        <f>HYPERLINK("https://www.773grp.com/globalSearch/9111DM/page-1", "9111DM")</f>
        <v>9111DM</v>
      </c>
      <c r="B11159" s="3" t="str">
        <f>HYPERLINK("https://www.773grp.com/manufacturer/national-semiconductor?pageNo=36", "National Semiconductor")</f>
        <v>National Semiconductor</v>
      </c>
      <c r="C11159" s="6">
        <v>2121</v>
      </c>
      <c r="D11159" s="7">
        <v>30.8</v>
      </c>
    </row>
    <row r="11160" spans="1:5" x14ac:dyDescent="0.25">
      <c r="A11160" t="str">
        <f>HYPERLINK("https://www.773grp.com/globalSearch/9348FMQB/page-1", "9348FMQB")</f>
        <v>9348FMQB</v>
      </c>
      <c r="B11160" s="3" t="str">
        <f>HYPERLINK("https://www.773grp.com/manufacturer/national-semiconductor?pageNo=37", "National Semiconductor")</f>
        <v>National Semiconductor</v>
      </c>
      <c r="C11160" s="6">
        <v>276</v>
      </c>
      <c r="D11160" s="7">
        <v>30.83</v>
      </c>
      <c r="E11160" t="s">
        <v>43</v>
      </c>
    </row>
    <row r="11161" spans="1:5" x14ac:dyDescent="0.25">
      <c r="A11161" t="str">
        <f>HYPERLINK("https://www.773grp.com/globalSearch/9348FM/page-1", "9348FM")</f>
        <v>9348FM</v>
      </c>
      <c r="B11161" s="3" t="str">
        <f>HYPERLINK("https://www.773grp.com/manufacturer/national-semiconductor?pageNo=38", "National Semiconductor")</f>
        <v>National Semiconductor</v>
      </c>
      <c r="C11161" s="6">
        <v>66</v>
      </c>
      <c r="D11161" s="7">
        <v>30.85</v>
      </c>
    </row>
    <row r="11162" spans="1:5" x14ac:dyDescent="0.25">
      <c r="A11162" t="str">
        <f>HYPERLINK("https://www.773grp.com/globalSearch/949FMQB/page-1", "949FMQB")</f>
        <v>949FMQB</v>
      </c>
      <c r="B11162" s="3" t="str">
        <f>HYPERLINK("https://www.773grp.com/manufacturer/national-semiconductor?pageNo=39", "National Semiconductor")</f>
        <v>National Semiconductor</v>
      </c>
      <c r="C11162" s="6">
        <v>860</v>
      </c>
      <c r="D11162" s="7">
        <v>30.94</v>
      </c>
    </row>
    <row r="11163" spans="1:5" x14ac:dyDescent="0.25">
      <c r="A11163" t="str">
        <f>HYPERLINK("https://www.773grp.com/globalSearch/DM54S161W-883/page-1", "DM54S161W-883")</f>
        <v>DM54S161W-883</v>
      </c>
      <c r="B11163" s="3" t="str">
        <f>HYPERLINK("https://www.773grp.com/manufacturer/national-semiconductor?pageNo=40", "National Semiconductor")</f>
        <v>National Semiconductor</v>
      </c>
      <c r="C11163" s="6">
        <v>62</v>
      </c>
      <c r="D11163" s="7">
        <v>30.94</v>
      </c>
      <c r="E11163" t="s">
        <v>26</v>
      </c>
    </row>
    <row r="11164" spans="1:5" x14ac:dyDescent="0.25">
      <c r="A11164" t="str">
        <f>HYPERLINK("https://www.773grp.com/globalSearch/DS90CR484VJDX-NOPB/page-1", "DS90CR484VJDX-NOPB")</f>
        <v>DS90CR484VJDX-NOPB</v>
      </c>
      <c r="B11164" s="3" t="str">
        <f>HYPERLINK("https://www.773grp.com/manufacturer/national-semiconductor?pageNo=41", "National Semiconductor")</f>
        <v>National Semiconductor</v>
      </c>
      <c r="C11164" s="6">
        <v>1000</v>
      </c>
      <c r="D11164" s="7">
        <v>30.94</v>
      </c>
      <c r="E11164" t="s">
        <v>21</v>
      </c>
    </row>
    <row r="11165" spans="1:5" x14ac:dyDescent="0.25">
      <c r="A11165" t="str">
        <f>HYPERLINK("https://www.773grp.com/globalSearch/DS90CR484VJDX-NOPB/page-1", "DS90CR484VJDX-NOPB")</f>
        <v>DS90CR484VJDX-NOPB</v>
      </c>
      <c r="B11165" s="3" t="str">
        <f>HYPERLINK("https://www.773grp.com/manufacturer/national-semiconductor?pageNo=42", "National Semiconductor")</f>
        <v>National Semiconductor</v>
      </c>
      <c r="C11165" s="6">
        <v>2000</v>
      </c>
      <c r="D11165" s="7">
        <v>30.94</v>
      </c>
      <c r="E11165" t="s">
        <v>21</v>
      </c>
    </row>
    <row r="11166" spans="1:5" x14ac:dyDescent="0.25">
      <c r="A11166" t="str">
        <f>HYPERLINK("https://www.773grp.com/globalSearch/MM54C83W-883C/page-1", "MM54C83W-883C")</f>
        <v>MM54C83W-883C</v>
      </c>
      <c r="B11166" s="3" t="str">
        <f>HYPERLINK("https://www.773grp.com/manufacturer/national-semiconductor?pageNo=43", "National Semiconductor")</f>
        <v>National Semiconductor</v>
      </c>
      <c r="C11166" s="6">
        <v>30</v>
      </c>
      <c r="D11166" s="7">
        <v>31.09</v>
      </c>
    </row>
    <row r="11167" spans="1:5" x14ac:dyDescent="0.25">
      <c r="A11167" t="str">
        <f>HYPERLINK("https://www.773grp.com/globalSearch/54F181SDMQB/page-1", "54F181SDMQB")</f>
        <v>54F181SDMQB</v>
      </c>
      <c r="B11167" s="3" t="str">
        <f>HYPERLINK("https://www.773grp.com/manufacturer/national-semiconductor?pageNo=44", "National Semiconductor")</f>
        <v>National Semiconductor</v>
      </c>
      <c r="C11167" s="6">
        <v>9</v>
      </c>
      <c r="D11167" s="7">
        <v>31.19</v>
      </c>
      <c r="E11167" t="s">
        <v>43</v>
      </c>
    </row>
    <row r="11168" spans="1:5" x14ac:dyDescent="0.25">
      <c r="A11168" t="str">
        <f>HYPERLINK("https://www.773grp.com/globalSearch/54LCX245J-QML/page-1", "54LCX245J-QML")</f>
        <v>54LCX245J-QML</v>
      </c>
      <c r="B11168" s="3" t="str">
        <f>HYPERLINK("https://www.773grp.com/manufacturer/national-semiconductor?pageNo=45", "National Semiconductor")</f>
        <v>National Semiconductor</v>
      </c>
      <c r="C11168" s="6">
        <v>171</v>
      </c>
      <c r="D11168" s="7">
        <v>31.23</v>
      </c>
      <c r="E11168" t="s">
        <v>14</v>
      </c>
    </row>
    <row r="11169" spans="1:5" x14ac:dyDescent="0.25">
      <c r="A11169" t="str">
        <f>HYPERLINK("https://www.773grp.com/globalSearch/DM7845W-MIL/page-1", "DM7845W-MIL")</f>
        <v>DM7845W-MIL</v>
      </c>
      <c r="B11169" s="3" t="str">
        <f>HYPERLINK("https://www.773grp.com/manufacturer/national-semiconductor?pageNo=46", "National Semiconductor")</f>
        <v>National Semiconductor</v>
      </c>
      <c r="C11169" s="6">
        <v>14</v>
      </c>
      <c r="D11169" s="7">
        <v>31.23</v>
      </c>
    </row>
    <row r="11170" spans="1:5" x14ac:dyDescent="0.25">
      <c r="A11170" t="str">
        <f>HYPERLINK("https://www.773grp.com/globalSearch/MM54HC109E-883/page-1", "MM54HC109E-883")</f>
        <v>MM54HC109E-883</v>
      </c>
      <c r="B11170" s="3" t="str">
        <f>HYPERLINK("https://www.773grp.com/manufacturer/national-semiconductor?pageNo=47", "National Semiconductor")</f>
        <v>National Semiconductor</v>
      </c>
      <c r="C11170" s="6">
        <v>167</v>
      </c>
      <c r="D11170" s="7">
        <v>31.23</v>
      </c>
    </row>
    <row r="11171" spans="1:5" x14ac:dyDescent="0.25">
      <c r="A11171" t="str">
        <f>HYPERLINK("https://www.773grp.com/globalSearch/DS90CR485VS-NOPB/page-1", "DS90CR485VS-NOPB")</f>
        <v>DS90CR485VS-NOPB</v>
      </c>
      <c r="B11171" s="3" t="str">
        <f>HYPERLINK("https://www.773grp.com/manufacturer/national-semiconductor?pageNo=48", "National Semiconductor")</f>
        <v>National Semiconductor</v>
      </c>
      <c r="C11171" s="6">
        <v>680</v>
      </c>
      <c r="D11171" s="7">
        <v>31.34</v>
      </c>
      <c r="E11171" t="s">
        <v>21</v>
      </c>
    </row>
    <row r="11172" spans="1:5" x14ac:dyDescent="0.25">
      <c r="A11172" t="str">
        <f>HYPERLINK("https://www.773grp.com/globalSearch/DS90CR486VS-NOPB/page-1", "DS90CR486VS-NOPB")</f>
        <v>DS90CR486VS-NOPB</v>
      </c>
      <c r="B11172" s="3" t="str">
        <f>HYPERLINK("https://www.773grp.com/manufacturer/national-semiconductor?pageNo=49", "National Semiconductor")</f>
        <v>National Semiconductor</v>
      </c>
      <c r="C11172" s="6">
        <v>1181</v>
      </c>
      <c r="D11172" s="7">
        <v>31.34</v>
      </c>
      <c r="E11172" t="s">
        <v>21</v>
      </c>
    </row>
    <row r="11173" spans="1:5" x14ac:dyDescent="0.25">
      <c r="A11173" t="str">
        <f>HYPERLINK("https://www.773grp.com/globalSearch/LM741H-883/page-1", "LM741H-883")</f>
        <v>LM741H-883</v>
      </c>
      <c r="B11173" s="3" t="str">
        <f>HYPERLINK("https://www.773grp.com/manufacturer/national-semiconductor?pageNo=50", "National Semiconductor")</f>
        <v>National Semiconductor</v>
      </c>
      <c r="C11173" s="6">
        <v>667</v>
      </c>
      <c r="D11173" s="7">
        <v>31.34</v>
      </c>
      <c r="E11173" t="s">
        <v>13</v>
      </c>
    </row>
    <row r="11174" spans="1:5" x14ac:dyDescent="0.25">
      <c r="A11174" t="str">
        <f>HYPERLINK("https://www.773grp.com/globalSearch/DS90CR485VS-NOPB/page-1", "DS90CR485VS-NOPB")</f>
        <v>DS90CR485VS-NOPB</v>
      </c>
      <c r="B11174" s="3" t="str">
        <f>HYPERLINK("https://www.773grp.com/manufacturer/national-semiconductor?pageNo=51", "National Semiconductor")</f>
        <v>National Semiconductor</v>
      </c>
      <c r="C11174" s="6">
        <v>1575</v>
      </c>
      <c r="D11174" s="7">
        <v>31.34</v>
      </c>
      <c r="E11174" t="s">
        <v>21</v>
      </c>
    </row>
    <row r="11175" spans="1:5" x14ac:dyDescent="0.25">
      <c r="A11175" t="str">
        <f>HYPERLINK("https://www.773grp.com/globalSearch/DS90CR486VS-NOPB/page-1", "DS90CR486VS-NOPB")</f>
        <v>DS90CR486VS-NOPB</v>
      </c>
      <c r="B11175" s="3" t="str">
        <f>HYPERLINK("https://www.773grp.com/manufacturer/national-semiconductor?pageNo=52", "National Semiconductor")</f>
        <v>National Semiconductor</v>
      </c>
      <c r="C11175" s="6">
        <v>175</v>
      </c>
      <c r="D11175" s="7">
        <v>31.34</v>
      </c>
      <c r="E11175" t="s">
        <v>21</v>
      </c>
    </row>
    <row r="11176" spans="1:5" x14ac:dyDescent="0.25">
      <c r="A11176" t="str">
        <f>HYPERLINK("https://www.773grp.com/globalSearch/DP83815DUJB/page-1", "DP83815DUJB")</f>
        <v>DP83815DUJB</v>
      </c>
      <c r="B11176" s="3" t="str">
        <f>HYPERLINK("https://www.773grp.com/manufacturer/national-semiconductor?pageNo=53", "National Semiconductor")</f>
        <v>National Semiconductor</v>
      </c>
      <c r="C11176" s="6">
        <v>396</v>
      </c>
      <c r="D11176" s="7">
        <v>31.35</v>
      </c>
      <c r="E11176" t="s">
        <v>71</v>
      </c>
    </row>
    <row r="11177" spans="1:5" x14ac:dyDescent="0.25">
      <c r="A11177" t="str">
        <f>HYPERLINK("https://www.773grp.com/globalSearch/DP83815DUJB/page-1", "DP83815DUJB")</f>
        <v>DP83815DUJB</v>
      </c>
      <c r="B11177" s="3" t="str">
        <f>HYPERLINK("https://www.773grp.com/manufacturer/national-semiconductor?pageNo=54", "National Semiconductor")</f>
        <v>National Semiconductor</v>
      </c>
      <c r="C11177" s="6">
        <v>608</v>
      </c>
      <c r="D11177" s="7">
        <v>31.35</v>
      </c>
      <c r="E11177" t="s">
        <v>71</v>
      </c>
    </row>
    <row r="11178" spans="1:5" x14ac:dyDescent="0.25">
      <c r="A11178" t="str">
        <f>HYPERLINK("https://www.773grp.com/globalSearch/DSD1794ADBR/page-1", "DSD1794ADBR")</f>
        <v>DSD1794ADBR</v>
      </c>
      <c r="B11178" s="3" t="str">
        <f>HYPERLINK("https://www.773grp.com/manufacturer/national-semiconductor?pageNo=55", "National Semiconductor")</f>
        <v>National Semiconductor</v>
      </c>
      <c r="C11178" s="6">
        <v>1992</v>
      </c>
      <c r="D11178" s="7">
        <v>31.44</v>
      </c>
    </row>
    <row r="11179" spans="1:5" x14ac:dyDescent="0.25">
      <c r="A11179" t="str">
        <f>HYPERLINK("https://www.773grp.com/globalSearch/CP3BT13K38/page-1", "CP3BT13K38")</f>
        <v>CP3BT13K38</v>
      </c>
      <c r="B11179" s="3" t="str">
        <f>HYPERLINK("https://www.773grp.com/manufacturer/national-semiconductor?pageNo=56", "National Semiconductor")</f>
        <v>National Semiconductor</v>
      </c>
      <c r="C11179" s="6">
        <v>17</v>
      </c>
      <c r="D11179" s="7">
        <v>31.5</v>
      </c>
    </row>
    <row r="11180" spans="1:5" x14ac:dyDescent="0.25">
      <c r="A11180" t="str">
        <f>HYPERLINK("https://www.773grp.com/globalSearch/DP8459V-10/page-1", "DP8459V-10")</f>
        <v>DP8459V-10</v>
      </c>
      <c r="B11180" s="3" t="str">
        <f>HYPERLINK("https://www.773grp.com/manufacturer/national-semiconductor?pageNo=57", "National Semiconductor")</f>
        <v>National Semiconductor</v>
      </c>
      <c r="C11180" s="6">
        <v>1780</v>
      </c>
      <c r="D11180" s="7">
        <v>31.5</v>
      </c>
      <c r="E11180" t="s">
        <v>77</v>
      </c>
    </row>
    <row r="11181" spans="1:5" x14ac:dyDescent="0.25">
      <c r="A11181" t="str">
        <f>HYPERLINK("https://www.773grp.com/globalSearch/DP8459V-25/page-1", "DP8459V-25")</f>
        <v>DP8459V-25</v>
      </c>
      <c r="B11181" s="3" t="str">
        <f>HYPERLINK("https://www.773grp.com/manufacturer/national-semiconductor?pageNo=58", "National Semiconductor")</f>
        <v>National Semiconductor</v>
      </c>
      <c r="C11181" s="6">
        <v>15936</v>
      </c>
      <c r="D11181" s="7">
        <v>31.5</v>
      </c>
      <c r="E11181" t="s">
        <v>77</v>
      </c>
    </row>
    <row r="11182" spans="1:5" x14ac:dyDescent="0.25">
      <c r="A11182" t="str">
        <f>HYPERLINK("https://www.773grp.com/globalSearch/JD54LS86B2A/page-1", "JD54LS86B2A")</f>
        <v>JD54LS86B2A</v>
      </c>
      <c r="B11182" s="3" t="str">
        <f>HYPERLINK("https://www.773grp.com/manufacturer/national-semiconductor?pageNo=59", "National Semiconductor")</f>
        <v>National Semiconductor</v>
      </c>
      <c r="C11182" s="6">
        <v>28</v>
      </c>
      <c r="D11182" s="7">
        <v>31.5</v>
      </c>
    </row>
    <row r="11183" spans="1:5" x14ac:dyDescent="0.25">
      <c r="A11183" t="str">
        <f>HYPERLINK("https://www.773grp.com/globalSearch/54S04DM/page-1", "54S04DM")</f>
        <v>54S04DM</v>
      </c>
      <c r="B11183" s="3" t="str">
        <f>HYPERLINK("https://www.773grp.com/manufacturer/national-semiconductor?pageNo=60", "National Semiconductor")</f>
        <v>National Semiconductor</v>
      </c>
      <c r="C11183" s="6">
        <v>82760</v>
      </c>
      <c r="D11183" s="7">
        <v>31.53</v>
      </c>
      <c r="E11183" t="s">
        <v>31</v>
      </c>
    </row>
    <row r="11184" spans="1:5" x14ac:dyDescent="0.25">
      <c r="A11184" t="str">
        <f>HYPERLINK("https://www.773grp.com/globalSearch/9601FM/page-1", "9601FM")</f>
        <v>9601FM</v>
      </c>
      <c r="B11184" s="3" t="str">
        <f>HYPERLINK("https://www.773grp.com/manufacturer/national-semiconductor?pageNo=61", "National Semiconductor")</f>
        <v>National Semiconductor</v>
      </c>
      <c r="C11184" s="6">
        <v>327</v>
      </c>
      <c r="D11184" s="7">
        <v>31.64</v>
      </c>
    </row>
    <row r="11185" spans="1:5" x14ac:dyDescent="0.25">
      <c r="A11185" t="str">
        <f>HYPERLINK("https://www.773grp.com/globalSearch/DP83843BVJE-NOPB/page-1", "DP83843BVJE-NOPB")</f>
        <v>DP83843BVJE-NOPB</v>
      </c>
      <c r="B11185" s="3" t="str">
        <f>HYPERLINK("https://www.773grp.com/manufacturer/national-semiconductor?pageNo=62", "National Semiconductor")</f>
        <v>National Semiconductor</v>
      </c>
      <c r="C11185" s="6">
        <v>8211</v>
      </c>
      <c r="D11185" s="7">
        <v>31.64</v>
      </c>
      <c r="E11185" t="s">
        <v>71</v>
      </c>
    </row>
    <row r="11186" spans="1:5" x14ac:dyDescent="0.25">
      <c r="A11186" t="str">
        <f>HYPERLINK("https://www.773grp.com/globalSearch/DS96F174MJ-MSP/page-1", "DS96F174MJ-MSP")</f>
        <v>DS96F174MJ-MSP</v>
      </c>
      <c r="B11186" s="3" t="str">
        <f>HYPERLINK("https://www.773grp.com/manufacturer/national-semiconductor?pageNo=63", "National Semiconductor")</f>
        <v>National Semiconductor</v>
      </c>
      <c r="C11186" s="6">
        <v>198</v>
      </c>
      <c r="D11186" s="7">
        <v>31.64</v>
      </c>
    </row>
    <row r="11187" spans="1:5" x14ac:dyDescent="0.25">
      <c r="A11187" t="str">
        <f>HYPERLINK("https://www.773grp.com/globalSearch/DAC7741YB-250/page-1", "DAC7741YB-250")</f>
        <v>DAC7741YB-250</v>
      </c>
      <c r="B11187" s="3" t="str">
        <f>HYPERLINK("https://www.773grp.com/manufacturer/national-semiconductor?pageNo=64", "National Semiconductor")</f>
        <v>National Semiconductor</v>
      </c>
      <c r="C11187" s="6">
        <v>250</v>
      </c>
      <c r="D11187" s="7">
        <v>31.64</v>
      </c>
    </row>
    <row r="11188" spans="1:5" x14ac:dyDescent="0.25">
      <c r="A11188" t="str">
        <f>HYPERLINK("https://www.773grp.com/globalSearch/DP83843BVJE-NOPB/page-1", "DP83843BVJE-NOPB")</f>
        <v>DP83843BVJE-NOPB</v>
      </c>
      <c r="B11188" s="3" t="str">
        <f>HYPERLINK("https://www.773grp.com/manufacturer/national-semiconductor?pageNo=65", "National Semiconductor")</f>
        <v>National Semiconductor</v>
      </c>
      <c r="C11188" s="6">
        <v>74</v>
      </c>
      <c r="D11188" s="7">
        <v>31.64</v>
      </c>
      <c r="E11188" t="s">
        <v>71</v>
      </c>
    </row>
    <row r="11189" spans="1:5" x14ac:dyDescent="0.25">
      <c r="A11189" t="str">
        <f>HYPERLINK("https://www.773grp.com/globalSearch/54F563DM/page-1", "54F563DM")</f>
        <v>54F563DM</v>
      </c>
      <c r="B11189" s="3" t="str">
        <f>HYPERLINK("https://www.773grp.com/manufacturer/national-semiconductor?pageNo=66", "National Semiconductor")</f>
        <v>National Semiconductor</v>
      </c>
      <c r="C11189" s="6">
        <v>149</v>
      </c>
      <c r="D11189" s="7">
        <v>31.69</v>
      </c>
      <c r="E11189" t="s">
        <v>14</v>
      </c>
    </row>
    <row r="11190" spans="1:5" x14ac:dyDescent="0.25">
      <c r="A11190" t="str">
        <f>HYPERLINK("https://www.773grp.com/globalSearch/54F564DM/page-1", "54F564DM")</f>
        <v>54F564DM</v>
      </c>
      <c r="B11190" s="3" t="str">
        <f>HYPERLINK("https://www.773grp.com/manufacturer/national-semiconductor?pageNo=67", "National Semiconductor")</f>
        <v>National Semiconductor</v>
      </c>
      <c r="C11190" s="6">
        <v>328</v>
      </c>
      <c r="D11190" s="7">
        <v>31.69</v>
      </c>
      <c r="E11190" t="s">
        <v>14</v>
      </c>
    </row>
    <row r="11191" spans="1:5" x14ac:dyDescent="0.25">
      <c r="A11191" t="str">
        <f>HYPERLINK("https://www.773grp.com/globalSearch/54F190LMQB/page-1", "54F190LMQB")</f>
        <v>54F190LMQB</v>
      </c>
      <c r="B11191" s="3" t="str">
        <f>HYPERLINK("https://www.773grp.com/manufacturer/national-semiconductor?pageNo=68", "National Semiconductor")</f>
        <v>National Semiconductor</v>
      </c>
      <c r="C11191" s="6">
        <v>393</v>
      </c>
      <c r="D11191" s="7">
        <v>31.73</v>
      </c>
      <c r="E11191" t="s">
        <v>26</v>
      </c>
    </row>
    <row r="11192" spans="1:5" x14ac:dyDescent="0.25">
      <c r="A11192" t="str">
        <f>HYPERLINK("https://www.773grp.com/globalSearch/54H74DM/page-1", "54H74DM")</f>
        <v>54H74DM</v>
      </c>
      <c r="B11192" s="3" t="str">
        <f>HYPERLINK("https://www.773grp.com/manufacturer/national-semiconductor?pageNo=69", "National Semiconductor")</f>
        <v>National Semiconductor</v>
      </c>
      <c r="C11192" s="6">
        <v>3169</v>
      </c>
      <c r="D11192" s="7">
        <v>31.78</v>
      </c>
    </row>
    <row r="11193" spans="1:5" x14ac:dyDescent="0.25">
      <c r="A11193" t="str">
        <f>HYPERLINK("https://www.773grp.com/globalSearch/9001DM/page-1", "9001DM")</f>
        <v>9001DM</v>
      </c>
      <c r="B11193" s="3" t="str">
        <f>HYPERLINK("https://www.773grp.com/manufacturer/national-semiconductor?pageNo=70", "National Semiconductor")</f>
        <v>National Semiconductor</v>
      </c>
      <c r="C11193" s="6">
        <v>21</v>
      </c>
      <c r="D11193" s="7">
        <v>31.78</v>
      </c>
    </row>
    <row r="11194" spans="1:5" x14ac:dyDescent="0.25">
      <c r="A11194" t="str">
        <f>HYPERLINK("https://www.773grp.com/globalSearch/LM3S8938-IQC50-A2/page-1", "LM3S8938-IQC50-A2")</f>
        <v>LM3S8938-IQC50-A2</v>
      </c>
      <c r="B11194" s="3" t="str">
        <f>HYPERLINK("https://www.773grp.com/manufacturer/national-semiconductor?pageNo=71", "National Semiconductor")</f>
        <v>National Semiconductor</v>
      </c>
      <c r="C11194" s="6">
        <v>501</v>
      </c>
      <c r="D11194" s="7">
        <v>31.78</v>
      </c>
    </row>
    <row r="11195" spans="1:5" x14ac:dyDescent="0.25">
      <c r="A11195" t="str">
        <f>HYPERLINK("https://www.773grp.com/globalSearch/9307DM/page-1", "9307DM")</f>
        <v>9307DM</v>
      </c>
      <c r="B11195" s="3" t="str">
        <f>HYPERLINK("https://www.773grp.com/manufacturer/national-semiconductor?pageNo=72", "National Semiconductor")</f>
        <v>National Semiconductor</v>
      </c>
      <c r="C11195" s="6">
        <v>7</v>
      </c>
      <c r="D11195" s="7">
        <v>31.86</v>
      </c>
    </row>
    <row r="11196" spans="1:5" x14ac:dyDescent="0.25">
      <c r="A11196" t="str">
        <f>HYPERLINK("https://www.773grp.com/globalSearch/ADC0816CCN/page-1", "ADC0816CCN")</f>
        <v>ADC0816CCN</v>
      </c>
      <c r="B11196" s="3" t="str">
        <f>HYPERLINK("https://www.773grp.com/manufacturer/national-semiconductor?pageNo=73", "National Semiconductor")</f>
        <v>National Semiconductor</v>
      </c>
      <c r="C11196" s="6">
        <v>2</v>
      </c>
      <c r="D11196" s="7">
        <v>31.95</v>
      </c>
      <c r="E11196" t="s">
        <v>39</v>
      </c>
    </row>
    <row r="11197" spans="1:5" x14ac:dyDescent="0.25">
      <c r="A11197" t="str">
        <f>HYPERLINK("https://www.773grp.com/globalSearch/ADC0816CCN/page-1", "ADC0816CCN")</f>
        <v>ADC0816CCN</v>
      </c>
      <c r="B11197" s="3" t="str">
        <f>HYPERLINK("https://www.773grp.com/manufacturer/national-semiconductor?pageNo=74", "National Semiconductor")</f>
        <v>National Semiconductor</v>
      </c>
      <c r="C11197" s="6">
        <v>1728</v>
      </c>
      <c r="D11197" s="7">
        <v>31.95</v>
      </c>
      <c r="E11197" t="s">
        <v>39</v>
      </c>
    </row>
    <row r="11198" spans="1:5" x14ac:dyDescent="0.25">
      <c r="A11198" t="str">
        <f>HYPERLINK("https://www.773grp.com/globalSearch/9017FM/page-1", "9017FM")</f>
        <v>9017FM</v>
      </c>
      <c r="B11198" s="3" t="str">
        <f>HYPERLINK("https://www.773grp.com/manufacturer/national-semiconductor?pageNo=75", "National Semiconductor")</f>
        <v>National Semiconductor</v>
      </c>
      <c r="C11198" s="6">
        <v>189</v>
      </c>
      <c r="D11198" s="7">
        <v>31.98</v>
      </c>
    </row>
    <row r="11199" spans="1:5" x14ac:dyDescent="0.25">
      <c r="A11199" t="str">
        <f>HYPERLINK("https://www.773grp.com/globalSearch/JM38510-65101BCA/page-1", "JM38510-65101BCA")</f>
        <v>JM38510-65101BCA</v>
      </c>
      <c r="B11199" s="3" t="str">
        <f>HYPERLINK("https://www.773grp.com/manufacturer/national-semiconductor?pageNo=76", "National Semiconductor")</f>
        <v>National Semiconductor</v>
      </c>
      <c r="C11199" s="6">
        <v>68</v>
      </c>
      <c r="D11199" s="7">
        <v>31.98</v>
      </c>
      <c r="E11199" t="s">
        <v>31</v>
      </c>
    </row>
    <row r="11200" spans="1:5" x14ac:dyDescent="0.25">
      <c r="A11200" t="str">
        <f>HYPERLINK("https://www.773grp.com/globalSearch/ADC12L066CIVY/page-1", "ADC12L066CIVY")</f>
        <v>ADC12L066CIVY</v>
      </c>
      <c r="B11200" s="3" t="str">
        <f>HYPERLINK("https://www.773grp.com/manufacturer/national-semiconductor?pageNo=77", "National Semiconductor")</f>
        <v>National Semiconductor</v>
      </c>
      <c r="C11200" s="6">
        <v>397</v>
      </c>
      <c r="D11200" s="7">
        <v>32.06</v>
      </c>
      <c r="E11200" t="s">
        <v>39</v>
      </c>
    </row>
    <row r="11201" spans="1:5" x14ac:dyDescent="0.25">
      <c r="A11201" t="str">
        <f>HYPERLINK("https://www.773grp.com/globalSearch/DM9328J-883/page-1", "DM9328J-883")</f>
        <v>DM9328J-883</v>
      </c>
      <c r="B11201" s="3" t="str">
        <f>HYPERLINK("https://www.773grp.com/manufacturer/national-semiconductor?pageNo=78", "National Semiconductor")</f>
        <v>National Semiconductor</v>
      </c>
      <c r="C11201" s="6">
        <v>1</v>
      </c>
      <c r="D11201" s="7">
        <v>32.06</v>
      </c>
      <c r="E11201" t="s">
        <v>32</v>
      </c>
    </row>
    <row r="11202" spans="1:5" x14ac:dyDescent="0.25">
      <c r="A11202" t="str">
        <f>HYPERLINK("https://www.773grp.com/globalSearch/LM369BH/page-1", "LM369BH")</f>
        <v>LM369BH</v>
      </c>
      <c r="B11202" s="3" t="str">
        <f>HYPERLINK("https://www.773grp.com/manufacturer/national-semiconductor?pageNo=79", "National Semiconductor")</f>
        <v>National Semiconductor</v>
      </c>
      <c r="C11202" s="6">
        <v>22</v>
      </c>
      <c r="D11202" s="7">
        <v>32.06</v>
      </c>
      <c r="E11202" t="s">
        <v>17</v>
      </c>
    </row>
    <row r="11203" spans="1:5" x14ac:dyDescent="0.25">
      <c r="A11203" t="str">
        <f>HYPERLINK("https://www.773grp.com/globalSearch/SCAN25100TYA/page-1", "SCAN25100TYA")</f>
        <v>SCAN25100TYA</v>
      </c>
      <c r="B11203" s="3" t="str">
        <f>HYPERLINK("https://www.773grp.com/manufacturer/national-semiconductor?pageNo=80", "National Semiconductor")</f>
        <v>National Semiconductor</v>
      </c>
      <c r="C11203" s="6">
        <v>90</v>
      </c>
      <c r="D11203" s="7">
        <v>32.06</v>
      </c>
      <c r="E11203" t="s">
        <v>21</v>
      </c>
    </row>
    <row r="11204" spans="1:5" x14ac:dyDescent="0.25">
      <c r="A11204" t="str">
        <f>HYPERLINK("https://www.773grp.com/globalSearch/LMK04031BISQ-NOPB/page-1", "LMK04031BISQ-NOPB")</f>
        <v>LMK04031BISQ-NOPB</v>
      </c>
      <c r="B11204" s="3" t="str">
        <f>HYPERLINK("https://www.773grp.com/manufacturer/national-semiconductor?pageNo=81", "National Semiconductor")</f>
        <v>National Semiconductor</v>
      </c>
      <c r="C11204" s="6">
        <v>3000</v>
      </c>
      <c r="D11204" s="7">
        <v>32.06</v>
      </c>
    </row>
    <row r="11205" spans="1:5" x14ac:dyDescent="0.25">
      <c r="A11205" t="str">
        <f>HYPERLINK("https://www.773grp.com/globalSearch/100165FC/page-1", "100165FC")</f>
        <v>100165FC</v>
      </c>
      <c r="B11205" s="3" t="str">
        <f>HYPERLINK("https://www.773grp.com/manufacturer/national-semiconductor?pageNo=82", "National Semiconductor")</f>
        <v>National Semiconductor</v>
      </c>
      <c r="C11205" s="6">
        <v>366</v>
      </c>
      <c r="D11205" s="7">
        <v>32.1</v>
      </c>
      <c r="E11205" t="s">
        <v>43</v>
      </c>
    </row>
    <row r="11206" spans="1:5" x14ac:dyDescent="0.25">
      <c r="A11206" t="str">
        <f>HYPERLINK("https://www.773grp.com/globalSearch/SCANSTA101SM/page-1", "SCANSTA101SM")</f>
        <v>SCANSTA101SM</v>
      </c>
      <c r="B11206" s="3" t="str">
        <f>HYPERLINK("https://www.773grp.com/manufacturer/national-semiconductor?pageNo=83", "National Semiconductor")</f>
        <v>National Semiconductor</v>
      </c>
      <c r="C11206" s="6">
        <v>969</v>
      </c>
      <c r="D11206" s="7">
        <v>32.1</v>
      </c>
      <c r="E11206" t="s">
        <v>42</v>
      </c>
    </row>
    <row r="11207" spans="1:5" x14ac:dyDescent="0.25">
      <c r="A11207" t="str">
        <f>HYPERLINK("https://www.773grp.com/globalSearch/SCANSTA101SMX/page-1", "SCANSTA101SMX")</f>
        <v>SCANSTA101SMX</v>
      </c>
      <c r="B11207" s="3" t="str">
        <f>HYPERLINK("https://www.773grp.com/manufacturer/national-semiconductor?pageNo=84", "National Semiconductor")</f>
        <v>National Semiconductor</v>
      </c>
      <c r="C11207" s="6">
        <v>6000</v>
      </c>
      <c r="D11207" s="7">
        <v>32.1</v>
      </c>
      <c r="E11207" t="s">
        <v>42</v>
      </c>
    </row>
    <row r="11208" spans="1:5" x14ac:dyDescent="0.25">
      <c r="A11208" t="str">
        <f>HYPERLINK("https://www.773grp.com/globalSearch/SCANSTA101SM/page-1", "SCANSTA101SM")</f>
        <v>SCANSTA101SM</v>
      </c>
      <c r="B11208" s="3" t="str">
        <f>HYPERLINK("https://www.773grp.com/manufacturer/national-semiconductor?pageNo=85", "National Semiconductor")</f>
        <v>National Semiconductor</v>
      </c>
      <c r="C11208" s="6">
        <v>185</v>
      </c>
      <c r="D11208" s="7">
        <v>32.1</v>
      </c>
      <c r="E11208" t="s">
        <v>42</v>
      </c>
    </row>
    <row r="11209" spans="1:5" x14ac:dyDescent="0.25">
      <c r="A11209" t="str">
        <f>HYPERLINK("https://www.773grp.com/globalSearch/100181DC/page-1", "100181DC")</f>
        <v>100181DC</v>
      </c>
      <c r="B11209" s="3" t="str">
        <f>HYPERLINK("https://www.773grp.com/manufacturer/national-semiconductor?pageNo=86", "National Semiconductor")</f>
        <v>National Semiconductor</v>
      </c>
      <c r="C11209" s="6">
        <v>957</v>
      </c>
      <c r="D11209" s="7">
        <v>32.18</v>
      </c>
      <c r="E11209" t="s">
        <v>43</v>
      </c>
    </row>
    <row r="11210" spans="1:5" x14ac:dyDescent="0.25">
      <c r="A11210" t="str">
        <f>HYPERLINK("https://www.773grp.com/globalSearch/LMH0044SQE-NOPB/page-1", "LMH0044SQE-NOPB")</f>
        <v>LMH0044SQE-NOPB</v>
      </c>
      <c r="B11210" s="3" t="str">
        <f>HYPERLINK("https://www.773grp.com/manufacturer/national-semiconductor?pageNo=87", "National Semiconductor")</f>
        <v>National Semiconductor</v>
      </c>
      <c r="C11210" s="6">
        <v>9390</v>
      </c>
      <c r="D11210" s="7">
        <v>32.18</v>
      </c>
    </row>
    <row r="11211" spans="1:5" x14ac:dyDescent="0.25">
      <c r="A11211" t="str">
        <f>HYPERLINK("https://www.773grp.com/globalSearch/DS100KR800SQE-NOPB/page-1", "DS100KR800SQE-NOPB")</f>
        <v>DS100KR800SQE-NOPB</v>
      </c>
      <c r="B11211" s="3" t="str">
        <f>HYPERLINK("https://www.773grp.com/manufacturer/national-semiconductor?pageNo=88", "National Semiconductor")</f>
        <v>National Semiconductor</v>
      </c>
      <c r="C11211" s="6">
        <v>128</v>
      </c>
      <c r="D11211" s="7">
        <v>32.18</v>
      </c>
    </row>
    <row r="11212" spans="1:5" x14ac:dyDescent="0.25">
      <c r="A11212" t="str">
        <f>HYPERLINK("https://www.773grp.com/globalSearch/LMH0044SQE-NOPB/page-1", "LMH0044SQE-NOPB")</f>
        <v>LMH0044SQE-NOPB</v>
      </c>
      <c r="B11212" s="3" t="str">
        <f>HYPERLINK("https://www.773grp.com/manufacturer/national-semiconductor?pageNo=89", "National Semiconductor")</f>
        <v>National Semiconductor</v>
      </c>
      <c r="C11212" s="6">
        <v>88</v>
      </c>
      <c r="D11212" s="7">
        <v>32.18</v>
      </c>
    </row>
    <row r="11213" spans="1:5" x14ac:dyDescent="0.25">
      <c r="A11213" t="str">
        <f>HYPERLINK("https://www.773grp.com/globalSearch/DM54L02J-883/page-1", "DM54L02J-883")</f>
        <v>DM54L02J-883</v>
      </c>
      <c r="B11213" s="3" t="str">
        <f>HYPERLINK("https://www.773grp.com/manufacturer/national-semiconductor?pageNo=90", "National Semiconductor")</f>
        <v>National Semiconductor</v>
      </c>
      <c r="C11213" s="6">
        <v>25</v>
      </c>
      <c r="D11213" s="7">
        <v>32.200000000000003</v>
      </c>
      <c r="E11213" t="s">
        <v>31</v>
      </c>
    </row>
    <row r="11214" spans="1:5" x14ac:dyDescent="0.25">
      <c r="A11214" t="str">
        <f>HYPERLINK("https://www.773grp.com/globalSearch/100164FCQR/page-1", "100164FCQR")</f>
        <v>100164FCQR</v>
      </c>
      <c r="B11214" s="3" t="str">
        <f>HYPERLINK("https://www.773grp.com/manufacturer/national-semiconductor?pageNo=91", "National Semiconductor")</f>
        <v>National Semiconductor</v>
      </c>
      <c r="C11214" s="6">
        <v>12516</v>
      </c>
      <c r="D11214" s="7">
        <v>32.31</v>
      </c>
      <c r="E11214" t="s">
        <v>20</v>
      </c>
    </row>
    <row r="11215" spans="1:5" x14ac:dyDescent="0.25">
      <c r="A11215" t="str">
        <f>HYPERLINK("https://www.773grp.com/globalSearch/95400DC/page-1", "95400DC")</f>
        <v>95400DC</v>
      </c>
      <c r="B11215" s="3" t="str">
        <f>HYPERLINK("https://www.773grp.com/manufacturer/national-semiconductor?pageNo=92", "National Semiconductor")</f>
        <v>National Semiconductor</v>
      </c>
      <c r="C11215" s="6">
        <v>10294</v>
      </c>
      <c r="D11215" s="7">
        <v>32.35</v>
      </c>
    </row>
    <row r="11216" spans="1:5" x14ac:dyDescent="0.25">
      <c r="A11216" t="str">
        <f>HYPERLINK("https://www.773grp.com/globalSearch/DP83223AV/page-1", "DP83223AV")</f>
        <v>DP83223AV</v>
      </c>
      <c r="B11216" s="3" t="str">
        <f>HYPERLINK("https://www.773grp.com/manufacturer/national-semiconductor?pageNo=93", "National Semiconductor")</f>
        <v>National Semiconductor</v>
      </c>
      <c r="C11216" s="6">
        <v>3570</v>
      </c>
      <c r="D11216" s="7">
        <v>32.35</v>
      </c>
    </row>
    <row r="11217" spans="1:5" x14ac:dyDescent="0.25">
      <c r="A11217" t="str">
        <f>HYPERLINK("https://www.773grp.com/globalSearch/LMK03001ISQ-NOPB/page-1", "LMK03001ISQ-NOPB")</f>
        <v>LMK03001ISQ-NOPB</v>
      </c>
      <c r="B11217" s="3" t="str">
        <f>HYPERLINK("https://www.773grp.com/manufacturer/national-semiconductor?pageNo=94", "National Semiconductor")</f>
        <v>National Semiconductor</v>
      </c>
      <c r="C11217" s="6">
        <v>315</v>
      </c>
      <c r="D11217" s="7">
        <v>32.35</v>
      </c>
      <c r="E11217" t="s">
        <v>79</v>
      </c>
    </row>
    <row r="11218" spans="1:5" x14ac:dyDescent="0.25">
      <c r="A11218" t="str">
        <f>HYPERLINK("https://www.773grp.com/globalSearch/LMK03033ISQE-NOPB/page-1", "LMK03033ISQE-NOPB")</f>
        <v>LMK03033ISQE-NOPB</v>
      </c>
      <c r="B11218" s="3" t="str">
        <f>HYPERLINK("https://www.773grp.com/manufacturer/national-semiconductor?pageNo=95", "National Semiconductor")</f>
        <v>National Semiconductor</v>
      </c>
      <c r="C11218" s="6">
        <v>216</v>
      </c>
      <c r="D11218" s="7">
        <v>32.35</v>
      </c>
    </row>
    <row r="11219" spans="1:5" x14ac:dyDescent="0.25">
      <c r="A11219" t="str">
        <f>HYPERLINK("https://www.773grp.com/globalSearch/MM54HC365E-883/page-1", "MM54HC365E-883")</f>
        <v>MM54HC365E-883</v>
      </c>
      <c r="B11219" s="3" t="str">
        <f>HYPERLINK("https://www.773grp.com/manufacturer/national-semiconductor?pageNo=96", "National Semiconductor")</f>
        <v>National Semiconductor</v>
      </c>
      <c r="C11219" s="6">
        <v>204</v>
      </c>
      <c r="D11219" s="7">
        <v>32.35</v>
      </c>
    </row>
    <row r="11220" spans="1:5" x14ac:dyDescent="0.25">
      <c r="A11220" t="str">
        <f>HYPERLINK("https://www.773grp.com/globalSearch/MM54HC367E-883/page-1", "MM54HC367E-883")</f>
        <v>MM54HC367E-883</v>
      </c>
      <c r="B11220" s="3" t="str">
        <f>HYPERLINK("https://www.773grp.com/manufacturer/national-semiconductor?pageNo=97", "National Semiconductor")</f>
        <v>National Semiconductor</v>
      </c>
      <c r="C11220" s="6">
        <v>41</v>
      </c>
      <c r="D11220" s="7">
        <v>32.35</v>
      </c>
    </row>
    <row r="11221" spans="1:5" x14ac:dyDescent="0.25">
      <c r="A11221" t="str">
        <f>HYPERLINK("https://www.773grp.com/globalSearch/LMK03000ISQ-NOPB/page-1", "LMK03000ISQ-NOPB")</f>
        <v>LMK03000ISQ-NOPB</v>
      </c>
      <c r="B11221" s="3" t="str">
        <f>HYPERLINK("https://www.773grp.com/manufacturer/national-semiconductor?pageNo=98", "National Semiconductor")</f>
        <v>National Semiconductor</v>
      </c>
      <c r="C11221" s="6">
        <v>293</v>
      </c>
      <c r="D11221" s="7">
        <v>32.35</v>
      </c>
      <c r="E11221" t="s">
        <v>79</v>
      </c>
    </row>
    <row r="11222" spans="1:5" x14ac:dyDescent="0.25">
      <c r="A11222" t="str">
        <f>HYPERLINK("https://www.773grp.com/globalSearch/LMK03033ISQE-NOPB/page-1", "LMK03033ISQE-NOPB")</f>
        <v>LMK03033ISQE-NOPB</v>
      </c>
      <c r="B11222" s="3" t="str">
        <f>HYPERLINK("https://www.773grp.com/manufacturer/national-semiconductor?pageNo=99", "National Semiconductor")</f>
        <v>National Semiconductor</v>
      </c>
      <c r="C11222" s="6">
        <v>746</v>
      </c>
      <c r="D11222" s="7">
        <v>32.35</v>
      </c>
    </row>
    <row r="11223" spans="1:5" x14ac:dyDescent="0.25">
      <c r="A11223" t="str">
        <f>HYPERLINK("https://www.773grp.com/globalSearch/LMZ22010TZ-NOPB/page-1", "LMZ22010TZ-NOPB")</f>
        <v>LMZ22010TZ-NOPB</v>
      </c>
      <c r="B11223" s="3" t="str">
        <f>HYPERLINK("https://www.773grp.com/manufacturer/national-semiconductor?pageNo=100", "National Semiconductor")</f>
        <v>National Semiconductor</v>
      </c>
      <c r="C11223" s="6">
        <v>47</v>
      </c>
      <c r="D11223" s="7">
        <v>32.35</v>
      </c>
    </row>
    <row r="11224" spans="1:5" x14ac:dyDescent="0.25">
      <c r="A11224" t="str">
        <f>HYPERLINK("https://www.773grp.com/globalSearch/54F547DMQB/page-1", "54F547DMQB")</f>
        <v>54F547DMQB</v>
      </c>
      <c r="B11224" s="3" t="str">
        <f>HYPERLINK("https://www.773grp.com/manufacturer/national-semiconductor?pageNo=101", "National Semiconductor")</f>
        <v>National Semiconductor</v>
      </c>
      <c r="C11224" s="6">
        <v>21</v>
      </c>
      <c r="D11224" s="7">
        <v>32.4</v>
      </c>
      <c r="E11224" t="s">
        <v>36</v>
      </c>
    </row>
    <row r="11225" spans="1:5" x14ac:dyDescent="0.25">
      <c r="A11225" t="str">
        <f>HYPERLINK("https://www.773grp.com/globalSearch/COP8CBR9HVA8/page-1", "COP8CBR9HVA8")</f>
        <v>COP8CBR9HVA8</v>
      </c>
      <c r="B11225" s="3" t="str">
        <f>HYPERLINK("https://www.773grp.com/manufacturer/national-semiconductor?pageNo=102", "National Semiconductor")</f>
        <v>National Semiconductor</v>
      </c>
      <c r="C11225" s="6">
        <v>5</v>
      </c>
      <c r="D11225" s="7">
        <v>32.450000000000003</v>
      </c>
      <c r="E11225" t="s">
        <v>52</v>
      </c>
    </row>
    <row r="11226" spans="1:5" x14ac:dyDescent="0.25">
      <c r="A11226" t="str">
        <f>HYPERLINK("https://www.773grp.com/globalSearch/COP8CBR9HVA8-NOPB/page-1", "COP8CBR9HVA8-NOPB")</f>
        <v>COP8CBR9HVA8-NOPB</v>
      </c>
      <c r="B11226" s="3" t="str">
        <f>HYPERLINK("https://www.773grp.com/manufacturer/national-semiconductor?pageNo=103", "National Semiconductor")</f>
        <v>National Semiconductor</v>
      </c>
      <c r="C11226" s="6">
        <v>1297</v>
      </c>
      <c r="D11226" s="7">
        <v>32.450000000000003</v>
      </c>
    </row>
    <row r="11227" spans="1:5" x14ac:dyDescent="0.25">
      <c r="A11227" t="str">
        <f>HYPERLINK("https://www.773grp.com/globalSearch/9342DM/page-1", "9342DM")</f>
        <v>9342DM</v>
      </c>
      <c r="B11227" s="3" t="str">
        <f>HYPERLINK("https://www.773grp.com/manufacturer/national-semiconductor?pageNo=104", "National Semiconductor")</f>
        <v>National Semiconductor</v>
      </c>
      <c r="C11227" s="6">
        <v>197</v>
      </c>
      <c r="D11227" s="7">
        <v>32.49</v>
      </c>
    </row>
    <row r="11228" spans="1:5" x14ac:dyDescent="0.25">
      <c r="A11228" t="str">
        <f>HYPERLINK("https://www.773grp.com/globalSearch/DP83901AV/page-1", "DP83901AV")</f>
        <v>DP83901AV</v>
      </c>
      <c r="B11228" s="3" t="str">
        <f>HYPERLINK("https://www.773grp.com/manufacturer/national-semiconductor?pageNo=105", "National Semiconductor")</f>
        <v>National Semiconductor</v>
      </c>
      <c r="C11228" s="6">
        <v>58</v>
      </c>
      <c r="D11228" s="7">
        <v>32.51</v>
      </c>
      <c r="E11228" t="s">
        <v>71</v>
      </c>
    </row>
    <row r="11229" spans="1:5" x14ac:dyDescent="0.25">
      <c r="A11229" t="str">
        <f>HYPERLINK("https://www.773grp.com/globalSearch/93S43DC/page-1", "93S43DC")</f>
        <v>93S43DC</v>
      </c>
      <c r="B11229" s="3" t="str">
        <f>HYPERLINK("https://www.773grp.com/manufacturer/national-semiconductor?pageNo=106", "National Semiconductor")</f>
        <v>National Semiconductor</v>
      </c>
      <c r="C11229" s="6">
        <v>1096</v>
      </c>
      <c r="D11229" s="7">
        <v>32.58</v>
      </c>
    </row>
    <row r="11230" spans="1:5" x14ac:dyDescent="0.25">
      <c r="A11230" t="str">
        <f>HYPERLINK("https://www.773grp.com/globalSearch/5962-9453401MPA/page-1", "5962-9453401MPA")</f>
        <v>5962-9453401MPA</v>
      </c>
      <c r="B11230" s="3" t="str">
        <f>HYPERLINK("https://www.773grp.com/manufacturer/national-semiconductor?pageNo=107", "National Semiconductor")</f>
        <v>National Semiconductor</v>
      </c>
      <c r="C11230" s="6">
        <v>107</v>
      </c>
      <c r="D11230" s="7">
        <v>32.630000000000003</v>
      </c>
      <c r="E11230" t="s">
        <v>13</v>
      </c>
    </row>
    <row r="11231" spans="1:5" x14ac:dyDescent="0.25">
      <c r="A11231" t="str">
        <f>HYPERLINK("https://www.773grp.com/globalSearch/9340PC/page-1", "9340PC")</f>
        <v>9340PC</v>
      </c>
      <c r="B11231" s="3" t="str">
        <f>HYPERLINK("https://www.773grp.com/manufacturer/national-semiconductor?pageNo=108", "National Semiconductor")</f>
        <v>National Semiconductor</v>
      </c>
      <c r="C11231" s="6">
        <v>891</v>
      </c>
      <c r="D11231" s="7">
        <v>32.630000000000003</v>
      </c>
    </row>
    <row r="11232" spans="1:5" x14ac:dyDescent="0.25">
      <c r="A11232" t="str">
        <f>HYPERLINK("https://www.773grp.com/globalSearch/ADC0820CCV/page-1", "ADC0820CCV")</f>
        <v>ADC0820CCV</v>
      </c>
      <c r="B11232" s="3" t="str">
        <f>HYPERLINK("https://www.773grp.com/manufacturer/national-semiconductor?pageNo=109", "National Semiconductor")</f>
        <v>National Semiconductor</v>
      </c>
      <c r="C11232" s="6">
        <v>1679</v>
      </c>
      <c r="D11232" s="7">
        <v>32.630000000000003</v>
      </c>
      <c r="E11232" t="s">
        <v>39</v>
      </c>
    </row>
    <row r="11233" spans="1:5" x14ac:dyDescent="0.25">
      <c r="A11233" t="str">
        <f>HYPERLINK("https://www.773grp.com/globalSearch/ADCS9888CVH-170-NOPB/page-1", "ADCS9888CVH-170-NOPB")</f>
        <v>ADCS9888CVH-170-NOPB</v>
      </c>
      <c r="B11233" s="3" t="str">
        <f>HYPERLINK("https://www.773grp.com/manufacturer/national-semiconductor?pageNo=110", "National Semiconductor")</f>
        <v>National Semiconductor</v>
      </c>
      <c r="C11233" s="6">
        <v>45</v>
      </c>
      <c r="D11233" s="7">
        <v>32.630000000000003</v>
      </c>
      <c r="E11233" t="s">
        <v>23</v>
      </c>
    </row>
    <row r="11234" spans="1:5" x14ac:dyDescent="0.25">
      <c r="A11234" t="str">
        <f>HYPERLINK("https://www.773grp.com/globalSearch/DAC1232LCWM/page-1", "DAC1232LCWM")</f>
        <v>DAC1232LCWM</v>
      </c>
      <c r="B11234" s="3" t="str">
        <f>HYPERLINK("https://www.773grp.com/manufacturer/national-semiconductor?pageNo=111", "National Semiconductor")</f>
        <v>National Semiconductor</v>
      </c>
      <c r="C11234" s="6">
        <v>2</v>
      </c>
      <c r="D11234" s="7">
        <v>32.630000000000003</v>
      </c>
      <c r="E11234" t="s">
        <v>33</v>
      </c>
    </row>
    <row r="11235" spans="1:5" x14ac:dyDescent="0.25">
      <c r="A11235" t="str">
        <f>HYPERLINK("https://www.773grp.com/globalSearch/DM54LS00-1E-MIL/page-1", "DM54LS00-1E-MIL")</f>
        <v>DM54LS00-1E-MIL</v>
      </c>
      <c r="B11235" s="3" t="str">
        <f>HYPERLINK("https://www.773grp.com/manufacturer/national-semiconductor?pageNo=112", "National Semiconductor")</f>
        <v>National Semiconductor</v>
      </c>
      <c r="C11235" s="6">
        <v>49</v>
      </c>
      <c r="D11235" s="7">
        <v>32.630000000000003</v>
      </c>
    </row>
    <row r="11236" spans="1:5" x14ac:dyDescent="0.25">
      <c r="A11236" t="str">
        <f>HYPERLINK("https://www.773grp.com/globalSearch/MM54HC240E-883/page-1", "MM54HC240E-883")</f>
        <v>MM54HC240E-883</v>
      </c>
      <c r="B11236" s="3" t="str">
        <f>HYPERLINK("https://www.773grp.com/manufacturer/national-semiconductor?pageNo=113", "National Semiconductor")</f>
        <v>National Semiconductor</v>
      </c>
      <c r="C11236" s="6">
        <v>56</v>
      </c>
      <c r="D11236" s="7">
        <v>32.630000000000003</v>
      </c>
    </row>
    <row r="11237" spans="1:5" x14ac:dyDescent="0.25">
      <c r="A11237" t="str">
        <f>HYPERLINK("https://www.773grp.com/globalSearch/PC87410VLK/page-1", "PC87410VLK")</f>
        <v>PC87410VLK</v>
      </c>
      <c r="B11237" s="3" t="str">
        <f>HYPERLINK("https://www.773grp.com/manufacturer/national-semiconductor?pageNo=114", "National Semiconductor")</f>
        <v>National Semiconductor</v>
      </c>
      <c r="C11237" s="6">
        <v>132590</v>
      </c>
      <c r="D11237" s="7">
        <v>32.630000000000003</v>
      </c>
      <c r="E11237" t="s">
        <v>85</v>
      </c>
    </row>
    <row r="11238" spans="1:5" x14ac:dyDescent="0.25">
      <c r="A11238" t="str">
        <f>HYPERLINK("https://www.773grp.com/globalSearch/100136DCQR/page-1", "100136DCQR")</f>
        <v>100136DCQR</v>
      </c>
      <c r="B11238" s="3" t="str">
        <f>HYPERLINK("https://www.773grp.com/manufacturer/national-semiconductor?pageNo=115", "National Semiconductor")</f>
        <v>National Semiconductor</v>
      </c>
      <c r="C11238" s="6">
        <v>9</v>
      </c>
      <c r="D11238" s="7">
        <v>32.65</v>
      </c>
      <c r="E11238" t="s">
        <v>26</v>
      </c>
    </row>
    <row r="11239" spans="1:5" x14ac:dyDescent="0.25">
      <c r="A11239" t="str">
        <f>HYPERLINK("https://www.773grp.com/globalSearch/93L10FM/page-1", "93L10FM")</f>
        <v>93L10FM</v>
      </c>
      <c r="B11239" s="3" t="str">
        <f>HYPERLINK("https://www.773grp.com/manufacturer/national-semiconductor?pageNo=116", "National Semiconductor")</f>
        <v>National Semiconductor</v>
      </c>
      <c r="C11239" s="6">
        <v>92</v>
      </c>
      <c r="D11239" s="7">
        <v>32.65</v>
      </c>
    </row>
    <row r="11240" spans="1:5" x14ac:dyDescent="0.25">
      <c r="A11240" t="str">
        <f>HYPERLINK("https://www.773grp.com/globalSearch/93L12FM/page-1", "93L12FM")</f>
        <v>93L12FM</v>
      </c>
      <c r="B11240" s="3" t="str">
        <f>HYPERLINK("https://www.773grp.com/manufacturer/national-semiconductor?pageNo=117", "National Semiconductor")</f>
        <v>National Semiconductor</v>
      </c>
      <c r="C11240" s="6">
        <v>74</v>
      </c>
      <c r="D11240" s="7">
        <v>32.65</v>
      </c>
    </row>
    <row r="11241" spans="1:5" x14ac:dyDescent="0.25">
      <c r="A11241" t="str">
        <f>HYPERLINK("https://www.773grp.com/globalSearch/54S32L2/page-1", "54S32L2")</f>
        <v>54S32L2</v>
      </c>
      <c r="B11241" s="3" t="str">
        <f>HYPERLINK("https://www.773grp.com/manufacturer/national-semiconductor?pageNo=118", "National Semiconductor")</f>
        <v>National Semiconductor</v>
      </c>
      <c r="C11241" s="6">
        <v>168</v>
      </c>
      <c r="D11241" s="7">
        <v>32.700000000000003</v>
      </c>
    </row>
    <row r="11242" spans="1:5" x14ac:dyDescent="0.25">
      <c r="A11242" t="str">
        <f>HYPERLINK("https://www.773grp.com/globalSearch/54S32L2M/page-1", "54S32L2M")</f>
        <v>54S32L2M</v>
      </c>
      <c r="B11242" s="3" t="str">
        <f>HYPERLINK("https://www.773grp.com/manufacturer/national-semiconductor?pageNo=119", "National Semiconductor")</f>
        <v>National Semiconductor</v>
      </c>
      <c r="C11242" s="6">
        <v>70</v>
      </c>
      <c r="D11242" s="7">
        <v>32.700000000000003</v>
      </c>
    </row>
    <row r="11243" spans="1:5" x14ac:dyDescent="0.25">
      <c r="A11243" t="str">
        <f>HYPERLINK("https://www.773grp.com/globalSearch/DP8573AV-NOPB/page-1", "DP8573AV-NOPB")</f>
        <v>DP8573AV-NOPB</v>
      </c>
      <c r="B11243" s="3" t="str">
        <f>HYPERLINK("https://www.773grp.com/manufacturer/national-semiconductor?pageNo=120", "National Semiconductor")</f>
        <v>National Semiconductor</v>
      </c>
      <c r="C11243" s="6">
        <v>556</v>
      </c>
      <c r="D11243" s="7">
        <v>32.700000000000003</v>
      </c>
      <c r="E11243" t="s">
        <v>82</v>
      </c>
    </row>
    <row r="11244" spans="1:5" x14ac:dyDescent="0.25">
      <c r="A11244" t="str">
        <f>HYPERLINK("https://www.773grp.com/globalSearch/DP8573AV-NOPB/page-1", "DP8573AV-NOPB")</f>
        <v>DP8573AV-NOPB</v>
      </c>
      <c r="B11244" s="3" t="str">
        <f>HYPERLINK("https://www.773grp.com/manufacturer/national-semiconductor?pageNo=121", "National Semiconductor")</f>
        <v>National Semiconductor</v>
      </c>
      <c r="C11244" s="6">
        <v>291</v>
      </c>
      <c r="D11244" s="7">
        <v>32.700000000000003</v>
      </c>
      <c r="E11244" t="s">
        <v>82</v>
      </c>
    </row>
    <row r="11245" spans="1:5" x14ac:dyDescent="0.25">
      <c r="A11245" t="str">
        <f>HYPERLINK("https://www.773grp.com/globalSearch/DP8573AVX/page-1", "DP8573AVX")</f>
        <v>DP8573AVX</v>
      </c>
      <c r="B11245" s="3" t="str">
        <f>HYPERLINK("https://www.773grp.com/manufacturer/national-semiconductor?pageNo=122", "National Semiconductor")</f>
        <v>National Semiconductor</v>
      </c>
      <c r="C11245" s="6">
        <v>750</v>
      </c>
      <c r="D11245" s="7">
        <v>32.880000000000003</v>
      </c>
      <c r="E11245" t="s">
        <v>82</v>
      </c>
    </row>
    <row r="11246" spans="1:5" x14ac:dyDescent="0.25">
      <c r="A11246" t="str">
        <f>HYPERLINK("https://www.773grp.com/globalSearch/DP8573AVX/page-1", "DP8573AVX")</f>
        <v>DP8573AVX</v>
      </c>
      <c r="B11246" s="3" t="str">
        <f>HYPERLINK("https://www.773grp.com/manufacturer/national-semiconductor?pageNo=123", "National Semiconductor")</f>
        <v>National Semiconductor</v>
      </c>
      <c r="C11246" s="6">
        <v>1500</v>
      </c>
      <c r="D11246" s="7">
        <v>32.880000000000003</v>
      </c>
      <c r="E11246" t="s">
        <v>82</v>
      </c>
    </row>
    <row r="11247" spans="1:5" x14ac:dyDescent="0.25">
      <c r="A11247" t="str">
        <f>HYPERLINK("https://www.773grp.com/globalSearch/TMC1203KLC20/page-1", "TMC1203KLC20")</f>
        <v>TMC1203KLC20</v>
      </c>
      <c r="B11247" s="3" t="str">
        <f>HYPERLINK("https://www.773grp.com/manufacturer/national-semiconductor?pageNo=124", "National Semiconductor")</f>
        <v>National Semiconductor</v>
      </c>
      <c r="C11247" s="6">
        <v>807</v>
      </c>
      <c r="D11247" s="7">
        <v>32.909999999999997</v>
      </c>
      <c r="E11247" t="s">
        <v>39</v>
      </c>
    </row>
    <row r="11248" spans="1:5" x14ac:dyDescent="0.25">
      <c r="A11248" t="str">
        <f>HYPERLINK("https://www.773grp.com/globalSearch/9311BN/page-1", "9311BN")</f>
        <v>9311BN</v>
      </c>
      <c r="B11248" s="3" t="str">
        <f>HYPERLINK("https://www.773grp.com/manufacturer/national-semiconductor?pageNo=125", "National Semiconductor")</f>
        <v>National Semiconductor</v>
      </c>
      <c r="C11248" s="6">
        <v>25</v>
      </c>
      <c r="D11248" s="7">
        <v>32.94</v>
      </c>
    </row>
    <row r="11249" spans="1:5" x14ac:dyDescent="0.25">
      <c r="A11249" t="str">
        <f>HYPERLINK("https://www.773grp.com/globalSearch/LM135AH/page-1", "LM135AH")</f>
        <v>LM135AH</v>
      </c>
      <c r="B11249" s="3" t="str">
        <f>HYPERLINK("https://www.773grp.com/manufacturer/national-semiconductor?pageNo=126", "National Semiconductor")</f>
        <v>National Semiconductor</v>
      </c>
      <c r="C11249" s="6">
        <v>1210</v>
      </c>
      <c r="D11249" s="7">
        <v>32.94</v>
      </c>
      <c r="E11249" t="s">
        <v>8</v>
      </c>
    </row>
    <row r="11250" spans="1:5" x14ac:dyDescent="0.25">
      <c r="A11250" t="str">
        <f>HYPERLINK("https://www.773grp.com/globalSearch/LM135AH-NOPB/page-1", "LM135AH-NOPB")</f>
        <v>LM135AH-NOPB</v>
      </c>
      <c r="B11250" s="3" t="str">
        <f>HYPERLINK("https://www.773grp.com/manufacturer/national-semiconductor?pageNo=127", "National Semiconductor")</f>
        <v>National Semiconductor</v>
      </c>
      <c r="C11250" s="6">
        <v>725</v>
      </c>
      <c r="D11250" s="7">
        <v>32.94</v>
      </c>
      <c r="E11250" t="s">
        <v>8</v>
      </c>
    </row>
    <row r="11251" spans="1:5" x14ac:dyDescent="0.25">
      <c r="A11251" t="str">
        <f>HYPERLINK("https://www.773grp.com/globalSearch/LM135AH/page-1", "LM135AH")</f>
        <v>LM135AH</v>
      </c>
      <c r="B11251" s="3" t="str">
        <f>HYPERLINK("https://www.773grp.com/manufacturer/national-semiconductor?pageNo=128", "National Semiconductor")</f>
        <v>National Semiconductor</v>
      </c>
      <c r="C11251" s="6">
        <v>6488</v>
      </c>
      <c r="D11251" s="7">
        <v>32.94</v>
      </c>
      <c r="E11251" t="s">
        <v>8</v>
      </c>
    </row>
    <row r="11252" spans="1:5" x14ac:dyDescent="0.25">
      <c r="A11252" t="str">
        <f>HYPERLINK("https://www.773grp.com/globalSearch/DS26C31MJ-883/page-1", "DS26C31MJ-883")</f>
        <v>DS26C31MJ-883</v>
      </c>
      <c r="B11252" s="3" t="str">
        <f>HYPERLINK("https://www.773grp.com/manufacturer/national-semiconductor?pageNo=129", "National Semiconductor")</f>
        <v>National Semiconductor</v>
      </c>
      <c r="C11252" s="6">
        <v>189</v>
      </c>
      <c r="D11252" s="7">
        <v>32.99</v>
      </c>
      <c r="E11252" t="s">
        <v>21</v>
      </c>
    </row>
    <row r="11253" spans="1:5" x14ac:dyDescent="0.25">
      <c r="A11253" t="str">
        <f>HYPERLINK("https://www.773grp.com/globalSearch/DS26C31MJ-883/page-1", "DS26C31MJ-883")</f>
        <v>DS26C31MJ-883</v>
      </c>
      <c r="B11253" s="3" t="str">
        <f>HYPERLINK("https://www.773grp.com/manufacturer/national-semiconductor?pageNo=130", "National Semiconductor")</f>
        <v>National Semiconductor</v>
      </c>
      <c r="C11253" s="6">
        <v>5</v>
      </c>
      <c r="D11253" s="7">
        <v>32.99</v>
      </c>
      <c r="E11253" t="s">
        <v>21</v>
      </c>
    </row>
    <row r="11254" spans="1:5" x14ac:dyDescent="0.25">
      <c r="A11254" t="str">
        <f>HYPERLINK("https://www.773grp.com/globalSearch/913HC/page-1", "913HC")</f>
        <v>913HC</v>
      </c>
      <c r="B11254" s="3" t="str">
        <f>HYPERLINK("https://www.773grp.com/manufacturer/national-semiconductor?pageNo=131", "National Semiconductor")</f>
        <v>National Semiconductor</v>
      </c>
      <c r="C11254" s="6">
        <v>754</v>
      </c>
      <c r="D11254" s="7">
        <v>33.04</v>
      </c>
    </row>
    <row r="11255" spans="1:5" x14ac:dyDescent="0.25">
      <c r="A11255" t="str">
        <f>HYPERLINK("https://www.773grp.com/globalSearch/5496FM/page-1", "5496FM")</f>
        <v>5496FM</v>
      </c>
      <c r="B11255" s="3" t="str">
        <f>HYPERLINK("https://www.773grp.com/manufacturer/national-semiconductor?pageNo=132", "National Semiconductor")</f>
        <v>National Semiconductor</v>
      </c>
      <c r="C11255" s="6">
        <v>323</v>
      </c>
      <c r="D11255" s="7">
        <v>33.11</v>
      </c>
    </row>
    <row r="11256" spans="1:5" x14ac:dyDescent="0.25">
      <c r="A11256" t="str">
        <f>HYPERLINK("https://www.773grp.com/globalSearch/DM54LS181W-883/page-1", "DM54LS181W-883")</f>
        <v>DM54LS181W-883</v>
      </c>
      <c r="B11256" s="3" t="str">
        <f>HYPERLINK("https://www.773grp.com/manufacturer/national-semiconductor?pageNo=133", "National Semiconductor")</f>
        <v>National Semiconductor</v>
      </c>
      <c r="C11256" s="6">
        <v>259</v>
      </c>
      <c r="D11256" s="7">
        <v>33.11</v>
      </c>
    </row>
    <row r="11257" spans="1:5" x14ac:dyDescent="0.25">
      <c r="A11257" t="str">
        <f>HYPERLINK("https://www.773grp.com/globalSearch/LMH0034MAX/page-1", "LMH0034MAX")</f>
        <v>LMH0034MAX</v>
      </c>
      <c r="B11257" s="3" t="str">
        <f>HYPERLINK("https://www.773grp.com/manufacturer/national-semiconductor?pageNo=134", "National Semiconductor")</f>
        <v>National Semiconductor</v>
      </c>
      <c r="C11257" s="6">
        <v>2500</v>
      </c>
      <c r="D11257" s="7">
        <v>33.19</v>
      </c>
      <c r="E11257" t="s">
        <v>78</v>
      </c>
    </row>
    <row r="11258" spans="1:5" x14ac:dyDescent="0.25">
      <c r="A11258" t="str">
        <f>HYPERLINK("https://www.773grp.com/globalSearch/JM38510-07001BCA/page-1", "JM38510-07001BCA")</f>
        <v>JM38510-07001BCA</v>
      </c>
      <c r="B11258" s="3" t="str">
        <f>HYPERLINK("https://www.773grp.com/manufacturer/national-semiconductor?pageNo=1", "National Semiconductor")</f>
        <v>National Semiconductor</v>
      </c>
      <c r="C11258" s="6">
        <v>240</v>
      </c>
      <c r="D11258" s="7">
        <v>33.21</v>
      </c>
      <c r="E11258" t="s">
        <v>31</v>
      </c>
    </row>
    <row r="11259" spans="1:5" x14ac:dyDescent="0.25">
      <c r="A11259" t="str">
        <f>HYPERLINK("https://www.773grp.com/globalSearch/54F657SDMQB/page-1", "54F657SDMQB")</f>
        <v>54F657SDMQB</v>
      </c>
      <c r="B11259" s="3" t="str">
        <f>HYPERLINK("https://www.773grp.com/manufacturer/national-semiconductor?pageNo=2", "National Semiconductor")</f>
        <v>National Semiconductor</v>
      </c>
      <c r="C11259" s="6">
        <v>411</v>
      </c>
      <c r="D11259" s="7">
        <v>33.299999999999997</v>
      </c>
      <c r="E11259" t="s">
        <v>14</v>
      </c>
    </row>
    <row r="11260" spans="1:5" x14ac:dyDescent="0.25">
      <c r="A11260" t="str">
        <f>HYPERLINK("https://www.773grp.com/globalSearch/JM38510-07301BCA/page-1", "JM38510-07301BCA")</f>
        <v>JM38510-07301BCA</v>
      </c>
      <c r="B11260" s="3" t="str">
        <f>HYPERLINK("https://www.773grp.com/manufacturer/national-semiconductor?pageNo=3", "National Semiconductor")</f>
        <v>National Semiconductor</v>
      </c>
      <c r="C11260" s="6">
        <v>5531</v>
      </c>
      <c r="D11260" s="7">
        <v>33.299999999999997</v>
      </c>
      <c r="E11260" t="s">
        <v>31</v>
      </c>
    </row>
    <row r="11261" spans="1:5" x14ac:dyDescent="0.25">
      <c r="A11261" t="str">
        <f>HYPERLINK("https://www.773grp.com/globalSearch/LMH0344SQ-NOPB/page-1", "LMH0344SQ-NOPB")</f>
        <v>LMH0344SQ-NOPB</v>
      </c>
      <c r="B11261" s="3" t="str">
        <f>HYPERLINK("https://www.773grp.com/manufacturer/national-semiconductor?pageNo=4", "National Semiconductor")</f>
        <v>National Semiconductor</v>
      </c>
      <c r="C11261" s="6">
        <v>491</v>
      </c>
      <c r="D11261" s="7">
        <v>33.33</v>
      </c>
      <c r="E11261" t="s">
        <v>78</v>
      </c>
    </row>
    <row r="11262" spans="1:5" x14ac:dyDescent="0.25">
      <c r="A11262" t="str">
        <f>HYPERLINK("https://www.773grp.com/globalSearch/LMH0344GR-NOPB/page-1", "LMH0344GR-NOPB")</f>
        <v>LMH0344GR-NOPB</v>
      </c>
      <c r="B11262" s="3" t="str">
        <f>HYPERLINK("https://www.773grp.com/manufacturer/national-semiconductor?pageNo=5", "National Semiconductor")</f>
        <v>National Semiconductor</v>
      </c>
      <c r="C11262" s="6">
        <v>6000</v>
      </c>
      <c r="D11262" s="7">
        <v>33.33</v>
      </c>
    </row>
    <row r="11263" spans="1:5" x14ac:dyDescent="0.25">
      <c r="A11263" t="str">
        <f>HYPERLINK("https://www.773grp.com/globalSearch/LMH0344SQ-NOPB/page-1", "LMH0344SQ-NOPB")</f>
        <v>LMH0344SQ-NOPB</v>
      </c>
      <c r="B11263" s="3" t="str">
        <f>HYPERLINK("https://www.773grp.com/manufacturer/national-semiconductor?pageNo=6", "National Semiconductor")</f>
        <v>National Semiconductor</v>
      </c>
      <c r="C11263" s="6">
        <v>219</v>
      </c>
      <c r="D11263" s="7">
        <v>33.33</v>
      </c>
      <c r="E11263" t="s">
        <v>78</v>
      </c>
    </row>
    <row r="11264" spans="1:5" x14ac:dyDescent="0.25">
      <c r="A11264" t="str">
        <f>HYPERLINK("https://www.773grp.com/globalSearch/LM101AJ-883/page-1", "LM101AJ-883")</f>
        <v>LM101AJ-883</v>
      </c>
      <c r="B11264" s="3" t="str">
        <f>HYPERLINK("https://www.773grp.com/manufacturer/national-semiconductor?pageNo=7", "National Semiconductor")</f>
        <v>National Semiconductor</v>
      </c>
      <c r="C11264" s="6">
        <v>2542</v>
      </c>
      <c r="D11264" s="7">
        <v>33.36</v>
      </c>
      <c r="E11264" t="s">
        <v>13</v>
      </c>
    </row>
    <row r="11265" spans="1:5" x14ac:dyDescent="0.25">
      <c r="A11265" t="str">
        <f>HYPERLINK("https://www.773grp.com/globalSearch/LM101AJ-883/page-1", "LM101AJ-883")</f>
        <v>LM101AJ-883</v>
      </c>
      <c r="B11265" s="3" t="str">
        <f>HYPERLINK("https://www.773grp.com/manufacturer/national-semiconductor?pageNo=8", "National Semiconductor")</f>
        <v>National Semiconductor</v>
      </c>
      <c r="C11265" s="6">
        <v>89</v>
      </c>
      <c r="D11265" s="7">
        <v>33.36</v>
      </c>
      <c r="E11265" t="s">
        <v>13</v>
      </c>
    </row>
    <row r="11266" spans="1:5" x14ac:dyDescent="0.25">
      <c r="A11266" t="str">
        <f>HYPERLINK("https://www.773grp.com/globalSearch/LM193AJ-883/page-1", "LM193AJ-883")</f>
        <v>LM193AJ-883</v>
      </c>
      <c r="B11266" s="3" t="str">
        <f>HYPERLINK("https://www.773grp.com/manufacturer/national-semiconductor?pageNo=9", "National Semiconductor")</f>
        <v>National Semiconductor</v>
      </c>
      <c r="C11266" s="6">
        <v>685</v>
      </c>
      <c r="D11266" s="7">
        <v>33.409999999999997</v>
      </c>
      <c r="E11266" t="s">
        <v>9</v>
      </c>
    </row>
    <row r="11267" spans="1:5" x14ac:dyDescent="0.25">
      <c r="A11267" t="str">
        <f>HYPERLINK("https://www.773grp.com/globalSearch/DS3883AV/page-1", "DS3883AV")</f>
        <v>DS3883AV</v>
      </c>
      <c r="B11267" s="3" t="str">
        <f>HYPERLINK("https://www.773grp.com/manufacturer/national-semiconductor?pageNo=10", "National Semiconductor")</f>
        <v>National Semiconductor</v>
      </c>
      <c r="C11267" s="6">
        <v>11255</v>
      </c>
      <c r="D11267" s="7">
        <v>33.46</v>
      </c>
      <c r="E11267" t="s">
        <v>21</v>
      </c>
    </row>
    <row r="11268" spans="1:5" x14ac:dyDescent="0.25">
      <c r="A11268" t="str">
        <f>HYPERLINK("https://www.773grp.com/globalSearch/JD54LS257B2A/page-1", "JD54LS257B2A")</f>
        <v>JD54LS257B2A</v>
      </c>
      <c r="B11268" s="3" t="str">
        <f>HYPERLINK("https://www.773grp.com/manufacturer/national-semiconductor?pageNo=11", "National Semiconductor")</f>
        <v>National Semiconductor</v>
      </c>
      <c r="C11268" s="6">
        <v>100</v>
      </c>
      <c r="D11268" s="7">
        <v>33.46</v>
      </c>
    </row>
    <row r="11269" spans="1:5" x14ac:dyDescent="0.25">
      <c r="A11269" t="str">
        <f>HYPERLINK("https://www.773grp.com/globalSearch/JM54HC138BEA/page-1", "JM54HC138BEA")</f>
        <v>JM54HC138BEA</v>
      </c>
      <c r="B11269" s="3" t="str">
        <f>HYPERLINK("https://www.773grp.com/manufacturer/national-semiconductor?pageNo=12", "National Semiconductor")</f>
        <v>National Semiconductor</v>
      </c>
      <c r="C11269" s="6">
        <v>37</v>
      </c>
      <c r="D11269" s="7">
        <v>33.46</v>
      </c>
    </row>
    <row r="11270" spans="1:5" x14ac:dyDescent="0.25">
      <c r="A11270" t="str">
        <f>HYPERLINK("https://www.773grp.com/globalSearch/MM82PC12NI/page-1", "MM82PC12NI")</f>
        <v>MM82PC12NI</v>
      </c>
      <c r="B11270" s="3" t="str">
        <f>HYPERLINK("https://www.773grp.com/manufacturer/national-semiconductor?pageNo=13", "National Semiconductor")</f>
        <v>National Semiconductor</v>
      </c>
      <c r="C11270" s="6">
        <v>7115</v>
      </c>
      <c r="D11270" s="7">
        <v>33.46</v>
      </c>
    </row>
    <row r="11271" spans="1:5" x14ac:dyDescent="0.25">
      <c r="A11271" t="str">
        <f>HYPERLINK("https://www.773grp.com/globalSearch/937FM/page-1", "937FM")</f>
        <v>937FM</v>
      </c>
      <c r="B11271" s="3" t="str">
        <f>HYPERLINK("https://www.773grp.com/manufacturer/national-semiconductor?pageNo=14", "National Semiconductor")</f>
        <v>National Semiconductor</v>
      </c>
      <c r="C11271" s="6">
        <v>14</v>
      </c>
      <c r="D11271" s="7">
        <v>33.53</v>
      </c>
    </row>
    <row r="11272" spans="1:5" x14ac:dyDescent="0.25">
      <c r="A11272" t="str">
        <f>HYPERLINK("https://www.773grp.com/globalSearch/944FM/page-1", "944FM")</f>
        <v>944FM</v>
      </c>
      <c r="B11272" s="3" t="str">
        <f>HYPERLINK("https://www.773grp.com/manufacturer/national-semiconductor?pageNo=15", "National Semiconductor")</f>
        <v>National Semiconductor</v>
      </c>
      <c r="C11272" s="6">
        <v>2920</v>
      </c>
      <c r="D11272" s="7">
        <v>33.53</v>
      </c>
    </row>
    <row r="11273" spans="1:5" x14ac:dyDescent="0.25">
      <c r="A11273" t="str">
        <f>HYPERLINK("https://www.773grp.com/globalSearch/5444ADM/page-1", "5444ADM")</f>
        <v>5444ADM</v>
      </c>
      <c r="B11273" s="3" t="str">
        <f>HYPERLINK("https://www.773grp.com/manufacturer/national-semiconductor?pageNo=16", "National Semiconductor")</f>
        <v>National Semiconductor</v>
      </c>
      <c r="C11273" s="6">
        <v>334</v>
      </c>
      <c r="D11273" s="7">
        <v>33.549999999999997</v>
      </c>
    </row>
    <row r="11274" spans="1:5" x14ac:dyDescent="0.25">
      <c r="A11274" t="str">
        <f>HYPERLINK("https://www.773grp.com/globalSearch/9338DMQB/page-1", "9338DMQB")</f>
        <v>9338DMQB</v>
      </c>
      <c r="B11274" s="3" t="str">
        <f>HYPERLINK("https://www.773grp.com/manufacturer/national-semiconductor?pageNo=17", "National Semiconductor")</f>
        <v>National Semiconductor</v>
      </c>
      <c r="C11274" s="6">
        <v>348</v>
      </c>
      <c r="D11274" s="7">
        <v>33.549999999999997</v>
      </c>
      <c r="E11274" t="s">
        <v>83</v>
      </c>
    </row>
    <row r="11275" spans="1:5" x14ac:dyDescent="0.25">
      <c r="A11275" t="str">
        <f>HYPERLINK("https://www.773grp.com/globalSearch/COP8CCE9IMT9/page-1", "COP8CCE9IMT9")</f>
        <v>COP8CCE9IMT9</v>
      </c>
      <c r="B11275" s="3" t="str">
        <f>HYPERLINK("https://www.773grp.com/manufacturer/national-semiconductor?pageNo=18", "National Semiconductor")</f>
        <v>National Semiconductor</v>
      </c>
      <c r="C11275" s="6">
        <v>73</v>
      </c>
      <c r="D11275" s="7">
        <v>33.549999999999997</v>
      </c>
      <c r="E11275" t="s">
        <v>52</v>
      </c>
    </row>
    <row r="11276" spans="1:5" x14ac:dyDescent="0.25">
      <c r="A11276" t="str">
        <f>HYPERLINK("https://www.773grp.com/globalSearch/LMH0034MA-NOPB/page-1", "LMH0034MA-NOPB")</f>
        <v>LMH0034MA-NOPB</v>
      </c>
      <c r="B11276" s="3" t="str">
        <f>HYPERLINK("https://www.773grp.com/manufacturer/national-semiconductor?pageNo=19", "National Semiconductor")</f>
        <v>National Semiconductor</v>
      </c>
      <c r="C11276" s="6">
        <v>166</v>
      </c>
      <c r="D11276" s="7">
        <v>33.590000000000003</v>
      </c>
      <c r="E11276" t="s">
        <v>78</v>
      </c>
    </row>
    <row r="11277" spans="1:5" x14ac:dyDescent="0.25">
      <c r="A11277" t="str">
        <f>HYPERLINK("https://www.773grp.com/globalSearch/9003DM/page-1", "9003DM")</f>
        <v>9003DM</v>
      </c>
      <c r="B11277" s="3" t="str">
        <f>HYPERLINK("https://www.773grp.com/manufacturer/national-semiconductor?pageNo=20", "National Semiconductor")</f>
        <v>National Semiconductor</v>
      </c>
      <c r="C11277" s="6">
        <v>119</v>
      </c>
      <c r="D11277" s="7">
        <v>33.659999999999997</v>
      </c>
    </row>
    <row r="11278" spans="1:5" x14ac:dyDescent="0.25">
      <c r="A11278" t="str">
        <f>HYPERLINK("https://www.773grp.com/globalSearch/9005FM/page-1", "9005FM")</f>
        <v>9005FM</v>
      </c>
      <c r="B11278" s="3" t="str">
        <f>HYPERLINK("https://www.773grp.com/manufacturer/national-semiconductor?pageNo=21", "National Semiconductor")</f>
        <v>National Semiconductor</v>
      </c>
      <c r="C11278" s="6">
        <v>1307</v>
      </c>
      <c r="D11278" s="7">
        <v>33.659999999999997</v>
      </c>
    </row>
    <row r="11279" spans="1:5" x14ac:dyDescent="0.25">
      <c r="A11279" t="str">
        <f>HYPERLINK("https://www.773grp.com/globalSearch/9007FM/page-1", "9007FM")</f>
        <v>9007FM</v>
      </c>
      <c r="B11279" s="3" t="str">
        <f>HYPERLINK("https://www.773grp.com/manufacturer/national-semiconductor?pageNo=22", "National Semiconductor")</f>
        <v>National Semiconductor</v>
      </c>
      <c r="C11279" s="6">
        <v>50</v>
      </c>
      <c r="D11279" s="7">
        <v>33.659999999999997</v>
      </c>
    </row>
    <row r="11280" spans="1:5" x14ac:dyDescent="0.25">
      <c r="A11280" t="str">
        <f>HYPERLINK("https://www.773grp.com/globalSearch/9008FM/page-1", "9008FM")</f>
        <v>9008FM</v>
      </c>
      <c r="B11280" s="3" t="str">
        <f>HYPERLINK("https://www.773grp.com/manufacturer/national-semiconductor?pageNo=23", "National Semiconductor")</f>
        <v>National Semiconductor</v>
      </c>
      <c r="C11280" s="6">
        <v>1680</v>
      </c>
      <c r="D11280" s="7">
        <v>33.659999999999997</v>
      </c>
    </row>
    <row r="11281" spans="1:5" x14ac:dyDescent="0.25">
      <c r="A11281" t="str">
        <f>HYPERLINK("https://www.773grp.com/globalSearch/9302FM/page-1", "9302FM")</f>
        <v>9302FM</v>
      </c>
      <c r="B11281" s="3" t="str">
        <f>HYPERLINK("https://www.773grp.com/manufacturer/national-semiconductor?pageNo=24", "National Semiconductor")</f>
        <v>National Semiconductor</v>
      </c>
      <c r="C11281" s="6">
        <v>682</v>
      </c>
      <c r="D11281" s="7">
        <v>33.659999999999997</v>
      </c>
    </row>
    <row r="11282" spans="1:5" x14ac:dyDescent="0.25">
      <c r="A11282" t="str">
        <f>HYPERLINK("https://www.773grp.com/globalSearch/ADC12L066CIVY-NOPB/page-1", "ADC12L066CIVY-NOPB")</f>
        <v>ADC12L066CIVY-NOPB</v>
      </c>
      <c r="B11282" s="3" t="str">
        <f>HYPERLINK("https://www.773grp.com/manufacturer/national-semiconductor?pageNo=25", "National Semiconductor")</f>
        <v>National Semiconductor</v>
      </c>
      <c r="C11282" s="6">
        <v>452</v>
      </c>
      <c r="D11282" s="7">
        <v>33.659999999999997</v>
      </c>
      <c r="E11282" t="s">
        <v>39</v>
      </c>
    </row>
    <row r="11283" spans="1:5" x14ac:dyDescent="0.25">
      <c r="A11283" t="str">
        <f>HYPERLINK("https://www.773grp.com/globalSearch/ADC12L066CIVY-NOPB/page-1", "ADC12L066CIVY-NOPB")</f>
        <v>ADC12L066CIVY-NOPB</v>
      </c>
      <c r="B11283" s="3" t="str">
        <f>HYPERLINK("https://www.773grp.com/manufacturer/national-semiconductor?pageNo=26", "National Semiconductor")</f>
        <v>National Semiconductor</v>
      </c>
      <c r="C11283" s="6">
        <v>495</v>
      </c>
      <c r="D11283" s="7">
        <v>33.659999999999997</v>
      </c>
      <c r="E11283" t="s">
        <v>39</v>
      </c>
    </row>
    <row r="11284" spans="1:5" x14ac:dyDescent="0.25">
      <c r="A11284" t="str">
        <f>HYPERLINK("https://www.773grp.com/globalSearch/100101J-MIL/page-1", "100101J-MIL")</f>
        <v>100101J-MIL</v>
      </c>
      <c r="B11284" s="3" t="str">
        <f>HYPERLINK("https://www.773grp.com/manufacturer/national-semiconductor?pageNo=27", "National Semiconductor")</f>
        <v>National Semiconductor</v>
      </c>
      <c r="C11284" s="6">
        <v>1042</v>
      </c>
      <c r="D11284" s="7">
        <v>33.75</v>
      </c>
    </row>
    <row r="11285" spans="1:5" x14ac:dyDescent="0.25">
      <c r="A11285" t="str">
        <f>HYPERLINK("https://www.773grp.com/globalSearch/100104J-MIL/page-1", "100104J-MIL")</f>
        <v>100104J-MIL</v>
      </c>
      <c r="B11285" s="3" t="str">
        <f>HYPERLINK("https://www.773grp.com/manufacturer/national-semiconductor?pageNo=28", "National Semiconductor")</f>
        <v>National Semiconductor</v>
      </c>
      <c r="C11285" s="6">
        <v>1191</v>
      </c>
      <c r="D11285" s="7">
        <v>33.75</v>
      </c>
    </row>
    <row r="11286" spans="1:5" x14ac:dyDescent="0.25">
      <c r="A11286" t="str">
        <f>HYPERLINK("https://www.773grp.com/globalSearch/100107J-MIL/page-1", "100107J-MIL")</f>
        <v>100107J-MIL</v>
      </c>
      <c r="B11286" s="3" t="str">
        <f>HYPERLINK("https://www.773grp.com/manufacturer/national-semiconductor?pageNo=29", "National Semiconductor")</f>
        <v>National Semiconductor</v>
      </c>
      <c r="C11286" s="6">
        <v>677</v>
      </c>
      <c r="D11286" s="7">
        <v>33.75</v>
      </c>
    </row>
    <row r="11287" spans="1:5" x14ac:dyDescent="0.25">
      <c r="A11287" t="str">
        <f>HYPERLINK("https://www.773grp.com/globalSearch/100122J-MIL/page-1", "100122J-MIL")</f>
        <v>100122J-MIL</v>
      </c>
      <c r="B11287" s="3" t="str">
        <f>HYPERLINK("https://www.773grp.com/manufacturer/national-semiconductor?pageNo=30", "National Semiconductor")</f>
        <v>National Semiconductor</v>
      </c>
      <c r="C11287" s="6">
        <v>1457</v>
      </c>
      <c r="D11287" s="7">
        <v>33.75</v>
      </c>
    </row>
    <row r="11288" spans="1:5" x14ac:dyDescent="0.25">
      <c r="A11288" t="str">
        <f>HYPERLINK("https://www.773grp.com/globalSearch/10422DCQR/page-1", "10422DCQR")</f>
        <v>10422DCQR</v>
      </c>
      <c r="B11288" s="3" t="str">
        <f>HYPERLINK("https://www.773grp.com/manufacturer/national-semiconductor?pageNo=31", "National Semiconductor")</f>
        <v>National Semiconductor</v>
      </c>
      <c r="C11288" s="6">
        <v>557</v>
      </c>
      <c r="D11288" s="7">
        <v>33.75</v>
      </c>
    </row>
    <row r="11289" spans="1:5" x14ac:dyDescent="0.25">
      <c r="A11289" t="str">
        <f>HYPERLINK("https://www.773grp.com/globalSearch/9093DMQB/page-1", "9093DMQB")</f>
        <v>9093DMQB</v>
      </c>
      <c r="B11289" s="3" t="str">
        <f>HYPERLINK("https://www.773grp.com/manufacturer/national-semiconductor?pageNo=32", "National Semiconductor")</f>
        <v>National Semiconductor</v>
      </c>
      <c r="C11289" s="6">
        <v>11</v>
      </c>
      <c r="D11289" s="7">
        <v>33.75</v>
      </c>
    </row>
    <row r="11290" spans="1:5" x14ac:dyDescent="0.25">
      <c r="A11290" t="str">
        <f>HYPERLINK("https://www.773grp.com/globalSearch/93L422DM/page-1", "93L422DM")</f>
        <v>93L422DM</v>
      </c>
      <c r="B11290" s="3" t="str">
        <f>HYPERLINK("https://www.773grp.com/manufacturer/national-semiconductor?pageNo=33", "National Semiconductor")</f>
        <v>National Semiconductor</v>
      </c>
      <c r="C11290" s="6">
        <v>241</v>
      </c>
      <c r="D11290" s="7">
        <v>33.75</v>
      </c>
      <c r="E11290" t="s">
        <v>75</v>
      </c>
    </row>
    <row r="11291" spans="1:5" x14ac:dyDescent="0.25">
      <c r="A11291" t="str">
        <f>HYPERLINK("https://www.773grp.com/globalSearch/ADC12DL040CIVS-NOPB/page-1", "ADC12DL040CIVS-NOPB")</f>
        <v>ADC12DL040CIVS-NOPB</v>
      </c>
      <c r="B11291" s="3" t="str">
        <f>HYPERLINK("https://www.773grp.com/manufacturer/national-semiconductor?pageNo=34", "National Semiconductor")</f>
        <v>National Semiconductor</v>
      </c>
      <c r="C11291" s="6">
        <v>127</v>
      </c>
      <c r="D11291" s="7">
        <v>33.75</v>
      </c>
      <c r="E11291" t="s">
        <v>39</v>
      </c>
    </row>
    <row r="11292" spans="1:5" x14ac:dyDescent="0.25">
      <c r="A11292" t="str">
        <f>HYPERLINK("https://www.773grp.com/globalSearch/ADC14L020CIVY-NOPB/page-1", "ADC14L020CIVY-NOPB")</f>
        <v>ADC14L020CIVY-NOPB</v>
      </c>
      <c r="B11292" s="3" t="str">
        <f>HYPERLINK("https://www.773grp.com/manufacturer/national-semiconductor?pageNo=35", "National Semiconductor")</f>
        <v>National Semiconductor</v>
      </c>
      <c r="C11292" s="6">
        <v>648</v>
      </c>
      <c r="D11292" s="7">
        <v>33.75</v>
      </c>
    </row>
    <row r="11293" spans="1:5" x14ac:dyDescent="0.25">
      <c r="A11293" t="str">
        <f>HYPERLINK("https://www.773grp.com/globalSearch/DS3883AVB/page-1", "DS3883AVB")</f>
        <v>DS3883AVB</v>
      </c>
      <c r="B11293" s="3" t="str">
        <f>HYPERLINK("https://www.773grp.com/manufacturer/national-semiconductor?pageNo=36", "National Semiconductor")</f>
        <v>National Semiconductor</v>
      </c>
      <c r="C11293" s="6">
        <v>1047</v>
      </c>
      <c r="D11293" s="7">
        <v>33.75</v>
      </c>
      <c r="E11293" t="s">
        <v>21</v>
      </c>
    </row>
    <row r="11294" spans="1:5" x14ac:dyDescent="0.25">
      <c r="A11294" t="str">
        <f>HYPERLINK("https://www.773grp.com/globalSearch/DS3883AVX/page-1", "DS3883AVX")</f>
        <v>DS3883AVX</v>
      </c>
      <c r="B11294" s="3" t="str">
        <f>HYPERLINK("https://www.773grp.com/manufacturer/national-semiconductor?pageNo=37", "National Semiconductor")</f>
        <v>National Semiconductor</v>
      </c>
      <c r="C11294" s="6">
        <v>1500</v>
      </c>
      <c r="D11294" s="7">
        <v>33.75</v>
      </c>
      <c r="E11294" t="s">
        <v>21</v>
      </c>
    </row>
    <row r="11295" spans="1:5" x14ac:dyDescent="0.25">
      <c r="A11295" t="str">
        <f>HYPERLINK("https://www.773grp.com/globalSearch/ADC12DL040CIVS-NOPB/page-1", "ADC12DL040CIVS-NOPB")</f>
        <v>ADC12DL040CIVS-NOPB</v>
      </c>
      <c r="B11295" s="3" t="str">
        <f>HYPERLINK("https://www.773grp.com/manufacturer/national-semiconductor?pageNo=38", "National Semiconductor")</f>
        <v>National Semiconductor</v>
      </c>
      <c r="C11295" s="6">
        <v>134</v>
      </c>
      <c r="D11295" s="7">
        <v>33.75</v>
      </c>
      <c r="E11295" t="s">
        <v>39</v>
      </c>
    </row>
    <row r="11296" spans="1:5" x14ac:dyDescent="0.25">
      <c r="A11296" t="str">
        <f>HYPERLINK("https://www.773grp.com/globalSearch/ADC14L020CIVY-NOPB/page-1", "ADC14L020CIVY-NOPB")</f>
        <v>ADC14L020CIVY-NOPB</v>
      </c>
      <c r="B11296" s="3" t="str">
        <f>HYPERLINK("https://www.773grp.com/manufacturer/national-semiconductor?pageNo=39", "National Semiconductor")</f>
        <v>National Semiconductor</v>
      </c>
      <c r="C11296" s="6">
        <v>302</v>
      </c>
      <c r="D11296" s="7">
        <v>33.75</v>
      </c>
    </row>
    <row r="11297" spans="1:5" x14ac:dyDescent="0.25">
      <c r="A11297" t="str">
        <f>HYPERLINK("https://www.773grp.com/globalSearch/8601401CA/page-1", "8601401CA")</f>
        <v>8601401CA</v>
      </c>
      <c r="B11297" s="3" t="str">
        <f>HYPERLINK("https://www.773grp.com/manufacturer/national-semiconductor?pageNo=40", "National Semiconductor")</f>
        <v>National Semiconductor</v>
      </c>
      <c r="C11297" s="6">
        <v>1631</v>
      </c>
      <c r="D11297" s="7">
        <v>33.89</v>
      </c>
      <c r="E11297" t="s">
        <v>9</v>
      </c>
    </row>
    <row r="11298" spans="1:5" x14ac:dyDescent="0.25">
      <c r="A11298" t="str">
        <f>HYPERLINK("https://www.773grp.com/globalSearch/LM119J-883/page-1", "LM119J-883")</f>
        <v>LM119J-883</v>
      </c>
      <c r="B11298" s="3" t="str">
        <f>HYPERLINK("https://www.773grp.com/manufacturer/national-semiconductor?pageNo=41", "National Semiconductor")</f>
        <v>National Semiconductor</v>
      </c>
      <c r="C11298" s="6">
        <v>1073</v>
      </c>
      <c r="D11298" s="7">
        <v>33.93</v>
      </c>
      <c r="E11298" t="s">
        <v>9</v>
      </c>
    </row>
    <row r="11299" spans="1:5" x14ac:dyDescent="0.25">
      <c r="A11299" t="str">
        <f>HYPERLINK("https://www.773grp.com/globalSearch/LM119J-883/page-1", "LM119J-883")</f>
        <v>LM119J-883</v>
      </c>
      <c r="B11299" s="3" t="str">
        <f>HYPERLINK("https://www.773grp.com/manufacturer/national-semiconductor?pageNo=42", "National Semiconductor")</f>
        <v>National Semiconductor</v>
      </c>
      <c r="C11299" s="6">
        <v>25</v>
      </c>
      <c r="D11299" s="7">
        <v>33.93</v>
      </c>
      <c r="E11299" t="s">
        <v>9</v>
      </c>
    </row>
    <row r="11300" spans="1:5" x14ac:dyDescent="0.25">
      <c r="A11300" t="str">
        <f>HYPERLINK("https://www.773grp.com/globalSearch/5477DM/page-1", "5477DM")</f>
        <v>5477DM</v>
      </c>
      <c r="B11300" s="3" t="str">
        <f>HYPERLINK("https://www.773grp.com/manufacturer/national-semiconductor?pageNo=43", "National Semiconductor")</f>
        <v>National Semiconductor</v>
      </c>
      <c r="C11300" s="6">
        <v>861</v>
      </c>
      <c r="D11300" s="7">
        <v>34.049999999999997</v>
      </c>
    </row>
    <row r="11301" spans="1:5" x14ac:dyDescent="0.25">
      <c r="A11301" t="str">
        <f>HYPERLINK("https://www.773grp.com/globalSearch/5962-8771002GA/page-1", "5962-8771002GA")</f>
        <v>5962-8771002GA</v>
      </c>
      <c r="B11301" s="3" t="str">
        <f>HYPERLINK("https://www.773grp.com/manufacturer/national-semiconductor?pageNo=44", "National Semiconductor")</f>
        <v>National Semiconductor</v>
      </c>
      <c r="C11301" s="6">
        <v>269</v>
      </c>
      <c r="D11301" s="7">
        <v>34.049999999999997</v>
      </c>
      <c r="E11301" t="s">
        <v>13</v>
      </c>
    </row>
    <row r="11302" spans="1:5" x14ac:dyDescent="0.25">
      <c r="A11302" t="str">
        <f>HYPERLINK("https://www.773grp.com/globalSearch/7704302XA/page-1", "7704302XA")</f>
        <v>7704302XA</v>
      </c>
      <c r="B11302" s="3" t="str">
        <f>HYPERLINK("https://www.773grp.com/manufacturer/national-semiconductor?pageNo=45", "National Semiconductor")</f>
        <v>National Semiconductor</v>
      </c>
      <c r="C11302" s="6">
        <v>90</v>
      </c>
      <c r="D11302" s="7">
        <v>34.049999999999997</v>
      </c>
      <c r="E11302" t="s">
        <v>13</v>
      </c>
    </row>
    <row r="11303" spans="1:5" x14ac:dyDescent="0.25">
      <c r="A11303" t="str">
        <f>HYPERLINK("https://www.773grp.com/globalSearch/9L54DM/page-1", "9L54DM")</f>
        <v>9L54DM</v>
      </c>
      <c r="B11303" s="3" t="str">
        <f>HYPERLINK("https://www.773grp.com/manufacturer/national-semiconductor?pageNo=46", "National Semiconductor")</f>
        <v>National Semiconductor</v>
      </c>
      <c r="C11303" s="6">
        <v>3184</v>
      </c>
      <c r="D11303" s="7">
        <v>34.049999999999997</v>
      </c>
    </row>
    <row r="11304" spans="1:5" x14ac:dyDescent="0.25">
      <c r="A11304" t="str">
        <f>HYPERLINK("https://www.773grp.com/globalSearch/LM124AWG-883/page-1", "LM124AWG-883")</f>
        <v>LM124AWG-883</v>
      </c>
      <c r="B11304" s="3" t="str">
        <f>HYPERLINK("https://www.773grp.com/manufacturer/national-semiconductor?pageNo=47", "National Semiconductor")</f>
        <v>National Semiconductor</v>
      </c>
      <c r="C11304" s="6">
        <v>59</v>
      </c>
      <c r="D11304" s="7">
        <v>34.049999999999997</v>
      </c>
      <c r="E11304" t="s">
        <v>13</v>
      </c>
    </row>
    <row r="11305" spans="1:5" x14ac:dyDescent="0.25">
      <c r="A11305" t="str">
        <f>HYPERLINK("https://www.773grp.com/globalSearch/LM158AH-883/page-1", "LM158AH-883")</f>
        <v>LM158AH-883</v>
      </c>
      <c r="B11305" s="3" t="str">
        <f>HYPERLINK("https://www.773grp.com/manufacturer/national-semiconductor?pageNo=48", "National Semiconductor")</f>
        <v>National Semiconductor</v>
      </c>
      <c r="C11305" s="6">
        <v>733</v>
      </c>
      <c r="D11305" s="7">
        <v>34.049999999999997</v>
      </c>
    </row>
    <row r="11306" spans="1:5" x14ac:dyDescent="0.25">
      <c r="A11306" t="str">
        <f>HYPERLINK("https://www.773grp.com/globalSearch/5962-8773901DA/page-1", "5962-8773901DA")</f>
        <v>5962-8773901DA</v>
      </c>
      <c r="B11306" s="3" t="str">
        <f>HYPERLINK("https://www.773grp.com/manufacturer/national-semiconductor?pageNo=49", "National Semiconductor")</f>
        <v>National Semiconductor</v>
      </c>
      <c r="C11306" s="6">
        <v>9</v>
      </c>
      <c r="D11306" s="7">
        <v>34.229999999999997</v>
      </c>
      <c r="E11306" t="s">
        <v>9</v>
      </c>
    </row>
    <row r="11307" spans="1:5" x14ac:dyDescent="0.25">
      <c r="A11307" t="str">
        <f>HYPERLINK("https://www.773grp.com/globalSearch/DM54L10W-883/page-1", "DM54L10W-883")</f>
        <v>DM54L10W-883</v>
      </c>
      <c r="B11307" s="3" t="str">
        <f>HYPERLINK("https://www.773grp.com/manufacturer/national-semiconductor?pageNo=50", "National Semiconductor")</f>
        <v>National Semiconductor</v>
      </c>
      <c r="C11307" s="6">
        <v>73</v>
      </c>
      <c r="D11307" s="7">
        <v>34.31</v>
      </c>
      <c r="E11307" t="s">
        <v>31</v>
      </c>
    </row>
    <row r="11308" spans="1:5" x14ac:dyDescent="0.25">
      <c r="A11308" t="str">
        <f>HYPERLINK("https://www.773grp.com/globalSearch/DM54L73J-883/page-1", "DM54L73J-883")</f>
        <v>DM54L73J-883</v>
      </c>
      <c r="B11308" s="3" t="str">
        <f>HYPERLINK("https://www.773grp.com/manufacturer/national-semiconductor?pageNo=51", "National Semiconductor")</f>
        <v>National Semiconductor</v>
      </c>
      <c r="C11308" s="6">
        <v>47</v>
      </c>
      <c r="D11308" s="7">
        <v>34.31</v>
      </c>
      <c r="E11308" t="s">
        <v>35</v>
      </c>
    </row>
    <row r="11309" spans="1:5" x14ac:dyDescent="0.25">
      <c r="A11309" t="str">
        <f>HYPERLINK("https://www.773grp.com/globalSearch/DM54L73W-883/page-1", "DM54L73W-883")</f>
        <v>DM54L73W-883</v>
      </c>
      <c r="B11309" s="3" t="str">
        <f>HYPERLINK("https://www.773grp.com/manufacturer/national-semiconductor?pageNo=52", "National Semiconductor")</f>
        <v>National Semiconductor</v>
      </c>
      <c r="C11309" s="6">
        <v>134</v>
      </c>
      <c r="D11309" s="7">
        <v>34.31</v>
      </c>
      <c r="E11309" t="s">
        <v>35</v>
      </c>
    </row>
    <row r="11310" spans="1:5" x14ac:dyDescent="0.25">
      <c r="A11310" t="str">
        <f>HYPERLINK("https://www.773grp.com/globalSearch/LM140H-24-883/page-1", "LM140H-24-883")</f>
        <v>LM140H-24-883</v>
      </c>
      <c r="B11310" s="3" t="str">
        <f>HYPERLINK("https://www.773grp.com/manufacturer/national-semiconductor?pageNo=53", "National Semiconductor")</f>
        <v>National Semiconductor</v>
      </c>
      <c r="C11310" s="6">
        <v>1223</v>
      </c>
      <c r="D11310" s="7">
        <v>34.31</v>
      </c>
      <c r="E11310" t="s">
        <v>28</v>
      </c>
    </row>
    <row r="11311" spans="1:5" x14ac:dyDescent="0.25">
      <c r="A11311" t="str">
        <f>HYPERLINK("https://www.773grp.com/globalSearch/54H04FM/page-1", "54H04FM")</f>
        <v>54H04FM</v>
      </c>
      <c r="B11311" s="3" t="str">
        <f>HYPERLINK("https://www.773grp.com/manufacturer/national-semiconductor?pageNo=54", "National Semiconductor")</f>
        <v>National Semiconductor</v>
      </c>
      <c r="C11311" s="6">
        <v>5654</v>
      </c>
      <c r="D11311" s="7">
        <v>34.380000000000003</v>
      </c>
    </row>
    <row r="11312" spans="1:5" x14ac:dyDescent="0.25">
      <c r="A11312" t="str">
        <f>HYPERLINK("https://www.773grp.com/globalSearch/LM119J/page-1", "LM119J")</f>
        <v>LM119J</v>
      </c>
      <c r="B11312" s="3" t="str">
        <f>HYPERLINK("https://www.773grp.com/manufacturer/national-semiconductor?pageNo=55", "National Semiconductor")</f>
        <v>National Semiconductor</v>
      </c>
      <c r="C11312" s="6">
        <v>86</v>
      </c>
      <c r="D11312" s="7">
        <v>34.39</v>
      </c>
      <c r="E11312" t="s">
        <v>9</v>
      </c>
    </row>
    <row r="11313" spans="1:5" x14ac:dyDescent="0.25">
      <c r="A11313" t="str">
        <f>HYPERLINK("https://www.773grp.com/globalSearch/CP3BT10K38/page-1", "CP3BT10K38")</f>
        <v>CP3BT10K38</v>
      </c>
      <c r="B11313" s="3" t="str">
        <f>HYPERLINK("https://www.773grp.com/manufacturer/national-semiconductor?pageNo=56", "National Semiconductor")</f>
        <v>National Semiconductor</v>
      </c>
      <c r="C11313" s="6">
        <v>198</v>
      </c>
      <c r="D11313" s="7">
        <v>34.43</v>
      </c>
    </row>
    <row r="11314" spans="1:5" x14ac:dyDescent="0.25">
      <c r="A11314" t="str">
        <f>HYPERLINK("https://www.773grp.com/globalSearch/DAC7624U/page-1", "DAC7624U")</f>
        <v>DAC7624U</v>
      </c>
      <c r="B11314" s="3" t="str">
        <f>HYPERLINK("https://www.773grp.com/manufacturer/national-semiconductor?pageNo=57", "National Semiconductor")</f>
        <v>National Semiconductor</v>
      </c>
      <c r="C11314" s="6">
        <v>260</v>
      </c>
      <c r="D11314" s="7">
        <v>34.46</v>
      </c>
    </row>
    <row r="11315" spans="1:5" x14ac:dyDescent="0.25">
      <c r="A11315" t="str">
        <f>HYPERLINK("https://www.773grp.com/globalSearch/100181DCQR/page-1", "100181DCQR")</f>
        <v>100181DCQR</v>
      </c>
      <c r="B11315" s="3" t="str">
        <f>HYPERLINK("https://www.773grp.com/manufacturer/national-semiconductor?pageNo=58", "National Semiconductor")</f>
        <v>National Semiconductor</v>
      </c>
      <c r="C11315" s="6">
        <v>642</v>
      </c>
      <c r="D11315" s="7">
        <v>34.54</v>
      </c>
      <c r="E11315" t="s">
        <v>43</v>
      </c>
    </row>
    <row r="11316" spans="1:5" x14ac:dyDescent="0.25">
      <c r="A11316" t="str">
        <f>HYPERLINK("https://www.773grp.com/globalSearch/9016FM/page-1", "9016FM")</f>
        <v>9016FM</v>
      </c>
      <c r="B11316" s="3" t="str">
        <f>HYPERLINK("https://www.773grp.com/manufacturer/national-semiconductor?pageNo=59", "National Semiconductor")</f>
        <v>National Semiconductor</v>
      </c>
      <c r="C11316" s="6">
        <v>660</v>
      </c>
      <c r="D11316" s="7">
        <v>34.6</v>
      </c>
    </row>
    <row r="11317" spans="1:5" x14ac:dyDescent="0.25">
      <c r="A11317" t="str">
        <f>HYPERLINK("https://www.773grp.com/globalSearch/ADC1031BIN/page-1", "ADC1031BIN")</f>
        <v>ADC1031BIN</v>
      </c>
      <c r="B11317" s="3" t="str">
        <f>HYPERLINK("https://www.773grp.com/manufacturer/national-semiconductor?pageNo=60", "National Semiconductor")</f>
        <v>National Semiconductor</v>
      </c>
      <c r="C11317" s="6">
        <v>822</v>
      </c>
      <c r="D11317" s="7">
        <v>34.6</v>
      </c>
      <c r="E11317" t="s">
        <v>39</v>
      </c>
    </row>
    <row r="11318" spans="1:5" x14ac:dyDescent="0.25">
      <c r="A11318" t="str">
        <f>HYPERLINK("https://www.773grp.com/globalSearch/CD4093BMW-883/page-1", "CD4093BMW-883")</f>
        <v>CD4093BMW-883</v>
      </c>
      <c r="B11318" s="3" t="str">
        <f>HYPERLINK("https://www.773grp.com/manufacturer/national-semiconductor?pageNo=61", "National Semiconductor")</f>
        <v>National Semiconductor</v>
      </c>
      <c r="C11318" s="6">
        <v>58</v>
      </c>
      <c r="D11318" s="7">
        <v>34.6</v>
      </c>
      <c r="E11318" t="s">
        <v>31</v>
      </c>
    </row>
    <row r="11319" spans="1:5" x14ac:dyDescent="0.25">
      <c r="A11319" t="str">
        <f>HYPERLINK("https://www.773grp.com/globalSearch/JD55115BEA/page-1", "JD55115BEA")</f>
        <v>JD55115BEA</v>
      </c>
      <c r="B11319" s="3" t="str">
        <f>HYPERLINK("https://www.773grp.com/manufacturer/national-semiconductor?pageNo=62", "National Semiconductor")</f>
        <v>National Semiconductor</v>
      </c>
      <c r="C11319" s="6">
        <v>60</v>
      </c>
      <c r="D11319" s="7">
        <v>34.6</v>
      </c>
    </row>
    <row r="11320" spans="1:5" x14ac:dyDescent="0.25">
      <c r="A11320" t="str">
        <f>HYPERLINK("https://www.773grp.com/globalSearch/LM702J-883/page-1", "LM702J-883")</f>
        <v>LM702J-883</v>
      </c>
      <c r="B11320" s="3" t="str">
        <f>HYPERLINK("https://www.773grp.com/manufacturer/national-semiconductor?pageNo=63", "National Semiconductor")</f>
        <v>National Semiconductor</v>
      </c>
      <c r="C11320" s="6">
        <v>1243</v>
      </c>
      <c r="D11320" s="7">
        <v>34.6</v>
      </c>
    </row>
    <row r="11321" spans="1:5" x14ac:dyDescent="0.25">
      <c r="A11321" t="str">
        <f>HYPERLINK("https://www.773grp.com/globalSearch/LMH6580VS-NOPB/page-1", "LMH6580VS-NOPB")</f>
        <v>LMH6580VS-NOPB</v>
      </c>
      <c r="B11321" s="3" t="str">
        <f>HYPERLINK("https://www.773grp.com/manufacturer/national-semiconductor?pageNo=64", "National Semiconductor")</f>
        <v>National Semiconductor</v>
      </c>
      <c r="C11321" s="6">
        <v>2231</v>
      </c>
      <c r="D11321" s="7">
        <v>34.6</v>
      </c>
    </row>
    <row r="11322" spans="1:5" x14ac:dyDescent="0.25">
      <c r="A11322" t="str">
        <f>HYPERLINK("https://www.773grp.com/globalSearch/LMZ22008TZ-NOPB/page-1", "LMZ22008TZ-NOPB")</f>
        <v>LMZ22008TZ-NOPB</v>
      </c>
      <c r="B11322" s="3" t="str">
        <f>HYPERLINK("https://www.773grp.com/manufacturer/national-semiconductor?pageNo=65", "National Semiconductor")</f>
        <v>National Semiconductor</v>
      </c>
      <c r="C11322" s="6">
        <v>11</v>
      </c>
      <c r="D11322" s="7">
        <v>34.6</v>
      </c>
    </row>
    <row r="11323" spans="1:5" x14ac:dyDescent="0.25">
      <c r="A11323" t="str">
        <f>HYPERLINK("https://www.773grp.com/globalSearch/MF10AJ/page-1", "MF10AJ")</f>
        <v>MF10AJ</v>
      </c>
      <c r="B11323" s="3" t="str">
        <f>HYPERLINK("https://www.773grp.com/manufacturer/national-semiconductor?pageNo=66", "National Semiconductor")</f>
        <v>National Semiconductor</v>
      </c>
      <c r="C11323" s="6">
        <v>4074</v>
      </c>
      <c r="D11323" s="7">
        <v>34.6</v>
      </c>
      <c r="E11323" t="s">
        <v>58</v>
      </c>
    </row>
    <row r="11324" spans="1:5" x14ac:dyDescent="0.25">
      <c r="A11324" t="str">
        <f>HYPERLINK("https://www.773grp.com/globalSearch/LMH6580VS-NOPB/page-1", "LMH6580VS-NOPB")</f>
        <v>LMH6580VS-NOPB</v>
      </c>
      <c r="B11324" s="3" t="str">
        <f>HYPERLINK("https://www.773grp.com/manufacturer/national-semiconductor?pageNo=67", "National Semiconductor")</f>
        <v>National Semiconductor</v>
      </c>
      <c r="C11324" s="6">
        <v>4557</v>
      </c>
      <c r="D11324" s="7">
        <v>34.6</v>
      </c>
    </row>
    <row r="11325" spans="1:5" x14ac:dyDescent="0.25">
      <c r="A11325" t="str">
        <f>HYPERLINK("https://www.773grp.com/globalSearch/TMS320F2809PZA/page-1", "TMS320F2809PZA")</f>
        <v>TMS320F2809PZA</v>
      </c>
      <c r="B11325" s="3" t="str">
        <f>HYPERLINK("https://www.773grp.com/manufacturer/national-semiconductor?pageNo=68", "National Semiconductor")</f>
        <v>National Semiconductor</v>
      </c>
      <c r="C11325" s="6">
        <v>1080</v>
      </c>
      <c r="D11325" s="7">
        <v>34.6</v>
      </c>
    </row>
    <row r="11326" spans="1:5" x14ac:dyDescent="0.25">
      <c r="A11326" t="str">
        <f>HYPERLINK("https://www.773grp.com/globalSearch/54H74FM/page-1", "54H74FM")</f>
        <v>54H74FM</v>
      </c>
      <c r="B11326" s="3" t="str">
        <f>HYPERLINK("https://www.773grp.com/manufacturer/national-semiconductor?pageNo=69", "National Semiconductor")</f>
        <v>National Semiconductor</v>
      </c>
      <c r="C11326" s="6">
        <v>6850</v>
      </c>
      <c r="D11326" s="7">
        <v>34.68</v>
      </c>
    </row>
    <row r="11327" spans="1:5" x14ac:dyDescent="0.25">
      <c r="A11327" t="str">
        <f>HYPERLINK("https://www.773grp.com/globalSearch/LM3940J-3.3-SCD/page-1", "LM3940J-3.3-SCD")</f>
        <v>LM3940J-3.3-SCD</v>
      </c>
      <c r="B11327" s="3" t="str">
        <f>HYPERLINK("https://www.773grp.com/manufacturer/national-semiconductor?pageNo=70", "National Semiconductor")</f>
        <v>National Semiconductor</v>
      </c>
      <c r="C11327" s="6">
        <v>1095</v>
      </c>
      <c r="D11327" s="7">
        <v>34.68</v>
      </c>
      <c r="E11327" t="s">
        <v>19</v>
      </c>
    </row>
    <row r="11328" spans="1:5" x14ac:dyDescent="0.25">
      <c r="A11328" t="str">
        <f>HYPERLINK("https://www.773grp.com/globalSearch/JM38510-07009BEA/page-1", "JM38510-07009BEA")</f>
        <v>JM38510-07009BEA</v>
      </c>
      <c r="B11328" s="3" t="str">
        <f>HYPERLINK("https://www.773grp.com/manufacturer/national-semiconductor?pageNo=71", "National Semiconductor")</f>
        <v>National Semiconductor</v>
      </c>
      <c r="C11328" s="6">
        <v>390</v>
      </c>
      <c r="D11328" s="7">
        <v>34.71</v>
      </c>
    </row>
    <row r="11329" spans="1:5" x14ac:dyDescent="0.25">
      <c r="A11329" t="str">
        <f>HYPERLINK("https://www.773grp.com/globalSearch/93L08DM/page-1", "93L08DM")</f>
        <v>93L08DM</v>
      </c>
      <c r="B11329" s="3" t="str">
        <f>HYPERLINK("https://www.773grp.com/manufacturer/national-semiconductor?pageNo=72", "National Semiconductor")</f>
        <v>National Semiconductor</v>
      </c>
      <c r="C11329" s="6">
        <v>629</v>
      </c>
      <c r="D11329" s="7">
        <v>34.76</v>
      </c>
    </row>
    <row r="11330" spans="1:5" x14ac:dyDescent="0.25">
      <c r="A11330" t="str">
        <f>HYPERLINK("https://www.773grp.com/globalSearch/ADC12D040CIVS/page-1", "ADC12D040CIVS")</f>
        <v>ADC12D040CIVS</v>
      </c>
      <c r="B11330" s="3" t="str">
        <f>HYPERLINK("https://www.773grp.com/manufacturer/national-semiconductor?pageNo=73", "National Semiconductor")</f>
        <v>National Semiconductor</v>
      </c>
      <c r="C11330" s="6">
        <v>95</v>
      </c>
      <c r="D11330" s="7">
        <v>34.880000000000003</v>
      </c>
      <c r="E11330" t="s">
        <v>39</v>
      </c>
    </row>
    <row r="11331" spans="1:5" x14ac:dyDescent="0.25">
      <c r="A11331" t="str">
        <f>HYPERLINK("https://www.773grp.com/globalSearch/DM9300W-883/page-1", "DM9300W-883")</f>
        <v>DM9300W-883</v>
      </c>
      <c r="B11331" s="3" t="str">
        <f>HYPERLINK("https://www.773grp.com/manufacturer/national-semiconductor?pageNo=74", "National Semiconductor")</f>
        <v>National Semiconductor</v>
      </c>
      <c r="C11331" s="6">
        <v>149</v>
      </c>
      <c r="D11331" s="7">
        <v>34.880000000000003</v>
      </c>
    </row>
    <row r="11332" spans="1:5" x14ac:dyDescent="0.25">
      <c r="A11332" t="str">
        <f>HYPERLINK("https://www.773grp.com/globalSearch/DP83865DVH-NOPB/page-1", "DP83865DVH-NOPB")</f>
        <v>DP83865DVH-NOPB</v>
      </c>
      <c r="B11332" s="3" t="str">
        <f>HYPERLINK("https://www.773grp.com/manufacturer/national-semiconductor?pageNo=75", "National Semiconductor")</f>
        <v>National Semiconductor</v>
      </c>
      <c r="C11332" s="6">
        <v>1347</v>
      </c>
      <c r="D11332" s="7">
        <v>34.880000000000003</v>
      </c>
      <c r="E11332" t="s">
        <v>55</v>
      </c>
    </row>
    <row r="11333" spans="1:5" x14ac:dyDescent="0.25">
      <c r="A11333" t="str">
        <f>HYPERLINK("https://www.773grp.com/globalSearch/DS26F31MJ/page-1", "DS26F31MJ")</f>
        <v>DS26F31MJ</v>
      </c>
      <c r="B11333" s="3" t="str">
        <f>HYPERLINK("https://www.773grp.com/manufacturer/national-semiconductor?pageNo=76", "National Semiconductor")</f>
        <v>National Semiconductor</v>
      </c>
      <c r="C11333" s="6">
        <v>2132</v>
      </c>
      <c r="D11333" s="7">
        <v>34.880000000000003</v>
      </c>
      <c r="E11333" t="s">
        <v>21</v>
      </c>
    </row>
    <row r="11334" spans="1:5" x14ac:dyDescent="0.25">
      <c r="A11334" t="str">
        <f>HYPERLINK("https://www.773grp.com/globalSearch/DS26F32MJ/page-1", "DS26F32MJ")</f>
        <v>DS26F32MJ</v>
      </c>
      <c r="B11334" s="3" t="str">
        <f>HYPERLINK("https://www.773grp.com/manufacturer/national-semiconductor?pageNo=77", "National Semiconductor")</f>
        <v>National Semiconductor</v>
      </c>
      <c r="C11334" s="6">
        <v>961</v>
      </c>
      <c r="D11334" s="7">
        <v>34.880000000000003</v>
      </c>
      <c r="E11334" t="s">
        <v>21</v>
      </c>
    </row>
    <row r="11335" spans="1:5" x14ac:dyDescent="0.25">
      <c r="A11335" t="str">
        <f>HYPERLINK("https://www.773grp.com/globalSearch/INS8040LN-6/page-1", "INS8040LN-6")</f>
        <v>INS8040LN-6</v>
      </c>
      <c r="B11335" s="3" t="str">
        <f>HYPERLINK("https://www.773grp.com/manufacturer/national-semiconductor?pageNo=78", "National Semiconductor")</f>
        <v>National Semiconductor</v>
      </c>
      <c r="C11335" s="6">
        <v>4</v>
      </c>
      <c r="D11335" s="7">
        <v>34.880000000000003</v>
      </c>
    </row>
    <row r="11336" spans="1:5" x14ac:dyDescent="0.25">
      <c r="A11336" t="str">
        <f>HYPERLINK("https://www.773grp.com/globalSearch/JD54F398BSA/page-1", "JD54F398BSA")</f>
        <v>JD54F398BSA</v>
      </c>
      <c r="B11336" s="3" t="str">
        <f>HYPERLINK("https://www.773grp.com/manufacturer/national-semiconductor?pageNo=79", "National Semiconductor")</f>
        <v>National Semiconductor</v>
      </c>
      <c r="C11336" s="6">
        <v>357</v>
      </c>
      <c r="D11336" s="7">
        <v>34.880000000000003</v>
      </c>
    </row>
    <row r="11337" spans="1:5" x14ac:dyDescent="0.25">
      <c r="A11337" t="str">
        <f>HYPERLINK("https://www.773grp.com/globalSearch/JD54LS158B2A/page-1", "JD54LS158B2A")</f>
        <v>JD54LS158B2A</v>
      </c>
      <c r="B11337" s="3" t="str">
        <f>HYPERLINK("https://www.773grp.com/manufacturer/national-semiconductor?pageNo=80", "National Semiconductor")</f>
        <v>National Semiconductor</v>
      </c>
      <c r="C11337" s="6">
        <v>56</v>
      </c>
      <c r="D11337" s="7">
        <v>34.880000000000003</v>
      </c>
    </row>
    <row r="11338" spans="1:5" x14ac:dyDescent="0.25">
      <c r="A11338" t="str">
        <f>HYPERLINK("https://www.773grp.com/globalSearch/JD54LS83BEA/page-1", "JD54LS83BEA")</f>
        <v>JD54LS83BEA</v>
      </c>
      <c r="B11338" s="3" t="str">
        <f>HYPERLINK("https://www.773grp.com/manufacturer/national-semiconductor?pageNo=81", "National Semiconductor")</f>
        <v>National Semiconductor</v>
      </c>
      <c r="C11338" s="6">
        <v>165</v>
      </c>
      <c r="D11338" s="7">
        <v>34.880000000000003</v>
      </c>
    </row>
    <row r="11339" spans="1:5" x14ac:dyDescent="0.25">
      <c r="A11339" t="str">
        <f>HYPERLINK("https://www.773grp.com/globalSearch/JD54LS83BFA/page-1", "JD54LS83BFA")</f>
        <v>JD54LS83BFA</v>
      </c>
      <c r="B11339" s="3" t="str">
        <f>HYPERLINK("https://www.773grp.com/manufacturer/national-semiconductor?pageNo=82", "National Semiconductor")</f>
        <v>National Semiconductor</v>
      </c>
      <c r="C11339" s="6">
        <v>12</v>
      </c>
      <c r="D11339" s="7">
        <v>34.880000000000003</v>
      </c>
    </row>
    <row r="11340" spans="1:5" x14ac:dyDescent="0.25">
      <c r="A11340" t="str">
        <f>HYPERLINK("https://www.773grp.com/globalSearch/LM117K-SMD/page-1", "LM117K-SMD")</f>
        <v>LM117K-SMD</v>
      </c>
      <c r="B11340" s="3" t="str">
        <f>HYPERLINK("https://www.773grp.com/manufacturer/national-semiconductor?pageNo=83", "National Semiconductor")</f>
        <v>National Semiconductor</v>
      </c>
      <c r="C11340" s="6">
        <v>386</v>
      </c>
      <c r="D11340" s="7">
        <v>34.880000000000003</v>
      </c>
    </row>
    <row r="11341" spans="1:5" x14ac:dyDescent="0.25">
      <c r="A11341" t="str">
        <f>HYPERLINK("https://www.773grp.com/globalSearch/LM98722CCMT-NOPB/page-1", "LM98722CCMT-NOPB")</f>
        <v>LM98722CCMT-NOPB</v>
      </c>
      <c r="B11341" s="3" t="str">
        <f>HYPERLINK("https://www.773grp.com/manufacturer/national-semiconductor?pageNo=84", "National Semiconductor")</f>
        <v>National Semiconductor</v>
      </c>
      <c r="C11341" s="6">
        <v>34</v>
      </c>
      <c r="D11341" s="7">
        <v>34.880000000000003</v>
      </c>
      <c r="E11341" t="s">
        <v>40</v>
      </c>
    </row>
    <row r="11342" spans="1:5" x14ac:dyDescent="0.25">
      <c r="A11342" t="str">
        <f>HYPERLINK("https://www.773grp.com/globalSearch/LMK03000CISQ-NOPB/page-1", "LMK03000CISQ-NOPB")</f>
        <v>LMK03000CISQ-NOPB</v>
      </c>
      <c r="B11342" s="3" t="str">
        <f>HYPERLINK("https://www.773grp.com/manufacturer/national-semiconductor?pageNo=85", "National Semiconductor")</f>
        <v>National Semiconductor</v>
      </c>
      <c r="C11342" s="6">
        <v>2461</v>
      </c>
      <c r="D11342" s="7">
        <v>34.880000000000003</v>
      </c>
      <c r="E11342" t="s">
        <v>79</v>
      </c>
    </row>
    <row r="11343" spans="1:5" x14ac:dyDescent="0.25">
      <c r="A11343" t="str">
        <f>HYPERLINK("https://www.773grp.com/globalSearch/LMK03001CISQ-NOPB/page-1", "LMK03001CISQ-NOPB")</f>
        <v>LMK03001CISQ-NOPB</v>
      </c>
      <c r="B11343" s="3" t="str">
        <f>HYPERLINK("https://www.773grp.com/manufacturer/national-semiconductor?pageNo=86", "National Semiconductor")</f>
        <v>National Semiconductor</v>
      </c>
      <c r="C11343" s="6">
        <v>6220</v>
      </c>
      <c r="D11343" s="7">
        <v>34.880000000000003</v>
      </c>
      <c r="E11343" t="s">
        <v>79</v>
      </c>
    </row>
    <row r="11344" spans="1:5" x14ac:dyDescent="0.25">
      <c r="A11344" t="str">
        <f>HYPERLINK("https://www.773grp.com/globalSearch/LMK03033CISQE-NOPB/page-1", "LMK03033CISQE-NOPB")</f>
        <v>LMK03033CISQE-NOPB</v>
      </c>
      <c r="B11344" s="3" t="str">
        <f>HYPERLINK("https://www.773grp.com/manufacturer/national-semiconductor?pageNo=87", "National Semiconductor")</f>
        <v>National Semiconductor</v>
      </c>
      <c r="C11344" s="6">
        <v>64</v>
      </c>
      <c r="D11344" s="7">
        <v>34.880000000000003</v>
      </c>
    </row>
    <row r="11345" spans="1:5" x14ac:dyDescent="0.25">
      <c r="A11345" t="str">
        <f>HYPERLINK("https://www.773grp.com/globalSearch/MM4666BW-883C/page-1", "MM4666BW-883C")</f>
        <v>MM4666BW-883C</v>
      </c>
      <c r="B11345" s="3" t="str">
        <f>HYPERLINK("https://www.773grp.com/manufacturer/national-semiconductor?pageNo=88", "National Semiconductor")</f>
        <v>National Semiconductor</v>
      </c>
      <c r="C11345" s="6">
        <v>403</v>
      </c>
      <c r="D11345" s="7">
        <v>34.880000000000003</v>
      </c>
    </row>
    <row r="11346" spans="1:5" x14ac:dyDescent="0.25">
      <c r="A11346" t="str">
        <f>HYPERLINK("https://www.773grp.com/globalSearch/LM98722CCMT-NOPB/page-1", "LM98722CCMT-NOPB")</f>
        <v>LM98722CCMT-NOPB</v>
      </c>
      <c r="B11346" s="3" t="str">
        <f>HYPERLINK("https://www.773grp.com/manufacturer/national-semiconductor?pageNo=89", "National Semiconductor")</f>
        <v>National Semiconductor</v>
      </c>
      <c r="C11346" s="6">
        <v>104</v>
      </c>
      <c r="D11346" s="7">
        <v>34.880000000000003</v>
      </c>
      <c r="E11346" t="s">
        <v>40</v>
      </c>
    </row>
    <row r="11347" spans="1:5" x14ac:dyDescent="0.25">
      <c r="A11347" t="str">
        <f>HYPERLINK("https://www.773grp.com/globalSearch/LMK03000CISQ-NOPB/page-1", "LMK03000CISQ-NOPB")</f>
        <v>LMK03000CISQ-NOPB</v>
      </c>
      <c r="B11347" s="3" t="str">
        <f>HYPERLINK("https://www.773grp.com/manufacturer/national-semiconductor?pageNo=90", "National Semiconductor")</f>
        <v>National Semiconductor</v>
      </c>
      <c r="C11347" s="6">
        <v>150</v>
      </c>
      <c r="D11347" s="7">
        <v>34.880000000000003</v>
      </c>
      <c r="E11347" t="s">
        <v>79</v>
      </c>
    </row>
    <row r="11348" spans="1:5" x14ac:dyDescent="0.25">
      <c r="A11348" t="str">
        <f>HYPERLINK("https://www.773grp.com/globalSearch/LMK03000CISQ-NOPB/page-1", "LMK03000CISQ-NOPB")</f>
        <v>LMK03000CISQ-NOPB</v>
      </c>
      <c r="B11348" s="3" t="str">
        <f>HYPERLINK("https://www.773grp.com/manufacturer/national-semiconductor?pageNo=91", "National Semiconductor")</f>
        <v>National Semiconductor</v>
      </c>
      <c r="C11348" s="6">
        <v>57</v>
      </c>
      <c r="D11348" s="7">
        <v>34.880000000000003</v>
      </c>
      <c r="E11348" t="s">
        <v>79</v>
      </c>
    </row>
    <row r="11349" spans="1:5" x14ac:dyDescent="0.25">
      <c r="A11349" t="str">
        <f>HYPERLINK("https://www.773grp.com/globalSearch/LMK03001CISQ-NOPB/page-1", "LMK03001CISQ-NOPB")</f>
        <v>LMK03001CISQ-NOPB</v>
      </c>
      <c r="B11349" s="3" t="str">
        <f>HYPERLINK("https://www.773grp.com/manufacturer/national-semiconductor?pageNo=92", "National Semiconductor")</f>
        <v>National Semiconductor</v>
      </c>
      <c r="C11349" s="6">
        <v>856</v>
      </c>
      <c r="D11349" s="7">
        <v>34.880000000000003</v>
      </c>
      <c r="E11349" t="s">
        <v>79</v>
      </c>
    </row>
    <row r="11350" spans="1:5" x14ac:dyDescent="0.25">
      <c r="A11350" t="str">
        <f>HYPERLINK("https://www.773grp.com/globalSearch/5450FM/page-1", "5450FM")</f>
        <v>5450FM</v>
      </c>
      <c r="B11350" s="3" t="str">
        <f>HYPERLINK("https://www.773grp.com/manufacturer/national-semiconductor?pageNo=93", "National Semiconductor")</f>
        <v>National Semiconductor</v>
      </c>
      <c r="C11350" s="6">
        <v>3445</v>
      </c>
      <c r="D11350" s="7">
        <v>34.9</v>
      </c>
    </row>
    <row r="11351" spans="1:5" x14ac:dyDescent="0.25">
      <c r="A11351" t="str">
        <f>HYPERLINK("https://www.773grp.com/globalSearch/5472FM/page-1", "5472FM")</f>
        <v>5472FM</v>
      </c>
      <c r="B11351" s="3" t="str">
        <f>HYPERLINK("https://www.773grp.com/manufacturer/national-semiconductor?pageNo=94", "National Semiconductor")</f>
        <v>National Semiconductor</v>
      </c>
      <c r="C11351" s="6">
        <v>248</v>
      </c>
      <c r="D11351" s="7">
        <v>34.9</v>
      </c>
    </row>
    <row r="11352" spans="1:5" x14ac:dyDescent="0.25">
      <c r="A11352" t="str">
        <f>HYPERLINK("https://www.773grp.com/globalSearch/JM38510-10403BEA/page-1", "JM38510-10403BEA")</f>
        <v>JM38510-10403BEA</v>
      </c>
      <c r="B11352" s="3" t="str">
        <f>HYPERLINK("https://www.773grp.com/manufacturer/national-semiconductor?pageNo=95", "National Semiconductor")</f>
        <v>National Semiconductor</v>
      </c>
      <c r="C11352" s="6">
        <v>1029</v>
      </c>
      <c r="D11352" s="7">
        <v>34.94</v>
      </c>
      <c r="E11352" t="s">
        <v>21</v>
      </c>
    </row>
    <row r="11353" spans="1:5" x14ac:dyDescent="0.25">
      <c r="A11353" t="str">
        <f>HYPERLINK("https://www.773grp.com/globalSearch/9009FM/page-1", "9009FM")</f>
        <v>9009FM</v>
      </c>
      <c r="B11353" s="3" t="str">
        <f>HYPERLINK("https://www.773grp.com/manufacturer/national-semiconductor?pageNo=96", "National Semiconductor")</f>
        <v>National Semiconductor</v>
      </c>
      <c r="C11353" s="6">
        <v>1115</v>
      </c>
      <c r="D11353" s="7">
        <v>34.99</v>
      </c>
    </row>
    <row r="11354" spans="1:5" x14ac:dyDescent="0.25">
      <c r="A11354" t="str">
        <f>HYPERLINK("https://www.773grp.com/globalSearch/9000FM/page-1", "9000FM")</f>
        <v>9000FM</v>
      </c>
      <c r="B11354" s="3" t="str">
        <f>HYPERLINK("https://www.773grp.com/manufacturer/national-semiconductor?pageNo=97", "National Semiconductor")</f>
        <v>National Semiconductor</v>
      </c>
      <c r="C11354" s="6">
        <v>1284</v>
      </c>
      <c r="D11354" s="7">
        <v>35.01</v>
      </c>
    </row>
    <row r="11355" spans="1:5" x14ac:dyDescent="0.25">
      <c r="A11355" t="str">
        <f>HYPERLINK("https://www.773grp.com/globalSearch/LMH0070SQE-NOPB/page-1", "LMH0070SQE-NOPB")</f>
        <v>LMH0070SQE-NOPB</v>
      </c>
      <c r="B11355" s="3" t="str">
        <f>HYPERLINK("https://www.773grp.com/manufacturer/national-semiconductor?pageNo=98", "National Semiconductor")</f>
        <v>National Semiconductor</v>
      </c>
      <c r="C11355" s="6">
        <v>426</v>
      </c>
      <c r="D11355" s="7">
        <v>35.01</v>
      </c>
    </row>
    <row r="11356" spans="1:5" x14ac:dyDescent="0.25">
      <c r="A11356" t="str">
        <f>HYPERLINK("https://www.773grp.com/globalSearch/LMH0070SQE-NOPB/page-1", "LMH0070SQE-NOPB")</f>
        <v>LMH0070SQE-NOPB</v>
      </c>
      <c r="B11356" s="3" t="str">
        <f>HYPERLINK("https://www.773grp.com/manufacturer/national-semiconductor?pageNo=99", "National Semiconductor")</f>
        <v>National Semiconductor</v>
      </c>
      <c r="C11356" s="6">
        <v>1105</v>
      </c>
      <c r="D11356" s="7">
        <v>35.01</v>
      </c>
    </row>
    <row r="11357" spans="1:5" x14ac:dyDescent="0.25">
      <c r="A11357" t="str">
        <f>HYPERLINK("https://www.773grp.com/globalSearch/LMH0071SQE-NOPB/page-1", "LMH0071SQE-NOPB")</f>
        <v>LMH0071SQE-NOPB</v>
      </c>
      <c r="B11357" s="3" t="str">
        <f>HYPERLINK("https://www.773grp.com/manufacturer/national-semiconductor?pageNo=100", "National Semiconductor")</f>
        <v>National Semiconductor</v>
      </c>
      <c r="C11357" s="6">
        <v>845</v>
      </c>
      <c r="D11357" s="7">
        <v>35.01</v>
      </c>
    </row>
    <row r="11358" spans="1:5" x14ac:dyDescent="0.25">
      <c r="A11358" t="str">
        <f>HYPERLINK("https://www.773grp.com/globalSearch/LM10BH-NOPB/page-1", "LM10BH-NOPB")</f>
        <v>LM10BH-NOPB</v>
      </c>
      <c r="B11358" s="3" t="str">
        <f>HYPERLINK("https://www.773grp.com/manufacturer/national-semiconductor?pageNo=101", "National Semiconductor")</f>
        <v>National Semiconductor</v>
      </c>
      <c r="C11358" s="6">
        <v>132</v>
      </c>
      <c r="D11358" s="7">
        <v>35.1</v>
      </c>
      <c r="E11358" t="s">
        <v>13</v>
      </c>
    </row>
    <row r="11359" spans="1:5" x14ac:dyDescent="0.25">
      <c r="A11359" t="str">
        <f>HYPERLINK("https://www.773grp.com/globalSearch/LM10BH/page-1", "LM10BH")</f>
        <v>LM10BH</v>
      </c>
      <c r="B11359" s="3" t="str">
        <f>HYPERLINK("https://www.773grp.com/manufacturer/national-semiconductor?pageNo=102", "National Semiconductor")</f>
        <v>National Semiconductor</v>
      </c>
      <c r="C11359" s="6">
        <v>968</v>
      </c>
      <c r="D11359" s="7">
        <v>35.1</v>
      </c>
    </row>
    <row r="11360" spans="1:5" x14ac:dyDescent="0.25">
      <c r="A11360" t="str">
        <f>HYPERLINK("https://www.773grp.com/globalSearch/54S10FM/page-1", "54S10FM")</f>
        <v>54S10FM</v>
      </c>
      <c r="B11360" s="3" t="str">
        <f>HYPERLINK("https://www.773grp.com/manufacturer/national-semiconductor?pageNo=103", "National Semiconductor")</f>
        <v>National Semiconductor</v>
      </c>
      <c r="C11360" s="6">
        <v>6870</v>
      </c>
      <c r="D11360" s="7">
        <v>35.15</v>
      </c>
    </row>
    <row r="11361" spans="1:5" x14ac:dyDescent="0.25">
      <c r="A11361" t="str">
        <f>HYPERLINK("https://www.773grp.com/globalSearch/54S134FM/page-1", "54S134FM")</f>
        <v>54S134FM</v>
      </c>
      <c r="B11361" s="3" t="str">
        <f>HYPERLINK("https://www.773grp.com/manufacturer/national-semiconductor?pageNo=104", "National Semiconductor")</f>
        <v>National Semiconductor</v>
      </c>
      <c r="C11361" s="6">
        <v>150</v>
      </c>
      <c r="D11361" s="7">
        <v>35.15</v>
      </c>
    </row>
    <row r="11362" spans="1:5" x14ac:dyDescent="0.25">
      <c r="A11362" t="str">
        <f>HYPERLINK("https://www.773grp.com/globalSearch/54S51FM/page-1", "54S51FM")</f>
        <v>54S51FM</v>
      </c>
      <c r="B11362" s="3" t="str">
        <f>HYPERLINK("https://www.773grp.com/manufacturer/national-semiconductor?pageNo=105", "National Semiconductor")</f>
        <v>National Semiconductor</v>
      </c>
      <c r="C11362" s="6">
        <v>3766</v>
      </c>
      <c r="D11362" s="7">
        <v>35.15</v>
      </c>
    </row>
    <row r="11363" spans="1:5" x14ac:dyDescent="0.25">
      <c r="A11363" t="str">
        <f>HYPERLINK("https://www.773grp.com/globalSearch/54S51LM/page-1", "54S51LM")</f>
        <v>54S51LM</v>
      </c>
      <c r="B11363" s="3" t="str">
        <f>HYPERLINK("https://www.773grp.com/manufacturer/national-semiconductor?pageNo=106", "National Semiconductor")</f>
        <v>National Semiconductor</v>
      </c>
      <c r="C11363" s="6">
        <v>33</v>
      </c>
      <c r="D11363" s="7">
        <v>35.15</v>
      </c>
    </row>
    <row r="11364" spans="1:5" x14ac:dyDescent="0.25">
      <c r="A11364" t="str">
        <f>HYPERLINK("https://www.773grp.com/globalSearch/74FCT543ASC/page-1", "74FCT543ASC")</f>
        <v>74FCT543ASC</v>
      </c>
      <c r="B11364" s="3" t="str">
        <f>HYPERLINK("https://www.773grp.com/manufacturer/national-semiconductor?pageNo=107", "National Semiconductor")</f>
        <v>National Semiconductor</v>
      </c>
      <c r="C11364" s="6">
        <v>2024</v>
      </c>
      <c r="D11364" s="7">
        <v>35.15</v>
      </c>
      <c r="E11364" t="s">
        <v>14</v>
      </c>
    </row>
    <row r="11365" spans="1:5" x14ac:dyDescent="0.25">
      <c r="A11365" t="str">
        <f>HYPERLINK("https://www.773grp.com/globalSearch/74FCT543ASPC/page-1", "74FCT543ASPC")</f>
        <v>74FCT543ASPC</v>
      </c>
      <c r="B11365" s="3" t="str">
        <f>HYPERLINK("https://www.773grp.com/manufacturer/national-semiconductor?pageNo=108", "National Semiconductor")</f>
        <v>National Semiconductor</v>
      </c>
      <c r="C11365" s="6">
        <v>345</v>
      </c>
      <c r="D11365" s="7">
        <v>35.15</v>
      </c>
      <c r="E11365" t="s">
        <v>14</v>
      </c>
    </row>
    <row r="11366" spans="1:5" x14ac:dyDescent="0.25">
      <c r="A11366" t="str">
        <f>HYPERLINK("https://www.773grp.com/globalSearch/958DC/page-1", "958DC")</f>
        <v>958DC</v>
      </c>
      <c r="B11366" s="3" t="str">
        <f>HYPERLINK("https://www.773grp.com/manufacturer/national-semiconductor?pageNo=109", "National Semiconductor")</f>
        <v>National Semiconductor</v>
      </c>
      <c r="C11366" s="6">
        <v>5225</v>
      </c>
      <c r="D11366" s="7">
        <v>35.15</v>
      </c>
    </row>
    <row r="11367" spans="1:5" x14ac:dyDescent="0.25">
      <c r="A11367" t="str">
        <f>HYPERLINK("https://www.773grp.com/globalSearch/DM5430W-883/page-1", "DM5430W-883")</f>
        <v>DM5430W-883</v>
      </c>
      <c r="B11367" s="3" t="str">
        <f>HYPERLINK("https://www.773grp.com/manufacturer/national-semiconductor?pageNo=110", "National Semiconductor")</f>
        <v>National Semiconductor</v>
      </c>
      <c r="C11367" s="6">
        <v>22</v>
      </c>
      <c r="D11367" s="7">
        <v>35.15</v>
      </c>
      <c r="E11367" t="s">
        <v>31</v>
      </c>
    </row>
    <row r="11368" spans="1:5" x14ac:dyDescent="0.25">
      <c r="A11368" t="str">
        <f>HYPERLINK("https://www.773grp.com/globalSearch/DS90CR483VJD-NOPB/page-1", "DS90CR483VJD-NOPB")</f>
        <v>DS90CR483VJD-NOPB</v>
      </c>
      <c r="B11368" s="3" t="str">
        <f>HYPERLINK("https://www.773grp.com/manufacturer/national-semiconductor?pageNo=111", "National Semiconductor")</f>
        <v>National Semiconductor</v>
      </c>
      <c r="C11368" s="6">
        <v>928</v>
      </c>
      <c r="D11368" s="7">
        <v>35.15</v>
      </c>
      <c r="E11368" t="s">
        <v>21</v>
      </c>
    </row>
    <row r="11369" spans="1:5" x14ac:dyDescent="0.25">
      <c r="A11369" t="str">
        <f>HYPERLINK("https://www.773grp.com/globalSearch/DS92LV16TVHG/page-1", "DS92LV16TVHG")</f>
        <v>DS92LV16TVHG</v>
      </c>
      <c r="B11369" s="3" t="str">
        <f>HYPERLINK("https://www.773grp.com/manufacturer/national-semiconductor?pageNo=112", "National Semiconductor")</f>
        <v>National Semiconductor</v>
      </c>
      <c r="C11369" s="6">
        <v>150</v>
      </c>
      <c r="D11369" s="7">
        <v>35.15</v>
      </c>
      <c r="E11369" t="s">
        <v>21</v>
      </c>
    </row>
    <row r="11370" spans="1:5" x14ac:dyDescent="0.25">
      <c r="A11370" t="str">
        <f>HYPERLINK("https://www.773grp.com/globalSearch/PAL16H2AJ-883/page-1", "PAL16H2AJ-883")</f>
        <v>PAL16H2AJ-883</v>
      </c>
      <c r="B11370" s="3" t="str">
        <f>HYPERLINK("https://www.773grp.com/manufacturer/national-semiconductor?pageNo=113", "National Semiconductor")</f>
        <v>National Semiconductor</v>
      </c>
      <c r="C11370" s="6">
        <v>226</v>
      </c>
      <c r="D11370" s="7">
        <v>35.15</v>
      </c>
    </row>
    <row r="11371" spans="1:5" x14ac:dyDescent="0.25">
      <c r="A11371" t="str">
        <f>HYPERLINK("https://www.773grp.com/globalSearch/PAL16H42AJ-883/page-1", "PAL16H42AJ-883")</f>
        <v>PAL16H42AJ-883</v>
      </c>
      <c r="B11371" s="3" t="str">
        <f>HYPERLINK("https://www.773grp.com/manufacturer/national-semiconductor?pageNo=114", "National Semiconductor")</f>
        <v>National Semiconductor</v>
      </c>
      <c r="C11371" s="6">
        <v>94</v>
      </c>
      <c r="D11371" s="7">
        <v>35.15</v>
      </c>
    </row>
    <row r="11372" spans="1:5" x14ac:dyDescent="0.25">
      <c r="A11372" t="str">
        <f>HYPERLINK("https://www.773grp.com/globalSearch/DS90CR483VJD-NOPB/page-1", "DS90CR483VJD-NOPB")</f>
        <v>DS90CR483VJD-NOPB</v>
      </c>
      <c r="B11372" s="3" t="str">
        <f>HYPERLINK("https://www.773grp.com/manufacturer/national-semiconductor?pageNo=115", "National Semiconductor")</f>
        <v>National Semiconductor</v>
      </c>
      <c r="C11372" s="6">
        <v>250</v>
      </c>
      <c r="D11372" s="7">
        <v>35.15</v>
      </c>
      <c r="E11372" t="s">
        <v>21</v>
      </c>
    </row>
    <row r="11373" spans="1:5" x14ac:dyDescent="0.25">
      <c r="A11373" t="str">
        <f>HYPERLINK("https://www.773grp.com/globalSearch/DS92LV16TVHG/page-1", "DS92LV16TVHG")</f>
        <v>DS92LV16TVHG</v>
      </c>
      <c r="B11373" s="3" t="str">
        <f>HYPERLINK("https://www.773grp.com/manufacturer/national-semiconductor?pageNo=116", "National Semiconductor")</f>
        <v>National Semiconductor</v>
      </c>
      <c r="C11373" s="6">
        <v>82</v>
      </c>
      <c r="D11373" s="7">
        <v>35.15</v>
      </c>
      <c r="E11373" t="s">
        <v>21</v>
      </c>
    </row>
    <row r="11374" spans="1:5" x14ac:dyDescent="0.25">
      <c r="A11374" t="str">
        <f>HYPERLINK("https://www.773grp.com/globalSearch/COP8CCR9HVA8/page-1", "COP8CCR9HVA8")</f>
        <v>COP8CCR9HVA8</v>
      </c>
      <c r="B11374" s="3" t="str">
        <f>HYPERLINK("https://www.773grp.com/manufacturer/national-semiconductor?pageNo=117", "National Semiconductor")</f>
        <v>National Semiconductor</v>
      </c>
      <c r="C11374" s="6">
        <v>98</v>
      </c>
      <c r="D11374" s="7">
        <v>35.19</v>
      </c>
      <c r="E11374" t="s">
        <v>52</v>
      </c>
    </row>
    <row r="11375" spans="1:5" x14ac:dyDescent="0.25">
      <c r="A11375" t="str">
        <f>HYPERLINK("https://www.773grp.com/globalSearch/COP8CDR9HVA8/page-1", "COP8CDR9HVA8")</f>
        <v>COP8CDR9HVA8</v>
      </c>
      <c r="B11375" s="3" t="str">
        <f>HYPERLINK("https://www.773grp.com/manufacturer/national-semiconductor?pageNo=118", "National Semiconductor")</f>
        <v>National Semiconductor</v>
      </c>
      <c r="C11375" s="6">
        <v>7</v>
      </c>
      <c r="D11375" s="7">
        <v>35.19</v>
      </c>
      <c r="E11375" t="s">
        <v>52</v>
      </c>
    </row>
    <row r="11376" spans="1:5" x14ac:dyDescent="0.25">
      <c r="A11376" t="str">
        <f>HYPERLINK("https://www.773grp.com/globalSearch/COP8CDR9HVA8-NOPB/page-1", "COP8CDR9HVA8-NOPB")</f>
        <v>COP8CDR9HVA8-NOPB</v>
      </c>
      <c r="B11376" s="3" t="str">
        <f>HYPERLINK("https://www.773grp.com/manufacturer/national-semiconductor?pageNo=119", "National Semiconductor")</f>
        <v>National Semiconductor</v>
      </c>
      <c r="C11376" s="6">
        <v>1218</v>
      </c>
      <c r="D11376" s="7">
        <v>35.19</v>
      </c>
      <c r="E11376" t="s">
        <v>52</v>
      </c>
    </row>
    <row r="11377" spans="1:5" x14ac:dyDescent="0.25">
      <c r="A11377" t="str">
        <f>HYPERLINK("https://www.773grp.com/globalSearch/COP8CDR9HVA8-NOPB/page-1", "COP8CDR9HVA8-NOPB")</f>
        <v>COP8CDR9HVA8-NOPB</v>
      </c>
      <c r="B11377" s="3" t="str">
        <f>HYPERLINK("https://www.773grp.com/manufacturer/national-semiconductor?pageNo=120", "National Semiconductor")</f>
        <v>National Semiconductor</v>
      </c>
      <c r="C11377" s="6">
        <v>50</v>
      </c>
      <c r="D11377" s="7">
        <v>35.19</v>
      </c>
      <c r="E11377" t="s">
        <v>52</v>
      </c>
    </row>
    <row r="11378" spans="1:5" x14ac:dyDescent="0.25">
      <c r="A11378" t="str">
        <f>HYPERLINK("https://www.773grp.com/globalSearch/54S09FM/page-1", "54S09FM")</f>
        <v>54S09FM</v>
      </c>
      <c r="B11378" s="3" t="str">
        <f>HYPERLINK("https://www.773grp.com/manufacturer/national-semiconductor?pageNo=121", "National Semiconductor")</f>
        <v>National Semiconductor</v>
      </c>
      <c r="C11378" s="6">
        <v>476</v>
      </c>
      <c r="D11378" s="7">
        <v>35.21</v>
      </c>
    </row>
    <row r="11379" spans="1:5" x14ac:dyDescent="0.25">
      <c r="A11379" t="str">
        <f>HYPERLINK("https://www.773grp.com/globalSearch/7453DC/page-1", "7453DC")</f>
        <v>7453DC</v>
      </c>
      <c r="B11379" s="3" t="str">
        <f>HYPERLINK("https://www.773grp.com/manufacturer/national-semiconductor?pageNo=122", "National Semiconductor")</f>
        <v>National Semiconductor</v>
      </c>
      <c r="C11379" s="6">
        <v>1321</v>
      </c>
      <c r="D11379" s="7">
        <v>35.21</v>
      </c>
    </row>
    <row r="11380" spans="1:5" x14ac:dyDescent="0.25">
      <c r="A11380" t="str">
        <f>HYPERLINK("https://www.773grp.com/globalSearch/74FCT543ASCX/page-1", "74FCT543ASCX")</f>
        <v>74FCT543ASCX</v>
      </c>
      <c r="B11380" s="3" t="str">
        <f>HYPERLINK("https://www.773grp.com/manufacturer/national-semiconductor?pageNo=123", "National Semiconductor")</f>
        <v>National Semiconductor</v>
      </c>
      <c r="C11380" s="6">
        <v>956</v>
      </c>
      <c r="D11380" s="7">
        <v>35.299999999999997</v>
      </c>
      <c r="E11380" t="s">
        <v>14</v>
      </c>
    </row>
    <row r="11381" spans="1:5" x14ac:dyDescent="0.25">
      <c r="A11381" t="str">
        <f>HYPERLINK("https://www.773grp.com/globalSearch/9097DM/page-1", "9097DM")</f>
        <v>9097DM</v>
      </c>
      <c r="B11381" s="3" t="str">
        <f>HYPERLINK("https://www.773grp.com/manufacturer/national-semiconductor?pageNo=124", "National Semiconductor")</f>
        <v>National Semiconductor</v>
      </c>
      <c r="C11381" s="6">
        <v>462</v>
      </c>
      <c r="D11381" s="7">
        <v>35.299999999999997</v>
      </c>
    </row>
    <row r="11382" spans="1:5" x14ac:dyDescent="0.25">
      <c r="A11382" t="str">
        <f>HYPERLINK("https://www.773grp.com/globalSearch/PT86C768A1-D-JDDDA/page-1", "PT86C768A1-D-JDDDA")</f>
        <v>PT86C768A1-D-JDDDA</v>
      </c>
      <c r="B11382" s="3" t="str">
        <f>HYPERLINK("https://www.773grp.com/manufacturer/national-semiconductor?pageNo=125", "National Semiconductor")</f>
        <v>National Semiconductor</v>
      </c>
      <c r="C11382" s="6">
        <v>1920</v>
      </c>
      <c r="D11382" s="7">
        <v>35.33</v>
      </c>
    </row>
    <row r="11383" spans="1:5" x14ac:dyDescent="0.25">
      <c r="A11383" t="str">
        <f>HYPERLINK("https://www.773grp.com/globalSearch/PT86C768A1-D/page-1", "PT86C768A1-D")</f>
        <v>PT86C768A1-D</v>
      </c>
      <c r="B11383" s="3" t="str">
        <f>HYPERLINK("https://www.773grp.com/manufacturer/national-semiconductor?pageNo=126", "National Semiconductor")</f>
        <v>National Semiconductor</v>
      </c>
      <c r="C11383" s="6">
        <v>34490</v>
      </c>
      <c r="D11383" s="7">
        <v>35.33</v>
      </c>
    </row>
    <row r="11384" spans="1:5" x14ac:dyDescent="0.25">
      <c r="A11384" t="str">
        <f>HYPERLINK("https://www.773grp.com/globalSearch/5962-9453402MCA/page-1", "5962-9453402MCA")</f>
        <v>5962-9453402MCA</v>
      </c>
      <c r="B11384" s="3" t="str">
        <f>HYPERLINK("https://www.773grp.com/manufacturer/national-semiconductor?pageNo=127", "National Semiconductor")</f>
        <v>National Semiconductor</v>
      </c>
      <c r="C11384" s="6">
        <v>60</v>
      </c>
      <c r="D11384" s="7">
        <v>35.44</v>
      </c>
      <c r="E11384" t="s">
        <v>13</v>
      </c>
    </row>
    <row r="11385" spans="1:5" x14ac:dyDescent="0.25">
      <c r="A11385" t="str">
        <f>HYPERLINK("https://www.773grp.com/globalSearch/DM54LS02W-883/page-1", "DM54LS02W-883")</f>
        <v>DM54LS02W-883</v>
      </c>
      <c r="B11385" s="3" t="str">
        <f>HYPERLINK("https://www.773grp.com/manufacturer/national-semiconductor?pageNo=128", "National Semiconductor")</f>
        <v>National Semiconductor</v>
      </c>
      <c r="C11385" s="6">
        <v>230</v>
      </c>
      <c r="D11385" s="7">
        <v>35.44</v>
      </c>
      <c r="E11385" t="s">
        <v>31</v>
      </c>
    </row>
    <row r="11386" spans="1:5" x14ac:dyDescent="0.25">
      <c r="A11386" t="str">
        <f>HYPERLINK("https://www.773grp.com/globalSearch/DS90CR483VJDX/page-1", "DS90CR483VJDX")</f>
        <v>DS90CR483VJDX</v>
      </c>
      <c r="B11386" s="3" t="str">
        <f>HYPERLINK("https://www.773grp.com/manufacturer/national-semiconductor?pageNo=129", "National Semiconductor")</f>
        <v>National Semiconductor</v>
      </c>
      <c r="C11386" s="6">
        <v>1000</v>
      </c>
      <c r="D11386" s="7">
        <v>35.44</v>
      </c>
    </row>
    <row r="11387" spans="1:5" x14ac:dyDescent="0.25">
      <c r="A11387" t="str">
        <f>HYPERLINK("https://www.773grp.com/globalSearch/5962-8771002PA/page-1", "5962-8771002PA")</f>
        <v>5962-8771002PA</v>
      </c>
      <c r="B11387" s="3" t="str">
        <f>HYPERLINK("https://www.773grp.com/manufacturer/national-semiconductor?pageNo=130", "National Semiconductor")</f>
        <v>National Semiconductor</v>
      </c>
      <c r="C11387" s="6">
        <v>701</v>
      </c>
      <c r="D11387" s="7">
        <v>35.479999999999997</v>
      </c>
      <c r="E11387" t="s">
        <v>13</v>
      </c>
    </row>
    <row r="11388" spans="1:5" x14ac:dyDescent="0.25">
      <c r="A11388" t="str">
        <f>HYPERLINK("https://www.773grp.com/globalSearch/LM748H-883/page-1", "LM748H-883")</f>
        <v>LM748H-883</v>
      </c>
      <c r="B11388" s="3" t="str">
        <f>HYPERLINK("https://www.773grp.com/manufacturer/national-semiconductor?pageNo=131", "National Semiconductor")</f>
        <v>National Semiconductor</v>
      </c>
      <c r="C11388" s="6">
        <v>1</v>
      </c>
      <c r="D11388" s="7">
        <v>35.53</v>
      </c>
      <c r="E11388" t="s">
        <v>13</v>
      </c>
    </row>
    <row r="11389" spans="1:5" x14ac:dyDescent="0.25">
      <c r="A11389" t="str">
        <f>HYPERLINK("https://www.773grp.com/globalSearch/9582DC/page-1", "9582DC")</f>
        <v>9582DC</v>
      </c>
      <c r="B11389" s="3" t="str">
        <f>HYPERLINK("https://www.773grp.com/manufacturer/national-semiconductor?pageNo=132", "National Semiconductor")</f>
        <v>National Semiconductor</v>
      </c>
      <c r="C11389" s="6">
        <v>92936</v>
      </c>
      <c r="D11389" s="7">
        <v>35.58</v>
      </c>
    </row>
    <row r="11390" spans="1:5" x14ac:dyDescent="0.25">
      <c r="A11390" t="str">
        <f>HYPERLINK("https://www.773grp.com/globalSearch/54LS174FM/page-1", "54LS174FM")</f>
        <v>54LS174FM</v>
      </c>
      <c r="B11390" s="3" t="str">
        <f>HYPERLINK("https://www.773grp.com/manufacturer/national-semiconductor?pageNo=133", "National Semiconductor")</f>
        <v>National Semiconductor</v>
      </c>
      <c r="C11390" s="6">
        <v>222</v>
      </c>
      <c r="D11390" s="7">
        <v>35.69</v>
      </c>
    </row>
    <row r="11391" spans="1:5" x14ac:dyDescent="0.25">
      <c r="A11391" t="str">
        <f>HYPERLINK("https://www.773grp.com/globalSearch/DP83843BVJE/page-1", "DP83843BVJE")</f>
        <v>DP83843BVJE</v>
      </c>
      <c r="B11391" s="3" t="str">
        <f>HYPERLINK("https://www.773grp.com/manufacturer/national-semiconductor?pageNo=134", "National Semiconductor")</f>
        <v>National Semiconductor</v>
      </c>
      <c r="C11391" s="6">
        <v>85</v>
      </c>
      <c r="D11391" s="7">
        <v>35.74</v>
      </c>
      <c r="E11391" t="s">
        <v>71</v>
      </c>
    </row>
    <row r="11392" spans="1:5" x14ac:dyDescent="0.25">
      <c r="A11392" t="str">
        <f>HYPERLINK("https://www.773grp.com/globalSearch/DP83843BVJE/page-1", "DP83843BVJE")</f>
        <v>DP83843BVJE</v>
      </c>
      <c r="B11392" s="3" t="str">
        <f>HYPERLINK("https://www.773grp.com/manufacturer/national-semiconductor?pageNo=1", "National Semiconductor")</f>
        <v>National Semiconductor</v>
      </c>
      <c r="C11392" s="6">
        <v>32</v>
      </c>
      <c r="D11392" s="7">
        <v>35.74</v>
      </c>
      <c r="E11392" t="s">
        <v>71</v>
      </c>
    </row>
    <row r="11393" spans="1:5" x14ac:dyDescent="0.25">
      <c r="A11393" t="str">
        <f>HYPERLINK("https://www.773grp.com/globalSearch/54F574LMQB/page-1", "54F574LMQB")</f>
        <v>54F574LMQB</v>
      </c>
      <c r="B11393" s="3" t="str">
        <f>HYPERLINK("https://www.773grp.com/manufacturer/national-semiconductor?pageNo=2", "National Semiconductor")</f>
        <v>National Semiconductor</v>
      </c>
      <c r="C11393" s="6">
        <v>785</v>
      </c>
      <c r="D11393" s="7">
        <v>35.78</v>
      </c>
      <c r="E11393" t="s">
        <v>14</v>
      </c>
    </row>
    <row r="11394" spans="1:5" x14ac:dyDescent="0.25">
      <c r="A11394" t="str">
        <f>HYPERLINK("https://www.773grp.com/globalSearch/LM185BYH-1.2/page-1", "LM185BYH-1.2")</f>
        <v>LM185BYH-1.2</v>
      </c>
      <c r="B11394" s="3" t="str">
        <f>HYPERLINK("https://www.773grp.com/manufacturer/national-semiconductor?pageNo=3", "National Semiconductor")</f>
        <v>National Semiconductor</v>
      </c>
      <c r="C11394" s="6">
        <v>40</v>
      </c>
      <c r="D11394" s="7">
        <v>35.78</v>
      </c>
      <c r="E11394" t="s">
        <v>17</v>
      </c>
    </row>
    <row r="11395" spans="1:5" x14ac:dyDescent="0.25">
      <c r="A11395" t="str">
        <f>HYPERLINK("https://www.773grp.com/globalSearch/LM185BYH-2.5/page-1", "LM185BYH-2.5")</f>
        <v>LM185BYH-2.5</v>
      </c>
      <c r="B11395" s="3" t="str">
        <f>HYPERLINK("https://www.773grp.com/manufacturer/national-semiconductor?pageNo=4", "National Semiconductor")</f>
        <v>National Semiconductor</v>
      </c>
      <c r="C11395" s="6">
        <v>1975</v>
      </c>
      <c r="D11395" s="7">
        <v>35.78</v>
      </c>
    </row>
    <row r="11396" spans="1:5" x14ac:dyDescent="0.25">
      <c r="A11396" t="str">
        <f>HYPERLINK("https://www.773grp.com/globalSearch/LM185BYH-2.5-NOPB/page-1", "LM185BYH-2.5-NOPB")</f>
        <v>LM185BYH-2.5-NOPB</v>
      </c>
      <c r="B11396" s="3" t="str">
        <f>HYPERLINK("https://www.773grp.com/manufacturer/national-semiconductor?pageNo=5", "National Semiconductor")</f>
        <v>National Semiconductor</v>
      </c>
      <c r="C11396" s="6">
        <v>940</v>
      </c>
      <c r="D11396" s="7">
        <v>35.78</v>
      </c>
    </row>
    <row r="11397" spans="1:5" x14ac:dyDescent="0.25">
      <c r="A11397" t="str">
        <f>HYPERLINK("https://www.773grp.com/globalSearch/9341DC/page-1", "9341DC")</f>
        <v>9341DC</v>
      </c>
      <c r="B11397" s="3" t="str">
        <f>HYPERLINK("https://www.773grp.com/manufacturer/national-semiconductor?pageNo=6", "National Semiconductor")</f>
        <v>National Semiconductor</v>
      </c>
      <c r="C11397" s="6">
        <v>34779</v>
      </c>
      <c r="D11397" s="7">
        <v>35.86</v>
      </c>
    </row>
    <row r="11398" spans="1:5" x14ac:dyDescent="0.25">
      <c r="A11398" t="str">
        <f>HYPERLINK("https://www.773grp.com/globalSearch/DM9338W-883/page-1", "DM9338W-883")</f>
        <v>DM9338W-883</v>
      </c>
      <c r="B11398" s="3" t="str">
        <f>HYPERLINK("https://www.773grp.com/manufacturer/national-semiconductor?pageNo=7", "National Semiconductor")</f>
        <v>National Semiconductor</v>
      </c>
      <c r="C11398" s="6">
        <v>121</v>
      </c>
      <c r="D11398" s="7">
        <v>35.86</v>
      </c>
      <c r="E11398" t="s">
        <v>83</v>
      </c>
    </row>
    <row r="11399" spans="1:5" x14ac:dyDescent="0.25">
      <c r="A11399" t="str">
        <f>HYPERLINK("https://www.773grp.com/globalSearch/LMH0344SQE/page-1", "LMH0344SQE")</f>
        <v>LMH0344SQE</v>
      </c>
      <c r="B11399" s="3" t="str">
        <f>HYPERLINK("https://www.773grp.com/manufacturer/national-semiconductor?pageNo=8", "National Semiconductor")</f>
        <v>National Semiconductor</v>
      </c>
      <c r="C11399" s="6">
        <v>750</v>
      </c>
      <c r="D11399" s="7">
        <v>36</v>
      </c>
    </row>
    <row r="11400" spans="1:5" x14ac:dyDescent="0.25">
      <c r="A11400" t="str">
        <f>HYPERLINK("https://www.773grp.com/globalSearch/LMH0387SL-NOPB/page-1", "LMH0387SL-NOPB")</f>
        <v>LMH0387SL-NOPB</v>
      </c>
      <c r="B11400" s="3" t="str">
        <f>HYPERLINK("https://www.773grp.com/manufacturer/national-semiconductor?pageNo=9", "National Semiconductor")</f>
        <v>National Semiconductor</v>
      </c>
      <c r="C11400" s="6">
        <v>800</v>
      </c>
      <c r="D11400" s="7">
        <v>36</v>
      </c>
      <c r="E11400" t="s">
        <v>21</v>
      </c>
    </row>
    <row r="11401" spans="1:5" x14ac:dyDescent="0.25">
      <c r="A11401" t="str">
        <f>HYPERLINK("https://www.773grp.com/globalSearch/MM54C195J-883/page-1", "MM54C195J-883")</f>
        <v>MM54C195J-883</v>
      </c>
      <c r="B11401" s="3" t="str">
        <f>HYPERLINK("https://www.773grp.com/manufacturer/national-semiconductor?pageNo=10", "National Semiconductor")</f>
        <v>National Semiconductor</v>
      </c>
      <c r="C11401" s="6">
        <v>107</v>
      </c>
      <c r="D11401" s="7">
        <v>36</v>
      </c>
      <c r="E11401" t="s">
        <v>32</v>
      </c>
    </row>
    <row r="11402" spans="1:5" x14ac:dyDescent="0.25">
      <c r="A11402" t="str">
        <f>HYPERLINK("https://www.773grp.com/globalSearch/MM54HC153E-883/page-1", "MM54HC153E-883")</f>
        <v>MM54HC153E-883</v>
      </c>
      <c r="B11402" s="3" t="str">
        <f>HYPERLINK("https://www.773grp.com/manufacturer/national-semiconductor?pageNo=11", "National Semiconductor")</f>
        <v>National Semiconductor</v>
      </c>
      <c r="C11402" s="6">
        <v>168</v>
      </c>
      <c r="D11402" s="7">
        <v>36</v>
      </c>
    </row>
    <row r="11403" spans="1:5" x14ac:dyDescent="0.25">
      <c r="A11403" t="str">
        <f>HYPERLINK("https://www.773grp.com/globalSearch/MM54HC158E-883/page-1", "MM54HC158E-883")</f>
        <v>MM54HC158E-883</v>
      </c>
      <c r="B11403" s="3" t="str">
        <f>HYPERLINK("https://www.773grp.com/manufacturer/national-semiconductor?pageNo=12", "National Semiconductor")</f>
        <v>National Semiconductor</v>
      </c>
      <c r="C11403" s="6">
        <v>418</v>
      </c>
      <c r="D11403" s="7">
        <v>36</v>
      </c>
    </row>
    <row r="11404" spans="1:5" x14ac:dyDescent="0.25">
      <c r="A11404" t="str">
        <f>HYPERLINK("https://www.773grp.com/globalSearch/MM54HC253E-883/page-1", "MM54HC253E-883")</f>
        <v>MM54HC253E-883</v>
      </c>
      <c r="B11404" s="3" t="str">
        <f>HYPERLINK("https://www.773grp.com/manufacturer/national-semiconductor?pageNo=13", "National Semiconductor")</f>
        <v>National Semiconductor</v>
      </c>
      <c r="C11404" s="6">
        <v>75</v>
      </c>
      <c r="D11404" s="7">
        <v>36</v>
      </c>
    </row>
    <row r="11405" spans="1:5" x14ac:dyDescent="0.25">
      <c r="A11405" t="str">
        <f>HYPERLINK("https://www.773grp.com/globalSearch/PAL16L8J-883/page-1", "PAL16L8J-883")</f>
        <v>PAL16L8J-883</v>
      </c>
      <c r="B11405" s="3" t="str">
        <f>HYPERLINK("https://www.773grp.com/manufacturer/national-semiconductor?pageNo=14", "National Semiconductor")</f>
        <v>National Semiconductor</v>
      </c>
      <c r="C11405" s="6">
        <v>7</v>
      </c>
      <c r="D11405" s="7">
        <v>36</v>
      </c>
    </row>
    <row r="11406" spans="1:5" x14ac:dyDescent="0.25">
      <c r="A11406" t="str">
        <f>HYPERLINK("https://www.773grp.com/globalSearch/54H106DM/page-1", "54H106DM")</f>
        <v>54H106DM</v>
      </c>
      <c r="B11406" s="3" t="str">
        <f>HYPERLINK("https://www.773grp.com/manufacturer/national-semiconductor?pageNo=15", "National Semiconductor")</f>
        <v>National Semiconductor</v>
      </c>
      <c r="C11406" s="6">
        <v>589</v>
      </c>
      <c r="D11406" s="7">
        <v>36.08</v>
      </c>
    </row>
    <row r="11407" spans="1:5" x14ac:dyDescent="0.25">
      <c r="A11407" t="str">
        <f>HYPERLINK("https://www.773grp.com/globalSearch/9301FM/page-1", "9301FM")</f>
        <v>9301FM</v>
      </c>
      <c r="B11407" s="3" t="str">
        <f>HYPERLINK("https://www.773grp.com/manufacturer/national-semiconductor?pageNo=16", "National Semiconductor")</f>
        <v>National Semiconductor</v>
      </c>
      <c r="C11407" s="6">
        <v>191</v>
      </c>
      <c r="D11407" s="7">
        <v>36.15</v>
      </c>
    </row>
    <row r="11408" spans="1:5" x14ac:dyDescent="0.25">
      <c r="A11408" t="str">
        <f>HYPERLINK("https://www.773grp.com/globalSearch/5962-9560302QCA/page-1", "5962-9560302QCA")</f>
        <v>5962-9560302QCA</v>
      </c>
      <c r="B11408" s="3" t="str">
        <f>HYPERLINK("https://www.773grp.com/manufacturer/national-semiconductor?pageNo=17", "National Semiconductor")</f>
        <v>National Semiconductor</v>
      </c>
      <c r="C11408" s="6">
        <v>40</v>
      </c>
      <c r="D11408" s="7">
        <v>36.200000000000003</v>
      </c>
      <c r="E11408" t="s">
        <v>13</v>
      </c>
    </row>
    <row r="11409" spans="1:5" x14ac:dyDescent="0.25">
      <c r="A11409" t="str">
        <f>HYPERLINK("https://www.773grp.com/globalSearch/54F534FMQB/page-1", "54F534FMQB")</f>
        <v>54F534FMQB</v>
      </c>
      <c r="B11409" s="3" t="str">
        <f>HYPERLINK("https://www.773grp.com/manufacturer/national-semiconductor?pageNo=18", "National Semiconductor")</f>
        <v>National Semiconductor</v>
      </c>
      <c r="C11409" s="6">
        <v>248</v>
      </c>
      <c r="D11409" s="7">
        <v>36.229999999999997</v>
      </c>
      <c r="E11409" t="s">
        <v>14</v>
      </c>
    </row>
    <row r="11410" spans="1:5" x14ac:dyDescent="0.25">
      <c r="A11410" t="str">
        <f>HYPERLINK("https://www.773grp.com/globalSearch/9099DMQB/page-1", "9099DMQB")</f>
        <v>9099DMQB</v>
      </c>
      <c r="B11410" s="3" t="str">
        <f>HYPERLINK("https://www.773grp.com/manufacturer/national-semiconductor?pageNo=19", "National Semiconductor")</f>
        <v>National Semiconductor</v>
      </c>
      <c r="C11410" s="6">
        <v>2</v>
      </c>
      <c r="D11410" s="7">
        <v>36.229999999999997</v>
      </c>
    </row>
    <row r="11411" spans="1:5" x14ac:dyDescent="0.25">
      <c r="A11411" t="str">
        <f>HYPERLINK("https://www.773grp.com/globalSearch/911HC/page-1", "911HC")</f>
        <v>911HC</v>
      </c>
      <c r="B11411" s="3" t="str">
        <f>HYPERLINK("https://www.773grp.com/manufacturer/national-semiconductor?pageNo=20", "National Semiconductor")</f>
        <v>National Semiconductor</v>
      </c>
      <c r="C11411" s="6">
        <v>355</v>
      </c>
      <c r="D11411" s="7">
        <v>36.229999999999997</v>
      </c>
    </row>
    <row r="11412" spans="1:5" x14ac:dyDescent="0.25">
      <c r="A11412" t="str">
        <f>HYPERLINK("https://www.773grp.com/globalSearch/961HC/page-1", "961HC")</f>
        <v>961HC</v>
      </c>
      <c r="B11412" s="3" t="str">
        <f>HYPERLINK("https://www.773grp.com/manufacturer/national-semiconductor?pageNo=21", "National Semiconductor")</f>
        <v>National Semiconductor</v>
      </c>
      <c r="C11412" s="6">
        <v>437</v>
      </c>
      <c r="D11412" s="7">
        <v>36.229999999999997</v>
      </c>
    </row>
    <row r="11413" spans="1:5" x14ac:dyDescent="0.25">
      <c r="A11413" t="str">
        <f>HYPERLINK("https://www.773grp.com/globalSearch/9L00FM/page-1", "9L00FM")</f>
        <v>9L00FM</v>
      </c>
      <c r="B11413" s="3" t="str">
        <f>HYPERLINK("https://www.773grp.com/manufacturer/national-semiconductor?pageNo=22", "National Semiconductor")</f>
        <v>National Semiconductor</v>
      </c>
      <c r="C11413" s="6">
        <v>176</v>
      </c>
      <c r="D11413" s="7">
        <v>36.229999999999997</v>
      </c>
    </row>
    <row r="11414" spans="1:5" x14ac:dyDescent="0.25">
      <c r="A11414" t="str">
        <f>HYPERLINK("https://www.773grp.com/globalSearch/9S41FM/page-1", "9S41FM")</f>
        <v>9S41FM</v>
      </c>
      <c r="B11414" s="3" t="str">
        <f>HYPERLINK("https://www.773grp.com/manufacturer/national-semiconductor?pageNo=23", "National Semiconductor")</f>
        <v>National Semiconductor</v>
      </c>
      <c r="C11414" s="6">
        <v>496</v>
      </c>
      <c r="D11414" s="7">
        <v>36.229999999999997</v>
      </c>
    </row>
    <row r="11415" spans="1:5" x14ac:dyDescent="0.25">
      <c r="A11415" t="str">
        <f>HYPERLINK("https://www.773grp.com/globalSearch/COP8SDR9HVA8-NOPB/page-1", "COP8SDR9HVA8-NOPB")</f>
        <v>COP8SDR9HVA8-NOPB</v>
      </c>
      <c r="B11415" s="3" t="str">
        <f>HYPERLINK("https://www.773grp.com/manufacturer/national-semiconductor?pageNo=24", "National Semiconductor")</f>
        <v>National Semiconductor</v>
      </c>
      <c r="C11415" s="6">
        <v>50</v>
      </c>
      <c r="D11415" s="7">
        <v>36.25</v>
      </c>
      <c r="E11415" t="s">
        <v>52</v>
      </c>
    </row>
    <row r="11416" spans="1:5" x14ac:dyDescent="0.25">
      <c r="A11416" t="str">
        <f>HYPERLINK("https://www.773grp.com/globalSearch/PT86C268A/page-1", "PT86C268A")</f>
        <v>PT86C268A</v>
      </c>
      <c r="B11416" s="3" t="str">
        <f>HYPERLINK("https://www.773grp.com/manufacturer/national-semiconductor?pageNo=25", "National Semiconductor")</f>
        <v>National Semiconductor</v>
      </c>
      <c r="C11416" s="6">
        <v>3041</v>
      </c>
      <c r="D11416" s="7">
        <v>36.25</v>
      </c>
    </row>
    <row r="11417" spans="1:5" x14ac:dyDescent="0.25">
      <c r="A11417" t="str">
        <f>HYPERLINK("https://www.773grp.com/globalSearch/JM38510-33909BEA/page-1", "JM38510-33909BEA")</f>
        <v>JM38510-33909BEA</v>
      </c>
      <c r="B11417" s="3" t="str">
        <f>HYPERLINK("https://www.773grp.com/manufacturer/national-semiconductor?pageNo=26", "National Semiconductor")</f>
        <v>National Semiconductor</v>
      </c>
      <c r="C11417" s="6">
        <v>318</v>
      </c>
      <c r="D11417" s="7">
        <v>36.29</v>
      </c>
      <c r="E11417" t="s">
        <v>20</v>
      </c>
    </row>
    <row r="11418" spans="1:5" x14ac:dyDescent="0.25">
      <c r="A11418" t="str">
        <f>HYPERLINK("https://www.773grp.com/globalSearch/JM38510-33910BEA/page-1", "JM38510-33910BEA")</f>
        <v>JM38510-33910BEA</v>
      </c>
      <c r="B11418" s="3" t="str">
        <f>HYPERLINK("https://www.773grp.com/manufacturer/national-semiconductor?pageNo=27", "National Semiconductor")</f>
        <v>National Semiconductor</v>
      </c>
      <c r="C11418" s="6">
        <v>3383</v>
      </c>
      <c r="D11418" s="7">
        <v>36.29</v>
      </c>
      <c r="E11418" t="s">
        <v>20</v>
      </c>
    </row>
    <row r="11419" spans="1:5" x14ac:dyDescent="0.25">
      <c r="A11419" t="str">
        <f>HYPERLINK("https://www.773grp.com/globalSearch/LMK04000BISQE-NOPB/page-1", "LMK04000BISQE-NOPB")</f>
        <v>LMK04000BISQE-NOPB</v>
      </c>
      <c r="B11419" s="3" t="str">
        <f>HYPERLINK("https://www.773grp.com/manufacturer/national-semiconductor?pageNo=28", "National Semiconductor")</f>
        <v>National Semiconductor</v>
      </c>
      <c r="C11419" s="6">
        <v>500</v>
      </c>
      <c r="D11419" s="7">
        <v>36.29</v>
      </c>
    </row>
    <row r="11420" spans="1:5" x14ac:dyDescent="0.25">
      <c r="A11420" t="str">
        <f>HYPERLINK("https://www.773grp.com/globalSearch/LMK04001BISQE-NOPB/page-1", "LMK04001BISQE-NOPB")</f>
        <v>LMK04001BISQE-NOPB</v>
      </c>
      <c r="B11420" s="3" t="str">
        <f>HYPERLINK("https://www.773grp.com/manufacturer/national-semiconductor?pageNo=29", "National Semiconductor")</f>
        <v>National Semiconductor</v>
      </c>
      <c r="C11420" s="6">
        <v>386</v>
      </c>
      <c r="D11420" s="7">
        <v>36.29</v>
      </c>
    </row>
    <row r="11421" spans="1:5" x14ac:dyDescent="0.25">
      <c r="A11421" t="str">
        <f>HYPERLINK("https://www.773grp.com/globalSearch/LMK04002BISQE-NOPB/page-1", "LMK04002BISQE-NOPB")</f>
        <v>LMK04002BISQE-NOPB</v>
      </c>
      <c r="B11421" s="3" t="str">
        <f>HYPERLINK("https://www.773grp.com/manufacturer/national-semiconductor?pageNo=30", "National Semiconductor")</f>
        <v>National Semiconductor</v>
      </c>
      <c r="C11421" s="6">
        <v>250</v>
      </c>
      <c r="D11421" s="7">
        <v>36.29</v>
      </c>
    </row>
    <row r="11422" spans="1:5" x14ac:dyDescent="0.25">
      <c r="A11422" t="str">
        <f>HYPERLINK("https://www.773grp.com/globalSearch/LMK04010BISQE-NOPB/page-1", "LMK04010BISQE-NOPB")</f>
        <v>LMK04010BISQE-NOPB</v>
      </c>
      <c r="B11422" s="3" t="str">
        <f>HYPERLINK("https://www.773grp.com/manufacturer/national-semiconductor?pageNo=31", "National Semiconductor")</f>
        <v>National Semiconductor</v>
      </c>
      <c r="C11422" s="6">
        <v>250</v>
      </c>
      <c r="D11422" s="7">
        <v>36.29</v>
      </c>
    </row>
    <row r="11423" spans="1:5" x14ac:dyDescent="0.25">
      <c r="A11423" t="str">
        <f>HYPERLINK("https://www.773grp.com/globalSearch/LMK04011BISQE-NOPB/page-1", "LMK04011BISQE-NOPB")</f>
        <v>LMK04011BISQE-NOPB</v>
      </c>
      <c r="B11423" s="3" t="str">
        <f>HYPERLINK("https://www.773grp.com/manufacturer/national-semiconductor?pageNo=32", "National Semiconductor")</f>
        <v>National Semiconductor</v>
      </c>
      <c r="C11423" s="6">
        <v>1000</v>
      </c>
      <c r="D11423" s="7">
        <v>36.29</v>
      </c>
    </row>
    <row r="11424" spans="1:5" x14ac:dyDescent="0.25">
      <c r="A11424" t="str">
        <f>HYPERLINK("https://www.773grp.com/globalSearch/LMK04031BISQE-NOPB/page-1", "LMK04031BISQE-NOPB")</f>
        <v>LMK04031BISQE-NOPB</v>
      </c>
      <c r="B11424" s="3" t="str">
        <f>HYPERLINK("https://www.773grp.com/manufacturer/national-semiconductor?pageNo=33", "National Semiconductor")</f>
        <v>National Semiconductor</v>
      </c>
      <c r="C11424" s="6">
        <v>1250</v>
      </c>
      <c r="D11424" s="7">
        <v>36.29</v>
      </c>
    </row>
    <row r="11425" spans="1:5" x14ac:dyDescent="0.25">
      <c r="A11425" t="str">
        <f>HYPERLINK("https://www.773grp.com/globalSearch/LMK04033BISQE-NOPB/page-1", "LMK04033BISQE-NOPB")</f>
        <v>LMK04033BISQE-NOPB</v>
      </c>
      <c r="B11425" s="3" t="str">
        <f>HYPERLINK("https://www.773grp.com/manufacturer/national-semiconductor?pageNo=34", "National Semiconductor")</f>
        <v>National Semiconductor</v>
      </c>
      <c r="C11425" s="6">
        <v>2</v>
      </c>
      <c r="D11425" s="7">
        <v>36.29</v>
      </c>
    </row>
    <row r="11426" spans="1:5" x14ac:dyDescent="0.25">
      <c r="A11426" t="str">
        <f>HYPERLINK("https://www.773grp.com/globalSearch/LMK04001BISQE-NOPB/page-1", "LMK04001BISQE-NOPB")</f>
        <v>LMK04001BISQE-NOPB</v>
      </c>
      <c r="B11426" s="3" t="str">
        <f>HYPERLINK("https://www.773grp.com/manufacturer/national-semiconductor?pageNo=35", "National Semiconductor")</f>
        <v>National Semiconductor</v>
      </c>
      <c r="C11426" s="6">
        <v>12393</v>
      </c>
      <c r="D11426" s="7">
        <v>36.29</v>
      </c>
    </row>
    <row r="11427" spans="1:5" x14ac:dyDescent="0.25">
      <c r="A11427" t="str">
        <f>HYPERLINK("https://www.773grp.com/globalSearch/LMK04002BISQE-NOPB/page-1", "LMK04002BISQE-NOPB")</f>
        <v>LMK04002BISQE-NOPB</v>
      </c>
      <c r="B11427" s="3" t="str">
        <f>HYPERLINK("https://www.773grp.com/manufacturer/national-semiconductor?pageNo=36", "National Semiconductor")</f>
        <v>National Semiconductor</v>
      </c>
      <c r="C11427" s="6">
        <v>177</v>
      </c>
      <c r="D11427" s="7">
        <v>36.29</v>
      </c>
    </row>
    <row r="11428" spans="1:5" x14ac:dyDescent="0.25">
      <c r="A11428" t="str">
        <f>HYPERLINK("https://www.773grp.com/globalSearch/LMK04002BISQE-NOPB/page-1", "LMK04002BISQE-NOPB")</f>
        <v>LMK04002BISQE-NOPB</v>
      </c>
      <c r="B11428" s="3" t="str">
        <f>HYPERLINK("https://www.773grp.com/manufacturer/national-semiconductor?pageNo=37", "National Semiconductor")</f>
        <v>National Semiconductor</v>
      </c>
      <c r="C11428" s="6">
        <v>2750</v>
      </c>
      <c r="D11428" s="7">
        <v>36.29</v>
      </c>
    </row>
    <row r="11429" spans="1:5" x14ac:dyDescent="0.25">
      <c r="A11429" t="str">
        <f>HYPERLINK("https://www.773grp.com/globalSearch/LMK04010BISQE-NOPB/page-1", "LMK04010BISQE-NOPB")</f>
        <v>LMK04010BISQE-NOPB</v>
      </c>
      <c r="B11429" s="3" t="str">
        <f>HYPERLINK("https://www.773grp.com/manufacturer/national-semiconductor?pageNo=38", "National Semiconductor")</f>
        <v>National Semiconductor</v>
      </c>
      <c r="C11429" s="6">
        <v>750</v>
      </c>
      <c r="D11429" s="7">
        <v>36.29</v>
      </c>
    </row>
    <row r="11430" spans="1:5" x14ac:dyDescent="0.25">
      <c r="A11430" t="str">
        <f>HYPERLINK("https://www.773grp.com/globalSearch/LMK04011BISQE-NOPB/page-1", "LMK04011BISQE-NOPB")</f>
        <v>LMK04011BISQE-NOPB</v>
      </c>
      <c r="B11430" s="3" t="str">
        <f>HYPERLINK("https://www.773grp.com/manufacturer/national-semiconductor?pageNo=39", "National Semiconductor")</f>
        <v>National Semiconductor</v>
      </c>
      <c r="C11430" s="6">
        <v>250</v>
      </c>
      <c r="D11430" s="7">
        <v>36.29</v>
      </c>
    </row>
    <row r="11431" spans="1:5" x14ac:dyDescent="0.25">
      <c r="A11431" t="str">
        <f>HYPERLINK("https://www.773grp.com/globalSearch/LMK04033BISQE-NOPB/page-1", "LMK04033BISQE-NOPB")</f>
        <v>LMK04033BISQE-NOPB</v>
      </c>
      <c r="B11431" s="3" t="str">
        <f>HYPERLINK("https://www.773grp.com/manufacturer/national-semiconductor?pageNo=40", "National Semiconductor")</f>
        <v>National Semiconductor</v>
      </c>
      <c r="C11431" s="6">
        <v>46</v>
      </c>
      <c r="D11431" s="7">
        <v>36.29</v>
      </c>
    </row>
    <row r="11432" spans="1:5" x14ac:dyDescent="0.25">
      <c r="A11432" t="str">
        <f>HYPERLINK("https://www.773grp.com/globalSearch/9099DM/page-1", "9099DM")</f>
        <v>9099DM</v>
      </c>
      <c r="B11432" s="3" t="str">
        <f>HYPERLINK("https://www.773grp.com/manufacturer/national-semiconductor?pageNo=41", "National Semiconductor")</f>
        <v>National Semiconductor</v>
      </c>
      <c r="C11432" s="6">
        <v>1535</v>
      </c>
      <c r="D11432" s="7">
        <v>36.36</v>
      </c>
    </row>
    <row r="11433" spans="1:5" x14ac:dyDescent="0.25">
      <c r="A11433" t="str">
        <f>HYPERLINK("https://www.773grp.com/globalSearch/5962-9452602MGA/page-1", "5962-9452602MGA")</f>
        <v>5962-9452602MGA</v>
      </c>
      <c r="B11433" s="3" t="str">
        <f>HYPERLINK("https://www.773grp.com/manufacturer/national-semiconductor?pageNo=42", "National Semiconductor")</f>
        <v>National Semiconductor</v>
      </c>
      <c r="C11433" s="6">
        <v>205</v>
      </c>
      <c r="D11433" s="7">
        <v>36.4</v>
      </c>
      <c r="E11433" t="s">
        <v>9</v>
      </c>
    </row>
    <row r="11434" spans="1:5" x14ac:dyDescent="0.25">
      <c r="A11434" t="str">
        <f>HYPERLINK("https://www.773grp.com/globalSearch/9348DMQB/page-1", "9348DMQB")</f>
        <v>9348DMQB</v>
      </c>
      <c r="B11434" s="3" t="str">
        <f>HYPERLINK("https://www.773grp.com/manufacturer/national-semiconductor?pageNo=43", "National Semiconductor")</f>
        <v>National Semiconductor</v>
      </c>
      <c r="C11434" s="6">
        <v>1904</v>
      </c>
      <c r="D11434" s="7">
        <v>36.4</v>
      </c>
      <c r="E11434" t="s">
        <v>43</v>
      </c>
    </row>
    <row r="11435" spans="1:5" x14ac:dyDescent="0.25">
      <c r="A11435" t="str">
        <f>HYPERLINK("https://www.773grp.com/globalSearch/LM193AH-883/page-1", "LM193AH-883")</f>
        <v>LM193AH-883</v>
      </c>
      <c r="B11435" s="3" t="str">
        <f>HYPERLINK("https://www.773grp.com/manufacturer/national-semiconductor?pageNo=44", "National Semiconductor")</f>
        <v>National Semiconductor</v>
      </c>
      <c r="C11435" s="6">
        <v>6</v>
      </c>
      <c r="D11435" s="7">
        <v>36.4</v>
      </c>
      <c r="E11435" t="s">
        <v>9</v>
      </c>
    </row>
    <row r="11436" spans="1:5" x14ac:dyDescent="0.25">
      <c r="A11436" t="str">
        <f>HYPERLINK("https://www.773grp.com/globalSearch/5962-9452602MGA/page-1", "5962-9452602MGA")</f>
        <v>5962-9452602MGA</v>
      </c>
      <c r="B11436" s="3" t="str">
        <f>HYPERLINK("https://www.773grp.com/manufacturer/national-semiconductor?pageNo=45", "National Semiconductor")</f>
        <v>National Semiconductor</v>
      </c>
      <c r="C11436" s="6">
        <v>5</v>
      </c>
      <c r="D11436" s="7">
        <v>36.4</v>
      </c>
      <c r="E11436" t="s">
        <v>9</v>
      </c>
    </row>
    <row r="11437" spans="1:5" x14ac:dyDescent="0.25">
      <c r="A11437" t="str">
        <f>HYPERLINK("https://www.773grp.com/globalSearch/54138FM/page-1", "54138FM")</f>
        <v>54138FM</v>
      </c>
      <c r="B11437" s="3" t="str">
        <f>HYPERLINK("https://www.773grp.com/manufacturer/national-semiconductor?pageNo=46", "National Semiconductor")</f>
        <v>National Semiconductor</v>
      </c>
      <c r="C11437" s="6">
        <v>53</v>
      </c>
      <c r="D11437" s="7">
        <v>36.409999999999997</v>
      </c>
    </row>
    <row r="11438" spans="1:5" x14ac:dyDescent="0.25">
      <c r="A11438" t="str">
        <f>HYPERLINK("https://www.773grp.com/globalSearch/907HM/page-1", "907HM")</f>
        <v>907HM</v>
      </c>
      <c r="B11438" s="3" t="str">
        <f>HYPERLINK("https://www.773grp.com/manufacturer/national-semiconductor?pageNo=47", "National Semiconductor")</f>
        <v>National Semiconductor</v>
      </c>
      <c r="C11438" s="6">
        <v>831</v>
      </c>
      <c r="D11438" s="7">
        <v>36.409999999999997</v>
      </c>
    </row>
    <row r="11439" spans="1:5" x14ac:dyDescent="0.25">
      <c r="A11439" t="str">
        <f>HYPERLINK("https://www.773grp.com/globalSearch/JM38510-07402BDA/page-1", "JM38510-07402BDA")</f>
        <v>JM38510-07402BDA</v>
      </c>
      <c r="B11439" s="3" t="str">
        <f>HYPERLINK("https://www.773grp.com/manufacturer/national-semiconductor?pageNo=48", "National Semiconductor")</f>
        <v>National Semiconductor</v>
      </c>
      <c r="C11439" s="6">
        <v>131</v>
      </c>
      <c r="D11439" s="7">
        <v>36.450000000000003</v>
      </c>
      <c r="E11439" t="s">
        <v>31</v>
      </c>
    </row>
    <row r="11440" spans="1:5" x14ac:dyDescent="0.25">
      <c r="A11440" t="str">
        <f>HYPERLINK("https://www.773grp.com/globalSearch/54190FM/page-1", "54190FM")</f>
        <v>54190FM</v>
      </c>
      <c r="B11440" s="3" t="str">
        <f>HYPERLINK("https://www.773grp.com/manufacturer/national-semiconductor?pageNo=49", "National Semiconductor")</f>
        <v>National Semiconductor</v>
      </c>
      <c r="C11440" s="6">
        <v>641</v>
      </c>
      <c r="D11440" s="7">
        <v>36.49</v>
      </c>
    </row>
    <row r="11441" spans="1:5" x14ac:dyDescent="0.25">
      <c r="A11441" t="str">
        <f>HYPERLINK("https://www.773grp.com/globalSearch/910HC/page-1", "910HC")</f>
        <v>910HC</v>
      </c>
      <c r="B11441" s="3" t="str">
        <f>HYPERLINK("https://www.773grp.com/manufacturer/national-semiconductor?pageNo=50", "National Semiconductor")</f>
        <v>National Semiconductor</v>
      </c>
      <c r="C11441" s="6">
        <v>1</v>
      </c>
      <c r="D11441" s="7">
        <v>36.49</v>
      </c>
    </row>
    <row r="11442" spans="1:5" x14ac:dyDescent="0.25">
      <c r="A11442" t="str">
        <f>HYPERLINK("https://www.773grp.com/globalSearch/959DC/page-1", "959DC")</f>
        <v>959DC</v>
      </c>
      <c r="B11442" s="3" t="str">
        <f>HYPERLINK("https://www.773grp.com/manufacturer/national-semiconductor?pageNo=51", "National Semiconductor")</f>
        <v>National Semiconductor</v>
      </c>
      <c r="C11442" s="6">
        <v>1339</v>
      </c>
      <c r="D11442" s="7">
        <v>36.49</v>
      </c>
    </row>
    <row r="11443" spans="1:5" x14ac:dyDescent="0.25">
      <c r="A11443" t="str">
        <f>HYPERLINK("https://www.773grp.com/globalSearch/9L24DM/page-1", "9L24DM")</f>
        <v>9L24DM</v>
      </c>
      <c r="B11443" s="3" t="str">
        <f>HYPERLINK("https://www.773grp.com/manufacturer/national-semiconductor?pageNo=52", "National Semiconductor")</f>
        <v>National Semiconductor</v>
      </c>
      <c r="C11443" s="6">
        <v>191</v>
      </c>
      <c r="D11443" s="7">
        <v>36.49</v>
      </c>
    </row>
    <row r="11444" spans="1:5" x14ac:dyDescent="0.25">
      <c r="A11444" t="str">
        <f>HYPERLINK("https://www.773grp.com/globalSearch/DS90CR484VJD-NOPB/page-1", "DS90CR484VJD-NOPB")</f>
        <v>DS90CR484VJD-NOPB</v>
      </c>
      <c r="B11444" s="3" t="str">
        <f>HYPERLINK("https://www.773grp.com/manufacturer/national-semiconductor?pageNo=53", "National Semiconductor")</f>
        <v>National Semiconductor</v>
      </c>
      <c r="C11444" s="6">
        <v>436</v>
      </c>
      <c r="D11444" s="7">
        <v>36.56</v>
      </c>
      <c r="E11444" t="s">
        <v>21</v>
      </c>
    </row>
    <row r="11445" spans="1:5" x14ac:dyDescent="0.25">
      <c r="A11445" t="str">
        <f>HYPERLINK("https://www.773grp.com/globalSearch/LM320K-12/page-1", "LM320K-12")</f>
        <v>LM320K-12</v>
      </c>
      <c r="B11445" s="3" t="str">
        <f>HYPERLINK("https://www.773grp.com/manufacturer/national-semiconductor?pageNo=54", "National Semiconductor")</f>
        <v>National Semiconductor</v>
      </c>
      <c r="C11445" s="6">
        <v>64</v>
      </c>
      <c r="D11445" s="7">
        <v>36.56</v>
      </c>
      <c r="E11445" t="s">
        <v>65</v>
      </c>
    </row>
    <row r="11446" spans="1:5" x14ac:dyDescent="0.25">
      <c r="A11446" t="str">
        <f>HYPERLINK("https://www.773grp.com/globalSearch/PAL16R6AJ-883/page-1", "PAL16R6AJ-883")</f>
        <v>PAL16R6AJ-883</v>
      </c>
      <c r="B11446" s="3" t="str">
        <f>HYPERLINK("https://www.773grp.com/manufacturer/national-semiconductor?pageNo=55", "National Semiconductor")</f>
        <v>National Semiconductor</v>
      </c>
      <c r="C11446" s="6">
        <v>196</v>
      </c>
      <c r="D11446" s="7">
        <v>36.56</v>
      </c>
    </row>
    <row r="11447" spans="1:5" x14ac:dyDescent="0.25">
      <c r="A11447" t="str">
        <f>HYPERLINK("https://www.773grp.com/globalSearch/PAL16R8AJ-883/page-1", "PAL16R8AJ-883")</f>
        <v>PAL16R8AJ-883</v>
      </c>
      <c r="B11447" s="3" t="str">
        <f>HYPERLINK("https://www.773grp.com/manufacturer/national-semiconductor?pageNo=56", "National Semiconductor")</f>
        <v>National Semiconductor</v>
      </c>
      <c r="C11447" s="6">
        <v>211</v>
      </c>
      <c r="D11447" s="7">
        <v>36.56</v>
      </c>
    </row>
    <row r="11448" spans="1:5" x14ac:dyDescent="0.25">
      <c r="A11448" t="str">
        <f>HYPERLINK("https://www.773grp.com/globalSearch/DS90CR484VJD-NOPB/page-1", "DS90CR484VJD-NOPB")</f>
        <v>DS90CR484VJD-NOPB</v>
      </c>
      <c r="B11448" s="3" t="str">
        <f>HYPERLINK("https://www.773grp.com/manufacturer/national-semiconductor?pageNo=57", "National Semiconductor")</f>
        <v>National Semiconductor</v>
      </c>
      <c r="C11448" s="6">
        <v>18810</v>
      </c>
      <c r="D11448" s="7">
        <v>36.56</v>
      </c>
      <c r="E11448" t="s">
        <v>21</v>
      </c>
    </row>
    <row r="11449" spans="1:5" x14ac:dyDescent="0.25">
      <c r="A11449" t="str">
        <f>HYPERLINK("https://www.773grp.com/globalSearch/LM111H-883/page-1", "LM111H-883")</f>
        <v>LM111H-883</v>
      </c>
      <c r="B11449" s="3" t="str">
        <f>HYPERLINK("https://www.773grp.com/manufacturer/national-semiconductor?pageNo=58", "National Semiconductor")</f>
        <v>National Semiconductor</v>
      </c>
      <c r="C11449" s="6">
        <v>5968</v>
      </c>
      <c r="D11449" s="7">
        <v>36.83</v>
      </c>
      <c r="E11449" t="s">
        <v>9</v>
      </c>
    </row>
    <row r="11450" spans="1:5" x14ac:dyDescent="0.25">
      <c r="A11450" t="str">
        <f>HYPERLINK("https://www.773grp.com/globalSearch/DP83910AV/page-1", "DP83910AV")</f>
        <v>DP83910AV</v>
      </c>
      <c r="B11450" s="3" t="str">
        <f>HYPERLINK("https://www.773grp.com/manufacturer/national-semiconductor?pageNo=59", "National Semiconductor")</f>
        <v>National Semiconductor</v>
      </c>
      <c r="C11450" s="6">
        <v>360</v>
      </c>
      <c r="D11450" s="7">
        <v>36.840000000000003</v>
      </c>
      <c r="E11450" t="s">
        <v>55</v>
      </c>
    </row>
    <row r="11451" spans="1:5" x14ac:dyDescent="0.25">
      <c r="A11451" t="str">
        <f>HYPERLINK("https://www.773grp.com/globalSearch/MM54HC175E-883/page-1", "MM54HC175E-883")</f>
        <v>MM54HC175E-883</v>
      </c>
      <c r="B11451" s="3" t="str">
        <f>HYPERLINK("https://www.773grp.com/manufacturer/national-semiconductor?pageNo=60", "National Semiconductor")</f>
        <v>National Semiconductor</v>
      </c>
      <c r="C11451" s="6">
        <v>43</v>
      </c>
      <c r="D11451" s="7">
        <v>36.840000000000003</v>
      </c>
    </row>
    <row r="11452" spans="1:5" x14ac:dyDescent="0.25">
      <c r="A11452" t="str">
        <f>HYPERLINK("https://www.773grp.com/globalSearch/54F676SDMQB/page-1", "54F676SDMQB")</f>
        <v>54F676SDMQB</v>
      </c>
      <c r="B11452" s="3" t="str">
        <f>HYPERLINK("https://www.773grp.com/manufacturer/national-semiconductor?pageNo=61", "National Semiconductor")</f>
        <v>National Semiconductor</v>
      </c>
      <c r="C11452" s="6">
        <v>135</v>
      </c>
      <c r="D11452" s="7">
        <v>36.880000000000003</v>
      </c>
      <c r="E11452" t="s">
        <v>32</v>
      </c>
    </row>
    <row r="11453" spans="1:5" x14ac:dyDescent="0.25">
      <c r="A11453" t="str">
        <f>HYPERLINK("https://www.773grp.com/globalSearch/54S140FM/page-1", "54S140FM")</f>
        <v>54S140FM</v>
      </c>
      <c r="B11453" s="3" t="str">
        <f>HYPERLINK("https://www.773grp.com/manufacturer/national-semiconductor?pageNo=62", "National Semiconductor")</f>
        <v>National Semiconductor</v>
      </c>
      <c r="C11453" s="6">
        <v>5373</v>
      </c>
      <c r="D11453" s="7">
        <v>36.880000000000003</v>
      </c>
    </row>
    <row r="11454" spans="1:5" x14ac:dyDescent="0.25">
      <c r="A11454" t="str">
        <f>HYPERLINK("https://www.773grp.com/globalSearch/COP8SDR9HVA8/page-1", "COP8SDR9HVA8")</f>
        <v>COP8SDR9HVA8</v>
      </c>
      <c r="B11454" s="3" t="str">
        <f>HYPERLINK("https://www.773grp.com/manufacturer/national-semiconductor?pageNo=63", "National Semiconductor")</f>
        <v>National Semiconductor</v>
      </c>
      <c r="C11454" s="6">
        <v>111</v>
      </c>
      <c r="D11454" s="7">
        <v>36.93</v>
      </c>
      <c r="E11454" t="s">
        <v>52</v>
      </c>
    </row>
    <row r="11455" spans="1:5" x14ac:dyDescent="0.25">
      <c r="A11455" t="str">
        <f>HYPERLINK("https://www.773grp.com/globalSearch/TMS320F2810PBKA/page-1", "TMS320F2810PBKA")</f>
        <v>TMS320F2810PBKA</v>
      </c>
      <c r="B11455" s="3" t="str">
        <f>HYPERLINK("https://www.773grp.com/manufacturer/national-semiconductor?pageNo=64", "National Semiconductor")</f>
        <v>National Semiconductor</v>
      </c>
      <c r="C11455" s="6">
        <v>540</v>
      </c>
      <c r="D11455" s="7">
        <v>37.130000000000003</v>
      </c>
    </row>
    <row r="11456" spans="1:5" x14ac:dyDescent="0.25">
      <c r="A11456" t="str">
        <f>HYPERLINK("https://www.773grp.com/globalSearch/944FMQB/page-1", "944FMQB")</f>
        <v>944FMQB</v>
      </c>
      <c r="B11456" s="3" t="str">
        <f>HYPERLINK("https://www.773grp.com/manufacturer/national-semiconductor?pageNo=65", "National Semiconductor")</f>
        <v>National Semiconductor</v>
      </c>
      <c r="C11456" s="6">
        <v>50</v>
      </c>
      <c r="D11456" s="7">
        <v>37.24</v>
      </c>
    </row>
    <row r="11457" spans="1:5" x14ac:dyDescent="0.25">
      <c r="A11457" t="str">
        <f>HYPERLINK("https://www.773grp.com/globalSearch/54H76DM/page-1", "54H76DM")</f>
        <v>54H76DM</v>
      </c>
      <c r="B11457" s="3" t="str">
        <f>HYPERLINK("https://www.773grp.com/manufacturer/national-semiconductor?pageNo=66", "National Semiconductor")</f>
        <v>National Semiconductor</v>
      </c>
      <c r="C11457" s="6">
        <v>1077</v>
      </c>
      <c r="D11457" s="7">
        <v>37.26</v>
      </c>
    </row>
    <row r="11458" spans="1:5" x14ac:dyDescent="0.25">
      <c r="A11458" t="str">
        <f>HYPERLINK("https://www.773grp.com/globalSearch/MM54HC157E-883/page-1", "MM54HC157E-883")</f>
        <v>MM54HC157E-883</v>
      </c>
      <c r="B11458" s="3" t="str">
        <f>HYPERLINK("https://www.773grp.com/manufacturer/national-semiconductor?pageNo=67", "National Semiconductor")</f>
        <v>National Semiconductor</v>
      </c>
      <c r="C11458" s="6">
        <v>95</v>
      </c>
      <c r="D11458" s="7">
        <v>37.26</v>
      </c>
    </row>
    <row r="11459" spans="1:5" x14ac:dyDescent="0.25">
      <c r="A11459" t="str">
        <f>HYPERLINK("https://www.773grp.com/globalSearch/JM38510-00203BDA/page-1", "JM38510-00203BDA")</f>
        <v>JM38510-00203BDA</v>
      </c>
      <c r="B11459" s="3" t="str">
        <f>HYPERLINK("https://www.773grp.com/manufacturer/national-semiconductor?pageNo=68", "National Semiconductor")</f>
        <v>National Semiconductor</v>
      </c>
      <c r="C11459" s="6">
        <v>636</v>
      </c>
      <c r="D11459" s="7">
        <v>37.409999999999997</v>
      </c>
    </row>
    <row r="11460" spans="1:5" x14ac:dyDescent="0.25">
      <c r="A11460" t="str">
        <f>HYPERLINK("https://www.773grp.com/globalSearch/JM54AC20BCA/page-1", "JM54AC20BCA")</f>
        <v>JM54AC20BCA</v>
      </c>
      <c r="B11460" s="3" t="str">
        <f>HYPERLINK("https://www.773grp.com/manufacturer/national-semiconductor?pageNo=69", "National Semiconductor")</f>
        <v>National Semiconductor</v>
      </c>
      <c r="C11460" s="6">
        <v>563</v>
      </c>
      <c r="D11460" s="7">
        <v>37.409999999999997</v>
      </c>
    </row>
    <row r="11461" spans="1:5" x14ac:dyDescent="0.25">
      <c r="A11461" t="str">
        <f>HYPERLINK("https://www.773grp.com/globalSearch/MM54C30J-883/page-1", "MM54C30J-883")</f>
        <v>MM54C30J-883</v>
      </c>
      <c r="B11461" s="3" t="str">
        <f>HYPERLINK("https://www.773grp.com/manufacturer/national-semiconductor?pageNo=70", "National Semiconductor")</f>
        <v>National Semiconductor</v>
      </c>
      <c r="C11461" s="6">
        <v>1</v>
      </c>
      <c r="D11461" s="7">
        <v>37.409999999999997</v>
      </c>
      <c r="E11461" t="s">
        <v>31</v>
      </c>
    </row>
    <row r="11462" spans="1:5" x14ac:dyDescent="0.25">
      <c r="A11462" t="str">
        <f>HYPERLINK("https://www.773grp.com/globalSearch/LMH0344GRE-NOPB/page-1", "LMH0344GRE-NOPB")</f>
        <v>LMH0344GRE-NOPB</v>
      </c>
      <c r="B11462" s="3" t="str">
        <f>HYPERLINK("https://www.773grp.com/manufacturer/national-semiconductor?pageNo=71", "National Semiconductor")</f>
        <v>National Semiconductor</v>
      </c>
      <c r="C11462" s="6">
        <v>250</v>
      </c>
      <c r="D11462" s="7">
        <v>37.549999999999997</v>
      </c>
    </row>
    <row r="11463" spans="1:5" x14ac:dyDescent="0.25">
      <c r="A11463" t="str">
        <f>HYPERLINK("https://www.773grp.com/globalSearch/LMH0344GRE-NOPB/page-1", "LMH0344GRE-NOPB")</f>
        <v>LMH0344GRE-NOPB</v>
      </c>
      <c r="B11463" s="3" t="str">
        <f>HYPERLINK("https://www.773grp.com/manufacturer/national-semiconductor?pageNo=72", "National Semiconductor")</f>
        <v>National Semiconductor</v>
      </c>
      <c r="C11463" s="6">
        <v>3000</v>
      </c>
      <c r="D11463" s="7">
        <v>37.549999999999997</v>
      </c>
    </row>
    <row r="11464" spans="1:5" x14ac:dyDescent="0.25">
      <c r="A11464" t="str">
        <f>HYPERLINK("https://www.773grp.com/globalSearch/LMH0344SQE-NOPB/page-1", "LMH0344SQE-NOPB")</f>
        <v>LMH0344SQE-NOPB</v>
      </c>
      <c r="B11464" s="3" t="str">
        <f>HYPERLINK("https://www.773grp.com/manufacturer/national-semiconductor?pageNo=73", "National Semiconductor")</f>
        <v>National Semiconductor</v>
      </c>
      <c r="C11464" s="6">
        <v>1573</v>
      </c>
      <c r="D11464" s="7">
        <v>37.549999999999997</v>
      </c>
    </row>
    <row r="11465" spans="1:5" x14ac:dyDescent="0.25">
      <c r="A11465" t="str">
        <f>HYPERLINK("https://www.773grp.com/globalSearch/9318DM/page-1", "9318DM")</f>
        <v>9318DM</v>
      </c>
      <c r="B11465" s="3" t="str">
        <f>HYPERLINK("https://www.773grp.com/manufacturer/national-semiconductor?pageNo=74", "National Semiconductor")</f>
        <v>National Semiconductor</v>
      </c>
      <c r="C11465" s="6">
        <v>5623</v>
      </c>
      <c r="D11465" s="7">
        <v>37.58</v>
      </c>
    </row>
    <row r="11466" spans="1:5" x14ac:dyDescent="0.25">
      <c r="A11466" t="str">
        <f>HYPERLINK("https://www.773grp.com/globalSearch/ADC12L063CIVY-NOPB/page-1", "ADC12L063CIVY-NOPB")</f>
        <v>ADC12L063CIVY-NOPB</v>
      </c>
      <c r="B11466" s="3" t="str">
        <f>HYPERLINK("https://www.773grp.com/manufacturer/national-semiconductor?pageNo=75", "National Semiconductor")</f>
        <v>National Semiconductor</v>
      </c>
      <c r="C11466" s="6">
        <v>427</v>
      </c>
      <c r="D11466" s="7">
        <v>37.64</v>
      </c>
      <c r="E11466" t="s">
        <v>39</v>
      </c>
    </row>
    <row r="11467" spans="1:5" x14ac:dyDescent="0.25">
      <c r="A11467" t="str">
        <f>HYPERLINK("https://www.773grp.com/globalSearch/ADC12L063CIVY-NOPB/page-1", "ADC12L063CIVY-NOPB")</f>
        <v>ADC12L063CIVY-NOPB</v>
      </c>
      <c r="B11467" s="3" t="str">
        <f>HYPERLINK("https://www.773grp.com/manufacturer/national-semiconductor?pageNo=76", "National Semiconductor")</f>
        <v>National Semiconductor</v>
      </c>
      <c r="C11467" s="6">
        <v>697</v>
      </c>
      <c r="D11467" s="7">
        <v>37.64</v>
      </c>
      <c r="E11467" t="s">
        <v>39</v>
      </c>
    </row>
    <row r="11468" spans="1:5" x14ac:dyDescent="0.25">
      <c r="A11468" t="str">
        <f>HYPERLINK("https://www.773grp.com/globalSearch/54F323DMQB/page-1", "54F323DMQB")</f>
        <v>54F323DMQB</v>
      </c>
      <c r="B11468" s="3" t="str">
        <f>HYPERLINK("https://www.773grp.com/manufacturer/national-semiconductor?pageNo=77", "National Semiconductor")</f>
        <v>National Semiconductor</v>
      </c>
      <c r="C11468" s="6">
        <v>107</v>
      </c>
      <c r="D11468" s="7">
        <v>37.69</v>
      </c>
      <c r="E11468" t="s">
        <v>32</v>
      </c>
    </row>
    <row r="11469" spans="1:5" x14ac:dyDescent="0.25">
      <c r="A11469" t="str">
        <f>HYPERLINK("https://www.773grp.com/globalSearch/DM54LS113W-883/page-1", "DM54LS113W-883")</f>
        <v>DM54LS113W-883</v>
      </c>
      <c r="B11469" s="3" t="str">
        <f>HYPERLINK("https://www.773grp.com/manufacturer/national-semiconductor?pageNo=78", "National Semiconductor")</f>
        <v>National Semiconductor</v>
      </c>
      <c r="C11469" s="6">
        <v>122</v>
      </c>
      <c r="D11469" s="7">
        <v>37.69</v>
      </c>
    </row>
    <row r="11470" spans="1:5" x14ac:dyDescent="0.25">
      <c r="A11470" t="str">
        <f>HYPERLINK("https://www.773grp.com/globalSearch/DS55110AJ-883/page-1", "DS55110AJ-883")</f>
        <v>DS55110AJ-883</v>
      </c>
      <c r="B11470" s="3" t="str">
        <f>HYPERLINK("https://www.773grp.com/manufacturer/national-semiconductor?pageNo=79", "National Semiconductor")</f>
        <v>National Semiconductor</v>
      </c>
      <c r="C11470" s="6">
        <v>84</v>
      </c>
      <c r="D11470" s="7">
        <v>37.69</v>
      </c>
      <c r="E11470" t="s">
        <v>21</v>
      </c>
    </row>
    <row r="11471" spans="1:5" x14ac:dyDescent="0.25">
      <c r="A11471" t="str">
        <f>HYPERLINK("https://www.773grp.com/globalSearch/LMH0070SQE/page-1", "LMH0070SQE")</f>
        <v>LMH0070SQE</v>
      </c>
      <c r="B11471" s="3" t="str">
        <f>HYPERLINK("https://www.773grp.com/manufacturer/national-semiconductor?pageNo=80", "National Semiconductor")</f>
        <v>National Semiconductor</v>
      </c>
      <c r="C11471" s="6">
        <v>299</v>
      </c>
      <c r="D11471" s="7">
        <v>37.69</v>
      </c>
      <c r="E11471" t="s">
        <v>21</v>
      </c>
    </row>
    <row r="11472" spans="1:5" x14ac:dyDescent="0.25">
      <c r="A11472" t="str">
        <f>HYPERLINK("https://www.773grp.com/globalSearch/LMZ14201EXTTZ-NOPB/page-1", "LMZ14201EXTTZ-NOPB")</f>
        <v>LMZ14201EXTTZ-NOPB</v>
      </c>
      <c r="B11472" s="3" t="str">
        <f>HYPERLINK("https://www.773grp.com/manufacturer/national-semiconductor?pageNo=81", "National Semiconductor")</f>
        <v>National Semiconductor</v>
      </c>
      <c r="C11472" s="6">
        <v>495</v>
      </c>
      <c r="D11472" s="7">
        <v>37.69</v>
      </c>
    </row>
    <row r="11473" spans="1:5" x14ac:dyDescent="0.25">
      <c r="A11473" t="str">
        <f>HYPERLINK("https://www.773grp.com/globalSearch/MM54HC161E-883/page-1", "MM54HC161E-883")</f>
        <v>MM54HC161E-883</v>
      </c>
      <c r="B11473" s="3" t="str">
        <f>HYPERLINK("https://www.773grp.com/manufacturer/national-semiconductor?pageNo=82", "National Semiconductor")</f>
        <v>National Semiconductor</v>
      </c>
      <c r="C11473" s="6">
        <v>11</v>
      </c>
      <c r="D11473" s="7">
        <v>37.69</v>
      </c>
    </row>
    <row r="11474" spans="1:5" x14ac:dyDescent="0.25">
      <c r="A11474" t="str">
        <f>HYPERLINK("https://www.773grp.com/globalSearch/MM54HC163E-883/page-1", "MM54HC163E-883")</f>
        <v>MM54HC163E-883</v>
      </c>
      <c r="B11474" s="3" t="str">
        <f>HYPERLINK("https://www.773grp.com/manufacturer/national-semiconductor?pageNo=83", "National Semiconductor")</f>
        <v>National Semiconductor</v>
      </c>
      <c r="C11474" s="6">
        <v>141</v>
      </c>
      <c r="D11474" s="7">
        <v>37.69</v>
      </c>
    </row>
    <row r="11475" spans="1:5" x14ac:dyDescent="0.25">
      <c r="A11475" t="str">
        <f>HYPERLINK("https://www.773grp.com/globalSearch/MM54HC164E-883/page-1", "MM54HC164E-883")</f>
        <v>MM54HC164E-883</v>
      </c>
      <c r="B11475" s="3" t="str">
        <f>HYPERLINK("https://www.773grp.com/manufacturer/national-semiconductor?pageNo=84", "National Semiconductor")</f>
        <v>National Semiconductor</v>
      </c>
      <c r="C11475" s="6">
        <v>211</v>
      </c>
      <c r="D11475" s="7">
        <v>37.69</v>
      </c>
    </row>
    <row r="11476" spans="1:5" x14ac:dyDescent="0.25">
      <c r="A11476" t="str">
        <f>HYPERLINK("https://www.773grp.com/globalSearch/MM54HC193E-883/page-1", "MM54HC193E-883")</f>
        <v>MM54HC193E-883</v>
      </c>
      <c r="B11476" s="3" t="str">
        <f>HYPERLINK("https://www.773grp.com/manufacturer/national-semiconductor?pageNo=85", "National Semiconductor")</f>
        <v>National Semiconductor</v>
      </c>
      <c r="C11476" s="6">
        <v>114</v>
      </c>
      <c r="D11476" s="7">
        <v>37.69</v>
      </c>
    </row>
    <row r="11477" spans="1:5" x14ac:dyDescent="0.25">
      <c r="A11477" t="str">
        <f>HYPERLINK("https://www.773grp.com/globalSearch/SCAN25100TYA-NOPB/page-1", "SCAN25100TYA-NOPB")</f>
        <v>SCAN25100TYA-NOPB</v>
      </c>
      <c r="B11477" s="3" t="str">
        <f>HYPERLINK("https://www.773grp.com/manufacturer/national-semiconductor?pageNo=86", "National Semiconductor")</f>
        <v>National Semiconductor</v>
      </c>
      <c r="C11477" s="6">
        <v>98</v>
      </c>
      <c r="D11477" s="7">
        <v>37.69</v>
      </c>
    </row>
    <row r="11478" spans="1:5" x14ac:dyDescent="0.25">
      <c r="A11478" t="str">
        <f>HYPERLINK("https://www.773grp.com/globalSearch/SCAN25100TYA-NOPB/page-1", "SCAN25100TYA-NOPB")</f>
        <v>SCAN25100TYA-NOPB</v>
      </c>
      <c r="B11478" s="3" t="str">
        <f>HYPERLINK("https://www.773grp.com/manufacturer/national-semiconductor?pageNo=87", "National Semiconductor")</f>
        <v>National Semiconductor</v>
      </c>
      <c r="C11478" s="6">
        <v>54</v>
      </c>
      <c r="D11478" s="7">
        <v>37.69</v>
      </c>
    </row>
    <row r="11479" spans="1:5" x14ac:dyDescent="0.25">
      <c r="A11479" t="str">
        <f>HYPERLINK("https://www.773grp.com/globalSearch/9024DM/page-1", "9024DM")</f>
        <v>9024DM</v>
      </c>
      <c r="B11479" s="3" t="str">
        <f>HYPERLINK("https://www.773grp.com/manufacturer/national-semiconductor?pageNo=88", "National Semiconductor")</f>
        <v>National Semiconductor</v>
      </c>
      <c r="C11479" s="6">
        <v>232</v>
      </c>
      <c r="D11479" s="7">
        <v>37.799999999999997</v>
      </c>
    </row>
    <row r="11480" spans="1:5" x14ac:dyDescent="0.25">
      <c r="A11480" t="str">
        <f>HYPERLINK("https://www.773grp.com/globalSearch/93L22FM/page-1", "93L22FM")</f>
        <v>93L22FM</v>
      </c>
      <c r="B11480" s="3" t="str">
        <f>HYPERLINK("https://www.773grp.com/manufacturer/national-semiconductor?pageNo=89", "National Semiconductor")</f>
        <v>National Semiconductor</v>
      </c>
      <c r="C11480" s="6">
        <v>126</v>
      </c>
      <c r="D11480" s="7">
        <v>37.799999999999997</v>
      </c>
      <c r="E11480" t="s">
        <v>20</v>
      </c>
    </row>
    <row r="11481" spans="1:5" x14ac:dyDescent="0.25">
      <c r="A11481" t="str">
        <f>HYPERLINK("https://www.773grp.com/globalSearch/9528DC/page-1", "9528DC")</f>
        <v>9528DC</v>
      </c>
      <c r="B11481" s="3" t="str">
        <f>HYPERLINK("https://www.773grp.com/manufacturer/national-semiconductor?pageNo=90", "National Semiconductor")</f>
        <v>National Semiconductor</v>
      </c>
      <c r="C11481" s="6">
        <v>5939</v>
      </c>
      <c r="D11481" s="7">
        <v>37.979999999999997</v>
      </c>
    </row>
    <row r="11482" spans="1:5" x14ac:dyDescent="0.25">
      <c r="A11482" t="str">
        <f>HYPERLINK("https://www.773grp.com/globalSearch/ADC12L030CIN/page-1", "ADC12L030CIN")</f>
        <v>ADC12L030CIN</v>
      </c>
      <c r="B11482" s="3" t="str">
        <f>HYPERLINK("https://www.773grp.com/manufacturer/national-semiconductor?pageNo=91", "National Semiconductor")</f>
        <v>National Semiconductor</v>
      </c>
      <c r="C11482" s="6">
        <v>3248</v>
      </c>
      <c r="D11482" s="7">
        <v>37.979999999999997</v>
      </c>
      <c r="E11482" t="s">
        <v>39</v>
      </c>
    </row>
    <row r="11483" spans="1:5" x14ac:dyDescent="0.25">
      <c r="A11483" t="str">
        <f>HYPERLINK("https://www.773grp.com/globalSearch/CR16MCS9VJE7/page-1", "CR16MCS9VJE7")</f>
        <v>CR16MCS9VJE7</v>
      </c>
      <c r="B11483" s="3" t="str">
        <f>HYPERLINK("https://www.773grp.com/manufacturer/national-semiconductor?pageNo=92", "National Semiconductor")</f>
        <v>National Semiconductor</v>
      </c>
      <c r="C11483" s="6">
        <v>80</v>
      </c>
      <c r="D11483" s="7">
        <v>37.979999999999997</v>
      </c>
      <c r="E11483" t="s">
        <v>52</v>
      </c>
    </row>
    <row r="11484" spans="1:5" x14ac:dyDescent="0.25">
      <c r="A11484" t="str">
        <f>HYPERLINK("https://www.773grp.com/globalSearch/CR16MCS9VJE7-NOPB/page-1", "CR16MCS9VJE7-NOPB")</f>
        <v>CR16MCS9VJE7-NOPB</v>
      </c>
      <c r="B11484" s="3" t="str">
        <f>HYPERLINK("https://www.773grp.com/manufacturer/national-semiconductor?pageNo=93", "National Semiconductor")</f>
        <v>National Semiconductor</v>
      </c>
      <c r="C11484" s="6">
        <v>1052</v>
      </c>
      <c r="D11484" s="7">
        <v>37.979999999999997</v>
      </c>
      <c r="E11484" t="s">
        <v>52</v>
      </c>
    </row>
    <row r="11485" spans="1:5" x14ac:dyDescent="0.25">
      <c r="A11485" t="str">
        <f>HYPERLINK("https://www.773grp.com/globalSearch/CR16MCS9VJE9/page-1", "CR16MCS9VJE9")</f>
        <v>CR16MCS9VJE9</v>
      </c>
      <c r="B11485" s="3" t="str">
        <f>HYPERLINK("https://www.773grp.com/manufacturer/national-semiconductor?pageNo=94", "National Semiconductor")</f>
        <v>National Semiconductor</v>
      </c>
      <c r="C11485" s="6">
        <v>77</v>
      </c>
      <c r="D11485" s="7">
        <v>37.979999999999997</v>
      </c>
      <c r="E11485" t="s">
        <v>52</v>
      </c>
    </row>
    <row r="11486" spans="1:5" x14ac:dyDescent="0.25">
      <c r="A11486" t="str">
        <f>HYPERLINK("https://www.773grp.com/globalSearch/CR16MCS9VJE9-NOPB/page-1", "CR16MCS9VJE9-NOPB")</f>
        <v>CR16MCS9VJE9-NOPB</v>
      </c>
      <c r="B11486" s="3" t="str">
        <f>HYPERLINK("https://www.773grp.com/manufacturer/national-semiconductor?pageNo=95", "National Semiconductor")</f>
        <v>National Semiconductor</v>
      </c>
      <c r="C11486" s="6">
        <v>24</v>
      </c>
      <c r="D11486" s="7">
        <v>37.979999999999997</v>
      </c>
      <c r="E11486" t="s">
        <v>52</v>
      </c>
    </row>
    <row r="11487" spans="1:5" x14ac:dyDescent="0.25">
      <c r="A11487" t="str">
        <f>HYPERLINK("https://www.773grp.com/globalSearch/LMZ10503EXTTZ-NOPB/page-1", "LMZ10503EXTTZ-NOPB")</f>
        <v>LMZ10503EXTTZ-NOPB</v>
      </c>
      <c r="B11487" s="3" t="str">
        <f>HYPERLINK("https://www.773grp.com/manufacturer/national-semiconductor?pageNo=96", "National Semiconductor")</f>
        <v>National Semiconductor</v>
      </c>
      <c r="C11487" s="6">
        <v>185</v>
      </c>
      <c r="D11487" s="7">
        <v>37.979999999999997</v>
      </c>
    </row>
    <row r="11488" spans="1:5" x14ac:dyDescent="0.25">
      <c r="A11488" t="str">
        <f>HYPERLINK("https://www.773grp.com/globalSearch/MM4619BW-883/page-1", "MM4619BW-883")</f>
        <v>MM4619BW-883</v>
      </c>
      <c r="B11488" s="3" t="str">
        <f>HYPERLINK("https://www.773grp.com/manufacturer/national-semiconductor?pageNo=97", "National Semiconductor")</f>
        <v>National Semiconductor</v>
      </c>
      <c r="C11488" s="6">
        <v>698</v>
      </c>
      <c r="D11488" s="7">
        <v>37.979999999999997</v>
      </c>
    </row>
    <row r="11489" spans="1:5" x14ac:dyDescent="0.25">
      <c r="A11489" t="str">
        <f>HYPERLINK("https://www.773grp.com/globalSearch/CR16MCS9VJE7-NOPB/page-1", "CR16MCS9VJE7-NOPB")</f>
        <v>CR16MCS9VJE7-NOPB</v>
      </c>
      <c r="B11489" s="3" t="str">
        <f>HYPERLINK("https://www.773grp.com/manufacturer/national-semiconductor?pageNo=98", "National Semiconductor")</f>
        <v>National Semiconductor</v>
      </c>
      <c r="C11489" s="6">
        <v>72</v>
      </c>
      <c r="D11489" s="7">
        <v>37.979999999999997</v>
      </c>
      <c r="E11489" t="s">
        <v>52</v>
      </c>
    </row>
    <row r="11490" spans="1:5" x14ac:dyDescent="0.25">
      <c r="A11490" t="str">
        <f>HYPERLINK("https://www.773grp.com/globalSearch/9313FM/page-1", "9313FM")</f>
        <v>9313FM</v>
      </c>
      <c r="B11490" s="3" t="str">
        <f>HYPERLINK("https://www.773grp.com/manufacturer/national-semiconductor?pageNo=99", "National Semiconductor")</f>
        <v>National Semiconductor</v>
      </c>
      <c r="C11490" s="6">
        <v>114</v>
      </c>
      <c r="D11490" s="7">
        <v>38</v>
      </c>
    </row>
    <row r="11491" spans="1:5" x14ac:dyDescent="0.25">
      <c r="A11491" t="str">
        <f>HYPERLINK("https://www.773grp.com/globalSearch/JL148BCA/page-1", "JL148BCA")</f>
        <v>JL148BCA</v>
      </c>
      <c r="B11491" s="3" t="str">
        <f>HYPERLINK("https://www.773grp.com/manufacturer/national-semiconductor?pageNo=100", "National Semiconductor")</f>
        <v>National Semiconductor</v>
      </c>
      <c r="C11491" s="6">
        <v>484</v>
      </c>
      <c r="D11491" s="7">
        <v>38</v>
      </c>
      <c r="E11491" t="s">
        <v>13</v>
      </c>
    </row>
    <row r="11492" spans="1:5" x14ac:dyDescent="0.25">
      <c r="A11492" t="str">
        <f>HYPERLINK("https://www.773grp.com/globalSearch/JM38510-11001BCA/page-1", "JM38510-11001BCA")</f>
        <v>JM38510-11001BCA</v>
      </c>
      <c r="B11492" s="3" t="str">
        <f>HYPERLINK("https://www.773grp.com/manufacturer/national-semiconductor?pageNo=101", "National Semiconductor")</f>
        <v>National Semiconductor</v>
      </c>
      <c r="C11492" s="6">
        <v>1800</v>
      </c>
      <c r="D11492" s="7">
        <v>38</v>
      </c>
      <c r="E11492" t="s">
        <v>13</v>
      </c>
    </row>
    <row r="11493" spans="1:5" x14ac:dyDescent="0.25">
      <c r="A11493" t="str">
        <f>HYPERLINK("https://www.773grp.com/globalSearch/DP8573AV/page-1", "DP8573AV")</f>
        <v>DP8573AV</v>
      </c>
      <c r="B11493" s="3" t="str">
        <f>HYPERLINK("https://www.773grp.com/manufacturer/national-semiconductor?pageNo=102", "National Semiconductor")</f>
        <v>National Semiconductor</v>
      </c>
      <c r="C11493" s="6">
        <v>2121</v>
      </c>
      <c r="D11493" s="7">
        <v>38.14</v>
      </c>
      <c r="E11493" t="s">
        <v>82</v>
      </c>
    </row>
    <row r="11494" spans="1:5" x14ac:dyDescent="0.25">
      <c r="A11494" t="str">
        <f>HYPERLINK("https://www.773grp.com/globalSearch/54ACT521J-MSP/page-1", "54ACT521J-MSP")</f>
        <v>54ACT521J-MSP</v>
      </c>
      <c r="B11494" s="3" t="str">
        <f>HYPERLINK("https://www.773grp.com/manufacturer/national-semiconductor?pageNo=103", "National Semiconductor")</f>
        <v>National Semiconductor</v>
      </c>
      <c r="C11494" s="6">
        <v>168</v>
      </c>
      <c r="D11494" s="7">
        <v>38.25</v>
      </c>
    </row>
    <row r="11495" spans="1:5" x14ac:dyDescent="0.25">
      <c r="A11495" t="str">
        <f>HYPERLINK("https://www.773grp.com/globalSearch/CR16MCS9VJE8-NOPB/page-1", "CR16MCS9VJE8-NOPB")</f>
        <v>CR16MCS9VJE8-NOPB</v>
      </c>
      <c r="B11495" s="3" t="str">
        <f>HYPERLINK("https://www.773grp.com/manufacturer/national-semiconductor?pageNo=104", "National Semiconductor")</f>
        <v>National Semiconductor</v>
      </c>
      <c r="C11495" s="6">
        <v>949</v>
      </c>
      <c r="D11495" s="7">
        <v>38.25</v>
      </c>
      <c r="E11495" t="s">
        <v>52</v>
      </c>
    </row>
    <row r="11496" spans="1:5" x14ac:dyDescent="0.25">
      <c r="A11496" t="str">
        <f>HYPERLINK("https://www.773grp.com/globalSearch/DM54LS259W-883/page-1", "DM54LS259W-883")</f>
        <v>DM54LS259W-883</v>
      </c>
      <c r="B11496" s="3" t="str">
        <f>HYPERLINK("https://www.773grp.com/manufacturer/national-semiconductor?pageNo=105", "National Semiconductor")</f>
        <v>National Semiconductor</v>
      </c>
      <c r="C11496" s="6">
        <v>68</v>
      </c>
      <c r="D11496" s="7">
        <v>38.25</v>
      </c>
    </row>
    <row r="11497" spans="1:5" x14ac:dyDescent="0.25">
      <c r="A11497" t="str">
        <f>HYPERLINK("https://www.773grp.com/globalSearch/MM54HC393E-883/page-1", "MM54HC393E-883")</f>
        <v>MM54HC393E-883</v>
      </c>
      <c r="B11497" s="3" t="str">
        <f>HYPERLINK("https://www.773grp.com/manufacturer/national-semiconductor?pageNo=106", "National Semiconductor")</f>
        <v>National Semiconductor</v>
      </c>
      <c r="C11497" s="6">
        <v>275</v>
      </c>
      <c r="D11497" s="7">
        <v>38.25</v>
      </c>
    </row>
    <row r="11498" spans="1:5" x14ac:dyDescent="0.25">
      <c r="A11498" t="str">
        <f>HYPERLINK("https://www.773grp.com/globalSearch/100145DCQR/page-1", "100145DCQR")</f>
        <v>100145DCQR</v>
      </c>
      <c r="B11498" s="3" t="str">
        <f>HYPERLINK("https://www.773grp.com/manufacturer/national-semiconductor?pageNo=107", "National Semiconductor")</f>
        <v>National Semiconductor</v>
      </c>
      <c r="C11498" s="6">
        <v>2046</v>
      </c>
      <c r="D11498" s="7">
        <v>38.28</v>
      </c>
    </row>
    <row r="11499" spans="1:5" x14ac:dyDescent="0.25">
      <c r="A11499" t="str">
        <f>HYPERLINK("https://www.773grp.com/globalSearch/9401PC/page-1", "9401PC")</f>
        <v>9401PC</v>
      </c>
      <c r="B11499" s="3" t="str">
        <f>HYPERLINK("https://www.773grp.com/manufacturer/national-semiconductor?pageNo=108", "National Semiconductor")</f>
        <v>National Semiconductor</v>
      </c>
      <c r="C11499" s="6">
        <v>11096</v>
      </c>
      <c r="D11499" s="7">
        <v>38.31</v>
      </c>
    </row>
    <row r="11500" spans="1:5" x14ac:dyDescent="0.25">
      <c r="A11500" t="str">
        <f>HYPERLINK("https://www.773grp.com/globalSearch/CP3UB17K38/page-1", "CP3UB17K38")</f>
        <v>CP3UB17K38</v>
      </c>
      <c r="B11500" s="3" t="str">
        <f>HYPERLINK("https://www.773grp.com/manufacturer/national-semiconductor?pageNo=109", "National Semiconductor")</f>
        <v>National Semiconductor</v>
      </c>
      <c r="C11500" s="6">
        <v>500</v>
      </c>
      <c r="D11500" s="7">
        <v>38.39</v>
      </c>
    </row>
    <row r="11501" spans="1:5" x14ac:dyDescent="0.25">
      <c r="A11501" t="str">
        <f>HYPERLINK("https://www.773grp.com/globalSearch/CP3UB17K38/page-1", "CP3UB17K38")</f>
        <v>CP3UB17K38</v>
      </c>
      <c r="B11501" s="3" t="str">
        <f>HYPERLINK("https://www.773grp.com/manufacturer/national-semiconductor?pageNo=110", "National Semiconductor")</f>
        <v>National Semiconductor</v>
      </c>
      <c r="C11501" s="6">
        <v>750</v>
      </c>
      <c r="D11501" s="7">
        <v>38.39</v>
      </c>
    </row>
    <row r="11502" spans="1:5" x14ac:dyDescent="0.25">
      <c r="A11502" t="str">
        <f>HYPERLINK("https://www.773grp.com/globalSearch/SCAN25100TYAX/page-1", "SCAN25100TYAX")</f>
        <v>SCAN25100TYAX</v>
      </c>
      <c r="B11502" s="3" t="str">
        <f>HYPERLINK("https://www.773grp.com/manufacturer/national-semiconductor?pageNo=111", "National Semiconductor")</f>
        <v>National Semiconductor</v>
      </c>
      <c r="C11502" s="6">
        <v>3000</v>
      </c>
      <c r="D11502" s="7">
        <v>38.479999999999997</v>
      </c>
    </row>
    <row r="11503" spans="1:5" x14ac:dyDescent="0.25">
      <c r="A11503" t="str">
        <f>HYPERLINK("https://www.773grp.com/globalSearch/LM12H458CIV-NOPB/page-1", "LM12H458CIV-NOPB")</f>
        <v>LM12H458CIV-NOPB</v>
      </c>
      <c r="B11503" s="3" t="str">
        <f>HYPERLINK("https://www.773grp.com/manufacturer/national-semiconductor?pageNo=112", "National Semiconductor")</f>
        <v>National Semiconductor</v>
      </c>
      <c r="C11503" s="6">
        <v>96</v>
      </c>
      <c r="D11503" s="7">
        <v>38.53</v>
      </c>
      <c r="E11503" t="s">
        <v>40</v>
      </c>
    </row>
    <row r="11504" spans="1:5" x14ac:dyDescent="0.25">
      <c r="A11504" t="str">
        <f>HYPERLINK("https://www.773grp.com/globalSearch/LM12H458CIVF-NOPB/page-1", "LM12H458CIVF-NOPB")</f>
        <v>LM12H458CIVF-NOPB</v>
      </c>
      <c r="B11504" s="3" t="str">
        <f>HYPERLINK("https://www.773grp.com/manufacturer/national-semiconductor?pageNo=113", "National Semiconductor")</f>
        <v>National Semiconductor</v>
      </c>
      <c r="C11504" s="6">
        <v>21</v>
      </c>
      <c r="D11504" s="7">
        <v>38.53</v>
      </c>
      <c r="E11504" t="s">
        <v>40</v>
      </c>
    </row>
    <row r="11505" spans="1:5" x14ac:dyDescent="0.25">
      <c r="A11505" t="str">
        <f>HYPERLINK("https://www.773grp.com/globalSearch/LM12H458CIVX/page-1", "LM12H458CIVX")</f>
        <v>LM12H458CIVX</v>
      </c>
      <c r="B11505" s="3" t="str">
        <f>HYPERLINK("https://www.773grp.com/manufacturer/national-semiconductor?pageNo=114", "National Semiconductor")</f>
        <v>National Semiconductor</v>
      </c>
      <c r="C11505" s="6">
        <v>300</v>
      </c>
      <c r="D11505" s="7">
        <v>38.53</v>
      </c>
      <c r="E11505" t="s">
        <v>40</v>
      </c>
    </row>
    <row r="11506" spans="1:5" x14ac:dyDescent="0.25">
      <c r="A11506" t="str">
        <f>HYPERLINK("https://www.773grp.com/globalSearch/LM12L458CIV-NOPB/page-1", "LM12L458CIV-NOPB")</f>
        <v>LM12L458CIV-NOPB</v>
      </c>
      <c r="B11506" s="3" t="str">
        <f>HYPERLINK("https://www.773grp.com/manufacturer/national-semiconductor?pageNo=115", "National Semiconductor")</f>
        <v>National Semiconductor</v>
      </c>
      <c r="C11506" s="6">
        <v>322</v>
      </c>
      <c r="D11506" s="7">
        <v>38.53</v>
      </c>
      <c r="E11506" t="s">
        <v>40</v>
      </c>
    </row>
    <row r="11507" spans="1:5" x14ac:dyDescent="0.25">
      <c r="A11507" t="str">
        <f>HYPERLINK("https://www.773grp.com/globalSearch/LM12H458CIV-NOPB/page-1", "LM12H458CIV-NOPB")</f>
        <v>LM12H458CIV-NOPB</v>
      </c>
      <c r="B11507" s="3" t="str">
        <f>HYPERLINK("https://www.773grp.com/manufacturer/national-semiconductor?pageNo=116", "National Semiconductor")</f>
        <v>National Semiconductor</v>
      </c>
      <c r="C11507" s="6">
        <v>100</v>
      </c>
      <c r="D11507" s="7">
        <v>38.53</v>
      </c>
      <c r="E11507" t="s">
        <v>40</v>
      </c>
    </row>
    <row r="11508" spans="1:5" x14ac:dyDescent="0.25">
      <c r="A11508" t="str">
        <f>HYPERLINK("https://www.773grp.com/globalSearch/LM12H458CIVF-NOPB/page-1", "LM12H458CIVF-NOPB")</f>
        <v>LM12H458CIVF-NOPB</v>
      </c>
      <c r="B11508" s="3" t="str">
        <f>HYPERLINK("https://www.773grp.com/manufacturer/national-semiconductor?pageNo=117", "National Semiconductor")</f>
        <v>National Semiconductor</v>
      </c>
      <c r="C11508" s="6">
        <v>552</v>
      </c>
      <c r="D11508" s="7">
        <v>38.53</v>
      </c>
      <c r="E11508" t="s">
        <v>40</v>
      </c>
    </row>
    <row r="11509" spans="1:5" x14ac:dyDescent="0.25">
      <c r="A11509" t="str">
        <f>HYPERLINK("https://www.773grp.com/globalSearch/LM12L458CIV-NOPB/page-1", "LM12L458CIV-NOPB")</f>
        <v>LM12L458CIV-NOPB</v>
      </c>
      <c r="B11509" s="3" t="str">
        <f>HYPERLINK("https://www.773grp.com/manufacturer/national-semiconductor?pageNo=118", "National Semiconductor")</f>
        <v>National Semiconductor</v>
      </c>
      <c r="C11509" s="6">
        <v>237</v>
      </c>
      <c r="D11509" s="7">
        <v>38.53</v>
      </c>
      <c r="E11509" t="s">
        <v>40</v>
      </c>
    </row>
    <row r="11510" spans="1:5" x14ac:dyDescent="0.25">
      <c r="A11510" t="str">
        <f>HYPERLINK("https://www.773grp.com/globalSearch/9003FM/page-1", "9003FM")</f>
        <v>9003FM</v>
      </c>
      <c r="B11510" s="3" t="str">
        <f>HYPERLINK("https://www.773grp.com/manufacturer/national-semiconductor?pageNo=119", "National Semiconductor")</f>
        <v>National Semiconductor</v>
      </c>
      <c r="C11510" s="6">
        <v>1288</v>
      </c>
      <c r="D11510" s="7">
        <v>38.68</v>
      </c>
    </row>
    <row r="11511" spans="1:5" x14ac:dyDescent="0.25">
      <c r="A11511" t="str">
        <f>HYPERLINK("https://www.773grp.com/globalSearch/AM3505AZCN/page-1", "AM3505AZCN")</f>
        <v>AM3505AZCN</v>
      </c>
      <c r="B11511" s="3" t="str">
        <f>HYPERLINK("https://www.773grp.com/manufacturer/national-semiconductor?pageNo=120", "National Semiconductor")</f>
        <v>National Semiconductor</v>
      </c>
      <c r="C11511" s="6">
        <v>540</v>
      </c>
      <c r="D11511" s="7">
        <v>38.68</v>
      </c>
    </row>
    <row r="11512" spans="1:5" x14ac:dyDescent="0.25">
      <c r="A11512" t="str">
        <f>HYPERLINK("https://www.773grp.com/globalSearch/54F646SDM/page-1", "54F646SDM")</f>
        <v>54F646SDM</v>
      </c>
      <c r="B11512" s="3" t="str">
        <f>HYPERLINK("https://www.773grp.com/manufacturer/national-semiconductor?pageNo=121", "National Semiconductor")</f>
        <v>National Semiconductor</v>
      </c>
      <c r="C11512" s="6">
        <v>462</v>
      </c>
      <c r="D11512" s="7">
        <v>38.76</v>
      </c>
      <c r="E11512" t="s">
        <v>14</v>
      </c>
    </row>
    <row r="11513" spans="1:5" x14ac:dyDescent="0.25">
      <c r="A11513" t="str">
        <f>HYPERLINK("https://www.773grp.com/globalSearch/9015FM/page-1", "9015FM")</f>
        <v>9015FM</v>
      </c>
      <c r="B11513" s="3" t="str">
        <f>HYPERLINK("https://www.773grp.com/manufacturer/national-semiconductor?pageNo=122", "National Semiconductor")</f>
        <v>National Semiconductor</v>
      </c>
      <c r="C11513" s="6">
        <v>2588</v>
      </c>
      <c r="D11513" s="7">
        <v>38.76</v>
      </c>
    </row>
    <row r="11514" spans="1:5" x14ac:dyDescent="0.25">
      <c r="A11514" t="str">
        <f>HYPERLINK("https://www.773grp.com/globalSearch/100115SC/page-1", "100115SC")</f>
        <v>100115SC</v>
      </c>
      <c r="B11514" s="3" t="str">
        <f>HYPERLINK("https://www.773grp.com/manufacturer/national-semiconductor?pageNo=123", "National Semiconductor")</f>
        <v>National Semiconductor</v>
      </c>
      <c r="C11514" s="6">
        <v>1449</v>
      </c>
      <c r="D11514" s="7">
        <v>38.81</v>
      </c>
      <c r="E11514" t="s">
        <v>34</v>
      </c>
    </row>
    <row r="11515" spans="1:5" x14ac:dyDescent="0.25">
      <c r="A11515" t="str">
        <f>HYPERLINK("https://www.773grp.com/globalSearch/945FMQB/page-1", "945FMQB")</f>
        <v>945FMQB</v>
      </c>
      <c r="B11515" s="3" t="str">
        <f>HYPERLINK("https://www.773grp.com/manufacturer/national-semiconductor?pageNo=124", "National Semiconductor")</f>
        <v>National Semiconductor</v>
      </c>
      <c r="C11515" s="6">
        <v>114</v>
      </c>
      <c r="D11515" s="7">
        <v>38.81</v>
      </c>
    </row>
    <row r="11516" spans="1:5" x14ac:dyDescent="0.25">
      <c r="A11516" t="str">
        <f>HYPERLINK("https://www.773grp.com/globalSearch/LMK04033BISQE/page-1", "LMK04033BISQE")</f>
        <v>LMK04033BISQE</v>
      </c>
      <c r="B11516" s="3" t="str">
        <f>HYPERLINK("https://www.773grp.com/manufacturer/national-semiconductor?pageNo=125", "National Semiconductor")</f>
        <v>National Semiconductor</v>
      </c>
      <c r="C11516" s="6">
        <v>250</v>
      </c>
      <c r="D11516" s="7">
        <v>38.81</v>
      </c>
      <c r="E11516" t="s">
        <v>34</v>
      </c>
    </row>
    <row r="11517" spans="1:5" x14ac:dyDescent="0.25">
      <c r="A11517" t="str">
        <f>HYPERLINK("https://www.773grp.com/globalSearch/5962-9076501MEA/page-1", "5962-9076501MEA")</f>
        <v>5962-9076501MEA</v>
      </c>
      <c r="B11517" s="3" t="str">
        <f>HYPERLINK("https://www.773grp.com/manufacturer/national-semiconductor?pageNo=126", "National Semiconductor")</f>
        <v>National Semiconductor</v>
      </c>
      <c r="C11517" s="6">
        <v>126</v>
      </c>
      <c r="D11517" s="7">
        <v>38.9</v>
      </c>
      <c r="E11517" t="s">
        <v>21</v>
      </c>
    </row>
    <row r="11518" spans="1:5" x14ac:dyDescent="0.25">
      <c r="A11518" t="str">
        <f>HYPERLINK("https://www.773grp.com/globalSearch/9097FM/page-1", "9097FM")</f>
        <v>9097FM</v>
      </c>
      <c r="B11518" s="3" t="str">
        <f>HYPERLINK("https://www.773grp.com/manufacturer/national-semiconductor?pageNo=127", "National Semiconductor")</f>
        <v>National Semiconductor</v>
      </c>
      <c r="C11518" s="6">
        <v>322</v>
      </c>
      <c r="D11518" s="7">
        <v>38.9</v>
      </c>
    </row>
    <row r="11519" spans="1:5" x14ac:dyDescent="0.25">
      <c r="A11519" t="str">
        <f>HYPERLINK("https://www.773grp.com/globalSearch/DS96F172MJ-883/page-1", "DS96F172MJ-883")</f>
        <v>DS96F172MJ-883</v>
      </c>
      <c r="B11519" s="3" t="str">
        <f>HYPERLINK("https://www.773grp.com/manufacturer/national-semiconductor?pageNo=128", "National Semiconductor")</f>
        <v>National Semiconductor</v>
      </c>
      <c r="C11519" s="6">
        <v>271</v>
      </c>
      <c r="D11519" s="7">
        <v>38.9</v>
      </c>
      <c r="E11519" t="s">
        <v>21</v>
      </c>
    </row>
    <row r="11520" spans="1:5" x14ac:dyDescent="0.25">
      <c r="A11520" t="str">
        <f>HYPERLINK("https://www.773grp.com/globalSearch/DS96F174MJ-883/page-1", "DS96F174MJ-883")</f>
        <v>DS96F174MJ-883</v>
      </c>
      <c r="B11520" s="3" t="str">
        <f>HYPERLINK("https://www.773grp.com/manufacturer/national-semiconductor?pageNo=129", "National Semiconductor")</f>
        <v>National Semiconductor</v>
      </c>
      <c r="C11520" s="6">
        <v>1415</v>
      </c>
      <c r="D11520" s="7">
        <v>38.9</v>
      </c>
      <c r="E11520" t="s">
        <v>21</v>
      </c>
    </row>
    <row r="11521" spans="1:5" x14ac:dyDescent="0.25">
      <c r="A11521" t="str">
        <f>HYPERLINK("https://www.773grp.com/globalSearch/JM38510-10103BCA/page-1", "JM38510-10103BCA")</f>
        <v>JM38510-10103BCA</v>
      </c>
      <c r="B11521" s="3" t="str">
        <f>HYPERLINK("https://www.773grp.com/manufacturer/national-semiconductor?pageNo=130", "National Semiconductor")</f>
        <v>National Semiconductor</v>
      </c>
      <c r="C11521" s="6">
        <v>13</v>
      </c>
      <c r="D11521" s="7">
        <v>38.9</v>
      </c>
      <c r="E11521" t="s">
        <v>13</v>
      </c>
    </row>
    <row r="11522" spans="1:5" x14ac:dyDescent="0.25">
      <c r="A11522" t="str">
        <f>HYPERLINK("https://www.773grp.com/globalSearch/DS96F172MJ-883/page-1", "DS96F172MJ-883")</f>
        <v>DS96F172MJ-883</v>
      </c>
      <c r="B11522" s="3" t="str">
        <f>HYPERLINK("https://www.773grp.com/manufacturer/national-semiconductor?pageNo=131", "National Semiconductor")</f>
        <v>National Semiconductor</v>
      </c>
      <c r="C11522" s="6">
        <v>47</v>
      </c>
      <c r="D11522" s="7">
        <v>38.9</v>
      </c>
      <c r="E11522" t="s">
        <v>21</v>
      </c>
    </row>
    <row r="11523" spans="1:5" x14ac:dyDescent="0.25">
      <c r="A11523" t="str">
        <f>HYPERLINK("https://www.773grp.com/globalSearch/LM101AH-883/page-1", "LM101AH-883")</f>
        <v>LM101AH-883</v>
      </c>
      <c r="B11523" s="3" t="str">
        <f>HYPERLINK("https://www.773grp.com/manufacturer/national-semiconductor?pageNo=132", "National Semiconductor")</f>
        <v>National Semiconductor</v>
      </c>
      <c r="C11523" s="6">
        <v>38</v>
      </c>
      <c r="D11523" s="7">
        <v>38.9</v>
      </c>
    </row>
    <row r="11524" spans="1:5" x14ac:dyDescent="0.25">
      <c r="A11524" t="str">
        <f>HYPERLINK("https://www.773grp.com/globalSearch/10125FC/page-1", "10125FC")</f>
        <v>10125FC</v>
      </c>
      <c r="B11524" s="3" t="str">
        <f>HYPERLINK("https://www.773grp.com/manufacturer/national-semiconductor?pageNo=133", "National Semiconductor")</f>
        <v>National Semiconductor</v>
      </c>
      <c r="C11524" s="6">
        <v>2212</v>
      </c>
      <c r="D11524" s="7">
        <v>39.04</v>
      </c>
      <c r="E11524" t="s">
        <v>73</v>
      </c>
    </row>
    <row r="11525" spans="1:5" x14ac:dyDescent="0.25">
      <c r="A11525" t="str">
        <f>HYPERLINK("https://www.773grp.com/globalSearch/LM35AH-NOPB/page-1", "LM35AH-NOPB")</f>
        <v>LM35AH-NOPB</v>
      </c>
      <c r="B11525" s="3" t="str">
        <f>HYPERLINK("https://www.773grp.com/manufacturer/national-semiconductor?pageNo=134", "National Semiconductor")</f>
        <v>National Semiconductor</v>
      </c>
      <c r="C11525" s="6">
        <v>183</v>
      </c>
      <c r="D11525" s="7">
        <v>39.04</v>
      </c>
      <c r="E11525" t="s">
        <v>8</v>
      </c>
    </row>
    <row r="11526" spans="1:5" x14ac:dyDescent="0.25">
      <c r="A11526" t="str">
        <f>HYPERLINK("https://www.773grp.com/globalSearch/LM193H-883/page-1", "LM193H-883")</f>
        <v>LM193H-883</v>
      </c>
      <c r="B11526" s="3" t="str">
        <f>HYPERLINK("https://www.773grp.com/manufacturer/national-semiconductor?pageNo=1", "National Semiconductor")</f>
        <v>National Semiconductor</v>
      </c>
      <c r="C11526" s="6">
        <v>7</v>
      </c>
      <c r="D11526" s="7">
        <v>39.04</v>
      </c>
      <c r="E11526" t="s">
        <v>9</v>
      </c>
    </row>
    <row r="11527" spans="1:5" x14ac:dyDescent="0.25">
      <c r="A11527" t="str">
        <f>HYPERLINK("https://www.773grp.com/globalSearch/LM35AH-NOPB/page-1", "LM35AH-NOPB")</f>
        <v>LM35AH-NOPB</v>
      </c>
      <c r="B11527" s="3" t="str">
        <f>HYPERLINK("https://www.773grp.com/manufacturer/national-semiconductor?pageNo=2", "National Semiconductor")</f>
        <v>National Semiconductor</v>
      </c>
      <c r="C11527" s="6">
        <v>196</v>
      </c>
      <c r="D11527" s="7">
        <v>39.04</v>
      </c>
      <c r="E11527" t="s">
        <v>8</v>
      </c>
    </row>
    <row r="11528" spans="1:5" x14ac:dyDescent="0.25">
      <c r="A11528" t="str">
        <f>HYPERLINK("https://www.773grp.com/globalSearch/54F540FMQB/page-1", "54F540FMQB")</f>
        <v>54F540FMQB</v>
      </c>
      <c r="B11528" s="3" t="str">
        <f>HYPERLINK("https://www.773grp.com/manufacturer/national-semiconductor?pageNo=3", "National Semiconductor")</f>
        <v>National Semiconductor</v>
      </c>
      <c r="C11528" s="6">
        <v>76</v>
      </c>
      <c r="D11528" s="7">
        <v>39.15</v>
      </c>
      <c r="E11528" t="s">
        <v>14</v>
      </c>
    </row>
    <row r="11529" spans="1:5" x14ac:dyDescent="0.25">
      <c r="A11529" t="str">
        <f>HYPERLINK("https://www.773grp.com/globalSearch/DS26F32MW-883/page-1", "DS26F32MW-883")</f>
        <v>DS26F32MW-883</v>
      </c>
      <c r="B11529" s="3" t="str">
        <f>HYPERLINK("https://www.773grp.com/manufacturer/national-semiconductor?pageNo=4", "National Semiconductor")</f>
        <v>National Semiconductor</v>
      </c>
      <c r="C11529" s="6">
        <v>4</v>
      </c>
      <c r="D11529" s="7">
        <v>39.15</v>
      </c>
      <c r="E11529" t="s">
        <v>21</v>
      </c>
    </row>
    <row r="11530" spans="1:5" x14ac:dyDescent="0.25">
      <c r="A11530" t="str">
        <f>HYPERLINK("https://www.773grp.com/globalSearch/5454FM/page-1", "5454FM")</f>
        <v>5454FM</v>
      </c>
      <c r="B11530" s="3" t="str">
        <f>HYPERLINK("https://www.773grp.com/manufacturer/national-semiconductor?pageNo=5", "National Semiconductor")</f>
        <v>National Semiconductor</v>
      </c>
      <c r="C11530" s="6">
        <v>381</v>
      </c>
      <c r="D11530" s="7">
        <v>39.24</v>
      </c>
    </row>
    <row r="11531" spans="1:5" x14ac:dyDescent="0.25">
      <c r="A11531" t="str">
        <f>HYPERLINK("https://www.773grp.com/globalSearch/9014FM/page-1", "9014FM")</f>
        <v>9014FM</v>
      </c>
      <c r="B11531" s="3" t="str">
        <f>HYPERLINK("https://www.773grp.com/manufacturer/national-semiconductor?pageNo=6", "National Semiconductor")</f>
        <v>National Semiconductor</v>
      </c>
      <c r="C11531" s="6">
        <v>1245</v>
      </c>
      <c r="D11531" s="7">
        <v>39.24</v>
      </c>
    </row>
    <row r="11532" spans="1:5" x14ac:dyDescent="0.25">
      <c r="A11532" t="str">
        <f>HYPERLINK("https://www.773grp.com/globalSearch/LMH0026MH-NOPB/page-1", "LMH0026MH-NOPB")</f>
        <v>LMH0026MH-NOPB</v>
      </c>
      <c r="B11532" s="3" t="str">
        <f>HYPERLINK("https://www.773grp.com/manufacturer/national-semiconductor?pageNo=7", "National Semiconductor")</f>
        <v>National Semiconductor</v>
      </c>
      <c r="C11532" s="6">
        <v>4826</v>
      </c>
      <c r="D11532" s="7">
        <v>39.24</v>
      </c>
    </row>
    <row r="11533" spans="1:5" x14ac:dyDescent="0.25">
      <c r="A11533" t="str">
        <f>HYPERLINK("https://www.773grp.com/globalSearch/LMH0026MH-NOPB/page-1", "LMH0026MH-NOPB")</f>
        <v>LMH0026MH-NOPB</v>
      </c>
      <c r="B11533" s="3" t="str">
        <f>HYPERLINK("https://www.773grp.com/manufacturer/national-semiconductor?pageNo=8", "National Semiconductor")</f>
        <v>National Semiconductor</v>
      </c>
      <c r="C11533" s="6">
        <v>4301</v>
      </c>
      <c r="D11533" s="7">
        <v>39.24</v>
      </c>
    </row>
    <row r="11534" spans="1:5" x14ac:dyDescent="0.25">
      <c r="A11534" t="str">
        <f>HYPERLINK("https://www.773grp.com/globalSearch/54190DM/page-1", "54190DM")</f>
        <v>54190DM</v>
      </c>
      <c r="B11534" s="3" t="str">
        <f>HYPERLINK("https://www.773grp.com/manufacturer/national-semiconductor?pageNo=9", "National Semiconductor")</f>
        <v>National Semiconductor</v>
      </c>
      <c r="C11534" s="6">
        <v>584</v>
      </c>
      <c r="D11534" s="7">
        <v>39.29</v>
      </c>
    </row>
    <row r="11535" spans="1:5" x14ac:dyDescent="0.25">
      <c r="A11535" t="str">
        <f>HYPERLINK("https://www.773grp.com/globalSearch/54H101FM/page-1", "54H101FM")</f>
        <v>54H101FM</v>
      </c>
      <c r="B11535" s="3" t="str">
        <f>HYPERLINK("https://www.773grp.com/manufacturer/national-semiconductor?pageNo=10", "National Semiconductor")</f>
        <v>National Semiconductor</v>
      </c>
      <c r="C11535" s="6">
        <v>28</v>
      </c>
      <c r="D11535" s="7">
        <v>39.29</v>
      </c>
    </row>
    <row r="11536" spans="1:5" x14ac:dyDescent="0.25">
      <c r="A11536" t="str">
        <f>HYPERLINK("https://www.773grp.com/globalSearch/54H108DM/page-1", "54H108DM")</f>
        <v>54H108DM</v>
      </c>
      <c r="B11536" s="3" t="str">
        <f>HYPERLINK("https://www.773grp.com/manufacturer/national-semiconductor?pageNo=11", "National Semiconductor")</f>
        <v>National Semiconductor</v>
      </c>
      <c r="C11536" s="6">
        <v>309</v>
      </c>
      <c r="D11536" s="7">
        <v>39.29</v>
      </c>
    </row>
    <row r="11537" spans="1:5" x14ac:dyDescent="0.25">
      <c r="A11537" t="str">
        <f>HYPERLINK("https://www.773grp.com/globalSearch/54H108FM/page-1", "54H108FM")</f>
        <v>54H108FM</v>
      </c>
      <c r="B11537" s="3" t="str">
        <f>HYPERLINK("https://www.773grp.com/manufacturer/national-semiconductor?pageNo=12", "National Semiconductor")</f>
        <v>National Semiconductor</v>
      </c>
      <c r="C11537" s="6">
        <v>3134</v>
      </c>
      <c r="D11537" s="7">
        <v>39.29</v>
      </c>
    </row>
    <row r="11538" spans="1:5" x14ac:dyDescent="0.25">
      <c r="A11538" t="str">
        <f>HYPERLINK("https://www.773grp.com/globalSearch/9111FM/page-1", "9111FM")</f>
        <v>9111FM</v>
      </c>
      <c r="B11538" s="3" t="str">
        <f>HYPERLINK("https://www.773grp.com/manufacturer/national-semiconductor?pageNo=13", "National Semiconductor")</f>
        <v>National Semiconductor</v>
      </c>
      <c r="C11538" s="6">
        <v>7</v>
      </c>
      <c r="D11538" s="7">
        <v>39.29</v>
      </c>
    </row>
    <row r="11539" spans="1:5" x14ac:dyDescent="0.25">
      <c r="A11539" t="str">
        <f>HYPERLINK("https://www.773grp.com/globalSearch/9342FM/page-1", "9342FM")</f>
        <v>9342FM</v>
      </c>
      <c r="B11539" s="3" t="str">
        <f>HYPERLINK("https://www.773grp.com/manufacturer/national-semiconductor?pageNo=14", "National Semiconductor")</f>
        <v>National Semiconductor</v>
      </c>
      <c r="C11539" s="6">
        <v>365</v>
      </c>
      <c r="D11539" s="7">
        <v>39.29</v>
      </c>
    </row>
    <row r="11540" spans="1:5" x14ac:dyDescent="0.25">
      <c r="A11540" t="str">
        <f>HYPERLINK("https://www.773grp.com/globalSearch/54F544FMQB/page-1", "54F544FMQB")</f>
        <v>54F544FMQB</v>
      </c>
      <c r="B11540" s="3" t="str">
        <f>HYPERLINK("https://www.773grp.com/manufacturer/national-semiconductor?pageNo=15", "National Semiconductor")</f>
        <v>National Semiconductor</v>
      </c>
      <c r="C11540" s="6">
        <v>146</v>
      </c>
      <c r="D11540" s="7">
        <v>39.380000000000003</v>
      </c>
      <c r="E11540" t="s">
        <v>14</v>
      </c>
    </row>
    <row r="11541" spans="1:5" x14ac:dyDescent="0.25">
      <c r="A11541" t="str">
        <f>HYPERLINK("https://www.773grp.com/globalSearch/JM38510-33904BEA/page-1", "JM38510-33904BEA")</f>
        <v>JM38510-33904BEA</v>
      </c>
      <c r="B11541" s="3" t="str">
        <f>HYPERLINK("https://www.773grp.com/manufacturer/national-semiconductor?pageNo=16", "National Semiconductor")</f>
        <v>National Semiconductor</v>
      </c>
      <c r="C11541" s="6">
        <v>2507</v>
      </c>
      <c r="D11541" s="7">
        <v>39.380000000000003</v>
      </c>
      <c r="E11541" t="s">
        <v>20</v>
      </c>
    </row>
    <row r="11542" spans="1:5" x14ac:dyDescent="0.25">
      <c r="A11542" t="str">
        <f>HYPERLINK("https://www.773grp.com/globalSearch/JM4013BBDA/page-1", "JM4013BBDA")</f>
        <v>JM4013BBDA</v>
      </c>
      <c r="B11542" s="3" t="str">
        <f>HYPERLINK("https://www.773grp.com/manufacturer/national-semiconductor?pageNo=17", "National Semiconductor")</f>
        <v>National Semiconductor</v>
      </c>
      <c r="C11542" s="6">
        <v>270</v>
      </c>
      <c r="D11542" s="7">
        <v>39.380000000000003</v>
      </c>
    </row>
    <row r="11543" spans="1:5" x14ac:dyDescent="0.25">
      <c r="A11543" t="str">
        <f>HYPERLINK("https://www.773grp.com/globalSearch/LM5574BLDT/page-1", "LM5574BLDT")</f>
        <v>LM5574BLDT</v>
      </c>
      <c r="B11543" s="3" t="str">
        <f>HYPERLINK("https://www.773grp.com/manufacturer/national-semiconductor?pageNo=18", "National Semiconductor")</f>
        <v>National Semiconductor</v>
      </c>
      <c r="C11543" s="6">
        <v>19</v>
      </c>
      <c r="D11543" s="7">
        <v>39.380000000000003</v>
      </c>
    </row>
    <row r="11544" spans="1:5" x14ac:dyDescent="0.25">
      <c r="A11544" t="str">
        <f>HYPERLINK("https://www.773grp.com/globalSearch/LM5576BLDT/page-1", "LM5576BLDT")</f>
        <v>LM5576BLDT</v>
      </c>
      <c r="B11544" s="3" t="str">
        <f>HYPERLINK("https://www.773grp.com/manufacturer/national-semiconductor?pageNo=19", "National Semiconductor")</f>
        <v>National Semiconductor</v>
      </c>
      <c r="C11544" s="6">
        <v>1</v>
      </c>
      <c r="D11544" s="7">
        <v>39.380000000000003</v>
      </c>
    </row>
    <row r="11545" spans="1:5" x14ac:dyDescent="0.25">
      <c r="A11545" t="str">
        <f>HYPERLINK("https://www.773grp.com/globalSearch/LMZ12003EXTTZ-NOPB/page-1", "LMZ12003EXTTZ-NOPB")</f>
        <v>LMZ12003EXTTZ-NOPB</v>
      </c>
      <c r="B11545" s="3" t="str">
        <f>HYPERLINK("https://www.773grp.com/manufacturer/national-semiconductor?pageNo=20", "National Semiconductor")</f>
        <v>National Semiconductor</v>
      </c>
      <c r="C11545" s="6">
        <v>415</v>
      </c>
      <c r="D11545" s="7">
        <v>39.380000000000003</v>
      </c>
    </row>
    <row r="11546" spans="1:5" x14ac:dyDescent="0.25">
      <c r="A11546" t="str">
        <f>HYPERLINK("https://www.773grp.com/globalSearch/PT80C712AC/page-1", "PT80C712AC")</f>
        <v>PT80C712AC</v>
      </c>
      <c r="B11546" s="3" t="str">
        <f>HYPERLINK("https://www.773grp.com/manufacturer/national-semiconductor?pageNo=21", "National Semiconductor")</f>
        <v>National Semiconductor</v>
      </c>
      <c r="C11546" s="6">
        <v>1097</v>
      </c>
      <c r="D11546" s="7">
        <v>39.380000000000003</v>
      </c>
    </row>
    <row r="11547" spans="1:5" x14ac:dyDescent="0.25">
      <c r="A11547" t="str">
        <f>HYPERLINK("https://www.773grp.com/globalSearch/PT80C712AD/page-1", "PT80C712AD")</f>
        <v>PT80C712AD</v>
      </c>
      <c r="B11547" s="3" t="str">
        <f>HYPERLINK("https://www.773grp.com/manufacturer/national-semiconductor?pageNo=22", "National Semiconductor")</f>
        <v>National Semiconductor</v>
      </c>
      <c r="C11547" s="6">
        <v>8108</v>
      </c>
      <c r="D11547" s="7">
        <v>39.380000000000003</v>
      </c>
    </row>
    <row r="11548" spans="1:5" x14ac:dyDescent="0.25">
      <c r="A11548" t="str">
        <f>HYPERLINK("https://www.773grp.com/globalSearch/PT80C712AO/page-1", "PT80C712AO")</f>
        <v>PT80C712AO</v>
      </c>
      <c r="B11548" s="3" t="str">
        <f>HYPERLINK("https://www.773grp.com/manufacturer/national-semiconductor?pageNo=23", "National Semiconductor")</f>
        <v>National Semiconductor</v>
      </c>
      <c r="C11548" s="6">
        <v>2871</v>
      </c>
      <c r="D11548" s="7">
        <v>39.380000000000003</v>
      </c>
    </row>
    <row r="11549" spans="1:5" x14ac:dyDescent="0.25">
      <c r="A11549" t="str">
        <f>HYPERLINK("https://www.773grp.com/globalSearch/PT80C732AC/page-1", "PT80C732AC")</f>
        <v>PT80C732AC</v>
      </c>
      <c r="B11549" s="3" t="str">
        <f>HYPERLINK("https://www.773grp.com/manufacturer/national-semiconductor?pageNo=24", "National Semiconductor")</f>
        <v>National Semiconductor</v>
      </c>
      <c r="C11549" s="6">
        <v>32351</v>
      </c>
      <c r="D11549" s="7">
        <v>39.380000000000003</v>
      </c>
    </row>
    <row r="11550" spans="1:5" x14ac:dyDescent="0.25">
      <c r="A11550" t="str">
        <f>HYPERLINK("https://www.773grp.com/globalSearch/PT80C732AD/page-1", "PT80C732AD")</f>
        <v>PT80C732AD</v>
      </c>
      <c r="B11550" s="3" t="str">
        <f>HYPERLINK("https://www.773grp.com/manufacturer/national-semiconductor?pageNo=25", "National Semiconductor")</f>
        <v>National Semiconductor</v>
      </c>
      <c r="C11550" s="6">
        <v>10971</v>
      </c>
      <c r="D11550" s="7">
        <v>39.380000000000003</v>
      </c>
    </row>
    <row r="11551" spans="1:5" x14ac:dyDescent="0.25">
      <c r="A11551" t="str">
        <f>HYPERLINK("https://www.773grp.com/globalSearch/LMZ10503EXTTZE-NOPB/page-1", "LMZ10503EXTTZE-NOPB")</f>
        <v>LMZ10503EXTTZE-NOPB</v>
      </c>
      <c r="B11551" s="3" t="str">
        <f>HYPERLINK("https://www.773grp.com/manufacturer/national-semiconductor?pageNo=26", "National Semiconductor")</f>
        <v>National Semiconductor</v>
      </c>
      <c r="C11551" s="6">
        <v>99</v>
      </c>
      <c r="D11551" s="7">
        <v>39.380000000000003</v>
      </c>
    </row>
    <row r="11552" spans="1:5" x14ac:dyDescent="0.25">
      <c r="A11552" t="str">
        <f>HYPERLINK("https://www.773grp.com/globalSearch/PTV12020WAD/page-1", "PTV12020WAD")</f>
        <v>PTV12020WAD</v>
      </c>
      <c r="B11552" s="3" t="str">
        <f>HYPERLINK("https://www.773grp.com/manufacturer/national-semiconductor?pageNo=27", "National Semiconductor")</f>
        <v>National Semiconductor</v>
      </c>
      <c r="C11552" s="6">
        <v>200</v>
      </c>
      <c r="D11552" s="7">
        <v>39.49</v>
      </c>
    </row>
    <row r="11553" spans="1:5" x14ac:dyDescent="0.25">
      <c r="A11553" t="str">
        <f>HYPERLINK("https://www.773grp.com/globalSearch/54S74LM/page-1", "54S74LM")</f>
        <v>54S74LM</v>
      </c>
      <c r="B11553" s="3" t="str">
        <f>HYPERLINK("https://www.773grp.com/manufacturer/national-semiconductor?pageNo=28", "National Semiconductor")</f>
        <v>National Semiconductor</v>
      </c>
      <c r="C11553" s="6">
        <v>216</v>
      </c>
      <c r="D11553" s="7">
        <v>39.6</v>
      </c>
    </row>
    <row r="11554" spans="1:5" x14ac:dyDescent="0.25">
      <c r="A11554" t="str">
        <f>HYPERLINK("https://www.773grp.com/globalSearch/932FMQB/page-1", "932FMQB")</f>
        <v>932FMQB</v>
      </c>
      <c r="B11554" s="3" t="str">
        <f>HYPERLINK("https://www.773grp.com/manufacturer/national-semiconductor?pageNo=29", "National Semiconductor")</f>
        <v>National Semiconductor</v>
      </c>
      <c r="C11554" s="6">
        <v>207</v>
      </c>
      <c r="D11554" s="7">
        <v>39.659999999999997</v>
      </c>
    </row>
    <row r="11555" spans="1:5" x14ac:dyDescent="0.25">
      <c r="A11555" t="str">
        <f>HYPERLINK("https://www.773grp.com/globalSearch/936FMQB/page-1", "936FMQB")</f>
        <v>936FMQB</v>
      </c>
      <c r="B11555" s="3" t="str">
        <f>HYPERLINK("https://www.773grp.com/manufacturer/national-semiconductor?pageNo=30", "National Semiconductor")</f>
        <v>National Semiconductor</v>
      </c>
      <c r="C11555" s="6">
        <v>272</v>
      </c>
      <c r="D11555" s="7">
        <v>39.659999999999997</v>
      </c>
      <c r="E11555" t="s">
        <v>31</v>
      </c>
    </row>
    <row r="11556" spans="1:5" x14ac:dyDescent="0.25">
      <c r="A11556" t="str">
        <f>HYPERLINK("https://www.773grp.com/globalSearch/DP83910AN/page-1", "DP83910AN")</f>
        <v>DP83910AN</v>
      </c>
      <c r="B11556" s="3" t="str">
        <f>HYPERLINK("https://www.773grp.com/manufacturer/national-semiconductor?pageNo=31", "National Semiconductor")</f>
        <v>National Semiconductor</v>
      </c>
      <c r="C11556" s="6">
        <v>241</v>
      </c>
      <c r="D11556" s="7">
        <v>39.659999999999997</v>
      </c>
      <c r="E11556" t="s">
        <v>55</v>
      </c>
    </row>
    <row r="11557" spans="1:5" x14ac:dyDescent="0.25">
      <c r="A11557" t="str">
        <f>HYPERLINK("https://www.773grp.com/globalSearch/ADS1212P/page-1", "ADS1212P")</f>
        <v>ADS1212P</v>
      </c>
      <c r="B11557" s="3" t="str">
        <f>HYPERLINK("https://www.773grp.com/manufacturer/national-semiconductor?pageNo=32", "National Semiconductor")</f>
        <v>National Semiconductor</v>
      </c>
      <c r="C11557" s="6">
        <v>100</v>
      </c>
      <c r="D11557" s="7">
        <v>39.659999999999997</v>
      </c>
    </row>
    <row r="11558" spans="1:5" x14ac:dyDescent="0.25">
      <c r="A11558" t="str">
        <f>HYPERLINK("https://www.773grp.com/globalSearch/54S137DM/page-1", "54S137DM")</f>
        <v>54S137DM</v>
      </c>
      <c r="B11558" s="3" t="str">
        <f>HYPERLINK("https://www.773grp.com/manufacturer/national-semiconductor?pageNo=33", "National Semiconductor")</f>
        <v>National Semiconductor</v>
      </c>
      <c r="C11558" s="6">
        <v>585</v>
      </c>
      <c r="D11558" s="7">
        <v>39.69</v>
      </c>
    </row>
    <row r="11559" spans="1:5" x14ac:dyDescent="0.25">
      <c r="A11559" t="str">
        <f>HYPERLINK("https://www.773grp.com/globalSearch/9600DM/page-1", "9600DM")</f>
        <v>9600DM</v>
      </c>
      <c r="B11559" s="3" t="str">
        <f>HYPERLINK("https://www.773grp.com/manufacturer/national-semiconductor?pageNo=34", "National Semiconductor")</f>
        <v>National Semiconductor</v>
      </c>
      <c r="C11559" s="6">
        <v>617</v>
      </c>
      <c r="D11559" s="7">
        <v>39.69</v>
      </c>
    </row>
    <row r="11560" spans="1:5" x14ac:dyDescent="0.25">
      <c r="A11560" t="str">
        <f>HYPERLINK("https://www.773grp.com/globalSearch/9L04FM/page-1", "9L04FM")</f>
        <v>9L04FM</v>
      </c>
      <c r="B11560" s="3" t="str">
        <f>HYPERLINK("https://www.773grp.com/manufacturer/national-semiconductor?pageNo=35", "National Semiconductor")</f>
        <v>National Semiconductor</v>
      </c>
      <c r="C11560" s="6">
        <v>502</v>
      </c>
      <c r="D11560" s="7">
        <v>39.69</v>
      </c>
    </row>
    <row r="11561" spans="1:5" x14ac:dyDescent="0.25">
      <c r="A11561" t="str">
        <f>HYPERLINK("https://www.773grp.com/globalSearch/100142DC/page-1", "100142DC")</f>
        <v>100142DC</v>
      </c>
      <c r="B11561" s="3" t="str">
        <f>HYPERLINK("https://www.773grp.com/manufacturer/national-semiconductor?pageNo=36", "National Semiconductor")</f>
        <v>National Semiconductor</v>
      </c>
      <c r="C11561" s="6">
        <v>148</v>
      </c>
      <c r="D11561" s="7">
        <v>39.86</v>
      </c>
      <c r="E11561" t="s">
        <v>75</v>
      </c>
    </row>
    <row r="11562" spans="1:5" x14ac:dyDescent="0.25">
      <c r="A11562" t="str">
        <f>HYPERLINK("https://www.773grp.com/globalSearch/8418003XA/page-1", "8418003XA")</f>
        <v>8418003XA</v>
      </c>
      <c r="B11562" s="3" t="str">
        <f>HYPERLINK("https://www.773grp.com/manufacturer/national-semiconductor?pageNo=37", "National Semiconductor")</f>
        <v>National Semiconductor</v>
      </c>
      <c r="C11562" s="6">
        <v>1</v>
      </c>
      <c r="D11562" s="7">
        <v>39.94</v>
      </c>
      <c r="E11562" t="s">
        <v>17</v>
      </c>
    </row>
    <row r="11563" spans="1:5" x14ac:dyDescent="0.25">
      <c r="A11563" t="str">
        <f>HYPERLINK("https://www.773grp.com/globalSearch/DP83848VYB-NOPB/page-1", "DP83848VYB-NOPB")</f>
        <v>DP83848VYB-NOPB</v>
      </c>
      <c r="B11563" s="3" t="str">
        <f>HYPERLINK("https://www.773grp.com/manufacturer/national-semiconductor?pageNo=38", "National Semiconductor")</f>
        <v>National Semiconductor</v>
      </c>
      <c r="C11563" s="6">
        <v>248</v>
      </c>
      <c r="D11563" s="7">
        <v>39.94</v>
      </c>
      <c r="E11563" t="s">
        <v>55</v>
      </c>
    </row>
    <row r="11564" spans="1:5" x14ac:dyDescent="0.25">
      <c r="A11564" t="str">
        <f>HYPERLINK("https://www.773grp.com/globalSearch/DS76A10J-883/page-1", "DS76A10J-883")</f>
        <v>DS76A10J-883</v>
      </c>
      <c r="B11564" s="3" t="str">
        <f>HYPERLINK("https://www.773grp.com/manufacturer/national-semiconductor?pageNo=39", "National Semiconductor")</f>
        <v>National Semiconductor</v>
      </c>
      <c r="C11564" s="6">
        <v>62</v>
      </c>
      <c r="D11564" s="7">
        <v>39.94</v>
      </c>
    </row>
    <row r="11565" spans="1:5" x14ac:dyDescent="0.25">
      <c r="A11565" t="str">
        <f>HYPERLINK("https://www.773grp.com/globalSearch/LM12458CIV-NOPB/page-1", "LM12458CIV-NOPB")</f>
        <v>LM12458CIV-NOPB</v>
      </c>
      <c r="B11565" s="3" t="str">
        <f>HYPERLINK("https://www.773grp.com/manufacturer/national-semiconductor?pageNo=40", "National Semiconductor")</f>
        <v>National Semiconductor</v>
      </c>
      <c r="C11565" s="6">
        <v>125</v>
      </c>
      <c r="D11565" s="7">
        <v>39.94</v>
      </c>
      <c r="E11565" t="s">
        <v>40</v>
      </c>
    </row>
    <row r="11566" spans="1:5" x14ac:dyDescent="0.25">
      <c r="A11566" t="str">
        <f>HYPERLINK("https://www.773grp.com/globalSearch/DP83848VYB-NOPB/page-1", "DP83848VYB-NOPB")</f>
        <v>DP83848VYB-NOPB</v>
      </c>
      <c r="B11566" s="3" t="str">
        <f>HYPERLINK("https://www.773grp.com/manufacturer/national-semiconductor?pageNo=41", "National Semiconductor")</f>
        <v>National Semiconductor</v>
      </c>
      <c r="C11566" s="6">
        <v>5690</v>
      </c>
      <c r="D11566" s="7">
        <v>39.94</v>
      </c>
      <c r="E11566" t="s">
        <v>55</v>
      </c>
    </row>
    <row r="11567" spans="1:5" x14ac:dyDescent="0.25">
      <c r="A11567" t="str">
        <f>HYPERLINK("https://www.773grp.com/globalSearch/LM12458CIV-NOPB/page-1", "LM12458CIV-NOPB")</f>
        <v>LM12458CIV-NOPB</v>
      </c>
      <c r="B11567" s="3" t="str">
        <f>HYPERLINK("https://www.773grp.com/manufacturer/national-semiconductor?pageNo=42", "National Semiconductor")</f>
        <v>National Semiconductor</v>
      </c>
      <c r="C11567" s="6">
        <v>216</v>
      </c>
      <c r="D11567" s="7">
        <v>39.94</v>
      </c>
      <c r="E11567" t="s">
        <v>40</v>
      </c>
    </row>
    <row r="11568" spans="1:5" x14ac:dyDescent="0.25">
      <c r="A11568" t="str">
        <f>HYPERLINK("https://www.773grp.com/globalSearch/9099FM/page-1", "9099FM")</f>
        <v>9099FM</v>
      </c>
      <c r="B11568" s="3" t="str">
        <f>HYPERLINK("https://www.773grp.com/manufacturer/national-semiconductor?pageNo=43", "National Semiconductor")</f>
        <v>National Semiconductor</v>
      </c>
      <c r="C11568" s="6">
        <v>275</v>
      </c>
      <c r="D11568" s="7">
        <v>40.08</v>
      </c>
    </row>
    <row r="11569" spans="1:5" x14ac:dyDescent="0.25">
      <c r="A11569" t="str">
        <f>HYPERLINK("https://www.773grp.com/globalSearch/9321FM/page-1", "9321FM")</f>
        <v>9321FM</v>
      </c>
      <c r="B11569" s="3" t="str">
        <f>HYPERLINK("https://www.773grp.com/manufacturer/national-semiconductor?pageNo=44", "National Semiconductor")</f>
        <v>National Semiconductor</v>
      </c>
      <c r="C11569" s="6">
        <v>211</v>
      </c>
      <c r="D11569" s="7">
        <v>40.08</v>
      </c>
    </row>
    <row r="11570" spans="1:5" x14ac:dyDescent="0.25">
      <c r="A11570" t="str">
        <f>HYPERLINK("https://www.773grp.com/globalSearch/93L11DM/page-1", "93L11DM")</f>
        <v>93L11DM</v>
      </c>
      <c r="B11570" s="3" t="str">
        <f>HYPERLINK("https://www.773grp.com/manufacturer/national-semiconductor?pageNo=45", "National Semiconductor")</f>
        <v>National Semiconductor</v>
      </c>
      <c r="C11570" s="6">
        <v>1107</v>
      </c>
      <c r="D11570" s="7">
        <v>40.08</v>
      </c>
    </row>
    <row r="11571" spans="1:5" x14ac:dyDescent="0.25">
      <c r="A11571" t="str">
        <f>HYPERLINK("https://www.773grp.com/globalSearch/100131J-MIL/page-1", "100131J-MIL")</f>
        <v>100131J-MIL</v>
      </c>
      <c r="B11571" s="3" t="str">
        <f>HYPERLINK("https://www.773grp.com/manufacturer/national-semiconductor?pageNo=46", "National Semiconductor")</f>
        <v>National Semiconductor</v>
      </c>
      <c r="C11571" s="6">
        <v>1068</v>
      </c>
      <c r="D11571" s="7">
        <v>40.21</v>
      </c>
    </row>
    <row r="11572" spans="1:5" x14ac:dyDescent="0.25">
      <c r="A11572" t="str">
        <f>HYPERLINK("https://www.773grp.com/globalSearch/1HK44103SA58/page-1", "1HK44103SA58")</f>
        <v>1HK44103SA58</v>
      </c>
      <c r="B11572" s="3" t="str">
        <f>HYPERLINK("https://www.773grp.com/manufacturer/national-semiconductor?pageNo=47", "National Semiconductor")</f>
        <v>National Semiconductor</v>
      </c>
      <c r="C11572" s="6">
        <v>39</v>
      </c>
      <c r="D11572" s="7">
        <v>40.21</v>
      </c>
    </row>
    <row r="11573" spans="1:5" x14ac:dyDescent="0.25">
      <c r="A11573" t="str">
        <f>HYPERLINK("https://www.773grp.com/globalSearch/DS32ELX0124SQE/page-1", "DS32ELX0124SQE")</f>
        <v>DS32ELX0124SQE</v>
      </c>
      <c r="B11573" s="3" t="str">
        <f>HYPERLINK("https://www.773grp.com/manufacturer/national-semiconductor?pageNo=48", "National Semiconductor")</f>
        <v>National Semiconductor</v>
      </c>
      <c r="C11573" s="6">
        <v>250</v>
      </c>
      <c r="D11573" s="7">
        <v>40.21</v>
      </c>
      <c r="E11573" t="s">
        <v>21</v>
      </c>
    </row>
    <row r="11574" spans="1:5" x14ac:dyDescent="0.25">
      <c r="A11574" t="str">
        <f>HYPERLINK("https://www.773grp.com/globalSearch/LM702W-883/page-1", "LM702W-883")</f>
        <v>LM702W-883</v>
      </c>
      <c r="B11574" s="3" t="str">
        <f>HYPERLINK("https://www.773grp.com/manufacturer/national-semiconductor?pageNo=49", "National Semiconductor")</f>
        <v>National Semiconductor</v>
      </c>
      <c r="C11574" s="6">
        <v>231</v>
      </c>
      <c r="D11574" s="7">
        <v>40.21</v>
      </c>
    </row>
    <row r="11575" spans="1:5" x14ac:dyDescent="0.25">
      <c r="A11575" t="str">
        <f>HYPERLINK("https://www.773grp.com/globalSearch/LMZ10504EXTTZ-NOPB/page-1", "LMZ10504EXTTZ-NOPB")</f>
        <v>LMZ10504EXTTZ-NOPB</v>
      </c>
      <c r="B11575" s="3" t="str">
        <f>HYPERLINK("https://www.773grp.com/manufacturer/national-semiconductor?pageNo=50", "National Semiconductor")</f>
        <v>National Semiconductor</v>
      </c>
      <c r="C11575" s="6">
        <v>250</v>
      </c>
      <c r="D11575" s="7">
        <v>40.21</v>
      </c>
    </row>
    <row r="11576" spans="1:5" x14ac:dyDescent="0.25">
      <c r="A11576" t="str">
        <f>HYPERLINK("https://www.773grp.com/globalSearch/LMZ10504EXTTZ-NOPB/page-1", "LMZ10504EXTTZ-NOPB")</f>
        <v>LMZ10504EXTTZ-NOPB</v>
      </c>
      <c r="B11576" s="3" t="str">
        <f>HYPERLINK("https://www.773grp.com/manufacturer/national-semiconductor?pageNo=51", "National Semiconductor")</f>
        <v>National Semiconductor</v>
      </c>
      <c r="C11576" s="6">
        <v>220</v>
      </c>
      <c r="D11576" s="7">
        <v>40.21</v>
      </c>
    </row>
    <row r="11577" spans="1:5" x14ac:dyDescent="0.25">
      <c r="A11577" t="str">
        <f>HYPERLINK("https://www.773grp.com/globalSearch/LF442AMH/page-1", "LF442AMH")</f>
        <v>LF442AMH</v>
      </c>
      <c r="B11577" s="3" t="str">
        <f>HYPERLINK("https://www.773grp.com/manufacturer/national-semiconductor?pageNo=52", "National Semiconductor")</f>
        <v>National Semiconductor</v>
      </c>
      <c r="C11577" s="6">
        <v>1103</v>
      </c>
      <c r="D11577" s="7">
        <v>40.299999999999997</v>
      </c>
      <c r="E11577" t="s">
        <v>13</v>
      </c>
    </row>
    <row r="11578" spans="1:5" x14ac:dyDescent="0.25">
      <c r="A11578" t="str">
        <f>HYPERLINK("https://www.773grp.com/globalSearch/LM12458CIVF/page-1", "LM12458CIVF")</f>
        <v>LM12458CIVF</v>
      </c>
      <c r="B11578" s="3" t="str">
        <f>HYPERLINK("https://www.773grp.com/manufacturer/national-semiconductor?pageNo=53", "National Semiconductor")</f>
        <v>National Semiconductor</v>
      </c>
      <c r="C11578" s="6">
        <v>3897</v>
      </c>
      <c r="D11578" s="7">
        <v>40.299999999999997</v>
      </c>
      <c r="E11578" t="s">
        <v>40</v>
      </c>
    </row>
    <row r="11579" spans="1:5" x14ac:dyDescent="0.25">
      <c r="A11579" t="str">
        <f>HYPERLINK("https://www.773grp.com/globalSearch/PT86C388/page-1", "PT86C388")</f>
        <v>PT86C388</v>
      </c>
      <c r="B11579" s="3" t="str">
        <f>HYPERLINK("https://www.773grp.com/manufacturer/national-semiconductor?pageNo=54", "National Semiconductor")</f>
        <v>National Semiconductor</v>
      </c>
      <c r="C11579" s="6">
        <v>1132</v>
      </c>
      <c r="D11579" s="7">
        <v>40.299999999999997</v>
      </c>
    </row>
    <row r="11580" spans="1:5" x14ac:dyDescent="0.25">
      <c r="A11580" t="str">
        <f>HYPERLINK("https://www.773grp.com/globalSearch/PT86C388-FA5HA/page-1", "PT86C388-FA5HA")</f>
        <v>PT86C388-FA5HA</v>
      </c>
      <c r="B11580" s="3" t="str">
        <f>HYPERLINK("https://www.773grp.com/manufacturer/national-semiconductor?pageNo=55", "National Semiconductor")</f>
        <v>National Semiconductor</v>
      </c>
      <c r="C11580" s="6">
        <v>3675</v>
      </c>
      <c r="D11580" s="7">
        <v>40.299999999999997</v>
      </c>
    </row>
    <row r="11581" spans="1:5" x14ac:dyDescent="0.25">
      <c r="A11581" t="str">
        <f>HYPERLINK("https://www.773grp.com/globalSearch/LF442AMH/page-1", "LF442AMH")</f>
        <v>LF442AMH</v>
      </c>
      <c r="B11581" s="3" t="str">
        <f>HYPERLINK("https://www.773grp.com/manufacturer/national-semiconductor?pageNo=56", "National Semiconductor")</f>
        <v>National Semiconductor</v>
      </c>
      <c r="C11581" s="6">
        <v>100</v>
      </c>
      <c r="D11581" s="7">
        <v>40.299999999999997</v>
      </c>
      <c r="E11581" t="s">
        <v>13</v>
      </c>
    </row>
    <row r="11582" spans="1:5" x14ac:dyDescent="0.25">
      <c r="A11582" t="str">
        <f>HYPERLINK("https://www.773grp.com/globalSearch/54S109DM/page-1", "54S109DM")</f>
        <v>54S109DM</v>
      </c>
      <c r="B11582" s="3" t="str">
        <f>HYPERLINK("https://www.773grp.com/manufacturer/national-semiconductor?pageNo=57", "National Semiconductor")</f>
        <v>National Semiconductor</v>
      </c>
      <c r="C11582" s="6">
        <v>100</v>
      </c>
      <c r="D11582" s="7">
        <v>40.409999999999997</v>
      </c>
    </row>
    <row r="11583" spans="1:5" x14ac:dyDescent="0.25">
      <c r="A11583" t="str">
        <f>HYPERLINK("https://www.773grp.com/globalSearch/JM38510-07301BDA/page-1", "JM38510-07301BDA")</f>
        <v>JM38510-07301BDA</v>
      </c>
      <c r="B11583" s="3" t="str">
        <f>HYPERLINK("https://www.773grp.com/manufacturer/national-semiconductor?pageNo=58", "National Semiconductor")</f>
        <v>National Semiconductor</v>
      </c>
      <c r="C11583" s="6">
        <v>133</v>
      </c>
      <c r="D11583" s="7">
        <v>40.409999999999997</v>
      </c>
      <c r="E11583" t="s">
        <v>31</v>
      </c>
    </row>
    <row r="11584" spans="1:5" x14ac:dyDescent="0.25">
      <c r="A11584" t="str">
        <f>HYPERLINK("https://www.773grp.com/globalSearch/LV8572AN/page-1", "LV8572AN")</f>
        <v>LV8572AN</v>
      </c>
      <c r="B11584" s="3" t="str">
        <f>HYPERLINK("https://www.773grp.com/manufacturer/national-semiconductor?pageNo=59", "National Semiconductor")</f>
        <v>National Semiconductor</v>
      </c>
      <c r="C11584" s="6">
        <v>1100</v>
      </c>
      <c r="D11584" s="7">
        <v>40.409999999999997</v>
      </c>
      <c r="E11584" t="s">
        <v>82</v>
      </c>
    </row>
    <row r="11585" spans="1:5" x14ac:dyDescent="0.25">
      <c r="A11585" t="str">
        <f>HYPERLINK("https://www.773grp.com/globalSearch/TMS320VC33PGE150/page-1", "TMS320VC33PGE150")</f>
        <v>TMS320VC33PGE150</v>
      </c>
      <c r="B11585" s="3" t="str">
        <f>HYPERLINK("https://www.773grp.com/manufacturer/national-semiconductor?pageNo=60", "National Semiconductor")</f>
        <v>National Semiconductor</v>
      </c>
      <c r="C11585" s="6">
        <v>60</v>
      </c>
      <c r="D11585" s="7">
        <v>40.409999999999997</v>
      </c>
    </row>
    <row r="11586" spans="1:5" x14ac:dyDescent="0.25">
      <c r="A11586" t="str">
        <f>HYPERLINK("https://www.773grp.com/globalSearch/ADC12D040CIVS-NOPB/page-1", "ADC12D040CIVS-NOPB")</f>
        <v>ADC12D040CIVS-NOPB</v>
      </c>
      <c r="B11586" s="3" t="str">
        <f>HYPERLINK("https://www.773grp.com/manufacturer/national-semiconductor?pageNo=61", "National Semiconductor")</f>
        <v>National Semiconductor</v>
      </c>
      <c r="C11586" s="6">
        <v>364</v>
      </c>
      <c r="D11586" s="7">
        <v>40.5</v>
      </c>
      <c r="E11586" t="s">
        <v>39</v>
      </c>
    </row>
    <row r="11587" spans="1:5" x14ac:dyDescent="0.25">
      <c r="A11587" t="str">
        <f>HYPERLINK("https://www.773grp.com/globalSearch/DM54LS273E-883/page-1", "DM54LS273E-883")</f>
        <v>DM54LS273E-883</v>
      </c>
      <c r="B11587" s="3" t="str">
        <f>HYPERLINK("https://www.773grp.com/manufacturer/national-semiconductor?pageNo=62", "National Semiconductor")</f>
        <v>National Semiconductor</v>
      </c>
      <c r="C11587" s="6">
        <v>150</v>
      </c>
      <c r="D11587" s="7">
        <v>40.5</v>
      </c>
      <c r="E11587" t="s">
        <v>35</v>
      </c>
    </row>
    <row r="11588" spans="1:5" x14ac:dyDescent="0.25">
      <c r="A11588" t="str">
        <f>HYPERLINK("https://www.773grp.com/globalSearch/ADC12D040CIVS-NOPB/page-1", "ADC12D040CIVS-NOPB")</f>
        <v>ADC12D040CIVS-NOPB</v>
      </c>
      <c r="B11588" s="3" t="str">
        <f>HYPERLINK("https://www.773grp.com/manufacturer/national-semiconductor?pageNo=63", "National Semiconductor")</f>
        <v>National Semiconductor</v>
      </c>
      <c r="C11588" s="6">
        <v>354</v>
      </c>
      <c r="D11588" s="7">
        <v>40.5</v>
      </c>
      <c r="E11588" t="s">
        <v>39</v>
      </c>
    </row>
    <row r="11589" spans="1:5" x14ac:dyDescent="0.25">
      <c r="A11589" t="str">
        <f>HYPERLINK("https://www.773grp.com/globalSearch/PT86C818A2/page-1", "PT86C818A2")</f>
        <v>PT86C818A2</v>
      </c>
      <c r="B11589" s="3" t="str">
        <f>HYPERLINK("https://www.773grp.com/manufacturer/national-semiconductor?pageNo=64", "National Semiconductor")</f>
        <v>National Semiconductor</v>
      </c>
      <c r="C11589" s="6">
        <v>3507</v>
      </c>
      <c r="D11589" s="7">
        <v>40.590000000000003</v>
      </c>
    </row>
    <row r="11590" spans="1:5" x14ac:dyDescent="0.25">
      <c r="A11590" t="str">
        <f>HYPERLINK("https://www.773grp.com/globalSearch/54H87FM/page-1", "54H87FM")</f>
        <v>54H87FM</v>
      </c>
      <c r="B11590" s="3" t="str">
        <f>HYPERLINK("https://www.773grp.com/manufacturer/national-semiconductor?pageNo=65", "National Semiconductor")</f>
        <v>National Semiconductor</v>
      </c>
      <c r="C11590" s="6">
        <v>908</v>
      </c>
      <c r="D11590" s="7">
        <v>40.61</v>
      </c>
    </row>
    <row r="11591" spans="1:5" x14ac:dyDescent="0.25">
      <c r="A11591" t="str">
        <f>HYPERLINK("https://www.773grp.com/globalSearch/54S05FM/page-1", "54S05FM")</f>
        <v>54S05FM</v>
      </c>
      <c r="B11591" s="3" t="str">
        <f>HYPERLINK("https://www.773grp.com/manufacturer/national-semiconductor?pageNo=66", "National Semiconductor")</f>
        <v>National Semiconductor</v>
      </c>
      <c r="C11591" s="6">
        <v>93</v>
      </c>
      <c r="D11591" s="7">
        <v>40.61</v>
      </c>
    </row>
    <row r="11592" spans="1:5" x14ac:dyDescent="0.25">
      <c r="A11592" t="str">
        <f>HYPERLINK("https://www.773grp.com/globalSearch/PT86C378-FA5HA/page-1", "PT86C378-FA5HA")</f>
        <v>PT86C378-FA5HA</v>
      </c>
      <c r="B11592" s="3" t="str">
        <f>HYPERLINK("https://www.773grp.com/manufacturer/national-semiconductor?pageNo=67", "National Semiconductor")</f>
        <v>National Semiconductor</v>
      </c>
      <c r="C11592" s="6">
        <v>631</v>
      </c>
      <c r="D11592" s="7">
        <v>40.61</v>
      </c>
    </row>
    <row r="11593" spans="1:5" x14ac:dyDescent="0.25">
      <c r="A11593" t="str">
        <f>HYPERLINK("https://www.773grp.com/globalSearch/PT86C378-FA5HB/page-1", "PT86C378-FA5HB")</f>
        <v>PT86C378-FA5HB</v>
      </c>
      <c r="B11593" s="3" t="str">
        <f>HYPERLINK("https://www.773grp.com/manufacturer/national-semiconductor?pageNo=68", "National Semiconductor")</f>
        <v>National Semiconductor</v>
      </c>
      <c r="C11593" s="6">
        <v>1824</v>
      </c>
      <c r="D11593" s="7">
        <v>40.61</v>
      </c>
    </row>
    <row r="11594" spans="1:5" x14ac:dyDescent="0.25">
      <c r="A11594" t="str">
        <f>HYPERLINK("https://www.773grp.com/globalSearch/LMH0036SQE-NOPB/page-1", "LMH0036SQE-NOPB")</f>
        <v>LMH0036SQE-NOPB</v>
      </c>
      <c r="B11594" s="3" t="str">
        <f>HYPERLINK("https://www.773grp.com/manufacturer/national-semiconductor?pageNo=69", "National Semiconductor")</f>
        <v>National Semiconductor</v>
      </c>
      <c r="C11594" s="6">
        <v>250</v>
      </c>
      <c r="D11594" s="7">
        <v>40.64</v>
      </c>
    </row>
    <row r="11595" spans="1:5" x14ac:dyDescent="0.25">
      <c r="A11595" t="str">
        <f>HYPERLINK("https://www.773grp.com/globalSearch/LMH0036SQE-NOPB/page-1", "LMH0036SQE-NOPB")</f>
        <v>LMH0036SQE-NOPB</v>
      </c>
      <c r="B11595" s="3" t="str">
        <f>HYPERLINK("https://www.773grp.com/manufacturer/national-semiconductor?pageNo=70", "National Semiconductor")</f>
        <v>National Semiconductor</v>
      </c>
      <c r="C11595" s="6">
        <v>66</v>
      </c>
      <c r="D11595" s="7">
        <v>40.64</v>
      </c>
    </row>
    <row r="11596" spans="1:5" x14ac:dyDescent="0.25">
      <c r="A11596" t="str">
        <f>HYPERLINK("https://www.773grp.com/globalSearch/JM38510-07001BDA/page-1", "JM38510-07001BDA")</f>
        <v>JM38510-07001BDA</v>
      </c>
      <c r="B11596" s="3" t="str">
        <f>HYPERLINK("https://www.773grp.com/manufacturer/national-semiconductor?pageNo=71", "National Semiconductor")</f>
        <v>National Semiconductor</v>
      </c>
      <c r="C11596" s="6">
        <v>6</v>
      </c>
      <c r="D11596" s="7">
        <v>40.700000000000003</v>
      </c>
      <c r="E11596" t="s">
        <v>31</v>
      </c>
    </row>
    <row r="11597" spans="1:5" x14ac:dyDescent="0.25">
      <c r="A11597" t="str">
        <f>HYPERLINK("https://www.773grp.com/globalSearch/54F189FLQB/page-1", "54F189FLQB")</f>
        <v>54F189FLQB</v>
      </c>
      <c r="B11597" s="3" t="str">
        <f>HYPERLINK("https://www.773grp.com/manufacturer/national-semiconductor?pageNo=72", "National Semiconductor")</f>
        <v>National Semiconductor</v>
      </c>
      <c r="C11597" s="6">
        <v>976</v>
      </c>
      <c r="D11597" s="7">
        <v>40.729999999999997</v>
      </c>
      <c r="E11597" t="s">
        <v>75</v>
      </c>
    </row>
    <row r="11598" spans="1:5" x14ac:dyDescent="0.25">
      <c r="A11598" t="str">
        <f>HYPERLINK("https://www.773grp.com/globalSearch/JM38510-11202BPA/page-1", "JM38510-11202BPA")</f>
        <v>JM38510-11202BPA</v>
      </c>
      <c r="B11598" s="3" t="str">
        <f>HYPERLINK("https://www.773grp.com/manufacturer/national-semiconductor?pageNo=73", "National Semiconductor")</f>
        <v>National Semiconductor</v>
      </c>
      <c r="C11598" s="6">
        <v>64</v>
      </c>
      <c r="D11598" s="7">
        <v>40.75</v>
      </c>
      <c r="E11598" t="s">
        <v>9</v>
      </c>
    </row>
    <row r="11599" spans="1:5" x14ac:dyDescent="0.25">
      <c r="A11599" t="str">
        <f>HYPERLINK("https://www.773grp.com/globalSearch/MM54HC241E-883/page-1", "MM54HC241E-883")</f>
        <v>MM54HC241E-883</v>
      </c>
      <c r="B11599" s="3" t="str">
        <f>HYPERLINK("https://www.773grp.com/manufacturer/national-semiconductor?pageNo=74", "National Semiconductor")</f>
        <v>National Semiconductor</v>
      </c>
      <c r="C11599" s="6">
        <v>54</v>
      </c>
      <c r="D11599" s="7">
        <v>40.79</v>
      </c>
    </row>
    <row r="11600" spans="1:5" x14ac:dyDescent="0.25">
      <c r="A11600" t="str">
        <f>HYPERLINK("https://www.773grp.com/globalSearch/MM54HCT373E-883/page-1", "MM54HCT373E-883")</f>
        <v>MM54HCT373E-883</v>
      </c>
      <c r="B11600" s="3" t="str">
        <f>HYPERLINK("https://www.773grp.com/manufacturer/national-semiconductor?pageNo=75", "National Semiconductor")</f>
        <v>National Semiconductor</v>
      </c>
      <c r="C11600" s="6">
        <v>235</v>
      </c>
      <c r="D11600" s="7">
        <v>40.79</v>
      </c>
    </row>
    <row r="11601" spans="1:5" x14ac:dyDescent="0.25">
      <c r="A11601" t="str">
        <f>HYPERLINK("https://www.773grp.com/globalSearch/LMZ12003EXTTZE-NOPB/page-1", "LMZ12003EXTTZE-NOPB")</f>
        <v>LMZ12003EXTTZE-NOPB</v>
      </c>
      <c r="B11601" s="3" t="str">
        <f>HYPERLINK("https://www.773grp.com/manufacturer/national-semiconductor?pageNo=76", "National Semiconductor")</f>
        <v>National Semiconductor</v>
      </c>
      <c r="C11601" s="6">
        <v>60</v>
      </c>
      <c r="D11601" s="7">
        <v>40.79</v>
      </c>
    </row>
    <row r="11602" spans="1:5" x14ac:dyDescent="0.25">
      <c r="A11602" t="str">
        <f>HYPERLINK("https://www.773grp.com/globalSearch/9334FM-MIL/page-1", "9334FM-MIL")</f>
        <v>9334FM-MIL</v>
      </c>
      <c r="B11602" s="3" t="str">
        <f>HYPERLINK("https://www.773grp.com/manufacturer/national-semiconductor?pageNo=77", "National Semiconductor")</f>
        <v>National Semiconductor</v>
      </c>
      <c r="C11602" s="6">
        <v>72</v>
      </c>
      <c r="D11602" s="7">
        <v>40.93</v>
      </c>
    </row>
    <row r="11603" spans="1:5" x14ac:dyDescent="0.25">
      <c r="A11603" t="str">
        <f>HYPERLINK("https://www.773grp.com/globalSearch/9334FMQB/page-1", "9334FMQB")</f>
        <v>9334FMQB</v>
      </c>
      <c r="B11603" s="3" t="str">
        <f>HYPERLINK("https://www.773grp.com/manufacturer/national-semiconductor?pageNo=78", "National Semiconductor")</f>
        <v>National Semiconductor</v>
      </c>
      <c r="C11603" s="6">
        <v>168</v>
      </c>
      <c r="D11603" s="7">
        <v>40.93</v>
      </c>
      <c r="E11603" t="s">
        <v>35</v>
      </c>
    </row>
    <row r="11604" spans="1:5" x14ac:dyDescent="0.25">
      <c r="A11604" t="str">
        <f>HYPERLINK("https://www.773grp.com/globalSearch/54F676DMQB/page-1", "54F676DMQB")</f>
        <v>54F676DMQB</v>
      </c>
      <c r="B11604" s="3" t="str">
        <f>HYPERLINK("https://www.773grp.com/manufacturer/national-semiconductor?pageNo=79", "National Semiconductor")</f>
        <v>National Semiconductor</v>
      </c>
      <c r="C11604" s="6">
        <v>1168</v>
      </c>
      <c r="D11604" s="7">
        <v>40.950000000000003</v>
      </c>
      <c r="E11604" t="s">
        <v>32</v>
      </c>
    </row>
    <row r="11605" spans="1:5" x14ac:dyDescent="0.25">
      <c r="A11605" t="str">
        <f>HYPERLINK("https://www.773grp.com/globalSearch/5962-9763301QGA/page-1", "5962-9763301QGA")</f>
        <v>5962-9763301QGA</v>
      </c>
      <c r="B11605" s="3" t="str">
        <f>HYPERLINK("https://www.773grp.com/manufacturer/national-semiconductor?pageNo=80", "National Semiconductor")</f>
        <v>National Semiconductor</v>
      </c>
      <c r="C11605" s="6">
        <v>161</v>
      </c>
      <c r="D11605" s="7">
        <v>41.01</v>
      </c>
      <c r="E11605" t="s">
        <v>13</v>
      </c>
    </row>
    <row r="11606" spans="1:5" x14ac:dyDescent="0.25">
      <c r="A11606" t="str">
        <f>HYPERLINK("https://www.773grp.com/globalSearch/LF442MH-883/page-1", "LF442MH-883")</f>
        <v>LF442MH-883</v>
      </c>
      <c r="B11606" s="3" t="str">
        <f>HYPERLINK("https://www.773grp.com/manufacturer/national-semiconductor?pageNo=81", "National Semiconductor")</f>
        <v>National Semiconductor</v>
      </c>
      <c r="C11606" s="6">
        <v>7</v>
      </c>
      <c r="D11606" s="7">
        <v>41.01</v>
      </c>
      <c r="E11606" t="s">
        <v>13</v>
      </c>
    </row>
    <row r="11607" spans="1:5" x14ac:dyDescent="0.25">
      <c r="A11607" t="str">
        <f>HYPERLINK("https://www.773grp.com/globalSearch/LM140LAH-12-883/page-1", "LM140LAH-12-883")</f>
        <v>LM140LAH-12-883</v>
      </c>
      <c r="B11607" s="3" t="str">
        <f>HYPERLINK("https://www.773grp.com/manufacturer/national-semiconductor?pageNo=82", "National Semiconductor")</f>
        <v>National Semiconductor</v>
      </c>
      <c r="C11607" s="6">
        <v>524</v>
      </c>
      <c r="D11607" s="7">
        <v>41.01</v>
      </c>
      <c r="E11607" t="s">
        <v>28</v>
      </c>
    </row>
    <row r="11608" spans="1:5" x14ac:dyDescent="0.25">
      <c r="A11608" t="str">
        <f>HYPERLINK("https://www.773grp.com/globalSearch/LM140LAH-15-883/page-1", "LM140LAH-15-883")</f>
        <v>LM140LAH-15-883</v>
      </c>
      <c r="B11608" s="3" t="str">
        <f>HYPERLINK("https://www.773grp.com/manufacturer/national-semiconductor?pageNo=83", "National Semiconductor")</f>
        <v>National Semiconductor</v>
      </c>
      <c r="C11608" s="6">
        <v>6</v>
      </c>
      <c r="D11608" s="7">
        <v>41.01</v>
      </c>
      <c r="E11608" t="s">
        <v>28</v>
      </c>
    </row>
    <row r="11609" spans="1:5" x14ac:dyDescent="0.25">
      <c r="A11609" t="str">
        <f>HYPERLINK("https://www.773grp.com/globalSearch/LM140LAH5.0-883/page-1", "LM140LAH5.0-883")</f>
        <v>LM140LAH5.0-883</v>
      </c>
      <c r="B11609" s="3" t="str">
        <f>HYPERLINK("https://www.773grp.com/manufacturer/national-semiconductor?pageNo=84", "National Semiconductor")</f>
        <v>National Semiconductor</v>
      </c>
      <c r="C11609" s="6">
        <v>15</v>
      </c>
      <c r="D11609" s="7">
        <v>41.01</v>
      </c>
    </row>
    <row r="11610" spans="1:5" x14ac:dyDescent="0.25">
      <c r="A11610" t="str">
        <f>HYPERLINK("https://www.773grp.com/globalSearch/DS90CR483VJD/page-1", "DS90CR483VJD")</f>
        <v>DS90CR483VJD</v>
      </c>
      <c r="B11610" s="3" t="str">
        <f>HYPERLINK("https://www.773grp.com/manufacturer/national-semiconductor?pageNo=85", "National Semiconductor")</f>
        <v>National Semiconductor</v>
      </c>
      <c r="C11610" s="6">
        <v>223</v>
      </c>
      <c r="D11610" s="7">
        <v>41.06</v>
      </c>
      <c r="E11610" t="s">
        <v>21</v>
      </c>
    </row>
    <row r="11611" spans="1:5" x14ac:dyDescent="0.25">
      <c r="A11611" t="str">
        <f>HYPERLINK("https://www.773grp.com/globalSearch/JM38510-07006BDA/page-1", "JM38510-07006BDA")</f>
        <v>JM38510-07006BDA</v>
      </c>
      <c r="B11611" s="3" t="str">
        <f>HYPERLINK("https://www.773grp.com/manufacturer/national-semiconductor?pageNo=86", "National Semiconductor")</f>
        <v>National Semiconductor</v>
      </c>
      <c r="C11611" s="6">
        <v>3744</v>
      </c>
      <c r="D11611" s="7">
        <v>41.09</v>
      </c>
      <c r="E11611" t="s">
        <v>31</v>
      </c>
    </row>
    <row r="11612" spans="1:5" x14ac:dyDescent="0.25">
      <c r="A11612" t="str">
        <f>HYPERLINK("https://www.773grp.com/globalSearch/95231DC/page-1", "95231DC")</f>
        <v>95231DC</v>
      </c>
      <c r="B11612" s="3" t="str">
        <f>HYPERLINK("https://www.773grp.com/manufacturer/national-semiconductor?pageNo=87", "National Semiconductor")</f>
        <v>National Semiconductor</v>
      </c>
      <c r="C11612" s="6">
        <v>362</v>
      </c>
      <c r="D11612" s="7">
        <v>41.14</v>
      </c>
      <c r="E11612" t="s">
        <v>35</v>
      </c>
    </row>
    <row r="11613" spans="1:5" x14ac:dyDescent="0.25">
      <c r="A11613" t="str">
        <f>HYPERLINK("https://www.773grp.com/globalSearch/LF198H-883/page-1", "LF198H-883")</f>
        <v>LF198H-883</v>
      </c>
      <c r="B11613" s="3" t="str">
        <f>HYPERLINK("https://www.773grp.com/manufacturer/national-semiconductor?pageNo=88", "National Semiconductor")</f>
        <v>National Semiconductor</v>
      </c>
      <c r="C11613" s="6">
        <v>156</v>
      </c>
      <c r="D11613" s="7">
        <v>41.35</v>
      </c>
      <c r="E11613" t="s">
        <v>6</v>
      </c>
    </row>
    <row r="11614" spans="1:5" x14ac:dyDescent="0.25">
      <c r="A11614" t="str">
        <f>HYPERLINK("https://www.773grp.com/globalSearch/MM54HC259E-883/page-1", "MM54HC259E-883")</f>
        <v>MM54HC259E-883</v>
      </c>
      <c r="B11614" s="3" t="str">
        <f>HYPERLINK("https://www.773grp.com/manufacturer/national-semiconductor?pageNo=89", "National Semiconductor")</f>
        <v>National Semiconductor</v>
      </c>
      <c r="C11614" s="6">
        <v>289</v>
      </c>
      <c r="D11614" s="7">
        <v>41.35</v>
      </c>
    </row>
    <row r="11615" spans="1:5" x14ac:dyDescent="0.25">
      <c r="A11615" t="str">
        <f>HYPERLINK("https://www.773grp.com/globalSearch/LF156H-883/page-1", "LF156H-883")</f>
        <v>LF156H-883</v>
      </c>
      <c r="B11615" s="3" t="str">
        <f>HYPERLINK("https://www.773grp.com/manufacturer/national-semiconductor?pageNo=90", "National Semiconductor")</f>
        <v>National Semiconductor</v>
      </c>
      <c r="C11615" s="6">
        <v>12</v>
      </c>
      <c r="D11615" s="7">
        <v>41.35</v>
      </c>
    </row>
    <row r="11616" spans="1:5" x14ac:dyDescent="0.25">
      <c r="A11616" t="str">
        <f>HYPERLINK("https://www.773grp.com/globalSearch/932HC/page-1", "932HC")</f>
        <v>932HC</v>
      </c>
      <c r="B11616" s="3" t="str">
        <f>HYPERLINK("https://www.773grp.com/manufacturer/national-semiconductor?pageNo=91", "National Semiconductor")</f>
        <v>National Semiconductor</v>
      </c>
      <c r="C11616" s="6">
        <v>285</v>
      </c>
      <c r="D11616" s="7">
        <v>41.4</v>
      </c>
    </row>
    <row r="11617" spans="1:5" x14ac:dyDescent="0.25">
      <c r="A11617" t="str">
        <f>HYPERLINK("https://www.773grp.com/globalSearch/54F412DMQB/page-1", "54F412DMQB")</f>
        <v>54F412DMQB</v>
      </c>
      <c r="B11617" s="3" t="str">
        <f>HYPERLINK("https://www.773grp.com/manufacturer/national-semiconductor?pageNo=92", "National Semiconductor")</f>
        <v>National Semiconductor</v>
      </c>
      <c r="C11617" s="6">
        <v>781</v>
      </c>
      <c r="D11617" s="7">
        <v>41.63</v>
      </c>
      <c r="E11617" t="s">
        <v>14</v>
      </c>
    </row>
    <row r="11618" spans="1:5" x14ac:dyDescent="0.25">
      <c r="A11618" t="str">
        <f>HYPERLINK("https://www.773grp.com/globalSearch/LMZ10504EXTTZE-NOPB/page-1", "LMZ10504EXTTZE-NOPB")</f>
        <v>LMZ10504EXTTZE-NOPB</v>
      </c>
      <c r="B11618" s="3" t="str">
        <f>HYPERLINK("https://www.773grp.com/manufacturer/national-semiconductor?pageNo=93", "National Semiconductor")</f>
        <v>National Semiconductor</v>
      </c>
      <c r="C11618" s="6">
        <v>69</v>
      </c>
      <c r="D11618" s="7">
        <v>41.63</v>
      </c>
    </row>
    <row r="11619" spans="1:5" x14ac:dyDescent="0.25">
      <c r="A11619" t="str">
        <f>HYPERLINK("https://www.773grp.com/globalSearch/MM54HC245E-883/page-1", "MM54HC245E-883")</f>
        <v>MM54HC245E-883</v>
      </c>
      <c r="B11619" s="3" t="str">
        <f>HYPERLINK("https://www.773grp.com/manufacturer/national-semiconductor?pageNo=94", "National Semiconductor")</f>
        <v>National Semiconductor</v>
      </c>
      <c r="C11619" s="6">
        <v>820</v>
      </c>
      <c r="D11619" s="7">
        <v>41.63</v>
      </c>
    </row>
    <row r="11620" spans="1:5" x14ac:dyDescent="0.25">
      <c r="A11620" t="str">
        <f>HYPERLINK("https://www.773grp.com/globalSearch/MM54HC273E-883/page-1", "MM54HC273E-883")</f>
        <v>MM54HC273E-883</v>
      </c>
      <c r="B11620" s="3" t="str">
        <f>HYPERLINK("https://www.773grp.com/manufacturer/national-semiconductor?pageNo=95", "National Semiconductor")</f>
        <v>National Semiconductor</v>
      </c>
      <c r="C11620" s="6">
        <v>8</v>
      </c>
      <c r="D11620" s="7">
        <v>41.63</v>
      </c>
    </row>
    <row r="11621" spans="1:5" x14ac:dyDescent="0.25">
      <c r="A11621" t="str">
        <f>HYPERLINK("https://www.773grp.com/globalSearch/MM54HC283E-883/page-1", "MM54HC283E-883")</f>
        <v>MM54HC283E-883</v>
      </c>
      <c r="B11621" s="3" t="str">
        <f>HYPERLINK("https://www.773grp.com/manufacturer/national-semiconductor?pageNo=96", "National Semiconductor")</f>
        <v>National Semiconductor</v>
      </c>
      <c r="C11621" s="6">
        <v>34</v>
      </c>
      <c r="D11621" s="7">
        <v>41.63</v>
      </c>
    </row>
    <row r="11622" spans="1:5" x14ac:dyDescent="0.25">
      <c r="A11622" t="str">
        <f>HYPERLINK("https://www.773grp.com/globalSearch/LMZ10504EXTTZE-NOPB/page-1", "LMZ10504EXTTZE-NOPB")</f>
        <v>LMZ10504EXTTZE-NOPB</v>
      </c>
      <c r="B11622" s="3" t="str">
        <f>HYPERLINK("https://www.773grp.com/manufacturer/national-semiconductor?pageNo=97", "National Semiconductor")</f>
        <v>National Semiconductor</v>
      </c>
      <c r="C11622" s="6">
        <v>45</v>
      </c>
      <c r="D11622" s="7">
        <v>41.63</v>
      </c>
    </row>
    <row r="11623" spans="1:5" x14ac:dyDescent="0.25">
      <c r="A11623" t="str">
        <f>HYPERLINK("https://www.773grp.com/globalSearch/9300FM/page-1", "9300FM")</f>
        <v>9300FM</v>
      </c>
      <c r="B11623" s="3" t="str">
        <f>HYPERLINK("https://www.773grp.com/manufacturer/national-semiconductor?pageNo=98", "National Semiconductor")</f>
        <v>National Semiconductor</v>
      </c>
      <c r="C11623" s="6">
        <v>48</v>
      </c>
      <c r="D11623" s="7">
        <v>41.76</v>
      </c>
    </row>
    <row r="11624" spans="1:5" x14ac:dyDescent="0.25">
      <c r="A11624" t="str">
        <f>HYPERLINK("https://www.773grp.com/globalSearch/95H29DC/page-1", "95H29DC")</f>
        <v>95H29DC</v>
      </c>
      <c r="B11624" s="3" t="str">
        <f>HYPERLINK("https://www.773grp.com/manufacturer/national-semiconductor?pageNo=99", "National Semiconductor")</f>
        <v>National Semiconductor</v>
      </c>
      <c r="C11624" s="6">
        <v>412</v>
      </c>
      <c r="D11624" s="7">
        <v>41.76</v>
      </c>
    </row>
    <row r="11625" spans="1:5" x14ac:dyDescent="0.25">
      <c r="A11625" t="str">
        <f>HYPERLINK("https://www.773grp.com/globalSearch/961FM/page-1", "961FM")</f>
        <v>961FM</v>
      </c>
      <c r="B11625" s="3" t="str">
        <f>HYPERLINK("https://www.773grp.com/manufacturer/national-semiconductor?pageNo=100", "National Semiconductor")</f>
        <v>National Semiconductor</v>
      </c>
      <c r="C11625" s="6">
        <v>392</v>
      </c>
      <c r="D11625" s="7">
        <v>41.76</v>
      </c>
    </row>
    <row r="11626" spans="1:5" x14ac:dyDescent="0.25">
      <c r="A11626" t="str">
        <f>HYPERLINK("https://www.773grp.com/globalSearch/948HC/page-1", "948HC")</f>
        <v>948HC</v>
      </c>
      <c r="B11626" s="3" t="str">
        <f>HYPERLINK("https://www.773grp.com/manufacturer/national-semiconductor?pageNo=101", "National Semiconductor")</f>
        <v>National Semiconductor</v>
      </c>
      <c r="C11626" s="6">
        <v>2759</v>
      </c>
      <c r="D11626" s="7">
        <v>41.85</v>
      </c>
    </row>
    <row r="11627" spans="1:5" x14ac:dyDescent="0.25">
      <c r="A11627" t="str">
        <f>HYPERLINK("https://www.773grp.com/globalSearch/DM54174W-883/page-1", "DM54174W-883")</f>
        <v>DM54174W-883</v>
      </c>
      <c r="B11627" s="3" t="str">
        <f>HYPERLINK("https://www.773grp.com/manufacturer/national-semiconductor?pageNo=102", "National Semiconductor")</f>
        <v>National Semiconductor</v>
      </c>
      <c r="C11627" s="6">
        <v>177</v>
      </c>
      <c r="D11627" s="7">
        <v>41.9</v>
      </c>
      <c r="E11627" t="s">
        <v>35</v>
      </c>
    </row>
    <row r="11628" spans="1:5" x14ac:dyDescent="0.25">
      <c r="A11628" t="str">
        <f>HYPERLINK("https://www.773grp.com/globalSearch/HPC46100VHG40/page-1", "HPC46100VHG40")</f>
        <v>HPC46100VHG40</v>
      </c>
      <c r="B11628" s="3" t="str">
        <f>HYPERLINK("https://www.773grp.com/manufacturer/national-semiconductor?pageNo=103", "National Semiconductor")</f>
        <v>National Semiconductor</v>
      </c>
      <c r="C11628" s="6">
        <v>63452</v>
      </c>
      <c r="D11628" s="7">
        <v>41.9</v>
      </c>
    </row>
    <row r="11629" spans="1:5" x14ac:dyDescent="0.25">
      <c r="A11629" t="str">
        <f>HYPERLINK("https://www.773grp.com/globalSearch/10161FC/page-1", "10161FC")</f>
        <v>10161FC</v>
      </c>
      <c r="B11629" s="3" t="str">
        <f>HYPERLINK("https://www.773grp.com/manufacturer/national-semiconductor?pageNo=104", "National Semiconductor")</f>
        <v>National Semiconductor</v>
      </c>
      <c r="C11629" s="6">
        <v>9146</v>
      </c>
      <c r="D11629" s="7">
        <v>42.05</v>
      </c>
      <c r="E11629" t="s">
        <v>36</v>
      </c>
    </row>
    <row r="11630" spans="1:5" x14ac:dyDescent="0.25">
      <c r="A11630" t="str">
        <f>HYPERLINK("https://www.773grp.com/globalSearch/LF412MJ-883/page-1", "LF412MJ-883")</f>
        <v>LF412MJ-883</v>
      </c>
      <c r="B11630" s="3" t="str">
        <f>HYPERLINK("https://www.773grp.com/manufacturer/national-semiconductor?pageNo=105", "National Semiconductor")</f>
        <v>National Semiconductor</v>
      </c>
      <c r="C11630" s="6">
        <v>40</v>
      </c>
      <c r="D11630" s="7">
        <v>42.05</v>
      </c>
      <c r="E11630" t="s">
        <v>13</v>
      </c>
    </row>
    <row r="11631" spans="1:5" x14ac:dyDescent="0.25">
      <c r="A11631" t="str">
        <f>HYPERLINK("https://www.773grp.com/globalSearch/LMH1983SQ-NOPB/page-1", "LMH1983SQ-NOPB")</f>
        <v>LMH1983SQ-NOPB</v>
      </c>
      <c r="B11631" s="3" t="str">
        <f>HYPERLINK("https://www.773grp.com/manufacturer/national-semiconductor?pageNo=106", "National Semiconductor")</f>
        <v>National Semiconductor</v>
      </c>
      <c r="C11631" s="6">
        <v>559</v>
      </c>
      <c r="D11631" s="7">
        <v>42.05</v>
      </c>
    </row>
    <row r="11632" spans="1:5" x14ac:dyDescent="0.25">
      <c r="A11632" t="str">
        <f>HYPERLINK("https://www.773grp.com/globalSearch/54196DM/page-1", "54196DM")</f>
        <v>54196DM</v>
      </c>
      <c r="B11632" s="3" t="str">
        <f>HYPERLINK("https://www.773grp.com/manufacturer/national-semiconductor?pageNo=107", "National Semiconductor")</f>
        <v>National Semiconductor</v>
      </c>
      <c r="C11632" s="6">
        <v>1486</v>
      </c>
      <c r="D11632" s="7">
        <v>42.1</v>
      </c>
    </row>
    <row r="11633" spans="1:5" x14ac:dyDescent="0.25">
      <c r="A11633" t="str">
        <f>HYPERLINK("https://www.773grp.com/globalSearch/54H102FM/page-1", "54H102FM")</f>
        <v>54H102FM</v>
      </c>
      <c r="B11633" s="3" t="str">
        <f>HYPERLINK("https://www.773grp.com/manufacturer/national-semiconductor?pageNo=108", "National Semiconductor")</f>
        <v>National Semiconductor</v>
      </c>
      <c r="C11633" s="6">
        <v>1906</v>
      </c>
      <c r="D11633" s="7">
        <v>42.1</v>
      </c>
    </row>
    <row r="11634" spans="1:5" x14ac:dyDescent="0.25">
      <c r="A11634" t="str">
        <f>HYPERLINK("https://www.773grp.com/globalSearch/54H106FM/page-1", "54H106FM")</f>
        <v>54H106FM</v>
      </c>
      <c r="B11634" s="3" t="str">
        <f>HYPERLINK("https://www.773grp.com/manufacturer/national-semiconductor?pageNo=109", "National Semiconductor")</f>
        <v>National Semiconductor</v>
      </c>
      <c r="C11634" s="6">
        <v>93</v>
      </c>
      <c r="D11634" s="7">
        <v>42.1</v>
      </c>
    </row>
    <row r="11635" spans="1:5" x14ac:dyDescent="0.25">
      <c r="A11635" t="str">
        <f>HYPERLINK("https://www.773grp.com/globalSearch/54S147FM/page-1", "54S147FM")</f>
        <v>54S147FM</v>
      </c>
      <c r="B11635" s="3" t="str">
        <f>HYPERLINK("https://www.773grp.com/manufacturer/national-semiconductor?pageNo=110", "National Semiconductor")</f>
        <v>National Semiconductor</v>
      </c>
      <c r="C11635" s="6">
        <v>1748</v>
      </c>
      <c r="D11635" s="7">
        <v>42.1</v>
      </c>
    </row>
    <row r="11636" spans="1:5" x14ac:dyDescent="0.25">
      <c r="A11636" t="str">
        <f>HYPERLINK("https://www.773grp.com/globalSearch/9020DM/page-1", "9020DM")</f>
        <v>9020DM</v>
      </c>
      <c r="B11636" s="3" t="str">
        <f>HYPERLINK("https://www.773grp.com/manufacturer/national-semiconductor?pageNo=111", "National Semiconductor")</f>
        <v>National Semiconductor</v>
      </c>
      <c r="C11636" s="6">
        <v>1859</v>
      </c>
      <c r="D11636" s="7">
        <v>42.1</v>
      </c>
    </row>
    <row r="11637" spans="1:5" x14ac:dyDescent="0.25">
      <c r="A11637" t="str">
        <f>HYPERLINK("https://www.773grp.com/globalSearch/LMX9838SBX-NOPB/page-1", "LMX9838SBX-NOPB")</f>
        <v>LMX9838SBX-NOPB</v>
      </c>
      <c r="B11637" s="3" t="str">
        <f>HYPERLINK("https://www.773grp.com/manufacturer/national-semiconductor?pageNo=112", "National Semiconductor")</f>
        <v>National Semiconductor</v>
      </c>
      <c r="C11637" s="6">
        <v>1000</v>
      </c>
      <c r="D11637" s="7">
        <v>42.1</v>
      </c>
      <c r="E11637" t="s">
        <v>67</v>
      </c>
    </row>
    <row r="11638" spans="1:5" x14ac:dyDescent="0.25">
      <c r="A11638" t="str">
        <f>HYPERLINK("https://www.773grp.com/globalSearch/5962-8773901XA/page-1", "5962-8773901XA")</f>
        <v>5962-8773901XA</v>
      </c>
      <c r="B11638" s="3" t="str">
        <f>HYPERLINK("https://www.773grp.com/manufacturer/national-semiconductor?pageNo=113", "National Semiconductor")</f>
        <v>National Semiconductor</v>
      </c>
      <c r="C11638" s="6">
        <v>912</v>
      </c>
      <c r="D11638" s="7">
        <v>42.14</v>
      </c>
      <c r="E11638" t="s">
        <v>9</v>
      </c>
    </row>
    <row r="11639" spans="1:5" x14ac:dyDescent="0.25">
      <c r="A11639" t="str">
        <f>HYPERLINK("https://www.773grp.com/globalSearch/10415FC10/page-1", "10415FC10")</f>
        <v>10415FC10</v>
      </c>
      <c r="B11639" s="3" t="str">
        <f>HYPERLINK("https://www.773grp.com/manufacturer/national-semiconductor?pageNo=114", "National Semiconductor")</f>
        <v>National Semiconductor</v>
      </c>
      <c r="C11639" s="6">
        <v>1969</v>
      </c>
      <c r="D11639" s="7">
        <v>42.19</v>
      </c>
    </row>
    <row r="11640" spans="1:5" x14ac:dyDescent="0.25">
      <c r="A11640" t="str">
        <f>HYPERLINK("https://www.773grp.com/globalSearch/ADC12DL065CIVS/page-1", "ADC12DL065CIVS")</f>
        <v>ADC12DL065CIVS</v>
      </c>
      <c r="B11640" s="3" t="str">
        <f>HYPERLINK("https://www.773grp.com/manufacturer/national-semiconductor?pageNo=115", "National Semiconductor")</f>
        <v>National Semiconductor</v>
      </c>
      <c r="C11640" s="6">
        <v>267</v>
      </c>
      <c r="D11640" s="7">
        <v>42.19</v>
      </c>
      <c r="E11640" t="s">
        <v>39</v>
      </c>
    </row>
    <row r="11641" spans="1:5" x14ac:dyDescent="0.25">
      <c r="A11641" t="str">
        <f>HYPERLINK("https://www.773grp.com/globalSearch/ADC12DL065CIVS-NOPB/page-1", "ADC12DL065CIVS-NOPB")</f>
        <v>ADC12DL065CIVS-NOPB</v>
      </c>
      <c r="B11641" s="3" t="str">
        <f>HYPERLINK("https://www.773grp.com/manufacturer/national-semiconductor?pageNo=116", "National Semiconductor")</f>
        <v>National Semiconductor</v>
      </c>
      <c r="C11641" s="6">
        <v>320</v>
      </c>
      <c r="D11641" s="7">
        <v>42.19</v>
      </c>
    </row>
    <row r="11642" spans="1:5" x14ac:dyDescent="0.25">
      <c r="A11642" t="str">
        <f>HYPERLINK("https://www.773grp.com/globalSearch/DM70L00J-883/page-1", "DM70L00J-883")</f>
        <v>DM70L00J-883</v>
      </c>
      <c r="B11642" s="3" t="str">
        <f>HYPERLINK("https://www.773grp.com/manufacturer/national-semiconductor?pageNo=117", "National Semiconductor")</f>
        <v>National Semiconductor</v>
      </c>
      <c r="C11642" s="6">
        <v>476</v>
      </c>
      <c r="D11642" s="7">
        <v>42.19</v>
      </c>
    </row>
    <row r="11643" spans="1:5" x14ac:dyDescent="0.25">
      <c r="A11643" t="str">
        <f>HYPERLINK("https://www.773grp.com/globalSearch/MM54C02W-883/page-1", "MM54C02W-883")</f>
        <v>MM54C02W-883</v>
      </c>
      <c r="B11643" s="3" t="str">
        <f>HYPERLINK("https://www.773grp.com/manufacturer/national-semiconductor?pageNo=118", "National Semiconductor")</f>
        <v>National Semiconductor</v>
      </c>
      <c r="C11643" s="6">
        <v>3</v>
      </c>
      <c r="D11643" s="7">
        <v>42.19</v>
      </c>
      <c r="E11643" t="s">
        <v>31</v>
      </c>
    </row>
    <row r="11644" spans="1:5" x14ac:dyDescent="0.25">
      <c r="A11644" t="str">
        <f>HYPERLINK("https://www.773grp.com/globalSearch/ADC12DL065CIVS-NOPB/page-1", "ADC12DL065CIVS-NOPB")</f>
        <v>ADC12DL065CIVS-NOPB</v>
      </c>
      <c r="B11644" s="3" t="str">
        <f>HYPERLINK("https://www.773grp.com/manufacturer/national-semiconductor?pageNo=119", "National Semiconductor")</f>
        <v>National Semiconductor</v>
      </c>
      <c r="C11644" s="6">
        <v>326</v>
      </c>
      <c r="D11644" s="7">
        <v>42.19</v>
      </c>
    </row>
    <row r="11645" spans="1:5" x14ac:dyDescent="0.25">
      <c r="A11645" t="str">
        <f>HYPERLINK("https://www.773grp.com/globalSearch/CP3SP33SMS-NOPB/page-1", "CP3SP33SMS-NOPB")</f>
        <v>CP3SP33SMS-NOPB</v>
      </c>
      <c r="B11645" s="3" t="str">
        <f>HYPERLINK("https://www.773grp.com/manufacturer/national-semiconductor?pageNo=120", "National Semiconductor")</f>
        <v>National Semiconductor</v>
      </c>
      <c r="C11645" s="6">
        <v>73</v>
      </c>
      <c r="D11645" s="7">
        <v>42.36</v>
      </c>
    </row>
    <row r="11646" spans="1:5" x14ac:dyDescent="0.25">
      <c r="A11646" t="str">
        <f>HYPERLINK("https://www.773grp.com/globalSearch/TP3404V/page-1", "TP3404V")</f>
        <v>TP3404V</v>
      </c>
      <c r="B11646" s="3" t="str">
        <f>HYPERLINK("https://www.773grp.com/manufacturer/national-semiconductor?pageNo=121", "National Semiconductor")</f>
        <v>National Semiconductor</v>
      </c>
      <c r="C11646" s="6">
        <v>630</v>
      </c>
      <c r="D11646" s="7">
        <v>42.36</v>
      </c>
      <c r="E11646" t="s">
        <v>86</v>
      </c>
    </row>
    <row r="11647" spans="1:5" x14ac:dyDescent="0.25">
      <c r="A11647" t="str">
        <f>HYPERLINK("https://www.773grp.com/globalSearch/CP3SP33SMS-NOPB/page-1", "CP3SP33SMS-NOPB")</f>
        <v>CP3SP33SMS-NOPB</v>
      </c>
      <c r="B11647" s="3" t="str">
        <f>HYPERLINK("https://www.773grp.com/manufacturer/national-semiconductor?pageNo=122", "National Semiconductor")</f>
        <v>National Semiconductor</v>
      </c>
      <c r="C11647" s="6">
        <v>2400</v>
      </c>
      <c r="D11647" s="7">
        <v>42.36</v>
      </c>
    </row>
    <row r="11648" spans="1:5" x14ac:dyDescent="0.25">
      <c r="A11648" t="str">
        <f>HYPERLINK("https://www.773grp.com/globalSearch/TP3404V/page-1", "TP3404V")</f>
        <v>TP3404V</v>
      </c>
      <c r="B11648" s="3" t="str">
        <f>HYPERLINK("https://www.773grp.com/manufacturer/national-semiconductor?pageNo=123", "National Semiconductor")</f>
        <v>National Semiconductor</v>
      </c>
      <c r="C11648" s="6">
        <v>3080</v>
      </c>
      <c r="D11648" s="7">
        <v>42.36</v>
      </c>
      <c r="E11648" t="s">
        <v>86</v>
      </c>
    </row>
    <row r="11649" spans="1:5" x14ac:dyDescent="0.25">
      <c r="A11649" t="str">
        <f>HYPERLINK("https://www.773grp.com/globalSearch/5962-9164001MFA/page-1", "5962-9164001MFA")</f>
        <v>5962-9164001MFA</v>
      </c>
      <c r="B11649" s="3" t="str">
        <f>HYPERLINK("https://www.773grp.com/manufacturer/national-semiconductor?pageNo=124", "National Semiconductor")</f>
        <v>National Semiconductor</v>
      </c>
      <c r="C11649" s="6">
        <v>19</v>
      </c>
      <c r="D11649" s="7">
        <v>42.39</v>
      </c>
      <c r="E11649" t="s">
        <v>21</v>
      </c>
    </row>
    <row r="11650" spans="1:5" x14ac:dyDescent="0.25">
      <c r="A11650" t="str">
        <f>HYPERLINK("https://www.773grp.com/globalSearch/DS26C32AMW-883/page-1", "DS26C32AMW-883")</f>
        <v>DS26C32AMW-883</v>
      </c>
      <c r="B11650" s="3" t="str">
        <f>HYPERLINK("https://www.773grp.com/manufacturer/national-semiconductor?pageNo=125", "National Semiconductor")</f>
        <v>National Semiconductor</v>
      </c>
      <c r="C11650" s="6">
        <v>529</v>
      </c>
      <c r="D11650" s="7">
        <v>42.39</v>
      </c>
      <c r="E11650" t="s">
        <v>21</v>
      </c>
    </row>
    <row r="11651" spans="1:5" x14ac:dyDescent="0.25">
      <c r="A11651" t="str">
        <f>HYPERLINK("https://www.773grp.com/globalSearch/DS26C32AMW-883/page-1", "DS26C32AMW-883")</f>
        <v>DS26C32AMW-883</v>
      </c>
      <c r="B11651" s="3" t="str">
        <f>HYPERLINK("https://www.773grp.com/manufacturer/national-semiconductor?pageNo=126", "National Semiconductor")</f>
        <v>National Semiconductor</v>
      </c>
      <c r="C11651" s="6">
        <v>1710</v>
      </c>
      <c r="D11651" s="7">
        <v>42.39</v>
      </c>
      <c r="E11651" t="s">
        <v>21</v>
      </c>
    </row>
    <row r="11652" spans="1:5" x14ac:dyDescent="0.25">
      <c r="A11652" t="str">
        <f>HYPERLINK("https://www.773grp.com/globalSearch/DM7160W-883/page-1", "DM7160W-883")</f>
        <v>DM7160W-883</v>
      </c>
      <c r="B11652" s="3" t="str">
        <f>HYPERLINK("https://www.773grp.com/manufacturer/national-semiconductor?pageNo=127", "National Semiconductor")</f>
        <v>National Semiconductor</v>
      </c>
      <c r="C11652" s="6">
        <v>289</v>
      </c>
      <c r="D11652" s="7">
        <v>42.44</v>
      </c>
      <c r="E11652" t="s">
        <v>43</v>
      </c>
    </row>
    <row r="11653" spans="1:5" x14ac:dyDescent="0.25">
      <c r="A11653" t="str">
        <f>HYPERLINK("https://www.773grp.com/globalSearch/ADCS9888CVH-205/page-1", "ADCS9888CVH-205")</f>
        <v>ADCS9888CVH-205</v>
      </c>
      <c r="B11653" s="3" t="str">
        <f>HYPERLINK("https://www.773grp.com/manufacturer/national-semiconductor?pageNo=128", "National Semiconductor")</f>
        <v>National Semiconductor</v>
      </c>
      <c r="C11653" s="6">
        <v>961</v>
      </c>
      <c r="D11653" s="7">
        <v>42.48</v>
      </c>
      <c r="E11653" t="s">
        <v>23</v>
      </c>
    </row>
    <row r="11654" spans="1:5" x14ac:dyDescent="0.25">
      <c r="A11654" t="str">
        <f>HYPERLINK("https://www.773grp.com/globalSearch/DP83910AV-NOPB/page-1", "DP83910AV-NOPB")</f>
        <v>DP83910AV-NOPB</v>
      </c>
      <c r="B11654" s="3" t="str">
        <f>HYPERLINK("https://www.773grp.com/manufacturer/national-semiconductor?pageNo=129", "National Semiconductor")</f>
        <v>National Semiconductor</v>
      </c>
      <c r="C11654" s="6">
        <v>81</v>
      </c>
      <c r="D11654" s="7">
        <v>42.48</v>
      </c>
      <c r="E11654" t="s">
        <v>55</v>
      </c>
    </row>
    <row r="11655" spans="1:5" x14ac:dyDescent="0.25">
      <c r="A11655" t="str">
        <f>HYPERLINK("https://www.773grp.com/globalSearch/LMZ10505EXTTZ-NOPB/page-1", "LMZ10505EXTTZ-NOPB")</f>
        <v>LMZ10505EXTTZ-NOPB</v>
      </c>
      <c r="B11655" s="3" t="str">
        <f>HYPERLINK("https://www.773grp.com/manufacturer/national-semiconductor?pageNo=130", "National Semiconductor")</f>
        <v>National Semiconductor</v>
      </c>
      <c r="C11655" s="6">
        <v>206</v>
      </c>
      <c r="D11655" s="7">
        <v>42.48</v>
      </c>
    </row>
    <row r="11656" spans="1:5" x14ac:dyDescent="0.25">
      <c r="A11656" t="str">
        <f>HYPERLINK("https://www.773grp.com/globalSearch/PT86C718A2/page-1", "PT86C718A2")</f>
        <v>PT86C718A2</v>
      </c>
      <c r="B11656" s="3" t="str">
        <f>HYPERLINK("https://www.773grp.com/manufacturer/national-semiconductor?pageNo=131", "National Semiconductor")</f>
        <v>National Semiconductor</v>
      </c>
      <c r="C11656" s="6">
        <v>10990</v>
      </c>
      <c r="D11656" s="7">
        <v>42.58</v>
      </c>
    </row>
    <row r="11657" spans="1:5" x14ac:dyDescent="0.25">
      <c r="A11657" t="str">
        <f>HYPERLINK("https://www.773grp.com/globalSearch/93L16DM/page-1", "93L16DM")</f>
        <v>93L16DM</v>
      </c>
      <c r="B11657" s="3" t="str">
        <f>HYPERLINK("https://www.773grp.com/manufacturer/national-semiconductor?pageNo=132", "National Semiconductor")</f>
        <v>National Semiconductor</v>
      </c>
      <c r="C11657" s="6">
        <v>251</v>
      </c>
      <c r="D11657" s="7">
        <v>42.75</v>
      </c>
    </row>
    <row r="11658" spans="1:5" x14ac:dyDescent="0.25">
      <c r="A11658" t="str">
        <f>HYPERLINK("https://www.773grp.com/globalSearch/ADC0820CIWMX/page-1", "ADC0820CIWMX")</f>
        <v>ADC0820CIWMX</v>
      </c>
      <c r="B11658" s="3" t="str">
        <f>HYPERLINK("https://www.773grp.com/manufacturer/national-semiconductor?pageNo=133", "National Semiconductor")</f>
        <v>National Semiconductor</v>
      </c>
      <c r="C11658" s="6">
        <v>2980</v>
      </c>
      <c r="D11658" s="7">
        <v>42.75</v>
      </c>
      <c r="E11658" t="s">
        <v>39</v>
      </c>
    </row>
    <row r="11659" spans="1:5" x14ac:dyDescent="0.25">
      <c r="A11659" t="str">
        <f>HYPERLINK("https://www.773grp.com/globalSearch/DS64EV400SQ/page-1", "DS64EV400SQ")</f>
        <v>DS64EV400SQ</v>
      </c>
      <c r="B11659" s="3" t="str">
        <f>HYPERLINK("https://www.773grp.com/manufacturer/national-semiconductor?pageNo=134", "National Semiconductor")</f>
        <v>National Semiconductor</v>
      </c>
      <c r="C11659" s="6">
        <v>250</v>
      </c>
      <c r="D11659" s="7">
        <v>42.75</v>
      </c>
      <c r="E11659" t="s">
        <v>78</v>
      </c>
    </row>
    <row r="11660" spans="1:5" x14ac:dyDescent="0.25">
      <c r="A11660" t="str">
        <f>HYPERLINK("https://www.773grp.com/globalSearch/ADC12DL080CIVS-NOPB/page-1", "ADC12DL080CIVS-NOPB")</f>
        <v>ADC12DL080CIVS-NOPB</v>
      </c>
      <c r="B11660" s="3" t="str">
        <f>HYPERLINK("https://www.773grp.com/manufacturer/national-semiconductor?pageNo=1", "National Semiconductor")</f>
        <v>National Semiconductor</v>
      </c>
      <c r="C11660" s="6">
        <v>38</v>
      </c>
      <c r="D11660" s="7">
        <v>42.75</v>
      </c>
    </row>
    <row r="11661" spans="1:5" x14ac:dyDescent="0.25">
      <c r="A11661" t="str">
        <f>HYPERLINK("https://www.773grp.com/globalSearch/LM12L458CIVF/page-1", "LM12L458CIVF")</f>
        <v>LM12L458CIVF</v>
      </c>
      <c r="B11661" s="3" t="str">
        <f>HYPERLINK("https://www.773grp.com/manufacturer/national-semiconductor?pageNo=2", "National Semiconductor")</f>
        <v>National Semiconductor</v>
      </c>
      <c r="C11661" s="6">
        <v>143</v>
      </c>
      <c r="D11661" s="7">
        <v>42.81</v>
      </c>
      <c r="E11661" t="s">
        <v>40</v>
      </c>
    </row>
    <row r="11662" spans="1:5" x14ac:dyDescent="0.25">
      <c r="A11662" t="str">
        <f>HYPERLINK("https://www.773grp.com/globalSearch/93H00DM/page-1", "93H00DM")</f>
        <v>93H00DM</v>
      </c>
      <c r="B11662" s="3" t="str">
        <f>HYPERLINK("https://www.773grp.com/manufacturer/national-semiconductor?pageNo=3", "National Semiconductor")</f>
        <v>National Semiconductor</v>
      </c>
      <c r="C11662" s="6">
        <v>1212</v>
      </c>
      <c r="D11662" s="7">
        <v>42.9</v>
      </c>
    </row>
    <row r="11663" spans="1:5" x14ac:dyDescent="0.25">
      <c r="A11663" t="str">
        <f>HYPERLINK("https://www.773grp.com/globalSearch/MM54HC546E-883/page-1", "MM54HC546E-883")</f>
        <v>MM54HC546E-883</v>
      </c>
      <c r="B11663" s="3" t="str">
        <f>HYPERLINK("https://www.773grp.com/manufacturer/national-semiconductor?pageNo=4", "National Semiconductor")</f>
        <v>National Semiconductor</v>
      </c>
      <c r="C11663" s="6">
        <v>21</v>
      </c>
      <c r="D11663" s="7">
        <v>42.9</v>
      </c>
    </row>
    <row r="11664" spans="1:5" x14ac:dyDescent="0.25">
      <c r="A11664" t="str">
        <f>HYPERLINK("https://www.773grp.com/globalSearch/93L28FM/page-1", "93L28FM")</f>
        <v>93L28FM</v>
      </c>
      <c r="B11664" s="3" t="str">
        <f>HYPERLINK("https://www.773grp.com/manufacturer/national-semiconductor?pageNo=5", "National Semiconductor")</f>
        <v>National Semiconductor</v>
      </c>
      <c r="C11664" s="6">
        <v>210</v>
      </c>
      <c r="D11664" s="7">
        <v>42.98</v>
      </c>
    </row>
    <row r="11665" spans="1:5" x14ac:dyDescent="0.25">
      <c r="A11665" t="str">
        <f>HYPERLINK("https://www.773grp.com/globalSearch/ADC14L040CIVY-NOPB/page-1", "ADC14L040CIVY-NOPB")</f>
        <v>ADC14L040CIVY-NOPB</v>
      </c>
      <c r="B11665" s="3" t="str">
        <f>HYPERLINK("https://www.773grp.com/manufacturer/national-semiconductor?pageNo=6", "National Semiconductor")</f>
        <v>National Semiconductor</v>
      </c>
      <c r="C11665" s="6">
        <v>347</v>
      </c>
      <c r="D11665" s="7">
        <v>43.04</v>
      </c>
    </row>
    <row r="11666" spans="1:5" x14ac:dyDescent="0.25">
      <c r="A11666" t="str">
        <f>HYPERLINK("https://www.773grp.com/globalSearch/JM38510-34302BFA/page-1", "JM38510-34302BFA")</f>
        <v>JM38510-34302BFA</v>
      </c>
      <c r="B11666" s="3" t="str">
        <f>HYPERLINK("https://www.773grp.com/manufacturer/national-semiconductor?pageNo=7", "National Semiconductor")</f>
        <v>National Semiconductor</v>
      </c>
      <c r="C11666" s="6">
        <v>196</v>
      </c>
      <c r="D11666" s="7">
        <v>43.04</v>
      </c>
    </row>
    <row r="11667" spans="1:5" x14ac:dyDescent="0.25">
      <c r="A11667" t="str">
        <f>HYPERLINK("https://www.773grp.com/globalSearch/LM117H-SMD/page-1", "LM117H-SMD")</f>
        <v>LM117H-SMD</v>
      </c>
      <c r="B11667" s="3" t="str">
        <f>HYPERLINK("https://www.773grp.com/manufacturer/national-semiconductor?pageNo=8", "National Semiconductor")</f>
        <v>National Semiconductor</v>
      </c>
      <c r="C11667" s="6">
        <v>5</v>
      </c>
      <c r="D11667" s="7">
        <v>43.04</v>
      </c>
    </row>
    <row r="11668" spans="1:5" x14ac:dyDescent="0.25">
      <c r="A11668" t="str">
        <f>HYPERLINK("https://www.773grp.com/globalSearch/ADC14L040CIVY-NOPB/page-1", "ADC14L040CIVY-NOPB")</f>
        <v>ADC14L040CIVY-NOPB</v>
      </c>
      <c r="B11668" s="3" t="str">
        <f>HYPERLINK("https://www.773grp.com/manufacturer/national-semiconductor?pageNo=9", "National Semiconductor")</f>
        <v>National Semiconductor</v>
      </c>
      <c r="C11668" s="6">
        <v>980</v>
      </c>
      <c r="D11668" s="7">
        <v>43.04</v>
      </c>
    </row>
    <row r="11669" spans="1:5" x14ac:dyDescent="0.25">
      <c r="A11669" t="str">
        <f>HYPERLINK("https://www.773grp.com/globalSearch/JM38510-07102BFA/page-1", "JM38510-07102BFA")</f>
        <v>JM38510-07102BFA</v>
      </c>
      <c r="B11669" s="3" t="str">
        <f>HYPERLINK("https://www.773grp.com/manufacturer/national-semiconductor?pageNo=10", "National Semiconductor")</f>
        <v>National Semiconductor</v>
      </c>
      <c r="C11669" s="6">
        <v>2076</v>
      </c>
      <c r="D11669" s="7">
        <v>43.11</v>
      </c>
      <c r="E11669" t="s">
        <v>35</v>
      </c>
    </row>
    <row r="11670" spans="1:5" x14ac:dyDescent="0.25">
      <c r="A11670" t="str">
        <f>HYPERLINK("https://www.773grp.com/globalSearch/DM9348W-883/page-1", "DM9348W-883")</f>
        <v>DM9348W-883</v>
      </c>
      <c r="B11670" s="3" t="str">
        <f>HYPERLINK("https://www.773grp.com/manufacturer/national-semiconductor?pageNo=11", "National Semiconductor")</f>
        <v>National Semiconductor</v>
      </c>
      <c r="C11670" s="6">
        <v>117</v>
      </c>
      <c r="D11670" s="7">
        <v>43.15</v>
      </c>
      <c r="E11670" t="s">
        <v>43</v>
      </c>
    </row>
    <row r="11671" spans="1:5" x14ac:dyDescent="0.25">
      <c r="A11671" t="str">
        <f>HYPERLINK("https://www.773grp.com/globalSearch/LMH0384SQE-NOPB/page-1", "LMH0384SQE-NOPB")</f>
        <v>LMH0384SQE-NOPB</v>
      </c>
      <c r="B11671" s="3" t="str">
        <f>HYPERLINK("https://www.773grp.com/manufacturer/national-semiconductor?pageNo=12", "National Semiconductor")</f>
        <v>National Semiconductor</v>
      </c>
      <c r="C11671" s="6">
        <v>480</v>
      </c>
      <c r="D11671" s="7">
        <v>43.16</v>
      </c>
    </row>
    <row r="11672" spans="1:5" x14ac:dyDescent="0.25">
      <c r="A11672" t="str">
        <f>HYPERLINK("https://www.773grp.com/globalSearch/LMH0384SQE-NOPB/page-1", "LMH0384SQE-NOPB")</f>
        <v>LMH0384SQE-NOPB</v>
      </c>
      <c r="B11672" s="3" t="str">
        <f>HYPERLINK("https://www.773grp.com/manufacturer/national-semiconductor?pageNo=13", "National Semiconductor")</f>
        <v>National Semiconductor</v>
      </c>
      <c r="C11672" s="6">
        <v>1955</v>
      </c>
      <c r="D11672" s="7">
        <v>43.16</v>
      </c>
    </row>
    <row r="11673" spans="1:5" x14ac:dyDescent="0.25">
      <c r="A11673" t="str">
        <f>HYPERLINK("https://www.773grp.com/globalSearch/CD4018BMJ-MIL/page-1", "CD4018BMJ-MIL")</f>
        <v>CD4018BMJ-MIL</v>
      </c>
      <c r="B11673" s="3" t="str">
        <f>HYPERLINK("https://www.773grp.com/manufacturer/national-semiconductor?pageNo=14", "National Semiconductor")</f>
        <v>National Semiconductor</v>
      </c>
      <c r="C11673" s="6">
        <v>44</v>
      </c>
      <c r="D11673" s="7">
        <v>43.31</v>
      </c>
    </row>
    <row r="11674" spans="1:5" x14ac:dyDescent="0.25">
      <c r="A11674" t="str">
        <f>HYPERLINK("https://www.773grp.com/globalSearch/DM54LS260W-883/page-1", "DM54LS260W-883")</f>
        <v>DM54LS260W-883</v>
      </c>
      <c r="B11674" s="3" t="str">
        <f>HYPERLINK("https://www.773grp.com/manufacturer/national-semiconductor?pageNo=15", "National Semiconductor")</f>
        <v>National Semiconductor</v>
      </c>
      <c r="C11674" s="6">
        <v>8</v>
      </c>
      <c r="D11674" s="7">
        <v>43.31</v>
      </c>
      <c r="E11674" t="s">
        <v>31</v>
      </c>
    </row>
    <row r="11675" spans="1:5" x14ac:dyDescent="0.25">
      <c r="A11675" t="str">
        <f>HYPERLINK("https://www.773grp.com/globalSearch/JD5417BDA/page-1", "JD5417BDA")</f>
        <v>JD5417BDA</v>
      </c>
      <c r="B11675" s="3" t="str">
        <f>HYPERLINK("https://www.773grp.com/manufacturer/national-semiconductor?pageNo=16", "National Semiconductor")</f>
        <v>National Semiconductor</v>
      </c>
      <c r="C11675" s="6">
        <v>172</v>
      </c>
      <c r="D11675" s="7">
        <v>43.31</v>
      </c>
    </row>
    <row r="11676" spans="1:5" x14ac:dyDescent="0.25">
      <c r="A11676" t="str">
        <f>HYPERLINK("https://www.773grp.com/globalSearch/JD5438BDA/page-1", "JD5438BDA")</f>
        <v>JD5438BDA</v>
      </c>
      <c r="B11676" s="3" t="str">
        <f>HYPERLINK("https://www.773grp.com/manufacturer/national-semiconductor?pageNo=17", "National Semiconductor")</f>
        <v>National Semiconductor</v>
      </c>
      <c r="C11676" s="6">
        <v>478</v>
      </c>
      <c r="D11676" s="7">
        <v>43.31</v>
      </c>
    </row>
    <row r="11677" spans="1:5" x14ac:dyDescent="0.25">
      <c r="A11677" t="str">
        <f>HYPERLINK("https://www.773grp.com/globalSearch/MM54HC42E-883/page-1", "MM54HC42E-883")</f>
        <v>MM54HC42E-883</v>
      </c>
      <c r="B11677" s="3" t="str">
        <f>HYPERLINK("https://www.773grp.com/manufacturer/national-semiconductor?pageNo=18", "National Semiconductor")</f>
        <v>National Semiconductor</v>
      </c>
      <c r="C11677" s="6">
        <v>110</v>
      </c>
      <c r="D11677" s="7">
        <v>43.31</v>
      </c>
    </row>
    <row r="11678" spans="1:5" x14ac:dyDescent="0.25">
      <c r="A11678" t="str">
        <f>HYPERLINK("https://www.773grp.com/globalSearch/10131DM/page-1", "10131DM")</f>
        <v>10131DM</v>
      </c>
      <c r="B11678" s="3" t="str">
        <f>HYPERLINK("https://www.773grp.com/manufacturer/national-semiconductor?pageNo=19", "National Semiconductor")</f>
        <v>National Semiconductor</v>
      </c>
      <c r="C11678" s="6">
        <v>129</v>
      </c>
      <c r="D11678" s="7">
        <v>43.43</v>
      </c>
    </row>
    <row r="11679" spans="1:5" x14ac:dyDescent="0.25">
      <c r="A11679" t="str">
        <f>HYPERLINK("https://www.773grp.com/globalSearch/54H87DM/page-1", "54H87DM")</f>
        <v>54H87DM</v>
      </c>
      <c r="B11679" s="3" t="str">
        <f>HYPERLINK("https://www.773grp.com/manufacturer/national-semiconductor?pageNo=20", "National Semiconductor")</f>
        <v>National Semiconductor</v>
      </c>
      <c r="C11679" s="6">
        <v>180</v>
      </c>
      <c r="D11679" s="7">
        <v>43.43</v>
      </c>
    </row>
    <row r="11680" spans="1:5" x14ac:dyDescent="0.25">
      <c r="A11680" t="str">
        <f>HYPERLINK("https://www.773grp.com/globalSearch/8601401IA/page-1", "8601401IA")</f>
        <v>8601401IA</v>
      </c>
      <c r="B11680" s="3" t="str">
        <f>HYPERLINK("https://www.773grp.com/manufacturer/national-semiconductor?pageNo=21", "National Semiconductor")</f>
        <v>National Semiconductor</v>
      </c>
      <c r="C11680" s="6">
        <v>291</v>
      </c>
      <c r="D11680" s="7">
        <v>43.43</v>
      </c>
      <c r="E11680" t="s">
        <v>9</v>
      </c>
    </row>
    <row r="11681" spans="1:5" x14ac:dyDescent="0.25">
      <c r="A11681" t="str">
        <f>HYPERLINK("https://www.773grp.com/globalSearch/LM119H-883/page-1", "LM119H-883")</f>
        <v>LM119H-883</v>
      </c>
      <c r="B11681" s="3" t="str">
        <f>HYPERLINK("https://www.773grp.com/manufacturer/national-semiconductor?pageNo=22", "National Semiconductor")</f>
        <v>National Semiconductor</v>
      </c>
      <c r="C11681" s="6">
        <v>2766</v>
      </c>
      <c r="D11681" s="7">
        <v>43.43</v>
      </c>
      <c r="E11681" t="s">
        <v>9</v>
      </c>
    </row>
    <row r="11682" spans="1:5" x14ac:dyDescent="0.25">
      <c r="A11682" t="str">
        <f>HYPERLINK("https://www.773grp.com/globalSearch/LM120H-5.0-883/page-1", "LM120H-5.0-883")</f>
        <v>LM120H-5.0-883</v>
      </c>
      <c r="B11682" s="3" t="str">
        <f>HYPERLINK("https://www.773grp.com/manufacturer/national-semiconductor?pageNo=23", "National Semiconductor")</f>
        <v>National Semiconductor</v>
      </c>
      <c r="C11682" s="6">
        <v>35</v>
      </c>
      <c r="D11682" s="7">
        <v>43.43</v>
      </c>
      <c r="E11682" t="s">
        <v>65</v>
      </c>
    </row>
    <row r="11683" spans="1:5" x14ac:dyDescent="0.25">
      <c r="A11683" t="str">
        <f>HYPERLINK("https://www.773grp.com/globalSearch/LM120H-12-883/page-1", "LM120H-12-883")</f>
        <v>LM120H-12-883</v>
      </c>
      <c r="B11683" s="3" t="str">
        <f>HYPERLINK("https://www.773grp.com/manufacturer/national-semiconductor?pageNo=24", "National Semiconductor")</f>
        <v>National Semiconductor</v>
      </c>
      <c r="C11683" s="6">
        <v>25</v>
      </c>
      <c r="D11683" s="7">
        <v>43.43</v>
      </c>
    </row>
    <row r="11684" spans="1:5" x14ac:dyDescent="0.25">
      <c r="A11684" t="str">
        <f>HYPERLINK("https://www.773grp.com/globalSearch/LM120H-5.0-883/page-1", "LM120H-5.0-883")</f>
        <v>LM120H-5.0-883</v>
      </c>
      <c r="B11684" s="3" t="str">
        <f>HYPERLINK("https://www.773grp.com/manufacturer/national-semiconductor?pageNo=25", "National Semiconductor")</f>
        <v>National Semiconductor</v>
      </c>
      <c r="C11684" s="6">
        <v>22</v>
      </c>
      <c r="D11684" s="7">
        <v>43.43</v>
      </c>
      <c r="E11684" t="s">
        <v>65</v>
      </c>
    </row>
    <row r="11685" spans="1:5" x14ac:dyDescent="0.25">
      <c r="A11685" t="str">
        <f>HYPERLINK("https://www.773grp.com/globalSearch/LM98714BCMT/page-1", "LM98714BCMT")</f>
        <v>LM98714BCMT</v>
      </c>
      <c r="B11685" s="3" t="str">
        <f>HYPERLINK("https://www.773grp.com/manufacturer/national-semiconductor?pageNo=26", "National Semiconductor")</f>
        <v>National Semiconductor</v>
      </c>
      <c r="C11685" s="6">
        <v>8</v>
      </c>
      <c r="D11685" s="7">
        <v>43.59</v>
      </c>
    </row>
    <row r="11686" spans="1:5" x14ac:dyDescent="0.25">
      <c r="A11686" t="str">
        <f>HYPERLINK("https://www.773grp.com/globalSearch/9022DM/page-1", "9022DM")</f>
        <v>9022DM</v>
      </c>
      <c r="B11686" s="3" t="str">
        <f>HYPERLINK("https://www.773grp.com/manufacturer/national-semiconductor?pageNo=27", "National Semiconductor")</f>
        <v>National Semiconductor</v>
      </c>
      <c r="C11686" s="6">
        <v>3400</v>
      </c>
      <c r="D11686" s="7">
        <v>43.74</v>
      </c>
    </row>
    <row r="11687" spans="1:5" x14ac:dyDescent="0.25">
      <c r="A11687" t="str">
        <f>HYPERLINK("https://www.773grp.com/globalSearch/LM117H-883/page-1", "LM117H-883")</f>
        <v>LM117H-883</v>
      </c>
      <c r="B11687" s="3" t="str">
        <f>HYPERLINK("https://www.773grp.com/manufacturer/national-semiconductor?pageNo=28", "National Semiconductor")</f>
        <v>National Semiconductor</v>
      </c>
      <c r="C11687" s="6">
        <v>3</v>
      </c>
      <c r="D11687" s="7">
        <v>43.79</v>
      </c>
    </row>
    <row r="11688" spans="1:5" x14ac:dyDescent="0.25">
      <c r="A11688" t="str">
        <f>HYPERLINK("https://www.773grp.com/globalSearch/5962-7802302MFA/page-1", "5962-7802302MFA")</f>
        <v>5962-7802302MFA</v>
      </c>
      <c r="B11688" s="3" t="str">
        <f>HYPERLINK("https://www.773grp.com/manufacturer/national-semiconductor?pageNo=29", "National Semiconductor")</f>
        <v>National Semiconductor</v>
      </c>
      <c r="C11688" s="6">
        <v>32</v>
      </c>
      <c r="D11688" s="7">
        <v>43.84</v>
      </c>
      <c r="E11688" t="s">
        <v>21</v>
      </c>
    </row>
    <row r="11689" spans="1:5" x14ac:dyDescent="0.25">
      <c r="A11689" t="str">
        <f>HYPERLINK("https://www.773grp.com/globalSearch/LM6118N/page-1", "LM6118N")</f>
        <v>LM6118N</v>
      </c>
      <c r="B11689" s="3" t="str">
        <f>HYPERLINK("https://www.773grp.com/manufacturer/national-semiconductor?pageNo=30", "National Semiconductor")</f>
        <v>National Semiconductor</v>
      </c>
      <c r="C11689" s="6">
        <v>420</v>
      </c>
      <c r="D11689" s="7">
        <v>43.88</v>
      </c>
      <c r="E11689" t="s">
        <v>13</v>
      </c>
    </row>
    <row r="11690" spans="1:5" x14ac:dyDescent="0.25">
      <c r="A11690" t="str">
        <f>HYPERLINK("https://www.773grp.com/globalSearch/LMZ10505EXTTZE-NOPB/page-1", "LMZ10505EXTTZE-NOPB")</f>
        <v>LMZ10505EXTTZE-NOPB</v>
      </c>
      <c r="B11690" s="3" t="str">
        <f>HYPERLINK("https://www.773grp.com/manufacturer/national-semiconductor?pageNo=31", "National Semiconductor")</f>
        <v>National Semiconductor</v>
      </c>
      <c r="C11690" s="6">
        <v>10</v>
      </c>
      <c r="D11690" s="7">
        <v>43.88</v>
      </c>
    </row>
    <row r="11691" spans="1:5" x14ac:dyDescent="0.25">
      <c r="A11691" t="str">
        <f>HYPERLINK("https://www.773grp.com/globalSearch/PC87415VCG/page-1", "PC87415VCG")</f>
        <v>PC87415VCG</v>
      </c>
      <c r="B11691" s="3" t="str">
        <f>HYPERLINK("https://www.773grp.com/manufacturer/national-semiconductor?pageNo=32", "National Semiconductor")</f>
        <v>National Semiconductor</v>
      </c>
      <c r="C11691" s="6">
        <v>49618</v>
      </c>
      <c r="D11691" s="7">
        <v>43.88</v>
      </c>
      <c r="E11691" t="s">
        <v>85</v>
      </c>
    </row>
    <row r="11692" spans="1:5" x14ac:dyDescent="0.25">
      <c r="A11692" t="str">
        <f>HYPERLINK("https://www.773grp.com/globalSearch/LMZ10505EXTTZE-NOPB/page-1", "LMZ10505EXTTZE-NOPB")</f>
        <v>LMZ10505EXTTZE-NOPB</v>
      </c>
      <c r="B11692" s="3" t="str">
        <f>HYPERLINK("https://www.773grp.com/manufacturer/national-semiconductor?pageNo=33", "National Semiconductor")</f>
        <v>National Semiconductor</v>
      </c>
      <c r="C11692" s="6">
        <v>350</v>
      </c>
      <c r="D11692" s="7">
        <v>43.88</v>
      </c>
    </row>
    <row r="11693" spans="1:5" x14ac:dyDescent="0.25">
      <c r="A11693" t="str">
        <f>HYPERLINK("https://www.773grp.com/globalSearch/DM7130J-883/page-1", "DM7130J-883")</f>
        <v>DM7130J-883</v>
      </c>
      <c r="B11693" s="3" t="str">
        <f>HYPERLINK("https://www.773grp.com/manufacturer/national-semiconductor?pageNo=34", "National Semiconductor")</f>
        <v>National Semiconductor</v>
      </c>
      <c r="C11693" s="6">
        <v>11</v>
      </c>
      <c r="D11693" s="7">
        <v>44.01</v>
      </c>
      <c r="E11693" t="s">
        <v>43</v>
      </c>
    </row>
    <row r="11694" spans="1:5" x14ac:dyDescent="0.25">
      <c r="A11694" t="str">
        <f>HYPERLINK("https://www.773grp.com/globalSearch/LMH1982SQ/page-1", "LMH1982SQ")</f>
        <v>LMH1982SQ</v>
      </c>
      <c r="B11694" s="3" t="str">
        <f>HYPERLINK("https://www.773grp.com/manufacturer/national-semiconductor?pageNo=35", "National Semiconductor")</f>
        <v>National Semiconductor</v>
      </c>
      <c r="C11694" s="6">
        <v>1000</v>
      </c>
      <c r="D11694" s="7">
        <v>44.16</v>
      </c>
      <c r="E11694" t="s">
        <v>34</v>
      </c>
    </row>
    <row r="11695" spans="1:5" x14ac:dyDescent="0.25">
      <c r="A11695" t="str">
        <f>HYPERLINK("https://www.773grp.com/globalSearch/LMH1982SQE/page-1", "LMH1982SQE")</f>
        <v>LMH1982SQE</v>
      </c>
      <c r="B11695" s="3" t="str">
        <f>HYPERLINK("https://www.773grp.com/manufacturer/national-semiconductor?pageNo=36", "National Semiconductor")</f>
        <v>National Semiconductor</v>
      </c>
      <c r="C11695" s="6">
        <v>206</v>
      </c>
      <c r="D11695" s="7">
        <v>44.16</v>
      </c>
      <c r="E11695" t="s">
        <v>34</v>
      </c>
    </row>
    <row r="11696" spans="1:5" x14ac:dyDescent="0.25">
      <c r="A11696" t="str">
        <f>HYPERLINK("https://www.773grp.com/globalSearch/LMH1982SQ-NOPB/page-1", "LMH1982SQ-NOPB")</f>
        <v>LMH1982SQ-NOPB</v>
      </c>
      <c r="B11696" s="3" t="str">
        <f>HYPERLINK("https://www.773grp.com/manufacturer/national-semiconductor?pageNo=37", "National Semiconductor")</f>
        <v>National Semiconductor</v>
      </c>
      <c r="C11696" s="6">
        <v>220</v>
      </c>
      <c r="D11696" s="7">
        <v>44.16</v>
      </c>
    </row>
    <row r="11697" spans="1:5" x14ac:dyDescent="0.25">
      <c r="A11697" t="str">
        <f>HYPERLINK("https://www.773grp.com/globalSearch/DP8570AVX-NOPB/page-1", "DP8570AVX-NOPB")</f>
        <v>DP8570AVX-NOPB</v>
      </c>
      <c r="B11697" s="3" t="str">
        <f>HYPERLINK("https://www.773grp.com/manufacturer/national-semiconductor?pageNo=38", "National Semiconductor")</f>
        <v>National Semiconductor</v>
      </c>
      <c r="C11697" s="6">
        <v>1500</v>
      </c>
      <c r="D11697" s="7">
        <v>44.21</v>
      </c>
      <c r="E11697" t="s">
        <v>82</v>
      </c>
    </row>
    <row r="11698" spans="1:5" x14ac:dyDescent="0.25">
      <c r="A11698" t="str">
        <f>HYPERLINK("https://www.773grp.com/globalSearch/DP8570AVX-NOPB/page-1", "DP8570AVX-NOPB")</f>
        <v>DP8570AVX-NOPB</v>
      </c>
      <c r="B11698" s="3" t="str">
        <f>HYPERLINK("https://www.773grp.com/manufacturer/national-semiconductor?pageNo=39", "National Semiconductor")</f>
        <v>National Semiconductor</v>
      </c>
      <c r="C11698" s="6">
        <v>750</v>
      </c>
      <c r="D11698" s="7">
        <v>44.21</v>
      </c>
      <c r="E11698" t="s">
        <v>82</v>
      </c>
    </row>
    <row r="11699" spans="1:5" x14ac:dyDescent="0.25">
      <c r="A11699" t="str">
        <f>HYPERLINK("https://www.773grp.com/globalSearch/5962-7802006QEA/page-1", "5962-7802006QEA")</f>
        <v>5962-7802006QEA</v>
      </c>
      <c r="B11699" s="3" t="str">
        <f>HYPERLINK("https://www.773grp.com/manufacturer/national-semiconductor?pageNo=40", "National Semiconductor")</f>
        <v>National Semiconductor</v>
      </c>
      <c r="C11699" s="6">
        <v>196</v>
      </c>
      <c r="D11699" s="7">
        <v>44.41</v>
      </c>
      <c r="E11699" t="s">
        <v>21</v>
      </c>
    </row>
    <row r="11700" spans="1:5" x14ac:dyDescent="0.25">
      <c r="A11700" t="str">
        <f>HYPERLINK("https://www.773grp.com/globalSearch/DS26LS32MJ-883/page-1", "DS26LS32MJ-883")</f>
        <v>DS26LS32MJ-883</v>
      </c>
      <c r="B11700" s="3" t="str">
        <f>HYPERLINK("https://www.773grp.com/manufacturer/national-semiconductor?pageNo=41", "National Semiconductor")</f>
        <v>National Semiconductor</v>
      </c>
      <c r="C11700" s="6">
        <v>25</v>
      </c>
      <c r="D11700" s="7">
        <v>44.41</v>
      </c>
      <c r="E11700" t="s">
        <v>21</v>
      </c>
    </row>
    <row r="11701" spans="1:5" x14ac:dyDescent="0.25">
      <c r="A11701" t="str">
        <f>HYPERLINK("https://www.773grp.com/globalSearch/AM26LS32DMB/page-1", "AM26LS32DMB")</f>
        <v>AM26LS32DMB</v>
      </c>
      <c r="B11701" s="3" t="str">
        <f>HYPERLINK("https://www.773grp.com/manufacturer/national-semiconductor?pageNo=42", "National Semiconductor")</f>
        <v>National Semiconductor</v>
      </c>
      <c r="C11701" s="6">
        <v>91</v>
      </c>
      <c r="D11701" s="7">
        <v>44.41</v>
      </c>
    </row>
    <row r="11702" spans="1:5" x14ac:dyDescent="0.25">
      <c r="A11702" t="str">
        <f>HYPERLINK("https://www.773grp.com/globalSearch/10102FM/page-1", "10102FM")</f>
        <v>10102FM</v>
      </c>
      <c r="B11702" s="3" t="str">
        <f>HYPERLINK("https://www.773grp.com/manufacturer/national-semiconductor?pageNo=43", "National Semiconductor")</f>
        <v>National Semiconductor</v>
      </c>
      <c r="C11702" s="6">
        <v>156</v>
      </c>
      <c r="D11702" s="7">
        <v>44.44</v>
      </c>
    </row>
    <row r="11703" spans="1:5" x14ac:dyDescent="0.25">
      <c r="A11703" t="str">
        <f>HYPERLINK("https://www.773grp.com/globalSearch/LMZ14202EXTTZE-NOPB/page-1", "LMZ14202EXTTZE-NOPB")</f>
        <v>LMZ14202EXTTZE-NOPB</v>
      </c>
      <c r="B11703" s="3" t="str">
        <f>HYPERLINK("https://www.773grp.com/manufacturer/national-semiconductor?pageNo=44", "National Semiconductor")</f>
        <v>National Semiconductor</v>
      </c>
      <c r="C11703" s="6">
        <v>15</v>
      </c>
      <c r="D11703" s="7">
        <v>44.44</v>
      </c>
    </row>
    <row r="11704" spans="1:5" x14ac:dyDescent="0.25">
      <c r="A11704" t="str">
        <f>HYPERLINK("https://www.773grp.com/globalSearch/9311FM/page-1", "9311FM")</f>
        <v>9311FM</v>
      </c>
      <c r="B11704" s="3" t="str">
        <f>HYPERLINK("https://www.773grp.com/manufacturer/national-semiconductor?pageNo=45", "National Semiconductor")</f>
        <v>National Semiconductor</v>
      </c>
      <c r="C11704" s="6">
        <v>235</v>
      </c>
      <c r="D11704" s="7">
        <v>44.46</v>
      </c>
    </row>
    <row r="11705" spans="1:5" x14ac:dyDescent="0.25">
      <c r="A11705" t="str">
        <f>HYPERLINK("https://www.773grp.com/globalSearch/LM185BXH-2.5/page-1", "LM185BXH-2.5")</f>
        <v>LM185BXH-2.5</v>
      </c>
      <c r="B11705" s="3" t="str">
        <f>HYPERLINK("https://www.773grp.com/manufacturer/national-semiconductor?pageNo=46", "National Semiconductor")</f>
        <v>National Semiconductor</v>
      </c>
      <c r="C11705" s="6">
        <v>1928</v>
      </c>
      <c r="D11705" s="7">
        <v>44.46</v>
      </c>
      <c r="E11705" t="s">
        <v>17</v>
      </c>
    </row>
    <row r="11706" spans="1:5" x14ac:dyDescent="0.25">
      <c r="A11706" t="str">
        <f>HYPERLINK("https://www.773grp.com/globalSearch/LMH0394SQ-NOPB/page-1", "LMH0394SQ-NOPB")</f>
        <v>LMH0394SQ-NOPB</v>
      </c>
      <c r="B11706" s="3" t="str">
        <f>HYPERLINK("https://www.773grp.com/manufacturer/national-semiconductor?pageNo=47", "National Semiconductor")</f>
        <v>National Semiconductor</v>
      </c>
      <c r="C11706" s="6">
        <v>1000</v>
      </c>
      <c r="D11706" s="7">
        <v>44.59</v>
      </c>
    </row>
    <row r="11707" spans="1:5" x14ac:dyDescent="0.25">
      <c r="A11707" t="str">
        <f>HYPERLINK("https://www.773grp.com/globalSearch/AM3517AZERC/page-1", "AM3517AZERC")</f>
        <v>AM3517AZERC</v>
      </c>
      <c r="B11707" s="3" t="str">
        <f>HYPERLINK("https://www.773grp.com/manufacturer/national-semiconductor?pageNo=48", "National Semiconductor")</f>
        <v>National Semiconductor</v>
      </c>
      <c r="C11707" s="6">
        <v>18</v>
      </c>
      <c r="D11707" s="7">
        <v>44.59</v>
      </c>
    </row>
    <row r="11708" spans="1:5" x14ac:dyDescent="0.25">
      <c r="A11708" t="str">
        <f>HYPERLINK("https://www.773grp.com/globalSearch/LMH0394SQ-NOPB/page-1", "LMH0394SQ-NOPB")</f>
        <v>LMH0394SQ-NOPB</v>
      </c>
      <c r="B11708" s="3" t="str">
        <f>HYPERLINK("https://www.773grp.com/manufacturer/national-semiconductor?pageNo=49", "National Semiconductor")</f>
        <v>National Semiconductor</v>
      </c>
      <c r="C11708" s="6">
        <v>629</v>
      </c>
      <c r="D11708" s="7">
        <v>44.59</v>
      </c>
    </row>
    <row r="11709" spans="1:5" x14ac:dyDescent="0.25">
      <c r="A11709" t="str">
        <f>HYPERLINK("https://www.773grp.com/globalSearch/4721BDC/page-1", "4721BDC")</f>
        <v>4721BDC</v>
      </c>
      <c r="B11709" s="3" t="str">
        <f>HYPERLINK("https://www.773grp.com/manufacturer/national-semiconductor?pageNo=50", "National Semiconductor")</f>
        <v>National Semiconductor</v>
      </c>
      <c r="C11709" s="6">
        <v>18</v>
      </c>
      <c r="D11709" s="7">
        <v>44.66</v>
      </c>
    </row>
    <row r="11710" spans="1:5" x14ac:dyDescent="0.25">
      <c r="A11710" t="str">
        <f>HYPERLINK("https://www.773grp.com/globalSearch/9386FM/page-1", "9386FM")</f>
        <v>9386FM</v>
      </c>
      <c r="B11710" s="3" t="str">
        <f>HYPERLINK("https://www.773grp.com/manufacturer/national-semiconductor?pageNo=51", "National Semiconductor")</f>
        <v>National Semiconductor</v>
      </c>
      <c r="C11710" s="6">
        <v>300</v>
      </c>
      <c r="D11710" s="7">
        <v>44.66</v>
      </c>
    </row>
    <row r="11711" spans="1:5" x14ac:dyDescent="0.25">
      <c r="A11711" t="str">
        <f>HYPERLINK("https://www.773grp.com/globalSearch/93L18DM/page-1", "93L18DM")</f>
        <v>93L18DM</v>
      </c>
      <c r="B11711" s="3" t="str">
        <f>HYPERLINK("https://www.773grp.com/manufacturer/national-semiconductor?pageNo=52", "National Semiconductor")</f>
        <v>National Semiconductor</v>
      </c>
      <c r="C11711" s="6">
        <v>171</v>
      </c>
      <c r="D11711" s="7">
        <v>44.66</v>
      </c>
    </row>
    <row r="11712" spans="1:5" x14ac:dyDescent="0.25">
      <c r="A11712" t="str">
        <f>HYPERLINK("https://www.773grp.com/globalSearch/MM54C175W-883/page-1", "MM54C175W-883")</f>
        <v>MM54C175W-883</v>
      </c>
      <c r="B11712" s="3" t="str">
        <f>HYPERLINK("https://www.773grp.com/manufacturer/national-semiconductor?pageNo=53", "National Semiconductor")</f>
        <v>National Semiconductor</v>
      </c>
      <c r="C11712" s="6">
        <v>24</v>
      </c>
      <c r="D11712" s="7">
        <v>44.73</v>
      </c>
      <c r="E11712" t="s">
        <v>35</v>
      </c>
    </row>
    <row r="11713" spans="1:5" x14ac:dyDescent="0.25">
      <c r="A11713" t="str">
        <f>HYPERLINK("https://www.773grp.com/globalSearch/LMH0041SQ-NOPB/page-1", "LMH0041SQ-NOPB")</f>
        <v>LMH0041SQ-NOPB</v>
      </c>
      <c r="B11713" s="3" t="str">
        <f>HYPERLINK("https://www.773grp.com/manufacturer/national-semiconductor?pageNo=54", "National Semiconductor")</f>
        <v>National Semiconductor</v>
      </c>
      <c r="C11713" s="6">
        <v>9817</v>
      </c>
      <c r="D11713" s="7">
        <v>44.85</v>
      </c>
      <c r="E11713" t="s">
        <v>21</v>
      </c>
    </row>
    <row r="11714" spans="1:5" x14ac:dyDescent="0.25">
      <c r="A11714" t="str">
        <f>HYPERLINK("https://www.773grp.com/globalSearch/LMH0056SQ-NOPB/page-1", "LMH0056SQ-NOPB")</f>
        <v>LMH0056SQ-NOPB</v>
      </c>
      <c r="B11714" s="3" t="str">
        <f>HYPERLINK("https://www.773grp.com/manufacturer/national-semiconductor?pageNo=55", "National Semiconductor")</f>
        <v>National Semiconductor</v>
      </c>
      <c r="C11714" s="6">
        <v>250</v>
      </c>
      <c r="D11714" s="7">
        <v>44.85</v>
      </c>
    </row>
    <row r="11715" spans="1:5" x14ac:dyDescent="0.25">
      <c r="A11715" t="str">
        <f>HYPERLINK("https://www.773grp.com/globalSearch/MM54HC374E-883/page-1", "MM54HC374E-883")</f>
        <v>MM54HC374E-883</v>
      </c>
      <c r="B11715" s="3" t="str">
        <f>HYPERLINK("https://www.773grp.com/manufacturer/national-semiconductor?pageNo=56", "National Semiconductor")</f>
        <v>National Semiconductor</v>
      </c>
      <c r="C11715" s="6">
        <v>1</v>
      </c>
      <c r="D11715" s="7">
        <v>44.85</v>
      </c>
    </row>
    <row r="11716" spans="1:5" x14ac:dyDescent="0.25">
      <c r="A11716" t="str">
        <f>HYPERLINK("https://www.773grp.com/globalSearch/LMH0041SQ-NOPB/page-1", "LMH0041SQ-NOPB")</f>
        <v>LMH0041SQ-NOPB</v>
      </c>
      <c r="B11716" s="3" t="str">
        <f>HYPERLINK("https://www.773grp.com/manufacturer/national-semiconductor?pageNo=57", "National Semiconductor")</f>
        <v>National Semiconductor</v>
      </c>
      <c r="C11716" s="6">
        <v>3000</v>
      </c>
      <c r="D11716" s="7">
        <v>44.85</v>
      </c>
      <c r="E11716" t="s">
        <v>21</v>
      </c>
    </row>
    <row r="11717" spans="1:5" x14ac:dyDescent="0.25">
      <c r="A11717" t="str">
        <f>HYPERLINK("https://www.773grp.com/globalSearch/LMH0056SQ-NOPB/page-1", "LMH0056SQ-NOPB")</f>
        <v>LMH0056SQ-NOPB</v>
      </c>
      <c r="B11717" s="3" t="str">
        <f>HYPERLINK("https://www.773grp.com/manufacturer/national-semiconductor?pageNo=58", "National Semiconductor")</f>
        <v>National Semiconductor</v>
      </c>
      <c r="C11717" s="6">
        <v>741</v>
      </c>
      <c r="D11717" s="7">
        <v>44.85</v>
      </c>
    </row>
    <row r="11718" spans="1:5" x14ac:dyDescent="0.25">
      <c r="A11718" t="str">
        <f>HYPERLINK("https://www.773grp.com/globalSearch/LMH0056SQ-NOPB/page-1", "LMH0056SQ-NOPB")</f>
        <v>LMH0056SQ-NOPB</v>
      </c>
      <c r="B11718" s="3" t="str">
        <f>HYPERLINK("https://www.773grp.com/manufacturer/national-semiconductor?pageNo=59", "National Semiconductor")</f>
        <v>National Semiconductor</v>
      </c>
      <c r="C11718" s="6">
        <v>31</v>
      </c>
      <c r="D11718" s="7">
        <v>44.85</v>
      </c>
    </row>
    <row r="11719" spans="1:5" x14ac:dyDescent="0.25">
      <c r="A11719" t="str">
        <f>HYPERLINK("https://www.773grp.com/globalSearch/ADC12L080CIVY-NOPB/page-1", "ADC12L080CIVY-NOPB")</f>
        <v>ADC12L080CIVY-NOPB</v>
      </c>
      <c r="B11719" s="3" t="str">
        <f>HYPERLINK("https://www.773grp.com/manufacturer/national-semiconductor?pageNo=60", "National Semiconductor")</f>
        <v>National Semiconductor</v>
      </c>
      <c r="C11719" s="6">
        <v>250</v>
      </c>
      <c r="D11719" s="7">
        <v>44.89</v>
      </c>
    </row>
    <row r="11720" spans="1:5" x14ac:dyDescent="0.25">
      <c r="A11720" t="str">
        <f>HYPERLINK("https://www.773grp.com/globalSearch/10509FM/page-1", "10509FM")</f>
        <v>10509FM</v>
      </c>
      <c r="B11720" s="3" t="str">
        <f>HYPERLINK("https://www.773grp.com/manufacturer/national-semiconductor?pageNo=61", "National Semiconductor")</f>
        <v>National Semiconductor</v>
      </c>
      <c r="C11720" s="6">
        <v>2146</v>
      </c>
      <c r="D11720" s="7">
        <v>44.93</v>
      </c>
    </row>
    <row r="11721" spans="1:5" x14ac:dyDescent="0.25">
      <c r="A11721" t="str">
        <f>HYPERLINK("https://www.773grp.com/globalSearch/9600FM/page-1", "9600FM")</f>
        <v>9600FM</v>
      </c>
      <c r="B11721" s="3" t="str">
        <f>HYPERLINK("https://www.773grp.com/manufacturer/national-semiconductor?pageNo=62", "National Semiconductor")</f>
        <v>National Semiconductor</v>
      </c>
      <c r="C11721" s="6">
        <v>18</v>
      </c>
      <c r="D11721" s="7">
        <v>44.93</v>
      </c>
    </row>
    <row r="11722" spans="1:5" x14ac:dyDescent="0.25">
      <c r="A11722" t="str">
        <f>HYPERLINK("https://www.773grp.com/globalSearch/100101W-MIL/page-1", "100101W-MIL")</f>
        <v>100101W-MIL</v>
      </c>
      <c r="B11722" s="3" t="str">
        <f>HYPERLINK("https://www.773grp.com/manufacturer/national-semiconductor?pageNo=63", "National Semiconductor")</f>
        <v>National Semiconductor</v>
      </c>
      <c r="C11722" s="6">
        <v>397</v>
      </c>
      <c r="D11722" s="7">
        <v>45</v>
      </c>
    </row>
    <row r="11723" spans="1:5" x14ac:dyDescent="0.25">
      <c r="A11723" t="str">
        <f>HYPERLINK("https://www.773grp.com/globalSearch/ADC11C125CISQ-NOPB/page-1", "ADC11C125CISQ-NOPB")</f>
        <v>ADC11C125CISQ-NOPB</v>
      </c>
      <c r="B11723" s="3" t="str">
        <f>HYPERLINK("https://www.773grp.com/manufacturer/national-semiconductor?pageNo=64", "National Semiconductor")</f>
        <v>National Semiconductor</v>
      </c>
      <c r="C11723" s="6">
        <v>1000</v>
      </c>
      <c r="D11723" s="7">
        <v>45</v>
      </c>
    </row>
    <row r="11724" spans="1:5" x14ac:dyDescent="0.25">
      <c r="A11724" t="str">
        <f>HYPERLINK("https://www.773grp.com/globalSearch/LMH0051SQE-NOPB/page-1", "LMH0051SQE-NOPB")</f>
        <v>LMH0051SQE-NOPB</v>
      </c>
      <c r="B11724" s="3" t="str">
        <f>HYPERLINK("https://www.773grp.com/manufacturer/national-semiconductor?pageNo=65", "National Semiconductor")</f>
        <v>National Semiconductor</v>
      </c>
      <c r="C11724" s="6">
        <v>250</v>
      </c>
      <c r="D11724" s="7">
        <v>45</v>
      </c>
    </row>
    <row r="11725" spans="1:5" x14ac:dyDescent="0.25">
      <c r="A11725" t="str">
        <f>HYPERLINK("https://www.773grp.com/globalSearch/LMH0050SQE-NOPB/page-1", "LMH0050SQE-NOPB")</f>
        <v>LMH0050SQE-NOPB</v>
      </c>
      <c r="B11725" s="3" t="str">
        <f>HYPERLINK("https://www.773grp.com/manufacturer/national-semiconductor?pageNo=66", "National Semiconductor")</f>
        <v>National Semiconductor</v>
      </c>
      <c r="C11725" s="6">
        <v>1750</v>
      </c>
      <c r="D11725" s="7">
        <v>45</v>
      </c>
    </row>
    <row r="11726" spans="1:5" x14ac:dyDescent="0.25">
      <c r="A11726" t="str">
        <f>HYPERLINK("https://www.773grp.com/globalSearch/LMH0051SQE-NOPB/page-1", "LMH0051SQE-NOPB")</f>
        <v>LMH0051SQE-NOPB</v>
      </c>
      <c r="B11726" s="3" t="str">
        <f>HYPERLINK("https://www.773grp.com/manufacturer/national-semiconductor?pageNo=67", "National Semiconductor")</f>
        <v>National Semiconductor</v>
      </c>
      <c r="C11726" s="6">
        <v>5500</v>
      </c>
      <c r="D11726" s="7">
        <v>45</v>
      </c>
    </row>
    <row r="11727" spans="1:5" x14ac:dyDescent="0.25">
      <c r="A11727" t="str">
        <f>HYPERLINK("https://www.773grp.com/globalSearch/JM38510-07401BDA/page-1", "JM38510-07401BDA")</f>
        <v>JM38510-07401BDA</v>
      </c>
      <c r="B11727" s="3" t="str">
        <f>HYPERLINK("https://www.773grp.com/manufacturer/national-semiconductor?pageNo=68", "National Semiconductor")</f>
        <v>National Semiconductor</v>
      </c>
      <c r="C11727" s="6">
        <v>175</v>
      </c>
      <c r="D11727" s="7">
        <v>45.03</v>
      </c>
      <c r="E11727" t="s">
        <v>31</v>
      </c>
    </row>
    <row r="11728" spans="1:5" x14ac:dyDescent="0.25">
      <c r="A11728" t="str">
        <f>HYPERLINK("https://www.773grp.com/globalSearch/LMH0034MA/page-1", "LMH0034MA")</f>
        <v>LMH0034MA</v>
      </c>
      <c r="B11728" s="3" t="str">
        <f>HYPERLINK("https://www.773grp.com/manufacturer/national-semiconductor?pageNo=69", "National Semiconductor")</f>
        <v>National Semiconductor</v>
      </c>
      <c r="C11728" s="6">
        <v>186</v>
      </c>
      <c r="D11728" s="7">
        <v>45.14</v>
      </c>
      <c r="E11728" t="s">
        <v>78</v>
      </c>
    </row>
    <row r="11729" spans="1:5" x14ac:dyDescent="0.25">
      <c r="A11729" t="str">
        <f>HYPERLINK("https://www.773grp.com/globalSearch/LMH0034MA/page-1", "LMH0034MA")</f>
        <v>LMH0034MA</v>
      </c>
      <c r="B11729" s="3" t="str">
        <f>HYPERLINK("https://www.773grp.com/manufacturer/national-semiconductor?pageNo=70", "National Semiconductor")</f>
        <v>National Semiconductor</v>
      </c>
      <c r="C11729" s="6">
        <v>5376</v>
      </c>
      <c r="D11729" s="7">
        <v>45.14</v>
      </c>
      <c r="E11729" t="s">
        <v>78</v>
      </c>
    </row>
    <row r="11730" spans="1:5" x14ac:dyDescent="0.25">
      <c r="A11730" t="str">
        <f>HYPERLINK("https://www.773grp.com/globalSearch/DM85L98N/page-1", "DM85L98N")</f>
        <v>DM85L98N</v>
      </c>
      <c r="B11730" s="3" t="str">
        <f>HYPERLINK("https://www.773grp.com/manufacturer/national-semiconductor?pageNo=71", "National Semiconductor")</f>
        <v>National Semiconductor</v>
      </c>
      <c r="C11730" s="6">
        <v>323</v>
      </c>
      <c r="D11730" s="7">
        <v>45.28</v>
      </c>
    </row>
    <row r="11731" spans="1:5" x14ac:dyDescent="0.25">
      <c r="A11731" t="str">
        <f>HYPERLINK("https://www.773grp.com/globalSearch/MM4699BW-883C/page-1", "MM4699BW-883C")</f>
        <v>MM4699BW-883C</v>
      </c>
      <c r="B11731" s="3" t="str">
        <f>HYPERLINK("https://www.773grp.com/manufacturer/national-semiconductor?pageNo=72", "National Semiconductor")</f>
        <v>National Semiconductor</v>
      </c>
      <c r="C11731" s="6">
        <v>59</v>
      </c>
      <c r="D11731" s="7">
        <v>45.28</v>
      </c>
    </row>
    <row r="11732" spans="1:5" x14ac:dyDescent="0.25">
      <c r="A11732" t="str">
        <f>HYPERLINK("https://www.773grp.com/globalSearch/54152AFM/page-1", "54152AFM")</f>
        <v>54152AFM</v>
      </c>
      <c r="B11732" s="3" t="str">
        <f>HYPERLINK("https://www.773grp.com/manufacturer/national-semiconductor?pageNo=73", "National Semiconductor")</f>
        <v>National Semiconductor</v>
      </c>
      <c r="C11732" s="6">
        <v>25</v>
      </c>
      <c r="D11732" s="7">
        <v>45.31</v>
      </c>
    </row>
    <row r="11733" spans="1:5" x14ac:dyDescent="0.25">
      <c r="A11733" t="str">
        <f>HYPERLINK("https://www.773grp.com/globalSearch/9024FM/page-1", "9024FM")</f>
        <v>9024FM</v>
      </c>
      <c r="B11733" s="3" t="str">
        <f>HYPERLINK("https://www.773grp.com/manufacturer/national-semiconductor?pageNo=74", "National Semiconductor")</f>
        <v>National Semiconductor</v>
      </c>
      <c r="C11733" s="6">
        <v>719</v>
      </c>
      <c r="D11733" s="7">
        <v>45.31</v>
      </c>
    </row>
    <row r="11734" spans="1:5" x14ac:dyDescent="0.25">
      <c r="A11734" t="str">
        <f>HYPERLINK("https://www.773grp.com/globalSearch/5962-9858501QFA/page-1", "5962-9858501QFA")</f>
        <v>5962-9858501QFA</v>
      </c>
      <c r="B11734" s="3" t="str">
        <f>HYPERLINK("https://www.773grp.com/manufacturer/national-semiconductor?pageNo=75", "National Semiconductor")</f>
        <v>National Semiconductor</v>
      </c>
      <c r="C11734" s="6">
        <v>5</v>
      </c>
      <c r="D11734" s="7">
        <v>45.4</v>
      </c>
      <c r="E11734" t="s">
        <v>21</v>
      </c>
    </row>
    <row r="11735" spans="1:5" x14ac:dyDescent="0.25">
      <c r="A11735" t="str">
        <f>HYPERLINK("https://www.773grp.com/globalSearch/9311FMQB/page-1", "9311FMQB")</f>
        <v>9311FMQB</v>
      </c>
      <c r="B11735" s="3" t="str">
        <f>HYPERLINK("https://www.773grp.com/manufacturer/national-semiconductor?pageNo=76", "National Semiconductor")</f>
        <v>National Semiconductor</v>
      </c>
      <c r="C11735" s="6">
        <v>101</v>
      </c>
      <c r="D11735" s="7">
        <v>45.51</v>
      </c>
      <c r="E11735" t="s">
        <v>36</v>
      </c>
    </row>
    <row r="11736" spans="1:5" x14ac:dyDescent="0.25">
      <c r="A11736" t="str">
        <f>HYPERLINK("https://www.773grp.com/globalSearch/CLC5955MTD/page-1", "CLC5955MTD")</f>
        <v>CLC5955MTD</v>
      </c>
      <c r="B11736" s="3" t="str">
        <f>HYPERLINK("https://www.773grp.com/manufacturer/national-semiconductor?pageNo=77", "National Semiconductor")</f>
        <v>National Semiconductor</v>
      </c>
      <c r="C11736" s="6">
        <v>646</v>
      </c>
      <c r="D11736" s="7">
        <v>45.56</v>
      </c>
    </row>
    <row r="11737" spans="1:5" x14ac:dyDescent="0.25">
      <c r="A11737" t="str">
        <f>HYPERLINK("https://www.773grp.com/globalSearch/9099FMQB/page-1", "9099FMQB")</f>
        <v>9099FMQB</v>
      </c>
      <c r="B11737" s="3" t="str">
        <f>HYPERLINK("https://www.773grp.com/manufacturer/national-semiconductor?pageNo=78", "National Semiconductor")</f>
        <v>National Semiconductor</v>
      </c>
      <c r="C11737" s="6">
        <v>213</v>
      </c>
      <c r="D11737" s="7">
        <v>45.7</v>
      </c>
    </row>
    <row r="11738" spans="1:5" x14ac:dyDescent="0.25">
      <c r="A11738" t="str">
        <f>HYPERLINK("https://www.773grp.com/globalSearch/DS96F174ME-MSP/page-1", "DS96F174ME-MSP")</f>
        <v>DS96F174ME-MSP</v>
      </c>
      <c r="B11738" s="3" t="str">
        <f>HYPERLINK("https://www.773grp.com/manufacturer/national-semiconductor?pageNo=79", "National Semiconductor")</f>
        <v>National Semiconductor</v>
      </c>
      <c r="C11738" s="6">
        <v>15</v>
      </c>
      <c r="D11738" s="7">
        <v>45.7</v>
      </c>
    </row>
    <row r="11739" spans="1:5" x14ac:dyDescent="0.25">
      <c r="A11739" t="str">
        <f>HYPERLINK("https://www.773grp.com/globalSearch/CD4069MJ-883/page-1", "CD4069MJ-883")</f>
        <v>CD4069MJ-883</v>
      </c>
      <c r="B11739" s="3" t="str">
        <f>HYPERLINK("https://www.773grp.com/manufacturer/national-semiconductor?pageNo=80", "National Semiconductor")</f>
        <v>National Semiconductor</v>
      </c>
      <c r="C11739" s="6">
        <v>171</v>
      </c>
      <c r="D11739" s="7">
        <v>45.85</v>
      </c>
    </row>
    <row r="11740" spans="1:5" x14ac:dyDescent="0.25">
      <c r="A11740" t="str">
        <f>HYPERLINK("https://www.773grp.com/globalSearch/DM54165W-883/page-1", "DM54165W-883")</f>
        <v>DM54165W-883</v>
      </c>
      <c r="B11740" s="3" t="str">
        <f>HYPERLINK("https://www.773grp.com/manufacturer/national-semiconductor?pageNo=81", "National Semiconductor")</f>
        <v>National Semiconductor</v>
      </c>
      <c r="C11740" s="6">
        <v>35</v>
      </c>
      <c r="D11740" s="7">
        <v>45.85</v>
      </c>
    </row>
    <row r="11741" spans="1:5" x14ac:dyDescent="0.25">
      <c r="A11741" t="str">
        <f>HYPERLINK("https://www.773grp.com/globalSearch/DS96F173MJ/page-1", "DS96F173MJ")</f>
        <v>DS96F173MJ</v>
      </c>
      <c r="B11741" s="3" t="str">
        <f>HYPERLINK("https://www.773grp.com/manufacturer/national-semiconductor?pageNo=82", "National Semiconductor")</f>
        <v>National Semiconductor</v>
      </c>
      <c r="C11741" s="6">
        <v>9642</v>
      </c>
      <c r="D11741" s="7">
        <v>45.85</v>
      </c>
      <c r="E11741" t="s">
        <v>21</v>
      </c>
    </row>
    <row r="11742" spans="1:5" x14ac:dyDescent="0.25">
      <c r="A11742" t="str">
        <f>HYPERLINK("https://www.773grp.com/globalSearch/LM702E-883/page-1", "LM702E-883")</f>
        <v>LM702E-883</v>
      </c>
      <c r="B11742" s="3" t="str">
        <f>HYPERLINK("https://www.773grp.com/manufacturer/national-semiconductor?pageNo=83", "National Semiconductor")</f>
        <v>National Semiconductor</v>
      </c>
      <c r="C11742" s="6">
        <v>91</v>
      </c>
      <c r="D11742" s="7">
        <v>45.85</v>
      </c>
    </row>
    <row r="11743" spans="1:5" x14ac:dyDescent="0.25">
      <c r="A11743" t="str">
        <f>HYPERLINK("https://www.773grp.com/globalSearch/MM54C161J-883/page-1", "MM54C161J-883")</f>
        <v>MM54C161J-883</v>
      </c>
      <c r="B11743" s="3" t="str">
        <f>HYPERLINK("https://www.773grp.com/manufacturer/national-semiconductor?pageNo=84", "National Semiconductor")</f>
        <v>National Semiconductor</v>
      </c>
      <c r="C11743" s="6">
        <v>45</v>
      </c>
      <c r="D11743" s="7">
        <v>45.85</v>
      </c>
      <c r="E11743" t="s">
        <v>26</v>
      </c>
    </row>
    <row r="11744" spans="1:5" x14ac:dyDescent="0.25">
      <c r="A11744" t="str">
        <f>HYPERLINK("https://www.773grp.com/globalSearch/LM98725CCMT-NOPB/page-1", "LM98725CCMT-NOPB")</f>
        <v>LM98725CCMT-NOPB</v>
      </c>
      <c r="B11744" s="3" t="str">
        <f>HYPERLINK("https://www.773grp.com/manufacturer/national-semiconductor?pageNo=85", "National Semiconductor")</f>
        <v>National Semiconductor</v>
      </c>
      <c r="C11744" s="6">
        <v>206</v>
      </c>
      <c r="D11744" s="7">
        <v>45.85</v>
      </c>
    </row>
    <row r="11745" spans="1:5" x14ac:dyDescent="0.25">
      <c r="A11745" t="str">
        <f>HYPERLINK("https://www.773grp.com/globalSearch/LM98725CCMT-NOPB/page-1", "LM98725CCMT-NOPB")</f>
        <v>LM98725CCMT-NOPB</v>
      </c>
      <c r="B11745" s="3" t="str">
        <f>HYPERLINK("https://www.773grp.com/manufacturer/national-semiconductor?pageNo=86", "National Semiconductor")</f>
        <v>National Semiconductor</v>
      </c>
      <c r="C11745" s="6">
        <v>29</v>
      </c>
      <c r="D11745" s="7">
        <v>45.85</v>
      </c>
    </row>
    <row r="11746" spans="1:5" x14ac:dyDescent="0.25">
      <c r="A11746" t="str">
        <f>HYPERLINK("https://www.773grp.com/globalSearch/9304FM/page-1", "9304FM")</f>
        <v>9304FM</v>
      </c>
      <c r="B11746" s="3" t="str">
        <f>HYPERLINK("https://www.773grp.com/manufacturer/national-semiconductor?pageNo=87", "National Semiconductor")</f>
        <v>National Semiconductor</v>
      </c>
      <c r="C11746" s="6">
        <v>3144</v>
      </c>
      <c r="D11746" s="7">
        <v>45.99</v>
      </c>
    </row>
    <row r="11747" spans="1:5" x14ac:dyDescent="0.25">
      <c r="A11747" t="str">
        <f>HYPERLINK("https://www.773grp.com/globalSearch/JM38510-33904B2A/page-1", "JM38510-33904B2A")</f>
        <v>JM38510-33904B2A</v>
      </c>
      <c r="B11747" s="3" t="str">
        <f>HYPERLINK("https://www.773grp.com/manufacturer/national-semiconductor?pageNo=88", "National Semiconductor")</f>
        <v>National Semiconductor</v>
      </c>
      <c r="C11747" s="6">
        <v>2765</v>
      </c>
      <c r="D11747" s="7">
        <v>46.1</v>
      </c>
      <c r="E11747" t="s">
        <v>20</v>
      </c>
    </row>
    <row r="11748" spans="1:5" x14ac:dyDescent="0.25">
      <c r="A11748" t="str">
        <f>HYPERLINK("https://www.773grp.com/globalSearch/JM38510-33910B2A/page-1", "JM38510-33910B2A")</f>
        <v>JM38510-33910B2A</v>
      </c>
      <c r="B11748" s="3" t="str">
        <f>HYPERLINK("https://www.773grp.com/manufacturer/national-semiconductor?pageNo=89", "National Semiconductor")</f>
        <v>National Semiconductor</v>
      </c>
      <c r="C11748" s="6">
        <v>529</v>
      </c>
      <c r="D11748" s="7">
        <v>46.1</v>
      </c>
      <c r="E11748" t="s">
        <v>20</v>
      </c>
    </row>
    <row r="11749" spans="1:5" x14ac:dyDescent="0.25">
      <c r="A11749" t="str">
        <f>HYPERLINK("https://www.773grp.com/globalSearch/54167FM/page-1", "54167FM")</f>
        <v>54167FM</v>
      </c>
      <c r="B11749" s="3" t="str">
        <f>HYPERLINK("https://www.773grp.com/manufacturer/national-semiconductor?pageNo=90", "National Semiconductor")</f>
        <v>National Semiconductor</v>
      </c>
      <c r="C11749" s="6">
        <v>380</v>
      </c>
      <c r="D11749" s="7">
        <v>46.15</v>
      </c>
    </row>
    <row r="11750" spans="1:5" x14ac:dyDescent="0.25">
      <c r="A11750" t="str">
        <f>HYPERLINK("https://www.773grp.com/globalSearch/LMH1983SQE-NOPB/page-1", "LMH1983SQE-NOPB")</f>
        <v>LMH1983SQE-NOPB</v>
      </c>
      <c r="B11750" s="3" t="str">
        <f>HYPERLINK("https://www.773grp.com/manufacturer/national-semiconductor?pageNo=91", "National Semiconductor")</f>
        <v>National Semiconductor</v>
      </c>
      <c r="C11750" s="6">
        <v>33</v>
      </c>
      <c r="D11750" s="7">
        <v>46.28</v>
      </c>
    </row>
    <row r="11751" spans="1:5" x14ac:dyDescent="0.25">
      <c r="A11751" t="str">
        <f>HYPERLINK("https://www.773grp.com/globalSearch/100131W-MIL/page-1", "100131W-MIL")</f>
        <v>100131W-MIL</v>
      </c>
      <c r="B11751" s="3" t="str">
        <f>HYPERLINK("https://www.773grp.com/manufacturer/national-semiconductor?pageNo=92", "National Semiconductor")</f>
        <v>National Semiconductor</v>
      </c>
      <c r="C11751" s="6">
        <v>91</v>
      </c>
      <c r="D11751" s="7">
        <v>46.41</v>
      </c>
    </row>
    <row r="11752" spans="1:5" x14ac:dyDescent="0.25">
      <c r="A11752" t="str">
        <f>HYPERLINK("https://www.773grp.com/globalSearch/10124FM/page-1", "10124FM")</f>
        <v>10124FM</v>
      </c>
      <c r="B11752" s="3" t="str">
        <f>HYPERLINK("https://www.773grp.com/manufacturer/national-semiconductor?pageNo=93", "National Semiconductor")</f>
        <v>National Semiconductor</v>
      </c>
      <c r="C11752" s="6">
        <v>200</v>
      </c>
      <c r="D11752" s="7">
        <v>46.41</v>
      </c>
    </row>
    <row r="11753" spans="1:5" x14ac:dyDescent="0.25">
      <c r="A11753" t="str">
        <f>HYPERLINK("https://www.773grp.com/globalSearch/ADC08B200CIVS-NOPB/page-1", "ADC08B200CIVS-NOPB")</f>
        <v>ADC08B200CIVS-NOPB</v>
      </c>
      <c r="B11753" s="3" t="str">
        <f>HYPERLINK("https://www.773grp.com/manufacturer/national-semiconductor?pageNo=94", "National Semiconductor")</f>
        <v>National Semiconductor</v>
      </c>
      <c r="C11753" s="6">
        <v>486</v>
      </c>
      <c r="D11753" s="7">
        <v>46.41</v>
      </c>
      <c r="E11753" t="s">
        <v>39</v>
      </c>
    </row>
    <row r="11754" spans="1:5" x14ac:dyDescent="0.25">
      <c r="A11754" t="str">
        <f>HYPERLINK("https://www.773grp.com/globalSearch/DAC1218LCJ-1/page-1", "DAC1218LCJ-1")</f>
        <v>DAC1218LCJ-1</v>
      </c>
      <c r="B11754" s="3" t="str">
        <f>HYPERLINK("https://www.773grp.com/manufacturer/national-semiconductor?pageNo=95", "National Semiconductor")</f>
        <v>National Semiconductor</v>
      </c>
      <c r="C11754" s="6">
        <v>1500</v>
      </c>
      <c r="D11754" s="7">
        <v>46.41</v>
      </c>
      <c r="E11754" t="s">
        <v>33</v>
      </c>
    </row>
    <row r="11755" spans="1:5" x14ac:dyDescent="0.25">
      <c r="A11755" t="str">
        <f>HYPERLINK("https://www.773grp.com/globalSearch/DM9312W-883/page-1", "DM9312W-883")</f>
        <v>DM9312W-883</v>
      </c>
      <c r="B11755" s="3" t="str">
        <f>HYPERLINK("https://www.773grp.com/manufacturer/national-semiconductor?pageNo=96", "National Semiconductor")</f>
        <v>National Semiconductor</v>
      </c>
      <c r="C11755" s="6">
        <v>168</v>
      </c>
      <c r="D11755" s="7">
        <v>46.41</v>
      </c>
    </row>
    <row r="11756" spans="1:5" x14ac:dyDescent="0.25">
      <c r="A11756" t="str">
        <f>HYPERLINK("https://www.773grp.com/globalSearch/ADC08B200CIVS-NOPB/page-1", "ADC08B200CIVS-NOPB")</f>
        <v>ADC08B200CIVS-NOPB</v>
      </c>
      <c r="B11756" s="3" t="str">
        <f>HYPERLINK("https://www.773grp.com/manufacturer/national-semiconductor?pageNo=97", "National Semiconductor")</f>
        <v>National Semiconductor</v>
      </c>
      <c r="C11756" s="6">
        <v>226</v>
      </c>
      <c r="D11756" s="7">
        <v>46.41</v>
      </c>
      <c r="E11756" t="s">
        <v>39</v>
      </c>
    </row>
    <row r="11757" spans="1:5" x14ac:dyDescent="0.25">
      <c r="A11757" t="str">
        <f>HYPERLINK("https://www.773grp.com/globalSearch/JM38510-07008BDA/page-1", "JM38510-07008BDA")</f>
        <v>JM38510-07008BDA</v>
      </c>
      <c r="B11757" s="3" t="str">
        <f>HYPERLINK("https://www.773grp.com/manufacturer/national-semiconductor?pageNo=98", "National Semiconductor")</f>
        <v>National Semiconductor</v>
      </c>
      <c r="C11757" s="6">
        <v>220</v>
      </c>
      <c r="D11757" s="7">
        <v>46.44</v>
      </c>
    </row>
    <row r="11758" spans="1:5" x14ac:dyDescent="0.25">
      <c r="A11758" t="str">
        <f>HYPERLINK("https://www.773grp.com/globalSearch/LM137H-883/page-1", "LM137H-883")</f>
        <v>LM137H-883</v>
      </c>
      <c r="B11758" s="3" t="str">
        <f>HYPERLINK("https://www.773grp.com/manufacturer/national-semiconductor?pageNo=99", "National Semiconductor")</f>
        <v>National Semiconductor</v>
      </c>
      <c r="C11758" s="6">
        <v>15</v>
      </c>
      <c r="D11758" s="7">
        <v>46.54</v>
      </c>
      <c r="E11758" t="s">
        <v>37</v>
      </c>
    </row>
    <row r="11759" spans="1:5" x14ac:dyDescent="0.25">
      <c r="A11759" t="str">
        <f>HYPERLINK("https://www.773grp.com/globalSearch/LM137HVH-883/page-1", "LM137HVH-883")</f>
        <v>LM137HVH-883</v>
      </c>
      <c r="B11759" s="3" t="str">
        <f>HYPERLINK("https://www.773grp.com/manufacturer/national-semiconductor?pageNo=100", "National Semiconductor")</f>
        <v>National Semiconductor</v>
      </c>
      <c r="C11759" s="6">
        <v>2</v>
      </c>
      <c r="D11759" s="7">
        <v>46.54</v>
      </c>
      <c r="E11759" t="s">
        <v>37</v>
      </c>
    </row>
    <row r="11760" spans="1:5" x14ac:dyDescent="0.25">
      <c r="A11760" t="str">
        <f>HYPERLINK("https://www.773grp.com/globalSearch/LM140H-5.0-883/page-1", "LM140H-5.0-883")</f>
        <v>LM140H-5.0-883</v>
      </c>
      <c r="B11760" s="3" t="str">
        <f>HYPERLINK("https://www.773grp.com/manufacturer/national-semiconductor?pageNo=101", "National Semiconductor")</f>
        <v>National Semiconductor</v>
      </c>
      <c r="C11760" s="6">
        <v>98</v>
      </c>
      <c r="D11760" s="7">
        <v>46.54</v>
      </c>
      <c r="E11760" t="s">
        <v>28</v>
      </c>
    </row>
    <row r="11761" spans="1:5" x14ac:dyDescent="0.25">
      <c r="A11761" t="str">
        <f>HYPERLINK("https://www.773grp.com/globalSearch/LM137HVH-883/page-1", "LM137HVH-883")</f>
        <v>LM137HVH-883</v>
      </c>
      <c r="B11761" s="3" t="str">
        <f>HYPERLINK("https://www.773grp.com/manufacturer/national-semiconductor?pageNo=102", "National Semiconductor")</f>
        <v>National Semiconductor</v>
      </c>
      <c r="C11761" s="6">
        <v>28</v>
      </c>
      <c r="D11761" s="7">
        <v>46.54</v>
      </c>
      <c r="E11761" t="s">
        <v>37</v>
      </c>
    </row>
    <row r="11762" spans="1:5" x14ac:dyDescent="0.25">
      <c r="A11762" t="str">
        <f>HYPERLINK("https://www.773grp.com/globalSearch/DAC1218LCJ/page-1", "DAC1218LCJ")</f>
        <v>DAC1218LCJ</v>
      </c>
      <c r="B11762" s="3" t="str">
        <f>HYPERLINK("https://www.773grp.com/manufacturer/national-semiconductor?pageNo=103", "National Semiconductor")</f>
        <v>National Semiconductor</v>
      </c>
      <c r="C11762" s="6">
        <v>189</v>
      </c>
      <c r="D11762" s="7">
        <v>46.69</v>
      </c>
      <c r="E11762" t="s">
        <v>33</v>
      </c>
    </row>
    <row r="11763" spans="1:5" x14ac:dyDescent="0.25">
      <c r="A11763" t="str">
        <f>HYPERLINK("https://www.773grp.com/globalSearch/LMC6084AMN/page-1", "LMC6084AMN")</f>
        <v>LMC6084AMN</v>
      </c>
      <c r="B11763" s="3" t="str">
        <f>HYPERLINK("https://www.773grp.com/manufacturer/national-semiconductor?pageNo=104", "National Semiconductor")</f>
        <v>National Semiconductor</v>
      </c>
      <c r="C11763" s="6">
        <v>806</v>
      </c>
      <c r="D11763" s="7">
        <v>46.69</v>
      </c>
      <c r="E11763" t="s">
        <v>13</v>
      </c>
    </row>
    <row r="11764" spans="1:5" x14ac:dyDescent="0.25">
      <c r="A11764" t="str">
        <f>HYPERLINK("https://www.773grp.com/globalSearch/DP83848YBX-NOPB/page-1", "DP83848YBX-NOPB")</f>
        <v>DP83848YBX-NOPB</v>
      </c>
      <c r="B11764" s="3" t="str">
        <f>HYPERLINK("https://www.773grp.com/manufacturer/national-semiconductor?pageNo=105", "National Semiconductor")</f>
        <v>National Semiconductor</v>
      </c>
      <c r="C11764" s="6">
        <v>500</v>
      </c>
      <c r="D11764" s="7">
        <v>46.69</v>
      </c>
    </row>
    <row r="11765" spans="1:5" x14ac:dyDescent="0.25">
      <c r="A11765" t="str">
        <f>HYPERLINK("https://www.773grp.com/globalSearch/28053-13/page-1", "28053-13")</f>
        <v>28053-13</v>
      </c>
      <c r="B11765" s="3" t="str">
        <f>HYPERLINK("https://www.773grp.com/manufacturer/national-semiconductor?pageNo=106", "National Semiconductor")</f>
        <v>National Semiconductor</v>
      </c>
      <c r="C11765" s="6">
        <v>531</v>
      </c>
      <c r="D11765" s="7">
        <v>46.86</v>
      </c>
    </row>
    <row r="11766" spans="1:5" x14ac:dyDescent="0.25">
      <c r="A11766" t="str">
        <f>HYPERLINK("https://www.773grp.com/globalSearch/28053-13 CY 19/page-1", "28053-13 CY 19")</f>
        <v>28053-13 CY 19</v>
      </c>
      <c r="B11766" s="3" t="str">
        <f>HYPERLINK("https://www.773grp.com/manufacturer/national-semiconductor?pageNo=107", "National Semiconductor")</f>
        <v>National Semiconductor</v>
      </c>
      <c r="C11766" s="6">
        <v>1</v>
      </c>
      <c r="D11766" s="7">
        <v>46.86</v>
      </c>
    </row>
    <row r="11767" spans="1:5" x14ac:dyDescent="0.25">
      <c r="A11767" t="str">
        <f>HYPERLINK("https://www.773grp.com/globalSearch/28053-13C04B/page-1", "28053-13C04B")</f>
        <v>28053-13C04B</v>
      </c>
      <c r="B11767" s="3" t="str">
        <f>HYPERLINK("https://www.773grp.com/manufacturer/national-semiconductor?pageNo=108", "National Semiconductor")</f>
        <v>National Semiconductor</v>
      </c>
      <c r="C11767" s="6">
        <v>23</v>
      </c>
      <c r="D11767" s="7">
        <v>46.86</v>
      </c>
    </row>
    <row r="11768" spans="1:5" x14ac:dyDescent="0.25">
      <c r="A11768" t="str">
        <f>HYPERLINK("https://www.773grp.com/globalSearch/28063-13/page-1", "28063-13")</f>
        <v>28063-13</v>
      </c>
      <c r="B11768" s="3" t="str">
        <f>HYPERLINK("https://www.773grp.com/manufacturer/national-semiconductor?pageNo=109", "National Semiconductor")</f>
        <v>National Semiconductor</v>
      </c>
      <c r="C11768" s="6">
        <v>487</v>
      </c>
      <c r="D11768" s="7">
        <v>46.86</v>
      </c>
    </row>
    <row r="11769" spans="1:5" x14ac:dyDescent="0.25">
      <c r="A11769" t="str">
        <f>HYPERLINK("https://www.773grp.com/globalSearch/5962-9858401QFA/page-1", "5962-9858401QFA")</f>
        <v>5962-9858401QFA</v>
      </c>
      <c r="B11769" s="3" t="str">
        <f>HYPERLINK("https://www.773grp.com/manufacturer/national-semiconductor?pageNo=110", "National Semiconductor")</f>
        <v>National Semiconductor</v>
      </c>
      <c r="C11769" s="6">
        <v>1</v>
      </c>
      <c r="D11769" s="7">
        <v>47.05</v>
      </c>
      <c r="E11769" t="s">
        <v>21</v>
      </c>
    </row>
    <row r="11770" spans="1:5" x14ac:dyDescent="0.25">
      <c r="A11770" t="str">
        <f>HYPERLINK("https://www.773grp.com/globalSearch/9308FMQB/page-1", "9308FMQB")</f>
        <v>9308FMQB</v>
      </c>
      <c r="B11770" s="3" t="str">
        <f>HYPERLINK("https://www.773grp.com/manufacturer/national-semiconductor?pageNo=111", "National Semiconductor")</f>
        <v>National Semiconductor</v>
      </c>
      <c r="C11770" s="6">
        <v>77</v>
      </c>
      <c r="D11770" s="7">
        <v>47.2</v>
      </c>
      <c r="E11770" t="s">
        <v>35</v>
      </c>
    </row>
    <row r="11771" spans="1:5" x14ac:dyDescent="0.25">
      <c r="A11771" t="str">
        <f>HYPERLINK("https://www.773grp.com/globalSearch/LM117HVH-QML/page-1", "LM117HVH-QML")</f>
        <v>LM117HVH-QML</v>
      </c>
      <c r="B11771" s="3" t="str">
        <f>HYPERLINK("https://www.773grp.com/manufacturer/national-semiconductor?pageNo=112", "National Semiconductor")</f>
        <v>National Semiconductor</v>
      </c>
      <c r="C11771" s="6">
        <v>1</v>
      </c>
      <c r="D11771" s="7">
        <v>47.25</v>
      </c>
      <c r="E11771" t="s">
        <v>22</v>
      </c>
    </row>
    <row r="11772" spans="1:5" x14ac:dyDescent="0.25">
      <c r="A11772" t="str">
        <f>HYPERLINK("https://www.773grp.com/globalSearch/LMH0395SQX-NOPB/page-1", "LMH0395SQX-NOPB")</f>
        <v>LMH0395SQX-NOPB</v>
      </c>
      <c r="B11772" s="3" t="str">
        <f>HYPERLINK("https://www.773grp.com/manufacturer/national-semiconductor?pageNo=113", "National Semiconductor")</f>
        <v>National Semiconductor</v>
      </c>
      <c r="C11772" s="6">
        <v>9000</v>
      </c>
      <c r="D11772" s="7">
        <v>47.39</v>
      </c>
    </row>
    <row r="11773" spans="1:5" x14ac:dyDescent="0.25">
      <c r="A11773" t="str">
        <f>HYPERLINK("https://www.773grp.com/globalSearch/54160DM/page-1", "54160DM")</f>
        <v>54160DM</v>
      </c>
      <c r="B11773" s="3" t="str">
        <f>HYPERLINK("https://www.773grp.com/manufacturer/national-semiconductor?pageNo=114", "National Semiconductor")</f>
        <v>National Semiconductor</v>
      </c>
      <c r="C11773" s="6">
        <v>1332</v>
      </c>
      <c r="D11773" s="7">
        <v>47.48</v>
      </c>
    </row>
    <row r="11774" spans="1:5" x14ac:dyDescent="0.25">
      <c r="A11774" t="str">
        <f>HYPERLINK("https://www.773grp.com/globalSearch/9020FM/page-1", "9020FM")</f>
        <v>9020FM</v>
      </c>
      <c r="B11774" s="3" t="str">
        <f>HYPERLINK("https://www.773grp.com/manufacturer/national-semiconductor?pageNo=115", "National Semiconductor")</f>
        <v>National Semiconductor</v>
      </c>
      <c r="C11774" s="6">
        <v>2158</v>
      </c>
      <c r="D11774" s="7">
        <v>47.48</v>
      </c>
    </row>
    <row r="11775" spans="1:5" x14ac:dyDescent="0.25">
      <c r="A11775" t="str">
        <f>HYPERLINK("https://www.773grp.com/globalSearch/9020FMQB/page-1", "9020FMQB")</f>
        <v>9020FMQB</v>
      </c>
      <c r="B11775" s="3" t="str">
        <f>HYPERLINK("https://www.773grp.com/manufacturer/national-semiconductor?pageNo=116", "National Semiconductor")</f>
        <v>National Semiconductor</v>
      </c>
      <c r="C11775" s="6">
        <v>164</v>
      </c>
      <c r="D11775" s="7">
        <v>47.48</v>
      </c>
    </row>
    <row r="11776" spans="1:5" x14ac:dyDescent="0.25">
      <c r="A11776" t="str">
        <f>HYPERLINK("https://www.773grp.com/globalSearch/9L24FM/page-1", "9L24FM")</f>
        <v>9L24FM</v>
      </c>
      <c r="B11776" s="3" t="str">
        <f>HYPERLINK("https://www.773grp.com/manufacturer/national-semiconductor?pageNo=117", "National Semiconductor")</f>
        <v>National Semiconductor</v>
      </c>
      <c r="C11776" s="6">
        <v>48</v>
      </c>
      <c r="D11776" s="7">
        <v>47.48</v>
      </c>
    </row>
    <row r="11777" spans="1:5" x14ac:dyDescent="0.25">
      <c r="A11777" t="str">
        <f>HYPERLINK("https://www.773grp.com/globalSearch/MM4641MW-883C/page-1", "MM4641MW-883C")</f>
        <v>MM4641MW-883C</v>
      </c>
      <c r="B11777" s="3" t="str">
        <f>HYPERLINK("https://www.773grp.com/manufacturer/national-semiconductor?pageNo=118", "National Semiconductor")</f>
        <v>National Semiconductor</v>
      </c>
      <c r="C11777" s="6">
        <v>112</v>
      </c>
      <c r="D11777" s="7">
        <v>47.5</v>
      </c>
    </row>
    <row r="11778" spans="1:5" x14ac:dyDescent="0.25">
      <c r="A11778" t="str">
        <f>HYPERLINK("https://www.773grp.com/globalSearch/LMH0046MH-NOPB/page-1", "LMH0046MH-NOPB")</f>
        <v>LMH0046MH-NOPB</v>
      </c>
      <c r="B11778" s="3" t="str">
        <f>HYPERLINK("https://www.773grp.com/manufacturer/national-semiconductor?pageNo=119", "National Semiconductor")</f>
        <v>National Semiconductor</v>
      </c>
      <c r="C11778" s="6">
        <v>729</v>
      </c>
      <c r="D11778" s="7">
        <v>47.68</v>
      </c>
    </row>
    <row r="11779" spans="1:5" x14ac:dyDescent="0.25">
      <c r="A11779" t="str">
        <f>HYPERLINK("https://www.773grp.com/globalSearch/LMH0046MH-NOPB/page-1", "LMH0046MH-NOPB")</f>
        <v>LMH0046MH-NOPB</v>
      </c>
      <c r="B11779" s="3" t="str">
        <f>HYPERLINK("https://www.773grp.com/manufacturer/national-semiconductor?pageNo=120", "National Semiconductor")</f>
        <v>National Semiconductor</v>
      </c>
      <c r="C11779" s="6">
        <v>172</v>
      </c>
      <c r="D11779" s="7">
        <v>47.68</v>
      </c>
    </row>
    <row r="11780" spans="1:5" x14ac:dyDescent="0.25">
      <c r="A11780" t="str">
        <f>HYPERLINK("https://www.773grp.com/globalSearch/9341DM/page-1", "9341DM")</f>
        <v>9341DM</v>
      </c>
      <c r="B11780" s="3" t="str">
        <f>HYPERLINK("https://www.773grp.com/manufacturer/national-semiconductor?pageNo=121", "National Semiconductor")</f>
        <v>National Semiconductor</v>
      </c>
      <c r="C11780" s="6">
        <v>7461</v>
      </c>
      <c r="D11780" s="7">
        <v>47.73</v>
      </c>
    </row>
    <row r="11781" spans="1:5" x14ac:dyDescent="0.25">
      <c r="A11781" t="str">
        <f>HYPERLINK("https://www.773grp.com/globalSearch/LMX9838SB-NOPB/page-1", "LMX9838SB-NOPB")</f>
        <v>LMX9838SB-NOPB</v>
      </c>
      <c r="B11781" s="3" t="str">
        <f>HYPERLINK("https://www.773grp.com/manufacturer/national-semiconductor?pageNo=122", "National Semiconductor")</f>
        <v>National Semiconductor</v>
      </c>
      <c r="C11781" s="6">
        <v>945</v>
      </c>
      <c r="D11781" s="7">
        <v>47.73</v>
      </c>
      <c r="E11781" t="s">
        <v>67</v>
      </c>
    </row>
    <row r="11782" spans="1:5" x14ac:dyDescent="0.25">
      <c r="A11782" t="str">
        <f>HYPERLINK("https://www.773grp.com/globalSearch/LM185BYH-883/page-1", "LM185BYH-883")</f>
        <v>LM185BYH-883</v>
      </c>
      <c r="B11782" s="3" t="str">
        <f>HYPERLINK("https://www.773grp.com/manufacturer/national-semiconductor?pageNo=123", "National Semiconductor")</f>
        <v>National Semiconductor</v>
      </c>
      <c r="C11782" s="6">
        <v>100</v>
      </c>
      <c r="D11782" s="7">
        <v>47.81</v>
      </c>
      <c r="E11782" t="s">
        <v>17</v>
      </c>
    </row>
    <row r="11783" spans="1:5" x14ac:dyDescent="0.25">
      <c r="A11783" t="str">
        <f>HYPERLINK("https://www.773grp.com/globalSearch/LMH0040SQ/page-1", "LMH0040SQ")</f>
        <v>LMH0040SQ</v>
      </c>
      <c r="B11783" s="3" t="str">
        <f>HYPERLINK("https://www.773grp.com/manufacturer/national-semiconductor?pageNo=124", "National Semiconductor")</f>
        <v>National Semiconductor</v>
      </c>
      <c r="C11783" s="6">
        <v>1000</v>
      </c>
      <c r="D11783" s="7">
        <v>47.81</v>
      </c>
      <c r="E11783" t="s">
        <v>21</v>
      </c>
    </row>
    <row r="11784" spans="1:5" x14ac:dyDescent="0.25">
      <c r="A11784" t="str">
        <f>HYPERLINK("https://www.773grp.com/globalSearch/LMZ10500EVAL/page-1", "LMZ10500EVAL")</f>
        <v>LMZ10500EVAL</v>
      </c>
      <c r="B11784" s="3" t="str">
        <f>HYPERLINK("https://www.773grp.com/manufacturer/national-semiconductor?pageNo=125", "National Semiconductor")</f>
        <v>National Semiconductor</v>
      </c>
      <c r="C11784" s="6">
        <v>2</v>
      </c>
      <c r="D11784" s="7">
        <v>47.81</v>
      </c>
    </row>
    <row r="11785" spans="1:5" x14ac:dyDescent="0.25">
      <c r="A11785" t="str">
        <f>HYPERLINK("https://www.773grp.com/globalSearch/LP5900SD-3.3EV/page-1", "LP5900SD-3.3EV")</f>
        <v>LP5900SD-3.3EV</v>
      </c>
      <c r="B11785" s="3" t="str">
        <f>HYPERLINK("https://www.773grp.com/manufacturer/national-semiconductor?pageNo=126", "National Semiconductor")</f>
        <v>National Semiconductor</v>
      </c>
      <c r="C11785" s="6">
        <v>11</v>
      </c>
      <c r="D11785" s="7">
        <v>47.81</v>
      </c>
    </row>
    <row r="11786" spans="1:5" x14ac:dyDescent="0.25">
      <c r="A11786" t="str">
        <f>HYPERLINK("https://www.773grp.com/globalSearch/SCAN928028TUF-NOPB/page-1", "SCAN928028TUF-NOPB")</f>
        <v>SCAN928028TUF-NOPB</v>
      </c>
      <c r="B11786" s="3" t="str">
        <f>HYPERLINK("https://www.773grp.com/manufacturer/national-semiconductor?pageNo=127", "National Semiconductor")</f>
        <v>National Semiconductor</v>
      </c>
      <c r="C11786" s="6">
        <v>568</v>
      </c>
      <c r="D11786" s="7">
        <v>47.81</v>
      </c>
    </row>
    <row r="11787" spans="1:5" x14ac:dyDescent="0.25">
      <c r="A11787" t="str">
        <f>HYPERLINK("https://www.773grp.com/globalSearch/LM9740CCVS-NOPB/page-1", "LM9740CCVS-NOPB")</f>
        <v>LM9740CCVS-NOPB</v>
      </c>
      <c r="B11787" s="3" t="str">
        <f>HYPERLINK("https://www.773grp.com/manufacturer/national-semiconductor?pageNo=128", "National Semiconductor")</f>
        <v>National Semiconductor</v>
      </c>
      <c r="C11787" s="6">
        <v>80</v>
      </c>
      <c r="D11787" s="7">
        <v>48.1</v>
      </c>
    </row>
    <row r="11788" spans="1:5" x14ac:dyDescent="0.25">
      <c r="A11788" t="str">
        <f>HYPERLINK("https://www.773grp.com/globalSearch/4104BDMQB  LT/page-1", "4104BDMQB  LT")</f>
        <v>4104BDMQB  LT</v>
      </c>
      <c r="B11788" s="3" t="str">
        <f>HYPERLINK("https://www.773grp.com/manufacturer/national-semiconductor?pageNo=129", "National Semiconductor")</f>
        <v>National Semiconductor</v>
      </c>
      <c r="C11788" s="6">
        <v>50</v>
      </c>
      <c r="D11788" s="7">
        <v>48.21</v>
      </c>
    </row>
    <row r="11789" spans="1:5" x14ac:dyDescent="0.25">
      <c r="A11789" t="str">
        <f>HYPERLINK("https://www.773grp.com/globalSearch/54F657LMQB/page-1", "54F657LMQB")</f>
        <v>54F657LMQB</v>
      </c>
      <c r="B11789" s="3" t="str">
        <f>HYPERLINK("https://www.773grp.com/manufacturer/national-semiconductor?pageNo=130", "National Semiconductor")</f>
        <v>National Semiconductor</v>
      </c>
      <c r="C11789" s="6">
        <v>16</v>
      </c>
      <c r="D11789" s="7">
        <v>48.38</v>
      </c>
      <c r="E11789" t="s">
        <v>14</v>
      </c>
    </row>
    <row r="11790" spans="1:5" x14ac:dyDescent="0.25">
      <c r="A11790" t="str">
        <f>HYPERLINK("https://www.773grp.com/globalSearch/JD9602BFA/page-1", "JD9602BFA")</f>
        <v>JD9602BFA</v>
      </c>
      <c r="B11790" s="3" t="str">
        <f>HYPERLINK("https://www.773grp.com/manufacturer/national-semiconductor?pageNo=131", "National Semiconductor")</f>
        <v>National Semiconductor</v>
      </c>
      <c r="C11790" s="6">
        <v>8</v>
      </c>
      <c r="D11790" s="7">
        <v>48.38</v>
      </c>
    </row>
    <row r="11791" spans="1:5" x14ac:dyDescent="0.25">
      <c r="A11791" t="str">
        <f>HYPERLINK("https://www.773grp.com/globalSearch/LMH1982SQE-NOPB/page-1", "LMH1982SQE-NOPB")</f>
        <v>LMH1982SQE-NOPB</v>
      </c>
      <c r="B11791" s="3" t="str">
        <f>HYPERLINK("https://www.773grp.com/manufacturer/national-semiconductor?pageNo=132", "National Semiconductor")</f>
        <v>National Semiconductor</v>
      </c>
      <c r="C11791" s="6">
        <v>334</v>
      </c>
      <c r="D11791" s="7">
        <v>48.38</v>
      </c>
    </row>
    <row r="11792" spans="1:5" x14ac:dyDescent="0.25">
      <c r="A11792" t="str">
        <f>HYPERLINK("https://www.773grp.com/globalSearch/LMH1982SQE-NOPB/page-1", "LMH1982SQE-NOPB")</f>
        <v>LMH1982SQE-NOPB</v>
      </c>
      <c r="B11792" s="3" t="str">
        <f>HYPERLINK("https://www.773grp.com/manufacturer/national-semiconductor?pageNo=133", "National Semiconductor")</f>
        <v>National Semiconductor</v>
      </c>
      <c r="C11792" s="6">
        <v>2000</v>
      </c>
      <c r="D11792" s="7">
        <v>48.38</v>
      </c>
    </row>
    <row r="11793" spans="1:5" x14ac:dyDescent="0.25">
      <c r="A11793" t="str">
        <f>HYPERLINK("https://www.773grp.com/globalSearch/100142FC/page-1", "100142FC")</f>
        <v>100142FC</v>
      </c>
      <c r="B11793" s="3" t="str">
        <f>HYPERLINK("https://www.773grp.com/manufacturer/national-semiconductor?pageNo=134", "National Semiconductor")</f>
        <v>National Semiconductor</v>
      </c>
      <c r="C11793" s="6">
        <v>41</v>
      </c>
      <c r="D11793" s="7">
        <v>48.44</v>
      </c>
      <c r="E11793" t="s">
        <v>75</v>
      </c>
    </row>
    <row r="11794" spans="1:5" x14ac:dyDescent="0.25">
      <c r="A11794" t="str">
        <f>HYPERLINK("https://www.773grp.com/globalSearch/LM12458CIVX/page-1", "LM12458CIVX")</f>
        <v>LM12458CIVX</v>
      </c>
      <c r="B11794" s="3" t="str">
        <f>HYPERLINK("https://www.773grp.com/manufacturer/national-semiconductor?pageNo=1", "National Semiconductor")</f>
        <v>National Semiconductor</v>
      </c>
      <c r="C11794" s="6">
        <v>500</v>
      </c>
      <c r="D11794" s="7">
        <v>48.44</v>
      </c>
      <c r="E11794" t="s">
        <v>40</v>
      </c>
    </row>
    <row r="11795" spans="1:5" x14ac:dyDescent="0.25">
      <c r="A11795" t="str">
        <f>HYPERLINK("https://www.773grp.com/globalSearch/DM70L51J-883/page-1", "DM70L51J-883")</f>
        <v>DM70L51J-883</v>
      </c>
      <c r="B11795" s="3" t="str">
        <f>HYPERLINK("https://www.773grp.com/manufacturer/national-semiconductor?pageNo=2", "National Semiconductor")</f>
        <v>National Semiconductor</v>
      </c>
      <c r="C11795" s="6">
        <v>15</v>
      </c>
      <c r="D11795" s="7">
        <v>48.51</v>
      </c>
    </row>
    <row r="11796" spans="1:5" x14ac:dyDescent="0.25">
      <c r="A11796" t="str">
        <f>HYPERLINK("https://www.773grp.com/globalSearch/LMH0394SQE-NOPB/page-1", "LMH0394SQE-NOPB")</f>
        <v>LMH0394SQE-NOPB</v>
      </c>
      <c r="B11796" s="3" t="str">
        <f>HYPERLINK("https://www.773grp.com/manufacturer/national-semiconductor?pageNo=3", "National Semiconductor")</f>
        <v>National Semiconductor</v>
      </c>
      <c r="C11796" s="6">
        <v>3</v>
      </c>
      <c r="D11796" s="7">
        <v>48.8</v>
      </c>
    </row>
    <row r="11797" spans="1:5" x14ac:dyDescent="0.25">
      <c r="A11797" t="str">
        <f>HYPERLINK("https://www.773grp.com/globalSearch/5477FM/page-1", "5477FM")</f>
        <v>5477FM</v>
      </c>
      <c r="B11797" s="3" t="str">
        <f>HYPERLINK("https://www.773grp.com/manufacturer/national-semiconductor?pageNo=4", "National Semiconductor")</f>
        <v>National Semiconductor</v>
      </c>
      <c r="C11797" s="6">
        <v>777</v>
      </c>
      <c r="D11797" s="7">
        <v>48.98</v>
      </c>
    </row>
    <row r="11798" spans="1:5" x14ac:dyDescent="0.25">
      <c r="A11798" t="str">
        <f>HYPERLINK("https://www.773grp.com/globalSearch/LMH0040SQE-NOPB/page-1", "LMH0040SQE-NOPB")</f>
        <v>LMH0040SQE-NOPB</v>
      </c>
      <c r="B11798" s="3" t="str">
        <f>HYPERLINK("https://www.773grp.com/manufacturer/national-semiconductor?pageNo=5", "National Semiconductor")</f>
        <v>National Semiconductor</v>
      </c>
      <c r="C11798" s="6">
        <v>4891</v>
      </c>
      <c r="D11798" s="7">
        <v>49.08</v>
      </c>
      <c r="E11798" t="s">
        <v>21</v>
      </c>
    </row>
    <row r="11799" spans="1:5" x14ac:dyDescent="0.25">
      <c r="A11799" t="str">
        <f>HYPERLINK("https://www.773grp.com/globalSearch/LMH0041SQE-NOPB/page-1", "LMH0041SQE-NOPB")</f>
        <v>LMH0041SQE-NOPB</v>
      </c>
      <c r="B11799" s="3" t="str">
        <f>HYPERLINK("https://www.773grp.com/manufacturer/national-semiconductor?pageNo=6", "National Semiconductor")</f>
        <v>National Semiconductor</v>
      </c>
      <c r="C11799" s="6">
        <v>750</v>
      </c>
      <c r="D11799" s="7">
        <v>49.08</v>
      </c>
    </row>
    <row r="11800" spans="1:5" x14ac:dyDescent="0.25">
      <c r="A11800" t="str">
        <f>HYPERLINK("https://www.773grp.com/globalSearch/LMH0056SQE-NOPB/page-1", "LMH0056SQE-NOPB")</f>
        <v>LMH0056SQE-NOPB</v>
      </c>
      <c r="B11800" s="3" t="str">
        <f>HYPERLINK("https://www.773grp.com/manufacturer/national-semiconductor?pageNo=7", "National Semiconductor")</f>
        <v>National Semiconductor</v>
      </c>
      <c r="C11800" s="6">
        <v>454</v>
      </c>
      <c r="D11800" s="7">
        <v>49.08</v>
      </c>
    </row>
    <row r="11801" spans="1:5" x14ac:dyDescent="0.25">
      <c r="A11801" t="str">
        <f>HYPERLINK("https://www.773grp.com/globalSearch/LMH0040SQE-NOPB/page-1", "LMH0040SQE-NOPB")</f>
        <v>LMH0040SQE-NOPB</v>
      </c>
      <c r="B11801" s="3" t="str">
        <f>HYPERLINK("https://www.773grp.com/manufacturer/national-semiconductor?pageNo=8", "National Semiconductor")</f>
        <v>National Semiconductor</v>
      </c>
      <c r="C11801" s="6">
        <v>1500</v>
      </c>
      <c r="D11801" s="7">
        <v>49.08</v>
      </c>
      <c r="E11801" t="s">
        <v>21</v>
      </c>
    </row>
    <row r="11802" spans="1:5" x14ac:dyDescent="0.25">
      <c r="A11802" t="str">
        <f>HYPERLINK("https://www.773grp.com/globalSearch/LMH0041SQE-NOPB/page-1", "LMH0041SQE-NOPB")</f>
        <v>LMH0041SQE-NOPB</v>
      </c>
      <c r="B11802" s="3" t="str">
        <f>HYPERLINK("https://www.773grp.com/manufacturer/national-semiconductor?pageNo=9", "National Semiconductor")</f>
        <v>National Semiconductor</v>
      </c>
      <c r="C11802" s="6">
        <v>250</v>
      </c>
      <c r="D11802" s="7">
        <v>49.08</v>
      </c>
    </row>
    <row r="11803" spans="1:5" x14ac:dyDescent="0.25">
      <c r="A11803" t="str">
        <f>HYPERLINK("https://www.773grp.com/globalSearch/LMH0056SQE-NOPB/page-1", "LMH0056SQE-NOPB")</f>
        <v>LMH0056SQE-NOPB</v>
      </c>
      <c r="B11803" s="3" t="str">
        <f>HYPERLINK("https://www.773grp.com/manufacturer/national-semiconductor?pageNo=10", "National Semiconductor")</f>
        <v>National Semiconductor</v>
      </c>
      <c r="C11803" s="6">
        <v>245</v>
      </c>
      <c r="D11803" s="7">
        <v>49.08</v>
      </c>
    </row>
    <row r="11804" spans="1:5" x14ac:dyDescent="0.25">
      <c r="A11804" t="str">
        <f>HYPERLINK("https://www.773grp.com/globalSearch/95H00DC/page-1", "95H00DC")</f>
        <v>95H00DC</v>
      </c>
      <c r="B11804" s="3" t="str">
        <f>HYPERLINK("https://www.773grp.com/manufacturer/national-semiconductor?pageNo=11", "National Semiconductor")</f>
        <v>National Semiconductor</v>
      </c>
      <c r="C11804" s="6">
        <v>23410</v>
      </c>
      <c r="D11804" s="7">
        <v>49.23</v>
      </c>
    </row>
    <row r="11805" spans="1:5" x14ac:dyDescent="0.25">
      <c r="A11805" t="str">
        <f>HYPERLINK("https://www.773grp.com/globalSearch/LMC6001BIH/page-1", "LMC6001BIH")</f>
        <v>LMC6001BIH</v>
      </c>
      <c r="B11805" s="3" t="str">
        <f>HYPERLINK("https://www.773grp.com/manufacturer/national-semiconductor?pageNo=12", "National Semiconductor")</f>
        <v>National Semiconductor</v>
      </c>
      <c r="C11805" s="6">
        <v>2607</v>
      </c>
      <c r="D11805" s="7">
        <v>49.23</v>
      </c>
      <c r="E11805" t="s">
        <v>13</v>
      </c>
    </row>
    <row r="11806" spans="1:5" x14ac:dyDescent="0.25">
      <c r="A11806" t="str">
        <f>HYPERLINK("https://www.773grp.com/globalSearch/DP83865DVH/page-1", "DP83865DVH")</f>
        <v>DP83865DVH</v>
      </c>
      <c r="B11806" s="3" t="str">
        <f>HYPERLINK("https://www.773grp.com/manufacturer/national-semiconductor?pageNo=13", "National Semiconductor")</f>
        <v>National Semiconductor</v>
      </c>
      <c r="C11806" s="6">
        <v>470</v>
      </c>
      <c r="D11806" s="7">
        <v>49.24</v>
      </c>
      <c r="E11806" t="s">
        <v>55</v>
      </c>
    </row>
    <row r="11807" spans="1:5" x14ac:dyDescent="0.25">
      <c r="A11807" t="str">
        <f>HYPERLINK("https://www.773grp.com/globalSearch/DP83865DVH/page-1", "DP83865DVH")</f>
        <v>DP83865DVH</v>
      </c>
      <c r="B11807" s="3" t="str">
        <f>HYPERLINK("https://www.773grp.com/manufacturer/national-semiconductor?pageNo=14", "National Semiconductor")</f>
        <v>National Semiconductor</v>
      </c>
      <c r="C11807" s="6">
        <v>660</v>
      </c>
      <c r="D11807" s="7">
        <v>49.24</v>
      </c>
      <c r="E11807" t="s">
        <v>55</v>
      </c>
    </row>
    <row r="11808" spans="1:5" x14ac:dyDescent="0.25">
      <c r="A11808" t="str">
        <f>HYPERLINK("https://www.773grp.com/globalSearch/5962-8754601PA/page-1", "5962-8754601PA")</f>
        <v>5962-8754601PA</v>
      </c>
      <c r="B11808" s="3" t="str">
        <f>HYPERLINK("https://www.773grp.com/manufacturer/national-semiconductor?pageNo=15", "National Semiconductor")</f>
        <v>National Semiconductor</v>
      </c>
      <c r="C11808" s="6">
        <v>1161</v>
      </c>
      <c r="D11808" s="7">
        <v>49.33</v>
      </c>
      <c r="E11808" t="s">
        <v>21</v>
      </c>
    </row>
    <row r="11809" spans="1:5" x14ac:dyDescent="0.25">
      <c r="A11809" t="str">
        <f>HYPERLINK("https://www.773grp.com/globalSearch/DS9638J-883/page-1", "DS9638J-883")</f>
        <v>DS9638J-883</v>
      </c>
      <c r="B11809" s="3" t="str">
        <f>HYPERLINK("https://www.773grp.com/manufacturer/national-semiconductor?pageNo=16", "National Semiconductor")</f>
        <v>National Semiconductor</v>
      </c>
      <c r="C11809" s="6">
        <v>1350</v>
      </c>
      <c r="D11809" s="7">
        <v>49.33</v>
      </c>
      <c r="E11809" t="s">
        <v>21</v>
      </c>
    </row>
    <row r="11810" spans="1:5" x14ac:dyDescent="0.25">
      <c r="A11810" t="str">
        <f>HYPERLINK("https://www.773grp.com/globalSearch/LM136AH-2.5-883/page-1", "LM136AH-2.5-883")</f>
        <v>LM136AH-2.5-883</v>
      </c>
      <c r="B11810" s="3" t="str">
        <f>HYPERLINK("https://www.773grp.com/manufacturer/national-semiconductor?pageNo=17", "National Semiconductor")</f>
        <v>National Semiconductor</v>
      </c>
      <c r="C11810" s="6">
        <v>1349</v>
      </c>
      <c r="D11810" s="7">
        <v>49.33</v>
      </c>
      <c r="E11810" t="s">
        <v>17</v>
      </c>
    </row>
    <row r="11811" spans="1:5" x14ac:dyDescent="0.25">
      <c r="A11811" t="str">
        <f>HYPERLINK("https://www.773grp.com/globalSearch/LM136AH-2.5-883/page-1", "LM136AH-2.5-883")</f>
        <v>LM136AH-2.5-883</v>
      </c>
      <c r="B11811" s="3" t="str">
        <f>HYPERLINK("https://www.773grp.com/manufacturer/national-semiconductor?pageNo=18", "National Semiconductor")</f>
        <v>National Semiconductor</v>
      </c>
      <c r="C11811" s="6">
        <v>1396</v>
      </c>
      <c r="D11811" s="7">
        <v>49.33</v>
      </c>
      <c r="E11811" t="s">
        <v>17</v>
      </c>
    </row>
    <row r="11812" spans="1:5" x14ac:dyDescent="0.25">
      <c r="A11812" t="str">
        <f>HYPERLINK("https://www.773grp.com/globalSearch/9022FM/page-1", "9022FM")</f>
        <v>9022FM</v>
      </c>
      <c r="B11812" s="3" t="str">
        <f>HYPERLINK("https://www.773grp.com/manufacturer/national-semiconductor?pageNo=19", "National Semiconductor")</f>
        <v>National Semiconductor</v>
      </c>
      <c r="C11812" s="6">
        <v>100</v>
      </c>
      <c r="D11812" s="7">
        <v>49.36</v>
      </c>
    </row>
    <row r="11813" spans="1:5" x14ac:dyDescent="0.25">
      <c r="A11813" t="str">
        <f>HYPERLINK("https://www.773grp.com/globalSearch/LM136AH-5.0-883/page-1", "LM136AH-5.0-883")</f>
        <v>LM136AH-5.0-883</v>
      </c>
      <c r="B11813" s="3" t="str">
        <f>HYPERLINK("https://www.773grp.com/manufacturer/national-semiconductor?pageNo=20", "National Semiconductor")</f>
        <v>National Semiconductor</v>
      </c>
      <c r="C11813" s="6">
        <v>561</v>
      </c>
      <c r="D11813" s="7">
        <v>49.41</v>
      </c>
      <c r="E11813" t="s">
        <v>17</v>
      </c>
    </row>
    <row r="11814" spans="1:5" x14ac:dyDescent="0.25">
      <c r="A11814" t="str">
        <f>HYPERLINK("https://www.773grp.com/globalSearch/LM136H-5.0-883/page-1", "LM136H-5.0-883")</f>
        <v>LM136H-5.0-883</v>
      </c>
      <c r="B11814" s="3" t="str">
        <f>HYPERLINK("https://www.773grp.com/manufacturer/national-semiconductor?pageNo=21", "National Semiconductor")</f>
        <v>National Semiconductor</v>
      </c>
      <c r="C11814" s="6">
        <v>1914</v>
      </c>
      <c r="D11814" s="7">
        <v>49.41</v>
      </c>
      <c r="E11814" t="s">
        <v>17</v>
      </c>
    </row>
    <row r="11815" spans="1:5" x14ac:dyDescent="0.25">
      <c r="A11815" t="str">
        <f>HYPERLINK("https://www.773grp.com/globalSearch/LM136AH-5.0-SMD/page-1", "LM136AH-5.0-SMD")</f>
        <v>LM136AH-5.0-SMD</v>
      </c>
      <c r="B11815" s="3" t="str">
        <f>HYPERLINK("https://www.773grp.com/manufacturer/national-semiconductor?pageNo=22", "National Semiconductor")</f>
        <v>National Semiconductor</v>
      </c>
      <c r="C11815" s="6">
        <v>20</v>
      </c>
      <c r="D11815" s="7">
        <v>49.41</v>
      </c>
    </row>
    <row r="11816" spans="1:5" x14ac:dyDescent="0.25">
      <c r="A11816" t="str">
        <f>HYPERLINK("https://www.773grp.com/globalSearch/LM136H-5.0-883/page-1", "LM136H-5.0-883")</f>
        <v>LM136H-5.0-883</v>
      </c>
      <c r="B11816" s="3" t="str">
        <f>HYPERLINK("https://www.773grp.com/manufacturer/national-semiconductor?pageNo=23", "National Semiconductor")</f>
        <v>National Semiconductor</v>
      </c>
      <c r="C11816" s="6">
        <v>117</v>
      </c>
      <c r="D11816" s="7">
        <v>49.41</v>
      </c>
      <c r="E11816" t="s">
        <v>17</v>
      </c>
    </row>
    <row r="11817" spans="1:5" x14ac:dyDescent="0.25">
      <c r="A11817" t="str">
        <f>HYPERLINK("https://www.773grp.com/globalSearch/DS9622MW-883/page-1", "DS9622MW-883")</f>
        <v>DS9622MW-883</v>
      </c>
      <c r="B11817" s="3" t="str">
        <f>HYPERLINK("https://www.773grp.com/manufacturer/national-semiconductor?pageNo=24", "National Semiconductor")</f>
        <v>National Semiconductor</v>
      </c>
      <c r="C11817" s="6">
        <v>6</v>
      </c>
      <c r="D11817" s="7">
        <v>49.5</v>
      </c>
      <c r="E11817" t="s">
        <v>21</v>
      </c>
    </row>
    <row r="11818" spans="1:5" x14ac:dyDescent="0.25">
      <c r="A11818" t="str">
        <f>HYPERLINK("https://www.773grp.com/globalSearch/JM38510-65602BRA/page-1", "JM38510-65602BRA")</f>
        <v>JM38510-65602BRA</v>
      </c>
      <c r="B11818" s="3" t="str">
        <f>HYPERLINK("https://www.773grp.com/manufacturer/national-semiconductor?pageNo=25", "National Semiconductor")</f>
        <v>National Semiconductor</v>
      </c>
      <c r="C11818" s="6">
        <v>23</v>
      </c>
      <c r="D11818" s="7">
        <v>49.56</v>
      </c>
      <c r="E11818" t="s">
        <v>14</v>
      </c>
    </row>
    <row r="11819" spans="1:5" x14ac:dyDescent="0.25">
      <c r="A11819" t="str">
        <f>HYPERLINK("https://www.773grp.com/globalSearch/ADS7869IPZT/page-1", "ADS7869IPZT")</f>
        <v>ADS7869IPZT</v>
      </c>
      <c r="B11819" s="3" t="str">
        <f>HYPERLINK("https://www.773grp.com/manufacturer/national-semiconductor?pageNo=26", "National Semiconductor")</f>
        <v>National Semiconductor</v>
      </c>
      <c r="C11819" s="6">
        <v>23</v>
      </c>
      <c r="D11819" s="7">
        <v>49.56</v>
      </c>
    </row>
    <row r="11820" spans="1:5" x14ac:dyDescent="0.25">
      <c r="A11820" t="str">
        <f>HYPERLINK("https://www.773grp.com/globalSearch/96LS02DM/page-1", "96LS02DM")</f>
        <v>96LS02DM</v>
      </c>
      <c r="B11820" s="3" t="str">
        <f>HYPERLINK("https://www.773grp.com/manufacturer/national-semiconductor?pageNo=27", "National Semiconductor")</f>
        <v>National Semiconductor</v>
      </c>
      <c r="C11820" s="6">
        <v>1068</v>
      </c>
      <c r="D11820" s="7">
        <v>49.58</v>
      </c>
    </row>
    <row r="11821" spans="1:5" x14ac:dyDescent="0.25">
      <c r="A11821" t="str">
        <f>HYPERLINK("https://www.773grp.com/globalSearch/MM54C74W-883/page-1", "MM54C74W-883")</f>
        <v>MM54C74W-883</v>
      </c>
      <c r="B11821" s="3" t="str">
        <f>HYPERLINK("https://www.773grp.com/manufacturer/national-semiconductor?pageNo=28", "National Semiconductor")</f>
        <v>National Semiconductor</v>
      </c>
      <c r="C11821" s="6">
        <v>153</v>
      </c>
      <c r="D11821" s="7">
        <v>49.65</v>
      </c>
      <c r="E11821" t="s">
        <v>35</v>
      </c>
    </row>
    <row r="11822" spans="1:5" x14ac:dyDescent="0.25">
      <c r="A11822" t="str">
        <f>HYPERLINK("https://www.773grp.com/globalSearch/LM109H-883/page-1", "LM109H-883")</f>
        <v>LM109H-883</v>
      </c>
      <c r="B11822" s="3" t="str">
        <f>HYPERLINK("https://www.773grp.com/manufacturer/national-semiconductor?pageNo=29", "National Semiconductor")</f>
        <v>National Semiconductor</v>
      </c>
      <c r="C11822" s="6">
        <v>143</v>
      </c>
      <c r="D11822" s="7">
        <v>49.7</v>
      </c>
      <c r="E11822" t="s">
        <v>28</v>
      </c>
    </row>
    <row r="11823" spans="1:5" x14ac:dyDescent="0.25">
      <c r="A11823" t="str">
        <f>HYPERLINK("https://www.773grp.com/globalSearch/DP8570AV-NOPB/page-1", "DP8570AV-NOPB")</f>
        <v>DP8570AV-NOPB</v>
      </c>
      <c r="B11823" s="3" t="str">
        <f>HYPERLINK("https://www.773grp.com/manufacturer/national-semiconductor?pageNo=30", "National Semiconductor")</f>
        <v>National Semiconductor</v>
      </c>
      <c r="C11823" s="6">
        <v>45</v>
      </c>
      <c r="D11823" s="7">
        <v>49.84</v>
      </c>
      <c r="E11823" t="s">
        <v>82</v>
      </c>
    </row>
    <row r="11824" spans="1:5" x14ac:dyDescent="0.25">
      <c r="A11824" t="str">
        <f>HYPERLINK("https://www.773grp.com/globalSearch/DP8570AV-NOPB/page-1", "DP8570AV-NOPB")</f>
        <v>DP8570AV-NOPB</v>
      </c>
      <c r="B11824" s="3" t="str">
        <f>HYPERLINK("https://www.773grp.com/manufacturer/national-semiconductor?pageNo=31", "National Semiconductor")</f>
        <v>National Semiconductor</v>
      </c>
      <c r="C11824" s="6">
        <v>70</v>
      </c>
      <c r="D11824" s="7">
        <v>49.84</v>
      </c>
      <c r="E11824" t="s">
        <v>82</v>
      </c>
    </row>
    <row r="11825" spans="1:5" x14ac:dyDescent="0.25">
      <c r="A11825" t="str">
        <f>HYPERLINK("https://www.773grp.com/globalSearch/100136DC/page-1", "100136DC")</f>
        <v>100136DC</v>
      </c>
      <c r="B11825" s="3" t="str">
        <f>HYPERLINK("https://www.773grp.com/manufacturer/national-semiconductor?pageNo=32", "National Semiconductor")</f>
        <v>National Semiconductor</v>
      </c>
      <c r="C11825" s="6">
        <v>85</v>
      </c>
      <c r="D11825" s="7">
        <v>49.91</v>
      </c>
      <c r="E11825" t="s">
        <v>26</v>
      </c>
    </row>
    <row r="11826" spans="1:5" x14ac:dyDescent="0.25">
      <c r="A11826" t="str">
        <f>HYPERLINK("https://www.773grp.com/globalSearch/DM9311W-883/page-1", "DM9311W-883")</f>
        <v>DM9311W-883</v>
      </c>
      <c r="B11826" s="3" t="str">
        <f>HYPERLINK("https://www.773grp.com/manufacturer/national-semiconductor?pageNo=33", "National Semiconductor")</f>
        <v>National Semiconductor</v>
      </c>
      <c r="C11826" s="6">
        <v>120</v>
      </c>
      <c r="D11826" s="7">
        <v>50.06</v>
      </c>
    </row>
    <row r="11827" spans="1:5" x14ac:dyDescent="0.25">
      <c r="A11827" t="str">
        <f>HYPERLINK("https://www.773grp.com/globalSearch/5962-8777801XA/page-1", "5962-8777801XA")</f>
        <v>5962-8777801XA</v>
      </c>
      <c r="B11827" s="3" t="str">
        <f>HYPERLINK("https://www.773grp.com/manufacturer/national-semiconductor?pageNo=34", "National Semiconductor")</f>
        <v>National Semiconductor</v>
      </c>
      <c r="C11827" s="6">
        <v>2118</v>
      </c>
      <c r="D11827" s="7">
        <v>50.09</v>
      </c>
      <c r="E11827" t="s">
        <v>59</v>
      </c>
    </row>
    <row r="11828" spans="1:5" x14ac:dyDescent="0.25">
      <c r="A11828" t="str">
        <f>HYPERLINK("https://www.773grp.com/globalSearch/LM195H-883/page-1", "LM195H-883")</f>
        <v>LM195H-883</v>
      </c>
      <c r="B11828" s="3" t="str">
        <f>HYPERLINK("https://www.773grp.com/manufacturer/national-semiconductor?pageNo=35", "National Semiconductor")</f>
        <v>National Semiconductor</v>
      </c>
      <c r="C11828" s="6">
        <v>9606</v>
      </c>
      <c r="D11828" s="7">
        <v>50.09</v>
      </c>
      <c r="E11828" t="s">
        <v>59</v>
      </c>
    </row>
    <row r="11829" spans="1:5" x14ac:dyDescent="0.25">
      <c r="A11829" t="str">
        <f>HYPERLINK("https://www.773grp.com/globalSearch/TP3404V-NOPB/page-1", "TP3404V-NOPB")</f>
        <v>TP3404V-NOPB</v>
      </c>
      <c r="B11829" s="3" t="str">
        <f>HYPERLINK("https://www.773grp.com/manufacturer/national-semiconductor?pageNo=36", "National Semiconductor")</f>
        <v>National Semiconductor</v>
      </c>
      <c r="C11829" s="6">
        <v>25</v>
      </c>
      <c r="D11829" s="7">
        <v>50.09</v>
      </c>
      <c r="E11829" t="s">
        <v>86</v>
      </c>
    </row>
    <row r="11830" spans="1:5" x14ac:dyDescent="0.25">
      <c r="A11830" t="str">
        <f>HYPERLINK("https://www.773grp.com/globalSearch/TP3404V-NOPB/page-1", "TP3404V-NOPB")</f>
        <v>TP3404V-NOPB</v>
      </c>
      <c r="B11830" s="3" t="str">
        <f>HYPERLINK("https://www.773grp.com/manufacturer/national-semiconductor?pageNo=37", "National Semiconductor")</f>
        <v>National Semiconductor</v>
      </c>
      <c r="C11830" s="6">
        <v>35</v>
      </c>
      <c r="D11830" s="7">
        <v>50.09</v>
      </c>
      <c r="E11830" t="s">
        <v>86</v>
      </c>
    </row>
    <row r="11831" spans="1:5" x14ac:dyDescent="0.25">
      <c r="A11831" t="str">
        <f>HYPERLINK("https://www.773grp.com/globalSearch/54F385DM/page-1", "54F385DM")</f>
        <v>54F385DM</v>
      </c>
      <c r="B11831" s="3" t="str">
        <f>HYPERLINK("https://www.773grp.com/manufacturer/national-semiconductor?pageNo=38", "National Semiconductor")</f>
        <v>National Semiconductor</v>
      </c>
      <c r="C11831" s="6">
        <v>516</v>
      </c>
      <c r="D11831" s="7">
        <v>50.18</v>
      </c>
      <c r="E11831" t="s">
        <v>43</v>
      </c>
    </row>
    <row r="11832" spans="1:5" x14ac:dyDescent="0.25">
      <c r="A11832" t="str">
        <f>HYPERLINK("https://www.773grp.com/globalSearch/923HM/page-1", "923HM")</f>
        <v>923HM</v>
      </c>
      <c r="B11832" s="3" t="str">
        <f>HYPERLINK("https://www.773grp.com/manufacturer/national-semiconductor?pageNo=39", "National Semiconductor")</f>
        <v>National Semiconductor</v>
      </c>
      <c r="C11832" s="6">
        <v>342</v>
      </c>
      <c r="D11832" s="7">
        <v>50.29</v>
      </c>
    </row>
    <row r="11833" spans="1:5" x14ac:dyDescent="0.25">
      <c r="A11833" t="str">
        <f>HYPERLINK("https://www.773grp.com/globalSearch/93S258DC/page-1", "93S258DC")</f>
        <v>93S258DC</v>
      </c>
      <c r="B11833" s="3" t="str">
        <f>HYPERLINK("https://www.773grp.com/manufacturer/national-semiconductor?pageNo=40", "National Semiconductor")</f>
        <v>National Semiconductor</v>
      </c>
      <c r="C11833" s="6">
        <v>47</v>
      </c>
      <c r="D11833" s="7">
        <v>50.29</v>
      </c>
    </row>
    <row r="11834" spans="1:5" x14ac:dyDescent="0.25">
      <c r="A11834" t="str">
        <f>HYPERLINK("https://www.773grp.com/globalSearch/93S41DC/page-1", "93S41DC")</f>
        <v>93S41DC</v>
      </c>
      <c r="B11834" s="3" t="str">
        <f>HYPERLINK("https://www.773grp.com/manufacturer/national-semiconductor?pageNo=41", "National Semiconductor")</f>
        <v>National Semiconductor</v>
      </c>
      <c r="C11834" s="6">
        <v>431</v>
      </c>
      <c r="D11834" s="7">
        <v>50.29</v>
      </c>
    </row>
    <row r="11835" spans="1:5" x14ac:dyDescent="0.25">
      <c r="A11835" t="str">
        <f>HYPERLINK("https://www.773grp.com/globalSearch/54H53FM/page-1", "54H53FM")</f>
        <v>54H53FM</v>
      </c>
      <c r="B11835" s="3" t="str">
        <f>HYPERLINK("https://www.773grp.com/manufacturer/national-semiconductor?pageNo=42", "National Semiconductor")</f>
        <v>National Semiconductor</v>
      </c>
      <c r="C11835" s="6">
        <v>855</v>
      </c>
      <c r="D11835" s="7">
        <v>50.49</v>
      </c>
    </row>
    <row r="11836" spans="1:5" x14ac:dyDescent="0.25">
      <c r="A11836" t="str">
        <f>HYPERLINK("https://www.773grp.com/globalSearch/95016DC/page-1", "95016DC")</f>
        <v>95016DC</v>
      </c>
      <c r="B11836" s="3" t="str">
        <f>HYPERLINK("https://www.773grp.com/manufacturer/national-semiconductor?pageNo=43", "National Semiconductor")</f>
        <v>National Semiconductor</v>
      </c>
      <c r="C11836" s="6">
        <v>24</v>
      </c>
      <c r="D11836" s="7">
        <v>50.54</v>
      </c>
      <c r="E11836" t="s">
        <v>26</v>
      </c>
    </row>
    <row r="11837" spans="1:5" x14ac:dyDescent="0.25">
      <c r="A11837" t="str">
        <f>HYPERLINK("https://www.773grp.com/globalSearch/93L11FM/page-1", "93L11FM")</f>
        <v>93L11FM</v>
      </c>
      <c r="B11837" s="3" t="str">
        <f>HYPERLINK("https://www.773grp.com/manufacturer/national-semiconductor?pageNo=44", "National Semiconductor")</f>
        <v>National Semiconductor</v>
      </c>
      <c r="C11837" s="6">
        <v>463</v>
      </c>
      <c r="D11837" s="7">
        <v>50.58</v>
      </c>
    </row>
    <row r="11838" spans="1:5" x14ac:dyDescent="0.25">
      <c r="A11838" t="str">
        <f>HYPERLINK("https://www.773grp.com/globalSearch/DM9601W-883/page-1", "DM9601W-883")</f>
        <v>DM9601W-883</v>
      </c>
      <c r="B11838" s="3" t="str">
        <f>HYPERLINK("https://www.773grp.com/manufacturer/national-semiconductor?pageNo=45", "National Semiconductor")</f>
        <v>National Semiconductor</v>
      </c>
      <c r="C11838" s="6">
        <v>7</v>
      </c>
      <c r="D11838" s="7">
        <v>50.58</v>
      </c>
      <c r="E11838" t="s">
        <v>54</v>
      </c>
    </row>
    <row r="11839" spans="1:5" x14ac:dyDescent="0.25">
      <c r="A11839" t="str">
        <f>HYPERLINK("https://www.773grp.com/globalSearch/100114J-MIL/page-1", "100114J-MIL")</f>
        <v>100114J-MIL</v>
      </c>
      <c r="B11839" s="3" t="str">
        <f>HYPERLINK("https://www.773grp.com/manufacturer/national-semiconductor?pageNo=46", "National Semiconductor")</f>
        <v>National Semiconductor</v>
      </c>
      <c r="C11839" s="6">
        <v>2900</v>
      </c>
      <c r="D11839" s="7">
        <v>50.63</v>
      </c>
    </row>
    <row r="11840" spans="1:5" x14ac:dyDescent="0.25">
      <c r="A11840" t="str">
        <f>HYPERLINK("https://www.773grp.com/globalSearch/100125J-MIL/page-1", "100125J-MIL")</f>
        <v>100125J-MIL</v>
      </c>
      <c r="B11840" s="3" t="str">
        <f>HYPERLINK("https://www.773grp.com/manufacturer/national-semiconductor?pageNo=47", "National Semiconductor")</f>
        <v>National Semiconductor</v>
      </c>
      <c r="C11840" s="6">
        <v>284</v>
      </c>
      <c r="D11840" s="7">
        <v>50.63</v>
      </c>
    </row>
    <row r="11841" spans="1:5" x14ac:dyDescent="0.25">
      <c r="A11841" t="str">
        <f>HYPERLINK("https://www.773grp.com/globalSearch/DM7849J-883/page-1", "DM7849J-883")</f>
        <v>DM7849J-883</v>
      </c>
      <c r="B11841" s="3" t="str">
        <f>HYPERLINK("https://www.773grp.com/manufacturer/national-semiconductor?pageNo=48", "National Semiconductor")</f>
        <v>National Semiconductor</v>
      </c>
      <c r="C11841" s="6">
        <v>170</v>
      </c>
      <c r="D11841" s="7">
        <v>50.63</v>
      </c>
    </row>
    <row r="11842" spans="1:5" x14ac:dyDescent="0.25">
      <c r="A11842" t="str">
        <f>HYPERLINK("https://www.773grp.com/globalSearch/LF11333D/page-1", "LF11333D")</f>
        <v>LF11333D</v>
      </c>
      <c r="B11842" s="3" t="str">
        <f>HYPERLINK("https://www.773grp.com/manufacturer/national-semiconductor?pageNo=49", "National Semiconductor")</f>
        <v>National Semiconductor</v>
      </c>
      <c r="C11842" s="6">
        <v>288</v>
      </c>
      <c r="D11842" s="7">
        <v>50.63</v>
      </c>
      <c r="E11842" t="s">
        <v>56</v>
      </c>
    </row>
    <row r="11843" spans="1:5" x14ac:dyDescent="0.25">
      <c r="A11843" t="str">
        <f>HYPERLINK("https://www.773grp.com/globalSearch/ADC12DL066CIVS/page-1", "ADC12DL066CIVS")</f>
        <v>ADC12DL066CIVS</v>
      </c>
      <c r="B11843" s="3" t="str">
        <f>HYPERLINK("https://www.773grp.com/manufacturer/national-semiconductor?pageNo=50", "National Semiconductor")</f>
        <v>National Semiconductor</v>
      </c>
      <c r="C11843" s="6">
        <v>133</v>
      </c>
      <c r="D11843" s="7">
        <v>50.91</v>
      </c>
      <c r="E11843" t="s">
        <v>39</v>
      </c>
    </row>
    <row r="11844" spans="1:5" x14ac:dyDescent="0.25">
      <c r="A11844" t="str">
        <f>HYPERLINK("https://www.773grp.com/globalSearch/DP83848YB-NOPB/page-1", "DP83848YB-NOPB")</f>
        <v>DP83848YB-NOPB</v>
      </c>
      <c r="B11844" s="3" t="str">
        <f>HYPERLINK("https://www.773grp.com/manufacturer/national-semiconductor?pageNo=51", "National Semiconductor")</f>
        <v>National Semiconductor</v>
      </c>
      <c r="C11844" s="6">
        <v>915</v>
      </c>
      <c r="D11844" s="7">
        <v>50.91</v>
      </c>
      <c r="E11844" t="s">
        <v>55</v>
      </c>
    </row>
    <row r="11845" spans="1:5" x14ac:dyDescent="0.25">
      <c r="A11845" t="str">
        <f>HYPERLINK("https://www.773grp.com/globalSearch/JM38510-34104B2A/page-1", "JM38510-34104B2A")</f>
        <v>JM38510-34104B2A</v>
      </c>
      <c r="B11845" s="3" t="str">
        <f>HYPERLINK("https://www.773grp.com/manufacturer/national-semiconductor?pageNo=52", "National Semiconductor")</f>
        <v>National Semiconductor</v>
      </c>
      <c r="C11845" s="6">
        <v>250</v>
      </c>
      <c r="D11845" s="7">
        <v>50.91</v>
      </c>
      <c r="E11845" t="s">
        <v>35</v>
      </c>
    </row>
    <row r="11846" spans="1:5" x14ac:dyDescent="0.25">
      <c r="A11846" t="str">
        <f>HYPERLINK("https://www.773grp.com/globalSearch/JM38510-34401BEA/page-1", "JM38510-34401BEA")</f>
        <v>JM38510-34401BEA</v>
      </c>
      <c r="B11846" s="3" t="str">
        <f>HYPERLINK("https://www.773grp.com/manufacturer/national-semiconductor?pageNo=53", "National Semiconductor")</f>
        <v>National Semiconductor</v>
      </c>
      <c r="C11846" s="6">
        <v>418</v>
      </c>
      <c r="D11846" s="7">
        <v>50.91</v>
      </c>
    </row>
    <row r="11847" spans="1:5" x14ac:dyDescent="0.25">
      <c r="A11847" t="str">
        <f>HYPERLINK("https://www.773grp.com/globalSearch/JM38510-34402BEA/page-1", "JM38510-34402BEA")</f>
        <v>JM38510-34402BEA</v>
      </c>
      <c r="B11847" s="3" t="str">
        <f>HYPERLINK("https://www.773grp.com/manufacturer/national-semiconductor?pageNo=54", "National Semiconductor")</f>
        <v>National Semiconductor</v>
      </c>
      <c r="C11847" s="6">
        <v>3521</v>
      </c>
      <c r="D11847" s="7">
        <v>50.91</v>
      </c>
    </row>
    <row r="11848" spans="1:5" x14ac:dyDescent="0.25">
      <c r="A11848" t="str">
        <f>HYPERLINK("https://www.773grp.com/globalSearch/MM54HC4511E-883/page-1", "MM54HC4511E-883")</f>
        <v>MM54HC4511E-883</v>
      </c>
      <c r="B11848" s="3" t="str">
        <f>HYPERLINK("https://www.773grp.com/manufacturer/national-semiconductor?pageNo=55", "National Semiconductor")</f>
        <v>National Semiconductor</v>
      </c>
      <c r="C11848" s="6">
        <v>348</v>
      </c>
      <c r="D11848" s="7">
        <v>50.91</v>
      </c>
    </row>
    <row r="11849" spans="1:5" x14ac:dyDescent="0.25">
      <c r="A11849" t="str">
        <f>HYPERLINK("https://www.773grp.com/globalSearch/MM54HC573E-883/page-1", "MM54HC573E-883")</f>
        <v>MM54HC573E-883</v>
      </c>
      <c r="B11849" s="3" t="str">
        <f>HYPERLINK("https://www.773grp.com/manufacturer/national-semiconductor?pageNo=56", "National Semiconductor")</f>
        <v>National Semiconductor</v>
      </c>
      <c r="C11849" s="6">
        <v>32</v>
      </c>
      <c r="D11849" s="7">
        <v>50.91</v>
      </c>
    </row>
    <row r="11850" spans="1:5" x14ac:dyDescent="0.25">
      <c r="A11850" t="str">
        <f>HYPERLINK("https://www.773grp.com/globalSearch/MM54HC688E-883/page-1", "MM54HC688E-883")</f>
        <v>MM54HC688E-883</v>
      </c>
      <c r="B11850" s="3" t="str">
        <f>HYPERLINK("https://www.773grp.com/manufacturer/national-semiconductor?pageNo=57", "National Semiconductor")</f>
        <v>National Semiconductor</v>
      </c>
      <c r="C11850" s="6">
        <v>203</v>
      </c>
      <c r="D11850" s="7">
        <v>50.91</v>
      </c>
    </row>
    <row r="11851" spans="1:5" x14ac:dyDescent="0.25">
      <c r="A11851" t="str">
        <f>HYPERLINK("https://www.773grp.com/globalSearch/ADC12DL066CIVS-NOPB/page-1", "ADC12DL066CIVS-NOPB")</f>
        <v>ADC12DL066CIVS-NOPB</v>
      </c>
      <c r="B11851" s="3" t="str">
        <f>HYPERLINK("https://www.773grp.com/manufacturer/national-semiconductor?pageNo=58", "National Semiconductor")</f>
        <v>National Semiconductor</v>
      </c>
      <c r="C11851" s="6">
        <v>463</v>
      </c>
      <c r="D11851" s="7">
        <v>50.91</v>
      </c>
    </row>
    <row r="11852" spans="1:5" x14ac:dyDescent="0.25">
      <c r="A11852" t="str">
        <f>HYPERLINK("https://www.773grp.com/globalSearch/DP83848YB/page-1", "DP83848YB")</f>
        <v>DP83848YB</v>
      </c>
      <c r="B11852" s="3" t="str">
        <f>HYPERLINK("https://www.773grp.com/manufacturer/national-semiconductor?pageNo=59", "National Semiconductor")</f>
        <v>National Semiconductor</v>
      </c>
      <c r="C11852" s="6">
        <v>2139</v>
      </c>
      <c r="D11852" s="7">
        <v>50.91</v>
      </c>
    </row>
    <row r="11853" spans="1:5" x14ac:dyDescent="0.25">
      <c r="A11853" t="str">
        <f>HYPERLINK("https://www.773grp.com/globalSearch/DP83848YB-NOPB/page-1", "DP83848YB-NOPB")</f>
        <v>DP83848YB-NOPB</v>
      </c>
      <c r="B11853" s="3" t="str">
        <f>HYPERLINK("https://www.773grp.com/manufacturer/national-semiconductor?pageNo=60", "National Semiconductor")</f>
        <v>National Semiconductor</v>
      </c>
      <c r="C11853" s="6">
        <v>40</v>
      </c>
      <c r="D11853" s="7">
        <v>50.91</v>
      </c>
      <c r="E11853" t="s">
        <v>55</v>
      </c>
    </row>
    <row r="11854" spans="1:5" x14ac:dyDescent="0.25">
      <c r="A11854" t="str">
        <f>HYPERLINK("https://www.773grp.com/globalSearch/JM38510-07701BFA/page-1", "JM38510-07701BFA")</f>
        <v>JM38510-07701BFA</v>
      </c>
      <c r="B11854" s="3" t="str">
        <f>HYPERLINK("https://www.773grp.com/manufacturer/national-semiconductor?pageNo=61", "National Semiconductor")</f>
        <v>National Semiconductor</v>
      </c>
      <c r="C11854" s="6">
        <v>2292</v>
      </c>
      <c r="D11854" s="7">
        <v>51</v>
      </c>
      <c r="E11854" t="s">
        <v>36</v>
      </c>
    </row>
    <row r="11855" spans="1:5" x14ac:dyDescent="0.25">
      <c r="A11855" t="str">
        <f>HYPERLINK("https://www.773grp.com/globalSearch/JM38510-65203BCA/page-1", "JM38510-65203BCA")</f>
        <v>JM38510-65203BCA</v>
      </c>
      <c r="B11855" s="3" t="str">
        <f>HYPERLINK("https://www.773grp.com/manufacturer/national-semiconductor?pageNo=62", "National Semiconductor")</f>
        <v>National Semiconductor</v>
      </c>
      <c r="C11855" s="6">
        <v>101</v>
      </c>
      <c r="D11855" s="7">
        <v>51.05</v>
      </c>
      <c r="E11855" t="s">
        <v>31</v>
      </c>
    </row>
    <row r="11856" spans="1:5" x14ac:dyDescent="0.25">
      <c r="A11856" t="str">
        <f>HYPERLINK("https://www.773grp.com/globalSearch/DAC1219LCJ/page-1", "DAC1219LCJ")</f>
        <v>DAC1219LCJ</v>
      </c>
      <c r="B11856" s="3" t="str">
        <f>HYPERLINK("https://www.773grp.com/manufacturer/national-semiconductor?pageNo=63", "National Semiconductor")</f>
        <v>National Semiconductor</v>
      </c>
      <c r="C11856" s="6">
        <v>1449</v>
      </c>
      <c r="D11856" s="7">
        <v>51.19</v>
      </c>
      <c r="E11856" t="s">
        <v>33</v>
      </c>
    </row>
    <row r="11857" spans="1:5" x14ac:dyDescent="0.25">
      <c r="A11857" t="str">
        <f>HYPERLINK("https://www.773grp.com/globalSearch/LM98714BCMT-NOPB/page-1", "LM98714BCMT-NOPB")</f>
        <v>LM98714BCMT-NOPB</v>
      </c>
      <c r="B11857" s="3" t="str">
        <f>HYPERLINK("https://www.773grp.com/manufacturer/national-semiconductor?pageNo=64", "National Semiconductor")</f>
        <v>National Semiconductor</v>
      </c>
      <c r="C11857" s="6">
        <v>13</v>
      </c>
      <c r="D11857" s="7">
        <v>51.19</v>
      </c>
    </row>
    <row r="11858" spans="1:5" x14ac:dyDescent="0.25">
      <c r="A11858" t="str">
        <f>HYPERLINK("https://www.773grp.com/globalSearch/LM98714BCMT-NOPB/page-1", "LM98714BCMT-NOPB")</f>
        <v>LM98714BCMT-NOPB</v>
      </c>
      <c r="B11858" s="3" t="str">
        <f>HYPERLINK("https://www.773grp.com/manufacturer/national-semiconductor?pageNo=65", "National Semiconductor")</f>
        <v>National Semiconductor</v>
      </c>
      <c r="C11858" s="6">
        <v>7376</v>
      </c>
      <c r="D11858" s="7">
        <v>51.19</v>
      </c>
    </row>
    <row r="11859" spans="1:5" x14ac:dyDescent="0.25">
      <c r="A11859" t="str">
        <f>HYPERLINK("https://www.773grp.com/globalSearch/54F544LMQB/page-1", "54F544LMQB")</f>
        <v>54F544LMQB</v>
      </c>
      <c r="B11859" s="3" t="str">
        <f>HYPERLINK("https://www.773grp.com/manufacturer/national-semiconductor?pageNo=66", "National Semiconductor")</f>
        <v>National Semiconductor</v>
      </c>
      <c r="C11859" s="6">
        <v>231</v>
      </c>
      <c r="D11859" s="7">
        <v>51.3</v>
      </c>
      <c r="E11859" t="s">
        <v>14</v>
      </c>
    </row>
    <row r="11860" spans="1:5" x14ac:dyDescent="0.25">
      <c r="A11860" t="str">
        <f>HYPERLINK("https://www.773grp.com/globalSearch/54S112FM/page-1", "54S112FM")</f>
        <v>54S112FM</v>
      </c>
      <c r="B11860" s="3" t="str">
        <f>HYPERLINK("https://www.773grp.com/manufacturer/national-semiconductor?pageNo=67", "National Semiconductor")</f>
        <v>National Semiconductor</v>
      </c>
      <c r="C11860" s="6">
        <v>898</v>
      </c>
      <c r="D11860" s="7">
        <v>51.41</v>
      </c>
    </row>
    <row r="11861" spans="1:5" x14ac:dyDescent="0.25">
      <c r="A11861" t="str">
        <f>HYPERLINK("https://www.773grp.com/globalSearch/54S114FM/page-1", "54S114FM")</f>
        <v>54S114FM</v>
      </c>
      <c r="B11861" s="3" t="str">
        <f>HYPERLINK("https://www.773grp.com/manufacturer/national-semiconductor?pageNo=68", "National Semiconductor")</f>
        <v>National Semiconductor</v>
      </c>
      <c r="C11861" s="6">
        <v>2</v>
      </c>
      <c r="D11861" s="7">
        <v>51.41</v>
      </c>
    </row>
    <row r="11862" spans="1:5" x14ac:dyDescent="0.25">
      <c r="A11862" t="str">
        <f>HYPERLINK("https://www.773grp.com/globalSearch/LM98519VHB/page-1", "LM98519VHB")</f>
        <v>LM98519VHB</v>
      </c>
      <c r="B11862" s="3" t="str">
        <f>HYPERLINK("https://www.773grp.com/manufacturer/national-semiconductor?pageNo=69", "National Semiconductor")</f>
        <v>National Semiconductor</v>
      </c>
      <c r="C11862" s="6">
        <v>147</v>
      </c>
      <c r="D11862" s="7">
        <v>51.48</v>
      </c>
      <c r="E11862" t="s">
        <v>23</v>
      </c>
    </row>
    <row r="11863" spans="1:5" x14ac:dyDescent="0.25">
      <c r="A11863" t="str">
        <f>HYPERLINK("https://www.773grp.com/globalSearch/LM98519VHB-NOPB/page-1", "LM98519VHB-NOPB")</f>
        <v>LM98519VHB-NOPB</v>
      </c>
      <c r="B11863" s="3" t="str">
        <f>HYPERLINK("https://www.773grp.com/manufacturer/national-semiconductor?pageNo=70", "National Semiconductor")</f>
        <v>National Semiconductor</v>
      </c>
      <c r="C11863" s="6">
        <v>2380</v>
      </c>
      <c r="D11863" s="7">
        <v>51.48</v>
      </c>
    </row>
    <row r="11864" spans="1:5" x14ac:dyDescent="0.25">
      <c r="A11864" t="str">
        <f>HYPERLINK("https://www.773grp.com/globalSearch/LM98519VHB-NOPB/page-1", "LM98519VHB-NOPB")</f>
        <v>LM98519VHB-NOPB</v>
      </c>
      <c r="B11864" s="3" t="str">
        <f>HYPERLINK("https://www.773grp.com/manufacturer/national-semiconductor?pageNo=71", "National Semiconductor")</f>
        <v>National Semiconductor</v>
      </c>
      <c r="C11864" s="6">
        <v>195</v>
      </c>
      <c r="D11864" s="7">
        <v>51.48</v>
      </c>
    </row>
    <row r="11865" spans="1:5" x14ac:dyDescent="0.25">
      <c r="A11865" t="str">
        <f>HYPERLINK("https://www.773grp.com/globalSearch/LMZ14203EXTTZ-NOPB/page-1", "LMZ14203EXTTZ-NOPB")</f>
        <v>LMZ14203EXTTZ-NOPB</v>
      </c>
      <c r="B11865" s="3" t="str">
        <f>HYPERLINK("https://www.773grp.com/manufacturer/national-semiconductor?pageNo=72", "National Semiconductor")</f>
        <v>National Semiconductor</v>
      </c>
      <c r="C11865" s="6">
        <v>250</v>
      </c>
      <c r="D11865" s="7">
        <v>51.48</v>
      </c>
    </row>
    <row r="11866" spans="1:5" x14ac:dyDescent="0.25">
      <c r="A11866" t="str">
        <f>HYPERLINK("https://www.773grp.com/globalSearch/JL411BGA/page-1", "JL411BGA")</f>
        <v>JL411BGA</v>
      </c>
      <c r="B11866" s="3" t="str">
        <f>HYPERLINK("https://www.773grp.com/manufacturer/national-semiconductor?pageNo=73", "National Semiconductor")</f>
        <v>National Semiconductor</v>
      </c>
      <c r="C11866" s="6">
        <v>112</v>
      </c>
      <c r="D11866" s="7">
        <v>51.6</v>
      </c>
    </row>
    <row r="11867" spans="1:5" x14ac:dyDescent="0.25">
      <c r="A11867" t="str">
        <f>HYPERLINK("https://www.773grp.com/globalSearch/LMH0395SQE-NOPB/page-1", "LMH0395SQE-NOPB")</f>
        <v>LMH0395SQE-NOPB</v>
      </c>
      <c r="B11867" s="3" t="str">
        <f>HYPERLINK("https://www.773grp.com/manufacturer/national-semiconductor?pageNo=74", "National Semiconductor")</f>
        <v>National Semiconductor</v>
      </c>
      <c r="C11867" s="6">
        <v>240</v>
      </c>
      <c r="D11867" s="7">
        <v>51.6</v>
      </c>
    </row>
    <row r="11868" spans="1:5" x14ac:dyDescent="0.25">
      <c r="A11868" t="str">
        <f>HYPERLINK("https://www.773grp.com/globalSearch/LMH0395SQE-NOPB/page-1", "LMH0395SQE-NOPB")</f>
        <v>LMH0395SQE-NOPB</v>
      </c>
      <c r="B11868" s="3" t="str">
        <f>HYPERLINK("https://www.773grp.com/manufacturer/national-semiconductor?pageNo=75", "National Semiconductor")</f>
        <v>National Semiconductor</v>
      </c>
      <c r="C11868" s="6">
        <v>574</v>
      </c>
      <c r="D11868" s="7">
        <v>51.6</v>
      </c>
    </row>
    <row r="11869" spans="1:5" x14ac:dyDescent="0.25">
      <c r="A11869" t="str">
        <f>HYPERLINK("https://www.773grp.com/globalSearch/54S260LM/page-1", "54S260LM")</f>
        <v>54S260LM</v>
      </c>
      <c r="B11869" s="3" t="str">
        <f>HYPERLINK("https://www.773grp.com/manufacturer/national-semiconductor?pageNo=76", "National Semiconductor")</f>
        <v>National Semiconductor</v>
      </c>
      <c r="C11869" s="6">
        <v>39</v>
      </c>
      <c r="D11869" s="7">
        <v>51.68</v>
      </c>
    </row>
    <row r="11870" spans="1:5" x14ac:dyDescent="0.25">
      <c r="A11870" t="str">
        <f>HYPERLINK("https://www.773grp.com/globalSearch/CLC016AJQ/page-1", "CLC016AJQ")</f>
        <v>CLC016AJQ</v>
      </c>
      <c r="B11870" s="3" t="str">
        <f>HYPERLINK("https://www.773grp.com/manufacturer/national-semiconductor?pageNo=77", "National Semiconductor")</f>
        <v>National Semiconductor</v>
      </c>
      <c r="C11870" s="6">
        <v>7</v>
      </c>
      <c r="D11870" s="7">
        <v>51.75</v>
      </c>
      <c r="E11870" t="s">
        <v>67</v>
      </c>
    </row>
    <row r="11871" spans="1:5" x14ac:dyDescent="0.25">
      <c r="A11871" t="str">
        <f>HYPERLINK("https://www.773grp.com/globalSearch/CLC016AJQ-NOPB/page-1", "CLC016AJQ-NOPB")</f>
        <v>CLC016AJQ-NOPB</v>
      </c>
      <c r="B11871" s="3" t="str">
        <f>HYPERLINK("https://www.773grp.com/manufacturer/national-semiconductor?pageNo=78", "National Semiconductor")</f>
        <v>National Semiconductor</v>
      </c>
      <c r="C11871" s="6">
        <v>3699</v>
      </c>
      <c r="D11871" s="7">
        <v>51.75</v>
      </c>
      <c r="E11871" t="s">
        <v>67</v>
      </c>
    </row>
    <row r="11872" spans="1:5" x14ac:dyDescent="0.25">
      <c r="A11872" t="str">
        <f>HYPERLINK("https://www.773grp.com/globalSearch/MM54C30W-883/page-1", "MM54C30W-883")</f>
        <v>MM54C30W-883</v>
      </c>
      <c r="B11872" s="3" t="str">
        <f>HYPERLINK("https://www.773grp.com/manufacturer/national-semiconductor?pageNo=79", "National Semiconductor")</f>
        <v>National Semiconductor</v>
      </c>
      <c r="C11872" s="6">
        <v>139</v>
      </c>
      <c r="D11872" s="7">
        <v>51.75</v>
      </c>
    </row>
    <row r="11873" spans="1:5" x14ac:dyDescent="0.25">
      <c r="A11873" t="str">
        <f>HYPERLINK("https://www.773grp.com/globalSearch/93415FM/page-1", "93415FM")</f>
        <v>93415FM</v>
      </c>
      <c r="B11873" s="3" t="str">
        <f>HYPERLINK("https://www.773grp.com/manufacturer/national-semiconductor?pageNo=80", "National Semiconductor")</f>
        <v>National Semiconductor</v>
      </c>
      <c r="C11873" s="6">
        <v>6002</v>
      </c>
      <c r="D11873" s="7">
        <v>52.03</v>
      </c>
      <c r="E11873" t="s">
        <v>75</v>
      </c>
    </row>
    <row r="11874" spans="1:5" x14ac:dyDescent="0.25">
      <c r="A11874" t="str">
        <f>HYPERLINK("https://www.773grp.com/globalSearch/CD4528BMW-883/page-1", "CD4528BMW-883")</f>
        <v>CD4528BMW-883</v>
      </c>
      <c r="B11874" s="3" t="str">
        <f>HYPERLINK("https://www.773grp.com/manufacturer/national-semiconductor?pageNo=81", "National Semiconductor")</f>
        <v>National Semiconductor</v>
      </c>
      <c r="C11874" s="6">
        <v>176</v>
      </c>
      <c r="D11874" s="7">
        <v>52.03</v>
      </c>
      <c r="E11874" t="s">
        <v>54</v>
      </c>
    </row>
    <row r="11875" spans="1:5" x14ac:dyDescent="0.25">
      <c r="A11875" t="str">
        <f>HYPERLINK("https://www.773grp.com/globalSearch/COP8782CJ/page-1", "COP8782CJ")</f>
        <v>COP8782CJ</v>
      </c>
      <c r="B11875" s="3" t="str">
        <f>HYPERLINK("https://www.773grp.com/manufacturer/national-semiconductor?pageNo=82", "National Semiconductor")</f>
        <v>National Semiconductor</v>
      </c>
      <c r="C11875" s="6">
        <v>186</v>
      </c>
      <c r="D11875" s="7">
        <v>52.03</v>
      </c>
      <c r="E11875" t="s">
        <v>52</v>
      </c>
    </row>
    <row r="11876" spans="1:5" x14ac:dyDescent="0.25">
      <c r="A11876" t="str">
        <f>HYPERLINK("https://www.773grp.com/globalSearch/DM70L51W-883/page-1", "DM70L51W-883")</f>
        <v>DM70L51W-883</v>
      </c>
      <c r="B11876" s="3" t="str">
        <f>HYPERLINK("https://www.773grp.com/manufacturer/national-semiconductor?pageNo=83", "National Semiconductor")</f>
        <v>National Semiconductor</v>
      </c>
      <c r="C11876" s="6">
        <v>174</v>
      </c>
      <c r="D11876" s="7">
        <v>52.03</v>
      </c>
    </row>
    <row r="11877" spans="1:5" x14ac:dyDescent="0.25">
      <c r="A11877" t="str">
        <f>HYPERLINK("https://www.773grp.com/globalSearch/LM98620VHB-NOPB/page-1", "LM98620VHB-NOPB")</f>
        <v>LM98620VHB-NOPB</v>
      </c>
      <c r="B11877" s="3" t="str">
        <f>HYPERLINK("https://www.773grp.com/manufacturer/national-semiconductor?pageNo=84", "National Semiconductor")</f>
        <v>National Semiconductor</v>
      </c>
      <c r="C11877" s="6">
        <v>30</v>
      </c>
      <c r="D11877" s="7">
        <v>52.03</v>
      </c>
    </row>
    <row r="11878" spans="1:5" x14ac:dyDescent="0.25">
      <c r="A11878" t="str">
        <f>HYPERLINK("https://www.773grp.com/globalSearch/LMH0340SQ-NOPB/page-1", "LMH0340SQ-NOPB")</f>
        <v>LMH0340SQ-NOPB</v>
      </c>
      <c r="B11878" s="3" t="str">
        <f>HYPERLINK("https://www.773grp.com/manufacturer/national-semiconductor?pageNo=85", "National Semiconductor")</f>
        <v>National Semiconductor</v>
      </c>
      <c r="C11878" s="6">
        <v>3000</v>
      </c>
      <c r="D11878" s="7">
        <v>52.18</v>
      </c>
    </row>
    <row r="11879" spans="1:5" x14ac:dyDescent="0.25">
      <c r="A11879" t="str">
        <f>HYPERLINK("https://www.773grp.com/globalSearch/LMH0340SQ-NOPB/page-1", "LMH0340SQ-NOPB")</f>
        <v>LMH0340SQ-NOPB</v>
      </c>
      <c r="B11879" s="3" t="str">
        <f>HYPERLINK("https://www.773grp.com/manufacturer/national-semiconductor?pageNo=86", "National Semiconductor")</f>
        <v>National Semiconductor</v>
      </c>
      <c r="C11879" s="6">
        <v>8000</v>
      </c>
      <c r="D11879" s="7">
        <v>52.18</v>
      </c>
    </row>
    <row r="11880" spans="1:5" x14ac:dyDescent="0.25">
      <c r="A11880" t="str">
        <f>HYPERLINK("https://www.773grp.com/globalSearch/JM38510-07701BEA/page-1", "JM38510-07701BEA")</f>
        <v>JM38510-07701BEA</v>
      </c>
      <c r="B11880" s="3" t="str">
        <f>HYPERLINK("https://www.773grp.com/manufacturer/national-semiconductor?pageNo=87", "National Semiconductor")</f>
        <v>National Semiconductor</v>
      </c>
      <c r="C11880" s="6">
        <v>1899</v>
      </c>
      <c r="D11880" s="7">
        <v>52.23</v>
      </c>
      <c r="E11880" t="s">
        <v>36</v>
      </c>
    </row>
    <row r="11881" spans="1:5" x14ac:dyDescent="0.25">
      <c r="A11881" t="str">
        <f>HYPERLINK("https://www.773grp.com/globalSearch/PT86C768A2-B/page-1", "PT86C768A2-B")</f>
        <v>PT86C768A2-B</v>
      </c>
      <c r="B11881" s="3" t="str">
        <f>HYPERLINK("https://www.773grp.com/manufacturer/national-semiconductor?pageNo=88", "National Semiconductor")</f>
        <v>National Semiconductor</v>
      </c>
      <c r="C11881" s="6">
        <v>22211</v>
      </c>
      <c r="D11881" s="7">
        <v>52.23</v>
      </c>
    </row>
    <row r="11882" spans="1:5" x14ac:dyDescent="0.25">
      <c r="A11882" t="str">
        <f>HYPERLINK("https://www.773grp.com/globalSearch/LM309KSTEEL/page-1", "LM309KSTEEL")</f>
        <v>LM309KSTEEL</v>
      </c>
      <c r="B11882" s="3" t="str">
        <f>HYPERLINK("https://www.773grp.com/manufacturer/national-semiconductor?pageNo=89", "National Semiconductor")</f>
        <v>National Semiconductor</v>
      </c>
      <c r="C11882" s="6">
        <v>29</v>
      </c>
      <c r="D11882" s="7">
        <v>52.31</v>
      </c>
      <c r="E11882" t="s">
        <v>28</v>
      </c>
    </row>
    <row r="11883" spans="1:5" x14ac:dyDescent="0.25">
      <c r="A11883" t="str">
        <f>HYPERLINK("https://www.773grp.com/globalSearch/LM309KSTEEL-NOPB/page-1", "LM309KSTEEL-NOPB")</f>
        <v>LM309KSTEEL-NOPB</v>
      </c>
      <c r="B11883" s="3" t="str">
        <f>HYPERLINK("https://www.773grp.com/manufacturer/national-semiconductor?pageNo=90", "National Semiconductor")</f>
        <v>National Semiconductor</v>
      </c>
      <c r="C11883" s="6">
        <v>15</v>
      </c>
      <c r="D11883" s="7">
        <v>52.31</v>
      </c>
      <c r="E11883" t="s">
        <v>28</v>
      </c>
    </row>
    <row r="11884" spans="1:5" x14ac:dyDescent="0.25">
      <c r="A11884" t="str">
        <f>HYPERLINK("https://www.773grp.com/globalSearch/LMH0340SQE/page-1", "LMH0340SQE")</f>
        <v>LMH0340SQE</v>
      </c>
      <c r="B11884" s="3" t="str">
        <f>HYPERLINK("https://www.773grp.com/manufacturer/national-semiconductor?pageNo=91", "National Semiconductor")</f>
        <v>National Semiconductor</v>
      </c>
      <c r="C11884" s="6">
        <v>250</v>
      </c>
      <c r="D11884" s="7">
        <v>52.31</v>
      </c>
      <c r="E11884" t="s">
        <v>21</v>
      </c>
    </row>
    <row r="11885" spans="1:5" x14ac:dyDescent="0.25">
      <c r="A11885" t="str">
        <f>HYPERLINK("https://www.773grp.com/globalSearch/DP83222V/page-1", "DP83222V")</f>
        <v>DP83222V</v>
      </c>
      <c r="B11885" s="3" t="str">
        <f>HYPERLINK("https://www.773grp.com/manufacturer/national-semiconductor?pageNo=92", "National Semiconductor")</f>
        <v>National Semiconductor</v>
      </c>
      <c r="C11885" s="6">
        <v>6364</v>
      </c>
      <c r="D11885" s="7">
        <v>52.6</v>
      </c>
      <c r="E11885" t="s">
        <v>67</v>
      </c>
    </row>
    <row r="11886" spans="1:5" x14ac:dyDescent="0.25">
      <c r="A11886" t="str">
        <f>HYPERLINK("https://www.773grp.com/globalSearch/LM117KSTEEL-NOPB/page-1", "LM117KSTEEL-NOPB")</f>
        <v>LM117KSTEEL-NOPB</v>
      </c>
      <c r="B11886" s="3" t="str">
        <f>HYPERLINK("https://www.773grp.com/manufacturer/national-semiconductor?pageNo=93", "National Semiconductor")</f>
        <v>National Semiconductor</v>
      </c>
      <c r="C11886" s="6">
        <v>348</v>
      </c>
      <c r="D11886" s="7">
        <v>52.6</v>
      </c>
      <c r="E11886" t="s">
        <v>22</v>
      </c>
    </row>
    <row r="11887" spans="1:5" x14ac:dyDescent="0.25">
      <c r="A11887" t="str">
        <f>HYPERLINK("https://www.773grp.com/globalSearch/LM323KSTEEL/page-1", "LM323KSTEEL")</f>
        <v>LM323KSTEEL</v>
      </c>
      <c r="B11887" s="3" t="str">
        <f>HYPERLINK("https://www.773grp.com/manufacturer/national-semiconductor?pageNo=94", "National Semiconductor")</f>
        <v>National Semiconductor</v>
      </c>
      <c r="C11887" s="6">
        <v>71</v>
      </c>
      <c r="D11887" s="7">
        <v>52.6</v>
      </c>
      <c r="E11887" t="s">
        <v>28</v>
      </c>
    </row>
    <row r="11888" spans="1:5" x14ac:dyDescent="0.25">
      <c r="A11888" t="str">
        <f>HYPERLINK("https://www.773grp.com/globalSearch/LM323KSTEEL-NOPB/page-1", "LM323KSTEEL-NOPB")</f>
        <v>LM323KSTEEL-NOPB</v>
      </c>
      <c r="B11888" s="3" t="str">
        <f>HYPERLINK("https://www.773grp.com/manufacturer/national-semiconductor?pageNo=95", "National Semiconductor")</f>
        <v>National Semiconductor</v>
      </c>
      <c r="C11888" s="6">
        <v>3</v>
      </c>
      <c r="D11888" s="7">
        <v>52.6</v>
      </c>
    </row>
    <row r="11889" spans="1:5" x14ac:dyDescent="0.25">
      <c r="A11889" t="str">
        <f>HYPERLINK("https://www.773grp.com/globalSearch/CP3UB26G18NEP-NOPB/page-1", "CP3UB26G18NEP-NOPB")</f>
        <v>CP3UB26G18NEP-NOPB</v>
      </c>
      <c r="B11889" s="3" t="str">
        <f>HYPERLINK("https://www.773grp.com/manufacturer/national-semiconductor?pageNo=96", "National Semiconductor")</f>
        <v>National Semiconductor</v>
      </c>
      <c r="C11889" s="6">
        <v>367</v>
      </c>
      <c r="D11889" s="7">
        <v>52.6</v>
      </c>
    </row>
    <row r="11890" spans="1:5" x14ac:dyDescent="0.25">
      <c r="A11890" t="str">
        <f>HYPERLINK("https://www.773grp.com/globalSearch/CP3UB26Y98AWM-NOPB/page-1", "CP3UB26Y98AWM-NOPB")</f>
        <v>CP3UB26Y98AWM-NOPB</v>
      </c>
      <c r="B11890" s="3" t="str">
        <f>HYPERLINK("https://www.773grp.com/manufacturer/national-semiconductor?pageNo=97", "National Semiconductor")</f>
        <v>National Semiconductor</v>
      </c>
      <c r="C11890" s="6">
        <v>600</v>
      </c>
      <c r="D11890" s="7">
        <v>52.6</v>
      </c>
    </row>
    <row r="11891" spans="1:5" x14ac:dyDescent="0.25">
      <c r="A11891" t="str">
        <f>HYPERLINK("https://www.773grp.com/globalSearch/LM1575K-12-883C/page-1", "LM1575K-12-883C")</f>
        <v>LM1575K-12-883C</v>
      </c>
      <c r="B11891" s="3" t="str">
        <f>HYPERLINK("https://www.773grp.com/manufacturer/national-semiconductor?pageNo=98", "National Semiconductor")</f>
        <v>National Semiconductor</v>
      </c>
      <c r="C11891" s="6">
        <v>517</v>
      </c>
      <c r="D11891" s="7">
        <v>52.88</v>
      </c>
    </row>
    <row r="11892" spans="1:5" x14ac:dyDescent="0.25">
      <c r="A11892" t="str">
        <f>HYPERLINK("https://www.773grp.com/globalSearch/LM1575K-12-883QF/page-1", "LM1575K-12-883QF")</f>
        <v>LM1575K-12-883QF</v>
      </c>
      <c r="B11892" s="3" t="str">
        <f>HYPERLINK("https://www.773grp.com/manufacturer/national-semiconductor?pageNo=99", "National Semiconductor")</f>
        <v>National Semiconductor</v>
      </c>
      <c r="C11892" s="6">
        <v>100</v>
      </c>
      <c r="D11892" s="7">
        <v>52.88</v>
      </c>
    </row>
    <row r="11893" spans="1:5" x14ac:dyDescent="0.25">
      <c r="A11893" t="str">
        <f>HYPERLINK("https://www.773grp.com/globalSearch/LM1575K-15-883C/page-1", "LM1575K-15-883C")</f>
        <v>LM1575K-15-883C</v>
      </c>
      <c r="B11893" s="3" t="str">
        <f>HYPERLINK("https://www.773grp.com/manufacturer/national-semiconductor?pageNo=100", "National Semiconductor")</f>
        <v>National Semiconductor</v>
      </c>
      <c r="C11893" s="6">
        <v>758</v>
      </c>
      <c r="D11893" s="7">
        <v>52.88</v>
      </c>
    </row>
    <row r="11894" spans="1:5" x14ac:dyDescent="0.25">
      <c r="A11894" t="str">
        <f>HYPERLINK("https://www.773grp.com/globalSearch/LM337HVKSTEEL/page-1", "LM337HVKSTEEL")</f>
        <v>LM337HVKSTEEL</v>
      </c>
      <c r="B11894" s="3" t="str">
        <f>HYPERLINK("https://www.773grp.com/manufacturer/national-semiconductor?pageNo=101", "National Semiconductor")</f>
        <v>National Semiconductor</v>
      </c>
      <c r="C11894" s="6">
        <v>4</v>
      </c>
      <c r="D11894" s="7">
        <v>52.88</v>
      </c>
      <c r="E11894" t="s">
        <v>37</v>
      </c>
    </row>
    <row r="11895" spans="1:5" x14ac:dyDescent="0.25">
      <c r="A11895" t="str">
        <f>HYPERLINK("https://www.773grp.com/globalSearch/LMZ14203EXTTZE-NOPB/page-1", "LMZ14203EXTTZE-NOPB")</f>
        <v>LMZ14203EXTTZE-NOPB</v>
      </c>
      <c r="B11895" s="3" t="str">
        <f>HYPERLINK("https://www.773grp.com/manufacturer/national-semiconductor?pageNo=102", "National Semiconductor")</f>
        <v>National Semiconductor</v>
      </c>
      <c r="C11895" s="6">
        <v>85</v>
      </c>
      <c r="D11895" s="7">
        <v>52.88</v>
      </c>
      <c r="E11895" t="s">
        <v>7</v>
      </c>
    </row>
    <row r="11896" spans="1:5" x14ac:dyDescent="0.25">
      <c r="A11896" t="str">
        <f>HYPERLINK("https://www.773grp.com/globalSearch/LMZ14203EXTTZE-NOPB/page-1", "LMZ14203EXTTZE-NOPB")</f>
        <v>LMZ14203EXTTZE-NOPB</v>
      </c>
      <c r="B11896" s="3" t="str">
        <f>HYPERLINK("https://www.773grp.com/manufacturer/national-semiconductor?pageNo=103", "National Semiconductor")</f>
        <v>National Semiconductor</v>
      </c>
      <c r="C11896" s="6">
        <v>10</v>
      </c>
      <c r="D11896" s="7">
        <v>52.88</v>
      </c>
      <c r="E11896" t="s">
        <v>7</v>
      </c>
    </row>
    <row r="11897" spans="1:5" x14ac:dyDescent="0.25">
      <c r="A11897" t="str">
        <f>HYPERLINK("https://www.773grp.com/globalSearch/DP8570AVX/page-1", "DP8570AVX")</f>
        <v>DP8570AVX</v>
      </c>
      <c r="B11897" s="3" t="str">
        <f>HYPERLINK("https://www.773grp.com/manufacturer/national-semiconductor?pageNo=104", "National Semiconductor")</f>
        <v>National Semiconductor</v>
      </c>
      <c r="C11897" s="6">
        <v>3600</v>
      </c>
      <c r="D11897" s="7">
        <v>52.9</v>
      </c>
      <c r="E11897" t="s">
        <v>82</v>
      </c>
    </row>
    <row r="11898" spans="1:5" x14ac:dyDescent="0.25">
      <c r="A11898" t="str">
        <f>HYPERLINK("https://www.773grp.com/globalSearch/54160FM/page-1", "54160FM")</f>
        <v>54160FM</v>
      </c>
      <c r="B11898" s="3" t="str">
        <f>HYPERLINK("https://www.773grp.com/manufacturer/national-semiconductor?pageNo=105", "National Semiconductor")</f>
        <v>National Semiconductor</v>
      </c>
      <c r="C11898" s="6">
        <v>285</v>
      </c>
      <c r="D11898" s="7">
        <v>53.1</v>
      </c>
    </row>
    <row r="11899" spans="1:5" x14ac:dyDescent="0.25">
      <c r="A11899" t="str">
        <f>HYPERLINK("https://www.773grp.com/globalSearch/54F189LLQB/page-1", "54F189LLQB")</f>
        <v>54F189LLQB</v>
      </c>
      <c r="B11899" s="3" t="str">
        <f>HYPERLINK("https://www.773grp.com/manufacturer/national-semiconductor?pageNo=106", "National Semiconductor")</f>
        <v>National Semiconductor</v>
      </c>
      <c r="C11899" s="6">
        <v>451</v>
      </c>
      <c r="D11899" s="7">
        <v>53.1</v>
      </c>
      <c r="E11899" t="s">
        <v>75</v>
      </c>
    </row>
    <row r="11900" spans="1:5" x14ac:dyDescent="0.25">
      <c r="A11900" t="str">
        <f>HYPERLINK("https://www.773grp.com/globalSearch/961HM/page-1", "961HM")</f>
        <v>961HM</v>
      </c>
      <c r="B11900" s="3" t="str">
        <f>HYPERLINK("https://www.773grp.com/manufacturer/national-semiconductor?pageNo=107", "National Semiconductor")</f>
        <v>National Semiconductor</v>
      </c>
      <c r="C11900" s="6">
        <v>146</v>
      </c>
      <c r="D11900" s="7">
        <v>53.1</v>
      </c>
    </row>
    <row r="11901" spans="1:5" x14ac:dyDescent="0.25">
      <c r="A11901" t="str">
        <f>HYPERLINK("https://www.773grp.com/globalSearch/963HM/page-1", "963HM")</f>
        <v>963HM</v>
      </c>
      <c r="B11901" s="3" t="str">
        <f>HYPERLINK("https://www.773grp.com/manufacturer/national-semiconductor?pageNo=108", "National Semiconductor")</f>
        <v>National Semiconductor</v>
      </c>
      <c r="C11901" s="6">
        <v>483</v>
      </c>
      <c r="D11901" s="7">
        <v>53.1</v>
      </c>
    </row>
    <row r="11902" spans="1:5" x14ac:dyDescent="0.25">
      <c r="A11902" t="str">
        <f>HYPERLINK("https://www.773grp.com/globalSearch/100181FC/page-1", "100181FC")</f>
        <v>100181FC</v>
      </c>
      <c r="B11902" s="3" t="str">
        <f>HYPERLINK("https://www.773grp.com/manufacturer/national-semiconductor?pageNo=109", "National Semiconductor")</f>
        <v>National Semiconductor</v>
      </c>
      <c r="C11902" s="6">
        <v>265</v>
      </c>
      <c r="D11902" s="7">
        <v>53.13</v>
      </c>
      <c r="E11902" t="s">
        <v>43</v>
      </c>
    </row>
    <row r="11903" spans="1:5" x14ac:dyDescent="0.25">
      <c r="A11903" t="str">
        <f>HYPERLINK("https://www.773grp.com/globalSearch/5962-8687701Q2A/page-1", "5962-8687701Q2A")</f>
        <v>5962-8687701Q2A</v>
      </c>
      <c r="B11903" s="3" t="str">
        <f>HYPERLINK("https://www.773grp.com/manufacturer/national-semiconductor?pageNo=110", "National Semiconductor")</f>
        <v>National Semiconductor</v>
      </c>
      <c r="C11903" s="6">
        <v>27</v>
      </c>
      <c r="D11903" s="7">
        <v>53.16</v>
      </c>
      <c r="E11903" t="s">
        <v>9</v>
      </c>
    </row>
    <row r="11904" spans="1:5" x14ac:dyDescent="0.25">
      <c r="A11904" t="str">
        <f>HYPERLINK("https://www.773grp.com/globalSearch/JD54F160BEA/page-1", "JD54F160BEA")</f>
        <v>JD54F160BEA</v>
      </c>
      <c r="B11904" s="3" t="str">
        <f>HYPERLINK("https://www.773grp.com/manufacturer/national-semiconductor?pageNo=111", "National Semiconductor")</f>
        <v>National Semiconductor</v>
      </c>
      <c r="C11904" s="6">
        <v>249</v>
      </c>
      <c r="D11904" s="7">
        <v>53.16</v>
      </c>
    </row>
    <row r="11905" spans="1:5" x14ac:dyDescent="0.25">
      <c r="A11905" t="str">
        <f>HYPERLINK("https://www.773grp.com/globalSearch/LM111E-883/page-1", "LM111E-883")</f>
        <v>LM111E-883</v>
      </c>
      <c r="B11905" s="3" t="str">
        <f>HYPERLINK("https://www.773grp.com/manufacturer/national-semiconductor?pageNo=112", "National Semiconductor")</f>
        <v>National Semiconductor</v>
      </c>
      <c r="C11905" s="6">
        <v>15</v>
      </c>
      <c r="D11905" s="7">
        <v>53.16</v>
      </c>
      <c r="E11905" t="s">
        <v>9</v>
      </c>
    </row>
    <row r="11906" spans="1:5" x14ac:dyDescent="0.25">
      <c r="A11906" t="str">
        <f>HYPERLINK("https://www.773grp.com/globalSearch/LM2825HN-ADJ-NOPB/page-1", "LM2825HN-ADJ-NOPB")</f>
        <v>LM2825HN-ADJ-NOPB</v>
      </c>
      <c r="B11906" s="3" t="str">
        <f>HYPERLINK("https://www.773grp.com/manufacturer/national-semiconductor?pageNo=113", "National Semiconductor")</f>
        <v>National Semiconductor</v>
      </c>
      <c r="C11906" s="6">
        <v>172</v>
      </c>
      <c r="D11906" s="7">
        <v>53.16</v>
      </c>
    </row>
    <row r="11907" spans="1:5" x14ac:dyDescent="0.25">
      <c r="A11907" t="str">
        <f>HYPERLINK("https://www.773grp.com/globalSearch/LM2825N-12-NOPB/page-1", "LM2825N-12-NOPB")</f>
        <v>LM2825N-12-NOPB</v>
      </c>
      <c r="B11907" s="3" t="str">
        <f>HYPERLINK("https://www.773grp.com/manufacturer/national-semiconductor?pageNo=114", "National Semiconductor")</f>
        <v>National Semiconductor</v>
      </c>
      <c r="C11907" s="6">
        <v>71</v>
      </c>
      <c r="D11907" s="7">
        <v>53.16</v>
      </c>
    </row>
    <row r="11908" spans="1:5" x14ac:dyDescent="0.25">
      <c r="A11908" t="str">
        <f>HYPERLINK("https://www.773grp.com/globalSearch/LM2825N-3.3-NOPB/page-1", "LM2825N-3.3-NOPB")</f>
        <v>LM2825N-3.3-NOPB</v>
      </c>
      <c r="B11908" s="3" t="str">
        <f>HYPERLINK("https://www.773grp.com/manufacturer/national-semiconductor?pageNo=115", "National Semiconductor")</f>
        <v>National Semiconductor</v>
      </c>
      <c r="C11908" s="6">
        <v>233</v>
      </c>
      <c r="D11908" s="7">
        <v>53.16</v>
      </c>
      <c r="E11908" t="s">
        <v>7</v>
      </c>
    </row>
    <row r="11909" spans="1:5" x14ac:dyDescent="0.25">
      <c r="A11909" t="str">
        <f>HYPERLINK("https://www.773grp.com/globalSearch/LM2825N-5.0-NOPB/page-1", "LM2825N-5.0-NOPB")</f>
        <v>LM2825N-5.0-NOPB</v>
      </c>
      <c r="B11909" s="3" t="str">
        <f>HYPERLINK("https://www.773grp.com/manufacturer/national-semiconductor?pageNo=116", "National Semiconductor")</f>
        <v>National Semiconductor</v>
      </c>
      <c r="C11909" s="6">
        <v>26</v>
      </c>
      <c r="D11909" s="7">
        <v>53.16</v>
      </c>
      <c r="E11909" t="s">
        <v>7</v>
      </c>
    </row>
    <row r="11910" spans="1:5" x14ac:dyDescent="0.25">
      <c r="A11910" t="str">
        <f>HYPERLINK("https://www.773grp.com/globalSearch/LM2825N-ADJ-NOPB/page-1", "LM2825N-ADJ-NOPB")</f>
        <v>LM2825N-ADJ-NOPB</v>
      </c>
      <c r="B11910" s="3" t="str">
        <f>HYPERLINK("https://www.773grp.com/manufacturer/national-semiconductor?pageNo=117", "National Semiconductor")</f>
        <v>National Semiconductor</v>
      </c>
      <c r="C11910" s="6">
        <v>22</v>
      </c>
      <c r="D11910" s="7">
        <v>53.16</v>
      </c>
    </row>
    <row r="11911" spans="1:5" x14ac:dyDescent="0.25">
      <c r="A11911" t="str">
        <f>HYPERLINK("https://www.773grp.com/globalSearch/LM2825HN-ADJ-NOPB/page-1", "LM2825HN-ADJ-NOPB")</f>
        <v>LM2825HN-ADJ-NOPB</v>
      </c>
      <c r="B11911" s="3" t="str">
        <f>HYPERLINK("https://www.773grp.com/manufacturer/national-semiconductor?pageNo=118", "National Semiconductor")</f>
        <v>National Semiconductor</v>
      </c>
      <c r="C11911" s="6">
        <v>217</v>
      </c>
      <c r="D11911" s="7">
        <v>53.16</v>
      </c>
    </row>
    <row r="11912" spans="1:5" x14ac:dyDescent="0.25">
      <c r="A11912" t="str">
        <f>HYPERLINK("https://www.773grp.com/globalSearch/LM2825N-12-NOPB/page-1", "LM2825N-12-NOPB")</f>
        <v>LM2825N-12-NOPB</v>
      </c>
      <c r="B11912" s="3" t="str">
        <f>HYPERLINK("https://www.773grp.com/manufacturer/national-semiconductor?pageNo=119", "National Semiconductor")</f>
        <v>National Semiconductor</v>
      </c>
      <c r="C11912" s="6">
        <v>277</v>
      </c>
      <c r="D11912" s="7">
        <v>53.16</v>
      </c>
    </row>
    <row r="11913" spans="1:5" x14ac:dyDescent="0.25">
      <c r="A11913" t="str">
        <f>HYPERLINK("https://www.773grp.com/globalSearch/LM2825N-3.3-NOPB/page-1", "LM2825N-3.3-NOPB")</f>
        <v>LM2825N-3.3-NOPB</v>
      </c>
      <c r="B11913" s="3" t="str">
        <f>HYPERLINK("https://www.773grp.com/manufacturer/national-semiconductor?pageNo=120", "National Semiconductor")</f>
        <v>National Semiconductor</v>
      </c>
      <c r="C11913" s="6">
        <v>219</v>
      </c>
      <c r="D11913" s="7">
        <v>53.16</v>
      </c>
      <c r="E11913" t="s">
        <v>7</v>
      </c>
    </row>
    <row r="11914" spans="1:5" x14ac:dyDescent="0.25">
      <c r="A11914" t="str">
        <f>HYPERLINK("https://www.773grp.com/globalSearch/LM2825N-5.0-NOPB/page-1", "LM2825N-5.0-NOPB")</f>
        <v>LM2825N-5.0-NOPB</v>
      </c>
      <c r="B11914" s="3" t="str">
        <f>HYPERLINK("https://www.773grp.com/manufacturer/national-semiconductor?pageNo=121", "National Semiconductor")</f>
        <v>National Semiconductor</v>
      </c>
      <c r="C11914" s="6">
        <v>212</v>
      </c>
      <c r="D11914" s="7">
        <v>53.16</v>
      </c>
      <c r="E11914" t="s">
        <v>7</v>
      </c>
    </row>
    <row r="11915" spans="1:5" x14ac:dyDescent="0.25">
      <c r="A11915" t="str">
        <f>HYPERLINK("https://www.773grp.com/globalSearch/LM2825N-ADJ-NOPB/page-1", "LM2825N-ADJ-NOPB")</f>
        <v>LM2825N-ADJ-NOPB</v>
      </c>
      <c r="B11915" s="3" t="str">
        <f>HYPERLINK("https://www.773grp.com/manufacturer/national-semiconductor?pageNo=122", "National Semiconductor")</f>
        <v>National Semiconductor</v>
      </c>
      <c r="C11915" s="6">
        <v>247</v>
      </c>
      <c r="D11915" s="7">
        <v>53.16</v>
      </c>
    </row>
    <row r="11916" spans="1:5" x14ac:dyDescent="0.25">
      <c r="A11916" t="str">
        <f>HYPERLINK("https://www.773grp.com/globalSearch/54198FMQB/page-1", "54198FMQB")</f>
        <v>54198FMQB</v>
      </c>
      <c r="B11916" s="3" t="str">
        <f>HYPERLINK("https://www.773grp.com/manufacturer/national-semiconductor?pageNo=123", "National Semiconductor")</f>
        <v>National Semiconductor</v>
      </c>
      <c r="C11916" s="6">
        <v>197</v>
      </c>
      <c r="D11916" s="7">
        <v>53.19</v>
      </c>
    </row>
    <row r="11917" spans="1:5" x14ac:dyDescent="0.25">
      <c r="A11917" t="str">
        <f>HYPERLINK("https://www.773grp.com/globalSearch/100102J-MIL/page-1", "100102J-MIL")</f>
        <v>100102J-MIL</v>
      </c>
      <c r="B11917" s="3" t="str">
        <f>HYPERLINK("https://www.773grp.com/manufacturer/national-semiconductor?pageNo=124", "National Semiconductor")</f>
        <v>National Semiconductor</v>
      </c>
      <c r="C11917" s="6">
        <v>650</v>
      </c>
      <c r="D11917" s="7">
        <v>53.44</v>
      </c>
    </row>
    <row r="11918" spans="1:5" x14ac:dyDescent="0.25">
      <c r="A11918" t="str">
        <f>HYPERLINK("https://www.773grp.com/globalSearch/100114W-MIL/page-1", "100114W-MIL")</f>
        <v>100114W-MIL</v>
      </c>
      <c r="B11918" s="3" t="str">
        <f>HYPERLINK("https://www.773grp.com/manufacturer/national-semiconductor?pageNo=125", "National Semiconductor")</f>
        <v>National Semiconductor</v>
      </c>
      <c r="C11918" s="6">
        <v>465</v>
      </c>
      <c r="D11918" s="7">
        <v>53.44</v>
      </c>
    </row>
    <row r="11919" spans="1:5" x14ac:dyDescent="0.25">
      <c r="A11919" t="str">
        <f>HYPERLINK("https://www.773grp.com/globalSearch/100117W-MIL/page-1", "100117W-MIL")</f>
        <v>100117W-MIL</v>
      </c>
      <c r="B11919" s="3" t="str">
        <f>HYPERLINK("https://www.773grp.com/manufacturer/national-semiconductor?pageNo=126", "National Semiconductor")</f>
        <v>National Semiconductor</v>
      </c>
      <c r="C11919" s="6">
        <v>301</v>
      </c>
      <c r="D11919" s="7">
        <v>53.44</v>
      </c>
    </row>
    <row r="11920" spans="1:5" x14ac:dyDescent="0.25">
      <c r="A11920" t="str">
        <f>HYPERLINK("https://www.773grp.com/globalSearch/93425DMQB40/page-1", "93425DMQB40")</f>
        <v>93425DMQB40</v>
      </c>
      <c r="B11920" s="3" t="str">
        <f>HYPERLINK("https://www.773grp.com/manufacturer/national-semiconductor?pageNo=127", "National Semiconductor")</f>
        <v>National Semiconductor</v>
      </c>
      <c r="C11920" s="6">
        <v>209</v>
      </c>
      <c r="D11920" s="7">
        <v>53.44</v>
      </c>
    </row>
    <row r="11921" spans="1:5" x14ac:dyDescent="0.25">
      <c r="A11921" t="str">
        <f>HYPERLINK("https://www.773grp.com/globalSearch/ADC12DC080CISQE/page-1", "ADC12DC080CISQE")</f>
        <v>ADC12DC080CISQE</v>
      </c>
      <c r="B11921" s="3" t="str">
        <f>HYPERLINK("https://www.773grp.com/manufacturer/national-semiconductor?pageNo=128", "National Semiconductor")</f>
        <v>National Semiconductor</v>
      </c>
      <c r="C11921" s="6">
        <v>495</v>
      </c>
      <c r="D11921" s="7">
        <v>53.44</v>
      </c>
      <c r="E11921" t="s">
        <v>39</v>
      </c>
    </row>
    <row r="11922" spans="1:5" x14ac:dyDescent="0.25">
      <c r="A11922" t="str">
        <f>HYPERLINK("https://www.773grp.com/globalSearch/CLC020BCQ/page-1", "CLC020BCQ")</f>
        <v>CLC020BCQ</v>
      </c>
      <c r="B11922" s="3" t="str">
        <f>HYPERLINK("https://www.773grp.com/manufacturer/national-semiconductor?pageNo=129", "National Semiconductor")</f>
        <v>National Semiconductor</v>
      </c>
      <c r="C11922" s="6">
        <v>10</v>
      </c>
      <c r="D11922" s="7">
        <v>53.44</v>
      </c>
      <c r="E11922" t="s">
        <v>23</v>
      </c>
    </row>
    <row r="11923" spans="1:5" x14ac:dyDescent="0.25">
      <c r="A11923" t="str">
        <f>HYPERLINK("https://www.773grp.com/globalSearch/CLC020BCQ-NOPB/page-1", "CLC020BCQ-NOPB")</f>
        <v>CLC020BCQ-NOPB</v>
      </c>
      <c r="B11923" s="3" t="str">
        <f>HYPERLINK("https://www.773grp.com/manufacturer/national-semiconductor?pageNo=130", "National Semiconductor")</f>
        <v>National Semiconductor</v>
      </c>
      <c r="C11923" s="6">
        <v>877</v>
      </c>
      <c r="D11923" s="7">
        <v>53.44</v>
      </c>
      <c r="E11923" t="s">
        <v>23</v>
      </c>
    </row>
    <row r="11924" spans="1:5" x14ac:dyDescent="0.25">
      <c r="A11924" t="str">
        <f>HYPERLINK("https://www.773grp.com/globalSearch/DM9602W-883/page-1", "DM9602W-883")</f>
        <v>DM9602W-883</v>
      </c>
      <c r="B11924" s="3" t="str">
        <f>HYPERLINK("https://www.773grp.com/manufacturer/national-semiconductor?pageNo=131", "National Semiconductor")</f>
        <v>National Semiconductor</v>
      </c>
      <c r="C11924" s="6">
        <v>13</v>
      </c>
      <c r="D11924" s="7">
        <v>53.44</v>
      </c>
      <c r="E11924" t="s">
        <v>54</v>
      </c>
    </row>
    <row r="11925" spans="1:5" x14ac:dyDescent="0.25">
      <c r="A11925" t="str">
        <f>HYPERLINK("https://www.773grp.com/globalSearch/JD5426BDA/page-1", "JD5426BDA")</f>
        <v>JD5426BDA</v>
      </c>
      <c r="B11925" s="3" t="str">
        <f>HYPERLINK("https://www.773grp.com/manufacturer/national-semiconductor?pageNo=132", "National Semiconductor")</f>
        <v>National Semiconductor</v>
      </c>
      <c r="C11925" s="6">
        <v>558</v>
      </c>
      <c r="D11925" s="7">
        <v>53.44</v>
      </c>
    </row>
    <row r="11926" spans="1:5" x14ac:dyDescent="0.25">
      <c r="A11926" t="str">
        <f>HYPERLINK("https://www.773grp.com/globalSearch/CLC020BCQ-NOPB/page-1", "CLC020BCQ-NOPB")</f>
        <v>CLC020BCQ-NOPB</v>
      </c>
      <c r="B11926" s="3" t="str">
        <f>HYPERLINK("https://www.773grp.com/manufacturer/national-semiconductor?pageNo=133", "National Semiconductor")</f>
        <v>National Semiconductor</v>
      </c>
      <c r="C11926" s="6">
        <v>3907</v>
      </c>
      <c r="D11926" s="7">
        <v>53.44</v>
      </c>
      <c r="E11926" t="s">
        <v>23</v>
      </c>
    </row>
    <row r="11927" spans="1:5" x14ac:dyDescent="0.25">
      <c r="A11927" t="str">
        <f>HYPERLINK("https://www.773grp.com/globalSearch/DS92LV1260TUJB-NOPB/page-1", "DS92LV1260TUJB-NOPB")</f>
        <v>DS92LV1260TUJB-NOPB</v>
      </c>
      <c r="B11927" s="3" t="str">
        <f>HYPERLINK("https://www.773grp.com/manufacturer/national-semiconductor?pageNo=134", "National Semiconductor")</f>
        <v>National Semiconductor</v>
      </c>
      <c r="C11927" s="6">
        <v>69</v>
      </c>
      <c r="D11927" s="7">
        <v>53.61</v>
      </c>
      <c r="E11927" t="s">
        <v>21</v>
      </c>
    </row>
    <row r="11928" spans="1:5" x14ac:dyDescent="0.25">
      <c r="A11928" t="str">
        <f>HYPERLINK("https://www.773grp.com/globalSearch/DS92LV1260TUJB-NOPB/page-1", "DS92LV1260TUJB-NOPB")</f>
        <v>DS92LV1260TUJB-NOPB</v>
      </c>
      <c r="B11928" s="3" t="str">
        <f>HYPERLINK("https://www.773grp.com/manufacturer/national-semiconductor?pageNo=1", "National Semiconductor")</f>
        <v>National Semiconductor</v>
      </c>
      <c r="C11928" s="6">
        <v>839</v>
      </c>
      <c r="D11928" s="7">
        <v>53.61</v>
      </c>
      <c r="E11928" t="s">
        <v>21</v>
      </c>
    </row>
    <row r="11929" spans="1:5" x14ac:dyDescent="0.25">
      <c r="A11929" t="str">
        <f>HYPERLINK("https://www.773grp.com/globalSearch/LM2853-1.8EVAL/page-1", "LM2853-1.8EVAL")</f>
        <v>LM2853-1.8EVAL</v>
      </c>
      <c r="B11929" s="3" t="str">
        <f>HYPERLINK("https://www.773grp.com/manufacturer/national-semiconductor?pageNo=2", "National Semiconductor")</f>
        <v>National Semiconductor</v>
      </c>
      <c r="C11929" s="6">
        <v>2</v>
      </c>
      <c r="D11929" s="7">
        <v>53.71</v>
      </c>
    </row>
    <row r="11930" spans="1:5" x14ac:dyDescent="0.25">
      <c r="A11930" t="str">
        <f>HYPERLINK("https://www.773grp.com/globalSearch/MM54HC299E-883/page-1", "MM54HC299E-883")</f>
        <v>MM54HC299E-883</v>
      </c>
      <c r="B11930" s="3" t="str">
        <f>HYPERLINK("https://www.773grp.com/manufacturer/national-semiconductor?pageNo=3", "National Semiconductor")</f>
        <v>National Semiconductor</v>
      </c>
      <c r="C11930" s="6">
        <v>17</v>
      </c>
      <c r="D11930" s="7">
        <v>53.71</v>
      </c>
    </row>
    <row r="11931" spans="1:5" x14ac:dyDescent="0.25">
      <c r="A11931" t="str">
        <f>HYPERLINK("https://www.773grp.com/globalSearch/SCAN921260UJB/page-1", "SCAN921260UJB")</f>
        <v>SCAN921260UJB</v>
      </c>
      <c r="B11931" s="3" t="str">
        <f>HYPERLINK("https://www.773grp.com/manufacturer/national-semiconductor?pageNo=4", "National Semiconductor")</f>
        <v>National Semiconductor</v>
      </c>
      <c r="C11931" s="6">
        <v>119</v>
      </c>
      <c r="D11931" s="7">
        <v>53.8</v>
      </c>
      <c r="E11931" t="s">
        <v>21</v>
      </c>
    </row>
    <row r="11932" spans="1:5" x14ac:dyDescent="0.25">
      <c r="A11932" t="str">
        <f>HYPERLINK("https://www.773grp.com/globalSearch/SCAN921260UJB-NOPB/page-1", "SCAN921260UJB-NOPB")</f>
        <v>SCAN921260UJB-NOPB</v>
      </c>
      <c r="B11932" s="3" t="str">
        <f>HYPERLINK("https://www.773grp.com/manufacturer/national-semiconductor?pageNo=5", "National Semiconductor")</f>
        <v>National Semiconductor</v>
      </c>
      <c r="C11932" s="6">
        <v>77</v>
      </c>
      <c r="D11932" s="7">
        <v>53.8</v>
      </c>
    </row>
    <row r="11933" spans="1:5" x14ac:dyDescent="0.25">
      <c r="A11933" t="str">
        <f>HYPERLINK("https://www.773grp.com/globalSearch/LM12458CIV/page-1", "LM12458CIV")</f>
        <v>LM12458CIV</v>
      </c>
      <c r="B11933" s="3" t="str">
        <f>HYPERLINK("https://www.773grp.com/manufacturer/national-semiconductor?pageNo=6", "National Semiconductor")</f>
        <v>National Semiconductor</v>
      </c>
      <c r="C11933" s="6">
        <v>1</v>
      </c>
      <c r="D11933" s="7">
        <v>54.05</v>
      </c>
      <c r="E11933" t="s">
        <v>40</v>
      </c>
    </row>
    <row r="11934" spans="1:5" x14ac:dyDescent="0.25">
      <c r="A11934" t="str">
        <f>HYPERLINK("https://www.773grp.com/globalSearch/LM12458CIV/page-1", "LM12458CIV")</f>
        <v>LM12458CIV</v>
      </c>
      <c r="B11934" s="3" t="str">
        <f>HYPERLINK("https://www.773grp.com/manufacturer/national-semiconductor?pageNo=7", "National Semiconductor")</f>
        <v>National Semiconductor</v>
      </c>
      <c r="C11934" s="6">
        <v>27</v>
      </c>
      <c r="D11934" s="7">
        <v>54.05</v>
      </c>
      <c r="E11934" t="s">
        <v>40</v>
      </c>
    </row>
    <row r="11935" spans="1:5" x14ac:dyDescent="0.25">
      <c r="A11935" t="str">
        <f>HYPERLINK("https://www.773grp.com/globalSearch/9318FM/page-1", "9318FM")</f>
        <v>9318FM</v>
      </c>
      <c r="B11935" s="3" t="str">
        <f>HYPERLINK("https://www.773grp.com/manufacturer/national-semiconductor?pageNo=8", "National Semiconductor")</f>
        <v>National Semiconductor</v>
      </c>
      <c r="C11935" s="6">
        <v>187</v>
      </c>
      <c r="D11935" s="7">
        <v>54.14</v>
      </c>
    </row>
    <row r="11936" spans="1:5" x14ac:dyDescent="0.25">
      <c r="A11936" t="str">
        <f>HYPERLINK("https://www.773grp.com/globalSearch/JM38510-33702B2A/page-1", "JM38510-33702B2A")</f>
        <v>JM38510-33702B2A</v>
      </c>
      <c r="B11936" s="3" t="str">
        <f>HYPERLINK("https://www.773grp.com/manufacturer/national-semiconductor?pageNo=9", "National Semiconductor")</f>
        <v>National Semiconductor</v>
      </c>
      <c r="C11936" s="6">
        <v>690</v>
      </c>
      <c r="D11936" s="7">
        <v>54.29</v>
      </c>
      <c r="E11936" t="s">
        <v>36</v>
      </c>
    </row>
    <row r="11937" spans="1:5" x14ac:dyDescent="0.25">
      <c r="A11937" t="str">
        <f>HYPERLINK("https://www.773grp.com/globalSearch/LM2940J-8.0-883/page-1", "LM2940J-8.0-883")</f>
        <v>LM2940J-8.0-883</v>
      </c>
      <c r="B11937" s="3" t="str">
        <f>HYPERLINK("https://www.773grp.com/manufacturer/national-semiconductor?pageNo=10", "National Semiconductor")</f>
        <v>National Semiconductor</v>
      </c>
      <c r="C11937" s="6">
        <v>150</v>
      </c>
      <c r="D11937" s="7">
        <v>54.29</v>
      </c>
      <c r="E11937" t="s">
        <v>19</v>
      </c>
    </row>
    <row r="11938" spans="1:5" x14ac:dyDescent="0.25">
      <c r="A11938" t="str">
        <f>HYPERLINK("https://www.773grp.com/globalSearch/LM12H458CIV/page-1", "LM12H458CIV")</f>
        <v>LM12H458CIV</v>
      </c>
      <c r="B11938" s="3" t="str">
        <f>HYPERLINK("https://www.773grp.com/manufacturer/national-semiconductor?pageNo=11", "National Semiconductor")</f>
        <v>National Semiconductor</v>
      </c>
      <c r="C11938" s="6">
        <v>275</v>
      </c>
      <c r="D11938" s="7">
        <v>54.39</v>
      </c>
      <c r="E11938" t="s">
        <v>40</v>
      </c>
    </row>
    <row r="11939" spans="1:5" x14ac:dyDescent="0.25">
      <c r="A11939" t="str">
        <f>HYPERLINK("https://www.773grp.com/globalSearch/LM12H458CIVF/page-1", "LM12H458CIVF")</f>
        <v>LM12H458CIVF</v>
      </c>
      <c r="B11939" s="3" t="str">
        <f>HYPERLINK("https://www.773grp.com/manufacturer/national-semiconductor?pageNo=12", "National Semiconductor")</f>
        <v>National Semiconductor</v>
      </c>
      <c r="C11939" s="6">
        <v>183</v>
      </c>
      <c r="D11939" s="7">
        <v>54.39</v>
      </c>
      <c r="E11939" t="s">
        <v>40</v>
      </c>
    </row>
    <row r="11940" spans="1:5" x14ac:dyDescent="0.25">
      <c r="A11940" t="str">
        <f>HYPERLINK("https://www.773grp.com/globalSearch/LM12L458CIV/page-1", "LM12L458CIV")</f>
        <v>LM12L458CIV</v>
      </c>
      <c r="B11940" s="3" t="str">
        <f>HYPERLINK("https://www.773grp.com/manufacturer/national-semiconductor?pageNo=13", "National Semiconductor")</f>
        <v>National Semiconductor</v>
      </c>
      <c r="C11940" s="6">
        <v>190</v>
      </c>
      <c r="D11940" s="7">
        <v>54.39</v>
      </c>
      <c r="E11940" t="s">
        <v>40</v>
      </c>
    </row>
    <row r="11941" spans="1:5" x14ac:dyDescent="0.25">
      <c r="A11941" t="str">
        <f>HYPERLINK("https://www.773grp.com/globalSearch/JM38510-34603BRA/page-1", "JM38510-34603BRA")</f>
        <v>JM38510-34603BRA</v>
      </c>
      <c r="B11941" s="3" t="str">
        <f>HYPERLINK("https://www.773grp.com/manufacturer/national-semiconductor?pageNo=14", "National Semiconductor")</f>
        <v>National Semiconductor</v>
      </c>
      <c r="C11941" s="6">
        <v>711</v>
      </c>
      <c r="D11941" s="7">
        <v>54.54</v>
      </c>
    </row>
    <row r="11942" spans="1:5" x14ac:dyDescent="0.25">
      <c r="A11942" t="str">
        <f>HYPERLINK("https://www.773grp.com/globalSearch/54199DM/page-1", "54199DM")</f>
        <v>54199DM</v>
      </c>
      <c r="B11942" s="3" t="str">
        <f>HYPERLINK("https://www.773grp.com/manufacturer/national-semiconductor?pageNo=15", "National Semiconductor")</f>
        <v>National Semiconductor</v>
      </c>
      <c r="C11942" s="6">
        <v>2917</v>
      </c>
      <c r="D11942" s="7">
        <v>54.59</v>
      </c>
    </row>
    <row r="11943" spans="1:5" x14ac:dyDescent="0.25">
      <c r="A11943" t="str">
        <f>HYPERLINK("https://www.773grp.com/globalSearch/CLC5956IMTD/page-1", "CLC5956IMTD")</f>
        <v>CLC5956IMTD</v>
      </c>
      <c r="B11943" s="3" t="str">
        <f>HYPERLINK("https://www.773grp.com/manufacturer/national-semiconductor?pageNo=16", "National Semiconductor")</f>
        <v>National Semiconductor</v>
      </c>
      <c r="C11943" s="6">
        <v>14086</v>
      </c>
      <c r="D11943" s="7">
        <v>54.68</v>
      </c>
      <c r="E11943" t="s">
        <v>39</v>
      </c>
    </row>
    <row r="11944" spans="1:5" x14ac:dyDescent="0.25">
      <c r="A11944" t="str">
        <f>HYPERLINK("https://www.773grp.com/globalSearch/5493AFMQB/page-1", "5493AFMQB")</f>
        <v>5493AFMQB</v>
      </c>
      <c r="B11944" s="3" t="str">
        <f>HYPERLINK("https://www.773grp.com/manufacturer/national-semiconductor?pageNo=17", "National Semiconductor")</f>
        <v>National Semiconductor</v>
      </c>
      <c r="C11944" s="6">
        <v>125</v>
      </c>
      <c r="D11944" s="7">
        <v>54.85</v>
      </c>
    </row>
    <row r="11945" spans="1:5" x14ac:dyDescent="0.25">
      <c r="A11945" t="str">
        <f>HYPERLINK("https://www.773grp.com/globalSearch/911HM/page-1", "911HM")</f>
        <v>911HM</v>
      </c>
      <c r="B11945" s="3" t="str">
        <f>HYPERLINK("https://www.773grp.com/manufacturer/national-semiconductor?pageNo=18", "National Semiconductor")</f>
        <v>National Semiconductor</v>
      </c>
      <c r="C11945" s="6">
        <v>49</v>
      </c>
      <c r="D11945" s="7">
        <v>54.85</v>
      </c>
      <c r="E11945" t="s">
        <v>31</v>
      </c>
    </row>
    <row r="11946" spans="1:5" x14ac:dyDescent="0.25">
      <c r="A11946" t="str">
        <f>HYPERLINK("https://www.773grp.com/globalSearch/DM70L54W-883/page-1", "DM70L54W-883")</f>
        <v>DM70L54W-883</v>
      </c>
      <c r="B11946" s="3" t="str">
        <f>HYPERLINK("https://www.773grp.com/manufacturer/national-semiconductor?pageNo=19", "National Semiconductor")</f>
        <v>National Semiconductor</v>
      </c>
      <c r="C11946" s="6">
        <v>10</v>
      </c>
      <c r="D11946" s="7">
        <v>54.85</v>
      </c>
    </row>
    <row r="11947" spans="1:5" x14ac:dyDescent="0.25">
      <c r="A11947" t="str">
        <f>HYPERLINK("https://www.773grp.com/globalSearch/JM54AC139BFA/page-1", "JM54AC139BFA")</f>
        <v>JM54AC139BFA</v>
      </c>
      <c r="B11947" s="3" t="str">
        <f>HYPERLINK("https://www.773grp.com/manufacturer/national-semiconductor?pageNo=20", "National Semiconductor")</f>
        <v>National Semiconductor</v>
      </c>
      <c r="C11947" s="6">
        <v>92</v>
      </c>
      <c r="D11947" s="7">
        <v>54.85</v>
      </c>
    </row>
    <row r="11948" spans="1:5" x14ac:dyDescent="0.25">
      <c r="A11948" t="str">
        <f>HYPERLINK("https://www.773grp.com/globalSearch/LMH0056SQ/page-1", "LMH0056SQ")</f>
        <v>LMH0056SQ</v>
      </c>
      <c r="B11948" s="3" t="str">
        <f>HYPERLINK("https://www.773grp.com/manufacturer/national-semiconductor?pageNo=21", "National Semiconductor")</f>
        <v>National Semiconductor</v>
      </c>
      <c r="C11948" s="6">
        <v>165</v>
      </c>
      <c r="D11948" s="7">
        <v>54.85</v>
      </c>
      <c r="E11948" t="s">
        <v>23</v>
      </c>
    </row>
    <row r="11949" spans="1:5" x14ac:dyDescent="0.25">
      <c r="A11949" t="str">
        <f>HYPERLINK("https://www.773grp.com/globalSearch/93S139DC/page-1", "93S139DC")</f>
        <v>93S139DC</v>
      </c>
      <c r="B11949" s="3" t="str">
        <f>HYPERLINK("https://www.773grp.com/manufacturer/national-semiconductor?pageNo=22", "National Semiconductor")</f>
        <v>National Semiconductor</v>
      </c>
      <c r="C11949" s="6">
        <v>141</v>
      </c>
      <c r="D11949" s="7">
        <v>54.98</v>
      </c>
    </row>
    <row r="11950" spans="1:5" x14ac:dyDescent="0.25">
      <c r="A11950" t="str">
        <f>HYPERLINK("https://www.773grp.com/globalSearch/CLC401AJ/page-1", "CLC401AJ")</f>
        <v>CLC401AJ</v>
      </c>
      <c r="B11950" s="3" t="str">
        <f>HYPERLINK("https://www.773grp.com/manufacturer/national-semiconductor?pageNo=23", "National Semiconductor")</f>
        <v>National Semiconductor</v>
      </c>
      <c r="C11950" s="6">
        <v>115</v>
      </c>
      <c r="D11950" s="7">
        <v>55.13</v>
      </c>
      <c r="E11950" t="s">
        <v>13</v>
      </c>
    </row>
    <row r="11951" spans="1:5" x14ac:dyDescent="0.25">
      <c r="A11951" t="str">
        <f>HYPERLINK("https://www.773grp.com/globalSearch/CLC501AJ-MIL/page-1", "CLC501AJ-MIL")</f>
        <v>CLC501AJ-MIL</v>
      </c>
      <c r="B11951" s="3" t="str">
        <f>HYPERLINK("https://www.773grp.com/manufacturer/national-semiconductor?pageNo=24", "National Semiconductor")</f>
        <v>National Semiconductor</v>
      </c>
      <c r="C11951" s="6">
        <v>12</v>
      </c>
      <c r="D11951" s="7">
        <v>55.13</v>
      </c>
      <c r="E11951" t="s">
        <v>13</v>
      </c>
    </row>
    <row r="11952" spans="1:5" x14ac:dyDescent="0.25">
      <c r="A11952" t="str">
        <f>HYPERLINK("https://www.773grp.com/globalSearch/LP2951H-883/page-1", "LP2951H-883")</f>
        <v>LP2951H-883</v>
      </c>
      <c r="B11952" s="3" t="str">
        <f>HYPERLINK("https://www.773grp.com/manufacturer/national-semiconductor?pageNo=25", "National Semiconductor")</f>
        <v>National Semiconductor</v>
      </c>
      <c r="C11952" s="6">
        <v>48</v>
      </c>
      <c r="D11952" s="7">
        <v>55.13</v>
      </c>
      <c r="E11952" t="s">
        <v>27</v>
      </c>
    </row>
    <row r="11953" spans="1:5" x14ac:dyDescent="0.25">
      <c r="A11953" t="str">
        <f>HYPERLINK("https://www.773grp.com/globalSearch/9328FM/page-1", "9328FM")</f>
        <v>9328FM</v>
      </c>
      <c r="B11953" s="3" t="str">
        <f>HYPERLINK("https://www.773grp.com/manufacturer/national-semiconductor?pageNo=26", "National Semiconductor")</f>
        <v>National Semiconductor</v>
      </c>
      <c r="C11953" s="6">
        <v>41</v>
      </c>
      <c r="D11953" s="7">
        <v>55.4</v>
      </c>
    </row>
    <row r="11954" spans="1:5" x14ac:dyDescent="0.25">
      <c r="A11954" t="str">
        <f>HYPERLINK("https://www.773grp.com/globalSearch/MM14512BMW-883C/page-1", "MM14512BMW-883C")</f>
        <v>MM14512BMW-883C</v>
      </c>
      <c r="B11954" s="3" t="str">
        <f>HYPERLINK("https://www.773grp.com/manufacturer/national-semiconductor?pageNo=27", "National Semiconductor")</f>
        <v>National Semiconductor</v>
      </c>
      <c r="C11954" s="6">
        <v>720</v>
      </c>
      <c r="D11954" s="7">
        <v>55.4</v>
      </c>
    </row>
    <row r="11955" spans="1:5" x14ac:dyDescent="0.25">
      <c r="A11955" t="str">
        <f>HYPERLINK("https://www.773grp.com/globalSearch/ADC08B200QCIVS-NOPB/page-1", "ADC08B200QCIVS-NOPB")</f>
        <v>ADC08B200QCIVS-NOPB</v>
      </c>
      <c r="B11955" s="3" t="str">
        <f>HYPERLINK("https://www.773grp.com/manufacturer/national-semiconductor?pageNo=28", "National Semiconductor")</f>
        <v>National Semiconductor</v>
      </c>
      <c r="C11955" s="6">
        <v>2393</v>
      </c>
      <c r="D11955" s="7">
        <v>55.4</v>
      </c>
    </row>
    <row r="11956" spans="1:5" x14ac:dyDescent="0.25">
      <c r="A11956" t="str">
        <f>HYPERLINK("https://www.773grp.com/globalSearch/93S138DC/page-1", "93S138DC")</f>
        <v>93S138DC</v>
      </c>
      <c r="B11956" s="3" t="str">
        <f>HYPERLINK("https://www.773grp.com/manufacturer/national-semiconductor?pageNo=29", "National Semiconductor")</f>
        <v>National Semiconductor</v>
      </c>
      <c r="C11956" s="6">
        <v>102</v>
      </c>
      <c r="D11956" s="7">
        <v>55.44</v>
      </c>
    </row>
    <row r="11957" spans="1:5" x14ac:dyDescent="0.25">
      <c r="A11957" t="str">
        <f>HYPERLINK("https://www.773grp.com/globalSearch/948HM/page-1", "948HM")</f>
        <v>948HM</v>
      </c>
      <c r="B11957" s="3" t="str">
        <f>HYPERLINK("https://www.773grp.com/manufacturer/national-semiconductor?pageNo=30", "National Semiconductor")</f>
        <v>National Semiconductor</v>
      </c>
      <c r="C11957" s="6">
        <v>121</v>
      </c>
      <c r="D11957" s="7">
        <v>55.46</v>
      </c>
    </row>
    <row r="11958" spans="1:5" x14ac:dyDescent="0.25">
      <c r="A11958" t="str">
        <f>HYPERLINK("https://www.773grp.com/globalSearch/4703BDM/page-1", "4703BDM")</f>
        <v>4703BDM</v>
      </c>
      <c r="B11958" s="3" t="str">
        <f>HYPERLINK("https://www.773grp.com/manufacturer/national-semiconductor?pageNo=31", "National Semiconductor")</f>
        <v>National Semiconductor</v>
      </c>
      <c r="C11958" s="6">
        <v>4439</v>
      </c>
      <c r="D11958" s="7">
        <v>55.55</v>
      </c>
    </row>
    <row r="11959" spans="1:5" x14ac:dyDescent="0.25">
      <c r="A11959" t="str">
        <f>HYPERLINK("https://www.773grp.com/globalSearch/9030DC/page-1", "9030DC")</f>
        <v>9030DC</v>
      </c>
      <c r="B11959" s="3" t="str">
        <f>HYPERLINK("https://www.773grp.com/manufacturer/national-semiconductor?pageNo=32", "National Semiconductor")</f>
        <v>National Semiconductor</v>
      </c>
      <c r="C11959" s="6">
        <v>7929</v>
      </c>
      <c r="D11959" s="7">
        <v>55.69</v>
      </c>
    </row>
    <row r="11960" spans="1:5" x14ac:dyDescent="0.25">
      <c r="A11960" t="str">
        <f>HYPERLINK("https://www.773grp.com/globalSearch/DM54L192J-883C/page-1", "DM54L192J-883C")</f>
        <v>DM54L192J-883C</v>
      </c>
      <c r="B11960" s="3" t="str">
        <f>HYPERLINK("https://www.773grp.com/manufacturer/national-semiconductor?pageNo=33", "National Semiconductor")</f>
        <v>National Semiconductor</v>
      </c>
      <c r="C11960" s="6">
        <v>16</v>
      </c>
      <c r="D11960" s="7">
        <v>55.69</v>
      </c>
    </row>
    <row r="11961" spans="1:5" x14ac:dyDescent="0.25">
      <c r="A11961" t="str">
        <f>HYPERLINK("https://www.773grp.com/globalSearch/4720BDC/page-1", "4720BDC")</f>
        <v>4720BDC</v>
      </c>
      <c r="B11961" s="3" t="str">
        <f>HYPERLINK("https://www.773grp.com/manufacturer/national-semiconductor?pageNo=34", "National Semiconductor")</f>
        <v>National Semiconductor</v>
      </c>
      <c r="C11961" s="6">
        <v>89</v>
      </c>
      <c r="D11961" s="7">
        <v>55.74</v>
      </c>
    </row>
    <row r="11962" spans="1:5" x14ac:dyDescent="0.25">
      <c r="A11962" t="str">
        <f>HYPERLINK("https://www.773grp.com/globalSearch/JM38510-01501BFA/page-1", "JM38510-01501BFA")</f>
        <v>JM38510-01501BFA</v>
      </c>
      <c r="B11962" s="3" t="str">
        <f>HYPERLINK("https://www.773grp.com/manufacturer/national-semiconductor?pageNo=35", "National Semiconductor")</f>
        <v>National Semiconductor</v>
      </c>
      <c r="C11962" s="6">
        <v>756</v>
      </c>
      <c r="D11962" s="7">
        <v>55.89</v>
      </c>
    </row>
    <row r="11963" spans="1:5" x14ac:dyDescent="0.25">
      <c r="A11963" t="str">
        <f>HYPERLINK("https://www.773grp.com/globalSearch/LM124AW-883/page-1", "LM124AW-883")</f>
        <v>LM124AW-883</v>
      </c>
      <c r="B11963" s="3" t="str">
        <f>HYPERLINK("https://www.773grp.com/manufacturer/national-semiconductor?pageNo=36", "National Semiconductor")</f>
        <v>National Semiconductor</v>
      </c>
      <c r="C11963" s="6">
        <v>3</v>
      </c>
      <c r="D11963" s="7">
        <v>55.98</v>
      </c>
      <c r="E11963" t="s">
        <v>13</v>
      </c>
    </row>
    <row r="11964" spans="1:5" x14ac:dyDescent="0.25">
      <c r="A11964" t="str">
        <f>HYPERLINK("https://www.773grp.com/globalSearch/CLC5903SM-NOPB/page-1", "CLC5903SM-NOPB")</f>
        <v>CLC5903SM-NOPB</v>
      </c>
      <c r="B11964" s="3" t="str">
        <f>HYPERLINK("https://www.773grp.com/manufacturer/national-semiconductor?pageNo=37", "National Semiconductor")</f>
        <v>National Semiconductor</v>
      </c>
      <c r="C11964" s="6">
        <v>3088</v>
      </c>
      <c r="D11964" s="7">
        <v>55.99</v>
      </c>
    </row>
    <row r="11965" spans="1:5" x14ac:dyDescent="0.25">
      <c r="A11965" t="str">
        <f>HYPERLINK("https://www.773grp.com/globalSearch/CLC5903VLA-NOPB/page-1", "CLC5903VLA-NOPB")</f>
        <v>CLC5903VLA-NOPB</v>
      </c>
      <c r="B11965" s="3" t="str">
        <f>HYPERLINK("https://www.773grp.com/manufacturer/national-semiconductor?pageNo=38", "National Semiconductor")</f>
        <v>National Semiconductor</v>
      </c>
      <c r="C11965" s="6">
        <v>134</v>
      </c>
      <c r="D11965" s="7">
        <v>55.99</v>
      </c>
    </row>
    <row r="11966" spans="1:5" x14ac:dyDescent="0.25">
      <c r="A11966" t="str">
        <f>HYPERLINK("https://www.773grp.com/globalSearch/LMH0356SQ-NOPB/page-1", "LMH0356SQ-NOPB")</f>
        <v>LMH0356SQ-NOPB</v>
      </c>
      <c r="B11966" s="3" t="str">
        <f>HYPERLINK("https://www.773grp.com/manufacturer/national-semiconductor?pageNo=39", "National Semiconductor")</f>
        <v>National Semiconductor</v>
      </c>
      <c r="C11966" s="6">
        <v>12000</v>
      </c>
      <c r="D11966" s="7">
        <v>56.11</v>
      </c>
    </row>
    <row r="11967" spans="1:5" x14ac:dyDescent="0.25">
      <c r="A11967" t="str">
        <f>HYPERLINK("https://www.773grp.com/globalSearch/93L41DM/page-1", "93L41DM")</f>
        <v>93L41DM</v>
      </c>
      <c r="B11967" s="3" t="str">
        <f>HYPERLINK("https://www.773grp.com/manufacturer/national-semiconductor?pageNo=40", "National Semiconductor")</f>
        <v>National Semiconductor</v>
      </c>
      <c r="C11967" s="6">
        <v>240</v>
      </c>
      <c r="D11967" s="7">
        <v>56.16</v>
      </c>
    </row>
    <row r="11968" spans="1:5" x14ac:dyDescent="0.25">
      <c r="A11968" t="str">
        <f>HYPERLINK("https://www.773grp.com/globalSearch/JM38510-07402BCA/page-1", "JM38510-07402BCA")</f>
        <v>JM38510-07402BCA</v>
      </c>
      <c r="B11968" s="3" t="str">
        <f>HYPERLINK("https://www.773grp.com/manufacturer/national-semiconductor?pageNo=41", "National Semiconductor")</f>
        <v>National Semiconductor</v>
      </c>
      <c r="C11968" s="6">
        <v>7217</v>
      </c>
      <c r="D11968" s="7">
        <v>56.2</v>
      </c>
      <c r="E11968" t="s">
        <v>31</v>
      </c>
    </row>
    <row r="11969" spans="1:5" x14ac:dyDescent="0.25">
      <c r="A11969" t="str">
        <f>HYPERLINK("https://www.773grp.com/globalSearch/100104W-MIL/page-1", "100104W-MIL")</f>
        <v>100104W-MIL</v>
      </c>
      <c r="B11969" s="3" t="str">
        <f>HYPERLINK("https://www.773grp.com/manufacturer/national-semiconductor?pageNo=42", "National Semiconductor")</f>
        <v>National Semiconductor</v>
      </c>
      <c r="C11969" s="6">
        <v>2219</v>
      </c>
      <c r="D11969" s="7">
        <v>56.25</v>
      </c>
    </row>
    <row r="11970" spans="1:5" x14ac:dyDescent="0.25">
      <c r="A11970" t="str">
        <f>HYPERLINK("https://www.773grp.com/globalSearch/100123W-MIL/page-1", "100123W-MIL")</f>
        <v>100123W-MIL</v>
      </c>
      <c r="B11970" s="3" t="str">
        <f>HYPERLINK("https://www.773grp.com/manufacturer/national-semiconductor?pageNo=43", "National Semiconductor")</f>
        <v>National Semiconductor</v>
      </c>
      <c r="C11970" s="6">
        <v>313</v>
      </c>
      <c r="D11970" s="7">
        <v>56.25</v>
      </c>
    </row>
    <row r="11971" spans="1:5" x14ac:dyDescent="0.25">
      <c r="A11971" t="str">
        <f>HYPERLINK("https://www.773grp.com/globalSearch/100150J-MIL/page-1", "100150J-MIL")</f>
        <v>100150J-MIL</v>
      </c>
      <c r="B11971" s="3" t="str">
        <f>HYPERLINK("https://www.773grp.com/manufacturer/national-semiconductor?pageNo=44", "National Semiconductor")</f>
        <v>National Semiconductor</v>
      </c>
      <c r="C11971" s="6">
        <v>1561</v>
      </c>
      <c r="D11971" s="7">
        <v>56.25</v>
      </c>
    </row>
    <row r="11972" spans="1:5" x14ac:dyDescent="0.25">
      <c r="A11972" t="str">
        <f>HYPERLINK("https://www.773grp.com/globalSearch/100151J-MIL/page-1", "100151J-MIL")</f>
        <v>100151J-MIL</v>
      </c>
      <c r="B11972" s="3" t="str">
        <f>HYPERLINK("https://www.773grp.com/manufacturer/national-semiconductor?pageNo=45", "National Semiconductor")</f>
        <v>National Semiconductor</v>
      </c>
      <c r="C11972" s="6">
        <v>480</v>
      </c>
      <c r="D11972" s="7">
        <v>56.25</v>
      </c>
    </row>
    <row r="11973" spans="1:5" x14ac:dyDescent="0.25">
      <c r="A11973" t="str">
        <f>HYPERLINK("https://www.773grp.com/globalSearch/93L12DMQB/page-1", "93L12DMQB")</f>
        <v>93L12DMQB</v>
      </c>
      <c r="B11973" s="3" t="str">
        <f>HYPERLINK("https://www.773grp.com/manufacturer/national-semiconductor?pageNo=46", "National Semiconductor")</f>
        <v>National Semiconductor</v>
      </c>
      <c r="C11973" s="6">
        <v>82</v>
      </c>
      <c r="D11973" s="7">
        <v>56.25</v>
      </c>
      <c r="E11973" t="s">
        <v>20</v>
      </c>
    </row>
    <row r="11974" spans="1:5" x14ac:dyDescent="0.25">
      <c r="A11974" t="str">
        <f>HYPERLINK("https://www.773grp.com/globalSearch/93Z451FMQB/page-1", "93Z451FMQB")</f>
        <v>93Z451FMQB</v>
      </c>
      <c r="B11974" s="3" t="str">
        <f>HYPERLINK("https://www.773grp.com/manufacturer/national-semiconductor?pageNo=47", "National Semiconductor")</f>
        <v>National Semiconductor</v>
      </c>
      <c r="C11974" s="6">
        <v>1060</v>
      </c>
      <c r="D11974" s="7">
        <v>56.25</v>
      </c>
      <c r="E11974" t="s">
        <v>64</v>
      </c>
    </row>
    <row r="11975" spans="1:5" x14ac:dyDescent="0.25">
      <c r="A11975" t="str">
        <f>HYPERLINK("https://www.773grp.com/globalSearch/ADC12C105CISQE/page-1", "ADC12C105CISQE")</f>
        <v>ADC12C105CISQE</v>
      </c>
      <c r="B11975" s="3" t="str">
        <f>HYPERLINK("https://www.773grp.com/manufacturer/national-semiconductor?pageNo=48", "National Semiconductor")</f>
        <v>National Semiconductor</v>
      </c>
      <c r="C11975" s="6">
        <v>43</v>
      </c>
      <c r="D11975" s="7">
        <v>56.25</v>
      </c>
      <c r="E11975" t="s">
        <v>39</v>
      </c>
    </row>
    <row r="11976" spans="1:5" x14ac:dyDescent="0.25">
      <c r="A11976" t="str">
        <f>HYPERLINK("https://www.773grp.com/globalSearch/DM70L00W-883/page-1", "DM70L00W-883")</f>
        <v>DM70L00W-883</v>
      </c>
      <c r="B11976" s="3" t="str">
        <f>HYPERLINK("https://www.773grp.com/manufacturer/national-semiconductor?pageNo=49", "National Semiconductor")</f>
        <v>National Semiconductor</v>
      </c>
      <c r="C11976" s="6">
        <v>138</v>
      </c>
      <c r="D11976" s="7">
        <v>56.25</v>
      </c>
    </row>
    <row r="11977" spans="1:5" x14ac:dyDescent="0.25">
      <c r="A11977" t="str">
        <f>HYPERLINK("https://www.773grp.com/globalSearch/DM70L01W-883/page-1", "DM70L01W-883")</f>
        <v>DM70L01W-883</v>
      </c>
      <c r="B11977" s="3" t="str">
        <f>HYPERLINK("https://www.773grp.com/manufacturer/national-semiconductor?pageNo=50", "National Semiconductor")</f>
        <v>National Semiconductor</v>
      </c>
      <c r="C11977" s="6">
        <v>560</v>
      </c>
      <c r="D11977" s="7">
        <v>56.25</v>
      </c>
    </row>
    <row r="11978" spans="1:5" x14ac:dyDescent="0.25">
      <c r="A11978" t="str">
        <f>HYPERLINK("https://www.773grp.com/globalSearch/DM70L04W-883/page-1", "DM70L04W-883")</f>
        <v>DM70L04W-883</v>
      </c>
      <c r="B11978" s="3" t="str">
        <f>HYPERLINK("https://www.773grp.com/manufacturer/national-semiconductor?pageNo=51", "National Semiconductor")</f>
        <v>National Semiconductor</v>
      </c>
      <c r="C11978" s="6">
        <v>1062</v>
      </c>
      <c r="D11978" s="7">
        <v>56.25</v>
      </c>
    </row>
    <row r="11979" spans="1:5" x14ac:dyDescent="0.25">
      <c r="A11979" t="str">
        <f>HYPERLINK("https://www.773grp.com/globalSearch/DM75L72W-883/page-1", "DM75L72W-883")</f>
        <v>DM75L72W-883</v>
      </c>
      <c r="B11979" s="3" t="str">
        <f>HYPERLINK("https://www.773grp.com/manufacturer/national-semiconductor?pageNo=52", "National Semiconductor")</f>
        <v>National Semiconductor</v>
      </c>
      <c r="C11979" s="6">
        <v>387</v>
      </c>
      <c r="D11979" s="7">
        <v>56.25</v>
      </c>
    </row>
    <row r="11980" spans="1:5" x14ac:dyDescent="0.25">
      <c r="A11980" t="str">
        <f>HYPERLINK("https://www.773grp.com/globalSearch/DS0026H/page-1", "DS0026H")</f>
        <v>DS0026H</v>
      </c>
      <c r="B11980" s="3" t="str">
        <f>HYPERLINK("https://www.773grp.com/manufacturer/national-semiconductor?pageNo=53", "National Semiconductor")</f>
        <v>National Semiconductor</v>
      </c>
      <c r="C11980" s="6">
        <v>11</v>
      </c>
      <c r="D11980" s="7">
        <v>56.25</v>
      </c>
    </row>
    <row r="11981" spans="1:5" x14ac:dyDescent="0.25">
      <c r="A11981" t="str">
        <f>HYPERLINK("https://www.773grp.com/globalSearch/DS9638CJ/page-1", "DS9638CJ")</f>
        <v>DS9638CJ</v>
      </c>
      <c r="B11981" s="3" t="str">
        <f>HYPERLINK("https://www.773grp.com/manufacturer/national-semiconductor?pageNo=54", "National Semiconductor")</f>
        <v>National Semiconductor</v>
      </c>
      <c r="C11981" s="6">
        <v>10436</v>
      </c>
      <c r="D11981" s="7">
        <v>56.25</v>
      </c>
      <c r="E11981" t="s">
        <v>21</v>
      </c>
    </row>
    <row r="11982" spans="1:5" x14ac:dyDescent="0.25">
      <c r="A11982" t="str">
        <f>HYPERLINK("https://www.773grp.com/globalSearch/LM25575BLDT-NOPB/page-1", "LM25575BLDT-NOPB")</f>
        <v>LM25575BLDT-NOPB</v>
      </c>
      <c r="B11982" s="3" t="str">
        <f>HYPERLINK("https://www.773grp.com/manufacturer/national-semiconductor?pageNo=55", "National Semiconductor")</f>
        <v>National Semiconductor</v>
      </c>
      <c r="C11982" s="6">
        <v>44</v>
      </c>
      <c r="D11982" s="7">
        <v>56.25</v>
      </c>
    </row>
    <row r="11983" spans="1:5" x14ac:dyDescent="0.25">
      <c r="A11983" t="str">
        <f>HYPERLINK("https://www.773grp.com/globalSearch/LM25576BLDT-NOPB/page-1", "LM25576BLDT-NOPB")</f>
        <v>LM25576BLDT-NOPB</v>
      </c>
      <c r="B11983" s="3" t="str">
        <f>HYPERLINK("https://www.773grp.com/manufacturer/national-semiconductor?pageNo=56", "National Semiconductor")</f>
        <v>National Semiconductor</v>
      </c>
      <c r="C11983" s="6">
        <v>20</v>
      </c>
      <c r="D11983" s="7">
        <v>56.25</v>
      </c>
    </row>
    <row r="11984" spans="1:5" x14ac:dyDescent="0.25">
      <c r="A11984" t="str">
        <f>HYPERLINK("https://www.773grp.com/globalSearch/LM26EVAL-TPA/page-1", "LM26EVAL-TPA")</f>
        <v>LM26EVAL-TPA</v>
      </c>
      <c r="B11984" s="3" t="str">
        <f>HYPERLINK("https://www.773grp.com/manufacturer/national-semiconductor?pageNo=57", "National Semiconductor")</f>
        <v>National Semiconductor</v>
      </c>
      <c r="C11984" s="6">
        <v>1</v>
      </c>
      <c r="D11984" s="7">
        <v>56.25</v>
      </c>
    </row>
    <row r="11985" spans="1:5" x14ac:dyDescent="0.25">
      <c r="A11985" t="str">
        <f>HYPERLINK("https://www.773grp.com/globalSearch/LM2853-1.2EVAL/page-1", "LM2853-1.2EVAL")</f>
        <v>LM2853-1.2EVAL</v>
      </c>
      <c r="B11985" s="3" t="str">
        <f>HYPERLINK("https://www.773grp.com/manufacturer/national-semiconductor?pageNo=58", "National Semiconductor")</f>
        <v>National Semiconductor</v>
      </c>
      <c r="C11985" s="6">
        <v>8</v>
      </c>
      <c r="D11985" s="7">
        <v>56.25</v>
      </c>
    </row>
    <row r="11986" spans="1:5" x14ac:dyDescent="0.25">
      <c r="A11986" t="str">
        <f>HYPERLINK("https://www.773grp.com/globalSearch/LM2853-3.3EVAL/page-1", "LM2853-3.3EVAL")</f>
        <v>LM2853-3.3EVAL</v>
      </c>
      <c r="B11986" s="3" t="str">
        <f>HYPERLINK("https://www.773grp.com/manufacturer/national-semiconductor?pageNo=59", "National Semiconductor")</f>
        <v>National Semiconductor</v>
      </c>
      <c r="C11986" s="6">
        <v>15</v>
      </c>
      <c r="D11986" s="7">
        <v>56.25</v>
      </c>
    </row>
    <row r="11987" spans="1:5" x14ac:dyDescent="0.25">
      <c r="A11987" t="str">
        <f>HYPERLINK("https://www.773grp.com/globalSearch/LM3152-3.3DEMO/page-1", "LM3152-3.3DEMO")</f>
        <v>LM3152-3.3DEMO</v>
      </c>
      <c r="B11987" s="3" t="str">
        <f>HYPERLINK("https://www.773grp.com/manufacturer/national-semiconductor?pageNo=60", "National Semiconductor")</f>
        <v>National Semiconductor</v>
      </c>
      <c r="C11987" s="6">
        <v>19</v>
      </c>
      <c r="D11987" s="7">
        <v>56.25</v>
      </c>
    </row>
    <row r="11988" spans="1:5" x14ac:dyDescent="0.25">
      <c r="A11988" t="str">
        <f>HYPERLINK("https://www.773grp.com/globalSearch/LM5575BLDT-NOPB/page-1", "LM5575BLDT-NOPB")</f>
        <v>LM5575BLDT-NOPB</v>
      </c>
      <c r="B11988" s="3" t="str">
        <f>HYPERLINK("https://www.773grp.com/manufacturer/national-semiconductor?pageNo=61", "National Semiconductor")</f>
        <v>National Semiconductor</v>
      </c>
      <c r="C11988" s="6">
        <v>22</v>
      </c>
      <c r="D11988" s="7">
        <v>56.25</v>
      </c>
    </row>
    <row r="11989" spans="1:5" x14ac:dyDescent="0.25">
      <c r="A11989" t="str">
        <f>HYPERLINK("https://www.773grp.com/globalSearch/LM5576BLDT-NOPB/page-1", "LM5576BLDT-NOPB")</f>
        <v>LM5576BLDT-NOPB</v>
      </c>
      <c r="B11989" s="3" t="str">
        <f>HYPERLINK("https://www.773grp.com/manufacturer/national-semiconductor?pageNo=62", "National Semiconductor")</f>
        <v>National Semiconductor</v>
      </c>
      <c r="C11989" s="6">
        <v>22</v>
      </c>
      <c r="D11989" s="7">
        <v>56.25</v>
      </c>
    </row>
    <row r="11990" spans="1:5" x14ac:dyDescent="0.25">
      <c r="A11990" t="str">
        <f>HYPERLINK("https://www.773grp.com/globalSearch/LM629N-6-NOPB/page-1", "LM629N-6-NOPB")</f>
        <v>LM629N-6-NOPB</v>
      </c>
      <c r="B11990" s="3" t="str">
        <f>HYPERLINK("https://www.773grp.com/manufacturer/national-semiconductor?pageNo=63", "National Semiconductor")</f>
        <v>National Semiconductor</v>
      </c>
      <c r="C11990" s="6">
        <v>37</v>
      </c>
      <c r="D11990" s="7">
        <v>56.25</v>
      </c>
      <c r="E11990" t="s">
        <v>62</v>
      </c>
    </row>
    <row r="11991" spans="1:5" x14ac:dyDescent="0.25">
      <c r="A11991" t="str">
        <f>HYPERLINK("https://www.773grp.com/globalSearch/LMH0346SQE-NOPB/page-1", "LMH0346SQE-NOPB")</f>
        <v>LMH0346SQE-NOPB</v>
      </c>
      <c r="B11991" s="3" t="str">
        <f>HYPERLINK("https://www.773grp.com/manufacturer/national-semiconductor?pageNo=64", "National Semiconductor")</f>
        <v>National Semiconductor</v>
      </c>
      <c r="C11991" s="6">
        <v>548</v>
      </c>
      <c r="D11991" s="7">
        <v>56.25</v>
      </c>
    </row>
    <row r="11992" spans="1:5" x14ac:dyDescent="0.25">
      <c r="A11992" t="str">
        <f>HYPERLINK("https://www.773grp.com/globalSearch/LMH730220-NOPB/page-1", "LMH730220-NOPB")</f>
        <v>LMH730220-NOPB</v>
      </c>
      <c r="B11992" s="3" t="str">
        <f>HYPERLINK("https://www.773grp.com/manufacturer/national-semiconductor?pageNo=65", "National Semiconductor")</f>
        <v>National Semiconductor</v>
      </c>
      <c r="C11992" s="6">
        <v>5</v>
      </c>
      <c r="D11992" s="7">
        <v>56.25</v>
      </c>
    </row>
    <row r="11993" spans="1:5" x14ac:dyDescent="0.25">
      <c r="A11993" t="str">
        <f>HYPERLINK("https://www.773grp.com/globalSearch/LMR12010YMKDEMO-NOPB/page-1", "LMR12010YMKDEMO-NOPB")</f>
        <v>LMR12010YMKDEMO-NOPB</v>
      </c>
      <c r="B11993" s="3" t="str">
        <f>HYPERLINK("https://www.773grp.com/manufacturer/national-semiconductor?pageNo=66", "National Semiconductor")</f>
        <v>National Semiconductor</v>
      </c>
      <c r="C11993" s="6">
        <v>20</v>
      </c>
      <c r="D11993" s="7">
        <v>56.25</v>
      </c>
    </row>
    <row r="11994" spans="1:5" x14ac:dyDescent="0.25">
      <c r="A11994" t="str">
        <f>HYPERLINK("https://www.773grp.com/globalSearch/LMR62014XMFDEMO-NOPB/page-1", "LMR62014XMFDEMO-NOPB")</f>
        <v>LMR62014XMFDEMO-NOPB</v>
      </c>
      <c r="B11994" s="3" t="str">
        <f>HYPERLINK("https://www.773grp.com/manufacturer/national-semiconductor?pageNo=67", "National Semiconductor")</f>
        <v>National Semiconductor</v>
      </c>
      <c r="C11994" s="6">
        <v>18</v>
      </c>
      <c r="D11994" s="7">
        <v>56.25</v>
      </c>
    </row>
    <row r="11995" spans="1:5" x14ac:dyDescent="0.25">
      <c r="A11995" t="str">
        <f>HYPERLINK("https://www.773grp.com/globalSearch/LMR64010XMFDEMO-NOPB/page-1", "LMR64010XMFDEMO-NOPB")</f>
        <v>LMR64010XMFDEMO-NOPB</v>
      </c>
      <c r="B11995" s="3" t="str">
        <f>HYPERLINK("https://www.773grp.com/manufacturer/national-semiconductor?pageNo=68", "National Semiconductor")</f>
        <v>National Semiconductor</v>
      </c>
      <c r="C11995" s="6">
        <v>19</v>
      </c>
      <c r="D11995" s="7">
        <v>56.25</v>
      </c>
    </row>
    <row r="11996" spans="1:5" x14ac:dyDescent="0.25">
      <c r="A11996" t="str">
        <f>HYPERLINK("https://www.773grp.com/globalSearch/LMZ10500EVAL-NOPB/page-1", "LMZ10500EVAL-NOPB")</f>
        <v>LMZ10500EVAL-NOPB</v>
      </c>
      <c r="B11996" s="3" t="str">
        <f>HYPERLINK("https://www.773grp.com/manufacturer/national-semiconductor?pageNo=69", "National Semiconductor")</f>
        <v>National Semiconductor</v>
      </c>
      <c r="C11996" s="6">
        <v>14</v>
      </c>
      <c r="D11996" s="7">
        <v>56.25</v>
      </c>
    </row>
    <row r="11997" spans="1:5" x14ac:dyDescent="0.25">
      <c r="A11997" t="str">
        <f>HYPERLINK("https://www.773grp.com/globalSearch/LMZ10501EVAL/page-1", "LMZ10501EVAL")</f>
        <v>LMZ10501EVAL</v>
      </c>
      <c r="B11997" s="3" t="str">
        <f>HYPERLINK("https://www.773grp.com/manufacturer/national-semiconductor?pageNo=70", "National Semiconductor")</f>
        <v>National Semiconductor</v>
      </c>
      <c r="C11997" s="6">
        <v>1</v>
      </c>
      <c r="D11997" s="7">
        <v>56.25</v>
      </c>
    </row>
    <row r="11998" spans="1:5" x14ac:dyDescent="0.25">
      <c r="A11998" t="str">
        <f>HYPERLINK("https://www.773grp.com/globalSearch/LMZ10501EVAL-NOPB/page-1", "LMZ10501EVAL-NOPB")</f>
        <v>LMZ10501EVAL-NOPB</v>
      </c>
      <c r="B11998" s="3" t="str">
        <f>HYPERLINK("https://www.773grp.com/manufacturer/national-semiconductor?pageNo=71", "National Semiconductor")</f>
        <v>National Semiconductor</v>
      </c>
      <c r="C11998" s="6">
        <v>15</v>
      </c>
      <c r="D11998" s="7">
        <v>56.25</v>
      </c>
    </row>
    <row r="11999" spans="1:5" x14ac:dyDescent="0.25">
      <c r="A11999" t="str">
        <f>HYPERLINK("https://www.773grp.com/globalSearch/LMZ10504DEMO-NOPB/page-1", "LMZ10504DEMO-NOPB")</f>
        <v>LMZ10504DEMO-NOPB</v>
      </c>
      <c r="B11999" s="3" t="str">
        <f>HYPERLINK("https://www.773grp.com/manufacturer/national-semiconductor?pageNo=72", "National Semiconductor")</f>
        <v>National Semiconductor</v>
      </c>
      <c r="C11999" s="6">
        <v>4</v>
      </c>
      <c r="D11999" s="7">
        <v>56.25</v>
      </c>
    </row>
    <row r="12000" spans="1:5" x14ac:dyDescent="0.25">
      <c r="A12000" t="str">
        <f>HYPERLINK("https://www.773grp.com/globalSearch/LMZ12003DEMO-NOPB/page-1", "LMZ12003DEMO-NOPB")</f>
        <v>LMZ12003DEMO-NOPB</v>
      </c>
      <c r="B12000" s="3" t="str">
        <f>HYPERLINK("https://www.773grp.com/manufacturer/national-semiconductor?pageNo=73", "National Semiconductor")</f>
        <v>National Semiconductor</v>
      </c>
      <c r="C12000" s="6">
        <v>6</v>
      </c>
      <c r="D12000" s="7">
        <v>56.25</v>
      </c>
    </row>
    <row r="12001" spans="1:5" x14ac:dyDescent="0.25">
      <c r="A12001" t="str">
        <f>HYPERLINK("https://www.773grp.com/globalSearch/LMZ14203DEMO-NOPB/page-1", "LMZ14203DEMO-NOPB")</f>
        <v>LMZ14203DEMO-NOPB</v>
      </c>
      <c r="B12001" s="3" t="str">
        <f>HYPERLINK("https://www.773grp.com/manufacturer/national-semiconductor?pageNo=74", "National Semiconductor")</f>
        <v>National Semiconductor</v>
      </c>
      <c r="C12001" s="6">
        <v>2</v>
      </c>
      <c r="D12001" s="7">
        <v>56.25</v>
      </c>
    </row>
    <row r="12002" spans="1:5" x14ac:dyDescent="0.25">
      <c r="A12002" t="str">
        <f>HYPERLINK("https://www.773grp.com/globalSearch/LP5900SD-2.5EV/page-1", "LP5900SD-2.5EV")</f>
        <v>LP5900SD-2.5EV</v>
      </c>
      <c r="B12002" s="3" t="str">
        <f>HYPERLINK("https://www.773grp.com/manufacturer/national-semiconductor?pageNo=75", "National Semiconductor")</f>
        <v>National Semiconductor</v>
      </c>
      <c r="C12002" s="6">
        <v>9</v>
      </c>
      <c r="D12002" s="7">
        <v>56.25</v>
      </c>
    </row>
    <row r="12003" spans="1:5" x14ac:dyDescent="0.25">
      <c r="A12003" t="str">
        <f>HYPERLINK("https://www.773grp.com/globalSearch/LP5900SD-3.3EV-NOPB/page-1", "LP5900SD-3.3EV-NOPB")</f>
        <v>LP5900SD-3.3EV-NOPB</v>
      </c>
      <c r="B12003" s="3" t="str">
        <f>HYPERLINK("https://www.773grp.com/manufacturer/national-semiconductor?pageNo=76", "National Semiconductor")</f>
        <v>National Semiconductor</v>
      </c>
      <c r="C12003" s="6">
        <v>5</v>
      </c>
      <c r="D12003" s="7">
        <v>56.25</v>
      </c>
    </row>
    <row r="12004" spans="1:5" x14ac:dyDescent="0.25">
      <c r="A12004" t="str">
        <f>HYPERLINK("https://www.773grp.com/globalSearch/LV8571AN/page-1", "LV8571AN")</f>
        <v>LV8571AN</v>
      </c>
      <c r="B12004" s="3" t="str">
        <f>HYPERLINK("https://www.773grp.com/manufacturer/national-semiconductor?pageNo=77", "National Semiconductor")</f>
        <v>National Semiconductor</v>
      </c>
      <c r="C12004" s="6">
        <v>5515</v>
      </c>
      <c r="D12004" s="7">
        <v>56.25</v>
      </c>
      <c r="E12004" t="s">
        <v>82</v>
      </c>
    </row>
    <row r="12005" spans="1:5" x14ac:dyDescent="0.25">
      <c r="A12005" t="str">
        <f>HYPERLINK("https://www.773grp.com/globalSearch/MM54HCT241J-883/page-1", "MM54HCT241J-883")</f>
        <v>MM54HCT241J-883</v>
      </c>
      <c r="B12005" s="3" t="str">
        <f>HYPERLINK("https://www.773grp.com/manufacturer/national-semiconductor?pageNo=78", "National Semiconductor")</f>
        <v>National Semiconductor</v>
      </c>
      <c r="C12005" s="6">
        <v>214</v>
      </c>
      <c r="D12005" s="7">
        <v>56.25</v>
      </c>
    </row>
    <row r="12006" spans="1:5" x14ac:dyDescent="0.25">
      <c r="A12006" t="str">
        <f>HYPERLINK("https://www.773grp.com/globalSearch/MM54HCT245E-883/page-1", "MM54HCT245E-883")</f>
        <v>MM54HCT245E-883</v>
      </c>
      <c r="B12006" s="3" t="str">
        <f>HYPERLINK("https://www.773grp.com/manufacturer/national-semiconductor?pageNo=79", "National Semiconductor")</f>
        <v>National Semiconductor</v>
      </c>
      <c r="C12006" s="6">
        <v>130</v>
      </c>
      <c r="D12006" s="7">
        <v>56.25</v>
      </c>
    </row>
    <row r="12007" spans="1:5" x14ac:dyDescent="0.25">
      <c r="A12007" t="str">
        <f>HYPERLINK("https://www.773grp.com/globalSearch/SP1202S01RB-PCB-NOPB/page-1", "SP1202S01RB-PCB-NOPB")</f>
        <v>SP1202S01RB-PCB-NOPB</v>
      </c>
      <c r="B12007" s="3" t="str">
        <f>HYPERLINK("https://www.773grp.com/manufacturer/national-semiconductor?pageNo=80", "National Semiconductor")</f>
        <v>National Semiconductor</v>
      </c>
      <c r="C12007" s="6">
        <v>22</v>
      </c>
      <c r="D12007" s="7">
        <v>56.25</v>
      </c>
    </row>
    <row r="12008" spans="1:5" x14ac:dyDescent="0.25">
      <c r="A12008" t="str">
        <f>HYPERLINK("https://www.773grp.com/globalSearch/SP1202S03RB-PCB-NOPB/page-1", "SP1202S03RB-PCB-NOPB")</f>
        <v>SP1202S03RB-PCB-NOPB</v>
      </c>
      <c r="B12008" s="3" t="str">
        <f>HYPERLINK("https://www.773grp.com/manufacturer/national-semiconductor?pageNo=81", "National Semiconductor")</f>
        <v>National Semiconductor</v>
      </c>
      <c r="C12008" s="6">
        <v>10</v>
      </c>
      <c r="D12008" s="7">
        <v>56.25</v>
      </c>
    </row>
    <row r="12009" spans="1:5" x14ac:dyDescent="0.25">
      <c r="A12009" t="str">
        <f>HYPERLINK("https://www.773grp.com/globalSearch/LM25575BLDT-NOPB/page-1", "LM25575BLDT-NOPB")</f>
        <v>LM25575BLDT-NOPB</v>
      </c>
      <c r="B12009" s="3" t="str">
        <f>HYPERLINK("https://www.773grp.com/manufacturer/national-semiconductor?pageNo=82", "National Semiconductor")</f>
        <v>National Semiconductor</v>
      </c>
      <c r="C12009" s="6">
        <v>22</v>
      </c>
      <c r="D12009" s="7">
        <v>56.25</v>
      </c>
    </row>
    <row r="12010" spans="1:5" x14ac:dyDescent="0.25">
      <c r="A12010" t="str">
        <f>HYPERLINK("https://www.773grp.com/globalSearch/LM5574BLDT-NOPB/page-1", "LM5574BLDT-NOPB")</f>
        <v>LM5574BLDT-NOPB</v>
      </c>
      <c r="B12010" s="3" t="str">
        <f>HYPERLINK("https://www.773grp.com/manufacturer/national-semiconductor?pageNo=83", "National Semiconductor")</f>
        <v>National Semiconductor</v>
      </c>
      <c r="C12010" s="6">
        <v>1</v>
      </c>
      <c r="D12010" s="7">
        <v>56.25</v>
      </c>
    </row>
    <row r="12011" spans="1:5" x14ac:dyDescent="0.25">
      <c r="A12011" t="str">
        <f>HYPERLINK("https://www.773grp.com/globalSearch/LMZ10504DEMO-NOPB/page-1", "LMZ10504DEMO-NOPB")</f>
        <v>LMZ10504DEMO-NOPB</v>
      </c>
      <c r="B12011" s="3" t="str">
        <f>HYPERLINK("https://www.773grp.com/manufacturer/national-semiconductor?pageNo=84", "National Semiconductor")</f>
        <v>National Semiconductor</v>
      </c>
      <c r="C12011" s="6">
        <v>19</v>
      </c>
      <c r="D12011" s="7">
        <v>56.25</v>
      </c>
    </row>
    <row r="12012" spans="1:5" x14ac:dyDescent="0.25">
      <c r="A12012" t="str">
        <f>HYPERLINK("https://www.773grp.com/globalSearch/LMZ14203DEMO-NOPB/page-1", "LMZ14203DEMO-NOPB")</f>
        <v>LMZ14203DEMO-NOPB</v>
      </c>
      <c r="B12012" s="3" t="str">
        <f>HYPERLINK("https://www.773grp.com/manufacturer/national-semiconductor?pageNo=85", "National Semiconductor")</f>
        <v>National Semiconductor</v>
      </c>
      <c r="C12012" s="6">
        <v>18</v>
      </c>
      <c r="D12012" s="7">
        <v>56.25</v>
      </c>
    </row>
    <row r="12013" spans="1:5" x14ac:dyDescent="0.25">
      <c r="A12013" t="str">
        <f>HYPERLINK("https://www.773grp.com/globalSearch/LMZ23605DEMO-NOPB/page-1", "LMZ23605DEMO-NOPB")</f>
        <v>LMZ23605DEMO-NOPB</v>
      </c>
      <c r="B12013" s="3" t="str">
        <f>HYPERLINK("https://www.773grp.com/manufacturer/national-semiconductor?pageNo=86", "National Semiconductor")</f>
        <v>National Semiconductor</v>
      </c>
      <c r="C12013" s="6">
        <v>20</v>
      </c>
      <c r="D12013" s="7">
        <v>56.25</v>
      </c>
    </row>
    <row r="12014" spans="1:5" x14ac:dyDescent="0.25">
      <c r="A12014" t="str">
        <f>HYPERLINK("https://www.773grp.com/globalSearch/LMH0341SQE-NOPB/page-1", "LMH0341SQE-NOPB")</f>
        <v>LMH0341SQE-NOPB</v>
      </c>
      <c r="B12014" s="3" t="str">
        <f>HYPERLINK("https://www.773grp.com/manufacturer/national-semiconductor?pageNo=87", "National Semiconductor")</f>
        <v>National Semiconductor</v>
      </c>
      <c r="C12014" s="6">
        <v>1739</v>
      </c>
      <c r="D12014" s="7">
        <v>56.4</v>
      </c>
      <c r="E12014" t="s">
        <v>21</v>
      </c>
    </row>
    <row r="12015" spans="1:5" x14ac:dyDescent="0.25">
      <c r="A12015" t="str">
        <f>HYPERLINK("https://www.773grp.com/globalSearch/LMH0340SQE-NOPB/page-1", "LMH0340SQE-NOPB")</f>
        <v>LMH0340SQE-NOPB</v>
      </c>
      <c r="B12015" s="3" t="str">
        <f>HYPERLINK("https://www.773grp.com/manufacturer/national-semiconductor?pageNo=88", "National Semiconductor")</f>
        <v>National Semiconductor</v>
      </c>
      <c r="C12015" s="6">
        <v>200</v>
      </c>
      <c r="D12015" s="7">
        <v>56.4</v>
      </c>
    </row>
    <row r="12016" spans="1:5" x14ac:dyDescent="0.25">
      <c r="A12016" t="str">
        <f>HYPERLINK("https://www.773grp.com/globalSearch/LMH0341SQE-NOPB/page-1", "LMH0341SQE-NOPB")</f>
        <v>LMH0341SQE-NOPB</v>
      </c>
      <c r="B12016" s="3" t="str">
        <f>HYPERLINK("https://www.773grp.com/manufacturer/national-semiconductor?pageNo=89", "National Semiconductor")</f>
        <v>National Semiconductor</v>
      </c>
      <c r="C12016" s="6">
        <v>18</v>
      </c>
      <c r="D12016" s="7">
        <v>56.4</v>
      </c>
      <c r="E12016" t="s">
        <v>21</v>
      </c>
    </row>
    <row r="12017" spans="1:5" x14ac:dyDescent="0.25">
      <c r="A12017" t="str">
        <f>HYPERLINK("https://www.773grp.com/globalSearch/9093FM/page-1", "9093FM")</f>
        <v>9093FM</v>
      </c>
      <c r="B12017" s="3" t="str">
        <f>HYPERLINK("https://www.773grp.com/manufacturer/national-semiconductor?pageNo=90", "National Semiconductor")</f>
        <v>National Semiconductor</v>
      </c>
      <c r="C12017" s="6">
        <v>87</v>
      </c>
      <c r="D12017" s="7">
        <v>56.65</v>
      </c>
    </row>
    <row r="12018" spans="1:5" x14ac:dyDescent="0.25">
      <c r="A12018" t="str">
        <f>HYPERLINK("https://www.773grp.com/globalSearch/DP83800AVF/page-1", "DP83800AVF")</f>
        <v>DP83800AVF</v>
      </c>
      <c r="B12018" s="3" t="str">
        <f>HYPERLINK("https://www.773grp.com/manufacturer/national-semiconductor?pageNo=91", "National Semiconductor")</f>
        <v>National Semiconductor</v>
      </c>
      <c r="C12018" s="6">
        <v>833</v>
      </c>
      <c r="D12018" s="7">
        <v>57.29</v>
      </c>
    </row>
    <row r="12019" spans="1:5" x14ac:dyDescent="0.25">
      <c r="A12019" t="str">
        <f>HYPERLINK("https://www.773grp.com/globalSearch/LM22670EVAL/page-1", "LM22670EVAL")</f>
        <v>LM22670EVAL</v>
      </c>
      <c r="B12019" s="3" t="str">
        <f>HYPERLINK("https://www.773grp.com/manufacturer/national-semiconductor?pageNo=92", "National Semiconductor")</f>
        <v>National Semiconductor</v>
      </c>
      <c r="C12019" s="6">
        <v>2</v>
      </c>
      <c r="D12019" s="7">
        <v>57.38</v>
      </c>
    </row>
    <row r="12020" spans="1:5" x14ac:dyDescent="0.25">
      <c r="A12020" t="str">
        <f>HYPERLINK("https://www.773grp.com/globalSearch/LM22671EVAL/page-1", "LM22671EVAL")</f>
        <v>LM22671EVAL</v>
      </c>
      <c r="B12020" s="3" t="str">
        <f>HYPERLINK("https://www.773grp.com/manufacturer/national-semiconductor?pageNo=93", "National Semiconductor")</f>
        <v>National Semiconductor</v>
      </c>
      <c r="C12020" s="6">
        <v>4</v>
      </c>
      <c r="D12020" s="7">
        <v>57.38</v>
      </c>
    </row>
    <row r="12021" spans="1:5" x14ac:dyDescent="0.25">
      <c r="A12021" t="str">
        <f>HYPERLINK("https://www.773grp.com/globalSearch/LM22672EVAL/page-1", "LM22672EVAL")</f>
        <v>LM22672EVAL</v>
      </c>
      <c r="B12021" s="3" t="str">
        <f>HYPERLINK("https://www.773grp.com/manufacturer/national-semiconductor?pageNo=94", "National Semiconductor")</f>
        <v>National Semiconductor</v>
      </c>
      <c r="C12021" s="6">
        <v>6</v>
      </c>
      <c r="D12021" s="7">
        <v>57.38</v>
      </c>
    </row>
    <row r="12022" spans="1:5" x14ac:dyDescent="0.25">
      <c r="A12022" t="str">
        <f>HYPERLINK("https://www.773grp.com/globalSearch/LM22673EVAL/page-1", "LM22673EVAL")</f>
        <v>LM22673EVAL</v>
      </c>
      <c r="B12022" s="3" t="str">
        <f>HYPERLINK("https://www.773grp.com/manufacturer/national-semiconductor?pageNo=95", "National Semiconductor")</f>
        <v>National Semiconductor</v>
      </c>
      <c r="C12022" s="6">
        <v>6</v>
      </c>
      <c r="D12022" s="7">
        <v>57.38</v>
      </c>
    </row>
    <row r="12023" spans="1:5" x14ac:dyDescent="0.25">
      <c r="A12023" t="str">
        <f>HYPERLINK("https://www.773grp.com/globalSearch/LM22679EVAL/page-1", "LM22679EVAL")</f>
        <v>LM22679EVAL</v>
      </c>
      <c r="B12023" s="3" t="str">
        <f>HYPERLINK("https://www.773grp.com/manufacturer/national-semiconductor?pageNo=96", "National Semiconductor")</f>
        <v>National Semiconductor</v>
      </c>
      <c r="C12023" s="6">
        <v>9</v>
      </c>
      <c r="D12023" s="7">
        <v>57.38</v>
      </c>
    </row>
    <row r="12024" spans="1:5" x14ac:dyDescent="0.25">
      <c r="A12024" t="str">
        <f>HYPERLINK("https://www.773grp.com/globalSearch/LM22680EVAL/page-1", "LM22680EVAL")</f>
        <v>LM22680EVAL</v>
      </c>
      <c r="B12024" s="3" t="str">
        <f>HYPERLINK("https://www.773grp.com/manufacturer/national-semiconductor?pageNo=97", "National Semiconductor")</f>
        <v>National Semiconductor</v>
      </c>
      <c r="C12024" s="6">
        <v>12</v>
      </c>
      <c r="D12024" s="7">
        <v>57.38</v>
      </c>
    </row>
    <row r="12025" spans="1:5" x14ac:dyDescent="0.25">
      <c r="A12025" t="str">
        <f>HYPERLINK("https://www.773grp.com/globalSearch/LMZ10504EVAL/page-1", "LMZ10504EVAL")</f>
        <v>LMZ10504EVAL</v>
      </c>
      <c r="B12025" s="3" t="str">
        <f>HYPERLINK("https://www.773grp.com/manufacturer/national-semiconductor?pageNo=98", "National Semiconductor")</f>
        <v>National Semiconductor</v>
      </c>
      <c r="C12025" s="6">
        <v>6</v>
      </c>
      <c r="D12025" s="7">
        <v>57.38</v>
      </c>
    </row>
    <row r="12026" spans="1:5" x14ac:dyDescent="0.25">
      <c r="A12026" t="str">
        <f>HYPERLINK("https://www.773grp.com/globalSearch/LMZ12003EVAL/page-1", "LMZ12003EVAL")</f>
        <v>LMZ12003EVAL</v>
      </c>
      <c r="B12026" s="3" t="str">
        <f>HYPERLINK("https://www.773grp.com/manufacturer/national-semiconductor?pageNo=99", "National Semiconductor")</f>
        <v>National Semiconductor</v>
      </c>
      <c r="C12026" s="6">
        <v>20</v>
      </c>
      <c r="D12026" s="7">
        <v>57.38</v>
      </c>
    </row>
    <row r="12027" spans="1:5" x14ac:dyDescent="0.25">
      <c r="A12027" t="str">
        <f>HYPERLINK("https://www.773grp.com/globalSearch/LMZ14203EVAL/page-1", "LMZ14203EVAL")</f>
        <v>LMZ14203EVAL</v>
      </c>
      <c r="B12027" s="3" t="str">
        <f>HYPERLINK("https://www.773grp.com/manufacturer/national-semiconductor?pageNo=100", "National Semiconductor")</f>
        <v>National Semiconductor</v>
      </c>
      <c r="C12027" s="6">
        <v>21</v>
      </c>
      <c r="D12027" s="7">
        <v>57.38</v>
      </c>
    </row>
    <row r="12028" spans="1:5" x14ac:dyDescent="0.25">
      <c r="A12028" t="str">
        <f>HYPERLINK("https://www.773grp.com/globalSearch/LM22680EVAL/page-1", "LM22680EVAL")</f>
        <v>LM22680EVAL</v>
      </c>
      <c r="B12028" s="3" t="str">
        <f>HYPERLINK("https://www.773grp.com/manufacturer/national-semiconductor?pageNo=101", "National Semiconductor")</f>
        <v>National Semiconductor</v>
      </c>
      <c r="C12028" s="6">
        <v>15</v>
      </c>
      <c r="D12028" s="7">
        <v>57.38</v>
      </c>
    </row>
    <row r="12029" spans="1:5" x14ac:dyDescent="0.25">
      <c r="A12029" t="str">
        <f>HYPERLINK("https://www.773grp.com/globalSearch/LMZ14203EVAL/page-1", "LMZ14203EVAL")</f>
        <v>LMZ14203EVAL</v>
      </c>
      <c r="B12029" s="3" t="str">
        <f>HYPERLINK("https://www.773grp.com/manufacturer/national-semiconductor?pageNo=102", "National Semiconductor")</f>
        <v>National Semiconductor</v>
      </c>
      <c r="C12029" s="6">
        <v>29</v>
      </c>
      <c r="D12029" s="7">
        <v>57.38</v>
      </c>
    </row>
    <row r="12030" spans="1:5" x14ac:dyDescent="0.25">
      <c r="A12030" t="str">
        <f>HYPERLINK("https://www.773grp.com/globalSearch/ADC12DC080CISQE-NOPB/page-1", "ADC12DC080CISQE-NOPB")</f>
        <v>ADC12DC080CISQE-NOPB</v>
      </c>
      <c r="B12030" s="3" t="str">
        <f>HYPERLINK("https://www.773grp.com/manufacturer/national-semiconductor?pageNo=103", "National Semiconductor")</f>
        <v>National Semiconductor</v>
      </c>
      <c r="C12030" s="6">
        <v>229</v>
      </c>
      <c r="D12030" s="7">
        <v>57.66</v>
      </c>
    </row>
    <row r="12031" spans="1:5" x14ac:dyDescent="0.25">
      <c r="A12031" t="str">
        <f>HYPERLINK("https://www.773grp.com/globalSearch/LMH0346MH-NOPB/page-1", "LMH0346MH-NOPB")</f>
        <v>LMH0346MH-NOPB</v>
      </c>
      <c r="B12031" s="3" t="str">
        <f>HYPERLINK("https://www.773grp.com/manufacturer/national-semiconductor?pageNo=104", "National Semiconductor")</f>
        <v>National Semiconductor</v>
      </c>
      <c r="C12031" s="6">
        <v>2781</v>
      </c>
      <c r="D12031" s="7">
        <v>57.66</v>
      </c>
      <c r="E12031" t="s">
        <v>23</v>
      </c>
    </row>
    <row r="12032" spans="1:5" x14ac:dyDescent="0.25">
      <c r="A12032" t="str">
        <f>HYPERLINK("https://www.773grp.com/globalSearch/SCAN926260TUF-NOPB/page-1", "SCAN926260TUF-NOPB")</f>
        <v>SCAN926260TUF-NOPB</v>
      </c>
      <c r="B12032" s="3" t="str">
        <f>HYPERLINK("https://www.773grp.com/manufacturer/national-semiconductor?pageNo=105", "National Semiconductor")</f>
        <v>National Semiconductor</v>
      </c>
      <c r="C12032" s="6">
        <v>4173</v>
      </c>
      <c r="D12032" s="7">
        <v>57.66</v>
      </c>
      <c r="E12032" t="s">
        <v>21</v>
      </c>
    </row>
    <row r="12033" spans="1:5" x14ac:dyDescent="0.25">
      <c r="A12033" t="str">
        <f>HYPERLINK("https://www.773grp.com/globalSearch/LMH0346MH-NOPB/page-1", "LMH0346MH-NOPB")</f>
        <v>LMH0346MH-NOPB</v>
      </c>
      <c r="B12033" s="3" t="str">
        <f>HYPERLINK("https://www.773grp.com/manufacturer/national-semiconductor?pageNo=106", "National Semiconductor")</f>
        <v>National Semiconductor</v>
      </c>
      <c r="C12033" s="6">
        <v>200</v>
      </c>
      <c r="D12033" s="7">
        <v>57.66</v>
      </c>
      <c r="E12033" t="s">
        <v>23</v>
      </c>
    </row>
    <row r="12034" spans="1:5" x14ac:dyDescent="0.25">
      <c r="A12034" t="str">
        <f>HYPERLINK("https://www.773grp.com/globalSearch/SCAN926260TUF-NOPB/page-1", "SCAN926260TUF-NOPB")</f>
        <v>SCAN926260TUF-NOPB</v>
      </c>
      <c r="B12034" s="3" t="str">
        <f>HYPERLINK("https://www.773grp.com/manufacturer/national-semiconductor?pageNo=107", "National Semiconductor")</f>
        <v>National Semiconductor</v>
      </c>
      <c r="C12034" s="6">
        <v>3252</v>
      </c>
      <c r="D12034" s="7">
        <v>57.66</v>
      </c>
      <c r="E12034" t="s">
        <v>21</v>
      </c>
    </row>
    <row r="12035" spans="1:5" x14ac:dyDescent="0.25">
      <c r="A12035" t="str">
        <f>HYPERLINK("https://www.773grp.com/globalSearch/5962-8767401GA/page-1", "5962-8767401GA")</f>
        <v>5962-8767401GA</v>
      </c>
      <c r="B12035" s="3" t="str">
        <f>HYPERLINK("https://www.773grp.com/manufacturer/national-semiconductor?pageNo=108", "National Semiconductor")</f>
        <v>National Semiconductor</v>
      </c>
      <c r="C12035" s="6">
        <v>31</v>
      </c>
      <c r="D12035" s="7">
        <v>58.01</v>
      </c>
      <c r="E12035" t="s">
        <v>9</v>
      </c>
    </row>
    <row r="12036" spans="1:5" x14ac:dyDescent="0.25">
      <c r="A12036" t="str">
        <f>HYPERLINK("https://www.773grp.com/globalSearch/LM160H-883/page-1", "LM160H-883")</f>
        <v>LM160H-883</v>
      </c>
      <c r="B12036" s="3" t="str">
        <f>HYPERLINK("https://www.773grp.com/manufacturer/national-semiconductor?pageNo=109", "National Semiconductor")</f>
        <v>National Semiconductor</v>
      </c>
      <c r="C12036" s="6">
        <v>19</v>
      </c>
      <c r="D12036" s="7">
        <v>58.01</v>
      </c>
      <c r="E12036" t="s">
        <v>9</v>
      </c>
    </row>
    <row r="12037" spans="1:5" x14ac:dyDescent="0.25">
      <c r="A12037" t="str">
        <f>HYPERLINK("https://www.773grp.com/globalSearch/93L10DMQB/page-1", "93L10DMQB")</f>
        <v>93L10DMQB</v>
      </c>
      <c r="B12037" s="3" t="str">
        <f>HYPERLINK("https://www.773grp.com/manufacturer/national-semiconductor?pageNo=110", "National Semiconductor")</f>
        <v>National Semiconductor</v>
      </c>
      <c r="C12037" s="6">
        <v>31</v>
      </c>
      <c r="D12037" s="7">
        <v>58.5</v>
      </c>
      <c r="E12037" t="s">
        <v>26</v>
      </c>
    </row>
    <row r="12038" spans="1:5" x14ac:dyDescent="0.25">
      <c r="A12038" t="str">
        <f>HYPERLINK("https://www.773grp.com/globalSearch/DP8570AV/page-1", "DP8570AV")</f>
        <v>DP8570AV</v>
      </c>
      <c r="B12038" s="3" t="str">
        <f>HYPERLINK("https://www.773grp.com/manufacturer/national-semiconductor?pageNo=111", "National Semiconductor")</f>
        <v>National Semiconductor</v>
      </c>
      <c r="C12038" s="6">
        <v>90</v>
      </c>
      <c r="D12038" s="7">
        <v>58.53</v>
      </c>
      <c r="E12038" t="s">
        <v>82</v>
      </c>
    </row>
    <row r="12039" spans="1:5" x14ac:dyDescent="0.25">
      <c r="A12039" t="str">
        <f>HYPERLINK("https://www.773grp.com/globalSearch/DP8570AV/page-1", "DP8570AV")</f>
        <v>DP8570AV</v>
      </c>
      <c r="B12039" s="3" t="str">
        <f>HYPERLINK("https://www.773grp.com/manufacturer/national-semiconductor?pageNo=112", "National Semiconductor")</f>
        <v>National Semiconductor</v>
      </c>
      <c r="C12039" s="6">
        <v>287</v>
      </c>
      <c r="D12039" s="7">
        <v>58.53</v>
      </c>
      <c r="E12039" t="s">
        <v>82</v>
      </c>
    </row>
    <row r="12040" spans="1:5" x14ac:dyDescent="0.25">
      <c r="A12040" t="str">
        <f>HYPERLINK("https://www.773grp.com/globalSearch/54H04DM/page-1", "54H04DM")</f>
        <v>54H04DM</v>
      </c>
      <c r="B12040" s="3" t="str">
        <f>HYPERLINK("https://www.773grp.com/manufacturer/national-semiconductor?pageNo=113", "National Semiconductor")</f>
        <v>National Semiconductor</v>
      </c>
      <c r="C12040" s="6">
        <v>953</v>
      </c>
      <c r="D12040" s="7">
        <v>58.56</v>
      </c>
      <c r="E12040" t="s">
        <v>31</v>
      </c>
    </row>
    <row r="12041" spans="1:5" x14ac:dyDescent="0.25">
      <c r="A12041" t="str">
        <f>HYPERLINK("https://www.773grp.com/globalSearch/93L16FM/page-1", "93L16FM")</f>
        <v>93L16FM</v>
      </c>
      <c r="B12041" s="3" t="str">
        <f>HYPERLINK("https://www.773grp.com/manufacturer/national-semiconductor?pageNo=114", "National Semiconductor")</f>
        <v>National Semiconductor</v>
      </c>
      <c r="C12041" s="6">
        <v>572</v>
      </c>
      <c r="D12041" s="7">
        <v>58.64</v>
      </c>
    </row>
    <row r="12042" spans="1:5" x14ac:dyDescent="0.25">
      <c r="A12042" t="str">
        <f>HYPERLINK("https://www.773grp.com/globalSearch/93S10DM/page-1", "93S10DM")</f>
        <v>93S10DM</v>
      </c>
      <c r="B12042" s="3" t="str">
        <f>HYPERLINK("https://www.773grp.com/manufacturer/national-semiconductor?pageNo=115", "National Semiconductor")</f>
        <v>National Semiconductor</v>
      </c>
      <c r="C12042" s="6">
        <v>101</v>
      </c>
      <c r="D12042" s="7">
        <v>58.64</v>
      </c>
      <c r="E12042" t="s">
        <v>26</v>
      </c>
    </row>
    <row r="12043" spans="1:5" x14ac:dyDescent="0.25">
      <c r="A12043" t="str">
        <f>HYPERLINK("https://www.773grp.com/globalSearch/DS96F175ME-883/page-1", "DS96F175ME-883")</f>
        <v>DS96F175ME-883</v>
      </c>
      <c r="B12043" s="3" t="str">
        <f>HYPERLINK("https://www.773grp.com/manufacturer/national-semiconductor?pageNo=116", "National Semiconductor")</f>
        <v>National Semiconductor</v>
      </c>
      <c r="C12043" s="6">
        <v>999</v>
      </c>
      <c r="D12043" s="7">
        <v>58.73</v>
      </c>
      <c r="E12043" t="s">
        <v>21</v>
      </c>
    </row>
    <row r="12044" spans="1:5" x14ac:dyDescent="0.25">
      <c r="A12044" t="str">
        <f>HYPERLINK("https://www.773grp.com/globalSearch/LMH0030VS-NOPB/page-1", "LMH0030VS-NOPB")</f>
        <v>LMH0030VS-NOPB</v>
      </c>
      <c r="B12044" s="3" t="str">
        <f>HYPERLINK("https://www.773grp.com/manufacturer/national-semiconductor?pageNo=117", "National Semiconductor")</f>
        <v>National Semiconductor</v>
      </c>
      <c r="C12044" s="6">
        <v>79</v>
      </c>
      <c r="D12044" s="7">
        <v>58.93</v>
      </c>
    </row>
    <row r="12045" spans="1:5" x14ac:dyDescent="0.25">
      <c r="A12045" t="str">
        <f>HYPERLINK("https://www.773grp.com/globalSearch/LMH0031VS-NOPB/page-1", "LMH0031VS-NOPB")</f>
        <v>LMH0031VS-NOPB</v>
      </c>
      <c r="B12045" s="3" t="str">
        <f>HYPERLINK("https://www.773grp.com/manufacturer/national-semiconductor?pageNo=118", "National Semiconductor")</f>
        <v>National Semiconductor</v>
      </c>
      <c r="C12045" s="6">
        <v>54</v>
      </c>
      <c r="D12045" s="7">
        <v>58.93</v>
      </c>
    </row>
    <row r="12046" spans="1:5" x14ac:dyDescent="0.25">
      <c r="A12046" t="str">
        <f>HYPERLINK("https://www.773grp.com/globalSearch/LMH0030VS-NOPB/page-1", "LMH0030VS-NOPB")</f>
        <v>LMH0030VS-NOPB</v>
      </c>
      <c r="B12046" s="3" t="str">
        <f>HYPERLINK("https://www.773grp.com/manufacturer/national-semiconductor?pageNo=119", "National Semiconductor")</f>
        <v>National Semiconductor</v>
      </c>
      <c r="C12046" s="6">
        <v>4</v>
      </c>
      <c r="D12046" s="7">
        <v>58.93</v>
      </c>
    </row>
    <row r="12047" spans="1:5" x14ac:dyDescent="0.25">
      <c r="A12047" t="str">
        <f>HYPERLINK("https://www.773grp.com/globalSearch/LMH0030VS-NOPB/page-1", "LMH0030VS-NOPB")</f>
        <v>LMH0030VS-NOPB</v>
      </c>
      <c r="B12047" s="3" t="str">
        <f>HYPERLINK("https://www.773grp.com/manufacturer/national-semiconductor?pageNo=120", "National Semiconductor")</f>
        <v>National Semiconductor</v>
      </c>
      <c r="C12047" s="6">
        <v>138</v>
      </c>
      <c r="D12047" s="7">
        <v>58.93</v>
      </c>
    </row>
    <row r="12048" spans="1:5" x14ac:dyDescent="0.25">
      <c r="A12048" t="str">
        <f>HYPERLINK("https://www.773grp.com/globalSearch/LMH0031VS-NOPB/page-1", "LMH0031VS-NOPB")</f>
        <v>LMH0031VS-NOPB</v>
      </c>
      <c r="B12048" s="3" t="str">
        <f>HYPERLINK("https://www.773grp.com/manufacturer/national-semiconductor?pageNo=121", "National Semiconductor")</f>
        <v>National Semiconductor</v>
      </c>
      <c r="C12048" s="6">
        <v>244</v>
      </c>
      <c r="D12048" s="7">
        <v>58.93</v>
      </c>
    </row>
    <row r="12049" spans="1:5" x14ac:dyDescent="0.25">
      <c r="A12049" t="str">
        <f>HYPERLINK("https://www.773grp.com/globalSearch/LM26EVAL-XPA/page-1", "LM26EVAL-XPA")</f>
        <v>LM26EVAL-XPA</v>
      </c>
      <c r="B12049" s="3" t="str">
        <f>HYPERLINK("https://www.773grp.com/manufacturer/national-semiconductor?pageNo=122", "National Semiconductor")</f>
        <v>National Semiconductor</v>
      </c>
      <c r="C12049" s="6">
        <v>1</v>
      </c>
      <c r="D12049" s="7">
        <v>58.95</v>
      </c>
    </row>
    <row r="12050" spans="1:5" x14ac:dyDescent="0.25">
      <c r="A12050" t="str">
        <f>HYPERLINK("https://www.773grp.com/globalSearch/100122W-MIL/page-1", "100122W-MIL")</f>
        <v>100122W-MIL</v>
      </c>
      <c r="B12050" s="3" t="str">
        <f>HYPERLINK("https://www.773grp.com/manufacturer/national-semiconductor?pageNo=123", "National Semiconductor")</f>
        <v>National Semiconductor</v>
      </c>
      <c r="C12050" s="6">
        <v>470</v>
      </c>
      <c r="D12050" s="7">
        <v>59.06</v>
      </c>
    </row>
    <row r="12051" spans="1:5" x14ac:dyDescent="0.25">
      <c r="A12051" t="str">
        <f>HYPERLINK("https://www.773grp.com/globalSearch/ADC12DS080CISQ/page-1", "ADC12DS080CISQ")</f>
        <v>ADC12DS080CISQ</v>
      </c>
      <c r="B12051" s="3" t="str">
        <f>HYPERLINK("https://www.773grp.com/manufacturer/national-semiconductor?pageNo=124", "National Semiconductor")</f>
        <v>National Semiconductor</v>
      </c>
      <c r="C12051" s="6">
        <v>300</v>
      </c>
      <c r="D12051" s="7">
        <v>59.06</v>
      </c>
      <c r="E12051" t="s">
        <v>39</v>
      </c>
    </row>
    <row r="12052" spans="1:5" x14ac:dyDescent="0.25">
      <c r="A12052" t="str">
        <f>HYPERLINK("https://www.773grp.com/globalSearch/DM7850W-883/page-1", "DM7850W-883")</f>
        <v>DM7850W-883</v>
      </c>
      <c r="B12052" s="3" t="str">
        <f>HYPERLINK("https://www.773grp.com/manufacturer/national-semiconductor?pageNo=125", "National Semiconductor")</f>
        <v>National Semiconductor</v>
      </c>
      <c r="C12052" s="6">
        <v>1937</v>
      </c>
      <c r="D12052" s="7">
        <v>59.06</v>
      </c>
    </row>
    <row r="12053" spans="1:5" x14ac:dyDescent="0.25">
      <c r="A12053" t="str">
        <f>HYPERLINK("https://www.773grp.com/globalSearch/DP8420AV-25/page-1", "DP8420AV-25")</f>
        <v>DP8420AV-25</v>
      </c>
      <c r="B12053" s="3" t="str">
        <f>HYPERLINK("https://www.773grp.com/manufacturer/national-semiconductor?pageNo=126", "National Semiconductor")</f>
        <v>National Semiconductor</v>
      </c>
      <c r="C12053" s="6">
        <v>485</v>
      </c>
      <c r="D12053" s="7">
        <v>59.06</v>
      </c>
      <c r="E12053" t="s">
        <v>87</v>
      </c>
    </row>
    <row r="12054" spans="1:5" x14ac:dyDescent="0.25">
      <c r="A12054" t="str">
        <f>HYPERLINK("https://www.773grp.com/globalSearch/5962-8759405XA/page-1", "5962-8759405XA")</f>
        <v>5962-8759405XA</v>
      </c>
      <c r="B12054" s="3" t="str">
        <f>HYPERLINK("https://www.773grp.com/manufacturer/national-semiconductor?pageNo=127", "National Semiconductor")</f>
        <v>National Semiconductor</v>
      </c>
      <c r="C12054" s="6">
        <v>100</v>
      </c>
      <c r="D12054" s="7">
        <v>59.06</v>
      </c>
    </row>
    <row r="12055" spans="1:5" x14ac:dyDescent="0.25">
      <c r="A12055" t="str">
        <f>HYPERLINK("https://www.773grp.com/globalSearch/LM185H-2.5-883/page-1", "LM185H-2.5-883")</f>
        <v>LM185H-2.5-883</v>
      </c>
      <c r="B12055" s="3" t="str">
        <f>HYPERLINK("https://www.773grp.com/manufacturer/national-semiconductor?pageNo=128", "National Semiconductor")</f>
        <v>National Semiconductor</v>
      </c>
      <c r="C12055" s="6">
        <v>59</v>
      </c>
      <c r="D12055" s="7">
        <v>59.06</v>
      </c>
    </row>
    <row r="12056" spans="1:5" x14ac:dyDescent="0.25">
      <c r="A12056" t="str">
        <f>HYPERLINK("https://www.773grp.com/globalSearch/962FMQB/page-1", "962FMQB")</f>
        <v>962FMQB</v>
      </c>
      <c r="B12056" s="3" t="str">
        <f>HYPERLINK("https://www.773grp.com/manufacturer/national-semiconductor?pageNo=129", "National Semiconductor")</f>
        <v>National Semiconductor</v>
      </c>
      <c r="C12056" s="6">
        <v>22</v>
      </c>
      <c r="D12056" s="7">
        <v>59.35</v>
      </c>
    </row>
    <row r="12057" spans="1:5" x14ac:dyDescent="0.25">
      <c r="A12057" t="str">
        <f>HYPERLINK("https://www.773grp.com/globalSearch/950HC/page-1", "950HC")</f>
        <v>950HC</v>
      </c>
      <c r="B12057" s="3" t="str">
        <f>HYPERLINK("https://www.773grp.com/manufacturer/national-semiconductor?pageNo=130", "National Semiconductor")</f>
        <v>National Semiconductor</v>
      </c>
      <c r="C12057" s="6">
        <v>52</v>
      </c>
      <c r="D12057" s="7">
        <v>59.36</v>
      </c>
    </row>
    <row r="12058" spans="1:5" x14ac:dyDescent="0.25">
      <c r="A12058" t="str">
        <f>HYPERLINK("https://www.773grp.com/globalSearch/DP83936AVUL-20/page-1", "DP83936AVUL-20")</f>
        <v>DP83936AVUL-20</v>
      </c>
      <c r="B12058" s="3" t="str">
        <f>HYPERLINK("https://www.773grp.com/manufacturer/national-semiconductor?pageNo=131", "National Semiconductor")</f>
        <v>National Semiconductor</v>
      </c>
      <c r="C12058" s="6">
        <v>97</v>
      </c>
      <c r="D12058" s="7">
        <v>59.36</v>
      </c>
      <c r="E12058" t="s">
        <v>71</v>
      </c>
    </row>
    <row r="12059" spans="1:5" x14ac:dyDescent="0.25">
      <c r="A12059" t="str">
        <f>HYPERLINK("https://www.773grp.com/globalSearch/PT80C525-VC-B/page-1", "PT80C525-VC-B")</f>
        <v>PT80C525-VC-B</v>
      </c>
      <c r="B12059" s="3" t="str">
        <f>HYPERLINK("https://www.773grp.com/manufacturer/national-semiconductor?pageNo=132", "National Semiconductor")</f>
        <v>National Semiconductor</v>
      </c>
      <c r="C12059" s="6">
        <v>228</v>
      </c>
      <c r="D12059" s="7">
        <v>59.45</v>
      </c>
    </row>
    <row r="12060" spans="1:5" x14ac:dyDescent="0.25">
      <c r="A12060" t="str">
        <f>HYPERLINK("https://www.773grp.com/globalSearch/SCAN928028TUFX/page-1", "SCAN928028TUFX")</f>
        <v>SCAN928028TUFX</v>
      </c>
      <c r="B12060" s="3" t="str">
        <f>HYPERLINK("https://www.773grp.com/manufacturer/national-semiconductor?pageNo=133", "National Semiconductor")</f>
        <v>National Semiconductor</v>
      </c>
      <c r="C12060" s="6">
        <v>1793</v>
      </c>
      <c r="D12060" s="7">
        <v>59.58</v>
      </c>
    </row>
    <row r="12061" spans="1:5" x14ac:dyDescent="0.25">
      <c r="A12061" t="str">
        <f>HYPERLINK("https://www.773grp.com/globalSearch/JM38510-11905BPA/page-1", "JM38510-11905BPA")</f>
        <v>JM38510-11905BPA</v>
      </c>
      <c r="B12061" s="3" t="str">
        <f>HYPERLINK("https://www.773grp.com/manufacturer/national-semiconductor?pageNo=134", "National Semiconductor")</f>
        <v>National Semiconductor</v>
      </c>
      <c r="C12061" s="6">
        <v>11</v>
      </c>
      <c r="D12061" s="7">
        <v>59.65</v>
      </c>
      <c r="E12061" t="s">
        <v>13</v>
      </c>
    </row>
    <row r="12062" spans="1:5" x14ac:dyDescent="0.25">
      <c r="A12062" t="str">
        <f>HYPERLINK("https://www.773grp.com/globalSearch/DP8422AV-25/page-1", "DP8422AV-25")</f>
        <v>DP8422AV-25</v>
      </c>
      <c r="B12062" s="3" t="str">
        <f>HYPERLINK("https://www.773grp.com/manufacturer/national-semiconductor?pageNo=1", "National Semiconductor")</f>
        <v>National Semiconductor</v>
      </c>
      <c r="C12062" s="6">
        <v>1255</v>
      </c>
      <c r="D12062" s="7">
        <v>59.69</v>
      </c>
      <c r="E12062" t="s">
        <v>87</v>
      </c>
    </row>
    <row r="12063" spans="1:5" x14ac:dyDescent="0.25">
      <c r="A12063" t="str">
        <f>HYPERLINK("https://www.773grp.com/globalSearch/93L18FM/page-1", "93L18FM")</f>
        <v>93L18FM</v>
      </c>
      <c r="B12063" s="3" t="str">
        <f>HYPERLINK("https://www.773grp.com/manufacturer/national-semiconductor?pageNo=2", "National Semiconductor")</f>
        <v>National Semiconductor</v>
      </c>
      <c r="C12063" s="6">
        <v>772</v>
      </c>
      <c r="D12063" s="7">
        <v>59.78</v>
      </c>
    </row>
    <row r="12064" spans="1:5" x14ac:dyDescent="0.25">
      <c r="A12064" t="str">
        <f>HYPERLINK("https://www.773grp.com/globalSearch/93S12DM/page-1", "93S12DM")</f>
        <v>93S12DM</v>
      </c>
      <c r="B12064" s="3" t="str">
        <f>HYPERLINK("https://www.773grp.com/manufacturer/national-semiconductor?pageNo=3", "National Semiconductor")</f>
        <v>National Semiconductor</v>
      </c>
      <c r="C12064" s="6">
        <v>688</v>
      </c>
      <c r="D12064" s="7">
        <v>59.78</v>
      </c>
    </row>
    <row r="12065" spans="1:5" x14ac:dyDescent="0.25">
      <c r="A12065" t="str">
        <f>HYPERLINK("https://www.773grp.com/globalSearch/LMZ12008EVAL/page-1", "LMZ12008EVAL")</f>
        <v>LMZ12008EVAL</v>
      </c>
      <c r="B12065" s="3" t="str">
        <f>HYPERLINK("https://www.773grp.com/manufacturer/national-semiconductor?pageNo=4", "National Semiconductor")</f>
        <v>National Semiconductor</v>
      </c>
      <c r="C12065" s="6">
        <v>1</v>
      </c>
      <c r="D12065" s="7">
        <v>59.91</v>
      </c>
    </row>
    <row r="12066" spans="1:5" x14ac:dyDescent="0.25">
      <c r="A12066" t="str">
        <f>HYPERLINK("https://www.773grp.com/globalSearch/LMZ12010EVAL/page-1", "LMZ12010EVAL")</f>
        <v>LMZ12010EVAL</v>
      </c>
      <c r="B12066" s="3" t="str">
        <f>HYPERLINK("https://www.773grp.com/manufacturer/national-semiconductor?pageNo=5", "National Semiconductor")</f>
        <v>National Semiconductor</v>
      </c>
      <c r="C12066" s="6">
        <v>3</v>
      </c>
      <c r="D12066" s="7">
        <v>59.91</v>
      </c>
    </row>
    <row r="12067" spans="1:5" x14ac:dyDescent="0.25">
      <c r="A12067" t="str">
        <f>HYPERLINK("https://www.773grp.com/globalSearch/LMZ22003EVAL/page-1", "LMZ22003EVAL")</f>
        <v>LMZ22003EVAL</v>
      </c>
      <c r="B12067" s="3" t="str">
        <f>HYPERLINK("https://www.773grp.com/manufacturer/national-semiconductor?pageNo=6", "National Semiconductor")</f>
        <v>National Semiconductor</v>
      </c>
      <c r="C12067" s="6">
        <v>3</v>
      </c>
      <c r="D12067" s="7">
        <v>59.91</v>
      </c>
    </row>
    <row r="12068" spans="1:5" x14ac:dyDescent="0.25">
      <c r="A12068" t="str">
        <f>HYPERLINK("https://www.773grp.com/globalSearch/LMZ23603EVAL/page-1", "LMZ23603EVAL")</f>
        <v>LMZ23603EVAL</v>
      </c>
      <c r="B12068" s="3" t="str">
        <f>HYPERLINK("https://www.773grp.com/manufacturer/national-semiconductor?pageNo=7", "National Semiconductor")</f>
        <v>National Semiconductor</v>
      </c>
      <c r="C12068" s="6">
        <v>3</v>
      </c>
      <c r="D12068" s="7">
        <v>59.91</v>
      </c>
    </row>
    <row r="12069" spans="1:5" x14ac:dyDescent="0.25">
      <c r="A12069" t="str">
        <f>HYPERLINK("https://www.773grp.com/globalSearch/96LS02FMQB/page-1", "96LS02FMQB")</f>
        <v>96LS02FMQB</v>
      </c>
      <c r="B12069" s="3" t="str">
        <f>HYPERLINK("https://www.773grp.com/manufacturer/national-semiconductor?pageNo=8", "National Semiconductor")</f>
        <v>National Semiconductor</v>
      </c>
      <c r="C12069" s="6">
        <v>242</v>
      </c>
      <c r="D12069" s="7">
        <v>60.19</v>
      </c>
      <c r="E12069" t="s">
        <v>54</v>
      </c>
    </row>
    <row r="12070" spans="1:5" x14ac:dyDescent="0.25">
      <c r="A12070" t="str">
        <f>HYPERLINK("https://www.773grp.com/globalSearch/LMH0366SQE-NOPB/page-1", "LMH0366SQE-NOPB")</f>
        <v>LMH0366SQE-NOPB</v>
      </c>
      <c r="B12070" s="3" t="str">
        <f>HYPERLINK("https://www.773grp.com/manufacturer/national-semiconductor?pageNo=9", "National Semiconductor")</f>
        <v>National Semiconductor</v>
      </c>
      <c r="C12070" s="6">
        <v>250</v>
      </c>
      <c r="D12070" s="7">
        <v>60.19</v>
      </c>
    </row>
    <row r="12071" spans="1:5" x14ac:dyDescent="0.25">
      <c r="A12071" t="str">
        <f>HYPERLINK("https://www.773grp.com/globalSearch/54S158LM/page-1", "54S158LM")</f>
        <v>54S158LM</v>
      </c>
      <c r="B12071" s="3" t="str">
        <f>HYPERLINK("https://www.773grp.com/manufacturer/national-semiconductor?pageNo=10", "National Semiconductor")</f>
        <v>National Semiconductor</v>
      </c>
      <c r="C12071" s="6">
        <v>70</v>
      </c>
      <c r="D12071" s="7">
        <v>60.3</v>
      </c>
    </row>
    <row r="12072" spans="1:5" x14ac:dyDescent="0.25">
      <c r="A12072" t="str">
        <f>HYPERLINK("https://www.773grp.com/globalSearch/LMH0356SQE-NOPB/page-1", "LMH0356SQE-NOPB")</f>
        <v>LMH0356SQE-NOPB</v>
      </c>
      <c r="B12072" s="3" t="str">
        <f>HYPERLINK("https://www.773grp.com/manufacturer/national-semiconductor?pageNo=11", "National Semiconductor")</f>
        <v>National Semiconductor</v>
      </c>
      <c r="C12072" s="6">
        <v>150</v>
      </c>
      <c r="D12072" s="7">
        <v>60.33</v>
      </c>
    </row>
    <row r="12073" spans="1:5" x14ac:dyDescent="0.25">
      <c r="A12073" t="str">
        <f>HYPERLINK("https://www.773grp.com/globalSearch/LMH0356SQE-NOPB/page-1", "LMH0356SQE-NOPB")</f>
        <v>LMH0356SQE-NOPB</v>
      </c>
      <c r="B12073" s="3" t="str">
        <f>HYPERLINK("https://www.773grp.com/manufacturer/national-semiconductor?pageNo=12", "National Semiconductor")</f>
        <v>National Semiconductor</v>
      </c>
      <c r="C12073" s="6">
        <v>18500</v>
      </c>
      <c r="D12073" s="7">
        <v>60.33</v>
      </c>
    </row>
    <row r="12074" spans="1:5" x14ac:dyDescent="0.25">
      <c r="A12074" t="str">
        <f>HYPERLINK("https://www.773grp.com/globalSearch/LMH0356SQE-40-NOPB/page-1", "LMH0356SQE-40-NOPB")</f>
        <v>LMH0356SQE-40-NOPB</v>
      </c>
      <c r="B12074" s="3" t="str">
        <f>HYPERLINK("https://www.773grp.com/manufacturer/national-semiconductor?pageNo=13", "National Semiconductor")</f>
        <v>National Semiconductor</v>
      </c>
      <c r="C12074" s="6">
        <v>250</v>
      </c>
      <c r="D12074" s="7">
        <v>60.33</v>
      </c>
    </row>
    <row r="12075" spans="1:5" x14ac:dyDescent="0.25">
      <c r="A12075" t="str">
        <f>HYPERLINK("https://www.773grp.com/globalSearch/JM38510-11703BXA/page-1", "JM38510-11703BXA")</f>
        <v>JM38510-11703BXA</v>
      </c>
      <c r="B12075" s="3" t="str">
        <f>HYPERLINK("https://www.773grp.com/manufacturer/national-semiconductor?pageNo=14", "National Semiconductor")</f>
        <v>National Semiconductor</v>
      </c>
      <c r="C12075" s="6">
        <v>480</v>
      </c>
      <c r="D12075" s="7">
        <v>60.46</v>
      </c>
      <c r="E12075" t="s">
        <v>22</v>
      </c>
    </row>
    <row r="12076" spans="1:5" x14ac:dyDescent="0.25">
      <c r="A12076" t="str">
        <f>HYPERLINK("https://www.773grp.com/globalSearch/DM54L72W-883/page-1", "DM54L72W-883")</f>
        <v>DM54L72W-883</v>
      </c>
      <c r="B12076" s="3" t="str">
        <f>HYPERLINK("https://www.773grp.com/manufacturer/national-semiconductor?pageNo=15", "National Semiconductor")</f>
        <v>National Semiconductor</v>
      </c>
      <c r="C12076" s="6">
        <v>24</v>
      </c>
      <c r="D12076" s="7">
        <v>60.75</v>
      </c>
      <c r="E12076" t="s">
        <v>35</v>
      </c>
    </row>
    <row r="12077" spans="1:5" x14ac:dyDescent="0.25">
      <c r="A12077" t="str">
        <f>HYPERLINK("https://www.773grp.com/globalSearch/JM38510-11905BGA/page-1", "JM38510-11905BGA")</f>
        <v>JM38510-11905BGA</v>
      </c>
      <c r="B12077" s="3" t="str">
        <f>HYPERLINK("https://www.773grp.com/manufacturer/national-semiconductor?pageNo=16", "National Semiconductor")</f>
        <v>National Semiconductor</v>
      </c>
      <c r="C12077" s="6">
        <v>26</v>
      </c>
      <c r="D12077" s="7">
        <v>60.75</v>
      </c>
      <c r="E12077" t="s">
        <v>13</v>
      </c>
    </row>
    <row r="12078" spans="1:5" x14ac:dyDescent="0.25">
      <c r="A12078" t="str">
        <f>HYPERLINK("https://www.773grp.com/globalSearch/5962-9164001MXA/page-1", "5962-9164001MXA")</f>
        <v>5962-9164001MXA</v>
      </c>
      <c r="B12078" s="3" t="str">
        <f>HYPERLINK("https://www.773grp.com/manufacturer/national-semiconductor?pageNo=17", "National Semiconductor")</f>
        <v>National Semiconductor</v>
      </c>
      <c r="C12078" s="6">
        <v>48</v>
      </c>
      <c r="D12078" s="7">
        <v>60.8</v>
      </c>
      <c r="E12078" t="s">
        <v>21</v>
      </c>
    </row>
    <row r="12079" spans="1:5" x14ac:dyDescent="0.25">
      <c r="A12079" t="str">
        <f>HYPERLINK("https://www.773grp.com/globalSearch/DS26C32AMWG-883/page-1", "DS26C32AMWG-883")</f>
        <v>DS26C32AMWG-883</v>
      </c>
      <c r="B12079" s="3" t="str">
        <f>HYPERLINK("https://www.773grp.com/manufacturer/national-semiconductor?pageNo=18", "National Semiconductor")</f>
        <v>National Semiconductor</v>
      </c>
      <c r="C12079" s="6">
        <v>1</v>
      </c>
      <c r="D12079" s="7">
        <v>60.8</v>
      </c>
      <c r="E12079" t="s">
        <v>21</v>
      </c>
    </row>
    <row r="12080" spans="1:5" x14ac:dyDescent="0.25">
      <c r="A12080" t="str">
        <f>HYPERLINK("https://www.773grp.com/globalSearch/UA9636ARMQB/page-1", "UA9636ARMQB")</f>
        <v>UA9636ARMQB</v>
      </c>
      <c r="B12080" s="3" t="str">
        <f>HYPERLINK("https://www.773grp.com/manufacturer/national-semiconductor?pageNo=19", "National Semiconductor")</f>
        <v>National Semiconductor</v>
      </c>
      <c r="C12080" s="6">
        <v>1</v>
      </c>
      <c r="D12080" s="7">
        <v>60.84</v>
      </c>
    </row>
    <row r="12081" spans="1:5" x14ac:dyDescent="0.25">
      <c r="A12081" t="str">
        <f>HYPERLINK("https://www.773grp.com/globalSearch/913HM/page-1", "913HM")</f>
        <v>913HM</v>
      </c>
      <c r="B12081" s="3" t="str">
        <f>HYPERLINK("https://www.773grp.com/manufacturer/national-semiconductor?pageNo=20", "National Semiconductor")</f>
        <v>National Semiconductor</v>
      </c>
      <c r="C12081" s="6">
        <v>628</v>
      </c>
      <c r="D12081" s="7">
        <v>60.93</v>
      </c>
      <c r="E12081" t="s">
        <v>35</v>
      </c>
    </row>
    <row r="12082" spans="1:5" x14ac:dyDescent="0.25">
      <c r="A12082" t="str">
        <f>HYPERLINK("https://www.773grp.com/globalSearch/DS9622MJ-MIL/page-1", "DS9622MJ-MIL")</f>
        <v>DS9622MJ-MIL</v>
      </c>
      <c r="B12082" s="3" t="str">
        <f>HYPERLINK("https://www.773grp.com/manufacturer/national-semiconductor?pageNo=21", "National Semiconductor")</f>
        <v>National Semiconductor</v>
      </c>
      <c r="C12082" s="6">
        <v>729</v>
      </c>
      <c r="D12082" s="7">
        <v>61.04</v>
      </c>
    </row>
    <row r="12083" spans="1:5" x14ac:dyDescent="0.25">
      <c r="A12083" t="str">
        <f>HYPERLINK("https://www.773grp.com/globalSearch/UA79MGHMQB/page-1", "UA79MGHMQB")</f>
        <v>UA79MGHMQB</v>
      </c>
      <c r="B12083" s="3" t="str">
        <f>HYPERLINK("https://www.773grp.com/manufacturer/national-semiconductor?pageNo=22", "National Semiconductor")</f>
        <v>National Semiconductor</v>
      </c>
      <c r="C12083" s="6">
        <v>503</v>
      </c>
      <c r="D12083" s="7">
        <v>61.04</v>
      </c>
      <c r="E12083" t="s">
        <v>37</v>
      </c>
    </row>
    <row r="12084" spans="1:5" x14ac:dyDescent="0.25">
      <c r="A12084" t="str">
        <f>HYPERLINK("https://www.773grp.com/globalSearch/5962-9163901M2A/page-1", "5962-9163901M2A")</f>
        <v>5962-9163901M2A</v>
      </c>
      <c r="B12084" s="3" t="str">
        <f>HYPERLINK("https://www.773grp.com/manufacturer/national-semiconductor?pageNo=23", "National Semiconductor")</f>
        <v>National Semiconductor</v>
      </c>
      <c r="C12084" s="6">
        <v>950</v>
      </c>
      <c r="D12084" s="7">
        <v>61.05</v>
      </c>
      <c r="E12084" t="s">
        <v>21</v>
      </c>
    </row>
    <row r="12085" spans="1:5" x14ac:dyDescent="0.25">
      <c r="A12085" t="str">
        <f>HYPERLINK("https://www.773grp.com/globalSearch/DP8421AV-25/page-1", "DP8421AV-25")</f>
        <v>DP8421AV-25</v>
      </c>
      <c r="B12085" s="3" t="str">
        <f>HYPERLINK("https://www.773grp.com/manufacturer/national-semiconductor?pageNo=24", "National Semiconductor")</f>
        <v>National Semiconductor</v>
      </c>
      <c r="C12085" s="6">
        <v>1007</v>
      </c>
      <c r="D12085" s="7">
        <v>61.26</v>
      </c>
      <c r="E12085" t="s">
        <v>87</v>
      </c>
    </row>
    <row r="12086" spans="1:5" x14ac:dyDescent="0.25">
      <c r="A12086" t="str">
        <f>HYPERLINK("https://www.773grp.com/globalSearch/5962-8759401YA/page-1", "5962-8759401YA")</f>
        <v>5962-8759401YA</v>
      </c>
      <c r="B12086" s="3" t="str">
        <f>HYPERLINK("https://www.773grp.com/manufacturer/national-semiconductor?pageNo=25", "National Semiconductor")</f>
        <v>National Semiconductor</v>
      </c>
      <c r="C12086" s="6">
        <v>28</v>
      </c>
      <c r="D12086" s="7">
        <v>61.48</v>
      </c>
      <c r="E12086" t="s">
        <v>17</v>
      </c>
    </row>
    <row r="12087" spans="1:5" x14ac:dyDescent="0.25">
      <c r="A12087" t="str">
        <f>HYPERLINK("https://www.773grp.com/globalSearch/LM185WG-1.2-883/page-1", "LM185WG-1.2-883")</f>
        <v>LM185WG-1.2-883</v>
      </c>
      <c r="B12087" s="3" t="str">
        <f>HYPERLINK("https://www.773grp.com/manufacturer/national-semiconductor?pageNo=26", "National Semiconductor")</f>
        <v>National Semiconductor</v>
      </c>
      <c r="C12087" s="6">
        <v>146</v>
      </c>
      <c r="D12087" s="7">
        <v>61.48</v>
      </c>
      <c r="E12087" t="s">
        <v>17</v>
      </c>
    </row>
    <row r="12088" spans="1:5" x14ac:dyDescent="0.25">
      <c r="A12088" t="str">
        <f>HYPERLINK("https://www.773grp.com/globalSearch/LM185WG-2.5-883/page-1", "LM185WG-2.5-883")</f>
        <v>LM185WG-2.5-883</v>
      </c>
      <c r="B12088" s="3" t="str">
        <f>HYPERLINK("https://www.773grp.com/manufacturer/national-semiconductor?pageNo=27", "National Semiconductor")</f>
        <v>National Semiconductor</v>
      </c>
      <c r="C12088" s="6">
        <v>27</v>
      </c>
      <c r="D12088" s="7">
        <v>61.48</v>
      </c>
      <c r="E12088" t="s">
        <v>17</v>
      </c>
    </row>
    <row r="12089" spans="1:5" x14ac:dyDescent="0.25">
      <c r="A12089" t="str">
        <f>HYPERLINK("https://www.773grp.com/globalSearch/LM185WG-1.2-883/page-1", "LM185WG-1.2-883")</f>
        <v>LM185WG-1.2-883</v>
      </c>
      <c r="B12089" s="3" t="str">
        <f>HYPERLINK("https://www.773grp.com/manufacturer/national-semiconductor?pageNo=28", "National Semiconductor")</f>
        <v>National Semiconductor</v>
      </c>
      <c r="C12089" s="6">
        <v>50</v>
      </c>
      <c r="D12089" s="7">
        <v>61.48</v>
      </c>
      <c r="E12089" t="s">
        <v>17</v>
      </c>
    </row>
    <row r="12090" spans="1:5" x14ac:dyDescent="0.25">
      <c r="A12090" t="str">
        <f>HYPERLINK("https://www.773grp.com/globalSearch/LM185WG-2.5-883/page-1", "LM185WG-2.5-883")</f>
        <v>LM185WG-2.5-883</v>
      </c>
      <c r="B12090" s="3" t="str">
        <f>HYPERLINK("https://www.773grp.com/manufacturer/national-semiconductor?pageNo=29", "National Semiconductor")</f>
        <v>National Semiconductor</v>
      </c>
      <c r="C12090" s="6">
        <v>54</v>
      </c>
      <c r="D12090" s="7">
        <v>61.48</v>
      </c>
      <c r="E12090" t="s">
        <v>17</v>
      </c>
    </row>
    <row r="12091" spans="1:5" x14ac:dyDescent="0.25">
      <c r="A12091" t="str">
        <f>HYPERLINK("https://www.773grp.com/globalSearch/LM140K-12-NOPB/page-1", "LM140K-12-NOPB")</f>
        <v>LM140K-12-NOPB</v>
      </c>
      <c r="B12091" s="3" t="str">
        <f>HYPERLINK("https://www.773grp.com/manufacturer/national-semiconductor?pageNo=30", "National Semiconductor")</f>
        <v>National Semiconductor</v>
      </c>
      <c r="C12091" s="6">
        <v>23</v>
      </c>
      <c r="D12091" s="7">
        <v>61.54</v>
      </c>
    </row>
    <row r="12092" spans="1:5" x14ac:dyDescent="0.25">
      <c r="A12092" t="str">
        <f>HYPERLINK("https://www.773grp.com/globalSearch/LM140K-5.0/page-1", "LM140K-5.0")</f>
        <v>LM140K-5.0</v>
      </c>
      <c r="B12092" s="3" t="str">
        <f>HYPERLINK("https://www.773grp.com/manufacturer/national-semiconductor?pageNo=31", "National Semiconductor")</f>
        <v>National Semiconductor</v>
      </c>
      <c r="C12092" s="6">
        <v>48</v>
      </c>
      <c r="D12092" s="7">
        <v>61.54</v>
      </c>
      <c r="E12092" t="s">
        <v>28</v>
      </c>
    </row>
    <row r="12093" spans="1:5" x14ac:dyDescent="0.25">
      <c r="A12093" t="str">
        <f>HYPERLINK("https://www.773grp.com/globalSearch/LM140K-5.0-NOPB/page-1", "LM140K-5.0-NOPB")</f>
        <v>LM140K-5.0-NOPB</v>
      </c>
      <c r="B12093" s="3" t="str">
        <f>HYPERLINK("https://www.773grp.com/manufacturer/national-semiconductor?pageNo=32", "National Semiconductor")</f>
        <v>National Semiconductor</v>
      </c>
      <c r="C12093" s="6">
        <v>81</v>
      </c>
      <c r="D12093" s="7">
        <v>61.54</v>
      </c>
      <c r="E12093" t="s">
        <v>28</v>
      </c>
    </row>
    <row r="12094" spans="1:5" x14ac:dyDescent="0.25">
      <c r="A12094" t="str">
        <f>HYPERLINK("https://www.773grp.com/globalSearch/LM309K STEEL-NOPB/page-1", "LM309K STEEL-NOPB")</f>
        <v>LM309K STEEL-NOPB</v>
      </c>
      <c r="B12094" s="3" t="str">
        <f>HYPERLINK("https://www.773grp.com/manufacturer/national-semiconductor?pageNo=33", "National Semiconductor")</f>
        <v>National Semiconductor</v>
      </c>
      <c r="C12094" s="6">
        <v>150</v>
      </c>
      <c r="D12094" s="7">
        <v>61.54</v>
      </c>
    </row>
    <row r="12095" spans="1:5" x14ac:dyDescent="0.25">
      <c r="A12095" t="str">
        <f>HYPERLINK("https://www.773grp.com/globalSearch/LM340K-5.0/page-1", "LM340K-5.0")</f>
        <v>LM340K-5.0</v>
      </c>
      <c r="B12095" s="3" t="str">
        <f>HYPERLINK("https://www.773grp.com/manufacturer/national-semiconductor?pageNo=34", "National Semiconductor")</f>
        <v>National Semiconductor</v>
      </c>
      <c r="C12095" s="6">
        <v>652</v>
      </c>
      <c r="D12095" s="7">
        <v>61.54</v>
      </c>
      <c r="E12095" t="s">
        <v>28</v>
      </c>
    </row>
    <row r="12096" spans="1:5" x14ac:dyDescent="0.25">
      <c r="A12096" t="str">
        <f>HYPERLINK("https://www.773grp.com/globalSearch/LM340K-5.0-NOPB/page-1", "LM340K-5.0-NOPB")</f>
        <v>LM340K-5.0-NOPB</v>
      </c>
      <c r="B12096" s="3" t="str">
        <f>HYPERLINK("https://www.773grp.com/manufacturer/national-semiconductor?pageNo=35", "National Semiconductor")</f>
        <v>National Semiconductor</v>
      </c>
      <c r="C12096" s="6">
        <v>300</v>
      </c>
      <c r="D12096" s="7">
        <v>61.54</v>
      </c>
      <c r="E12096" t="s">
        <v>28</v>
      </c>
    </row>
    <row r="12097" spans="1:5" x14ac:dyDescent="0.25">
      <c r="A12097" t="str">
        <f>HYPERLINK("https://www.773grp.com/globalSearch/LM140K-12-NOPB/page-1", "LM140K-12-NOPB")</f>
        <v>LM140K-12-NOPB</v>
      </c>
      <c r="B12097" s="3" t="str">
        <f>HYPERLINK("https://www.773grp.com/manufacturer/national-semiconductor?pageNo=36", "National Semiconductor")</f>
        <v>National Semiconductor</v>
      </c>
      <c r="C12097" s="6">
        <v>50</v>
      </c>
      <c r="D12097" s="7">
        <v>61.54</v>
      </c>
    </row>
    <row r="12098" spans="1:5" x14ac:dyDescent="0.25">
      <c r="A12098" t="str">
        <f>HYPERLINK("https://www.773grp.com/globalSearch/LM140K-5.0/page-1", "LM140K-5.0")</f>
        <v>LM140K-5.0</v>
      </c>
      <c r="B12098" s="3" t="str">
        <f>HYPERLINK("https://www.773grp.com/manufacturer/national-semiconductor?pageNo=37", "National Semiconductor")</f>
        <v>National Semiconductor</v>
      </c>
      <c r="C12098" s="6">
        <v>12</v>
      </c>
      <c r="D12098" s="7">
        <v>61.54</v>
      </c>
      <c r="E12098" t="s">
        <v>28</v>
      </c>
    </row>
    <row r="12099" spans="1:5" x14ac:dyDescent="0.25">
      <c r="A12099" t="str">
        <f>HYPERLINK("https://www.773grp.com/globalSearch/LM309K STEEL/page-1", "LM309K STEEL")</f>
        <v>LM309K STEEL</v>
      </c>
      <c r="B12099" s="3" t="str">
        <f>HYPERLINK("https://www.773grp.com/manufacturer/national-semiconductor?pageNo=38", "National Semiconductor")</f>
        <v>National Semiconductor</v>
      </c>
      <c r="C12099" s="6">
        <v>100</v>
      </c>
      <c r="D12099" s="7">
        <v>61.54</v>
      </c>
    </row>
    <row r="12100" spans="1:5" x14ac:dyDescent="0.25">
      <c r="A12100" t="str">
        <f>HYPERLINK("https://www.773grp.com/globalSearch/54S109FM/page-1", "54S109FM")</f>
        <v>54S109FM</v>
      </c>
      <c r="B12100" s="3" t="str">
        <f>HYPERLINK("https://www.773grp.com/manufacturer/national-semiconductor?pageNo=39", "National Semiconductor")</f>
        <v>National Semiconductor</v>
      </c>
      <c r="C12100" s="6">
        <v>1127</v>
      </c>
      <c r="D12100" s="7">
        <v>61.8</v>
      </c>
    </row>
    <row r="12101" spans="1:5" x14ac:dyDescent="0.25">
      <c r="A12101" t="str">
        <f>HYPERLINK("https://www.773grp.com/globalSearch/100113J-MIL/page-1", "100113J-MIL")</f>
        <v>100113J-MIL</v>
      </c>
      <c r="B12101" s="3" t="str">
        <f>HYPERLINK("https://www.773grp.com/manufacturer/national-semiconductor?pageNo=40", "National Semiconductor")</f>
        <v>National Semiconductor</v>
      </c>
      <c r="C12101" s="6">
        <v>74</v>
      </c>
      <c r="D12101" s="7">
        <v>61.88</v>
      </c>
    </row>
    <row r="12102" spans="1:5" x14ac:dyDescent="0.25">
      <c r="A12102" t="str">
        <f>HYPERLINK("https://www.773grp.com/globalSearch/100115FMQB/page-1", "100115FMQB")</f>
        <v>100115FMQB</v>
      </c>
      <c r="B12102" s="3" t="str">
        <f>HYPERLINK("https://www.773grp.com/manufacturer/national-semiconductor?pageNo=41", "National Semiconductor")</f>
        <v>National Semiconductor</v>
      </c>
      <c r="C12102" s="6">
        <v>92</v>
      </c>
      <c r="D12102" s="7">
        <v>61.88</v>
      </c>
      <c r="E12102" t="s">
        <v>34</v>
      </c>
    </row>
    <row r="12103" spans="1:5" x14ac:dyDescent="0.25">
      <c r="A12103" t="str">
        <f>HYPERLINK("https://www.773grp.com/globalSearch/100115W-MIL/page-1", "100115W-MIL")</f>
        <v>100115W-MIL</v>
      </c>
      <c r="B12103" s="3" t="str">
        <f>HYPERLINK("https://www.773grp.com/manufacturer/national-semiconductor?pageNo=42", "National Semiconductor")</f>
        <v>National Semiconductor</v>
      </c>
      <c r="C12103" s="6">
        <v>416</v>
      </c>
      <c r="D12103" s="7">
        <v>61.88</v>
      </c>
    </row>
    <row r="12104" spans="1:5" x14ac:dyDescent="0.25">
      <c r="A12104" t="str">
        <f>HYPERLINK("https://www.773grp.com/globalSearch/100124J-MIL/page-1", "100124J-MIL")</f>
        <v>100124J-MIL</v>
      </c>
      <c r="B12104" s="3" t="str">
        <f>HYPERLINK("https://www.773grp.com/manufacturer/national-semiconductor?pageNo=43", "National Semiconductor")</f>
        <v>National Semiconductor</v>
      </c>
      <c r="C12104" s="6">
        <v>431</v>
      </c>
      <c r="D12104" s="7">
        <v>61.88</v>
      </c>
    </row>
    <row r="12105" spans="1:5" x14ac:dyDescent="0.25">
      <c r="A12105" t="str">
        <f>HYPERLINK("https://www.773grp.com/globalSearch/100126J-MIL/page-1", "100126J-MIL")</f>
        <v>100126J-MIL</v>
      </c>
      <c r="B12105" s="3" t="str">
        <f>HYPERLINK("https://www.773grp.com/manufacturer/national-semiconductor?pageNo=44", "National Semiconductor")</f>
        <v>National Semiconductor</v>
      </c>
      <c r="C12105" s="6">
        <v>1401</v>
      </c>
      <c r="D12105" s="7">
        <v>61.88</v>
      </c>
    </row>
    <row r="12106" spans="1:5" x14ac:dyDescent="0.25">
      <c r="A12106" t="str">
        <f>HYPERLINK("https://www.773grp.com/globalSearch/100135J-MIL/page-1", "100135J-MIL")</f>
        <v>100135J-MIL</v>
      </c>
      <c r="B12106" s="3" t="str">
        <f>HYPERLINK("https://www.773grp.com/manufacturer/national-semiconductor?pageNo=45", "National Semiconductor")</f>
        <v>National Semiconductor</v>
      </c>
      <c r="C12106" s="6">
        <v>1050</v>
      </c>
      <c r="D12106" s="7">
        <v>61.88</v>
      </c>
    </row>
    <row r="12107" spans="1:5" x14ac:dyDescent="0.25">
      <c r="A12107" t="str">
        <f>HYPERLINK("https://www.773grp.com/globalSearch/100155J-MIL/page-1", "100155J-MIL")</f>
        <v>100155J-MIL</v>
      </c>
      <c r="B12107" s="3" t="str">
        <f>HYPERLINK("https://www.773grp.com/manufacturer/national-semiconductor?pageNo=46", "National Semiconductor")</f>
        <v>National Semiconductor</v>
      </c>
      <c r="C12107" s="6">
        <v>502</v>
      </c>
      <c r="D12107" s="7">
        <v>61.88</v>
      </c>
    </row>
    <row r="12108" spans="1:5" x14ac:dyDescent="0.25">
      <c r="A12108" t="str">
        <f>HYPERLINK("https://www.773grp.com/globalSearch/100164J-MIL/page-1", "100164J-MIL")</f>
        <v>100164J-MIL</v>
      </c>
      <c r="B12108" s="3" t="str">
        <f>HYPERLINK("https://www.773grp.com/manufacturer/national-semiconductor?pageNo=47", "National Semiconductor")</f>
        <v>National Semiconductor</v>
      </c>
      <c r="C12108" s="6">
        <v>1422</v>
      </c>
      <c r="D12108" s="7">
        <v>61.88</v>
      </c>
    </row>
    <row r="12109" spans="1:5" x14ac:dyDescent="0.25">
      <c r="A12109" t="str">
        <f>HYPERLINK("https://www.773grp.com/globalSearch/100170J-MIL/page-1", "100170J-MIL")</f>
        <v>100170J-MIL</v>
      </c>
      <c r="B12109" s="3" t="str">
        <f>HYPERLINK("https://www.773grp.com/manufacturer/national-semiconductor?pageNo=48", "National Semiconductor")</f>
        <v>National Semiconductor</v>
      </c>
      <c r="C12109" s="6">
        <v>926</v>
      </c>
      <c r="D12109" s="7">
        <v>61.88</v>
      </c>
    </row>
    <row r="12110" spans="1:5" x14ac:dyDescent="0.25">
      <c r="A12110" t="str">
        <f>HYPERLINK("https://www.773grp.com/globalSearch/DS1679J-MIL/page-1", "DS1679J-MIL")</f>
        <v>DS1679J-MIL</v>
      </c>
      <c r="B12110" s="3" t="str">
        <f>HYPERLINK("https://www.773grp.com/manufacturer/national-semiconductor?pageNo=49", "National Semiconductor")</f>
        <v>National Semiconductor</v>
      </c>
      <c r="C12110" s="6">
        <v>140</v>
      </c>
      <c r="D12110" s="7">
        <v>61.88</v>
      </c>
    </row>
    <row r="12111" spans="1:5" x14ac:dyDescent="0.25">
      <c r="A12111" t="str">
        <f>HYPERLINK("https://www.773grp.com/globalSearch/JM54ACT138B2A/page-1", "JM54ACT138B2A")</f>
        <v>JM54ACT138B2A</v>
      </c>
      <c r="B12111" s="3" t="str">
        <f>HYPERLINK("https://www.773grp.com/manufacturer/national-semiconductor?pageNo=50", "National Semiconductor")</f>
        <v>National Semiconductor</v>
      </c>
      <c r="C12111" s="6">
        <v>58</v>
      </c>
      <c r="D12111" s="7">
        <v>61.88</v>
      </c>
    </row>
    <row r="12112" spans="1:5" x14ac:dyDescent="0.25">
      <c r="A12112" t="str">
        <f>HYPERLINK("https://www.773grp.com/globalSearch/LM117K STEEL-NOPB/page-1", "LM117K STEEL-NOPB")</f>
        <v>LM117K STEEL-NOPB</v>
      </c>
      <c r="B12112" s="3" t="str">
        <f>HYPERLINK("https://www.773grp.com/manufacturer/national-semiconductor?pageNo=51", "National Semiconductor")</f>
        <v>National Semiconductor</v>
      </c>
      <c r="C12112" s="6">
        <v>8</v>
      </c>
      <c r="D12112" s="7">
        <v>61.88</v>
      </c>
    </row>
    <row r="12113" spans="1:5" x14ac:dyDescent="0.25">
      <c r="A12113" t="str">
        <f>HYPERLINK("https://www.773grp.com/globalSearch/LM317HVKSTEEL-NOPB/page-1", "LM317HVKSTEEL-NOPB")</f>
        <v>LM317HVKSTEEL-NOPB</v>
      </c>
      <c r="B12113" s="3" t="str">
        <f>HYPERLINK("https://www.773grp.com/manufacturer/national-semiconductor?pageNo=52", "National Semiconductor")</f>
        <v>National Semiconductor</v>
      </c>
      <c r="C12113" s="6">
        <v>94</v>
      </c>
      <c r="D12113" s="7">
        <v>61.88</v>
      </c>
      <c r="E12113" t="s">
        <v>22</v>
      </c>
    </row>
    <row r="12114" spans="1:5" x14ac:dyDescent="0.25">
      <c r="A12114" t="str">
        <f>HYPERLINK("https://www.773grp.com/globalSearch/LM317KSTEEL/page-1", "LM317KSTEEL")</f>
        <v>LM317KSTEEL</v>
      </c>
      <c r="B12114" s="3" t="str">
        <f>HYPERLINK("https://www.773grp.com/manufacturer/national-semiconductor?pageNo=53", "National Semiconductor")</f>
        <v>National Semiconductor</v>
      </c>
      <c r="C12114" s="6">
        <v>174</v>
      </c>
      <c r="D12114" s="7">
        <v>61.88</v>
      </c>
      <c r="E12114" t="s">
        <v>22</v>
      </c>
    </row>
    <row r="12115" spans="1:5" x14ac:dyDescent="0.25">
      <c r="A12115" t="str">
        <f>HYPERLINK("https://www.773grp.com/globalSearch/LM350KSTEEL/page-1", "LM350KSTEEL")</f>
        <v>LM350KSTEEL</v>
      </c>
      <c r="B12115" s="3" t="str">
        <f>HYPERLINK("https://www.773grp.com/manufacturer/national-semiconductor?pageNo=54", "National Semiconductor")</f>
        <v>National Semiconductor</v>
      </c>
      <c r="C12115" s="6">
        <v>50</v>
      </c>
      <c r="D12115" s="7">
        <v>61.88</v>
      </c>
    </row>
    <row r="12116" spans="1:5" x14ac:dyDescent="0.25">
      <c r="A12116" t="str">
        <f>HYPERLINK("https://www.773grp.com/globalSearch/LM350KSTEEL-NOPB/page-1", "LM350KSTEEL-NOPB")</f>
        <v>LM350KSTEEL-NOPB</v>
      </c>
      <c r="B12116" s="3" t="str">
        <f>HYPERLINK("https://www.773grp.com/manufacturer/national-semiconductor?pageNo=55", "National Semiconductor")</f>
        <v>National Semiconductor</v>
      </c>
      <c r="C12116" s="6">
        <v>417</v>
      </c>
      <c r="D12116" s="7">
        <v>61.88</v>
      </c>
      <c r="E12116" t="s">
        <v>22</v>
      </c>
    </row>
    <row r="12117" spans="1:5" x14ac:dyDescent="0.25">
      <c r="A12117" t="str">
        <f>HYPERLINK("https://www.773grp.com/globalSearch/LM117K STEEL-NOPB/page-1", "LM117K STEEL-NOPB")</f>
        <v>LM117K STEEL-NOPB</v>
      </c>
      <c r="B12117" s="3" t="str">
        <f>HYPERLINK("https://www.773grp.com/manufacturer/national-semiconductor?pageNo=56", "National Semiconductor")</f>
        <v>National Semiconductor</v>
      </c>
      <c r="C12117" s="6">
        <v>1630</v>
      </c>
      <c r="D12117" s="7">
        <v>61.88</v>
      </c>
    </row>
    <row r="12118" spans="1:5" x14ac:dyDescent="0.25">
      <c r="A12118" t="str">
        <f>HYPERLINK("https://www.773grp.com/globalSearch/LM317HVK/page-1", "LM317HVK")</f>
        <v>LM317HVK</v>
      </c>
      <c r="B12118" s="3" t="str">
        <f>HYPERLINK("https://www.773grp.com/manufacturer/national-semiconductor?pageNo=57", "National Semiconductor")</f>
        <v>National Semiconductor</v>
      </c>
      <c r="C12118" s="6">
        <v>30</v>
      </c>
      <c r="D12118" s="7">
        <v>61.88</v>
      </c>
      <c r="E12118" t="s">
        <v>22</v>
      </c>
    </row>
    <row r="12119" spans="1:5" x14ac:dyDescent="0.25">
      <c r="A12119" t="str">
        <f>HYPERLINK("https://www.773grp.com/globalSearch/LM317HVKSTEEL/page-1", "LM317HVKSTEEL")</f>
        <v>LM317HVKSTEEL</v>
      </c>
      <c r="B12119" s="3" t="str">
        <f>HYPERLINK("https://www.773grp.com/manufacturer/national-semiconductor?pageNo=58", "National Semiconductor")</f>
        <v>National Semiconductor</v>
      </c>
      <c r="C12119" s="6">
        <v>1091</v>
      </c>
      <c r="D12119" s="7">
        <v>61.88</v>
      </c>
    </row>
    <row r="12120" spans="1:5" x14ac:dyDescent="0.25">
      <c r="A12120" t="str">
        <f>HYPERLINK("https://www.773grp.com/globalSearch/LM317KSTEEL/page-1", "LM317KSTEEL")</f>
        <v>LM317KSTEEL</v>
      </c>
      <c r="B12120" s="3" t="str">
        <f>HYPERLINK("https://www.773grp.com/manufacturer/national-semiconductor?pageNo=59", "National Semiconductor")</f>
        <v>National Semiconductor</v>
      </c>
      <c r="C12120" s="6">
        <v>1604</v>
      </c>
      <c r="D12120" s="7">
        <v>61.88</v>
      </c>
      <c r="E12120" t="s">
        <v>22</v>
      </c>
    </row>
    <row r="12121" spans="1:5" x14ac:dyDescent="0.25">
      <c r="A12121" t="str">
        <f>HYPERLINK("https://www.773grp.com/globalSearch/LM317KSTEEL-NOPB/page-1", "LM317KSTEEL-NOPB")</f>
        <v>LM317KSTEEL-NOPB</v>
      </c>
      <c r="B12121" s="3" t="str">
        <f>HYPERLINK("https://www.773grp.com/manufacturer/national-semiconductor?pageNo=60", "National Semiconductor")</f>
        <v>National Semiconductor</v>
      </c>
      <c r="C12121" s="6">
        <v>25</v>
      </c>
      <c r="D12121" s="7">
        <v>61.88</v>
      </c>
    </row>
    <row r="12122" spans="1:5" x14ac:dyDescent="0.25">
      <c r="A12122" t="str">
        <f>HYPERLINK("https://www.773grp.com/globalSearch/LM323KSTEEL-NOPB/page-1", "LM323KSTEEL-NOPB")</f>
        <v>LM323KSTEEL-NOPB</v>
      </c>
      <c r="B12122" s="3" t="str">
        <f>HYPERLINK("https://www.773grp.com/manufacturer/national-semiconductor?pageNo=61", "National Semiconductor")</f>
        <v>National Semiconductor</v>
      </c>
      <c r="C12122" s="6">
        <v>172</v>
      </c>
      <c r="D12122" s="7">
        <v>61.88</v>
      </c>
    </row>
    <row r="12123" spans="1:5" x14ac:dyDescent="0.25">
      <c r="A12123" t="str">
        <f>HYPERLINK("https://www.773grp.com/globalSearch/LM350KSTEEL/page-1", "LM350KSTEEL")</f>
        <v>LM350KSTEEL</v>
      </c>
      <c r="B12123" s="3" t="str">
        <f>HYPERLINK("https://www.773grp.com/manufacturer/national-semiconductor?pageNo=62", "National Semiconductor")</f>
        <v>National Semiconductor</v>
      </c>
      <c r="C12123" s="6">
        <v>41</v>
      </c>
      <c r="D12123" s="7">
        <v>61.88</v>
      </c>
    </row>
    <row r="12124" spans="1:5" x14ac:dyDescent="0.25">
      <c r="A12124" t="str">
        <f>HYPERLINK("https://www.773grp.com/globalSearch/11C91DMQB/page-1", "11C91DMQB")</f>
        <v>11C91DMQB</v>
      </c>
      <c r="B12124" s="3" t="str">
        <f>HYPERLINK("https://www.773grp.com/manufacturer/national-semiconductor?pageNo=63", "National Semiconductor")</f>
        <v>National Semiconductor</v>
      </c>
      <c r="C12124" s="6">
        <v>378</v>
      </c>
      <c r="D12124" s="7">
        <v>62.49</v>
      </c>
      <c r="E12124" t="s">
        <v>54</v>
      </c>
    </row>
    <row r="12125" spans="1:5" x14ac:dyDescent="0.25">
      <c r="A12125" t="str">
        <f>HYPERLINK("https://www.773grp.com/globalSearch/DS26LS31MW-883/page-1", "DS26LS31MW-883")</f>
        <v>DS26LS31MW-883</v>
      </c>
      <c r="B12125" s="3" t="str">
        <f>HYPERLINK("https://www.773grp.com/manufacturer/national-semiconductor?pageNo=64", "National Semiconductor")</f>
        <v>National Semiconductor</v>
      </c>
      <c r="C12125" s="6">
        <v>8</v>
      </c>
      <c r="D12125" s="7">
        <v>62.49</v>
      </c>
      <c r="E12125" t="s">
        <v>21</v>
      </c>
    </row>
    <row r="12126" spans="1:5" x14ac:dyDescent="0.25">
      <c r="A12126" t="str">
        <f>HYPERLINK("https://www.773grp.com/globalSearch/DS26LS31MW-883/page-1", "DS26LS31MW-883")</f>
        <v>DS26LS31MW-883</v>
      </c>
      <c r="B12126" s="3" t="str">
        <f>HYPERLINK("https://www.773grp.com/manufacturer/national-semiconductor?pageNo=65", "National Semiconductor")</f>
        <v>National Semiconductor</v>
      </c>
      <c r="C12126" s="6">
        <v>292</v>
      </c>
      <c r="D12126" s="7">
        <v>62.49</v>
      </c>
      <c r="E12126" t="s">
        <v>21</v>
      </c>
    </row>
    <row r="12127" spans="1:5" x14ac:dyDescent="0.25">
      <c r="A12127" t="str">
        <f>HYPERLINK("https://www.773grp.com/globalSearch/MM70C98W-883/page-1", "MM70C98W-883")</f>
        <v>MM70C98W-883</v>
      </c>
      <c r="B12127" s="3" t="str">
        <f>HYPERLINK("https://www.773grp.com/manufacturer/national-semiconductor?pageNo=66", "National Semiconductor")</f>
        <v>National Semiconductor</v>
      </c>
      <c r="C12127" s="6">
        <v>37</v>
      </c>
      <c r="D12127" s="7">
        <v>62.73</v>
      </c>
      <c r="E12127" t="s">
        <v>14</v>
      </c>
    </row>
    <row r="12128" spans="1:5" x14ac:dyDescent="0.25">
      <c r="A12128" t="str">
        <f>HYPERLINK("https://www.773grp.com/globalSearch/5962-9164001M2A/page-1", "5962-9164001M2A")</f>
        <v>5962-9164001M2A</v>
      </c>
      <c r="B12128" s="3" t="str">
        <f>HYPERLINK("https://www.773grp.com/manufacturer/national-semiconductor?pageNo=67", "National Semiconductor")</f>
        <v>National Semiconductor</v>
      </c>
      <c r="C12128" s="6">
        <v>400</v>
      </c>
      <c r="D12128" s="7">
        <v>62.89</v>
      </c>
      <c r="E12128" t="s">
        <v>21</v>
      </c>
    </row>
    <row r="12129" spans="1:5" x14ac:dyDescent="0.25">
      <c r="A12129" t="str">
        <f>HYPERLINK("https://www.773grp.com/globalSearch/DS26C31ME-883/page-1", "DS26C31ME-883")</f>
        <v>DS26C31ME-883</v>
      </c>
      <c r="B12129" s="3" t="str">
        <f>HYPERLINK("https://www.773grp.com/manufacturer/national-semiconductor?pageNo=68", "National Semiconductor")</f>
        <v>National Semiconductor</v>
      </c>
      <c r="C12129" s="6">
        <v>100</v>
      </c>
      <c r="D12129" s="7">
        <v>62.89</v>
      </c>
      <c r="E12129" t="s">
        <v>21</v>
      </c>
    </row>
    <row r="12130" spans="1:5" x14ac:dyDescent="0.25">
      <c r="A12130" t="str">
        <f>HYPERLINK("https://www.773grp.com/globalSearch/PT86C523-VC-B/page-1", "PT86C523-VC-B")</f>
        <v>PT86C523-VC-B</v>
      </c>
      <c r="B12130" s="3" t="str">
        <f>HYPERLINK("https://www.773grp.com/manufacturer/national-semiconductor?pageNo=69", "National Semiconductor")</f>
        <v>National Semiconductor</v>
      </c>
      <c r="C12130" s="6">
        <v>6</v>
      </c>
      <c r="D12130" s="7">
        <v>63</v>
      </c>
    </row>
    <row r="12131" spans="1:5" x14ac:dyDescent="0.25">
      <c r="A12131" t="str">
        <f>HYPERLINK("https://www.773grp.com/globalSearch/PT86C523-VC-C/page-1", "PT86C523-VC-C")</f>
        <v>PT86C523-VC-C</v>
      </c>
      <c r="B12131" s="3" t="str">
        <f>HYPERLINK("https://www.773grp.com/manufacturer/national-semiconductor?pageNo=70", "National Semiconductor")</f>
        <v>National Semiconductor</v>
      </c>
      <c r="C12131" s="6">
        <v>1000</v>
      </c>
      <c r="D12131" s="7">
        <v>63</v>
      </c>
    </row>
    <row r="12132" spans="1:5" x14ac:dyDescent="0.25">
      <c r="A12132" t="str">
        <f>HYPERLINK("https://www.773grp.com/globalSearch/ADC14161CIVT/page-1", "ADC14161CIVT")</f>
        <v>ADC14161CIVT</v>
      </c>
      <c r="B12132" s="3" t="str">
        <f>HYPERLINK("https://www.773grp.com/manufacturer/national-semiconductor?pageNo=71", "National Semiconductor")</f>
        <v>National Semiconductor</v>
      </c>
      <c r="C12132" s="6">
        <v>93</v>
      </c>
      <c r="D12132" s="7">
        <v>63.06</v>
      </c>
      <c r="E12132" t="s">
        <v>39</v>
      </c>
    </row>
    <row r="12133" spans="1:5" x14ac:dyDescent="0.25">
      <c r="A12133" t="str">
        <f>HYPERLINK("https://www.773grp.com/globalSearch/DM77S184J-MIL/page-1", "DM77S184J-MIL")</f>
        <v>DM77S184J-MIL</v>
      </c>
      <c r="B12133" s="3" t="str">
        <f>HYPERLINK("https://www.773grp.com/manufacturer/national-semiconductor?pageNo=72", "National Semiconductor")</f>
        <v>National Semiconductor</v>
      </c>
      <c r="C12133" s="6">
        <v>269</v>
      </c>
      <c r="D12133" s="7">
        <v>63.29</v>
      </c>
    </row>
    <row r="12134" spans="1:5" x14ac:dyDescent="0.25">
      <c r="A12134" t="str">
        <f>HYPERLINK("https://www.773grp.com/globalSearch/DS92LV8028TUF-NOPB/page-1", "DS92LV8028TUF-NOPB")</f>
        <v>DS92LV8028TUF-NOPB</v>
      </c>
      <c r="B12134" s="3" t="str">
        <f>HYPERLINK("https://www.773grp.com/manufacturer/national-semiconductor?pageNo=73", "National Semiconductor")</f>
        <v>National Semiconductor</v>
      </c>
      <c r="C12134" s="6">
        <v>4121</v>
      </c>
      <c r="D12134" s="7">
        <v>63.29</v>
      </c>
      <c r="E12134" t="s">
        <v>21</v>
      </c>
    </row>
    <row r="12135" spans="1:5" x14ac:dyDescent="0.25">
      <c r="A12135" t="str">
        <f>HYPERLINK("https://www.773grp.com/globalSearch/DS92LV8028TUF-NOPB/page-1", "DS92LV8028TUF-NOPB")</f>
        <v>DS92LV8028TUF-NOPB</v>
      </c>
      <c r="B12135" s="3" t="str">
        <f>HYPERLINK("https://www.773grp.com/manufacturer/national-semiconductor?pageNo=74", "National Semiconductor")</f>
        <v>National Semiconductor</v>
      </c>
      <c r="C12135" s="6">
        <v>10773</v>
      </c>
      <c r="D12135" s="7">
        <v>63.29</v>
      </c>
      <c r="E12135" t="s">
        <v>21</v>
      </c>
    </row>
    <row r="12136" spans="1:5" x14ac:dyDescent="0.25">
      <c r="A12136" t="str">
        <f>HYPERLINK("https://www.773grp.com/globalSearch/LM629N-6/page-1", "LM629N-6")</f>
        <v>LM629N-6</v>
      </c>
      <c r="B12136" s="3" t="str">
        <f>HYPERLINK("https://www.773grp.com/manufacturer/national-semiconductor?pageNo=75", "National Semiconductor")</f>
        <v>National Semiconductor</v>
      </c>
      <c r="C12136" s="6">
        <v>299</v>
      </c>
      <c r="D12136" s="7">
        <v>63.56</v>
      </c>
      <c r="E12136" t="s">
        <v>62</v>
      </c>
    </row>
    <row r="12137" spans="1:5" x14ac:dyDescent="0.25">
      <c r="A12137" t="str">
        <f>HYPERLINK("https://www.773grp.com/globalSearch/8601401HA/page-1", "8601401HA")</f>
        <v>8601401HA</v>
      </c>
      <c r="B12137" s="3" t="str">
        <f>HYPERLINK("https://www.773grp.com/manufacturer/national-semiconductor?pageNo=76", "National Semiconductor")</f>
        <v>National Semiconductor</v>
      </c>
      <c r="C12137" s="6">
        <v>30</v>
      </c>
      <c r="D12137" s="7">
        <v>63.59</v>
      </c>
      <c r="E12137" t="s">
        <v>9</v>
      </c>
    </row>
    <row r="12138" spans="1:5" x14ac:dyDescent="0.25">
      <c r="A12138" t="str">
        <f>HYPERLINK("https://www.773grp.com/globalSearch/DP83936AVUL-25/page-1", "DP83936AVUL-25")</f>
        <v>DP83936AVUL-25</v>
      </c>
      <c r="B12138" s="3" t="str">
        <f>HYPERLINK("https://www.773grp.com/manufacturer/national-semiconductor?pageNo=77", "National Semiconductor")</f>
        <v>National Semiconductor</v>
      </c>
      <c r="C12138" s="6">
        <v>4539</v>
      </c>
      <c r="D12138" s="7">
        <v>63.75</v>
      </c>
      <c r="E12138" t="s">
        <v>71</v>
      </c>
    </row>
    <row r="12139" spans="1:5" x14ac:dyDescent="0.25">
      <c r="A12139" t="str">
        <f>HYPERLINK("https://www.773grp.com/globalSearch/LM2825HN-ADJ/page-1", "LM2825HN-ADJ")</f>
        <v>LM2825HN-ADJ</v>
      </c>
      <c r="B12139" s="3" t="str">
        <f>HYPERLINK("https://www.773grp.com/manufacturer/national-semiconductor?pageNo=78", "National Semiconductor")</f>
        <v>National Semiconductor</v>
      </c>
      <c r="C12139" s="6">
        <v>8</v>
      </c>
      <c r="D12139" s="7">
        <v>63.79</v>
      </c>
      <c r="E12139" t="s">
        <v>7</v>
      </c>
    </row>
    <row r="12140" spans="1:5" x14ac:dyDescent="0.25">
      <c r="A12140" t="str">
        <f>HYPERLINK("https://www.773grp.com/globalSearch/LM2825N-5.0/page-1", "LM2825N-5.0")</f>
        <v>LM2825N-5.0</v>
      </c>
      <c r="B12140" s="3" t="str">
        <f>HYPERLINK("https://www.773grp.com/manufacturer/national-semiconductor?pageNo=79", "National Semiconductor")</f>
        <v>National Semiconductor</v>
      </c>
      <c r="C12140" s="6">
        <v>42</v>
      </c>
      <c r="D12140" s="7">
        <v>63.79</v>
      </c>
      <c r="E12140" t="s">
        <v>7</v>
      </c>
    </row>
    <row r="12141" spans="1:5" x14ac:dyDescent="0.25">
      <c r="A12141" t="str">
        <f>HYPERLINK("https://www.773grp.com/globalSearch/LM2825N-ADJ/page-1", "LM2825N-ADJ")</f>
        <v>LM2825N-ADJ</v>
      </c>
      <c r="B12141" s="3" t="str">
        <f>HYPERLINK("https://www.773grp.com/manufacturer/national-semiconductor?pageNo=80", "National Semiconductor")</f>
        <v>National Semiconductor</v>
      </c>
      <c r="C12141" s="6">
        <v>8</v>
      </c>
      <c r="D12141" s="7">
        <v>63.79</v>
      </c>
      <c r="E12141" t="s">
        <v>7</v>
      </c>
    </row>
    <row r="12142" spans="1:5" x14ac:dyDescent="0.25">
      <c r="A12142" t="str">
        <f>HYPERLINK("https://www.773grp.com/globalSearch/ADC08062BIN/page-1", "ADC08062BIN")</f>
        <v>ADC08062BIN</v>
      </c>
      <c r="B12142" s="3" t="str">
        <f>HYPERLINK("https://www.773grp.com/manufacturer/national-semiconductor?pageNo=81", "National Semiconductor")</f>
        <v>National Semiconductor</v>
      </c>
      <c r="C12142" s="6">
        <v>193</v>
      </c>
      <c r="D12142" s="7">
        <v>63.84</v>
      </c>
      <c r="E12142" t="s">
        <v>39</v>
      </c>
    </row>
    <row r="12143" spans="1:5" x14ac:dyDescent="0.25">
      <c r="A12143" t="str">
        <f>HYPERLINK("https://www.773grp.com/globalSearch/JD54LS27BDA/page-1", "JD54LS27BDA")</f>
        <v>JD54LS27BDA</v>
      </c>
      <c r="B12143" s="3" t="str">
        <f>HYPERLINK("https://www.773grp.com/manufacturer/national-semiconductor?pageNo=82", "National Semiconductor")</f>
        <v>National Semiconductor</v>
      </c>
      <c r="C12143" s="6">
        <v>82</v>
      </c>
      <c r="D12143" s="7">
        <v>64.13</v>
      </c>
    </row>
    <row r="12144" spans="1:5" x14ac:dyDescent="0.25">
      <c r="A12144" t="str">
        <f>HYPERLINK("https://www.773grp.com/globalSearch/JM54AC02B2A/page-1", "JM54AC02B2A")</f>
        <v>JM54AC02B2A</v>
      </c>
      <c r="B12144" s="3" t="str">
        <f>HYPERLINK("https://www.773grp.com/manufacturer/national-semiconductor?pageNo=83", "National Semiconductor")</f>
        <v>National Semiconductor</v>
      </c>
      <c r="C12144" s="6">
        <v>32</v>
      </c>
      <c r="D12144" s="7">
        <v>64.13</v>
      </c>
    </row>
    <row r="12145" spans="1:5" x14ac:dyDescent="0.25">
      <c r="A12145" t="str">
        <f>HYPERLINK("https://www.773grp.com/globalSearch/JM54AC10B2A/page-1", "JM54AC10B2A")</f>
        <v>JM54AC10B2A</v>
      </c>
      <c r="B12145" s="3" t="str">
        <f>HYPERLINK("https://www.773grp.com/manufacturer/national-semiconductor?pageNo=84", "National Semiconductor")</f>
        <v>National Semiconductor</v>
      </c>
      <c r="C12145" s="6">
        <v>42</v>
      </c>
      <c r="D12145" s="7">
        <v>64.13</v>
      </c>
    </row>
    <row r="12146" spans="1:5" x14ac:dyDescent="0.25">
      <c r="A12146" t="str">
        <f>HYPERLINK("https://www.773grp.com/globalSearch/MM54C48W-883C/page-1", "MM54C48W-883C")</f>
        <v>MM54C48W-883C</v>
      </c>
      <c r="B12146" s="3" t="str">
        <f>HYPERLINK("https://www.773grp.com/manufacturer/national-semiconductor?pageNo=85", "National Semiconductor")</f>
        <v>National Semiconductor</v>
      </c>
      <c r="C12146" s="6">
        <v>100</v>
      </c>
      <c r="D12146" s="7">
        <v>64.13</v>
      </c>
    </row>
    <row r="12147" spans="1:5" x14ac:dyDescent="0.25">
      <c r="A12147" t="str">
        <f>HYPERLINK("https://www.773grp.com/globalSearch/JM38510-11201BDA/page-1", "JM38510-11201BDA")</f>
        <v>JM38510-11201BDA</v>
      </c>
      <c r="B12147" s="3" t="str">
        <f>HYPERLINK("https://www.773grp.com/manufacturer/national-semiconductor?pageNo=86", "National Semiconductor")</f>
        <v>National Semiconductor</v>
      </c>
      <c r="C12147" s="6">
        <v>63</v>
      </c>
      <c r="D12147" s="7">
        <v>64.3</v>
      </c>
      <c r="E12147" t="s">
        <v>9</v>
      </c>
    </row>
    <row r="12148" spans="1:5" x14ac:dyDescent="0.25">
      <c r="A12148" t="str">
        <f>HYPERLINK("https://www.773grp.com/globalSearch/LMC6042AIJ/page-1", "LMC6042AIJ")</f>
        <v>LMC6042AIJ</v>
      </c>
      <c r="B12148" s="3" t="str">
        <f>HYPERLINK("https://www.773grp.com/manufacturer/national-semiconductor?pageNo=87", "National Semiconductor")</f>
        <v>National Semiconductor</v>
      </c>
      <c r="C12148" s="6">
        <v>240</v>
      </c>
      <c r="D12148" s="7">
        <v>64.33</v>
      </c>
    </row>
    <row r="12149" spans="1:5" x14ac:dyDescent="0.25">
      <c r="A12149" t="str">
        <f>HYPERLINK("https://www.773grp.com/globalSearch/5962-9076602M2A/page-1", "5962-9076602M2A")</f>
        <v>5962-9076602M2A</v>
      </c>
      <c r="B12149" s="3" t="str">
        <f>HYPERLINK("https://www.773grp.com/manufacturer/national-semiconductor?pageNo=88", "National Semiconductor")</f>
        <v>National Semiconductor</v>
      </c>
      <c r="C12149" s="6">
        <v>100</v>
      </c>
      <c r="D12149" s="7">
        <v>64.64</v>
      </c>
      <c r="E12149" t="s">
        <v>21</v>
      </c>
    </row>
    <row r="12150" spans="1:5" x14ac:dyDescent="0.25">
      <c r="A12150" t="str">
        <f>HYPERLINK("https://www.773grp.com/globalSearch/DS92LV1260TUJB/page-1", "DS92LV1260TUJB")</f>
        <v>DS92LV1260TUJB</v>
      </c>
      <c r="B12150" s="3" t="str">
        <f>HYPERLINK("https://www.773grp.com/manufacturer/national-semiconductor?pageNo=89", "National Semiconductor")</f>
        <v>National Semiconductor</v>
      </c>
      <c r="C12150" s="6">
        <v>16</v>
      </c>
      <c r="D12150" s="7">
        <v>64.66</v>
      </c>
      <c r="E12150" t="s">
        <v>21</v>
      </c>
    </row>
    <row r="12151" spans="1:5" x14ac:dyDescent="0.25">
      <c r="A12151" t="str">
        <f>HYPERLINK("https://www.773grp.com/globalSearch/DS92LV1260TUJB/page-1", "DS92LV1260TUJB")</f>
        <v>DS92LV1260TUJB</v>
      </c>
      <c r="B12151" s="3" t="str">
        <f>HYPERLINK("https://www.773grp.com/manufacturer/national-semiconductor?pageNo=90", "National Semiconductor")</f>
        <v>National Semiconductor</v>
      </c>
      <c r="C12151" s="6">
        <v>1147</v>
      </c>
      <c r="D12151" s="7">
        <v>64.66</v>
      </c>
      <c r="E12151" t="s">
        <v>21</v>
      </c>
    </row>
    <row r="12152" spans="1:5" x14ac:dyDescent="0.25">
      <c r="A12152" t="str">
        <f>HYPERLINK("https://www.773grp.com/globalSearch/LM628N-6-NOPB/page-1", "LM628N-6-NOPB")</f>
        <v>LM628N-6-NOPB</v>
      </c>
      <c r="B12152" s="3" t="str">
        <f>HYPERLINK("https://www.773grp.com/manufacturer/national-semiconductor?pageNo=91", "National Semiconductor")</f>
        <v>National Semiconductor</v>
      </c>
      <c r="C12152" s="6">
        <v>31</v>
      </c>
      <c r="D12152" s="7">
        <v>64.69</v>
      </c>
      <c r="E12152" t="s">
        <v>62</v>
      </c>
    </row>
    <row r="12153" spans="1:5" x14ac:dyDescent="0.25">
      <c r="A12153" t="str">
        <f>HYPERLINK("https://www.773grp.com/globalSearch/PAL16R6BJ-883/page-1", "PAL16R6BJ-883")</f>
        <v>PAL16R6BJ-883</v>
      </c>
      <c r="B12153" s="3" t="str">
        <f>HYPERLINK("https://www.773grp.com/manufacturer/national-semiconductor?pageNo=92", "National Semiconductor")</f>
        <v>National Semiconductor</v>
      </c>
      <c r="C12153" s="6">
        <v>93</v>
      </c>
      <c r="D12153" s="7">
        <v>64.69</v>
      </c>
    </row>
    <row r="12154" spans="1:5" x14ac:dyDescent="0.25">
      <c r="A12154" t="str">
        <f>HYPERLINK("https://www.773grp.com/globalSearch/LM628N-6-NOPB/page-1", "LM628N-6-NOPB")</f>
        <v>LM628N-6-NOPB</v>
      </c>
      <c r="B12154" s="3" t="str">
        <f>HYPERLINK("https://www.773grp.com/manufacturer/national-semiconductor?pageNo=93", "National Semiconductor")</f>
        <v>National Semiconductor</v>
      </c>
      <c r="C12154" s="6">
        <v>496</v>
      </c>
      <c r="D12154" s="7">
        <v>64.69</v>
      </c>
      <c r="E12154" t="s">
        <v>62</v>
      </c>
    </row>
    <row r="12155" spans="1:5" x14ac:dyDescent="0.25">
      <c r="A12155" t="str">
        <f>HYPERLINK("https://www.773grp.com/globalSearch/SCAN928028TUF/page-1", "SCAN928028TUF")</f>
        <v>SCAN928028TUF</v>
      </c>
      <c r="B12155" s="3" t="str">
        <f>HYPERLINK("https://www.773grp.com/manufacturer/national-semiconductor?pageNo=94", "National Semiconductor")</f>
        <v>National Semiconductor</v>
      </c>
      <c r="C12155" s="6">
        <v>30</v>
      </c>
      <c r="D12155" s="7">
        <v>65.19</v>
      </c>
    </row>
    <row r="12156" spans="1:5" x14ac:dyDescent="0.25">
      <c r="A12156" t="str">
        <f>HYPERLINK("https://www.773grp.com/globalSearch/JM38510-34804BRA/page-1", "JM38510-34804BRA")</f>
        <v>JM38510-34804BRA</v>
      </c>
      <c r="B12156" s="3" t="str">
        <f>HYPERLINK("https://www.773grp.com/manufacturer/national-semiconductor?pageNo=95", "National Semiconductor")</f>
        <v>National Semiconductor</v>
      </c>
      <c r="C12156" s="6">
        <v>799</v>
      </c>
      <c r="D12156" s="7">
        <v>65.25</v>
      </c>
    </row>
    <row r="12157" spans="1:5" x14ac:dyDescent="0.25">
      <c r="A12157" t="str">
        <f>HYPERLINK("https://www.773grp.com/globalSearch/LM119W-883/page-1", "LM119W-883")</f>
        <v>LM119W-883</v>
      </c>
      <c r="B12157" s="3" t="str">
        <f>HYPERLINK("https://www.773grp.com/manufacturer/national-semiconductor?pageNo=96", "National Semiconductor")</f>
        <v>National Semiconductor</v>
      </c>
      <c r="C12157" s="6">
        <v>551</v>
      </c>
      <c r="D12157" s="7">
        <v>65.680000000000007</v>
      </c>
      <c r="E12157" t="s">
        <v>9</v>
      </c>
    </row>
    <row r="12158" spans="1:5" x14ac:dyDescent="0.25">
      <c r="A12158" t="str">
        <f>HYPERLINK("https://www.773grp.com/globalSearch/5962-7802005M2A/page-1", "5962-7802005M2A")</f>
        <v>5962-7802005M2A</v>
      </c>
      <c r="B12158" s="3" t="str">
        <f>HYPERLINK("https://www.773grp.com/manufacturer/national-semiconductor?pageNo=97", "National Semiconductor")</f>
        <v>National Semiconductor</v>
      </c>
      <c r="C12158" s="6">
        <v>837</v>
      </c>
      <c r="D12158" s="7">
        <v>65.78</v>
      </c>
      <c r="E12158" t="s">
        <v>21</v>
      </c>
    </row>
    <row r="12159" spans="1:5" x14ac:dyDescent="0.25">
      <c r="A12159" t="str">
        <f>HYPERLINK("https://www.773grp.com/globalSearch/JM38510-08003BCA/page-1", "JM38510-08003BCA")</f>
        <v>JM38510-08003BCA</v>
      </c>
      <c r="B12159" s="3" t="str">
        <f>HYPERLINK("https://www.773grp.com/manufacturer/national-semiconductor?pageNo=98", "National Semiconductor")</f>
        <v>National Semiconductor</v>
      </c>
      <c r="C12159" s="6">
        <v>3</v>
      </c>
      <c r="D12159" s="7">
        <v>65.81</v>
      </c>
      <c r="E12159" t="s">
        <v>31</v>
      </c>
    </row>
    <row r="12160" spans="1:5" x14ac:dyDescent="0.25">
      <c r="A12160" t="str">
        <f>HYPERLINK("https://www.773grp.com/globalSearch/JM38510-33909B2A/page-1", "JM38510-33909B2A")</f>
        <v>JM38510-33909B2A</v>
      </c>
      <c r="B12160" s="3" t="str">
        <f>HYPERLINK("https://www.773grp.com/manufacturer/national-semiconductor?pageNo=99", "National Semiconductor")</f>
        <v>National Semiconductor</v>
      </c>
      <c r="C12160" s="6">
        <v>910</v>
      </c>
      <c r="D12160" s="7">
        <v>65.81</v>
      </c>
      <c r="E12160" t="s">
        <v>20</v>
      </c>
    </row>
    <row r="12161" spans="1:5" x14ac:dyDescent="0.25">
      <c r="A12161" t="str">
        <f>HYPERLINK("https://www.773grp.com/globalSearch/93L14FMQB/page-1", "93L14FMQB")</f>
        <v>93L14FMQB</v>
      </c>
      <c r="B12161" s="3" t="str">
        <f>HYPERLINK("https://www.773grp.com/manufacturer/national-semiconductor?pageNo=100", "National Semiconductor")</f>
        <v>National Semiconductor</v>
      </c>
      <c r="C12161" s="6">
        <v>143</v>
      </c>
      <c r="D12161" s="7">
        <v>66.099999999999994</v>
      </c>
      <c r="E12161" t="s">
        <v>35</v>
      </c>
    </row>
    <row r="12162" spans="1:5" x14ac:dyDescent="0.25">
      <c r="A12162" t="str">
        <f>HYPERLINK("https://www.773grp.com/globalSearch/AM3715CUS100/page-1", "AM3715CUS100")</f>
        <v>AM3715CUS100</v>
      </c>
      <c r="B12162" s="3" t="str">
        <f>HYPERLINK("https://www.773grp.com/manufacturer/national-semiconductor?pageNo=101", "National Semiconductor")</f>
        <v>National Semiconductor</v>
      </c>
      <c r="C12162" s="6">
        <v>900</v>
      </c>
      <c r="D12162" s="7">
        <v>66.53</v>
      </c>
    </row>
    <row r="12163" spans="1:5" x14ac:dyDescent="0.25">
      <c r="A12163" t="str">
        <f>HYPERLINK("https://www.773grp.com/globalSearch/JM38510-11202BGA/page-1", "JM38510-11202BGA")</f>
        <v>JM38510-11202BGA</v>
      </c>
      <c r="B12163" s="3" t="str">
        <f>HYPERLINK("https://www.773grp.com/manufacturer/national-semiconductor?pageNo=102", "National Semiconductor")</f>
        <v>National Semiconductor</v>
      </c>
      <c r="C12163" s="6">
        <v>1800</v>
      </c>
      <c r="D12163" s="7">
        <v>66.78</v>
      </c>
      <c r="E12163" t="s">
        <v>9</v>
      </c>
    </row>
    <row r="12164" spans="1:5" x14ac:dyDescent="0.25">
      <c r="A12164" t="str">
        <f>HYPERLINK("https://www.773grp.com/globalSearch/9341FM/page-1", "9341FM")</f>
        <v>9341FM</v>
      </c>
      <c r="B12164" s="3" t="str">
        <f>HYPERLINK("https://www.773grp.com/manufacturer/national-semiconductor?pageNo=103", "National Semiconductor")</f>
        <v>National Semiconductor</v>
      </c>
      <c r="C12164" s="6">
        <v>3242</v>
      </c>
      <c r="D12164" s="7">
        <v>66.91</v>
      </c>
    </row>
    <row r="12165" spans="1:5" x14ac:dyDescent="0.25">
      <c r="A12165" t="str">
        <f>HYPERLINK("https://www.773grp.com/globalSearch/LF11201D-883/page-1", "LF11201D-883")</f>
        <v>LF11201D-883</v>
      </c>
      <c r="B12165" s="3" t="str">
        <f>HYPERLINK("https://www.773grp.com/manufacturer/national-semiconductor?pageNo=104", "National Semiconductor")</f>
        <v>National Semiconductor</v>
      </c>
      <c r="C12165" s="6">
        <v>89</v>
      </c>
      <c r="D12165" s="7">
        <v>66.94</v>
      </c>
      <c r="E12165" t="s">
        <v>56</v>
      </c>
    </row>
    <row r="12166" spans="1:5" x14ac:dyDescent="0.25">
      <c r="A12166" t="str">
        <f>HYPERLINK("https://www.773grp.com/globalSearch/LM124W-883/page-1", "LM124W-883")</f>
        <v>LM124W-883</v>
      </c>
      <c r="B12166" s="3" t="str">
        <f>HYPERLINK("https://www.773grp.com/manufacturer/national-semiconductor?pageNo=105", "National Semiconductor")</f>
        <v>National Semiconductor</v>
      </c>
      <c r="C12166" s="6">
        <v>1256</v>
      </c>
      <c r="D12166" s="7">
        <v>66.94</v>
      </c>
      <c r="E12166" t="s">
        <v>13</v>
      </c>
    </row>
    <row r="12167" spans="1:5" x14ac:dyDescent="0.25">
      <c r="A12167" t="str">
        <f>HYPERLINK("https://www.773grp.com/globalSearch/5962-9076501M2A/page-1", "5962-9076501M2A")</f>
        <v>5962-9076501M2A</v>
      </c>
      <c r="B12167" s="3" t="str">
        <f>HYPERLINK("https://www.773grp.com/manufacturer/national-semiconductor?pageNo=106", "National Semiconductor")</f>
        <v>National Semiconductor</v>
      </c>
      <c r="C12167" s="6">
        <v>61</v>
      </c>
      <c r="D12167" s="7">
        <v>67.41</v>
      </c>
      <c r="E12167" t="s">
        <v>21</v>
      </c>
    </row>
    <row r="12168" spans="1:5" x14ac:dyDescent="0.25">
      <c r="A12168" t="str">
        <f>HYPERLINK("https://www.773grp.com/globalSearch/5962-9076502M2A/page-1", "5962-9076502M2A")</f>
        <v>5962-9076502M2A</v>
      </c>
      <c r="B12168" s="3" t="str">
        <f>HYPERLINK("https://www.773grp.com/manufacturer/national-semiconductor?pageNo=107", "National Semiconductor")</f>
        <v>National Semiconductor</v>
      </c>
      <c r="C12168" s="6">
        <v>86</v>
      </c>
      <c r="D12168" s="7">
        <v>67.41</v>
      </c>
      <c r="E12168" t="s">
        <v>21</v>
      </c>
    </row>
    <row r="12169" spans="1:5" x14ac:dyDescent="0.25">
      <c r="A12169" t="str">
        <f>HYPERLINK("https://www.773grp.com/globalSearch/5962-9076502M2A/page-1", "5962-9076502M2A")</f>
        <v>5962-9076502M2A</v>
      </c>
      <c r="B12169" s="3" t="str">
        <f>HYPERLINK("https://www.773grp.com/manufacturer/national-semiconductor?pageNo=108", "National Semiconductor")</f>
        <v>National Semiconductor</v>
      </c>
      <c r="C12169" s="6">
        <v>73</v>
      </c>
      <c r="D12169" s="7">
        <v>67.41</v>
      </c>
      <c r="E12169" t="s">
        <v>21</v>
      </c>
    </row>
    <row r="12170" spans="1:5" x14ac:dyDescent="0.25">
      <c r="A12170" t="str">
        <f>HYPERLINK("https://www.773grp.com/globalSearch/DS96F174ME-883/page-1", "DS96F174ME-883")</f>
        <v>DS96F174ME-883</v>
      </c>
      <c r="B12170" s="3" t="str">
        <f>HYPERLINK("https://www.773grp.com/manufacturer/national-semiconductor?pageNo=109", "National Semiconductor")</f>
        <v>National Semiconductor</v>
      </c>
      <c r="C12170" s="6">
        <v>817</v>
      </c>
      <c r="D12170" s="7">
        <v>67.41</v>
      </c>
    </row>
    <row r="12171" spans="1:5" x14ac:dyDescent="0.25">
      <c r="A12171" t="str">
        <f>HYPERLINK("https://www.773grp.com/globalSearch/93S42DM/page-1", "93S42DM")</f>
        <v>93S42DM</v>
      </c>
      <c r="B12171" s="3" t="str">
        <f>HYPERLINK("https://www.773grp.com/manufacturer/national-semiconductor?pageNo=110", "National Semiconductor")</f>
        <v>National Semiconductor</v>
      </c>
      <c r="C12171" s="6">
        <v>159</v>
      </c>
      <c r="D12171" s="7">
        <v>67.459999999999994</v>
      </c>
    </row>
    <row r="12172" spans="1:5" x14ac:dyDescent="0.25">
      <c r="A12172" t="str">
        <f>HYPERLINK("https://www.773grp.com/globalSearch/ADC12DC105CISQE/page-1", "ADC12DC105CISQE")</f>
        <v>ADC12DC105CISQE</v>
      </c>
      <c r="B12172" s="3" t="str">
        <f>HYPERLINK("https://www.773grp.com/manufacturer/national-semiconductor?pageNo=111", "National Semiconductor")</f>
        <v>National Semiconductor</v>
      </c>
      <c r="C12172" s="6">
        <v>250</v>
      </c>
      <c r="D12172" s="7">
        <v>67.5</v>
      </c>
      <c r="E12172" t="s">
        <v>39</v>
      </c>
    </row>
    <row r="12173" spans="1:5" x14ac:dyDescent="0.25">
      <c r="A12173" t="str">
        <f>HYPERLINK("https://www.773grp.com/globalSearch/930FMQB/page-1", "930FMQB")</f>
        <v>930FMQB</v>
      </c>
      <c r="B12173" s="3" t="str">
        <f>HYPERLINK("https://www.773grp.com/manufacturer/national-semiconductor?pageNo=112", "National Semiconductor")</f>
        <v>National Semiconductor</v>
      </c>
      <c r="C12173" s="6">
        <v>231</v>
      </c>
      <c r="D12173" s="7">
        <v>67.790000000000006</v>
      </c>
    </row>
    <row r="12174" spans="1:5" x14ac:dyDescent="0.25">
      <c r="A12174" t="str">
        <f>HYPERLINK("https://www.773grp.com/globalSearch/ADC16061CCVT-NOPB/page-1", "ADC16061CCVT-NOPB")</f>
        <v>ADC16061CCVT-NOPB</v>
      </c>
      <c r="B12174" s="3" t="str">
        <f>HYPERLINK("https://www.773grp.com/manufacturer/national-semiconductor?pageNo=113", "National Semiconductor")</f>
        <v>National Semiconductor</v>
      </c>
      <c r="C12174" s="6">
        <v>1802</v>
      </c>
      <c r="D12174" s="7">
        <v>68.06</v>
      </c>
      <c r="E12174" t="s">
        <v>39</v>
      </c>
    </row>
    <row r="12175" spans="1:5" x14ac:dyDescent="0.25">
      <c r="A12175" t="str">
        <f>HYPERLINK("https://www.773grp.com/globalSearch/MM54C00W-883/page-1", "MM54C00W-883")</f>
        <v>MM54C00W-883</v>
      </c>
      <c r="B12175" s="3" t="str">
        <f>HYPERLINK("https://www.773grp.com/manufacturer/national-semiconductor?pageNo=114", "National Semiconductor")</f>
        <v>National Semiconductor</v>
      </c>
      <c r="C12175" s="6">
        <v>176</v>
      </c>
      <c r="D12175" s="7">
        <v>68.06</v>
      </c>
      <c r="E12175" t="s">
        <v>31</v>
      </c>
    </row>
    <row r="12176" spans="1:5" x14ac:dyDescent="0.25">
      <c r="A12176" t="str">
        <f>HYPERLINK("https://www.773grp.com/globalSearch/JM38510-34404BEA/page-1", "JM38510-34404BEA")</f>
        <v>JM38510-34404BEA</v>
      </c>
      <c r="B12176" s="3" t="str">
        <f>HYPERLINK("https://www.773grp.com/manufacturer/national-semiconductor?pageNo=115", "National Semiconductor")</f>
        <v>National Semiconductor</v>
      </c>
      <c r="C12176" s="6">
        <v>3983</v>
      </c>
      <c r="D12176" s="7">
        <v>68.349999999999994</v>
      </c>
    </row>
    <row r="12177" spans="1:5" x14ac:dyDescent="0.25">
      <c r="A12177" t="str">
        <f>HYPERLINK("https://www.773grp.com/globalSearch/93L415FMQB/page-1", "93L415FMQB")</f>
        <v>93L415FMQB</v>
      </c>
      <c r="B12177" s="3" t="str">
        <f>HYPERLINK("https://www.773grp.com/manufacturer/national-semiconductor?pageNo=116", "National Semiconductor")</f>
        <v>National Semiconductor</v>
      </c>
      <c r="C12177" s="6">
        <v>949</v>
      </c>
      <c r="D12177" s="7">
        <v>68.48</v>
      </c>
      <c r="E12177" t="s">
        <v>75</v>
      </c>
    </row>
    <row r="12178" spans="1:5" x14ac:dyDescent="0.25">
      <c r="A12178" t="str">
        <f>HYPERLINK("https://www.773grp.com/globalSearch/JM4018BBEA/page-1", "JM4018BBEA")</f>
        <v>JM4018BBEA</v>
      </c>
      <c r="B12178" s="3" t="str">
        <f>HYPERLINK("https://www.773grp.com/manufacturer/national-semiconductor?pageNo=117", "National Semiconductor")</f>
        <v>National Semiconductor</v>
      </c>
      <c r="C12178" s="6">
        <v>132</v>
      </c>
      <c r="D12178" s="7">
        <v>68.63</v>
      </c>
    </row>
    <row r="12179" spans="1:5" x14ac:dyDescent="0.25">
      <c r="A12179" t="str">
        <f>HYPERLINK("https://www.773grp.com/globalSearch/JM4019ABEA/page-1", "JM4019ABEA")</f>
        <v>JM4019ABEA</v>
      </c>
      <c r="B12179" s="3" t="str">
        <f>HYPERLINK("https://www.773grp.com/manufacturer/national-semiconductor?pageNo=118", "National Semiconductor")</f>
        <v>National Semiconductor</v>
      </c>
      <c r="C12179" s="6">
        <v>181</v>
      </c>
      <c r="D12179" s="7">
        <v>68.63</v>
      </c>
    </row>
    <row r="12180" spans="1:5" x14ac:dyDescent="0.25">
      <c r="A12180" t="str">
        <f>HYPERLINK("https://www.773grp.com/globalSearch/JM4019BBEA/page-1", "JM4019BBEA")</f>
        <v>JM4019BBEA</v>
      </c>
      <c r="B12180" s="3" t="str">
        <f>HYPERLINK("https://www.773grp.com/manufacturer/national-semiconductor?pageNo=119", "National Semiconductor")</f>
        <v>National Semiconductor</v>
      </c>
      <c r="C12180" s="6">
        <v>203</v>
      </c>
      <c r="D12180" s="7">
        <v>68.63</v>
      </c>
    </row>
    <row r="12181" spans="1:5" x14ac:dyDescent="0.25">
      <c r="A12181" t="str">
        <f>HYPERLINK("https://www.773grp.com/globalSearch/5480FM/page-1", "5480FM")</f>
        <v>5480FM</v>
      </c>
      <c r="B12181" s="3" t="str">
        <f>HYPERLINK("https://www.773grp.com/manufacturer/national-semiconductor?pageNo=120", "National Semiconductor")</f>
        <v>National Semiconductor</v>
      </c>
      <c r="C12181" s="6">
        <v>1017</v>
      </c>
      <c r="D12181" s="7">
        <v>68.900000000000006</v>
      </c>
    </row>
    <row r="12182" spans="1:5" x14ac:dyDescent="0.25">
      <c r="A12182" t="str">
        <f>HYPERLINK("https://www.773grp.com/globalSearch/915HM/page-1", "915HM")</f>
        <v>915HM</v>
      </c>
      <c r="B12182" s="3" t="str">
        <f>HYPERLINK("https://www.773grp.com/manufacturer/national-semiconductor?pageNo=121", "National Semiconductor")</f>
        <v>National Semiconductor</v>
      </c>
      <c r="C12182" s="6">
        <v>123</v>
      </c>
      <c r="D12182" s="7">
        <v>68.900000000000006</v>
      </c>
    </row>
    <row r="12183" spans="1:5" x14ac:dyDescent="0.25">
      <c r="A12183" t="str">
        <f>HYPERLINK("https://www.773grp.com/globalSearch/93S46L1M/page-1", "93S46L1M")</f>
        <v>93S46L1M</v>
      </c>
      <c r="B12183" s="3" t="str">
        <f>HYPERLINK("https://www.773grp.com/manufacturer/national-semiconductor?pageNo=122", "National Semiconductor")</f>
        <v>National Semiconductor</v>
      </c>
      <c r="C12183" s="6">
        <v>3218</v>
      </c>
      <c r="D12183" s="7">
        <v>68.900000000000006</v>
      </c>
    </row>
    <row r="12184" spans="1:5" x14ac:dyDescent="0.25">
      <c r="A12184" t="str">
        <f>HYPERLINK("https://www.773grp.com/globalSearch/PC87322VF/page-1", "PC87322VF")</f>
        <v>PC87322VF</v>
      </c>
      <c r="B12184" s="3" t="str">
        <f>HYPERLINK("https://www.773grp.com/manufacturer/national-semiconductor?pageNo=123", "National Semiconductor")</f>
        <v>National Semiconductor</v>
      </c>
      <c r="C12184" s="6">
        <v>3939</v>
      </c>
      <c r="D12184" s="7">
        <v>68.900000000000006</v>
      </c>
      <c r="E12184" t="s">
        <v>72</v>
      </c>
    </row>
    <row r="12185" spans="1:5" x14ac:dyDescent="0.25">
      <c r="A12185" t="str">
        <f>HYPERLINK("https://www.773grp.com/globalSearch/ADC12DS080CISQE-NOPB/page-1", "ADC12DS080CISQE-NOPB")</f>
        <v>ADC12DS080CISQE-NOPB</v>
      </c>
      <c r="B12185" s="3" t="str">
        <f>HYPERLINK("https://www.773grp.com/manufacturer/national-semiconductor?pageNo=124", "National Semiconductor")</f>
        <v>National Semiconductor</v>
      </c>
      <c r="C12185" s="6">
        <v>500</v>
      </c>
      <c r="D12185" s="7">
        <v>68.900000000000006</v>
      </c>
    </row>
    <row r="12186" spans="1:5" x14ac:dyDescent="0.25">
      <c r="A12186" t="str">
        <f>HYPERLINK("https://www.773grp.com/globalSearch/CLC021AVGZ-3.3-NOPB/page-1", "CLC021AVGZ-3.3-NOPB")</f>
        <v>CLC021AVGZ-3.3-NOPB</v>
      </c>
      <c r="B12186" s="3" t="str">
        <f>HYPERLINK("https://www.773grp.com/manufacturer/national-semiconductor?pageNo=125", "National Semiconductor")</f>
        <v>National Semiconductor</v>
      </c>
      <c r="C12186" s="6">
        <v>1007</v>
      </c>
      <c r="D12186" s="7">
        <v>69.48</v>
      </c>
    </row>
    <row r="12187" spans="1:5" x14ac:dyDescent="0.25">
      <c r="A12187" t="str">
        <f>HYPERLINK("https://www.773grp.com/globalSearch/CLC021AVGZ-5.0/page-1", "CLC021AVGZ-5.0")</f>
        <v>CLC021AVGZ-5.0</v>
      </c>
      <c r="B12187" s="3" t="str">
        <f>HYPERLINK("https://www.773grp.com/manufacturer/national-semiconductor?pageNo=126", "National Semiconductor")</f>
        <v>National Semiconductor</v>
      </c>
      <c r="C12187" s="6">
        <v>1047</v>
      </c>
      <c r="D12187" s="7">
        <v>69.48</v>
      </c>
      <c r="E12187" t="s">
        <v>23</v>
      </c>
    </row>
    <row r="12188" spans="1:5" x14ac:dyDescent="0.25">
      <c r="A12188" t="str">
        <f>HYPERLINK("https://www.773grp.com/globalSearch/CLC021AVGZ-5.0-NOPB/page-1", "CLC021AVGZ-5.0-NOPB")</f>
        <v>CLC021AVGZ-5.0-NOPB</v>
      </c>
      <c r="B12188" s="3" t="str">
        <f>HYPERLINK("https://www.773grp.com/manufacturer/national-semiconductor?pageNo=127", "National Semiconductor")</f>
        <v>National Semiconductor</v>
      </c>
      <c r="C12188" s="6">
        <v>564</v>
      </c>
      <c r="D12188" s="7">
        <v>69.48</v>
      </c>
      <c r="E12188" t="s">
        <v>23</v>
      </c>
    </row>
    <row r="12189" spans="1:5" x14ac:dyDescent="0.25">
      <c r="A12189" t="str">
        <f>HYPERLINK("https://www.773grp.com/globalSearch/COP8780CJ/page-1", "COP8780CJ")</f>
        <v>COP8780CJ</v>
      </c>
      <c r="B12189" s="3" t="str">
        <f>HYPERLINK("https://www.773grp.com/manufacturer/national-semiconductor?pageNo=128", "National Semiconductor")</f>
        <v>National Semiconductor</v>
      </c>
      <c r="C12189" s="6">
        <v>317</v>
      </c>
      <c r="D12189" s="7">
        <v>69.48</v>
      </c>
      <c r="E12189" t="s">
        <v>52</v>
      </c>
    </row>
    <row r="12190" spans="1:5" x14ac:dyDescent="0.25">
      <c r="A12190" t="str">
        <f>HYPERLINK("https://www.773grp.com/globalSearch/JD54F258BFA/page-1", "JD54F258BFA")</f>
        <v>JD54F258BFA</v>
      </c>
      <c r="B12190" s="3" t="str">
        <f>HYPERLINK("https://www.773grp.com/manufacturer/national-semiconductor?pageNo=129", "National Semiconductor")</f>
        <v>National Semiconductor</v>
      </c>
      <c r="C12190" s="6">
        <v>170</v>
      </c>
      <c r="D12190" s="7">
        <v>69.48</v>
      </c>
    </row>
    <row r="12191" spans="1:5" x14ac:dyDescent="0.25">
      <c r="A12191" t="str">
        <f>HYPERLINK("https://www.773grp.com/globalSearch/JM54AC125B2A/page-1", "JM54AC125B2A")</f>
        <v>JM54AC125B2A</v>
      </c>
      <c r="B12191" s="3" t="str">
        <f>HYPERLINK("https://www.773grp.com/manufacturer/national-semiconductor?pageNo=130", "National Semiconductor")</f>
        <v>National Semiconductor</v>
      </c>
      <c r="C12191" s="6">
        <v>14</v>
      </c>
      <c r="D12191" s="7">
        <v>69.48</v>
      </c>
      <c r="E12191" t="s">
        <v>14</v>
      </c>
    </row>
    <row r="12192" spans="1:5" x14ac:dyDescent="0.25">
      <c r="A12192" t="str">
        <f>HYPERLINK("https://www.773grp.com/globalSearch/LM22670INVEVAL/page-1", "LM22670INVEVAL")</f>
        <v>LM22670INVEVAL</v>
      </c>
      <c r="B12192" s="3" t="str">
        <f>HYPERLINK("https://www.773grp.com/manufacturer/national-semiconductor?pageNo=131", "National Semiconductor")</f>
        <v>National Semiconductor</v>
      </c>
      <c r="C12192" s="6">
        <v>11</v>
      </c>
      <c r="D12192" s="7">
        <v>69.48</v>
      </c>
    </row>
    <row r="12193" spans="1:5" x14ac:dyDescent="0.25">
      <c r="A12193" t="str">
        <f>HYPERLINK("https://www.773grp.com/globalSearch/LM3150-500EVAL/page-1", "LM3150-500EVAL")</f>
        <v>LM3150-500EVAL</v>
      </c>
      <c r="B12193" s="3" t="str">
        <f>HYPERLINK("https://www.773grp.com/manufacturer/national-semiconductor?pageNo=132", "National Semiconductor")</f>
        <v>National Semiconductor</v>
      </c>
      <c r="C12193" s="6">
        <v>12</v>
      </c>
      <c r="D12193" s="7">
        <v>69.48</v>
      </c>
    </row>
    <row r="12194" spans="1:5" x14ac:dyDescent="0.25">
      <c r="A12194" t="str">
        <f>HYPERLINK("https://www.773grp.com/globalSearch/CLC021AVGZ-3.3-NOPB/page-1", "CLC021AVGZ-3.3-NOPB")</f>
        <v>CLC021AVGZ-3.3-NOPB</v>
      </c>
      <c r="B12194" s="3" t="str">
        <f>HYPERLINK("https://www.773grp.com/manufacturer/national-semiconductor?pageNo=133", "National Semiconductor")</f>
        <v>National Semiconductor</v>
      </c>
      <c r="C12194" s="6">
        <v>279</v>
      </c>
      <c r="D12194" s="7">
        <v>69.48</v>
      </c>
    </row>
    <row r="12195" spans="1:5" x14ac:dyDescent="0.25">
      <c r="A12195" t="str">
        <f>HYPERLINK("https://www.773grp.com/globalSearch/CLC021AVGZ-5.0-NOPB/page-1", "CLC021AVGZ-5.0-NOPB")</f>
        <v>CLC021AVGZ-5.0-NOPB</v>
      </c>
      <c r="B12195" s="3" t="str">
        <f>HYPERLINK("https://www.773grp.com/manufacturer/national-semiconductor?pageNo=134", "National Semiconductor")</f>
        <v>National Semiconductor</v>
      </c>
      <c r="C12195" s="6">
        <v>729</v>
      </c>
      <c r="D12195" s="7">
        <v>69.48</v>
      </c>
      <c r="E12195" t="s">
        <v>23</v>
      </c>
    </row>
    <row r="12196" spans="1:5" x14ac:dyDescent="0.25">
      <c r="A12196" t="str">
        <f>HYPERLINK("https://www.773grp.com/globalSearch/INA101AM/page-1", "INA101AM")</f>
        <v>INA101AM</v>
      </c>
      <c r="B12196" s="3" t="str">
        <f>HYPERLINK("https://www.773grp.com/manufacturer/national-semiconductor?pageNo=1", "National Semiconductor")</f>
        <v>National Semiconductor</v>
      </c>
      <c r="C12196" s="6">
        <v>10</v>
      </c>
      <c r="D12196" s="7">
        <v>69.48</v>
      </c>
    </row>
    <row r="12197" spans="1:5" x14ac:dyDescent="0.25">
      <c r="A12197" t="str">
        <f>HYPERLINK("https://www.773grp.com/globalSearch/JM38510-65704BRA/page-1", "JM38510-65704BRA")</f>
        <v>JM38510-65704BRA</v>
      </c>
      <c r="B12197" s="3" t="str">
        <f>HYPERLINK("https://www.773grp.com/manufacturer/national-semiconductor?pageNo=2", "National Semiconductor")</f>
        <v>National Semiconductor</v>
      </c>
      <c r="C12197" s="6">
        <v>10</v>
      </c>
      <c r="D12197" s="7">
        <v>69.53</v>
      </c>
      <c r="E12197" t="s">
        <v>14</v>
      </c>
    </row>
    <row r="12198" spans="1:5" x14ac:dyDescent="0.25">
      <c r="A12198" t="str">
        <f>HYPERLINK("https://www.773grp.com/globalSearch/5962-7802302M2A/page-1", "5962-7802302M2A")</f>
        <v>5962-7802302M2A</v>
      </c>
      <c r="B12198" s="3" t="str">
        <f>HYPERLINK("https://www.773grp.com/manufacturer/national-semiconductor?pageNo=3", "National Semiconductor")</f>
        <v>National Semiconductor</v>
      </c>
      <c r="C12198" s="6">
        <v>234</v>
      </c>
      <c r="D12198" s="7">
        <v>69.78</v>
      </c>
      <c r="E12198" t="s">
        <v>21</v>
      </c>
    </row>
    <row r="12199" spans="1:5" x14ac:dyDescent="0.25">
      <c r="A12199" t="str">
        <f>HYPERLINK("https://www.773grp.com/globalSearch/DS26F31ME-883/page-1", "DS26F31ME-883")</f>
        <v>DS26F31ME-883</v>
      </c>
      <c r="B12199" s="3" t="str">
        <f>HYPERLINK("https://www.773grp.com/manufacturer/national-semiconductor?pageNo=4", "National Semiconductor")</f>
        <v>National Semiconductor</v>
      </c>
      <c r="C12199" s="6">
        <v>144</v>
      </c>
      <c r="D12199" s="7">
        <v>69.78</v>
      </c>
      <c r="E12199" t="s">
        <v>21</v>
      </c>
    </row>
    <row r="12200" spans="1:5" x14ac:dyDescent="0.25">
      <c r="A12200" t="str">
        <f>HYPERLINK("https://www.773grp.com/globalSearch/900HMQB/page-1", "900HMQB")</f>
        <v>900HMQB</v>
      </c>
      <c r="B12200" s="3" t="str">
        <f>HYPERLINK("https://www.773grp.com/manufacturer/national-semiconductor?pageNo=5", "National Semiconductor")</f>
        <v>National Semiconductor</v>
      </c>
      <c r="C12200" s="6">
        <v>11</v>
      </c>
      <c r="D12200" s="7">
        <v>69.86</v>
      </c>
    </row>
    <row r="12201" spans="1:5" x14ac:dyDescent="0.25">
      <c r="A12201" t="str">
        <f>HYPERLINK("https://www.773grp.com/globalSearch/900HM/page-1", "900HM")</f>
        <v>900HM</v>
      </c>
      <c r="B12201" s="3" t="str">
        <f>HYPERLINK("https://www.773grp.com/manufacturer/national-semiconductor?pageNo=6", "National Semiconductor")</f>
        <v>National Semiconductor</v>
      </c>
      <c r="C12201" s="6">
        <v>199</v>
      </c>
      <c r="D12201" s="7">
        <v>70.239999999999995</v>
      </c>
    </row>
    <row r="12202" spans="1:5" x14ac:dyDescent="0.25">
      <c r="A12202" t="str">
        <f>HYPERLINK("https://www.773grp.com/globalSearch/54F676LMQB/page-1", "54F676LMQB")</f>
        <v>54F676LMQB</v>
      </c>
      <c r="B12202" s="3" t="str">
        <f>HYPERLINK("https://www.773grp.com/manufacturer/national-semiconductor?pageNo=7", "National Semiconductor")</f>
        <v>National Semiconductor</v>
      </c>
      <c r="C12202" s="6">
        <v>568</v>
      </c>
      <c r="D12202" s="7">
        <v>70.31</v>
      </c>
      <c r="E12202" t="s">
        <v>32</v>
      </c>
    </row>
    <row r="12203" spans="1:5" x14ac:dyDescent="0.25">
      <c r="A12203" t="str">
        <f>HYPERLINK("https://www.773grp.com/globalSearch/LM22671EVAL-NOPB/page-1", "LM22671EVAL-NOPB")</f>
        <v>LM22671EVAL-NOPB</v>
      </c>
      <c r="B12203" s="3" t="str">
        <f>HYPERLINK("https://www.773grp.com/manufacturer/national-semiconductor?pageNo=8", "National Semiconductor")</f>
        <v>National Semiconductor</v>
      </c>
      <c r="C12203" s="6">
        <v>15</v>
      </c>
      <c r="D12203" s="7">
        <v>70.31</v>
      </c>
    </row>
    <row r="12204" spans="1:5" x14ac:dyDescent="0.25">
      <c r="A12204" t="str">
        <f>HYPERLINK("https://www.773grp.com/globalSearch/LM22672EVAL-NOPB/page-1", "LM22672EVAL-NOPB")</f>
        <v>LM22672EVAL-NOPB</v>
      </c>
      <c r="B12204" s="3" t="str">
        <f>HYPERLINK("https://www.773grp.com/manufacturer/national-semiconductor?pageNo=9", "National Semiconductor")</f>
        <v>National Semiconductor</v>
      </c>
      <c r="C12204" s="6">
        <v>14</v>
      </c>
      <c r="D12204" s="7">
        <v>70.31</v>
      </c>
    </row>
    <row r="12205" spans="1:5" x14ac:dyDescent="0.25">
      <c r="A12205" t="str">
        <f>HYPERLINK("https://www.773grp.com/globalSearch/LM22673EVAL-NOPB/page-1", "LM22673EVAL-NOPB")</f>
        <v>LM22673EVAL-NOPB</v>
      </c>
      <c r="B12205" s="3" t="str">
        <f>HYPERLINK("https://www.773grp.com/manufacturer/national-semiconductor?pageNo=10", "National Semiconductor")</f>
        <v>National Semiconductor</v>
      </c>
      <c r="C12205" s="6">
        <v>18</v>
      </c>
      <c r="D12205" s="7">
        <v>70.31</v>
      </c>
    </row>
    <row r="12206" spans="1:5" x14ac:dyDescent="0.25">
      <c r="A12206" t="str">
        <f>HYPERLINK("https://www.773grp.com/globalSearch/LM22677EVAL-NOPB/page-1", "LM22677EVAL-NOPB")</f>
        <v>LM22677EVAL-NOPB</v>
      </c>
      <c r="B12206" s="3" t="str">
        <f>HYPERLINK("https://www.773grp.com/manufacturer/national-semiconductor?pageNo=11", "National Semiconductor")</f>
        <v>National Semiconductor</v>
      </c>
      <c r="C12206" s="6">
        <v>17</v>
      </c>
      <c r="D12206" s="7">
        <v>70.31</v>
      </c>
    </row>
    <row r="12207" spans="1:5" x14ac:dyDescent="0.25">
      <c r="A12207" t="str">
        <f>HYPERLINK("https://www.773grp.com/globalSearch/LM22679EVAL-NOPB/page-1", "LM22679EVAL-NOPB")</f>
        <v>LM22679EVAL-NOPB</v>
      </c>
      <c r="B12207" s="3" t="str">
        <f>HYPERLINK("https://www.773grp.com/manufacturer/national-semiconductor?pageNo=12", "National Semiconductor")</f>
        <v>National Semiconductor</v>
      </c>
      <c r="C12207" s="6">
        <v>9</v>
      </c>
      <c r="D12207" s="7">
        <v>70.31</v>
      </c>
    </row>
    <row r="12208" spans="1:5" x14ac:dyDescent="0.25">
      <c r="A12208" t="str">
        <f>HYPERLINK("https://www.773grp.com/globalSearch/LM22680EVAL-NOPB/page-1", "LM22680EVAL-NOPB")</f>
        <v>LM22680EVAL-NOPB</v>
      </c>
      <c r="B12208" s="3" t="str">
        <f>HYPERLINK("https://www.773grp.com/manufacturer/national-semiconductor?pageNo=13", "National Semiconductor")</f>
        <v>National Semiconductor</v>
      </c>
      <c r="C12208" s="6">
        <v>9</v>
      </c>
      <c r="D12208" s="7">
        <v>70.31</v>
      </c>
    </row>
    <row r="12209" spans="1:4" x14ac:dyDescent="0.25">
      <c r="A12209" t="str">
        <f>HYPERLINK("https://www.773grp.com/globalSearch/LM25011MY-EVAL-NOPB/page-1", "LM25011MY-EVAL-NOPB")</f>
        <v>LM25011MY-EVAL-NOPB</v>
      </c>
      <c r="B12209" s="3" t="str">
        <f>HYPERLINK("https://www.773grp.com/manufacturer/national-semiconductor?pageNo=14", "National Semiconductor")</f>
        <v>National Semiconductor</v>
      </c>
      <c r="C12209" s="6">
        <v>13</v>
      </c>
      <c r="D12209" s="7">
        <v>70.31</v>
      </c>
    </row>
    <row r="12210" spans="1:4" x14ac:dyDescent="0.25">
      <c r="A12210" t="str">
        <f>HYPERLINK("https://www.773grp.com/globalSearch/LM2651-3.3EVAL-NOPB/page-1", "LM2651-3.3EVAL-NOPB")</f>
        <v>LM2651-3.3EVAL-NOPB</v>
      </c>
      <c r="B12210" s="3" t="str">
        <f>HYPERLINK("https://www.773grp.com/manufacturer/national-semiconductor?pageNo=15", "National Semiconductor")</f>
        <v>National Semiconductor</v>
      </c>
      <c r="C12210" s="6">
        <v>1</v>
      </c>
      <c r="D12210" s="7">
        <v>70.31</v>
      </c>
    </row>
    <row r="12211" spans="1:4" x14ac:dyDescent="0.25">
      <c r="A12211" t="str">
        <f>HYPERLINK("https://www.773grp.com/globalSearch/LM2651EVAL/page-1", "LM2651EVAL")</f>
        <v>LM2651EVAL</v>
      </c>
      <c r="B12211" s="3" t="str">
        <f>HYPERLINK("https://www.773grp.com/manufacturer/national-semiconductor?pageNo=16", "National Semiconductor")</f>
        <v>National Semiconductor</v>
      </c>
      <c r="C12211" s="6">
        <v>1</v>
      </c>
      <c r="D12211" s="7">
        <v>70.31</v>
      </c>
    </row>
    <row r="12212" spans="1:4" x14ac:dyDescent="0.25">
      <c r="A12212" t="str">
        <f>HYPERLINK("https://www.773grp.com/globalSearch/LM2675-5.0EVAL/page-1", "LM2675-5.0EVAL")</f>
        <v>LM2675-5.0EVAL</v>
      </c>
      <c r="B12212" s="3" t="str">
        <f>HYPERLINK("https://www.773grp.com/manufacturer/national-semiconductor?pageNo=17", "National Semiconductor")</f>
        <v>National Semiconductor</v>
      </c>
      <c r="C12212" s="6">
        <v>1</v>
      </c>
      <c r="D12212" s="7">
        <v>70.31</v>
      </c>
    </row>
    <row r="12213" spans="1:4" x14ac:dyDescent="0.25">
      <c r="A12213" t="str">
        <f>HYPERLINK("https://www.773grp.com/globalSearch/LM3150-250EVAL-NOPB/page-1", "LM3150-250EVAL-NOPB")</f>
        <v>LM3150-250EVAL-NOPB</v>
      </c>
      <c r="B12213" s="3" t="str">
        <f>HYPERLINK("https://www.773grp.com/manufacturer/national-semiconductor?pageNo=18", "National Semiconductor")</f>
        <v>National Semiconductor</v>
      </c>
      <c r="C12213" s="6">
        <v>8</v>
      </c>
      <c r="D12213" s="7">
        <v>70.31</v>
      </c>
    </row>
    <row r="12214" spans="1:4" x14ac:dyDescent="0.25">
      <c r="A12214" t="str">
        <f>HYPERLINK("https://www.773grp.com/globalSearch/LM3150-750EVAL/page-1", "LM3150-750EVAL")</f>
        <v>LM3150-750EVAL</v>
      </c>
      <c r="B12214" s="3" t="str">
        <f>HYPERLINK("https://www.773grp.com/manufacturer/national-semiconductor?pageNo=19", "National Semiconductor")</f>
        <v>National Semiconductor</v>
      </c>
      <c r="C12214" s="6">
        <v>7</v>
      </c>
      <c r="D12214" s="7">
        <v>70.31</v>
      </c>
    </row>
    <row r="12215" spans="1:4" x14ac:dyDescent="0.25">
      <c r="A12215" t="str">
        <f>HYPERLINK("https://www.773grp.com/globalSearch/LM3477EVAL/page-1", "LM3477EVAL")</f>
        <v>LM3477EVAL</v>
      </c>
      <c r="B12215" s="3" t="str">
        <f>HYPERLINK("https://www.773grp.com/manufacturer/national-semiconductor?pageNo=20", "National Semiconductor")</f>
        <v>National Semiconductor</v>
      </c>
      <c r="C12215" s="6">
        <v>2</v>
      </c>
      <c r="D12215" s="7">
        <v>70.31</v>
      </c>
    </row>
    <row r="12216" spans="1:4" x14ac:dyDescent="0.25">
      <c r="A12216" t="str">
        <f>HYPERLINK("https://www.773grp.com/globalSearch/LM3485EVAL/page-1", "LM3485EVAL")</f>
        <v>LM3485EVAL</v>
      </c>
      <c r="B12216" s="3" t="str">
        <f>HYPERLINK("https://www.773grp.com/manufacturer/national-semiconductor?pageNo=21", "National Semiconductor")</f>
        <v>National Semiconductor</v>
      </c>
      <c r="C12216" s="6">
        <v>2</v>
      </c>
      <c r="D12216" s="7">
        <v>70.31</v>
      </c>
    </row>
    <row r="12217" spans="1:4" x14ac:dyDescent="0.25">
      <c r="A12217" t="str">
        <f>HYPERLINK("https://www.773grp.com/globalSearch/LM3485LED EVAL/page-1", "LM3485LED EVAL")</f>
        <v>LM3485LED EVAL</v>
      </c>
      <c r="B12217" s="3" t="str">
        <f>HYPERLINK("https://www.773grp.com/manufacturer/national-semiconductor?pageNo=22", "National Semiconductor")</f>
        <v>National Semiconductor</v>
      </c>
      <c r="C12217" s="6">
        <v>3</v>
      </c>
      <c r="D12217" s="7">
        <v>70.31</v>
      </c>
    </row>
    <row r="12218" spans="1:4" x14ac:dyDescent="0.25">
      <c r="A12218" t="str">
        <f>HYPERLINK("https://www.773grp.com/globalSearch/LM3880EVAL/page-1", "LM3880EVAL")</f>
        <v>LM3880EVAL</v>
      </c>
      <c r="B12218" s="3" t="str">
        <f>HYPERLINK("https://www.773grp.com/manufacturer/national-semiconductor?pageNo=23", "National Semiconductor")</f>
        <v>National Semiconductor</v>
      </c>
      <c r="C12218" s="6">
        <v>1</v>
      </c>
      <c r="D12218" s="7">
        <v>70.31</v>
      </c>
    </row>
    <row r="12219" spans="1:4" x14ac:dyDescent="0.25">
      <c r="A12219" t="str">
        <f>HYPERLINK("https://www.773grp.com/globalSearch/LM5007EVAL-NOPB/page-1", "LM5007EVAL-NOPB")</f>
        <v>LM5007EVAL-NOPB</v>
      </c>
      <c r="B12219" s="3" t="str">
        <f>HYPERLINK("https://www.773grp.com/manufacturer/national-semiconductor?pageNo=24", "National Semiconductor")</f>
        <v>National Semiconductor</v>
      </c>
      <c r="C12219" s="6">
        <v>9</v>
      </c>
      <c r="D12219" s="7">
        <v>70.31</v>
      </c>
    </row>
    <row r="12220" spans="1:4" x14ac:dyDescent="0.25">
      <c r="A12220" t="str">
        <f>HYPERLINK("https://www.773grp.com/globalSearch/LMR24220RB-NOPB/page-1", "LMR24220RB-NOPB")</f>
        <v>LMR24220RB-NOPB</v>
      </c>
      <c r="B12220" s="3" t="str">
        <f>HYPERLINK("https://www.773grp.com/manufacturer/national-semiconductor?pageNo=25", "National Semiconductor")</f>
        <v>National Semiconductor</v>
      </c>
      <c r="C12220" s="6">
        <v>5</v>
      </c>
      <c r="D12220" s="7">
        <v>70.31</v>
      </c>
    </row>
    <row r="12221" spans="1:4" x14ac:dyDescent="0.25">
      <c r="A12221" t="str">
        <f>HYPERLINK("https://www.773grp.com/globalSearch/LMZ10503EVAL-NOPB/page-1", "LMZ10503EVAL-NOPB")</f>
        <v>LMZ10503EVAL-NOPB</v>
      </c>
      <c r="B12221" s="3" t="str">
        <f>HYPERLINK("https://www.773grp.com/manufacturer/national-semiconductor?pageNo=26", "National Semiconductor")</f>
        <v>National Semiconductor</v>
      </c>
      <c r="C12221" s="6">
        <v>1</v>
      </c>
      <c r="D12221" s="7">
        <v>70.31</v>
      </c>
    </row>
    <row r="12222" spans="1:4" x14ac:dyDescent="0.25">
      <c r="A12222" t="str">
        <f>HYPERLINK("https://www.773grp.com/globalSearch/LMZ10504EVAL-NOPB/page-1", "LMZ10504EVAL-NOPB")</f>
        <v>LMZ10504EVAL-NOPB</v>
      </c>
      <c r="B12222" s="3" t="str">
        <f>HYPERLINK("https://www.773grp.com/manufacturer/national-semiconductor?pageNo=27", "National Semiconductor")</f>
        <v>National Semiconductor</v>
      </c>
      <c r="C12222" s="6">
        <v>67</v>
      </c>
      <c r="D12222" s="7">
        <v>70.31</v>
      </c>
    </row>
    <row r="12223" spans="1:4" x14ac:dyDescent="0.25">
      <c r="A12223" t="str">
        <f>HYPERLINK("https://www.773grp.com/globalSearch/LMZ10505EVAL-NOPB/page-1", "LMZ10505EVAL-NOPB")</f>
        <v>LMZ10505EVAL-NOPB</v>
      </c>
      <c r="B12223" s="3" t="str">
        <f>HYPERLINK("https://www.773grp.com/manufacturer/national-semiconductor?pageNo=28", "National Semiconductor")</f>
        <v>National Semiconductor</v>
      </c>
      <c r="C12223" s="6">
        <v>14</v>
      </c>
      <c r="D12223" s="7">
        <v>70.31</v>
      </c>
    </row>
    <row r="12224" spans="1:4" x14ac:dyDescent="0.25">
      <c r="A12224" t="str">
        <f>HYPERLINK("https://www.773grp.com/globalSearch/LMZ12001EVAL-NOPB/page-1", "LMZ12001EVAL-NOPB")</f>
        <v>LMZ12001EVAL-NOPB</v>
      </c>
      <c r="B12224" s="3" t="str">
        <f>HYPERLINK("https://www.773grp.com/manufacturer/national-semiconductor?pageNo=29", "National Semiconductor")</f>
        <v>National Semiconductor</v>
      </c>
      <c r="C12224" s="6">
        <v>1</v>
      </c>
      <c r="D12224" s="7">
        <v>70.31</v>
      </c>
    </row>
    <row r="12225" spans="1:4" x14ac:dyDescent="0.25">
      <c r="A12225" t="str">
        <f>HYPERLINK("https://www.773grp.com/globalSearch/LMZ12002EVAL-NOPB/page-1", "LMZ12002EVAL-NOPB")</f>
        <v>LMZ12002EVAL-NOPB</v>
      </c>
      <c r="B12225" s="3" t="str">
        <f>HYPERLINK("https://www.773grp.com/manufacturer/national-semiconductor?pageNo=30", "National Semiconductor")</f>
        <v>National Semiconductor</v>
      </c>
      <c r="C12225" s="6">
        <v>5</v>
      </c>
      <c r="D12225" s="7">
        <v>70.31</v>
      </c>
    </row>
    <row r="12226" spans="1:4" x14ac:dyDescent="0.25">
      <c r="A12226" t="str">
        <f>HYPERLINK("https://www.773grp.com/globalSearch/LMZ12003EVAL-NOPB/page-1", "LMZ12003EVAL-NOPB")</f>
        <v>LMZ12003EVAL-NOPB</v>
      </c>
      <c r="B12226" s="3" t="str">
        <f>HYPERLINK("https://www.773grp.com/manufacturer/national-semiconductor?pageNo=31", "National Semiconductor")</f>
        <v>National Semiconductor</v>
      </c>
      <c r="C12226" s="6">
        <v>47</v>
      </c>
      <c r="D12226" s="7">
        <v>70.31</v>
      </c>
    </row>
    <row r="12227" spans="1:4" x14ac:dyDescent="0.25">
      <c r="A12227" t="str">
        <f>HYPERLINK("https://www.773grp.com/globalSearch/LMZ12010EVAL-NOPB/page-1", "LMZ12010EVAL-NOPB")</f>
        <v>LMZ12010EVAL-NOPB</v>
      </c>
      <c r="B12227" s="3" t="str">
        <f>HYPERLINK("https://www.773grp.com/manufacturer/national-semiconductor?pageNo=32", "National Semiconductor")</f>
        <v>National Semiconductor</v>
      </c>
      <c r="C12227" s="6">
        <v>3</v>
      </c>
      <c r="D12227" s="7">
        <v>70.31</v>
      </c>
    </row>
    <row r="12228" spans="1:4" x14ac:dyDescent="0.25">
      <c r="A12228" t="str">
        <f>HYPERLINK("https://www.773grp.com/globalSearch/LMZ14201EVAL-NOPB/page-1", "LMZ14201EVAL-NOPB")</f>
        <v>LMZ14201EVAL-NOPB</v>
      </c>
      <c r="B12228" s="3" t="str">
        <f>HYPERLINK("https://www.773grp.com/manufacturer/national-semiconductor?pageNo=33", "National Semiconductor")</f>
        <v>National Semiconductor</v>
      </c>
      <c r="C12228" s="6">
        <v>1</v>
      </c>
      <c r="D12228" s="7">
        <v>70.31</v>
      </c>
    </row>
    <row r="12229" spans="1:4" x14ac:dyDescent="0.25">
      <c r="A12229" t="str">
        <f>HYPERLINK("https://www.773grp.com/globalSearch/LMZ14202EVAL-NOPB/page-1", "LMZ14202EVAL-NOPB")</f>
        <v>LMZ14202EVAL-NOPB</v>
      </c>
      <c r="B12229" s="3" t="str">
        <f>HYPERLINK("https://www.773grp.com/manufacturer/national-semiconductor?pageNo=34", "National Semiconductor")</f>
        <v>National Semiconductor</v>
      </c>
      <c r="C12229" s="6">
        <v>12</v>
      </c>
      <c r="D12229" s="7">
        <v>70.31</v>
      </c>
    </row>
    <row r="12230" spans="1:4" x14ac:dyDescent="0.25">
      <c r="A12230" t="str">
        <f>HYPERLINK("https://www.773grp.com/globalSearch/LMZ14203EVAL-NOPB/page-1", "LMZ14203EVAL-NOPB")</f>
        <v>LMZ14203EVAL-NOPB</v>
      </c>
      <c r="B12230" s="3" t="str">
        <f>HYPERLINK("https://www.773grp.com/manufacturer/national-semiconductor?pageNo=35", "National Semiconductor")</f>
        <v>National Semiconductor</v>
      </c>
      <c r="C12230" s="6">
        <v>20</v>
      </c>
      <c r="D12230" s="7">
        <v>70.31</v>
      </c>
    </row>
    <row r="12231" spans="1:4" x14ac:dyDescent="0.25">
      <c r="A12231" t="str">
        <f>HYPERLINK("https://www.773grp.com/globalSearch/LMZ22003EVAL-NOPB/page-1", "LMZ22003EVAL-NOPB")</f>
        <v>LMZ22003EVAL-NOPB</v>
      </c>
      <c r="B12231" s="3" t="str">
        <f>HYPERLINK("https://www.773grp.com/manufacturer/national-semiconductor?pageNo=36", "National Semiconductor")</f>
        <v>National Semiconductor</v>
      </c>
      <c r="C12231" s="6">
        <v>3</v>
      </c>
      <c r="D12231" s="7">
        <v>70.31</v>
      </c>
    </row>
    <row r="12232" spans="1:4" x14ac:dyDescent="0.25">
      <c r="A12232" t="str">
        <f>HYPERLINK("https://www.773grp.com/globalSearch/LMZ22005EVAL-NOPB/page-1", "LMZ22005EVAL-NOPB")</f>
        <v>LMZ22005EVAL-NOPB</v>
      </c>
      <c r="B12232" s="3" t="str">
        <f>HYPERLINK("https://www.773grp.com/manufacturer/national-semiconductor?pageNo=37", "National Semiconductor")</f>
        <v>National Semiconductor</v>
      </c>
      <c r="C12232" s="6">
        <v>3</v>
      </c>
      <c r="D12232" s="7">
        <v>70.31</v>
      </c>
    </row>
    <row r="12233" spans="1:4" x14ac:dyDescent="0.25">
      <c r="A12233" t="str">
        <f>HYPERLINK("https://www.773grp.com/globalSearch/LMZ23603EVAL-NOPB/page-1", "LMZ23603EVAL-NOPB")</f>
        <v>LMZ23603EVAL-NOPB</v>
      </c>
      <c r="B12233" s="3" t="str">
        <f>HYPERLINK("https://www.773grp.com/manufacturer/national-semiconductor?pageNo=38", "National Semiconductor")</f>
        <v>National Semiconductor</v>
      </c>
      <c r="C12233" s="6">
        <v>3</v>
      </c>
      <c r="D12233" s="7">
        <v>70.31</v>
      </c>
    </row>
    <row r="12234" spans="1:4" x14ac:dyDescent="0.25">
      <c r="A12234" t="str">
        <f>HYPERLINK("https://www.773grp.com/globalSearch/LMZ23605EVAL-NOPB/page-1", "LMZ23605EVAL-NOPB")</f>
        <v>LMZ23605EVAL-NOPB</v>
      </c>
      <c r="B12234" s="3" t="str">
        <f>HYPERLINK("https://www.773grp.com/manufacturer/national-semiconductor?pageNo=39", "National Semiconductor")</f>
        <v>National Semiconductor</v>
      </c>
      <c r="C12234" s="6">
        <v>3</v>
      </c>
      <c r="D12234" s="7">
        <v>70.31</v>
      </c>
    </row>
    <row r="12235" spans="1:4" x14ac:dyDescent="0.25">
      <c r="A12235" t="str">
        <f>HYPERLINK("https://www.773grp.com/globalSearch/LP38856-1.2EVAL/page-1", "LP38856-1.2EVAL")</f>
        <v>LP38856-1.2EVAL</v>
      </c>
      <c r="B12235" s="3" t="str">
        <f>HYPERLINK("https://www.773grp.com/manufacturer/national-semiconductor?pageNo=40", "National Semiconductor")</f>
        <v>National Semiconductor</v>
      </c>
      <c r="C12235" s="6">
        <v>1</v>
      </c>
      <c r="D12235" s="7">
        <v>70.31</v>
      </c>
    </row>
    <row r="12236" spans="1:4" x14ac:dyDescent="0.25">
      <c r="A12236" t="str">
        <f>HYPERLINK("https://www.773grp.com/globalSearch/LP38859-1.2EVAL/page-1", "LP38859-1.2EVAL")</f>
        <v>LP38859-1.2EVAL</v>
      </c>
      <c r="B12236" s="3" t="str">
        <f>HYPERLINK("https://www.773grp.com/manufacturer/national-semiconductor?pageNo=41", "National Semiconductor")</f>
        <v>National Semiconductor</v>
      </c>
      <c r="C12236" s="6">
        <v>1</v>
      </c>
      <c r="D12236" s="7">
        <v>70.31</v>
      </c>
    </row>
    <row r="12237" spans="1:4" x14ac:dyDescent="0.25">
      <c r="A12237" t="str">
        <f>HYPERLINK("https://www.773grp.com/globalSearch/PT86C521-VC-B/page-1", "PT86C521-VC-B")</f>
        <v>PT86C521-VC-B</v>
      </c>
      <c r="B12237" s="3" t="str">
        <f>HYPERLINK("https://www.773grp.com/manufacturer/national-semiconductor?pageNo=42", "National Semiconductor")</f>
        <v>National Semiconductor</v>
      </c>
      <c r="C12237" s="6">
        <v>11</v>
      </c>
      <c r="D12237" s="7">
        <v>70.31</v>
      </c>
    </row>
    <row r="12238" spans="1:4" x14ac:dyDescent="0.25">
      <c r="A12238" t="str">
        <f>HYPERLINK("https://www.773grp.com/globalSearch/PT86C521-VC-C/page-1", "PT86C521-VC-C")</f>
        <v>PT86C521-VC-C</v>
      </c>
      <c r="B12238" s="3" t="str">
        <f>HYPERLINK("https://www.773grp.com/manufacturer/national-semiconductor?pageNo=43", "National Semiconductor")</f>
        <v>National Semiconductor</v>
      </c>
      <c r="C12238" s="6">
        <v>1440</v>
      </c>
      <c r="D12238" s="7">
        <v>70.31</v>
      </c>
    </row>
    <row r="12239" spans="1:4" x14ac:dyDescent="0.25">
      <c r="A12239" t="str">
        <f>HYPERLINK("https://www.773grp.com/globalSearch/PT86C522-VC-B/page-1", "PT86C522-VC-B")</f>
        <v>PT86C522-VC-B</v>
      </c>
      <c r="B12239" s="3" t="str">
        <f>HYPERLINK("https://www.773grp.com/manufacturer/national-semiconductor?pageNo=44", "National Semiconductor")</f>
        <v>National Semiconductor</v>
      </c>
      <c r="C12239" s="6">
        <v>11</v>
      </c>
      <c r="D12239" s="7">
        <v>70.31</v>
      </c>
    </row>
    <row r="12240" spans="1:4" x14ac:dyDescent="0.25">
      <c r="A12240" t="str">
        <f>HYPERLINK("https://www.773grp.com/globalSearch/PT86C522-VC-C/page-1", "PT86C522-VC-C")</f>
        <v>PT86C522-VC-C</v>
      </c>
      <c r="B12240" s="3" t="str">
        <f>HYPERLINK("https://www.773grp.com/manufacturer/national-semiconductor?pageNo=45", "National Semiconductor")</f>
        <v>National Semiconductor</v>
      </c>
      <c r="C12240" s="6">
        <v>7358</v>
      </c>
      <c r="D12240" s="7">
        <v>70.31</v>
      </c>
    </row>
    <row r="12241" spans="1:5" x14ac:dyDescent="0.25">
      <c r="A12241" t="str">
        <f>HYPERLINK("https://www.773grp.com/globalSearch/LM10010EVM-NOPB/page-1", "LM10010EVM-NOPB")</f>
        <v>LM10010EVM-NOPB</v>
      </c>
      <c r="B12241" s="3" t="str">
        <f>HYPERLINK("https://www.773grp.com/manufacturer/national-semiconductor?pageNo=46", "National Semiconductor")</f>
        <v>National Semiconductor</v>
      </c>
      <c r="C12241" s="6">
        <v>2</v>
      </c>
      <c r="D12241" s="7">
        <v>70.31</v>
      </c>
    </row>
    <row r="12242" spans="1:5" x14ac:dyDescent="0.25">
      <c r="A12242" t="str">
        <f>HYPERLINK("https://www.773grp.com/globalSearch/LM22677EVAL-NOPB/page-1", "LM22677EVAL-NOPB")</f>
        <v>LM22677EVAL-NOPB</v>
      </c>
      <c r="B12242" s="3" t="str">
        <f>HYPERLINK("https://www.773grp.com/manufacturer/national-semiconductor?pageNo=47", "National Semiconductor")</f>
        <v>National Semiconductor</v>
      </c>
      <c r="C12242" s="6">
        <v>6</v>
      </c>
      <c r="D12242" s="7">
        <v>70.31</v>
      </c>
    </row>
    <row r="12243" spans="1:5" x14ac:dyDescent="0.25">
      <c r="A12243" t="str">
        <f>HYPERLINK("https://www.773grp.com/globalSearch/LMZ12008EVAL-NOPB/page-1", "LMZ12008EVAL-NOPB")</f>
        <v>LMZ12008EVAL-NOPB</v>
      </c>
      <c r="B12243" s="3" t="str">
        <f>HYPERLINK("https://www.773grp.com/manufacturer/national-semiconductor?pageNo=48", "National Semiconductor")</f>
        <v>National Semiconductor</v>
      </c>
      <c r="C12243" s="6">
        <v>4</v>
      </c>
      <c r="D12243" s="7">
        <v>70.31</v>
      </c>
    </row>
    <row r="12244" spans="1:5" x14ac:dyDescent="0.25">
      <c r="A12244" t="str">
        <f>HYPERLINK("https://www.773grp.com/globalSearch/LMZ12010EVAL-NOPB/page-1", "LMZ12010EVAL-NOPB")</f>
        <v>LMZ12010EVAL-NOPB</v>
      </c>
      <c r="B12244" s="3" t="str">
        <f>HYPERLINK("https://www.773grp.com/manufacturer/national-semiconductor?pageNo=49", "National Semiconductor")</f>
        <v>National Semiconductor</v>
      </c>
      <c r="C12244" s="6">
        <v>5</v>
      </c>
      <c r="D12244" s="7">
        <v>70.31</v>
      </c>
    </row>
    <row r="12245" spans="1:5" x14ac:dyDescent="0.25">
      <c r="A12245" t="str">
        <f>HYPERLINK("https://www.773grp.com/globalSearch/LMZ13608EVAL-NOPB/page-1", "LMZ13608EVAL-NOPB")</f>
        <v>LMZ13608EVAL-NOPB</v>
      </c>
      <c r="B12245" s="3" t="str">
        <f>HYPERLINK("https://www.773grp.com/manufacturer/national-semiconductor?pageNo=50", "National Semiconductor")</f>
        <v>National Semiconductor</v>
      </c>
      <c r="C12245" s="6">
        <v>5</v>
      </c>
      <c r="D12245" s="7">
        <v>70.31</v>
      </c>
    </row>
    <row r="12246" spans="1:5" x14ac:dyDescent="0.25">
      <c r="A12246" t="str">
        <f>HYPERLINK("https://www.773grp.com/globalSearch/LMZ22005EVAL-NOPB/page-1", "LMZ22005EVAL-NOPB")</f>
        <v>LMZ22005EVAL-NOPB</v>
      </c>
      <c r="B12246" s="3" t="str">
        <f>HYPERLINK("https://www.773grp.com/manufacturer/national-semiconductor?pageNo=51", "National Semiconductor")</f>
        <v>National Semiconductor</v>
      </c>
      <c r="C12246" s="6">
        <v>5</v>
      </c>
      <c r="D12246" s="7">
        <v>70.31</v>
      </c>
    </row>
    <row r="12247" spans="1:5" x14ac:dyDescent="0.25">
      <c r="A12247" t="str">
        <f>HYPERLINK("https://www.773grp.com/globalSearch/LMZ23605EVAL-NOPB/page-1", "LMZ23605EVAL-NOPB")</f>
        <v>LMZ23605EVAL-NOPB</v>
      </c>
      <c r="B12247" s="3" t="str">
        <f>HYPERLINK("https://www.773grp.com/manufacturer/national-semiconductor?pageNo=52", "National Semiconductor")</f>
        <v>National Semiconductor</v>
      </c>
      <c r="C12247" s="6">
        <v>4</v>
      </c>
      <c r="D12247" s="7">
        <v>70.31</v>
      </c>
    </row>
    <row r="12248" spans="1:5" x14ac:dyDescent="0.25">
      <c r="A12248" t="str">
        <f>HYPERLINK("https://www.773grp.com/globalSearch/54S153LM/page-1", "54S153LM")</f>
        <v>54S153LM</v>
      </c>
      <c r="B12248" s="3" t="str">
        <f>HYPERLINK("https://www.773grp.com/manufacturer/national-semiconductor?pageNo=53", "National Semiconductor")</f>
        <v>National Semiconductor</v>
      </c>
      <c r="C12248" s="6">
        <v>353</v>
      </c>
      <c r="D12248" s="7">
        <v>71.25</v>
      </c>
    </row>
    <row r="12249" spans="1:5" x14ac:dyDescent="0.25">
      <c r="A12249" t="str">
        <f>HYPERLINK("https://www.773grp.com/globalSearch/CLC034MA/page-1", "CLC034MA")</f>
        <v>CLC034MA</v>
      </c>
      <c r="B12249" s="3" t="str">
        <f>HYPERLINK("https://www.773grp.com/manufacturer/national-semiconductor?pageNo=54", "National Semiconductor")</f>
        <v>National Semiconductor</v>
      </c>
      <c r="C12249" s="6">
        <v>23</v>
      </c>
      <c r="D12249" s="7">
        <v>71.25</v>
      </c>
      <c r="E12249" t="s">
        <v>40</v>
      </c>
    </row>
    <row r="12250" spans="1:5" x14ac:dyDescent="0.25">
      <c r="A12250" t="str">
        <f>HYPERLINK("https://www.773grp.com/globalSearch/93L425DMQB40/page-1", "93L425DMQB40")</f>
        <v>93L425DMQB40</v>
      </c>
      <c r="B12250" s="3" t="str">
        <f>HYPERLINK("https://www.773grp.com/manufacturer/national-semiconductor?pageNo=55", "National Semiconductor")</f>
        <v>National Semiconductor</v>
      </c>
      <c r="C12250" s="6">
        <v>27</v>
      </c>
      <c r="D12250" s="7">
        <v>71.73</v>
      </c>
    </row>
    <row r="12251" spans="1:5" x14ac:dyDescent="0.25">
      <c r="A12251" t="str">
        <f>HYPERLINK("https://www.773grp.com/globalSearch/ADC12C105CISQE-NOPB/page-1", "ADC12C105CISQE-NOPB")</f>
        <v>ADC12C105CISQE-NOPB</v>
      </c>
      <c r="B12251" s="3" t="str">
        <f>HYPERLINK("https://www.773grp.com/manufacturer/national-semiconductor?pageNo=56", "National Semiconductor")</f>
        <v>National Semiconductor</v>
      </c>
      <c r="C12251" s="6">
        <v>139</v>
      </c>
      <c r="D12251" s="7">
        <v>71.73</v>
      </c>
    </row>
    <row r="12252" spans="1:5" x14ac:dyDescent="0.25">
      <c r="A12252" t="str">
        <f>HYPERLINK("https://www.773grp.com/globalSearch/LM2621EVAL/page-1", "LM2621EVAL")</f>
        <v>LM2621EVAL</v>
      </c>
      <c r="B12252" s="3" t="str">
        <f>HYPERLINK("https://www.773grp.com/manufacturer/national-semiconductor?pageNo=57", "National Semiconductor")</f>
        <v>National Semiconductor</v>
      </c>
      <c r="C12252" s="6">
        <v>1</v>
      </c>
      <c r="D12252" s="7">
        <v>71.73</v>
      </c>
    </row>
    <row r="12253" spans="1:5" x14ac:dyDescent="0.25">
      <c r="A12253" t="str">
        <f>HYPERLINK("https://www.773grp.com/globalSearch/LM2673-5.0EVAL/page-1", "LM2673-5.0EVAL")</f>
        <v>LM2673-5.0EVAL</v>
      </c>
      <c r="B12253" s="3" t="str">
        <f>HYPERLINK("https://www.773grp.com/manufacturer/national-semiconductor?pageNo=58", "National Semiconductor")</f>
        <v>National Semiconductor</v>
      </c>
      <c r="C12253" s="6">
        <v>3</v>
      </c>
      <c r="D12253" s="7">
        <v>71.73</v>
      </c>
    </row>
    <row r="12254" spans="1:5" x14ac:dyDescent="0.25">
      <c r="A12254" t="str">
        <f>HYPERLINK("https://www.773grp.com/globalSearch/LM2679-5.0EVAL/page-1", "LM2679-5.0EVAL")</f>
        <v>LM2679-5.0EVAL</v>
      </c>
      <c r="B12254" s="3" t="str">
        <f>HYPERLINK("https://www.773grp.com/manufacturer/national-semiconductor?pageNo=59", "National Semiconductor")</f>
        <v>National Semiconductor</v>
      </c>
      <c r="C12254" s="6">
        <v>2</v>
      </c>
      <c r="D12254" s="7">
        <v>71.73</v>
      </c>
    </row>
    <row r="12255" spans="1:5" x14ac:dyDescent="0.25">
      <c r="A12255" t="str">
        <f>HYPERLINK("https://www.773grp.com/globalSearch/LM2731XEVAL/page-1", "LM2731XEVAL")</f>
        <v>LM2731XEVAL</v>
      </c>
      <c r="B12255" s="3" t="str">
        <f>HYPERLINK("https://www.773grp.com/manufacturer/national-semiconductor?pageNo=60", "National Semiconductor")</f>
        <v>National Semiconductor</v>
      </c>
      <c r="C12255" s="6">
        <v>3</v>
      </c>
      <c r="D12255" s="7">
        <v>71.73</v>
      </c>
    </row>
    <row r="12256" spans="1:5" x14ac:dyDescent="0.25">
      <c r="A12256" t="str">
        <f>HYPERLINK("https://www.773grp.com/globalSearch/LM2831YMFEVAL/page-1", "LM2831YMFEVAL")</f>
        <v>LM2831YMFEVAL</v>
      </c>
      <c r="B12256" s="3" t="str">
        <f>HYPERLINK("https://www.773grp.com/manufacturer/national-semiconductor?pageNo=61", "National Semiconductor")</f>
        <v>National Semiconductor</v>
      </c>
      <c r="C12256" s="6">
        <v>1</v>
      </c>
      <c r="D12256" s="7">
        <v>71.73</v>
      </c>
    </row>
    <row r="12257" spans="1:5" x14ac:dyDescent="0.25">
      <c r="A12257" t="str">
        <f>HYPERLINK("https://www.773grp.com/globalSearch/LM5007EVAL/page-1", "LM5007EVAL")</f>
        <v>LM5007EVAL</v>
      </c>
      <c r="B12257" s="3" t="str">
        <f>HYPERLINK("https://www.773grp.com/manufacturer/national-semiconductor?pageNo=62", "National Semiconductor")</f>
        <v>National Semiconductor</v>
      </c>
      <c r="C12257" s="6">
        <v>2</v>
      </c>
      <c r="D12257" s="7">
        <v>71.73</v>
      </c>
    </row>
    <row r="12258" spans="1:5" x14ac:dyDescent="0.25">
      <c r="A12258" t="str">
        <f>HYPERLINK("https://www.773grp.com/globalSearch/LM5008EVAL/page-1", "LM5008EVAL")</f>
        <v>LM5008EVAL</v>
      </c>
      <c r="B12258" s="3" t="str">
        <f>HYPERLINK("https://www.773grp.com/manufacturer/national-semiconductor?pageNo=63", "National Semiconductor")</f>
        <v>National Semiconductor</v>
      </c>
      <c r="C12258" s="6">
        <v>2</v>
      </c>
      <c r="D12258" s="7">
        <v>71.73</v>
      </c>
    </row>
    <row r="12259" spans="1:5" x14ac:dyDescent="0.25">
      <c r="A12259" t="str">
        <f>HYPERLINK("https://www.773grp.com/globalSearch/ADC12C105CISQE-NOPB/page-1", "ADC12C105CISQE-NOPB")</f>
        <v>ADC12C105CISQE-NOPB</v>
      </c>
      <c r="B12259" s="3" t="str">
        <f>HYPERLINK("https://www.773grp.com/manufacturer/national-semiconductor?pageNo=64", "National Semiconductor")</f>
        <v>National Semiconductor</v>
      </c>
      <c r="C12259" s="6">
        <v>341</v>
      </c>
      <c r="D12259" s="7">
        <v>71.73</v>
      </c>
    </row>
    <row r="12260" spans="1:5" x14ac:dyDescent="0.25">
      <c r="A12260" t="str">
        <f>HYPERLINK("https://www.773grp.com/globalSearch/LM5008EVAL/page-1", "LM5008EVAL")</f>
        <v>LM5008EVAL</v>
      </c>
      <c r="B12260" s="3" t="str">
        <f>HYPERLINK("https://www.773grp.com/manufacturer/national-semiconductor?pageNo=65", "National Semiconductor")</f>
        <v>National Semiconductor</v>
      </c>
      <c r="C12260" s="6">
        <v>1</v>
      </c>
      <c r="D12260" s="7">
        <v>71.73</v>
      </c>
    </row>
    <row r="12261" spans="1:5" x14ac:dyDescent="0.25">
      <c r="A12261" t="str">
        <f>HYPERLINK("https://www.773grp.com/globalSearch/CLC5903SM/page-1", "CLC5903SM")</f>
        <v>CLC5903SM</v>
      </c>
      <c r="B12261" s="3" t="str">
        <f>HYPERLINK("https://www.773grp.com/manufacturer/national-semiconductor?pageNo=66", "National Semiconductor")</f>
        <v>National Semiconductor</v>
      </c>
      <c r="C12261" s="6">
        <v>167</v>
      </c>
      <c r="D12261" s="7">
        <v>71.849999999999994</v>
      </c>
      <c r="E12261" t="s">
        <v>88</v>
      </c>
    </row>
    <row r="12262" spans="1:5" x14ac:dyDescent="0.25">
      <c r="A12262" t="str">
        <f>HYPERLINK("https://www.773grp.com/globalSearch/CLC5903VLA/page-1", "CLC5903VLA")</f>
        <v>CLC5903VLA</v>
      </c>
      <c r="B12262" s="3" t="str">
        <f>HYPERLINK("https://www.773grp.com/manufacturer/national-semiconductor?pageNo=67", "National Semiconductor")</f>
        <v>National Semiconductor</v>
      </c>
      <c r="C12262" s="6">
        <v>107</v>
      </c>
      <c r="D12262" s="7">
        <v>71.849999999999994</v>
      </c>
      <c r="E12262" t="s">
        <v>88</v>
      </c>
    </row>
    <row r="12263" spans="1:5" x14ac:dyDescent="0.25">
      <c r="A12263" t="str">
        <f>HYPERLINK("https://www.773grp.com/globalSearch/LH0061CK/page-1", "LH0061CK")</f>
        <v>LH0061CK</v>
      </c>
      <c r="B12263" s="3" t="str">
        <f>HYPERLINK("https://www.773grp.com/manufacturer/national-semiconductor?pageNo=68", "National Semiconductor")</f>
        <v>National Semiconductor</v>
      </c>
      <c r="C12263" s="6">
        <v>3</v>
      </c>
      <c r="D12263" s="7">
        <v>72</v>
      </c>
      <c r="E12263" t="s">
        <v>13</v>
      </c>
    </row>
    <row r="12264" spans="1:5" x14ac:dyDescent="0.25">
      <c r="A12264" t="str">
        <f>HYPERLINK("https://www.773grp.com/globalSearch/100165W-MIL/page-1", "100165W-MIL")</f>
        <v>100165W-MIL</v>
      </c>
      <c r="B12264" s="3" t="str">
        <f>HYPERLINK("https://www.773grp.com/manufacturer/national-semiconductor?pageNo=69", "National Semiconductor")</f>
        <v>National Semiconductor</v>
      </c>
      <c r="C12264" s="6">
        <v>85</v>
      </c>
      <c r="D12264" s="7">
        <v>72.23</v>
      </c>
    </row>
    <row r="12265" spans="1:5" x14ac:dyDescent="0.25">
      <c r="A12265" t="str">
        <f>HYPERLINK("https://www.773grp.com/globalSearch/CLC446AJ-QML/page-1", "CLC446AJ-QML")</f>
        <v>CLC446AJ-QML</v>
      </c>
      <c r="B12265" s="3" t="str">
        <f>HYPERLINK("https://www.773grp.com/manufacturer/national-semiconductor?pageNo=70", "National Semiconductor")</f>
        <v>National Semiconductor</v>
      </c>
      <c r="C12265" s="6">
        <v>81</v>
      </c>
      <c r="D12265" s="7">
        <v>72.28</v>
      </c>
    </row>
    <row r="12266" spans="1:5" x14ac:dyDescent="0.25">
      <c r="A12266" t="str">
        <f>HYPERLINK("https://www.773grp.com/globalSearch/JM4001BBDA/page-1", "JM4001BBDA")</f>
        <v>JM4001BBDA</v>
      </c>
      <c r="B12266" s="3" t="str">
        <f>HYPERLINK("https://www.773grp.com/manufacturer/national-semiconductor?pageNo=71", "National Semiconductor")</f>
        <v>National Semiconductor</v>
      </c>
      <c r="C12266" s="6">
        <v>327</v>
      </c>
      <c r="D12266" s="7">
        <v>72.28</v>
      </c>
    </row>
    <row r="12267" spans="1:5" x14ac:dyDescent="0.25">
      <c r="A12267" t="str">
        <f>HYPERLINK("https://www.773grp.com/globalSearch/JM4023ABDA/page-1", "JM4023ABDA")</f>
        <v>JM4023ABDA</v>
      </c>
      <c r="B12267" s="3" t="str">
        <f>HYPERLINK("https://www.773grp.com/manufacturer/national-semiconductor?pageNo=72", "National Semiconductor")</f>
        <v>National Semiconductor</v>
      </c>
      <c r="C12267" s="6">
        <v>126</v>
      </c>
      <c r="D12267" s="7">
        <v>72.28</v>
      </c>
    </row>
    <row r="12268" spans="1:5" x14ac:dyDescent="0.25">
      <c r="A12268" t="str">
        <f>HYPERLINK("https://www.773grp.com/globalSearch/54181FM/page-1", "54181FM")</f>
        <v>54181FM</v>
      </c>
      <c r="B12268" s="3" t="str">
        <f>HYPERLINK("https://www.773grp.com/manufacturer/national-semiconductor?pageNo=73", "National Semiconductor")</f>
        <v>National Semiconductor</v>
      </c>
      <c r="C12268" s="6">
        <v>12</v>
      </c>
      <c r="D12268" s="7">
        <v>72.56</v>
      </c>
    </row>
    <row r="12269" spans="1:5" x14ac:dyDescent="0.25">
      <c r="A12269" t="str">
        <f>HYPERLINK("https://www.773grp.com/globalSearch/950DM/page-1", "950DM")</f>
        <v>950DM</v>
      </c>
      <c r="B12269" s="3" t="str">
        <f>HYPERLINK("https://www.773grp.com/manufacturer/national-semiconductor?pageNo=74", "National Semiconductor")</f>
        <v>National Semiconductor</v>
      </c>
      <c r="C12269" s="6">
        <v>443</v>
      </c>
      <c r="D12269" s="7">
        <v>72.790000000000006</v>
      </c>
    </row>
    <row r="12270" spans="1:5" x14ac:dyDescent="0.25">
      <c r="A12270" t="str">
        <f>HYPERLINK("https://www.773grp.com/globalSearch/AF151-1CJ/page-1", "AF151-1CJ")</f>
        <v>AF151-1CJ</v>
      </c>
      <c r="B12270" s="3" t="str">
        <f>HYPERLINK("https://www.773grp.com/manufacturer/national-semiconductor?pageNo=75", "National Semiconductor")</f>
        <v>National Semiconductor</v>
      </c>
      <c r="C12270" s="6">
        <v>89</v>
      </c>
      <c r="D12270" s="7">
        <v>72.849999999999994</v>
      </c>
      <c r="E12270" t="s">
        <v>58</v>
      </c>
    </row>
    <row r="12271" spans="1:5" x14ac:dyDescent="0.25">
      <c r="A12271" t="str">
        <f>HYPERLINK("https://www.773grp.com/globalSearch/LM140K-15-883C/page-1", "LM140K-15-883C")</f>
        <v>LM140K-15-883C</v>
      </c>
      <c r="B12271" s="3" t="str">
        <f>HYPERLINK("https://www.773grp.com/manufacturer/national-semiconductor?pageNo=76", "National Semiconductor")</f>
        <v>National Semiconductor</v>
      </c>
      <c r="C12271" s="6">
        <v>1</v>
      </c>
      <c r="D12271" s="7">
        <v>73.13</v>
      </c>
      <c r="E12271" t="s">
        <v>28</v>
      </c>
    </row>
    <row r="12272" spans="1:5" x14ac:dyDescent="0.25">
      <c r="A12272" t="str">
        <f>HYPERLINK("https://www.773grp.com/globalSearch/9340DM/page-1", "9340DM")</f>
        <v>9340DM</v>
      </c>
      <c r="B12272" s="3" t="str">
        <f>HYPERLINK("https://www.773grp.com/manufacturer/national-semiconductor?pageNo=77", "National Semiconductor")</f>
        <v>National Semiconductor</v>
      </c>
      <c r="C12272" s="6">
        <v>26</v>
      </c>
      <c r="D12272" s="7">
        <v>73.28</v>
      </c>
    </row>
    <row r="12273" spans="1:5" x14ac:dyDescent="0.25">
      <c r="A12273" t="str">
        <f>HYPERLINK("https://www.773grp.com/globalSearch/903HMQB/page-1", "903HMQB")</f>
        <v>903HMQB</v>
      </c>
      <c r="B12273" s="3" t="str">
        <f>HYPERLINK("https://www.773grp.com/manufacturer/national-semiconductor?pageNo=78", "National Semiconductor")</f>
        <v>National Semiconductor</v>
      </c>
      <c r="C12273" s="6">
        <v>20</v>
      </c>
      <c r="D12273" s="7">
        <v>73.41</v>
      </c>
    </row>
    <row r="12274" spans="1:5" x14ac:dyDescent="0.25">
      <c r="A12274" t="str">
        <f>HYPERLINK("https://www.773grp.com/globalSearch/JM38510-23102BFA/page-1", "JM38510-23102BFA")</f>
        <v>JM38510-23102BFA</v>
      </c>
      <c r="B12274" s="3" t="str">
        <f>HYPERLINK("https://www.773grp.com/manufacturer/national-semiconductor?pageNo=79", "National Semiconductor")</f>
        <v>National Semiconductor</v>
      </c>
      <c r="C12274" s="6">
        <v>507</v>
      </c>
      <c r="D12274" s="7">
        <v>73.44</v>
      </c>
    </row>
    <row r="12275" spans="1:5" x14ac:dyDescent="0.25">
      <c r="A12275" t="str">
        <f>HYPERLINK("https://www.773grp.com/globalSearch/SCAN926260TUFX/page-1", "SCAN926260TUFX")</f>
        <v>SCAN926260TUFX</v>
      </c>
      <c r="B12275" s="3" t="str">
        <f>HYPERLINK("https://www.773grp.com/manufacturer/national-semiconductor?pageNo=80", "National Semiconductor")</f>
        <v>National Semiconductor</v>
      </c>
      <c r="C12275" s="6">
        <v>9000</v>
      </c>
      <c r="D12275" s="7">
        <v>73.44</v>
      </c>
    </row>
    <row r="12276" spans="1:5" x14ac:dyDescent="0.25">
      <c r="A12276" t="str">
        <f>HYPERLINK("https://www.773grp.com/globalSearch/JM38510-34106B2A/page-1", "JM38510-34106B2A")</f>
        <v>JM38510-34106B2A</v>
      </c>
      <c r="B12276" s="3" t="str">
        <f>HYPERLINK("https://www.773grp.com/manufacturer/national-semiconductor?pageNo=81", "National Semiconductor")</f>
        <v>National Semiconductor</v>
      </c>
      <c r="C12276" s="6">
        <v>222</v>
      </c>
      <c r="D12276" s="7">
        <v>73.69</v>
      </c>
      <c r="E12276" t="s">
        <v>14</v>
      </c>
    </row>
    <row r="12277" spans="1:5" x14ac:dyDescent="0.25">
      <c r="A12277" t="str">
        <f>HYPERLINK("https://www.773grp.com/globalSearch/JM38510-34603B2A/page-1", "JM38510-34603B2A")</f>
        <v>JM38510-34603B2A</v>
      </c>
      <c r="B12277" s="3" t="str">
        <f>HYPERLINK("https://www.773grp.com/manufacturer/national-semiconductor?pageNo=82", "National Semiconductor")</f>
        <v>National Semiconductor</v>
      </c>
      <c r="C12277" s="6">
        <v>1763</v>
      </c>
      <c r="D12277" s="7">
        <v>73.69</v>
      </c>
    </row>
    <row r="12278" spans="1:5" x14ac:dyDescent="0.25">
      <c r="A12278" t="str">
        <f>HYPERLINK("https://www.773grp.com/globalSearch/93S42FM/page-1", "93S42FM")</f>
        <v>93S42FM</v>
      </c>
      <c r="B12278" s="3" t="str">
        <f>HYPERLINK("https://www.773grp.com/manufacturer/national-semiconductor?pageNo=83", "National Semiconductor")</f>
        <v>National Semiconductor</v>
      </c>
      <c r="C12278" s="6">
        <v>3298</v>
      </c>
      <c r="D12278" s="7">
        <v>74.14</v>
      </c>
    </row>
    <row r="12279" spans="1:5" x14ac:dyDescent="0.25">
      <c r="A12279" t="str">
        <f>HYPERLINK("https://www.773grp.com/globalSearch/910HM/page-1", "910HM")</f>
        <v>910HM</v>
      </c>
      <c r="B12279" s="3" t="str">
        <f>HYPERLINK("https://www.773grp.com/manufacturer/national-semiconductor?pageNo=84", "National Semiconductor")</f>
        <v>National Semiconductor</v>
      </c>
      <c r="C12279" s="6">
        <v>587</v>
      </c>
      <c r="D12279" s="7">
        <v>74.2</v>
      </c>
      <c r="E12279" t="s">
        <v>31</v>
      </c>
    </row>
    <row r="12280" spans="1:5" x14ac:dyDescent="0.25">
      <c r="A12280" t="str">
        <f>HYPERLINK("https://www.773grp.com/globalSearch/93S16FM/page-1", "93S16FM")</f>
        <v>93S16FM</v>
      </c>
      <c r="B12280" s="3" t="str">
        <f>HYPERLINK("https://www.773grp.com/manufacturer/national-semiconductor?pageNo=85", "National Semiconductor")</f>
        <v>National Semiconductor</v>
      </c>
      <c r="C12280" s="6">
        <v>56</v>
      </c>
      <c r="D12280" s="7">
        <v>74.540000000000006</v>
      </c>
    </row>
    <row r="12281" spans="1:5" x14ac:dyDescent="0.25">
      <c r="A12281" t="str">
        <f>HYPERLINK("https://www.773grp.com/globalSearch/ADC14C080CISQE-NOPB/page-1", "ADC14C080CISQE-NOPB")</f>
        <v>ADC14C080CISQE-NOPB</v>
      </c>
      <c r="B12281" s="3" t="str">
        <f>HYPERLINK("https://www.773grp.com/manufacturer/national-semiconductor?pageNo=86", "National Semiconductor")</f>
        <v>National Semiconductor</v>
      </c>
      <c r="C12281" s="6">
        <v>330</v>
      </c>
      <c r="D12281" s="7">
        <v>74.540000000000006</v>
      </c>
    </row>
    <row r="12282" spans="1:5" x14ac:dyDescent="0.25">
      <c r="A12282" t="str">
        <f>HYPERLINK("https://www.773grp.com/globalSearch/ADC14C080CISQE-NOPB/page-1", "ADC14C080CISQE-NOPB")</f>
        <v>ADC14C080CISQE-NOPB</v>
      </c>
      <c r="B12282" s="3" t="str">
        <f>HYPERLINK("https://www.773grp.com/manufacturer/national-semiconductor?pageNo=87", "National Semiconductor")</f>
        <v>National Semiconductor</v>
      </c>
      <c r="C12282" s="6">
        <v>219</v>
      </c>
      <c r="D12282" s="7">
        <v>74.540000000000006</v>
      </c>
    </row>
    <row r="12283" spans="1:5" x14ac:dyDescent="0.25">
      <c r="A12283" t="str">
        <f>HYPERLINK("https://www.773grp.com/globalSearch/93L38DMQB/page-1", "93L38DMQB")</f>
        <v>93L38DMQB</v>
      </c>
      <c r="B12283" s="3" t="str">
        <f>HYPERLINK("https://www.773grp.com/manufacturer/national-semiconductor?pageNo=88", "National Semiconductor")</f>
        <v>National Semiconductor</v>
      </c>
      <c r="C12283" s="6">
        <v>67</v>
      </c>
      <c r="D12283" s="7">
        <v>75.099999999999994</v>
      </c>
      <c r="E12283" t="s">
        <v>83</v>
      </c>
    </row>
    <row r="12284" spans="1:5" x14ac:dyDescent="0.25">
      <c r="A12284" t="str">
        <f>HYPERLINK("https://www.773grp.com/globalSearch/JD54F563BSA/page-1", "JD54F563BSA")</f>
        <v>JD54F563BSA</v>
      </c>
      <c r="B12284" s="3" t="str">
        <f>HYPERLINK("https://www.773grp.com/manufacturer/national-semiconductor?pageNo=89", "National Semiconductor")</f>
        <v>National Semiconductor</v>
      </c>
      <c r="C12284" s="6">
        <v>335</v>
      </c>
      <c r="D12284" s="7">
        <v>75.099999999999994</v>
      </c>
    </row>
    <row r="12285" spans="1:5" x14ac:dyDescent="0.25">
      <c r="A12285" t="str">
        <f>HYPERLINK("https://www.773grp.com/globalSearch/9344DM/page-1", "9344DM")</f>
        <v>9344DM</v>
      </c>
      <c r="B12285" s="3" t="str">
        <f>HYPERLINK("https://www.773grp.com/manufacturer/national-semiconductor?pageNo=90", "National Semiconductor")</f>
        <v>National Semiconductor</v>
      </c>
      <c r="C12285" s="6">
        <v>6</v>
      </c>
      <c r="D12285" s="7">
        <v>75.83</v>
      </c>
    </row>
    <row r="12286" spans="1:5" x14ac:dyDescent="0.25">
      <c r="A12286" t="str">
        <f>HYPERLINK("https://www.773grp.com/globalSearch/100150W-MIL/page-1", "100150W-MIL")</f>
        <v>100150W-MIL</v>
      </c>
      <c r="B12286" s="3" t="str">
        <f>HYPERLINK("https://www.773grp.com/manufacturer/national-semiconductor?pageNo=91", "National Semiconductor")</f>
        <v>National Semiconductor</v>
      </c>
      <c r="C12286" s="6">
        <v>1452</v>
      </c>
      <c r="D12286" s="7">
        <v>75.94</v>
      </c>
    </row>
    <row r="12287" spans="1:5" x14ac:dyDescent="0.25">
      <c r="A12287" t="str">
        <f>HYPERLINK("https://www.773grp.com/globalSearch/100179J-MIL/page-1", "100179J-MIL")</f>
        <v>100179J-MIL</v>
      </c>
      <c r="B12287" s="3" t="str">
        <f>HYPERLINK("https://www.773grp.com/manufacturer/national-semiconductor?pageNo=92", "National Semiconductor")</f>
        <v>National Semiconductor</v>
      </c>
      <c r="C12287" s="6">
        <v>851</v>
      </c>
      <c r="D12287" s="7">
        <v>75.94</v>
      </c>
    </row>
    <row r="12288" spans="1:5" x14ac:dyDescent="0.25">
      <c r="A12288" t="str">
        <f>HYPERLINK("https://www.773grp.com/globalSearch/DH0034CD/page-1", "DH0034CD")</f>
        <v>DH0034CD</v>
      </c>
      <c r="B12288" s="3" t="str">
        <f>HYPERLINK("https://www.773grp.com/manufacturer/national-semiconductor?pageNo=93", "National Semiconductor")</f>
        <v>National Semiconductor</v>
      </c>
      <c r="C12288" s="6">
        <v>21</v>
      </c>
      <c r="D12288" s="7">
        <v>76.23</v>
      </c>
      <c r="E12288" t="s">
        <v>31</v>
      </c>
    </row>
    <row r="12289" spans="1:5" x14ac:dyDescent="0.25">
      <c r="A12289" t="str">
        <f>HYPERLINK("https://www.773grp.com/globalSearch/93S46FM/page-1", "93S46FM")</f>
        <v>93S46FM</v>
      </c>
      <c r="B12289" s="3" t="str">
        <f>HYPERLINK("https://www.773grp.com/manufacturer/national-semiconductor?pageNo=94", "National Semiconductor")</f>
        <v>National Semiconductor</v>
      </c>
      <c r="C12289" s="6">
        <v>1986</v>
      </c>
      <c r="D12289" s="7">
        <v>76.28</v>
      </c>
    </row>
    <row r="12290" spans="1:5" x14ac:dyDescent="0.25">
      <c r="A12290" t="str">
        <f>HYPERLINK("https://www.773grp.com/globalSearch/LM169H/page-1", "LM169H")</f>
        <v>LM169H</v>
      </c>
      <c r="B12290" s="3" t="str">
        <f>HYPERLINK("https://www.773grp.com/manufacturer/national-semiconductor?pageNo=95", "National Semiconductor")</f>
        <v>National Semiconductor</v>
      </c>
      <c r="C12290" s="6">
        <v>359</v>
      </c>
      <c r="D12290" s="7">
        <v>76.790000000000006</v>
      </c>
      <c r="E12290" t="s">
        <v>17</v>
      </c>
    </row>
    <row r="12291" spans="1:5" x14ac:dyDescent="0.25">
      <c r="A12291" t="str">
        <f>HYPERLINK("https://www.773grp.com/globalSearch/LM338KSTEEL/page-1", "LM338KSTEEL")</f>
        <v>LM338KSTEEL</v>
      </c>
      <c r="B12291" s="3" t="str">
        <f>HYPERLINK("https://www.773grp.com/manufacturer/national-semiconductor?pageNo=96", "National Semiconductor")</f>
        <v>National Semiconductor</v>
      </c>
      <c r="C12291" s="6">
        <v>185</v>
      </c>
      <c r="D12291" s="7">
        <v>77.06</v>
      </c>
      <c r="E12291" t="s">
        <v>22</v>
      </c>
    </row>
    <row r="12292" spans="1:5" x14ac:dyDescent="0.25">
      <c r="A12292" t="str">
        <f>HYPERLINK("https://www.773grp.com/globalSearch/54S157FM/page-1", "54S157FM")</f>
        <v>54S157FM</v>
      </c>
      <c r="B12292" s="3" t="str">
        <f>HYPERLINK("https://www.773grp.com/manufacturer/national-semiconductor?pageNo=97", "National Semiconductor")</f>
        <v>National Semiconductor</v>
      </c>
      <c r="C12292" s="6">
        <v>11870</v>
      </c>
      <c r="D12292" s="7">
        <v>77.489999999999995</v>
      </c>
    </row>
    <row r="12293" spans="1:5" x14ac:dyDescent="0.25">
      <c r="A12293" t="str">
        <f>HYPERLINK("https://www.773grp.com/globalSearch/DP8421ATV-25/page-1", "DP8421ATV-25")</f>
        <v>DP8421ATV-25</v>
      </c>
      <c r="B12293" s="3" t="str">
        <f>HYPERLINK("https://www.773grp.com/manufacturer/national-semiconductor?pageNo=98", "National Semiconductor")</f>
        <v>National Semiconductor</v>
      </c>
      <c r="C12293" s="6">
        <v>3</v>
      </c>
      <c r="D12293" s="7">
        <v>78.44</v>
      </c>
      <c r="E12293" t="s">
        <v>87</v>
      </c>
    </row>
    <row r="12294" spans="1:5" x14ac:dyDescent="0.25">
      <c r="A12294" t="str">
        <f>HYPERLINK("https://www.773grp.com/globalSearch/DP8421ATVX-25/page-1", "DP8421ATVX-25")</f>
        <v>DP8421ATVX-25</v>
      </c>
      <c r="B12294" s="3" t="str">
        <f>HYPERLINK("https://www.773grp.com/manufacturer/national-semiconductor?pageNo=99", "National Semiconductor")</f>
        <v>National Semiconductor</v>
      </c>
      <c r="C12294" s="6">
        <v>3887</v>
      </c>
      <c r="D12294" s="7">
        <v>78.44</v>
      </c>
      <c r="E12294" t="s">
        <v>87</v>
      </c>
    </row>
    <row r="12295" spans="1:5" x14ac:dyDescent="0.25">
      <c r="A12295" t="str">
        <f>HYPERLINK("https://www.773grp.com/globalSearch/54S174FM/page-1", "54S174FM")</f>
        <v>54S174FM</v>
      </c>
      <c r="B12295" s="3" t="str">
        <f>HYPERLINK("https://www.773grp.com/manufacturer/national-semiconductor?pageNo=100", "National Semiconductor")</f>
        <v>National Semiconductor</v>
      </c>
      <c r="C12295" s="6">
        <v>1422</v>
      </c>
      <c r="D12295" s="7">
        <v>78.680000000000007</v>
      </c>
      <c r="E12295" t="s">
        <v>35</v>
      </c>
    </row>
    <row r="12296" spans="1:5" x14ac:dyDescent="0.25">
      <c r="A12296" t="str">
        <f>HYPERLINK("https://www.773grp.com/globalSearch/100171W-MIL/page-1", "100171W-MIL")</f>
        <v>100171W-MIL</v>
      </c>
      <c r="B12296" s="3" t="str">
        <f>HYPERLINK("https://www.773grp.com/manufacturer/national-semiconductor?pageNo=101", "National Semiconductor")</f>
        <v>National Semiconductor</v>
      </c>
      <c r="C12296" s="6">
        <v>55</v>
      </c>
      <c r="D12296" s="7">
        <v>78.75</v>
      </c>
    </row>
    <row r="12297" spans="1:5" x14ac:dyDescent="0.25">
      <c r="A12297" t="str">
        <f>HYPERLINK("https://www.773grp.com/globalSearch/DP83810BVUL/page-1", "DP83810BVUL")</f>
        <v>DP83810BVUL</v>
      </c>
      <c r="B12297" s="3" t="str">
        <f>HYPERLINK("https://www.773grp.com/manufacturer/national-semiconductor?pageNo=102", "National Semiconductor")</f>
        <v>National Semiconductor</v>
      </c>
      <c r="C12297" s="6">
        <v>1053</v>
      </c>
      <c r="D12297" s="7">
        <v>78.75</v>
      </c>
    </row>
    <row r="12298" spans="1:5" x14ac:dyDescent="0.25">
      <c r="A12298" t="str">
        <f>HYPERLINK("https://www.773grp.com/globalSearch/DP83932CVF-20/page-1", "DP83932CVF-20")</f>
        <v>DP83932CVF-20</v>
      </c>
      <c r="B12298" s="3" t="str">
        <f>HYPERLINK("https://www.773grp.com/manufacturer/national-semiconductor?pageNo=103", "National Semiconductor")</f>
        <v>National Semiconductor</v>
      </c>
      <c r="C12298" s="6">
        <v>443</v>
      </c>
      <c r="D12298" s="7">
        <v>78.75</v>
      </c>
      <c r="E12298" t="s">
        <v>71</v>
      </c>
    </row>
    <row r="12299" spans="1:5" x14ac:dyDescent="0.25">
      <c r="A12299" t="str">
        <f>HYPERLINK("https://www.773grp.com/globalSearch/SCAN926260TUF/page-1", "SCAN926260TUF")</f>
        <v>SCAN926260TUF</v>
      </c>
      <c r="B12299" s="3" t="str">
        <f>HYPERLINK("https://www.773grp.com/manufacturer/national-semiconductor?pageNo=104", "National Semiconductor")</f>
        <v>National Semiconductor</v>
      </c>
      <c r="C12299" s="6">
        <v>58</v>
      </c>
      <c r="D12299" s="7">
        <v>79.06</v>
      </c>
    </row>
    <row r="12300" spans="1:5" x14ac:dyDescent="0.25">
      <c r="A12300" t="str">
        <f>HYPERLINK("https://www.773grp.com/globalSearch/93L10FMQB/page-1", "93L10FMQB")</f>
        <v>93L10FMQB</v>
      </c>
      <c r="B12300" s="3" t="str">
        <f>HYPERLINK("https://www.773grp.com/manufacturer/national-semiconductor?pageNo=105", "National Semiconductor")</f>
        <v>National Semiconductor</v>
      </c>
      <c r="C12300" s="6">
        <v>350</v>
      </c>
      <c r="D12300" s="7">
        <v>79.31</v>
      </c>
      <c r="E12300" t="s">
        <v>26</v>
      </c>
    </row>
    <row r="12301" spans="1:5" x14ac:dyDescent="0.25">
      <c r="A12301" t="str">
        <f>HYPERLINK("https://www.773grp.com/globalSearch/JD9930BCA/page-1", "JD9930BCA")</f>
        <v>JD9930BCA</v>
      </c>
      <c r="B12301" s="3" t="str">
        <f>HYPERLINK("https://www.773grp.com/manufacturer/national-semiconductor?pageNo=106", "National Semiconductor")</f>
        <v>National Semiconductor</v>
      </c>
      <c r="C12301" s="6">
        <v>202</v>
      </c>
      <c r="D12301" s="7">
        <v>79.31</v>
      </c>
    </row>
    <row r="12302" spans="1:5" x14ac:dyDescent="0.25">
      <c r="A12302" t="str">
        <f>HYPERLINK("https://www.773grp.com/globalSearch/93S43DM/page-1", "93S43DM")</f>
        <v>93S43DM</v>
      </c>
      <c r="B12302" s="3" t="str">
        <f>HYPERLINK("https://www.773grp.com/manufacturer/national-semiconductor?pageNo=107", "National Semiconductor")</f>
        <v>National Semiconductor</v>
      </c>
      <c r="C12302" s="6">
        <v>499</v>
      </c>
      <c r="D12302" s="7">
        <v>79.56</v>
      </c>
    </row>
    <row r="12303" spans="1:5" x14ac:dyDescent="0.25">
      <c r="A12303" t="str">
        <f>HYPERLINK("https://www.773grp.com/globalSearch/JM38510-03005BDA/page-1", "JM38510-03005BDA")</f>
        <v>JM38510-03005BDA</v>
      </c>
      <c r="B12303" s="3" t="str">
        <f>HYPERLINK("https://www.773grp.com/manufacturer/national-semiconductor?pageNo=108", "National Semiconductor")</f>
        <v>National Semiconductor</v>
      </c>
      <c r="C12303" s="6">
        <v>3277</v>
      </c>
      <c r="D12303" s="7">
        <v>79.599999999999994</v>
      </c>
    </row>
    <row r="12304" spans="1:5" x14ac:dyDescent="0.25">
      <c r="A12304" t="str">
        <f>HYPERLINK("https://www.773grp.com/globalSearch/CLC952ACMSA/page-1", "CLC952ACMSA")</f>
        <v>CLC952ACMSA</v>
      </c>
      <c r="B12304" s="3" t="str">
        <f>HYPERLINK("https://www.773grp.com/manufacturer/national-semiconductor?pageNo=109", "National Semiconductor")</f>
        <v>National Semiconductor</v>
      </c>
      <c r="C12304" s="6">
        <v>732</v>
      </c>
      <c r="D12304" s="7">
        <v>79.88</v>
      </c>
      <c r="E12304" t="s">
        <v>39</v>
      </c>
    </row>
    <row r="12305" spans="1:5" x14ac:dyDescent="0.25">
      <c r="A12305" t="str">
        <f>HYPERLINK("https://www.773grp.com/globalSearch/CLC952AJMSA/page-1", "CLC952AJMSA")</f>
        <v>CLC952AJMSA</v>
      </c>
      <c r="B12305" s="3" t="str">
        <f>HYPERLINK("https://www.773grp.com/manufacturer/national-semiconductor?pageNo=110", "National Semiconductor")</f>
        <v>National Semiconductor</v>
      </c>
      <c r="C12305" s="6">
        <v>342</v>
      </c>
      <c r="D12305" s="7">
        <v>79.88</v>
      </c>
      <c r="E12305" t="s">
        <v>39</v>
      </c>
    </row>
    <row r="12306" spans="1:5" x14ac:dyDescent="0.25">
      <c r="A12306" t="str">
        <f>HYPERLINK("https://www.773grp.com/globalSearch/5962-7802301MEA/page-1", "5962-7802301MEA")</f>
        <v>5962-7802301MEA</v>
      </c>
      <c r="B12306" s="3" t="str">
        <f>HYPERLINK("https://www.773grp.com/manufacturer/national-semiconductor?pageNo=111", "National Semiconductor")</f>
        <v>National Semiconductor</v>
      </c>
      <c r="C12306" s="6">
        <v>303</v>
      </c>
      <c r="D12306" s="7">
        <v>80.08</v>
      </c>
      <c r="E12306" t="s">
        <v>21</v>
      </c>
    </row>
    <row r="12307" spans="1:5" x14ac:dyDescent="0.25">
      <c r="A12307" t="str">
        <f>HYPERLINK("https://www.773grp.com/globalSearch/4720BDM/page-1", "4720BDM")</f>
        <v>4720BDM</v>
      </c>
      <c r="B12307" s="3" t="str">
        <f>HYPERLINK("https://www.773grp.com/manufacturer/national-semiconductor?pageNo=112", "National Semiconductor")</f>
        <v>National Semiconductor</v>
      </c>
      <c r="C12307" s="6">
        <v>10973</v>
      </c>
      <c r="D12307" s="7">
        <v>80.16</v>
      </c>
    </row>
    <row r="12308" spans="1:5" x14ac:dyDescent="0.25">
      <c r="A12308" t="str">
        <f>HYPERLINK("https://www.773grp.com/globalSearch/ADC12V170CISQ/page-1", "ADC12V170CISQ")</f>
        <v>ADC12V170CISQ</v>
      </c>
      <c r="B12308" s="3" t="str">
        <f>HYPERLINK("https://www.773grp.com/manufacturer/national-semiconductor?pageNo=113", "National Semiconductor")</f>
        <v>National Semiconductor</v>
      </c>
      <c r="C12308" s="6">
        <v>419</v>
      </c>
      <c r="D12308" s="7">
        <v>80.16</v>
      </c>
      <c r="E12308" t="s">
        <v>39</v>
      </c>
    </row>
    <row r="12309" spans="1:5" x14ac:dyDescent="0.25">
      <c r="A12309" t="str">
        <f>HYPERLINK("https://www.773grp.com/globalSearch/DP83223VB/page-1", "DP83223VB")</f>
        <v>DP83223VB</v>
      </c>
      <c r="B12309" s="3" t="str">
        <f>HYPERLINK("https://www.773grp.com/manufacturer/national-semiconductor?pageNo=114", "National Semiconductor")</f>
        <v>National Semiconductor</v>
      </c>
      <c r="C12309" s="6">
        <v>44</v>
      </c>
      <c r="D12309" s="7">
        <v>80.16</v>
      </c>
    </row>
    <row r="12310" spans="1:5" x14ac:dyDescent="0.25">
      <c r="A12310" t="str">
        <f>HYPERLINK("https://www.773grp.com/globalSearch/DP8340N/page-1", "DP8340N")</f>
        <v>DP8340N</v>
      </c>
      <c r="B12310" s="3" t="str">
        <f>HYPERLINK("https://www.773grp.com/manufacturer/national-semiconductor?pageNo=115", "National Semiconductor")</f>
        <v>National Semiconductor</v>
      </c>
      <c r="C12310" s="6">
        <v>2554</v>
      </c>
      <c r="D12310" s="7">
        <v>80.16</v>
      </c>
      <c r="E12310" t="s">
        <v>42</v>
      </c>
    </row>
    <row r="12311" spans="1:5" x14ac:dyDescent="0.25">
      <c r="A12311" t="str">
        <f>HYPERLINK("https://www.773grp.com/globalSearch/DP8341N/page-1", "DP8341N")</f>
        <v>DP8341N</v>
      </c>
      <c r="B12311" s="3" t="str">
        <f>HYPERLINK("https://www.773grp.com/manufacturer/national-semiconductor?pageNo=116", "National Semiconductor")</f>
        <v>National Semiconductor</v>
      </c>
      <c r="C12311" s="6">
        <v>4372</v>
      </c>
      <c r="D12311" s="7">
        <v>80.16</v>
      </c>
      <c r="E12311" t="s">
        <v>42</v>
      </c>
    </row>
    <row r="12312" spans="1:5" x14ac:dyDescent="0.25">
      <c r="A12312" t="str">
        <f>HYPERLINK("https://www.773grp.com/globalSearch/DS1652J-MIL/page-1", "DS1652J-MIL")</f>
        <v>DS1652J-MIL</v>
      </c>
      <c r="B12312" s="3" t="str">
        <f>HYPERLINK("https://www.773grp.com/manufacturer/national-semiconductor?pageNo=117", "National Semiconductor")</f>
        <v>National Semiconductor</v>
      </c>
      <c r="C12312" s="6">
        <v>654</v>
      </c>
      <c r="D12312" s="7">
        <v>80.33</v>
      </c>
    </row>
    <row r="12313" spans="1:5" x14ac:dyDescent="0.25">
      <c r="A12313" t="str">
        <f>HYPERLINK("https://www.773grp.com/globalSearch/5962-7802301MFA/page-1", "5962-7802301MFA")</f>
        <v>5962-7802301MFA</v>
      </c>
      <c r="B12313" s="3" t="str">
        <f>HYPERLINK("https://www.773grp.com/manufacturer/national-semiconductor?pageNo=118", "National Semiconductor")</f>
        <v>National Semiconductor</v>
      </c>
      <c r="C12313" s="6">
        <v>12</v>
      </c>
      <c r="D12313" s="7">
        <v>81.040000000000006</v>
      </c>
      <c r="E12313" t="s">
        <v>21</v>
      </c>
    </row>
    <row r="12314" spans="1:5" x14ac:dyDescent="0.25">
      <c r="A12314" t="str">
        <f>HYPERLINK("https://www.773grp.com/globalSearch/1N4307MJTX/page-1", "1N4307MJTX")</f>
        <v>1N4307MJTX</v>
      </c>
      <c r="B12314" s="3" t="str">
        <f>HYPERLINK("https://www.773grp.com/manufacturer/national-semiconductor?pageNo=119", "National Semiconductor")</f>
        <v>National Semiconductor</v>
      </c>
      <c r="C12314" s="6">
        <v>1448</v>
      </c>
      <c r="D12314" s="7">
        <v>81.05</v>
      </c>
    </row>
    <row r="12315" spans="1:5" x14ac:dyDescent="0.25">
      <c r="A12315" t="str">
        <f>HYPERLINK("https://www.773grp.com/globalSearch/100163W-MIL/page-1", "100163W-MIL")</f>
        <v>100163W-MIL</v>
      </c>
      <c r="B12315" s="3" t="str">
        <f>HYPERLINK("https://www.773grp.com/manufacturer/national-semiconductor?pageNo=120", "National Semiconductor")</f>
        <v>National Semiconductor</v>
      </c>
      <c r="C12315" s="6">
        <v>1008</v>
      </c>
      <c r="D12315" s="7">
        <v>81.56</v>
      </c>
    </row>
    <row r="12316" spans="1:5" x14ac:dyDescent="0.25">
      <c r="A12316" t="str">
        <f>HYPERLINK("https://www.773grp.com/globalSearch/100179W-MIL/page-1", "100179W-MIL")</f>
        <v>100179W-MIL</v>
      </c>
      <c r="B12316" s="3" t="str">
        <f>HYPERLINK("https://www.773grp.com/manufacturer/national-semiconductor?pageNo=121", "National Semiconductor")</f>
        <v>National Semiconductor</v>
      </c>
      <c r="C12316" s="6">
        <v>754</v>
      </c>
      <c r="D12316" s="7">
        <v>81.56</v>
      </c>
    </row>
    <row r="12317" spans="1:5" x14ac:dyDescent="0.25">
      <c r="A12317" t="str">
        <f>HYPERLINK("https://www.773grp.com/globalSearch/54S258FM/page-1", "54S258FM")</f>
        <v>54S258FM</v>
      </c>
      <c r="B12317" s="3" t="str">
        <f>HYPERLINK("https://www.773grp.com/manufacturer/national-semiconductor?pageNo=122", "National Semiconductor")</f>
        <v>National Semiconductor</v>
      </c>
      <c r="C12317" s="6">
        <v>184</v>
      </c>
      <c r="D12317" s="7">
        <v>81.900000000000006</v>
      </c>
    </row>
    <row r="12318" spans="1:5" x14ac:dyDescent="0.25">
      <c r="A12318" t="str">
        <f>HYPERLINK("https://www.773grp.com/globalSearch/LM185BYH1.2-883/page-1", "LM185BYH1.2-883")</f>
        <v>LM185BYH1.2-883</v>
      </c>
      <c r="B12318" s="3" t="str">
        <f>HYPERLINK("https://www.773grp.com/manufacturer/national-semiconductor?pageNo=123", "National Semiconductor")</f>
        <v>National Semiconductor</v>
      </c>
      <c r="C12318" s="6">
        <v>277</v>
      </c>
      <c r="D12318" s="7">
        <v>82.13</v>
      </c>
      <c r="E12318" t="s">
        <v>17</v>
      </c>
    </row>
    <row r="12319" spans="1:5" x14ac:dyDescent="0.25">
      <c r="A12319" t="str">
        <f>HYPERLINK("https://www.773grp.com/globalSearch/ADC12DS105CISQ-NOPB/page-1", "ADC12DS105CISQ-NOPB")</f>
        <v>ADC12DS105CISQ-NOPB</v>
      </c>
      <c r="B12319" s="3" t="str">
        <f>HYPERLINK("https://www.773grp.com/manufacturer/national-semiconductor?pageNo=124", "National Semiconductor")</f>
        <v>National Semiconductor</v>
      </c>
      <c r="C12319" s="6">
        <v>2229</v>
      </c>
      <c r="D12319" s="7">
        <v>82.69</v>
      </c>
    </row>
    <row r="12320" spans="1:5" x14ac:dyDescent="0.25">
      <c r="A12320" t="str">
        <f>HYPERLINK("https://www.773grp.com/globalSearch/93Z451LMQB/page-1", "93Z451LMQB")</f>
        <v>93Z451LMQB</v>
      </c>
      <c r="B12320" s="3" t="str">
        <f>HYPERLINK("https://www.773grp.com/manufacturer/national-semiconductor?pageNo=125", "National Semiconductor")</f>
        <v>National Semiconductor</v>
      </c>
      <c r="C12320" s="6">
        <v>177</v>
      </c>
      <c r="D12320" s="7">
        <v>82.98</v>
      </c>
      <c r="E12320" t="s">
        <v>64</v>
      </c>
    </row>
    <row r="12321" spans="1:5" x14ac:dyDescent="0.25">
      <c r="A12321" t="str">
        <f>HYPERLINK("https://www.773grp.com/globalSearch/LMH0030VS/page-1", "LMH0030VS")</f>
        <v>LMH0030VS</v>
      </c>
      <c r="B12321" s="3" t="str">
        <f>HYPERLINK("https://www.773grp.com/manufacturer/national-semiconductor?pageNo=126", "National Semiconductor")</f>
        <v>National Semiconductor</v>
      </c>
      <c r="C12321" s="6">
        <v>33</v>
      </c>
      <c r="D12321" s="7">
        <v>83.2</v>
      </c>
      <c r="E12321" t="s">
        <v>23</v>
      </c>
    </row>
    <row r="12322" spans="1:5" x14ac:dyDescent="0.25">
      <c r="A12322" t="str">
        <f>HYPERLINK("https://www.773grp.com/globalSearch/LMH0031VS/page-1", "LMH0031VS")</f>
        <v>LMH0031VS</v>
      </c>
      <c r="B12322" s="3" t="str">
        <f>HYPERLINK("https://www.773grp.com/manufacturer/national-semiconductor?pageNo=127", "National Semiconductor")</f>
        <v>National Semiconductor</v>
      </c>
      <c r="C12322" s="6">
        <v>2</v>
      </c>
      <c r="D12322" s="7">
        <v>83.2</v>
      </c>
      <c r="E12322" t="s">
        <v>23</v>
      </c>
    </row>
    <row r="12323" spans="1:5" x14ac:dyDescent="0.25">
      <c r="A12323" t="str">
        <f>HYPERLINK("https://www.773grp.com/globalSearch/LMH0030VS/page-1", "LMH0030VS")</f>
        <v>LMH0030VS</v>
      </c>
      <c r="B12323" s="3" t="str">
        <f>HYPERLINK("https://www.773grp.com/manufacturer/national-semiconductor?pageNo=128", "National Semiconductor")</f>
        <v>National Semiconductor</v>
      </c>
      <c r="C12323" s="6">
        <v>213</v>
      </c>
      <c r="D12323" s="7">
        <v>83.2</v>
      </c>
      <c r="E12323" t="s">
        <v>23</v>
      </c>
    </row>
    <row r="12324" spans="1:5" x14ac:dyDescent="0.25">
      <c r="A12324" t="str">
        <f>HYPERLINK("https://www.773grp.com/globalSearch/LMH0031VS/page-1", "LMH0031VS")</f>
        <v>LMH0031VS</v>
      </c>
      <c r="B12324" s="3" t="str">
        <f>HYPERLINK("https://www.773grp.com/manufacturer/national-semiconductor?pageNo=129", "National Semiconductor")</f>
        <v>National Semiconductor</v>
      </c>
      <c r="C12324" s="6">
        <v>819</v>
      </c>
      <c r="D12324" s="7">
        <v>83.2</v>
      </c>
      <c r="E12324" t="s">
        <v>23</v>
      </c>
    </row>
    <row r="12325" spans="1:5" x14ac:dyDescent="0.25">
      <c r="A12325" t="str">
        <f>HYPERLINK("https://www.773grp.com/globalSearch/93S62DM/page-1", "93S62DM")</f>
        <v>93S62DM</v>
      </c>
      <c r="B12325" s="3" t="str">
        <f>HYPERLINK("https://www.773grp.com/manufacturer/national-semiconductor?pageNo=130", "National Semiconductor")</f>
        <v>National Semiconductor</v>
      </c>
      <c r="C12325" s="6">
        <v>2389</v>
      </c>
      <c r="D12325" s="7">
        <v>83.74</v>
      </c>
    </row>
    <row r="12326" spans="1:5" x14ac:dyDescent="0.25">
      <c r="A12326" t="str">
        <f>HYPERLINK("https://www.773grp.com/globalSearch/PC87334VJG-5/page-1", "PC87334VJG-5")</f>
        <v>PC87334VJG-5</v>
      </c>
      <c r="B12326" s="3" t="str">
        <f>HYPERLINK("https://www.773grp.com/manufacturer/national-semiconductor?pageNo=131", "National Semiconductor")</f>
        <v>National Semiconductor</v>
      </c>
      <c r="C12326" s="6">
        <v>6215</v>
      </c>
      <c r="D12326" s="7">
        <v>83.81</v>
      </c>
    </row>
    <row r="12327" spans="1:5" x14ac:dyDescent="0.25">
      <c r="A12327" t="str">
        <f>HYPERLINK("https://www.773grp.com/globalSearch/JD9946BDA/page-1", "JD9946BDA")</f>
        <v>JD9946BDA</v>
      </c>
      <c r="B12327" s="3" t="str">
        <f>HYPERLINK("https://www.773grp.com/manufacturer/national-semiconductor?pageNo=132", "National Semiconductor")</f>
        <v>National Semiconductor</v>
      </c>
      <c r="C12327" s="6">
        <v>114</v>
      </c>
      <c r="D12327" s="7">
        <v>84.09</v>
      </c>
    </row>
    <row r="12328" spans="1:5" x14ac:dyDescent="0.25">
      <c r="A12328" t="str">
        <f>HYPERLINK("https://www.773grp.com/globalSearch/54S153FM/page-1", "54S153FM")</f>
        <v>54S153FM</v>
      </c>
      <c r="B12328" s="3" t="str">
        <f>HYPERLINK("https://www.773grp.com/manufacturer/national-semiconductor?pageNo=133", "National Semiconductor")</f>
        <v>National Semiconductor</v>
      </c>
      <c r="C12328" s="6">
        <v>2632</v>
      </c>
      <c r="D12328" s="7">
        <v>84.18</v>
      </c>
    </row>
    <row r="12329" spans="1:5" x14ac:dyDescent="0.25">
      <c r="A12329" t="str">
        <f>HYPERLINK("https://www.773grp.com/globalSearch/100151W-MIL/page-1", "100151W-MIL")</f>
        <v>100151W-MIL</v>
      </c>
      <c r="B12329" s="3" t="str">
        <f>HYPERLINK("https://www.773grp.com/manufacturer/national-semiconductor?pageNo=134", "National Semiconductor")</f>
        <v>National Semiconductor</v>
      </c>
      <c r="C12329" s="6">
        <v>25</v>
      </c>
      <c r="D12329" s="7">
        <v>84.38</v>
      </c>
    </row>
    <row r="12330" spans="1:5" x14ac:dyDescent="0.25">
      <c r="A12330" t="str">
        <f>HYPERLINK("https://www.773grp.com/globalSearch/DM54L00W-883/page-1", "DM54L00W-883")</f>
        <v>DM54L00W-883</v>
      </c>
      <c r="B12330" s="3" t="str">
        <f>HYPERLINK("https://www.773grp.com/manufacturer/national-semiconductor?pageNo=1", "National Semiconductor")</f>
        <v>National Semiconductor</v>
      </c>
      <c r="C12330" s="6">
        <v>250</v>
      </c>
      <c r="D12330" s="7">
        <v>84.38</v>
      </c>
      <c r="E12330" t="s">
        <v>31</v>
      </c>
    </row>
    <row r="12331" spans="1:5" x14ac:dyDescent="0.25">
      <c r="A12331" t="str">
        <f>HYPERLINK("https://www.773grp.com/globalSearch/DP8420AV-20/page-1", "DP8420AV-20")</f>
        <v>DP8420AV-20</v>
      </c>
      <c r="B12331" s="3" t="str">
        <f>HYPERLINK("https://www.773grp.com/manufacturer/national-semiconductor?pageNo=2", "National Semiconductor")</f>
        <v>National Semiconductor</v>
      </c>
      <c r="C12331" s="6">
        <v>1296</v>
      </c>
      <c r="D12331" s="7">
        <v>84.38</v>
      </c>
      <c r="E12331" t="s">
        <v>87</v>
      </c>
    </row>
    <row r="12332" spans="1:5" x14ac:dyDescent="0.25">
      <c r="A12332" t="str">
        <f>HYPERLINK("https://www.773grp.com/globalSearch/LM3485LEDEVAL/page-1", "LM3485LEDEVAL")</f>
        <v>LM3485LEDEVAL</v>
      </c>
      <c r="B12332" s="3" t="str">
        <f>HYPERLINK("https://www.773grp.com/manufacturer/national-semiconductor?pageNo=3", "National Semiconductor")</f>
        <v>National Semiconductor</v>
      </c>
      <c r="C12332" s="6">
        <v>13</v>
      </c>
      <c r="D12332" s="7">
        <v>84.38</v>
      </c>
    </row>
    <row r="12333" spans="1:5" x14ac:dyDescent="0.25">
      <c r="A12333" t="str">
        <f>HYPERLINK("https://www.773grp.com/globalSearch/NS486SXF-25-NOPB/page-1", "NS486SXF-25-NOPB")</f>
        <v>NS486SXF-25-NOPB</v>
      </c>
      <c r="B12333" s="3" t="str">
        <f>HYPERLINK("https://www.773grp.com/manufacturer/national-semiconductor?pageNo=4", "National Semiconductor")</f>
        <v>National Semiconductor</v>
      </c>
      <c r="C12333" s="6">
        <v>942</v>
      </c>
      <c r="D12333" s="7">
        <v>84.38</v>
      </c>
    </row>
    <row r="12334" spans="1:5" x14ac:dyDescent="0.25">
      <c r="A12334" t="str">
        <f>HYPERLINK("https://www.773grp.com/globalSearch/LM117E-883/page-1", "LM117E-883")</f>
        <v>LM117E-883</v>
      </c>
      <c r="B12334" s="3" t="str">
        <f>HYPERLINK("https://www.773grp.com/manufacturer/national-semiconductor?pageNo=5", "National Semiconductor")</f>
        <v>National Semiconductor</v>
      </c>
      <c r="C12334" s="6">
        <v>1</v>
      </c>
      <c r="D12334" s="7">
        <v>84.43</v>
      </c>
      <c r="E12334" t="s">
        <v>22</v>
      </c>
    </row>
    <row r="12335" spans="1:5" x14ac:dyDescent="0.25">
      <c r="A12335" t="str">
        <f>HYPERLINK("https://www.773grp.com/globalSearch/JM38510-11904BPA/page-1", "JM38510-11904BPA")</f>
        <v>JM38510-11904BPA</v>
      </c>
      <c r="B12335" s="3" t="str">
        <f>HYPERLINK("https://www.773grp.com/manufacturer/national-semiconductor?pageNo=6", "National Semiconductor")</f>
        <v>National Semiconductor</v>
      </c>
      <c r="C12335" s="6">
        <v>2</v>
      </c>
      <c r="D12335" s="7">
        <v>84.96</v>
      </c>
      <c r="E12335" t="s">
        <v>13</v>
      </c>
    </row>
    <row r="12336" spans="1:5" x14ac:dyDescent="0.25">
      <c r="A12336" t="str">
        <f>HYPERLINK("https://www.773grp.com/globalSearch/ADC12QS065CISQ-NOPB/page-1", "ADC12QS065CISQ-NOPB")</f>
        <v>ADC12QS065CISQ-NOPB</v>
      </c>
      <c r="B12336" s="3" t="str">
        <f>HYPERLINK("https://www.773grp.com/manufacturer/national-semiconductor?pageNo=7", "National Semiconductor")</f>
        <v>National Semiconductor</v>
      </c>
      <c r="C12336" s="6">
        <v>222</v>
      </c>
      <c r="D12336" s="7">
        <v>85.78</v>
      </c>
    </row>
    <row r="12337" spans="1:5" x14ac:dyDescent="0.25">
      <c r="A12337" t="str">
        <f>HYPERLINK("https://www.773grp.com/globalSearch/ADC12QS065CISQ-NOPB/page-1", "ADC12QS065CISQ-NOPB")</f>
        <v>ADC12QS065CISQ-NOPB</v>
      </c>
      <c r="B12337" s="3" t="str">
        <f>HYPERLINK("https://www.773grp.com/manufacturer/national-semiconductor?pageNo=8", "National Semiconductor")</f>
        <v>National Semiconductor</v>
      </c>
      <c r="C12337" s="6">
        <v>49</v>
      </c>
      <c r="D12337" s="7">
        <v>85.78</v>
      </c>
    </row>
    <row r="12338" spans="1:5" x14ac:dyDescent="0.25">
      <c r="A12338" t="str">
        <f>HYPERLINK("https://www.773grp.com/globalSearch/10561DM/page-1", "10561DM")</f>
        <v>10561DM</v>
      </c>
      <c r="B12338" s="3" t="str">
        <f>HYPERLINK("https://www.773grp.com/manufacturer/national-semiconductor?pageNo=9", "National Semiconductor")</f>
        <v>National Semiconductor</v>
      </c>
      <c r="C12338" s="6">
        <v>17</v>
      </c>
      <c r="D12338" s="7">
        <v>86.03</v>
      </c>
      <c r="E12338" t="s">
        <v>36</v>
      </c>
    </row>
    <row r="12339" spans="1:5" x14ac:dyDescent="0.25">
      <c r="A12339" t="str">
        <f>HYPERLINK("https://www.773grp.com/globalSearch/DP83934CVUL-25/page-1", "DP83934CVUL-25")</f>
        <v>DP83934CVUL-25</v>
      </c>
      <c r="B12339" s="3" t="str">
        <f>HYPERLINK("https://www.773grp.com/manufacturer/national-semiconductor?pageNo=10", "National Semiconductor")</f>
        <v>National Semiconductor</v>
      </c>
      <c r="C12339" s="6">
        <v>951</v>
      </c>
      <c r="D12339" s="7">
        <v>86.26</v>
      </c>
      <c r="E12339" t="s">
        <v>71</v>
      </c>
    </row>
    <row r="12340" spans="1:5" x14ac:dyDescent="0.25">
      <c r="A12340" t="str">
        <f>HYPERLINK("https://www.773grp.com/globalSearch/DP83861VQM-3/page-1", "DP83861VQM-3")</f>
        <v>DP83861VQM-3</v>
      </c>
      <c r="B12340" s="3" t="str">
        <f>HYPERLINK("https://www.773grp.com/manufacturer/national-semiconductor?pageNo=11", "National Semiconductor")</f>
        <v>National Semiconductor</v>
      </c>
      <c r="C12340" s="6">
        <v>1479</v>
      </c>
      <c r="D12340" s="7">
        <v>86.35</v>
      </c>
      <c r="E12340" t="s">
        <v>55</v>
      </c>
    </row>
    <row r="12341" spans="1:5" x14ac:dyDescent="0.25">
      <c r="A12341" t="str">
        <f>HYPERLINK("https://www.773grp.com/globalSearch/5962-8777801YA/page-1", "5962-8777801YA")</f>
        <v>5962-8777801YA</v>
      </c>
      <c r="B12341" s="3" t="str">
        <f>HYPERLINK("https://www.773grp.com/manufacturer/national-semiconductor?pageNo=12", "National Semiconductor")</f>
        <v>National Semiconductor</v>
      </c>
      <c r="C12341" s="6">
        <v>17</v>
      </c>
      <c r="D12341" s="7">
        <v>86.63</v>
      </c>
      <c r="E12341" t="s">
        <v>59</v>
      </c>
    </row>
    <row r="12342" spans="1:5" x14ac:dyDescent="0.25">
      <c r="A12342" t="str">
        <f>HYPERLINK("https://www.773grp.com/globalSearch/DP8521AV-25/page-1", "DP8521AV-25")</f>
        <v>DP8521AV-25</v>
      </c>
      <c r="B12342" s="3" t="str">
        <f>HYPERLINK("https://www.773grp.com/manufacturer/national-semiconductor?pageNo=13", "National Semiconductor")</f>
        <v>National Semiconductor</v>
      </c>
      <c r="C12342" s="6">
        <v>237</v>
      </c>
      <c r="D12342" s="7">
        <v>86.63</v>
      </c>
      <c r="E12342" t="s">
        <v>87</v>
      </c>
    </row>
    <row r="12343" spans="1:5" x14ac:dyDescent="0.25">
      <c r="A12343" t="str">
        <f>HYPERLINK("https://www.773grp.com/globalSearch/LM195K-883/page-1", "LM195K-883")</f>
        <v>LM195K-883</v>
      </c>
      <c r="B12343" s="3" t="str">
        <f>HYPERLINK("https://www.773grp.com/manufacturer/national-semiconductor?pageNo=14", "National Semiconductor")</f>
        <v>National Semiconductor</v>
      </c>
      <c r="C12343" s="6">
        <v>399</v>
      </c>
      <c r="D12343" s="7">
        <v>86.63</v>
      </c>
      <c r="E12343" t="s">
        <v>59</v>
      </c>
    </row>
    <row r="12344" spans="1:5" x14ac:dyDescent="0.25">
      <c r="A12344" t="str">
        <f>HYPERLINK("https://www.773grp.com/globalSearch/MM54C200D-883/page-1", "MM54C200D-883")</f>
        <v>MM54C200D-883</v>
      </c>
      <c r="B12344" s="3" t="str">
        <f>HYPERLINK("https://www.773grp.com/manufacturer/national-semiconductor?pageNo=15", "National Semiconductor")</f>
        <v>National Semiconductor</v>
      </c>
      <c r="C12344" s="6">
        <v>129</v>
      </c>
      <c r="D12344" s="7">
        <v>86.63</v>
      </c>
    </row>
    <row r="12345" spans="1:5" x14ac:dyDescent="0.25">
      <c r="A12345" t="str">
        <f>HYPERLINK("https://www.773grp.com/globalSearch/ADC12DC105CISQE-NOPB/page-1", "ADC12DC105CISQE-NOPB")</f>
        <v>ADC12DC105CISQE-NOPB</v>
      </c>
      <c r="B12345" s="3" t="str">
        <f>HYPERLINK("https://www.773grp.com/manufacturer/national-semiconductor?pageNo=16", "National Semiconductor")</f>
        <v>National Semiconductor</v>
      </c>
      <c r="C12345" s="6">
        <v>413</v>
      </c>
      <c r="D12345" s="7">
        <v>88.6</v>
      </c>
    </row>
    <row r="12346" spans="1:5" x14ac:dyDescent="0.25">
      <c r="A12346" t="str">
        <f>HYPERLINK("https://www.773grp.com/globalSearch/ADC12DC105CISQE-NOPB/page-1", "ADC12DC105CISQE-NOPB")</f>
        <v>ADC12DC105CISQE-NOPB</v>
      </c>
      <c r="B12346" s="3" t="str">
        <f>HYPERLINK("https://www.773grp.com/manufacturer/national-semiconductor?pageNo=17", "National Semiconductor")</f>
        <v>National Semiconductor</v>
      </c>
      <c r="C12346" s="6">
        <v>250</v>
      </c>
      <c r="D12346" s="7">
        <v>88.6</v>
      </c>
    </row>
    <row r="12347" spans="1:5" x14ac:dyDescent="0.25">
      <c r="A12347" t="str">
        <f>HYPERLINK("https://www.773grp.com/globalSearch/JM54AC299BRA/page-1", "JM54AC299BRA")</f>
        <v>JM54AC299BRA</v>
      </c>
      <c r="B12347" s="3" t="str">
        <f>HYPERLINK("https://www.773grp.com/manufacturer/national-semiconductor?pageNo=18", "National Semiconductor")</f>
        <v>National Semiconductor</v>
      </c>
      <c r="C12347" s="6">
        <v>27</v>
      </c>
      <c r="D12347" s="7">
        <v>89.15</v>
      </c>
    </row>
    <row r="12348" spans="1:5" x14ac:dyDescent="0.25">
      <c r="A12348" t="str">
        <f>HYPERLINK("https://www.773grp.com/globalSearch/JM54AC257B2A/page-1", "JM54AC257B2A")</f>
        <v>JM54AC257B2A</v>
      </c>
      <c r="B12348" s="3" t="str">
        <f>HYPERLINK("https://www.773grp.com/manufacturer/national-semiconductor?pageNo=19", "National Semiconductor")</f>
        <v>National Semiconductor</v>
      </c>
      <c r="C12348" s="6">
        <v>53</v>
      </c>
      <c r="D12348" s="7">
        <v>89.44</v>
      </c>
    </row>
    <row r="12349" spans="1:5" x14ac:dyDescent="0.25">
      <c r="A12349" t="str">
        <f>HYPERLINK("https://www.773grp.com/globalSearch/LM2735XMFEVAL/page-1", "LM2735XMFEVAL")</f>
        <v>LM2735XMFEVAL</v>
      </c>
      <c r="B12349" s="3" t="str">
        <f>HYPERLINK("https://www.773grp.com/manufacturer/national-semiconductor?pageNo=20", "National Semiconductor")</f>
        <v>National Semiconductor</v>
      </c>
      <c r="C12349" s="6">
        <v>4</v>
      </c>
      <c r="D12349" s="7">
        <v>89.73</v>
      </c>
    </row>
    <row r="12350" spans="1:5" x14ac:dyDescent="0.25">
      <c r="A12350" t="str">
        <f>HYPERLINK("https://www.773grp.com/globalSearch/LM2831ZMFEVAL/page-1", "LM2831ZMFEVAL")</f>
        <v>LM2831ZMFEVAL</v>
      </c>
      <c r="B12350" s="3" t="str">
        <f>HYPERLINK("https://www.773grp.com/manufacturer/national-semiconductor?pageNo=21", "National Semiconductor")</f>
        <v>National Semiconductor</v>
      </c>
      <c r="C12350" s="6">
        <v>1</v>
      </c>
      <c r="D12350" s="7">
        <v>89.73</v>
      </c>
    </row>
    <row r="12351" spans="1:5" x14ac:dyDescent="0.25">
      <c r="A12351" t="str">
        <f>HYPERLINK("https://www.773grp.com/globalSearch/LM2832XSDEVAL/page-1", "LM2832XSDEVAL")</f>
        <v>LM2832XSDEVAL</v>
      </c>
      <c r="B12351" s="3" t="str">
        <f>HYPERLINK("https://www.773grp.com/manufacturer/national-semiconductor?pageNo=22", "National Semiconductor")</f>
        <v>National Semiconductor</v>
      </c>
      <c r="C12351" s="6">
        <v>1</v>
      </c>
      <c r="D12351" s="7">
        <v>89.73</v>
      </c>
    </row>
    <row r="12352" spans="1:5" x14ac:dyDescent="0.25">
      <c r="A12352" t="str">
        <f>HYPERLINK("https://www.773grp.com/globalSearch/LM2832YMYEVAL/page-1", "LM2832YMYEVAL")</f>
        <v>LM2832YMYEVAL</v>
      </c>
      <c r="B12352" s="3" t="str">
        <f>HYPERLINK("https://www.773grp.com/manufacturer/national-semiconductor?pageNo=23", "National Semiconductor")</f>
        <v>National Semiconductor</v>
      </c>
      <c r="C12352" s="6">
        <v>1</v>
      </c>
      <c r="D12352" s="7">
        <v>89.73</v>
      </c>
    </row>
    <row r="12353" spans="1:5" x14ac:dyDescent="0.25">
      <c r="A12353" t="str">
        <f>HYPERLINK("https://www.773grp.com/globalSearch/LM2832YSDEVAL/page-1", "LM2832YSDEVAL")</f>
        <v>LM2832YSDEVAL</v>
      </c>
      <c r="B12353" s="3" t="str">
        <f>HYPERLINK("https://www.773grp.com/manufacturer/national-semiconductor?pageNo=24", "National Semiconductor")</f>
        <v>National Semiconductor</v>
      </c>
      <c r="C12353" s="6">
        <v>1</v>
      </c>
      <c r="D12353" s="7">
        <v>89.73</v>
      </c>
    </row>
    <row r="12354" spans="1:5" x14ac:dyDescent="0.25">
      <c r="A12354" t="str">
        <f>HYPERLINK("https://www.773grp.com/globalSearch/LM2832ZMYEVAL/page-1", "LM2832ZMYEVAL")</f>
        <v>LM2832ZMYEVAL</v>
      </c>
      <c r="B12354" s="3" t="str">
        <f>HYPERLINK("https://www.773grp.com/manufacturer/national-semiconductor?pageNo=25", "National Semiconductor")</f>
        <v>National Semiconductor</v>
      </c>
      <c r="C12354" s="6">
        <v>1</v>
      </c>
      <c r="D12354" s="7">
        <v>89.73</v>
      </c>
    </row>
    <row r="12355" spans="1:5" x14ac:dyDescent="0.25">
      <c r="A12355" t="str">
        <f>HYPERLINK("https://www.773grp.com/globalSearch/LM2832ZSDEVAL/page-1", "LM2832ZSDEVAL")</f>
        <v>LM2832ZSDEVAL</v>
      </c>
      <c r="B12355" s="3" t="str">
        <f>HYPERLINK("https://www.773grp.com/manufacturer/national-semiconductor?pageNo=26", "National Semiconductor")</f>
        <v>National Semiconductor</v>
      </c>
      <c r="C12355" s="6">
        <v>1</v>
      </c>
      <c r="D12355" s="7">
        <v>89.73</v>
      </c>
    </row>
    <row r="12356" spans="1:5" x14ac:dyDescent="0.25">
      <c r="A12356" t="str">
        <f>HYPERLINK("https://www.773grp.com/globalSearch/LM3402EVAL/page-1", "LM3402EVAL")</f>
        <v>LM3402EVAL</v>
      </c>
      <c r="B12356" s="3" t="str">
        <f>HYPERLINK("https://www.773grp.com/manufacturer/national-semiconductor?pageNo=27", "National Semiconductor")</f>
        <v>National Semiconductor</v>
      </c>
      <c r="C12356" s="6">
        <v>3</v>
      </c>
      <c r="D12356" s="7">
        <v>89.73</v>
      </c>
    </row>
    <row r="12357" spans="1:5" x14ac:dyDescent="0.25">
      <c r="A12357" t="str">
        <f>HYPERLINK("https://www.773grp.com/globalSearch/LM3402HVEVAL/page-1", "LM3402HVEVAL")</f>
        <v>LM3402HVEVAL</v>
      </c>
      <c r="B12357" s="3" t="str">
        <f>HYPERLINK("https://www.773grp.com/manufacturer/national-semiconductor?pageNo=28", "National Semiconductor")</f>
        <v>National Semiconductor</v>
      </c>
      <c r="C12357" s="6">
        <v>5</v>
      </c>
      <c r="D12357" s="7">
        <v>89.73</v>
      </c>
    </row>
    <row r="12358" spans="1:5" x14ac:dyDescent="0.25">
      <c r="A12358" t="str">
        <f>HYPERLINK("https://www.773grp.com/globalSearch/LM3404EVAL/page-1", "LM3404EVAL")</f>
        <v>LM3404EVAL</v>
      </c>
      <c r="B12358" s="3" t="str">
        <f>HYPERLINK("https://www.773grp.com/manufacturer/national-semiconductor?pageNo=29", "National Semiconductor")</f>
        <v>National Semiconductor</v>
      </c>
      <c r="C12358" s="6">
        <v>3</v>
      </c>
      <c r="D12358" s="7">
        <v>89.73</v>
      </c>
    </row>
    <row r="12359" spans="1:5" x14ac:dyDescent="0.25">
      <c r="A12359" t="str">
        <f>HYPERLINK("https://www.773grp.com/globalSearch/LM3404HVEVAL/page-1", "LM3404HVEVAL")</f>
        <v>LM3404HVEVAL</v>
      </c>
      <c r="B12359" s="3" t="str">
        <f>HYPERLINK("https://www.773grp.com/manufacturer/national-semiconductor?pageNo=30", "National Semiconductor")</f>
        <v>National Semiconductor</v>
      </c>
      <c r="C12359" s="6">
        <v>8</v>
      </c>
      <c r="D12359" s="7">
        <v>89.73</v>
      </c>
    </row>
    <row r="12360" spans="1:5" x14ac:dyDescent="0.25">
      <c r="A12360" t="str">
        <f>HYPERLINK("https://www.773grp.com/globalSearch/LM3410XSDSEPEV/page-1", "LM3410XSDSEPEV")</f>
        <v>LM3410XSDSEPEV</v>
      </c>
      <c r="B12360" s="3" t="str">
        <f>HYPERLINK("https://www.773grp.com/manufacturer/national-semiconductor?pageNo=31", "National Semiconductor")</f>
        <v>National Semiconductor</v>
      </c>
      <c r="C12360" s="6">
        <v>1</v>
      </c>
      <c r="D12360" s="7">
        <v>89.73</v>
      </c>
    </row>
    <row r="12361" spans="1:5" x14ac:dyDescent="0.25">
      <c r="A12361" t="str">
        <f>HYPERLINK("https://www.773grp.com/globalSearch/LM5576EVAL/page-1", "LM5576EVAL")</f>
        <v>LM5576EVAL</v>
      </c>
      <c r="B12361" s="3" t="str">
        <f>HYPERLINK("https://www.773grp.com/manufacturer/national-semiconductor?pageNo=32", "National Semiconductor")</f>
        <v>National Semiconductor</v>
      </c>
      <c r="C12361" s="6">
        <v>9</v>
      </c>
      <c r="D12361" s="7">
        <v>89.73</v>
      </c>
    </row>
    <row r="12362" spans="1:5" x14ac:dyDescent="0.25">
      <c r="A12362" t="str">
        <f>HYPERLINK("https://www.773grp.com/globalSearch/93S62FM/page-1", "93S62FM")</f>
        <v>93S62FM</v>
      </c>
      <c r="B12362" s="3" t="str">
        <f>HYPERLINK("https://www.773grp.com/manufacturer/national-semiconductor?pageNo=33", "National Semiconductor")</f>
        <v>National Semiconductor</v>
      </c>
      <c r="C12362" s="6">
        <v>877</v>
      </c>
      <c r="D12362" s="7">
        <v>89.78</v>
      </c>
    </row>
    <row r="12363" spans="1:5" x14ac:dyDescent="0.25">
      <c r="A12363" t="str">
        <f>HYPERLINK("https://www.773grp.com/globalSearch/100164W-MIL/page-1", "100164W-MIL")</f>
        <v>100164W-MIL</v>
      </c>
      <c r="B12363" s="3" t="str">
        <f>HYPERLINK("https://www.773grp.com/manufacturer/national-semiconductor?pageNo=34", "National Semiconductor")</f>
        <v>National Semiconductor</v>
      </c>
      <c r="C12363" s="6">
        <v>2270</v>
      </c>
      <c r="D12363" s="7">
        <v>90</v>
      </c>
    </row>
    <row r="12364" spans="1:5" x14ac:dyDescent="0.25">
      <c r="A12364" t="str">
        <f>HYPERLINK("https://www.773grp.com/globalSearch/DP83934CVUL-33/page-1", "DP83934CVUL-33")</f>
        <v>DP83934CVUL-33</v>
      </c>
      <c r="B12364" s="3" t="str">
        <f>HYPERLINK("https://www.773grp.com/manufacturer/national-semiconductor?pageNo=35", "National Semiconductor")</f>
        <v>National Semiconductor</v>
      </c>
      <c r="C12364" s="6">
        <v>212</v>
      </c>
      <c r="D12364" s="7">
        <v>90</v>
      </c>
      <c r="E12364" t="s">
        <v>71</v>
      </c>
    </row>
    <row r="12365" spans="1:5" x14ac:dyDescent="0.25">
      <c r="A12365" t="str">
        <f>HYPERLINK("https://www.773grp.com/globalSearch/JD54L02BCA/page-1", "JD54L02BCA")</f>
        <v>JD54L02BCA</v>
      </c>
      <c r="B12365" s="3" t="str">
        <f>HYPERLINK("https://www.773grp.com/manufacturer/national-semiconductor?pageNo=36", "National Semiconductor")</f>
        <v>National Semiconductor</v>
      </c>
      <c r="C12365" s="6">
        <v>2</v>
      </c>
      <c r="D12365" s="7">
        <v>90.29</v>
      </c>
    </row>
    <row r="12366" spans="1:5" x14ac:dyDescent="0.25">
      <c r="A12366" t="str">
        <f>HYPERLINK("https://www.773grp.com/globalSearch/JM38510-34804B2A/page-1", "JM38510-34804B2A")</f>
        <v>JM38510-34804B2A</v>
      </c>
      <c r="B12366" s="3" t="str">
        <f>HYPERLINK("https://www.773grp.com/manufacturer/national-semiconductor?pageNo=37", "National Semiconductor")</f>
        <v>National Semiconductor</v>
      </c>
      <c r="C12366" s="6">
        <v>547</v>
      </c>
      <c r="D12366" s="7">
        <v>90.56</v>
      </c>
    </row>
    <row r="12367" spans="1:5" x14ac:dyDescent="0.25">
      <c r="A12367" t="str">
        <f>HYPERLINK("https://www.773grp.com/globalSearch/LM138KSTEEL-NOPB/page-1", "LM138KSTEEL-NOPB")</f>
        <v>LM138KSTEEL-NOPB</v>
      </c>
      <c r="B12367" s="3" t="str">
        <f>HYPERLINK("https://www.773grp.com/manufacturer/national-semiconductor?pageNo=38", "National Semiconductor")</f>
        <v>National Semiconductor</v>
      </c>
      <c r="C12367" s="6">
        <v>347</v>
      </c>
      <c r="D12367" s="7">
        <v>90.68</v>
      </c>
    </row>
    <row r="12368" spans="1:5" x14ac:dyDescent="0.25">
      <c r="A12368" t="str">
        <f>HYPERLINK("https://www.773grp.com/globalSearch/LM338KSTEEL-NOPB/page-1", "LM338KSTEEL-NOPB")</f>
        <v>LM338KSTEEL-NOPB</v>
      </c>
      <c r="B12368" s="3" t="str">
        <f>HYPERLINK("https://www.773grp.com/manufacturer/national-semiconductor?pageNo=39", "National Semiconductor")</f>
        <v>National Semiconductor</v>
      </c>
      <c r="C12368" s="6">
        <v>702</v>
      </c>
      <c r="D12368" s="7">
        <v>90.68</v>
      </c>
      <c r="E12368" t="s">
        <v>22</v>
      </c>
    </row>
    <row r="12369" spans="1:5" x14ac:dyDescent="0.25">
      <c r="A12369" t="str">
        <f>HYPERLINK("https://www.773grp.com/globalSearch/LM138K STEEL/page-1", "LM138K STEEL")</f>
        <v>LM138K STEEL</v>
      </c>
      <c r="B12369" s="3" t="str">
        <f>HYPERLINK("https://www.773grp.com/manufacturer/national-semiconductor?pageNo=40", "National Semiconductor")</f>
        <v>National Semiconductor</v>
      </c>
      <c r="C12369" s="6">
        <v>71</v>
      </c>
      <c r="D12369" s="7">
        <v>90.68</v>
      </c>
    </row>
    <row r="12370" spans="1:5" x14ac:dyDescent="0.25">
      <c r="A12370" t="str">
        <f>HYPERLINK("https://www.773grp.com/globalSearch/LM138KSTEEL-NOPB/page-1", "LM138KSTEEL-NOPB")</f>
        <v>LM138KSTEEL-NOPB</v>
      </c>
      <c r="B12370" s="3" t="str">
        <f>HYPERLINK("https://www.773grp.com/manufacturer/national-semiconductor?pageNo=41", "National Semiconductor")</f>
        <v>National Semiconductor</v>
      </c>
      <c r="C12370" s="6">
        <v>46</v>
      </c>
      <c r="D12370" s="7">
        <v>90.68</v>
      </c>
    </row>
    <row r="12371" spans="1:5" x14ac:dyDescent="0.25">
      <c r="A12371" t="str">
        <f>HYPERLINK("https://www.773grp.com/globalSearch/ADC14DC080CISQE/page-1", "ADC14DC080CISQE")</f>
        <v>ADC14DC080CISQE</v>
      </c>
      <c r="B12371" s="3" t="str">
        <f>HYPERLINK("https://www.773grp.com/manufacturer/national-semiconductor?pageNo=42", "National Semiconductor")</f>
        <v>National Semiconductor</v>
      </c>
      <c r="C12371" s="6">
        <v>225</v>
      </c>
      <c r="D12371" s="7">
        <v>90.84</v>
      </c>
      <c r="E12371" t="s">
        <v>39</v>
      </c>
    </row>
    <row r="12372" spans="1:5" x14ac:dyDescent="0.25">
      <c r="A12372" t="str">
        <f>HYPERLINK("https://www.773grp.com/globalSearch/ADC0816CCJ/page-1", "ADC0816CCJ")</f>
        <v>ADC0816CCJ</v>
      </c>
      <c r="B12372" s="3" t="str">
        <f>HYPERLINK("https://www.773grp.com/manufacturer/national-semiconductor?pageNo=43", "National Semiconductor")</f>
        <v>National Semiconductor</v>
      </c>
      <c r="C12372" s="6">
        <v>301</v>
      </c>
      <c r="D12372" s="7">
        <v>91.41</v>
      </c>
      <c r="E12372" t="s">
        <v>39</v>
      </c>
    </row>
    <row r="12373" spans="1:5" x14ac:dyDescent="0.25">
      <c r="A12373" t="str">
        <f>HYPERLINK("https://www.773grp.com/globalSearch/LM709W-883/page-1", "LM709W-883")</f>
        <v>LM709W-883</v>
      </c>
      <c r="B12373" s="3" t="str">
        <f>HYPERLINK("https://www.773grp.com/manufacturer/national-semiconductor?pageNo=44", "National Semiconductor")</f>
        <v>National Semiconductor</v>
      </c>
      <c r="C12373" s="6">
        <v>9</v>
      </c>
      <c r="D12373" s="7">
        <v>91.41</v>
      </c>
      <c r="E12373" t="s">
        <v>13</v>
      </c>
    </row>
    <row r="12374" spans="1:5" x14ac:dyDescent="0.25">
      <c r="A12374" t="str">
        <f>HYPERLINK("https://www.773grp.com/globalSearch/DP8531V/page-1", "DP8531V")</f>
        <v>DP8531V</v>
      </c>
      <c r="B12374" s="3" t="str">
        <f>HYPERLINK("https://www.773grp.com/manufacturer/national-semiconductor?pageNo=45", "National Semiconductor")</f>
        <v>National Semiconductor</v>
      </c>
      <c r="C12374" s="6">
        <v>1500</v>
      </c>
      <c r="D12374" s="7">
        <v>91.98</v>
      </c>
      <c r="E12374" t="s">
        <v>79</v>
      </c>
    </row>
    <row r="12375" spans="1:5" x14ac:dyDescent="0.25">
      <c r="A12375" t="str">
        <f>HYPERLINK("https://www.773grp.com/globalSearch/5962-9076601MEA/page-1", "5962-9076601MEA")</f>
        <v>5962-9076601MEA</v>
      </c>
      <c r="B12375" s="3" t="str">
        <f>HYPERLINK("https://www.773grp.com/manufacturer/national-semiconductor?pageNo=46", "National Semiconductor")</f>
        <v>National Semiconductor</v>
      </c>
      <c r="C12375" s="6">
        <v>90</v>
      </c>
      <c r="D12375" s="7">
        <v>92.25</v>
      </c>
      <c r="E12375" t="s">
        <v>21</v>
      </c>
    </row>
    <row r="12376" spans="1:5" x14ac:dyDescent="0.25">
      <c r="A12376" t="str">
        <f>HYPERLINK("https://www.773grp.com/globalSearch/JM38510-34404BFA/page-1", "JM38510-34404BFA")</f>
        <v>JM38510-34404BFA</v>
      </c>
      <c r="B12376" s="3" t="str">
        <f>HYPERLINK("https://www.773grp.com/manufacturer/national-semiconductor?pageNo=47", "National Semiconductor")</f>
        <v>National Semiconductor</v>
      </c>
      <c r="C12376" s="6">
        <v>887</v>
      </c>
      <c r="D12376" s="7">
        <v>92.53</v>
      </c>
    </row>
    <row r="12377" spans="1:5" x14ac:dyDescent="0.25">
      <c r="A12377" t="str">
        <f>HYPERLINK("https://www.773grp.com/globalSearch/93L34FMQB/page-1", "93L34FMQB")</f>
        <v>93L34FMQB</v>
      </c>
      <c r="B12377" s="3" t="str">
        <f>HYPERLINK("https://www.773grp.com/manufacturer/national-semiconductor?pageNo=48", "National Semiconductor")</f>
        <v>National Semiconductor</v>
      </c>
      <c r="C12377" s="6">
        <v>23</v>
      </c>
      <c r="D12377" s="7">
        <v>92.81</v>
      </c>
      <c r="E12377" t="s">
        <v>35</v>
      </c>
    </row>
    <row r="12378" spans="1:5" x14ac:dyDescent="0.25">
      <c r="A12378" t="str">
        <f>HYPERLINK("https://www.773grp.com/globalSearch/ADC12C170CISQ-NOPB/page-1", "ADC12C170CISQ-NOPB")</f>
        <v>ADC12C170CISQ-NOPB</v>
      </c>
      <c r="B12378" s="3" t="str">
        <f>HYPERLINK("https://www.773grp.com/manufacturer/national-semiconductor?pageNo=49", "National Semiconductor")</f>
        <v>National Semiconductor</v>
      </c>
      <c r="C12378" s="6">
        <v>244</v>
      </c>
      <c r="D12378" s="7">
        <v>92.81</v>
      </c>
    </row>
    <row r="12379" spans="1:5" x14ac:dyDescent="0.25">
      <c r="A12379" t="str">
        <f>HYPERLINK("https://www.773grp.com/globalSearch/ADC12V170CISQ-NOPB/page-1", "ADC12V170CISQ-NOPB")</f>
        <v>ADC12V170CISQ-NOPB</v>
      </c>
      <c r="B12379" s="3" t="str">
        <f>HYPERLINK("https://www.773grp.com/manufacturer/national-semiconductor?pageNo=50", "National Semiconductor")</f>
        <v>National Semiconductor</v>
      </c>
      <c r="C12379" s="6">
        <v>257</v>
      </c>
      <c r="D12379" s="7">
        <v>92.81</v>
      </c>
    </row>
    <row r="12380" spans="1:5" x14ac:dyDescent="0.25">
      <c r="A12380" t="str">
        <f>HYPERLINK("https://www.773grp.com/globalSearch/ADC12C170CISQ/page-1", "ADC12C170CISQ")</f>
        <v>ADC12C170CISQ</v>
      </c>
      <c r="B12380" s="3" t="str">
        <f>HYPERLINK("https://www.773grp.com/manufacturer/national-semiconductor?pageNo=51", "National Semiconductor")</f>
        <v>National Semiconductor</v>
      </c>
      <c r="C12380" s="6">
        <v>180</v>
      </c>
      <c r="D12380" s="7">
        <v>92.81</v>
      </c>
    </row>
    <row r="12381" spans="1:5" x14ac:dyDescent="0.25">
      <c r="A12381" t="str">
        <f>HYPERLINK("https://www.773grp.com/globalSearch/ADC12V170CISQ-NOPB/page-1", "ADC12V170CISQ-NOPB")</f>
        <v>ADC12V170CISQ-NOPB</v>
      </c>
      <c r="B12381" s="3" t="str">
        <f>HYPERLINK("https://www.773grp.com/manufacturer/national-semiconductor?pageNo=52", "National Semiconductor")</f>
        <v>National Semiconductor</v>
      </c>
      <c r="C12381" s="6">
        <v>40</v>
      </c>
      <c r="D12381" s="7">
        <v>92.81</v>
      </c>
    </row>
    <row r="12382" spans="1:5" x14ac:dyDescent="0.25">
      <c r="A12382" t="str">
        <f>HYPERLINK("https://www.773grp.com/globalSearch/54H183DM/page-1", "54H183DM")</f>
        <v>54H183DM</v>
      </c>
      <c r="B12382" s="3" t="str">
        <f>HYPERLINK("https://www.773grp.com/manufacturer/national-semiconductor?pageNo=53", "National Semiconductor")</f>
        <v>National Semiconductor</v>
      </c>
      <c r="C12382" s="6">
        <v>593</v>
      </c>
      <c r="D12382" s="7">
        <v>93.04</v>
      </c>
    </row>
    <row r="12383" spans="1:5" x14ac:dyDescent="0.25">
      <c r="A12383" t="str">
        <f>HYPERLINK("https://www.773grp.com/globalSearch/54S138FM/page-1", "54S138FM")</f>
        <v>54S138FM</v>
      </c>
      <c r="B12383" s="3" t="str">
        <f>HYPERLINK("https://www.773grp.com/manufacturer/national-semiconductor?pageNo=54", "National Semiconductor")</f>
        <v>National Semiconductor</v>
      </c>
      <c r="C12383" s="6">
        <v>2222</v>
      </c>
      <c r="D12383" s="7">
        <v>93.63</v>
      </c>
    </row>
    <row r="12384" spans="1:5" x14ac:dyDescent="0.25">
      <c r="A12384" t="str">
        <f>HYPERLINK("https://www.773grp.com/globalSearch/93S43DMQB/page-1", "93S43DMQB")</f>
        <v>93S43DMQB</v>
      </c>
      <c r="B12384" s="3" t="str">
        <f>HYPERLINK("https://www.773grp.com/manufacturer/national-semiconductor?pageNo=55", "National Semiconductor")</f>
        <v>National Semiconductor</v>
      </c>
      <c r="C12384" s="6">
        <v>114</v>
      </c>
      <c r="D12384" s="7">
        <v>93.74</v>
      </c>
    </row>
    <row r="12385" spans="1:5" x14ac:dyDescent="0.25">
      <c r="A12385" t="str">
        <f>HYPERLINK("https://www.773grp.com/globalSearch/DP8409AN/page-1", "DP8409AN")</f>
        <v>DP8409AN</v>
      </c>
      <c r="B12385" s="3" t="str">
        <f>HYPERLINK("https://www.773grp.com/manufacturer/national-semiconductor?pageNo=56", "National Semiconductor")</f>
        <v>National Semiconductor</v>
      </c>
      <c r="C12385" s="6">
        <v>7</v>
      </c>
      <c r="D12385" s="7">
        <v>93.94</v>
      </c>
      <c r="E12385" t="s">
        <v>87</v>
      </c>
    </row>
    <row r="12386" spans="1:5" x14ac:dyDescent="0.25">
      <c r="A12386" t="str">
        <f>HYPERLINK("https://www.773grp.com/globalSearch/JM38510-11505BYA/page-1", "JM38510-11505BYA")</f>
        <v>JM38510-11505BYA</v>
      </c>
      <c r="B12386" s="3" t="str">
        <f>HYPERLINK("https://www.773grp.com/manufacturer/national-semiconductor?pageNo=57", "National Semiconductor")</f>
        <v>National Semiconductor</v>
      </c>
      <c r="C12386" s="6">
        <v>1</v>
      </c>
      <c r="D12386" s="7">
        <v>93.94</v>
      </c>
      <c r="E12386" t="s">
        <v>65</v>
      </c>
    </row>
    <row r="12387" spans="1:5" x14ac:dyDescent="0.25">
      <c r="A12387" t="str">
        <f>HYPERLINK("https://www.773grp.com/globalSearch/JM38510-11507BYA/page-1", "JM38510-11507BYA")</f>
        <v>JM38510-11507BYA</v>
      </c>
      <c r="B12387" s="3" t="str">
        <f>HYPERLINK("https://www.773grp.com/manufacturer/national-semiconductor?pageNo=58", "National Semiconductor")</f>
        <v>National Semiconductor</v>
      </c>
      <c r="C12387" s="6">
        <v>5</v>
      </c>
      <c r="D12387" s="7">
        <v>93.94</v>
      </c>
      <c r="E12387" t="s">
        <v>65</v>
      </c>
    </row>
    <row r="12388" spans="1:5" x14ac:dyDescent="0.25">
      <c r="A12388" t="str">
        <f>HYPERLINK("https://www.773grp.com/globalSearch/9310FM/page-1", "9310FM")</f>
        <v>9310FM</v>
      </c>
      <c r="B12388" s="3" t="str">
        <f>HYPERLINK("https://www.773grp.com/manufacturer/national-semiconductor?pageNo=59", "National Semiconductor")</f>
        <v>National Semiconductor</v>
      </c>
      <c r="C12388" s="6">
        <v>159</v>
      </c>
      <c r="D12388" s="7">
        <v>94.2</v>
      </c>
    </row>
    <row r="12389" spans="1:5" x14ac:dyDescent="0.25">
      <c r="A12389" t="str">
        <f>HYPERLINK("https://www.773grp.com/globalSearch/LM2941K-883/page-1", "LM2941K-883")</f>
        <v>LM2941K-883</v>
      </c>
      <c r="B12389" s="3" t="str">
        <f>HYPERLINK("https://www.773grp.com/manufacturer/national-semiconductor?pageNo=60", "National Semiconductor")</f>
        <v>National Semiconductor</v>
      </c>
      <c r="C12389" s="6">
        <v>8</v>
      </c>
      <c r="D12389" s="7">
        <v>94.21</v>
      </c>
      <c r="E12389" t="s">
        <v>25</v>
      </c>
    </row>
    <row r="12390" spans="1:5" x14ac:dyDescent="0.25">
      <c r="A12390" t="str">
        <f>HYPERLINK("https://www.773grp.com/globalSearch/LM709AW-883/page-1", "LM709AW-883")</f>
        <v>LM709AW-883</v>
      </c>
      <c r="B12390" s="3" t="str">
        <f>HYPERLINK("https://www.773grp.com/manufacturer/national-semiconductor?pageNo=61", "National Semiconductor")</f>
        <v>National Semiconductor</v>
      </c>
      <c r="C12390" s="6">
        <v>252</v>
      </c>
      <c r="D12390" s="7">
        <v>94.21</v>
      </c>
      <c r="E12390" t="s">
        <v>13</v>
      </c>
    </row>
    <row r="12391" spans="1:5" x14ac:dyDescent="0.25">
      <c r="A12391" t="str">
        <f>HYPERLINK("https://www.773grp.com/globalSearch/5962-7802301Q2A/page-1", "5962-7802301Q2A")</f>
        <v>5962-7802301Q2A</v>
      </c>
      <c r="B12391" s="3" t="str">
        <f>HYPERLINK("https://www.773grp.com/manufacturer/national-semiconductor?pageNo=62", "National Semiconductor")</f>
        <v>National Semiconductor</v>
      </c>
      <c r="C12391" s="6">
        <v>375</v>
      </c>
      <c r="D12391" s="7">
        <v>94.45</v>
      </c>
      <c r="E12391" t="s">
        <v>21</v>
      </c>
    </row>
    <row r="12392" spans="1:5" x14ac:dyDescent="0.25">
      <c r="A12392" t="str">
        <f>HYPERLINK("https://www.773grp.com/globalSearch/4731BDC/page-1", "4731BDC")</f>
        <v>4731BDC</v>
      </c>
      <c r="B12392" s="3" t="str">
        <f>HYPERLINK("https://www.773grp.com/manufacturer/national-semiconductor?pageNo=63", "National Semiconductor")</f>
        <v>National Semiconductor</v>
      </c>
      <c r="C12392" s="6">
        <v>91</v>
      </c>
      <c r="D12392" s="7">
        <v>94.79</v>
      </c>
    </row>
    <row r="12393" spans="1:5" x14ac:dyDescent="0.25">
      <c r="A12393" t="str">
        <f>HYPERLINK("https://www.773grp.com/globalSearch/4731BDC (-5V)/page-1", "4731BDC (-5V)")</f>
        <v>4731BDC (-5V)</v>
      </c>
      <c r="B12393" s="3" t="str">
        <f>HYPERLINK("https://www.773grp.com/manufacturer/national-semiconductor?pageNo=64", "National Semiconductor")</f>
        <v>National Semiconductor</v>
      </c>
      <c r="C12393" s="6">
        <v>121</v>
      </c>
      <c r="D12393" s="7">
        <v>94.79</v>
      </c>
    </row>
    <row r="12394" spans="1:5" x14ac:dyDescent="0.25">
      <c r="A12394" t="str">
        <f>HYPERLINK("https://www.773grp.com/globalSearch/ADC14DC080CISQE-NOPB/page-1", "ADC14DC080CISQE-NOPB")</f>
        <v>ADC14DC080CISQE-NOPB</v>
      </c>
      <c r="B12394" s="3" t="str">
        <f>HYPERLINK("https://www.773grp.com/manufacturer/national-semiconductor?pageNo=65", "National Semiconductor")</f>
        <v>National Semiconductor</v>
      </c>
      <c r="C12394" s="6">
        <v>129</v>
      </c>
      <c r="D12394" s="7">
        <v>95.06</v>
      </c>
    </row>
    <row r="12395" spans="1:5" x14ac:dyDescent="0.25">
      <c r="A12395" t="str">
        <f>HYPERLINK("https://www.773grp.com/globalSearch/JM4019ABFA/page-1", "JM4019ABFA")</f>
        <v>JM4019ABFA</v>
      </c>
      <c r="B12395" s="3" t="str">
        <f>HYPERLINK("https://www.773grp.com/manufacturer/national-semiconductor?pageNo=66", "National Semiconductor")</f>
        <v>National Semiconductor</v>
      </c>
      <c r="C12395" s="6">
        <v>30</v>
      </c>
      <c r="D12395" s="7">
        <v>95.06</v>
      </c>
    </row>
    <row r="12396" spans="1:5" x14ac:dyDescent="0.25">
      <c r="A12396" t="str">
        <f>HYPERLINK("https://www.773grp.com/globalSearch/LM120K-12-883/page-1", "LM120K-12-883")</f>
        <v>LM120K-12-883</v>
      </c>
      <c r="B12396" s="3" t="str">
        <f>HYPERLINK("https://www.773grp.com/manufacturer/national-semiconductor?pageNo=67", "National Semiconductor")</f>
        <v>National Semiconductor</v>
      </c>
      <c r="C12396" s="6">
        <v>121</v>
      </c>
      <c r="D12396" s="7">
        <v>95.21</v>
      </c>
      <c r="E12396" t="s">
        <v>65</v>
      </c>
    </row>
    <row r="12397" spans="1:5" x14ac:dyDescent="0.25">
      <c r="A12397" t="str">
        <f>HYPERLINK("https://www.773grp.com/globalSearch/LM120K-15-883/page-1", "LM120K-15-883")</f>
        <v>LM120K-15-883</v>
      </c>
      <c r="B12397" s="3" t="str">
        <f>HYPERLINK("https://www.773grp.com/manufacturer/national-semiconductor?pageNo=68", "National Semiconductor")</f>
        <v>National Semiconductor</v>
      </c>
      <c r="C12397" s="6">
        <v>28</v>
      </c>
      <c r="D12397" s="7">
        <v>95.21</v>
      </c>
      <c r="E12397" t="s">
        <v>65</v>
      </c>
    </row>
    <row r="12398" spans="1:5" x14ac:dyDescent="0.25">
      <c r="A12398" t="str">
        <f>HYPERLINK("https://www.773grp.com/globalSearch/LM120K-12-883/page-1", "LM120K-12-883")</f>
        <v>LM120K-12-883</v>
      </c>
      <c r="B12398" s="3" t="str">
        <f>HYPERLINK("https://www.773grp.com/manufacturer/national-semiconductor?pageNo=69", "National Semiconductor")</f>
        <v>National Semiconductor</v>
      </c>
      <c r="C12398" s="6">
        <v>112</v>
      </c>
      <c r="D12398" s="7">
        <v>95.21</v>
      </c>
      <c r="E12398" t="s">
        <v>65</v>
      </c>
    </row>
    <row r="12399" spans="1:5" x14ac:dyDescent="0.25">
      <c r="A12399" t="str">
        <f>HYPERLINK("https://www.773grp.com/globalSearch/LM120K-15-883/page-1", "LM120K-15-883")</f>
        <v>LM120K-15-883</v>
      </c>
      <c r="B12399" s="3" t="str">
        <f>HYPERLINK("https://www.773grp.com/manufacturer/national-semiconductor?pageNo=70", "National Semiconductor")</f>
        <v>National Semiconductor</v>
      </c>
      <c r="C12399" s="6">
        <v>25</v>
      </c>
      <c r="D12399" s="7">
        <v>95.21</v>
      </c>
      <c r="E12399" t="s">
        <v>65</v>
      </c>
    </row>
    <row r="12400" spans="1:5" x14ac:dyDescent="0.25">
      <c r="A12400" t="str">
        <f>HYPERLINK("https://www.773grp.com/globalSearch/LM117K-883/page-1", "LM117K-883")</f>
        <v>LM117K-883</v>
      </c>
      <c r="B12400" s="3" t="str">
        <f>HYPERLINK("https://www.773grp.com/manufacturer/national-semiconductor?pageNo=71", "National Semiconductor")</f>
        <v>National Semiconductor</v>
      </c>
      <c r="C12400" s="6">
        <v>67</v>
      </c>
      <c r="D12400" s="7">
        <v>95.55</v>
      </c>
      <c r="E12400" t="s">
        <v>22</v>
      </c>
    </row>
    <row r="12401" spans="1:5" x14ac:dyDescent="0.25">
      <c r="A12401" t="str">
        <f>HYPERLINK("https://www.773grp.com/globalSearch/LM117K-883/page-1", "LM117K-883")</f>
        <v>LM117K-883</v>
      </c>
      <c r="B12401" s="3" t="str">
        <f>HYPERLINK("https://www.773grp.com/manufacturer/national-semiconductor?pageNo=72", "National Semiconductor")</f>
        <v>National Semiconductor</v>
      </c>
      <c r="C12401" s="6">
        <v>62</v>
      </c>
      <c r="D12401" s="7">
        <v>95.55</v>
      </c>
      <c r="E12401" t="s">
        <v>22</v>
      </c>
    </row>
    <row r="12402" spans="1:5" x14ac:dyDescent="0.25">
      <c r="A12402" t="str">
        <f>HYPERLINK("https://www.773grp.com/globalSearch/9317CFM/page-1", "9317CFM")</f>
        <v>9317CFM</v>
      </c>
      <c r="B12402" s="3" t="str">
        <f>HYPERLINK("https://www.773grp.com/manufacturer/national-semiconductor?pageNo=73", "National Semiconductor")</f>
        <v>National Semiconductor</v>
      </c>
      <c r="C12402" s="6">
        <v>8706</v>
      </c>
      <c r="D12402" s="7">
        <v>95.63</v>
      </c>
    </row>
    <row r="12403" spans="1:5" x14ac:dyDescent="0.25">
      <c r="A12403" t="str">
        <f>HYPERLINK("https://www.773grp.com/globalSearch/LM20242EVAL/page-1", "LM20242EVAL")</f>
        <v>LM20242EVAL</v>
      </c>
      <c r="B12403" s="3" t="str">
        <f>HYPERLINK("https://www.773grp.com/manufacturer/national-semiconductor?pageNo=74", "National Semiconductor")</f>
        <v>National Semiconductor</v>
      </c>
      <c r="C12403" s="6">
        <v>6</v>
      </c>
      <c r="D12403" s="7">
        <v>95.63</v>
      </c>
    </row>
    <row r="12404" spans="1:5" x14ac:dyDescent="0.25">
      <c r="A12404" t="str">
        <f>HYPERLINK("https://www.773grp.com/globalSearch/LM2661-3-4EVAL/page-1", "LM2661-3-4EVAL")</f>
        <v>LM2661-3-4EVAL</v>
      </c>
      <c r="B12404" s="3" t="str">
        <f>HYPERLINK("https://www.773grp.com/manufacturer/national-semiconductor?pageNo=75", "National Semiconductor")</f>
        <v>National Semiconductor</v>
      </c>
      <c r="C12404" s="6">
        <v>17</v>
      </c>
      <c r="D12404" s="7">
        <v>95.63</v>
      </c>
    </row>
    <row r="12405" spans="1:5" x14ac:dyDescent="0.25">
      <c r="A12405" t="str">
        <f>HYPERLINK("https://www.773grp.com/globalSearch/LMZ22008EVAL/page-1", "LMZ22008EVAL")</f>
        <v>LMZ22008EVAL</v>
      </c>
      <c r="B12405" s="3" t="str">
        <f>HYPERLINK("https://www.773grp.com/manufacturer/national-semiconductor?pageNo=76", "National Semiconductor")</f>
        <v>National Semiconductor</v>
      </c>
      <c r="C12405" s="6">
        <v>3</v>
      </c>
      <c r="D12405" s="7">
        <v>95.63</v>
      </c>
    </row>
    <row r="12406" spans="1:5" x14ac:dyDescent="0.25">
      <c r="A12406" t="str">
        <f>HYPERLINK("https://www.773grp.com/globalSearch/54S194FM/page-1", "54S194FM")</f>
        <v>54S194FM</v>
      </c>
      <c r="B12406" s="3" t="str">
        <f>HYPERLINK("https://www.773grp.com/manufacturer/national-semiconductor?pageNo=77", "National Semiconductor")</f>
        <v>National Semiconductor</v>
      </c>
      <c r="C12406" s="6">
        <v>379</v>
      </c>
      <c r="D12406" s="7">
        <v>95.94</v>
      </c>
    </row>
    <row r="12407" spans="1:5" x14ac:dyDescent="0.25">
      <c r="A12407" t="str">
        <f>HYPERLINK("https://www.773grp.com/globalSearch/ADC08500CIYB-NOPB/page-1", "ADC08500CIYB-NOPB")</f>
        <v>ADC08500CIYB-NOPB</v>
      </c>
      <c r="B12407" s="3" t="str">
        <f>HYPERLINK("https://www.773grp.com/manufacturer/national-semiconductor?pageNo=78", "National Semiconductor")</f>
        <v>National Semiconductor</v>
      </c>
      <c r="C12407" s="6">
        <v>62</v>
      </c>
      <c r="D12407" s="7">
        <v>96.19</v>
      </c>
    </row>
    <row r="12408" spans="1:5" x14ac:dyDescent="0.25">
      <c r="A12408" t="str">
        <f>HYPERLINK("https://www.773grp.com/globalSearch/ADC14DS080CISQ-NOPB/page-1", "ADC14DS080CISQ-NOPB")</f>
        <v>ADC14DS080CISQ-NOPB</v>
      </c>
      <c r="B12408" s="3" t="str">
        <f>HYPERLINK("https://www.773grp.com/manufacturer/national-semiconductor?pageNo=79", "National Semiconductor")</f>
        <v>National Semiconductor</v>
      </c>
      <c r="C12408" s="6">
        <v>2010</v>
      </c>
      <c r="D12408" s="7">
        <v>96.19</v>
      </c>
    </row>
    <row r="12409" spans="1:5" x14ac:dyDescent="0.25">
      <c r="A12409" t="str">
        <f>HYPERLINK("https://www.773grp.com/globalSearch/ADC08500CIYB/page-1", "ADC08500CIYB")</f>
        <v>ADC08500CIYB</v>
      </c>
      <c r="B12409" s="3" t="str">
        <f>HYPERLINK("https://www.773grp.com/manufacturer/national-semiconductor?pageNo=80", "National Semiconductor")</f>
        <v>National Semiconductor</v>
      </c>
      <c r="C12409" s="6">
        <v>60</v>
      </c>
      <c r="D12409" s="7">
        <v>96.19</v>
      </c>
    </row>
    <row r="12410" spans="1:5" x14ac:dyDescent="0.25">
      <c r="A12410" t="str">
        <f>HYPERLINK("https://www.773grp.com/globalSearch/ADC08500CIYB-NOPB/page-1", "ADC08500CIYB-NOPB")</f>
        <v>ADC08500CIYB-NOPB</v>
      </c>
      <c r="B12410" s="3" t="str">
        <f>HYPERLINK("https://www.773grp.com/manufacturer/national-semiconductor?pageNo=81", "National Semiconductor")</f>
        <v>National Semiconductor</v>
      </c>
      <c r="C12410" s="6">
        <v>60</v>
      </c>
      <c r="D12410" s="7">
        <v>96.19</v>
      </c>
    </row>
    <row r="12411" spans="1:5" x14ac:dyDescent="0.25">
      <c r="A12411" t="str">
        <f>HYPERLINK("https://www.773grp.com/globalSearch/LM12L454CIV/page-1", "LM12L454CIV")</f>
        <v>LM12L454CIV</v>
      </c>
      <c r="B12411" s="3" t="str">
        <f>HYPERLINK("https://www.773grp.com/manufacturer/national-semiconductor?pageNo=82", "National Semiconductor")</f>
        <v>National Semiconductor</v>
      </c>
      <c r="C12411" s="6">
        <v>293</v>
      </c>
      <c r="D12411" s="7">
        <v>96.48</v>
      </c>
      <c r="E12411" t="s">
        <v>40</v>
      </c>
    </row>
    <row r="12412" spans="1:5" x14ac:dyDescent="0.25">
      <c r="A12412" t="str">
        <f>HYPERLINK("https://www.773grp.com/globalSearch/LM5009EVAL/page-1", "LM5009EVAL")</f>
        <v>LM5009EVAL</v>
      </c>
      <c r="B12412" s="3" t="str">
        <f>HYPERLINK("https://www.773grp.com/manufacturer/national-semiconductor?pageNo=83", "National Semiconductor")</f>
        <v>National Semiconductor</v>
      </c>
      <c r="C12412" s="6">
        <v>4</v>
      </c>
      <c r="D12412" s="7">
        <v>96.75</v>
      </c>
    </row>
    <row r="12413" spans="1:5" x14ac:dyDescent="0.25">
      <c r="A12413" t="str">
        <f>HYPERLINK("https://www.773grp.com/globalSearch/54H183FM/page-1", "54H183FM")</f>
        <v>54H183FM</v>
      </c>
      <c r="B12413" s="3" t="str">
        <f>HYPERLINK("https://www.773grp.com/manufacturer/national-semiconductor?pageNo=84", "National Semiconductor")</f>
        <v>National Semiconductor</v>
      </c>
      <c r="C12413" s="6">
        <v>662</v>
      </c>
      <c r="D12413" s="7">
        <v>97.04</v>
      </c>
    </row>
    <row r="12414" spans="1:5" x14ac:dyDescent="0.25">
      <c r="A12414" t="str">
        <f>HYPERLINK("https://www.773grp.com/globalSearch/LM137K-883/page-1", "LM137K-883")</f>
        <v>LM137K-883</v>
      </c>
      <c r="B12414" s="3" t="str">
        <f>HYPERLINK("https://www.773grp.com/manufacturer/national-semiconductor?pageNo=85", "National Semiconductor")</f>
        <v>National Semiconductor</v>
      </c>
      <c r="C12414" s="6">
        <v>89</v>
      </c>
      <c r="D12414" s="7">
        <v>97.96</v>
      </c>
      <c r="E12414" t="s">
        <v>37</v>
      </c>
    </row>
    <row r="12415" spans="1:5" x14ac:dyDescent="0.25">
      <c r="A12415" t="str">
        <f>HYPERLINK("https://www.773grp.com/globalSearch/CLC021AVGZ-3.3/page-1", "CLC021AVGZ-3.3")</f>
        <v>CLC021AVGZ-3.3</v>
      </c>
      <c r="B12415" s="3" t="str">
        <f>HYPERLINK("https://www.773grp.com/manufacturer/national-semiconductor?pageNo=86", "National Semiconductor")</f>
        <v>National Semiconductor</v>
      </c>
      <c r="C12415" s="6">
        <v>55</v>
      </c>
      <c r="D12415" s="7">
        <v>98.08</v>
      </c>
      <c r="E12415" t="s">
        <v>23</v>
      </c>
    </row>
    <row r="12416" spans="1:5" x14ac:dyDescent="0.25">
      <c r="A12416" t="str">
        <f>HYPERLINK("https://www.773grp.com/globalSearch/CLC021AVGZ-3.3/page-1", "CLC021AVGZ-3.3")</f>
        <v>CLC021AVGZ-3.3</v>
      </c>
      <c r="B12416" s="3" t="str">
        <f>HYPERLINK("https://www.773grp.com/manufacturer/national-semiconductor?pageNo=87", "National Semiconductor")</f>
        <v>National Semiconductor</v>
      </c>
      <c r="C12416" s="6">
        <v>797</v>
      </c>
      <c r="D12416" s="7">
        <v>98.08</v>
      </c>
      <c r="E12416" t="s">
        <v>23</v>
      </c>
    </row>
    <row r="12417" spans="1:5" x14ac:dyDescent="0.25">
      <c r="A12417" t="str">
        <f>HYPERLINK("https://www.773grp.com/globalSearch/DP8344BV/page-1", "DP8344BV")</f>
        <v>DP8344BV</v>
      </c>
      <c r="B12417" s="3" t="str">
        <f>HYPERLINK("https://www.773grp.com/manufacturer/national-semiconductor?pageNo=88", "National Semiconductor")</f>
        <v>National Semiconductor</v>
      </c>
      <c r="C12417" s="6">
        <v>7956</v>
      </c>
      <c r="D12417" s="7">
        <v>98.13</v>
      </c>
      <c r="E12417" t="s">
        <v>81</v>
      </c>
    </row>
    <row r="12418" spans="1:5" x14ac:dyDescent="0.25">
      <c r="A12418" t="str">
        <f>HYPERLINK("https://www.773grp.com/globalSearch/LM628N-8-NOPB/page-1", "LM628N-8-NOPB")</f>
        <v>LM628N-8-NOPB</v>
      </c>
      <c r="B12418" s="3" t="str">
        <f>HYPERLINK("https://www.773grp.com/manufacturer/national-semiconductor?pageNo=89", "National Semiconductor")</f>
        <v>National Semiconductor</v>
      </c>
      <c r="C12418" s="6">
        <v>241</v>
      </c>
      <c r="D12418" s="7">
        <v>98.44</v>
      </c>
      <c r="E12418" t="s">
        <v>62</v>
      </c>
    </row>
    <row r="12419" spans="1:5" x14ac:dyDescent="0.25">
      <c r="A12419" t="str">
        <f>HYPERLINK("https://www.773grp.com/globalSearch/LM629N-8-NOPB/page-1", "LM629N-8-NOPB")</f>
        <v>LM629N-8-NOPB</v>
      </c>
      <c r="B12419" s="3" t="str">
        <f>HYPERLINK("https://www.773grp.com/manufacturer/national-semiconductor?pageNo=90", "National Semiconductor")</f>
        <v>National Semiconductor</v>
      </c>
      <c r="C12419" s="6">
        <v>44</v>
      </c>
      <c r="D12419" s="7">
        <v>98.44</v>
      </c>
      <c r="E12419" t="s">
        <v>62</v>
      </c>
    </row>
    <row r="12420" spans="1:5" x14ac:dyDescent="0.25">
      <c r="A12420" t="str">
        <f>HYPERLINK("https://www.773grp.com/globalSearch/LM628N-8-NOPB/page-1", "LM628N-8-NOPB")</f>
        <v>LM628N-8-NOPB</v>
      </c>
      <c r="B12420" s="3" t="str">
        <f>HYPERLINK("https://www.773grp.com/manufacturer/national-semiconductor?pageNo=91", "National Semiconductor")</f>
        <v>National Semiconductor</v>
      </c>
      <c r="C12420" s="6">
        <v>8</v>
      </c>
      <c r="D12420" s="7">
        <v>98.44</v>
      </c>
      <c r="E12420" t="s">
        <v>62</v>
      </c>
    </row>
    <row r="12421" spans="1:5" x14ac:dyDescent="0.25">
      <c r="A12421" t="str">
        <f>HYPERLINK("https://www.773grp.com/globalSearch/LM629N-8-NOPB/page-1", "LM629N-8-NOPB")</f>
        <v>LM629N-8-NOPB</v>
      </c>
      <c r="B12421" s="3" t="str">
        <f>HYPERLINK("https://www.773grp.com/manufacturer/national-semiconductor?pageNo=92", "National Semiconductor")</f>
        <v>National Semiconductor</v>
      </c>
      <c r="C12421" s="6">
        <v>443</v>
      </c>
      <c r="D12421" s="7">
        <v>98.44</v>
      </c>
      <c r="E12421" t="s">
        <v>62</v>
      </c>
    </row>
    <row r="12422" spans="1:5" x14ac:dyDescent="0.25">
      <c r="A12422" t="str">
        <f>HYPERLINK("https://www.773grp.com/globalSearch/MSP-EXP430FR5739/page-1", "MSP-EXP430FR5739")</f>
        <v>MSP-EXP430FR5739</v>
      </c>
      <c r="B12422" s="3" t="str">
        <f>HYPERLINK("https://www.773grp.com/manufacturer/national-semiconductor?pageNo=93", "National Semiconductor")</f>
        <v>National Semiconductor</v>
      </c>
      <c r="C12422" s="6">
        <v>2</v>
      </c>
      <c r="D12422" s="7">
        <v>98.44</v>
      </c>
    </row>
    <row r="12423" spans="1:5" x14ac:dyDescent="0.25">
      <c r="A12423" t="str">
        <f>HYPERLINK("https://www.773grp.com/globalSearch/DP8431VX-33/page-1", "DP8431VX-33")</f>
        <v>DP8431VX-33</v>
      </c>
      <c r="B12423" s="3" t="str">
        <f>HYPERLINK("https://www.773grp.com/manufacturer/national-semiconductor?pageNo=94", "National Semiconductor")</f>
        <v>National Semiconductor</v>
      </c>
      <c r="C12423" s="6">
        <v>1000</v>
      </c>
      <c r="D12423" s="7">
        <v>98.73</v>
      </c>
      <c r="E12423" t="s">
        <v>87</v>
      </c>
    </row>
    <row r="12424" spans="1:5" x14ac:dyDescent="0.25">
      <c r="A12424" t="str">
        <f>HYPERLINK("https://www.773grp.com/globalSearch/10545ADM/page-1", "10545ADM")</f>
        <v>10545ADM</v>
      </c>
      <c r="B12424" s="3" t="str">
        <f>HYPERLINK("https://www.773grp.com/manufacturer/national-semiconductor?pageNo=95", "National Semiconductor")</f>
        <v>National Semiconductor</v>
      </c>
      <c r="C12424" s="6">
        <v>12</v>
      </c>
      <c r="D12424" s="7">
        <v>99</v>
      </c>
    </row>
    <row r="12425" spans="1:5" x14ac:dyDescent="0.25">
      <c r="A12425" t="str">
        <f>HYPERLINK("https://www.773grp.com/globalSearch/LM97593VH-NOPB/page-1", "LM97593VH-NOPB")</f>
        <v>LM97593VH-NOPB</v>
      </c>
      <c r="B12425" s="3" t="str">
        <f>HYPERLINK("https://www.773grp.com/manufacturer/national-semiconductor?pageNo=96", "National Semiconductor")</f>
        <v>National Semiconductor</v>
      </c>
      <c r="C12425" s="6">
        <v>1</v>
      </c>
      <c r="D12425" s="7">
        <v>99</v>
      </c>
    </row>
    <row r="12426" spans="1:5" x14ac:dyDescent="0.25">
      <c r="A12426" t="str">
        <f>HYPERLINK("https://www.773grp.com/globalSearch/JD54L73BCA/page-1", "JD54L73BCA")</f>
        <v>JD54L73BCA</v>
      </c>
      <c r="B12426" s="3" t="str">
        <f>HYPERLINK("https://www.773grp.com/manufacturer/national-semiconductor?pageNo=97", "National Semiconductor")</f>
        <v>National Semiconductor</v>
      </c>
      <c r="C12426" s="6">
        <v>159</v>
      </c>
      <c r="D12426" s="7">
        <v>99.56</v>
      </c>
    </row>
    <row r="12427" spans="1:5" x14ac:dyDescent="0.25">
      <c r="A12427" t="str">
        <f>HYPERLINK("https://www.773grp.com/globalSearch/LM12H454CIV/page-1", "LM12H454CIV")</f>
        <v>LM12H454CIV</v>
      </c>
      <c r="B12427" s="3" t="str">
        <f>HYPERLINK("https://www.773grp.com/manufacturer/national-semiconductor?pageNo=98", "National Semiconductor")</f>
        <v>National Semiconductor</v>
      </c>
      <c r="C12427" s="6">
        <v>515</v>
      </c>
      <c r="D12427" s="7">
        <v>99.85</v>
      </c>
      <c r="E12427" t="s">
        <v>40</v>
      </c>
    </row>
    <row r="12428" spans="1:5" x14ac:dyDescent="0.25">
      <c r="A12428" t="str">
        <f>HYPERLINK("https://www.773grp.com/globalSearch/LM3103EVAL/page-1", "LM3103EVAL")</f>
        <v>LM3103EVAL</v>
      </c>
      <c r="B12428" s="3" t="str">
        <f>HYPERLINK("https://www.773grp.com/manufacturer/national-semiconductor?pageNo=99", "National Semiconductor")</f>
        <v>National Semiconductor</v>
      </c>
      <c r="C12428" s="6">
        <v>8</v>
      </c>
      <c r="D12428" s="7">
        <v>100.13</v>
      </c>
    </row>
    <row r="12429" spans="1:5" x14ac:dyDescent="0.25">
      <c r="A12429" t="str">
        <f>HYPERLINK("https://www.773grp.com/globalSearch/ADC14DS080CISQE-NOPB/page-1", "ADC14DS080CISQE-NOPB")</f>
        <v>ADC14DS080CISQE-NOPB</v>
      </c>
      <c r="B12429" s="3" t="str">
        <f>HYPERLINK("https://www.773grp.com/manufacturer/national-semiconductor?pageNo=100", "National Semiconductor")</f>
        <v>National Semiconductor</v>
      </c>
      <c r="C12429" s="6">
        <v>500</v>
      </c>
      <c r="D12429" s="7">
        <v>100.41</v>
      </c>
    </row>
    <row r="12430" spans="1:5" x14ac:dyDescent="0.25">
      <c r="A12430" t="str">
        <f>HYPERLINK("https://www.773grp.com/globalSearch/ADC14DS080CISQE-NOPB/page-1", "ADC14DS080CISQE-NOPB")</f>
        <v>ADC14DS080CISQE-NOPB</v>
      </c>
      <c r="B12430" s="3" t="str">
        <f>HYPERLINK("https://www.773grp.com/manufacturer/national-semiconductor?pageNo=101", "National Semiconductor")</f>
        <v>National Semiconductor</v>
      </c>
      <c r="C12430" s="6">
        <v>250</v>
      </c>
      <c r="D12430" s="7">
        <v>100.41</v>
      </c>
    </row>
    <row r="12431" spans="1:5" x14ac:dyDescent="0.25">
      <c r="A12431" t="str">
        <f>HYPERLINK("https://www.773grp.com/globalSearch/DM75L98W-883/page-1", "DM75L98W-883")</f>
        <v>DM75L98W-883</v>
      </c>
      <c r="B12431" s="3" t="str">
        <f>HYPERLINK("https://www.773grp.com/manufacturer/national-semiconductor?pageNo=102", "National Semiconductor")</f>
        <v>National Semiconductor</v>
      </c>
      <c r="C12431" s="6">
        <v>248</v>
      </c>
      <c r="D12431" s="7">
        <v>100.96</v>
      </c>
    </row>
    <row r="12432" spans="1:5" x14ac:dyDescent="0.25">
      <c r="A12432" t="str">
        <f>HYPERLINK("https://www.773grp.com/globalSearch/DM75L98W-883C/page-1", "DM75L98W-883C")</f>
        <v>DM75L98W-883C</v>
      </c>
      <c r="B12432" s="3" t="str">
        <f>HYPERLINK("https://www.773grp.com/manufacturer/national-semiconductor?pageNo=103", "National Semiconductor")</f>
        <v>National Semiconductor</v>
      </c>
      <c r="C12432" s="6">
        <v>121</v>
      </c>
      <c r="D12432" s="7">
        <v>100.96</v>
      </c>
    </row>
    <row r="12433" spans="1:5" x14ac:dyDescent="0.25">
      <c r="A12433" t="str">
        <f>HYPERLINK("https://www.773grp.com/globalSearch/PTB48560CAZ/page-1", "PTB48560CAZ")</f>
        <v>PTB48560CAZ</v>
      </c>
      <c r="B12433" s="3" t="str">
        <f>HYPERLINK("https://www.773grp.com/manufacturer/national-semiconductor?pageNo=104", "National Semiconductor")</f>
        <v>National Semiconductor</v>
      </c>
      <c r="C12433" s="6">
        <v>43</v>
      </c>
      <c r="D12433" s="7">
        <v>101.09</v>
      </c>
    </row>
    <row r="12434" spans="1:5" x14ac:dyDescent="0.25">
      <c r="A12434" t="str">
        <f>HYPERLINK("https://www.773grp.com/globalSearch/4702BDM/page-1", "4702BDM")</f>
        <v>4702BDM</v>
      </c>
      <c r="B12434" s="3" t="str">
        <f>HYPERLINK("https://www.773grp.com/manufacturer/national-semiconductor?pageNo=105", "National Semiconductor")</f>
        <v>National Semiconductor</v>
      </c>
      <c r="C12434" s="6">
        <v>15839</v>
      </c>
      <c r="D12434" s="7">
        <v>102.51</v>
      </c>
    </row>
    <row r="12435" spans="1:5" x14ac:dyDescent="0.25">
      <c r="A12435" t="str">
        <f>HYPERLINK("https://www.773grp.com/globalSearch/93425DMQB30/page-1", "93425DMQB30")</f>
        <v>93425DMQB30</v>
      </c>
      <c r="B12435" s="3" t="str">
        <f>HYPERLINK("https://www.773grp.com/manufacturer/national-semiconductor?pageNo=106", "National Semiconductor")</f>
        <v>National Semiconductor</v>
      </c>
      <c r="C12435" s="6">
        <v>35</v>
      </c>
      <c r="D12435" s="7">
        <v>102.65</v>
      </c>
    </row>
    <row r="12436" spans="1:5" x14ac:dyDescent="0.25">
      <c r="A12436" t="str">
        <f>HYPERLINK("https://www.773grp.com/globalSearch/5962-9583401Q2A/page-1", "5962-9583401Q2A")</f>
        <v>5962-9583401Q2A</v>
      </c>
      <c r="B12436" s="3" t="str">
        <f>HYPERLINK("https://www.773grp.com/manufacturer/national-semiconductor?pageNo=107", "National Semiconductor")</f>
        <v>National Semiconductor</v>
      </c>
      <c r="C12436" s="6">
        <v>102</v>
      </c>
      <c r="D12436" s="7">
        <v>102.9</v>
      </c>
      <c r="E12436" t="s">
        <v>21</v>
      </c>
    </row>
    <row r="12437" spans="1:5" x14ac:dyDescent="0.25">
      <c r="A12437" t="str">
        <f>HYPERLINK("https://www.773grp.com/globalSearch/54F402FMQB/page-1", "54F402FMQB")</f>
        <v>54F402FMQB</v>
      </c>
      <c r="B12437" s="3" t="str">
        <f>HYPERLINK("https://www.773grp.com/manufacturer/national-semiconductor?pageNo=108", "National Semiconductor")</f>
        <v>National Semiconductor</v>
      </c>
      <c r="C12437" s="6">
        <v>87</v>
      </c>
      <c r="D12437" s="7">
        <v>103.05</v>
      </c>
      <c r="E12437" t="s">
        <v>43</v>
      </c>
    </row>
    <row r="12438" spans="1:5" x14ac:dyDescent="0.25">
      <c r="A12438" t="str">
        <f>HYPERLINK("https://www.773grp.com/globalSearch/LMH6583YA/page-1", "LMH6583YA")</f>
        <v>LMH6583YA</v>
      </c>
      <c r="B12438" s="3" t="str">
        <f>HYPERLINK("https://www.773grp.com/manufacturer/national-semiconductor?pageNo=109", "National Semiconductor")</f>
        <v>National Semiconductor</v>
      </c>
      <c r="C12438" s="6">
        <v>9265</v>
      </c>
      <c r="D12438" s="7">
        <v>103.23</v>
      </c>
      <c r="E12438" t="s">
        <v>56</v>
      </c>
    </row>
    <row r="12439" spans="1:5" x14ac:dyDescent="0.25">
      <c r="A12439" t="str">
        <f>HYPERLINK("https://www.773grp.com/globalSearch/LH0002H-MLS/page-1", "LH0002H-MLS")</f>
        <v>LH0002H-MLS</v>
      </c>
      <c r="B12439" s="3" t="str">
        <f>HYPERLINK("https://www.773grp.com/manufacturer/national-semiconductor?pageNo=110", "National Semiconductor")</f>
        <v>National Semiconductor</v>
      </c>
      <c r="C12439" s="6">
        <v>4</v>
      </c>
      <c r="D12439" s="7">
        <v>103.36</v>
      </c>
    </row>
    <row r="12440" spans="1:5" x14ac:dyDescent="0.25">
      <c r="A12440" t="str">
        <f>HYPERLINK("https://www.773grp.com/globalSearch/JM54AC521BRA/page-1", "JM54AC521BRA")</f>
        <v>JM54AC521BRA</v>
      </c>
      <c r="B12440" s="3" t="str">
        <f>HYPERLINK("https://www.773grp.com/manufacturer/national-semiconductor?pageNo=111", "National Semiconductor")</f>
        <v>National Semiconductor</v>
      </c>
      <c r="C12440" s="6">
        <v>87</v>
      </c>
      <c r="D12440" s="7">
        <v>103.5</v>
      </c>
    </row>
    <row r="12441" spans="1:5" x14ac:dyDescent="0.25">
      <c r="A12441" t="str">
        <f>HYPERLINK("https://www.773grp.com/globalSearch/LM12CLK/page-1", "LM12CLK")</f>
        <v>LM12CLK</v>
      </c>
      <c r="B12441" s="3" t="str">
        <f>HYPERLINK("https://www.773grp.com/manufacturer/national-semiconductor?pageNo=112", "National Semiconductor")</f>
        <v>National Semiconductor</v>
      </c>
      <c r="C12441" s="6">
        <v>3679</v>
      </c>
      <c r="D12441" s="7">
        <v>103.5</v>
      </c>
      <c r="E12441" t="s">
        <v>13</v>
      </c>
    </row>
    <row r="12442" spans="1:5" x14ac:dyDescent="0.25">
      <c r="A12442" t="str">
        <f>HYPERLINK("https://www.773grp.com/globalSearch/MM54C221W-883/page-1", "MM54C221W-883")</f>
        <v>MM54C221W-883</v>
      </c>
      <c r="B12442" s="3" t="str">
        <f>HYPERLINK("https://www.773grp.com/manufacturer/national-semiconductor?pageNo=113", "National Semiconductor")</f>
        <v>National Semiconductor</v>
      </c>
      <c r="C12442" s="6">
        <v>250</v>
      </c>
      <c r="D12442" s="7">
        <v>103.5</v>
      </c>
    </row>
    <row r="12443" spans="1:5" x14ac:dyDescent="0.25">
      <c r="A12443" t="str">
        <f>HYPERLINK("https://www.773grp.com/globalSearch/93S43FM/page-1", "93S43FM")</f>
        <v>93S43FM</v>
      </c>
      <c r="B12443" s="3" t="str">
        <f>HYPERLINK("https://www.773grp.com/manufacturer/national-semiconductor?pageNo=114", "National Semiconductor")</f>
        <v>National Semiconductor</v>
      </c>
      <c r="C12443" s="6">
        <v>824</v>
      </c>
      <c r="D12443" s="7">
        <v>103.73</v>
      </c>
    </row>
    <row r="12444" spans="1:5" x14ac:dyDescent="0.25">
      <c r="A12444" t="str">
        <f>HYPERLINK("https://www.773grp.com/globalSearch/CLC030AVEC/page-1", "CLC030AVEC")</f>
        <v>CLC030AVEC</v>
      </c>
      <c r="B12444" s="3" t="str">
        <f>HYPERLINK("https://www.773grp.com/manufacturer/national-semiconductor?pageNo=115", "National Semiconductor")</f>
        <v>National Semiconductor</v>
      </c>
      <c r="C12444" s="6">
        <v>41</v>
      </c>
      <c r="D12444" s="7">
        <v>104.06</v>
      </c>
    </row>
    <row r="12445" spans="1:5" x14ac:dyDescent="0.25">
      <c r="A12445" t="str">
        <f>HYPERLINK("https://www.773grp.com/globalSearch/CLC031AVEC/page-1", "CLC031AVEC")</f>
        <v>CLC031AVEC</v>
      </c>
      <c r="B12445" s="3" t="str">
        <f>HYPERLINK("https://www.773grp.com/manufacturer/national-semiconductor?pageNo=116", "National Semiconductor")</f>
        <v>National Semiconductor</v>
      </c>
      <c r="C12445" s="6">
        <v>2534</v>
      </c>
      <c r="D12445" s="7">
        <v>104.06</v>
      </c>
      <c r="E12445" t="s">
        <v>23</v>
      </c>
    </row>
    <row r="12446" spans="1:5" x14ac:dyDescent="0.25">
      <c r="A12446" t="str">
        <f>HYPERLINK("https://www.773grp.com/globalSearch/LM629M-8-NOPB/page-1", "LM629M-8-NOPB")</f>
        <v>LM629M-8-NOPB</v>
      </c>
      <c r="B12446" s="3" t="str">
        <f>HYPERLINK("https://www.773grp.com/manufacturer/national-semiconductor?pageNo=117", "National Semiconductor")</f>
        <v>National Semiconductor</v>
      </c>
      <c r="C12446" s="6">
        <v>300</v>
      </c>
      <c r="D12446" s="7">
        <v>104.06</v>
      </c>
      <c r="E12446" t="s">
        <v>62</v>
      </c>
    </row>
    <row r="12447" spans="1:5" x14ac:dyDescent="0.25">
      <c r="A12447" t="str">
        <f>HYPERLINK("https://www.773grp.com/globalSearch/UA9616HLMQB/page-1", "UA9616HLMQB")</f>
        <v>UA9616HLMQB</v>
      </c>
      <c r="B12447" s="3" t="str">
        <f>HYPERLINK("https://www.773grp.com/manufacturer/national-semiconductor?pageNo=118", "National Semiconductor")</f>
        <v>National Semiconductor</v>
      </c>
      <c r="C12447" s="6">
        <v>18</v>
      </c>
      <c r="D12447" s="7">
        <v>104.06</v>
      </c>
      <c r="E12447" t="s">
        <v>21</v>
      </c>
    </row>
    <row r="12448" spans="1:5" x14ac:dyDescent="0.25">
      <c r="A12448" t="str">
        <f>HYPERLINK("https://www.773grp.com/globalSearch/LM2832XMYEVAL/page-1", "LM2832XMYEVAL")</f>
        <v>LM2832XMYEVAL</v>
      </c>
      <c r="B12448" s="3" t="str">
        <f>HYPERLINK("https://www.773grp.com/manufacturer/national-semiconductor?pageNo=119", "National Semiconductor")</f>
        <v>National Semiconductor</v>
      </c>
      <c r="C12448" s="6">
        <v>1</v>
      </c>
      <c r="D12448" s="7">
        <v>105.05</v>
      </c>
    </row>
    <row r="12449" spans="1:5" x14ac:dyDescent="0.25">
      <c r="A12449" t="str">
        <f>HYPERLINK("https://www.773grp.com/globalSearch/LM2832XMYEVAL/page-1", "LM2832XMYEVAL")</f>
        <v>LM2832XMYEVAL</v>
      </c>
      <c r="B12449" s="3" t="str">
        <f>HYPERLINK("https://www.773grp.com/manufacturer/national-semiconductor?pageNo=120", "National Semiconductor")</f>
        <v>National Semiconductor</v>
      </c>
      <c r="C12449" s="6">
        <v>4</v>
      </c>
      <c r="D12449" s="7">
        <v>105.05</v>
      </c>
    </row>
    <row r="12450" spans="1:5" x14ac:dyDescent="0.25">
      <c r="A12450" t="str">
        <f>HYPERLINK("https://www.773grp.com/globalSearch/JM38510-23106BEA/page-1", "JM38510-23106BEA")</f>
        <v>JM38510-23106BEA</v>
      </c>
      <c r="B12450" s="3" t="str">
        <f>HYPERLINK("https://www.773grp.com/manufacturer/national-semiconductor?pageNo=121", "National Semiconductor")</f>
        <v>National Semiconductor</v>
      </c>
      <c r="C12450" s="6">
        <v>210</v>
      </c>
      <c r="D12450" s="7">
        <v>105.19</v>
      </c>
    </row>
    <row r="12451" spans="1:5" x14ac:dyDescent="0.25">
      <c r="A12451" t="str">
        <f>HYPERLINK("https://www.773grp.com/globalSearch/100136J-MIL/page-1", "100136J-MIL")</f>
        <v>100136J-MIL</v>
      </c>
      <c r="B12451" s="3" t="str">
        <f>HYPERLINK("https://www.773grp.com/manufacturer/national-semiconductor?pageNo=122", "National Semiconductor")</f>
        <v>National Semiconductor</v>
      </c>
      <c r="C12451" s="6">
        <v>964</v>
      </c>
      <c r="D12451" s="7">
        <v>106.88</v>
      </c>
    </row>
    <row r="12452" spans="1:5" x14ac:dyDescent="0.25">
      <c r="A12452" t="str">
        <f>HYPERLINK("https://www.773grp.com/globalSearch/ADC08DL500CIVV-NOPB/page-1", "ADC08DL500CIVV-NOPB")</f>
        <v>ADC08DL500CIVV-NOPB</v>
      </c>
      <c r="B12452" s="3" t="str">
        <f>HYPERLINK("https://www.773grp.com/manufacturer/national-semiconductor?pageNo=123", "National Semiconductor")</f>
        <v>National Semiconductor</v>
      </c>
      <c r="C12452" s="6">
        <v>28</v>
      </c>
      <c r="D12452" s="7">
        <v>106.88</v>
      </c>
    </row>
    <row r="12453" spans="1:5" x14ac:dyDescent="0.25">
      <c r="A12453" t="str">
        <f>HYPERLINK("https://www.773grp.com/globalSearch/LMH6582YA-NOPB/page-1", "LMH6582YA-NOPB")</f>
        <v>LMH6582YA-NOPB</v>
      </c>
      <c r="B12453" s="3" t="str">
        <f>HYPERLINK("https://www.773grp.com/manufacturer/national-semiconductor?pageNo=124", "National Semiconductor")</f>
        <v>National Semiconductor</v>
      </c>
      <c r="C12453" s="6">
        <v>308</v>
      </c>
      <c r="D12453" s="7">
        <v>106.88</v>
      </c>
    </row>
    <row r="12454" spans="1:5" x14ac:dyDescent="0.25">
      <c r="A12454" t="str">
        <f>HYPERLINK("https://www.773grp.com/globalSearch/ADC08DL500CIVV-NOPB/page-1", "ADC08DL500CIVV-NOPB")</f>
        <v>ADC08DL500CIVV-NOPB</v>
      </c>
      <c r="B12454" s="3" t="str">
        <f>HYPERLINK("https://www.773grp.com/manufacturer/national-semiconductor?pageNo=125", "National Semiconductor")</f>
        <v>National Semiconductor</v>
      </c>
      <c r="C12454" s="6">
        <v>127</v>
      </c>
      <c r="D12454" s="7">
        <v>106.88</v>
      </c>
    </row>
    <row r="12455" spans="1:5" x14ac:dyDescent="0.25">
      <c r="A12455" t="str">
        <f>HYPERLINK("https://www.773grp.com/globalSearch/LF444MD-883/page-1", "LF444MD-883")</f>
        <v>LF444MD-883</v>
      </c>
      <c r="B12455" s="3" t="str">
        <f>HYPERLINK("https://www.773grp.com/manufacturer/national-semiconductor?pageNo=126", "National Semiconductor")</f>
        <v>National Semiconductor</v>
      </c>
      <c r="C12455" s="6">
        <v>43</v>
      </c>
      <c r="D12455" s="7">
        <v>107.03</v>
      </c>
      <c r="E12455" t="s">
        <v>13</v>
      </c>
    </row>
    <row r="12456" spans="1:5" x14ac:dyDescent="0.25">
      <c r="A12456" t="str">
        <f>HYPERLINK("https://www.773grp.com/globalSearch/LF444MD-883/page-1", "LF444MD-883")</f>
        <v>LF444MD-883</v>
      </c>
      <c r="B12456" s="3" t="str">
        <f>HYPERLINK("https://www.773grp.com/manufacturer/national-semiconductor?pageNo=127", "National Semiconductor")</f>
        <v>National Semiconductor</v>
      </c>
      <c r="C12456" s="6">
        <v>124</v>
      </c>
      <c r="D12456" s="7">
        <v>107.03</v>
      </c>
      <c r="E12456" t="s">
        <v>13</v>
      </c>
    </row>
    <row r="12457" spans="1:5" x14ac:dyDescent="0.25">
      <c r="A12457" t="str">
        <f>HYPERLINK("https://www.773grp.com/globalSearch/9340FM/page-1", "9340FM")</f>
        <v>9340FM</v>
      </c>
      <c r="B12457" s="3" t="str">
        <f>HYPERLINK("https://www.773grp.com/manufacturer/national-semiconductor?pageNo=128", "National Semiconductor")</f>
        <v>National Semiconductor</v>
      </c>
      <c r="C12457" s="6">
        <v>1072</v>
      </c>
      <c r="D12457" s="7">
        <v>108.29</v>
      </c>
    </row>
    <row r="12458" spans="1:5" x14ac:dyDescent="0.25">
      <c r="A12458" t="str">
        <f>HYPERLINK("https://www.773grp.com/globalSearch/LMH6583YA-NOPB/page-1", "LMH6583YA-NOPB")</f>
        <v>LMH6583YA-NOPB</v>
      </c>
      <c r="B12458" s="3" t="str">
        <f>HYPERLINK("https://www.773grp.com/manufacturer/national-semiconductor?pageNo=129", "National Semiconductor")</f>
        <v>National Semiconductor</v>
      </c>
      <c r="C12458" s="6">
        <v>220</v>
      </c>
      <c r="D12458" s="7">
        <v>108.39</v>
      </c>
    </row>
    <row r="12459" spans="1:5" x14ac:dyDescent="0.25">
      <c r="A12459" t="str">
        <f>HYPERLINK("https://www.773grp.com/globalSearch/LMH6583YA/page-1", "LMH6583YA")</f>
        <v>LMH6583YA</v>
      </c>
      <c r="B12459" s="3" t="str">
        <f>HYPERLINK("https://www.773grp.com/manufacturer/national-semiconductor?pageNo=130", "National Semiconductor")</f>
        <v>National Semiconductor</v>
      </c>
      <c r="C12459" s="6">
        <v>4433</v>
      </c>
      <c r="D12459" s="7">
        <v>108.39</v>
      </c>
      <c r="E12459" t="s">
        <v>56</v>
      </c>
    </row>
    <row r="12460" spans="1:5" x14ac:dyDescent="0.25">
      <c r="A12460" t="str">
        <f>HYPERLINK("https://www.773grp.com/globalSearch/LMH6583YA-NOPB/page-1", "LMH6583YA-NOPB")</f>
        <v>LMH6583YA-NOPB</v>
      </c>
      <c r="B12460" s="3" t="str">
        <f>HYPERLINK("https://www.773grp.com/manufacturer/national-semiconductor?pageNo=131", "National Semiconductor")</f>
        <v>National Semiconductor</v>
      </c>
      <c r="C12460" s="6">
        <v>391</v>
      </c>
      <c r="D12460" s="7">
        <v>108.39</v>
      </c>
    </row>
    <row r="12461" spans="1:5" x14ac:dyDescent="0.25">
      <c r="A12461" t="str">
        <f>HYPERLINK("https://www.773grp.com/globalSearch/LM119E-883/page-1", "LM119E-883")</f>
        <v>LM119E-883</v>
      </c>
      <c r="B12461" s="3" t="str">
        <f>HYPERLINK("https://www.773grp.com/manufacturer/national-semiconductor?pageNo=132", "National Semiconductor")</f>
        <v>National Semiconductor</v>
      </c>
      <c r="C12461" s="6">
        <v>15</v>
      </c>
      <c r="D12461" s="7">
        <v>108.48</v>
      </c>
    </row>
    <row r="12462" spans="1:5" x14ac:dyDescent="0.25">
      <c r="A12462" t="str">
        <f>HYPERLINK("https://www.773grp.com/globalSearch/JM38510-34603BSA/page-1", "JM38510-34603BSA")</f>
        <v>JM38510-34603BSA</v>
      </c>
      <c r="B12462" s="3" t="str">
        <f>HYPERLINK("https://www.773grp.com/manufacturer/national-semiconductor?pageNo=133", "National Semiconductor")</f>
        <v>National Semiconductor</v>
      </c>
      <c r="C12462" s="6">
        <v>637</v>
      </c>
      <c r="D12462" s="7">
        <v>108.85</v>
      </c>
    </row>
    <row r="12463" spans="1:5" x14ac:dyDescent="0.25">
      <c r="A12463" t="str">
        <f>HYPERLINK("https://www.773grp.com/globalSearch/11C05DMQB/page-1", "11C05DMQB")</f>
        <v>11C05DMQB</v>
      </c>
      <c r="B12463" s="3" t="str">
        <f>HYPERLINK("https://www.773grp.com/manufacturer/national-semiconductor?pageNo=134", "National Semiconductor")</f>
        <v>National Semiconductor</v>
      </c>
      <c r="C12463" s="6">
        <v>1936</v>
      </c>
      <c r="D12463" s="7">
        <v>109.39</v>
      </c>
      <c r="E12463" t="s">
        <v>54</v>
      </c>
    </row>
    <row r="12464" spans="1:5" x14ac:dyDescent="0.25">
      <c r="A12464" t="str">
        <f>HYPERLINK("https://www.773grp.com/globalSearch/11C06DCQB/page-1", "11C06DCQB")</f>
        <v>11C06DCQB</v>
      </c>
      <c r="B12464" s="3" t="str">
        <f>HYPERLINK("https://www.773grp.com/manufacturer/national-semiconductor?pageNo=1", "National Semiconductor")</f>
        <v>National Semiconductor</v>
      </c>
      <c r="C12464" s="6">
        <v>65</v>
      </c>
      <c r="D12464" s="7">
        <v>109.39</v>
      </c>
    </row>
    <row r="12465" spans="1:5" x14ac:dyDescent="0.25">
      <c r="A12465" t="str">
        <f>HYPERLINK("https://www.773grp.com/globalSearch/JM38510-34401B2A/page-1", "JM38510-34401B2A")</f>
        <v>JM38510-34401B2A</v>
      </c>
      <c r="B12465" s="3" t="str">
        <f>HYPERLINK("https://www.773grp.com/manufacturer/national-semiconductor?pageNo=2", "National Semiconductor")</f>
        <v>National Semiconductor</v>
      </c>
      <c r="C12465" s="6">
        <v>323</v>
      </c>
      <c r="D12465" s="7">
        <v>110.5</v>
      </c>
    </row>
    <row r="12466" spans="1:5" x14ac:dyDescent="0.25">
      <c r="A12466" t="str">
        <f>HYPERLINK("https://www.773grp.com/globalSearch/JM38510-34402B2A/page-1", "JM38510-34402B2A")</f>
        <v>JM38510-34402B2A</v>
      </c>
      <c r="B12466" s="3" t="str">
        <f>HYPERLINK("https://www.773grp.com/manufacturer/national-semiconductor?pageNo=3", "National Semiconductor")</f>
        <v>National Semiconductor</v>
      </c>
      <c r="C12466" s="6">
        <v>790</v>
      </c>
      <c r="D12466" s="7">
        <v>110.5</v>
      </c>
    </row>
    <row r="12467" spans="1:5" x14ac:dyDescent="0.25">
      <c r="A12467" t="str">
        <f>HYPERLINK("https://www.773grp.com/globalSearch/JM38510-34404B2A/page-1", "JM38510-34404B2A")</f>
        <v>JM38510-34404B2A</v>
      </c>
      <c r="B12467" s="3" t="str">
        <f>HYPERLINK("https://www.773grp.com/manufacturer/national-semiconductor?pageNo=4", "National Semiconductor")</f>
        <v>National Semiconductor</v>
      </c>
      <c r="C12467" s="6">
        <v>789</v>
      </c>
      <c r="D12467" s="7">
        <v>110.5</v>
      </c>
    </row>
    <row r="12468" spans="1:5" x14ac:dyDescent="0.25">
      <c r="A12468" t="str">
        <f>HYPERLINK("https://www.773grp.com/globalSearch/LM3102EVAL/page-1", "LM3102EVAL")</f>
        <v>LM3102EVAL</v>
      </c>
      <c r="B12468" s="3" t="str">
        <f>HYPERLINK("https://www.773grp.com/manufacturer/national-semiconductor?pageNo=5", "National Semiconductor")</f>
        <v>National Semiconductor</v>
      </c>
      <c r="C12468" s="6">
        <v>6</v>
      </c>
      <c r="D12468" s="7">
        <v>110.54</v>
      </c>
    </row>
    <row r="12469" spans="1:5" x14ac:dyDescent="0.25">
      <c r="A12469" t="str">
        <f>HYPERLINK("https://www.773grp.com/globalSearch/LM760J-883/page-1", "LM760J-883")</f>
        <v>LM760J-883</v>
      </c>
      <c r="B12469" s="3" t="str">
        <f>HYPERLINK("https://www.773grp.com/manufacturer/national-semiconductor?pageNo=6", "National Semiconductor")</f>
        <v>National Semiconductor</v>
      </c>
      <c r="C12469" s="6">
        <v>9</v>
      </c>
      <c r="D12469" s="7">
        <v>111.09</v>
      </c>
      <c r="E12469" t="s">
        <v>9</v>
      </c>
    </row>
    <row r="12470" spans="1:5" x14ac:dyDescent="0.25">
      <c r="A12470" t="str">
        <f>HYPERLINK("https://www.773grp.com/globalSearch/CLC406AJ-QML/page-1", "CLC406AJ-QML")</f>
        <v>CLC406AJ-QML</v>
      </c>
      <c r="B12470" s="3" t="str">
        <f>HYPERLINK("https://www.773grp.com/manufacturer/national-semiconductor?pageNo=7", "National Semiconductor")</f>
        <v>National Semiconductor</v>
      </c>
      <c r="C12470" s="6">
        <v>188</v>
      </c>
      <c r="D12470" s="7">
        <v>111.26</v>
      </c>
      <c r="E12470" t="s">
        <v>13</v>
      </c>
    </row>
    <row r="12471" spans="1:5" x14ac:dyDescent="0.25">
      <c r="A12471" t="str">
        <f>HYPERLINK("https://www.773grp.com/globalSearch/5962-9583301Q2A/page-1", "5962-9583301Q2A")</f>
        <v>5962-9583301Q2A</v>
      </c>
      <c r="B12471" s="3" t="str">
        <f>HYPERLINK("https://www.773grp.com/manufacturer/national-semiconductor?pageNo=8", "National Semiconductor")</f>
        <v>National Semiconductor</v>
      </c>
      <c r="C12471" s="6">
        <v>13</v>
      </c>
      <c r="D12471" s="7">
        <v>112.25</v>
      </c>
      <c r="E12471" t="s">
        <v>21</v>
      </c>
    </row>
    <row r="12472" spans="1:5" x14ac:dyDescent="0.25">
      <c r="A12472" t="str">
        <f>HYPERLINK("https://www.773grp.com/globalSearch/DP8420AVX-25/page-1", "DP8420AVX-25")</f>
        <v>DP8420AVX-25</v>
      </c>
      <c r="B12472" s="3" t="str">
        <f>HYPERLINK("https://www.773grp.com/manufacturer/national-semiconductor?pageNo=9", "National Semiconductor")</f>
        <v>National Semiconductor</v>
      </c>
      <c r="C12472" s="6">
        <v>500</v>
      </c>
      <c r="D12472" s="7">
        <v>112.5</v>
      </c>
    </row>
    <row r="12473" spans="1:5" x14ac:dyDescent="0.25">
      <c r="A12473" t="str">
        <f>HYPERLINK("https://www.773grp.com/globalSearch/CLC532AJ-QML/page-1", "CLC532AJ-QML")</f>
        <v>CLC532AJ-QML</v>
      </c>
      <c r="B12473" s="3" t="str">
        <f>HYPERLINK("https://www.773grp.com/manufacturer/national-semiconductor?pageNo=10", "National Semiconductor")</f>
        <v>National Semiconductor</v>
      </c>
      <c r="C12473" s="6">
        <v>559</v>
      </c>
      <c r="D12473" s="7">
        <v>113.74</v>
      </c>
      <c r="E12473" t="s">
        <v>56</v>
      </c>
    </row>
    <row r="12474" spans="1:5" x14ac:dyDescent="0.25">
      <c r="A12474" t="str">
        <f>HYPERLINK("https://www.773grp.com/globalSearch/TMS320DM642AGDK6/page-1", "TMS320DM642AGDK6")</f>
        <v>TMS320DM642AGDK6</v>
      </c>
      <c r="B12474" s="3" t="str">
        <f>HYPERLINK("https://www.773grp.com/manufacturer/national-semiconductor?pageNo=11", "National Semiconductor")</f>
        <v>National Semiconductor</v>
      </c>
      <c r="C12474" s="6">
        <v>59</v>
      </c>
      <c r="D12474" s="7">
        <v>114.13</v>
      </c>
    </row>
    <row r="12475" spans="1:5" x14ac:dyDescent="0.25">
      <c r="A12475" t="str">
        <f>HYPERLINK("https://www.773grp.com/globalSearch/TMS320DM642AZDK6/page-1", "TMS320DM642AZDK6")</f>
        <v>TMS320DM642AZDK6</v>
      </c>
      <c r="B12475" s="3" t="str">
        <f>HYPERLINK("https://www.773grp.com/manufacturer/national-semiconductor?pageNo=12", "National Semiconductor")</f>
        <v>National Semiconductor</v>
      </c>
      <c r="C12475" s="6">
        <v>360</v>
      </c>
      <c r="D12475" s="7">
        <v>114.13</v>
      </c>
    </row>
    <row r="12476" spans="1:5" x14ac:dyDescent="0.25">
      <c r="A12476" t="str">
        <f>HYPERLINK("https://www.773grp.com/globalSearch/LM1536H-SMD/page-1", "LM1536H-SMD")</f>
        <v>LM1536H-SMD</v>
      </c>
      <c r="B12476" s="3" t="str">
        <f>HYPERLINK("https://www.773grp.com/manufacturer/national-semiconductor?pageNo=13", "National Semiconductor")</f>
        <v>National Semiconductor</v>
      </c>
      <c r="C12476" s="6">
        <v>47</v>
      </c>
      <c r="D12476" s="7">
        <v>114.19</v>
      </c>
    </row>
    <row r="12477" spans="1:5" x14ac:dyDescent="0.25">
      <c r="A12477" t="str">
        <f>HYPERLINK("https://www.773grp.com/globalSearch/4731BDM/page-1", "4731BDM")</f>
        <v>4731BDM</v>
      </c>
      <c r="B12477" s="3" t="str">
        <f>HYPERLINK("https://www.773grp.com/manufacturer/national-semiconductor?pageNo=14", "National Semiconductor")</f>
        <v>National Semiconductor</v>
      </c>
      <c r="C12477" s="6">
        <v>119</v>
      </c>
      <c r="D12477" s="7">
        <v>114.66</v>
      </c>
    </row>
    <row r="12478" spans="1:5" x14ac:dyDescent="0.25">
      <c r="A12478" t="str">
        <f>HYPERLINK("https://www.773grp.com/globalSearch/ADC14C105CISQE-NOPB/page-1", "ADC14C105CISQE-NOPB")</f>
        <v>ADC14C105CISQE-NOPB</v>
      </c>
      <c r="B12478" s="3" t="str">
        <f>HYPERLINK("https://www.773grp.com/manufacturer/national-semiconductor?pageNo=15", "National Semiconductor")</f>
        <v>National Semiconductor</v>
      </c>
      <c r="C12478" s="6">
        <v>500</v>
      </c>
      <c r="D12478" s="7">
        <v>115.31</v>
      </c>
    </row>
    <row r="12479" spans="1:5" x14ac:dyDescent="0.25">
      <c r="A12479" t="str">
        <f>HYPERLINK("https://www.773grp.com/globalSearch/ADC14C105CISQE-NOPB/page-1", "ADC14C105CISQE-NOPB")</f>
        <v>ADC14C105CISQE-NOPB</v>
      </c>
      <c r="B12479" s="3" t="str">
        <f>HYPERLINK("https://www.773grp.com/manufacturer/national-semiconductor?pageNo=16", "National Semiconductor")</f>
        <v>National Semiconductor</v>
      </c>
      <c r="C12479" s="6">
        <v>578</v>
      </c>
      <c r="D12479" s="7">
        <v>115.31</v>
      </c>
    </row>
    <row r="12480" spans="1:5" x14ac:dyDescent="0.25">
      <c r="A12480" t="str">
        <f>HYPERLINK("https://www.773grp.com/globalSearch/93S41DM/page-1", "93S41DM")</f>
        <v>93S41DM</v>
      </c>
      <c r="B12480" s="3" t="str">
        <f>HYPERLINK("https://www.773grp.com/manufacturer/national-semiconductor?pageNo=17", "National Semiconductor")</f>
        <v>National Semiconductor</v>
      </c>
      <c r="C12480" s="6">
        <v>947</v>
      </c>
      <c r="D12480" s="7">
        <v>115.54</v>
      </c>
    </row>
    <row r="12481" spans="1:5" x14ac:dyDescent="0.25">
      <c r="A12481" t="str">
        <f>HYPERLINK("https://www.773grp.com/globalSearch/LM123K-883/page-1", "LM123K-883")</f>
        <v>LM123K-883</v>
      </c>
      <c r="B12481" s="3" t="str">
        <f>HYPERLINK("https://www.773grp.com/manufacturer/national-semiconductor?pageNo=18", "National Semiconductor")</f>
        <v>National Semiconductor</v>
      </c>
      <c r="C12481" s="6">
        <v>384</v>
      </c>
      <c r="D12481" s="7">
        <v>115.81</v>
      </c>
      <c r="E12481" t="s">
        <v>28</v>
      </c>
    </row>
    <row r="12482" spans="1:5" x14ac:dyDescent="0.25">
      <c r="A12482" t="str">
        <f>HYPERLINK("https://www.773grp.com/globalSearch/ADC11DS105CISQE-NOPB/page-1", "ADC11DS105CISQE-NOPB")</f>
        <v>ADC11DS105CISQE-NOPB</v>
      </c>
      <c r="B12482" s="3" t="str">
        <f>HYPERLINK("https://www.773grp.com/manufacturer/national-semiconductor?pageNo=19", "National Semiconductor")</f>
        <v>National Semiconductor</v>
      </c>
      <c r="C12482" s="6">
        <v>999</v>
      </c>
      <c r="D12482" s="7">
        <v>116.44</v>
      </c>
    </row>
    <row r="12483" spans="1:5" x14ac:dyDescent="0.25">
      <c r="A12483" t="str">
        <f>HYPERLINK("https://www.773grp.com/globalSearch/JD54F193BFA/page-1", "JD54F193BFA")</f>
        <v>JD54F193BFA</v>
      </c>
      <c r="B12483" s="3" t="str">
        <f>HYPERLINK("https://www.773grp.com/manufacturer/national-semiconductor?pageNo=20", "National Semiconductor")</f>
        <v>National Semiconductor</v>
      </c>
      <c r="C12483" s="6">
        <v>52</v>
      </c>
      <c r="D12483" s="7">
        <v>116.44</v>
      </c>
    </row>
    <row r="12484" spans="1:5" x14ac:dyDescent="0.25">
      <c r="A12484" t="str">
        <f>HYPERLINK("https://www.773grp.com/globalSearch/93415FMQB/page-1", "93415FMQB")</f>
        <v>93415FMQB</v>
      </c>
      <c r="B12484" s="3" t="str">
        <f>HYPERLINK("https://www.773grp.com/manufacturer/national-semiconductor?pageNo=21", "National Semiconductor")</f>
        <v>National Semiconductor</v>
      </c>
      <c r="C12484" s="6">
        <v>3341</v>
      </c>
      <c r="D12484" s="7">
        <v>117.41</v>
      </c>
      <c r="E12484" t="s">
        <v>75</v>
      </c>
    </row>
    <row r="12485" spans="1:5" x14ac:dyDescent="0.25">
      <c r="A12485" t="str">
        <f>HYPERLINK("https://www.773grp.com/globalSearch/LM109K-883/page-1", "LM109K-883")</f>
        <v>LM109K-883</v>
      </c>
      <c r="B12485" s="3" t="str">
        <f>HYPERLINK("https://www.773grp.com/manufacturer/national-semiconductor?pageNo=22", "National Semiconductor")</f>
        <v>National Semiconductor</v>
      </c>
      <c r="C12485" s="6">
        <v>650</v>
      </c>
      <c r="D12485" s="7">
        <v>117.79</v>
      </c>
      <c r="E12485" t="s">
        <v>28</v>
      </c>
    </row>
    <row r="12486" spans="1:5" x14ac:dyDescent="0.25">
      <c r="A12486" t="str">
        <f>HYPERLINK("https://www.773grp.com/globalSearch/LH0053CG/page-1", "LH0053CG")</f>
        <v>LH0053CG</v>
      </c>
      <c r="B12486" s="3" t="str">
        <f>HYPERLINK("https://www.773grp.com/manufacturer/national-semiconductor?pageNo=23", "National Semiconductor")</f>
        <v>National Semiconductor</v>
      </c>
      <c r="C12486" s="6">
        <v>2</v>
      </c>
      <c r="D12486" s="7">
        <v>117.84</v>
      </c>
      <c r="E12486" t="s">
        <v>6</v>
      </c>
    </row>
    <row r="12487" spans="1:5" x14ac:dyDescent="0.25">
      <c r="A12487" t="str">
        <f>HYPERLINK("https://www.773grp.com/globalSearch/TMS320C6412AGNZ6/page-1", "TMS320C6412AGNZ6")</f>
        <v>TMS320C6412AGNZ6</v>
      </c>
      <c r="B12487" s="3" t="str">
        <f>HYPERLINK("https://www.773grp.com/manufacturer/national-semiconductor?pageNo=24", "National Semiconductor")</f>
        <v>National Semiconductor</v>
      </c>
      <c r="C12487" s="6">
        <v>640</v>
      </c>
      <c r="D12487" s="7">
        <v>117.9</v>
      </c>
    </row>
    <row r="12488" spans="1:5" x14ac:dyDescent="0.25">
      <c r="A12488" t="str">
        <f>HYPERLINK("https://www.773grp.com/globalSearch/JM38510-02104BDA/page-1", "JM38510-02104BDA")</f>
        <v>JM38510-02104BDA</v>
      </c>
      <c r="B12488" s="3" t="str">
        <f>HYPERLINK("https://www.773grp.com/manufacturer/national-semiconductor?pageNo=25", "National Semiconductor")</f>
        <v>National Semiconductor</v>
      </c>
      <c r="C12488" s="6">
        <v>141</v>
      </c>
      <c r="D12488" s="7">
        <v>118.13</v>
      </c>
    </row>
    <row r="12489" spans="1:5" x14ac:dyDescent="0.25">
      <c r="A12489" t="str">
        <f>HYPERLINK("https://www.773grp.com/globalSearch/5962-9167201QEA/page-1", "5962-9167201QEA")</f>
        <v>5962-9167201QEA</v>
      </c>
      <c r="B12489" s="3" t="str">
        <f>HYPERLINK("https://www.773grp.com/manufacturer/national-semiconductor?pageNo=26", "National Semiconductor")</f>
        <v>National Semiconductor</v>
      </c>
      <c r="C12489" s="6">
        <v>38</v>
      </c>
      <c r="D12489" s="7">
        <v>118.41</v>
      </c>
      <c r="E12489" t="s">
        <v>7</v>
      </c>
    </row>
    <row r="12490" spans="1:5" x14ac:dyDescent="0.25">
      <c r="A12490" t="str">
        <f>HYPERLINK("https://www.773grp.com/globalSearch/JM54AC299BSA/page-1", "JM54AC299BSA")</f>
        <v>JM54AC299BSA</v>
      </c>
      <c r="B12490" s="3" t="str">
        <f>HYPERLINK("https://www.773grp.com/manufacturer/national-semiconductor?pageNo=27", "National Semiconductor")</f>
        <v>National Semiconductor</v>
      </c>
      <c r="C12490" s="6">
        <v>142</v>
      </c>
      <c r="D12490" s="7">
        <v>118.69</v>
      </c>
    </row>
    <row r="12491" spans="1:5" x14ac:dyDescent="0.25">
      <c r="A12491" t="str">
        <f>HYPERLINK("https://www.773grp.com/globalSearch/CLC409AJ-QML/page-1", "CLC409AJ-QML")</f>
        <v>CLC409AJ-QML</v>
      </c>
      <c r="B12491" s="3" t="str">
        <f>HYPERLINK("https://www.773grp.com/manufacturer/national-semiconductor?pageNo=28", "National Semiconductor")</f>
        <v>National Semiconductor</v>
      </c>
      <c r="C12491" s="6">
        <v>781</v>
      </c>
      <c r="D12491" s="7">
        <v>118.75</v>
      </c>
      <c r="E12491" t="s">
        <v>13</v>
      </c>
    </row>
    <row r="12492" spans="1:5" x14ac:dyDescent="0.25">
      <c r="A12492" t="str">
        <f>HYPERLINK("https://www.773grp.com/globalSearch/CLC410AJ-QML/page-1", "CLC410AJ-QML")</f>
        <v>CLC410AJ-QML</v>
      </c>
      <c r="B12492" s="3" t="str">
        <f>HYPERLINK("https://www.773grp.com/manufacturer/national-semiconductor?pageNo=29", "National Semiconductor")</f>
        <v>National Semiconductor</v>
      </c>
      <c r="C12492" s="6">
        <v>135</v>
      </c>
      <c r="D12492" s="7">
        <v>118.75</v>
      </c>
      <c r="E12492" t="s">
        <v>13</v>
      </c>
    </row>
    <row r="12493" spans="1:5" x14ac:dyDescent="0.25">
      <c r="A12493" t="str">
        <f>HYPERLINK("https://www.773grp.com/globalSearch/CLC431AJ-QML/page-1", "CLC431AJ-QML")</f>
        <v>CLC431AJ-QML</v>
      </c>
      <c r="B12493" s="3" t="str">
        <f>HYPERLINK("https://www.773grp.com/manufacturer/national-semiconductor?pageNo=30", "National Semiconductor")</f>
        <v>National Semiconductor</v>
      </c>
      <c r="C12493" s="6">
        <v>329</v>
      </c>
      <c r="D12493" s="7">
        <v>118.75</v>
      </c>
    </row>
    <row r="12494" spans="1:5" x14ac:dyDescent="0.25">
      <c r="A12494" t="str">
        <f>HYPERLINK("https://www.773grp.com/globalSearch/CLC520AJ-QML/page-1", "CLC520AJ-QML")</f>
        <v>CLC520AJ-QML</v>
      </c>
      <c r="B12494" s="3" t="str">
        <f>HYPERLINK("https://www.773grp.com/manufacturer/national-semiconductor?pageNo=31", "National Semiconductor")</f>
        <v>National Semiconductor</v>
      </c>
      <c r="C12494" s="6">
        <v>257</v>
      </c>
      <c r="D12494" s="7">
        <v>118.75</v>
      </c>
      <c r="E12494" t="s">
        <v>18</v>
      </c>
    </row>
    <row r="12495" spans="1:5" x14ac:dyDescent="0.25">
      <c r="A12495" t="str">
        <f>HYPERLINK("https://www.773grp.com/globalSearch/LM3406MHEVAL/page-1", "LM3406MHEVAL")</f>
        <v>LM3406MHEVAL</v>
      </c>
      <c r="B12495" s="3" t="str">
        <f>HYPERLINK("https://www.773grp.com/manufacturer/national-semiconductor?pageNo=32", "National Semiconductor")</f>
        <v>National Semiconductor</v>
      </c>
      <c r="C12495" s="6">
        <v>1</v>
      </c>
      <c r="D12495" s="7">
        <v>119.53</v>
      </c>
    </row>
    <row r="12496" spans="1:5" x14ac:dyDescent="0.25">
      <c r="A12496" t="str">
        <f>HYPERLINK("https://www.773grp.com/globalSearch/LMH6555EVAL/page-1", "LMH6555EVAL")</f>
        <v>LMH6555EVAL</v>
      </c>
      <c r="B12496" s="3" t="str">
        <f>HYPERLINK("https://www.773grp.com/manufacturer/national-semiconductor?pageNo=33", "National Semiconductor")</f>
        <v>National Semiconductor</v>
      </c>
      <c r="C12496" s="6">
        <v>1</v>
      </c>
      <c r="D12496" s="7">
        <v>119.53</v>
      </c>
    </row>
    <row r="12497" spans="1:5" x14ac:dyDescent="0.25">
      <c r="A12497" t="str">
        <f>HYPERLINK("https://www.773grp.com/globalSearch/SD007EVK-NOPB/page-1", "SD007EVK-NOPB")</f>
        <v>SD007EVK-NOPB</v>
      </c>
      <c r="B12497" s="3" t="str">
        <f>HYPERLINK("https://www.773grp.com/manufacturer/national-semiconductor?pageNo=34", "National Semiconductor")</f>
        <v>National Semiconductor</v>
      </c>
      <c r="C12497" s="6">
        <v>1</v>
      </c>
      <c r="D12497" s="7">
        <v>119.53</v>
      </c>
    </row>
    <row r="12498" spans="1:5" x14ac:dyDescent="0.25">
      <c r="A12498" t="str">
        <f>HYPERLINK("https://www.773grp.com/globalSearch/DP83257VF/page-1", "DP83257VF")</f>
        <v>DP83257VF</v>
      </c>
      <c r="B12498" s="3" t="str">
        <f>HYPERLINK("https://www.773grp.com/manufacturer/national-semiconductor?pageNo=35", "National Semiconductor")</f>
        <v>National Semiconductor</v>
      </c>
      <c r="C12498" s="6">
        <v>2123</v>
      </c>
      <c r="D12498" s="7">
        <v>119.81</v>
      </c>
      <c r="E12498" t="s">
        <v>71</v>
      </c>
    </row>
    <row r="12499" spans="1:5" x14ac:dyDescent="0.25">
      <c r="A12499" t="str">
        <f>HYPERLINK("https://www.773grp.com/globalSearch/JM38510-34304B2A/page-1", "JM38510-34304B2A")</f>
        <v>JM38510-34304B2A</v>
      </c>
      <c r="B12499" s="3" t="str">
        <f>HYPERLINK("https://www.773grp.com/manufacturer/national-semiconductor?pageNo=36", "National Semiconductor")</f>
        <v>National Semiconductor</v>
      </c>
      <c r="C12499" s="6">
        <v>57</v>
      </c>
      <c r="D12499" s="7">
        <v>120.38</v>
      </c>
    </row>
    <row r="12500" spans="1:5" x14ac:dyDescent="0.25">
      <c r="A12500" t="str">
        <f>HYPERLINK("https://www.773grp.com/globalSearch/LMH6586VS-NOPB/page-1", "LMH6586VS-NOPB")</f>
        <v>LMH6586VS-NOPB</v>
      </c>
      <c r="B12500" s="3" t="str">
        <f>HYPERLINK("https://www.773grp.com/manufacturer/national-semiconductor?pageNo=37", "National Semiconductor")</f>
        <v>National Semiconductor</v>
      </c>
      <c r="C12500" s="6">
        <v>3070</v>
      </c>
      <c r="D12500" s="7">
        <v>120.38</v>
      </c>
    </row>
    <row r="12501" spans="1:5" x14ac:dyDescent="0.25">
      <c r="A12501" t="str">
        <f>HYPERLINK("https://www.773grp.com/globalSearch/LMH6586VS-NOPB/page-1", "LMH6586VS-NOPB")</f>
        <v>LMH6586VS-NOPB</v>
      </c>
      <c r="B12501" s="3" t="str">
        <f>HYPERLINK("https://www.773grp.com/manufacturer/national-semiconductor?pageNo=38", "National Semiconductor")</f>
        <v>National Semiconductor</v>
      </c>
      <c r="C12501" s="6">
        <v>3885</v>
      </c>
      <c r="D12501" s="7">
        <v>120.38</v>
      </c>
    </row>
    <row r="12502" spans="1:5" x14ac:dyDescent="0.25">
      <c r="A12502" t="str">
        <f>HYPERLINK("https://www.773grp.com/globalSearch/JD9936BDA/page-1", "JD9936BDA")</f>
        <v>JD9936BDA</v>
      </c>
      <c r="B12502" s="3" t="str">
        <f>HYPERLINK("https://www.773grp.com/manufacturer/national-semiconductor?pageNo=39", "National Semiconductor")</f>
        <v>National Semiconductor</v>
      </c>
      <c r="C12502" s="6">
        <v>169</v>
      </c>
      <c r="D12502" s="7">
        <v>121.21</v>
      </c>
    </row>
    <row r="12503" spans="1:5" x14ac:dyDescent="0.25">
      <c r="A12503" t="str">
        <f>HYPERLINK("https://www.773grp.com/globalSearch/LM120K-15/page-1", "LM120K-15")</f>
        <v>LM120K-15</v>
      </c>
      <c r="B12503" s="3" t="str">
        <f>HYPERLINK("https://www.773grp.com/manufacturer/national-semiconductor?pageNo=40", "National Semiconductor")</f>
        <v>National Semiconductor</v>
      </c>
      <c r="C12503" s="6">
        <v>2337</v>
      </c>
      <c r="D12503" s="7">
        <v>122.21</v>
      </c>
      <c r="E12503" t="s">
        <v>65</v>
      </c>
    </row>
    <row r="12504" spans="1:5" x14ac:dyDescent="0.25">
      <c r="A12504" t="str">
        <f>HYPERLINK("https://www.773grp.com/globalSearch/LM140K-12-883/page-1", "LM140K-12-883")</f>
        <v>LM140K-12-883</v>
      </c>
      <c r="B12504" s="3" t="str">
        <f>HYPERLINK("https://www.773grp.com/manufacturer/national-semiconductor?pageNo=41", "National Semiconductor")</f>
        <v>National Semiconductor</v>
      </c>
      <c r="C12504" s="6">
        <v>130</v>
      </c>
      <c r="D12504" s="7">
        <v>122.29</v>
      </c>
      <c r="E12504" t="s">
        <v>28</v>
      </c>
    </row>
    <row r="12505" spans="1:5" x14ac:dyDescent="0.25">
      <c r="A12505" t="str">
        <f>HYPERLINK("https://www.773grp.com/globalSearch/ADC08DL502CIVV-NOPB/page-1", "ADC08DL502CIVV-NOPB")</f>
        <v>ADC08DL502CIVV-NOPB</v>
      </c>
      <c r="B12505" s="3" t="str">
        <f>HYPERLINK("https://www.773grp.com/manufacturer/national-semiconductor?pageNo=42", "National Semiconductor")</f>
        <v>National Semiconductor</v>
      </c>
      <c r="C12505" s="6">
        <v>18</v>
      </c>
      <c r="D12505" s="7">
        <v>122.35</v>
      </c>
    </row>
    <row r="12506" spans="1:5" x14ac:dyDescent="0.25">
      <c r="A12506" t="str">
        <f>HYPERLINK("https://www.773grp.com/globalSearch/LM138K-MIL/page-1", "LM138K-MIL")</f>
        <v>LM138K-MIL</v>
      </c>
      <c r="B12506" s="3" t="str">
        <f>HYPERLINK("https://www.773grp.com/manufacturer/national-semiconductor?pageNo=43", "National Semiconductor")</f>
        <v>National Semiconductor</v>
      </c>
      <c r="C12506" s="6">
        <v>43</v>
      </c>
      <c r="D12506" s="7">
        <v>122.76</v>
      </c>
      <c r="E12506" t="s">
        <v>22</v>
      </c>
    </row>
    <row r="12507" spans="1:5" x14ac:dyDescent="0.25">
      <c r="A12507" t="str">
        <f>HYPERLINK("https://www.773grp.com/globalSearch/JM54ACT240BSA/page-1", "JM54ACT240BSA")</f>
        <v>JM54ACT240BSA</v>
      </c>
      <c r="B12507" s="3" t="str">
        <f>HYPERLINK("https://www.773grp.com/manufacturer/national-semiconductor?pageNo=44", "National Semiconductor")</f>
        <v>National Semiconductor</v>
      </c>
      <c r="C12507" s="6">
        <v>7</v>
      </c>
      <c r="D12507" s="7">
        <v>122.9</v>
      </c>
    </row>
    <row r="12508" spans="1:5" x14ac:dyDescent="0.25">
      <c r="A12508" t="str">
        <f>HYPERLINK("https://www.773grp.com/globalSearch/DS7832W-883/page-1", "DS7832W-883")</f>
        <v>DS7832W-883</v>
      </c>
      <c r="B12508" s="3" t="str">
        <f>HYPERLINK("https://www.773grp.com/manufacturer/national-semiconductor?pageNo=45", "National Semiconductor")</f>
        <v>National Semiconductor</v>
      </c>
      <c r="C12508" s="6">
        <v>99</v>
      </c>
      <c r="D12508" s="7">
        <v>124.04</v>
      </c>
      <c r="E12508" t="s">
        <v>21</v>
      </c>
    </row>
    <row r="12509" spans="1:5" x14ac:dyDescent="0.25">
      <c r="A12509" t="str">
        <f>HYPERLINK("https://www.773grp.com/globalSearch/DP8409AN-2/page-1", "DP8409AN-2")</f>
        <v>DP8409AN-2</v>
      </c>
      <c r="B12509" s="3" t="str">
        <f>HYPERLINK("https://www.773grp.com/manufacturer/national-semiconductor?pageNo=46", "National Semiconductor")</f>
        <v>National Semiconductor</v>
      </c>
      <c r="C12509" s="6">
        <v>658</v>
      </c>
      <c r="D12509" s="7">
        <v>125.16</v>
      </c>
      <c r="E12509" t="s">
        <v>87</v>
      </c>
    </row>
    <row r="12510" spans="1:5" x14ac:dyDescent="0.25">
      <c r="A12510" t="str">
        <f>HYPERLINK("https://www.773grp.com/globalSearch/LP3878-ADJEVAL/page-1", "LP3878-ADJEVAL")</f>
        <v>LP3878-ADJEVAL</v>
      </c>
      <c r="B12510" s="3" t="str">
        <f>HYPERLINK("https://www.773grp.com/manufacturer/national-semiconductor?pageNo=47", "National Semiconductor")</f>
        <v>National Semiconductor</v>
      </c>
      <c r="C12510" s="6">
        <v>1</v>
      </c>
      <c r="D12510" s="7">
        <v>125.44</v>
      </c>
    </row>
    <row r="12511" spans="1:5" x14ac:dyDescent="0.25">
      <c r="A12511" t="str">
        <f>HYPERLINK("https://www.773grp.com/globalSearch/9403ASDMQB/page-1", "9403ASDMQB")</f>
        <v>9403ASDMQB</v>
      </c>
      <c r="B12511" s="3" t="str">
        <f>HYPERLINK("https://www.773grp.com/manufacturer/national-semiconductor?pageNo=48", "National Semiconductor")</f>
        <v>National Semiconductor</v>
      </c>
      <c r="C12511" s="6">
        <v>374</v>
      </c>
      <c r="D12511" s="7">
        <v>125.73</v>
      </c>
      <c r="E12511" t="s">
        <v>89</v>
      </c>
    </row>
    <row r="12512" spans="1:5" x14ac:dyDescent="0.25">
      <c r="A12512" t="str">
        <f>HYPERLINK("https://www.773grp.com/globalSearch/LM25061MM-2EVAL-NOPB/page-1", "LM25061MM-2EVAL-NOPB")</f>
        <v>LM25061MM-2EVAL-NOPB</v>
      </c>
      <c r="B12512" s="3" t="str">
        <f>HYPERLINK("https://www.773grp.com/manufacturer/national-semiconductor?pageNo=49", "National Semiconductor")</f>
        <v>National Semiconductor</v>
      </c>
      <c r="C12512" s="6">
        <v>6</v>
      </c>
      <c r="D12512" s="7">
        <v>126.11</v>
      </c>
    </row>
    <row r="12513" spans="1:5" x14ac:dyDescent="0.25">
      <c r="A12513" t="str">
        <f>HYPERLINK("https://www.773grp.com/globalSearch/JM38510-11704BYA/page-1", "JM38510-11704BYA")</f>
        <v>JM38510-11704BYA</v>
      </c>
      <c r="B12513" s="3" t="str">
        <f>HYPERLINK("https://www.773grp.com/manufacturer/national-semiconductor?pageNo=50", "National Semiconductor")</f>
        <v>National Semiconductor</v>
      </c>
      <c r="C12513" s="6">
        <v>18</v>
      </c>
      <c r="D12513" s="7">
        <v>126.56</v>
      </c>
      <c r="E12513" t="s">
        <v>22</v>
      </c>
    </row>
    <row r="12514" spans="1:5" x14ac:dyDescent="0.25">
      <c r="A12514" t="str">
        <f>HYPERLINK("https://www.773grp.com/globalSearch/DP8430V-33/page-1", "DP8430V-33")</f>
        <v>DP8430V-33</v>
      </c>
      <c r="B12514" s="3" t="str">
        <f>HYPERLINK("https://www.773grp.com/manufacturer/national-semiconductor?pageNo=51", "National Semiconductor")</f>
        <v>National Semiconductor</v>
      </c>
      <c r="C12514" s="6">
        <v>1345</v>
      </c>
      <c r="D12514" s="7">
        <v>127.13</v>
      </c>
      <c r="E12514" t="s">
        <v>87</v>
      </c>
    </row>
    <row r="12515" spans="1:5" x14ac:dyDescent="0.25">
      <c r="A12515" t="str">
        <f>HYPERLINK("https://www.773grp.com/globalSearch/LM2736XEVAL/page-1", "LM2736XEVAL")</f>
        <v>LM2736XEVAL</v>
      </c>
      <c r="B12515" s="3" t="str">
        <f>HYPERLINK("https://www.773grp.com/manufacturer/national-semiconductor?pageNo=52", "National Semiconductor")</f>
        <v>National Semiconductor</v>
      </c>
      <c r="C12515" s="6">
        <v>5</v>
      </c>
      <c r="D12515" s="7">
        <v>130.22999999999999</v>
      </c>
    </row>
    <row r="12516" spans="1:5" x14ac:dyDescent="0.25">
      <c r="A12516" t="str">
        <f>HYPERLINK("https://www.773grp.com/globalSearch/DP83932CVF-33/page-1", "DP83932CVF-33")</f>
        <v>DP83932CVF-33</v>
      </c>
      <c r="B12516" s="3" t="str">
        <f>HYPERLINK("https://www.773grp.com/manufacturer/national-semiconductor?pageNo=53", "National Semiconductor")</f>
        <v>National Semiconductor</v>
      </c>
      <c r="C12516" s="6">
        <v>461</v>
      </c>
      <c r="D12516" s="7">
        <v>131.25</v>
      </c>
      <c r="E12516" t="s">
        <v>71</v>
      </c>
    </row>
    <row r="12517" spans="1:5" x14ac:dyDescent="0.25">
      <c r="A12517" t="str">
        <f>HYPERLINK("https://www.773grp.com/globalSearch/DP8420V-33/page-1", "DP8420V-33")</f>
        <v>DP8420V-33</v>
      </c>
      <c r="B12517" s="3" t="str">
        <f>HYPERLINK("https://www.773grp.com/manufacturer/national-semiconductor?pageNo=54", "National Semiconductor")</f>
        <v>National Semiconductor</v>
      </c>
      <c r="C12517" s="6">
        <v>413</v>
      </c>
      <c r="D12517" s="7">
        <v>131.63</v>
      </c>
      <c r="E12517" t="s">
        <v>87</v>
      </c>
    </row>
    <row r="12518" spans="1:5" x14ac:dyDescent="0.25">
      <c r="A12518" t="str">
        <f>HYPERLINK("https://www.773grp.com/globalSearch/LM26480SQ-AAEV/page-1", "LM26480SQ-AAEV")</f>
        <v>LM26480SQ-AAEV</v>
      </c>
      <c r="B12518" s="3" t="str">
        <f>HYPERLINK("https://www.773grp.com/manufacturer/national-semiconductor?pageNo=55", "National Semiconductor")</f>
        <v>National Semiconductor</v>
      </c>
      <c r="C12518" s="6">
        <v>1</v>
      </c>
      <c r="D12518" s="7">
        <v>131.63</v>
      </c>
    </row>
    <row r="12519" spans="1:5" x14ac:dyDescent="0.25">
      <c r="A12519" t="str">
        <f>HYPERLINK("https://www.773grp.com/globalSearch/LM2842XMK-ADJEV/page-1", "LM2842XMK-ADJEV")</f>
        <v>LM2842XMK-ADJEV</v>
      </c>
      <c r="B12519" s="3" t="str">
        <f>HYPERLINK("https://www.773grp.com/manufacturer/national-semiconductor?pageNo=56", "National Semiconductor")</f>
        <v>National Semiconductor</v>
      </c>
      <c r="C12519" s="6">
        <v>2</v>
      </c>
      <c r="D12519" s="7">
        <v>133.03</v>
      </c>
    </row>
    <row r="12520" spans="1:5" x14ac:dyDescent="0.25">
      <c r="A12520" t="str">
        <f>HYPERLINK("https://www.773grp.com/globalSearch/5492FM/page-1", "5492FM")</f>
        <v>5492FM</v>
      </c>
      <c r="B12520" s="3" t="str">
        <f>HYPERLINK("https://www.773grp.com/manufacturer/national-semiconductor?pageNo=57", "National Semiconductor")</f>
        <v>National Semiconductor</v>
      </c>
      <c r="C12520" s="6">
        <v>23</v>
      </c>
      <c r="D12520" s="7">
        <v>133.6</v>
      </c>
    </row>
    <row r="12521" spans="1:5" x14ac:dyDescent="0.25">
      <c r="A12521" t="str">
        <f>HYPERLINK("https://www.773grp.com/globalSearch/CLC415AJ-QML/page-1", "CLC415AJ-QML")</f>
        <v>CLC415AJ-QML</v>
      </c>
      <c r="B12521" s="3" t="str">
        <f>HYPERLINK("https://www.773grp.com/manufacturer/national-semiconductor?pageNo=58", "National Semiconductor")</f>
        <v>National Semiconductor</v>
      </c>
      <c r="C12521" s="6">
        <v>174</v>
      </c>
      <c r="D12521" s="7">
        <v>135.93</v>
      </c>
      <c r="E12521" t="s">
        <v>18</v>
      </c>
    </row>
    <row r="12522" spans="1:5" x14ac:dyDescent="0.25">
      <c r="A12522" t="str">
        <f>HYPERLINK("https://www.773grp.com/globalSearch/LM5022EVAL/page-1", "LM5022EVAL")</f>
        <v>LM5022EVAL</v>
      </c>
      <c r="B12522" s="3" t="str">
        <f>HYPERLINK("https://www.773grp.com/manufacturer/national-semiconductor?pageNo=59", "National Semiconductor")</f>
        <v>National Semiconductor</v>
      </c>
      <c r="C12522" s="6">
        <v>5</v>
      </c>
      <c r="D12522" s="7">
        <v>136.4</v>
      </c>
    </row>
    <row r="12523" spans="1:5" x14ac:dyDescent="0.25">
      <c r="A12523" t="str">
        <f>HYPERLINK("https://www.773grp.com/globalSearch/9601FMQB/page-1", "9601FMQB")</f>
        <v>9601FMQB</v>
      </c>
      <c r="B12523" s="3" t="str">
        <f>HYPERLINK("https://www.773grp.com/manufacturer/national-semiconductor?pageNo=60", "National Semiconductor")</f>
        <v>National Semiconductor</v>
      </c>
      <c r="C12523" s="6">
        <v>50</v>
      </c>
      <c r="D12523" s="7">
        <v>137.81</v>
      </c>
      <c r="E12523" t="s">
        <v>54</v>
      </c>
    </row>
    <row r="12524" spans="1:5" x14ac:dyDescent="0.25">
      <c r="A12524" t="str">
        <f>HYPERLINK("https://www.773grp.com/globalSearch/LM20123EVAL/page-1", "LM20123EVAL")</f>
        <v>LM20123EVAL</v>
      </c>
      <c r="B12524" s="3" t="str">
        <f>HYPERLINK("https://www.773grp.com/manufacturer/national-semiconductor?pageNo=61", "National Semiconductor")</f>
        <v>National Semiconductor</v>
      </c>
      <c r="C12524" s="6">
        <v>3</v>
      </c>
      <c r="D12524" s="7">
        <v>137.81</v>
      </c>
    </row>
    <row r="12525" spans="1:5" x14ac:dyDescent="0.25">
      <c r="A12525" t="str">
        <f>HYPERLINK("https://www.773grp.com/globalSearch/LM20124EVAL/page-1", "LM20124EVAL")</f>
        <v>LM20124EVAL</v>
      </c>
      <c r="B12525" s="3" t="str">
        <f>HYPERLINK("https://www.773grp.com/manufacturer/national-semiconductor?pageNo=62", "National Semiconductor")</f>
        <v>National Semiconductor</v>
      </c>
      <c r="C12525" s="6">
        <v>1</v>
      </c>
      <c r="D12525" s="7">
        <v>137.81</v>
      </c>
    </row>
    <row r="12526" spans="1:5" x14ac:dyDescent="0.25">
      <c r="A12526" t="str">
        <f>HYPERLINK("https://www.773grp.com/globalSearch/LM20125EVAL/page-1", "LM20125EVAL")</f>
        <v>LM20125EVAL</v>
      </c>
      <c r="B12526" s="3" t="str">
        <f>HYPERLINK("https://www.773grp.com/manufacturer/national-semiconductor?pageNo=63", "National Semiconductor")</f>
        <v>National Semiconductor</v>
      </c>
      <c r="C12526" s="6">
        <v>11</v>
      </c>
      <c r="D12526" s="7">
        <v>137.81</v>
      </c>
    </row>
    <row r="12527" spans="1:5" x14ac:dyDescent="0.25">
      <c r="A12527" t="str">
        <f>HYPERLINK("https://www.773grp.com/globalSearch/LM20133EVAL/page-1", "LM20133EVAL")</f>
        <v>LM20133EVAL</v>
      </c>
      <c r="B12527" s="3" t="str">
        <f>HYPERLINK("https://www.773grp.com/manufacturer/national-semiconductor?pageNo=64", "National Semiconductor")</f>
        <v>National Semiconductor</v>
      </c>
      <c r="C12527" s="6">
        <v>4</v>
      </c>
      <c r="D12527" s="7">
        <v>137.81</v>
      </c>
    </row>
    <row r="12528" spans="1:5" x14ac:dyDescent="0.25">
      <c r="A12528" t="str">
        <f>HYPERLINK("https://www.773grp.com/globalSearch/LM20134EVAL/page-1", "LM20134EVAL")</f>
        <v>LM20134EVAL</v>
      </c>
      <c r="B12528" s="3" t="str">
        <f>HYPERLINK("https://www.773grp.com/manufacturer/national-semiconductor?pageNo=65", "National Semiconductor")</f>
        <v>National Semiconductor</v>
      </c>
      <c r="C12528" s="6">
        <v>5</v>
      </c>
      <c r="D12528" s="7">
        <v>137.81</v>
      </c>
    </row>
    <row r="12529" spans="1:4" x14ac:dyDescent="0.25">
      <c r="A12529" t="str">
        <f>HYPERLINK("https://www.773grp.com/globalSearch/LM20143EVAL/page-1", "LM20143EVAL")</f>
        <v>LM20143EVAL</v>
      </c>
      <c r="B12529" s="3" t="str">
        <f>HYPERLINK("https://www.773grp.com/manufacturer/national-semiconductor?pageNo=66", "National Semiconductor")</f>
        <v>National Semiconductor</v>
      </c>
      <c r="C12529" s="6">
        <v>1</v>
      </c>
      <c r="D12529" s="7">
        <v>137.81</v>
      </c>
    </row>
    <row r="12530" spans="1:4" x14ac:dyDescent="0.25">
      <c r="A12530" t="str">
        <f>HYPERLINK("https://www.773grp.com/globalSearch/LM20144EVAL/page-1", "LM20144EVAL")</f>
        <v>LM20144EVAL</v>
      </c>
      <c r="B12530" s="3" t="str">
        <f>HYPERLINK("https://www.773grp.com/manufacturer/national-semiconductor?pageNo=67", "National Semiconductor")</f>
        <v>National Semiconductor</v>
      </c>
      <c r="C12530" s="6">
        <v>5</v>
      </c>
      <c r="D12530" s="7">
        <v>137.81</v>
      </c>
    </row>
    <row r="12531" spans="1:4" x14ac:dyDescent="0.25">
      <c r="A12531" t="str">
        <f>HYPERLINK("https://www.773grp.com/globalSearch/LM20145EVAL/page-1", "LM20145EVAL")</f>
        <v>LM20145EVAL</v>
      </c>
      <c r="B12531" s="3" t="str">
        <f>HYPERLINK("https://www.773grp.com/manufacturer/national-semiconductor?pageNo=68", "National Semiconductor")</f>
        <v>National Semiconductor</v>
      </c>
      <c r="C12531" s="6">
        <v>7</v>
      </c>
      <c r="D12531" s="7">
        <v>137.81</v>
      </c>
    </row>
    <row r="12532" spans="1:4" x14ac:dyDescent="0.25">
      <c r="A12532" t="str">
        <f>HYPERLINK("https://www.773grp.com/globalSearch/LM20154EVAL/page-1", "LM20154EVAL")</f>
        <v>LM20154EVAL</v>
      </c>
      <c r="B12532" s="3" t="str">
        <f>HYPERLINK("https://www.773grp.com/manufacturer/national-semiconductor?pageNo=69", "National Semiconductor")</f>
        <v>National Semiconductor</v>
      </c>
      <c r="C12532" s="6">
        <v>12</v>
      </c>
      <c r="D12532" s="7">
        <v>137.81</v>
      </c>
    </row>
    <row r="12533" spans="1:4" x14ac:dyDescent="0.25">
      <c r="A12533" t="str">
        <f>HYPERLINK("https://www.773grp.com/globalSearch/LM20242EVAL-NOPB/page-1", "LM20242EVAL-NOPB")</f>
        <v>LM20242EVAL-NOPB</v>
      </c>
      <c r="B12533" s="3" t="str">
        <f>HYPERLINK("https://www.773grp.com/manufacturer/national-semiconductor?pageNo=70", "National Semiconductor")</f>
        <v>National Semiconductor</v>
      </c>
      <c r="C12533" s="6">
        <v>1</v>
      </c>
      <c r="D12533" s="7">
        <v>137.81</v>
      </c>
    </row>
    <row r="12534" spans="1:4" x14ac:dyDescent="0.25">
      <c r="A12534" t="str">
        <f>HYPERLINK("https://www.773grp.com/globalSearch/LM25005EVAL/page-1", "LM25005EVAL")</f>
        <v>LM25005EVAL</v>
      </c>
      <c r="B12534" s="3" t="str">
        <f>HYPERLINK("https://www.773grp.com/manufacturer/national-semiconductor?pageNo=71", "National Semiconductor")</f>
        <v>National Semiconductor</v>
      </c>
      <c r="C12534" s="6">
        <v>2</v>
      </c>
      <c r="D12534" s="7">
        <v>137.81</v>
      </c>
    </row>
    <row r="12535" spans="1:4" x14ac:dyDescent="0.25">
      <c r="A12535" t="str">
        <f>HYPERLINK("https://www.773grp.com/globalSearch/LM25007EVAL/page-1", "LM25007EVAL")</f>
        <v>LM25007EVAL</v>
      </c>
      <c r="B12535" s="3" t="str">
        <f>HYPERLINK("https://www.773grp.com/manufacturer/national-semiconductor?pageNo=72", "National Semiconductor")</f>
        <v>National Semiconductor</v>
      </c>
      <c r="C12535" s="6">
        <v>6</v>
      </c>
      <c r="D12535" s="7">
        <v>137.81</v>
      </c>
    </row>
    <row r="12536" spans="1:4" x14ac:dyDescent="0.25">
      <c r="A12536" t="str">
        <f>HYPERLINK("https://www.773grp.com/globalSearch/LM25010EVAL/page-1", "LM25010EVAL")</f>
        <v>LM25010EVAL</v>
      </c>
      <c r="B12536" s="3" t="str">
        <f>HYPERLINK("https://www.773grp.com/manufacturer/national-semiconductor?pageNo=73", "National Semiconductor")</f>
        <v>National Semiconductor</v>
      </c>
      <c r="C12536" s="6">
        <v>5</v>
      </c>
      <c r="D12536" s="7">
        <v>137.81</v>
      </c>
    </row>
    <row r="12537" spans="1:4" x14ac:dyDescent="0.25">
      <c r="A12537" t="str">
        <f>HYPERLINK("https://www.773grp.com/globalSearch/LM25088MH-2EVAL/page-1", "LM25088MH-2EVAL")</f>
        <v>LM25088MH-2EVAL</v>
      </c>
      <c r="B12537" s="3" t="str">
        <f>HYPERLINK("https://www.773grp.com/manufacturer/national-semiconductor?pageNo=74", "National Semiconductor")</f>
        <v>National Semiconductor</v>
      </c>
      <c r="C12537" s="6">
        <v>2</v>
      </c>
      <c r="D12537" s="7">
        <v>137.81</v>
      </c>
    </row>
    <row r="12538" spans="1:4" x14ac:dyDescent="0.25">
      <c r="A12538" t="str">
        <f>HYPERLINK("https://www.773grp.com/globalSearch/LM25574EVAL/page-1", "LM25574EVAL")</f>
        <v>LM25574EVAL</v>
      </c>
      <c r="B12538" s="3" t="str">
        <f>HYPERLINK("https://www.773grp.com/manufacturer/national-semiconductor?pageNo=75", "National Semiconductor")</f>
        <v>National Semiconductor</v>
      </c>
      <c r="C12538" s="6">
        <v>50</v>
      </c>
      <c r="D12538" s="7">
        <v>137.81</v>
      </c>
    </row>
    <row r="12539" spans="1:4" x14ac:dyDescent="0.25">
      <c r="A12539" t="str">
        <f>HYPERLINK("https://www.773grp.com/globalSearch/LM25575EVAL/page-1", "LM25575EVAL")</f>
        <v>LM25575EVAL</v>
      </c>
      <c r="B12539" s="3" t="str">
        <f>HYPERLINK("https://www.773grp.com/manufacturer/national-semiconductor?pageNo=76", "National Semiconductor")</f>
        <v>National Semiconductor</v>
      </c>
      <c r="C12539" s="6">
        <v>16</v>
      </c>
      <c r="D12539" s="7">
        <v>137.81</v>
      </c>
    </row>
    <row r="12540" spans="1:4" x14ac:dyDescent="0.25">
      <c r="A12540" t="str">
        <f>HYPERLINK("https://www.773grp.com/globalSearch/LM25576EVAL/page-1", "LM25576EVAL")</f>
        <v>LM25576EVAL</v>
      </c>
      <c r="B12540" s="3" t="str">
        <f>HYPERLINK("https://www.773grp.com/manufacturer/national-semiconductor?pageNo=77", "National Semiconductor")</f>
        <v>National Semiconductor</v>
      </c>
      <c r="C12540" s="6">
        <v>17</v>
      </c>
      <c r="D12540" s="7">
        <v>137.81</v>
      </c>
    </row>
    <row r="12541" spans="1:4" x14ac:dyDescent="0.25">
      <c r="A12541" t="str">
        <f>HYPERLINK("https://www.773grp.com/globalSearch/LM2593HVEVAL/page-1", "LM2593HVEVAL")</f>
        <v>LM2593HVEVAL</v>
      </c>
      <c r="B12541" s="3" t="str">
        <f>HYPERLINK("https://www.773grp.com/manufacturer/national-semiconductor?pageNo=78", "National Semiconductor")</f>
        <v>National Semiconductor</v>
      </c>
      <c r="C12541" s="6">
        <v>1</v>
      </c>
      <c r="D12541" s="7">
        <v>137.81</v>
      </c>
    </row>
    <row r="12542" spans="1:4" x14ac:dyDescent="0.25">
      <c r="A12542" t="str">
        <f>HYPERLINK("https://www.773grp.com/globalSearch/LM2623EV-NOPB/page-1", "LM2623EV-NOPB")</f>
        <v>LM2623EV-NOPB</v>
      </c>
      <c r="B12542" s="3" t="str">
        <f>HYPERLINK("https://www.773grp.com/manufacturer/national-semiconductor?pageNo=79", "National Semiconductor")</f>
        <v>National Semiconductor</v>
      </c>
      <c r="C12542" s="6">
        <v>1</v>
      </c>
      <c r="D12542" s="7">
        <v>137.81</v>
      </c>
    </row>
    <row r="12543" spans="1:4" x14ac:dyDescent="0.25">
      <c r="A12543" t="str">
        <f>HYPERLINK("https://www.773grp.com/globalSearch/LM26400YEVAL-NOPB/page-1", "LM26400YEVAL-NOPB")</f>
        <v>LM26400YEVAL-NOPB</v>
      </c>
      <c r="B12543" s="3" t="str">
        <f>HYPERLINK("https://www.773grp.com/manufacturer/national-semiconductor?pageNo=80", "National Semiconductor")</f>
        <v>National Semiconductor</v>
      </c>
      <c r="C12543" s="6">
        <v>5</v>
      </c>
      <c r="D12543" s="7">
        <v>137.81</v>
      </c>
    </row>
    <row r="12544" spans="1:4" x14ac:dyDescent="0.25">
      <c r="A12544" t="str">
        <f>HYPERLINK("https://www.773grp.com/globalSearch/LM2653-ADJEVAL/page-1", "LM2653-ADJEVAL")</f>
        <v>LM2653-ADJEVAL</v>
      </c>
      <c r="B12544" s="3" t="str">
        <f>HYPERLINK("https://www.773grp.com/manufacturer/national-semiconductor?pageNo=81", "National Semiconductor")</f>
        <v>National Semiconductor</v>
      </c>
      <c r="C12544" s="6">
        <v>2</v>
      </c>
      <c r="D12544" s="7">
        <v>137.81</v>
      </c>
    </row>
    <row r="12545" spans="1:4" x14ac:dyDescent="0.25">
      <c r="A12545" t="str">
        <f>HYPERLINK("https://www.773grp.com/globalSearch/LM2694EVAL/page-1", "LM2694EVAL")</f>
        <v>LM2694EVAL</v>
      </c>
      <c r="B12545" s="3" t="str">
        <f>HYPERLINK("https://www.773grp.com/manufacturer/national-semiconductor?pageNo=82", "National Semiconductor")</f>
        <v>National Semiconductor</v>
      </c>
      <c r="C12545" s="6">
        <v>1</v>
      </c>
      <c r="D12545" s="7">
        <v>137.81</v>
      </c>
    </row>
    <row r="12546" spans="1:4" x14ac:dyDescent="0.25">
      <c r="A12546" t="str">
        <f>HYPERLINK("https://www.773grp.com/globalSearch/LM2695EVAL/page-1", "LM2695EVAL")</f>
        <v>LM2695EVAL</v>
      </c>
      <c r="B12546" s="3" t="str">
        <f>HYPERLINK("https://www.773grp.com/manufacturer/national-semiconductor?pageNo=83", "National Semiconductor")</f>
        <v>National Semiconductor</v>
      </c>
      <c r="C12546" s="6">
        <v>1</v>
      </c>
      <c r="D12546" s="7">
        <v>137.81</v>
      </c>
    </row>
    <row r="12547" spans="1:4" x14ac:dyDescent="0.25">
      <c r="A12547" t="str">
        <f>HYPERLINK("https://www.773grp.com/globalSearch/LM2696EVAL/page-1", "LM2696EVAL")</f>
        <v>LM2696EVAL</v>
      </c>
      <c r="B12547" s="3" t="str">
        <f>HYPERLINK("https://www.773grp.com/manufacturer/national-semiconductor?pageNo=84", "National Semiconductor")</f>
        <v>National Semiconductor</v>
      </c>
      <c r="C12547" s="6">
        <v>1</v>
      </c>
      <c r="D12547" s="7">
        <v>137.81</v>
      </c>
    </row>
    <row r="12548" spans="1:4" x14ac:dyDescent="0.25">
      <c r="A12548" t="str">
        <f>HYPERLINK("https://www.773grp.com/globalSearch/LM2704EV/page-1", "LM2704EV")</f>
        <v>LM2704EV</v>
      </c>
      <c r="B12548" s="3" t="str">
        <f>HYPERLINK("https://www.773grp.com/manufacturer/national-semiconductor?pageNo=85", "National Semiconductor")</f>
        <v>National Semiconductor</v>
      </c>
      <c r="C12548" s="6">
        <v>7</v>
      </c>
      <c r="D12548" s="7">
        <v>137.81</v>
      </c>
    </row>
    <row r="12549" spans="1:4" x14ac:dyDescent="0.25">
      <c r="A12549" t="str">
        <f>HYPERLINK("https://www.773grp.com/globalSearch/LM27342SDEVAL/page-1", "LM27342SDEVAL")</f>
        <v>LM27342SDEVAL</v>
      </c>
      <c r="B12549" s="3" t="str">
        <f>HYPERLINK("https://www.773grp.com/manufacturer/national-semiconductor?pageNo=86", "National Semiconductor")</f>
        <v>National Semiconductor</v>
      </c>
      <c r="C12549" s="6">
        <v>3</v>
      </c>
      <c r="D12549" s="7">
        <v>137.81</v>
      </c>
    </row>
    <row r="12550" spans="1:4" x14ac:dyDescent="0.25">
      <c r="A12550" t="str">
        <f>HYPERLINK("https://www.773grp.com/globalSearch/LM2734ZEVAL-NOPB/page-1", "LM2734ZEVAL-NOPB")</f>
        <v>LM2734ZEVAL-NOPB</v>
      </c>
      <c r="B12550" s="3" t="str">
        <f>HYPERLINK("https://www.773grp.com/manufacturer/national-semiconductor?pageNo=87", "National Semiconductor")</f>
        <v>National Semiconductor</v>
      </c>
      <c r="C12550" s="6">
        <v>7</v>
      </c>
      <c r="D12550" s="7">
        <v>137.81</v>
      </c>
    </row>
    <row r="12551" spans="1:4" x14ac:dyDescent="0.25">
      <c r="A12551" t="str">
        <f>HYPERLINK("https://www.773grp.com/globalSearch/LM2735SD3.3EVAL/page-1", "LM2735SD3.3EVAL")</f>
        <v>LM2735SD3.3EVAL</v>
      </c>
      <c r="B12551" s="3" t="str">
        <f>HYPERLINK("https://www.773grp.com/manufacturer/national-semiconductor?pageNo=88", "National Semiconductor")</f>
        <v>National Semiconductor</v>
      </c>
      <c r="C12551" s="6">
        <v>1</v>
      </c>
      <c r="D12551" s="7">
        <v>137.81</v>
      </c>
    </row>
    <row r="12552" spans="1:4" x14ac:dyDescent="0.25">
      <c r="A12552" t="str">
        <f>HYPERLINK("https://www.773grp.com/globalSearch/LM2735XMFEVAL-NOPB/page-1", "LM2735XMFEVAL-NOPB")</f>
        <v>LM2735XMFEVAL-NOPB</v>
      </c>
      <c r="B12552" s="3" t="str">
        <f>HYPERLINK("https://www.773grp.com/manufacturer/national-semiconductor?pageNo=89", "National Semiconductor")</f>
        <v>National Semiconductor</v>
      </c>
      <c r="C12552" s="6">
        <v>1</v>
      </c>
      <c r="D12552" s="7">
        <v>137.81</v>
      </c>
    </row>
    <row r="12553" spans="1:4" x14ac:dyDescent="0.25">
      <c r="A12553" t="str">
        <f>HYPERLINK("https://www.773grp.com/globalSearch/LM2735XMYEVAL/page-1", "LM2735XMYEVAL")</f>
        <v>LM2735XMYEVAL</v>
      </c>
      <c r="B12553" s="3" t="str">
        <f>HYPERLINK("https://www.773grp.com/manufacturer/national-semiconductor?pageNo=90", "National Semiconductor")</f>
        <v>National Semiconductor</v>
      </c>
      <c r="C12553" s="6">
        <v>1</v>
      </c>
      <c r="D12553" s="7">
        <v>137.81</v>
      </c>
    </row>
    <row r="12554" spans="1:4" x14ac:dyDescent="0.25">
      <c r="A12554" t="str">
        <f>HYPERLINK("https://www.773grp.com/globalSearch/LM2735XSDEVAL/page-1", "LM2735XSDEVAL")</f>
        <v>LM2735XSDEVAL</v>
      </c>
      <c r="B12554" s="3" t="str">
        <f>HYPERLINK("https://www.773grp.com/manufacturer/national-semiconductor?pageNo=91", "National Semiconductor")</f>
        <v>National Semiconductor</v>
      </c>
      <c r="C12554" s="6">
        <v>1</v>
      </c>
      <c r="D12554" s="7">
        <v>137.81</v>
      </c>
    </row>
    <row r="12555" spans="1:4" x14ac:dyDescent="0.25">
      <c r="A12555" t="str">
        <f>HYPERLINK("https://www.773grp.com/globalSearch/LM2735YMFEVAL/page-1", "LM2735YMFEVAL")</f>
        <v>LM2735YMFEVAL</v>
      </c>
      <c r="B12555" s="3" t="str">
        <f>HYPERLINK("https://www.773grp.com/manufacturer/national-semiconductor?pageNo=92", "National Semiconductor")</f>
        <v>National Semiconductor</v>
      </c>
      <c r="C12555" s="6">
        <v>4</v>
      </c>
      <c r="D12555" s="7">
        <v>137.81</v>
      </c>
    </row>
    <row r="12556" spans="1:4" x14ac:dyDescent="0.25">
      <c r="A12556" t="str">
        <f>HYPERLINK("https://www.773grp.com/globalSearch/LM2735YMYEVAL/page-1", "LM2735YMYEVAL")</f>
        <v>LM2735YMYEVAL</v>
      </c>
      <c r="B12556" s="3" t="str">
        <f>HYPERLINK("https://www.773grp.com/manufacturer/national-semiconductor?pageNo=93", "National Semiconductor")</f>
        <v>National Semiconductor</v>
      </c>
      <c r="C12556" s="6">
        <v>1</v>
      </c>
      <c r="D12556" s="7">
        <v>137.81</v>
      </c>
    </row>
    <row r="12557" spans="1:4" x14ac:dyDescent="0.25">
      <c r="A12557" t="str">
        <f>HYPERLINK("https://www.773grp.com/globalSearch/LM2735YSDEVAL/page-1", "LM2735YSDEVAL")</f>
        <v>LM2735YSDEVAL</v>
      </c>
      <c r="B12557" s="3" t="str">
        <f>HYPERLINK("https://www.773grp.com/manufacturer/national-semiconductor?pageNo=94", "National Semiconductor")</f>
        <v>National Semiconductor</v>
      </c>
      <c r="C12557" s="6">
        <v>1</v>
      </c>
      <c r="D12557" s="7">
        <v>137.81</v>
      </c>
    </row>
    <row r="12558" spans="1:4" x14ac:dyDescent="0.25">
      <c r="A12558" t="str">
        <f>HYPERLINK("https://www.773grp.com/globalSearch/LM2831XMFEVAL/page-1", "LM2831XMFEVAL")</f>
        <v>LM2831XMFEVAL</v>
      </c>
      <c r="B12558" s="3" t="str">
        <f>HYPERLINK("https://www.773grp.com/manufacturer/national-semiconductor?pageNo=95", "National Semiconductor")</f>
        <v>National Semiconductor</v>
      </c>
      <c r="C12558" s="6">
        <v>5</v>
      </c>
      <c r="D12558" s="7">
        <v>137.81</v>
      </c>
    </row>
    <row r="12559" spans="1:4" x14ac:dyDescent="0.25">
      <c r="A12559" t="str">
        <f>HYPERLINK("https://www.773grp.com/globalSearch/LM2852Y-1.2EVAL/page-1", "LM2852Y-1.2EVAL")</f>
        <v>LM2852Y-1.2EVAL</v>
      </c>
      <c r="B12559" s="3" t="str">
        <f>HYPERLINK("https://www.773grp.com/manufacturer/national-semiconductor?pageNo=96", "National Semiconductor")</f>
        <v>National Semiconductor</v>
      </c>
      <c r="C12559" s="6">
        <v>9</v>
      </c>
      <c r="D12559" s="7">
        <v>137.81</v>
      </c>
    </row>
    <row r="12560" spans="1:4" x14ac:dyDescent="0.25">
      <c r="A12560" t="str">
        <f>HYPERLINK("https://www.773grp.com/globalSearch/LM2852Y-1.8EVAL/page-1", "LM2852Y-1.8EVAL")</f>
        <v>LM2852Y-1.8EVAL</v>
      </c>
      <c r="B12560" s="3" t="str">
        <f>HYPERLINK("https://www.773grp.com/manufacturer/national-semiconductor?pageNo=97", "National Semiconductor")</f>
        <v>National Semiconductor</v>
      </c>
      <c r="C12560" s="6">
        <v>8</v>
      </c>
      <c r="D12560" s="7">
        <v>137.81</v>
      </c>
    </row>
    <row r="12561" spans="1:4" x14ac:dyDescent="0.25">
      <c r="A12561" t="str">
        <f>HYPERLINK("https://www.773grp.com/globalSearch/LM2852Y-2.5EVAL/page-1", "LM2852Y-2.5EVAL")</f>
        <v>LM2852Y-2.5EVAL</v>
      </c>
      <c r="B12561" s="3" t="str">
        <f>HYPERLINK("https://www.773grp.com/manufacturer/national-semiconductor?pageNo=98", "National Semiconductor")</f>
        <v>National Semiconductor</v>
      </c>
      <c r="C12561" s="6">
        <v>9</v>
      </c>
      <c r="D12561" s="7">
        <v>137.81</v>
      </c>
    </row>
    <row r="12562" spans="1:4" x14ac:dyDescent="0.25">
      <c r="A12562" t="str">
        <f>HYPERLINK("https://www.773grp.com/globalSearch/LM2852Y-3.3EVAL/page-1", "LM2852Y-3.3EVAL")</f>
        <v>LM2852Y-3.3EVAL</v>
      </c>
      <c r="B12562" s="3" t="str">
        <f>HYPERLINK("https://www.773grp.com/manufacturer/national-semiconductor?pageNo=99", "National Semiconductor")</f>
        <v>National Semiconductor</v>
      </c>
      <c r="C12562" s="6">
        <v>9</v>
      </c>
      <c r="D12562" s="7">
        <v>137.81</v>
      </c>
    </row>
    <row r="12563" spans="1:4" x14ac:dyDescent="0.25">
      <c r="A12563" t="str">
        <f>HYPERLINK("https://www.773grp.com/globalSearch/LM3102EVAL-NOPB/page-1", "LM3102EVAL-NOPB")</f>
        <v>LM3102EVAL-NOPB</v>
      </c>
      <c r="B12563" s="3" t="str">
        <f>HYPERLINK("https://www.773grp.com/manufacturer/national-semiconductor?pageNo=100", "National Semiconductor")</f>
        <v>National Semiconductor</v>
      </c>
      <c r="C12563" s="6">
        <v>7</v>
      </c>
      <c r="D12563" s="7">
        <v>137.81</v>
      </c>
    </row>
    <row r="12564" spans="1:4" x14ac:dyDescent="0.25">
      <c r="A12564" t="str">
        <f>HYPERLINK("https://www.773grp.com/globalSearch/LM3402EVAL-NOPB/page-1", "LM3402EVAL-NOPB")</f>
        <v>LM3402EVAL-NOPB</v>
      </c>
      <c r="B12564" s="3" t="str">
        <f>HYPERLINK("https://www.773grp.com/manufacturer/national-semiconductor?pageNo=101", "National Semiconductor")</f>
        <v>National Semiconductor</v>
      </c>
      <c r="C12564" s="6">
        <v>3</v>
      </c>
      <c r="D12564" s="7">
        <v>137.81</v>
      </c>
    </row>
    <row r="12565" spans="1:4" x14ac:dyDescent="0.25">
      <c r="A12565" t="str">
        <f>HYPERLINK("https://www.773grp.com/globalSearch/LM3402HVEVAL-NOPB/page-1", "LM3402HVEVAL-NOPB")</f>
        <v>LM3402HVEVAL-NOPB</v>
      </c>
      <c r="B12565" s="3" t="str">
        <f>HYPERLINK("https://www.773grp.com/manufacturer/national-semiconductor?pageNo=102", "National Semiconductor")</f>
        <v>National Semiconductor</v>
      </c>
      <c r="C12565" s="6">
        <v>8</v>
      </c>
      <c r="D12565" s="7">
        <v>137.81</v>
      </c>
    </row>
    <row r="12566" spans="1:4" x14ac:dyDescent="0.25">
      <c r="A12566" t="str">
        <f>HYPERLINK("https://www.773grp.com/globalSearch/LM3404FSTDIMEV-NOPB/page-1", "LM3404FSTDIMEV-NOPB")</f>
        <v>LM3404FSTDIMEV-NOPB</v>
      </c>
      <c r="B12566" s="3" t="str">
        <f>HYPERLINK("https://www.773grp.com/manufacturer/national-semiconductor?pageNo=103", "National Semiconductor")</f>
        <v>National Semiconductor</v>
      </c>
      <c r="C12566" s="6">
        <v>6</v>
      </c>
      <c r="D12566" s="7">
        <v>137.81</v>
      </c>
    </row>
    <row r="12567" spans="1:4" x14ac:dyDescent="0.25">
      <c r="A12567" t="str">
        <f>HYPERLINK("https://www.773grp.com/globalSearch/LM3404HVEVAL-NOPB/page-1", "LM3404HVEVAL-NOPB")</f>
        <v>LM3404HVEVAL-NOPB</v>
      </c>
      <c r="B12567" s="3" t="str">
        <f>HYPERLINK("https://www.773grp.com/manufacturer/national-semiconductor?pageNo=104", "National Semiconductor")</f>
        <v>National Semiconductor</v>
      </c>
      <c r="C12567" s="6">
        <v>4</v>
      </c>
      <c r="D12567" s="7">
        <v>137.81</v>
      </c>
    </row>
    <row r="12568" spans="1:4" x14ac:dyDescent="0.25">
      <c r="A12568" t="str">
        <f>HYPERLINK("https://www.773grp.com/globalSearch/LM3404MREVAL/page-1", "LM3404MREVAL")</f>
        <v>LM3404MREVAL</v>
      </c>
      <c r="B12568" s="3" t="str">
        <f>HYPERLINK("https://www.773grp.com/manufacturer/national-semiconductor?pageNo=105", "National Semiconductor")</f>
        <v>National Semiconductor</v>
      </c>
      <c r="C12568" s="6">
        <v>6</v>
      </c>
      <c r="D12568" s="7">
        <v>137.81</v>
      </c>
    </row>
    <row r="12569" spans="1:4" x14ac:dyDescent="0.25">
      <c r="A12569" t="str">
        <f>HYPERLINK("https://www.773grp.com/globalSearch/LM3405AEVAL-NOPB/page-1", "LM3405AEVAL-NOPB")</f>
        <v>LM3405AEVAL-NOPB</v>
      </c>
      <c r="B12569" s="3" t="str">
        <f>HYPERLINK("https://www.773grp.com/manufacturer/national-semiconductor?pageNo=106", "National Semiconductor")</f>
        <v>National Semiconductor</v>
      </c>
      <c r="C12569" s="6">
        <v>1</v>
      </c>
      <c r="D12569" s="7">
        <v>137.81</v>
      </c>
    </row>
    <row r="12570" spans="1:4" x14ac:dyDescent="0.25">
      <c r="A12570" t="str">
        <f>HYPERLINK("https://www.773grp.com/globalSearch/LM3406MHEVAL-NOPB/page-1", "LM3406MHEVAL-NOPB")</f>
        <v>LM3406MHEVAL-NOPB</v>
      </c>
      <c r="B12570" s="3" t="str">
        <f>HYPERLINK("https://www.773grp.com/manufacturer/national-semiconductor?pageNo=107", "National Semiconductor")</f>
        <v>National Semiconductor</v>
      </c>
      <c r="C12570" s="6">
        <v>1</v>
      </c>
      <c r="D12570" s="7">
        <v>137.81</v>
      </c>
    </row>
    <row r="12571" spans="1:4" x14ac:dyDescent="0.25">
      <c r="A12571" t="str">
        <f>HYPERLINK("https://www.773grp.com/globalSearch/LM3407EVAL-NOPB/page-1", "LM3407EVAL-NOPB")</f>
        <v>LM3407EVAL-NOPB</v>
      </c>
      <c r="B12571" s="3" t="str">
        <f>HYPERLINK("https://www.773grp.com/manufacturer/national-semiconductor?pageNo=108", "National Semiconductor")</f>
        <v>National Semiconductor</v>
      </c>
      <c r="C12571" s="6">
        <v>6</v>
      </c>
      <c r="D12571" s="7">
        <v>137.81</v>
      </c>
    </row>
    <row r="12572" spans="1:4" x14ac:dyDescent="0.25">
      <c r="A12572" t="str">
        <f>HYPERLINK("https://www.773grp.com/globalSearch/LM3410XBSTOVPEV-NOPB/page-1", "LM3410XBSTOVPEV-NOPB")</f>
        <v>LM3410XBSTOVPEV-NOPB</v>
      </c>
      <c r="B12572" s="3" t="str">
        <f>HYPERLINK("https://www.773grp.com/manufacturer/national-semiconductor?pageNo=109", "National Semiconductor")</f>
        <v>National Semiconductor</v>
      </c>
      <c r="C12572" s="6">
        <v>1</v>
      </c>
      <c r="D12572" s="7">
        <v>137.81</v>
      </c>
    </row>
    <row r="12573" spans="1:4" x14ac:dyDescent="0.25">
      <c r="A12573" t="str">
        <f>HYPERLINK("https://www.773grp.com/globalSearch/LM3410XSDSEPEV-NOPB/page-1", "LM3410XSDSEPEV-NOPB")</f>
        <v>LM3410XSDSEPEV-NOPB</v>
      </c>
      <c r="B12573" s="3" t="str">
        <f>HYPERLINK("https://www.773grp.com/manufacturer/national-semiconductor?pageNo=110", "National Semiconductor")</f>
        <v>National Semiconductor</v>
      </c>
      <c r="C12573" s="6">
        <v>1</v>
      </c>
      <c r="D12573" s="7">
        <v>137.81</v>
      </c>
    </row>
    <row r="12574" spans="1:4" x14ac:dyDescent="0.25">
      <c r="A12574" t="str">
        <f>HYPERLINK("https://www.773grp.com/globalSearch/LM3414HVSDEVAL-NOPB/page-1", "LM3414HVSDEVAL-NOPB")</f>
        <v>LM3414HVSDEVAL-NOPB</v>
      </c>
      <c r="B12574" s="3" t="str">
        <f>HYPERLINK("https://www.773grp.com/manufacturer/national-semiconductor?pageNo=111", "National Semiconductor")</f>
        <v>National Semiconductor</v>
      </c>
      <c r="C12574" s="6">
        <v>5</v>
      </c>
      <c r="D12574" s="7">
        <v>137.81</v>
      </c>
    </row>
    <row r="12575" spans="1:4" x14ac:dyDescent="0.25">
      <c r="A12575" t="str">
        <f>HYPERLINK("https://www.773grp.com/globalSearch/LM34910EVAL/page-1", "LM34910EVAL")</f>
        <v>LM34910EVAL</v>
      </c>
      <c r="B12575" s="3" t="str">
        <f>HYPERLINK("https://www.773grp.com/manufacturer/national-semiconductor?pageNo=112", "National Semiconductor")</f>
        <v>National Semiconductor</v>
      </c>
      <c r="C12575" s="6">
        <v>1</v>
      </c>
      <c r="D12575" s="7">
        <v>137.81</v>
      </c>
    </row>
    <row r="12576" spans="1:4" x14ac:dyDescent="0.25">
      <c r="A12576" t="str">
        <f>HYPERLINK("https://www.773grp.com/globalSearch/LM34914EVAL/page-1", "LM34914EVAL")</f>
        <v>LM34914EVAL</v>
      </c>
      <c r="B12576" s="3" t="str">
        <f>HYPERLINK("https://www.773grp.com/manufacturer/national-semiconductor?pageNo=113", "National Semiconductor")</f>
        <v>National Semiconductor</v>
      </c>
      <c r="C12576" s="6">
        <v>1</v>
      </c>
      <c r="D12576" s="7">
        <v>137.81</v>
      </c>
    </row>
    <row r="12577" spans="1:4" x14ac:dyDescent="0.25">
      <c r="A12577" t="str">
        <f>HYPERLINK("https://www.773grp.com/globalSearch/LM34919EVAL/page-1", "LM34919EVAL")</f>
        <v>LM34919EVAL</v>
      </c>
      <c r="B12577" s="3" t="str">
        <f>HYPERLINK("https://www.773grp.com/manufacturer/national-semiconductor?pageNo=114", "National Semiconductor")</f>
        <v>National Semiconductor</v>
      </c>
      <c r="C12577" s="6">
        <v>2</v>
      </c>
      <c r="D12577" s="7">
        <v>137.81</v>
      </c>
    </row>
    <row r="12578" spans="1:4" x14ac:dyDescent="0.25">
      <c r="A12578" t="str">
        <f>HYPERLINK("https://www.773grp.com/globalSearch/LM3671LC-1.6EV/page-1", "LM3671LC-1.6EV")</f>
        <v>LM3671LC-1.6EV</v>
      </c>
      <c r="B12578" s="3" t="str">
        <f>HYPERLINK("https://www.773grp.com/manufacturer/national-semiconductor?pageNo=115", "National Semiconductor")</f>
        <v>National Semiconductor</v>
      </c>
      <c r="C12578" s="6">
        <v>7</v>
      </c>
      <c r="D12578" s="7">
        <v>137.81</v>
      </c>
    </row>
    <row r="12579" spans="1:4" x14ac:dyDescent="0.25">
      <c r="A12579" t="str">
        <f>HYPERLINK("https://www.773grp.com/globalSearch/LM5000EVAL/page-1", "LM5000EVAL")</f>
        <v>LM5000EVAL</v>
      </c>
      <c r="B12579" s="3" t="str">
        <f>HYPERLINK("https://www.773grp.com/manufacturer/national-semiconductor?pageNo=116", "National Semiconductor")</f>
        <v>National Semiconductor</v>
      </c>
      <c r="C12579" s="6">
        <v>1</v>
      </c>
      <c r="D12579" s="7">
        <v>137.81</v>
      </c>
    </row>
    <row r="12580" spans="1:4" x14ac:dyDescent="0.25">
      <c r="A12580" t="str">
        <f>HYPERLINK("https://www.773grp.com/globalSearch/LM5007SD-EVAL/page-1", "LM5007SD-EVAL")</f>
        <v>LM5007SD-EVAL</v>
      </c>
      <c r="B12580" s="3" t="str">
        <f>HYPERLINK("https://www.773grp.com/manufacturer/national-semiconductor?pageNo=117", "National Semiconductor")</f>
        <v>National Semiconductor</v>
      </c>
      <c r="C12580" s="6">
        <v>1</v>
      </c>
      <c r="D12580" s="7">
        <v>137.81</v>
      </c>
    </row>
    <row r="12581" spans="1:4" x14ac:dyDescent="0.25">
      <c r="A12581" t="str">
        <f>HYPERLINK("https://www.773grp.com/globalSearch/LM5008AEVAL-NOPB/page-1", "LM5008AEVAL-NOPB")</f>
        <v>LM5008AEVAL-NOPB</v>
      </c>
      <c r="B12581" s="3" t="str">
        <f>HYPERLINK("https://www.773grp.com/manufacturer/national-semiconductor?pageNo=118", "National Semiconductor")</f>
        <v>National Semiconductor</v>
      </c>
      <c r="C12581" s="6">
        <v>1</v>
      </c>
      <c r="D12581" s="7">
        <v>137.81</v>
      </c>
    </row>
    <row r="12582" spans="1:4" x14ac:dyDescent="0.25">
      <c r="A12582" t="str">
        <f>HYPERLINK("https://www.773grp.com/globalSearch/LM5009AEVAL-NOPB/page-1", "LM5009AEVAL-NOPB")</f>
        <v>LM5009AEVAL-NOPB</v>
      </c>
      <c r="B12582" s="3" t="str">
        <f>HYPERLINK("https://www.773grp.com/manufacturer/national-semiconductor?pageNo=119", "National Semiconductor")</f>
        <v>National Semiconductor</v>
      </c>
      <c r="C12582" s="6">
        <v>5</v>
      </c>
      <c r="D12582" s="7">
        <v>137.81</v>
      </c>
    </row>
    <row r="12583" spans="1:4" x14ac:dyDescent="0.25">
      <c r="A12583" t="str">
        <f>HYPERLINK("https://www.773grp.com/globalSearch/LM5009EVAL-NOPB/page-1", "LM5009EVAL-NOPB")</f>
        <v>LM5009EVAL-NOPB</v>
      </c>
      <c r="B12583" s="3" t="str">
        <f>HYPERLINK("https://www.773grp.com/manufacturer/national-semiconductor?pageNo=120", "National Semiconductor")</f>
        <v>National Semiconductor</v>
      </c>
      <c r="C12583" s="6">
        <v>6</v>
      </c>
      <c r="D12583" s="7">
        <v>137.81</v>
      </c>
    </row>
    <row r="12584" spans="1:4" x14ac:dyDescent="0.25">
      <c r="A12584" t="str">
        <f>HYPERLINK("https://www.773grp.com/globalSearch/LM5010AEVAL-NOPB/page-1", "LM5010AEVAL-NOPB")</f>
        <v>LM5010AEVAL-NOPB</v>
      </c>
      <c r="B12584" s="3" t="str">
        <f>HYPERLINK("https://www.773grp.com/manufacturer/national-semiconductor?pageNo=121", "National Semiconductor")</f>
        <v>National Semiconductor</v>
      </c>
      <c r="C12584" s="6">
        <v>2</v>
      </c>
      <c r="D12584" s="7">
        <v>137.81</v>
      </c>
    </row>
    <row r="12585" spans="1:4" x14ac:dyDescent="0.25">
      <c r="A12585" t="str">
        <f>HYPERLINK("https://www.773grp.com/globalSearch/LM5067EVAL/page-1", "LM5067EVAL")</f>
        <v>LM5067EVAL</v>
      </c>
      <c r="B12585" s="3" t="str">
        <f>HYPERLINK("https://www.773grp.com/manufacturer/national-semiconductor?pageNo=122", "National Semiconductor")</f>
        <v>National Semiconductor</v>
      </c>
      <c r="C12585" s="6">
        <v>1</v>
      </c>
      <c r="D12585" s="7">
        <v>137.81</v>
      </c>
    </row>
    <row r="12586" spans="1:4" x14ac:dyDescent="0.25">
      <c r="A12586" t="str">
        <f>HYPERLINK("https://www.773grp.com/globalSearch/LM5115AEVAL/page-1", "LM5115AEVAL")</f>
        <v>LM5115AEVAL</v>
      </c>
      <c r="B12586" s="3" t="str">
        <f>HYPERLINK("https://www.773grp.com/manufacturer/national-semiconductor?pageNo=123", "National Semiconductor")</f>
        <v>National Semiconductor</v>
      </c>
      <c r="C12586" s="6">
        <v>1</v>
      </c>
      <c r="D12586" s="7">
        <v>137.81</v>
      </c>
    </row>
    <row r="12587" spans="1:4" x14ac:dyDescent="0.25">
      <c r="A12587" t="str">
        <f>HYPERLINK("https://www.773grp.com/globalSearch/LM5574EVAL/page-1", "LM5574EVAL")</f>
        <v>LM5574EVAL</v>
      </c>
      <c r="B12587" s="3" t="str">
        <f>HYPERLINK("https://www.773grp.com/manufacturer/national-semiconductor?pageNo=124", "National Semiconductor")</f>
        <v>National Semiconductor</v>
      </c>
      <c r="C12587" s="6">
        <v>19</v>
      </c>
      <c r="D12587" s="7">
        <v>137.81</v>
      </c>
    </row>
    <row r="12588" spans="1:4" x14ac:dyDescent="0.25">
      <c r="A12588" t="str">
        <f>HYPERLINK("https://www.773grp.com/globalSearch/LM5575EVAL/page-1", "LM5575EVAL")</f>
        <v>LM5575EVAL</v>
      </c>
      <c r="B12588" s="3" t="str">
        <f>HYPERLINK("https://www.773grp.com/manufacturer/national-semiconductor?pageNo=125", "National Semiconductor")</f>
        <v>National Semiconductor</v>
      </c>
      <c r="C12588" s="6">
        <v>12</v>
      </c>
      <c r="D12588" s="7">
        <v>137.81</v>
      </c>
    </row>
    <row r="12589" spans="1:4" x14ac:dyDescent="0.25">
      <c r="A12589" t="str">
        <f>HYPERLINK("https://www.773grp.com/globalSearch/LMH6555EVAL-NOPB/page-1", "LMH6555EVAL-NOPB")</f>
        <v>LMH6555EVAL-NOPB</v>
      </c>
      <c r="B12589" s="3" t="str">
        <f>HYPERLINK("https://www.773grp.com/manufacturer/national-semiconductor?pageNo=126", "National Semiconductor")</f>
        <v>National Semiconductor</v>
      </c>
      <c r="C12589" s="6">
        <v>2</v>
      </c>
      <c r="D12589" s="7">
        <v>137.81</v>
      </c>
    </row>
    <row r="12590" spans="1:4" x14ac:dyDescent="0.25">
      <c r="A12590" t="str">
        <f>HYPERLINK("https://www.773grp.com/globalSearch/LMP8645MKEVAL-NOPB/page-1", "LMP8645MKEVAL-NOPB")</f>
        <v>LMP8645MKEVAL-NOPB</v>
      </c>
      <c r="B12590" s="3" t="str">
        <f>HYPERLINK("https://www.773grp.com/manufacturer/national-semiconductor?pageNo=127", "National Semiconductor")</f>
        <v>National Semiconductor</v>
      </c>
      <c r="C12590" s="6">
        <v>4</v>
      </c>
      <c r="D12590" s="7">
        <v>137.81</v>
      </c>
    </row>
    <row r="12591" spans="1:4" x14ac:dyDescent="0.25">
      <c r="A12591" t="str">
        <f>HYPERLINK("https://www.773grp.com/globalSearch/LMZ10503EXTEVAL-NOPB/page-1", "LMZ10503EXTEVAL-NOPB")</f>
        <v>LMZ10503EXTEVAL-NOPB</v>
      </c>
      <c r="B12591" s="3" t="str">
        <f>HYPERLINK("https://www.773grp.com/manufacturer/national-semiconductor?pageNo=128", "National Semiconductor")</f>
        <v>National Semiconductor</v>
      </c>
      <c r="C12591" s="6">
        <v>7</v>
      </c>
      <c r="D12591" s="7">
        <v>137.81</v>
      </c>
    </row>
    <row r="12592" spans="1:4" x14ac:dyDescent="0.25">
      <c r="A12592" t="str">
        <f>HYPERLINK("https://www.773grp.com/globalSearch/LMZ10504EXTEVAL-NOPB/page-1", "LMZ10504EXTEVAL-NOPB")</f>
        <v>LMZ10504EXTEVAL-NOPB</v>
      </c>
      <c r="B12592" s="3" t="str">
        <f>HYPERLINK("https://www.773grp.com/manufacturer/national-semiconductor?pageNo=129", "National Semiconductor")</f>
        <v>National Semiconductor</v>
      </c>
      <c r="C12592" s="6">
        <v>8</v>
      </c>
      <c r="D12592" s="7">
        <v>137.81</v>
      </c>
    </row>
    <row r="12593" spans="1:4" x14ac:dyDescent="0.25">
      <c r="A12593" t="str">
        <f>HYPERLINK("https://www.773grp.com/globalSearch/LMZ10505EXTEVAL-NOPB/page-1", "LMZ10505EXTEVAL-NOPB")</f>
        <v>LMZ10505EXTEVAL-NOPB</v>
      </c>
      <c r="B12593" s="3" t="str">
        <f>HYPERLINK("https://www.773grp.com/manufacturer/national-semiconductor?pageNo=130", "National Semiconductor")</f>
        <v>National Semiconductor</v>
      </c>
      <c r="C12593" s="6">
        <v>12</v>
      </c>
      <c r="D12593" s="7">
        <v>137.81</v>
      </c>
    </row>
    <row r="12594" spans="1:4" x14ac:dyDescent="0.25">
      <c r="A12594" t="str">
        <f>HYPERLINK("https://www.773grp.com/globalSearch/LMZ12003EXTEVAL-NOPB/page-1", "LMZ12003EXTEVAL-NOPB")</f>
        <v>LMZ12003EXTEVAL-NOPB</v>
      </c>
      <c r="B12594" s="3" t="str">
        <f>HYPERLINK("https://www.773grp.com/manufacturer/national-semiconductor?pageNo=131", "National Semiconductor")</f>
        <v>National Semiconductor</v>
      </c>
      <c r="C12594" s="6">
        <v>8</v>
      </c>
      <c r="D12594" s="7">
        <v>137.81</v>
      </c>
    </row>
    <row r="12595" spans="1:4" x14ac:dyDescent="0.25">
      <c r="A12595" t="str">
        <f>HYPERLINK("https://www.773grp.com/globalSearch/LMZ14201EXTEVAL-NOPB/page-1", "LMZ14201EXTEVAL-NOPB")</f>
        <v>LMZ14201EXTEVAL-NOPB</v>
      </c>
      <c r="B12595" s="3" t="str">
        <f>HYPERLINK("https://www.773grp.com/manufacturer/national-semiconductor?pageNo=132", "National Semiconductor")</f>
        <v>National Semiconductor</v>
      </c>
      <c r="C12595" s="6">
        <v>13</v>
      </c>
      <c r="D12595" s="7">
        <v>137.81</v>
      </c>
    </row>
    <row r="12596" spans="1:4" x14ac:dyDescent="0.25">
      <c r="A12596" t="str">
        <f>HYPERLINK("https://www.773grp.com/globalSearch/LMZ14202EXTEVAL-NOPB/page-1", "LMZ14202EXTEVAL-NOPB")</f>
        <v>LMZ14202EXTEVAL-NOPB</v>
      </c>
      <c r="B12596" s="3" t="str">
        <f>HYPERLINK("https://www.773grp.com/manufacturer/national-semiconductor?pageNo=133", "National Semiconductor")</f>
        <v>National Semiconductor</v>
      </c>
      <c r="C12596" s="6">
        <v>12</v>
      </c>
      <c r="D12596" s="7">
        <v>137.81</v>
      </c>
    </row>
    <row r="12597" spans="1:4" x14ac:dyDescent="0.25">
      <c r="A12597" t="str">
        <f>HYPERLINK("https://www.773grp.com/globalSearch/LMZ14203EXTEVAL-NOPB/page-1", "LMZ14203EXTEVAL-NOPB")</f>
        <v>LMZ14203EXTEVAL-NOPB</v>
      </c>
      <c r="B12597" s="3" t="str">
        <f>HYPERLINK("https://www.773grp.com/manufacturer/national-semiconductor?pageNo=134", "National Semiconductor")</f>
        <v>National Semiconductor</v>
      </c>
      <c r="C12597" s="6">
        <v>6</v>
      </c>
      <c r="D12597" s="7">
        <v>137.81</v>
      </c>
    </row>
    <row r="12598" spans="1:4" x14ac:dyDescent="0.25">
      <c r="A12598" t="str">
        <f>HYPERLINK("https://www.773grp.com/globalSearch/LMZ22008EVAL-NOPB/page-1", "LMZ22008EVAL-NOPB")</f>
        <v>LMZ22008EVAL-NOPB</v>
      </c>
      <c r="B12598" s="3" t="str">
        <f>HYPERLINK("https://www.773grp.com/manufacturer/national-semiconductor?pageNo=1", "National Semiconductor")</f>
        <v>National Semiconductor</v>
      </c>
      <c r="C12598" s="6">
        <v>3</v>
      </c>
      <c r="D12598" s="7">
        <v>137.81</v>
      </c>
    </row>
    <row r="12599" spans="1:4" x14ac:dyDescent="0.25">
      <c r="A12599" t="str">
        <f>HYPERLINK("https://www.773grp.com/globalSearch/LMZ22010EVAL-NOPB/page-1", "LMZ22010EVAL-NOPB")</f>
        <v>LMZ22010EVAL-NOPB</v>
      </c>
      <c r="B12599" s="3" t="str">
        <f>HYPERLINK("https://www.773grp.com/manufacturer/national-semiconductor?pageNo=2", "National Semiconductor")</f>
        <v>National Semiconductor</v>
      </c>
      <c r="C12599" s="6">
        <v>3</v>
      </c>
      <c r="D12599" s="7">
        <v>137.81</v>
      </c>
    </row>
    <row r="12600" spans="1:4" x14ac:dyDescent="0.25">
      <c r="A12600" t="str">
        <f>HYPERLINK("https://www.773grp.com/globalSearch/LP38501ATJ-EV/page-1", "LP38501ATJ-EV")</f>
        <v>LP38501ATJ-EV</v>
      </c>
      <c r="B12600" s="3" t="str">
        <f>HYPERLINK("https://www.773grp.com/manufacturer/national-semiconductor?pageNo=3", "National Semiconductor")</f>
        <v>National Semiconductor</v>
      </c>
      <c r="C12600" s="6">
        <v>5</v>
      </c>
      <c r="D12600" s="7">
        <v>137.81</v>
      </c>
    </row>
    <row r="12601" spans="1:4" x14ac:dyDescent="0.25">
      <c r="A12601" t="str">
        <f>HYPERLINK("https://www.773grp.com/globalSearch/LP38841EVAL/page-1", "LP38841EVAL")</f>
        <v>LP38841EVAL</v>
      </c>
      <c r="B12601" s="3" t="str">
        <f>HYPERLINK("https://www.773grp.com/manufacturer/national-semiconductor?pageNo=4", "National Semiconductor")</f>
        <v>National Semiconductor</v>
      </c>
      <c r="C12601" s="6">
        <v>1</v>
      </c>
      <c r="D12601" s="7">
        <v>137.81</v>
      </c>
    </row>
    <row r="12602" spans="1:4" x14ac:dyDescent="0.25">
      <c r="A12602" t="str">
        <f>HYPERLINK("https://www.773grp.com/globalSearch/LP38852EVAL/page-1", "LP38852EVAL")</f>
        <v>LP38852EVAL</v>
      </c>
      <c r="B12602" s="3" t="str">
        <f>HYPERLINK("https://www.773grp.com/manufacturer/national-semiconductor?pageNo=5", "National Semiconductor")</f>
        <v>National Semiconductor</v>
      </c>
      <c r="C12602" s="6">
        <v>8</v>
      </c>
      <c r="D12602" s="7">
        <v>137.81</v>
      </c>
    </row>
    <row r="12603" spans="1:4" x14ac:dyDescent="0.25">
      <c r="A12603" t="str">
        <f>HYPERLINK("https://www.773grp.com/globalSearch/LP38853EVAL/page-1", "LP38853EVAL")</f>
        <v>LP38853EVAL</v>
      </c>
      <c r="B12603" s="3" t="str">
        <f>HYPERLINK("https://www.773grp.com/manufacturer/national-semiconductor?pageNo=6", "National Semiconductor")</f>
        <v>National Semiconductor</v>
      </c>
      <c r="C12603" s="6">
        <v>2</v>
      </c>
      <c r="D12603" s="7">
        <v>137.81</v>
      </c>
    </row>
    <row r="12604" spans="1:4" x14ac:dyDescent="0.25">
      <c r="A12604" t="str">
        <f>HYPERLINK("https://www.773grp.com/globalSearch/LP5951MF-1.8EV/page-1", "LP5951MF-1.8EV")</f>
        <v>LP5951MF-1.8EV</v>
      </c>
      <c r="B12604" s="3" t="str">
        <f>HYPERLINK("https://www.773grp.com/manufacturer/national-semiconductor?pageNo=7", "National Semiconductor")</f>
        <v>National Semiconductor</v>
      </c>
      <c r="C12604" s="6">
        <v>4</v>
      </c>
      <c r="D12604" s="7">
        <v>137.81</v>
      </c>
    </row>
    <row r="12605" spans="1:4" x14ac:dyDescent="0.25">
      <c r="A12605" t="str">
        <f>HYPERLINK("https://www.773grp.com/globalSearch/LM20146MHEVAL/page-1", "LM20146MHEVAL")</f>
        <v>LM20146MHEVAL</v>
      </c>
      <c r="B12605" s="3" t="str">
        <f>HYPERLINK("https://www.773grp.com/manufacturer/national-semiconductor?pageNo=8", "National Semiconductor")</f>
        <v>National Semiconductor</v>
      </c>
      <c r="C12605" s="6">
        <v>2</v>
      </c>
      <c r="D12605" s="7">
        <v>137.81</v>
      </c>
    </row>
    <row r="12606" spans="1:4" x14ac:dyDescent="0.25">
      <c r="A12606" t="str">
        <f>HYPERLINK("https://www.773grp.com/globalSearch/LM20343EVAL-NOPB/page-1", "LM20343EVAL-NOPB")</f>
        <v>LM20343EVAL-NOPB</v>
      </c>
      <c r="B12606" s="3" t="str">
        <f>HYPERLINK("https://www.773grp.com/manufacturer/national-semiconductor?pageNo=9", "National Semiconductor")</f>
        <v>National Semiconductor</v>
      </c>
      <c r="C12606" s="6">
        <v>1</v>
      </c>
      <c r="D12606" s="7">
        <v>137.81</v>
      </c>
    </row>
    <row r="12607" spans="1:4" x14ac:dyDescent="0.25">
      <c r="A12607" t="str">
        <f>HYPERLINK("https://www.773grp.com/globalSearch/LM21212-2EVM/page-1", "LM21212-2EVM")</f>
        <v>LM21212-2EVM</v>
      </c>
      <c r="B12607" s="3" t="str">
        <f>HYPERLINK("https://www.773grp.com/manufacturer/national-semiconductor?pageNo=10", "National Semiconductor")</f>
        <v>National Semiconductor</v>
      </c>
      <c r="C12607" s="6">
        <v>6</v>
      </c>
      <c r="D12607" s="7">
        <v>137.81</v>
      </c>
    </row>
    <row r="12608" spans="1:4" x14ac:dyDescent="0.25">
      <c r="A12608" t="str">
        <f>HYPERLINK("https://www.773grp.com/globalSearch/LM25575EVAL/page-1", "LM25575EVAL")</f>
        <v>LM25575EVAL</v>
      </c>
      <c r="B12608" s="3" t="str">
        <f>HYPERLINK("https://www.773grp.com/manufacturer/national-semiconductor?pageNo=11", "National Semiconductor")</f>
        <v>National Semiconductor</v>
      </c>
      <c r="C12608" s="6">
        <v>10</v>
      </c>
      <c r="D12608" s="7">
        <v>137.81</v>
      </c>
    </row>
    <row r="12609" spans="1:5" x14ac:dyDescent="0.25">
      <c r="A12609" t="str">
        <f>HYPERLINK("https://www.773grp.com/globalSearch/LM25576EVAL/page-1", "LM25576EVAL")</f>
        <v>LM25576EVAL</v>
      </c>
      <c r="B12609" s="3" t="str">
        <f>HYPERLINK("https://www.773grp.com/manufacturer/national-semiconductor?pageNo=12", "National Semiconductor")</f>
        <v>National Semiconductor</v>
      </c>
      <c r="C12609" s="6">
        <v>10</v>
      </c>
      <c r="D12609" s="7">
        <v>137.81</v>
      </c>
    </row>
    <row r="12610" spans="1:5" x14ac:dyDescent="0.25">
      <c r="A12610" t="str">
        <f>HYPERLINK("https://www.773grp.com/globalSearch/LM2831XMFEVAL/page-1", "LM2831XMFEVAL")</f>
        <v>LM2831XMFEVAL</v>
      </c>
      <c r="B12610" s="3" t="str">
        <f>HYPERLINK("https://www.773grp.com/manufacturer/national-semiconductor?pageNo=13", "National Semiconductor")</f>
        <v>National Semiconductor</v>
      </c>
      <c r="C12610" s="6">
        <v>12</v>
      </c>
      <c r="D12610" s="7">
        <v>137.81</v>
      </c>
    </row>
    <row r="12611" spans="1:5" x14ac:dyDescent="0.25">
      <c r="A12611" t="str">
        <f>HYPERLINK("https://www.773grp.com/globalSearch/LM2841YMK-ADJEV-NOPB/page-1", "LM2841YMK-ADJEV-NOPB")</f>
        <v>LM2841YMK-ADJEV-NOPB</v>
      </c>
      <c r="B12611" s="3" t="str">
        <f>HYPERLINK("https://www.773grp.com/manufacturer/national-semiconductor?pageNo=14", "National Semiconductor")</f>
        <v>National Semiconductor</v>
      </c>
      <c r="C12611" s="6">
        <v>1</v>
      </c>
      <c r="D12611" s="7">
        <v>137.81</v>
      </c>
    </row>
    <row r="12612" spans="1:5" x14ac:dyDescent="0.25">
      <c r="A12612" t="str">
        <f>HYPERLINK("https://www.773grp.com/globalSearch/LM3402EVAL-NOPB/page-1", "LM3402EVAL-NOPB")</f>
        <v>LM3402EVAL-NOPB</v>
      </c>
      <c r="B12612" s="3" t="str">
        <f>HYPERLINK("https://www.773grp.com/manufacturer/national-semiconductor?pageNo=15", "National Semiconductor")</f>
        <v>National Semiconductor</v>
      </c>
      <c r="C12612" s="6">
        <v>4</v>
      </c>
      <c r="D12612" s="7">
        <v>137.81</v>
      </c>
    </row>
    <row r="12613" spans="1:5" x14ac:dyDescent="0.25">
      <c r="A12613" t="str">
        <f>HYPERLINK("https://www.773grp.com/globalSearch/LM3404EVAL-NOPB/page-1", "LM3404EVAL-NOPB")</f>
        <v>LM3404EVAL-NOPB</v>
      </c>
      <c r="B12613" s="3" t="str">
        <f>HYPERLINK("https://www.773grp.com/manufacturer/national-semiconductor?pageNo=16", "National Semiconductor")</f>
        <v>National Semiconductor</v>
      </c>
      <c r="C12613" s="6">
        <v>9</v>
      </c>
      <c r="D12613" s="7">
        <v>137.81</v>
      </c>
    </row>
    <row r="12614" spans="1:5" x14ac:dyDescent="0.25">
      <c r="A12614" t="str">
        <f>HYPERLINK("https://www.773grp.com/globalSearch/LM3407EVAL-NOPB/page-1", "LM3407EVAL-NOPB")</f>
        <v>LM3407EVAL-NOPB</v>
      </c>
      <c r="B12614" s="3" t="str">
        <f>HYPERLINK("https://www.773grp.com/manufacturer/national-semiconductor?pageNo=17", "National Semiconductor")</f>
        <v>National Semiconductor</v>
      </c>
      <c r="C12614" s="6">
        <v>10</v>
      </c>
      <c r="D12614" s="7">
        <v>137.81</v>
      </c>
    </row>
    <row r="12615" spans="1:5" x14ac:dyDescent="0.25">
      <c r="A12615" t="str">
        <f>HYPERLINK("https://www.773grp.com/globalSearch/LM3410XSDLEDEV-NOPB/page-1", "LM3410XSDLEDEV-NOPB")</f>
        <v>LM3410XSDLEDEV-NOPB</v>
      </c>
      <c r="B12615" s="3" t="str">
        <f>HYPERLINK("https://www.773grp.com/manufacturer/national-semiconductor?pageNo=18", "National Semiconductor")</f>
        <v>National Semiconductor</v>
      </c>
      <c r="C12615" s="6">
        <v>1</v>
      </c>
      <c r="D12615" s="7">
        <v>137.81</v>
      </c>
    </row>
    <row r="12616" spans="1:5" x14ac:dyDescent="0.25">
      <c r="A12616" t="str">
        <f>HYPERLINK("https://www.773grp.com/globalSearch/LM3444-230VFLBK-NOPB/page-1", "LM3444-230VFLBK-NOPB")</f>
        <v>LM3444-230VFLBK-NOPB</v>
      </c>
      <c r="B12616" s="3" t="str">
        <f>HYPERLINK("https://www.773grp.com/manufacturer/national-semiconductor?pageNo=19", "National Semiconductor")</f>
        <v>National Semiconductor</v>
      </c>
      <c r="C12616" s="6">
        <v>5</v>
      </c>
      <c r="D12616" s="7">
        <v>137.81</v>
      </c>
    </row>
    <row r="12617" spans="1:5" x14ac:dyDescent="0.25">
      <c r="A12617" t="str">
        <f>HYPERLINK("https://www.773grp.com/globalSearch/LM5010AEVAL-NOPB/page-1", "LM5010AEVAL-NOPB")</f>
        <v>LM5010AEVAL-NOPB</v>
      </c>
      <c r="B12617" s="3" t="str">
        <f>HYPERLINK("https://www.773grp.com/manufacturer/national-semiconductor?pageNo=20", "National Semiconductor")</f>
        <v>National Semiconductor</v>
      </c>
      <c r="C12617" s="6">
        <v>1</v>
      </c>
      <c r="D12617" s="7">
        <v>137.81</v>
      </c>
    </row>
    <row r="12618" spans="1:5" x14ac:dyDescent="0.25">
      <c r="A12618" t="str">
        <f>HYPERLINK("https://www.773grp.com/globalSearch/LM5115AEVAL/page-1", "LM5115AEVAL")</f>
        <v>LM5115AEVAL</v>
      </c>
      <c r="B12618" s="3" t="str">
        <f>HYPERLINK("https://www.773grp.com/manufacturer/national-semiconductor?pageNo=21", "National Semiconductor")</f>
        <v>National Semiconductor</v>
      </c>
      <c r="C12618" s="6">
        <v>2</v>
      </c>
      <c r="D12618" s="7">
        <v>137.81</v>
      </c>
    </row>
    <row r="12619" spans="1:5" x14ac:dyDescent="0.25">
      <c r="A12619" t="str">
        <f>HYPERLINK("https://www.773grp.com/globalSearch/LM5576EVAL-NOPB/page-1", "LM5576EVAL-NOPB")</f>
        <v>LM5576EVAL-NOPB</v>
      </c>
      <c r="B12619" s="3" t="str">
        <f>HYPERLINK("https://www.773grp.com/manufacturer/national-semiconductor?pageNo=22", "National Semiconductor")</f>
        <v>National Semiconductor</v>
      </c>
      <c r="C12619" s="6">
        <v>1</v>
      </c>
      <c r="D12619" s="7">
        <v>137.81</v>
      </c>
    </row>
    <row r="12620" spans="1:5" x14ac:dyDescent="0.25">
      <c r="A12620" t="str">
        <f>HYPERLINK("https://www.773grp.com/globalSearch/LMZ22008EVAL-NOPB/page-1", "LMZ22008EVAL-NOPB")</f>
        <v>LMZ22008EVAL-NOPB</v>
      </c>
      <c r="B12620" s="3" t="str">
        <f>HYPERLINK("https://www.773grp.com/manufacturer/national-semiconductor?pageNo=23", "National Semiconductor")</f>
        <v>National Semiconductor</v>
      </c>
      <c r="C12620" s="6">
        <v>4</v>
      </c>
      <c r="D12620" s="7">
        <v>137.81</v>
      </c>
    </row>
    <row r="12621" spans="1:5" x14ac:dyDescent="0.25">
      <c r="A12621" t="str">
        <f>HYPERLINK("https://www.773grp.com/globalSearch/LMZ22010EVAL-NOPB/page-1", "LMZ22010EVAL-NOPB")</f>
        <v>LMZ22010EVAL-NOPB</v>
      </c>
      <c r="B12621" s="3" t="str">
        <f>HYPERLINK("https://www.773grp.com/manufacturer/national-semiconductor?pageNo=24", "National Semiconductor")</f>
        <v>National Semiconductor</v>
      </c>
      <c r="C12621" s="6">
        <v>20</v>
      </c>
      <c r="D12621" s="7">
        <v>137.81</v>
      </c>
    </row>
    <row r="12622" spans="1:5" x14ac:dyDescent="0.25">
      <c r="A12622" t="str">
        <f>HYPERLINK("https://www.773grp.com/globalSearch/LP38501TS-ADJEV/page-1", "LP38501TS-ADJEV")</f>
        <v>LP38501TS-ADJEV</v>
      </c>
      <c r="B12622" s="3" t="str">
        <f>HYPERLINK("https://www.773grp.com/manufacturer/national-semiconductor?pageNo=25", "National Semiconductor")</f>
        <v>National Semiconductor</v>
      </c>
      <c r="C12622" s="6">
        <v>180</v>
      </c>
      <c r="D12622" s="7">
        <v>137.81</v>
      </c>
    </row>
    <row r="12623" spans="1:5" x14ac:dyDescent="0.25">
      <c r="A12623" t="str">
        <f>HYPERLINK("https://www.773grp.com/globalSearch/CLC420AE-QML/page-1", "CLC420AE-QML")</f>
        <v>CLC420AE-QML</v>
      </c>
      <c r="B12623" s="3" t="str">
        <f>HYPERLINK("https://www.773grp.com/manufacturer/national-semiconductor?pageNo=26", "National Semiconductor")</f>
        <v>National Semiconductor</v>
      </c>
      <c r="C12623" s="6">
        <v>142</v>
      </c>
      <c r="D12623" s="7">
        <v>138.13</v>
      </c>
      <c r="E12623" t="s">
        <v>13</v>
      </c>
    </row>
    <row r="12624" spans="1:5" x14ac:dyDescent="0.25">
      <c r="A12624" t="str">
        <f>HYPERLINK("https://www.773grp.com/globalSearch/LM628N-8/page-1", "LM628N-8")</f>
        <v>LM628N-8</v>
      </c>
      <c r="B12624" s="3" t="str">
        <f>HYPERLINK("https://www.773grp.com/manufacturer/national-semiconductor?pageNo=27", "National Semiconductor")</f>
        <v>National Semiconductor</v>
      </c>
      <c r="C12624" s="6">
        <v>1</v>
      </c>
      <c r="D12624" s="7">
        <v>139</v>
      </c>
      <c r="E12624" t="s">
        <v>62</v>
      </c>
    </row>
    <row r="12625" spans="1:5" x14ac:dyDescent="0.25">
      <c r="A12625" t="str">
        <f>HYPERLINK("https://www.773grp.com/globalSearch/SC2200UCL-300/page-1", "SC2200UCL-300")</f>
        <v>SC2200UCL-300</v>
      </c>
      <c r="B12625" s="3" t="str">
        <f>HYPERLINK("https://www.773grp.com/manufacturer/national-semiconductor?pageNo=28", "National Semiconductor")</f>
        <v>National Semiconductor</v>
      </c>
      <c r="C12625" s="6">
        <v>8377</v>
      </c>
      <c r="D12625" s="7">
        <v>139.53</v>
      </c>
      <c r="E12625" t="s">
        <v>81</v>
      </c>
    </row>
    <row r="12626" spans="1:5" x14ac:dyDescent="0.25">
      <c r="A12626" t="str">
        <f>HYPERLINK("https://www.773grp.com/globalSearch/93S41FM/page-1", "93S41FM")</f>
        <v>93S41FM</v>
      </c>
      <c r="B12626" s="3" t="str">
        <f>HYPERLINK("https://www.773grp.com/manufacturer/national-semiconductor?pageNo=29", "National Semiconductor")</f>
        <v>National Semiconductor</v>
      </c>
      <c r="C12626" s="6">
        <v>124</v>
      </c>
      <c r="D12626" s="7">
        <v>140.29</v>
      </c>
    </row>
    <row r="12627" spans="1:5" x14ac:dyDescent="0.25">
      <c r="A12627" t="str">
        <f>HYPERLINK("https://www.773grp.com/globalSearch/JM38510-12501BGA/page-1", "JM38510-12501BGA")</f>
        <v>JM38510-12501BGA</v>
      </c>
      <c r="B12627" s="3" t="str">
        <f>HYPERLINK("https://www.773grp.com/manufacturer/national-semiconductor?pageNo=30", "National Semiconductor")</f>
        <v>National Semiconductor</v>
      </c>
      <c r="C12627" s="6">
        <v>12</v>
      </c>
      <c r="D12627" s="7">
        <v>140.36000000000001</v>
      </c>
      <c r="E12627" t="s">
        <v>6</v>
      </c>
    </row>
    <row r="12628" spans="1:5" x14ac:dyDescent="0.25">
      <c r="A12628" t="str">
        <f>HYPERLINK("https://www.773grp.com/globalSearch/LM6162E-883/page-1", "LM6162E-883")</f>
        <v>LM6162E-883</v>
      </c>
      <c r="B12628" s="3" t="str">
        <f>HYPERLINK("https://www.773grp.com/manufacturer/national-semiconductor?pageNo=31", "National Semiconductor")</f>
        <v>National Semiconductor</v>
      </c>
      <c r="C12628" s="6">
        <v>120</v>
      </c>
      <c r="D12628" s="7">
        <v>142.04</v>
      </c>
      <c r="E12628" t="s">
        <v>18</v>
      </c>
    </row>
    <row r="12629" spans="1:5" x14ac:dyDescent="0.25">
      <c r="A12629" t="str">
        <f>HYPERLINK("https://www.773grp.com/globalSearch/LM6164E-883/page-1", "LM6164E-883")</f>
        <v>LM6164E-883</v>
      </c>
      <c r="B12629" s="3" t="str">
        <f>HYPERLINK("https://www.773grp.com/manufacturer/national-semiconductor?pageNo=32", "National Semiconductor")</f>
        <v>National Semiconductor</v>
      </c>
      <c r="C12629" s="6">
        <v>370</v>
      </c>
      <c r="D12629" s="7">
        <v>142.04</v>
      </c>
      <c r="E12629" t="s">
        <v>13</v>
      </c>
    </row>
    <row r="12630" spans="1:5" x14ac:dyDescent="0.25">
      <c r="A12630" t="str">
        <f>HYPERLINK("https://www.773grp.com/globalSearch/LM6165-883/page-1", "LM6165-883")</f>
        <v>LM6165-883</v>
      </c>
      <c r="B12630" s="3" t="str">
        <f>HYPERLINK("https://www.773grp.com/manufacturer/national-semiconductor?pageNo=33", "National Semiconductor")</f>
        <v>National Semiconductor</v>
      </c>
      <c r="C12630" s="6">
        <v>38</v>
      </c>
      <c r="D12630" s="7">
        <v>142.04</v>
      </c>
    </row>
    <row r="12631" spans="1:5" x14ac:dyDescent="0.25">
      <c r="A12631" t="str">
        <f>HYPERLINK("https://www.773grp.com/globalSearch/LM6165E-883/page-1", "LM6165E-883")</f>
        <v>LM6165E-883</v>
      </c>
      <c r="B12631" s="3" t="str">
        <f>HYPERLINK("https://www.773grp.com/manufacturer/national-semiconductor?pageNo=34", "National Semiconductor")</f>
        <v>National Semiconductor</v>
      </c>
      <c r="C12631" s="6">
        <v>464</v>
      </c>
      <c r="D12631" s="7">
        <v>142.04</v>
      </c>
      <c r="E12631" t="s">
        <v>13</v>
      </c>
    </row>
    <row r="12632" spans="1:5" x14ac:dyDescent="0.25">
      <c r="A12632" t="str">
        <f>HYPERLINK("https://www.773grp.com/globalSearch/LM1575K-15QML/page-1", "LM1575K-15QML")</f>
        <v>LM1575K-15QML</v>
      </c>
      <c r="B12632" s="3" t="str">
        <f>HYPERLINK("https://www.773grp.com/manufacturer/national-semiconductor?pageNo=35", "National Semiconductor")</f>
        <v>National Semiconductor</v>
      </c>
      <c r="C12632" s="6">
        <v>232</v>
      </c>
      <c r="D12632" s="7">
        <v>143.44</v>
      </c>
    </row>
    <row r="12633" spans="1:5" x14ac:dyDescent="0.25">
      <c r="A12633" t="str">
        <f>HYPERLINK("https://www.773grp.com/globalSearch/LM5088MH-2EVAL/page-1", "LM5088MH-2EVAL")</f>
        <v>LM5088MH-2EVAL</v>
      </c>
      <c r="B12633" s="3" t="str">
        <f>HYPERLINK("https://www.773grp.com/manufacturer/national-semiconductor?pageNo=36", "National Semiconductor")</f>
        <v>National Semiconductor</v>
      </c>
      <c r="C12633" s="6">
        <v>2</v>
      </c>
      <c r="D12633" s="7">
        <v>143.44</v>
      </c>
    </row>
    <row r="12634" spans="1:5" x14ac:dyDescent="0.25">
      <c r="A12634" t="str">
        <f>HYPERLINK("https://www.773grp.com/globalSearch/LM629M-8/page-1", "LM629M-8")</f>
        <v>LM629M-8</v>
      </c>
      <c r="B12634" s="3" t="str">
        <f>HYPERLINK("https://www.773grp.com/manufacturer/national-semiconductor?pageNo=37", "National Semiconductor")</f>
        <v>National Semiconductor</v>
      </c>
      <c r="C12634" s="6">
        <v>231</v>
      </c>
      <c r="D12634" s="7">
        <v>144.63</v>
      </c>
      <c r="E12634" t="s">
        <v>62</v>
      </c>
    </row>
    <row r="12635" spans="1:5" x14ac:dyDescent="0.25">
      <c r="A12635" t="str">
        <f>HYPERLINK("https://www.773grp.com/globalSearch/LM629M-8/page-1", "LM629M-8")</f>
        <v>LM629M-8</v>
      </c>
      <c r="B12635" s="3" t="str">
        <f>HYPERLINK("https://www.773grp.com/manufacturer/national-semiconductor?pageNo=38", "National Semiconductor")</f>
        <v>National Semiconductor</v>
      </c>
      <c r="C12635" s="6">
        <v>7</v>
      </c>
      <c r="D12635" s="7">
        <v>144.63</v>
      </c>
      <c r="E12635" t="s">
        <v>62</v>
      </c>
    </row>
    <row r="12636" spans="1:5" x14ac:dyDescent="0.25">
      <c r="A12636" t="str">
        <f>HYPERLINK("https://www.773grp.com/globalSearch/ADC10DV200CISQE-NOPB/page-1", "ADC10DV200CISQE-NOPB")</f>
        <v>ADC10DV200CISQE-NOPB</v>
      </c>
      <c r="B12636" s="3" t="str">
        <f>HYPERLINK("https://www.773grp.com/manufacturer/national-semiconductor?pageNo=39", "National Semiconductor")</f>
        <v>National Semiconductor</v>
      </c>
      <c r="C12636" s="6">
        <v>638</v>
      </c>
      <c r="D12636" s="7">
        <v>144.84</v>
      </c>
    </row>
    <row r="12637" spans="1:5" x14ac:dyDescent="0.25">
      <c r="A12637" t="str">
        <f>HYPERLINK("https://www.773grp.com/globalSearch/PC87323VUL/page-1", "PC87323VUL")</f>
        <v>PC87323VUL</v>
      </c>
      <c r="B12637" s="3" t="str">
        <f>HYPERLINK("https://www.773grp.com/manufacturer/national-semiconductor?pageNo=40", "National Semiconductor")</f>
        <v>National Semiconductor</v>
      </c>
      <c r="C12637" s="6">
        <v>582</v>
      </c>
      <c r="D12637" s="7">
        <v>144.84</v>
      </c>
      <c r="E12637" t="s">
        <v>72</v>
      </c>
    </row>
    <row r="12638" spans="1:5" x14ac:dyDescent="0.25">
      <c r="A12638" t="str">
        <f>HYPERLINK("https://www.773grp.com/globalSearch/ADC10DV200CISQE-NOPB/page-1", "ADC10DV200CISQE-NOPB")</f>
        <v>ADC10DV200CISQE-NOPB</v>
      </c>
      <c r="B12638" s="3" t="str">
        <f>HYPERLINK("https://www.773grp.com/manufacturer/national-semiconductor?pageNo=41", "National Semiconductor")</f>
        <v>National Semiconductor</v>
      </c>
      <c r="C12638" s="6">
        <v>310</v>
      </c>
      <c r="D12638" s="7">
        <v>144.84</v>
      </c>
    </row>
    <row r="12639" spans="1:5" x14ac:dyDescent="0.25">
      <c r="A12639" t="str">
        <f>HYPERLINK("https://www.773grp.com/globalSearch/DS7831W-883C/page-1", "DS7831W-883C")</f>
        <v>DS7831W-883C</v>
      </c>
      <c r="B12639" s="3" t="str">
        <f>HYPERLINK("https://www.773grp.com/manufacturer/national-semiconductor?pageNo=42", "National Semiconductor")</f>
        <v>National Semiconductor</v>
      </c>
      <c r="C12639" s="6">
        <v>5</v>
      </c>
      <c r="D12639" s="7">
        <v>146.25</v>
      </c>
    </row>
    <row r="12640" spans="1:5" x14ac:dyDescent="0.25">
      <c r="A12640" t="str">
        <f>HYPERLINK("https://www.773grp.com/globalSearch/JM38510-23103BFA/page-1", "JM38510-23103BFA")</f>
        <v>JM38510-23103BFA</v>
      </c>
      <c r="B12640" s="3" t="str">
        <f>HYPERLINK("https://www.773grp.com/manufacturer/national-semiconductor?pageNo=43", "National Semiconductor")</f>
        <v>National Semiconductor</v>
      </c>
      <c r="C12640" s="6">
        <v>82</v>
      </c>
      <c r="D12640" s="7">
        <v>146.25</v>
      </c>
    </row>
    <row r="12641" spans="1:5" x14ac:dyDescent="0.25">
      <c r="A12641" t="str">
        <f>HYPERLINK("https://www.773grp.com/globalSearch/JM38510-23104BFA/page-1", "JM38510-23104BFA")</f>
        <v>JM38510-23104BFA</v>
      </c>
      <c r="B12641" s="3" t="str">
        <f>HYPERLINK("https://www.773grp.com/manufacturer/national-semiconductor?pageNo=44", "National Semiconductor")</f>
        <v>National Semiconductor</v>
      </c>
      <c r="C12641" s="6">
        <v>351</v>
      </c>
      <c r="D12641" s="7">
        <v>146.25</v>
      </c>
    </row>
    <row r="12642" spans="1:5" x14ac:dyDescent="0.25">
      <c r="A12642" t="str">
        <f>HYPERLINK("https://www.773grp.com/globalSearch/JL710BHA/page-1", "JL710BHA")</f>
        <v>JL710BHA</v>
      </c>
      <c r="B12642" s="3" t="str">
        <f>HYPERLINK("https://www.773grp.com/manufacturer/national-semiconductor?pageNo=45", "National Semiconductor")</f>
        <v>National Semiconductor</v>
      </c>
      <c r="C12642" s="6">
        <v>8</v>
      </c>
      <c r="D12642" s="7">
        <v>150.47999999999999</v>
      </c>
    </row>
    <row r="12643" spans="1:5" x14ac:dyDescent="0.25">
      <c r="A12643" t="str">
        <f>HYPERLINK("https://www.773grp.com/globalSearch/JM38510-33801BLA/page-1", "JM38510-33801BLA")</f>
        <v>JM38510-33801BLA</v>
      </c>
      <c r="B12643" s="3" t="str">
        <f>HYPERLINK("https://www.773grp.com/manufacturer/national-semiconductor?pageNo=46", "National Semiconductor")</f>
        <v>National Semiconductor</v>
      </c>
      <c r="C12643" s="6">
        <v>49</v>
      </c>
      <c r="D12643" s="7">
        <v>150.47999999999999</v>
      </c>
      <c r="E12643" t="s">
        <v>43</v>
      </c>
    </row>
    <row r="12644" spans="1:5" x14ac:dyDescent="0.25">
      <c r="A12644" t="str">
        <f>HYPERLINK("https://www.773grp.com/globalSearch/LM96511CCSM-NOPB/page-1", "LM96511CCSM-NOPB")</f>
        <v>LM96511CCSM-NOPB</v>
      </c>
      <c r="B12644" s="3" t="str">
        <f>HYPERLINK("https://www.773grp.com/manufacturer/national-semiconductor?pageNo=47", "National Semiconductor")</f>
        <v>National Semiconductor</v>
      </c>
      <c r="C12644" s="6">
        <v>24</v>
      </c>
      <c r="D12644" s="7">
        <v>154.69</v>
      </c>
    </row>
    <row r="12645" spans="1:5" x14ac:dyDescent="0.25">
      <c r="A12645" t="str">
        <f>HYPERLINK("https://www.773grp.com/globalSearch/LM3409EVAL/page-1", "LM3409EVAL")</f>
        <v>LM3409EVAL</v>
      </c>
      <c r="B12645" s="3" t="str">
        <f>HYPERLINK("https://www.773grp.com/manufacturer/national-semiconductor?pageNo=48", "National Semiconductor")</f>
        <v>National Semiconductor</v>
      </c>
      <c r="C12645" s="6">
        <v>1</v>
      </c>
      <c r="D12645" s="7">
        <v>155.54</v>
      </c>
    </row>
    <row r="12646" spans="1:5" x14ac:dyDescent="0.25">
      <c r="A12646" t="str">
        <f>HYPERLINK("https://www.773grp.com/globalSearch/LM57B10EB/page-1", "LM57B10EB")</f>
        <v>LM57B10EB</v>
      </c>
      <c r="B12646" s="3" t="str">
        <f>HYPERLINK("https://www.773grp.com/manufacturer/national-semiconductor?pageNo=49", "National Semiconductor")</f>
        <v>National Semiconductor</v>
      </c>
      <c r="C12646" s="6">
        <v>3</v>
      </c>
      <c r="D12646" s="7">
        <v>155.54</v>
      </c>
    </row>
    <row r="12647" spans="1:5" x14ac:dyDescent="0.25">
      <c r="A12647" t="str">
        <f>HYPERLINK("https://www.773grp.com/globalSearch/CLC420AJ-QML/page-1", "CLC420AJ-QML")</f>
        <v>CLC420AJ-QML</v>
      </c>
      <c r="B12647" s="3" t="str">
        <f>HYPERLINK("https://www.773grp.com/manufacturer/national-semiconductor?pageNo=50", "National Semiconductor")</f>
        <v>National Semiconductor</v>
      </c>
      <c r="C12647" s="6">
        <v>877</v>
      </c>
      <c r="D12647" s="7">
        <v>156.56</v>
      </c>
      <c r="E12647" t="s">
        <v>13</v>
      </c>
    </row>
    <row r="12648" spans="1:5" x14ac:dyDescent="0.25">
      <c r="A12648" t="str">
        <f>HYPERLINK("https://www.773grp.com/globalSearch/5962-8760401GA/page-1", "5962-8760401GA")</f>
        <v>5962-8760401GA</v>
      </c>
      <c r="B12648" s="3" t="str">
        <f>HYPERLINK("https://www.773grp.com/manufacturer/national-semiconductor?pageNo=51", "National Semiconductor")</f>
        <v>National Semiconductor</v>
      </c>
      <c r="C12648" s="6">
        <v>509</v>
      </c>
      <c r="D12648" s="7">
        <v>156.83000000000001</v>
      </c>
      <c r="E12648" t="s">
        <v>13</v>
      </c>
    </row>
    <row r="12649" spans="1:5" x14ac:dyDescent="0.25">
      <c r="A12649" t="str">
        <f>HYPERLINK("https://www.773grp.com/globalSearch/CLC949ACQ/page-1", "CLC949ACQ")</f>
        <v>CLC949ACQ</v>
      </c>
      <c r="B12649" s="3" t="str">
        <f>HYPERLINK("https://www.773grp.com/manufacturer/national-semiconductor?pageNo=52", "National Semiconductor")</f>
        <v>National Semiconductor</v>
      </c>
      <c r="C12649" s="6">
        <v>1164</v>
      </c>
      <c r="D12649" s="7">
        <v>160.31</v>
      </c>
      <c r="E12649" t="s">
        <v>39</v>
      </c>
    </row>
    <row r="12650" spans="1:5" x14ac:dyDescent="0.25">
      <c r="A12650" t="str">
        <f>HYPERLINK("https://www.773grp.com/globalSearch/LM120H-8.0-883/page-1", "LM120H-8.0-883")</f>
        <v>LM120H-8.0-883</v>
      </c>
      <c r="B12650" s="3" t="str">
        <f>HYPERLINK("https://www.773grp.com/manufacturer/national-semiconductor?pageNo=53", "National Semiconductor")</f>
        <v>National Semiconductor</v>
      </c>
      <c r="C12650" s="6">
        <v>137</v>
      </c>
      <c r="D12650" s="7">
        <v>160.31</v>
      </c>
      <c r="E12650" t="s">
        <v>65</v>
      </c>
    </row>
    <row r="12651" spans="1:5" x14ac:dyDescent="0.25">
      <c r="A12651" t="str">
        <f>HYPERLINK("https://www.773grp.com/globalSearch/ADC11DV200CISQE-NOPB/page-1", "ADC11DV200CISQE-NOPB")</f>
        <v>ADC11DV200CISQE-NOPB</v>
      </c>
      <c r="B12651" s="3" t="str">
        <f>HYPERLINK("https://www.773grp.com/manufacturer/national-semiconductor?pageNo=54", "National Semiconductor")</f>
        <v>National Semiconductor</v>
      </c>
      <c r="C12651" s="6">
        <v>250</v>
      </c>
      <c r="D12651" s="7">
        <v>161.71</v>
      </c>
    </row>
    <row r="12652" spans="1:5" x14ac:dyDescent="0.25">
      <c r="A12652" t="str">
        <f>HYPERLINK("https://www.773grp.com/globalSearch/ADC11DV200CISQE-NOPB/page-1", "ADC11DV200CISQE-NOPB")</f>
        <v>ADC11DV200CISQE-NOPB</v>
      </c>
      <c r="B12652" s="3" t="str">
        <f>HYPERLINK("https://www.773grp.com/manufacturer/national-semiconductor?pageNo=55", "National Semiconductor")</f>
        <v>National Semiconductor</v>
      </c>
      <c r="C12652" s="6">
        <v>500</v>
      </c>
      <c r="D12652" s="7">
        <v>161.71</v>
      </c>
    </row>
    <row r="12653" spans="1:5" x14ac:dyDescent="0.25">
      <c r="A12653" t="str">
        <f>HYPERLINK("https://www.773grp.com/globalSearch/MSP-FET430PIF/page-1", "MSP-FET430PIF")</f>
        <v>MSP-FET430PIF</v>
      </c>
      <c r="B12653" s="3" t="str">
        <f>HYPERLINK("https://www.773grp.com/manufacturer/national-semiconductor?pageNo=56", "National Semiconductor")</f>
        <v>National Semiconductor</v>
      </c>
      <c r="C12653" s="6">
        <v>2</v>
      </c>
      <c r="D12653" s="7">
        <v>163.13</v>
      </c>
    </row>
    <row r="12654" spans="1:5" x14ac:dyDescent="0.25">
      <c r="A12654" t="str">
        <f>HYPERLINK("https://www.773grp.com/globalSearch/JD54L00BDA/page-1", "JD54L00BDA")</f>
        <v>JD54L00BDA</v>
      </c>
      <c r="B12654" s="3" t="str">
        <f>HYPERLINK("https://www.773grp.com/manufacturer/national-semiconductor?pageNo=57", "National Semiconductor")</f>
        <v>National Semiconductor</v>
      </c>
      <c r="C12654" s="6">
        <v>68</v>
      </c>
      <c r="D12654" s="7">
        <v>164.54</v>
      </c>
    </row>
    <row r="12655" spans="1:5" x14ac:dyDescent="0.25">
      <c r="A12655" t="str">
        <f>HYPERLINK("https://www.773grp.com/globalSearch/JL2951BGA/page-1", "JL2951BGA")</f>
        <v>JL2951BGA</v>
      </c>
      <c r="B12655" s="3" t="str">
        <f>HYPERLINK("https://www.773grp.com/manufacturer/national-semiconductor?pageNo=58", "National Semiconductor")</f>
        <v>National Semiconductor</v>
      </c>
      <c r="C12655" s="6">
        <v>10</v>
      </c>
      <c r="D12655" s="7">
        <v>164.54</v>
      </c>
      <c r="E12655" t="s">
        <v>27</v>
      </c>
    </row>
    <row r="12656" spans="1:5" x14ac:dyDescent="0.25">
      <c r="A12656" t="str">
        <f>HYPERLINK("https://www.773grp.com/globalSearch/NMC2147HF-3-MIL/page-1", "NMC2147HF-3-MIL")</f>
        <v>NMC2147HF-3-MIL</v>
      </c>
      <c r="B12656" s="3" t="str">
        <f>HYPERLINK("https://www.773grp.com/manufacturer/national-semiconductor?pageNo=59", "National Semiconductor")</f>
        <v>National Semiconductor</v>
      </c>
      <c r="C12656" s="6">
        <v>264</v>
      </c>
      <c r="D12656" s="7">
        <v>165.24</v>
      </c>
    </row>
    <row r="12657" spans="1:5" x14ac:dyDescent="0.25">
      <c r="A12657" t="str">
        <f>HYPERLINK("https://www.773grp.com/globalSearch/JM38510-23113BFA/page-1", "JM38510-23113BFA")</f>
        <v>JM38510-23113BFA</v>
      </c>
      <c r="B12657" s="3" t="str">
        <f>HYPERLINK("https://www.773grp.com/manufacturer/national-semiconductor?pageNo=60", "National Semiconductor")</f>
        <v>National Semiconductor</v>
      </c>
      <c r="C12657" s="6">
        <v>18</v>
      </c>
      <c r="D12657" s="7">
        <v>165.94</v>
      </c>
    </row>
    <row r="12658" spans="1:5" x14ac:dyDescent="0.25">
      <c r="A12658" t="str">
        <f>HYPERLINK("https://www.773grp.com/globalSearch/LM1575HVK12-883QF/page-1", "LM1575HVK12-883QF")</f>
        <v>LM1575HVK12-883QF</v>
      </c>
      <c r="B12658" s="3" t="str">
        <f>HYPERLINK("https://www.773grp.com/manufacturer/national-semiconductor?pageNo=61", "National Semiconductor")</f>
        <v>National Semiconductor</v>
      </c>
      <c r="C12658" s="6">
        <v>30</v>
      </c>
      <c r="D12658" s="7">
        <v>165.94</v>
      </c>
    </row>
    <row r="12659" spans="1:5" x14ac:dyDescent="0.25">
      <c r="A12659" t="str">
        <f>HYPERLINK("https://www.773grp.com/globalSearch/5962-89615012A/page-1", "5962-89615012A")</f>
        <v>5962-89615012A</v>
      </c>
      <c r="B12659" s="3" t="str">
        <f>HYPERLINK("https://www.773grp.com/manufacturer/national-semiconductor?pageNo=62", "National Semiconductor")</f>
        <v>National Semiconductor</v>
      </c>
      <c r="C12659" s="6">
        <v>18</v>
      </c>
      <c r="D12659" s="7">
        <v>165.96</v>
      </c>
      <c r="E12659" t="s">
        <v>21</v>
      </c>
    </row>
    <row r="12660" spans="1:5" x14ac:dyDescent="0.25">
      <c r="A12660" t="str">
        <f>HYPERLINK("https://www.773grp.com/globalSearch/DS16F95E-883/page-1", "DS16F95E-883")</f>
        <v>DS16F95E-883</v>
      </c>
      <c r="B12660" s="3" t="str">
        <f>HYPERLINK("https://www.773grp.com/manufacturer/national-semiconductor?pageNo=63", "National Semiconductor")</f>
        <v>National Semiconductor</v>
      </c>
      <c r="C12660" s="6">
        <v>20</v>
      </c>
      <c r="D12660" s="7">
        <v>165.96</v>
      </c>
      <c r="E12660" t="s">
        <v>21</v>
      </c>
    </row>
    <row r="12661" spans="1:5" x14ac:dyDescent="0.25">
      <c r="A12661" t="str">
        <f>HYPERLINK("https://www.773grp.com/globalSearch/5962-89615012A/page-1", "5962-89615012A")</f>
        <v>5962-89615012A</v>
      </c>
      <c r="B12661" s="3" t="str">
        <f>HYPERLINK("https://www.773grp.com/manufacturer/national-semiconductor?pageNo=64", "National Semiconductor")</f>
        <v>National Semiconductor</v>
      </c>
      <c r="C12661" s="6">
        <v>15</v>
      </c>
      <c r="D12661" s="7">
        <v>165.96</v>
      </c>
      <c r="E12661" t="s">
        <v>21</v>
      </c>
    </row>
    <row r="12662" spans="1:5" x14ac:dyDescent="0.25">
      <c r="A12662" t="str">
        <f>HYPERLINK("https://www.773grp.com/globalSearch/DS16F95E-883/page-1", "DS16F95E-883")</f>
        <v>DS16F95E-883</v>
      </c>
      <c r="B12662" s="3" t="str">
        <f>HYPERLINK("https://www.773grp.com/manufacturer/national-semiconductor?pageNo=65", "National Semiconductor")</f>
        <v>National Semiconductor</v>
      </c>
      <c r="C12662" s="6">
        <v>7</v>
      </c>
      <c r="D12662" s="7">
        <v>165.96</v>
      </c>
      <c r="E12662" t="s">
        <v>21</v>
      </c>
    </row>
    <row r="12663" spans="1:5" x14ac:dyDescent="0.25">
      <c r="A12663" t="str">
        <f>HYPERLINK("https://www.773grp.com/globalSearch/DP8409AD/page-1", "DP8409AD")</f>
        <v>DP8409AD</v>
      </c>
      <c r="B12663" s="3" t="str">
        <f>HYPERLINK("https://www.773grp.com/manufacturer/national-semiconductor?pageNo=66", "National Semiconductor")</f>
        <v>National Semiconductor</v>
      </c>
      <c r="C12663" s="6">
        <v>1742</v>
      </c>
      <c r="D12663" s="7">
        <v>167.35</v>
      </c>
      <c r="E12663" t="s">
        <v>87</v>
      </c>
    </row>
    <row r="12664" spans="1:5" x14ac:dyDescent="0.25">
      <c r="A12664" t="str">
        <f>HYPERLINK("https://www.773grp.com/globalSearch/LM5022LEDEVAL/page-1", "LM5022LEDEVAL")</f>
        <v>LM5022LEDEVAL</v>
      </c>
      <c r="B12664" s="3" t="str">
        <f>HYPERLINK("https://www.773grp.com/manufacturer/national-semiconductor?pageNo=67", "National Semiconductor")</f>
        <v>National Semiconductor</v>
      </c>
      <c r="C12664" s="6">
        <v>1</v>
      </c>
      <c r="D12664" s="7">
        <v>167.35</v>
      </c>
    </row>
    <row r="12665" spans="1:5" x14ac:dyDescent="0.25">
      <c r="A12665" t="str">
        <f>HYPERLINK("https://www.773grp.com/globalSearch/CLC401AJ-QML/page-1", "CLC401AJ-QML")</f>
        <v>CLC401AJ-QML</v>
      </c>
      <c r="B12665" s="3" t="str">
        <f>HYPERLINK("https://www.773grp.com/manufacturer/national-semiconductor?pageNo=68", "National Semiconductor")</f>
        <v>National Semiconductor</v>
      </c>
      <c r="C12665" s="6">
        <v>29</v>
      </c>
      <c r="D12665" s="7">
        <v>167.83</v>
      </c>
      <c r="E12665" t="s">
        <v>13</v>
      </c>
    </row>
    <row r="12666" spans="1:5" x14ac:dyDescent="0.25">
      <c r="A12666" t="str">
        <f>HYPERLINK("https://www.773grp.com/globalSearch/CLC405AJ-QML/page-1", "CLC405AJ-QML")</f>
        <v>CLC405AJ-QML</v>
      </c>
      <c r="B12666" s="3" t="str">
        <f>HYPERLINK("https://www.773grp.com/manufacturer/national-semiconductor?pageNo=69", "National Semiconductor")</f>
        <v>National Semiconductor</v>
      </c>
      <c r="C12666" s="6">
        <v>352</v>
      </c>
      <c r="D12666" s="7">
        <v>167.83</v>
      </c>
      <c r="E12666" t="s">
        <v>13</v>
      </c>
    </row>
    <row r="12667" spans="1:5" x14ac:dyDescent="0.25">
      <c r="A12667" t="str">
        <f>HYPERLINK("https://www.773grp.com/globalSearch/JM54AC299BRA-RH/page-1", "JM54AC299BRA-RH")</f>
        <v>JM54AC299BRA-RH</v>
      </c>
      <c r="B12667" s="3" t="str">
        <f>HYPERLINK("https://www.773grp.com/manufacturer/national-semiconductor?pageNo=70", "National Semiconductor")</f>
        <v>National Semiconductor</v>
      </c>
      <c r="C12667" s="6">
        <v>189</v>
      </c>
      <c r="D12667" s="7">
        <v>168.75</v>
      </c>
      <c r="E12667" t="s">
        <v>32</v>
      </c>
    </row>
    <row r="12668" spans="1:5" x14ac:dyDescent="0.25">
      <c r="A12668" t="str">
        <f>HYPERLINK("https://www.773grp.com/globalSearch/ADC12EU050CIPLQ/page-1", "ADC12EU050CIPLQ")</f>
        <v>ADC12EU050CIPLQ</v>
      </c>
      <c r="B12668" s="3" t="str">
        <f>HYPERLINK("https://www.773grp.com/manufacturer/national-semiconductor?pageNo=71", "National Semiconductor")</f>
        <v>National Semiconductor</v>
      </c>
      <c r="C12668" s="6">
        <v>415</v>
      </c>
      <c r="D12668" s="7">
        <v>171</v>
      </c>
      <c r="E12668" t="s">
        <v>39</v>
      </c>
    </row>
    <row r="12669" spans="1:5" x14ac:dyDescent="0.25">
      <c r="A12669" t="str">
        <f>HYPERLINK("https://www.773grp.com/globalSearch/ADC12EU050CIPLQ-NOPB/page-1", "ADC12EU050CIPLQ-NOPB")</f>
        <v>ADC12EU050CIPLQ-NOPB</v>
      </c>
      <c r="B12669" s="3" t="str">
        <f>HYPERLINK("https://www.773grp.com/manufacturer/national-semiconductor?pageNo=72", "National Semiconductor")</f>
        <v>National Semiconductor</v>
      </c>
      <c r="C12669" s="6">
        <v>250</v>
      </c>
      <c r="D12669" s="7">
        <v>171</v>
      </c>
    </row>
    <row r="12670" spans="1:5" x14ac:dyDescent="0.25">
      <c r="A12670" t="str">
        <f>HYPERLINK("https://www.773grp.com/globalSearch/ADC12EU050CIPLQ-NOPB/page-1", "ADC12EU050CIPLQ-NOPB")</f>
        <v>ADC12EU050CIPLQ-NOPB</v>
      </c>
      <c r="B12670" s="3" t="str">
        <f>HYPERLINK("https://www.773grp.com/manufacturer/national-semiconductor?pageNo=73", "National Semiconductor")</f>
        <v>National Semiconductor</v>
      </c>
      <c r="C12670" s="6">
        <v>244</v>
      </c>
      <c r="D12670" s="7">
        <v>171</v>
      </c>
    </row>
    <row r="12671" spans="1:5" x14ac:dyDescent="0.25">
      <c r="A12671" t="str">
        <f>HYPERLINK("https://www.773grp.com/globalSearch/ADC14DC105CISQE-NOPB/page-1", "ADC14DC105CISQE-NOPB")</f>
        <v>ADC14DC105CISQE-NOPB</v>
      </c>
      <c r="B12671" s="3" t="str">
        <f>HYPERLINK("https://www.773grp.com/manufacturer/national-semiconductor?pageNo=74", "National Semiconductor")</f>
        <v>National Semiconductor</v>
      </c>
      <c r="C12671" s="6">
        <v>281</v>
      </c>
      <c r="D12671" s="7">
        <v>172.98</v>
      </c>
    </row>
    <row r="12672" spans="1:5" x14ac:dyDescent="0.25">
      <c r="A12672" t="str">
        <f>HYPERLINK("https://www.773grp.com/globalSearch/ADC14DC105CISQE-NOPB/page-1", "ADC14DC105CISQE-NOPB")</f>
        <v>ADC14DC105CISQE-NOPB</v>
      </c>
      <c r="B12672" s="3" t="str">
        <f>HYPERLINK("https://www.773grp.com/manufacturer/national-semiconductor?pageNo=75", "National Semiconductor")</f>
        <v>National Semiconductor</v>
      </c>
      <c r="C12672" s="6">
        <v>25</v>
      </c>
      <c r="D12672" s="7">
        <v>172.98</v>
      </c>
    </row>
    <row r="12673" spans="1:5" x14ac:dyDescent="0.25">
      <c r="A12673" t="str">
        <f>HYPERLINK("https://www.773grp.com/globalSearch/ADC14V155CISQ-NOPB/page-1", "ADC14V155CISQ-NOPB")</f>
        <v>ADC14V155CISQ-NOPB</v>
      </c>
      <c r="B12673" s="3" t="str">
        <f>HYPERLINK("https://www.773grp.com/manufacturer/national-semiconductor?pageNo=76", "National Semiconductor")</f>
        <v>National Semiconductor</v>
      </c>
      <c r="C12673" s="6">
        <v>581</v>
      </c>
      <c r="D12673" s="7">
        <v>174.38</v>
      </c>
      <c r="E12673" t="s">
        <v>39</v>
      </c>
    </row>
    <row r="12674" spans="1:5" x14ac:dyDescent="0.25">
      <c r="A12674" t="str">
        <f>HYPERLINK("https://www.773grp.com/globalSearch/DP8522AV-25/page-1", "DP8522AV-25")</f>
        <v>DP8522AV-25</v>
      </c>
      <c r="B12674" s="3" t="str">
        <f>HYPERLINK("https://www.773grp.com/manufacturer/national-semiconductor?pageNo=77", "National Semiconductor")</f>
        <v>National Semiconductor</v>
      </c>
      <c r="C12674" s="6">
        <v>2804</v>
      </c>
      <c r="D12674" s="7">
        <v>174.38</v>
      </c>
      <c r="E12674" t="s">
        <v>87</v>
      </c>
    </row>
    <row r="12675" spans="1:5" x14ac:dyDescent="0.25">
      <c r="A12675" t="str">
        <f>HYPERLINK("https://www.773grp.com/globalSearch/LM26003EVAL/page-1", "LM26003EVAL")</f>
        <v>LM26003EVAL</v>
      </c>
      <c r="B12675" s="3" t="str">
        <f>HYPERLINK("https://www.773grp.com/manufacturer/national-semiconductor?pageNo=78", "National Semiconductor")</f>
        <v>National Semiconductor</v>
      </c>
      <c r="C12675" s="6">
        <v>1</v>
      </c>
      <c r="D12675" s="7">
        <v>174.53</v>
      </c>
    </row>
    <row r="12676" spans="1:5" x14ac:dyDescent="0.25">
      <c r="A12676" t="str">
        <f>HYPERLINK("https://www.773grp.com/globalSearch/ADC14DS105CISQE-NOPB/page-1", "ADC14DS105CISQE-NOPB")</f>
        <v>ADC14DS105CISQE-NOPB</v>
      </c>
      <c r="B12676" s="3" t="str">
        <f>HYPERLINK("https://www.773grp.com/manufacturer/national-semiconductor?pageNo=79", "National Semiconductor")</f>
        <v>National Semiconductor</v>
      </c>
      <c r="C12676" s="6">
        <v>510</v>
      </c>
      <c r="D12676" s="7">
        <v>175.21</v>
      </c>
    </row>
    <row r="12677" spans="1:5" x14ac:dyDescent="0.25">
      <c r="A12677" t="str">
        <f>HYPERLINK("https://www.773grp.com/globalSearch/LM6165W-883/page-1", "LM6165W-883")</f>
        <v>LM6165W-883</v>
      </c>
      <c r="B12677" s="3" t="str">
        <f>HYPERLINK("https://www.773grp.com/manufacturer/national-semiconductor?pageNo=80", "National Semiconductor")</f>
        <v>National Semiconductor</v>
      </c>
      <c r="C12677" s="6">
        <v>9</v>
      </c>
      <c r="D12677" s="7">
        <v>177.19</v>
      </c>
      <c r="E12677" t="s">
        <v>13</v>
      </c>
    </row>
    <row r="12678" spans="1:5" x14ac:dyDescent="0.25">
      <c r="A12678" t="str">
        <f>HYPERLINK("https://www.773grp.com/globalSearch/LM6165W-SMD/page-1", "LM6165W-SMD")</f>
        <v>LM6165W-SMD</v>
      </c>
      <c r="B12678" s="3" t="str">
        <f>HYPERLINK("https://www.773grp.com/manufacturer/national-semiconductor?pageNo=81", "National Semiconductor")</f>
        <v>National Semiconductor</v>
      </c>
      <c r="C12678" s="6">
        <v>169</v>
      </c>
      <c r="D12678" s="7">
        <v>177.19</v>
      </c>
    </row>
    <row r="12679" spans="1:5" x14ac:dyDescent="0.25">
      <c r="A12679" t="str">
        <f>HYPERLINK("https://www.773grp.com/globalSearch/LM1577K-15-883/page-1", "LM1577K-15-883")</f>
        <v>LM1577K-15-883</v>
      </c>
      <c r="B12679" s="3" t="str">
        <f>HYPERLINK("https://www.773grp.com/manufacturer/national-semiconductor?pageNo=82", "National Semiconductor")</f>
        <v>National Semiconductor</v>
      </c>
      <c r="C12679" s="6">
        <v>67</v>
      </c>
      <c r="D12679" s="7">
        <v>178.59</v>
      </c>
      <c r="E12679" t="s">
        <v>7</v>
      </c>
    </row>
    <row r="12680" spans="1:5" x14ac:dyDescent="0.25">
      <c r="A12680" t="str">
        <f>HYPERLINK("https://www.773grp.com/globalSearch/ADC14DS105AISQ-NOPB/page-1", "ADC14DS105AISQ-NOPB")</f>
        <v>ADC14DS105AISQ-NOPB</v>
      </c>
      <c r="B12680" s="3" t="str">
        <f>HYPERLINK("https://www.773grp.com/manufacturer/national-semiconductor?pageNo=83", "National Semiconductor")</f>
        <v>National Semiconductor</v>
      </c>
      <c r="C12680" s="6">
        <v>10</v>
      </c>
      <c r="D12680" s="7">
        <v>178.88</v>
      </c>
    </row>
    <row r="12681" spans="1:5" x14ac:dyDescent="0.25">
      <c r="A12681" t="str">
        <f>HYPERLINK("https://www.773grp.com/globalSearch/LM2940WG5.0-883/page-1", "LM2940WG5.0-883")</f>
        <v>LM2940WG5.0-883</v>
      </c>
      <c r="B12681" s="3" t="str">
        <f>HYPERLINK("https://www.773grp.com/manufacturer/national-semiconductor?pageNo=84", "National Semiconductor")</f>
        <v>National Semiconductor</v>
      </c>
      <c r="C12681" s="6">
        <v>11</v>
      </c>
      <c r="D12681" s="7">
        <v>179.16</v>
      </c>
      <c r="E12681" t="s">
        <v>19</v>
      </c>
    </row>
    <row r="12682" spans="1:5" x14ac:dyDescent="0.25">
      <c r="A12682" t="str">
        <f>HYPERLINK("https://www.773grp.com/globalSearch/ADC14155CISQ-NOPB/page-1", "ADC14155CISQ-NOPB")</f>
        <v>ADC14155CISQ-NOPB</v>
      </c>
      <c r="B12682" s="3" t="str">
        <f>HYPERLINK("https://www.773grp.com/manufacturer/national-semiconductor?pageNo=85", "National Semiconductor")</f>
        <v>National Semiconductor</v>
      </c>
      <c r="C12682" s="6">
        <v>765</v>
      </c>
      <c r="D12682" s="7">
        <v>179.44</v>
      </c>
    </row>
    <row r="12683" spans="1:5" x14ac:dyDescent="0.25">
      <c r="A12683" t="str">
        <f>HYPERLINK("https://www.773grp.com/globalSearch/ADC161S626BEB/page-1", "ADC161S626BEB")</f>
        <v>ADC161S626BEB</v>
      </c>
      <c r="B12683" s="3" t="str">
        <f>HYPERLINK("https://www.773grp.com/manufacturer/national-semiconductor?pageNo=86", "National Semiconductor")</f>
        <v>National Semiconductor</v>
      </c>
      <c r="C12683" s="6">
        <v>1</v>
      </c>
      <c r="D12683" s="7">
        <v>179.44</v>
      </c>
    </row>
    <row r="12684" spans="1:5" x14ac:dyDescent="0.25">
      <c r="A12684" t="str">
        <f>HYPERLINK("https://www.773grp.com/globalSearch/ADC161S626BEB-NOPB/page-1", "ADC161S626BEB-NOPB")</f>
        <v>ADC161S626BEB-NOPB</v>
      </c>
      <c r="B12684" s="3" t="str">
        <f>HYPERLINK("https://www.773grp.com/manufacturer/national-semiconductor?pageNo=87", "National Semiconductor")</f>
        <v>National Semiconductor</v>
      </c>
      <c r="C12684" s="6">
        <v>2</v>
      </c>
      <c r="D12684" s="7">
        <v>179.44</v>
      </c>
    </row>
    <row r="12685" spans="1:5" x14ac:dyDescent="0.25">
      <c r="A12685" t="str">
        <f>HYPERLINK("https://www.773grp.com/globalSearch/LMP8601MAEVAL/page-1", "LMP8601MAEVAL")</f>
        <v>LMP8601MAEVAL</v>
      </c>
      <c r="B12685" s="3" t="str">
        <f>HYPERLINK("https://www.773grp.com/manufacturer/national-semiconductor?pageNo=88", "National Semiconductor")</f>
        <v>National Semiconductor</v>
      </c>
      <c r="C12685" s="6">
        <v>1</v>
      </c>
      <c r="D12685" s="7">
        <v>179.44</v>
      </c>
    </row>
    <row r="12686" spans="1:5" x14ac:dyDescent="0.25">
      <c r="A12686" t="str">
        <f>HYPERLINK("https://www.773grp.com/globalSearch/LM3668SD-3034EV/page-1", "LM3668SD-3034EV")</f>
        <v>LM3668SD-3034EV</v>
      </c>
      <c r="B12686" s="3" t="str">
        <f>HYPERLINK("https://www.773grp.com/manufacturer/national-semiconductor?pageNo=89", "National Semiconductor")</f>
        <v>National Semiconductor</v>
      </c>
      <c r="C12686" s="6">
        <v>1</v>
      </c>
      <c r="D12686" s="7">
        <v>179.44</v>
      </c>
    </row>
    <row r="12687" spans="1:5" x14ac:dyDescent="0.25">
      <c r="A12687" t="str">
        <f>HYPERLINK("https://www.773grp.com/globalSearch/LM32EVAL/page-1", "LM32EVAL")</f>
        <v>LM32EVAL</v>
      </c>
      <c r="B12687" s="3" t="str">
        <f>HYPERLINK("https://www.773grp.com/manufacturer/national-semiconductor?pageNo=90", "National Semiconductor")</f>
        <v>National Semiconductor</v>
      </c>
      <c r="C12687" s="6">
        <v>1</v>
      </c>
      <c r="D12687" s="7">
        <v>181.69</v>
      </c>
    </row>
    <row r="12688" spans="1:5" x14ac:dyDescent="0.25">
      <c r="A12688" t="str">
        <f>HYPERLINK("https://www.773grp.com/globalSearch/CLC949AJQ/page-1", "CLC949AJQ")</f>
        <v>CLC949AJQ</v>
      </c>
      <c r="B12688" s="3" t="str">
        <f>HYPERLINK("https://www.773grp.com/manufacturer/national-semiconductor?pageNo=91", "National Semiconductor")</f>
        <v>National Semiconductor</v>
      </c>
      <c r="C12688" s="6">
        <v>4</v>
      </c>
      <c r="D12688" s="7">
        <v>182.81</v>
      </c>
      <c r="E12688" t="s">
        <v>39</v>
      </c>
    </row>
    <row r="12689" spans="1:5" x14ac:dyDescent="0.25">
      <c r="A12689" t="str">
        <f>HYPERLINK("https://www.773grp.com/globalSearch/LM194H-MCP/page-1", "LM194H-MCP")</f>
        <v>LM194H-MCP</v>
      </c>
      <c r="B12689" s="3" t="str">
        <f>HYPERLINK("https://www.773grp.com/manufacturer/national-semiconductor?pageNo=92", "National Semiconductor")</f>
        <v>National Semiconductor</v>
      </c>
      <c r="C12689" s="6">
        <v>29</v>
      </c>
      <c r="D12689" s="7">
        <v>182.81</v>
      </c>
    </row>
    <row r="12690" spans="1:5" x14ac:dyDescent="0.25">
      <c r="A12690" t="str">
        <f>HYPERLINK("https://www.773grp.com/globalSearch/DH3725D-883/page-1", "DH3725D-883")</f>
        <v>DH3725D-883</v>
      </c>
      <c r="B12690" s="3" t="str">
        <f>HYPERLINK("https://www.773grp.com/manufacturer/national-semiconductor?pageNo=93", "National Semiconductor")</f>
        <v>National Semiconductor</v>
      </c>
      <c r="C12690" s="6">
        <v>51</v>
      </c>
      <c r="D12690" s="7">
        <v>183.06</v>
      </c>
    </row>
    <row r="12691" spans="1:5" x14ac:dyDescent="0.25">
      <c r="A12691" t="str">
        <f>HYPERLINK("https://www.773grp.com/globalSearch/DP8422AVX-20/page-1", "DP8422AVX-20")</f>
        <v>DP8422AVX-20</v>
      </c>
      <c r="B12691" s="3" t="str">
        <f>HYPERLINK("https://www.773grp.com/manufacturer/national-semiconductor?pageNo=94", "National Semiconductor")</f>
        <v>National Semiconductor</v>
      </c>
      <c r="C12691" s="6">
        <v>500</v>
      </c>
      <c r="D12691" s="7">
        <v>184.23</v>
      </c>
      <c r="E12691" t="s">
        <v>87</v>
      </c>
    </row>
    <row r="12692" spans="1:5" x14ac:dyDescent="0.25">
      <c r="A12692" t="str">
        <f>HYPERLINK("https://www.773grp.com/globalSearch/27C512AE200-883C/page-1", "27C512AE200-883C")</f>
        <v>27C512AE200-883C</v>
      </c>
      <c r="B12692" s="3" t="str">
        <f>HYPERLINK("https://www.773grp.com/manufacturer/national-semiconductor?pageNo=95", "National Semiconductor")</f>
        <v>National Semiconductor</v>
      </c>
      <c r="C12692" s="6">
        <v>130</v>
      </c>
      <c r="D12692" s="7">
        <v>185.63</v>
      </c>
    </row>
    <row r="12693" spans="1:5" x14ac:dyDescent="0.25">
      <c r="A12693" t="str">
        <f>HYPERLINK("https://www.773grp.com/globalSearch/DP8440VLJ-25/page-1", "DP8440VLJ-25")</f>
        <v>DP8440VLJ-25</v>
      </c>
      <c r="B12693" s="3" t="str">
        <f>HYPERLINK("https://www.773grp.com/manufacturer/national-semiconductor?pageNo=96", "National Semiconductor")</f>
        <v>National Semiconductor</v>
      </c>
      <c r="C12693" s="6">
        <v>213</v>
      </c>
      <c r="D12693" s="7">
        <v>185.63</v>
      </c>
      <c r="E12693" t="s">
        <v>87</v>
      </c>
    </row>
    <row r="12694" spans="1:5" x14ac:dyDescent="0.25">
      <c r="A12694" t="str">
        <f>HYPERLINK("https://www.773grp.com/globalSearch/ADC16V130CISQ-NOPB/page-1", "ADC16V130CISQ-NOPB")</f>
        <v>ADC16V130CISQ-NOPB</v>
      </c>
      <c r="B12694" s="3" t="str">
        <f>HYPERLINK("https://www.773grp.com/manufacturer/national-semiconductor?pageNo=97", "National Semiconductor")</f>
        <v>National Semiconductor</v>
      </c>
      <c r="C12694" s="6">
        <v>100</v>
      </c>
      <c r="D12694" s="7">
        <v>188.71</v>
      </c>
    </row>
    <row r="12695" spans="1:5" x14ac:dyDescent="0.25">
      <c r="A12695" t="str">
        <f>HYPERLINK("https://www.773grp.com/globalSearch/ADC16V130CISQE-NOPB/page-1", "ADC16V130CISQE-NOPB")</f>
        <v>ADC16V130CISQE-NOPB</v>
      </c>
      <c r="B12695" s="3" t="str">
        <f>HYPERLINK("https://www.773grp.com/manufacturer/national-semiconductor?pageNo=98", "National Semiconductor")</f>
        <v>National Semiconductor</v>
      </c>
      <c r="C12695" s="6">
        <v>601</v>
      </c>
      <c r="D12695" s="7">
        <v>188.71</v>
      </c>
    </row>
    <row r="12696" spans="1:5" x14ac:dyDescent="0.25">
      <c r="A12696" t="str">
        <f>HYPERLINK("https://www.773grp.com/globalSearch/ADC16V130CISQE-NOPB/page-1", "ADC16V130CISQE-NOPB")</f>
        <v>ADC16V130CISQE-NOPB</v>
      </c>
      <c r="B12696" s="3" t="str">
        <f>HYPERLINK("https://www.773grp.com/manufacturer/national-semiconductor?pageNo=99", "National Semiconductor")</f>
        <v>National Semiconductor</v>
      </c>
      <c r="C12696" s="6">
        <v>250</v>
      </c>
      <c r="D12696" s="7">
        <v>188.71</v>
      </c>
    </row>
    <row r="12697" spans="1:5" x14ac:dyDescent="0.25">
      <c r="A12697" t="str">
        <f>HYPERLINK("https://www.773grp.com/globalSearch/ADC161S626EB/page-1", "ADC161S626EB")</f>
        <v>ADC161S626EB</v>
      </c>
      <c r="B12697" s="3" t="str">
        <f>HYPERLINK("https://www.773grp.com/manufacturer/national-semiconductor?pageNo=100", "National Semiconductor")</f>
        <v>National Semiconductor</v>
      </c>
      <c r="C12697" s="6">
        <v>2</v>
      </c>
      <c r="D12697" s="7">
        <v>191.25</v>
      </c>
    </row>
    <row r="12698" spans="1:5" x14ac:dyDescent="0.25">
      <c r="A12698" t="str">
        <f>HYPERLINK("https://www.773grp.com/globalSearch/LM3478EVAL/page-1", "LM3478EVAL")</f>
        <v>LM3478EVAL</v>
      </c>
      <c r="B12698" s="3" t="str">
        <f>HYPERLINK("https://www.773grp.com/manufacturer/national-semiconductor?pageNo=101", "National Semiconductor")</f>
        <v>National Semiconductor</v>
      </c>
      <c r="C12698" s="6">
        <v>2</v>
      </c>
      <c r="D12698" s="7">
        <v>192.38</v>
      </c>
    </row>
    <row r="12699" spans="1:5" x14ac:dyDescent="0.25">
      <c r="A12699" t="str">
        <f>HYPERLINK("https://www.773grp.com/globalSearch/LM3409HVEVAL/page-1", "LM3409HVEVAL")</f>
        <v>LM3409HVEVAL</v>
      </c>
      <c r="B12699" s="3" t="str">
        <f>HYPERLINK("https://www.773grp.com/manufacturer/national-semiconductor?pageNo=102", "National Semiconductor")</f>
        <v>National Semiconductor</v>
      </c>
      <c r="C12699" s="6">
        <v>1</v>
      </c>
      <c r="D12699" s="7">
        <v>193.78</v>
      </c>
    </row>
    <row r="12700" spans="1:5" x14ac:dyDescent="0.25">
      <c r="A12700" t="str">
        <f>HYPERLINK("https://www.773grp.com/globalSearch/ADC0816CJ/page-1", "ADC0816CJ")</f>
        <v>ADC0816CJ</v>
      </c>
      <c r="B12700" s="3" t="str">
        <f>HYPERLINK("https://www.773grp.com/manufacturer/national-semiconductor?pageNo=103", "National Semiconductor")</f>
        <v>National Semiconductor</v>
      </c>
      <c r="C12700" s="6">
        <v>984</v>
      </c>
      <c r="D12700" s="7">
        <v>195.46</v>
      </c>
      <c r="E12700" t="s">
        <v>39</v>
      </c>
    </row>
    <row r="12701" spans="1:5" x14ac:dyDescent="0.25">
      <c r="A12701" t="str">
        <f>HYPERLINK("https://www.773grp.com/globalSearch/DP8419V-70/page-1", "DP8419V-70")</f>
        <v>DP8419V-70</v>
      </c>
      <c r="B12701" s="3" t="str">
        <f>HYPERLINK("https://www.773grp.com/manufacturer/national-semiconductor?pageNo=104", "National Semiconductor")</f>
        <v>National Semiconductor</v>
      </c>
      <c r="C12701" s="6">
        <v>683</v>
      </c>
      <c r="D12701" s="7">
        <v>196.88</v>
      </c>
      <c r="E12701" t="s">
        <v>87</v>
      </c>
    </row>
    <row r="12702" spans="1:5" x14ac:dyDescent="0.25">
      <c r="A12702" t="str">
        <f>HYPERLINK("https://www.773grp.com/globalSearch/LM5073EVAL/page-1", "LM5073EVAL")</f>
        <v>LM5073EVAL</v>
      </c>
      <c r="B12702" s="3" t="str">
        <f>HYPERLINK("https://www.773grp.com/manufacturer/national-semiconductor?pageNo=105", "National Semiconductor")</f>
        <v>National Semiconductor</v>
      </c>
      <c r="C12702" s="6">
        <v>7</v>
      </c>
      <c r="D12702" s="7">
        <v>202.54</v>
      </c>
    </row>
    <row r="12703" spans="1:5" x14ac:dyDescent="0.25">
      <c r="A12703" t="str">
        <f>HYPERLINK("https://www.773grp.com/globalSearch/DP8419N-70/page-1", "DP8419N-70")</f>
        <v>DP8419N-70</v>
      </c>
      <c r="B12703" s="3" t="str">
        <f>HYPERLINK("https://www.773grp.com/manufacturer/national-semiconductor?pageNo=106", "National Semiconductor")</f>
        <v>National Semiconductor</v>
      </c>
      <c r="C12703" s="6">
        <v>70</v>
      </c>
      <c r="D12703" s="7">
        <v>208.13</v>
      </c>
      <c r="E12703" t="s">
        <v>87</v>
      </c>
    </row>
    <row r="12704" spans="1:5" x14ac:dyDescent="0.25">
      <c r="A12704" t="str">
        <f>HYPERLINK("https://www.773grp.com/globalSearch/LM3207TLEV/page-1", "LM3207TLEV")</f>
        <v>LM3207TLEV</v>
      </c>
      <c r="B12704" s="3" t="str">
        <f>HYPERLINK("https://www.773grp.com/manufacturer/national-semiconductor?pageNo=107", "National Semiconductor")</f>
        <v>National Semiconductor</v>
      </c>
      <c r="C12704" s="6">
        <v>2</v>
      </c>
      <c r="D12704" s="7">
        <v>208.13</v>
      </c>
    </row>
    <row r="12705" spans="1:4" x14ac:dyDescent="0.25">
      <c r="A12705" t="str">
        <f>HYPERLINK("https://www.773grp.com/globalSearch/DP83848H-MAU-EK/page-1", "DP83848H-MAU-EK")</f>
        <v>DP83848H-MAU-EK</v>
      </c>
      <c r="B12705" s="3" t="str">
        <f>HYPERLINK("https://www.773grp.com/manufacturer/national-semiconductor?pageNo=108", "National Semiconductor")</f>
        <v>National Semiconductor</v>
      </c>
      <c r="C12705" s="6">
        <v>1</v>
      </c>
      <c r="D12705" s="7">
        <v>210.94</v>
      </c>
    </row>
    <row r="12706" spans="1:4" x14ac:dyDescent="0.25">
      <c r="A12706" t="str">
        <f>HYPERLINK("https://www.773grp.com/globalSearch/LM25085MYEVAL-NOPB/page-1", "LM25085MYEVAL-NOPB")</f>
        <v>LM25085MYEVAL-NOPB</v>
      </c>
      <c r="B12706" s="3" t="str">
        <f>HYPERLINK("https://www.773grp.com/manufacturer/national-semiconductor?pageNo=109", "National Semiconductor")</f>
        <v>National Semiconductor</v>
      </c>
      <c r="C12706" s="6">
        <v>3</v>
      </c>
      <c r="D12706" s="7">
        <v>210.94</v>
      </c>
    </row>
    <row r="12707" spans="1:4" x14ac:dyDescent="0.25">
      <c r="A12707" t="str">
        <f>HYPERLINK("https://www.773grp.com/globalSearch/LM2698EVAL/page-1", "LM2698EVAL")</f>
        <v>LM2698EVAL</v>
      </c>
      <c r="B12707" s="3" t="str">
        <f>HYPERLINK("https://www.773grp.com/manufacturer/national-semiconductor?pageNo=110", "National Semiconductor")</f>
        <v>National Semiconductor</v>
      </c>
      <c r="C12707" s="6">
        <v>6</v>
      </c>
      <c r="D12707" s="7">
        <v>210.94</v>
      </c>
    </row>
    <row r="12708" spans="1:4" x14ac:dyDescent="0.25">
      <c r="A12708" t="str">
        <f>HYPERLINK("https://www.773grp.com/globalSearch/LM2747-19AEVAL/page-1", "LM2747-19AEVAL")</f>
        <v>LM2747-19AEVAL</v>
      </c>
      <c r="B12708" s="3" t="str">
        <f>HYPERLINK("https://www.773grp.com/manufacturer/national-semiconductor?pageNo=111", "National Semiconductor")</f>
        <v>National Semiconductor</v>
      </c>
      <c r="C12708" s="6">
        <v>1</v>
      </c>
      <c r="D12708" s="7">
        <v>210.94</v>
      </c>
    </row>
    <row r="12709" spans="1:4" x14ac:dyDescent="0.25">
      <c r="A12709" t="str">
        <f>HYPERLINK("https://www.773grp.com/globalSearch/LM2747EVAL/page-1", "LM2747EVAL")</f>
        <v>LM2747EVAL</v>
      </c>
      <c r="B12709" s="3" t="str">
        <f>HYPERLINK("https://www.773grp.com/manufacturer/national-semiconductor?pageNo=112", "National Semiconductor")</f>
        <v>National Semiconductor</v>
      </c>
      <c r="C12709" s="6">
        <v>1</v>
      </c>
      <c r="D12709" s="7">
        <v>210.94</v>
      </c>
    </row>
    <row r="12710" spans="1:4" x14ac:dyDescent="0.25">
      <c r="A12710" t="str">
        <f>HYPERLINK("https://www.773grp.com/globalSearch/LM2852X-1.2EVAL/page-1", "LM2852X-1.2EVAL")</f>
        <v>LM2852X-1.2EVAL</v>
      </c>
      <c r="B12710" s="3" t="str">
        <f>HYPERLINK("https://www.773grp.com/manufacturer/national-semiconductor?pageNo=113", "National Semiconductor")</f>
        <v>National Semiconductor</v>
      </c>
      <c r="C12710" s="6">
        <v>7</v>
      </c>
      <c r="D12710" s="7">
        <v>210.94</v>
      </c>
    </row>
    <row r="12711" spans="1:4" x14ac:dyDescent="0.25">
      <c r="A12711" t="str">
        <f>HYPERLINK("https://www.773grp.com/globalSearch/LM2852X-1.8EVAL/page-1", "LM2852X-1.8EVAL")</f>
        <v>LM2852X-1.8EVAL</v>
      </c>
      <c r="B12711" s="3" t="str">
        <f>HYPERLINK("https://www.773grp.com/manufacturer/national-semiconductor?pageNo=114", "National Semiconductor")</f>
        <v>National Semiconductor</v>
      </c>
      <c r="C12711" s="6">
        <v>7</v>
      </c>
      <c r="D12711" s="7">
        <v>210.94</v>
      </c>
    </row>
    <row r="12712" spans="1:4" x14ac:dyDescent="0.25">
      <c r="A12712" t="str">
        <f>HYPERLINK("https://www.773grp.com/globalSearch/LM2852X-2.5EVAL/page-1", "LM2852X-2.5EVAL")</f>
        <v>LM2852X-2.5EVAL</v>
      </c>
      <c r="B12712" s="3" t="str">
        <f>HYPERLINK("https://www.773grp.com/manufacturer/national-semiconductor?pageNo=115", "National Semiconductor")</f>
        <v>National Semiconductor</v>
      </c>
      <c r="C12712" s="6">
        <v>7</v>
      </c>
      <c r="D12712" s="7">
        <v>210.94</v>
      </c>
    </row>
    <row r="12713" spans="1:4" x14ac:dyDescent="0.25">
      <c r="A12713" t="str">
        <f>HYPERLINK("https://www.773grp.com/globalSearch/LM2852X-3.3EVAL/page-1", "LM2852X-3.3EVAL")</f>
        <v>LM2852X-3.3EVAL</v>
      </c>
      <c r="B12713" s="3" t="str">
        <f>HYPERLINK("https://www.773grp.com/manufacturer/national-semiconductor?pageNo=116", "National Semiconductor")</f>
        <v>National Semiconductor</v>
      </c>
      <c r="C12713" s="6">
        <v>7</v>
      </c>
      <c r="D12713" s="7">
        <v>210.94</v>
      </c>
    </row>
    <row r="12714" spans="1:4" x14ac:dyDescent="0.25">
      <c r="A12714" t="str">
        <f>HYPERLINK("https://www.773grp.com/globalSearch/LM2854-1000EVAL/page-1", "LM2854-1000EVAL")</f>
        <v>LM2854-1000EVAL</v>
      </c>
      <c r="B12714" s="3" t="str">
        <f>HYPERLINK("https://www.773grp.com/manufacturer/national-semiconductor?pageNo=117", "National Semiconductor")</f>
        <v>National Semiconductor</v>
      </c>
      <c r="C12714" s="6">
        <v>6</v>
      </c>
      <c r="D12714" s="7">
        <v>210.94</v>
      </c>
    </row>
    <row r="12715" spans="1:4" x14ac:dyDescent="0.25">
      <c r="A12715" t="str">
        <f>HYPERLINK("https://www.773grp.com/globalSearch/LM2854EVAL/page-1", "LM2854EVAL")</f>
        <v>LM2854EVAL</v>
      </c>
      <c r="B12715" s="3" t="str">
        <f>HYPERLINK("https://www.773grp.com/manufacturer/national-semiconductor?pageNo=118", "National Semiconductor")</f>
        <v>National Semiconductor</v>
      </c>
      <c r="C12715" s="6">
        <v>5</v>
      </c>
      <c r="D12715" s="7">
        <v>210.94</v>
      </c>
    </row>
    <row r="12716" spans="1:4" x14ac:dyDescent="0.25">
      <c r="A12716" t="str">
        <f>HYPERLINK("https://www.773grp.com/globalSearch/LM3409EVAL-NOPB/page-1", "LM3409EVAL-NOPB")</f>
        <v>LM3409EVAL-NOPB</v>
      </c>
      <c r="B12716" s="3" t="str">
        <f>HYPERLINK("https://www.773grp.com/manufacturer/national-semiconductor?pageNo=119", "National Semiconductor")</f>
        <v>National Semiconductor</v>
      </c>
      <c r="C12716" s="6">
        <v>3</v>
      </c>
      <c r="D12716" s="7">
        <v>210.94</v>
      </c>
    </row>
    <row r="12717" spans="1:4" x14ac:dyDescent="0.25">
      <c r="A12717" t="str">
        <f>HYPERLINK("https://www.773grp.com/globalSearch/LM3668SD-2833EV-NOPB/page-1", "LM3668SD-2833EV-NOPB")</f>
        <v>LM3668SD-2833EV-NOPB</v>
      </c>
      <c r="B12717" s="3" t="str">
        <f>HYPERLINK("https://www.773grp.com/manufacturer/national-semiconductor?pageNo=120", "National Semiconductor")</f>
        <v>National Semiconductor</v>
      </c>
      <c r="C12717" s="6">
        <v>2</v>
      </c>
      <c r="D12717" s="7">
        <v>210.94</v>
      </c>
    </row>
    <row r="12718" spans="1:4" x14ac:dyDescent="0.25">
      <c r="A12718" t="str">
        <f>HYPERLINK("https://www.773grp.com/globalSearch/LM5060EVAL-NOPB/page-1", "LM5060EVAL-NOPB")</f>
        <v>LM5060EVAL-NOPB</v>
      </c>
      <c r="B12718" s="3" t="str">
        <f>HYPERLINK("https://www.773grp.com/manufacturer/national-semiconductor?pageNo=121", "National Semiconductor")</f>
        <v>National Semiconductor</v>
      </c>
      <c r="C12718" s="6">
        <v>1</v>
      </c>
      <c r="D12718" s="7">
        <v>210.94</v>
      </c>
    </row>
    <row r="12719" spans="1:4" x14ac:dyDescent="0.25">
      <c r="A12719" t="str">
        <f>HYPERLINK("https://www.773grp.com/globalSearch/LM5085EVAL-NOPB/page-1", "LM5085EVAL-NOPB")</f>
        <v>LM5085EVAL-NOPB</v>
      </c>
      <c r="B12719" s="3" t="str">
        <f>HYPERLINK("https://www.773grp.com/manufacturer/national-semiconductor?pageNo=122", "National Semiconductor")</f>
        <v>National Semiconductor</v>
      </c>
      <c r="C12719" s="6">
        <v>4</v>
      </c>
      <c r="D12719" s="7">
        <v>210.94</v>
      </c>
    </row>
    <row r="12720" spans="1:4" x14ac:dyDescent="0.25">
      <c r="A12720" t="str">
        <f>HYPERLINK("https://www.773grp.com/globalSearch/LM5116-12EVAL-NOPB/page-1", "LM5116-12EVAL-NOPB")</f>
        <v>LM5116-12EVAL-NOPB</v>
      </c>
      <c r="B12720" s="3" t="str">
        <f>HYPERLINK("https://www.773grp.com/manufacturer/national-semiconductor?pageNo=123", "National Semiconductor")</f>
        <v>National Semiconductor</v>
      </c>
      <c r="C12720" s="6">
        <v>2</v>
      </c>
      <c r="D12720" s="7">
        <v>210.94</v>
      </c>
    </row>
    <row r="12721" spans="1:5" x14ac:dyDescent="0.25">
      <c r="A12721" t="str">
        <f>HYPERLINK("https://www.773grp.com/globalSearch/LM5116EVAL-NOPB/page-1", "LM5116EVAL-NOPB")</f>
        <v>LM5116EVAL-NOPB</v>
      </c>
      <c r="B12721" s="3" t="str">
        <f>HYPERLINK("https://www.773grp.com/manufacturer/national-semiconductor?pageNo=124", "National Semiconductor")</f>
        <v>National Semiconductor</v>
      </c>
      <c r="C12721" s="6">
        <v>1</v>
      </c>
      <c r="D12721" s="7">
        <v>210.94</v>
      </c>
    </row>
    <row r="12722" spans="1:5" x14ac:dyDescent="0.25">
      <c r="A12722" t="str">
        <f>HYPERLINK("https://www.773grp.com/globalSearch/LM5118EVAL-NOPB/page-1", "LM5118EVAL-NOPB")</f>
        <v>LM5118EVAL-NOPB</v>
      </c>
      <c r="B12722" s="3" t="str">
        <f>HYPERLINK("https://www.773grp.com/manufacturer/national-semiconductor?pageNo=125", "National Semiconductor")</f>
        <v>National Semiconductor</v>
      </c>
      <c r="C12722" s="6">
        <v>8</v>
      </c>
      <c r="D12722" s="7">
        <v>210.94</v>
      </c>
    </row>
    <row r="12723" spans="1:5" x14ac:dyDescent="0.25">
      <c r="A12723" t="str">
        <f>HYPERLINK("https://www.773grp.com/globalSearch/LM57B10EB-NOPB/page-1", "LM57B10EB-NOPB")</f>
        <v>LM57B10EB-NOPB</v>
      </c>
      <c r="B12723" s="3" t="str">
        <f>HYPERLINK("https://www.773grp.com/manufacturer/national-semiconductor?pageNo=126", "National Semiconductor")</f>
        <v>National Semiconductor</v>
      </c>
      <c r="C12723" s="6">
        <v>2</v>
      </c>
      <c r="D12723" s="7">
        <v>210.94</v>
      </c>
    </row>
    <row r="12724" spans="1:5" x14ac:dyDescent="0.25">
      <c r="A12724" t="str">
        <f>HYPERLINK("https://www.773grp.com/globalSearch/LMH1980MMEVAL-NOPB/page-1", "LMH1980MMEVAL-NOPB")</f>
        <v>LMH1980MMEVAL-NOPB</v>
      </c>
      <c r="B12724" s="3" t="str">
        <f>HYPERLINK("https://www.773grp.com/manufacturer/national-semiconductor?pageNo=127", "National Semiconductor")</f>
        <v>National Semiconductor</v>
      </c>
      <c r="C12724" s="6">
        <v>1</v>
      </c>
      <c r="D12724" s="7">
        <v>210.94</v>
      </c>
    </row>
    <row r="12725" spans="1:5" x14ac:dyDescent="0.25">
      <c r="A12725" t="str">
        <f>HYPERLINK("https://www.773grp.com/globalSearch/LMP8601MAEVAL-NOPB/page-1", "LMP8601MAEVAL-NOPB")</f>
        <v>LMP8601MAEVAL-NOPB</v>
      </c>
      <c r="B12725" s="3" t="str">
        <f>HYPERLINK("https://www.773grp.com/manufacturer/national-semiconductor?pageNo=128", "National Semiconductor")</f>
        <v>National Semiconductor</v>
      </c>
      <c r="C12725" s="6">
        <v>3</v>
      </c>
      <c r="D12725" s="7">
        <v>210.94</v>
      </c>
    </row>
    <row r="12726" spans="1:5" x14ac:dyDescent="0.25">
      <c r="A12726" t="str">
        <f>HYPERLINK("https://www.773grp.com/globalSearch/DP83848H-MAU-EK/page-1", "DP83848H-MAU-EK")</f>
        <v>DP83848H-MAU-EK</v>
      </c>
      <c r="B12726" s="3" t="str">
        <f>HYPERLINK("https://www.773grp.com/manufacturer/national-semiconductor?pageNo=129", "National Semiconductor")</f>
        <v>National Semiconductor</v>
      </c>
      <c r="C12726" s="6">
        <v>2</v>
      </c>
      <c r="D12726" s="7">
        <v>210.94</v>
      </c>
    </row>
    <row r="12727" spans="1:5" x14ac:dyDescent="0.25">
      <c r="A12727" t="str">
        <f>HYPERLINK("https://www.773grp.com/globalSearch/LM25085AMYEEVAL-NOPB/page-1", "LM25085AMYEEVAL-NOPB")</f>
        <v>LM25085AMYEEVAL-NOPB</v>
      </c>
      <c r="B12727" s="3" t="str">
        <f>HYPERLINK("https://www.773grp.com/manufacturer/national-semiconductor?pageNo=130", "National Semiconductor")</f>
        <v>National Semiconductor</v>
      </c>
      <c r="C12727" s="6">
        <v>4</v>
      </c>
      <c r="D12727" s="7">
        <v>210.94</v>
      </c>
    </row>
    <row r="12728" spans="1:5" x14ac:dyDescent="0.25">
      <c r="A12728" t="str">
        <f>HYPERLINK("https://www.773grp.com/globalSearch/TLV320DAC3100EVM-U/page-1", "TLV320DAC3100EVM-U")</f>
        <v>TLV320DAC3100EVM-U</v>
      </c>
      <c r="B12728" s="3" t="str">
        <f>HYPERLINK("https://www.773grp.com/manufacturer/national-semiconductor?pageNo=131", "National Semiconductor")</f>
        <v>National Semiconductor</v>
      </c>
      <c r="C12728" s="6">
        <v>2</v>
      </c>
      <c r="D12728" s="7">
        <v>210.94</v>
      </c>
    </row>
    <row r="12729" spans="1:5" x14ac:dyDescent="0.25">
      <c r="A12729" t="str">
        <f>HYPERLINK("https://www.773grp.com/globalSearch/CLC431AE-QML/page-1", "CLC431AE-QML")</f>
        <v>CLC431AE-QML</v>
      </c>
      <c r="B12729" s="3" t="str">
        <f>HYPERLINK("https://www.773grp.com/manufacturer/national-semiconductor?pageNo=132", "National Semiconductor")</f>
        <v>National Semiconductor</v>
      </c>
      <c r="C12729" s="6">
        <v>399</v>
      </c>
      <c r="D12729" s="7">
        <v>211.24</v>
      </c>
    </row>
    <row r="12730" spans="1:5" x14ac:dyDescent="0.25">
      <c r="A12730" t="str">
        <f>HYPERLINK("https://www.773grp.com/globalSearch/5962-9865201QFA/page-1", "5962-9865201QFA")</f>
        <v>5962-9865201QFA</v>
      </c>
      <c r="B12730" s="3" t="str">
        <f>HYPERLINK("https://www.773grp.com/manufacturer/national-semiconductor?pageNo=133", "National Semiconductor")</f>
        <v>National Semiconductor</v>
      </c>
      <c r="C12730" s="6">
        <v>111</v>
      </c>
      <c r="D12730" s="7">
        <v>214.15</v>
      </c>
      <c r="E12730" t="s">
        <v>21</v>
      </c>
    </row>
    <row r="12731" spans="1:5" x14ac:dyDescent="0.25">
      <c r="A12731" t="str">
        <f>HYPERLINK("https://www.773grp.com/globalSearch/DS90LV032AW-QML/page-1", "DS90LV032AW-QML")</f>
        <v>DS90LV032AW-QML</v>
      </c>
      <c r="B12731" s="3" t="str">
        <f>HYPERLINK("https://www.773grp.com/manufacturer/national-semiconductor?pageNo=134", "National Semiconductor")</f>
        <v>National Semiconductor</v>
      </c>
      <c r="C12731" s="6">
        <v>19</v>
      </c>
      <c r="D12731" s="7">
        <v>214.15</v>
      </c>
    </row>
    <row r="12732" spans="1:5" x14ac:dyDescent="0.25">
      <c r="A12732" t="str">
        <f>HYPERLINK("https://www.773grp.com/globalSearch/LM3431EVAL/page-1", "LM3431EVAL")</f>
        <v>LM3431EVAL</v>
      </c>
      <c r="B12732" s="3" t="str">
        <f>HYPERLINK("https://www.773grp.com/manufacturer/national-semiconductor?pageNo=1", "National Semiconductor")</f>
        <v>National Semiconductor</v>
      </c>
      <c r="C12732" s="6">
        <v>6</v>
      </c>
      <c r="D12732" s="7">
        <v>214.88</v>
      </c>
    </row>
    <row r="12733" spans="1:5" x14ac:dyDescent="0.25">
      <c r="A12733" t="str">
        <f>HYPERLINK("https://www.773grp.com/globalSearch/LM3429BKBSTEVAL/page-1", "LM3429BKBSTEVAL")</f>
        <v>LM3429BKBSTEVAL</v>
      </c>
      <c r="B12733" s="3" t="str">
        <f>HYPERLINK("https://www.773grp.com/manufacturer/national-semiconductor?pageNo=2", "National Semiconductor")</f>
        <v>National Semiconductor</v>
      </c>
      <c r="C12733" s="6">
        <v>2</v>
      </c>
      <c r="D12733" s="7">
        <v>215.16</v>
      </c>
    </row>
    <row r="12734" spans="1:5" x14ac:dyDescent="0.25">
      <c r="A12734" t="str">
        <f>HYPERLINK("https://www.773grp.com/globalSearch/LM3429BSTEVAL/page-1", "LM3429BSTEVAL")</f>
        <v>LM3429BSTEVAL</v>
      </c>
      <c r="B12734" s="3" t="str">
        <f>HYPERLINK("https://www.773grp.com/manufacturer/national-semiconductor?pageNo=3", "National Semiconductor")</f>
        <v>National Semiconductor</v>
      </c>
      <c r="C12734" s="6">
        <v>2</v>
      </c>
      <c r="D12734" s="7">
        <v>215.16</v>
      </c>
    </row>
    <row r="12735" spans="1:5" x14ac:dyDescent="0.25">
      <c r="A12735" t="str">
        <f>HYPERLINK("https://www.773grp.com/globalSearch/LM3495EVAL/page-1", "LM3495EVAL")</f>
        <v>LM3495EVAL</v>
      </c>
      <c r="B12735" s="3" t="str">
        <f>HYPERLINK("https://www.773grp.com/manufacturer/national-semiconductor?pageNo=4", "National Semiconductor")</f>
        <v>National Semiconductor</v>
      </c>
      <c r="C12735" s="6">
        <v>2</v>
      </c>
      <c r="D12735" s="7">
        <v>216.29</v>
      </c>
    </row>
    <row r="12736" spans="1:5" x14ac:dyDescent="0.25">
      <c r="A12736" t="str">
        <f>HYPERLINK("https://www.773grp.com/globalSearch/LM89-1EVAL/page-1", "LM89-1EVAL")</f>
        <v>LM89-1EVAL</v>
      </c>
      <c r="B12736" s="3" t="str">
        <f>HYPERLINK("https://www.773grp.com/manufacturer/national-semiconductor?pageNo=5", "National Semiconductor")</f>
        <v>National Semiconductor</v>
      </c>
      <c r="C12736" s="6">
        <v>1</v>
      </c>
      <c r="D12736" s="7">
        <v>219.33</v>
      </c>
    </row>
    <row r="12737" spans="1:5" x14ac:dyDescent="0.25">
      <c r="A12737" t="str">
        <f>HYPERLINK("https://www.773grp.com/globalSearch/93Z665DMQS55/page-1", "93Z665DMQS55")</f>
        <v>93Z665DMQS55</v>
      </c>
      <c r="B12737" s="3" t="str">
        <f>HYPERLINK("https://www.773grp.com/manufacturer/national-semiconductor?pageNo=6", "National Semiconductor")</f>
        <v>National Semiconductor</v>
      </c>
      <c r="C12737" s="6">
        <v>73</v>
      </c>
      <c r="D12737" s="7">
        <v>219.38</v>
      </c>
    </row>
    <row r="12738" spans="1:5" x14ac:dyDescent="0.25">
      <c r="A12738" t="str">
        <f>HYPERLINK("https://www.773grp.com/globalSearch/DP8422AVX-25/page-1", "DP8422AVX-25")</f>
        <v>DP8422AVX-25</v>
      </c>
      <c r="B12738" s="3" t="str">
        <f>HYPERLINK("https://www.773grp.com/manufacturer/national-semiconductor?pageNo=7", "National Semiconductor")</f>
        <v>National Semiconductor</v>
      </c>
      <c r="C12738" s="6">
        <v>750</v>
      </c>
      <c r="D12738" s="7">
        <v>219.38</v>
      </c>
      <c r="E12738" t="s">
        <v>87</v>
      </c>
    </row>
    <row r="12739" spans="1:5" x14ac:dyDescent="0.25">
      <c r="A12739" t="str">
        <f>HYPERLINK("https://www.773grp.com/globalSearch/CLC502AE-QML/page-1", "CLC502AE-QML")</f>
        <v>CLC502AE-QML</v>
      </c>
      <c r="B12739" s="3" t="str">
        <f>HYPERLINK("https://www.773grp.com/manufacturer/national-semiconductor?pageNo=8", "National Semiconductor")</f>
        <v>National Semiconductor</v>
      </c>
      <c r="C12739" s="6">
        <v>31</v>
      </c>
      <c r="D12739" s="7">
        <v>219.68</v>
      </c>
      <c r="E12739" t="s">
        <v>13</v>
      </c>
    </row>
    <row r="12740" spans="1:5" x14ac:dyDescent="0.25">
      <c r="A12740" t="str">
        <f>HYPERLINK("https://www.773grp.com/globalSearch/LM2743-19AEVAL/page-1", "LM2743-19AEVAL")</f>
        <v>LM2743-19AEVAL</v>
      </c>
      <c r="B12740" s="3" t="str">
        <f>HYPERLINK("https://www.773grp.com/manufacturer/national-semiconductor?pageNo=9", "National Semiconductor")</f>
        <v>National Semiconductor</v>
      </c>
      <c r="C12740" s="6">
        <v>1</v>
      </c>
      <c r="D12740" s="7">
        <v>222.19</v>
      </c>
    </row>
    <row r="12741" spans="1:5" x14ac:dyDescent="0.25">
      <c r="A12741" t="str">
        <f>HYPERLINK("https://www.773grp.com/globalSearch/LM2744EVAL/page-1", "LM2744EVAL")</f>
        <v>LM2744EVAL</v>
      </c>
      <c r="B12741" s="3" t="str">
        <f>HYPERLINK("https://www.773grp.com/manufacturer/national-semiconductor?pageNo=10", "National Semiconductor")</f>
        <v>National Semiconductor</v>
      </c>
      <c r="C12741" s="6">
        <v>1</v>
      </c>
      <c r="D12741" s="7">
        <v>222.19</v>
      </c>
    </row>
    <row r="12742" spans="1:5" x14ac:dyDescent="0.25">
      <c r="A12742" t="str">
        <f>HYPERLINK("https://www.773grp.com/globalSearch/LM2796TLEV/page-1", "LM2796TLEV")</f>
        <v>LM2796TLEV</v>
      </c>
      <c r="B12742" s="3" t="str">
        <f>HYPERLINK("https://www.773grp.com/manufacturer/national-semiconductor?pageNo=11", "National Semiconductor")</f>
        <v>National Semiconductor</v>
      </c>
      <c r="C12742" s="6">
        <v>4</v>
      </c>
      <c r="D12742" s="7">
        <v>222.19</v>
      </c>
    </row>
    <row r="12743" spans="1:5" x14ac:dyDescent="0.25">
      <c r="A12743" t="str">
        <f>HYPERLINK("https://www.773grp.com/globalSearch/LM3100EVAL/page-1", "LM3100EVAL")</f>
        <v>LM3100EVAL</v>
      </c>
      <c r="B12743" s="3" t="str">
        <f>HYPERLINK("https://www.773grp.com/manufacturer/national-semiconductor?pageNo=12", "National Semiconductor")</f>
        <v>National Semiconductor</v>
      </c>
      <c r="C12743" s="6">
        <v>6</v>
      </c>
      <c r="D12743" s="7">
        <v>222.19</v>
      </c>
    </row>
    <row r="12744" spans="1:5" x14ac:dyDescent="0.25">
      <c r="A12744" t="str">
        <f>HYPERLINK("https://www.773grp.com/globalSearch/LM3409HVEVAL-NOPB/page-1", "LM3409HVEVAL-NOPB")</f>
        <v>LM3409HVEVAL-NOPB</v>
      </c>
      <c r="B12744" s="3" t="str">
        <f>HYPERLINK("https://www.773grp.com/manufacturer/national-semiconductor?pageNo=13", "National Semiconductor")</f>
        <v>National Semiconductor</v>
      </c>
      <c r="C12744" s="6">
        <v>2</v>
      </c>
      <c r="D12744" s="7">
        <v>222.19</v>
      </c>
    </row>
    <row r="12745" spans="1:5" x14ac:dyDescent="0.25">
      <c r="A12745" t="str">
        <f>HYPERLINK("https://www.773grp.com/globalSearch/LM3445-120VFLBK-NOPB/page-1", "LM3445-120VFLBK-NOPB")</f>
        <v>LM3445-120VFLBK-NOPB</v>
      </c>
      <c r="B12745" s="3" t="str">
        <f>HYPERLINK("https://www.773grp.com/manufacturer/national-semiconductor?pageNo=14", "National Semiconductor")</f>
        <v>National Semiconductor</v>
      </c>
      <c r="C12745" s="6">
        <v>4</v>
      </c>
      <c r="D12745" s="7">
        <v>222.19</v>
      </c>
    </row>
    <row r="12746" spans="1:5" x14ac:dyDescent="0.25">
      <c r="A12746" t="str">
        <f>HYPERLINK("https://www.773grp.com/globalSearch/LM3445-230VFLBK-NOPB/page-1", "LM3445-230VFLBK-NOPB")</f>
        <v>LM3445-230VFLBK-NOPB</v>
      </c>
      <c r="B12746" s="3" t="str">
        <f>HYPERLINK("https://www.773grp.com/manufacturer/national-semiconductor?pageNo=15", "National Semiconductor")</f>
        <v>National Semiconductor</v>
      </c>
      <c r="C12746" s="6">
        <v>5</v>
      </c>
      <c r="D12746" s="7">
        <v>222.19</v>
      </c>
    </row>
    <row r="12747" spans="1:5" x14ac:dyDescent="0.25">
      <c r="A12747" t="str">
        <f>HYPERLINK("https://www.773grp.com/globalSearch/LM3445-EDSNEV-NOPB/page-1", "LM3445-EDSNEV-NOPB")</f>
        <v>LM3445-EDSNEV-NOPB</v>
      </c>
      <c r="B12747" s="3" t="str">
        <f>HYPERLINK("https://www.773grp.com/manufacturer/national-semiconductor?pageNo=16", "National Semiconductor")</f>
        <v>National Semiconductor</v>
      </c>
      <c r="C12747" s="6">
        <v>3</v>
      </c>
      <c r="D12747" s="7">
        <v>222.19</v>
      </c>
    </row>
    <row r="12748" spans="1:5" x14ac:dyDescent="0.25">
      <c r="A12748" t="str">
        <f>HYPERLINK("https://www.773grp.com/globalSearch/LM3464EVAL-NOPB/page-1", "LM3464EVAL-NOPB")</f>
        <v>LM3464EVAL-NOPB</v>
      </c>
      <c r="B12748" s="3" t="str">
        <f>HYPERLINK("https://www.773grp.com/manufacturer/national-semiconductor?pageNo=17", "National Semiconductor")</f>
        <v>National Semiconductor</v>
      </c>
      <c r="C12748" s="6">
        <v>8</v>
      </c>
      <c r="D12748" s="7">
        <v>222.19</v>
      </c>
    </row>
    <row r="12749" spans="1:5" x14ac:dyDescent="0.25">
      <c r="A12749" t="str">
        <f>HYPERLINK("https://www.773grp.com/globalSearch/LM3500TL-16EV/page-1", "LM3500TL-16EV")</f>
        <v>LM3500TL-16EV</v>
      </c>
      <c r="B12749" s="3" t="str">
        <f>HYPERLINK("https://www.773grp.com/manufacturer/national-semiconductor?pageNo=18", "National Semiconductor")</f>
        <v>National Semiconductor</v>
      </c>
      <c r="C12749" s="6">
        <v>1</v>
      </c>
      <c r="D12749" s="7">
        <v>222.19</v>
      </c>
    </row>
    <row r="12750" spans="1:5" x14ac:dyDescent="0.25">
      <c r="A12750" t="str">
        <f>HYPERLINK("https://www.773grp.com/globalSearch/LM3501TL-16EV/page-1", "LM3501TL-16EV")</f>
        <v>LM3501TL-16EV</v>
      </c>
      <c r="B12750" s="3" t="str">
        <f>HYPERLINK("https://www.773grp.com/manufacturer/national-semiconductor?pageNo=19", "National Semiconductor")</f>
        <v>National Semiconductor</v>
      </c>
      <c r="C12750" s="6">
        <v>7</v>
      </c>
      <c r="D12750" s="7">
        <v>222.19</v>
      </c>
    </row>
    <row r="12751" spans="1:5" x14ac:dyDescent="0.25">
      <c r="A12751" t="str">
        <f>HYPERLINK("https://www.773grp.com/globalSearch/LM3743-1000EVAL/page-1", "LM3743-1000EVAL")</f>
        <v>LM3743-1000EVAL</v>
      </c>
      <c r="B12751" s="3" t="str">
        <f>HYPERLINK("https://www.773grp.com/manufacturer/national-semiconductor?pageNo=20", "National Semiconductor")</f>
        <v>National Semiconductor</v>
      </c>
      <c r="C12751" s="6">
        <v>1</v>
      </c>
      <c r="D12751" s="7">
        <v>222.19</v>
      </c>
    </row>
    <row r="12752" spans="1:5" x14ac:dyDescent="0.25">
      <c r="A12752" t="str">
        <f>HYPERLINK("https://www.773grp.com/globalSearch/LM3743-300EVAL/page-1", "LM3743-300EVAL")</f>
        <v>LM3743-300EVAL</v>
      </c>
      <c r="B12752" s="3" t="str">
        <f>HYPERLINK("https://www.773grp.com/manufacturer/national-semiconductor?pageNo=21", "National Semiconductor")</f>
        <v>National Semiconductor</v>
      </c>
      <c r="C12752" s="6">
        <v>1</v>
      </c>
      <c r="D12752" s="7">
        <v>222.19</v>
      </c>
    </row>
    <row r="12753" spans="1:5" x14ac:dyDescent="0.25">
      <c r="A12753" t="str">
        <f>HYPERLINK("https://www.773grp.com/globalSearch/LM89EVAL/page-1", "LM89EVAL")</f>
        <v>LM89EVAL</v>
      </c>
      <c r="B12753" s="3" t="str">
        <f>HYPERLINK("https://www.773grp.com/manufacturer/national-semiconductor?pageNo=22", "National Semiconductor")</f>
        <v>National Semiconductor</v>
      </c>
      <c r="C12753" s="6">
        <v>1</v>
      </c>
      <c r="D12753" s="7">
        <v>222.19</v>
      </c>
    </row>
    <row r="12754" spans="1:5" x14ac:dyDescent="0.25">
      <c r="A12754" t="str">
        <f>HYPERLINK("https://www.773grp.com/globalSearch/LM3464EVAL-NOPB/page-1", "LM3464EVAL-NOPB")</f>
        <v>LM3464EVAL-NOPB</v>
      </c>
      <c r="B12754" s="3" t="str">
        <f>HYPERLINK("https://www.773grp.com/manufacturer/national-semiconductor?pageNo=23", "National Semiconductor")</f>
        <v>National Semiconductor</v>
      </c>
      <c r="C12754" s="6">
        <v>5</v>
      </c>
      <c r="D12754" s="7">
        <v>222.19</v>
      </c>
    </row>
    <row r="12755" spans="1:5" x14ac:dyDescent="0.25">
      <c r="A12755" t="str">
        <f>HYPERLINK("https://www.773grp.com/globalSearch/LM3533EVAL-NOPB/page-1", "LM3533EVAL-NOPB")</f>
        <v>LM3533EVAL-NOPB</v>
      </c>
      <c r="B12755" s="3" t="str">
        <f>HYPERLINK("https://www.773grp.com/manufacturer/national-semiconductor?pageNo=24", "National Semiconductor")</f>
        <v>National Semiconductor</v>
      </c>
      <c r="C12755" s="6">
        <v>1</v>
      </c>
      <c r="D12755" s="7">
        <v>222.19</v>
      </c>
    </row>
    <row r="12756" spans="1:5" x14ac:dyDescent="0.25">
      <c r="A12756" t="str">
        <f>HYPERLINK("https://www.773grp.com/globalSearch/CLC532AE-QML/page-1", "CLC532AE-QML")</f>
        <v>CLC532AE-QML</v>
      </c>
      <c r="B12756" s="3" t="str">
        <f>HYPERLINK("https://www.773grp.com/manufacturer/national-semiconductor?pageNo=25", "National Semiconductor")</f>
        <v>National Semiconductor</v>
      </c>
      <c r="C12756" s="6">
        <v>813</v>
      </c>
      <c r="D12756" s="7">
        <v>224.39</v>
      </c>
      <c r="E12756" t="s">
        <v>56</v>
      </c>
    </row>
    <row r="12757" spans="1:5" x14ac:dyDescent="0.25">
      <c r="A12757" t="str">
        <f>HYPERLINK("https://www.773grp.com/globalSearch/LM3445-120VSMEV-NOPB/page-1", "LM3445-120VSMEV-NOPB")</f>
        <v>LM3445-120VSMEV-NOPB</v>
      </c>
      <c r="B12757" s="3" t="str">
        <f>HYPERLINK("https://www.773grp.com/manufacturer/national-semiconductor?pageNo=26", "National Semiconductor")</f>
        <v>National Semiconductor</v>
      </c>
      <c r="C12757" s="6">
        <v>2</v>
      </c>
      <c r="D12757" s="7">
        <v>224.91</v>
      </c>
    </row>
    <row r="12758" spans="1:5" x14ac:dyDescent="0.25">
      <c r="A12758" t="str">
        <f>HYPERLINK("https://www.773grp.com/globalSearch/LM3445-208277EV-NOPB/page-1", "LM3445-208277EV-NOPB")</f>
        <v>LM3445-208277EV-NOPB</v>
      </c>
      <c r="B12758" s="3" t="str">
        <f>HYPERLINK("https://www.773grp.com/manufacturer/national-semiconductor?pageNo=27", "National Semiconductor")</f>
        <v>National Semiconductor</v>
      </c>
      <c r="C12758" s="6">
        <v>16</v>
      </c>
      <c r="D12758" s="7">
        <v>224.91</v>
      </c>
    </row>
    <row r="12759" spans="1:5" x14ac:dyDescent="0.25">
      <c r="A12759" t="str">
        <f>HYPERLINK("https://www.773grp.com/globalSearch/LM3430EVAL/page-1", "LM3430EVAL")</f>
        <v>LM3430EVAL</v>
      </c>
      <c r="B12759" s="3" t="str">
        <f>HYPERLINK("https://www.773grp.com/manufacturer/national-semiconductor?pageNo=28", "National Semiconductor")</f>
        <v>National Semiconductor</v>
      </c>
      <c r="C12759" s="6">
        <v>6</v>
      </c>
      <c r="D12759" s="7">
        <v>225.84</v>
      </c>
    </row>
    <row r="12760" spans="1:5" x14ac:dyDescent="0.25">
      <c r="A12760" t="str">
        <f>HYPERLINK("https://www.773grp.com/globalSearch/5962-9551301QEA/page-1", "5962-9551301QEA")</f>
        <v>5962-9551301QEA</v>
      </c>
      <c r="B12760" s="3" t="str">
        <f>HYPERLINK("https://www.773grp.com/manufacturer/national-semiconductor?pageNo=29", "National Semiconductor")</f>
        <v>National Semiconductor</v>
      </c>
      <c r="C12760" s="6">
        <v>252</v>
      </c>
      <c r="D12760" s="7">
        <v>232.04</v>
      </c>
      <c r="E12760" t="s">
        <v>39</v>
      </c>
    </row>
    <row r="12761" spans="1:5" x14ac:dyDescent="0.25">
      <c r="A12761" t="str">
        <f>HYPERLINK("https://www.773grp.com/globalSearch/LMH1981MTEVAL/page-1", "LMH1981MTEVAL")</f>
        <v>LMH1981MTEVAL</v>
      </c>
      <c r="B12761" s="3" t="str">
        <f>HYPERLINK("https://www.773grp.com/manufacturer/national-semiconductor?pageNo=30", "National Semiconductor")</f>
        <v>National Semiconductor</v>
      </c>
      <c r="C12761" s="6">
        <v>1</v>
      </c>
      <c r="D12761" s="7">
        <v>236.81</v>
      </c>
    </row>
    <row r="12762" spans="1:5" x14ac:dyDescent="0.25">
      <c r="A12762" t="str">
        <f>HYPERLINK("https://www.773grp.com/globalSearch/LMP90100EB/page-1", "LMP90100EB")</f>
        <v>LMP90100EB</v>
      </c>
      <c r="B12762" s="3" t="str">
        <f>HYPERLINK("https://www.773grp.com/manufacturer/national-semiconductor?pageNo=31", "National Semiconductor")</f>
        <v>National Semiconductor</v>
      </c>
      <c r="C12762" s="6">
        <v>4</v>
      </c>
      <c r="D12762" s="7">
        <v>236.81</v>
      </c>
    </row>
    <row r="12763" spans="1:5" x14ac:dyDescent="0.25">
      <c r="A12763" t="str">
        <f>HYPERLINK("https://www.773grp.com/globalSearch/LMP91000SDEVAL/page-1", "LMP91000SDEVAL")</f>
        <v>LMP91000SDEVAL</v>
      </c>
      <c r="B12763" s="3" t="str">
        <f>HYPERLINK("https://www.773grp.com/manufacturer/national-semiconductor?pageNo=32", "National Semiconductor")</f>
        <v>National Semiconductor</v>
      </c>
      <c r="C12763" s="6">
        <v>1</v>
      </c>
      <c r="D12763" s="7">
        <v>236.81</v>
      </c>
    </row>
    <row r="12764" spans="1:5" x14ac:dyDescent="0.25">
      <c r="A12764" t="str">
        <f>HYPERLINK("https://www.773grp.com/globalSearch/LMP91000SDEVAL-NOPB/page-1", "LMP91000SDEVAL-NOPB")</f>
        <v>LMP91000SDEVAL-NOPB</v>
      </c>
      <c r="B12764" s="3" t="str">
        <f>HYPERLINK("https://www.773grp.com/manufacturer/national-semiconductor?pageNo=33", "National Semiconductor")</f>
        <v>National Semiconductor</v>
      </c>
      <c r="C12764" s="6">
        <v>9</v>
      </c>
      <c r="D12764" s="7">
        <v>236.81</v>
      </c>
    </row>
    <row r="12765" spans="1:5" x14ac:dyDescent="0.25">
      <c r="A12765" t="str">
        <f>HYPERLINK("https://www.773grp.com/globalSearch/LM2793LDEV/page-1", "LM2793LDEV")</f>
        <v>LM2793LDEV</v>
      </c>
      <c r="B12765" s="3" t="str">
        <f>HYPERLINK("https://www.773grp.com/manufacturer/national-semiconductor?pageNo=34", "National Semiconductor")</f>
        <v>National Semiconductor</v>
      </c>
      <c r="C12765" s="6">
        <v>5</v>
      </c>
      <c r="D12765" s="7">
        <v>239.06</v>
      </c>
    </row>
    <row r="12766" spans="1:5" x14ac:dyDescent="0.25">
      <c r="A12766" t="str">
        <f>HYPERLINK("https://www.773grp.com/globalSearch/LM5115DCEVAL/page-1", "LM5115DCEVAL")</f>
        <v>LM5115DCEVAL</v>
      </c>
      <c r="B12766" s="3" t="str">
        <f>HYPERLINK("https://www.773grp.com/manufacturer/national-semiconductor?pageNo=35", "National Semiconductor")</f>
        <v>National Semiconductor</v>
      </c>
      <c r="C12766" s="6">
        <v>4</v>
      </c>
      <c r="D12766" s="7">
        <v>239.06</v>
      </c>
    </row>
    <row r="12767" spans="1:5" x14ac:dyDescent="0.25">
      <c r="A12767" t="str">
        <f>HYPERLINK("https://www.773grp.com/globalSearch/DP8422V-33/page-1", "DP8422V-33")</f>
        <v>DP8422V-33</v>
      </c>
      <c r="B12767" s="3" t="str">
        <f>HYPERLINK("https://www.773grp.com/manufacturer/national-semiconductor?pageNo=36", "National Semiconductor")</f>
        <v>National Semiconductor</v>
      </c>
      <c r="C12767" s="6">
        <v>50</v>
      </c>
      <c r="D12767" s="7">
        <v>240.48</v>
      </c>
      <c r="E12767" t="s">
        <v>87</v>
      </c>
    </row>
    <row r="12768" spans="1:5" x14ac:dyDescent="0.25">
      <c r="A12768" t="str">
        <f>HYPERLINK("https://www.773grp.com/globalSearch/LM3658SD-AEV/page-1", "LM3658SD-AEV")</f>
        <v>LM3658SD-AEV</v>
      </c>
      <c r="B12768" s="3" t="str">
        <f>HYPERLINK("https://www.773grp.com/manufacturer/national-semiconductor?pageNo=37", "National Semiconductor")</f>
        <v>National Semiconductor</v>
      </c>
      <c r="C12768" s="6">
        <v>2</v>
      </c>
      <c r="D12768" s="7">
        <v>241.31</v>
      </c>
    </row>
    <row r="12769" spans="1:5" x14ac:dyDescent="0.25">
      <c r="A12769" t="str">
        <f>HYPERLINK("https://www.773grp.com/globalSearch/LM5070AEEVAL/page-1", "LM5070AEEVAL")</f>
        <v>LM5070AEEVAL</v>
      </c>
      <c r="B12769" s="3" t="str">
        <f>HYPERLINK("https://www.773grp.com/manufacturer/national-semiconductor?pageNo=38", "National Semiconductor")</f>
        <v>National Semiconductor</v>
      </c>
      <c r="C12769" s="6">
        <v>1</v>
      </c>
      <c r="D12769" s="7">
        <v>241.6</v>
      </c>
    </row>
    <row r="12770" spans="1:5" x14ac:dyDescent="0.25">
      <c r="A12770" t="str">
        <f>HYPERLINK("https://www.773grp.com/globalSearch/LM299AH-20/page-1", "LM299AH-20")</f>
        <v>LM299AH-20</v>
      </c>
      <c r="B12770" s="3" t="str">
        <f>HYPERLINK("https://www.773grp.com/manufacturer/national-semiconductor?pageNo=39", "National Semiconductor")</f>
        <v>National Semiconductor</v>
      </c>
      <c r="C12770" s="6">
        <v>283</v>
      </c>
      <c r="D12770" s="7">
        <v>247.5</v>
      </c>
      <c r="E12770" t="s">
        <v>17</v>
      </c>
    </row>
    <row r="12771" spans="1:5" x14ac:dyDescent="0.25">
      <c r="A12771" t="str">
        <f>HYPERLINK("https://www.773grp.com/globalSearch/LM3280TLEV/page-1", "LM3280TLEV")</f>
        <v>LM3280TLEV</v>
      </c>
      <c r="B12771" s="3" t="str">
        <f>HYPERLINK("https://www.773grp.com/manufacturer/national-semiconductor?pageNo=40", "National Semiconductor")</f>
        <v>National Semiconductor</v>
      </c>
      <c r="C12771" s="6">
        <v>3</v>
      </c>
      <c r="D12771" s="7">
        <v>247.64</v>
      </c>
    </row>
    <row r="12772" spans="1:5" x14ac:dyDescent="0.25">
      <c r="A12772" t="str">
        <f>HYPERLINK("https://www.773grp.com/globalSearch/DP84T22V-25/page-1", "DP84T22V-25")</f>
        <v>DP84T22V-25</v>
      </c>
      <c r="B12772" s="3" t="str">
        <f>HYPERLINK("https://www.773grp.com/manufacturer/national-semiconductor?pageNo=41", "National Semiconductor")</f>
        <v>National Semiconductor</v>
      </c>
      <c r="C12772" s="6">
        <v>451</v>
      </c>
      <c r="D12772" s="7">
        <v>248.91</v>
      </c>
    </row>
    <row r="12773" spans="1:5" x14ac:dyDescent="0.25">
      <c r="A12773" t="str">
        <f>HYPERLINK("https://www.773grp.com/globalSearch/LM3658SDEV/page-1", "LM3658SDEV")</f>
        <v>LM3658SDEV</v>
      </c>
      <c r="B12773" s="3" t="str">
        <f>HYPERLINK("https://www.773grp.com/manufacturer/national-semiconductor?pageNo=42", "National Semiconductor")</f>
        <v>National Semiconductor</v>
      </c>
      <c r="C12773" s="6">
        <v>2</v>
      </c>
      <c r="D12773" s="7">
        <v>215.84</v>
      </c>
    </row>
    <row r="12774" spans="1:5" x14ac:dyDescent="0.25">
      <c r="A12774" t="str">
        <f>HYPERLINK("https://www.773grp.com/globalSearch/ADS62P29IRGCT/page-1", "ADS62P29IRGCT")</f>
        <v>ADS62P29IRGCT</v>
      </c>
      <c r="B12774" s="3" t="str">
        <f>HYPERLINK("https://www.773grp.com/manufacturer/national-semiconductor?pageNo=43", "National Semiconductor")</f>
        <v>National Semiconductor</v>
      </c>
      <c r="C12774" s="6">
        <v>60</v>
      </c>
      <c r="D12774" s="7">
        <v>250.18</v>
      </c>
    </row>
    <row r="12775" spans="1:5" x14ac:dyDescent="0.25">
      <c r="A12775" t="str">
        <f>HYPERLINK("https://www.773grp.com/globalSearch/93Z665DMQS45/page-1", "93Z665DMQS45")</f>
        <v>93Z665DMQS45</v>
      </c>
      <c r="B12775" s="3" t="str">
        <f>HYPERLINK("https://www.773grp.com/manufacturer/national-semiconductor?pageNo=44", "National Semiconductor")</f>
        <v>National Semiconductor</v>
      </c>
      <c r="C12775" s="6">
        <v>64</v>
      </c>
      <c r="D12775" s="7">
        <v>251.73</v>
      </c>
    </row>
    <row r="12776" spans="1:5" x14ac:dyDescent="0.25">
      <c r="A12776" t="str">
        <f>HYPERLINK("https://www.773grp.com/globalSearch/ADC121C02XEB/page-1", "ADC121C02XEB")</f>
        <v>ADC121C02XEB</v>
      </c>
      <c r="B12776" s="3" t="str">
        <f>HYPERLINK("https://www.773grp.com/manufacturer/national-semiconductor?pageNo=45", "National Semiconductor")</f>
        <v>National Semiconductor</v>
      </c>
      <c r="C12776" s="6">
        <v>3</v>
      </c>
      <c r="D12776" s="7">
        <v>217.88</v>
      </c>
    </row>
    <row r="12777" spans="1:5" x14ac:dyDescent="0.25">
      <c r="A12777" t="str">
        <f>HYPERLINK("https://www.773grp.com/globalSearch/DAC121S101EVAL/page-1", "DAC121S101EVAL")</f>
        <v>DAC121S101EVAL</v>
      </c>
      <c r="B12777" s="3" t="str">
        <f>HYPERLINK("https://www.773grp.com/manufacturer/national-semiconductor?pageNo=46", "National Semiconductor")</f>
        <v>National Semiconductor</v>
      </c>
      <c r="C12777" s="6">
        <v>1</v>
      </c>
      <c r="D12777" s="7">
        <v>217.88</v>
      </c>
    </row>
    <row r="12778" spans="1:5" x14ac:dyDescent="0.25">
      <c r="A12778" t="str">
        <f>HYPERLINK("https://www.773grp.com/globalSearch/DP8422ATV-25/page-1", "DP8422ATV-25")</f>
        <v>DP8422ATV-25</v>
      </c>
      <c r="B12778" s="3" t="str">
        <f>HYPERLINK("https://www.773grp.com/manufacturer/national-semiconductor?pageNo=47", "National Semiconductor")</f>
        <v>National Semiconductor</v>
      </c>
      <c r="C12778" s="6">
        <v>742</v>
      </c>
      <c r="D12778" s="7">
        <v>217.88</v>
      </c>
      <c r="E12778" t="s">
        <v>87</v>
      </c>
    </row>
    <row r="12779" spans="1:5" x14ac:dyDescent="0.25">
      <c r="A12779" t="str">
        <f>HYPERLINK("https://www.773grp.com/globalSearch/DS9616HME-883/page-1", "DS9616HME-883")</f>
        <v>DS9616HME-883</v>
      </c>
      <c r="B12779" s="3" t="str">
        <f>HYPERLINK("https://www.773grp.com/manufacturer/national-semiconductor?pageNo=48", "National Semiconductor")</f>
        <v>National Semiconductor</v>
      </c>
      <c r="C12779" s="6">
        <v>25</v>
      </c>
      <c r="D12779" s="7">
        <v>254.53</v>
      </c>
      <c r="E12779" t="s">
        <v>21</v>
      </c>
    </row>
    <row r="12780" spans="1:5" x14ac:dyDescent="0.25">
      <c r="A12780" t="str">
        <f>HYPERLINK("https://www.773grp.com/globalSearch/LP3906SQ-JXXIEV-NOPB/page-1", "LP3906SQ-JXXIEV-NOPB")</f>
        <v>LP3906SQ-JXXIEV-NOPB</v>
      </c>
      <c r="B12780" s="3" t="str">
        <f>HYPERLINK("https://www.773grp.com/manufacturer/national-semiconductor?pageNo=49", "National Semiconductor")</f>
        <v>National Semiconductor</v>
      </c>
      <c r="C12780" s="6">
        <v>2</v>
      </c>
      <c r="D12780" s="7">
        <v>222.09</v>
      </c>
    </row>
    <row r="12781" spans="1:5" x14ac:dyDescent="0.25">
      <c r="A12781" t="str">
        <f>HYPERLINK("https://www.773grp.com/globalSearch/9423DC/page-1", "9423DC")</f>
        <v>9423DC</v>
      </c>
      <c r="B12781" s="3" t="str">
        <f>HYPERLINK("https://www.773grp.com/manufacturer/national-semiconductor?pageNo=50", "National Semiconductor")</f>
        <v>National Semiconductor</v>
      </c>
      <c r="C12781" s="6">
        <v>18</v>
      </c>
      <c r="D12781" s="7">
        <v>258.75</v>
      </c>
    </row>
    <row r="12782" spans="1:5" x14ac:dyDescent="0.25">
      <c r="A12782" t="str">
        <f>HYPERLINK("https://www.773grp.com/globalSearch/ADC16DV160CILQ-NOPB/page-1", "ADC16DV160CILQ-NOPB")</f>
        <v>ADC16DV160CILQ-NOPB</v>
      </c>
      <c r="B12782" s="3" t="str">
        <f>HYPERLINK("https://www.773grp.com/manufacturer/national-semiconductor?pageNo=51", "National Semiconductor")</f>
        <v>National Semiconductor</v>
      </c>
      <c r="C12782" s="6">
        <v>1</v>
      </c>
      <c r="D12782" s="7">
        <v>224.29</v>
      </c>
      <c r="E12782" t="s">
        <v>39</v>
      </c>
    </row>
    <row r="12783" spans="1:5" x14ac:dyDescent="0.25">
      <c r="A12783" t="str">
        <f>HYPERLINK("https://www.773grp.com/globalSearch/DP8422VX-33/page-1", "DP8422VX-33")</f>
        <v>DP8422VX-33</v>
      </c>
      <c r="B12783" s="3" t="str">
        <f>HYPERLINK("https://www.773grp.com/manufacturer/national-semiconductor?pageNo=52", "National Semiconductor")</f>
        <v>National Semiconductor</v>
      </c>
      <c r="C12783" s="6">
        <v>2750</v>
      </c>
      <c r="D12783" s="7">
        <v>260.16000000000003</v>
      </c>
      <c r="E12783" t="s">
        <v>87</v>
      </c>
    </row>
    <row r="12784" spans="1:5" x14ac:dyDescent="0.25">
      <c r="A12784" t="str">
        <f>HYPERLINK("https://www.773grp.com/globalSearch/DP8429VX-70/page-1", "DP8429VX-70")</f>
        <v>DP8429VX-70</v>
      </c>
      <c r="B12784" s="3" t="str">
        <f>HYPERLINK("https://www.773grp.com/manufacturer/national-semiconductor?pageNo=53", "National Semiconductor")</f>
        <v>National Semiconductor</v>
      </c>
      <c r="C12784" s="6">
        <v>500</v>
      </c>
      <c r="D12784" s="7">
        <v>260.16000000000003</v>
      </c>
      <c r="E12784" t="s">
        <v>87</v>
      </c>
    </row>
    <row r="12785" spans="1:5" x14ac:dyDescent="0.25">
      <c r="A12785" t="str">
        <f>HYPERLINK("https://www.773grp.com/globalSearch/54H62FM/page-1", "54H62FM")</f>
        <v>54H62FM</v>
      </c>
      <c r="B12785" s="3" t="str">
        <f>HYPERLINK("https://www.773grp.com/manufacturer/national-semiconductor?pageNo=54", "National Semiconductor")</f>
        <v>National Semiconductor</v>
      </c>
      <c r="C12785" s="6">
        <v>811</v>
      </c>
      <c r="D12785" s="7">
        <v>261.85000000000002</v>
      </c>
    </row>
    <row r="12786" spans="1:5" x14ac:dyDescent="0.25">
      <c r="A12786" t="str">
        <f>HYPERLINK("https://www.773grp.com/globalSearch/LM3423MHBKBSTEV/page-1", "LM3423MHBKBSTEV")</f>
        <v>LM3423MHBKBSTEV</v>
      </c>
      <c r="B12786" s="3" t="str">
        <f>HYPERLINK("https://www.773grp.com/manufacturer/national-semiconductor?pageNo=55", "National Semiconductor")</f>
        <v>National Semiconductor</v>
      </c>
      <c r="C12786" s="6">
        <v>3</v>
      </c>
      <c r="D12786" s="7">
        <v>262.95999999999998</v>
      </c>
    </row>
    <row r="12787" spans="1:5" x14ac:dyDescent="0.25">
      <c r="A12787" t="str">
        <f>HYPERLINK("https://www.773grp.com/globalSearch/LM3423MHBSTEVAL-NOPB/page-1", "LM3423MHBSTEVAL-NOPB")</f>
        <v>LM3423MHBSTEVAL-NOPB</v>
      </c>
      <c r="B12787" s="3" t="str">
        <f>HYPERLINK("https://www.773grp.com/manufacturer/national-semiconductor?pageNo=56", "National Semiconductor")</f>
        <v>National Semiconductor</v>
      </c>
      <c r="C12787" s="6">
        <v>6</v>
      </c>
      <c r="D12787" s="7">
        <v>262.95999999999998</v>
      </c>
    </row>
    <row r="12788" spans="1:5" x14ac:dyDescent="0.25">
      <c r="A12788" t="str">
        <f>HYPERLINK("https://www.773grp.com/globalSearch/LM3424BKBSTEVAL/page-1", "LM3424BKBSTEVAL")</f>
        <v>LM3424BKBSTEVAL</v>
      </c>
      <c r="B12788" s="3" t="str">
        <f>HYPERLINK("https://www.773grp.com/manufacturer/national-semiconductor?pageNo=57", "National Semiconductor")</f>
        <v>National Semiconductor</v>
      </c>
      <c r="C12788" s="6">
        <v>3</v>
      </c>
      <c r="D12788" s="7">
        <v>262.95999999999998</v>
      </c>
    </row>
    <row r="12789" spans="1:5" x14ac:dyDescent="0.25">
      <c r="A12789" t="str">
        <f>HYPERLINK("https://www.773grp.com/globalSearch/LM3502ITL-44EV/page-1", "LM3502ITL-44EV")</f>
        <v>LM3502ITL-44EV</v>
      </c>
      <c r="B12789" s="3" t="str">
        <f>HYPERLINK("https://www.773grp.com/manufacturer/national-semiconductor?pageNo=58", "National Semiconductor")</f>
        <v>National Semiconductor</v>
      </c>
      <c r="C12789" s="6">
        <v>2</v>
      </c>
      <c r="D12789" s="7">
        <v>267.05</v>
      </c>
    </row>
    <row r="12790" spans="1:5" x14ac:dyDescent="0.25">
      <c r="A12790" t="str">
        <f>HYPERLINK("https://www.773grp.com/globalSearch/LM3503ITL-25EV/page-1", "LM3503ITL-25EV")</f>
        <v>LM3503ITL-25EV</v>
      </c>
      <c r="B12790" s="3" t="str">
        <f>HYPERLINK("https://www.773grp.com/manufacturer/national-semiconductor?pageNo=59", "National Semiconductor")</f>
        <v>National Semiconductor</v>
      </c>
      <c r="C12790" s="6">
        <v>5</v>
      </c>
      <c r="D12790" s="7">
        <v>267.05</v>
      </c>
    </row>
    <row r="12791" spans="1:5" x14ac:dyDescent="0.25">
      <c r="A12791" t="str">
        <f>HYPERLINK("https://www.773grp.com/globalSearch/LMH6584VV-NOPB/page-1", "LMH6584VV-NOPB")</f>
        <v>LMH6584VV-NOPB</v>
      </c>
      <c r="B12791" s="3" t="str">
        <f>HYPERLINK("https://www.773grp.com/manufacturer/national-semiconductor?pageNo=60", "National Semiconductor")</f>
        <v>National Semiconductor</v>
      </c>
      <c r="C12791" s="6">
        <v>7839</v>
      </c>
      <c r="D12791" s="7">
        <v>267.19</v>
      </c>
    </row>
    <row r="12792" spans="1:5" x14ac:dyDescent="0.25">
      <c r="A12792" t="str">
        <f>HYPERLINK("https://www.773grp.com/globalSearch/HL29726/page-1", "HL29726")</f>
        <v>HL29726</v>
      </c>
      <c r="B12792" s="3" t="str">
        <f>HYPERLINK("https://www.773grp.com/manufacturer/national-semiconductor?pageNo=61", "National Semiconductor")</f>
        <v>National Semiconductor</v>
      </c>
      <c r="C12792" s="6">
        <v>356</v>
      </c>
      <c r="D12792" s="7">
        <v>234.96</v>
      </c>
    </row>
    <row r="12793" spans="1:5" x14ac:dyDescent="0.25">
      <c r="A12793" t="str">
        <f>HYPERLINK("https://www.773grp.com/globalSearch/LM2754SQEV/page-1", "LM2754SQEV")</f>
        <v>LM2754SQEV</v>
      </c>
      <c r="B12793" s="3" t="str">
        <f>HYPERLINK("https://www.773grp.com/manufacturer/national-semiconductor?pageNo=62", "National Semiconductor")</f>
        <v>National Semiconductor</v>
      </c>
      <c r="C12793" s="6">
        <v>4</v>
      </c>
      <c r="D12793" s="7">
        <v>271.99</v>
      </c>
    </row>
    <row r="12794" spans="1:5" x14ac:dyDescent="0.25">
      <c r="A12794" t="str">
        <f>HYPERLINK("https://www.773grp.com/globalSearch/LM3423MHBKBSTEV-NOPB/page-1", "LM3423MHBKBSTEV-NOPB")</f>
        <v>LM3423MHBKBSTEV-NOPB</v>
      </c>
      <c r="B12794" s="3" t="str">
        <f>HYPERLINK("https://www.773grp.com/manufacturer/national-semiconductor?pageNo=63", "National Semiconductor")</f>
        <v>National Semiconductor</v>
      </c>
      <c r="C12794" s="6">
        <v>2</v>
      </c>
      <c r="D12794" s="7">
        <v>235.1</v>
      </c>
    </row>
    <row r="12795" spans="1:5" x14ac:dyDescent="0.25">
      <c r="A12795" t="str">
        <f>HYPERLINK("https://www.773grp.com/globalSearch/ADC081000CIYB-NOPB/page-1", "ADC081000CIYB-NOPB")</f>
        <v>ADC081000CIYB-NOPB</v>
      </c>
      <c r="B12795" s="3" t="str">
        <f>HYPERLINK("https://www.773grp.com/manufacturer/national-semiconductor?pageNo=64", "National Semiconductor")</f>
        <v>National Semiconductor</v>
      </c>
      <c r="C12795" s="6">
        <v>64</v>
      </c>
      <c r="D12795" s="7">
        <v>278.44</v>
      </c>
      <c r="E12795" t="s">
        <v>39</v>
      </c>
    </row>
    <row r="12796" spans="1:5" x14ac:dyDescent="0.25">
      <c r="A12796" t="str">
        <f>HYPERLINK("https://www.773grp.com/globalSearch/DS38EP100-EVK/page-1", "DS38EP100-EVK")</f>
        <v>DS38EP100-EVK</v>
      </c>
      <c r="B12796" s="3" t="str">
        <f>HYPERLINK("https://www.773grp.com/manufacturer/national-semiconductor?pageNo=65", "National Semiconductor")</f>
        <v>National Semiconductor</v>
      </c>
      <c r="C12796" s="6">
        <v>3</v>
      </c>
      <c r="D12796" s="7">
        <v>278.44</v>
      </c>
    </row>
    <row r="12797" spans="1:5" x14ac:dyDescent="0.25">
      <c r="A12797" t="str">
        <f>HYPERLINK("https://www.773grp.com/globalSearch/LM2727EVAL/page-1", "LM2727EVAL")</f>
        <v>LM2727EVAL</v>
      </c>
      <c r="B12797" s="3" t="str">
        <f>HYPERLINK("https://www.773grp.com/manufacturer/national-semiconductor?pageNo=66", "National Semiconductor")</f>
        <v>National Semiconductor</v>
      </c>
      <c r="C12797" s="6">
        <v>1</v>
      </c>
      <c r="D12797" s="7">
        <v>278.44</v>
      </c>
    </row>
    <row r="12798" spans="1:5" x14ac:dyDescent="0.25">
      <c r="A12798" t="str">
        <f>HYPERLINK("https://www.773grp.com/globalSearch/LM2756TMEV/page-1", "LM2756TMEV")</f>
        <v>LM2756TMEV</v>
      </c>
      <c r="B12798" s="3" t="str">
        <f>HYPERLINK("https://www.773grp.com/manufacturer/national-semiconductor?pageNo=67", "National Semiconductor")</f>
        <v>National Semiconductor</v>
      </c>
      <c r="C12798" s="6">
        <v>3</v>
      </c>
      <c r="D12798" s="7">
        <v>278.44</v>
      </c>
    </row>
    <row r="12799" spans="1:5" x14ac:dyDescent="0.25">
      <c r="A12799" t="str">
        <f>HYPERLINK("https://www.773grp.com/globalSearch/LM3429BKBSTEVAL-NOPB/page-1", "LM3429BKBSTEVAL-NOPB")</f>
        <v>LM3429BKBSTEVAL-NOPB</v>
      </c>
      <c r="B12799" s="3" t="str">
        <f>HYPERLINK("https://www.773grp.com/manufacturer/national-semiconductor?pageNo=68", "National Semiconductor")</f>
        <v>National Semiconductor</v>
      </c>
      <c r="C12799" s="6">
        <v>2</v>
      </c>
      <c r="D12799" s="7">
        <v>278.44</v>
      </c>
    </row>
    <row r="12800" spans="1:5" x14ac:dyDescent="0.25">
      <c r="A12800" t="str">
        <f>HYPERLINK("https://www.773grp.com/globalSearch/LM3429BSTEVAL-NOPB/page-1", "LM3429BSTEVAL-NOPB")</f>
        <v>LM3429BSTEVAL-NOPB</v>
      </c>
      <c r="B12800" s="3" t="str">
        <f>HYPERLINK("https://www.773grp.com/manufacturer/national-semiconductor?pageNo=69", "National Semiconductor")</f>
        <v>National Semiconductor</v>
      </c>
      <c r="C12800" s="6">
        <v>2</v>
      </c>
      <c r="D12800" s="7">
        <v>278.44</v>
      </c>
    </row>
    <row r="12801" spans="1:5" x14ac:dyDescent="0.25">
      <c r="A12801" t="str">
        <f>HYPERLINK("https://www.773grp.com/globalSearch/LM3430EVAL-NOPB/page-1", "LM3430EVAL-NOPB")</f>
        <v>LM3430EVAL-NOPB</v>
      </c>
      <c r="B12801" s="3" t="str">
        <f>HYPERLINK("https://www.773grp.com/manufacturer/national-semiconductor?pageNo=70", "National Semiconductor")</f>
        <v>National Semiconductor</v>
      </c>
      <c r="C12801" s="6">
        <v>1</v>
      </c>
      <c r="D12801" s="7">
        <v>278.44</v>
      </c>
    </row>
    <row r="12802" spans="1:5" x14ac:dyDescent="0.25">
      <c r="A12802" t="str">
        <f>HYPERLINK("https://www.773grp.com/globalSearch/LM3450EV230V15W-NOPB/page-1", "LM3450EV230V15W-NOPB")</f>
        <v>LM3450EV230V15W-NOPB</v>
      </c>
      <c r="B12802" s="3" t="str">
        <f>HYPERLINK("https://www.773grp.com/manufacturer/national-semiconductor?pageNo=71", "National Semiconductor")</f>
        <v>National Semiconductor</v>
      </c>
      <c r="C12802" s="6">
        <v>1</v>
      </c>
      <c r="D12802" s="7">
        <v>278.44</v>
      </c>
    </row>
    <row r="12803" spans="1:5" x14ac:dyDescent="0.25">
      <c r="A12803" t="str">
        <f>HYPERLINK("https://www.773grp.com/globalSearch/LM3481EVAL-NOPB/page-1", "LM3481EVAL-NOPB")</f>
        <v>LM3481EVAL-NOPB</v>
      </c>
      <c r="B12803" s="3" t="str">
        <f>HYPERLINK("https://www.773grp.com/manufacturer/national-semiconductor?pageNo=72", "National Semiconductor")</f>
        <v>National Semiconductor</v>
      </c>
      <c r="C12803" s="6">
        <v>1</v>
      </c>
      <c r="D12803" s="7">
        <v>278.44</v>
      </c>
    </row>
    <row r="12804" spans="1:5" x14ac:dyDescent="0.25">
      <c r="A12804" t="str">
        <f>HYPERLINK("https://www.773grp.com/globalSearch/LM3495EVAL-NOPB/page-1", "LM3495EVAL-NOPB")</f>
        <v>LM3495EVAL-NOPB</v>
      </c>
      <c r="B12804" s="3" t="str">
        <f>HYPERLINK("https://www.773grp.com/manufacturer/national-semiconductor?pageNo=73", "National Semiconductor")</f>
        <v>National Semiconductor</v>
      </c>
      <c r="C12804" s="6">
        <v>4</v>
      </c>
      <c r="D12804" s="7">
        <v>278.44</v>
      </c>
    </row>
    <row r="12805" spans="1:5" x14ac:dyDescent="0.25">
      <c r="A12805" t="str">
        <f>HYPERLINK("https://www.773grp.com/globalSearch/LM5001BSTEVAL-NOPB/page-1", "LM5001BSTEVAL-NOPB")</f>
        <v>LM5001BSTEVAL-NOPB</v>
      </c>
      <c r="B12805" s="3" t="str">
        <f>HYPERLINK("https://www.773grp.com/manufacturer/national-semiconductor?pageNo=74", "National Semiconductor")</f>
        <v>National Semiconductor</v>
      </c>
      <c r="C12805" s="6">
        <v>2</v>
      </c>
      <c r="D12805" s="7">
        <v>278.44</v>
      </c>
    </row>
    <row r="12806" spans="1:5" x14ac:dyDescent="0.25">
      <c r="A12806" t="str">
        <f>HYPERLINK("https://www.773grp.com/globalSearch/LM5030EVAL/page-1", "LM5030EVAL")</f>
        <v>LM5030EVAL</v>
      </c>
      <c r="B12806" s="3" t="str">
        <f>HYPERLINK("https://www.773grp.com/manufacturer/national-semiconductor?pageNo=75", "National Semiconductor")</f>
        <v>National Semiconductor</v>
      </c>
      <c r="C12806" s="6">
        <v>18</v>
      </c>
      <c r="D12806" s="7">
        <v>278.44</v>
      </c>
    </row>
    <row r="12807" spans="1:5" x14ac:dyDescent="0.25">
      <c r="A12807" t="str">
        <f>HYPERLINK("https://www.773grp.com/globalSearch/LM95010EVAL/page-1", "LM95010EVAL")</f>
        <v>LM95010EVAL</v>
      </c>
      <c r="B12807" s="3" t="str">
        <f>HYPERLINK("https://www.773grp.com/manufacturer/national-semiconductor?pageNo=76", "National Semiconductor")</f>
        <v>National Semiconductor</v>
      </c>
      <c r="C12807" s="6">
        <v>1</v>
      </c>
      <c r="D12807" s="7">
        <v>278.44</v>
      </c>
    </row>
    <row r="12808" spans="1:5" x14ac:dyDescent="0.25">
      <c r="A12808" t="str">
        <f>HYPERLINK("https://www.773grp.com/globalSearch/LMH1981MTEVAL-NOPB/page-1", "LMH1981MTEVAL-NOPB")</f>
        <v>LMH1981MTEVAL-NOPB</v>
      </c>
      <c r="B12808" s="3" t="str">
        <f>HYPERLINK("https://www.773grp.com/manufacturer/national-semiconductor?pageNo=77", "National Semiconductor")</f>
        <v>National Semiconductor</v>
      </c>
      <c r="C12808" s="6">
        <v>1</v>
      </c>
      <c r="D12808" s="7">
        <v>278.44</v>
      </c>
    </row>
    <row r="12809" spans="1:5" x14ac:dyDescent="0.25">
      <c r="A12809" t="str">
        <f>HYPERLINK("https://www.773grp.com/globalSearch/LMH6554LE-EVAL-NOPB/page-1", "LMH6554LE-EVAL-NOPB")</f>
        <v>LMH6554LE-EVAL-NOPB</v>
      </c>
      <c r="B12809" s="3" t="str">
        <f>HYPERLINK("https://www.773grp.com/manufacturer/national-semiconductor?pageNo=78", "National Semiconductor")</f>
        <v>National Semiconductor</v>
      </c>
      <c r="C12809" s="6">
        <v>3</v>
      </c>
      <c r="D12809" s="7">
        <v>278.44</v>
      </c>
    </row>
    <row r="12810" spans="1:5" x14ac:dyDescent="0.25">
      <c r="A12810" t="str">
        <f>HYPERLINK("https://www.773grp.com/globalSearch/LMP90100EB-NOPB/page-1", "LMP90100EB-NOPB")</f>
        <v>LMP90100EB-NOPB</v>
      </c>
      <c r="B12810" s="3" t="str">
        <f>HYPERLINK("https://www.773grp.com/manufacturer/national-semiconductor?pageNo=79", "National Semiconductor")</f>
        <v>National Semiconductor</v>
      </c>
      <c r="C12810" s="6">
        <v>3</v>
      </c>
      <c r="D12810" s="7">
        <v>278.44</v>
      </c>
    </row>
    <row r="12811" spans="1:5" x14ac:dyDescent="0.25">
      <c r="A12811" t="str">
        <f>HYPERLINK("https://www.773grp.com/globalSearch/LMV7231EVAL-NOPB/page-1", "LMV7231EVAL-NOPB")</f>
        <v>LMV7231EVAL-NOPB</v>
      </c>
      <c r="B12811" s="3" t="str">
        <f>HYPERLINK("https://www.773grp.com/manufacturer/national-semiconductor?pageNo=80", "National Semiconductor")</f>
        <v>National Semiconductor</v>
      </c>
      <c r="C12811" s="6">
        <v>3</v>
      </c>
      <c r="D12811" s="7">
        <v>278.44</v>
      </c>
    </row>
    <row r="12812" spans="1:5" x14ac:dyDescent="0.25">
      <c r="A12812" t="str">
        <f>HYPERLINK("https://www.773grp.com/globalSearch/LP5521TMEV/page-1", "LP5521TMEV")</f>
        <v>LP5521TMEV</v>
      </c>
      <c r="B12812" s="3" t="str">
        <f>HYPERLINK("https://www.773grp.com/manufacturer/national-semiconductor?pageNo=81", "National Semiconductor")</f>
        <v>National Semiconductor</v>
      </c>
      <c r="C12812" s="6">
        <v>2</v>
      </c>
      <c r="D12812" s="7">
        <v>278.44</v>
      </c>
    </row>
    <row r="12813" spans="1:5" x14ac:dyDescent="0.25">
      <c r="A12813" t="str">
        <f>HYPERLINK("https://www.773grp.com/globalSearch/ADC081000CIYB-NOPB/page-1", "ADC081000CIYB-NOPB")</f>
        <v>ADC081000CIYB-NOPB</v>
      </c>
      <c r="B12813" s="3" t="str">
        <f>HYPERLINK("https://www.773grp.com/manufacturer/national-semiconductor?pageNo=82", "National Semiconductor")</f>
        <v>National Semiconductor</v>
      </c>
      <c r="C12813" s="6">
        <v>103</v>
      </c>
      <c r="D12813" s="7">
        <v>278.44</v>
      </c>
      <c r="E12813" t="s">
        <v>39</v>
      </c>
    </row>
    <row r="12814" spans="1:5" x14ac:dyDescent="0.25">
      <c r="A12814" t="str">
        <f>HYPERLINK("https://www.773grp.com/globalSearch/LM25066EVK-NOPB/page-1", "LM25066EVK-NOPB")</f>
        <v>LM25066EVK-NOPB</v>
      </c>
      <c r="B12814" s="3" t="str">
        <f>HYPERLINK("https://www.773grp.com/manufacturer/national-semiconductor?pageNo=83", "National Semiconductor")</f>
        <v>National Semiconductor</v>
      </c>
      <c r="C12814" s="6">
        <v>3</v>
      </c>
      <c r="D12814" s="7">
        <v>278.44</v>
      </c>
    </row>
    <row r="12815" spans="1:5" x14ac:dyDescent="0.25">
      <c r="A12815" t="str">
        <f>HYPERLINK("https://www.773grp.com/globalSearch/LM26420XMHEVAL-NOPB/page-1", "LM26420XMHEVAL-NOPB")</f>
        <v>LM26420XMHEVAL-NOPB</v>
      </c>
      <c r="B12815" s="3" t="str">
        <f>HYPERLINK("https://www.773grp.com/manufacturer/national-semiconductor?pageNo=84", "National Semiconductor")</f>
        <v>National Semiconductor</v>
      </c>
      <c r="C12815" s="6">
        <v>1</v>
      </c>
      <c r="D12815" s="7">
        <v>278.44</v>
      </c>
    </row>
    <row r="12816" spans="1:5" x14ac:dyDescent="0.25">
      <c r="A12816" t="str">
        <f>HYPERLINK("https://www.773grp.com/globalSearch/LM3429BKBSTEVAL-NOPB/page-1", "LM3429BKBSTEVAL-NOPB")</f>
        <v>LM3429BKBSTEVAL-NOPB</v>
      </c>
      <c r="B12816" s="3" t="str">
        <f>HYPERLINK("https://www.773grp.com/manufacturer/national-semiconductor?pageNo=85", "National Semiconductor")</f>
        <v>National Semiconductor</v>
      </c>
      <c r="C12816" s="6">
        <v>1</v>
      </c>
      <c r="D12816" s="7">
        <v>278.44</v>
      </c>
    </row>
    <row r="12817" spans="1:5" x14ac:dyDescent="0.25">
      <c r="A12817" t="str">
        <f>HYPERLINK("https://www.773grp.com/globalSearch/LM3481SEPICEVAL-NOPB/page-1", "LM3481SEPICEVAL-NOPB")</f>
        <v>LM3481SEPICEVAL-NOPB</v>
      </c>
      <c r="B12817" s="3" t="str">
        <f>HYPERLINK("https://www.773grp.com/manufacturer/national-semiconductor?pageNo=86", "National Semiconductor")</f>
        <v>National Semiconductor</v>
      </c>
      <c r="C12817" s="6">
        <v>2</v>
      </c>
      <c r="D12817" s="7">
        <v>278.44</v>
      </c>
    </row>
    <row r="12818" spans="1:5" x14ac:dyDescent="0.25">
      <c r="A12818" t="str">
        <f>HYPERLINK("https://www.773grp.com/globalSearch/LMP8358MAEVAL-NOPB/page-1", "LMP8358MAEVAL-NOPB")</f>
        <v>LMP8358MAEVAL-NOPB</v>
      </c>
      <c r="B12818" s="3" t="str">
        <f>HYPERLINK("https://www.773grp.com/manufacturer/national-semiconductor?pageNo=87", "National Semiconductor")</f>
        <v>National Semiconductor</v>
      </c>
      <c r="C12818" s="6">
        <v>1</v>
      </c>
      <c r="D12818" s="7">
        <v>278.44</v>
      </c>
    </row>
    <row r="12819" spans="1:5" x14ac:dyDescent="0.25">
      <c r="A12819" t="str">
        <f>HYPERLINK("https://www.773grp.com/globalSearch/LMP90100EB-NOPB/page-1", "LMP90100EB-NOPB")</f>
        <v>LMP90100EB-NOPB</v>
      </c>
      <c r="B12819" s="3" t="str">
        <f>HYPERLINK("https://www.773grp.com/manufacturer/national-semiconductor?pageNo=88", "National Semiconductor")</f>
        <v>National Semiconductor</v>
      </c>
      <c r="C12819" s="6">
        <v>2</v>
      </c>
      <c r="D12819" s="7">
        <v>278.44</v>
      </c>
    </row>
    <row r="12820" spans="1:5" x14ac:dyDescent="0.25">
      <c r="A12820" t="str">
        <f>HYPERLINK("https://www.773grp.com/globalSearch/TC1-DESIQ-SBB-NOPB/page-1", "TC1-DESIQ-SBB-NOPB")</f>
        <v>TC1-DESIQ-SBB-NOPB</v>
      </c>
      <c r="B12820" s="3" t="str">
        <f>HYPERLINK("https://www.773grp.com/manufacturer/national-semiconductor?pageNo=89", "National Semiconductor")</f>
        <v>National Semiconductor</v>
      </c>
      <c r="C12820" s="6">
        <v>2</v>
      </c>
      <c r="D12820" s="7">
        <v>278.44</v>
      </c>
    </row>
    <row r="12821" spans="1:5" x14ac:dyDescent="0.25">
      <c r="A12821" t="str">
        <f>HYPERLINK("https://www.773grp.com/globalSearch/CLC5958PCASM/page-1", "CLC5958PCASM")</f>
        <v>CLC5958PCASM</v>
      </c>
      <c r="B12821" s="3" t="str">
        <f>HYPERLINK("https://www.773grp.com/manufacturer/national-semiconductor?pageNo=90", "National Semiconductor")</f>
        <v>National Semiconductor</v>
      </c>
      <c r="C12821" s="6">
        <v>5</v>
      </c>
      <c r="D12821" s="7">
        <v>241.38</v>
      </c>
    </row>
    <row r="12822" spans="1:5" x14ac:dyDescent="0.25">
      <c r="A12822" t="str">
        <f>HYPERLINK("https://www.773grp.com/globalSearch/USB2UWIRE-IFACE/page-1", "USB2UWIRE-IFACE")</f>
        <v>USB2UWIRE-IFACE</v>
      </c>
      <c r="B12822" s="3" t="str">
        <f>HYPERLINK("https://www.773grp.com/manufacturer/national-semiconductor?pageNo=91", "National Semiconductor")</f>
        <v>National Semiconductor</v>
      </c>
      <c r="C12822" s="6">
        <v>1</v>
      </c>
      <c r="D12822" s="7">
        <v>281.23</v>
      </c>
    </row>
    <row r="12823" spans="1:5" x14ac:dyDescent="0.25">
      <c r="A12823" t="str">
        <f>HYPERLINK("https://www.773grp.com/globalSearch/DP8429D-70/page-1", "DP8429D-70")</f>
        <v>DP8429D-70</v>
      </c>
      <c r="B12823" s="3" t="str">
        <f>HYPERLINK("https://www.773grp.com/manufacturer/national-semiconductor?pageNo=92", "National Semiconductor")</f>
        <v>National Semiconductor</v>
      </c>
      <c r="C12823" s="6">
        <v>1183</v>
      </c>
      <c r="D12823" s="7">
        <v>245.65</v>
      </c>
      <c r="E12823" t="s">
        <v>87</v>
      </c>
    </row>
    <row r="12824" spans="1:5" x14ac:dyDescent="0.25">
      <c r="A12824" t="str">
        <f>HYPERLINK("https://www.773grp.com/globalSearch/DP8429D-80/page-1", "DP8429D-80")</f>
        <v>DP8429D-80</v>
      </c>
      <c r="B12824" s="3" t="str">
        <f>HYPERLINK("https://www.773grp.com/manufacturer/national-semiconductor?pageNo=93", "National Semiconductor")</f>
        <v>National Semiconductor</v>
      </c>
      <c r="C12824" s="6">
        <v>419</v>
      </c>
      <c r="D12824" s="7">
        <v>245.65</v>
      </c>
      <c r="E12824" t="s">
        <v>87</v>
      </c>
    </row>
    <row r="12825" spans="1:5" x14ac:dyDescent="0.25">
      <c r="A12825" t="str">
        <f>HYPERLINK("https://www.773grp.com/globalSearch/DS3885W-883/page-1", "DS3885W-883")</f>
        <v>DS3885W-883</v>
      </c>
      <c r="B12825" s="3" t="str">
        <f>HYPERLINK("https://www.773grp.com/manufacturer/national-semiconductor?pageNo=94", "National Semiconductor")</f>
        <v>National Semiconductor</v>
      </c>
      <c r="C12825" s="6">
        <v>118</v>
      </c>
      <c r="D12825" s="7">
        <v>253.13</v>
      </c>
      <c r="E12825" t="s">
        <v>21</v>
      </c>
    </row>
    <row r="12826" spans="1:5" x14ac:dyDescent="0.25">
      <c r="A12826" t="str">
        <f>HYPERLINK("https://www.773grp.com/globalSearch/ADC081000CIYB/page-1", "ADC081000CIYB")</f>
        <v>ADC081000CIYB</v>
      </c>
      <c r="B12826" s="3" t="str">
        <f>HYPERLINK("https://www.773grp.com/manufacturer/national-semiconductor?pageNo=95", "National Semiconductor")</f>
        <v>National Semiconductor</v>
      </c>
      <c r="C12826" s="6">
        <v>16</v>
      </c>
      <c r="D12826" s="7">
        <v>253.76</v>
      </c>
      <c r="E12826" t="s">
        <v>39</v>
      </c>
    </row>
    <row r="12827" spans="1:5" x14ac:dyDescent="0.25">
      <c r="A12827" t="str">
        <f>HYPERLINK("https://www.773grp.com/globalSearch/ADC081C02XEB-NOPB/page-1", "ADC081C02XEB-NOPB")</f>
        <v>ADC081C02XEB-NOPB</v>
      </c>
      <c r="B12827" s="3" t="str">
        <f>HYPERLINK("https://www.773grp.com/manufacturer/national-semiconductor?pageNo=96", "National Semiconductor")</f>
        <v>National Semiconductor</v>
      </c>
      <c r="C12827" s="6">
        <v>3</v>
      </c>
      <c r="D12827" s="7">
        <v>256.33999999999997</v>
      </c>
    </row>
    <row r="12828" spans="1:5" x14ac:dyDescent="0.25">
      <c r="A12828" t="str">
        <f>HYPERLINK("https://www.773grp.com/globalSearch/ADC081S021EVAL/page-1", "ADC081S021EVAL")</f>
        <v>ADC081S021EVAL</v>
      </c>
      <c r="B12828" s="3" t="str">
        <f>HYPERLINK("https://www.773grp.com/manufacturer/national-semiconductor?pageNo=97", "National Semiconductor")</f>
        <v>National Semiconductor</v>
      </c>
      <c r="C12828" s="6">
        <v>1</v>
      </c>
      <c r="D12828" s="7">
        <v>256.33999999999997</v>
      </c>
    </row>
    <row r="12829" spans="1:5" x14ac:dyDescent="0.25">
      <c r="A12829" t="str">
        <f>HYPERLINK("https://www.773grp.com/globalSearch/ADC081S101EVAL/page-1", "ADC081S101EVAL")</f>
        <v>ADC081S101EVAL</v>
      </c>
      <c r="B12829" s="3" t="str">
        <f>HYPERLINK("https://www.773grp.com/manufacturer/national-semiconductor?pageNo=98", "National Semiconductor")</f>
        <v>National Semiconductor</v>
      </c>
      <c r="C12829" s="6">
        <v>1</v>
      </c>
      <c r="D12829" s="7">
        <v>256.33999999999997</v>
      </c>
    </row>
    <row r="12830" spans="1:5" x14ac:dyDescent="0.25">
      <c r="A12830" t="str">
        <f>HYPERLINK("https://www.773grp.com/globalSearch/ADC108S022EVAL/page-1", "ADC108S022EVAL")</f>
        <v>ADC108S022EVAL</v>
      </c>
      <c r="B12830" s="3" t="str">
        <f>HYPERLINK("https://www.773grp.com/manufacturer/national-semiconductor?pageNo=99", "National Semiconductor")</f>
        <v>National Semiconductor</v>
      </c>
      <c r="C12830" s="6">
        <v>1</v>
      </c>
      <c r="D12830" s="7">
        <v>256.33999999999997</v>
      </c>
    </row>
    <row r="12831" spans="1:5" x14ac:dyDescent="0.25">
      <c r="A12831" t="str">
        <f>HYPERLINK("https://www.773grp.com/globalSearch/ADC108S052EVAL/page-1", "ADC108S052EVAL")</f>
        <v>ADC108S052EVAL</v>
      </c>
      <c r="B12831" s="3" t="str">
        <f>HYPERLINK("https://www.773grp.com/manufacturer/national-semiconductor?pageNo=100", "National Semiconductor")</f>
        <v>National Semiconductor</v>
      </c>
      <c r="C12831" s="6">
        <v>1</v>
      </c>
      <c r="D12831" s="7">
        <v>256.33999999999997</v>
      </c>
    </row>
    <row r="12832" spans="1:5" x14ac:dyDescent="0.25">
      <c r="A12832" t="str">
        <f>HYPERLINK("https://www.773grp.com/globalSearch/ADC108S102EVAL/page-1", "ADC108S102EVAL")</f>
        <v>ADC108S102EVAL</v>
      </c>
      <c r="B12832" s="3" t="str">
        <f>HYPERLINK("https://www.773grp.com/manufacturer/national-semiconductor?pageNo=101", "National Semiconductor")</f>
        <v>National Semiconductor</v>
      </c>
      <c r="C12832" s="6">
        <v>1</v>
      </c>
      <c r="D12832" s="7">
        <v>256.33999999999997</v>
      </c>
    </row>
    <row r="12833" spans="1:4" x14ac:dyDescent="0.25">
      <c r="A12833" t="str">
        <f>HYPERLINK("https://www.773grp.com/globalSearch/ADC122S706EB-NOPB/page-1", "ADC122S706EB-NOPB")</f>
        <v>ADC122S706EB-NOPB</v>
      </c>
      <c r="B12833" s="3" t="str">
        <f>HYPERLINK("https://www.773grp.com/manufacturer/national-semiconductor?pageNo=102", "National Semiconductor")</f>
        <v>National Semiconductor</v>
      </c>
      <c r="C12833" s="6">
        <v>2</v>
      </c>
      <c r="D12833" s="7">
        <v>256.33999999999997</v>
      </c>
    </row>
    <row r="12834" spans="1:4" x14ac:dyDescent="0.25">
      <c r="A12834" t="str">
        <f>HYPERLINK("https://www.773grp.com/globalSearch/DAC101S101EVAL/page-1", "DAC101S101EVAL")</f>
        <v>DAC101S101EVAL</v>
      </c>
      <c r="B12834" s="3" t="str">
        <f>HYPERLINK("https://www.773grp.com/manufacturer/national-semiconductor?pageNo=103", "National Semiconductor")</f>
        <v>National Semiconductor</v>
      </c>
      <c r="C12834" s="6">
        <v>1</v>
      </c>
      <c r="D12834" s="7">
        <v>256.33999999999997</v>
      </c>
    </row>
    <row r="12835" spans="1:4" x14ac:dyDescent="0.25">
      <c r="A12835" t="str">
        <f>HYPERLINK("https://www.773grp.com/globalSearch/DAC124S085EB-NOPB/page-1", "DAC124S085EB-NOPB")</f>
        <v>DAC124S085EB-NOPB</v>
      </c>
      <c r="B12835" s="3" t="str">
        <f>HYPERLINK("https://www.773grp.com/manufacturer/national-semiconductor?pageNo=104", "National Semiconductor")</f>
        <v>National Semiconductor</v>
      </c>
      <c r="C12835" s="6">
        <v>1</v>
      </c>
      <c r="D12835" s="7">
        <v>256.33999999999997</v>
      </c>
    </row>
    <row r="12836" spans="1:4" x14ac:dyDescent="0.25">
      <c r="A12836" t="str">
        <f>HYPERLINK("https://www.773grp.com/globalSearch/LM5068EVAL/page-1", "LM5068EVAL")</f>
        <v>LM5068EVAL</v>
      </c>
      <c r="B12836" s="3" t="str">
        <f>HYPERLINK("https://www.773grp.com/manufacturer/national-semiconductor?pageNo=105", "National Semiconductor")</f>
        <v>National Semiconductor</v>
      </c>
      <c r="C12836" s="6">
        <v>1</v>
      </c>
      <c r="D12836" s="7">
        <v>256.33999999999997</v>
      </c>
    </row>
    <row r="12837" spans="1:4" x14ac:dyDescent="0.25">
      <c r="A12837" t="str">
        <f>HYPERLINK("https://www.773grp.com/globalSearch/ADS4249IRGCT/page-1", "ADS4249IRGCT")</f>
        <v>ADS4249IRGCT</v>
      </c>
      <c r="B12837" s="3" t="str">
        <f>HYPERLINK("https://www.773grp.com/manufacturer/national-semiconductor?pageNo=106", "National Semiconductor")</f>
        <v>National Semiconductor</v>
      </c>
      <c r="C12837" s="6">
        <v>250</v>
      </c>
      <c r="D12837" s="7">
        <v>256.33999999999997</v>
      </c>
    </row>
    <row r="12838" spans="1:4" x14ac:dyDescent="0.25">
      <c r="A12838" t="str">
        <f>HYPERLINK("https://www.773grp.com/globalSearch/LM5116WG-NOPB/page-1", "LM5116WG-NOPB")</f>
        <v>LM5116WG-NOPB</v>
      </c>
      <c r="B12838" s="3" t="str">
        <f>HYPERLINK("https://www.773grp.com/manufacturer/national-semiconductor?pageNo=107", "National Semiconductor")</f>
        <v>National Semiconductor</v>
      </c>
      <c r="C12838" s="6">
        <v>165</v>
      </c>
      <c r="D12838" s="7">
        <v>256.33999999999997</v>
      </c>
    </row>
    <row r="12839" spans="1:4" x14ac:dyDescent="0.25">
      <c r="A12839" t="str">
        <f>HYPERLINK("https://www.773grp.com/globalSearch/NS32GX32AVUL-25/page-1", "NS32GX32AVUL-25")</f>
        <v>NS32GX32AVUL-25</v>
      </c>
      <c r="B12839" s="3" t="str">
        <f>HYPERLINK("https://www.773grp.com/manufacturer/national-semiconductor?pageNo=108", "National Semiconductor")</f>
        <v>National Semiconductor</v>
      </c>
      <c r="C12839" s="6">
        <v>862</v>
      </c>
      <c r="D12839" s="7">
        <v>260.60000000000002</v>
      </c>
    </row>
    <row r="12840" spans="1:4" x14ac:dyDescent="0.25">
      <c r="A12840" t="str">
        <f>HYPERLINK("https://www.773grp.com/globalSearch/LM5071EVAL-NOPB/page-1", "LM5071EVAL-NOPB")</f>
        <v>LM5071EVAL-NOPB</v>
      </c>
      <c r="B12840" s="3" t="str">
        <f>HYPERLINK("https://www.773grp.com/manufacturer/national-semiconductor?pageNo=109", "National Semiconductor")</f>
        <v>National Semiconductor</v>
      </c>
      <c r="C12840" s="6">
        <v>4</v>
      </c>
      <c r="D12840" s="7">
        <v>262.61</v>
      </c>
    </row>
    <row r="12841" spans="1:4" x14ac:dyDescent="0.25">
      <c r="A12841" t="str">
        <f>HYPERLINK("https://www.773grp.com/globalSearch/NS32GX320NU-20/page-1", "NS32GX320NU-20")</f>
        <v>NS32GX320NU-20</v>
      </c>
      <c r="B12841" s="3" t="str">
        <f>HYPERLINK("https://www.773grp.com/manufacturer/national-semiconductor?pageNo=110", "National Semiconductor")</f>
        <v>National Semiconductor</v>
      </c>
      <c r="C12841" s="6">
        <v>1344</v>
      </c>
      <c r="D12841" s="7">
        <v>267.01</v>
      </c>
    </row>
    <row r="12842" spans="1:4" x14ac:dyDescent="0.25">
      <c r="A12842" t="str">
        <f>HYPERLINK("https://www.773grp.com/globalSearch/W028F/page-1", "W028F")</f>
        <v>W028F</v>
      </c>
      <c r="B12842" s="3" t="str">
        <f>HYPERLINK("https://www.773grp.com/manufacturer/national-semiconductor?pageNo=111", "National Semiconductor")</f>
        <v>National Semiconductor</v>
      </c>
      <c r="C12842" s="6">
        <v>22</v>
      </c>
      <c r="D12842" s="7">
        <v>273.43</v>
      </c>
    </row>
    <row r="12843" spans="1:4" x14ac:dyDescent="0.25">
      <c r="A12843" t="str">
        <f>HYPERLINK("https://www.773grp.com/globalSearch/W029F/page-1", "W029F")</f>
        <v>W029F</v>
      </c>
      <c r="B12843" s="3" t="str">
        <f>HYPERLINK("https://www.773grp.com/manufacturer/national-semiconductor?pageNo=112", "National Semiconductor")</f>
        <v>National Semiconductor</v>
      </c>
      <c r="C12843" s="6">
        <v>13</v>
      </c>
      <c r="D12843" s="7">
        <v>273.43</v>
      </c>
    </row>
    <row r="12844" spans="1:4" x14ac:dyDescent="0.25">
      <c r="A12844" t="str">
        <f>HYPERLINK("https://www.773grp.com/globalSearch/W030F/page-1", "W030F")</f>
        <v>W030F</v>
      </c>
      <c r="B12844" s="3" t="str">
        <f>HYPERLINK("https://www.773grp.com/manufacturer/national-semiconductor?pageNo=113", "National Semiconductor")</f>
        <v>National Semiconductor</v>
      </c>
      <c r="C12844" s="6">
        <v>4</v>
      </c>
      <c r="D12844" s="7">
        <v>273.43</v>
      </c>
    </row>
    <row r="12845" spans="1:4" x14ac:dyDescent="0.25">
      <c r="A12845" t="str">
        <f>HYPERLINK("https://www.773grp.com/globalSearch/W031F/page-1", "W031F")</f>
        <v>W031F</v>
      </c>
      <c r="B12845" s="3" t="str">
        <f>HYPERLINK("https://www.773grp.com/manufacturer/national-semiconductor?pageNo=114", "National Semiconductor")</f>
        <v>National Semiconductor</v>
      </c>
      <c r="C12845" s="6">
        <v>50</v>
      </c>
      <c r="D12845" s="7">
        <v>273.43</v>
      </c>
    </row>
    <row r="12846" spans="1:4" x14ac:dyDescent="0.25">
      <c r="A12846" t="str">
        <f>HYPERLINK("https://www.773grp.com/globalSearch/W032F/page-1", "W032F")</f>
        <v>W032F</v>
      </c>
      <c r="B12846" s="3" t="str">
        <f>HYPERLINK("https://www.773grp.com/manufacturer/national-semiconductor?pageNo=115", "National Semiconductor")</f>
        <v>National Semiconductor</v>
      </c>
      <c r="C12846" s="6">
        <v>5</v>
      </c>
      <c r="D12846" s="7">
        <v>273.43</v>
      </c>
    </row>
    <row r="12847" spans="1:4" x14ac:dyDescent="0.25">
      <c r="A12847" t="str">
        <f>HYPERLINK("https://www.773grp.com/globalSearch/W033F/page-1", "W033F")</f>
        <v>W033F</v>
      </c>
      <c r="B12847" s="3" t="str">
        <f>HYPERLINK("https://www.773grp.com/manufacturer/national-semiconductor?pageNo=116", "National Semiconductor")</f>
        <v>National Semiconductor</v>
      </c>
      <c r="C12847" s="6">
        <v>2</v>
      </c>
      <c r="D12847" s="7">
        <v>273.43</v>
      </c>
    </row>
    <row r="12848" spans="1:4" x14ac:dyDescent="0.25">
      <c r="A12848" t="str">
        <f>HYPERLINK("https://www.773grp.com/globalSearch/W034F/page-1", "W034F")</f>
        <v>W034F</v>
      </c>
      <c r="B12848" s="3" t="str">
        <f>HYPERLINK("https://www.773grp.com/manufacturer/national-semiconductor?pageNo=117", "National Semiconductor")</f>
        <v>National Semiconductor</v>
      </c>
      <c r="C12848" s="6">
        <v>12</v>
      </c>
      <c r="D12848" s="7">
        <v>273.43</v>
      </c>
    </row>
    <row r="12849" spans="1:4" x14ac:dyDescent="0.25">
      <c r="A12849" t="str">
        <f>HYPERLINK("https://www.773grp.com/globalSearch/W035F/page-1", "W035F")</f>
        <v>W035F</v>
      </c>
      <c r="B12849" s="3" t="str">
        <f>HYPERLINK("https://www.773grp.com/manufacturer/national-semiconductor?pageNo=118", "National Semiconductor")</f>
        <v>National Semiconductor</v>
      </c>
      <c r="C12849" s="6">
        <v>3</v>
      </c>
      <c r="D12849" s="7">
        <v>273.43</v>
      </c>
    </row>
    <row r="12850" spans="1:4" x14ac:dyDescent="0.25">
      <c r="A12850" t="str">
        <f>HYPERLINK("https://www.773grp.com/globalSearch/W036F/page-1", "W036F")</f>
        <v>W036F</v>
      </c>
      <c r="B12850" s="3" t="str">
        <f>HYPERLINK("https://www.773grp.com/manufacturer/national-semiconductor?pageNo=119", "National Semiconductor")</f>
        <v>National Semiconductor</v>
      </c>
      <c r="C12850" s="6">
        <v>8</v>
      </c>
      <c r="D12850" s="7">
        <v>273.43</v>
      </c>
    </row>
    <row r="12851" spans="1:4" x14ac:dyDescent="0.25">
      <c r="A12851" t="str">
        <f>HYPERLINK("https://www.773grp.com/globalSearch/W037F/page-1", "W037F")</f>
        <v>W037F</v>
      </c>
      <c r="B12851" s="3" t="str">
        <f>HYPERLINK("https://www.773grp.com/manufacturer/national-semiconductor?pageNo=120", "National Semiconductor")</f>
        <v>National Semiconductor</v>
      </c>
      <c r="C12851" s="6">
        <v>69</v>
      </c>
      <c r="D12851" s="7">
        <v>273.43</v>
      </c>
    </row>
    <row r="12852" spans="1:4" x14ac:dyDescent="0.25">
      <c r="A12852" t="str">
        <f>HYPERLINK("https://www.773grp.com/globalSearch/W040F/page-1", "W040F")</f>
        <v>W040F</v>
      </c>
      <c r="B12852" s="3" t="str">
        <f>HYPERLINK("https://www.773grp.com/manufacturer/national-semiconductor?pageNo=121", "National Semiconductor")</f>
        <v>National Semiconductor</v>
      </c>
      <c r="C12852" s="6">
        <v>6</v>
      </c>
      <c r="D12852" s="7">
        <v>273.43</v>
      </c>
    </row>
    <row r="12853" spans="1:4" x14ac:dyDescent="0.25">
      <c r="A12853" t="str">
        <f>HYPERLINK("https://www.773grp.com/globalSearch/W042F/page-1", "W042F")</f>
        <v>W042F</v>
      </c>
      <c r="B12853" s="3" t="str">
        <f>HYPERLINK("https://www.773grp.com/manufacturer/national-semiconductor?pageNo=122", "National Semiconductor")</f>
        <v>National Semiconductor</v>
      </c>
      <c r="C12853" s="6">
        <v>6</v>
      </c>
      <c r="D12853" s="7">
        <v>273.43</v>
      </c>
    </row>
    <row r="12854" spans="1:4" x14ac:dyDescent="0.25">
      <c r="A12854" t="str">
        <f>HYPERLINK("https://www.773grp.com/globalSearch/W044F/page-1", "W044F")</f>
        <v>W044F</v>
      </c>
      <c r="B12854" s="3" t="str">
        <f>HYPERLINK("https://www.773grp.com/manufacturer/national-semiconductor?pageNo=123", "National Semiconductor")</f>
        <v>National Semiconductor</v>
      </c>
      <c r="C12854" s="6">
        <v>67</v>
      </c>
      <c r="D12854" s="7">
        <v>273.43</v>
      </c>
    </row>
    <row r="12855" spans="1:4" x14ac:dyDescent="0.25">
      <c r="A12855" t="str">
        <f>HYPERLINK("https://www.773grp.com/globalSearch/W047F/page-1", "W047F")</f>
        <v>W047F</v>
      </c>
      <c r="B12855" s="3" t="str">
        <f>HYPERLINK("https://www.773grp.com/manufacturer/national-semiconductor?pageNo=124", "National Semiconductor")</f>
        <v>National Semiconductor</v>
      </c>
      <c r="C12855" s="6">
        <v>5</v>
      </c>
      <c r="D12855" s="7">
        <v>273.43</v>
      </c>
    </row>
    <row r="12856" spans="1:4" x14ac:dyDescent="0.25">
      <c r="A12856" t="str">
        <f>HYPERLINK("https://www.773grp.com/globalSearch/W049F/page-1", "W049F")</f>
        <v>W049F</v>
      </c>
      <c r="B12856" s="3" t="str">
        <f>HYPERLINK("https://www.773grp.com/manufacturer/national-semiconductor?pageNo=125", "National Semiconductor")</f>
        <v>National Semiconductor</v>
      </c>
      <c r="C12856" s="6">
        <v>15</v>
      </c>
      <c r="D12856" s="7">
        <v>273.43</v>
      </c>
    </row>
    <row r="12857" spans="1:4" x14ac:dyDescent="0.25">
      <c r="A12857" t="str">
        <f>HYPERLINK("https://www.773grp.com/globalSearch/W050F/page-1", "W050F")</f>
        <v>W050F</v>
      </c>
      <c r="B12857" s="3" t="str">
        <f>HYPERLINK("https://www.773grp.com/manufacturer/national-semiconductor?pageNo=126", "National Semiconductor")</f>
        <v>National Semiconductor</v>
      </c>
      <c r="C12857" s="6">
        <v>12</v>
      </c>
      <c r="D12857" s="7">
        <v>273.43</v>
      </c>
    </row>
    <row r="12858" spans="1:4" x14ac:dyDescent="0.25">
      <c r="A12858" t="str">
        <f>HYPERLINK("https://www.773grp.com/globalSearch/W053F/page-1", "W053F")</f>
        <v>W053F</v>
      </c>
      <c r="B12858" s="3" t="str">
        <f>HYPERLINK("https://www.773grp.com/manufacturer/national-semiconductor?pageNo=127", "National Semiconductor")</f>
        <v>National Semiconductor</v>
      </c>
      <c r="C12858" s="6">
        <v>12</v>
      </c>
      <c r="D12858" s="7">
        <v>273.43</v>
      </c>
    </row>
    <row r="12859" spans="1:4" x14ac:dyDescent="0.25">
      <c r="A12859" t="str">
        <f>HYPERLINK("https://www.773grp.com/globalSearch/W054F/page-1", "W054F")</f>
        <v>W054F</v>
      </c>
      <c r="B12859" s="3" t="str">
        <f>HYPERLINK("https://www.773grp.com/manufacturer/national-semiconductor?pageNo=128", "National Semiconductor")</f>
        <v>National Semiconductor</v>
      </c>
      <c r="C12859" s="6">
        <v>23</v>
      </c>
      <c r="D12859" s="7">
        <v>273.43</v>
      </c>
    </row>
    <row r="12860" spans="1:4" x14ac:dyDescent="0.25">
      <c r="A12860" t="str">
        <f>HYPERLINK("https://www.773grp.com/globalSearch/W055F/page-1", "W055F")</f>
        <v>W055F</v>
      </c>
      <c r="B12860" s="3" t="str">
        <f>HYPERLINK("https://www.773grp.com/manufacturer/national-semiconductor?pageNo=129", "National Semiconductor")</f>
        <v>National Semiconductor</v>
      </c>
      <c r="C12860" s="6">
        <v>5</v>
      </c>
      <c r="D12860" s="7">
        <v>273.43</v>
      </c>
    </row>
    <row r="12861" spans="1:4" x14ac:dyDescent="0.25">
      <c r="A12861" t="str">
        <f>HYPERLINK("https://www.773grp.com/globalSearch/W056F/page-1", "W056F")</f>
        <v>W056F</v>
      </c>
      <c r="B12861" s="3" t="str">
        <f>HYPERLINK("https://www.773grp.com/manufacturer/national-semiconductor?pageNo=130", "National Semiconductor")</f>
        <v>National Semiconductor</v>
      </c>
      <c r="C12861" s="6">
        <v>3</v>
      </c>
      <c r="D12861" s="7">
        <v>273.43</v>
      </c>
    </row>
    <row r="12862" spans="1:4" x14ac:dyDescent="0.25">
      <c r="A12862" t="str">
        <f>HYPERLINK("https://www.773grp.com/globalSearch/W057F/page-1", "W057F")</f>
        <v>W057F</v>
      </c>
      <c r="B12862" s="3" t="str">
        <f>HYPERLINK("https://www.773grp.com/manufacturer/national-semiconductor?pageNo=131", "National Semiconductor")</f>
        <v>National Semiconductor</v>
      </c>
      <c r="C12862" s="6">
        <v>3</v>
      </c>
      <c r="D12862" s="7">
        <v>273.43</v>
      </c>
    </row>
    <row r="12863" spans="1:4" x14ac:dyDescent="0.25">
      <c r="A12863" t="str">
        <f>HYPERLINK("https://www.773grp.com/globalSearch/W058F/page-1", "W058F")</f>
        <v>W058F</v>
      </c>
      <c r="B12863" s="3" t="str">
        <f>HYPERLINK("https://www.773grp.com/manufacturer/national-semiconductor?pageNo=132", "National Semiconductor")</f>
        <v>National Semiconductor</v>
      </c>
      <c r="C12863" s="6">
        <v>1</v>
      </c>
      <c r="D12863" s="7">
        <v>273.43</v>
      </c>
    </row>
    <row r="12864" spans="1:4" x14ac:dyDescent="0.25">
      <c r="A12864" t="str">
        <f>HYPERLINK("https://www.773grp.com/globalSearch/W060F/page-1", "W060F")</f>
        <v>W060F</v>
      </c>
      <c r="B12864" s="3" t="str">
        <f>HYPERLINK("https://www.773grp.com/manufacturer/national-semiconductor?pageNo=133", "National Semiconductor")</f>
        <v>National Semiconductor</v>
      </c>
      <c r="C12864" s="6">
        <v>2</v>
      </c>
      <c r="D12864" s="7">
        <v>273.43</v>
      </c>
    </row>
    <row r="12865" spans="1:5" x14ac:dyDescent="0.25">
      <c r="A12865" t="str">
        <f>HYPERLINK("https://www.773grp.com/globalSearch/W063F/page-1", "W063F")</f>
        <v>W063F</v>
      </c>
      <c r="B12865" s="3" t="str">
        <f>HYPERLINK("https://www.773grp.com/manufacturer/national-semiconductor?pageNo=134", "National Semiconductor")</f>
        <v>National Semiconductor</v>
      </c>
      <c r="C12865" s="6">
        <v>39</v>
      </c>
      <c r="D12865" s="7">
        <v>273.43</v>
      </c>
    </row>
    <row r="12866" spans="1:5" x14ac:dyDescent="0.25">
      <c r="A12866" t="str">
        <f>HYPERLINK("https://www.773grp.com/globalSearch/W065F/page-1", "W065F")</f>
        <v>W065F</v>
      </c>
      <c r="B12866" s="3" t="str">
        <f>HYPERLINK("https://www.773grp.com/manufacturer/national-semiconductor?pageNo=1", "National Semiconductor")</f>
        <v>National Semiconductor</v>
      </c>
      <c r="C12866" s="6">
        <v>12</v>
      </c>
      <c r="D12866" s="7">
        <v>273.43</v>
      </c>
    </row>
    <row r="12867" spans="1:5" x14ac:dyDescent="0.25">
      <c r="A12867" t="str">
        <f>HYPERLINK("https://www.773grp.com/globalSearch/W066F/page-1", "W066F")</f>
        <v>W066F</v>
      </c>
      <c r="B12867" s="3" t="str">
        <f>HYPERLINK("https://www.773grp.com/manufacturer/national-semiconductor?pageNo=2", "National Semiconductor")</f>
        <v>National Semiconductor</v>
      </c>
      <c r="C12867" s="6">
        <v>20</v>
      </c>
      <c r="D12867" s="7">
        <v>273.43</v>
      </c>
    </row>
    <row r="12868" spans="1:5" x14ac:dyDescent="0.25">
      <c r="A12868" t="str">
        <f>HYPERLINK("https://www.773grp.com/globalSearch/W067F/page-1", "W067F")</f>
        <v>W067F</v>
      </c>
      <c r="B12868" s="3" t="str">
        <f>HYPERLINK("https://www.773grp.com/manufacturer/national-semiconductor?pageNo=3", "National Semiconductor")</f>
        <v>National Semiconductor</v>
      </c>
      <c r="C12868" s="6">
        <v>12</v>
      </c>
      <c r="D12868" s="7">
        <v>273.43</v>
      </c>
    </row>
    <row r="12869" spans="1:5" x14ac:dyDescent="0.25">
      <c r="A12869" t="str">
        <f>HYPERLINK("https://www.773grp.com/globalSearch/W068F/page-1", "W068F")</f>
        <v>W068F</v>
      </c>
      <c r="B12869" s="3" t="str">
        <f>HYPERLINK("https://www.773grp.com/manufacturer/national-semiconductor?pageNo=4", "National Semiconductor")</f>
        <v>National Semiconductor</v>
      </c>
      <c r="C12869" s="6">
        <v>18</v>
      </c>
      <c r="D12869" s="7">
        <v>273.43</v>
      </c>
    </row>
    <row r="12870" spans="1:5" x14ac:dyDescent="0.25">
      <c r="A12870" t="str">
        <f>HYPERLINK("https://www.773grp.com/globalSearch/W069F/page-1", "W069F")</f>
        <v>W069F</v>
      </c>
      <c r="B12870" s="3" t="str">
        <f>HYPERLINK("https://www.773grp.com/manufacturer/national-semiconductor?pageNo=5", "National Semiconductor")</f>
        <v>National Semiconductor</v>
      </c>
      <c r="C12870" s="6">
        <v>4</v>
      </c>
      <c r="D12870" s="7">
        <v>273.43</v>
      </c>
    </row>
    <row r="12871" spans="1:5" x14ac:dyDescent="0.25">
      <c r="A12871" t="str">
        <f>HYPERLINK("https://www.773grp.com/globalSearch/W070F/page-1", "W070F")</f>
        <v>W070F</v>
      </c>
      <c r="B12871" s="3" t="str">
        <f>HYPERLINK("https://www.773grp.com/manufacturer/national-semiconductor?pageNo=6", "National Semiconductor")</f>
        <v>National Semiconductor</v>
      </c>
      <c r="C12871" s="6">
        <v>15</v>
      </c>
      <c r="D12871" s="7">
        <v>273.43</v>
      </c>
    </row>
    <row r="12872" spans="1:5" x14ac:dyDescent="0.25">
      <c r="A12872" t="str">
        <f>HYPERLINK("https://www.773grp.com/globalSearch/W071F/page-1", "W071F")</f>
        <v>W071F</v>
      </c>
      <c r="B12872" s="3" t="str">
        <f>HYPERLINK("https://www.773grp.com/manufacturer/national-semiconductor?pageNo=7", "National Semiconductor")</f>
        <v>National Semiconductor</v>
      </c>
      <c r="C12872" s="6">
        <v>5</v>
      </c>
      <c r="D12872" s="7">
        <v>273.43</v>
      </c>
    </row>
    <row r="12873" spans="1:5" x14ac:dyDescent="0.25">
      <c r="A12873" t="str">
        <f>HYPERLINK("https://www.773grp.com/globalSearch/W072F/page-1", "W072F")</f>
        <v>W072F</v>
      </c>
      <c r="B12873" s="3" t="str">
        <f>HYPERLINK("https://www.773grp.com/manufacturer/national-semiconductor?pageNo=8", "National Semiconductor")</f>
        <v>National Semiconductor</v>
      </c>
      <c r="C12873" s="6">
        <v>5</v>
      </c>
      <c r="D12873" s="7">
        <v>273.43</v>
      </c>
    </row>
    <row r="12874" spans="1:5" x14ac:dyDescent="0.25">
      <c r="A12874" t="str">
        <f>HYPERLINK("https://www.773grp.com/globalSearch/LM26484SQEV/page-1", "LM26484SQEV")</f>
        <v>LM26484SQEV</v>
      </c>
      <c r="B12874" s="3" t="str">
        <f>HYPERLINK("https://www.773grp.com/manufacturer/national-semiconductor?pageNo=9", "National Semiconductor")</f>
        <v>National Semiconductor</v>
      </c>
      <c r="C12874" s="6">
        <v>3</v>
      </c>
      <c r="D12874" s="7">
        <v>275.11</v>
      </c>
    </row>
    <row r="12875" spans="1:5" x14ac:dyDescent="0.25">
      <c r="A12875" t="str">
        <f>HYPERLINK("https://www.773grp.com/globalSearch/LMH7324EVAL/page-1", "LMH7324EVAL")</f>
        <v>LMH7324EVAL</v>
      </c>
      <c r="B12875" s="3" t="str">
        <f>HYPERLINK("https://www.773grp.com/manufacturer/national-semiconductor?pageNo=10", "National Semiconductor")</f>
        <v>National Semiconductor</v>
      </c>
      <c r="C12875" s="6">
        <v>1</v>
      </c>
      <c r="D12875" s="7">
        <v>277.61</v>
      </c>
    </row>
    <row r="12876" spans="1:5" x14ac:dyDescent="0.25">
      <c r="A12876" t="str">
        <f>HYPERLINK("https://www.773grp.com/globalSearch/CLC952PCASM/page-1", "CLC952PCASM")</f>
        <v>CLC952PCASM</v>
      </c>
      <c r="B12876" s="3" t="str">
        <f>HYPERLINK("https://www.773grp.com/manufacturer/national-semiconductor?pageNo=11", "National Semiconductor")</f>
        <v>National Semiconductor</v>
      </c>
      <c r="C12876" s="6">
        <v>14</v>
      </c>
      <c r="D12876" s="7">
        <v>277.7</v>
      </c>
    </row>
    <row r="12877" spans="1:5" x14ac:dyDescent="0.25">
      <c r="A12877" t="str">
        <f>HYPERLINK("https://www.773grp.com/globalSearch/DP8429TD-70/page-1", "DP8429TD-70")</f>
        <v>DP8429TD-70</v>
      </c>
      <c r="B12877" s="3" t="str">
        <f>HYPERLINK("https://www.773grp.com/manufacturer/national-semiconductor?pageNo=12", "National Semiconductor")</f>
        <v>National Semiconductor</v>
      </c>
      <c r="C12877" s="6">
        <v>57</v>
      </c>
      <c r="D12877" s="7">
        <v>277.7</v>
      </c>
    </row>
    <row r="12878" spans="1:5" x14ac:dyDescent="0.25">
      <c r="A12878" t="str">
        <f>HYPERLINK("https://www.773grp.com/globalSearch/LM5072EVAL-NOPB/page-1", "LM5072EVAL-NOPB")</f>
        <v>LM5072EVAL-NOPB</v>
      </c>
      <c r="B12878" s="3" t="str">
        <f>HYPERLINK("https://www.773grp.com/manufacturer/national-semiconductor?pageNo=13", "National Semiconductor")</f>
        <v>National Semiconductor</v>
      </c>
      <c r="C12878" s="6">
        <v>2</v>
      </c>
      <c r="D12878" s="7">
        <v>285.10000000000002</v>
      </c>
    </row>
    <row r="12879" spans="1:5" x14ac:dyDescent="0.25">
      <c r="A12879" t="str">
        <f>HYPERLINK("https://www.773grp.com/globalSearch/DS1776J-883/page-1", "DS1776J-883")</f>
        <v>DS1776J-883</v>
      </c>
      <c r="B12879" s="3" t="str">
        <f>HYPERLINK("https://www.773grp.com/manufacturer/national-semiconductor?pageNo=14", "National Semiconductor")</f>
        <v>National Semiconductor</v>
      </c>
      <c r="C12879" s="6">
        <v>765</v>
      </c>
      <c r="D12879" s="7">
        <v>290.5</v>
      </c>
      <c r="E12879" t="s">
        <v>14</v>
      </c>
    </row>
    <row r="12880" spans="1:5" x14ac:dyDescent="0.25">
      <c r="A12880" t="str">
        <f>HYPERLINK("https://www.773grp.com/globalSearch/ADC08D500CIYB-NOPB/page-1", "ADC08D500CIYB-NOPB")</f>
        <v>ADC08D500CIYB-NOPB</v>
      </c>
      <c r="B12880" s="3" t="str">
        <f>HYPERLINK("https://www.773grp.com/manufacturer/national-semiconductor?pageNo=15", "National Semiconductor")</f>
        <v>National Semiconductor</v>
      </c>
      <c r="C12880" s="6">
        <v>80</v>
      </c>
      <c r="D12880" s="7">
        <v>292.64999999999998</v>
      </c>
    </row>
    <row r="12881" spans="1:5" x14ac:dyDescent="0.25">
      <c r="A12881" t="str">
        <f>HYPERLINK("https://www.773grp.com/globalSearch/CLC420AJFQML/page-1", "CLC420AJFQML")</f>
        <v>CLC420AJFQML</v>
      </c>
      <c r="B12881" s="3" t="str">
        <f>HYPERLINK("https://www.773grp.com/manufacturer/national-semiconductor?pageNo=16", "National Semiconductor")</f>
        <v>National Semiconductor</v>
      </c>
      <c r="C12881" s="6">
        <v>313</v>
      </c>
      <c r="D12881" s="7">
        <v>296.68</v>
      </c>
      <c r="E12881" t="s">
        <v>13</v>
      </c>
    </row>
    <row r="12882" spans="1:5" x14ac:dyDescent="0.25">
      <c r="A12882" t="str">
        <f>HYPERLINK("https://www.773grp.com/globalSearch/CLC420AWG-QML/page-1", "CLC420AWG-QML")</f>
        <v>CLC420AWG-QML</v>
      </c>
      <c r="B12882" s="3" t="str">
        <f>HYPERLINK("https://www.773grp.com/manufacturer/national-semiconductor?pageNo=17", "National Semiconductor")</f>
        <v>National Semiconductor</v>
      </c>
      <c r="C12882" s="6">
        <v>555</v>
      </c>
      <c r="D12882" s="7">
        <v>296.68</v>
      </c>
      <c r="E12882" t="s">
        <v>13</v>
      </c>
    </row>
    <row r="12883" spans="1:5" x14ac:dyDescent="0.25">
      <c r="A12883" t="str">
        <f>HYPERLINK("https://www.773grp.com/globalSearch/5962-0254501MZA/page-1", "5962-0254501MZA")</f>
        <v>5962-0254501MZA</v>
      </c>
      <c r="B12883" s="3" t="str">
        <f>HYPERLINK("https://www.773grp.com/manufacturer/national-semiconductor?pageNo=18", "National Semiconductor")</f>
        <v>National Semiconductor</v>
      </c>
      <c r="C12883" s="6">
        <v>266</v>
      </c>
      <c r="D12883" s="7">
        <v>299.8</v>
      </c>
      <c r="E12883" t="s">
        <v>13</v>
      </c>
    </row>
    <row r="12884" spans="1:5" x14ac:dyDescent="0.25">
      <c r="A12884" t="str">
        <f>HYPERLINK("https://www.773grp.com/globalSearch/DS16F95AJA/page-1", "DS16F95AJA")</f>
        <v>DS16F95AJA</v>
      </c>
      <c r="B12884" s="3" t="str">
        <f>HYPERLINK("https://www.773grp.com/manufacturer/national-semiconductor?pageNo=19", "National Semiconductor")</f>
        <v>National Semiconductor</v>
      </c>
      <c r="C12884" s="6">
        <v>778</v>
      </c>
      <c r="D12884" s="7">
        <v>301.44</v>
      </c>
    </row>
    <row r="12885" spans="1:5" x14ac:dyDescent="0.25">
      <c r="A12885" t="str">
        <f>HYPERLINK("https://www.773grp.com/globalSearch/LM95172EWG/page-1", "LM95172EWG")</f>
        <v>LM95172EWG</v>
      </c>
      <c r="B12885" s="3" t="str">
        <f>HYPERLINK("https://www.773grp.com/manufacturer/national-semiconductor?pageNo=20", "National Semiconductor")</f>
        <v>National Semiconductor</v>
      </c>
      <c r="C12885" s="6">
        <v>206</v>
      </c>
      <c r="D12885" s="7">
        <v>301.58</v>
      </c>
    </row>
    <row r="12886" spans="1:5" x14ac:dyDescent="0.25">
      <c r="A12886" t="str">
        <f>HYPERLINK("https://www.773grp.com/globalSearch/LM95172EWG/page-1", "LM95172EWG")</f>
        <v>LM95172EWG</v>
      </c>
      <c r="B12886" s="3" t="str">
        <f>HYPERLINK("https://www.773grp.com/manufacturer/national-semiconductor?pageNo=21", "National Semiconductor")</f>
        <v>National Semiconductor</v>
      </c>
      <c r="C12886" s="6">
        <v>2228</v>
      </c>
      <c r="D12886" s="7">
        <v>301.58</v>
      </c>
    </row>
    <row r="12887" spans="1:5" x14ac:dyDescent="0.25">
      <c r="A12887" t="str">
        <f>HYPERLINK("https://www.773grp.com/globalSearch/LM2647EVAL/page-1", "LM2647EVAL")</f>
        <v>LM2647EVAL</v>
      </c>
      <c r="B12887" s="3" t="str">
        <f>HYPERLINK("https://www.773grp.com/manufacturer/national-semiconductor?pageNo=22", "National Semiconductor")</f>
        <v>National Semiconductor</v>
      </c>
      <c r="C12887" s="6">
        <v>1</v>
      </c>
      <c r="D12887" s="7">
        <v>318.27999999999997</v>
      </c>
    </row>
    <row r="12888" spans="1:5" x14ac:dyDescent="0.25">
      <c r="A12888" t="str">
        <f>HYPERLINK("https://www.773grp.com/globalSearch/LM2717MT-ADJEV/page-1", "LM2717MT-ADJEV")</f>
        <v>LM2717MT-ADJEV</v>
      </c>
      <c r="B12888" s="3" t="str">
        <f>HYPERLINK("https://www.773grp.com/manufacturer/national-semiconductor?pageNo=23", "National Semiconductor")</f>
        <v>National Semiconductor</v>
      </c>
      <c r="C12888" s="6">
        <v>1</v>
      </c>
      <c r="D12888" s="7">
        <v>318.27999999999997</v>
      </c>
    </row>
    <row r="12889" spans="1:5" x14ac:dyDescent="0.25">
      <c r="A12889" t="str">
        <f>HYPERLINK("https://www.773grp.com/globalSearch/LM3423BBLSCSEV-NOPB/page-1", "LM3423BBLSCSEV-NOPB")</f>
        <v>LM3423BBLSCSEV-NOPB</v>
      </c>
      <c r="B12889" s="3" t="str">
        <f>HYPERLINK("https://www.773grp.com/manufacturer/national-semiconductor?pageNo=24", "National Semiconductor")</f>
        <v>National Semiconductor</v>
      </c>
      <c r="C12889" s="6">
        <v>4</v>
      </c>
      <c r="D12889" s="7">
        <v>318.27999999999997</v>
      </c>
    </row>
    <row r="12890" spans="1:5" x14ac:dyDescent="0.25">
      <c r="A12890" t="str">
        <f>HYPERLINK("https://www.773grp.com/globalSearch/LM3424BKBSTEVAL-NOPB/page-1", "LM3424BKBSTEVAL-NOPB")</f>
        <v>LM3424BKBSTEVAL-NOPB</v>
      </c>
      <c r="B12890" s="3" t="str">
        <f>HYPERLINK("https://www.773grp.com/manufacturer/national-semiconductor?pageNo=25", "National Semiconductor")</f>
        <v>National Semiconductor</v>
      </c>
      <c r="C12890" s="6">
        <v>2</v>
      </c>
      <c r="D12890" s="7">
        <v>318.27999999999997</v>
      </c>
    </row>
    <row r="12891" spans="1:5" x14ac:dyDescent="0.25">
      <c r="A12891" t="str">
        <f>HYPERLINK("https://www.773grp.com/globalSearch/LM3552SDEV/page-1", "LM3552SDEV")</f>
        <v>LM3552SDEV</v>
      </c>
      <c r="B12891" s="3" t="str">
        <f>HYPERLINK("https://www.773grp.com/manufacturer/national-semiconductor?pageNo=26", "National Semiconductor")</f>
        <v>National Semiconductor</v>
      </c>
      <c r="C12891" s="6">
        <v>3</v>
      </c>
      <c r="D12891" s="7">
        <v>318.27999999999997</v>
      </c>
    </row>
    <row r="12892" spans="1:5" x14ac:dyDescent="0.25">
      <c r="A12892" t="str">
        <f>HYPERLINK("https://www.773grp.com/globalSearch/LM5025AEVAL-NOPB/page-1", "LM5025AEVAL-NOPB")</f>
        <v>LM5025AEVAL-NOPB</v>
      </c>
      <c r="B12892" s="3" t="str">
        <f>HYPERLINK("https://www.773grp.com/manufacturer/national-semiconductor?pageNo=27", "National Semiconductor")</f>
        <v>National Semiconductor</v>
      </c>
      <c r="C12892" s="6">
        <v>1</v>
      </c>
      <c r="D12892" s="7">
        <v>318.27999999999997</v>
      </c>
    </row>
    <row r="12893" spans="1:5" x14ac:dyDescent="0.25">
      <c r="A12893" t="str">
        <f>HYPERLINK("https://www.773grp.com/globalSearch/LM5032EVAL-NOPB/page-1", "LM5032EVAL-NOPB")</f>
        <v>LM5032EVAL-NOPB</v>
      </c>
      <c r="B12893" s="3" t="str">
        <f>HYPERLINK("https://www.773grp.com/manufacturer/national-semiconductor?pageNo=28", "National Semiconductor")</f>
        <v>National Semiconductor</v>
      </c>
      <c r="C12893" s="6">
        <v>2</v>
      </c>
      <c r="D12893" s="7">
        <v>318.27999999999997</v>
      </c>
    </row>
    <row r="12894" spans="1:5" x14ac:dyDescent="0.25">
      <c r="A12894" t="str">
        <f>HYPERLINK("https://www.773grp.com/globalSearch/LM5033SD-EVAL/page-1", "LM5033SD-EVAL")</f>
        <v>LM5033SD-EVAL</v>
      </c>
      <c r="B12894" s="3" t="str">
        <f>HYPERLINK("https://www.773grp.com/manufacturer/national-semiconductor?pageNo=29", "National Semiconductor")</f>
        <v>National Semiconductor</v>
      </c>
      <c r="C12894" s="6">
        <v>2</v>
      </c>
      <c r="D12894" s="7">
        <v>318.27999999999997</v>
      </c>
    </row>
    <row r="12895" spans="1:5" x14ac:dyDescent="0.25">
      <c r="A12895" t="str">
        <f>HYPERLINK("https://www.773grp.com/globalSearch/LM5035CEVAL-NOPB/page-1", "LM5035CEVAL-NOPB")</f>
        <v>LM5035CEVAL-NOPB</v>
      </c>
      <c r="B12895" s="3" t="str">
        <f>HYPERLINK("https://www.773grp.com/manufacturer/national-semiconductor?pageNo=30", "National Semiconductor")</f>
        <v>National Semiconductor</v>
      </c>
      <c r="C12895" s="6">
        <v>2</v>
      </c>
      <c r="D12895" s="7">
        <v>318.27999999999997</v>
      </c>
    </row>
    <row r="12896" spans="1:5" x14ac:dyDescent="0.25">
      <c r="A12896" t="str">
        <f>HYPERLINK("https://www.773grp.com/globalSearch/LM94021EVAL/page-1", "LM94021EVAL")</f>
        <v>LM94021EVAL</v>
      </c>
      <c r="B12896" s="3" t="str">
        <f>HYPERLINK("https://www.773grp.com/manufacturer/national-semiconductor?pageNo=31", "National Semiconductor")</f>
        <v>National Semiconductor</v>
      </c>
      <c r="C12896" s="6">
        <v>1</v>
      </c>
      <c r="D12896" s="7">
        <v>318.27999999999997</v>
      </c>
    </row>
    <row r="12897" spans="1:4" x14ac:dyDescent="0.25">
      <c r="A12897" t="str">
        <f>HYPERLINK("https://www.773grp.com/globalSearch/LM94022EVAL/page-1", "LM94022EVAL")</f>
        <v>LM94022EVAL</v>
      </c>
      <c r="B12897" s="3" t="str">
        <f>HYPERLINK("https://www.773grp.com/manufacturer/national-semiconductor?pageNo=32", "National Semiconductor")</f>
        <v>National Semiconductor</v>
      </c>
      <c r="C12897" s="6">
        <v>2</v>
      </c>
      <c r="D12897" s="7">
        <v>318.27999999999997</v>
      </c>
    </row>
    <row r="12898" spans="1:4" x14ac:dyDescent="0.25">
      <c r="A12898" t="str">
        <f>HYPERLINK("https://www.773grp.com/globalSearch/LM95221EVAL/page-1", "LM95221EVAL")</f>
        <v>LM95221EVAL</v>
      </c>
      <c r="B12898" s="3" t="str">
        <f>HYPERLINK("https://www.773grp.com/manufacturer/national-semiconductor?pageNo=33", "National Semiconductor")</f>
        <v>National Semiconductor</v>
      </c>
      <c r="C12898" s="6">
        <v>1</v>
      </c>
      <c r="D12898" s="7">
        <v>318.27999999999997</v>
      </c>
    </row>
    <row r="12899" spans="1:4" x14ac:dyDescent="0.25">
      <c r="A12899" t="str">
        <f>HYPERLINK("https://www.773grp.com/globalSearch/LM95231EVAL/page-1", "LM95231EVAL")</f>
        <v>LM95231EVAL</v>
      </c>
      <c r="B12899" s="3" t="str">
        <f>HYPERLINK("https://www.773grp.com/manufacturer/national-semiconductor?pageNo=34", "National Semiconductor")</f>
        <v>National Semiconductor</v>
      </c>
      <c r="C12899" s="6">
        <v>1</v>
      </c>
      <c r="D12899" s="7">
        <v>318.27999999999997</v>
      </c>
    </row>
    <row r="12900" spans="1:4" x14ac:dyDescent="0.25">
      <c r="A12900" t="str">
        <f>HYPERLINK("https://www.773grp.com/globalSearch/LM95235EVAL-NOPB/page-1", "LM95235EVAL-NOPB")</f>
        <v>LM95235EVAL-NOPB</v>
      </c>
      <c r="B12900" s="3" t="str">
        <f>HYPERLINK("https://www.773grp.com/manufacturer/national-semiconductor?pageNo=35", "National Semiconductor")</f>
        <v>National Semiconductor</v>
      </c>
      <c r="C12900" s="6">
        <v>1</v>
      </c>
      <c r="D12900" s="7">
        <v>318.27999999999997</v>
      </c>
    </row>
    <row r="12901" spans="1:4" x14ac:dyDescent="0.25">
      <c r="A12901" t="str">
        <f>HYPERLINK("https://www.773grp.com/globalSearch/LME49713MABD/page-1", "LME49713MABD")</f>
        <v>LME49713MABD</v>
      </c>
      <c r="B12901" s="3" t="str">
        <f>HYPERLINK("https://www.773grp.com/manufacturer/national-semiconductor?pageNo=36", "National Semiconductor")</f>
        <v>National Semiconductor</v>
      </c>
      <c r="C12901" s="6">
        <v>1</v>
      </c>
      <c r="D12901" s="7">
        <v>318.27999999999997</v>
      </c>
    </row>
    <row r="12902" spans="1:4" x14ac:dyDescent="0.25">
      <c r="A12902" t="str">
        <f>HYPERLINK("https://www.773grp.com/globalSearch/LME49860NABD/page-1", "LME49860NABD")</f>
        <v>LME49860NABD</v>
      </c>
      <c r="B12902" s="3" t="str">
        <f>HYPERLINK("https://www.773grp.com/manufacturer/national-semiconductor?pageNo=37", "National Semiconductor")</f>
        <v>National Semiconductor</v>
      </c>
      <c r="C12902" s="6">
        <v>4</v>
      </c>
      <c r="D12902" s="7">
        <v>318.27999999999997</v>
      </c>
    </row>
    <row r="12903" spans="1:4" x14ac:dyDescent="0.25">
      <c r="A12903" t="str">
        <f>HYPERLINK("https://www.773grp.com/globalSearch/LMH1251EVAL-NOPB/page-1", "LMH1251EVAL-NOPB")</f>
        <v>LMH1251EVAL-NOPB</v>
      </c>
      <c r="B12903" s="3" t="str">
        <f>HYPERLINK("https://www.773grp.com/manufacturer/national-semiconductor?pageNo=38", "National Semiconductor")</f>
        <v>National Semiconductor</v>
      </c>
      <c r="C12903" s="6">
        <v>5</v>
      </c>
      <c r="D12903" s="7">
        <v>318.27999999999997</v>
      </c>
    </row>
    <row r="12904" spans="1:4" x14ac:dyDescent="0.25">
      <c r="A12904" t="str">
        <f>HYPERLINK("https://www.773grp.com/globalSearch/LMH6515EVAL-NOPB/page-1", "LMH6515EVAL-NOPB")</f>
        <v>LMH6515EVAL-NOPB</v>
      </c>
      <c r="B12904" s="3" t="str">
        <f>HYPERLINK("https://www.773grp.com/manufacturer/national-semiconductor?pageNo=39", "National Semiconductor")</f>
        <v>National Semiconductor</v>
      </c>
      <c r="C12904" s="6">
        <v>3</v>
      </c>
      <c r="D12904" s="7">
        <v>318.27999999999997</v>
      </c>
    </row>
    <row r="12905" spans="1:4" x14ac:dyDescent="0.25">
      <c r="A12905" t="str">
        <f>HYPERLINK("https://www.773grp.com/globalSearch/LMH6552SDEVAL-NOPB/page-1", "LMH6552SDEVAL-NOPB")</f>
        <v>LMH6552SDEVAL-NOPB</v>
      </c>
      <c r="B12905" s="3" t="str">
        <f>HYPERLINK("https://www.773grp.com/manufacturer/national-semiconductor?pageNo=40", "National Semiconductor")</f>
        <v>National Semiconductor</v>
      </c>
      <c r="C12905" s="6">
        <v>2</v>
      </c>
      <c r="D12905" s="7">
        <v>318.27999999999997</v>
      </c>
    </row>
    <row r="12906" spans="1:4" x14ac:dyDescent="0.25">
      <c r="A12906" t="str">
        <f>HYPERLINK("https://www.773grp.com/globalSearch/LMH6629SDEVAL-NOPB/page-1", "LMH6629SDEVAL-NOPB")</f>
        <v>LMH6629SDEVAL-NOPB</v>
      </c>
      <c r="B12906" s="3" t="str">
        <f>HYPERLINK("https://www.773grp.com/manufacturer/national-semiconductor?pageNo=41", "National Semiconductor")</f>
        <v>National Semiconductor</v>
      </c>
      <c r="C12906" s="6">
        <v>2</v>
      </c>
      <c r="D12906" s="7">
        <v>318.27999999999997</v>
      </c>
    </row>
    <row r="12907" spans="1:4" x14ac:dyDescent="0.25">
      <c r="A12907" t="str">
        <f>HYPERLINK("https://www.773grp.com/globalSearch/LMH7322EVAL-NOPB/page-1", "LMH7322EVAL-NOPB")</f>
        <v>LMH7322EVAL-NOPB</v>
      </c>
      <c r="B12907" s="3" t="str">
        <f>HYPERLINK("https://www.773grp.com/manufacturer/national-semiconductor?pageNo=42", "National Semiconductor")</f>
        <v>National Semiconductor</v>
      </c>
      <c r="C12907" s="6">
        <v>1</v>
      </c>
      <c r="D12907" s="7">
        <v>318.27999999999997</v>
      </c>
    </row>
    <row r="12908" spans="1:4" x14ac:dyDescent="0.25">
      <c r="A12908" t="str">
        <f>HYPERLINK("https://www.773grp.com/globalSearch/LMH7324EVAL-NOPB/page-1", "LMH7324EVAL-NOPB")</f>
        <v>LMH7324EVAL-NOPB</v>
      </c>
      <c r="B12908" s="3" t="str">
        <f>HYPERLINK("https://www.773grp.com/manufacturer/national-semiconductor?pageNo=43", "National Semiconductor")</f>
        <v>National Semiconductor</v>
      </c>
      <c r="C12908" s="6">
        <v>2</v>
      </c>
      <c r="D12908" s="7">
        <v>318.27999999999997</v>
      </c>
    </row>
    <row r="12909" spans="1:4" x14ac:dyDescent="0.25">
      <c r="A12909" t="str">
        <f>HYPERLINK("https://www.773grp.com/globalSearch/LMP7721MAEVALMF-NOPB/page-1", "LMP7721MAEVALMF-NOPB")</f>
        <v>LMP7721MAEVALMF-NOPB</v>
      </c>
      <c r="B12909" s="3" t="str">
        <f>HYPERLINK("https://www.773grp.com/manufacturer/national-semiconductor?pageNo=44", "National Semiconductor")</f>
        <v>National Semiconductor</v>
      </c>
      <c r="C12909" s="6">
        <v>2</v>
      </c>
      <c r="D12909" s="7">
        <v>318.27999999999997</v>
      </c>
    </row>
    <row r="12910" spans="1:4" x14ac:dyDescent="0.25">
      <c r="A12910" t="str">
        <f>HYPERLINK("https://www.773grp.com/globalSearch/LMV1090TLEVAL/page-1", "LMV1090TLEVAL")</f>
        <v>LMV1090TLEVAL</v>
      </c>
      <c r="B12910" s="3" t="str">
        <f>HYPERLINK("https://www.773grp.com/manufacturer/national-semiconductor?pageNo=45", "National Semiconductor")</f>
        <v>National Semiconductor</v>
      </c>
      <c r="C12910" s="6">
        <v>1</v>
      </c>
      <c r="D12910" s="7">
        <v>318.27999999999997</v>
      </c>
    </row>
    <row r="12911" spans="1:4" x14ac:dyDescent="0.25">
      <c r="A12911" t="str">
        <f>HYPERLINK("https://www.773grp.com/globalSearch/LP3944ISQEV/page-1", "LP3944ISQEV")</f>
        <v>LP3944ISQEV</v>
      </c>
      <c r="B12911" s="3" t="str">
        <f>HYPERLINK("https://www.773grp.com/manufacturer/national-semiconductor?pageNo=46", "National Semiconductor")</f>
        <v>National Semiconductor</v>
      </c>
      <c r="C12911" s="6">
        <v>4</v>
      </c>
      <c r="D12911" s="7">
        <v>318.27999999999997</v>
      </c>
    </row>
    <row r="12912" spans="1:4" x14ac:dyDescent="0.25">
      <c r="A12912" t="str">
        <f>HYPERLINK("https://www.773grp.com/globalSearch/SD034EVK/page-1", "SD034EVK")</f>
        <v>SD034EVK</v>
      </c>
      <c r="B12912" s="3" t="str">
        <f>HYPERLINK("https://www.773grp.com/manufacturer/national-semiconductor?pageNo=47", "National Semiconductor")</f>
        <v>National Semiconductor</v>
      </c>
      <c r="C12912" s="6">
        <v>1</v>
      </c>
      <c r="D12912" s="7">
        <v>318.27999999999997</v>
      </c>
    </row>
    <row r="12913" spans="1:5" x14ac:dyDescent="0.25">
      <c r="A12913" t="str">
        <f>HYPERLINK("https://www.773grp.com/globalSearch/SM3320-BATT-EV-NOPB/page-1", "SM3320-BATT-EV-NOPB")</f>
        <v>SM3320-BATT-EV-NOPB</v>
      </c>
      <c r="B12913" s="3" t="str">
        <f>HYPERLINK("https://www.773grp.com/manufacturer/national-semiconductor?pageNo=48", "National Semiconductor")</f>
        <v>National Semiconductor</v>
      </c>
      <c r="C12913" s="6">
        <v>2</v>
      </c>
      <c r="D12913" s="7">
        <v>318.27999999999997</v>
      </c>
    </row>
    <row r="12914" spans="1:5" x14ac:dyDescent="0.25">
      <c r="A12914" t="str">
        <f>HYPERLINK("https://www.773grp.com/globalSearch/SPIO-4-NOPB/page-1", "SPIO-4-NOPB")</f>
        <v>SPIO-4-NOPB</v>
      </c>
      <c r="B12914" s="3" t="str">
        <f>HYPERLINK("https://www.773grp.com/manufacturer/national-semiconductor?pageNo=49", "National Semiconductor")</f>
        <v>National Semiconductor</v>
      </c>
      <c r="C12914" s="6">
        <v>11</v>
      </c>
      <c r="D12914" s="7">
        <v>318.27999999999997</v>
      </c>
    </row>
    <row r="12915" spans="1:5" x14ac:dyDescent="0.25">
      <c r="A12915" t="str">
        <f>HYPERLINK("https://www.773grp.com/globalSearch/ADS1278EVM-PDK/page-1", "ADS1278EVM-PDK")</f>
        <v>ADS1278EVM-PDK</v>
      </c>
      <c r="B12915" s="3" t="str">
        <f>HYPERLINK("https://www.773grp.com/manufacturer/national-semiconductor?pageNo=50", "National Semiconductor")</f>
        <v>National Semiconductor</v>
      </c>
      <c r="C12915" s="6">
        <v>1</v>
      </c>
      <c r="D12915" s="7">
        <v>318.27999999999997</v>
      </c>
    </row>
    <row r="12916" spans="1:5" x14ac:dyDescent="0.25">
      <c r="A12916" t="str">
        <f>HYPERLINK("https://www.773grp.com/globalSearch/AMC6821EVM-PDK/page-1", "AMC6821EVM-PDK")</f>
        <v>AMC6821EVM-PDK</v>
      </c>
      <c r="B12916" s="3" t="str">
        <f>HYPERLINK("https://www.773grp.com/manufacturer/national-semiconductor?pageNo=51", "National Semiconductor")</f>
        <v>National Semiconductor</v>
      </c>
      <c r="C12916" s="6">
        <v>1</v>
      </c>
      <c r="D12916" s="7">
        <v>318.27999999999997</v>
      </c>
    </row>
    <row r="12917" spans="1:5" x14ac:dyDescent="0.25">
      <c r="A12917" t="str">
        <f>HYPERLINK("https://www.773grp.com/globalSearch/LM5032EVAL-NOPB/page-1", "LM5032EVAL-NOPB")</f>
        <v>LM5032EVAL-NOPB</v>
      </c>
      <c r="B12917" s="3" t="str">
        <f>HYPERLINK("https://www.773grp.com/manufacturer/national-semiconductor?pageNo=52", "National Semiconductor")</f>
        <v>National Semiconductor</v>
      </c>
      <c r="C12917" s="6">
        <v>1</v>
      </c>
      <c r="D12917" s="7">
        <v>318.27999999999997</v>
      </c>
    </row>
    <row r="12918" spans="1:5" x14ac:dyDescent="0.25">
      <c r="A12918" t="str">
        <f>HYPERLINK("https://www.773grp.com/globalSearch/LMH6629SDEVAL-NOPB/page-1", "LMH6629SDEVAL-NOPB")</f>
        <v>LMH6629SDEVAL-NOPB</v>
      </c>
      <c r="B12918" s="3" t="str">
        <f>HYPERLINK("https://www.773grp.com/manufacturer/national-semiconductor?pageNo=53", "National Semiconductor")</f>
        <v>National Semiconductor</v>
      </c>
      <c r="C12918" s="6">
        <v>5</v>
      </c>
      <c r="D12918" s="7">
        <v>318.27999999999997</v>
      </c>
    </row>
    <row r="12919" spans="1:5" x14ac:dyDescent="0.25">
      <c r="A12919" t="str">
        <f>HYPERLINK("https://www.773grp.com/globalSearch/LMV1090TLEVAL/page-1", "LMV1090TLEVAL")</f>
        <v>LMV1090TLEVAL</v>
      </c>
      <c r="B12919" s="3" t="str">
        <f>HYPERLINK("https://www.773grp.com/manufacturer/national-semiconductor?pageNo=54", "National Semiconductor")</f>
        <v>National Semiconductor</v>
      </c>
      <c r="C12919" s="6">
        <v>2</v>
      </c>
      <c r="D12919" s="7">
        <v>318.27999999999997</v>
      </c>
    </row>
    <row r="12920" spans="1:5" x14ac:dyDescent="0.25">
      <c r="A12920" t="str">
        <f>HYPERLINK("https://www.773grp.com/globalSearch/SM3320-BATT-EV-NOPB/page-1", "SM3320-BATT-EV-NOPB")</f>
        <v>SM3320-BATT-EV-NOPB</v>
      </c>
      <c r="B12920" s="3" t="str">
        <f>HYPERLINK("https://www.773grp.com/manufacturer/national-semiconductor?pageNo=55", "National Semiconductor")</f>
        <v>National Semiconductor</v>
      </c>
      <c r="C12920" s="6">
        <v>1</v>
      </c>
      <c r="D12920" s="7">
        <v>318.27999999999997</v>
      </c>
    </row>
    <row r="12921" spans="1:5" x14ac:dyDescent="0.25">
      <c r="A12921" t="str">
        <f>HYPERLINK("https://www.773grp.com/globalSearch/THS4524EVM/page-1", "THS4524EVM")</f>
        <v>THS4524EVM</v>
      </c>
      <c r="B12921" s="3" t="str">
        <f>HYPERLINK("https://www.773grp.com/manufacturer/national-semiconductor?pageNo=56", "National Semiconductor")</f>
        <v>National Semiconductor</v>
      </c>
      <c r="C12921" s="6">
        <v>1</v>
      </c>
      <c r="D12921" s="7">
        <v>318.27999999999997</v>
      </c>
    </row>
    <row r="12922" spans="1:5" x14ac:dyDescent="0.25">
      <c r="A12922" t="str">
        <f>HYPERLINK("https://www.773grp.com/globalSearch/CLC5956PCASM/page-1", "CLC5956PCASM")</f>
        <v>CLC5956PCASM</v>
      </c>
      <c r="B12922" s="3" t="str">
        <f>HYPERLINK("https://www.773grp.com/manufacturer/national-semiconductor?pageNo=57", "National Semiconductor")</f>
        <v>National Semiconductor</v>
      </c>
      <c r="C12922" s="6">
        <v>9</v>
      </c>
      <c r="D12922" s="7">
        <v>320.39999999999998</v>
      </c>
    </row>
    <row r="12923" spans="1:5" x14ac:dyDescent="0.25">
      <c r="A12923" t="str">
        <f>HYPERLINK("https://www.773grp.com/globalSearch/LMX25311146EVAL/page-1", "LMX25311146EVAL")</f>
        <v>LMX25311146EVAL</v>
      </c>
      <c r="B12923" s="3" t="str">
        <f>HYPERLINK("https://www.773grp.com/manufacturer/national-semiconductor?pageNo=58", "National Semiconductor")</f>
        <v>National Semiconductor</v>
      </c>
      <c r="C12923" s="6">
        <v>2</v>
      </c>
      <c r="D12923" s="7">
        <v>320.39999999999998</v>
      </c>
    </row>
    <row r="12924" spans="1:5" x14ac:dyDescent="0.25">
      <c r="A12924" t="str">
        <f>HYPERLINK("https://www.773grp.com/globalSearch/LMX25311910EVAL/page-1", "LMX25311910EVAL")</f>
        <v>LMX25311910EVAL</v>
      </c>
      <c r="B12924" s="3" t="str">
        <f>HYPERLINK("https://www.773grp.com/manufacturer/national-semiconductor?pageNo=59", "National Semiconductor")</f>
        <v>National Semiconductor</v>
      </c>
      <c r="C12924" s="6">
        <v>1</v>
      </c>
      <c r="D12924" s="7">
        <v>320.39999999999998</v>
      </c>
    </row>
    <row r="12925" spans="1:5" x14ac:dyDescent="0.25">
      <c r="A12925" t="str">
        <f>HYPERLINK("https://www.773grp.com/globalSearch/LMX25312570EVAL/page-1", "LMX25312570EVAL")</f>
        <v>LMX25312570EVAL</v>
      </c>
      <c r="B12925" s="3" t="str">
        <f>HYPERLINK("https://www.773grp.com/manufacturer/national-semiconductor?pageNo=60", "National Semiconductor")</f>
        <v>National Semiconductor</v>
      </c>
      <c r="C12925" s="6">
        <v>1</v>
      </c>
      <c r="D12925" s="7">
        <v>320.39999999999998</v>
      </c>
    </row>
    <row r="12926" spans="1:5" x14ac:dyDescent="0.25">
      <c r="A12926" t="str">
        <f>HYPERLINK("https://www.773grp.com/globalSearch/LM4780TABD/page-1", "LM4780TABD")</f>
        <v>LM4780TABD</v>
      </c>
      <c r="B12926" s="3" t="str">
        <f>HYPERLINK("https://www.773grp.com/manufacturer/national-semiconductor?pageNo=61", "National Semiconductor")</f>
        <v>National Semiconductor</v>
      </c>
      <c r="C12926" s="6">
        <v>1</v>
      </c>
      <c r="D12926" s="7">
        <v>322.64</v>
      </c>
    </row>
    <row r="12927" spans="1:5" x14ac:dyDescent="0.25">
      <c r="A12927" t="str">
        <f>HYPERLINK("https://www.773grp.com/globalSearch/LM5035EVAL/page-1", "LM5035EVAL")</f>
        <v>LM5035EVAL</v>
      </c>
      <c r="B12927" s="3" t="str">
        <f>HYPERLINK("https://www.773grp.com/manufacturer/national-semiconductor?pageNo=62", "National Semiconductor")</f>
        <v>National Semiconductor</v>
      </c>
      <c r="C12927" s="6">
        <v>1</v>
      </c>
      <c r="D12927" s="7">
        <v>327.63</v>
      </c>
    </row>
    <row r="12928" spans="1:5" x14ac:dyDescent="0.25">
      <c r="A12928" t="str">
        <f>HYPERLINK("https://www.773grp.com/globalSearch/5962-9232501MXA/page-1", "5962-9232501MXA")</f>
        <v>5962-9232501MXA</v>
      </c>
      <c r="B12928" s="3" t="str">
        <f>HYPERLINK("https://www.773grp.com/manufacturer/national-semiconductor?pageNo=63", "National Semiconductor")</f>
        <v>National Semiconductor</v>
      </c>
      <c r="C12928" s="6">
        <v>4</v>
      </c>
      <c r="D12928" s="7">
        <v>332.29</v>
      </c>
      <c r="E12928" t="s">
        <v>11</v>
      </c>
    </row>
    <row r="12929" spans="1:5" x14ac:dyDescent="0.25">
      <c r="A12929" t="str">
        <f>HYPERLINK("https://www.773grp.com/globalSearch/TMS320C6415TBGLZA8/page-1", "TMS320C6415TBGLZA8")</f>
        <v>TMS320C6415TBGLZA8</v>
      </c>
      <c r="B12929" s="3" t="str">
        <f>HYPERLINK("https://www.773grp.com/manufacturer/national-semiconductor?pageNo=64", "National Semiconductor")</f>
        <v>National Semiconductor</v>
      </c>
      <c r="C12929" s="6">
        <v>37</v>
      </c>
      <c r="D12929" s="7">
        <v>333.94</v>
      </c>
    </row>
    <row r="12930" spans="1:5" x14ac:dyDescent="0.25">
      <c r="A12930" t="str">
        <f>HYPERLINK("https://www.773grp.com/globalSearch/CLC420AWGFQML/page-1", "CLC420AWGFQML")</f>
        <v>CLC420AWGFQML</v>
      </c>
      <c r="B12930" s="3" t="str">
        <f>HYPERLINK("https://www.773grp.com/manufacturer/national-semiconductor?pageNo=65", "National Semiconductor")</f>
        <v>National Semiconductor</v>
      </c>
      <c r="C12930" s="6">
        <v>152</v>
      </c>
      <c r="D12930" s="7">
        <v>339.41</v>
      </c>
      <c r="E12930" t="s">
        <v>13</v>
      </c>
    </row>
    <row r="12931" spans="1:5" x14ac:dyDescent="0.25">
      <c r="A12931" t="str">
        <f>HYPERLINK("https://www.773grp.com/globalSearch/LM5035AEVAL/page-1", "LM5035AEVAL")</f>
        <v>LM5035AEVAL</v>
      </c>
      <c r="B12931" s="3" t="str">
        <f>HYPERLINK("https://www.773grp.com/manufacturer/national-semiconductor?pageNo=66", "National Semiconductor")</f>
        <v>National Semiconductor</v>
      </c>
      <c r="C12931" s="6">
        <v>1</v>
      </c>
      <c r="D12931" s="7">
        <v>342.63</v>
      </c>
    </row>
    <row r="12932" spans="1:5" x14ac:dyDescent="0.25">
      <c r="A12932" t="str">
        <f>HYPERLINK("https://www.773grp.com/globalSearch/LMH6585VV-NOPB/page-1", "LMH6585VV-NOPB")</f>
        <v>LMH6585VV-NOPB</v>
      </c>
      <c r="B12932" s="3" t="str">
        <f>HYPERLINK("https://www.773grp.com/manufacturer/national-semiconductor?pageNo=67", "National Semiconductor")</f>
        <v>National Semiconductor</v>
      </c>
      <c r="C12932" s="6">
        <v>42</v>
      </c>
      <c r="D12932" s="7">
        <v>346.04</v>
      </c>
    </row>
    <row r="12933" spans="1:5" x14ac:dyDescent="0.25">
      <c r="A12933" t="str">
        <f>HYPERLINK("https://www.773grp.com/globalSearch/ADC08D500CIYB/page-1", "ADC08D500CIYB")</f>
        <v>ADC08D500CIYB</v>
      </c>
      <c r="B12933" s="3" t="str">
        <f>HYPERLINK("https://www.773grp.com/manufacturer/national-semiconductor?pageNo=68", "National Semiconductor")</f>
        <v>National Semiconductor</v>
      </c>
      <c r="C12933" s="6">
        <v>2</v>
      </c>
      <c r="D12933" s="7">
        <v>351.18</v>
      </c>
      <c r="E12933" t="s">
        <v>39</v>
      </c>
    </row>
    <row r="12934" spans="1:5" x14ac:dyDescent="0.25">
      <c r="A12934" t="str">
        <f>HYPERLINK("https://www.773grp.com/globalSearch/93Z667DMQB65/page-1", "93Z667DMQB65")</f>
        <v>93Z667DMQB65</v>
      </c>
      <c r="B12934" s="3" t="str">
        <f>HYPERLINK("https://www.773grp.com/manufacturer/national-semiconductor?pageNo=69", "National Semiconductor")</f>
        <v>National Semiconductor</v>
      </c>
      <c r="C12934" s="6">
        <v>103</v>
      </c>
      <c r="D12934" s="7">
        <v>351.28</v>
      </c>
    </row>
    <row r="12935" spans="1:5" x14ac:dyDescent="0.25">
      <c r="A12935" t="str">
        <f>HYPERLINK("https://www.773grp.com/globalSearch/LM3433SQ-36AEV/page-1", "LM3433SQ-36AEV")</f>
        <v>LM3433SQ-36AEV</v>
      </c>
      <c r="B12935" s="3" t="str">
        <f>HYPERLINK("https://www.773grp.com/manufacturer/national-semiconductor?pageNo=70", "National Semiconductor")</f>
        <v>National Semiconductor</v>
      </c>
      <c r="C12935" s="6">
        <v>1</v>
      </c>
      <c r="D12935" s="7">
        <v>363.14</v>
      </c>
    </row>
    <row r="12936" spans="1:5" x14ac:dyDescent="0.25">
      <c r="A12936" t="str">
        <f>HYPERLINK("https://www.773grp.com/globalSearch/SD303EVK/page-1", "SD303EVK")</f>
        <v>SD303EVK</v>
      </c>
      <c r="B12936" s="3" t="str">
        <f>HYPERLINK("https://www.773grp.com/manufacturer/national-semiconductor?pageNo=71", "National Semiconductor")</f>
        <v>National Semiconductor</v>
      </c>
      <c r="C12936" s="6">
        <v>5</v>
      </c>
      <c r="D12936" s="7">
        <v>363.14</v>
      </c>
    </row>
    <row r="12937" spans="1:5" x14ac:dyDescent="0.25">
      <c r="A12937" t="str">
        <f>HYPERLINK("https://www.773grp.com/globalSearch/DS3884AW-883/page-1", "DS3884AW-883")</f>
        <v>DS3884AW-883</v>
      </c>
      <c r="B12937" s="3" t="str">
        <f>HYPERLINK("https://www.773grp.com/manufacturer/national-semiconductor?pageNo=72", "National Semiconductor")</f>
        <v>National Semiconductor</v>
      </c>
      <c r="C12937" s="6">
        <v>106</v>
      </c>
      <c r="D12937" s="7">
        <v>373.81</v>
      </c>
      <c r="E12937" t="s">
        <v>21</v>
      </c>
    </row>
    <row r="12938" spans="1:5" x14ac:dyDescent="0.25">
      <c r="A12938" t="str">
        <f>HYPERLINK("https://www.773grp.com/globalSearch/LM5041EVAL-NOPB/page-1", "LM5041EVAL-NOPB")</f>
        <v>LM5041EVAL-NOPB</v>
      </c>
      <c r="B12938" s="3" t="str">
        <f>HYPERLINK("https://www.773grp.com/manufacturer/national-semiconductor?pageNo=73", "National Semiconductor")</f>
        <v>National Semiconductor</v>
      </c>
      <c r="C12938" s="6">
        <v>1</v>
      </c>
      <c r="D12938" s="7">
        <v>373.81</v>
      </c>
    </row>
    <row r="12939" spans="1:5" x14ac:dyDescent="0.25">
      <c r="A12939" t="str">
        <f>HYPERLINK("https://www.773grp.com/globalSearch/LMX2434EVAL-NOPB/page-1", "LMX2434EVAL-NOPB")</f>
        <v>LMX2434EVAL-NOPB</v>
      </c>
      <c r="B12939" s="3" t="str">
        <f>HYPERLINK("https://www.773grp.com/manufacturer/national-semiconductor?pageNo=74", "National Semiconductor")</f>
        <v>National Semiconductor</v>
      </c>
      <c r="C12939" s="6">
        <v>1</v>
      </c>
      <c r="D12939" s="7">
        <v>373.81</v>
      </c>
    </row>
    <row r="12940" spans="1:5" x14ac:dyDescent="0.25">
      <c r="A12940" t="str">
        <f>HYPERLINK("https://www.773grp.com/globalSearch/LMX25311650EVAL/page-1", "LMX25311650EVAL")</f>
        <v>LMX25311650EVAL</v>
      </c>
      <c r="B12940" s="3" t="str">
        <f>HYPERLINK("https://www.773grp.com/manufacturer/national-semiconductor?pageNo=75", "National Semiconductor")</f>
        <v>National Semiconductor</v>
      </c>
      <c r="C12940" s="6">
        <v>2</v>
      </c>
      <c r="D12940" s="7">
        <v>373.81</v>
      </c>
    </row>
    <row r="12941" spans="1:5" x14ac:dyDescent="0.25">
      <c r="A12941" t="str">
        <f>HYPERLINK("https://www.773grp.com/globalSearch/LMX24856211EVAL/page-1", "LMX24856211EVAL")</f>
        <v>LMX24856211EVAL</v>
      </c>
      <c r="B12941" s="3" t="str">
        <f>HYPERLINK("https://www.773grp.com/manufacturer/national-semiconductor?pageNo=76", "National Semiconductor")</f>
        <v>National Semiconductor</v>
      </c>
      <c r="C12941" s="6">
        <v>1</v>
      </c>
      <c r="D12941" s="7">
        <v>375.14</v>
      </c>
    </row>
    <row r="12942" spans="1:5" x14ac:dyDescent="0.25">
      <c r="A12942" t="str">
        <f>HYPERLINK("https://www.773grp.com/globalSearch/LMX2486EVAL/page-1", "LMX2486EVAL")</f>
        <v>LMX2486EVAL</v>
      </c>
      <c r="B12942" s="3" t="str">
        <f>HYPERLINK("https://www.773grp.com/manufacturer/national-semiconductor?pageNo=77", "National Semiconductor")</f>
        <v>National Semiconductor</v>
      </c>
      <c r="C12942" s="6">
        <v>2</v>
      </c>
      <c r="D12942" s="7">
        <v>375.14</v>
      </c>
    </row>
    <row r="12943" spans="1:5" x14ac:dyDescent="0.25">
      <c r="A12943" t="str">
        <f>HYPERLINK("https://www.773grp.com/globalSearch/LMX25311226EVAL/page-1", "LMX25311226EVAL")</f>
        <v>LMX25311226EVAL</v>
      </c>
      <c r="B12943" s="3" t="str">
        <f>HYPERLINK("https://www.773grp.com/manufacturer/national-semiconductor?pageNo=78", "National Semiconductor")</f>
        <v>National Semiconductor</v>
      </c>
      <c r="C12943" s="6">
        <v>1</v>
      </c>
      <c r="D12943" s="7">
        <v>375.14</v>
      </c>
    </row>
    <row r="12944" spans="1:5" x14ac:dyDescent="0.25">
      <c r="A12944" t="str">
        <f>HYPERLINK("https://www.773grp.com/globalSearch/5962-9679801VCA/page-1", "5962-9679801VCA")</f>
        <v>5962-9679801VCA</v>
      </c>
      <c r="B12944" s="3" t="str">
        <f>HYPERLINK("https://www.773grp.com/manufacturer/national-semiconductor?pageNo=79", "National Semiconductor")</f>
        <v>National Semiconductor</v>
      </c>
      <c r="C12944" s="6">
        <v>88</v>
      </c>
      <c r="D12944" s="7">
        <v>383</v>
      </c>
      <c r="E12944" t="s">
        <v>9</v>
      </c>
    </row>
    <row r="12945" spans="1:5" x14ac:dyDescent="0.25">
      <c r="A12945" t="str">
        <f>HYPERLINK("https://www.773grp.com/globalSearch/NSC810AE-4-883/page-1", "NSC810AE-4-883")</f>
        <v>NSC810AE-4-883</v>
      </c>
      <c r="B12945" s="3" t="str">
        <f>HYPERLINK("https://www.773grp.com/manufacturer/national-semiconductor?pageNo=80", "National Semiconductor")</f>
        <v>National Semiconductor</v>
      </c>
      <c r="C12945" s="6">
        <v>425</v>
      </c>
      <c r="D12945" s="7">
        <v>384.5</v>
      </c>
      <c r="E12945" t="s">
        <v>90</v>
      </c>
    </row>
    <row r="12946" spans="1:5" x14ac:dyDescent="0.25">
      <c r="A12946" t="str">
        <f>HYPERLINK("https://www.773grp.com/globalSearch/SD384EVK-NOPB/page-1", "SD384EVK-NOPB")</f>
        <v>SD384EVK-NOPB</v>
      </c>
      <c r="B12946" s="3" t="str">
        <f>HYPERLINK("https://www.773grp.com/manufacturer/national-semiconductor?pageNo=81", "National Semiconductor")</f>
        <v>National Semiconductor</v>
      </c>
      <c r="C12946" s="6">
        <v>2</v>
      </c>
      <c r="D12946" s="7">
        <v>425.09</v>
      </c>
    </row>
    <row r="12947" spans="1:5" x14ac:dyDescent="0.25">
      <c r="A12947" t="str">
        <f>HYPERLINK("https://www.773grp.com/globalSearch/DS16EV51-AEVKH/page-1", "DS16EV51-AEVKH")</f>
        <v>DS16EV51-AEVKH</v>
      </c>
      <c r="B12947" s="3" t="str">
        <f>HYPERLINK("https://www.773grp.com/manufacturer/national-semiconductor?pageNo=82", "National Semiconductor")</f>
        <v>National Semiconductor</v>
      </c>
      <c r="C12947" s="6">
        <v>1</v>
      </c>
      <c r="D12947" s="7">
        <v>425.09</v>
      </c>
    </row>
    <row r="12948" spans="1:5" x14ac:dyDescent="0.25">
      <c r="A12948" t="str">
        <f>HYPERLINK("https://www.773grp.com/globalSearch/LM3433SQ-14AEV-NOPB/page-1", "LM3433SQ-14AEV-NOPB")</f>
        <v>LM3433SQ-14AEV-NOPB</v>
      </c>
      <c r="B12948" s="3" t="str">
        <f>HYPERLINK("https://www.773grp.com/manufacturer/national-semiconductor?pageNo=83", "National Semiconductor")</f>
        <v>National Semiconductor</v>
      </c>
      <c r="C12948" s="6">
        <v>1</v>
      </c>
      <c r="D12948" s="7">
        <v>425.09</v>
      </c>
    </row>
    <row r="12949" spans="1:5" x14ac:dyDescent="0.25">
      <c r="A12949" t="str">
        <f>HYPERLINK("https://www.773grp.com/globalSearch/DS3875W-MPR/page-1", "DS3875W-MPR")</f>
        <v>DS3875W-MPR</v>
      </c>
      <c r="B12949" s="3" t="str">
        <f>HYPERLINK("https://www.773grp.com/manufacturer/national-semiconductor?pageNo=84", "National Semiconductor")</f>
        <v>National Semiconductor</v>
      </c>
      <c r="C12949" s="6">
        <v>23</v>
      </c>
      <c r="D12949" s="7">
        <v>427.21</v>
      </c>
    </row>
    <row r="12950" spans="1:5" x14ac:dyDescent="0.25">
      <c r="A12950" t="str">
        <f>HYPERLINK("https://www.773grp.com/globalSearch/LM3433SQ-36AEV-NOPB/page-1", "LM3433SQ-36AEV-NOPB")</f>
        <v>LM3433SQ-36AEV-NOPB</v>
      </c>
      <c r="B12950" s="3" t="str">
        <f>HYPERLINK("https://www.773grp.com/manufacturer/national-semiconductor?pageNo=85", "National Semiconductor")</f>
        <v>National Semiconductor</v>
      </c>
      <c r="C12950" s="6">
        <v>2</v>
      </c>
      <c r="D12950" s="7">
        <v>427.66</v>
      </c>
    </row>
    <row r="12951" spans="1:5" x14ac:dyDescent="0.25">
      <c r="A12951" t="str">
        <f>HYPERLINK("https://www.773grp.com/globalSearch/NSC831E-MIL/page-1", "NSC831E-MIL")</f>
        <v>NSC831E-MIL</v>
      </c>
      <c r="B12951" s="3" t="str">
        <f>HYPERLINK("https://www.773grp.com/manufacturer/national-semiconductor?pageNo=86", "National Semiconductor")</f>
        <v>National Semiconductor</v>
      </c>
      <c r="C12951" s="6">
        <v>55</v>
      </c>
      <c r="D12951" s="7">
        <v>429.35</v>
      </c>
    </row>
    <row r="12952" spans="1:5" x14ac:dyDescent="0.25">
      <c r="A12952" t="str">
        <f>HYPERLINK("https://www.773grp.com/globalSearch/5962R9950401VCA/page-1", "5962R9950401VCA")</f>
        <v>5962R9950401VCA</v>
      </c>
      <c r="B12952" s="3" t="str">
        <f>HYPERLINK("https://www.773grp.com/manufacturer/national-semiconductor?pageNo=87", "National Semiconductor")</f>
        <v>National Semiconductor</v>
      </c>
      <c r="C12952" s="6">
        <v>11</v>
      </c>
      <c r="D12952" s="7">
        <v>433.63</v>
      </c>
    </row>
    <row r="12953" spans="1:5" x14ac:dyDescent="0.25">
      <c r="A12953" t="str">
        <f>HYPERLINK("https://www.773grp.com/globalSearch/LM5034EVAL/page-1", "LM5034EVAL")</f>
        <v>LM5034EVAL</v>
      </c>
      <c r="B12953" s="3" t="str">
        <f>HYPERLINK("https://www.773grp.com/manufacturer/national-semiconductor?pageNo=88", "National Semiconductor")</f>
        <v>National Semiconductor</v>
      </c>
      <c r="C12953" s="6">
        <v>1</v>
      </c>
      <c r="D12953" s="7">
        <v>435.15</v>
      </c>
    </row>
    <row r="12954" spans="1:5" x14ac:dyDescent="0.25">
      <c r="A12954" t="str">
        <f>HYPERLINK("https://www.773grp.com/globalSearch/5962R9673801VCA/page-1", "5962R9673801VCA")</f>
        <v>5962R9673801VCA</v>
      </c>
      <c r="B12954" s="3" t="str">
        <f>HYPERLINK("https://www.773grp.com/manufacturer/national-semiconductor?pageNo=89", "National Semiconductor")</f>
        <v>National Semiconductor</v>
      </c>
      <c r="C12954" s="6">
        <v>45</v>
      </c>
      <c r="D12954" s="7">
        <v>435.76</v>
      </c>
      <c r="E12954" t="s">
        <v>9</v>
      </c>
    </row>
    <row r="12955" spans="1:5" x14ac:dyDescent="0.25">
      <c r="A12955" t="str">
        <f>HYPERLINK("https://www.773grp.com/globalSearch/5962R9950401VDA/page-1", "5962R9950401VDA")</f>
        <v>5962R9950401VDA</v>
      </c>
      <c r="B12955" s="3" t="str">
        <f>HYPERLINK("https://www.773grp.com/manufacturer/national-semiconductor?pageNo=90", "National Semiconductor")</f>
        <v>National Semiconductor</v>
      </c>
      <c r="C12955" s="6">
        <v>146</v>
      </c>
      <c r="D12955" s="7">
        <v>435.76</v>
      </c>
      <c r="E12955" t="s">
        <v>13</v>
      </c>
    </row>
    <row r="12956" spans="1:5" x14ac:dyDescent="0.25">
      <c r="A12956" t="str">
        <f>HYPERLINK("https://www.773grp.com/globalSearch/5962R9950401VZA/page-1", "5962R9950401VZA")</f>
        <v>5962R9950401VZA</v>
      </c>
      <c r="B12956" s="3" t="str">
        <f>HYPERLINK("https://www.773grp.com/manufacturer/national-semiconductor?pageNo=91", "National Semiconductor")</f>
        <v>National Semiconductor</v>
      </c>
      <c r="C12956" s="6">
        <v>13</v>
      </c>
      <c r="D12956" s="7">
        <v>435.76</v>
      </c>
      <c r="E12956" t="s">
        <v>13</v>
      </c>
    </row>
    <row r="12957" spans="1:5" x14ac:dyDescent="0.25">
      <c r="A12957" t="str">
        <f>HYPERLINK("https://www.773grp.com/globalSearch/5962R9673801VCA/page-1", "5962R9673801VCA")</f>
        <v>5962R9673801VCA</v>
      </c>
      <c r="B12957" s="3" t="str">
        <f>HYPERLINK("https://www.773grp.com/manufacturer/national-semiconductor?pageNo=92", "National Semiconductor")</f>
        <v>National Semiconductor</v>
      </c>
      <c r="C12957" s="6">
        <v>5</v>
      </c>
      <c r="D12957" s="7">
        <v>435.76</v>
      </c>
      <c r="E12957" t="s">
        <v>9</v>
      </c>
    </row>
    <row r="12958" spans="1:5" x14ac:dyDescent="0.25">
      <c r="A12958" t="str">
        <f>HYPERLINK("https://www.773grp.com/globalSearch/5962R9673801VDA/page-1", "5962R9673801VDA")</f>
        <v>5962R9673801VDA</v>
      </c>
      <c r="B12958" s="3" t="str">
        <f>HYPERLINK("https://www.773grp.com/manufacturer/national-semiconductor?pageNo=93", "National Semiconductor")</f>
        <v>National Semiconductor</v>
      </c>
      <c r="C12958" s="6">
        <v>11</v>
      </c>
      <c r="D12958" s="7">
        <v>446.45</v>
      </c>
      <c r="E12958" t="s">
        <v>9</v>
      </c>
    </row>
    <row r="12959" spans="1:5" x14ac:dyDescent="0.25">
      <c r="A12959" t="str">
        <f>HYPERLINK("https://www.773grp.com/globalSearch/NS32GX320NU-30/page-1", "NS32GX320NU-30")</f>
        <v>NS32GX320NU-30</v>
      </c>
      <c r="B12959" s="3" t="str">
        <f>HYPERLINK("https://www.773grp.com/manufacturer/national-semiconductor?pageNo=94", "National Semiconductor")</f>
        <v>National Semiconductor</v>
      </c>
      <c r="C12959" s="6">
        <v>588</v>
      </c>
      <c r="D12959" s="7">
        <v>448.58</v>
      </c>
    </row>
    <row r="12960" spans="1:5" x14ac:dyDescent="0.25">
      <c r="A12960" t="str">
        <f>HYPERLINK("https://www.773grp.com/globalSearch/LM139AWGRQMLV/page-1", "LM139AWGRQMLV")</f>
        <v>LM139AWGRQMLV</v>
      </c>
      <c r="B12960" s="3" t="str">
        <f>HYPERLINK("https://www.773grp.com/manufacturer/national-semiconductor?pageNo=95", "National Semiconductor")</f>
        <v>National Semiconductor</v>
      </c>
      <c r="C12960" s="6">
        <v>51</v>
      </c>
      <c r="D12960" s="7">
        <v>450.71</v>
      </c>
    </row>
    <row r="12961" spans="1:5" x14ac:dyDescent="0.25">
      <c r="A12961" t="str">
        <f>HYPERLINK("https://www.773grp.com/globalSearch/LV32EVK01/page-1", "LV32EVK01")</f>
        <v>LV32EVK01</v>
      </c>
      <c r="B12961" s="3" t="str">
        <f>HYPERLINK("https://www.773grp.com/manufacturer/national-semiconductor?pageNo=96", "National Semiconductor")</f>
        <v>National Semiconductor</v>
      </c>
      <c r="C12961" s="6">
        <v>2</v>
      </c>
      <c r="D12961" s="7">
        <v>454.99</v>
      </c>
    </row>
    <row r="12962" spans="1:5" x14ac:dyDescent="0.25">
      <c r="A12962" t="str">
        <f>HYPERLINK("https://www.773grp.com/globalSearch/LMH6702WGFQMLV/page-1", "LMH6702WGFQMLV")</f>
        <v>LMH6702WGFQMLV</v>
      </c>
      <c r="B12962" s="3" t="str">
        <f>HYPERLINK("https://www.773grp.com/manufacturer/national-semiconductor?pageNo=97", "National Semiconductor")</f>
        <v>National Semiconductor</v>
      </c>
      <c r="C12962" s="6">
        <v>34</v>
      </c>
      <c r="D12962" s="7">
        <v>457.13</v>
      </c>
      <c r="E12962" t="s">
        <v>18</v>
      </c>
    </row>
    <row r="12963" spans="1:5" x14ac:dyDescent="0.25">
      <c r="A12963" t="str">
        <f>HYPERLINK("https://www.773grp.com/globalSearch/DS96F175MJ-QMLV/page-1", "DS96F175MJ-QMLV")</f>
        <v>DS96F175MJ-QMLV</v>
      </c>
      <c r="B12963" s="3" t="str">
        <f>HYPERLINK("https://www.773grp.com/manufacturer/national-semiconductor?pageNo=98", "National Semiconductor")</f>
        <v>National Semiconductor</v>
      </c>
      <c r="C12963" s="6">
        <v>20</v>
      </c>
      <c r="D12963" s="7">
        <v>473.24</v>
      </c>
      <c r="E12963" t="s">
        <v>21</v>
      </c>
    </row>
    <row r="12964" spans="1:5" x14ac:dyDescent="0.25">
      <c r="A12964" t="str">
        <f>HYPERLINK("https://www.773grp.com/globalSearch/DS3875W-883/page-1", "DS3875W-883")</f>
        <v>DS3875W-883</v>
      </c>
      <c r="B12964" s="3" t="str">
        <f>HYPERLINK("https://www.773grp.com/manufacturer/national-semiconductor?pageNo=99", "National Semiconductor")</f>
        <v>National Semiconductor</v>
      </c>
      <c r="C12964" s="6">
        <v>25</v>
      </c>
      <c r="D12964" s="7">
        <v>480.61</v>
      </c>
      <c r="E12964" t="s">
        <v>91</v>
      </c>
    </row>
    <row r="12965" spans="1:5" x14ac:dyDescent="0.25">
      <c r="A12965" t="str">
        <f>HYPERLINK("https://www.773grp.com/globalSearch/5962R9673802VXA/page-1", "5962R9673802VXA")</f>
        <v>5962R9673802VXA</v>
      </c>
      <c r="B12965" s="3" t="str">
        <f>HYPERLINK("https://www.773grp.com/manufacturer/national-semiconductor?pageNo=100", "National Semiconductor")</f>
        <v>National Semiconductor</v>
      </c>
      <c r="C12965" s="6">
        <v>50</v>
      </c>
      <c r="D12965" s="7">
        <v>523.35</v>
      </c>
    </row>
    <row r="12966" spans="1:5" x14ac:dyDescent="0.25">
      <c r="A12966" t="str">
        <f>HYPERLINK("https://www.773grp.com/globalSearch/FPDXSDUR-43USB-NOPB/page-1", "FPDXSDUR-43USB-NOPB")</f>
        <v>FPDXSDUR-43USB-NOPB</v>
      </c>
      <c r="B12966" s="3" t="str">
        <f>HYPERLINK("https://www.773grp.com/manufacturer/national-semiconductor?pageNo=101", "National Semiconductor")</f>
        <v>National Semiconductor</v>
      </c>
      <c r="C12966" s="6">
        <v>1</v>
      </c>
      <c r="D12966" s="7">
        <v>531.89</v>
      </c>
    </row>
    <row r="12967" spans="1:5" x14ac:dyDescent="0.25">
      <c r="A12967" t="str">
        <f>HYPERLINK("https://www.773grp.com/globalSearch/LV32EVK01-NOPB/page-1", "LV32EVK01-NOPB")</f>
        <v>LV32EVK01-NOPB</v>
      </c>
      <c r="B12967" s="3" t="str">
        <f>HYPERLINK("https://www.773grp.com/manufacturer/national-semiconductor?pageNo=102", "National Semiconductor")</f>
        <v>National Semiconductor</v>
      </c>
      <c r="C12967" s="6">
        <v>4</v>
      </c>
      <c r="D12967" s="7">
        <v>531.89</v>
      </c>
    </row>
    <row r="12968" spans="1:5" x14ac:dyDescent="0.25">
      <c r="A12968" t="str">
        <f>HYPERLINK("https://www.773grp.com/globalSearch/LV32EVK01-NOPB/page-1", "LV32EVK01-NOPB")</f>
        <v>LV32EVK01-NOPB</v>
      </c>
      <c r="B12968" s="3" t="str">
        <f>HYPERLINK("https://www.773grp.com/manufacturer/national-semiconductor?pageNo=103", "National Semiconductor")</f>
        <v>National Semiconductor</v>
      </c>
      <c r="C12968" s="6">
        <v>1</v>
      </c>
      <c r="D12968" s="7">
        <v>531.89</v>
      </c>
    </row>
    <row r="12969" spans="1:5" x14ac:dyDescent="0.25">
      <c r="A12969" t="str">
        <f>HYPERLINK("https://www.773grp.com/globalSearch/JL198SGA/page-1", "JL198SGA")</f>
        <v>JL198SGA</v>
      </c>
      <c r="B12969" s="3" t="str">
        <f>HYPERLINK("https://www.773grp.com/manufacturer/national-semiconductor?pageNo=104", "National Semiconductor")</f>
        <v>National Semiconductor</v>
      </c>
      <c r="C12969" s="6">
        <v>50</v>
      </c>
      <c r="D12969" s="7">
        <v>532.53</v>
      </c>
    </row>
    <row r="12970" spans="1:5" x14ac:dyDescent="0.25">
      <c r="A12970" t="str">
        <f>HYPERLINK("https://www.773grp.com/globalSearch/5962R7802005VEA/page-1", "5962R7802005VEA")</f>
        <v>5962R7802005VEA</v>
      </c>
      <c r="B12970" s="3" t="str">
        <f>HYPERLINK("https://www.773grp.com/manufacturer/national-semiconductor?pageNo=105", "National Semiconductor")</f>
        <v>National Semiconductor</v>
      </c>
      <c r="C12970" s="6">
        <v>5</v>
      </c>
      <c r="D12970" s="7">
        <v>534.03</v>
      </c>
      <c r="E12970" t="s">
        <v>21</v>
      </c>
    </row>
    <row r="12971" spans="1:5" x14ac:dyDescent="0.25">
      <c r="A12971" t="str">
        <f>HYPERLINK("https://www.773grp.com/globalSearch/5962-9583401VFA-SD/page-1", "5962-9583401VFA-SD")</f>
        <v>5962-9583401VFA-SD</v>
      </c>
      <c r="B12971" s="3" t="str">
        <f>HYPERLINK("https://www.773grp.com/manufacturer/national-semiconductor?pageNo=106", "National Semiconductor")</f>
        <v>National Semiconductor</v>
      </c>
      <c r="C12971" s="6">
        <v>25</v>
      </c>
      <c r="D12971" s="7">
        <v>534.03</v>
      </c>
    </row>
    <row r="12972" spans="1:5" x14ac:dyDescent="0.25">
      <c r="A12972" t="str">
        <f>HYPERLINK("https://www.773grp.com/globalSearch/5962L9583401VFA/page-1", "5962L9583401VFA")</f>
        <v>5962L9583401VFA</v>
      </c>
      <c r="B12972" s="3" t="str">
        <f>HYPERLINK("https://www.773grp.com/manufacturer/national-semiconductor?pageNo=107", "National Semiconductor")</f>
        <v>National Semiconductor</v>
      </c>
      <c r="C12972" s="6">
        <v>80</v>
      </c>
      <c r="D12972" s="7">
        <v>551.1</v>
      </c>
      <c r="E12972" t="s">
        <v>21</v>
      </c>
    </row>
    <row r="12973" spans="1:5" x14ac:dyDescent="0.25">
      <c r="A12973" t="str">
        <f>HYPERLINK("https://www.773grp.com/globalSearch/5962R9583301VFA/page-1", "5962R9583301VFA")</f>
        <v>5962R9583301VFA</v>
      </c>
      <c r="B12973" s="3" t="str">
        <f>HYPERLINK("https://www.773grp.com/manufacturer/national-semiconductor?pageNo=108", "National Semiconductor")</f>
        <v>National Semiconductor</v>
      </c>
      <c r="C12973" s="6">
        <v>26</v>
      </c>
      <c r="D12973" s="7">
        <v>551.1</v>
      </c>
      <c r="E12973" t="s">
        <v>21</v>
      </c>
    </row>
    <row r="12974" spans="1:5" x14ac:dyDescent="0.25">
      <c r="A12974" t="str">
        <f>HYPERLINK("https://www.773grp.com/globalSearch/5962R9583301VFA/page-1", "5962R9583301VFA")</f>
        <v>5962R9583301VFA</v>
      </c>
      <c r="B12974" s="3" t="str">
        <f>HYPERLINK("https://www.773grp.com/manufacturer/national-semiconductor?pageNo=109", "National Semiconductor")</f>
        <v>National Semiconductor</v>
      </c>
      <c r="C12974" s="6">
        <v>33</v>
      </c>
      <c r="D12974" s="7">
        <v>551.1</v>
      </c>
      <c r="E12974" t="s">
        <v>21</v>
      </c>
    </row>
    <row r="12975" spans="1:5" x14ac:dyDescent="0.25">
      <c r="A12975" t="str">
        <f>HYPERLINK("https://www.773grp.com/globalSearch/ADC08D1000CIYB-NOPB/page-1", "ADC08D1000CIYB-NOPB")</f>
        <v>ADC08D1000CIYB-NOPB</v>
      </c>
      <c r="B12975" s="3" t="str">
        <f>HYPERLINK("https://www.773grp.com/manufacturer/national-semiconductor?pageNo=110", "National Semiconductor")</f>
        <v>National Semiconductor</v>
      </c>
      <c r="C12975" s="6">
        <v>35</v>
      </c>
      <c r="D12975" s="7">
        <v>566.04999999999995</v>
      </c>
    </row>
    <row r="12976" spans="1:5" x14ac:dyDescent="0.25">
      <c r="A12976" t="str">
        <f>HYPERLINK("https://www.773grp.com/globalSearch/ADC081500CIYB-NOPB/page-1", "ADC081500CIYB-NOPB")</f>
        <v>ADC081500CIYB-NOPB</v>
      </c>
      <c r="B12976" s="3" t="str">
        <f>HYPERLINK("https://www.773grp.com/manufacturer/national-semiconductor?pageNo=111", "National Semiconductor")</f>
        <v>National Semiconductor</v>
      </c>
      <c r="C12976" s="6">
        <v>71</v>
      </c>
      <c r="D12976" s="7">
        <v>568.20000000000005</v>
      </c>
    </row>
    <row r="12977" spans="1:5" x14ac:dyDescent="0.25">
      <c r="A12977" t="str">
        <f>HYPERLINK("https://www.773grp.com/globalSearch/LM555J-MLS/page-1", "LM555J-MLS")</f>
        <v>LM555J-MLS</v>
      </c>
      <c r="B12977" s="3" t="str">
        <f>HYPERLINK("https://www.773grp.com/manufacturer/national-semiconductor?pageNo=112", "National Semiconductor")</f>
        <v>National Semiconductor</v>
      </c>
      <c r="C12977" s="6">
        <v>19</v>
      </c>
      <c r="D12977" s="7">
        <v>578.88</v>
      </c>
    </row>
    <row r="12978" spans="1:5" x14ac:dyDescent="0.25">
      <c r="A12978" t="str">
        <f>HYPERLINK("https://www.773grp.com/globalSearch/LMK04002BEVAL/page-1", "LMK04002BEVAL")</f>
        <v>LMK04002BEVAL</v>
      </c>
      <c r="B12978" s="3" t="str">
        <f>HYPERLINK("https://www.773grp.com/manufacturer/national-semiconductor?pageNo=113", "National Semiconductor")</f>
        <v>National Semiconductor</v>
      </c>
      <c r="C12978" s="6">
        <v>2</v>
      </c>
      <c r="D12978" s="7">
        <v>581.01</v>
      </c>
    </row>
    <row r="12979" spans="1:5" x14ac:dyDescent="0.25">
      <c r="A12979" t="str">
        <f>HYPERLINK("https://www.773grp.com/globalSearch/5962R9452603VGA/page-1", "5962R9452603VGA")</f>
        <v>5962R9452603VGA</v>
      </c>
      <c r="B12979" s="3" t="str">
        <f>HYPERLINK("https://www.773grp.com/manufacturer/national-semiconductor?pageNo=114", "National Semiconductor")</f>
        <v>National Semiconductor</v>
      </c>
      <c r="C12979" s="6">
        <v>160</v>
      </c>
      <c r="D12979" s="7">
        <v>585.29</v>
      </c>
    </row>
    <row r="12980" spans="1:5" x14ac:dyDescent="0.25">
      <c r="A12980" t="str">
        <f>HYPERLINK("https://www.773grp.com/globalSearch/5962R8771002VGA/page-1", "5962R8771002VGA")</f>
        <v>5962R8771002VGA</v>
      </c>
      <c r="B12980" s="3" t="str">
        <f>HYPERLINK("https://www.773grp.com/manufacturer/national-semiconductor?pageNo=115", "National Semiconductor")</f>
        <v>National Semiconductor</v>
      </c>
      <c r="C12980" s="6">
        <v>75</v>
      </c>
      <c r="D12980" s="7">
        <v>589.89</v>
      </c>
      <c r="E12980" t="s">
        <v>13</v>
      </c>
    </row>
    <row r="12981" spans="1:5" x14ac:dyDescent="0.25">
      <c r="A12981" t="str">
        <f>HYPERLINK("https://www.773grp.com/globalSearch/LM124AJRLQMLV/page-1", "LM124AJRLQMLV")</f>
        <v>LM124AJRLQMLV</v>
      </c>
      <c r="B12981" s="3" t="str">
        <f>HYPERLINK("https://www.773grp.com/manufacturer/national-semiconductor?pageNo=116", "National Semiconductor")</f>
        <v>National Semiconductor</v>
      </c>
      <c r="C12981" s="6">
        <v>100</v>
      </c>
      <c r="D12981" s="7">
        <v>593.84</v>
      </c>
      <c r="E12981" t="s">
        <v>13</v>
      </c>
    </row>
    <row r="12982" spans="1:5" x14ac:dyDescent="0.25">
      <c r="A12982" t="str">
        <f>HYPERLINK("https://www.773grp.com/globalSearch/5962-8759401VYA/page-1", "5962-8759401VYA")</f>
        <v>5962-8759401VYA</v>
      </c>
      <c r="B12982" s="3" t="str">
        <f>HYPERLINK("https://www.773grp.com/manufacturer/national-semiconductor?pageNo=117", "National Semiconductor")</f>
        <v>National Semiconductor</v>
      </c>
      <c r="C12982" s="6">
        <v>145</v>
      </c>
      <c r="D12982" s="7">
        <v>610.05999999999995</v>
      </c>
      <c r="E12982" t="s">
        <v>17</v>
      </c>
    </row>
    <row r="12983" spans="1:5" x14ac:dyDescent="0.25">
      <c r="A12983" t="str">
        <f>HYPERLINK("https://www.773grp.com/globalSearch/LM119HRQMLV/page-1", "LM119HRQMLV")</f>
        <v>LM119HRQMLV</v>
      </c>
      <c r="B12983" s="3" t="str">
        <f>HYPERLINK("https://www.773grp.com/manufacturer/national-semiconductor?pageNo=118", "National Semiconductor")</f>
        <v>National Semiconductor</v>
      </c>
      <c r="C12983" s="6">
        <v>4</v>
      </c>
      <c r="D12983" s="7">
        <v>616.79999999999995</v>
      </c>
    </row>
    <row r="12984" spans="1:5" x14ac:dyDescent="0.25">
      <c r="A12984" t="str">
        <f>HYPERLINK("https://www.773grp.com/globalSearch/5962-9673801VXA/page-1", "5962-9673801VXA")</f>
        <v>5962-9673801VXA</v>
      </c>
      <c r="B12984" s="3" t="str">
        <f>HYPERLINK("https://www.773grp.com/manufacturer/national-semiconductor?pageNo=119", "National Semiconductor")</f>
        <v>National Semiconductor</v>
      </c>
      <c r="C12984" s="6">
        <v>30</v>
      </c>
      <c r="D12984" s="7">
        <v>624.6</v>
      </c>
      <c r="E12984" t="s">
        <v>9</v>
      </c>
    </row>
    <row r="12985" spans="1:5" x14ac:dyDescent="0.25">
      <c r="A12985" t="str">
        <f>HYPERLINK("https://www.773grp.com/globalSearch/DS42BR400-EVK/page-1", "DS42BR400-EVK")</f>
        <v>DS42BR400-EVK</v>
      </c>
      <c r="B12985" s="3" t="str">
        <f>HYPERLINK("https://www.773grp.com/manufacturer/national-semiconductor?pageNo=120", "National Semiconductor")</f>
        <v>National Semiconductor</v>
      </c>
      <c r="C12985" s="6">
        <v>1</v>
      </c>
      <c r="D12985" s="7">
        <v>638.69000000000005</v>
      </c>
    </row>
    <row r="12986" spans="1:5" x14ac:dyDescent="0.25">
      <c r="A12986" t="str">
        <f>HYPERLINK("https://www.773grp.com/globalSearch/DS90UR907Q-EVK-NOPB/page-1", "DS90UR907Q-EVK-NOPB")</f>
        <v>DS90UR907Q-EVK-NOPB</v>
      </c>
      <c r="B12986" s="3" t="str">
        <f>HYPERLINK("https://www.773grp.com/manufacturer/national-semiconductor?pageNo=121", "National Semiconductor")</f>
        <v>National Semiconductor</v>
      </c>
      <c r="C12986" s="6">
        <v>1</v>
      </c>
      <c r="D12986" s="7">
        <v>638.69000000000005</v>
      </c>
    </row>
    <row r="12987" spans="1:5" x14ac:dyDescent="0.25">
      <c r="A12987" t="str">
        <f>HYPERLINK("https://www.773grp.com/globalSearch/DS90UR908Q-EVK-NOPB/page-1", "DS90UR908Q-EVK-NOPB")</f>
        <v>DS90UR908Q-EVK-NOPB</v>
      </c>
      <c r="B12987" s="3" t="str">
        <f>HYPERLINK("https://www.773grp.com/manufacturer/national-semiconductor?pageNo=122", "National Semiconductor")</f>
        <v>National Semiconductor</v>
      </c>
      <c r="C12987" s="6">
        <v>1</v>
      </c>
      <c r="D12987" s="7">
        <v>638.69000000000005</v>
      </c>
    </row>
    <row r="12988" spans="1:5" x14ac:dyDescent="0.25">
      <c r="A12988" t="str">
        <f>HYPERLINK("https://www.773grp.com/globalSearch/LMK01000EVAL-NOPB/page-1", "LMK01000EVAL-NOPB")</f>
        <v>LMK01000EVAL-NOPB</v>
      </c>
      <c r="B12988" s="3" t="str">
        <f>HYPERLINK("https://www.773grp.com/manufacturer/national-semiconductor?pageNo=123", "National Semiconductor")</f>
        <v>National Semiconductor</v>
      </c>
      <c r="C12988" s="6">
        <v>1</v>
      </c>
      <c r="D12988" s="7">
        <v>638.69000000000005</v>
      </c>
    </row>
    <row r="12989" spans="1:5" x14ac:dyDescent="0.25">
      <c r="A12989" t="str">
        <f>HYPERLINK("https://www.773grp.com/globalSearch/LMK03033CEVAL/page-1", "LMK03033CEVAL")</f>
        <v>LMK03033CEVAL</v>
      </c>
      <c r="B12989" s="3" t="str">
        <f>HYPERLINK("https://www.773grp.com/manufacturer/national-semiconductor?pageNo=124", "National Semiconductor")</f>
        <v>National Semiconductor</v>
      </c>
      <c r="C12989" s="6">
        <v>1</v>
      </c>
      <c r="D12989" s="7">
        <v>638.69000000000005</v>
      </c>
    </row>
    <row r="12990" spans="1:5" x14ac:dyDescent="0.25">
      <c r="A12990" t="str">
        <f>HYPERLINK("https://www.773grp.com/globalSearch/DS99R124Q-EVK-NOPB/page-1", "DS99R124Q-EVK-NOPB")</f>
        <v>DS99R124Q-EVK-NOPB</v>
      </c>
      <c r="B12990" s="3" t="str">
        <f>HYPERLINK("https://www.773grp.com/manufacturer/national-semiconductor?pageNo=125", "National Semiconductor")</f>
        <v>National Semiconductor</v>
      </c>
      <c r="C12990" s="6">
        <v>1</v>
      </c>
      <c r="D12990" s="7">
        <v>638.69000000000005</v>
      </c>
    </row>
    <row r="12991" spans="1:5" x14ac:dyDescent="0.25">
      <c r="A12991" t="str">
        <f>HYPERLINK("https://www.773grp.com/globalSearch/LMK01000EVAL-NOPB/page-1", "LMK01000EVAL-NOPB")</f>
        <v>LMK01000EVAL-NOPB</v>
      </c>
      <c r="B12991" s="3" t="str">
        <f>HYPERLINK("https://www.773grp.com/manufacturer/national-semiconductor?pageNo=126", "National Semiconductor")</f>
        <v>National Semiconductor</v>
      </c>
      <c r="C12991" s="6">
        <v>4</v>
      </c>
      <c r="D12991" s="7">
        <v>638.69000000000005</v>
      </c>
    </row>
    <row r="12992" spans="1:5" x14ac:dyDescent="0.25">
      <c r="A12992" t="str">
        <f>HYPERLINK("https://www.773grp.com/globalSearch/LMK03000CEVAL-NOPB/page-1", "LMK03000CEVAL-NOPB")</f>
        <v>LMK03000CEVAL-NOPB</v>
      </c>
      <c r="B12992" s="3" t="str">
        <f>HYPERLINK("https://www.773grp.com/manufacturer/national-semiconductor?pageNo=127", "National Semiconductor")</f>
        <v>National Semiconductor</v>
      </c>
      <c r="C12992" s="6">
        <v>1</v>
      </c>
      <c r="D12992" s="7">
        <v>638.69000000000005</v>
      </c>
    </row>
    <row r="12993" spans="1:5" x14ac:dyDescent="0.25">
      <c r="A12993" t="str">
        <f>HYPERLINK("https://www.773grp.com/globalSearch/LMK03001CEVAL-NOPB/page-1", "LMK03001CEVAL-NOPB")</f>
        <v>LMK03001CEVAL-NOPB</v>
      </c>
      <c r="B12993" s="3" t="str">
        <f>HYPERLINK("https://www.773grp.com/manufacturer/national-semiconductor?pageNo=128", "National Semiconductor")</f>
        <v>National Semiconductor</v>
      </c>
      <c r="C12993" s="6">
        <v>3</v>
      </c>
      <c r="D12993" s="7">
        <v>638.69000000000005</v>
      </c>
    </row>
    <row r="12994" spans="1:5" x14ac:dyDescent="0.25">
      <c r="A12994" t="str">
        <f>HYPERLINK("https://www.773grp.com/globalSearch/LMK03806BEVAL/page-1", "LMK03806BEVAL")</f>
        <v>LMK03806BEVAL</v>
      </c>
      <c r="B12994" s="3" t="str">
        <f>HYPERLINK("https://www.773grp.com/manufacturer/national-semiconductor?pageNo=129", "National Semiconductor")</f>
        <v>National Semiconductor</v>
      </c>
      <c r="C12994" s="6">
        <v>1</v>
      </c>
      <c r="D12994" s="7">
        <v>638.69000000000005</v>
      </c>
    </row>
    <row r="12995" spans="1:5" x14ac:dyDescent="0.25">
      <c r="A12995" t="str">
        <f>HYPERLINK("https://www.773grp.com/globalSearch/5962R0722961VXA/page-1", "5962R0722961VXA")</f>
        <v>5962R0722961VXA</v>
      </c>
      <c r="B12995" s="3" t="str">
        <f>HYPERLINK("https://www.773grp.com/manufacturer/national-semiconductor?pageNo=130", "National Semiconductor")</f>
        <v>National Semiconductor</v>
      </c>
      <c r="C12995" s="6">
        <v>20</v>
      </c>
      <c r="D12995" s="7">
        <v>647.23</v>
      </c>
      <c r="E12995" t="s">
        <v>22</v>
      </c>
    </row>
    <row r="12996" spans="1:5" x14ac:dyDescent="0.25">
      <c r="A12996" t="str">
        <f>HYPERLINK("https://www.773grp.com/globalSearch/ADC08D1000CIYB/page-1", "ADC08D1000CIYB")</f>
        <v>ADC08D1000CIYB</v>
      </c>
      <c r="B12996" s="3" t="str">
        <f>HYPERLINK("https://www.773grp.com/manufacturer/national-semiconductor?pageNo=131", "National Semiconductor")</f>
        <v>National Semiconductor</v>
      </c>
      <c r="C12996" s="6">
        <v>46</v>
      </c>
      <c r="D12996" s="7">
        <v>679.28</v>
      </c>
      <c r="E12996" t="s">
        <v>39</v>
      </c>
    </row>
    <row r="12997" spans="1:5" x14ac:dyDescent="0.25">
      <c r="A12997" t="str">
        <f>HYPERLINK("https://www.773grp.com/globalSearch/5962-9684302VXA/page-1", "5962-9684302VXA")</f>
        <v>5962-9684302VXA</v>
      </c>
      <c r="B12997" s="3" t="str">
        <f>HYPERLINK("https://www.773grp.com/manufacturer/national-semiconductor?pageNo=132", "National Semiconductor")</f>
        <v>National Semiconductor</v>
      </c>
      <c r="C12997" s="6">
        <v>5</v>
      </c>
      <c r="D12997" s="7">
        <v>702.01</v>
      </c>
      <c r="E12997" t="s">
        <v>17</v>
      </c>
    </row>
    <row r="12998" spans="1:5" x14ac:dyDescent="0.25">
      <c r="A12998" t="str">
        <f>HYPERLINK("https://www.773grp.com/globalSearch/ADC08D1020CIYB-NOPB/page-1", "ADC08D1020CIYB-NOPB")</f>
        <v>ADC08D1020CIYB-NOPB</v>
      </c>
      <c r="B12998" s="3" t="str">
        <f>HYPERLINK("https://www.773grp.com/manufacturer/national-semiconductor?pageNo=133", "National Semiconductor")</f>
        <v>National Semiconductor</v>
      </c>
      <c r="C12998" s="6">
        <v>83</v>
      </c>
      <c r="D12998" s="7">
        <v>702.78</v>
      </c>
      <c r="E12998" t="s">
        <v>39</v>
      </c>
    </row>
    <row r="12999" spans="1:5" x14ac:dyDescent="0.25">
      <c r="A12999" t="str">
        <f>HYPERLINK("https://www.773grp.com/globalSearch/ADC08D1020CIYB-NOPB/page-1", "ADC08D1020CIYB-NOPB")</f>
        <v>ADC08D1020CIYB-NOPB</v>
      </c>
      <c r="B12999" s="3" t="str">
        <f>HYPERLINK("https://www.773grp.com/manufacturer/national-semiconductor?pageNo=134", "National Semiconductor")</f>
        <v>National Semiconductor</v>
      </c>
      <c r="C12999" s="6">
        <v>15</v>
      </c>
      <c r="D12999" s="7">
        <v>702.78</v>
      </c>
      <c r="E12999" t="s">
        <v>39</v>
      </c>
    </row>
    <row r="13000" spans="1:5" x14ac:dyDescent="0.25">
      <c r="A13000" t="str">
        <f>HYPERLINK("https://www.773grp.com/globalSearch/ADC08D1020CIYB-NOPB/page-1", "ADC08D1020CIYB-NOPB")</f>
        <v>ADC08D1020CIYB-NOPB</v>
      </c>
      <c r="C13000" s="6">
        <v>32</v>
      </c>
      <c r="D13000" s="7">
        <v>702.78</v>
      </c>
      <c r="E13000" t="s">
        <v>39</v>
      </c>
    </row>
    <row r="13001" spans="1:5" x14ac:dyDescent="0.25">
      <c r="A13001" t="str">
        <f>HYPERLINK("https://www.773grp.com/globalSearch/DP8429D-MSP/page-1", "DP8429D-MSP")</f>
        <v>DP8429D-MSP</v>
      </c>
      <c r="B13001" s="3" t="s">
        <v>5</v>
      </c>
      <c r="C13001" s="6">
        <v>689</v>
      </c>
      <c r="D13001" s="7">
        <v>739.08</v>
      </c>
    </row>
    <row r="13002" spans="1:5" x14ac:dyDescent="0.25">
      <c r="A13002" t="str">
        <f>HYPERLINK("https://www.773grp.com/globalSearch/W064F/page-1", "W064F")</f>
        <v>W064F</v>
      </c>
      <c r="B13002" s="3" t="s">
        <v>5</v>
      </c>
      <c r="C13002" s="6">
        <v>1</v>
      </c>
      <c r="D13002" s="7">
        <v>801.03</v>
      </c>
    </row>
    <row r="13003" spans="1:5" x14ac:dyDescent="0.25">
      <c r="A13003" t="str">
        <f>HYPERLINK("https://www.773grp.com/globalSearch/ADC12C080EB-NOPB/page-1", "ADC12C080EB-NOPB")</f>
        <v>ADC12C080EB-NOPB</v>
      </c>
      <c r="B13003" s="3" t="s">
        <v>5</v>
      </c>
      <c r="C13003" s="6">
        <v>1</v>
      </c>
      <c r="D13003" s="7">
        <v>818.11</v>
      </c>
    </row>
    <row r="13004" spans="1:5" x14ac:dyDescent="0.25">
      <c r="A13004" t="str">
        <f>HYPERLINK("https://www.773grp.com/globalSearch/LMX25412690EVAL-NOPB/page-1", "LMX25412690EVAL-NOPB")</f>
        <v>LMX25412690EVAL-NOPB</v>
      </c>
      <c r="B13004" s="3" t="s">
        <v>5</v>
      </c>
      <c r="C13004" s="6">
        <v>1</v>
      </c>
      <c r="D13004" s="7">
        <v>852.29</v>
      </c>
    </row>
    <row r="13005" spans="1:5" x14ac:dyDescent="0.25">
      <c r="A13005" t="str">
        <f>HYPERLINK("https://www.773grp.com/globalSearch/LX21EVK01-NOPB/page-1", "LX21EVK01-NOPB")</f>
        <v>LX21EVK01-NOPB</v>
      </c>
      <c r="B13005" s="3" t="s">
        <v>5</v>
      </c>
      <c r="C13005" s="6">
        <v>1</v>
      </c>
      <c r="D13005" s="7">
        <v>852.29</v>
      </c>
    </row>
    <row r="13006" spans="1:5" x14ac:dyDescent="0.25">
      <c r="A13006" t="str">
        <f>HYPERLINK("https://www.773grp.com/globalSearch/SD1983EVK-NOPB/page-1", "SD1983EVK-NOPB")</f>
        <v>SD1983EVK-NOPB</v>
      </c>
      <c r="B13006" s="3" t="s">
        <v>5</v>
      </c>
      <c r="C13006" s="6">
        <v>1</v>
      </c>
      <c r="D13006" s="7">
        <v>852.29</v>
      </c>
    </row>
    <row r="13007" spans="1:5" x14ac:dyDescent="0.25">
      <c r="A13007" t="str">
        <f>HYPERLINK("https://www.773grp.com/globalSearch/SD387EVK-NOPB/page-1", "SD387EVK-NOPB")</f>
        <v>SD387EVK-NOPB</v>
      </c>
      <c r="B13007" s="3" t="s">
        <v>5</v>
      </c>
      <c r="C13007" s="6">
        <v>1</v>
      </c>
      <c r="D13007" s="7">
        <v>852.29</v>
      </c>
    </row>
    <row r="13008" spans="1:5" x14ac:dyDescent="0.25">
      <c r="A13008" t="str">
        <f>HYPERLINK("https://www.773grp.com/globalSearch/SERDESUR-65USB-NOPB/page-1", "SERDESUR-65USB-NOPB")</f>
        <v>SERDESUR-65USB-NOPB</v>
      </c>
      <c r="B13008" s="3" t="s">
        <v>5</v>
      </c>
      <c r="C13008" s="6">
        <v>3</v>
      </c>
      <c r="D13008" s="7">
        <v>852.29</v>
      </c>
    </row>
    <row r="13009" spans="1:5" x14ac:dyDescent="0.25">
      <c r="A13009" t="str">
        <f>HYPERLINK("https://www.773grp.com/globalSearch/LMH6521EVAL-NOPB/page-1", "LMH6521EVAL-NOPB")</f>
        <v>LMH6521EVAL-NOPB</v>
      </c>
      <c r="B13009" s="3" t="s">
        <v>5</v>
      </c>
      <c r="C13009" s="6">
        <v>1</v>
      </c>
      <c r="D13009" s="7">
        <v>852.29</v>
      </c>
    </row>
    <row r="13010" spans="1:5" x14ac:dyDescent="0.25">
      <c r="A13010" t="str">
        <f>HYPERLINK("https://www.773grp.com/globalSearch/LV24EVK01-NOPB/page-1", "LV24EVK01-NOPB")</f>
        <v>LV24EVK01-NOPB</v>
      </c>
      <c r="B13010" s="3" t="s">
        <v>5</v>
      </c>
      <c r="C13010" s="6">
        <v>1</v>
      </c>
      <c r="D13010" s="7">
        <v>852.29</v>
      </c>
    </row>
    <row r="13011" spans="1:5" x14ac:dyDescent="0.25">
      <c r="A13011" t="str">
        <f>HYPERLINK("https://www.773grp.com/globalSearch/LVDS-18B-EVK/page-1", "LVDS-18B-EVK")</f>
        <v>LVDS-18B-EVK</v>
      </c>
      <c r="B13011" s="3" t="s">
        <v>5</v>
      </c>
      <c r="C13011" s="6">
        <v>2</v>
      </c>
      <c r="D13011" s="7">
        <v>852.29</v>
      </c>
    </row>
    <row r="13012" spans="1:5" x14ac:dyDescent="0.25">
      <c r="A13012" t="str">
        <f>HYPERLINK("https://www.773grp.com/globalSearch/LX21EVK01-NOPB/page-1", "LX21EVK01-NOPB")</f>
        <v>LX21EVK01-NOPB</v>
      </c>
      <c r="B13012" s="3" t="s">
        <v>5</v>
      </c>
      <c r="C13012" s="6">
        <v>4</v>
      </c>
      <c r="D13012" s="7">
        <v>852.29</v>
      </c>
    </row>
    <row r="13013" spans="1:5" x14ac:dyDescent="0.25">
      <c r="A13013" t="str">
        <f>HYPERLINK("https://www.773grp.com/globalSearch/DS64BR401EVK/page-1", "DS64BR401EVK")</f>
        <v>DS64BR401EVK</v>
      </c>
      <c r="B13013" s="3" t="s">
        <v>5</v>
      </c>
      <c r="C13013" s="6">
        <v>1</v>
      </c>
      <c r="D13013" s="7">
        <v>899.29</v>
      </c>
    </row>
    <row r="13014" spans="1:5" x14ac:dyDescent="0.25">
      <c r="A13014" t="str">
        <f>HYPERLINK("https://www.773grp.com/globalSearch/ADC14C080EB-NOPB/page-1", "ADC14C080EB-NOPB")</f>
        <v>ADC14C080EB-NOPB</v>
      </c>
      <c r="B13014" s="3" t="s">
        <v>5</v>
      </c>
      <c r="C13014" s="6">
        <v>2</v>
      </c>
      <c r="D13014" s="7">
        <v>900.35</v>
      </c>
    </row>
    <row r="13015" spans="1:5" x14ac:dyDescent="0.25">
      <c r="A13015" t="str">
        <f>HYPERLINK("https://www.773grp.com/globalSearch/SDALTEVK/page-1", "SDALTEVK")</f>
        <v>SDALTEVK</v>
      </c>
      <c r="B13015" s="3" t="s">
        <v>5</v>
      </c>
      <c r="C13015" s="6">
        <v>1</v>
      </c>
      <c r="D13015" s="7">
        <v>907.83</v>
      </c>
    </row>
    <row r="13016" spans="1:5" x14ac:dyDescent="0.25">
      <c r="A13016" t="str">
        <f>HYPERLINK("https://www.773grp.com/globalSearch/ADC08D1500CIYB-NOPB/page-1", "ADC08D1500CIYB-NOPB")</f>
        <v>ADC08D1500CIYB-NOPB</v>
      </c>
      <c r="B13016" s="3" t="s">
        <v>5</v>
      </c>
      <c r="C13016" s="6">
        <v>136</v>
      </c>
      <c r="D13016" s="7">
        <v>982.6</v>
      </c>
    </row>
    <row r="13017" spans="1:5" x14ac:dyDescent="0.25">
      <c r="A13017" t="str">
        <f>HYPERLINK("https://www.773grp.com/globalSearch/ADC08D1500CIYB-NOPB/page-1", "ADC08D1500CIYB-NOPB")</f>
        <v>ADC08D1500CIYB-NOPB</v>
      </c>
      <c r="B13017" s="3" t="s">
        <v>5</v>
      </c>
      <c r="C13017" s="6">
        <v>594</v>
      </c>
      <c r="D13017" s="7">
        <v>982.6</v>
      </c>
    </row>
    <row r="13018" spans="1:5" x14ac:dyDescent="0.25">
      <c r="A13018" t="str">
        <f>HYPERLINK("https://www.773grp.com/globalSearch/FLINK3V8BT-85/page-1", "FLINK3V8BT-85")</f>
        <v>FLINK3V8BT-85</v>
      </c>
      <c r="B13018" s="3" t="s">
        <v>5</v>
      </c>
      <c r="C13018" s="6">
        <v>1</v>
      </c>
      <c r="D13018" s="7">
        <v>1014.64</v>
      </c>
    </row>
    <row r="13019" spans="1:5" x14ac:dyDescent="0.25">
      <c r="A13019" t="str">
        <f>HYPERLINK("https://www.773grp.com/globalSearch/ADC08B3000CIYB/page-1", "ADC08B3000CIYB")</f>
        <v>ADC08B3000CIYB</v>
      </c>
      <c r="B13019" s="3" t="s">
        <v>5</v>
      </c>
      <c r="C13019" s="6">
        <v>27</v>
      </c>
      <c r="D13019" s="7">
        <v>1065.9100000000001</v>
      </c>
      <c r="E13019" t="s">
        <v>39</v>
      </c>
    </row>
    <row r="13020" spans="1:5" x14ac:dyDescent="0.25">
      <c r="A13020" t="str">
        <f>HYPERLINK("https://www.773grp.com/globalSearch/ADC08B3000CIYB-NOPB/page-1", "ADC08B3000CIYB-NOPB")</f>
        <v>ADC08B3000CIYB-NOPB</v>
      </c>
      <c r="B13020" s="3" t="s">
        <v>5</v>
      </c>
      <c r="C13020" s="6">
        <v>26</v>
      </c>
      <c r="D13020" s="7">
        <v>1065.9100000000001</v>
      </c>
    </row>
    <row r="13021" spans="1:5" x14ac:dyDescent="0.25">
      <c r="A13021" t="str">
        <f>HYPERLINK("https://www.773grp.com/globalSearch/SDALTEVK-NOPB/page-1", "SDALTEVK-NOPB")</f>
        <v>SDALTEVK-NOPB</v>
      </c>
      <c r="B13021" s="3" t="s">
        <v>5</v>
      </c>
      <c r="C13021" s="6">
        <v>1</v>
      </c>
      <c r="D13021" s="7">
        <v>1065.9100000000001</v>
      </c>
    </row>
    <row r="13022" spans="1:5" x14ac:dyDescent="0.25">
      <c r="A13022" t="str">
        <f>HYPERLINK("https://www.773grp.com/globalSearch/SDXILEVK-NOPB/page-1", "SDXILEVK-NOPB")</f>
        <v>SDXILEVK-NOPB</v>
      </c>
      <c r="B13022" s="3" t="s">
        <v>5</v>
      </c>
      <c r="C13022" s="6">
        <v>2</v>
      </c>
      <c r="D13022" s="7">
        <v>1065.9100000000001</v>
      </c>
    </row>
    <row r="13023" spans="1:5" x14ac:dyDescent="0.25">
      <c r="A13023" t="str">
        <f>HYPERLINK("https://www.773grp.com/globalSearch/WAVEVSN BRD 4.4-NOPB/page-1", "WAVEVSN BRD 4.4-NOPB")</f>
        <v>WAVEVSN BRD 4.4-NOPB</v>
      </c>
      <c r="B13023" s="3" t="s">
        <v>5</v>
      </c>
      <c r="C13023" s="6">
        <v>1</v>
      </c>
      <c r="D13023" s="7">
        <v>1065.9100000000001</v>
      </c>
    </row>
    <row r="13024" spans="1:5" x14ac:dyDescent="0.25">
      <c r="A13024" t="str">
        <f>HYPERLINK("https://www.773grp.com/globalSearch/ADC08B3000CIYB-NOPB/page-1", "ADC08B3000CIYB-NOPB")</f>
        <v>ADC08B3000CIYB-NOPB</v>
      </c>
      <c r="B13024" s="3" t="s">
        <v>5</v>
      </c>
      <c r="C13024" s="6">
        <v>104</v>
      </c>
      <c r="D13024" s="7">
        <v>1065.9100000000001</v>
      </c>
    </row>
    <row r="13025" spans="1:5" x14ac:dyDescent="0.25">
      <c r="A13025" t="str">
        <f>HYPERLINK("https://www.773grp.com/globalSearch/SDXILEVK/page-1", "SDXILEVK")</f>
        <v>SDXILEVK</v>
      </c>
      <c r="B13025" s="3" t="s">
        <v>5</v>
      </c>
      <c r="C13025" s="6">
        <v>1</v>
      </c>
      <c r="D13025" s="7">
        <v>1067.9100000000001</v>
      </c>
    </row>
    <row r="13026" spans="1:5" x14ac:dyDescent="0.25">
      <c r="A13026" t="str">
        <f>HYPERLINK("https://www.773grp.com/globalSearch/ADC14L020EVAL/page-1", "ADC14L020EVAL")</f>
        <v>ADC14L020EVAL</v>
      </c>
      <c r="B13026" s="3" t="s">
        <v>5</v>
      </c>
      <c r="C13026" s="6">
        <v>1</v>
      </c>
      <c r="D13026" s="7">
        <v>1191.94</v>
      </c>
    </row>
    <row r="13027" spans="1:5" x14ac:dyDescent="0.25">
      <c r="A13027" t="str">
        <f>HYPERLINK("https://www.773grp.com/globalSearch/LMP2012WGLQMLV/page-1", "LMP2012WGLQMLV")</f>
        <v>LMP2012WGLQMLV</v>
      </c>
      <c r="B13027" s="3" t="s">
        <v>5</v>
      </c>
      <c r="C13027" s="6">
        <v>14</v>
      </c>
      <c r="D13027" s="7">
        <v>1234.6600000000001</v>
      </c>
      <c r="E13027" t="s">
        <v>13</v>
      </c>
    </row>
    <row r="13028" spans="1:5" x14ac:dyDescent="0.25">
      <c r="A13028" t="str">
        <f>HYPERLINK("https://www.773grp.com/globalSearch/LMP2012WGLQMLV/page-1", "LMP2012WGLQMLV")</f>
        <v>LMP2012WGLQMLV</v>
      </c>
      <c r="B13028" s="3" t="s">
        <v>5</v>
      </c>
      <c r="C13028" s="6">
        <v>5</v>
      </c>
      <c r="D13028" s="7">
        <v>1234.6600000000001</v>
      </c>
      <c r="E13028" t="s">
        <v>13</v>
      </c>
    </row>
    <row r="13029" spans="1:5" x14ac:dyDescent="0.25">
      <c r="A13029" t="str">
        <f>HYPERLINK("https://www.773grp.com/globalSearch/LMP2012WG-QMLV/page-1", "LMP2012WG-QMLV")</f>
        <v>LMP2012WG-QMLV</v>
      </c>
      <c r="B13029" s="3" t="s">
        <v>5</v>
      </c>
      <c r="C13029" s="6">
        <v>50</v>
      </c>
      <c r="D13029" s="7">
        <v>1234.6600000000001</v>
      </c>
    </row>
    <row r="13030" spans="1:5" x14ac:dyDescent="0.25">
      <c r="A13030" t="str">
        <f>HYPERLINK("https://www.773grp.com/globalSearch/ADC08D1520CIYB-NOPB/page-1", "ADC08D1520CIYB-NOPB")</f>
        <v>ADC08D1520CIYB-NOPB</v>
      </c>
      <c r="B13030" s="3" t="s">
        <v>5</v>
      </c>
      <c r="C13030" s="6">
        <v>12</v>
      </c>
      <c r="D13030" s="7">
        <v>1243.2</v>
      </c>
      <c r="E13030" t="s">
        <v>39</v>
      </c>
    </row>
    <row r="13031" spans="1:5" x14ac:dyDescent="0.25">
      <c r="A13031" t="str">
        <f>HYPERLINK("https://www.773grp.com/globalSearch/ADC08D1520CIYB-NOPB/page-1", "ADC08D1520CIYB-NOPB")</f>
        <v>ADC08D1520CIYB-NOPB</v>
      </c>
      <c r="B13031" s="3" t="s">
        <v>5</v>
      </c>
      <c r="C13031" s="6">
        <v>54</v>
      </c>
      <c r="D13031" s="7">
        <v>1243.2</v>
      </c>
      <c r="E13031" t="s">
        <v>39</v>
      </c>
    </row>
    <row r="13032" spans="1:5" x14ac:dyDescent="0.25">
      <c r="A13032" t="str">
        <f>HYPERLINK("https://www.773grp.com/globalSearch/ADC11DV200EB/page-1", "ADC11DV200EB")</f>
        <v>ADC11DV200EB</v>
      </c>
      <c r="B13032" s="3" t="s">
        <v>5</v>
      </c>
      <c r="C13032" s="6">
        <v>3</v>
      </c>
      <c r="D13032" s="7">
        <v>1367.1</v>
      </c>
    </row>
    <row r="13033" spans="1:5" x14ac:dyDescent="0.25">
      <c r="A13033" t="str">
        <f>HYPERLINK("https://www.773grp.com/globalSearch/ADC08D1500CIYB/page-1", "ADC08D1500CIYB")</f>
        <v>ADC08D1500CIYB</v>
      </c>
      <c r="B13033" s="3" t="s">
        <v>5</v>
      </c>
      <c r="C13033" s="6">
        <v>17</v>
      </c>
      <c r="D13033" s="7">
        <v>1387.21</v>
      </c>
      <c r="E13033" t="s">
        <v>39</v>
      </c>
    </row>
    <row r="13034" spans="1:5" x14ac:dyDescent="0.25">
      <c r="A13034" t="str">
        <f>HYPERLINK("https://www.773grp.com/globalSearch/ADC083000CIYB-NOPB/page-1", "ADC083000CIYB-NOPB")</f>
        <v>ADC083000CIYB-NOPB</v>
      </c>
      <c r="B13034" s="3" t="s">
        <v>5</v>
      </c>
      <c r="C13034" s="6">
        <v>128</v>
      </c>
      <c r="D13034" s="7">
        <v>1465.34</v>
      </c>
    </row>
    <row r="13035" spans="1:5" x14ac:dyDescent="0.25">
      <c r="A13035" t="str">
        <f>HYPERLINK("https://www.773grp.com/globalSearch/ADC083000CIYB-NOPB/page-1", "ADC083000CIYB-NOPB")</f>
        <v>ADC083000CIYB-NOPB</v>
      </c>
      <c r="B13035" s="3" t="s">
        <v>5</v>
      </c>
      <c r="C13035" s="6">
        <v>80</v>
      </c>
      <c r="D13035" s="7">
        <v>1465.34</v>
      </c>
    </row>
    <row r="13036" spans="1:5" x14ac:dyDescent="0.25">
      <c r="A13036" t="str">
        <f>HYPERLINK("https://www.773grp.com/globalSearch/ADC11DV200EB-NOPB/page-1", "ADC11DV200EB-NOPB")</f>
        <v>ADC11DV200EB-NOPB</v>
      </c>
      <c r="B13036" s="3" t="s">
        <v>5</v>
      </c>
      <c r="C13036" s="6">
        <v>2</v>
      </c>
      <c r="D13036" s="7">
        <v>1493.11</v>
      </c>
    </row>
    <row r="13037" spans="1:5" x14ac:dyDescent="0.25">
      <c r="A13037" t="str">
        <f>HYPERLINK("https://www.773grp.com/globalSearch/ADC12DC080LFEB-NOPB/page-1", "ADC12DC080LFEB-NOPB")</f>
        <v>ADC12DC080LFEB-NOPB</v>
      </c>
      <c r="B13037" s="3" t="s">
        <v>5</v>
      </c>
      <c r="C13037" s="6">
        <v>2</v>
      </c>
      <c r="D13037" s="7">
        <v>1602.06</v>
      </c>
    </row>
    <row r="13038" spans="1:5" x14ac:dyDescent="0.25">
      <c r="A13038" t="str">
        <f>HYPERLINK("https://www.773grp.com/globalSearch/ADC12DC105LFEB-NOPB/page-1", "ADC12DC105LFEB-NOPB")</f>
        <v>ADC12DC105LFEB-NOPB</v>
      </c>
      <c r="B13038" s="3" t="s">
        <v>5</v>
      </c>
      <c r="C13038" s="6">
        <v>2</v>
      </c>
      <c r="D13038" s="7">
        <v>1706.73</v>
      </c>
    </row>
    <row r="13039" spans="1:5" x14ac:dyDescent="0.25">
      <c r="A13039" t="str">
        <f>HYPERLINK("https://www.773grp.com/globalSearch/ADC08D1520CIYB/page-1", "ADC08D1520CIYB")</f>
        <v>ADC08D1520CIYB</v>
      </c>
      <c r="B13039" s="3" t="s">
        <v>5</v>
      </c>
      <c r="C13039" s="6">
        <v>1200</v>
      </c>
      <c r="D13039" s="7">
        <v>1755.1</v>
      </c>
    </row>
    <row r="13040" spans="1:5" x14ac:dyDescent="0.25">
      <c r="A13040" t="str">
        <f>HYPERLINK("https://www.773grp.com/globalSearch/ADC083000CIYB/page-1", "ADC083000CIYB")</f>
        <v>ADC083000CIYB</v>
      </c>
      <c r="B13040" s="3" t="s">
        <v>5</v>
      </c>
      <c r="C13040" s="6">
        <v>1</v>
      </c>
      <c r="D13040" s="7">
        <v>1758.43</v>
      </c>
      <c r="E13040" t="s">
        <v>39</v>
      </c>
    </row>
    <row r="13041" spans="1:5" x14ac:dyDescent="0.25">
      <c r="A13041" t="str">
        <f>HYPERLINK("https://www.773grp.com/globalSearch/ADC10D1000RB-NOPB/page-1", "ADC10D1000RB-NOPB")</f>
        <v>ADC10D1000RB-NOPB</v>
      </c>
      <c r="B13041" s="3" t="s">
        <v>5</v>
      </c>
      <c r="C13041" s="6">
        <v>1</v>
      </c>
      <c r="D13041" s="7">
        <v>2018.59</v>
      </c>
    </row>
    <row r="13042" spans="1:5" x14ac:dyDescent="0.25">
      <c r="A13042" t="str">
        <f>HYPERLINK("https://www.773grp.com/globalSearch/ADC12D1000CIUT-NOPB/page-1", "ADC12D1000CIUT-NOPB")</f>
        <v>ADC12D1000CIUT-NOPB</v>
      </c>
      <c r="B13042" s="3" t="s">
        <v>5</v>
      </c>
      <c r="C13042" s="6">
        <v>52</v>
      </c>
      <c r="D13042" s="7">
        <v>2110.66</v>
      </c>
    </row>
    <row r="13043" spans="1:5" x14ac:dyDescent="0.25">
      <c r="A13043" t="str">
        <f>HYPERLINK("https://www.773grp.com/globalSearch/ADC128S102CVAL/page-1", "ADC128S102CVAL")</f>
        <v>ADC128S102CVAL</v>
      </c>
      <c r="B13043" s="3" t="s">
        <v>5</v>
      </c>
      <c r="C13043" s="6">
        <v>1</v>
      </c>
      <c r="D13043" s="7">
        <v>2133.9499999999998</v>
      </c>
    </row>
    <row r="13044" spans="1:5" x14ac:dyDescent="0.25">
      <c r="A13044" t="str">
        <f>HYPERLINK("https://www.773grp.com/globalSearch/ADC10D1500RB-NOPB/page-1", "ADC10D1500RB-NOPB")</f>
        <v>ADC10D1500RB-NOPB</v>
      </c>
      <c r="B13044" s="3" t="s">
        <v>5</v>
      </c>
      <c r="C13044" s="6">
        <v>3</v>
      </c>
      <c r="D13044" s="7">
        <v>2667.95</v>
      </c>
    </row>
    <row r="13045" spans="1:5" x14ac:dyDescent="0.25">
      <c r="A13045" t="str">
        <f>HYPERLINK("https://www.773grp.com/globalSearch/ADC10D1000CIUT-NOPB/page-1", "ADC10D1000CIUT-NOPB")</f>
        <v>ADC10D1000CIUT-NOPB</v>
      </c>
      <c r="B13045" s="3" t="s">
        <v>5</v>
      </c>
      <c r="C13045" s="6">
        <v>65</v>
      </c>
      <c r="D13045" s="7">
        <v>3054.6</v>
      </c>
      <c r="E13045" t="s">
        <v>39</v>
      </c>
    </row>
    <row r="13046" spans="1:5" x14ac:dyDescent="0.25">
      <c r="A13046" t="str">
        <f>HYPERLINK("https://www.773grp.com/globalSearch/ADC10D1000CIUT-NOPB/page-1", "ADC10D1000CIUT-NOPB")</f>
        <v>ADC10D1000CIUT-NOPB</v>
      </c>
      <c r="B13046" s="3" t="s">
        <v>5</v>
      </c>
      <c r="C13046" s="6">
        <v>17</v>
      </c>
      <c r="D13046" s="7">
        <v>3054.6</v>
      </c>
      <c r="E13046" t="s">
        <v>39</v>
      </c>
    </row>
    <row r="13047" spans="1:5" x14ac:dyDescent="0.25">
      <c r="A13047" t="str">
        <f>HYPERLINK("https://www.773grp.com/globalSearch/ADC12D1600CIUT-NOPB/page-1", "ADC12D1600CIUT-NOPB")</f>
        <v>ADC12D1600CIUT-NOPB</v>
      </c>
      <c r="B13047" s="3" t="s">
        <v>5</v>
      </c>
      <c r="C13047" s="6">
        <v>1</v>
      </c>
      <c r="D13047" s="7">
        <v>3267.14</v>
      </c>
    </row>
    <row r="13048" spans="1:5" x14ac:dyDescent="0.25">
      <c r="A13048" t="str">
        <f>HYPERLINK("https://www.773grp.com/globalSearch/ADC10D1500CIUT-NOPB/page-1", "ADC10D1500CIUT-NOPB")</f>
        <v>ADC10D1500CIUT-NOPB</v>
      </c>
      <c r="B13048" s="3" t="s">
        <v>5</v>
      </c>
      <c r="C13048" s="6">
        <v>11</v>
      </c>
      <c r="D13048" s="7">
        <v>3844.94</v>
      </c>
      <c r="E13048" t="s">
        <v>39</v>
      </c>
    </row>
    <row r="13049" spans="1:5" x14ac:dyDescent="0.25">
      <c r="A13049" t="str">
        <f>HYPERLINK("https://www.773grp.com/globalSearch/ADC10D1500CIUT-NOPB/page-1", "ADC10D1500CIUT-NOPB")</f>
        <v>ADC10D1500CIUT-NOPB</v>
      </c>
      <c r="B13049" s="3" t="s">
        <v>5</v>
      </c>
      <c r="C13049" s="6">
        <v>61</v>
      </c>
      <c r="D13049" s="7">
        <v>3844.94</v>
      </c>
      <c r="E13049" t="s">
        <v>39</v>
      </c>
    </row>
    <row r="13050" spans="1:5" x14ac:dyDescent="0.25">
      <c r="A13050" t="str">
        <f>HYPERLINK("https://www.773grp.com/globalSearch/ADC10D1000CIUT/page-1", "ADC10D1000CIUT")</f>
        <v>ADC10D1000CIUT</v>
      </c>
      <c r="B13050" s="3" t="s">
        <v>5</v>
      </c>
      <c r="C13050" s="6">
        <v>51</v>
      </c>
      <c r="D13050" s="7">
        <v>4312.3500000000004</v>
      </c>
      <c r="E13050" t="s">
        <v>39</v>
      </c>
    </row>
    <row r="13051" spans="1:5" x14ac:dyDescent="0.25">
      <c r="A13051" t="str">
        <f>HYPERLINK("https://www.773grp.com/globalSearch/ADC12D1800CIUT-NOPB/page-1", "ADC12D1800CIUT-NOPB")</f>
        <v>ADC12D1800CIUT-NOPB</v>
      </c>
      <c r="B13051" s="3" t="s">
        <v>5</v>
      </c>
      <c r="C13051" s="6">
        <v>2</v>
      </c>
      <c r="D13051" s="7">
        <v>4493.24</v>
      </c>
    </row>
    <row r="13052" spans="1:5" x14ac:dyDescent="0.25">
      <c r="A13052" t="str">
        <f>HYPERLINK("https://www.773grp.com/globalSearch/ADC10D1500CIUT/page-1", "ADC10D1500CIUT")</f>
        <v>ADC10D1500CIUT</v>
      </c>
      <c r="B13052" s="3" t="s">
        <v>5</v>
      </c>
      <c r="C13052" s="6">
        <v>110</v>
      </c>
      <c r="D13052" s="7">
        <v>5428.15</v>
      </c>
      <c r="E13052" t="s">
        <v>39</v>
      </c>
    </row>
    <row r="13053" spans="1:5" x14ac:dyDescent="0.25">
      <c r="A13053" t="str">
        <f>HYPERLINK("https://www.773grp.com/globalSearch/ADC10D1500CIUT/page-1", "ADC10D1500CIUT")</f>
        <v>ADC10D1500CIUT</v>
      </c>
      <c r="B13053" s="3" t="s">
        <v>5</v>
      </c>
      <c r="C13053" s="6">
        <v>38</v>
      </c>
      <c r="D13053" s="7">
        <v>5428.15</v>
      </c>
      <c r="E13053" t="s">
        <v>39</v>
      </c>
    </row>
    <row r="13054" spans="1:5" x14ac:dyDescent="0.25">
      <c r="A13054" t="str">
        <f>HYPERLINK("https://www.773grp.com/globalSearch/HPC-DEV-SUNC/page-1", "HPC-DEV-SUNC")</f>
        <v>HPC-DEV-SUNC</v>
      </c>
      <c r="B13054" s="3" t="s">
        <v>5</v>
      </c>
      <c r="C13054" s="6">
        <v>8</v>
      </c>
      <c r="D13054" s="7">
        <v>5447</v>
      </c>
    </row>
    <row r="13055" spans="1:5" x14ac:dyDescent="0.25">
      <c r="A13055" t="str">
        <f>HYPERLINK("https://www.773grp.com/globalSearch/ADC08D1000DEV-NOPB/page-1", "ADC08D1000DEV-NOPB")</f>
        <v>ADC08D1000DEV-NOPB</v>
      </c>
      <c r="B13055" s="3" t="s">
        <v>5</v>
      </c>
      <c r="C13055" s="6">
        <v>1</v>
      </c>
      <c r="D13055" s="7">
        <v>7113.14</v>
      </c>
    </row>
    <row r="13056" spans="1:5" x14ac:dyDescent="0.25">
      <c r="A13056" t="str">
        <f>HYPERLINK("https://www.773grp.com/globalSearch/ADC12D1600RFIUT/page-1", "ADC12D1600RFIUT")</f>
        <v>ADC12D1600RFIUT</v>
      </c>
      <c r="B13056" s="3" t="s">
        <v>5</v>
      </c>
      <c r="C13056" s="6">
        <v>21</v>
      </c>
      <c r="D13056" s="7">
        <v>7235.94</v>
      </c>
    </row>
    <row r="13057" spans="1:5" x14ac:dyDescent="0.25">
      <c r="A13057" t="str">
        <f>HYPERLINK("https://www.773grp.com/globalSearch/ADC083000RB/page-1", "ADC083000RB")</f>
        <v>ADC083000RB</v>
      </c>
      <c r="B13057" s="3" t="s">
        <v>5</v>
      </c>
      <c r="C13057" s="6">
        <v>1</v>
      </c>
      <c r="D13057" s="7">
        <v>9954.11</v>
      </c>
    </row>
    <row r="13058" spans="1:5" x14ac:dyDescent="0.25">
      <c r="A13058" t="str">
        <f>HYPERLINK("https://www.773grp.com/globalSearch/ADC08D1500DEV/page-1", "ADC08D1500DEV")</f>
        <v>ADC08D1500DEV</v>
      </c>
      <c r="B13058" s="3" t="s">
        <v>5</v>
      </c>
      <c r="C13058" s="6">
        <v>1</v>
      </c>
      <c r="D13058" s="7">
        <v>9954.11</v>
      </c>
    </row>
    <row r="13059" spans="1:5" x14ac:dyDescent="0.25">
      <c r="A13059" t="str">
        <f>HYPERLINK("https://www.773grp.com/globalSearch/ADC08D1520DEV-NOPB/page-1", "ADC08D1520DEV-NOPB")</f>
        <v>ADC08D1520DEV-NOPB</v>
      </c>
      <c r="B13059" s="3" t="s">
        <v>5</v>
      </c>
      <c r="C13059" s="6">
        <v>1</v>
      </c>
      <c r="D13059" s="7">
        <v>9954.11</v>
      </c>
    </row>
    <row r="13060" spans="1:5" x14ac:dyDescent="0.25">
      <c r="A13060" t="str">
        <f>HYPERLINK("https://www.773grp.com/globalSearch/ADC08D1520CVAL/page-1", "ADC08D1520CVAL")</f>
        <v>ADC08D1520CVAL</v>
      </c>
      <c r="B13060" s="3" t="s">
        <v>5</v>
      </c>
      <c r="C13060" s="6">
        <v>1</v>
      </c>
      <c r="D13060" s="7">
        <v>16018.44</v>
      </c>
    </row>
    <row r="13061" spans="1:5" x14ac:dyDescent="0.25">
      <c r="A13061" t="str">
        <f>HYPERLINK("https://www.773grp.com/globalSearch/GE28F160C3BD70A/page-1", "GE28F160C3BD70A")</f>
        <v>GE28F160C3BD70A</v>
      </c>
      <c r="B13061" s="3" t="s">
        <v>92</v>
      </c>
      <c r="C13061" s="6">
        <v>12000</v>
      </c>
      <c r="D13061" s="7">
        <v>7.09</v>
      </c>
    </row>
    <row r="13062" spans="1:5" x14ac:dyDescent="0.25">
      <c r="A13062" t="str">
        <f>HYPERLINK("https://www.773grp.com/globalSearch/PC28F160C3BD70A/page-1", "PC28F160C3BD70A")</f>
        <v>PC28F160C3BD70A</v>
      </c>
      <c r="B13062" s="3" t="s">
        <v>92</v>
      </c>
      <c r="C13062" s="6">
        <v>2456</v>
      </c>
      <c r="D13062" s="7">
        <v>7.09</v>
      </c>
    </row>
    <row r="13063" spans="1:5" x14ac:dyDescent="0.25">
      <c r="A13063" t="str">
        <f>HYPERLINK("https://www.773grp.com/globalSearch/TE28F640J3D75E/page-1", "TE28F640J3D75E")</f>
        <v>TE28F640J3D75E</v>
      </c>
      <c r="B13063" s="3" t="s">
        <v>92</v>
      </c>
      <c r="C13063" s="6">
        <v>333</v>
      </c>
      <c r="D13063" s="7">
        <v>9.4499999999999993</v>
      </c>
      <c r="E13063" t="s">
        <v>64</v>
      </c>
    </row>
    <row r="13064" spans="1:5" x14ac:dyDescent="0.25">
      <c r="A13064" t="str">
        <f>HYPERLINK("https://www.773grp.com/globalSearch/PC28F320J3D75A/page-1", "PC28F320J3D75A")</f>
        <v>PC28F320J3D75A</v>
      </c>
      <c r="B13064" s="3" t="s">
        <v>92</v>
      </c>
      <c r="C13064" s="6">
        <v>988</v>
      </c>
      <c r="D13064" s="7">
        <v>10.64</v>
      </c>
      <c r="E13064" t="s">
        <v>64</v>
      </c>
    </row>
    <row r="13065" spans="1:5" x14ac:dyDescent="0.25">
      <c r="A13065" t="str">
        <f>HYPERLINK("https://www.773grp.com/globalSearch/RC28F320J3D75E/page-1", "RC28F320J3D75E")</f>
        <v>RC28F320J3D75E</v>
      </c>
      <c r="B13065" s="3" t="s">
        <v>92</v>
      </c>
      <c r="C13065" s="6">
        <v>394</v>
      </c>
      <c r="D13065" s="7">
        <v>10.64</v>
      </c>
      <c r="E13065" t="s">
        <v>64</v>
      </c>
    </row>
    <row r="13066" spans="1:5" x14ac:dyDescent="0.25">
      <c r="A13066" t="str">
        <f>HYPERLINK("https://www.773grp.com/globalSearch/TE28F320J3D75E/page-1", "TE28F320J3D75E")</f>
        <v>TE28F320J3D75E</v>
      </c>
      <c r="B13066" s="3" t="s">
        <v>92</v>
      </c>
      <c r="C13066" s="6">
        <v>30</v>
      </c>
      <c r="D13066" s="7">
        <v>10.64</v>
      </c>
      <c r="E13066" t="s">
        <v>64</v>
      </c>
    </row>
    <row r="13067" spans="1:5" x14ac:dyDescent="0.25">
      <c r="A13067" t="str">
        <f>HYPERLINK("https://www.773grp.com/globalSearch/PC28F320C3BD70A/page-1", "PC28F320C3BD70A")</f>
        <v>PC28F320C3BD70A</v>
      </c>
      <c r="B13067" s="3" t="s">
        <v>92</v>
      </c>
      <c r="C13067" s="6">
        <v>30630</v>
      </c>
      <c r="D13067" s="7">
        <v>11.03</v>
      </c>
    </row>
    <row r="13068" spans="1:5" x14ac:dyDescent="0.25">
      <c r="A13068" t="str">
        <f>HYPERLINK("https://www.773grp.com/globalSearch/JS28F128P33B85A/page-1", "JS28F128P33B85A")</f>
        <v>JS28F128P33B85A</v>
      </c>
      <c r="B13068" s="3" t="s">
        <v>92</v>
      </c>
      <c r="C13068" s="6">
        <v>11370</v>
      </c>
      <c r="D13068" s="7">
        <v>13.5</v>
      </c>
      <c r="E13068" t="s">
        <v>64</v>
      </c>
    </row>
    <row r="13069" spans="1:5" x14ac:dyDescent="0.25">
      <c r="A13069" t="str">
        <f>HYPERLINK("https://www.773grp.com/globalSearch/RC28F128P33B85A/page-1", "RC28F128P33B85A")</f>
        <v>RC28F128P33B85A</v>
      </c>
      <c r="B13069" s="3" t="s">
        <v>92</v>
      </c>
      <c r="C13069" s="6">
        <v>12200</v>
      </c>
      <c r="D13069" s="7">
        <v>13.5</v>
      </c>
      <c r="E13069" t="s">
        <v>64</v>
      </c>
    </row>
    <row r="13070" spans="1:5" x14ac:dyDescent="0.25">
      <c r="A13070" t="str">
        <f>HYPERLINK("https://www.773grp.com/globalSearch/TE28F256P33B95A/page-1", "TE28F256P33B95A")</f>
        <v>TE28F256P33B95A</v>
      </c>
      <c r="B13070" s="3" t="s">
        <v>92</v>
      </c>
      <c r="C13070" s="6">
        <v>6912</v>
      </c>
      <c r="D13070" s="7">
        <v>14.23</v>
      </c>
      <c r="E13070" t="s">
        <v>64</v>
      </c>
    </row>
    <row r="13071" spans="1:5" x14ac:dyDescent="0.25">
      <c r="A13071" t="str">
        <f>HYPERLINK("https://www.773grp.com/globalSearch/TE28F256P33T95A/page-1", "TE28F256P33T95A")</f>
        <v>TE28F256P33T95A</v>
      </c>
      <c r="B13071" s="3" t="s">
        <v>92</v>
      </c>
      <c r="C13071" s="6">
        <v>2604</v>
      </c>
      <c r="D13071" s="7">
        <v>14.23</v>
      </c>
      <c r="E13071" t="s">
        <v>64</v>
      </c>
    </row>
    <row r="13072" spans="1:5" x14ac:dyDescent="0.25">
      <c r="A13072" t="str">
        <f>HYPERLINK("https://www.773grp.com/globalSearch/PC28F640P30T85A/page-1", "PC28F640P30T85A")</f>
        <v>PC28F640P30T85A</v>
      </c>
      <c r="B13072" s="3" t="s">
        <v>92</v>
      </c>
      <c r="C13072" s="6">
        <v>3950</v>
      </c>
      <c r="D13072" s="7">
        <v>14.56</v>
      </c>
      <c r="E13072" t="s">
        <v>64</v>
      </c>
    </row>
    <row r="13073" spans="1:5" x14ac:dyDescent="0.25">
      <c r="A13073" t="str">
        <f>HYPERLINK("https://www.773grp.com/globalSearch/RC28F640P30B85A/page-1", "RC28F640P30B85A")</f>
        <v>RC28F640P30B85A</v>
      </c>
      <c r="B13073" s="3" t="s">
        <v>92</v>
      </c>
      <c r="C13073" s="6">
        <v>6048</v>
      </c>
      <c r="D13073" s="7">
        <v>14.56</v>
      </c>
      <c r="E13073" t="s">
        <v>64</v>
      </c>
    </row>
    <row r="13074" spans="1:5" x14ac:dyDescent="0.25">
      <c r="A13074" t="str">
        <f>HYPERLINK("https://www.773grp.com/globalSearch/RC28F640P30T85A/page-1", "RC28F640P30T85A")</f>
        <v>RC28F640P30T85A</v>
      </c>
      <c r="B13074" s="3" t="s">
        <v>92</v>
      </c>
      <c r="C13074" s="6">
        <v>9341</v>
      </c>
      <c r="D13074" s="7">
        <v>14.56</v>
      </c>
      <c r="E13074" t="s">
        <v>64</v>
      </c>
    </row>
    <row r="13075" spans="1:5" x14ac:dyDescent="0.25">
      <c r="A13075" t="str">
        <f>HYPERLINK("https://www.773grp.com/globalSearch/RC28F640P33B85A/page-1", "RC28F640P33B85A")</f>
        <v>RC28F640P33B85A</v>
      </c>
      <c r="B13075" s="3" t="s">
        <v>92</v>
      </c>
      <c r="C13075" s="6">
        <v>682</v>
      </c>
      <c r="D13075" s="7">
        <v>14.56</v>
      </c>
      <c r="E13075" t="s">
        <v>64</v>
      </c>
    </row>
    <row r="13076" spans="1:5" x14ac:dyDescent="0.25">
      <c r="A13076" t="str">
        <f>HYPERLINK("https://www.773grp.com/globalSearch/RC28F640J3D75A/page-1", "RC28F640J3D75A")</f>
        <v>RC28F640J3D75A</v>
      </c>
      <c r="B13076" s="3" t="s">
        <v>92</v>
      </c>
      <c r="C13076" s="6">
        <v>426</v>
      </c>
      <c r="D13076" s="7">
        <v>16.54</v>
      </c>
      <c r="E13076" t="s">
        <v>64</v>
      </c>
    </row>
    <row r="13077" spans="1:5" x14ac:dyDescent="0.25">
      <c r="A13077" t="str">
        <f>HYPERLINK("https://www.773grp.com/globalSearch/JS28F128P30B85A/page-1", "JS28F128P30B85A")</f>
        <v>JS28F128P30B85A</v>
      </c>
      <c r="B13077" s="3" t="s">
        <v>92</v>
      </c>
      <c r="C13077" s="6">
        <v>788</v>
      </c>
      <c r="D13077" s="7">
        <v>23.63</v>
      </c>
      <c r="E13077" t="s">
        <v>64</v>
      </c>
    </row>
    <row r="13078" spans="1:5" x14ac:dyDescent="0.25">
      <c r="A13078" t="str">
        <f>HYPERLINK("https://www.773grp.com/globalSearch/JS28F128P30T85A/page-1", "JS28F128P30T85A")</f>
        <v>JS28F128P30T85A</v>
      </c>
      <c r="B13078" s="3" t="s">
        <v>92</v>
      </c>
      <c r="C13078" s="6">
        <v>4699</v>
      </c>
      <c r="D13078" s="7">
        <v>23.63</v>
      </c>
      <c r="E13078" t="s">
        <v>64</v>
      </c>
    </row>
    <row r="13079" spans="1:5" x14ac:dyDescent="0.25">
      <c r="A13079" t="str">
        <f>HYPERLINK("https://www.773grp.com/globalSearch/PF48F3000P0ZBQ0A/page-1", "PF48F3000P0ZBQ0A")</f>
        <v>PF48F3000P0ZBQ0A</v>
      </c>
      <c r="B13079" s="3" t="s">
        <v>92</v>
      </c>
      <c r="C13079" s="6">
        <v>8421</v>
      </c>
      <c r="D13079" s="7">
        <v>23.63</v>
      </c>
      <c r="E13079" t="s">
        <v>64</v>
      </c>
    </row>
    <row r="13080" spans="1:5" x14ac:dyDescent="0.25">
      <c r="A13080" t="str">
        <f>HYPERLINK("https://www.773grp.com/globalSearch/TE28F128P30T85A/page-1", "TE28F128P30T85A")</f>
        <v>TE28F128P30T85A</v>
      </c>
      <c r="B13080" s="3" t="s">
        <v>92</v>
      </c>
      <c r="C13080" s="6">
        <v>9702</v>
      </c>
      <c r="D13080" s="7">
        <v>23.63</v>
      </c>
      <c r="E13080" t="s">
        <v>64</v>
      </c>
    </row>
    <row r="13081" spans="1:5" x14ac:dyDescent="0.25">
      <c r="A13081" t="str">
        <f>HYPERLINK("https://www.773grp.com/globalSearch/PC28F256P33B85A/page-1", "PC28F256P33B85A")</f>
        <v>PC28F256P33B85A</v>
      </c>
      <c r="B13081" s="3" t="s">
        <v>92</v>
      </c>
      <c r="C13081" s="6">
        <v>6301</v>
      </c>
      <c r="D13081" s="7">
        <v>24.93</v>
      </c>
      <c r="E13081" t="s">
        <v>64</v>
      </c>
    </row>
    <row r="13082" spans="1:5" x14ac:dyDescent="0.25">
      <c r="A13082" t="str">
        <f>HYPERLINK("https://www.773grp.com/globalSearch/1PS181115/page-1", "1PS181115")</f>
        <v>1PS181115</v>
      </c>
      <c r="B13082" s="3" t="str">
        <f>HYPERLINK("https://www.773grp.com/manufacturer/nxp-semiconductor?pageNo=1", "NXP Semiconductors")</f>
        <v>NXP Semiconductors</v>
      </c>
      <c r="C13082" s="6">
        <v>12000</v>
      </c>
      <c r="D13082" s="7">
        <v>0</v>
      </c>
    </row>
    <row r="13083" spans="1:5" x14ac:dyDescent="0.25">
      <c r="A13083" t="str">
        <f>HYPERLINK("https://www.773grp.com/globalSearch/1PS184115/page-1", "1PS184115")</f>
        <v>1PS184115</v>
      </c>
      <c r="B13083" s="3" t="str">
        <f>HYPERLINK("https://www.773grp.com/manufacturer/nxp-semiconductor?pageNo=2", "NXP Semiconductors")</f>
        <v>NXP Semiconductors</v>
      </c>
      <c r="C13083" s="6">
        <v>3000</v>
      </c>
      <c r="D13083" s="7">
        <v>0</v>
      </c>
    </row>
    <row r="13084" spans="1:5" x14ac:dyDescent="0.25">
      <c r="A13084" t="str">
        <f>HYPERLINK("https://www.773grp.com/globalSearch/1PS226115/page-1", "1PS226115")</f>
        <v>1PS226115</v>
      </c>
      <c r="B13084" s="3" t="str">
        <f>HYPERLINK("https://www.773grp.com/manufacturer/nxp-semiconductor?pageNo=3", "NXP Semiconductors")</f>
        <v>NXP Semiconductors</v>
      </c>
      <c r="C13084" s="6">
        <v>11553000</v>
      </c>
      <c r="D13084" s="7">
        <v>0</v>
      </c>
    </row>
    <row r="13085" spans="1:5" x14ac:dyDescent="0.25">
      <c r="A13085" t="str">
        <f>HYPERLINK("https://www.773grp.com/globalSearch/2PB709ASL-PA215/page-1", "2PB709ASL-PA215")</f>
        <v>2PB709ASL-PA215</v>
      </c>
      <c r="B13085" s="3" t="str">
        <f>HYPERLINK("https://www.773grp.com/manufacturer/nxp-semiconductor?pageNo=4", "NXP Semiconductors")</f>
        <v>NXP Semiconductors</v>
      </c>
      <c r="C13085" s="6">
        <v>252000</v>
      </c>
      <c r="D13085" s="7">
        <v>0</v>
      </c>
    </row>
    <row r="13086" spans="1:5" x14ac:dyDescent="0.25">
      <c r="A13086" t="str">
        <f>HYPERLINK("https://www.773grp.com/globalSearch/2PB710AS115/page-1", "2PB710AS115")</f>
        <v>2PB710AS115</v>
      </c>
      <c r="B13086" s="3" t="str">
        <f>HYPERLINK("https://www.773grp.com/manufacturer/nxp-semiconductor?pageNo=5", "NXP Semiconductors")</f>
        <v>NXP Semiconductors</v>
      </c>
      <c r="C13086" s="6">
        <v>9000</v>
      </c>
      <c r="D13086" s="7">
        <v>0</v>
      </c>
    </row>
    <row r="13087" spans="1:5" x14ac:dyDescent="0.25">
      <c r="A13087" t="str">
        <f>HYPERLINK("https://www.773grp.com/globalSearch/2PD601AR115/page-1", "2PD601AR115")</f>
        <v>2PD601AR115</v>
      </c>
      <c r="B13087" s="3" t="str">
        <f>HYPERLINK("https://www.773grp.com/manufacturer/nxp-semiconductor?pageNo=6", "NXP Semiconductors")</f>
        <v>NXP Semiconductors</v>
      </c>
      <c r="C13087" s="6">
        <v>12000</v>
      </c>
      <c r="D13087" s="7">
        <v>0</v>
      </c>
    </row>
    <row r="13088" spans="1:5" x14ac:dyDescent="0.25">
      <c r="A13088" t="str">
        <f>HYPERLINK("https://www.773grp.com/globalSearch/747LVC827AD112/page-1", "747LVC827AD112")</f>
        <v>747LVC827AD112</v>
      </c>
      <c r="B13088" s="3" t="str">
        <f>HYPERLINK("https://www.773grp.com/manufacturer/nxp-semiconductor?pageNo=7", "NXP Semiconductors")</f>
        <v>NXP Semiconductors</v>
      </c>
      <c r="C13088" s="6">
        <v>1200</v>
      </c>
      <c r="D13088" s="7">
        <v>0</v>
      </c>
    </row>
    <row r="13089" spans="1:4" x14ac:dyDescent="0.25">
      <c r="A13089" t="str">
        <f>HYPERLINK("https://www.773grp.com/globalSearch/74ABT162245ADGG512/page-1", "74ABT162245ADGG512")</f>
        <v>74ABT162245ADGG512</v>
      </c>
      <c r="B13089" s="3" t="str">
        <f>HYPERLINK("https://www.773grp.com/manufacturer/nxp-semiconductor?pageNo=8", "NXP Semiconductors")</f>
        <v>NXP Semiconductors</v>
      </c>
      <c r="C13089" s="6">
        <v>975</v>
      </c>
      <c r="D13089" s="7">
        <v>0</v>
      </c>
    </row>
    <row r="13090" spans="1:4" x14ac:dyDescent="0.25">
      <c r="A13090" t="str">
        <f>HYPERLINK("https://www.773grp.com/globalSearch/74ABT2240D118/page-1", "74ABT2240D118")</f>
        <v>74ABT2240D118</v>
      </c>
      <c r="B13090" s="3" t="str">
        <f>HYPERLINK("https://www.773grp.com/manufacturer/nxp-semiconductor?pageNo=9", "NXP Semiconductors")</f>
        <v>NXP Semiconductors</v>
      </c>
      <c r="C13090" s="6">
        <v>2000</v>
      </c>
      <c r="D13090" s="7">
        <v>0</v>
      </c>
    </row>
    <row r="13091" spans="1:4" x14ac:dyDescent="0.25">
      <c r="A13091" t="str">
        <f>HYPERLINK("https://www.773grp.com/globalSearch/74ABT244N602/page-1", "74ABT244N602")</f>
        <v>74ABT244N602</v>
      </c>
      <c r="B13091" s="3" t="str">
        <f>HYPERLINK("https://www.773grp.com/manufacturer/nxp-semiconductor?pageNo=10", "NXP Semiconductors")</f>
        <v>NXP Semiconductors</v>
      </c>
      <c r="C13091" s="6">
        <v>2358</v>
      </c>
      <c r="D13091" s="7">
        <v>0</v>
      </c>
    </row>
    <row r="13092" spans="1:4" x14ac:dyDescent="0.25">
      <c r="A13092" t="str">
        <f>HYPERLINK("https://www.773grp.com/globalSearch/74AHC2G08GD/page-1", "74AHC2G08GD")</f>
        <v>74AHC2G08GD</v>
      </c>
      <c r="B13092" s="3" t="str">
        <f>HYPERLINK("https://www.773grp.com/manufacturer/nxp-semiconductor?pageNo=11", "NXP Semiconductors")</f>
        <v>NXP Semiconductors</v>
      </c>
      <c r="C13092" s="6">
        <v>245</v>
      </c>
      <c r="D13092" s="7">
        <v>0</v>
      </c>
    </row>
    <row r="13093" spans="1:4" x14ac:dyDescent="0.25">
      <c r="A13093" t="str">
        <f>HYPERLINK("https://www.773grp.com/globalSearch/74AHCT125PW-Q100118/page-1", "74AHCT125PW-Q100118")</f>
        <v>74AHCT125PW-Q100118</v>
      </c>
      <c r="B13093" s="3" t="str">
        <f>HYPERLINK("https://www.773grp.com/manufacturer/nxp-semiconductor?pageNo=12", "NXP Semiconductors")</f>
        <v>NXP Semiconductors</v>
      </c>
      <c r="C13093" s="6">
        <v>7500</v>
      </c>
      <c r="D13093" s="7">
        <v>0</v>
      </c>
    </row>
    <row r="13094" spans="1:4" x14ac:dyDescent="0.25">
      <c r="A13094" t="str">
        <f>HYPERLINK("https://www.773grp.com/globalSearch/74AHCT1G04GV/page-1", "74AHCT1G04GV")</f>
        <v>74AHCT1G04GV</v>
      </c>
      <c r="B13094" s="3" t="str">
        <f>HYPERLINK("https://www.773grp.com/manufacturer/nxp-semiconductor?pageNo=13", "NXP Semiconductors")</f>
        <v>NXP Semiconductors</v>
      </c>
      <c r="C13094" s="6">
        <v>39000</v>
      </c>
      <c r="D13094" s="7">
        <v>0</v>
      </c>
    </row>
    <row r="13095" spans="1:4" x14ac:dyDescent="0.25">
      <c r="A13095" t="str">
        <f>HYPERLINK("https://www.773grp.com/globalSearch/74AHCT244PW-S400118/page-1", "74AHCT244PW-S400118")</f>
        <v>74AHCT244PW-S400118</v>
      </c>
      <c r="B13095" s="3" t="str">
        <f>HYPERLINK("https://www.773grp.com/manufacturer/nxp-semiconductor?pageNo=14", "NXP Semiconductors")</f>
        <v>NXP Semiconductors</v>
      </c>
      <c r="C13095" s="6">
        <v>7500</v>
      </c>
      <c r="D13095" s="7">
        <v>0</v>
      </c>
    </row>
    <row r="13096" spans="1:4" x14ac:dyDescent="0.25">
      <c r="A13096" t="str">
        <f>HYPERLINK("https://www.773grp.com/globalSearch/74AHT74D112/page-1", "74AHT74D112")</f>
        <v>74AHT74D112</v>
      </c>
      <c r="B13096" s="3" t="str">
        <f>HYPERLINK("https://www.773grp.com/manufacturer/nxp-semiconductor?pageNo=15", "NXP Semiconductors")</f>
        <v>NXP Semiconductors</v>
      </c>
      <c r="C13096" s="6">
        <v>1140</v>
      </c>
      <c r="D13096" s="7">
        <v>0</v>
      </c>
    </row>
    <row r="13097" spans="1:4" x14ac:dyDescent="0.25">
      <c r="A13097" t="str">
        <f>HYPERLINK("https://www.773grp.com/globalSearch/74ALCV74PW112/page-1", "74ALCV74PW112")</f>
        <v>74ALCV74PW112</v>
      </c>
      <c r="B13097" s="3" t="str">
        <f>HYPERLINK("https://www.773grp.com/manufacturer/nxp-semiconductor?pageNo=16", "NXP Semiconductors")</f>
        <v>NXP Semiconductors</v>
      </c>
      <c r="C13097" s="6">
        <v>2400</v>
      </c>
      <c r="D13097" s="7">
        <v>0</v>
      </c>
    </row>
    <row r="13098" spans="1:4" x14ac:dyDescent="0.25">
      <c r="A13098" t="str">
        <f>HYPERLINK("https://www.773grp.com/globalSearch/74ALVC164245DGG112/page-1", "74ALVC164245DGG112")</f>
        <v>74ALVC164245DGG112</v>
      </c>
      <c r="B13098" s="3" t="str">
        <f>HYPERLINK("https://www.773grp.com/manufacturer/nxp-semiconductor?pageNo=17", "NXP Semiconductors")</f>
        <v>NXP Semiconductors</v>
      </c>
      <c r="C13098" s="6">
        <v>4875</v>
      </c>
      <c r="D13098" s="7">
        <v>0</v>
      </c>
    </row>
    <row r="13099" spans="1:4" x14ac:dyDescent="0.25">
      <c r="A13099" t="str">
        <f>HYPERLINK("https://www.773grp.com/globalSearch/74ALVCH162244DL118/page-1", "74ALVCH162244DL118")</f>
        <v>74ALVCH162244DL118</v>
      </c>
      <c r="B13099" s="3" t="str">
        <f>HYPERLINK("https://www.773grp.com/manufacturer/nxp-semiconductor?pageNo=18", "NXP Semiconductors")</f>
        <v>NXP Semiconductors</v>
      </c>
      <c r="C13099" s="6">
        <v>1608</v>
      </c>
      <c r="D13099" s="7">
        <v>0</v>
      </c>
    </row>
    <row r="13100" spans="1:4" x14ac:dyDescent="0.25">
      <c r="A13100" t="str">
        <f>HYPERLINK("https://www.773grp.com/globalSearch/74ALVCH16244DGG118/page-1", "74ALVCH16244DGG118")</f>
        <v>74ALVCH16244DGG118</v>
      </c>
      <c r="B13100" s="3" t="str">
        <f>HYPERLINK("https://www.773grp.com/manufacturer/nxp-semiconductor?pageNo=19", "NXP Semiconductors")</f>
        <v>NXP Semiconductors</v>
      </c>
      <c r="C13100" s="6">
        <v>12000</v>
      </c>
      <c r="D13100" s="7">
        <v>0</v>
      </c>
    </row>
    <row r="13101" spans="1:4" x14ac:dyDescent="0.25">
      <c r="A13101" t="str">
        <f>HYPERLINK("https://www.773grp.com/globalSearch/74ALVCH16245DGG118/page-1", "74ALVCH16245DGG118")</f>
        <v>74ALVCH16245DGG118</v>
      </c>
      <c r="B13101" s="3" t="str">
        <f>HYPERLINK("https://www.773grp.com/manufacturer/nxp-semiconductor?pageNo=20", "NXP Semiconductors")</f>
        <v>NXP Semiconductors</v>
      </c>
      <c r="C13101" s="6">
        <v>2000</v>
      </c>
      <c r="D13101" s="7">
        <v>0</v>
      </c>
    </row>
    <row r="13102" spans="1:4" x14ac:dyDescent="0.25">
      <c r="A13102" t="str">
        <f>HYPERLINK("https://www.773grp.com/globalSearch/74ALVCH162827DGG118/page-1", "74ALVCH162827DGG118")</f>
        <v>74ALVCH162827DGG118</v>
      </c>
      <c r="B13102" s="3" t="str">
        <f>HYPERLINK("https://www.773grp.com/manufacturer/nxp-semiconductor?pageNo=21", "NXP Semiconductors")</f>
        <v>NXP Semiconductors</v>
      </c>
      <c r="C13102" s="6">
        <v>1000</v>
      </c>
      <c r="D13102" s="7">
        <v>0</v>
      </c>
    </row>
    <row r="13103" spans="1:4" x14ac:dyDescent="0.25">
      <c r="A13103" t="str">
        <f>HYPERLINK("https://www.773grp.com/globalSearch/74ALVCH16373DGG112/page-1", "74ALVCH16373DGG112")</f>
        <v>74ALVCH16373DGG112</v>
      </c>
      <c r="B13103" s="3" t="str">
        <f>HYPERLINK("https://www.773grp.com/manufacturer/nxp-semiconductor?pageNo=22", "NXP Semiconductors")</f>
        <v>NXP Semiconductors</v>
      </c>
      <c r="C13103" s="6">
        <v>975</v>
      </c>
      <c r="D13103" s="7">
        <v>0</v>
      </c>
    </row>
    <row r="13104" spans="1:4" x14ac:dyDescent="0.25">
      <c r="A13104" t="str">
        <f>HYPERLINK("https://www.773grp.com/globalSearch/74ALVCH16646DGG112/page-1", "74ALVCH16646DGG112")</f>
        <v>74ALVCH16646DGG112</v>
      </c>
      <c r="B13104" s="3" t="str">
        <f>HYPERLINK("https://www.773grp.com/manufacturer/nxp-semiconductor?pageNo=23", "NXP Semiconductors")</f>
        <v>NXP Semiconductors</v>
      </c>
      <c r="C13104" s="6">
        <v>292</v>
      </c>
      <c r="D13104" s="7">
        <v>0</v>
      </c>
    </row>
    <row r="13105" spans="1:4" x14ac:dyDescent="0.25">
      <c r="A13105" t="str">
        <f>HYPERLINK("https://www.773grp.com/globalSearch/74ALVCH16821DGG118/page-1", "74ALVCH16821DGG118")</f>
        <v>74ALVCH16821DGG118</v>
      </c>
      <c r="B13105" s="3" t="str">
        <f>HYPERLINK("https://www.773grp.com/manufacturer/nxp-semiconductor?pageNo=24", "NXP Semiconductors")</f>
        <v>NXP Semiconductors</v>
      </c>
      <c r="C13105" s="6">
        <v>1014</v>
      </c>
      <c r="D13105" s="7">
        <v>0</v>
      </c>
    </row>
    <row r="13106" spans="1:4" x14ac:dyDescent="0.25">
      <c r="A13106" t="str">
        <f>HYPERLINK("https://www.773grp.com/globalSearch/74ALVCH16823DGG112/page-1", "74ALVCH16823DGG112")</f>
        <v>74ALVCH16823DGG112</v>
      </c>
      <c r="B13106" s="3" t="str">
        <f>HYPERLINK("https://www.773grp.com/manufacturer/nxp-semiconductor?pageNo=25", "NXP Semiconductors")</f>
        <v>NXP Semiconductors</v>
      </c>
      <c r="C13106" s="6">
        <v>875</v>
      </c>
      <c r="D13106" s="7">
        <v>0</v>
      </c>
    </row>
    <row r="13107" spans="1:4" x14ac:dyDescent="0.25">
      <c r="A13107" t="str">
        <f>HYPERLINK("https://www.773grp.com/globalSearch/74ALVCH16823DGG118/page-1", "74ALVCH16823DGG118")</f>
        <v>74ALVCH16823DGG118</v>
      </c>
      <c r="B13107" s="3" t="str">
        <f>HYPERLINK("https://www.773grp.com/manufacturer/nxp-semiconductor?pageNo=26", "NXP Semiconductors")</f>
        <v>NXP Semiconductors</v>
      </c>
      <c r="C13107" s="6">
        <v>132</v>
      </c>
      <c r="D13107" s="7">
        <v>0</v>
      </c>
    </row>
    <row r="13108" spans="1:4" x14ac:dyDescent="0.25">
      <c r="A13108" t="str">
        <f>HYPERLINK("https://www.773grp.com/globalSearch/74ALVCH16825DGG118/page-1", "74ALVCH16825DGG118")</f>
        <v>74ALVCH16825DGG118</v>
      </c>
      <c r="B13108" s="3" t="str">
        <f>HYPERLINK("https://www.773grp.com/manufacturer/nxp-semiconductor?pageNo=27", "NXP Semiconductors")</f>
        <v>NXP Semiconductors</v>
      </c>
      <c r="C13108" s="6">
        <v>2000</v>
      </c>
      <c r="D13108" s="7">
        <v>0</v>
      </c>
    </row>
    <row r="13109" spans="1:4" x14ac:dyDescent="0.25">
      <c r="A13109" t="str">
        <f>HYPERLINK("https://www.773grp.com/globalSearch/74ALVCH16827DGG118/page-1", "74ALVCH16827DGG118")</f>
        <v>74ALVCH16827DGG118</v>
      </c>
      <c r="B13109" s="3" t="str">
        <f>HYPERLINK("https://www.773grp.com/manufacturer/nxp-semiconductor?pageNo=28", "NXP Semiconductors")</f>
        <v>NXP Semiconductors</v>
      </c>
      <c r="C13109" s="6">
        <v>64</v>
      </c>
      <c r="D13109" s="7">
        <v>0</v>
      </c>
    </row>
    <row r="13110" spans="1:4" x14ac:dyDescent="0.25">
      <c r="A13110" t="str">
        <f>HYPERLINK("https://www.773grp.com/globalSearch/74ALVCH16841DGG112/page-1", "74ALVCH16841DGG112")</f>
        <v>74ALVCH16841DGG112</v>
      </c>
      <c r="B13110" s="3" t="str">
        <f>HYPERLINK("https://www.773grp.com/manufacturer/nxp-semiconductor?pageNo=29", "NXP Semiconductors")</f>
        <v>NXP Semiconductors</v>
      </c>
      <c r="C13110" s="6">
        <v>4025</v>
      </c>
      <c r="D13110" s="7">
        <v>0</v>
      </c>
    </row>
    <row r="13111" spans="1:4" x14ac:dyDescent="0.25">
      <c r="A13111" t="str">
        <f>HYPERLINK("https://www.773grp.com/globalSearch/74ALVCH16841DGG118/page-1", "74ALVCH16841DGG118")</f>
        <v>74ALVCH16841DGG118</v>
      </c>
      <c r="B13111" s="3" t="str">
        <f>HYPERLINK("https://www.773grp.com/manufacturer/nxp-semiconductor?pageNo=30", "NXP Semiconductors")</f>
        <v>NXP Semiconductors</v>
      </c>
      <c r="C13111" s="6">
        <v>6029</v>
      </c>
      <c r="D13111" s="7">
        <v>0</v>
      </c>
    </row>
    <row r="13112" spans="1:4" x14ac:dyDescent="0.25">
      <c r="A13112" t="str">
        <f>HYPERLINK("https://www.773grp.com/globalSearch/74ALVCH16843DGG112/page-1", "74ALVCH16843DGG112")</f>
        <v>74ALVCH16843DGG112</v>
      </c>
      <c r="B13112" s="3" t="str">
        <f>HYPERLINK("https://www.773grp.com/manufacturer/nxp-semiconductor?pageNo=31", "NXP Semiconductors")</f>
        <v>NXP Semiconductors</v>
      </c>
      <c r="C13112" s="6">
        <v>500</v>
      </c>
      <c r="D13112" s="7">
        <v>0</v>
      </c>
    </row>
    <row r="13113" spans="1:4" x14ac:dyDescent="0.25">
      <c r="A13113" t="str">
        <f>HYPERLINK("https://www.773grp.com/globalSearch/74ALVCH16952DGG118/page-1", "74ALVCH16952DGG118")</f>
        <v>74ALVCH16952DGG118</v>
      </c>
      <c r="B13113" s="3" t="str">
        <f>HYPERLINK("https://www.773grp.com/manufacturer/nxp-semiconductor?pageNo=32", "NXP Semiconductors")</f>
        <v>NXP Semiconductors</v>
      </c>
      <c r="C13113" s="6">
        <v>2000</v>
      </c>
      <c r="D13113" s="7">
        <v>0</v>
      </c>
    </row>
    <row r="13114" spans="1:4" x14ac:dyDescent="0.25">
      <c r="A13114" t="str">
        <f>HYPERLINK("https://www.773grp.com/globalSearch/74ALVT162240DGG512/page-1", "74ALVT162240DGG512")</f>
        <v>74ALVT162240DGG512</v>
      </c>
      <c r="B13114" s="3" t="str">
        <f>HYPERLINK("https://www.773grp.com/manufacturer/nxp-semiconductor?pageNo=33", "NXP Semiconductors")</f>
        <v>NXP Semiconductors</v>
      </c>
      <c r="C13114" s="6">
        <v>975</v>
      </c>
      <c r="D13114" s="7">
        <v>0</v>
      </c>
    </row>
    <row r="13115" spans="1:4" x14ac:dyDescent="0.25">
      <c r="A13115" t="str">
        <f>HYPERLINK("https://www.773grp.com/globalSearch/74ALVT162245DGG112/page-1", "74ALVT162245DGG112")</f>
        <v>74ALVT162245DGG112</v>
      </c>
      <c r="B13115" s="3" t="str">
        <f>HYPERLINK("https://www.773grp.com/manufacturer/nxp-semiconductor?pageNo=34", "NXP Semiconductors")</f>
        <v>NXP Semiconductors</v>
      </c>
      <c r="C13115" s="6">
        <v>8775</v>
      </c>
      <c r="D13115" s="7">
        <v>0</v>
      </c>
    </row>
    <row r="13116" spans="1:4" x14ac:dyDescent="0.25">
      <c r="A13116" t="str">
        <f>HYPERLINK("https://www.773grp.com/globalSearch/74ALVT16241DGG512/page-1", "74ALVT16241DGG512")</f>
        <v>74ALVT16241DGG512</v>
      </c>
      <c r="B13116" s="3" t="str">
        <f>HYPERLINK("https://www.773grp.com/manufacturer/nxp-semiconductor?pageNo=35", "NXP Semiconductors")</f>
        <v>NXP Semiconductors</v>
      </c>
      <c r="C13116" s="6">
        <v>975</v>
      </c>
      <c r="D13116" s="7">
        <v>0</v>
      </c>
    </row>
    <row r="13117" spans="1:4" x14ac:dyDescent="0.25">
      <c r="A13117" t="str">
        <f>HYPERLINK("https://www.773grp.com/globalSearch/74ALVT162821DGG112/page-1", "74ALVT162821DGG112")</f>
        <v>74ALVT162821DGG112</v>
      </c>
      <c r="B13117" s="3" t="str">
        <f>HYPERLINK("https://www.773grp.com/manufacturer/nxp-semiconductor?pageNo=36", "NXP Semiconductors")</f>
        <v>NXP Semiconductors</v>
      </c>
      <c r="C13117" s="6">
        <v>875</v>
      </c>
      <c r="D13117" s="7">
        <v>0</v>
      </c>
    </row>
    <row r="13118" spans="1:4" x14ac:dyDescent="0.25">
      <c r="A13118" t="str">
        <f>HYPERLINK("https://www.773grp.com/globalSearch/74ALVT162823DGG112/page-1", "74ALVT162823DGG112")</f>
        <v>74ALVT162823DGG112</v>
      </c>
      <c r="B13118" s="3" t="str">
        <f>HYPERLINK("https://www.773grp.com/manufacturer/nxp-semiconductor?pageNo=37", "NXP Semiconductors")</f>
        <v>NXP Semiconductors</v>
      </c>
      <c r="C13118" s="6">
        <v>875</v>
      </c>
      <c r="D13118" s="7">
        <v>0</v>
      </c>
    </row>
    <row r="13119" spans="1:4" x14ac:dyDescent="0.25">
      <c r="A13119" t="str">
        <f>HYPERLINK("https://www.773grp.com/globalSearch/74AUP2G06G132/page-1", "74AUP2G06G132")</f>
        <v>74AUP2G06G132</v>
      </c>
      <c r="B13119" s="3" t="str">
        <f>HYPERLINK("https://www.773grp.com/manufacturer/nxp-semiconductor?pageNo=38", "NXP Semiconductors")</f>
        <v>NXP Semiconductors</v>
      </c>
      <c r="C13119" s="6">
        <v>300</v>
      </c>
      <c r="D13119" s="7">
        <v>0</v>
      </c>
    </row>
    <row r="13120" spans="1:4" x14ac:dyDescent="0.25">
      <c r="A13120" t="str">
        <f>HYPERLINK("https://www.773grp.com/globalSearch/74AVC8T245PW112/page-1", "74AVC8T245PW112")</f>
        <v>74AVC8T245PW112</v>
      </c>
      <c r="B13120" s="3" t="str">
        <f>HYPERLINK("https://www.773grp.com/manufacturer/nxp-semiconductor?pageNo=39", "NXP Semiconductors")</f>
        <v>NXP Semiconductors</v>
      </c>
      <c r="C13120" s="6">
        <v>8900</v>
      </c>
      <c r="D13120" s="7">
        <v>0</v>
      </c>
    </row>
    <row r="13121" spans="1:4" x14ac:dyDescent="0.25">
      <c r="A13121" t="str">
        <f>HYPERLINK("https://www.773grp.com/globalSearch/74AVCM162834DGG112/page-1", "74AVCM162834DGG112")</f>
        <v>74AVCM162834DGG112</v>
      </c>
      <c r="B13121" s="3" t="str">
        <f>HYPERLINK("https://www.773grp.com/manufacturer/nxp-semiconductor?pageNo=40", "NXP Semiconductors")</f>
        <v>NXP Semiconductors</v>
      </c>
      <c r="C13121" s="6">
        <v>875</v>
      </c>
      <c r="D13121" s="7">
        <v>0</v>
      </c>
    </row>
    <row r="13122" spans="1:4" x14ac:dyDescent="0.25">
      <c r="A13122" t="str">
        <f>HYPERLINK("https://www.773grp.com/globalSearch/74CBTLV16211DGG112/page-1", "74CBTLV16211DGG112")</f>
        <v>74CBTLV16211DGG112</v>
      </c>
      <c r="B13122" s="3" t="str">
        <f>HYPERLINK("https://www.773grp.com/manufacturer/nxp-semiconductor?pageNo=41", "NXP Semiconductors")</f>
        <v>NXP Semiconductors</v>
      </c>
      <c r="C13122" s="6">
        <v>1385</v>
      </c>
      <c r="D13122" s="7">
        <v>0</v>
      </c>
    </row>
    <row r="13123" spans="1:4" x14ac:dyDescent="0.25">
      <c r="A13123" t="str">
        <f>HYPERLINK("https://www.773grp.com/globalSearch/74F06N602/page-1", "74F06N602")</f>
        <v>74F06N602</v>
      </c>
      <c r="B13123" s="3" t="str">
        <f>HYPERLINK("https://www.773grp.com/manufacturer/nxp-semiconductor?pageNo=42", "NXP Semiconductors")</f>
        <v>NXP Semiconductors</v>
      </c>
      <c r="C13123" s="6">
        <v>975</v>
      </c>
      <c r="D13123" s="7">
        <v>0</v>
      </c>
    </row>
    <row r="13124" spans="1:4" x14ac:dyDescent="0.25">
      <c r="A13124" t="str">
        <f>HYPERLINK("https://www.773grp.com/globalSearch/74HC1G665GV125/page-1", "74HC1G665GV125")</f>
        <v>74HC1G665GV125</v>
      </c>
      <c r="B13124" s="3" t="str">
        <f>HYPERLINK("https://www.773grp.com/manufacturer/nxp-semiconductor?pageNo=43", "NXP Semiconductors")</f>
        <v>NXP Semiconductors</v>
      </c>
      <c r="C13124" s="6">
        <v>200</v>
      </c>
      <c r="D13124" s="7">
        <v>0</v>
      </c>
    </row>
    <row r="13125" spans="1:4" x14ac:dyDescent="0.25">
      <c r="A13125" t="str">
        <f>HYPERLINK("https://www.773grp.com/globalSearch/74HCT125D-S400118/page-1", "74HCT125D-S400118")</f>
        <v>74HCT125D-S400118</v>
      </c>
      <c r="B13125" s="3" t="str">
        <f>HYPERLINK("https://www.773grp.com/manufacturer/nxp-semiconductor?pageNo=44", "NXP Semiconductors")</f>
        <v>NXP Semiconductors</v>
      </c>
      <c r="C13125" s="6">
        <v>237500</v>
      </c>
      <c r="D13125" s="7">
        <v>0</v>
      </c>
    </row>
    <row r="13126" spans="1:4" x14ac:dyDescent="0.25">
      <c r="A13126" t="str">
        <f>HYPERLINK("https://www.773grp.com/globalSearch/74HCT4538112/page-1", "74HCT4538112")</f>
        <v>74HCT4538112</v>
      </c>
      <c r="B13126" s="3" t="str">
        <f>HYPERLINK("https://www.773grp.com/manufacturer/nxp-semiconductor?pageNo=45", "NXP Semiconductors")</f>
        <v>NXP Semiconductors</v>
      </c>
      <c r="C13126" s="6">
        <v>40</v>
      </c>
      <c r="D13126" s="7">
        <v>0</v>
      </c>
    </row>
    <row r="13127" spans="1:4" x14ac:dyDescent="0.25">
      <c r="A13127" t="str">
        <f>HYPERLINK("https://www.773grp.com/globalSearch/74HNC573PW112/page-1", "74HNC573PW112")</f>
        <v>74HNC573PW112</v>
      </c>
      <c r="B13127" s="3" t="str">
        <f>HYPERLINK("https://www.773grp.com/manufacturer/nxp-semiconductor?pageNo=46", "NXP Semiconductors")</f>
        <v>NXP Semiconductors</v>
      </c>
      <c r="C13127" s="6">
        <v>1425</v>
      </c>
      <c r="D13127" s="7">
        <v>0</v>
      </c>
    </row>
    <row r="13128" spans="1:4" x14ac:dyDescent="0.25">
      <c r="A13128" t="str">
        <f>HYPERLINK("https://www.773grp.com/globalSearch/74LV02PW/page-1", "74LV02PW")</f>
        <v>74LV02PW</v>
      </c>
      <c r="B13128" s="3" t="str">
        <f>HYPERLINK("https://www.773grp.com/manufacturer/nxp-semiconductor?pageNo=47", "NXP Semiconductors")</f>
        <v>NXP Semiconductors</v>
      </c>
      <c r="C13128" s="6">
        <v>400</v>
      </c>
      <c r="D13128" s="7">
        <v>0</v>
      </c>
    </row>
    <row r="13129" spans="1:4" x14ac:dyDescent="0.25">
      <c r="A13129" t="str">
        <f>HYPERLINK("https://www.773grp.com/globalSearch/74LVC08APW-S999118/page-1", "74LVC08APW-S999118")</f>
        <v>74LVC08APW-S999118</v>
      </c>
      <c r="B13129" s="3" t="str">
        <f>HYPERLINK("https://www.773grp.com/manufacturer/nxp-semiconductor?pageNo=48", "NXP Semiconductors")</f>
        <v>NXP Semiconductors</v>
      </c>
      <c r="C13129" s="6">
        <v>47500</v>
      </c>
      <c r="D13129" s="7">
        <v>0</v>
      </c>
    </row>
    <row r="13130" spans="1:4" x14ac:dyDescent="0.25">
      <c r="A13130" t="str">
        <f>HYPERLINK("https://www.773grp.com/globalSearch/74LVC125APW-S999118/page-1", "74LVC125APW-S999118")</f>
        <v>74LVC125APW-S999118</v>
      </c>
      <c r="B13130" s="3" t="str">
        <f>HYPERLINK("https://www.773grp.com/manufacturer/nxp-semiconductor?pageNo=1", "NXP Semiconductors")</f>
        <v>NXP Semiconductors</v>
      </c>
      <c r="C13130" s="6">
        <v>140000</v>
      </c>
      <c r="D13130" s="7">
        <v>0</v>
      </c>
    </row>
    <row r="13131" spans="1:4" x14ac:dyDescent="0.25">
      <c r="A13131" t="str">
        <f>HYPERLINK("https://www.773grp.com/globalSearch/74LVC14APW-S999118/page-1", "74LVC14APW-S999118")</f>
        <v>74LVC14APW-S999118</v>
      </c>
      <c r="B13131" s="3" t="str">
        <f>HYPERLINK("https://www.773grp.com/manufacturer/nxp-semiconductor?pageNo=2", "NXP Semiconductors")</f>
        <v>NXP Semiconductors</v>
      </c>
      <c r="C13131" s="6">
        <v>200000</v>
      </c>
      <c r="D13131" s="7">
        <v>0</v>
      </c>
    </row>
    <row r="13132" spans="1:4" x14ac:dyDescent="0.25">
      <c r="A13132" t="str">
        <f>HYPERLINK("https://www.773grp.com/globalSearch/74LVC14AWP112/page-1", "74LVC14AWP112")</f>
        <v>74LVC14AWP112</v>
      </c>
      <c r="B13132" s="3" t="str">
        <f>HYPERLINK("https://www.773grp.com/manufacturer/nxp-semiconductor?pageNo=3", "NXP Semiconductors")</f>
        <v>NXP Semiconductors</v>
      </c>
      <c r="C13132" s="6">
        <v>2976</v>
      </c>
      <c r="D13132" s="7">
        <v>0</v>
      </c>
    </row>
    <row r="13133" spans="1:4" x14ac:dyDescent="0.25">
      <c r="A13133" t="str">
        <f>HYPERLINK("https://www.773grp.com/globalSearch/74LVC161D122/page-1", "74LVC161D122")</f>
        <v>74LVC161D122</v>
      </c>
      <c r="B13133" s="3" t="str">
        <f>HYPERLINK("https://www.773grp.com/manufacturer/nxp-semiconductor?pageNo=4", "NXP Semiconductors")</f>
        <v>NXP Semiconductors</v>
      </c>
      <c r="C13133" s="6">
        <v>1735</v>
      </c>
      <c r="D13133" s="7">
        <v>0</v>
      </c>
    </row>
    <row r="13134" spans="1:4" x14ac:dyDescent="0.25">
      <c r="A13134" t="str">
        <f>HYPERLINK("https://www.773grp.com/globalSearch/74LVC162244ADGG112/page-1", "74LVC162244ADGG112")</f>
        <v>74LVC162244ADGG112</v>
      </c>
      <c r="B13134" s="3" t="str">
        <f>HYPERLINK("https://www.773grp.com/manufacturer/nxp-semiconductor?pageNo=5", "NXP Semiconductors")</f>
        <v>NXP Semiconductors</v>
      </c>
      <c r="C13134" s="6">
        <v>226</v>
      </c>
      <c r="D13134" s="7">
        <v>0</v>
      </c>
    </row>
    <row r="13135" spans="1:4" x14ac:dyDescent="0.25">
      <c r="A13135" t="str">
        <f>HYPERLINK("https://www.773grp.com/globalSearch/74LVC162244ADGG118/page-1", "74LVC162244ADGG118")</f>
        <v>74LVC162244ADGG118</v>
      </c>
      <c r="B13135" s="3" t="str">
        <f>HYPERLINK("https://www.773grp.com/manufacturer/nxp-semiconductor?pageNo=6", "NXP Semiconductors")</f>
        <v>NXP Semiconductors</v>
      </c>
      <c r="C13135" s="6">
        <v>9320</v>
      </c>
      <c r="D13135" s="7">
        <v>0</v>
      </c>
    </row>
    <row r="13136" spans="1:4" x14ac:dyDescent="0.25">
      <c r="A13136" t="str">
        <f>HYPERLINK("https://www.773grp.com/globalSearch/74LVC162245ADGG118/page-1", "74LVC162245ADGG118")</f>
        <v>74LVC162245ADGG118</v>
      </c>
      <c r="B13136" s="3" t="str">
        <f>HYPERLINK("https://www.773grp.com/manufacturer/nxp-semiconductor?pageNo=7", "NXP Semiconductors")</f>
        <v>NXP Semiconductors</v>
      </c>
      <c r="C13136" s="6">
        <v>34000</v>
      </c>
      <c r="D13136" s="7">
        <v>0</v>
      </c>
    </row>
    <row r="13137" spans="1:4" x14ac:dyDescent="0.25">
      <c r="A13137" t="str">
        <f>HYPERLINK("https://www.773grp.com/globalSearch/74LVC162373ADGG118/page-1", "74LVC162373ADGG118")</f>
        <v>74LVC162373ADGG118</v>
      </c>
      <c r="B13137" s="3" t="str">
        <f>HYPERLINK("https://www.773grp.com/manufacturer/nxp-semiconductor?pageNo=8", "NXP Semiconductors")</f>
        <v>NXP Semiconductors</v>
      </c>
      <c r="C13137" s="6">
        <v>1748</v>
      </c>
      <c r="D13137" s="7">
        <v>0</v>
      </c>
    </row>
    <row r="13138" spans="1:4" x14ac:dyDescent="0.25">
      <c r="A13138" t="str">
        <f>HYPERLINK("https://www.773grp.com/globalSearch/74LVC1GO8GM132/page-1", "74LVC1GO8GM132")</f>
        <v>74LVC1GO8GM132</v>
      </c>
      <c r="B13138" s="3" t="str">
        <f>HYPERLINK("https://www.773grp.com/manufacturer/nxp-semiconductor?pageNo=9", "NXP Semiconductors")</f>
        <v>NXP Semiconductors</v>
      </c>
      <c r="C13138" s="6">
        <v>2781</v>
      </c>
      <c r="D13138" s="7">
        <v>0</v>
      </c>
    </row>
    <row r="13139" spans="1:4" x14ac:dyDescent="0.25">
      <c r="A13139" t="str">
        <f>HYPERLINK("https://www.773grp.com/globalSearch/74LVC2G34GF-S500132/page-1", "74LVC2G34GF-S500132")</f>
        <v>74LVC2G34GF-S500132</v>
      </c>
      <c r="B13139" s="3" t="str">
        <f>HYPERLINK("https://www.773grp.com/manufacturer/nxp-semiconductor?pageNo=10", "NXP Semiconductors")</f>
        <v>NXP Semiconductors</v>
      </c>
      <c r="C13139" s="6">
        <v>370000</v>
      </c>
      <c r="D13139" s="7">
        <v>0</v>
      </c>
    </row>
    <row r="13140" spans="1:4" x14ac:dyDescent="0.25">
      <c r="A13140" t="str">
        <f>HYPERLINK("https://www.773grp.com/globalSearch/74LVCH162244ADGG112/page-1", "74LVCH162244ADGG112")</f>
        <v>74LVCH162244ADGG112</v>
      </c>
      <c r="B13140" s="3" t="str">
        <f>HYPERLINK("https://www.773grp.com/manufacturer/nxp-semiconductor?pageNo=11", "NXP Semiconductors")</f>
        <v>NXP Semiconductors</v>
      </c>
      <c r="C13140" s="6">
        <v>4875</v>
      </c>
      <c r="D13140" s="7">
        <v>0</v>
      </c>
    </row>
    <row r="13141" spans="1:4" x14ac:dyDescent="0.25">
      <c r="A13141" t="str">
        <f>HYPERLINK("https://www.773grp.com/globalSearch/74LVCH162244ADGG118/page-1", "74LVCH162244ADGG118")</f>
        <v>74LVCH162244ADGG118</v>
      </c>
      <c r="B13141" s="3" t="str">
        <f>HYPERLINK("https://www.773grp.com/manufacturer/nxp-semiconductor?pageNo=12", "NXP Semiconductors")</f>
        <v>NXP Semiconductors</v>
      </c>
      <c r="C13141" s="6">
        <v>6000</v>
      </c>
      <c r="D13141" s="7">
        <v>0</v>
      </c>
    </row>
    <row r="13142" spans="1:4" x14ac:dyDescent="0.25">
      <c r="A13142" t="str">
        <f>HYPERLINK("https://www.773grp.com/globalSearch/74LVCH162244ADL112/page-1", "74LVCH162244ADL112")</f>
        <v>74LVCH162244ADL112</v>
      </c>
      <c r="B13142" s="3" t="str">
        <f>HYPERLINK("https://www.773grp.com/manufacturer/nxp-semiconductor?pageNo=13", "NXP Semiconductors")</f>
        <v>NXP Semiconductors</v>
      </c>
      <c r="C13142" s="6">
        <v>1581</v>
      </c>
      <c r="D13142" s="7">
        <v>0</v>
      </c>
    </row>
    <row r="13143" spans="1:4" x14ac:dyDescent="0.25">
      <c r="A13143" t="str">
        <f>HYPERLINK("https://www.773grp.com/globalSearch/74LVCH162244ADL118/page-1", "74LVCH162244ADL118")</f>
        <v>74LVCH162244ADL118</v>
      </c>
      <c r="B13143" s="3" t="str">
        <f>HYPERLINK("https://www.773grp.com/manufacturer/nxp-semiconductor?pageNo=14", "NXP Semiconductors")</f>
        <v>NXP Semiconductors</v>
      </c>
      <c r="C13143" s="6">
        <v>6000</v>
      </c>
      <c r="D13143" s="7">
        <v>0</v>
      </c>
    </row>
    <row r="13144" spans="1:4" x14ac:dyDescent="0.25">
      <c r="A13144" t="str">
        <f>HYPERLINK("https://www.773grp.com/globalSearch/74LVCH162245ADGG118/page-1", "74LVCH162245ADGG118")</f>
        <v>74LVCH162245ADGG118</v>
      </c>
      <c r="B13144" s="3" t="str">
        <f>HYPERLINK("https://www.773grp.com/manufacturer/nxp-semiconductor?pageNo=15", "NXP Semiconductors")</f>
        <v>NXP Semiconductors</v>
      </c>
      <c r="C13144" s="6">
        <v>182000</v>
      </c>
      <c r="D13144" s="7">
        <v>0</v>
      </c>
    </row>
    <row r="13145" spans="1:4" x14ac:dyDescent="0.25">
      <c r="A13145" t="str">
        <f>HYPERLINK("https://www.773grp.com/globalSearch/74LVCH162245ADL112/page-1", "74LVCH162245ADL112")</f>
        <v>74LVCH162245ADL112</v>
      </c>
      <c r="B13145" s="3" t="str">
        <f>HYPERLINK("https://www.773grp.com/manufacturer/nxp-semiconductor?pageNo=16", "NXP Semiconductors")</f>
        <v>NXP Semiconductors</v>
      </c>
      <c r="C13145" s="6">
        <v>2759</v>
      </c>
      <c r="D13145" s="7">
        <v>0</v>
      </c>
    </row>
    <row r="13146" spans="1:4" x14ac:dyDescent="0.25">
      <c r="A13146" t="str">
        <f>HYPERLINK("https://www.773grp.com/globalSearch/74LVCH162373ADL112/page-1", "74LVCH162373ADL112")</f>
        <v>74LVCH162373ADL112</v>
      </c>
      <c r="B13146" s="3" t="str">
        <f>HYPERLINK("https://www.773grp.com/manufacturer/nxp-semiconductor?pageNo=17", "NXP Semiconductors")</f>
        <v>NXP Semiconductors</v>
      </c>
      <c r="C13146" s="6">
        <v>4743</v>
      </c>
      <c r="D13146" s="7">
        <v>0</v>
      </c>
    </row>
    <row r="13147" spans="1:4" x14ac:dyDescent="0.25">
      <c r="A13147" t="str">
        <f>HYPERLINK("https://www.773grp.com/globalSearch/74LVCH162373ADL118/page-1", "74LVCH162373ADL118")</f>
        <v>74LVCH162373ADL118</v>
      </c>
      <c r="B13147" s="3" t="str">
        <f>HYPERLINK("https://www.773grp.com/manufacturer/nxp-semiconductor?pageNo=18", "NXP Semiconductors")</f>
        <v>NXP Semiconductors</v>
      </c>
      <c r="C13147" s="6">
        <v>7000</v>
      </c>
      <c r="D13147" s="7">
        <v>0</v>
      </c>
    </row>
    <row r="13148" spans="1:4" x14ac:dyDescent="0.25">
      <c r="A13148" t="str">
        <f>HYPERLINK("https://www.773grp.com/globalSearch/74LVCH162374ADGG112/page-1", "74LVCH162374ADGG112")</f>
        <v>74LVCH162374ADGG112</v>
      </c>
      <c r="B13148" s="3" t="str">
        <f>HYPERLINK("https://www.773grp.com/manufacturer/nxp-semiconductor?pageNo=19", "NXP Semiconductors")</f>
        <v>NXP Semiconductors</v>
      </c>
      <c r="C13148" s="6">
        <v>7800</v>
      </c>
      <c r="D13148" s="7">
        <v>0</v>
      </c>
    </row>
    <row r="13149" spans="1:4" x14ac:dyDescent="0.25">
      <c r="A13149" t="str">
        <f>HYPERLINK("https://www.773grp.com/globalSearch/74LVCH162374ADGG118/page-1", "74LVCH162374ADGG118")</f>
        <v>74LVCH162374ADGG118</v>
      </c>
      <c r="B13149" s="3" t="str">
        <f>HYPERLINK("https://www.773grp.com/manufacturer/nxp-semiconductor?pageNo=20", "NXP Semiconductors")</f>
        <v>NXP Semiconductors</v>
      </c>
      <c r="C13149" s="6">
        <v>6000</v>
      </c>
      <c r="D13149" s="7">
        <v>0</v>
      </c>
    </row>
    <row r="13150" spans="1:4" x14ac:dyDescent="0.25">
      <c r="A13150" t="str">
        <f>HYPERLINK("https://www.773grp.com/globalSearch/74LVCH16245ADGG112/page-1", "74LVCH16245ADGG112")</f>
        <v>74LVCH16245ADGG112</v>
      </c>
      <c r="B13150" s="3" t="str">
        <f>HYPERLINK("https://www.773grp.com/manufacturer/nxp-semiconductor?pageNo=21", "NXP Semiconductors")</f>
        <v>NXP Semiconductors</v>
      </c>
      <c r="C13150" s="6">
        <v>3900</v>
      </c>
      <c r="D13150" s="7">
        <v>0</v>
      </c>
    </row>
    <row r="13151" spans="1:4" x14ac:dyDescent="0.25">
      <c r="A13151" t="str">
        <f>HYPERLINK("https://www.773grp.com/globalSearch/74LVCH16245ADGG118/page-1", "74LVCH16245ADGG118")</f>
        <v>74LVCH16245ADGG118</v>
      </c>
      <c r="B13151" s="3" t="str">
        <f>HYPERLINK("https://www.773grp.com/manufacturer/nxp-semiconductor?pageNo=22", "NXP Semiconductors")</f>
        <v>NXP Semiconductors</v>
      </c>
      <c r="C13151" s="6">
        <v>44000</v>
      </c>
      <c r="D13151" s="7">
        <v>0</v>
      </c>
    </row>
    <row r="13152" spans="1:4" x14ac:dyDescent="0.25">
      <c r="A13152" t="str">
        <f>HYPERLINK("https://www.773grp.com/globalSearch/74LVCH16373ADGG112/page-1", "74LVCH16373ADGG112")</f>
        <v>74LVCH16373ADGG112</v>
      </c>
      <c r="B13152" s="3" t="str">
        <f>HYPERLINK("https://www.773grp.com/manufacturer/nxp-semiconductor?pageNo=23", "NXP Semiconductors")</f>
        <v>NXP Semiconductors</v>
      </c>
      <c r="C13152" s="6">
        <v>1950</v>
      </c>
      <c r="D13152" s="7">
        <v>0</v>
      </c>
    </row>
    <row r="13153" spans="1:4" x14ac:dyDescent="0.25">
      <c r="A13153" t="str">
        <f>HYPERLINK("https://www.773grp.com/globalSearch/74LVCH16373ADGG118/page-1", "74LVCH16373ADGG118")</f>
        <v>74LVCH16373ADGG118</v>
      </c>
      <c r="B13153" s="3" t="str">
        <f>HYPERLINK("https://www.773grp.com/manufacturer/nxp-semiconductor?pageNo=24", "NXP Semiconductors")</f>
        <v>NXP Semiconductors</v>
      </c>
      <c r="C13153" s="6">
        <v>6000</v>
      </c>
      <c r="D13153" s="7">
        <v>0</v>
      </c>
    </row>
    <row r="13154" spans="1:4" x14ac:dyDescent="0.25">
      <c r="A13154" t="str">
        <f>HYPERLINK("https://www.773grp.com/globalSearch/74LVCH322245AEC518/page-1", "74LVCH322245AEC518")</f>
        <v>74LVCH322245AEC518</v>
      </c>
      <c r="B13154" s="3" t="str">
        <f>HYPERLINK("https://www.773grp.com/manufacturer/nxp-semiconductor?pageNo=25", "NXP Semiconductors")</f>
        <v>NXP Semiconductors</v>
      </c>
      <c r="C13154" s="6">
        <v>21000</v>
      </c>
      <c r="D13154" s="7">
        <v>0</v>
      </c>
    </row>
    <row r="13155" spans="1:4" x14ac:dyDescent="0.25">
      <c r="A13155" t="str">
        <f>HYPERLINK("https://www.773grp.com/globalSearch/74LVCH8T245PW/page-1", "74LVCH8T245PW")</f>
        <v>74LVCH8T245PW</v>
      </c>
      <c r="B13155" s="3" t="str">
        <f>HYPERLINK("https://www.773grp.com/manufacturer/nxp-semiconductor?pageNo=26", "NXP Semiconductors")</f>
        <v>NXP Semiconductors</v>
      </c>
      <c r="C13155" s="6">
        <v>98</v>
      </c>
      <c r="D13155" s="7">
        <v>0</v>
      </c>
    </row>
    <row r="13156" spans="1:4" x14ac:dyDescent="0.25">
      <c r="A13156" t="str">
        <f>HYPERLINK("https://www.773grp.com/globalSearch/74LVT162240ADGG118/page-1", "74LVT162240ADGG118")</f>
        <v>74LVT162240ADGG118</v>
      </c>
      <c r="B13156" s="3" t="str">
        <f>HYPERLINK("https://www.773grp.com/manufacturer/nxp-semiconductor?pageNo=27", "NXP Semiconductors")</f>
        <v>NXP Semiconductors</v>
      </c>
      <c r="C13156" s="6">
        <v>10160</v>
      </c>
      <c r="D13156" s="7">
        <v>0</v>
      </c>
    </row>
    <row r="13157" spans="1:4" x14ac:dyDescent="0.25">
      <c r="A13157" t="str">
        <f>HYPERLINK("https://www.773grp.com/globalSearch/74LVT162244BDGG/page-1", "74LVT162244BDGG")</f>
        <v>74LVT162244BDGG</v>
      </c>
      <c r="B13157" s="3" t="str">
        <f>HYPERLINK("https://www.773grp.com/manufacturer/nxp-semiconductor?pageNo=28", "NXP Semiconductors")</f>
        <v>NXP Semiconductors</v>
      </c>
      <c r="C13157" s="6">
        <v>1000</v>
      </c>
      <c r="D13157" s="7">
        <v>0</v>
      </c>
    </row>
    <row r="13158" spans="1:4" x14ac:dyDescent="0.25">
      <c r="A13158" t="str">
        <f>HYPERLINK("https://www.773grp.com/globalSearch/74LVT162244BDGG118/page-1", "74LVT162244BDGG118")</f>
        <v>74LVT162244BDGG118</v>
      </c>
      <c r="B13158" s="3" t="str">
        <f>HYPERLINK("https://www.773grp.com/manufacturer/nxp-semiconductor?pageNo=29", "NXP Semiconductors")</f>
        <v>NXP Semiconductors</v>
      </c>
      <c r="C13158" s="6">
        <v>6000</v>
      </c>
      <c r="D13158" s="7">
        <v>0</v>
      </c>
    </row>
    <row r="13159" spans="1:4" x14ac:dyDescent="0.25">
      <c r="A13159" t="str">
        <f>HYPERLINK("https://www.773grp.com/globalSearch/74LVTN16244BDGG118/page-1", "74LVTN16244BDGG118")</f>
        <v>74LVTN16244BDGG118</v>
      </c>
      <c r="B13159" s="3" t="str">
        <f>HYPERLINK("https://www.773grp.com/manufacturer/nxp-semiconductor?pageNo=30", "NXP Semiconductors")</f>
        <v>NXP Semiconductors</v>
      </c>
      <c r="C13159" s="6">
        <v>279</v>
      </c>
      <c r="D13159" s="7">
        <v>0</v>
      </c>
    </row>
    <row r="13160" spans="1:4" x14ac:dyDescent="0.25">
      <c r="A13160" t="str">
        <f>HYPERLINK("https://www.773grp.com/globalSearch/74LVTN16245BDGG118/page-1", "74LVTN16245BDGG118")</f>
        <v>74LVTN16245BDGG118</v>
      </c>
      <c r="B13160" s="3" t="str">
        <f>HYPERLINK("https://www.773grp.com/manufacturer/nxp-semiconductor?pageNo=31", "NXP Semiconductors")</f>
        <v>NXP Semiconductors</v>
      </c>
      <c r="C13160" s="6">
        <v>8000</v>
      </c>
      <c r="D13160" s="7">
        <v>0</v>
      </c>
    </row>
    <row r="13161" spans="1:4" x14ac:dyDescent="0.25">
      <c r="A13161" t="str">
        <f>HYPERLINK("https://www.773grp.com/globalSearch/74SUP2G02GF115/page-1", "74SUP2G02GF115")</f>
        <v>74SUP2G02GF115</v>
      </c>
      <c r="B13161" s="3" t="str">
        <f>HYPERLINK("https://www.773grp.com/manufacturer/nxp-semiconductor?pageNo=32", "NXP Semiconductors")</f>
        <v>NXP Semiconductors</v>
      </c>
      <c r="C13161" s="6">
        <v>100</v>
      </c>
      <c r="D13161" s="7">
        <v>0</v>
      </c>
    </row>
    <row r="13162" spans="1:4" x14ac:dyDescent="0.25">
      <c r="A13162" t="str">
        <f>HYPERLINK("https://www.773grp.com/globalSearch/A7002CGHN1-T1AG502157/page-1", "A7002CGHN1-T1AG502157")</f>
        <v>A7002CGHN1-T1AG502157</v>
      </c>
      <c r="B13162" s="3" t="str">
        <f>HYPERLINK("https://www.773grp.com/manufacturer/nxp-semiconductor?pageNo=33", "NXP Semiconductors")</f>
        <v>NXP Semiconductors</v>
      </c>
      <c r="C13162" s="6">
        <v>20717</v>
      </c>
      <c r="D13162" s="7">
        <v>0</v>
      </c>
    </row>
    <row r="13163" spans="1:4" x14ac:dyDescent="0.25">
      <c r="A13163" t="str">
        <f>HYPERLINK("https://www.773grp.com/globalSearch/ADC0804S040TSC11/page-1", "ADC0804S040TSC11")</f>
        <v>ADC0804S040TSC11</v>
      </c>
      <c r="B13163" s="3" t="str">
        <f>HYPERLINK("https://www.773grp.com/manufacturer/nxp-semiconductor?pageNo=34", "NXP Semiconductors")</f>
        <v>NXP Semiconductors</v>
      </c>
      <c r="C13163" s="6">
        <v>478</v>
      </c>
      <c r="D13163" s="7">
        <v>0</v>
      </c>
    </row>
    <row r="13164" spans="1:4" x14ac:dyDescent="0.25">
      <c r="A13164" t="str">
        <f>HYPERLINK("https://www.773grp.com/globalSearch/ADC1002S020HL-C1118/page-1", "ADC1002S020HL-C1118")</f>
        <v>ADC1002S020HL-C1118</v>
      </c>
      <c r="B13164" s="3" t="str">
        <f>HYPERLINK("https://www.773grp.com/manufacturer/nxp-semiconductor?pageNo=35", "NXP Semiconductors")</f>
        <v>NXP Semiconductors</v>
      </c>
      <c r="C13164" s="6">
        <v>1500</v>
      </c>
      <c r="D13164" s="7">
        <v>0</v>
      </c>
    </row>
    <row r="13165" spans="1:4" x14ac:dyDescent="0.25">
      <c r="A13165" t="str">
        <f>HYPERLINK("https://www.773grp.com/globalSearch/ADC1015S105HN-C1551/page-1", "ADC1015S105HN-C1551")</f>
        <v>ADC1015S105HN-C1551</v>
      </c>
      <c r="B13165" s="3" t="str">
        <f>HYPERLINK("https://www.773grp.com/manufacturer/nxp-semiconductor?pageNo=36", "NXP Semiconductors")</f>
        <v>NXP Semiconductors</v>
      </c>
      <c r="C13165" s="6">
        <v>490</v>
      </c>
      <c r="D13165" s="7">
        <v>0</v>
      </c>
    </row>
    <row r="13166" spans="1:4" x14ac:dyDescent="0.25">
      <c r="A13166" t="str">
        <f>HYPERLINK("https://www.773grp.com/globalSearch/ADC1210S125HNC1551/page-1", "ADC1210S125HNC1551")</f>
        <v>ADC1210S125HNC1551</v>
      </c>
      <c r="B13166" s="3" t="str">
        <f>HYPERLINK("https://www.773grp.com/manufacturer/nxp-semiconductor?pageNo=37", "NXP Semiconductors")</f>
        <v>NXP Semiconductors</v>
      </c>
      <c r="C13166" s="6">
        <v>73</v>
      </c>
      <c r="D13166" s="7">
        <v>0</v>
      </c>
    </row>
    <row r="13167" spans="1:4" x14ac:dyDescent="0.25">
      <c r="A13167" t="str">
        <f>HYPERLINK("https://www.773grp.com/globalSearch/ADC1212D125HN-C1551/page-1", "ADC1212D125HN-C1551")</f>
        <v>ADC1212D125HN-C1551</v>
      </c>
      <c r="B13167" s="3" t="str">
        <f>HYPERLINK("https://www.773grp.com/manufacturer/nxp-semiconductor?pageNo=38", "NXP Semiconductors")</f>
        <v>NXP Semiconductors</v>
      </c>
      <c r="C13167" s="6">
        <v>260</v>
      </c>
      <c r="D13167" s="7">
        <v>0</v>
      </c>
    </row>
    <row r="13168" spans="1:4" x14ac:dyDescent="0.25">
      <c r="A13168" t="str">
        <f>HYPERLINK("https://www.773grp.com/globalSearch/ADC1213D065HN-C1551/page-1", "ADC1213D065HN-C1551")</f>
        <v>ADC1213D065HN-C1551</v>
      </c>
      <c r="B13168" s="3" t="str">
        <f>HYPERLINK("https://www.773grp.com/manufacturer/nxp-semiconductor?pageNo=39", "NXP Semiconductors")</f>
        <v>NXP Semiconductors</v>
      </c>
      <c r="C13168" s="6">
        <v>260</v>
      </c>
      <c r="D13168" s="7">
        <v>0</v>
      </c>
    </row>
    <row r="13169" spans="1:4" x14ac:dyDescent="0.25">
      <c r="A13169" t="str">
        <f>HYPERLINK("https://www.773grp.com/globalSearch/ADC1410S105HNC15/page-1", "ADC1410S105HNC15")</f>
        <v>ADC1410S105HNC15</v>
      </c>
      <c r="B13169" s="3" t="str">
        <f>HYPERLINK("https://www.773grp.com/manufacturer/nxp-semiconductor?pageNo=40", "NXP Semiconductors")</f>
        <v>NXP Semiconductors</v>
      </c>
      <c r="C13169" s="6">
        <v>42</v>
      </c>
      <c r="D13169" s="7">
        <v>0</v>
      </c>
    </row>
    <row r="13170" spans="1:4" x14ac:dyDescent="0.25">
      <c r="A13170" t="str">
        <f>HYPERLINK("https://www.773grp.com/globalSearch/ADC1415S065HN-C1518/page-1", "ADC1415S065HN-C1518")</f>
        <v>ADC1415S065HN-C1518</v>
      </c>
      <c r="B13170" s="3" t="str">
        <f>HYPERLINK("https://www.773grp.com/manufacturer/nxp-semiconductor?pageNo=41", "NXP Semiconductors")</f>
        <v>NXP Semiconductors</v>
      </c>
      <c r="C13170" s="6">
        <v>125</v>
      </c>
      <c r="D13170" s="7">
        <v>0</v>
      </c>
    </row>
    <row r="13171" spans="1:4" x14ac:dyDescent="0.25">
      <c r="A13171" t="str">
        <f>HYPERLINK("https://www.773grp.com/globalSearch/ADC1613D105HN-C1551/page-1", "ADC1613D105HN-C1551")</f>
        <v>ADC1613D105HN-C1551</v>
      </c>
      <c r="B13171" s="3" t="str">
        <f>HYPERLINK("https://www.773grp.com/manufacturer/nxp-semiconductor?pageNo=42", "NXP Semiconductors")</f>
        <v>NXP Semiconductors</v>
      </c>
      <c r="C13171" s="6">
        <v>260</v>
      </c>
      <c r="D13171" s="7">
        <v>0</v>
      </c>
    </row>
    <row r="13172" spans="1:4" x14ac:dyDescent="0.25">
      <c r="A13172" t="str">
        <f>HYPERLINK("https://www.773grp.com/globalSearch/ADC1613S105HN-C1551/page-1", "ADC1613S105HN-C1551")</f>
        <v>ADC1613S105HN-C1551</v>
      </c>
      <c r="B13172" s="3" t="str">
        <f>HYPERLINK("https://www.773grp.com/manufacturer/nxp-semiconductor?pageNo=43", "NXP Semiconductors")</f>
        <v>NXP Semiconductors</v>
      </c>
      <c r="C13172" s="6">
        <v>260</v>
      </c>
      <c r="D13172" s="7">
        <v>0</v>
      </c>
    </row>
    <row r="13173" spans="1:4" x14ac:dyDescent="0.25">
      <c r="A13173" t="str">
        <f>HYPERLINK("https://www.773grp.com/globalSearch/ASC3011HN557/page-1", "ASC3011HN557")</f>
        <v>ASC3011HN557</v>
      </c>
      <c r="B13173" s="3" t="str">
        <f>HYPERLINK("https://www.773grp.com/manufacturer/nxp-semiconductor?pageNo=44", "NXP Semiconductors")</f>
        <v>NXP Semiconductors</v>
      </c>
      <c r="C13173" s="6">
        <v>50</v>
      </c>
      <c r="D13173" s="7">
        <v>0</v>
      </c>
    </row>
    <row r="13174" spans="1:4" x14ac:dyDescent="0.25">
      <c r="A13174" t="str">
        <f>HYPERLINK("https://www.773grp.com/globalSearch/ASC3012HN557/page-1", "ASC3012HN557")</f>
        <v>ASC3012HN557</v>
      </c>
      <c r="B13174" s="3" t="str">
        <f>HYPERLINK("https://www.773grp.com/manufacturer/nxp-semiconductor?pageNo=45", "NXP Semiconductors")</f>
        <v>NXP Semiconductors</v>
      </c>
      <c r="C13174" s="6">
        <v>50</v>
      </c>
      <c r="D13174" s="7">
        <v>0</v>
      </c>
    </row>
    <row r="13175" spans="1:4" x14ac:dyDescent="0.25">
      <c r="A13175" t="str">
        <f>HYPERLINK("https://www.773grp.com/globalSearch/BA792115/page-1", "BA792115")</f>
        <v>BA792115</v>
      </c>
      <c r="B13175" s="3" t="str">
        <f>HYPERLINK("https://www.773grp.com/manufacturer/nxp-semiconductor?pageNo=46", "NXP Semiconductors")</f>
        <v>NXP Semiconductors</v>
      </c>
      <c r="C13175" s="6">
        <v>522000</v>
      </c>
      <c r="D13175" s="7">
        <v>0</v>
      </c>
    </row>
    <row r="13176" spans="1:4" x14ac:dyDescent="0.25">
      <c r="A13176" t="str">
        <f>HYPERLINK("https://www.773grp.com/globalSearch/BAS40-07115/page-1", "BAS40-07115")</f>
        <v>BAS40-07115</v>
      </c>
      <c r="B13176" s="3" t="str">
        <f>HYPERLINK("https://www.773grp.com/manufacturer/nxp-semiconductor?pageNo=47", "NXP Semiconductors")</f>
        <v>NXP Semiconductors</v>
      </c>
      <c r="C13176" s="6">
        <v>200</v>
      </c>
      <c r="D13176" s="7">
        <v>0</v>
      </c>
    </row>
    <row r="13177" spans="1:4" x14ac:dyDescent="0.25">
      <c r="A13177" t="str">
        <f>HYPERLINK("https://www.773grp.com/globalSearch/BC52-165PA115/page-1", "BC52-165PA115")</f>
        <v>BC52-165PA115</v>
      </c>
      <c r="B13177" s="3" t="str">
        <f>HYPERLINK("https://www.773grp.com/manufacturer/nxp-semiconductor?pageNo=48", "NXP Semiconductors")</f>
        <v>NXP Semiconductors</v>
      </c>
      <c r="C13177" s="6">
        <v>2891</v>
      </c>
      <c r="D13177" s="7">
        <v>0</v>
      </c>
    </row>
    <row r="13178" spans="1:4" x14ac:dyDescent="0.25">
      <c r="A13178" t="str">
        <f>HYPERLINK("https://www.773grp.com/globalSearch/BGB203-H1-S06518/page-1", "BGB203-H1-S06518")</f>
        <v>BGB203-H1-S06518</v>
      </c>
      <c r="B13178" s="3" t="str">
        <f>HYPERLINK("https://www.773grp.com/manufacturer/nxp-semiconductor?pageNo=1", "NXP Semiconductors")</f>
        <v>NXP Semiconductors</v>
      </c>
      <c r="C13178" s="6">
        <v>1413</v>
      </c>
      <c r="D13178" s="7">
        <v>0</v>
      </c>
    </row>
    <row r="13179" spans="1:4" x14ac:dyDescent="0.25">
      <c r="A13179" t="str">
        <f>HYPERLINK("https://www.773grp.com/globalSearch/BGU8011X115/page-1", "BGU8011X115")</f>
        <v>BGU8011X115</v>
      </c>
      <c r="B13179" s="3" t="str">
        <f>HYPERLINK("https://www.773grp.com/manufacturer/nxp-semiconductor?pageNo=2", "NXP Semiconductors")</f>
        <v>NXP Semiconductors</v>
      </c>
      <c r="C13179" s="6">
        <v>5000</v>
      </c>
      <c r="D13179" s="7">
        <v>0</v>
      </c>
    </row>
    <row r="13180" spans="1:4" x14ac:dyDescent="0.25">
      <c r="A13180" t="str">
        <f>HYPERLINK("https://www.773grp.com/globalSearch/BLF177CR112/page-1", "BLF177CR112")</f>
        <v>BLF177CR112</v>
      </c>
      <c r="B13180" s="3" t="str">
        <f>HYPERLINK("https://www.773grp.com/manufacturer/nxp-semiconductor?pageNo=3", "NXP Semiconductors")</f>
        <v>NXP Semiconductors</v>
      </c>
      <c r="C13180" s="6">
        <v>40</v>
      </c>
      <c r="D13180" s="7">
        <v>0</v>
      </c>
    </row>
    <row r="13181" spans="1:4" x14ac:dyDescent="0.25">
      <c r="A13181" t="str">
        <f>HYPERLINK("https://www.773grp.com/globalSearch/BLF6G10LS-135RN112/page-1", "BLF6G10LS-135RN112")</f>
        <v>BLF6G10LS-135RN112</v>
      </c>
      <c r="B13181" s="3" t="str">
        <f>HYPERLINK("https://www.773grp.com/manufacturer/nxp-semiconductor?pageNo=4", "NXP Semiconductors")</f>
        <v>NXP Semiconductors</v>
      </c>
      <c r="C13181" s="6">
        <v>125</v>
      </c>
      <c r="D13181" s="7">
        <v>0</v>
      </c>
    </row>
    <row r="13182" spans="1:4" x14ac:dyDescent="0.25">
      <c r="A13182" t="str">
        <f>HYPERLINK("https://www.773grp.com/globalSearch/BLF6G10LS-160RN112/page-1", "BLF6G10LS-160RN112")</f>
        <v>BLF6G10LS-160RN112</v>
      </c>
      <c r="B13182" s="3" t="str">
        <f>HYPERLINK("https://www.773grp.com/manufacturer/nxp-semiconductor?pageNo=5", "NXP Semiconductors")</f>
        <v>NXP Semiconductors</v>
      </c>
      <c r="C13182" s="6">
        <v>20</v>
      </c>
      <c r="D13182" s="7">
        <v>0</v>
      </c>
    </row>
    <row r="13183" spans="1:4" x14ac:dyDescent="0.25">
      <c r="A13183" t="str">
        <f>HYPERLINK("https://www.773grp.com/globalSearch/BLF6G20LS-180RN112/page-1", "BLF6G20LS-180RN112")</f>
        <v>BLF6G20LS-180RN112</v>
      </c>
      <c r="B13183" s="3" t="str">
        <f>HYPERLINK("https://www.773grp.com/manufacturer/nxp-semiconductor?pageNo=6", "NXP Semiconductors")</f>
        <v>NXP Semiconductors</v>
      </c>
      <c r="C13183" s="6">
        <v>10</v>
      </c>
      <c r="D13183" s="7">
        <v>0</v>
      </c>
    </row>
    <row r="13184" spans="1:4" x14ac:dyDescent="0.25">
      <c r="A13184" t="str">
        <f>HYPERLINK("https://www.773grp.com/globalSearch/BTA206X-800CT127/page-1", "BTA206X-800CT127")</f>
        <v>BTA206X-800CT127</v>
      </c>
      <c r="B13184" s="3" t="str">
        <f>HYPERLINK("https://www.773grp.com/manufacturer/nxp-semiconductor?pageNo=7", "NXP Semiconductors")</f>
        <v>NXP Semiconductors</v>
      </c>
      <c r="C13184" s="6">
        <v>1000</v>
      </c>
      <c r="D13184" s="7">
        <v>0</v>
      </c>
    </row>
    <row r="13185" spans="1:4" x14ac:dyDescent="0.25">
      <c r="A13185" t="str">
        <f>HYPERLINK("https://www.773grp.com/globalSearch/BTA206X-800ET127/page-1", "BTA206X-800ET127")</f>
        <v>BTA206X-800ET127</v>
      </c>
      <c r="B13185" s="3" t="str">
        <f>HYPERLINK("https://www.773grp.com/manufacturer/nxp-semiconductor?pageNo=8", "NXP Semiconductors")</f>
        <v>NXP Semiconductors</v>
      </c>
      <c r="C13185" s="6">
        <v>82</v>
      </c>
      <c r="D13185" s="7">
        <v>0</v>
      </c>
    </row>
    <row r="13186" spans="1:4" x14ac:dyDescent="0.25">
      <c r="A13186" t="str">
        <f>HYPERLINK("https://www.773grp.com/globalSearch/BTA212-600D/page-1", "BTA212-600D")</f>
        <v>BTA212-600D</v>
      </c>
      <c r="B13186" s="3" t="str">
        <f>HYPERLINK("https://www.773grp.com/manufacturer/nxp-semiconductor?pageNo=9", "NXP Semiconductors")</f>
        <v>NXP Semiconductors</v>
      </c>
      <c r="C13186" s="6">
        <v>229</v>
      </c>
      <c r="D13186" s="7">
        <v>0</v>
      </c>
    </row>
    <row r="13187" spans="1:4" x14ac:dyDescent="0.25">
      <c r="A13187" t="str">
        <f>HYPERLINK("https://www.773grp.com/globalSearch/BTE139-600E127/page-1", "BTE139-600E127")</f>
        <v>BTE139-600E127</v>
      </c>
      <c r="B13187" s="3" t="str">
        <f>HYPERLINK("https://www.773grp.com/manufacturer/nxp-semiconductor?pageNo=10", "NXP Semiconductors")</f>
        <v>NXP Semiconductors</v>
      </c>
      <c r="C13187" s="6">
        <v>1000</v>
      </c>
      <c r="D13187" s="7">
        <v>0</v>
      </c>
    </row>
    <row r="13188" spans="1:4" x14ac:dyDescent="0.25">
      <c r="A13188" t="str">
        <f>HYPERLINK("https://www.773grp.com/globalSearch/BTYA312Y-800C127/page-1", "BTYA312Y-800C127")</f>
        <v>BTYA312Y-800C127</v>
      </c>
      <c r="B13188" s="3" t="str">
        <f>HYPERLINK("https://www.773grp.com/manufacturer/nxp-semiconductor?pageNo=11", "NXP Semiconductors")</f>
        <v>NXP Semiconductors</v>
      </c>
      <c r="C13188" s="6">
        <v>1000</v>
      </c>
      <c r="D13188" s="7">
        <v>0</v>
      </c>
    </row>
    <row r="13189" spans="1:4" x14ac:dyDescent="0.25">
      <c r="A13189" t="str">
        <f>HYPERLINK("https://www.773grp.com/globalSearch/BTYV42E-200127/page-1", "BTYV42E-200127")</f>
        <v>BTYV42E-200127</v>
      </c>
      <c r="B13189" s="3" t="str">
        <f>HYPERLINK("https://www.773grp.com/manufacturer/nxp-semiconductor?pageNo=12", "NXP Semiconductors")</f>
        <v>NXP Semiconductors</v>
      </c>
      <c r="C13189" s="6">
        <v>1000</v>
      </c>
      <c r="D13189" s="7">
        <v>0</v>
      </c>
    </row>
    <row r="13190" spans="1:4" x14ac:dyDescent="0.25">
      <c r="A13190" t="str">
        <f>HYPERLINK("https://www.773grp.com/globalSearch/BUK209-50Y127/page-1", "BUK209-50Y127")</f>
        <v>BUK209-50Y127</v>
      </c>
      <c r="B13190" s="3" t="str">
        <f>HYPERLINK("https://www.773grp.com/manufacturer/nxp-semiconductor?pageNo=13", "NXP Semiconductors")</f>
        <v>NXP Semiconductors</v>
      </c>
      <c r="C13190" s="6">
        <v>371</v>
      </c>
      <c r="D13190" s="7">
        <v>0</v>
      </c>
    </row>
    <row r="13191" spans="1:4" x14ac:dyDescent="0.25">
      <c r="A13191" t="str">
        <f>HYPERLINK("https://www.773grp.com/globalSearch/BUK218-50DC118/page-1", "BUK218-50DC118")</f>
        <v>BUK218-50DC118</v>
      </c>
      <c r="B13191" s="3" t="str">
        <f>HYPERLINK("https://www.773grp.com/manufacturer/nxp-semiconductor?pageNo=14", "NXP Semiconductors")</f>
        <v>NXP Semiconductors</v>
      </c>
      <c r="C13191" s="6">
        <v>5500</v>
      </c>
      <c r="D13191" s="7">
        <v>0</v>
      </c>
    </row>
    <row r="13192" spans="1:4" x14ac:dyDescent="0.25">
      <c r="A13192" t="str">
        <f>HYPERLINK("https://www.773grp.com/globalSearch/BUK36E3R3-40C127/page-1", "BUK36E3R3-40C127")</f>
        <v>BUK36E3R3-40C127</v>
      </c>
      <c r="B13192" s="3" t="str">
        <f>HYPERLINK("https://www.773grp.com/manufacturer/nxp-semiconductor?pageNo=15", "NXP Semiconductors")</f>
        <v>NXP Semiconductors</v>
      </c>
      <c r="C13192" s="6">
        <v>1</v>
      </c>
      <c r="D13192" s="7">
        <v>0</v>
      </c>
    </row>
    <row r="13193" spans="1:4" x14ac:dyDescent="0.25">
      <c r="A13193" t="str">
        <f>HYPERLINK("https://www.773grp.com/globalSearch/BUK625RO-40C118/page-1", "BUK625RO-40C118")</f>
        <v>BUK625RO-40C118</v>
      </c>
      <c r="B13193" s="3" t="str">
        <f>HYPERLINK("https://www.773grp.com/manufacturer/nxp-semiconductor?pageNo=16", "NXP Semiconductors")</f>
        <v>NXP Semiconductors</v>
      </c>
      <c r="C13193" s="6">
        <v>38</v>
      </c>
      <c r="D13193" s="7">
        <v>0</v>
      </c>
    </row>
    <row r="13194" spans="1:4" x14ac:dyDescent="0.25">
      <c r="A13194" t="str">
        <f>HYPERLINK("https://www.773grp.com/globalSearch/BUK652RO-30C127/page-1", "BUK652RO-30C127")</f>
        <v>BUK652RO-30C127</v>
      </c>
      <c r="B13194" s="3" t="str">
        <f>HYPERLINK("https://www.773grp.com/manufacturer/nxp-semiconductor?pageNo=17", "NXP Semiconductors")</f>
        <v>NXP Semiconductors</v>
      </c>
      <c r="C13194" s="6">
        <v>193</v>
      </c>
      <c r="D13194" s="7">
        <v>0</v>
      </c>
    </row>
    <row r="13195" spans="1:4" x14ac:dyDescent="0.25">
      <c r="A13195" t="str">
        <f>HYPERLINK("https://www.773grp.com/globalSearch/BUK653RS-55C/page-1", "BUK653RS-55C")</f>
        <v>BUK653RS-55C</v>
      </c>
      <c r="B13195" s="3" t="str">
        <f>HYPERLINK("https://www.773grp.com/manufacturer/nxp-semiconductor?pageNo=18", "NXP Semiconductors")</f>
        <v>NXP Semiconductors</v>
      </c>
      <c r="C13195" s="6">
        <v>15</v>
      </c>
      <c r="D13195" s="7">
        <v>0</v>
      </c>
    </row>
    <row r="13196" spans="1:4" x14ac:dyDescent="0.25">
      <c r="A13196" t="str">
        <f>HYPERLINK("https://www.773grp.com/globalSearch/BUK655RO-75C127/page-1", "BUK655RO-75C127")</f>
        <v>BUK655RO-75C127</v>
      </c>
      <c r="B13196" s="3" t="str">
        <f>HYPERLINK("https://www.773grp.com/manufacturer/nxp-semiconductor?pageNo=19", "NXP Semiconductors")</f>
        <v>NXP Semiconductors</v>
      </c>
      <c r="C13196" s="6">
        <v>72</v>
      </c>
      <c r="D13196" s="7">
        <v>0</v>
      </c>
    </row>
    <row r="13197" spans="1:4" x14ac:dyDescent="0.25">
      <c r="A13197" t="str">
        <f>HYPERLINK("https://www.773grp.com/globalSearch/BUK662R7-55C/page-1", "BUK662R7-55C")</f>
        <v>BUK662R7-55C</v>
      </c>
      <c r="B13197" s="3" t="str">
        <f>HYPERLINK("https://www.773grp.com/manufacturer/nxp-semiconductor?pageNo=20", "NXP Semiconductors")</f>
        <v>NXP Semiconductors</v>
      </c>
      <c r="C13197" s="6">
        <v>119</v>
      </c>
      <c r="D13197" s="7">
        <v>0</v>
      </c>
    </row>
    <row r="13198" spans="1:4" x14ac:dyDescent="0.25">
      <c r="A13198" t="str">
        <f>HYPERLINK("https://www.773grp.com/globalSearch/BUK761375118/page-1", "BUK761375118")</f>
        <v>BUK761375118</v>
      </c>
      <c r="B13198" s="3" t="str">
        <f>HYPERLINK("https://www.773grp.com/manufacturer/nxp-semiconductor?pageNo=21", "NXP Semiconductors")</f>
        <v>NXP Semiconductors</v>
      </c>
      <c r="C13198" s="6">
        <v>179</v>
      </c>
      <c r="D13198" s="7">
        <v>0</v>
      </c>
    </row>
    <row r="13199" spans="1:4" x14ac:dyDescent="0.25">
      <c r="A13199" t="str">
        <f>HYPERLINK("https://www.773grp.com/globalSearch/BUK9635-100A-118/page-1", "BUK9635-100A-118")</f>
        <v>BUK9635-100A-118</v>
      </c>
      <c r="B13199" s="3" t="str">
        <f>HYPERLINK("https://www.773grp.com/manufacturer/nxp-semiconductor?pageNo=22", "NXP Semiconductors")</f>
        <v>NXP Semiconductors</v>
      </c>
      <c r="C13199" s="6">
        <v>40</v>
      </c>
      <c r="D13199" s="7">
        <v>0</v>
      </c>
    </row>
    <row r="13200" spans="1:4" x14ac:dyDescent="0.25">
      <c r="A13200" t="str">
        <f>HYPERLINK("https://www.773grp.com/globalSearch/BY329-1500S127/page-1", "BY329-1500S127")</f>
        <v>BY329-1500S127</v>
      </c>
      <c r="B13200" s="3" t="str">
        <f>HYPERLINK("https://www.773grp.com/manufacturer/nxp-semiconductor?pageNo=23", "NXP Semiconductors")</f>
        <v>NXP Semiconductors</v>
      </c>
      <c r="C13200" s="6">
        <v>1000</v>
      </c>
      <c r="D13200" s="7">
        <v>0</v>
      </c>
    </row>
    <row r="13201" spans="1:4" x14ac:dyDescent="0.25">
      <c r="A13201" t="str">
        <f>HYPERLINK("https://www.773grp.com/globalSearch/BZB84-C51/page-1", "BZB84-C51")</f>
        <v>BZB84-C51</v>
      </c>
      <c r="B13201" s="3" t="str">
        <f>HYPERLINK("https://www.773grp.com/manufacturer/nxp-semiconductor?pageNo=24", "NXP Semiconductors")</f>
        <v>NXP Semiconductors</v>
      </c>
      <c r="C13201" s="6">
        <v>741</v>
      </c>
      <c r="D13201" s="7">
        <v>0</v>
      </c>
    </row>
    <row r="13202" spans="1:4" x14ac:dyDescent="0.25">
      <c r="A13202" t="str">
        <f>HYPERLINK("https://www.773grp.com/globalSearch/BZT52H-C33/page-1", "BZT52H-C33")</f>
        <v>BZT52H-C33</v>
      </c>
      <c r="B13202" s="3" t="str">
        <f>HYPERLINK("https://www.773grp.com/manufacturer/nxp-semiconductor?pageNo=25", "NXP Semiconductors")</f>
        <v>NXP Semiconductors</v>
      </c>
      <c r="C13202" s="6">
        <v>775</v>
      </c>
      <c r="D13202" s="7">
        <v>0</v>
      </c>
    </row>
    <row r="13203" spans="1:4" x14ac:dyDescent="0.25">
      <c r="A13203" t="str">
        <f>HYPERLINK("https://www.773grp.com/globalSearch/BZX79-C2V7/page-1", "BZX79-C2V7")</f>
        <v>BZX79-C2V7</v>
      </c>
      <c r="B13203" s="3" t="str">
        <f>HYPERLINK("https://www.773grp.com/manufacturer/nxp-semiconductor?pageNo=26", "NXP Semiconductors")</f>
        <v>NXP Semiconductors</v>
      </c>
      <c r="C13203" s="6">
        <v>10000</v>
      </c>
      <c r="D13203" s="7">
        <v>0</v>
      </c>
    </row>
    <row r="13204" spans="1:4" x14ac:dyDescent="0.25">
      <c r="A13204" t="str">
        <f>HYPERLINK("https://www.773grp.com/globalSearch/BZX84J-C27-L115/page-1", "BZX84J-C27-L115")</f>
        <v>BZX84J-C27-L115</v>
      </c>
      <c r="B13204" s="3" t="str">
        <f>HYPERLINK("https://www.773grp.com/manufacturer/nxp-semiconductor?pageNo=27", "NXP Semiconductors")</f>
        <v>NXP Semiconductors</v>
      </c>
      <c r="C13204" s="6">
        <v>18000</v>
      </c>
      <c r="D13204" s="7">
        <v>0</v>
      </c>
    </row>
    <row r="13205" spans="1:4" x14ac:dyDescent="0.25">
      <c r="A13205" t="str">
        <f>HYPERLINK("https://www.773grp.com/globalSearch/CE1539D518/page-1", "CE1539D518")</f>
        <v>CE1539D518</v>
      </c>
      <c r="B13205" s="3" t="str">
        <f>HYPERLINK("https://www.773grp.com/manufacturer/nxp-semiconductor?pageNo=28", "NXP Semiconductors")</f>
        <v>NXP Semiconductors</v>
      </c>
      <c r="C13205" s="6">
        <v>13000</v>
      </c>
      <c r="D13205" s="7">
        <v>0</v>
      </c>
    </row>
    <row r="13206" spans="1:4" x14ac:dyDescent="0.25">
      <c r="A13206" t="str">
        <f>HYPERLINK("https://www.773grp.com/globalSearch/CLF1G0060-10112/page-1", "CLF1G0060-10112")</f>
        <v>CLF1G0060-10112</v>
      </c>
      <c r="B13206" s="3" t="str">
        <f>HYPERLINK("https://www.773grp.com/manufacturer/nxp-semiconductor?pageNo=29", "NXP Semiconductors")</f>
        <v>NXP Semiconductors</v>
      </c>
      <c r="C13206" s="6">
        <v>50</v>
      </c>
      <c r="D13206" s="7">
        <v>0</v>
      </c>
    </row>
    <row r="13207" spans="1:4" x14ac:dyDescent="0.25">
      <c r="A13207" t="str">
        <f>HYPERLINK("https://www.773grp.com/globalSearch/CLRC63201T-0FE/page-1", "CLRC63201T-0FE")</f>
        <v>CLRC63201T-0FE</v>
      </c>
      <c r="B13207" s="3" t="str">
        <f>HYPERLINK("https://www.773grp.com/manufacturer/nxp-semiconductor?pageNo=30", "NXP Semiconductors")</f>
        <v>NXP Semiconductors</v>
      </c>
      <c r="C13207" s="6">
        <v>11</v>
      </c>
      <c r="D13207" s="7">
        <v>0</v>
      </c>
    </row>
    <row r="13208" spans="1:4" x14ac:dyDescent="0.25">
      <c r="A13208" t="str">
        <f>HYPERLINK("https://www.773grp.com/globalSearch/DAC1203D160HW-C1551/page-1", "DAC1203D160HW-C1551")</f>
        <v>DAC1203D160HW-C1551</v>
      </c>
      <c r="B13208" s="3" t="str">
        <f>HYPERLINK("https://www.773grp.com/manufacturer/nxp-semiconductor?pageNo=31", "NXP Semiconductors")</f>
        <v>NXP Semiconductors</v>
      </c>
      <c r="C13208" s="6">
        <v>102</v>
      </c>
      <c r="D13208" s="7">
        <v>0</v>
      </c>
    </row>
    <row r="13209" spans="1:4" x14ac:dyDescent="0.25">
      <c r="A13209" t="str">
        <f>HYPERLINK("https://www.773grp.com/globalSearch/DAC1403D160HW-C1551/page-1", "DAC1403D160HW-C1551")</f>
        <v>DAC1403D160HW-C1551</v>
      </c>
      <c r="B13209" s="3" t="str">
        <f>HYPERLINK("https://www.773grp.com/manufacturer/nxp-semiconductor?pageNo=32", "NXP Semiconductors")</f>
        <v>NXP Semiconductors</v>
      </c>
      <c r="C13209" s="6">
        <v>119</v>
      </c>
      <c r="D13209" s="7">
        <v>0</v>
      </c>
    </row>
    <row r="13210" spans="1:4" x14ac:dyDescent="0.25">
      <c r="A13210" t="str">
        <f>HYPERLINK("https://www.773grp.com/globalSearch/GTL2002DP-S440118/page-1", "GTL2002DP-S440118")</f>
        <v>GTL2002DP-S440118</v>
      </c>
      <c r="B13210" s="3" t="str">
        <f>HYPERLINK("https://www.773grp.com/manufacturer/nxp-semiconductor?pageNo=33", "NXP Semiconductors")</f>
        <v>NXP Semiconductors</v>
      </c>
      <c r="C13210" s="6">
        <v>485</v>
      </c>
      <c r="D13210" s="7">
        <v>0</v>
      </c>
    </row>
    <row r="13211" spans="1:4" x14ac:dyDescent="0.25">
      <c r="A13211" t="str">
        <f>HYPERLINK("https://www.773grp.com/globalSearch/HEF4046BT-S400118/page-1", "HEF4046BT-S400118")</f>
        <v>HEF4046BT-S400118</v>
      </c>
      <c r="B13211" s="3" t="str">
        <f>HYPERLINK("https://www.773grp.com/manufacturer/nxp-semiconductor?pageNo=34", "NXP Semiconductors")</f>
        <v>NXP Semiconductors</v>
      </c>
      <c r="C13211" s="6">
        <v>5000</v>
      </c>
      <c r="D13211" s="7">
        <v>0</v>
      </c>
    </row>
    <row r="13212" spans="1:4" x14ac:dyDescent="0.25">
      <c r="A13212" t="str">
        <f>HYPERLINK("https://www.773grp.com/globalSearch/IN4148113/page-1", "IN4148113")</f>
        <v>IN4148113</v>
      </c>
      <c r="B13212" s="3" t="str">
        <f>HYPERLINK("https://www.773grp.com/manufacturer/nxp-semiconductor?pageNo=35", "NXP Semiconductors")</f>
        <v>NXP Semiconductors</v>
      </c>
      <c r="C13212" s="6">
        <v>20000</v>
      </c>
      <c r="D13212" s="7">
        <v>0</v>
      </c>
    </row>
    <row r="13213" spans="1:4" x14ac:dyDescent="0.25">
      <c r="A13213" t="str">
        <f>HYPERLINK("https://www.773grp.com/globalSearch/IN4733A113/page-1", "IN4733A113")</f>
        <v>IN4733A113</v>
      </c>
      <c r="B13213" s="3" t="str">
        <f>HYPERLINK("https://www.773grp.com/manufacturer/nxp-semiconductor?pageNo=36", "NXP Semiconductors")</f>
        <v>NXP Semiconductors</v>
      </c>
      <c r="C13213" s="6">
        <v>5000</v>
      </c>
      <c r="D13213" s="7">
        <v>0</v>
      </c>
    </row>
    <row r="13214" spans="1:4" x14ac:dyDescent="0.25">
      <c r="A13214" t="str">
        <f>HYPERLINK("https://www.773grp.com/globalSearch/IP3047CX6135/page-1", "IP3047CX6135")</f>
        <v>IP3047CX6135</v>
      </c>
      <c r="B13214" s="3" t="str">
        <f>HYPERLINK("https://www.773grp.com/manufacturer/nxp-semiconductor?pageNo=37", "NXP Semiconductors")</f>
        <v>NXP Semiconductors</v>
      </c>
      <c r="C13214" s="6">
        <v>4500</v>
      </c>
      <c r="D13214" s="7">
        <v>0</v>
      </c>
    </row>
    <row r="13215" spans="1:4" x14ac:dyDescent="0.25">
      <c r="A13215" t="str">
        <f>HYPERLINK("https://www.773grp.com/globalSearch/IP3253CZ126-TTL1/page-1", "IP3253CZ126-TTL1")</f>
        <v>IP3253CZ126-TTL1</v>
      </c>
      <c r="B13215" s="3" t="str">
        <f>HYPERLINK("https://www.773grp.com/manufacturer/nxp-semiconductor?pageNo=38", "NXP Semiconductors")</f>
        <v>NXP Semiconductors</v>
      </c>
      <c r="C13215" s="6">
        <v>480</v>
      </c>
      <c r="D13215" s="7">
        <v>0</v>
      </c>
    </row>
    <row r="13216" spans="1:4" x14ac:dyDescent="0.25">
      <c r="A13216" t="str">
        <f>HYPERLINK("https://www.773grp.com/globalSearch/IP4035CX24-LF-P135/page-1", "IP4035CX24-LF-P135")</f>
        <v>IP4035CX24-LF-P135</v>
      </c>
      <c r="B13216" s="3" t="str">
        <f>HYPERLINK("https://www.773grp.com/manufacturer/nxp-semiconductor?pageNo=39", "NXP Semiconductors")</f>
        <v>NXP Semiconductors</v>
      </c>
      <c r="C13216" s="6">
        <v>13500</v>
      </c>
      <c r="D13216" s="7">
        <v>0</v>
      </c>
    </row>
    <row r="13217" spans="1:4" x14ac:dyDescent="0.25">
      <c r="A13217" t="str">
        <f>HYPERLINK("https://www.773grp.com/globalSearch/IP4041CX25-LF-P135/page-1", "IP4041CX25-LF-P135")</f>
        <v>IP4041CX25-LF-P135</v>
      </c>
      <c r="B13217" s="3" t="str">
        <f>HYPERLINK("https://www.773grp.com/manufacturer/nxp-semiconductor?pageNo=40", "NXP Semiconductors")</f>
        <v>NXP Semiconductors</v>
      </c>
      <c r="C13217" s="6">
        <v>4700</v>
      </c>
      <c r="D13217" s="7">
        <v>0</v>
      </c>
    </row>
    <row r="13218" spans="1:4" x14ac:dyDescent="0.25">
      <c r="A13218" t="str">
        <f>HYPERLINK("https://www.773grp.com/globalSearch/IP4043CX5-LF135/page-1", "IP4043CX5-LF135")</f>
        <v>IP4043CX5-LF135</v>
      </c>
      <c r="B13218" s="3" t="str">
        <f>HYPERLINK("https://www.773grp.com/manufacturer/nxp-semiconductor?pageNo=41", "NXP Semiconductors")</f>
        <v>NXP Semiconductors</v>
      </c>
      <c r="C13218" s="6">
        <v>26500</v>
      </c>
      <c r="D13218" s="7">
        <v>0</v>
      </c>
    </row>
    <row r="13219" spans="1:4" x14ac:dyDescent="0.25">
      <c r="A13219" t="str">
        <f>HYPERLINK("https://www.773grp.com/globalSearch/IP4251CZ12-6118/page-1", "IP4251CZ12-6118")</f>
        <v>IP4251CZ12-6118</v>
      </c>
      <c r="B13219" s="3" t="str">
        <f>HYPERLINK("https://www.773grp.com/manufacturer/nxp-semiconductor?pageNo=42", "NXP Semiconductors")</f>
        <v>NXP Semiconductors</v>
      </c>
      <c r="C13219" s="6">
        <v>4096</v>
      </c>
      <c r="D13219" s="7">
        <v>0</v>
      </c>
    </row>
    <row r="13220" spans="1:4" x14ac:dyDescent="0.25">
      <c r="A13220" t="str">
        <f>HYPERLINK("https://www.773grp.com/globalSearch/IP4252CZ12-6-TTL132/page-1", "IP4252CZ12-6-TTL132")</f>
        <v>IP4252CZ12-6-TTL132</v>
      </c>
      <c r="B13220" s="3" t="str">
        <f>HYPERLINK("https://www.773grp.com/manufacturer/nxp-semiconductor?pageNo=43", "NXP Semiconductors")</f>
        <v>NXP Semiconductors</v>
      </c>
      <c r="C13220" s="6">
        <v>199</v>
      </c>
      <c r="D13220" s="7">
        <v>0</v>
      </c>
    </row>
    <row r="13221" spans="1:4" x14ac:dyDescent="0.25">
      <c r="A13221" t="str">
        <f>HYPERLINK("https://www.773grp.com/globalSearch/IP4252CZ8-4/page-1", "IP4252CZ8-4")</f>
        <v>IP4252CZ8-4</v>
      </c>
      <c r="B13221" s="3" t="str">
        <f>HYPERLINK("https://www.773grp.com/manufacturer/nxp-semiconductor?pageNo=44", "NXP Semiconductors")</f>
        <v>NXP Semiconductors</v>
      </c>
      <c r="C13221" s="6">
        <v>300</v>
      </c>
      <c r="D13221" s="7">
        <v>0</v>
      </c>
    </row>
    <row r="13222" spans="1:4" x14ac:dyDescent="0.25">
      <c r="A13222" t="str">
        <f>HYPERLINK("https://www.773grp.com/globalSearch/IP4253CZ16-8118/page-1", "IP4253CZ16-8118")</f>
        <v>IP4253CZ16-8118</v>
      </c>
      <c r="B13222" s="3" t="str">
        <f>HYPERLINK("https://www.773grp.com/manufacturer/nxp-semiconductor?pageNo=45", "NXP Semiconductors")</f>
        <v>NXP Semiconductors</v>
      </c>
      <c r="C13222" s="6">
        <v>8050</v>
      </c>
      <c r="D13222" s="7">
        <v>0</v>
      </c>
    </row>
    <row r="13223" spans="1:4" x14ac:dyDescent="0.25">
      <c r="A13223" t="str">
        <f>HYPERLINK("https://www.773grp.com/globalSearch/IP4253CZ8-4118/page-1", "IP4253CZ8-4118")</f>
        <v>IP4253CZ8-4118</v>
      </c>
      <c r="B13223" s="3" t="str">
        <f>HYPERLINK("https://www.773grp.com/manufacturer/nxp-semiconductor?pageNo=46", "NXP Semiconductors")</f>
        <v>NXP Semiconductors</v>
      </c>
      <c r="C13223" s="6">
        <v>7139</v>
      </c>
      <c r="D13223" s="7">
        <v>0</v>
      </c>
    </row>
    <row r="13224" spans="1:4" x14ac:dyDescent="0.25">
      <c r="A13224" t="str">
        <f>HYPERLINK("https://www.773grp.com/globalSearch/IP4253CZ8-4132/page-1", "IP4253CZ8-4132")</f>
        <v>IP4253CZ8-4132</v>
      </c>
      <c r="B13224" s="3" t="str">
        <f>HYPERLINK("https://www.773grp.com/manufacturer/nxp-semiconductor?pageNo=47", "NXP Semiconductors")</f>
        <v>NXP Semiconductors</v>
      </c>
      <c r="C13224" s="6">
        <v>100</v>
      </c>
      <c r="D13224" s="7">
        <v>0</v>
      </c>
    </row>
    <row r="13225" spans="1:4" x14ac:dyDescent="0.25">
      <c r="A13225" t="str">
        <f>HYPERLINK("https://www.773grp.com/globalSearch/IP4254CZ8-4/page-1", "IP4254CZ8-4")</f>
        <v>IP4254CZ8-4</v>
      </c>
      <c r="B13225" s="3" t="str">
        <f>HYPERLINK("https://www.773grp.com/manufacturer/nxp-semiconductor?pageNo=48", "NXP Semiconductors")</f>
        <v>NXP Semiconductors</v>
      </c>
      <c r="C13225" s="6">
        <v>338</v>
      </c>
      <c r="D13225" s="7">
        <v>0</v>
      </c>
    </row>
    <row r="13226" spans="1:4" x14ac:dyDescent="0.25">
      <c r="A13226" t="str">
        <f>HYPERLINK("https://www.773grp.com/globalSearch/IP4254CZ8-4118/page-1", "IP4254CZ8-4118")</f>
        <v>IP4254CZ8-4118</v>
      </c>
      <c r="B13226" s="3" t="str">
        <f>HYPERLINK("https://www.773grp.com/manufacturer/nxp-semiconductor?pageNo=1", "NXP Semiconductors")</f>
        <v>NXP Semiconductors</v>
      </c>
      <c r="C13226" s="6">
        <v>40000</v>
      </c>
      <c r="D13226" s="7">
        <v>0</v>
      </c>
    </row>
    <row r="13227" spans="1:4" x14ac:dyDescent="0.25">
      <c r="A13227" t="str">
        <f>HYPERLINK("https://www.773grp.com/globalSearch/IP4338CX24-LF-P135/page-1", "IP4338CX24-LF-P135")</f>
        <v>IP4338CX24-LF-P135</v>
      </c>
      <c r="B13227" s="3" t="str">
        <f>HYPERLINK("https://www.773grp.com/manufacturer/nxp-semiconductor?pageNo=2", "NXP Semiconductors")</f>
        <v>NXP Semiconductors</v>
      </c>
      <c r="C13227" s="6">
        <v>4500</v>
      </c>
      <c r="D13227" s="7">
        <v>0</v>
      </c>
    </row>
    <row r="13228" spans="1:4" x14ac:dyDescent="0.25">
      <c r="A13228" t="str">
        <f>HYPERLINK("https://www.773grp.com/globalSearch/IP4359CX4-OLF135/page-1", "IP4359CX4-OLF135")</f>
        <v>IP4359CX4-OLF135</v>
      </c>
      <c r="B13228" s="3" t="str">
        <f>HYPERLINK("https://www.773grp.com/manufacturer/nxp-semiconductor?pageNo=3", "NXP Semiconductors")</f>
        <v>NXP Semiconductors</v>
      </c>
      <c r="C13228" s="6">
        <v>4500</v>
      </c>
      <c r="D13228" s="7">
        <v>0</v>
      </c>
    </row>
    <row r="13229" spans="1:4" x14ac:dyDescent="0.25">
      <c r="A13229" t="str">
        <f>HYPERLINK("https://www.773grp.com/globalSearch/IP4778CZ38118/page-1", "IP4778CZ38118")</f>
        <v>IP4778CZ38118</v>
      </c>
      <c r="B13229" s="3" t="str">
        <f>HYPERLINK("https://www.773grp.com/manufacturer/nxp-semiconductor?pageNo=4", "NXP Semiconductors")</f>
        <v>NXP Semiconductors</v>
      </c>
      <c r="C13229" s="6">
        <v>90</v>
      </c>
      <c r="D13229" s="7">
        <v>0</v>
      </c>
    </row>
    <row r="13230" spans="1:4" x14ac:dyDescent="0.25">
      <c r="A13230" t="str">
        <f>HYPERLINK("https://www.773grp.com/globalSearch/IP5311CX5-LF-P135/page-1", "IP5311CX5-LF-P135")</f>
        <v>IP5311CX5-LF-P135</v>
      </c>
      <c r="B13230" s="3" t="str">
        <f>HYPERLINK("https://www.773grp.com/manufacturer/nxp-semiconductor?pageNo=5", "NXP Semiconductors")</f>
        <v>NXP Semiconductors</v>
      </c>
      <c r="C13230" s="6">
        <v>185</v>
      </c>
      <c r="D13230" s="7">
        <v>0</v>
      </c>
    </row>
    <row r="13231" spans="1:4" x14ac:dyDescent="0.25">
      <c r="A13231" t="str">
        <f>HYPERLINK("https://www.773grp.com/globalSearch/JENNET-IP-EK040596/page-1", "JENNET-IP-EK040596")</f>
        <v>JENNET-IP-EK040596</v>
      </c>
      <c r="B13231" s="3" t="str">
        <f>HYPERLINK("https://www.773grp.com/manufacturer/nxp-semiconductor?pageNo=6", "NXP Semiconductors")</f>
        <v>NXP Semiconductors</v>
      </c>
      <c r="C13231" s="6">
        <v>1</v>
      </c>
      <c r="D13231" s="7">
        <v>0</v>
      </c>
    </row>
    <row r="13232" spans="1:4" x14ac:dyDescent="0.25">
      <c r="A13232" t="str">
        <f>HYPERLINK("https://www.773grp.com/globalSearch/JN5139-001-M00RIT/page-1", "JN5139-001-M00RIT")</f>
        <v>JN5139-001-M00RIT</v>
      </c>
      <c r="B13232" s="3" t="str">
        <f>HYPERLINK("https://www.773grp.com/manufacturer/nxp-semiconductor?pageNo=7", "NXP Semiconductors")</f>
        <v>NXP Semiconductors</v>
      </c>
      <c r="C13232" s="6">
        <v>12</v>
      </c>
      <c r="D13232" s="7">
        <v>0</v>
      </c>
    </row>
    <row r="13233" spans="1:4" x14ac:dyDescent="0.25">
      <c r="A13233" t="str">
        <f>HYPERLINK("https://www.773grp.com/globalSearch/JN5139-T01-M-C14T534/page-1", "JN5139-T01-M-C14T534")</f>
        <v>JN5139-T01-M-C14T534</v>
      </c>
      <c r="B13233" s="3" t="str">
        <f>HYPERLINK("https://www.773grp.com/manufacturer/nxp-semiconductor?pageNo=8", "NXP Semiconductors")</f>
        <v>NXP Semiconductors</v>
      </c>
      <c r="C13233" s="6">
        <v>3000</v>
      </c>
      <c r="D13233" s="7">
        <v>0</v>
      </c>
    </row>
    <row r="13234" spans="1:4" x14ac:dyDescent="0.25">
      <c r="A13234" t="str">
        <f>HYPERLINK("https://www.773grp.com/globalSearch/JN5142N-001515/page-1", "JN5142N-001515")</f>
        <v>JN5142N-001515</v>
      </c>
      <c r="B13234" s="3" t="str">
        <f>HYPERLINK("https://www.773grp.com/manufacturer/nxp-semiconductor?pageNo=9", "NXP Semiconductors")</f>
        <v>NXP Semiconductors</v>
      </c>
      <c r="C13234" s="6">
        <v>2000</v>
      </c>
      <c r="D13234" s="7">
        <v>0</v>
      </c>
    </row>
    <row r="13235" spans="1:4" x14ac:dyDescent="0.25">
      <c r="A13235" t="str">
        <f>HYPERLINK("https://www.773grp.com/globalSearch/JN5168-001-M03534/page-1", "JN5168-001-M03534")</f>
        <v>JN5168-001-M03534</v>
      </c>
      <c r="B13235" s="3" t="str">
        <f>HYPERLINK("https://www.773grp.com/manufacturer/nxp-semiconductor?pageNo=10", "NXP Semiconductors")</f>
        <v>NXP Semiconductors</v>
      </c>
      <c r="C13235" s="6">
        <v>400</v>
      </c>
      <c r="D13235" s="7">
        <v>0</v>
      </c>
    </row>
    <row r="13236" spans="1:4" x14ac:dyDescent="0.25">
      <c r="A13236" t="str">
        <f>HYPERLINK("https://www.773grp.com/globalSearch/LD6805K-12115/page-1", "LD6805K-12115")</f>
        <v>LD6805K-12115</v>
      </c>
      <c r="B13236" s="3" t="str">
        <f>HYPERLINK("https://www.773grp.com/manufacturer/nxp-semiconductor?pageNo=11", "NXP Semiconductors")</f>
        <v>NXP Semiconductors</v>
      </c>
      <c r="C13236" s="6">
        <v>250</v>
      </c>
      <c r="D13236" s="7">
        <v>0</v>
      </c>
    </row>
    <row r="13237" spans="1:4" x14ac:dyDescent="0.25">
      <c r="A13237" t="str">
        <f>HYPERLINK("https://www.773grp.com/globalSearch/LH79520N0Q000B1557/page-1", "LH79520N0Q000B1557")</f>
        <v>LH79520N0Q000B1557</v>
      </c>
      <c r="B13237" s="3" t="str">
        <f>HYPERLINK("https://www.773grp.com/manufacturer/nxp-semiconductor?pageNo=12", "NXP Semiconductors")</f>
        <v>NXP Semiconductors</v>
      </c>
      <c r="C13237" s="6">
        <v>6900</v>
      </c>
      <c r="D13237" s="7">
        <v>0</v>
      </c>
    </row>
    <row r="13238" spans="1:4" x14ac:dyDescent="0.25">
      <c r="A13238" t="str">
        <f>HYPERLINK("https://www.773grp.com/globalSearch/LH7A400N0G000B555/page-1", "LH7A400N0G000B555")</f>
        <v>LH7A400N0G000B555</v>
      </c>
      <c r="B13238" s="3" t="str">
        <f>HYPERLINK("https://www.773grp.com/manufacturer/nxp-semiconductor?pageNo=13", "NXP Semiconductors")</f>
        <v>NXP Semiconductors</v>
      </c>
      <c r="C13238" s="6">
        <v>200</v>
      </c>
      <c r="D13238" s="7">
        <v>0</v>
      </c>
    </row>
    <row r="13239" spans="1:4" x14ac:dyDescent="0.25">
      <c r="A13239" t="str">
        <f>HYPERLINK("https://www.773grp.com/globalSearch/LH7A404N0F000B3557/page-1", "LH7A404N0F000B3557")</f>
        <v>LH7A404N0F000B3557</v>
      </c>
      <c r="B13239" s="3" t="str">
        <f>HYPERLINK("https://www.773grp.com/manufacturer/nxp-semiconductor?pageNo=14", "NXP Semiconductors")</f>
        <v>NXP Semiconductors</v>
      </c>
      <c r="C13239" s="6">
        <v>450</v>
      </c>
      <c r="D13239" s="7">
        <v>0</v>
      </c>
    </row>
    <row r="13240" spans="1:4" x14ac:dyDescent="0.25">
      <c r="A13240" t="str">
        <f>HYPERLINK("https://www.773grp.com/globalSearch/LPC1111FDH20-002518/page-1", "LPC1111FDH20-002518")</f>
        <v>LPC1111FDH20-002518</v>
      </c>
      <c r="B13240" s="3" t="str">
        <f>HYPERLINK("https://www.773grp.com/manufacturer/nxp-semiconductor?pageNo=15", "NXP Semiconductors")</f>
        <v>NXP Semiconductors</v>
      </c>
      <c r="C13240" s="6">
        <v>2500</v>
      </c>
      <c r="D13240" s="7">
        <v>0</v>
      </c>
    </row>
    <row r="13241" spans="1:4" x14ac:dyDescent="0.25">
      <c r="A13241" t="str">
        <f>HYPERLINK("https://www.773grp.com/globalSearch/LPC1111FHN33-101551/page-1", "LPC1111FHN33-101551")</f>
        <v>LPC1111FHN33-101551</v>
      </c>
      <c r="B13241" s="3" t="str">
        <f>HYPERLINK("https://www.773grp.com/manufacturer/nxp-semiconductor?pageNo=16", "NXP Semiconductors")</f>
        <v>NXP Semiconductors</v>
      </c>
      <c r="C13241" s="6">
        <v>15695</v>
      </c>
      <c r="D13241" s="7">
        <v>0</v>
      </c>
    </row>
    <row r="13242" spans="1:4" x14ac:dyDescent="0.25">
      <c r="A13242" t="str">
        <f>HYPERLINK("https://www.773grp.com/globalSearch/LPC1111FHN33-103551/page-1", "LPC1111FHN33-103551")</f>
        <v>LPC1111FHN33-103551</v>
      </c>
      <c r="B13242" s="3" t="str">
        <f>HYPERLINK("https://www.773grp.com/manufacturer/nxp-semiconductor?pageNo=17", "NXP Semiconductors")</f>
        <v>NXP Semiconductors</v>
      </c>
      <c r="C13242" s="6">
        <v>10660</v>
      </c>
      <c r="D13242" s="7">
        <v>0</v>
      </c>
    </row>
    <row r="13243" spans="1:4" x14ac:dyDescent="0.25">
      <c r="A13243" t="str">
        <f>HYPERLINK("https://www.773grp.com/globalSearch/LPC1111FHN331035/page-1", "LPC1111FHN331035")</f>
        <v>LPC1111FHN331035</v>
      </c>
      <c r="B13243" s="3" t="str">
        <f>HYPERLINK("https://www.773grp.com/manufacturer/nxp-semiconductor?pageNo=18", "NXP Semiconductors")</f>
        <v>NXP Semiconductors</v>
      </c>
      <c r="C13243" s="6">
        <v>210</v>
      </c>
      <c r="D13243" s="7">
        <v>0</v>
      </c>
    </row>
    <row r="13244" spans="1:4" x14ac:dyDescent="0.25">
      <c r="A13244" t="str">
        <f>HYPERLINK("https://www.773grp.com/globalSearch/LPC1112FHN33-102551/page-1", "LPC1112FHN33-102551")</f>
        <v>LPC1112FHN33-102551</v>
      </c>
      <c r="B13244" s="3" t="str">
        <f>HYPERLINK("https://www.773grp.com/manufacturer/nxp-semiconductor?pageNo=19", "NXP Semiconductors")</f>
        <v>NXP Semiconductors</v>
      </c>
      <c r="C13244" s="6">
        <v>1560</v>
      </c>
      <c r="D13244" s="7">
        <v>0</v>
      </c>
    </row>
    <row r="13245" spans="1:4" x14ac:dyDescent="0.25">
      <c r="A13245" t="str">
        <f>HYPERLINK("https://www.773grp.com/globalSearch/LPC1112FHN33-201551/page-1", "LPC1112FHN33-201551")</f>
        <v>LPC1112FHN33-201551</v>
      </c>
      <c r="B13245" s="3" t="str">
        <f>HYPERLINK("https://www.773grp.com/manufacturer/nxp-semiconductor?pageNo=20", "NXP Semiconductors")</f>
        <v>NXP Semiconductors</v>
      </c>
      <c r="C13245" s="6">
        <v>75</v>
      </c>
      <c r="D13245" s="7">
        <v>0</v>
      </c>
    </row>
    <row r="13246" spans="1:4" x14ac:dyDescent="0.25">
      <c r="A13246" t="str">
        <f>HYPERLINK("https://www.773grp.com/globalSearch/LPC1113FBD48-301151/page-1", "LPC1113FBD48-301151")</f>
        <v>LPC1113FBD48-301151</v>
      </c>
      <c r="B13246" s="3" t="str">
        <f>HYPERLINK("https://www.773grp.com/manufacturer/nxp-semiconductor?pageNo=21", "NXP Semiconductors")</f>
        <v>NXP Semiconductors</v>
      </c>
      <c r="C13246" s="6">
        <v>207</v>
      </c>
      <c r="D13246" s="7">
        <v>0</v>
      </c>
    </row>
    <row r="13247" spans="1:4" x14ac:dyDescent="0.25">
      <c r="A13247" t="str">
        <f>HYPERLINK("https://www.773grp.com/globalSearch/LPC1113FBD48-303151/page-1", "LPC1113FBD48-303151")</f>
        <v>LPC1113FBD48-303151</v>
      </c>
      <c r="B13247" s="3" t="str">
        <f>HYPERLINK("https://www.773grp.com/manufacturer/nxp-semiconductor?pageNo=22", "NXP Semiconductors")</f>
        <v>NXP Semiconductors</v>
      </c>
      <c r="C13247" s="6">
        <v>250</v>
      </c>
      <c r="D13247" s="7">
        <v>0</v>
      </c>
    </row>
    <row r="13248" spans="1:4" x14ac:dyDescent="0.25">
      <c r="A13248" t="str">
        <f>HYPERLINK("https://www.773grp.com/globalSearch/LPC1113FHN33-202551/page-1", "LPC1113FHN33-202551")</f>
        <v>LPC1113FHN33-202551</v>
      </c>
      <c r="B13248" s="3" t="str">
        <f>HYPERLINK("https://www.773grp.com/manufacturer/nxp-semiconductor?pageNo=23", "NXP Semiconductors")</f>
        <v>NXP Semiconductors</v>
      </c>
      <c r="C13248" s="6">
        <v>1820</v>
      </c>
      <c r="D13248" s="7">
        <v>0</v>
      </c>
    </row>
    <row r="13249" spans="1:4" x14ac:dyDescent="0.25">
      <c r="A13249" t="str">
        <f>HYPERLINK("https://www.773grp.com/globalSearch/LPC1113FHN33-302551/page-1", "LPC1113FHN33-302551")</f>
        <v>LPC1113FHN33-302551</v>
      </c>
      <c r="B13249" s="3" t="str">
        <f>HYPERLINK("https://www.773grp.com/manufacturer/nxp-semiconductor?pageNo=24", "NXP Semiconductors")</f>
        <v>NXP Semiconductors</v>
      </c>
      <c r="C13249" s="6">
        <v>253</v>
      </c>
      <c r="D13249" s="7">
        <v>0</v>
      </c>
    </row>
    <row r="13250" spans="1:4" x14ac:dyDescent="0.25">
      <c r="A13250" t="str">
        <f>HYPERLINK("https://www.773grp.com/globalSearch/LPC1114FBD48-302151/page-1", "LPC1114FBD48-302151")</f>
        <v>LPC1114FBD48-302151</v>
      </c>
      <c r="B13250" s="3" t="str">
        <f>HYPERLINK("https://www.773grp.com/manufacturer/nxp-semiconductor?pageNo=25", "NXP Semiconductors")</f>
        <v>NXP Semiconductors</v>
      </c>
      <c r="C13250" s="6">
        <v>9277</v>
      </c>
      <c r="D13250" s="7">
        <v>0</v>
      </c>
    </row>
    <row r="13251" spans="1:4" x14ac:dyDescent="0.25">
      <c r="A13251" t="str">
        <f>HYPERLINK("https://www.773grp.com/globalSearch/LPC1114FBD48-303151/page-1", "LPC1114FBD48-303151")</f>
        <v>LPC1114FBD48-303151</v>
      </c>
      <c r="B13251" s="3" t="str">
        <f>HYPERLINK("https://www.773grp.com/manufacturer/nxp-semiconductor?pageNo=26", "NXP Semiconductors")</f>
        <v>NXP Semiconductors</v>
      </c>
      <c r="C13251" s="6">
        <v>4000</v>
      </c>
      <c r="D13251" s="7">
        <v>0</v>
      </c>
    </row>
    <row r="13252" spans="1:4" x14ac:dyDescent="0.25">
      <c r="A13252" t="str">
        <f>HYPERLINK("https://www.773grp.com/globalSearch/LPC1114FDH28-102518/page-1", "LPC1114FDH28-102518")</f>
        <v>LPC1114FDH28-102518</v>
      </c>
      <c r="B13252" s="3" t="str">
        <f>HYPERLINK("https://www.773grp.com/manufacturer/nxp-semiconductor?pageNo=27", "NXP Semiconductors")</f>
        <v>NXP Semiconductors</v>
      </c>
      <c r="C13252" s="6">
        <v>2500</v>
      </c>
      <c r="D13252" s="7">
        <v>0</v>
      </c>
    </row>
    <row r="13253" spans="1:4" x14ac:dyDescent="0.25">
      <c r="A13253" t="str">
        <f>HYPERLINK("https://www.773grp.com/globalSearch/LPC1114FHN33-202551/page-1", "LPC1114FHN33-202551")</f>
        <v>LPC1114FHN33-202551</v>
      </c>
      <c r="B13253" s="3" t="str">
        <f>HYPERLINK("https://www.773grp.com/manufacturer/nxp-semiconductor?pageNo=28", "NXP Semiconductors")</f>
        <v>NXP Semiconductors</v>
      </c>
      <c r="C13253" s="6">
        <v>780</v>
      </c>
      <c r="D13253" s="7">
        <v>0</v>
      </c>
    </row>
    <row r="13254" spans="1:4" x14ac:dyDescent="0.25">
      <c r="A13254" t="str">
        <f>HYPERLINK("https://www.773grp.com/globalSearch/LPC11A14FBD48-301151/page-1", "LPC11A14FBD48-301151")</f>
        <v>LPC11A14FBD48-301151</v>
      </c>
      <c r="B13254" s="3" t="str">
        <f>HYPERLINK("https://www.773grp.com/manufacturer/nxp-semiconductor?pageNo=29", "NXP Semiconductors")</f>
        <v>NXP Semiconductors</v>
      </c>
      <c r="C13254" s="6">
        <v>250</v>
      </c>
      <c r="D13254" s="7">
        <v>0</v>
      </c>
    </row>
    <row r="13255" spans="1:4" x14ac:dyDescent="0.25">
      <c r="A13255" t="str">
        <f>HYPERLINK("https://www.773grp.com/globalSearch/LPC11E11FHN33-101551/page-1", "LPC11E11FHN33-101551")</f>
        <v>LPC11E11FHN33-101551</v>
      </c>
      <c r="B13255" s="3" t="str">
        <f>HYPERLINK("https://www.773grp.com/manufacturer/nxp-semiconductor?pageNo=30", "NXP Semiconductors")</f>
        <v>NXP Semiconductors</v>
      </c>
      <c r="C13255" s="6">
        <v>750</v>
      </c>
      <c r="D13255" s="7">
        <v>0</v>
      </c>
    </row>
    <row r="13256" spans="1:4" x14ac:dyDescent="0.25">
      <c r="A13256" t="str">
        <f>HYPERLINK("https://www.773grp.com/globalSearch/LPC11E11FHN33101/page-1", "LPC11E11FHN33101")</f>
        <v>LPC11E11FHN33101</v>
      </c>
      <c r="B13256" s="3" t="str">
        <f>HYPERLINK("https://www.773grp.com/manufacturer/nxp-semiconductor?pageNo=31", "NXP Semiconductors")</f>
        <v>NXP Semiconductors</v>
      </c>
      <c r="C13256" s="6">
        <v>160</v>
      </c>
      <c r="D13256" s="7">
        <v>0</v>
      </c>
    </row>
    <row r="13257" spans="1:4" x14ac:dyDescent="0.25">
      <c r="A13257" t="str">
        <f>HYPERLINK("https://www.773grp.com/globalSearch/LPC11E12FBD48-201551/page-1", "LPC11E12FBD48-201551")</f>
        <v>LPC11E12FBD48-201551</v>
      </c>
      <c r="B13257" s="3" t="str">
        <f>HYPERLINK("https://www.773grp.com/manufacturer/nxp-semiconductor?pageNo=32", "NXP Semiconductors")</f>
        <v>NXP Semiconductors</v>
      </c>
      <c r="C13257" s="6">
        <v>706</v>
      </c>
      <c r="D13257" s="7">
        <v>0</v>
      </c>
    </row>
    <row r="13258" spans="1:4" x14ac:dyDescent="0.25">
      <c r="A13258" t="str">
        <f>HYPERLINK("https://www.773grp.com/globalSearch/LPC11E13FBD48301/page-1", "LPC11E13FBD48301")</f>
        <v>LPC11E13FBD48301</v>
      </c>
      <c r="B13258" s="3" t="str">
        <f>HYPERLINK("https://www.773grp.com/manufacturer/nxp-semiconductor?pageNo=33", "NXP Semiconductors")</f>
        <v>NXP Semiconductors</v>
      </c>
      <c r="C13258" s="6">
        <v>31</v>
      </c>
      <c r="D13258" s="7">
        <v>0</v>
      </c>
    </row>
    <row r="13259" spans="1:4" x14ac:dyDescent="0.25">
      <c r="A13259" t="str">
        <f>HYPERLINK("https://www.773grp.com/globalSearch/LPC11E14FBD64-401551/page-1", "LPC11E14FBD64-401551")</f>
        <v>LPC11E14FBD64-401551</v>
      </c>
      <c r="B13259" s="3" t="str">
        <f>HYPERLINK("https://www.773grp.com/manufacturer/nxp-semiconductor?pageNo=34", "NXP Semiconductors")</f>
        <v>NXP Semiconductors</v>
      </c>
      <c r="C13259" s="6">
        <v>320</v>
      </c>
      <c r="D13259" s="7">
        <v>0</v>
      </c>
    </row>
    <row r="13260" spans="1:4" x14ac:dyDescent="0.25">
      <c r="A13260" t="str">
        <f>HYPERLINK("https://www.773grp.com/globalSearch/LPC11E37HFBD64-401151/page-1", "LPC11E37HFBD64-401151")</f>
        <v>LPC11E37HFBD64-401151</v>
      </c>
      <c r="B13260" s="3" t="str">
        <f>HYPERLINK("https://www.773grp.com/manufacturer/nxp-semiconductor?pageNo=35", "NXP Semiconductors")</f>
        <v>NXP Semiconductors</v>
      </c>
      <c r="C13260" s="6">
        <v>640</v>
      </c>
      <c r="D13260" s="7">
        <v>0</v>
      </c>
    </row>
    <row r="13261" spans="1:4" x14ac:dyDescent="0.25">
      <c r="A13261" t="str">
        <f>HYPERLINK("https://www.773grp.com/globalSearch/LPC11U12FBD45-201/page-1", "LPC11U12FBD45-201")</f>
        <v>LPC11U12FBD45-201</v>
      </c>
      <c r="B13261" s="3" t="str">
        <f>HYPERLINK("https://www.773grp.com/manufacturer/nxp-semiconductor?pageNo=36", "NXP Semiconductors")</f>
        <v>NXP Semiconductors</v>
      </c>
      <c r="C13261" s="6">
        <v>239</v>
      </c>
      <c r="D13261" s="7">
        <v>0</v>
      </c>
    </row>
    <row r="13262" spans="1:4" x14ac:dyDescent="0.25">
      <c r="A13262" t="str">
        <f>HYPERLINK("https://www.773grp.com/globalSearch/LPC11U14FBD48-201151/page-1", "LPC11U14FBD48-201151")</f>
        <v>LPC11U14FBD48-201151</v>
      </c>
      <c r="B13262" s="3" t="str">
        <f>HYPERLINK("https://www.773grp.com/manufacturer/nxp-semiconductor?pageNo=37", "NXP Semiconductors")</f>
        <v>NXP Semiconductors</v>
      </c>
      <c r="C13262" s="6">
        <v>626</v>
      </c>
      <c r="D13262" s="7">
        <v>0</v>
      </c>
    </row>
    <row r="13263" spans="1:4" x14ac:dyDescent="0.25">
      <c r="A13263" t="str">
        <f>HYPERLINK("https://www.773grp.com/globalSearch/LPC11U14FET48-201151/page-1", "LPC11U14FET48-201151")</f>
        <v>LPC11U14FET48-201151</v>
      </c>
      <c r="B13263" s="3" t="str">
        <f>HYPERLINK("https://www.773grp.com/manufacturer/nxp-semiconductor?pageNo=38", "NXP Semiconductors")</f>
        <v>NXP Semiconductors</v>
      </c>
      <c r="C13263" s="6">
        <v>490</v>
      </c>
      <c r="D13263" s="7">
        <v>0</v>
      </c>
    </row>
    <row r="13264" spans="1:4" x14ac:dyDescent="0.25">
      <c r="A13264" t="str">
        <f>HYPERLINK("https://www.773grp.com/globalSearch/LPC11U14FHI33201/page-1", "LPC11U14FHI33201")</f>
        <v>LPC11U14FHI33201</v>
      </c>
      <c r="B13264" s="3" t="str">
        <f>HYPERLINK("https://www.773grp.com/manufacturer/nxp-semiconductor?pageNo=39", "NXP Semiconductors")</f>
        <v>NXP Semiconductors</v>
      </c>
      <c r="C13264" s="6">
        <v>602</v>
      </c>
      <c r="D13264" s="7">
        <v>0</v>
      </c>
    </row>
    <row r="13265" spans="1:4" x14ac:dyDescent="0.25">
      <c r="A13265" t="str">
        <f>HYPERLINK("https://www.773grp.com/globalSearch/LPC11U24FET48-301151/page-1", "LPC11U24FET48-301151")</f>
        <v>LPC11U24FET48-301151</v>
      </c>
      <c r="B13265" s="3" t="str">
        <f>HYPERLINK("https://www.773grp.com/manufacturer/nxp-semiconductor?pageNo=40", "NXP Semiconductors")</f>
        <v>NXP Semiconductors</v>
      </c>
      <c r="C13265" s="6">
        <v>490</v>
      </c>
      <c r="D13265" s="7">
        <v>0</v>
      </c>
    </row>
    <row r="13266" spans="1:4" x14ac:dyDescent="0.25">
      <c r="A13266" t="str">
        <f>HYPERLINK("https://www.773grp.com/globalSearch/LPC11U24FHI33301/page-1", "LPC11U24FHI33301")</f>
        <v>LPC11U24FHI33301</v>
      </c>
      <c r="B13266" s="3" t="str">
        <f>HYPERLINK("https://www.773grp.com/manufacturer/nxp-semiconductor?pageNo=41", "NXP Semiconductors")</f>
        <v>NXP Semiconductors</v>
      </c>
      <c r="C13266" s="6">
        <v>443</v>
      </c>
      <c r="D13266" s="7">
        <v>0</v>
      </c>
    </row>
    <row r="13267" spans="1:4" x14ac:dyDescent="0.25">
      <c r="A13267" t="str">
        <f>HYPERLINK("https://www.773grp.com/globalSearch/LPC11U24FHN33401551/page-1", "LPC11U24FHN33401551")</f>
        <v>LPC11U24FHN33401551</v>
      </c>
      <c r="B13267" s="3" t="str">
        <f>HYPERLINK("https://www.773grp.com/manufacturer/nxp-semiconductor?pageNo=42", "NXP Semiconductors")</f>
        <v>NXP Semiconductors</v>
      </c>
      <c r="C13267" s="6">
        <v>10</v>
      </c>
      <c r="D13267" s="7">
        <v>0</v>
      </c>
    </row>
    <row r="13268" spans="1:4" x14ac:dyDescent="0.25">
      <c r="A13268" t="str">
        <f>HYPERLINK("https://www.773grp.com/globalSearch/LPC11U37HFBD64-401151/page-1", "LPC11U37HFBD64-401151")</f>
        <v>LPC11U37HFBD64-401151</v>
      </c>
      <c r="B13268" s="3" t="str">
        <f>HYPERLINK("https://www.773grp.com/manufacturer/nxp-semiconductor?pageNo=43", "NXP Semiconductors")</f>
        <v>NXP Semiconductors</v>
      </c>
      <c r="C13268" s="6">
        <v>480</v>
      </c>
      <c r="D13268" s="7">
        <v>0</v>
      </c>
    </row>
    <row r="13269" spans="1:4" x14ac:dyDescent="0.25">
      <c r="A13269" t="str">
        <f>HYPERLINK("https://www.773grp.com/globalSearch/LPC1224FBD48-101151/page-1", "LPC1224FBD48-101151")</f>
        <v>LPC1224FBD48-101151</v>
      </c>
      <c r="B13269" s="3" t="str">
        <f>HYPERLINK("https://www.773grp.com/manufacturer/nxp-semiconductor?pageNo=44", "NXP Semiconductors")</f>
        <v>NXP Semiconductors</v>
      </c>
      <c r="C13269" s="6">
        <v>250</v>
      </c>
      <c r="D13269" s="7">
        <v>0</v>
      </c>
    </row>
    <row r="13270" spans="1:4" x14ac:dyDescent="0.25">
      <c r="A13270" t="str">
        <f>HYPERLINK("https://www.773grp.com/globalSearch/LPC1224FBD48-121151/page-1", "LPC1224FBD48-121151")</f>
        <v>LPC1224FBD48-121151</v>
      </c>
      <c r="B13270" s="3" t="str">
        <f>HYPERLINK("https://www.773grp.com/manufacturer/nxp-semiconductor?pageNo=45", "NXP Semiconductors")</f>
        <v>NXP Semiconductors</v>
      </c>
      <c r="C13270" s="6">
        <v>250</v>
      </c>
      <c r="D13270" s="7">
        <v>0</v>
      </c>
    </row>
    <row r="13271" spans="1:4" x14ac:dyDescent="0.25">
      <c r="A13271" t="str">
        <f>HYPERLINK("https://www.773grp.com/globalSearch/LPC1224FBD64-101151/page-1", "LPC1224FBD64-101151")</f>
        <v>LPC1224FBD64-101151</v>
      </c>
      <c r="B13271" s="3" t="str">
        <f>HYPERLINK("https://www.773grp.com/manufacturer/nxp-semiconductor?pageNo=46", "NXP Semiconductors")</f>
        <v>NXP Semiconductors</v>
      </c>
      <c r="C13271" s="6">
        <v>457</v>
      </c>
      <c r="D13271" s="7">
        <v>0</v>
      </c>
    </row>
    <row r="13272" spans="1:4" x14ac:dyDescent="0.25">
      <c r="A13272" t="str">
        <f>HYPERLINK("https://www.773grp.com/globalSearch/LPC1225FBD48-301.1/page-1", "LPC1225FBD48-301.1")</f>
        <v>LPC1225FBD48-301.1</v>
      </c>
      <c r="B13272" s="3" t="str">
        <f>HYPERLINK("https://www.773grp.com/manufacturer/nxp-semiconductor?pageNo=47", "NXP Semiconductors")</f>
        <v>NXP Semiconductors</v>
      </c>
      <c r="C13272" s="6">
        <v>74</v>
      </c>
      <c r="D13272" s="7">
        <v>0</v>
      </c>
    </row>
    <row r="13273" spans="1:4" x14ac:dyDescent="0.25">
      <c r="A13273" t="str">
        <f>HYPERLINK("https://www.773grp.com/globalSearch/LPC1225FBD48-321151/page-1", "LPC1225FBD48-321151")</f>
        <v>LPC1225FBD48-321151</v>
      </c>
      <c r="B13273" s="3" t="str">
        <f>HYPERLINK("https://www.773grp.com/manufacturer/nxp-semiconductor?pageNo=48", "NXP Semiconductors")</f>
        <v>NXP Semiconductors</v>
      </c>
      <c r="C13273" s="6">
        <v>250</v>
      </c>
      <c r="D13273" s="7">
        <v>0</v>
      </c>
    </row>
    <row r="13274" spans="1:4" x14ac:dyDescent="0.25">
      <c r="A13274" t="str">
        <f>HYPERLINK("https://www.773grp.com/globalSearch/LPC1226FBD64-301151/page-1", "LPC1226FBD64-301151")</f>
        <v>LPC1226FBD64-301151</v>
      </c>
      <c r="B13274" s="3" t="str">
        <f>HYPERLINK("https://www.773grp.com/manufacturer/nxp-semiconductor?pageNo=1", "NXP Semiconductors")</f>
        <v>NXP Semiconductors</v>
      </c>
      <c r="C13274" s="6">
        <v>150</v>
      </c>
      <c r="D13274" s="7">
        <v>0</v>
      </c>
    </row>
    <row r="13275" spans="1:4" x14ac:dyDescent="0.25">
      <c r="A13275" t="str">
        <f>HYPERLINK("https://www.773grp.com/globalSearch/LPC1227FBD64-301151/page-1", "LPC1227FBD64-301151")</f>
        <v>LPC1227FBD64-301151</v>
      </c>
      <c r="B13275" s="3" t="str">
        <f>HYPERLINK("https://www.773grp.com/manufacturer/nxp-semiconductor?pageNo=2", "NXP Semiconductors")</f>
        <v>NXP Semiconductors</v>
      </c>
      <c r="C13275" s="6">
        <v>800</v>
      </c>
      <c r="D13275" s="7">
        <v>0</v>
      </c>
    </row>
    <row r="13276" spans="1:4" x14ac:dyDescent="0.25">
      <c r="A13276" t="str">
        <f>HYPERLINK("https://www.773grp.com/globalSearch/LPC1313FBD48-01/page-1", "LPC1313FBD48-01")</f>
        <v>LPC1313FBD48-01</v>
      </c>
      <c r="B13276" s="3" t="str">
        <f>HYPERLINK("https://www.773grp.com/manufacturer/nxp-semiconductor?pageNo=3", "NXP Semiconductors")</f>
        <v>NXP Semiconductors</v>
      </c>
      <c r="C13276" s="6">
        <v>239</v>
      </c>
      <c r="D13276" s="7">
        <v>0</v>
      </c>
    </row>
    <row r="13277" spans="1:4" x14ac:dyDescent="0.25">
      <c r="A13277" t="str">
        <f>HYPERLINK("https://www.773grp.com/globalSearch/LPC1548JBD100551/page-1", "LPC1548JBD100551")</f>
        <v>LPC1548JBD100551</v>
      </c>
      <c r="B13277" s="3" t="str">
        <f>HYPERLINK("https://www.773grp.com/manufacturer/nxp-semiconductor?pageNo=4", "NXP Semiconductors")</f>
        <v>NXP Semiconductors</v>
      </c>
      <c r="C13277" s="6">
        <v>90</v>
      </c>
      <c r="D13277" s="7">
        <v>0</v>
      </c>
    </row>
    <row r="13278" spans="1:4" x14ac:dyDescent="0.25">
      <c r="A13278" t="str">
        <f>HYPERLINK("https://www.773grp.com/globalSearch/LPC1549JBD100551/page-1", "LPC1549JBD100551")</f>
        <v>LPC1549JBD100551</v>
      </c>
      <c r="B13278" s="3" t="str">
        <f>HYPERLINK("https://www.773grp.com/manufacturer/nxp-semiconductor?pageNo=5", "NXP Semiconductors")</f>
        <v>NXP Semiconductors</v>
      </c>
      <c r="C13278" s="6">
        <v>90</v>
      </c>
      <c r="D13278" s="7">
        <v>0</v>
      </c>
    </row>
    <row r="13279" spans="1:4" x14ac:dyDescent="0.25">
      <c r="A13279" t="str">
        <f>HYPERLINK("https://www.773grp.com/globalSearch/LPC181OFBD144551/page-1", "LPC181OFBD144551")</f>
        <v>LPC181OFBD144551</v>
      </c>
      <c r="B13279" s="3" t="str">
        <f>HYPERLINK("https://www.773grp.com/manufacturer/nxp-semiconductor?pageNo=6", "NXP Semiconductors")</f>
        <v>NXP Semiconductors</v>
      </c>
      <c r="C13279" s="6">
        <v>41</v>
      </c>
      <c r="D13279" s="7">
        <v>0</v>
      </c>
    </row>
    <row r="13280" spans="1:4" x14ac:dyDescent="0.25">
      <c r="A13280" t="str">
        <f>HYPERLINK("https://www.773grp.com/globalSearch/LPC2106FBD480115/page-1", "LPC2106FBD480115")</f>
        <v>LPC2106FBD480115</v>
      </c>
      <c r="B13280" s="3" t="str">
        <f>HYPERLINK("https://www.773grp.com/manufacturer/nxp-semiconductor?pageNo=7", "NXP Semiconductors")</f>
        <v>NXP Semiconductors</v>
      </c>
      <c r="C13280" s="6">
        <v>8</v>
      </c>
      <c r="D13280" s="7">
        <v>0</v>
      </c>
    </row>
    <row r="13281" spans="1:4" x14ac:dyDescent="0.25">
      <c r="A13281" t="str">
        <f>HYPERLINK("https://www.773grp.com/globalSearch/LPC2109FBD640115/page-1", "LPC2109FBD640115")</f>
        <v>LPC2109FBD640115</v>
      </c>
      <c r="B13281" s="3" t="str">
        <f>HYPERLINK("https://www.773grp.com/manufacturer/nxp-semiconductor?pageNo=8", "NXP Semiconductors")</f>
        <v>NXP Semiconductors</v>
      </c>
      <c r="C13281" s="6">
        <v>134</v>
      </c>
      <c r="D13281" s="7">
        <v>0</v>
      </c>
    </row>
    <row r="13282" spans="1:4" x14ac:dyDescent="0.25">
      <c r="A13282" t="str">
        <f>HYPERLINK("https://www.773grp.com/globalSearch/LPC2124FBD64-01151/page-1", "LPC2124FBD64-01151")</f>
        <v>LPC2124FBD64-01151</v>
      </c>
      <c r="B13282" s="3" t="str">
        <f>HYPERLINK("https://www.773grp.com/manufacturer/nxp-semiconductor?pageNo=9", "NXP Semiconductors")</f>
        <v>NXP Semiconductors</v>
      </c>
      <c r="C13282" s="6">
        <v>120</v>
      </c>
      <c r="D13282" s="7">
        <v>0</v>
      </c>
    </row>
    <row r="13283" spans="1:4" x14ac:dyDescent="0.25">
      <c r="A13283" t="str">
        <f>HYPERLINK("https://www.773grp.com/globalSearch/LPC2131FBD64-01151/page-1", "LPC2131FBD64-01151")</f>
        <v>LPC2131FBD64-01151</v>
      </c>
      <c r="B13283" s="3" t="str">
        <f>HYPERLINK("https://www.773grp.com/manufacturer/nxp-semiconductor?pageNo=10", "NXP Semiconductors")</f>
        <v>NXP Semiconductors</v>
      </c>
      <c r="C13283" s="6">
        <v>3200</v>
      </c>
      <c r="D13283" s="7">
        <v>0</v>
      </c>
    </row>
    <row r="13284" spans="1:4" x14ac:dyDescent="0.25">
      <c r="A13284" t="str">
        <f>HYPERLINK("https://www.773grp.com/globalSearch/LPC2136FBD64-0115/page-1", "LPC2136FBD64-0115")</f>
        <v>LPC2136FBD64-0115</v>
      </c>
      <c r="B13284" s="3" t="str">
        <f>HYPERLINK("https://www.773grp.com/manufacturer/nxp-semiconductor?pageNo=11", "NXP Semiconductors")</f>
        <v>NXP Semiconductors</v>
      </c>
      <c r="C13284" s="6">
        <v>44</v>
      </c>
      <c r="D13284" s="7">
        <v>0</v>
      </c>
    </row>
    <row r="13285" spans="1:4" x14ac:dyDescent="0.25">
      <c r="A13285" t="str">
        <f>HYPERLINK("https://www.773grp.com/globalSearch/LPC2138FBD640115/page-1", "LPC2138FBD640115")</f>
        <v>LPC2138FBD640115</v>
      </c>
      <c r="B13285" s="3" t="str">
        <f>HYPERLINK("https://www.773grp.com/manufacturer/nxp-semiconductor?pageNo=12", "NXP Semiconductors")</f>
        <v>NXP Semiconductors</v>
      </c>
      <c r="C13285" s="6">
        <v>122</v>
      </c>
      <c r="D13285" s="7">
        <v>0</v>
      </c>
    </row>
    <row r="13286" spans="1:4" x14ac:dyDescent="0.25">
      <c r="A13286" t="str">
        <f>HYPERLINK("https://www.773grp.com/globalSearch/LPC2290FBD144-01551/page-1", "LPC2290FBD144-01551")</f>
        <v>LPC2290FBD144-01551</v>
      </c>
      <c r="B13286" s="3" t="str">
        <f>HYPERLINK("https://www.773grp.com/manufacturer/nxp-semiconductor?pageNo=13", "NXP Semiconductors")</f>
        <v>NXP Semiconductors</v>
      </c>
      <c r="C13286" s="6">
        <v>37</v>
      </c>
      <c r="D13286" s="7">
        <v>0</v>
      </c>
    </row>
    <row r="13287" spans="1:4" x14ac:dyDescent="0.25">
      <c r="A13287" t="str">
        <f>HYPERLINK("https://www.773grp.com/globalSearch/LPC2366FBD100-CP3298551/page-1", "LPC2366FBD100-CP3298551")</f>
        <v>LPC2366FBD100-CP3298551</v>
      </c>
      <c r="B13287" s="3" t="str">
        <f>HYPERLINK("https://www.773grp.com/manufacturer/nxp-semiconductor?pageNo=14", "NXP Semiconductors")</f>
        <v>NXP Semiconductors</v>
      </c>
      <c r="C13287" s="6">
        <v>1440</v>
      </c>
      <c r="D13287" s="7">
        <v>0</v>
      </c>
    </row>
    <row r="13288" spans="1:4" x14ac:dyDescent="0.25">
      <c r="A13288" t="str">
        <f>HYPERLINK("https://www.773grp.com/globalSearch/LPC2366FBD100CP329/page-1", "LPC2366FBD100CP329")</f>
        <v>LPC2366FBD100CP329</v>
      </c>
      <c r="B13288" s="3" t="str">
        <f>HYPERLINK("https://www.773grp.com/manufacturer/nxp-semiconductor?pageNo=15", "NXP Semiconductors")</f>
        <v>NXP Semiconductors</v>
      </c>
      <c r="C13288" s="6">
        <v>89</v>
      </c>
      <c r="D13288" s="7">
        <v>0</v>
      </c>
    </row>
    <row r="13289" spans="1:4" x14ac:dyDescent="0.25">
      <c r="A13289" t="str">
        <f>HYPERLINK("https://www.773grp.com/globalSearch/LPC2917FBD144-01/page-1", "LPC2917FBD144-01")</f>
        <v>LPC2917FBD144-01</v>
      </c>
      <c r="B13289" s="3" t="str">
        <f>HYPERLINK("https://www.773grp.com/manufacturer/nxp-semiconductor?pageNo=16", "NXP Semiconductors")</f>
        <v>NXP Semiconductors</v>
      </c>
      <c r="C13289" s="6">
        <v>55</v>
      </c>
      <c r="D13289" s="7">
        <v>0</v>
      </c>
    </row>
    <row r="13290" spans="1:4" x14ac:dyDescent="0.25">
      <c r="A13290" t="str">
        <f>HYPERLINK("https://www.773grp.com/globalSearch/LPC2919FBD144-01/page-1", "LPC2919FBD144-01")</f>
        <v>LPC2919FBD144-01</v>
      </c>
      <c r="B13290" s="3" t="str">
        <f>HYPERLINK("https://www.773grp.com/manufacturer/nxp-semiconductor?pageNo=17", "NXP Semiconductors")</f>
        <v>NXP Semiconductors</v>
      </c>
      <c r="C13290" s="6">
        <v>42</v>
      </c>
      <c r="D13290" s="7">
        <v>0</v>
      </c>
    </row>
    <row r="13291" spans="1:4" x14ac:dyDescent="0.25">
      <c r="A13291" t="str">
        <f>HYPERLINK("https://www.773grp.com/globalSearch/LPC2919FBD144-01551/page-1", "LPC2919FBD144-01551")</f>
        <v>LPC2919FBD144-01551</v>
      </c>
      <c r="B13291" s="3" t="str">
        <f>HYPERLINK("https://www.773grp.com/manufacturer/nxp-semiconductor?pageNo=18", "NXP Semiconductors")</f>
        <v>NXP Semiconductors</v>
      </c>
      <c r="C13291" s="6">
        <v>37</v>
      </c>
      <c r="D13291" s="7">
        <v>0</v>
      </c>
    </row>
    <row r="13292" spans="1:4" x14ac:dyDescent="0.25">
      <c r="A13292" t="str">
        <f>HYPERLINK("https://www.773grp.com/globalSearch/LPC3180FEL320015/page-1", "LPC3180FEL320015")</f>
        <v>LPC3180FEL320015</v>
      </c>
      <c r="B13292" s="3" t="str">
        <f>HYPERLINK("https://www.773grp.com/manufacturer/nxp-semiconductor?pageNo=19", "NXP Semiconductors")</f>
        <v>NXP Semiconductors</v>
      </c>
      <c r="C13292" s="6">
        <v>3</v>
      </c>
      <c r="D13292" s="7">
        <v>0</v>
      </c>
    </row>
    <row r="13293" spans="1:4" x14ac:dyDescent="0.25">
      <c r="A13293" t="str">
        <f>HYPERLINK("https://www.773grp.com/globalSearch/LPC3240FET296-01551/page-1", "LPC3240FET296-01551")</f>
        <v>LPC3240FET296-01551</v>
      </c>
      <c r="B13293" s="3" t="str">
        <f>HYPERLINK("https://www.773grp.com/manufacturer/nxp-semiconductor?pageNo=20", "NXP Semiconductors")</f>
        <v>NXP Semiconductors</v>
      </c>
      <c r="C13293" s="6">
        <v>1764</v>
      </c>
      <c r="D13293" s="7">
        <v>0</v>
      </c>
    </row>
    <row r="13294" spans="1:4" x14ac:dyDescent="0.25">
      <c r="A13294" t="str">
        <f>HYPERLINK("https://www.773grp.com/globalSearch/LPC4370FET100551/page-1", "LPC4370FET100551")</f>
        <v>LPC4370FET100551</v>
      </c>
      <c r="B13294" s="3" t="str">
        <f>HYPERLINK("https://www.773grp.com/manufacturer/nxp-semiconductor?pageNo=21", "NXP Semiconductors")</f>
        <v>NXP Semiconductors</v>
      </c>
      <c r="C13294" s="6">
        <v>260</v>
      </c>
      <c r="D13294" s="7">
        <v>0</v>
      </c>
    </row>
    <row r="13295" spans="1:4" x14ac:dyDescent="0.25">
      <c r="A13295" t="str">
        <f>HYPERLINK("https://www.773grp.com/globalSearch/LPC4370FET256551/page-1", "LPC4370FET256551")</f>
        <v>LPC4370FET256551</v>
      </c>
      <c r="B13295" s="3" t="str">
        <f>HYPERLINK("https://www.773grp.com/manufacturer/nxp-semiconductor?pageNo=22", "NXP Semiconductors")</f>
        <v>NXP Semiconductors</v>
      </c>
      <c r="C13295" s="6">
        <v>180</v>
      </c>
      <c r="D13295" s="7">
        <v>0</v>
      </c>
    </row>
    <row r="13296" spans="1:4" x14ac:dyDescent="0.25">
      <c r="A13296" t="str">
        <f>HYPERLINK("https://www.773grp.com/globalSearch/LPC812M101JDH20129/page-1", "LPC812M101JDH20129")</f>
        <v>LPC812M101JDH20129</v>
      </c>
      <c r="B13296" s="3" t="str">
        <f>HYPERLINK("https://www.773grp.com/manufacturer/nxp-semiconductor?pageNo=23", "NXP Semiconductors")</f>
        <v>NXP Semiconductors</v>
      </c>
      <c r="C13296" s="6">
        <v>750</v>
      </c>
      <c r="D13296" s="7">
        <v>0</v>
      </c>
    </row>
    <row r="13297" spans="1:4" x14ac:dyDescent="0.25">
      <c r="A13297" t="str">
        <f>HYPERLINK("https://www.773grp.com/globalSearch/LTA301NT-N1518/page-1", "LTA301NT-N1518")</f>
        <v>LTA301NT-N1518</v>
      </c>
      <c r="B13297" s="3" t="str">
        <f>HYPERLINK("https://www.773grp.com/manufacturer/nxp-semiconductor?pageNo=24", "NXP Semiconductors")</f>
        <v>NXP Semiconductors</v>
      </c>
      <c r="C13297" s="6">
        <v>2500</v>
      </c>
      <c r="D13297" s="7">
        <v>0</v>
      </c>
    </row>
    <row r="13298" spans="1:4" x14ac:dyDescent="0.25">
      <c r="A13298" t="str">
        <f>HYPERLINK("https://www.773grp.com/globalSearch/LTA803NT-N1518/page-1", "LTA803NT-N1518")</f>
        <v>LTA803NT-N1518</v>
      </c>
      <c r="B13298" s="3" t="str">
        <f>HYPERLINK("https://www.773grp.com/manufacturer/nxp-semiconductor?pageNo=25", "NXP Semiconductors")</f>
        <v>NXP Semiconductors</v>
      </c>
      <c r="C13298" s="6">
        <v>7500</v>
      </c>
      <c r="D13298" s="7">
        <v>0</v>
      </c>
    </row>
    <row r="13299" spans="1:4" x14ac:dyDescent="0.25">
      <c r="A13299" t="str">
        <f>HYPERLINK("https://www.773grp.com/globalSearch/MFEV523598/page-1", "MFEV523598")</f>
        <v>MFEV523598</v>
      </c>
      <c r="B13299" s="3" t="str">
        <f>HYPERLINK("https://www.773grp.com/manufacturer/nxp-semiconductor?pageNo=26", "NXP Semiconductors")</f>
        <v>NXP Semiconductors</v>
      </c>
      <c r="C13299" s="6">
        <v>2</v>
      </c>
      <c r="D13299" s="7">
        <v>0</v>
      </c>
    </row>
    <row r="13300" spans="1:4" x14ac:dyDescent="0.25">
      <c r="A13300" t="str">
        <f>HYPERLINK("https://www.773grp.com/globalSearch/MPS3906126/page-1", "MPS3906126")</f>
        <v>MPS3906126</v>
      </c>
      <c r="B13300" s="3" t="str">
        <f>HYPERLINK("https://www.773grp.com/manufacturer/nxp-semiconductor?pageNo=27", "NXP Semiconductors")</f>
        <v>NXP Semiconductors</v>
      </c>
      <c r="C13300" s="6">
        <v>4000</v>
      </c>
      <c r="D13300" s="7">
        <v>0</v>
      </c>
    </row>
    <row r="13301" spans="1:4" x14ac:dyDescent="0.25">
      <c r="A13301" t="str">
        <f>HYPERLINK("https://www.773grp.com/globalSearch/N74F109D623/page-1", "N74F109D623")</f>
        <v>N74F109D623</v>
      </c>
      <c r="B13301" s="3" t="str">
        <f>HYPERLINK("https://www.773grp.com/manufacturer/nxp-semiconductor?pageNo=28", "NXP Semiconductors")</f>
        <v>NXP Semiconductors</v>
      </c>
      <c r="C13301" s="6">
        <v>7500</v>
      </c>
      <c r="D13301" s="7">
        <v>0</v>
      </c>
    </row>
    <row r="13302" spans="1:4" x14ac:dyDescent="0.25">
      <c r="A13302" t="str">
        <f>HYPERLINK("https://www.773grp.com/globalSearch/N74F109N602/page-1", "N74F109N602")</f>
        <v>N74F109N602</v>
      </c>
      <c r="B13302" s="3" t="str">
        <f>HYPERLINK("https://www.773grp.com/manufacturer/nxp-semiconductor?pageNo=29", "NXP Semiconductors")</f>
        <v>NXP Semiconductors</v>
      </c>
      <c r="C13302" s="6">
        <v>4000</v>
      </c>
      <c r="D13302" s="7">
        <v>0</v>
      </c>
    </row>
    <row r="13303" spans="1:4" x14ac:dyDescent="0.25">
      <c r="A13303" t="str">
        <f>HYPERLINK("https://www.773grp.com/globalSearch/N74F112N602/page-1", "N74F112N602")</f>
        <v>N74F112N602</v>
      </c>
      <c r="B13303" s="3" t="str">
        <f>HYPERLINK("https://www.773grp.com/manufacturer/nxp-semiconductor?pageNo=30", "NXP Semiconductors")</f>
        <v>NXP Semiconductors</v>
      </c>
      <c r="C13303" s="6">
        <v>2000</v>
      </c>
      <c r="D13303" s="7">
        <v>0</v>
      </c>
    </row>
    <row r="13304" spans="1:4" x14ac:dyDescent="0.25">
      <c r="A13304" t="str">
        <f>HYPERLINK("https://www.773grp.com/globalSearch/N74F158AD602/page-1", "N74F158AD602")</f>
        <v>N74F158AD602</v>
      </c>
      <c r="B13304" s="3" t="str">
        <f>HYPERLINK("https://www.773grp.com/manufacturer/nxp-semiconductor?pageNo=31", "NXP Semiconductors")</f>
        <v>NXP Semiconductors</v>
      </c>
      <c r="C13304" s="6">
        <v>4000</v>
      </c>
      <c r="D13304" s="7">
        <v>0</v>
      </c>
    </row>
    <row r="13305" spans="1:4" x14ac:dyDescent="0.25">
      <c r="A13305" t="str">
        <f>HYPERLINK("https://www.773grp.com/globalSearch/N74F243N602/page-1", "N74F243N602")</f>
        <v>N74F243N602</v>
      </c>
      <c r="B13305" s="3" t="str">
        <f>HYPERLINK("https://www.773grp.com/manufacturer/nxp-semiconductor?pageNo=32", "NXP Semiconductors")</f>
        <v>NXP Semiconductors</v>
      </c>
      <c r="C13305" s="6">
        <v>1000</v>
      </c>
      <c r="D13305" s="7">
        <v>0</v>
      </c>
    </row>
    <row r="13306" spans="1:4" x14ac:dyDescent="0.25">
      <c r="A13306" t="str">
        <f>HYPERLINK("https://www.773grp.com/globalSearch/N74F257AD6523/page-1", "N74F257AD6523")</f>
        <v>N74F257AD6523</v>
      </c>
      <c r="B13306" s="3" t="str">
        <f>HYPERLINK("https://www.773grp.com/manufacturer/nxp-semiconductor?pageNo=33", "NXP Semiconductors")</f>
        <v>NXP Semiconductors</v>
      </c>
      <c r="C13306" s="6">
        <v>2460</v>
      </c>
      <c r="D13306" s="7">
        <v>0</v>
      </c>
    </row>
    <row r="13307" spans="1:4" x14ac:dyDescent="0.25">
      <c r="A13307" t="str">
        <f>HYPERLINK("https://www.773grp.com/globalSearch/NE57811S-N1518/page-1", "NE57811S-N1518")</f>
        <v>NE57811S-N1518</v>
      </c>
      <c r="B13307" s="3" t="str">
        <f>HYPERLINK("https://www.773grp.com/manufacturer/nxp-semiconductor?pageNo=34", "NXP Semiconductors")</f>
        <v>NXP Semiconductors</v>
      </c>
      <c r="C13307" s="6">
        <v>8000</v>
      </c>
      <c r="D13307" s="7">
        <v>0</v>
      </c>
    </row>
    <row r="13308" spans="1:4" x14ac:dyDescent="0.25">
      <c r="A13308" t="str">
        <f>HYPERLINK("https://www.773grp.com/globalSearch/NT2H0301F0DTP147/page-1", "NT2H0301F0DTP147")</f>
        <v>NT2H0301F0DTP147</v>
      </c>
      <c r="B13308" s="3" t="str">
        <f>HYPERLINK("https://www.773grp.com/manufacturer/nxp-semiconductor?pageNo=35", "NXP Semiconductors")</f>
        <v>NXP Semiconductors</v>
      </c>
      <c r="C13308" s="6">
        <v>46000</v>
      </c>
      <c r="D13308" s="7">
        <v>0</v>
      </c>
    </row>
    <row r="13309" spans="1:4" x14ac:dyDescent="0.25">
      <c r="A13309" t="str">
        <f>HYPERLINK("https://www.773grp.com/globalSearch/NX1117CE12Z115/page-1", "NX1117CE12Z115")</f>
        <v>NX1117CE12Z115</v>
      </c>
      <c r="B13309" s="3" t="str">
        <f>HYPERLINK("https://www.773grp.com/manufacturer/nxp-semiconductor?pageNo=36", "NXP Semiconductors")</f>
        <v>NXP Semiconductors</v>
      </c>
      <c r="C13309" s="6">
        <v>3000</v>
      </c>
      <c r="D13309" s="7">
        <v>0</v>
      </c>
    </row>
    <row r="13310" spans="1:4" x14ac:dyDescent="0.25">
      <c r="A13310" t="str">
        <f>HYPERLINK("https://www.773grp.com/globalSearch/NX1117CE15Z115/page-1", "NX1117CE15Z115")</f>
        <v>NX1117CE15Z115</v>
      </c>
      <c r="B13310" s="3" t="str">
        <f>HYPERLINK("https://www.773grp.com/manufacturer/nxp-semiconductor?pageNo=37", "NXP Semiconductors")</f>
        <v>NXP Semiconductors</v>
      </c>
      <c r="C13310" s="6">
        <v>11294</v>
      </c>
      <c r="D13310" s="7">
        <v>0</v>
      </c>
    </row>
    <row r="13311" spans="1:4" x14ac:dyDescent="0.25">
      <c r="A13311" t="str">
        <f>HYPERLINK("https://www.773grp.com/globalSearch/NX1117CE18Z115/page-1", "NX1117CE18Z115")</f>
        <v>NX1117CE18Z115</v>
      </c>
      <c r="B13311" s="3" t="str">
        <f>HYPERLINK("https://www.773grp.com/manufacturer/nxp-semiconductor?pageNo=38", "NXP Semiconductors")</f>
        <v>NXP Semiconductors</v>
      </c>
      <c r="C13311" s="6">
        <v>10000</v>
      </c>
      <c r="D13311" s="7">
        <v>0</v>
      </c>
    </row>
    <row r="13312" spans="1:4" x14ac:dyDescent="0.25">
      <c r="A13312" t="str">
        <f>HYPERLINK("https://www.773grp.com/globalSearch/NX1117CE19Z115/page-1", "NX1117CE19Z115")</f>
        <v>NX1117CE19Z115</v>
      </c>
      <c r="B13312" s="3" t="str">
        <f>HYPERLINK("https://www.773grp.com/manufacturer/nxp-semiconductor?pageNo=39", "NXP Semiconductors")</f>
        <v>NXP Semiconductors</v>
      </c>
      <c r="C13312" s="6">
        <v>10034</v>
      </c>
      <c r="D13312" s="7">
        <v>0</v>
      </c>
    </row>
    <row r="13313" spans="1:4" x14ac:dyDescent="0.25">
      <c r="A13313" t="str">
        <f>HYPERLINK("https://www.773grp.com/globalSearch/NX1117CE20Z115/page-1", "NX1117CE20Z115")</f>
        <v>NX1117CE20Z115</v>
      </c>
      <c r="B13313" s="3" t="str">
        <f>HYPERLINK("https://www.773grp.com/manufacturer/nxp-semiconductor?pageNo=40", "NXP Semiconductors")</f>
        <v>NXP Semiconductors</v>
      </c>
      <c r="C13313" s="6">
        <v>11373</v>
      </c>
      <c r="D13313" s="7">
        <v>0</v>
      </c>
    </row>
    <row r="13314" spans="1:4" x14ac:dyDescent="0.25">
      <c r="A13314" t="str">
        <f>HYPERLINK("https://www.773grp.com/globalSearch/NX1117CE25Z115/page-1", "NX1117CE25Z115")</f>
        <v>NX1117CE25Z115</v>
      </c>
      <c r="B13314" s="3" t="str">
        <f>HYPERLINK("https://www.773grp.com/manufacturer/nxp-semiconductor?pageNo=41", "NXP Semiconductors")</f>
        <v>NXP Semiconductors</v>
      </c>
      <c r="C13314" s="6">
        <v>10010</v>
      </c>
      <c r="D13314" s="7">
        <v>0</v>
      </c>
    </row>
    <row r="13315" spans="1:4" x14ac:dyDescent="0.25">
      <c r="A13315" t="str">
        <f>HYPERLINK("https://www.773grp.com/globalSearch/NX1117CEADJZ115/page-1", "NX1117CEADJZ115")</f>
        <v>NX1117CEADJZ115</v>
      </c>
      <c r="B13315" s="3" t="str">
        <f>HYPERLINK("https://www.773grp.com/manufacturer/nxp-semiconductor?pageNo=42", "NXP Semiconductors")</f>
        <v>NXP Semiconductors</v>
      </c>
      <c r="C13315" s="6">
        <v>10357</v>
      </c>
      <c r="D13315" s="7">
        <v>0</v>
      </c>
    </row>
    <row r="13316" spans="1:4" x14ac:dyDescent="0.25">
      <c r="A13316" t="str">
        <f>HYPERLINK("https://www.773grp.com/globalSearch/NX3L2G384M125/page-1", "NX3L2G384M125")</f>
        <v>NX3L2G384M125</v>
      </c>
      <c r="B13316" s="3" t="str">
        <f>HYPERLINK("https://www.773grp.com/manufacturer/nxp-semiconductor?pageNo=43", "NXP Semiconductors")</f>
        <v>NXP Semiconductors</v>
      </c>
      <c r="C13316" s="6">
        <v>300</v>
      </c>
      <c r="D13316" s="7">
        <v>0</v>
      </c>
    </row>
    <row r="13317" spans="1:4" x14ac:dyDescent="0.25">
      <c r="A13317" t="str">
        <f>HYPERLINK("https://www.773grp.com/globalSearch/NX3L2G384T115/page-1", "NX3L2G384T115")</f>
        <v>NX3L2G384T115</v>
      </c>
      <c r="B13317" s="3" t="str">
        <f>HYPERLINK("https://www.773grp.com/manufacturer/nxp-semiconductor?pageNo=44", "NXP Semiconductors")</f>
        <v>NXP Semiconductors</v>
      </c>
      <c r="C13317" s="6">
        <v>300</v>
      </c>
      <c r="D13317" s="7">
        <v>0</v>
      </c>
    </row>
    <row r="13318" spans="1:4" x14ac:dyDescent="0.25">
      <c r="A13318" t="str">
        <f>HYPERLINK("https://www.773grp.com/globalSearch/NX3P191UK023/page-1", "NX3P191UK023")</f>
        <v>NX3P191UK023</v>
      </c>
      <c r="B13318" s="3" t="str">
        <f>HYPERLINK("https://www.773grp.com/manufacturer/nxp-semiconductor?pageNo=45", "NXP Semiconductors")</f>
        <v>NXP Semiconductors</v>
      </c>
      <c r="C13318" s="6">
        <v>9000</v>
      </c>
      <c r="D13318" s="7">
        <v>0</v>
      </c>
    </row>
    <row r="13319" spans="1:4" x14ac:dyDescent="0.25">
      <c r="A13319" t="str">
        <f>HYPERLINK("https://www.773grp.com/globalSearch/NX602NBKS115/page-1", "NX602NBKS115")</f>
        <v>NX602NBKS115</v>
      </c>
      <c r="B13319" s="3" t="str">
        <f>HYPERLINK("https://www.773grp.com/manufacturer/nxp-semiconductor?pageNo=46", "NXP Semiconductors")</f>
        <v>NXP Semiconductors</v>
      </c>
      <c r="C13319" s="6">
        <v>200</v>
      </c>
      <c r="D13319" s="7">
        <v>0</v>
      </c>
    </row>
    <row r="13320" spans="1:4" x14ac:dyDescent="0.25">
      <c r="A13320" t="str">
        <f>HYPERLINK("https://www.773grp.com/globalSearch/OM11005598/page-1", "OM11005598")</f>
        <v>OM11005598</v>
      </c>
      <c r="B13320" s="3" t="str">
        <f>HYPERLINK("https://www.773grp.com/manufacturer/nxp-semiconductor?pageNo=47", "NXP Semiconductors")</f>
        <v>NXP Semiconductors</v>
      </c>
      <c r="C13320" s="6">
        <v>1</v>
      </c>
      <c r="D13320" s="7">
        <v>0</v>
      </c>
    </row>
    <row r="13321" spans="1:4" x14ac:dyDescent="0.25">
      <c r="A13321" t="str">
        <f>HYPERLINK("https://www.773grp.com/globalSearch/OM11013/page-1", "OM11013")</f>
        <v>OM11013</v>
      </c>
      <c r="B13321" s="3" t="str">
        <f>HYPERLINK("https://www.773grp.com/manufacturer/nxp-semiconductor?pageNo=48", "NXP Semiconductors")</f>
        <v>NXP Semiconductors</v>
      </c>
      <c r="C13321" s="6">
        <v>5</v>
      </c>
      <c r="D13321" s="7">
        <v>0</v>
      </c>
    </row>
    <row r="13322" spans="1:4" x14ac:dyDescent="0.25">
      <c r="A13322" t="str">
        <f>HYPERLINK("https://www.773grp.com/globalSearch/OM11014/page-1", "OM11014")</f>
        <v>OM11014</v>
      </c>
      <c r="B13322" s="3" t="str">
        <f>HYPERLINK("https://www.773grp.com/manufacturer/nxp-semiconductor?pageNo=1", "NXP Semiconductors")</f>
        <v>NXP Semiconductors</v>
      </c>
      <c r="C13322" s="6">
        <v>2</v>
      </c>
      <c r="D13322" s="7">
        <v>0</v>
      </c>
    </row>
    <row r="13323" spans="1:4" x14ac:dyDescent="0.25">
      <c r="A13323" t="str">
        <f>HYPERLINK("https://www.773grp.com/globalSearch/OM11015/page-1", "OM11015")</f>
        <v>OM11015</v>
      </c>
      <c r="B13323" s="3" t="str">
        <f>HYPERLINK("https://www.773grp.com/manufacturer/nxp-semiconductor?pageNo=2", "NXP Semiconductors")</f>
        <v>NXP Semiconductors</v>
      </c>
      <c r="C13323" s="6">
        <v>1</v>
      </c>
      <c r="D13323" s="7">
        <v>0</v>
      </c>
    </row>
    <row r="13324" spans="1:4" x14ac:dyDescent="0.25">
      <c r="A13324" t="str">
        <f>HYPERLINK("https://www.773grp.com/globalSearch/OM11039598/page-1", "OM11039598")</f>
        <v>OM11039598</v>
      </c>
      <c r="B13324" s="3" t="str">
        <f>HYPERLINK("https://www.773grp.com/manufacturer/nxp-semiconductor?pageNo=3", "NXP Semiconductors")</f>
        <v>NXP Semiconductors</v>
      </c>
      <c r="C13324" s="6">
        <v>5</v>
      </c>
      <c r="D13324" s="7">
        <v>0</v>
      </c>
    </row>
    <row r="13325" spans="1:4" x14ac:dyDescent="0.25">
      <c r="A13325" t="str">
        <f>HYPERLINK("https://www.773grp.com/globalSearch/OM11070/page-1", "OM11070")</f>
        <v>OM11070</v>
      </c>
      <c r="B13325" s="3" t="str">
        <f>HYPERLINK("https://www.773grp.com/manufacturer/nxp-semiconductor?pageNo=4", "NXP Semiconductors")</f>
        <v>NXP Semiconductors</v>
      </c>
      <c r="C13325" s="6">
        <v>10</v>
      </c>
      <c r="D13325" s="7">
        <v>0</v>
      </c>
    </row>
    <row r="13326" spans="1:4" x14ac:dyDescent="0.25">
      <c r="A13326" t="str">
        <f>HYPERLINK("https://www.773grp.com/globalSearch/OM11074598/page-1", "OM11074598")</f>
        <v>OM11074598</v>
      </c>
      <c r="B13326" s="3" t="str">
        <f>HYPERLINK("https://www.773grp.com/manufacturer/nxp-semiconductor?pageNo=5", "NXP Semiconductors")</f>
        <v>NXP Semiconductors</v>
      </c>
      <c r="C13326" s="6">
        <v>7</v>
      </c>
      <c r="D13326" s="7">
        <v>0</v>
      </c>
    </row>
    <row r="13327" spans="1:4" x14ac:dyDescent="0.25">
      <c r="A13327" t="str">
        <f>HYPERLINK("https://www.773grp.com/globalSearch/OM11077598/page-1", "OM11077598")</f>
        <v>OM11077598</v>
      </c>
      <c r="B13327" s="3" t="str">
        <f>HYPERLINK("https://www.773grp.com/manufacturer/nxp-semiconductor?pageNo=6", "NXP Semiconductors")</f>
        <v>NXP Semiconductors</v>
      </c>
      <c r="C13327" s="6">
        <v>2</v>
      </c>
      <c r="D13327" s="7">
        <v>0</v>
      </c>
    </row>
    <row r="13328" spans="1:4" x14ac:dyDescent="0.25">
      <c r="A13328" t="str">
        <f>HYPERLINK("https://www.773grp.com/globalSearch/OM11079/page-1", "OM11079")</f>
        <v>OM11079</v>
      </c>
      <c r="B13328" s="3" t="str">
        <f>HYPERLINK("https://www.773grp.com/manufacturer/nxp-semiconductor?pageNo=7", "NXP Semiconductors")</f>
        <v>NXP Semiconductors</v>
      </c>
      <c r="C13328" s="6">
        <v>2</v>
      </c>
      <c r="D13328" s="7">
        <v>0</v>
      </c>
    </row>
    <row r="13329" spans="1:4" x14ac:dyDescent="0.25">
      <c r="A13329" t="str">
        <f>HYPERLINK("https://www.773grp.com/globalSearch/OM12000-1020000557/page-1", "OM12000-1020000557")</f>
        <v>OM12000-1020000557</v>
      </c>
      <c r="B13329" s="3" t="str">
        <f>HYPERLINK("https://www.773grp.com/manufacturer/nxp-semiconductor?pageNo=8", "NXP Semiconductors")</f>
        <v>NXP Semiconductors</v>
      </c>
      <c r="C13329" s="6">
        <v>1800</v>
      </c>
      <c r="D13329" s="7">
        <v>0</v>
      </c>
    </row>
    <row r="13330" spans="1:4" x14ac:dyDescent="0.25">
      <c r="A13330" t="str">
        <f>HYPERLINK("https://www.773grp.com/globalSearch/OM13007598/page-1", "OM13007598")</f>
        <v>OM13007598</v>
      </c>
      <c r="B13330" s="3" t="str">
        <f>HYPERLINK("https://www.773grp.com/manufacturer/nxp-semiconductor?pageNo=9", "NXP Semiconductors")</f>
        <v>NXP Semiconductors</v>
      </c>
      <c r="C13330" s="6">
        <v>2</v>
      </c>
      <c r="D13330" s="7">
        <v>0</v>
      </c>
    </row>
    <row r="13331" spans="1:4" x14ac:dyDescent="0.25">
      <c r="A13331" t="str">
        <f>HYPERLINK("https://www.773grp.com/globalSearch/OM13008/page-1", "OM13008")</f>
        <v>OM13008</v>
      </c>
      <c r="B13331" s="3" t="str">
        <f>HYPERLINK("https://www.773grp.com/manufacturer/nxp-semiconductor?pageNo=10", "NXP Semiconductors")</f>
        <v>NXP Semiconductors</v>
      </c>
      <c r="C13331" s="6">
        <v>3</v>
      </c>
      <c r="D13331" s="7">
        <v>0</v>
      </c>
    </row>
    <row r="13332" spans="1:4" x14ac:dyDescent="0.25">
      <c r="A13332" t="str">
        <f>HYPERLINK("https://www.773grp.com/globalSearch/OM13012598/page-1", "OM13012598")</f>
        <v>OM13012598</v>
      </c>
      <c r="B13332" s="3" t="str">
        <f>HYPERLINK("https://www.773grp.com/manufacturer/nxp-semiconductor?pageNo=11", "NXP Semiconductors")</f>
        <v>NXP Semiconductors</v>
      </c>
      <c r="C13332" s="6">
        <v>19</v>
      </c>
      <c r="D13332" s="7">
        <v>0</v>
      </c>
    </row>
    <row r="13333" spans="1:4" x14ac:dyDescent="0.25">
      <c r="A13333" t="str">
        <f>HYPERLINK("https://www.773grp.com/globalSearch/OM13013598/page-1", "OM13013598")</f>
        <v>OM13013598</v>
      </c>
      <c r="B13333" s="3" t="str">
        <f>HYPERLINK("https://www.773grp.com/manufacturer/nxp-semiconductor?pageNo=12", "NXP Semiconductors")</f>
        <v>NXP Semiconductors</v>
      </c>
      <c r="C13333" s="6">
        <v>8</v>
      </c>
      <c r="D13333" s="7">
        <v>0</v>
      </c>
    </row>
    <row r="13334" spans="1:4" x14ac:dyDescent="0.25">
      <c r="A13334" t="str">
        <f>HYPERLINK("https://www.773grp.com/globalSearch/OM13022598/page-1", "OM13022598")</f>
        <v>OM13022598</v>
      </c>
      <c r="B13334" s="3" t="str">
        <f>HYPERLINK("https://www.773grp.com/manufacturer/nxp-semiconductor?pageNo=13", "NXP Semiconductors")</f>
        <v>NXP Semiconductors</v>
      </c>
      <c r="C13334" s="6">
        <v>4</v>
      </c>
      <c r="D13334" s="7">
        <v>0</v>
      </c>
    </row>
    <row r="13335" spans="1:4" x14ac:dyDescent="0.25">
      <c r="A13335" t="str">
        <f>HYPERLINK("https://www.773grp.com/globalSearch/OM13024598/page-1", "OM13024598")</f>
        <v>OM13024598</v>
      </c>
      <c r="B13335" s="3" t="str">
        <f>HYPERLINK("https://www.773grp.com/manufacturer/nxp-semiconductor?pageNo=14", "NXP Semiconductors")</f>
        <v>NXP Semiconductors</v>
      </c>
      <c r="C13335" s="6">
        <v>5</v>
      </c>
      <c r="D13335" s="7">
        <v>0</v>
      </c>
    </row>
    <row r="13336" spans="1:4" x14ac:dyDescent="0.25">
      <c r="A13336" t="str">
        <f>HYPERLINK("https://www.773grp.com/globalSearch/OM13030598/page-1", "OM13030598")</f>
        <v>OM13030598</v>
      </c>
      <c r="B13336" s="3" t="str">
        <f>HYPERLINK("https://www.773grp.com/manufacturer/nxp-semiconductor?pageNo=15", "NXP Semiconductors")</f>
        <v>NXP Semiconductors</v>
      </c>
      <c r="C13336" s="6">
        <v>1</v>
      </c>
      <c r="D13336" s="7">
        <v>0</v>
      </c>
    </row>
    <row r="13337" spans="1:4" x14ac:dyDescent="0.25">
      <c r="A13337" t="str">
        <f>HYPERLINK("https://www.773grp.com/globalSearch/OM13053/page-1", "OM13053")</f>
        <v>OM13053</v>
      </c>
      <c r="B13337" s="3" t="str">
        <f>HYPERLINK("https://www.773grp.com/manufacturer/nxp-semiconductor?pageNo=16", "NXP Semiconductors")</f>
        <v>NXP Semiconductors</v>
      </c>
      <c r="C13337" s="6">
        <v>91</v>
      </c>
      <c r="D13337" s="7">
        <v>0</v>
      </c>
    </row>
    <row r="13338" spans="1:4" x14ac:dyDescent="0.25">
      <c r="A13338" t="str">
        <f>HYPERLINK("https://www.773grp.com/globalSearch/OM6276598/page-1", "OM6276598")</f>
        <v>OM6276598</v>
      </c>
      <c r="B13338" s="3" t="str">
        <f>HYPERLINK("https://www.773grp.com/manufacturer/nxp-semiconductor?pageNo=17", "NXP Semiconductors")</f>
        <v>NXP Semiconductors</v>
      </c>
      <c r="C13338" s="6">
        <v>4</v>
      </c>
      <c r="D13338" s="7">
        <v>0</v>
      </c>
    </row>
    <row r="13339" spans="1:4" x14ac:dyDescent="0.25">
      <c r="A13339" t="str">
        <f>HYPERLINK("https://www.773grp.com/globalSearch/OM7600-BGA2001-1800/page-1", "OM7600-BGA2001-1800")</f>
        <v>OM7600-BGA2001-1800</v>
      </c>
      <c r="B13339" s="3" t="str">
        <f>HYPERLINK("https://www.773grp.com/manufacturer/nxp-semiconductor?pageNo=18", "NXP Semiconductors")</f>
        <v>NXP Semiconductors</v>
      </c>
      <c r="C13339" s="6">
        <v>5</v>
      </c>
      <c r="D13339" s="7">
        <v>0</v>
      </c>
    </row>
    <row r="13340" spans="1:4" x14ac:dyDescent="0.25">
      <c r="A13340" t="str">
        <f>HYPERLINK("https://www.773grp.com/globalSearch/OM7600-BGA2001-900/page-1", "OM7600-BGA2001-900")</f>
        <v>OM7600-BGA2001-900</v>
      </c>
      <c r="B13340" s="3" t="str">
        <f>HYPERLINK("https://www.773grp.com/manufacturer/nxp-semiconductor?pageNo=19", "NXP Semiconductors")</f>
        <v>NXP Semiconductors</v>
      </c>
      <c r="C13340" s="6">
        <v>5</v>
      </c>
      <c r="D13340" s="7">
        <v>0</v>
      </c>
    </row>
    <row r="13341" spans="1:4" x14ac:dyDescent="0.25">
      <c r="A13341" t="str">
        <f>HYPERLINK("https://www.773grp.com/globalSearch/OM7601-BGA2012598/page-1", "OM7601-BGA2012598")</f>
        <v>OM7601-BGA2012598</v>
      </c>
      <c r="B13341" s="3" t="str">
        <f>HYPERLINK("https://www.773grp.com/manufacturer/nxp-semiconductor?pageNo=20", "NXP Semiconductors")</f>
        <v>NXP Semiconductors</v>
      </c>
      <c r="C13341" s="6">
        <v>1</v>
      </c>
      <c r="D13341" s="7">
        <v>0</v>
      </c>
    </row>
    <row r="13342" spans="1:4" x14ac:dyDescent="0.25">
      <c r="A13342" t="str">
        <f>HYPERLINK("https://www.773grp.com/globalSearch/OM7604-BGA2709598/page-1", "OM7604-BGA2709598")</f>
        <v>OM7604-BGA2709598</v>
      </c>
      <c r="B13342" s="3" t="str">
        <f>HYPERLINK("https://www.773grp.com/manufacturer/nxp-semiconductor?pageNo=21", "NXP Semiconductors")</f>
        <v>NXP Semiconductors</v>
      </c>
      <c r="C13342" s="6">
        <v>5</v>
      </c>
      <c r="D13342" s="7">
        <v>0</v>
      </c>
    </row>
    <row r="13343" spans="1:4" x14ac:dyDescent="0.25">
      <c r="A13343" t="str">
        <f>HYPERLINK("https://www.773grp.com/globalSearch/OM7606-BGA2712/page-1", "OM7606-BGA2712")</f>
        <v>OM7606-BGA2712</v>
      </c>
      <c r="B13343" s="3" t="str">
        <f>HYPERLINK("https://www.773grp.com/manufacturer/nxp-semiconductor?pageNo=22", "NXP Semiconductors")</f>
        <v>NXP Semiconductors</v>
      </c>
      <c r="C13343" s="6">
        <v>5</v>
      </c>
      <c r="D13343" s="7">
        <v>0</v>
      </c>
    </row>
    <row r="13344" spans="1:4" x14ac:dyDescent="0.25">
      <c r="A13344" t="str">
        <f>HYPERLINK("https://www.773grp.com/globalSearch/OM7607-BGA2715598/page-1", "OM7607-BGA2715598")</f>
        <v>OM7607-BGA2715598</v>
      </c>
      <c r="B13344" s="3" t="str">
        <f>HYPERLINK("https://www.773grp.com/manufacturer/nxp-semiconductor?pageNo=23", "NXP Semiconductors")</f>
        <v>NXP Semiconductors</v>
      </c>
      <c r="C13344" s="6">
        <v>3</v>
      </c>
      <c r="D13344" s="7">
        <v>0</v>
      </c>
    </row>
    <row r="13345" spans="1:4" x14ac:dyDescent="0.25">
      <c r="A13345" t="str">
        <f>HYPERLINK("https://www.773grp.com/globalSearch/OM7608-BGA2716598/page-1", "OM7608-BGA2716598")</f>
        <v>OM7608-BGA2716598</v>
      </c>
      <c r="B13345" s="3" t="str">
        <f>HYPERLINK("https://www.773grp.com/manufacturer/nxp-semiconductor?pageNo=24", "NXP Semiconductors")</f>
        <v>NXP Semiconductors</v>
      </c>
      <c r="C13345" s="6">
        <v>4</v>
      </c>
      <c r="D13345" s="7">
        <v>0</v>
      </c>
    </row>
    <row r="13346" spans="1:4" x14ac:dyDescent="0.25">
      <c r="A13346" t="str">
        <f>HYPERLINK("https://www.773grp.com/globalSearch/OM7610-BGA2771598/page-1", "OM7610-BGA2771598")</f>
        <v>OM7610-BGA2771598</v>
      </c>
      <c r="B13346" s="3" t="str">
        <f>HYPERLINK("https://www.773grp.com/manufacturer/nxp-semiconductor?pageNo=25", "NXP Semiconductors")</f>
        <v>NXP Semiconductors</v>
      </c>
      <c r="C13346" s="6">
        <v>2</v>
      </c>
      <c r="D13346" s="7">
        <v>0</v>
      </c>
    </row>
    <row r="13347" spans="1:4" x14ac:dyDescent="0.25">
      <c r="A13347" t="str">
        <f>HYPERLINK("https://www.773grp.com/globalSearch/OM7611-BGA2776598/page-1", "OM7611-BGA2776598")</f>
        <v>OM7611-BGA2776598</v>
      </c>
      <c r="B13347" s="3" t="str">
        <f>HYPERLINK("https://www.773grp.com/manufacturer/nxp-semiconductor?pageNo=26", "NXP Semiconductors")</f>
        <v>NXP Semiconductors</v>
      </c>
      <c r="C13347" s="6">
        <v>4</v>
      </c>
      <c r="D13347" s="7">
        <v>0</v>
      </c>
    </row>
    <row r="13348" spans="1:4" x14ac:dyDescent="0.25">
      <c r="A13348" t="str">
        <f>HYPERLINK("https://www.773grp.com/globalSearch/OM7612-BGA6489B/page-1", "OM7612-BGA6489B")</f>
        <v>OM7612-BGA6489B</v>
      </c>
      <c r="B13348" s="3" t="str">
        <f>HYPERLINK("https://www.773grp.com/manufacturer/nxp-semiconductor?pageNo=27", "NXP Semiconductors")</f>
        <v>NXP Semiconductors</v>
      </c>
      <c r="C13348" s="6">
        <v>5</v>
      </c>
      <c r="D13348" s="7">
        <v>0</v>
      </c>
    </row>
    <row r="13349" spans="1:4" x14ac:dyDescent="0.25">
      <c r="A13349" t="str">
        <f>HYPERLINK("https://www.773grp.com/globalSearch/OM7613-BGA6589B/page-1", "OM7613-BGA6589B")</f>
        <v>OM7613-BGA6589B</v>
      </c>
      <c r="B13349" s="3" t="str">
        <f>HYPERLINK("https://www.773grp.com/manufacturer/nxp-semiconductor?pageNo=28", "NXP Semiconductors")</f>
        <v>NXP Semiconductors</v>
      </c>
      <c r="C13349" s="6">
        <v>1</v>
      </c>
      <c r="D13349" s="7">
        <v>0</v>
      </c>
    </row>
    <row r="13350" spans="1:4" x14ac:dyDescent="0.25">
      <c r="A13350" t="str">
        <f>HYPERLINK("https://www.773grp.com/globalSearch/OM7615-BGM1012598/page-1", "OM7615-BGM1012598")</f>
        <v>OM7615-BGM1012598</v>
      </c>
      <c r="B13350" s="3" t="str">
        <f>HYPERLINK("https://www.773grp.com/manufacturer/nxp-semiconductor?pageNo=29", "NXP Semiconductors")</f>
        <v>NXP Semiconductors</v>
      </c>
      <c r="C13350" s="6">
        <v>6</v>
      </c>
      <c r="D13350" s="7">
        <v>0</v>
      </c>
    </row>
    <row r="13351" spans="1:4" x14ac:dyDescent="0.25">
      <c r="A13351" t="str">
        <f>HYPERLINK("https://www.773grp.com/globalSearch/OM7617-BGM1014/page-1", "OM7617-BGM1014")</f>
        <v>OM7617-BGM1014</v>
      </c>
      <c r="B13351" s="3" t="str">
        <f>HYPERLINK("https://www.773grp.com/manufacturer/nxp-semiconductor?pageNo=30", "NXP Semiconductors")</f>
        <v>NXP Semiconductors</v>
      </c>
      <c r="C13351" s="6">
        <v>3</v>
      </c>
      <c r="D13351" s="7">
        <v>0</v>
      </c>
    </row>
    <row r="13352" spans="1:4" x14ac:dyDescent="0.25">
      <c r="A13352" t="str">
        <f>HYPERLINK("https://www.773grp.com/globalSearch/ON4974135/page-1", "ON4974135")</f>
        <v>ON4974135</v>
      </c>
      <c r="B13352" s="3" t="str">
        <f>HYPERLINK("https://www.773grp.com/manufacturer/nxp-semiconductor?pageNo=31", "NXP Semiconductors")</f>
        <v>NXP Semiconductors</v>
      </c>
      <c r="C13352" s="6">
        <v>32000</v>
      </c>
      <c r="D13352" s="7">
        <v>0</v>
      </c>
    </row>
    <row r="13353" spans="1:4" x14ac:dyDescent="0.25">
      <c r="A13353" t="str">
        <f>HYPERLINK("https://www.773grp.com/globalSearch/P80C552IBA08512/page-1", "P80C552IBA08512")</f>
        <v>P80C552IBA08512</v>
      </c>
      <c r="B13353" s="3" t="str">
        <f>HYPERLINK("https://www.773grp.com/manufacturer/nxp-semiconductor?pageNo=32", "NXP Semiconductors")</f>
        <v>NXP Semiconductors</v>
      </c>
      <c r="C13353" s="6">
        <v>390</v>
      </c>
      <c r="D13353" s="7">
        <v>0</v>
      </c>
    </row>
    <row r="13354" spans="1:4" x14ac:dyDescent="0.25">
      <c r="A13354" t="str">
        <f>HYPERLINK("https://www.773grp.com/globalSearch/P80C557E4EFB-01557/page-1", "P80C557E4EFB-01557")</f>
        <v>P80C557E4EFB-01557</v>
      </c>
      <c r="B13354" s="3" t="str">
        <f>HYPERLINK("https://www.773grp.com/manufacturer/nxp-semiconductor?pageNo=33", "NXP Semiconductors")</f>
        <v>NXP Semiconductors</v>
      </c>
      <c r="C13354" s="6">
        <v>135</v>
      </c>
      <c r="D13354" s="7">
        <v>0</v>
      </c>
    </row>
    <row r="13355" spans="1:4" x14ac:dyDescent="0.25">
      <c r="A13355" t="str">
        <f>HYPERLINK("https://www.773grp.com/globalSearch/P89LPC902FD112/page-1", "P89LPC902FD112")</f>
        <v>P89LPC902FD112</v>
      </c>
      <c r="B13355" s="3" t="str">
        <f>HYPERLINK("https://www.773grp.com/manufacturer/nxp-semiconductor?pageNo=34", "NXP Semiconductors")</f>
        <v>NXP Semiconductors</v>
      </c>
      <c r="C13355" s="6">
        <v>4</v>
      </c>
      <c r="D13355" s="7">
        <v>0</v>
      </c>
    </row>
    <row r="13356" spans="1:4" x14ac:dyDescent="0.25">
      <c r="A13356" t="str">
        <f>HYPERLINK("https://www.773grp.com/globalSearch/PBSS2515M3145/page-1", "PBSS2515M3145")</f>
        <v>PBSS2515M3145</v>
      </c>
      <c r="B13356" s="3" t="str">
        <f>HYPERLINK("https://www.773grp.com/manufacturer/nxp-semiconductor?pageNo=35", "NXP Semiconductors")</f>
        <v>NXP Semiconductors</v>
      </c>
      <c r="C13356" s="6">
        <v>497</v>
      </c>
      <c r="D13356" s="7">
        <v>0</v>
      </c>
    </row>
    <row r="13357" spans="1:4" x14ac:dyDescent="0.25">
      <c r="A13357" t="str">
        <f>HYPERLINK("https://www.773grp.com/globalSearch/PBSS4350SS118/page-1", "PBSS4350SS118")</f>
        <v>PBSS4350SS118</v>
      </c>
      <c r="B13357" s="3" t="str">
        <f>HYPERLINK("https://www.773grp.com/manufacturer/nxp-semiconductor?pageNo=36", "NXP Semiconductors")</f>
        <v>NXP Semiconductors</v>
      </c>
      <c r="C13357" s="6">
        <v>2500</v>
      </c>
      <c r="D13357" s="7">
        <v>0</v>
      </c>
    </row>
    <row r="13358" spans="1:4" x14ac:dyDescent="0.25">
      <c r="A13358" t="str">
        <f>HYPERLINK("https://www.773grp.com/globalSearch/PBVH8115Z115/page-1", "PBVH8115Z115")</f>
        <v>PBVH8115Z115</v>
      </c>
      <c r="B13358" s="3" t="str">
        <f>HYPERLINK("https://www.773grp.com/manufacturer/nxp-semiconductor?pageNo=37", "NXP Semiconductors")</f>
        <v>NXP Semiconductors</v>
      </c>
      <c r="C13358" s="6">
        <v>145</v>
      </c>
      <c r="D13358" s="7">
        <v>0</v>
      </c>
    </row>
    <row r="13359" spans="1:4" x14ac:dyDescent="0.25">
      <c r="A13359" t="str">
        <f>HYPERLINK("https://www.773grp.com/globalSearch/PCA6408AHK115/page-1", "PCA6408AHK115")</f>
        <v>PCA6408AHK115</v>
      </c>
      <c r="B13359" s="3" t="str">
        <f>HYPERLINK("https://www.773grp.com/manufacturer/nxp-semiconductor?pageNo=38", "NXP Semiconductors")</f>
        <v>NXP Semiconductors</v>
      </c>
      <c r="C13359" s="6">
        <v>4000</v>
      </c>
      <c r="D13359" s="7">
        <v>0</v>
      </c>
    </row>
    <row r="13360" spans="1:4" x14ac:dyDescent="0.25">
      <c r="A13360" t="str">
        <f>HYPERLINK("https://www.773grp.com/globalSearch/PCA6416AEV118/page-1", "PCA6416AEV118")</f>
        <v>PCA6416AEV118</v>
      </c>
      <c r="B13360" s="3" t="str">
        <f>HYPERLINK("https://www.773grp.com/manufacturer/nxp-semiconductor?pageNo=39", "NXP Semiconductors")</f>
        <v>NXP Semiconductors</v>
      </c>
      <c r="C13360" s="6">
        <v>6000</v>
      </c>
      <c r="D13360" s="7">
        <v>0</v>
      </c>
    </row>
    <row r="13361" spans="1:4" x14ac:dyDescent="0.25">
      <c r="A13361" t="str">
        <f>HYPERLINK("https://www.773grp.com/globalSearch/PCA85176H-Q900-155/page-1", "PCA85176H-Q900-155")</f>
        <v>PCA85176H-Q900-155</v>
      </c>
      <c r="B13361" s="3" t="str">
        <f>HYPERLINK("https://www.773grp.com/manufacturer/nxp-semiconductor?pageNo=40", "NXP Semiconductors")</f>
        <v>NXP Semiconductors</v>
      </c>
      <c r="C13361" s="6">
        <v>602</v>
      </c>
      <c r="D13361" s="7">
        <v>0</v>
      </c>
    </row>
    <row r="13362" spans="1:4" x14ac:dyDescent="0.25">
      <c r="A13362" t="str">
        <f>HYPERLINK("https://www.773grp.com/globalSearch/PCA8885TS-Q900-1118/page-1", "PCA8885TS-Q900-1118")</f>
        <v>PCA8885TS-Q900-1118</v>
      </c>
      <c r="B13362" s="3" t="str">
        <f>HYPERLINK("https://www.773grp.com/manufacturer/nxp-semiconductor?pageNo=41", "NXP Semiconductors")</f>
        <v>NXP Semiconductors</v>
      </c>
      <c r="C13362" s="6">
        <v>5000</v>
      </c>
      <c r="D13362" s="7">
        <v>0</v>
      </c>
    </row>
    <row r="13363" spans="1:4" x14ac:dyDescent="0.25">
      <c r="A13363" t="str">
        <f>HYPERLINK("https://www.773grp.com/globalSearch/PCA9544AWP112/page-1", "PCA9544AWP112")</f>
        <v>PCA9544AWP112</v>
      </c>
      <c r="B13363" s="3" t="str">
        <f>HYPERLINK("https://www.773grp.com/manufacturer/nxp-semiconductor?pageNo=42", "NXP Semiconductors")</f>
        <v>NXP Semiconductors</v>
      </c>
      <c r="C13363" s="6">
        <v>1706</v>
      </c>
      <c r="D13363" s="7">
        <v>0</v>
      </c>
    </row>
    <row r="13364" spans="1:4" x14ac:dyDescent="0.25">
      <c r="A13364" t="str">
        <f>HYPERLINK("https://www.773grp.com/globalSearch/PCA9559PW-G118/page-1", "PCA9559PW-G118")</f>
        <v>PCA9559PW-G118</v>
      </c>
      <c r="B13364" s="3" t="str">
        <f>HYPERLINK("https://www.773grp.com/manufacturer/nxp-semiconductor?pageNo=43", "NXP Semiconductors")</f>
        <v>NXP Semiconductors</v>
      </c>
      <c r="C13364" s="6">
        <v>7500</v>
      </c>
      <c r="D13364" s="7">
        <v>0</v>
      </c>
    </row>
    <row r="13365" spans="1:4" x14ac:dyDescent="0.25">
      <c r="A13365" t="str">
        <f>HYPERLINK("https://www.773grp.com/globalSearch/PCF85176-1518/page-1", "PCF85176-1518")</f>
        <v>PCF85176-1518</v>
      </c>
      <c r="B13365" s="3" t="str">
        <f>HYPERLINK("https://www.773grp.com/manufacturer/nxp-semiconductor?pageNo=44", "NXP Semiconductors")</f>
        <v>NXP Semiconductors</v>
      </c>
      <c r="C13365" s="6">
        <v>84</v>
      </c>
      <c r="D13365" s="7">
        <v>0</v>
      </c>
    </row>
    <row r="13366" spans="1:4" x14ac:dyDescent="0.25">
      <c r="A13366" t="str">
        <f>HYPERLINK("https://www.773grp.com/globalSearch/PCF8534AU-DA1026/page-1", "PCF8534AU-DA1026")</f>
        <v>PCF8534AU-DA1026</v>
      </c>
      <c r="B13366" s="3" t="str">
        <f>HYPERLINK("https://www.773grp.com/manufacturer/nxp-semiconductor?pageNo=45", "NXP Semiconductors")</f>
        <v>NXP Semiconductors</v>
      </c>
      <c r="C13366" s="6">
        <v>800</v>
      </c>
      <c r="D13366" s="7">
        <v>0</v>
      </c>
    </row>
    <row r="13367" spans="1:4" x14ac:dyDescent="0.25">
      <c r="A13367" t="str">
        <f>HYPERLINK("https://www.773grp.com/globalSearch/PCF8562TT-S400-2118/page-1", "PCF8562TT-S400-2118")</f>
        <v>PCF8562TT-S400-2118</v>
      </c>
      <c r="B13367" s="3" t="str">
        <f>HYPERLINK("https://www.773grp.com/manufacturer/nxp-semiconductor?pageNo=46", "NXP Semiconductors")</f>
        <v>NXP Semiconductors</v>
      </c>
      <c r="C13367" s="6">
        <v>6000</v>
      </c>
      <c r="D13367" s="7">
        <v>0</v>
      </c>
    </row>
    <row r="13368" spans="1:4" x14ac:dyDescent="0.25">
      <c r="A13368" t="str">
        <f>HYPERLINK("https://www.773grp.com/globalSearch/PCF8579HT-1518/page-1", "PCF8579HT-1518")</f>
        <v>PCF8579HT-1518</v>
      </c>
      <c r="B13368" s="3" t="str">
        <f>HYPERLINK("https://www.773grp.com/manufacturer/nxp-semiconductor?pageNo=47", "NXP Semiconductors")</f>
        <v>NXP Semiconductors</v>
      </c>
      <c r="C13368" s="6">
        <v>1990</v>
      </c>
      <c r="D13368" s="7">
        <v>0</v>
      </c>
    </row>
    <row r="13369" spans="1:4" x14ac:dyDescent="0.25">
      <c r="A13369" t="str">
        <f>HYPERLINK("https://www.773grp.com/globalSearch/PDCT143TE115/page-1", "PDCT143TE115")</f>
        <v>PDCT143TE115</v>
      </c>
      <c r="B13369" s="3" t="str">
        <f>HYPERLINK("https://www.773grp.com/manufacturer/nxp-semiconductor?pageNo=48", "NXP Semiconductors")</f>
        <v>NXP Semiconductors</v>
      </c>
      <c r="C13369" s="6">
        <v>1927</v>
      </c>
      <c r="D13369" s="7">
        <v>0</v>
      </c>
    </row>
    <row r="13370" spans="1:4" x14ac:dyDescent="0.25">
      <c r="A13370" t="str">
        <f>HYPERLINK("https://www.773grp.com/globalSearch/PDTD1113ET215/page-1", "PDTD1113ET215")</f>
        <v>PDTD1113ET215</v>
      </c>
      <c r="B13370" s="3" t="str">
        <f>HYPERLINK("https://www.773grp.com/manufacturer/nxp-semiconductor?pageNo=1", "NXP Semiconductors")</f>
        <v>NXP Semiconductors</v>
      </c>
      <c r="C13370" s="6">
        <v>180</v>
      </c>
      <c r="D13370" s="7">
        <v>0</v>
      </c>
    </row>
    <row r="13371" spans="1:4" x14ac:dyDescent="0.25">
      <c r="A13371" t="str">
        <f>HYPERLINK("https://www.773grp.com/globalSearch/PDZ2-7B115/page-1", "PDZ2-7B115")</f>
        <v>PDZ2-7B115</v>
      </c>
      <c r="B13371" s="3" t="str">
        <f>HYPERLINK("https://www.773grp.com/manufacturer/nxp-semiconductor?pageNo=2", "NXP Semiconductors")</f>
        <v>NXP Semiconductors</v>
      </c>
      <c r="C13371" s="6">
        <v>680</v>
      </c>
      <c r="D13371" s="7">
        <v>0</v>
      </c>
    </row>
    <row r="13372" spans="1:4" x14ac:dyDescent="0.25">
      <c r="A13372" t="str">
        <f>HYPERLINK("https://www.773grp.com/globalSearch/PESD15VU1U215/page-1", "PESD15VU1U215")</f>
        <v>PESD15VU1U215</v>
      </c>
      <c r="B13372" s="3" t="str">
        <f>HYPERLINK("https://www.773grp.com/manufacturer/nxp-semiconductor?pageNo=3", "NXP Semiconductors")</f>
        <v>NXP Semiconductors</v>
      </c>
      <c r="C13372" s="6">
        <v>200</v>
      </c>
      <c r="D13372" s="7">
        <v>0</v>
      </c>
    </row>
    <row r="13373" spans="1:4" x14ac:dyDescent="0.25">
      <c r="A13373" t="str">
        <f>HYPERLINK("https://www.773grp.com/globalSearch/PESD5VOL7BAS118/page-1", "PESD5VOL7BAS118")</f>
        <v>PESD5VOL7BAS118</v>
      </c>
      <c r="B13373" s="3" t="str">
        <f>HYPERLINK("https://www.773grp.com/manufacturer/nxp-semiconductor?pageNo=4", "NXP Semiconductors")</f>
        <v>NXP Semiconductors</v>
      </c>
      <c r="C13373" s="6">
        <v>2043</v>
      </c>
      <c r="D13373" s="7">
        <v>0</v>
      </c>
    </row>
    <row r="13374" spans="1:4" x14ac:dyDescent="0.25">
      <c r="A13374" t="str">
        <f>HYPERLINK("https://www.773grp.com/globalSearch/PESD5VOU5BF115/page-1", "PESD5VOU5BF115")</f>
        <v>PESD5VOU5BF115</v>
      </c>
      <c r="B13374" s="3" t="str">
        <f>HYPERLINK("https://www.773grp.com/manufacturer/nxp-semiconductor?pageNo=5", "NXP Semiconductors")</f>
        <v>NXP Semiconductors</v>
      </c>
      <c r="C13374" s="6">
        <v>1687</v>
      </c>
      <c r="D13374" s="7">
        <v>0</v>
      </c>
    </row>
    <row r="13375" spans="1:4" x14ac:dyDescent="0.25">
      <c r="A13375" t="str">
        <f>HYPERLINK("https://www.773grp.com/globalSearch/PESD5VOV1BL315/page-1", "PESD5VOV1BL315")</f>
        <v>PESD5VOV1BL315</v>
      </c>
      <c r="B13375" s="3" t="str">
        <f>HYPERLINK("https://www.773grp.com/manufacturer/nxp-semiconductor?pageNo=6", "NXP Semiconductors")</f>
        <v>NXP Semiconductors</v>
      </c>
      <c r="C13375" s="6">
        <v>900</v>
      </c>
      <c r="D13375" s="7">
        <v>0</v>
      </c>
    </row>
    <row r="13376" spans="1:4" x14ac:dyDescent="0.25">
      <c r="A13376" t="str">
        <f>HYPERLINK("https://www.773grp.com/globalSearch/PESDV0U5BF115/page-1", "PESDV0U5BF115")</f>
        <v>PESDV0U5BF115</v>
      </c>
      <c r="B13376" s="3" t="str">
        <f>HYPERLINK("https://www.773grp.com/manufacturer/nxp-semiconductor?pageNo=7", "NXP Semiconductors")</f>
        <v>NXP Semiconductors</v>
      </c>
      <c r="C13376" s="6">
        <v>129</v>
      </c>
      <c r="D13376" s="7">
        <v>0</v>
      </c>
    </row>
    <row r="13377" spans="1:4" x14ac:dyDescent="0.25">
      <c r="A13377" t="str">
        <f>HYPERLINK("https://www.773grp.com/globalSearch/PFC8576T-1118/page-1", "PFC8576T-1118")</f>
        <v>PFC8576T-1118</v>
      </c>
      <c r="B13377" s="3" t="str">
        <f>HYPERLINK("https://www.773grp.com/manufacturer/nxp-semiconductor?pageNo=8", "NXP Semiconductors")</f>
        <v>NXP Semiconductors</v>
      </c>
      <c r="C13377" s="6">
        <v>16</v>
      </c>
      <c r="D13377" s="7">
        <v>0</v>
      </c>
    </row>
    <row r="13378" spans="1:4" x14ac:dyDescent="0.25">
      <c r="A13378" t="str">
        <f>HYPERLINK("https://www.773grp.com/globalSearch/PH6325L115  GROUP B3/page-1", "PH6325L115  GROUP B3")</f>
        <v>PH6325L115  GROUP B3</v>
      </c>
      <c r="B13378" s="3" t="str">
        <f>HYPERLINK("https://www.773grp.com/manufacturer/nxp-semiconductor?pageNo=9", "NXP Semiconductors")</f>
        <v>NXP Semiconductors</v>
      </c>
      <c r="C13378" s="6">
        <v>6</v>
      </c>
      <c r="D13378" s="7">
        <v>0</v>
      </c>
    </row>
    <row r="13379" spans="1:4" x14ac:dyDescent="0.25">
      <c r="A13379" t="str">
        <f>HYPERLINK("https://www.773grp.com/globalSearch/PH9030AL115/page-1", "PH9030AL115")</f>
        <v>PH9030AL115</v>
      </c>
      <c r="B13379" s="3" t="str">
        <f>HYPERLINK("https://www.773grp.com/manufacturer/nxp-semiconductor?pageNo=10", "NXP Semiconductors")</f>
        <v>NXP Semiconductors</v>
      </c>
      <c r="C13379" s="6">
        <v>10500</v>
      </c>
      <c r="D13379" s="7">
        <v>0</v>
      </c>
    </row>
    <row r="13380" spans="1:4" x14ac:dyDescent="0.25">
      <c r="A13380" t="str">
        <f>HYPERLINK("https://www.773grp.com/globalSearch/PHA-BT136-600/page-1", "PHA-BT136-600")</f>
        <v>PHA-BT136-600</v>
      </c>
      <c r="B13380" s="3" t="str">
        <f>HYPERLINK("https://www.773grp.com/manufacturer/nxp-semiconductor?pageNo=11", "NXP Semiconductors")</f>
        <v>NXP Semiconductors</v>
      </c>
      <c r="C13380" s="6">
        <v>550</v>
      </c>
      <c r="D13380" s="7">
        <v>0</v>
      </c>
    </row>
    <row r="13381" spans="1:4" x14ac:dyDescent="0.25">
      <c r="A13381" t="str">
        <f>HYPERLINK("https://www.773grp.com/globalSearch/PHB110NQ06LT118/page-1", "PHB110NQ06LT118")</f>
        <v>PHB110NQ06LT118</v>
      </c>
      <c r="B13381" s="3" t="str">
        <f>HYPERLINK("https://www.773grp.com/manufacturer/nxp-semiconductor?pageNo=12", "NXP Semiconductors")</f>
        <v>NXP Semiconductors</v>
      </c>
      <c r="C13381" s="6">
        <v>15200</v>
      </c>
      <c r="D13381" s="7">
        <v>0</v>
      </c>
    </row>
    <row r="13382" spans="1:4" x14ac:dyDescent="0.25">
      <c r="A13382" t="str">
        <f>HYPERLINK("https://www.773grp.com/globalSearch/PHD108NQ03LT118/page-1", "PHD108NQ03LT118")</f>
        <v>PHD108NQ03LT118</v>
      </c>
      <c r="B13382" s="3" t="str">
        <f>HYPERLINK("https://www.773grp.com/manufacturer/nxp-semiconductor?pageNo=13", "NXP Semiconductors")</f>
        <v>NXP Semiconductors</v>
      </c>
      <c r="C13382" s="6">
        <v>1190</v>
      </c>
      <c r="D13382" s="7">
        <v>0</v>
      </c>
    </row>
    <row r="13383" spans="1:4" x14ac:dyDescent="0.25">
      <c r="A13383" t="str">
        <f>HYPERLINK("https://www.773grp.com/globalSearch/PMBTA42-DG215/page-1", "PMBTA42-DG215")</f>
        <v>PMBTA42-DG215</v>
      </c>
      <c r="B13383" s="3" t="str">
        <f>HYPERLINK("https://www.773grp.com/manufacturer/nxp-semiconductor?pageNo=14", "NXP Semiconductors")</f>
        <v>NXP Semiconductors</v>
      </c>
      <c r="C13383" s="6">
        <v>12000</v>
      </c>
      <c r="D13383" s="7">
        <v>0</v>
      </c>
    </row>
    <row r="13384" spans="1:4" x14ac:dyDescent="0.25">
      <c r="A13384" t="str">
        <f>HYPERLINK("https://www.773grp.com/globalSearch/PMV62XN215/page-1", "PMV62XN215")</f>
        <v>PMV62XN215</v>
      </c>
      <c r="B13384" s="3" t="str">
        <f>HYPERLINK("https://www.773grp.com/manufacturer/nxp-semiconductor?pageNo=15", "NXP Semiconductors")</f>
        <v>NXP Semiconductors</v>
      </c>
      <c r="C13384" s="6">
        <v>9000</v>
      </c>
      <c r="D13384" s="7">
        <v>0</v>
      </c>
    </row>
    <row r="13385" spans="1:4" x14ac:dyDescent="0.25">
      <c r="A13385" t="str">
        <f>HYPERLINK("https://www.773grp.com/globalSearch/PMV77EN215/page-1", "PMV77EN215")</f>
        <v>PMV77EN215</v>
      </c>
      <c r="B13385" s="3" t="str">
        <f>HYPERLINK("https://www.773grp.com/manufacturer/nxp-semiconductor?pageNo=16", "NXP Semiconductors")</f>
        <v>NXP Semiconductors</v>
      </c>
      <c r="C13385" s="6">
        <v>9000</v>
      </c>
      <c r="D13385" s="7">
        <v>0</v>
      </c>
    </row>
    <row r="13386" spans="1:4" x14ac:dyDescent="0.25">
      <c r="A13386" t="str">
        <f>HYPERLINK("https://www.773grp.com/globalSearch/PN5441A2ET-C20501151/page-1", "PN5441A2ET-C20501151")</f>
        <v>PN5441A2ET-C20501151</v>
      </c>
      <c r="B13386" s="3" t="str">
        <f>HYPERLINK("https://www.773grp.com/manufacturer/nxp-semiconductor?pageNo=17", "NXP Semiconductors")</f>
        <v>NXP Semiconductors</v>
      </c>
      <c r="C13386" s="6">
        <v>490</v>
      </c>
      <c r="D13386" s="7">
        <v>0</v>
      </c>
    </row>
    <row r="13387" spans="1:4" x14ac:dyDescent="0.25">
      <c r="A13387" t="str">
        <f>HYPERLINK("https://www.773grp.com/globalSearch/PNX9530E-V140518/page-1", "PNX9530E-V140518")</f>
        <v>PNX9530E-V140518</v>
      </c>
      <c r="B13387" s="3" t="str">
        <f>HYPERLINK("https://www.773grp.com/manufacturer/nxp-semiconductor?pageNo=18", "NXP Semiconductors")</f>
        <v>NXP Semiconductors</v>
      </c>
      <c r="C13387" s="6">
        <v>1600</v>
      </c>
      <c r="D13387" s="7">
        <v>0</v>
      </c>
    </row>
    <row r="13388" spans="1:4" x14ac:dyDescent="0.25">
      <c r="A13388" t="str">
        <f>HYPERLINK("https://www.773grp.com/globalSearch/PR5331C3HN-C350551/page-1", "PR5331C3HN-C350551")</f>
        <v>PR5331C3HN-C350551</v>
      </c>
      <c r="B13388" s="3" t="str">
        <f>HYPERLINK("https://www.773grp.com/manufacturer/nxp-semiconductor?pageNo=19", "NXP Semiconductors")</f>
        <v>NXP Semiconductors</v>
      </c>
      <c r="C13388" s="6">
        <v>5</v>
      </c>
      <c r="D13388" s="7">
        <v>0</v>
      </c>
    </row>
    <row r="13389" spans="1:4" x14ac:dyDescent="0.25">
      <c r="A13389" t="str">
        <f>HYPERLINK("https://www.773grp.com/globalSearch/PREV601699/page-1", "PREV601699")</f>
        <v>PREV601699</v>
      </c>
      <c r="B13389" s="3" t="str">
        <f>HYPERLINK("https://www.773grp.com/manufacturer/nxp-semiconductor?pageNo=20", "NXP Semiconductors")</f>
        <v>NXP Semiconductors</v>
      </c>
      <c r="C13389" s="6">
        <v>1</v>
      </c>
      <c r="D13389" s="7">
        <v>0</v>
      </c>
    </row>
    <row r="13390" spans="1:4" x14ac:dyDescent="0.25">
      <c r="A13390" t="str">
        <f>HYPERLINK("https://www.773grp.com/globalSearch/PSMN1R5-30BLE118/page-1", "PSMN1R5-30BLE118")</f>
        <v>PSMN1R5-30BLE118</v>
      </c>
      <c r="B13390" s="3" t="str">
        <f>HYPERLINK("https://www.773grp.com/manufacturer/nxp-semiconductor?pageNo=21", "NXP Semiconductors")</f>
        <v>NXP Semiconductors</v>
      </c>
      <c r="C13390" s="6">
        <v>4800</v>
      </c>
      <c r="D13390" s="7">
        <v>0</v>
      </c>
    </row>
    <row r="13391" spans="1:4" x14ac:dyDescent="0.25">
      <c r="A13391" t="str">
        <f>HYPERLINK("https://www.773grp.com/globalSearch/PSMN1R6-40YLC115/page-1", "PSMN1R6-40YLC115")</f>
        <v>PSMN1R6-40YLC115</v>
      </c>
      <c r="B13391" s="3" t="str">
        <f>HYPERLINK("https://www.773grp.com/manufacturer/nxp-semiconductor?pageNo=22", "NXP Semiconductors")</f>
        <v>NXP Semiconductors</v>
      </c>
      <c r="C13391" s="6">
        <v>4500</v>
      </c>
      <c r="D13391" s="7">
        <v>0</v>
      </c>
    </row>
    <row r="13392" spans="1:4" x14ac:dyDescent="0.25">
      <c r="A13392" t="str">
        <f>HYPERLINK("https://www.773grp.com/globalSearch/PSMN1RS-40ES127/page-1", "PSMN1RS-40ES127")</f>
        <v>PSMN1RS-40ES127</v>
      </c>
      <c r="B13392" s="3" t="str">
        <f>HYPERLINK("https://www.773grp.com/manufacturer/nxp-semiconductor?pageNo=23", "NXP Semiconductors")</f>
        <v>NXP Semiconductors</v>
      </c>
      <c r="C13392" s="6">
        <v>17</v>
      </c>
      <c r="D13392" s="7">
        <v>0</v>
      </c>
    </row>
    <row r="13393" spans="1:4" x14ac:dyDescent="0.25">
      <c r="A13393" t="str">
        <f>HYPERLINK("https://www.773grp.com/globalSearch/PSMN3R4-30PL/page-1", "PSMN3R4-30PL")</f>
        <v>PSMN3R4-30PL</v>
      </c>
      <c r="B13393" s="3" t="str">
        <f>HYPERLINK("https://www.773grp.com/manufacturer/nxp-semiconductor?pageNo=24", "NXP Semiconductors")</f>
        <v>NXP Semiconductors</v>
      </c>
      <c r="C13393" s="6">
        <v>705</v>
      </c>
      <c r="D13393" s="7">
        <v>0</v>
      </c>
    </row>
    <row r="13394" spans="1:4" x14ac:dyDescent="0.25">
      <c r="A13394" t="str">
        <f>HYPERLINK("https://www.773grp.com/globalSearch/PSMN5RO-80BS118/page-1", "PSMN5RO-80BS118")</f>
        <v>PSMN5RO-80BS118</v>
      </c>
      <c r="B13394" s="3" t="str">
        <f>HYPERLINK("https://www.773grp.com/manufacturer/nxp-semiconductor?pageNo=25", "NXP Semiconductors")</f>
        <v>NXP Semiconductors</v>
      </c>
      <c r="C13394" s="6">
        <v>128</v>
      </c>
      <c r="D13394" s="7">
        <v>0</v>
      </c>
    </row>
    <row r="13395" spans="1:4" x14ac:dyDescent="0.25">
      <c r="A13395" t="str">
        <f>HYPERLINK("https://www.773grp.com/globalSearch/PSMN7RO-100BS118/page-1", "PSMN7RO-100BS118")</f>
        <v>PSMN7RO-100BS118</v>
      </c>
      <c r="B13395" s="3" t="str">
        <f>HYPERLINK("https://www.773grp.com/manufacturer/nxp-semiconductor?pageNo=26", "NXP Semiconductors")</f>
        <v>NXP Semiconductors</v>
      </c>
      <c r="C13395" s="6">
        <v>100</v>
      </c>
      <c r="D13395" s="7">
        <v>0</v>
      </c>
    </row>
    <row r="13396" spans="1:4" x14ac:dyDescent="0.25">
      <c r="A13396" t="str">
        <f>HYPERLINK("https://www.773grp.com/globalSearch/PSMN8R0-30LC115/page-1", "PSMN8R0-30LC115")</f>
        <v>PSMN8R0-30LC115</v>
      </c>
      <c r="B13396" s="3" t="str">
        <f>HYPERLINK("https://www.773grp.com/manufacturer/nxp-semiconductor?pageNo=27", "NXP Semiconductors")</f>
        <v>NXP Semiconductors</v>
      </c>
      <c r="C13396" s="6">
        <v>50</v>
      </c>
      <c r="D13396" s="7">
        <v>0</v>
      </c>
    </row>
    <row r="13397" spans="1:4" x14ac:dyDescent="0.25">
      <c r="A13397" t="str">
        <f>HYPERLINK("https://www.773grp.com/globalSearch/PTVS34VP1UTP/page-1", "PTVS34VP1UTP")</f>
        <v>PTVS34VP1UTP</v>
      </c>
      <c r="B13397" s="3" t="str">
        <f>HYPERLINK("https://www.773grp.com/manufacturer/nxp-semiconductor?pageNo=28", "NXP Semiconductors")</f>
        <v>NXP Semiconductors</v>
      </c>
      <c r="C13397" s="6">
        <v>1</v>
      </c>
      <c r="D13397" s="7">
        <v>0</v>
      </c>
    </row>
    <row r="13398" spans="1:4" x14ac:dyDescent="0.25">
      <c r="A13398" t="str">
        <f>HYPERLINK("https://www.773grp.com/globalSearch/PTVS6VOP1UP115/page-1", "PTVS6VOP1UP115")</f>
        <v>PTVS6VOP1UP115</v>
      </c>
      <c r="B13398" s="3" t="str">
        <f>HYPERLINK("https://www.773grp.com/manufacturer/nxp-semiconductor?pageNo=29", "NXP Semiconductors")</f>
        <v>NXP Semiconductors</v>
      </c>
      <c r="C13398" s="6">
        <v>258</v>
      </c>
      <c r="D13398" s="7">
        <v>0</v>
      </c>
    </row>
    <row r="13399" spans="1:4" x14ac:dyDescent="0.25">
      <c r="A13399" t="str">
        <f>HYPERLINK("https://www.773grp.com/globalSearch/PTVS7V5PIUP115/page-1", "PTVS7V5PIUP115")</f>
        <v>PTVS7V5PIUP115</v>
      </c>
      <c r="B13399" s="3" t="str">
        <f>HYPERLINK("https://www.773grp.com/manufacturer/nxp-semiconductor?pageNo=30", "NXP Semiconductors")</f>
        <v>NXP Semiconductors</v>
      </c>
      <c r="C13399" s="6">
        <v>2813</v>
      </c>
      <c r="D13399" s="7">
        <v>0</v>
      </c>
    </row>
    <row r="13400" spans="1:4" x14ac:dyDescent="0.25">
      <c r="A13400" t="str">
        <f>HYPERLINK("https://www.773grp.com/globalSearch/PTVS8V0P1UTP/page-1", "PTVS8V0P1UTP")</f>
        <v>PTVS8V0P1UTP</v>
      </c>
      <c r="B13400" s="3" t="str">
        <f>HYPERLINK("https://www.773grp.com/manufacturer/nxp-semiconductor?pageNo=31", "NXP Semiconductors")</f>
        <v>NXP Semiconductors</v>
      </c>
      <c r="C13400" s="6">
        <v>2383</v>
      </c>
      <c r="D13400" s="7">
        <v>0</v>
      </c>
    </row>
    <row r="13401" spans="1:4" x14ac:dyDescent="0.25">
      <c r="A13401" t="str">
        <f>HYPERLINK("https://www.773grp.com/globalSearch/PTVS9V0V9115/page-1", "PTVS9V0V9115")</f>
        <v>PTVS9V0V9115</v>
      </c>
      <c r="B13401" s="3" t="str">
        <f>HYPERLINK("https://www.773grp.com/manufacturer/nxp-semiconductor?pageNo=32", "NXP Semiconductors")</f>
        <v>NXP Semiconductors</v>
      </c>
      <c r="C13401" s="6">
        <v>1845</v>
      </c>
      <c r="D13401" s="7">
        <v>0</v>
      </c>
    </row>
    <row r="13402" spans="1:4" x14ac:dyDescent="0.25">
      <c r="A13402" t="str">
        <f>HYPERLINK("https://www.773grp.com/globalSearch/PX1011B-EL1-Q900551/page-1", "PX1011B-EL1-Q900551")</f>
        <v>PX1011B-EL1-Q900551</v>
      </c>
      <c r="B13402" s="3" t="str">
        <f>HYPERLINK("https://www.773grp.com/manufacturer/nxp-semiconductor?pageNo=33", "NXP Semiconductors")</f>
        <v>NXP Semiconductors</v>
      </c>
      <c r="C13402" s="6">
        <v>260</v>
      </c>
      <c r="D13402" s="7">
        <v>0</v>
      </c>
    </row>
    <row r="13403" spans="1:4" x14ac:dyDescent="0.25">
      <c r="A13403" t="str">
        <f>HYPERLINK("https://www.773grp.com/globalSearch/PZM12NB2A115/page-1", "PZM12NB2A115")</f>
        <v>PZM12NB2A115</v>
      </c>
      <c r="B13403" s="3" t="str">
        <f>HYPERLINK("https://www.773grp.com/manufacturer/nxp-semiconductor?pageNo=34", "NXP Semiconductors")</f>
        <v>NXP Semiconductors</v>
      </c>
      <c r="C13403" s="6">
        <v>1287000</v>
      </c>
      <c r="D13403" s="7">
        <v>0</v>
      </c>
    </row>
    <row r="13404" spans="1:4" x14ac:dyDescent="0.25">
      <c r="A13404" t="str">
        <f>HYPERLINK("https://www.773grp.com/globalSearch/PZM5.6NB2115/page-1", "PZM5.6NB2115")</f>
        <v>PZM5.6NB2115</v>
      </c>
      <c r="B13404" s="3" t="str">
        <f>HYPERLINK("https://www.773grp.com/manufacturer/nxp-semiconductor?pageNo=35", "NXP Semiconductors")</f>
        <v>NXP Semiconductors</v>
      </c>
      <c r="C13404" s="6">
        <v>6000</v>
      </c>
      <c r="D13404" s="7">
        <v>0</v>
      </c>
    </row>
    <row r="13405" spans="1:4" x14ac:dyDescent="0.25">
      <c r="A13405" t="str">
        <f>HYPERLINK("https://www.773grp.com/globalSearch/PZU602DB2115/page-1", "PZU602DB2115")</f>
        <v>PZU602DB2115</v>
      </c>
      <c r="B13405" s="3" t="str">
        <f>HYPERLINK("https://www.773grp.com/manufacturer/nxp-semiconductor?pageNo=36", "NXP Semiconductors")</f>
        <v>NXP Semiconductors</v>
      </c>
      <c r="C13405" s="6">
        <v>5987</v>
      </c>
      <c r="D13405" s="7">
        <v>0</v>
      </c>
    </row>
    <row r="13406" spans="1:4" x14ac:dyDescent="0.25">
      <c r="A13406" t="str">
        <f>HYPERLINK("https://www.773grp.com/globalSearch/PZU91B1115/page-1", "PZU91B1115")</f>
        <v>PZU91B1115</v>
      </c>
      <c r="B13406" s="3" t="str">
        <f>HYPERLINK("https://www.773grp.com/manufacturer/nxp-semiconductor?pageNo=37", "NXP Semiconductors")</f>
        <v>NXP Semiconductors</v>
      </c>
      <c r="C13406" s="6">
        <v>12000</v>
      </c>
      <c r="D13406" s="7">
        <v>0</v>
      </c>
    </row>
    <row r="13407" spans="1:4" x14ac:dyDescent="0.25">
      <c r="A13407" t="str">
        <f>HYPERLINK("https://www.773grp.com/globalSearch/SA57000-33D115/page-1", "SA57000-33D115")</f>
        <v>SA57000-33D115</v>
      </c>
      <c r="B13407" s="3" t="str">
        <f>HYPERLINK("https://www.773grp.com/manufacturer/nxp-semiconductor?pageNo=38", "NXP Semiconductors")</f>
        <v>NXP Semiconductors</v>
      </c>
      <c r="C13407" s="6">
        <v>15000</v>
      </c>
      <c r="D13407" s="7">
        <v>0</v>
      </c>
    </row>
    <row r="13408" spans="1:4" x14ac:dyDescent="0.25">
      <c r="A13408" t="str">
        <f>HYPERLINK("https://www.773grp.com/globalSearch/SAA7826HL-M1AS-S5557/page-1", "SAA7826HL-M1AS-S5557")</f>
        <v>SAA7826HL-M1AS-S5557</v>
      </c>
      <c r="B13408" s="3" t="str">
        <f>HYPERLINK("https://www.773grp.com/manufacturer/nxp-semiconductor?pageNo=39", "NXP Semiconductors")</f>
        <v>NXP Semiconductors</v>
      </c>
      <c r="C13408" s="6">
        <v>102935</v>
      </c>
      <c r="D13408" s="7">
        <v>0</v>
      </c>
    </row>
    <row r="13409" spans="1:4" x14ac:dyDescent="0.25">
      <c r="A13409" t="str">
        <f>HYPERLINK("https://www.773grp.com/globalSearch/SAF7741HV-N135518/page-1", "SAF7741HV-N135518")</f>
        <v>SAF7741HV-N135518</v>
      </c>
      <c r="B13409" s="3" t="str">
        <f>HYPERLINK("https://www.773grp.com/manufacturer/nxp-semiconductor?pageNo=40", "NXP Semiconductors")</f>
        <v>NXP Semiconductors</v>
      </c>
      <c r="C13409" s="6">
        <v>750</v>
      </c>
      <c r="D13409" s="7">
        <v>0</v>
      </c>
    </row>
    <row r="13410" spans="1:4" x14ac:dyDescent="0.25">
      <c r="A13410" t="str">
        <f>HYPERLINK("https://www.773grp.com/globalSearch/SAF7746HW-N100-S422518/page-1", "SAF7746HW-N100-S422518")</f>
        <v>SAF7746HW-N100-S422518</v>
      </c>
      <c r="B13410" s="3" t="str">
        <f>HYPERLINK("https://www.773grp.com/manufacturer/nxp-semiconductor?pageNo=41", "NXP Semiconductors")</f>
        <v>NXP Semiconductors</v>
      </c>
      <c r="C13410" s="6">
        <v>8000</v>
      </c>
      <c r="D13410" s="7">
        <v>0</v>
      </c>
    </row>
    <row r="13411" spans="1:4" x14ac:dyDescent="0.25">
      <c r="A13411" t="str">
        <f>HYPERLINK("https://www.773grp.com/globalSearch/SC16C654BIA529/page-1", "SC16C654BIA529")</f>
        <v>SC16C654BIA529</v>
      </c>
      <c r="B13411" s="3" t="str">
        <f>HYPERLINK("https://www.773grp.com/manufacturer/nxp-semiconductor?pageNo=42", "NXP Semiconductors")</f>
        <v>NXP Semiconductors</v>
      </c>
      <c r="C13411" s="6">
        <v>36</v>
      </c>
      <c r="D13411" s="7">
        <v>0</v>
      </c>
    </row>
    <row r="13412" spans="1:4" x14ac:dyDescent="0.25">
      <c r="A13412" t="str">
        <f>HYPERLINK("https://www.773grp.com/globalSearch/SC16IS740IPW-Q900128/page-1", "SC16IS740IPW-Q900128")</f>
        <v>SC16IS740IPW-Q900128</v>
      </c>
      <c r="B13412" s="3" t="str">
        <f>HYPERLINK("https://www.773grp.com/manufacturer/nxp-semiconductor?pageNo=43", "NXP Semiconductors")</f>
        <v>NXP Semiconductors</v>
      </c>
      <c r="C13412" s="6">
        <v>2260</v>
      </c>
      <c r="D13412" s="7">
        <v>0</v>
      </c>
    </row>
    <row r="13413" spans="1:4" x14ac:dyDescent="0.25">
      <c r="A13413" t="str">
        <f>HYPERLINK("https://www.773grp.com/globalSearch/SCC2681AE44512/page-1", "SCC2681AE44512")</f>
        <v>SCC2681AE44512</v>
      </c>
      <c r="B13413" s="3" t="str">
        <f>HYPERLINK("https://www.773grp.com/manufacturer/nxp-semiconductor?pageNo=44", "NXP Semiconductors")</f>
        <v>NXP Semiconductors</v>
      </c>
      <c r="C13413" s="6">
        <v>520</v>
      </c>
      <c r="D13413" s="7">
        <v>0</v>
      </c>
    </row>
    <row r="13414" spans="1:4" x14ac:dyDescent="0.25">
      <c r="A13414" t="str">
        <f>HYPERLINK("https://www.773grp.com/globalSearch/SL3S1213FTBO115/page-1", "SL3S1213FTBO115")</f>
        <v>SL3S1213FTBO115</v>
      </c>
      <c r="B13414" s="3" t="str">
        <f>HYPERLINK("https://www.773grp.com/manufacturer/nxp-semiconductor?pageNo=45", "NXP Semiconductors")</f>
        <v>NXP Semiconductors</v>
      </c>
      <c r="C13414" s="6">
        <v>3543</v>
      </c>
      <c r="D13414" s="7">
        <v>0</v>
      </c>
    </row>
    <row r="13415" spans="1:4" x14ac:dyDescent="0.25">
      <c r="A13415" t="str">
        <f>HYPERLINK("https://www.773grp.com/globalSearch/SLC40001T-OFE/page-1", "SLC40001T-OFE")</f>
        <v>SLC40001T-OFE</v>
      </c>
      <c r="B13415" s="3" t="str">
        <f>HYPERLINK("https://www.773grp.com/manufacturer/nxp-semiconductor?pageNo=46", "NXP Semiconductors")</f>
        <v>NXP Semiconductors</v>
      </c>
      <c r="C13415" s="6">
        <v>248</v>
      </c>
      <c r="D13415" s="7">
        <v>0</v>
      </c>
    </row>
    <row r="13416" spans="1:4" x14ac:dyDescent="0.25">
      <c r="A13416" t="str">
        <f>HYPERLINK("https://www.773grp.com/globalSearch/SSL1623PH-N1112/page-1", "SSL1623PH-N1112")</f>
        <v>SSL1623PH-N1112</v>
      </c>
      <c r="B13416" s="3" t="str">
        <f>HYPERLINK("https://www.773grp.com/manufacturer/nxp-semiconductor?pageNo=47", "NXP Semiconductors")</f>
        <v>NXP Semiconductors</v>
      </c>
      <c r="C13416" s="6">
        <v>1000</v>
      </c>
      <c r="D13416" s="7">
        <v>0</v>
      </c>
    </row>
    <row r="13417" spans="1:4" x14ac:dyDescent="0.25">
      <c r="A13417" t="str">
        <f>HYPERLINK("https://www.773grp.com/globalSearch/SSL1750T-N1518/page-1", "SSL1750T-N1518")</f>
        <v>SSL1750T-N1518</v>
      </c>
      <c r="B13417" s="3" t="str">
        <f>HYPERLINK("https://www.773grp.com/manufacturer/nxp-semiconductor?pageNo=48", "NXP Semiconductors")</f>
        <v>NXP Semiconductors</v>
      </c>
      <c r="C13417" s="6">
        <v>2500</v>
      </c>
      <c r="D13417" s="7">
        <v>0</v>
      </c>
    </row>
    <row r="13418" spans="1:4" x14ac:dyDescent="0.25">
      <c r="A13418" t="str">
        <f>HYPERLINK("https://www.773grp.com/globalSearch/SSL2101T-DB-FBCB120V598/page-1", "SSL2101T-DB-FBCB120V598")</f>
        <v>SSL2101T-DB-FBCB120V598</v>
      </c>
      <c r="B13418" s="3" t="str">
        <f>HYPERLINK("https://www.773grp.com/manufacturer/nxp-semiconductor?pageNo=1", "NXP Semiconductors")</f>
        <v>NXP Semiconductors</v>
      </c>
      <c r="C13418" s="6">
        <v>1</v>
      </c>
      <c r="D13418" s="7">
        <v>0</v>
      </c>
    </row>
    <row r="13419" spans="1:4" x14ac:dyDescent="0.25">
      <c r="A13419" t="str">
        <f>HYPERLINK("https://www.773grp.com/globalSearch/SSL2101T-DB-FBCB230V598/page-1", "SSL2101T-DB-FBCB230V598")</f>
        <v>SSL2101T-DB-FBCB230V598</v>
      </c>
      <c r="B13419" s="3" t="str">
        <f>HYPERLINK("https://www.773grp.com/manufacturer/nxp-semiconductor?pageNo=2", "NXP Semiconductors")</f>
        <v>NXP Semiconductors</v>
      </c>
      <c r="C13419" s="6">
        <v>2</v>
      </c>
      <c r="D13419" s="7">
        <v>0</v>
      </c>
    </row>
    <row r="13420" spans="1:4" x14ac:dyDescent="0.25">
      <c r="A13420" t="str">
        <f>HYPERLINK("https://www.773grp.com/globalSearch/SSL2102T-DB-FLYB230V598/page-1", "SSL2102T-DB-FLYB230V598")</f>
        <v>SSL2102T-DB-FLYB230V598</v>
      </c>
      <c r="B13420" s="3" t="str">
        <f>HYPERLINK("https://www.773grp.com/manufacturer/nxp-semiconductor?pageNo=3", "NXP Semiconductors")</f>
        <v>NXP Semiconductors</v>
      </c>
      <c r="C13420" s="6">
        <v>2</v>
      </c>
      <c r="D13420" s="7">
        <v>0</v>
      </c>
    </row>
    <row r="13421" spans="1:4" x14ac:dyDescent="0.25">
      <c r="A13421" t="str">
        <f>HYPERLINK("https://www.773grp.com/globalSearch/SSL21082DB02598/page-1", "SSL21082DB02598")</f>
        <v>SSL21082DB02598</v>
      </c>
      <c r="B13421" s="3" t="str">
        <f>HYPERLINK("https://www.773grp.com/manufacturer/nxp-semiconductor?pageNo=4", "NXP Semiconductors")</f>
        <v>NXP Semiconductors</v>
      </c>
      <c r="C13421" s="6">
        <v>2</v>
      </c>
      <c r="D13421" s="7">
        <v>0</v>
      </c>
    </row>
    <row r="13422" spans="1:4" x14ac:dyDescent="0.25">
      <c r="A13422" t="str">
        <f>HYPERLINK("https://www.773grp.com/globalSearch/SSL2109DB01598/page-1", "SSL2109DB01598")</f>
        <v>SSL2109DB01598</v>
      </c>
      <c r="B13422" s="3" t="str">
        <f>HYPERLINK("https://www.773grp.com/manufacturer/nxp-semiconductor?pageNo=5", "NXP Semiconductors")</f>
        <v>NXP Semiconductors</v>
      </c>
      <c r="C13422" s="6">
        <v>2</v>
      </c>
      <c r="D13422" s="7">
        <v>0</v>
      </c>
    </row>
    <row r="13423" spans="1:4" x14ac:dyDescent="0.25">
      <c r="A13423" t="str">
        <f>HYPERLINK("https://www.773grp.com/globalSearch/SSL2109DB02598/page-1", "SSL2109DB02598")</f>
        <v>SSL2109DB02598</v>
      </c>
      <c r="B13423" s="3" t="str">
        <f>HYPERLINK("https://www.773grp.com/manufacturer/nxp-semiconductor?pageNo=6", "NXP Semiconductors")</f>
        <v>NXP Semiconductors</v>
      </c>
      <c r="C13423" s="6">
        <v>5</v>
      </c>
      <c r="D13423" s="7">
        <v>0</v>
      </c>
    </row>
    <row r="13424" spans="1:4" x14ac:dyDescent="0.25">
      <c r="A13424" t="str">
        <f>HYPERLINK("https://www.773grp.com/globalSearch/SSL2129AT-1118/page-1", "SSL2129AT-1118")</f>
        <v>SSL2129AT-1118</v>
      </c>
      <c r="B13424" s="3" t="str">
        <f>HYPERLINK("https://www.773grp.com/manufacturer/nxp-semiconductor?pageNo=7", "NXP Semiconductors")</f>
        <v>NXP Semiconductors</v>
      </c>
      <c r="C13424" s="6">
        <v>12500</v>
      </c>
      <c r="D13424" s="7">
        <v>0</v>
      </c>
    </row>
    <row r="13425" spans="1:4" x14ac:dyDescent="0.25">
      <c r="A13425" t="str">
        <f>HYPERLINK("https://www.773grp.com/globalSearch/SSTUM32868ET-G518/page-1", "SSTUM32868ET-G518")</f>
        <v>SSTUM32868ET-G518</v>
      </c>
      <c r="B13425" s="3" t="str">
        <f>HYPERLINK("https://www.773grp.com/manufacturer/nxp-semiconductor?pageNo=8", "NXP Semiconductors")</f>
        <v>NXP Semiconductors</v>
      </c>
      <c r="C13425" s="6">
        <v>15000</v>
      </c>
      <c r="D13425" s="7">
        <v>0</v>
      </c>
    </row>
    <row r="13426" spans="1:4" x14ac:dyDescent="0.25">
      <c r="A13426" t="str">
        <f>HYPERLINK("https://www.773grp.com/globalSearch/TDA18211HD-C2-S2551/page-1", "TDA18211HD-C2-S2551")</f>
        <v>TDA18211HD-C2-S2551</v>
      </c>
      <c r="B13426" s="3" t="str">
        <f>HYPERLINK("https://www.773grp.com/manufacturer/nxp-semiconductor?pageNo=9", "NXP Semiconductors")</f>
        <v>NXP Semiconductors</v>
      </c>
      <c r="C13426" s="6">
        <v>56160</v>
      </c>
      <c r="D13426" s="7">
        <v>0</v>
      </c>
    </row>
    <row r="13427" spans="1:4" x14ac:dyDescent="0.25">
      <c r="A13427" t="str">
        <f>HYPERLINK("https://www.773grp.com/globalSearch/TDA18212HN-M-C1551/page-1", "TDA18212HN-M-C1551")</f>
        <v>TDA18212HN-M-C1551</v>
      </c>
      <c r="B13427" s="3" t="str">
        <f>HYPERLINK("https://www.773grp.com/manufacturer/nxp-semiconductor?pageNo=10", "NXP Semiconductors")</f>
        <v>NXP Semiconductors</v>
      </c>
      <c r="C13427" s="6">
        <v>1470</v>
      </c>
      <c r="D13427" s="7">
        <v>0</v>
      </c>
    </row>
    <row r="13428" spans="1:4" x14ac:dyDescent="0.25">
      <c r="A13428" t="str">
        <f>HYPERLINK("https://www.773grp.com/globalSearch/TDA19977BHV-15-C1551/page-1", "TDA19977BHV-15-C1551")</f>
        <v>TDA19977BHV-15-C1551</v>
      </c>
      <c r="B13428" s="3" t="str">
        <f>HYPERLINK("https://www.773grp.com/manufacturer/nxp-semiconductor?pageNo=11", "NXP Semiconductors")</f>
        <v>NXP Semiconductors</v>
      </c>
      <c r="C13428" s="6">
        <v>60</v>
      </c>
      <c r="D13428" s="7">
        <v>0</v>
      </c>
    </row>
    <row r="13429" spans="1:4" x14ac:dyDescent="0.25">
      <c r="A13429" t="str">
        <f>HYPERLINK("https://www.773grp.com/globalSearch/TDA3674AT-N1118/page-1", "TDA3674AT-N1118")</f>
        <v>TDA3674AT-N1118</v>
      </c>
      <c r="B13429" s="3" t="str">
        <f>HYPERLINK("https://www.773grp.com/manufacturer/nxp-semiconductor?pageNo=12", "NXP Semiconductors")</f>
        <v>NXP Semiconductors</v>
      </c>
      <c r="C13429" s="6">
        <v>15000</v>
      </c>
      <c r="D13429" s="7">
        <v>0</v>
      </c>
    </row>
    <row r="13430" spans="1:4" x14ac:dyDescent="0.25">
      <c r="A13430" t="str">
        <f>HYPERLINK("https://www.773grp.com/globalSearch/TDA6111Q-N4112/page-1", "TDA6111Q-N4112")</f>
        <v>TDA6111Q-N4112</v>
      </c>
      <c r="B13430" s="3" t="str">
        <f>HYPERLINK("https://www.773grp.com/manufacturer/nxp-semiconductor?pageNo=13", "NXP Semiconductors")</f>
        <v>NXP Semiconductors</v>
      </c>
      <c r="C13430" s="6">
        <v>376</v>
      </c>
      <c r="D13430" s="7">
        <v>0</v>
      </c>
    </row>
    <row r="13431" spans="1:4" x14ac:dyDescent="0.25">
      <c r="A13431" t="str">
        <f>HYPERLINK("https://www.773grp.com/globalSearch/TDA6650ATT-C3518/page-1", "TDA6650ATT-C3518")</f>
        <v>TDA6650ATT-C3518</v>
      </c>
      <c r="B13431" s="3" t="str">
        <f>HYPERLINK("https://www.773grp.com/manufacturer/nxp-semiconductor?pageNo=14", "NXP Semiconductors")</f>
        <v>NXP Semiconductors</v>
      </c>
      <c r="C13431" s="6">
        <v>22500</v>
      </c>
      <c r="D13431" s="7">
        <v>0</v>
      </c>
    </row>
    <row r="13432" spans="1:4" x14ac:dyDescent="0.25">
      <c r="A13432" t="str">
        <f>HYPERLINK("https://www.773grp.com/globalSearch/TDA8029HL-C206118/page-1", "TDA8029HL-C206118")</f>
        <v>TDA8029HL-C206118</v>
      </c>
      <c r="B13432" s="3" t="str">
        <f>HYPERLINK("https://www.773grp.com/manufacturer/nxp-semiconductor?pageNo=15", "NXP Semiconductors")</f>
        <v>NXP Semiconductors</v>
      </c>
      <c r="C13432" s="6">
        <v>39</v>
      </c>
      <c r="D13432" s="7">
        <v>0</v>
      </c>
    </row>
    <row r="13433" spans="1:4" x14ac:dyDescent="0.25">
      <c r="A13433" t="str">
        <f>HYPERLINK("https://www.773grp.com/globalSearch/TDA8295HN-C2557/page-1", "TDA8295HN-C2557")</f>
        <v>TDA8295HN-C2557</v>
      </c>
      <c r="B13433" s="3" t="str">
        <f>HYPERLINK("https://www.773grp.com/manufacturer/nxp-semiconductor?pageNo=16", "NXP Semiconductors")</f>
        <v>NXP Semiconductors</v>
      </c>
      <c r="C13433" s="6">
        <v>2450</v>
      </c>
      <c r="D13433" s="7">
        <v>0</v>
      </c>
    </row>
    <row r="13434" spans="1:4" x14ac:dyDescent="0.25">
      <c r="A13434" t="str">
        <f>HYPERLINK("https://www.773grp.com/globalSearch/TDA8542TS-N1/page-1", "TDA8542TS-N1")</f>
        <v>TDA8542TS-N1</v>
      </c>
      <c r="B13434" s="3" t="str">
        <f>HYPERLINK("https://www.773grp.com/manufacturer/nxp-semiconductor?pageNo=17", "NXP Semiconductors")</f>
        <v>NXP Semiconductors</v>
      </c>
      <c r="C13434" s="6">
        <v>1214</v>
      </c>
      <c r="D13434" s="7">
        <v>0</v>
      </c>
    </row>
    <row r="13435" spans="1:4" x14ac:dyDescent="0.25">
      <c r="A13435" t="str">
        <f>HYPERLINK("https://www.773grp.com/globalSearch/TDA8542TSN1112/page-1", "TDA8542TSN1112")</f>
        <v>TDA8542TSN1112</v>
      </c>
      <c r="B13435" s="3" t="str">
        <f>HYPERLINK("https://www.773grp.com/manufacturer/nxp-semiconductor?pageNo=18", "NXP Semiconductors")</f>
        <v>NXP Semiconductors</v>
      </c>
      <c r="C13435" s="6">
        <v>4</v>
      </c>
      <c r="D13435" s="7">
        <v>0</v>
      </c>
    </row>
    <row r="13436" spans="1:4" x14ac:dyDescent="0.25">
      <c r="A13436" t="str">
        <f>HYPERLINK("https://www.773grp.com/globalSearch/TDA8595TH-N2S-S435118/page-1", "TDA8595TH-N2S-S435118")</f>
        <v>TDA8595TH-N2S-S435118</v>
      </c>
      <c r="B13436" s="3" t="str">
        <f>HYPERLINK("https://www.773grp.com/manufacturer/nxp-semiconductor?pageNo=19", "NXP Semiconductors")</f>
        <v>NXP Semiconductors</v>
      </c>
      <c r="C13436" s="6">
        <v>4500</v>
      </c>
      <c r="D13436" s="7">
        <v>0</v>
      </c>
    </row>
    <row r="13437" spans="1:4" x14ac:dyDescent="0.25">
      <c r="A13437" t="str">
        <f>HYPERLINK("https://www.773grp.com/globalSearch/TDA8763M-4-C4112/page-1", "TDA8763M-4-C4112")</f>
        <v>TDA8763M-4-C4112</v>
      </c>
      <c r="B13437" s="3" t="str">
        <f>HYPERLINK("https://www.773grp.com/manufacturer/nxp-semiconductor?pageNo=20", "NXP Semiconductors")</f>
        <v>NXP Semiconductors</v>
      </c>
      <c r="C13437" s="6">
        <v>658</v>
      </c>
      <c r="D13437" s="7">
        <v>0</v>
      </c>
    </row>
    <row r="13438" spans="1:4" x14ac:dyDescent="0.25">
      <c r="A13438" t="str">
        <f>HYPERLINK("https://www.773grp.com/globalSearch/TDA8766G-C1118/page-1", "TDA8766G-C1118")</f>
        <v>TDA8766G-C1118</v>
      </c>
      <c r="B13438" s="3" t="str">
        <f>HYPERLINK("https://www.773grp.com/manufacturer/nxp-semiconductor?pageNo=21", "NXP Semiconductors")</f>
        <v>NXP Semiconductors</v>
      </c>
      <c r="C13438" s="6">
        <v>2000</v>
      </c>
      <c r="D13438" s="7">
        <v>0</v>
      </c>
    </row>
    <row r="13439" spans="1:4" x14ac:dyDescent="0.25">
      <c r="A13439" t="str">
        <f>HYPERLINK("https://www.773grp.com/globalSearch/TDA9981AHL-15C183557/page-1", "TDA9981AHL-15C183557")</f>
        <v>TDA9981AHL-15C183557</v>
      </c>
      <c r="B13439" s="3" t="str">
        <f>HYPERLINK("https://www.773grp.com/manufacturer/nxp-semiconductor?pageNo=22", "NXP Semiconductors")</f>
        <v>NXP Semiconductors</v>
      </c>
      <c r="C13439" s="6">
        <v>1785</v>
      </c>
      <c r="D13439" s="7">
        <v>0</v>
      </c>
    </row>
    <row r="13440" spans="1:4" x14ac:dyDescent="0.25">
      <c r="A13440" t="str">
        <f>HYPERLINK("https://www.773grp.com/globalSearch/TDA9981BHL-15-C1551/page-1", "TDA9981BHL-15-C1551")</f>
        <v>TDA9981BHL-15-C1551</v>
      </c>
      <c r="B13440" s="3" t="str">
        <f>HYPERLINK("https://www.773grp.com/manufacturer/nxp-semiconductor?pageNo=23", "NXP Semiconductors")</f>
        <v>NXP Semiconductors</v>
      </c>
      <c r="C13440" s="6">
        <v>88</v>
      </c>
      <c r="D13440" s="7">
        <v>0</v>
      </c>
    </row>
    <row r="13441" spans="1:4" x14ac:dyDescent="0.25">
      <c r="A13441" t="str">
        <f>HYPERLINK("https://www.773grp.com/globalSearch/TDA9984AHW-15-C130551/page-1", "TDA9984AHW-15-C130551")</f>
        <v>TDA9984AHW-15-C130551</v>
      </c>
      <c r="B13441" s="3" t="str">
        <f>HYPERLINK("https://www.773grp.com/manufacturer/nxp-semiconductor?pageNo=24", "NXP Semiconductors")</f>
        <v>NXP Semiconductors</v>
      </c>
      <c r="C13441" s="6">
        <v>11781</v>
      </c>
      <c r="D13441" s="7">
        <v>0</v>
      </c>
    </row>
    <row r="13442" spans="1:4" x14ac:dyDescent="0.25">
      <c r="A13442" t="str">
        <f>HYPERLINK("https://www.773grp.com/globalSearch/TEA1520PN2112/page-1", "TEA1520PN2112")</f>
        <v>TEA1520PN2112</v>
      </c>
      <c r="B13442" s="3" t="str">
        <f>HYPERLINK("https://www.773grp.com/manufacturer/nxp-semiconductor?pageNo=25", "NXP Semiconductors")</f>
        <v>NXP Semiconductors</v>
      </c>
      <c r="C13442" s="6">
        <v>1500</v>
      </c>
      <c r="D13442" s="7">
        <v>0</v>
      </c>
    </row>
    <row r="13443" spans="1:4" x14ac:dyDescent="0.25">
      <c r="A13443" t="str">
        <f>HYPERLINK("https://www.773grp.com/globalSearch/TEA1530AP-N2112/page-1", "TEA1530AP-N2112")</f>
        <v>TEA1530AP-N2112</v>
      </c>
      <c r="B13443" s="3" t="str">
        <f>HYPERLINK("https://www.773grp.com/manufacturer/nxp-semiconductor?pageNo=26", "NXP Semiconductors")</f>
        <v>NXP Semiconductors</v>
      </c>
      <c r="C13443" s="6">
        <v>24000</v>
      </c>
      <c r="D13443" s="7">
        <v>0</v>
      </c>
    </row>
    <row r="13444" spans="1:4" x14ac:dyDescent="0.25">
      <c r="A13444" t="str">
        <f>HYPERLINK("https://www.773grp.com/globalSearch/TEA1610P-N6112/page-1", "TEA1610P-N6112")</f>
        <v>TEA1610P-N6112</v>
      </c>
      <c r="B13444" s="3" t="str">
        <f>HYPERLINK("https://www.773grp.com/manufacturer/nxp-semiconductor?pageNo=27", "NXP Semiconductors")</f>
        <v>NXP Semiconductors</v>
      </c>
      <c r="C13444" s="6">
        <v>116000</v>
      </c>
      <c r="D13444" s="7">
        <v>0</v>
      </c>
    </row>
    <row r="13445" spans="1:4" x14ac:dyDescent="0.25">
      <c r="A13445" t="str">
        <f>HYPERLINK("https://www.773grp.com/globalSearch/TEA1620P-N1112/page-1", "TEA1620P-N1112")</f>
        <v>TEA1620P-N1112</v>
      </c>
      <c r="B13445" s="3" t="str">
        <f>HYPERLINK("https://www.773grp.com/manufacturer/nxp-semiconductor?pageNo=28", "NXP Semiconductors")</f>
        <v>NXP Semiconductors</v>
      </c>
      <c r="C13445" s="6">
        <v>2000</v>
      </c>
      <c r="D13445" s="7">
        <v>0</v>
      </c>
    </row>
    <row r="13446" spans="1:4" x14ac:dyDescent="0.25">
      <c r="A13446" t="str">
        <f>HYPERLINK("https://www.773grp.com/globalSearch/TEA171AT-N1118/page-1", "TEA171AT-N1118")</f>
        <v>TEA171AT-N1118</v>
      </c>
      <c r="B13446" s="3" t="str">
        <f>HYPERLINK("https://www.773grp.com/manufacturer/nxp-semiconductor?pageNo=29", "NXP Semiconductors")</f>
        <v>NXP Semiconductors</v>
      </c>
      <c r="C13446" s="6">
        <v>21</v>
      </c>
      <c r="D13446" s="7">
        <v>0</v>
      </c>
    </row>
    <row r="13447" spans="1:4" x14ac:dyDescent="0.25">
      <c r="A13447" t="str">
        <f>HYPERLINK("https://www.773grp.com/globalSearch/TEA1750T-N1518/page-1", "TEA1750T-N1518")</f>
        <v>TEA1750T-N1518</v>
      </c>
      <c r="B13447" s="3" t="str">
        <f>HYPERLINK("https://www.773grp.com/manufacturer/nxp-semiconductor?pageNo=30", "NXP Semiconductors")</f>
        <v>NXP Semiconductors</v>
      </c>
      <c r="C13447" s="6">
        <v>5000</v>
      </c>
      <c r="D13447" s="7">
        <v>0</v>
      </c>
    </row>
    <row r="13448" spans="1:4" x14ac:dyDescent="0.25">
      <c r="A13448" t="str">
        <f>HYPERLINK("https://www.773grp.com/globalSearch/TEA1752LT-N1-S1518/page-1", "TEA1752LT-N1-S1518")</f>
        <v>TEA1752LT-N1-S1518</v>
      </c>
      <c r="B13448" s="3" t="str">
        <f>HYPERLINK("https://www.773grp.com/manufacturer/nxp-semiconductor?pageNo=31", "NXP Semiconductors")</f>
        <v>NXP Semiconductors</v>
      </c>
      <c r="C13448" s="6">
        <v>5000</v>
      </c>
      <c r="D13448" s="7">
        <v>0</v>
      </c>
    </row>
    <row r="13449" spans="1:4" x14ac:dyDescent="0.25">
      <c r="A13449" t="str">
        <f>HYPERLINK("https://www.773grp.com/globalSearch/TEA1755LT-1518/page-1", "TEA1755LT-1518")</f>
        <v>TEA1755LT-1518</v>
      </c>
      <c r="B13449" s="3" t="str">
        <f>HYPERLINK("https://www.773grp.com/manufacturer/nxp-semiconductor?pageNo=32", "NXP Semiconductors")</f>
        <v>NXP Semiconductors</v>
      </c>
      <c r="C13449" s="6">
        <v>50000</v>
      </c>
      <c r="D13449" s="7">
        <v>0</v>
      </c>
    </row>
    <row r="13450" spans="1:4" x14ac:dyDescent="0.25">
      <c r="A13450" t="str">
        <f>HYPERLINK("https://www.773grp.com/globalSearch/TEA1755LT-1Y518/page-1", "TEA1755LT-1Y518")</f>
        <v>TEA1755LT-1Y518</v>
      </c>
      <c r="B13450" s="3" t="str">
        <f>HYPERLINK("https://www.773grp.com/manufacturer/nxp-semiconductor?pageNo=33", "NXP Semiconductors")</f>
        <v>NXP Semiconductors</v>
      </c>
      <c r="C13450" s="6">
        <v>2500</v>
      </c>
      <c r="D13450" s="7">
        <v>0</v>
      </c>
    </row>
    <row r="13451" spans="1:4" x14ac:dyDescent="0.25">
      <c r="A13451" t="str">
        <f>HYPERLINK("https://www.773grp.com/globalSearch/TEF7000HN-V3518/page-1", "TEF7000HN-V3518")</f>
        <v>TEF7000HN-V3518</v>
      </c>
      <c r="B13451" s="3" t="str">
        <f>HYPERLINK("https://www.773grp.com/manufacturer/nxp-semiconductor?pageNo=34", "NXP Semiconductors")</f>
        <v>NXP Semiconductors</v>
      </c>
      <c r="C13451" s="6">
        <v>16000</v>
      </c>
      <c r="D13451" s="7">
        <v>0</v>
      </c>
    </row>
    <row r="13452" spans="1:4" x14ac:dyDescent="0.25">
      <c r="A13452" t="str">
        <f>HYPERLINK("https://www.773grp.com/globalSearch/TEF7000HN-V3557/page-1", "TEF7000HN-V3557")</f>
        <v>TEF7000HN-V3557</v>
      </c>
      <c r="B13452" s="3" t="str">
        <f>HYPERLINK("https://www.773grp.com/manufacturer/nxp-semiconductor?pageNo=35", "NXP Semiconductors")</f>
        <v>NXP Semiconductors</v>
      </c>
      <c r="C13452" s="6">
        <v>1300</v>
      </c>
      <c r="D13452" s="7">
        <v>0</v>
      </c>
    </row>
    <row r="13453" spans="1:4" x14ac:dyDescent="0.25">
      <c r="A13453" t="str">
        <f>HYPERLINK("https://www.773grp.com/globalSearch/TEF7006HN-V1518/page-1", "TEF7006HN-V1518")</f>
        <v>TEF7006HN-V1518</v>
      </c>
      <c r="B13453" s="3" t="str">
        <f>HYPERLINK("https://www.773grp.com/manufacturer/nxp-semiconductor?pageNo=36", "NXP Semiconductors")</f>
        <v>NXP Semiconductors</v>
      </c>
      <c r="C13453" s="6">
        <v>2450</v>
      </c>
      <c r="D13453" s="7">
        <v>0</v>
      </c>
    </row>
    <row r="13454" spans="1:4" x14ac:dyDescent="0.25">
      <c r="A13454" t="str">
        <f>HYPERLINK("https://www.773grp.com/globalSearch/TFA9882DU-N1596/page-1", "TFA9882DU-N1596")</f>
        <v>TFA9882DU-N1596</v>
      </c>
      <c r="B13454" s="3" t="str">
        <f>HYPERLINK("https://www.773grp.com/manufacturer/nxp-semiconductor?pageNo=37", "NXP Semiconductors")</f>
        <v>NXP Semiconductors</v>
      </c>
      <c r="C13454" s="6">
        <v>1</v>
      </c>
      <c r="D13454" s="7">
        <v>0</v>
      </c>
    </row>
    <row r="13455" spans="1:4" x14ac:dyDescent="0.25">
      <c r="A13455" t="str">
        <f>HYPERLINK("https://www.773grp.com/globalSearch/TFF11092HN-N1115/page-1", "TFF11092HN-N1115")</f>
        <v>TFF11092HN-N1115</v>
      </c>
      <c r="B13455" s="3" t="str">
        <f>HYPERLINK("https://www.773grp.com/manufacturer/nxp-semiconductor?pageNo=38", "NXP Semiconductors")</f>
        <v>NXP Semiconductors</v>
      </c>
      <c r="C13455" s="6">
        <v>50</v>
      </c>
      <c r="D13455" s="7">
        <v>0</v>
      </c>
    </row>
    <row r="13456" spans="1:4" x14ac:dyDescent="0.25">
      <c r="A13456" t="str">
        <f>HYPERLINK("https://www.773grp.com/globalSearch/TFF11139HN-N1115/page-1", "TFF11139HN-N1115")</f>
        <v>TFF11139HN-N1115</v>
      </c>
      <c r="B13456" s="3" t="str">
        <f>HYPERLINK("https://www.773grp.com/manufacturer/nxp-semiconductor?pageNo=39", "NXP Semiconductors")</f>
        <v>NXP Semiconductors</v>
      </c>
      <c r="C13456" s="6">
        <v>50</v>
      </c>
      <c r="D13456" s="7">
        <v>0</v>
      </c>
    </row>
    <row r="13457" spans="1:4" x14ac:dyDescent="0.25">
      <c r="A13457" t="str">
        <f>HYPERLINK("https://www.773grp.com/globalSearch/TFF11145HN-N1115/page-1", "TFF11145HN-N1115")</f>
        <v>TFF11145HN-N1115</v>
      </c>
      <c r="B13457" s="3" t="str">
        <f>HYPERLINK("https://www.773grp.com/manufacturer/nxp-semiconductor?pageNo=40", "NXP Semiconductors")</f>
        <v>NXP Semiconductors</v>
      </c>
      <c r="C13457" s="6">
        <v>50</v>
      </c>
      <c r="D13457" s="7">
        <v>0</v>
      </c>
    </row>
    <row r="13458" spans="1:4" x14ac:dyDescent="0.25">
      <c r="A13458" t="str">
        <f>HYPERLINK("https://www.773grp.com/globalSearch/TJA1041TVM512/page-1", "TJA1041TVM512")</f>
        <v>TJA1041TVM512</v>
      </c>
      <c r="B13458" s="3" t="str">
        <f>HYPERLINK("https://www.773grp.com/manufacturer/nxp-semiconductor?pageNo=41", "NXP Semiconductors")</f>
        <v>NXP Semiconductors</v>
      </c>
      <c r="C13458" s="6">
        <v>18</v>
      </c>
      <c r="D13458" s="7">
        <v>0</v>
      </c>
    </row>
    <row r="13459" spans="1:4" x14ac:dyDescent="0.25">
      <c r="A13459" t="str">
        <f>HYPERLINK("https://www.773grp.com/globalSearch/TJA1054AT-S900-VM518/page-1", "TJA1054AT-S900-VM518")</f>
        <v>TJA1054AT-S900-VM518</v>
      </c>
      <c r="B13459" s="3" t="str">
        <f>HYPERLINK("https://www.773grp.com/manufacturer/nxp-semiconductor?pageNo=42", "NXP Semiconductors")</f>
        <v>NXP Semiconductors</v>
      </c>
      <c r="C13459" s="6">
        <v>5000</v>
      </c>
      <c r="D13459" s="7">
        <v>0</v>
      </c>
    </row>
    <row r="13460" spans="1:4" x14ac:dyDescent="0.25">
      <c r="A13460" t="str">
        <f>HYPERLINK("https://www.773grp.com/globalSearch/TJF1051T-CM118/page-1", "TJF1051T-CM118")</f>
        <v>TJF1051T-CM118</v>
      </c>
      <c r="B13460" s="3" t="str">
        <f>HYPERLINK("https://www.773grp.com/manufacturer/nxp-semiconductor?pageNo=43", "NXP Semiconductors")</f>
        <v>NXP Semiconductors</v>
      </c>
      <c r="C13460" s="6">
        <v>10000</v>
      </c>
      <c r="D13460" s="7">
        <v>0</v>
      </c>
    </row>
    <row r="13461" spans="1:4" x14ac:dyDescent="0.25">
      <c r="A13461" t="str">
        <f>HYPERLINK("https://www.773grp.com/globalSearch/TLVH431DMQDBZR215/page-1", "TLVH431DMQDBZR215")</f>
        <v>TLVH431DMQDBZR215</v>
      </c>
      <c r="B13461" s="3" t="str">
        <f>HYPERLINK("https://www.773grp.com/manufacturer/nxp-semiconductor?pageNo=44", "NXP Semiconductors")</f>
        <v>NXP Semiconductors</v>
      </c>
      <c r="C13461" s="6">
        <v>6000</v>
      </c>
      <c r="D13461" s="7">
        <v>0</v>
      </c>
    </row>
    <row r="13462" spans="1:4" x14ac:dyDescent="0.25">
      <c r="A13462" t="str">
        <f>HYPERLINK("https://www.773grp.com/globalSearch/TLVH431DQDBZR215/page-1", "TLVH431DQDBZR215")</f>
        <v>TLVH431DQDBZR215</v>
      </c>
      <c r="B13462" s="3" t="str">
        <f>HYPERLINK("https://www.773grp.com/manufacturer/nxp-semiconductor?pageNo=45", "NXP Semiconductors")</f>
        <v>NXP Semiconductors</v>
      </c>
      <c r="C13462" s="6">
        <v>18000</v>
      </c>
      <c r="D13462" s="7">
        <v>0</v>
      </c>
    </row>
    <row r="13463" spans="1:4" x14ac:dyDescent="0.25">
      <c r="A13463" t="str">
        <f>HYPERLINK("https://www.773grp.com/globalSearch/UBA2021PN2112/page-1", "UBA2021PN2112")</f>
        <v>UBA2021PN2112</v>
      </c>
      <c r="B13463" s="3" t="str">
        <f>HYPERLINK("https://www.773grp.com/manufacturer/nxp-semiconductor?pageNo=46", "NXP Semiconductors")</f>
        <v>NXP Semiconductors</v>
      </c>
      <c r="C13463" s="6">
        <v>50</v>
      </c>
      <c r="D13463" s="7">
        <v>0</v>
      </c>
    </row>
    <row r="13464" spans="1:4" x14ac:dyDescent="0.25">
      <c r="A13464" t="str">
        <f>HYPERLINK("https://www.773grp.com/globalSearch/UBA2024APN1112/page-1", "UBA2024APN1112")</f>
        <v>UBA2024APN1112</v>
      </c>
      <c r="B13464" s="3" t="str">
        <f>HYPERLINK("https://www.773grp.com/manufacturer/nxp-semiconductor?pageNo=47", "NXP Semiconductors")</f>
        <v>NXP Semiconductors</v>
      </c>
      <c r="C13464" s="6">
        <v>50</v>
      </c>
      <c r="D13464" s="7">
        <v>0</v>
      </c>
    </row>
    <row r="13465" spans="1:4" x14ac:dyDescent="0.25">
      <c r="A13465" t="str">
        <f>HYPERLINK("https://www.773grp.com/globalSearch/UBA2024BT-N1118/page-1", "UBA2024BT-N1118")</f>
        <v>UBA2024BT-N1118</v>
      </c>
      <c r="B13465" s="3" t="str">
        <f>HYPERLINK("https://www.773grp.com/manufacturer/nxp-semiconductor?pageNo=48", "NXP Semiconductors")</f>
        <v>NXP Semiconductors</v>
      </c>
      <c r="C13465" s="6">
        <v>20</v>
      </c>
      <c r="D13465" s="7">
        <v>0</v>
      </c>
    </row>
    <row r="13466" spans="1:4" x14ac:dyDescent="0.25">
      <c r="A13466" t="str">
        <f>HYPERLINK("https://www.773grp.com/globalSearch/UBA2033TS-N3118/page-1", "UBA2033TS-N3118")</f>
        <v>UBA2033TS-N3118</v>
      </c>
      <c r="B13466" s="3" t="str">
        <f>HYPERLINK("https://www.773grp.com/manufacturer/nxp-semiconductor?pageNo=1", "NXP Semiconductors")</f>
        <v>NXP Semiconductors</v>
      </c>
      <c r="C13466" s="6">
        <v>233000</v>
      </c>
      <c r="D13466" s="7">
        <v>0</v>
      </c>
    </row>
    <row r="13467" spans="1:4" x14ac:dyDescent="0.25">
      <c r="A13467" t="str">
        <f>HYPERLINK("https://www.773grp.com/globalSearch/UBA2073T-N1118/page-1", "UBA2073T-N1118")</f>
        <v>UBA2073T-N1118</v>
      </c>
      <c r="B13467" s="3" t="str">
        <f>HYPERLINK("https://www.773grp.com/manufacturer/nxp-semiconductor?pageNo=2", "NXP Semiconductors")</f>
        <v>NXP Semiconductors</v>
      </c>
      <c r="C13467" s="6">
        <v>2500</v>
      </c>
      <c r="D13467" s="7">
        <v>0</v>
      </c>
    </row>
    <row r="13468" spans="1:4" x14ac:dyDescent="0.25">
      <c r="A13468" t="str">
        <f>HYPERLINK("https://www.773grp.com/globalSearch/UDA1334TS-N1118/page-1", "UDA1334TS-N1118")</f>
        <v>UDA1334TS-N1118</v>
      </c>
      <c r="B13468" s="3" t="str">
        <f>HYPERLINK("https://www.773grp.com/manufacturer/nxp-semiconductor?pageNo=3", "NXP Semiconductors")</f>
        <v>NXP Semiconductors</v>
      </c>
      <c r="C13468" s="6">
        <v>30000</v>
      </c>
      <c r="D13468" s="7">
        <v>0</v>
      </c>
    </row>
    <row r="13469" spans="1:4" x14ac:dyDescent="0.25">
      <c r="A13469" t="str">
        <f>HYPERLINK("https://www.773grp.com/globalSearch/UJA1079ATW-3V3-WD118/page-1", "UJA1079ATW-3V3-WD118")</f>
        <v>UJA1079ATW-3V3-WD118</v>
      </c>
      <c r="B13469" s="3" t="str">
        <f>HYPERLINK("https://www.773grp.com/manufacturer/nxp-semiconductor?pageNo=4", "NXP Semiconductors")</f>
        <v>NXP Semiconductors</v>
      </c>
      <c r="C13469" s="6">
        <v>4000</v>
      </c>
      <c r="D13469" s="7">
        <v>0</v>
      </c>
    </row>
    <row r="13470" spans="1:4" x14ac:dyDescent="0.25">
      <c r="A13470" t="str">
        <f>HYPERLINK("https://www.773grp.com/globalSearch/1N4148113/page-1", "1N4148113")</f>
        <v>1N4148113</v>
      </c>
      <c r="B13470" s="3" t="str">
        <f>HYPERLINK("https://www.773grp.com/manufacturer/nxp-semiconductor?pageNo=5", "NXP Semiconductors")</f>
        <v>NXP Semiconductors</v>
      </c>
      <c r="C13470" s="6">
        <v>999900</v>
      </c>
      <c r="D13470" s="7">
        <v>0.05</v>
      </c>
    </row>
    <row r="13471" spans="1:4" x14ac:dyDescent="0.25">
      <c r="A13471" t="str">
        <f>HYPERLINK("https://www.773grp.com/globalSearch/1N4148133/page-1", "1N4148133")</f>
        <v>1N4148133</v>
      </c>
      <c r="B13471" s="3" t="str">
        <f>HYPERLINK("https://www.773grp.com/manufacturer/nxp-semiconductor?pageNo=6", "NXP Semiconductors")</f>
        <v>NXP Semiconductors</v>
      </c>
      <c r="C13471" s="6">
        <v>210000</v>
      </c>
      <c r="D13471" s="7">
        <v>0.05</v>
      </c>
    </row>
    <row r="13472" spans="1:4" x14ac:dyDescent="0.25">
      <c r="A13472" t="str">
        <f>HYPERLINK("https://www.773grp.com/globalSearch/1N4148143/page-1", "1N4148143")</f>
        <v>1N4148143</v>
      </c>
      <c r="B13472" s="3" t="str">
        <f>HYPERLINK("https://www.773grp.com/manufacturer/nxp-semiconductor?pageNo=7", "NXP Semiconductors")</f>
        <v>NXP Semiconductors</v>
      </c>
      <c r="C13472" s="6">
        <v>185000</v>
      </c>
      <c r="D13472" s="7">
        <v>0.05</v>
      </c>
    </row>
    <row r="13473" spans="1:4" x14ac:dyDescent="0.25">
      <c r="A13473" t="str">
        <f>HYPERLINK("https://www.773grp.com/globalSearch/1N4448113/page-1", "1N4448113")</f>
        <v>1N4448113</v>
      </c>
      <c r="B13473" s="3" t="str">
        <f>HYPERLINK("https://www.773grp.com/manufacturer/nxp-semiconductor?pageNo=8", "NXP Semiconductors")</f>
        <v>NXP Semiconductors</v>
      </c>
      <c r="C13473" s="6">
        <v>30000</v>
      </c>
      <c r="D13473" s="7">
        <v>0.05</v>
      </c>
    </row>
    <row r="13474" spans="1:4" x14ac:dyDescent="0.25">
      <c r="A13474" t="str">
        <f>HYPERLINK("https://www.773grp.com/globalSearch/1N4448133/page-1", "1N4448133")</f>
        <v>1N4448133</v>
      </c>
      <c r="B13474" s="3" t="str">
        <f>HYPERLINK("https://www.773grp.com/manufacturer/nxp-semiconductor?pageNo=9", "NXP Semiconductors")</f>
        <v>NXP Semiconductors</v>
      </c>
      <c r="C13474" s="6">
        <v>100000</v>
      </c>
      <c r="D13474" s="7">
        <v>0.05</v>
      </c>
    </row>
    <row r="13475" spans="1:4" x14ac:dyDescent="0.25">
      <c r="A13475" t="str">
        <f>HYPERLINK("https://www.773grp.com/globalSearch/BAL99215/page-1", "BAL99215")</f>
        <v>BAL99215</v>
      </c>
      <c r="B13475" s="3" t="str">
        <f>HYPERLINK("https://www.773grp.com/manufacturer/nxp-semiconductor?pageNo=10", "NXP Semiconductors")</f>
        <v>NXP Semiconductors</v>
      </c>
      <c r="C13475" s="6">
        <v>6000</v>
      </c>
      <c r="D13475" s="7">
        <v>0.05</v>
      </c>
    </row>
    <row r="13476" spans="1:4" x14ac:dyDescent="0.25">
      <c r="A13476" t="str">
        <f>HYPERLINK("https://www.773grp.com/globalSearch/BAS16235/page-1", "BAS16235")</f>
        <v>BAS16235</v>
      </c>
      <c r="B13476" s="3" t="str">
        <f>HYPERLINK("https://www.773grp.com/manufacturer/nxp-semiconductor?pageNo=11", "NXP Semiconductors")</f>
        <v>NXP Semiconductors</v>
      </c>
      <c r="C13476" s="6">
        <v>50000</v>
      </c>
      <c r="D13476" s="7">
        <v>0.05</v>
      </c>
    </row>
    <row r="13477" spans="1:4" x14ac:dyDescent="0.25">
      <c r="A13477" t="str">
        <f>HYPERLINK("https://www.773grp.com/globalSearch/BAV20113/page-1", "BAV20113")</f>
        <v>BAV20113</v>
      </c>
      <c r="B13477" s="3" t="str">
        <f>HYPERLINK("https://www.773grp.com/manufacturer/nxp-semiconductor?pageNo=12", "NXP Semiconductors")</f>
        <v>NXP Semiconductors</v>
      </c>
      <c r="C13477" s="6">
        <v>70000</v>
      </c>
      <c r="D13477" s="7">
        <v>0.05</v>
      </c>
    </row>
    <row r="13478" spans="1:4" x14ac:dyDescent="0.25">
      <c r="A13478" t="str">
        <f>HYPERLINK("https://www.773grp.com/globalSearch/BAV21113/page-1", "BAV21113")</f>
        <v>BAV21113</v>
      </c>
      <c r="B13478" s="3" t="str">
        <f>HYPERLINK("https://www.773grp.com/manufacturer/nxp-semiconductor?pageNo=13", "NXP Semiconductors")</f>
        <v>NXP Semiconductors</v>
      </c>
      <c r="C13478" s="6">
        <v>30000</v>
      </c>
      <c r="D13478" s="7">
        <v>0.05</v>
      </c>
    </row>
    <row r="13479" spans="1:4" x14ac:dyDescent="0.25">
      <c r="A13479" t="str">
        <f>HYPERLINK("https://www.773grp.com/globalSearch/BAV21133/page-1", "BAV21133")</f>
        <v>BAV21133</v>
      </c>
      <c r="B13479" s="3" t="str">
        <f>HYPERLINK("https://www.773grp.com/manufacturer/nxp-semiconductor?pageNo=14", "NXP Semiconductors")</f>
        <v>NXP Semiconductors</v>
      </c>
      <c r="C13479" s="6">
        <v>50150</v>
      </c>
      <c r="D13479" s="7">
        <v>0.05</v>
      </c>
    </row>
    <row r="13480" spans="1:4" x14ac:dyDescent="0.25">
      <c r="A13480" t="str">
        <f>HYPERLINK("https://www.773grp.com/globalSearch/BAV21143/page-1", "BAV21143")</f>
        <v>BAV21143</v>
      </c>
      <c r="B13480" s="3" t="str">
        <f>HYPERLINK("https://www.773grp.com/manufacturer/nxp-semiconductor?pageNo=15", "NXP Semiconductors")</f>
        <v>NXP Semiconductors</v>
      </c>
      <c r="C13480" s="6">
        <v>40000</v>
      </c>
      <c r="D13480" s="7">
        <v>0.05</v>
      </c>
    </row>
    <row r="13481" spans="1:4" x14ac:dyDescent="0.25">
      <c r="A13481" t="str">
        <f>HYPERLINK("https://www.773grp.com/globalSearch/BAV70235/page-1", "BAV70235")</f>
        <v>BAV70235</v>
      </c>
      <c r="B13481" s="3" t="str">
        <f>HYPERLINK("https://www.773grp.com/manufacturer/nxp-semiconductor?pageNo=16", "NXP Semiconductors")</f>
        <v>NXP Semiconductors</v>
      </c>
      <c r="C13481" s="6">
        <v>110000</v>
      </c>
      <c r="D13481" s="7">
        <v>0.05</v>
      </c>
    </row>
    <row r="13482" spans="1:4" x14ac:dyDescent="0.25">
      <c r="A13482" t="str">
        <f>HYPERLINK("https://www.773grp.com/globalSearch/BAW56235/page-1", "BAW56235")</f>
        <v>BAW56235</v>
      </c>
      <c r="B13482" s="3" t="str">
        <f>HYPERLINK("https://www.773grp.com/manufacturer/nxp-semiconductor?pageNo=17", "NXP Semiconductors")</f>
        <v>NXP Semiconductors</v>
      </c>
      <c r="C13482" s="6">
        <v>20000</v>
      </c>
      <c r="D13482" s="7">
        <v>0.05</v>
      </c>
    </row>
    <row r="13483" spans="1:4" x14ac:dyDescent="0.25">
      <c r="A13483" t="str">
        <f>HYPERLINK("https://www.773grp.com/globalSearch/BAW56W115/page-1", "BAW56W115")</f>
        <v>BAW56W115</v>
      </c>
      <c r="B13483" s="3" t="str">
        <f>HYPERLINK("https://www.773grp.com/manufacturer/nxp-semiconductor?pageNo=18", "NXP Semiconductors")</f>
        <v>NXP Semiconductors</v>
      </c>
      <c r="C13483" s="6">
        <v>2900</v>
      </c>
      <c r="D13483" s="7">
        <v>0.05</v>
      </c>
    </row>
    <row r="13484" spans="1:4" x14ac:dyDescent="0.25">
      <c r="A13484" t="str">
        <f>HYPERLINK("https://www.773grp.com/globalSearch/BAW62113/page-1", "BAW62113")</f>
        <v>BAW62113</v>
      </c>
      <c r="B13484" s="3" t="str">
        <f>HYPERLINK("https://www.773grp.com/manufacturer/nxp-semiconductor?pageNo=19", "NXP Semiconductors")</f>
        <v>NXP Semiconductors</v>
      </c>
      <c r="C13484" s="6">
        <v>21500</v>
      </c>
      <c r="D13484" s="7">
        <v>0.05</v>
      </c>
    </row>
    <row r="13485" spans="1:4" x14ac:dyDescent="0.25">
      <c r="A13485" t="str">
        <f>HYPERLINK("https://www.773grp.com/globalSearch/BZX79-C10113/page-1", "BZX79-C10113")</f>
        <v>BZX79-C10113</v>
      </c>
      <c r="B13485" s="3" t="str">
        <f>HYPERLINK("https://www.773grp.com/manufacturer/nxp-semiconductor?pageNo=20", "NXP Semiconductors")</f>
        <v>NXP Semiconductors</v>
      </c>
      <c r="C13485" s="6">
        <v>188266</v>
      </c>
      <c r="D13485" s="7">
        <v>0.05</v>
      </c>
    </row>
    <row r="13486" spans="1:4" x14ac:dyDescent="0.25">
      <c r="A13486" t="str">
        <f>HYPERLINK("https://www.773grp.com/globalSearch/BZX79-C10133/page-1", "BZX79-C10133")</f>
        <v>BZX79-C10133</v>
      </c>
      <c r="B13486" s="3" t="str">
        <f>HYPERLINK("https://www.773grp.com/manufacturer/nxp-semiconductor?pageNo=21", "NXP Semiconductors")</f>
        <v>NXP Semiconductors</v>
      </c>
      <c r="C13486" s="6">
        <v>100000</v>
      </c>
      <c r="D13486" s="7">
        <v>0.05</v>
      </c>
    </row>
    <row r="13487" spans="1:4" x14ac:dyDescent="0.25">
      <c r="A13487" t="str">
        <f>HYPERLINK("https://www.773grp.com/globalSearch/BZX79-C10143/page-1", "BZX79-C10143")</f>
        <v>BZX79-C10143</v>
      </c>
      <c r="B13487" s="3" t="str">
        <f>HYPERLINK("https://www.773grp.com/manufacturer/nxp-semiconductor?pageNo=22", "NXP Semiconductors")</f>
        <v>NXP Semiconductors</v>
      </c>
      <c r="C13487" s="6">
        <v>65000</v>
      </c>
      <c r="D13487" s="7">
        <v>0.05</v>
      </c>
    </row>
    <row r="13488" spans="1:4" x14ac:dyDescent="0.25">
      <c r="A13488" t="str">
        <f>HYPERLINK("https://www.773grp.com/globalSearch/BZX79-C11113/page-1", "BZX79-C11113")</f>
        <v>BZX79-C11113</v>
      </c>
      <c r="B13488" s="3" t="str">
        <f>HYPERLINK("https://www.773grp.com/manufacturer/nxp-semiconductor?pageNo=23", "NXP Semiconductors")</f>
        <v>NXP Semiconductors</v>
      </c>
      <c r="C13488" s="6">
        <v>260000</v>
      </c>
      <c r="D13488" s="7">
        <v>0.05</v>
      </c>
    </row>
    <row r="13489" spans="1:4" x14ac:dyDescent="0.25">
      <c r="A13489" t="str">
        <f>HYPERLINK("https://www.773grp.com/globalSearch/BZX79-C11143/page-1", "BZX79-C11143")</f>
        <v>BZX79-C11143</v>
      </c>
      <c r="B13489" s="3" t="str">
        <f>HYPERLINK("https://www.773grp.com/manufacturer/nxp-semiconductor?pageNo=24", "NXP Semiconductors")</f>
        <v>NXP Semiconductors</v>
      </c>
      <c r="C13489" s="6">
        <v>35000</v>
      </c>
      <c r="D13489" s="7">
        <v>0.05</v>
      </c>
    </row>
    <row r="13490" spans="1:4" x14ac:dyDescent="0.25">
      <c r="A13490" t="str">
        <f>HYPERLINK("https://www.773grp.com/globalSearch/BZX79-C12113/page-1", "BZX79-C12113")</f>
        <v>BZX79-C12113</v>
      </c>
      <c r="B13490" s="3" t="str">
        <f>HYPERLINK("https://www.773grp.com/manufacturer/nxp-semiconductor?pageNo=25", "NXP Semiconductors")</f>
        <v>NXP Semiconductors</v>
      </c>
      <c r="C13490" s="6">
        <v>299900</v>
      </c>
      <c r="D13490" s="7">
        <v>0.05</v>
      </c>
    </row>
    <row r="13491" spans="1:4" x14ac:dyDescent="0.25">
      <c r="A13491" t="str">
        <f>HYPERLINK("https://www.773grp.com/globalSearch/BZX79-C12133/page-1", "BZX79-C12133")</f>
        <v>BZX79-C12133</v>
      </c>
      <c r="B13491" s="3" t="str">
        <f>HYPERLINK("https://www.773grp.com/manufacturer/nxp-semiconductor?pageNo=26", "NXP Semiconductors")</f>
        <v>NXP Semiconductors</v>
      </c>
      <c r="C13491" s="6">
        <v>60000</v>
      </c>
      <c r="D13491" s="7">
        <v>0.05</v>
      </c>
    </row>
    <row r="13492" spans="1:4" x14ac:dyDescent="0.25">
      <c r="A13492" t="str">
        <f>HYPERLINK("https://www.773grp.com/globalSearch/BZX79-C13113/page-1", "BZX79-C13113")</f>
        <v>BZX79-C13113</v>
      </c>
      <c r="B13492" s="3" t="str">
        <f>HYPERLINK("https://www.773grp.com/manufacturer/nxp-semiconductor?pageNo=27", "NXP Semiconductors")</f>
        <v>NXP Semiconductors</v>
      </c>
      <c r="C13492" s="6">
        <v>185400</v>
      </c>
      <c r="D13492" s="7">
        <v>0.05</v>
      </c>
    </row>
    <row r="13493" spans="1:4" x14ac:dyDescent="0.25">
      <c r="A13493" t="str">
        <f>HYPERLINK("https://www.773grp.com/globalSearch/BZX79-C13133/page-1", "BZX79-C13133")</f>
        <v>BZX79-C13133</v>
      </c>
      <c r="B13493" s="3" t="str">
        <f>HYPERLINK("https://www.773grp.com/manufacturer/nxp-semiconductor?pageNo=28", "NXP Semiconductors")</f>
        <v>NXP Semiconductors</v>
      </c>
      <c r="C13493" s="6">
        <v>20000</v>
      </c>
      <c r="D13493" s="7">
        <v>0.05</v>
      </c>
    </row>
    <row r="13494" spans="1:4" x14ac:dyDescent="0.25">
      <c r="A13494" t="str">
        <f>HYPERLINK("https://www.773grp.com/globalSearch/BZX79-C13143/page-1", "BZX79-C13143")</f>
        <v>BZX79-C13143</v>
      </c>
      <c r="B13494" s="3" t="str">
        <f>HYPERLINK("https://www.773grp.com/manufacturer/nxp-semiconductor?pageNo=29", "NXP Semiconductors")</f>
        <v>NXP Semiconductors</v>
      </c>
      <c r="C13494" s="6">
        <v>60000</v>
      </c>
      <c r="D13494" s="7">
        <v>0.05</v>
      </c>
    </row>
    <row r="13495" spans="1:4" x14ac:dyDescent="0.25">
      <c r="A13495" t="str">
        <f>HYPERLINK("https://www.773grp.com/globalSearch/BZX79-C15113/page-1", "BZX79-C15113")</f>
        <v>BZX79-C15113</v>
      </c>
      <c r="B13495" s="3" t="str">
        <f>HYPERLINK("https://www.773grp.com/manufacturer/nxp-semiconductor?pageNo=30", "NXP Semiconductors")</f>
        <v>NXP Semiconductors</v>
      </c>
      <c r="C13495" s="6">
        <v>150000</v>
      </c>
      <c r="D13495" s="7">
        <v>0.05</v>
      </c>
    </row>
    <row r="13496" spans="1:4" x14ac:dyDescent="0.25">
      <c r="A13496" t="str">
        <f>HYPERLINK("https://www.773grp.com/globalSearch/BZX79-C15133/page-1", "BZX79-C15133")</f>
        <v>BZX79-C15133</v>
      </c>
      <c r="B13496" s="3" t="str">
        <f>HYPERLINK("https://www.773grp.com/manufacturer/nxp-semiconductor?pageNo=31", "NXP Semiconductors")</f>
        <v>NXP Semiconductors</v>
      </c>
      <c r="C13496" s="6">
        <v>60000</v>
      </c>
      <c r="D13496" s="7">
        <v>0.05</v>
      </c>
    </row>
    <row r="13497" spans="1:4" x14ac:dyDescent="0.25">
      <c r="A13497" t="str">
        <f>HYPERLINK("https://www.773grp.com/globalSearch/BZX79-C15143/page-1", "BZX79-C15143")</f>
        <v>BZX79-C15143</v>
      </c>
      <c r="B13497" s="3" t="str">
        <f>HYPERLINK("https://www.773grp.com/manufacturer/nxp-semiconductor?pageNo=32", "NXP Semiconductors")</f>
        <v>NXP Semiconductors</v>
      </c>
      <c r="C13497" s="6">
        <v>61244</v>
      </c>
      <c r="D13497" s="7">
        <v>0.05</v>
      </c>
    </row>
    <row r="13498" spans="1:4" x14ac:dyDescent="0.25">
      <c r="A13498" t="str">
        <f>HYPERLINK("https://www.773grp.com/globalSearch/BZX79-C16113/page-1", "BZX79-C16113")</f>
        <v>BZX79-C16113</v>
      </c>
      <c r="B13498" s="3" t="str">
        <f>HYPERLINK("https://www.773grp.com/manufacturer/nxp-semiconductor?pageNo=33", "NXP Semiconductors")</f>
        <v>NXP Semiconductors</v>
      </c>
      <c r="C13498" s="6">
        <v>90000</v>
      </c>
      <c r="D13498" s="7">
        <v>0.05</v>
      </c>
    </row>
    <row r="13499" spans="1:4" x14ac:dyDescent="0.25">
      <c r="A13499" t="str">
        <f>HYPERLINK("https://www.773grp.com/globalSearch/BZX79-C16133/page-1", "BZX79-C16133")</f>
        <v>BZX79-C16133</v>
      </c>
      <c r="B13499" s="3" t="str">
        <f>HYPERLINK("https://www.773grp.com/manufacturer/nxp-semiconductor?pageNo=34", "NXP Semiconductors")</f>
        <v>NXP Semiconductors</v>
      </c>
      <c r="C13499" s="6">
        <v>100000</v>
      </c>
      <c r="D13499" s="7">
        <v>0.05</v>
      </c>
    </row>
    <row r="13500" spans="1:4" x14ac:dyDescent="0.25">
      <c r="A13500" t="str">
        <f>HYPERLINK("https://www.773grp.com/globalSearch/BZX79-C18113/page-1", "BZX79-C18113")</f>
        <v>BZX79-C18113</v>
      </c>
      <c r="B13500" s="3" t="str">
        <f>HYPERLINK("https://www.773grp.com/manufacturer/nxp-semiconductor?pageNo=35", "NXP Semiconductors")</f>
        <v>NXP Semiconductors</v>
      </c>
      <c r="C13500" s="6">
        <v>170000</v>
      </c>
      <c r="D13500" s="7">
        <v>0.05</v>
      </c>
    </row>
    <row r="13501" spans="1:4" x14ac:dyDescent="0.25">
      <c r="A13501" t="str">
        <f>HYPERLINK("https://www.773grp.com/globalSearch/BZX79-C18133/page-1", "BZX79-C18133")</f>
        <v>BZX79-C18133</v>
      </c>
      <c r="B13501" s="3" t="str">
        <f>HYPERLINK("https://www.773grp.com/manufacturer/nxp-semiconductor?pageNo=36", "NXP Semiconductors")</f>
        <v>NXP Semiconductors</v>
      </c>
      <c r="C13501" s="6">
        <v>100000</v>
      </c>
      <c r="D13501" s="7">
        <v>0.05</v>
      </c>
    </row>
    <row r="13502" spans="1:4" x14ac:dyDescent="0.25">
      <c r="A13502" t="str">
        <f>HYPERLINK("https://www.773grp.com/globalSearch/BZX79-C18143/page-1", "BZX79-C18143")</f>
        <v>BZX79-C18143</v>
      </c>
      <c r="B13502" s="3" t="str">
        <f>HYPERLINK("https://www.773grp.com/manufacturer/nxp-semiconductor?pageNo=37", "NXP Semiconductors")</f>
        <v>NXP Semiconductors</v>
      </c>
      <c r="C13502" s="6">
        <v>40000</v>
      </c>
      <c r="D13502" s="7">
        <v>0.05</v>
      </c>
    </row>
    <row r="13503" spans="1:4" x14ac:dyDescent="0.25">
      <c r="A13503" t="str">
        <f>HYPERLINK("https://www.773grp.com/globalSearch/BZX79-C20113/page-1", "BZX79-C20113")</f>
        <v>BZX79-C20113</v>
      </c>
      <c r="B13503" s="3" t="str">
        <f>HYPERLINK("https://www.773grp.com/manufacturer/nxp-semiconductor?pageNo=38", "NXP Semiconductors")</f>
        <v>NXP Semiconductors</v>
      </c>
      <c r="C13503" s="6">
        <v>30000</v>
      </c>
      <c r="D13503" s="7">
        <v>0.05</v>
      </c>
    </row>
    <row r="13504" spans="1:4" x14ac:dyDescent="0.25">
      <c r="A13504" t="str">
        <f>HYPERLINK("https://www.773grp.com/globalSearch/BZX79-C20133/page-1", "BZX79-C20133")</f>
        <v>BZX79-C20133</v>
      </c>
      <c r="B13504" s="3" t="str">
        <f>HYPERLINK("https://www.773grp.com/manufacturer/nxp-semiconductor?pageNo=39", "NXP Semiconductors")</f>
        <v>NXP Semiconductors</v>
      </c>
      <c r="C13504" s="6">
        <v>140000</v>
      </c>
      <c r="D13504" s="7">
        <v>0.05</v>
      </c>
    </row>
    <row r="13505" spans="1:4" x14ac:dyDescent="0.25">
      <c r="A13505" t="str">
        <f>HYPERLINK("https://www.773grp.com/globalSearch/BZX79-C22113/page-1", "BZX79-C22113")</f>
        <v>BZX79-C22113</v>
      </c>
      <c r="B13505" s="3" t="str">
        <f>HYPERLINK("https://www.773grp.com/manufacturer/nxp-semiconductor?pageNo=40", "NXP Semiconductors")</f>
        <v>NXP Semiconductors</v>
      </c>
      <c r="C13505" s="6">
        <v>70000</v>
      </c>
      <c r="D13505" s="7">
        <v>0.05</v>
      </c>
    </row>
    <row r="13506" spans="1:4" x14ac:dyDescent="0.25">
      <c r="A13506" t="str">
        <f>HYPERLINK("https://www.773grp.com/globalSearch/BZX79-C24113/page-1", "BZX79-C24113")</f>
        <v>BZX79-C24113</v>
      </c>
      <c r="B13506" s="3" t="str">
        <f>HYPERLINK("https://www.773grp.com/manufacturer/nxp-semiconductor?pageNo=41", "NXP Semiconductors")</f>
        <v>NXP Semiconductors</v>
      </c>
      <c r="C13506" s="6">
        <v>300000</v>
      </c>
      <c r="D13506" s="7">
        <v>0.05</v>
      </c>
    </row>
    <row r="13507" spans="1:4" x14ac:dyDescent="0.25">
      <c r="A13507" t="str">
        <f>HYPERLINK("https://www.773grp.com/globalSearch/BZX79-C24133/page-1", "BZX79-C24133")</f>
        <v>BZX79-C24133</v>
      </c>
      <c r="B13507" s="3" t="str">
        <f>HYPERLINK("https://www.773grp.com/manufacturer/nxp-semiconductor?pageNo=42", "NXP Semiconductors")</f>
        <v>NXP Semiconductors</v>
      </c>
      <c r="C13507" s="6">
        <v>80000</v>
      </c>
      <c r="D13507" s="7">
        <v>0.05</v>
      </c>
    </row>
    <row r="13508" spans="1:4" x14ac:dyDescent="0.25">
      <c r="A13508" t="str">
        <f>HYPERLINK("https://www.773grp.com/globalSearch/BZX79-C24143/page-1", "BZX79-C24143")</f>
        <v>BZX79-C24143</v>
      </c>
      <c r="B13508" s="3" t="str">
        <f>HYPERLINK("https://www.773grp.com/manufacturer/nxp-semiconductor?pageNo=43", "NXP Semiconductors")</f>
        <v>NXP Semiconductors</v>
      </c>
      <c r="C13508" s="6">
        <v>60000</v>
      </c>
      <c r="D13508" s="7">
        <v>0.05</v>
      </c>
    </row>
    <row r="13509" spans="1:4" x14ac:dyDescent="0.25">
      <c r="A13509" t="str">
        <f>HYPERLINK("https://www.773grp.com/globalSearch/BZX79-C27113/page-1", "BZX79-C27113")</f>
        <v>BZX79-C27113</v>
      </c>
      <c r="B13509" s="3" t="str">
        <f>HYPERLINK("https://www.773grp.com/manufacturer/nxp-semiconductor?pageNo=44", "NXP Semiconductors")</f>
        <v>NXP Semiconductors</v>
      </c>
      <c r="C13509" s="6">
        <v>10000</v>
      </c>
      <c r="D13509" s="7">
        <v>0.05</v>
      </c>
    </row>
    <row r="13510" spans="1:4" x14ac:dyDescent="0.25">
      <c r="A13510" t="str">
        <f>HYPERLINK("https://www.773grp.com/globalSearch/BZX79-C27133/page-1", "BZX79-C27133")</f>
        <v>BZX79-C27133</v>
      </c>
      <c r="B13510" s="3" t="str">
        <f>HYPERLINK("https://www.773grp.com/manufacturer/nxp-semiconductor?pageNo=45", "NXP Semiconductors")</f>
        <v>NXP Semiconductors</v>
      </c>
      <c r="C13510" s="6">
        <v>90000</v>
      </c>
      <c r="D13510" s="7">
        <v>0.05</v>
      </c>
    </row>
    <row r="13511" spans="1:4" x14ac:dyDescent="0.25">
      <c r="A13511" t="str">
        <f>HYPERLINK("https://www.773grp.com/globalSearch/BZX79-C27143/page-1", "BZX79-C27143")</f>
        <v>BZX79-C27143</v>
      </c>
      <c r="B13511" s="3" t="str">
        <f>HYPERLINK("https://www.773grp.com/manufacturer/nxp-semiconductor?pageNo=46", "NXP Semiconductors")</f>
        <v>NXP Semiconductors</v>
      </c>
      <c r="C13511" s="6">
        <v>40000</v>
      </c>
      <c r="D13511" s="7">
        <v>0.05</v>
      </c>
    </row>
    <row r="13512" spans="1:4" x14ac:dyDescent="0.25">
      <c r="A13512" t="str">
        <f>HYPERLINK("https://www.773grp.com/globalSearch/BZX79-C2V4113/page-1", "BZX79-C2V4113")</f>
        <v>BZX79-C2V4113</v>
      </c>
      <c r="B13512" s="3" t="str">
        <f>HYPERLINK("https://www.773grp.com/manufacturer/nxp-semiconductor?pageNo=47", "NXP Semiconductors")</f>
        <v>NXP Semiconductors</v>
      </c>
      <c r="C13512" s="6">
        <v>87130</v>
      </c>
      <c r="D13512" s="7">
        <v>0.05</v>
      </c>
    </row>
    <row r="13513" spans="1:4" x14ac:dyDescent="0.25">
      <c r="A13513" t="str">
        <f>HYPERLINK("https://www.773grp.com/globalSearch/BZX79-C2V4133/page-1", "BZX79-C2V4133")</f>
        <v>BZX79-C2V4133</v>
      </c>
      <c r="B13513" s="3" t="str">
        <f>HYPERLINK("https://www.773grp.com/manufacturer/nxp-semiconductor?pageNo=48", "NXP Semiconductors")</f>
        <v>NXP Semiconductors</v>
      </c>
      <c r="C13513" s="6">
        <v>70000</v>
      </c>
      <c r="D13513" s="7">
        <v>0.05</v>
      </c>
    </row>
    <row r="13514" spans="1:4" x14ac:dyDescent="0.25">
      <c r="A13514" t="str">
        <f>HYPERLINK("https://www.773grp.com/globalSearch/BZX79-C2V4143/page-1", "BZX79-C2V4143")</f>
        <v>BZX79-C2V4143</v>
      </c>
      <c r="B13514" s="3" t="str">
        <f>HYPERLINK("https://www.773grp.com/manufacturer/nxp-semiconductor?pageNo=1", "NXP Semiconductors")</f>
        <v>NXP Semiconductors</v>
      </c>
      <c r="C13514" s="6">
        <v>90000</v>
      </c>
      <c r="D13514" s="7">
        <v>0.05</v>
      </c>
    </row>
    <row r="13515" spans="1:4" x14ac:dyDescent="0.25">
      <c r="A13515" t="str">
        <f>HYPERLINK("https://www.773grp.com/globalSearch/BZX79-C2V7113/page-1", "BZX79-C2V7113")</f>
        <v>BZX79-C2V7113</v>
      </c>
      <c r="B13515" s="3" t="str">
        <f>HYPERLINK("https://www.773grp.com/manufacturer/nxp-semiconductor?pageNo=2", "NXP Semiconductors")</f>
        <v>NXP Semiconductors</v>
      </c>
      <c r="C13515" s="6">
        <v>57930</v>
      </c>
      <c r="D13515" s="7">
        <v>0.05</v>
      </c>
    </row>
    <row r="13516" spans="1:4" x14ac:dyDescent="0.25">
      <c r="A13516" t="str">
        <f>HYPERLINK("https://www.773grp.com/globalSearch/BZX79-C2V7133/page-1", "BZX79-C2V7133")</f>
        <v>BZX79-C2V7133</v>
      </c>
      <c r="B13516" s="3" t="str">
        <f>HYPERLINK("https://www.773grp.com/manufacturer/nxp-semiconductor?pageNo=3", "NXP Semiconductors")</f>
        <v>NXP Semiconductors</v>
      </c>
      <c r="C13516" s="6">
        <v>70000</v>
      </c>
      <c r="D13516" s="7">
        <v>0.05</v>
      </c>
    </row>
    <row r="13517" spans="1:4" x14ac:dyDescent="0.25">
      <c r="A13517" t="str">
        <f>HYPERLINK("https://www.773grp.com/globalSearch/BZX79-C2V7143/page-1", "BZX79-C2V7143")</f>
        <v>BZX79-C2V7143</v>
      </c>
      <c r="B13517" s="3" t="str">
        <f>HYPERLINK("https://www.773grp.com/manufacturer/nxp-semiconductor?pageNo=4", "NXP Semiconductors")</f>
        <v>NXP Semiconductors</v>
      </c>
      <c r="C13517" s="6">
        <v>45000</v>
      </c>
      <c r="D13517" s="7">
        <v>0.05</v>
      </c>
    </row>
    <row r="13518" spans="1:4" x14ac:dyDescent="0.25">
      <c r="A13518" t="str">
        <f>HYPERLINK("https://www.773grp.com/globalSearch/BZX79-C30113/page-1", "BZX79-C30113")</f>
        <v>BZX79-C30113</v>
      </c>
      <c r="B13518" s="3" t="str">
        <f>HYPERLINK("https://www.773grp.com/manufacturer/nxp-semiconductor?pageNo=5", "NXP Semiconductors")</f>
        <v>NXP Semiconductors</v>
      </c>
      <c r="C13518" s="6">
        <v>60000</v>
      </c>
      <c r="D13518" s="7">
        <v>0.05</v>
      </c>
    </row>
    <row r="13519" spans="1:4" x14ac:dyDescent="0.25">
      <c r="A13519" t="str">
        <f>HYPERLINK("https://www.773grp.com/globalSearch/BZX79-C33113/page-1", "BZX79-C33113")</f>
        <v>BZX79-C33113</v>
      </c>
      <c r="B13519" s="3" t="str">
        <f>HYPERLINK("https://www.773grp.com/manufacturer/nxp-semiconductor?pageNo=6", "NXP Semiconductors")</f>
        <v>NXP Semiconductors</v>
      </c>
      <c r="C13519" s="6">
        <v>260000</v>
      </c>
      <c r="D13519" s="7">
        <v>0.05</v>
      </c>
    </row>
    <row r="13520" spans="1:4" x14ac:dyDescent="0.25">
      <c r="A13520" t="str">
        <f>HYPERLINK("https://www.773grp.com/globalSearch/BZX79-C33133/page-1", "BZX79-C33133")</f>
        <v>BZX79-C33133</v>
      </c>
      <c r="B13520" s="3" t="str">
        <f>HYPERLINK("https://www.773grp.com/manufacturer/nxp-semiconductor?pageNo=7", "NXP Semiconductors")</f>
        <v>NXP Semiconductors</v>
      </c>
      <c r="C13520" s="6">
        <v>30000</v>
      </c>
      <c r="D13520" s="7">
        <v>0.05</v>
      </c>
    </row>
    <row r="13521" spans="1:4" x14ac:dyDescent="0.25">
      <c r="A13521" t="str">
        <f>HYPERLINK("https://www.773grp.com/globalSearch/BZX79-C36113/page-1", "BZX79-C36113")</f>
        <v>BZX79-C36113</v>
      </c>
      <c r="B13521" s="3" t="str">
        <f>HYPERLINK("https://www.773grp.com/manufacturer/nxp-semiconductor?pageNo=8", "NXP Semiconductors")</f>
        <v>NXP Semiconductors</v>
      </c>
      <c r="C13521" s="6">
        <v>20000</v>
      </c>
      <c r="D13521" s="7">
        <v>0.05</v>
      </c>
    </row>
    <row r="13522" spans="1:4" x14ac:dyDescent="0.25">
      <c r="A13522" t="str">
        <f>HYPERLINK("https://www.773grp.com/globalSearch/BZX79-C39113/page-1", "BZX79-C39113")</f>
        <v>BZX79-C39113</v>
      </c>
      <c r="B13522" s="3" t="str">
        <f>HYPERLINK("https://www.773grp.com/manufacturer/nxp-semiconductor?pageNo=9", "NXP Semiconductors")</f>
        <v>NXP Semiconductors</v>
      </c>
      <c r="C13522" s="6">
        <v>20000</v>
      </c>
      <c r="D13522" s="7">
        <v>0.05</v>
      </c>
    </row>
    <row r="13523" spans="1:4" x14ac:dyDescent="0.25">
      <c r="A13523" t="str">
        <f>HYPERLINK("https://www.773grp.com/globalSearch/BZX79-C3V0113/page-1", "BZX79-C3V0113")</f>
        <v>BZX79-C3V0113</v>
      </c>
      <c r="B13523" s="3" t="str">
        <f>HYPERLINK("https://www.773grp.com/manufacturer/nxp-semiconductor?pageNo=10", "NXP Semiconductors")</f>
        <v>NXP Semiconductors</v>
      </c>
      <c r="C13523" s="6">
        <v>160000</v>
      </c>
      <c r="D13523" s="7">
        <v>0.05</v>
      </c>
    </row>
    <row r="13524" spans="1:4" x14ac:dyDescent="0.25">
      <c r="A13524" t="str">
        <f>HYPERLINK("https://www.773grp.com/globalSearch/BZX79-C3V0143/page-1", "BZX79-C3V0143")</f>
        <v>BZX79-C3V0143</v>
      </c>
      <c r="B13524" s="3" t="str">
        <f>HYPERLINK("https://www.773grp.com/manufacturer/nxp-semiconductor?pageNo=11", "NXP Semiconductors")</f>
        <v>NXP Semiconductors</v>
      </c>
      <c r="C13524" s="6">
        <v>40000</v>
      </c>
      <c r="D13524" s="7">
        <v>0.05</v>
      </c>
    </row>
    <row r="13525" spans="1:4" x14ac:dyDescent="0.25">
      <c r="A13525" t="str">
        <f>HYPERLINK("https://www.773grp.com/globalSearch/BZX79-C3V3113/page-1", "BZX79-C3V3113")</f>
        <v>BZX79-C3V3113</v>
      </c>
      <c r="B13525" s="3" t="str">
        <f>HYPERLINK("https://www.773grp.com/manufacturer/nxp-semiconductor?pageNo=12", "NXP Semiconductors")</f>
        <v>NXP Semiconductors</v>
      </c>
      <c r="C13525" s="6">
        <v>480000</v>
      </c>
      <c r="D13525" s="7">
        <v>0.05</v>
      </c>
    </row>
    <row r="13526" spans="1:4" x14ac:dyDescent="0.25">
      <c r="A13526" t="str">
        <f>HYPERLINK("https://www.773grp.com/globalSearch/BZX79-C3V3133/page-1", "BZX79-C3V3133")</f>
        <v>BZX79-C3V3133</v>
      </c>
      <c r="B13526" s="3" t="str">
        <f>HYPERLINK("https://www.773grp.com/manufacturer/nxp-semiconductor?pageNo=13", "NXP Semiconductors")</f>
        <v>NXP Semiconductors</v>
      </c>
      <c r="C13526" s="6">
        <v>110000</v>
      </c>
      <c r="D13526" s="7">
        <v>0.05</v>
      </c>
    </row>
    <row r="13527" spans="1:4" x14ac:dyDescent="0.25">
      <c r="A13527" t="str">
        <f>HYPERLINK("https://www.773grp.com/globalSearch/BZX79-C3V3143/page-1", "BZX79-C3V3143")</f>
        <v>BZX79-C3V3143</v>
      </c>
      <c r="B13527" s="3" t="str">
        <f>HYPERLINK("https://www.773grp.com/manufacturer/nxp-semiconductor?pageNo=14", "NXP Semiconductors")</f>
        <v>NXP Semiconductors</v>
      </c>
      <c r="C13527" s="6">
        <v>122079</v>
      </c>
      <c r="D13527" s="7">
        <v>0.05</v>
      </c>
    </row>
    <row r="13528" spans="1:4" x14ac:dyDescent="0.25">
      <c r="A13528" t="str">
        <f>HYPERLINK("https://www.773grp.com/globalSearch/BZX79-C3V6133/page-1", "BZX79-C3V6133")</f>
        <v>BZX79-C3V6133</v>
      </c>
      <c r="B13528" s="3" t="str">
        <f>HYPERLINK("https://www.773grp.com/manufacturer/nxp-semiconductor?pageNo=15", "NXP Semiconductors")</f>
        <v>NXP Semiconductors</v>
      </c>
      <c r="C13528" s="6">
        <v>20000</v>
      </c>
      <c r="D13528" s="7">
        <v>0.05</v>
      </c>
    </row>
    <row r="13529" spans="1:4" x14ac:dyDescent="0.25">
      <c r="A13529" t="str">
        <f>HYPERLINK("https://www.773grp.com/globalSearch/BZX79-C3V9113/page-1", "BZX79-C3V9113")</f>
        <v>BZX79-C3V9113</v>
      </c>
      <c r="B13529" s="3" t="str">
        <f>HYPERLINK("https://www.773grp.com/manufacturer/nxp-semiconductor?pageNo=16", "NXP Semiconductors")</f>
        <v>NXP Semiconductors</v>
      </c>
      <c r="C13529" s="6">
        <v>830000</v>
      </c>
      <c r="D13529" s="7">
        <v>0.05</v>
      </c>
    </row>
    <row r="13530" spans="1:4" x14ac:dyDescent="0.25">
      <c r="A13530" t="str">
        <f>HYPERLINK("https://www.773grp.com/globalSearch/BZX79-C3V9133/page-1", "BZX79-C3V9133")</f>
        <v>BZX79-C3V9133</v>
      </c>
      <c r="B13530" s="3" t="str">
        <f>HYPERLINK("https://www.773grp.com/manufacturer/nxp-semiconductor?pageNo=17", "NXP Semiconductors")</f>
        <v>NXP Semiconductors</v>
      </c>
      <c r="C13530" s="6">
        <v>57650</v>
      </c>
      <c r="D13530" s="7">
        <v>0.05</v>
      </c>
    </row>
    <row r="13531" spans="1:4" x14ac:dyDescent="0.25">
      <c r="A13531" t="str">
        <f>HYPERLINK("https://www.773grp.com/globalSearch/BZX79-C3V9143/page-1", "BZX79-C3V9143")</f>
        <v>BZX79-C3V9143</v>
      </c>
      <c r="B13531" s="3" t="str">
        <f>HYPERLINK("https://www.773grp.com/manufacturer/nxp-semiconductor?pageNo=18", "NXP Semiconductors")</f>
        <v>NXP Semiconductors</v>
      </c>
      <c r="C13531" s="6">
        <v>70000</v>
      </c>
      <c r="D13531" s="7">
        <v>0.05</v>
      </c>
    </row>
    <row r="13532" spans="1:4" x14ac:dyDescent="0.25">
      <c r="A13532" t="str">
        <f>HYPERLINK("https://www.773grp.com/globalSearch/BZX79-C43113/page-1", "BZX79-C43113")</f>
        <v>BZX79-C43113</v>
      </c>
      <c r="B13532" s="3" t="str">
        <f>HYPERLINK("https://www.773grp.com/manufacturer/nxp-semiconductor?pageNo=19", "NXP Semiconductors")</f>
        <v>NXP Semiconductors</v>
      </c>
      <c r="C13532" s="6">
        <v>70000</v>
      </c>
      <c r="D13532" s="7">
        <v>0.05</v>
      </c>
    </row>
    <row r="13533" spans="1:4" x14ac:dyDescent="0.25">
      <c r="A13533" t="str">
        <f>HYPERLINK("https://www.773grp.com/globalSearch/BZX79-C47113/page-1", "BZX79-C47113")</f>
        <v>BZX79-C47113</v>
      </c>
      <c r="B13533" s="3" t="str">
        <f>HYPERLINK("https://www.773grp.com/manufacturer/nxp-semiconductor?pageNo=20", "NXP Semiconductors")</f>
        <v>NXP Semiconductors</v>
      </c>
      <c r="C13533" s="6">
        <v>97980</v>
      </c>
      <c r="D13533" s="7">
        <v>0.05</v>
      </c>
    </row>
    <row r="13534" spans="1:4" x14ac:dyDescent="0.25">
      <c r="A13534" t="str">
        <f>HYPERLINK("https://www.773grp.com/globalSearch/BZX79-C47133/page-1", "BZX79-C47133")</f>
        <v>BZX79-C47133</v>
      </c>
      <c r="B13534" s="3" t="str">
        <f>HYPERLINK("https://www.773grp.com/manufacturer/nxp-semiconductor?pageNo=21", "NXP Semiconductors")</f>
        <v>NXP Semiconductors</v>
      </c>
      <c r="C13534" s="6">
        <v>110000</v>
      </c>
      <c r="D13534" s="7">
        <v>0.05</v>
      </c>
    </row>
    <row r="13535" spans="1:4" x14ac:dyDescent="0.25">
      <c r="A13535" t="str">
        <f>HYPERLINK("https://www.773grp.com/globalSearch/BZX79-C4V3113/page-1", "BZX79-C4V3113")</f>
        <v>BZX79-C4V3113</v>
      </c>
      <c r="B13535" s="3" t="str">
        <f>HYPERLINK("https://www.773grp.com/manufacturer/nxp-semiconductor?pageNo=22", "NXP Semiconductors")</f>
        <v>NXP Semiconductors</v>
      </c>
      <c r="C13535" s="6">
        <v>30000</v>
      </c>
      <c r="D13535" s="7">
        <v>0.05</v>
      </c>
    </row>
    <row r="13536" spans="1:4" x14ac:dyDescent="0.25">
      <c r="A13536" t="str">
        <f>HYPERLINK("https://www.773grp.com/globalSearch/BZX79-C4V3133/page-1", "BZX79-C4V3133")</f>
        <v>BZX79-C4V3133</v>
      </c>
      <c r="B13536" s="3" t="str">
        <f>HYPERLINK("https://www.773grp.com/manufacturer/nxp-semiconductor?pageNo=23", "NXP Semiconductors")</f>
        <v>NXP Semiconductors</v>
      </c>
      <c r="C13536" s="6">
        <v>40000</v>
      </c>
      <c r="D13536" s="7">
        <v>0.05</v>
      </c>
    </row>
    <row r="13537" spans="1:4" x14ac:dyDescent="0.25">
      <c r="A13537" t="str">
        <f>HYPERLINK("https://www.773grp.com/globalSearch/BZX79-C4V7113/page-1", "BZX79-C4V7113")</f>
        <v>BZX79-C4V7113</v>
      </c>
      <c r="B13537" s="3" t="str">
        <f>HYPERLINK("https://www.773grp.com/manufacturer/nxp-semiconductor?pageNo=24", "NXP Semiconductors")</f>
        <v>NXP Semiconductors</v>
      </c>
      <c r="C13537" s="6">
        <v>460000</v>
      </c>
      <c r="D13537" s="7">
        <v>0.05</v>
      </c>
    </row>
    <row r="13538" spans="1:4" x14ac:dyDescent="0.25">
      <c r="A13538" t="str">
        <f>HYPERLINK("https://www.773grp.com/globalSearch/BZX79-C4V7133/page-1", "BZX79-C4V7133")</f>
        <v>BZX79-C4V7133</v>
      </c>
      <c r="B13538" s="3" t="str">
        <f>HYPERLINK("https://www.773grp.com/manufacturer/nxp-semiconductor?pageNo=25", "NXP Semiconductors")</f>
        <v>NXP Semiconductors</v>
      </c>
      <c r="C13538" s="6">
        <v>110000</v>
      </c>
      <c r="D13538" s="7">
        <v>0.05</v>
      </c>
    </row>
    <row r="13539" spans="1:4" x14ac:dyDescent="0.25">
      <c r="A13539" t="str">
        <f>HYPERLINK("https://www.773grp.com/globalSearch/BZX79-C51113/page-1", "BZX79-C51113")</f>
        <v>BZX79-C51113</v>
      </c>
      <c r="B13539" s="3" t="str">
        <f>HYPERLINK("https://www.773grp.com/manufacturer/nxp-semiconductor?pageNo=26", "NXP Semiconductors")</f>
        <v>NXP Semiconductors</v>
      </c>
      <c r="C13539" s="6">
        <v>140000</v>
      </c>
      <c r="D13539" s="7">
        <v>0.05</v>
      </c>
    </row>
    <row r="13540" spans="1:4" x14ac:dyDescent="0.25">
      <c r="A13540" t="str">
        <f>HYPERLINK("https://www.773grp.com/globalSearch/BZX79-C51133/page-1", "BZX79-C51133")</f>
        <v>BZX79-C51133</v>
      </c>
      <c r="B13540" s="3" t="str">
        <f>HYPERLINK("https://www.773grp.com/manufacturer/nxp-semiconductor?pageNo=27", "NXP Semiconductors")</f>
        <v>NXP Semiconductors</v>
      </c>
      <c r="C13540" s="6">
        <v>29720</v>
      </c>
      <c r="D13540" s="7">
        <v>0.05</v>
      </c>
    </row>
    <row r="13541" spans="1:4" x14ac:dyDescent="0.25">
      <c r="A13541" t="str">
        <f>HYPERLINK("https://www.773grp.com/globalSearch/BZX79-C56113/page-1", "BZX79-C56113")</f>
        <v>BZX79-C56113</v>
      </c>
      <c r="B13541" s="3" t="str">
        <f>HYPERLINK("https://www.773grp.com/manufacturer/nxp-semiconductor?pageNo=28", "NXP Semiconductors")</f>
        <v>NXP Semiconductors</v>
      </c>
      <c r="C13541" s="6">
        <v>210000</v>
      </c>
      <c r="D13541" s="7">
        <v>0.05</v>
      </c>
    </row>
    <row r="13542" spans="1:4" x14ac:dyDescent="0.25">
      <c r="A13542" t="str">
        <f>HYPERLINK("https://www.773grp.com/globalSearch/BZX79-C56143/page-1", "BZX79-C56143")</f>
        <v>BZX79-C56143</v>
      </c>
      <c r="B13542" s="3" t="str">
        <f>HYPERLINK("https://www.773grp.com/manufacturer/nxp-semiconductor?pageNo=29", "NXP Semiconductors")</f>
        <v>NXP Semiconductors</v>
      </c>
      <c r="C13542" s="6">
        <v>95000</v>
      </c>
      <c r="D13542" s="7">
        <v>0.05</v>
      </c>
    </row>
    <row r="13543" spans="1:4" x14ac:dyDescent="0.25">
      <c r="A13543" t="str">
        <f>HYPERLINK("https://www.773grp.com/globalSearch/BZX79-C5V1113/page-1", "BZX79-C5V1113")</f>
        <v>BZX79-C5V1113</v>
      </c>
      <c r="B13543" s="3" t="str">
        <f>HYPERLINK("https://www.773grp.com/manufacturer/nxp-semiconductor?pageNo=30", "NXP Semiconductors")</f>
        <v>NXP Semiconductors</v>
      </c>
      <c r="C13543" s="6">
        <v>249980</v>
      </c>
      <c r="D13543" s="7">
        <v>0.05</v>
      </c>
    </row>
    <row r="13544" spans="1:4" x14ac:dyDescent="0.25">
      <c r="A13544" t="str">
        <f>HYPERLINK("https://www.773grp.com/globalSearch/BZX79-C5V1133/page-1", "BZX79-C5V1133")</f>
        <v>BZX79-C5V1133</v>
      </c>
      <c r="B13544" s="3" t="str">
        <f>HYPERLINK("https://www.773grp.com/manufacturer/nxp-semiconductor?pageNo=31", "NXP Semiconductors")</f>
        <v>NXP Semiconductors</v>
      </c>
      <c r="C13544" s="6">
        <v>80200</v>
      </c>
      <c r="D13544" s="7">
        <v>0.05</v>
      </c>
    </row>
    <row r="13545" spans="1:4" x14ac:dyDescent="0.25">
      <c r="A13545" t="str">
        <f>HYPERLINK("https://www.773grp.com/globalSearch/BZX79-C5V6113/page-1", "BZX79-C5V6113")</f>
        <v>BZX79-C5V6113</v>
      </c>
      <c r="B13545" s="3" t="str">
        <f>HYPERLINK("https://www.773grp.com/manufacturer/nxp-semiconductor?pageNo=32", "NXP Semiconductors")</f>
        <v>NXP Semiconductors</v>
      </c>
      <c r="C13545" s="6">
        <v>50000</v>
      </c>
      <c r="D13545" s="7">
        <v>0.05</v>
      </c>
    </row>
    <row r="13546" spans="1:4" x14ac:dyDescent="0.25">
      <c r="A13546" t="str">
        <f>HYPERLINK("https://www.773grp.com/globalSearch/BZX79-C5V6133/page-1", "BZX79-C5V6133")</f>
        <v>BZX79-C5V6133</v>
      </c>
      <c r="B13546" s="3" t="str">
        <f>HYPERLINK("https://www.773grp.com/manufacturer/nxp-semiconductor?pageNo=33", "NXP Semiconductors")</f>
        <v>NXP Semiconductors</v>
      </c>
      <c r="C13546" s="6">
        <v>140000</v>
      </c>
      <c r="D13546" s="7">
        <v>0.05</v>
      </c>
    </row>
    <row r="13547" spans="1:4" x14ac:dyDescent="0.25">
      <c r="A13547" t="str">
        <f>HYPERLINK("https://www.773grp.com/globalSearch/BZX79-C62113/page-1", "BZX79-C62113")</f>
        <v>BZX79-C62113</v>
      </c>
      <c r="B13547" s="3" t="str">
        <f>HYPERLINK("https://www.773grp.com/manufacturer/nxp-semiconductor?pageNo=34", "NXP Semiconductors")</f>
        <v>NXP Semiconductors</v>
      </c>
      <c r="C13547" s="6">
        <v>130000</v>
      </c>
      <c r="D13547" s="7">
        <v>0.05</v>
      </c>
    </row>
    <row r="13548" spans="1:4" x14ac:dyDescent="0.25">
      <c r="A13548" t="str">
        <f>HYPERLINK("https://www.773grp.com/globalSearch/BZX79-C68113/page-1", "BZX79-C68113")</f>
        <v>BZX79-C68113</v>
      </c>
      <c r="B13548" s="3" t="str">
        <f>HYPERLINK("https://www.773grp.com/manufacturer/nxp-semiconductor?pageNo=35", "NXP Semiconductors")</f>
        <v>NXP Semiconductors</v>
      </c>
      <c r="C13548" s="6">
        <v>50000</v>
      </c>
      <c r="D13548" s="7">
        <v>0.05</v>
      </c>
    </row>
    <row r="13549" spans="1:4" x14ac:dyDescent="0.25">
      <c r="A13549" t="str">
        <f>HYPERLINK("https://www.773grp.com/globalSearch/BZX79-C6V2113/page-1", "BZX79-C6V2113")</f>
        <v>BZX79-C6V2113</v>
      </c>
      <c r="B13549" s="3" t="str">
        <f>HYPERLINK("https://www.773grp.com/manufacturer/nxp-semiconductor?pageNo=36", "NXP Semiconductors")</f>
        <v>NXP Semiconductors</v>
      </c>
      <c r="C13549" s="6">
        <v>500000</v>
      </c>
      <c r="D13549" s="7">
        <v>0.05</v>
      </c>
    </row>
    <row r="13550" spans="1:4" x14ac:dyDescent="0.25">
      <c r="A13550" t="str">
        <f>HYPERLINK("https://www.773grp.com/globalSearch/BZX79-C6V2133/page-1", "BZX79-C6V2133")</f>
        <v>BZX79-C6V2133</v>
      </c>
      <c r="B13550" s="3" t="str">
        <f>HYPERLINK("https://www.773grp.com/manufacturer/nxp-semiconductor?pageNo=37", "NXP Semiconductors")</f>
        <v>NXP Semiconductors</v>
      </c>
      <c r="C13550" s="6">
        <v>90200</v>
      </c>
      <c r="D13550" s="7">
        <v>0.05</v>
      </c>
    </row>
    <row r="13551" spans="1:4" x14ac:dyDescent="0.25">
      <c r="A13551" t="str">
        <f>HYPERLINK("https://www.773grp.com/globalSearch/BZX79-C6V2143/page-1", "BZX79-C6V2143")</f>
        <v>BZX79-C6V2143</v>
      </c>
      <c r="B13551" s="3" t="str">
        <f>HYPERLINK("https://www.773grp.com/manufacturer/nxp-semiconductor?pageNo=38", "NXP Semiconductors")</f>
        <v>NXP Semiconductors</v>
      </c>
      <c r="C13551" s="6">
        <v>50000</v>
      </c>
      <c r="D13551" s="7">
        <v>0.05</v>
      </c>
    </row>
    <row r="13552" spans="1:4" x14ac:dyDescent="0.25">
      <c r="A13552" t="str">
        <f>HYPERLINK("https://www.773grp.com/globalSearch/BZX79-C6V8113/page-1", "BZX79-C6V8113")</f>
        <v>BZX79-C6V8113</v>
      </c>
      <c r="B13552" s="3" t="str">
        <f>HYPERLINK("https://www.773grp.com/manufacturer/nxp-semiconductor?pageNo=39", "NXP Semiconductors")</f>
        <v>NXP Semiconductors</v>
      </c>
      <c r="C13552" s="6">
        <v>150000</v>
      </c>
      <c r="D13552" s="7">
        <v>0.05</v>
      </c>
    </row>
    <row r="13553" spans="1:4" x14ac:dyDescent="0.25">
      <c r="A13553" t="str">
        <f>HYPERLINK("https://www.773grp.com/globalSearch/BZX79-C6V8133/page-1", "BZX79-C6V8133")</f>
        <v>BZX79-C6V8133</v>
      </c>
      <c r="B13553" s="3" t="str">
        <f>HYPERLINK("https://www.773grp.com/manufacturer/nxp-semiconductor?pageNo=40", "NXP Semiconductors")</f>
        <v>NXP Semiconductors</v>
      </c>
      <c r="C13553" s="6">
        <v>130200</v>
      </c>
      <c r="D13553" s="7">
        <v>0.05</v>
      </c>
    </row>
    <row r="13554" spans="1:4" x14ac:dyDescent="0.25">
      <c r="A13554" t="str">
        <f>HYPERLINK("https://www.773grp.com/globalSearch/BZX79-C6V8143/page-1", "BZX79-C6V8143")</f>
        <v>BZX79-C6V8143</v>
      </c>
      <c r="B13554" s="3" t="str">
        <f>HYPERLINK("https://www.773grp.com/manufacturer/nxp-semiconductor?pageNo=41", "NXP Semiconductors")</f>
        <v>NXP Semiconductors</v>
      </c>
      <c r="C13554" s="6">
        <v>120000</v>
      </c>
      <c r="D13554" s="7">
        <v>0.05</v>
      </c>
    </row>
    <row r="13555" spans="1:4" x14ac:dyDescent="0.25">
      <c r="A13555" t="str">
        <f>HYPERLINK("https://www.773grp.com/globalSearch/BZX79-C75133/page-1", "BZX79-C75133")</f>
        <v>BZX79-C75133</v>
      </c>
      <c r="B13555" s="3" t="str">
        <f>HYPERLINK("https://www.773grp.com/manufacturer/nxp-semiconductor?pageNo=42", "NXP Semiconductors")</f>
        <v>NXP Semiconductors</v>
      </c>
      <c r="C13555" s="6">
        <v>30000</v>
      </c>
      <c r="D13555" s="7">
        <v>0.05</v>
      </c>
    </row>
    <row r="13556" spans="1:4" x14ac:dyDescent="0.25">
      <c r="A13556" t="str">
        <f>HYPERLINK("https://www.773grp.com/globalSearch/BZX79-C7V5113/page-1", "BZX79-C7V5113")</f>
        <v>BZX79-C7V5113</v>
      </c>
      <c r="B13556" s="3" t="str">
        <f>HYPERLINK("https://www.773grp.com/manufacturer/nxp-semiconductor?pageNo=43", "NXP Semiconductors")</f>
        <v>NXP Semiconductors</v>
      </c>
      <c r="C13556" s="6">
        <v>109435</v>
      </c>
      <c r="D13556" s="7">
        <v>0.05</v>
      </c>
    </row>
    <row r="13557" spans="1:4" x14ac:dyDescent="0.25">
      <c r="A13557" t="str">
        <f>HYPERLINK("https://www.773grp.com/globalSearch/BZX79-C7V5133/page-1", "BZX79-C7V5133")</f>
        <v>BZX79-C7V5133</v>
      </c>
      <c r="B13557" s="3" t="str">
        <f>HYPERLINK("https://www.773grp.com/manufacturer/nxp-semiconductor?pageNo=44", "NXP Semiconductors")</f>
        <v>NXP Semiconductors</v>
      </c>
      <c r="C13557" s="6">
        <v>130000</v>
      </c>
      <c r="D13557" s="7">
        <v>0.05</v>
      </c>
    </row>
    <row r="13558" spans="1:4" x14ac:dyDescent="0.25">
      <c r="A13558" t="str">
        <f>HYPERLINK("https://www.773grp.com/globalSearch/BZX79-C7V5143/page-1", "BZX79-C7V5143")</f>
        <v>BZX79-C7V5143</v>
      </c>
      <c r="B13558" s="3" t="str">
        <f>HYPERLINK("https://www.773grp.com/manufacturer/nxp-semiconductor?pageNo=45", "NXP Semiconductors")</f>
        <v>NXP Semiconductors</v>
      </c>
      <c r="C13558" s="6">
        <v>50000</v>
      </c>
      <c r="D13558" s="7">
        <v>0.05</v>
      </c>
    </row>
    <row r="13559" spans="1:4" x14ac:dyDescent="0.25">
      <c r="A13559" t="str">
        <f>HYPERLINK("https://www.773grp.com/globalSearch/BZX79-C8V2113/page-1", "BZX79-C8V2113")</f>
        <v>BZX79-C8V2113</v>
      </c>
      <c r="B13559" s="3" t="str">
        <f>HYPERLINK("https://www.773grp.com/manufacturer/nxp-semiconductor?pageNo=46", "NXP Semiconductors")</f>
        <v>NXP Semiconductors</v>
      </c>
      <c r="C13559" s="6">
        <v>1230000</v>
      </c>
      <c r="D13559" s="7">
        <v>0.05</v>
      </c>
    </row>
    <row r="13560" spans="1:4" x14ac:dyDescent="0.25">
      <c r="A13560" t="str">
        <f>HYPERLINK("https://www.773grp.com/globalSearch/BZX79-C8V2133/page-1", "BZX79-C8V2133")</f>
        <v>BZX79-C8V2133</v>
      </c>
      <c r="B13560" s="3" t="str">
        <f>HYPERLINK("https://www.773grp.com/manufacturer/nxp-semiconductor?pageNo=47", "NXP Semiconductors")</f>
        <v>NXP Semiconductors</v>
      </c>
      <c r="C13560" s="6">
        <v>20000</v>
      </c>
      <c r="D13560" s="7">
        <v>0.05</v>
      </c>
    </row>
    <row r="13561" spans="1:4" x14ac:dyDescent="0.25">
      <c r="A13561" t="str">
        <f>HYPERLINK("https://www.773grp.com/globalSearch/BZX79-C8V2143/page-1", "BZX79-C8V2143")</f>
        <v>BZX79-C8V2143</v>
      </c>
      <c r="B13561" s="3" t="str">
        <f>HYPERLINK("https://www.773grp.com/manufacturer/nxp-semiconductor?pageNo=48", "NXP Semiconductors")</f>
        <v>NXP Semiconductors</v>
      </c>
      <c r="C13561" s="6">
        <v>25000</v>
      </c>
      <c r="D13561" s="7">
        <v>0.05</v>
      </c>
    </row>
    <row r="13562" spans="1:4" x14ac:dyDescent="0.25">
      <c r="A13562" t="str">
        <f>HYPERLINK("https://www.773grp.com/globalSearch/BZX79-C9V1113/page-1", "BZX79-C9V1113")</f>
        <v>BZX79-C9V1113</v>
      </c>
      <c r="B13562" s="3" t="str">
        <f>HYPERLINK("https://www.773grp.com/manufacturer/nxp-semiconductor?pageNo=1", "NXP Semiconductors")</f>
        <v>NXP Semiconductors</v>
      </c>
      <c r="C13562" s="6">
        <v>685165</v>
      </c>
      <c r="D13562" s="7">
        <v>0.05</v>
      </c>
    </row>
    <row r="13563" spans="1:4" x14ac:dyDescent="0.25">
      <c r="A13563" t="str">
        <f>HYPERLINK("https://www.773grp.com/globalSearch/BZX79-C9V1133/page-1", "BZX79-C9V1133")</f>
        <v>BZX79-C9V1133</v>
      </c>
      <c r="B13563" s="3" t="str">
        <f>HYPERLINK("https://www.773grp.com/manufacturer/nxp-semiconductor?pageNo=2", "NXP Semiconductors")</f>
        <v>NXP Semiconductors</v>
      </c>
      <c r="C13563" s="6">
        <v>100000</v>
      </c>
      <c r="D13563" s="7">
        <v>0.05</v>
      </c>
    </row>
    <row r="13564" spans="1:4" x14ac:dyDescent="0.25">
      <c r="A13564" t="str">
        <f>HYPERLINK("https://www.773grp.com/globalSearch/BZX79-C9V1143/page-1", "BZX79-C9V1143")</f>
        <v>BZX79-C9V1143</v>
      </c>
      <c r="B13564" s="3" t="str">
        <f>HYPERLINK("https://www.773grp.com/manufacturer/nxp-semiconductor?pageNo=3", "NXP Semiconductors")</f>
        <v>NXP Semiconductors</v>
      </c>
      <c r="C13564" s="6">
        <v>65000</v>
      </c>
      <c r="D13564" s="7">
        <v>0.05</v>
      </c>
    </row>
    <row r="13565" spans="1:4" x14ac:dyDescent="0.25">
      <c r="A13565" t="str">
        <f>HYPERLINK("https://www.773grp.com/globalSearch/MMBD4148215/page-1", "MMBD4148215")</f>
        <v>MMBD4148215</v>
      </c>
      <c r="B13565" s="3" t="str">
        <f>HYPERLINK("https://www.773grp.com/manufacturer/nxp-semiconductor?pageNo=4", "NXP Semiconductors")</f>
        <v>NXP Semiconductors</v>
      </c>
      <c r="C13565" s="6">
        <v>45000</v>
      </c>
      <c r="D13565" s="7">
        <v>0.05</v>
      </c>
    </row>
    <row r="13566" spans="1:4" x14ac:dyDescent="0.25">
      <c r="A13566" t="str">
        <f>HYPERLINK("https://www.773grp.com/globalSearch/NZX10B133/page-1", "NZX10B133")</f>
        <v>NZX10B133</v>
      </c>
      <c r="B13566" s="3" t="str">
        <f>HYPERLINK("https://www.773grp.com/manufacturer/nxp-semiconductor?pageNo=5", "NXP Semiconductors")</f>
        <v>NXP Semiconductors</v>
      </c>
      <c r="C13566" s="6">
        <v>110000</v>
      </c>
      <c r="D13566" s="7">
        <v>0.05</v>
      </c>
    </row>
    <row r="13567" spans="1:4" x14ac:dyDescent="0.25">
      <c r="A13567" t="str">
        <f>HYPERLINK("https://www.773grp.com/globalSearch/NZX10D133/page-1", "NZX10D133")</f>
        <v>NZX10D133</v>
      </c>
      <c r="B13567" s="3" t="str">
        <f>HYPERLINK("https://www.773grp.com/manufacturer/nxp-semiconductor?pageNo=6", "NXP Semiconductors")</f>
        <v>NXP Semiconductors</v>
      </c>
      <c r="C13567" s="6">
        <v>90000</v>
      </c>
      <c r="D13567" s="7">
        <v>0.05</v>
      </c>
    </row>
    <row r="13568" spans="1:4" x14ac:dyDescent="0.25">
      <c r="A13568" t="str">
        <f>HYPERLINK("https://www.773grp.com/globalSearch/NZX11B133/page-1", "NZX11B133")</f>
        <v>NZX11B133</v>
      </c>
      <c r="B13568" s="3" t="str">
        <f>HYPERLINK("https://www.773grp.com/manufacturer/nxp-semiconductor?pageNo=7", "NXP Semiconductors")</f>
        <v>NXP Semiconductors</v>
      </c>
      <c r="C13568" s="6">
        <v>99500</v>
      </c>
      <c r="D13568" s="7">
        <v>0.05</v>
      </c>
    </row>
    <row r="13569" spans="1:4" x14ac:dyDescent="0.25">
      <c r="A13569" t="str">
        <f>HYPERLINK("https://www.773grp.com/globalSearch/NZX11C133/page-1", "NZX11C133")</f>
        <v>NZX11C133</v>
      </c>
      <c r="B13569" s="3" t="str">
        <f>HYPERLINK("https://www.773grp.com/manufacturer/nxp-semiconductor?pageNo=8", "NXP Semiconductors")</f>
        <v>NXP Semiconductors</v>
      </c>
      <c r="C13569" s="6">
        <v>10000</v>
      </c>
      <c r="D13569" s="7">
        <v>0.05</v>
      </c>
    </row>
    <row r="13570" spans="1:4" x14ac:dyDescent="0.25">
      <c r="A13570" t="str">
        <f>HYPERLINK("https://www.773grp.com/globalSearch/NZX12X133/page-1", "NZX12X133")</f>
        <v>NZX12X133</v>
      </c>
      <c r="B13570" s="3" t="str">
        <f>HYPERLINK("https://www.773grp.com/manufacturer/nxp-semiconductor?pageNo=9", "NXP Semiconductors")</f>
        <v>NXP Semiconductors</v>
      </c>
      <c r="C13570" s="6">
        <v>110000</v>
      </c>
      <c r="D13570" s="7">
        <v>0.05</v>
      </c>
    </row>
    <row r="13571" spans="1:4" x14ac:dyDescent="0.25">
      <c r="A13571" t="str">
        <f>HYPERLINK("https://www.773grp.com/globalSearch/NZX13A133/page-1", "NZX13A133")</f>
        <v>NZX13A133</v>
      </c>
      <c r="B13571" s="3" t="str">
        <f>HYPERLINK("https://www.773grp.com/manufacturer/nxp-semiconductor?pageNo=10", "NXP Semiconductors")</f>
        <v>NXP Semiconductors</v>
      </c>
      <c r="C13571" s="6">
        <v>80000</v>
      </c>
      <c r="D13571" s="7">
        <v>0.05</v>
      </c>
    </row>
    <row r="13572" spans="1:4" x14ac:dyDescent="0.25">
      <c r="A13572" t="str">
        <f>HYPERLINK("https://www.773grp.com/globalSearch/NZX13C133/page-1", "NZX13C133")</f>
        <v>NZX13C133</v>
      </c>
      <c r="B13572" s="3" t="str">
        <f>HYPERLINK("https://www.773grp.com/manufacturer/nxp-semiconductor?pageNo=11", "NXP Semiconductors")</f>
        <v>NXP Semiconductors</v>
      </c>
      <c r="C13572" s="6">
        <v>20250</v>
      </c>
      <c r="D13572" s="7">
        <v>0.05</v>
      </c>
    </row>
    <row r="13573" spans="1:4" x14ac:dyDescent="0.25">
      <c r="A13573" t="str">
        <f>HYPERLINK("https://www.773grp.com/globalSearch/NZX14B133/page-1", "NZX14B133")</f>
        <v>NZX14B133</v>
      </c>
      <c r="B13573" s="3" t="str">
        <f>HYPERLINK("https://www.773grp.com/manufacturer/nxp-semiconductor?pageNo=12", "NXP Semiconductors")</f>
        <v>NXP Semiconductors</v>
      </c>
      <c r="C13573" s="6">
        <v>50000</v>
      </c>
      <c r="D13573" s="7">
        <v>0.05</v>
      </c>
    </row>
    <row r="13574" spans="1:4" x14ac:dyDescent="0.25">
      <c r="A13574" t="str">
        <f>HYPERLINK("https://www.773grp.com/globalSearch/NZX15A133/page-1", "NZX15A133")</f>
        <v>NZX15A133</v>
      </c>
      <c r="B13574" s="3" t="str">
        <f>HYPERLINK("https://www.773grp.com/manufacturer/nxp-semiconductor?pageNo=13", "NXP Semiconductors")</f>
        <v>NXP Semiconductors</v>
      </c>
      <c r="C13574" s="6">
        <v>70000</v>
      </c>
      <c r="D13574" s="7">
        <v>0.05</v>
      </c>
    </row>
    <row r="13575" spans="1:4" x14ac:dyDescent="0.25">
      <c r="A13575" t="str">
        <f>HYPERLINK("https://www.773grp.com/globalSearch/NZX15C133/page-1", "NZX15C133")</f>
        <v>NZX15C133</v>
      </c>
      <c r="B13575" s="3" t="str">
        <f>HYPERLINK("https://www.773grp.com/manufacturer/nxp-semiconductor?pageNo=14", "NXP Semiconductors")</f>
        <v>NXP Semiconductors</v>
      </c>
      <c r="C13575" s="6">
        <v>70000</v>
      </c>
      <c r="D13575" s="7">
        <v>0.05</v>
      </c>
    </row>
    <row r="13576" spans="1:4" x14ac:dyDescent="0.25">
      <c r="A13576" t="str">
        <f>HYPERLINK("https://www.773grp.com/globalSearch/NZX15X133/page-1", "NZX15X133")</f>
        <v>NZX15X133</v>
      </c>
      <c r="B13576" s="3" t="str">
        <f>HYPERLINK("https://www.773grp.com/manufacturer/nxp-semiconductor?pageNo=15", "NXP Semiconductors")</f>
        <v>NXP Semiconductors</v>
      </c>
      <c r="C13576" s="6">
        <v>49872</v>
      </c>
      <c r="D13576" s="7">
        <v>0.05</v>
      </c>
    </row>
    <row r="13577" spans="1:4" x14ac:dyDescent="0.25">
      <c r="A13577" t="str">
        <f>HYPERLINK("https://www.773grp.com/globalSearch/NZX16B133/page-1", "NZX16B133")</f>
        <v>NZX16B133</v>
      </c>
      <c r="B13577" s="3" t="str">
        <f>HYPERLINK("https://www.773grp.com/manufacturer/nxp-semiconductor?pageNo=16", "NXP Semiconductors")</f>
        <v>NXP Semiconductors</v>
      </c>
      <c r="C13577" s="6">
        <v>30000</v>
      </c>
      <c r="D13577" s="7">
        <v>0.05</v>
      </c>
    </row>
    <row r="13578" spans="1:4" x14ac:dyDescent="0.25">
      <c r="A13578" t="str">
        <f>HYPERLINK("https://www.773grp.com/globalSearch/NZX18C133/page-1", "NZX18C133")</f>
        <v>NZX18C133</v>
      </c>
      <c r="B13578" s="3" t="str">
        <f>HYPERLINK("https://www.773grp.com/manufacturer/nxp-semiconductor?pageNo=17", "NXP Semiconductors")</f>
        <v>NXP Semiconductors</v>
      </c>
      <c r="C13578" s="6">
        <v>30000</v>
      </c>
      <c r="D13578" s="7">
        <v>0.05</v>
      </c>
    </row>
    <row r="13579" spans="1:4" x14ac:dyDescent="0.25">
      <c r="A13579" t="str">
        <f>HYPERLINK("https://www.773grp.com/globalSearch/NZX20C133/page-1", "NZX20C133")</f>
        <v>NZX20C133</v>
      </c>
      <c r="B13579" s="3" t="str">
        <f>HYPERLINK("https://www.773grp.com/manufacturer/nxp-semiconductor?pageNo=18", "NXP Semiconductors")</f>
        <v>NXP Semiconductors</v>
      </c>
      <c r="C13579" s="6">
        <v>70000</v>
      </c>
      <c r="D13579" s="7">
        <v>0.05</v>
      </c>
    </row>
    <row r="13580" spans="1:4" x14ac:dyDescent="0.25">
      <c r="A13580" t="str">
        <f>HYPERLINK("https://www.773grp.com/globalSearch/NZX22C133/page-1", "NZX22C133")</f>
        <v>NZX22C133</v>
      </c>
      <c r="B13580" s="3" t="str">
        <f>HYPERLINK("https://www.773grp.com/manufacturer/nxp-semiconductor?pageNo=19", "NXP Semiconductors")</f>
        <v>NXP Semiconductors</v>
      </c>
      <c r="C13580" s="6">
        <v>80000</v>
      </c>
      <c r="D13580" s="7">
        <v>0.05</v>
      </c>
    </row>
    <row r="13581" spans="1:4" x14ac:dyDescent="0.25">
      <c r="A13581" t="str">
        <f>HYPERLINK("https://www.773grp.com/globalSearch/NZX24C133/page-1", "NZX24C133")</f>
        <v>NZX24C133</v>
      </c>
      <c r="B13581" s="3" t="str">
        <f>HYPERLINK("https://www.773grp.com/manufacturer/nxp-semiconductor?pageNo=20", "NXP Semiconductors")</f>
        <v>NXP Semiconductors</v>
      </c>
      <c r="C13581" s="6">
        <v>99544</v>
      </c>
      <c r="D13581" s="7">
        <v>0.05</v>
      </c>
    </row>
    <row r="13582" spans="1:4" x14ac:dyDescent="0.25">
      <c r="A13582" t="str">
        <f>HYPERLINK("https://www.773grp.com/globalSearch/NZX24X133/page-1", "NZX24X133")</f>
        <v>NZX24X133</v>
      </c>
      <c r="B13582" s="3" t="str">
        <f>HYPERLINK("https://www.773grp.com/manufacturer/nxp-semiconductor?pageNo=21", "NXP Semiconductors")</f>
        <v>NXP Semiconductors</v>
      </c>
      <c r="C13582" s="6">
        <v>80000</v>
      </c>
      <c r="D13582" s="7">
        <v>0.05</v>
      </c>
    </row>
    <row r="13583" spans="1:4" x14ac:dyDescent="0.25">
      <c r="A13583" t="str">
        <f>HYPERLINK("https://www.773grp.com/globalSearch/NZX27C133/page-1", "NZX27C133")</f>
        <v>NZX27C133</v>
      </c>
      <c r="B13583" s="3" t="str">
        <f>HYPERLINK("https://www.773grp.com/manufacturer/nxp-semiconductor?pageNo=22", "NXP Semiconductors")</f>
        <v>NXP Semiconductors</v>
      </c>
      <c r="C13583" s="6">
        <v>20000</v>
      </c>
      <c r="D13583" s="7">
        <v>0.05</v>
      </c>
    </row>
    <row r="13584" spans="1:4" x14ac:dyDescent="0.25">
      <c r="A13584" t="str">
        <f>HYPERLINK("https://www.773grp.com/globalSearch/NZX27X133/page-1", "NZX27X133")</f>
        <v>NZX27X133</v>
      </c>
      <c r="B13584" s="3" t="str">
        <f>HYPERLINK("https://www.773grp.com/manufacturer/nxp-semiconductor?pageNo=23", "NXP Semiconductors")</f>
        <v>NXP Semiconductors</v>
      </c>
      <c r="C13584" s="6">
        <v>80000</v>
      </c>
      <c r="D13584" s="7">
        <v>0.05</v>
      </c>
    </row>
    <row r="13585" spans="1:4" x14ac:dyDescent="0.25">
      <c r="A13585" t="str">
        <f>HYPERLINK("https://www.773grp.com/globalSearch/NZX2V1B133/page-1", "NZX2V1B133")</f>
        <v>NZX2V1B133</v>
      </c>
      <c r="B13585" s="3" t="str">
        <f>HYPERLINK("https://www.773grp.com/manufacturer/nxp-semiconductor?pageNo=24", "NXP Semiconductors")</f>
        <v>NXP Semiconductors</v>
      </c>
      <c r="C13585" s="6">
        <v>30000</v>
      </c>
      <c r="D13585" s="7">
        <v>0.05</v>
      </c>
    </row>
    <row r="13586" spans="1:4" x14ac:dyDescent="0.25">
      <c r="A13586" t="str">
        <f>HYPERLINK("https://www.773grp.com/globalSearch/NZX2V4A133/page-1", "NZX2V4A133")</f>
        <v>NZX2V4A133</v>
      </c>
      <c r="B13586" s="3" t="str">
        <f>HYPERLINK("https://www.773grp.com/manufacturer/nxp-semiconductor?pageNo=25", "NXP Semiconductors")</f>
        <v>NXP Semiconductors</v>
      </c>
      <c r="C13586" s="6">
        <v>50000</v>
      </c>
      <c r="D13586" s="7">
        <v>0.05</v>
      </c>
    </row>
    <row r="13587" spans="1:4" x14ac:dyDescent="0.25">
      <c r="A13587" t="str">
        <f>HYPERLINK("https://www.773grp.com/globalSearch/NZX2V4B133/page-1", "NZX2V4B133")</f>
        <v>NZX2V4B133</v>
      </c>
      <c r="B13587" s="3" t="str">
        <f>HYPERLINK("https://www.773grp.com/manufacturer/nxp-semiconductor?pageNo=26", "NXP Semiconductors")</f>
        <v>NXP Semiconductors</v>
      </c>
      <c r="C13587" s="6">
        <v>110000</v>
      </c>
      <c r="D13587" s="7">
        <v>0.05</v>
      </c>
    </row>
    <row r="13588" spans="1:4" x14ac:dyDescent="0.25">
      <c r="A13588" t="str">
        <f>HYPERLINK("https://www.773grp.com/globalSearch/NZX2V7A133/page-1", "NZX2V7A133")</f>
        <v>NZX2V7A133</v>
      </c>
      <c r="B13588" s="3" t="str">
        <f>HYPERLINK("https://www.773grp.com/manufacturer/nxp-semiconductor?pageNo=27", "NXP Semiconductors")</f>
        <v>NXP Semiconductors</v>
      </c>
      <c r="C13588" s="6">
        <v>80000</v>
      </c>
      <c r="D13588" s="7">
        <v>0.05</v>
      </c>
    </row>
    <row r="13589" spans="1:4" x14ac:dyDescent="0.25">
      <c r="A13589" t="str">
        <f>HYPERLINK("https://www.773grp.com/globalSearch/NZX2V7B133/page-1", "NZX2V7B133")</f>
        <v>NZX2V7B133</v>
      </c>
      <c r="B13589" s="3" t="str">
        <f>HYPERLINK("https://www.773grp.com/manufacturer/nxp-semiconductor?pageNo=28", "NXP Semiconductors")</f>
        <v>NXP Semiconductors</v>
      </c>
      <c r="C13589" s="6">
        <v>50000</v>
      </c>
      <c r="D13589" s="7">
        <v>0.05</v>
      </c>
    </row>
    <row r="13590" spans="1:4" x14ac:dyDescent="0.25">
      <c r="A13590" t="str">
        <f>HYPERLINK("https://www.773grp.com/globalSearch/NZX2V7C133/page-1", "NZX2V7C133")</f>
        <v>NZX2V7C133</v>
      </c>
      <c r="B13590" s="3" t="str">
        <f>HYPERLINK("https://www.773grp.com/manufacturer/nxp-semiconductor?pageNo=29", "NXP Semiconductors")</f>
        <v>NXP Semiconductors</v>
      </c>
      <c r="C13590" s="6">
        <v>80000</v>
      </c>
      <c r="D13590" s="7">
        <v>0.05</v>
      </c>
    </row>
    <row r="13591" spans="1:4" x14ac:dyDescent="0.25">
      <c r="A13591" t="str">
        <f>HYPERLINK("https://www.773grp.com/globalSearch/NZX30B133/page-1", "NZX30B133")</f>
        <v>NZX30B133</v>
      </c>
      <c r="B13591" s="3" t="str">
        <f>HYPERLINK("https://www.773grp.com/manufacturer/nxp-semiconductor?pageNo=30", "NXP Semiconductors")</f>
        <v>NXP Semiconductors</v>
      </c>
      <c r="C13591" s="6">
        <v>110000</v>
      </c>
      <c r="D13591" s="7">
        <v>0.05</v>
      </c>
    </row>
    <row r="13592" spans="1:4" x14ac:dyDescent="0.25">
      <c r="A13592" t="str">
        <f>HYPERLINK("https://www.773grp.com/globalSearch/NZX30X133/page-1", "NZX30X133")</f>
        <v>NZX30X133</v>
      </c>
      <c r="B13592" s="3" t="str">
        <f>HYPERLINK("https://www.773grp.com/manufacturer/nxp-semiconductor?pageNo=31", "NXP Semiconductors")</f>
        <v>NXP Semiconductors</v>
      </c>
      <c r="C13592" s="6">
        <v>43503</v>
      </c>
      <c r="D13592" s="7">
        <v>0.05</v>
      </c>
    </row>
    <row r="13593" spans="1:4" x14ac:dyDescent="0.25">
      <c r="A13593" t="str">
        <f>HYPERLINK("https://www.773grp.com/globalSearch/NZX33A133/page-1", "NZX33A133")</f>
        <v>NZX33A133</v>
      </c>
      <c r="B13593" s="3" t="str">
        <f>HYPERLINK("https://www.773grp.com/manufacturer/nxp-semiconductor?pageNo=32", "NXP Semiconductors")</f>
        <v>NXP Semiconductors</v>
      </c>
      <c r="C13593" s="6">
        <v>80000</v>
      </c>
      <c r="D13593" s="7">
        <v>0.05</v>
      </c>
    </row>
    <row r="13594" spans="1:4" x14ac:dyDescent="0.25">
      <c r="A13594" t="str">
        <f>HYPERLINK("https://www.773grp.com/globalSearch/NZX33B133/page-1", "NZX33B133")</f>
        <v>NZX33B133</v>
      </c>
      <c r="B13594" s="3" t="str">
        <f>HYPERLINK("https://www.773grp.com/manufacturer/nxp-semiconductor?pageNo=33", "NXP Semiconductors")</f>
        <v>NXP Semiconductors</v>
      </c>
      <c r="C13594" s="6">
        <v>69325</v>
      </c>
      <c r="D13594" s="7">
        <v>0.05</v>
      </c>
    </row>
    <row r="13595" spans="1:4" x14ac:dyDescent="0.25">
      <c r="A13595" t="str">
        <f>HYPERLINK("https://www.773grp.com/globalSearch/NZX36A133/page-1", "NZX36A133")</f>
        <v>NZX36A133</v>
      </c>
      <c r="B13595" s="3" t="str">
        <f>HYPERLINK("https://www.773grp.com/manufacturer/nxp-semiconductor?pageNo=34", "NXP Semiconductors")</f>
        <v>NXP Semiconductors</v>
      </c>
      <c r="C13595" s="6">
        <v>80000</v>
      </c>
      <c r="D13595" s="7">
        <v>0.05</v>
      </c>
    </row>
    <row r="13596" spans="1:4" x14ac:dyDescent="0.25">
      <c r="A13596" t="str">
        <f>HYPERLINK("https://www.773grp.com/globalSearch/NZX36B133/page-1", "NZX36B133")</f>
        <v>NZX36B133</v>
      </c>
      <c r="B13596" s="3" t="str">
        <f>HYPERLINK("https://www.773grp.com/manufacturer/nxp-semiconductor?pageNo=35", "NXP Semiconductors")</f>
        <v>NXP Semiconductors</v>
      </c>
      <c r="C13596" s="6">
        <v>100409</v>
      </c>
      <c r="D13596" s="7">
        <v>0.05</v>
      </c>
    </row>
    <row r="13597" spans="1:4" x14ac:dyDescent="0.25">
      <c r="A13597" t="str">
        <f>HYPERLINK("https://www.773grp.com/globalSearch/NZX36X133/page-1", "NZX36X133")</f>
        <v>NZX36X133</v>
      </c>
      <c r="B13597" s="3" t="str">
        <f>HYPERLINK("https://www.773grp.com/manufacturer/nxp-semiconductor?pageNo=36", "NXP Semiconductors")</f>
        <v>NXP Semiconductors</v>
      </c>
      <c r="C13597" s="6">
        <v>30000</v>
      </c>
      <c r="D13597" s="7">
        <v>0.05</v>
      </c>
    </row>
    <row r="13598" spans="1:4" x14ac:dyDescent="0.25">
      <c r="A13598" t="str">
        <f>HYPERLINK("https://www.773grp.com/globalSearch/NZX3V0A133/page-1", "NZX3V0A133")</f>
        <v>NZX3V0A133</v>
      </c>
      <c r="B13598" s="3" t="str">
        <f>HYPERLINK("https://www.773grp.com/manufacturer/nxp-semiconductor?pageNo=37", "NXP Semiconductors")</f>
        <v>NXP Semiconductors</v>
      </c>
      <c r="C13598" s="6">
        <v>80000</v>
      </c>
      <c r="D13598" s="7">
        <v>0.05</v>
      </c>
    </row>
    <row r="13599" spans="1:4" x14ac:dyDescent="0.25">
      <c r="A13599" t="str">
        <f>HYPERLINK("https://www.773grp.com/globalSearch/NZX3V0B133/page-1", "NZX3V0B133")</f>
        <v>NZX3V0B133</v>
      </c>
      <c r="B13599" s="3" t="str">
        <f>HYPERLINK("https://www.773grp.com/manufacturer/nxp-semiconductor?pageNo=38", "NXP Semiconductors")</f>
        <v>NXP Semiconductors</v>
      </c>
      <c r="C13599" s="6">
        <v>50000</v>
      </c>
      <c r="D13599" s="7">
        <v>0.05</v>
      </c>
    </row>
    <row r="13600" spans="1:4" x14ac:dyDescent="0.25">
      <c r="A13600" t="str">
        <f>HYPERLINK("https://www.773grp.com/globalSearch/NZX3V0C133/page-1", "NZX3V0C133")</f>
        <v>NZX3V0C133</v>
      </c>
      <c r="B13600" s="3" t="str">
        <f>HYPERLINK("https://www.773grp.com/manufacturer/nxp-semiconductor?pageNo=39", "NXP Semiconductors")</f>
        <v>NXP Semiconductors</v>
      </c>
      <c r="C13600" s="6">
        <v>90000</v>
      </c>
      <c r="D13600" s="7">
        <v>0.05</v>
      </c>
    </row>
    <row r="13601" spans="1:4" x14ac:dyDescent="0.25">
      <c r="A13601" t="str">
        <f>HYPERLINK("https://www.773grp.com/globalSearch/NZX3V3A133/page-1", "NZX3V3A133")</f>
        <v>NZX3V3A133</v>
      </c>
      <c r="B13601" s="3" t="str">
        <f>HYPERLINK("https://www.773grp.com/manufacturer/nxp-semiconductor?pageNo=40", "NXP Semiconductors")</f>
        <v>NXP Semiconductors</v>
      </c>
      <c r="C13601" s="6">
        <v>80000</v>
      </c>
      <c r="D13601" s="7">
        <v>0.05</v>
      </c>
    </row>
    <row r="13602" spans="1:4" x14ac:dyDescent="0.25">
      <c r="A13602" t="str">
        <f>HYPERLINK("https://www.773grp.com/globalSearch/NZX3V3B133/page-1", "NZX3V3B133")</f>
        <v>NZX3V3B133</v>
      </c>
      <c r="B13602" s="3" t="str">
        <f>HYPERLINK("https://www.773grp.com/manufacturer/nxp-semiconductor?pageNo=41", "NXP Semiconductors")</f>
        <v>NXP Semiconductors</v>
      </c>
      <c r="C13602" s="6">
        <v>60000</v>
      </c>
      <c r="D13602" s="7">
        <v>0.05</v>
      </c>
    </row>
    <row r="13603" spans="1:4" x14ac:dyDescent="0.25">
      <c r="A13603" t="str">
        <f>HYPERLINK("https://www.773grp.com/globalSearch/NZX3V3C133/page-1", "NZX3V3C133")</f>
        <v>NZX3V3C133</v>
      </c>
      <c r="B13603" s="3" t="str">
        <f>HYPERLINK("https://www.773grp.com/manufacturer/nxp-semiconductor?pageNo=42", "NXP Semiconductors")</f>
        <v>NXP Semiconductors</v>
      </c>
      <c r="C13603" s="6">
        <v>50000</v>
      </c>
      <c r="D13603" s="7">
        <v>0.05</v>
      </c>
    </row>
    <row r="13604" spans="1:4" x14ac:dyDescent="0.25">
      <c r="A13604" t="str">
        <f>HYPERLINK("https://www.773grp.com/globalSearch/NZX3V6A133/page-1", "NZX3V6A133")</f>
        <v>NZX3V6A133</v>
      </c>
      <c r="B13604" s="3" t="str">
        <f>HYPERLINK("https://www.773grp.com/manufacturer/nxp-semiconductor?pageNo=43", "NXP Semiconductors")</f>
        <v>NXP Semiconductors</v>
      </c>
      <c r="C13604" s="6">
        <v>110000</v>
      </c>
      <c r="D13604" s="7">
        <v>0.05</v>
      </c>
    </row>
    <row r="13605" spans="1:4" x14ac:dyDescent="0.25">
      <c r="A13605" t="str">
        <f>HYPERLINK("https://www.773grp.com/globalSearch/NZX3V6B133/page-1", "NZX3V6B133")</f>
        <v>NZX3V6B133</v>
      </c>
      <c r="B13605" s="3" t="str">
        <f>HYPERLINK("https://www.773grp.com/manufacturer/nxp-semiconductor?pageNo=44", "NXP Semiconductors")</f>
        <v>NXP Semiconductors</v>
      </c>
      <c r="C13605" s="6">
        <v>87201</v>
      </c>
      <c r="D13605" s="7">
        <v>0.05</v>
      </c>
    </row>
    <row r="13606" spans="1:4" x14ac:dyDescent="0.25">
      <c r="A13606" t="str">
        <f>HYPERLINK("https://www.773grp.com/globalSearch/NZX3V6C133/page-1", "NZX3V6C133")</f>
        <v>NZX3V6C133</v>
      </c>
      <c r="B13606" s="3" t="str">
        <f>HYPERLINK("https://www.773grp.com/manufacturer/nxp-semiconductor?pageNo=45", "NXP Semiconductors")</f>
        <v>NXP Semiconductors</v>
      </c>
      <c r="C13606" s="6">
        <v>50000</v>
      </c>
      <c r="D13606" s="7">
        <v>0.05</v>
      </c>
    </row>
    <row r="13607" spans="1:4" x14ac:dyDescent="0.25">
      <c r="A13607" t="str">
        <f>HYPERLINK("https://www.773grp.com/globalSearch/NZX3V9A133/page-1", "NZX3V9A133")</f>
        <v>NZX3V9A133</v>
      </c>
      <c r="B13607" s="3" t="str">
        <f>HYPERLINK("https://www.773grp.com/manufacturer/nxp-semiconductor?pageNo=46", "NXP Semiconductors")</f>
        <v>NXP Semiconductors</v>
      </c>
      <c r="C13607" s="6">
        <v>90000</v>
      </c>
      <c r="D13607" s="7">
        <v>0.05</v>
      </c>
    </row>
    <row r="13608" spans="1:4" x14ac:dyDescent="0.25">
      <c r="A13608" t="str">
        <f>HYPERLINK("https://www.773grp.com/globalSearch/NZX3V9B133/page-1", "NZX3V9B133")</f>
        <v>NZX3V9B133</v>
      </c>
      <c r="B13608" s="3" t="str">
        <f>HYPERLINK("https://www.773grp.com/manufacturer/nxp-semiconductor?pageNo=47", "NXP Semiconductors")</f>
        <v>NXP Semiconductors</v>
      </c>
      <c r="C13608" s="6">
        <v>80000</v>
      </c>
      <c r="D13608" s="7">
        <v>0.05</v>
      </c>
    </row>
    <row r="13609" spans="1:4" x14ac:dyDescent="0.25">
      <c r="A13609" t="str">
        <f>HYPERLINK("https://www.773grp.com/globalSearch/NZX4V3A133/page-1", "NZX4V3A133")</f>
        <v>NZX4V3A133</v>
      </c>
      <c r="B13609" s="3" t="str">
        <f>HYPERLINK("https://www.773grp.com/manufacturer/nxp-semiconductor?pageNo=48", "NXP Semiconductors")</f>
        <v>NXP Semiconductors</v>
      </c>
      <c r="C13609" s="6">
        <v>80000</v>
      </c>
      <c r="D13609" s="7">
        <v>0.05</v>
      </c>
    </row>
    <row r="13610" spans="1:4" x14ac:dyDescent="0.25">
      <c r="A13610" t="str">
        <f>HYPERLINK("https://www.773grp.com/globalSearch/NZX4V3B133/page-1", "NZX4V3B133")</f>
        <v>NZX4V3B133</v>
      </c>
      <c r="B13610" s="3" t="str">
        <f>HYPERLINK("https://www.773grp.com/manufacturer/nxp-semiconductor?pageNo=1", "NXP Semiconductors")</f>
        <v>NXP Semiconductors</v>
      </c>
      <c r="C13610" s="6">
        <v>80000</v>
      </c>
      <c r="D13610" s="7">
        <v>0.05</v>
      </c>
    </row>
    <row r="13611" spans="1:4" x14ac:dyDescent="0.25">
      <c r="A13611" t="str">
        <f>HYPERLINK("https://www.773grp.com/globalSearch/NZX4V3C133/page-1", "NZX4V3C133")</f>
        <v>NZX4V3C133</v>
      </c>
      <c r="B13611" s="3" t="str">
        <f>HYPERLINK("https://www.773grp.com/manufacturer/nxp-semiconductor?pageNo=2", "NXP Semiconductors")</f>
        <v>NXP Semiconductors</v>
      </c>
      <c r="C13611" s="6">
        <v>50000</v>
      </c>
      <c r="D13611" s="7">
        <v>0.05</v>
      </c>
    </row>
    <row r="13612" spans="1:4" x14ac:dyDescent="0.25">
      <c r="A13612" t="str">
        <f>HYPERLINK("https://www.773grp.com/globalSearch/NZX4V3D133/page-1", "NZX4V3D133")</f>
        <v>NZX4V3D133</v>
      </c>
      <c r="B13612" s="3" t="str">
        <f>HYPERLINK("https://www.773grp.com/manufacturer/nxp-semiconductor?pageNo=3", "NXP Semiconductors")</f>
        <v>NXP Semiconductors</v>
      </c>
      <c r="C13612" s="6">
        <v>90000</v>
      </c>
      <c r="D13612" s="7">
        <v>0.05</v>
      </c>
    </row>
    <row r="13613" spans="1:4" x14ac:dyDescent="0.25">
      <c r="A13613" t="str">
        <f>HYPERLINK("https://www.773grp.com/globalSearch/NZX4V7B133/page-1", "NZX4V7B133")</f>
        <v>NZX4V7B133</v>
      </c>
      <c r="B13613" s="3" t="str">
        <f>HYPERLINK("https://www.773grp.com/manufacturer/nxp-semiconductor?pageNo=4", "NXP Semiconductors")</f>
        <v>NXP Semiconductors</v>
      </c>
      <c r="C13613" s="6">
        <v>110000</v>
      </c>
      <c r="D13613" s="7">
        <v>0.05</v>
      </c>
    </row>
    <row r="13614" spans="1:4" x14ac:dyDescent="0.25">
      <c r="A13614" t="str">
        <f>HYPERLINK("https://www.773grp.com/globalSearch/NZX4V7C133/page-1", "NZX4V7C133")</f>
        <v>NZX4V7C133</v>
      </c>
      <c r="B13614" s="3" t="str">
        <f>HYPERLINK("https://www.773grp.com/manufacturer/nxp-semiconductor?pageNo=5", "NXP Semiconductors")</f>
        <v>NXP Semiconductors</v>
      </c>
      <c r="C13614" s="6">
        <v>50000</v>
      </c>
      <c r="D13614" s="7">
        <v>0.05</v>
      </c>
    </row>
    <row r="13615" spans="1:4" x14ac:dyDescent="0.25">
      <c r="A13615" t="str">
        <f>HYPERLINK("https://www.773grp.com/globalSearch/NZX4V7D133/page-1", "NZX4V7D133")</f>
        <v>NZX4V7D133</v>
      </c>
      <c r="B13615" s="3" t="str">
        <f>HYPERLINK("https://www.773grp.com/manufacturer/nxp-semiconductor?pageNo=6", "NXP Semiconductors")</f>
        <v>NXP Semiconductors</v>
      </c>
      <c r="C13615" s="6">
        <v>1000</v>
      </c>
      <c r="D13615" s="7">
        <v>0.05</v>
      </c>
    </row>
    <row r="13616" spans="1:4" x14ac:dyDescent="0.25">
      <c r="A13616" t="str">
        <f>HYPERLINK("https://www.773grp.com/globalSearch/NZX5V1A133/page-1", "NZX5V1A133")</f>
        <v>NZX5V1A133</v>
      </c>
      <c r="B13616" s="3" t="str">
        <f>HYPERLINK("https://www.773grp.com/manufacturer/nxp-semiconductor?pageNo=7", "NXP Semiconductors")</f>
        <v>NXP Semiconductors</v>
      </c>
      <c r="C13616" s="6">
        <v>110000</v>
      </c>
      <c r="D13616" s="7">
        <v>0.05</v>
      </c>
    </row>
    <row r="13617" spans="1:4" x14ac:dyDescent="0.25">
      <c r="A13617" t="str">
        <f>HYPERLINK("https://www.773grp.com/globalSearch/NZX5V1B133/page-1", "NZX5V1B133")</f>
        <v>NZX5V1B133</v>
      </c>
      <c r="B13617" s="3" t="str">
        <f>HYPERLINK("https://www.773grp.com/manufacturer/nxp-semiconductor?pageNo=8", "NXP Semiconductors")</f>
        <v>NXP Semiconductors</v>
      </c>
      <c r="C13617" s="6">
        <v>50000</v>
      </c>
      <c r="D13617" s="7">
        <v>0.05</v>
      </c>
    </row>
    <row r="13618" spans="1:4" x14ac:dyDescent="0.25">
      <c r="A13618" t="str">
        <f>HYPERLINK("https://www.773grp.com/globalSearch/NZX5V1C133/page-1", "NZX5V1C133")</f>
        <v>NZX5V1C133</v>
      </c>
      <c r="B13618" s="3" t="str">
        <f>HYPERLINK("https://www.773grp.com/manufacturer/nxp-semiconductor?pageNo=9", "NXP Semiconductors")</f>
        <v>NXP Semiconductors</v>
      </c>
      <c r="C13618" s="6">
        <v>50000</v>
      </c>
      <c r="D13618" s="7">
        <v>0.05</v>
      </c>
    </row>
    <row r="13619" spans="1:4" x14ac:dyDescent="0.25">
      <c r="A13619" t="str">
        <f>HYPERLINK("https://www.773grp.com/globalSearch/NZX5V1D133/page-1", "NZX5V1D133")</f>
        <v>NZX5V1D133</v>
      </c>
      <c r="B13619" s="3" t="str">
        <f>HYPERLINK("https://www.773grp.com/manufacturer/nxp-semiconductor?pageNo=10", "NXP Semiconductors")</f>
        <v>NXP Semiconductors</v>
      </c>
      <c r="C13619" s="6">
        <v>50000</v>
      </c>
      <c r="D13619" s="7">
        <v>0.05</v>
      </c>
    </row>
    <row r="13620" spans="1:4" x14ac:dyDescent="0.25">
      <c r="A13620" t="str">
        <f>HYPERLINK("https://www.773grp.com/globalSearch/NZX5V6A133/page-1", "NZX5V6A133")</f>
        <v>NZX5V6A133</v>
      </c>
      <c r="B13620" s="3" t="str">
        <f>HYPERLINK("https://www.773grp.com/manufacturer/nxp-semiconductor?pageNo=11", "NXP Semiconductors")</f>
        <v>NXP Semiconductors</v>
      </c>
      <c r="C13620" s="6">
        <v>20000</v>
      </c>
      <c r="D13620" s="7">
        <v>0.05</v>
      </c>
    </row>
    <row r="13621" spans="1:4" x14ac:dyDescent="0.25">
      <c r="A13621" t="str">
        <f>HYPERLINK("https://www.773grp.com/globalSearch/NZX5V6B133/page-1", "NZX5V6B133")</f>
        <v>NZX5V6B133</v>
      </c>
      <c r="B13621" s="3" t="str">
        <f>HYPERLINK("https://www.773grp.com/manufacturer/nxp-semiconductor?pageNo=12", "NXP Semiconductors")</f>
        <v>NXP Semiconductors</v>
      </c>
      <c r="C13621" s="6">
        <v>1000</v>
      </c>
      <c r="D13621" s="7">
        <v>0.05</v>
      </c>
    </row>
    <row r="13622" spans="1:4" x14ac:dyDescent="0.25">
      <c r="A13622" t="str">
        <f>HYPERLINK("https://www.773grp.com/globalSearch/NZX6V2A133/page-1", "NZX6V2A133")</f>
        <v>NZX6V2A133</v>
      </c>
      <c r="B13622" s="3" t="str">
        <f>HYPERLINK("https://www.773grp.com/manufacturer/nxp-semiconductor?pageNo=13", "NXP Semiconductors")</f>
        <v>NXP Semiconductors</v>
      </c>
      <c r="C13622" s="6">
        <v>80000</v>
      </c>
      <c r="D13622" s="7">
        <v>0.05</v>
      </c>
    </row>
    <row r="13623" spans="1:4" x14ac:dyDescent="0.25">
      <c r="A13623" t="str">
        <f>HYPERLINK("https://www.773grp.com/globalSearch/NZX6V8A133/page-1", "NZX6V8A133")</f>
        <v>NZX6V8A133</v>
      </c>
      <c r="B13623" s="3" t="str">
        <f>HYPERLINK("https://www.773grp.com/manufacturer/nxp-semiconductor?pageNo=14", "NXP Semiconductors")</f>
        <v>NXP Semiconductors</v>
      </c>
      <c r="C13623" s="6">
        <v>1000</v>
      </c>
      <c r="D13623" s="7">
        <v>0.05</v>
      </c>
    </row>
    <row r="13624" spans="1:4" x14ac:dyDescent="0.25">
      <c r="A13624" t="str">
        <f>HYPERLINK("https://www.773grp.com/globalSearch/NZX6V8C133/page-1", "NZX6V8C133")</f>
        <v>NZX6V8C133</v>
      </c>
      <c r="B13624" s="3" t="str">
        <f>HYPERLINK("https://www.773grp.com/manufacturer/nxp-semiconductor?pageNo=15", "NXP Semiconductors")</f>
        <v>NXP Semiconductors</v>
      </c>
      <c r="C13624" s="6">
        <v>30000</v>
      </c>
      <c r="D13624" s="7">
        <v>0.05</v>
      </c>
    </row>
    <row r="13625" spans="1:4" x14ac:dyDescent="0.25">
      <c r="A13625" t="str">
        <f>HYPERLINK("https://www.773grp.com/globalSearch/NZX6V8D133/page-1", "NZX6V8D133")</f>
        <v>NZX6V8D133</v>
      </c>
      <c r="B13625" s="3" t="str">
        <f>HYPERLINK("https://www.773grp.com/manufacturer/nxp-semiconductor?pageNo=16", "NXP Semiconductors")</f>
        <v>NXP Semiconductors</v>
      </c>
      <c r="C13625" s="6">
        <v>80000</v>
      </c>
      <c r="D13625" s="7">
        <v>0.05</v>
      </c>
    </row>
    <row r="13626" spans="1:4" x14ac:dyDescent="0.25">
      <c r="A13626" t="str">
        <f>HYPERLINK("https://www.773grp.com/globalSearch/NZX7V5A133/page-1", "NZX7V5A133")</f>
        <v>NZX7V5A133</v>
      </c>
      <c r="B13626" s="3" t="str">
        <f>HYPERLINK("https://www.773grp.com/manufacturer/nxp-semiconductor?pageNo=17", "NXP Semiconductors")</f>
        <v>NXP Semiconductors</v>
      </c>
      <c r="C13626" s="6">
        <v>50000</v>
      </c>
      <c r="D13626" s="7">
        <v>0.05</v>
      </c>
    </row>
    <row r="13627" spans="1:4" x14ac:dyDescent="0.25">
      <c r="A13627" t="str">
        <f>HYPERLINK("https://www.773grp.com/globalSearch/NZX7V5C133/page-1", "NZX7V5C133")</f>
        <v>NZX7V5C133</v>
      </c>
      <c r="B13627" s="3" t="str">
        <f>HYPERLINK("https://www.773grp.com/manufacturer/nxp-semiconductor?pageNo=18", "NXP Semiconductors")</f>
        <v>NXP Semiconductors</v>
      </c>
      <c r="C13627" s="6">
        <v>80000</v>
      </c>
      <c r="D13627" s="7">
        <v>0.05</v>
      </c>
    </row>
    <row r="13628" spans="1:4" x14ac:dyDescent="0.25">
      <c r="A13628" t="str">
        <f>HYPERLINK("https://www.773grp.com/globalSearch/NZX7V5X133/page-1", "NZX7V5X133")</f>
        <v>NZX7V5X133</v>
      </c>
      <c r="B13628" s="3" t="str">
        <f>HYPERLINK("https://www.773grp.com/manufacturer/nxp-semiconductor?pageNo=19", "NXP Semiconductors")</f>
        <v>NXP Semiconductors</v>
      </c>
      <c r="C13628" s="6">
        <v>80000</v>
      </c>
      <c r="D13628" s="7">
        <v>0.05</v>
      </c>
    </row>
    <row r="13629" spans="1:4" x14ac:dyDescent="0.25">
      <c r="A13629" t="str">
        <f>HYPERLINK("https://www.773grp.com/globalSearch/NZX8V2B133/page-1", "NZX8V2B133")</f>
        <v>NZX8V2B133</v>
      </c>
      <c r="B13629" s="3" t="str">
        <f>HYPERLINK("https://www.773grp.com/manufacturer/nxp-semiconductor?pageNo=20", "NXP Semiconductors")</f>
        <v>NXP Semiconductors</v>
      </c>
      <c r="C13629" s="6">
        <v>40000</v>
      </c>
      <c r="D13629" s="7">
        <v>0.05</v>
      </c>
    </row>
    <row r="13630" spans="1:4" x14ac:dyDescent="0.25">
      <c r="A13630" t="str">
        <f>HYPERLINK("https://www.773grp.com/globalSearch/NZX8V2C133/page-1", "NZX8V2C133")</f>
        <v>NZX8V2C133</v>
      </c>
      <c r="B13630" s="3" t="str">
        <f>HYPERLINK("https://www.773grp.com/manufacturer/nxp-semiconductor?pageNo=21", "NXP Semiconductors")</f>
        <v>NXP Semiconductors</v>
      </c>
      <c r="C13630" s="6">
        <v>29796</v>
      </c>
      <c r="D13630" s="7">
        <v>0.05</v>
      </c>
    </row>
    <row r="13631" spans="1:4" x14ac:dyDescent="0.25">
      <c r="A13631" t="str">
        <f>HYPERLINK("https://www.773grp.com/globalSearch/NZX9V1A133/page-1", "NZX9V1A133")</f>
        <v>NZX9V1A133</v>
      </c>
      <c r="B13631" s="3" t="str">
        <f>HYPERLINK("https://www.773grp.com/manufacturer/nxp-semiconductor?pageNo=22", "NXP Semiconductors")</f>
        <v>NXP Semiconductors</v>
      </c>
      <c r="C13631" s="6">
        <v>100204</v>
      </c>
      <c r="D13631" s="7">
        <v>0.05</v>
      </c>
    </row>
    <row r="13632" spans="1:4" x14ac:dyDescent="0.25">
      <c r="A13632" t="str">
        <f>HYPERLINK("https://www.773grp.com/globalSearch/NZX9V1B133/page-1", "NZX9V1B133")</f>
        <v>NZX9V1B133</v>
      </c>
      <c r="B13632" s="3" t="str">
        <f>HYPERLINK("https://www.773grp.com/manufacturer/nxp-semiconductor?pageNo=23", "NXP Semiconductors")</f>
        <v>NXP Semiconductors</v>
      </c>
      <c r="C13632" s="6">
        <v>50000</v>
      </c>
      <c r="D13632" s="7">
        <v>0.05</v>
      </c>
    </row>
    <row r="13633" spans="1:4" x14ac:dyDescent="0.25">
      <c r="A13633" t="str">
        <f>HYPERLINK("https://www.773grp.com/globalSearch/NZX9V1C133/page-1", "NZX9V1C133")</f>
        <v>NZX9V1C133</v>
      </c>
      <c r="B13633" s="3" t="str">
        <f>HYPERLINK("https://www.773grp.com/manufacturer/nxp-semiconductor?pageNo=24", "NXP Semiconductors")</f>
        <v>NXP Semiconductors</v>
      </c>
      <c r="C13633" s="6">
        <v>80000</v>
      </c>
      <c r="D13633" s="7">
        <v>0.05</v>
      </c>
    </row>
    <row r="13634" spans="1:4" x14ac:dyDescent="0.25">
      <c r="A13634" t="str">
        <f>HYPERLINK("https://www.773grp.com/globalSearch/NZX9V1D133/page-1", "NZX9V1D133")</f>
        <v>NZX9V1D133</v>
      </c>
      <c r="B13634" s="3" t="str">
        <f>HYPERLINK("https://www.773grp.com/manufacturer/nxp-semiconductor?pageNo=25", "NXP Semiconductors")</f>
        <v>NXP Semiconductors</v>
      </c>
      <c r="C13634" s="6">
        <v>80000</v>
      </c>
      <c r="D13634" s="7">
        <v>0.05</v>
      </c>
    </row>
    <row r="13635" spans="1:4" x14ac:dyDescent="0.25">
      <c r="A13635" t="str">
        <f>HYPERLINK("https://www.773grp.com/globalSearch/NZX9V1E133/page-1", "NZX9V1E133")</f>
        <v>NZX9V1E133</v>
      </c>
      <c r="B13635" s="3" t="str">
        <f>HYPERLINK("https://www.773grp.com/manufacturer/nxp-semiconductor?pageNo=26", "NXP Semiconductors")</f>
        <v>NXP Semiconductors</v>
      </c>
      <c r="C13635" s="6">
        <v>50000</v>
      </c>
      <c r="D13635" s="7">
        <v>0.05</v>
      </c>
    </row>
    <row r="13636" spans="1:4" x14ac:dyDescent="0.25">
      <c r="A13636" t="str">
        <f>HYPERLINK("https://www.773grp.com/globalSearch/PMBD6100215/page-1", "PMBD6100215")</f>
        <v>PMBD6100215</v>
      </c>
      <c r="B13636" s="3" t="str">
        <f>HYPERLINK("https://www.773grp.com/manufacturer/nxp-semiconductor?pageNo=27", "NXP Semiconductors")</f>
        <v>NXP Semiconductors</v>
      </c>
      <c r="C13636" s="6">
        <v>18000</v>
      </c>
      <c r="D13636" s="7">
        <v>0.05</v>
      </c>
    </row>
    <row r="13637" spans="1:4" x14ac:dyDescent="0.25">
      <c r="A13637" t="str">
        <f>HYPERLINK("https://www.773grp.com/globalSearch/PMBD7000235/page-1", "PMBD7000235")</f>
        <v>PMBD7000235</v>
      </c>
      <c r="B13637" s="3" t="str">
        <f>HYPERLINK("https://www.773grp.com/manufacturer/nxp-semiconductor?pageNo=28", "NXP Semiconductors")</f>
        <v>NXP Semiconductors</v>
      </c>
      <c r="C13637" s="6">
        <v>130000</v>
      </c>
      <c r="D13637" s="7">
        <v>0.05</v>
      </c>
    </row>
    <row r="13638" spans="1:4" x14ac:dyDescent="0.25">
      <c r="A13638" t="str">
        <f>HYPERLINK("https://www.773grp.com/globalSearch/PMBD7100215/page-1", "PMBD7100215")</f>
        <v>PMBD7100215</v>
      </c>
      <c r="B13638" s="3" t="str">
        <f>HYPERLINK("https://www.773grp.com/manufacturer/nxp-semiconductor?pageNo=29", "NXP Semiconductors")</f>
        <v>NXP Semiconductors</v>
      </c>
      <c r="C13638" s="6">
        <v>125525</v>
      </c>
      <c r="D13638" s="7">
        <v>0.05</v>
      </c>
    </row>
    <row r="13639" spans="1:4" x14ac:dyDescent="0.25">
      <c r="A13639" t="str">
        <f>HYPERLINK("https://www.773grp.com/globalSearch/PMBD914215/page-1", "PMBD914215")</f>
        <v>PMBD914215</v>
      </c>
      <c r="B13639" s="3" t="str">
        <f>HYPERLINK("https://www.773grp.com/manufacturer/nxp-semiconductor?pageNo=30", "NXP Semiconductors")</f>
        <v>NXP Semiconductors</v>
      </c>
      <c r="C13639" s="6">
        <v>123000</v>
      </c>
      <c r="D13639" s="7">
        <v>0.05</v>
      </c>
    </row>
    <row r="13640" spans="1:4" x14ac:dyDescent="0.25">
      <c r="A13640" t="str">
        <f>HYPERLINK("https://www.773grp.com/globalSearch/PMBD914235/page-1", "PMBD914235")</f>
        <v>PMBD914235</v>
      </c>
      <c r="B13640" s="3" t="str">
        <f>HYPERLINK("https://www.773grp.com/manufacturer/nxp-semiconductor?pageNo=31", "NXP Semiconductors")</f>
        <v>NXP Semiconductors</v>
      </c>
      <c r="C13640" s="6">
        <v>120000</v>
      </c>
      <c r="D13640" s="7">
        <v>0.05</v>
      </c>
    </row>
    <row r="13641" spans="1:4" x14ac:dyDescent="0.25">
      <c r="A13641" t="str">
        <f>HYPERLINK("https://www.773grp.com/globalSearch/PMSTA3904115/page-1", "PMSTA3904115")</f>
        <v>PMSTA3904115</v>
      </c>
      <c r="B13641" s="3" t="str">
        <f>HYPERLINK("https://www.773grp.com/manufacturer/nxp-semiconductor?pageNo=32", "NXP Semiconductors")</f>
        <v>NXP Semiconductors</v>
      </c>
      <c r="C13641" s="6">
        <v>27000</v>
      </c>
      <c r="D13641" s="7">
        <v>0.05</v>
      </c>
    </row>
    <row r="13642" spans="1:4" x14ac:dyDescent="0.25">
      <c r="A13642" t="str">
        <f>HYPERLINK("https://www.773grp.com/globalSearch/1PS76SB10115/page-1", "1PS76SB10115")</f>
        <v>1PS76SB10115</v>
      </c>
      <c r="B13642" s="3" t="str">
        <f>HYPERLINK("https://www.773grp.com/manufacturer/nxp-semiconductor?pageNo=33", "NXP Semiconductors")</f>
        <v>NXP Semiconductors</v>
      </c>
      <c r="C13642" s="6">
        <v>315000</v>
      </c>
      <c r="D13642" s="7">
        <v>0.1</v>
      </c>
    </row>
    <row r="13643" spans="1:4" x14ac:dyDescent="0.25">
      <c r="A13643" t="str">
        <f>HYPERLINK("https://www.773grp.com/globalSearch/2N7002BK215/page-1", "2N7002BK215")</f>
        <v>2N7002BK215</v>
      </c>
      <c r="B13643" s="3" t="str">
        <f>HYPERLINK("https://www.773grp.com/manufacturer/nxp-semiconductor?pageNo=34", "NXP Semiconductors")</f>
        <v>NXP Semiconductors</v>
      </c>
      <c r="C13643" s="6">
        <v>3512</v>
      </c>
      <c r="D13643" s="7">
        <v>0.1</v>
      </c>
    </row>
    <row r="13644" spans="1:4" x14ac:dyDescent="0.25">
      <c r="A13644" t="str">
        <f>HYPERLINK("https://www.773grp.com/globalSearch/2N7002K215/page-1", "2N7002K215")</f>
        <v>2N7002K215</v>
      </c>
      <c r="B13644" s="3" t="str">
        <f>HYPERLINK("https://www.773grp.com/manufacturer/nxp-semiconductor?pageNo=35", "NXP Semiconductors")</f>
        <v>NXP Semiconductors</v>
      </c>
      <c r="C13644" s="6">
        <v>16355</v>
      </c>
      <c r="D13644" s="7">
        <v>0.1</v>
      </c>
    </row>
    <row r="13645" spans="1:4" x14ac:dyDescent="0.25">
      <c r="A13645" t="str">
        <f>HYPERLINK("https://www.773grp.com/globalSearch/2PA1576Q115/page-1", "2PA1576Q115")</f>
        <v>2PA1576Q115</v>
      </c>
      <c r="B13645" s="3" t="str">
        <f>HYPERLINK("https://www.773grp.com/manufacturer/nxp-semiconductor?pageNo=36", "NXP Semiconductors")</f>
        <v>NXP Semiconductors</v>
      </c>
      <c r="C13645" s="6">
        <v>52370</v>
      </c>
      <c r="D13645" s="7">
        <v>0.1</v>
      </c>
    </row>
    <row r="13646" spans="1:4" x14ac:dyDescent="0.25">
      <c r="A13646" t="str">
        <f>HYPERLINK("https://www.773grp.com/globalSearch/2PA1576R115/page-1", "2PA1576R115")</f>
        <v>2PA1576R115</v>
      </c>
      <c r="B13646" s="3" t="str">
        <f>HYPERLINK("https://www.773grp.com/manufacturer/nxp-semiconductor?pageNo=37", "NXP Semiconductors")</f>
        <v>NXP Semiconductors</v>
      </c>
      <c r="C13646" s="6">
        <v>51000</v>
      </c>
      <c r="D13646" s="7">
        <v>0.1</v>
      </c>
    </row>
    <row r="13647" spans="1:4" x14ac:dyDescent="0.25">
      <c r="A13647" t="str">
        <f>HYPERLINK("https://www.773grp.com/globalSearch/2PA1774Q115/page-1", "2PA1774Q115")</f>
        <v>2PA1774Q115</v>
      </c>
      <c r="B13647" s="3" t="str">
        <f>HYPERLINK("https://www.773grp.com/manufacturer/nxp-semiconductor?pageNo=38", "NXP Semiconductors")</f>
        <v>NXP Semiconductors</v>
      </c>
      <c r="C13647" s="6">
        <v>51000</v>
      </c>
      <c r="D13647" s="7">
        <v>0.1</v>
      </c>
    </row>
    <row r="13648" spans="1:4" x14ac:dyDescent="0.25">
      <c r="A13648" t="str">
        <f>HYPERLINK("https://www.773grp.com/globalSearch/2PA1774R115/page-1", "2PA1774R115")</f>
        <v>2PA1774R115</v>
      </c>
      <c r="B13648" s="3" t="str">
        <f>HYPERLINK("https://www.773grp.com/manufacturer/nxp-semiconductor?pageNo=39", "NXP Semiconductors")</f>
        <v>NXP Semiconductors</v>
      </c>
      <c r="C13648" s="6">
        <v>63051</v>
      </c>
      <c r="D13648" s="7">
        <v>0.1</v>
      </c>
    </row>
    <row r="13649" spans="1:4" x14ac:dyDescent="0.25">
      <c r="A13649" t="str">
        <f>HYPERLINK("https://www.773grp.com/globalSearch/2PA1774R135/page-1", "2PA1774R135")</f>
        <v>2PA1774R135</v>
      </c>
      <c r="B13649" s="3" t="str">
        <f>HYPERLINK("https://www.773grp.com/manufacturer/nxp-semiconductor?pageNo=40", "NXP Semiconductors")</f>
        <v>NXP Semiconductors</v>
      </c>
      <c r="C13649" s="6">
        <v>10000</v>
      </c>
      <c r="D13649" s="7">
        <v>0.1</v>
      </c>
    </row>
    <row r="13650" spans="1:4" x14ac:dyDescent="0.25">
      <c r="A13650" t="str">
        <f>HYPERLINK("https://www.773grp.com/globalSearch/2PA1774S115/page-1", "2PA1774S115")</f>
        <v>2PA1774S115</v>
      </c>
      <c r="B13650" s="3" t="str">
        <f>HYPERLINK("https://www.773grp.com/manufacturer/nxp-semiconductor?pageNo=41", "NXP Semiconductors")</f>
        <v>NXP Semiconductors</v>
      </c>
      <c r="C13650" s="6">
        <v>90000</v>
      </c>
      <c r="D13650" s="7">
        <v>0.1</v>
      </c>
    </row>
    <row r="13651" spans="1:4" x14ac:dyDescent="0.25">
      <c r="A13651" t="str">
        <f>HYPERLINK("https://www.773grp.com/globalSearch/2PB709ARL215/page-1", "2PB709ARL215")</f>
        <v>2PB709ARL215</v>
      </c>
      <c r="B13651" s="3" t="str">
        <f>HYPERLINK("https://www.773grp.com/manufacturer/nxp-semiconductor?pageNo=42", "NXP Semiconductors")</f>
        <v>NXP Semiconductors</v>
      </c>
      <c r="C13651" s="6">
        <v>57132</v>
      </c>
      <c r="D13651" s="7">
        <v>0.1</v>
      </c>
    </row>
    <row r="13652" spans="1:4" x14ac:dyDescent="0.25">
      <c r="A13652" t="str">
        <f>HYPERLINK("https://www.773grp.com/globalSearch/2PB709ART235/page-1", "2PB709ART235")</f>
        <v>2PB709ART235</v>
      </c>
      <c r="B13652" s="3" t="str">
        <f>HYPERLINK("https://www.773grp.com/manufacturer/nxp-semiconductor?pageNo=43", "NXP Semiconductors")</f>
        <v>NXP Semiconductors</v>
      </c>
      <c r="C13652" s="6">
        <v>10000</v>
      </c>
      <c r="D13652" s="7">
        <v>0.1</v>
      </c>
    </row>
    <row r="13653" spans="1:4" x14ac:dyDescent="0.25">
      <c r="A13653" t="str">
        <f>HYPERLINK("https://www.773grp.com/globalSearch/2PB709ARW115/page-1", "2PB709ARW115")</f>
        <v>2PB709ARW115</v>
      </c>
      <c r="B13653" s="3" t="str">
        <f>HYPERLINK("https://www.773grp.com/manufacturer/nxp-semiconductor?pageNo=44", "NXP Semiconductors")</f>
        <v>NXP Semiconductors</v>
      </c>
      <c r="C13653" s="6">
        <v>15355</v>
      </c>
      <c r="D13653" s="7">
        <v>0.1</v>
      </c>
    </row>
    <row r="13654" spans="1:4" x14ac:dyDescent="0.25">
      <c r="A13654" t="str">
        <f>HYPERLINK("https://www.773grp.com/globalSearch/2PB709ASL215/page-1", "2PB709ASL215")</f>
        <v>2PB709ASL215</v>
      </c>
      <c r="B13654" s="3" t="str">
        <f>HYPERLINK("https://www.773grp.com/manufacturer/nxp-semiconductor?pageNo=45", "NXP Semiconductors")</f>
        <v>NXP Semiconductors</v>
      </c>
      <c r="C13654" s="6">
        <v>40453</v>
      </c>
      <c r="D13654" s="7">
        <v>0.1</v>
      </c>
    </row>
    <row r="13655" spans="1:4" x14ac:dyDescent="0.25">
      <c r="A13655" t="str">
        <f>HYPERLINK("https://www.773grp.com/globalSearch/2PB709ASW115/page-1", "2PB709ASW115")</f>
        <v>2PB709ASW115</v>
      </c>
      <c r="B13655" s="3" t="str">
        <f>HYPERLINK("https://www.773grp.com/manufacturer/nxp-semiconductor?pageNo=46", "NXP Semiconductors")</f>
        <v>NXP Semiconductors</v>
      </c>
      <c r="C13655" s="6">
        <v>14817</v>
      </c>
      <c r="D13655" s="7">
        <v>0.1</v>
      </c>
    </row>
    <row r="13656" spans="1:4" x14ac:dyDescent="0.25">
      <c r="A13656" t="str">
        <f>HYPERLINK("https://www.773grp.com/globalSearch/2PB709BRL215/page-1", "2PB709BRL215")</f>
        <v>2PB709BRL215</v>
      </c>
      <c r="B13656" s="3" t="str">
        <f>HYPERLINK("https://www.773grp.com/manufacturer/nxp-semiconductor?pageNo=47", "NXP Semiconductors")</f>
        <v>NXP Semiconductors</v>
      </c>
      <c r="C13656" s="6">
        <v>3000</v>
      </c>
      <c r="D13656" s="7">
        <v>0.1</v>
      </c>
    </row>
    <row r="13657" spans="1:4" x14ac:dyDescent="0.25">
      <c r="A13657" t="str">
        <f>HYPERLINK("https://www.773grp.com/globalSearch/2PB709BSL215/page-1", "2PB709BSL215")</f>
        <v>2PB709BSL215</v>
      </c>
      <c r="B13657" s="3" t="str">
        <f>HYPERLINK("https://www.773grp.com/manufacturer/nxp-semiconductor?pageNo=48", "NXP Semiconductors")</f>
        <v>NXP Semiconductors</v>
      </c>
      <c r="C13657" s="6">
        <v>24000</v>
      </c>
      <c r="D13657" s="7">
        <v>0.1</v>
      </c>
    </row>
    <row r="13658" spans="1:4" x14ac:dyDescent="0.25">
      <c r="A13658" t="str">
        <f>HYPERLINK("https://www.773grp.com/globalSearch/2PC4081Q115/page-1", "2PC4081Q115")</f>
        <v>2PC4081Q115</v>
      </c>
      <c r="B13658" s="3" t="str">
        <f>HYPERLINK("https://www.773grp.com/manufacturer/nxp-semiconductor?pageNo=1", "NXP Semiconductors")</f>
        <v>NXP Semiconductors</v>
      </c>
      <c r="C13658" s="6">
        <v>37390</v>
      </c>
      <c r="D13658" s="7">
        <v>0.1</v>
      </c>
    </row>
    <row r="13659" spans="1:4" x14ac:dyDescent="0.25">
      <c r="A13659" t="str">
        <f>HYPERLINK("https://www.773grp.com/globalSearch/2PC4081R115/page-1", "2PC4081R115")</f>
        <v>2PC4081R115</v>
      </c>
      <c r="B13659" s="3" t="str">
        <f>HYPERLINK("https://www.773grp.com/manufacturer/nxp-semiconductor?pageNo=2", "NXP Semiconductors")</f>
        <v>NXP Semiconductors</v>
      </c>
      <c r="C13659" s="6">
        <v>654140</v>
      </c>
      <c r="D13659" s="7">
        <v>0.1</v>
      </c>
    </row>
    <row r="13660" spans="1:4" x14ac:dyDescent="0.25">
      <c r="A13660" t="str">
        <f>HYPERLINK("https://www.773grp.com/globalSearch/2PC4081S115/page-1", "2PC4081S115")</f>
        <v>2PC4081S115</v>
      </c>
      <c r="B13660" s="3" t="str">
        <f>HYPERLINK("https://www.773grp.com/manufacturer/nxp-semiconductor?pageNo=3", "NXP Semiconductors")</f>
        <v>NXP Semiconductors</v>
      </c>
      <c r="C13660" s="6">
        <v>36160</v>
      </c>
      <c r="D13660" s="7">
        <v>0.1</v>
      </c>
    </row>
    <row r="13661" spans="1:4" x14ac:dyDescent="0.25">
      <c r="A13661" t="str">
        <f>HYPERLINK("https://www.773grp.com/globalSearch/2PC4617Q115/page-1", "2PC4617Q115")</f>
        <v>2PC4617Q115</v>
      </c>
      <c r="B13661" s="3" t="str">
        <f>HYPERLINK("https://www.773grp.com/manufacturer/nxp-semiconductor?pageNo=4", "NXP Semiconductors")</f>
        <v>NXP Semiconductors</v>
      </c>
      <c r="C13661" s="6">
        <v>6000</v>
      </c>
      <c r="D13661" s="7">
        <v>0.1</v>
      </c>
    </row>
    <row r="13662" spans="1:4" x14ac:dyDescent="0.25">
      <c r="A13662" t="str">
        <f>HYPERLINK("https://www.773grp.com/globalSearch/2PC4617R115/page-1", "2PC4617R115")</f>
        <v>2PC4617R115</v>
      </c>
      <c r="B13662" s="3" t="str">
        <f>HYPERLINK("https://www.773grp.com/manufacturer/nxp-semiconductor?pageNo=5", "NXP Semiconductors")</f>
        <v>NXP Semiconductors</v>
      </c>
      <c r="C13662" s="6">
        <v>1490</v>
      </c>
      <c r="D13662" s="7">
        <v>0.1</v>
      </c>
    </row>
    <row r="13663" spans="1:4" x14ac:dyDescent="0.25">
      <c r="A13663" t="str">
        <f>HYPERLINK("https://www.773grp.com/globalSearch/2PC4617R135/page-1", "2PC4617R135")</f>
        <v>2PC4617R135</v>
      </c>
      <c r="B13663" s="3" t="str">
        <f>HYPERLINK("https://www.773grp.com/manufacturer/nxp-semiconductor?pageNo=6", "NXP Semiconductors")</f>
        <v>NXP Semiconductors</v>
      </c>
      <c r="C13663" s="6">
        <v>19964</v>
      </c>
      <c r="D13663" s="7">
        <v>0.1</v>
      </c>
    </row>
    <row r="13664" spans="1:4" x14ac:dyDescent="0.25">
      <c r="A13664" t="str">
        <f>HYPERLINK("https://www.773grp.com/globalSearch/2PD601ARL215/page-1", "2PD601ARL215")</f>
        <v>2PD601ARL215</v>
      </c>
      <c r="B13664" s="3" t="str">
        <f>HYPERLINK("https://www.773grp.com/manufacturer/nxp-semiconductor?pageNo=7", "NXP Semiconductors")</f>
        <v>NXP Semiconductors</v>
      </c>
      <c r="C13664" s="6">
        <v>109909</v>
      </c>
      <c r="D13664" s="7">
        <v>0.1</v>
      </c>
    </row>
    <row r="13665" spans="1:4" x14ac:dyDescent="0.25">
      <c r="A13665" t="str">
        <f>HYPERLINK("https://www.773grp.com/globalSearch/2PD601ASL215/page-1", "2PD601ASL215")</f>
        <v>2PD601ASL215</v>
      </c>
      <c r="B13665" s="3" t="str">
        <f>HYPERLINK("https://www.773grp.com/manufacturer/nxp-semiconductor?pageNo=8", "NXP Semiconductors")</f>
        <v>NXP Semiconductors</v>
      </c>
      <c r="C13665" s="6">
        <v>190</v>
      </c>
      <c r="D13665" s="7">
        <v>0.1</v>
      </c>
    </row>
    <row r="13666" spans="1:4" x14ac:dyDescent="0.25">
      <c r="A13666" t="str">
        <f>HYPERLINK("https://www.773grp.com/globalSearch/2PD601ASW115/page-1", "2PD601ASW115")</f>
        <v>2PD601ASW115</v>
      </c>
      <c r="B13666" s="3" t="str">
        <f>HYPERLINK("https://www.773grp.com/manufacturer/nxp-semiconductor?pageNo=9", "NXP Semiconductors")</f>
        <v>NXP Semiconductors</v>
      </c>
      <c r="C13666" s="6">
        <v>15258</v>
      </c>
      <c r="D13666" s="7">
        <v>0.1</v>
      </c>
    </row>
    <row r="13667" spans="1:4" x14ac:dyDescent="0.25">
      <c r="A13667" t="str">
        <f>HYPERLINK("https://www.773grp.com/globalSearch/2PD601BSL215/page-1", "2PD601BSL215")</f>
        <v>2PD601BSL215</v>
      </c>
      <c r="B13667" s="3" t="str">
        <f>HYPERLINK("https://www.773grp.com/manufacturer/nxp-semiconductor?pageNo=10", "NXP Semiconductors")</f>
        <v>NXP Semiconductors</v>
      </c>
      <c r="C13667" s="6">
        <v>24000</v>
      </c>
      <c r="D13667" s="7">
        <v>0.1</v>
      </c>
    </row>
    <row r="13668" spans="1:4" x14ac:dyDescent="0.25">
      <c r="A13668" t="str">
        <f>HYPERLINK("https://www.773grp.com/globalSearch/BAS16T115/page-1", "BAS16T115")</f>
        <v>BAS16T115</v>
      </c>
      <c r="B13668" s="3" t="str">
        <f>HYPERLINK("https://www.773grp.com/manufacturer/nxp-semiconductor?pageNo=11", "NXP Semiconductors")</f>
        <v>NXP Semiconductors</v>
      </c>
      <c r="C13668" s="6">
        <v>159000</v>
      </c>
      <c r="D13668" s="7">
        <v>0.1</v>
      </c>
    </row>
    <row r="13669" spans="1:4" x14ac:dyDescent="0.25">
      <c r="A13669" t="str">
        <f>HYPERLINK("https://www.773grp.com/globalSearch/BAS16W115/page-1", "BAS16W115")</f>
        <v>BAS16W115</v>
      </c>
      <c r="B13669" s="3" t="str">
        <f>HYPERLINK("https://www.773grp.com/manufacturer/nxp-semiconductor?pageNo=12", "NXP Semiconductors")</f>
        <v>NXP Semiconductors</v>
      </c>
      <c r="C13669" s="6">
        <v>114000</v>
      </c>
      <c r="D13669" s="7">
        <v>0.1</v>
      </c>
    </row>
    <row r="13670" spans="1:4" x14ac:dyDescent="0.25">
      <c r="A13670" t="str">
        <f>HYPERLINK("https://www.773grp.com/globalSearch/BAS19215/page-1", "BAS19215")</f>
        <v>BAS19215</v>
      </c>
      <c r="B13670" s="3" t="str">
        <f>HYPERLINK("https://www.773grp.com/manufacturer/nxp-semiconductor?pageNo=13", "NXP Semiconductors")</f>
        <v>NXP Semiconductors</v>
      </c>
      <c r="C13670" s="6">
        <v>167347</v>
      </c>
      <c r="D13670" s="7">
        <v>0.1</v>
      </c>
    </row>
    <row r="13671" spans="1:4" x14ac:dyDescent="0.25">
      <c r="A13671" t="str">
        <f>HYPERLINK("https://www.773grp.com/globalSearch/BAS20215/page-1", "BAS20215")</f>
        <v>BAS20215</v>
      </c>
      <c r="B13671" s="3" t="str">
        <f>HYPERLINK("https://www.773grp.com/manufacturer/nxp-semiconductor?pageNo=14", "NXP Semiconductors")</f>
        <v>NXP Semiconductors</v>
      </c>
      <c r="C13671" s="6">
        <v>45000</v>
      </c>
      <c r="D13671" s="7">
        <v>0.1</v>
      </c>
    </row>
    <row r="13672" spans="1:4" x14ac:dyDescent="0.25">
      <c r="A13672" t="str">
        <f>HYPERLINK("https://www.773grp.com/globalSearch/BAS20235/page-1", "BAS20235")</f>
        <v>BAS20235</v>
      </c>
      <c r="B13672" s="3" t="str">
        <f>HYPERLINK("https://www.773grp.com/manufacturer/nxp-semiconductor?pageNo=15", "NXP Semiconductors")</f>
        <v>NXP Semiconductors</v>
      </c>
      <c r="C13672" s="6">
        <v>20000</v>
      </c>
      <c r="D13672" s="7">
        <v>0.1</v>
      </c>
    </row>
    <row r="13673" spans="1:4" x14ac:dyDescent="0.25">
      <c r="A13673" t="str">
        <f>HYPERLINK("https://www.773grp.com/globalSearch/BAS21215/page-1", "BAS21215")</f>
        <v>BAS21215</v>
      </c>
      <c r="B13673" s="3" t="str">
        <f>HYPERLINK("https://www.773grp.com/manufacturer/nxp-semiconductor?pageNo=16", "NXP Semiconductors")</f>
        <v>NXP Semiconductors</v>
      </c>
      <c r="C13673" s="6">
        <v>39000</v>
      </c>
      <c r="D13673" s="7">
        <v>0.1</v>
      </c>
    </row>
    <row r="13674" spans="1:4" x14ac:dyDescent="0.25">
      <c r="A13674" t="str">
        <f>HYPERLINK("https://www.773grp.com/globalSearch/BAS21W115/page-1", "BAS21W115")</f>
        <v>BAS21W115</v>
      </c>
      <c r="B13674" s="3" t="str">
        <f>HYPERLINK("https://www.773grp.com/manufacturer/nxp-semiconductor?pageNo=17", "NXP Semiconductors")</f>
        <v>NXP Semiconductors</v>
      </c>
      <c r="C13674" s="6">
        <v>6990</v>
      </c>
      <c r="D13674" s="7">
        <v>0.1</v>
      </c>
    </row>
    <row r="13675" spans="1:4" x14ac:dyDescent="0.25">
      <c r="A13675" t="str">
        <f>HYPERLINK("https://www.773grp.com/globalSearch/BAS316115/page-1", "BAS316115")</f>
        <v>BAS316115</v>
      </c>
      <c r="B13675" s="3" t="str">
        <f>HYPERLINK("https://www.773grp.com/manufacturer/nxp-semiconductor?pageNo=18", "NXP Semiconductors")</f>
        <v>NXP Semiconductors</v>
      </c>
      <c r="C13675" s="6">
        <v>1800000</v>
      </c>
      <c r="D13675" s="7">
        <v>0.1</v>
      </c>
    </row>
    <row r="13676" spans="1:4" x14ac:dyDescent="0.25">
      <c r="A13676" t="str">
        <f>HYPERLINK("https://www.773grp.com/globalSearch/BAS32L115/page-1", "BAS32L115")</f>
        <v>BAS32L115</v>
      </c>
      <c r="B13676" s="3" t="str">
        <f>HYPERLINK("https://www.773grp.com/manufacturer/nxp-semiconductor?pageNo=19", "NXP Semiconductors")</f>
        <v>NXP Semiconductors</v>
      </c>
      <c r="C13676" s="6">
        <v>3351252</v>
      </c>
      <c r="D13676" s="7">
        <v>0.1</v>
      </c>
    </row>
    <row r="13677" spans="1:4" x14ac:dyDescent="0.25">
      <c r="A13677" t="str">
        <f>HYPERLINK("https://www.773grp.com/globalSearch/BAT54W115/page-1", "BAT54W115")</f>
        <v>BAT54W115</v>
      </c>
      <c r="B13677" s="3" t="str">
        <f>HYPERLINK("https://www.773grp.com/manufacturer/nxp-semiconductor?pageNo=20", "NXP Semiconductors")</f>
        <v>NXP Semiconductors</v>
      </c>
      <c r="C13677" s="6">
        <v>21000</v>
      </c>
      <c r="D13677" s="7">
        <v>0.1</v>
      </c>
    </row>
    <row r="13678" spans="1:4" x14ac:dyDescent="0.25">
      <c r="A13678" t="str">
        <f>HYPERLINK("https://www.773grp.com/globalSearch/BAV99-8215/page-1", "BAV99-8215")</f>
        <v>BAV99-8215</v>
      </c>
      <c r="B13678" s="3" t="str">
        <f>HYPERLINK("https://www.773grp.com/manufacturer/nxp-semiconductor?pageNo=21", "NXP Semiconductors")</f>
        <v>NXP Semiconductors</v>
      </c>
      <c r="C13678" s="6">
        <v>1560000</v>
      </c>
      <c r="D13678" s="7">
        <v>0.1</v>
      </c>
    </row>
    <row r="13679" spans="1:4" x14ac:dyDescent="0.25">
      <c r="A13679" t="str">
        <f>HYPERLINK("https://www.773grp.com/globalSearch/BAV99-8235/page-1", "BAV99-8235")</f>
        <v>BAV99-8235</v>
      </c>
      <c r="B13679" s="3" t="str">
        <f>HYPERLINK("https://www.773grp.com/manufacturer/nxp-semiconductor?pageNo=22", "NXP Semiconductors")</f>
        <v>NXP Semiconductors</v>
      </c>
      <c r="C13679" s="6">
        <v>30000</v>
      </c>
      <c r="D13679" s="7">
        <v>0.1</v>
      </c>
    </row>
    <row r="13680" spans="1:4" x14ac:dyDescent="0.25">
      <c r="A13680" t="str">
        <f>HYPERLINK("https://www.773grp.com/globalSearch/BAV99215/page-1", "BAV99215")</f>
        <v>BAV99215</v>
      </c>
      <c r="B13680" s="3" t="str">
        <f>HYPERLINK("https://www.773grp.com/manufacturer/nxp-semiconductor?pageNo=23", "NXP Semiconductors")</f>
        <v>NXP Semiconductors</v>
      </c>
      <c r="C13680" s="6">
        <v>6000</v>
      </c>
      <c r="D13680" s="7">
        <v>0.1</v>
      </c>
    </row>
    <row r="13681" spans="1:4" x14ac:dyDescent="0.25">
      <c r="A13681" t="str">
        <f>HYPERLINK("https://www.773grp.com/globalSearch/BC807-16W115/page-1", "BC807-16W115")</f>
        <v>BC807-16W115</v>
      </c>
      <c r="B13681" s="3" t="str">
        <f>HYPERLINK("https://www.773grp.com/manufacturer/nxp-semiconductor?pageNo=24", "NXP Semiconductors")</f>
        <v>NXP Semiconductors</v>
      </c>
      <c r="C13681" s="6">
        <v>150000</v>
      </c>
      <c r="D13681" s="7">
        <v>0.1</v>
      </c>
    </row>
    <row r="13682" spans="1:4" x14ac:dyDescent="0.25">
      <c r="A13682" t="str">
        <f>HYPERLINK("https://www.773grp.com/globalSearch/BC807215/page-1", "BC807215")</f>
        <v>BC807215</v>
      </c>
      <c r="B13682" s="3" t="str">
        <f>HYPERLINK("https://www.773grp.com/manufacturer/nxp-semiconductor?pageNo=25", "NXP Semiconductors")</f>
        <v>NXP Semiconductors</v>
      </c>
      <c r="C13682" s="6">
        <v>84000</v>
      </c>
      <c r="D13682" s="7">
        <v>0.1</v>
      </c>
    </row>
    <row r="13683" spans="1:4" x14ac:dyDescent="0.25">
      <c r="A13683" t="str">
        <f>HYPERLINK("https://www.773grp.com/globalSearch/BC807-25W115/page-1", "BC807-25W115")</f>
        <v>BC807-25W115</v>
      </c>
      <c r="B13683" s="3" t="str">
        <f>HYPERLINK("https://www.773grp.com/manufacturer/nxp-semiconductor?pageNo=26", "NXP Semiconductors")</f>
        <v>NXP Semiconductors</v>
      </c>
      <c r="C13683" s="6">
        <v>453000</v>
      </c>
      <c r="D13683" s="7">
        <v>0.1</v>
      </c>
    </row>
    <row r="13684" spans="1:4" x14ac:dyDescent="0.25">
      <c r="A13684" t="str">
        <f>HYPERLINK("https://www.773grp.com/globalSearch/BC807-40235/page-1", "BC807-40235")</f>
        <v>BC807-40235</v>
      </c>
      <c r="B13684" s="3" t="str">
        <f>HYPERLINK("https://www.773grp.com/manufacturer/nxp-semiconductor?pageNo=27", "NXP Semiconductors")</f>
        <v>NXP Semiconductors</v>
      </c>
      <c r="C13684" s="6">
        <v>200000</v>
      </c>
      <c r="D13684" s="7">
        <v>0.1</v>
      </c>
    </row>
    <row r="13685" spans="1:4" x14ac:dyDescent="0.25">
      <c r="A13685" t="str">
        <f>HYPERLINK("https://www.773grp.com/globalSearch/BC807-40W115/page-1", "BC807-40W115")</f>
        <v>BC807-40W115</v>
      </c>
      <c r="B13685" s="3" t="str">
        <f>HYPERLINK("https://www.773grp.com/manufacturer/nxp-semiconductor?pageNo=28", "NXP Semiconductors")</f>
        <v>NXP Semiconductors</v>
      </c>
      <c r="C13685" s="6">
        <v>2714</v>
      </c>
      <c r="D13685" s="7">
        <v>0.1</v>
      </c>
    </row>
    <row r="13686" spans="1:4" x14ac:dyDescent="0.25">
      <c r="A13686" t="str">
        <f>HYPERLINK("https://www.773grp.com/globalSearch/BC807W115/page-1", "BC807W115")</f>
        <v>BC807W115</v>
      </c>
      <c r="B13686" s="3" t="str">
        <f>HYPERLINK("https://www.773grp.com/manufacturer/nxp-semiconductor?pageNo=29", "NXP Semiconductors")</f>
        <v>NXP Semiconductors</v>
      </c>
      <c r="C13686" s="6">
        <v>69000</v>
      </c>
      <c r="D13686" s="7">
        <v>0.1</v>
      </c>
    </row>
    <row r="13687" spans="1:4" x14ac:dyDescent="0.25">
      <c r="A13687" t="str">
        <f>HYPERLINK("https://www.773grp.com/globalSearch/BC817-16215/page-1", "BC817-16215")</f>
        <v>BC817-16215</v>
      </c>
      <c r="B13687" s="3" t="str">
        <f>HYPERLINK("https://www.773grp.com/manufacturer/nxp-semiconductor?pageNo=30", "NXP Semiconductors")</f>
        <v>NXP Semiconductors</v>
      </c>
      <c r="C13687" s="6">
        <v>93002</v>
      </c>
      <c r="D13687" s="7">
        <v>0.1</v>
      </c>
    </row>
    <row r="13688" spans="1:4" x14ac:dyDescent="0.25">
      <c r="A13688" t="str">
        <f>HYPERLINK("https://www.773grp.com/globalSearch/BC817-16235/page-1", "BC817-16235")</f>
        <v>BC817-16235</v>
      </c>
      <c r="B13688" s="3" t="str">
        <f>HYPERLINK("https://www.773grp.com/manufacturer/nxp-semiconductor?pageNo=31", "NXP Semiconductors")</f>
        <v>NXP Semiconductors</v>
      </c>
      <c r="C13688" s="6">
        <v>100000</v>
      </c>
      <c r="D13688" s="7">
        <v>0.1</v>
      </c>
    </row>
    <row r="13689" spans="1:4" x14ac:dyDescent="0.25">
      <c r="A13689" t="str">
        <f>HYPERLINK("https://www.773grp.com/globalSearch/BC817-16W115/page-1", "BC817-16W115")</f>
        <v>BC817-16W115</v>
      </c>
      <c r="B13689" s="3" t="str">
        <f>HYPERLINK("https://www.773grp.com/manufacturer/nxp-semiconductor?pageNo=32", "NXP Semiconductors")</f>
        <v>NXP Semiconductors</v>
      </c>
      <c r="C13689" s="6">
        <v>1500</v>
      </c>
      <c r="D13689" s="7">
        <v>0.1</v>
      </c>
    </row>
    <row r="13690" spans="1:4" x14ac:dyDescent="0.25">
      <c r="A13690" t="str">
        <f>HYPERLINK("https://www.773grp.com/globalSearch/BC817215/page-1", "BC817215")</f>
        <v>BC817215</v>
      </c>
      <c r="B13690" s="3" t="str">
        <f>HYPERLINK("https://www.773grp.com/manufacturer/nxp-semiconductor?pageNo=33", "NXP Semiconductors")</f>
        <v>NXP Semiconductors</v>
      </c>
      <c r="C13690" s="6">
        <v>756000</v>
      </c>
      <c r="D13690" s="7">
        <v>0.1</v>
      </c>
    </row>
    <row r="13691" spans="1:4" x14ac:dyDescent="0.25">
      <c r="A13691" t="str">
        <f>HYPERLINK("https://www.773grp.com/globalSearch/BC817235/page-1", "BC817235")</f>
        <v>BC817235</v>
      </c>
      <c r="B13691" s="3" t="str">
        <f>HYPERLINK("https://www.773grp.com/manufacturer/nxp-semiconductor?pageNo=34", "NXP Semiconductors")</f>
        <v>NXP Semiconductors</v>
      </c>
      <c r="C13691" s="6">
        <v>90000</v>
      </c>
      <c r="D13691" s="7">
        <v>0.1</v>
      </c>
    </row>
    <row r="13692" spans="1:4" x14ac:dyDescent="0.25">
      <c r="A13692" t="str">
        <f>HYPERLINK("https://www.773grp.com/globalSearch/BC817-25235/page-1", "BC817-25235")</f>
        <v>BC817-25235</v>
      </c>
      <c r="B13692" s="3" t="str">
        <f>HYPERLINK("https://www.773grp.com/manufacturer/nxp-semiconductor?pageNo=35", "NXP Semiconductors")</f>
        <v>NXP Semiconductors</v>
      </c>
      <c r="C13692" s="6">
        <v>100000</v>
      </c>
      <c r="D13692" s="7">
        <v>0.1</v>
      </c>
    </row>
    <row r="13693" spans="1:4" x14ac:dyDescent="0.25">
      <c r="A13693" t="str">
        <f>HYPERLINK("https://www.773grp.com/globalSearch/BC817-25W115/page-1", "BC817-25W115")</f>
        <v>BC817-25W115</v>
      </c>
      <c r="B13693" s="3" t="str">
        <f>HYPERLINK("https://www.773grp.com/manufacturer/nxp-semiconductor?pageNo=36", "NXP Semiconductors")</f>
        <v>NXP Semiconductors</v>
      </c>
      <c r="C13693" s="6">
        <v>113650</v>
      </c>
      <c r="D13693" s="7">
        <v>0.1</v>
      </c>
    </row>
    <row r="13694" spans="1:4" x14ac:dyDescent="0.25">
      <c r="A13694" t="str">
        <f>HYPERLINK("https://www.773grp.com/globalSearch/BC817-40235/page-1", "BC817-40235")</f>
        <v>BC817-40235</v>
      </c>
      <c r="B13694" s="3" t="str">
        <f>HYPERLINK("https://www.773grp.com/manufacturer/nxp-semiconductor?pageNo=37", "NXP Semiconductors")</f>
        <v>NXP Semiconductors</v>
      </c>
      <c r="C13694" s="6">
        <v>20000</v>
      </c>
      <c r="D13694" s="7">
        <v>0.1</v>
      </c>
    </row>
    <row r="13695" spans="1:4" x14ac:dyDescent="0.25">
      <c r="A13695" t="str">
        <f>HYPERLINK("https://www.773grp.com/globalSearch/BC817W115/page-1", "BC817W115")</f>
        <v>BC817W115</v>
      </c>
      <c r="B13695" s="3" t="str">
        <f>HYPERLINK("https://www.773grp.com/manufacturer/nxp-semiconductor?pageNo=38", "NXP Semiconductors")</f>
        <v>NXP Semiconductors</v>
      </c>
      <c r="C13695" s="6">
        <v>94288</v>
      </c>
      <c r="D13695" s="7">
        <v>0.1</v>
      </c>
    </row>
    <row r="13696" spans="1:4" x14ac:dyDescent="0.25">
      <c r="A13696" t="str">
        <f>HYPERLINK("https://www.773grp.com/globalSearch/BC846215/page-1", "BC846215")</f>
        <v>BC846215</v>
      </c>
      <c r="B13696" s="3" t="str">
        <f>HYPERLINK("https://www.773grp.com/manufacturer/nxp-semiconductor?pageNo=39", "NXP Semiconductors")</f>
        <v>NXP Semiconductors</v>
      </c>
      <c r="C13696" s="6">
        <v>153000</v>
      </c>
      <c r="D13696" s="7">
        <v>0.1</v>
      </c>
    </row>
    <row r="13697" spans="1:4" x14ac:dyDescent="0.25">
      <c r="A13697" t="str">
        <f>HYPERLINK("https://www.773grp.com/globalSearch/BC846A215/page-1", "BC846A215")</f>
        <v>BC846A215</v>
      </c>
      <c r="B13697" s="3" t="str">
        <f>HYPERLINK("https://www.773grp.com/manufacturer/nxp-semiconductor?pageNo=40", "NXP Semiconductors")</f>
        <v>NXP Semiconductors</v>
      </c>
      <c r="C13697" s="6">
        <v>921000</v>
      </c>
      <c r="D13697" s="7">
        <v>0.1</v>
      </c>
    </row>
    <row r="13698" spans="1:4" x14ac:dyDescent="0.25">
      <c r="A13698" t="str">
        <f>HYPERLINK("https://www.773grp.com/globalSearch/BC846AW115/page-1", "BC846AW115")</f>
        <v>BC846AW115</v>
      </c>
      <c r="B13698" s="3" t="str">
        <f>HYPERLINK("https://www.773grp.com/manufacturer/nxp-semiconductor?pageNo=41", "NXP Semiconductors")</f>
        <v>NXP Semiconductors</v>
      </c>
      <c r="C13698" s="6">
        <v>165000</v>
      </c>
      <c r="D13698" s="7">
        <v>0.1</v>
      </c>
    </row>
    <row r="13699" spans="1:4" x14ac:dyDescent="0.25">
      <c r="A13699" t="str">
        <f>HYPERLINK("https://www.773grp.com/globalSearch/BC846B215/page-1", "BC846B215")</f>
        <v>BC846B215</v>
      </c>
      <c r="B13699" s="3" t="str">
        <f>HYPERLINK("https://www.773grp.com/manufacturer/nxp-semiconductor?pageNo=42", "NXP Semiconductors")</f>
        <v>NXP Semiconductors</v>
      </c>
      <c r="C13699" s="6">
        <v>270000</v>
      </c>
      <c r="D13699" s="7">
        <v>0.1</v>
      </c>
    </row>
    <row r="13700" spans="1:4" x14ac:dyDescent="0.25">
      <c r="A13700" t="str">
        <f>HYPERLINK("https://www.773grp.com/globalSearch/BC846BW115/page-1", "BC846BW115")</f>
        <v>BC846BW115</v>
      </c>
      <c r="B13700" s="3" t="str">
        <f>HYPERLINK("https://www.773grp.com/manufacturer/nxp-semiconductor?pageNo=43", "NXP Semiconductors")</f>
        <v>NXP Semiconductors</v>
      </c>
      <c r="C13700" s="6">
        <v>306000</v>
      </c>
      <c r="D13700" s="7">
        <v>0.1</v>
      </c>
    </row>
    <row r="13701" spans="1:4" x14ac:dyDescent="0.25">
      <c r="A13701" t="str">
        <f>HYPERLINK("https://www.773grp.com/globalSearch/BC846T115/page-1", "BC846T115")</f>
        <v>BC846T115</v>
      </c>
      <c r="B13701" s="3" t="str">
        <f>HYPERLINK("https://www.773grp.com/manufacturer/nxp-semiconductor?pageNo=44", "NXP Semiconductors")</f>
        <v>NXP Semiconductors</v>
      </c>
      <c r="C13701" s="6">
        <v>78190</v>
      </c>
      <c r="D13701" s="7">
        <v>0.1</v>
      </c>
    </row>
    <row r="13702" spans="1:4" x14ac:dyDescent="0.25">
      <c r="A13702" t="str">
        <f>HYPERLINK("https://www.773grp.com/globalSearch/BC846W115/page-1", "BC846W115")</f>
        <v>BC846W115</v>
      </c>
      <c r="B13702" s="3" t="str">
        <f>HYPERLINK("https://www.773grp.com/manufacturer/nxp-semiconductor?pageNo=45", "NXP Semiconductors")</f>
        <v>NXP Semiconductors</v>
      </c>
      <c r="C13702" s="6">
        <v>60000</v>
      </c>
      <c r="D13702" s="7">
        <v>0.1</v>
      </c>
    </row>
    <row r="13703" spans="1:4" x14ac:dyDescent="0.25">
      <c r="A13703" t="str">
        <f>HYPERLINK("https://www.773grp.com/globalSearch/BC847215/page-1", "BC847215")</f>
        <v>BC847215</v>
      </c>
      <c r="B13703" s="3" t="str">
        <f>HYPERLINK("https://www.773grp.com/manufacturer/nxp-semiconductor?pageNo=46", "NXP Semiconductors")</f>
        <v>NXP Semiconductors</v>
      </c>
      <c r="C13703" s="6">
        <v>30000</v>
      </c>
      <c r="D13703" s="7">
        <v>0.1</v>
      </c>
    </row>
    <row r="13704" spans="1:4" x14ac:dyDescent="0.25">
      <c r="A13704" t="str">
        <f>HYPERLINK("https://www.773grp.com/globalSearch/BC847235/page-1", "BC847235")</f>
        <v>BC847235</v>
      </c>
      <c r="B13704" s="3" t="str">
        <f>HYPERLINK("https://www.773grp.com/manufacturer/nxp-semiconductor?pageNo=47", "NXP Semiconductors")</f>
        <v>NXP Semiconductors</v>
      </c>
      <c r="C13704" s="6">
        <v>10000</v>
      </c>
      <c r="D13704" s="7">
        <v>0.1</v>
      </c>
    </row>
    <row r="13705" spans="1:4" x14ac:dyDescent="0.25">
      <c r="A13705" t="str">
        <f>HYPERLINK("https://www.773grp.com/globalSearch/BC847A215/page-1", "BC847A215")</f>
        <v>BC847A215</v>
      </c>
      <c r="B13705" s="3" t="str">
        <f>HYPERLINK("https://www.773grp.com/manufacturer/nxp-semiconductor?pageNo=48", "NXP Semiconductors")</f>
        <v>NXP Semiconductors</v>
      </c>
      <c r="C13705" s="6">
        <v>111000</v>
      </c>
      <c r="D13705" s="7">
        <v>0.1</v>
      </c>
    </row>
    <row r="13706" spans="1:4" x14ac:dyDescent="0.25">
      <c r="A13706" t="str">
        <f>HYPERLINK("https://www.773grp.com/globalSearch/BC847AT115/page-1", "BC847AT115")</f>
        <v>BC847AT115</v>
      </c>
      <c r="B13706" s="3" t="str">
        <f>HYPERLINK("https://www.773grp.com/manufacturer/nxp-semiconductor?pageNo=1", "NXP Semiconductors")</f>
        <v>NXP Semiconductors</v>
      </c>
      <c r="C13706" s="6">
        <v>1385</v>
      </c>
      <c r="D13706" s="7">
        <v>0.1</v>
      </c>
    </row>
    <row r="13707" spans="1:4" x14ac:dyDescent="0.25">
      <c r="A13707" t="str">
        <f>HYPERLINK("https://www.773grp.com/globalSearch/BC847B215/page-1", "BC847B215")</f>
        <v>BC847B215</v>
      </c>
      <c r="B13707" s="3" t="str">
        <f>HYPERLINK("https://www.773grp.com/manufacturer/nxp-semiconductor?pageNo=2", "NXP Semiconductors")</f>
        <v>NXP Semiconductors</v>
      </c>
      <c r="C13707" s="6">
        <v>1809000</v>
      </c>
      <c r="D13707" s="7">
        <v>0.1</v>
      </c>
    </row>
    <row r="13708" spans="1:4" x14ac:dyDescent="0.25">
      <c r="A13708" t="str">
        <f>HYPERLINK("https://www.773grp.com/globalSearch/BC847BMB315/page-1", "BC847BMB315")</f>
        <v>BC847BMB315</v>
      </c>
      <c r="B13708" s="3" t="str">
        <f>HYPERLINK("https://www.773grp.com/manufacturer/nxp-semiconductor?pageNo=3", "NXP Semiconductors")</f>
        <v>NXP Semiconductors</v>
      </c>
      <c r="C13708" s="6">
        <v>10000</v>
      </c>
      <c r="D13708" s="7">
        <v>0.1</v>
      </c>
    </row>
    <row r="13709" spans="1:4" x14ac:dyDescent="0.25">
      <c r="A13709" t="str">
        <f>HYPERLINK("https://www.773grp.com/globalSearch/BC847BT115/page-1", "BC847BT115")</f>
        <v>BC847BT115</v>
      </c>
      <c r="B13709" s="3" t="str">
        <f>HYPERLINK("https://www.773grp.com/manufacturer/nxp-semiconductor?pageNo=4", "NXP Semiconductors")</f>
        <v>NXP Semiconductors</v>
      </c>
      <c r="C13709" s="6">
        <v>2575</v>
      </c>
      <c r="D13709" s="7">
        <v>0.1</v>
      </c>
    </row>
    <row r="13710" spans="1:4" x14ac:dyDescent="0.25">
      <c r="A13710" t="str">
        <f>HYPERLINK("https://www.773grp.com/globalSearch/BC847BW115/page-1", "BC847BW115")</f>
        <v>BC847BW115</v>
      </c>
      <c r="B13710" s="3" t="str">
        <f>HYPERLINK("https://www.773grp.com/manufacturer/nxp-semiconductor?pageNo=5", "NXP Semiconductors")</f>
        <v>NXP Semiconductors</v>
      </c>
      <c r="C13710" s="6">
        <v>453</v>
      </c>
      <c r="D13710" s="7">
        <v>0.1</v>
      </c>
    </row>
    <row r="13711" spans="1:4" x14ac:dyDescent="0.25">
      <c r="A13711" t="str">
        <f>HYPERLINK("https://www.773grp.com/globalSearch/BC847BW135/page-1", "BC847BW135")</f>
        <v>BC847BW135</v>
      </c>
      <c r="B13711" s="3" t="str">
        <f>HYPERLINK("https://www.773grp.com/manufacturer/nxp-semiconductor?pageNo=6", "NXP Semiconductors")</f>
        <v>NXP Semiconductors</v>
      </c>
      <c r="C13711" s="6">
        <v>22820</v>
      </c>
      <c r="D13711" s="7">
        <v>0.1</v>
      </c>
    </row>
    <row r="13712" spans="1:4" x14ac:dyDescent="0.25">
      <c r="A13712" t="str">
        <f>HYPERLINK("https://www.773grp.com/globalSearch/BC847C215/page-1", "BC847C215")</f>
        <v>BC847C215</v>
      </c>
      <c r="B13712" s="3" t="str">
        <f>HYPERLINK("https://www.773grp.com/manufacturer/nxp-semiconductor?pageNo=7", "NXP Semiconductors")</f>
        <v>NXP Semiconductors</v>
      </c>
      <c r="C13712" s="6">
        <v>831000</v>
      </c>
      <c r="D13712" s="7">
        <v>0.1</v>
      </c>
    </row>
    <row r="13713" spans="1:4" x14ac:dyDescent="0.25">
      <c r="A13713" t="str">
        <f>HYPERLINK("https://www.773grp.com/globalSearch/BC847C235/page-1", "BC847C235")</f>
        <v>BC847C235</v>
      </c>
      <c r="B13713" s="3" t="str">
        <f>HYPERLINK("https://www.773grp.com/manufacturer/nxp-semiconductor?pageNo=8", "NXP Semiconductors")</f>
        <v>NXP Semiconductors</v>
      </c>
      <c r="C13713" s="6">
        <v>50000</v>
      </c>
      <c r="D13713" s="7">
        <v>0.1</v>
      </c>
    </row>
    <row r="13714" spans="1:4" x14ac:dyDescent="0.25">
      <c r="A13714" t="str">
        <f>HYPERLINK("https://www.773grp.com/globalSearch/BC847CW115/page-1", "BC847CW115")</f>
        <v>BC847CW115</v>
      </c>
      <c r="B13714" s="3" t="str">
        <f>HYPERLINK("https://www.773grp.com/manufacturer/nxp-semiconductor?pageNo=9", "NXP Semiconductors")</f>
        <v>NXP Semiconductors</v>
      </c>
      <c r="C13714" s="6">
        <v>167958</v>
      </c>
      <c r="D13714" s="7">
        <v>0.1</v>
      </c>
    </row>
    <row r="13715" spans="1:4" x14ac:dyDescent="0.25">
      <c r="A13715" t="str">
        <f>HYPERLINK("https://www.773grp.com/globalSearch/BC847T115/page-1", "BC847T115")</f>
        <v>BC847T115</v>
      </c>
      <c r="B13715" s="3" t="str">
        <f>HYPERLINK("https://www.773grp.com/manufacturer/nxp-semiconductor?pageNo=10", "NXP Semiconductors")</f>
        <v>NXP Semiconductors</v>
      </c>
      <c r="C13715" s="6">
        <v>99000</v>
      </c>
      <c r="D13715" s="7">
        <v>0.1</v>
      </c>
    </row>
    <row r="13716" spans="1:4" x14ac:dyDescent="0.25">
      <c r="A13716" t="str">
        <f>HYPERLINK("https://www.773grp.com/globalSearch/BC847W115/page-1", "BC847W115")</f>
        <v>BC847W115</v>
      </c>
      <c r="B13716" s="3" t="str">
        <f>HYPERLINK("https://www.773grp.com/manufacturer/nxp-semiconductor?pageNo=11", "NXP Semiconductors")</f>
        <v>NXP Semiconductors</v>
      </c>
      <c r="C13716" s="6">
        <v>111000</v>
      </c>
      <c r="D13716" s="7">
        <v>0.1</v>
      </c>
    </row>
    <row r="13717" spans="1:4" x14ac:dyDescent="0.25">
      <c r="A13717" t="str">
        <f>HYPERLINK("https://www.773grp.com/globalSearch/BC848B215/page-1", "BC848B215")</f>
        <v>BC848B215</v>
      </c>
      <c r="B13717" s="3" t="str">
        <f>HYPERLINK("https://www.773grp.com/manufacturer/nxp-semiconductor?pageNo=12", "NXP Semiconductors")</f>
        <v>NXP Semiconductors</v>
      </c>
      <c r="C13717" s="6">
        <v>294000</v>
      </c>
      <c r="D13717" s="7">
        <v>0.1</v>
      </c>
    </row>
    <row r="13718" spans="1:4" x14ac:dyDescent="0.25">
      <c r="A13718" t="str">
        <f>HYPERLINK("https://www.773grp.com/globalSearch/BC848W115/page-1", "BC848W115")</f>
        <v>BC848W115</v>
      </c>
      <c r="B13718" s="3" t="str">
        <f>HYPERLINK("https://www.773grp.com/manufacturer/nxp-semiconductor?pageNo=13", "NXP Semiconductors")</f>
        <v>NXP Semiconductors</v>
      </c>
      <c r="C13718" s="6">
        <v>117000</v>
      </c>
      <c r="D13718" s="7">
        <v>0.1</v>
      </c>
    </row>
    <row r="13719" spans="1:4" x14ac:dyDescent="0.25">
      <c r="A13719" t="str">
        <f>HYPERLINK("https://www.773grp.com/globalSearch/BC849B215/page-1", "BC849B215")</f>
        <v>BC849B215</v>
      </c>
      <c r="B13719" s="3" t="str">
        <f>HYPERLINK("https://www.773grp.com/manufacturer/nxp-semiconductor?pageNo=14", "NXP Semiconductors")</f>
        <v>NXP Semiconductors</v>
      </c>
      <c r="C13719" s="6">
        <v>75000</v>
      </c>
      <c r="D13719" s="7">
        <v>0.1</v>
      </c>
    </row>
    <row r="13720" spans="1:4" x14ac:dyDescent="0.25">
      <c r="A13720" t="str">
        <f>HYPERLINK("https://www.773grp.com/globalSearch/BC849B235/page-1", "BC849B235")</f>
        <v>BC849B235</v>
      </c>
      <c r="B13720" s="3" t="str">
        <f>HYPERLINK("https://www.773grp.com/manufacturer/nxp-semiconductor?pageNo=15", "NXP Semiconductors")</f>
        <v>NXP Semiconductors</v>
      </c>
      <c r="C13720" s="6">
        <v>20000</v>
      </c>
      <c r="D13720" s="7">
        <v>0.1</v>
      </c>
    </row>
    <row r="13721" spans="1:4" x14ac:dyDescent="0.25">
      <c r="A13721" t="str">
        <f>HYPERLINK("https://www.773grp.com/globalSearch/BC849BW115/page-1", "BC849BW115")</f>
        <v>BC849BW115</v>
      </c>
      <c r="B13721" s="3" t="str">
        <f>HYPERLINK("https://www.773grp.com/manufacturer/nxp-semiconductor?pageNo=16", "NXP Semiconductors")</f>
        <v>NXP Semiconductors</v>
      </c>
      <c r="C13721" s="6">
        <v>52440</v>
      </c>
      <c r="D13721" s="7">
        <v>0.1</v>
      </c>
    </row>
    <row r="13722" spans="1:4" x14ac:dyDescent="0.25">
      <c r="A13722" t="str">
        <f>HYPERLINK("https://www.773grp.com/globalSearch/BC849C215/page-1", "BC849C215")</f>
        <v>BC849C215</v>
      </c>
      <c r="B13722" s="3" t="str">
        <f>HYPERLINK("https://www.773grp.com/manufacturer/nxp-semiconductor?pageNo=17", "NXP Semiconductors")</f>
        <v>NXP Semiconductors</v>
      </c>
      <c r="C13722" s="6">
        <v>84000</v>
      </c>
      <c r="D13722" s="7">
        <v>0.1</v>
      </c>
    </row>
    <row r="13723" spans="1:4" x14ac:dyDescent="0.25">
      <c r="A13723" t="str">
        <f>HYPERLINK("https://www.773grp.com/globalSearch/BC849C235/page-1", "BC849C235")</f>
        <v>BC849C235</v>
      </c>
      <c r="B13723" s="3" t="str">
        <f>HYPERLINK("https://www.773grp.com/manufacturer/nxp-semiconductor?pageNo=18", "NXP Semiconductors")</f>
        <v>NXP Semiconductors</v>
      </c>
      <c r="C13723" s="6">
        <v>15287</v>
      </c>
      <c r="D13723" s="7">
        <v>0.1</v>
      </c>
    </row>
    <row r="13724" spans="1:4" x14ac:dyDescent="0.25">
      <c r="A13724" t="str">
        <f>HYPERLINK("https://www.773grp.com/globalSearch/BC849CW115/page-1", "BC849CW115")</f>
        <v>BC849CW115</v>
      </c>
      <c r="B13724" s="3" t="str">
        <f>HYPERLINK("https://www.773grp.com/manufacturer/nxp-semiconductor?pageNo=19", "NXP Semiconductors")</f>
        <v>NXP Semiconductors</v>
      </c>
      <c r="C13724" s="6">
        <v>6000</v>
      </c>
      <c r="D13724" s="7">
        <v>0.1</v>
      </c>
    </row>
    <row r="13725" spans="1:4" x14ac:dyDescent="0.25">
      <c r="A13725" t="str">
        <f>HYPERLINK("https://www.773grp.com/globalSearch/BC850B215/page-1", "BC850B215")</f>
        <v>BC850B215</v>
      </c>
      <c r="B13725" s="3" t="str">
        <f>HYPERLINK("https://www.773grp.com/manufacturer/nxp-semiconductor?pageNo=20", "NXP Semiconductors")</f>
        <v>NXP Semiconductors</v>
      </c>
      <c r="C13725" s="6">
        <v>36000</v>
      </c>
      <c r="D13725" s="7">
        <v>0.1</v>
      </c>
    </row>
    <row r="13726" spans="1:4" x14ac:dyDescent="0.25">
      <c r="A13726" t="str">
        <f>HYPERLINK("https://www.773grp.com/globalSearch/BC850BW115/page-1", "BC850BW115")</f>
        <v>BC850BW115</v>
      </c>
      <c r="B13726" s="3" t="str">
        <f>HYPERLINK("https://www.773grp.com/manufacturer/nxp-semiconductor?pageNo=21", "NXP Semiconductors")</f>
        <v>NXP Semiconductors</v>
      </c>
      <c r="C13726" s="6">
        <v>18000</v>
      </c>
      <c r="D13726" s="7">
        <v>0.1</v>
      </c>
    </row>
    <row r="13727" spans="1:4" x14ac:dyDescent="0.25">
      <c r="A13727" t="str">
        <f>HYPERLINK("https://www.773grp.com/globalSearch/BC850C215/page-1", "BC850C215")</f>
        <v>BC850C215</v>
      </c>
      <c r="B13727" s="3" t="str">
        <f>HYPERLINK("https://www.773grp.com/manufacturer/nxp-semiconductor?pageNo=22", "NXP Semiconductors")</f>
        <v>NXP Semiconductors</v>
      </c>
      <c r="C13727" s="6">
        <v>57000</v>
      </c>
      <c r="D13727" s="7">
        <v>0.1</v>
      </c>
    </row>
    <row r="13728" spans="1:4" x14ac:dyDescent="0.25">
      <c r="A13728" t="str">
        <f>HYPERLINK("https://www.773grp.com/globalSearch/BC850C235/page-1", "BC850C235")</f>
        <v>BC850C235</v>
      </c>
      <c r="B13728" s="3" t="str">
        <f>HYPERLINK("https://www.773grp.com/manufacturer/nxp-semiconductor?pageNo=23", "NXP Semiconductors")</f>
        <v>NXP Semiconductors</v>
      </c>
      <c r="C13728" s="6">
        <v>30000</v>
      </c>
      <c r="D13728" s="7">
        <v>0.1</v>
      </c>
    </row>
    <row r="13729" spans="1:4" x14ac:dyDescent="0.25">
      <c r="A13729" t="str">
        <f>HYPERLINK("https://www.773grp.com/globalSearch/BC856215/page-1", "BC856215")</f>
        <v>BC856215</v>
      </c>
      <c r="B13729" s="3" t="str">
        <f>HYPERLINK("https://www.773grp.com/manufacturer/nxp-semiconductor?pageNo=24", "NXP Semiconductors")</f>
        <v>NXP Semiconductors</v>
      </c>
      <c r="C13729" s="6">
        <v>216000</v>
      </c>
      <c r="D13729" s="7">
        <v>0.1</v>
      </c>
    </row>
    <row r="13730" spans="1:4" x14ac:dyDescent="0.25">
      <c r="A13730" t="str">
        <f>HYPERLINK("https://www.773grp.com/globalSearch/BC856A215/page-1", "BC856A215")</f>
        <v>BC856A215</v>
      </c>
      <c r="B13730" s="3" t="str">
        <f>HYPERLINK("https://www.773grp.com/manufacturer/nxp-semiconductor?pageNo=25", "NXP Semiconductors")</f>
        <v>NXP Semiconductors</v>
      </c>
      <c r="C13730" s="6">
        <v>353986</v>
      </c>
      <c r="D13730" s="7">
        <v>0.1</v>
      </c>
    </row>
    <row r="13731" spans="1:4" x14ac:dyDescent="0.25">
      <c r="A13731" t="str">
        <f>HYPERLINK("https://www.773grp.com/globalSearch/BC856AT115/page-1", "BC856AT115")</f>
        <v>BC856AT115</v>
      </c>
      <c r="B13731" s="3" t="str">
        <f>HYPERLINK("https://www.773grp.com/manufacturer/nxp-semiconductor?pageNo=26", "NXP Semiconductors")</f>
        <v>NXP Semiconductors</v>
      </c>
      <c r="C13731" s="6">
        <v>42000</v>
      </c>
      <c r="D13731" s="7">
        <v>0.1</v>
      </c>
    </row>
    <row r="13732" spans="1:4" x14ac:dyDescent="0.25">
      <c r="A13732" t="str">
        <f>HYPERLINK("https://www.773grp.com/globalSearch/BC856AW115/page-1", "BC856AW115")</f>
        <v>BC856AW115</v>
      </c>
      <c r="B13732" s="3" t="str">
        <f>HYPERLINK("https://www.773grp.com/manufacturer/nxp-semiconductor?pageNo=27", "NXP Semiconductors")</f>
        <v>NXP Semiconductors</v>
      </c>
      <c r="C13732" s="6">
        <v>191821</v>
      </c>
      <c r="D13732" s="7">
        <v>0.1</v>
      </c>
    </row>
    <row r="13733" spans="1:4" x14ac:dyDescent="0.25">
      <c r="A13733" t="str">
        <f>HYPERLINK("https://www.773grp.com/globalSearch/BC856B215/page-1", "BC856B215")</f>
        <v>BC856B215</v>
      </c>
      <c r="B13733" s="3" t="str">
        <f>HYPERLINK("https://www.773grp.com/manufacturer/nxp-semiconductor?pageNo=28", "NXP Semiconductors")</f>
        <v>NXP Semiconductors</v>
      </c>
      <c r="C13733" s="6">
        <v>3417000</v>
      </c>
      <c r="D13733" s="7">
        <v>0.1</v>
      </c>
    </row>
    <row r="13734" spans="1:4" x14ac:dyDescent="0.25">
      <c r="A13734" t="str">
        <f>HYPERLINK("https://www.773grp.com/globalSearch/BC856BT115/page-1", "BC856BT115")</f>
        <v>BC856BT115</v>
      </c>
      <c r="B13734" s="3" t="str">
        <f>HYPERLINK("https://www.773grp.com/manufacturer/nxp-semiconductor?pageNo=29", "NXP Semiconductors")</f>
        <v>NXP Semiconductors</v>
      </c>
      <c r="C13734" s="6">
        <v>2443</v>
      </c>
      <c r="D13734" s="7">
        <v>0.1</v>
      </c>
    </row>
    <row r="13735" spans="1:4" x14ac:dyDescent="0.25">
      <c r="A13735" t="str">
        <f>HYPERLINK("https://www.773grp.com/globalSearch/BC856BW115/page-1", "BC856BW115")</f>
        <v>BC856BW115</v>
      </c>
      <c r="B13735" s="3" t="str">
        <f>HYPERLINK("https://www.773grp.com/manufacturer/nxp-semiconductor?pageNo=30", "NXP Semiconductors")</f>
        <v>NXP Semiconductors</v>
      </c>
      <c r="C13735" s="6">
        <v>189000</v>
      </c>
      <c r="D13735" s="7">
        <v>0.1</v>
      </c>
    </row>
    <row r="13736" spans="1:4" x14ac:dyDescent="0.25">
      <c r="A13736" t="str">
        <f>HYPERLINK("https://www.773grp.com/globalSearch/BC856BW135/page-1", "BC856BW135")</f>
        <v>BC856BW135</v>
      </c>
      <c r="B13736" s="3" t="str">
        <f>HYPERLINK("https://www.773grp.com/manufacturer/nxp-semiconductor?pageNo=31", "NXP Semiconductors")</f>
        <v>NXP Semiconductors</v>
      </c>
      <c r="C13736" s="6">
        <v>20000</v>
      </c>
      <c r="D13736" s="7">
        <v>0.1</v>
      </c>
    </row>
    <row r="13737" spans="1:4" x14ac:dyDescent="0.25">
      <c r="A13737" t="str">
        <f>HYPERLINK("https://www.773grp.com/globalSearch/BC856W115/page-1", "BC856W115")</f>
        <v>BC856W115</v>
      </c>
      <c r="B13737" s="3" t="str">
        <f>HYPERLINK("https://www.773grp.com/manufacturer/nxp-semiconductor?pageNo=32", "NXP Semiconductors")</f>
        <v>NXP Semiconductors</v>
      </c>
      <c r="C13737" s="6">
        <v>152920</v>
      </c>
      <c r="D13737" s="7">
        <v>0.1</v>
      </c>
    </row>
    <row r="13738" spans="1:4" x14ac:dyDescent="0.25">
      <c r="A13738" t="str">
        <f>HYPERLINK("https://www.773grp.com/globalSearch/BC856W135/page-1", "BC856W135")</f>
        <v>BC856W135</v>
      </c>
      <c r="B13738" s="3" t="str">
        <f>HYPERLINK("https://www.773grp.com/manufacturer/nxp-semiconductor?pageNo=33", "NXP Semiconductors")</f>
        <v>NXP Semiconductors</v>
      </c>
      <c r="C13738" s="6">
        <v>1495</v>
      </c>
      <c r="D13738" s="7">
        <v>0.1</v>
      </c>
    </row>
    <row r="13739" spans="1:4" x14ac:dyDescent="0.25">
      <c r="A13739" t="str">
        <f>HYPERLINK("https://www.773grp.com/globalSearch/BC857215/page-1", "BC857215")</f>
        <v>BC857215</v>
      </c>
      <c r="B13739" s="3" t="str">
        <f>HYPERLINK("https://www.773grp.com/manufacturer/nxp-semiconductor?pageNo=34", "NXP Semiconductors")</f>
        <v>NXP Semiconductors</v>
      </c>
      <c r="C13739" s="6">
        <v>189000</v>
      </c>
      <c r="D13739" s="7">
        <v>0.1</v>
      </c>
    </row>
    <row r="13740" spans="1:4" x14ac:dyDescent="0.25">
      <c r="A13740" t="str">
        <f>HYPERLINK("https://www.773grp.com/globalSearch/BC857235/page-1", "BC857235")</f>
        <v>BC857235</v>
      </c>
      <c r="B13740" s="3" t="str">
        <f>HYPERLINK("https://www.773grp.com/manufacturer/nxp-semiconductor?pageNo=35", "NXP Semiconductors")</f>
        <v>NXP Semiconductors</v>
      </c>
      <c r="C13740" s="6">
        <v>80000</v>
      </c>
      <c r="D13740" s="7">
        <v>0.1</v>
      </c>
    </row>
    <row r="13741" spans="1:4" x14ac:dyDescent="0.25">
      <c r="A13741" t="str">
        <f>HYPERLINK("https://www.773grp.com/globalSearch/BC857A215/page-1", "BC857A215")</f>
        <v>BC857A215</v>
      </c>
      <c r="B13741" s="3" t="str">
        <f>HYPERLINK("https://www.773grp.com/manufacturer/nxp-semiconductor?pageNo=36", "NXP Semiconductors")</f>
        <v>NXP Semiconductors</v>
      </c>
      <c r="C13741" s="6">
        <v>63000</v>
      </c>
      <c r="D13741" s="7">
        <v>0.1</v>
      </c>
    </row>
    <row r="13742" spans="1:4" x14ac:dyDescent="0.25">
      <c r="A13742" t="str">
        <f>HYPERLINK("https://www.773grp.com/globalSearch/BC857AT115/page-1", "BC857AT115")</f>
        <v>BC857AT115</v>
      </c>
      <c r="B13742" s="3" t="str">
        <f>HYPERLINK("https://www.773grp.com/manufacturer/nxp-semiconductor?pageNo=37", "NXP Semiconductors")</f>
        <v>NXP Semiconductors</v>
      </c>
      <c r="C13742" s="6">
        <v>38700</v>
      </c>
      <c r="D13742" s="7">
        <v>0.1</v>
      </c>
    </row>
    <row r="13743" spans="1:4" x14ac:dyDescent="0.25">
      <c r="A13743" t="str">
        <f>HYPERLINK("https://www.773grp.com/globalSearch/BC857AW115/page-1", "BC857AW115")</f>
        <v>BC857AW115</v>
      </c>
      <c r="B13743" s="3" t="str">
        <f>HYPERLINK("https://www.773grp.com/manufacturer/nxp-semiconductor?pageNo=38", "NXP Semiconductors")</f>
        <v>NXP Semiconductors</v>
      </c>
      <c r="C13743" s="6">
        <v>51000</v>
      </c>
      <c r="D13743" s="7">
        <v>0.1</v>
      </c>
    </row>
    <row r="13744" spans="1:4" x14ac:dyDescent="0.25">
      <c r="A13744" t="str">
        <f>HYPERLINK("https://www.773grp.com/globalSearch/BC857B215/page-1", "BC857B215")</f>
        <v>BC857B215</v>
      </c>
      <c r="B13744" s="3" t="str">
        <f>HYPERLINK("https://www.773grp.com/manufacturer/nxp-semiconductor?pageNo=39", "NXP Semiconductors")</f>
        <v>NXP Semiconductors</v>
      </c>
      <c r="C13744" s="6">
        <v>270000</v>
      </c>
      <c r="D13744" s="7">
        <v>0.1</v>
      </c>
    </row>
    <row r="13745" spans="1:4" x14ac:dyDescent="0.25">
      <c r="A13745" t="str">
        <f>HYPERLINK("https://www.773grp.com/globalSearch/BC857BT115/page-1", "BC857BT115")</f>
        <v>BC857BT115</v>
      </c>
      <c r="B13745" s="3" t="str">
        <f>HYPERLINK("https://www.773grp.com/manufacturer/nxp-semiconductor?pageNo=40", "NXP Semiconductors")</f>
        <v>NXP Semiconductors</v>
      </c>
      <c r="C13745" s="6">
        <v>225190</v>
      </c>
      <c r="D13745" s="7">
        <v>0.1</v>
      </c>
    </row>
    <row r="13746" spans="1:4" x14ac:dyDescent="0.25">
      <c r="A13746" t="str">
        <f>HYPERLINK("https://www.773grp.com/globalSearch/BC857BW115/page-1", "BC857BW115")</f>
        <v>BC857BW115</v>
      </c>
      <c r="B13746" s="3" t="str">
        <f>HYPERLINK("https://www.773grp.com/manufacturer/nxp-semiconductor?pageNo=41", "NXP Semiconductors")</f>
        <v>NXP Semiconductors</v>
      </c>
      <c r="C13746" s="6">
        <v>5524</v>
      </c>
      <c r="D13746" s="7">
        <v>0.1</v>
      </c>
    </row>
    <row r="13747" spans="1:4" x14ac:dyDescent="0.25">
      <c r="A13747" t="str">
        <f>HYPERLINK("https://www.773grp.com/globalSearch/BC857BW135/page-1", "BC857BW135")</f>
        <v>BC857BW135</v>
      </c>
      <c r="B13747" s="3" t="str">
        <f>HYPERLINK("https://www.773grp.com/manufacturer/nxp-semiconductor?pageNo=42", "NXP Semiconductors")</f>
        <v>NXP Semiconductors</v>
      </c>
      <c r="C13747" s="6">
        <v>20000</v>
      </c>
      <c r="D13747" s="7">
        <v>0.1</v>
      </c>
    </row>
    <row r="13748" spans="1:4" x14ac:dyDescent="0.25">
      <c r="A13748" t="str">
        <f>HYPERLINK("https://www.773grp.com/globalSearch/BC857C215/page-1", "BC857C215")</f>
        <v>BC857C215</v>
      </c>
      <c r="B13748" s="3" t="str">
        <f>HYPERLINK("https://www.773grp.com/manufacturer/nxp-semiconductor?pageNo=43", "NXP Semiconductors")</f>
        <v>NXP Semiconductors</v>
      </c>
      <c r="C13748" s="6">
        <v>42000</v>
      </c>
      <c r="D13748" s="7">
        <v>0.1</v>
      </c>
    </row>
    <row r="13749" spans="1:4" x14ac:dyDescent="0.25">
      <c r="A13749" t="str">
        <f>HYPERLINK("https://www.773grp.com/globalSearch/BC857C235/page-1", "BC857C235")</f>
        <v>BC857C235</v>
      </c>
      <c r="B13749" s="3" t="str">
        <f>HYPERLINK("https://www.773grp.com/manufacturer/nxp-semiconductor?pageNo=44", "NXP Semiconductors")</f>
        <v>NXP Semiconductors</v>
      </c>
      <c r="C13749" s="6">
        <v>100000</v>
      </c>
      <c r="D13749" s="7">
        <v>0.1</v>
      </c>
    </row>
    <row r="13750" spans="1:4" x14ac:dyDescent="0.25">
      <c r="A13750" t="str">
        <f>HYPERLINK("https://www.773grp.com/globalSearch/BC857CT115/page-1", "BC857CT115")</f>
        <v>BC857CT115</v>
      </c>
      <c r="B13750" s="3" t="str">
        <f>HYPERLINK("https://www.773grp.com/manufacturer/nxp-semiconductor?pageNo=45", "NXP Semiconductors")</f>
        <v>NXP Semiconductors</v>
      </c>
      <c r="C13750" s="6">
        <v>31416</v>
      </c>
      <c r="D13750" s="7">
        <v>0.1</v>
      </c>
    </row>
    <row r="13751" spans="1:4" x14ac:dyDescent="0.25">
      <c r="A13751" t="str">
        <f>HYPERLINK("https://www.773grp.com/globalSearch/BC857CW115/page-1", "BC857CW115")</f>
        <v>BC857CW115</v>
      </c>
      <c r="B13751" s="3" t="str">
        <f>HYPERLINK("https://www.773grp.com/manufacturer/nxp-semiconductor?pageNo=46", "NXP Semiconductors")</f>
        <v>NXP Semiconductors</v>
      </c>
      <c r="C13751" s="6">
        <v>24000</v>
      </c>
      <c r="D13751" s="7">
        <v>0.1</v>
      </c>
    </row>
    <row r="13752" spans="1:4" x14ac:dyDescent="0.25">
      <c r="A13752" t="str">
        <f>HYPERLINK("https://www.773grp.com/globalSearch/BC858B215/page-1", "BC858B215")</f>
        <v>BC858B215</v>
      </c>
      <c r="B13752" s="3" t="str">
        <f>HYPERLINK("https://www.773grp.com/manufacturer/nxp-semiconductor?pageNo=47", "NXP Semiconductors")</f>
        <v>NXP Semiconductors</v>
      </c>
      <c r="C13752" s="6">
        <v>144000</v>
      </c>
      <c r="D13752" s="7">
        <v>0.1</v>
      </c>
    </row>
    <row r="13753" spans="1:4" x14ac:dyDescent="0.25">
      <c r="A13753" t="str">
        <f>HYPERLINK("https://www.773grp.com/globalSearch/BC858B235/page-1", "BC858B235")</f>
        <v>BC858B235</v>
      </c>
      <c r="B13753" s="3" t="str">
        <f>HYPERLINK("https://www.773grp.com/manufacturer/nxp-semiconductor?pageNo=48", "NXP Semiconductors")</f>
        <v>NXP Semiconductors</v>
      </c>
      <c r="C13753" s="6">
        <v>20000</v>
      </c>
      <c r="D13753" s="7">
        <v>0.1</v>
      </c>
    </row>
    <row r="13754" spans="1:4" x14ac:dyDescent="0.25">
      <c r="A13754" t="str">
        <f>HYPERLINK("https://www.773grp.com/globalSearch/BC858W115/page-1", "BC858W115")</f>
        <v>BC858W115</v>
      </c>
      <c r="B13754" s="3" t="str">
        <f>HYPERLINK("https://www.773grp.com/manufacturer/nxp-semiconductor?pageNo=1", "NXP Semiconductors")</f>
        <v>NXP Semiconductors</v>
      </c>
      <c r="C13754" s="6">
        <v>57190</v>
      </c>
      <c r="D13754" s="7">
        <v>0.1</v>
      </c>
    </row>
    <row r="13755" spans="1:4" x14ac:dyDescent="0.25">
      <c r="A13755" t="str">
        <f>HYPERLINK("https://www.773grp.com/globalSearch/BC859CW115/page-1", "BC859CW115")</f>
        <v>BC859CW115</v>
      </c>
      <c r="B13755" s="3" t="str">
        <f>HYPERLINK("https://www.773grp.com/manufacturer/nxp-semiconductor?pageNo=2", "NXP Semiconductors")</f>
        <v>NXP Semiconductors</v>
      </c>
      <c r="C13755" s="6">
        <v>190</v>
      </c>
      <c r="D13755" s="7">
        <v>0.1</v>
      </c>
    </row>
    <row r="13756" spans="1:4" x14ac:dyDescent="0.25">
      <c r="A13756" t="str">
        <f>HYPERLINK("https://www.773grp.com/globalSearch/BC860B215/page-1", "BC860B215")</f>
        <v>BC860B215</v>
      </c>
      <c r="B13756" s="3" t="str">
        <f>HYPERLINK("https://www.773grp.com/manufacturer/nxp-semiconductor?pageNo=3", "NXP Semiconductors")</f>
        <v>NXP Semiconductors</v>
      </c>
      <c r="C13756" s="6">
        <v>155210</v>
      </c>
      <c r="D13756" s="7">
        <v>0.1</v>
      </c>
    </row>
    <row r="13757" spans="1:4" x14ac:dyDescent="0.25">
      <c r="A13757" t="str">
        <f>HYPERLINK("https://www.773grp.com/globalSearch/BC860B235/page-1", "BC860B235")</f>
        <v>BC860B235</v>
      </c>
      <c r="B13757" s="3" t="str">
        <f>HYPERLINK("https://www.773grp.com/manufacturer/nxp-semiconductor?pageNo=4", "NXP Semiconductors")</f>
        <v>NXP Semiconductors</v>
      </c>
      <c r="C13757" s="6">
        <v>50000</v>
      </c>
      <c r="D13757" s="7">
        <v>0.1</v>
      </c>
    </row>
    <row r="13758" spans="1:4" x14ac:dyDescent="0.25">
      <c r="A13758" t="str">
        <f>HYPERLINK("https://www.773grp.com/globalSearch/BC860BW115/page-1", "BC860BW115")</f>
        <v>BC860BW115</v>
      </c>
      <c r="B13758" s="3" t="str">
        <f>HYPERLINK("https://www.773grp.com/manufacturer/nxp-semiconductor?pageNo=5", "NXP Semiconductors")</f>
        <v>NXP Semiconductors</v>
      </c>
      <c r="C13758" s="6">
        <v>44190</v>
      </c>
      <c r="D13758" s="7">
        <v>0.1</v>
      </c>
    </row>
    <row r="13759" spans="1:4" x14ac:dyDescent="0.25">
      <c r="A13759" t="str">
        <f>HYPERLINK("https://www.773grp.com/globalSearch/BC860C215/page-1", "BC860C215")</f>
        <v>BC860C215</v>
      </c>
      <c r="B13759" s="3" t="str">
        <f>HYPERLINK("https://www.773grp.com/manufacturer/nxp-semiconductor?pageNo=6", "NXP Semiconductors")</f>
        <v>NXP Semiconductors</v>
      </c>
      <c r="C13759" s="6">
        <v>54000</v>
      </c>
      <c r="D13759" s="7">
        <v>0.1</v>
      </c>
    </row>
    <row r="13760" spans="1:4" x14ac:dyDescent="0.25">
      <c r="A13760" t="str">
        <f>HYPERLINK("https://www.773grp.com/globalSearch/BCV71215/page-1", "BCV71215")</f>
        <v>BCV71215</v>
      </c>
      <c r="B13760" s="3" t="str">
        <f>HYPERLINK("https://www.773grp.com/manufacturer/nxp-semiconductor?pageNo=7", "NXP Semiconductors")</f>
        <v>NXP Semiconductors</v>
      </c>
      <c r="C13760" s="6">
        <v>103190</v>
      </c>
      <c r="D13760" s="7">
        <v>0.1</v>
      </c>
    </row>
    <row r="13761" spans="1:4" x14ac:dyDescent="0.25">
      <c r="A13761" t="str">
        <f>HYPERLINK("https://www.773grp.com/globalSearch/BCV72215/page-1", "BCV72215")</f>
        <v>BCV72215</v>
      </c>
      <c r="B13761" s="3" t="str">
        <f>HYPERLINK("https://www.773grp.com/manufacturer/nxp-semiconductor?pageNo=8", "NXP Semiconductors")</f>
        <v>NXP Semiconductors</v>
      </c>
      <c r="C13761" s="6">
        <v>45000</v>
      </c>
      <c r="D13761" s="7">
        <v>0.1</v>
      </c>
    </row>
    <row r="13762" spans="1:4" x14ac:dyDescent="0.25">
      <c r="A13762" t="str">
        <f>HYPERLINK("https://www.773grp.com/globalSearch/BCW29215/page-1", "BCW29215")</f>
        <v>BCW29215</v>
      </c>
      <c r="B13762" s="3" t="str">
        <f>HYPERLINK("https://www.773grp.com/manufacturer/nxp-semiconductor?pageNo=9", "NXP Semiconductors")</f>
        <v>NXP Semiconductors</v>
      </c>
      <c r="C13762" s="6">
        <v>32990</v>
      </c>
      <c r="D13762" s="7">
        <v>0.1</v>
      </c>
    </row>
    <row r="13763" spans="1:4" x14ac:dyDescent="0.25">
      <c r="A13763" t="str">
        <f>HYPERLINK("https://www.773grp.com/globalSearch/BCW29235/page-1", "BCW29235")</f>
        <v>BCW29235</v>
      </c>
      <c r="B13763" s="3" t="str">
        <f>HYPERLINK("https://www.773grp.com/manufacturer/nxp-semiconductor?pageNo=10", "NXP Semiconductors")</f>
        <v>NXP Semiconductors</v>
      </c>
      <c r="C13763" s="6">
        <v>10000</v>
      </c>
      <c r="D13763" s="7">
        <v>0.1</v>
      </c>
    </row>
    <row r="13764" spans="1:4" x14ac:dyDescent="0.25">
      <c r="A13764" t="str">
        <f>HYPERLINK("https://www.773grp.com/globalSearch/BCW30215/page-1", "BCW30215")</f>
        <v>BCW30215</v>
      </c>
      <c r="B13764" s="3" t="str">
        <f>HYPERLINK("https://www.773grp.com/manufacturer/nxp-semiconductor?pageNo=11", "NXP Semiconductors")</f>
        <v>NXP Semiconductors</v>
      </c>
      <c r="C13764" s="6">
        <v>27000</v>
      </c>
      <c r="D13764" s="7">
        <v>0.1</v>
      </c>
    </row>
    <row r="13765" spans="1:4" x14ac:dyDescent="0.25">
      <c r="A13765" t="str">
        <f>HYPERLINK("https://www.773grp.com/globalSearch/BCW31215/page-1", "BCW31215")</f>
        <v>BCW31215</v>
      </c>
      <c r="B13765" s="3" t="str">
        <f>HYPERLINK("https://www.773grp.com/manufacturer/nxp-semiconductor?pageNo=12", "NXP Semiconductors")</f>
        <v>NXP Semiconductors</v>
      </c>
      <c r="C13765" s="6">
        <v>69000</v>
      </c>
      <c r="D13765" s="7">
        <v>0.1</v>
      </c>
    </row>
    <row r="13766" spans="1:4" x14ac:dyDescent="0.25">
      <c r="A13766" t="str">
        <f>HYPERLINK("https://www.773grp.com/globalSearch/BCW32215/page-1", "BCW32215")</f>
        <v>BCW32215</v>
      </c>
      <c r="B13766" s="3" t="str">
        <f>HYPERLINK("https://www.773grp.com/manufacturer/nxp-semiconductor?pageNo=13", "NXP Semiconductors")</f>
        <v>NXP Semiconductors</v>
      </c>
      <c r="C13766" s="6">
        <v>54000</v>
      </c>
      <c r="D13766" s="7">
        <v>0.1</v>
      </c>
    </row>
    <row r="13767" spans="1:4" x14ac:dyDescent="0.25">
      <c r="A13767" t="str">
        <f>HYPERLINK("https://www.773grp.com/globalSearch/BCW33215/page-1", "BCW33215")</f>
        <v>BCW33215</v>
      </c>
      <c r="B13767" s="3" t="str">
        <f>HYPERLINK("https://www.773grp.com/manufacturer/nxp-semiconductor?pageNo=14", "NXP Semiconductors")</f>
        <v>NXP Semiconductors</v>
      </c>
      <c r="C13767" s="6">
        <v>135000</v>
      </c>
      <c r="D13767" s="7">
        <v>0.1</v>
      </c>
    </row>
    <row r="13768" spans="1:4" x14ac:dyDescent="0.25">
      <c r="A13768" t="str">
        <f>HYPERLINK("https://www.773grp.com/globalSearch/BCW60B215/page-1", "BCW60B215")</f>
        <v>BCW60B215</v>
      </c>
      <c r="B13768" s="3" t="str">
        <f>HYPERLINK("https://www.773grp.com/manufacturer/nxp-semiconductor?pageNo=15", "NXP Semiconductors")</f>
        <v>NXP Semiconductors</v>
      </c>
      <c r="C13768" s="6">
        <v>80164</v>
      </c>
      <c r="D13768" s="7">
        <v>0.1</v>
      </c>
    </row>
    <row r="13769" spans="1:4" x14ac:dyDescent="0.25">
      <c r="A13769" t="str">
        <f>HYPERLINK("https://www.773grp.com/globalSearch/BCW60C215/page-1", "BCW60C215")</f>
        <v>BCW60C215</v>
      </c>
      <c r="B13769" s="3" t="str">
        <f>HYPERLINK("https://www.773grp.com/manufacturer/nxp-semiconductor?pageNo=16", "NXP Semiconductors")</f>
        <v>NXP Semiconductors</v>
      </c>
      <c r="C13769" s="6">
        <v>69000</v>
      </c>
      <c r="D13769" s="7">
        <v>0.1</v>
      </c>
    </row>
    <row r="13770" spans="1:4" x14ac:dyDescent="0.25">
      <c r="A13770" t="str">
        <f>HYPERLINK("https://www.773grp.com/globalSearch/BCW60D215/page-1", "BCW60D215")</f>
        <v>BCW60D215</v>
      </c>
      <c r="B13770" s="3" t="str">
        <f>HYPERLINK("https://www.773grp.com/manufacturer/nxp-semiconductor?pageNo=17", "NXP Semiconductors")</f>
        <v>NXP Semiconductors</v>
      </c>
      <c r="C13770" s="6">
        <v>9000</v>
      </c>
      <c r="D13770" s="7">
        <v>0.1</v>
      </c>
    </row>
    <row r="13771" spans="1:4" x14ac:dyDescent="0.25">
      <c r="A13771" t="str">
        <f>HYPERLINK("https://www.773grp.com/globalSearch/BCW61B215/page-1", "BCW61B215")</f>
        <v>BCW61B215</v>
      </c>
      <c r="B13771" s="3" t="str">
        <f>HYPERLINK("https://www.773grp.com/manufacturer/nxp-semiconductor?pageNo=18", "NXP Semiconductors")</f>
        <v>NXP Semiconductors</v>
      </c>
      <c r="C13771" s="6">
        <v>18190</v>
      </c>
      <c r="D13771" s="7">
        <v>0.1</v>
      </c>
    </row>
    <row r="13772" spans="1:4" x14ac:dyDescent="0.25">
      <c r="A13772" t="str">
        <f>HYPERLINK("https://www.773grp.com/globalSearch/BCW61C215/page-1", "BCW61C215")</f>
        <v>BCW61C215</v>
      </c>
      <c r="B13772" s="3" t="str">
        <f>HYPERLINK("https://www.773grp.com/manufacturer/nxp-semiconductor?pageNo=19", "NXP Semiconductors")</f>
        <v>NXP Semiconductors</v>
      </c>
      <c r="C13772" s="6">
        <v>10467</v>
      </c>
      <c r="D13772" s="7">
        <v>0.1</v>
      </c>
    </row>
    <row r="13773" spans="1:4" x14ac:dyDescent="0.25">
      <c r="A13773" t="str">
        <f>HYPERLINK("https://www.773grp.com/globalSearch/BCW61C235/page-1", "BCW61C235")</f>
        <v>BCW61C235</v>
      </c>
      <c r="B13773" s="3" t="str">
        <f>HYPERLINK("https://www.773grp.com/manufacturer/nxp-semiconductor?pageNo=20", "NXP Semiconductors")</f>
        <v>NXP Semiconductors</v>
      </c>
      <c r="C13773" s="6">
        <v>20000</v>
      </c>
      <c r="D13773" s="7">
        <v>0.1</v>
      </c>
    </row>
    <row r="13774" spans="1:4" x14ac:dyDescent="0.25">
      <c r="A13774" t="str">
        <f>HYPERLINK("https://www.773grp.com/globalSearch/BCW61D215/page-1", "BCW61D215")</f>
        <v>BCW61D215</v>
      </c>
      <c r="B13774" s="3" t="str">
        <f>HYPERLINK("https://www.773grp.com/manufacturer/nxp-semiconductor?pageNo=21", "NXP Semiconductors")</f>
        <v>NXP Semiconductors</v>
      </c>
      <c r="C13774" s="6">
        <v>29390</v>
      </c>
      <c r="D13774" s="7">
        <v>0.1</v>
      </c>
    </row>
    <row r="13775" spans="1:4" x14ac:dyDescent="0.25">
      <c r="A13775" t="str">
        <f>HYPERLINK("https://www.773grp.com/globalSearch/BCW89215/page-1", "BCW89215")</f>
        <v>BCW89215</v>
      </c>
      <c r="B13775" s="3" t="str">
        <f>HYPERLINK("https://www.773grp.com/manufacturer/nxp-semiconductor?pageNo=22", "NXP Semiconductors")</f>
        <v>NXP Semiconductors</v>
      </c>
      <c r="C13775" s="6">
        <v>54000</v>
      </c>
      <c r="D13775" s="7">
        <v>0.1</v>
      </c>
    </row>
    <row r="13776" spans="1:4" x14ac:dyDescent="0.25">
      <c r="A13776" t="str">
        <f>HYPERLINK("https://www.773grp.com/globalSearch/BZT52H-B11115/page-1", "BZT52H-B11115")</f>
        <v>BZT52H-B11115</v>
      </c>
      <c r="B13776" s="3" t="str">
        <f>HYPERLINK("https://www.773grp.com/manufacturer/nxp-semiconductor?pageNo=23", "NXP Semiconductors")</f>
        <v>NXP Semiconductors</v>
      </c>
      <c r="C13776" s="6">
        <v>15000</v>
      </c>
      <c r="D13776" s="7">
        <v>0.1</v>
      </c>
    </row>
    <row r="13777" spans="1:4" x14ac:dyDescent="0.25">
      <c r="A13777" t="str">
        <f>HYPERLINK("https://www.773grp.com/globalSearch/BZT52H-B13115/page-1", "BZT52H-B13115")</f>
        <v>BZT52H-B13115</v>
      </c>
      <c r="B13777" s="3" t="str">
        <f>HYPERLINK("https://www.773grp.com/manufacturer/nxp-semiconductor?pageNo=24", "NXP Semiconductors")</f>
        <v>NXP Semiconductors</v>
      </c>
      <c r="C13777" s="6">
        <v>18000</v>
      </c>
      <c r="D13777" s="7">
        <v>0.1</v>
      </c>
    </row>
    <row r="13778" spans="1:4" x14ac:dyDescent="0.25">
      <c r="A13778" t="str">
        <f>HYPERLINK("https://www.773grp.com/globalSearch/BZT52H-B15115/page-1", "BZT52H-B15115")</f>
        <v>BZT52H-B15115</v>
      </c>
      <c r="B13778" s="3" t="str">
        <f>HYPERLINK("https://www.773grp.com/manufacturer/nxp-semiconductor?pageNo=25", "NXP Semiconductors")</f>
        <v>NXP Semiconductors</v>
      </c>
      <c r="C13778" s="6">
        <v>24000</v>
      </c>
      <c r="D13778" s="7">
        <v>0.1</v>
      </c>
    </row>
    <row r="13779" spans="1:4" x14ac:dyDescent="0.25">
      <c r="A13779" t="str">
        <f>HYPERLINK("https://www.773grp.com/globalSearch/BZT52H-B16115/page-1", "BZT52H-B16115")</f>
        <v>BZT52H-B16115</v>
      </c>
      <c r="B13779" s="3" t="str">
        <f>HYPERLINK("https://www.773grp.com/manufacturer/nxp-semiconductor?pageNo=26", "NXP Semiconductors")</f>
        <v>NXP Semiconductors</v>
      </c>
      <c r="C13779" s="6">
        <v>24000</v>
      </c>
      <c r="D13779" s="7">
        <v>0.1</v>
      </c>
    </row>
    <row r="13780" spans="1:4" x14ac:dyDescent="0.25">
      <c r="A13780" t="str">
        <f>HYPERLINK("https://www.773grp.com/globalSearch/BZT52H-B18115/page-1", "BZT52H-B18115")</f>
        <v>BZT52H-B18115</v>
      </c>
      <c r="B13780" s="3" t="str">
        <f>HYPERLINK("https://www.773grp.com/manufacturer/nxp-semiconductor?pageNo=27", "NXP Semiconductors")</f>
        <v>NXP Semiconductors</v>
      </c>
      <c r="C13780" s="6">
        <v>18000</v>
      </c>
      <c r="D13780" s="7">
        <v>0.1</v>
      </c>
    </row>
    <row r="13781" spans="1:4" x14ac:dyDescent="0.25">
      <c r="A13781" t="str">
        <f>HYPERLINK("https://www.773grp.com/globalSearch/BZT52H-B22115/page-1", "BZT52H-B22115")</f>
        <v>BZT52H-B22115</v>
      </c>
      <c r="B13781" s="3" t="str">
        <f>HYPERLINK("https://www.773grp.com/manufacturer/nxp-semiconductor?pageNo=28", "NXP Semiconductors")</f>
        <v>NXP Semiconductors</v>
      </c>
      <c r="C13781" s="6">
        <v>15000</v>
      </c>
      <c r="D13781" s="7">
        <v>0.1</v>
      </c>
    </row>
    <row r="13782" spans="1:4" x14ac:dyDescent="0.25">
      <c r="A13782" t="str">
        <f>HYPERLINK("https://www.773grp.com/globalSearch/BZT52H-B24115/page-1", "BZT52H-B24115")</f>
        <v>BZT52H-B24115</v>
      </c>
      <c r="B13782" s="3" t="str">
        <f>HYPERLINK("https://www.773grp.com/manufacturer/nxp-semiconductor?pageNo=29", "NXP Semiconductors")</f>
        <v>NXP Semiconductors</v>
      </c>
      <c r="C13782" s="6">
        <v>33000</v>
      </c>
      <c r="D13782" s="7">
        <v>0.1</v>
      </c>
    </row>
    <row r="13783" spans="1:4" x14ac:dyDescent="0.25">
      <c r="A13783" t="str">
        <f>HYPERLINK("https://www.773grp.com/globalSearch/BZT52H-B2V4115/page-1", "BZT52H-B2V4115")</f>
        <v>BZT52H-B2V4115</v>
      </c>
      <c r="B13783" s="3" t="str">
        <f>HYPERLINK("https://www.773grp.com/manufacturer/nxp-semiconductor?pageNo=30", "NXP Semiconductors")</f>
        <v>NXP Semiconductors</v>
      </c>
      <c r="C13783" s="6">
        <v>18000</v>
      </c>
      <c r="D13783" s="7">
        <v>0.1</v>
      </c>
    </row>
    <row r="13784" spans="1:4" x14ac:dyDescent="0.25">
      <c r="A13784" t="str">
        <f>HYPERLINK("https://www.773grp.com/globalSearch/BZT52H-B2V7115/page-1", "BZT52H-B2V7115")</f>
        <v>BZT52H-B2V7115</v>
      </c>
      <c r="B13784" s="3" t="str">
        <f>HYPERLINK("https://www.773grp.com/manufacturer/nxp-semiconductor?pageNo=31", "NXP Semiconductors")</f>
        <v>NXP Semiconductors</v>
      </c>
      <c r="C13784" s="6">
        <v>21000</v>
      </c>
      <c r="D13784" s="7">
        <v>0.1</v>
      </c>
    </row>
    <row r="13785" spans="1:4" x14ac:dyDescent="0.25">
      <c r="A13785" t="str">
        <f>HYPERLINK("https://www.773grp.com/globalSearch/BZT52H-B30115/page-1", "BZT52H-B30115")</f>
        <v>BZT52H-B30115</v>
      </c>
      <c r="B13785" s="3" t="str">
        <f>HYPERLINK("https://www.773grp.com/manufacturer/nxp-semiconductor?pageNo=32", "NXP Semiconductors")</f>
        <v>NXP Semiconductors</v>
      </c>
      <c r="C13785" s="6">
        <v>3000</v>
      </c>
      <c r="D13785" s="7">
        <v>0.1</v>
      </c>
    </row>
    <row r="13786" spans="1:4" x14ac:dyDescent="0.25">
      <c r="A13786" t="str">
        <f>HYPERLINK("https://www.773grp.com/globalSearch/BZT52H-B33115/page-1", "BZT52H-B33115")</f>
        <v>BZT52H-B33115</v>
      </c>
      <c r="B13786" s="3" t="str">
        <f>HYPERLINK("https://www.773grp.com/manufacturer/nxp-semiconductor?pageNo=33", "NXP Semiconductors")</f>
        <v>NXP Semiconductors</v>
      </c>
      <c r="C13786" s="6">
        <v>21000</v>
      </c>
      <c r="D13786" s="7">
        <v>0.1</v>
      </c>
    </row>
    <row r="13787" spans="1:4" x14ac:dyDescent="0.25">
      <c r="A13787" t="str">
        <f>HYPERLINK("https://www.773grp.com/globalSearch/BZT52H-B39115/page-1", "BZT52H-B39115")</f>
        <v>BZT52H-B39115</v>
      </c>
      <c r="B13787" s="3" t="str">
        <f>HYPERLINK("https://www.773grp.com/manufacturer/nxp-semiconductor?pageNo=34", "NXP Semiconductors")</f>
        <v>NXP Semiconductors</v>
      </c>
      <c r="C13787" s="6">
        <v>15000</v>
      </c>
      <c r="D13787" s="7">
        <v>0.1</v>
      </c>
    </row>
    <row r="13788" spans="1:4" x14ac:dyDescent="0.25">
      <c r="A13788" t="str">
        <f>HYPERLINK("https://www.773grp.com/globalSearch/BZT52H-B3V3115/page-1", "BZT52H-B3V3115")</f>
        <v>BZT52H-B3V3115</v>
      </c>
      <c r="B13788" s="3" t="str">
        <f>HYPERLINK("https://www.773grp.com/manufacturer/nxp-semiconductor?pageNo=35", "NXP Semiconductors")</f>
        <v>NXP Semiconductors</v>
      </c>
      <c r="C13788" s="6">
        <v>12000</v>
      </c>
      <c r="D13788" s="7">
        <v>0.1</v>
      </c>
    </row>
    <row r="13789" spans="1:4" x14ac:dyDescent="0.25">
      <c r="A13789" t="str">
        <f>HYPERLINK("https://www.773grp.com/globalSearch/BZT52H-B3V6115/page-1", "BZT52H-B3V6115")</f>
        <v>BZT52H-B3V6115</v>
      </c>
      <c r="B13789" s="3" t="str">
        <f>HYPERLINK("https://www.773grp.com/manufacturer/nxp-semiconductor?pageNo=36", "NXP Semiconductors")</f>
        <v>NXP Semiconductors</v>
      </c>
      <c r="C13789" s="6">
        <v>21000</v>
      </c>
      <c r="D13789" s="7">
        <v>0.1</v>
      </c>
    </row>
    <row r="13790" spans="1:4" x14ac:dyDescent="0.25">
      <c r="A13790" t="str">
        <f>HYPERLINK("https://www.773grp.com/globalSearch/BZT52H-B3V9115/page-1", "BZT52H-B3V9115")</f>
        <v>BZT52H-B3V9115</v>
      </c>
      <c r="B13790" s="3" t="str">
        <f>HYPERLINK("https://www.773grp.com/manufacturer/nxp-semiconductor?pageNo=37", "NXP Semiconductors")</f>
        <v>NXP Semiconductors</v>
      </c>
      <c r="C13790" s="6">
        <v>21000</v>
      </c>
      <c r="D13790" s="7">
        <v>0.1</v>
      </c>
    </row>
    <row r="13791" spans="1:4" x14ac:dyDescent="0.25">
      <c r="A13791" t="str">
        <f>HYPERLINK("https://www.773grp.com/globalSearch/BZT52H-B43115/page-1", "BZT52H-B43115")</f>
        <v>BZT52H-B43115</v>
      </c>
      <c r="B13791" s="3" t="str">
        <f>HYPERLINK("https://www.773grp.com/manufacturer/nxp-semiconductor?pageNo=38", "NXP Semiconductors")</f>
        <v>NXP Semiconductors</v>
      </c>
      <c r="C13791" s="6">
        <v>24000</v>
      </c>
      <c r="D13791" s="7">
        <v>0.1</v>
      </c>
    </row>
    <row r="13792" spans="1:4" x14ac:dyDescent="0.25">
      <c r="A13792" t="str">
        <f>HYPERLINK("https://www.773grp.com/globalSearch/BZT52H-B47115/page-1", "BZT52H-B47115")</f>
        <v>BZT52H-B47115</v>
      </c>
      <c r="B13792" s="3" t="str">
        <f>HYPERLINK("https://www.773grp.com/manufacturer/nxp-semiconductor?pageNo=39", "NXP Semiconductors")</f>
        <v>NXP Semiconductors</v>
      </c>
      <c r="C13792" s="6">
        <v>24000</v>
      </c>
      <c r="D13792" s="7">
        <v>0.1</v>
      </c>
    </row>
    <row r="13793" spans="1:4" x14ac:dyDescent="0.25">
      <c r="A13793" t="str">
        <f>HYPERLINK("https://www.773grp.com/globalSearch/BZT52H-B4V3115/page-1", "BZT52H-B4V3115")</f>
        <v>BZT52H-B4V3115</v>
      </c>
      <c r="B13793" s="3" t="str">
        <f>HYPERLINK("https://www.773grp.com/manufacturer/nxp-semiconductor?pageNo=40", "NXP Semiconductors")</f>
        <v>NXP Semiconductors</v>
      </c>
      <c r="C13793" s="6">
        <v>24000</v>
      </c>
      <c r="D13793" s="7">
        <v>0.1</v>
      </c>
    </row>
    <row r="13794" spans="1:4" x14ac:dyDescent="0.25">
      <c r="A13794" t="str">
        <f>HYPERLINK("https://www.773grp.com/globalSearch/BZT52H-B4V7115/page-1", "BZT52H-B4V7115")</f>
        <v>BZT52H-B4V7115</v>
      </c>
      <c r="B13794" s="3" t="str">
        <f>HYPERLINK("https://www.773grp.com/manufacturer/nxp-semiconductor?pageNo=41", "NXP Semiconductors")</f>
        <v>NXP Semiconductors</v>
      </c>
      <c r="C13794" s="6">
        <v>21000</v>
      </c>
      <c r="D13794" s="7">
        <v>0.1</v>
      </c>
    </row>
    <row r="13795" spans="1:4" x14ac:dyDescent="0.25">
      <c r="A13795" t="str">
        <f>HYPERLINK("https://www.773grp.com/globalSearch/BZT52H-B51115/page-1", "BZT52H-B51115")</f>
        <v>BZT52H-B51115</v>
      </c>
      <c r="B13795" s="3" t="str">
        <f>HYPERLINK("https://www.773grp.com/manufacturer/nxp-semiconductor?pageNo=42", "NXP Semiconductors")</f>
        <v>NXP Semiconductors</v>
      </c>
      <c r="C13795" s="6">
        <v>24000</v>
      </c>
      <c r="D13795" s="7">
        <v>0.1</v>
      </c>
    </row>
    <row r="13796" spans="1:4" x14ac:dyDescent="0.25">
      <c r="A13796" t="str">
        <f>HYPERLINK("https://www.773grp.com/globalSearch/BZT52H-B5V1115/page-1", "BZT52H-B5V1115")</f>
        <v>BZT52H-B5V1115</v>
      </c>
      <c r="B13796" s="3" t="str">
        <f>HYPERLINK("https://www.773grp.com/manufacturer/nxp-semiconductor?pageNo=43", "NXP Semiconductors")</f>
        <v>NXP Semiconductors</v>
      </c>
      <c r="C13796" s="6">
        <v>24000</v>
      </c>
      <c r="D13796" s="7">
        <v>0.1</v>
      </c>
    </row>
    <row r="13797" spans="1:4" x14ac:dyDescent="0.25">
      <c r="A13797" t="str">
        <f>HYPERLINK("https://www.773grp.com/globalSearch/BZT52H-B5V6115/page-1", "BZT52H-B5V6115")</f>
        <v>BZT52H-B5V6115</v>
      </c>
      <c r="B13797" s="3" t="str">
        <f>HYPERLINK("https://www.773grp.com/manufacturer/nxp-semiconductor?pageNo=44", "NXP Semiconductors")</f>
        <v>NXP Semiconductors</v>
      </c>
      <c r="C13797" s="6">
        <v>18000</v>
      </c>
      <c r="D13797" s="7">
        <v>0.1</v>
      </c>
    </row>
    <row r="13798" spans="1:4" x14ac:dyDescent="0.25">
      <c r="A13798" t="str">
        <f>HYPERLINK("https://www.773grp.com/globalSearch/BZT52H-B62115/page-1", "BZT52H-B62115")</f>
        <v>BZT52H-B62115</v>
      </c>
      <c r="B13798" s="3" t="str">
        <f>HYPERLINK("https://www.773grp.com/manufacturer/nxp-semiconductor?pageNo=45", "NXP Semiconductors")</f>
        <v>NXP Semiconductors</v>
      </c>
      <c r="C13798" s="6">
        <v>21000</v>
      </c>
      <c r="D13798" s="7">
        <v>0.1</v>
      </c>
    </row>
    <row r="13799" spans="1:4" x14ac:dyDescent="0.25">
      <c r="A13799" t="str">
        <f>HYPERLINK("https://www.773grp.com/globalSearch/BZT52H-B68115/page-1", "BZT52H-B68115")</f>
        <v>BZT52H-B68115</v>
      </c>
      <c r="B13799" s="3" t="str">
        <f>HYPERLINK("https://www.773grp.com/manufacturer/nxp-semiconductor?pageNo=46", "NXP Semiconductors")</f>
        <v>NXP Semiconductors</v>
      </c>
      <c r="C13799" s="6">
        <v>24000</v>
      </c>
      <c r="D13799" s="7">
        <v>0.1</v>
      </c>
    </row>
    <row r="13800" spans="1:4" x14ac:dyDescent="0.25">
      <c r="A13800" t="str">
        <f>HYPERLINK("https://www.773grp.com/globalSearch/BZT52H-B6V2115/page-1", "BZT52H-B6V2115")</f>
        <v>BZT52H-B6V2115</v>
      </c>
      <c r="B13800" s="3" t="str">
        <f>HYPERLINK("https://www.773grp.com/manufacturer/nxp-semiconductor?pageNo=47", "NXP Semiconductors")</f>
        <v>NXP Semiconductors</v>
      </c>
      <c r="C13800" s="6">
        <v>13889</v>
      </c>
      <c r="D13800" s="7">
        <v>0.1</v>
      </c>
    </row>
    <row r="13801" spans="1:4" x14ac:dyDescent="0.25">
      <c r="A13801" t="str">
        <f>HYPERLINK("https://www.773grp.com/globalSearch/BZT52H-B6V8115/page-1", "BZT52H-B6V8115")</f>
        <v>BZT52H-B6V8115</v>
      </c>
      <c r="B13801" s="3" t="str">
        <f>HYPERLINK("https://www.773grp.com/manufacturer/nxp-semiconductor?pageNo=48", "NXP Semiconductors")</f>
        <v>NXP Semiconductors</v>
      </c>
      <c r="C13801" s="6">
        <v>21000</v>
      </c>
      <c r="D13801" s="7">
        <v>0.1</v>
      </c>
    </row>
    <row r="13802" spans="1:4" x14ac:dyDescent="0.25">
      <c r="A13802" t="str">
        <f>HYPERLINK("https://www.773grp.com/globalSearch/BZT52H-B75115/page-1", "BZT52H-B75115")</f>
        <v>BZT52H-B75115</v>
      </c>
      <c r="B13802" s="3" t="str">
        <f>HYPERLINK("https://www.773grp.com/manufacturer/nxp-semiconductor?pageNo=1", "NXP Semiconductors")</f>
        <v>NXP Semiconductors</v>
      </c>
      <c r="C13802" s="6">
        <v>21000</v>
      </c>
      <c r="D13802" s="7">
        <v>0.1</v>
      </c>
    </row>
    <row r="13803" spans="1:4" x14ac:dyDescent="0.25">
      <c r="A13803" t="str">
        <f>HYPERLINK("https://www.773grp.com/globalSearch/BZT52H-B7V5115/page-1", "BZT52H-B7V5115")</f>
        <v>BZT52H-B7V5115</v>
      </c>
      <c r="B13803" s="3" t="str">
        <f>HYPERLINK("https://www.773grp.com/manufacturer/nxp-semiconductor?pageNo=2", "NXP Semiconductors")</f>
        <v>NXP Semiconductors</v>
      </c>
      <c r="C13803" s="6">
        <v>24000</v>
      </c>
      <c r="D13803" s="7">
        <v>0.1</v>
      </c>
    </row>
    <row r="13804" spans="1:4" x14ac:dyDescent="0.25">
      <c r="A13804" t="str">
        <f>HYPERLINK("https://www.773grp.com/globalSearch/BZT52H-B8V2115/page-1", "BZT52H-B8V2115")</f>
        <v>BZT52H-B8V2115</v>
      </c>
      <c r="B13804" s="3" t="str">
        <f>HYPERLINK("https://www.773grp.com/manufacturer/nxp-semiconductor?pageNo=3", "NXP Semiconductors")</f>
        <v>NXP Semiconductors</v>
      </c>
      <c r="C13804" s="6">
        <v>24000</v>
      </c>
      <c r="D13804" s="7">
        <v>0.1</v>
      </c>
    </row>
    <row r="13805" spans="1:4" x14ac:dyDescent="0.25">
      <c r="A13805" t="str">
        <f>HYPERLINK("https://www.773grp.com/globalSearch/BZT52H-B9V1115/page-1", "BZT52H-B9V1115")</f>
        <v>BZT52H-B9V1115</v>
      </c>
      <c r="B13805" s="3" t="str">
        <f>HYPERLINK("https://www.773grp.com/manufacturer/nxp-semiconductor?pageNo=4", "NXP Semiconductors")</f>
        <v>NXP Semiconductors</v>
      </c>
      <c r="C13805" s="6">
        <v>31866</v>
      </c>
      <c r="D13805" s="7">
        <v>0.1</v>
      </c>
    </row>
    <row r="13806" spans="1:4" x14ac:dyDescent="0.25">
      <c r="A13806" t="str">
        <f>HYPERLINK("https://www.773grp.com/globalSearch/BZX79-B10113/page-1", "BZX79-B10113")</f>
        <v>BZX79-B10113</v>
      </c>
      <c r="B13806" s="3" t="str">
        <f>HYPERLINK("https://www.773grp.com/manufacturer/nxp-semiconductor?pageNo=5", "NXP Semiconductors")</f>
        <v>NXP Semiconductors</v>
      </c>
      <c r="C13806" s="6">
        <v>10000</v>
      </c>
      <c r="D13806" s="7">
        <v>0.1</v>
      </c>
    </row>
    <row r="13807" spans="1:4" x14ac:dyDescent="0.25">
      <c r="A13807" t="str">
        <f>HYPERLINK("https://www.773grp.com/globalSearch/BZX79-B10133/page-1", "BZX79-B10133")</f>
        <v>BZX79-B10133</v>
      </c>
      <c r="B13807" s="3" t="str">
        <f>HYPERLINK("https://www.773grp.com/manufacturer/nxp-semiconductor?pageNo=6", "NXP Semiconductors")</f>
        <v>NXP Semiconductors</v>
      </c>
      <c r="C13807" s="6">
        <v>50000</v>
      </c>
      <c r="D13807" s="7">
        <v>0.1</v>
      </c>
    </row>
    <row r="13808" spans="1:4" x14ac:dyDescent="0.25">
      <c r="A13808" t="str">
        <f>HYPERLINK("https://www.773grp.com/globalSearch/BZX79-B11133/page-1", "BZX79-B11133")</f>
        <v>BZX79-B11133</v>
      </c>
      <c r="B13808" s="3" t="str">
        <f>HYPERLINK("https://www.773grp.com/manufacturer/nxp-semiconductor?pageNo=7", "NXP Semiconductors")</f>
        <v>NXP Semiconductors</v>
      </c>
      <c r="C13808" s="6">
        <v>110000</v>
      </c>
      <c r="D13808" s="7">
        <v>0.1</v>
      </c>
    </row>
    <row r="13809" spans="1:4" x14ac:dyDescent="0.25">
      <c r="A13809" t="str">
        <f>HYPERLINK("https://www.773grp.com/globalSearch/BZX79-B13133/page-1", "BZX79-B13133")</f>
        <v>BZX79-B13133</v>
      </c>
      <c r="B13809" s="3" t="str">
        <f>HYPERLINK("https://www.773grp.com/manufacturer/nxp-semiconductor?pageNo=8", "NXP Semiconductors")</f>
        <v>NXP Semiconductors</v>
      </c>
      <c r="C13809" s="6">
        <v>91500</v>
      </c>
      <c r="D13809" s="7">
        <v>0.1</v>
      </c>
    </row>
    <row r="13810" spans="1:4" x14ac:dyDescent="0.25">
      <c r="A13810" t="str">
        <f>HYPERLINK("https://www.773grp.com/globalSearch/BZX79-B15113/page-1", "BZX79-B15113")</f>
        <v>BZX79-B15113</v>
      </c>
      <c r="B13810" s="3" t="str">
        <f>HYPERLINK("https://www.773grp.com/manufacturer/nxp-semiconductor?pageNo=9", "NXP Semiconductors")</f>
        <v>NXP Semiconductors</v>
      </c>
      <c r="C13810" s="6">
        <v>20000</v>
      </c>
      <c r="D13810" s="7">
        <v>0.1</v>
      </c>
    </row>
    <row r="13811" spans="1:4" x14ac:dyDescent="0.25">
      <c r="A13811" t="str">
        <f>HYPERLINK("https://www.773grp.com/globalSearch/BZX79-B15133/page-1", "BZX79-B15133")</f>
        <v>BZX79-B15133</v>
      </c>
      <c r="B13811" s="3" t="str">
        <f>HYPERLINK("https://www.773grp.com/manufacturer/nxp-semiconductor?pageNo=10", "NXP Semiconductors")</f>
        <v>NXP Semiconductors</v>
      </c>
      <c r="C13811" s="6">
        <v>60000</v>
      </c>
      <c r="D13811" s="7">
        <v>0.1</v>
      </c>
    </row>
    <row r="13812" spans="1:4" x14ac:dyDescent="0.25">
      <c r="A13812" t="str">
        <f>HYPERLINK("https://www.773grp.com/globalSearch/BZX79-B16133/page-1", "BZX79-B16133")</f>
        <v>BZX79-B16133</v>
      </c>
      <c r="B13812" s="3" t="str">
        <f>HYPERLINK("https://www.773grp.com/manufacturer/nxp-semiconductor?pageNo=11", "NXP Semiconductors")</f>
        <v>NXP Semiconductors</v>
      </c>
      <c r="C13812" s="6">
        <v>50940</v>
      </c>
      <c r="D13812" s="7">
        <v>0.1</v>
      </c>
    </row>
    <row r="13813" spans="1:4" x14ac:dyDescent="0.25">
      <c r="A13813" t="str">
        <f>HYPERLINK("https://www.773grp.com/globalSearch/BZX79-B18133/page-1", "BZX79-B18133")</f>
        <v>BZX79-B18133</v>
      </c>
      <c r="B13813" s="3" t="str">
        <f>HYPERLINK("https://www.773grp.com/manufacturer/nxp-semiconductor?pageNo=12", "NXP Semiconductors")</f>
        <v>NXP Semiconductors</v>
      </c>
      <c r="C13813" s="6">
        <v>50000</v>
      </c>
      <c r="D13813" s="7">
        <v>0.1</v>
      </c>
    </row>
    <row r="13814" spans="1:4" x14ac:dyDescent="0.25">
      <c r="A13814" t="str">
        <f>HYPERLINK("https://www.773grp.com/globalSearch/BZX79-B20113/page-1", "BZX79-B20113")</f>
        <v>BZX79-B20113</v>
      </c>
      <c r="B13814" s="3" t="str">
        <f>HYPERLINK("https://www.773grp.com/manufacturer/nxp-semiconductor?pageNo=13", "NXP Semiconductors")</f>
        <v>NXP Semiconductors</v>
      </c>
      <c r="C13814" s="6">
        <v>30000</v>
      </c>
      <c r="D13814" s="7">
        <v>0.1</v>
      </c>
    </row>
    <row r="13815" spans="1:4" x14ac:dyDescent="0.25">
      <c r="A13815" t="str">
        <f>HYPERLINK("https://www.773grp.com/globalSearch/BZX79-B20143/page-1", "BZX79-B20143")</f>
        <v>BZX79-B20143</v>
      </c>
      <c r="B13815" s="3" t="str">
        <f>HYPERLINK("https://www.773grp.com/manufacturer/nxp-semiconductor?pageNo=14", "NXP Semiconductors")</f>
        <v>NXP Semiconductors</v>
      </c>
      <c r="C13815" s="6">
        <v>50000</v>
      </c>
      <c r="D13815" s="7">
        <v>0.1</v>
      </c>
    </row>
    <row r="13816" spans="1:4" x14ac:dyDescent="0.25">
      <c r="A13816" t="str">
        <f>HYPERLINK("https://www.773grp.com/globalSearch/BZX79-B27113/page-1", "BZX79-B27113")</f>
        <v>BZX79-B27113</v>
      </c>
      <c r="B13816" s="3" t="str">
        <f>HYPERLINK("https://www.773grp.com/manufacturer/nxp-semiconductor?pageNo=15", "NXP Semiconductors")</f>
        <v>NXP Semiconductors</v>
      </c>
      <c r="C13816" s="6">
        <v>40000</v>
      </c>
      <c r="D13816" s="7">
        <v>0.1</v>
      </c>
    </row>
    <row r="13817" spans="1:4" x14ac:dyDescent="0.25">
      <c r="A13817" t="str">
        <f>HYPERLINK("https://www.773grp.com/globalSearch/BZX79-B27133/page-1", "BZX79-B27133")</f>
        <v>BZX79-B27133</v>
      </c>
      <c r="B13817" s="3" t="str">
        <f>HYPERLINK("https://www.773grp.com/manufacturer/nxp-semiconductor?pageNo=16", "NXP Semiconductors")</f>
        <v>NXP Semiconductors</v>
      </c>
      <c r="C13817" s="6">
        <v>40000</v>
      </c>
      <c r="D13817" s="7">
        <v>0.1</v>
      </c>
    </row>
    <row r="13818" spans="1:4" x14ac:dyDescent="0.25">
      <c r="A13818" t="str">
        <f>HYPERLINK("https://www.773grp.com/globalSearch/BZX79-B2V4113/page-1", "BZX79-B2V4113")</f>
        <v>BZX79-B2V4113</v>
      </c>
      <c r="B13818" s="3" t="str">
        <f>HYPERLINK("https://www.773grp.com/manufacturer/nxp-semiconductor?pageNo=17", "NXP Semiconductors")</f>
        <v>NXP Semiconductors</v>
      </c>
      <c r="C13818" s="6">
        <v>40000</v>
      </c>
      <c r="D13818" s="7">
        <v>0.1</v>
      </c>
    </row>
    <row r="13819" spans="1:4" x14ac:dyDescent="0.25">
      <c r="A13819" t="str">
        <f>HYPERLINK("https://www.773grp.com/globalSearch/BZX79-B2V4133/page-1", "BZX79-B2V4133")</f>
        <v>BZX79-B2V4133</v>
      </c>
      <c r="B13819" s="3" t="str">
        <f>HYPERLINK("https://www.773grp.com/manufacturer/nxp-semiconductor?pageNo=18", "NXP Semiconductors")</f>
        <v>NXP Semiconductors</v>
      </c>
      <c r="C13819" s="6">
        <v>50000</v>
      </c>
      <c r="D13819" s="7">
        <v>0.1</v>
      </c>
    </row>
    <row r="13820" spans="1:4" x14ac:dyDescent="0.25">
      <c r="A13820" t="str">
        <f>HYPERLINK("https://www.773grp.com/globalSearch/BZX79-B2V7113/page-1", "BZX79-B2V7113")</f>
        <v>BZX79-B2V7113</v>
      </c>
      <c r="B13820" s="3" t="str">
        <f>HYPERLINK("https://www.773grp.com/manufacturer/nxp-semiconductor?pageNo=19", "NXP Semiconductors")</f>
        <v>NXP Semiconductors</v>
      </c>
      <c r="C13820" s="6">
        <v>30000</v>
      </c>
      <c r="D13820" s="7">
        <v>0.1</v>
      </c>
    </row>
    <row r="13821" spans="1:4" x14ac:dyDescent="0.25">
      <c r="A13821" t="str">
        <f>HYPERLINK("https://www.773grp.com/globalSearch/BZX79-B2V7133/page-1", "BZX79-B2V7133")</f>
        <v>BZX79-B2V7133</v>
      </c>
      <c r="B13821" s="3" t="str">
        <f>HYPERLINK("https://www.773grp.com/manufacturer/nxp-semiconductor?pageNo=20", "NXP Semiconductors")</f>
        <v>NXP Semiconductors</v>
      </c>
      <c r="C13821" s="6">
        <v>120000</v>
      </c>
      <c r="D13821" s="7">
        <v>0.1</v>
      </c>
    </row>
    <row r="13822" spans="1:4" x14ac:dyDescent="0.25">
      <c r="A13822" t="str">
        <f>HYPERLINK("https://www.773grp.com/globalSearch/BZX79-B2V7143/page-1", "BZX79-B2V7143")</f>
        <v>BZX79-B2V7143</v>
      </c>
      <c r="B13822" s="3" t="str">
        <f>HYPERLINK("https://www.773grp.com/manufacturer/nxp-semiconductor?pageNo=21", "NXP Semiconductors")</f>
        <v>NXP Semiconductors</v>
      </c>
      <c r="C13822" s="6">
        <v>50000</v>
      </c>
      <c r="D13822" s="7">
        <v>0.1</v>
      </c>
    </row>
    <row r="13823" spans="1:4" x14ac:dyDescent="0.25">
      <c r="A13823" t="str">
        <f>HYPERLINK("https://www.773grp.com/globalSearch/BZX79-B30133/page-1", "BZX79-B30133")</f>
        <v>BZX79-B30133</v>
      </c>
      <c r="B13823" s="3" t="str">
        <f>HYPERLINK("https://www.773grp.com/manufacturer/nxp-semiconductor?pageNo=22", "NXP Semiconductors")</f>
        <v>NXP Semiconductors</v>
      </c>
      <c r="C13823" s="6">
        <v>990</v>
      </c>
      <c r="D13823" s="7">
        <v>0.1</v>
      </c>
    </row>
    <row r="13824" spans="1:4" x14ac:dyDescent="0.25">
      <c r="A13824" t="str">
        <f>HYPERLINK("https://www.773grp.com/globalSearch/BZX79-B3V0133/page-1", "BZX79-B3V0133")</f>
        <v>BZX79-B3V0133</v>
      </c>
      <c r="B13824" s="3" t="str">
        <f>HYPERLINK("https://www.773grp.com/manufacturer/nxp-semiconductor?pageNo=23", "NXP Semiconductors")</f>
        <v>NXP Semiconductors</v>
      </c>
      <c r="C13824" s="6">
        <v>51140</v>
      </c>
      <c r="D13824" s="7">
        <v>0.1</v>
      </c>
    </row>
    <row r="13825" spans="1:4" x14ac:dyDescent="0.25">
      <c r="A13825" t="str">
        <f>HYPERLINK("https://www.773grp.com/globalSearch/BZX79-B3V3113/page-1", "BZX79-B3V3113")</f>
        <v>BZX79-B3V3113</v>
      </c>
      <c r="B13825" s="3" t="str">
        <f>HYPERLINK("https://www.773grp.com/manufacturer/nxp-semiconductor?pageNo=24", "NXP Semiconductors")</f>
        <v>NXP Semiconductors</v>
      </c>
      <c r="C13825" s="6">
        <v>30000</v>
      </c>
      <c r="D13825" s="7">
        <v>0.1</v>
      </c>
    </row>
    <row r="13826" spans="1:4" x14ac:dyDescent="0.25">
      <c r="A13826" t="str">
        <f>HYPERLINK("https://www.773grp.com/globalSearch/BZX79-B3V3133/page-1", "BZX79-B3V3133")</f>
        <v>BZX79-B3V3133</v>
      </c>
      <c r="B13826" s="3" t="str">
        <f>HYPERLINK("https://www.773grp.com/manufacturer/nxp-semiconductor?pageNo=25", "NXP Semiconductors")</f>
        <v>NXP Semiconductors</v>
      </c>
      <c r="C13826" s="6">
        <v>50150</v>
      </c>
      <c r="D13826" s="7">
        <v>0.1</v>
      </c>
    </row>
    <row r="13827" spans="1:4" x14ac:dyDescent="0.25">
      <c r="A13827" t="str">
        <f>HYPERLINK("https://www.773grp.com/globalSearch/BZX79-B3V6133/page-1", "BZX79-B3V6133")</f>
        <v>BZX79-B3V6133</v>
      </c>
      <c r="B13827" s="3" t="str">
        <f>HYPERLINK("https://www.773grp.com/manufacturer/nxp-semiconductor?pageNo=26", "NXP Semiconductors")</f>
        <v>NXP Semiconductors</v>
      </c>
      <c r="C13827" s="6">
        <v>50000</v>
      </c>
      <c r="D13827" s="7">
        <v>0.1</v>
      </c>
    </row>
    <row r="13828" spans="1:4" x14ac:dyDescent="0.25">
      <c r="A13828" t="str">
        <f>HYPERLINK("https://www.773grp.com/globalSearch/BZX79-B43113/page-1", "BZX79-B43113")</f>
        <v>BZX79-B43113</v>
      </c>
      <c r="B13828" s="3" t="str">
        <f>HYPERLINK("https://www.773grp.com/manufacturer/nxp-semiconductor?pageNo=27", "NXP Semiconductors")</f>
        <v>NXP Semiconductors</v>
      </c>
      <c r="C13828" s="6">
        <v>60000</v>
      </c>
      <c r="D13828" s="7">
        <v>0.1</v>
      </c>
    </row>
    <row r="13829" spans="1:4" x14ac:dyDescent="0.25">
      <c r="A13829" t="str">
        <f>HYPERLINK("https://www.773grp.com/globalSearch/BZX79-B43133/page-1", "BZX79-B43133")</f>
        <v>BZX79-B43133</v>
      </c>
      <c r="B13829" s="3" t="str">
        <f>HYPERLINK("https://www.773grp.com/manufacturer/nxp-semiconductor?pageNo=28", "NXP Semiconductors")</f>
        <v>NXP Semiconductors</v>
      </c>
      <c r="C13829" s="6">
        <v>29090</v>
      </c>
      <c r="D13829" s="7">
        <v>0.1</v>
      </c>
    </row>
    <row r="13830" spans="1:4" x14ac:dyDescent="0.25">
      <c r="A13830" t="str">
        <f>HYPERLINK("https://www.773grp.com/globalSearch/BZX79-B4V7113/page-1", "BZX79-B4V7113")</f>
        <v>BZX79-B4V7113</v>
      </c>
      <c r="B13830" s="3" t="str">
        <f>HYPERLINK("https://www.773grp.com/manufacturer/nxp-semiconductor?pageNo=29", "NXP Semiconductors")</f>
        <v>NXP Semiconductors</v>
      </c>
      <c r="C13830" s="6">
        <v>20000</v>
      </c>
      <c r="D13830" s="7">
        <v>0.1</v>
      </c>
    </row>
    <row r="13831" spans="1:4" x14ac:dyDescent="0.25">
      <c r="A13831" t="str">
        <f>HYPERLINK("https://www.773grp.com/globalSearch/BZX79-B4V7133/page-1", "BZX79-B4V7133")</f>
        <v>BZX79-B4V7133</v>
      </c>
      <c r="B13831" s="3" t="str">
        <f>HYPERLINK("https://www.773grp.com/manufacturer/nxp-semiconductor?pageNo=30", "NXP Semiconductors")</f>
        <v>NXP Semiconductors</v>
      </c>
      <c r="C13831" s="6">
        <v>80000</v>
      </c>
      <c r="D13831" s="7">
        <v>0.1</v>
      </c>
    </row>
    <row r="13832" spans="1:4" x14ac:dyDescent="0.25">
      <c r="A13832" t="str">
        <f>HYPERLINK("https://www.773grp.com/globalSearch/BZX79-B51133/page-1", "BZX79-B51133")</f>
        <v>BZX79-B51133</v>
      </c>
      <c r="B13832" s="3" t="str">
        <f>HYPERLINK("https://www.773grp.com/manufacturer/nxp-semiconductor?pageNo=31", "NXP Semiconductors")</f>
        <v>NXP Semiconductors</v>
      </c>
      <c r="C13832" s="6">
        <v>50790</v>
      </c>
      <c r="D13832" s="7">
        <v>0.1</v>
      </c>
    </row>
    <row r="13833" spans="1:4" x14ac:dyDescent="0.25">
      <c r="A13833" t="str">
        <f>HYPERLINK("https://www.773grp.com/globalSearch/BZX79-B56113/page-1", "BZX79-B56113")</f>
        <v>BZX79-B56113</v>
      </c>
      <c r="B13833" s="3" t="str">
        <f>HYPERLINK("https://www.773grp.com/manufacturer/nxp-semiconductor?pageNo=32", "NXP Semiconductors")</f>
        <v>NXP Semiconductors</v>
      </c>
      <c r="C13833" s="6">
        <v>27000</v>
      </c>
      <c r="D13833" s="7">
        <v>0.1</v>
      </c>
    </row>
    <row r="13834" spans="1:4" x14ac:dyDescent="0.25">
      <c r="A13834" t="str">
        <f>HYPERLINK("https://www.773grp.com/globalSearch/BZX79-B5V1133/page-1", "BZX79-B5V1133")</f>
        <v>BZX79-B5V1133</v>
      </c>
      <c r="B13834" s="3" t="str">
        <f>HYPERLINK("https://www.773grp.com/manufacturer/nxp-semiconductor?pageNo=33", "NXP Semiconductors")</f>
        <v>NXP Semiconductors</v>
      </c>
      <c r="C13834" s="6">
        <v>90000</v>
      </c>
      <c r="D13834" s="7">
        <v>0.1</v>
      </c>
    </row>
    <row r="13835" spans="1:4" x14ac:dyDescent="0.25">
      <c r="A13835" t="str">
        <f>HYPERLINK("https://www.773grp.com/globalSearch/BZX79-B5V1143/page-1", "BZX79-B5V1143")</f>
        <v>BZX79-B5V1143</v>
      </c>
      <c r="B13835" s="3" t="str">
        <f>HYPERLINK("https://www.773grp.com/manufacturer/nxp-semiconductor?pageNo=34", "NXP Semiconductors")</f>
        <v>NXP Semiconductors</v>
      </c>
      <c r="C13835" s="6">
        <v>50000</v>
      </c>
      <c r="D13835" s="7">
        <v>0.1</v>
      </c>
    </row>
    <row r="13836" spans="1:4" x14ac:dyDescent="0.25">
      <c r="A13836" t="str">
        <f>HYPERLINK("https://www.773grp.com/globalSearch/BZX79-B5V6113/page-1", "BZX79-B5V6113")</f>
        <v>BZX79-B5V6113</v>
      </c>
      <c r="B13836" s="3" t="str">
        <f>HYPERLINK("https://www.773grp.com/manufacturer/nxp-semiconductor?pageNo=35", "NXP Semiconductors")</f>
        <v>NXP Semiconductors</v>
      </c>
      <c r="C13836" s="6">
        <v>61170</v>
      </c>
      <c r="D13836" s="7">
        <v>0.1</v>
      </c>
    </row>
    <row r="13837" spans="1:4" x14ac:dyDescent="0.25">
      <c r="A13837" t="str">
        <f>HYPERLINK("https://www.773grp.com/globalSearch/BZX79-B62113/page-1", "BZX79-B62113")</f>
        <v>BZX79-B62113</v>
      </c>
      <c r="B13837" s="3" t="str">
        <f>HYPERLINK("https://www.773grp.com/manufacturer/nxp-semiconductor?pageNo=36", "NXP Semiconductors")</f>
        <v>NXP Semiconductors</v>
      </c>
      <c r="C13837" s="6">
        <v>19762</v>
      </c>
      <c r="D13837" s="7">
        <v>0.1</v>
      </c>
    </row>
    <row r="13838" spans="1:4" x14ac:dyDescent="0.25">
      <c r="A13838" t="str">
        <f>HYPERLINK("https://www.773grp.com/globalSearch/BZX79-B62133/page-1", "BZX79-B62133")</f>
        <v>BZX79-B62133</v>
      </c>
      <c r="B13838" s="3" t="str">
        <f>HYPERLINK("https://www.773grp.com/manufacturer/nxp-semiconductor?pageNo=37", "NXP Semiconductors")</f>
        <v>NXP Semiconductors</v>
      </c>
      <c r="C13838" s="6">
        <v>19500</v>
      </c>
      <c r="D13838" s="7">
        <v>0.1</v>
      </c>
    </row>
    <row r="13839" spans="1:4" x14ac:dyDescent="0.25">
      <c r="A13839" t="str">
        <f>HYPERLINK("https://www.773grp.com/globalSearch/BZX79-B6V2113/page-1", "BZX79-B6V2113")</f>
        <v>BZX79-B6V2113</v>
      </c>
      <c r="B13839" s="3" t="str">
        <f>HYPERLINK("https://www.773grp.com/manufacturer/nxp-semiconductor?pageNo=38", "NXP Semiconductors")</f>
        <v>NXP Semiconductors</v>
      </c>
      <c r="C13839" s="6">
        <v>30000</v>
      </c>
      <c r="D13839" s="7">
        <v>0.1</v>
      </c>
    </row>
    <row r="13840" spans="1:4" x14ac:dyDescent="0.25">
      <c r="A13840" t="str">
        <f>HYPERLINK("https://www.773grp.com/globalSearch/BZX79-B6V2133/page-1", "BZX79-B6V2133")</f>
        <v>BZX79-B6V2133</v>
      </c>
      <c r="B13840" s="3" t="str">
        <f>HYPERLINK("https://www.773grp.com/manufacturer/nxp-semiconductor?pageNo=39", "NXP Semiconductors")</f>
        <v>NXP Semiconductors</v>
      </c>
      <c r="C13840" s="6">
        <v>27500</v>
      </c>
      <c r="D13840" s="7">
        <v>0.1</v>
      </c>
    </row>
    <row r="13841" spans="1:4" x14ac:dyDescent="0.25">
      <c r="A13841" t="str">
        <f>HYPERLINK("https://www.773grp.com/globalSearch/BZX79-B6V8133/page-1", "BZX79-B6V8133")</f>
        <v>BZX79-B6V8133</v>
      </c>
      <c r="B13841" s="3" t="str">
        <f>HYPERLINK("https://www.773grp.com/manufacturer/nxp-semiconductor?pageNo=40", "NXP Semiconductors")</f>
        <v>NXP Semiconductors</v>
      </c>
      <c r="C13841" s="6">
        <v>120000</v>
      </c>
      <c r="D13841" s="7">
        <v>0.1</v>
      </c>
    </row>
    <row r="13842" spans="1:4" x14ac:dyDescent="0.25">
      <c r="A13842" t="str">
        <f>HYPERLINK("https://www.773grp.com/globalSearch/BZX79-B6V8143/page-1", "BZX79-B6V8143")</f>
        <v>BZX79-B6V8143</v>
      </c>
      <c r="B13842" s="3" t="str">
        <f>HYPERLINK("https://www.773grp.com/manufacturer/nxp-semiconductor?pageNo=41", "NXP Semiconductors")</f>
        <v>NXP Semiconductors</v>
      </c>
      <c r="C13842" s="6">
        <v>50000</v>
      </c>
      <c r="D13842" s="7">
        <v>0.1</v>
      </c>
    </row>
    <row r="13843" spans="1:4" x14ac:dyDescent="0.25">
      <c r="A13843" t="str">
        <f>HYPERLINK("https://www.773grp.com/globalSearch/BZX79-B75133/page-1", "BZX79-B75133")</f>
        <v>BZX79-B75133</v>
      </c>
      <c r="B13843" s="3" t="str">
        <f>HYPERLINK("https://www.773grp.com/manufacturer/nxp-semiconductor?pageNo=42", "NXP Semiconductors")</f>
        <v>NXP Semiconductors</v>
      </c>
      <c r="C13843" s="6">
        <v>50000</v>
      </c>
      <c r="D13843" s="7">
        <v>0.1</v>
      </c>
    </row>
    <row r="13844" spans="1:4" x14ac:dyDescent="0.25">
      <c r="A13844" t="str">
        <f>HYPERLINK("https://www.773grp.com/globalSearch/BZX79-B8V2133/page-1", "BZX79-B8V2133")</f>
        <v>BZX79-B8V2133</v>
      </c>
      <c r="B13844" s="3" t="str">
        <f>HYPERLINK("https://www.773grp.com/manufacturer/nxp-semiconductor?pageNo=43", "NXP Semiconductors")</f>
        <v>NXP Semiconductors</v>
      </c>
      <c r="C13844" s="6">
        <v>30000</v>
      </c>
      <c r="D13844" s="7">
        <v>0.1</v>
      </c>
    </row>
    <row r="13845" spans="1:4" x14ac:dyDescent="0.25">
      <c r="A13845" t="str">
        <f>HYPERLINK("https://www.773grp.com/globalSearch/BZX79-B9V1113/page-1", "BZX79-B9V1113")</f>
        <v>BZX79-B9V1113</v>
      </c>
      <c r="B13845" s="3" t="str">
        <f>HYPERLINK("https://www.773grp.com/manufacturer/nxp-semiconductor?pageNo=44", "NXP Semiconductors")</f>
        <v>NXP Semiconductors</v>
      </c>
      <c r="C13845" s="6">
        <v>159335</v>
      </c>
      <c r="D13845" s="7">
        <v>0.1</v>
      </c>
    </row>
    <row r="13846" spans="1:4" x14ac:dyDescent="0.25">
      <c r="A13846" t="str">
        <f>HYPERLINK("https://www.773grp.com/globalSearch/BZX79-B9V1133/page-1", "BZX79-B9V1133")</f>
        <v>BZX79-B9V1133</v>
      </c>
      <c r="B13846" s="3" t="str">
        <f>HYPERLINK("https://www.773grp.com/manufacturer/nxp-semiconductor?pageNo=45", "NXP Semiconductors")</f>
        <v>NXP Semiconductors</v>
      </c>
      <c r="C13846" s="6">
        <v>50990</v>
      </c>
      <c r="D13846" s="7">
        <v>0.1</v>
      </c>
    </row>
    <row r="13847" spans="1:4" x14ac:dyDescent="0.25">
      <c r="A13847" t="str">
        <f>HYPERLINK("https://www.773grp.com/globalSearch/BZX79-B9V1143/page-1", "BZX79-B9V1143")</f>
        <v>BZX79-B9V1143</v>
      </c>
      <c r="B13847" s="3" t="str">
        <f>HYPERLINK("https://www.773grp.com/manufacturer/nxp-semiconductor?pageNo=46", "NXP Semiconductors")</f>
        <v>NXP Semiconductors</v>
      </c>
      <c r="C13847" s="6">
        <v>50000</v>
      </c>
      <c r="D13847" s="7">
        <v>0.1</v>
      </c>
    </row>
    <row r="13848" spans="1:4" x14ac:dyDescent="0.25">
      <c r="A13848" t="str">
        <f>HYPERLINK("https://www.773grp.com/globalSearch/BZX84-C10235/page-1", "BZX84-C10235")</f>
        <v>BZX84-C10235</v>
      </c>
      <c r="B13848" s="3" t="str">
        <f>HYPERLINK("https://www.773grp.com/manufacturer/nxp-semiconductor?pageNo=47", "NXP Semiconductors")</f>
        <v>NXP Semiconductors</v>
      </c>
      <c r="C13848" s="6">
        <v>130000</v>
      </c>
      <c r="D13848" s="7">
        <v>0.1</v>
      </c>
    </row>
    <row r="13849" spans="1:4" x14ac:dyDescent="0.25">
      <c r="A13849" t="str">
        <f>HYPERLINK("https://www.773grp.com/globalSearch/BZX84-C11215/page-1", "BZX84-C11215")</f>
        <v>BZX84-C11215</v>
      </c>
      <c r="B13849" s="3" t="str">
        <f>HYPERLINK("https://www.773grp.com/manufacturer/nxp-semiconductor?pageNo=48", "NXP Semiconductors")</f>
        <v>NXP Semiconductors</v>
      </c>
      <c r="C13849" s="6">
        <v>97255</v>
      </c>
      <c r="D13849" s="7">
        <v>0.1</v>
      </c>
    </row>
    <row r="13850" spans="1:4" x14ac:dyDescent="0.25">
      <c r="A13850" t="str">
        <f>HYPERLINK("https://www.773grp.com/globalSearch/BZX84-C12215/page-1", "BZX84-C12215")</f>
        <v>BZX84-C12215</v>
      </c>
      <c r="B13850" s="3" t="str">
        <f>HYPERLINK("https://www.773grp.com/manufacturer/nxp-semiconductor?pageNo=1", "NXP Semiconductors")</f>
        <v>NXP Semiconductors</v>
      </c>
      <c r="C13850" s="6">
        <v>108000</v>
      </c>
      <c r="D13850" s="7">
        <v>0.1</v>
      </c>
    </row>
    <row r="13851" spans="1:4" x14ac:dyDescent="0.25">
      <c r="A13851" t="str">
        <f>HYPERLINK("https://www.773grp.com/globalSearch/BZX84-C12235/page-1", "BZX84-C12235")</f>
        <v>BZX84-C12235</v>
      </c>
      <c r="B13851" s="3" t="str">
        <f>HYPERLINK("https://www.773grp.com/manufacturer/nxp-semiconductor?pageNo=2", "NXP Semiconductors")</f>
        <v>NXP Semiconductors</v>
      </c>
      <c r="C13851" s="6">
        <v>20000</v>
      </c>
      <c r="D13851" s="7">
        <v>0.1</v>
      </c>
    </row>
    <row r="13852" spans="1:4" x14ac:dyDescent="0.25">
      <c r="A13852" t="str">
        <f>HYPERLINK("https://www.773grp.com/globalSearch/BZX84-C13215/page-1", "BZX84-C13215")</f>
        <v>BZX84-C13215</v>
      </c>
      <c r="B13852" s="3" t="str">
        <f>HYPERLINK("https://www.773grp.com/manufacturer/nxp-semiconductor?pageNo=3", "NXP Semiconductors")</f>
        <v>NXP Semiconductors</v>
      </c>
      <c r="C13852" s="6">
        <v>90000</v>
      </c>
      <c r="D13852" s="7">
        <v>0.1</v>
      </c>
    </row>
    <row r="13853" spans="1:4" x14ac:dyDescent="0.25">
      <c r="A13853" t="str">
        <f>HYPERLINK("https://www.773grp.com/globalSearch/BZX84-C15215/page-1", "BZX84-C15215")</f>
        <v>BZX84-C15215</v>
      </c>
      <c r="B13853" s="3" t="str">
        <f>HYPERLINK("https://www.773grp.com/manufacturer/nxp-semiconductor?pageNo=4", "NXP Semiconductors")</f>
        <v>NXP Semiconductors</v>
      </c>
      <c r="C13853" s="6">
        <v>327000</v>
      </c>
      <c r="D13853" s="7">
        <v>0.1</v>
      </c>
    </row>
    <row r="13854" spans="1:4" x14ac:dyDescent="0.25">
      <c r="A13854" t="str">
        <f>HYPERLINK("https://www.773grp.com/globalSearch/BZX84-C16215/page-1", "BZX84-C16215")</f>
        <v>BZX84-C16215</v>
      </c>
      <c r="B13854" s="3" t="str">
        <f>HYPERLINK("https://www.773grp.com/manufacturer/nxp-semiconductor?pageNo=5", "NXP Semiconductors")</f>
        <v>NXP Semiconductors</v>
      </c>
      <c r="C13854" s="6">
        <v>75000</v>
      </c>
      <c r="D13854" s="7">
        <v>0.1</v>
      </c>
    </row>
    <row r="13855" spans="1:4" x14ac:dyDescent="0.25">
      <c r="A13855" t="str">
        <f>HYPERLINK("https://www.773grp.com/globalSearch/BZX84-C18235/page-1", "BZX84-C18235")</f>
        <v>BZX84-C18235</v>
      </c>
      <c r="B13855" s="3" t="str">
        <f>HYPERLINK("https://www.773grp.com/manufacturer/nxp-semiconductor?pageNo=6", "NXP Semiconductors")</f>
        <v>NXP Semiconductors</v>
      </c>
      <c r="C13855" s="6">
        <v>1544740</v>
      </c>
      <c r="D13855" s="7">
        <v>0.1</v>
      </c>
    </row>
    <row r="13856" spans="1:4" x14ac:dyDescent="0.25">
      <c r="A13856" t="str">
        <f>HYPERLINK("https://www.773grp.com/globalSearch/BZX84-C20215/page-1", "BZX84-C20215")</f>
        <v>BZX84-C20215</v>
      </c>
      <c r="B13856" s="3" t="str">
        <f>HYPERLINK("https://www.773grp.com/manufacturer/nxp-semiconductor?pageNo=7", "NXP Semiconductors")</f>
        <v>NXP Semiconductors</v>
      </c>
      <c r="C13856" s="6">
        <v>167052</v>
      </c>
      <c r="D13856" s="7">
        <v>0.1</v>
      </c>
    </row>
    <row r="13857" spans="1:4" x14ac:dyDescent="0.25">
      <c r="A13857" t="str">
        <f>HYPERLINK("https://www.773grp.com/globalSearch/BZX84-C20235/page-1", "BZX84-C20235")</f>
        <v>BZX84-C20235</v>
      </c>
      <c r="B13857" s="3" t="str">
        <f>HYPERLINK("https://www.773grp.com/manufacturer/nxp-semiconductor?pageNo=8", "NXP Semiconductors")</f>
        <v>NXP Semiconductors</v>
      </c>
      <c r="C13857" s="6">
        <v>20000</v>
      </c>
      <c r="D13857" s="7">
        <v>0.1</v>
      </c>
    </row>
    <row r="13858" spans="1:4" x14ac:dyDescent="0.25">
      <c r="A13858" t="str">
        <f>HYPERLINK("https://www.773grp.com/globalSearch/BZX84-C22215/page-1", "BZX84-C22215")</f>
        <v>BZX84-C22215</v>
      </c>
      <c r="B13858" s="3" t="str">
        <f>HYPERLINK("https://www.773grp.com/manufacturer/nxp-semiconductor?pageNo=9", "NXP Semiconductors")</f>
        <v>NXP Semiconductors</v>
      </c>
      <c r="C13858" s="6">
        <v>1414</v>
      </c>
      <c r="D13858" s="7">
        <v>0.1</v>
      </c>
    </row>
    <row r="13859" spans="1:4" x14ac:dyDescent="0.25">
      <c r="A13859" t="str">
        <f>HYPERLINK("https://www.773grp.com/globalSearch/BZX84-C24215/page-1", "BZX84-C24215")</f>
        <v>BZX84-C24215</v>
      </c>
      <c r="B13859" s="3" t="str">
        <f>HYPERLINK("https://www.773grp.com/manufacturer/nxp-semiconductor?pageNo=10", "NXP Semiconductors")</f>
        <v>NXP Semiconductors</v>
      </c>
      <c r="C13859" s="6">
        <v>267000</v>
      </c>
      <c r="D13859" s="7">
        <v>0.1</v>
      </c>
    </row>
    <row r="13860" spans="1:4" x14ac:dyDescent="0.25">
      <c r="A13860" t="str">
        <f>HYPERLINK("https://www.773grp.com/globalSearch/BZX84-C27215/page-1", "BZX84-C27215")</f>
        <v>BZX84-C27215</v>
      </c>
      <c r="B13860" s="3" t="str">
        <f>HYPERLINK("https://www.773grp.com/manufacturer/nxp-semiconductor?pageNo=11", "NXP Semiconductors")</f>
        <v>NXP Semiconductors</v>
      </c>
      <c r="C13860" s="6">
        <v>21000</v>
      </c>
      <c r="D13860" s="7">
        <v>0.1</v>
      </c>
    </row>
    <row r="13861" spans="1:4" x14ac:dyDescent="0.25">
      <c r="A13861" t="str">
        <f>HYPERLINK("https://www.773grp.com/globalSearch/BZX84-C27235/page-1", "BZX84-C27235")</f>
        <v>BZX84-C27235</v>
      </c>
      <c r="B13861" s="3" t="str">
        <f>HYPERLINK("https://www.773grp.com/manufacturer/nxp-semiconductor?pageNo=12", "NXP Semiconductors")</f>
        <v>NXP Semiconductors</v>
      </c>
      <c r="C13861" s="6">
        <v>10000</v>
      </c>
      <c r="D13861" s="7">
        <v>0.1</v>
      </c>
    </row>
    <row r="13862" spans="1:4" x14ac:dyDescent="0.25">
      <c r="A13862" t="str">
        <f>HYPERLINK("https://www.773grp.com/globalSearch/BZX84-C2V4215/page-1", "BZX84-C2V4215")</f>
        <v>BZX84-C2V4215</v>
      </c>
      <c r="B13862" s="3" t="str">
        <f>HYPERLINK("https://www.773grp.com/manufacturer/nxp-semiconductor?pageNo=13", "NXP Semiconductors")</f>
        <v>NXP Semiconductors</v>
      </c>
      <c r="C13862" s="6">
        <v>2178000</v>
      </c>
      <c r="D13862" s="7">
        <v>0.1</v>
      </c>
    </row>
    <row r="13863" spans="1:4" x14ac:dyDescent="0.25">
      <c r="A13863" t="str">
        <f>HYPERLINK("https://www.773grp.com/globalSearch/BZX84-C2V7215/page-1", "BZX84-C2V7215")</f>
        <v>BZX84-C2V7215</v>
      </c>
      <c r="B13863" s="3" t="str">
        <f>HYPERLINK("https://www.773grp.com/manufacturer/nxp-semiconductor?pageNo=14", "NXP Semiconductors")</f>
        <v>NXP Semiconductors</v>
      </c>
      <c r="C13863" s="6">
        <v>9000</v>
      </c>
      <c r="D13863" s="7">
        <v>0.1</v>
      </c>
    </row>
    <row r="13864" spans="1:4" x14ac:dyDescent="0.25">
      <c r="A13864" t="str">
        <f>HYPERLINK("https://www.773grp.com/globalSearch/BZX84-C30215/page-1", "BZX84-C30215")</f>
        <v>BZX84-C30215</v>
      </c>
      <c r="B13864" s="3" t="str">
        <f>HYPERLINK("https://www.773grp.com/manufacturer/nxp-semiconductor?pageNo=15", "NXP Semiconductors")</f>
        <v>NXP Semiconductors</v>
      </c>
      <c r="C13864" s="6">
        <v>62094</v>
      </c>
      <c r="D13864" s="7">
        <v>0.1</v>
      </c>
    </row>
    <row r="13865" spans="1:4" x14ac:dyDescent="0.25">
      <c r="A13865" t="str">
        <f>HYPERLINK("https://www.773grp.com/globalSearch/BZX84-C33215/page-1", "BZX84-C33215")</f>
        <v>BZX84-C33215</v>
      </c>
      <c r="B13865" s="3" t="str">
        <f>HYPERLINK("https://www.773grp.com/manufacturer/nxp-semiconductor?pageNo=16", "NXP Semiconductors")</f>
        <v>NXP Semiconductors</v>
      </c>
      <c r="C13865" s="6">
        <v>60000</v>
      </c>
      <c r="D13865" s="7">
        <v>0.1</v>
      </c>
    </row>
    <row r="13866" spans="1:4" x14ac:dyDescent="0.25">
      <c r="A13866" t="str">
        <f>HYPERLINK("https://www.773grp.com/globalSearch/BZX84-C36215/page-1", "BZX84-C36215")</f>
        <v>BZX84-C36215</v>
      </c>
      <c r="B13866" s="3" t="str">
        <f>HYPERLINK("https://www.773grp.com/manufacturer/nxp-semiconductor?pageNo=17", "NXP Semiconductors")</f>
        <v>NXP Semiconductors</v>
      </c>
      <c r="C13866" s="6">
        <v>122890</v>
      </c>
      <c r="D13866" s="7">
        <v>0.1</v>
      </c>
    </row>
    <row r="13867" spans="1:4" x14ac:dyDescent="0.25">
      <c r="A13867" t="str">
        <f>HYPERLINK("https://www.773grp.com/globalSearch/BZX84-C39215/page-1", "BZX84-C39215")</f>
        <v>BZX84-C39215</v>
      </c>
      <c r="B13867" s="3" t="str">
        <f>HYPERLINK("https://www.773grp.com/manufacturer/nxp-semiconductor?pageNo=18", "NXP Semiconductors")</f>
        <v>NXP Semiconductors</v>
      </c>
      <c r="C13867" s="6">
        <v>144000</v>
      </c>
      <c r="D13867" s="7">
        <v>0.1</v>
      </c>
    </row>
    <row r="13868" spans="1:4" x14ac:dyDescent="0.25">
      <c r="A13868" t="str">
        <f>HYPERLINK("https://www.773grp.com/globalSearch/BZX84-C39235/page-1", "BZX84-C39235")</f>
        <v>BZX84-C39235</v>
      </c>
      <c r="B13868" s="3" t="str">
        <f>HYPERLINK("https://www.773grp.com/manufacturer/nxp-semiconductor?pageNo=19", "NXP Semiconductors")</f>
        <v>NXP Semiconductors</v>
      </c>
      <c r="C13868" s="6">
        <v>60000</v>
      </c>
      <c r="D13868" s="7">
        <v>0.1</v>
      </c>
    </row>
    <row r="13869" spans="1:4" x14ac:dyDescent="0.25">
      <c r="A13869" t="str">
        <f>HYPERLINK("https://www.773grp.com/globalSearch/BZX84-C3V3235/page-1", "BZX84-C3V3235")</f>
        <v>BZX84-C3V3235</v>
      </c>
      <c r="B13869" s="3" t="str">
        <f>HYPERLINK("https://www.773grp.com/manufacturer/nxp-semiconductor?pageNo=20", "NXP Semiconductors")</f>
        <v>NXP Semiconductors</v>
      </c>
      <c r="C13869" s="6">
        <v>100000</v>
      </c>
      <c r="D13869" s="7">
        <v>0.1</v>
      </c>
    </row>
    <row r="13870" spans="1:4" x14ac:dyDescent="0.25">
      <c r="A13870" t="str">
        <f>HYPERLINK("https://www.773grp.com/globalSearch/BZX84-C3V6215/page-1", "BZX84-C3V6215")</f>
        <v>BZX84-C3V6215</v>
      </c>
      <c r="B13870" s="3" t="str">
        <f>HYPERLINK("https://www.773grp.com/manufacturer/nxp-semiconductor?pageNo=21", "NXP Semiconductors")</f>
        <v>NXP Semiconductors</v>
      </c>
      <c r="C13870" s="6">
        <v>126000</v>
      </c>
      <c r="D13870" s="7">
        <v>0.1</v>
      </c>
    </row>
    <row r="13871" spans="1:4" x14ac:dyDescent="0.25">
      <c r="A13871" t="str">
        <f>HYPERLINK("https://www.773grp.com/globalSearch/BZX84-C3V9215/page-1", "BZX84-C3V9215")</f>
        <v>BZX84-C3V9215</v>
      </c>
      <c r="B13871" s="3" t="str">
        <f>HYPERLINK("https://www.773grp.com/manufacturer/nxp-semiconductor?pageNo=22", "NXP Semiconductors")</f>
        <v>NXP Semiconductors</v>
      </c>
      <c r="C13871" s="6">
        <v>44775</v>
      </c>
      <c r="D13871" s="7">
        <v>0.1</v>
      </c>
    </row>
    <row r="13872" spans="1:4" x14ac:dyDescent="0.25">
      <c r="A13872" t="str">
        <f>HYPERLINK("https://www.773grp.com/globalSearch/BZX84-C3V9235/page-1", "BZX84-C3V9235")</f>
        <v>BZX84-C3V9235</v>
      </c>
      <c r="B13872" s="3" t="str">
        <f>HYPERLINK("https://www.773grp.com/manufacturer/nxp-semiconductor?pageNo=23", "NXP Semiconductors")</f>
        <v>NXP Semiconductors</v>
      </c>
      <c r="C13872" s="6">
        <v>20000</v>
      </c>
      <c r="D13872" s="7">
        <v>0.1</v>
      </c>
    </row>
    <row r="13873" spans="1:4" x14ac:dyDescent="0.25">
      <c r="A13873" t="str">
        <f>HYPERLINK("https://www.773grp.com/globalSearch/BZX84-C4V3215/page-1", "BZX84-C4V3215")</f>
        <v>BZX84-C4V3215</v>
      </c>
      <c r="B13873" s="3" t="str">
        <f>HYPERLINK("https://www.773grp.com/manufacturer/nxp-semiconductor?pageNo=24", "NXP Semiconductors")</f>
        <v>NXP Semiconductors</v>
      </c>
      <c r="C13873" s="6">
        <v>9000</v>
      </c>
      <c r="D13873" s="7">
        <v>0.1</v>
      </c>
    </row>
    <row r="13874" spans="1:4" x14ac:dyDescent="0.25">
      <c r="A13874" t="str">
        <f>HYPERLINK("https://www.773grp.com/globalSearch/BZX84-C51215/page-1", "BZX84-C51215")</f>
        <v>BZX84-C51215</v>
      </c>
      <c r="B13874" s="3" t="str">
        <f>HYPERLINK("https://www.773grp.com/manufacturer/nxp-semiconductor?pageNo=25", "NXP Semiconductors")</f>
        <v>NXP Semiconductors</v>
      </c>
      <c r="C13874" s="6">
        <v>21000</v>
      </c>
      <c r="D13874" s="7">
        <v>0.1</v>
      </c>
    </row>
    <row r="13875" spans="1:4" x14ac:dyDescent="0.25">
      <c r="A13875" t="str">
        <f>HYPERLINK("https://www.773grp.com/globalSearch/BZX84-C56215/page-1", "BZX84-C56215")</f>
        <v>BZX84-C56215</v>
      </c>
      <c r="B13875" s="3" t="str">
        <f>HYPERLINK("https://www.773grp.com/manufacturer/nxp-semiconductor?pageNo=26", "NXP Semiconductors")</f>
        <v>NXP Semiconductors</v>
      </c>
      <c r="C13875" s="6">
        <v>558000</v>
      </c>
      <c r="D13875" s="7">
        <v>0.1</v>
      </c>
    </row>
    <row r="13876" spans="1:4" x14ac:dyDescent="0.25">
      <c r="A13876" t="str">
        <f>HYPERLINK("https://www.773grp.com/globalSearch/BZX84-C5V1215/page-1", "BZX84-C5V1215")</f>
        <v>BZX84-C5V1215</v>
      </c>
      <c r="B13876" s="3" t="str">
        <f>HYPERLINK("https://www.773grp.com/manufacturer/nxp-semiconductor?pageNo=27", "NXP Semiconductors")</f>
        <v>NXP Semiconductors</v>
      </c>
      <c r="C13876" s="6">
        <v>357000</v>
      </c>
      <c r="D13876" s="7">
        <v>0.1</v>
      </c>
    </row>
    <row r="13877" spans="1:4" x14ac:dyDescent="0.25">
      <c r="A13877" t="str">
        <f>HYPERLINK("https://www.773grp.com/globalSearch/BZX84-C5V6215/page-1", "BZX84-C5V6215")</f>
        <v>BZX84-C5V6215</v>
      </c>
      <c r="B13877" s="3" t="str">
        <f>HYPERLINK("https://www.773grp.com/manufacturer/nxp-semiconductor?pageNo=28", "NXP Semiconductors")</f>
        <v>NXP Semiconductors</v>
      </c>
      <c r="C13877" s="6">
        <v>636000</v>
      </c>
      <c r="D13877" s="7">
        <v>0.1</v>
      </c>
    </row>
    <row r="13878" spans="1:4" x14ac:dyDescent="0.25">
      <c r="A13878" t="str">
        <f>HYPERLINK("https://www.773grp.com/globalSearch/BZX84-C5V6235/page-1", "BZX84-C5V6235")</f>
        <v>BZX84-C5V6235</v>
      </c>
      <c r="B13878" s="3" t="str">
        <f>HYPERLINK("https://www.773grp.com/manufacturer/nxp-semiconductor?pageNo=29", "NXP Semiconductors")</f>
        <v>NXP Semiconductors</v>
      </c>
      <c r="C13878" s="6">
        <v>95210</v>
      </c>
      <c r="D13878" s="7">
        <v>0.1</v>
      </c>
    </row>
    <row r="13879" spans="1:4" x14ac:dyDescent="0.25">
      <c r="A13879" t="str">
        <f>HYPERLINK("https://www.773grp.com/globalSearch/BZX84-C62215/page-1", "BZX84-C62215")</f>
        <v>BZX84-C62215</v>
      </c>
      <c r="B13879" s="3" t="str">
        <f>HYPERLINK("https://www.773grp.com/manufacturer/nxp-semiconductor?pageNo=30", "NXP Semiconductors")</f>
        <v>NXP Semiconductors</v>
      </c>
      <c r="C13879" s="6">
        <v>125119</v>
      </c>
      <c r="D13879" s="7">
        <v>0.1</v>
      </c>
    </row>
    <row r="13880" spans="1:4" x14ac:dyDescent="0.25">
      <c r="A13880" t="str">
        <f>HYPERLINK("https://www.773grp.com/globalSearch/BZX84-C68215/page-1", "BZX84-C68215")</f>
        <v>BZX84-C68215</v>
      </c>
      <c r="B13880" s="3" t="str">
        <f>HYPERLINK("https://www.773grp.com/manufacturer/nxp-semiconductor?pageNo=31", "NXP Semiconductors")</f>
        <v>NXP Semiconductors</v>
      </c>
      <c r="C13880" s="6">
        <v>212460</v>
      </c>
      <c r="D13880" s="7">
        <v>0.1</v>
      </c>
    </row>
    <row r="13881" spans="1:4" x14ac:dyDescent="0.25">
      <c r="A13881" t="str">
        <f>HYPERLINK("https://www.773grp.com/globalSearch/BZX84-C6V2215/page-1", "BZX84-C6V2215")</f>
        <v>BZX84-C6V2215</v>
      </c>
      <c r="B13881" s="3" t="str">
        <f>HYPERLINK("https://www.773grp.com/manufacturer/nxp-semiconductor?pageNo=32", "NXP Semiconductors")</f>
        <v>NXP Semiconductors</v>
      </c>
      <c r="C13881" s="6">
        <v>117000</v>
      </c>
      <c r="D13881" s="7">
        <v>0.1</v>
      </c>
    </row>
    <row r="13882" spans="1:4" x14ac:dyDescent="0.25">
      <c r="A13882" t="str">
        <f>HYPERLINK("https://www.773grp.com/globalSearch/BZX84-C6V2235/page-1", "BZX84-C6V2235")</f>
        <v>BZX84-C6V2235</v>
      </c>
      <c r="B13882" s="3" t="str">
        <f>HYPERLINK("https://www.773grp.com/manufacturer/nxp-semiconductor?pageNo=33", "NXP Semiconductors")</f>
        <v>NXP Semiconductors</v>
      </c>
      <c r="C13882" s="6">
        <v>220000</v>
      </c>
      <c r="D13882" s="7">
        <v>0.1</v>
      </c>
    </row>
    <row r="13883" spans="1:4" x14ac:dyDescent="0.25">
      <c r="A13883" t="str">
        <f>HYPERLINK("https://www.773grp.com/globalSearch/BZX84-C6V8235/page-1", "BZX84-C6V8235")</f>
        <v>BZX84-C6V8235</v>
      </c>
      <c r="B13883" s="3" t="str">
        <f>HYPERLINK("https://www.773grp.com/manufacturer/nxp-semiconductor?pageNo=34", "NXP Semiconductors")</f>
        <v>NXP Semiconductors</v>
      </c>
      <c r="C13883" s="6">
        <v>50000</v>
      </c>
      <c r="D13883" s="7">
        <v>0.1</v>
      </c>
    </row>
    <row r="13884" spans="1:4" x14ac:dyDescent="0.25">
      <c r="A13884" t="str">
        <f>HYPERLINK("https://www.773grp.com/globalSearch/BZX84-C75215/page-1", "BZX84-C75215")</f>
        <v>BZX84-C75215</v>
      </c>
      <c r="B13884" s="3" t="str">
        <f>HYPERLINK("https://www.773grp.com/manufacturer/nxp-semiconductor?pageNo=35", "NXP Semiconductors")</f>
        <v>NXP Semiconductors</v>
      </c>
      <c r="C13884" s="6">
        <v>56550</v>
      </c>
      <c r="D13884" s="7">
        <v>0.1</v>
      </c>
    </row>
    <row r="13885" spans="1:4" x14ac:dyDescent="0.25">
      <c r="A13885" t="str">
        <f>HYPERLINK("https://www.773grp.com/globalSearch/BZX84-C7V5215/page-1", "BZX84-C7V5215")</f>
        <v>BZX84-C7V5215</v>
      </c>
      <c r="B13885" s="3" t="str">
        <f>HYPERLINK("https://www.773grp.com/manufacturer/nxp-semiconductor?pageNo=36", "NXP Semiconductors")</f>
        <v>NXP Semiconductors</v>
      </c>
      <c r="C13885" s="6">
        <v>54000</v>
      </c>
      <c r="D13885" s="7">
        <v>0.1</v>
      </c>
    </row>
    <row r="13886" spans="1:4" x14ac:dyDescent="0.25">
      <c r="A13886" t="str">
        <f>HYPERLINK("https://www.773grp.com/globalSearch/BZX84-C8V2215/page-1", "BZX84-C8V2215")</f>
        <v>BZX84-C8V2215</v>
      </c>
      <c r="B13886" s="3" t="str">
        <f>HYPERLINK("https://www.773grp.com/manufacturer/nxp-semiconductor?pageNo=37", "NXP Semiconductors")</f>
        <v>NXP Semiconductors</v>
      </c>
      <c r="C13886" s="6">
        <v>420000</v>
      </c>
      <c r="D13886" s="7">
        <v>0.1</v>
      </c>
    </row>
    <row r="13887" spans="1:4" x14ac:dyDescent="0.25">
      <c r="A13887" t="str">
        <f>HYPERLINK("https://www.773grp.com/globalSearch/BZX84-C8V2235/page-1", "BZX84-C8V2235")</f>
        <v>BZX84-C8V2235</v>
      </c>
      <c r="B13887" s="3" t="str">
        <f>HYPERLINK("https://www.773grp.com/manufacturer/nxp-semiconductor?pageNo=38", "NXP Semiconductors")</f>
        <v>NXP Semiconductors</v>
      </c>
      <c r="C13887" s="6">
        <v>185373</v>
      </c>
      <c r="D13887" s="7">
        <v>0.1</v>
      </c>
    </row>
    <row r="13888" spans="1:4" x14ac:dyDescent="0.25">
      <c r="A13888" t="str">
        <f>HYPERLINK("https://www.773grp.com/globalSearch/BZX84-C9V1215/page-1", "BZX84-C9V1215")</f>
        <v>BZX84-C9V1215</v>
      </c>
      <c r="B13888" s="3" t="str">
        <f>HYPERLINK("https://www.773grp.com/manufacturer/nxp-semiconductor?pageNo=39", "NXP Semiconductors")</f>
        <v>NXP Semiconductors</v>
      </c>
      <c r="C13888" s="6">
        <v>195000</v>
      </c>
      <c r="D13888" s="7">
        <v>0.1</v>
      </c>
    </row>
    <row r="13889" spans="1:4" x14ac:dyDescent="0.25">
      <c r="A13889" t="str">
        <f>HYPERLINK("https://www.773grp.com/globalSearch/MMBT2222A215/page-1", "MMBT2222A215")</f>
        <v>MMBT2222A215</v>
      </c>
      <c r="B13889" s="3" t="str">
        <f>HYPERLINK("https://www.773grp.com/manufacturer/nxp-semiconductor?pageNo=40", "NXP Semiconductors")</f>
        <v>NXP Semiconductors</v>
      </c>
      <c r="C13889" s="6">
        <v>3396</v>
      </c>
      <c r="D13889" s="7">
        <v>0.1</v>
      </c>
    </row>
    <row r="13890" spans="1:4" x14ac:dyDescent="0.25">
      <c r="A13890" t="str">
        <f>HYPERLINK("https://www.773grp.com/globalSearch/MMBT3904215/page-1", "MMBT3904215")</f>
        <v>MMBT3904215</v>
      </c>
      <c r="B13890" s="3" t="str">
        <f>HYPERLINK("https://www.773grp.com/manufacturer/nxp-semiconductor?pageNo=41", "NXP Semiconductors")</f>
        <v>NXP Semiconductors</v>
      </c>
      <c r="C13890" s="6">
        <v>384000</v>
      </c>
      <c r="D13890" s="7">
        <v>0.1</v>
      </c>
    </row>
    <row r="13891" spans="1:4" x14ac:dyDescent="0.25">
      <c r="A13891" t="str">
        <f>HYPERLINK("https://www.773grp.com/globalSearch/MMBT3906215/page-1", "MMBT3906215")</f>
        <v>MMBT3906215</v>
      </c>
      <c r="B13891" s="3" t="str">
        <f>HYPERLINK("https://www.773grp.com/manufacturer/nxp-semiconductor?pageNo=42", "NXP Semiconductors")</f>
        <v>NXP Semiconductors</v>
      </c>
      <c r="C13891" s="6">
        <v>1500</v>
      </c>
      <c r="D13891" s="7">
        <v>0.1</v>
      </c>
    </row>
    <row r="13892" spans="1:4" x14ac:dyDescent="0.25">
      <c r="A13892" t="str">
        <f>HYPERLINK("https://www.773grp.com/globalSearch/MMBZ10VAL215/page-1", "MMBZ10VAL215")</f>
        <v>MMBZ10VAL215</v>
      </c>
      <c r="B13892" s="3" t="str">
        <f>HYPERLINK("https://www.773grp.com/manufacturer/nxp-semiconductor?pageNo=43", "NXP Semiconductors")</f>
        <v>NXP Semiconductors</v>
      </c>
      <c r="C13892" s="6">
        <v>12000</v>
      </c>
      <c r="D13892" s="7">
        <v>0.1</v>
      </c>
    </row>
    <row r="13893" spans="1:4" x14ac:dyDescent="0.25">
      <c r="A13893" t="str">
        <f>HYPERLINK("https://www.773grp.com/globalSearch/MMBZ12VAL215/page-1", "MMBZ12VAL215")</f>
        <v>MMBZ12VAL215</v>
      </c>
      <c r="B13893" s="3" t="str">
        <f>HYPERLINK("https://www.773grp.com/manufacturer/nxp-semiconductor?pageNo=44", "NXP Semiconductors")</f>
        <v>NXP Semiconductors</v>
      </c>
      <c r="C13893" s="6">
        <v>4500</v>
      </c>
      <c r="D13893" s="7">
        <v>0.1</v>
      </c>
    </row>
    <row r="13894" spans="1:4" x14ac:dyDescent="0.25">
      <c r="A13894" t="str">
        <f>HYPERLINK("https://www.773grp.com/globalSearch/MMBZ12VDL215/page-1", "MMBZ12VDL215")</f>
        <v>MMBZ12VDL215</v>
      </c>
      <c r="B13894" s="3" t="str">
        <f>HYPERLINK("https://www.773grp.com/manufacturer/nxp-semiconductor?pageNo=45", "NXP Semiconductors")</f>
        <v>NXP Semiconductors</v>
      </c>
      <c r="C13894" s="6">
        <v>2445</v>
      </c>
      <c r="D13894" s="7">
        <v>0.1</v>
      </c>
    </row>
    <row r="13895" spans="1:4" x14ac:dyDescent="0.25">
      <c r="A13895" t="str">
        <f>HYPERLINK("https://www.773grp.com/globalSearch/MMBZ18VAL215/page-1", "MMBZ18VAL215")</f>
        <v>MMBZ18VAL215</v>
      </c>
      <c r="B13895" s="3" t="str">
        <f>HYPERLINK("https://www.773grp.com/manufacturer/nxp-semiconductor?pageNo=46", "NXP Semiconductors")</f>
        <v>NXP Semiconductors</v>
      </c>
      <c r="C13895" s="6">
        <v>27150</v>
      </c>
      <c r="D13895" s="7">
        <v>0.1</v>
      </c>
    </row>
    <row r="13896" spans="1:4" x14ac:dyDescent="0.25">
      <c r="A13896" t="str">
        <f>HYPERLINK("https://www.773grp.com/globalSearch/MMBZ18VCL215/page-1", "MMBZ18VCL215")</f>
        <v>MMBZ18VCL215</v>
      </c>
      <c r="B13896" s="3" t="str">
        <f>HYPERLINK("https://www.773grp.com/manufacturer/nxp-semiconductor?pageNo=47", "NXP Semiconductors")</f>
        <v>NXP Semiconductors</v>
      </c>
      <c r="C13896" s="6">
        <v>1500</v>
      </c>
      <c r="D13896" s="7">
        <v>0.1</v>
      </c>
    </row>
    <row r="13897" spans="1:4" x14ac:dyDescent="0.25">
      <c r="A13897" t="str">
        <f>HYPERLINK("https://www.773grp.com/globalSearch/MMBZ20VAL215/page-1", "MMBZ20VAL215")</f>
        <v>MMBZ20VAL215</v>
      </c>
      <c r="B13897" s="3" t="str">
        <f>HYPERLINK("https://www.773grp.com/manufacturer/nxp-semiconductor?pageNo=48", "NXP Semiconductors")</f>
        <v>NXP Semiconductors</v>
      </c>
      <c r="C13897" s="6">
        <v>29500</v>
      </c>
      <c r="D13897" s="7">
        <v>0.1</v>
      </c>
    </row>
    <row r="13898" spans="1:4" x14ac:dyDescent="0.25">
      <c r="A13898" t="str">
        <f>HYPERLINK("https://www.773grp.com/globalSearch/MMBZ20VCL215/page-1", "MMBZ20VCL215")</f>
        <v>MMBZ20VCL215</v>
      </c>
      <c r="B13898" s="3" t="str">
        <f>HYPERLINK("https://www.773grp.com/manufacturer/nxp-semiconductor?pageNo=1", "NXP Semiconductors")</f>
        <v>NXP Semiconductors</v>
      </c>
      <c r="C13898" s="6">
        <v>10466</v>
      </c>
      <c r="D13898" s="7">
        <v>0.1</v>
      </c>
    </row>
    <row r="13899" spans="1:4" x14ac:dyDescent="0.25">
      <c r="A13899" t="str">
        <f>HYPERLINK("https://www.773grp.com/globalSearch/MMBZ27VAL215/page-1", "MMBZ27VAL215")</f>
        <v>MMBZ27VAL215</v>
      </c>
      <c r="B13899" s="3" t="str">
        <f>HYPERLINK("https://www.773grp.com/manufacturer/nxp-semiconductor?pageNo=2", "NXP Semiconductors")</f>
        <v>NXP Semiconductors</v>
      </c>
      <c r="C13899" s="6">
        <v>1050</v>
      </c>
      <c r="D13899" s="7">
        <v>0.1</v>
      </c>
    </row>
    <row r="13900" spans="1:4" x14ac:dyDescent="0.25">
      <c r="A13900" t="str">
        <f>HYPERLINK("https://www.773grp.com/globalSearch/MMBZ27VAL235/page-1", "MMBZ27VAL235")</f>
        <v>MMBZ27VAL235</v>
      </c>
      <c r="B13900" s="3" t="str">
        <f>HYPERLINK("https://www.773grp.com/manufacturer/nxp-semiconductor?pageNo=3", "NXP Semiconductors")</f>
        <v>NXP Semiconductors</v>
      </c>
      <c r="C13900" s="6">
        <v>20000</v>
      </c>
      <c r="D13900" s="7">
        <v>0.1</v>
      </c>
    </row>
    <row r="13901" spans="1:4" x14ac:dyDescent="0.25">
      <c r="A13901" t="str">
        <f>HYPERLINK("https://www.773grp.com/globalSearch/MMBZ27VCL215/page-1", "MMBZ27VCL215")</f>
        <v>MMBZ27VCL215</v>
      </c>
      <c r="B13901" s="3" t="str">
        <f>HYPERLINK("https://www.773grp.com/manufacturer/nxp-semiconductor?pageNo=4", "NXP Semiconductors")</f>
        <v>NXP Semiconductors</v>
      </c>
      <c r="C13901" s="6">
        <v>1500</v>
      </c>
      <c r="D13901" s="7">
        <v>0.1</v>
      </c>
    </row>
    <row r="13902" spans="1:4" x14ac:dyDescent="0.25">
      <c r="A13902" t="str">
        <f>HYPERLINK("https://www.773grp.com/globalSearch/MMBZ33VAL215/page-1", "MMBZ33VAL215")</f>
        <v>MMBZ33VAL215</v>
      </c>
      <c r="B13902" s="3" t="str">
        <f>HYPERLINK("https://www.773grp.com/manufacturer/nxp-semiconductor?pageNo=5", "NXP Semiconductors")</f>
        <v>NXP Semiconductors</v>
      </c>
      <c r="C13902" s="6">
        <v>200</v>
      </c>
      <c r="D13902" s="7">
        <v>0.1</v>
      </c>
    </row>
    <row r="13903" spans="1:4" x14ac:dyDescent="0.25">
      <c r="A13903" t="str">
        <f>HYPERLINK("https://www.773grp.com/globalSearch/MMBZ33VCL215/page-1", "MMBZ33VCL215")</f>
        <v>MMBZ33VCL215</v>
      </c>
      <c r="B13903" s="3" t="str">
        <f>HYPERLINK("https://www.773grp.com/manufacturer/nxp-semiconductor?pageNo=6", "NXP Semiconductors")</f>
        <v>NXP Semiconductors</v>
      </c>
      <c r="C13903" s="6">
        <v>1450</v>
      </c>
      <c r="D13903" s="7">
        <v>0.1</v>
      </c>
    </row>
    <row r="13904" spans="1:4" x14ac:dyDescent="0.25">
      <c r="A13904" t="str">
        <f>HYPERLINK("https://www.773grp.com/globalSearch/MMBZ5V6AL215/page-1", "MMBZ5V6AL215")</f>
        <v>MMBZ5V6AL215</v>
      </c>
      <c r="B13904" s="3" t="str">
        <f>HYPERLINK("https://www.773grp.com/manufacturer/nxp-semiconductor?pageNo=7", "NXP Semiconductors")</f>
        <v>NXP Semiconductors</v>
      </c>
      <c r="C13904" s="6">
        <v>27000</v>
      </c>
      <c r="D13904" s="7">
        <v>0.1</v>
      </c>
    </row>
    <row r="13905" spans="1:4" x14ac:dyDescent="0.25">
      <c r="A13905" t="str">
        <f>HYPERLINK("https://www.773grp.com/globalSearch/MMBZ6V2AL215/page-1", "MMBZ6V2AL215")</f>
        <v>MMBZ6V2AL215</v>
      </c>
      <c r="B13905" s="3" t="str">
        <f>HYPERLINK("https://www.773grp.com/manufacturer/nxp-semiconductor?pageNo=8", "NXP Semiconductors")</f>
        <v>NXP Semiconductors</v>
      </c>
      <c r="C13905" s="6">
        <v>9000</v>
      </c>
      <c r="D13905" s="7">
        <v>0.1</v>
      </c>
    </row>
    <row r="13906" spans="1:4" x14ac:dyDescent="0.25">
      <c r="A13906" t="str">
        <f>HYPERLINK("https://www.773grp.com/globalSearch/MMBZ9V1AL215/page-1", "MMBZ9V1AL215")</f>
        <v>MMBZ9V1AL215</v>
      </c>
      <c r="B13906" s="3" t="str">
        <f>HYPERLINK("https://www.773grp.com/manufacturer/nxp-semiconductor?pageNo=9", "NXP Semiconductors")</f>
        <v>NXP Semiconductors</v>
      </c>
      <c r="C13906" s="6">
        <v>21000</v>
      </c>
      <c r="D13906" s="7">
        <v>0.1</v>
      </c>
    </row>
    <row r="13907" spans="1:4" x14ac:dyDescent="0.25">
      <c r="A13907" t="str">
        <f>HYPERLINK("https://www.773grp.com/globalSearch/NZH10C115/page-1", "NZH10C115")</f>
        <v>NZH10C115</v>
      </c>
      <c r="B13907" s="3" t="str">
        <f>HYPERLINK("https://www.773grp.com/manufacturer/nxp-semiconductor?pageNo=10", "NXP Semiconductors")</f>
        <v>NXP Semiconductors</v>
      </c>
      <c r="C13907" s="6">
        <v>3000</v>
      </c>
      <c r="D13907" s="7">
        <v>0.1</v>
      </c>
    </row>
    <row r="13908" spans="1:4" x14ac:dyDescent="0.25">
      <c r="A13908" t="str">
        <f>HYPERLINK("https://www.773grp.com/globalSearch/NZH11C115/page-1", "NZH11C115")</f>
        <v>NZH11C115</v>
      </c>
      <c r="B13908" s="3" t="str">
        <f>HYPERLINK("https://www.773grp.com/manufacturer/nxp-semiconductor?pageNo=11", "NXP Semiconductors")</f>
        <v>NXP Semiconductors</v>
      </c>
      <c r="C13908" s="6">
        <v>6000</v>
      </c>
      <c r="D13908" s="7">
        <v>0.1</v>
      </c>
    </row>
    <row r="13909" spans="1:4" x14ac:dyDescent="0.25">
      <c r="A13909" t="str">
        <f>HYPERLINK("https://www.773grp.com/globalSearch/NZH12B115/page-1", "NZH12B115")</f>
        <v>NZH12B115</v>
      </c>
      <c r="B13909" s="3" t="str">
        <f>HYPERLINK("https://www.773grp.com/manufacturer/nxp-semiconductor?pageNo=12", "NXP Semiconductors")</f>
        <v>NXP Semiconductors</v>
      </c>
      <c r="C13909" s="6">
        <v>30000</v>
      </c>
      <c r="D13909" s="7">
        <v>0.1</v>
      </c>
    </row>
    <row r="13910" spans="1:4" x14ac:dyDescent="0.25">
      <c r="A13910" t="str">
        <f>HYPERLINK("https://www.773grp.com/globalSearch/NZH13B115/page-1", "NZH13B115")</f>
        <v>NZH13B115</v>
      </c>
      <c r="B13910" s="3" t="str">
        <f>HYPERLINK("https://www.773grp.com/manufacturer/nxp-semiconductor?pageNo=13", "NXP Semiconductors")</f>
        <v>NXP Semiconductors</v>
      </c>
      <c r="C13910" s="6">
        <v>36000</v>
      </c>
      <c r="D13910" s="7">
        <v>0.1</v>
      </c>
    </row>
    <row r="13911" spans="1:4" x14ac:dyDescent="0.25">
      <c r="A13911" t="str">
        <f>HYPERLINK("https://www.773grp.com/globalSearch/NZH15B115/page-1", "NZH15B115")</f>
        <v>NZH15B115</v>
      </c>
      <c r="B13911" s="3" t="str">
        <f>HYPERLINK("https://www.773grp.com/manufacturer/nxp-semiconductor?pageNo=14", "NXP Semiconductors")</f>
        <v>NXP Semiconductors</v>
      </c>
      <c r="C13911" s="6">
        <v>54000</v>
      </c>
      <c r="D13911" s="7">
        <v>0.1</v>
      </c>
    </row>
    <row r="13912" spans="1:4" x14ac:dyDescent="0.25">
      <c r="A13912" t="str">
        <f>HYPERLINK("https://www.773grp.com/globalSearch/NZH16C115/page-1", "NZH16C115")</f>
        <v>NZH16C115</v>
      </c>
      <c r="B13912" s="3" t="str">
        <f>HYPERLINK("https://www.773grp.com/manufacturer/nxp-semiconductor?pageNo=15", "NXP Semiconductors")</f>
        <v>NXP Semiconductors</v>
      </c>
      <c r="C13912" s="6">
        <v>32121</v>
      </c>
      <c r="D13912" s="7">
        <v>0.1</v>
      </c>
    </row>
    <row r="13913" spans="1:4" x14ac:dyDescent="0.25">
      <c r="A13913" t="str">
        <f>HYPERLINK("https://www.773grp.com/globalSearch/NZH18C115/page-1", "NZH18C115")</f>
        <v>NZH18C115</v>
      </c>
      <c r="B13913" s="3" t="str">
        <f>HYPERLINK("https://www.773grp.com/manufacturer/nxp-semiconductor?pageNo=16", "NXP Semiconductors")</f>
        <v>NXP Semiconductors</v>
      </c>
      <c r="C13913" s="6">
        <v>3302</v>
      </c>
      <c r="D13913" s="7">
        <v>0.1</v>
      </c>
    </row>
    <row r="13914" spans="1:4" x14ac:dyDescent="0.25">
      <c r="A13914" t="str">
        <f>HYPERLINK("https://www.773grp.com/globalSearch/NZH20C115/page-1", "NZH20C115")</f>
        <v>NZH20C115</v>
      </c>
      <c r="B13914" s="3" t="str">
        <f>HYPERLINK("https://www.773grp.com/manufacturer/nxp-semiconductor?pageNo=17", "NXP Semiconductors")</f>
        <v>NXP Semiconductors</v>
      </c>
      <c r="C13914" s="6">
        <v>36711</v>
      </c>
      <c r="D13914" s="7">
        <v>0.1</v>
      </c>
    </row>
    <row r="13915" spans="1:4" x14ac:dyDescent="0.25">
      <c r="A13915" t="str">
        <f>HYPERLINK("https://www.773grp.com/globalSearch/NZH22C115/page-1", "NZH22C115")</f>
        <v>NZH22C115</v>
      </c>
      <c r="B13915" s="3" t="str">
        <f>HYPERLINK("https://www.773grp.com/manufacturer/nxp-semiconductor?pageNo=18", "NXP Semiconductors")</f>
        <v>NXP Semiconductors</v>
      </c>
      <c r="C13915" s="6">
        <v>6000</v>
      </c>
      <c r="D13915" s="7">
        <v>0.1</v>
      </c>
    </row>
    <row r="13916" spans="1:4" x14ac:dyDescent="0.25">
      <c r="A13916" t="str">
        <f>HYPERLINK("https://www.773grp.com/globalSearch/NZH24C115/page-1", "NZH24C115")</f>
        <v>NZH24C115</v>
      </c>
      <c r="B13916" s="3" t="str">
        <f>HYPERLINK("https://www.773grp.com/manufacturer/nxp-semiconductor?pageNo=19", "NXP Semiconductors")</f>
        <v>NXP Semiconductors</v>
      </c>
      <c r="C13916" s="6">
        <v>40040</v>
      </c>
      <c r="D13916" s="7">
        <v>0.1</v>
      </c>
    </row>
    <row r="13917" spans="1:4" x14ac:dyDescent="0.25">
      <c r="A13917" t="str">
        <f>HYPERLINK("https://www.773grp.com/globalSearch/NZH27C115/page-1", "NZH27C115")</f>
        <v>NZH27C115</v>
      </c>
      <c r="B13917" s="3" t="str">
        <f>HYPERLINK("https://www.773grp.com/manufacturer/nxp-semiconductor?pageNo=20", "NXP Semiconductors")</f>
        <v>NXP Semiconductors</v>
      </c>
      <c r="C13917" s="6">
        <v>3000</v>
      </c>
      <c r="D13917" s="7">
        <v>0.1</v>
      </c>
    </row>
    <row r="13918" spans="1:4" x14ac:dyDescent="0.25">
      <c r="A13918" t="str">
        <f>HYPERLINK("https://www.773grp.com/globalSearch/NZH30C115/page-1", "NZH30C115")</f>
        <v>NZH30C115</v>
      </c>
      <c r="B13918" s="3" t="str">
        <f>HYPERLINK("https://www.773grp.com/manufacturer/nxp-semiconductor?pageNo=21", "NXP Semiconductors")</f>
        <v>NXP Semiconductors</v>
      </c>
      <c r="C13918" s="6">
        <v>3000</v>
      </c>
      <c r="D13918" s="7">
        <v>0.1</v>
      </c>
    </row>
    <row r="13919" spans="1:4" x14ac:dyDescent="0.25">
      <c r="A13919" t="str">
        <f>HYPERLINK("https://www.773grp.com/globalSearch/NZH3V0B115/page-1", "NZH3V0B115")</f>
        <v>NZH3V0B115</v>
      </c>
      <c r="B13919" s="3" t="str">
        <f>HYPERLINK("https://www.773grp.com/manufacturer/nxp-semiconductor?pageNo=22", "NXP Semiconductors")</f>
        <v>NXP Semiconductors</v>
      </c>
      <c r="C13919" s="6">
        <v>3000</v>
      </c>
      <c r="D13919" s="7">
        <v>0.1</v>
      </c>
    </row>
    <row r="13920" spans="1:4" x14ac:dyDescent="0.25">
      <c r="A13920" t="str">
        <f>HYPERLINK("https://www.773grp.com/globalSearch/NZH3V6B115/page-1", "NZH3V6B115")</f>
        <v>NZH3V6B115</v>
      </c>
      <c r="B13920" s="3" t="str">
        <f>HYPERLINK("https://www.773grp.com/manufacturer/nxp-semiconductor?pageNo=23", "NXP Semiconductors")</f>
        <v>NXP Semiconductors</v>
      </c>
      <c r="C13920" s="6">
        <v>36000</v>
      </c>
      <c r="D13920" s="7">
        <v>0.1</v>
      </c>
    </row>
    <row r="13921" spans="1:4" x14ac:dyDescent="0.25">
      <c r="A13921" t="str">
        <f>HYPERLINK("https://www.773grp.com/globalSearch/NZH3V9B115/page-1", "NZH3V9B115")</f>
        <v>NZH3V9B115</v>
      </c>
      <c r="B13921" s="3" t="str">
        <f>HYPERLINK("https://www.773grp.com/manufacturer/nxp-semiconductor?pageNo=24", "NXP Semiconductors")</f>
        <v>NXP Semiconductors</v>
      </c>
      <c r="C13921" s="6">
        <v>6000</v>
      </c>
      <c r="D13921" s="7">
        <v>0.1</v>
      </c>
    </row>
    <row r="13922" spans="1:4" x14ac:dyDescent="0.25">
      <c r="A13922" t="str">
        <f>HYPERLINK("https://www.773grp.com/globalSearch/NZH4V3B115/page-1", "NZH4V3B115")</f>
        <v>NZH4V3B115</v>
      </c>
      <c r="B13922" s="3" t="str">
        <f>HYPERLINK("https://www.773grp.com/manufacturer/nxp-semiconductor?pageNo=25", "NXP Semiconductors")</f>
        <v>NXP Semiconductors</v>
      </c>
      <c r="C13922" s="6">
        <v>6000</v>
      </c>
      <c r="D13922" s="7">
        <v>0.1</v>
      </c>
    </row>
    <row r="13923" spans="1:4" x14ac:dyDescent="0.25">
      <c r="A13923" t="str">
        <f>HYPERLINK("https://www.773grp.com/globalSearch/NZH4V7B115/page-1", "NZH4V7B115")</f>
        <v>NZH4V7B115</v>
      </c>
      <c r="B13923" s="3" t="str">
        <f>HYPERLINK("https://www.773grp.com/manufacturer/nxp-semiconductor?pageNo=26", "NXP Semiconductors")</f>
        <v>NXP Semiconductors</v>
      </c>
      <c r="C13923" s="6">
        <v>27000</v>
      </c>
      <c r="D13923" s="7">
        <v>0.1</v>
      </c>
    </row>
    <row r="13924" spans="1:4" x14ac:dyDescent="0.25">
      <c r="A13924" t="str">
        <f>HYPERLINK("https://www.773grp.com/globalSearch/NZH5V1B115/page-1", "NZH5V1B115")</f>
        <v>NZH5V1B115</v>
      </c>
      <c r="B13924" s="3" t="str">
        <f>HYPERLINK("https://www.773grp.com/manufacturer/nxp-semiconductor?pageNo=27", "NXP Semiconductors")</f>
        <v>NXP Semiconductors</v>
      </c>
      <c r="C13924" s="6">
        <v>36000</v>
      </c>
      <c r="D13924" s="7">
        <v>0.1</v>
      </c>
    </row>
    <row r="13925" spans="1:4" x14ac:dyDescent="0.25">
      <c r="A13925" t="str">
        <f>HYPERLINK("https://www.773grp.com/globalSearch/NZH5V6B115/page-1", "NZH5V6B115")</f>
        <v>NZH5V6B115</v>
      </c>
      <c r="B13925" s="3" t="str">
        <f>HYPERLINK("https://www.773grp.com/manufacturer/nxp-semiconductor?pageNo=28", "NXP Semiconductors")</f>
        <v>NXP Semiconductors</v>
      </c>
      <c r="C13925" s="6">
        <v>42000</v>
      </c>
      <c r="D13925" s="7">
        <v>0.1</v>
      </c>
    </row>
    <row r="13926" spans="1:4" x14ac:dyDescent="0.25">
      <c r="A13926" t="str">
        <f>HYPERLINK("https://www.773grp.com/globalSearch/NZH6V8B115/page-1", "NZH6V8B115")</f>
        <v>NZH6V8B115</v>
      </c>
      <c r="B13926" s="3" t="str">
        <f>HYPERLINK("https://www.773grp.com/manufacturer/nxp-semiconductor?pageNo=29", "NXP Semiconductors")</f>
        <v>NXP Semiconductors</v>
      </c>
      <c r="C13926" s="6">
        <v>6000</v>
      </c>
      <c r="D13926" s="7">
        <v>0.1</v>
      </c>
    </row>
    <row r="13927" spans="1:4" x14ac:dyDescent="0.25">
      <c r="A13927" t="str">
        <f>HYPERLINK("https://www.773grp.com/globalSearch/NZH7V5C115/page-1", "NZH7V5C115")</f>
        <v>NZH7V5C115</v>
      </c>
      <c r="B13927" s="3" t="str">
        <f>HYPERLINK("https://www.773grp.com/manufacturer/nxp-semiconductor?pageNo=30", "NXP Semiconductors")</f>
        <v>NXP Semiconductors</v>
      </c>
      <c r="C13927" s="6">
        <v>3000</v>
      </c>
      <c r="D13927" s="7">
        <v>0.1</v>
      </c>
    </row>
    <row r="13928" spans="1:4" x14ac:dyDescent="0.25">
      <c r="A13928" t="str">
        <f>HYPERLINK("https://www.773grp.com/globalSearch/NZH8V2B115/page-1", "NZH8V2B115")</f>
        <v>NZH8V2B115</v>
      </c>
      <c r="B13928" s="3" t="str">
        <f>HYPERLINK("https://www.773grp.com/manufacturer/nxp-semiconductor?pageNo=31", "NXP Semiconductors")</f>
        <v>NXP Semiconductors</v>
      </c>
      <c r="C13928" s="6">
        <v>6000</v>
      </c>
      <c r="D13928" s="7">
        <v>0.1</v>
      </c>
    </row>
    <row r="13929" spans="1:4" x14ac:dyDescent="0.25">
      <c r="A13929" t="str">
        <f>HYPERLINK("https://www.773grp.com/globalSearch/NZH9V1B115/page-1", "NZH9V1B115")</f>
        <v>NZH9V1B115</v>
      </c>
      <c r="B13929" s="3" t="str">
        <f>HYPERLINK("https://www.773grp.com/manufacturer/nxp-semiconductor?pageNo=32", "NXP Semiconductors")</f>
        <v>NXP Semiconductors</v>
      </c>
      <c r="C13929" s="6">
        <v>8000</v>
      </c>
      <c r="D13929" s="7">
        <v>0.1</v>
      </c>
    </row>
    <row r="13930" spans="1:4" x14ac:dyDescent="0.25">
      <c r="A13930" t="str">
        <f>HYPERLINK("https://www.773grp.com/globalSearch/PDTA115EE115/page-1", "PDTA115EE115")</f>
        <v>PDTA115EE115</v>
      </c>
      <c r="B13930" s="3" t="str">
        <f>HYPERLINK("https://www.773grp.com/manufacturer/nxp-semiconductor?pageNo=33", "NXP Semiconductors")</f>
        <v>NXP Semiconductors</v>
      </c>
      <c r="C13930" s="6">
        <v>3000</v>
      </c>
      <c r="D13930" s="7">
        <v>0.1</v>
      </c>
    </row>
    <row r="13931" spans="1:4" x14ac:dyDescent="0.25">
      <c r="A13931" t="str">
        <f>HYPERLINK("https://www.773grp.com/globalSearch/PDTA115EU115/page-1", "PDTA115EU115")</f>
        <v>PDTA115EU115</v>
      </c>
      <c r="B13931" s="3" t="str">
        <f>HYPERLINK("https://www.773grp.com/manufacturer/nxp-semiconductor?pageNo=34", "NXP Semiconductors")</f>
        <v>NXP Semiconductors</v>
      </c>
      <c r="C13931" s="6">
        <v>3000</v>
      </c>
      <c r="D13931" s="7">
        <v>0.1</v>
      </c>
    </row>
    <row r="13932" spans="1:4" x14ac:dyDescent="0.25">
      <c r="A13932" t="str">
        <f>HYPERLINK("https://www.773grp.com/globalSearch/PDTA115TE115/page-1", "PDTA115TE115")</f>
        <v>PDTA115TE115</v>
      </c>
      <c r="B13932" s="3" t="str">
        <f>HYPERLINK("https://www.773grp.com/manufacturer/nxp-semiconductor?pageNo=35", "NXP Semiconductors")</f>
        <v>NXP Semiconductors</v>
      </c>
      <c r="C13932" s="6">
        <v>8395</v>
      </c>
      <c r="D13932" s="7">
        <v>0.1</v>
      </c>
    </row>
    <row r="13933" spans="1:4" x14ac:dyDescent="0.25">
      <c r="A13933" t="str">
        <f>HYPERLINK("https://www.773grp.com/globalSearch/PDTA123EE115/page-1", "PDTA123EE115")</f>
        <v>PDTA123EE115</v>
      </c>
      <c r="B13933" s="3" t="str">
        <f>HYPERLINK("https://www.773grp.com/manufacturer/nxp-semiconductor?pageNo=36", "NXP Semiconductors")</f>
        <v>NXP Semiconductors</v>
      </c>
      <c r="C13933" s="6">
        <v>24000</v>
      </c>
      <c r="D13933" s="7">
        <v>0.1</v>
      </c>
    </row>
    <row r="13934" spans="1:4" x14ac:dyDescent="0.25">
      <c r="A13934" t="str">
        <f>HYPERLINK("https://www.773grp.com/globalSearch/PDTC115TE115/page-1", "PDTC115TE115")</f>
        <v>PDTC115TE115</v>
      </c>
      <c r="B13934" s="3" t="str">
        <f>HYPERLINK("https://www.773grp.com/manufacturer/nxp-semiconductor?pageNo=37", "NXP Semiconductors")</f>
        <v>NXP Semiconductors</v>
      </c>
      <c r="C13934" s="6">
        <v>6200</v>
      </c>
      <c r="D13934" s="7">
        <v>0.1</v>
      </c>
    </row>
    <row r="13935" spans="1:4" x14ac:dyDescent="0.25">
      <c r="A13935" t="str">
        <f>HYPERLINK("https://www.773grp.com/globalSearch/PDTC115TT215/page-1", "PDTC115TT215")</f>
        <v>PDTC115TT215</v>
      </c>
      <c r="B13935" s="3" t="str">
        <f>HYPERLINK("https://www.773grp.com/manufacturer/nxp-semiconductor?pageNo=38", "NXP Semiconductors")</f>
        <v>NXP Semiconductors</v>
      </c>
      <c r="C13935" s="6">
        <v>180000</v>
      </c>
      <c r="D13935" s="7">
        <v>0.1</v>
      </c>
    </row>
    <row r="13936" spans="1:4" x14ac:dyDescent="0.25">
      <c r="A13936" t="str">
        <f>HYPERLINK("https://www.773grp.com/globalSearch/PDTC115TU115/page-1", "PDTC115TU115")</f>
        <v>PDTC115TU115</v>
      </c>
      <c r="B13936" s="3" t="str">
        <f>HYPERLINK("https://www.773grp.com/manufacturer/nxp-semiconductor?pageNo=39", "NXP Semiconductors")</f>
        <v>NXP Semiconductors</v>
      </c>
      <c r="C13936" s="6">
        <v>1435</v>
      </c>
      <c r="D13936" s="7">
        <v>0.1</v>
      </c>
    </row>
    <row r="13937" spans="1:4" x14ac:dyDescent="0.25">
      <c r="A13937" t="str">
        <f>HYPERLINK("https://www.773grp.com/globalSearch/PDTC123JT215/page-1", "PDTC123JT215")</f>
        <v>PDTC123JT215</v>
      </c>
      <c r="B13937" s="3" t="str">
        <f>HYPERLINK("https://www.773grp.com/manufacturer/nxp-semiconductor?pageNo=40", "NXP Semiconductors")</f>
        <v>NXP Semiconductors</v>
      </c>
      <c r="C13937" s="6">
        <v>636000</v>
      </c>
      <c r="D13937" s="7">
        <v>0.1</v>
      </c>
    </row>
    <row r="13938" spans="1:4" x14ac:dyDescent="0.25">
      <c r="A13938" t="str">
        <f>HYPERLINK("https://www.773grp.com/globalSearch/PDTC123JT235/page-1", "PDTC123JT235")</f>
        <v>PDTC123JT235</v>
      </c>
      <c r="B13938" s="3" t="str">
        <f>HYPERLINK("https://www.773grp.com/manufacturer/nxp-semiconductor?pageNo=41", "NXP Semiconductors")</f>
        <v>NXP Semiconductors</v>
      </c>
      <c r="C13938" s="6">
        <v>101338</v>
      </c>
      <c r="D13938" s="7">
        <v>0.1</v>
      </c>
    </row>
    <row r="13939" spans="1:4" x14ac:dyDescent="0.25">
      <c r="A13939" t="str">
        <f>HYPERLINK("https://www.773grp.com/globalSearch/PDTC123TT215/page-1", "PDTC123TT215")</f>
        <v>PDTC123TT215</v>
      </c>
      <c r="B13939" s="3" t="str">
        <f>HYPERLINK("https://www.773grp.com/manufacturer/nxp-semiconductor?pageNo=42", "NXP Semiconductors")</f>
        <v>NXP Semiconductors</v>
      </c>
      <c r="C13939" s="6">
        <v>350</v>
      </c>
      <c r="D13939" s="7">
        <v>0.1</v>
      </c>
    </row>
    <row r="13940" spans="1:4" x14ac:dyDescent="0.25">
      <c r="A13940" t="str">
        <f>HYPERLINK("https://www.773grp.com/globalSearch/PDTC123TU115/page-1", "PDTC123TU115")</f>
        <v>PDTC123TU115</v>
      </c>
      <c r="B13940" s="3" t="str">
        <f>HYPERLINK("https://www.773grp.com/manufacturer/nxp-semiconductor?pageNo=43", "NXP Semiconductors")</f>
        <v>NXP Semiconductors</v>
      </c>
      <c r="C13940" s="6">
        <v>8000</v>
      </c>
      <c r="D13940" s="7">
        <v>0.1</v>
      </c>
    </row>
    <row r="13941" spans="1:4" x14ac:dyDescent="0.25">
      <c r="A13941" t="str">
        <f>HYPERLINK("https://www.773grp.com/globalSearch/PDTC143ZT235/page-1", "PDTC143ZT235")</f>
        <v>PDTC143ZT235</v>
      </c>
      <c r="B13941" s="3" t="str">
        <f>HYPERLINK("https://www.773grp.com/manufacturer/nxp-semiconductor?pageNo=44", "NXP Semiconductors")</f>
        <v>NXP Semiconductors</v>
      </c>
      <c r="C13941" s="6">
        <v>90000</v>
      </c>
      <c r="D13941" s="7">
        <v>0.1</v>
      </c>
    </row>
    <row r="13942" spans="1:4" x14ac:dyDescent="0.25">
      <c r="A13942" t="str">
        <f>HYPERLINK("https://www.773grp.com/globalSearch/PMBS3904215/page-1", "PMBS3904215")</f>
        <v>PMBS3904215</v>
      </c>
      <c r="B13942" s="3" t="str">
        <f>HYPERLINK("https://www.773grp.com/manufacturer/nxp-semiconductor?pageNo=45", "NXP Semiconductors")</f>
        <v>NXP Semiconductors</v>
      </c>
      <c r="C13942" s="6">
        <v>203415</v>
      </c>
      <c r="D13942" s="7">
        <v>0.1</v>
      </c>
    </row>
    <row r="13943" spans="1:4" x14ac:dyDescent="0.25">
      <c r="A13943" t="str">
        <f>HYPERLINK("https://www.773grp.com/globalSearch/PMBS3904235/page-1", "PMBS3904235")</f>
        <v>PMBS3904235</v>
      </c>
      <c r="B13943" s="3" t="str">
        <f>HYPERLINK("https://www.773grp.com/manufacturer/nxp-semiconductor?pageNo=46", "NXP Semiconductors")</f>
        <v>NXP Semiconductors</v>
      </c>
      <c r="C13943" s="6">
        <v>190000</v>
      </c>
      <c r="D13943" s="7">
        <v>0.1</v>
      </c>
    </row>
    <row r="13944" spans="1:4" x14ac:dyDescent="0.25">
      <c r="A13944" t="str">
        <f>HYPERLINK("https://www.773grp.com/globalSearch/PMBS3906215/page-1", "PMBS3906215")</f>
        <v>PMBS3906215</v>
      </c>
      <c r="B13944" s="3" t="str">
        <f>HYPERLINK("https://www.773grp.com/manufacturer/nxp-semiconductor?pageNo=47", "NXP Semiconductors")</f>
        <v>NXP Semiconductors</v>
      </c>
      <c r="C13944" s="6">
        <v>230788</v>
      </c>
      <c r="D13944" s="7">
        <v>0.1</v>
      </c>
    </row>
    <row r="13945" spans="1:4" x14ac:dyDescent="0.25">
      <c r="A13945" t="str">
        <f>HYPERLINK("https://www.773grp.com/globalSearch/PMBT2222215/page-1", "PMBT2222215")</f>
        <v>PMBT2222215</v>
      </c>
      <c r="B13945" s="3" t="str">
        <f>HYPERLINK("https://www.773grp.com/manufacturer/nxp-semiconductor?pageNo=48", "NXP Semiconductors")</f>
        <v>NXP Semiconductors</v>
      </c>
      <c r="C13945" s="6">
        <v>159000</v>
      </c>
      <c r="D13945" s="7">
        <v>0.1</v>
      </c>
    </row>
    <row r="13946" spans="1:4" x14ac:dyDescent="0.25">
      <c r="A13946" t="str">
        <f>HYPERLINK("https://www.773grp.com/globalSearch/PMBT2222A235/page-1", "PMBT2222A235")</f>
        <v>PMBT2222A235</v>
      </c>
      <c r="B13946" s="3" t="str">
        <f>HYPERLINK("https://www.773grp.com/manufacturer/nxp-semiconductor?pageNo=1", "NXP Semiconductors")</f>
        <v>NXP Semiconductors</v>
      </c>
      <c r="C13946" s="6">
        <v>20000</v>
      </c>
      <c r="D13946" s="7">
        <v>0.1</v>
      </c>
    </row>
    <row r="13947" spans="1:4" x14ac:dyDescent="0.25">
      <c r="A13947" t="str">
        <f>HYPERLINK("https://www.773grp.com/globalSearch/PMBT2907215/page-1", "PMBT2907215")</f>
        <v>PMBT2907215</v>
      </c>
      <c r="B13947" s="3" t="str">
        <f>HYPERLINK("https://www.773grp.com/manufacturer/nxp-semiconductor?pageNo=2", "NXP Semiconductors")</f>
        <v>NXP Semiconductors</v>
      </c>
      <c r="C13947" s="6">
        <v>30000</v>
      </c>
      <c r="D13947" s="7">
        <v>0.1</v>
      </c>
    </row>
    <row r="13948" spans="1:4" x14ac:dyDescent="0.25">
      <c r="A13948" t="str">
        <f>HYPERLINK("https://www.773grp.com/globalSearch/PMBT2907A215/page-1", "PMBT2907A215")</f>
        <v>PMBT2907A215</v>
      </c>
      <c r="B13948" s="3" t="str">
        <f>HYPERLINK("https://www.773grp.com/manufacturer/nxp-semiconductor?pageNo=3", "NXP Semiconductors")</f>
        <v>NXP Semiconductors</v>
      </c>
      <c r="C13948" s="6">
        <v>3000</v>
      </c>
      <c r="D13948" s="7">
        <v>0.1</v>
      </c>
    </row>
    <row r="13949" spans="1:4" x14ac:dyDescent="0.25">
      <c r="A13949" t="str">
        <f>HYPERLINK("https://www.773grp.com/globalSearch/PMBT2907A235/page-1", "PMBT2907A235")</f>
        <v>PMBT2907A235</v>
      </c>
      <c r="B13949" s="3" t="str">
        <f>HYPERLINK("https://www.773grp.com/manufacturer/nxp-semiconductor?pageNo=4", "NXP Semiconductors")</f>
        <v>NXP Semiconductors</v>
      </c>
      <c r="C13949" s="6">
        <v>30000</v>
      </c>
      <c r="D13949" s="7">
        <v>0.1</v>
      </c>
    </row>
    <row r="13950" spans="1:4" x14ac:dyDescent="0.25">
      <c r="A13950" t="str">
        <f>HYPERLINK("https://www.773grp.com/globalSearch/PMBT3904215/page-1", "PMBT3904215")</f>
        <v>PMBT3904215</v>
      </c>
      <c r="B13950" s="3" t="str">
        <f>HYPERLINK("https://www.773grp.com/manufacturer/nxp-semiconductor?pageNo=5", "NXP Semiconductors")</f>
        <v>NXP Semiconductors</v>
      </c>
      <c r="C13950" s="6">
        <v>249373</v>
      </c>
      <c r="D13950" s="7">
        <v>0.1</v>
      </c>
    </row>
    <row r="13951" spans="1:4" x14ac:dyDescent="0.25">
      <c r="A13951" t="str">
        <f>HYPERLINK("https://www.773grp.com/globalSearch/PMBT3904M315/page-1", "PMBT3904M315")</f>
        <v>PMBT3904M315</v>
      </c>
      <c r="B13951" s="3" t="str">
        <f>HYPERLINK("https://www.773grp.com/manufacturer/nxp-semiconductor?pageNo=6", "NXP Semiconductors")</f>
        <v>NXP Semiconductors</v>
      </c>
      <c r="C13951" s="6">
        <v>40000</v>
      </c>
      <c r="D13951" s="7">
        <v>0.1</v>
      </c>
    </row>
    <row r="13952" spans="1:4" x14ac:dyDescent="0.25">
      <c r="A13952" t="str">
        <f>HYPERLINK("https://www.773grp.com/globalSearch/PMBT3906215/page-1", "PMBT3906215")</f>
        <v>PMBT3906215</v>
      </c>
      <c r="B13952" s="3" t="str">
        <f>HYPERLINK("https://www.773grp.com/manufacturer/nxp-semiconductor?pageNo=7", "NXP Semiconductors")</f>
        <v>NXP Semiconductors</v>
      </c>
      <c r="C13952" s="6">
        <v>5118000</v>
      </c>
      <c r="D13952" s="7">
        <v>0.1</v>
      </c>
    </row>
    <row r="13953" spans="1:4" x14ac:dyDescent="0.25">
      <c r="A13953" t="str">
        <f>HYPERLINK("https://www.773grp.com/globalSearch/PMBT3906235/page-1", "PMBT3906235")</f>
        <v>PMBT3906235</v>
      </c>
      <c r="B13953" s="3" t="str">
        <f>HYPERLINK("https://www.773grp.com/manufacturer/nxp-semiconductor?pageNo=8", "NXP Semiconductors")</f>
        <v>NXP Semiconductors</v>
      </c>
      <c r="C13953" s="6">
        <v>70000</v>
      </c>
      <c r="D13953" s="7">
        <v>0.1</v>
      </c>
    </row>
    <row r="13954" spans="1:4" x14ac:dyDescent="0.25">
      <c r="A13954" t="str">
        <f>HYPERLINK("https://www.773grp.com/globalSearch/PMBT3906VS115/page-1", "PMBT3906VS115")</f>
        <v>PMBT3906VS115</v>
      </c>
      <c r="B13954" s="3" t="str">
        <f>HYPERLINK("https://www.773grp.com/manufacturer/nxp-semiconductor?pageNo=9", "NXP Semiconductors")</f>
        <v>NXP Semiconductors</v>
      </c>
      <c r="C13954" s="6">
        <v>20000</v>
      </c>
      <c r="D13954" s="7">
        <v>0.1</v>
      </c>
    </row>
    <row r="13955" spans="1:4" x14ac:dyDescent="0.25">
      <c r="A13955" t="str">
        <f>HYPERLINK("https://www.773grp.com/globalSearch/PMBT3946VPN115/page-1", "PMBT3946VPN115")</f>
        <v>PMBT3946VPN115</v>
      </c>
      <c r="B13955" s="3" t="str">
        <f>HYPERLINK("https://www.773grp.com/manufacturer/nxp-semiconductor?pageNo=10", "NXP Semiconductors")</f>
        <v>NXP Semiconductors</v>
      </c>
      <c r="C13955" s="6">
        <v>8000</v>
      </c>
      <c r="D13955" s="7">
        <v>0.1</v>
      </c>
    </row>
    <row r="13956" spans="1:4" x14ac:dyDescent="0.25">
      <c r="A13956" t="str">
        <f>HYPERLINK("https://www.773grp.com/globalSearch/PMLL4148L115/page-1", "PMLL4148L115")</f>
        <v>PMLL4148L115</v>
      </c>
      <c r="B13956" s="3" t="str">
        <f>HYPERLINK("https://www.773grp.com/manufacturer/nxp-semiconductor?pageNo=11", "NXP Semiconductors")</f>
        <v>NXP Semiconductors</v>
      </c>
      <c r="C13956" s="6">
        <v>13615000</v>
      </c>
      <c r="D13956" s="7">
        <v>0.1</v>
      </c>
    </row>
    <row r="13957" spans="1:4" x14ac:dyDescent="0.25">
      <c r="A13957" t="str">
        <f>HYPERLINK("https://www.773grp.com/globalSearch/PMLL4148L135/page-1", "PMLL4148L135")</f>
        <v>PMLL4148L135</v>
      </c>
      <c r="B13957" s="3" t="str">
        <f>HYPERLINK("https://www.773grp.com/manufacturer/nxp-semiconductor?pageNo=12", "NXP Semiconductors")</f>
        <v>NXP Semiconductors</v>
      </c>
      <c r="C13957" s="6">
        <v>60000</v>
      </c>
      <c r="D13957" s="7">
        <v>0.1</v>
      </c>
    </row>
    <row r="13958" spans="1:4" x14ac:dyDescent="0.25">
      <c r="A13958" t="str">
        <f>HYPERLINK("https://www.773grp.com/globalSearch/PMLL4153115/page-1", "PMLL4153115")</f>
        <v>PMLL4153115</v>
      </c>
      <c r="B13958" s="3" t="str">
        <f>HYPERLINK("https://www.773grp.com/manufacturer/nxp-semiconductor?pageNo=13", "NXP Semiconductors")</f>
        <v>NXP Semiconductors</v>
      </c>
      <c r="C13958" s="6">
        <v>146838</v>
      </c>
      <c r="D13958" s="7">
        <v>0.1</v>
      </c>
    </row>
    <row r="13959" spans="1:4" x14ac:dyDescent="0.25">
      <c r="A13959" t="str">
        <f>HYPERLINK("https://www.773grp.com/globalSearch/PMLL4448115/page-1", "PMLL4448115")</f>
        <v>PMLL4448115</v>
      </c>
      <c r="B13959" s="3" t="str">
        <f>HYPERLINK("https://www.773grp.com/manufacturer/nxp-semiconductor?pageNo=14", "NXP Semiconductors")</f>
        <v>NXP Semiconductors</v>
      </c>
      <c r="C13959" s="6">
        <v>1190</v>
      </c>
      <c r="D13959" s="7">
        <v>0.1</v>
      </c>
    </row>
    <row r="13960" spans="1:4" x14ac:dyDescent="0.25">
      <c r="A13960" t="str">
        <f>HYPERLINK("https://www.773grp.com/globalSearch/PMSS3904115/page-1", "PMSS3904115")</f>
        <v>PMSS3904115</v>
      </c>
      <c r="B13960" s="3" t="str">
        <f>HYPERLINK("https://www.773grp.com/manufacturer/nxp-semiconductor?pageNo=15", "NXP Semiconductors")</f>
        <v>NXP Semiconductors</v>
      </c>
      <c r="C13960" s="6">
        <v>38700</v>
      </c>
      <c r="D13960" s="7">
        <v>0.1</v>
      </c>
    </row>
    <row r="13961" spans="1:4" x14ac:dyDescent="0.25">
      <c r="A13961" t="str">
        <f>HYPERLINK("https://www.773grp.com/globalSearch/PMST2222115/page-1", "PMST2222115")</f>
        <v>PMST2222115</v>
      </c>
      <c r="B13961" s="3" t="str">
        <f>HYPERLINK("https://www.773grp.com/manufacturer/nxp-semiconductor?pageNo=16", "NXP Semiconductors")</f>
        <v>NXP Semiconductors</v>
      </c>
      <c r="C13961" s="6">
        <v>12000</v>
      </c>
      <c r="D13961" s="7">
        <v>0.1</v>
      </c>
    </row>
    <row r="13962" spans="1:4" x14ac:dyDescent="0.25">
      <c r="A13962" t="str">
        <f>HYPERLINK("https://www.773grp.com/globalSearch/PMST2222A115/page-1", "PMST2222A115")</f>
        <v>PMST2222A115</v>
      </c>
      <c r="B13962" s="3" t="str">
        <f>HYPERLINK("https://www.773grp.com/manufacturer/nxp-semiconductor?pageNo=17", "NXP Semiconductors")</f>
        <v>NXP Semiconductors</v>
      </c>
      <c r="C13962" s="6">
        <v>2598000</v>
      </c>
      <c r="D13962" s="7">
        <v>0.1</v>
      </c>
    </row>
    <row r="13963" spans="1:4" x14ac:dyDescent="0.25">
      <c r="A13963" t="str">
        <f>HYPERLINK("https://www.773grp.com/globalSearch/PMST2907A115/page-1", "PMST2907A115")</f>
        <v>PMST2907A115</v>
      </c>
      <c r="B13963" s="3" t="str">
        <f>HYPERLINK("https://www.773grp.com/manufacturer/nxp-semiconductor?pageNo=18", "NXP Semiconductors")</f>
        <v>NXP Semiconductors</v>
      </c>
      <c r="C13963" s="6">
        <v>16500</v>
      </c>
      <c r="D13963" s="7">
        <v>0.1</v>
      </c>
    </row>
    <row r="13964" spans="1:4" x14ac:dyDescent="0.25">
      <c r="A13964" t="str">
        <f>HYPERLINK("https://www.773grp.com/globalSearch/PMST3904135/page-1", "PMST3904135")</f>
        <v>PMST3904135</v>
      </c>
      <c r="B13964" s="3" t="str">
        <f>HYPERLINK("https://www.773grp.com/manufacturer/nxp-semiconductor?pageNo=19", "NXP Semiconductors")</f>
        <v>NXP Semiconductors</v>
      </c>
      <c r="C13964" s="6">
        <v>144000</v>
      </c>
      <c r="D13964" s="7">
        <v>0.1</v>
      </c>
    </row>
    <row r="13965" spans="1:4" x14ac:dyDescent="0.25">
      <c r="A13965" t="str">
        <f>HYPERLINK("https://www.773grp.com/globalSearch/PMST3906115/page-1", "PMST3906115")</f>
        <v>PMST3906115</v>
      </c>
      <c r="B13965" s="3" t="str">
        <f>HYPERLINK("https://www.773grp.com/manufacturer/nxp-semiconductor?pageNo=20", "NXP Semiconductors")</f>
        <v>NXP Semiconductors</v>
      </c>
      <c r="C13965" s="6">
        <v>30079</v>
      </c>
      <c r="D13965" s="7">
        <v>0.1</v>
      </c>
    </row>
    <row r="13966" spans="1:4" x14ac:dyDescent="0.25">
      <c r="A13966" t="str">
        <f>HYPERLINK("https://www.773grp.com/globalSearch/PZU22BA115/page-1", "PZU22BA115")</f>
        <v>PZU22BA115</v>
      </c>
      <c r="B13966" s="3" t="str">
        <f>HYPERLINK("https://www.773grp.com/manufacturer/nxp-semiconductor?pageNo=21", "NXP Semiconductors")</f>
        <v>NXP Semiconductors</v>
      </c>
      <c r="C13966" s="6">
        <v>14677</v>
      </c>
      <c r="D13966" s="7">
        <v>0.1</v>
      </c>
    </row>
    <row r="13967" spans="1:4" x14ac:dyDescent="0.25">
      <c r="A13967" t="str">
        <f>HYPERLINK("https://www.773grp.com/globalSearch/PZU24BA115/page-1", "PZU24BA115")</f>
        <v>PZU24BA115</v>
      </c>
      <c r="B13967" s="3" t="str">
        <f>HYPERLINK("https://www.773grp.com/manufacturer/nxp-semiconductor?pageNo=22", "NXP Semiconductors")</f>
        <v>NXP Semiconductors</v>
      </c>
      <c r="C13967" s="6">
        <v>12000</v>
      </c>
      <c r="D13967" s="7">
        <v>0.1</v>
      </c>
    </row>
    <row r="13968" spans="1:4" x14ac:dyDescent="0.25">
      <c r="A13968" t="str">
        <f>HYPERLINK("https://www.773grp.com/globalSearch/PZU3.3BA115/page-1", "PZU3.3BA115")</f>
        <v>PZU3.3BA115</v>
      </c>
      <c r="B13968" s="3" t="str">
        <f>HYPERLINK("https://www.773grp.com/manufacturer/nxp-semiconductor?pageNo=23", "NXP Semiconductors")</f>
        <v>NXP Semiconductors</v>
      </c>
      <c r="C13968" s="6">
        <v>2500</v>
      </c>
      <c r="D13968" s="7">
        <v>0.1</v>
      </c>
    </row>
    <row r="13969" spans="1:4" x14ac:dyDescent="0.25">
      <c r="A13969" t="str">
        <f>HYPERLINK("https://www.773grp.com/globalSearch/PZU3.6BA115/page-1", "PZU3.6BA115")</f>
        <v>PZU3.6BA115</v>
      </c>
      <c r="B13969" s="3" t="str">
        <f>HYPERLINK("https://www.773grp.com/manufacturer/nxp-semiconductor?pageNo=24", "NXP Semiconductors")</f>
        <v>NXP Semiconductors</v>
      </c>
      <c r="C13969" s="6">
        <v>12000</v>
      </c>
      <c r="D13969" s="7">
        <v>0.1</v>
      </c>
    </row>
    <row r="13970" spans="1:4" x14ac:dyDescent="0.25">
      <c r="A13970" t="str">
        <f>HYPERLINK("https://www.773grp.com/globalSearch/PZU33BA115/page-1", "PZU33BA115")</f>
        <v>PZU33BA115</v>
      </c>
      <c r="B13970" s="3" t="str">
        <f>HYPERLINK("https://www.773grp.com/manufacturer/nxp-semiconductor?pageNo=25", "NXP Semiconductors")</f>
        <v>NXP Semiconductors</v>
      </c>
      <c r="C13970" s="6">
        <v>3000</v>
      </c>
      <c r="D13970" s="7">
        <v>0.1</v>
      </c>
    </row>
    <row r="13971" spans="1:4" x14ac:dyDescent="0.25">
      <c r="A13971" t="str">
        <f>HYPERLINK("https://www.773grp.com/globalSearch/PZU7.5BA115/page-1", "PZU7.5BA115")</f>
        <v>PZU7.5BA115</v>
      </c>
      <c r="B13971" s="3" t="str">
        <f>HYPERLINK("https://www.773grp.com/manufacturer/nxp-semiconductor?pageNo=26", "NXP Semiconductors")</f>
        <v>NXP Semiconductors</v>
      </c>
      <c r="C13971" s="6">
        <v>9000</v>
      </c>
      <c r="D13971" s="7">
        <v>0.1</v>
      </c>
    </row>
    <row r="13972" spans="1:4" x14ac:dyDescent="0.25">
      <c r="A13972" t="str">
        <f>HYPERLINK("https://www.773grp.com/globalSearch/RB520S30115/page-1", "RB520S30115")</f>
        <v>RB520S30115</v>
      </c>
      <c r="B13972" s="3" t="str">
        <f>HYPERLINK("https://www.773grp.com/manufacturer/nxp-semiconductor?pageNo=27", "NXP Semiconductors")</f>
        <v>NXP Semiconductors</v>
      </c>
      <c r="C13972" s="6">
        <v>54000</v>
      </c>
      <c r="D13972" s="7">
        <v>0.1</v>
      </c>
    </row>
    <row r="13973" spans="1:4" x14ac:dyDescent="0.25">
      <c r="A13973" t="str">
        <f>HYPERLINK("https://www.773grp.com/globalSearch/RB521S30115/page-1", "RB521S30115")</f>
        <v>RB521S30115</v>
      </c>
      <c r="B13973" s="3" t="str">
        <f>HYPERLINK("https://www.773grp.com/manufacturer/nxp-semiconductor?pageNo=28", "NXP Semiconductors")</f>
        <v>NXP Semiconductors</v>
      </c>
      <c r="C13973" s="6">
        <v>270000</v>
      </c>
      <c r="D13973" s="7">
        <v>0.1</v>
      </c>
    </row>
    <row r="13974" spans="1:4" x14ac:dyDescent="0.25">
      <c r="A13974" t="str">
        <f>HYPERLINK("https://www.773grp.com/globalSearch/RB751CS40315/page-1", "RB751CS40315")</f>
        <v>RB751CS40315</v>
      </c>
      <c r="B13974" s="3" t="str">
        <f>HYPERLINK("https://www.773grp.com/manufacturer/nxp-semiconductor?pageNo=29", "NXP Semiconductors")</f>
        <v>NXP Semiconductors</v>
      </c>
      <c r="C13974" s="6">
        <v>41150</v>
      </c>
      <c r="D13974" s="7">
        <v>0.1</v>
      </c>
    </row>
    <row r="13975" spans="1:4" x14ac:dyDescent="0.25">
      <c r="A13975" t="str">
        <f>HYPERLINK("https://www.773grp.com/globalSearch/1N4728A113/page-1", "1N4728A113")</f>
        <v>1N4728A113</v>
      </c>
      <c r="B13975" s="3" t="str">
        <f>HYPERLINK("https://www.773grp.com/manufacturer/nxp-semiconductor?pageNo=30", "NXP Semiconductors")</f>
        <v>NXP Semiconductors</v>
      </c>
      <c r="C13975" s="6">
        <v>108623</v>
      </c>
      <c r="D13975" s="7">
        <v>0.15</v>
      </c>
    </row>
    <row r="13976" spans="1:4" x14ac:dyDescent="0.25">
      <c r="A13976" t="str">
        <f>HYPERLINK("https://www.773grp.com/globalSearch/1N4728A133/page-1", "1N4728A133")</f>
        <v>1N4728A133</v>
      </c>
      <c r="B13976" s="3" t="str">
        <f>HYPERLINK("https://www.773grp.com/manufacturer/nxp-semiconductor?pageNo=31", "NXP Semiconductors")</f>
        <v>NXP Semiconductors</v>
      </c>
      <c r="C13976" s="6">
        <v>30150</v>
      </c>
      <c r="D13976" s="7">
        <v>0.15</v>
      </c>
    </row>
    <row r="13977" spans="1:4" x14ac:dyDescent="0.25">
      <c r="A13977" t="str">
        <f>HYPERLINK("https://www.773grp.com/globalSearch/1N4729A113/page-1", "1N4729A113")</f>
        <v>1N4729A113</v>
      </c>
      <c r="B13977" s="3" t="str">
        <f>HYPERLINK("https://www.773grp.com/manufacturer/nxp-semiconductor?pageNo=32", "NXP Semiconductors")</f>
        <v>NXP Semiconductors</v>
      </c>
      <c r="C13977" s="6">
        <v>90000</v>
      </c>
      <c r="D13977" s="7">
        <v>0.15</v>
      </c>
    </row>
    <row r="13978" spans="1:4" x14ac:dyDescent="0.25">
      <c r="A13978" t="str">
        <f>HYPERLINK("https://www.773grp.com/globalSearch/1N4729A133/page-1", "1N4729A133")</f>
        <v>1N4729A133</v>
      </c>
      <c r="B13978" s="3" t="str">
        <f>HYPERLINK("https://www.773grp.com/manufacturer/nxp-semiconductor?pageNo=33", "NXP Semiconductors")</f>
        <v>NXP Semiconductors</v>
      </c>
      <c r="C13978" s="6">
        <v>30000</v>
      </c>
      <c r="D13978" s="7">
        <v>0.15</v>
      </c>
    </row>
    <row r="13979" spans="1:4" x14ac:dyDescent="0.25">
      <c r="A13979" t="str">
        <f>HYPERLINK("https://www.773grp.com/globalSearch/1N4730A113/page-1", "1N4730A113")</f>
        <v>1N4730A113</v>
      </c>
      <c r="B13979" s="3" t="str">
        <f>HYPERLINK("https://www.773grp.com/manufacturer/nxp-semiconductor?pageNo=34", "NXP Semiconductors")</f>
        <v>NXP Semiconductors</v>
      </c>
      <c r="C13979" s="6">
        <v>91773</v>
      </c>
      <c r="D13979" s="7">
        <v>0.15</v>
      </c>
    </row>
    <row r="13980" spans="1:4" x14ac:dyDescent="0.25">
      <c r="A13980" t="str">
        <f>HYPERLINK("https://www.773grp.com/globalSearch/1N4730A133/page-1", "1N4730A133")</f>
        <v>1N4730A133</v>
      </c>
      <c r="B13980" s="3" t="str">
        <f>HYPERLINK("https://www.773grp.com/manufacturer/nxp-semiconductor?pageNo=35", "NXP Semiconductors")</f>
        <v>NXP Semiconductors</v>
      </c>
      <c r="C13980" s="6">
        <v>35150</v>
      </c>
      <c r="D13980" s="7">
        <v>0.15</v>
      </c>
    </row>
    <row r="13981" spans="1:4" x14ac:dyDescent="0.25">
      <c r="A13981" t="str">
        <f>HYPERLINK("https://www.773grp.com/globalSearch/1N4731A113/page-1", "1N4731A113")</f>
        <v>1N4731A113</v>
      </c>
      <c r="B13981" s="3" t="str">
        <f>HYPERLINK("https://www.773grp.com/manufacturer/nxp-semiconductor?pageNo=36", "NXP Semiconductors")</f>
        <v>NXP Semiconductors</v>
      </c>
      <c r="C13981" s="6">
        <v>113720</v>
      </c>
      <c r="D13981" s="7">
        <v>0.15</v>
      </c>
    </row>
    <row r="13982" spans="1:4" x14ac:dyDescent="0.25">
      <c r="A13982" t="str">
        <f>HYPERLINK("https://www.773grp.com/globalSearch/1N4731A133/page-1", "1N4731A133")</f>
        <v>1N4731A133</v>
      </c>
      <c r="B13982" s="3" t="str">
        <f>HYPERLINK("https://www.773grp.com/manufacturer/nxp-semiconductor?pageNo=37", "NXP Semiconductors")</f>
        <v>NXP Semiconductors</v>
      </c>
      <c r="C13982" s="6">
        <v>35150</v>
      </c>
      <c r="D13982" s="7">
        <v>0.15</v>
      </c>
    </row>
    <row r="13983" spans="1:4" x14ac:dyDescent="0.25">
      <c r="A13983" t="str">
        <f>HYPERLINK("https://www.773grp.com/globalSearch/1N4732A113/page-1", "1N4732A113")</f>
        <v>1N4732A113</v>
      </c>
      <c r="B13983" s="3" t="str">
        <f>HYPERLINK("https://www.773grp.com/manufacturer/nxp-semiconductor?pageNo=38", "NXP Semiconductors")</f>
        <v>NXP Semiconductors</v>
      </c>
      <c r="C13983" s="6">
        <v>50000</v>
      </c>
      <c r="D13983" s="7">
        <v>0.15</v>
      </c>
    </row>
    <row r="13984" spans="1:4" x14ac:dyDescent="0.25">
      <c r="A13984" t="str">
        <f>HYPERLINK("https://www.773grp.com/globalSearch/1N4732A133/page-1", "1N4732A133")</f>
        <v>1N4732A133</v>
      </c>
      <c r="B13984" s="3" t="str">
        <f>HYPERLINK("https://www.773grp.com/manufacturer/nxp-semiconductor?pageNo=39", "NXP Semiconductors")</f>
        <v>NXP Semiconductors</v>
      </c>
      <c r="C13984" s="6">
        <v>30150</v>
      </c>
      <c r="D13984" s="7">
        <v>0.15</v>
      </c>
    </row>
    <row r="13985" spans="1:4" x14ac:dyDescent="0.25">
      <c r="A13985" t="str">
        <f>HYPERLINK("https://www.773grp.com/globalSearch/1N4733A113/page-1", "1N4733A113")</f>
        <v>1N4733A113</v>
      </c>
      <c r="B13985" s="3" t="str">
        <f>HYPERLINK("https://www.773grp.com/manufacturer/nxp-semiconductor?pageNo=40", "NXP Semiconductors")</f>
        <v>NXP Semiconductors</v>
      </c>
      <c r="C13985" s="6">
        <v>99850</v>
      </c>
      <c r="D13985" s="7">
        <v>0.15</v>
      </c>
    </row>
    <row r="13986" spans="1:4" x14ac:dyDescent="0.25">
      <c r="A13986" t="str">
        <f>HYPERLINK("https://www.773grp.com/globalSearch/1N4734A133/page-1", "1N4734A133")</f>
        <v>1N4734A133</v>
      </c>
      <c r="B13986" s="3" t="str">
        <f>HYPERLINK("https://www.773grp.com/manufacturer/nxp-semiconductor?pageNo=41", "NXP Semiconductors")</f>
        <v>NXP Semiconductors</v>
      </c>
      <c r="C13986" s="6">
        <v>45000</v>
      </c>
      <c r="D13986" s="7">
        <v>0.15</v>
      </c>
    </row>
    <row r="13987" spans="1:4" x14ac:dyDescent="0.25">
      <c r="A13987" t="str">
        <f>HYPERLINK("https://www.773grp.com/globalSearch/1N4735A113/page-1", "1N4735A113")</f>
        <v>1N4735A113</v>
      </c>
      <c r="B13987" s="3" t="str">
        <f>HYPERLINK("https://www.773grp.com/manufacturer/nxp-semiconductor?pageNo=42", "NXP Semiconductors")</f>
        <v>NXP Semiconductors</v>
      </c>
      <c r="C13987" s="6">
        <v>90000</v>
      </c>
      <c r="D13987" s="7">
        <v>0.15</v>
      </c>
    </row>
    <row r="13988" spans="1:4" x14ac:dyDescent="0.25">
      <c r="A13988" t="str">
        <f>HYPERLINK("https://www.773grp.com/globalSearch/1N4735A133/page-1", "1N4735A133")</f>
        <v>1N4735A133</v>
      </c>
      <c r="B13988" s="3" t="str">
        <f>HYPERLINK("https://www.773grp.com/manufacturer/nxp-semiconductor?pageNo=43", "NXP Semiconductors")</f>
        <v>NXP Semiconductors</v>
      </c>
      <c r="C13988" s="6">
        <v>25000</v>
      </c>
      <c r="D13988" s="7">
        <v>0.15</v>
      </c>
    </row>
    <row r="13989" spans="1:4" x14ac:dyDescent="0.25">
      <c r="A13989" t="str">
        <f>HYPERLINK("https://www.773grp.com/globalSearch/1N4736A113/page-1", "1N4736A113")</f>
        <v>1N4736A113</v>
      </c>
      <c r="B13989" s="3" t="str">
        <f>HYPERLINK("https://www.773grp.com/manufacturer/nxp-semiconductor?pageNo=44", "NXP Semiconductors")</f>
        <v>NXP Semiconductors</v>
      </c>
      <c r="C13989" s="6">
        <v>84038</v>
      </c>
      <c r="D13989" s="7">
        <v>0.15</v>
      </c>
    </row>
    <row r="13990" spans="1:4" x14ac:dyDescent="0.25">
      <c r="A13990" t="str">
        <f>HYPERLINK("https://www.773grp.com/globalSearch/1N4737A113/page-1", "1N4737A113")</f>
        <v>1N4737A113</v>
      </c>
      <c r="B13990" s="3" t="str">
        <f>HYPERLINK("https://www.773grp.com/manufacturer/nxp-semiconductor?pageNo=45", "NXP Semiconductors")</f>
        <v>NXP Semiconductors</v>
      </c>
      <c r="C13990" s="6">
        <v>530000</v>
      </c>
      <c r="D13990" s="7">
        <v>0.15</v>
      </c>
    </row>
    <row r="13991" spans="1:4" x14ac:dyDescent="0.25">
      <c r="A13991" t="str">
        <f>HYPERLINK("https://www.773grp.com/globalSearch/1N4737A133/page-1", "1N4737A133")</f>
        <v>1N4737A133</v>
      </c>
      <c r="B13991" s="3" t="str">
        <f>HYPERLINK("https://www.773grp.com/manufacturer/nxp-semiconductor?pageNo=46", "NXP Semiconductors")</f>
        <v>NXP Semiconductors</v>
      </c>
      <c r="C13991" s="6">
        <v>40000</v>
      </c>
      <c r="D13991" s="7">
        <v>0.15</v>
      </c>
    </row>
    <row r="13992" spans="1:4" x14ac:dyDescent="0.25">
      <c r="A13992" t="str">
        <f>HYPERLINK("https://www.773grp.com/globalSearch/1N4738A113/page-1", "1N4738A113")</f>
        <v>1N4738A113</v>
      </c>
      <c r="B13992" s="3" t="str">
        <f>HYPERLINK("https://www.773grp.com/manufacturer/nxp-semiconductor?pageNo=47", "NXP Semiconductors")</f>
        <v>NXP Semiconductors</v>
      </c>
      <c r="C13992" s="6">
        <v>275000</v>
      </c>
      <c r="D13992" s="7">
        <v>0.15</v>
      </c>
    </row>
    <row r="13993" spans="1:4" x14ac:dyDescent="0.25">
      <c r="A13993" t="str">
        <f>HYPERLINK("https://www.773grp.com/globalSearch/1N4738A133/page-1", "1N4738A133")</f>
        <v>1N4738A133</v>
      </c>
      <c r="B13993" s="3" t="str">
        <f>HYPERLINK("https://www.773grp.com/manufacturer/nxp-semiconductor?pageNo=48", "NXP Semiconductors")</f>
        <v>NXP Semiconductors</v>
      </c>
      <c r="C13993" s="6">
        <v>37963</v>
      </c>
      <c r="D13993" s="7">
        <v>0.15</v>
      </c>
    </row>
    <row r="13994" spans="1:4" x14ac:dyDescent="0.25">
      <c r="A13994" t="str">
        <f>HYPERLINK("https://www.773grp.com/globalSearch/1N4739A113/page-1", "1N4739A113")</f>
        <v>1N4739A113</v>
      </c>
      <c r="B13994" s="3" t="str">
        <f>HYPERLINK("https://www.773grp.com/manufacturer/nxp-semiconductor?pageNo=1", "NXP Semiconductors")</f>
        <v>NXP Semiconductors</v>
      </c>
      <c r="C13994" s="6">
        <v>1820</v>
      </c>
      <c r="D13994" s="7">
        <v>0.15</v>
      </c>
    </row>
    <row r="13995" spans="1:4" x14ac:dyDescent="0.25">
      <c r="A13995" t="str">
        <f>HYPERLINK("https://www.773grp.com/globalSearch/1N4739A133/page-1", "1N4739A133")</f>
        <v>1N4739A133</v>
      </c>
      <c r="B13995" s="3" t="str">
        <f>HYPERLINK("https://www.773grp.com/manufacturer/nxp-semiconductor?pageNo=2", "NXP Semiconductors")</f>
        <v>NXP Semiconductors</v>
      </c>
      <c r="C13995" s="6">
        <v>20150</v>
      </c>
      <c r="D13995" s="7">
        <v>0.15</v>
      </c>
    </row>
    <row r="13996" spans="1:4" x14ac:dyDescent="0.25">
      <c r="A13996" t="str">
        <f>HYPERLINK("https://www.773grp.com/globalSearch/1N4740A113/page-1", "1N4740A113")</f>
        <v>1N4740A113</v>
      </c>
      <c r="B13996" s="3" t="str">
        <f>HYPERLINK("https://www.773grp.com/manufacturer/nxp-semiconductor?pageNo=3", "NXP Semiconductors")</f>
        <v>NXP Semiconductors</v>
      </c>
      <c r="C13996" s="6">
        <v>156560</v>
      </c>
      <c r="D13996" s="7">
        <v>0.15</v>
      </c>
    </row>
    <row r="13997" spans="1:4" x14ac:dyDescent="0.25">
      <c r="A13997" t="str">
        <f>HYPERLINK("https://www.773grp.com/globalSearch/1N4740A133/page-1", "1N4740A133")</f>
        <v>1N4740A133</v>
      </c>
      <c r="B13997" s="3" t="str">
        <f>HYPERLINK("https://www.773grp.com/manufacturer/nxp-semiconductor?pageNo=4", "NXP Semiconductors")</f>
        <v>NXP Semiconductors</v>
      </c>
      <c r="C13997" s="6">
        <v>55150</v>
      </c>
      <c r="D13997" s="7">
        <v>0.15</v>
      </c>
    </row>
    <row r="13998" spans="1:4" x14ac:dyDescent="0.25">
      <c r="A13998" t="str">
        <f>HYPERLINK("https://www.773grp.com/globalSearch/1N4741A113/page-1", "1N4741A113")</f>
        <v>1N4741A113</v>
      </c>
      <c r="B13998" s="3" t="str">
        <f>HYPERLINK("https://www.773grp.com/manufacturer/nxp-semiconductor?pageNo=5", "NXP Semiconductors")</f>
        <v>NXP Semiconductors</v>
      </c>
      <c r="C13998" s="6">
        <v>20000</v>
      </c>
      <c r="D13998" s="7">
        <v>0.15</v>
      </c>
    </row>
    <row r="13999" spans="1:4" x14ac:dyDescent="0.25">
      <c r="A13999" t="str">
        <f>HYPERLINK("https://www.773grp.com/globalSearch/1N4741A133/page-1", "1N4741A133")</f>
        <v>1N4741A133</v>
      </c>
      <c r="B13999" s="3" t="str">
        <f>HYPERLINK("https://www.773grp.com/manufacturer/nxp-semiconductor?pageNo=6", "NXP Semiconductors")</f>
        <v>NXP Semiconductors</v>
      </c>
      <c r="C13999" s="6">
        <v>35000</v>
      </c>
      <c r="D13999" s="7">
        <v>0.15</v>
      </c>
    </row>
    <row r="14000" spans="1:4" x14ac:dyDescent="0.25">
      <c r="A14000" t="str">
        <f>HYPERLINK("https://www.773grp.com/globalSearch/1N4742A113/page-1", "1N4742A113")</f>
        <v>1N4742A113</v>
      </c>
      <c r="B14000" s="3" t="str">
        <f>HYPERLINK("https://www.773grp.com/manufacturer/nxp-semiconductor?pageNo=7", "NXP Semiconductors")</f>
        <v>NXP Semiconductors</v>
      </c>
      <c r="C14000" s="6">
        <v>545000</v>
      </c>
      <c r="D14000" s="7">
        <v>0.15</v>
      </c>
    </row>
    <row r="14001" spans="1:4" x14ac:dyDescent="0.25">
      <c r="A14001" t="str">
        <f>HYPERLINK("https://www.773grp.com/globalSearch/1N4742A133/page-1", "1N4742A133")</f>
        <v>1N4742A133</v>
      </c>
      <c r="B14001" s="3" t="str">
        <f>HYPERLINK("https://www.773grp.com/manufacturer/nxp-semiconductor?pageNo=8", "NXP Semiconductors")</f>
        <v>NXP Semiconductors</v>
      </c>
      <c r="C14001" s="6">
        <v>25150</v>
      </c>
      <c r="D14001" s="7">
        <v>0.15</v>
      </c>
    </row>
    <row r="14002" spans="1:4" x14ac:dyDescent="0.25">
      <c r="A14002" t="str">
        <f>HYPERLINK("https://www.773grp.com/globalSearch/1N4743A113/page-1", "1N4743A113")</f>
        <v>1N4743A113</v>
      </c>
      <c r="B14002" s="3" t="str">
        <f>HYPERLINK("https://www.773grp.com/manufacturer/nxp-semiconductor?pageNo=9", "NXP Semiconductors")</f>
        <v>NXP Semiconductors</v>
      </c>
      <c r="C14002" s="6">
        <v>258757</v>
      </c>
      <c r="D14002" s="7">
        <v>0.15</v>
      </c>
    </row>
    <row r="14003" spans="1:4" x14ac:dyDescent="0.25">
      <c r="A14003" t="str">
        <f>HYPERLINK("https://www.773grp.com/globalSearch/1N4743A133/page-1", "1N4743A133")</f>
        <v>1N4743A133</v>
      </c>
      <c r="B14003" s="3" t="str">
        <f>HYPERLINK("https://www.773grp.com/manufacturer/nxp-semiconductor?pageNo=10", "NXP Semiconductors")</f>
        <v>NXP Semiconductors</v>
      </c>
      <c r="C14003" s="6">
        <v>25150</v>
      </c>
      <c r="D14003" s="7">
        <v>0.15</v>
      </c>
    </row>
    <row r="14004" spans="1:4" x14ac:dyDescent="0.25">
      <c r="A14004" t="str">
        <f>HYPERLINK("https://www.773grp.com/globalSearch/1N4744A113/page-1", "1N4744A113")</f>
        <v>1N4744A113</v>
      </c>
      <c r="B14004" s="3" t="str">
        <f>HYPERLINK("https://www.773grp.com/manufacturer/nxp-semiconductor?pageNo=11", "NXP Semiconductors")</f>
        <v>NXP Semiconductors</v>
      </c>
      <c r="C14004" s="6">
        <v>465000</v>
      </c>
      <c r="D14004" s="7">
        <v>0.15</v>
      </c>
    </row>
    <row r="14005" spans="1:4" x14ac:dyDescent="0.25">
      <c r="A14005" t="str">
        <f>HYPERLINK("https://www.773grp.com/globalSearch/1N4744A133/page-1", "1N4744A133")</f>
        <v>1N4744A133</v>
      </c>
      <c r="B14005" s="3" t="str">
        <f>HYPERLINK("https://www.773grp.com/manufacturer/nxp-semiconductor?pageNo=12", "NXP Semiconductors")</f>
        <v>NXP Semiconductors</v>
      </c>
      <c r="C14005" s="6">
        <v>200</v>
      </c>
      <c r="D14005" s="7">
        <v>0.15</v>
      </c>
    </row>
    <row r="14006" spans="1:4" x14ac:dyDescent="0.25">
      <c r="A14006" t="str">
        <f>HYPERLINK("https://www.773grp.com/globalSearch/1N4745A113/page-1", "1N4745A113")</f>
        <v>1N4745A113</v>
      </c>
      <c r="B14006" s="3" t="str">
        <f>HYPERLINK("https://www.773grp.com/manufacturer/nxp-semiconductor?pageNo=13", "NXP Semiconductors")</f>
        <v>NXP Semiconductors</v>
      </c>
      <c r="C14006" s="6">
        <v>47413</v>
      </c>
      <c r="D14006" s="7">
        <v>0.15</v>
      </c>
    </row>
    <row r="14007" spans="1:4" x14ac:dyDescent="0.25">
      <c r="A14007" t="str">
        <f>HYPERLINK("https://www.773grp.com/globalSearch/1N4745A133/page-1", "1N4745A133")</f>
        <v>1N4745A133</v>
      </c>
      <c r="B14007" s="3" t="str">
        <f>HYPERLINK("https://www.773grp.com/manufacturer/nxp-semiconductor?pageNo=14", "NXP Semiconductors")</f>
        <v>NXP Semiconductors</v>
      </c>
      <c r="C14007" s="6">
        <v>15150</v>
      </c>
      <c r="D14007" s="7">
        <v>0.15</v>
      </c>
    </row>
    <row r="14008" spans="1:4" x14ac:dyDescent="0.25">
      <c r="A14008" t="str">
        <f>HYPERLINK("https://www.773grp.com/globalSearch/1N4746A113/page-1", "1N4746A113")</f>
        <v>1N4746A113</v>
      </c>
      <c r="B14008" s="3" t="str">
        <f>HYPERLINK("https://www.773grp.com/manufacturer/nxp-semiconductor?pageNo=15", "NXP Semiconductors")</f>
        <v>NXP Semiconductors</v>
      </c>
      <c r="C14008" s="6">
        <v>407694</v>
      </c>
      <c r="D14008" s="7">
        <v>0.15</v>
      </c>
    </row>
    <row r="14009" spans="1:4" x14ac:dyDescent="0.25">
      <c r="A14009" t="str">
        <f>HYPERLINK("https://www.773grp.com/globalSearch/1N4746A133/page-1", "1N4746A133")</f>
        <v>1N4746A133</v>
      </c>
      <c r="B14009" s="3" t="str">
        <f>HYPERLINK("https://www.773grp.com/manufacturer/nxp-semiconductor?pageNo=16", "NXP Semiconductors")</f>
        <v>NXP Semiconductors</v>
      </c>
      <c r="C14009" s="6">
        <v>20000</v>
      </c>
      <c r="D14009" s="7">
        <v>0.15</v>
      </c>
    </row>
    <row r="14010" spans="1:4" x14ac:dyDescent="0.25">
      <c r="A14010" t="str">
        <f>HYPERLINK("https://www.773grp.com/globalSearch/1N4747A113/page-1", "1N4747A113")</f>
        <v>1N4747A113</v>
      </c>
      <c r="B14010" s="3" t="str">
        <f>HYPERLINK("https://www.773grp.com/manufacturer/nxp-semiconductor?pageNo=17", "NXP Semiconductors")</f>
        <v>NXP Semiconductors</v>
      </c>
      <c r="C14010" s="6">
        <v>220668</v>
      </c>
      <c r="D14010" s="7">
        <v>0.15</v>
      </c>
    </row>
    <row r="14011" spans="1:4" x14ac:dyDescent="0.25">
      <c r="A14011" t="str">
        <f>HYPERLINK("https://www.773grp.com/globalSearch/1N4747A133/page-1", "1N4747A133")</f>
        <v>1N4747A133</v>
      </c>
      <c r="B14011" s="3" t="str">
        <f>HYPERLINK("https://www.773grp.com/manufacturer/nxp-semiconductor?pageNo=18", "NXP Semiconductors")</f>
        <v>NXP Semiconductors</v>
      </c>
      <c r="C14011" s="6">
        <v>5150</v>
      </c>
      <c r="D14011" s="7">
        <v>0.15</v>
      </c>
    </row>
    <row r="14012" spans="1:4" x14ac:dyDescent="0.25">
      <c r="A14012" t="str">
        <f>HYPERLINK("https://www.773grp.com/globalSearch/1N4748A113/page-1", "1N4748A113")</f>
        <v>1N4748A113</v>
      </c>
      <c r="B14012" s="3" t="str">
        <f>HYPERLINK("https://www.773grp.com/manufacturer/nxp-semiconductor?pageNo=19", "NXP Semiconductors")</f>
        <v>NXP Semiconductors</v>
      </c>
      <c r="C14012" s="6">
        <v>95000</v>
      </c>
      <c r="D14012" s="7">
        <v>0.15</v>
      </c>
    </row>
    <row r="14013" spans="1:4" x14ac:dyDescent="0.25">
      <c r="A14013" t="str">
        <f>HYPERLINK("https://www.773grp.com/globalSearch/1N4748A133/page-1", "1N4748A133")</f>
        <v>1N4748A133</v>
      </c>
      <c r="B14013" s="3" t="str">
        <f>HYPERLINK("https://www.773grp.com/manufacturer/nxp-semiconductor?pageNo=20", "NXP Semiconductors")</f>
        <v>NXP Semiconductors</v>
      </c>
      <c r="C14013" s="6">
        <v>40150</v>
      </c>
      <c r="D14013" s="7">
        <v>0.15</v>
      </c>
    </row>
    <row r="14014" spans="1:4" x14ac:dyDescent="0.25">
      <c r="A14014" t="str">
        <f>HYPERLINK("https://www.773grp.com/globalSearch/1N4749A113/page-1", "1N4749A113")</f>
        <v>1N4749A113</v>
      </c>
      <c r="B14014" s="3" t="str">
        <f>HYPERLINK("https://www.773grp.com/manufacturer/nxp-semiconductor?pageNo=21", "NXP Semiconductors")</f>
        <v>NXP Semiconductors</v>
      </c>
      <c r="C14014" s="6">
        <v>44923</v>
      </c>
      <c r="D14014" s="7">
        <v>0.15</v>
      </c>
    </row>
    <row r="14015" spans="1:4" x14ac:dyDescent="0.25">
      <c r="A14015" t="str">
        <f>HYPERLINK("https://www.773grp.com/globalSearch/1N4749A133/page-1", "1N4749A133")</f>
        <v>1N4749A133</v>
      </c>
      <c r="B14015" s="3" t="str">
        <f>HYPERLINK("https://www.773grp.com/manufacturer/nxp-semiconductor?pageNo=22", "NXP Semiconductors")</f>
        <v>NXP Semiconductors</v>
      </c>
      <c r="C14015" s="6">
        <v>15150</v>
      </c>
      <c r="D14015" s="7">
        <v>0.15</v>
      </c>
    </row>
    <row r="14016" spans="1:4" x14ac:dyDescent="0.25">
      <c r="A14016" t="str">
        <f>HYPERLINK("https://www.773grp.com/globalSearch/1PS300115/page-1", "1PS300115")</f>
        <v>1PS300115</v>
      </c>
      <c r="B14016" s="3" t="str">
        <f>HYPERLINK("https://www.773grp.com/manufacturer/nxp-semiconductor?pageNo=23", "NXP Semiconductors")</f>
        <v>NXP Semiconductors</v>
      </c>
      <c r="C14016" s="6">
        <v>69988</v>
      </c>
      <c r="D14016" s="7">
        <v>0.15</v>
      </c>
    </row>
    <row r="14017" spans="1:4" x14ac:dyDescent="0.25">
      <c r="A14017" t="str">
        <f>HYPERLINK("https://www.773grp.com/globalSearch/1PS301115/page-1", "1PS301115")</f>
        <v>1PS301115</v>
      </c>
      <c r="B14017" s="3" t="str">
        <f>HYPERLINK("https://www.773grp.com/manufacturer/nxp-semiconductor?pageNo=24", "NXP Semiconductors")</f>
        <v>NXP Semiconductors</v>
      </c>
      <c r="C14017" s="6">
        <v>261000</v>
      </c>
      <c r="D14017" s="7">
        <v>0.15</v>
      </c>
    </row>
    <row r="14018" spans="1:4" x14ac:dyDescent="0.25">
      <c r="A14018" t="str">
        <f>HYPERLINK("https://www.773grp.com/globalSearch/1PS302115/page-1", "1PS302115")</f>
        <v>1PS302115</v>
      </c>
      <c r="B14018" s="3" t="str">
        <f>HYPERLINK("https://www.773grp.com/manufacturer/nxp-semiconductor?pageNo=25", "NXP Semiconductors")</f>
        <v>NXP Semiconductors</v>
      </c>
      <c r="C14018" s="6">
        <v>2615</v>
      </c>
      <c r="D14018" s="7">
        <v>0.15</v>
      </c>
    </row>
    <row r="14019" spans="1:4" x14ac:dyDescent="0.25">
      <c r="A14019" t="str">
        <f>HYPERLINK("https://www.773grp.com/globalSearch/1PS70SB14115/page-1", "1PS70SB14115")</f>
        <v>1PS70SB14115</v>
      </c>
      <c r="B14019" s="3" t="str">
        <f>HYPERLINK("https://www.773grp.com/manufacturer/nxp-semiconductor?pageNo=26", "NXP Semiconductors")</f>
        <v>NXP Semiconductors</v>
      </c>
      <c r="C14019" s="6">
        <v>35650</v>
      </c>
      <c r="D14019" s="7">
        <v>0.15</v>
      </c>
    </row>
    <row r="14020" spans="1:4" x14ac:dyDescent="0.25">
      <c r="A14020" t="str">
        <f>HYPERLINK("https://www.773grp.com/globalSearch/1PS70SB15115/page-1", "1PS70SB15115")</f>
        <v>1PS70SB15115</v>
      </c>
      <c r="B14020" s="3" t="str">
        <f>HYPERLINK("https://www.773grp.com/manufacturer/nxp-semiconductor?pageNo=27", "NXP Semiconductors")</f>
        <v>NXP Semiconductors</v>
      </c>
      <c r="C14020" s="6">
        <v>9000</v>
      </c>
      <c r="D14020" s="7">
        <v>0.15</v>
      </c>
    </row>
    <row r="14021" spans="1:4" x14ac:dyDescent="0.25">
      <c r="A14021" t="str">
        <f>HYPERLINK("https://www.773grp.com/globalSearch/1PS70SB16115/page-1", "1PS70SB16115")</f>
        <v>1PS70SB16115</v>
      </c>
      <c r="B14021" s="3" t="str">
        <f>HYPERLINK("https://www.773grp.com/manufacturer/nxp-semiconductor?pageNo=28", "NXP Semiconductors")</f>
        <v>NXP Semiconductors</v>
      </c>
      <c r="C14021" s="6">
        <v>9000</v>
      </c>
      <c r="D14021" s="7">
        <v>0.15</v>
      </c>
    </row>
    <row r="14022" spans="1:4" x14ac:dyDescent="0.25">
      <c r="A14022" t="str">
        <f>HYPERLINK("https://www.773grp.com/globalSearch/1PS79SB10115/page-1", "1PS79SB10115")</f>
        <v>1PS79SB10115</v>
      </c>
      <c r="B14022" s="3" t="str">
        <f>HYPERLINK("https://www.773grp.com/manufacturer/nxp-semiconductor?pageNo=29", "NXP Semiconductors")</f>
        <v>NXP Semiconductors</v>
      </c>
      <c r="C14022" s="6">
        <v>27000</v>
      </c>
      <c r="D14022" s="7">
        <v>0.15</v>
      </c>
    </row>
    <row r="14023" spans="1:4" x14ac:dyDescent="0.25">
      <c r="A14023" t="str">
        <f>HYPERLINK("https://www.773grp.com/globalSearch/2N7002CK215/page-1", "2N7002CK215")</f>
        <v>2N7002CK215</v>
      </c>
      <c r="B14023" s="3" t="str">
        <f>HYPERLINK("https://www.773grp.com/manufacturer/nxp-semiconductor?pageNo=30", "NXP Semiconductors")</f>
        <v>NXP Semiconductors</v>
      </c>
      <c r="C14023" s="6">
        <v>12610</v>
      </c>
      <c r="D14023" s="7">
        <v>0.15</v>
      </c>
    </row>
    <row r="14024" spans="1:4" x14ac:dyDescent="0.25">
      <c r="A14024" t="str">
        <f>HYPERLINK("https://www.773grp.com/globalSearch/2N7002E215/page-1", "2N7002E215")</f>
        <v>2N7002E215</v>
      </c>
      <c r="B14024" s="3" t="str">
        <f>HYPERLINK("https://www.773grp.com/manufacturer/nxp-semiconductor?pageNo=31", "NXP Semiconductors")</f>
        <v>NXP Semiconductors</v>
      </c>
      <c r="C14024" s="6">
        <v>192000</v>
      </c>
      <c r="D14024" s="7">
        <v>0.15</v>
      </c>
    </row>
    <row r="14025" spans="1:4" x14ac:dyDescent="0.25">
      <c r="A14025" t="str">
        <f>HYPERLINK("https://www.773grp.com/globalSearch/2N7002P215/page-1", "2N7002P215")</f>
        <v>2N7002P215</v>
      </c>
      <c r="B14025" s="3" t="str">
        <f>HYPERLINK("https://www.773grp.com/manufacturer/nxp-semiconductor?pageNo=32", "NXP Semiconductors")</f>
        <v>NXP Semiconductors</v>
      </c>
      <c r="C14025" s="6">
        <v>15000</v>
      </c>
      <c r="D14025" s="7">
        <v>0.15</v>
      </c>
    </row>
    <row r="14026" spans="1:4" x14ac:dyDescent="0.25">
      <c r="A14026" t="str">
        <f>HYPERLINK("https://www.773grp.com/globalSearch/2PB1219AQ115/page-1", "2PB1219AQ115")</f>
        <v>2PB1219AQ115</v>
      </c>
      <c r="B14026" s="3" t="str">
        <f>HYPERLINK("https://www.773grp.com/manufacturer/nxp-semiconductor?pageNo=33", "NXP Semiconductors")</f>
        <v>NXP Semiconductors</v>
      </c>
      <c r="C14026" s="6">
        <v>700</v>
      </c>
      <c r="D14026" s="7">
        <v>0.15</v>
      </c>
    </row>
    <row r="14027" spans="1:4" x14ac:dyDescent="0.25">
      <c r="A14027" t="str">
        <f>HYPERLINK("https://www.773grp.com/globalSearch/2PB1219AS115/page-1", "2PB1219AS115")</f>
        <v>2PB1219AS115</v>
      </c>
      <c r="B14027" s="3" t="str">
        <f>HYPERLINK("https://www.773grp.com/manufacturer/nxp-semiconductor?pageNo=34", "NXP Semiconductors")</f>
        <v>NXP Semiconductors</v>
      </c>
      <c r="C14027" s="6">
        <v>78000</v>
      </c>
      <c r="D14027" s="7">
        <v>0.15</v>
      </c>
    </row>
    <row r="14028" spans="1:4" x14ac:dyDescent="0.25">
      <c r="A14028" t="str">
        <f>HYPERLINK("https://www.773grp.com/globalSearch/2PB710ARL215/page-1", "2PB710ARL215")</f>
        <v>2PB710ARL215</v>
      </c>
      <c r="B14028" s="3" t="str">
        <f>HYPERLINK("https://www.773grp.com/manufacturer/nxp-semiconductor?pageNo=35", "NXP Semiconductors")</f>
        <v>NXP Semiconductors</v>
      </c>
      <c r="C14028" s="6">
        <v>36000</v>
      </c>
      <c r="D14028" s="7">
        <v>0.15</v>
      </c>
    </row>
    <row r="14029" spans="1:4" x14ac:dyDescent="0.25">
      <c r="A14029" t="str">
        <f>HYPERLINK("https://www.773grp.com/globalSearch/2PB710ASL215/page-1", "2PB710ASL215")</f>
        <v>2PB710ASL215</v>
      </c>
      <c r="B14029" s="3" t="str">
        <f>HYPERLINK("https://www.773grp.com/manufacturer/nxp-semiconductor?pageNo=36", "NXP Semiconductors")</f>
        <v>NXP Semiconductors</v>
      </c>
      <c r="C14029" s="6">
        <v>39000</v>
      </c>
      <c r="D14029" s="7">
        <v>0.15</v>
      </c>
    </row>
    <row r="14030" spans="1:4" x14ac:dyDescent="0.25">
      <c r="A14030" t="str">
        <f>HYPERLINK("https://www.773grp.com/globalSearch/2PB710ASL235/page-1", "2PB710ASL235")</f>
        <v>2PB710ASL235</v>
      </c>
      <c r="B14030" s="3" t="str">
        <f>HYPERLINK("https://www.773grp.com/manufacturer/nxp-semiconductor?pageNo=37", "NXP Semiconductors")</f>
        <v>NXP Semiconductors</v>
      </c>
      <c r="C14030" s="6">
        <v>13330</v>
      </c>
      <c r="D14030" s="7">
        <v>0.15</v>
      </c>
    </row>
    <row r="14031" spans="1:4" x14ac:dyDescent="0.25">
      <c r="A14031" t="str">
        <f>HYPERLINK("https://www.773grp.com/globalSearch/2PD1820AR115/page-1", "2PD1820AR115")</f>
        <v>2PD1820AR115</v>
      </c>
      <c r="B14031" s="3" t="str">
        <f>HYPERLINK("https://www.773grp.com/manufacturer/nxp-semiconductor?pageNo=38", "NXP Semiconductors")</f>
        <v>NXP Semiconductors</v>
      </c>
      <c r="C14031" s="6">
        <v>12675</v>
      </c>
      <c r="D14031" s="7">
        <v>0.15</v>
      </c>
    </row>
    <row r="14032" spans="1:4" x14ac:dyDescent="0.25">
      <c r="A14032" t="str">
        <f>HYPERLINK("https://www.773grp.com/globalSearch/2PD1820AS115/page-1", "2PD1820AS115")</f>
        <v>2PD1820AS115</v>
      </c>
      <c r="B14032" s="3" t="str">
        <f>HYPERLINK("https://www.773grp.com/manufacturer/nxp-semiconductor?pageNo=39", "NXP Semiconductors")</f>
        <v>NXP Semiconductors</v>
      </c>
      <c r="C14032" s="6">
        <v>3000</v>
      </c>
      <c r="D14032" s="7">
        <v>0.15</v>
      </c>
    </row>
    <row r="14033" spans="1:4" x14ac:dyDescent="0.25">
      <c r="A14033" t="str">
        <f>HYPERLINK("https://www.773grp.com/globalSearch/2PD602AQL215/page-1", "2PD602AQL215")</f>
        <v>2PD602AQL215</v>
      </c>
      <c r="B14033" s="3" t="str">
        <f>HYPERLINK("https://www.773grp.com/manufacturer/nxp-semiconductor?pageNo=40", "NXP Semiconductors")</f>
        <v>NXP Semiconductors</v>
      </c>
      <c r="C14033" s="6">
        <v>200</v>
      </c>
      <c r="D14033" s="7">
        <v>0.15</v>
      </c>
    </row>
    <row r="14034" spans="1:4" x14ac:dyDescent="0.25">
      <c r="A14034" t="str">
        <f>HYPERLINK("https://www.773grp.com/globalSearch/2PD602ARL215/page-1", "2PD602ARL215")</f>
        <v>2PD602ARL215</v>
      </c>
      <c r="B14034" s="3" t="str">
        <f>HYPERLINK("https://www.773grp.com/manufacturer/nxp-semiconductor?pageNo=41", "NXP Semiconductors")</f>
        <v>NXP Semiconductors</v>
      </c>
      <c r="C14034" s="6">
        <v>33200</v>
      </c>
      <c r="D14034" s="7">
        <v>0.15</v>
      </c>
    </row>
    <row r="14035" spans="1:4" x14ac:dyDescent="0.25">
      <c r="A14035" t="str">
        <f>HYPERLINK("https://www.773grp.com/globalSearch/2PD602ASL215/page-1", "2PD602ASL215")</f>
        <v>2PD602ASL215</v>
      </c>
      <c r="B14035" s="3" t="str">
        <f>HYPERLINK("https://www.773grp.com/manufacturer/nxp-semiconductor?pageNo=42", "NXP Semiconductors")</f>
        <v>NXP Semiconductors</v>
      </c>
      <c r="C14035" s="6">
        <v>27000</v>
      </c>
      <c r="D14035" s="7">
        <v>0.15</v>
      </c>
    </row>
    <row r="14036" spans="1:4" x14ac:dyDescent="0.25">
      <c r="A14036" t="str">
        <f>HYPERLINK("https://www.773grp.com/globalSearch/74AHC1G00GV125/page-1", "74AHC1G00GV125")</f>
        <v>74AHC1G00GV125</v>
      </c>
      <c r="B14036" s="3" t="str">
        <f>HYPERLINK("https://www.773grp.com/manufacturer/nxp-semiconductor?pageNo=43", "NXP Semiconductors")</f>
        <v>NXP Semiconductors</v>
      </c>
      <c r="C14036" s="6">
        <v>180000</v>
      </c>
      <c r="D14036" s="7">
        <v>0.15</v>
      </c>
    </row>
    <row r="14037" spans="1:4" x14ac:dyDescent="0.25">
      <c r="A14037" t="str">
        <f>HYPERLINK("https://www.773grp.com/globalSearch/74AHC1G00GW125/page-1", "74AHC1G00GW125")</f>
        <v>74AHC1G00GW125</v>
      </c>
      <c r="B14037" s="3" t="str">
        <f>HYPERLINK("https://www.773grp.com/manufacturer/nxp-semiconductor?pageNo=44", "NXP Semiconductors")</f>
        <v>NXP Semiconductors</v>
      </c>
      <c r="C14037" s="6">
        <v>41471</v>
      </c>
      <c r="D14037" s="7">
        <v>0.15</v>
      </c>
    </row>
    <row r="14038" spans="1:4" x14ac:dyDescent="0.25">
      <c r="A14038" t="str">
        <f>HYPERLINK("https://www.773grp.com/globalSearch/74AHC1G02GV125/page-1", "74AHC1G02GV125")</f>
        <v>74AHC1G02GV125</v>
      </c>
      <c r="B14038" s="3" t="str">
        <f>HYPERLINK("https://www.773grp.com/manufacturer/nxp-semiconductor?pageNo=45", "NXP Semiconductors")</f>
        <v>NXP Semiconductors</v>
      </c>
      <c r="C14038" s="6">
        <v>42000</v>
      </c>
      <c r="D14038" s="7">
        <v>0.15</v>
      </c>
    </row>
    <row r="14039" spans="1:4" x14ac:dyDescent="0.25">
      <c r="A14039" t="str">
        <f>HYPERLINK("https://www.773grp.com/globalSearch/74AHC1G02GW125/page-1", "74AHC1G02GW125")</f>
        <v>74AHC1G02GW125</v>
      </c>
      <c r="B14039" s="3" t="str">
        <f>HYPERLINK("https://www.773grp.com/manufacturer/nxp-semiconductor?pageNo=46", "NXP Semiconductors")</f>
        <v>NXP Semiconductors</v>
      </c>
      <c r="C14039" s="6">
        <v>57000</v>
      </c>
      <c r="D14039" s="7">
        <v>0.15</v>
      </c>
    </row>
    <row r="14040" spans="1:4" x14ac:dyDescent="0.25">
      <c r="A14040" t="str">
        <f>HYPERLINK("https://www.773grp.com/globalSearch/74AHC1G04GV125/page-1", "74AHC1G04GV125")</f>
        <v>74AHC1G04GV125</v>
      </c>
      <c r="B14040" s="3" t="str">
        <f>HYPERLINK("https://www.773grp.com/manufacturer/nxp-semiconductor?pageNo=47", "NXP Semiconductors")</f>
        <v>NXP Semiconductors</v>
      </c>
      <c r="C14040" s="6">
        <v>99000</v>
      </c>
      <c r="D14040" s="7">
        <v>0.15</v>
      </c>
    </row>
    <row r="14041" spans="1:4" x14ac:dyDescent="0.25">
      <c r="A14041" t="str">
        <f>HYPERLINK("https://www.773grp.com/globalSearch/74AHC1G04GW125/page-1", "74AHC1G04GW125")</f>
        <v>74AHC1G04GW125</v>
      </c>
      <c r="B14041" s="3" t="str">
        <f>HYPERLINK("https://www.773grp.com/manufacturer/nxp-semiconductor?pageNo=48", "NXP Semiconductors")</f>
        <v>NXP Semiconductors</v>
      </c>
      <c r="C14041" s="6">
        <v>415555</v>
      </c>
      <c r="D14041" s="7">
        <v>0.15</v>
      </c>
    </row>
    <row r="14042" spans="1:4" x14ac:dyDescent="0.25">
      <c r="A14042" t="str">
        <f>HYPERLINK("https://www.773grp.com/globalSearch/74AHC1G08GW125/page-1", "74AHC1G08GW125")</f>
        <v>74AHC1G08GW125</v>
      </c>
      <c r="B14042" s="3" t="str">
        <f>HYPERLINK("https://www.773grp.com/manufacturer/nxp-semiconductor?pageNo=1", "NXP Semiconductors")</f>
        <v>NXP Semiconductors</v>
      </c>
      <c r="C14042" s="6">
        <v>205341</v>
      </c>
      <c r="D14042" s="7">
        <v>0.15</v>
      </c>
    </row>
    <row r="14043" spans="1:4" x14ac:dyDescent="0.25">
      <c r="A14043" t="str">
        <f>HYPERLINK("https://www.773grp.com/globalSearch/74AHC1G14GV125/page-1", "74AHC1G14GV125")</f>
        <v>74AHC1G14GV125</v>
      </c>
      <c r="B14043" s="3" t="str">
        <f>HYPERLINK("https://www.773grp.com/manufacturer/nxp-semiconductor?pageNo=2", "NXP Semiconductors")</f>
        <v>NXP Semiconductors</v>
      </c>
      <c r="C14043" s="6">
        <v>861000</v>
      </c>
      <c r="D14043" s="7">
        <v>0.15</v>
      </c>
    </row>
    <row r="14044" spans="1:4" x14ac:dyDescent="0.25">
      <c r="A14044" t="str">
        <f>HYPERLINK("https://www.773grp.com/globalSearch/74AHC1G14GW125/page-1", "74AHC1G14GW125")</f>
        <v>74AHC1G14GW125</v>
      </c>
      <c r="B14044" s="3" t="str">
        <f>HYPERLINK("https://www.773grp.com/manufacturer/nxp-semiconductor?pageNo=3", "NXP Semiconductors")</f>
        <v>NXP Semiconductors</v>
      </c>
      <c r="C14044" s="6">
        <v>30000</v>
      </c>
      <c r="D14044" s="7">
        <v>0.15</v>
      </c>
    </row>
    <row r="14045" spans="1:4" x14ac:dyDescent="0.25">
      <c r="A14045" t="str">
        <f>HYPERLINK("https://www.773grp.com/globalSearch/74AHC1G32GV125/page-1", "74AHC1G32GV125")</f>
        <v>74AHC1G32GV125</v>
      </c>
      <c r="B14045" s="3" t="str">
        <f>HYPERLINK("https://www.773grp.com/manufacturer/nxp-semiconductor?pageNo=4", "NXP Semiconductors")</f>
        <v>NXP Semiconductors</v>
      </c>
      <c r="C14045" s="6">
        <v>69000</v>
      </c>
      <c r="D14045" s="7">
        <v>0.15</v>
      </c>
    </row>
    <row r="14046" spans="1:4" x14ac:dyDescent="0.25">
      <c r="A14046" t="str">
        <f>HYPERLINK("https://www.773grp.com/globalSearch/74AHC1G32GW125/page-1", "74AHC1G32GW125")</f>
        <v>74AHC1G32GW125</v>
      </c>
      <c r="B14046" s="3" t="str">
        <f>HYPERLINK("https://www.773grp.com/manufacturer/nxp-semiconductor?pageNo=5", "NXP Semiconductors")</f>
        <v>NXP Semiconductors</v>
      </c>
      <c r="C14046" s="6">
        <v>795000</v>
      </c>
      <c r="D14046" s="7">
        <v>0.15</v>
      </c>
    </row>
    <row r="14047" spans="1:4" x14ac:dyDescent="0.25">
      <c r="A14047" t="str">
        <f>HYPERLINK("https://www.773grp.com/globalSearch/74AHCT1G04GW125/page-1", "74AHCT1G04GW125")</f>
        <v>74AHCT1G04GW125</v>
      </c>
      <c r="B14047" s="3" t="str">
        <f>HYPERLINK("https://www.773grp.com/manufacturer/nxp-semiconductor?pageNo=6", "NXP Semiconductors")</f>
        <v>NXP Semiconductors</v>
      </c>
      <c r="C14047" s="6">
        <v>306000</v>
      </c>
      <c r="D14047" s="7">
        <v>0.15</v>
      </c>
    </row>
    <row r="14048" spans="1:4" x14ac:dyDescent="0.25">
      <c r="A14048" t="str">
        <f>HYPERLINK("https://www.773grp.com/globalSearch/74AHCT1G06GW125/page-1", "74AHCT1G06GW125")</f>
        <v>74AHCT1G06GW125</v>
      </c>
      <c r="B14048" s="3" t="str">
        <f>HYPERLINK("https://www.773grp.com/manufacturer/nxp-semiconductor?pageNo=7", "NXP Semiconductors")</f>
        <v>NXP Semiconductors</v>
      </c>
      <c r="C14048" s="6">
        <v>27798</v>
      </c>
      <c r="D14048" s="7">
        <v>0.15</v>
      </c>
    </row>
    <row r="14049" spans="1:4" x14ac:dyDescent="0.25">
      <c r="A14049" t="str">
        <f>HYPERLINK("https://www.773grp.com/globalSearch/74AHCT1G07GW125/page-1", "74AHCT1G07GW125")</f>
        <v>74AHCT1G07GW125</v>
      </c>
      <c r="B14049" s="3" t="str">
        <f>HYPERLINK("https://www.773grp.com/manufacturer/nxp-semiconductor?pageNo=8", "NXP Semiconductors")</f>
        <v>NXP Semiconductors</v>
      </c>
      <c r="C14049" s="6">
        <v>9000</v>
      </c>
      <c r="D14049" s="7">
        <v>0.15</v>
      </c>
    </row>
    <row r="14050" spans="1:4" x14ac:dyDescent="0.25">
      <c r="A14050" t="str">
        <f>HYPERLINK("https://www.773grp.com/globalSearch/74AHCT1G08GW125/page-1", "74AHCT1G08GW125")</f>
        <v>74AHCT1G08GW125</v>
      </c>
      <c r="B14050" s="3" t="str">
        <f>HYPERLINK("https://www.773grp.com/manufacturer/nxp-semiconductor?pageNo=9", "NXP Semiconductors")</f>
        <v>NXP Semiconductors</v>
      </c>
      <c r="C14050" s="6">
        <v>36000</v>
      </c>
      <c r="D14050" s="7">
        <v>0.15</v>
      </c>
    </row>
    <row r="14051" spans="1:4" x14ac:dyDescent="0.25">
      <c r="A14051" t="str">
        <f>HYPERLINK("https://www.773grp.com/globalSearch/74AHCT1G125GV125/page-1", "74AHCT1G125GV125")</f>
        <v>74AHCT1G125GV125</v>
      </c>
      <c r="B14051" s="3" t="str">
        <f>HYPERLINK("https://www.773grp.com/manufacturer/nxp-semiconductor?pageNo=10", "NXP Semiconductors")</f>
        <v>NXP Semiconductors</v>
      </c>
      <c r="C14051" s="6">
        <v>54000</v>
      </c>
      <c r="D14051" s="7">
        <v>0.15</v>
      </c>
    </row>
    <row r="14052" spans="1:4" x14ac:dyDescent="0.25">
      <c r="A14052" t="str">
        <f>HYPERLINK("https://www.773grp.com/globalSearch/74AHCT1G125GW125/page-1", "74AHCT1G125GW125")</f>
        <v>74AHCT1G125GW125</v>
      </c>
      <c r="B14052" s="3" t="str">
        <f>HYPERLINK("https://www.773grp.com/manufacturer/nxp-semiconductor?pageNo=11", "NXP Semiconductors")</f>
        <v>NXP Semiconductors</v>
      </c>
      <c r="C14052" s="6">
        <v>114000</v>
      </c>
      <c r="D14052" s="7">
        <v>0.15</v>
      </c>
    </row>
    <row r="14053" spans="1:4" x14ac:dyDescent="0.25">
      <c r="A14053" t="str">
        <f>HYPERLINK("https://www.773grp.com/globalSearch/74AHCT1G14GV125/page-1", "74AHCT1G14GV125")</f>
        <v>74AHCT1G14GV125</v>
      </c>
      <c r="B14053" s="3" t="str">
        <f>HYPERLINK("https://www.773grp.com/manufacturer/nxp-semiconductor?pageNo=12", "NXP Semiconductors")</f>
        <v>NXP Semiconductors</v>
      </c>
      <c r="C14053" s="6">
        <v>96934</v>
      </c>
      <c r="D14053" s="7">
        <v>0.15</v>
      </c>
    </row>
    <row r="14054" spans="1:4" x14ac:dyDescent="0.25">
      <c r="A14054" t="str">
        <f>HYPERLINK("https://www.773grp.com/globalSearch/74AHCT1G32GV125/page-1", "74AHCT1G32GV125")</f>
        <v>74AHCT1G32GV125</v>
      </c>
      <c r="B14054" s="3" t="str">
        <f>HYPERLINK("https://www.773grp.com/manufacturer/nxp-semiconductor?pageNo=13", "NXP Semiconductors")</f>
        <v>NXP Semiconductors</v>
      </c>
      <c r="C14054" s="6">
        <v>36000</v>
      </c>
      <c r="D14054" s="7">
        <v>0.15</v>
      </c>
    </row>
    <row r="14055" spans="1:4" x14ac:dyDescent="0.25">
      <c r="A14055" t="str">
        <f>HYPERLINK("https://www.773grp.com/globalSearch/74AHCT1G32GW125/page-1", "74AHCT1G32GW125")</f>
        <v>74AHCT1G32GW125</v>
      </c>
      <c r="B14055" s="3" t="str">
        <f>HYPERLINK("https://www.773grp.com/manufacturer/nxp-semiconductor?pageNo=14", "NXP Semiconductors")</f>
        <v>NXP Semiconductors</v>
      </c>
      <c r="C14055" s="6">
        <v>72468</v>
      </c>
      <c r="D14055" s="7">
        <v>0.15</v>
      </c>
    </row>
    <row r="14056" spans="1:4" x14ac:dyDescent="0.25">
      <c r="A14056" t="str">
        <f>HYPERLINK("https://www.773grp.com/globalSearch/74AHCT1G86GV125/page-1", "74AHCT1G86GV125")</f>
        <v>74AHCT1G86GV125</v>
      </c>
      <c r="B14056" s="3" t="str">
        <f>HYPERLINK("https://www.773grp.com/manufacturer/nxp-semiconductor?pageNo=15", "NXP Semiconductors")</f>
        <v>NXP Semiconductors</v>
      </c>
      <c r="C14056" s="6">
        <v>33862</v>
      </c>
      <c r="D14056" s="7">
        <v>0.15</v>
      </c>
    </row>
    <row r="14057" spans="1:4" x14ac:dyDescent="0.25">
      <c r="A14057" t="str">
        <f>HYPERLINK("https://www.773grp.com/globalSearch/74HC1G00GV125/page-1", "74HC1G00GV125")</f>
        <v>74HC1G00GV125</v>
      </c>
      <c r="B14057" s="3" t="str">
        <f>HYPERLINK("https://www.773grp.com/manufacturer/nxp-semiconductor?pageNo=16", "NXP Semiconductors")</f>
        <v>NXP Semiconductors</v>
      </c>
      <c r="C14057" s="6">
        <v>363000</v>
      </c>
      <c r="D14057" s="7">
        <v>0.15</v>
      </c>
    </row>
    <row r="14058" spans="1:4" x14ac:dyDescent="0.25">
      <c r="A14058" t="str">
        <f>HYPERLINK("https://www.773grp.com/globalSearch/74HC1G00GW125/page-1", "74HC1G00GW125")</f>
        <v>74HC1G00GW125</v>
      </c>
      <c r="B14058" s="3" t="str">
        <f>HYPERLINK("https://www.773grp.com/manufacturer/nxp-semiconductor?pageNo=17", "NXP Semiconductors")</f>
        <v>NXP Semiconductors</v>
      </c>
      <c r="C14058" s="6">
        <v>20850</v>
      </c>
      <c r="D14058" s="7">
        <v>0.15</v>
      </c>
    </row>
    <row r="14059" spans="1:4" x14ac:dyDescent="0.25">
      <c r="A14059" t="str">
        <f>HYPERLINK("https://www.773grp.com/globalSearch/74HC1G02GV125/page-1", "74HC1G02GV125")</f>
        <v>74HC1G02GV125</v>
      </c>
      <c r="B14059" s="3" t="str">
        <f>HYPERLINK("https://www.773grp.com/manufacturer/nxp-semiconductor?pageNo=18", "NXP Semiconductors")</f>
        <v>NXP Semiconductors</v>
      </c>
      <c r="C14059" s="6">
        <v>42000</v>
      </c>
      <c r="D14059" s="7">
        <v>0.15</v>
      </c>
    </row>
    <row r="14060" spans="1:4" x14ac:dyDescent="0.25">
      <c r="A14060" t="str">
        <f>HYPERLINK("https://www.773grp.com/globalSearch/74HC1G02GW125/page-1", "74HC1G02GW125")</f>
        <v>74HC1G02GW125</v>
      </c>
      <c r="B14060" s="3" t="str">
        <f>HYPERLINK("https://www.773grp.com/manufacturer/nxp-semiconductor?pageNo=19", "NXP Semiconductors")</f>
        <v>NXP Semiconductors</v>
      </c>
      <c r="C14060" s="6">
        <v>36000</v>
      </c>
      <c r="D14060" s="7">
        <v>0.15</v>
      </c>
    </row>
    <row r="14061" spans="1:4" x14ac:dyDescent="0.25">
      <c r="A14061" t="str">
        <f>HYPERLINK("https://www.773grp.com/globalSearch/74HC1G04GV125/page-1", "74HC1G04GV125")</f>
        <v>74HC1G04GV125</v>
      </c>
      <c r="B14061" s="3" t="str">
        <f>HYPERLINK("https://www.773grp.com/manufacturer/nxp-semiconductor?pageNo=20", "NXP Semiconductors")</f>
        <v>NXP Semiconductors</v>
      </c>
      <c r="C14061" s="6">
        <v>18000</v>
      </c>
      <c r="D14061" s="7">
        <v>0.15</v>
      </c>
    </row>
    <row r="14062" spans="1:4" x14ac:dyDescent="0.25">
      <c r="A14062" t="str">
        <f>HYPERLINK("https://www.773grp.com/globalSearch/74HC1G04GW125/page-1", "74HC1G04GW125")</f>
        <v>74HC1G04GW125</v>
      </c>
      <c r="B14062" s="3" t="str">
        <f>HYPERLINK("https://www.773grp.com/manufacturer/nxp-semiconductor?pageNo=21", "NXP Semiconductors")</f>
        <v>NXP Semiconductors</v>
      </c>
      <c r="C14062" s="6">
        <v>30000</v>
      </c>
      <c r="D14062" s="7">
        <v>0.15</v>
      </c>
    </row>
    <row r="14063" spans="1:4" x14ac:dyDescent="0.25">
      <c r="A14063" t="str">
        <f>HYPERLINK("https://www.773grp.com/globalSearch/74HC1G08GV125/page-1", "74HC1G08GV125")</f>
        <v>74HC1G08GV125</v>
      </c>
      <c r="B14063" s="3" t="str">
        <f>HYPERLINK("https://www.773grp.com/manufacturer/nxp-semiconductor?pageNo=22", "NXP Semiconductors")</f>
        <v>NXP Semiconductors</v>
      </c>
      <c r="C14063" s="6">
        <v>3000</v>
      </c>
      <c r="D14063" s="7">
        <v>0.15</v>
      </c>
    </row>
    <row r="14064" spans="1:4" x14ac:dyDescent="0.25">
      <c r="A14064" t="str">
        <f>HYPERLINK("https://www.773grp.com/globalSearch/74HC1G08GW125/page-1", "74HC1G08GW125")</f>
        <v>74HC1G08GW125</v>
      </c>
      <c r="B14064" s="3" t="str">
        <f>HYPERLINK("https://www.773grp.com/manufacturer/nxp-semiconductor?pageNo=23", "NXP Semiconductors")</f>
        <v>NXP Semiconductors</v>
      </c>
      <c r="C14064" s="6">
        <v>168000</v>
      </c>
      <c r="D14064" s="7">
        <v>0.15</v>
      </c>
    </row>
    <row r="14065" spans="1:4" x14ac:dyDescent="0.25">
      <c r="A14065" t="str">
        <f>HYPERLINK("https://www.773grp.com/globalSearch/74HC1G14GV125/page-1", "74HC1G14GV125")</f>
        <v>74HC1G14GV125</v>
      </c>
      <c r="B14065" s="3" t="str">
        <f>HYPERLINK("https://www.773grp.com/manufacturer/nxp-semiconductor?pageNo=24", "NXP Semiconductors")</f>
        <v>NXP Semiconductors</v>
      </c>
      <c r="C14065" s="6">
        <v>81000</v>
      </c>
      <c r="D14065" s="7">
        <v>0.15</v>
      </c>
    </row>
    <row r="14066" spans="1:4" x14ac:dyDescent="0.25">
      <c r="A14066" t="str">
        <f>HYPERLINK("https://www.773grp.com/globalSearch/74HC1G14GW125/page-1", "74HC1G14GW125")</f>
        <v>74HC1G14GW125</v>
      </c>
      <c r="B14066" s="3" t="str">
        <f>HYPERLINK("https://www.773grp.com/manufacturer/nxp-semiconductor?pageNo=25", "NXP Semiconductors")</f>
        <v>NXP Semiconductors</v>
      </c>
      <c r="C14066" s="6">
        <v>42000</v>
      </c>
      <c r="D14066" s="7">
        <v>0.15</v>
      </c>
    </row>
    <row r="14067" spans="1:4" x14ac:dyDescent="0.25">
      <c r="A14067" t="str">
        <f>HYPERLINK("https://www.773grp.com/globalSearch/74HC1G32GV125/page-1", "74HC1G32GV125")</f>
        <v>74HC1G32GV125</v>
      </c>
      <c r="B14067" s="3" t="str">
        <f>HYPERLINK("https://www.773grp.com/manufacturer/nxp-semiconductor?pageNo=26", "NXP Semiconductors")</f>
        <v>NXP Semiconductors</v>
      </c>
      <c r="C14067" s="6">
        <v>129000</v>
      </c>
      <c r="D14067" s="7">
        <v>0.15</v>
      </c>
    </row>
    <row r="14068" spans="1:4" x14ac:dyDescent="0.25">
      <c r="A14068" t="str">
        <f>HYPERLINK("https://www.773grp.com/globalSearch/74HC1G32GW125/page-1", "74HC1G32GW125")</f>
        <v>74HC1G32GW125</v>
      </c>
      <c r="B14068" s="3" t="str">
        <f>HYPERLINK("https://www.773grp.com/manufacturer/nxp-semiconductor?pageNo=27", "NXP Semiconductors")</f>
        <v>NXP Semiconductors</v>
      </c>
      <c r="C14068" s="6">
        <v>24000</v>
      </c>
      <c r="D14068" s="7">
        <v>0.15</v>
      </c>
    </row>
    <row r="14069" spans="1:4" x14ac:dyDescent="0.25">
      <c r="A14069" t="str">
        <f>HYPERLINK("https://www.773grp.com/globalSearch/74HCT1G14GW125/page-1", "74HCT1G14GW125")</f>
        <v>74HCT1G14GW125</v>
      </c>
      <c r="B14069" s="3" t="str">
        <f>HYPERLINK("https://www.773grp.com/manufacturer/nxp-semiconductor?pageNo=28", "NXP Semiconductors")</f>
        <v>NXP Semiconductors</v>
      </c>
      <c r="C14069" s="6">
        <v>30000</v>
      </c>
      <c r="D14069" s="7">
        <v>0.15</v>
      </c>
    </row>
    <row r="14070" spans="1:4" x14ac:dyDescent="0.25">
      <c r="A14070" t="str">
        <f>HYPERLINK("https://www.773grp.com/globalSearch/74LVC1G00GV125/page-1", "74LVC1G00GV125")</f>
        <v>74LVC1G00GV125</v>
      </c>
      <c r="B14070" s="3" t="str">
        <f>HYPERLINK("https://www.773grp.com/manufacturer/nxp-semiconductor?pageNo=29", "NXP Semiconductors")</f>
        <v>NXP Semiconductors</v>
      </c>
      <c r="C14070" s="6">
        <v>114000</v>
      </c>
      <c r="D14070" s="7">
        <v>0.15</v>
      </c>
    </row>
    <row r="14071" spans="1:4" x14ac:dyDescent="0.25">
      <c r="A14071" t="str">
        <f>HYPERLINK("https://www.773grp.com/globalSearch/74LVC1G00GW125/page-1", "74LVC1G00GW125")</f>
        <v>74LVC1G00GW125</v>
      </c>
      <c r="B14071" s="3" t="str">
        <f>HYPERLINK("https://www.773grp.com/manufacturer/nxp-semiconductor?pageNo=30", "NXP Semiconductors")</f>
        <v>NXP Semiconductors</v>
      </c>
      <c r="C14071" s="6">
        <v>24000</v>
      </c>
      <c r="D14071" s="7">
        <v>0.15</v>
      </c>
    </row>
    <row r="14072" spans="1:4" x14ac:dyDescent="0.25">
      <c r="A14072" t="str">
        <f>HYPERLINK("https://www.773grp.com/globalSearch/74LVC1G04GV125/page-1", "74LVC1G04GV125")</f>
        <v>74LVC1G04GV125</v>
      </c>
      <c r="B14072" s="3" t="str">
        <f>HYPERLINK("https://www.773grp.com/manufacturer/nxp-semiconductor?pageNo=31", "NXP Semiconductors")</f>
        <v>NXP Semiconductors</v>
      </c>
      <c r="C14072" s="6">
        <v>108000</v>
      </c>
      <c r="D14072" s="7">
        <v>0.15</v>
      </c>
    </row>
    <row r="14073" spans="1:4" x14ac:dyDescent="0.25">
      <c r="A14073" t="str">
        <f>HYPERLINK("https://www.773grp.com/globalSearch/74LVC1G04GW125/page-1", "74LVC1G04GW125")</f>
        <v>74LVC1G04GW125</v>
      </c>
      <c r="B14073" s="3" t="str">
        <f>HYPERLINK("https://www.773grp.com/manufacturer/nxp-semiconductor?pageNo=32", "NXP Semiconductors")</f>
        <v>NXP Semiconductors</v>
      </c>
      <c r="C14073" s="6">
        <v>1250</v>
      </c>
      <c r="D14073" s="7">
        <v>0.15</v>
      </c>
    </row>
    <row r="14074" spans="1:4" x14ac:dyDescent="0.25">
      <c r="A14074" t="str">
        <f>HYPERLINK("https://www.773grp.com/globalSearch/74LVC1G06GV125/page-1", "74LVC1G06GV125")</f>
        <v>74LVC1G06GV125</v>
      </c>
      <c r="B14074" s="3" t="str">
        <f>HYPERLINK("https://www.773grp.com/manufacturer/nxp-semiconductor?pageNo=33", "NXP Semiconductors")</f>
        <v>NXP Semiconductors</v>
      </c>
      <c r="C14074" s="6">
        <v>93170</v>
      </c>
      <c r="D14074" s="7">
        <v>0.15</v>
      </c>
    </row>
    <row r="14075" spans="1:4" x14ac:dyDescent="0.25">
      <c r="A14075" t="str">
        <f>HYPERLINK("https://www.773grp.com/globalSearch/74LVC1G06GW125/page-1", "74LVC1G06GW125")</f>
        <v>74LVC1G06GW125</v>
      </c>
      <c r="B14075" s="3" t="str">
        <f>HYPERLINK("https://www.773grp.com/manufacturer/nxp-semiconductor?pageNo=34", "NXP Semiconductors")</f>
        <v>NXP Semiconductors</v>
      </c>
      <c r="C14075" s="6">
        <v>54000</v>
      </c>
      <c r="D14075" s="7">
        <v>0.15</v>
      </c>
    </row>
    <row r="14076" spans="1:4" x14ac:dyDescent="0.25">
      <c r="A14076" t="str">
        <f>HYPERLINK("https://www.773grp.com/globalSearch/74LVC1G07GV125/page-1", "74LVC1G07GV125")</f>
        <v>74LVC1G07GV125</v>
      </c>
      <c r="B14076" s="3" t="str">
        <f>HYPERLINK("https://www.773grp.com/manufacturer/nxp-semiconductor?pageNo=35", "NXP Semiconductors")</f>
        <v>NXP Semiconductors</v>
      </c>
      <c r="C14076" s="6">
        <v>525000</v>
      </c>
      <c r="D14076" s="7">
        <v>0.15</v>
      </c>
    </row>
    <row r="14077" spans="1:4" x14ac:dyDescent="0.25">
      <c r="A14077" t="str">
        <f>HYPERLINK("https://www.773grp.com/globalSearch/74LVC1G08GV125/page-1", "74LVC1G08GV125")</f>
        <v>74LVC1G08GV125</v>
      </c>
      <c r="B14077" s="3" t="str">
        <f>HYPERLINK("https://www.773grp.com/manufacturer/nxp-semiconductor?pageNo=36", "NXP Semiconductors")</f>
        <v>NXP Semiconductors</v>
      </c>
      <c r="C14077" s="6">
        <v>657000</v>
      </c>
      <c r="D14077" s="7">
        <v>0.15</v>
      </c>
    </row>
    <row r="14078" spans="1:4" x14ac:dyDescent="0.25">
      <c r="A14078" t="str">
        <f>HYPERLINK("https://www.773grp.com/globalSearch/74LVC1G11GV125/page-1", "74LVC1G11GV125")</f>
        <v>74LVC1G11GV125</v>
      </c>
      <c r="B14078" s="3" t="str">
        <f>HYPERLINK("https://www.773grp.com/manufacturer/nxp-semiconductor?pageNo=37", "NXP Semiconductors")</f>
        <v>NXP Semiconductors</v>
      </c>
      <c r="C14078" s="6">
        <v>30000</v>
      </c>
      <c r="D14078" s="7">
        <v>0.15</v>
      </c>
    </row>
    <row r="14079" spans="1:4" x14ac:dyDescent="0.25">
      <c r="A14079" t="str">
        <f>HYPERLINK("https://www.773grp.com/globalSearch/74LVC1G125GV125/page-1", "74LVC1G125GV125")</f>
        <v>74LVC1G125GV125</v>
      </c>
      <c r="B14079" s="3" t="str">
        <f>HYPERLINK("https://www.773grp.com/manufacturer/nxp-semiconductor?pageNo=38", "NXP Semiconductors")</f>
        <v>NXP Semiconductors</v>
      </c>
      <c r="C14079" s="6">
        <v>828000</v>
      </c>
      <c r="D14079" s="7">
        <v>0.15</v>
      </c>
    </row>
    <row r="14080" spans="1:4" x14ac:dyDescent="0.25">
      <c r="A14080" t="str">
        <f>HYPERLINK("https://www.773grp.com/globalSearch/74LVC1G125GW125/page-1", "74LVC1G125GW125")</f>
        <v>74LVC1G125GW125</v>
      </c>
      <c r="B14080" s="3" t="str">
        <f>HYPERLINK("https://www.773grp.com/manufacturer/nxp-semiconductor?pageNo=39", "NXP Semiconductors")</f>
        <v>NXP Semiconductors</v>
      </c>
      <c r="C14080" s="6">
        <v>354000</v>
      </c>
      <c r="D14080" s="7">
        <v>0.15</v>
      </c>
    </row>
    <row r="14081" spans="1:4" x14ac:dyDescent="0.25">
      <c r="A14081" t="str">
        <f>HYPERLINK("https://www.773grp.com/globalSearch/74LVC1G126GV125/page-1", "74LVC1G126GV125")</f>
        <v>74LVC1G126GV125</v>
      </c>
      <c r="B14081" s="3" t="str">
        <f>HYPERLINK("https://www.773grp.com/manufacturer/nxp-semiconductor?pageNo=40", "NXP Semiconductors")</f>
        <v>NXP Semiconductors</v>
      </c>
      <c r="C14081" s="6">
        <v>123000</v>
      </c>
      <c r="D14081" s="7">
        <v>0.15</v>
      </c>
    </row>
    <row r="14082" spans="1:4" x14ac:dyDescent="0.25">
      <c r="A14082" t="str">
        <f>HYPERLINK("https://www.773grp.com/globalSearch/74LVC1G126GW125/page-1", "74LVC1G126GW125")</f>
        <v>74LVC1G126GW125</v>
      </c>
      <c r="B14082" s="3" t="str">
        <f>HYPERLINK("https://www.773grp.com/manufacturer/nxp-semiconductor?pageNo=41", "NXP Semiconductors")</f>
        <v>NXP Semiconductors</v>
      </c>
      <c r="C14082" s="6">
        <v>627000</v>
      </c>
      <c r="D14082" s="7">
        <v>0.15</v>
      </c>
    </row>
    <row r="14083" spans="1:4" x14ac:dyDescent="0.25">
      <c r="A14083" t="str">
        <f>HYPERLINK("https://www.773grp.com/globalSearch/74LVC1G14GV125/page-1", "74LVC1G14GV125")</f>
        <v>74LVC1G14GV125</v>
      </c>
      <c r="B14083" s="3" t="str">
        <f>HYPERLINK("https://www.773grp.com/manufacturer/nxp-semiconductor?pageNo=42", "NXP Semiconductors")</f>
        <v>NXP Semiconductors</v>
      </c>
      <c r="C14083" s="6">
        <v>942000</v>
      </c>
      <c r="D14083" s="7">
        <v>0.15</v>
      </c>
    </row>
    <row r="14084" spans="1:4" x14ac:dyDescent="0.25">
      <c r="A14084" t="str">
        <f>HYPERLINK("https://www.773grp.com/globalSearch/74LVC1G14GW125/page-1", "74LVC1G14GW125")</f>
        <v>74LVC1G14GW125</v>
      </c>
      <c r="B14084" s="3" t="str">
        <f>HYPERLINK("https://www.773grp.com/manufacturer/nxp-semiconductor?pageNo=43", "NXP Semiconductors")</f>
        <v>NXP Semiconductors</v>
      </c>
      <c r="C14084" s="6">
        <v>204000</v>
      </c>
      <c r="D14084" s="7">
        <v>0.15</v>
      </c>
    </row>
    <row r="14085" spans="1:4" x14ac:dyDescent="0.25">
      <c r="A14085" t="str">
        <f>HYPERLINK("https://www.773grp.com/globalSearch/74LVC1G157GV125/page-1", "74LVC1G157GV125")</f>
        <v>74LVC1G157GV125</v>
      </c>
      <c r="B14085" s="3" t="str">
        <f>HYPERLINK("https://www.773grp.com/manufacturer/nxp-semiconductor?pageNo=44", "NXP Semiconductors")</f>
        <v>NXP Semiconductors</v>
      </c>
      <c r="C14085" s="6">
        <v>3000</v>
      </c>
      <c r="D14085" s="7">
        <v>0.15</v>
      </c>
    </row>
    <row r="14086" spans="1:4" x14ac:dyDescent="0.25">
      <c r="A14086" t="str">
        <f>HYPERLINK("https://www.773grp.com/globalSearch/74LVC1G17GV125/page-1", "74LVC1G17GV125")</f>
        <v>74LVC1G17GV125</v>
      </c>
      <c r="B14086" s="3" t="str">
        <f>HYPERLINK("https://www.773grp.com/manufacturer/nxp-semiconductor?pageNo=45", "NXP Semiconductors")</f>
        <v>NXP Semiconductors</v>
      </c>
      <c r="C14086" s="6">
        <v>4434</v>
      </c>
      <c r="D14086" s="7">
        <v>0.15</v>
      </c>
    </row>
    <row r="14087" spans="1:4" x14ac:dyDescent="0.25">
      <c r="A14087" t="str">
        <f>HYPERLINK("https://www.773grp.com/globalSearch/74LVC1G17GW125/page-1", "74LVC1G17GW125")</f>
        <v>74LVC1G17GW125</v>
      </c>
      <c r="B14087" s="3" t="str">
        <f>HYPERLINK("https://www.773grp.com/manufacturer/nxp-semiconductor?pageNo=46", "NXP Semiconductors")</f>
        <v>NXP Semiconductors</v>
      </c>
      <c r="C14087" s="6">
        <v>167000</v>
      </c>
      <c r="D14087" s="7">
        <v>0.15</v>
      </c>
    </row>
    <row r="14088" spans="1:4" x14ac:dyDescent="0.25">
      <c r="A14088" t="str">
        <f>HYPERLINK("https://www.773grp.com/globalSearch/74LVC1G19GV125/page-1", "74LVC1G19GV125")</f>
        <v>74LVC1G19GV125</v>
      </c>
      <c r="B14088" s="3" t="str">
        <f>HYPERLINK("https://www.773grp.com/manufacturer/nxp-semiconductor?pageNo=47", "NXP Semiconductors")</f>
        <v>NXP Semiconductors</v>
      </c>
      <c r="C14088" s="6">
        <v>33000</v>
      </c>
      <c r="D14088" s="7">
        <v>0.15</v>
      </c>
    </row>
    <row r="14089" spans="1:4" x14ac:dyDescent="0.25">
      <c r="A14089" t="str">
        <f>HYPERLINK("https://www.773grp.com/globalSearch/74LVC1G32GV125/page-1", "74LVC1G32GV125")</f>
        <v>74LVC1G32GV125</v>
      </c>
      <c r="B14089" s="3" t="str">
        <f>HYPERLINK("https://www.773grp.com/manufacturer/nxp-semiconductor?pageNo=48", "NXP Semiconductors")</f>
        <v>NXP Semiconductors</v>
      </c>
      <c r="C14089" s="6">
        <v>144000</v>
      </c>
      <c r="D14089" s="7">
        <v>0.15</v>
      </c>
    </row>
    <row r="14090" spans="1:4" x14ac:dyDescent="0.25">
      <c r="A14090" t="str">
        <f>HYPERLINK("https://www.773grp.com/globalSearch/74LVC1G32GW125/page-1", "74LVC1G32GW125")</f>
        <v>74LVC1G32GW125</v>
      </c>
      <c r="B14090" s="3" t="str">
        <f>HYPERLINK("https://www.773grp.com/manufacturer/nxp-semiconductor?pageNo=1", "NXP Semiconductors")</f>
        <v>NXP Semiconductors</v>
      </c>
      <c r="C14090" s="6">
        <v>158840</v>
      </c>
      <c r="D14090" s="7">
        <v>0.15</v>
      </c>
    </row>
    <row r="14091" spans="1:4" x14ac:dyDescent="0.25">
      <c r="A14091" t="str">
        <f>HYPERLINK("https://www.773grp.com/globalSearch/74LVC1G38GW125/page-1", "74LVC1G38GW125")</f>
        <v>74LVC1G38GW125</v>
      </c>
      <c r="B14091" s="3" t="str">
        <f>HYPERLINK("https://www.773grp.com/manufacturer/nxp-semiconductor?pageNo=2", "NXP Semiconductors")</f>
        <v>NXP Semiconductors</v>
      </c>
      <c r="C14091" s="6">
        <v>96000</v>
      </c>
      <c r="D14091" s="7">
        <v>0.15</v>
      </c>
    </row>
    <row r="14092" spans="1:4" x14ac:dyDescent="0.25">
      <c r="A14092" t="str">
        <f>HYPERLINK("https://www.773grp.com/globalSearch/74LVC1G57GV125/page-1", "74LVC1G57GV125")</f>
        <v>74LVC1G57GV125</v>
      </c>
      <c r="B14092" s="3" t="str">
        <f>HYPERLINK("https://www.773grp.com/manufacturer/nxp-semiconductor?pageNo=3", "NXP Semiconductors")</f>
        <v>NXP Semiconductors</v>
      </c>
      <c r="C14092" s="6">
        <v>28750</v>
      </c>
      <c r="D14092" s="7">
        <v>0.15</v>
      </c>
    </row>
    <row r="14093" spans="1:4" x14ac:dyDescent="0.25">
      <c r="A14093" t="str">
        <f>HYPERLINK("https://www.773grp.com/globalSearch/74LVC1GU04GW125/page-1", "74LVC1GU04GW125")</f>
        <v>74LVC1GU04GW125</v>
      </c>
      <c r="B14093" s="3" t="str">
        <f>HYPERLINK("https://www.773grp.com/manufacturer/nxp-semiconductor?pageNo=4", "NXP Semiconductors")</f>
        <v>NXP Semiconductors</v>
      </c>
      <c r="C14093" s="6">
        <v>33000</v>
      </c>
      <c r="D14093" s="7">
        <v>0.15</v>
      </c>
    </row>
    <row r="14094" spans="1:4" x14ac:dyDescent="0.25">
      <c r="A14094" t="str">
        <f>HYPERLINK("https://www.773grp.com/globalSearch/BA278115/page-1", "BA278115")</f>
        <v>BA278115</v>
      </c>
      <c r="B14094" s="3" t="str">
        <f>HYPERLINK("https://www.773grp.com/manufacturer/nxp-semiconductor?pageNo=5", "NXP Semiconductors")</f>
        <v>NXP Semiconductors</v>
      </c>
      <c r="C14094" s="6">
        <v>9000</v>
      </c>
      <c r="D14094" s="7">
        <v>0.15</v>
      </c>
    </row>
    <row r="14095" spans="1:4" x14ac:dyDescent="0.25">
      <c r="A14095" t="str">
        <f>HYPERLINK("https://www.773grp.com/globalSearch/BA591115/page-1", "BA591115")</f>
        <v>BA591115</v>
      </c>
      <c r="B14095" s="3" t="str">
        <f>HYPERLINK("https://www.773grp.com/manufacturer/nxp-semiconductor?pageNo=6", "NXP Semiconductors")</f>
        <v>NXP Semiconductors</v>
      </c>
      <c r="C14095" s="6">
        <v>33000</v>
      </c>
      <c r="D14095" s="7">
        <v>0.15</v>
      </c>
    </row>
    <row r="14096" spans="1:4" x14ac:dyDescent="0.25">
      <c r="A14096" t="str">
        <f>HYPERLINK("https://www.773grp.com/globalSearch/BA891115/page-1", "BA891115")</f>
        <v>BA891115</v>
      </c>
      <c r="B14096" s="3" t="str">
        <f>HYPERLINK("https://www.773grp.com/manufacturer/nxp-semiconductor?pageNo=7", "NXP Semiconductors")</f>
        <v>NXP Semiconductors</v>
      </c>
      <c r="C14096" s="6">
        <v>51000</v>
      </c>
      <c r="D14096" s="7">
        <v>0.15</v>
      </c>
    </row>
    <row r="14097" spans="1:4" x14ac:dyDescent="0.25">
      <c r="A14097" t="str">
        <f>HYPERLINK("https://www.773grp.com/globalSearch/BAL74215/page-1", "BAL74215")</f>
        <v>BAL74215</v>
      </c>
      <c r="B14097" s="3" t="str">
        <f>HYPERLINK("https://www.773grp.com/manufacturer/nxp-semiconductor?pageNo=8", "NXP Semiconductors")</f>
        <v>NXP Semiconductors</v>
      </c>
      <c r="C14097" s="6">
        <v>85901</v>
      </c>
      <c r="D14097" s="7">
        <v>0.15</v>
      </c>
    </row>
    <row r="14098" spans="1:4" x14ac:dyDescent="0.25">
      <c r="A14098" t="str">
        <f>HYPERLINK("https://www.773grp.com/globalSearch/BAP63-02115/page-1", "BAP63-02115")</f>
        <v>BAP63-02115</v>
      </c>
      <c r="B14098" s="3" t="str">
        <f>HYPERLINK("https://www.773grp.com/manufacturer/nxp-semiconductor?pageNo=9", "NXP Semiconductors")</f>
        <v>NXP Semiconductors</v>
      </c>
      <c r="C14098" s="6">
        <v>24000</v>
      </c>
      <c r="D14098" s="7">
        <v>0.15</v>
      </c>
    </row>
    <row r="14099" spans="1:4" x14ac:dyDescent="0.25">
      <c r="A14099" t="str">
        <f>HYPERLINK("https://www.773grp.com/globalSearch/BAP63-03115/page-1", "BAP63-03115")</f>
        <v>BAP63-03115</v>
      </c>
      <c r="B14099" s="3" t="str">
        <f>HYPERLINK("https://www.773grp.com/manufacturer/nxp-semiconductor?pageNo=10", "NXP Semiconductors")</f>
        <v>NXP Semiconductors</v>
      </c>
      <c r="C14099" s="6">
        <v>8900</v>
      </c>
      <c r="D14099" s="7">
        <v>0.15</v>
      </c>
    </row>
    <row r="14100" spans="1:4" x14ac:dyDescent="0.25">
      <c r="A14100" t="str">
        <f>HYPERLINK("https://www.773grp.com/globalSearch/BAS116H115/page-1", "BAS116H115")</f>
        <v>BAS116H115</v>
      </c>
      <c r="B14100" s="3" t="str">
        <f>HYPERLINK("https://www.773grp.com/manufacturer/nxp-semiconductor?pageNo=11", "NXP Semiconductors")</f>
        <v>NXP Semiconductors</v>
      </c>
      <c r="C14100" s="6">
        <v>9000</v>
      </c>
      <c r="D14100" s="7">
        <v>0.15</v>
      </c>
    </row>
    <row r="14101" spans="1:4" x14ac:dyDescent="0.25">
      <c r="A14101" t="str">
        <f>HYPERLINK("https://www.773grp.com/globalSearch/BAS16LD315/page-1", "BAS16LD315")</f>
        <v>BAS16LD315</v>
      </c>
      <c r="B14101" s="3" t="str">
        <f>HYPERLINK("https://www.773grp.com/manufacturer/nxp-semiconductor?pageNo=12", "NXP Semiconductors")</f>
        <v>NXP Semiconductors</v>
      </c>
      <c r="C14101" s="6">
        <v>10000</v>
      </c>
      <c r="D14101" s="7">
        <v>0.15</v>
      </c>
    </row>
    <row r="14102" spans="1:4" x14ac:dyDescent="0.25">
      <c r="A14102" t="str">
        <f>HYPERLINK("https://www.773grp.com/globalSearch/BAS21J115/page-1", "BAS21J115")</f>
        <v>BAS21J115</v>
      </c>
      <c r="B14102" s="3" t="str">
        <f>HYPERLINK("https://www.773grp.com/manufacturer/nxp-semiconductor?pageNo=13", "NXP Semiconductors")</f>
        <v>NXP Semiconductors</v>
      </c>
      <c r="C14102" s="6">
        <v>73874</v>
      </c>
      <c r="D14102" s="7">
        <v>0.15</v>
      </c>
    </row>
    <row r="14103" spans="1:4" x14ac:dyDescent="0.25">
      <c r="A14103" t="str">
        <f>HYPERLINK("https://www.773grp.com/globalSearch/BAS40H115/page-1", "BAS40H115")</f>
        <v>BAS40H115</v>
      </c>
      <c r="B14103" s="3" t="str">
        <f>HYPERLINK("https://www.773grp.com/manufacturer/nxp-semiconductor?pageNo=14", "NXP Semiconductors")</f>
        <v>NXP Semiconductors</v>
      </c>
      <c r="C14103" s="6">
        <v>51000</v>
      </c>
      <c r="D14103" s="7">
        <v>0.15</v>
      </c>
    </row>
    <row r="14104" spans="1:4" x14ac:dyDescent="0.25">
      <c r="A14104" t="str">
        <f>HYPERLINK("https://www.773grp.com/globalSearch/BAS416115/page-1", "BAS416115")</f>
        <v>BAS416115</v>
      </c>
      <c r="B14104" s="3" t="str">
        <f>HYPERLINK("https://www.773grp.com/manufacturer/nxp-semiconductor?pageNo=15", "NXP Semiconductors")</f>
        <v>NXP Semiconductors</v>
      </c>
      <c r="C14104" s="6">
        <v>321000</v>
      </c>
      <c r="D14104" s="7">
        <v>0.15</v>
      </c>
    </row>
    <row r="14105" spans="1:4" x14ac:dyDescent="0.25">
      <c r="A14105" t="str">
        <f>HYPERLINK("https://www.773grp.com/globalSearch/BAS516115/page-1", "BAS516115")</f>
        <v>BAS516115</v>
      </c>
      <c r="B14105" s="3" t="str">
        <f>HYPERLINK("https://www.773grp.com/manufacturer/nxp-semiconductor?pageNo=16", "NXP Semiconductors")</f>
        <v>NXP Semiconductors</v>
      </c>
      <c r="C14105" s="6">
        <v>108829</v>
      </c>
      <c r="D14105" s="7">
        <v>0.15</v>
      </c>
    </row>
    <row r="14106" spans="1:4" x14ac:dyDescent="0.25">
      <c r="A14106" t="str">
        <f>HYPERLINK("https://www.773grp.com/globalSearch/BAS516135/page-1", "BAS516135")</f>
        <v>BAS516135</v>
      </c>
      <c r="B14106" s="3" t="str">
        <f>HYPERLINK("https://www.773grp.com/manufacturer/nxp-semiconductor?pageNo=17", "NXP Semiconductors")</f>
        <v>NXP Semiconductors</v>
      </c>
      <c r="C14106" s="6">
        <v>40000</v>
      </c>
      <c r="D14106" s="7">
        <v>0.15</v>
      </c>
    </row>
    <row r="14107" spans="1:4" x14ac:dyDescent="0.25">
      <c r="A14107" t="str">
        <f>HYPERLINK("https://www.773grp.com/globalSearch/BAS70H115/page-1", "BAS70H115")</f>
        <v>BAS70H115</v>
      </c>
      <c r="B14107" s="3" t="str">
        <f>HYPERLINK("https://www.773grp.com/manufacturer/nxp-semiconductor?pageNo=18", "NXP Semiconductors")</f>
        <v>NXP Semiconductors</v>
      </c>
      <c r="C14107" s="6">
        <v>36000</v>
      </c>
      <c r="D14107" s="7">
        <v>0.15</v>
      </c>
    </row>
    <row r="14108" spans="1:4" x14ac:dyDescent="0.25">
      <c r="A14108" t="str">
        <f>HYPERLINK("https://www.773grp.com/globalSearch/BAT46WH115/page-1", "BAT46WH115")</f>
        <v>BAT46WH115</v>
      </c>
      <c r="B14108" s="3" t="str">
        <f>HYPERLINK("https://www.773grp.com/manufacturer/nxp-semiconductor?pageNo=19", "NXP Semiconductors")</f>
        <v>NXP Semiconductors</v>
      </c>
      <c r="C14108" s="6">
        <v>6082</v>
      </c>
      <c r="D14108" s="7">
        <v>0.15</v>
      </c>
    </row>
    <row r="14109" spans="1:4" x14ac:dyDescent="0.25">
      <c r="A14109" t="str">
        <f>HYPERLINK("https://www.773grp.com/globalSearch/BAV102115/page-1", "BAV102115")</f>
        <v>BAV102115</v>
      </c>
      <c r="B14109" s="3" t="str">
        <f>HYPERLINK("https://www.773grp.com/manufacturer/nxp-semiconductor?pageNo=20", "NXP Semiconductors")</f>
        <v>NXP Semiconductors</v>
      </c>
      <c r="C14109" s="6">
        <v>24654</v>
      </c>
      <c r="D14109" s="7">
        <v>0.15</v>
      </c>
    </row>
    <row r="14110" spans="1:4" x14ac:dyDescent="0.25">
      <c r="A14110" t="str">
        <f>HYPERLINK("https://www.773grp.com/globalSearch/BAV103115/page-1", "BAV103115")</f>
        <v>BAV103115</v>
      </c>
      <c r="B14110" s="3" t="str">
        <f>HYPERLINK("https://www.773grp.com/manufacturer/nxp-semiconductor?pageNo=21", "NXP Semiconductors")</f>
        <v>NXP Semiconductors</v>
      </c>
      <c r="C14110" s="6">
        <v>2060000</v>
      </c>
      <c r="D14110" s="7">
        <v>0.15</v>
      </c>
    </row>
    <row r="14111" spans="1:4" x14ac:dyDescent="0.25">
      <c r="A14111" t="str">
        <f>HYPERLINK("https://www.773grp.com/globalSearch/BAV70W115/page-1", "BAV70W115")</f>
        <v>BAV70W115</v>
      </c>
      <c r="B14111" s="3" t="str">
        <f>HYPERLINK("https://www.773grp.com/manufacturer/nxp-semiconductor?pageNo=22", "NXP Semiconductors")</f>
        <v>NXP Semiconductors</v>
      </c>
      <c r="C14111" s="6">
        <v>90000</v>
      </c>
      <c r="D14111" s="7">
        <v>0.15</v>
      </c>
    </row>
    <row r="14112" spans="1:4" x14ac:dyDescent="0.25">
      <c r="A14112" t="str">
        <f>HYPERLINK("https://www.773grp.com/globalSearch/BAV70W135/page-1", "BAV70W135")</f>
        <v>BAV70W135</v>
      </c>
      <c r="B14112" s="3" t="str">
        <f>HYPERLINK("https://www.773grp.com/manufacturer/nxp-semiconductor?pageNo=23", "NXP Semiconductors")</f>
        <v>NXP Semiconductors</v>
      </c>
      <c r="C14112" s="6">
        <v>40000</v>
      </c>
      <c r="D14112" s="7">
        <v>0.15</v>
      </c>
    </row>
    <row r="14113" spans="1:4" x14ac:dyDescent="0.25">
      <c r="A14113" t="str">
        <f>HYPERLINK("https://www.773grp.com/globalSearch/BAV99W135/page-1", "BAV99W135")</f>
        <v>BAV99W135</v>
      </c>
      <c r="B14113" s="3" t="str">
        <f>HYPERLINK("https://www.773grp.com/manufacturer/nxp-semiconductor?pageNo=24", "NXP Semiconductors")</f>
        <v>NXP Semiconductors</v>
      </c>
      <c r="C14113" s="6">
        <v>25910</v>
      </c>
      <c r="D14113" s="7">
        <v>0.15</v>
      </c>
    </row>
    <row r="14114" spans="1:4" x14ac:dyDescent="0.25">
      <c r="A14114" t="str">
        <f>HYPERLINK("https://www.773grp.com/globalSearch/BAW156215/page-1", "BAW156215")</f>
        <v>BAW156215</v>
      </c>
      <c r="B14114" s="3" t="str">
        <f>HYPERLINK("https://www.773grp.com/manufacturer/nxp-semiconductor?pageNo=25", "NXP Semiconductors")</f>
        <v>NXP Semiconductors</v>
      </c>
      <c r="C14114" s="6">
        <v>12000</v>
      </c>
      <c r="D14114" s="7">
        <v>0.15</v>
      </c>
    </row>
    <row r="14115" spans="1:4" x14ac:dyDescent="0.25">
      <c r="A14115" t="str">
        <f>HYPERLINK("https://www.773grp.com/globalSearch/BC846BPN115/page-1", "BC846BPN115")</f>
        <v>BC846BPN115</v>
      </c>
      <c r="B14115" s="3" t="str">
        <f>HYPERLINK("https://www.773grp.com/manufacturer/nxp-semiconductor?pageNo=26", "NXP Semiconductors")</f>
        <v>NXP Semiconductors</v>
      </c>
      <c r="C14115" s="6">
        <v>18000</v>
      </c>
      <c r="D14115" s="7">
        <v>0.15</v>
      </c>
    </row>
    <row r="14116" spans="1:4" x14ac:dyDescent="0.25">
      <c r="A14116" t="str">
        <f>HYPERLINK("https://www.773grp.com/globalSearch/BC846BS115/page-1", "BC846BS115")</f>
        <v>BC846BS115</v>
      </c>
      <c r="B14116" s="3" t="str">
        <f>HYPERLINK("https://www.773grp.com/manufacturer/nxp-semiconductor?pageNo=27", "NXP Semiconductors")</f>
        <v>NXP Semiconductors</v>
      </c>
      <c r="C14116" s="6">
        <v>18170</v>
      </c>
      <c r="D14116" s="7">
        <v>0.15</v>
      </c>
    </row>
    <row r="14117" spans="1:4" x14ac:dyDescent="0.25">
      <c r="A14117" t="str">
        <f>HYPERLINK("https://www.773grp.com/globalSearch/BC846BS135/page-1", "BC846BS135")</f>
        <v>BC846BS135</v>
      </c>
      <c r="B14117" s="3" t="str">
        <f>HYPERLINK("https://www.773grp.com/manufacturer/nxp-semiconductor?pageNo=28", "NXP Semiconductors")</f>
        <v>NXP Semiconductors</v>
      </c>
      <c r="C14117" s="6">
        <v>30000</v>
      </c>
      <c r="D14117" s="7">
        <v>0.15</v>
      </c>
    </row>
    <row r="14118" spans="1:4" x14ac:dyDescent="0.25">
      <c r="A14118" t="str">
        <f>HYPERLINK("https://www.773grp.com/globalSearch/BC847AM315/page-1", "BC847AM315")</f>
        <v>BC847AM315</v>
      </c>
      <c r="B14118" s="3" t="str">
        <f>HYPERLINK("https://www.773grp.com/manufacturer/nxp-semiconductor?pageNo=29", "NXP Semiconductors")</f>
        <v>NXP Semiconductors</v>
      </c>
      <c r="C14118" s="6">
        <v>21000</v>
      </c>
      <c r="D14118" s="7">
        <v>0.15</v>
      </c>
    </row>
    <row r="14119" spans="1:4" x14ac:dyDescent="0.25">
      <c r="A14119" t="str">
        <f>HYPERLINK("https://www.773grp.com/globalSearch/BC847BM315/page-1", "BC847BM315")</f>
        <v>BC847BM315</v>
      </c>
      <c r="B14119" s="3" t="str">
        <f>HYPERLINK("https://www.773grp.com/manufacturer/nxp-semiconductor?pageNo=30", "NXP Semiconductors")</f>
        <v>NXP Semiconductors</v>
      </c>
      <c r="C14119" s="6">
        <v>24448</v>
      </c>
      <c r="D14119" s="7">
        <v>0.15</v>
      </c>
    </row>
    <row r="14120" spans="1:4" x14ac:dyDescent="0.25">
      <c r="A14120" t="str">
        <f>HYPERLINK("https://www.773grp.com/globalSearch/BC847BPN115/page-1", "BC847BPN115")</f>
        <v>BC847BPN115</v>
      </c>
      <c r="B14120" s="3" t="str">
        <f>HYPERLINK("https://www.773grp.com/manufacturer/nxp-semiconductor?pageNo=31", "NXP Semiconductors")</f>
        <v>NXP Semiconductors</v>
      </c>
      <c r="C14120" s="6">
        <v>8802</v>
      </c>
      <c r="D14120" s="7">
        <v>0.15</v>
      </c>
    </row>
    <row r="14121" spans="1:4" x14ac:dyDescent="0.25">
      <c r="A14121" t="str">
        <f>HYPERLINK("https://www.773grp.com/globalSearch/BC847BS115/page-1", "BC847BS115")</f>
        <v>BC847BS115</v>
      </c>
      <c r="B14121" s="3" t="str">
        <f>HYPERLINK("https://www.773grp.com/manufacturer/nxp-semiconductor?pageNo=32", "NXP Semiconductors")</f>
        <v>NXP Semiconductors</v>
      </c>
      <c r="C14121" s="6">
        <v>201000</v>
      </c>
      <c r="D14121" s="7">
        <v>0.15</v>
      </c>
    </row>
    <row r="14122" spans="1:4" x14ac:dyDescent="0.25">
      <c r="A14122" t="str">
        <f>HYPERLINK("https://www.773grp.com/globalSearch/BC847BS135/page-1", "BC847BS135")</f>
        <v>BC847BS135</v>
      </c>
      <c r="B14122" s="3" t="str">
        <f>HYPERLINK("https://www.773grp.com/manufacturer/nxp-semiconductor?pageNo=33", "NXP Semiconductors")</f>
        <v>NXP Semiconductors</v>
      </c>
      <c r="C14122" s="6">
        <v>50000</v>
      </c>
      <c r="D14122" s="7">
        <v>0.15</v>
      </c>
    </row>
    <row r="14123" spans="1:4" x14ac:dyDescent="0.25">
      <c r="A14123" t="str">
        <f>HYPERLINK("https://www.773grp.com/globalSearch/BC847BV315/page-1", "BC847BV315")</f>
        <v>BC847BV315</v>
      </c>
      <c r="B14123" s="3" t="str">
        <f>HYPERLINK("https://www.773grp.com/manufacturer/nxp-semiconductor?pageNo=34", "NXP Semiconductors")</f>
        <v>NXP Semiconductors</v>
      </c>
      <c r="C14123" s="6">
        <v>32700</v>
      </c>
      <c r="D14123" s="7">
        <v>0.15</v>
      </c>
    </row>
    <row r="14124" spans="1:4" x14ac:dyDescent="0.25">
      <c r="A14124" t="str">
        <f>HYPERLINK("https://www.773grp.com/globalSearch/BC847CM315/page-1", "BC847CM315")</f>
        <v>BC847CM315</v>
      </c>
      <c r="B14124" s="3" t="str">
        <f>HYPERLINK("https://www.773grp.com/manufacturer/nxp-semiconductor?pageNo=35", "NXP Semiconductors")</f>
        <v>NXP Semiconductors</v>
      </c>
      <c r="C14124" s="6">
        <v>31425</v>
      </c>
      <c r="D14124" s="7">
        <v>0.15</v>
      </c>
    </row>
    <row r="14125" spans="1:4" x14ac:dyDescent="0.25">
      <c r="A14125" t="str">
        <f>HYPERLINK("https://www.773grp.com/globalSearch/BC857BM315/page-1", "BC857BM315")</f>
        <v>BC857BM315</v>
      </c>
      <c r="B14125" s="3" t="str">
        <f>HYPERLINK("https://www.773grp.com/manufacturer/nxp-semiconductor?pageNo=36", "NXP Semiconductors")</f>
        <v>NXP Semiconductors</v>
      </c>
      <c r="C14125" s="6">
        <v>2480</v>
      </c>
      <c r="D14125" s="7">
        <v>0.15</v>
      </c>
    </row>
    <row r="14126" spans="1:4" x14ac:dyDescent="0.25">
      <c r="A14126" t="str">
        <f>HYPERLINK("https://www.773grp.com/globalSearch/BC857BS115/page-1", "BC857BS115")</f>
        <v>BC857BS115</v>
      </c>
      <c r="B14126" s="3" t="str">
        <f>HYPERLINK("https://www.773grp.com/manufacturer/nxp-semiconductor?pageNo=37", "NXP Semiconductors")</f>
        <v>NXP Semiconductors</v>
      </c>
      <c r="C14126" s="6">
        <v>6000</v>
      </c>
      <c r="D14126" s="7">
        <v>0.15</v>
      </c>
    </row>
    <row r="14127" spans="1:4" x14ac:dyDescent="0.25">
      <c r="A14127" t="str">
        <f>HYPERLINK("https://www.773grp.com/globalSearch/BC857BS135/page-1", "BC857BS135")</f>
        <v>BC857BS135</v>
      </c>
      <c r="B14127" s="3" t="str">
        <f>HYPERLINK("https://www.773grp.com/manufacturer/nxp-semiconductor?pageNo=38", "NXP Semiconductors")</f>
        <v>NXP Semiconductors</v>
      </c>
      <c r="C14127" s="6">
        <v>30000</v>
      </c>
      <c r="D14127" s="7">
        <v>0.15</v>
      </c>
    </row>
    <row r="14128" spans="1:4" x14ac:dyDescent="0.25">
      <c r="A14128" t="str">
        <f>HYPERLINK("https://www.773grp.com/globalSearch/BC859C215/page-1", "BC859C215")</f>
        <v>BC859C215</v>
      </c>
      <c r="B14128" s="3" t="str">
        <f>HYPERLINK("https://www.773grp.com/manufacturer/nxp-semiconductor?pageNo=39", "NXP Semiconductors")</f>
        <v>NXP Semiconductors</v>
      </c>
      <c r="C14128" s="6">
        <v>102000</v>
      </c>
      <c r="D14128" s="7">
        <v>0.15</v>
      </c>
    </row>
    <row r="14129" spans="1:4" x14ac:dyDescent="0.25">
      <c r="A14129" t="str">
        <f>HYPERLINK("https://www.773grp.com/globalSearch/BCW69215/page-1", "BCW69215")</f>
        <v>BCW69215</v>
      </c>
      <c r="B14129" s="3" t="str">
        <f>HYPERLINK("https://www.773grp.com/manufacturer/nxp-semiconductor?pageNo=40", "NXP Semiconductors")</f>
        <v>NXP Semiconductors</v>
      </c>
      <c r="C14129" s="6">
        <v>24000</v>
      </c>
      <c r="D14129" s="7">
        <v>0.15</v>
      </c>
    </row>
    <row r="14130" spans="1:4" x14ac:dyDescent="0.25">
      <c r="A14130" t="str">
        <f>HYPERLINK("https://www.773grp.com/globalSearch/BCW70215/page-1", "BCW70215")</f>
        <v>BCW70215</v>
      </c>
      <c r="B14130" s="3" t="str">
        <f>HYPERLINK("https://www.773grp.com/manufacturer/nxp-semiconductor?pageNo=41", "NXP Semiconductors")</f>
        <v>NXP Semiconductors</v>
      </c>
      <c r="C14130" s="6">
        <v>35585</v>
      </c>
      <c r="D14130" s="7">
        <v>0.15</v>
      </c>
    </row>
    <row r="14131" spans="1:4" x14ac:dyDescent="0.25">
      <c r="A14131" t="str">
        <f>HYPERLINK("https://www.773grp.com/globalSearch/BCW70235/page-1", "BCW70235")</f>
        <v>BCW70235</v>
      </c>
      <c r="B14131" s="3" t="str">
        <f>HYPERLINK("https://www.773grp.com/manufacturer/nxp-semiconductor?pageNo=42", "NXP Semiconductors")</f>
        <v>NXP Semiconductors</v>
      </c>
      <c r="C14131" s="6">
        <v>30000</v>
      </c>
      <c r="D14131" s="7">
        <v>0.15</v>
      </c>
    </row>
    <row r="14132" spans="1:4" x14ac:dyDescent="0.25">
      <c r="A14132" t="str">
        <f>HYPERLINK("https://www.773grp.com/globalSearch/BCW71215/page-1", "BCW71215")</f>
        <v>BCW71215</v>
      </c>
      <c r="B14132" s="3" t="str">
        <f>HYPERLINK("https://www.773grp.com/manufacturer/nxp-semiconductor?pageNo=43", "NXP Semiconductors")</f>
        <v>NXP Semiconductors</v>
      </c>
      <c r="C14132" s="6">
        <v>21000</v>
      </c>
      <c r="D14132" s="7">
        <v>0.15</v>
      </c>
    </row>
    <row r="14133" spans="1:4" x14ac:dyDescent="0.25">
      <c r="A14133" t="str">
        <f>HYPERLINK("https://www.773grp.com/globalSearch/BCW72215/page-1", "BCW72215")</f>
        <v>BCW72215</v>
      </c>
      <c r="B14133" s="3" t="str">
        <f>HYPERLINK("https://www.773grp.com/manufacturer/nxp-semiconductor?pageNo=44", "NXP Semiconductors")</f>
        <v>NXP Semiconductors</v>
      </c>
      <c r="C14133" s="6">
        <v>39000</v>
      </c>
      <c r="D14133" s="7">
        <v>0.15</v>
      </c>
    </row>
    <row r="14134" spans="1:4" x14ac:dyDescent="0.25">
      <c r="A14134" t="str">
        <f>HYPERLINK("https://www.773grp.com/globalSearch/BCX70G215/page-1", "BCX70G215")</f>
        <v>BCX70G215</v>
      </c>
      <c r="B14134" s="3" t="str">
        <f>HYPERLINK("https://www.773grp.com/manufacturer/nxp-semiconductor?pageNo=45", "NXP Semiconductors")</f>
        <v>NXP Semiconductors</v>
      </c>
      <c r="C14134" s="6">
        <v>55390</v>
      </c>
      <c r="D14134" s="7">
        <v>0.15</v>
      </c>
    </row>
    <row r="14135" spans="1:4" x14ac:dyDescent="0.25">
      <c r="A14135" t="str">
        <f>HYPERLINK("https://www.773grp.com/globalSearch/BCX70H215/page-1", "BCX70H215")</f>
        <v>BCX70H215</v>
      </c>
      <c r="B14135" s="3" t="str">
        <f>HYPERLINK("https://www.773grp.com/manufacturer/nxp-semiconductor?pageNo=46", "NXP Semiconductors")</f>
        <v>NXP Semiconductors</v>
      </c>
      <c r="C14135" s="6">
        <v>51000</v>
      </c>
      <c r="D14135" s="7">
        <v>0.15</v>
      </c>
    </row>
    <row r="14136" spans="1:4" x14ac:dyDescent="0.25">
      <c r="A14136" t="str">
        <f>HYPERLINK("https://www.773grp.com/globalSearch/BCX70J215/page-1", "BCX70J215")</f>
        <v>BCX70J215</v>
      </c>
      <c r="B14136" s="3" t="str">
        <f>HYPERLINK("https://www.773grp.com/manufacturer/nxp-semiconductor?pageNo=47", "NXP Semiconductors")</f>
        <v>NXP Semiconductors</v>
      </c>
      <c r="C14136" s="6">
        <v>28486</v>
      </c>
      <c r="D14136" s="7">
        <v>0.15</v>
      </c>
    </row>
    <row r="14137" spans="1:4" x14ac:dyDescent="0.25">
      <c r="A14137" t="str">
        <f>HYPERLINK("https://www.773grp.com/globalSearch/BCX70K215/page-1", "BCX70K215")</f>
        <v>BCX70K215</v>
      </c>
      <c r="B14137" s="3" t="str">
        <f>HYPERLINK("https://www.773grp.com/manufacturer/nxp-semiconductor?pageNo=48", "NXP Semiconductors")</f>
        <v>NXP Semiconductors</v>
      </c>
      <c r="C14137" s="6">
        <v>42000</v>
      </c>
      <c r="D14137" s="7">
        <v>0.15</v>
      </c>
    </row>
    <row r="14138" spans="1:4" x14ac:dyDescent="0.25">
      <c r="A14138" t="str">
        <f>HYPERLINK("https://www.773grp.com/globalSearch/BCX71H215/page-1", "BCX71H215")</f>
        <v>BCX71H215</v>
      </c>
      <c r="B14138" s="3" t="str">
        <f>HYPERLINK("https://www.773grp.com/manufacturer/nxp-semiconductor?pageNo=1", "NXP Semiconductors")</f>
        <v>NXP Semiconductors</v>
      </c>
      <c r="C14138" s="6">
        <v>150000</v>
      </c>
      <c r="D14138" s="7">
        <v>0.15</v>
      </c>
    </row>
    <row r="14139" spans="1:4" x14ac:dyDescent="0.25">
      <c r="A14139" t="str">
        <f>HYPERLINK("https://www.773grp.com/globalSearch/BCX71J215/page-1", "BCX71J215")</f>
        <v>BCX71J215</v>
      </c>
      <c r="B14139" s="3" t="str">
        <f>HYPERLINK("https://www.773grp.com/manufacturer/nxp-semiconductor?pageNo=2", "NXP Semiconductors")</f>
        <v>NXP Semiconductors</v>
      </c>
      <c r="C14139" s="6">
        <v>36108</v>
      </c>
      <c r="D14139" s="7">
        <v>0.15</v>
      </c>
    </row>
    <row r="14140" spans="1:4" x14ac:dyDescent="0.25">
      <c r="A14140" t="str">
        <f>HYPERLINK("https://www.773grp.com/globalSearch/BCX71K215/page-1", "BCX71K215")</f>
        <v>BCX71K215</v>
      </c>
      <c r="B14140" s="3" t="str">
        <f>HYPERLINK("https://www.773grp.com/manufacturer/nxp-semiconductor?pageNo=3", "NXP Semiconductors")</f>
        <v>NXP Semiconductors</v>
      </c>
      <c r="C14140" s="6">
        <v>39000</v>
      </c>
      <c r="D14140" s="7">
        <v>0.15</v>
      </c>
    </row>
    <row r="14141" spans="1:4" x14ac:dyDescent="0.25">
      <c r="A14141" t="str">
        <f>HYPERLINK("https://www.773grp.com/globalSearch/BUJ100LR126/page-1", "BUJ100LR126")</f>
        <v>BUJ100LR126</v>
      </c>
      <c r="B14141" s="3" t="str">
        <f>HYPERLINK("https://www.773grp.com/manufacturer/nxp-semiconductor?pageNo=4", "NXP Semiconductors")</f>
        <v>NXP Semiconductors</v>
      </c>
      <c r="C14141" s="6">
        <v>18296</v>
      </c>
      <c r="D14141" s="7">
        <v>0.15</v>
      </c>
    </row>
    <row r="14142" spans="1:4" x14ac:dyDescent="0.25">
      <c r="A14142" t="str">
        <f>HYPERLINK("https://www.773grp.com/globalSearch/BUJ100LR412/page-1", "BUJ100LR412")</f>
        <v>BUJ100LR412</v>
      </c>
      <c r="B14142" s="3" t="str">
        <f>HYPERLINK("https://www.773grp.com/manufacturer/nxp-semiconductor?pageNo=5", "NXP Semiconductors")</f>
        <v>NXP Semiconductors</v>
      </c>
      <c r="C14142" s="6">
        <v>10000</v>
      </c>
      <c r="D14142" s="7">
        <v>0.15</v>
      </c>
    </row>
    <row r="14143" spans="1:4" x14ac:dyDescent="0.25">
      <c r="A14143" t="str">
        <f>HYPERLINK("https://www.773grp.com/globalSearch/BZT52H-C10115/page-1", "BZT52H-C10115")</f>
        <v>BZT52H-C10115</v>
      </c>
      <c r="B14143" s="3" t="str">
        <f>HYPERLINK("https://www.773grp.com/manufacturer/nxp-semiconductor?pageNo=6", "NXP Semiconductors")</f>
        <v>NXP Semiconductors</v>
      </c>
      <c r="C14143" s="6">
        <v>37863</v>
      </c>
      <c r="D14143" s="7">
        <v>0.15</v>
      </c>
    </row>
    <row r="14144" spans="1:4" x14ac:dyDescent="0.25">
      <c r="A14144" t="str">
        <f>HYPERLINK("https://www.773grp.com/globalSearch/BZT52H-C11115/page-1", "BZT52H-C11115")</f>
        <v>BZT52H-C11115</v>
      </c>
      <c r="B14144" s="3" t="str">
        <f>HYPERLINK("https://www.773grp.com/manufacturer/nxp-semiconductor?pageNo=7", "NXP Semiconductors")</f>
        <v>NXP Semiconductors</v>
      </c>
      <c r="C14144" s="6">
        <v>12975</v>
      </c>
      <c r="D14144" s="7">
        <v>0.15</v>
      </c>
    </row>
    <row r="14145" spans="1:4" x14ac:dyDescent="0.25">
      <c r="A14145" t="str">
        <f>HYPERLINK("https://www.773grp.com/globalSearch/BZT52H-C12115/page-1", "BZT52H-C12115")</f>
        <v>BZT52H-C12115</v>
      </c>
      <c r="B14145" s="3" t="str">
        <f>HYPERLINK("https://www.773grp.com/manufacturer/nxp-semiconductor?pageNo=8", "NXP Semiconductors")</f>
        <v>NXP Semiconductors</v>
      </c>
      <c r="C14145" s="6">
        <v>10839</v>
      </c>
      <c r="D14145" s="7">
        <v>0.15</v>
      </c>
    </row>
    <row r="14146" spans="1:4" x14ac:dyDescent="0.25">
      <c r="A14146" t="str">
        <f>HYPERLINK("https://www.773grp.com/globalSearch/BZT52H-C13115/page-1", "BZT52H-C13115")</f>
        <v>BZT52H-C13115</v>
      </c>
      <c r="B14146" s="3" t="str">
        <f>HYPERLINK("https://www.773grp.com/manufacturer/nxp-semiconductor?pageNo=9", "NXP Semiconductors")</f>
        <v>NXP Semiconductors</v>
      </c>
      <c r="C14146" s="6">
        <v>4000</v>
      </c>
      <c r="D14146" s="7">
        <v>0.15</v>
      </c>
    </row>
    <row r="14147" spans="1:4" x14ac:dyDescent="0.25">
      <c r="A14147" t="str">
        <f>HYPERLINK("https://www.773grp.com/globalSearch/BZT52H-C15115/page-1", "BZT52H-C15115")</f>
        <v>BZT52H-C15115</v>
      </c>
      <c r="B14147" s="3" t="str">
        <f>HYPERLINK("https://www.773grp.com/manufacturer/nxp-semiconductor?pageNo=10", "NXP Semiconductors")</f>
        <v>NXP Semiconductors</v>
      </c>
      <c r="C14147" s="6">
        <v>24095</v>
      </c>
      <c r="D14147" s="7">
        <v>0.15</v>
      </c>
    </row>
    <row r="14148" spans="1:4" x14ac:dyDescent="0.25">
      <c r="A14148" t="str">
        <f>HYPERLINK("https://www.773grp.com/globalSearch/BZT52H-C16115/page-1", "BZT52H-C16115")</f>
        <v>BZT52H-C16115</v>
      </c>
      <c r="B14148" s="3" t="str">
        <f>HYPERLINK("https://www.773grp.com/manufacturer/nxp-semiconductor?pageNo=11", "NXP Semiconductors")</f>
        <v>NXP Semiconductors</v>
      </c>
      <c r="C14148" s="6">
        <v>200</v>
      </c>
      <c r="D14148" s="7">
        <v>0.15</v>
      </c>
    </row>
    <row r="14149" spans="1:4" x14ac:dyDescent="0.25">
      <c r="A14149" t="str">
        <f>HYPERLINK("https://www.773grp.com/globalSearch/BZT52H-C18115/page-1", "BZT52H-C18115")</f>
        <v>BZT52H-C18115</v>
      </c>
      <c r="B14149" s="3" t="str">
        <f>HYPERLINK("https://www.773grp.com/manufacturer/nxp-semiconductor?pageNo=12", "NXP Semiconductors")</f>
        <v>NXP Semiconductors</v>
      </c>
      <c r="C14149" s="6">
        <v>53428</v>
      </c>
      <c r="D14149" s="7">
        <v>0.15</v>
      </c>
    </row>
    <row r="14150" spans="1:4" x14ac:dyDescent="0.25">
      <c r="A14150" t="str">
        <f>HYPERLINK("https://www.773grp.com/globalSearch/BZT52H-C20115/page-1", "BZT52H-C20115")</f>
        <v>BZT52H-C20115</v>
      </c>
      <c r="B14150" s="3" t="str">
        <f>HYPERLINK("https://www.773grp.com/manufacturer/nxp-semiconductor?pageNo=13", "NXP Semiconductors")</f>
        <v>NXP Semiconductors</v>
      </c>
      <c r="C14150" s="6">
        <v>36000</v>
      </c>
      <c r="D14150" s="7">
        <v>0.15</v>
      </c>
    </row>
    <row r="14151" spans="1:4" x14ac:dyDescent="0.25">
      <c r="A14151" t="str">
        <f>HYPERLINK("https://www.773grp.com/globalSearch/BZT52H-C22115/page-1", "BZT52H-C22115")</f>
        <v>BZT52H-C22115</v>
      </c>
      <c r="B14151" s="3" t="str">
        <f>HYPERLINK("https://www.773grp.com/manufacturer/nxp-semiconductor?pageNo=14", "NXP Semiconductors")</f>
        <v>NXP Semiconductors</v>
      </c>
      <c r="C14151" s="6">
        <v>19200</v>
      </c>
      <c r="D14151" s="7">
        <v>0.15</v>
      </c>
    </row>
    <row r="14152" spans="1:4" x14ac:dyDescent="0.25">
      <c r="A14152" t="str">
        <f>HYPERLINK("https://www.773grp.com/globalSearch/BZT52H-C24115/page-1", "BZT52H-C24115")</f>
        <v>BZT52H-C24115</v>
      </c>
      <c r="B14152" s="3" t="str">
        <f>HYPERLINK("https://www.773grp.com/manufacturer/nxp-semiconductor?pageNo=15", "NXP Semiconductors")</f>
        <v>NXP Semiconductors</v>
      </c>
      <c r="C14152" s="6">
        <v>16791</v>
      </c>
      <c r="D14152" s="7">
        <v>0.15</v>
      </c>
    </row>
    <row r="14153" spans="1:4" x14ac:dyDescent="0.25">
      <c r="A14153" t="str">
        <f>HYPERLINK("https://www.773grp.com/globalSearch/BZT52H-C27115/page-1", "BZT52H-C27115")</f>
        <v>BZT52H-C27115</v>
      </c>
      <c r="B14153" s="3" t="str">
        <f>HYPERLINK("https://www.773grp.com/manufacturer/nxp-semiconductor?pageNo=16", "NXP Semiconductors")</f>
        <v>NXP Semiconductors</v>
      </c>
      <c r="C14153" s="6">
        <v>12200</v>
      </c>
      <c r="D14153" s="7">
        <v>0.15</v>
      </c>
    </row>
    <row r="14154" spans="1:4" x14ac:dyDescent="0.25">
      <c r="A14154" t="str">
        <f>HYPERLINK("https://www.773grp.com/globalSearch/BZT52H-C2V4115/page-1", "BZT52H-C2V4115")</f>
        <v>BZT52H-C2V4115</v>
      </c>
      <c r="B14154" s="3" t="str">
        <f>HYPERLINK("https://www.773grp.com/manufacturer/nxp-semiconductor?pageNo=17", "NXP Semiconductors")</f>
        <v>NXP Semiconductors</v>
      </c>
      <c r="C14154" s="6">
        <v>66050</v>
      </c>
      <c r="D14154" s="7">
        <v>0.15</v>
      </c>
    </row>
    <row r="14155" spans="1:4" x14ac:dyDescent="0.25">
      <c r="A14155" t="str">
        <f>HYPERLINK("https://www.773grp.com/globalSearch/BZT52H-C2V7115/page-1", "BZT52H-C2V7115")</f>
        <v>BZT52H-C2V7115</v>
      </c>
      <c r="B14155" s="3" t="str">
        <f>HYPERLINK("https://www.773grp.com/manufacturer/nxp-semiconductor?pageNo=18", "NXP Semiconductors")</f>
        <v>NXP Semiconductors</v>
      </c>
      <c r="C14155" s="6">
        <v>21960</v>
      </c>
      <c r="D14155" s="7">
        <v>0.15</v>
      </c>
    </row>
    <row r="14156" spans="1:4" x14ac:dyDescent="0.25">
      <c r="A14156" t="str">
        <f>HYPERLINK("https://www.773grp.com/globalSearch/BZT52H-C30115/page-1", "BZT52H-C30115")</f>
        <v>BZT52H-C30115</v>
      </c>
      <c r="B14156" s="3" t="str">
        <f>HYPERLINK("https://www.773grp.com/manufacturer/nxp-semiconductor?pageNo=19", "NXP Semiconductors")</f>
        <v>NXP Semiconductors</v>
      </c>
      <c r="C14156" s="6">
        <v>37308</v>
      </c>
      <c r="D14156" s="7">
        <v>0.15</v>
      </c>
    </row>
    <row r="14157" spans="1:4" x14ac:dyDescent="0.25">
      <c r="A14157" t="str">
        <f>HYPERLINK("https://www.773grp.com/globalSearch/BZT52H-C33115/page-1", "BZT52H-C33115")</f>
        <v>BZT52H-C33115</v>
      </c>
      <c r="B14157" s="3" t="str">
        <f>HYPERLINK("https://www.773grp.com/manufacturer/nxp-semiconductor?pageNo=20", "NXP Semiconductors")</f>
        <v>NXP Semiconductors</v>
      </c>
      <c r="C14157" s="6">
        <v>54100</v>
      </c>
      <c r="D14157" s="7">
        <v>0.15</v>
      </c>
    </row>
    <row r="14158" spans="1:4" x14ac:dyDescent="0.25">
      <c r="A14158" t="str">
        <f>HYPERLINK("https://www.773grp.com/globalSearch/BZT52H-C36115/page-1", "BZT52H-C36115")</f>
        <v>BZT52H-C36115</v>
      </c>
      <c r="B14158" s="3" t="str">
        <f>HYPERLINK("https://www.773grp.com/manufacturer/nxp-semiconductor?pageNo=21", "NXP Semiconductors")</f>
        <v>NXP Semiconductors</v>
      </c>
      <c r="C14158" s="6">
        <v>36200</v>
      </c>
      <c r="D14158" s="7">
        <v>0.15</v>
      </c>
    </row>
    <row r="14159" spans="1:4" x14ac:dyDescent="0.25">
      <c r="A14159" t="str">
        <f>HYPERLINK("https://www.773grp.com/globalSearch/BZT52H-C39115/page-1", "BZT52H-C39115")</f>
        <v>BZT52H-C39115</v>
      </c>
      <c r="B14159" s="3" t="str">
        <f>HYPERLINK("https://www.773grp.com/manufacturer/nxp-semiconductor?pageNo=22", "NXP Semiconductors")</f>
        <v>NXP Semiconductors</v>
      </c>
      <c r="C14159" s="6">
        <v>12150</v>
      </c>
      <c r="D14159" s="7">
        <v>0.15</v>
      </c>
    </row>
    <row r="14160" spans="1:4" x14ac:dyDescent="0.25">
      <c r="A14160" t="str">
        <f>HYPERLINK("https://www.773grp.com/globalSearch/BZT52H-C3V0115/page-1", "BZT52H-C3V0115")</f>
        <v>BZT52H-C3V0115</v>
      </c>
      <c r="B14160" s="3" t="str">
        <f>HYPERLINK("https://www.773grp.com/manufacturer/nxp-semiconductor?pageNo=23", "NXP Semiconductors")</f>
        <v>NXP Semiconductors</v>
      </c>
      <c r="C14160" s="6">
        <v>45537</v>
      </c>
      <c r="D14160" s="7">
        <v>0.15</v>
      </c>
    </row>
    <row r="14161" spans="1:4" x14ac:dyDescent="0.25">
      <c r="A14161" t="str">
        <f>HYPERLINK("https://www.773grp.com/globalSearch/BZT52H-C3V3115/page-1", "BZT52H-C3V3115")</f>
        <v>BZT52H-C3V3115</v>
      </c>
      <c r="B14161" s="3" t="str">
        <f>HYPERLINK("https://www.773grp.com/manufacturer/nxp-semiconductor?pageNo=24", "NXP Semiconductors")</f>
        <v>NXP Semiconductors</v>
      </c>
      <c r="C14161" s="6">
        <v>30000</v>
      </c>
      <c r="D14161" s="7">
        <v>0.15</v>
      </c>
    </row>
    <row r="14162" spans="1:4" x14ac:dyDescent="0.25">
      <c r="A14162" t="str">
        <f>HYPERLINK("https://www.773grp.com/globalSearch/BZT52H-C3V6115/page-1", "BZT52H-C3V6115")</f>
        <v>BZT52H-C3V6115</v>
      </c>
      <c r="B14162" s="3" t="str">
        <f>HYPERLINK("https://www.773grp.com/manufacturer/nxp-semiconductor?pageNo=25", "NXP Semiconductors")</f>
        <v>NXP Semiconductors</v>
      </c>
      <c r="C14162" s="6">
        <v>30200</v>
      </c>
      <c r="D14162" s="7">
        <v>0.15</v>
      </c>
    </row>
    <row r="14163" spans="1:4" x14ac:dyDescent="0.25">
      <c r="A14163" t="str">
        <f>HYPERLINK("https://www.773grp.com/globalSearch/BZT52H-C3V9115/page-1", "BZT52H-C3V9115")</f>
        <v>BZT52H-C3V9115</v>
      </c>
      <c r="B14163" s="3" t="str">
        <f>HYPERLINK("https://www.773grp.com/manufacturer/nxp-semiconductor?pageNo=26", "NXP Semiconductors")</f>
        <v>NXP Semiconductors</v>
      </c>
      <c r="C14163" s="6">
        <v>4000</v>
      </c>
      <c r="D14163" s="7">
        <v>0.15</v>
      </c>
    </row>
    <row r="14164" spans="1:4" x14ac:dyDescent="0.25">
      <c r="A14164" t="str">
        <f>HYPERLINK("https://www.773grp.com/globalSearch/BZT52H-C43115/page-1", "BZT52H-C43115")</f>
        <v>BZT52H-C43115</v>
      </c>
      <c r="B14164" s="3" t="str">
        <f>HYPERLINK("https://www.773grp.com/manufacturer/nxp-semiconductor?pageNo=27", "NXP Semiconductors")</f>
        <v>NXP Semiconductors</v>
      </c>
      <c r="C14164" s="6">
        <v>20735</v>
      </c>
      <c r="D14164" s="7">
        <v>0.15</v>
      </c>
    </row>
    <row r="14165" spans="1:4" x14ac:dyDescent="0.25">
      <c r="A14165" t="str">
        <f>HYPERLINK("https://www.773grp.com/globalSearch/BZT52H-C47115/page-1", "BZT52H-C47115")</f>
        <v>BZT52H-C47115</v>
      </c>
      <c r="B14165" s="3" t="str">
        <f>HYPERLINK("https://www.773grp.com/manufacturer/nxp-semiconductor?pageNo=28", "NXP Semiconductors")</f>
        <v>NXP Semiconductors</v>
      </c>
      <c r="C14165" s="6">
        <v>12000</v>
      </c>
      <c r="D14165" s="7">
        <v>0.15</v>
      </c>
    </row>
    <row r="14166" spans="1:4" x14ac:dyDescent="0.25">
      <c r="A14166" t="str">
        <f>HYPERLINK("https://www.773grp.com/globalSearch/BZT52H-C4V3115/page-1", "BZT52H-C4V3115")</f>
        <v>BZT52H-C4V3115</v>
      </c>
      <c r="B14166" s="3" t="str">
        <f>HYPERLINK("https://www.773grp.com/manufacturer/nxp-semiconductor?pageNo=29", "NXP Semiconductors")</f>
        <v>NXP Semiconductors</v>
      </c>
      <c r="C14166" s="6">
        <v>9930</v>
      </c>
      <c r="D14166" s="7">
        <v>0.15</v>
      </c>
    </row>
    <row r="14167" spans="1:4" x14ac:dyDescent="0.25">
      <c r="A14167" t="str">
        <f>HYPERLINK("https://www.773grp.com/globalSearch/BZT52H-C4V7115/page-1", "BZT52H-C4V7115")</f>
        <v>BZT52H-C4V7115</v>
      </c>
      <c r="B14167" s="3" t="str">
        <f>HYPERLINK("https://www.773grp.com/manufacturer/nxp-semiconductor?pageNo=30", "NXP Semiconductors")</f>
        <v>NXP Semiconductors</v>
      </c>
      <c r="C14167" s="6">
        <v>92900</v>
      </c>
      <c r="D14167" s="7">
        <v>0.15</v>
      </c>
    </row>
    <row r="14168" spans="1:4" x14ac:dyDescent="0.25">
      <c r="A14168" t="str">
        <f>HYPERLINK("https://www.773grp.com/globalSearch/BZT52H-C51115/page-1", "BZT52H-C51115")</f>
        <v>BZT52H-C51115</v>
      </c>
      <c r="B14168" s="3" t="str">
        <f>HYPERLINK("https://www.773grp.com/manufacturer/nxp-semiconductor?pageNo=31", "NXP Semiconductors")</f>
        <v>NXP Semiconductors</v>
      </c>
      <c r="C14168" s="6">
        <v>39000</v>
      </c>
      <c r="D14168" s="7">
        <v>0.15</v>
      </c>
    </row>
    <row r="14169" spans="1:4" x14ac:dyDescent="0.25">
      <c r="A14169" t="str">
        <f>HYPERLINK("https://www.773grp.com/globalSearch/BZT52H-C56115/page-1", "BZT52H-C56115")</f>
        <v>BZT52H-C56115</v>
      </c>
      <c r="B14169" s="3" t="str">
        <f>HYPERLINK("https://www.773grp.com/manufacturer/nxp-semiconductor?pageNo=32", "NXP Semiconductors")</f>
        <v>NXP Semiconductors</v>
      </c>
      <c r="C14169" s="6">
        <v>200</v>
      </c>
      <c r="D14169" s="7">
        <v>0.15</v>
      </c>
    </row>
    <row r="14170" spans="1:4" x14ac:dyDescent="0.25">
      <c r="A14170" t="str">
        <f>HYPERLINK("https://www.773grp.com/globalSearch/BZT52H-C5V1115/page-1", "BZT52H-C5V1115")</f>
        <v>BZT52H-C5V1115</v>
      </c>
      <c r="B14170" s="3" t="str">
        <f>HYPERLINK("https://www.773grp.com/manufacturer/nxp-semiconductor?pageNo=33", "NXP Semiconductors")</f>
        <v>NXP Semiconductors</v>
      </c>
      <c r="C14170" s="6">
        <v>86060</v>
      </c>
      <c r="D14170" s="7">
        <v>0.15</v>
      </c>
    </row>
    <row r="14171" spans="1:4" x14ac:dyDescent="0.25">
      <c r="A14171" t="str">
        <f>HYPERLINK("https://www.773grp.com/globalSearch/BZT52H-C5V6115/page-1", "BZT52H-C5V6115")</f>
        <v>BZT52H-C5V6115</v>
      </c>
      <c r="B14171" s="3" t="str">
        <f>HYPERLINK("https://www.773grp.com/manufacturer/nxp-semiconductor?pageNo=34", "NXP Semiconductors")</f>
        <v>NXP Semiconductors</v>
      </c>
      <c r="C14171" s="6">
        <v>8075</v>
      </c>
      <c r="D14171" s="7">
        <v>0.15</v>
      </c>
    </row>
    <row r="14172" spans="1:4" x14ac:dyDescent="0.25">
      <c r="A14172" t="str">
        <f>HYPERLINK("https://www.773grp.com/globalSearch/BZT52H-C62115/page-1", "BZT52H-C62115")</f>
        <v>BZT52H-C62115</v>
      </c>
      <c r="B14172" s="3" t="str">
        <f>HYPERLINK("https://www.773grp.com/manufacturer/nxp-semiconductor?pageNo=35", "NXP Semiconductors")</f>
        <v>NXP Semiconductors</v>
      </c>
      <c r="C14172" s="6">
        <v>3200</v>
      </c>
      <c r="D14172" s="7">
        <v>0.15</v>
      </c>
    </row>
    <row r="14173" spans="1:4" x14ac:dyDescent="0.25">
      <c r="A14173" t="str">
        <f>HYPERLINK("https://www.773grp.com/globalSearch/BZT52H-C68115/page-1", "BZT52H-C68115")</f>
        <v>BZT52H-C68115</v>
      </c>
      <c r="B14173" s="3" t="str">
        <f>HYPERLINK("https://www.773grp.com/manufacturer/nxp-semiconductor?pageNo=36", "NXP Semiconductors")</f>
        <v>NXP Semiconductors</v>
      </c>
      <c r="C14173" s="6">
        <v>3150</v>
      </c>
      <c r="D14173" s="7">
        <v>0.15</v>
      </c>
    </row>
    <row r="14174" spans="1:4" x14ac:dyDescent="0.25">
      <c r="A14174" t="str">
        <f>HYPERLINK("https://www.773grp.com/globalSearch/BZT52H-C6V2115/page-1", "BZT52H-C6V2115")</f>
        <v>BZT52H-C6V2115</v>
      </c>
      <c r="B14174" s="3" t="str">
        <f>HYPERLINK("https://www.773grp.com/manufacturer/nxp-semiconductor?pageNo=37", "NXP Semiconductors")</f>
        <v>NXP Semiconductors</v>
      </c>
      <c r="C14174" s="6">
        <v>36000</v>
      </c>
      <c r="D14174" s="7">
        <v>0.15</v>
      </c>
    </row>
    <row r="14175" spans="1:4" x14ac:dyDescent="0.25">
      <c r="A14175" t="str">
        <f>HYPERLINK("https://www.773grp.com/globalSearch/BZT52H-C6V8115/page-1", "BZT52H-C6V8115")</f>
        <v>BZT52H-C6V8115</v>
      </c>
      <c r="B14175" s="3" t="str">
        <f>HYPERLINK("https://www.773grp.com/manufacturer/nxp-semiconductor?pageNo=38", "NXP Semiconductors")</f>
        <v>NXP Semiconductors</v>
      </c>
      <c r="C14175" s="6">
        <v>33000</v>
      </c>
      <c r="D14175" s="7">
        <v>0.15</v>
      </c>
    </row>
    <row r="14176" spans="1:4" x14ac:dyDescent="0.25">
      <c r="A14176" t="str">
        <f>HYPERLINK("https://www.773grp.com/globalSearch/BZT52H-C75115/page-1", "BZT52H-C75115")</f>
        <v>BZT52H-C75115</v>
      </c>
      <c r="B14176" s="3" t="str">
        <f>HYPERLINK("https://www.773grp.com/manufacturer/nxp-semiconductor?pageNo=39", "NXP Semiconductors")</f>
        <v>NXP Semiconductors</v>
      </c>
      <c r="C14176" s="6">
        <v>103689</v>
      </c>
      <c r="D14176" s="7">
        <v>0.15</v>
      </c>
    </row>
    <row r="14177" spans="1:4" x14ac:dyDescent="0.25">
      <c r="A14177" t="str">
        <f>HYPERLINK("https://www.773grp.com/globalSearch/BZT52H-C7V5115/page-1", "BZT52H-C7V5115")</f>
        <v>BZT52H-C7V5115</v>
      </c>
      <c r="B14177" s="3" t="str">
        <f>HYPERLINK("https://www.773grp.com/manufacturer/nxp-semiconductor?pageNo=40", "NXP Semiconductors")</f>
        <v>NXP Semiconductors</v>
      </c>
      <c r="C14177" s="6">
        <v>9150</v>
      </c>
      <c r="D14177" s="7">
        <v>0.15</v>
      </c>
    </row>
    <row r="14178" spans="1:4" x14ac:dyDescent="0.25">
      <c r="A14178" t="str">
        <f>HYPERLINK("https://www.773grp.com/globalSearch/BZT52H-C8V2115/page-1", "BZT52H-C8V2115")</f>
        <v>BZT52H-C8V2115</v>
      </c>
      <c r="B14178" s="3" t="str">
        <f>HYPERLINK("https://www.773grp.com/manufacturer/nxp-semiconductor?pageNo=41", "NXP Semiconductors")</f>
        <v>NXP Semiconductors</v>
      </c>
      <c r="C14178" s="6">
        <v>63000</v>
      </c>
      <c r="D14178" s="7">
        <v>0.15</v>
      </c>
    </row>
    <row r="14179" spans="1:4" x14ac:dyDescent="0.25">
      <c r="A14179" t="str">
        <f>HYPERLINK("https://www.773grp.com/globalSearch/BZT52H-C9V1115/page-1", "BZT52H-C9V1115")</f>
        <v>BZT52H-C9V1115</v>
      </c>
      <c r="B14179" s="3" t="str">
        <f>HYPERLINK("https://www.773grp.com/manufacturer/nxp-semiconductor?pageNo=42", "NXP Semiconductors")</f>
        <v>NXP Semiconductors</v>
      </c>
      <c r="C14179" s="6">
        <v>54000</v>
      </c>
      <c r="D14179" s="7">
        <v>0.15</v>
      </c>
    </row>
    <row r="14180" spans="1:4" x14ac:dyDescent="0.25">
      <c r="A14180" t="str">
        <f>HYPERLINK("https://www.773grp.com/globalSearch/BZV55-B10115/page-1", "BZV55-B10115")</f>
        <v>BZV55-B10115</v>
      </c>
      <c r="B14180" s="3" t="str">
        <f>HYPERLINK("https://www.773grp.com/manufacturer/nxp-semiconductor?pageNo=43", "NXP Semiconductors")</f>
        <v>NXP Semiconductors</v>
      </c>
      <c r="C14180" s="6">
        <v>27500</v>
      </c>
      <c r="D14180" s="7">
        <v>0.15</v>
      </c>
    </row>
    <row r="14181" spans="1:4" x14ac:dyDescent="0.25">
      <c r="A14181" t="str">
        <f>HYPERLINK("https://www.773grp.com/globalSearch/BZV55-B11115/page-1", "BZV55-B11115")</f>
        <v>BZV55-B11115</v>
      </c>
      <c r="B14181" s="3" t="str">
        <f>HYPERLINK("https://www.773grp.com/manufacturer/nxp-semiconductor?pageNo=44", "NXP Semiconductors")</f>
        <v>NXP Semiconductors</v>
      </c>
      <c r="C14181" s="6">
        <v>13965</v>
      </c>
      <c r="D14181" s="7">
        <v>0.15</v>
      </c>
    </row>
    <row r="14182" spans="1:4" x14ac:dyDescent="0.25">
      <c r="A14182" t="str">
        <f>HYPERLINK("https://www.773grp.com/globalSearch/BZV55-B11135/page-1", "BZV55-B11135")</f>
        <v>BZV55-B11135</v>
      </c>
      <c r="B14182" s="3" t="str">
        <f>HYPERLINK("https://www.773grp.com/manufacturer/nxp-semiconductor?pageNo=45", "NXP Semiconductors")</f>
        <v>NXP Semiconductors</v>
      </c>
      <c r="C14182" s="6">
        <v>30000</v>
      </c>
      <c r="D14182" s="7">
        <v>0.15</v>
      </c>
    </row>
    <row r="14183" spans="1:4" x14ac:dyDescent="0.25">
      <c r="A14183" t="str">
        <f>HYPERLINK("https://www.773grp.com/globalSearch/BZV55-B12115/page-1", "BZV55-B12115")</f>
        <v>BZV55-B12115</v>
      </c>
      <c r="B14183" s="3" t="str">
        <f>HYPERLINK("https://www.773grp.com/manufacturer/nxp-semiconductor?pageNo=46", "NXP Semiconductors")</f>
        <v>NXP Semiconductors</v>
      </c>
      <c r="C14183" s="6">
        <v>50515</v>
      </c>
      <c r="D14183" s="7">
        <v>0.15</v>
      </c>
    </row>
    <row r="14184" spans="1:4" x14ac:dyDescent="0.25">
      <c r="A14184" t="str">
        <f>HYPERLINK("https://www.773grp.com/globalSearch/BZV55-B12135/page-1", "BZV55-B12135")</f>
        <v>BZV55-B12135</v>
      </c>
      <c r="B14184" s="3" t="str">
        <f>HYPERLINK("https://www.773grp.com/manufacturer/nxp-semiconductor?pageNo=47", "NXP Semiconductors")</f>
        <v>NXP Semiconductors</v>
      </c>
      <c r="C14184" s="6">
        <v>80000</v>
      </c>
      <c r="D14184" s="7">
        <v>0.15</v>
      </c>
    </row>
    <row r="14185" spans="1:4" x14ac:dyDescent="0.25">
      <c r="A14185" t="str">
        <f>HYPERLINK("https://www.773grp.com/globalSearch/BZV55-B13115/page-1", "BZV55-B13115")</f>
        <v>BZV55-B13115</v>
      </c>
      <c r="B14185" s="3" t="str">
        <f>HYPERLINK("https://www.773grp.com/manufacturer/nxp-semiconductor?pageNo=48", "NXP Semiconductors")</f>
        <v>NXP Semiconductors</v>
      </c>
      <c r="C14185" s="6">
        <v>136725</v>
      </c>
      <c r="D14185" s="7">
        <v>0.15</v>
      </c>
    </row>
    <row r="14186" spans="1:4" x14ac:dyDescent="0.25">
      <c r="A14186" t="str">
        <f>HYPERLINK("https://www.773grp.com/globalSearch/BZV55-B15115/page-1", "BZV55-B15115")</f>
        <v>BZV55-B15115</v>
      </c>
      <c r="B14186" s="3" t="str">
        <f>HYPERLINK("https://www.773grp.com/manufacturer/nxp-semiconductor?pageNo=1", "NXP Semiconductors")</f>
        <v>NXP Semiconductors</v>
      </c>
      <c r="C14186" s="6">
        <v>1040000</v>
      </c>
      <c r="D14186" s="7">
        <v>0.15</v>
      </c>
    </row>
    <row r="14187" spans="1:4" x14ac:dyDescent="0.25">
      <c r="A14187" t="str">
        <f>HYPERLINK("https://www.773grp.com/globalSearch/BZV55-B16115/page-1", "BZV55-B16115")</f>
        <v>BZV55-B16115</v>
      </c>
      <c r="B14187" s="3" t="str">
        <f>HYPERLINK("https://www.773grp.com/manufacturer/nxp-semiconductor?pageNo=2", "NXP Semiconductors")</f>
        <v>NXP Semiconductors</v>
      </c>
      <c r="C14187" s="6">
        <v>1614</v>
      </c>
      <c r="D14187" s="7">
        <v>0.15</v>
      </c>
    </row>
    <row r="14188" spans="1:4" x14ac:dyDescent="0.25">
      <c r="A14188" t="str">
        <f>HYPERLINK("https://www.773grp.com/globalSearch/BZV55-B18115/page-1", "BZV55-B18115")</f>
        <v>BZV55-B18115</v>
      </c>
      <c r="B14188" s="3" t="str">
        <f>HYPERLINK("https://www.773grp.com/manufacturer/nxp-semiconductor?pageNo=3", "NXP Semiconductors")</f>
        <v>NXP Semiconductors</v>
      </c>
      <c r="C14188" s="6">
        <v>60000</v>
      </c>
      <c r="D14188" s="7">
        <v>0.15</v>
      </c>
    </row>
    <row r="14189" spans="1:4" x14ac:dyDescent="0.25">
      <c r="A14189" t="str">
        <f>HYPERLINK("https://www.773grp.com/globalSearch/BZV55-B20115/page-1", "BZV55-B20115")</f>
        <v>BZV55-B20115</v>
      </c>
      <c r="B14189" s="3" t="str">
        <f>HYPERLINK("https://www.773grp.com/manufacturer/nxp-semiconductor?pageNo=4", "NXP Semiconductors")</f>
        <v>NXP Semiconductors</v>
      </c>
      <c r="C14189" s="6">
        <v>32500</v>
      </c>
      <c r="D14189" s="7">
        <v>0.15</v>
      </c>
    </row>
    <row r="14190" spans="1:4" x14ac:dyDescent="0.25">
      <c r="A14190" t="str">
        <f>HYPERLINK("https://www.773grp.com/globalSearch/BZV55-B24115/page-1", "BZV55-B24115")</f>
        <v>BZV55-B24115</v>
      </c>
      <c r="B14190" s="3" t="str">
        <f>HYPERLINK("https://www.773grp.com/manufacturer/nxp-semiconductor?pageNo=5", "NXP Semiconductors")</f>
        <v>NXP Semiconductors</v>
      </c>
      <c r="C14190" s="6">
        <v>54830</v>
      </c>
      <c r="D14190" s="7">
        <v>0.15</v>
      </c>
    </row>
    <row r="14191" spans="1:4" x14ac:dyDescent="0.25">
      <c r="A14191" t="str">
        <f>HYPERLINK("https://www.773grp.com/globalSearch/BZV55-B27115/page-1", "BZV55-B27115")</f>
        <v>BZV55-B27115</v>
      </c>
      <c r="B14191" s="3" t="str">
        <f>HYPERLINK("https://www.773grp.com/manufacturer/nxp-semiconductor?pageNo=6", "NXP Semiconductors")</f>
        <v>NXP Semiconductors</v>
      </c>
      <c r="C14191" s="6">
        <v>57650</v>
      </c>
      <c r="D14191" s="7">
        <v>0.15</v>
      </c>
    </row>
    <row r="14192" spans="1:4" x14ac:dyDescent="0.25">
      <c r="A14192" t="str">
        <f>HYPERLINK("https://www.773grp.com/globalSearch/BZV55-B2V4115/page-1", "BZV55-B2V4115")</f>
        <v>BZV55-B2V4115</v>
      </c>
      <c r="B14192" s="3" t="str">
        <f>HYPERLINK("https://www.773grp.com/manufacturer/nxp-semiconductor?pageNo=7", "NXP Semiconductors")</f>
        <v>NXP Semiconductors</v>
      </c>
      <c r="C14192" s="6">
        <v>57500</v>
      </c>
      <c r="D14192" s="7">
        <v>0.15</v>
      </c>
    </row>
    <row r="14193" spans="1:4" x14ac:dyDescent="0.25">
      <c r="A14193" t="str">
        <f>HYPERLINK("https://www.773grp.com/globalSearch/BZV55-B2V7115/page-1", "BZV55-B2V7115")</f>
        <v>BZV55-B2V7115</v>
      </c>
      <c r="B14193" s="3" t="str">
        <f>HYPERLINK("https://www.773grp.com/manufacturer/nxp-semiconductor?pageNo=8", "NXP Semiconductors")</f>
        <v>NXP Semiconductors</v>
      </c>
      <c r="C14193" s="6">
        <v>35000</v>
      </c>
      <c r="D14193" s="7">
        <v>0.15</v>
      </c>
    </row>
    <row r="14194" spans="1:4" x14ac:dyDescent="0.25">
      <c r="A14194" t="str">
        <f>HYPERLINK("https://www.773grp.com/globalSearch/BZV55-B30115/page-1", "BZV55-B30115")</f>
        <v>BZV55-B30115</v>
      </c>
      <c r="B14194" s="3" t="str">
        <f>HYPERLINK("https://www.773grp.com/manufacturer/nxp-semiconductor?pageNo=9", "NXP Semiconductors")</f>
        <v>NXP Semiconductors</v>
      </c>
      <c r="C14194" s="6">
        <v>46220</v>
      </c>
      <c r="D14194" s="7">
        <v>0.15</v>
      </c>
    </row>
    <row r="14195" spans="1:4" x14ac:dyDescent="0.25">
      <c r="A14195" t="str">
        <f>HYPERLINK("https://www.773grp.com/globalSearch/BZV55-B33115/page-1", "BZV55-B33115")</f>
        <v>BZV55-B33115</v>
      </c>
      <c r="B14195" s="3" t="str">
        <f>HYPERLINK("https://www.773grp.com/manufacturer/nxp-semiconductor?pageNo=10", "NXP Semiconductors")</f>
        <v>NXP Semiconductors</v>
      </c>
      <c r="C14195" s="6">
        <v>82500</v>
      </c>
      <c r="D14195" s="7">
        <v>0.15</v>
      </c>
    </row>
    <row r="14196" spans="1:4" x14ac:dyDescent="0.25">
      <c r="A14196" t="str">
        <f>HYPERLINK("https://www.773grp.com/globalSearch/BZV55-B3V0115/page-1", "BZV55-B3V0115")</f>
        <v>BZV55-B3V0115</v>
      </c>
      <c r="B14196" s="3" t="str">
        <f>HYPERLINK("https://www.773grp.com/manufacturer/nxp-semiconductor?pageNo=11", "NXP Semiconductors")</f>
        <v>NXP Semiconductors</v>
      </c>
      <c r="C14196" s="6">
        <v>1201</v>
      </c>
      <c r="D14196" s="7">
        <v>0.15</v>
      </c>
    </row>
    <row r="14197" spans="1:4" x14ac:dyDescent="0.25">
      <c r="A14197" t="str">
        <f>HYPERLINK("https://www.773grp.com/globalSearch/BZV55-B3V3115/page-1", "BZV55-B3V3115")</f>
        <v>BZV55-B3V3115</v>
      </c>
      <c r="B14197" s="3" t="str">
        <f>HYPERLINK("https://www.773grp.com/manufacturer/nxp-semiconductor?pageNo=12", "NXP Semiconductors")</f>
        <v>NXP Semiconductors</v>
      </c>
      <c r="C14197" s="6">
        <v>57500</v>
      </c>
      <c r="D14197" s="7">
        <v>0.15</v>
      </c>
    </row>
    <row r="14198" spans="1:4" x14ac:dyDescent="0.25">
      <c r="A14198" t="str">
        <f>HYPERLINK("https://www.773grp.com/globalSearch/BZV55-B3V6115/page-1", "BZV55-B3V6115")</f>
        <v>BZV55-B3V6115</v>
      </c>
      <c r="B14198" s="3" t="str">
        <f>HYPERLINK("https://www.773grp.com/manufacturer/nxp-semiconductor?pageNo=13", "NXP Semiconductors")</f>
        <v>NXP Semiconductors</v>
      </c>
      <c r="C14198" s="6">
        <v>27500</v>
      </c>
      <c r="D14198" s="7">
        <v>0.15</v>
      </c>
    </row>
    <row r="14199" spans="1:4" x14ac:dyDescent="0.25">
      <c r="A14199" t="str">
        <f>HYPERLINK("https://www.773grp.com/globalSearch/BZV55-B3V9115/page-1", "BZV55-B3V9115")</f>
        <v>BZV55-B3V9115</v>
      </c>
      <c r="B14199" s="3" t="str">
        <f>HYPERLINK("https://www.773grp.com/manufacturer/nxp-semiconductor?pageNo=14", "NXP Semiconductors")</f>
        <v>NXP Semiconductors</v>
      </c>
      <c r="C14199" s="6">
        <v>22899</v>
      </c>
      <c r="D14199" s="7">
        <v>0.15</v>
      </c>
    </row>
    <row r="14200" spans="1:4" x14ac:dyDescent="0.25">
      <c r="A14200" t="str">
        <f>HYPERLINK("https://www.773grp.com/globalSearch/BZV55-B43115/page-1", "BZV55-B43115")</f>
        <v>BZV55-B43115</v>
      </c>
      <c r="B14200" s="3" t="str">
        <f>HYPERLINK("https://www.773grp.com/manufacturer/nxp-semiconductor?pageNo=15", "NXP Semiconductors")</f>
        <v>NXP Semiconductors</v>
      </c>
      <c r="C14200" s="6">
        <v>29000</v>
      </c>
      <c r="D14200" s="7">
        <v>0.15</v>
      </c>
    </row>
    <row r="14201" spans="1:4" x14ac:dyDescent="0.25">
      <c r="A14201" t="str">
        <f>HYPERLINK("https://www.773grp.com/globalSearch/BZV55-B47115/page-1", "BZV55-B47115")</f>
        <v>BZV55-B47115</v>
      </c>
      <c r="B14201" s="3" t="str">
        <f>HYPERLINK("https://www.773grp.com/manufacturer/nxp-semiconductor?pageNo=16", "NXP Semiconductors")</f>
        <v>NXP Semiconductors</v>
      </c>
      <c r="C14201" s="6">
        <v>1260</v>
      </c>
      <c r="D14201" s="7">
        <v>0.15</v>
      </c>
    </row>
    <row r="14202" spans="1:4" x14ac:dyDescent="0.25">
      <c r="A14202" t="str">
        <f>HYPERLINK("https://www.773grp.com/globalSearch/BZV55-B4V3115/page-1", "BZV55-B4V3115")</f>
        <v>BZV55-B4V3115</v>
      </c>
      <c r="B14202" s="3" t="str">
        <f>HYPERLINK("https://www.773grp.com/manufacturer/nxp-semiconductor?pageNo=17", "NXP Semiconductors")</f>
        <v>NXP Semiconductors</v>
      </c>
      <c r="C14202" s="6">
        <v>55000</v>
      </c>
      <c r="D14202" s="7">
        <v>0.15</v>
      </c>
    </row>
    <row r="14203" spans="1:4" x14ac:dyDescent="0.25">
      <c r="A14203" t="str">
        <f>HYPERLINK("https://www.773grp.com/globalSearch/BZV55-B4V7115/page-1", "BZV55-B4V7115")</f>
        <v>BZV55-B4V7115</v>
      </c>
      <c r="B14203" s="3" t="str">
        <f>HYPERLINK("https://www.773grp.com/manufacturer/nxp-semiconductor?pageNo=18", "NXP Semiconductors")</f>
        <v>NXP Semiconductors</v>
      </c>
      <c r="C14203" s="6">
        <v>20000</v>
      </c>
      <c r="D14203" s="7">
        <v>0.15</v>
      </c>
    </row>
    <row r="14204" spans="1:4" x14ac:dyDescent="0.25">
      <c r="A14204" t="str">
        <f>HYPERLINK("https://www.773grp.com/globalSearch/BZV55-B51115/page-1", "BZV55-B51115")</f>
        <v>BZV55-B51115</v>
      </c>
      <c r="B14204" s="3" t="str">
        <f>HYPERLINK("https://www.773grp.com/manufacturer/nxp-semiconductor?pageNo=19", "NXP Semiconductors")</f>
        <v>NXP Semiconductors</v>
      </c>
      <c r="C14204" s="6">
        <v>5000</v>
      </c>
      <c r="D14204" s="7">
        <v>0.15</v>
      </c>
    </row>
    <row r="14205" spans="1:4" x14ac:dyDescent="0.25">
      <c r="A14205" t="str">
        <f>HYPERLINK("https://www.773grp.com/globalSearch/BZV55-B56115/page-1", "BZV55-B56115")</f>
        <v>BZV55-B56115</v>
      </c>
      <c r="B14205" s="3" t="str">
        <f>HYPERLINK("https://www.773grp.com/manufacturer/nxp-semiconductor?pageNo=20", "NXP Semiconductors")</f>
        <v>NXP Semiconductors</v>
      </c>
      <c r="C14205" s="6">
        <v>59850</v>
      </c>
      <c r="D14205" s="7">
        <v>0.15</v>
      </c>
    </row>
    <row r="14206" spans="1:4" x14ac:dyDescent="0.25">
      <c r="A14206" t="str">
        <f>HYPERLINK("https://www.773grp.com/globalSearch/BZV55-B5V1115/page-1", "BZV55-B5V1115")</f>
        <v>BZV55-B5V1115</v>
      </c>
      <c r="B14206" s="3" t="str">
        <f>HYPERLINK("https://www.773grp.com/manufacturer/nxp-semiconductor?pageNo=21", "NXP Semiconductors")</f>
        <v>NXP Semiconductors</v>
      </c>
      <c r="C14206" s="6">
        <v>7500</v>
      </c>
      <c r="D14206" s="7">
        <v>0.15</v>
      </c>
    </row>
    <row r="14207" spans="1:4" x14ac:dyDescent="0.25">
      <c r="A14207" t="str">
        <f>HYPERLINK("https://www.773grp.com/globalSearch/BZV55-B5V6115/page-1", "BZV55-B5V6115")</f>
        <v>BZV55-B5V6115</v>
      </c>
      <c r="B14207" s="3" t="str">
        <f>HYPERLINK("https://www.773grp.com/manufacturer/nxp-semiconductor?pageNo=22", "NXP Semiconductors")</f>
        <v>NXP Semiconductors</v>
      </c>
      <c r="C14207" s="6">
        <v>52500</v>
      </c>
      <c r="D14207" s="7">
        <v>0.15</v>
      </c>
    </row>
    <row r="14208" spans="1:4" x14ac:dyDescent="0.25">
      <c r="A14208" t="str">
        <f>HYPERLINK("https://www.773grp.com/globalSearch/BZV55-B5V6135/page-1", "BZV55-B5V6135")</f>
        <v>BZV55-B5V6135</v>
      </c>
      <c r="B14208" s="3" t="str">
        <f>HYPERLINK("https://www.773grp.com/manufacturer/nxp-semiconductor?pageNo=23", "NXP Semiconductors")</f>
        <v>NXP Semiconductors</v>
      </c>
      <c r="C14208" s="6">
        <v>10000</v>
      </c>
      <c r="D14208" s="7">
        <v>0.15</v>
      </c>
    </row>
    <row r="14209" spans="1:4" x14ac:dyDescent="0.25">
      <c r="A14209" t="str">
        <f>HYPERLINK("https://www.773grp.com/globalSearch/BZV55-B6V2115/page-1", "BZV55-B6V2115")</f>
        <v>BZV55-B6V2115</v>
      </c>
      <c r="B14209" s="3" t="str">
        <f>HYPERLINK("https://www.773grp.com/manufacturer/nxp-semiconductor?pageNo=24", "NXP Semiconductors")</f>
        <v>NXP Semiconductors</v>
      </c>
      <c r="C14209" s="6">
        <v>119782</v>
      </c>
      <c r="D14209" s="7">
        <v>0.15</v>
      </c>
    </row>
    <row r="14210" spans="1:4" x14ac:dyDescent="0.25">
      <c r="A14210" t="str">
        <f>HYPERLINK("https://www.773grp.com/globalSearch/BZV55-B6V8115/page-1", "BZV55-B6V8115")</f>
        <v>BZV55-B6V8115</v>
      </c>
      <c r="B14210" s="3" t="str">
        <f>HYPERLINK("https://www.773grp.com/manufacturer/nxp-semiconductor?pageNo=25", "NXP Semiconductors")</f>
        <v>NXP Semiconductors</v>
      </c>
      <c r="C14210" s="6">
        <v>25000</v>
      </c>
      <c r="D14210" s="7">
        <v>0.15</v>
      </c>
    </row>
    <row r="14211" spans="1:4" x14ac:dyDescent="0.25">
      <c r="A14211" t="str">
        <f>HYPERLINK("https://www.773grp.com/globalSearch/BZV55-B7V5115/page-1", "BZV55-B7V5115")</f>
        <v>BZV55-B7V5115</v>
      </c>
      <c r="B14211" s="3" t="str">
        <f>HYPERLINK("https://www.773grp.com/manufacturer/nxp-semiconductor?pageNo=26", "NXP Semiconductors")</f>
        <v>NXP Semiconductors</v>
      </c>
      <c r="C14211" s="6">
        <v>225000</v>
      </c>
      <c r="D14211" s="7">
        <v>0.15</v>
      </c>
    </row>
    <row r="14212" spans="1:4" x14ac:dyDescent="0.25">
      <c r="A14212" t="str">
        <f>HYPERLINK("https://www.773grp.com/globalSearch/BZV55-B8V2115/page-1", "BZV55-B8V2115")</f>
        <v>BZV55-B8V2115</v>
      </c>
      <c r="B14212" s="3" t="str">
        <f>HYPERLINK("https://www.773grp.com/manufacturer/nxp-semiconductor?pageNo=27", "NXP Semiconductors")</f>
        <v>NXP Semiconductors</v>
      </c>
      <c r="C14212" s="6">
        <v>32500</v>
      </c>
      <c r="D14212" s="7">
        <v>0.15</v>
      </c>
    </row>
    <row r="14213" spans="1:4" x14ac:dyDescent="0.25">
      <c r="A14213" t="str">
        <f>HYPERLINK("https://www.773grp.com/globalSearch/BZV55-B9V1115/page-1", "BZV55-B9V1115")</f>
        <v>BZV55-B9V1115</v>
      </c>
      <c r="B14213" s="3" t="str">
        <f>HYPERLINK("https://www.773grp.com/manufacturer/nxp-semiconductor?pageNo=28", "NXP Semiconductors")</f>
        <v>NXP Semiconductors</v>
      </c>
      <c r="C14213" s="6">
        <v>35000</v>
      </c>
      <c r="D14213" s="7">
        <v>0.15</v>
      </c>
    </row>
    <row r="14214" spans="1:4" x14ac:dyDescent="0.25">
      <c r="A14214" t="str">
        <f>HYPERLINK("https://www.773grp.com/globalSearch/BZV55-C10115/page-1", "BZV55-C10115")</f>
        <v>BZV55-C10115</v>
      </c>
      <c r="B14214" s="3" t="str">
        <f>HYPERLINK("https://www.773grp.com/manufacturer/nxp-semiconductor?pageNo=29", "NXP Semiconductors")</f>
        <v>NXP Semiconductors</v>
      </c>
      <c r="C14214" s="6">
        <v>70000</v>
      </c>
      <c r="D14214" s="7">
        <v>0.15</v>
      </c>
    </row>
    <row r="14215" spans="1:4" x14ac:dyDescent="0.25">
      <c r="A14215" t="str">
        <f>HYPERLINK("https://www.773grp.com/globalSearch/BZV55-C11115/page-1", "BZV55-C11115")</f>
        <v>BZV55-C11115</v>
      </c>
      <c r="B14215" s="3" t="str">
        <f>HYPERLINK("https://www.773grp.com/manufacturer/nxp-semiconductor?pageNo=30", "NXP Semiconductors")</f>
        <v>NXP Semiconductors</v>
      </c>
      <c r="C14215" s="6">
        <v>80000</v>
      </c>
      <c r="D14215" s="7">
        <v>0.15</v>
      </c>
    </row>
    <row r="14216" spans="1:4" x14ac:dyDescent="0.25">
      <c r="A14216" t="str">
        <f>HYPERLINK("https://www.773grp.com/globalSearch/BZV55-C12115/page-1", "BZV55-C12115")</f>
        <v>BZV55-C12115</v>
      </c>
      <c r="B14216" s="3" t="str">
        <f>HYPERLINK("https://www.773grp.com/manufacturer/nxp-semiconductor?pageNo=31", "NXP Semiconductors")</f>
        <v>NXP Semiconductors</v>
      </c>
      <c r="C14216" s="6">
        <v>50000</v>
      </c>
      <c r="D14216" s="7">
        <v>0.15</v>
      </c>
    </row>
    <row r="14217" spans="1:4" x14ac:dyDescent="0.25">
      <c r="A14217" t="str">
        <f>HYPERLINK("https://www.773grp.com/globalSearch/BZV55-C12135/page-1", "BZV55-C12135")</f>
        <v>BZV55-C12135</v>
      </c>
      <c r="B14217" s="3" t="str">
        <f>HYPERLINK("https://www.773grp.com/manufacturer/nxp-semiconductor?pageNo=32", "NXP Semiconductors")</f>
        <v>NXP Semiconductors</v>
      </c>
      <c r="C14217" s="6">
        <v>80000</v>
      </c>
      <c r="D14217" s="7">
        <v>0.15</v>
      </c>
    </row>
    <row r="14218" spans="1:4" x14ac:dyDescent="0.25">
      <c r="A14218" t="str">
        <f>HYPERLINK("https://www.773grp.com/globalSearch/BZV55-C13115/page-1", "BZV55-C13115")</f>
        <v>BZV55-C13115</v>
      </c>
      <c r="B14218" s="3" t="str">
        <f>HYPERLINK("https://www.773grp.com/manufacturer/nxp-semiconductor?pageNo=33", "NXP Semiconductors")</f>
        <v>NXP Semiconductors</v>
      </c>
      <c r="C14218" s="6">
        <v>79229</v>
      </c>
      <c r="D14218" s="7">
        <v>0.15</v>
      </c>
    </row>
    <row r="14219" spans="1:4" x14ac:dyDescent="0.25">
      <c r="A14219" t="str">
        <f>HYPERLINK("https://www.773grp.com/globalSearch/BZV55-C15115/page-1", "BZV55-C15115")</f>
        <v>BZV55-C15115</v>
      </c>
      <c r="B14219" s="3" t="str">
        <f>HYPERLINK("https://www.773grp.com/manufacturer/nxp-semiconductor?pageNo=34", "NXP Semiconductors")</f>
        <v>NXP Semiconductors</v>
      </c>
      <c r="C14219" s="6">
        <v>20395</v>
      </c>
      <c r="D14219" s="7">
        <v>0.15</v>
      </c>
    </row>
    <row r="14220" spans="1:4" x14ac:dyDescent="0.25">
      <c r="A14220" t="str">
        <f>HYPERLINK("https://www.773grp.com/globalSearch/BZV55-C16115/page-1", "BZV55-C16115")</f>
        <v>BZV55-C16115</v>
      </c>
      <c r="B14220" s="3" t="str">
        <f>HYPERLINK("https://www.773grp.com/manufacturer/nxp-semiconductor?pageNo=35", "NXP Semiconductors")</f>
        <v>NXP Semiconductors</v>
      </c>
      <c r="C14220" s="6">
        <v>2440</v>
      </c>
      <c r="D14220" s="7">
        <v>0.15</v>
      </c>
    </row>
    <row r="14221" spans="1:4" x14ac:dyDescent="0.25">
      <c r="A14221" t="str">
        <f>HYPERLINK("https://www.773grp.com/globalSearch/BZV55-C18135/page-1", "BZV55-C18135")</f>
        <v>BZV55-C18135</v>
      </c>
      <c r="B14221" s="3" t="str">
        <f>HYPERLINK("https://www.773grp.com/manufacturer/nxp-semiconductor?pageNo=36", "NXP Semiconductors")</f>
        <v>NXP Semiconductors</v>
      </c>
      <c r="C14221" s="6">
        <v>20000</v>
      </c>
      <c r="D14221" s="7">
        <v>0.15</v>
      </c>
    </row>
    <row r="14222" spans="1:4" x14ac:dyDescent="0.25">
      <c r="A14222" t="str">
        <f>HYPERLINK("https://www.773grp.com/globalSearch/BZV55-C20115/page-1", "BZV55-C20115")</f>
        <v>BZV55-C20115</v>
      </c>
      <c r="B14222" s="3" t="str">
        <f>HYPERLINK("https://www.773grp.com/manufacturer/nxp-semiconductor?pageNo=37", "NXP Semiconductors")</f>
        <v>NXP Semiconductors</v>
      </c>
      <c r="C14222" s="6">
        <v>189945</v>
      </c>
      <c r="D14222" s="7">
        <v>0.15</v>
      </c>
    </row>
    <row r="14223" spans="1:4" x14ac:dyDescent="0.25">
      <c r="A14223" t="str">
        <f>HYPERLINK("https://www.773grp.com/globalSearch/BZV55-C22115/page-1", "BZV55-C22115")</f>
        <v>BZV55-C22115</v>
      </c>
      <c r="B14223" s="3" t="str">
        <f>HYPERLINK("https://www.773grp.com/manufacturer/nxp-semiconductor?pageNo=38", "NXP Semiconductors")</f>
        <v>NXP Semiconductors</v>
      </c>
      <c r="C14223" s="6">
        <v>72500</v>
      </c>
      <c r="D14223" s="7">
        <v>0.15</v>
      </c>
    </row>
    <row r="14224" spans="1:4" x14ac:dyDescent="0.25">
      <c r="A14224" t="str">
        <f>HYPERLINK("https://www.773grp.com/globalSearch/BZV55-C22135/page-1", "BZV55-C22135")</f>
        <v>BZV55-C22135</v>
      </c>
      <c r="B14224" s="3" t="str">
        <f>HYPERLINK("https://www.773grp.com/manufacturer/nxp-semiconductor?pageNo=39", "NXP Semiconductors")</f>
        <v>NXP Semiconductors</v>
      </c>
      <c r="C14224" s="6">
        <v>20000</v>
      </c>
      <c r="D14224" s="7">
        <v>0.15</v>
      </c>
    </row>
    <row r="14225" spans="1:4" x14ac:dyDescent="0.25">
      <c r="A14225" t="str">
        <f>HYPERLINK("https://www.773grp.com/globalSearch/BZV55-C24115/page-1", "BZV55-C24115")</f>
        <v>BZV55-C24115</v>
      </c>
      <c r="B14225" s="3" t="str">
        <f>HYPERLINK("https://www.773grp.com/manufacturer/nxp-semiconductor?pageNo=40", "NXP Semiconductors")</f>
        <v>NXP Semiconductors</v>
      </c>
      <c r="C14225" s="6">
        <v>2500</v>
      </c>
      <c r="D14225" s="7">
        <v>0.15</v>
      </c>
    </row>
    <row r="14226" spans="1:4" x14ac:dyDescent="0.25">
      <c r="A14226" t="str">
        <f>HYPERLINK("https://www.773grp.com/globalSearch/BZV55-C24135/page-1", "BZV55-C24135")</f>
        <v>BZV55-C24135</v>
      </c>
      <c r="B14226" s="3" t="str">
        <f>HYPERLINK("https://www.773grp.com/manufacturer/nxp-semiconductor?pageNo=41", "NXP Semiconductors")</f>
        <v>NXP Semiconductors</v>
      </c>
      <c r="C14226" s="6">
        <v>10000</v>
      </c>
      <c r="D14226" s="7">
        <v>0.15</v>
      </c>
    </row>
    <row r="14227" spans="1:4" x14ac:dyDescent="0.25">
      <c r="A14227" t="str">
        <f>HYPERLINK("https://www.773grp.com/globalSearch/BZV55-C27115/page-1", "BZV55-C27115")</f>
        <v>BZV55-C27115</v>
      </c>
      <c r="B14227" s="3" t="str">
        <f>HYPERLINK("https://www.773grp.com/manufacturer/nxp-semiconductor?pageNo=42", "NXP Semiconductors")</f>
        <v>NXP Semiconductors</v>
      </c>
      <c r="C14227" s="6">
        <v>66800</v>
      </c>
      <c r="D14227" s="7">
        <v>0.15</v>
      </c>
    </row>
    <row r="14228" spans="1:4" x14ac:dyDescent="0.25">
      <c r="A14228" t="str">
        <f>HYPERLINK("https://www.773grp.com/globalSearch/BZV55-C27135/page-1", "BZV55-C27135")</f>
        <v>BZV55-C27135</v>
      </c>
      <c r="B14228" s="3" t="str">
        <f>HYPERLINK("https://www.773grp.com/manufacturer/nxp-semiconductor?pageNo=43", "NXP Semiconductors")</f>
        <v>NXP Semiconductors</v>
      </c>
      <c r="C14228" s="6">
        <v>57500</v>
      </c>
      <c r="D14228" s="7">
        <v>0.15</v>
      </c>
    </row>
    <row r="14229" spans="1:4" x14ac:dyDescent="0.25">
      <c r="A14229" t="str">
        <f>HYPERLINK("https://www.773grp.com/globalSearch/BZV55-C2V4115/page-1", "BZV55-C2V4115")</f>
        <v>BZV55-C2V4115</v>
      </c>
      <c r="B14229" s="3" t="str">
        <f>HYPERLINK("https://www.773grp.com/manufacturer/nxp-semiconductor?pageNo=44", "NXP Semiconductors")</f>
        <v>NXP Semiconductors</v>
      </c>
      <c r="C14229" s="6">
        <v>10000</v>
      </c>
      <c r="D14229" s="7">
        <v>0.15</v>
      </c>
    </row>
    <row r="14230" spans="1:4" x14ac:dyDescent="0.25">
      <c r="A14230" t="str">
        <f>HYPERLINK("https://www.773grp.com/globalSearch/BZV55-C2V7115/page-1", "BZV55-C2V7115")</f>
        <v>BZV55-C2V7115</v>
      </c>
      <c r="B14230" s="3" t="str">
        <f>HYPERLINK("https://www.773grp.com/manufacturer/nxp-semiconductor?pageNo=45", "NXP Semiconductors")</f>
        <v>NXP Semiconductors</v>
      </c>
      <c r="C14230" s="6">
        <v>90000</v>
      </c>
      <c r="D14230" s="7">
        <v>0.15</v>
      </c>
    </row>
    <row r="14231" spans="1:4" x14ac:dyDescent="0.25">
      <c r="A14231" t="str">
        <f>HYPERLINK("https://www.773grp.com/globalSearch/BZV55-C30115/page-1", "BZV55-C30115")</f>
        <v>BZV55-C30115</v>
      </c>
      <c r="B14231" s="3" t="str">
        <f>HYPERLINK("https://www.773grp.com/manufacturer/nxp-semiconductor?pageNo=46", "NXP Semiconductors")</f>
        <v>NXP Semiconductors</v>
      </c>
      <c r="C14231" s="6">
        <v>74910</v>
      </c>
      <c r="D14231" s="7">
        <v>0.15</v>
      </c>
    </row>
    <row r="14232" spans="1:4" x14ac:dyDescent="0.25">
      <c r="A14232" t="str">
        <f>HYPERLINK("https://www.773grp.com/globalSearch/BZV55-C33115/page-1", "BZV55-C33115")</f>
        <v>BZV55-C33115</v>
      </c>
      <c r="B14232" s="3" t="str">
        <f>HYPERLINK("https://www.773grp.com/manufacturer/nxp-semiconductor?pageNo=47", "NXP Semiconductors")</f>
        <v>NXP Semiconductors</v>
      </c>
      <c r="C14232" s="6">
        <v>172500</v>
      </c>
      <c r="D14232" s="7">
        <v>0.15</v>
      </c>
    </row>
    <row r="14233" spans="1:4" x14ac:dyDescent="0.25">
      <c r="A14233" t="str">
        <f>HYPERLINK("https://www.773grp.com/globalSearch/BZV55-C36115/page-1", "BZV55-C36115")</f>
        <v>BZV55-C36115</v>
      </c>
      <c r="B14233" s="3" t="str">
        <f>HYPERLINK("https://www.773grp.com/manufacturer/nxp-semiconductor?pageNo=48", "NXP Semiconductors")</f>
        <v>NXP Semiconductors</v>
      </c>
      <c r="C14233" s="6">
        <v>25909</v>
      </c>
      <c r="D14233" s="7">
        <v>0.15</v>
      </c>
    </row>
    <row r="14234" spans="1:4" x14ac:dyDescent="0.25">
      <c r="A14234" t="str">
        <f>HYPERLINK("https://www.773grp.com/globalSearch/BZV55-C39115/page-1", "BZV55-C39115")</f>
        <v>BZV55-C39115</v>
      </c>
      <c r="B14234" s="3" t="str">
        <f>HYPERLINK("https://www.773grp.com/manufacturer/nxp-semiconductor?pageNo=1", "NXP Semiconductors")</f>
        <v>NXP Semiconductors</v>
      </c>
      <c r="C14234" s="6">
        <v>909790</v>
      </c>
      <c r="D14234" s="7">
        <v>0.15</v>
      </c>
    </row>
    <row r="14235" spans="1:4" x14ac:dyDescent="0.25">
      <c r="A14235" t="str">
        <f>HYPERLINK("https://www.773grp.com/globalSearch/BZV55-C3V0115/page-1", "BZV55-C3V0115")</f>
        <v>BZV55-C3V0115</v>
      </c>
      <c r="B14235" s="3" t="str">
        <f>HYPERLINK("https://www.773grp.com/manufacturer/nxp-semiconductor?pageNo=2", "NXP Semiconductors")</f>
        <v>NXP Semiconductors</v>
      </c>
      <c r="C14235" s="6">
        <v>27500</v>
      </c>
      <c r="D14235" s="7">
        <v>0.15</v>
      </c>
    </row>
    <row r="14236" spans="1:4" x14ac:dyDescent="0.25">
      <c r="A14236" t="str">
        <f>HYPERLINK("https://www.773grp.com/globalSearch/BZV55-C3V3115/page-1", "BZV55-C3V3115")</f>
        <v>BZV55-C3V3115</v>
      </c>
      <c r="B14236" s="3" t="str">
        <f>HYPERLINK("https://www.773grp.com/manufacturer/nxp-semiconductor?pageNo=3", "NXP Semiconductors")</f>
        <v>NXP Semiconductors</v>
      </c>
      <c r="C14236" s="6">
        <v>60000</v>
      </c>
      <c r="D14236" s="7">
        <v>0.15</v>
      </c>
    </row>
    <row r="14237" spans="1:4" x14ac:dyDescent="0.25">
      <c r="A14237" t="str">
        <f>HYPERLINK("https://www.773grp.com/globalSearch/BZV55-C3V6115/page-1", "BZV55-C3V6115")</f>
        <v>BZV55-C3V6115</v>
      </c>
      <c r="B14237" s="3" t="str">
        <f>HYPERLINK("https://www.773grp.com/manufacturer/nxp-semiconductor?pageNo=4", "NXP Semiconductors")</f>
        <v>NXP Semiconductors</v>
      </c>
      <c r="C14237" s="6">
        <v>130000</v>
      </c>
      <c r="D14237" s="7">
        <v>0.15</v>
      </c>
    </row>
    <row r="14238" spans="1:4" x14ac:dyDescent="0.25">
      <c r="A14238" t="str">
        <f>HYPERLINK("https://www.773grp.com/globalSearch/BZV55-C3V9115/page-1", "BZV55-C3V9115")</f>
        <v>BZV55-C3V9115</v>
      </c>
      <c r="B14238" s="3" t="str">
        <f>HYPERLINK("https://www.773grp.com/manufacturer/nxp-semiconductor?pageNo=5", "NXP Semiconductors")</f>
        <v>NXP Semiconductors</v>
      </c>
      <c r="C14238" s="6">
        <v>51940</v>
      </c>
      <c r="D14238" s="7">
        <v>0.15</v>
      </c>
    </row>
    <row r="14239" spans="1:4" x14ac:dyDescent="0.25">
      <c r="A14239" t="str">
        <f>HYPERLINK("https://www.773grp.com/globalSearch/BZV55-C43115/page-1", "BZV55-C43115")</f>
        <v>BZV55-C43115</v>
      </c>
      <c r="B14239" s="3" t="str">
        <f>HYPERLINK("https://www.773grp.com/manufacturer/nxp-semiconductor?pageNo=6", "NXP Semiconductors")</f>
        <v>NXP Semiconductors</v>
      </c>
      <c r="C14239" s="6">
        <v>182500</v>
      </c>
      <c r="D14239" s="7">
        <v>0.15</v>
      </c>
    </row>
    <row r="14240" spans="1:4" x14ac:dyDescent="0.25">
      <c r="A14240" t="str">
        <f>HYPERLINK("https://www.773grp.com/globalSearch/BZV55-C47115/page-1", "BZV55-C47115")</f>
        <v>BZV55-C47115</v>
      </c>
      <c r="B14240" s="3" t="str">
        <f>HYPERLINK("https://www.773grp.com/manufacturer/nxp-semiconductor?pageNo=7", "NXP Semiconductors")</f>
        <v>NXP Semiconductors</v>
      </c>
      <c r="C14240" s="6">
        <v>12500</v>
      </c>
      <c r="D14240" s="7">
        <v>0.15</v>
      </c>
    </row>
    <row r="14241" spans="1:4" x14ac:dyDescent="0.25">
      <c r="A14241" t="str">
        <f>HYPERLINK("https://www.773grp.com/globalSearch/BZV55-C4V3115/page-1", "BZV55-C4V3115")</f>
        <v>BZV55-C4V3115</v>
      </c>
      <c r="B14241" s="3" t="str">
        <f>HYPERLINK("https://www.773grp.com/manufacturer/nxp-semiconductor?pageNo=8", "NXP Semiconductors")</f>
        <v>NXP Semiconductors</v>
      </c>
      <c r="C14241" s="6">
        <v>84840</v>
      </c>
      <c r="D14241" s="7">
        <v>0.15</v>
      </c>
    </row>
    <row r="14242" spans="1:4" x14ac:dyDescent="0.25">
      <c r="A14242" t="str">
        <f>HYPERLINK("https://www.773grp.com/globalSearch/BZV55-C4V7135/page-1", "BZV55-C4V7135")</f>
        <v>BZV55-C4V7135</v>
      </c>
      <c r="B14242" s="3" t="str">
        <f>HYPERLINK("https://www.773grp.com/manufacturer/nxp-semiconductor?pageNo=9", "NXP Semiconductors")</f>
        <v>NXP Semiconductors</v>
      </c>
      <c r="C14242" s="6">
        <v>110000</v>
      </c>
      <c r="D14242" s="7">
        <v>0.15</v>
      </c>
    </row>
    <row r="14243" spans="1:4" x14ac:dyDescent="0.25">
      <c r="A14243" t="str">
        <f>HYPERLINK("https://www.773grp.com/globalSearch/BZV55-C51115/page-1", "BZV55-C51115")</f>
        <v>BZV55-C51115</v>
      </c>
      <c r="B14243" s="3" t="str">
        <f>HYPERLINK("https://www.773grp.com/manufacturer/nxp-semiconductor?pageNo=10", "NXP Semiconductors")</f>
        <v>NXP Semiconductors</v>
      </c>
      <c r="C14243" s="6">
        <v>52500</v>
      </c>
      <c r="D14243" s="7">
        <v>0.15</v>
      </c>
    </row>
    <row r="14244" spans="1:4" x14ac:dyDescent="0.25">
      <c r="A14244" t="str">
        <f>HYPERLINK("https://www.773grp.com/globalSearch/BZV55-C56115/page-1", "BZV55-C56115")</f>
        <v>BZV55-C56115</v>
      </c>
      <c r="B14244" s="3" t="str">
        <f>HYPERLINK("https://www.773grp.com/manufacturer/nxp-semiconductor?pageNo=11", "NXP Semiconductors")</f>
        <v>NXP Semiconductors</v>
      </c>
      <c r="C14244" s="6">
        <v>52500</v>
      </c>
      <c r="D14244" s="7">
        <v>0.15</v>
      </c>
    </row>
    <row r="14245" spans="1:4" x14ac:dyDescent="0.25">
      <c r="A14245" t="str">
        <f>HYPERLINK("https://www.773grp.com/globalSearch/BZV55-C5V1115/page-1", "BZV55-C5V1115")</f>
        <v>BZV55-C5V1115</v>
      </c>
      <c r="B14245" s="3" t="str">
        <f>HYPERLINK("https://www.773grp.com/manufacturer/nxp-semiconductor?pageNo=12", "NXP Semiconductors")</f>
        <v>NXP Semiconductors</v>
      </c>
      <c r="C14245" s="6">
        <v>1159</v>
      </c>
      <c r="D14245" s="7">
        <v>0.15</v>
      </c>
    </row>
    <row r="14246" spans="1:4" x14ac:dyDescent="0.25">
      <c r="A14246" t="str">
        <f>HYPERLINK("https://www.773grp.com/globalSearch/BZV55-C5V1135/page-1", "BZV55-C5V1135")</f>
        <v>BZV55-C5V1135</v>
      </c>
      <c r="B14246" s="3" t="str">
        <f>HYPERLINK("https://www.773grp.com/manufacturer/nxp-semiconductor?pageNo=13", "NXP Semiconductors")</f>
        <v>NXP Semiconductors</v>
      </c>
      <c r="C14246" s="6">
        <v>20000</v>
      </c>
      <c r="D14246" s="7">
        <v>0.15</v>
      </c>
    </row>
    <row r="14247" spans="1:4" x14ac:dyDescent="0.25">
      <c r="A14247" t="str">
        <f>HYPERLINK("https://www.773grp.com/globalSearch/BZV55-C5V6115/page-1", "BZV55-C5V6115")</f>
        <v>BZV55-C5V6115</v>
      </c>
      <c r="B14247" s="3" t="str">
        <f>HYPERLINK("https://www.773grp.com/manufacturer/nxp-semiconductor?pageNo=14", "NXP Semiconductors")</f>
        <v>NXP Semiconductors</v>
      </c>
      <c r="C14247" s="6">
        <v>30000</v>
      </c>
      <c r="D14247" s="7">
        <v>0.15</v>
      </c>
    </row>
    <row r="14248" spans="1:4" x14ac:dyDescent="0.25">
      <c r="A14248" t="str">
        <f>HYPERLINK("https://www.773grp.com/globalSearch/BZV55-C5V6135/page-1", "BZV55-C5V6135")</f>
        <v>BZV55-C5V6135</v>
      </c>
      <c r="B14248" s="3" t="str">
        <f>HYPERLINK("https://www.773grp.com/manufacturer/nxp-semiconductor?pageNo=15", "NXP Semiconductors")</f>
        <v>NXP Semiconductors</v>
      </c>
      <c r="C14248" s="6">
        <v>10000</v>
      </c>
      <c r="D14248" s="7">
        <v>0.15</v>
      </c>
    </row>
    <row r="14249" spans="1:4" x14ac:dyDescent="0.25">
      <c r="A14249" t="str">
        <f>HYPERLINK("https://www.773grp.com/globalSearch/BZV55-C62115/page-1", "BZV55-C62115")</f>
        <v>BZV55-C62115</v>
      </c>
      <c r="B14249" s="3" t="str">
        <f>HYPERLINK("https://www.773grp.com/manufacturer/nxp-semiconductor?pageNo=16", "NXP Semiconductors")</f>
        <v>NXP Semiconductors</v>
      </c>
      <c r="C14249" s="6">
        <v>56500</v>
      </c>
      <c r="D14249" s="7">
        <v>0.15</v>
      </c>
    </row>
    <row r="14250" spans="1:4" x14ac:dyDescent="0.25">
      <c r="A14250" t="str">
        <f>HYPERLINK("https://www.773grp.com/globalSearch/BZV55-C68115/page-1", "BZV55-C68115")</f>
        <v>BZV55-C68115</v>
      </c>
      <c r="B14250" s="3" t="str">
        <f>HYPERLINK("https://www.773grp.com/manufacturer/nxp-semiconductor?pageNo=17", "NXP Semiconductors")</f>
        <v>NXP Semiconductors</v>
      </c>
      <c r="C14250" s="6">
        <v>1400</v>
      </c>
      <c r="D14250" s="7">
        <v>0.15</v>
      </c>
    </row>
    <row r="14251" spans="1:4" x14ac:dyDescent="0.25">
      <c r="A14251" t="str">
        <f>HYPERLINK("https://www.773grp.com/globalSearch/BZV55-C6V2115/page-1", "BZV55-C6V2115")</f>
        <v>BZV55-C6V2115</v>
      </c>
      <c r="B14251" s="3" t="str">
        <f>HYPERLINK("https://www.773grp.com/manufacturer/nxp-semiconductor?pageNo=18", "NXP Semiconductors")</f>
        <v>NXP Semiconductors</v>
      </c>
      <c r="C14251" s="6">
        <v>22500</v>
      </c>
      <c r="D14251" s="7">
        <v>0.15</v>
      </c>
    </row>
    <row r="14252" spans="1:4" x14ac:dyDescent="0.25">
      <c r="A14252" t="str">
        <f>HYPERLINK("https://www.773grp.com/globalSearch/BZV55-C6V2135/page-1", "BZV55-C6V2135")</f>
        <v>BZV55-C6V2135</v>
      </c>
      <c r="B14252" s="3" t="str">
        <f>HYPERLINK("https://www.773grp.com/manufacturer/nxp-semiconductor?pageNo=19", "NXP Semiconductors")</f>
        <v>NXP Semiconductors</v>
      </c>
      <c r="C14252" s="6">
        <v>190000</v>
      </c>
      <c r="D14252" s="7">
        <v>0.15</v>
      </c>
    </row>
    <row r="14253" spans="1:4" x14ac:dyDescent="0.25">
      <c r="A14253" t="str">
        <f>HYPERLINK("https://www.773grp.com/globalSearch/BZV55-C6V8115/page-1", "BZV55-C6V8115")</f>
        <v>BZV55-C6V8115</v>
      </c>
      <c r="B14253" s="3" t="str">
        <f>HYPERLINK("https://www.773grp.com/manufacturer/nxp-semiconductor?pageNo=20", "NXP Semiconductors")</f>
        <v>NXP Semiconductors</v>
      </c>
      <c r="C14253" s="6">
        <v>47500</v>
      </c>
      <c r="D14253" s="7">
        <v>0.15</v>
      </c>
    </row>
    <row r="14254" spans="1:4" x14ac:dyDescent="0.25">
      <c r="A14254" t="str">
        <f>HYPERLINK("https://www.773grp.com/globalSearch/BZV55-C75115/page-1", "BZV55-C75115")</f>
        <v>BZV55-C75115</v>
      </c>
      <c r="B14254" s="3" t="str">
        <f>HYPERLINK("https://www.773grp.com/manufacturer/nxp-semiconductor?pageNo=21", "NXP Semiconductors")</f>
        <v>NXP Semiconductors</v>
      </c>
      <c r="C14254" s="6">
        <v>28400</v>
      </c>
      <c r="D14254" s="7">
        <v>0.15</v>
      </c>
    </row>
    <row r="14255" spans="1:4" x14ac:dyDescent="0.25">
      <c r="A14255" t="str">
        <f>HYPERLINK("https://www.773grp.com/globalSearch/BZV55-C7V5115/page-1", "BZV55-C7V5115")</f>
        <v>BZV55-C7V5115</v>
      </c>
      <c r="B14255" s="3" t="str">
        <f>HYPERLINK("https://www.773grp.com/manufacturer/nxp-semiconductor?pageNo=22", "NXP Semiconductors")</f>
        <v>NXP Semiconductors</v>
      </c>
      <c r="C14255" s="6">
        <v>35000</v>
      </c>
      <c r="D14255" s="7">
        <v>0.15</v>
      </c>
    </row>
    <row r="14256" spans="1:4" x14ac:dyDescent="0.25">
      <c r="A14256" t="str">
        <f>HYPERLINK("https://www.773grp.com/globalSearch/BZV55-C7V5135/page-1", "BZV55-C7V5135")</f>
        <v>BZV55-C7V5135</v>
      </c>
      <c r="B14256" s="3" t="str">
        <f>HYPERLINK("https://www.773grp.com/manufacturer/nxp-semiconductor?pageNo=23", "NXP Semiconductors")</f>
        <v>NXP Semiconductors</v>
      </c>
      <c r="C14256" s="6">
        <v>220000</v>
      </c>
      <c r="D14256" s="7">
        <v>0.15</v>
      </c>
    </row>
    <row r="14257" spans="1:4" x14ac:dyDescent="0.25">
      <c r="A14257" t="str">
        <f>HYPERLINK("https://www.773grp.com/globalSearch/BZV55-C8V2115/page-1", "BZV55-C8V2115")</f>
        <v>BZV55-C8V2115</v>
      </c>
      <c r="B14257" s="3" t="str">
        <f>HYPERLINK("https://www.773grp.com/manufacturer/nxp-semiconductor?pageNo=24", "NXP Semiconductors")</f>
        <v>NXP Semiconductors</v>
      </c>
      <c r="C14257" s="6">
        <v>87500</v>
      </c>
      <c r="D14257" s="7">
        <v>0.15</v>
      </c>
    </row>
    <row r="14258" spans="1:4" x14ac:dyDescent="0.25">
      <c r="A14258" t="str">
        <f>HYPERLINK("https://www.773grp.com/globalSearch/BZV55-C9V1115/page-1", "BZV55-C9V1115")</f>
        <v>BZV55-C9V1115</v>
      </c>
      <c r="B14258" s="3" t="str">
        <f>HYPERLINK("https://www.773grp.com/manufacturer/nxp-semiconductor?pageNo=25", "NXP Semiconductors")</f>
        <v>NXP Semiconductors</v>
      </c>
      <c r="C14258" s="6">
        <v>70000</v>
      </c>
      <c r="D14258" s="7">
        <v>0.15</v>
      </c>
    </row>
    <row r="14259" spans="1:4" x14ac:dyDescent="0.25">
      <c r="A14259" t="str">
        <f>HYPERLINK("https://www.773grp.com/globalSearch/BZV55-C9V1135/page-1", "BZV55-C9V1135")</f>
        <v>BZV55-C9V1135</v>
      </c>
      <c r="B14259" s="3" t="str">
        <f>HYPERLINK("https://www.773grp.com/manufacturer/nxp-semiconductor?pageNo=26", "NXP Semiconductors")</f>
        <v>NXP Semiconductors</v>
      </c>
      <c r="C14259" s="6">
        <v>100000</v>
      </c>
      <c r="D14259" s="7">
        <v>0.15</v>
      </c>
    </row>
    <row r="14260" spans="1:4" x14ac:dyDescent="0.25">
      <c r="A14260" t="str">
        <f>HYPERLINK("https://www.773grp.com/globalSearch/BZV85-C10113/page-1", "BZV85-C10113")</f>
        <v>BZV85-C10113</v>
      </c>
      <c r="B14260" s="3" t="str">
        <f>HYPERLINK("https://www.773grp.com/manufacturer/nxp-semiconductor?pageNo=27", "NXP Semiconductors")</f>
        <v>NXP Semiconductors</v>
      </c>
      <c r="C14260" s="6">
        <v>14936</v>
      </c>
      <c r="D14260" s="7">
        <v>0.15</v>
      </c>
    </row>
    <row r="14261" spans="1:4" x14ac:dyDescent="0.25">
      <c r="A14261" t="str">
        <f>HYPERLINK("https://www.773grp.com/globalSearch/BZV85-C10133/page-1", "BZV85-C10133")</f>
        <v>BZV85-C10133</v>
      </c>
      <c r="B14261" s="3" t="str">
        <f>HYPERLINK("https://www.773grp.com/manufacturer/nxp-semiconductor?pageNo=28", "NXP Semiconductors")</f>
        <v>NXP Semiconductors</v>
      </c>
      <c r="C14261" s="6">
        <v>30000</v>
      </c>
      <c r="D14261" s="7">
        <v>0.15</v>
      </c>
    </row>
    <row r="14262" spans="1:4" x14ac:dyDescent="0.25">
      <c r="A14262" t="str">
        <f>HYPERLINK("https://www.773grp.com/globalSearch/BZV85-C12113/page-1", "BZV85-C12113")</f>
        <v>BZV85-C12113</v>
      </c>
      <c r="B14262" s="3" t="str">
        <f>HYPERLINK("https://www.773grp.com/manufacturer/nxp-semiconductor?pageNo=29", "NXP Semiconductors")</f>
        <v>NXP Semiconductors</v>
      </c>
      <c r="C14262" s="6">
        <v>10000</v>
      </c>
      <c r="D14262" s="7">
        <v>0.15</v>
      </c>
    </row>
    <row r="14263" spans="1:4" x14ac:dyDescent="0.25">
      <c r="A14263" t="str">
        <f>HYPERLINK("https://www.773grp.com/globalSearch/BZV85-C12133/page-1", "BZV85-C12133")</f>
        <v>BZV85-C12133</v>
      </c>
      <c r="B14263" s="3" t="str">
        <f>HYPERLINK("https://www.773grp.com/manufacturer/nxp-semiconductor?pageNo=30", "NXP Semiconductors")</f>
        <v>NXP Semiconductors</v>
      </c>
      <c r="C14263" s="6">
        <v>40200</v>
      </c>
      <c r="D14263" s="7">
        <v>0.15</v>
      </c>
    </row>
    <row r="14264" spans="1:4" x14ac:dyDescent="0.25">
      <c r="A14264" t="str">
        <f>HYPERLINK("https://www.773grp.com/globalSearch/BZV85-C13113/page-1", "BZV85-C13113")</f>
        <v>BZV85-C13113</v>
      </c>
      <c r="B14264" s="3" t="str">
        <f>HYPERLINK("https://www.773grp.com/manufacturer/nxp-semiconductor?pageNo=31", "NXP Semiconductors")</f>
        <v>NXP Semiconductors</v>
      </c>
      <c r="C14264" s="6">
        <v>25000</v>
      </c>
      <c r="D14264" s="7">
        <v>0.15</v>
      </c>
    </row>
    <row r="14265" spans="1:4" x14ac:dyDescent="0.25">
      <c r="A14265" t="str">
        <f>HYPERLINK("https://www.773grp.com/globalSearch/BZV85-C13133/page-1", "BZV85-C13133")</f>
        <v>BZV85-C13133</v>
      </c>
      <c r="B14265" s="3" t="str">
        <f>HYPERLINK("https://www.773grp.com/manufacturer/nxp-semiconductor?pageNo=32", "NXP Semiconductors")</f>
        <v>NXP Semiconductors</v>
      </c>
      <c r="C14265" s="6">
        <v>11500</v>
      </c>
      <c r="D14265" s="7">
        <v>0.15</v>
      </c>
    </row>
    <row r="14266" spans="1:4" x14ac:dyDescent="0.25">
      <c r="A14266" t="str">
        <f>HYPERLINK("https://www.773grp.com/globalSearch/BZV85-C15133/page-1", "BZV85-C15133")</f>
        <v>BZV85-C15133</v>
      </c>
      <c r="B14266" s="3" t="str">
        <f>HYPERLINK("https://www.773grp.com/manufacturer/nxp-semiconductor?pageNo=33", "NXP Semiconductors")</f>
        <v>NXP Semiconductors</v>
      </c>
      <c r="C14266" s="6">
        <v>20200</v>
      </c>
      <c r="D14266" s="7">
        <v>0.15</v>
      </c>
    </row>
    <row r="14267" spans="1:4" x14ac:dyDescent="0.25">
      <c r="A14267" t="str">
        <f>HYPERLINK("https://www.773grp.com/globalSearch/BZV85-C16113/page-1", "BZV85-C16113")</f>
        <v>BZV85-C16113</v>
      </c>
      <c r="B14267" s="3" t="str">
        <f>HYPERLINK("https://www.773grp.com/manufacturer/nxp-semiconductor?pageNo=34", "NXP Semiconductors")</f>
        <v>NXP Semiconductors</v>
      </c>
      <c r="C14267" s="6">
        <v>35000</v>
      </c>
      <c r="D14267" s="7">
        <v>0.15</v>
      </c>
    </row>
    <row r="14268" spans="1:4" x14ac:dyDescent="0.25">
      <c r="A14268" t="str">
        <f>HYPERLINK("https://www.773grp.com/globalSearch/BZV85-C16133/page-1", "BZV85-C16133")</f>
        <v>BZV85-C16133</v>
      </c>
      <c r="B14268" s="3" t="str">
        <f>HYPERLINK("https://www.773grp.com/manufacturer/nxp-semiconductor?pageNo=35", "NXP Semiconductors")</f>
        <v>NXP Semiconductors</v>
      </c>
      <c r="C14268" s="6">
        <v>6500</v>
      </c>
      <c r="D14268" s="7">
        <v>0.15</v>
      </c>
    </row>
    <row r="14269" spans="1:4" x14ac:dyDescent="0.25">
      <c r="A14269" t="str">
        <f>HYPERLINK("https://www.773grp.com/globalSearch/BZV85-C18113/page-1", "BZV85-C18113")</f>
        <v>BZV85-C18113</v>
      </c>
      <c r="B14269" s="3" t="str">
        <f>HYPERLINK("https://www.773grp.com/manufacturer/nxp-semiconductor?pageNo=36", "NXP Semiconductors")</f>
        <v>NXP Semiconductors</v>
      </c>
      <c r="C14269" s="6">
        <v>25000</v>
      </c>
      <c r="D14269" s="7">
        <v>0.15</v>
      </c>
    </row>
    <row r="14270" spans="1:4" x14ac:dyDescent="0.25">
      <c r="A14270" t="str">
        <f>HYPERLINK("https://www.773grp.com/globalSearch/BZV85-C18133/page-1", "BZV85-C18133")</f>
        <v>BZV85-C18133</v>
      </c>
      <c r="B14270" s="3" t="str">
        <f>HYPERLINK("https://www.773grp.com/manufacturer/nxp-semiconductor?pageNo=37", "NXP Semiconductors")</f>
        <v>NXP Semiconductors</v>
      </c>
      <c r="C14270" s="6">
        <v>6200</v>
      </c>
      <c r="D14270" s="7">
        <v>0.15</v>
      </c>
    </row>
    <row r="14271" spans="1:4" x14ac:dyDescent="0.25">
      <c r="A14271" t="str">
        <f>HYPERLINK("https://www.773grp.com/globalSearch/BZV85-C20113/page-1", "BZV85-C20113")</f>
        <v>BZV85-C20113</v>
      </c>
      <c r="B14271" s="3" t="str">
        <f>HYPERLINK("https://www.773grp.com/manufacturer/nxp-semiconductor?pageNo=38", "NXP Semiconductors")</f>
        <v>NXP Semiconductors</v>
      </c>
      <c r="C14271" s="6">
        <v>35000</v>
      </c>
      <c r="D14271" s="7">
        <v>0.15</v>
      </c>
    </row>
    <row r="14272" spans="1:4" x14ac:dyDescent="0.25">
      <c r="A14272" t="str">
        <f>HYPERLINK("https://www.773grp.com/globalSearch/BZV85-C20133/page-1", "BZV85-C20133")</f>
        <v>BZV85-C20133</v>
      </c>
      <c r="B14272" s="3" t="str">
        <f>HYPERLINK("https://www.773grp.com/manufacturer/nxp-semiconductor?pageNo=39", "NXP Semiconductors")</f>
        <v>NXP Semiconductors</v>
      </c>
      <c r="C14272" s="6">
        <v>31500</v>
      </c>
      <c r="D14272" s="7">
        <v>0.15</v>
      </c>
    </row>
    <row r="14273" spans="1:4" x14ac:dyDescent="0.25">
      <c r="A14273" t="str">
        <f>HYPERLINK("https://www.773grp.com/globalSearch/BZV85-C22113/page-1", "BZV85-C22113")</f>
        <v>BZV85-C22113</v>
      </c>
      <c r="B14273" s="3" t="str">
        <f>HYPERLINK("https://www.773grp.com/manufacturer/nxp-semiconductor?pageNo=40", "NXP Semiconductors")</f>
        <v>NXP Semiconductors</v>
      </c>
      <c r="C14273" s="6">
        <v>10000</v>
      </c>
      <c r="D14273" s="7">
        <v>0.15</v>
      </c>
    </row>
    <row r="14274" spans="1:4" x14ac:dyDescent="0.25">
      <c r="A14274" t="str">
        <f>HYPERLINK("https://www.773grp.com/globalSearch/BZV85-C24133/page-1", "BZV85-C24133")</f>
        <v>BZV85-C24133</v>
      </c>
      <c r="B14274" s="3" t="str">
        <f>HYPERLINK("https://www.773grp.com/manufacturer/nxp-semiconductor?pageNo=41", "NXP Semiconductors")</f>
        <v>NXP Semiconductors</v>
      </c>
      <c r="C14274" s="6">
        <v>200</v>
      </c>
      <c r="D14274" s="7">
        <v>0.15</v>
      </c>
    </row>
    <row r="14275" spans="1:4" x14ac:dyDescent="0.25">
      <c r="A14275" t="str">
        <f>HYPERLINK("https://www.773grp.com/globalSearch/BZV85-C27113/page-1", "BZV85-C27113")</f>
        <v>BZV85-C27113</v>
      </c>
      <c r="B14275" s="3" t="str">
        <f>HYPERLINK("https://www.773grp.com/manufacturer/nxp-semiconductor?pageNo=42", "NXP Semiconductors")</f>
        <v>NXP Semiconductors</v>
      </c>
      <c r="C14275" s="6">
        <v>75000</v>
      </c>
      <c r="D14275" s="7">
        <v>0.15</v>
      </c>
    </row>
    <row r="14276" spans="1:4" x14ac:dyDescent="0.25">
      <c r="A14276" t="str">
        <f>HYPERLINK("https://www.773grp.com/globalSearch/BZV85-C27133/page-1", "BZV85-C27133")</f>
        <v>BZV85-C27133</v>
      </c>
      <c r="B14276" s="3" t="str">
        <f>HYPERLINK("https://www.773grp.com/manufacturer/nxp-semiconductor?pageNo=43", "NXP Semiconductors")</f>
        <v>NXP Semiconductors</v>
      </c>
      <c r="C14276" s="6">
        <v>1500</v>
      </c>
      <c r="D14276" s="7">
        <v>0.15</v>
      </c>
    </row>
    <row r="14277" spans="1:4" x14ac:dyDescent="0.25">
      <c r="A14277" t="str">
        <f>HYPERLINK("https://www.773grp.com/globalSearch/BZV85-C30113/page-1", "BZV85-C30113")</f>
        <v>BZV85-C30113</v>
      </c>
      <c r="B14277" s="3" t="str">
        <f>HYPERLINK("https://www.773grp.com/manufacturer/nxp-semiconductor?pageNo=44", "NXP Semiconductors")</f>
        <v>NXP Semiconductors</v>
      </c>
      <c r="C14277" s="6">
        <v>20000</v>
      </c>
      <c r="D14277" s="7">
        <v>0.15</v>
      </c>
    </row>
    <row r="14278" spans="1:4" x14ac:dyDescent="0.25">
      <c r="A14278" t="str">
        <f>HYPERLINK("https://www.773grp.com/globalSearch/BZV85-C30133/page-1", "BZV85-C30133")</f>
        <v>BZV85-C30133</v>
      </c>
      <c r="B14278" s="3" t="str">
        <f>HYPERLINK("https://www.773grp.com/manufacturer/nxp-semiconductor?pageNo=45", "NXP Semiconductors")</f>
        <v>NXP Semiconductors</v>
      </c>
      <c r="C14278" s="6">
        <v>30000</v>
      </c>
      <c r="D14278" s="7">
        <v>0.15</v>
      </c>
    </row>
    <row r="14279" spans="1:4" x14ac:dyDescent="0.25">
      <c r="A14279" t="str">
        <f>HYPERLINK("https://www.773grp.com/globalSearch/BZV85-C33113/page-1", "BZV85-C33113")</f>
        <v>BZV85-C33113</v>
      </c>
      <c r="B14279" s="3" t="str">
        <f>HYPERLINK("https://www.773grp.com/manufacturer/nxp-semiconductor?pageNo=46", "NXP Semiconductors")</f>
        <v>NXP Semiconductors</v>
      </c>
      <c r="C14279" s="6">
        <v>20000</v>
      </c>
      <c r="D14279" s="7">
        <v>0.15</v>
      </c>
    </row>
    <row r="14280" spans="1:4" x14ac:dyDescent="0.25">
      <c r="A14280" t="str">
        <f>HYPERLINK("https://www.773grp.com/globalSearch/BZV85-C33133/page-1", "BZV85-C33133")</f>
        <v>BZV85-C33133</v>
      </c>
      <c r="B14280" s="3" t="str">
        <f>HYPERLINK("https://www.773grp.com/manufacturer/nxp-semiconductor?pageNo=47", "NXP Semiconductors")</f>
        <v>NXP Semiconductors</v>
      </c>
      <c r="C14280" s="6">
        <v>150</v>
      </c>
      <c r="D14280" s="7">
        <v>0.15</v>
      </c>
    </row>
    <row r="14281" spans="1:4" x14ac:dyDescent="0.25">
      <c r="A14281" t="str">
        <f>HYPERLINK("https://www.773grp.com/globalSearch/BZV85-C36113/page-1", "BZV85-C36113")</f>
        <v>BZV85-C36113</v>
      </c>
      <c r="B14281" s="3" t="str">
        <f>HYPERLINK("https://www.773grp.com/manufacturer/nxp-semiconductor?pageNo=48", "NXP Semiconductors")</f>
        <v>NXP Semiconductors</v>
      </c>
      <c r="C14281" s="6">
        <v>54990</v>
      </c>
      <c r="D14281" s="7">
        <v>0.15</v>
      </c>
    </row>
    <row r="14282" spans="1:4" x14ac:dyDescent="0.25">
      <c r="A14282" t="str">
        <f>HYPERLINK("https://www.773grp.com/globalSearch/BZV85-C39133/page-1", "BZV85-C39133")</f>
        <v>BZV85-C39133</v>
      </c>
      <c r="B14282" s="3" t="str">
        <f>HYPERLINK("https://www.773grp.com/manufacturer/nxp-semiconductor?pageNo=1", "NXP Semiconductors")</f>
        <v>NXP Semiconductors</v>
      </c>
      <c r="C14282" s="6">
        <v>1500</v>
      </c>
      <c r="D14282" s="7">
        <v>0.15</v>
      </c>
    </row>
    <row r="14283" spans="1:4" x14ac:dyDescent="0.25">
      <c r="A14283" t="str">
        <f>HYPERLINK("https://www.773grp.com/globalSearch/BZV85-C3V9133/page-1", "BZV85-C3V9133")</f>
        <v>BZV85-C3V9133</v>
      </c>
      <c r="B14283" s="3" t="str">
        <f>HYPERLINK("https://www.773grp.com/manufacturer/nxp-semiconductor?pageNo=2", "NXP Semiconductors")</f>
        <v>NXP Semiconductors</v>
      </c>
      <c r="C14283" s="6">
        <v>1500</v>
      </c>
      <c r="D14283" s="7">
        <v>0.15</v>
      </c>
    </row>
    <row r="14284" spans="1:4" x14ac:dyDescent="0.25">
      <c r="A14284" t="str">
        <f>HYPERLINK("https://www.773grp.com/globalSearch/BZV85-C43133/page-1", "BZV85-C43133")</f>
        <v>BZV85-C43133</v>
      </c>
      <c r="B14284" s="3" t="str">
        <f>HYPERLINK("https://www.773grp.com/manufacturer/nxp-semiconductor?pageNo=3", "NXP Semiconductors")</f>
        <v>NXP Semiconductors</v>
      </c>
      <c r="C14284" s="6">
        <v>1500</v>
      </c>
      <c r="D14284" s="7">
        <v>0.15</v>
      </c>
    </row>
    <row r="14285" spans="1:4" x14ac:dyDescent="0.25">
      <c r="A14285" t="str">
        <f>HYPERLINK("https://www.773grp.com/globalSearch/BZV85-C47113/page-1", "BZV85-C47113")</f>
        <v>BZV85-C47113</v>
      </c>
      <c r="B14285" s="3" t="str">
        <f>HYPERLINK("https://www.773grp.com/manufacturer/nxp-semiconductor?pageNo=4", "NXP Semiconductors")</f>
        <v>NXP Semiconductors</v>
      </c>
      <c r="C14285" s="6">
        <v>10000</v>
      </c>
      <c r="D14285" s="7">
        <v>0.15</v>
      </c>
    </row>
    <row r="14286" spans="1:4" x14ac:dyDescent="0.25">
      <c r="A14286" t="str">
        <f>HYPERLINK("https://www.773grp.com/globalSearch/BZV85-C47133/page-1", "BZV85-C47133")</f>
        <v>BZV85-C47133</v>
      </c>
      <c r="B14286" s="3" t="str">
        <f>HYPERLINK("https://www.773grp.com/manufacturer/nxp-semiconductor?pageNo=5", "NXP Semiconductors")</f>
        <v>NXP Semiconductors</v>
      </c>
      <c r="C14286" s="6">
        <v>21500</v>
      </c>
      <c r="D14286" s="7">
        <v>0.15</v>
      </c>
    </row>
    <row r="14287" spans="1:4" x14ac:dyDescent="0.25">
      <c r="A14287" t="str">
        <f>HYPERLINK("https://www.773grp.com/globalSearch/BZV85-C4V7133/page-1", "BZV85-C4V7133")</f>
        <v>BZV85-C4V7133</v>
      </c>
      <c r="B14287" s="3" t="str">
        <f>HYPERLINK("https://www.773grp.com/manufacturer/nxp-semiconductor?pageNo=6", "NXP Semiconductors")</f>
        <v>NXP Semiconductors</v>
      </c>
      <c r="C14287" s="6">
        <v>26500</v>
      </c>
      <c r="D14287" s="7">
        <v>0.15</v>
      </c>
    </row>
    <row r="14288" spans="1:4" x14ac:dyDescent="0.25">
      <c r="A14288" t="str">
        <f>HYPERLINK("https://www.773grp.com/globalSearch/BZV85-C51133/page-1", "BZV85-C51133")</f>
        <v>BZV85-C51133</v>
      </c>
      <c r="B14288" s="3" t="str">
        <f>HYPERLINK("https://www.773grp.com/manufacturer/nxp-semiconductor?pageNo=7", "NXP Semiconductors")</f>
        <v>NXP Semiconductors</v>
      </c>
      <c r="C14288" s="6">
        <v>4292</v>
      </c>
      <c r="D14288" s="7">
        <v>0.15</v>
      </c>
    </row>
    <row r="14289" spans="1:4" x14ac:dyDescent="0.25">
      <c r="A14289" t="str">
        <f>HYPERLINK("https://www.773grp.com/globalSearch/BZV85-C56113/page-1", "BZV85-C56113")</f>
        <v>BZV85-C56113</v>
      </c>
      <c r="B14289" s="3" t="str">
        <f>HYPERLINK("https://www.773grp.com/manufacturer/nxp-semiconductor?pageNo=8", "NXP Semiconductors")</f>
        <v>NXP Semiconductors</v>
      </c>
      <c r="C14289" s="6">
        <v>25000</v>
      </c>
      <c r="D14289" s="7">
        <v>0.15</v>
      </c>
    </row>
    <row r="14290" spans="1:4" x14ac:dyDescent="0.25">
      <c r="A14290" t="str">
        <f>HYPERLINK("https://www.773grp.com/globalSearch/BZV85-C56133/page-1", "BZV85-C56133")</f>
        <v>BZV85-C56133</v>
      </c>
      <c r="B14290" s="3" t="str">
        <f>HYPERLINK("https://www.773grp.com/manufacturer/nxp-semiconductor?pageNo=9", "NXP Semiconductors")</f>
        <v>NXP Semiconductors</v>
      </c>
      <c r="C14290" s="6">
        <v>9500</v>
      </c>
      <c r="D14290" s="7">
        <v>0.15</v>
      </c>
    </row>
    <row r="14291" spans="1:4" x14ac:dyDescent="0.25">
      <c r="A14291" t="str">
        <f>HYPERLINK("https://www.773grp.com/globalSearch/BZV85-C5V1133/page-1", "BZV85-C5V1133")</f>
        <v>BZV85-C5V1133</v>
      </c>
      <c r="B14291" s="3" t="str">
        <f>HYPERLINK("https://www.773grp.com/manufacturer/nxp-semiconductor?pageNo=10", "NXP Semiconductors")</f>
        <v>NXP Semiconductors</v>
      </c>
      <c r="C14291" s="6">
        <v>25000</v>
      </c>
      <c r="D14291" s="7">
        <v>0.15</v>
      </c>
    </row>
    <row r="14292" spans="1:4" x14ac:dyDescent="0.25">
      <c r="A14292" t="str">
        <f>HYPERLINK("https://www.773grp.com/globalSearch/BZV85-C5V6113/page-1", "BZV85-C5V6113")</f>
        <v>BZV85-C5V6113</v>
      </c>
      <c r="B14292" s="3" t="str">
        <f>HYPERLINK("https://www.773grp.com/manufacturer/nxp-semiconductor?pageNo=11", "NXP Semiconductors")</f>
        <v>NXP Semiconductors</v>
      </c>
      <c r="C14292" s="6">
        <v>30000</v>
      </c>
      <c r="D14292" s="7">
        <v>0.15</v>
      </c>
    </row>
    <row r="14293" spans="1:4" x14ac:dyDescent="0.25">
      <c r="A14293" t="str">
        <f>HYPERLINK("https://www.773grp.com/globalSearch/BZV85-C5V6133/page-1", "BZV85-C5V6133")</f>
        <v>BZV85-C5V6133</v>
      </c>
      <c r="B14293" s="3" t="str">
        <f>HYPERLINK("https://www.773grp.com/manufacturer/nxp-semiconductor?pageNo=12", "NXP Semiconductors")</f>
        <v>NXP Semiconductors</v>
      </c>
      <c r="C14293" s="6">
        <v>50150</v>
      </c>
      <c r="D14293" s="7">
        <v>0.15</v>
      </c>
    </row>
    <row r="14294" spans="1:4" x14ac:dyDescent="0.25">
      <c r="A14294" t="str">
        <f>HYPERLINK("https://www.773grp.com/globalSearch/BZV85-C62113/page-1", "BZV85-C62113")</f>
        <v>BZV85-C62113</v>
      </c>
      <c r="B14294" s="3" t="str">
        <f>HYPERLINK("https://www.773grp.com/manufacturer/nxp-semiconductor?pageNo=13", "NXP Semiconductors")</f>
        <v>NXP Semiconductors</v>
      </c>
      <c r="C14294" s="6">
        <v>10000</v>
      </c>
      <c r="D14294" s="7">
        <v>0.15</v>
      </c>
    </row>
    <row r="14295" spans="1:4" x14ac:dyDescent="0.25">
      <c r="A14295" t="str">
        <f>HYPERLINK("https://www.773grp.com/globalSearch/BZV85-C68113/page-1", "BZV85-C68113")</f>
        <v>BZV85-C68113</v>
      </c>
      <c r="B14295" s="3" t="str">
        <f>HYPERLINK("https://www.773grp.com/manufacturer/nxp-semiconductor?pageNo=14", "NXP Semiconductors")</f>
        <v>NXP Semiconductors</v>
      </c>
      <c r="C14295" s="6">
        <v>60000</v>
      </c>
      <c r="D14295" s="7">
        <v>0.15</v>
      </c>
    </row>
    <row r="14296" spans="1:4" x14ac:dyDescent="0.25">
      <c r="A14296" t="str">
        <f>HYPERLINK("https://www.773grp.com/globalSearch/BZV85-C6V2113/page-1", "BZV85-C6V2113")</f>
        <v>BZV85-C6V2113</v>
      </c>
      <c r="B14296" s="3" t="str">
        <f>HYPERLINK("https://www.773grp.com/manufacturer/nxp-semiconductor?pageNo=15", "NXP Semiconductors")</f>
        <v>NXP Semiconductors</v>
      </c>
      <c r="C14296" s="6">
        <v>30000</v>
      </c>
      <c r="D14296" s="7">
        <v>0.15</v>
      </c>
    </row>
    <row r="14297" spans="1:4" x14ac:dyDescent="0.25">
      <c r="A14297" t="str">
        <f>HYPERLINK("https://www.773grp.com/globalSearch/BZV85-C6V8133/page-1", "BZV85-C6V8133")</f>
        <v>BZV85-C6V8133</v>
      </c>
      <c r="B14297" s="3" t="str">
        <f>HYPERLINK("https://www.773grp.com/manufacturer/nxp-semiconductor?pageNo=16", "NXP Semiconductors")</f>
        <v>NXP Semiconductors</v>
      </c>
      <c r="C14297" s="6">
        <v>8895</v>
      </c>
      <c r="D14297" s="7">
        <v>0.15</v>
      </c>
    </row>
    <row r="14298" spans="1:4" x14ac:dyDescent="0.25">
      <c r="A14298" t="str">
        <f>HYPERLINK("https://www.773grp.com/globalSearch/BZV85-C75113/page-1", "BZV85-C75113")</f>
        <v>BZV85-C75113</v>
      </c>
      <c r="B14298" s="3" t="str">
        <f>HYPERLINK("https://www.773grp.com/manufacturer/nxp-semiconductor?pageNo=17", "NXP Semiconductors")</f>
        <v>NXP Semiconductors</v>
      </c>
      <c r="C14298" s="6">
        <v>25000</v>
      </c>
      <c r="D14298" s="7">
        <v>0.15</v>
      </c>
    </row>
    <row r="14299" spans="1:4" x14ac:dyDescent="0.25">
      <c r="A14299" t="str">
        <f>HYPERLINK("https://www.773grp.com/globalSearch/BZV85-C75133/page-1", "BZV85-C75133")</f>
        <v>BZV85-C75133</v>
      </c>
      <c r="B14299" s="3" t="str">
        <f>HYPERLINK("https://www.773grp.com/manufacturer/nxp-semiconductor?pageNo=18", "NXP Semiconductors")</f>
        <v>NXP Semiconductors</v>
      </c>
      <c r="C14299" s="6">
        <v>1500</v>
      </c>
      <c r="D14299" s="7">
        <v>0.15</v>
      </c>
    </row>
    <row r="14300" spans="1:4" x14ac:dyDescent="0.25">
      <c r="A14300" t="str">
        <f>HYPERLINK("https://www.773grp.com/globalSearch/BZV85-C7V5113/page-1", "BZV85-C7V5113")</f>
        <v>BZV85-C7V5113</v>
      </c>
      <c r="B14300" s="3" t="str">
        <f>HYPERLINK("https://www.773grp.com/manufacturer/nxp-semiconductor?pageNo=19", "NXP Semiconductors")</f>
        <v>NXP Semiconductors</v>
      </c>
      <c r="C14300" s="6">
        <v>15000</v>
      </c>
      <c r="D14300" s="7">
        <v>0.15</v>
      </c>
    </row>
    <row r="14301" spans="1:4" x14ac:dyDescent="0.25">
      <c r="A14301" t="str">
        <f>HYPERLINK("https://www.773grp.com/globalSearch/BZV85-C8V2113/page-1", "BZV85-C8V2113")</f>
        <v>BZV85-C8V2113</v>
      </c>
      <c r="B14301" s="3" t="str">
        <f>HYPERLINK("https://www.773grp.com/manufacturer/nxp-semiconductor?pageNo=20", "NXP Semiconductors")</f>
        <v>NXP Semiconductors</v>
      </c>
      <c r="C14301" s="6">
        <v>70000</v>
      </c>
      <c r="D14301" s="7">
        <v>0.15</v>
      </c>
    </row>
    <row r="14302" spans="1:4" x14ac:dyDescent="0.25">
      <c r="A14302" t="str">
        <f>HYPERLINK("https://www.773grp.com/globalSearch/BZV85-C8V2133/page-1", "BZV85-C8V2133")</f>
        <v>BZV85-C8V2133</v>
      </c>
      <c r="B14302" s="3" t="str">
        <f>HYPERLINK("https://www.773grp.com/manufacturer/nxp-semiconductor?pageNo=21", "NXP Semiconductors")</f>
        <v>NXP Semiconductors</v>
      </c>
      <c r="C14302" s="6">
        <v>1500</v>
      </c>
      <c r="D14302" s="7">
        <v>0.15</v>
      </c>
    </row>
    <row r="14303" spans="1:4" x14ac:dyDescent="0.25">
      <c r="A14303" t="str">
        <f>HYPERLINK("https://www.773grp.com/globalSearch/BZV85-C9V1113/page-1", "BZV85-C9V1113")</f>
        <v>BZV85-C9V1113</v>
      </c>
      <c r="B14303" s="3" t="str">
        <f>HYPERLINK("https://www.773grp.com/manufacturer/nxp-semiconductor?pageNo=22", "NXP Semiconductors")</f>
        <v>NXP Semiconductors</v>
      </c>
      <c r="C14303" s="6">
        <v>1450</v>
      </c>
      <c r="D14303" s="7">
        <v>0.15</v>
      </c>
    </row>
    <row r="14304" spans="1:4" x14ac:dyDescent="0.25">
      <c r="A14304" t="str">
        <f>HYPERLINK("https://www.773grp.com/globalSearch/BZV85-C9V1133/page-1", "BZV85-C9V1133")</f>
        <v>BZV85-C9V1133</v>
      </c>
      <c r="B14304" s="3" t="str">
        <f>HYPERLINK("https://www.773grp.com/manufacturer/nxp-semiconductor?pageNo=23", "NXP Semiconductors")</f>
        <v>NXP Semiconductors</v>
      </c>
      <c r="C14304" s="6">
        <v>10000</v>
      </c>
      <c r="D14304" s="7">
        <v>0.15</v>
      </c>
    </row>
    <row r="14305" spans="1:4" x14ac:dyDescent="0.25">
      <c r="A14305" t="str">
        <f>HYPERLINK("https://www.773grp.com/globalSearch/BZX384-C10115/page-1", "BZX384-C10115")</f>
        <v>BZX384-C10115</v>
      </c>
      <c r="B14305" s="3" t="str">
        <f>HYPERLINK("https://www.773grp.com/manufacturer/nxp-semiconductor?pageNo=24", "NXP Semiconductors")</f>
        <v>NXP Semiconductors</v>
      </c>
      <c r="C14305" s="6">
        <v>15000</v>
      </c>
      <c r="D14305" s="7">
        <v>0.15</v>
      </c>
    </row>
    <row r="14306" spans="1:4" x14ac:dyDescent="0.25">
      <c r="A14306" t="str">
        <f>HYPERLINK("https://www.773grp.com/globalSearch/BZX384-C12115/page-1", "BZX384-C12115")</f>
        <v>BZX384-C12115</v>
      </c>
      <c r="B14306" s="3" t="str">
        <f>HYPERLINK("https://www.773grp.com/manufacturer/nxp-semiconductor?pageNo=25", "NXP Semiconductors")</f>
        <v>NXP Semiconductors</v>
      </c>
      <c r="C14306" s="6">
        <v>39049</v>
      </c>
      <c r="D14306" s="7">
        <v>0.15</v>
      </c>
    </row>
    <row r="14307" spans="1:4" x14ac:dyDescent="0.25">
      <c r="A14307" t="str">
        <f>HYPERLINK("https://www.773grp.com/globalSearch/BZX384-C13115/page-1", "BZX384-C13115")</f>
        <v>BZX384-C13115</v>
      </c>
      <c r="B14307" s="3" t="str">
        <f>HYPERLINK("https://www.773grp.com/manufacturer/nxp-semiconductor?pageNo=26", "NXP Semiconductors")</f>
        <v>NXP Semiconductors</v>
      </c>
      <c r="C14307" s="6">
        <v>13255</v>
      </c>
      <c r="D14307" s="7">
        <v>0.15</v>
      </c>
    </row>
    <row r="14308" spans="1:4" x14ac:dyDescent="0.25">
      <c r="A14308" t="str">
        <f>HYPERLINK("https://www.773grp.com/globalSearch/BZX384-C15115/page-1", "BZX384-C15115")</f>
        <v>BZX384-C15115</v>
      </c>
      <c r="B14308" s="3" t="str">
        <f>HYPERLINK("https://www.773grp.com/manufacturer/nxp-semiconductor?pageNo=27", "NXP Semiconductors")</f>
        <v>NXP Semiconductors</v>
      </c>
      <c r="C14308" s="6">
        <v>30000</v>
      </c>
      <c r="D14308" s="7">
        <v>0.15</v>
      </c>
    </row>
    <row r="14309" spans="1:4" x14ac:dyDescent="0.25">
      <c r="A14309" t="str">
        <f>HYPERLINK("https://www.773grp.com/globalSearch/BZX384-C16115/page-1", "BZX384-C16115")</f>
        <v>BZX384-C16115</v>
      </c>
      <c r="B14309" s="3" t="str">
        <f>HYPERLINK("https://www.773grp.com/manufacturer/nxp-semiconductor?pageNo=28", "NXP Semiconductors")</f>
        <v>NXP Semiconductors</v>
      </c>
      <c r="C14309" s="6">
        <v>33000</v>
      </c>
      <c r="D14309" s="7">
        <v>0.15</v>
      </c>
    </row>
    <row r="14310" spans="1:4" x14ac:dyDescent="0.25">
      <c r="A14310" t="str">
        <f>HYPERLINK("https://www.773grp.com/globalSearch/BZX384-C18115/page-1", "BZX384-C18115")</f>
        <v>BZX384-C18115</v>
      </c>
      <c r="B14310" s="3" t="str">
        <f>HYPERLINK("https://www.773grp.com/manufacturer/nxp-semiconductor?pageNo=29", "NXP Semiconductors")</f>
        <v>NXP Semiconductors</v>
      </c>
      <c r="C14310" s="6">
        <v>150</v>
      </c>
      <c r="D14310" s="7">
        <v>0.15</v>
      </c>
    </row>
    <row r="14311" spans="1:4" x14ac:dyDescent="0.25">
      <c r="A14311" t="str">
        <f>HYPERLINK("https://www.773grp.com/globalSearch/BZX384-C20115/page-1", "BZX384-C20115")</f>
        <v>BZX384-C20115</v>
      </c>
      <c r="B14311" s="3" t="str">
        <f>HYPERLINK("https://www.773grp.com/manufacturer/nxp-semiconductor?pageNo=30", "NXP Semiconductors")</f>
        <v>NXP Semiconductors</v>
      </c>
      <c r="C14311" s="6">
        <v>188</v>
      </c>
      <c r="D14311" s="7">
        <v>0.15</v>
      </c>
    </row>
    <row r="14312" spans="1:4" x14ac:dyDescent="0.25">
      <c r="A14312" t="str">
        <f>HYPERLINK("https://www.773grp.com/globalSearch/BZX384-C22115/page-1", "BZX384-C22115")</f>
        <v>BZX384-C22115</v>
      </c>
      <c r="B14312" s="3" t="str">
        <f>HYPERLINK("https://www.773grp.com/manufacturer/nxp-semiconductor?pageNo=31", "NXP Semiconductors")</f>
        <v>NXP Semiconductors</v>
      </c>
      <c r="C14312" s="6">
        <v>97500</v>
      </c>
      <c r="D14312" s="7">
        <v>0.15</v>
      </c>
    </row>
    <row r="14313" spans="1:4" x14ac:dyDescent="0.25">
      <c r="A14313" t="str">
        <f>HYPERLINK("https://www.773grp.com/globalSearch/BZX384-C24115/page-1", "BZX384-C24115")</f>
        <v>BZX384-C24115</v>
      </c>
      <c r="B14313" s="3" t="str">
        <f>HYPERLINK("https://www.773grp.com/manufacturer/nxp-semiconductor?pageNo=32", "NXP Semiconductors")</f>
        <v>NXP Semiconductors</v>
      </c>
      <c r="C14313" s="6">
        <v>33000</v>
      </c>
      <c r="D14313" s="7">
        <v>0.15</v>
      </c>
    </row>
    <row r="14314" spans="1:4" x14ac:dyDescent="0.25">
      <c r="A14314" t="str">
        <f>HYPERLINK("https://www.773grp.com/globalSearch/BZX384-C27115/page-1", "BZX384-C27115")</f>
        <v>BZX384-C27115</v>
      </c>
      <c r="B14314" s="3" t="str">
        <f>HYPERLINK("https://www.773grp.com/manufacturer/nxp-semiconductor?pageNo=33", "NXP Semiconductors")</f>
        <v>NXP Semiconductors</v>
      </c>
      <c r="C14314" s="6">
        <v>24000</v>
      </c>
      <c r="D14314" s="7">
        <v>0.15</v>
      </c>
    </row>
    <row r="14315" spans="1:4" x14ac:dyDescent="0.25">
      <c r="A14315" t="str">
        <f>HYPERLINK("https://www.773grp.com/globalSearch/BZX384-C2V4115/page-1", "BZX384-C2V4115")</f>
        <v>BZX384-C2V4115</v>
      </c>
      <c r="B14315" s="3" t="str">
        <f>HYPERLINK("https://www.773grp.com/manufacturer/nxp-semiconductor?pageNo=34", "NXP Semiconductors")</f>
        <v>NXP Semiconductors</v>
      </c>
      <c r="C14315" s="6">
        <v>15015</v>
      </c>
      <c r="D14315" s="7">
        <v>0.15</v>
      </c>
    </row>
    <row r="14316" spans="1:4" x14ac:dyDescent="0.25">
      <c r="A14316" t="str">
        <f>HYPERLINK("https://www.773grp.com/globalSearch/BZX384-C2V7115/page-1", "BZX384-C2V7115")</f>
        <v>BZX384-C2V7115</v>
      </c>
      <c r="B14316" s="3" t="str">
        <f>HYPERLINK("https://www.773grp.com/manufacturer/nxp-semiconductor?pageNo=35", "NXP Semiconductors")</f>
        <v>NXP Semiconductors</v>
      </c>
      <c r="C14316" s="6">
        <v>42000</v>
      </c>
      <c r="D14316" s="7">
        <v>0.15</v>
      </c>
    </row>
    <row r="14317" spans="1:4" x14ac:dyDescent="0.25">
      <c r="A14317" t="str">
        <f>HYPERLINK("https://www.773grp.com/globalSearch/BZX384-C33115/page-1", "BZX384-C33115")</f>
        <v>BZX384-C33115</v>
      </c>
      <c r="B14317" s="3" t="str">
        <f>HYPERLINK("https://www.773grp.com/manufacturer/nxp-semiconductor?pageNo=36", "NXP Semiconductors")</f>
        <v>NXP Semiconductors</v>
      </c>
      <c r="C14317" s="6">
        <v>87000</v>
      </c>
      <c r="D14317" s="7">
        <v>0.15</v>
      </c>
    </row>
    <row r="14318" spans="1:4" x14ac:dyDescent="0.25">
      <c r="A14318" t="str">
        <f>HYPERLINK("https://www.773grp.com/globalSearch/BZX384-C36115/page-1", "BZX384-C36115")</f>
        <v>BZX384-C36115</v>
      </c>
      <c r="B14318" s="3" t="str">
        <f>HYPERLINK("https://www.773grp.com/manufacturer/nxp-semiconductor?pageNo=37", "NXP Semiconductors")</f>
        <v>NXP Semiconductors</v>
      </c>
      <c r="C14318" s="6">
        <v>890</v>
      </c>
      <c r="D14318" s="7">
        <v>0.15</v>
      </c>
    </row>
    <row r="14319" spans="1:4" x14ac:dyDescent="0.25">
      <c r="A14319" t="str">
        <f>HYPERLINK("https://www.773grp.com/globalSearch/BZX384-C39115/page-1", "BZX384-C39115")</f>
        <v>BZX384-C39115</v>
      </c>
      <c r="B14319" s="3" t="str">
        <f>HYPERLINK("https://www.773grp.com/manufacturer/nxp-semiconductor?pageNo=38", "NXP Semiconductors")</f>
        <v>NXP Semiconductors</v>
      </c>
      <c r="C14319" s="6">
        <v>2532</v>
      </c>
      <c r="D14319" s="7">
        <v>0.15</v>
      </c>
    </row>
    <row r="14320" spans="1:4" x14ac:dyDescent="0.25">
      <c r="A14320" t="str">
        <f>HYPERLINK("https://www.773grp.com/globalSearch/BZX384-C3V0115/page-1", "BZX384-C3V0115")</f>
        <v>BZX384-C3V0115</v>
      </c>
      <c r="B14320" s="3" t="str">
        <f>HYPERLINK("https://www.773grp.com/manufacturer/nxp-semiconductor?pageNo=39", "NXP Semiconductors")</f>
        <v>NXP Semiconductors</v>
      </c>
      <c r="C14320" s="6">
        <v>21000</v>
      </c>
      <c r="D14320" s="7">
        <v>0.15</v>
      </c>
    </row>
    <row r="14321" spans="1:4" x14ac:dyDescent="0.25">
      <c r="A14321" t="str">
        <f>HYPERLINK("https://www.773grp.com/globalSearch/BZX384-C3V6115/page-1", "BZX384-C3V6115")</f>
        <v>BZX384-C3V6115</v>
      </c>
      <c r="B14321" s="3" t="str">
        <f>HYPERLINK("https://www.773grp.com/manufacturer/nxp-semiconductor?pageNo=40", "NXP Semiconductors")</f>
        <v>NXP Semiconductors</v>
      </c>
      <c r="C14321" s="6">
        <v>45000</v>
      </c>
      <c r="D14321" s="7">
        <v>0.15</v>
      </c>
    </row>
    <row r="14322" spans="1:4" x14ac:dyDescent="0.25">
      <c r="A14322" t="str">
        <f>HYPERLINK("https://www.773grp.com/globalSearch/BZX384-C43115/page-1", "BZX384-C43115")</f>
        <v>BZX384-C43115</v>
      </c>
      <c r="B14322" s="3" t="str">
        <f>HYPERLINK("https://www.773grp.com/manufacturer/nxp-semiconductor?pageNo=41", "NXP Semiconductors")</f>
        <v>NXP Semiconductors</v>
      </c>
      <c r="C14322" s="6">
        <v>33000</v>
      </c>
      <c r="D14322" s="7">
        <v>0.15</v>
      </c>
    </row>
    <row r="14323" spans="1:4" x14ac:dyDescent="0.25">
      <c r="A14323" t="str">
        <f>HYPERLINK("https://www.773grp.com/globalSearch/BZX384-C47115/page-1", "BZX384-C47115")</f>
        <v>BZX384-C47115</v>
      </c>
      <c r="B14323" s="3" t="str">
        <f>HYPERLINK("https://www.773grp.com/manufacturer/nxp-semiconductor?pageNo=42", "NXP Semiconductors")</f>
        <v>NXP Semiconductors</v>
      </c>
      <c r="C14323" s="6">
        <v>21000</v>
      </c>
      <c r="D14323" s="7">
        <v>0.15</v>
      </c>
    </row>
    <row r="14324" spans="1:4" x14ac:dyDescent="0.25">
      <c r="A14324" t="str">
        <f>HYPERLINK("https://www.773grp.com/globalSearch/BZX384-C4V3115/page-1", "BZX384-C4V3115")</f>
        <v>BZX384-C4V3115</v>
      </c>
      <c r="B14324" s="3" t="str">
        <f>HYPERLINK("https://www.773grp.com/manufacturer/nxp-semiconductor?pageNo=43", "NXP Semiconductors")</f>
        <v>NXP Semiconductors</v>
      </c>
      <c r="C14324" s="6">
        <v>1380</v>
      </c>
      <c r="D14324" s="7">
        <v>0.15</v>
      </c>
    </row>
    <row r="14325" spans="1:4" x14ac:dyDescent="0.25">
      <c r="A14325" t="str">
        <f>HYPERLINK("https://www.773grp.com/globalSearch/BZX384-C4V7115/page-1", "BZX384-C4V7115")</f>
        <v>BZX384-C4V7115</v>
      </c>
      <c r="B14325" s="3" t="str">
        <f>HYPERLINK("https://www.773grp.com/manufacturer/nxp-semiconductor?pageNo=44", "NXP Semiconductors")</f>
        <v>NXP Semiconductors</v>
      </c>
      <c r="C14325" s="6">
        <v>120000</v>
      </c>
      <c r="D14325" s="7">
        <v>0.15</v>
      </c>
    </row>
    <row r="14326" spans="1:4" x14ac:dyDescent="0.25">
      <c r="A14326" t="str">
        <f>HYPERLINK("https://www.773grp.com/globalSearch/BZX384-C51115/page-1", "BZX384-C51115")</f>
        <v>BZX384-C51115</v>
      </c>
      <c r="B14326" s="3" t="str">
        <f>HYPERLINK("https://www.773grp.com/manufacturer/nxp-semiconductor?pageNo=45", "NXP Semiconductors")</f>
        <v>NXP Semiconductors</v>
      </c>
      <c r="C14326" s="6">
        <v>13400</v>
      </c>
      <c r="D14326" s="7">
        <v>0.15</v>
      </c>
    </row>
    <row r="14327" spans="1:4" x14ac:dyDescent="0.25">
      <c r="A14327" t="str">
        <f>HYPERLINK("https://www.773grp.com/globalSearch/BZX384-C56115/page-1", "BZX384-C56115")</f>
        <v>BZX384-C56115</v>
      </c>
      <c r="B14327" s="3" t="str">
        <f>HYPERLINK("https://www.773grp.com/manufacturer/nxp-semiconductor?pageNo=46", "NXP Semiconductors")</f>
        <v>NXP Semiconductors</v>
      </c>
      <c r="C14327" s="6">
        <v>7320</v>
      </c>
      <c r="D14327" s="7">
        <v>0.15</v>
      </c>
    </row>
    <row r="14328" spans="1:4" x14ac:dyDescent="0.25">
      <c r="A14328" t="str">
        <f>HYPERLINK("https://www.773grp.com/globalSearch/BZX384-C5V1115/page-1", "BZX384-C5V1115")</f>
        <v>BZX384-C5V1115</v>
      </c>
      <c r="B14328" s="3" t="str">
        <f>HYPERLINK("https://www.773grp.com/manufacturer/nxp-semiconductor?pageNo=47", "NXP Semiconductors")</f>
        <v>NXP Semiconductors</v>
      </c>
      <c r="C14328" s="6">
        <v>24000</v>
      </c>
      <c r="D14328" s="7">
        <v>0.15</v>
      </c>
    </row>
    <row r="14329" spans="1:4" x14ac:dyDescent="0.25">
      <c r="A14329" t="str">
        <f>HYPERLINK("https://www.773grp.com/globalSearch/BZX384-C5V6115/page-1", "BZX384-C5V6115")</f>
        <v>BZX384-C5V6115</v>
      </c>
      <c r="B14329" s="3" t="str">
        <f>HYPERLINK("https://www.773grp.com/manufacturer/nxp-semiconductor?pageNo=48", "NXP Semiconductors")</f>
        <v>NXP Semiconductors</v>
      </c>
      <c r="C14329" s="6">
        <v>51000</v>
      </c>
      <c r="D14329" s="7">
        <v>0.15</v>
      </c>
    </row>
    <row r="14330" spans="1:4" x14ac:dyDescent="0.25">
      <c r="A14330" t="str">
        <f>HYPERLINK("https://www.773grp.com/globalSearch/BZX384-C62115/page-1", "BZX384-C62115")</f>
        <v>BZX384-C62115</v>
      </c>
      <c r="B14330" s="3" t="str">
        <f>HYPERLINK("https://www.773grp.com/manufacturer/nxp-semiconductor?pageNo=1", "NXP Semiconductors")</f>
        <v>NXP Semiconductors</v>
      </c>
      <c r="C14330" s="6">
        <v>79500</v>
      </c>
      <c r="D14330" s="7">
        <v>0.15</v>
      </c>
    </row>
    <row r="14331" spans="1:4" x14ac:dyDescent="0.25">
      <c r="A14331" t="str">
        <f>HYPERLINK("https://www.773grp.com/globalSearch/BZX384-C68115/page-1", "BZX384-C68115")</f>
        <v>BZX384-C68115</v>
      </c>
      <c r="B14331" s="3" t="str">
        <f>HYPERLINK("https://www.773grp.com/manufacturer/nxp-semiconductor?pageNo=2", "NXP Semiconductors")</f>
        <v>NXP Semiconductors</v>
      </c>
      <c r="C14331" s="6">
        <v>1000</v>
      </c>
      <c r="D14331" s="7">
        <v>0.15</v>
      </c>
    </row>
    <row r="14332" spans="1:4" x14ac:dyDescent="0.25">
      <c r="A14332" t="str">
        <f>HYPERLINK("https://www.773grp.com/globalSearch/BZX384-C6V2115/page-1", "BZX384-C6V2115")</f>
        <v>BZX384-C6V2115</v>
      </c>
      <c r="B14332" s="3" t="str">
        <f>HYPERLINK("https://www.773grp.com/manufacturer/nxp-semiconductor?pageNo=3", "NXP Semiconductors")</f>
        <v>NXP Semiconductors</v>
      </c>
      <c r="C14332" s="6">
        <v>3590</v>
      </c>
      <c r="D14332" s="7">
        <v>0.15</v>
      </c>
    </row>
    <row r="14333" spans="1:4" x14ac:dyDescent="0.25">
      <c r="A14333" t="str">
        <f>HYPERLINK("https://www.773grp.com/globalSearch/BZX384-C75115/page-1", "BZX384-C75115")</f>
        <v>BZX384-C75115</v>
      </c>
      <c r="B14333" s="3" t="str">
        <f>HYPERLINK("https://www.773grp.com/manufacturer/nxp-semiconductor?pageNo=4", "NXP Semiconductors")</f>
        <v>NXP Semiconductors</v>
      </c>
      <c r="C14333" s="6">
        <v>1500</v>
      </c>
      <c r="D14333" s="7">
        <v>0.15</v>
      </c>
    </row>
    <row r="14334" spans="1:4" x14ac:dyDescent="0.25">
      <c r="A14334" t="str">
        <f>HYPERLINK("https://www.773grp.com/globalSearch/BZX384-C7V5115/page-1", "BZX384-C7V5115")</f>
        <v>BZX384-C7V5115</v>
      </c>
      <c r="B14334" s="3" t="str">
        <f>HYPERLINK("https://www.773grp.com/manufacturer/nxp-semiconductor?pageNo=5", "NXP Semiconductors")</f>
        <v>NXP Semiconductors</v>
      </c>
      <c r="C14334" s="6">
        <v>21000</v>
      </c>
      <c r="D14334" s="7">
        <v>0.15</v>
      </c>
    </row>
    <row r="14335" spans="1:4" x14ac:dyDescent="0.25">
      <c r="A14335" t="str">
        <f>HYPERLINK("https://www.773grp.com/globalSearch/BZX384-C8V2115/page-1", "BZX384-C8V2115")</f>
        <v>BZX384-C8V2115</v>
      </c>
      <c r="B14335" s="3" t="str">
        <f>HYPERLINK("https://www.773grp.com/manufacturer/nxp-semiconductor?pageNo=6", "NXP Semiconductors")</f>
        <v>NXP Semiconductors</v>
      </c>
      <c r="C14335" s="6">
        <v>27000</v>
      </c>
      <c r="D14335" s="7">
        <v>0.15</v>
      </c>
    </row>
    <row r="14336" spans="1:4" x14ac:dyDescent="0.25">
      <c r="A14336" t="str">
        <f>HYPERLINK("https://www.773grp.com/globalSearch/BZX585-C10115/page-1", "BZX585-C10115")</f>
        <v>BZX585-C10115</v>
      </c>
      <c r="B14336" s="3" t="str">
        <f>HYPERLINK("https://www.773grp.com/manufacturer/nxp-semiconductor?pageNo=7", "NXP Semiconductors")</f>
        <v>NXP Semiconductors</v>
      </c>
      <c r="C14336" s="6">
        <v>774</v>
      </c>
      <c r="D14336" s="7">
        <v>0.15</v>
      </c>
    </row>
    <row r="14337" spans="1:4" x14ac:dyDescent="0.25">
      <c r="A14337" t="str">
        <f>HYPERLINK("https://www.773grp.com/globalSearch/BZX585-C2V4115/page-1", "BZX585-C2V4115")</f>
        <v>BZX585-C2V4115</v>
      </c>
      <c r="B14337" s="3" t="str">
        <f>HYPERLINK("https://www.773grp.com/manufacturer/nxp-semiconductor?pageNo=8", "NXP Semiconductors")</f>
        <v>NXP Semiconductors</v>
      </c>
      <c r="C14337" s="6">
        <v>180000</v>
      </c>
      <c r="D14337" s="7">
        <v>0.15</v>
      </c>
    </row>
    <row r="14338" spans="1:4" x14ac:dyDescent="0.25">
      <c r="A14338" t="str">
        <f>HYPERLINK("https://www.773grp.com/globalSearch/BZX585-C3V9115/page-1", "BZX585-C3V9115")</f>
        <v>BZX585-C3V9115</v>
      </c>
      <c r="B14338" s="3" t="str">
        <f>HYPERLINK("https://www.773grp.com/manufacturer/nxp-semiconductor?pageNo=9", "NXP Semiconductors")</f>
        <v>NXP Semiconductors</v>
      </c>
      <c r="C14338" s="6">
        <v>15000</v>
      </c>
      <c r="D14338" s="7">
        <v>0.15</v>
      </c>
    </row>
    <row r="14339" spans="1:4" x14ac:dyDescent="0.25">
      <c r="A14339" t="str">
        <f>HYPERLINK("https://www.773grp.com/globalSearch/BZX585-C7V5115/page-1", "BZX585-C7V5115")</f>
        <v>BZX585-C7V5115</v>
      </c>
      <c r="B14339" s="3" t="str">
        <f>HYPERLINK("https://www.773grp.com/manufacturer/nxp-semiconductor?pageNo=10", "NXP Semiconductors")</f>
        <v>NXP Semiconductors</v>
      </c>
      <c r="C14339" s="6">
        <v>12000</v>
      </c>
      <c r="D14339" s="7">
        <v>0.15</v>
      </c>
    </row>
    <row r="14340" spans="1:4" x14ac:dyDescent="0.25">
      <c r="A14340" t="str">
        <f>HYPERLINK("https://www.773grp.com/globalSearch/BZX585-C9V1115/page-1", "BZX585-C9V1115")</f>
        <v>BZX585-C9V1115</v>
      </c>
      <c r="B14340" s="3" t="str">
        <f>HYPERLINK("https://www.773grp.com/manufacturer/nxp-semiconductor?pageNo=11", "NXP Semiconductors")</f>
        <v>NXP Semiconductors</v>
      </c>
      <c r="C14340" s="6">
        <v>579000</v>
      </c>
      <c r="D14340" s="7">
        <v>0.15</v>
      </c>
    </row>
    <row r="14341" spans="1:4" x14ac:dyDescent="0.25">
      <c r="A14341" t="str">
        <f>HYPERLINK("https://www.773grp.com/globalSearch/BZX84-B10215/page-1", "BZX84-B10215")</f>
        <v>BZX84-B10215</v>
      </c>
      <c r="B14341" s="3" t="str">
        <f>HYPERLINK("https://www.773grp.com/manufacturer/nxp-semiconductor?pageNo=12", "NXP Semiconductors")</f>
        <v>NXP Semiconductors</v>
      </c>
      <c r="C14341" s="6">
        <v>39000</v>
      </c>
      <c r="D14341" s="7">
        <v>0.15</v>
      </c>
    </row>
    <row r="14342" spans="1:4" x14ac:dyDescent="0.25">
      <c r="A14342" t="str">
        <f>HYPERLINK("https://www.773grp.com/globalSearch/BZX84-B11215/page-1", "BZX84-B11215")</f>
        <v>BZX84-B11215</v>
      </c>
      <c r="B14342" s="3" t="str">
        <f>HYPERLINK("https://www.773grp.com/manufacturer/nxp-semiconductor?pageNo=13", "NXP Semiconductors")</f>
        <v>NXP Semiconductors</v>
      </c>
      <c r="C14342" s="6">
        <v>85630</v>
      </c>
      <c r="D14342" s="7">
        <v>0.15</v>
      </c>
    </row>
    <row r="14343" spans="1:4" x14ac:dyDescent="0.25">
      <c r="A14343" t="str">
        <f>HYPERLINK("https://www.773grp.com/globalSearch/BZX84-B12215/page-1", "BZX84-B12215")</f>
        <v>BZX84-B12215</v>
      </c>
      <c r="B14343" s="3" t="str">
        <f>HYPERLINK("https://www.773grp.com/manufacturer/nxp-semiconductor?pageNo=14", "NXP Semiconductors")</f>
        <v>NXP Semiconductors</v>
      </c>
      <c r="C14343" s="6">
        <v>87000</v>
      </c>
      <c r="D14343" s="7">
        <v>0.15</v>
      </c>
    </row>
    <row r="14344" spans="1:4" x14ac:dyDescent="0.25">
      <c r="A14344" t="str">
        <f>HYPERLINK("https://www.773grp.com/globalSearch/BZX84-B13215/page-1", "BZX84-B13215")</f>
        <v>BZX84-B13215</v>
      </c>
      <c r="B14344" s="3" t="str">
        <f>HYPERLINK("https://www.773grp.com/manufacturer/nxp-semiconductor?pageNo=15", "NXP Semiconductors")</f>
        <v>NXP Semiconductors</v>
      </c>
      <c r="C14344" s="6">
        <v>112630</v>
      </c>
      <c r="D14344" s="7">
        <v>0.15</v>
      </c>
    </row>
    <row r="14345" spans="1:4" x14ac:dyDescent="0.25">
      <c r="A14345" t="str">
        <f>HYPERLINK("https://www.773grp.com/globalSearch/BZX84-B13235/page-1", "BZX84-B13235")</f>
        <v>BZX84-B13235</v>
      </c>
      <c r="B14345" s="3" t="str">
        <f>HYPERLINK("https://www.773grp.com/manufacturer/nxp-semiconductor?pageNo=16", "NXP Semiconductors")</f>
        <v>NXP Semiconductors</v>
      </c>
      <c r="C14345" s="6">
        <v>50000</v>
      </c>
      <c r="D14345" s="7">
        <v>0.15</v>
      </c>
    </row>
    <row r="14346" spans="1:4" x14ac:dyDescent="0.25">
      <c r="A14346" t="str">
        <f>HYPERLINK("https://www.773grp.com/globalSearch/BZX84-B15215/page-1", "BZX84-B15215")</f>
        <v>BZX84-B15215</v>
      </c>
      <c r="B14346" s="3" t="str">
        <f>HYPERLINK("https://www.773grp.com/manufacturer/nxp-semiconductor?pageNo=17", "NXP Semiconductors")</f>
        <v>NXP Semiconductors</v>
      </c>
      <c r="C14346" s="6">
        <v>1255</v>
      </c>
      <c r="D14346" s="7">
        <v>0.15</v>
      </c>
    </row>
    <row r="14347" spans="1:4" x14ac:dyDescent="0.25">
      <c r="A14347" t="str">
        <f>HYPERLINK("https://www.773grp.com/globalSearch/BZX84-B16215/page-1", "BZX84-B16215")</f>
        <v>BZX84-B16215</v>
      </c>
      <c r="B14347" s="3" t="str">
        <f>HYPERLINK("https://www.773grp.com/manufacturer/nxp-semiconductor?pageNo=18", "NXP Semiconductors")</f>
        <v>NXP Semiconductors</v>
      </c>
      <c r="C14347" s="6">
        <v>54000</v>
      </c>
      <c r="D14347" s="7">
        <v>0.15</v>
      </c>
    </row>
    <row r="14348" spans="1:4" x14ac:dyDescent="0.25">
      <c r="A14348" t="str">
        <f>HYPERLINK("https://www.773grp.com/globalSearch/BZX84-B20215/page-1", "BZX84-B20215")</f>
        <v>BZX84-B20215</v>
      </c>
      <c r="B14348" s="3" t="str">
        <f>HYPERLINK("https://www.773grp.com/manufacturer/nxp-semiconductor?pageNo=19", "NXP Semiconductors")</f>
        <v>NXP Semiconductors</v>
      </c>
      <c r="C14348" s="6">
        <v>33000</v>
      </c>
      <c r="D14348" s="7">
        <v>0.15</v>
      </c>
    </row>
    <row r="14349" spans="1:4" x14ac:dyDescent="0.25">
      <c r="A14349" t="str">
        <f>HYPERLINK("https://www.773grp.com/globalSearch/BZX84-B22215/page-1", "BZX84-B22215")</f>
        <v>BZX84-B22215</v>
      </c>
      <c r="B14349" s="3" t="str">
        <f>HYPERLINK("https://www.773grp.com/manufacturer/nxp-semiconductor?pageNo=20", "NXP Semiconductors")</f>
        <v>NXP Semiconductors</v>
      </c>
      <c r="C14349" s="6">
        <v>109948</v>
      </c>
      <c r="D14349" s="7">
        <v>0.15</v>
      </c>
    </row>
    <row r="14350" spans="1:4" x14ac:dyDescent="0.25">
      <c r="A14350" t="str">
        <f>HYPERLINK("https://www.773grp.com/globalSearch/BZX84-B24215/page-1", "BZX84-B24215")</f>
        <v>BZX84-B24215</v>
      </c>
      <c r="B14350" s="3" t="str">
        <f>HYPERLINK("https://www.773grp.com/manufacturer/nxp-semiconductor?pageNo=21", "NXP Semiconductors")</f>
        <v>NXP Semiconductors</v>
      </c>
      <c r="C14350" s="6">
        <v>75000</v>
      </c>
      <c r="D14350" s="7">
        <v>0.15</v>
      </c>
    </row>
    <row r="14351" spans="1:4" x14ac:dyDescent="0.25">
      <c r="A14351" t="str">
        <f>HYPERLINK("https://www.773grp.com/globalSearch/BZX84-B27215/page-1", "BZX84-B27215")</f>
        <v>BZX84-B27215</v>
      </c>
      <c r="B14351" s="3" t="str">
        <f>HYPERLINK("https://www.773grp.com/manufacturer/nxp-semiconductor?pageNo=22", "NXP Semiconductors")</f>
        <v>NXP Semiconductors</v>
      </c>
      <c r="C14351" s="6">
        <v>9050</v>
      </c>
      <c r="D14351" s="7">
        <v>0.15</v>
      </c>
    </row>
    <row r="14352" spans="1:4" x14ac:dyDescent="0.25">
      <c r="A14352" t="str">
        <f>HYPERLINK("https://www.773grp.com/globalSearch/BZX84-B27235/page-1", "BZX84-B27235")</f>
        <v>BZX84-B27235</v>
      </c>
      <c r="B14352" s="3" t="str">
        <f>HYPERLINK("https://www.773grp.com/manufacturer/nxp-semiconductor?pageNo=23", "NXP Semiconductors")</f>
        <v>NXP Semiconductors</v>
      </c>
      <c r="C14352" s="6">
        <v>70000</v>
      </c>
      <c r="D14352" s="7">
        <v>0.15</v>
      </c>
    </row>
    <row r="14353" spans="1:4" x14ac:dyDescent="0.25">
      <c r="A14353" t="str">
        <f>HYPERLINK("https://www.773grp.com/globalSearch/BZX84-B2V4215/page-1", "BZX84-B2V4215")</f>
        <v>BZX84-B2V4215</v>
      </c>
      <c r="B14353" s="3" t="str">
        <f>HYPERLINK("https://www.773grp.com/manufacturer/nxp-semiconductor?pageNo=24", "NXP Semiconductors")</f>
        <v>NXP Semiconductors</v>
      </c>
      <c r="C14353" s="6">
        <v>36000</v>
      </c>
      <c r="D14353" s="7">
        <v>0.15</v>
      </c>
    </row>
    <row r="14354" spans="1:4" x14ac:dyDescent="0.25">
      <c r="A14354" t="str">
        <f>HYPERLINK("https://www.773grp.com/globalSearch/BZX84-B2V7215/page-1", "BZX84-B2V7215")</f>
        <v>BZX84-B2V7215</v>
      </c>
      <c r="B14354" s="3" t="str">
        <f>HYPERLINK("https://www.773grp.com/manufacturer/nxp-semiconductor?pageNo=25", "NXP Semiconductors")</f>
        <v>NXP Semiconductors</v>
      </c>
      <c r="C14354" s="6">
        <v>68940</v>
      </c>
      <c r="D14354" s="7">
        <v>0.15</v>
      </c>
    </row>
    <row r="14355" spans="1:4" x14ac:dyDescent="0.25">
      <c r="A14355" t="str">
        <f>HYPERLINK("https://www.773grp.com/globalSearch/BZX84-B30215/page-1", "BZX84-B30215")</f>
        <v>BZX84-B30215</v>
      </c>
      <c r="B14355" s="3" t="str">
        <f>HYPERLINK("https://www.773grp.com/manufacturer/nxp-semiconductor?pageNo=26", "NXP Semiconductors")</f>
        <v>NXP Semiconductors</v>
      </c>
      <c r="C14355" s="6">
        <v>27000</v>
      </c>
      <c r="D14355" s="7">
        <v>0.15</v>
      </c>
    </row>
    <row r="14356" spans="1:4" x14ac:dyDescent="0.25">
      <c r="A14356" t="str">
        <f>HYPERLINK("https://www.773grp.com/globalSearch/BZX84-B33215/page-1", "BZX84-B33215")</f>
        <v>BZX84-B33215</v>
      </c>
      <c r="B14356" s="3" t="str">
        <f>HYPERLINK("https://www.773grp.com/manufacturer/nxp-semiconductor?pageNo=27", "NXP Semiconductors")</f>
        <v>NXP Semiconductors</v>
      </c>
      <c r="C14356" s="6">
        <v>75</v>
      </c>
      <c r="D14356" s="7">
        <v>0.15</v>
      </c>
    </row>
    <row r="14357" spans="1:4" x14ac:dyDescent="0.25">
      <c r="A14357" t="str">
        <f>HYPERLINK("https://www.773grp.com/globalSearch/BZX84-B36215/page-1", "BZX84-B36215")</f>
        <v>BZX84-B36215</v>
      </c>
      <c r="B14357" s="3" t="str">
        <f>HYPERLINK("https://www.773grp.com/manufacturer/nxp-semiconductor?pageNo=28", "NXP Semiconductors")</f>
        <v>NXP Semiconductors</v>
      </c>
      <c r="C14357" s="6">
        <v>36000</v>
      </c>
      <c r="D14357" s="7">
        <v>0.15</v>
      </c>
    </row>
    <row r="14358" spans="1:4" x14ac:dyDescent="0.25">
      <c r="A14358" t="str">
        <f>HYPERLINK("https://www.773grp.com/globalSearch/BZX84-B39215/page-1", "BZX84-B39215")</f>
        <v>BZX84-B39215</v>
      </c>
      <c r="B14358" s="3" t="str">
        <f>HYPERLINK("https://www.773grp.com/manufacturer/nxp-semiconductor?pageNo=29", "NXP Semiconductors")</f>
        <v>NXP Semiconductors</v>
      </c>
      <c r="C14358" s="6">
        <v>60000</v>
      </c>
      <c r="D14358" s="7">
        <v>0.15</v>
      </c>
    </row>
    <row r="14359" spans="1:4" x14ac:dyDescent="0.25">
      <c r="A14359" t="str">
        <f>HYPERLINK("https://www.773grp.com/globalSearch/BZX84-B3V0215/page-1", "BZX84-B3V0215")</f>
        <v>BZX84-B3V0215</v>
      </c>
      <c r="B14359" s="3" t="str">
        <f>HYPERLINK("https://www.773grp.com/manufacturer/nxp-semiconductor?pageNo=30", "NXP Semiconductors")</f>
        <v>NXP Semiconductors</v>
      </c>
      <c r="C14359" s="6">
        <v>27100</v>
      </c>
      <c r="D14359" s="7">
        <v>0.15</v>
      </c>
    </row>
    <row r="14360" spans="1:4" x14ac:dyDescent="0.25">
      <c r="A14360" t="str">
        <f>HYPERLINK("https://www.773grp.com/globalSearch/BZX84-B3V3215/page-1", "BZX84-B3V3215")</f>
        <v>BZX84-B3V3215</v>
      </c>
      <c r="B14360" s="3" t="str">
        <f>HYPERLINK("https://www.773grp.com/manufacturer/nxp-semiconductor?pageNo=31", "NXP Semiconductors")</f>
        <v>NXP Semiconductors</v>
      </c>
      <c r="C14360" s="6">
        <v>12000</v>
      </c>
      <c r="D14360" s="7">
        <v>0.15</v>
      </c>
    </row>
    <row r="14361" spans="1:4" x14ac:dyDescent="0.25">
      <c r="A14361" t="str">
        <f>HYPERLINK("https://www.773grp.com/globalSearch/BZX84-B3V6215/page-1", "BZX84-B3V6215")</f>
        <v>BZX84-B3V6215</v>
      </c>
      <c r="B14361" s="3" t="str">
        <f>HYPERLINK("https://www.773grp.com/manufacturer/nxp-semiconductor?pageNo=32", "NXP Semiconductors")</f>
        <v>NXP Semiconductors</v>
      </c>
      <c r="C14361" s="6">
        <v>156100</v>
      </c>
      <c r="D14361" s="7">
        <v>0.15</v>
      </c>
    </row>
    <row r="14362" spans="1:4" x14ac:dyDescent="0.25">
      <c r="A14362" t="str">
        <f>HYPERLINK("https://www.773grp.com/globalSearch/BZX84-B3V9215/page-1", "BZX84-B3V9215")</f>
        <v>BZX84-B3V9215</v>
      </c>
      <c r="B14362" s="3" t="str">
        <f>HYPERLINK("https://www.773grp.com/manufacturer/nxp-semiconductor?pageNo=33", "NXP Semiconductors")</f>
        <v>NXP Semiconductors</v>
      </c>
      <c r="C14362" s="6">
        <v>69000</v>
      </c>
      <c r="D14362" s="7">
        <v>0.15</v>
      </c>
    </row>
    <row r="14363" spans="1:4" x14ac:dyDescent="0.25">
      <c r="A14363" t="str">
        <f>HYPERLINK("https://www.773grp.com/globalSearch/BZX84-B4V3215/page-1", "BZX84-B4V3215")</f>
        <v>BZX84-B4V3215</v>
      </c>
      <c r="B14363" s="3" t="str">
        <f>HYPERLINK("https://www.773grp.com/manufacturer/nxp-semiconductor?pageNo=34", "NXP Semiconductors")</f>
        <v>NXP Semiconductors</v>
      </c>
      <c r="C14363" s="6">
        <v>39000</v>
      </c>
      <c r="D14363" s="7">
        <v>0.15</v>
      </c>
    </row>
    <row r="14364" spans="1:4" x14ac:dyDescent="0.25">
      <c r="A14364" t="str">
        <f>HYPERLINK("https://www.773grp.com/globalSearch/BZX84-B4V7215/page-1", "BZX84-B4V7215")</f>
        <v>BZX84-B4V7215</v>
      </c>
      <c r="B14364" s="3" t="str">
        <f>HYPERLINK("https://www.773grp.com/manufacturer/nxp-semiconductor?pageNo=35", "NXP Semiconductors")</f>
        <v>NXP Semiconductors</v>
      </c>
      <c r="C14364" s="6">
        <v>95557</v>
      </c>
      <c r="D14364" s="7">
        <v>0.15</v>
      </c>
    </row>
    <row r="14365" spans="1:4" x14ac:dyDescent="0.25">
      <c r="A14365" t="str">
        <f>HYPERLINK("https://www.773grp.com/globalSearch/BZX84-B56215/page-1", "BZX84-B56215")</f>
        <v>BZX84-B56215</v>
      </c>
      <c r="B14365" s="3" t="str">
        <f>HYPERLINK("https://www.773grp.com/manufacturer/nxp-semiconductor?pageNo=36", "NXP Semiconductors")</f>
        <v>NXP Semiconductors</v>
      </c>
      <c r="C14365" s="6">
        <v>1480</v>
      </c>
      <c r="D14365" s="7">
        <v>0.15</v>
      </c>
    </row>
    <row r="14366" spans="1:4" x14ac:dyDescent="0.25">
      <c r="A14366" t="str">
        <f>HYPERLINK("https://www.773grp.com/globalSearch/BZX84-B5V6215/page-1", "BZX84-B5V6215")</f>
        <v>BZX84-B5V6215</v>
      </c>
      <c r="B14366" s="3" t="str">
        <f>HYPERLINK("https://www.773grp.com/manufacturer/nxp-semiconductor?pageNo=37", "NXP Semiconductors")</f>
        <v>NXP Semiconductors</v>
      </c>
      <c r="C14366" s="6">
        <v>273000</v>
      </c>
      <c r="D14366" s="7">
        <v>0.15</v>
      </c>
    </row>
    <row r="14367" spans="1:4" x14ac:dyDescent="0.25">
      <c r="A14367" t="str">
        <f>HYPERLINK("https://www.773grp.com/globalSearch/BZX84-B62215/page-1", "BZX84-B62215")</f>
        <v>BZX84-B62215</v>
      </c>
      <c r="B14367" s="3" t="str">
        <f>HYPERLINK("https://www.773grp.com/manufacturer/nxp-semiconductor?pageNo=38", "NXP Semiconductors")</f>
        <v>NXP Semiconductors</v>
      </c>
      <c r="C14367" s="6">
        <v>3200</v>
      </c>
      <c r="D14367" s="7">
        <v>0.15</v>
      </c>
    </row>
    <row r="14368" spans="1:4" x14ac:dyDescent="0.25">
      <c r="A14368" t="str">
        <f>HYPERLINK("https://www.773grp.com/globalSearch/BZX84-B68215/page-1", "BZX84-B68215")</f>
        <v>BZX84-B68215</v>
      </c>
      <c r="B14368" s="3" t="str">
        <f>HYPERLINK("https://www.773grp.com/manufacturer/nxp-semiconductor?pageNo=39", "NXP Semiconductors")</f>
        <v>NXP Semiconductors</v>
      </c>
      <c r="C14368" s="6">
        <v>44528</v>
      </c>
      <c r="D14368" s="7">
        <v>0.15</v>
      </c>
    </row>
    <row r="14369" spans="1:4" x14ac:dyDescent="0.25">
      <c r="A14369" t="str">
        <f>HYPERLINK("https://www.773grp.com/globalSearch/BZX84-B6V2215/page-1", "BZX84-B6V2215")</f>
        <v>BZX84-B6V2215</v>
      </c>
      <c r="B14369" s="3" t="str">
        <f>HYPERLINK("https://www.773grp.com/manufacturer/nxp-semiconductor?pageNo=40", "NXP Semiconductors")</f>
        <v>NXP Semiconductors</v>
      </c>
      <c r="C14369" s="6">
        <v>26090</v>
      </c>
      <c r="D14369" s="7">
        <v>0.15</v>
      </c>
    </row>
    <row r="14370" spans="1:4" x14ac:dyDescent="0.25">
      <c r="A14370" t="str">
        <f>HYPERLINK("https://www.773grp.com/globalSearch/BZX84-B6V8215/page-1", "BZX84-B6V8215")</f>
        <v>BZX84-B6V8215</v>
      </c>
      <c r="B14370" s="3" t="str">
        <f>HYPERLINK("https://www.773grp.com/manufacturer/nxp-semiconductor?pageNo=41", "NXP Semiconductors")</f>
        <v>NXP Semiconductors</v>
      </c>
      <c r="C14370" s="6">
        <v>42090</v>
      </c>
      <c r="D14370" s="7">
        <v>0.15</v>
      </c>
    </row>
    <row r="14371" spans="1:4" x14ac:dyDescent="0.25">
      <c r="A14371" t="str">
        <f>HYPERLINK("https://www.773grp.com/globalSearch/BZX84-B75215/page-1", "BZX84-B75215")</f>
        <v>BZX84-B75215</v>
      </c>
      <c r="B14371" s="3" t="str">
        <f>HYPERLINK("https://www.773grp.com/manufacturer/nxp-semiconductor?pageNo=42", "NXP Semiconductors")</f>
        <v>NXP Semiconductors</v>
      </c>
      <c r="C14371" s="6">
        <v>2785</v>
      </c>
      <c r="D14371" s="7">
        <v>0.15</v>
      </c>
    </row>
    <row r="14372" spans="1:4" x14ac:dyDescent="0.25">
      <c r="A14372" t="str">
        <f>HYPERLINK("https://www.773grp.com/globalSearch/BZX84-B7V5215/page-1", "BZX84-B7V5215")</f>
        <v>BZX84-B7V5215</v>
      </c>
      <c r="B14372" s="3" t="str">
        <f>HYPERLINK("https://www.773grp.com/manufacturer/nxp-semiconductor?pageNo=43", "NXP Semiconductors")</f>
        <v>NXP Semiconductors</v>
      </c>
      <c r="C14372" s="6">
        <v>92307</v>
      </c>
      <c r="D14372" s="7">
        <v>0.15</v>
      </c>
    </row>
    <row r="14373" spans="1:4" x14ac:dyDescent="0.25">
      <c r="A14373" t="str">
        <f>HYPERLINK("https://www.773grp.com/globalSearch/BZX84-B7V5235/page-1", "BZX84-B7V5235")</f>
        <v>BZX84-B7V5235</v>
      </c>
      <c r="B14373" s="3" t="str">
        <f>HYPERLINK("https://www.773grp.com/manufacturer/nxp-semiconductor?pageNo=44", "NXP Semiconductors")</f>
        <v>NXP Semiconductors</v>
      </c>
      <c r="C14373" s="6">
        <v>20000</v>
      </c>
      <c r="D14373" s="7">
        <v>0.15</v>
      </c>
    </row>
    <row r="14374" spans="1:4" x14ac:dyDescent="0.25">
      <c r="A14374" t="str">
        <f>HYPERLINK("https://www.773grp.com/globalSearch/BZX84-B8V2215/page-1", "BZX84-B8V2215")</f>
        <v>BZX84-B8V2215</v>
      </c>
      <c r="B14374" s="3" t="str">
        <f>HYPERLINK("https://www.773grp.com/manufacturer/nxp-semiconductor?pageNo=45", "NXP Semiconductors")</f>
        <v>NXP Semiconductors</v>
      </c>
      <c r="C14374" s="6">
        <v>39000</v>
      </c>
      <c r="D14374" s="7">
        <v>0.15</v>
      </c>
    </row>
    <row r="14375" spans="1:4" x14ac:dyDescent="0.25">
      <c r="A14375" t="str">
        <f>HYPERLINK("https://www.773grp.com/globalSearch/BZX84-B8V2235/page-1", "BZX84-B8V2235")</f>
        <v>BZX84-B8V2235</v>
      </c>
      <c r="B14375" s="3" t="str">
        <f>HYPERLINK("https://www.773grp.com/manufacturer/nxp-semiconductor?pageNo=46", "NXP Semiconductors")</f>
        <v>NXP Semiconductors</v>
      </c>
      <c r="C14375" s="6">
        <v>19588</v>
      </c>
      <c r="D14375" s="7">
        <v>0.15</v>
      </c>
    </row>
    <row r="14376" spans="1:4" x14ac:dyDescent="0.25">
      <c r="A14376" t="str">
        <f>HYPERLINK("https://www.773grp.com/globalSearch/BZX84-B9V1215/page-1", "BZX84-B9V1215")</f>
        <v>BZX84-B9V1215</v>
      </c>
      <c r="B14376" s="3" t="str">
        <f>HYPERLINK("https://www.773grp.com/manufacturer/nxp-semiconductor?pageNo=47", "NXP Semiconductors")</f>
        <v>NXP Semiconductors</v>
      </c>
      <c r="C14376" s="6">
        <v>43848</v>
      </c>
      <c r="D14376" s="7">
        <v>0.15</v>
      </c>
    </row>
    <row r="14377" spans="1:4" x14ac:dyDescent="0.25">
      <c r="A14377" t="str">
        <f>HYPERLINK("https://www.773grp.com/globalSearch/BZX84J-C10115/page-1", "BZX84J-C10115")</f>
        <v>BZX84J-C10115</v>
      </c>
      <c r="B14377" s="3" t="str">
        <f>HYPERLINK("https://www.773grp.com/manufacturer/nxp-semiconductor?pageNo=48", "NXP Semiconductors")</f>
        <v>NXP Semiconductors</v>
      </c>
      <c r="C14377" s="6">
        <v>18000</v>
      </c>
      <c r="D14377" s="7">
        <v>0.15</v>
      </c>
    </row>
    <row r="14378" spans="1:4" x14ac:dyDescent="0.25">
      <c r="A14378" t="str">
        <f>HYPERLINK("https://www.773grp.com/globalSearch/BZX84J-C11115/page-1", "BZX84J-C11115")</f>
        <v>BZX84J-C11115</v>
      </c>
      <c r="B14378" s="3" t="str">
        <f>HYPERLINK("https://www.773grp.com/manufacturer/nxp-semiconductor?pageNo=1", "NXP Semiconductors")</f>
        <v>NXP Semiconductors</v>
      </c>
      <c r="C14378" s="6">
        <v>9000</v>
      </c>
      <c r="D14378" s="7">
        <v>0.15</v>
      </c>
    </row>
    <row r="14379" spans="1:4" x14ac:dyDescent="0.25">
      <c r="A14379" t="str">
        <f>HYPERLINK("https://www.773grp.com/globalSearch/BZX84J-C12115/page-1", "BZX84J-C12115")</f>
        <v>BZX84J-C12115</v>
      </c>
      <c r="B14379" s="3" t="str">
        <f>HYPERLINK("https://www.773grp.com/manufacturer/nxp-semiconductor?pageNo=2", "NXP Semiconductors")</f>
        <v>NXP Semiconductors</v>
      </c>
      <c r="C14379" s="6">
        <v>36000</v>
      </c>
      <c r="D14379" s="7">
        <v>0.15</v>
      </c>
    </row>
    <row r="14380" spans="1:4" x14ac:dyDescent="0.25">
      <c r="A14380" t="str">
        <f>HYPERLINK("https://www.773grp.com/globalSearch/BZX84J-C13115/page-1", "BZX84J-C13115")</f>
        <v>BZX84J-C13115</v>
      </c>
      <c r="B14380" s="3" t="str">
        <f>HYPERLINK("https://www.773grp.com/manufacturer/nxp-semiconductor?pageNo=3", "NXP Semiconductors")</f>
        <v>NXP Semiconductors</v>
      </c>
      <c r="C14380" s="6">
        <v>1000</v>
      </c>
      <c r="D14380" s="7">
        <v>0.15</v>
      </c>
    </row>
    <row r="14381" spans="1:4" x14ac:dyDescent="0.25">
      <c r="A14381" t="str">
        <f>HYPERLINK("https://www.773grp.com/globalSearch/BZX84J-C15115/page-1", "BZX84J-C15115")</f>
        <v>BZX84J-C15115</v>
      </c>
      <c r="B14381" s="3" t="str">
        <f>HYPERLINK("https://www.773grp.com/manufacturer/nxp-semiconductor?pageNo=4", "NXP Semiconductors")</f>
        <v>NXP Semiconductors</v>
      </c>
      <c r="C14381" s="6">
        <v>26750</v>
      </c>
      <c r="D14381" s="7">
        <v>0.15</v>
      </c>
    </row>
    <row r="14382" spans="1:4" x14ac:dyDescent="0.25">
      <c r="A14382" t="str">
        <f>HYPERLINK("https://www.773grp.com/globalSearch/BZX84J-C16115/page-1", "BZX84J-C16115")</f>
        <v>BZX84J-C16115</v>
      </c>
      <c r="B14382" s="3" t="str">
        <f>HYPERLINK("https://www.773grp.com/manufacturer/nxp-semiconductor?pageNo=5", "NXP Semiconductors")</f>
        <v>NXP Semiconductors</v>
      </c>
      <c r="C14382" s="6">
        <v>200</v>
      </c>
      <c r="D14382" s="7">
        <v>0.15</v>
      </c>
    </row>
    <row r="14383" spans="1:4" x14ac:dyDescent="0.25">
      <c r="A14383" t="str">
        <f>HYPERLINK("https://www.773grp.com/globalSearch/BZX84J-C18115/page-1", "BZX84J-C18115")</f>
        <v>BZX84J-C18115</v>
      </c>
      <c r="B14383" s="3" t="str">
        <f>HYPERLINK("https://www.773grp.com/manufacturer/nxp-semiconductor?pageNo=6", "NXP Semiconductors")</f>
        <v>NXP Semiconductors</v>
      </c>
      <c r="C14383" s="6">
        <v>255719</v>
      </c>
      <c r="D14383" s="7">
        <v>0.15</v>
      </c>
    </row>
    <row r="14384" spans="1:4" x14ac:dyDescent="0.25">
      <c r="A14384" t="str">
        <f>HYPERLINK("https://www.773grp.com/globalSearch/BZX84J-C20115/page-1", "BZX84J-C20115")</f>
        <v>BZX84J-C20115</v>
      </c>
      <c r="B14384" s="3" t="str">
        <f>HYPERLINK("https://www.773grp.com/manufacturer/nxp-semiconductor?pageNo=7", "NXP Semiconductors")</f>
        <v>NXP Semiconductors</v>
      </c>
      <c r="C14384" s="6">
        <v>18200</v>
      </c>
      <c r="D14384" s="7">
        <v>0.15</v>
      </c>
    </row>
    <row r="14385" spans="1:4" x14ac:dyDescent="0.25">
      <c r="A14385" t="str">
        <f>HYPERLINK("https://www.773grp.com/globalSearch/BZX84J-C22115/page-1", "BZX84J-C22115")</f>
        <v>BZX84J-C22115</v>
      </c>
      <c r="B14385" s="3" t="str">
        <f>HYPERLINK("https://www.773grp.com/manufacturer/nxp-semiconductor?pageNo=8", "NXP Semiconductors")</f>
        <v>NXP Semiconductors</v>
      </c>
      <c r="C14385" s="6">
        <v>200</v>
      </c>
      <c r="D14385" s="7">
        <v>0.15</v>
      </c>
    </row>
    <row r="14386" spans="1:4" x14ac:dyDescent="0.25">
      <c r="A14386" t="str">
        <f>HYPERLINK("https://www.773grp.com/globalSearch/BZX84J-C24115/page-1", "BZX84J-C24115")</f>
        <v>BZX84J-C24115</v>
      </c>
      <c r="B14386" s="3" t="str">
        <f>HYPERLINK("https://www.773grp.com/manufacturer/nxp-semiconductor?pageNo=9", "NXP Semiconductors")</f>
        <v>NXP Semiconductors</v>
      </c>
      <c r="C14386" s="6">
        <v>24200</v>
      </c>
      <c r="D14386" s="7">
        <v>0.15</v>
      </c>
    </row>
    <row r="14387" spans="1:4" x14ac:dyDescent="0.25">
      <c r="A14387" t="str">
        <f>HYPERLINK("https://www.773grp.com/globalSearch/BZX84J-C27115/page-1", "BZX84J-C27115")</f>
        <v>BZX84J-C27115</v>
      </c>
      <c r="B14387" s="3" t="str">
        <f>HYPERLINK("https://www.773grp.com/manufacturer/nxp-semiconductor?pageNo=10", "NXP Semiconductors")</f>
        <v>NXP Semiconductors</v>
      </c>
      <c r="C14387" s="6">
        <v>26800</v>
      </c>
      <c r="D14387" s="7">
        <v>0.15</v>
      </c>
    </row>
    <row r="14388" spans="1:4" x14ac:dyDescent="0.25">
      <c r="A14388" t="str">
        <f>HYPERLINK("https://www.773grp.com/globalSearch/BZX84J-C27135/page-1", "BZX84J-C27135")</f>
        <v>BZX84J-C27135</v>
      </c>
      <c r="B14388" s="3" t="str">
        <f>HYPERLINK("https://www.773grp.com/manufacturer/nxp-semiconductor?pageNo=11", "NXP Semiconductors")</f>
        <v>NXP Semiconductors</v>
      </c>
      <c r="C14388" s="6">
        <v>20000</v>
      </c>
      <c r="D14388" s="7">
        <v>0.15</v>
      </c>
    </row>
    <row r="14389" spans="1:4" x14ac:dyDescent="0.25">
      <c r="A14389" t="str">
        <f>HYPERLINK("https://www.773grp.com/globalSearch/BZX84J-C2V7115/page-1", "BZX84J-C2V7115")</f>
        <v>BZX84J-C2V7115</v>
      </c>
      <c r="B14389" s="3" t="str">
        <f>HYPERLINK("https://www.773grp.com/manufacturer/nxp-semiconductor?pageNo=12", "NXP Semiconductors")</f>
        <v>NXP Semiconductors</v>
      </c>
      <c r="C14389" s="6">
        <v>1000</v>
      </c>
      <c r="D14389" s="7">
        <v>0.15</v>
      </c>
    </row>
    <row r="14390" spans="1:4" x14ac:dyDescent="0.25">
      <c r="A14390" t="str">
        <f>HYPERLINK("https://www.773grp.com/globalSearch/BZX84J-C33115/page-1", "BZX84J-C33115")</f>
        <v>BZX84J-C33115</v>
      </c>
      <c r="B14390" s="3" t="str">
        <f>HYPERLINK("https://www.773grp.com/manufacturer/nxp-semiconductor?pageNo=13", "NXP Semiconductors")</f>
        <v>NXP Semiconductors</v>
      </c>
      <c r="C14390" s="6">
        <v>12000</v>
      </c>
      <c r="D14390" s="7">
        <v>0.15</v>
      </c>
    </row>
    <row r="14391" spans="1:4" x14ac:dyDescent="0.25">
      <c r="A14391" t="str">
        <f>HYPERLINK("https://www.773grp.com/globalSearch/BZX84J-C36115/page-1", "BZX84J-C36115")</f>
        <v>BZX84J-C36115</v>
      </c>
      <c r="B14391" s="3" t="str">
        <f>HYPERLINK("https://www.773grp.com/manufacturer/nxp-semiconductor?pageNo=14", "NXP Semiconductors")</f>
        <v>NXP Semiconductors</v>
      </c>
      <c r="C14391" s="6">
        <v>6300</v>
      </c>
      <c r="D14391" s="7">
        <v>0.15</v>
      </c>
    </row>
    <row r="14392" spans="1:4" x14ac:dyDescent="0.25">
      <c r="A14392" t="str">
        <f>HYPERLINK("https://www.773grp.com/globalSearch/BZX84J-C3V3115/page-1", "BZX84J-C3V3115")</f>
        <v>BZX84J-C3V3115</v>
      </c>
      <c r="B14392" s="3" t="str">
        <f>HYPERLINK("https://www.773grp.com/manufacturer/nxp-semiconductor?pageNo=15", "NXP Semiconductors")</f>
        <v>NXP Semiconductors</v>
      </c>
      <c r="C14392" s="6">
        <v>185</v>
      </c>
      <c r="D14392" s="7">
        <v>0.15</v>
      </c>
    </row>
    <row r="14393" spans="1:4" x14ac:dyDescent="0.25">
      <c r="A14393" t="str">
        <f>HYPERLINK("https://www.773grp.com/globalSearch/BZX84J-C3V9115/page-1", "BZX84J-C3V9115")</f>
        <v>BZX84J-C3V9115</v>
      </c>
      <c r="B14393" s="3" t="str">
        <f>HYPERLINK("https://www.773grp.com/manufacturer/nxp-semiconductor?pageNo=16", "NXP Semiconductors")</f>
        <v>NXP Semiconductors</v>
      </c>
      <c r="C14393" s="6">
        <v>41535</v>
      </c>
      <c r="D14393" s="7">
        <v>0.15</v>
      </c>
    </row>
    <row r="14394" spans="1:4" x14ac:dyDescent="0.25">
      <c r="A14394" t="str">
        <f>HYPERLINK("https://www.773grp.com/globalSearch/BZX84J-C4V3115/page-1", "BZX84J-C4V3115")</f>
        <v>BZX84J-C4V3115</v>
      </c>
      <c r="B14394" s="3" t="str">
        <f>HYPERLINK("https://www.773grp.com/manufacturer/nxp-semiconductor?pageNo=17", "NXP Semiconductors")</f>
        <v>NXP Semiconductors</v>
      </c>
      <c r="C14394" s="6">
        <v>36000</v>
      </c>
      <c r="D14394" s="7">
        <v>0.15</v>
      </c>
    </row>
    <row r="14395" spans="1:4" x14ac:dyDescent="0.25">
      <c r="A14395" t="str">
        <f>HYPERLINK("https://www.773grp.com/globalSearch/BZX84J-C4V7115/page-1", "BZX84J-C4V7115")</f>
        <v>BZX84J-C4V7115</v>
      </c>
      <c r="B14395" s="3" t="str">
        <f>HYPERLINK("https://www.773grp.com/manufacturer/nxp-semiconductor?pageNo=18", "NXP Semiconductors")</f>
        <v>NXP Semiconductors</v>
      </c>
      <c r="C14395" s="6">
        <v>21000</v>
      </c>
      <c r="D14395" s="7">
        <v>0.15</v>
      </c>
    </row>
    <row r="14396" spans="1:4" x14ac:dyDescent="0.25">
      <c r="A14396" t="str">
        <f>HYPERLINK("https://www.773grp.com/globalSearch/BZX84J-C51115/page-1", "BZX84J-C51115")</f>
        <v>BZX84J-C51115</v>
      </c>
      <c r="B14396" s="3" t="str">
        <f>HYPERLINK("https://www.773grp.com/manufacturer/nxp-semiconductor?pageNo=19", "NXP Semiconductors")</f>
        <v>NXP Semiconductors</v>
      </c>
      <c r="C14396" s="6">
        <v>12000</v>
      </c>
      <c r="D14396" s="7">
        <v>0.15</v>
      </c>
    </row>
    <row r="14397" spans="1:4" x14ac:dyDescent="0.25">
      <c r="A14397" t="str">
        <f>HYPERLINK("https://www.773grp.com/globalSearch/BZX84J-C5V6115/page-1", "BZX84J-C5V6115")</f>
        <v>BZX84J-C5V6115</v>
      </c>
      <c r="B14397" s="3" t="str">
        <f>HYPERLINK("https://www.773grp.com/manufacturer/nxp-semiconductor?pageNo=20", "NXP Semiconductors")</f>
        <v>NXP Semiconductors</v>
      </c>
      <c r="C14397" s="6">
        <v>18000</v>
      </c>
      <c r="D14397" s="7">
        <v>0.15</v>
      </c>
    </row>
    <row r="14398" spans="1:4" x14ac:dyDescent="0.25">
      <c r="A14398" t="str">
        <f>HYPERLINK("https://www.773grp.com/globalSearch/BZX84J-C68115/page-1", "BZX84J-C68115")</f>
        <v>BZX84J-C68115</v>
      </c>
      <c r="B14398" s="3" t="str">
        <f>HYPERLINK("https://www.773grp.com/manufacturer/nxp-semiconductor?pageNo=21", "NXP Semiconductors")</f>
        <v>NXP Semiconductors</v>
      </c>
      <c r="C14398" s="6">
        <v>6455</v>
      </c>
      <c r="D14398" s="7">
        <v>0.15</v>
      </c>
    </row>
    <row r="14399" spans="1:4" x14ac:dyDescent="0.25">
      <c r="A14399" t="str">
        <f>HYPERLINK("https://www.773grp.com/globalSearch/BZX84J-C6V2115/page-1", "BZX84J-C6V2115")</f>
        <v>BZX84J-C6V2115</v>
      </c>
      <c r="B14399" s="3" t="str">
        <f>HYPERLINK("https://www.773grp.com/manufacturer/nxp-semiconductor?pageNo=22", "NXP Semiconductors")</f>
        <v>NXP Semiconductors</v>
      </c>
      <c r="C14399" s="6">
        <v>21200</v>
      </c>
      <c r="D14399" s="7">
        <v>0.15</v>
      </c>
    </row>
    <row r="14400" spans="1:4" x14ac:dyDescent="0.25">
      <c r="A14400" t="str">
        <f>HYPERLINK("https://www.773grp.com/globalSearch/BZX84J-C6V8115/page-1", "BZX84J-C6V8115")</f>
        <v>BZX84J-C6V8115</v>
      </c>
      <c r="B14400" s="3" t="str">
        <f>HYPERLINK("https://www.773grp.com/manufacturer/nxp-semiconductor?pageNo=23", "NXP Semiconductors")</f>
        <v>NXP Semiconductors</v>
      </c>
      <c r="C14400" s="6">
        <v>6200</v>
      </c>
      <c r="D14400" s="7">
        <v>0.15</v>
      </c>
    </row>
    <row r="14401" spans="1:4" x14ac:dyDescent="0.25">
      <c r="A14401" t="str">
        <f>HYPERLINK("https://www.773grp.com/globalSearch/BZX84J-C7V5115/page-1", "BZX84J-C7V5115")</f>
        <v>BZX84J-C7V5115</v>
      </c>
      <c r="B14401" s="3" t="str">
        <f>HYPERLINK("https://www.773grp.com/manufacturer/nxp-semiconductor?pageNo=24", "NXP Semiconductors")</f>
        <v>NXP Semiconductors</v>
      </c>
      <c r="C14401" s="6">
        <v>21025</v>
      </c>
      <c r="D14401" s="7">
        <v>0.15</v>
      </c>
    </row>
    <row r="14402" spans="1:4" x14ac:dyDescent="0.25">
      <c r="A14402" t="str">
        <f>HYPERLINK("https://www.773grp.com/globalSearch/BZX84J-C8V2115/page-1", "BZX84J-C8V2115")</f>
        <v>BZX84J-C8V2115</v>
      </c>
      <c r="B14402" s="3" t="str">
        <f>HYPERLINK("https://www.773grp.com/manufacturer/nxp-semiconductor?pageNo=25", "NXP Semiconductors")</f>
        <v>NXP Semiconductors</v>
      </c>
      <c r="C14402" s="6">
        <v>3200</v>
      </c>
      <c r="D14402" s="7">
        <v>0.15</v>
      </c>
    </row>
    <row r="14403" spans="1:4" x14ac:dyDescent="0.25">
      <c r="A14403" t="str">
        <f>HYPERLINK("https://www.773grp.com/globalSearch/NX3008PBKW115/page-1", "NX3008PBKW115")</f>
        <v>NX3008PBKW115</v>
      </c>
      <c r="B14403" s="3" t="str">
        <f>HYPERLINK("https://www.773grp.com/manufacturer/nxp-semiconductor?pageNo=26", "NXP Semiconductors")</f>
        <v>NXP Semiconductors</v>
      </c>
      <c r="C14403" s="6">
        <v>9000</v>
      </c>
      <c r="D14403" s="7">
        <v>0.15</v>
      </c>
    </row>
    <row r="14404" spans="1:4" x14ac:dyDescent="0.25">
      <c r="A14404" t="str">
        <f>HYPERLINK("https://www.773grp.com/globalSearch/PDTA113EE115/page-1", "PDTA113EE115")</f>
        <v>PDTA113EE115</v>
      </c>
      <c r="B14404" s="3" t="str">
        <f>HYPERLINK("https://www.773grp.com/manufacturer/nxp-semiconductor?pageNo=27", "NXP Semiconductors")</f>
        <v>NXP Semiconductors</v>
      </c>
      <c r="C14404" s="6">
        <v>27000</v>
      </c>
      <c r="D14404" s="7">
        <v>0.15</v>
      </c>
    </row>
    <row r="14405" spans="1:4" x14ac:dyDescent="0.25">
      <c r="A14405" t="str">
        <f>HYPERLINK("https://www.773grp.com/globalSearch/PDTA113ET215/page-1", "PDTA113ET215")</f>
        <v>PDTA113ET215</v>
      </c>
      <c r="B14405" s="3" t="str">
        <f>HYPERLINK("https://www.773grp.com/manufacturer/nxp-semiconductor?pageNo=28", "NXP Semiconductors")</f>
        <v>NXP Semiconductors</v>
      </c>
      <c r="C14405" s="6">
        <v>18000</v>
      </c>
      <c r="D14405" s="7">
        <v>0.15</v>
      </c>
    </row>
    <row r="14406" spans="1:4" x14ac:dyDescent="0.25">
      <c r="A14406" t="str">
        <f>HYPERLINK("https://www.773grp.com/globalSearch/PDTA113ZE115/page-1", "PDTA113ZE115")</f>
        <v>PDTA113ZE115</v>
      </c>
      <c r="B14406" s="3" t="str">
        <f>HYPERLINK("https://www.773grp.com/manufacturer/nxp-semiconductor?pageNo=29", "NXP Semiconductors")</f>
        <v>NXP Semiconductors</v>
      </c>
      <c r="C14406" s="6">
        <v>24000</v>
      </c>
      <c r="D14406" s="7">
        <v>0.15</v>
      </c>
    </row>
    <row r="14407" spans="1:4" x14ac:dyDescent="0.25">
      <c r="A14407" t="str">
        <f>HYPERLINK("https://www.773grp.com/globalSearch/PDTA113ZT215/page-1", "PDTA113ZT215")</f>
        <v>PDTA113ZT215</v>
      </c>
      <c r="B14407" s="3" t="str">
        <f>HYPERLINK("https://www.773grp.com/manufacturer/nxp-semiconductor?pageNo=30", "NXP Semiconductors")</f>
        <v>NXP Semiconductors</v>
      </c>
      <c r="C14407" s="6">
        <v>98000</v>
      </c>
      <c r="D14407" s="7">
        <v>0.15</v>
      </c>
    </row>
    <row r="14408" spans="1:4" x14ac:dyDescent="0.25">
      <c r="A14408" t="str">
        <f>HYPERLINK("https://www.773grp.com/globalSearch/PDTA113ZU115/page-1", "PDTA113ZU115")</f>
        <v>PDTA113ZU115</v>
      </c>
      <c r="B14408" s="3" t="str">
        <f>HYPERLINK("https://www.773grp.com/manufacturer/nxp-semiconductor?pageNo=31", "NXP Semiconductors")</f>
        <v>NXP Semiconductors</v>
      </c>
      <c r="C14408" s="6">
        <v>18000</v>
      </c>
      <c r="D14408" s="7">
        <v>0.15</v>
      </c>
    </row>
    <row r="14409" spans="1:4" x14ac:dyDescent="0.25">
      <c r="A14409" t="str">
        <f>HYPERLINK("https://www.773grp.com/globalSearch/PDTA114ET215/page-1", "PDTA114ET215")</f>
        <v>PDTA114ET215</v>
      </c>
      <c r="B14409" s="3" t="str">
        <f>HYPERLINK("https://www.773grp.com/manufacturer/nxp-semiconductor?pageNo=32", "NXP Semiconductors")</f>
        <v>NXP Semiconductors</v>
      </c>
      <c r="C14409" s="6">
        <v>549000</v>
      </c>
      <c r="D14409" s="7">
        <v>0.15</v>
      </c>
    </row>
    <row r="14410" spans="1:4" x14ac:dyDescent="0.25">
      <c r="A14410" t="str">
        <f>HYPERLINK("https://www.773grp.com/globalSearch/PDTA114EU115/page-1", "PDTA114EU115")</f>
        <v>PDTA114EU115</v>
      </c>
      <c r="B14410" s="3" t="str">
        <f>HYPERLINK("https://www.773grp.com/manufacturer/nxp-semiconductor?pageNo=33", "NXP Semiconductors")</f>
        <v>NXP Semiconductors</v>
      </c>
      <c r="C14410" s="6">
        <v>47890</v>
      </c>
      <c r="D14410" s="7">
        <v>0.15</v>
      </c>
    </row>
    <row r="14411" spans="1:4" x14ac:dyDescent="0.25">
      <c r="A14411" t="str">
        <f>HYPERLINK("https://www.773grp.com/globalSearch/PDTA114TE115/page-1", "PDTA114TE115")</f>
        <v>PDTA114TE115</v>
      </c>
      <c r="B14411" s="3" t="str">
        <f>HYPERLINK("https://www.773grp.com/manufacturer/nxp-semiconductor?pageNo=34", "NXP Semiconductors")</f>
        <v>NXP Semiconductors</v>
      </c>
      <c r="C14411" s="6">
        <v>21000</v>
      </c>
      <c r="D14411" s="7">
        <v>0.15</v>
      </c>
    </row>
    <row r="14412" spans="1:4" x14ac:dyDescent="0.25">
      <c r="A14412" t="str">
        <f>HYPERLINK("https://www.773grp.com/globalSearch/PDTA114TT215/page-1", "PDTA114TT215")</f>
        <v>PDTA114TT215</v>
      </c>
      <c r="B14412" s="3" t="str">
        <f>HYPERLINK("https://www.773grp.com/manufacturer/nxp-semiconductor?pageNo=35", "NXP Semiconductors")</f>
        <v>NXP Semiconductors</v>
      </c>
      <c r="C14412" s="6">
        <v>15000</v>
      </c>
      <c r="D14412" s="7">
        <v>0.15</v>
      </c>
    </row>
    <row r="14413" spans="1:4" x14ac:dyDescent="0.25">
      <c r="A14413" t="str">
        <f>HYPERLINK("https://www.773grp.com/globalSearch/PDTA114TU115/page-1", "PDTA114TU115")</f>
        <v>PDTA114TU115</v>
      </c>
      <c r="B14413" s="3" t="str">
        <f>HYPERLINK("https://www.773grp.com/manufacturer/nxp-semiconductor?pageNo=36", "NXP Semiconductors")</f>
        <v>NXP Semiconductors</v>
      </c>
      <c r="C14413" s="6">
        <v>504000</v>
      </c>
      <c r="D14413" s="7">
        <v>0.15</v>
      </c>
    </row>
    <row r="14414" spans="1:4" x14ac:dyDescent="0.25">
      <c r="A14414" t="str">
        <f>HYPERLINK("https://www.773grp.com/globalSearch/PDTA114YE115/page-1", "PDTA114YE115")</f>
        <v>PDTA114YE115</v>
      </c>
      <c r="B14414" s="3" t="str">
        <f>HYPERLINK("https://www.773grp.com/manufacturer/nxp-semiconductor?pageNo=37", "NXP Semiconductors")</f>
        <v>NXP Semiconductors</v>
      </c>
      <c r="C14414" s="6">
        <v>108226</v>
      </c>
      <c r="D14414" s="7">
        <v>0.15</v>
      </c>
    </row>
    <row r="14415" spans="1:4" x14ac:dyDescent="0.25">
      <c r="A14415" t="str">
        <f>HYPERLINK("https://www.773grp.com/globalSearch/PDTA114YT215/page-1", "PDTA114YT215")</f>
        <v>PDTA114YT215</v>
      </c>
      <c r="B14415" s="3" t="str">
        <f>HYPERLINK("https://www.773grp.com/manufacturer/nxp-semiconductor?pageNo=38", "NXP Semiconductors")</f>
        <v>NXP Semiconductors</v>
      </c>
      <c r="C14415" s="6">
        <v>30000</v>
      </c>
      <c r="D14415" s="7">
        <v>0.15</v>
      </c>
    </row>
    <row r="14416" spans="1:4" x14ac:dyDescent="0.25">
      <c r="A14416" t="str">
        <f>HYPERLINK("https://www.773grp.com/globalSearch/PDTA114YU115/page-1", "PDTA114YU115")</f>
        <v>PDTA114YU115</v>
      </c>
      <c r="B14416" s="3" t="str">
        <f>HYPERLINK("https://www.773grp.com/manufacturer/nxp-semiconductor?pageNo=39", "NXP Semiconductors")</f>
        <v>NXP Semiconductors</v>
      </c>
      <c r="C14416" s="6">
        <v>9144</v>
      </c>
      <c r="D14416" s="7">
        <v>0.15</v>
      </c>
    </row>
    <row r="14417" spans="1:4" x14ac:dyDescent="0.25">
      <c r="A14417" t="str">
        <f>HYPERLINK("https://www.773grp.com/globalSearch/PDTA123ET215/page-1", "PDTA123ET215")</f>
        <v>PDTA123ET215</v>
      </c>
      <c r="B14417" s="3" t="str">
        <f>HYPERLINK("https://www.773grp.com/manufacturer/nxp-semiconductor?pageNo=40", "NXP Semiconductors")</f>
        <v>NXP Semiconductors</v>
      </c>
      <c r="C14417" s="6">
        <v>57000</v>
      </c>
      <c r="D14417" s="7">
        <v>0.15</v>
      </c>
    </row>
    <row r="14418" spans="1:4" x14ac:dyDescent="0.25">
      <c r="A14418" t="str">
        <f>HYPERLINK("https://www.773grp.com/globalSearch/PDTA123JT215/page-1", "PDTA123JT215")</f>
        <v>PDTA123JT215</v>
      </c>
      <c r="B14418" s="3" t="str">
        <f>HYPERLINK("https://www.773grp.com/manufacturer/nxp-semiconductor?pageNo=41", "NXP Semiconductors")</f>
        <v>NXP Semiconductors</v>
      </c>
      <c r="C14418" s="6">
        <v>34902</v>
      </c>
      <c r="D14418" s="7">
        <v>0.15</v>
      </c>
    </row>
    <row r="14419" spans="1:4" x14ac:dyDescent="0.25">
      <c r="A14419" t="str">
        <f>HYPERLINK("https://www.773grp.com/globalSearch/PDTA123TE115/page-1", "PDTA123TE115")</f>
        <v>PDTA123TE115</v>
      </c>
      <c r="B14419" s="3" t="str">
        <f>HYPERLINK("https://www.773grp.com/manufacturer/nxp-semiconductor?pageNo=42", "NXP Semiconductors")</f>
        <v>NXP Semiconductors</v>
      </c>
      <c r="C14419" s="6">
        <v>27000</v>
      </c>
      <c r="D14419" s="7">
        <v>0.15</v>
      </c>
    </row>
    <row r="14420" spans="1:4" x14ac:dyDescent="0.25">
      <c r="A14420" t="str">
        <f>HYPERLINK("https://www.773grp.com/globalSearch/PDTA123TT215/page-1", "PDTA123TT215")</f>
        <v>PDTA123TT215</v>
      </c>
      <c r="B14420" s="3" t="str">
        <f>HYPERLINK("https://www.773grp.com/manufacturer/nxp-semiconductor?pageNo=43", "NXP Semiconductors")</f>
        <v>NXP Semiconductors</v>
      </c>
      <c r="C14420" s="6">
        <v>78000</v>
      </c>
      <c r="D14420" s="7">
        <v>0.15</v>
      </c>
    </row>
    <row r="14421" spans="1:4" x14ac:dyDescent="0.25">
      <c r="A14421" t="str">
        <f>HYPERLINK("https://www.773grp.com/globalSearch/PDTA123TU115/page-1", "PDTA123TU115")</f>
        <v>PDTA123TU115</v>
      </c>
      <c r="B14421" s="3" t="str">
        <f>HYPERLINK("https://www.773grp.com/manufacturer/nxp-semiconductor?pageNo=44", "NXP Semiconductors")</f>
        <v>NXP Semiconductors</v>
      </c>
      <c r="C14421" s="6">
        <v>24000</v>
      </c>
      <c r="D14421" s="7">
        <v>0.15</v>
      </c>
    </row>
    <row r="14422" spans="1:4" x14ac:dyDescent="0.25">
      <c r="A14422" t="str">
        <f>HYPERLINK("https://www.773grp.com/globalSearch/PDTA123YE115/page-1", "PDTA123YE115")</f>
        <v>PDTA123YE115</v>
      </c>
      <c r="B14422" s="3" t="str">
        <f>HYPERLINK("https://www.773grp.com/manufacturer/nxp-semiconductor?pageNo=45", "NXP Semiconductors")</f>
        <v>NXP Semiconductors</v>
      </c>
      <c r="C14422" s="6">
        <v>15000</v>
      </c>
      <c r="D14422" s="7">
        <v>0.15</v>
      </c>
    </row>
    <row r="14423" spans="1:4" x14ac:dyDescent="0.25">
      <c r="A14423" t="str">
        <f>HYPERLINK("https://www.773grp.com/globalSearch/PDTA123YT215/page-1", "PDTA123YT215")</f>
        <v>PDTA123YT215</v>
      </c>
      <c r="B14423" s="3" t="str">
        <f>HYPERLINK("https://www.773grp.com/manufacturer/nxp-semiconductor?pageNo=46", "NXP Semiconductors")</f>
        <v>NXP Semiconductors</v>
      </c>
      <c r="C14423" s="6">
        <v>118475</v>
      </c>
      <c r="D14423" s="7">
        <v>0.15</v>
      </c>
    </row>
    <row r="14424" spans="1:4" x14ac:dyDescent="0.25">
      <c r="A14424" t="str">
        <f>HYPERLINK("https://www.773grp.com/globalSearch/PDTA124EE115/page-1", "PDTA124EE115")</f>
        <v>PDTA124EE115</v>
      </c>
      <c r="B14424" s="3" t="str">
        <f>HYPERLINK("https://www.773grp.com/manufacturer/nxp-semiconductor?pageNo=47", "NXP Semiconductors")</f>
        <v>NXP Semiconductors</v>
      </c>
      <c r="C14424" s="6">
        <v>18510</v>
      </c>
      <c r="D14424" s="7">
        <v>0.15</v>
      </c>
    </row>
    <row r="14425" spans="1:4" x14ac:dyDescent="0.25">
      <c r="A14425" t="str">
        <f>HYPERLINK("https://www.773grp.com/globalSearch/PDTA124ET215/page-1", "PDTA124ET215")</f>
        <v>PDTA124ET215</v>
      </c>
      <c r="B14425" s="3" t="str">
        <f>HYPERLINK("https://www.773grp.com/manufacturer/nxp-semiconductor?pageNo=48", "NXP Semiconductors")</f>
        <v>NXP Semiconductors</v>
      </c>
      <c r="C14425" s="6">
        <v>76497</v>
      </c>
      <c r="D14425" s="7">
        <v>0.15</v>
      </c>
    </row>
    <row r="14426" spans="1:4" x14ac:dyDescent="0.25">
      <c r="A14426" t="str">
        <f>HYPERLINK("https://www.773grp.com/globalSearch/PDTA124EU115/page-1", "PDTA124EU115")</f>
        <v>PDTA124EU115</v>
      </c>
      <c r="B14426" s="3" t="str">
        <f>HYPERLINK("https://www.773grp.com/manufacturer/nxp-semiconductor?pageNo=1", "NXP Semiconductors")</f>
        <v>NXP Semiconductors</v>
      </c>
      <c r="C14426" s="6">
        <v>90000</v>
      </c>
      <c r="D14426" s="7">
        <v>0.15</v>
      </c>
    </row>
    <row r="14427" spans="1:4" x14ac:dyDescent="0.25">
      <c r="A14427" t="str">
        <f>HYPERLINK("https://www.773grp.com/globalSearch/PDTA124EU135/page-1", "PDTA124EU135")</f>
        <v>PDTA124EU135</v>
      </c>
      <c r="B14427" s="3" t="str">
        <f>HYPERLINK("https://www.773grp.com/manufacturer/nxp-semiconductor?pageNo=2", "NXP Semiconductors")</f>
        <v>NXP Semiconductors</v>
      </c>
      <c r="C14427" s="6">
        <v>20000</v>
      </c>
      <c r="D14427" s="7">
        <v>0.15</v>
      </c>
    </row>
    <row r="14428" spans="1:4" x14ac:dyDescent="0.25">
      <c r="A14428" t="str">
        <f>HYPERLINK("https://www.773grp.com/globalSearch/PDTA124TE115/page-1", "PDTA124TE115")</f>
        <v>PDTA124TE115</v>
      </c>
      <c r="B14428" s="3" t="str">
        <f>HYPERLINK("https://www.773grp.com/manufacturer/nxp-semiconductor?pageNo=3", "NXP Semiconductors")</f>
        <v>NXP Semiconductors</v>
      </c>
      <c r="C14428" s="6">
        <v>200</v>
      </c>
      <c r="D14428" s="7">
        <v>0.15</v>
      </c>
    </row>
    <row r="14429" spans="1:4" x14ac:dyDescent="0.25">
      <c r="A14429" t="str">
        <f>HYPERLINK("https://www.773grp.com/globalSearch/PDTA124TT215/page-1", "PDTA124TT215")</f>
        <v>PDTA124TT215</v>
      </c>
      <c r="B14429" s="3" t="str">
        <f>HYPERLINK("https://www.773grp.com/manufacturer/nxp-semiconductor?pageNo=4", "NXP Semiconductors")</f>
        <v>NXP Semiconductors</v>
      </c>
      <c r="C14429" s="6">
        <v>25455</v>
      </c>
      <c r="D14429" s="7">
        <v>0.15</v>
      </c>
    </row>
    <row r="14430" spans="1:4" x14ac:dyDescent="0.25">
      <c r="A14430" t="str">
        <f>HYPERLINK("https://www.773grp.com/globalSearch/PDTA124TU115/page-1", "PDTA124TU115")</f>
        <v>PDTA124TU115</v>
      </c>
      <c r="B14430" s="3" t="str">
        <f>HYPERLINK("https://www.773grp.com/manufacturer/nxp-semiconductor?pageNo=5", "NXP Semiconductors")</f>
        <v>NXP Semiconductors</v>
      </c>
      <c r="C14430" s="6">
        <v>12000</v>
      </c>
      <c r="D14430" s="7">
        <v>0.15</v>
      </c>
    </row>
    <row r="14431" spans="1:4" x14ac:dyDescent="0.25">
      <c r="A14431" t="str">
        <f>HYPERLINK("https://www.773grp.com/globalSearch/PDTA124XE115/page-1", "PDTA124XE115")</f>
        <v>PDTA124XE115</v>
      </c>
      <c r="B14431" s="3" t="str">
        <f>HYPERLINK("https://www.773grp.com/manufacturer/nxp-semiconductor?pageNo=6", "NXP Semiconductors")</f>
        <v>NXP Semiconductors</v>
      </c>
      <c r="C14431" s="6">
        <v>3000</v>
      </c>
      <c r="D14431" s="7">
        <v>0.15</v>
      </c>
    </row>
    <row r="14432" spans="1:4" x14ac:dyDescent="0.25">
      <c r="A14432" t="str">
        <f>HYPERLINK("https://www.773grp.com/globalSearch/PDTA124XU115/page-1", "PDTA124XU115")</f>
        <v>PDTA124XU115</v>
      </c>
      <c r="B14432" s="3" t="str">
        <f>HYPERLINK("https://www.773grp.com/manufacturer/nxp-semiconductor?pageNo=7", "NXP Semiconductors")</f>
        <v>NXP Semiconductors</v>
      </c>
      <c r="C14432" s="6">
        <v>1500</v>
      </c>
      <c r="D14432" s="7">
        <v>0.15</v>
      </c>
    </row>
    <row r="14433" spans="1:4" x14ac:dyDescent="0.25">
      <c r="A14433" t="str">
        <f>HYPERLINK("https://www.773grp.com/globalSearch/PDTA143EE115/page-1", "PDTA143EE115")</f>
        <v>PDTA143EE115</v>
      </c>
      <c r="B14433" s="3" t="str">
        <f>HYPERLINK("https://www.773grp.com/manufacturer/nxp-semiconductor?pageNo=8", "NXP Semiconductors")</f>
        <v>NXP Semiconductors</v>
      </c>
      <c r="C14433" s="6">
        <v>27000</v>
      </c>
      <c r="D14433" s="7">
        <v>0.15</v>
      </c>
    </row>
    <row r="14434" spans="1:4" x14ac:dyDescent="0.25">
      <c r="A14434" t="str">
        <f>HYPERLINK("https://www.773grp.com/globalSearch/PDTA143ET215/page-1", "PDTA143ET215")</f>
        <v>PDTA143ET215</v>
      </c>
      <c r="B14434" s="3" t="str">
        <f>HYPERLINK("https://www.773grp.com/manufacturer/nxp-semiconductor?pageNo=9", "NXP Semiconductors")</f>
        <v>NXP Semiconductors</v>
      </c>
      <c r="C14434" s="6">
        <v>75000</v>
      </c>
      <c r="D14434" s="7">
        <v>0.15</v>
      </c>
    </row>
    <row r="14435" spans="1:4" x14ac:dyDescent="0.25">
      <c r="A14435" t="str">
        <f>HYPERLINK("https://www.773grp.com/globalSearch/PDTA143EU115/page-1", "PDTA143EU115")</f>
        <v>PDTA143EU115</v>
      </c>
      <c r="B14435" s="3" t="str">
        <f>HYPERLINK("https://www.773grp.com/manufacturer/nxp-semiconductor?pageNo=10", "NXP Semiconductors")</f>
        <v>NXP Semiconductors</v>
      </c>
      <c r="C14435" s="6">
        <v>183200</v>
      </c>
      <c r="D14435" s="7">
        <v>0.15</v>
      </c>
    </row>
    <row r="14436" spans="1:4" x14ac:dyDescent="0.25">
      <c r="A14436" t="str">
        <f>HYPERLINK("https://www.773grp.com/globalSearch/PDTA143TE115/page-1", "PDTA143TE115")</f>
        <v>PDTA143TE115</v>
      </c>
      <c r="B14436" s="3" t="str">
        <f>HYPERLINK("https://www.773grp.com/manufacturer/nxp-semiconductor?pageNo=11", "NXP Semiconductors")</f>
        <v>NXP Semiconductors</v>
      </c>
      <c r="C14436" s="6">
        <v>75000</v>
      </c>
      <c r="D14436" s="7">
        <v>0.15</v>
      </c>
    </row>
    <row r="14437" spans="1:4" x14ac:dyDescent="0.25">
      <c r="A14437" t="str">
        <f>HYPERLINK("https://www.773grp.com/globalSearch/PDTA143TT215/page-1", "PDTA143TT215")</f>
        <v>PDTA143TT215</v>
      </c>
      <c r="B14437" s="3" t="str">
        <f>HYPERLINK("https://www.773grp.com/manufacturer/nxp-semiconductor?pageNo=12", "NXP Semiconductors")</f>
        <v>NXP Semiconductors</v>
      </c>
      <c r="C14437" s="6">
        <v>20770</v>
      </c>
      <c r="D14437" s="7">
        <v>0.15</v>
      </c>
    </row>
    <row r="14438" spans="1:4" x14ac:dyDescent="0.25">
      <c r="A14438" t="str">
        <f>HYPERLINK("https://www.773grp.com/globalSearch/PDTA143TU115/page-1", "PDTA143TU115")</f>
        <v>PDTA143TU115</v>
      </c>
      <c r="B14438" s="3" t="str">
        <f>HYPERLINK("https://www.773grp.com/manufacturer/nxp-semiconductor?pageNo=13", "NXP Semiconductors")</f>
        <v>NXP Semiconductors</v>
      </c>
      <c r="C14438" s="6">
        <v>50880</v>
      </c>
      <c r="D14438" s="7">
        <v>0.15</v>
      </c>
    </row>
    <row r="14439" spans="1:4" x14ac:dyDescent="0.25">
      <c r="A14439" t="str">
        <f>HYPERLINK("https://www.773grp.com/globalSearch/PDTA143XT215/page-1", "PDTA143XT215")</f>
        <v>PDTA143XT215</v>
      </c>
      <c r="B14439" s="3" t="str">
        <f>HYPERLINK("https://www.773grp.com/manufacturer/nxp-semiconductor?pageNo=14", "NXP Semiconductors")</f>
        <v>NXP Semiconductors</v>
      </c>
      <c r="C14439" s="6">
        <v>742457</v>
      </c>
      <c r="D14439" s="7">
        <v>0.15</v>
      </c>
    </row>
    <row r="14440" spans="1:4" x14ac:dyDescent="0.25">
      <c r="A14440" t="str">
        <f>HYPERLINK("https://www.773grp.com/globalSearch/PDTA143XU115/page-1", "PDTA143XU115")</f>
        <v>PDTA143XU115</v>
      </c>
      <c r="B14440" s="3" t="str">
        <f>HYPERLINK("https://www.773grp.com/manufacturer/nxp-semiconductor?pageNo=15", "NXP Semiconductors")</f>
        <v>NXP Semiconductors</v>
      </c>
      <c r="C14440" s="6">
        <v>661450</v>
      </c>
      <c r="D14440" s="7">
        <v>0.15</v>
      </c>
    </row>
    <row r="14441" spans="1:4" x14ac:dyDescent="0.25">
      <c r="A14441" t="str">
        <f>HYPERLINK("https://www.773grp.com/globalSearch/PDTA143ZE115/page-1", "PDTA143ZE115")</f>
        <v>PDTA143ZE115</v>
      </c>
      <c r="B14441" s="3" t="str">
        <f>HYPERLINK("https://www.773grp.com/manufacturer/nxp-semiconductor?pageNo=16", "NXP Semiconductors")</f>
        <v>NXP Semiconductors</v>
      </c>
      <c r="C14441" s="6">
        <v>21000</v>
      </c>
      <c r="D14441" s="7">
        <v>0.15</v>
      </c>
    </row>
    <row r="14442" spans="1:4" x14ac:dyDescent="0.25">
      <c r="A14442" t="str">
        <f>HYPERLINK("https://www.773grp.com/globalSearch/PDTA143ZT215/page-1", "PDTA143ZT215")</f>
        <v>PDTA143ZT215</v>
      </c>
      <c r="B14442" s="3" t="str">
        <f>HYPERLINK("https://www.773grp.com/manufacturer/nxp-semiconductor?pageNo=17", "NXP Semiconductors")</f>
        <v>NXP Semiconductors</v>
      </c>
      <c r="C14442" s="6">
        <v>168200</v>
      </c>
      <c r="D14442" s="7">
        <v>0.15</v>
      </c>
    </row>
    <row r="14443" spans="1:4" x14ac:dyDescent="0.25">
      <c r="A14443" t="str">
        <f>HYPERLINK("https://www.773grp.com/globalSearch/PDTA144EE115/page-1", "PDTA144EE115")</f>
        <v>PDTA144EE115</v>
      </c>
      <c r="B14443" s="3" t="str">
        <f>HYPERLINK("https://www.773grp.com/manufacturer/nxp-semiconductor?pageNo=18", "NXP Semiconductors")</f>
        <v>NXP Semiconductors</v>
      </c>
      <c r="C14443" s="6">
        <v>1566000</v>
      </c>
      <c r="D14443" s="7">
        <v>0.15</v>
      </c>
    </row>
    <row r="14444" spans="1:4" x14ac:dyDescent="0.25">
      <c r="A14444" t="str">
        <f>HYPERLINK("https://www.773grp.com/globalSearch/PDTA144ET215/page-1", "PDTA144ET215")</f>
        <v>PDTA144ET215</v>
      </c>
      <c r="B14444" s="3" t="str">
        <f>HYPERLINK("https://www.773grp.com/manufacturer/nxp-semiconductor?pageNo=19", "NXP Semiconductors")</f>
        <v>NXP Semiconductors</v>
      </c>
      <c r="C14444" s="6">
        <v>69000</v>
      </c>
      <c r="D14444" s="7">
        <v>0.15</v>
      </c>
    </row>
    <row r="14445" spans="1:4" x14ac:dyDescent="0.25">
      <c r="A14445" t="str">
        <f>HYPERLINK("https://www.773grp.com/globalSearch/PDTA144ET235/page-1", "PDTA144ET235")</f>
        <v>PDTA144ET235</v>
      </c>
      <c r="B14445" s="3" t="str">
        <f>HYPERLINK("https://www.773grp.com/manufacturer/nxp-semiconductor?pageNo=20", "NXP Semiconductors")</f>
        <v>NXP Semiconductors</v>
      </c>
      <c r="C14445" s="6">
        <v>20000</v>
      </c>
      <c r="D14445" s="7">
        <v>0.15</v>
      </c>
    </row>
    <row r="14446" spans="1:4" x14ac:dyDescent="0.25">
      <c r="A14446" t="str">
        <f>HYPERLINK("https://www.773grp.com/globalSearch/PDTA144EU115/page-1", "PDTA144EU115")</f>
        <v>PDTA144EU115</v>
      </c>
      <c r="B14446" s="3" t="str">
        <f>HYPERLINK("https://www.773grp.com/manufacturer/nxp-semiconductor?pageNo=21", "NXP Semiconductors")</f>
        <v>NXP Semiconductors</v>
      </c>
      <c r="C14446" s="6">
        <v>1500</v>
      </c>
      <c r="D14446" s="7">
        <v>0.15</v>
      </c>
    </row>
    <row r="14447" spans="1:4" x14ac:dyDescent="0.25">
      <c r="A14447" t="str">
        <f>HYPERLINK("https://www.773grp.com/globalSearch/PDTA144VE115/page-1", "PDTA144VE115")</f>
        <v>PDTA144VE115</v>
      </c>
      <c r="B14447" s="3" t="str">
        <f>HYPERLINK("https://www.773grp.com/manufacturer/nxp-semiconductor?pageNo=22", "NXP Semiconductors")</f>
        <v>NXP Semiconductors</v>
      </c>
      <c r="C14447" s="6">
        <v>27000</v>
      </c>
      <c r="D14447" s="7">
        <v>0.15</v>
      </c>
    </row>
    <row r="14448" spans="1:4" x14ac:dyDescent="0.25">
      <c r="A14448" t="str">
        <f>HYPERLINK("https://www.773grp.com/globalSearch/PDTA144VT215/page-1", "PDTA144VT215")</f>
        <v>PDTA144VT215</v>
      </c>
      <c r="B14448" s="3" t="str">
        <f>HYPERLINK("https://www.773grp.com/manufacturer/nxp-semiconductor?pageNo=23", "NXP Semiconductors")</f>
        <v>NXP Semiconductors</v>
      </c>
      <c r="C14448" s="6">
        <v>51000</v>
      </c>
      <c r="D14448" s="7">
        <v>0.15</v>
      </c>
    </row>
    <row r="14449" spans="1:4" x14ac:dyDescent="0.25">
      <c r="A14449" t="str">
        <f>HYPERLINK("https://www.773grp.com/globalSearch/PDTA144VU115/page-1", "PDTA144VU115")</f>
        <v>PDTA144VU115</v>
      </c>
      <c r="B14449" s="3" t="str">
        <f>HYPERLINK("https://www.773grp.com/manufacturer/nxp-semiconductor?pageNo=24", "NXP Semiconductors")</f>
        <v>NXP Semiconductors</v>
      </c>
      <c r="C14449" s="6">
        <v>24000</v>
      </c>
      <c r="D14449" s="7">
        <v>0.15</v>
      </c>
    </row>
    <row r="14450" spans="1:4" x14ac:dyDescent="0.25">
      <c r="A14450" t="str">
        <f>HYPERLINK("https://www.773grp.com/globalSearch/PDTA144WE115/page-1", "PDTA144WE115")</f>
        <v>PDTA144WE115</v>
      </c>
      <c r="B14450" s="3" t="str">
        <f>HYPERLINK("https://www.773grp.com/manufacturer/nxp-semiconductor?pageNo=25", "NXP Semiconductors")</f>
        <v>NXP Semiconductors</v>
      </c>
      <c r="C14450" s="6">
        <v>200</v>
      </c>
      <c r="D14450" s="7">
        <v>0.15</v>
      </c>
    </row>
    <row r="14451" spans="1:4" x14ac:dyDescent="0.25">
      <c r="A14451" t="str">
        <f>HYPERLINK("https://www.773grp.com/globalSearch/PDTA144WT215/page-1", "PDTA144WT215")</f>
        <v>PDTA144WT215</v>
      </c>
      <c r="B14451" s="3" t="str">
        <f>HYPERLINK("https://www.773grp.com/manufacturer/nxp-semiconductor?pageNo=26", "NXP Semiconductors")</f>
        <v>NXP Semiconductors</v>
      </c>
      <c r="C14451" s="6">
        <v>42578</v>
      </c>
      <c r="D14451" s="7">
        <v>0.15</v>
      </c>
    </row>
    <row r="14452" spans="1:4" x14ac:dyDescent="0.25">
      <c r="A14452" t="str">
        <f>HYPERLINK("https://www.773grp.com/globalSearch/PDTA144WU115/page-1", "PDTA144WU115")</f>
        <v>PDTA144WU115</v>
      </c>
      <c r="B14452" s="3" t="str">
        <f>HYPERLINK("https://www.773grp.com/manufacturer/nxp-semiconductor?pageNo=27", "NXP Semiconductors")</f>
        <v>NXP Semiconductors</v>
      </c>
      <c r="C14452" s="6">
        <v>24000</v>
      </c>
      <c r="D14452" s="7">
        <v>0.15</v>
      </c>
    </row>
    <row r="14453" spans="1:4" x14ac:dyDescent="0.25">
      <c r="A14453" t="str">
        <f>HYPERLINK("https://www.773grp.com/globalSearch/PDTB113ET215/page-1", "PDTB113ET215")</f>
        <v>PDTB113ET215</v>
      </c>
      <c r="B14453" s="3" t="str">
        <f>HYPERLINK("https://www.773grp.com/manufacturer/nxp-semiconductor?pageNo=28", "NXP Semiconductors")</f>
        <v>NXP Semiconductors</v>
      </c>
      <c r="C14453" s="6">
        <v>39000</v>
      </c>
      <c r="D14453" s="7">
        <v>0.15</v>
      </c>
    </row>
    <row r="14454" spans="1:4" x14ac:dyDescent="0.25">
      <c r="A14454" t="str">
        <f>HYPERLINK("https://www.773grp.com/globalSearch/PDTB113ZT215/page-1", "PDTB113ZT215")</f>
        <v>PDTB113ZT215</v>
      </c>
      <c r="B14454" s="3" t="str">
        <f>HYPERLINK("https://www.773grp.com/manufacturer/nxp-semiconductor?pageNo=29", "NXP Semiconductors")</f>
        <v>NXP Semiconductors</v>
      </c>
      <c r="C14454" s="6">
        <v>2410</v>
      </c>
      <c r="D14454" s="7">
        <v>0.15</v>
      </c>
    </row>
    <row r="14455" spans="1:4" x14ac:dyDescent="0.25">
      <c r="A14455" t="str">
        <f>HYPERLINK("https://www.773grp.com/globalSearch/PDTB123ET215/page-1", "PDTB123ET215")</f>
        <v>PDTB123ET215</v>
      </c>
      <c r="B14455" s="3" t="str">
        <f>HYPERLINK("https://www.773grp.com/manufacturer/nxp-semiconductor?pageNo=30", "NXP Semiconductors")</f>
        <v>NXP Semiconductors</v>
      </c>
      <c r="C14455" s="6">
        <v>1340</v>
      </c>
      <c r="D14455" s="7">
        <v>0.15</v>
      </c>
    </row>
    <row r="14456" spans="1:4" x14ac:dyDescent="0.25">
      <c r="A14456" t="str">
        <f>HYPERLINK("https://www.773grp.com/globalSearch/PDTB123YT215/page-1", "PDTB123YT215")</f>
        <v>PDTB123YT215</v>
      </c>
      <c r="B14456" s="3" t="str">
        <f>HYPERLINK("https://www.773grp.com/manufacturer/nxp-semiconductor?pageNo=31", "NXP Semiconductors")</f>
        <v>NXP Semiconductors</v>
      </c>
      <c r="C14456" s="6">
        <v>171000</v>
      </c>
      <c r="D14456" s="7">
        <v>0.15</v>
      </c>
    </row>
    <row r="14457" spans="1:4" x14ac:dyDescent="0.25">
      <c r="A14457" t="str">
        <f>HYPERLINK("https://www.773grp.com/globalSearch/PDTC114EE115/page-1", "PDTC114EE115")</f>
        <v>PDTC114EE115</v>
      </c>
      <c r="B14457" s="3" t="str">
        <f>HYPERLINK("https://www.773grp.com/manufacturer/nxp-semiconductor?pageNo=32", "NXP Semiconductors")</f>
        <v>NXP Semiconductors</v>
      </c>
      <c r="C14457" s="6">
        <v>2358</v>
      </c>
      <c r="D14457" s="7">
        <v>0.15</v>
      </c>
    </row>
    <row r="14458" spans="1:4" x14ac:dyDescent="0.25">
      <c r="A14458" t="str">
        <f>HYPERLINK("https://www.773grp.com/globalSearch/PDTC114EK115/page-1", "PDTC114EK115")</f>
        <v>PDTC114EK115</v>
      </c>
      <c r="B14458" s="3" t="str">
        <f>HYPERLINK("https://www.773grp.com/manufacturer/nxp-semiconductor?pageNo=33", "NXP Semiconductors")</f>
        <v>NXP Semiconductors</v>
      </c>
      <c r="C14458" s="6">
        <v>93000</v>
      </c>
      <c r="D14458" s="7">
        <v>0.15</v>
      </c>
    </row>
    <row r="14459" spans="1:4" x14ac:dyDescent="0.25">
      <c r="A14459" t="str">
        <f>HYPERLINK("https://www.773grp.com/globalSearch/PDTC114EU115/page-1", "PDTC114EU115")</f>
        <v>PDTC114EU115</v>
      </c>
      <c r="B14459" s="3" t="str">
        <f>HYPERLINK("https://www.773grp.com/manufacturer/nxp-semiconductor?pageNo=34", "NXP Semiconductors")</f>
        <v>NXP Semiconductors</v>
      </c>
      <c r="C14459" s="6">
        <v>169444</v>
      </c>
      <c r="D14459" s="7">
        <v>0.15</v>
      </c>
    </row>
    <row r="14460" spans="1:4" x14ac:dyDescent="0.25">
      <c r="A14460" t="str">
        <f>HYPERLINK("https://www.773grp.com/globalSearch/PDTC114TE115/page-1", "PDTC114TE115")</f>
        <v>PDTC114TE115</v>
      </c>
      <c r="B14460" s="3" t="str">
        <f>HYPERLINK("https://www.773grp.com/manufacturer/nxp-semiconductor?pageNo=35", "NXP Semiconductors")</f>
        <v>NXP Semiconductors</v>
      </c>
      <c r="C14460" s="6">
        <v>81000</v>
      </c>
      <c r="D14460" s="7">
        <v>0.15</v>
      </c>
    </row>
    <row r="14461" spans="1:4" x14ac:dyDescent="0.25">
      <c r="A14461" t="str">
        <f>HYPERLINK("https://www.773grp.com/globalSearch/PDTC114TT215/page-1", "PDTC114TT215")</f>
        <v>PDTC114TT215</v>
      </c>
      <c r="B14461" s="3" t="str">
        <f>HYPERLINK("https://www.773grp.com/manufacturer/nxp-semiconductor?pageNo=36", "NXP Semiconductors")</f>
        <v>NXP Semiconductors</v>
      </c>
      <c r="C14461" s="6">
        <v>78000</v>
      </c>
      <c r="D14461" s="7">
        <v>0.15</v>
      </c>
    </row>
    <row r="14462" spans="1:4" x14ac:dyDescent="0.25">
      <c r="A14462" t="str">
        <f>HYPERLINK("https://www.773grp.com/globalSearch/PDTC114TT235/page-1", "PDTC114TT235")</f>
        <v>PDTC114TT235</v>
      </c>
      <c r="B14462" s="3" t="str">
        <f>HYPERLINK("https://www.773grp.com/manufacturer/nxp-semiconductor?pageNo=37", "NXP Semiconductors")</f>
        <v>NXP Semiconductors</v>
      </c>
      <c r="C14462" s="6">
        <v>50000</v>
      </c>
      <c r="D14462" s="7">
        <v>0.15</v>
      </c>
    </row>
    <row r="14463" spans="1:4" x14ac:dyDescent="0.25">
      <c r="A14463" t="str">
        <f>HYPERLINK("https://www.773grp.com/globalSearch/PDTC114TU115/page-1", "PDTC114TU115")</f>
        <v>PDTC114TU115</v>
      </c>
      <c r="B14463" s="3" t="str">
        <f>HYPERLINK("https://www.773grp.com/manufacturer/nxp-semiconductor?pageNo=38", "NXP Semiconductors")</f>
        <v>NXP Semiconductors</v>
      </c>
      <c r="C14463" s="6">
        <v>592913</v>
      </c>
      <c r="D14463" s="7">
        <v>0.15</v>
      </c>
    </row>
    <row r="14464" spans="1:4" x14ac:dyDescent="0.25">
      <c r="A14464" t="str">
        <f>HYPERLINK("https://www.773grp.com/globalSearch/PDTC114YE135/page-1", "PDTC114YE135")</f>
        <v>PDTC114YE135</v>
      </c>
      <c r="B14464" s="3" t="str">
        <f>HYPERLINK("https://www.773grp.com/manufacturer/nxp-semiconductor?pageNo=39", "NXP Semiconductors")</f>
        <v>NXP Semiconductors</v>
      </c>
      <c r="C14464" s="6">
        <v>30000</v>
      </c>
      <c r="D14464" s="7">
        <v>0.15</v>
      </c>
    </row>
    <row r="14465" spans="1:4" x14ac:dyDescent="0.25">
      <c r="A14465" t="str">
        <f>HYPERLINK("https://www.773grp.com/globalSearch/PDTC114YT215/page-1", "PDTC114YT215")</f>
        <v>PDTC114YT215</v>
      </c>
      <c r="B14465" s="3" t="str">
        <f>HYPERLINK("https://www.773grp.com/manufacturer/nxp-semiconductor?pageNo=40", "NXP Semiconductors")</f>
        <v>NXP Semiconductors</v>
      </c>
      <c r="C14465" s="6">
        <v>249000</v>
      </c>
      <c r="D14465" s="7">
        <v>0.15</v>
      </c>
    </row>
    <row r="14466" spans="1:4" x14ac:dyDescent="0.25">
      <c r="A14466" t="str">
        <f>HYPERLINK("https://www.773grp.com/globalSearch/PDTC114YU115/page-1", "PDTC114YU115")</f>
        <v>PDTC114YU115</v>
      </c>
      <c r="B14466" s="3" t="str">
        <f>HYPERLINK("https://www.773grp.com/manufacturer/nxp-semiconductor?pageNo=41", "NXP Semiconductors")</f>
        <v>NXP Semiconductors</v>
      </c>
      <c r="C14466" s="6">
        <v>35375</v>
      </c>
      <c r="D14466" s="7">
        <v>0.15</v>
      </c>
    </row>
    <row r="14467" spans="1:4" x14ac:dyDescent="0.25">
      <c r="A14467" t="str">
        <f>HYPERLINK("https://www.773grp.com/globalSearch/PDTC115EE115/page-1", "PDTC115EE115")</f>
        <v>PDTC115EE115</v>
      </c>
      <c r="B14467" s="3" t="str">
        <f>HYPERLINK("https://www.773grp.com/manufacturer/nxp-semiconductor?pageNo=42", "NXP Semiconductors")</f>
        <v>NXP Semiconductors</v>
      </c>
      <c r="C14467" s="6">
        <v>90200</v>
      </c>
      <c r="D14467" s="7">
        <v>0.15</v>
      </c>
    </row>
    <row r="14468" spans="1:4" x14ac:dyDescent="0.25">
      <c r="A14468" t="str">
        <f>HYPERLINK("https://www.773grp.com/globalSearch/PDTC115EU115/page-1", "PDTC115EU115")</f>
        <v>PDTC115EU115</v>
      </c>
      <c r="B14468" s="3" t="str">
        <f>HYPERLINK("https://www.773grp.com/manufacturer/nxp-semiconductor?pageNo=43", "NXP Semiconductors")</f>
        <v>NXP Semiconductors</v>
      </c>
      <c r="C14468" s="6">
        <v>18000</v>
      </c>
      <c r="D14468" s="7">
        <v>0.15</v>
      </c>
    </row>
    <row r="14469" spans="1:4" x14ac:dyDescent="0.25">
      <c r="A14469" t="str">
        <f>HYPERLINK("https://www.773grp.com/globalSearch/PDTC123ET215/page-1", "PDTC123ET215")</f>
        <v>PDTC123ET215</v>
      </c>
      <c r="B14469" s="3" t="str">
        <f>HYPERLINK("https://www.773grp.com/manufacturer/nxp-semiconductor?pageNo=44", "NXP Semiconductors")</f>
        <v>NXP Semiconductors</v>
      </c>
      <c r="C14469" s="6">
        <v>40350</v>
      </c>
      <c r="D14469" s="7">
        <v>0.15</v>
      </c>
    </row>
    <row r="14470" spans="1:4" x14ac:dyDescent="0.25">
      <c r="A14470" t="str">
        <f>HYPERLINK("https://www.773grp.com/globalSearch/PDTC123EU115/page-1", "PDTC123EU115")</f>
        <v>PDTC123EU115</v>
      </c>
      <c r="B14470" s="3" t="str">
        <f>HYPERLINK("https://www.773grp.com/manufacturer/nxp-semiconductor?pageNo=45", "NXP Semiconductors")</f>
        <v>NXP Semiconductors</v>
      </c>
      <c r="C14470" s="6">
        <v>8000</v>
      </c>
      <c r="D14470" s="7">
        <v>0.15</v>
      </c>
    </row>
    <row r="14471" spans="1:4" x14ac:dyDescent="0.25">
      <c r="A14471" t="str">
        <f>HYPERLINK("https://www.773grp.com/globalSearch/PDTC123JE115/page-1", "PDTC123JE115")</f>
        <v>PDTC123JE115</v>
      </c>
      <c r="B14471" s="3" t="str">
        <f>HYPERLINK("https://www.773grp.com/manufacturer/nxp-semiconductor?pageNo=46", "NXP Semiconductors")</f>
        <v>NXP Semiconductors</v>
      </c>
      <c r="C14471" s="6">
        <v>18000</v>
      </c>
      <c r="D14471" s="7">
        <v>0.15</v>
      </c>
    </row>
    <row r="14472" spans="1:4" x14ac:dyDescent="0.25">
      <c r="A14472" t="str">
        <f>HYPERLINK("https://www.773grp.com/globalSearch/PDTC123JU115/page-1", "PDTC123JU115")</f>
        <v>PDTC123JU115</v>
      </c>
      <c r="B14472" s="3" t="str">
        <f>HYPERLINK("https://www.773grp.com/manufacturer/nxp-semiconductor?pageNo=47", "NXP Semiconductors")</f>
        <v>NXP Semiconductors</v>
      </c>
      <c r="C14472" s="6">
        <v>82344</v>
      </c>
      <c r="D14472" s="7">
        <v>0.15</v>
      </c>
    </row>
    <row r="14473" spans="1:4" x14ac:dyDescent="0.25">
      <c r="A14473" t="str">
        <f>HYPERLINK("https://www.773grp.com/globalSearch/PDTC123YE115/page-1", "PDTC123YE115")</f>
        <v>PDTC123YE115</v>
      </c>
      <c r="B14473" s="3" t="str">
        <f>HYPERLINK("https://www.773grp.com/manufacturer/nxp-semiconductor?pageNo=48", "NXP Semiconductors")</f>
        <v>NXP Semiconductors</v>
      </c>
      <c r="C14473" s="6">
        <v>23600</v>
      </c>
      <c r="D14473" s="7">
        <v>0.15</v>
      </c>
    </row>
    <row r="14474" spans="1:4" x14ac:dyDescent="0.25">
      <c r="A14474" t="str">
        <f>HYPERLINK("https://www.773grp.com/globalSearch/PDTC123YT215/page-1", "PDTC123YT215")</f>
        <v>PDTC123YT215</v>
      </c>
      <c r="B14474" s="3" t="str">
        <f>HYPERLINK("https://www.773grp.com/manufacturer/nxp-semiconductor?pageNo=1", "NXP Semiconductors")</f>
        <v>NXP Semiconductors</v>
      </c>
      <c r="C14474" s="6">
        <v>54000</v>
      </c>
      <c r="D14474" s="7">
        <v>0.15</v>
      </c>
    </row>
    <row r="14475" spans="1:4" x14ac:dyDescent="0.25">
      <c r="A14475" t="str">
        <f>HYPERLINK("https://www.773grp.com/globalSearch/PDTC124EE115/page-1", "PDTC124EE115")</f>
        <v>PDTC124EE115</v>
      </c>
      <c r="B14475" s="3" t="str">
        <f>HYPERLINK("https://www.773grp.com/manufacturer/nxp-semiconductor?pageNo=2", "NXP Semiconductors")</f>
        <v>NXP Semiconductors</v>
      </c>
      <c r="C14475" s="6">
        <v>27000</v>
      </c>
      <c r="D14475" s="7">
        <v>0.15</v>
      </c>
    </row>
    <row r="14476" spans="1:4" x14ac:dyDescent="0.25">
      <c r="A14476" t="str">
        <f>HYPERLINK("https://www.773grp.com/globalSearch/PDTC124ET215/page-1", "PDTC124ET215")</f>
        <v>PDTC124ET215</v>
      </c>
      <c r="B14476" s="3" t="str">
        <f>HYPERLINK("https://www.773grp.com/manufacturer/nxp-semiconductor?pageNo=3", "NXP Semiconductors")</f>
        <v>NXP Semiconductors</v>
      </c>
      <c r="C14476" s="6">
        <v>75000</v>
      </c>
      <c r="D14476" s="7">
        <v>0.15</v>
      </c>
    </row>
    <row r="14477" spans="1:4" x14ac:dyDescent="0.25">
      <c r="A14477" t="str">
        <f>HYPERLINK("https://www.773grp.com/globalSearch/PDTC124EU115/page-1", "PDTC124EU115")</f>
        <v>PDTC124EU115</v>
      </c>
      <c r="B14477" s="3" t="str">
        <f>HYPERLINK("https://www.773grp.com/manufacturer/nxp-semiconductor?pageNo=4", "NXP Semiconductors")</f>
        <v>NXP Semiconductors</v>
      </c>
      <c r="C14477" s="6">
        <v>42000</v>
      </c>
      <c r="D14477" s="7">
        <v>0.15</v>
      </c>
    </row>
    <row r="14478" spans="1:4" x14ac:dyDescent="0.25">
      <c r="A14478" t="str">
        <f>HYPERLINK("https://www.773grp.com/globalSearch/PDTC124TT215/page-1", "PDTC124TT215")</f>
        <v>PDTC124TT215</v>
      </c>
      <c r="B14478" s="3" t="str">
        <f>HYPERLINK("https://www.773grp.com/manufacturer/nxp-semiconductor?pageNo=5", "NXP Semiconductors")</f>
        <v>NXP Semiconductors</v>
      </c>
      <c r="C14478" s="6">
        <v>1400</v>
      </c>
      <c r="D14478" s="7">
        <v>0.15</v>
      </c>
    </row>
    <row r="14479" spans="1:4" x14ac:dyDescent="0.25">
      <c r="A14479" t="str">
        <f>HYPERLINK("https://www.773grp.com/globalSearch/PDTC124XT215/page-1", "PDTC124XT215")</f>
        <v>PDTC124XT215</v>
      </c>
      <c r="B14479" s="3" t="str">
        <f>HYPERLINK("https://www.773grp.com/manufacturer/nxp-semiconductor?pageNo=6", "NXP Semiconductors")</f>
        <v>NXP Semiconductors</v>
      </c>
      <c r="C14479" s="6">
        <v>1500</v>
      </c>
      <c r="D14479" s="7">
        <v>0.15</v>
      </c>
    </row>
    <row r="14480" spans="1:4" x14ac:dyDescent="0.25">
      <c r="A14480" t="str">
        <f>HYPERLINK("https://www.773grp.com/globalSearch/PDTC143EE115/page-1", "PDTC143EE115")</f>
        <v>PDTC143EE115</v>
      </c>
      <c r="B14480" s="3" t="str">
        <f>HYPERLINK("https://www.773grp.com/manufacturer/nxp-semiconductor?pageNo=7", "NXP Semiconductors")</f>
        <v>NXP Semiconductors</v>
      </c>
      <c r="C14480" s="6">
        <v>100</v>
      </c>
      <c r="D14480" s="7">
        <v>0.15</v>
      </c>
    </row>
    <row r="14481" spans="1:4" x14ac:dyDescent="0.25">
      <c r="A14481" t="str">
        <f>HYPERLINK("https://www.773grp.com/globalSearch/PDTC143ET215/page-1", "PDTC143ET215")</f>
        <v>PDTC143ET215</v>
      </c>
      <c r="B14481" s="3" t="str">
        <f>HYPERLINK("https://www.773grp.com/manufacturer/nxp-semiconductor?pageNo=8", "NXP Semiconductors")</f>
        <v>NXP Semiconductors</v>
      </c>
      <c r="C14481" s="6">
        <v>2295</v>
      </c>
      <c r="D14481" s="7">
        <v>0.15</v>
      </c>
    </row>
    <row r="14482" spans="1:4" x14ac:dyDescent="0.25">
      <c r="A14482" t="str">
        <f>HYPERLINK("https://www.773grp.com/globalSearch/PDTC143EU115/page-1", "PDTC143EU115")</f>
        <v>PDTC143EU115</v>
      </c>
      <c r="B14482" s="3" t="str">
        <f>HYPERLINK("https://www.773grp.com/manufacturer/nxp-semiconductor?pageNo=9", "NXP Semiconductors")</f>
        <v>NXP Semiconductors</v>
      </c>
      <c r="C14482" s="6">
        <v>159000</v>
      </c>
      <c r="D14482" s="7">
        <v>0.15</v>
      </c>
    </row>
    <row r="14483" spans="1:4" x14ac:dyDescent="0.25">
      <c r="A14483" t="str">
        <f>HYPERLINK("https://www.773grp.com/globalSearch/PDTC143TE115/page-1", "PDTC143TE115")</f>
        <v>PDTC143TE115</v>
      </c>
      <c r="B14483" s="3" t="str">
        <f>HYPERLINK("https://www.773grp.com/manufacturer/nxp-semiconductor?pageNo=10", "NXP Semiconductors")</f>
        <v>NXP Semiconductors</v>
      </c>
      <c r="C14483" s="6">
        <v>54000</v>
      </c>
      <c r="D14483" s="7">
        <v>0.15</v>
      </c>
    </row>
    <row r="14484" spans="1:4" x14ac:dyDescent="0.25">
      <c r="A14484" t="str">
        <f>HYPERLINK("https://www.773grp.com/globalSearch/PDTC143TT215/page-1", "PDTC143TT215")</f>
        <v>PDTC143TT215</v>
      </c>
      <c r="B14484" s="3" t="str">
        <f>HYPERLINK("https://www.773grp.com/manufacturer/nxp-semiconductor?pageNo=11", "NXP Semiconductors")</f>
        <v>NXP Semiconductors</v>
      </c>
      <c r="C14484" s="6">
        <v>77875</v>
      </c>
      <c r="D14484" s="7">
        <v>0.15</v>
      </c>
    </row>
    <row r="14485" spans="1:4" x14ac:dyDescent="0.25">
      <c r="A14485" t="str">
        <f>HYPERLINK("https://www.773grp.com/globalSearch/PDTC143TU115/page-1", "PDTC143TU115")</f>
        <v>PDTC143TU115</v>
      </c>
      <c r="B14485" s="3" t="str">
        <f>HYPERLINK("https://www.773grp.com/manufacturer/nxp-semiconductor?pageNo=12", "NXP Semiconductors")</f>
        <v>NXP Semiconductors</v>
      </c>
      <c r="C14485" s="6">
        <v>55395</v>
      </c>
      <c r="D14485" s="7">
        <v>0.15</v>
      </c>
    </row>
    <row r="14486" spans="1:4" x14ac:dyDescent="0.25">
      <c r="A14486" t="str">
        <f>HYPERLINK("https://www.773grp.com/globalSearch/PDTC143TU135/page-1", "PDTC143TU135")</f>
        <v>PDTC143TU135</v>
      </c>
      <c r="B14486" s="3" t="str">
        <f>HYPERLINK("https://www.773grp.com/manufacturer/nxp-semiconductor?pageNo=13", "NXP Semiconductors")</f>
        <v>NXP Semiconductors</v>
      </c>
      <c r="C14486" s="6">
        <v>30000</v>
      </c>
      <c r="D14486" s="7">
        <v>0.15</v>
      </c>
    </row>
    <row r="14487" spans="1:4" x14ac:dyDescent="0.25">
      <c r="A14487" t="str">
        <f>HYPERLINK("https://www.773grp.com/globalSearch/PDTC143XE115/page-1", "PDTC143XE115")</f>
        <v>PDTC143XE115</v>
      </c>
      <c r="B14487" s="3" t="str">
        <f>HYPERLINK("https://www.773grp.com/manufacturer/nxp-semiconductor?pageNo=14", "NXP Semiconductors")</f>
        <v>NXP Semiconductors</v>
      </c>
      <c r="C14487" s="6">
        <v>200</v>
      </c>
      <c r="D14487" s="7">
        <v>0.15</v>
      </c>
    </row>
    <row r="14488" spans="1:4" x14ac:dyDescent="0.25">
      <c r="A14488" t="str">
        <f>HYPERLINK("https://www.773grp.com/globalSearch/PDTC143XT215/page-1", "PDTC143XT215")</f>
        <v>PDTC143XT215</v>
      </c>
      <c r="B14488" s="3" t="str">
        <f>HYPERLINK("https://www.773grp.com/manufacturer/nxp-semiconductor?pageNo=15", "NXP Semiconductors")</f>
        <v>NXP Semiconductors</v>
      </c>
      <c r="C14488" s="6">
        <v>210190</v>
      </c>
      <c r="D14488" s="7">
        <v>0.15</v>
      </c>
    </row>
    <row r="14489" spans="1:4" x14ac:dyDescent="0.25">
      <c r="A14489" t="str">
        <f>HYPERLINK("https://www.773grp.com/globalSearch/PDTC143XU115/page-1", "PDTC143XU115")</f>
        <v>PDTC143XU115</v>
      </c>
      <c r="B14489" s="3" t="str">
        <f>HYPERLINK("https://www.773grp.com/manufacturer/nxp-semiconductor?pageNo=16", "NXP Semiconductors")</f>
        <v>NXP Semiconductors</v>
      </c>
      <c r="C14489" s="6">
        <v>46500</v>
      </c>
      <c r="D14489" s="7">
        <v>0.15</v>
      </c>
    </row>
    <row r="14490" spans="1:4" x14ac:dyDescent="0.25">
      <c r="A14490" t="str">
        <f>HYPERLINK("https://www.773grp.com/globalSearch/PDTC143ZE115/page-1", "PDTC143ZE115")</f>
        <v>PDTC143ZE115</v>
      </c>
      <c r="B14490" s="3" t="str">
        <f>HYPERLINK("https://www.773grp.com/manufacturer/nxp-semiconductor?pageNo=17", "NXP Semiconductors")</f>
        <v>NXP Semiconductors</v>
      </c>
      <c r="C14490" s="6">
        <v>26785</v>
      </c>
      <c r="D14490" s="7">
        <v>0.15</v>
      </c>
    </row>
    <row r="14491" spans="1:4" x14ac:dyDescent="0.25">
      <c r="A14491" t="str">
        <f>HYPERLINK("https://www.773grp.com/globalSearch/PDTC143ZT215/page-1", "PDTC143ZT215")</f>
        <v>PDTC143ZT215</v>
      </c>
      <c r="B14491" s="3" t="str">
        <f>HYPERLINK("https://www.773grp.com/manufacturer/nxp-semiconductor?pageNo=18", "NXP Semiconductors")</f>
        <v>NXP Semiconductors</v>
      </c>
      <c r="C14491" s="6">
        <v>96000</v>
      </c>
      <c r="D14491" s="7">
        <v>0.15</v>
      </c>
    </row>
    <row r="14492" spans="1:4" x14ac:dyDescent="0.25">
      <c r="A14492" t="str">
        <f>HYPERLINK("https://www.773grp.com/globalSearch/PDTC143ZU115/page-1", "PDTC143ZU115")</f>
        <v>PDTC143ZU115</v>
      </c>
      <c r="B14492" s="3" t="str">
        <f>HYPERLINK("https://www.773grp.com/manufacturer/nxp-semiconductor?pageNo=19", "NXP Semiconductors")</f>
        <v>NXP Semiconductors</v>
      </c>
      <c r="C14492" s="6">
        <v>30000</v>
      </c>
      <c r="D14492" s="7">
        <v>0.15</v>
      </c>
    </row>
    <row r="14493" spans="1:4" x14ac:dyDescent="0.25">
      <c r="A14493" t="str">
        <f>HYPERLINK("https://www.773grp.com/globalSearch/PDTC144EE115/page-1", "PDTC144EE115")</f>
        <v>PDTC144EE115</v>
      </c>
      <c r="B14493" s="3" t="str">
        <f>HYPERLINK("https://www.773grp.com/manufacturer/nxp-semiconductor?pageNo=20", "NXP Semiconductors")</f>
        <v>NXP Semiconductors</v>
      </c>
      <c r="C14493" s="6">
        <v>104500</v>
      </c>
      <c r="D14493" s="7">
        <v>0.15</v>
      </c>
    </row>
    <row r="14494" spans="1:4" x14ac:dyDescent="0.25">
      <c r="A14494" t="str">
        <f>HYPERLINK("https://www.773grp.com/globalSearch/PDTC144EE135/page-1", "PDTC144EE135")</f>
        <v>PDTC144EE135</v>
      </c>
      <c r="B14494" s="3" t="str">
        <f>HYPERLINK("https://www.773grp.com/manufacturer/nxp-semiconductor?pageNo=21", "NXP Semiconductors")</f>
        <v>NXP Semiconductors</v>
      </c>
      <c r="C14494" s="6">
        <v>40000</v>
      </c>
      <c r="D14494" s="7">
        <v>0.15</v>
      </c>
    </row>
    <row r="14495" spans="1:4" x14ac:dyDescent="0.25">
      <c r="A14495" t="str">
        <f>HYPERLINK("https://www.773grp.com/globalSearch/PDTC144ET215/page-1", "PDTC144ET215")</f>
        <v>PDTC144ET215</v>
      </c>
      <c r="B14495" s="3" t="str">
        <f>HYPERLINK("https://www.773grp.com/manufacturer/nxp-semiconductor?pageNo=22", "NXP Semiconductors")</f>
        <v>NXP Semiconductors</v>
      </c>
      <c r="C14495" s="6">
        <v>30000</v>
      </c>
      <c r="D14495" s="7">
        <v>0.15</v>
      </c>
    </row>
    <row r="14496" spans="1:4" x14ac:dyDescent="0.25">
      <c r="A14496" t="str">
        <f>HYPERLINK("https://www.773grp.com/globalSearch/PDTC144TE115/page-1", "PDTC144TE115")</f>
        <v>PDTC144TE115</v>
      </c>
      <c r="B14496" s="3" t="str">
        <f>HYPERLINK("https://www.773grp.com/manufacturer/nxp-semiconductor?pageNo=23", "NXP Semiconductors")</f>
        <v>NXP Semiconductors</v>
      </c>
      <c r="C14496" s="6">
        <v>981200</v>
      </c>
      <c r="D14496" s="7">
        <v>0.15</v>
      </c>
    </row>
    <row r="14497" spans="1:4" x14ac:dyDescent="0.25">
      <c r="A14497" t="str">
        <f>HYPERLINK("https://www.773grp.com/globalSearch/PDTC144TT215/page-1", "PDTC144TT215")</f>
        <v>PDTC144TT215</v>
      </c>
      <c r="B14497" s="3" t="str">
        <f>HYPERLINK("https://www.773grp.com/manufacturer/nxp-semiconductor?pageNo=24", "NXP Semiconductors")</f>
        <v>NXP Semiconductors</v>
      </c>
      <c r="C14497" s="6">
        <v>200</v>
      </c>
      <c r="D14497" s="7">
        <v>0.15</v>
      </c>
    </row>
    <row r="14498" spans="1:4" x14ac:dyDescent="0.25">
      <c r="A14498" t="str">
        <f>HYPERLINK("https://www.773grp.com/globalSearch/PDTC144VE115/page-1", "PDTC144VE115")</f>
        <v>PDTC144VE115</v>
      </c>
      <c r="B14498" s="3" t="str">
        <f>HYPERLINK("https://www.773grp.com/manufacturer/nxp-semiconductor?pageNo=25", "NXP Semiconductors")</f>
        <v>NXP Semiconductors</v>
      </c>
      <c r="C14498" s="6">
        <v>27208</v>
      </c>
      <c r="D14498" s="7">
        <v>0.15</v>
      </c>
    </row>
    <row r="14499" spans="1:4" x14ac:dyDescent="0.25">
      <c r="A14499" t="str">
        <f>HYPERLINK("https://www.773grp.com/globalSearch/PDTC144VU115/page-1", "PDTC144VU115")</f>
        <v>PDTC144VU115</v>
      </c>
      <c r="B14499" s="3" t="str">
        <f>HYPERLINK("https://www.773grp.com/manufacturer/nxp-semiconductor?pageNo=26", "NXP Semiconductors")</f>
        <v>NXP Semiconductors</v>
      </c>
      <c r="C14499" s="6">
        <v>16635</v>
      </c>
      <c r="D14499" s="7">
        <v>0.15</v>
      </c>
    </row>
    <row r="14500" spans="1:4" x14ac:dyDescent="0.25">
      <c r="A14500" t="str">
        <f>HYPERLINK("https://www.773grp.com/globalSearch/PDTC144WE115/page-1", "PDTC144WE115")</f>
        <v>PDTC144WE115</v>
      </c>
      <c r="B14500" s="3" t="str">
        <f>HYPERLINK("https://www.773grp.com/manufacturer/nxp-semiconductor?pageNo=27", "NXP Semiconductors")</f>
        <v>NXP Semiconductors</v>
      </c>
      <c r="C14500" s="6">
        <v>18200</v>
      </c>
      <c r="D14500" s="7">
        <v>0.15</v>
      </c>
    </row>
    <row r="14501" spans="1:4" x14ac:dyDescent="0.25">
      <c r="A14501" t="str">
        <f>HYPERLINK("https://www.773grp.com/globalSearch/PDTC144WT215/page-1", "PDTC144WT215")</f>
        <v>PDTC144WT215</v>
      </c>
      <c r="B14501" s="3" t="str">
        <f>HYPERLINK("https://www.773grp.com/manufacturer/nxp-semiconductor?pageNo=28", "NXP Semiconductors")</f>
        <v>NXP Semiconductors</v>
      </c>
      <c r="C14501" s="6">
        <v>200</v>
      </c>
      <c r="D14501" s="7">
        <v>0.15</v>
      </c>
    </row>
    <row r="14502" spans="1:4" x14ac:dyDescent="0.25">
      <c r="A14502" t="str">
        <f>HYPERLINK("https://www.773grp.com/globalSearch/PDTD113ET215/page-1", "PDTD113ET215")</f>
        <v>PDTD113ET215</v>
      </c>
      <c r="B14502" s="3" t="str">
        <f>HYPERLINK("https://www.773grp.com/manufacturer/nxp-semiconductor?pageNo=29", "NXP Semiconductors")</f>
        <v>NXP Semiconductors</v>
      </c>
      <c r="C14502" s="6">
        <v>225000</v>
      </c>
      <c r="D14502" s="7">
        <v>0.15</v>
      </c>
    </row>
    <row r="14503" spans="1:4" x14ac:dyDescent="0.25">
      <c r="A14503" t="str">
        <f>HYPERLINK("https://www.773grp.com/globalSearch/PDTD113ZT215/page-1", "PDTD113ZT215")</f>
        <v>PDTD113ZT215</v>
      </c>
      <c r="B14503" s="3" t="str">
        <f>HYPERLINK("https://www.773grp.com/manufacturer/nxp-semiconductor?pageNo=30", "NXP Semiconductors")</f>
        <v>NXP Semiconductors</v>
      </c>
      <c r="C14503" s="6">
        <v>27000</v>
      </c>
      <c r="D14503" s="7">
        <v>0.15</v>
      </c>
    </row>
    <row r="14504" spans="1:4" x14ac:dyDescent="0.25">
      <c r="A14504" t="str">
        <f>HYPERLINK("https://www.773grp.com/globalSearch/PDTD123ET215/page-1", "PDTD123ET215")</f>
        <v>PDTD123ET215</v>
      </c>
      <c r="B14504" s="3" t="str">
        <f>HYPERLINK("https://www.773grp.com/manufacturer/nxp-semiconductor?pageNo=31", "NXP Semiconductors")</f>
        <v>NXP Semiconductors</v>
      </c>
      <c r="C14504" s="6">
        <v>9000</v>
      </c>
      <c r="D14504" s="7">
        <v>0.15</v>
      </c>
    </row>
    <row r="14505" spans="1:4" x14ac:dyDescent="0.25">
      <c r="A14505" t="str">
        <f>HYPERLINK("https://www.773grp.com/globalSearch/PDTD123TT215/page-1", "PDTD123TT215")</f>
        <v>PDTD123TT215</v>
      </c>
      <c r="B14505" s="3" t="str">
        <f>HYPERLINK("https://www.773grp.com/manufacturer/nxp-semiconductor?pageNo=32", "NXP Semiconductors")</f>
        <v>NXP Semiconductors</v>
      </c>
      <c r="C14505" s="6">
        <v>24968</v>
      </c>
      <c r="D14505" s="7">
        <v>0.15</v>
      </c>
    </row>
    <row r="14506" spans="1:4" x14ac:dyDescent="0.25">
      <c r="A14506" t="str">
        <f>HYPERLINK("https://www.773grp.com/globalSearch/PDTD123YT215/page-1", "PDTD123YT215")</f>
        <v>PDTD123YT215</v>
      </c>
      <c r="B14506" s="3" t="str">
        <f>HYPERLINK("https://www.773grp.com/manufacturer/nxp-semiconductor?pageNo=33", "NXP Semiconductors")</f>
        <v>NXP Semiconductors</v>
      </c>
      <c r="C14506" s="6">
        <v>102658</v>
      </c>
      <c r="D14506" s="7">
        <v>0.15</v>
      </c>
    </row>
    <row r="14507" spans="1:4" x14ac:dyDescent="0.25">
      <c r="A14507" t="str">
        <f>HYPERLINK("https://www.773grp.com/globalSearch/PDZ12B115/page-1", "PDZ12B115")</f>
        <v>PDZ12B115</v>
      </c>
      <c r="B14507" s="3" t="str">
        <f>HYPERLINK("https://www.773grp.com/manufacturer/nxp-semiconductor?pageNo=34", "NXP Semiconductors")</f>
        <v>NXP Semiconductors</v>
      </c>
      <c r="C14507" s="6">
        <v>345000</v>
      </c>
      <c r="D14507" s="7">
        <v>0.15</v>
      </c>
    </row>
    <row r="14508" spans="1:4" x14ac:dyDescent="0.25">
      <c r="A14508" t="str">
        <f>HYPERLINK("https://www.773grp.com/globalSearch/PDZ13B115/page-1", "PDZ13B115")</f>
        <v>PDZ13B115</v>
      </c>
      <c r="B14508" s="3" t="str">
        <f>HYPERLINK("https://www.773grp.com/manufacturer/nxp-semiconductor?pageNo=35", "NXP Semiconductors")</f>
        <v>NXP Semiconductors</v>
      </c>
      <c r="C14508" s="6">
        <v>6000</v>
      </c>
      <c r="D14508" s="7">
        <v>0.15</v>
      </c>
    </row>
    <row r="14509" spans="1:4" x14ac:dyDescent="0.25">
      <c r="A14509" t="str">
        <f>HYPERLINK("https://www.773grp.com/globalSearch/PDZ15B115/page-1", "PDZ15B115")</f>
        <v>PDZ15B115</v>
      </c>
      <c r="B14509" s="3" t="str">
        <f>HYPERLINK("https://www.773grp.com/manufacturer/nxp-semiconductor?pageNo=36", "NXP Semiconductors")</f>
        <v>NXP Semiconductors</v>
      </c>
      <c r="C14509" s="6">
        <v>5180</v>
      </c>
      <c r="D14509" s="7">
        <v>0.15</v>
      </c>
    </row>
    <row r="14510" spans="1:4" x14ac:dyDescent="0.25">
      <c r="A14510" t="str">
        <f>HYPERLINK("https://www.773grp.com/globalSearch/PDZ16B115/page-1", "PDZ16B115")</f>
        <v>PDZ16B115</v>
      </c>
      <c r="B14510" s="3" t="str">
        <f>HYPERLINK("https://www.773grp.com/manufacturer/nxp-semiconductor?pageNo=37", "NXP Semiconductors")</f>
        <v>NXP Semiconductors</v>
      </c>
      <c r="C14510" s="6">
        <v>39000</v>
      </c>
      <c r="D14510" s="7">
        <v>0.15</v>
      </c>
    </row>
    <row r="14511" spans="1:4" x14ac:dyDescent="0.25">
      <c r="A14511" t="str">
        <f>HYPERLINK("https://www.773grp.com/globalSearch/PDZ18B115/page-1", "PDZ18B115")</f>
        <v>PDZ18B115</v>
      </c>
      <c r="B14511" s="3" t="str">
        <f>HYPERLINK("https://www.773grp.com/manufacturer/nxp-semiconductor?pageNo=38", "NXP Semiconductors")</f>
        <v>NXP Semiconductors</v>
      </c>
      <c r="C14511" s="6">
        <v>180000</v>
      </c>
      <c r="D14511" s="7">
        <v>0.15</v>
      </c>
    </row>
    <row r="14512" spans="1:4" x14ac:dyDescent="0.25">
      <c r="A14512" t="str">
        <f>HYPERLINK("https://www.773grp.com/globalSearch/PDZ2.4B115/page-1", "PDZ2.4B115")</f>
        <v>PDZ2.4B115</v>
      </c>
      <c r="B14512" s="3" t="str">
        <f>HYPERLINK("https://www.773grp.com/manufacturer/nxp-semiconductor?pageNo=39", "NXP Semiconductors")</f>
        <v>NXP Semiconductors</v>
      </c>
      <c r="C14512" s="6">
        <v>33000</v>
      </c>
      <c r="D14512" s="7">
        <v>0.15</v>
      </c>
    </row>
    <row r="14513" spans="1:4" x14ac:dyDescent="0.25">
      <c r="A14513" t="str">
        <f>HYPERLINK("https://www.773grp.com/globalSearch/PDZ2.7B115/page-1", "PDZ2.7B115")</f>
        <v>PDZ2.7B115</v>
      </c>
      <c r="B14513" s="3" t="str">
        <f>HYPERLINK("https://www.773grp.com/manufacturer/nxp-semiconductor?pageNo=40", "NXP Semiconductors")</f>
        <v>NXP Semiconductors</v>
      </c>
      <c r="C14513" s="6">
        <v>66819</v>
      </c>
      <c r="D14513" s="7">
        <v>0.15</v>
      </c>
    </row>
    <row r="14514" spans="1:4" x14ac:dyDescent="0.25">
      <c r="A14514" t="str">
        <f>HYPERLINK("https://www.773grp.com/globalSearch/PDZ20B115/page-1", "PDZ20B115")</f>
        <v>PDZ20B115</v>
      </c>
      <c r="B14514" s="3" t="str">
        <f>HYPERLINK("https://www.773grp.com/manufacturer/nxp-semiconductor?pageNo=41", "NXP Semiconductors")</f>
        <v>NXP Semiconductors</v>
      </c>
      <c r="C14514" s="6">
        <v>3000</v>
      </c>
      <c r="D14514" s="7">
        <v>0.15</v>
      </c>
    </row>
    <row r="14515" spans="1:4" x14ac:dyDescent="0.25">
      <c r="A14515" t="str">
        <f>HYPERLINK("https://www.773grp.com/globalSearch/PDZ22B135/page-1", "PDZ22B135")</f>
        <v>PDZ22B135</v>
      </c>
      <c r="B14515" s="3" t="str">
        <f>HYPERLINK("https://www.773grp.com/manufacturer/nxp-semiconductor?pageNo=42", "NXP Semiconductors")</f>
        <v>NXP Semiconductors</v>
      </c>
      <c r="C14515" s="6">
        <v>1498</v>
      </c>
      <c r="D14515" s="7">
        <v>0.15</v>
      </c>
    </row>
    <row r="14516" spans="1:4" x14ac:dyDescent="0.25">
      <c r="A14516" t="str">
        <f>HYPERLINK("https://www.773grp.com/globalSearch/PDZ24B115/page-1", "PDZ24B115")</f>
        <v>PDZ24B115</v>
      </c>
      <c r="B14516" s="3" t="str">
        <f>HYPERLINK("https://www.773grp.com/manufacturer/nxp-semiconductor?pageNo=43", "NXP Semiconductors")</f>
        <v>NXP Semiconductors</v>
      </c>
      <c r="C14516" s="6">
        <v>27200</v>
      </c>
      <c r="D14516" s="7">
        <v>0.15</v>
      </c>
    </row>
    <row r="14517" spans="1:4" x14ac:dyDescent="0.25">
      <c r="A14517" t="str">
        <f>HYPERLINK("https://www.773grp.com/globalSearch/PDZ27B115/page-1", "PDZ27B115")</f>
        <v>PDZ27B115</v>
      </c>
      <c r="B14517" s="3" t="str">
        <f>HYPERLINK("https://www.773grp.com/manufacturer/nxp-semiconductor?pageNo=44", "NXP Semiconductors")</f>
        <v>NXP Semiconductors</v>
      </c>
      <c r="C14517" s="6">
        <v>7200</v>
      </c>
      <c r="D14517" s="7">
        <v>0.15</v>
      </c>
    </row>
    <row r="14518" spans="1:4" x14ac:dyDescent="0.25">
      <c r="A14518" t="str">
        <f>HYPERLINK("https://www.773grp.com/globalSearch/PDZ3.0B115/page-1", "PDZ3.0B115")</f>
        <v>PDZ3.0B115</v>
      </c>
      <c r="B14518" s="3" t="str">
        <f>HYPERLINK("https://www.773grp.com/manufacturer/nxp-semiconductor?pageNo=45", "NXP Semiconductors")</f>
        <v>NXP Semiconductors</v>
      </c>
      <c r="C14518" s="6">
        <v>60000</v>
      </c>
      <c r="D14518" s="7">
        <v>0.15</v>
      </c>
    </row>
    <row r="14519" spans="1:4" x14ac:dyDescent="0.25">
      <c r="A14519" t="str">
        <f>HYPERLINK("https://www.773grp.com/globalSearch/PDZ3.6B115/page-1", "PDZ3.6B115")</f>
        <v>PDZ3.6B115</v>
      </c>
      <c r="B14519" s="3" t="str">
        <f>HYPERLINK("https://www.773grp.com/manufacturer/nxp-semiconductor?pageNo=46", "NXP Semiconductors")</f>
        <v>NXP Semiconductors</v>
      </c>
      <c r="C14519" s="6">
        <v>88633</v>
      </c>
      <c r="D14519" s="7">
        <v>0.15</v>
      </c>
    </row>
    <row r="14520" spans="1:4" x14ac:dyDescent="0.25">
      <c r="A14520" t="str">
        <f>HYPERLINK("https://www.773grp.com/globalSearch/PDZ3.9B115/page-1", "PDZ3.9B115")</f>
        <v>PDZ3.9B115</v>
      </c>
      <c r="B14520" s="3" t="str">
        <f>HYPERLINK("https://www.773grp.com/manufacturer/nxp-semiconductor?pageNo=47", "NXP Semiconductors")</f>
        <v>NXP Semiconductors</v>
      </c>
      <c r="C14520" s="6">
        <v>135000</v>
      </c>
      <c r="D14520" s="7">
        <v>0.15</v>
      </c>
    </row>
    <row r="14521" spans="1:4" x14ac:dyDescent="0.25">
      <c r="A14521" t="str">
        <f>HYPERLINK("https://www.773grp.com/globalSearch/PDZ30B115/page-1", "PDZ30B115")</f>
        <v>PDZ30B115</v>
      </c>
      <c r="B14521" s="3" t="str">
        <f>HYPERLINK("https://www.773grp.com/manufacturer/nxp-semiconductor?pageNo=48", "NXP Semiconductors")</f>
        <v>NXP Semiconductors</v>
      </c>
      <c r="C14521" s="6">
        <v>1500</v>
      </c>
      <c r="D14521" s="7">
        <v>0.15</v>
      </c>
    </row>
    <row r="14522" spans="1:4" x14ac:dyDescent="0.25">
      <c r="A14522" t="str">
        <f>HYPERLINK("https://www.773grp.com/globalSearch/PDZ33B115/page-1", "PDZ33B115")</f>
        <v>PDZ33B115</v>
      </c>
      <c r="B14522" s="3" t="str">
        <f>HYPERLINK("https://www.773grp.com/manufacturer/nxp-semiconductor?pageNo=1", "NXP Semiconductors")</f>
        <v>NXP Semiconductors</v>
      </c>
      <c r="C14522" s="6">
        <v>33000</v>
      </c>
      <c r="D14522" s="7">
        <v>0.15</v>
      </c>
    </row>
    <row r="14523" spans="1:4" x14ac:dyDescent="0.25">
      <c r="A14523" t="str">
        <f>HYPERLINK("https://www.773grp.com/globalSearch/PDZ36B115/page-1", "PDZ36B115")</f>
        <v>PDZ36B115</v>
      </c>
      <c r="B14523" s="3" t="str">
        <f>HYPERLINK("https://www.773grp.com/manufacturer/nxp-semiconductor?pageNo=2", "NXP Semiconductors")</f>
        <v>NXP Semiconductors</v>
      </c>
      <c r="C14523" s="6">
        <v>147000</v>
      </c>
      <c r="D14523" s="7">
        <v>0.15</v>
      </c>
    </row>
    <row r="14524" spans="1:4" x14ac:dyDescent="0.25">
      <c r="A14524" t="str">
        <f>HYPERLINK("https://www.773grp.com/globalSearch/PDZ4.3B115/page-1", "PDZ4.3B115")</f>
        <v>PDZ4.3B115</v>
      </c>
      <c r="B14524" s="3" t="str">
        <f>HYPERLINK("https://www.773grp.com/manufacturer/nxp-semiconductor?pageNo=3", "NXP Semiconductors")</f>
        <v>NXP Semiconductors</v>
      </c>
      <c r="C14524" s="6">
        <v>60000</v>
      </c>
      <c r="D14524" s="7">
        <v>0.15</v>
      </c>
    </row>
    <row r="14525" spans="1:4" x14ac:dyDescent="0.25">
      <c r="A14525" t="str">
        <f>HYPERLINK("https://www.773grp.com/globalSearch/PDZ4.7B115/page-1", "PDZ4.7B115")</f>
        <v>PDZ4.7B115</v>
      </c>
      <c r="B14525" s="3" t="str">
        <f>HYPERLINK("https://www.773grp.com/manufacturer/nxp-semiconductor?pageNo=4", "NXP Semiconductors")</f>
        <v>NXP Semiconductors</v>
      </c>
      <c r="C14525" s="6">
        <v>231000</v>
      </c>
      <c r="D14525" s="7">
        <v>0.15</v>
      </c>
    </row>
    <row r="14526" spans="1:4" x14ac:dyDescent="0.25">
      <c r="A14526" t="str">
        <f>HYPERLINK("https://www.773grp.com/globalSearch/PDZ6.2B115/page-1", "PDZ6.2B115")</f>
        <v>PDZ6.2B115</v>
      </c>
      <c r="B14526" s="3" t="str">
        <f>HYPERLINK("https://www.773grp.com/manufacturer/nxp-semiconductor?pageNo=5", "NXP Semiconductors")</f>
        <v>NXP Semiconductors</v>
      </c>
      <c r="C14526" s="6">
        <v>78000</v>
      </c>
      <c r="D14526" s="7">
        <v>0.15</v>
      </c>
    </row>
    <row r="14527" spans="1:4" x14ac:dyDescent="0.25">
      <c r="A14527" t="str">
        <f>HYPERLINK("https://www.773grp.com/globalSearch/PDZ6.8B115/page-1", "PDZ6.8B115")</f>
        <v>PDZ6.8B115</v>
      </c>
      <c r="B14527" s="3" t="str">
        <f>HYPERLINK("https://www.773grp.com/manufacturer/nxp-semiconductor?pageNo=6", "NXP Semiconductors")</f>
        <v>NXP Semiconductors</v>
      </c>
      <c r="C14527" s="6">
        <v>42000</v>
      </c>
      <c r="D14527" s="7">
        <v>0.15</v>
      </c>
    </row>
    <row r="14528" spans="1:4" x14ac:dyDescent="0.25">
      <c r="A14528" t="str">
        <f>HYPERLINK("https://www.773grp.com/globalSearch/PDZ8.2B115/page-1", "PDZ8.2B115")</f>
        <v>PDZ8.2B115</v>
      </c>
      <c r="B14528" s="3" t="str">
        <f>HYPERLINK("https://www.773grp.com/manufacturer/nxp-semiconductor?pageNo=7", "NXP Semiconductors")</f>
        <v>NXP Semiconductors</v>
      </c>
      <c r="C14528" s="6">
        <v>7214</v>
      </c>
      <c r="D14528" s="7">
        <v>0.15</v>
      </c>
    </row>
    <row r="14529" spans="1:4" x14ac:dyDescent="0.25">
      <c r="A14529" t="str">
        <f>HYPERLINK("https://www.773grp.com/globalSearch/PDZ9.1B115/page-1", "PDZ9.1B115")</f>
        <v>PDZ9.1B115</v>
      </c>
      <c r="B14529" s="3" t="str">
        <f>HYPERLINK("https://www.773grp.com/manufacturer/nxp-semiconductor?pageNo=8", "NXP Semiconductors")</f>
        <v>NXP Semiconductors</v>
      </c>
      <c r="C14529" s="6">
        <v>85500</v>
      </c>
      <c r="D14529" s="7">
        <v>0.15</v>
      </c>
    </row>
    <row r="14530" spans="1:4" x14ac:dyDescent="0.25">
      <c r="A14530" t="str">
        <f>HYPERLINK("https://www.773grp.com/globalSearch/PIMD2115/page-1", "PIMD2115")</f>
        <v>PIMD2115</v>
      </c>
      <c r="B14530" s="3" t="str">
        <f>HYPERLINK("https://www.773grp.com/manufacturer/nxp-semiconductor?pageNo=9", "NXP Semiconductors")</f>
        <v>NXP Semiconductors</v>
      </c>
      <c r="C14530" s="6">
        <v>27000</v>
      </c>
      <c r="D14530" s="7">
        <v>0.15</v>
      </c>
    </row>
    <row r="14531" spans="1:4" x14ac:dyDescent="0.25">
      <c r="A14531" t="str">
        <f>HYPERLINK("https://www.773grp.com/globalSearch/PMBT2369215/page-1", "PMBT2369215")</f>
        <v>PMBT2369215</v>
      </c>
      <c r="B14531" s="3" t="str">
        <f>HYPERLINK("https://www.773grp.com/manufacturer/nxp-semiconductor?pageNo=10", "NXP Semiconductors")</f>
        <v>NXP Semiconductors</v>
      </c>
      <c r="C14531" s="6">
        <v>156000</v>
      </c>
      <c r="D14531" s="7">
        <v>0.15</v>
      </c>
    </row>
    <row r="14532" spans="1:4" x14ac:dyDescent="0.25">
      <c r="A14532" t="str">
        <f>HYPERLINK("https://www.773grp.com/globalSearch/PMBT3904YS115/page-1", "PMBT3904YS115")</f>
        <v>PMBT3904YS115</v>
      </c>
      <c r="B14532" s="3" t="str">
        <f>HYPERLINK("https://www.773grp.com/manufacturer/nxp-semiconductor?pageNo=11", "NXP Semiconductors")</f>
        <v>NXP Semiconductors</v>
      </c>
      <c r="C14532" s="6">
        <v>81140</v>
      </c>
      <c r="D14532" s="7">
        <v>0.15</v>
      </c>
    </row>
    <row r="14533" spans="1:4" x14ac:dyDescent="0.25">
      <c r="A14533" t="str">
        <f>HYPERLINK("https://www.773grp.com/globalSearch/PMBT3906YS115/page-1", "PMBT3906YS115")</f>
        <v>PMBT3906YS115</v>
      </c>
      <c r="B14533" s="3" t="str">
        <f>HYPERLINK("https://www.773grp.com/manufacturer/nxp-semiconductor?pageNo=12", "NXP Semiconductors")</f>
        <v>NXP Semiconductors</v>
      </c>
      <c r="C14533" s="6">
        <v>200</v>
      </c>
      <c r="D14533" s="7">
        <v>0.15</v>
      </c>
    </row>
    <row r="14534" spans="1:4" x14ac:dyDescent="0.25">
      <c r="A14534" t="str">
        <f>HYPERLINK("https://www.773grp.com/globalSearch/PMBT3946YPN115/page-1", "PMBT3946YPN115")</f>
        <v>PMBT3946YPN115</v>
      </c>
      <c r="B14534" s="3" t="str">
        <f>HYPERLINK("https://www.773grp.com/manufacturer/nxp-semiconductor?pageNo=13", "NXP Semiconductors")</f>
        <v>NXP Semiconductors</v>
      </c>
      <c r="C14534" s="6">
        <v>54000</v>
      </c>
      <c r="D14534" s="7">
        <v>0.15</v>
      </c>
    </row>
    <row r="14535" spans="1:4" x14ac:dyDescent="0.25">
      <c r="A14535" t="str">
        <f>HYPERLINK("https://www.773grp.com/globalSearch/PMBT3946YPN125/page-1", "PMBT3946YPN125")</f>
        <v>PMBT3946YPN125</v>
      </c>
      <c r="B14535" s="3" t="str">
        <f>HYPERLINK("https://www.773grp.com/manufacturer/nxp-semiconductor?pageNo=14", "NXP Semiconductors")</f>
        <v>NXP Semiconductors</v>
      </c>
      <c r="C14535" s="6">
        <v>12000</v>
      </c>
      <c r="D14535" s="7">
        <v>0.15</v>
      </c>
    </row>
    <row r="14536" spans="1:4" x14ac:dyDescent="0.25">
      <c r="A14536" t="str">
        <f>HYPERLINK("https://www.773grp.com/globalSearch/PMBT4401215/page-1", "PMBT4401215")</f>
        <v>PMBT4401215</v>
      </c>
      <c r="B14536" s="3" t="str">
        <f>HYPERLINK("https://www.773grp.com/manufacturer/nxp-semiconductor?pageNo=15", "NXP Semiconductors")</f>
        <v>NXP Semiconductors</v>
      </c>
      <c r="C14536" s="6">
        <v>207000</v>
      </c>
      <c r="D14536" s="7">
        <v>0.15</v>
      </c>
    </row>
    <row r="14537" spans="1:4" x14ac:dyDescent="0.25">
      <c r="A14537" t="str">
        <f>HYPERLINK("https://www.773grp.com/globalSearch/PMBT4401235/page-1", "PMBT4401235")</f>
        <v>PMBT4401235</v>
      </c>
      <c r="B14537" s="3" t="str">
        <f>HYPERLINK("https://www.773grp.com/manufacturer/nxp-semiconductor?pageNo=16", "NXP Semiconductors")</f>
        <v>NXP Semiconductors</v>
      </c>
      <c r="C14537" s="6">
        <v>100000</v>
      </c>
      <c r="D14537" s="7">
        <v>0.15</v>
      </c>
    </row>
    <row r="14538" spans="1:4" x14ac:dyDescent="0.25">
      <c r="A14538" t="str">
        <f>HYPERLINK("https://www.773grp.com/globalSearch/PMBT4403235/page-1", "PMBT4403235")</f>
        <v>PMBT4403235</v>
      </c>
      <c r="B14538" s="3" t="str">
        <f>HYPERLINK("https://www.773grp.com/manufacturer/nxp-semiconductor?pageNo=17", "NXP Semiconductors")</f>
        <v>NXP Semiconductors</v>
      </c>
      <c r="C14538" s="6">
        <v>60000</v>
      </c>
      <c r="D14538" s="7">
        <v>0.15</v>
      </c>
    </row>
    <row r="14539" spans="1:4" x14ac:dyDescent="0.25">
      <c r="A14539" t="str">
        <f>HYPERLINK("https://www.773grp.com/globalSearch/PMBT6428215/page-1", "PMBT6428215")</f>
        <v>PMBT6428215</v>
      </c>
      <c r="B14539" s="3" t="str">
        <f>HYPERLINK("https://www.773grp.com/manufacturer/nxp-semiconductor?pageNo=18", "NXP Semiconductors")</f>
        <v>NXP Semiconductors</v>
      </c>
      <c r="C14539" s="6">
        <v>495000</v>
      </c>
      <c r="D14539" s="7">
        <v>0.15</v>
      </c>
    </row>
    <row r="14540" spans="1:4" x14ac:dyDescent="0.25">
      <c r="A14540" t="str">
        <f>HYPERLINK("https://www.773grp.com/globalSearch/PMBT6429215/page-1", "PMBT6429215")</f>
        <v>PMBT6429215</v>
      </c>
      <c r="B14540" s="3" t="str">
        <f>HYPERLINK("https://www.773grp.com/manufacturer/nxp-semiconductor?pageNo=19", "NXP Semiconductors")</f>
        <v>NXP Semiconductors</v>
      </c>
      <c r="C14540" s="6">
        <v>931</v>
      </c>
      <c r="D14540" s="7">
        <v>0.15</v>
      </c>
    </row>
    <row r="14541" spans="1:4" x14ac:dyDescent="0.25">
      <c r="A14541" t="str">
        <f>HYPERLINK("https://www.773grp.com/globalSearch/PMBTA06215/page-1", "PMBTA06215")</f>
        <v>PMBTA06215</v>
      </c>
      <c r="B14541" s="3" t="str">
        <f>HYPERLINK("https://www.773grp.com/manufacturer/nxp-semiconductor?pageNo=20", "NXP Semiconductors")</f>
        <v>NXP Semiconductors</v>
      </c>
      <c r="C14541" s="6">
        <v>1467000</v>
      </c>
      <c r="D14541" s="7">
        <v>0.15</v>
      </c>
    </row>
    <row r="14542" spans="1:4" x14ac:dyDescent="0.25">
      <c r="A14542" t="str">
        <f>HYPERLINK("https://www.773grp.com/globalSearch/PMBTA06235/page-1", "PMBTA06235")</f>
        <v>PMBTA06235</v>
      </c>
      <c r="B14542" s="3" t="str">
        <f>HYPERLINK("https://www.773grp.com/manufacturer/nxp-semiconductor?pageNo=21", "NXP Semiconductors")</f>
        <v>NXP Semiconductors</v>
      </c>
      <c r="C14542" s="6">
        <v>30000</v>
      </c>
      <c r="D14542" s="7">
        <v>0.15</v>
      </c>
    </row>
    <row r="14543" spans="1:4" x14ac:dyDescent="0.25">
      <c r="A14543" t="str">
        <f>HYPERLINK("https://www.773grp.com/globalSearch/PMBTA56235/page-1", "PMBTA56235")</f>
        <v>PMBTA56235</v>
      </c>
      <c r="B14543" s="3" t="str">
        <f>HYPERLINK("https://www.773grp.com/manufacturer/nxp-semiconductor?pageNo=22", "NXP Semiconductors")</f>
        <v>NXP Semiconductors</v>
      </c>
      <c r="C14543" s="6">
        <v>40000</v>
      </c>
      <c r="D14543" s="7">
        <v>0.15</v>
      </c>
    </row>
    <row r="14544" spans="1:4" x14ac:dyDescent="0.25">
      <c r="A14544" t="str">
        <f>HYPERLINK("https://www.773grp.com/globalSearch/PMSS3906115/page-1", "PMSS3906115")</f>
        <v>PMSS3906115</v>
      </c>
      <c r="B14544" s="3" t="str">
        <f>HYPERLINK("https://www.773grp.com/manufacturer/nxp-semiconductor?pageNo=23", "NXP Semiconductors")</f>
        <v>NXP Semiconductors</v>
      </c>
      <c r="C14544" s="6">
        <v>39000</v>
      </c>
      <c r="D14544" s="7">
        <v>0.15</v>
      </c>
    </row>
    <row r="14545" spans="1:4" x14ac:dyDescent="0.25">
      <c r="A14545" t="str">
        <f>HYPERLINK("https://www.773grp.com/globalSearch/PMST2369115/page-1", "PMST2369115")</f>
        <v>PMST2369115</v>
      </c>
      <c r="B14545" s="3" t="str">
        <f>HYPERLINK("https://www.773grp.com/manufacturer/nxp-semiconductor?pageNo=24", "NXP Semiconductors")</f>
        <v>NXP Semiconductors</v>
      </c>
      <c r="C14545" s="6">
        <v>2500</v>
      </c>
      <c r="D14545" s="7">
        <v>0.15</v>
      </c>
    </row>
    <row r="14546" spans="1:4" x14ac:dyDescent="0.25">
      <c r="A14546" t="str">
        <f>HYPERLINK("https://www.773grp.com/globalSearch/PMST4401115/page-1", "PMST4401115")</f>
        <v>PMST4401115</v>
      </c>
      <c r="B14546" s="3" t="str">
        <f>HYPERLINK("https://www.773grp.com/manufacturer/nxp-semiconductor?pageNo=25", "NXP Semiconductors")</f>
        <v>NXP Semiconductors</v>
      </c>
      <c r="C14546" s="6">
        <v>42000</v>
      </c>
      <c r="D14546" s="7">
        <v>0.15</v>
      </c>
    </row>
    <row r="14547" spans="1:4" x14ac:dyDescent="0.25">
      <c r="A14547" t="str">
        <f>HYPERLINK("https://www.773grp.com/globalSearch/PMST4403115/page-1", "PMST4403115")</f>
        <v>PMST4403115</v>
      </c>
      <c r="B14547" s="3" t="str">
        <f>HYPERLINK("https://www.773grp.com/manufacturer/nxp-semiconductor?pageNo=26", "NXP Semiconductors")</f>
        <v>NXP Semiconductors</v>
      </c>
      <c r="C14547" s="6">
        <v>119795</v>
      </c>
      <c r="D14547" s="7">
        <v>0.15</v>
      </c>
    </row>
    <row r="14548" spans="1:4" x14ac:dyDescent="0.25">
      <c r="A14548" t="str">
        <f>HYPERLINK("https://www.773grp.com/globalSearch/PMST5089115/page-1", "PMST5089115")</f>
        <v>PMST5089115</v>
      </c>
      <c r="B14548" s="3" t="str">
        <f>HYPERLINK("https://www.773grp.com/manufacturer/nxp-semiconductor?pageNo=27", "NXP Semiconductors")</f>
        <v>NXP Semiconductors</v>
      </c>
      <c r="C14548" s="6">
        <v>22790</v>
      </c>
      <c r="D14548" s="7">
        <v>0.15</v>
      </c>
    </row>
    <row r="14549" spans="1:4" x14ac:dyDescent="0.25">
      <c r="A14549" t="str">
        <f>HYPERLINK("https://www.773grp.com/globalSearch/PMST6428135/page-1", "PMST6428135")</f>
        <v>PMST6428135</v>
      </c>
      <c r="B14549" s="3" t="str">
        <f>HYPERLINK("https://www.773grp.com/manufacturer/nxp-semiconductor?pageNo=28", "NXP Semiconductors")</f>
        <v>NXP Semiconductors</v>
      </c>
      <c r="C14549" s="6">
        <v>9000</v>
      </c>
      <c r="D14549" s="7">
        <v>0.15</v>
      </c>
    </row>
    <row r="14550" spans="1:4" x14ac:dyDescent="0.25">
      <c r="A14550" t="str">
        <f>HYPERLINK("https://www.773grp.com/globalSearch/PMSTA05115/page-1", "PMSTA05115")</f>
        <v>PMSTA05115</v>
      </c>
      <c r="B14550" s="3" t="str">
        <f>HYPERLINK("https://www.773grp.com/manufacturer/nxp-semiconductor?pageNo=29", "NXP Semiconductors")</f>
        <v>NXP Semiconductors</v>
      </c>
      <c r="C14550" s="6">
        <v>48000</v>
      </c>
      <c r="D14550" s="7">
        <v>0.15</v>
      </c>
    </row>
    <row r="14551" spans="1:4" x14ac:dyDescent="0.25">
      <c r="A14551" t="str">
        <f>HYPERLINK("https://www.773grp.com/globalSearch/PMSTA06115/page-1", "PMSTA06115")</f>
        <v>PMSTA06115</v>
      </c>
      <c r="B14551" s="3" t="str">
        <f>HYPERLINK("https://www.773grp.com/manufacturer/nxp-semiconductor?pageNo=30", "NXP Semiconductors")</f>
        <v>NXP Semiconductors</v>
      </c>
      <c r="C14551" s="6">
        <v>64440</v>
      </c>
      <c r="D14551" s="7">
        <v>0.15</v>
      </c>
    </row>
    <row r="14552" spans="1:4" x14ac:dyDescent="0.25">
      <c r="A14552" t="str">
        <f>HYPERLINK("https://www.773grp.com/globalSearch/PMSTA55115/page-1", "PMSTA55115")</f>
        <v>PMSTA55115</v>
      </c>
      <c r="B14552" s="3" t="str">
        <f>HYPERLINK("https://www.773grp.com/manufacturer/nxp-semiconductor?pageNo=31", "NXP Semiconductors")</f>
        <v>NXP Semiconductors</v>
      </c>
      <c r="C14552" s="6">
        <v>17939</v>
      </c>
      <c r="D14552" s="7">
        <v>0.15</v>
      </c>
    </row>
    <row r="14553" spans="1:4" x14ac:dyDescent="0.25">
      <c r="A14553" t="str">
        <f>HYPERLINK("https://www.773grp.com/globalSearch/PUMB10115/page-1", "PUMB10115")</f>
        <v>PUMB10115</v>
      </c>
      <c r="B14553" s="3" t="str">
        <f>HYPERLINK("https://www.773grp.com/manufacturer/nxp-semiconductor?pageNo=32", "NXP Semiconductors")</f>
        <v>NXP Semiconductors</v>
      </c>
      <c r="C14553" s="6">
        <v>15255</v>
      </c>
      <c r="D14553" s="7">
        <v>0.15</v>
      </c>
    </row>
    <row r="14554" spans="1:4" x14ac:dyDescent="0.25">
      <c r="A14554" t="str">
        <f>HYPERLINK("https://www.773grp.com/globalSearch/PUMB11115/page-1", "PUMB11115")</f>
        <v>PUMB11115</v>
      </c>
      <c r="B14554" s="3" t="str">
        <f>HYPERLINK("https://www.773grp.com/manufacturer/nxp-semiconductor?pageNo=33", "NXP Semiconductors")</f>
        <v>NXP Semiconductors</v>
      </c>
      <c r="C14554" s="6">
        <v>771000</v>
      </c>
      <c r="D14554" s="7">
        <v>0.15</v>
      </c>
    </row>
    <row r="14555" spans="1:4" x14ac:dyDescent="0.25">
      <c r="A14555" t="str">
        <f>HYPERLINK("https://www.773grp.com/globalSearch/PUMB1115/page-1", "PUMB1115")</f>
        <v>PUMB1115</v>
      </c>
      <c r="B14555" s="3" t="str">
        <f>HYPERLINK("https://www.773grp.com/manufacturer/nxp-semiconductor?pageNo=34", "NXP Semiconductors")</f>
        <v>NXP Semiconductors</v>
      </c>
      <c r="C14555" s="6">
        <v>63000</v>
      </c>
      <c r="D14555" s="7">
        <v>0.15</v>
      </c>
    </row>
    <row r="14556" spans="1:4" x14ac:dyDescent="0.25">
      <c r="A14556" t="str">
        <f>HYPERLINK("https://www.773grp.com/globalSearch/PUMB14115/page-1", "PUMB14115")</f>
        <v>PUMB14115</v>
      </c>
      <c r="B14556" s="3" t="str">
        <f>HYPERLINK("https://www.773grp.com/manufacturer/nxp-semiconductor?pageNo=35", "NXP Semiconductors")</f>
        <v>NXP Semiconductors</v>
      </c>
      <c r="C14556" s="6">
        <v>6000</v>
      </c>
      <c r="D14556" s="7">
        <v>0.15</v>
      </c>
    </row>
    <row r="14557" spans="1:4" x14ac:dyDescent="0.25">
      <c r="A14557" t="str">
        <f>HYPERLINK("https://www.773grp.com/globalSearch/PUMB18115/page-1", "PUMB18115")</f>
        <v>PUMB18115</v>
      </c>
      <c r="B14557" s="3" t="str">
        <f>HYPERLINK("https://www.773grp.com/manufacturer/nxp-semiconductor?pageNo=36", "NXP Semiconductors")</f>
        <v>NXP Semiconductors</v>
      </c>
      <c r="C14557" s="6">
        <v>9000</v>
      </c>
      <c r="D14557" s="7">
        <v>0.15</v>
      </c>
    </row>
    <row r="14558" spans="1:4" x14ac:dyDescent="0.25">
      <c r="A14558" t="str">
        <f>HYPERLINK("https://www.773grp.com/globalSearch/PUMB19115/page-1", "PUMB19115")</f>
        <v>PUMB19115</v>
      </c>
      <c r="B14558" s="3" t="str">
        <f>HYPERLINK("https://www.773grp.com/manufacturer/nxp-semiconductor?pageNo=37", "NXP Semiconductors")</f>
        <v>NXP Semiconductors</v>
      </c>
      <c r="C14558" s="6">
        <v>90</v>
      </c>
      <c r="D14558" s="7">
        <v>0.15</v>
      </c>
    </row>
    <row r="14559" spans="1:4" x14ac:dyDescent="0.25">
      <c r="A14559" t="str">
        <f>HYPERLINK("https://www.773grp.com/globalSearch/PUMB2115/page-1", "PUMB2115")</f>
        <v>PUMB2115</v>
      </c>
      <c r="B14559" s="3" t="str">
        <f>HYPERLINK("https://www.773grp.com/manufacturer/nxp-semiconductor?pageNo=38", "NXP Semiconductors")</f>
        <v>NXP Semiconductors</v>
      </c>
      <c r="C14559" s="6">
        <v>1269</v>
      </c>
      <c r="D14559" s="7">
        <v>0.15</v>
      </c>
    </row>
    <row r="14560" spans="1:4" x14ac:dyDescent="0.25">
      <c r="A14560" t="str">
        <f>HYPERLINK("https://www.773grp.com/globalSearch/PUMB30115/page-1", "PUMB30115")</f>
        <v>PUMB30115</v>
      </c>
      <c r="B14560" s="3" t="str">
        <f>HYPERLINK("https://www.773grp.com/manufacturer/nxp-semiconductor?pageNo=39", "NXP Semiconductors")</f>
        <v>NXP Semiconductors</v>
      </c>
      <c r="C14560" s="6">
        <v>9000</v>
      </c>
      <c r="D14560" s="7">
        <v>0.15</v>
      </c>
    </row>
    <row r="14561" spans="1:4" x14ac:dyDescent="0.25">
      <c r="A14561" t="str">
        <f>HYPERLINK("https://www.773grp.com/globalSearch/PUMB4115/page-1", "PUMB4115")</f>
        <v>PUMB4115</v>
      </c>
      <c r="B14561" s="3" t="str">
        <f>HYPERLINK("https://www.773grp.com/manufacturer/nxp-semiconductor?pageNo=40", "NXP Semiconductors")</f>
        <v>NXP Semiconductors</v>
      </c>
      <c r="C14561" s="6">
        <v>1500</v>
      </c>
      <c r="D14561" s="7">
        <v>0.15</v>
      </c>
    </row>
    <row r="14562" spans="1:4" x14ac:dyDescent="0.25">
      <c r="A14562" t="str">
        <f>HYPERLINK("https://www.773grp.com/globalSearch/PUMB9115/page-1", "PUMB9115")</f>
        <v>PUMB9115</v>
      </c>
      <c r="B14562" s="3" t="str">
        <f>HYPERLINK("https://www.773grp.com/manufacturer/nxp-semiconductor?pageNo=41", "NXP Semiconductors")</f>
        <v>NXP Semiconductors</v>
      </c>
      <c r="C14562" s="6">
        <v>60000</v>
      </c>
      <c r="D14562" s="7">
        <v>0.15</v>
      </c>
    </row>
    <row r="14563" spans="1:4" x14ac:dyDescent="0.25">
      <c r="A14563" t="str">
        <f>HYPERLINK("https://www.773grp.com/globalSearch/PUMD10115/page-1", "PUMD10115")</f>
        <v>PUMD10115</v>
      </c>
      <c r="B14563" s="3" t="str">
        <f>HYPERLINK("https://www.773grp.com/manufacturer/nxp-semiconductor?pageNo=42", "NXP Semiconductors")</f>
        <v>NXP Semiconductors</v>
      </c>
      <c r="C14563" s="6">
        <v>3000</v>
      </c>
      <c r="D14563" s="7">
        <v>0.15</v>
      </c>
    </row>
    <row r="14564" spans="1:4" x14ac:dyDescent="0.25">
      <c r="A14564" t="str">
        <f>HYPERLINK("https://www.773grp.com/globalSearch/PUMD13135/page-1", "PUMD13135")</f>
        <v>PUMD13135</v>
      </c>
      <c r="B14564" s="3" t="str">
        <f>HYPERLINK("https://www.773grp.com/manufacturer/nxp-semiconductor?pageNo=43", "NXP Semiconductors")</f>
        <v>NXP Semiconductors</v>
      </c>
      <c r="C14564" s="6">
        <v>20000</v>
      </c>
      <c r="D14564" s="7">
        <v>0.15</v>
      </c>
    </row>
    <row r="14565" spans="1:4" x14ac:dyDescent="0.25">
      <c r="A14565" t="str">
        <f>HYPERLINK("https://www.773grp.com/globalSearch/PUMD20115/page-1", "PUMD20115")</f>
        <v>PUMD20115</v>
      </c>
      <c r="B14565" s="3" t="str">
        <f>HYPERLINK("https://www.773grp.com/manufacturer/nxp-semiconductor?pageNo=44", "NXP Semiconductors")</f>
        <v>NXP Semiconductors</v>
      </c>
      <c r="C14565" s="6">
        <v>42000</v>
      </c>
      <c r="D14565" s="7">
        <v>0.15</v>
      </c>
    </row>
    <row r="14566" spans="1:4" x14ac:dyDescent="0.25">
      <c r="A14566" t="str">
        <f>HYPERLINK("https://www.773grp.com/globalSearch/PUMD2115/page-1", "PUMD2115")</f>
        <v>PUMD2115</v>
      </c>
      <c r="B14566" s="3" t="str">
        <f>HYPERLINK("https://www.773grp.com/manufacturer/nxp-semiconductor?pageNo=45", "NXP Semiconductors")</f>
        <v>NXP Semiconductors</v>
      </c>
      <c r="C14566" s="6">
        <v>3000</v>
      </c>
      <c r="D14566" s="7">
        <v>0.15</v>
      </c>
    </row>
    <row r="14567" spans="1:4" x14ac:dyDescent="0.25">
      <c r="A14567" t="str">
        <f>HYPERLINK("https://www.773grp.com/globalSearch/PUMD3115/page-1", "PUMD3115")</f>
        <v>PUMD3115</v>
      </c>
      <c r="B14567" s="3" t="str">
        <f>HYPERLINK("https://www.773grp.com/manufacturer/nxp-semiconductor?pageNo=46", "NXP Semiconductors")</f>
        <v>NXP Semiconductors</v>
      </c>
      <c r="C14567" s="6">
        <v>21000</v>
      </c>
      <c r="D14567" s="7">
        <v>0.15</v>
      </c>
    </row>
    <row r="14568" spans="1:4" x14ac:dyDescent="0.25">
      <c r="A14568" t="str">
        <f>HYPERLINK("https://www.773grp.com/globalSearch/PUMD4115/page-1", "PUMD4115")</f>
        <v>PUMD4115</v>
      </c>
      <c r="B14568" s="3" t="str">
        <f>HYPERLINK("https://www.773grp.com/manufacturer/nxp-semiconductor?pageNo=47", "NXP Semiconductors")</f>
        <v>NXP Semiconductors</v>
      </c>
      <c r="C14568" s="6">
        <v>6000</v>
      </c>
      <c r="D14568" s="7">
        <v>0.15</v>
      </c>
    </row>
    <row r="14569" spans="1:4" x14ac:dyDescent="0.25">
      <c r="A14569" t="str">
        <f>HYPERLINK("https://www.773grp.com/globalSearch/PUMD48115/page-1", "PUMD48115")</f>
        <v>PUMD48115</v>
      </c>
      <c r="B14569" s="3" t="str">
        <f>HYPERLINK("https://www.773grp.com/manufacturer/nxp-semiconductor?pageNo=48", "NXP Semiconductors")</f>
        <v>NXP Semiconductors</v>
      </c>
      <c r="C14569" s="6">
        <v>25320</v>
      </c>
      <c r="D14569" s="7">
        <v>0.15</v>
      </c>
    </row>
    <row r="14570" spans="1:4" x14ac:dyDescent="0.25">
      <c r="A14570" t="str">
        <f>HYPERLINK("https://www.773grp.com/globalSearch/PUMD48125/page-1", "PUMD48125")</f>
        <v>PUMD48125</v>
      </c>
      <c r="B14570" s="3" t="str">
        <f>HYPERLINK("https://www.773grp.com/manufacturer/nxp-semiconductor?pageNo=1", "NXP Semiconductors")</f>
        <v>NXP Semiconductors</v>
      </c>
      <c r="C14570" s="6">
        <v>9000</v>
      </c>
      <c r="D14570" s="7">
        <v>0.15</v>
      </c>
    </row>
    <row r="14571" spans="1:4" x14ac:dyDescent="0.25">
      <c r="A14571" t="str">
        <f>HYPERLINK("https://www.773grp.com/globalSearch/PUMD6115/page-1", "PUMD6115")</f>
        <v>PUMD6115</v>
      </c>
      <c r="B14571" s="3" t="str">
        <f>HYPERLINK("https://www.773grp.com/manufacturer/nxp-semiconductor?pageNo=2", "NXP Semiconductors")</f>
        <v>NXP Semiconductors</v>
      </c>
      <c r="C14571" s="6">
        <v>135000</v>
      </c>
      <c r="D14571" s="7">
        <v>0.15</v>
      </c>
    </row>
    <row r="14572" spans="1:4" x14ac:dyDescent="0.25">
      <c r="A14572" t="str">
        <f>HYPERLINK("https://www.773grp.com/globalSearch/PUMD6135/page-1", "PUMD6135")</f>
        <v>PUMD6135</v>
      </c>
      <c r="B14572" s="3" t="str">
        <f>HYPERLINK("https://www.773grp.com/manufacturer/nxp-semiconductor?pageNo=3", "NXP Semiconductors")</f>
        <v>NXP Semiconductors</v>
      </c>
      <c r="C14572" s="6">
        <v>20000</v>
      </c>
      <c r="D14572" s="7">
        <v>0.15</v>
      </c>
    </row>
    <row r="14573" spans="1:4" x14ac:dyDescent="0.25">
      <c r="A14573" t="str">
        <f>HYPERLINK("https://www.773grp.com/globalSearch/PUMD9115/page-1", "PUMD9115")</f>
        <v>PUMD9115</v>
      </c>
      <c r="B14573" s="3" t="str">
        <f>HYPERLINK("https://www.773grp.com/manufacturer/nxp-semiconductor?pageNo=4", "NXP Semiconductors")</f>
        <v>NXP Semiconductors</v>
      </c>
      <c r="C14573" s="6">
        <v>2865</v>
      </c>
      <c r="D14573" s="7">
        <v>0.15</v>
      </c>
    </row>
    <row r="14574" spans="1:4" x14ac:dyDescent="0.25">
      <c r="A14574" t="str">
        <f>HYPERLINK("https://www.773grp.com/globalSearch/PUMD9135/page-1", "PUMD9135")</f>
        <v>PUMD9135</v>
      </c>
      <c r="B14574" s="3" t="str">
        <f>HYPERLINK("https://www.773grp.com/manufacturer/nxp-semiconductor?pageNo=5", "NXP Semiconductors")</f>
        <v>NXP Semiconductors</v>
      </c>
      <c r="C14574" s="6">
        <v>1100</v>
      </c>
      <c r="D14574" s="7">
        <v>0.15</v>
      </c>
    </row>
    <row r="14575" spans="1:4" x14ac:dyDescent="0.25">
      <c r="A14575" t="str">
        <f>HYPERLINK("https://www.773grp.com/globalSearch/PUMD9165/page-1", "PUMD9165")</f>
        <v>PUMD9165</v>
      </c>
      <c r="B14575" s="3" t="str">
        <f>HYPERLINK("https://www.773grp.com/manufacturer/nxp-semiconductor?pageNo=6", "NXP Semiconductors")</f>
        <v>NXP Semiconductors</v>
      </c>
      <c r="C14575" s="6">
        <v>20000</v>
      </c>
      <c r="D14575" s="7">
        <v>0.15</v>
      </c>
    </row>
    <row r="14576" spans="1:4" x14ac:dyDescent="0.25">
      <c r="A14576" t="str">
        <f>HYPERLINK("https://www.773grp.com/globalSearch/PUMH11115/page-1", "PUMH11115")</f>
        <v>PUMH11115</v>
      </c>
      <c r="B14576" s="3" t="str">
        <f>HYPERLINK("https://www.773grp.com/manufacturer/nxp-semiconductor?pageNo=7", "NXP Semiconductors")</f>
        <v>NXP Semiconductors</v>
      </c>
      <c r="C14576" s="6">
        <v>96000</v>
      </c>
      <c r="D14576" s="7">
        <v>0.15</v>
      </c>
    </row>
    <row r="14577" spans="1:4" x14ac:dyDescent="0.25">
      <c r="A14577" t="str">
        <f>HYPERLINK("https://www.773grp.com/globalSearch/PUMH1115/page-1", "PUMH1115")</f>
        <v>PUMH1115</v>
      </c>
      <c r="B14577" s="3" t="str">
        <f>HYPERLINK("https://www.773grp.com/manufacturer/nxp-semiconductor?pageNo=8", "NXP Semiconductors")</f>
        <v>NXP Semiconductors</v>
      </c>
      <c r="C14577" s="6">
        <v>21083</v>
      </c>
      <c r="D14577" s="7">
        <v>0.15</v>
      </c>
    </row>
    <row r="14578" spans="1:4" x14ac:dyDescent="0.25">
      <c r="A14578" t="str">
        <f>HYPERLINK("https://www.773grp.com/globalSearch/PUMH14115/page-1", "PUMH14115")</f>
        <v>PUMH14115</v>
      </c>
      <c r="B14578" s="3" t="str">
        <f>HYPERLINK("https://www.773grp.com/manufacturer/nxp-semiconductor?pageNo=9", "NXP Semiconductors")</f>
        <v>NXP Semiconductors</v>
      </c>
      <c r="C14578" s="6">
        <v>27000</v>
      </c>
      <c r="D14578" s="7">
        <v>0.15</v>
      </c>
    </row>
    <row r="14579" spans="1:4" x14ac:dyDescent="0.25">
      <c r="A14579" t="str">
        <f>HYPERLINK("https://www.773grp.com/globalSearch/PUMH16115/page-1", "PUMH16115")</f>
        <v>PUMH16115</v>
      </c>
      <c r="B14579" s="3" t="str">
        <f>HYPERLINK("https://www.773grp.com/manufacturer/nxp-semiconductor?pageNo=10", "NXP Semiconductors")</f>
        <v>NXP Semiconductors</v>
      </c>
      <c r="C14579" s="6">
        <v>42000</v>
      </c>
      <c r="D14579" s="7">
        <v>0.15</v>
      </c>
    </row>
    <row r="14580" spans="1:4" x14ac:dyDescent="0.25">
      <c r="A14580" t="str">
        <f>HYPERLINK("https://www.773grp.com/globalSearch/PUMH18115/page-1", "PUMH18115")</f>
        <v>PUMH18115</v>
      </c>
      <c r="B14580" s="3" t="str">
        <f>HYPERLINK("https://www.773grp.com/manufacturer/nxp-semiconductor?pageNo=11", "NXP Semiconductors")</f>
        <v>NXP Semiconductors</v>
      </c>
      <c r="C14580" s="6">
        <v>1500</v>
      </c>
      <c r="D14580" s="7">
        <v>0.15</v>
      </c>
    </row>
    <row r="14581" spans="1:4" x14ac:dyDescent="0.25">
      <c r="A14581" t="str">
        <f>HYPERLINK("https://www.773grp.com/globalSearch/PUMH19115/page-1", "PUMH19115")</f>
        <v>PUMH19115</v>
      </c>
      <c r="B14581" s="3" t="str">
        <f>HYPERLINK("https://www.773grp.com/manufacturer/nxp-semiconductor?pageNo=12", "NXP Semiconductors")</f>
        <v>NXP Semiconductors</v>
      </c>
      <c r="C14581" s="6">
        <v>11948</v>
      </c>
      <c r="D14581" s="7">
        <v>0.15</v>
      </c>
    </row>
    <row r="14582" spans="1:4" x14ac:dyDescent="0.25">
      <c r="A14582" t="str">
        <f>HYPERLINK("https://www.773grp.com/globalSearch/PUMH2115/page-1", "PUMH2115")</f>
        <v>PUMH2115</v>
      </c>
      <c r="B14582" s="3" t="str">
        <f>HYPERLINK("https://www.773grp.com/manufacturer/nxp-semiconductor?pageNo=13", "NXP Semiconductors")</f>
        <v>NXP Semiconductors</v>
      </c>
      <c r="C14582" s="6">
        <v>300000</v>
      </c>
      <c r="D14582" s="7">
        <v>0.15</v>
      </c>
    </row>
    <row r="14583" spans="1:4" x14ac:dyDescent="0.25">
      <c r="A14583" t="str">
        <f>HYPERLINK("https://www.773grp.com/globalSearch/PUMH7115/page-1", "PUMH7115")</f>
        <v>PUMH7115</v>
      </c>
      <c r="B14583" s="3" t="str">
        <f>HYPERLINK("https://www.773grp.com/manufacturer/nxp-semiconductor?pageNo=14", "NXP Semiconductors")</f>
        <v>NXP Semiconductors</v>
      </c>
      <c r="C14583" s="6">
        <v>180</v>
      </c>
      <c r="D14583" s="7">
        <v>0.15</v>
      </c>
    </row>
    <row r="14584" spans="1:4" x14ac:dyDescent="0.25">
      <c r="A14584" t="str">
        <f>HYPERLINK("https://www.773grp.com/globalSearch/PUMH9115/page-1", "PUMH9115")</f>
        <v>PUMH9115</v>
      </c>
      <c r="B14584" s="3" t="str">
        <f>HYPERLINK("https://www.773grp.com/manufacturer/nxp-semiconductor?pageNo=15", "NXP Semiconductors")</f>
        <v>NXP Semiconductors</v>
      </c>
      <c r="C14584" s="6">
        <v>390000</v>
      </c>
      <c r="D14584" s="7">
        <v>0.15</v>
      </c>
    </row>
    <row r="14585" spans="1:4" x14ac:dyDescent="0.25">
      <c r="A14585" t="str">
        <f>HYPERLINK("https://www.773grp.com/globalSearch/PUMT1115/page-1", "PUMT1115")</f>
        <v>PUMT1115</v>
      </c>
      <c r="B14585" s="3" t="str">
        <f>HYPERLINK("https://www.773grp.com/manufacturer/nxp-semiconductor?pageNo=16", "NXP Semiconductors")</f>
        <v>NXP Semiconductors</v>
      </c>
      <c r="C14585" s="6">
        <v>5164</v>
      </c>
      <c r="D14585" s="7">
        <v>0.15</v>
      </c>
    </row>
    <row r="14586" spans="1:4" x14ac:dyDescent="0.25">
      <c r="A14586" t="str">
        <f>HYPERLINK("https://www.773grp.com/globalSearch/PUMX1115/page-1", "PUMX1115")</f>
        <v>PUMX1115</v>
      </c>
      <c r="B14586" s="3" t="str">
        <f>HYPERLINK("https://www.773grp.com/manufacturer/nxp-semiconductor?pageNo=17", "NXP Semiconductors")</f>
        <v>NXP Semiconductors</v>
      </c>
      <c r="C14586" s="6">
        <v>99000</v>
      </c>
      <c r="D14586" s="7">
        <v>0.15</v>
      </c>
    </row>
    <row r="14587" spans="1:4" x14ac:dyDescent="0.25">
      <c r="A14587" t="str">
        <f>HYPERLINK("https://www.773grp.com/globalSearch/PUMX2115/page-1", "PUMX2115")</f>
        <v>PUMX2115</v>
      </c>
      <c r="B14587" s="3" t="str">
        <f>HYPERLINK("https://www.773grp.com/manufacturer/nxp-semiconductor?pageNo=18", "NXP Semiconductors")</f>
        <v>NXP Semiconductors</v>
      </c>
      <c r="C14587" s="6">
        <v>12000</v>
      </c>
      <c r="D14587" s="7">
        <v>0.15</v>
      </c>
    </row>
    <row r="14588" spans="1:4" x14ac:dyDescent="0.25">
      <c r="A14588" t="str">
        <f>HYPERLINK("https://www.773grp.com/globalSearch/PUMZ2115/page-1", "PUMZ2115")</f>
        <v>PUMZ2115</v>
      </c>
      <c r="B14588" s="3" t="str">
        <f>HYPERLINK("https://www.773grp.com/manufacturer/nxp-semiconductor?pageNo=19", "NXP Semiconductors")</f>
        <v>NXP Semiconductors</v>
      </c>
      <c r="C14588" s="6">
        <v>28475</v>
      </c>
      <c r="D14588" s="7">
        <v>0.15</v>
      </c>
    </row>
    <row r="14589" spans="1:4" x14ac:dyDescent="0.25">
      <c r="A14589" t="str">
        <f>HYPERLINK("https://www.773grp.com/globalSearch/PZU13B3A115/page-1", "PZU13B3A115")</f>
        <v>PZU13B3A115</v>
      </c>
      <c r="B14589" s="3" t="str">
        <f>HYPERLINK("https://www.773grp.com/manufacturer/nxp-semiconductor?pageNo=20", "NXP Semiconductors")</f>
        <v>NXP Semiconductors</v>
      </c>
      <c r="C14589" s="6">
        <v>8672</v>
      </c>
      <c r="D14589" s="7">
        <v>0.15</v>
      </c>
    </row>
    <row r="14590" spans="1:4" x14ac:dyDescent="0.25">
      <c r="A14590" t="str">
        <f>HYPERLINK("https://www.773grp.com/globalSearch/PZU18B1A115/page-1", "PZU18B1A115")</f>
        <v>PZU18B1A115</v>
      </c>
      <c r="B14590" s="3" t="str">
        <f>HYPERLINK("https://www.773grp.com/manufacturer/nxp-semiconductor?pageNo=21", "NXP Semiconductors")</f>
        <v>NXP Semiconductors</v>
      </c>
      <c r="C14590" s="6">
        <v>8980</v>
      </c>
      <c r="D14590" s="7">
        <v>0.15</v>
      </c>
    </row>
    <row r="14591" spans="1:4" x14ac:dyDescent="0.25">
      <c r="A14591" t="str">
        <f>HYPERLINK("https://www.773grp.com/globalSearch/PZU18B2A115/page-1", "PZU18B2A115")</f>
        <v>PZU18B2A115</v>
      </c>
      <c r="B14591" s="3" t="str">
        <f>HYPERLINK("https://www.773grp.com/manufacturer/nxp-semiconductor?pageNo=22", "NXP Semiconductors")</f>
        <v>NXP Semiconductors</v>
      </c>
      <c r="C14591" s="6">
        <v>6000</v>
      </c>
      <c r="D14591" s="7">
        <v>0.15</v>
      </c>
    </row>
    <row r="14592" spans="1:4" x14ac:dyDescent="0.25">
      <c r="A14592" t="str">
        <f>HYPERLINK("https://www.773grp.com/globalSearch/PZU20B1A115/page-1", "PZU20B1A115")</f>
        <v>PZU20B1A115</v>
      </c>
      <c r="B14592" s="3" t="str">
        <f>HYPERLINK("https://www.773grp.com/manufacturer/nxp-semiconductor?pageNo=23", "NXP Semiconductors")</f>
        <v>NXP Semiconductors</v>
      </c>
      <c r="C14592" s="6">
        <v>9000</v>
      </c>
      <c r="D14592" s="7">
        <v>0.15</v>
      </c>
    </row>
    <row r="14593" spans="1:4" x14ac:dyDescent="0.25">
      <c r="A14593" t="str">
        <f>HYPERLINK("https://www.773grp.com/globalSearch/PZU22B2A115/page-1", "PZU22B2A115")</f>
        <v>PZU22B2A115</v>
      </c>
      <c r="B14593" s="3" t="str">
        <f>HYPERLINK("https://www.773grp.com/manufacturer/nxp-semiconductor?pageNo=24", "NXP Semiconductors")</f>
        <v>NXP Semiconductors</v>
      </c>
      <c r="C14593" s="6">
        <v>9752</v>
      </c>
      <c r="D14593" s="7">
        <v>0.15</v>
      </c>
    </row>
    <row r="14594" spans="1:4" x14ac:dyDescent="0.25">
      <c r="A14594" t="str">
        <f>HYPERLINK("https://www.773grp.com/globalSearch/PZU3.9B1A115/page-1", "PZU3.9B1A115")</f>
        <v>PZU3.9B1A115</v>
      </c>
      <c r="B14594" s="3" t="str">
        <f>HYPERLINK("https://www.773grp.com/manufacturer/nxp-semiconductor?pageNo=25", "NXP Semiconductors")</f>
        <v>NXP Semiconductors</v>
      </c>
      <c r="C14594" s="6">
        <v>9000</v>
      </c>
      <c r="D14594" s="7">
        <v>0.15</v>
      </c>
    </row>
    <row r="14595" spans="1:4" x14ac:dyDescent="0.25">
      <c r="A14595" t="str">
        <f>HYPERLINK("https://www.773grp.com/globalSearch/PZU3.9B2A115/page-1", "PZU3.9B2A115")</f>
        <v>PZU3.9B2A115</v>
      </c>
      <c r="B14595" s="3" t="str">
        <f>HYPERLINK("https://www.773grp.com/manufacturer/nxp-semiconductor?pageNo=26", "NXP Semiconductors")</f>
        <v>NXP Semiconductors</v>
      </c>
      <c r="C14595" s="6">
        <v>6000</v>
      </c>
      <c r="D14595" s="7">
        <v>0.15</v>
      </c>
    </row>
    <row r="14596" spans="1:4" x14ac:dyDescent="0.25">
      <c r="A14596" t="str">
        <f>HYPERLINK("https://www.773grp.com/globalSearch/PZU4.3B3A115/page-1", "PZU4.3B3A115")</f>
        <v>PZU4.3B3A115</v>
      </c>
      <c r="B14596" s="3" t="str">
        <f>HYPERLINK("https://www.773grp.com/manufacturer/nxp-semiconductor?pageNo=27", "NXP Semiconductors")</f>
        <v>NXP Semiconductors</v>
      </c>
      <c r="C14596" s="6">
        <v>2089</v>
      </c>
      <c r="D14596" s="7">
        <v>0.15</v>
      </c>
    </row>
    <row r="14597" spans="1:4" x14ac:dyDescent="0.25">
      <c r="A14597" t="str">
        <f>HYPERLINK("https://www.773grp.com/globalSearch/PZU5.1B3A115/page-1", "PZU5.1B3A115")</f>
        <v>PZU5.1B3A115</v>
      </c>
      <c r="B14597" s="3" t="str">
        <f>HYPERLINK("https://www.773grp.com/manufacturer/nxp-semiconductor?pageNo=28", "NXP Semiconductors")</f>
        <v>NXP Semiconductors</v>
      </c>
      <c r="C14597" s="6">
        <v>9000</v>
      </c>
      <c r="D14597" s="7">
        <v>0.15</v>
      </c>
    </row>
    <row r="14598" spans="1:4" x14ac:dyDescent="0.25">
      <c r="A14598" t="str">
        <f>HYPERLINK("https://www.773grp.com/globalSearch/PZU6.2B2A115/page-1", "PZU6.2B2A115")</f>
        <v>PZU6.2B2A115</v>
      </c>
      <c r="B14598" s="3" t="str">
        <f>HYPERLINK("https://www.773grp.com/manufacturer/nxp-semiconductor?pageNo=29", "NXP Semiconductors")</f>
        <v>NXP Semiconductors</v>
      </c>
      <c r="C14598" s="6">
        <v>15000</v>
      </c>
      <c r="D14598" s="7">
        <v>0.15</v>
      </c>
    </row>
    <row r="14599" spans="1:4" x14ac:dyDescent="0.25">
      <c r="A14599" t="str">
        <f>HYPERLINK("https://www.773grp.com/globalSearch/PZU6.2B2L315/page-1", "PZU6.2B2L315")</f>
        <v>PZU6.2B2L315</v>
      </c>
      <c r="B14599" s="3" t="str">
        <f>HYPERLINK("https://www.773grp.com/manufacturer/nxp-semiconductor?pageNo=30", "NXP Semiconductors")</f>
        <v>NXP Semiconductors</v>
      </c>
      <c r="C14599" s="6">
        <v>30000</v>
      </c>
      <c r="D14599" s="7">
        <v>0.15</v>
      </c>
    </row>
    <row r="14600" spans="1:4" x14ac:dyDescent="0.25">
      <c r="A14600" t="str">
        <f>HYPERLINK("https://www.773grp.com/globalSearch/PZU7.5B3A115/page-1", "PZU7.5B3A115")</f>
        <v>PZU7.5B3A115</v>
      </c>
      <c r="B14600" s="3" t="str">
        <f>HYPERLINK("https://www.773grp.com/manufacturer/nxp-semiconductor?pageNo=31", "NXP Semiconductors")</f>
        <v>NXP Semiconductors</v>
      </c>
      <c r="C14600" s="6">
        <v>9000</v>
      </c>
      <c r="D14600" s="7">
        <v>0.15</v>
      </c>
    </row>
    <row r="14601" spans="1:4" x14ac:dyDescent="0.25">
      <c r="A14601" t="str">
        <f>HYPERLINK("https://www.773grp.com/globalSearch/PZU9.1B2L315/page-1", "PZU9.1B2L315")</f>
        <v>PZU9.1B2L315</v>
      </c>
      <c r="B14601" s="3" t="str">
        <f>HYPERLINK("https://www.773grp.com/manufacturer/nxp-semiconductor?pageNo=32", "NXP Semiconductors")</f>
        <v>NXP Semiconductors</v>
      </c>
      <c r="C14601" s="6">
        <v>40000</v>
      </c>
      <c r="D14601" s="7">
        <v>0.15</v>
      </c>
    </row>
    <row r="14602" spans="1:4" x14ac:dyDescent="0.25">
      <c r="A14602" t="str">
        <f>HYPERLINK("https://www.773grp.com/globalSearch/TDZ10J115/page-1", "TDZ10J115")</f>
        <v>TDZ10J115</v>
      </c>
      <c r="B14602" s="3" t="str">
        <f>HYPERLINK("https://www.773grp.com/manufacturer/nxp-semiconductor?pageNo=33", "NXP Semiconductors")</f>
        <v>NXP Semiconductors</v>
      </c>
      <c r="C14602" s="6">
        <v>18000</v>
      </c>
      <c r="D14602" s="7">
        <v>0.15</v>
      </c>
    </row>
    <row r="14603" spans="1:4" x14ac:dyDescent="0.25">
      <c r="A14603" t="str">
        <f>HYPERLINK("https://www.773grp.com/globalSearch/TDZ11J115/page-1", "TDZ11J115")</f>
        <v>TDZ11J115</v>
      </c>
      <c r="B14603" s="3" t="str">
        <f>HYPERLINK("https://www.773grp.com/manufacturer/nxp-semiconductor?pageNo=34", "NXP Semiconductors")</f>
        <v>NXP Semiconductors</v>
      </c>
      <c r="C14603" s="6">
        <v>18000</v>
      </c>
      <c r="D14603" s="7">
        <v>0.15</v>
      </c>
    </row>
    <row r="14604" spans="1:4" x14ac:dyDescent="0.25">
      <c r="A14604" t="str">
        <f>HYPERLINK("https://www.773grp.com/globalSearch/TDZ12J115/page-1", "TDZ12J115")</f>
        <v>TDZ12J115</v>
      </c>
      <c r="B14604" s="3" t="str">
        <f>HYPERLINK("https://www.773grp.com/manufacturer/nxp-semiconductor?pageNo=35", "NXP Semiconductors")</f>
        <v>NXP Semiconductors</v>
      </c>
      <c r="C14604" s="6">
        <v>21000</v>
      </c>
      <c r="D14604" s="7">
        <v>0.15</v>
      </c>
    </row>
    <row r="14605" spans="1:4" x14ac:dyDescent="0.25">
      <c r="A14605" t="str">
        <f>HYPERLINK("https://www.773grp.com/globalSearch/TDZ13J115/page-1", "TDZ13J115")</f>
        <v>TDZ13J115</v>
      </c>
      <c r="B14605" s="3" t="str">
        <f>HYPERLINK("https://www.773grp.com/manufacturer/nxp-semiconductor?pageNo=36", "NXP Semiconductors")</f>
        <v>NXP Semiconductors</v>
      </c>
      <c r="C14605" s="6">
        <v>9000</v>
      </c>
      <c r="D14605" s="7">
        <v>0.15</v>
      </c>
    </row>
    <row r="14606" spans="1:4" x14ac:dyDescent="0.25">
      <c r="A14606" t="str">
        <f>HYPERLINK("https://www.773grp.com/globalSearch/TDZ16J115/page-1", "TDZ16J115")</f>
        <v>TDZ16J115</v>
      </c>
      <c r="B14606" s="3" t="str">
        <f>HYPERLINK("https://www.773grp.com/manufacturer/nxp-semiconductor?pageNo=37", "NXP Semiconductors")</f>
        <v>NXP Semiconductors</v>
      </c>
      <c r="C14606" s="6">
        <v>18000</v>
      </c>
      <c r="D14606" s="7">
        <v>0.15</v>
      </c>
    </row>
    <row r="14607" spans="1:4" x14ac:dyDescent="0.25">
      <c r="A14607" t="str">
        <f>HYPERLINK("https://www.773grp.com/globalSearch/TDZ18J115/page-1", "TDZ18J115")</f>
        <v>TDZ18J115</v>
      </c>
      <c r="B14607" s="3" t="str">
        <f>HYPERLINK("https://www.773grp.com/manufacturer/nxp-semiconductor?pageNo=38", "NXP Semiconductors")</f>
        <v>NXP Semiconductors</v>
      </c>
      <c r="C14607" s="6">
        <v>18000</v>
      </c>
      <c r="D14607" s="7">
        <v>0.15</v>
      </c>
    </row>
    <row r="14608" spans="1:4" x14ac:dyDescent="0.25">
      <c r="A14608" t="str">
        <f>HYPERLINK("https://www.773grp.com/globalSearch/TDZ20J115/page-1", "TDZ20J115")</f>
        <v>TDZ20J115</v>
      </c>
      <c r="B14608" s="3" t="str">
        <f>HYPERLINK("https://www.773grp.com/manufacturer/nxp-semiconductor?pageNo=39", "NXP Semiconductors")</f>
        <v>NXP Semiconductors</v>
      </c>
      <c r="C14608" s="6">
        <v>6000</v>
      </c>
      <c r="D14608" s="7">
        <v>0.15</v>
      </c>
    </row>
    <row r="14609" spans="1:4" x14ac:dyDescent="0.25">
      <c r="A14609" t="str">
        <f>HYPERLINK("https://www.773grp.com/globalSearch/TDZ22J115/page-1", "TDZ22J115")</f>
        <v>TDZ22J115</v>
      </c>
      <c r="B14609" s="3" t="str">
        <f>HYPERLINK("https://www.773grp.com/manufacturer/nxp-semiconductor?pageNo=40", "NXP Semiconductors")</f>
        <v>NXP Semiconductors</v>
      </c>
      <c r="C14609" s="6">
        <v>18000</v>
      </c>
      <c r="D14609" s="7">
        <v>0.15</v>
      </c>
    </row>
    <row r="14610" spans="1:4" x14ac:dyDescent="0.25">
      <c r="A14610" t="str">
        <f>HYPERLINK("https://www.773grp.com/globalSearch/TDZ24J115/page-1", "TDZ24J115")</f>
        <v>TDZ24J115</v>
      </c>
      <c r="B14610" s="3" t="str">
        <f>HYPERLINK("https://www.773grp.com/manufacturer/nxp-semiconductor?pageNo=41", "NXP Semiconductors")</f>
        <v>NXP Semiconductors</v>
      </c>
      <c r="C14610" s="6">
        <v>18000</v>
      </c>
      <c r="D14610" s="7">
        <v>0.15</v>
      </c>
    </row>
    <row r="14611" spans="1:4" x14ac:dyDescent="0.25">
      <c r="A14611" t="str">
        <f>HYPERLINK("https://www.773grp.com/globalSearch/TDZ27J115/page-1", "TDZ27J115")</f>
        <v>TDZ27J115</v>
      </c>
      <c r="B14611" s="3" t="str">
        <f>HYPERLINK("https://www.773grp.com/manufacturer/nxp-semiconductor?pageNo=42", "NXP Semiconductors")</f>
        <v>NXP Semiconductors</v>
      </c>
      <c r="C14611" s="6">
        <v>9000</v>
      </c>
      <c r="D14611" s="7">
        <v>0.15</v>
      </c>
    </row>
    <row r="14612" spans="1:4" x14ac:dyDescent="0.25">
      <c r="A14612" t="str">
        <f>HYPERLINK("https://www.773grp.com/globalSearch/TDZ2V4J115/page-1", "TDZ2V4J115")</f>
        <v>TDZ2V4J115</v>
      </c>
      <c r="B14612" s="3" t="str">
        <f>HYPERLINK("https://www.773grp.com/manufacturer/nxp-semiconductor?pageNo=43", "NXP Semiconductors")</f>
        <v>NXP Semiconductors</v>
      </c>
      <c r="C14612" s="6">
        <v>18000</v>
      </c>
      <c r="D14612" s="7">
        <v>0.15</v>
      </c>
    </row>
    <row r="14613" spans="1:4" x14ac:dyDescent="0.25">
      <c r="A14613" t="str">
        <f>HYPERLINK("https://www.773grp.com/globalSearch/TDZ2V7J115/page-1", "TDZ2V7J115")</f>
        <v>TDZ2V7J115</v>
      </c>
      <c r="B14613" s="3" t="str">
        <f>HYPERLINK("https://www.773grp.com/manufacturer/nxp-semiconductor?pageNo=44", "NXP Semiconductors")</f>
        <v>NXP Semiconductors</v>
      </c>
      <c r="C14613" s="6">
        <v>15000</v>
      </c>
      <c r="D14613" s="7">
        <v>0.15</v>
      </c>
    </row>
    <row r="14614" spans="1:4" x14ac:dyDescent="0.25">
      <c r="A14614" t="str">
        <f>HYPERLINK("https://www.773grp.com/globalSearch/TDZ30J115/page-1", "TDZ30J115")</f>
        <v>TDZ30J115</v>
      </c>
      <c r="B14614" s="3" t="str">
        <f>HYPERLINK("https://www.773grp.com/manufacturer/nxp-semiconductor?pageNo=45", "NXP Semiconductors")</f>
        <v>NXP Semiconductors</v>
      </c>
      <c r="C14614" s="6">
        <v>18000</v>
      </c>
      <c r="D14614" s="7">
        <v>0.15</v>
      </c>
    </row>
    <row r="14615" spans="1:4" x14ac:dyDescent="0.25">
      <c r="A14615" t="str">
        <f>HYPERLINK("https://www.773grp.com/globalSearch/TDZ3V0J115/page-1", "TDZ3V0J115")</f>
        <v>TDZ3V0J115</v>
      </c>
      <c r="B14615" s="3" t="str">
        <f>HYPERLINK("https://www.773grp.com/manufacturer/nxp-semiconductor?pageNo=46", "NXP Semiconductors")</f>
        <v>NXP Semiconductors</v>
      </c>
      <c r="C14615" s="6">
        <v>18000</v>
      </c>
      <c r="D14615" s="7">
        <v>0.15</v>
      </c>
    </row>
    <row r="14616" spans="1:4" x14ac:dyDescent="0.25">
      <c r="A14616" t="str">
        <f>HYPERLINK("https://www.773grp.com/globalSearch/TDZ3V6J115/page-1", "TDZ3V6J115")</f>
        <v>TDZ3V6J115</v>
      </c>
      <c r="B14616" s="3" t="str">
        <f>HYPERLINK("https://www.773grp.com/manufacturer/nxp-semiconductor?pageNo=47", "NXP Semiconductors")</f>
        <v>NXP Semiconductors</v>
      </c>
      <c r="C14616" s="6">
        <v>18000</v>
      </c>
      <c r="D14616" s="7">
        <v>0.15</v>
      </c>
    </row>
    <row r="14617" spans="1:4" x14ac:dyDescent="0.25">
      <c r="A14617" t="str">
        <f>HYPERLINK("https://www.773grp.com/globalSearch/TDZ3V9J115/page-1", "TDZ3V9J115")</f>
        <v>TDZ3V9J115</v>
      </c>
      <c r="B14617" s="3" t="str">
        <f>HYPERLINK("https://www.773grp.com/manufacturer/nxp-semiconductor?pageNo=48", "NXP Semiconductors")</f>
        <v>NXP Semiconductors</v>
      </c>
      <c r="C14617" s="6">
        <v>18000</v>
      </c>
      <c r="D14617" s="7">
        <v>0.15</v>
      </c>
    </row>
    <row r="14618" spans="1:4" x14ac:dyDescent="0.25">
      <c r="A14618" t="str">
        <f>HYPERLINK("https://www.773grp.com/globalSearch/TDZ4V3J115/page-1", "TDZ4V3J115")</f>
        <v>TDZ4V3J115</v>
      </c>
      <c r="B14618" s="3" t="str">
        <f>HYPERLINK("https://www.773grp.com/manufacturer/nxp-semiconductor?pageNo=1", "NXP Semiconductors")</f>
        <v>NXP Semiconductors</v>
      </c>
      <c r="C14618" s="6">
        <v>12000</v>
      </c>
      <c r="D14618" s="7">
        <v>0.15</v>
      </c>
    </row>
    <row r="14619" spans="1:4" x14ac:dyDescent="0.25">
      <c r="A14619" t="str">
        <f>HYPERLINK("https://www.773grp.com/globalSearch/TDZ4V7J115/page-1", "TDZ4V7J115")</f>
        <v>TDZ4V7J115</v>
      </c>
      <c r="B14619" s="3" t="str">
        <f>HYPERLINK("https://www.773grp.com/manufacturer/nxp-semiconductor?pageNo=2", "NXP Semiconductors")</f>
        <v>NXP Semiconductors</v>
      </c>
      <c r="C14619" s="6">
        <v>12000</v>
      </c>
      <c r="D14619" s="7">
        <v>0.15</v>
      </c>
    </row>
    <row r="14620" spans="1:4" x14ac:dyDescent="0.25">
      <c r="A14620" t="str">
        <f>HYPERLINK("https://www.773grp.com/globalSearch/TDZ5V1J115/page-1", "TDZ5V1J115")</f>
        <v>TDZ5V1J115</v>
      </c>
      <c r="B14620" s="3" t="str">
        <f>HYPERLINK("https://www.773grp.com/manufacturer/nxp-semiconductor?pageNo=3", "NXP Semiconductors")</f>
        <v>NXP Semiconductors</v>
      </c>
      <c r="C14620" s="6">
        <v>6000</v>
      </c>
      <c r="D14620" s="7">
        <v>0.15</v>
      </c>
    </row>
    <row r="14621" spans="1:4" x14ac:dyDescent="0.25">
      <c r="A14621" t="str">
        <f>HYPERLINK("https://www.773grp.com/globalSearch/TDZ6V2J115/page-1", "TDZ6V2J115")</f>
        <v>TDZ6V2J115</v>
      </c>
      <c r="B14621" s="3" t="str">
        <f>HYPERLINK("https://www.773grp.com/manufacturer/nxp-semiconductor?pageNo=4", "NXP Semiconductors")</f>
        <v>NXP Semiconductors</v>
      </c>
      <c r="C14621" s="6">
        <v>15000</v>
      </c>
      <c r="D14621" s="7">
        <v>0.15</v>
      </c>
    </row>
    <row r="14622" spans="1:4" x14ac:dyDescent="0.25">
      <c r="A14622" t="str">
        <f>HYPERLINK("https://www.773grp.com/globalSearch/TDZ6V8J115/page-1", "TDZ6V8J115")</f>
        <v>TDZ6V8J115</v>
      </c>
      <c r="B14622" s="3" t="str">
        <f>HYPERLINK("https://www.773grp.com/manufacturer/nxp-semiconductor?pageNo=5", "NXP Semiconductors")</f>
        <v>NXP Semiconductors</v>
      </c>
      <c r="C14622" s="6">
        <v>18000</v>
      </c>
      <c r="D14622" s="7">
        <v>0.15</v>
      </c>
    </row>
    <row r="14623" spans="1:4" x14ac:dyDescent="0.25">
      <c r="A14623" t="str">
        <f>HYPERLINK("https://www.773grp.com/globalSearch/TDZ7V5J115/page-1", "TDZ7V5J115")</f>
        <v>TDZ7V5J115</v>
      </c>
      <c r="B14623" s="3" t="str">
        <f>HYPERLINK("https://www.773grp.com/manufacturer/nxp-semiconductor?pageNo=6", "NXP Semiconductors")</f>
        <v>NXP Semiconductors</v>
      </c>
      <c r="C14623" s="6">
        <v>18000</v>
      </c>
      <c r="D14623" s="7">
        <v>0.15</v>
      </c>
    </row>
    <row r="14624" spans="1:4" x14ac:dyDescent="0.25">
      <c r="A14624" t="str">
        <f>HYPERLINK("https://www.773grp.com/globalSearch/TDZ8V2J115/page-1", "TDZ8V2J115")</f>
        <v>TDZ8V2J115</v>
      </c>
      <c r="B14624" s="3" t="str">
        <f>HYPERLINK("https://www.773grp.com/manufacturer/nxp-semiconductor?pageNo=7", "NXP Semiconductors")</f>
        <v>NXP Semiconductors</v>
      </c>
      <c r="C14624" s="6">
        <v>18000</v>
      </c>
      <c r="D14624" s="7">
        <v>0.15</v>
      </c>
    </row>
    <row r="14625" spans="1:5" x14ac:dyDescent="0.25">
      <c r="A14625" t="str">
        <f>HYPERLINK("https://www.773grp.com/globalSearch/RB520S30T1G/page-1", "RB520S30T1G")</f>
        <v>RB520S30T1G</v>
      </c>
      <c r="B14625" s="3" t="str">
        <f>HYPERLINK("https://www.773grp.com/manufacturer/nxp-semiconductor?pageNo=8", "NXP Semiconductors")</f>
        <v>NXP Semiconductors</v>
      </c>
      <c r="C14625" s="6">
        <v>27000</v>
      </c>
      <c r="D14625" s="7">
        <v>0.15</v>
      </c>
      <c r="E14625" t="s">
        <v>94</v>
      </c>
    </row>
    <row r="14626" spans="1:5" x14ac:dyDescent="0.25">
      <c r="A14626" t="str">
        <f>HYPERLINK("https://www.773grp.com/globalSearch/1PS70SB20115/page-1", "1PS70SB20115")</f>
        <v>1PS70SB20115</v>
      </c>
      <c r="B14626" s="3" t="str">
        <f>HYPERLINK("https://www.773grp.com/manufacturer/nxp-semiconductor?pageNo=9", "NXP Semiconductors")</f>
        <v>NXP Semiconductors</v>
      </c>
      <c r="C14626" s="6">
        <v>27000</v>
      </c>
      <c r="D14626" s="7">
        <v>0.23</v>
      </c>
    </row>
    <row r="14627" spans="1:5" x14ac:dyDescent="0.25">
      <c r="A14627" t="str">
        <f>HYPERLINK("https://www.773grp.com/globalSearch/1PS70SB40115/page-1", "1PS70SB40115")</f>
        <v>1PS70SB40115</v>
      </c>
      <c r="B14627" s="3" t="str">
        <f>HYPERLINK("https://www.773grp.com/manufacturer/nxp-semiconductor?pageNo=10", "NXP Semiconductors")</f>
        <v>NXP Semiconductors</v>
      </c>
      <c r="C14627" s="6">
        <v>33000</v>
      </c>
      <c r="D14627" s="7">
        <v>0.23</v>
      </c>
    </row>
    <row r="14628" spans="1:5" x14ac:dyDescent="0.25">
      <c r="A14628" t="str">
        <f>HYPERLINK("https://www.773grp.com/globalSearch/1PS70SB44115/page-1", "1PS70SB44115")</f>
        <v>1PS70SB44115</v>
      </c>
      <c r="B14628" s="3" t="str">
        <f>HYPERLINK("https://www.773grp.com/manufacturer/nxp-semiconductor?pageNo=11", "NXP Semiconductors")</f>
        <v>NXP Semiconductors</v>
      </c>
      <c r="C14628" s="6">
        <v>3970</v>
      </c>
      <c r="D14628" s="7">
        <v>0.23</v>
      </c>
    </row>
    <row r="14629" spans="1:5" x14ac:dyDescent="0.25">
      <c r="A14629" t="str">
        <f>HYPERLINK("https://www.773grp.com/globalSearch/1PS70SB45115/page-1", "1PS70SB45115")</f>
        <v>1PS70SB45115</v>
      </c>
      <c r="B14629" s="3" t="str">
        <f>HYPERLINK("https://www.773grp.com/manufacturer/nxp-semiconductor?pageNo=12", "NXP Semiconductors")</f>
        <v>NXP Semiconductors</v>
      </c>
      <c r="C14629" s="6">
        <v>27000</v>
      </c>
      <c r="D14629" s="7">
        <v>0.23</v>
      </c>
    </row>
    <row r="14630" spans="1:5" x14ac:dyDescent="0.25">
      <c r="A14630" t="str">
        <f>HYPERLINK("https://www.773grp.com/globalSearch/1PS70SB46115/page-1", "1PS70SB46115")</f>
        <v>1PS70SB46115</v>
      </c>
      <c r="B14630" s="3" t="str">
        <f>HYPERLINK("https://www.773grp.com/manufacturer/nxp-semiconductor?pageNo=13", "NXP Semiconductors")</f>
        <v>NXP Semiconductors</v>
      </c>
      <c r="C14630" s="6">
        <v>5359</v>
      </c>
      <c r="D14630" s="7">
        <v>0.23</v>
      </c>
    </row>
    <row r="14631" spans="1:5" x14ac:dyDescent="0.25">
      <c r="A14631" t="str">
        <f>HYPERLINK("https://www.773grp.com/globalSearch/1PS75SB45115/page-1", "1PS75SB45115")</f>
        <v>1PS75SB45115</v>
      </c>
      <c r="B14631" s="3" t="str">
        <f>HYPERLINK("https://www.773grp.com/manufacturer/nxp-semiconductor?pageNo=14", "NXP Semiconductors")</f>
        <v>NXP Semiconductors</v>
      </c>
      <c r="C14631" s="6">
        <v>48200</v>
      </c>
      <c r="D14631" s="7">
        <v>0.23</v>
      </c>
    </row>
    <row r="14632" spans="1:5" x14ac:dyDescent="0.25">
      <c r="A14632" t="str">
        <f>HYPERLINK("https://www.773grp.com/globalSearch/1PS75SB45135/page-1", "1PS75SB45135")</f>
        <v>1PS75SB45135</v>
      </c>
      <c r="B14632" s="3" t="str">
        <f>HYPERLINK("https://www.773grp.com/manufacturer/nxp-semiconductor?pageNo=15", "NXP Semiconductors")</f>
        <v>NXP Semiconductors</v>
      </c>
      <c r="C14632" s="6">
        <v>9000</v>
      </c>
      <c r="D14632" s="7">
        <v>0.23</v>
      </c>
    </row>
    <row r="14633" spans="1:5" x14ac:dyDescent="0.25">
      <c r="A14633" t="str">
        <f>HYPERLINK("https://www.773grp.com/globalSearch/1PS76SB40115/page-1", "1PS76SB40115")</f>
        <v>1PS76SB40115</v>
      </c>
      <c r="B14633" s="3" t="str">
        <f>HYPERLINK("https://www.773grp.com/manufacturer/nxp-semiconductor?pageNo=16", "NXP Semiconductors")</f>
        <v>NXP Semiconductors</v>
      </c>
      <c r="C14633" s="6">
        <v>561000</v>
      </c>
      <c r="D14633" s="7">
        <v>0.23</v>
      </c>
    </row>
    <row r="14634" spans="1:5" x14ac:dyDescent="0.25">
      <c r="A14634" t="str">
        <f>HYPERLINK("https://www.773grp.com/globalSearch/1PS76SB70115/page-1", "1PS76SB70115")</f>
        <v>1PS76SB70115</v>
      </c>
      <c r="B14634" s="3" t="str">
        <f>HYPERLINK("https://www.773grp.com/manufacturer/nxp-semiconductor?pageNo=17", "NXP Semiconductors")</f>
        <v>NXP Semiconductors</v>
      </c>
      <c r="C14634" s="6">
        <v>3000</v>
      </c>
      <c r="D14634" s="7">
        <v>0.23</v>
      </c>
    </row>
    <row r="14635" spans="1:5" x14ac:dyDescent="0.25">
      <c r="A14635" t="str">
        <f>HYPERLINK("https://www.773grp.com/globalSearch/1PS79SB30115/page-1", "1PS79SB30115")</f>
        <v>1PS79SB30115</v>
      </c>
      <c r="B14635" s="3" t="str">
        <f>HYPERLINK("https://www.773grp.com/manufacturer/nxp-semiconductor?pageNo=18", "NXP Semiconductors")</f>
        <v>NXP Semiconductors</v>
      </c>
      <c r="C14635" s="6">
        <v>291000</v>
      </c>
      <c r="D14635" s="7">
        <v>0.23</v>
      </c>
    </row>
    <row r="14636" spans="1:5" x14ac:dyDescent="0.25">
      <c r="A14636" t="str">
        <f>HYPERLINK("https://www.773grp.com/globalSearch/1PS79SB31115/page-1", "1PS79SB31115")</f>
        <v>1PS79SB31115</v>
      </c>
      <c r="B14636" s="3" t="str">
        <f>HYPERLINK("https://www.773grp.com/manufacturer/nxp-semiconductor?pageNo=19", "NXP Semiconductors")</f>
        <v>NXP Semiconductors</v>
      </c>
      <c r="C14636" s="6">
        <v>44290</v>
      </c>
      <c r="D14636" s="7">
        <v>0.23</v>
      </c>
    </row>
    <row r="14637" spans="1:5" x14ac:dyDescent="0.25">
      <c r="A14637" t="str">
        <f>HYPERLINK("https://www.773grp.com/globalSearch/1PS79SB40115/page-1", "1PS79SB40115")</f>
        <v>1PS79SB40115</v>
      </c>
      <c r="B14637" s="3" t="str">
        <f>HYPERLINK("https://www.773grp.com/manufacturer/nxp-semiconductor?pageNo=20", "NXP Semiconductors")</f>
        <v>NXP Semiconductors</v>
      </c>
      <c r="C14637" s="6">
        <v>68940</v>
      </c>
      <c r="D14637" s="7">
        <v>0.23</v>
      </c>
    </row>
    <row r="14638" spans="1:5" x14ac:dyDescent="0.25">
      <c r="A14638" t="str">
        <f>HYPERLINK("https://www.773grp.com/globalSearch/1PS79SB70315/page-1", "1PS79SB70315")</f>
        <v>1PS79SB70315</v>
      </c>
      <c r="B14638" s="3" t="str">
        <f>HYPERLINK("https://www.773grp.com/manufacturer/nxp-semiconductor?pageNo=21", "NXP Semiconductors")</f>
        <v>NXP Semiconductors</v>
      </c>
      <c r="C14638" s="6">
        <v>16000</v>
      </c>
      <c r="D14638" s="7">
        <v>0.23</v>
      </c>
    </row>
    <row r="14639" spans="1:5" x14ac:dyDescent="0.25">
      <c r="A14639" t="str">
        <f>HYPERLINK("https://www.773grp.com/globalSearch/2N7002F215/page-1", "2N7002F215")</f>
        <v>2N7002F215</v>
      </c>
      <c r="B14639" s="3" t="str">
        <f>HYPERLINK("https://www.773grp.com/manufacturer/nxp-semiconductor?pageNo=22", "NXP Semiconductors")</f>
        <v>NXP Semiconductors</v>
      </c>
      <c r="C14639" s="6">
        <v>3000</v>
      </c>
      <c r="D14639" s="7">
        <v>0.23</v>
      </c>
    </row>
    <row r="14640" spans="1:5" x14ac:dyDescent="0.25">
      <c r="A14640" t="str">
        <f>HYPERLINK("https://www.773grp.com/globalSearch/74AHC1G06GW125/page-1", "74AHC1G06GW125")</f>
        <v>74AHC1G06GW125</v>
      </c>
      <c r="B14640" s="3" t="str">
        <f>HYPERLINK("https://www.773grp.com/manufacturer/nxp-semiconductor?pageNo=23", "NXP Semiconductors")</f>
        <v>NXP Semiconductors</v>
      </c>
      <c r="C14640" s="6">
        <v>9682</v>
      </c>
      <c r="D14640" s="7">
        <v>0.23</v>
      </c>
    </row>
    <row r="14641" spans="1:4" x14ac:dyDescent="0.25">
      <c r="A14641" t="str">
        <f>HYPERLINK("https://www.773grp.com/globalSearch/74AHC1G07GV125/page-1", "74AHC1G07GV125")</f>
        <v>74AHC1G07GV125</v>
      </c>
      <c r="B14641" s="3" t="str">
        <f>HYPERLINK("https://www.773grp.com/manufacturer/nxp-semiconductor?pageNo=24", "NXP Semiconductors")</f>
        <v>NXP Semiconductors</v>
      </c>
      <c r="C14641" s="6">
        <v>18000</v>
      </c>
      <c r="D14641" s="7">
        <v>0.23</v>
      </c>
    </row>
    <row r="14642" spans="1:4" x14ac:dyDescent="0.25">
      <c r="A14642" t="str">
        <f>HYPERLINK("https://www.773grp.com/globalSearch/74AHC1G07GW125/page-1", "74AHC1G07GW125")</f>
        <v>74AHC1G07GW125</v>
      </c>
      <c r="B14642" s="3" t="str">
        <f>HYPERLINK("https://www.773grp.com/manufacturer/nxp-semiconductor?pageNo=25", "NXP Semiconductors")</f>
        <v>NXP Semiconductors</v>
      </c>
      <c r="C14642" s="6">
        <v>17298</v>
      </c>
      <c r="D14642" s="7">
        <v>0.23</v>
      </c>
    </row>
    <row r="14643" spans="1:4" x14ac:dyDescent="0.25">
      <c r="A14643" t="str">
        <f>HYPERLINK("https://www.773grp.com/globalSearch/74AHC1G08GV125/page-1", "74AHC1G08GV125")</f>
        <v>74AHC1G08GV125</v>
      </c>
      <c r="B14643" s="3" t="str">
        <f>HYPERLINK("https://www.773grp.com/manufacturer/nxp-semiconductor?pageNo=26", "NXP Semiconductors")</f>
        <v>NXP Semiconductors</v>
      </c>
      <c r="C14643" s="6">
        <v>289273</v>
      </c>
      <c r="D14643" s="7">
        <v>0.23</v>
      </c>
    </row>
    <row r="14644" spans="1:4" x14ac:dyDescent="0.25">
      <c r="A14644" t="str">
        <f>HYPERLINK("https://www.773grp.com/globalSearch/74AHC1G125GV125/page-1", "74AHC1G125GV125")</f>
        <v>74AHC1G125GV125</v>
      </c>
      <c r="B14644" s="3" t="str">
        <f>HYPERLINK("https://www.773grp.com/manufacturer/nxp-semiconductor?pageNo=27", "NXP Semiconductors")</f>
        <v>NXP Semiconductors</v>
      </c>
      <c r="C14644" s="6">
        <v>330000</v>
      </c>
      <c r="D14644" s="7">
        <v>0.23</v>
      </c>
    </row>
    <row r="14645" spans="1:4" x14ac:dyDescent="0.25">
      <c r="A14645" t="str">
        <f>HYPERLINK("https://www.773grp.com/globalSearch/74AHC1G125GW125/page-1", "74AHC1G125GW125")</f>
        <v>74AHC1G125GW125</v>
      </c>
      <c r="B14645" s="3" t="str">
        <f>HYPERLINK("https://www.773grp.com/manufacturer/nxp-semiconductor?pageNo=28", "NXP Semiconductors")</f>
        <v>NXP Semiconductors</v>
      </c>
      <c r="C14645" s="6">
        <v>254670</v>
      </c>
      <c r="D14645" s="7">
        <v>0.23</v>
      </c>
    </row>
    <row r="14646" spans="1:4" x14ac:dyDescent="0.25">
      <c r="A14646" t="str">
        <f>HYPERLINK("https://www.773grp.com/globalSearch/74AHC1G126GV125/page-1", "74AHC1G126GV125")</f>
        <v>74AHC1G126GV125</v>
      </c>
      <c r="B14646" s="3" t="str">
        <f>HYPERLINK("https://www.773grp.com/manufacturer/nxp-semiconductor?pageNo=29", "NXP Semiconductors")</f>
        <v>NXP Semiconductors</v>
      </c>
      <c r="C14646" s="6">
        <v>39945</v>
      </c>
      <c r="D14646" s="7">
        <v>0.23</v>
      </c>
    </row>
    <row r="14647" spans="1:4" x14ac:dyDescent="0.25">
      <c r="A14647" t="str">
        <f>HYPERLINK("https://www.773grp.com/globalSearch/74AHC1G126GW125/page-1", "74AHC1G126GW125")</f>
        <v>74AHC1G126GW125</v>
      </c>
      <c r="B14647" s="3" t="str">
        <f>HYPERLINK("https://www.773grp.com/manufacturer/nxp-semiconductor?pageNo=30", "NXP Semiconductors")</f>
        <v>NXP Semiconductors</v>
      </c>
      <c r="C14647" s="6">
        <v>27000</v>
      </c>
      <c r="D14647" s="7">
        <v>0.23</v>
      </c>
    </row>
    <row r="14648" spans="1:4" x14ac:dyDescent="0.25">
      <c r="A14648" t="str">
        <f>HYPERLINK("https://www.773grp.com/globalSearch/74AHC1G66GV125/page-1", "74AHC1G66GV125")</f>
        <v>74AHC1G66GV125</v>
      </c>
      <c r="B14648" s="3" t="str">
        <f>HYPERLINK("https://www.773grp.com/manufacturer/nxp-semiconductor?pageNo=31", "NXP Semiconductors")</f>
        <v>NXP Semiconductors</v>
      </c>
      <c r="C14648" s="6">
        <v>690</v>
      </c>
      <c r="D14648" s="7">
        <v>0.23</v>
      </c>
    </row>
    <row r="14649" spans="1:4" x14ac:dyDescent="0.25">
      <c r="A14649" t="str">
        <f>HYPERLINK("https://www.773grp.com/globalSearch/74AHC1G66GW125/page-1", "74AHC1G66GW125")</f>
        <v>74AHC1G66GW125</v>
      </c>
      <c r="B14649" s="3" t="str">
        <f>HYPERLINK("https://www.773grp.com/manufacturer/nxp-semiconductor?pageNo=32", "NXP Semiconductors")</f>
        <v>NXP Semiconductors</v>
      </c>
      <c r="C14649" s="6">
        <v>100</v>
      </c>
      <c r="D14649" s="7">
        <v>0.23</v>
      </c>
    </row>
    <row r="14650" spans="1:4" x14ac:dyDescent="0.25">
      <c r="A14650" t="str">
        <f>HYPERLINK("https://www.773grp.com/globalSearch/74AHC1G79GV125/page-1", "74AHC1G79GV125")</f>
        <v>74AHC1G79GV125</v>
      </c>
      <c r="B14650" s="3" t="str">
        <f>HYPERLINK("https://www.773grp.com/manufacturer/nxp-semiconductor?pageNo=33", "NXP Semiconductors")</f>
        <v>NXP Semiconductors</v>
      </c>
      <c r="C14650" s="6">
        <v>60000</v>
      </c>
      <c r="D14650" s="7">
        <v>0.23</v>
      </c>
    </row>
    <row r="14651" spans="1:4" x14ac:dyDescent="0.25">
      <c r="A14651" t="str">
        <f>HYPERLINK("https://www.773grp.com/globalSearch/74AHC1G86GV125/page-1", "74AHC1G86GV125")</f>
        <v>74AHC1G86GV125</v>
      </c>
      <c r="B14651" s="3" t="str">
        <f>HYPERLINK("https://www.773grp.com/manufacturer/nxp-semiconductor?pageNo=34", "NXP Semiconductors")</f>
        <v>NXP Semiconductors</v>
      </c>
      <c r="C14651" s="6">
        <v>72000</v>
      </c>
      <c r="D14651" s="7">
        <v>0.23</v>
      </c>
    </row>
    <row r="14652" spans="1:4" x14ac:dyDescent="0.25">
      <c r="A14652" t="str">
        <f>HYPERLINK("https://www.773grp.com/globalSearch/74AHC1G86GW125/page-1", "74AHC1G86GW125")</f>
        <v>74AHC1G86GW125</v>
      </c>
      <c r="B14652" s="3" t="str">
        <f>HYPERLINK("https://www.773grp.com/manufacturer/nxp-semiconductor?pageNo=35", "NXP Semiconductors")</f>
        <v>NXP Semiconductors</v>
      </c>
      <c r="C14652" s="6">
        <v>20435</v>
      </c>
      <c r="D14652" s="7">
        <v>0.23</v>
      </c>
    </row>
    <row r="14653" spans="1:4" x14ac:dyDescent="0.25">
      <c r="A14653" t="str">
        <f>HYPERLINK("https://www.773grp.com/globalSearch/74AHC1GU04GV125/page-1", "74AHC1GU04GV125")</f>
        <v>74AHC1GU04GV125</v>
      </c>
      <c r="B14653" s="3" t="str">
        <f>HYPERLINK("https://www.773grp.com/manufacturer/nxp-semiconductor?pageNo=36", "NXP Semiconductors")</f>
        <v>NXP Semiconductors</v>
      </c>
      <c r="C14653" s="6">
        <v>13900</v>
      </c>
      <c r="D14653" s="7">
        <v>0.23</v>
      </c>
    </row>
    <row r="14654" spans="1:4" x14ac:dyDescent="0.25">
      <c r="A14654" t="str">
        <f>HYPERLINK("https://www.773grp.com/globalSearch/74AHC1GU04GW125/page-1", "74AHC1GU04GW125")</f>
        <v>74AHC1GU04GW125</v>
      </c>
      <c r="B14654" s="3" t="str">
        <f>HYPERLINK("https://www.773grp.com/manufacturer/nxp-semiconductor?pageNo=37", "NXP Semiconductors")</f>
        <v>NXP Semiconductors</v>
      </c>
      <c r="C14654" s="6">
        <v>30000</v>
      </c>
      <c r="D14654" s="7">
        <v>0.23</v>
      </c>
    </row>
    <row r="14655" spans="1:4" x14ac:dyDescent="0.25">
      <c r="A14655" t="str">
        <f>HYPERLINK("https://www.773grp.com/globalSearch/74AHCT1G00GV125/page-1", "74AHCT1G00GV125")</f>
        <v>74AHCT1G00GV125</v>
      </c>
      <c r="B14655" s="3" t="str">
        <f>HYPERLINK("https://www.773grp.com/manufacturer/nxp-semiconductor?pageNo=38", "NXP Semiconductors")</f>
        <v>NXP Semiconductors</v>
      </c>
      <c r="C14655" s="6">
        <v>26109</v>
      </c>
      <c r="D14655" s="7">
        <v>0.23</v>
      </c>
    </row>
    <row r="14656" spans="1:4" x14ac:dyDescent="0.25">
      <c r="A14656" t="str">
        <f>HYPERLINK("https://www.773grp.com/globalSearch/74AHCT1G00GW125/page-1", "74AHCT1G00GW125")</f>
        <v>74AHCT1G00GW125</v>
      </c>
      <c r="B14656" s="3" t="str">
        <f>HYPERLINK("https://www.773grp.com/manufacturer/nxp-semiconductor?pageNo=39", "NXP Semiconductors")</f>
        <v>NXP Semiconductors</v>
      </c>
      <c r="C14656" s="6">
        <v>148</v>
      </c>
      <c r="D14656" s="7">
        <v>0.23</v>
      </c>
    </row>
    <row r="14657" spans="1:4" x14ac:dyDescent="0.25">
      <c r="A14657" t="str">
        <f>HYPERLINK("https://www.773grp.com/globalSearch/74AHCT1G02GV125/page-1", "74AHCT1G02GV125")</f>
        <v>74AHCT1G02GV125</v>
      </c>
      <c r="B14657" s="3" t="str">
        <f>HYPERLINK("https://www.773grp.com/manufacturer/nxp-semiconductor?pageNo=40", "NXP Semiconductors")</f>
        <v>NXP Semiconductors</v>
      </c>
      <c r="C14657" s="6">
        <v>400</v>
      </c>
      <c r="D14657" s="7">
        <v>0.23</v>
      </c>
    </row>
    <row r="14658" spans="1:4" x14ac:dyDescent="0.25">
      <c r="A14658" t="str">
        <f>HYPERLINK("https://www.773grp.com/globalSearch/74AHCT1G02GW125/page-1", "74AHCT1G02GW125")</f>
        <v>74AHCT1G02GW125</v>
      </c>
      <c r="B14658" s="3" t="str">
        <f>HYPERLINK("https://www.773grp.com/manufacturer/nxp-semiconductor?pageNo=41", "NXP Semiconductors")</f>
        <v>NXP Semiconductors</v>
      </c>
      <c r="C14658" s="6">
        <v>18000</v>
      </c>
      <c r="D14658" s="7">
        <v>0.23</v>
      </c>
    </row>
    <row r="14659" spans="1:4" x14ac:dyDescent="0.25">
      <c r="A14659" t="str">
        <f>HYPERLINK("https://www.773grp.com/globalSearch/74AHCT1G04GV125/page-1", "74AHCT1G04GV125")</f>
        <v>74AHCT1G04GV125</v>
      </c>
      <c r="B14659" s="3" t="str">
        <f>HYPERLINK("https://www.773grp.com/manufacturer/nxp-semiconductor?pageNo=42", "NXP Semiconductors")</f>
        <v>NXP Semiconductors</v>
      </c>
      <c r="C14659" s="6">
        <v>12000</v>
      </c>
      <c r="D14659" s="7">
        <v>0.23</v>
      </c>
    </row>
    <row r="14660" spans="1:4" x14ac:dyDescent="0.25">
      <c r="A14660" t="str">
        <f>HYPERLINK("https://www.773grp.com/globalSearch/74AHCT1G07GV125/page-1", "74AHCT1G07GV125")</f>
        <v>74AHCT1G07GV125</v>
      </c>
      <c r="B14660" s="3" t="str">
        <f>HYPERLINK("https://www.773grp.com/manufacturer/nxp-semiconductor?pageNo=43", "NXP Semiconductors")</f>
        <v>NXP Semiconductors</v>
      </c>
      <c r="C14660" s="6">
        <v>619</v>
      </c>
      <c r="D14660" s="7">
        <v>0.23</v>
      </c>
    </row>
    <row r="14661" spans="1:4" x14ac:dyDescent="0.25">
      <c r="A14661" t="str">
        <f>HYPERLINK("https://www.773grp.com/globalSearch/74AHCT1G08GV125/page-1", "74AHCT1G08GV125")</f>
        <v>74AHCT1G08GV125</v>
      </c>
      <c r="B14661" s="3" t="str">
        <f>HYPERLINK("https://www.773grp.com/manufacturer/nxp-semiconductor?pageNo=44", "NXP Semiconductors")</f>
        <v>NXP Semiconductors</v>
      </c>
      <c r="C14661" s="6">
        <v>69000</v>
      </c>
      <c r="D14661" s="7">
        <v>0.23</v>
      </c>
    </row>
    <row r="14662" spans="1:4" x14ac:dyDescent="0.25">
      <c r="A14662" t="str">
        <f>HYPERLINK("https://www.773grp.com/globalSearch/74AHCT1G66GV125/page-1", "74AHCT1G66GV125")</f>
        <v>74AHCT1G66GV125</v>
      </c>
      <c r="B14662" s="3" t="str">
        <f>HYPERLINK("https://www.773grp.com/manufacturer/nxp-semiconductor?pageNo=45", "NXP Semiconductors")</f>
        <v>NXP Semiconductors</v>
      </c>
      <c r="C14662" s="6">
        <v>1400</v>
      </c>
      <c r="D14662" s="7">
        <v>0.23</v>
      </c>
    </row>
    <row r="14663" spans="1:4" x14ac:dyDescent="0.25">
      <c r="A14663" t="str">
        <f>HYPERLINK("https://www.773grp.com/globalSearch/74AHCT1G66GW125/page-1", "74AHCT1G66GW125")</f>
        <v>74AHCT1G66GW125</v>
      </c>
      <c r="B14663" s="3" t="str">
        <f>HYPERLINK("https://www.773grp.com/manufacturer/nxp-semiconductor?pageNo=46", "NXP Semiconductors")</f>
        <v>NXP Semiconductors</v>
      </c>
      <c r="C14663" s="6">
        <v>18000</v>
      </c>
      <c r="D14663" s="7">
        <v>0.23</v>
      </c>
    </row>
    <row r="14664" spans="1:4" x14ac:dyDescent="0.25">
      <c r="A14664" t="str">
        <f>HYPERLINK("https://www.773grp.com/globalSearch/74AHCT1G86GW125/page-1", "74AHCT1G86GW125")</f>
        <v>74AHCT1G86GW125</v>
      </c>
      <c r="B14664" s="3" t="str">
        <f>HYPERLINK("https://www.773grp.com/manufacturer/nxp-semiconductor?pageNo=47", "NXP Semiconductors")</f>
        <v>NXP Semiconductors</v>
      </c>
      <c r="C14664" s="6">
        <v>36000</v>
      </c>
      <c r="D14664" s="7">
        <v>0.23</v>
      </c>
    </row>
    <row r="14665" spans="1:4" x14ac:dyDescent="0.25">
      <c r="A14665" t="str">
        <f>HYPERLINK("https://www.773grp.com/globalSearch/74HC1G125GV125/page-1", "74HC1G125GV125")</f>
        <v>74HC1G125GV125</v>
      </c>
      <c r="B14665" s="3" t="str">
        <f>HYPERLINK("https://www.773grp.com/manufacturer/nxp-semiconductor?pageNo=48", "NXP Semiconductors")</f>
        <v>NXP Semiconductors</v>
      </c>
      <c r="C14665" s="6">
        <v>6000</v>
      </c>
      <c r="D14665" s="7">
        <v>0.23</v>
      </c>
    </row>
    <row r="14666" spans="1:4" x14ac:dyDescent="0.25">
      <c r="A14666" t="str">
        <f>HYPERLINK("https://www.773grp.com/globalSearch/74HC1G125GW125/page-1", "74HC1G125GW125")</f>
        <v>74HC1G125GW125</v>
      </c>
      <c r="B14666" s="3" t="str">
        <f>HYPERLINK("https://www.773grp.com/manufacturer/nxp-semiconductor?pageNo=1", "NXP Semiconductors")</f>
        <v>NXP Semiconductors</v>
      </c>
      <c r="C14666" s="6">
        <v>39000</v>
      </c>
      <c r="D14666" s="7">
        <v>0.23</v>
      </c>
    </row>
    <row r="14667" spans="1:4" x14ac:dyDescent="0.25">
      <c r="A14667" t="str">
        <f>HYPERLINK("https://www.773grp.com/globalSearch/74HC1G126GW125/page-1", "74HC1G126GW125")</f>
        <v>74HC1G126GW125</v>
      </c>
      <c r="B14667" s="3" t="str">
        <f>HYPERLINK("https://www.773grp.com/manufacturer/nxp-semiconductor?pageNo=2", "NXP Semiconductors")</f>
        <v>NXP Semiconductors</v>
      </c>
      <c r="C14667" s="6">
        <v>6000</v>
      </c>
      <c r="D14667" s="7">
        <v>0.23</v>
      </c>
    </row>
    <row r="14668" spans="1:4" x14ac:dyDescent="0.25">
      <c r="A14668" t="str">
        <f>HYPERLINK("https://www.773grp.com/globalSearch/74HC1G86GV125/page-1", "74HC1G86GV125")</f>
        <v>74HC1G86GV125</v>
      </c>
      <c r="B14668" s="3" t="str">
        <f>HYPERLINK("https://www.773grp.com/manufacturer/nxp-semiconductor?pageNo=3", "NXP Semiconductors")</f>
        <v>NXP Semiconductors</v>
      </c>
      <c r="C14668" s="6">
        <v>6000</v>
      </c>
      <c r="D14668" s="7">
        <v>0.23</v>
      </c>
    </row>
    <row r="14669" spans="1:4" x14ac:dyDescent="0.25">
      <c r="A14669" t="str">
        <f>HYPERLINK("https://www.773grp.com/globalSearch/74HC1G86GW125/page-1", "74HC1G86GW125")</f>
        <v>74HC1G86GW125</v>
      </c>
      <c r="B14669" s="3" t="str">
        <f>HYPERLINK("https://www.773grp.com/manufacturer/nxp-semiconductor?pageNo=4", "NXP Semiconductors")</f>
        <v>NXP Semiconductors</v>
      </c>
      <c r="C14669" s="6">
        <v>36000</v>
      </c>
      <c r="D14669" s="7">
        <v>0.23</v>
      </c>
    </row>
    <row r="14670" spans="1:4" x14ac:dyDescent="0.25">
      <c r="A14670" t="str">
        <f>HYPERLINK("https://www.773grp.com/globalSearch/74HC1GU04GV125/page-1", "74HC1GU04GV125")</f>
        <v>74HC1GU04GV125</v>
      </c>
      <c r="B14670" s="3" t="str">
        <f>HYPERLINK("https://www.773grp.com/manufacturer/nxp-semiconductor?pageNo=5", "NXP Semiconductors")</f>
        <v>NXP Semiconductors</v>
      </c>
      <c r="C14670" s="6">
        <v>90000</v>
      </c>
      <c r="D14670" s="7">
        <v>0.23</v>
      </c>
    </row>
    <row r="14671" spans="1:4" x14ac:dyDescent="0.25">
      <c r="A14671" t="str">
        <f>HYPERLINK("https://www.773grp.com/globalSearch/74HC1GU04GW125/page-1", "74HC1GU04GW125")</f>
        <v>74HC1GU04GW125</v>
      </c>
      <c r="B14671" s="3" t="str">
        <f>HYPERLINK("https://www.773grp.com/manufacturer/nxp-semiconductor?pageNo=6", "NXP Semiconductors")</f>
        <v>NXP Semiconductors</v>
      </c>
      <c r="C14671" s="6">
        <v>11618</v>
      </c>
      <c r="D14671" s="7">
        <v>0.23</v>
      </c>
    </row>
    <row r="14672" spans="1:4" x14ac:dyDescent="0.25">
      <c r="A14672" t="str">
        <f>HYPERLINK("https://www.773grp.com/globalSearch/74HCT1G00GV125/page-1", "74HCT1G00GV125")</f>
        <v>74HCT1G00GV125</v>
      </c>
      <c r="B14672" s="3" t="str">
        <f>HYPERLINK("https://www.773grp.com/manufacturer/nxp-semiconductor?pageNo=7", "NXP Semiconductors")</f>
        <v>NXP Semiconductors</v>
      </c>
      <c r="C14672" s="6">
        <v>6000</v>
      </c>
      <c r="D14672" s="7">
        <v>0.23</v>
      </c>
    </row>
    <row r="14673" spans="1:4" x14ac:dyDescent="0.25">
      <c r="A14673" t="str">
        <f>HYPERLINK("https://www.773grp.com/globalSearch/74HCT1G00GW125/page-1", "74HCT1G00GW125")</f>
        <v>74HCT1G00GW125</v>
      </c>
      <c r="B14673" s="3" t="str">
        <f>HYPERLINK("https://www.773grp.com/manufacturer/nxp-semiconductor?pageNo=8", "NXP Semiconductors")</f>
        <v>NXP Semiconductors</v>
      </c>
      <c r="C14673" s="6">
        <v>24000</v>
      </c>
      <c r="D14673" s="7">
        <v>0.23</v>
      </c>
    </row>
    <row r="14674" spans="1:4" x14ac:dyDescent="0.25">
      <c r="A14674" t="str">
        <f>HYPERLINK("https://www.773grp.com/globalSearch/74HCT1G02GW125/page-1", "74HCT1G02GW125")</f>
        <v>74HCT1G02GW125</v>
      </c>
      <c r="B14674" s="3" t="str">
        <f>HYPERLINK("https://www.773grp.com/manufacturer/nxp-semiconductor?pageNo=9", "NXP Semiconductors")</f>
        <v>NXP Semiconductors</v>
      </c>
      <c r="C14674" s="6">
        <v>6000</v>
      </c>
      <c r="D14674" s="7">
        <v>0.23</v>
      </c>
    </row>
    <row r="14675" spans="1:4" x14ac:dyDescent="0.25">
      <c r="A14675" t="str">
        <f>HYPERLINK("https://www.773grp.com/globalSearch/74HCT1G04GV125/page-1", "74HCT1G04GV125")</f>
        <v>74HCT1G04GV125</v>
      </c>
      <c r="B14675" s="3" t="str">
        <f>HYPERLINK("https://www.773grp.com/manufacturer/nxp-semiconductor?pageNo=10", "NXP Semiconductors")</f>
        <v>NXP Semiconductors</v>
      </c>
      <c r="C14675" s="6">
        <v>465000</v>
      </c>
      <c r="D14675" s="7">
        <v>0.23</v>
      </c>
    </row>
    <row r="14676" spans="1:4" x14ac:dyDescent="0.25">
      <c r="A14676" t="str">
        <f>HYPERLINK("https://www.773grp.com/globalSearch/74HCT1G04GW125/page-1", "74HCT1G04GW125")</f>
        <v>74HCT1G04GW125</v>
      </c>
      <c r="B14676" s="3" t="str">
        <f>HYPERLINK("https://www.773grp.com/manufacturer/nxp-semiconductor?pageNo=11", "NXP Semiconductors")</f>
        <v>NXP Semiconductors</v>
      </c>
      <c r="C14676" s="6">
        <v>21000</v>
      </c>
      <c r="D14676" s="7">
        <v>0.23</v>
      </c>
    </row>
    <row r="14677" spans="1:4" x14ac:dyDescent="0.25">
      <c r="A14677" t="str">
        <f>HYPERLINK("https://www.773grp.com/globalSearch/74HCT1G08GW125/page-1", "74HCT1G08GW125")</f>
        <v>74HCT1G08GW125</v>
      </c>
      <c r="B14677" s="3" t="str">
        <f>HYPERLINK("https://www.773grp.com/manufacturer/nxp-semiconductor?pageNo=12", "NXP Semiconductors")</f>
        <v>NXP Semiconductors</v>
      </c>
      <c r="C14677" s="6">
        <v>18545</v>
      </c>
      <c r="D14677" s="7">
        <v>0.23</v>
      </c>
    </row>
    <row r="14678" spans="1:4" x14ac:dyDescent="0.25">
      <c r="A14678" t="str">
        <f>HYPERLINK("https://www.773grp.com/globalSearch/74HCT1G126GV125/page-1", "74HCT1G126GV125")</f>
        <v>74HCT1G126GV125</v>
      </c>
      <c r="B14678" s="3" t="str">
        <f>HYPERLINK("https://www.773grp.com/manufacturer/nxp-semiconductor?pageNo=13", "NXP Semiconductors")</f>
        <v>NXP Semiconductors</v>
      </c>
      <c r="C14678" s="6">
        <v>27000</v>
      </c>
      <c r="D14678" s="7">
        <v>0.23</v>
      </c>
    </row>
    <row r="14679" spans="1:4" x14ac:dyDescent="0.25">
      <c r="A14679" t="str">
        <f>HYPERLINK("https://www.773grp.com/globalSearch/74HCT1G126GW125/page-1", "74HCT1G126GW125")</f>
        <v>74HCT1G126GW125</v>
      </c>
      <c r="B14679" s="3" t="str">
        <f>HYPERLINK("https://www.773grp.com/manufacturer/nxp-semiconductor?pageNo=14", "NXP Semiconductors")</f>
        <v>NXP Semiconductors</v>
      </c>
      <c r="C14679" s="6">
        <v>17900</v>
      </c>
      <c r="D14679" s="7">
        <v>0.23</v>
      </c>
    </row>
    <row r="14680" spans="1:4" x14ac:dyDescent="0.25">
      <c r="A14680" t="str">
        <f>HYPERLINK("https://www.773grp.com/globalSearch/74HCT1G14GV125/page-1", "74HCT1G14GV125")</f>
        <v>74HCT1G14GV125</v>
      </c>
      <c r="B14680" s="3" t="str">
        <f>HYPERLINK("https://www.773grp.com/manufacturer/nxp-semiconductor?pageNo=15", "NXP Semiconductors")</f>
        <v>NXP Semiconductors</v>
      </c>
      <c r="C14680" s="6">
        <v>15000</v>
      </c>
      <c r="D14680" s="7">
        <v>0.23</v>
      </c>
    </row>
    <row r="14681" spans="1:4" x14ac:dyDescent="0.25">
      <c r="A14681" t="str">
        <f>HYPERLINK("https://www.773grp.com/globalSearch/74HCT1G86GV125/page-1", "74HCT1G86GV125")</f>
        <v>74HCT1G86GV125</v>
      </c>
      <c r="B14681" s="3" t="str">
        <f>HYPERLINK("https://www.773grp.com/manufacturer/nxp-semiconductor?pageNo=16", "NXP Semiconductors")</f>
        <v>NXP Semiconductors</v>
      </c>
      <c r="C14681" s="6">
        <v>18000</v>
      </c>
      <c r="D14681" s="7">
        <v>0.23</v>
      </c>
    </row>
    <row r="14682" spans="1:4" x14ac:dyDescent="0.25">
      <c r="A14682" t="str">
        <f>HYPERLINK("https://www.773grp.com/globalSearch/74LVC1G02GV125/page-1", "74LVC1G02GV125")</f>
        <v>74LVC1G02GV125</v>
      </c>
      <c r="B14682" s="3" t="str">
        <f>HYPERLINK("https://www.773grp.com/manufacturer/nxp-semiconductor?pageNo=17", "NXP Semiconductors")</f>
        <v>NXP Semiconductors</v>
      </c>
      <c r="C14682" s="6">
        <v>669000</v>
      </c>
      <c r="D14682" s="7">
        <v>0.23</v>
      </c>
    </row>
    <row r="14683" spans="1:4" x14ac:dyDescent="0.25">
      <c r="A14683" t="str">
        <f>HYPERLINK("https://www.773grp.com/globalSearch/74LVC1G11GW125/page-1", "74LVC1G11GW125")</f>
        <v>74LVC1G11GW125</v>
      </c>
      <c r="B14683" s="3" t="str">
        <f>HYPERLINK("https://www.773grp.com/manufacturer/nxp-semiconductor?pageNo=18", "NXP Semiconductors")</f>
        <v>NXP Semiconductors</v>
      </c>
      <c r="C14683" s="6">
        <v>177000</v>
      </c>
      <c r="D14683" s="7">
        <v>0.23</v>
      </c>
    </row>
    <row r="14684" spans="1:4" x14ac:dyDescent="0.25">
      <c r="A14684" t="str">
        <f>HYPERLINK("https://www.773grp.com/globalSearch/74LVC1G157GW125/page-1", "74LVC1G157GW125")</f>
        <v>74LVC1G157GW125</v>
      </c>
      <c r="B14684" s="3" t="str">
        <f>HYPERLINK("https://www.773grp.com/manufacturer/nxp-semiconductor?pageNo=19", "NXP Semiconductors")</f>
        <v>NXP Semiconductors</v>
      </c>
      <c r="C14684" s="6">
        <v>18000</v>
      </c>
      <c r="D14684" s="7">
        <v>0.23</v>
      </c>
    </row>
    <row r="14685" spans="1:4" x14ac:dyDescent="0.25">
      <c r="A14685" t="str">
        <f>HYPERLINK("https://www.773grp.com/globalSearch/74LVC1G175GW125/page-1", "74LVC1G175GW125")</f>
        <v>74LVC1G175GW125</v>
      </c>
      <c r="B14685" s="3" t="str">
        <f>HYPERLINK("https://www.773grp.com/manufacturer/nxp-semiconductor?pageNo=20", "NXP Semiconductors")</f>
        <v>NXP Semiconductors</v>
      </c>
      <c r="C14685" s="6">
        <v>68850</v>
      </c>
      <c r="D14685" s="7">
        <v>0.23</v>
      </c>
    </row>
    <row r="14686" spans="1:4" x14ac:dyDescent="0.25">
      <c r="A14686" t="str">
        <f>HYPERLINK("https://www.773grp.com/globalSearch/74LVC1G19GW125/page-1", "74LVC1G19GW125")</f>
        <v>74LVC1G19GW125</v>
      </c>
      <c r="B14686" s="3" t="str">
        <f>HYPERLINK("https://www.773grp.com/manufacturer/nxp-semiconductor?pageNo=21", "NXP Semiconductors")</f>
        <v>NXP Semiconductors</v>
      </c>
      <c r="C14686" s="6">
        <v>60000</v>
      </c>
      <c r="D14686" s="7">
        <v>0.23</v>
      </c>
    </row>
    <row r="14687" spans="1:4" x14ac:dyDescent="0.25">
      <c r="A14687" t="str">
        <f>HYPERLINK("https://www.773grp.com/globalSearch/74LVC1G34GV125/page-1", "74LVC1G34GV125")</f>
        <v>74LVC1G34GV125</v>
      </c>
      <c r="B14687" s="3" t="str">
        <f>HYPERLINK("https://www.773grp.com/manufacturer/nxp-semiconductor?pageNo=22", "NXP Semiconductors")</f>
        <v>NXP Semiconductors</v>
      </c>
      <c r="C14687" s="6">
        <v>33000</v>
      </c>
      <c r="D14687" s="7">
        <v>0.23</v>
      </c>
    </row>
    <row r="14688" spans="1:4" x14ac:dyDescent="0.25">
      <c r="A14688" t="str">
        <f>HYPERLINK("https://www.773grp.com/globalSearch/74LVC1G384GW125/page-1", "74LVC1G384GW125")</f>
        <v>74LVC1G384GW125</v>
      </c>
      <c r="B14688" s="3" t="str">
        <f>HYPERLINK("https://www.773grp.com/manufacturer/nxp-semiconductor?pageNo=23", "NXP Semiconductors")</f>
        <v>NXP Semiconductors</v>
      </c>
      <c r="C14688" s="6">
        <v>18000</v>
      </c>
      <c r="D14688" s="7">
        <v>0.23</v>
      </c>
    </row>
    <row r="14689" spans="1:4" x14ac:dyDescent="0.25">
      <c r="A14689" t="str">
        <f>HYPERLINK("https://www.773grp.com/globalSearch/74LVC1G57GW125/page-1", "74LVC1G57GW125")</f>
        <v>74LVC1G57GW125</v>
      </c>
      <c r="B14689" s="3" t="str">
        <f>HYPERLINK("https://www.773grp.com/manufacturer/nxp-semiconductor?pageNo=24", "NXP Semiconductors")</f>
        <v>NXP Semiconductors</v>
      </c>
      <c r="C14689" s="6">
        <v>44700</v>
      </c>
      <c r="D14689" s="7">
        <v>0.23</v>
      </c>
    </row>
    <row r="14690" spans="1:4" x14ac:dyDescent="0.25">
      <c r="A14690" t="str">
        <f>HYPERLINK("https://www.773grp.com/globalSearch/74LVC1G66GW125/page-1", "74LVC1G66GW125")</f>
        <v>74LVC1G66GW125</v>
      </c>
      <c r="B14690" s="3" t="str">
        <f>HYPERLINK("https://www.773grp.com/manufacturer/nxp-semiconductor?pageNo=25", "NXP Semiconductors")</f>
        <v>NXP Semiconductors</v>
      </c>
      <c r="C14690" s="6">
        <v>47850</v>
      </c>
      <c r="D14690" s="7">
        <v>0.23</v>
      </c>
    </row>
    <row r="14691" spans="1:4" x14ac:dyDescent="0.25">
      <c r="A14691" t="str">
        <f>HYPERLINK("https://www.773grp.com/globalSearch/74LVC1G79GV125/page-1", "74LVC1G79GV125")</f>
        <v>74LVC1G79GV125</v>
      </c>
      <c r="B14691" s="3" t="str">
        <f>HYPERLINK("https://www.773grp.com/manufacturer/nxp-semiconductor?pageNo=26", "NXP Semiconductors")</f>
        <v>NXP Semiconductors</v>
      </c>
      <c r="C14691" s="6">
        <v>42000</v>
      </c>
      <c r="D14691" s="7">
        <v>0.23</v>
      </c>
    </row>
    <row r="14692" spans="1:4" x14ac:dyDescent="0.25">
      <c r="A14692" t="str">
        <f>HYPERLINK("https://www.773grp.com/globalSearch/74LVC1G79GW125/page-1", "74LVC1G79GW125")</f>
        <v>74LVC1G79GW125</v>
      </c>
      <c r="B14692" s="3" t="str">
        <f>HYPERLINK("https://www.773grp.com/manufacturer/nxp-semiconductor?pageNo=27", "NXP Semiconductors")</f>
        <v>NXP Semiconductors</v>
      </c>
      <c r="C14692" s="6">
        <v>33000</v>
      </c>
      <c r="D14692" s="7">
        <v>0.23</v>
      </c>
    </row>
    <row r="14693" spans="1:4" x14ac:dyDescent="0.25">
      <c r="A14693" t="str">
        <f>HYPERLINK("https://www.773grp.com/globalSearch/74LVC1G80GV125/page-1", "74LVC1G80GV125")</f>
        <v>74LVC1G80GV125</v>
      </c>
      <c r="B14693" s="3" t="str">
        <f>HYPERLINK("https://www.773grp.com/manufacturer/nxp-semiconductor?pageNo=28", "NXP Semiconductors")</f>
        <v>NXP Semiconductors</v>
      </c>
      <c r="C14693" s="6">
        <v>60490</v>
      </c>
      <c r="D14693" s="7">
        <v>0.23</v>
      </c>
    </row>
    <row r="14694" spans="1:4" x14ac:dyDescent="0.25">
      <c r="A14694" t="str">
        <f>HYPERLINK("https://www.773grp.com/globalSearch/74LVC1G86GV125/page-1", "74LVC1G86GV125")</f>
        <v>74LVC1G86GV125</v>
      </c>
      <c r="B14694" s="3" t="str">
        <f>HYPERLINK("https://www.773grp.com/manufacturer/nxp-semiconductor?pageNo=29", "NXP Semiconductors")</f>
        <v>NXP Semiconductors</v>
      </c>
      <c r="C14694" s="6">
        <v>108200</v>
      </c>
      <c r="D14694" s="7">
        <v>0.23</v>
      </c>
    </row>
    <row r="14695" spans="1:4" x14ac:dyDescent="0.25">
      <c r="A14695" t="str">
        <f>HYPERLINK("https://www.773grp.com/globalSearch/74LVC1GU04GV125/page-1", "74LVC1GU04GV125")</f>
        <v>74LVC1GU04GV125</v>
      </c>
      <c r="B14695" s="3" t="str">
        <f>HYPERLINK("https://www.773grp.com/manufacturer/nxp-semiconductor?pageNo=30", "NXP Semiconductors")</f>
        <v>NXP Semiconductors</v>
      </c>
      <c r="C14695" s="6">
        <v>20160</v>
      </c>
      <c r="D14695" s="7">
        <v>0.23</v>
      </c>
    </row>
    <row r="14696" spans="1:4" x14ac:dyDescent="0.25">
      <c r="A14696" t="str">
        <f>HYPERLINK("https://www.773grp.com/globalSearch/BA277115/page-1", "BA277115")</f>
        <v>BA277115</v>
      </c>
      <c r="B14696" s="3" t="str">
        <f>HYPERLINK("https://www.773grp.com/manufacturer/nxp-semiconductor?pageNo=31", "NXP Semiconductors")</f>
        <v>NXP Semiconductors</v>
      </c>
      <c r="C14696" s="6">
        <v>8857</v>
      </c>
      <c r="D14696" s="7">
        <v>0.23</v>
      </c>
    </row>
    <row r="14697" spans="1:4" x14ac:dyDescent="0.25">
      <c r="A14697" t="str">
        <f>HYPERLINK("https://www.773grp.com/globalSearch/BA277335/page-1", "BA277335")</f>
        <v>BA277335</v>
      </c>
      <c r="B14697" s="3" t="str">
        <f>HYPERLINK("https://www.773grp.com/manufacturer/nxp-semiconductor?pageNo=32", "NXP Semiconductors")</f>
        <v>NXP Semiconductors</v>
      </c>
      <c r="C14697" s="6">
        <v>20000</v>
      </c>
      <c r="D14697" s="7">
        <v>0.23</v>
      </c>
    </row>
    <row r="14698" spans="1:4" x14ac:dyDescent="0.25">
      <c r="A14698" t="str">
        <f>HYPERLINK("https://www.773grp.com/globalSearch/BAP50-03115/page-1", "BAP50-03115")</f>
        <v>BAP50-03115</v>
      </c>
      <c r="B14698" s="3" t="str">
        <f>HYPERLINK("https://www.773grp.com/manufacturer/nxp-semiconductor?pageNo=33", "NXP Semiconductors")</f>
        <v>NXP Semiconductors</v>
      </c>
      <c r="C14698" s="6">
        <v>93000</v>
      </c>
      <c r="D14698" s="7">
        <v>0.23</v>
      </c>
    </row>
    <row r="14699" spans="1:4" x14ac:dyDescent="0.25">
      <c r="A14699" t="str">
        <f>HYPERLINK("https://www.773grp.com/globalSearch/BAP50-03135/page-1", "BAP50-03135")</f>
        <v>BAP50-03135</v>
      </c>
      <c r="B14699" s="3" t="str">
        <f>HYPERLINK("https://www.773grp.com/manufacturer/nxp-semiconductor?pageNo=34", "NXP Semiconductors")</f>
        <v>NXP Semiconductors</v>
      </c>
      <c r="C14699" s="6">
        <v>13830</v>
      </c>
      <c r="D14699" s="7">
        <v>0.23</v>
      </c>
    </row>
    <row r="14700" spans="1:4" x14ac:dyDescent="0.25">
      <c r="A14700" t="str">
        <f>HYPERLINK("https://www.773grp.com/globalSearch/BAP50LX315/page-1", "BAP50LX315")</f>
        <v>BAP50LX315</v>
      </c>
      <c r="B14700" s="3" t="str">
        <f>HYPERLINK("https://www.773grp.com/manufacturer/nxp-semiconductor?pageNo=35", "NXP Semiconductors")</f>
        <v>NXP Semiconductors</v>
      </c>
      <c r="C14700" s="6">
        <v>500</v>
      </c>
      <c r="D14700" s="7">
        <v>0.23</v>
      </c>
    </row>
    <row r="14701" spans="1:4" x14ac:dyDescent="0.25">
      <c r="A14701" t="str">
        <f>HYPERLINK("https://www.773grp.com/globalSearch/BAP63-05W115/page-1", "BAP63-05W115")</f>
        <v>BAP63-05W115</v>
      </c>
      <c r="B14701" s="3" t="str">
        <f>HYPERLINK("https://www.773grp.com/manufacturer/nxp-semiconductor?pageNo=36", "NXP Semiconductors")</f>
        <v>NXP Semiconductors</v>
      </c>
      <c r="C14701" s="6">
        <v>8582</v>
      </c>
      <c r="D14701" s="7">
        <v>0.23</v>
      </c>
    </row>
    <row r="14702" spans="1:4" x14ac:dyDescent="0.25">
      <c r="A14702" t="str">
        <f>HYPERLINK("https://www.773grp.com/globalSearch/BAP64-03115/page-1", "BAP64-03115")</f>
        <v>BAP64-03115</v>
      </c>
      <c r="B14702" s="3" t="str">
        <f>HYPERLINK("https://www.773grp.com/manufacturer/nxp-semiconductor?pageNo=37", "NXP Semiconductors")</f>
        <v>NXP Semiconductors</v>
      </c>
      <c r="C14702" s="6">
        <v>15793</v>
      </c>
      <c r="D14702" s="7">
        <v>0.23</v>
      </c>
    </row>
    <row r="14703" spans="1:4" x14ac:dyDescent="0.25">
      <c r="A14703" t="str">
        <f>HYPERLINK("https://www.773grp.com/globalSearch/BAS101215/page-1", "BAS101215")</f>
        <v>BAS101215</v>
      </c>
      <c r="B14703" s="3" t="str">
        <f>HYPERLINK("https://www.773grp.com/manufacturer/nxp-semiconductor?pageNo=38", "NXP Semiconductors")</f>
        <v>NXP Semiconductors</v>
      </c>
      <c r="C14703" s="6">
        <v>15600</v>
      </c>
      <c r="D14703" s="7">
        <v>0.23</v>
      </c>
    </row>
    <row r="14704" spans="1:4" x14ac:dyDescent="0.25">
      <c r="A14704" t="str">
        <f>HYPERLINK("https://www.773grp.com/globalSearch/BAS101S215/page-1", "BAS101S215")</f>
        <v>BAS101S215</v>
      </c>
      <c r="B14704" s="3" t="str">
        <f>HYPERLINK("https://www.773grp.com/manufacturer/nxp-semiconductor?pageNo=39", "NXP Semiconductors")</f>
        <v>NXP Semiconductors</v>
      </c>
      <c r="C14704" s="6">
        <v>9000</v>
      </c>
      <c r="D14704" s="7">
        <v>0.23</v>
      </c>
    </row>
    <row r="14705" spans="1:4" x14ac:dyDescent="0.25">
      <c r="A14705" t="str">
        <f>HYPERLINK("https://www.773grp.com/globalSearch/BAS116215/page-1", "BAS116215")</f>
        <v>BAS116215</v>
      </c>
      <c r="B14705" s="3" t="str">
        <f>HYPERLINK("https://www.773grp.com/manufacturer/nxp-semiconductor?pageNo=40", "NXP Semiconductors")</f>
        <v>NXP Semiconductors</v>
      </c>
      <c r="C14705" s="6">
        <v>2733</v>
      </c>
      <c r="D14705" s="7">
        <v>0.23</v>
      </c>
    </row>
    <row r="14706" spans="1:4" x14ac:dyDescent="0.25">
      <c r="A14706" t="str">
        <f>HYPERLINK("https://www.773grp.com/globalSearch/BAS116235/page-1", "BAS116235")</f>
        <v>BAS116235</v>
      </c>
      <c r="B14706" s="3" t="str">
        <f>HYPERLINK("https://www.773grp.com/manufacturer/nxp-semiconductor?pageNo=41", "NXP Semiconductors")</f>
        <v>NXP Semiconductors</v>
      </c>
      <c r="C14706" s="6">
        <v>10000</v>
      </c>
      <c r="D14706" s="7">
        <v>0.23</v>
      </c>
    </row>
    <row r="14707" spans="1:4" x14ac:dyDescent="0.25">
      <c r="A14707" t="str">
        <f>HYPERLINK("https://www.773grp.com/globalSearch/BAS16L315/page-1", "BAS16L315")</f>
        <v>BAS16L315</v>
      </c>
      <c r="B14707" s="3" t="str">
        <f>HYPERLINK("https://www.773grp.com/manufacturer/nxp-semiconductor?pageNo=42", "NXP Semiconductors")</f>
        <v>NXP Semiconductors</v>
      </c>
      <c r="C14707" s="6">
        <v>150000</v>
      </c>
      <c r="D14707" s="7">
        <v>0.23</v>
      </c>
    </row>
    <row r="14708" spans="1:4" x14ac:dyDescent="0.25">
      <c r="A14708" t="str">
        <f>HYPERLINK("https://www.773grp.com/globalSearch/BAS16VY115/page-1", "BAS16VY115")</f>
        <v>BAS16VY115</v>
      </c>
      <c r="B14708" s="3" t="str">
        <f>HYPERLINK("https://www.773grp.com/manufacturer/nxp-semiconductor?pageNo=43", "NXP Semiconductors")</f>
        <v>NXP Semiconductors</v>
      </c>
      <c r="C14708" s="6">
        <v>9000</v>
      </c>
      <c r="D14708" s="7">
        <v>0.23</v>
      </c>
    </row>
    <row r="14709" spans="1:4" x14ac:dyDescent="0.25">
      <c r="A14709" t="str">
        <f>HYPERLINK("https://www.773grp.com/globalSearch/BAS21AVD165/page-1", "BAS21AVD165")</f>
        <v>BAS21AVD165</v>
      </c>
      <c r="B14709" s="3" t="str">
        <f>HYPERLINK("https://www.773grp.com/manufacturer/nxp-semiconductor?pageNo=44", "NXP Semiconductors")</f>
        <v>NXP Semiconductors</v>
      </c>
      <c r="C14709" s="6">
        <v>268</v>
      </c>
      <c r="D14709" s="7">
        <v>0.23</v>
      </c>
    </row>
    <row r="14710" spans="1:4" x14ac:dyDescent="0.25">
      <c r="A14710" t="str">
        <f>HYPERLINK("https://www.773grp.com/globalSearch/BAS21H115/page-1", "BAS21H115")</f>
        <v>BAS21H115</v>
      </c>
      <c r="B14710" s="3" t="str">
        <f>HYPERLINK("https://www.773grp.com/manufacturer/nxp-semiconductor?pageNo=45", "NXP Semiconductors")</f>
        <v>NXP Semiconductors</v>
      </c>
      <c r="C14710" s="6">
        <v>58620</v>
      </c>
      <c r="D14710" s="7">
        <v>0.23</v>
      </c>
    </row>
    <row r="14711" spans="1:4" x14ac:dyDescent="0.25">
      <c r="A14711" t="str">
        <f>HYPERLINK("https://www.773grp.com/globalSearch/BAS21SW115/page-1", "BAS21SW115")</f>
        <v>BAS21SW115</v>
      </c>
      <c r="B14711" s="3" t="str">
        <f>HYPERLINK("https://www.773grp.com/manufacturer/nxp-semiconductor?pageNo=46", "NXP Semiconductors")</f>
        <v>NXP Semiconductors</v>
      </c>
      <c r="C14711" s="6">
        <v>13304</v>
      </c>
      <c r="D14711" s="7">
        <v>0.23</v>
      </c>
    </row>
    <row r="14712" spans="1:4" x14ac:dyDescent="0.25">
      <c r="A14712" t="str">
        <f>HYPERLINK("https://www.773grp.com/globalSearch/BAS21VD135/page-1", "BAS21VD135")</f>
        <v>BAS21VD135</v>
      </c>
      <c r="B14712" s="3" t="str">
        <f>HYPERLINK("https://www.773grp.com/manufacturer/nxp-semiconductor?pageNo=47", "NXP Semiconductors")</f>
        <v>NXP Semiconductors</v>
      </c>
      <c r="C14712" s="6">
        <v>7990</v>
      </c>
      <c r="D14712" s="7">
        <v>0.23</v>
      </c>
    </row>
    <row r="14713" spans="1:4" x14ac:dyDescent="0.25">
      <c r="A14713" t="str">
        <f>HYPERLINK("https://www.773grp.com/globalSearch/BAS321115/page-1", "BAS321115")</f>
        <v>BAS321115</v>
      </c>
      <c r="B14713" s="3" t="str">
        <f>HYPERLINK("https://www.773grp.com/manufacturer/nxp-semiconductor?pageNo=48", "NXP Semiconductors")</f>
        <v>NXP Semiconductors</v>
      </c>
      <c r="C14713" s="6">
        <v>1201194</v>
      </c>
      <c r="D14713" s="7">
        <v>0.23</v>
      </c>
    </row>
    <row r="14714" spans="1:4" x14ac:dyDescent="0.25">
      <c r="A14714" t="str">
        <f>HYPERLINK("https://www.773grp.com/globalSearch/BAS40-04215/page-1", "BAS40-04215")</f>
        <v>BAS40-04215</v>
      </c>
      <c r="B14714" s="3" t="str">
        <f>HYPERLINK("https://www.773grp.com/manufacturer/nxp-semiconductor?pageNo=1", "NXP Semiconductors")</f>
        <v>NXP Semiconductors</v>
      </c>
      <c r="C14714" s="6">
        <v>417000</v>
      </c>
      <c r="D14714" s="7">
        <v>0.23</v>
      </c>
    </row>
    <row r="14715" spans="1:4" x14ac:dyDescent="0.25">
      <c r="A14715" t="str">
        <f>HYPERLINK("https://www.773grp.com/globalSearch/BAS40-04235/page-1", "BAS40-04235")</f>
        <v>BAS40-04235</v>
      </c>
      <c r="B14715" s="3" t="str">
        <f>HYPERLINK("https://www.773grp.com/manufacturer/nxp-semiconductor?pageNo=2", "NXP Semiconductors")</f>
        <v>NXP Semiconductors</v>
      </c>
      <c r="C14715" s="6">
        <v>30000</v>
      </c>
      <c r="D14715" s="7">
        <v>0.23</v>
      </c>
    </row>
    <row r="14716" spans="1:4" x14ac:dyDescent="0.25">
      <c r="A14716" t="str">
        <f>HYPERLINK("https://www.773grp.com/globalSearch/BAS40-05215/page-1", "BAS40-05215")</f>
        <v>BAS40-05215</v>
      </c>
      <c r="B14716" s="3" t="str">
        <f>HYPERLINK("https://www.773grp.com/manufacturer/nxp-semiconductor?pageNo=3", "NXP Semiconductors")</f>
        <v>NXP Semiconductors</v>
      </c>
      <c r="C14716" s="6">
        <v>15000</v>
      </c>
      <c r="D14716" s="7">
        <v>0.23</v>
      </c>
    </row>
    <row r="14717" spans="1:4" x14ac:dyDescent="0.25">
      <c r="A14717" t="str">
        <f>HYPERLINK("https://www.773grp.com/globalSearch/BAS40-05W115/page-1", "BAS40-05W115")</f>
        <v>BAS40-05W115</v>
      </c>
      <c r="B14717" s="3" t="str">
        <f>HYPERLINK("https://www.773grp.com/manufacturer/nxp-semiconductor?pageNo=4", "NXP Semiconductors")</f>
        <v>NXP Semiconductors</v>
      </c>
      <c r="C14717" s="6">
        <v>108000</v>
      </c>
      <c r="D14717" s="7">
        <v>0.23</v>
      </c>
    </row>
    <row r="14718" spans="1:4" x14ac:dyDescent="0.25">
      <c r="A14718" t="str">
        <f>HYPERLINK("https://www.773grp.com/globalSearch/BAS40-06215/page-1", "BAS40-06215")</f>
        <v>BAS40-06215</v>
      </c>
      <c r="B14718" s="3" t="str">
        <f>HYPERLINK("https://www.773grp.com/manufacturer/nxp-semiconductor?pageNo=5", "NXP Semiconductors")</f>
        <v>NXP Semiconductors</v>
      </c>
      <c r="C14718" s="6">
        <v>6190</v>
      </c>
      <c r="D14718" s="7">
        <v>0.23</v>
      </c>
    </row>
    <row r="14719" spans="1:4" x14ac:dyDescent="0.25">
      <c r="A14719" t="str">
        <f>HYPERLINK("https://www.773grp.com/globalSearch/BAS40-06W115/page-1", "BAS40-06W115")</f>
        <v>BAS40-06W115</v>
      </c>
      <c r="B14719" s="3" t="str">
        <f>HYPERLINK("https://www.773grp.com/manufacturer/nxp-semiconductor?pageNo=6", "NXP Semiconductors")</f>
        <v>NXP Semiconductors</v>
      </c>
      <c r="C14719" s="6">
        <v>70</v>
      </c>
      <c r="D14719" s="7">
        <v>0.23</v>
      </c>
    </row>
    <row r="14720" spans="1:4" x14ac:dyDescent="0.25">
      <c r="A14720" t="str">
        <f>HYPERLINK("https://www.773grp.com/globalSearch/BAS40215/page-1", "BAS40215")</f>
        <v>BAS40215</v>
      </c>
      <c r="B14720" s="3" t="str">
        <f>HYPERLINK("https://www.773grp.com/manufacturer/nxp-semiconductor?pageNo=7", "NXP Semiconductors")</f>
        <v>NXP Semiconductors</v>
      </c>
      <c r="C14720" s="6">
        <v>101182</v>
      </c>
      <c r="D14720" s="7">
        <v>0.23</v>
      </c>
    </row>
    <row r="14721" spans="1:4" x14ac:dyDescent="0.25">
      <c r="A14721" t="str">
        <f>HYPERLINK("https://www.773grp.com/globalSearch/BAS40235/page-1", "BAS40235")</f>
        <v>BAS40235</v>
      </c>
      <c r="B14721" s="3" t="str">
        <f>HYPERLINK("https://www.773grp.com/manufacturer/nxp-semiconductor?pageNo=8", "NXP Semiconductors")</f>
        <v>NXP Semiconductors</v>
      </c>
      <c r="C14721" s="6">
        <v>19124</v>
      </c>
      <c r="D14721" s="7">
        <v>0.23</v>
      </c>
    </row>
    <row r="14722" spans="1:4" x14ac:dyDescent="0.25">
      <c r="A14722" t="str">
        <f>HYPERLINK("https://www.773grp.com/globalSearch/BAS521115/page-1", "BAS521115")</f>
        <v>BAS521115</v>
      </c>
      <c r="B14722" s="3" t="str">
        <f>HYPERLINK("https://www.773grp.com/manufacturer/nxp-semiconductor?pageNo=9", "NXP Semiconductors")</f>
        <v>NXP Semiconductors</v>
      </c>
      <c r="C14722" s="6">
        <v>18000</v>
      </c>
      <c r="D14722" s="7">
        <v>0.23</v>
      </c>
    </row>
    <row r="14723" spans="1:4" x14ac:dyDescent="0.25">
      <c r="A14723" t="str">
        <f>HYPERLINK("https://www.773grp.com/globalSearch/BAS521315/page-1", "BAS521315")</f>
        <v>BAS521315</v>
      </c>
      <c r="B14723" s="3" t="str">
        <f>HYPERLINK("https://www.773grp.com/manufacturer/nxp-semiconductor?pageNo=10", "NXP Semiconductors")</f>
        <v>NXP Semiconductors</v>
      </c>
      <c r="C14723" s="6">
        <v>8000</v>
      </c>
      <c r="D14723" s="7">
        <v>0.23</v>
      </c>
    </row>
    <row r="14724" spans="1:4" x14ac:dyDescent="0.25">
      <c r="A14724" t="str">
        <f>HYPERLINK("https://www.773grp.com/globalSearch/BAS70-04215/page-1", "BAS70-04215")</f>
        <v>BAS70-04215</v>
      </c>
      <c r="B14724" s="3" t="str">
        <f>HYPERLINK("https://www.773grp.com/manufacturer/nxp-semiconductor?pageNo=11", "NXP Semiconductors")</f>
        <v>NXP Semiconductors</v>
      </c>
      <c r="C14724" s="6">
        <v>181261</v>
      </c>
      <c r="D14724" s="7">
        <v>0.23</v>
      </c>
    </row>
    <row r="14725" spans="1:4" x14ac:dyDescent="0.25">
      <c r="A14725" t="str">
        <f>HYPERLINK("https://www.773grp.com/globalSearch/BAS70-04235/page-1", "BAS70-04235")</f>
        <v>BAS70-04235</v>
      </c>
      <c r="B14725" s="3" t="str">
        <f>HYPERLINK("https://www.773grp.com/manufacturer/nxp-semiconductor?pageNo=12", "NXP Semiconductors")</f>
        <v>NXP Semiconductors</v>
      </c>
      <c r="C14725" s="6">
        <v>30000</v>
      </c>
      <c r="D14725" s="7">
        <v>0.23</v>
      </c>
    </row>
    <row r="14726" spans="1:4" x14ac:dyDescent="0.25">
      <c r="A14726" t="str">
        <f>HYPERLINK("https://www.773grp.com/globalSearch/BAS70-04W115/page-1", "BAS70-04W115")</f>
        <v>BAS70-04W115</v>
      </c>
      <c r="B14726" s="3" t="str">
        <f>HYPERLINK("https://www.773grp.com/manufacturer/nxp-semiconductor?pageNo=13", "NXP Semiconductors")</f>
        <v>NXP Semiconductors</v>
      </c>
      <c r="C14726" s="6">
        <v>110</v>
      </c>
      <c r="D14726" s="7">
        <v>0.23</v>
      </c>
    </row>
    <row r="14727" spans="1:4" x14ac:dyDescent="0.25">
      <c r="A14727" t="str">
        <f>HYPERLINK("https://www.773grp.com/globalSearch/BAS70-05235/page-1", "BAS70-05235")</f>
        <v>BAS70-05235</v>
      </c>
      <c r="B14727" s="3" t="str">
        <f>HYPERLINK("https://www.773grp.com/manufacturer/nxp-semiconductor?pageNo=14", "NXP Semiconductors")</f>
        <v>NXP Semiconductors</v>
      </c>
      <c r="C14727" s="6">
        <v>20000</v>
      </c>
      <c r="D14727" s="7">
        <v>0.23</v>
      </c>
    </row>
    <row r="14728" spans="1:4" x14ac:dyDescent="0.25">
      <c r="A14728" t="str">
        <f>HYPERLINK("https://www.773grp.com/globalSearch/BAS70-05W115/page-1", "BAS70-05W115")</f>
        <v>BAS70-05W115</v>
      </c>
      <c r="B14728" s="3" t="str">
        <f>HYPERLINK("https://www.773grp.com/manufacturer/nxp-semiconductor?pageNo=15", "NXP Semiconductors")</f>
        <v>NXP Semiconductors</v>
      </c>
      <c r="C14728" s="6">
        <v>48000</v>
      </c>
      <c r="D14728" s="7">
        <v>0.23</v>
      </c>
    </row>
    <row r="14729" spans="1:4" x14ac:dyDescent="0.25">
      <c r="A14729" t="str">
        <f>HYPERLINK("https://www.773grp.com/globalSearch/BAS70-06W115/page-1", "BAS70-06W115")</f>
        <v>BAS70-06W115</v>
      </c>
      <c r="B14729" s="3" t="str">
        <f>HYPERLINK("https://www.773grp.com/manufacturer/nxp-semiconductor?pageNo=16", "NXP Semiconductors")</f>
        <v>NXP Semiconductors</v>
      </c>
      <c r="C14729" s="6">
        <v>32385</v>
      </c>
      <c r="D14729" s="7">
        <v>0.23</v>
      </c>
    </row>
    <row r="14730" spans="1:4" x14ac:dyDescent="0.25">
      <c r="A14730" t="str">
        <f>HYPERLINK("https://www.773grp.com/globalSearch/BAS85135/page-1", "BAS85135")</f>
        <v>BAS85135</v>
      </c>
      <c r="B14730" s="3" t="str">
        <f>HYPERLINK("https://www.773grp.com/manufacturer/nxp-semiconductor?pageNo=17", "NXP Semiconductors")</f>
        <v>NXP Semiconductors</v>
      </c>
      <c r="C14730" s="6">
        <v>80000</v>
      </c>
      <c r="D14730" s="7">
        <v>0.23</v>
      </c>
    </row>
    <row r="14731" spans="1:4" x14ac:dyDescent="0.25">
      <c r="A14731" t="str">
        <f>HYPERLINK("https://www.773grp.com/globalSearch/BAT54215/page-1", "BAT54215")</f>
        <v>BAT54215</v>
      </c>
      <c r="B14731" s="3" t="str">
        <f>HYPERLINK("https://www.773grp.com/manufacturer/nxp-semiconductor?pageNo=18", "NXP Semiconductors")</f>
        <v>NXP Semiconductors</v>
      </c>
      <c r="C14731" s="6">
        <v>2241000</v>
      </c>
      <c r="D14731" s="7">
        <v>0.23</v>
      </c>
    </row>
    <row r="14732" spans="1:4" x14ac:dyDescent="0.25">
      <c r="A14732" t="str">
        <f>HYPERLINK("https://www.773grp.com/globalSearch/BAT54235/page-1", "BAT54235")</f>
        <v>BAT54235</v>
      </c>
      <c r="B14732" s="3" t="str">
        <f>HYPERLINK("https://www.773grp.com/manufacturer/nxp-semiconductor?pageNo=19", "NXP Semiconductors")</f>
        <v>NXP Semiconductors</v>
      </c>
      <c r="C14732" s="6">
        <v>10000</v>
      </c>
      <c r="D14732" s="7">
        <v>0.23</v>
      </c>
    </row>
    <row r="14733" spans="1:4" x14ac:dyDescent="0.25">
      <c r="A14733" t="str">
        <f>HYPERLINK("https://www.773grp.com/globalSearch/BAT54A235/page-1", "BAT54A235")</f>
        <v>BAT54A235</v>
      </c>
      <c r="B14733" s="3" t="str">
        <f>HYPERLINK("https://www.773grp.com/manufacturer/nxp-semiconductor?pageNo=20", "NXP Semiconductors")</f>
        <v>NXP Semiconductors</v>
      </c>
      <c r="C14733" s="6">
        <v>70000</v>
      </c>
      <c r="D14733" s="7">
        <v>0.23</v>
      </c>
    </row>
    <row r="14734" spans="1:4" x14ac:dyDescent="0.25">
      <c r="A14734" t="str">
        <f>HYPERLINK("https://www.773grp.com/globalSearch/BAT54J115/page-1", "BAT54J115")</f>
        <v>BAT54J115</v>
      </c>
      <c r="B14734" s="3" t="str">
        <f>HYPERLINK("https://www.773grp.com/manufacturer/nxp-semiconductor?pageNo=21", "NXP Semiconductors")</f>
        <v>NXP Semiconductors</v>
      </c>
      <c r="C14734" s="6">
        <v>39000</v>
      </c>
      <c r="D14734" s="7">
        <v>0.23</v>
      </c>
    </row>
    <row r="14735" spans="1:4" x14ac:dyDescent="0.25">
      <c r="A14735" t="str">
        <f>HYPERLINK("https://www.773grp.com/globalSearch/BAT54S215/page-1", "BAT54S215")</f>
        <v>BAT54S215</v>
      </c>
      <c r="B14735" s="3" t="str">
        <f>HYPERLINK("https://www.773grp.com/manufacturer/nxp-semiconductor?pageNo=22", "NXP Semiconductors")</f>
        <v>NXP Semiconductors</v>
      </c>
      <c r="C14735" s="6">
        <v>1386000</v>
      </c>
      <c r="D14735" s="7">
        <v>0.23</v>
      </c>
    </row>
    <row r="14736" spans="1:4" x14ac:dyDescent="0.25">
      <c r="A14736" t="str">
        <f>HYPERLINK("https://www.773grp.com/globalSearch/BAV199W115/page-1", "BAV199W115")</f>
        <v>BAV199W115</v>
      </c>
      <c r="B14736" s="3" t="str">
        <f>HYPERLINK("https://www.773grp.com/manufacturer/nxp-semiconductor?pageNo=23", "NXP Semiconductors")</f>
        <v>NXP Semiconductors</v>
      </c>
      <c r="C14736" s="6">
        <v>787</v>
      </c>
      <c r="D14736" s="7">
        <v>0.23</v>
      </c>
    </row>
    <row r="14737" spans="1:4" x14ac:dyDescent="0.25">
      <c r="A14737" t="str">
        <f>HYPERLINK("https://www.773grp.com/globalSearch/BAV70S115/page-1", "BAV70S115")</f>
        <v>BAV70S115</v>
      </c>
      <c r="B14737" s="3" t="str">
        <f>HYPERLINK("https://www.773grp.com/manufacturer/nxp-semiconductor?pageNo=24", "NXP Semiconductors")</f>
        <v>NXP Semiconductors</v>
      </c>
      <c r="C14737" s="6">
        <v>2256</v>
      </c>
      <c r="D14737" s="7">
        <v>0.23</v>
      </c>
    </row>
    <row r="14738" spans="1:4" x14ac:dyDescent="0.25">
      <c r="A14738" t="str">
        <f>HYPERLINK("https://www.773grp.com/globalSearch/BAV70S135/page-1", "BAV70S135")</f>
        <v>BAV70S135</v>
      </c>
      <c r="B14738" s="3" t="str">
        <f>HYPERLINK("https://www.773grp.com/manufacturer/nxp-semiconductor?pageNo=25", "NXP Semiconductors")</f>
        <v>NXP Semiconductors</v>
      </c>
      <c r="C14738" s="6">
        <v>20000</v>
      </c>
      <c r="D14738" s="7">
        <v>0.23</v>
      </c>
    </row>
    <row r="14739" spans="1:4" x14ac:dyDescent="0.25">
      <c r="A14739" t="str">
        <f>HYPERLINK("https://www.773grp.com/globalSearch/BAW56S115/page-1", "BAW56S115")</f>
        <v>BAW56S115</v>
      </c>
      <c r="B14739" s="3" t="str">
        <f>HYPERLINK("https://www.773grp.com/manufacturer/nxp-semiconductor?pageNo=26", "NXP Semiconductors")</f>
        <v>NXP Semiconductors</v>
      </c>
      <c r="C14739" s="6">
        <v>18000</v>
      </c>
      <c r="D14739" s="7">
        <v>0.23</v>
      </c>
    </row>
    <row r="14740" spans="1:4" x14ac:dyDescent="0.25">
      <c r="A14740" t="str">
        <f>HYPERLINK("https://www.773grp.com/globalSearch/BB131115/page-1", "BB131115")</f>
        <v>BB131115</v>
      </c>
      <c r="B14740" s="3" t="str">
        <f>HYPERLINK("https://www.773grp.com/manufacturer/nxp-semiconductor?pageNo=27", "NXP Semiconductors")</f>
        <v>NXP Semiconductors</v>
      </c>
      <c r="C14740" s="6">
        <v>36000</v>
      </c>
      <c r="D14740" s="7">
        <v>0.23</v>
      </c>
    </row>
    <row r="14741" spans="1:4" x14ac:dyDescent="0.25">
      <c r="A14741" t="str">
        <f>HYPERLINK("https://www.773grp.com/globalSearch/BB135115/page-1", "BB135115")</f>
        <v>BB135115</v>
      </c>
      <c r="B14741" s="3" t="str">
        <f>HYPERLINK("https://www.773grp.com/manufacturer/nxp-semiconductor?pageNo=28", "NXP Semiconductors")</f>
        <v>NXP Semiconductors</v>
      </c>
      <c r="C14741" s="6">
        <v>9500</v>
      </c>
      <c r="D14741" s="7">
        <v>0.23</v>
      </c>
    </row>
    <row r="14742" spans="1:4" x14ac:dyDescent="0.25">
      <c r="A14742" t="str">
        <f>HYPERLINK("https://www.773grp.com/globalSearch/BB148115/page-1", "BB148115")</f>
        <v>BB148115</v>
      </c>
      <c r="B14742" s="3" t="str">
        <f>HYPERLINK("https://www.773grp.com/manufacturer/nxp-semiconductor?pageNo=29", "NXP Semiconductors")</f>
        <v>NXP Semiconductors</v>
      </c>
      <c r="C14742" s="6">
        <v>274761</v>
      </c>
      <c r="D14742" s="7">
        <v>0.23</v>
      </c>
    </row>
    <row r="14743" spans="1:4" x14ac:dyDescent="0.25">
      <c r="A14743" t="str">
        <f>HYPERLINK("https://www.773grp.com/globalSearch/BB149115/page-1", "BB149115")</f>
        <v>BB149115</v>
      </c>
      <c r="B14743" s="3" t="str">
        <f>HYPERLINK("https://www.773grp.com/manufacturer/nxp-semiconductor?pageNo=30", "NXP Semiconductors")</f>
        <v>NXP Semiconductors</v>
      </c>
      <c r="C14743" s="6">
        <v>4</v>
      </c>
      <c r="D14743" s="7">
        <v>0.23</v>
      </c>
    </row>
    <row r="14744" spans="1:4" x14ac:dyDescent="0.25">
      <c r="A14744" t="str">
        <f>HYPERLINK("https://www.773grp.com/globalSearch/BB149135/page-1", "BB149135")</f>
        <v>BB149135</v>
      </c>
      <c r="B14744" s="3" t="str">
        <f>HYPERLINK("https://www.773grp.com/manufacturer/nxp-semiconductor?pageNo=31", "NXP Semiconductors")</f>
        <v>NXP Semiconductors</v>
      </c>
      <c r="C14744" s="6">
        <v>60000</v>
      </c>
      <c r="D14744" s="7">
        <v>0.23</v>
      </c>
    </row>
    <row r="14745" spans="1:4" x14ac:dyDescent="0.25">
      <c r="A14745" t="str">
        <f>HYPERLINK("https://www.773grp.com/globalSearch/BB189115/page-1", "BB189115")</f>
        <v>BB189115</v>
      </c>
      <c r="B14745" s="3" t="str">
        <f>HYPERLINK("https://www.773grp.com/manufacturer/nxp-semiconductor?pageNo=32", "NXP Semiconductors")</f>
        <v>NXP Semiconductors</v>
      </c>
      <c r="C14745" s="6">
        <v>18000</v>
      </c>
      <c r="D14745" s="7">
        <v>0.23</v>
      </c>
    </row>
    <row r="14746" spans="1:4" x14ac:dyDescent="0.25">
      <c r="A14746" t="str">
        <f>HYPERLINK("https://www.773grp.com/globalSearch/BC846DS115/page-1", "BC846DS115")</f>
        <v>BC846DS115</v>
      </c>
      <c r="B14746" s="3" t="str">
        <f>HYPERLINK("https://www.773grp.com/manufacturer/nxp-semiconductor?pageNo=33", "NXP Semiconductors")</f>
        <v>NXP Semiconductors</v>
      </c>
      <c r="C14746" s="6">
        <v>29880</v>
      </c>
      <c r="D14746" s="7">
        <v>0.23</v>
      </c>
    </row>
    <row r="14747" spans="1:4" x14ac:dyDescent="0.25">
      <c r="A14747" t="str">
        <f>HYPERLINK("https://www.773grp.com/globalSearch/BC847DS115/page-1", "BC847DS115")</f>
        <v>BC847DS115</v>
      </c>
      <c r="B14747" s="3" t="str">
        <f>HYPERLINK("https://www.773grp.com/manufacturer/nxp-semiconductor?pageNo=34", "NXP Semiconductors")</f>
        <v>NXP Semiconductors</v>
      </c>
      <c r="C14747" s="6">
        <v>27000</v>
      </c>
      <c r="D14747" s="7">
        <v>0.23</v>
      </c>
    </row>
    <row r="14748" spans="1:4" x14ac:dyDescent="0.25">
      <c r="A14748" t="str">
        <f>HYPERLINK("https://www.773grp.com/globalSearch/BCV47215/page-1", "BCV47215")</f>
        <v>BCV47215</v>
      </c>
      <c r="B14748" s="3" t="str">
        <f>HYPERLINK("https://www.773grp.com/manufacturer/nxp-semiconductor?pageNo=35", "NXP Semiconductors")</f>
        <v>NXP Semiconductors</v>
      </c>
      <c r="C14748" s="6">
        <v>60000</v>
      </c>
      <c r="D14748" s="7">
        <v>0.23</v>
      </c>
    </row>
    <row r="14749" spans="1:4" x14ac:dyDescent="0.25">
      <c r="A14749" t="str">
        <f>HYPERLINK("https://www.773grp.com/globalSearch/BCX17215/page-1", "BCX17215")</f>
        <v>BCX17215</v>
      </c>
      <c r="B14749" s="3" t="str">
        <f>HYPERLINK("https://www.773grp.com/manufacturer/nxp-semiconductor?pageNo=36", "NXP Semiconductors")</f>
        <v>NXP Semiconductors</v>
      </c>
      <c r="C14749" s="6">
        <v>9000</v>
      </c>
      <c r="D14749" s="7">
        <v>0.23</v>
      </c>
    </row>
    <row r="14750" spans="1:4" x14ac:dyDescent="0.25">
      <c r="A14750" t="str">
        <f>HYPERLINK("https://www.773grp.com/globalSearch/BCX18215/page-1", "BCX18215")</f>
        <v>BCX18215</v>
      </c>
      <c r="B14750" s="3" t="str">
        <f>HYPERLINK("https://www.773grp.com/manufacturer/nxp-semiconductor?pageNo=37", "NXP Semiconductors")</f>
        <v>NXP Semiconductors</v>
      </c>
      <c r="C14750" s="6">
        <v>990</v>
      </c>
      <c r="D14750" s="7">
        <v>0.23</v>
      </c>
    </row>
    <row r="14751" spans="1:4" x14ac:dyDescent="0.25">
      <c r="A14751" t="str">
        <f>HYPERLINK("https://www.773grp.com/globalSearch/BSH111215/page-1", "BSH111215")</f>
        <v>BSH111215</v>
      </c>
      <c r="B14751" s="3" t="str">
        <f>HYPERLINK("https://www.773grp.com/manufacturer/nxp-semiconductor?pageNo=38", "NXP Semiconductors")</f>
        <v>NXP Semiconductors</v>
      </c>
      <c r="C14751" s="6">
        <v>168000</v>
      </c>
      <c r="D14751" s="7">
        <v>0.23</v>
      </c>
    </row>
    <row r="14752" spans="1:4" x14ac:dyDescent="0.25">
      <c r="A14752" t="str">
        <f>HYPERLINK("https://www.773grp.com/globalSearch/BT168G112/page-1", "BT168G112")</f>
        <v>BT168G112</v>
      </c>
      <c r="B14752" s="3" t="str">
        <f>HYPERLINK("https://www.773grp.com/manufacturer/nxp-semiconductor?pageNo=39", "NXP Semiconductors")</f>
        <v>NXP Semiconductors</v>
      </c>
      <c r="C14752" s="6">
        <v>14019</v>
      </c>
      <c r="D14752" s="7">
        <v>0.23</v>
      </c>
    </row>
    <row r="14753" spans="1:4" x14ac:dyDescent="0.25">
      <c r="A14753" t="str">
        <f>HYPERLINK("https://www.773grp.com/globalSearch/BT169D112/page-1", "BT169D112")</f>
        <v>BT169D112</v>
      </c>
      <c r="B14753" s="3" t="str">
        <f>HYPERLINK("https://www.773grp.com/manufacturer/nxp-semiconductor?pageNo=40", "NXP Semiconductors")</f>
        <v>NXP Semiconductors</v>
      </c>
      <c r="C14753" s="6">
        <v>5000</v>
      </c>
      <c r="D14753" s="7">
        <v>0.23</v>
      </c>
    </row>
    <row r="14754" spans="1:4" x14ac:dyDescent="0.25">
      <c r="A14754" t="str">
        <f>HYPERLINK("https://www.773grp.com/globalSearch/BT169D116/page-1", "BT169D116")</f>
        <v>BT169D116</v>
      </c>
      <c r="B14754" s="3" t="str">
        <f>HYPERLINK("https://www.773grp.com/manufacturer/nxp-semiconductor?pageNo=41", "NXP Semiconductors")</f>
        <v>NXP Semiconductors</v>
      </c>
      <c r="C14754" s="6">
        <v>19737</v>
      </c>
      <c r="D14754" s="7">
        <v>0.23</v>
      </c>
    </row>
    <row r="14755" spans="1:4" x14ac:dyDescent="0.25">
      <c r="A14755" t="str">
        <f>HYPERLINK("https://www.773grp.com/globalSearch/BT169D126/page-1", "BT169D126")</f>
        <v>BT169D126</v>
      </c>
      <c r="B14755" s="3" t="str">
        <f>HYPERLINK("https://www.773grp.com/manufacturer/nxp-semiconductor?pageNo=42", "NXP Semiconductors")</f>
        <v>NXP Semiconductors</v>
      </c>
      <c r="C14755" s="6">
        <v>18000</v>
      </c>
      <c r="D14755" s="7">
        <v>0.23</v>
      </c>
    </row>
    <row r="14756" spans="1:4" x14ac:dyDescent="0.25">
      <c r="A14756" t="str">
        <f>HYPERLINK("https://www.773grp.com/globalSearch/BT169G112/page-1", "BT169G112")</f>
        <v>BT169G112</v>
      </c>
      <c r="B14756" s="3" t="str">
        <f>HYPERLINK("https://www.773grp.com/manufacturer/nxp-semiconductor?pageNo=43", "NXP Semiconductors")</f>
        <v>NXP Semiconductors</v>
      </c>
      <c r="C14756" s="6">
        <v>15286</v>
      </c>
      <c r="D14756" s="7">
        <v>0.23</v>
      </c>
    </row>
    <row r="14757" spans="1:4" x14ac:dyDescent="0.25">
      <c r="A14757" t="str">
        <f>HYPERLINK("https://www.773grp.com/globalSearch/BT169G126/page-1", "BT169G126")</f>
        <v>BT169G126</v>
      </c>
      <c r="B14757" s="3" t="str">
        <f>HYPERLINK("https://www.773grp.com/manufacturer/nxp-semiconductor?pageNo=44", "NXP Semiconductors")</f>
        <v>NXP Semiconductors</v>
      </c>
      <c r="C14757" s="6">
        <v>18150</v>
      </c>
      <c r="D14757" s="7">
        <v>0.23</v>
      </c>
    </row>
    <row r="14758" spans="1:4" x14ac:dyDescent="0.25">
      <c r="A14758" t="str">
        <f>HYPERLINK("https://www.773grp.com/globalSearch/BT169H412/page-1", "BT169H412")</f>
        <v>BT169H412</v>
      </c>
      <c r="B14758" s="3" t="str">
        <f>HYPERLINK("https://www.773grp.com/manufacturer/nxp-semiconductor?pageNo=45", "NXP Semiconductors")</f>
        <v>NXP Semiconductors</v>
      </c>
      <c r="C14758" s="6">
        <v>35000</v>
      </c>
      <c r="D14758" s="7">
        <v>0.23</v>
      </c>
    </row>
    <row r="14759" spans="1:4" x14ac:dyDescent="0.25">
      <c r="A14759" t="str">
        <f>HYPERLINK("https://www.773grp.com/globalSearch/BZB84-C13215/page-1", "BZB84-C13215")</f>
        <v>BZB84-C13215</v>
      </c>
      <c r="B14759" s="3" t="str">
        <f>HYPERLINK("https://www.773grp.com/manufacturer/nxp-semiconductor?pageNo=46", "NXP Semiconductors")</f>
        <v>NXP Semiconductors</v>
      </c>
      <c r="C14759" s="6">
        <v>15000</v>
      </c>
      <c r="D14759" s="7">
        <v>0.23</v>
      </c>
    </row>
    <row r="14760" spans="1:4" x14ac:dyDescent="0.25">
      <c r="A14760" t="str">
        <f>HYPERLINK("https://www.773grp.com/globalSearch/BZB84-C15215/page-1", "BZB84-C15215")</f>
        <v>BZB84-C15215</v>
      </c>
      <c r="B14760" s="3" t="str">
        <f>HYPERLINK("https://www.773grp.com/manufacturer/nxp-semiconductor?pageNo=47", "NXP Semiconductors")</f>
        <v>NXP Semiconductors</v>
      </c>
      <c r="C14760" s="6">
        <v>1450</v>
      </c>
      <c r="D14760" s="7">
        <v>0.23</v>
      </c>
    </row>
    <row r="14761" spans="1:4" x14ac:dyDescent="0.25">
      <c r="A14761" t="str">
        <f>HYPERLINK("https://www.773grp.com/globalSearch/BZB84-C27215/page-1", "BZB84-C27215")</f>
        <v>BZB84-C27215</v>
      </c>
      <c r="B14761" s="3" t="str">
        <f>HYPERLINK("https://www.773grp.com/manufacturer/nxp-semiconductor?pageNo=48", "NXP Semiconductors")</f>
        <v>NXP Semiconductors</v>
      </c>
      <c r="C14761" s="6">
        <v>9782</v>
      </c>
      <c r="D14761" s="7">
        <v>0.23</v>
      </c>
    </row>
    <row r="14762" spans="1:4" x14ac:dyDescent="0.25">
      <c r="A14762" t="str">
        <f>HYPERLINK("https://www.773grp.com/globalSearch/BZB84-C30215/page-1", "BZB84-C30215")</f>
        <v>BZB84-C30215</v>
      </c>
      <c r="B14762" s="3" t="str">
        <f>HYPERLINK("https://www.773grp.com/manufacturer/nxp-semiconductor?pageNo=1", "NXP Semiconductors")</f>
        <v>NXP Semiconductors</v>
      </c>
      <c r="C14762" s="6">
        <v>975</v>
      </c>
      <c r="D14762" s="7">
        <v>0.23</v>
      </c>
    </row>
    <row r="14763" spans="1:4" x14ac:dyDescent="0.25">
      <c r="A14763" t="str">
        <f>HYPERLINK("https://www.773grp.com/globalSearch/BZB84-C36215/page-1", "BZB84-C36215")</f>
        <v>BZB84-C36215</v>
      </c>
      <c r="B14763" s="3" t="str">
        <f>HYPERLINK("https://www.773grp.com/manufacturer/nxp-semiconductor?pageNo=2", "NXP Semiconductors")</f>
        <v>NXP Semiconductors</v>
      </c>
      <c r="C14763" s="6">
        <v>2650</v>
      </c>
      <c r="D14763" s="7">
        <v>0.23</v>
      </c>
    </row>
    <row r="14764" spans="1:4" x14ac:dyDescent="0.25">
      <c r="A14764" t="str">
        <f>HYPERLINK("https://www.773grp.com/globalSearch/BZB84-C39215/page-1", "BZB84-C39215")</f>
        <v>BZB84-C39215</v>
      </c>
      <c r="B14764" s="3" t="str">
        <f>HYPERLINK("https://www.773grp.com/manufacturer/nxp-semiconductor?pageNo=3", "NXP Semiconductors")</f>
        <v>NXP Semiconductors</v>
      </c>
      <c r="C14764" s="6">
        <v>785</v>
      </c>
      <c r="D14764" s="7">
        <v>0.23</v>
      </c>
    </row>
    <row r="14765" spans="1:4" x14ac:dyDescent="0.25">
      <c r="A14765" t="str">
        <f>HYPERLINK("https://www.773grp.com/globalSearch/BZB84-C3V6215/page-1", "BZB84-C3V6215")</f>
        <v>BZB84-C3V6215</v>
      </c>
      <c r="B14765" s="3" t="str">
        <f>HYPERLINK("https://www.773grp.com/manufacturer/nxp-semiconductor?pageNo=4", "NXP Semiconductors")</f>
        <v>NXP Semiconductors</v>
      </c>
      <c r="C14765" s="6">
        <v>14498</v>
      </c>
      <c r="D14765" s="7">
        <v>0.23</v>
      </c>
    </row>
    <row r="14766" spans="1:4" x14ac:dyDescent="0.25">
      <c r="A14766" t="str">
        <f>HYPERLINK("https://www.773grp.com/globalSearch/BZB84-C43215/page-1", "BZB84-C43215")</f>
        <v>BZB84-C43215</v>
      </c>
      <c r="B14766" s="3" t="str">
        <f>HYPERLINK("https://www.773grp.com/manufacturer/nxp-semiconductor?pageNo=5", "NXP Semiconductors")</f>
        <v>NXP Semiconductors</v>
      </c>
      <c r="C14766" s="6">
        <v>12530</v>
      </c>
      <c r="D14766" s="7">
        <v>0.23</v>
      </c>
    </row>
    <row r="14767" spans="1:4" x14ac:dyDescent="0.25">
      <c r="A14767" t="str">
        <f>HYPERLINK("https://www.773grp.com/globalSearch/BZB84-C47215/page-1", "BZB84-C47215")</f>
        <v>BZB84-C47215</v>
      </c>
      <c r="B14767" s="3" t="str">
        <f>HYPERLINK("https://www.773grp.com/manufacturer/nxp-semiconductor?pageNo=6", "NXP Semiconductors")</f>
        <v>NXP Semiconductors</v>
      </c>
      <c r="C14767" s="6">
        <v>6825</v>
      </c>
      <c r="D14767" s="7">
        <v>0.23</v>
      </c>
    </row>
    <row r="14768" spans="1:4" x14ac:dyDescent="0.25">
      <c r="A14768" t="str">
        <f>HYPERLINK("https://www.773grp.com/globalSearch/BZB84-C5V1215/page-1", "BZB84-C5V1215")</f>
        <v>BZB84-C5V1215</v>
      </c>
      <c r="B14768" s="3" t="str">
        <f>HYPERLINK("https://www.773grp.com/manufacturer/nxp-semiconductor?pageNo=7", "NXP Semiconductors")</f>
        <v>NXP Semiconductors</v>
      </c>
      <c r="C14768" s="6">
        <v>1289</v>
      </c>
      <c r="D14768" s="7">
        <v>0.23</v>
      </c>
    </row>
    <row r="14769" spans="1:4" x14ac:dyDescent="0.25">
      <c r="A14769" t="str">
        <f>HYPERLINK("https://www.773grp.com/globalSearch/BZB84-C5V6215/page-1", "BZB84-C5V6215")</f>
        <v>BZB84-C5V6215</v>
      </c>
      <c r="B14769" s="3" t="str">
        <f>HYPERLINK("https://www.773grp.com/manufacturer/nxp-semiconductor?pageNo=8", "NXP Semiconductors")</f>
        <v>NXP Semiconductors</v>
      </c>
      <c r="C14769" s="6">
        <v>12000</v>
      </c>
      <c r="D14769" s="7">
        <v>0.23</v>
      </c>
    </row>
    <row r="14770" spans="1:4" x14ac:dyDescent="0.25">
      <c r="A14770" t="str">
        <f>HYPERLINK("https://www.773grp.com/globalSearch/BZB84-C62215/page-1", "BZB84-C62215")</f>
        <v>BZB84-C62215</v>
      </c>
      <c r="B14770" s="3" t="str">
        <f>HYPERLINK("https://www.773grp.com/manufacturer/nxp-semiconductor?pageNo=9", "NXP Semiconductors")</f>
        <v>NXP Semiconductors</v>
      </c>
      <c r="C14770" s="6">
        <v>794</v>
      </c>
      <c r="D14770" s="7">
        <v>0.23</v>
      </c>
    </row>
    <row r="14771" spans="1:4" x14ac:dyDescent="0.25">
      <c r="A14771" t="str">
        <f>HYPERLINK("https://www.773grp.com/globalSearch/BZB84-C7V5215/page-1", "BZB84-C7V5215")</f>
        <v>BZB84-C7V5215</v>
      </c>
      <c r="B14771" s="3" t="str">
        <f>HYPERLINK("https://www.773grp.com/manufacturer/nxp-semiconductor?pageNo=10", "NXP Semiconductors")</f>
        <v>NXP Semiconductors</v>
      </c>
      <c r="C14771" s="6">
        <v>21000</v>
      </c>
      <c r="D14771" s="7">
        <v>0.23</v>
      </c>
    </row>
    <row r="14772" spans="1:4" x14ac:dyDescent="0.25">
      <c r="A14772" t="str">
        <f>HYPERLINK("https://www.773grp.com/globalSearch/BZB84-C9V1215/page-1", "BZB84-C9V1215")</f>
        <v>BZB84-C9V1215</v>
      </c>
      <c r="B14772" s="3" t="str">
        <f>HYPERLINK("https://www.773grp.com/manufacturer/nxp-semiconductor?pageNo=11", "NXP Semiconductors")</f>
        <v>NXP Semiconductors</v>
      </c>
      <c r="C14772" s="6">
        <v>15357</v>
      </c>
      <c r="D14772" s="7">
        <v>0.23</v>
      </c>
    </row>
    <row r="14773" spans="1:4" x14ac:dyDescent="0.25">
      <c r="A14773" t="str">
        <f>HYPERLINK("https://www.773grp.com/globalSearch/BZB984-C10115/page-1", "BZB984-C10115")</f>
        <v>BZB984-C10115</v>
      </c>
      <c r="B14773" s="3" t="str">
        <f>HYPERLINK("https://www.773grp.com/manufacturer/nxp-semiconductor?pageNo=12", "NXP Semiconductors")</f>
        <v>NXP Semiconductors</v>
      </c>
      <c r="C14773" s="6">
        <v>4900</v>
      </c>
      <c r="D14773" s="7">
        <v>0.23</v>
      </c>
    </row>
    <row r="14774" spans="1:4" x14ac:dyDescent="0.25">
      <c r="A14774" t="str">
        <f>HYPERLINK("https://www.773grp.com/globalSearch/BZB984-C12115/page-1", "BZB984-C12115")</f>
        <v>BZB984-C12115</v>
      </c>
      <c r="B14774" s="3" t="str">
        <f>HYPERLINK("https://www.773grp.com/manufacturer/nxp-semiconductor?pageNo=13", "NXP Semiconductors")</f>
        <v>NXP Semiconductors</v>
      </c>
      <c r="C14774" s="6">
        <v>4000</v>
      </c>
      <c r="D14774" s="7">
        <v>0.23</v>
      </c>
    </row>
    <row r="14775" spans="1:4" x14ac:dyDescent="0.25">
      <c r="A14775" t="str">
        <f>HYPERLINK("https://www.773grp.com/globalSearch/BZB984-C13115/page-1", "BZB984-C13115")</f>
        <v>BZB984-C13115</v>
      </c>
      <c r="B14775" s="3" t="str">
        <f>HYPERLINK("https://www.773grp.com/manufacturer/nxp-semiconductor?pageNo=14", "NXP Semiconductors")</f>
        <v>NXP Semiconductors</v>
      </c>
      <c r="C14775" s="6">
        <v>10000</v>
      </c>
      <c r="D14775" s="7">
        <v>0.23</v>
      </c>
    </row>
    <row r="14776" spans="1:4" x14ac:dyDescent="0.25">
      <c r="A14776" t="str">
        <f>HYPERLINK("https://www.773grp.com/globalSearch/BZB984-C2V4115/page-1", "BZB984-C2V4115")</f>
        <v>BZB984-C2V4115</v>
      </c>
      <c r="B14776" s="3" t="str">
        <f>HYPERLINK("https://www.773grp.com/manufacturer/nxp-semiconductor?pageNo=15", "NXP Semiconductors")</f>
        <v>NXP Semiconductors</v>
      </c>
      <c r="C14776" s="6">
        <v>20000</v>
      </c>
      <c r="D14776" s="7">
        <v>0.23</v>
      </c>
    </row>
    <row r="14777" spans="1:4" x14ac:dyDescent="0.25">
      <c r="A14777" t="str">
        <f>HYPERLINK("https://www.773grp.com/globalSearch/BZB984-C3V0115/page-1", "BZB984-C3V0115")</f>
        <v>BZB984-C3V0115</v>
      </c>
      <c r="B14777" s="3" t="str">
        <f>HYPERLINK("https://www.773grp.com/manufacturer/nxp-semiconductor?pageNo=16", "NXP Semiconductors")</f>
        <v>NXP Semiconductors</v>
      </c>
      <c r="C14777" s="6">
        <v>24850</v>
      </c>
      <c r="D14777" s="7">
        <v>0.23</v>
      </c>
    </row>
    <row r="14778" spans="1:4" x14ac:dyDescent="0.25">
      <c r="A14778" t="str">
        <f>HYPERLINK("https://www.773grp.com/globalSearch/BZB984-C3V3115/page-1", "BZB984-C3V3115")</f>
        <v>BZB984-C3V3115</v>
      </c>
      <c r="B14778" s="3" t="str">
        <f>HYPERLINK("https://www.773grp.com/manufacturer/nxp-semiconductor?pageNo=17", "NXP Semiconductors")</f>
        <v>NXP Semiconductors</v>
      </c>
      <c r="C14778" s="6">
        <v>950</v>
      </c>
      <c r="D14778" s="7">
        <v>0.23</v>
      </c>
    </row>
    <row r="14779" spans="1:4" x14ac:dyDescent="0.25">
      <c r="A14779" t="str">
        <f>HYPERLINK("https://www.773grp.com/globalSearch/BZB984-C3V6115/page-1", "BZB984-C3V6115")</f>
        <v>BZB984-C3V6115</v>
      </c>
      <c r="B14779" s="3" t="str">
        <f>HYPERLINK("https://www.773grp.com/manufacturer/nxp-semiconductor?pageNo=18", "NXP Semiconductors")</f>
        <v>NXP Semiconductors</v>
      </c>
      <c r="C14779" s="6">
        <v>795</v>
      </c>
      <c r="D14779" s="7">
        <v>0.23</v>
      </c>
    </row>
    <row r="14780" spans="1:4" x14ac:dyDescent="0.25">
      <c r="A14780" t="str">
        <f>HYPERLINK("https://www.773grp.com/globalSearch/BZB984-C3V9115/page-1", "BZB984-C3V9115")</f>
        <v>BZB984-C3V9115</v>
      </c>
      <c r="B14780" s="3" t="str">
        <f>HYPERLINK("https://www.773grp.com/manufacturer/nxp-semiconductor?pageNo=19", "NXP Semiconductors")</f>
        <v>NXP Semiconductors</v>
      </c>
      <c r="C14780" s="6">
        <v>1000</v>
      </c>
      <c r="D14780" s="7">
        <v>0.23</v>
      </c>
    </row>
    <row r="14781" spans="1:4" x14ac:dyDescent="0.25">
      <c r="A14781" t="str">
        <f>HYPERLINK("https://www.773grp.com/globalSearch/BZB984-C5V6115/page-1", "BZB984-C5V6115")</f>
        <v>BZB984-C5V6115</v>
      </c>
      <c r="B14781" s="3" t="str">
        <f>HYPERLINK("https://www.773grp.com/manufacturer/nxp-semiconductor?pageNo=20", "NXP Semiconductors")</f>
        <v>NXP Semiconductors</v>
      </c>
      <c r="C14781" s="6">
        <v>20000</v>
      </c>
      <c r="D14781" s="7">
        <v>0.23</v>
      </c>
    </row>
    <row r="14782" spans="1:4" x14ac:dyDescent="0.25">
      <c r="A14782" t="str">
        <f>HYPERLINK("https://www.773grp.com/globalSearch/BZB984-C6V2115/page-1", "BZB984-C6V2115")</f>
        <v>BZB984-C6V2115</v>
      </c>
      <c r="B14782" s="3" t="str">
        <f>HYPERLINK("https://www.773grp.com/manufacturer/nxp-semiconductor?pageNo=21", "NXP Semiconductors")</f>
        <v>NXP Semiconductors</v>
      </c>
      <c r="C14782" s="6">
        <v>900</v>
      </c>
      <c r="D14782" s="7">
        <v>0.23</v>
      </c>
    </row>
    <row r="14783" spans="1:4" x14ac:dyDescent="0.25">
      <c r="A14783" t="str">
        <f>HYPERLINK("https://www.773grp.com/globalSearch/BZX384-B10115/page-1", "BZX384-B10115")</f>
        <v>BZX384-B10115</v>
      </c>
      <c r="B14783" s="3" t="str">
        <f>HYPERLINK("https://www.773grp.com/manufacturer/nxp-semiconductor?pageNo=22", "NXP Semiconductors")</f>
        <v>NXP Semiconductors</v>
      </c>
      <c r="C14783" s="6">
        <v>95424</v>
      </c>
      <c r="D14783" s="7">
        <v>0.23</v>
      </c>
    </row>
    <row r="14784" spans="1:4" x14ac:dyDescent="0.25">
      <c r="A14784" t="str">
        <f>HYPERLINK("https://www.773grp.com/globalSearch/BZX384-B11115/page-1", "BZX384-B11115")</f>
        <v>BZX384-B11115</v>
      </c>
      <c r="B14784" s="3" t="str">
        <f>HYPERLINK("https://www.773grp.com/manufacturer/nxp-semiconductor?pageNo=23", "NXP Semiconductors")</f>
        <v>NXP Semiconductors</v>
      </c>
      <c r="C14784" s="6">
        <v>44115</v>
      </c>
      <c r="D14784" s="7">
        <v>0.23</v>
      </c>
    </row>
    <row r="14785" spans="1:4" x14ac:dyDescent="0.25">
      <c r="A14785" t="str">
        <f>HYPERLINK("https://www.773grp.com/globalSearch/BZX384-B12115/page-1", "BZX384-B12115")</f>
        <v>BZX384-B12115</v>
      </c>
      <c r="B14785" s="3" t="str">
        <f>HYPERLINK("https://www.773grp.com/manufacturer/nxp-semiconductor?pageNo=24", "NXP Semiconductors")</f>
        <v>NXP Semiconductors</v>
      </c>
      <c r="C14785" s="6">
        <v>16534</v>
      </c>
      <c r="D14785" s="7">
        <v>0.23</v>
      </c>
    </row>
    <row r="14786" spans="1:4" x14ac:dyDescent="0.25">
      <c r="A14786" t="str">
        <f>HYPERLINK("https://www.773grp.com/globalSearch/BZX384-B13115/page-1", "BZX384-B13115")</f>
        <v>BZX384-B13115</v>
      </c>
      <c r="B14786" s="3" t="str">
        <f>HYPERLINK("https://www.773grp.com/manufacturer/nxp-semiconductor?pageNo=25", "NXP Semiconductors")</f>
        <v>NXP Semiconductors</v>
      </c>
      <c r="C14786" s="6">
        <v>105000</v>
      </c>
      <c r="D14786" s="7">
        <v>0.23</v>
      </c>
    </row>
    <row r="14787" spans="1:4" x14ac:dyDescent="0.25">
      <c r="A14787" t="str">
        <f>HYPERLINK("https://www.773grp.com/globalSearch/BZX384-B15115/page-1", "BZX384-B15115")</f>
        <v>BZX384-B15115</v>
      </c>
      <c r="B14787" s="3" t="str">
        <f>HYPERLINK("https://www.773grp.com/manufacturer/nxp-semiconductor?pageNo=26", "NXP Semiconductors")</f>
        <v>NXP Semiconductors</v>
      </c>
      <c r="C14787" s="6">
        <v>30000</v>
      </c>
      <c r="D14787" s="7">
        <v>0.23</v>
      </c>
    </row>
    <row r="14788" spans="1:4" x14ac:dyDescent="0.25">
      <c r="A14788" t="str">
        <f>HYPERLINK("https://www.773grp.com/globalSearch/BZX384-B16115/page-1", "BZX384-B16115")</f>
        <v>BZX384-B16115</v>
      </c>
      <c r="B14788" s="3" t="str">
        <f>HYPERLINK("https://www.773grp.com/manufacturer/nxp-semiconductor?pageNo=27", "NXP Semiconductors")</f>
        <v>NXP Semiconductors</v>
      </c>
      <c r="C14788" s="6">
        <v>65709</v>
      </c>
      <c r="D14788" s="7">
        <v>0.23</v>
      </c>
    </row>
    <row r="14789" spans="1:4" x14ac:dyDescent="0.25">
      <c r="A14789" t="str">
        <f>HYPERLINK("https://www.773grp.com/globalSearch/BZX384-B18115/page-1", "BZX384-B18115")</f>
        <v>BZX384-B18115</v>
      </c>
      <c r="B14789" s="3" t="str">
        <f>HYPERLINK("https://www.773grp.com/manufacturer/nxp-semiconductor?pageNo=28", "NXP Semiconductors")</f>
        <v>NXP Semiconductors</v>
      </c>
      <c r="C14789" s="6">
        <v>26045</v>
      </c>
      <c r="D14789" s="7">
        <v>0.23</v>
      </c>
    </row>
    <row r="14790" spans="1:4" x14ac:dyDescent="0.25">
      <c r="A14790" t="str">
        <f>HYPERLINK("https://www.773grp.com/globalSearch/BZX384-B20115/page-1", "BZX384-B20115")</f>
        <v>BZX384-B20115</v>
      </c>
      <c r="B14790" s="3" t="str">
        <f>HYPERLINK("https://www.773grp.com/manufacturer/nxp-semiconductor?pageNo=29", "NXP Semiconductors")</f>
        <v>NXP Semiconductors</v>
      </c>
      <c r="C14790" s="6">
        <v>1169500</v>
      </c>
      <c r="D14790" s="7">
        <v>0.23</v>
      </c>
    </row>
    <row r="14791" spans="1:4" x14ac:dyDescent="0.25">
      <c r="A14791" t="str">
        <f>HYPERLINK("https://www.773grp.com/globalSearch/BZX384-B22115/page-1", "BZX384-B22115")</f>
        <v>BZX384-B22115</v>
      </c>
      <c r="B14791" s="3" t="str">
        <f>HYPERLINK("https://www.773grp.com/manufacturer/nxp-semiconductor?pageNo=30", "NXP Semiconductors")</f>
        <v>NXP Semiconductors</v>
      </c>
      <c r="C14791" s="6">
        <v>12000</v>
      </c>
      <c r="D14791" s="7">
        <v>0.23</v>
      </c>
    </row>
    <row r="14792" spans="1:4" x14ac:dyDescent="0.25">
      <c r="A14792" t="str">
        <f>HYPERLINK("https://www.773grp.com/globalSearch/BZX384-B24115/page-1", "BZX384-B24115")</f>
        <v>BZX384-B24115</v>
      </c>
      <c r="B14792" s="3" t="str">
        <f>HYPERLINK("https://www.773grp.com/manufacturer/nxp-semiconductor?pageNo=31", "NXP Semiconductors")</f>
        <v>NXP Semiconductors</v>
      </c>
      <c r="C14792" s="6">
        <v>12200</v>
      </c>
      <c r="D14792" s="7">
        <v>0.23</v>
      </c>
    </row>
    <row r="14793" spans="1:4" x14ac:dyDescent="0.25">
      <c r="A14793" t="str">
        <f>HYPERLINK("https://www.773grp.com/globalSearch/BZX384-B27115/page-1", "BZX384-B27115")</f>
        <v>BZX384-B27115</v>
      </c>
      <c r="B14793" s="3" t="str">
        <f>HYPERLINK("https://www.773grp.com/manufacturer/nxp-semiconductor?pageNo=32", "NXP Semiconductors")</f>
        <v>NXP Semiconductors</v>
      </c>
      <c r="C14793" s="6">
        <v>45895</v>
      </c>
      <c r="D14793" s="7">
        <v>0.23</v>
      </c>
    </row>
    <row r="14794" spans="1:4" x14ac:dyDescent="0.25">
      <c r="A14794" t="str">
        <f>HYPERLINK("https://www.773grp.com/globalSearch/BZX384-B2V4115/page-1", "BZX384-B2V4115")</f>
        <v>BZX384-B2V4115</v>
      </c>
      <c r="B14794" s="3" t="str">
        <f>HYPERLINK("https://www.773grp.com/manufacturer/nxp-semiconductor?pageNo=33", "NXP Semiconductors")</f>
        <v>NXP Semiconductors</v>
      </c>
      <c r="C14794" s="6">
        <v>80378</v>
      </c>
      <c r="D14794" s="7">
        <v>0.23</v>
      </c>
    </row>
    <row r="14795" spans="1:4" x14ac:dyDescent="0.25">
      <c r="A14795" t="str">
        <f>HYPERLINK("https://www.773grp.com/globalSearch/BZX384-B2V7115/page-1", "BZX384-B2V7115")</f>
        <v>BZX384-B2V7115</v>
      </c>
      <c r="B14795" s="3" t="str">
        <f>HYPERLINK("https://www.773grp.com/manufacturer/nxp-semiconductor?pageNo=34", "NXP Semiconductors")</f>
        <v>NXP Semiconductors</v>
      </c>
      <c r="C14795" s="6">
        <v>55490</v>
      </c>
      <c r="D14795" s="7">
        <v>0.23</v>
      </c>
    </row>
    <row r="14796" spans="1:4" x14ac:dyDescent="0.25">
      <c r="A14796" t="str">
        <f>HYPERLINK("https://www.773grp.com/globalSearch/BZX384-B30115/page-1", "BZX384-B30115")</f>
        <v>BZX384-B30115</v>
      </c>
      <c r="B14796" s="3" t="str">
        <f>HYPERLINK("https://www.773grp.com/manufacturer/nxp-semiconductor?pageNo=35", "NXP Semiconductors")</f>
        <v>NXP Semiconductors</v>
      </c>
      <c r="C14796" s="6">
        <v>25870</v>
      </c>
      <c r="D14796" s="7">
        <v>0.23</v>
      </c>
    </row>
    <row r="14797" spans="1:4" x14ac:dyDescent="0.25">
      <c r="A14797" t="str">
        <f>HYPERLINK("https://www.773grp.com/globalSearch/BZX384-B33115/page-1", "BZX384-B33115")</f>
        <v>BZX384-B33115</v>
      </c>
      <c r="B14797" s="3" t="str">
        <f>HYPERLINK("https://www.773grp.com/manufacturer/nxp-semiconductor?pageNo=36", "NXP Semiconductors")</f>
        <v>NXP Semiconductors</v>
      </c>
      <c r="C14797" s="6">
        <v>30000</v>
      </c>
      <c r="D14797" s="7">
        <v>0.23</v>
      </c>
    </row>
    <row r="14798" spans="1:4" x14ac:dyDescent="0.25">
      <c r="A14798" t="str">
        <f>HYPERLINK("https://www.773grp.com/globalSearch/BZX384-B36115/page-1", "BZX384-B36115")</f>
        <v>BZX384-B36115</v>
      </c>
      <c r="B14798" s="3" t="str">
        <f>HYPERLINK("https://www.773grp.com/manufacturer/nxp-semiconductor?pageNo=37", "NXP Semiconductors")</f>
        <v>NXP Semiconductors</v>
      </c>
      <c r="C14798" s="6">
        <v>9000</v>
      </c>
      <c r="D14798" s="7">
        <v>0.23</v>
      </c>
    </row>
    <row r="14799" spans="1:4" x14ac:dyDescent="0.25">
      <c r="A14799" t="str">
        <f>HYPERLINK("https://www.773grp.com/globalSearch/BZX384-B39115/page-1", "BZX384-B39115")</f>
        <v>BZX384-B39115</v>
      </c>
      <c r="B14799" s="3" t="str">
        <f>HYPERLINK("https://www.773grp.com/manufacturer/nxp-semiconductor?pageNo=38", "NXP Semiconductors")</f>
        <v>NXP Semiconductors</v>
      </c>
      <c r="C14799" s="6">
        <v>58741</v>
      </c>
      <c r="D14799" s="7">
        <v>0.23</v>
      </c>
    </row>
    <row r="14800" spans="1:4" x14ac:dyDescent="0.25">
      <c r="A14800" t="str">
        <f>HYPERLINK("https://www.773grp.com/globalSearch/BZX384-B3V0115/page-1", "BZX384-B3V0115")</f>
        <v>BZX384-B3V0115</v>
      </c>
      <c r="B14800" s="3" t="str">
        <f>HYPERLINK("https://www.773grp.com/manufacturer/nxp-semiconductor?pageNo=39", "NXP Semiconductors")</f>
        <v>NXP Semiconductors</v>
      </c>
      <c r="C14800" s="6">
        <v>48000</v>
      </c>
      <c r="D14800" s="7">
        <v>0.23</v>
      </c>
    </row>
    <row r="14801" spans="1:4" x14ac:dyDescent="0.25">
      <c r="A14801" t="str">
        <f>HYPERLINK("https://www.773grp.com/globalSearch/BZX384-B3V3115/page-1", "BZX384-B3V3115")</f>
        <v>BZX384-B3V3115</v>
      </c>
      <c r="B14801" s="3" t="str">
        <f>HYPERLINK("https://www.773grp.com/manufacturer/nxp-semiconductor?pageNo=40", "NXP Semiconductors")</f>
        <v>NXP Semiconductors</v>
      </c>
      <c r="C14801" s="6">
        <v>3864</v>
      </c>
      <c r="D14801" s="7">
        <v>0.23</v>
      </c>
    </row>
    <row r="14802" spans="1:4" x14ac:dyDescent="0.25">
      <c r="A14802" t="str">
        <f>HYPERLINK("https://www.773grp.com/globalSearch/BZX384-B3V6115/page-1", "BZX384-B3V6115")</f>
        <v>BZX384-B3V6115</v>
      </c>
      <c r="B14802" s="3" t="str">
        <f>HYPERLINK("https://www.773grp.com/manufacturer/nxp-semiconductor?pageNo=41", "NXP Semiconductors")</f>
        <v>NXP Semiconductors</v>
      </c>
      <c r="C14802" s="6">
        <v>36000</v>
      </c>
      <c r="D14802" s="7">
        <v>0.23</v>
      </c>
    </row>
    <row r="14803" spans="1:4" x14ac:dyDescent="0.25">
      <c r="A14803" t="str">
        <f>HYPERLINK("https://www.773grp.com/globalSearch/BZX384-B3V9115/page-1", "BZX384-B3V9115")</f>
        <v>BZX384-B3V9115</v>
      </c>
      <c r="B14803" s="3" t="str">
        <f>HYPERLINK("https://www.773grp.com/manufacturer/nxp-semiconductor?pageNo=42", "NXP Semiconductors")</f>
        <v>NXP Semiconductors</v>
      </c>
      <c r="C14803" s="6">
        <v>34390</v>
      </c>
      <c r="D14803" s="7">
        <v>0.23</v>
      </c>
    </row>
    <row r="14804" spans="1:4" x14ac:dyDescent="0.25">
      <c r="A14804" t="str">
        <f>HYPERLINK("https://www.773grp.com/globalSearch/BZX384-B43115/page-1", "BZX384-B43115")</f>
        <v>BZX384-B43115</v>
      </c>
      <c r="B14804" s="3" t="str">
        <f>HYPERLINK("https://www.773grp.com/manufacturer/nxp-semiconductor?pageNo=43", "NXP Semiconductors")</f>
        <v>NXP Semiconductors</v>
      </c>
      <c r="C14804" s="6">
        <v>30000</v>
      </c>
      <c r="D14804" s="7">
        <v>0.23</v>
      </c>
    </row>
    <row r="14805" spans="1:4" x14ac:dyDescent="0.25">
      <c r="A14805" t="str">
        <f>HYPERLINK("https://www.773grp.com/globalSearch/BZX384-B47115/page-1", "BZX384-B47115")</f>
        <v>BZX384-B47115</v>
      </c>
      <c r="B14805" s="3" t="str">
        <f>HYPERLINK("https://www.773grp.com/manufacturer/nxp-semiconductor?pageNo=44", "NXP Semiconductors")</f>
        <v>NXP Semiconductors</v>
      </c>
      <c r="C14805" s="6">
        <v>11456</v>
      </c>
      <c r="D14805" s="7">
        <v>0.23</v>
      </c>
    </row>
    <row r="14806" spans="1:4" x14ac:dyDescent="0.25">
      <c r="A14806" t="str">
        <f>HYPERLINK("https://www.773grp.com/globalSearch/BZX384-B4V7115/page-1", "BZX384-B4V7115")</f>
        <v>BZX384-B4V7115</v>
      </c>
      <c r="B14806" s="3" t="str">
        <f>HYPERLINK("https://www.773grp.com/manufacturer/nxp-semiconductor?pageNo=45", "NXP Semiconductors")</f>
        <v>NXP Semiconductors</v>
      </c>
      <c r="C14806" s="6">
        <v>27000</v>
      </c>
      <c r="D14806" s="7">
        <v>0.23</v>
      </c>
    </row>
    <row r="14807" spans="1:4" x14ac:dyDescent="0.25">
      <c r="A14807" t="str">
        <f>HYPERLINK("https://www.773grp.com/globalSearch/BZX384-B51115/page-1", "BZX384-B51115")</f>
        <v>BZX384-B51115</v>
      </c>
      <c r="B14807" s="3" t="str">
        <f>HYPERLINK("https://www.773grp.com/manufacturer/nxp-semiconductor?pageNo=46", "NXP Semiconductors")</f>
        <v>NXP Semiconductors</v>
      </c>
      <c r="C14807" s="6">
        <v>75000</v>
      </c>
      <c r="D14807" s="7">
        <v>0.23</v>
      </c>
    </row>
    <row r="14808" spans="1:4" x14ac:dyDescent="0.25">
      <c r="A14808" t="str">
        <f>HYPERLINK("https://www.773grp.com/globalSearch/BZX384-B56115/page-1", "BZX384-B56115")</f>
        <v>BZX384-B56115</v>
      </c>
      <c r="B14808" s="3" t="str">
        <f>HYPERLINK("https://www.773grp.com/manufacturer/nxp-semiconductor?pageNo=47", "NXP Semiconductors")</f>
        <v>NXP Semiconductors</v>
      </c>
      <c r="C14808" s="6">
        <v>4146</v>
      </c>
      <c r="D14808" s="7">
        <v>0.23</v>
      </c>
    </row>
    <row r="14809" spans="1:4" x14ac:dyDescent="0.25">
      <c r="A14809" t="str">
        <f>HYPERLINK("https://www.773grp.com/globalSearch/BZX384-B5V6115/page-1", "BZX384-B5V6115")</f>
        <v>BZX384-B5V6115</v>
      </c>
      <c r="B14809" s="3" t="str">
        <f>HYPERLINK("https://www.773grp.com/manufacturer/nxp-semiconductor?pageNo=48", "NXP Semiconductors")</f>
        <v>NXP Semiconductors</v>
      </c>
      <c r="C14809" s="6">
        <v>15000</v>
      </c>
      <c r="D14809" s="7">
        <v>0.23</v>
      </c>
    </row>
    <row r="14810" spans="1:4" x14ac:dyDescent="0.25">
      <c r="A14810" t="str">
        <f>HYPERLINK("https://www.773grp.com/globalSearch/BZX384-B62115/page-1", "BZX384-B62115")</f>
        <v>BZX384-B62115</v>
      </c>
      <c r="B14810" s="3" t="str">
        <f>HYPERLINK("https://www.773grp.com/manufacturer/nxp-semiconductor?pageNo=1", "NXP Semiconductors")</f>
        <v>NXP Semiconductors</v>
      </c>
      <c r="C14810" s="6">
        <v>54000</v>
      </c>
      <c r="D14810" s="7">
        <v>0.23</v>
      </c>
    </row>
    <row r="14811" spans="1:4" x14ac:dyDescent="0.25">
      <c r="A14811" t="str">
        <f>HYPERLINK("https://www.773grp.com/globalSearch/BZX384-B68115/page-1", "BZX384-B68115")</f>
        <v>BZX384-B68115</v>
      </c>
      <c r="B14811" s="3" t="str">
        <f>HYPERLINK("https://www.773grp.com/manufacturer/nxp-semiconductor?pageNo=2", "NXP Semiconductors")</f>
        <v>NXP Semiconductors</v>
      </c>
      <c r="C14811" s="6">
        <v>51000</v>
      </c>
      <c r="D14811" s="7">
        <v>0.23</v>
      </c>
    </row>
    <row r="14812" spans="1:4" x14ac:dyDescent="0.25">
      <c r="A14812" t="str">
        <f>HYPERLINK("https://www.773grp.com/globalSearch/BZX384-B75115/page-1", "BZX384-B75115")</f>
        <v>BZX384-B75115</v>
      </c>
      <c r="B14812" s="3" t="str">
        <f>HYPERLINK("https://www.773grp.com/manufacturer/nxp-semiconductor?pageNo=3", "NXP Semiconductors")</f>
        <v>NXP Semiconductors</v>
      </c>
      <c r="C14812" s="6">
        <v>24000</v>
      </c>
      <c r="D14812" s="7">
        <v>0.23</v>
      </c>
    </row>
    <row r="14813" spans="1:4" x14ac:dyDescent="0.25">
      <c r="A14813" t="str">
        <f>HYPERLINK("https://www.773grp.com/globalSearch/BZX384-B7V5115/page-1", "BZX384-B7V5115")</f>
        <v>BZX384-B7V5115</v>
      </c>
      <c r="B14813" s="3" t="str">
        <f>HYPERLINK("https://www.773grp.com/manufacturer/nxp-semiconductor?pageNo=4", "NXP Semiconductors")</f>
        <v>NXP Semiconductors</v>
      </c>
      <c r="C14813" s="6">
        <v>33000</v>
      </c>
      <c r="D14813" s="7">
        <v>0.23</v>
      </c>
    </row>
    <row r="14814" spans="1:4" x14ac:dyDescent="0.25">
      <c r="A14814" t="str">
        <f>HYPERLINK("https://www.773grp.com/globalSearch/BZX384-B8V2115/page-1", "BZX384-B8V2115")</f>
        <v>BZX384-B8V2115</v>
      </c>
      <c r="B14814" s="3" t="str">
        <f>HYPERLINK("https://www.773grp.com/manufacturer/nxp-semiconductor?pageNo=5", "NXP Semiconductors")</f>
        <v>NXP Semiconductors</v>
      </c>
      <c r="C14814" s="6">
        <v>41487</v>
      </c>
      <c r="D14814" s="7">
        <v>0.23</v>
      </c>
    </row>
    <row r="14815" spans="1:4" x14ac:dyDescent="0.25">
      <c r="A14815" t="str">
        <f>HYPERLINK("https://www.773grp.com/globalSearch/BZX384-B9V1115/page-1", "BZX384-B9V1115")</f>
        <v>BZX384-B9V1115</v>
      </c>
      <c r="B14815" s="3" t="str">
        <f>HYPERLINK("https://www.773grp.com/manufacturer/nxp-semiconductor?pageNo=6", "NXP Semiconductors")</f>
        <v>NXP Semiconductors</v>
      </c>
      <c r="C14815" s="6">
        <v>17108</v>
      </c>
      <c r="D14815" s="7">
        <v>0.23</v>
      </c>
    </row>
    <row r="14816" spans="1:4" x14ac:dyDescent="0.25">
      <c r="A14816" t="str">
        <f>HYPERLINK("https://www.773grp.com/globalSearch/BZX84J-B10115/page-1", "BZX84J-B10115")</f>
        <v>BZX84J-B10115</v>
      </c>
      <c r="B14816" s="3" t="str">
        <f>HYPERLINK("https://www.773grp.com/manufacturer/nxp-semiconductor?pageNo=7", "NXP Semiconductors")</f>
        <v>NXP Semiconductors</v>
      </c>
      <c r="C14816" s="6">
        <v>15270</v>
      </c>
      <c r="D14816" s="7">
        <v>0.23</v>
      </c>
    </row>
    <row r="14817" spans="1:4" x14ac:dyDescent="0.25">
      <c r="A14817" t="str">
        <f>HYPERLINK("https://www.773grp.com/globalSearch/BZX84J-B11115/page-1", "BZX84J-B11115")</f>
        <v>BZX84J-B11115</v>
      </c>
      <c r="B14817" s="3" t="str">
        <f>HYPERLINK("https://www.773grp.com/manufacturer/nxp-semiconductor?pageNo=8", "NXP Semiconductors")</f>
        <v>NXP Semiconductors</v>
      </c>
      <c r="C14817" s="6">
        <v>1000</v>
      </c>
      <c r="D14817" s="7">
        <v>0.23</v>
      </c>
    </row>
    <row r="14818" spans="1:4" x14ac:dyDescent="0.25">
      <c r="A14818" t="str">
        <f>HYPERLINK("https://www.773grp.com/globalSearch/BZX84J-B12115/page-1", "BZX84J-B12115")</f>
        <v>BZX84J-B12115</v>
      </c>
      <c r="B14818" s="3" t="str">
        <f>HYPERLINK("https://www.773grp.com/manufacturer/nxp-semiconductor?pageNo=9", "NXP Semiconductors")</f>
        <v>NXP Semiconductors</v>
      </c>
      <c r="C14818" s="6">
        <v>200</v>
      </c>
      <c r="D14818" s="7">
        <v>0.23</v>
      </c>
    </row>
    <row r="14819" spans="1:4" x14ac:dyDescent="0.25">
      <c r="A14819" t="str">
        <f>HYPERLINK("https://www.773grp.com/globalSearch/BZX84J-B13115/page-1", "BZX84J-B13115")</f>
        <v>BZX84J-B13115</v>
      </c>
      <c r="B14819" s="3" t="str">
        <f>HYPERLINK("https://www.773grp.com/manufacturer/nxp-semiconductor?pageNo=10", "NXP Semiconductors")</f>
        <v>NXP Semiconductors</v>
      </c>
      <c r="C14819" s="6">
        <v>6000</v>
      </c>
      <c r="D14819" s="7">
        <v>0.23</v>
      </c>
    </row>
    <row r="14820" spans="1:4" x14ac:dyDescent="0.25">
      <c r="A14820" t="str">
        <f>HYPERLINK("https://www.773grp.com/globalSearch/BZX84J-B16115/page-1", "BZX84J-B16115")</f>
        <v>BZX84J-B16115</v>
      </c>
      <c r="B14820" s="3" t="str">
        <f>HYPERLINK("https://www.773grp.com/manufacturer/nxp-semiconductor?pageNo=11", "NXP Semiconductors")</f>
        <v>NXP Semiconductors</v>
      </c>
      <c r="C14820" s="6">
        <v>22549</v>
      </c>
      <c r="D14820" s="7">
        <v>0.23</v>
      </c>
    </row>
    <row r="14821" spans="1:4" x14ac:dyDescent="0.25">
      <c r="A14821" t="str">
        <f>HYPERLINK("https://www.773grp.com/globalSearch/BZX84J-B18115/page-1", "BZX84J-B18115")</f>
        <v>BZX84J-B18115</v>
      </c>
      <c r="B14821" s="3" t="str">
        <f>HYPERLINK("https://www.773grp.com/manufacturer/nxp-semiconductor?pageNo=12", "NXP Semiconductors")</f>
        <v>NXP Semiconductors</v>
      </c>
      <c r="C14821" s="6">
        <v>36800</v>
      </c>
      <c r="D14821" s="7">
        <v>0.23</v>
      </c>
    </row>
    <row r="14822" spans="1:4" x14ac:dyDescent="0.25">
      <c r="A14822" t="str">
        <f>HYPERLINK("https://www.773grp.com/globalSearch/BZX84J-B24115/page-1", "BZX84J-B24115")</f>
        <v>BZX84J-B24115</v>
      </c>
      <c r="B14822" s="3" t="str">
        <f>HYPERLINK("https://www.773grp.com/manufacturer/nxp-semiconductor?pageNo=13", "NXP Semiconductors")</f>
        <v>NXP Semiconductors</v>
      </c>
      <c r="C14822" s="6">
        <v>21000</v>
      </c>
      <c r="D14822" s="7">
        <v>0.23</v>
      </c>
    </row>
    <row r="14823" spans="1:4" x14ac:dyDescent="0.25">
      <c r="A14823" t="str">
        <f>HYPERLINK("https://www.773grp.com/globalSearch/BZX84J-B27115/page-1", "BZX84J-B27115")</f>
        <v>BZX84J-B27115</v>
      </c>
      <c r="B14823" s="3" t="str">
        <f>HYPERLINK("https://www.773grp.com/manufacturer/nxp-semiconductor?pageNo=14", "NXP Semiconductors")</f>
        <v>NXP Semiconductors</v>
      </c>
      <c r="C14823" s="6">
        <v>21000</v>
      </c>
      <c r="D14823" s="7">
        <v>0.23</v>
      </c>
    </row>
    <row r="14824" spans="1:4" x14ac:dyDescent="0.25">
      <c r="A14824" t="str">
        <f>HYPERLINK("https://www.773grp.com/globalSearch/BZX84J-B30115/page-1", "BZX84J-B30115")</f>
        <v>BZX84J-B30115</v>
      </c>
      <c r="B14824" s="3" t="str">
        <f>HYPERLINK("https://www.773grp.com/manufacturer/nxp-semiconductor?pageNo=15", "NXP Semiconductors")</f>
        <v>NXP Semiconductors</v>
      </c>
      <c r="C14824" s="6">
        <v>18000</v>
      </c>
      <c r="D14824" s="7">
        <v>0.23</v>
      </c>
    </row>
    <row r="14825" spans="1:4" x14ac:dyDescent="0.25">
      <c r="A14825" t="str">
        <f>HYPERLINK("https://www.773grp.com/globalSearch/BZX84J-B3V0115/page-1", "BZX84J-B3V0115")</f>
        <v>BZX84J-B3V0115</v>
      </c>
      <c r="B14825" s="3" t="str">
        <f>HYPERLINK("https://www.773grp.com/manufacturer/nxp-semiconductor?pageNo=16", "NXP Semiconductors")</f>
        <v>NXP Semiconductors</v>
      </c>
      <c r="C14825" s="6">
        <v>800</v>
      </c>
      <c r="D14825" s="7">
        <v>0.23</v>
      </c>
    </row>
    <row r="14826" spans="1:4" x14ac:dyDescent="0.25">
      <c r="A14826" t="str">
        <f>HYPERLINK("https://www.773grp.com/globalSearch/BZX84J-B3V3115/page-1", "BZX84J-B3V3115")</f>
        <v>BZX84J-B3V3115</v>
      </c>
      <c r="B14826" s="3" t="str">
        <f>HYPERLINK("https://www.773grp.com/manufacturer/nxp-semiconductor?pageNo=17", "NXP Semiconductors")</f>
        <v>NXP Semiconductors</v>
      </c>
      <c r="C14826" s="6">
        <v>24000</v>
      </c>
      <c r="D14826" s="7">
        <v>0.23</v>
      </c>
    </row>
    <row r="14827" spans="1:4" x14ac:dyDescent="0.25">
      <c r="A14827" t="str">
        <f>HYPERLINK("https://www.773grp.com/globalSearch/BZX84J-B3V6115/page-1", "BZX84J-B3V6115")</f>
        <v>BZX84J-B3V6115</v>
      </c>
      <c r="B14827" s="3" t="str">
        <f>HYPERLINK("https://www.773grp.com/manufacturer/nxp-semiconductor?pageNo=18", "NXP Semiconductors")</f>
        <v>NXP Semiconductors</v>
      </c>
      <c r="C14827" s="6">
        <v>5376</v>
      </c>
      <c r="D14827" s="7">
        <v>0.23</v>
      </c>
    </row>
    <row r="14828" spans="1:4" x14ac:dyDescent="0.25">
      <c r="A14828" t="str">
        <f>HYPERLINK("https://www.773grp.com/globalSearch/BZX84J-B4V7115/page-1", "BZX84J-B4V7115")</f>
        <v>BZX84J-B4V7115</v>
      </c>
      <c r="B14828" s="3" t="str">
        <f>HYPERLINK("https://www.773grp.com/manufacturer/nxp-semiconductor?pageNo=19", "NXP Semiconductors")</f>
        <v>NXP Semiconductors</v>
      </c>
      <c r="C14828" s="6">
        <v>21000</v>
      </c>
      <c r="D14828" s="7">
        <v>0.23</v>
      </c>
    </row>
    <row r="14829" spans="1:4" x14ac:dyDescent="0.25">
      <c r="A14829" t="str">
        <f>HYPERLINK("https://www.773grp.com/globalSearch/BZX84J-B51115/page-1", "BZX84J-B51115")</f>
        <v>BZX84J-B51115</v>
      </c>
      <c r="B14829" s="3" t="str">
        <f>HYPERLINK("https://www.773grp.com/manufacturer/nxp-semiconductor?pageNo=20", "NXP Semiconductors")</f>
        <v>NXP Semiconductors</v>
      </c>
      <c r="C14829" s="6">
        <v>22000</v>
      </c>
      <c r="D14829" s="7">
        <v>0.23</v>
      </c>
    </row>
    <row r="14830" spans="1:4" x14ac:dyDescent="0.25">
      <c r="A14830" t="str">
        <f>HYPERLINK("https://www.773grp.com/globalSearch/BZX84J-B5V1115/page-1", "BZX84J-B5V1115")</f>
        <v>BZX84J-B5V1115</v>
      </c>
      <c r="B14830" s="3" t="str">
        <f>HYPERLINK("https://www.773grp.com/manufacturer/nxp-semiconductor?pageNo=21", "NXP Semiconductors")</f>
        <v>NXP Semiconductors</v>
      </c>
      <c r="C14830" s="6">
        <v>30000</v>
      </c>
      <c r="D14830" s="7">
        <v>0.23</v>
      </c>
    </row>
    <row r="14831" spans="1:4" x14ac:dyDescent="0.25">
      <c r="A14831" t="str">
        <f>HYPERLINK("https://www.773grp.com/globalSearch/BZX84J-B5V6115/page-1", "BZX84J-B5V6115")</f>
        <v>BZX84J-B5V6115</v>
      </c>
      <c r="B14831" s="3" t="str">
        <f>HYPERLINK("https://www.773grp.com/manufacturer/nxp-semiconductor?pageNo=22", "NXP Semiconductors")</f>
        <v>NXP Semiconductors</v>
      </c>
      <c r="C14831" s="6">
        <v>3000</v>
      </c>
      <c r="D14831" s="7">
        <v>0.23</v>
      </c>
    </row>
    <row r="14832" spans="1:4" x14ac:dyDescent="0.25">
      <c r="A14832" t="str">
        <f>HYPERLINK("https://www.773grp.com/globalSearch/BZX84J-B62115/page-1", "BZX84J-B62115")</f>
        <v>BZX84J-B62115</v>
      </c>
      <c r="B14832" s="3" t="str">
        <f>HYPERLINK("https://www.773grp.com/manufacturer/nxp-semiconductor?pageNo=23", "NXP Semiconductors")</f>
        <v>NXP Semiconductors</v>
      </c>
      <c r="C14832" s="6">
        <v>9000</v>
      </c>
      <c r="D14832" s="7">
        <v>0.23</v>
      </c>
    </row>
    <row r="14833" spans="1:4" x14ac:dyDescent="0.25">
      <c r="A14833" t="str">
        <f>HYPERLINK("https://www.773grp.com/globalSearch/BZX84J-B68115/page-1", "BZX84J-B68115")</f>
        <v>BZX84J-B68115</v>
      </c>
      <c r="B14833" s="3" t="str">
        <f>HYPERLINK("https://www.773grp.com/manufacturer/nxp-semiconductor?pageNo=24", "NXP Semiconductors")</f>
        <v>NXP Semiconductors</v>
      </c>
      <c r="C14833" s="6">
        <v>6000</v>
      </c>
      <c r="D14833" s="7">
        <v>0.23</v>
      </c>
    </row>
    <row r="14834" spans="1:4" x14ac:dyDescent="0.25">
      <c r="A14834" t="str">
        <f>HYPERLINK("https://www.773grp.com/globalSearch/BZX84J-B6V2115/page-1", "BZX84J-B6V2115")</f>
        <v>BZX84J-B6V2115</v>
      </c>
      <c r="B14834" s="3" t="str">
        <f>HYPERLINK("https://www.773grp.com/manufacturer/nxp-semiconductor?pageNo=25", "NXP Semiconductors")</f>
        <v>NXP Semiconductors</v>
      </c>
      <c r="C14834" s="6">
        <v>21000</v>
      </c>
      <c r="D14834" s="7">
        <v>0.23</v>
      </c>
    </row>
    <row r="14835" spans="1:4" x14ac:dyDescent="0.25">
      <c r="A14835" t="str">
        <f>HYPERLINK("https://www.773grp.com/globalSearch/BZX84J-B6V8115/page-1", "BZX84J-B6V8115")</f>
        <v>BZX84J-B6V8115</v>
      </c>
      <c r="B14835" s="3" t="str">
        <f>HYPERLINK("https://www.773grp.com/manufacturer/nxp-semiconductor?pageNo=26", "NXP Semiconductors")</f>
        <v>NXP Semiconductors</v>
      </c>
      <c r="C14835" s="6">
        <v>15000</v>
      </c>
      <c r="D14835" s="7">
        <v>0.23</v>
      </c>
    </row>
    <row r="14836" spans="1:4" x14ac:dyDescent="0.25">
      <c r="A14836" t="str">
        <f>HYPERLINK("https://www.773grp.com/globalSearch/BZX84J-B7V5115/page-1", "BZX84J-B7V5115")</f>
        <v>BZX84J-B7V5115</v>
      </c>
      <c r="B14836" s="3" t="str">
        <f>HYPERLINK("https://www.773grp.com/manufacturer/nxp-semiconductor?pageNo=27", "NXP Semiconductors")</f>
        <v>NXP Semiconductors</v>
      </c>
      <c r="C14836" s="6">
        <v>30000</v>
      </c>
      <c r="D14836" s="7">
        <v>0.23</v>
      </c>
    </row>
    <row r="14837" spans="1:4" x14ac:dyDescent="0.25">
      <c r="A14837" t="str">
        <f>HYPERLINK("https://www.773grp.com/globalSearch/BZX84J-B8V2115/page-1", "BZX84J-B8V2115")</f>
        <v>BZX84J-B8V2115</v>
      </c>
      <c r="B14837" s="3" t="str">
        <f>HYPERLINK("https://www.773grp.com/manufacturer/nxp-semiconductor?pageNo=28", "NXP Semiconductors")</f>
        <v>NXP Semiconductors</v>
      </c>
      <c r="C14837" s="6">
        <v>18000</v>
      </c>
      <c r="D14837" s="7">
        <v>0.23</v>
      </c>
    </row>
    <row r="14838" spans="1:4" x14ac:dyDescent="0.25">
      <c r="A14838" t="str">
        <f>HYPERLINK("https://www.773grp.com/globalSearch/IP4256CZ5-W115/page-1", "IP4256CZ5-W115")</f>
        <v>IP4256CZ5-W115</v>
      </c>
      <c r="B14838" s="3" t="str">
        <f>HYPERLINK("https://www.773grp.com/manufacturer/nxp-semiconductor?pageNo=29", "NXP Semiconductors")</f>
        <v>NXP Semiconductors</v>
      </c>
      <c r="C14838" s="6">
        <v>8000</v>
      </c>
      <c r="D14838" s="7">
        <v>0.23</v>
      </c>
    </row>
    <row r="14839" spans="1:4" x14ac:dyDescent="0.25">
      <c r="A14839" t="str">
        <f>HYPERLINK("https://www.773grp.com/globalSearch/MAC97A6116/page-1", "MAC97A6116")</f>
        <v>MAC97A6116</v>
      </c>
      <c r="B14839" s="3" t="str">
        <f>HYPERLINK("https://www.773grp.com/manufacturer/nxp-semiconductor?pageNo=30", "NXP Semiconductors")</f>
        <v>NXP Semiconductors</v>
      </c>
      <c r="C14839" s="6">
        <v>20000</v>
      </c>
      <c r="D14839" s="7">
        <v>0.23</v>
      </c>
    </row>
    <row r="14840" spans="1:4" x14ac:dyDescent="0.25">
      <c r="A14840" t="str">
        <f>HYPERLINK("https://www.773grp.com/globalSearch/MAC97A6412/page-1", "MAC97A6412")</f>
        <v>MAC97A6412</v>
      </c>
      <c r="B14840" s="3" t="str">
        <f>HYPERLINK("https://www.773grp.com/manufacturer/nxp-semiconductor?pageNo=31", "NXP Semiconductors")</f>
        <v>NXP Semiconductors</v>
      </c>
      <c r="C14840" s="6">
        <v>28321</v>
      </c>
      <c r="D14840" s="7">
        <v>0.23</v>
      </c>
    </row>
    <row r="14841" spans="1:4" x14ac:dyDescent="0.25">
      <c r="A14841" t="str">
        <f>HYPERLINK("https://www.773grp.com/globalSearch/MMBTA42215/page-1", "MMBTA42215")</f>
        <v>MMBTA42215</v>
      </c>
      <c r="B14841" s="3" t="str">
        <f>HYPERLINK("https://www.773grp.com/manufacturer/nxp-semiconductor?pageNo=32", "NXP Semiconductors")</f>
        <v>NXP Semiconductors</v>
      </c>
      <c r="C14841" s="6">
        <v>27000</v>
      </c>
      <c r="D14841" s="7">
        <v>0.23</v>
      </c>
    </row>
    <row r="14842" spans="1:4" x14ac:dyDescent="0.25">
      <c r="A14842" t="str">
        <f>HYPERLINK("https://www.773grp.com/globalSearch/MMBTA92215/page-1", "MMBTA92215")</f>
        <v>MMBTA92215</v>
      </c>
      <c r="B14842" s="3" t="str">
        <f>HYPERLINK("https://www.773grp.com/manufacturer/nxp-semiconductor?pageNo=33", "NXP Semiconductors")</f>
        <v>NXP Semiconductors</v>
      </c>
      <c r="C14842" s="6">
        <v>15000</v>
      </c>
      <c r="D14842" s="7">
        <v>0.23</v>
      </c>
    </row>
    <row r="14843" spans="1:4" x14ac:dyDescent="0.25">
      <c r="A14843" t="str">
        <f>HYPERLINK("https://www.773grp.com/globalSearch/NUP1301U115/page-1", "NUP1301U115")</f>
        <v>NUP1301U115</v>
      </c>
      <c r="B14843" s="3" t="str">
        <f>HYPERLINK("https://www.773grp.com/manufacturer/nxp-semiconductor?pageNo=34", "NXP Semiconductors")</f>
        <v>NXP Semiconductors</v>
      </c>
      <c r="C14843" s="6">
        <v>15000</v>
      </c>
      <c r="D14843" s="7">
        <v>0.23</v>
      </c>
    </row>
    <row r="14844" spans="1:4" x14ac:dyDescent="0.25">
      <c r="A14844" t="str">
        <f>HYPERLINK("https://www.773grp.com/globalSearch/PBSS2515MB315/page-1", "PBSS2515MB315")</f>
        <v>PBSS2515MB315</v>
      </c>
      <c r="B14844" s="3" t="str">
        <f>HYPERLINK("https://www.773grp.com/manufacturer/nxp-semiconductor?pageNo=35", "NXP Semiconductors")</f>
        <v>NXP Semiconductors</v>
      </c>
      <c r="C14844" s="6">
        <v>20000</v>
      </c>
      <c r="D14844" s="7">
        <v>0.23</v>
      </c>
    </row>
    <row r="14845" spans="1:4" x14ac:dyDescent="0.25">
      <c r="A14845" t="str">
        <f>HYPERLINK("https://www.773grp.com/globalSearch/PBSS2540E115/page-1", "PBSS2540E115")</f>
        <v>PBSS2540E115</v>
      </c>
      <c r="B14845" s="3" t="str">
        <f>HYPERLINK("https://www.773grp.com/manufacturer/nxp-semiconductor?pageNo=36", "NXP Semiconductors")</f>
        <v>NXP Semiconductors</v>
      </c>
      <c r="C14845" s="6">
        <v>18000</v>
      </c>
      <c r="D14845" s="7">
        <v>0.23</v>
      </c>
    </row>
    <row r="14846" spans="1:4" x14ac:dyDescent="0.25">
      <c r="A14846" t="str">
        <f>HYPERLINK("https://www.773grp.com/globalSearch/PBSS3540E115/page-1", "PBSS3540E115")</f>
        <v>PBSS3540E115</v>
      </c>
      <c r="B14846" s="3" t="str">
        <f>HYPERLINK("https://www.773grp.com/manufacturer/nxp-semiconductor?pageNo=37", "NXP Semiconductors")</f>
        <v>NXP Semiconductors</v>
      </c>
      <c r="C14846" s="6">
        <v>39261</v>
      </c>
      <c r="D14846" s="7">
        <v>0.23</v>
      </c>
    </row>
    <row r="14847" spans="1:4" x14ac:dyDescent="0.25">
      <c r="A14847" t="str">
        <f>HYPERLINK("https://www.773grp.com/globalSearch/PDTC123TM315/page-1", "PDTC123TM315")</f>
        <v>PDTC123TM315</v>
      </c>
      <c r="B14847" s="3" t="str">
        <f>HYPERLINK("https://www.773grp.com/manufacturer/nxp-semiconductor?pageNo=38", "NXP Semiconductors")</f>
        <v>NXP Semiconductors</v>
      </c>
      <c r="C14847" s="6">
        <v>16800</v>
      </c>
      <c r="D14847" s="7">
        <v>0.23</v>
      </c>
    </row>
    <row r="14848" spans="1:4" x14ac:dyDescent="0.25">
      <c r="A14848" t="str">
        <f>HYPERLINK("https://www.773grp.com/globalSearch/PEMB11115/page-1", "PEMB11115")</f>
        <v>PEMB11115</v>
      </c>
      <c r="B14848" s="3" t="str">
        <f>HYPERLINK("https://www.773grp.com/manufacturer/nxp-semiconductor?pageNo=39", "NXP Semiconductors")</f>
        <v>NXP Semiconductors</v>
      </c>
      <c r="C14848" s="6">
        <v>8000</v>
      </c>
      <c r="D14848" s="7">
        <v>0.23</v>
      </c>
    </row>
    <row r="14849" spans="1:4" x14ac:dyDescent="0.25">
      <c r="A14849" t="str">
        <f>HYPERLINK("https://www.773grp.com/globalSearch/PEMB1115/page-1", "PEMB1115")</f>
        <v>PEMB1115</v>
      </c>
      <c r="B14849" s="3" t="str">
        <f>HYPERLINK("https://www.773grp.com/manufacturer/nxp-semiconductor?pageNo=40", "NXP Semiconductors")</f>
        <v>NXP Semiconductors</v>
      </c>
      <c r="C14849" s="6">
        <v>15480</v>
      </c>
      <c r="D14849" s="7">
        <v>0.23</v>
      </c>
    </row>
    <row r="14850" spans="1:4" x14ac:dyDescent="0.25">
      <c r="A14850" t="str">
        <f>HYPERLINK("https://www.773grp.com/globalSearch/PEMB13115/page-1", "PEMB13115")</f>
        <v>PEMB13115</v>
      </c>
      <c r="B14850" s="3" t="str">
        <f>HYPERLINK("https://www.773grp.com/manufacturer/nxp-semiconductor?pageNo=41", "NXP Semiconductors")</f>
        <v>NXP Semiconductors</v>
      </c>
      <c r="C14850" s="6">
        <v>22884</v>
      </c>
      <c r="D14850" s="7">
        <v>0.23</v>
      </c>
    </row>
    <row r="14851" spans="1:4" x14ac:dyDescent="0.25">
      <c r="A14851" t="str">
        <f>HYPERLINK("https://www.773grp.com/globalSearch/PEMB14115/page-1", "PEMB14115")</f>
        <v>PEMB14115</v>
      </c>
      <c r="B14851" s="3" t="str">
        <f>HYPERLINK("https://www.773grp.com/manufacturer/nxp-semiconductor?pageNo=42", "NXP Semiconductors")</f>
        <v>NXP Semiconductors</v>
      </c>
      <c r="C14851" s="6">
        <v>12000</v>
      </c>
      <c r="D14851" s="7">
        <v>0.23</v>
      </c>
    </row>
    <row r="14852" spans="1:4" x14ac:dyDescent="0.25">
      <c r="A14852" t="str">
        <f>HYPERLINK("https://www.773grp.com/globalSearch/PEMB15115/page-1", "PEMB15115")</f>
        <v>PEMB15115</v>
      </c>
      <c r="B14852" s="3" t="str">
        <f>HYPERLINK("https://www.773grp.com/manufacturer/nxp-semiconductor?pageNo=43", "NXP Semiconductors")</f>
        <v>NXP Semiconductors</v>
      </c>
      <c r="C14852" s="6">
        <v>3000</v>
      </c>
      <c r="D14852" s="7">
        <v>0.23</v>
      </c>
    </row>
    <row r="14853" spans="1:4" x14ac:dyDescent="0.25">
      <c r="A14853" t="str">
        <f>HYPERLINK("https://www.773grp.com/globalSearch/PEMB16115/page-1", "PEMB16115")</f>
        <v>PEMB16115</v>
      </c>
      <c r="B14853" s="3" t="str">
        <f>HYPERLINK("https://www.773grp.com/manufacturer/nxp-semiconductor?pageNo=44", "NXP Semiconductors")</f>
        <v>NXP Semiconductors</v>
      </c>
      <c r="C14853" s="6">
        <v>12000</v>
      </c>
      <c r="D14853" s="7">
        <v>0.23</v>
      </c>
    </row>
    <row r="14854" spans="1:4" x14ac:dyDescent="0.25">
      <c r="A14854" t="str">
        <f>HYPERLINK("https://www.773grp.com/globalSearch/PEMB17115/page-1", "PEMB17115")</f>
        <v>PEMB17115</v>
      </c>
      <c r="B14854" s="3" t="str">
        <f>HYPERLINK("https://www.773grp.com/manufacturer/nxp-semiconductor?pageNo=45", "NXP Semiconductors")</f>
        <v>NXP Semiconductors</v>
      </c>
      <c r="C14854" s="6">
        <v>12000</v>
      </c>
      <c r="D14854" s="7">
        <v>0.23</v>
      </c>
    </row>
    <row r="14855" spans="1:4" x14ac:dyDescent="0.25">
      <c r="A14855" t="str">
        <f>HYPERLINK("https://www.773grp.com/globalSearch/PEMB18115/page-1", "PEMB18115")</f>
        <v>PEMB18115</v>
      </c>
      <c r="B14855" s="3" t="str">
        <f>HYPERLINK("https://www.773grp.com/manufacturer/nxp-semiconductor?pageNo=46", "NXP Semiconductors")</f>
        <v>NXP Semiconductors</v>
      </c>
      <c r="C14855" s="6">
        <v>12000</v>
      </c>
      <c r="D14855" s="7">
        <v>0.23</v>
      </c>
    </row>
    <row r="14856" spans="1:4" x14ac:dyDescent="0.25">
      <c r="A14856" t="str">
        <f>HYPERLINK("https://www.773grp.com/globalSearch/PEMB19115/page-1", "PEMB19115")</f>
        <v>PEMB19115</v>
      </c>
      <c r="B14856" s="3" t="str">
        <f>HYPERLINK("https://www.773grp.com/manufacturer/nxp-semiconductor?pageNo=47", "NXP Semiconductors")</f>
        <v>NXP Semiconductors</v>
      </c>
      <c r="C14856" s="6">
        <v>12000</v>
      </c>
      <c r="D14856" s="7">
        <v>0.23</v>
      </c>
    </row>
    <row r="14857" spans="1:4" x14ac:dyDescent="0.25">
      <c r="A14857" t="str">
        <f>HYPERLINK("https://www.773grp.com/globalSearch/PEMB20115/page-1", "PEMB20115")</f>
        <v>PEMB20115</v>
      </c>
      <c r="B14857" s="3" t="str">
        <f>HYPERLINK("https://www.773grp.com/manufacturer/nxp-semiconductor?pageNo=48", "NXP Semiconductors")</f>
        <v>NXP Semiconductors</v>
      </c>
      <c r="C14857" s="6">
        <v>10473</v>
      </c>
      <c r="D14857" s="7">
        <v>0.23</v>
      </c>
    </row>
    <row r="14858" spans="1:4" x14ac:dyDescent="0.25">
      <c r="A14858" t="str">
        <f>HYPERLINK("https://www.773grp.com/globalSearch/PEMB2115/page-1", "PEMB2115")</f>
        <v>PEMB2115</v>
      </c>
      <c r="B14858" s="3" t="s">
        <v>93</v>
      </c>
      <c r="C14858" s="6">
        <v>11995</v>
      </c>
      <c r="D14858" s="7">
        <v>0.23</v>
      </c>
    </row>
    <row r="14859" spans="1:4" x14ac:dyDescent="0.25">
      <c r="A14859" t="str">
        <f>HYPERLINK("https://www.773grp.com/globalSearch/PEMB24115/page-1", "PEMB24115")</f>
        <v>PEMB24115</v>
      </c>
      <c r="B14859" s="3" t="s">
        <v>93</v>
      </c>
      <c r="C14859" s="6">
        <v>12000</v>
      </c>
      <c r="D14859" s="7">
        <v>0.23</v>
      </c>
    </row>
    <row r="14860" spans="1:4" x14ac:dyDescent="0.25">
      <c r="A14860" t="str">
        <f>HYPERLINK("https://www.773grp.com/globalSearch/PEMB30115/page-1", "PEMB30115")</f>
        <v>PEMB30115</v>
      </c>
      <c r="B14860" s="3" t="s">
        <v>93</v>
      </c>
      <c r="C14860" s="6">
        <v>12000</v>
      </c>
      <c r="D14860" s="7">
        <v>0.23</v>
      </c>
    </row>
    <row r="14861" spans="1:4" x14ac:dyDescent="0.25">
      <c r="A14861" t="str">
        <f>HYPERLINK("https://www.773grp.com/globalSearch/PEMB3115/page-1", "PEMB3115")</f>
        <v>PEMB3115</v>
      </c>
      <c r="B14861" s="3" t="s">
        <v>93</v>
      </c>
      <c r="C14861" s="6">
        <v>12000</v>
      </c>
      <c r="D14861" s="7">
        <v>0.23</v>
      </c>
    </row>
    <row r="14862" spans="1:4" x14ac:dyDescent="0.25">
      <c r="A14862" t="str">
        <f>HYPERLINK("https://www.773grp.com/globalSearch/PEMB4115/page-1", "PEMB4115")</f>
        <v>PEMB4115</v>
      </c>
      <c r="B14862" s="3" t="s">
        <v>93</v>
      </c>
      <c r="C14862" s="6">
        <v>831</v>
      </c>
      <c r="D14862" s="7">
        <v>0.23</v>
      </c>
    </row>
    <row r="14863" spans="1:4" x14ac:dyDescent="0.25">
      <c r="A14863" t="str">
        <f>HYPERLINK("https://www.773grp.com/globalSearch/PEMD10115/page-1", "PEMD10115")</f>
        <v>PEMD10115</v>
      </c>
      <c r="B14863" s="3" t="s">
        <v>93</v>
      </c>
      <c r="C14863" s="6">
        <v>24000</v>
      </c>
      <c r="D14863" s="7">
        <v>0.23</v>
      </c>
    </row>
    <row r="14864" spans="1:4" x14ac:dyDescent="0.25">
      <c r="A14864" t="str">
        <f>HYPERLINK("https://www.773grp.com/globalSearch/PEMD12115/page-1", "PEMD12115")</f>
        <v>PEMD12115</v>
      </c>
      <c r="B14864" s="3" t="s">
        <v>93</v>
      </c>
      <c r="C14864" s="6">
        <v>10139535</v>
      </c>
      <c r="D14864" s="7">
        <v>0.23</v>
      </c>
    </row>
    <row r="14865" spans="1:4" x14ac:dyDescent="0.25">
      <c r="A14865" t="str">
        <f>HYPERLINK("https://www.773grp.com/globalSearch/PEMD13115/page-1", "PEMD13115")</f>
        <v>PEMD13115</v>
      </c>
      <c r="B14865" s="3" t="s">
        <v>93</v>
      </c>
      <c r="C14865" s="6">
        <v>40932</v>
      </c>
      <c r="D14865" s="7">
        <v>0.23</v>
      </c>
    </row>
    <row r="14866" spans="1:4" x14ac:dyDescent="0.25">
      <c r="A14866" t="str">
        <f>HYPERLINK("https://www.773grp.com/globalSearch/PEMD17115/page-1", "PEMD17115")</f>
        <v>PEMD17115</v>
      </c>
      <c r="B14866" s="3" t="s">
        <v>93</v>
      </c>
      <c r="C14866" s="6">
        <v>12000</v>
      </c>
      <c r="D14866" s="7">
        <v>0.23</v>
      </c>
    </row>
    <row r="14867" spans="1:4" x14ac:dyDescent="0.25">
      <c r="A14867" t="str">
        <f>HYPERLINK("https://www.773grp.com/globalSearch/PEMD18115/page-1", "PEMD18115")</f>
        <v>PEMD18115</v>
      </c>
      <c r="B14867" s="3" t="s">
        <v>93</v>
      </c>
      <c r="C14867" s="6">
        <v>4000</v>
      </c>
      <c r="D14867" s="7">
        <v>0.23</v>
      </c>
    </row>
    <row r="14868" spans="1:4" x14ac:dyDescent="0.25">
      <c r="A14868" t="str">
        <f>HYPERLINK("https://www.773grp.com/globalSearch/PEMD19115/page-1", "PEMD19115")</f>
        <v>PEMD19115</v>
      </c>
      <c r="B14868" s="3" t="s">
        <v>93</v>
      </c>
      <c r="C14868" s="6">
        <v>12000</v>
      </c>
      <c r="D14868" s="7">
        <v>0.23</v>
      </c>
    </row>
    <row r="14869" spans="1:4" x14ac:dyDescent="0.25">
      <c r="A14869" t="str">
        <f>HYPERLINK("https://www.773grp.com/globalSearch/PEMD20115/page-1", "PEMD20115")</f>
        <v>PEMD20115</v>
      </c>
      <c r="B14869" s="3" t="s">
        <v>93</v>
      </c>
      <c r="C14869" s="6">
        <v>12021</v>
      </c>
      <c r="D14869" s="7">
        <v>0.23</v>
      </c>
    </row>
    <row r="14870" spans="1:4" x14ac:dyDescent="0.25">
      <c r="A14870" t="str">
        <f>HYPERLINK("https://www.773grp.com/globalSearch/PEMD2315/page-1", "PEMD2315")</f>
        <v>PEMD2315</v>
      </c>
      <c r="B14870" s="3" t="s">
        <v>93</v>
      </c>
      <c r="C14870" s="6">
        <v>12600</v>
      </c>
      <c r="D14870" s="7">
        <v>0.23</v>
      </c>
    </row>
    <row r="14871" spans="1:4" x14ac:dyDescent="0.25">
      <c r="A14871" t="str">
        <f>HYPERLINK("https://www.773grp.com/globalSearch/PEMD30115/page-1", "PEMD30115")</f>
        <v>PEMD30115</v>
      </c>
      <c r="B14871" s="3" t="s">
        <v>93</v>
      </c>
      <c r="C14871" s="6">
        <v>11300</v>
      </c>
      <c r="D14871" s="7">
        <v>0.23</v>
      </c>
    </row>
    <row r="14872" spans="1:4" x14ac:dyDescent="0.25">
      <c r="A14872" t="str">
        <f>HYPERLINK("https://www.773grp.com/globalSearch/PEMD3115/page-1", "PEMD3115")</f>
        <v>PEMD3115</v>
      </c>
      <c r="B14872" s="3" t="s">
        <v>93</v>
      </c>
      <c r="C14872" s="6">
        <v>28000</v>
      </c>
      <c r="D14872" s="7">
        <v>0.23</v>
      </c>
    </row>
    <row r="14873" spans="1:4" x14ac:dyDescent="0.25">
      <c r="A14873" t="str">
        <f>HYPERLINK("https://www.773grp.com/globalSearch/PEMD3315/page-1", "PEMD3315")</f>
        <v>PEMD3315</v>
      </c>
      <c r="B14873" s="3" t="s">
        <v>93</v>
      </c>
      <c r="C14873" s="6">
        <v>875</v>
      </c>
      <c r="D14873" s="7">
        <v>0.23</v>
      </c>
    </row>
    <row r="14874" spans="1:4" x14ac:dyDescent="0.25">
      <c r="A14874" t="str">
        <f>HYPERLINK("https://www.773grp.com/globalSearch/PEMD4115/page-1", "PEMD4115")</f>
        <v>PEMD4115</v>
      </c>
      <c r="B14874" s="3" t="s">
        <v>93</v>
      </c>
      <c r="C14874" s="6">
        <v>194</v>
      </c>
      <c r="D14874" s="7">
        <v>0.23</v>
      </c>
    </row>
    <row r="14875" spans="1:4" x14ac:dyDescent="0.25">
      <c r="A14875" t="str">
        <f>HYPERLINK("https://www.773grp.com/globalSearch/PEMD48115/page-1", "PEMD48115")</f>
        <v>PEMD48115</v>
      </c>
      <c r="B14875" s="3" t="s">
        <v>93</v>
      </c>
      <c r="C14875" s="6">
        <v>12500</v>
      </c>
      <c r="D14875" s="7">
        <v>0.23</v>
      </c>
    </row>
    <row r="14876" spans="1:4" x14ac:dyDescent="0.25">
      <c r="A14876" t="str">
        <f>HYPERLINK("https://www.773grp.com/globalSearch/PEMH10115/page-1", "PEMH10115")</f>
        <v>PEMH10115</v>
      </c>
      <c r="B14876" s="3" t="s">
        <v>93</v>
      </c>
      <c r="C14876" s="6">
        <v>29346</v>
      </c>
      <c r="D14876" s="7">
        <v>0.23</v>
      </c>
    </row>
    <row r="14877" spans="1:4" x14ac:dyDescent="0.25">
      <c r="A14877" t="str">
        <f>HYPERLINK("https://www.773grp.com/globalSearch/PEMH11115/page-1", "PEMH11115")</f>
        <v>PEMH11115</v>
      </c>
      <c r="B14877" s="3" t="s">
        <v>93</v>
      </c>
      <c r="C14877" s="6">
        <v>4000</v>
      </c>
      <c r="D14877" s="7">
        <v>0.23</v>
      </c>
    </row>
    <row r="14878" spans="1:4" x14ac:dyDescent="0.25">
      <c r="A14878" t="str">
        <f>HYPERLINK("https://www.773grp.com/globalSearch/PEMH1115/page-1", "PEMH1115")</f>
        <v>PEMH1115</v>
      </c>
      <c r="B14878" s="3" t="s">
        <v>93</v>
      </c>
      <c r="C14878" s="6">
        <v>16000</v>
      </c>
      <c r="D14878" s="7">
        <v>0.23</v>
      </c>
    </row>
    <row r="14879" spans="1:4" x14ac:dyDescent="0.25">
      <c r="A14879" t="str">
        <f>HYPERLINK("https://www.773grp.com/globalSearch/PEMH13115/page-1", "PEMH13115")</f>
        <v>PEMH13115</v>
      </c>
      <c r="B14879" s="3" t="s">
        <v>93</v>
      </c>
      <c r="C14879" s="6">
        <v>76000</v>
      </c>
      <c r="D14879" s="7">
        <v>0.23</v>
      </c>
    </row>
    <row r="14880" spans="1:4" x14ac:dyDescent="0.25">
      <c r="A14880" t="str">
        <f>HYPERLINK("https://www.773grp.com/globalSearch/PEMH14115/page-1", "PEMH14115")</f>
        <v>PEMH14115</v>
      </c>
      <c r="B14880" s="3" t="s">
        <v>93</v>
      </c>
      <c r="C14880" s="6">
        <v>8000</v>
      </c>
      <c r="D14880" s="7">
        <v>0.23</v>
      </c>
    </row>
    <row r="14881" spans="1:4" x14ac:dyDescent="0.25">
      <c r="A14881" t="str">
        <f>HYPERLINK("https://www.773grp.com/globalSearch/PEMH16115/page-1", "PEMH16115")</f>
        <v>PEMH16115</v>
      </c>
      <c r="B14881" s="3" t="s">
        <v>93</v>
      </c>
      <c r="C14881" s="6">
        <v>12000</v>
      </c>
      <c r="D14881" s="7">
        <v>0.23</v>
      </c>
    </row>
    <row r="14882" spans="1:4" x14ac:dyDescent="0.25">
      <c r="A14882" t="str">
        <f>HYPERLINK("https://www.773grp.com/globalSearch/PEMH18115/page-1", "PEMH18115")</f>
        <v>PEMH18115</v>
      </c>
      <c r="B14882" s="3" t="s">
        <v>93</v>
      </c>
      <c r="C14882" s="6">
        <v>10004</v>
      </c>
      <c r="D14882" s="7">
        <v>0.23</v>
      </c>
    </row>
    <row r="14883" spans="1:4" x14ac:dyDescent="0.25">
      <c r="A14883" t="str">
        <f>HYPERLINK("https://www.773grp.com/globalSearch/PEMH19115/page-1", "PEMH19115")</f>
        <v>PEMH19115</v>
      </c>
      <c r="B14883" s="3" t="s">
        <v>93</v>
      </c>
      <c r="C14883" s="6">
        <v>8000</v>
      </c>
      <c r="D14883" s="7">
        <v>0.23</v>
      </c>
    </row>
    <row r="14884" spans="1:4" x14ac:dyDescent="0.25">
      <c r="A14884" t="str">
        <f>HYPERLINK("https://www.773grp.com/globalSearch/PEMH2115/page-1", "PEMH2115")</f>
        <v>PEMH2115</v>
      </c>
      <c r="B14884" s="3" t="s">
        <v>93</v>
      </c>
      <c r="C14884" s="6">
        <v>960</v>
      </c>
      <c r="D14884" s="7">
        <v>0.23</v>
      </c>
    </row>
    <row r="14885" spans="1:4" x14ac:dyDescent="0.25">
      <c r="A14885" t="str">
        <f>HYPERLINK("https://www.773grp.com/globalSearch/PEMH30115/page-1", "PEMH30115")</f>
        <v>PEMH30115</v>
      </c>
      <c r="B14885" s="3" t="s">
        <v>93</v>
      </c>
      <c r="C14885" s="6">
        <v>12000</v>
      </c>
      <c r="D14885" s="7">
        <v>0.23</v>
      </c>
    </row>
    <row r="14886" spans="1:4" x14ac:dyDescent="0.25">
      <c r="A14886" t="str">
        <f>HYPERLINK("https://www.773grp.com/globalSearch/PEMH7115/page-1", "PEMH7115")</f>
        <v>PEMH7115</v>
      </c>
      <c r="B14886" s="3" t="s">
        <v>93</v>
      </c>
      <c r="C14886" s="6">
        <v>19535</v>
      </c>
      <c r="D14886" s="7">
        <v>0.23</v>
      </c>
    </row>
    <row r="14887" spans="1:4" x14ac:dyDescent="0.25">
      <c r="A14887" t="str">
        <f>HYPERLINK("https://www.773grp.com/globalSearch/PEMI2STD-CE115/page-1", "PEMI2STD-CE115")</f>
        <v>PEMI2STD-CE115</v>
      </c>
      <c r="B14887" s="3" t="s">
        <v>93</v>
      </c>
      <c r="C14887" s="6">
        <v>4000</v>
      </c>
      <c r="D14887" s="7">
        <v>0.23</v>
      </c>
    </row>
    <row r="14888" spans="1:4" x14ac:dyDescent="0.25">
      <c r="A14888" t="str">
        <f>HYPERLINK("https://www.773grp.com/globalSearch/PEMI2STD-CG115/page-1", "PEMI2STD-CG115")</f>
        <v>PEMI2STD-CG115</v>
      </c>
      <c r="B14888" s="3" t="s">
        <v>93</v>
      </c>
      <c r="C14888" s="6">
        <v>4000</v>
      </c>
      <c r="D14888" s="7">
        <v>0.23</v>
      </c>
    </row>
    <row r="14889" spans="1:4" x14ac:dyDescent="0.25">
      <c r="A14889" t="str">
        <f>HYPERLINK("https://www.773grp.com/globalSearch/PEMI2STD-CK115/page-1", "PEMI2STD-CK115")</f>
        <v>PEMI2STD-CK115</v>
      </c>
      <c r="B14889" s="3" t="s">
        <v>93</v>
      </c>
      <c r="C14889" s="6">
        <v>12000</v>
      </c>
      <c r="D14889" s="7">
        <v>0.23</v>
      </c>
    </row>
    <row r="14890" spans="1:4" x14ac:dyDescent="0.25">
      <c r="A14890" t="str">
        <f>HYPERLINK("https://www.773grp.com/globalSearch/PEMI2STD-CM115/page-1", "PEMI2STD-CM115")</f>
        <v>PEMI2STD-CM115</v>
      </c>
      <c r="B14890" s="3" t="s">
        <v>93</v>
      </c>
      <c r="C14890" s="6">
        <v>12000</v>
      </c>
      <c r="D14890" s="7">
        <v>0.23</v>
      </c>
    </row>
    <row r="14891" spans="1:4" x14ac:dyDescent="0.25">
      <c r="A14891" t="str">
        <f>HYPERLINK("https://www.773grp.com/globalSearch/PEMI2STD-CP115/page-1", "PEMI2STD-CP115")</f>
        <v>PEMI2STD-CP115</v>
      </c>
      <c r="B14891" s="3" t="s">
        <v>93</v>
      </c>
      <c r="C14891" s="6">
        <v>4000</v>
      </c>
      <c r="D14891" s="7">
        <v>0.23</v>
      </c>
    </row>
    <row r="14892" spans="1:4" x14ac:dyDescent="0.25">
      <c r="A14892" t="str">
        <f>HYPERLINK("https://www.773grp.com/globalSearch/PEMI2STD-CR115/page-1", "PEMI2STD-CR115")</f>
        <v>PEMI2STD-CR115</v>
      </c>
      <c r="B14892" s="3" t="s">
        <v>93</v>
      </c>
      <c r="C14892" s="6">
        <v>8000</v>
      </c>
      <c r="D14892" s="7">
        <v>0.23</v>
      </c>
    </row>
    <row r="14893" spans="1:4" x14ac:dyDescent="0.25">
      <c r="A14893" t="str">
        <f>HYPERLINK("https://www.773grp.com/globalSearch/PEMI2STD-CT115/page-1", "PEMI2STD-CT115")</f>
        <v>PEMI2STD-CT115</v>
      </c>
      <c r="B14893" s="3" t="s">
        <v>93</v>
      </c>
      <c r="C14893" s="6">
        <v>4000</v>
      </c>
      <c r="D14893" s="7">
        <v>0.23</v>
      </c>
    </row>
    <row r="14894" spans="1:4" x14ac:dyDescent="0.25">
      <c r="A14894" t="str">
        <f>HYPERLINK("https://www.773grp.com/globalSearch/PEMI2STD-HK115/page-1", "PEMI2STD-HK115")</f>
        <v>PEMI2STD-HK115</v>
      </c>
      <c r="B14894" s="3" t="s">
        <v>93</v>
      </c>
      <c r="C14894" s="6">
        <v>4000</v>
      </c>
      <c r="D14894" s="7">
        <v>0.23</v>
      </c>
    </row>
    <row r="14895" spans="1:4" x14ac:dyDescent="0.25">
      <c r="A14895" t="str">
        <f>HYPERLINK("https://www.773grp.com/globalSearch/PEMI2STD-HM115/page-1", "PEMI2STD-HM115")</f>
        <v>PEMI2STD-HM115</v>
      </c>
      <c r="B14895" s="3" t="s">
        <v>93</v>
      </c>
      <c r="C14895" s="6">
        <v>4000</v>
      </c>
      <c r="D14895" s="7">
        <v>0.23</v>
      </c>
    </row>
    <row r="14896" spans="1:4" x14ac:dyDescent="0.25">
      <c r="A14896" t="str">
        <f>HYPERLINK("https://www.773grp.com/globalSearch/PEMI2STD-HP115/page-1", "PEMI2STD-HP115")</f>
        <v>PEMI2STD-HP115</v>
      </c>
      <c r="B14896" s="3" t="s">
        <v>93</v>
      </c>
      <c r="C14896" s="6">
        <v>4000</v>
      </c>
      <c r="D14896" s="7">
        <v>0.23</v>
      </c>
    </row>
    <row r="14897" spans="1:4" x14ac:dyDescent="0.25">
      <c r="A14897" t="str">
        <f>HYPERLINK("https://www.773grp.com/globalSearch/PEMI2STD-HR115/page-1", "PEMI2STD-HR115")</f>
        <v>PEMI2STD-HR115</v>
      </c>
      <c r="B14897" s="3" t="s">
        <v>93</v>
      </c>
      <c r="C14897" s="6">
        <v>12000</v>
      </c>
      <c r="D14897" s="7">
        <v>0.23</v>
      </c>
    </row>
    <row r="14898" spans="1:4" x14ac:dyDescent="0.25">
      <c r="A14898" t="str">
        <f>HYPERLINK("https://www.773grp.com/globalSearch/PEMI2STD-HT115/page-1", "PEMI2STD-HT115")</f>
        <v>PEMI2STD-HT115</v>
      </c>
      <c r="B14898" s="3" t="s">
        <v>93</v>
      </c>
      <c r="C14898" s="6">
        <v>4000</v>
      </c>
      <c r="D14898" s="7">
        <v>0.23</v>
      </c>
    </row>
    <row r="14899" spans="1:4" x14ac:dyDescent="0.25">
      <c r="A14899" t="str">
        <f>HYPERLINK("https://www.773grp.com/globalSearch/PEMI2STD-LE115/page-1", "PEMI2STD-LE115")</f>
        <v>PEMI2STD-LE115</v>
      </c>
      <c r="B14899" s="3" t="s">
        <v>93</v>
      </c>
      <c r="C14899" s="6">
        <v>12000</v>
      </c>
      <c r="D14899" s="7">
        <v>0.23</v>
      </c>
    </row>
    <row r="14900" spans="1:4" x14ac:dyDescent="0.25">
      <c r="A14900" t="str">
        <f>HYPERLINK("https://www.773grp.com/globalSearch/PEMI2STD-LG115/page-1", "PEMI2STD-LG115")</f>
        <v>PEMI2STD-LG115</v>
      </c>
      <c r="B14900" s="3" t="s">
        <v>93</v>
      </c>
      <c r="C14900" s="6">
        <v>12000</v>
      </c>
      <c r="D14900" s="7">
        <v>0.23</v>
      </c>
    </row>
    <row r="14901" spans="1:4" x14ac:dyDescent="0.25">
      <c r="A14901" t="str">
        <f>HYPERLINK("https://www.773grp.com/globalSearch/PEMI2STD-LK115/page-1", "PEMI2STD-LK115")</f>
        <v>PEMI2STD-LK115</v>
      </c>
      <c r="B14901" s="3" t="s">
        <v>93</v>
      </c>
      <c r="C14901" s="6">
        <v>12000</v>
      </c>
      <c r="D14901" s="7">
        <v>0.23</v>
      </c>
    </row>
    <row r="14902" spans="1:4" x14ac:dyDescent="0.25">
      <c r="A14902" t="str">
        <f>HYPERLINK("https://www.773grp.com/globalSearch/PEMI2STD-LM115/page-1", "PEMI2STD-LM115")</f>
        <v>PEMI2STD-LM115</v>
      </c>
      <c r="B14902" s="3" t="s">
        <v>93</v>
      </c>
      <c r="C14902" s="6">
        <v>12000</v>
      </c>
      <c r="D14902" s="7">
        <v>0.23</v>
      </c>
    </row>
    <row r="14903" spans="1:4" x14ac:dyDescent="0.25">
      <c r="A14903" t="str">
        <f>HYPERLINK("https://www.773grp.com/globalSearch/PEMI2STD-LP115/page-1", "PEMI2STD-LP115")</f>
        <v>PEMI2STD-LP115</v>
      </c>
      <c r="B14903" s="3" t="s">
        <v>93</v>
      </c>
      <c r="C14903" s="6">
        <v>12000</v>
      </c>
      <c r="D14903" s="7">
        <v>0.23</v>
      </c>
    </row>
    <row r="14904" spans="1:4" x14ac:dyDescent="0.25">
      <c r="A14904" t="str">
        <f>HYPERLINK("https://www.773grp.com/globalSearch/PEMI2STD-LR115/page-1", "PEMI2STD-LR115")</f>
        <v>PEMI2STD-LR115</v>
      </c>
      <c r="B14904" s="3" t="s">
        <v>93</v>
      </c>
      <c r="C14904" s="6">
        <v>12000</v>
      </c>
      <c r="D14904" s="7">
        <v>0.23</v>
      </c>
    </row>
    <row r="14905" spans="1:4" x14ac:dyDescent="0.25">
      <c r="A14905" t="str">
        <f>HYPERLINK("https://www.773grp.com/globalSearch/PEMI2STD-LT115/page-1", "PEMI2STD-LT115")</f>
        <v>PEMI2STD-LT115</v>
      </c>
      <c r="B14905" s="3" t="s">
        <v>93</v>
      </c>
      <c r="C14905" s="6">
        <v>4000</v>
      </c>
      <c r="D14905" s="7">
        <v>0.23</v>
      </c>
    </row>
    <row r="14906" spans="1:4" x14ac:dyDescent="0.25">
      <c r="A14906" t="str">
        <f>HYPERLINK("https://www.773grp.com/globalSearch/PEMI2STD-RE115/page-1", "PEMI2STD-RE115")</f>
        <v>PEMI2STD-RE115</v>
      </c>
      <c r="B14906" s="3" t="s">
        <v>93</v>
      </c>
      <c r="C14906" s="6">
        <v>12000</v>
      </c>
      <c r="D14906" s="7">
        <v>0.23</v>
      </c>
    </row>
    <row r="14907" spans="1:4" x14ac:dyDescent="0.25">
      <c r="A14907" t="str">
        <f>HYPERLINK("https://www.773grp.com/globalSearch/PEMI2STD-RG115/page-1", "PEMI2STD-RG115")</f>
        <v>PEMI2STD-RG115</v>
      </c>
      <c r="B14907" s="3" t="s">
        <v>93</v>
      </c>
      <c r="C14907" s="6">
        <v>4000</v>
      </c>
      <c r="D14907" s="7">
        <v>0.23</v>
      </c>
    </row>
    <row r="14908" spans="1:4" x14ac:dyDescent="0.25">
      <c r="A14908" t="str">
        <f>HYPERLINK("https://www.773grp.com/globalSearch/PEMI2STD-RK115/page-1", "PEMI2STD-RK115")</f>
        <v>PEMI2STD-RK115</v>
      </c>
      <c r="B14908" s="3" t="s">
        <v>93</v>
      </c>
      <c r="C14908" s="6">
        <v>8000</v>
      </c>
      <c r="D14908" s="7">
        <v>0.23</v>
      </c>
    </row>
    <row r="14909" spans="1:4" x14ac:dyDescent="0.25">
      <c r="A14909" t="str">
        <f>HYPERLINK("https://www.773grp.com/globalSearch/PEMI2STD-RM115/page-1", "PEMI2STD-RM115")</f>
        <v>PEMI2STD-RM115</v>
      </c>
      <c r="B14909" s="3" t="s">
        <v>93</v>
      </c>
      <c r="C14909" s="6">
        <v>4000</v>
      </c>
      <c r="D14909" s="7">
        <v>0.23</v>
      </c>
    </row>
    <row r="14910" spans="1:4" x14ac:dyDescent="0.25">
      <c r="A14910" t="str">
        <f>HYPERLINK("https://www.773grp.com/globalSearch/PEMI2STD-RP115/page-1", "PEMI2STD-RP115")</f>
        <v>PEMI2STD-RP115</v>
      </c>
      <c r="B14910" s="3" t="s">
        <v>93</v>
      </c>
      <c r="C14910" s="6">
        <v>12000</v>
      </c>
      <c r="D14910" s="7">
        <v>0.23</v>
      </c>
    </row>
    <row r="14911" spans="1:4" x14ac:dyDescent="0.25">
      <c r="A14911" t="str">
        <f>HYPERLINK("https://www.773grp.com/globalSearch/PEMI2STD-RR115/page-1", "PEMI2STD-RR115")</f>
        <v>PEMI2STD-RR115</v>
      </c>
      <c r="B14911" s="3" t="s">
        <v>93</v>
      </c>
      <c r="C14911" s="6">
        <v>4000</v>
      </c>
      <c r="D14911" s="7">
        <v>0.23</v>
      </c>
    </row>
    <row r="14912" spans="1:4" x14ac:dyDescent="0.25">
      <c r="A14912" t="str">
        <f>HYPERLINK("https://www.773grp.com/globalSearch/PEMI2STD-WE115/page-1", "PEMI2STD-WE115")</f>
        <v>PEMI2STD-WE115</v>
      </c>
      <c r="B14912" s="3" t="s">
        <v>93</v>
      </c>
      <c r="C14912" s="6">
        <v>8000</v>
      </c>
      <c r="D14912" s="7">
        <v>0.23</v>
      </c>
    </row>
    <row r="14913" spans="1:4" x14ac:dyDescent="0.25">
      <c r="A14913" t="str">
        <f>HYPERLINK("https://www.773grp.com/globalSearch/PEMI2STD-WG115/page-1", "PEMI2STD-WG115")</f>
        <v>PEMI2STD-WG115</v>
      </c>
      <c r="B14913" s="3" t="s">
        <v>93</v>
      </c>
      <c r="C14913" s="6">
        <v>12000</v>
      </c>
      <c r="D14913" s="7">
        <v>0.23</v>
      </c>
    </row>
    <row r="14914" spans="1:4" x14ac:dyDescent="0.25">
      <c r="A14914" t="str">
        <f>HYPERLINK("https://www.773grp.com/globalSearch/PEMI2STD-WK115/page-1", "PEMI2STD-WK115")</f>
        <v>PEMI2STD-WK115</v>
      </c>
      <c r="B14914" s="3" t="s">
        <v>93</v>
      </c>
      <c r="C14914" s="6">
        <v>4000</v>
      </c>
      <c r="D14914" s="7">
        <v>0.23</v>
      </c>
    </row>
    <row r="14915" spans="1:4" x14ac:dyDescent="0.25">
      <c r="A14915" t="str">
        <f>HYPERLINK("https://www.773grp.com/globalSearch/PEMI2STD-WM115/page-1", "PEMI2STD-WM115")</f>
        <v>PEMI2STD-WM115</v>
      </c>
      <c r="B14915" s="3" t="s">
        <v>93</v>
      </c>
      <c r="C14915" s="6">
        <v>4000</v>
      </c>
      <c r="D14915" s="7">
        <v>0.23</v>
      </c>
    </row>
    <row r="14916" spans="1:4" x14ac:dyDescent="0.25">
      <c r="A14916" t="str">
        <f>HYPERLINK("https://www.773grp.com/globalSearch/PEMI2STD-WP115/page-1", "PEMI2STD-WP115")</f>
        <v>PEMI2STD-WP115</v>
      </c>
      <c r="B14916" s="3" t="s">
        <v>93</v>
      </c>
      <c r="C14916" s="6">
        <v>4000</v>
      </c>
      <c r="D14916" s="7">
        <v>0.23</v>
      </c>
    </row>
    <row r="14917" spans="1:4" x14ac:dyDescent="0.25">
      <c r="A14917" t="str">
        <f>HYPERLINK("https://www.773grp.com/globalSearch/PEMI2STD-WR115/page-1", "PEMI2STD-WR115")</f>
        <v>PEMI2STD-WR115</v>
      </c>
      <c r="B14917" s="3" t="s">
        <v>93</v>
      </c>
      <c r="C14917" s="6">
        <v>12000</v>
      </c>
      <c r="D14917" s="7">
        <v>0.23</v>
      </c>
    </row>
    <row r="14918" spans="1:4" x14ac:dyDescent="0.25">
      <c r="A14918" t="str">
        <f>HYPERLINK("https://www.773grp.com/globalSearch/PEMI2STD-WT115/page-1", "PEMI2STD-WT115")</f>
        <v>PEMI2STD-WT115</v>
      </c>
      <c r="B14918" s="3" t="s">
        <v>93</v>
      </c>
      <c r="C14918" s="6">
        <v>4000</v>
      </c>
      <c r="D14918" s="7">
        <v>0.23</v>
      </c>
    </row>
    <row r="14919" spans="1:4" x14ac:dyDescent="0.25">
      <c r="A14919" t="str">
        <f>HYPERLINK("https://www.773grp.com/globalSearch/PEMT1115/page-1", "PEMT1115")</f>
        <v>PEMT1115</v>
      </c>
      <c r="B14919" s="3" t="s">
        <v>93</v>
      </c>
      <c r="C14919" s="6">
        <v>12000</v>
      </c>
      <c r="D14919" s="7">
        <v>0.23</v>
      </c>
    </row>
    <row r="14920" spans="1:4" x14ac:dyDescent="0.25">
      <c r="A14920" t="str">
        <f>HYPERLINK("https://www.773grp.com/globalSearch/PEMZ1115/page-1", "PEMZ1115")</f>
        <v>PEMZ1115</v>
      </c>
      <c r="B14920" s="3" t="s">
        <v>93</v>
      </c>
      <c r="C14920" s="6">
        <v>200</v>
      </c>
      <c r="D14920" s="7">
        <v>0.23</v>
      </c>
    </row>
    <row r="14921" spans="1:4" x14ac:dyDescent="0.25">
      <c r="A14921" t="str">
        <f>HYPERLINK("https://www.773grp.com/globalSearch/PEMZ7115/page-1", "PEMZ7115")</f>
        <v>PEMZ7115</v>
      </c>
      <c r="B14921" s="3" t="s">
        <v>93</v>
      </c>
      <c r="C14921" s="6">
        <v>4000</v>
      </c>
      <c r="D14921" s="7">
        <v>0.23</v>
      </c>
    </row>
    <row r="14922" spans="1:4" x14ac:dyDescent="0.25">
      <c r="A14922" t="str">
        <f>HYPERLINK("https://www.773grp.com/globalSearch/PESD12VS1UB115/page-1", "PESD12VS1UB115")</f>
        <v>PESD12VS1UB115</v>
      </c>
      <c r="B14922" s="3" t="s">
        <v>93</v>
      </c>
      <c r="C14922" s="6">
        <v>12200</v>
      </c>
      <c r="D14922" s="7">
        <v>0.23</v>
      </c>
    </row>
    <row r="14923" spans="1:4" x14ac:dyDescent="0.25">
      <c r="A14923" t="str">
        <f>HYPERLINK("https://www.773grp.com/globalSearch/PESD12VS1UL315/page-1", "PESD12VS1UL315")</f>
        <v>PESD12VS1UL315</v>
      </c>
      <c r="B14923" s="3" t="s">
        <v>93</v>
      </c>
      <c r="C14923" s="6">
        <v>10000</v>
      </c>
      <c r="D14923" s="7">
        <v>0.23</v>
      </c>
    </row>
    <row r="14924" spans="1:4" x14ac:dyDescent="0.25">
      <c r="A14924" t="str">
        <f>HYPERLINK("https://www.773grp.com/globalSearch/PESD15VS1UB115/page-1", "PESD15VS1UB115")</f>
        <v>PESD15VS1UB115</v>
      </c>
      <c r="B14924" s="3" t="s">
        <v>93</v>
      </c>
      <c r="C14924" s="6">
        <v>100</v>
      </c>
      <c r="D14924" s="7">
        <v>0.23</v>
      </c>
    </row>
    <row r="14925" spans="1:4" x14ac:dyDescent="0.25">
      <c r="A14925" t="str">
        <f>HYPERLINK("https://www.773grp.com/globalSearch/PESD15VS1UL315/page-1", "PESD15VS1UL315")</f>
        <v>PESD15VS1UL315</v>
      </c>
      <c r="B14925" s="3" t="s">
        <v>93</v>
      </c>
      <c r="C14925" s="6">
        <v>48896</v>
      </c>
      <c r="D14925" s="7">
        <v>0.23</v>
      </c>
    </row>
    <row r="14926" spans="1:4" x14ac:dyDescent="0.25">
      <c r="A14926" t="str">
        <f>HYPERLINK("https://www.773grp.com/globalSearch/PESD24VS1UA115/page-1", "PESD24VS1UA115")</f>
        <v>PESD24VS1UA115</v>
      </c>
      <c r="B14926" s="3" t="s">
        <v>93</v>
      </c>
      <c r="C14926" s="6">
        <v>9000</v>
      </c>
      <c r="D14926" s="7">
        <v>0.23</v>
      </c>
    </row>
    <row r="14927" spans="1:4" x14ac:dyDescent="0.25">
      <c r="A14927" t="str">
        <f>HYPERLINK("https://www.773grp.com/globalSearch/PESD3V3S1UB115/page-1", "PESD3V3S1UB115")</f>
        <v>PESD3V3S1UB115</v>
      </c>
      <c r="B14927" s="3" t="s">
        <v>93</v>
      </c>
      <c r="C14927" s="6">
        <v>183000</v>
      </c>
      <c r="D14927" s="7">
        <v>0.23</v>
      </c>
    </row>
    <row r="14928" spans="1:4" x14ac:dyDescent="0.25">
      <c r="A14928" t="str">
        <f>HYPERLINK("https://www.773grp.com/globalSearch/PESD3V3S1UL315/page-1", "PESD3V3S1UL315")</f>
        <v>PESD3V3S1UL315</v>
      </c>
      <c r="B14928" s="3" t="s">
        <v>93</v>
      </c>
      <c r="C14928" s="6">
        <v>30000</v>
      </c>
      <c r="D14928" s="7">
        <v>0.23</v>
      </c>
    </row>
    <row r="14929" spans="1:4" x14ac:dyDescent="0.25">
      <c r="A14929" t="str">
        <f>HYPERLINK("https://www.773grp.com/globalSearch/PESD5V0S1UB115/page-1", "PESD5V0S1UB115")</f>
        <v>PESD5V0S1UB115</v>
      </c>
      <c r="B14929" s="3" t="s">
        <v>93</v>
      </c>
      <c r="C14929" s="6">
        <v>3000</v>
      </c>
      <c r="D14929" s="7">
        <v>0.23</v>
      </c>
    </row>
    <row r="14930" spans="1:4" x14ac:dyDescent="0.25">
      <c r="A14930" t="str">
        <f>HYPERLINK("https://www.773grp.com/globalSearch/PESD5Z2.5115/page-1", "PESD5Z2.5115")</f>
        <v>PESD5Z2.5115</v>
      </c>
      <c r="B14930" s="3" t="s">
        <v>93</v>
      </c>
      <c r="C14930" s="6">
        <v>24000</v>
      </c>
      <c r="D14930" s="7">
        <v>0.23</v>
      </c>
    </row>
    <row r="14931" spans="1:4" x14ac:dyDescent="0.25">
      <c r="A14931" t="str">
        <f>HYPERLINK("https://www.773grp.com/globalSearch/PESD5Z3.3115/page-1", "PESD5Z3.3115")</f>
        <v>PESD5Z3.3115</v>
      </c>
      <c r="B14931" s="3" t="s">
        <v>93</v>
      </c>
      <c r="C14931" s="6">
        <v>6000</v>
      </c>
      <c r="D14931" s="7">
        <v>0.23</v>
      </c>
    </row>
    <row r="14932" spans="1:4" x14ac:dyDescent="0.25">
      <c r="A14932" t="str">
        <f>HYPERLINK("https://www.773grp.com/globalSearch/PESD5Z5.0115/page-1", "PESD5Z5.0115")</f>
        <v>PESD5Z5.0115</v>
      </c>
      <c r="B14932" s="3" t="s">
        <v>93</v>
      </c>
      <c r="C14932" s="6">
        <v>12000</v>
      </c>
      <c r="D14932" s="7">
        <v>0.23</v>
      </c>
    </row>
    <row r="14933" spans="1:4" x14ac:dyDescent="0.25">
      <c r="A14933" t="str">
        <f>HYPERLINK("https://www.773grp.com/globalSearch/PESD5Z6.0115/page-1", "PESD5Z6.0115")</f>
        <v>PESD5Z6.0115</v>
      </c>
      <c r="B14933" s="3" t="s">
        <v>93</v>
      </c>
      <c r="C14933" s="6">
        <v>24000</v>
      </c>
      <c r="D14933" s="7">
        <v>0.23</v>
      </c>
    </row>
    <row r="14934" spans="1:4" x14ac:dyDescent="0.25">
      <c r="A14934" t="str">
        <f>HYPERLINK("https://www.773grp.com/globalSearch/PESD5Z7.0115/page-1", "PESD5Z7.0115")</f>
        <v>PESD5Z7.0115</v>
      </c>
      <c r="B14934" s="3" t="s">
        <v>93</v>
      </c>
      <c r="C14934" s="6">
        <v>36075</v>
      </c>
      <c r="D14934" s="7">
        <v>0.23</v>
      </c>
    </row>
    <row r="14935" spans="1:4" x14ac:dyDescent="0.25">
      <c r="A14935" t="str">
        <f>HYPERLINK("https://www.773grp.com/globalSearch/PIMZ2115/page-1", "PIMZ2115")</f>
        <v>PIMZ2115</v>
      </c>
      <c r="B14935" s="3" t="s">
        <v>93</v>
      </c>
      <c r="C14935" s="6">
        <v>36000</v>
      </c>
      <c r="D14935" s="7">
        <v>0.23</v>
      </c>
    </row>
    <row r="14936" spans="1:4" x14ac:dyDescent="0.25">
      <c r="A14936" t="str">
        <f>HYPERLINK("https://www.773grp.com/globalSearch/PMBF170215/page-1", "PMBF170215")</f>
        <v>PMBF170215</v>
      </c>
      <c r="B14936" s="3" t="s">
        <v>93</v>
      </c>
      <c r="C14936" s="6">
        <v>171000</v>
      </c>
      <c r="D14936" s="7">
        <v>0.23</v>
      </c>
    </row>
    <row r="14937" spans="1:4" x14ac:dyDescent="0.25">
      <c r="A14937" t="str">
        <f>HYPERLINK("https://www.773grp.com/globalSearch/PMEG2005CT215/page-1", "PMEG2005CT215")</f>
        <v>PMEG2005CT215</v>
      </c>
      <c r="B14937" s="3" t="s">
        <v>93</v>
      </c>
      <c r="C14937" s="6">
        <v>90000</v>
      </c>
      <c r="D14937" s="7">
        <v>0.23</v>
      </c>
    </row>
    <row r="14938" spans="1:4" x14ac:dyDescent="0.25">
      <c r="A14938" t="str">
        <f>HYPERLINK("https://www.773grp.com/globalSearch/PMEG3002AEB115/page-1", "PMEG3002AEB115")</f>
        <v>PMEG3002AEB115</v>
      </c>
      <c r="B14938" s="3" t="s">
        <v>93</v>
      </c>
      <c r="C14938" s="6">
        <v>3000</v>
      </c>
      <c r="D14938" s="7">
        <v>0.23</v>
      </c>
    </row>
    <row r="14939" spans="1:4" x14ac:dyDescent="0.25">
      <c r="A14939" t="str">
        <f>HYPERLINK("https://www.773grp.com/globalSearch/PMEG3002AEL315/page-1", "PMEG3002AEL315")</f>
        <v>PMEG3002AEL315</v>
      </c>
      <c r="B14939" s="3" t="s">
        <v>93</v>
      </c>
      <c r="C14939" s="6">
        <v>70000</v>
      </c>
      <c r="D14939" s="7">
        <v>0.23</v>
      </c>
    </row>
    <row r="14940" spans="1:4" x14ac:dyDescent="0.25">
      <c r="A14940" t="str">
        <f>HYPERLINK("https://www.773grp.com/globalSearch/PMEG3002EJ115/page-1", "PMEG3002EJ115")</f>
        <v>PMEG3002EJ115</v>
      </c>
      <c r="B14940" s="3" t="s">
        <v>93</v>
      </c>
      <c r="C14940" s="6">
        <v>700</v>
      </c>
      <c r="D14940" s="7">
        <v>0.23</v>
      </c>
    </row>
    <row r="14941" spans="1:4" x14ac:dyDescent="0.25">
      <c r="A14941" t="str">
        <f>HYPERLINK("https://www.773grp.com/globalSearch/PMEG4002EJ115/page-1", "PMEG4002EJ115")</f>
        <v>PMEG4002EJ115</v>
      </c>
      <c r="B14941" s="3" t="s">
        <v>93</v>
      </c>
      <c r="C14941" s="6">
        <v>150</v>
      </c>
      <c r="D14941" s="7">
        <v>0.23</v>
      </c>
    </row>
    <row r="14942" spans="1:4" x14ac:dyDescent="0.25">
      <c r="A14942" t="str">
        <f>HYPERLINK("https://www.773grp.com/globalSearch/PMEG4002EL315/page-1", "PMEG4002EL315")</f>
        <v>PMEG4002EL315</v>
      </c>
      <c r="B14942" s="3" t="s">
        <v>93</v>
      </c>
      <c r="C14942" s="6">
        <v>40000</v>
      </c>
      <c r="D14942" s="7">
        <v>0.23</v>
      </c>
    </row>
    <row r="14943" spans="1:4" x14ac:dyDescent="0.25">
      <c r="A14943" t="str">
        <f>HYPERLINK("https://www.773grp.com/globalSearch/PZU10B115/page-1", "PZU10B115")</f>
        <v>PZU10B115</v>
      </c>
      <c r="B14943" s="3" t="s">
        <v>93</v>
      </c>
      <c r="C14943" s="6">
        <v>9000</v>
      </c>
      <c r="D14943" s="7">
        <v>0.23</v>
      </c>
    </row>
    <row r="14944" spans="1:4" x14ac:dyDescent="0.25">
      <c r="A14944" t="str">
        <f>HYPERLINK("https://www.773grp.com/globalSearch/PZU11B115/page-1", "PZU11B115")</f>
        <v>PZU11B115</v>
      </c>
      <c r="B14944" s="3" t="s">
        <v>93</v>
      </c>
      <c r="C14944" s="6">
        <v>9000</v>
      </c>
      <c r="D14944" s="7">
        <v>0.23</v>
      </c>
    </row>
    <row r="14945" spans="1:4" x14ac:dyDescent="0.25">
      <c r="A14945" t="str">
        <f>HYPERLINK("https://www.773grp.com/globalSearch/PZU12B115/page-1", "PZU12B115")</f>
        <v>PZU12B115</v>
      </c>
      <c r="B14945" s="3" t="s">
        <v>93</v>
      </c>
      <c r="C14945" s="6">
        <v>9000</v>
      </c>
      <c r="D14945" s="7">
        <v>0.23</v>
      </c>
    </row>
    <row r="14946" spans="1:4" x14ac:dyDescent="0.25">
      <c r="A14946" t="str">
        <f>HYPERLINK("https://www.773grp.com/globalSearch/PZU13B115/page-1", "PZU13B115")</f>
        <v>PZU13B115</v>
      </c>
      <c r="B14946" s="3" t="s">
        <v>93</v>
      </c>
      <c r="C14946" s="6">
        <v>15000</v>
      </c>
      <c r="D14946" s="7">
        <v>0.23</v>
      </c>
    </row>
    <row r="14947" spans="1:4" x14ac:dyDescent="0.25">
      <c r="A14947" t="str">
        <f>HYPERLINK("https://www.773grp.com/globalSearch/PZU15B115/page-1", "PZU15B115")</f>
        <v>PZU15B115</v>
      </c>
      <c r="B14947" s="3" t="s">
        <v>93</v>
      </c>
      <c r="C14947" s="6">
        <v>48000</v>
      </c>
      <c r="D14947" s="7">
        <v>0.23</v>
      </c>
    </row>
    <row r="14948" spans="1:4" x14ac:dyDescent="0.25">
      <c r="A14948" t="str">
        <f>HYPERLINK("https://www.773grp.com/globalSearch/PZU16B115/page-1", "PZU16B115")</f>
        <v>PZU16B115</v>
      </c>
      <c r="B14948" s="3" t="s">
        <v>93</v>
      </c>
      <c r="C14948" s="6">
        <v>6000</v>
      </c>
      <c r="D14948" s="7">
        <v>0.23</v>
      </c>
    </row>
    <row r="14949" spans="1:4" x14ac:dyDescent="0.25">
      <c r="A14949" t="str">
        <f>HYPERLINK("https://www.773grp.com/globalSearch/PZU18B115/page-1", "PZU18B115")</f>
        <v>PZU18B115</v>
      </c>
      <c r="B14949" s="3" t="s">
        <v>93</v>
      </c>
      <c r="C14949" s="6">
        <v>18000</v>
      </c>
      <c r="D14949" s="7">
        <v>0.23</v>
      </c>
    </row>
    <row r="14950" spans="1:4" x14ac:dyDescent="0.25">
      <c r="A14950" t="str">
        <f>HYPERLINK("https://www.773grp.com/globalSearch/PZU2.4B115/page-1", "PZU2.4B115")</f>
        <v>PZU2.4B115</v>
      </c>
      <c r="B14950" s="3" t="s">
        <v>93</v>
      </c>
      <c r="C14950" s="6">
        <v>3000</v>
      </c>
      <c r="D14950" s="7">
        <v>0.23</v>
      </c>
    </row>
    <row r="14951" spans="1:4" x14ac:dyDescent="0.25">
      <c r="A14951" t="str">
        <f>HYPERLINK("https://www.773grp.com/globalSearch/PZU2.7B115/page-1", "PZU2.7B115")</f>
        <v>PZU2.7B115</v>
      </c>
      <c r="B14951" s="3" t="s">
        <v>93</v>
      </c>
      <c r="C14951" s="6">
        <v>15000</v>
      </c>
      <c r="D14951" s="7">
        <v>0.23</v>
      </c>
    </row>
    <row r="14952" spans="1:4" x14ac:dyDescent="0.25">
      <c r="A14952" t="str">
        <f>HYPERLINK("https://www.773grp.com/globalSearch/PZU20B115/page-1", "PZU20B115")</f>
        <v>PZU20B115</v>
      </c>
      <c r="B14952" s="3" t="s">
        <v>93</v>
      </c>
      <c r="C14952" s="6">
        <v>15000</v>
      </c>
      <c r="D14952" s="7">
        <v>0.23</v>
      </c>
    </row>
    <row r="14953" spans="1:4" x14ac:dyDescent="0.25">
      <c r="A14953" t="str">
        <f>HYPERLINK("https://www.773grp.com/globalSearch/PZU22B115/page-1", "PZU22B115")</f>
        <v>PZU22B115</v>
      </c>
      <c r="B14953" s="3" t="s">
        <v>93</v>
      </c>
      <c r="C14953" s="6">
        <v>18000</v>
      </c>
      <c r="D14953" s="7">
        <v>0.23</v>
      </c>
    </row>
    <row r="14954" spans="1:4" x14ac:dyDescent="0.25">
      <c r="A14954" t="str">
        <f>HYPERLINK("https://www.773grp.com/globalSearch/PZU24B115/page-1", "PZU24B115")</f>
        <v>PZU24B115</v>
      </c>
      <c r="B14954" s="3" t="s">
        <v>93</v>
      </c>
      <c r="C14954" s="6">
        <v>18000</v>
      </c>
      <c r="D14954" s="7">
        <v>0.23</v>
      </c>
    </row>
    <row r="14955" spans="1:4" x14ac:dyDescent="0.25">
      <c r="A14955" t="str">
        <f>HYPERLINK("https://www.773grp.com/globalSearch/PZU27B115/page-1", "PZU27B115")</f>
        <v>PZU27B115</v>
      </c>
      <c r="B14955" s="3" t="s">
        <v>93</v>
      </c>
      <c r="C14955" s="6">
        <v>3000</v>
      </c>
      <c r="D14955" s="7">
        <v>0.23</v>
      </c>
    </row>
    <row r="14956" spans="1:4" x14ac:dyDescent="0.25">
      <c r="A14956" t="str">
        <f>HYPERLINK("https://www.773grp.com/globalSearch/PZU27B135/page-1", "PZU27B135")</f>
        <v>PZU27B135</v>
      </c>
      <c r="B14956" s="3" t="s">
        <v>93</v>
      </c>
      <c r="C14956" s="6">
        <v>20000</v>
      </c>
      <c r="D14956" s="7">
        <v>0.23</v>
      </c>
    </row>
    <row r="14957" spans="1:4" x14ac:dyDescent="0.25">
      <c r="A14957" t="str">
        <f>HYPERLINK("https://www.773grp.com/globalSearch/PZU3.0B115/page-1", "PZU3.0B115")</f>
        <v>PZU3.0B115</v>
      </c>
      <c r="B14957" s="3" t="s">
        <v>93</v>
      </c>
      <c r="C14957" s="6">
        <v>24000</v>
      </c>
      <c r="D14957" s="7">
        <v>0.23</v>
      </c>
    </row>
    <row r="14958" spans="1:4" x14ac:dyDescent="0.25">
      <c r="A14958" t="str">
        <f>HYPERLINK("https://www.773grp.com/globalSearch/PZU3.3B115/page-1", "PZU3.3B115")</f>
        <v>PZU3.3B115</v>
      </c>
      <c r="B14958" s="3" t="s">
        <v>93</v>
      </c>
      <c r="C14958" s="6">
        <v>9000</v>
      </c>
      <c r="D14958" s="7">
        <v>0.23</v>
      </c>
    </row>
    <row r="14959" spans="1:4" x14ac:dyDescent="0.25">
      <c r="A14959" t="str">
        <f>HYPERLINK("https://www.773grp.com/globalSearch/PZU3.9B115/page-1", "PZU3.9B115")</f>
        <v>PZU3.9B115</v>
      </c>
      <c r="B14959" s="3" t="s">
        <v>93</v>
      </c>
      <c r="C14959" s="6">
        <v>9000</v>
      </c>
      <c r="D14959" s="7">
        <v>0.23</v>
      </c>
    </row>
    <row r="14960" spans="1:4" x14ac:dyDescent="0.25">
      <c r="A14960" t="str">
        <f>HYPERLINK("https://www.773grp.com/globalSearch/PZU30B115/page-1", "PZU30B115")</f>
        <v>PZU30B115</v>
      </c>
      <c r="B14960" s="3" t="s">
        <v>93</v>
      </c>
      <c r="C14960" s="6">
        <v>16000</v>
      </c>
      <c r="D14960" s="7">
        <v>0.23</v>
      </c>
    </row>
    <row r="14961" spans="1:4" x14ac:dyDescent="0.25">
      <c r="A14961" t="str">
        <f>HYPERLINK("https://www.773grp.com/globalSearch/PZU33B115/page-1", "PZU33B115")</f>
        <v>PZU33B115</v>
      </c>
      <c r="B14961" s="3" t="str">
        <f>HYPERLINK("https://www.773grp.com/manufacturer/nxp-semiconductor?pageNo=1", "NXP Semiconductors")</f>
        <v>NXP Semiconductors</v>
      </c>
      <c r="C14961" s="6">
        <v>1000</v>
      </c>
      <c r="D14961" s="7">
        <v>0.23</v>
      </c>
    </row>
    <row r="14962" spans="1:4" x14ac:dyDescent="0.25">
      <c r="A14962" t="str">
        <f>HYPERLINK("https://www.773grp.com/globalSearch/PZU36B115/page-1", "PZU36B115")</f>
        <v>PZU36B115</v>
      </c>
      <c r="B14962" s="3" t="str">
        <f>HYPERLINK("https://www.773grp.com/manufacturer/nxp-semiconductor?pageNo=2", "NXP Semiconductors")</f>
        <v>NXP Semiconductors</v>
      </c>
      <c r="C14962" s="6">
        <v>7000</v>
      </c>
      <c r="D14962" s="7">
        <v>0.23</v>
      </c>
    </row>
    <row r="14963" spans="1:4" x14ac:dyDescent="0.25">
      <c r="A14963" t="str">
        <f>HYPERLINK("https://www.773grp.com/globalSearch/PZU4.3B115/page-1", "PZU4.3B115")</f>
        <v>PZU4.3B115</v>
      </c>
      <c r="B14963" s="3" t="str">
        <f>HYPERLINK("https://www.773grp.com/manufacturer/nxp-semiconductor?pageNo=3", "NXP Semiconductors")</f>
        <v>NXP Semiconductors</v>
      </c>
      <c r="C14963" s="6">
        <v>15810</v>
      </c>
      <c r="D14963" s="7">
        <v>0.23</v>
      </c>
    </row>
    <row r="14964" spans="1:4" x14ac:dyDescent="0.25">
      <c r="A14964" t="str">
        <f>HYPERLINK("https://www.773grp.com/globalSearch/PZU4.7B115/page-1", "PZU4.7B115")</f>
        <v>PZU4.7B115</v>
      </c>
      <c r="B14964" s="3" t="str">
        <f>HYPERLINK("https://www.773grp.com/manufacturer/nxp-semiconductor?pageNo=4", "NXP Semiconductors")</f>
        <v>NXP Semiconductors</v>
      </c>
      <c r="C14964" s="6">
        <v>18020</v>
      </c>
      <c r="D14964" s="7">
        <v>0.23</v>
      </c>
    </row>
    <row r="14965" spans="1:4" x14ac:dyDescent="0.25">
      <c r="A14965" t="str">
        <f>HYPERLINK("https://www.773grp.com/globalSearch/PZU5.1B115/page-1", "PZU5.1B115")</f>
        <v>PZU5.1B115</v>
      </c>
      <c r="B14965" s="3" t="str">
        <f>HYPERLINK("https://www.773grp.com/manufacturer/nxp-semiconductor?pageNo=5", "NXP Semiconductors")</f>
        <v>NXP Semiconductors</v>
      </c>
      <c r="C14965" s="6">
        <v>9000</v>
      </c>
      <c r="D14965" s="7">
        <v>0.23</v>
      </c>
    </row>
    <row r="14966" spans="1:4" x14ac:dyDescent="0.25">
      <c r="A14966" t="str">
        <f>HYPERLINK("https://www.773grp.com/globalSearch/PZU5.6B115/page-1", "PZU5.6B115")</f>
        <v>PZU5.6B115</v>
      </c>
      <c r="B14966" s="3" t="str">
        <f>HYPERLINK("https://www.773grp.com/manufacturer/nxp-semiconductor?pageNo=6", "NXP Semiconductors")</f>
        <v>NXP Semiconductors</v>
      </c>
      <c r="C14966" s="6">
        <v>15671</v>
      </c>
      <c r="D14966" s="7">
        <v>0.23</v>
      </c>
    </row>
    <row r="14967" spans="1:4" x14ac:dyDescent="0.25">
      <c r="A14967" t="str">
        <f>HYPERLINK("https://www.773grp.com/globalSearch/PZU6.2B115/page-1", "PZU6.2B115")</f>
        <v>PZU6.2B115</v>
      </c>
      <c r="B14967" s="3" t="str">
        <f>HYPERLINK("https://www.773grp.com/manufacturer/nxp-semiconductor?pageNo=7", "NXP Semiconductors")</f>
        <v>NXP Semiconductors</v>
      </c>
      <c r="C14967" s="6">
        <v>6000</v>
      </c>
      <c r="D14967" s="7">
        <v>0.23</v>
      </c>
    </row>
    <row r="14968" spans="1:4" x14ac:dyDescent="0.25">
      <c r="A14968" t="str">
        <f>HYPERLINK("https://www.773grp.com/globalSearch/PZU6.8B115/page-1", "PZU6.8B115")</f>
        <v>PZU6.8B115</v>
      </c>
      <c r="B14968" s="3" t="str">
        <f>HYPERLINK("https://www.773grp.com/manufacturer/nxp-semiconductor?pageNo=8", "NXP Semiconductors")</f>
        <v>NXP Semiconductors</v>
      </c>
      <c r="C14968" s="6">
        <v>27000</v>
      </c>
      <c r="D14968" s="7">
        <v>0.23</v>
      </c>
    </row>
    <row r="14969" spans="1:4" x14ac:dyDescent="0.25">
      <c r="A14969" t="str">
        <f>HYPERLINK("https://www.773grp.com/globalSearch/PZU7.5B115/page-1", "PZU7.5B115")</f>
        <v>PZU7.5B115</v>
      </c>
      <c r="B14969" s="3" t="str">
        <f>HYPERLINK("https://www.773grp.com/manufacturer/nxp-semiconductor?pageNo=9", "NXP Semiconductors")</f>
        <v>NXP Semiconductors</v>
      </c>
      <c r="C14969" s="6">
        <v>33000</v>
      </c>
      <c r="D14969" s="7">
        <v>0.23</v>
      </c>
    </row>
    <row r="14970" spans="1:4" x14ac:dyDescent="0.25">
      <c r="A14970" t="str">
        <f>HYPERLINK("https://www.773grp.com/globalSearch/PZU8.2B115/page-1", "PZU8.2B115")</f>
        <v>PZU8.2B115</v>
      </c>
      <c r="B14970" s="3" t="str">
        <f>HYPERLINK("https://www.773grp.com/manufacturer/nxp-semiconductor?pageNo=10", "NXP Semiconductors")</f>
        <v>NXP Semiconductors</v>
      </c>
      <c r="C14970" s="6">
        <v>19464</v>
      </c>
      <c r="D14970" s="7">
        <v>0.23</v>
      </c>
    </row>
    <row r="14971" spans="1:4" x14ac:dyDescent="0.25">
      <c r="A14971" t="str">
        <f>HYPERLINK("https://www.773grp.com/globalSearch/PZU9.1B115/page-1", "PZU9.1B115")</f>
        <v>PZU9.1B115</v>
      </c>
      <c r="B14971" s="3" t="str">
        <f>HYPERLINK("https://www.773grp.com/manufacturer/nxp-semiconductor?pageNo=11", "NXP Semiconductors")</f>
        <v>NXP Semiconductors</v>
      </c>
      <c r="C14971" s="6">
        <v>12000</v>
      </c>
      <c r="D14971" s="7">
        <v>0.23</v>
      </c>
    </row>
    <row r="14972" spans="1:4" x14ac:dyDescent="0.25">
      <c r="A14972" t="str">
        <f>HYPERLINK("https://www.773grp.com/globalSearch/RB521CS30L315/page-1", "RB521CS30L315")</f>
        <v>RB521CS30L315</v>
      </c>
      <c r="B14972" s="3" t="str">
        <f>HYPERLINK("https://www.773grp.com/manufacturer/nxp-semiconductor?pageNo=12", "NXP Semiconductors")</f>
        <v>NXP Semiconductors</v>
      </c>
      <c r="C14972" s="6">
        <v>10000</v>
      </c>
      <c r="D14972" s="7">
        <v>0.23</v>
      </c>
    </row>
    <row r="14973" spans="1:4" x14ac:dyDescent="0.25">
      <c r="A14973" t="str">
        <f>HYPERLINK("https://www.773grp.com/globalSearch/1PS70SB10115/page-1", "1PS70SB10115")</f>
        <v>1PS70SB10115</v>
      </c>
      <c r="B14973" s="3" t="str">
        <f>HYPERLINK("https://www.773grp.com/manufacturer/nxp-semiconductor?pageNo=13", "NXP Semiconductors")</f>
        <v>NXP Semiconductors</v>
      </c>
      <c r="C14973" s="6">
        <v>15200</v>
      </c>
      <c r="D14973" s="7">
        <v>0.28000000000000003</v>
      </c>
    </row>
    <row r="14974" spans="1:4" x14ac:dyDescent="0.25">
      <c r="A14974" t="str">
        <f>HYPERLINK("https://www.773grp.com/globalSearch/1PS76SB21115/page-1", "1PS76SB21115")</f>
        <v>1PS76SB21115</v>
      </c>
      <c r="B14974" s="3" t="str">
        <f>HYPERLINK("https://www.773grp.com/manufacturer/nxp-semiconductor?pageNo=14", "NXP Semiconductors")</f>
        <v>NXP Semiconductors</v>
      </c>
      <c r="C14974" s="6">
        <v>1714</v>
      </c>
      <c r="D14974" s="7">
        <v>0.28000000000000003</v>
      </c>
    </row>
    <row r="14975" spans="1:4" x14ac:dyDescent="0.25">
      <c r="A14975" t="str">
        <f>HYPERLINK("https://www.773grp.com/globalSearch/2N7002BKMB315/page-1", "2N7002BKMB315")</f>
        <v>2N7002BKMB315</v>
      </c>
      <c r="B14975" s="3" t="str">
        <f>HYPERLINK("https://www.773grp.com/manufacturer/nxp-semiconductor?pageNo=15", "NXP Semiconductors")</f>
        <v>NXP Semiconductors</v>
      </c>
      <c r="C14975" s="6">
        <v>10000</v>
      </c>
      <c r="D14975" s="7">
        <v>0.28000000000000003</v>
      </c>
    </row>
    <row r="14976" spans="1:4" x14ac:dyDescent="0.25">
      <c r="A14976" t="str">
        <f>HYPERLINK("https://www.773grp.com/globalSearch/2N7002PS125/page-1", "2N7002PS125")</f>
        <v>2N7002PS125</v>
      </c>
      <c r="B14976" s="3" t="str">
        <f>HYPERLINK("https://www.773grp.com/manufacturer/nxp-semiconductor?pageNo=16", "NXP Semiconductors")</f>
        <v>NXP Semiconductors</v>
      </c>
      <c r="C14976" s="6">
        <v>15000</v>
      </c>
      <c r="D14976" s="7">
        <v>0.28000000000000003</v>
      </c>
    </row>
    <row r="14977" spans="1:4" x14ac:dyDescent="0.25">
      <c r="A14977" t="str">
        <f>HYPERLINK("https://www.773grp.com/globalSearch/2N7002PT115/page-1", "2N7002PT115")</f>
        <v>2N7002PT115</v>
      </c>
      <c r="B14977" s="3" t="str">
        <f>HYPERLINK("https://www.773grp.com/manufacturer/nxp-semiconductor?pageNo=17", "NXP Semiconductors")</f>
        <v>NXP Semiconductors</v>
      </c>
      <c r="C14977" s="6">
        <v>1450</v>
      </c>
      <c r="D14977" s="7">
        <v>0.28000000000000003</v>
      </c>
    </row>
    <row r="14978" spans="1:4" x14ac:dyDescent="0.25">
      <c r="A14978" t="str">
        <f>HYPERLINK("https://www.773grp.com/globalSearch/2PA1774QM315/page-1", "2PA1774QM315")</f>
        <v>2PA1774QM315</v>
      </c>
      <c r="B14978" s="3" t="str">
        <f>HYPERLINK("https://www.773grp.com/manufacturer/nxp-semiconductor?pageNo=18", "NXP Semiconductors")</f>
        <v>NXP Semiconductors</v>
      </c>
      <c r="C14978" s="6">
        <v>10000</v>
      </c>
      <c r="D14978" s="7">
        <v>0.28000000000000003</v>
      </c>
    </row>
    <row r="14979" spans="1:4" x14ac:dyDescent="0.25">
      <c r="A14979" t="str">
        <f>HYPERLINK("https://www.773grp.com/globalSearch/2PA1774QMB315/page-1", "2PA1774QMB315")</f>
        <v>2PA1774QMB315</v>
      </c>
      <c r="B14979" s="3" t="str">
        <f>HYPERLINK("https://www.773grp.com/manufacturer/nxp-semiconductor?pageNo=19", "NXP Semiconductors")</f>
        <v>NXP Semiconductors</v>
      </c>
      <c r="C14979" s="6">
        <v>10997</v>
      </c>
      <c r="D14979" s="7">
        <v>0.28000000000000003</v>
      </c>
    </row>
    <row r="14980" spans="1:4" x14ac:dyDescent="0.25">
      <c r="A14980" t="str">
        <f>HYPERLINK("https://www.773grp.com/globalSearch/2PA1774RM315/page-1", "2PA1774RM315")</f>
        <v>2PA1774RM315</v>
      </c>
      <c r="B14980" s="3" t="str">
        <f>HYPERLINK("https://www.773grp.com/manufacturer/nxp-semiconductor?pageNo=20", "NXP Semiconductors")</f>
        <v>NXP Semiconductors</v>
      </c>
      <c r="C14980" s="6">
        <v>10000</v>
      </c>
      <c r="D14980" s="7">
        <v>0.28000000000000003</v>
      </c>
    </row>
    <row r="14981" spans="1:4" x14ac:dyDescent="0.25">
      <c r="A14981" t="str">
        <f>HYPERLINK("https://www.773grp.com/globalSearch/2PA1774RMB315/page-1", "2PA1774RMB315")</f>
        <v>2PA1774RMB315</v>
      </c>
      <c r="B14981" s="3" t="str">
        <f>HYPERLINK("https://www.773grp.com/manufacturer/nxp-semiconductor?pageNo=21", "NXP Semiconductors")</f>
        <v>NXP Semiconductors</v>
      </c>
      <c r="C14981" s="6">
        <v>10970</v>
      </c>
      <c r="D14981" s="7">
        <v>0.28000000000000003</v>
      </c>
    </row>
    <row r="14982" spans="1:4" x14ac:dyDescent="0.25">
      <c r="A14982" t="str">
        <f>HYPERLINK("https://www.773grp.com/globalSearch/2PA1774SM315/page-1", "2PA1774SM315")</f>
        <v>2PA1774SM315</v>
      </c>
      <c r="B14982" s="3" t="str">
        <f>HYPERLINK("https://www.773grp.com/manufacturer/nxp-semiconductor?pageNo=22", "NXP Semiconductors")</f>
        <v>NXP Semiconductors</v>
      </c>
      <c r="C14982" s="6">
        <v>10000</v>
      </c>
      <c r="D14982" s="7">
        <v>0.28000000000000003</v>
      </c>
    </row>
    <row r="14983" spans="1:4" x14ac:dyDescent="0.25">
      <c r="A14983" t="str">
        <f>HYPERLINK("https://www.773grp.com/globalSearch/2PA1774SMB315/page-1", "2PA1774SMB315")</f>
        <v>2PA1774SMB315</v>
      </c>
      <c r="B14983" s="3" t="str">
        <f>HYPERLINK("https://www.773grp.com/manufacturer/nxp-semiconductor?pageNo=23", "NXP Semiconductors")</f>
        <v>NXP Semiconductors</v>
      </c>
      <c r="C14983" s="6">
        <v>7998</v>
      </c>
      <c r="D14983" s="7">
        <v>0.28000000000000003</v>
      </c>
    </row>
    <row r="14984" spans="1:4" x14ac:dyDescent="0.25">
      <c r="A14984" t="str">
        <f>HYPERLINK("https://www.773grp.com/globalSearch/2PC4617QMB315/page-1", "2PC4617QMB315")</f>
        <v>2PC4617QMB315</v>
      </c>
      <c r="B14984" s="3" t="str">
        <f>HYPERLINK("https://www.773grp.com/manufacturer/nxp-semiconductor?pageNo=24", "NXP Semiconductors")</f>
        <v>NXP Semiconductors</v>
      </c>
      <c r="C14984" s="6">
        <v>11000</v>
      </c>
      <c r="D14984" s="7">
        <v>0.28000000000000003</v>
      </c>
    </row>
    <row r="14985" spans="1:4" x14ac:dyDescent="0.25">
      <c r="A14985" t="str">
        <f>HYPERLINK("https://www.773grp.com/globalSearch/2PC4617RMB315/page-1", "2PC4617RMB315")</f>
        <v>2PC4617RMB315</v>
      </c>
      <c r="B14985" s="3" t="str">
        <f>HYPERLINK("https://www.773grp.com/manufacturer/nxp-semiconductor?pageNo=25", "NXP Semiconductors")</f>
        <v>NXP Semiconductors</v>
      </c>
      <c r="C14985" s="6">
        <v>10992</v>
      </c>
      <c r="D14985" s="7">
        <v>0.28000000000000003</v>
      </c>
    </row>
    <row r="14986" spans="1:4" x14ac:dyDescent="0.25">
      <c r="A14986" t="str">
        <f>HYPERLINK("https://www.773grp.com/globalSearch/74AUP1GU04GW125/page-1", "74AUP1GU04GW125")</f>
        <v>74AUP1GU04GW125</v>
      </c>
      <c r="B14986" s="3" t="str">
        <f>HYPERLINK("https://www.773grp.com/manufacturer/nxp-semiconductor?pageNo=26", "NXP Semiconductors")</f>
        <v>NXP Semiconductors</v>
      </c>
      <c r="C14986" s="6">
        <v>12140</v>
      </c>
      <c r="D14986" s="7">
        <v>0.28000000000000003</v>
      </c>
    </row>
    <row r="14987" spans="1:4" x14ac:dyDescent="0.25">
      <c r="A14987" t="str">
        <f>HYPERLINK("https://www.773grp.com/globalSearch/74HCT1G125GV125/page-1", "74HCT1G125GV125")</f>
        <v>74HCT1G125GV125</v>
      </c>
      <c r="B14987" s="3" t="str">
        <f>HYPERLINK("https://www.773grp.com/manufacturer/nxp-semiconductor?pageNo=27", "NXP Semiconductors")</f>
        <v>NXP Semiconductors</v>
      </c>
      <c r="C14987" s="6">
        <v>54000</v>
      </c>
      <c r="D14987" s="7">
        <v>0.28000000000000003</v>
      </c>
    </row>
    <row r="14988" spans="1:4" x14ac:dyDescent="0.25">
      <c r="A14988" t="str">
        <f>HYPERLINK("https://www.773grp.com/globalSearch/74HCT1G32GV125/page-1", "74HCT1G32GV125")</f>
        <v>74HCT1G32GV125</v>
      </c>
      <c r="B14988" s="3" t="str">
        <f>HYPERLINK("https://www.773grp.com/manufacturer/nxp-semiconductor?pageNo=28", "NXP Semiconductors")</f>
        <v>NXP Semiconductors</v>
      </c>
      <c r="C14988" s="6">
        <v>60000</v>
      </c>
      <c r="D14988" s="7">
        <v>0.28000000000000003</v>
      </c>
    </row>
    <row r="14989" spans="1:4" x14ac:dyDescent="0.25">
      <c r="A14989" t="str">
        <f>HYPERLINK("https://www.773grp.com/globalSearch/74HCT1G32GW125/page-1", "74HCT1G32GW125")</f>
        <v>74HCT1G32GW125</v>
      </c>
      <c r="B14989" s="3" t="str">
        <f>HYPERLINK("https://www.773grp.com/manufacturer/nxp-semiconductor?pageNo=29", "NXP Semiconductors")</f>
        <v>NXP Semiconductors</v>
      </c>
      <c r="C14989" s="6">
        <v>111000</v>
      </c>
      <c r="D14989" s="7">
        <v>0.28000000000000003</v>
      </c>
    </row>
    <row r="14990" spans="1:4" x14ac:dyDescent="0.25">
      <c r="A14990" t="str">
        <f>HYPERLINK("https://www.773grp.com/globalSearch/74HCT1G66GW125/page-1", "74HCT1G66GW125")</f>
        <v>74HCT1G66GW125</v>
      </c>
      <c r="B14990" s="3" t="str">
        <f>HYPERLINK("https://www.773grp.com/manufacturer/nxp-semiconductor?pageNo=30", "NXP Semiconductors")</f>
        <v>NXP Semiconductors</v>
      </c>
      <c r="C14990" s="6">
        <v>11850</v>
      </c>
      <c r="D14990" s="7">
        <v>0.28000000000000003</v>
      </c>
    </row>
    <row r="14991" spans="1:4" x14ac:dyDescent="0.25">
      <c r="A14991" t="str">
        <f>HYPERLINK("https://www.773grp.com/globalSearch/74HCT1G86GW125/page-1", "74HCT1G86GW125")</f>
        <v>74HCT1G86GW125</v>
      </c>
      <c r="B14991" s="3" t="str">
        <f>HYPERLINK("https://www.773grp.com/manufacturer/nxp-semiconductor?pageNo=31", "NXP Semiconductors")</f>
        <v>NXP Semiconductors</v>
      </c>
      <c r="C14991" s="6">
        <v>12000</v>
      </c>
      <c r="D14991" s="7">
        <v>0.28000000000000003</v>
      </c>
    </row>
    <row r="14992" spans="1:4" x14ac:dyDescent="0.25">
      <c r="A14992" t="str">
        <f>HYPERLINK("https://www.773grp.com/globalSearch/74LVC00AD118/page-1", "74LVC00AD118")</f>
        <v>74LVC00AD118</v>
      </c>
      <c r="B14992" s="3" t="str">
        <f>HYPERLINK("https://www.773grp.com/manufacturer/nxp-semiconductor?pageNo=32", "NXP Semiconductors")</f>
        <v>NXP Semiconductors</v>
      </c>
      <c r="C14992" s="6">
        <v>42500</v>
      </c>
      <c r="D14992" s="7">
        <v>0.28000000000000003</v>
      </c>
    </row>
    <row r="14993" spans="1:4" x14ac:dyDescent="0.25">
      <c r="A14993" t="str">
        <f>HYPERLINK("https://www.773grp.com/globalSearch/74LVC04AD112/page-1", "74LVC04AD112")</f>
        <v>74LVC04AD112</v>
      </c>
      <c r="B14993" s="3" t="str">
        <f>HYPERLINK("https://www.773grp.com/manufacturer/nxp-semiconductor?pageNo=33", "NXP Semiconductors")</f>
        <v>NXP Semiconductors</v>
      </c>
      <c r="C14993" s="6">
        <v>5700</v>
      </c>
      <c r="D14993" s="7">
        <v>0.28000000000000003</v>
      </c>
    </row>
    <row r="14994" spans="1:4" x14ac:dyDescent="0.25">
      <c r="A14994" t="str">
        <f>HYPERLINK("https://www.773grp.com/globalSearch/74LVC04AD118/page-1", "74LVC04AD118")</f>
        <v>74LVC04AD118</v>
      </c>
      <c r="B14994" s="3" t="str">
        <f>HYPERLINK("https://www.773grp.com/manufacturer/nxp-semiconductor?pageNo=34", "NXP Semiconductors")</f>
        <v>NXP Semiconductors</v>
      </c>
      <c r="C14994" s="6">
        <v>7500</v>
      </c>
      <c r="D14994" s="7">
        <v>0.28000000000000003</v>
      </c>
    </row>
    <row r="14995" spans="1:4" x14ac:dyDescent="0.25">
      <c r="A14995" t="str">
        <f>HYPERLINK("https://www.773grp.com/globalSearch/74LVC08AD118/page-1", "74LVC08AD118")</f>
        <v>74LVC08AD118</v>
      </c>
      <c r="B14995" s="3" t="str">
        <f>HYPERLINK("https://www.773grp.com/manufacturer/nxp-semiconductor?pageNo=35", "NXP Semiconductors")</f>
        <v>NXP Semiconductors</v>
      </c>
      <c r="C14995" s="6">
        <v>12500</v>
      </c>
      <c r="D14995" s="7">
        <v>0.28000000000000003</v>
      </c>
    </row>
    <row r="14996" spans="1:4" x14ac:dyDescent="0.25">
      <c r="A14996" t="str">
        <f>HYPERLINK("https://www.773grp.com/globalSearch/74LVC1G175GV125/page-1", "74LVC1G175GV125")</f>
        <v>74LVC1G175GV125</v>
      </c>
      <c r="B14996" s="3" t="str">
        <f>HYPERLINK("https://www.773grp.com/manufacturer/nxp-semiconductor?pageNo=36", "NXP Semiconductors")</f>
        <v>NXP Semiconductors</v>
      </c>
      <c r="C14996" s="6">
        <v>12000</v>
      </c>
      <c r="D14996" s="7">
        <v>0.28000000000000003</v>
      </c>
    </row>
    <row r="14997" spans="1:4" x14ac:dyDescent="0.25">
      <c r="A14997" t="str">
        <f>HYPERLINK("https://www.773grp.com/globalSearch/74LVC1G80GW125/page-1", "74LVC1G80GW125")</f>
        <v>74LVC1G80GW125</v>
      </c>
      <c r="B14997" s="3" t="str">
        <f>HYPERLINK("https://www.773grp.com/manufacturer/nxp-semiconductor?pageNo=37", "NXP Semiconductors")</f>
        <v>NXP Semiconductors</v>
      </c>
      <c r="C14997" s="6">
        <v>569</v>
      </c>
      <c r="D14997" s="7">
        <v>0.28000000000000003</v>
      </c>
    </row>
    <row r="14998" spans="1:4" x14ac:dyDescent="0.25">
      <c r="A14998" t="str">
        <f>HYPERLINK("https://www.773grp.com/globalSearch/74LVC32AD112/page-1", "74LVC32AD112")</f>
        <v>74LVC32AD112</v>
      </c>
      <c r="B14998" s="3" t="str">
        <f>HYPERLINK("https://www.773grp.com/manufacturer/nxp-semiconductor?pageNo=38", "NXP Semiconductors")</f>
        <v>NXP Semiconductors</v>
      </c>
      <c r="C14998" s="6">
        <v>27873</v>
      </c>
      <c r="D14998" s="7">
        <v>0.28000000000000003</v>
      </c>
    </row>
    <row r="14999" spans="1:4" x14ac:dyDescent="0.25">
      <c r="A14999" t="str">
        <f>HYPERLINK("https://www.773grp.com/globalSearch/74LVC32AD118/page-1", "74LVC32AD118")</f>
        <v>74LVC32AD118</v>
      </c>
      <c r="B14999" s="3" t="str">
        <f>HYPERLINK("https://www.773grp.com/manufacturer/nxp-semiconductor?pageNo=39", "NXP Semiconductors")</f>
        <v>NXP Semiconductors</v>
      </c>
      <c r="C14999" s="6">
        <v>31599</v>
      </c>
      <c r="D14999" s="7">
        <v>0.28000000000000003</v>
      </c>
    </row>
    <row r="15000" spans="1:4" x14ac:dyDescent="0.25">
      <c r="A15000" t="str">
        <f>HYPERLINK("https://www.773grp.com/globalSearch/BAP1321-02115/page-1", "BAP1321-02115")</f>
        <v>BAP1321-02115</v>
      </c>
      <c r="B15000" s="3" t="str">
        <f>HYPERLINK("https://www.773grp.com/manufacturer/nxp-semiconductor?pageNo=40", "NXP Semiconductors")</f>
        <v>NXP Semiconductors</v>
      </c>
      <c r="C15000" s="6">
        <v>1000</v>
      </c>
      <c r="D15000" s="7">
        <v>0.28000000000000003</v>
      </c>
    </row>
    <row r="15001" spans="1:4" x14ac:dyDescent="0.25">
      <c r="A15001" t="str">
        <f>HYPERLINK("https://www.773grp.com/globalSearch/BAP1321-03115/page-1", "BAP1321-03115")</f>
        <v>BAP1321-03115</v>
      </c>
      <c r="B15001" s="3" t="str">
        <f>HYPERLINK("https://www.773grp.com/manufacturer/nxp-semiconductor?pageNo=41", "NXP Semiconductors")</f>
        <v>NXP Semiconductors</v>
      </c>
      <c r="C15001" s="6">
        <v>16959</v>
      </c>
      <c r="D15001" s="7">
        <v>0.28000000000000003</v>
      </c>
    </row>
    <row r="15002" spans="1:4" x14ac:dyDescent="0.25">
      <c r="A15002" t="str">
        <f>HYPERLINK("https://www.773grp.com/globalSearch/BAP142LX315/page-1", "BAP142LX315")</f>
        <v>BAP142LX315</v>
      </c>
      <c r="B15002" s="3" t="str">
        <f>HYPERLINK("https://www.773grp.com/manufacturer/nxp-semiconductor?pageNo=42", "NXP Semiconductors")</f>
        <v>NXP Semiconductors</v>
      </c>
      <c r="C15002" s="6">
        <v>10000</v>
      </c>
      <c r="D15002" s="7">
        <v>0.28000000000000003</v>
      </c>
    </row>
    <row r="15003" spans="1:4" x14ac:dyDescent="0.25">
      <c r="A15003" t="str">
        <f>HYPERLINK("https://www.773grp.com/globalSearch/BAP50-05W115/page-1", "BAP50-05W115")</f>
        <v>BAP50-05W115</v>
      </c>
      <c r="B15003" s="3" t="str">
        <f>HYPERLINK("https://www.773grp.com/manufacturer/nxp-semiconductor?pageNo=43", "NXP Semiconductors")</f>
        <v>NXP Semiconductors</v>
      </c>
      <c r="C15003" s="6">
        <v>9000</v>
      </c>
      <c r="D15003" s="7">
        <v>0.28000000000000003</v>
      </c>
    </row>
    <row r="15004" spans="1:4" x14ac:dyDescent="0.25">
      <c r="A15004" t="str">
        <f>HYPERLINK("https://www.773grp.com/globalSearch/BAP51-02115/page-1", "BAP51-02115")</f>
        <v>BAP51-02115</v>
      </c>
      <c r="B15004" s="3" t="str">
        <f>HYPERLINK("https://www.773grp.com/manufacturer/nxp-semiconductor?pageNo=44", "NXP Semiconductors")</f>
        <v>NXP Semiconductors</v>
      </c>
      <c r="C15004" s="6">
        <v>3000</v>
      </c>
      <c r="D15004" s="7">
        <v>0.28000000000000003</v>
      </c>
    </row>
    <row r="15005" spans="1:4" x14ac:dyDescent="0.25">
      <c r="A15005" t="str">
        <f>HYPERLINK("https://www.773grp.com/globalSearch/BAP51-03115/page-1", "BAP51-03115")</f>
        <v>BAP51-03115</v>
      </c>
      <c r="B15005" s="3" t="str">
        <f>HYPERLINK("https://www.773grp.com/manufacturer/nxp-semiconductor?pageNo=45", "NXP Semiconductors")</f>
        <v>NXP Semiconductors</v>
      </c>
      <c r="C15005" s="6">
        <v>27000</v>
      </c>
      <c r="D15005" s="7">
        <v>0.28000000000000003</v>
      </c>
    </row>
    <row r="15006" spans="1:4" x14ac:dyDescent="0.25">
      <c r="A15006" t="str">
        <f>HYPERLINK("https://www.773grp.com/globalSearch/BAP55LX315/page-1", "BAP55LX315")</f>
        <v>BAP55LX315</v>
      </c>
      <c r="B15006" s="3" t="str">
        <f>HYPERLINK("https://www.773grp.com/manufacturer/nxp-semiconductor?pageNo=46", "NXP Semiconductors")</f>
        <v>NXP Semiconductors</v>
      </c>
      <c r="C15006" s="6">
        <v>246</v>
      </c>
      <c r="D15006" s="7">
        <v>0.28000000000000003</v>
      </c>
    </row>
    <row r="15007" spans="1:4" x14ac:dyDescent="0.25">
      <c r="A15007" t="str">
        <f>HYPERLINK("https://www.773grp.com/globalSearch/BAP64-02115/page-1", "BAP64-02115")</f>
        <v>BAP64-02115</v>
      </c>
      <c r="B15007" s="3" t="str">
        <f>HYPERLINK("https://www.773grp.com/manufacturer/nxp-semiconductor?pageNo=47", "NXP Semiconductors")</f>
        <v>NXP Semiconductors</v>
      </c>
      <c r="C15007" s="6">
        <v>84000</v>
      </c>
      <c r="D15007" s="7">
        <v>0.28000000000000003</v>
      </c>
    </row>
    <row r="15008" spans="1:4" x14ac:dyDescent="0.25">
      <c r="A15008" t="str">
        <f>HYPERLINK("https://www.773grp.com/globalSearch/BAP64-04215/page-1", "BAP64-04215")</f>
        <v>BAP64-04215</v>
      </c>
      <c r="B15008" s="3" t="str">
        <f>HYPERLINK("https://www.773grp.com/manufacturer/nxp-semiconductor?pageNo=48", "NXP Semiconductors")</f>
        <v>NXP Semiconductors</v>
      </c>
      <c r="C15008" s="6">
        <v>9000</v>
      </c>
      <c r="D15008" s="7">
        <v>0.28000000000000003</v>
      </c>
    </row>
    <row r="15009" spans="1:4" x14ac:dyDescent="0.25">
      <c r="A15009" t="str">
        <f>HYPERLINK("https://www.773grp.com/globalSearch/BAP64-05215/page-1", "BAP64-05215")</f>
        <v>BAP64-05215</v>
      </c>
      <c r="B15009" s="3" t="str">
        <f>HYPERLINK("https://www.773grp.com/manufacturer/nxp-semiconductor?pageNo=1", "NXP Semiconductors")</f>
        <v>NXP Semiconductors</v>
      </c>
      <c r="C15009" s="6">
        <v>8228</v>
      </c>
      <c r="D15009" s="7">
        <v>0.28000000000000003</v>
      </c>
    </row>
    <row r="15010" spans="1:4" x14ac:dyDescent="0.25">
      <c r="A15010" t="str">
        <f>HYPERLINK("https://www.773grp.com/globalSearch/BAP64-05W115/page-1", "BAP64-05W115")</f>
        <v>BAP64-05W115</v>
      </c>
      <c r="B15010" s="3" t="str">
        <f>HYPERLINK("https://www.773grp.com/manufacturer/nxp-semiconductor?pageNo=2", "NXP Semiconductors")</f>
        <v>NXP Semiconductors</v>
      </c>
      <c r="C15010" s="6">
        <v>119315</v>
      </c>
      <c r="D15010" s="7">
        <v>0.28000000000000003</v>
      </c>
    </row>
    <row r="15011" spans="1:4" x14ac:dyDescent="0.25">
      <c r="A15011" t="str">
        <f>HYPERLINK("https://www.773grp.com/globalSearch/BAP65-03115/page-1", "BAP65-03115")</f>
        <v>BAP65-03115</v>
      </c>
      <c r="B15011" s="3" t="str">
        <f>HYPERLINK("https://www.773grp.com/manufacturer/nxp-semiconductor?pageNo=3", "NXP Semiconductors")</f>
        <v>NXP Semiconductors</v>
      </c>
      <c r="C15011" s="6">
        <v>48000</v>
      </c>
      <c r="D15011" s="7">
        <v>0.28000000000000003</v>
      </c>
    </row>
    <row r="15012" spans="1:4" x14ac:dyDescent="0.25">
      <c r="A15012" t="str">
        <f>HYPERLINK("https://www.773grp.com/globalSearch/BAP70-02115/page-1", "BAP70-02115")</f>
        <v>BAP70-02115</v>
      </c>
      <c r="B15012" s="3" t="str">
        <f>HYPERLINK("https://www.773grp.com/manufacturer/nxp-semiconductor?pageNo=4", "NXP Semiconductors")</f>
        <v>NXP Semiconductors</v>
      </c>
      <c r="C15012" s="6">
        <v>142470</v>
      </c>
      <c r="D15012" s="7">
        <v>0.28000000000000003</v>
      </c>
    </row>
    <row r="15013" spans="1:4" x14ac:dyDescent="0.25">
      <c r="A15013" t="str">
        <f>HYPERLINK("https://www.773grp.com/globalSearch/BAP70-03115/page-1", "BAP70-03115")</f>
        <v>BAP70-03115</v>
      </c>
      <c r="B15013" s="3" t="str">
        <f>HYPERLINK("https://www.773grp.com/manufacturer/nxp-semiconductor?pageNo=5", "NXP Semiconductors")</f>
        <v>NXP Semiconductors</v>
      </c>
      <c r="C15013" s="6">
        <v>45000</v>
      </c>
      <c r="D15013" s="7">
        <v>0.28000000000000003</v>
      </c>
    </row>
    <row r="15014" spans="1:4" x14ac:dyDescent="0.25">
      <c r="A15014" t="str">
        <f>HYPERLINK("https://www.773grp.com/globalSearch/BAS16H115/page-1", "BAS16H115")</f>
        <v>BAS16H115</v>
      </c>
      <c r="B15014" s="3" t="str">
        <f>HYPERLINK("https://www.773grp.com/manufacturer/nxp-semiconductor?pageNo=6", "NXP Semiconductors")</f>
        <v>NXP Semiconductors</v>
      </c>
      <c r="C15014" s="6">
        <v>9000</v>
      </c>
      <c r="D15014" s="7">
        <v>0.28000000000000003</v>
      </c>
    </row>
    <row r="15015" spans="1:4" x14ac:dyDescent="0.25">
      <c r="A15015" t="str">
        <f>HYPERLINK("https://www.773grp.com/globalSearch/BAS16VV115/page-1", "BAS16VV115")</f>
        <v>BAS16VV115</v>
      </c>
      <c r="B15015" s="3" t="str">
        <f>HYPERLINK("https://www.773grp.com/manufacturer/nxp-semiconductor?pageNo=7", "NXP Semiconductors")</f>
        <v>NXP Semiconductors</v>
      </c>
      <c r="C15015" s="6">
        <v>12000</v>
      </c>
      <c r="D15015" s="7">
        <v>0.28000000000000003</v>
      </c>
    </row>
    <row r="15016" spans="1:4" x14ac:dyDescent="0.25">
      <c r="A15016" t="str">
        <f>HYPERLINK("https://www.773grp.com/globalSearch/BAS28215/page-1", "BAS28215")</f>
        <v>BAS28215</v>
      </c>
      <c r="B15016" s="3" t="str">
        <f>HYPERLINK("https://www.773grp.com/manufacturer/nxp-semiconductor?pageNo=8", "NXP Semiconductors")</f>
        <v>NXP Semiconductors</v>
      </c>
      <c r="C15016" s="6">
        <v>567000</v>
      </c>
      <c r="D15016" s="7">
        <v>0.28000000000000003</v>
      </c>
    </row>
    <row r="15017" spans="1:4" x14ac:dyDescent="0.25">
      <c r="A15017" t="str">
        <f>HYPERLINK("https://www.773grp.com/globalSearch/BAS28235/page-1", "BAS28235")</f>
        <v>BAS28235</v>
      </c>
      <c r="B15017" s="3" t="str">
        <f>HYPERLINK("https://www.773grp.com/manufacturer/nxp-semiconductor?pageNo=9", "NXP Semiconductors")</f>
        <v>NXP Semiconductors</v>
      </c>
      <c r="C15017" s="6">
        <v>96381</v>
      </c>
      <c r="D15017" s="7">
        <v>0.28000000000000003</v>
      </c>
    </row>
    <row r="15018" spans="1:4" x14ac:dyDescent="0.25">
      <c r="A15018" t="str">
        <f>HYPERLINK("https://www.773grp.com/globalSearch/BAS31215/page-1", "BAS31215")</f>
        <v>BAS31215</v>
      </c>
      <c r="B15018" s="3" t="str">
        <f>HYPERLINK("https://www.773grp.com/manufacturer/nxp-semiconductor?pageNo=10", "NXP Semiconductors")</f>
        <v>NXP Semiconductors</v>
      </c>
      <c r="C15018" s="6">
        <v>12000</v>
      </c>
      <c r="D15018" s="7">
        <v>0.28000000000000003</v>
      </c>
    </row>
    <row r="15019" spans="1:4" x14ac:dyDescent="0.25">
      <c r="A15019" t="str">
        <f>HYPERLINK("https://www.773grp.com/globalSearch/BAS35215/page-1", "BAS35215")</f>
        <v>BAS35215</v>
      </c>
      <c r="B15019" s="3" t="str">
        <f>HYPERLINK("https://www.773grp.com/manufacturer/nxp-semiconductor?pageNo=11", "NXP Semiconductors")</f>
        <v>NXP Semiconductors</v>
      </c>
      <c r="C15019" s="6">
        <v>39000</v>
      </c>
      <c r="D15019" s="7">
        <v>0.28000000000000003</v>
      </c>
    </row>
    <row r="15020" spans="1:4" x14ac:dyDescent="0.25">
      <c r="A15020" t="str">
        <f>HYPERLINK("https://www.773grp.com/globalSearch/BAS40-07215/page-1", "BAS40-07215")</f>
        <v>BAS40-07215</v>
      </c>
      <c r="B15020" s="3" t="str">
        <f>HYPERLINK("https://www.773grp.com/manufacturer/nxp-semiconductor?pageNo=12", "NXP Semiconductors")</f>
        <v>NXP Semiconductors</v>
      </c>
      <c r="C15020" s="6">
        <v>1819</v>
      </c>
      <c r="D15020" s="7">
        <v>0.28000000000000003</v>
      </c>
    </row>
    <row r="15021" spans="1:4" x14ac:dyDescent="0.25">
      <c r="A15021" t="str">
        <f>HYPERLINK("https://www.773grp.com/globalSearch/BAS56215/page-1", "BAS56215")</f>
        <v>BAS56215</v>
      </c>
      <c r="B15021" s="3" t="str">
        <f>HYPERLINK("https://www.773grp.com/manufacturer/nxp-semiconductor?pageNo=13", "NXP Semiconductors")</f>
        <v>NXP Semiconductors</v>
      </c>
      <c r="C15021" s="6">
        <v>69000</v>
      </c>
      <c r="D15021" s="7">
        <v>0.28000000000000003</v>
      </c>
    </row>
    <row r="15022" spans="1:4" x14ac:dyDescent="0.25">
      <c r="A15022" t="str">
        <f>HYPERLINK("https://www.773grp.com/globalSearch/BAS56235/page-1", "BAS56235")</f>
        <v>BAS56235</v>
      </c>
      <c r="B15022" s="3" t="str">
        <f>HYPERLINK("https://www.773grp.com/manufacturer/nxp-semiconductor?pageNo=14", "NXP Semiconductors")</f>
        <v>NXP Semiconductors</v>
      </c>
      <c r="C15022" s="6">
        <v>70000</v>
      </c>
      <c r="D15022" s="7">
        <v>0.28000000000000003</v>
      </c>
    </row>
    <row r="15023" spans="1:4" x14ac:dyDescent="0.25">
      <c r="A15023" t="str">
        <f>HYPERLINK("https://www.773grp.com/globalSearch/BAS70-07215/page-1", "BAS70-07215")</f>
        <v>BAS70-07215</v>
      </c>
      <c r="B15023" s="3" t="str">
        <f>HYPERLINK("https://www.773grp.com/manufacturer/nxp-semiconductor?pageNo=15", "NXP Semiconductors")</f>
        <v>NXP Semiconductors</v>
      </c>
      <c r="C15023" s="6">
        <v>219000</v>
      </c>
      <c r="D15023" s="7">
        <v>0.28000000000000003</v>
      </c>
    </row>
    <row r="15024" spans="1:4" x14ac:dyDescent="0.25">
      <c r="A15024" t="str">
        <f>HYPERLINK("https://www.773grp.com/globalSearch/BAS716115/page-1", "BAS716115")</f>
        <v>BAS716115</v>
      </c>
      <c r="B15024" s="3" t="str">
        <f>HYPERLINK("https://www.773grp.com/manufacturer/nxp-semiconductor?pageNo=16", "NXP Semiconductors")</f>
        <v>NXP Semiconductors</v>
      </c>
      <c r="C15024" s="6">
        <v>209500</v>
      </c>
      <c r="D15024" s="7">
        <v>0.28000000000000003</v>
      </c>
    </row>
    <row r="15025" spans="1:4" x14ac:dyDescent="0.25">
      <c r="A15025" t="str">
        <f>HYPERLINK("https://www.773grp.com/globalSearch/BAT54AW115/page-1", "BAT54AW115")</f>
        <v>BAT54AW115</v>
      </c>
      <c r="B15025" s="3" t="str">
        <f>HYPERLINK("https://www.773grp.com/manufacturer/nxp-semiconductor?pageNo=17", "NXP Semiconductors")</f>
        <v>NXP Semiconductors</v>
      </c>
      <c r="C15025" s="6">
        <v>414000</v>
      </c>
      <c r="D15025" s="7">
        <v>0.28000000000000003</v>
      </c>
    </row>
    <row r="15026" spans="1:4" x14ac:dyDescent="0.25">
      <c r="A15026" t="str">
        <f>HYPERLINK("https://www.773grp.com/globalSearch/BAT54CW115/page-1", "BAT54CW115")</f>
        <v>BAT54CW115</v>
      </c>
      <c r="B15026" s="3" t="str">
        <f>HYPERLINK("https://www.773grp.com/manufacturer/nxp-semiconductor?pageNo=18", "NXP Semiconductors")</f>
        <v>NXP Semiconductors</v>
      </c>
      <c r="C15026" s="6">
        <v>619345</v>
      </c>
      <c r="D15026" s="7">
        <v>0.28000000000000003</v>
      </c>
    </row>
    <row r="15027" spans="1:4" x14ac:dyDescent="0.25">
      <c r="A15027" t="str">
        <f>HYPERLINK("https://www.773grp.com/globalSearch/BAT54L315/page-1", "BAT54L315")</f>
        <v>BAT54L315</v>
      </c>
      <c r="B15027" s="3" t="str">
        <f>HYPERLINK("https://www.773grp.com/manufacturer/nxp-semiconductor?pageNo=19", "NXP Semiconductors")</f>
        <v>NXP Semiconductors</v>
      </c>
      <c r="C15027" s="6">
        <v>650000</v>
      </c>
      <c r="D15027" s="7">
        <v>0.28000000000000003</v>
      </c>
    </row>
    <row r="15028" spans="1:4" x14ac:dyDescent="0.25">
      <c r="A15028" t="str">
        <f>HYPERLINK("https://www.773grp.com/globalSearch/BAT54SW115/page-1", "BAT54SW115")</f>
        <v>BAT54SW115</v>
      </c>
      <c r="B15028" s="3" t="str">
        <f>HYPERLINK("https://www.773grp.com/manufacturer/nxp-semiconductor?pageNo=20", "NXP Semiconductors")</f>
        <v>NXP Semiconductors</v>
      </c>
      <c r="C15028" s="6">
        <v>909000</v>
      </c>
      <c r="D15028" s="7">
        <v>0.28000000000000003</v>
      </c>
    </row>
    <row r="15029" spans="1:4" x14ac:dyDescent="0.25">
      <c r="A15029" t="str">
        <f>HYPERLINK("https://www.773grp.com/globalSearch/BAV170215/page-1", "BAV170215")</f>
        <v>BAV170215</v>
      </c>
      <c r="B15029" s="3" t="str">
        <f>HYPERLINK("https://www.773grp.com/manufacturer/nxp-semiconductor?pageNo=21", "NXP Semiconductors")</f>
        <v>NXP Semiconductors</v>
      </c>
      <c r="C15029" s="6">
        <v>306000</v>
      </c>
      <c r="D15029" s="7">
        <v>0.28000000000000003</v>
      </c>
    </row>
    <row r="15030" spans="1:4" x14ac:dyDescent="0.25">
      <c r="A15030" t="str">
        <f>HYPERLINK("https://www.773grp.com/globalSearch/BAV199215/page-1", "BAV199215")</f>
        <v>BAV199215</v>
      </c>
      <c r="B15030" s="3" t="str">
        <f>HYPERLINK("https://www.773grp.com/manufacturer/nxp-semiconductor?pageNo=22", "NXP Semiconductors")</f>
        <v>NXP Semiconductors</v>
      </c>
      <c r="C15030" s="6">
        <v>6000</v>
      </c>
      <c r="D15030" s="7">
        <v>0.28000000000000003</v>
      </c>
    </row>
    <row r="15031" spans="1:4" x14ac:dyDescent="0.25">
      <c r="A15031" t="str">
        <f>HYPERLINK("https://www.773grp.com/globalSearch/BAV199235/page-1", "BAV199235")</f>
        <v>BAV199235</v>
      </c>
      <c r="B15031" s="3" t="str">
        <f>HYPERLINK("https://www.773grp.com/manufacturer/nxp-semiconductor?pageNo=23", "NXP Semiconductors")</f>
        <v>NXP Semiconductors</v>
      </c>
      <c r="C15031" s="6">
        <v>90000</v>
      </c>
      <c r="D15031" s="7">
        <v>0.28000000000000003</v>
      </c>
    </row>
    <row r="15032" spans="1:4" x14ac:dyDescent="0.25">
      <c r="A15032" t="str">
        <f>HYPERLINK("https://www.773grp.com/globalSearch/BAW101215/page-1", "BAW101215")</f>
        <v>BAW101215</v>
      </c>
      <c r="B15032" s="3" t="str">
        <f>HYPERLINK("https://www.773grp.com/manufacturer/nxp-semiconductor?pageNo=24", "NXP Semiconductors")</f>
        <v>NXP Semiconductors</v>
      </c>
      <c r="C15032" s="6">
        <v>1000</v>
      </c>
      <c r="D15032" s="7">
        <v>0.28000000000000003</v>
      </c>
    </row>
    <row r="15033" spans="1:4" x14ac:dyDescent="0.25">
      <c r="A15033" t="str">
        <f>HYPERLINK("https://www.773grp.com/globalSearch/BAW101S115/page-1", "BAW101S115")</f>
        <v>BAW101S115</v>
      </c>
      <c r="B15033" s="3" t="str">
        <f>HYPERLINK("https://www.773grp.com/manufacturer/nxp-semiconductor?pageNo=25", "NXP Semiconductors")</f>
        <v>NXP Semiconductors</v>
      </c>
      <c r="C15033" s="6">
        <v>60000</v>
      </c>
      <c r="D15033" s="7">
        <v>0.28000000000000003</v>
      </c>
    </row>
    <row r="15034" spans="1:4" x14ac:dyDescent="0.25">
      <c r="A15034" t="str">
        <f>HYPERLINK("https://www.773grp.com/globalSearch/BB149A115/page-1", "BB149A115")</f>
        <v>BB149A115</v>
      </c>
      <c r="B15034" s="3" t="str">
        <f>HYPERLINK("https://www.773grp.com/manufacturer/nxp-semiconductor?pageNo=26", "NXP Semiconductors")</f>
        <v>NXP Semiconductors</v>
      </c>
      <c r="C15034" s="6">
        <v>6</v>
      </c>
      <c r="D15034" s="7">
        <v>0.28000000000000003</v>
      </c>
    </row>
    <row r="15035" spans="1:4" x14ac:dyDescent="0.25">
      <c r="A15035" t="str">
        <f>HYPERLINK("https://www.773grp.com/globalSearch/BB179115/page-1", "BB179115")</f>
        <v>BB179115</v>
      </c>
      <c r="B15035" s="3" t="str">
        <f>HYPERLINK("https://www.773grp.com/manufacturer/nxp-semiconductor?pageNo=27", "NXP Semiconductors")</f>
        <v>NXP Semiconductors</v>
      </c>
      <c r="C15035" s="6">
        <v>12159</v>
      </c>
      <c r="D15035" s="7">
        <v>0.28000000000000003</v>
      </c>
    </row>
    <row r="15036" spans="1:4" x14ac:dyDescent="0.25">
      <c r="A15036" t="str">
        <f>HYPERLINK("https://www.773grp.com/globalSearch/BC846S125/page-1", "BC846S125")</f>
        <v>BC846S125</v>
      </c>
      <c r="B15036" s="3" t="str">
        <f>HYPERLINK("https://www.773grp.com/manufacturer/nxp-semiconductor?pageNo=28", "NXP Semiconductors")</f>
        <v>NXP Semiconductors</v>
      </c>
      <c r="C15036" s="6">
        <v>49591</v>
      </c>
      <c r="D15036" s="7">
        <v>0.28000000000000003</v>
      </c>
    </row>
    <row r="15037" spans="1:4" x14ac:dyDescent="0.25">
      <c r="A15037" t="str">
        <f>HYPERLINK("https://www.773grp.com/globalSearch/BC847BVN115/page-1", "BC847BVN115")</f>
        <v>BC847BVN115</v>
      </c>
      <c r="B15037" s="3" t="str">
        <f>HYPERLINK("https://www.773grp.com/manufacturer/nxp-semiconductor?pageNo=29", "NXP Semiconductors")</f>
        <v>NXP Semiconductors</v>
      </c>
      <c r="C15037" s="6">
        <v>100</v>
      </c>
      <c r="D15037" s="7">
        <v>0.28000000000000003</v>
      </c>
    </row>
    <row r="15038" spans="1:4" x14ac:dyDescent="0.25">
      <c r="A15038" t="str">
        <f>HYPERLINK("https://www.773grp.com/globalSearch/BC856S115/page-1", "BC856S115")</f>
        <v>BC856S115</v>
      </c>
      <c r="B15038" s="3" t="str">
        <f>HYPERLINK("https://www.773grp.com/manufacturer/nxp-semiconductor?pageNo=30", "NXP Semiconductors")</f>
        <v>NXP Semiconductors</v>
      </c>
      <c r="C15038" s="6">
        <v>6000</v>
      </c>
      <c r="D15038" s="7">
        <v>0.28000000000000003</v>
      </c>
    </row>
    <row r="15039" spans="1:4" x14ac:dyDescent="0.25">
      <c r="A15039" t="str">
        <f>HYPERLINK("https://www.773grp.com/globalSearch/BC857BV115/page-1", "BC857BV115")</f>
        <v>BC857BV115</v>
      </c>
      <c r="B15039" s="3" t="str">
        <f>HYPERLINK("https://www.773grp.com/manufacturer/nxp-semiconductor?pageNo=31", "NXP Semiconductors")</f>
        <v>NXP Semiconductors</v>
      </c>
      <c r="C15039" s="6">
        <v>772</v>
      </c>
      <c r="D15039" s="7">
        <v>0.28000000000000003</v>
      </c>
    </row>
    <row r="15040" spans="1:4" x14ac:dyDescent="0.25">
      <c r="A15040" t="str">
        <f>HYPERLINK("https://www.773grp.com/globalSearch/BCV26215/page-1", "BCV26215")</f>
        <v>BCV26215</v>
      </c>
      <c r="B15040" s="3" t="str">
        <f>HYPERLINK("https://www.773grp.com/manufacturer/nxp-semiconductor?pageNo=32", "NXP Semiconductors")</f>
        <v>NXP Semiconductors</v>
      </c>
      <c r="C15040" s="6">
        <v>172</v>
      </c>
      <c r="D15040" s="7">
        <v>0.28000000000000003</v>
      </c>
    </row>
    <row r="15041" spans="1:4" x14ac:dyDescent="0.25">
      <c r="A15041" t="str">
        <f>HYPERLINK("https://www.773grp.com/globalSearch/BCV27215/page-1", "BCV27215")</f>
        <v>BCV27215</v>
      </c>
      <c r="B15041" s="3" t="str">
        <f>HYPERLINK("https://www.773grp.com/manufacturer/nxp-semiconductor?pageNo=33", "NXP Semiconductors")</f>
        <v>NXP Semiconductors</v>
      </c>
      <c r="C15041" s="6">
        <v>1125115</v>
      </c>
      <c r="D15041" s="7">
        <v>0.28000000000000003</v>
      </c>
    </row>
    <row r="15042" spans="1:4" x14ac:dyDescent="0.25">
      <c r="A15042" t="str">
        <f>HYPERLINK("https://www.773grp.com/globalSearch/BFR92AW135/page-1", "BFR92AW135")</f>
        <v>BFR92AW135</v>
      </c>
      <c r="B15042" s="3" t="str">
        <f>HYPERLINK("https://www.773grp.com/manufacturer/nxp-semiconductor?pageNo=34", "NXP Semiconductors")</f>
        <v>NXP Semiconductors</v>
      </c>
      <c r="C15042" s="6">
        <v>6487</v>
      </c>
      <c r="D15042" s="7">
        <v>0.28000000000000003</v>
      </c>
    </row>
    <row r="15043" spans="1:4" x14ac:dyDescent="0.25">
      <c r="A15043" t="str">
        <f>HYPERLINK("https://www.773grp.com/globalSearch/BFS17215/page-1", "BFS17215")</f>
        <v>BFS17215</v>
      </c>
      <c r="B15043" s="3" t="str">
        <f>HYPERLINK("https://www.773grp.com/manufacturer/nxp-semiconductor?pageNo=35", "NXP Semiconductors")</f>
        <v>NXP Semiconductors</v>
      </c>
      <c r="C15043" s="6">
        <v>18000</v>
      </c>
      <c r="D15043" s="7">
        <v>0.28000000000000003</v>
      </c>
    </row>
    <row r="15044" spans="1:4" x14ac:dyDescent="0.25">
      <c r="A15044" t="str">
        <f>HYPERLINK("https://www.773grp.com/globalSearch/BFS17A215/page-1", "BFS17A215")</f>
        <v>BFS17A215</v>
      </c>
      <c r="B15044" s="3" t="str">
        <f>HYPERLINK("https://www.773grp.com/manufacturer/nxp-semiconductor?pageNo=36", "NXP Semiconductors")</f>
        <v>NXP Semiconductors</v>
      </c>
      <c r="C15044" s="6">
        <v>639000</v>
      </c>
      <c r="D15044" s="7">
        <v>0.28000000000000003</v>
      </c>
    </row>
    <row r="15045" spans="1:4" x14ac:dyDescent="0.25">
      <c r="A15045" t="str">
        <f>HYPERLINK("https://www.773grp.com/globalSearch/BFS17W115/page-1", "BFS17W115")</f>
        <v>BFS17W115</v>
      </c>
      <c r="B15045" s="3" t="str">
        <f>HYPERLINK("https://www.773grp.com/manufacturer/nxp-semiconductor?pageNo=37", "NXP Semiconductors")</f>
        <v>NXP Semiconductors</v>
      </c>
      <c r="C15045" s="6">
        <v>15000</v>
      </c>
      <c r="D15045" s="7">
        <v>0.28000000000000003</v>
      </c>
    </row>
    <row r="15046" spans="1:4" x14ac:dyDescent="0.25">
      <c r="A15046" t="str">
        <f>HYPERLINK("https://www.773grp.com/globalSearch/BFS17W135/page-1", "BFS17W135")</f>
        <v>BFS17W135</v>
      </c>
      <c r="B15046" s="3" t="str">
        <f>HYPERLINK("https://www.773grp.com/manufacturer/nxp-semiconductor?pageNo=38", "NXP Semiconductors")</f>
        <v>NXP Semiconductors</v>
      </c>
      <c r="C15046" s="6">
        <v>10000</v>
      </c>
      <c r="D15046" s="7">
        <v>0.28000000000000003</v>
      </c>
    </row>
    <row r="15047" spans="1:4" x14ac:dyDescent="0.25">
      <c r="A15047" t="str">
        <f>HYPERLINK("https://www.773grp.com/globalSearch/BSR14215/page-1", "BSR14215")</f>
        <v>BSR14215</v>
      </c>
      <c r="B15047" s="3" t="str">
        <f>HYPERLINK("https://www.773grp.com/manufacturer/nxp-semiconductor?pageNo=39", "NXP Semiconductors")</f>
        <v>NXP Semiconductors</v>
      </c>
      <c r="C15047" s="6">
        <v>5920</v>
      </c>
      <c r="D15047" s="7">
        <v>0.28000000000000003</v>
      </c>
    </row>
    <row r="15048" spans="1:4" x14ac:dyDescent="0.25">
      <c r="A15048" t="str">
        <f>HYPERLINK("https://www.773grp.com/globalSearch/BSR16215/page-1", "BSR16215")</f>
        <v>BSR16215</v>
      </c>
      <c r="B15048" s="3" t="str">
        <f>HYPERLINK("https://www.773grp.com/manufacturer/nxp-semiconductor?pageNo=40", "NXP Semiconductors")</f>
        <v>NXP Semiconductors</v>
      </c>
      <c r="C15048" s="6">
        <v>3000</v>
      </c>
      <c r="D15048" s="7">
        <v>0.28000000000000003</v>
      </c>
    </row>
    <row r="15049" spans="1:4" x14ac:dyDescent="0.25">
      <c r="A15049" t="str">
        <f>HYPERLINK("https://www.773grp.com/globalSearch/BSS84AK215/page-1", "BSS84AK215")</f>
        <v>BSS84AK215</v>
      </c>
      <c r="B15049" s="3" t="str">
        <f>HYPERLINK("https://www.773grp.com/manufacturer/nxp-semiconductor?pageNo=41", "NXP Semiconductors")</f>
        <v>NXP Semiconductors</v>
      </c>
      <c r="C15049" s="6">
        <v>105000</v>
      </c>
      <c r="D15049" s="7">
        <v>0.28000000000000003</v>
      </c>
    </row>
    <row r="15050" spans="1:4" x14ac:dyDescent="0.25">
      <c r="A15050" t="str">
        <f>HYPERLINK("https://www.773grp.com/globalSearch/BSS84AKT115/page-1", "BSS84AKT115")</f>
        <v>BSS84AKT115</v>
      </c>
      <c r="B15050" s="3" t="str">
        <f>HYPERLINK("https://www.773grp.com/manufacturer/nxp-semiconductor?pageNo=42", "NXP Semiconductors")</f>
        <v>NXP Semiconductors</v>
      </c>
      <c r="C15050" s="6">
        <v>12000</v>
      </c>
      <c r="D15050" s="7">
        <v>0.28000000000000003</v>
      </c>
    </row>
    <row r="15051" spans="1:4" x14ac:dyDescent="0.25">
      <c r="A15051" t="str">
        <f>HYPERLINK("https://www.773grp.com/globalSearch/BT1308W-400D115/page-1", "BT1308W-400D115")</f>
        <v>BT1308W-400D115</v>
      </c>
      <c r="B15051" s="3" t="str">
        <f>HYPERLINK("https://www.773grp.com/manufacturer/nxp-semiconductor?pageNo=43", "NXP Semiconductors")</f>
        <v>NXP Semiconductors</v>
      </c>
      <c r="C15051" s="6">
        <v>5000</v>
      </c>
      <c r="D15051" s="7">
        <v>0.28000000000000003</v>
      </c>
    </row>
    <row r="15052" spans="1:4" x14ac:dyDescent="0.25">
      <c r="A15052" t="str">
        <f>HYPERLINK("https://www.773grp.com/globalSearch/BT1308W-600D115/page-1", "BT1308W-600D115")</f>
        <v>BT1308W-600D115</v>
      </c>
      <c r="B15052" s="3" t="str">
        <f>HYPERLINK("https://www.773grp.com/manufacturer/nxp-semiconductor?pageNo=44", "NXP Semiconductors")</f>
        <v>NXP Semiconductors</v>
      </c>
      <c r="C15052" s="6">
        <v>18000</v>
      </c>
      <c r="D15052" s="7">
        <v>0.28000000000000003</v>
      </c>
    </row>
    <row r="15053" spans="1:4" x14ac:dyDescent="0.25">
      <c r="A15053" t="str">
        <f>HYPERLINK("https://www.773grp.com/globalSearch/BT149D126/page-1", "BT149D126")</f>
        <v>BT149D126</v>
      </c>
      <c r="B15053" s="3" t="str">
        <f>HYPERLINK("https://www.773grp.com/manufacturer/nxp-semiconductor?pageNo=45", "NXP Semiconductors")</f>
        <v>NXP Semiconductors</v>
      </c>
      <c r="C15053" s="6">
        <v>150</v>
      </c>
      <c r="D15053" s="7">
        <v>0.28000000000000003</v>
      </c>
    </row>
    <row r="15054" spans="1:4" x14ac:dyDescent="0.25">
      <c r="A15054" t="str">
        <f>HYPERLINK("https://www.773grp.com/globalSearch/BT149G126/page-1", "BT149G126")</f>
        <v>BT149G126</v>
      </c>
      <c r="B15054" s="3" t="str">
        <f>HYPERLINK("https://www.773grp.com/manufacturer/nxp-semiconductor?pageNo=46", "NXP Semiconductors")</f>
        <v>NXP Semiconductors</v>
      </c>
      <c r="C15054" s="6">
        <v>32000</v>
      </c>
      <c r="D15054" s="7">
        <v>0.28000000000000003</v>
      </c>
    </row>
    <row r="15055" spans="1:4" x14ac:dyDescent="0.25">
      <c r="A15055" t="str">
        <f>HYPERLINK("https://www.773grp.com/globalSearch/BZB784-C10115/page-1", "BZB784-C10115")</f>
        <v>BZB784-C10115</v>
      </c>
      <c r="B15055" s="3" t="str">
        <f>HYPERLINK("https://www.773grp.com/manufacturer/nxp-semiconductor?pageNo=47", "NXP Semiconductors")</f>
        <v>NXP Semiconductors</v>
      </c>
      <c r="C15055" s="6">
        <v>6033</v>
      </c>
      <c r="D15055" s="7">
        <v>0.28000000000000003</v>
      </c>
    </row>
    <row r="15056" spans="1:4" x14ac:dyDescent="0.25">
      <c r="A15056" t="str">
        <f>HYPERLINK("https://www.773grp.com/globalSearch/BZB784-C15115/page-1", "BZB784-C15115")</f>
        <v>BZB784-C15115</v>
      </c>
      <c r="B15056" s="3" t="str">
        <f>HYPERLINK("https://www.773grp.com/manufacturer/nxp-semiconductor?pageNo=48", "NXP Semiconductors")</f>
        <v>NXP Semiconductors</v>
      </c>
      <c r="C15056" s="6">
        <v>1000</v>
      </c>
      <c r="D15056" s="7">
        <v>0.28000000000000003</v>
      </c>
    </row>
    <row r="15057" spans="1:4" x14ac:dyDescent="0.25">
      <c r="A15057" t="str">
        <f>HYPERLINK("https://www.773grp.com/globalSearch/BZB784-C2V4115/page-1", "BZB784-C2V4115")</f>
        <v>BZB784-C2V4115</v>
      </c>
      <c r="B15057" s="3" t="str">
        <f>HYPERLINK("https://www.773grp.com/manufacturer/nxp-semiconductor?pageNo=1", "NXP Semiconductors")</f>
        <v>NXP Semiconductors</v>
      </c>
      <c r="C15057" s="6">
        <v>18000</v>
      </c>
      <c r="D15057" s="7">
        <v>0.28000000000000003</v>
      </c>
    </row>
    <row r="15058" spans="1:4" x14ac:dyDescent="0.25">
      <c r="A15058" t="str">
        <f>HYPERLINK("https://www.773grp.com/globalSearch/BZB784-C3V3115/page-1", "BZB784-C3V3115")</f>
        <v>BZB784-C3V3115</v>
      </c>
      <c r="B15058" s="3" t="str">
        <f>HYPERLINK("https://www.773grp.com/manufacturer/nxp-semiconductor?pageNo=2", "NXP Semiconductors")</f>
        <v>NXP Semiconductors</v>
      </c>
      <c r="C15058" s="6">
        <v>9438</v>
      </c>
      <c r="D15058" s="7">
        <v>0.28000000000000003</v>
      </c>
    </row>
    <row r="15059" spans="1:4" x14ac:dyDescent="0.25">
      <c r="A15059" t="str">
        <f>HYPERLINK("https://www.773grp.com/globalSearch/BZB784-C3V6115/page-1", "BZB784-C3V6115")</f>
        <v>BZB784-C3V6115</v>
      </c>
      <c r="B15059" s="3" t="str">
        <f>HYPERLINK("https://www.773grp.com/manufacturer/nxp-semiconductor?pageNo=3", "NXP Semiconductors")</f>
        <v>NXP Semiconductors</v>
      </c>
      <c r="C15059" s="6">
        <v>21000</v>
      </c>
      <c r="D15059" s="7">
        <v>0.28000000000000003</v>
      </c>
    </row>
    <row r="15060" spans="1:4" x14ac:dyDescent="0.25">
      <c r="A15060" t="str">
        <f>HYPERLINK("https://www.773grp.com/globalSearch/BZB784-C3V9115/page-1", "BZB784-C3V9115")</f>
        <v>BZB784-C3V9115</v>
      </c>
      <c r="B15060" s="3" t="str">
        <f>HYPERLINK("https://www.773grp.com/manufacturer/nxp-semiconductor?pageNo=4", "NXP Semiconductors")</f>
        <v>NXP Semiconductors</v>
      </c>
      <c r="C15060" s="6">
        <v>3000</v>
      </c>
      <c r="D15060" s="7">
        <v>0.28000000000000003</v>
      </c>
    </row>
    <row r="15061" spans="1:4" x14ac:dyDescent="0.25">
      <c r="A15061" t="str">
        <f>HYPERLINK("https://www.773grp.com/globalSearch/BZB784-C4V7115/page-1", "BZB784-C4V7115")</f>
        <v>BZB784-C4V7115</v>
      </c>
      <c r="B15061" s="3" t="str">
        <f>HYPERLINK("https://www.773grp.com/manufacturer/nxp-semiconductor?pageNo=5", "NXP Semiconductors")</f>
        <v>NXP Semiconductors</v>
      </c>
      <c r="C15061" s="6">
        <v>845</v>
      </c>
      <c r="D15061" s="7">
        <v>0.28000000000000003</v>
      </c>
    </row>
    <row r="15062" spans="1:4" x14ac:dyDescent="0.25">
      <c r="A15062" t="str">
        <f>HYPERLINK("https://www.773grp.com/globalSearch/BZB784-C5V1115/page-1", "BZB784-C5V1115")</f>
        <v>BZB784-C5V1115</v>
      </c>
      <c r="B15062" s="3" t="str">
        <f>HYPERLINK("https://www.773grp.com/manufacturer/nxp-semiconductor?pageNo=6", "NXP Semiconductors")</f>
        <v>NXP Semiconductors</v>
      </c>
      <c r="C15062" s="6">
        <v>5338</v>
      </c>
      <c r="D15062" s="7">
        <v>0.28000000000000003</v>
      </c>
    </row>
    <row r="15063" spans="1:4" x14ac:dyDescent="0.25">
      <c r="A15063" t="str">
        <f>HYPERLINK("https://www.773grp.com/globalSearch/BZB784-C5V6115/page-1", "BZB784-C5V6115")</f>
        <v>BZB784-C5V6115</v>
      </c>
      <c r="B15063" s="3" t="str">
        <f>HYPERLINK("https://www.773grp.com/manufacturer/nxp-semiconductor?pageNo=7", "NXP Semiconductors")</f>
        <v>NXP Semiconductors</v>
      </c>
      <c r="C15063" s="6">
        <v>363590</v>
      </c>
      <c r="D15063" s="7">
        <v>0.28000000000000003</v>
      </c>
    </row>
    <row r="15064" spans="1:4" x14ac:dyDescent="0.25">
      <c r="A15064" t="str">
        <f>HYPERLINK("https://www.773grp.com/globalSearch/BZB784-C6V8115/page-1", "BZB784-C6V8115")</f>
        <v>BZB784-C6V8115</v>
      </c>
      <c r="B15064" s="3" t="str">
        <f>HYPERLINK("https://www.773grp.com/manufacturer/nxp-semiconductor?pageNo=8", "NXP Semiconductors")</f>
        <v>NXP Semiconductors</v>
      </c>
      <c r="C15064" s="6">
        <v>18000</v>
      </c>
      <c r="D15064" s="7">
        <v>0.28000000000000003</v>
      </c>
    </row>
    <row r="15065" spans="1:4" x14ac:dyDescent="0.25">
      <c r="A15065" t="str">
        <f>HYPERLINK("https://www.773grp.com/globalSearch/BZB784-C8V2115/page-1", "BZB784-C8V2115")</f>
        <v>BZB784-C8V2115</v>
      </c>
      <c r="B15065" s="3" t="str">
        <f>HYPERLINK("https://www.773grp.com/manufacturer/nxp-semiconductor?pageNo=9", "NXP Semiconductors")</f>
        <v>NXP Semiconductors</v>
      </c>
      <c r="C15065" s="6">
        <v>8490</v>
      </c>
      <c r="D15065" s="7">
        <v>0.28000000000000003</v>
      </c>
    </row>
    <row r="15066" spans="1:4" x14ac:dyDescent="0.25">
      <c r="A15066" t="str">
        <f>HYPERLINK("https://www.773grp.com/globalSearch/BZB84-B10215/page-1", "BZB84-B10215")</f>
        <v>BZB84-B10215</v>
      </c>
      <c r="B15066" s="3" t="str">
        <f>HYPERLINK("https://www.773grp.com/manufacturer/nxp-semiconductor?pageNo=10", "NXP Semiconductors")</f>
        <v>NXP Semiconductors</v>
      </c>
      <c r="C15066" s="6">
        <v>12472</v>
      </c>
      <c r="D15066" s="7">
        <v>0.28000000000000003</v>
      </c>
    </row>
    <row r="15067" spans="1:4" x14ac:dyDescent="0.25">
      <c r="A15067" t="str">
        <f>HYPERLINK("https://www.773grp.com/globalSearch/BZB84-B22215/page-1", "BZB84-B22215")</f>
        <v>BZB84-B22215</v>
      </c>
      <c r="B15067" s="3" t="str">
        <f>HYPERLINK("https://www.773grp.com/manufacturer/nxp-semiconductor?pageNo=11", "NXP Semiconductors")</f>
        <v>NXP Semiconductors</v>
      </c>
      <c r="C15067" s="6">
        <v>802</v>
      </c>
      <c r="D15067" s="7">
        <v>0.28000000000000003</v>
      </c>
    </row>
    <row r="15068" spans="1:4" x14ac:dyDescent="0.25">
      <c r="A15068" t="str">
        <f>HYPERLINK("https://www.773grp.com/globalSearch/BZB84-B2V4215/page-1", "BZB84-B2V4215")</f>
        <v>BZB84-B2V4215</v>
      </c>
      <c r="B15068" s="3" t="str">
        <f>HYPERLINK("https://www.773grp.com/manufacturer/nxp-semiconductor?pageNo=12", "NXP Semiconductors")</f>
        <v>NXP Semiconductors</v>
      </c>
      <c r="C15068" s="6">
        <v>24000</v>
      </c>
      <c r="D15068" s="7">
        <v>0.28000000000000003</v>
      </c>
    </row>
    <row r="15069" spans="1:4" x14ac:dyDescent="0.25">
      <c r="A15069" t="str">
        <f>HYPERLINK("https://www.773grp.com/globalSearch/BZB84-B30215/page-1", "BZB84-B30215")</f>
        <v>BZB84-B30215</v>
      </c>
      <c r="B15069" s="3" t="str">
        <f>HYPERLINK("https://www.773grp.com/manufacturer/nxp-semiconductor?pageNo=13", "NXP Semiconductors")</f>
        <v>NXP Semiconductors</v>
      </c>
      <c r="C15069" s="6">
        <v>11900</v>
      </c>
      <c r="D15069" s="7">
        <v>0.28000000000000003</v>
      </c>
    </row>
    <row r="15070" spans="1:4" x14ac:dyDescent="0.25">
      <c r="A15070" t="str">
        <f>HYPERLINK("https://www.773grp.com/globalSearch/BZB84-B36215/page-1", "BZB84-B36215")</f>
        <v>BZB84-B36215</v>
      </c>
      <c r="B15070" s="3" t="str">
        <f>HYPERLINK("https://www.773grp.com/manufacturer/nxp-semiconductor?pageNo=14", "NXP Semiconductors")</f>
        <v>NXP Semiconductors</v>
      </c>
      <c r="C15070" s="6">
        <v>667</v>
      </c>
      <c r="D15070" s="7">
        <v>0.28000000000000003</v>
      </c>
    </row>
    <row r="15071" spans="1:4" x14ac:dyDescent="0.25">
      <c r="A15071" t="str">
        <f>HYPERLINK("https://www.773grp.com/globalSearch/BZB84-B39215/page-1", "BZB84-B39215")</f>
        <v>BZB84-B39215</v>
      </c>
      <c r="B15071" s="3" t="str">
        <f>HYPERLINK("https://www.773grp.com/manufacturer/nxp-semiconductor?pageNo=15", "NXP Semiconductors")</f>
        <v>NXP Semiconductors</v>
      </c>
      <c r="C15071" s="6">
        <v>859</v>
      </c>
      <c r="D15071" s="7">
        <v>0.28000000000000003</v>
      </c>
    </row>
    <row r="15072" spans="1:4" x14ac:dyDescent="0.25">
      <c r="A15072" t="str">
        <f>HYPERLINK("https://www.773grp.com/globalSearch/BZB84-B3V3215/page-1", "BZB84-B3V3215")</f>
        <v>BZB84-B3V3215</v>
      </c>
      <c r="B15072" s="3" t="str">
        <f>HYPERLINK("https://www.773grp.com/manufacturer/nxp-semiconductor?pageNo=16", "NXP Semiconductors")</f>
        <v>NXP Semiconductors</v>
      </c>
      <c r="C15072" s="6">
        <v>740</v>
      </c>
      <c r="D15072" s="7">
        <v>0.28000000000000003</v>
      </c>
    </row>
    <row r="15073" spans="1:4" x14ac:dyDescent="0.25">
      <c r="A15073" t="str">
        <f>HYPERLINK("https://www.773grp.com/globalSearch/BZB84-B3V6215/page-1", "BZB84-B3V6215")</f>
        <v>BZB84-B3V6215</v>
      </c>
      <c r="B15073" s="3" t="str">
        <f>HYPERLINK("https://www.773grp.com/manufacturer/nxp-semiconductor?pageNo=17", "NXP Semiconductors")</f>
        <v>NXP Semiconductors</v>
      </c>
      <c r="C15073" s="6">
        <v>9000</v>
      </c>
      <c r="D15073" s="7">
        <v>0.28000000000000003</v>
      </c>
    </row>
    <row r="15074" spans="1:4" x14ac:dyDescent="0.25">
      <c r="A15074" t="str">
        <f>HYPERLINK("https://www.773grp.com/globalSearch/BZB84-B3V9215/page-1", "BZB84-B3V9215")</f>
        <v>BZB84-B3V9215</v>
      </c>
      <c r="B15074" s="3" t="str">
        <f>HYPERLINK("https://www.773grp.com/manufacturer/nxp-semiconductor?pageNo=18", "NXP Semiconductors")</f>
        <v>NXP Semiconductors</v>
      </c>
      <c r="C15074" s="6">
        <v>1000</v>
      </c>
      <c r="D15074" s="7">
        <v>0.28000000000000003</v>
      </c>
    </row>
    <row r="15075" spans="1:4" x14ac:dyDescent="0.25">
      <c r="A15075" t="str">
        <f>HYPERLINK("https://www.773grp.com/globalSearch/BZB84-B43215/page-1", "BZB84-B43215")</f>
        <v>BZB84-B43215</v>
      </c>
      <c r="B15075" s="3" t="str">
        <f>HYPERLINK("https://www.773grp.com/manufacturer/nxp-semiconductor?pageNo=19", "NXP Semiconductors")</f>
        <v>NXP Semiconductors</v>
      </c>
      <c r="C15075" s="6">
        <v>810</v>
      </c>
      <c r="D15075" s="7">
        <v>0.28000000000000003</v>
      </c>
    </row>
    <row r="15076" spans="1:4" x14ac:dyDescent="0.25">
      <c r="A15076" t="str">
        <f>HYPERLINK("https://www.773grp.com/globalSearch/BZB84-B51215/page-1", "BZB84-B51215")</f>
        <v>BZB84-B51215</v>
      </c>
      <c r="B15076" s="3" t="str">
        <f>HYPERLINK("https://www.773grp.com/manufacturer/nxp-semiconductor?pageNo=20", "NXP Semiconductors")</f>
        <v>NXP Semiconductors</v>
      </c>
      <c r="C15076" s="6">
        <v>3350</v>
      </c>
      <c r="D15076" s="7">
        <v>0.28000000000000003</v>
      </c>
    </row>
    <row r="15077" spans="1:4" x14ac:dyDescent="0.25">
      <c r="A15077" t="str">
        <f>HYPERLINK("https://www.773grp.com/globalSearch/BZB84-B56215/page-1", "BZB84-B56215")</f>
        <v>BZB84-B56215</v>
      </c>
      <c r="B15077" s="3" t="str">
        <f>HYPERLINK("https://www.773grp.com/manufacturer/nxp-semiconductor?pageNo=21", "NXP Semiconductors")</f>
        <v>NXP Semiconductors</v>
      </c>
      <c r="C15077" s="6">
        <v>5</v>
      </c>
      <c r="D15077" s="7">
        <v>0.28000000000000003</v>
      </c>
    </row>
    <row r="15078" spans="1:4" x14ac:dyDescent="0.25">
      <c r="A15078" t="str">
        <f>HYPERLINK("https://www.773grp.com/globalSearch/BZB84-B68215/page-1", "BZB84-B68215")</f>
        <v>BZB84-B68215</v>
      </c>
      <c r="B15078" s="3" t="str">
        <f>HYPERLINK("https://www.773grp.com/manufacturer/nxp-semiconductor?pageNo=22", "NXP Semiconductors")</f>
        <v>NXP Semiconductors</v>
      </c>
      <c r="C15078" s="6">
        <v>6000</v>
      </c>
      <c r="D15078" s="7">
        <v>0.28000000000000003</v>
      </c>
    </row>
    <row r="15079" spans="1:4" x14ac:dyDescent="0.25">
      <c r="A15079" t="str">
        <f>HYPERLINK("https://www.773grp.com/globalSearch/BZB84-B6V2215/page-1", "BZB84-B6V2215")</f>
        <v>BZB84-B6V2215</v>
      </c>
      <c r="B15079" s="3" t="str">
        <f>HYPERLINK("https://www.773grp.com/manufacturer/nxp-semiconductor?pageNo=23", "NXP Semiconductors")</f>
        <v>NXP Semiconductors</v>
      </c>
      <c r="C15079" s="6">
        <v>9000</v>
      </c>
      <c r="D15079" s="7">
        <v>0.28000000000000003</v>
      </c>
    </row>
    <row r="15080" spans="1:4" x14ac:dyDescent="0.25">
      <c r="A15080" t="str">
        <f>HYPERLINK("https://www.773grp.com/globalSearch/BZB84-B8V2215/page-1", "BZB84-B8V2215")</f>
        <v>BZB84-B8V2215</v>
      </c>
      <c r="B15080" s="3" t="str">
        <f>HYPERLINK("https://www.773grp.com/manufacturer/nxp-semiconductor?pageNo=24", "NXP Semiconductors")</f>
        <v>NXP Semiconductors</v>
      </c>
      <c r="C15080" s="6">
        <v>12000</v>
      </c>
      <c r="D15080" s="7">
        <v>0.28000000000000003</v>
      </c>
    </row>
    <row r="15081" spans="1:4" x14ac:dyDescent="0.25">
      <c r="A15081" t="str">
        <f>HYPERLINK("https://www.773grp.com/globalSearch/BZX585-B10115/page-1", "BZX585-B10115")</f>
        <v>BZX585-B10115</v>
      </c>
      <c r="B15081" s="3" t="str">
        <f>HYPERLINK("https://www.773grp.com/manufacturer/nxp-semiconductor?pageNo=25", "NXP Semiconductors")</f>
        <v>NXP Semiconductors</v>
      </c>
      <c r="C15081" s="6">
        <v>1663</v>
      </c>
      <c r="D15081" s="7">
        <v>0.28000000000000003</v>
      </c>
    </row>
    <row r="15082" spans="1:4" x14ac:dyDescent="0.25">
      <c r="A15082" t="str">
        <f>HYPERLINK("https://www.773grp.com/globalSearch/BZX585-B10135/page-1", "BZX585-B10135")</f>
        <v>BZX585-B10135</v>
      </c>
      <c r="B15082" s="3" t="str">
        <f>HYPERLINK("https://www.773grp.com/manufacturer/nxp-semiconductor?pageNo=26", "NXP Semiconductors")</f>
        <v>NXP Semiconductors</v>
      </c>
      <c r="C15082" s="6">
        <v>10000</v>
      </c>
      <c r="D15082" s="7">
        <v>0.28000000000000003</v>
      </c>
    </row>
    <row r="15083" spans="1:4" x14ac:dyDescent="0.25">
      <c r="A15083" t="str">
        <f>HYPERLINK("https://www.773grp.com/globalSearch/BZX585-B11115/page-1", "BZX585-B11115")</f>
        <v>BZX585-B11115</v>
      </c>
      <c r="B15083" s="3" t="str">
        <f>HYPERLINK("https://www.773grp.com/manufacturer/nxp-semiconductor?pageNo=27", "NXP Semiconductors")</f>
        <v>NXP Semiconductors</v>
      </c>
      <c r="C15083" s="6">
        <v>11224</v>
      </c>
      <c r="D15083" s="7">
        <v>0.28000000000000003</v>
      </c>
    </row>
    <row r="15084" spans="1:4" x14ac:dyDescent="0.25">
      <c r="A15084" t="str">
        <f>HYPERLINK("https://www.773grp.com/globalSearch/BZX585-B12115/page-1", "BZX585-B12115")</f>
        <v>BZX585-B12115</v>
      </c>
      <c r="B15084" s="3" t="str">
        <f>HYPERLINK("https://www.773grp.com/manufacturer/nxp-semiconductor?pageNo=28", "NXP Semiconductors")</f>
        <v>NXP Semiconductors</v>
      </c>
      <c r="C15084" s="6">
        <v>18000</v>
      </c>
      <c r="D15084" s="7">
        <v>0.28000000000000003</v>
      </c>
    </row>
    <row r="15085" spans="1:4" x14ac:dyDescent="0.25">
      <c r="A15085" t="str">
        <f>HYPERLINK("https://www.773grp.com/globalSearch/BZX585-B12135/page-1", "BZX585-B12135")</f>
        <v>BZX585-B12135</v>
      </c>
      <c r="B15085" s="3" t="str">
        <f>HYPERLINK("https://www.773grp.com/manufacturer/nxp-semiconductor?pageNo=29", "NXP Semiconductors")</f>
        <v>NXP Semiconductors</v>
      </c>
      <c r="C15085" s="6">
        <v>280000</v>
      </c>
      <c r="D15085" s="7">
        <v>0.28000000000000003</v>
      </c>
    </row>
    <row r="15086" spans="1:4" x14ac:dyDescent="0.25">
      <c r="A15086" t="str">
        <f>HYPERLINK("https://www.773grp.com/globalSearch/BZX585-B13115/page-1", "BZX585-B13115")</f>
        <v>BZX585-B13115</v>
      </c>
      <c r="B15086" s="3" t="str">
        <f>HYPERLINK("https://www.773grp.com/manufacturer/nxp-semiconductor?pageNo=30", "NXP Semiconductors")</f>
        <v>NXP Semiconductors</v>
      </c>
      <c r="C15086" s="6">
        <v>11900</v>
      </c>
      <c r="D15086" s="7">
        <v>0.28000000000000003</v>
      </c>
    </row>
    <row r="15087" spans="1:4" x14ac:dyDescent="0.25">
      <c r="A15087" t="str">
        <f>HYPERLINK("https://www.773grp.com/globalSearch/BZX585-B16115/page-1", "BZX585-B16115")</f>
        <v>BZX585-B16115</v>
      </c>
      <c r="B15087" s="3" t="str">
        <f>HYPERLINK("https://www.773grp.com/manufacturer/nxp-semiconductor?pageNo=31", "NXP Semiconductors")</f>
        <v>NXP Semiconductors</v>
      </c>
      <c r="C15087" s="6">
        <v>6000</v>
      </c>
      <c r="D15087" s="7">
        <v>0.28000000000000003</v>
      </c>
    </row>
    <row r="15088" spans="1:4" x14ac:dyDescent="0.25">
      <c r="A15088" t="str">
        <f>HYPERLINK("https://www.773grp.com/globalSearch/BZX585-B20115/page-1", "BZX585-B20115")</f>
        <v>BZX585-B20115</v>
      </c>
      <c r="B15088" s="3" t="str">
        <f>HYPERLINK("https://www.773grp.com/manufacturer/nxp-semiconductor?pageNo=32", "NXP Semiconductors")</f>
        <v>NXP Semiconductors</v>
      </c>
      <c r="C15088" s="6">
        <v>3000</v>
      </c>
      <c r="D15088" s="7">
        <v>0.28000000000000003</v>
      </c>
    </row>
    <row r="15089" spans="1:4" x14ac:dyDescent="0.25">
      <c r="A15089" t="str">
        <f>HYPERLINK("https://www.773grp.com/globalSearch/BZX585-B22115/page-1", "BZX585-B22115")</f>
        <v>BZX585-B22115</v>
      </c>
      <c r="B15089" s="3" t="str">
        <f>HYPERLINK("https://www.773grp.com/manufacturer/nxp-semiconductor?pageNo=33", "NXP Semiconductors")</f>
        <v>NXP Semiconductors</v>
      </c>
      <c r="C15089" s="6">
        <v>850</v>
      </c>
      <c r="D15089" s="7">
        <v>0.28000000000000003</v>
      </c>
    </row>
    <row r="15090" spans="1:4" x14ac:dyDescent="0.25">
      <c r="A15090" t="str">
        <f>HYPERLINK("https://www.773grp.com/globalSearch/BZX585-B27115/page-1", "BZX585-B27115")</f>
        <v>BZX585-B27115</v>
      </c>
      <c r="B15090" s="3" t="str">
        <f>HYPERLINK("https://www.773grp.com/manufacturer/nxp-semiconductor?pageNo=34", "NXP Semiconductors")</f>
        <v>NXP Semiconductors</v>
      </c>
      <c r="C15090" s="6">
        <v>648</v>
      </c>
      <c r="D15090" s="7">
        <v>0.28000000000000003</v>
      </c>
    </row>
    <row r="15091" spans="1:4" x14ac:dyDescent="0.25">
      <c r="A15091" t="str">
        <f>HYPERLINK("https://www.773grp.com/globalSearch/BZX585B2V7115/page-1", "BZX585B2V7115")</f>
        <v>BZX585B2V7115</v>
      </c>
      <c r="B15091" s="3" t="str">
        <f>HYPERLINK("https://www.773grp.com/manufacturer/nxp-semiconductor?pageNo=35", "NXP Semiconductors")</f>
        <v>NXP Semiconductors</v>
      </c>
      <c r="C15091" s="6">
        <v>2496</v>
      </c>
      <c r="D15091" s="7">
        <v>0.28000000000000003</v>
      </c>
    </row>
    <row r="15092" spans="1:4" x14ac:dyDescent="0.25">
      <c r="A15092" t="str">
        <f>HYPERLINK("https://www.773grp.com/globalSearch/BZX585-B2V7115/page-1", "BZX585-B2V7115")</f>
        <v>BZX585-B2V7115</v>
      </c>
      <c r="B15092" s="3" t="str">
        <f>HYPERLINK("https://www.773grp.com/manufacturer/nxp-semiconductor?pageNo=36", "NXP Semiconductors")</f>
        <v>NXP Semiconductors</v>
      </c>
      <c r="C15092" s="6">
        <v>45000</v>
      </c>
      <c r="D15092" s="7">
        <v>0.28000000000000003</v>
      </c>
    </row>
    <row r="15093" spans="1:4" x14ac:dyDescent="0.25">
      <c r="A15093" t="str">
        <f>HYPERLINK("https://www.773grp.com/globalSearch/BZX585-B30115/page-1", "BZX585-B30115")</f>
        <v>BZX585-B30115</v>
      </c>
      <c r="B15093" s="3" t="str">
        <f>HYPERLINK("https://www.773grp.com/manufacturer/nxp-semiconductor?pageNo=37", "NXP Semiconductors")</f>
        <v>NXP Semiconductors</v>
      </c>
      <c r="C15093" s="6">
        <v>2572</v>
      </c>
      <c r="D15093" s="7">
        <v>0.28000000000000003</v>
      </c>
    </row>
    <row r="15094" spans="1:4" x14ac:dyDescent="0.25">
      <c r="A15094" t="str">
        <f>HYPERLINK("https://www.773grp.com/globalSearch/BZX585-B33115/page-1", "BZX585-B33115")</f>
        <v>BZX585-B33115</v>
      </c>
      <c r="B15094" s="3" t="str">
        <f>HYPERLINK("https://www.773grp.com/manufacturer/nxp-semiconductor?pageNo=38", "NXP Semiconductors")</f>
        <v>NXP Semiconductors</v>
      </c>
      <c r="C15094" s="6">
        <v>5945</v>
      </c>
      <c r="D15094" s="7">
        <v>0.28000000000000003</v>
      </c>
    </row>
    <row r="15095" spans="1:4" x14ac:dyDescent="0.25">
      <c r="A15095" t="str">
        <f>HYPERLINK("https://www.773grp.com/globalSearch/BZX585-B36115/page-1", "BZX585-B36115")</f>
        <v>BZX585-B36115</v>
      </c>
      <c r="B15095" s="3" t="str">
        <f>HYPERLINK("https://www.773grp.com/manufacturer/nxp-semiconductor?pageNo=39", "NXP Semiconductors")</f>
        <v>NXP Semiconductors</v>
      </c>
      <c r="C15095" s="6">
        <v>45700</v>
      </c>
      <c r="D15095" s="7">
        <v>0.28000000000000003</v>
      </c>
    </row>
    <row r="15096" spans="1:4" x14ac:dyDescent="0.25">
      <c r="A15096" t="str">
        <f>HYPERLINK("https://www.773grp.com/globalSearch/BZX585-B39115/page-1", "BZX585-B39115")</f>
        <v>BZX585-B39115</v>
      </c>
      <c r="B15096" s="3" t="str">
        <f>HYPERLINK("https://www.773grp.com/manufacturer/nxp-semiconductor?pageNo=40", "NXP Semiconductors")</f>
        <v>NXP Semiconductors</v>
      </c>
      <c r="C15096" s="6">
        <v>3000</v>
      </c>
      <c r="D15096" s="7">
        <v>0.28000000000000003</v>
      </c>
    </row>
    <row r="15097" spans="1:4" x14ac:dyDescent="0.25">
      <c r="A15097" t="str">
        <f>HYPERLINK("https://www.773grp.com/globalSearch/BZX585-B3V3115/page-1", "BZX585-B3V3115")</f>
        <v>BZX585-B3V3115</v>
      </c>
      <c r="B15097" s="3" t="str">
        <f>HYPERLINK("https://www.773grp.com/manufacturer/nxp-semiconductor?pageNo=41", "NXP Semiconductors")</f>
        <v>NXP Semiconductors</v>
      </c>
      <c r="C15097" s="6">
        <v>15000</v>
      </c>
      <c r="D15097" s="7">
        <v>0.28000000000000003</v>
      </c>
    </row>
    <row r="15098" spans="1:4" x14ac:dyDescent="0.25">
      <c r="A15098" t="str">
        <f>HYPERLINK("https://www.773grp.com/globalSearch/BZX585-B3V3135/page-1", "BZX585-B3V3135")</f>
        <v>BZX585-B3V3135</v>
      </c>
      <c r="B15098" s="3" t="str">
        <f>HYPERLINK("https://www.773grp.com/manufacturer/nxp-semiconductor?pageNo=42", "NXP Semiconductors")</f>
        <v>NXP Semiconductors</v>
      </c>
      <c r="C15098" s="6">
        <v>10000</v>
      </c>
      <c r="D15098" s="7">
        <v>0.28000000000000003</v>
      </c>
    </row>
    <row r="15099" spans="1:4" x14ac:dyDescent="0.25">
      <c r="A15099" t="str">
        <f>HYPERLINK("https://www.773grp.com/globalSearch/BZX585-B3V9115/page-1", "BZX585-B3V9115")</f>
        <v>BZX585-B3V9115</v>
      </c>
      <c r="B15099" s="3" t="str">
        <f>HYPERLINK("https://www.773grp.com/manufacturer/nxp-semiconductor?pageNo=43", "NXP Semiconductors")</f>
        <v>NXP Semiconductors</v>
      </c>
      <c r="C15099" s="6">
        <v>27000</v>
      </c>
      <c r="D15099" s="7">
        <v>0.28000000000000003</v>
      </c>
    </row>
    <row r="15100" spans="1:4" x14ac:dyDescent="0.25">
      <c r="A15100" t="str">
        <f>HYPERLINK("https://www.773grp.com/globalSearch/BZX585-B47115/page-1", "BZX585-B47115")</f>
        <v>BZX585-B47115</v>
      </c>
      <c r="B15100" s="3" t="str">
        <f>HYPERLINK("https://www.773grp.com/manufacturer/nxp-semiconductor?pageNo=44", "NXP Semiconductors")</f>
        <v>NXP Semiconductors</v>
      </c>
      <c r="C15100" s="6">
        <v>630</v>
      </c>
      <c r="D15100" s="7">
        <v>0.28000000000000003</v>
      </c>
    </row>
    <row r="15101" spans="1:4" x14ac:dyDescent="0.25">
      <c r="A15101" t="str">
        <f>HYPERLINK("https://www.773grp.com/globalSearch/BZX585-B4V7115/page-1", "BZX585-B4V7115")</f>
        <v>BZX585-B4V7115</v>
      </c>
      <c r="B15101" s="3" t="str">
        <f>HYPERLINK("https://www.773grp.com/manufacturer/nxp-semiconductor?pageNo=45", "NXP Semiconductors")</f>
        <v>NXP Semiconductors</v>
      </c>
      <c r="C15101" s="6">
        <v>27000</v>
      </c>
      <c r="D15101" s="7">
        <v>0.28000000000000003</v>
      </c>
    </row>
    <row r="15102" spans="1:4" x14ac:dyDescent="0.25">
      <c r="A15102" t="str">
        <f>HYPERLINK("https://www.773grp.com/globalSearch/BZX585-B51115/page-1", "BZX585-B51115")</f>
        <v>BZX585-B51115</v>
      </c>
      <c r="B15102" s="3" t="str">
        <f>HYPERLINK("https://www.773grp.com/manufacturer/nxp-semiconductor?pageNo=46", "NXP Semiconductors")</f>
        <v>NXP Semiconductors</v>
      </c>
      <c r="C15102" s="6">
        <v>26848</v>
      </c>
      <c r="D15102" s="7">
        <v>0.28000000000000003</v>
      </c>
    </row>
    <row r="15103" spans="1:4" x14ac:dyDescent="0.25">
      <c r="A15103" t="str">
        <f>HYPERLINK("https://www.773grp.com/globalSearch/BZX585-B56115/page-1", "BZX585-B56115")</f>
        <v>BZX585-B56115</v>
      </c>
      <c r="B15103" s="3" t="str">
        <f>HYPERLINK("https://www.773grp.com/manufacturer/nxp-semiconductor?pageNo=47", "NXP Semiconductors")</f>
        <v>NXP Semiconductors</v>
      </c>
      <c r="C15103" s="6">
        <v>8800</v>
      </c>
      <c r="D15103" s="7">
        <v>0.28000000000000003</v>
      </c>
    </row>
    <row r="15104" spans="1:4" x14ac:dyDescent="0.25">
      <c r="A15104" t="str">
        <f>HYPERLINK("https://www.773grp.com/globalSearch/BZX585-B5V1115/page-1", "BZX585-B5V1115")</f>
        <v>BZX585-B5V1115</v>
      </c>
      <c r="B15104" s="3" t="str">
        <f>HYPERLINK("https://www.773grp.com/manufacturer/nxp-semiconductor?pageNo=48", "NXP Semiconductors")</f>
        <v>NXP Semiconductors</v>
      </c>
      <c r="C15104" s="6">
        <v>1104000</v>
      </c>
      <c r="D15104" s="7">
        <v>0.28000000000000003</v>
      </c>
    </row>
    <row r="15105" spans="1:4" x14ac:dyDescent="0.25">
      <c r="A15105" t="str">
        <f>HYPERLINK("https://www.773grp.com/globalSearch/BZX585-B5V1135/page-1", "BZX585-B5V1135")</f>
        <v>BZX585-B5V1135</v>
      </c>
      <c r="B15105" s="3" t="str">
        <f>HYPERLINK("https://www.773grp.com/manufacturer/nxp-semiconductor?pageNo=1", "NXP Semiconductors")</f>
        <v>NXP Semiconductors</v>
      </c>
      <c r="C15105" s="6">
        <v>310000</v>
      </c>
      <c r="D15105" s="7">
        <v>0.28000000000000003</v>
      </c>
    </row>
    <row r="15106" spans="1:4" x14ac:dyDescent="0.25">
      <c r="A15106" t="str">
        <f>HYPERLINK("https://www.773grp.com/globalSearch/BZX585-B5V6115/page-1", "BZX585-B5V6115")</f>
        <v>BZX585-B5V6115</v>
      </c>
      <c r="B15106" s="3" t="str">
        <f>HYPERLINK("https://www.773grp.com/manufacturer/nxp-semiconductor?pageNo=2", "NXP Semiconductors")</f>
        <v>NXP Semiconductors</v>
      </c>
      <c r="C15106" s="6">
        <v>18000</v>
      </c>
      <c r="D15106" s="7">
        <v>0.28000000000000003</v>
      </c>
    </row>
    <row r="15107" spans="1:4" x14ac:dyDescent="0.25">
      <c r="A15107" t="str">
        <f>HYPERLINK("https://www.773grp.com/globalSearch/BZX585-B68115/page-1", "BZX585-B68115")</f>
        <v>BZX585-B68115</v>
      </c>
      <c r="B15107" s="3" t="str">
        <f>HYPERLINK("https://www.773grp.com/manufacturer/nxp-semiconductor?pageNo=3", "NXP Semiconductors")</f>
        <v>NXP Semiconductors</v>
      </c>
      <c r="C15107" s="6">
        <v>6150</v>
      </c>
      <c r="D15107" s="7">
        <v>0.28000000000000003</v>
      </c>
    </row>
    <row r="15108" spans="1:4" x14ac:dyDescent="0.25">
      <c r="A15108" t="str">
        <f>HYPERLINK("https://www.773grp.com/globalSearch/BZX585-B6V2115/page-1", "BZX585-B6V2115")</f>
        <v>BZX585-B6V2115</v>
      </c>
      <c r="B15108" s="3" t="str">
        <f>HYPERLINK("https://www.773grp.com/manufacturer/nxp-semiconductor?pageNo=4", "NXP Semiconductors")</f>
        <v>NXP Semiconductors</v>
      </c>
      <c r="C15108" s="6">
        <v>18000</v>
      </c>
      <c r="D15108" s="7">
        <v>0.28000000000000003</v>
      </c>
    </row>
    <row r="15109" spans="1:4" x14ac:dyDescent="0.25">
      <c r="A15109" t="str">
        <f>HYPERLINK("https://www.773grp.com/globalSearch/BZX585-B6V8135/page-1", "BZX585-B6V8135")</f>
        <v>BZX585-B6V8135</v>
      </c>
      <c r="B15109" s="3" t="str">
        <f>HYPERLINK("https://www.773grp.com/manufacturer/nxp-semiconductor?pageNo=5", "NXP Semiconductors")</f>
        <v>NXP Semiconductors</v>
      </c>
      <c r="C15109" s="6">
        <v>10000</v>
      </c>
      <c r="D15109" s="7">
        <v>0.28000000000000003</v>
      </c>
    </row>
    <row r="15110" spans="1:4" x14ac:dyDescent="0.25">
      <c r="A15110" t="str">
        <f>HYPERLINK("https://www.773grp.com/globalSearch/BZX585-B75115/page-1", "BZX585-B75115")</f>
        <v>BZX585-B75115</v>
      </c>
      <c r="B15110" s="3" t="str">
        <f>HYPERLINK("https://www.773grp.com/manufacturer/nxp-semiconductor?pageNo=6", "NXP Semiconductors")</f>
        <v>NXP Semiconductors</v>
      </c>
      <c r="C15110" s="6">
        <v>17623</v>
      </c>
      <c r="D15110" s="7">
        <v>0.28000000000000003</v>
      </c>
    </row>
    <row r="15111" spans="1:4" x14ac:dyDescent="0.25">
      <c r="A15111" t="str">
        <f>HYPERLINK("https://www.773grp.com/globalSearch/BZX585-B7V5115/page-1", "BZX585-B7V5115")</f>
        <v>BZX585-B7V5115</v>
      </c>
      <c r="B15111" s="3" t="str">
        <f>HYPERLINK("https://www.773grp.com/manufacturer/nxp-semiconductor?pageNo=7", "NXP Semiconductors")</f>
        <v>NXP Semiconductors</v>
      </c>
      <c r="C15111" s="6">
        <v>12000</v>
      </c>
      <c r="D15111" s="7">
        <v>0.28000000000000003</v>
      </c>
    </row>
    <row r="15112" spans="1:4" x14ac:dyDescent="0.25">
      <c r="A15112" t="str">
        <f>HYPERLINK("https://www.773grp.com/globalSearch/BZX585-B8V2115/page-1", "BZX585-B8V2115")</f>
        <v>BZX585-B8V2115</v>
      </c>
      <c r="B15112" s="3" t="str">
        <f>HYPERLINK("https://www.773grp.com/manufacturer/nxp-semiconductor?pageNo=8", "NXP Semiconductors")</f>
        <v>NXP Semiconductors</v>
      </c>
      <c r="C15112" s="6">
        <v>21700</v>
      </c>
      <c r="D15112" s="7">
        <v>0.28000000000000003</v>
      </c>
    </row>
    <row r="15113" spans="1:4" x14ac:dyDescent="0.25">
      <c r="A15113" t="str">
        <f>HYPERLINK("https://www.773grp.com/globalSearch/BZX585-B8V2135/page-1", "BZX585-B8V2135")</f>
        <v>BZX585-B8V2135</v>
      </c>
      <c r="B15113" s="3" t="str">
        <f>HYPERLINK("https://www.773grp.com/manufacturer/nxp-semiconductor?pageNo=9", "NXP Semiconductors")</f>
        <v>NXP Semiconductors</v>
      </c>
      <c r="C15113" s="6">
        <v>5399</v>
      </c>
      <c r="D15113" s="7">
        <v>0.28000000000000003</v>
      </c>
    </row>
    <row r="15114" spans="1:4" x14ac:dyDescent="0.25">
      <c r="A15114" t="str">
        <f>HYPERLINK("https://www.773grp.com/globalSearch/BZX585-B9V1115/page-1", "BZX585-B9V1115")</f>
        <v>BZX585-B9V1115</v>
      </c>
      <c r="B15114" s="3" t="str">
        <f>HYPERLINK("https://www.773grp.com/manufacturer/nxp-semiconductor?pageNo=10", "NXP Semiconductors")</f>
        <v>NXP Semiconductors</v>
      </c>
      <c r="C15114" s="6">
        <v>17740</v>
      </c>
      <c r="D15114" s="7">
        <v>0.28000000000000003</v>
      </c>
    </row>
    <row r="15115" spans="1:4" x14ac:dyDescent="0.25">
      <c r="A15115" t="str">
        <f>HYPERLINK("https://www.773grp.com/globalSearch/BZX585-C11115/page-1", "BZX585-C11115")</f>
        <v>BZX585-C11115</v>
      </c>
      <c r="B15115" s="3" t="str">
        <f>HYPERLINK("https://www.773grp.com/manufacturer/nxp-semiconductor?pageNo=11", "NXP Semiconductors")</f>
        <v>NXP Semiconductors</v>
      </c>
      <c r="C15115" s="6">
        <v>54000</v>
      </c>
      <c r="D15115" s="7">
        <v>0.28000000000000003</v>
      </c>
    </row>
    <row r="15116" spans="1:4" x14ac:dyDescent="0.25">
      <c r="A15116" t="str">
        <f>HYPERLINK("https://www.773grp.com/globalSearch/BZX585-C12115/page-1", "BZX585-C12115")</f>
        <v>BZX585-C12115</v>
      </c>
      <c r="B15116" s="3" t="str">
        <f>HYPERLINK("https://www.773grp.com/manufacturer/nxp-semiconductor?pageNo=12", "NXP Semiconductors")</f>
        <v>NXP Semiconductors</v>
      </c>
      <c r="C15116" s="6">
        <v>29285</v>
      </c>
      <c r="D15116" s="7">
        <v>0.28000000000000003</v>
      </c>
    </row>
    <row r="15117" spans="1:4" x14ac:dyDescent="0.25">
      <c r="A15117" t="str">
        <f>HYPERLINK("https://www.773grp.com/globalSearch/BZX585-C12135/page-1", "BZX585-C12135")</f>
        <v>BZX585-C12135</v>
      </c>
      <c r="B15117" s="3" t="str">
        <f>HYPERLINK("https://www.773grp.com/manufacturer/nxp-semiconductor?pageNo=13", "NXP Semiconductors")</f>
        <v>NXP Semiconductors</v>
      </c>
      <c r="C15117" s="6">
        <v>20000</v>
      </c>
      <c r="D15117" s="7">
        <v>0.28000000000000003</v>
      </c>
    </row>
    <row r="15118" spans="1:4" x14ac:dyDescent="0.25">
      <c r="A15118" t="str">
        <f>HYPERLINK("https://www.773grp.com/globalSearch/BZX585-C15115/page-1", "BZX585-C15115")</f>
        <v>BZX585-C15115</v>
      </c>
      <c r="B15118" s="3" t="str">
        <f>HYPERLINK("https://www.773grp.com/manufacturer/nxp-semiconductor?pageNo=14", "NXP Semiconductors")</f>
        <v>NXP Semiconductors</v>
      </c>
      <c r="C15118" s="6">
        <v>60000</v>
      </c>
      <c r="D15118" s="7">
        <v>0.28000000000000003</v>
      </c>
    </row>
    <row r="15119" spans="1:4" x14ac:dyDescent="0.25">
      <c r="A15119" t="str">
        <f>HYPERLINK("https://www.773grp.com/globalSearch/BZX585-C16115/page-1", "BZX585-C16115")</f>
        <v>BZX585-C16115</v>
      </c>
      <c r="B15119" s="3" t="str">
        <f>HYPERLINK("https://www.773grp.com/manufacturer/nxp-semiconductor?pageNo=15", "NXP Semiconductors")</f>
        <v>NXP Semiconductors</v>
      </c>
      <c r="C15119" s="6">
        <v>2718</v>
      </c>
      <c r="D15119" s="7">
        <v>0.28000000000000003</v>
      </c>
    </row>
    <row r="15120" spans="1:4" x14ac:dyDescent="0.25">
      <c r="A15120" t="str">
        <f>HYPERLINK("https://www.773grp.com/globalSearch/BZX585-C18115/page-1", "BZX585-C18115")</f>
        <v>BZX585-C18115</v>
      </c>
      <c r="B15120" s="3" t="str">
        <f>HYPERLINK("https://www.773grp.com/manufacturer/nxp-semiconductor?pageNo=16", "NXP Semiconductors")</f>
        <v>NXP Semiconductors</v>
      </c>
      <c r="C15120" s="6">
        <v>27000</v>
      </c>
      <c r="D15120" s="7">
        <v>0.28000000000000003</v>
      </c>
    </row>
    <row r="15121" spans="1:4" x14ac:dyDescent="0.25">
      <c r="A15121" t="str">
        <f>HYPERLINK("https://www.773grp.com/globalSearch/BZX585-C20115/page-1", "BZX585-C20115")</f>
        <v>BZX585-C20115</v>
      </c>
      <c r="B15121" s="3" t="str">
        <f>HYPERLINK("https://www.773grp.com/manufacturer/nxp-semiconductor?pageNo=17", "NXP Semiconductors")</f>
        <v>NXP Semiconductors</v>
      </c>
      <c r="C15121" s="6">
        <v>52833</v>
      </c>
      <c r="D15121" s="7">
        <v>0.28000000000000003</v>
      </c>
    </row>
    <row r="15122" spans="1:4" x14ac:dyDescent="0.25">
      <c r="A15122" t="str">
        <f>HYPERLINK("https://www.773grp.com/globalSearch/BZX585-C22115/page-1", "BZX585-C22115")</f>
        <v>BZX585-C22115</v>
      </c>
      <c r="B15122" s="3" t="str">
        <f>HYPERLINK("https://www.773grp.com/manufacturer/nxp-semiconductor?pageNo=18", "NXP Semiconductors")</f>
        <v>NXP Semiconductors</v>
      </c>
      <c r="C15122" s="6">
        <v>42000</v>
      </c>
      <c r="D15122" s="7">
        <v>0.28000000000000003</v>
      </c>
    </row>
    <row r="15123" spans="1:4" x14ac:dyDescent="0.25">
      <c r="A15123" t="str">
        <f>HYPERLINK("https://www.773grp.com/globalSearch/BZX585-C24115/page-1", "BZX585-C24115")</f>
        <v>BZX585-C24115</v>
      </c>
      <c r="B15123" s="3" t="str">
        <f>HYPERLINK("https://www.773grp.com/manufacturer/nxp-semiconductor?pageNo=19", "NXP Semiconductors")</f>
        <v>NXP Semiconductors</v>
      </c>
      <c r="C15123" s="6">
        <v>6000</v>
      </c>
      <c r="D15123" s="7">
        <v>0.28000000000000003</v>
      </c>
    </row>
    <row r="15124" spans="1:4" x14ac:dyDescent="0.25">
      <c r="A15124" t="str">
        <f>HYPERLINK("https://www.773grp.com/globalSearch/BZX585-C27115/page-1", "BZX585-C27115")</f>
        <v>BZX585-C27115</v>
      </c>
      <c r="B15124" s="3" t="str">
        <f>HYPERLINK("https://www.773grp.com/manufacturer/nxp-semiconductor?pageNo=20", "NXP Semiconductors")</f>
        <v>NXP Semiconductors</v>
      </c>
      <c r="C15124" s="6">
        <v>7373</v>
      </c>
      <c r="D15124" s="7">
        <v>0.28000000000000003</v>
      </c>
    </row>
    <row r="15125" spans="1:4" x14ac:dyDescent="0.25">
      <c r="A15125" t="str">
        <f>HYPERLINK("https://www.773grp.com/globalSearch/BZX585-C30115/page-1", "BZX585-C30115")</f>
        <v>BZX585-C30115</v>
      </c>
      <c r="B15125" s="3" t="str">
        <f>HYPERLINK("https://www.773grp.com/manufacturer/nxp-semiconductor?pageNo=21", "NXP Semiconductors")</f>
        <v>NXP Semiconductors</v>
      </c>
      <c r="C15125" s="6">
        <v>42000</v>
      </c>
      <c r="D15125" s="7">
        <v>0.28000000000000003</v>
      </c>
    </row>
    <row r="15126" spans="1:4" x14ac:dyDescent="0.25">
      <c r="A15126" t="str">
        <f>HYPERLINK("https://www.773grp.com/globalSearch/BZX585-C33115/page-1", "BZX585-C33115")</f>
        <v>BZX585-C33115</v>
      </c>
      <c r="B15126" s="3" t="str">
        <f>HYPERLINK("https://www.773grp.com/manufacturer/nxp-semiconductor?pageNo=22", "NXP Semiconductors")</f>
        <v>NXP Semiconductors</v>
      </c>
      <c r="C15126" s="6">
        <v>78000</v>
      </c>
      <c r="D15126" s="7">
        <v>0.28000000000000003</v>
      </c>
    </row>
    <row r="15127" spans="1:4" x14ac:dyDescent="0.25">
      <c r="A15127" t="str">
        <f>HYPERLINK("https://www.773grp.com/globalSearch/BZX585-C39115/page-1", "BZX585-C39115")</f>
        <v>BZX585-C39115</v>
      </c>
      <c r="B15127" s="3" t="str">
        <f>HYPERLINK("https://www.773grp.com/manufacturer/nxp-semiconductor?pageNo=23", "NXP Semiconductors")</f>
        <v>NXP Semiconductors</v>
      </c>
      <c r="C15127" s="6">
        <v>21200</v>
      </c>
      <c r="D15127" s="7">
        <v>0.28000000000000003</v>
      </c>
    </row>
    <row r="15128" spans="1:4" x14ac:dyDescent="0.25">
      <c r="A15128" t="str">
        <f>HYPERLINK("https://www.773grp.com/globalSearch/BZX585-C3V0115/page-1", "BZX585-C3V0115")</f>
        <v>BZX585-C3V0115</v>
      </c>
      <c r="B15128" s="3" t="str">
        <f>HYPERLINK("https://www.773grp.com/manufacturer/nxp-semiconductor?pageNo=24", "NXP Semiconductors")</f>
        <v>NXP Semiconductors</v>
      </c>
      <c r="C15128" s="6">
        <v>46200</v>
      </c>
      <c r="D15128" s="7">
        <v>0.28000000000000003</v>
      </c>
    </row>
    <row r="15129" spans="1:4" x14ac:dyDescent="0.25">
      <c r="A15129" t="str">
        <f>HYPERLINK("https://www.773grp.com/globalSearch/BZX585-C3V3135/page-1", "BZX585-C3V3135")</f>
        <v>BZX585-C3V3135</v>
      </c>
      <c r="B15129" s="3" t="str">
        <f>HYPERLINK("https://www.773grp.com/manufacturer/nxp-semiconductor?pageNo=25", "NXP Semiconductors")</f>
        <v>NXP Semiconductors</v>
      </c>
      <c r="C15129" s="6">
        <v>30792</v>
      </c>
      <c r="D15129" s="7">
        <v>0.28000000000000003</v>
      </c>
    </row>
    <row r="15130" spans="1:4" x14ac:dyDescent="0.25">
      <c r="A15130" t="str">
        <f>HYPERLINK("https://www.773grp.com/globalSearch/BZX585-C43115/page-1", "BZX585-C43115")</f>
        <v>BZX585-C43115</v>
      </c>
      <c r="B15130" s="3" t="str">
        <f>HYPERLINK("https://www.773grp.com/manufacturer/nxp-semiconductor?pageNo=26", "NXP Semiconductors")</f>
        <v>NXP Semiconductors</v>
      </c>
      <c r="C15130" s="6">
        <v>2935</v>
      </c>
      <c r="D15130" s="7">
        <v>0.28000000000000003</v>
      </c>
    </row>
    <row r="15131" spans="1:4" x14ac:dyDescent="0.25">
      <c r="A15131" t="str">
        <f>HYPERLINK("https://www.773grp.com/globalSearch/BZX585-C47115/page-1", "BZX585-C47115")</f>
        <v>BZX585-C47115</v>
      </c>
      <c r="B15131" s="3" t="str">
        <f>HYPERLINK("https://www.773grp.com/manufacturer/nxp-semiconductor?pageNo=27", "NXP Semiconductors")</f>
        <v>NXP Semiconductors</v>
      </c>
      <c r="C15131" s="6">
        <v>200</v>
      </c>
      <c r="D15131" s="7">
        <v>0.28000000000000003</v>
      </c>
    </row>
    <row r="15132" spans="1:4" x14ac:dyDescent="0.25">
      <c r="A15132" t="str">
        <f>HYPERLINK("https://www.773grp.com/globalSearch/BZX585-C4V7115/page-1", "BZX585-C4V7115")</f>
        <v>BZX585-C4V7115</v>
      </c>
      <c r="B15132" s="3" t="str">
        <f>HYPERLINK("https://www.773grp.com/manufacturer/nxp-semiconductor?pageNo=28", "NXP Semiconductors")</f>
        <v>NXP Semiconductors</v>
      </c>
      <c r="C15132" s="6">
        <v>93000</v>
      </c>
      <c r="D15132" s="7">
        <v>0.28000000000000003</v>
      </c>
    </row>
    <row r="15133" spans="1:4" x14ac:dyDescent="0.25">
      <c r="A15133" t="str">
        <f>HYPERLINK("https://www.773grp.com/globalSearch/BZX585-C4V7135/page-1", "BZX585-C4V7135")</f>
        <v>BZX585-C4V7135</v>
      </c>
      <c r="B15133" s="3" t="str">
        <f>HYPERLINK("https://www.773grp.com/manufacturer/nxp-semiconductor?pageNo=29", "NXP Semiconductors")</f>
        <v>NXP Semiconductors</v>
      </c>
      <c r="C15133" s="6">
        <v>160</v>
      </c>
      <c r="D15133" s="7">
        <v>0.28000000000000003</v>
      </c>
    </row>
    <row r="15134" spans="1:4" x14ac:dyDescent="0.25">
      <c r="A15134" t="str">
        <f>HYPERLINK("https://www.773grp.com/globalSearch/BZX585-C62115/page-1", "BZX585-C62115")</f>
        <v>BZX585-C62115</v>
      </c>
      <c r="B15134" s="3" t="str">
        <f>HYPERLINK("https://www.773grp.com/manufacturer/nxp-semiconductor?pageNo=30", "NXP Semiconductors")</f>
        <v>NXP Semiconductors</v>
      </c>
      <c r="C15134" s="6">
        <v>24105</v>
      </c>
      <c r="D15134" s="7">
        <v>0.28000000000000003</v>
      </c>
    </row>
    <row r="15135" spans="1:4" x14ac:dyDescent="0.25">
      <c r="A15135" t="str">
        <f>HYPERLINK("https://www.773grp.com/globalSearch/BZX585-C68115/page-1", "BZX585-C68115")</f>
        <v>BZX585-C68115</v>
      </c>
      <c r="B15135" s="3" t="str">
        <f>HYPERLINK("https://www.773grp.com/manufacturer/nxp-semiconductor?pageNo=31", "NXP Semiconductors")</f>
        <v>NXP Semiconductors</v>
      </c>
      <c r="C15135" s="6">
        <v>12848</v>
      </c>
      <c r="D15135" s="7">
        <v>0.28000000000000003</v>
      </c>
    </row>
    <row r="15136" spans="1:4" x14ac:dyDescent="0.25">
      <c r="A15136" t="str">
        <f>HYPERLINK("https://www.773grp.com/globalSearch/BZX585-C6V2135/page-1", "BZX585-C6V2135")</f>
        <v>BZX585-C6V2135</v>
      </c>
      <c r="B15136" s="3" t="str">
        <f>HYPERLINK("https://www.773grp.com/manufacturer/nxp-semiconductor?pageNo=32", "NXP Semiconductors")</f>
        <v>NXP Semiconductors</v>
      </c>
      <c r="C15136" s="6">
        <v>90</v>
      </c>
      <c r="D15136" s="7">
        <v>0.28000000000000003</v>
      </c>
    </row>
    <row r="15137" spans="1:4" x14ac:dyDescent="0.25">
      <c r="A15137" t="str">
        <f>HYPERLINK("https://www.773grp.com/globalSearch/BZX585-C6V8115/page-1", "BZX585-C6V8115")</f>
        <v>BZX585-C6V8115</v>
      </c>
      <c r="B15137" s="3" t="str">
        <f>HYPERLINK("https://www.773grp.com/manufacturer/nxp-semiconductor?pageNo=33", "NXP Semiconductors")</f>
        <v>NXP Semiconductors</v>
      </c>
      <c r="C15137" s="6">
        <v>39000</v>
      </c>
      <c r="D15137" s="7">
        <v>0.28000000000000003</v>
      </c>
    </row>
    <row r="15138" spans="1:4" x14ac:dyDescent="0.25">
      <c r="A15138" t="str">
        <f>HYPERLINK("https://www.773grp.com/globalSearch/BZX585-C6V8135/page-1", "BZX585-C6V8135")</f>
        <v>BZX585-C6V8135</v>
      </c>
      <c r="B15138" s="3" t="str">
        <f>HYPERLINK("https://www.773grp.com/manufacturer/nxp-semiconductor?pageNo=34", "NXP Semiconductors")</f>
        <v>NXP Semiconductors</v>
      </c>
      <c r="C15138" s="6">
        <v>200</v>
      </c>
      <c r="D15138" s="7">
        <v>0.28000000000000003</v>
      </c>
    </row>
    <row r="15139" spans="1:4" x14ac:dyDescent="0.25">
      <c r="A15139" t="str">
        <f>HYPERLINK("https://www.773grp.com/globalSearch/BZX585-C75115/page-1", "BZX585-C75115")</f>
        <v>BZX585-C75115</v>
      </c>
      <c r="B15139" s="3" t="str">
        <f>HYPERLINK("https://www.773grp.com/manufacturer/nxp-semiconductor?pageNo=35", "NXP Semiconductors")</f>
        <v>NXP Semiconductors</v>
      </c>
      <c r="C15139" s="6">
        <v>12000</v>
      </c>
      <c r="D15139" s="7">
        <v>0.28000000000000003</v>
      </c>
    </row>
    <row r="15140" spans="1:4" x14ac:dyDescent="0.25">
      <c r="A15140" t="str">
        <f>HYPERLINK("https://www.773grp.com/globalSearch/BZX84J-B2V4115/page-1", "BZX84J-B2V4115")</f>
        <v>BZX84J-B2V4115</v>
      </c>
      <c r="B15140" s="3" t="str">
        <f>HYPERLINK("https://www.773grp.com/manufacturer/nxp-semiconductor?pageNo=36", "NXP Semiconductors")</f>
        <v>NXP Semiconductors</v>
      </c>
      <c r="C15140" s="6">
        <v>15000</v>
      </c>
      <c r="D15140" s="7">
        <v>0.28000000000000003</v>
      </c>
    </row>
    <row r="15141" spans="1:4" x14ac:dyDescent="0.25">
      <c r="A15141" t="str">
        <f>HYPERLINK("https://www.773grp.com/globalSearch/BZX84J-B36115/page-1", "BZX84J-B36115")</f>
        <v>BZX84J-B36115</v>
      </c>
      <c r="B15141" s="3" t="str">
        <f>HYPERLINK("https://www.773grp.com/manufacturer/nxp-semiconductor?pageNo=37", "NXP Semiconductors")</f>
        <v>NXP Semiconductors</v>
      </c>
      <c r="C15141" s="6">
        <v>6800</v>
      </c>
      <c r="D15141" s="7">
        <v>0.28000000000000003</v>
      </c>
    </row>
    <row r="15142" spans="1:4" x14ac:dyDescent="0.25">
      <c r="A15142" t="str">
        <f>HYPERLINK("https://www.773grp.com/globalSearch/BZX884-C10315/page-1", "BZX884-C10315")</f>
        <v>BZX884-C10315</v>
      </c>
      <c r="B15142" s="3" t="str">
        <f>HYPERLINK("https://www.773grp.com/manufacturer/nxp-semiconductor?pageNo=38", "NXP Semiconductors")</f>
        <v>NXP Semiconductors</v>
      </c>
      <c r="C15142" s="6">
        <v>10000</v>
      </c>
      <c r="D15142" s="7">
        <v>0.28000000000000003</v>
      </c>
    </row>
    <row r="15143" spans="1:4" x14ac:dyDescent="0.25">
      <c r="A15143" t="str">
        <f>HYPERLINK("https://www.773grp.com/globalSearch/BZX884-C11315/page-1", "BZX884-C11315")</f>
        <v>BZX884-C11315</v>
      </c>
      <c r="B15143" s="3" t="str">
        <f>HYPERLINK("https://www.773grp.com/manufacturer/nxp-semiconductor?pageNo=39", "NXP Semiconductors")</f>
        <v>NXP Semiconductors</v>
      </c>
      <c r="C15143" s="6">
        <v>10000</v>
      </c>
      <c r="D15143" s="7">
        <v>0.28000000000000003</v>
      </c>
    </row>
    <row r="15144" spans="1:4" x14ac:dyDescent="0.25">
      <c r="A15144" t="str">
        <f>HYPERLINK("https://www.773grp.com/globalSearch/BZX884-C12315/page-1", "BZX884-C12315")</f>
        <v>BZX884-C12315</v>
      </c>
      <c r="B15144" s="3" t="str">
        <f>HYPERLINK("https://www.773grp.com/manufacturer/nxp-semiconductor?pageNo=40", "NXP Semiconductors")</f>
        <v>NXP Semiconductors</v>
      </c>
      <c r="C15144" s="6">
        <v>1000</v>
      </c>
      <c r="D15144" s="7">
        <v>0.28000000000000003</v>
      </c>
    </row>
    <row r="15145" spans="1:4" x14ac:dyDescent="0.25">
      <c r="A15145" t="str">
        <f>HYPERLINK("https://www.773grp.com/globalSearch/BZX884-C13315/page-1", "BZX884-C13315")</f>
        <v>BZX884-C13315</v>
      </c>
      <c r="B15145" s="3" t="str">
        <f>HYPERLINK("https://www.773grp.com/manufacturer/nxp-semiconductor?pageNo=41", "NXP Semiconductors")</f>
        <v>NXP Semiconductors</v>
      </c>
      <c r="C15145" s="6">
        <v>20000</v>
      </c>
      <c r="D15145" s="7">
        <v>0.28000000000000003</v>
      </c>
    </row>
    <row r="15146" spans="1:4" x14ac:dyDescent="0.25">
      <c r="A15146" t="str">
        <f>HYPERLINK("https://www.773grp.com/globalSearch/BZX884-C15315/page-1", "BZX884-C15315")</f>
        <v>BZX884-C15315</v>
      </c>
      <c r="B15146" s="3" t="str">
        <f>HYPERLINK("https://www.773grp.com/manufacturer/nxp-semiconductor?pageNo=42", "NXP Semiconductors")</f>
        <v>NXP Semiconductors</v>
      </c>
      <c r="C15146" s="6">
        <v>10000</v>
      </c>
      <c r="D15146" s="7">
        <v>0.28000000000000003</v>
      </c>
    </row>
    <row r="15147" spans="1:4" x14ac:dyDescent="0.25">
      <c r="A15147" t="str">
        <f>HYPERLINK("https://www.773grp.com/globalSearch/BZX884-C16315/page-1", "BZX884-C16315")</f>
        <v>BZX884-C16315</v>
      </c>
      <c r="B15147" s="3" t="str">
        <f>HYPERLINK("https://www.773grp.com/manufacturer/nxp-semiconductor?pageNo=43", "NXP Semiconductors")</f>
        <v>NXP Semiconductors</v>
      </c>
      <c r="C15147" s="6">
        <v>9900</v>
      </c>
      <c r="D15147" s="7">
        <v>0.28000000000000003</v>
      </c>
    </row>
    <row r="15148" spans="1:4" x14ac:dyDescent="0.25">
      <c r="A15148" t="str">
        <f>HYPERLINK("https://www.773grp.com/globalSearch/BZX884-C18315/page-1", "BZX884-C18315")</f>
        <v>BZX884-C18315</v>
      </c>
      <c r="B15148" s="3" t="str">
        <f>HYPERLINK("https://www.773grp.com/manufacturer/nxp-semiconductor?pageNo=44", "NXP Semiconductors")</f>
        <v>NXP Semiconductors</v>
      </c>
      <c r="C15148" s="6">
        <v>40000</v>
      </c>
      <c r="D15148" s="7">
        <v>0.28000000000000003</v>
      </c>
    </row>
    <row r="15149" spans="1:4" x14ac:dyDescent="0.25">
      <c r="A15149" t="str">
        <f>HYPERLINK("https://www.773grp.com/globalSearch/BZX884-C20315/page-1", "BZX884-C20315")</f>
        <v>BZX884-C20315</v>
      </c>
      <c r="B15149" s="3" t="str">
        <f>HYPERLINK("https://www.773grp.com/manufacturer/nxp-semiconductor?pageNo=45", "NXP Semiconductors")</f>
        <v>NXP Semiconductors</v>
      </c>
      <c r="C15149" s="6">
        <v>10000</v>
      </c>
      <c r="D15149" s="7">
        <v>0.28000000000000003</v>
      </c>
    </row>
    <row r="15150" spans="1:4" x14ac:dyDescent="0.25">
      <c r="A15150" t="str">
        <f>HYPERLINK("https://www.773grp.com/globalSearch/BZX884-C22315/page-1", "BZX884-C22315")</f>
        <v>BZX884-C22315</v>
      </c>
      <c r="B15150" s="3" t="str">
        <f>HYPERLINK("https://www.773grp.com/manufacturer/nxp-semiconductor?pageNo=46", "NXP Semiconductors")</f>
        <v>NXP Semiconductors</v>
      </c>
      <c r="C15150" s="6">
        <v>10000</v>
      </c>
      <c r="D15150" s="7">
        <v>0.28000000000000003</v>
      </c>
    </row>
    <row r="15151" spans="1:4" x14ac:dyDescent="0.25">
      <c r="A15151" t="str">
        <f>HYPERLINK("https://www.773grp.com/globalSearch/BZX884-C24315/page-1", "BZX884-C24315")</f>
        <v>BZX884-C24315</v>
      </c>
      <c r="B15151" s="3" t="str">
        <f>HYPERLINK("https://www.773grp.com/manufacturer/nxp-semiconductor?pageNo=47", "NXP Semiconductors")</f>
        <v>NXP Semiconductors</v>
      </c>
      <c r="C15151" s="6">
        <v>41000</v>
      </c>
      <c r="D15151" s="7">
        <v>0.28000000000000003</v>
      </c>
    </row>
    <row r="15152" spans="1:4" x14ac:dyDescent="0.25">
      <c r="A15152" t="str">
        <f>HYPERLINK("https://www.773grp.com/globalSearch/BZX884-C27315/page-1", "BZX884-C27315")</f>
        <v>BZX884-C27315</v>
      </c>
      <c r="B15152" s="3" t="str">
        <f>HYPERLINK("https://www.773grp.com/manufacturer/nxp-semiconductor?pageNo=48", "NXP Semiconductors")</f>
        <v>NXP Semiconductors</v>
      </c>
      <c r="C15152" s="6">
        <v>10000</v>
      </c>
      <c r="D15152" s="7">
        <v>0.28000000000000003</v>
      </c>
    </row>
    <row r="15153" spans="1:4" x14ac:dyDescent="0.25">
      <c r="A15153" t="str">
        <f>HYPERLINK("https://www.773grp.com/globalSearch/BZX884-C33315/page-1", "BZX884-C33315")</f>
        <v>BZX884-C33315</v>
      </c>
      <c r="B15153" s="3" t="str">
        <f>HYPERLINK("https://www.773grp.com/manufacturer/nxp-semiconductor?pageNo=1", "NXP Semiconductors")</f>
        <v>NXP Semiconductors</v>
      </c>
      <c r="C15153" s="6">
        <v>19959</v>
      </c>
      <c r="D15153" s="7">
        <v>0.28000000000000003</v>
      </c>
    </row>
    <row r="15154" spans="1:4" x14ac:dyDescent="0.25">
      <c r="A15154" t="str">
        <f>HYPERLINK("https://www.773grp.com/globalSearch/BZX884-C36315/page-1", "BZX884-C36315")</f>
        <v>BZX884-C36315</v>
      </c>
      <c r="B15154" s="3" t="str">
        <f>HYPERLINK("https://www.773grp.com/manufacturer/nxp-semiconductor?pageNo=2", "NXP Semiconductors")</f>
        <v>NXP Semiconductors</v>
      </c>
      <c r="C15154" s="6">
        <v>31900</v>
      </c>
      <c r="D15154" s="7">
        <v>0.28000000000000003</v>
      </c>
    </row>
    <row r="15155" spans="1:4" x14ac:dyDescent="0.25">
      <c r="A15155" t="str">
        <f>HYPERLINK("https://www.773grp.com/globalSearch/BZX884-C39315/page-1", "BZX884-C39315")</f>
        <v>BZX884-C39315</v>
      </c>
      <c r="B15155" s="3" t="str">
        <f>HYPERLINK("https://www.773grp.com/manufacturer/nxp-semiconductor?pageNo=3", "NXP Semiconductors")</f>
        <v>NXP Semiconductors</v>
      </c>
      <c r="C15155" s="6">
        <v>10000</v>
      </c>
      <c r="D15155" s="7">
        <v>0.28000000000000003</v>
      </c>
    </row>
    <row r="15156" spans="1:4" x14ac:dyDescent="0.25">
      <c r="A15156" t="str">
        <f>HYPERLINK("https://www.773grp.com/globalSearch/BZX884-C3V9315/page-1", "BZX884-C3V9315")</f>
        <v>BZX884-C3V9315</v>
      </c>
      <c r="B15156" s="3" t="str">
        <f>HYPERLINK("https://www.773grp.com/manufacturer/nxp-semiconductor?pageNo=4", "NXP Semiconductors")</f>
        <v>NXP Semiconductors</v>
      </c>
      <c r="C15156" s="6">
        <v>300000</v>
      </c>
      <c r="D15156" s="7">
        <v>0.28000000000000003</v>
      </c>
    </row>
    <row r="15157" spans="1:4" x14ac:dyDescent="0.25">
      <c r="A15157" t="str">
        <f>HYPERLINK("https://www.773grp.com/globalSearch/BZX884-C43315/page-1", "BZX884-C43315")</f>
        <v>BZX884-C43315</v>
      </c>
      <c r="B15157" s="3" t="str">
        <f>HYPERLINK("https://www.773grp.com/manufacturer/nxp-semiconductor?pageNo=5", "NXP Semiconductors")</f>
        <v>NXP Semiconductors</v>
      </c>
      <c r="C15157" s="6">
        <v>30000</v>
      </c>
      <c r="D15157" s="7">
        <v>0.28000000000000003</v>
      </c>
    </row>
    <row r="15158" spans="1:4" x14ac:dyDescent="0.25">
      <c r="A15158" t="str">
        <f>HYPERLINK("https://www.773grp.com/globalSearch/BZX884-C47315/page-1", "BZX884-C47315")</f>
        <v>BZX884-C47315</v>
      </c>
      <c r="B15158" s="3" t="str">
        <f>HYPERLINK("https://www.773grp.com/manufacturer/nxp-semiconductor?pageNo=6", "NXP Semiconductors")</f>
        <v>NXP Semiconductors</v>
      </c>
      <c r="C15158" s="6">
        <v>10000</v>
      </c>
      <c r="D15158" s="7">
        <v>0.28000000000000003</v>
      </c>
    </row>
    <row r="15159" spans="1:4" x14ac:dyDescent="0.25">
      <c r="A15159" t="str">
        <f>HYPERLINK("https://www.773grp.com/globalSearch/BZX884-C4V7315/page-1", "BZX884-C4V7315")</f>
        <v>BZX884-C4V7315</v>
      </c>
      <c r="B15159" s="3" t="str">
        <f>HYPERLINK("https://www.773grp.com/manufacturer/nxp-semiconductor?pageNo=7", "NXP Semiconductors")</f>
        <v>NXP Semiconductors</v>
      </c>
      <c r="C15159" s="6">
        <v>8835</v>
      </c>
      <c r="D15159" s="7">
        <v>0.28000000000000003</v>
      </c>
    </row>
    <row r="15160" spans="1:4" x14ac:dyDescent="0.25">
      <c r="A15160" t="str">
        <f>HYPERLINK("https://www.773grp.com/globalSearch/BZX884-C51315/page-1", "BZX884-C51315")</f>
        <v>BZX884-C51315</v>
      </c>
      <c r="B15160" s="3" t="str">
        <f>HYPERLINK("https://www.773grp.com/manufacturer/nxp-semiconductor?pageNo=8", "NXP Semiconductors")</f>
        <v>NXP Semiconductors</v>
      </c>
      <c r="C15160" s="6">
        <v>10000</v>
      </c>
      <c r="D15160" s="7">
        <v>0.28000000000000003</v>
      </c>
    </row>
    <row r="15161" spans="1:4" x14ac:dyDescent="0.25">
      <c r="A15161" t="str">
        <f>HYPERLINK("https://www.773grp.com/globalSearch/BZX884-C56315/page-1", "BZX884-C56315")</f>
        <v>BZX884-C56315</v>
      </c>
      <c r="B15161" s="3" t="str">
        <f>HYPERLINK("https://www.773grp.com/manufacturer/nxp-semiconductor?pageNo=9", "NXP Semiconductors")</f>
        <v>NXP Semiconductors</v>
      </c>
      <c r="C15161" s="6">
        <v>10000</v>
      </c>
      <c r="D15161" s="7">
        <v>0.28000000000000003</v>
      </c>
    </row>
    <row r="15162" spans="1:4" x14ac:dyDescent="0.25">
      <c r="A15162" t="str">
        <f>HYPERLINK("https://www.773grp.com/globalSearch/BZX884-C5V1315/page-1", "BZX884-C5V1315")</f>
        <v>BZX884-C5V1315</v>
      </c>
      <c r="B15162" s="3" t="str">
        <f>HYPERLINK("https://www.773grp.com/manufacturer/nxp-semiconductor?pageNo=10", "NXP Semiconductors")</f>
        <v>NXP Semiconductors</v>
      </c>
      <c r="C15162" s="6">
        <v>20000</v>
      </c>
      <c r="D15162" s="7">
        <v>0.28000000000000003</v>
      </c>
    </row>
    <row r="15163" spans="1:4" x14ac:dyDescent="0.25">
      <c r="A15163" t="str">
        <f>HYPERLINK("https://www.773grp.com/globalSearch/BZX884-C5V6315/page-1", "BZX884-C5V6315")</f>
        <v>BZX884-C5V6315</v>
      </c>
      <c r="B15163" s="3" t="str">
        <f>HYPERLINK("https://www.773grp.com/manufacturer/nxp-semiconductor?pageNo=11", "NXP Semiconductors")</f>
        <v>NXP Semiconductors</v>
      </c>
      <c r="C15163" s="6">
        <v>29724</v>
      </c>
      <c r="D15163" s="7">
        <v>0.28000000000000003</v>
      </c>
    </row>
    <row r="15164" spans="1:4" x14ac:dyDescent="0.25">
      <c r="A15164" t="str">
        <f>HYPERLINK("https://www.773grp.com/globalSearch/BZX884-C68315/page-1", "BZX884-C68315")</f>
        <v>BZX884-C68315</v>
      </c>
      <c r="B15164" s="3" t="str">
        <f>HYPERLINK("https://www.773grp.com/manufacturer/nxp-semiconductor?pageNo=12", "NXP Semiconductors")</f>
        <v>NXP Semiconductors</v>
      </c>
      <c r="C15164" s="6">
        <v>8001</v>
      </c>
      <c r="D15164" s="7">
        <v>0.28000000000000003</v>
      </c>
    </row>
    <row r="15165" spans="1:4" x14ac:dyDescent="0.25">
      <c r="A15165" t="str">
        <f>HYPERLINK("https://www.773grp.com/globalSearch/BZX884-C6V2315/page-1", "BZX884-C6V2315")</f>
        <v>BZX884-C6V2315</v>
      </c>
      <c r="B15165" s="3" t="str">
        <f>HYPERLINK("https://www.773grp.com/manufacturer/nxp-semiconductor?pageNo=13", "NXP Semiconductors")</f>
        <v>NXP Semiconductors</v>
      </c>
      <c r="C15165" s="6">
        <v>8548</v>
      </c>
      <c r="D15165" s="7">
        <v>0.28000000000000003</v>
      </c>
    </row>
    <row r="15166" spans="1:4" x14ac:dyDescent="0.25">
      <c r="A15166" t="str">
        <f>HYPERLINK("https://www.773grp.com/globalSearch/BZX884-C75315/page-1", "BZX884-C75315")</f>
        <v>BZX884-C75315</v>
      </c>
      <c r="B15166" s="3" t="str">
        <f>HYPERLINK("https://www.773grp.com/manufacturer/nxp-semiconductor?pageNo=14", "NXP Semiconductors")</f>
        <v>NXP Semiconductors</v>
      </c>
      <c r="C15166" s="6">
        <v>30000</v>
      </c>
      <c r="D15166" s="7">
        <v>0.28000000000000003</v>
      </c>
    </row>
    <row r="15167" spans="1:4" x14ac:dyDescent="0.25">
      <c r="A15167" t="str">
        <f>HYPERLINK("https://www.773grp.com/globalSearch/BZX884-C7V5315/page-1", "BZX884-C7V5315")</f>
        <v>BZX884-C7V5315</v>
      </c>
      <c r="B15167" s="3" t="str">
        <f>HYPERLINK("https://www.773grp.com/manufacturer/nxp-semiconductor?pageNo=15", "NXP Semiconductors")</f>
        <v>NXP Semiconductors</v>
      </c>
      <c r="C15167" s="6">
        <v>10000</v>
      </c>
      <c r="D15167" s="7">
        <v>0.28000000000000003</v>
      </c>
    </row>
    <row r="15168" spans="1:4" x14ac:dyDescent="0.25">
      <c r="A15168" t="str">
        <f>HYPERLINK("https://www.773grp.com/globalSearch/BZX884-C8V2315/page-1", "BZX884-C8V2315")</f>
        <v>BZX884-C8V2315</v>
      </c>
      <c r="B15168" s="3" t="str">
        <f>HYPERLINK("https://www.773grp.com/manufacturer/nxp-semiconductor?pageNo=16", "NXP Semiconductors")</f>
        <v>NXP Semiconductors</v>
      </c>
      <c r="C15168" s="6">
        <v>10000</v>
      </c>
      <c r="D15168" s="7">
        <v>0.28000000000000003</v>
      </c>
    </row>
    <row r="15169" spans="1:4" x14ac:dyDescent="0.25">
      <c r="A15169" t="str">
        <f>HYPERLINK("https://www.773grp.com/globalSearch/BZX884-C9V1315/page-1", "BZX884-C9V1315")</f>
        <v>BZX884-C9V1315</v>
      </c>
      <c r="B15169" s="3" t="str">
        <f>HYPERLINK("https://www.773grp.com/manufacturer/nxp-semiconductor?pageNo=17", "NXP Semiconductors")</f>
        <v>NXP Semiconductors</v>
      </c>
      <c r="C15169" s="6">
        <v>10000</v>
      </c>
      <c r="D15169" s="7">
        <v>0.28000000000000003</v>
      </c>
    </row>
    <row r="15170" spans="1:4" x14ac:dyDescent="0.25">
      <c r="A15170" t="str">
        <f>HYPERLINK("https://www.773grp.com/globalSearch/IP4085CX4-LF-P135/page-1", "IP4085CX4-LF-P135")</f>
        <v>IP4085CX4-LF-P135</v>
      </c>
      <c r="B15170" s="3" t="str">
        <f>HYPERLINK("https://www.773grp.com/manufacturer/nxp-semiconductor?pageNo=18", "NXP Semiconductors")</f>
        <v>NXP Semiconductors</v>
      </c>
      <c r="C15170" s="6">
        <v>17963</v>
      </c>
      <c r="D15170" s="7">
        <v>0.28000000000000003</v>
      </c>
    </row>
    <row r="15171" spans="1:4" x14ac:dyDescent="0.25">
      <c r="A15171" t="str">
        <f>HYPERLINK("https://www.773grp.com/globalSearch/IP4303CX4-P135/page-1", "IP4303CX4-P135")</f>
        <v>IP4303CX4-P135</v>
      </c>
      <c r="B15171" s="3" t="str">
        <f>HYPERLINK("https://www.773grp.com/manufacturer/nxp-semiconductor?pageNo=19", "NXP Semiconductors")</f>
        <v>NXP Semiconductors</v>
      </c>
      <c r="C15171" s="6">
        <v>17808</v>
      </c>
      <c r="D15171" s="7">
        <v>0.28000000000000003</v>
      </c>
    </row>
    <row r="15172" spans="1:4" x14ac:dyDescent="0.25">
      <c r="A15172" t="str">
        <f>HYPERLINK("https://www.773grp.com/globalSearch/MMBZ15VAL215/page-1", "MMBZ15VAL215")</f>
        <v>MMBZ15VAL215</v>
      </c>
      <c r="B15172" s="3" t="str">
        <f>HYPERLINK("https://www.773grp.com/manufacturer/nxp-semiconductor?pageNo=20", "NXP Semiconductors")</f>
        <v>NXP Semiconductors</v>
      </c>
      <c r="C15172" s="6">
        <v>27000</v>
      </c>
      <c r="D15172" s="7">
        <v>0.28000000000000003</v>
      </c>
    </row>
    <row r="15173" spans="1:4" x14ac:dyDescent="0.25">
      <c r="A15173" t="str">
        <f>HYPERLINK("https://www.773grp.com/globalSearch/MMBZ15VDL215/page-1", "MMBZ15VDL215")</f>
        <v>MMBZ15VDL215</v>
      </c>
      <c r="B15173" s="3" t="str">
        <f>HYPERLINK("https://www.773grp.com/manufacturer/nxp-semiconductor?pageNo=21", "NXP Semiconductors")</f>
        <v>NXP Semiconductors</v>
      </c>
      <c r="C15173" s="6">
        <v>29974</v>
      </c>
      <c r="D15173" s="7">
        <v>0.28000000000000003</v>
      </c>
    </row>
    <row r="15174" spans="1:4" x14ac:dyDescent="0.25">
      <c r="A15174" t="str">
        <f>HYPERLINK("https://www.773grp.com/globalSearch/NX3008CBKV115/page-1", "NX3008CBKV115")</f>
        <v>NX3008CBKV115</v>
      </c>
      <c r="B15174" s="3" t="str">
        <f>HYPERLINK("https://www.773grp.com/manufacturer/nxp-semiconductor?pageNo=22", "NXP Semiconductors")</f>
        <v>NXP Semiconductors</v>
      </c>
      <c r="C15174" s="6">
        <v>8000</v>
      </c>
      <c r="D15174" s="7">
        <v>0.28000000000000003</v>
      </c>
    </row>
    <row r="15175" spans="1:4" x14ac:dyDescent="0.25">
      <c r="A15175" t="str">
        <f>HYPERLINK("https://www.773grp.com/globalSearch/NX3L1G66GW125/page-1", "NX3L1G66GW125")</f>
        <v>NX3L1G66GW125</v>
      </c>
      <c r="B15175" s="3" t="str">
        <f>HYPERLINK("https://www.773grp.com/manufacturer/nxp-semiconductor?pageNo=23", "NXP Semiconductors")</f>
        <v>NXP Semiconductors</v>
      </c>
      <c r="C15175" s="6">
        <v>300</v>
      </c>
      <c r="D15175" s="7">
        <v>0.28000000000000003</v>
      </c>
    </row>
    <row r="15176" spans="1:4" x14ac:dyDescent="0.25">
      <c r="A15176" t="str">
        <f>HYPERLINK("https://www.773grp.com/globalSearch/NX3V1G66GW125/page-1", "NX3V1G66GW125")</f>
        <v>NX3V1G66GW125</v>
      </c>
      <c r="B15176" s="3" t="str">
        <f>HYPERLINK("https://www.773grp.com/manufacturer/nxp-semiconductor?pageNo=24", "NXP Semiconductors")</f>
        <v>NXP Semiconductors</v>
      </c>
      <c r="C15176" s="6">
        <v>3090</v>
      </c>
      <c r="D15176" s="7">
        <v>0.28000000000000003</v>
      </c>
    </row>
    <row r="15177" spans="1:4" x14ac:dyDescent="0.25">
      <c r="A15177" t="str">
        <f>HYPERLINK("https://www.773grp.com/globalSearch/PBRN113ZT215/page-1", "PBRN113ZT215")</f>
        <v>PBRN113ZT215</v>
      </c>
      <c r="B15177" s="3" t="str">
        <f>HYPERLINK("https://www.773grp.com/manufacturer/nxp-semiconductor?pageNo=25", "NXP Semiconductors")</f>
        <v>NXP Semiconductors</v>
      </c>
      <c r="C15177" s="6">
        <v>19863</v>
      </c>
      <c r="D15177" s="7">
        <v>0.28000000000000003</v>
      </c>
    </row>
    <row r="15178" spans="1:4" x14ac:dyDescent="0.25">
      <c r="A15178" t="str">
        <f>HYPERLINK("https://www.773grp.com/globalSearch/PBRN123ET215/page-1", "PBRN123ET215")</f>
        <v>PBRN123ET215</v>
      </c>
      <c r="B15178" s="3" t="str">
        <f>HYPERLINK("https://www.773grp.com/manufacturer/nxp-semiconductor?pageNo=26", "NXP Semiconductors")</f>
        <v>NXP Semiconductors</v>
      </c>
      <c r="C15178" s="6">
        <v>238</v>
      </c>
      <c r="D15178" s="7">
        <v>0.28000000000000003</v>
      </c>
    </row>
    <row r="15179" spans="1:4" x14ac:dyDescent="0.25">
      <c r="A15179" t="str">
        <f>HYPERLINK("https://www.773grp.com/globalSearch/PBRP113ET215/page-1", "PBRP113ET215")</f>
        <v>PBRP113ET215</v>
      </c>
      <c r="B15179" s="3" t="str">
        <f>HYPERLINK("https://www.773grp.com/manufacturer/nxp-semiconductor?pageNo=27", "NXP Semiconductors")</f>
        <v>NXP Semiconductors</v>
      </c>
      <c r="C15179" s="6">
        <v>6000</v>
      </c>
      <c r="D15179" s="7">
        <v>0.28000000000000003</v>
      </c>
    </row>
    <row r="15180" spans="1:4" x14ac:dyDescent="0.25">
      <c r="A15180" t="str">
        <f>HYPERLINK("https://www.773grp.com/globalSearch/PBRP123ET215/page-1", "PBRP123ET215")</f>
        <v>PBRP123ET215</v>
      </c>
      <c r="B15180" s="3" t="str">
        <f>HYPERLINK("https://www.773grp.com/manufacturer/nxp-semiconductor?pageNo=28", "NXP Semiconductors")</f>
        <v>NXP Semiconductors</v>
      </c>
      <c r="C15180" s="6">
        <v>3000</v>
      </c>
      <c r="D15180" s="7">
        <v>0.28000000000000003</v>
      </c>
    </row>
    <row r="15181" spans="1:4" x14ac:dyDescent="0.25">
      <c r="A15181" t="str">
        <f>HYPERLINK("https://www.773grp.com/globalSearch/PDTA113EM315/page-1", "PDTA113EM315")</f>
        <v>PDTA113EM315</v>
      </c>
      <c r="B15181" s="3" t="str">
        <f>HYPERLINK("https://www.773grp.com/manufacturer/nxp-semiconductor?pageNo=29", "NXP Semiconductors")</f>
        <v>NXP Semiconductors</v>
      </c>
      <c r="C15181" s="6">
        <v>20000</v>
      </c>
      <c r="D15181" s="7">
        <v>0.28000000000000003</v>
      </c>
    </row>
    <row r="15182" spans="1:4" x14ac:dyDescent="0.25">
      <c r="A15182" t="str">
        <f>HYPERLINK("https://www.773grp.com/globalSearch/PDTA114YM315/page-1", "PDTA114YM315")</f>
        <v>PDTA114YM315</v>
      </c>
      <c r="B15182" s="3" t="str">
        <f>HYPERLINK("https://www.773grp.com/manufacturer/nxp-semiconductor?pageNo=30", "NXP Semiconductors")</f>
        <v>NXP Semiconductors</v>
      </c>
      <c r="C15182" s="6">
        <v>17338</v>
      </c>
      <c r="D15182" s="7">
        <v>0.28000000000000003</v>
      </c>
    </row>
    <row r="15183" spans="1:4" x14ac:dyDescent="0.25">
      <c r="A15183" t="str">
        <f>HYPERLINK("https://www.773grp.com/globalSearch/PDTA115EM315/page-1", "PDTA115EM315")</f>
        <v>PDTA115EM315</v>
      </c>
      <c r="B15183" s="3" t="str">
        <f>HYPERLINK("https://www.773grp.com/manufacturer/nxp-semiconductor?pageNo=31", "NXP Semiconductors")</f>
        <v>NXP Semiconductors</v>
      </c>
      <c r="C15183" s="6">
        <v>20000</v>
      </c>
      <c r="D15183" s="7">
        <v>0.28000000000000003</v>
      </c>
    </row>
    <row r="15184" spans="1:4" x14ac:dyDescent="0.25">
      <c r="A15184" t="str">
        <f>HYPERLINK("https://www.773grp.com/globalSearch/PDTA115TM315/page-1", "PDTA115TM315")</f>
        <v>PDTA115TM315</v>
      </c>
      <c r="B15184" s="3" t="str">
        <f>HYPERLINK("https://www.773grp.com/manufacturer/nxp-semiconductor?pageNo=32", "NXP Semiconductors")</f>
        <v>NXP Semiconductors</v>
      </c>
      <c r="C15184" s="6">
        <v>50000</v>
      </c>
      <c r="D15184" s="7">
        <v>0.28000000000000003</v>
      </c>
    </row>
    <row r="15185" spans="1:4" x14ac:dyDescent="0.25">
      <c r="A15185" t="str">
        <f>HYPERLINK("https://www.773grp.com/globalSearch/PDTA115TMB315/page-1", "PDTA115TMB315")</f>
        <v>PDTA115TMB315</v>
      </c>
      <c r="B15185" s="3" t="str">
        <f>HYPERLINK("https://www.773grp.com/manufacturer/nxp-semiconductor?pageNo=33", "NXP Semiconductors")</f>
        <v>NXP Semiconductors</v>
      </c>
      <c r="C15185" s="6">
        <v>9975</v>
      </c>
      <c r="D15185" s="7">
        <v>0.28000000000000003</v>
      </c>
    </row>
    <row r="15186" spans="1:4" x14ac:dyDescent="0.25">
      <c r="A15186" t="str">
        <f>HYPERLINK("https://www.773grp.com/globalSearch/PDTA123EM315/page-1", "PDTA123EM315")</f>
        <v>PDTA123EM315</v>
      </c>
      <c r="B15186" s="3" t="str">
        <f>HYPERLINK("https://www.773grp.com/manufacturer/nxp-semiconductor?pageNo=34", "NXP Semiconductors")</f>
        <v>NXP Semiconductors</v>
      </c>
      <c r="C15186" s="6">
        <v>29976</v>
      </c>
      <c r="D15186" s="7">
        <v>0.28000000000000003</v>
      </c>
    </row>
    <row r="15187" spans="1:4" x14ac:dyDescent="0.25">
      <c r="A15187" t="str">
        <f>HYPERLINK("https://www.773grp.com/globalSearch/PDTA123JM315/page-1", "PDTA123JM315")</f>
        <v>PDTA123JM315</v>
      </c>
      <c r="B15187" s="3" t="str">
        <f>HYPERLINK("https://www.773grp.com/manufacturer/nxp-semiconductor?pageNo=35", "NXP Semiconductors")</f>
        <v>NXP Semiconductors</v>
      </c>
      <c r="C15187" s="6">
        <v>11000</v>
      </c>
      <c r="D15187" s="7">
        <v>0.28000000000000003</v>
      </c>
    </row>
    <row r="15188" spans="1:4" x14ac:dyDescent="0.25">
      <c r="A15188" t="str">
        <f>HYPERLINK("https://www.773grp.com/globalSearch/PDTA123TM315/page-1", "PDTA123TM315")</f>
        <v>PDTA123TM315</v>
      </c>
      <c r="B15188" s="3" t="str">
        <f>HYPERLINK("https://www.773grp.com/manufacturer/nxp-semiconductor?pageNo=36", "NXP Semiconductors")</f>
        <v>NXP Semiconductors</v>
      </c>
      <c r="C15188" s="6">
        <v>20000</v>
      </c>
      <c r="D15188" s="7">
        <v>0.28000000000000003</v>
      </c>
    </row>
    <row r="15189" spans="1:4" x14ac:dyDescent="0.25">
      <c r="A15189" t="str">
        <f>HYPERLINK("https://www.773grp.com/globalSearch/PDTA123YM315/page-1", "PDTA123YM315")</f>
        <v>PDTA123YM315</v>
      </c>
      <c r="B15189" s="3" t="str">
        <f>HYPERLINK("https://www.773grp.com/manufacturer/nxp-semiconductor?pageNo=37", "NXP Semiconductors")</f>
        <v>NXP Semiconductors</v>
      </c>
      <c r="C15189" s="6">
        <v>20390</v>
      </c>
      <c r="D15189" s="7">
        <v>0.28000000000000003</v>
      </c>
    </row>
    <row r="15190" spans="1:4" x14ac:dyDescent="0.25">
      <c r="A15190" t="str">
        <f>HYPERLINK("https://www.773grp.com/globalSearch/PDTA124EM315/page-1", "PDTA124EM315")</f>
        <v>PDTA124EM315</v>
      </c>
      <c r="B15190" s="3" t="str">
        <f>HYPERLINK("https://www.773grp.com/manufacturer/nxp-semiconductor?pageNo=38", "NXP Semiconductors")</f>
        <v>NXP Semiconductors</v>
      </c>
      <c r="C15190" s="6">
        <v>20000</v>
      </c>
      <c r="D15190" s="7">
        <v>0.28000000000000003</v>
      </c>
    </row>
    <row r="15191" spans="1:4" x14ac:dyDescent="0.25">
      <c r="A15191" t="str">
        <f>HYPERLINK("https://www.773grp.com/globalSearch/PDTA124TM315/page-1", "PDTA124TM315")</f>
        <v>PDTA124TM315</v>
      </c>
      <c r="B15191" s="3" t="str">
        <f>HYPERLINK("https://www.773grp.com/manufacturer/nxp-semiconductor?pageNo=39", "NXP Semiconductors")</f>
        <v>NXP Semiconductors</v>
      </c>
      <c r="C15191" s="6">
        <v>20000</v>
      </c>
      <c r="D15191" s="7">
        <v>0.28000000000000003</v>
      </c>
    </row>
    <row r="15192" spans="1:4" x14ac:dyDescent="0.25">
      <c r="A15192" t="str">
        <f>HYPERLINK("https://www.773grp.com/globalSearch/PDTA124TMB315/page-1", "PDTA124TMB315")</f>
        <v>PDTA124TMB315</v>
      </c>
      <c r="B15192" s="3" t="str">
        <f>HYPERLINK("https://www.773grp.com/manufacturer/nxp-semiconductor?pageNo=40", "NXP Semiconductors")</f>
        <v>NXP Semiconductors</v>
      </c>
      <c r="C15192" s="6">
        <v>8037</v>
      </c>
      <c r="D15192" s="7">
        <v>0.28000000000000003</v>
      </c>
    </row>
    <row r="15193" spans="1:4" x14ac:dyDescent="0.25">
      <c r="A15193" t="str">
        <f>HYPERLINK("https://www.773grp.com/globalSearch/PDTA124XM315/page-1", "PDTA124XM315")</f>
        <v>PDTA124XM315</v>
      </c>
      <c r="B15193" s="3" t="str">
        <f>HYPERLINK("https://www.773grp.com/manufacturer/nxp-semiconductor?pageNo=41", "NXP Semiconductors")</f>
        <v>NXP Semiconductors</v>
      </c>
      <c r="C15193" s="6">
        <v>10000</v>
      </c>
      <c r="D15193" s="7">
        <v>0.28000000000000003</v>
      </c>
    </row>
    <row r="15194" spans="1:4" x14ac:dyDescent="0.25">
      <c r="A15194" t="str">
        <f>HYPERLINK("https://www.773grp.com/globalSearch/PDTA124XMB315/page-1", "PDTA124XMB315")</f>
        <v>PDTA124XMB315</v>
      </c>
      <c r="B15194" s="3" t="str">
        <f>HYPERLINK("https://www.773grp.com/manufacturer/nxp-semiconductor?pageNo=42", "NXP Semiconductors")</f>
        <v>NXP Semiconductors</v>
      </c>
      <c r="C15194" s="6">
        <v>8990</v>
      </c>
      <c r="D15194" s="7">
        <v>0.28000000000000003</v>
      </c>
    </row>
    <row r="15195" spans="1:4" x14ac:dyDescent="0.25">
      <c r="A15195" t="str">
        <f>HYPERLINK("https://www.773grp.com/globalSearch/PDTA143TM315/page-1", "PDTA143TM315")</f>
        <v>PDTA143TM315</v>
      </c>
      <c r="B15195" s="3" t="str">
        <f>HYPERLINK("https://www.773grp.com/manufacturer/nxp-semiconductor?pageNo=43", "NXP Semiconductors")</f>
        <v>NXP Semiconductors</v>
      </c>
      <c r="C15195" s="6">
        <v>10000</v>
      </c>
      <c r="D15195" s="7">
        <v>0.28000000000000003</v>
      </c>
    </row>
    <row r="15196" spans="1:4" x14ac:dyDescent="0.25">
      <c r="A15196" t="str">
        <f>HYPERLINK("https://www.773grp.com/globalSearch/PDTA143XM315/page-1", "PDTA143XM315")</f>
        <v>PDTA143XM315</v>
      </c>
      <c r="B15196" s="3" t="str">
        <f>HYPERLINK("https://www.773grp.com/manufacturer/nxp-semiconductor?pageNo=44", "NXP Semiconductors")</f>
        <v>NXP Semiconductors</v>
      </c>
      <c r="C15196" s="6">
        <v>20000</v>
      </c>
      <c r="D15196" s="7">
        <v>0.28000000000000003</v>
      </c>
    </row>
    <row r="15197" spans="1:4" x14ac:dyDescent="0.25">
      <c r="A15197" t="str">
        <f>HYPERLINK("https://www.773grp.com/globalSearch/PDTA144EM315/page-1", "PDTA144EM315")</f>
        <v>PDTA144EM315</v>
      </c>
      <c r="B15197" s="3" t="str">
        <f>HYPERLINK("https://www.773grp.com/manufacturer/nxp-semiconductor?pageNo=45", "NXP Semiconductors")</f>
        <v>NXP Semiconductors</v>
      </c>
      <c r="C15197" s="6">
        <v>20000</v>
      </c>
      <c r="D15197" s="7">
        <v>0.28000000000000003</v>
      </c>
    </row>
    <row r="15198" spans="1:4" x14ac:dyDescent="0.25">
      <c r="A15198" t="str">
        <f>HYPERLINK("https://www.773grp.com/globalSearch/PDTA144TM315/page-1", "PDTA144TM315")</f>
        <v>PDTA144TM315</v>
      </c>
      <c r="B15198" s="3" t="str">
        <f>HYPERLINK("https://www.773grp.com/manufacturer/nxp-semiconductor?pageNo=46", "NXP Semiconductors")</f>
        <v>NXP Semiconductors</v>
      </c>
      <c r="C15198" s="6">
        <v>20000</v>
      </c>
      <c r="D15198" s="7">
        <v>0.28000000000000003</v>
      </c>
    </row>
    <row r="15199" spans="1:4" x14ac:dyDescent="0.25">
      <c r="A15199" t="str">
        <f>HYPERLINK("https://www.773grp.com/globalSearch/PDTA144VM315/page-1", "PDTA144VM315")</f>
        <v>PDTA144VM315</v>
      </c>
      <c r="B15199" s="3" t="str">
        <f>HYPERLINK("https://www.773grp.com/manufacturer/nxp-semiconductor?pageNo=47", "NXP Semiconductors")</f>
        <v>NXP Semiconductors</v>
      </c>
      <c r="C15199" s="6">
        <v>20000</v>
      </c>
      <c r="D15199" s="7">
        <v>0.28000000000000003</v>
      </c>
    </row>
    <row r="15200" spans="1:4" x14ac:dyDescent="0.25">
      <c r="A15200" t="str">
        <f>HYPERLINK("https://www.773grp.com/globalSearch/PDTA144WM315/page-1", "PDTA144WM315")</f>
        <v>PDTA144WM315</v>
      </c>
      <c r="B15200" s="3" t="str">
        <f>HYPERLINK("https://www.773grp.com/manufacturer/nxp-semiconductor?pageNo=48", "NXP Semiconductors")</f>
        <v>NXP Semiconductors</v>
      </c>
      <c r="C15200" s="6">
        <v>20000</v>
      </c>
      <c r="D15200" s="7">
        <v>0.28000000000000003</v>
      </c>
    </row>
    <row r="15201" spans="1:4" x14ac:dyDescent="0.25">
      <c r="A15201" t="str">
        <f>HYPERLINK("https://www.773grp.com/globalSearch/PDTA144WMB315/page-1", "PDTA144WMB315")</f>
        <v>PDTA144WMB315</v>
      </c>
      <c r="B15201" s="3" t="str">
        <f>HYPERLINK("https://www.773grp.com/manufacturer/nxp-semiconductor?pageNo=1", "NXP Semiconductors")</f>
        <v>NXP Semiconductors</v>
      </c>
      <c r="C15201" s="6">
        <v>9782</v>
      </c>
      <c r="D15201" s="7">
        <v>0.28000000000000003</v>
      </c>
    </row>
    <row r="15202" spans="1:4" x14ac:dyDescent="0.25">
      <c r="A15202" t="str">
        <f>HYPERLINK("https://www.773grp.com/globalSearch/PDTC115EM315/page-1", "PDTC115EM315")</f>
        <v>PDTC115EM315</v>
      </c>
      <c r="B15202" s="3" t="str">
        <f>HYPERLINK("https://www.773grp.com/manufacturer/nxp-semiconductor?pageNo=2", "NXP Semiconductors")</f>
        <v>NXP Semiconductors</v>
      </c>
      <c r="C15202" s="6">
        <v>19496</v>
      </c>
      <c r="D15202" s="7">
        <v>0.28000000000000003</v>
      </c>
    </row>
    <row r="15203" spans="1:4" x14ac:dyDescent="0.25">
      <c r="A15203" t="str">
        <f>HYPERLINK("https://www.773grp.com/globalSearch/PDTC115TM315/page-1", "PDTC115TM315")</f>
        <v>PDTC115TM315</v>
      </c>
      <c r="B15203" s="3" t="str">
        <f>HYPERLINK("https://www.773grp.com/manufacturer/nxp-semiconductor?pageNo=3", "NXP Semiconductors")</f>
        <v>NXP Semiconductors</v>
      </c>
      <c r="C15203" s="6">
        <v>20000</v>
      </c>
      <c r="D15203" s="7">
        <v>0.28000000000000003</v>
      </c>
    </row>
    <row r="15204" spans="1:4" x14ac:dyDescent="0.25">
      <c r="A15204" t="str">
        <f>HYPERLINK("https://www.773grp.com/globalSearch/PDTC123JM315/page-1", "PDTC123JM315")</f>
        <v>PDTC123JM315</v>
      </c>
      <c r="B15204" s="3" t="str">
        <f>HYPERLINK("https://www.773grp.com/manufacturer/nxp-semiconductor?pageNo=4", "NXP Semiconductors")</f>
        <v>NXP Semiconductors</v>
      </c>
      <c r="C15204" s="6">
        <v>10000</v>
      </c>
      <c r="D15204" s="7">
        <v>0.28000000000000003</v>
      </c>
    </row>
    <row r="15205" spans="1:4" x14ac:dyDescent="0.25">
      <c r="A15205" t="str">
        <f>HYPERLINK("https://www.773grp.com/globalSearch/PDTC123YM315/page-1", "PDTC123YM315")</f>
        <v>PDTC123YM315</v>
      </c>
      <c r="B15205" s="3" t="str">
        <f>HYPERLINK("https://www.773grp.com/manufacturer/nxp-semiconductor?pageNo=5", "NXP Semiconductors")</f>
        <v>NXP Semiconductors</v>
      </c>
      <c r="C15205" s="6">
        <v>20000</v>
      </c>
      <c r="D15205" s="7">
        <v>0.28000000000000003</v>
      </c>
    </row>
    <row r="15206" spans="1:4" x14ac:dyDescent="0.25">
      <c r="A15206" t="str">
        <f>HYPERLINK("https://www.773grp.com/globalSearch/PDTC124EM315/page-1", "PDTC124EM315")</f>
        <v>PDTC124EM315</v>
      </c>
      <c r="B15206" s="3" t="str">
        <f>HYPERLINK("https://www.773grp.com/manufacturer/nxp-semiconductor?pageNo=6", "NXP Semiconductors")</f>
        <v>NXP Semiconductors</v>
      </c>
      <c r="C15206" s="6">
        <v>1151557</v>
      </c>
      <c r="D15206" s="7">
        <v>0.28000000000000003</v>
      </c>
    </row>
    <row r="15207" spans="1:4" x14ac:dyDescent="0.25">
      <c r="A15207" t="str">
        <f>HYPERLINK("https://www.773grp.com/globalSearch/PDTC124TM315/page-1", "PDTC124TM315")</f>
        <v>PDTC124TM315</v>
      </c>
      <c r="B15207" s="3" t="str">
        <f>HYPERLINK("https://www.773grp.com/manufacturer/nxp-semiconductor?pageNo=7", "NXP Semiconductors")</f>
        <v>NXP Semiconductors</v>
      </c>
      <c r="C15207" s="6">
        <v>20000</v>
      </c>
      <c r="D15207" s="7">
        <v>0.28000000000000003</v>
      </c>
    </row>
    <row r="15208" spans="1:4" x14ac:dyDescent="0.25">
      <c r="A15208" t="str">
        <f>HYPERLINK("https://www.773grp.com/globalSearch/PDTC124XM315/page-1", "PDTC124XM315")</f>
        <v>PDTC124XM315</v>
      </c>
      <c r="B15208" s="3" t="str">
        <f>HYPERLINK("https://www.773grp.com/manufacturer/nxp-semiconductor?pageNo=8", "NXP Semiconductors")</f>
        <v>NXP Semiconductors</v>
      </c>
      <c r="C15208" s="6">
        <v>19884</v>
      </c>
      <c r="D15208" s="7">
        <v>0.28000000000000003</v>
      </c>
    </row>
    <row r="15209" spans="1:4" x14ac:dyDescent="0.25">
      <c r="A15209" t="str">
        <f>HYPERLINK("https://www.773grp.com/globalSearch/PDTC143EM315/page-1", "PDTC143EM315")</f>
        <v>PDTC143EM315</v>
      </c>
      <c r="B15209" s="3" t="str">
        <f>HYPERLINK("https://www.773grp.com/manufacturer/nxp-semiconductor?pageNo=9", "NXP Semiconductors")</f>
        <v>NXP Semiconductors</v>
      </c>
      <c r="C15209" s="6">
        <v>31000</v>
      </c>
      <c r="D15209" s="7">
        <v>0.28000000000000003</v>
      </c>
    </row>
    <row r="15210" spans="1:4" x14ac:dyDescent="0.25">
      <c r="A15210" t="str">
        <f>HYPERLINK("https://www.773grp.com/globalSearch/PDTC143TM315/page-1", "PDTC143TM315")</f>
        <v>PDTC143TM315</v>
      </c>
      <c r="B15210" s="3" t="str">
        <f>HYPERLINK("https://www.773grp.com/manufacturer/nxp-semiconductor?pageNo=10", "NXP Semiconductors")</f>
        <v>NXP Semiconductors</v>
      </c>
      <c r="C15210" s="6">
        <v>19800</v>
      </c>
      <c r="D15210" s="7">
        <v>0.28000000000000003</v>
      </c>
    </row>
    <row r="15211" spans="1:4" x14ac:dyDescent="0.25">
      <c r="A15211" t="str">
        <f>HYPERLINK("https://www.773grp.com/globalSearch/PDTC144EM315/page-1", "PDTC144EM315")</f>
        <v>PDTC144EM315</v>
      </c>
      <c r="B15211" s="3" t="str">
        <f>HYPERLINK("https://www.773grp.com/manufacturer/nxp-semiconductor?pageNo=11", "NXP Semiconductors")</f>
        <v>NXP Semiconductors</v>
      </c>
      <c r="C15211" s="6">
        <v>1354</v>
      </c>
      <c r="D15211" s="7">
        <v>0.28000000000000003</v>
      </c>
    </row>
    <row r="15212" spans="1:4" x14ac:dyDescent="0.25">
      <c r="A15212" t="str">
        <f>HYPERLINK("https://www.773grp.com/globalSearch/PDTC144VM315/page-1", "PDTC144VM315")</f>
        <v>PDTC144VM315</v>
      </c>
      <c r="B15212" s="3" t="str">
        <f>HYPERLINK("https://www.773grp.com/manufacturer/nxp-semiconductor?pageNo=12", "NXP Semiconductors")</f>
        <v>NXP Semiconductors</v>
      </c>
      <c r="C15212" s="6">
        <v>20000</v>
      </c>
      <c r="D15212" s="7">
        <v>0.28000000000000003</v>
      </c>
    </row>
    <row r="15213" spans="1:4" x14ac:dyDescent="0.25">
      <c r="A15213" t="str">
        <f>HYPERLINK("https://www.773grp.com/globalSearch/PESD12VS1ULD315/page-1", "PESD12VS1ULD315")</f>
        <v>PESD12VS1ULD315</v>
      </c>
      <c r="B15213" s="3" t="str">
        <f>HYPERLINK("https://www.773grp.com/manufacturer/nxp-semiconductor?pageNo=13", "NXP Semiconductors")</f>
        <v>NXP Semiconductors</v>
      </c>
      <c r="C15213" s="6">
        <v>20000</v>
      </c>
      <c r="D15213" s="7">
        <v>0.28000000000000003</v>
      </c>
    </row>
    <row r="15214" spans="1:4" x14ac:dyDescent="0.25">
      <c r="A15214" t="str">
        <f>HYPERLINK("https://www.773grp.com/globalSearch/PESD15VS1ULD315/page-1", "PESD15VS1ULD315")</f>
        <v>PESD15VS1ULD315</v>
      </c>
      <c r="B15214" s="3" t="str">
        <f>HYPERLINK("https://www.773grp.com/manufacturer/nxp-semiconductor?pageNo=14", "NXP Semiconductors")</f>
        <v>NXP Semiconductors</v>
      </c>
      <c r="C15214" s="6">
        <v>10000</v>
      </c>
      <c r="D15214" s="7">
        <v>0.28000000000000003</v>
      </c>
    </row>
    <row r="15215" spans="1:4" x14ac:dyDescent="0.25">
      <c r="A15215" t="str">
        <f>HYPERLINK("https://www.773grp.com/globalSearch/PESD24VS1UL315/page-1", "PESD24VS1UL315")</f>
        <v>PESD24VS1UL315</v>
      </c>
      <c r="B15215" s="3" t="str">
        <f>HYPERLINK("https://www.773grp.com/manufacturer/nxp-semiconductor?pageNo=15", "NXP Semiconductors")</f>
        <v>NXP Semiconductors</v>
      </c>
      <c r="C15215" s="6">
        <v>10000</v>
      </c>
      <c r="D15215" s="7">
        <v>0.28000000000000003</v>
      </c>
    </row>
    <row r="15216" spans="1:4" x14ac:dyDescent="0.25">
      <c r="A15216" t="str">
        <f>HYPERLINK("https://www.773grp.com/globalSearch/PESD24VS1ULD315/page-1", "PESD24VS1ULD315")</f>
        <v>PESD24VS1ULD315</v>
      </c>
      <c r="B15216" s="3" t="str">
        <f>HYPERLINK("https://www.773grp.com/manufacturer/nxp-semiconductor?pageNo=16", "NXP Semiconductors")</f>
        <v>NXP Semiconductors</v>
      </c>
      <c r="C15216" s="6">
        <v>10000</v>
      </c>
      <c r="D15216" s="7">
        <v>0.28000000000000003</v>
      </c>
    </row>
    <row r="15217" spans="1:4" x14ac:dyDescent="0.25">
      <c r="A15217" t="str">
        <f>HYPERLINK("https://www.773grp.com/globalSearch/PESD36VS2UT215/page-1", "PESD36VS2UT215")</f>
        <v>PESD36VS2UT215</v>
      </c>
      <c r="B15217" s="3" t="str">
        <f>HYPERLINK("https://www.773grp.com/manufacturer/nxp-semiconductor?pageNo=17", "NXP Semiconductors")</f>
        <v>NXP Semiconductors</v>
      </c>
      <c r="C15217" s="6">
        <v>2500</v>
      </c>
      <c r="D15217" s="7">
        <v>0.28000000000000003</v>
      </c>
    </row>
    <row r="15218" spans="1:4" x14ac:dyDescent="0.25">
      <c r="A15218" t="str">
        <f>HYPERLINK("https://www.773grp.com/globalSearch/PESD3V3L1UA115/page-1", "PESD3V3L1UA115")</f>
        <v>PESD3V3L1UA115</v>
      </c>
      <c r="B15218" s="3" t="str">
        <f>HYPERLINK("https://www.773grp.com/manufacturer/nxp-semiconductor?pageNo=18", "NXP Semiconductors")</f>
        <v>NXP Semiconductors</v>
      </c>
      <c r="C15218" s="6">
        <v>48120</v>
      </c>
      <c r="D15218" s="7">
        <v>0.28000000000000003</v>
      </c>
    </row>
    <row r="15219" spans="1:4" x14ac:dyDescent="0.25">
      <c r="A15219" t="str">
        <f>HYPERLINK("https://www.773grp.com/globalSearch/PESD3V3L1UB115/page-1", "PESD3V3L1UB115")</f>
        <v>PESD3V3L1UB115</v>
      </c>
      <c r="B15219" s="3" t="str">
        <f>HYPERLINK("https://www.773grp.com/manufacturer/nxp-semiconductor?pageNo=19", "NXP Semiconductors")</f>
        <v>NXP Semiconductors</v>
      </c>
      <c r="C15219" s="6">
        <v>18000</v>
      </c>
      <c r="D15219" s="7">
        <v>0.28000000000000003</v>
      </c>
    </row>
    <row r="15220" spans="1:4" x14ac:dyDescent="0.25">
      <c r="A15220" t="str">
        <f>HYPERLINK("https://www.773grp.com/globalSearch/PESD3V3U1UL315/page-1", "PESD3V3U1UL315")</f>
        <v>PESD3V3U1UL315</v>
      </c>
      <c r="B15220" s="3" t="str">
        <f>HYPERLINK("https://www.773grp.com/manufacturer/nxp-semiconductor?pageNo=20", "NXP Semiconductors")</f>
        <v>NXP Semiconductors</v>
      </c>
      <c r="C15220" s="6">
        <v>30000</v>
      </c>
      <c r="D15220" s="7">
        <v>0.28000000000000003</v>
      </c>
    </row>
    <row r="15221" spans="1:4" x14ac:dyDescent="0.25">
      <c r="A15221" t="str">
        <f>HYPERLINK("https://www.773grp.com/globalSearch/PESD5V0L1UA115/page-1", "PESD5V0L1UA115")</f>
        <v>PESD5V0L1UA115</v>
      </c>
      <c r="B15221" s="3" t="str">
        <f>HYPERLINK("https://www.773grp.com/manufacturer/nxp-semiconductor?pageNo=21", "NXP Semiconductors")</f>
        <v>NXP Semiconductors</v>
      </c>
      <c r="C15221" s="6">
        <v>345000</v>
      </c>
      <c r="D15221" s="7">
        <v>0.28000000000000003</v>
      </c>
    </row>
    <row r="15222" spans="1:4" x14ac:dyDescent="0.25">
      <c r="A15222" t="str">
        <f>HYPERLINK("https://www.773grp.com/globalSearch/PESD5V0L1UB115/page-1", "PESD5V0L1UB115")</f>
        <v>PESD5V0L1UB115</v>
      </c>
      <c r="B15222" s="3" t="str">
        <f>HYPERLINK("https://www.773grp.com/manufacturer/nxp-semiconductor?pageNo=22", "NXP Semiconductors")</f>
        <v>NXP Semiconductors</v>
      </c>
      <c r="C15222" s="6">
        <v>6000</v>
      </c>
      <c r="D15222" s="7">
        <v>0.28000000000000003</v>
      </c>
    </row>
    <row r="15223" spans="1:4" x14ac:dyDescent="0.25">
      <c r="A15223" t="str">
        <f>HYPERLINK("https://www.773grp.com/globalSearch/PESD5V0L1UL315/page-1", "PESD5V0L1UL315")</f>
        <v>PESD5V0L1UL315</v>
      </c>
      <c r="B15223" s="3" t="str">
        <f>HYPERLINK("https://www.773grp.com/manufacturer/nxp-semiconductor?pageNo=23", "NXP Semiconductors")</f>
        <v>NXP Semiconductors</v>
      </c>
      <c r="C15223" s="6">
        <v>30000</v>
      </c>
      <c r="D15223" s="7">
        <v>0.28000000000000003</v>
      </c>
    </row>
    <row r="15224" spans="1:4" x14ac:dyDescent="0.25">
      <c r="A15224" t="str">
        <f>HYPERLINK("https://www.773grp.com/globalSearch/PESD5V0L1ULD315/page-1", "PESD5V0L1ULD315")</f>
        <v>PESD5V0L1ULD315</v>
      </c>
      <c r="B15224" s="3" t="str">
        <f>HYPERLINK("https://www.773grp.com/manufacturer/nxp-semiconductor?pageNo=24", "NXP Semiconductors")</f>
        <v>NXP Semiconductors</v>
      </c>
      <c r="C15224" s="6">
        <v>20000</v>
      </c>
      <c r="D15224" s="7">
        <v>0.28000000000000003</v>
      </c>
    </row>
    <row r="15225" spans="1:4" x14ac:dyDescent="0.25">
      <c r="A15225" t="str">
        <f>HYPERLINK("https://www.773grp.com/globalSearch/PESD5V0L1USF315/page-1", "PESD5V0L1USF315")</f>
        <v>PESD5V0L1USF315</v>
      </c>
      <c r="B15225" s="3" t="str">
        <f>HYPERLINK("https://www.773grp.com/manufacturer/nxp-semiconductor?pageNo=25", "NXP Semiconductors")</f>
        <v>NXP Semiconductors</v>
      </c>
      <c r="C15225" s="6">
        <v>9000</v>
      </c>
      <c r="D15225" s="7">
        <v>0.28000000000000003</v>
      </c>
    </row>
    <row r="15226" spans="1:4" x14ac:dyDescent="0.25">
      <c r="A15226" t="str">
        <f>HYPERLINK("https://www.773grp.com/globalSearch/PESD5V0L2UU115/page-1", "PESD5V0L2UU115")</f>
        <v>PESD5V0L2UU115</v>
      </c>
      <c r="B15226" s="3" t="str">
        <f>HYPERLINK("https://www.773grp.com/manufacturer/nxp-semiconductor?pageNo=26", "NXP Semiconductors")</f>
        <v>NXP Semiconductors</v>
      </c>
      <c r="C15226" s="6">
        <v>462000</v>
      </c>
      <c r="D15226" s="7">
        <v>0.28000000000000003</v>
      </c>
    </row>
    <row r="15227" spans="1:4" x14ac:dyDescent="0.25">
      <c r="A15227" t="str">
        <f>HYPERLINK("https://www.773grp.com/globalSearch/PESD5V0S1BB115/page-1", "PESD5V0S1BB115")</f>
        <v>PESD5V0S1BB115</v>
      </c>
      <c r="B15227" s="3" t="str">
        <f>HYPERLINK("https://www.773grp.com/manufacturer/nxp-semiconductor?pageNo=27", "NXP Semiconductors")</f>
        <v>NXP Semiconductors</v>
      </c>
      <c r="C15227" s="6">
        <v>12000</v>
      </c>
      <c r="D15227" s="7">
        <v>0.28000000000000003</v>
      </c>
    </row>
    <row r="15228" spans="1:4" x14ac:dyDescent="0.25">
      <c r="A15228" t="str">
        <f>HYPERLINK("https://www.773grp.com/globalSearch/PESD5V0S1UL315/page-1", "PESD5V0S1UL315")</f>
        <v>PESD5V0S1UL315</v>
      </c>
      <c r="B15228" s="3" t="str">
        <f>HYPERLINK("https://www.773grp.com/manufacturer/nxp-semiconductor?pageNo=28", "NXP Semiconductors")</f>
        <v>NXP Semiconductors</v>
      </c>
      <c r="C15228" s="6">
        <v>20000</v>
      </c>
      <c r="D15228" s="7">
        <v>0.28000000000000003</v>
      </c>
    </row>
    <row r="15229" spans="1:4" x14ac:dyDescent="0.25">
      <c r="A15229" t="str">
        <f>HYPERLINK("https://www.773grp.com/globalSearch/PESD5V0S1USF315/page-1", "PESD5V0S1USF315")</f>
        <v>PESD5V0S1USF315</v>
      </c>
      <c r="B15229" s="3" t="str">
        <f>HYPERLINK("https://www.773grp.com/manufacturer/nxp-semiconductor?pageNo=29", "NXP Semiconductors")</f>
        <v>NXP Semiconductors</v>
      </c>
      <c r="C15229" s="6">
        <v>18000</v>
      </c>
      <c r="D15229" s="7">
        <v>0.28000000000000003</v>
      </c>
    </row>
    <row r="15230" spans="1:4" x14ac:dyDescent="0.25">
      <c r="A15230" t="str">
        <f>HYPERLINK("https://www.773grp.com/globalSearch/PESD5V0V1BCSF315/page-1", "PESD5V0V1BCSF315")</f>
        <v>PESD5V0V1BCSF315</v>
      </c>
      <c r="B15230" s="3" t="str">
        <f>HYPERLINK("https://www.773grp.com/manufacturer/nxp-semiconductor?pageNo=30", "NXP Semiconductors")</f>
        <v>NXP Semiconductors</v>
      </c>
      <c r="C15230" s="6">
        <v>18000</v>
      </c>
      <c r="D15230" s="7">
        <v>0.28000000000000003</v>
      </c>
    </row>
    <row r="15231" spans="1:4" x14ac:dyDescent="0.25">
      <c r="A15231" t="str">
        <f>HYPERLINK("https://www.773grp.com/globalSearch/PESD5V0V1BDSF315/page-1", "PESD5V0V1BDSF315")</f>
        <v>PESD5V0V1BDSF315</v>
      </c>
      <c r="B15231" s="3" t="str">
        <f>HYPERLINK("https://www.773grp.com/manufacturer/nxp-semiconductor?pageNo=31", "NXP Semiconductors")</f>
        <v>NXP Semiconductors</v>
      </c>
      <c r="C15231" s="6">
        <v>18000</v>
      </c>
      <c r="D15231" s="7">
        <v>0.28000000000000003</v>
      </c>
    </row>
    <row r="15232" spans="1:4" x14ac:dyDescent="0.25">
      <c r="A15232" t="str">
        <f>HYPERLINK("https://www.773grp.com/globalSearch/PESD5V0V1BSF315/page-1", "PESD5V0V1BSF315")</f>
        <v>PESD5V0V1BSF315</v>
      </c>
      <c r="B15232" s="3" t="str">
        <f>HYPERLINK("https://www.773grp.com/manufacturer/nxp-semiconductor?pageNo=32", "NXP Semiconductors")</f>
        <v>NXP Semiconductors</v>
      </c>
      <c r="C15232" s="6">
        <v>9000</v>
      </c>
      <c r="D15232" s="7">
        <v>0.28000000000000003</v>
      </c>
    </row>
    <row r="15233" spans="1:4" x14ac:dyDescent="0.25">
      <c r="A15233" t="str">
        <f>HYPERLINK("https://www.773grp.com/globalSearch/PESD5V0V1USF315/page-1", "PESD5V0V1USF315")</f>
        <v>PESD5V0V1USF315</v>
      </c>
      <c r="B15233" s="3" t="str">
        <f>HYPERLINK("https://www.773grp.com/manufacturer/nxp-semiconductor?pageNo=33", "NXP Semiconductors")</f>
        <v>NXP Semiconductors</v>
      </c>
      <c r="C15233" s="6">
        <v>18000</v>
      </c>
      <c r="D15233" s="7">
        <v>0.28000000000000003</v>
      </c>
    </row>
    <row r="15234" spans="1:4" x14ac:dyDescent="0.25">
      <c r="A15234" t="str">
        <f>HYPERLINK("https://www.773grp.com/globalSearch/PESD9X7.0L315/page-1", "PESD9X7.0L315")</f>
        <v>PESD9X7.0L315</v>
      </c>
      <c r="B15234" s="3" t="str">
        <f>HYPERLINK("https://www.773grp.com/manufacturer/nxp-semiconductor?pageNo=34", "NXP Semiconductors")</f>
        <v>NXP Semiconductors</v>
      </c>
      <c r="C15234" s="6">
        <v>10000</v>
      </c>
      <c r="D15234" s="7">
        <v>0.28000000000000003</v>
      </c>
    </row>
    <row r="15235" spans="1:4" x14ac:dyDescent="0.25">
      <c r="A15235" t="str">
        <f>HYPERLINK("https://www.773grp.com/globalSearch/PHD13003C126/page-1", "PHD13003C126")</f>
        <v>PHD13003C126</v>
      </c>
      <c r="B15235" s="3" t="str">
        <f>HYPERLINK("https://www.773grp.com/manufacturer/nxp-semiconductor?pageNo=35", "NXP Semiconductors")</f>
        <v>NXP Semiconductors</v>
      </c>
      <c r="C15235" s="6">
        <v>10000</v>
      </c>
      <c r="D15235" s="7">
        <v>0.28000000000000003</v>
      </c>
    </row>
    <row r="15236" spans="1:4" x14ac:dyDescent="0.25">
      <c r="A15236" t="str">
        <f>HYPERLINK("https://www.773grp.com/globalSearch/PHD13003C412/page-1", "PHD13003C412")</f>
        <v>PHD13003C412</v>
      </c>
      <c r="B15236" s="3" t="str">
        <f>HYPERLINK("https://www.773grp.com/manufacturer/nxp-semiconductor?pageNo=36", "NXP Semiconductors")</f>
        <v>NXP Semiconductors</v>
      </c>
      <c r="C15236" s="6">
        <v>10000</v>
      </c>
      <c r="D15236" s="7">
        <v>0.28000000000000003</v>
      </c>
    </row>
    <row r="15237" spans="1:4" x14ac:dyDescent="0.25">
      <c r="A15237" t="str">
        <f>HYPERLINK("https://www.773grp.com/globalSearch/PHE13003C126/page-1", "PHE13003C126")</f>
        <v>PHE13003C126</v>
      </c>
      <c r="B15237" s="3" t="str">
        <f>HYPERLINK("https://www.773grp.com/manufacturer/nxp-semiconductor?pageNo=37", "NXP Semiconductors")</f>
        <v>NXP Semiconductors</v>
      </c>
      <c r="C15237" s="6">
        <v>10000</v>
      </c>
      <c r="D15237" s="7">
        <v>0.28000000000000003</v>
      </c>
    </row>
    <row r="15238" spans="1:4" x14ac:dyDescent="0.25">
      <c r="A15238" t="str">
        <f>HYPERLINK("https://www.773grp.com/globalSearch/PHE13003C412/page-1", "PHE13003C412")</f>
        <v>PHE13003C412</v>
      </c>
      <c r="B15238" s="3" t="str">
        <f>HYPERLINK("https://www.773grp.com/manufacturer/nxp-semiconductor?pageNo=38", "NXP Semiconductors")</f>
        <v>NXP Semiconductors</v>
      </c>
      <c r="C15238" s="6">
        <v>10000</v>
      </c>
      <c r="D15238" s="7">
        <v>0.28000000000000003</v>
      </c>
    </row>
    <row r="15239" spans="1:4" x14ac:dyDescent="0.25">
      <c r="A15239" t="str">
        <f>HYPERLINK("https://www.773grp.com/globalSearch/PMBFJ177215/page-1", "PMBFJ177215")</f>
        <v>PMBFJ177215</v>
      </c>
      <c r="B15239" s="3" t="str">
        <f>HYPERLINK("https://www.773grp.com/manufacturer/nxp-semiconductor?pageNo=39", "NXP Semiconductors")</f>
        <v>NXP Semiconductors</v>
      </c>
      <c r="C15239" s="6">
        <v>284000</v>
      </c>
      <c r="D15239" s="7">
        <v>0.28000000000000003</v>
      </c>
    </row>
    <row r="15240" spans="1:4" x14ac:dyDescent="0.25">
      <c r="A15240" t="str">
        <f>HYPERLINK("https://www.773grp.com/globalSearch/PMBT5550215/page-1", "PMBT5550215")</f>
        <v>PMBT5550215</v>
      </c>
      <c r="B15240" s="3" t="str">
        <f>HYPERLINK("https://www.773grp.com/manufacturer/nxp-semiconductor?pageNo=40", "NXP Semiconductors")</f>
        <v>NXP Semiconductors</v>
      </c>
      <c r="C15240" s="6">
        <v>27000</v>
      </c>
      <c r="D15240" s="7">
        <v>0.28000000000000003</v>
      </c>
    </row>
    <row r="15241" spans="1:4" x14ac:dyDescent="0.25">
      <c r="A15241" t="str">
        <f>HYPERLINK("https://www.773grp.com/globalSearch/PMBT5551215/page-1", "PMBT5551215")</f>
        <v>PMBT5551215</v>
      </c>
      <c r="B15241" s="3" t="str">
        <f>HYPERLINK("https://www.773grp.com/manufacturer/nxp-semiconductor?pageNo=41", "NXP Semiconductors")</f>
        <v>NXP Semiconductors</v>
      </c>
      <c r="C15241" s="6">
        <v>114000</v>
      </c>
      <c r="D15241" s="7">
        <v>0.28000000000000003</v>
      </c>
    </row>
    <row r="15242" spans="1:4" x14ac:dyDescent="0.25">
      <c r="A15242" t="str">
        <f>HYPERLINK("https://www.773grp.com/globalSearch/PMEG2005EH115/page-1", "PMEG2005EH115")</f>
        <v>PMEG2005EH115</v>
      </c>
      <c r="B15242" s="3" t="str">
        <f>HYPERLINK("https://www.773grp.com/manufacturer/nxp-semiconductor?pageNo=42", "NXP Semiconductors")</f>
        <v>NXP Semiconductors</v>
      </c>
      <c r="C15242" s="6">
        <v>32005</v>
      </c>
      <c r="D15242" s="7">
        <v>0.28000000000000003</v>
      </c>
    </row>
    <row r="15243" spans="1:4" x14ac:dyDescent="0.25">
      <c r="A15243" t="str">
        <f>HYPERLINK("https://www.773grp.com/globalSearch/PMEG2005EJ115/page-1", "PMEG2005EJ115")</f>
        <v>PMEG2005EJ115</v>
      </c>
      <c r="B15243" s="3" t="str">
        <f>HYPERLINK("https://www.773grp.com/manufacturer/nxp-semiconductor?pageNo=43", "NXP Semiconductors")</f>
        <v>NXP Semiconductors</v>
      </c>
      <c r="C15243" s="6">
        <v>618000</v>
      </c>
      <c r="D15243" s="7">
        <v>0.28000000000000003</v>
      </c>
    </row>
    <row r="15244" spans="1:4" x14ac:dyDescent="0.25">
      <c r="A15244" t="str">
        <f>HYPERLINK("https://www.773grp.com/globalSearch/PMEG3002AELD315/page-1", "PMEG3002AELD315")</f>
        <v>PMEG3002AELD315</v>
      </c>
      <c r="B15244" s="3" t="str">
        <f>HYPERLINK("https://www.773grp.com/manufacturer/nxp-semiconductor?pageNo=44", "NXP Semiconductors")</f>
        <v>NXP Semiconductors</v>
      </c>
      <c r="C15244" s="6">
        <v>10250</v>
      </c>
      <c r="D15244" s="7">
        <v>0.28000000000000003</v>
      </c>
    </row>
    <row r="15245" spans="1:4" x14ac:dyDescent="0.25">
      <c r="A15245" t="str">
        <f>HYPERLINK("https://www.773grp.com/globalSearch/PMEG3005EH115/page-1", "PMEG3005EH115")</f>
        <v>PMEG3005EH115</v>
      </c>
      <c r="B15245" s="3" t="str">
        <f>HYPERLINK("https://www.773grp.com/manufacturer/nxp-semiconductor?pageNo=45", "NXP Semiconductors")</f>
        <v>NXP Semiconductors</v>
      </c>
      <c r="C15245" s="6">
        <v>21000</v>
      </c>
      <c r="D15245" s="7">
        <v>0.28000000000000003</v>
      </c>
    </row>
    <row r="15246" spans="1:4" x14ac:dyDescent="0.25">
      <c r="A15246" t="str">
        <f>HYPERLINK("https://www.773grp.com/globalSearch/PMEG3005EJ115/page-1", "PMEG3005EJ115")</f>
        <v>PMEG3005EJ115</v>
      </c>
      <c r="B15246" s="3" t="str">
        <f>HYPERLINK("https://www.773grp.com/manufacturer/nxp-semiconductor?pageNo=46", "NXP Semiconductors")</f>
        <v>NXP Semiconductors</v>
      </c>
      <c r="C15246" s="6">
        <v>21002</v>
      </c>
      <c r="D15246" s="7">
        <v>0.28000000000000003</v>
      </c>
    </row>
    <row r="15247" spans="1:4" x14ac:dyDescent="0.25">
      <c r="A15247" t="str">
        <f>HYPERLINK("https://www.773grp.com/globalSearch/PMEG3005EL315/page-1", "PMEG3005EL315")</f>
        <v>PMEG3005EL315</v>
      </c>
      <c r="B15247" s="3" t="str">
        <f>HYPERLINK("https://www.773grp.com/manufacturer/nxp-semiconductor?pageNo=47", "NXP Semiconductors")</f>
        <v>NXP Semiconductors</v>
      </c>
      <c r="C15247" s="6">
        <v>48695</v>
      </c>
      <c r="D15247" s="7">
        <v>0.28000000000000003</v>
      </c>
    </row>
    <row r="15248" spans="1:4" x14ac:dyDescent="0.25">
      <c r="A15248" t="str">
        <f>HYPERLINK("https://www.773grp.com/globalSearch/PMEG3005ELD315/page-1", "PMEG3005ELD315")</f>
        <v>PMEG3005ELD315</v>
      </c>
      <c r="B15248" s="3" t="str">
        <f>HYPERLINK("https://www.773grp.com/manufacturer/nxp-semiconductor?pageNo=48", "NXP Semiconductors")</f>
        <v>NXP Semiconductors</v>
      </c>
      <c r="C15248" s="6">
        <v>17891</v>
      </c>
      <c r="D15248" s="7">
        <v>0.28000000000000003</v>
      </c>
    </row>
    <row r="15249" spans="1:4" x14ac:dyDescent="0.25">
      <c r="A15249" t="str">
        <f>HYPERLINK("https://www.773grp.com/globalSearch/PMEG4002ELD315/page-1", "PMEG4002ELD315")</f>
        <v>PMEG4002ELD315</v>
      </c>
      <c r="B15249" s="3" t="str">
        <f>HYPERLINK("https://www.773grp.com/manufacturer/nxp-semiconductor?pageNo=1", "NXP Semiconductors")</f>
        <v>NXP Semiconductors</v>
      </c>
      <c r="C15249" s="6">
        <v>10000</v>
      </c>
      <c r="D15249" s="7">
        <v>0.28000000000000003</v>
      </c>
    </row>
    <row r="15250" spans="1:4" x14ac:dyDescent="0.25">
      <c r="A15250" t="str">
        <f>HYPERLINK("https://www.773grp.com/globalSearch/PMEG4005EH115/page-1", "PMEG4005EH115")</f>
        <v>PMEG4005EH115</v>
      </c>
      <c r="B15250" s="3" t="str">
        <f>HYPERLINK("https://www.773grp.com/manufacturer/nxp-semiconductor?pageNo=2", "NXP Semiconductors")</f>
        <v>NXP Semiconductors</v>
      </c>
      <c r="C15250" s="6">
        <v>3000</v>
      </c>
      <c r="D15250" s="7">
        <v>0.28000000000000003</v>
      </c>
    </row>
    <row r="15251" spans="1:4" x14ac:dyDescent="0.25">
      <c r="A15251" t="str">
        <f>HYPERLINK("https://www.773grp.com/globalSearch/PMST5551115/page-1", "PMST5551115")</f>
        <v>PMST5551115</v>
      </c>
      <c r="B15251" s="3" t="str">
        <f>HYPERLINK("https://www.773grp.com/manufacturer/nxp-semiconductor?pageNo=3", "NXP Semiconductors")</f>
        <v>NXP Semiconductors</v>
      </c>
      <c r="C15251" s="6">
        <v>12000</v>
      </c>
      <c r="D15251" s="7">
        <v>0.28000000000000003</v>
      </c>
    </row>
    <row r="15252" spans="1:4" x14ac:dyDescent="0.25">
      <c r="A15252" t="str">
        <f>HYPERLINK("https://www.773grp.com/globalSearch/PMZB290UNE315/page-1", "PMZB290UNE315")</f>
        <v>PMZB290UNE315</v>
      </c>
      <c r="B15252" s="3" t="str">
        <f>HYPERLINK("https://www.773grp.com/manufacturer/nxp-semiconductor?pageNo=4", "NXP Semiconductors")</f>
        <v>NXP Semiconductors</v>
      </c>
      <c r="C15252" s="6">
        <v>20000</v>
      </c>
      <c r="D15252" s="7">
        <v>0.28000000000000003</v>
      </c>
    </row>
    <row r="15253" spans="1:4" x14ac:dyDescent="0.25">
      <c r="A15253" t="str">
        <f>HYPERLINK("https://www.773grp.com/globalSearch/PMZB670UPE315/page-1", "PMZB670UPE315")</f>
        <v>PMZB670UPE315</v>
      </c>
      <c r="B15253" s="3" t="str">
        <f>HYPERLINK("https://www.773grp.com/manufacturer/nxp-semiconductor?pageNo=5", "NXP Semiconductors")</f>
        <v>NXP Semiconductors</v>
      </c>
      <c r="C15253" s="6">
        <v>10000</v>
      </c>
      <c r="D15253" s="7">
        <v>0.28000000000000003</v>
      </c>
    </row>
    <row r="15254" spans="1:4" x14ac:dyDescent="0.25">
      <c r="A15254" t="str">
        <f>HYPERLINK("https://www.773grp.com/globalSearch/PRF947115/page-1", "PRF947115")</f>
        <v>PRF947115</v>
      </c>
      <c r="B15254" s="3" t="str">
        <f>HYPERLINK("https://www.773grp.com/manufacturer/nxp-semiconductor?pageNo=6", "NXP Semiconductors")</f>
        <v>NXP Semiconductors</v>
      </c>
      <c r="C15254" s="6">
        <v>33000</v>
      </c>
      <c r="D15254" s="7">
        <v>0.28000000000000003</v>
      </c>
    </row>
    <row r="15255" spans="1:4" x14ac:dyDescent="0.25">
      <c r="A15255" t="str">
        <f>HYPERLINK("https://www.773grp.com/globalSearch/PRF949115/page-1", "PRF949115")</f>
        <v>PRF949115</v>
      </c>
      <c r="B15255" s="3" t="str">
        <f>HYPERLINK("https://www.773grp.com/manufacturer/nxp-semiconductor?pageNo=7", "NXP Semiconductors")</f>
        <v>NXP Semiconductors</v>
      </c>
      <c r="C15255" s="6">
        <v>3298</v>
      </c>
      <c r="D15255" s="7">
        <v>0.28000000000000003</v>
      </c>
    </row>
    <row r="15256" spans="1:4" x14ac:dyDescent="0.25">
      <c r="A15256" t="str">
        <f>HYPERLINK("https://www.773grp.com/globalSearch/PRF957115/page-1", "PRF957115")</f>
        <v>PRF957115</v>
      </c>
      <c r="B15256" s="3" t="str">
        <f>HYPERLINK("https://www.773grp.com/manufacturer/nxp-semiconductor?pageNo=8", "NXP Semiconductors")</f>
        <v>NXP Semiconductors</v>
      </c>
      <c r="C15256" s="6">
        <v>3000</v>
      </c>
      <c r="D15256" s="7">
        <v>0.28000000000000003</v>
      </c>
    </row>
    <row r="15257" spans="1:4" x14ac:dyDescent="0.25">
      <c r="A15257" t="str">
        <f>HYPERLINK("https://www.773grp.com/globalSearch/PZU10B1115/page-1", "PZU10B1115")</f>
        <v>PZU10B1115</v>
      </c>
      <c r="B15257" s="3" t="str">
        <f>HYPERLINK("https://www.773grp.com/manufacturer/nxp-semiconductor?pageNo=9", "NXP Semiconductors")</f>
        <v>NXP Semiconductors</v>
      </c>
      <c r="C15257" s="6">
        <v>6000</v>
      </c>
      <c r="D15257" s="7">
        <v>0.28000000000000003</v>
      </c>
    </row>
    <row r="15258" spans="1:4" x14ac:dyDescent="0.25">
      <c r="A15258" t="str">
        <f>HYPERLINK("https://www.773grp.com/globalSearch/PZU10B2115/page-1", "PZU10B2115")</f>
        <v>PZU10B2115</v>
      </c>
      <c r="B15258" s="3" t="str">
        <f>HYPERLINK("https://www.773grp.com/manufacturer/nxp-semiconductor?pageNo=10", "NXP Semiconductors")</f>
        <v>NXP Semiconductors</v>
      </c>
      <c r="C15258" s="6">
        <v>6000</v>
      </c>
      <c r="D15258" s="7">
        <v>0.28000000000000003</v>
      </c>
    </row>
    <row r="15259" spans="1:4" x14ac:dyDescent="0.25">
      <c r="A15259" t="str">
        <f>HYPERLINK("https://www.773grp.com/globalSearch/PZU10B3115/page-1", "PZU10B3115")</f>
        <v>PZU10B3115</v>
      </c>
      <c r="B15259" s="3" t="str">
        <f>HYPERLINK("https://www.773grp.com/manufacturer/nxp-semiconductor?pageNo=11", "NXP Semiconductors")</f>
        <v>NXP Semiconductors</v>
      </c>
      <c r="C15259" s="6">
        <v>6700</v>
      </c>
      <c r="D15259" s="7">
        <v>0.28000000000000003</v>
      </c>
    </row>
    <row r="15260" spans="1:4" x14ac:dyDescent="0.25">
      <c r="A15260" t="str">
        <f>HYPERLINK("https://www.773grp.com/globalSearch/PZU10DB2115/page-1", "PZU10DB2115")</f>
        <v>PZU10DB2115</v>
      </c>
      <c r="B15260" s="3" t="str">
        <f>HYPERLINK("https://www.773grp.com/manufacturer/nxp-semiconductor?pageNo=12", "NXP Semiconductors")</f>
        <v>NXP Semiconductors</v>
      </c>
      <c r="C15260" s="6">
        <v>4218</v>
      </c>
      <c r="D15260" s="7">
        <v>0.28000000000000003</v>
      </c>
    </row>
    <row r="15261" spans="1:4" x14ac:dyDescent="0.25">
      <c r="A15261" t="str">
        <f>HYPERLINK("https://www.773grp.com/globalSearch/PZU11B1115/page-1", "PZU11B1115")</f>
        <v>PZU11B1115</v>
      </c>
      <c r="B15261" s="3" t="str">
        <f>HYPERLINK("https://www.773grp.com/manufacturer/nxp-semiconductor?pageNo=13", "NXP Semiconductors")</f>
        <v>NXP Semiconductors</v>
      </c>
      <c r="C15261" s="6">
        <v>2166</v>
      </c>
      <c r="D15261" s="7">
        <v>0.28000000000000003</v>
      </c>
    </row>
    <row r="15262" spans="1:4" x14ac:dyDescent="0.25">
      <c r="A15262" t="str">
        <f>HYPERLINK("https://www.773grp.com/globalSearch/PZU11B2115/page-1", "PZU11B2115")</f>
        <v>PZU11B2115</v>
      </c>
      <c r="B15262" s="3" t="str">
        <f>HYPERLINK("https://www.773grp.com/manufacturer/nxp-semiconductor?pageNo=14", "NXP Semiconductors")</f>
        <v>NXP Semiconductors</v>
      </c>
      <c r="C15262" s="6">
        <v>21078</v>
      </c>
      <c r="D15262" s="7">
        <v>0.28000000000000003</v>
      </c>
    </row>
    <row r="15263" spans="1:4" x14ac:dyDescent="0.25">
      <c r="A15263" t="str">
        <f>HYPERLINK("https://www.773grp.com/globalSearch/PZU11B3115/page-1", "PZU11B3115")</f>
        <v>PZU11B3115</v>
      </c>
      <c r="B15263" s="3" t="str">
        <f>HYPERLINK("https://www.773grp.com/manufacturer/nxp-semiconductor?pageNo=15", "NXP Semiconductors")</f>
        <v>NXP Semiconductors</v>
      </c>
      <c r="C15263" s="6">
        <v>12000</v>
      </c>
      <c r="D15263" s="7">
        <v>0.28000000000000003</v>
      </c>
    </row>
    <row r="15264" spans="1:4" x14ac:dyDescent="0.25">
      <c r="A15264" t="str">
        <f>HYPERLINK("https://www.773grp.com/globalSearch/PZU12B1115/page-1", "PZU12B1115")</f>
        <v>PZU12B1115</v>
      </c>
      <c r="B15264" s="3" t="str">
        <f>HYPERLINK("https://www.773grp.com/manufacturer/nxp-semiconductor?pageNo=16", "NXP Semiconductors")</f>
        <v>NXP Semiconductors</v>
      </c>
      <c r="C15264" s="6">
        <v>12000</v>
      </c>
      <c r="D15264" s="7">
        <v>0.28000000000000003</v>
      </c>
    </row>
    <row r="15265" spans="1:4" x14ac:dyDescent="0.25">
      <c r="A15265" t="str">
        <f>HYPERLINK("https://www.773grp.com/globalSearch/PZU12B2115/page-1", "PZU12B2115")</f>
        <v>PZU12B2115</v>
      </c>
      <c r="B15265" s="3" t="str">
        <f>HYPERLINK("https://www.773grp.com/manufacturer/nxp-semiconductor?pageNo=17", "NXP Semiconductors")</f>
        <v>NXP Semiconductors</v>
      </c>
      <c r="C15265" s="6">
        <v>6000</v>
      </c>
      <c r="D15265" s="7">
        <v>0.28000000000000003</v>
      </c>
    </row>
    <row r="15266" spans="1:4" x14ac:dyDescent="0.25">
      <c r="A15266" t="str">
        <f>HYPERLINK("https://www.773grp.com/globalSearch/PZU12B3115/page-1", "PZU12B3115")</f>
        <v>PZU12B3115</v>
      </c>
      <c r="B15266" s="3" t="str">
        <f>HYPERLINK("https://www.773grp.com/manufacturer/nxp-semiconductor?pageNo=18", "NXP Semiconductors")</f>
        <v>NXP Semiconductors</v>
      </c>
      <c r="C15266" s="6">
        <v>3700</v>
      </c>
      <c r="D15266" s="7">
        <v>0.28000000000000003</v>
      </c>
    </row>
    <row r="15267" spans="1:4" x14ac:dyDescent="0.25">
      <c r="A15267" t="str">
        <f>HYPERLINK("https://www.773grp.com/globalSearch/PZU13B1115/page-1", "PZU13B1115")</f>
        <v>PZU13B1115</v>
      </c>
      <c r="B15267" s="3" t="str">
        <f>HYPERLINK("https://www.773grp.com/manufacturer/nxp-semiconductor?pageNo=19", "NXP Semiconductors")</f>
        <v>NXP Semiconductors</v>
      </c>
      <c r="C15267" s="6">
        <v>6000</v>
      </c>
      <c r="D15267" s="7">
        <v>0.28000000000000003</v>
      </c>
    </row>
    <row r="15268" spans="1:4" x14ac:dyDescent="0.25">
      <c r="A15268" t="str">
        <f>HYPERLINK("https://www.773grp.com/globalSearch/PZU13B2115/page-1", "PZU13B2115")</f>
        <v>PZU13B2115</v>
      </c>
      <c r="B15268" s="3" t="str">
        <f>HYPERLINK("https://www.773grp.com/manufacturer/nxp-semiconductor?pageNo=20", "NXP Semiconductors")</f>
        <v>NXP Semiconductors</v>
      </c>
      <c r="C15268" s="6">
        <v>9000</v>
      </c>
      <c r="D15268" s="7">
        <v>0.28000000000000003</v>
      </c>
    </row>
    <row r="15269" spans="1:4" x14ac:dyDescent="0.25">
      <c r="A15269" t="str">
        <f>HYPERLINK("https://www.773grp.com/globalSearch/PZU13B3115/page-1", "PZU13B3115")</f>
        <v>PZU13B3115</v>
      </c>
      <c r="B15269" s="3" t="str">
        <f>HYPERLINK("https://www.773grp.com/manufacturer/nxp-semiconductor?pageNo=21", "NXP Semiconductors")</f>
        <v>NXP Semiconductors</v>
      </c>
      <c r="C15269" s="6">
        <v>12000</v>
      </c>
      <c r="D15269" s="7">
        <v>0.28000000000000003</v>
      </c>
    </row>
    <row r="15270" spans="1:4" x14ac:dyDescent="0.25">
      <c r="A15270" t="str">
        <f>HYPERLINK("https://www.773grp.com/globalSearch/PZU14B2115/page-1", "PZU14B2115")</f>
        <v>PZU14B2115</v>
      </c>
      <c r="B15270" s="3" t="str">
        <f>HYPERLINK("https://www.773grp.com/manufacturer/nxp-semiconductor?pageNo=22", "NXP Semiconductors")</f>
        <v>NXP Semiconductors</v>
      </c>
      <c r="C15270" s="6">
        <v>17500</v>
      </c>
      <c r="D15270" s="7">
        <v>0.28000000000000003</v>
      </c>
    </row>
    <row r="15271" spans="1:4" x14ac:dyDescent="0.25">
      <c r="A15271" t="str">
        <f>HYPERLINK("https://www.773grp.com/globalSearch/PZU15B2115/page-1", "PZU15B2115")</f>
        <v>PZU15B2115</v>
      </c>
      <c r="B15271" s="3" t="str">
        <f>HYPERLINK("https://www.773grp.com/manufacturer/nxp-semiconductor?pageNo=23", "NXP Semiconductors")</f>
        <v>NXP Semiconductors</v>
      </c>
      <c r="C15271" s="6">
        <v>6000</v>
      </c>
      <c r="D15271" s="7">
        <v>0.28000000000000003</v>
      </c>
    </row>
    <row r="15272" spans="1:4" x14ac:dyDescent="0.25">
      <c r="A15272" t="str">
        <f>HYPERLINK("https://www.773grp.com/globalSearch/PZU15B3115/page-1", "PZU15B3115")</f>
        <v>PZU15B3115</v>
      </c>
      <c r="B15272" s="3" t="str">
        <f>HYPERLINK("https://www.773grp.com/manufacturer/nxp-semiconductor?pageNo=24", "NXP Semiconductors")</f>
        <v>NXP Semiconductors</v>
      </c>
      <c r="C15272" s="6">
        <v>9465</v>
      </c>
      <c r="D15272" s="7">
        <v>0.28000000000000003</v>
      </c>
    </row>
    <row r="15273" spans="1:4" x14ac:dyDescent="0.25">
      <c r="A15273" t="str">
        <f>HYPERLINK("https://www.773grp.com/globalSearch/PZU16B1115/page-1", "PZU16B1115")</f>
        <v>PZU16B1115</v>
      </c>
      <c r="B15273" s="3" t="str">
        <f>HYPERLINK("https://www.773grp.com/manufacturer/nxp-semiconductor?pageNo=25", "NXP Semiconductors")</f>
        <v>NXP Semiconductors</v>
      </c>
      <c r="C15273" s="6">
        <v>6000</v>
      </c>
      <c r="D15273" s="7">
        <v>0.28000000000000003</v>
      </c>
    </row>
    <row r="15274" spans="1:4" x14ac:dyDescent="0.25">
      <c r="A15274" t="str">
        <f>HYPERLINK("https://www.773grp.com/globalSearch/PZU16B2115/page-1", "PZU16B2115")</f>
        <v>PZU16B2115</v>
      </c>
      <c r="B15274" s="3" t="str">
        <f>HYPERLINK("https://www.773grp.com/manufacturer/nxp-semiconductor?pageNo=26", "NXP Semiconductors")</f>
        <v>NXP Semiconductors</v>
      </c>
      <c r="C15274" s="6">
        <v>12000</v>
      </c>
      <c r="D15274" s="7">
        <v>0.28000000000000003</v>
      </c>
    </row>
    <row r="15275" spans="1:4" x14ac:dyDescent="0.25">
      <c r="A15275" t="str">
        <f>HYPERLINK("https://www.773grp.com/globalSearch/PZU16B3115/page-1", "PZU16B3115")</f>
        <v>PZU16B3115</v>
      </c>
      <c r="B15275" s="3" t="str">
        <f>HYPERLINK("https://www.773grp.com/manufacturer/nxp-semiconductor?pageNo=27", "NXP Semiconductors")</f>
        <v>NXP Semiconductors</v>
      </c>
      <c r="C15275" s="6">
        <v>6000</v>
      </c>
      <c r="D15275" s="7">
        <v>0.28000000000000003</v>
      </c>
    </row>
    <row r="15276" spans="1:4" x14ac:dyDescent="0.25">
      <c r="A15276" t="str">
        <f>HYPERLINK("https://www.773grp.com/globalSearch/PZU18B1115/page-1", "PZU18B1115")</f>
        <v>PZU18B1115</v>
      </c>
      <c r="B15276" s="3" t="str">
        <f>HYPERLINK("https://www.773grp.com/manufacturer/nxp-semiconductor?pageNo=28", "NXP Semiconductors")</f>
        <v>NXP Semiconductors</v>
      </c>
      <c r="C15276" s="6">
        <v>9000</v>
      </c>
      <c r="D15276" s="7">
        <v>0.28000000000000003</v>
      </c>
    </row>
    <row r="15277" spans="1:4" x14ac:dyDescent="0.25">
      <c r="A15277" t="str">
        <f>HYPERLINK("https://www.773grp.com/globalSearch/PZU18B2115/page-1", "PZU18B2115")</f>
        <v>PZU18B2115</v>
      </c>
      <c r="B15277" s="3" t="str">
        <f>HYPERLINK("https://www.773grp.com/manufacturer/nxp-semiconductor?pageNo=29", "NXP Semiconductors")</f>
        <v>NXP Semiconductors</v>
      </c>
      <c r="C15277" s="6">
        <v>28362</v>
      </c>
      <c r="D15277" s="7">
        <v>0.28000000000000003</v>
      </c>
    </row>
    <row r="15278" spans="1:4" x14ac:dyDescent="0.25">
      <c r="A15278" t="str">
        <f>HYPERLINK("https://www.773grp.com/globalSearch/PZU18B3115/page-1", "PZU18B3115")</f>
        <v>PZU18B3115</v>
      </c>
      <c r="B15278" s="3" t="str">
        <f>HYPERLINK("https://www.773grp.com/manufacturer/nxp-semiconductor?pageNo=30", "NXP Semiconductors")</f>
        <v>NXP Semiconductors</v>
      </c>
      <c r="C15278" s="6">
        <v>6470</v>
      </c>
      <c r="D15278" s="7">
        <v>0.28000000000000003</v>
      </c>
    </row>
    <row r="15279" spans="1:4" x14ac:dyDescent="0.25">
      <c r="A15279" t="str">
        <f>HYPERLINK("https://www.773grp.com/globalSearch/PZU2.7B1115/page-1", "PZU2.7B1115")</f>
        <v>PZU2.7B1115</v>
      </c>
      <c r="B15279" s="3" t="str">
        <f>HYPERLINK("https://www.773grp.com/manufacturer/nxp-semiconductor?pageNo=31", "NXP Semiconductors")</f>
        <v>NXP Semiconductors</v>
      </c>
      <c r="C15279" s="6">
        <v>6000</v>
      </c>
      <c r="D15279" s="7">
        <v>0.28000000000000003</v>
      </c>
    </row>
    <row r="15280" spans="1:4" x14ac:dyDescent="0.25">
      <c r="A15280" t="str">
        <f>HYPERLINK("https://www.773grp.com/globalSearch/PZU2.7B2115/page-1", "PZU2.7B2115")</f>
        <v>PZU2.7B2115</v>
      </c>
      <c r="B15280" s="3" t="str">
        <f>HYPERLINK("https://www.773grp.com/manufacturer/nxp-semiconductor?pageNo=32", "NXP Semiconductors")</f>
        <v>NXP Semiconductors</v>
      </c>
      <c r="C15280" s="6">
        <v>12000</v>
      </c>
      <c r="D15280" s="7">
        <v>0.28000000000000003</v>
      </c>
    </row>
    <row r="15281" spans="1:4" x14ac:dyDescent="0.25">
      <c r="A15281" t="str">
        <f>HYPERLINK("https://www.773grp.com/globalSearch/PZU20B1115/page-1", "PZU20B1115")</f>
        <v>PZU20B1115</v>
      </c>
      <c r="B15281" s="3" t="str">
        <f>HYPERLINK("https://www.773grp.com/manufacturer/nxp-semiconductor?pageNo=33", "NXP Semiconductors")</f>
        <v>NXP Semiconductors</v>
      </c>
      <c r="C15281" s="6">
        <v>6000</v>
      </c>
      <c r="D15281" s="7">
        <v>0.28000000000000003</v>
      </c>
    </row>
    <row r="15282" spans="1:4" x14ac:dyDescent="0.25">
      <c r="A15282" t="str">
        <f>HYPERLINK("https://www.773grp.com/globalSearch/PZU20B2115/page-1", "PZU20B2115")</f>
        <v>PZU20B2115</v>
      </c>
      <c r="B15282" s="3" t="str">
        <f>HYPERLINK("https://www.773grp.com/manufacturer/nxp-semiconductor?pageNo=34", "NXP Semiconductors")</f>
        <v>NXP Semiconductors</v>
      </c>
      <c r="C15282" s="6">
        <v>3000</v>
      </c>
      <c r="D15282" s="7">
        <v>0.28000000000000003</v>
      </c>
    </row>
    <row r="15283" spans="1:4" x14ac:dyDescent="0.25">
      <c r="A15283" t="str">
        <f>HYPERLINK("https://www.773grp.com/globalSearch/PZU20B3115/page-1", "PZU20B3115")</f>
        <v>PZU20B3115</v>
      </c>
      <c r="B15283" s="3" t="str">
        <f>HYPERLINK("https://www.773grp.com/manufacturer/nxp-semiconductor?pageNo=35", "NXP Semiconductors")</f>
        <v>NXP Semiconductors</v>
      </c>
      <c r="C15283" s="6">
        <v>12000</v>
      </c>
      <c r="D15283" s="7">
        <v>0.28000000000000003</v>
      </c>
    </row>
    <row r="15284" spans="1:4" x14ac:dyDescent="0.25">
      <c r="A15284" t="str">
        <f>HYPERLINK("https://www.773grp.com/globalSearch/PZU22B1115/page-1", "PZU22B1115")</f>
        <v>PZU22B1115</v>
      </c>
      <c r="B15284" s="3" t="str">
        <f>HYPERLINK("https://www.773grp.com/manufacturer/nxp-semiconductor?pageNo=36", "NXP Semiconductors")</f>
        <v>NXP Semiconductors</v>
      </c>
      <c r="C15284" s="6">
        <v>6000</v>
      </c>
      <c r="D15284" s="7">
        <v>0.28000000000000003</v>
      </c>
    </row>
    <row r="15285" spans="1:4" x14ac:dyDescent="0.25">
      <c r="A15285" t="str">
        <f>HYPERLINK("https://www.773grp.com/globalSearch/PZU22B2115/page-1", "PZU22B2115")</f>
        <v>PZU22B2115</v>
      </c>
      <c r="B15285" s="3" t="str">
        <f>HYPERLINK("https://www.773grp.com/manufacturer/nxp-semiconductor?pageNo=37", "NXP Semiconductors")</f>
        <v>NXP Semiconductors</v>
      </c>
      <c r="C15285" s="6">
        <v>9000</v>
      </c>
      <c r="D15285" s="7">
        <v>0.28000000000000003</v>
      </c>
    </row>
    <row r="15286" spans="1:4" x14ac:dyDescent="0.25">
      <c r="A15286" t="str">
        <f>HYPERLINK("https://www.773grp.com/globalSearch/PZU22B3115/page-1", "PZU22B3115")</f>
        <v>PZU22B3115</v>
      </c>
      <c r="B15286" s="3" t="str">
        <f>HYPERLINK("https://www.773grp.com/manufacturer/nxp-semiconductor?pageNo=38", "NXP Semiconductors")</f>
        <v>NXP Semiconductors</v>
      </c>
      <c r="C15286" s="6">
        <v>5000</v>
      </c>
      <c r="D15286" s="7">
        <v>0.28000000000000003</v>
      </c>
    </row>
    <row r="15287" spans="1:4" x14ac:dyDescent="0.25">
      <c r="A15287" t="str">
        <f>HYPERLINK("https://www.773grp.com/globalSearch/PZU24B1115/page-1", "PZU24B1115")</f>
        <v>PZU24B1115</v>
      </c>
      <c r="B15287" s="3" t="str">
        <f>HYPERLINK("https://www.773grp.com/manufacturer/nxp-semiconductor?pageNo=39", "NXP Semiconductors")</f>
        <v>NXP Semiconductors</v>
      </c>
      <c r="C15287" s="6">
        <v>12000</v>
      </c>
      <c r="D15287" s="7">
        <v>0.28000000000000003</v>
      </c>
    </row>
    <row r="15288" spans="1:4" x14ac:dyDescent="0.25">
      <c r="A15288" t="str">
        <f>HYPERLINK("https://www.773grp.com/globalSearch/PZU24B2115/page-1", "PZU24B2115")</f>
        <v>PZU24B2115</v>
      </c>
      <c r="B15288" s="3" t="str">
        <f>HYPERLINK("https://www.773grp.com/manufacturer/nxp-semiconductor?pageNo=40", "NXP Semiconductors")</f>
        <v>NXP Semiconductors</v>
      </c>
      <c r="C15288" s="6">
        <v>12000</v>
      </c>
      <c r="D15288" s="7">
        <v>0.28000000000000003</v>
      </c>
    </row>
    <row r="15289" spans="1:4" x14ac:dyDescent="0.25">
      <c r="A15289" t="str">
        <f>HYPERLINK("https://www.773grp.com/globalSearch/PZU24B3115/page-1", "PZU24B3115")</f>
        <v>PZU24B3115</v>
      </c>
      <c r="B15289" s="3" t="str">
        <f>HYPERLINK("https://www.773grp.com/manufacturer/nxp-semiconductor?pageNo=41", "NXP Semiconductors")</f>
        <v>NXP Semiconductors</v>
      </c>
      <c r="C15289" s="6">
        <v>9000</v>
      </c>
      <c r="D15289" s="7">
        <v>0.28000000000000003</v>
      </c>
    </row>
    <row r="15290" spans="1:4" x14ac:dyDescent="0.25">
      <c r="A15290" t="str">
        <f>HYPERLINK("https://www.773grp.com/globalSearch/PZU3.0B1115/page-1", "PZU3.0B1115")</f>
        <v>PZU3.0B1115</v>
      </c>
      <c r="B15290" s="3" t="str">
        <f>HYPERLINK("https://www.773grp.com/manufacturer/nxp-semiconductor?pageNo=42", "NXP Semiconductors")</f>
        <v>NXP Semiconductors</v>
      </c>
      <c r="C15290" s="6">
        <v>15000</v>
      </c>
      <c r="D15290" s="7">
        <v>0.28000000000000003</v>
      </c>
    </row>
    <row r="15291" spans="1:4" x14ac:dyDescent="0.25">
      <c r="A15291" t="str">
        <f>HYPERLINK("https://www.773grp.com/globalSearch/PZU3.0B2115/page-1", "PZU3.0B2115")</f>
        <v>PZU3.0B2115</v>
      </c>
      <c r="B15291" s="3" t="str">
        <f>HYPERLINK("https://www.773grp.com/manufacturer/nxp-semiconductor?pageNo=43", "NXP Semiconductors")</f>
        <v>NXP Semiconductors</v>
      </c>
      <c r="C15291" s="6">
        <v>8700</v>
      </c>
      <c r="D15291" s="7">
        <v>0.28000000000000003</v>
      </c>
    </row>
    <row r="15292" spans="1:4" x14ac:dyDescent="0.25">
      <c r="A15292" t="str">
        <f>HYPERLINK("https://www.773grp.com/globalSearch/PZU3.0DB2115/page-1", "PZU3.0DB2115")</f>
        <v>PZU3.0DB2115</v>
      </c>
      <c r="B15292" s="3" t="str">
        <f>HYPERLINK("https://www.773grp.com/manufacturer/nxp-semiconductor?pageNo=44", "NXP Semiconductors")</f>
        <v>NXP Semiconductors</v>
      </c>
      <c r="C15292" s="6">
        <v>3000</v>
      </c>
      <c r="D15292" s="7">
        <v>0.28000000000000003</v>
      </c>
    </row>
    <row r="15293" spans="1:4" x14ac:dyDescent="0.25">
      <c r="A15293" t="str">
        <f>HYPERLINK("https://www.773grp.com/globalSearch/PZU3.3B1115/page-1", "PZU3.3B1115")</f>
        <v>PZU3.3B1115</v>
      </c>
      <c r="B15293" s="3" t="str">
        <f>HYPERLINK("https://www.773grp.com/manufacturer/nxp-semiconductor?pageNo=45", "NXP Semiconductors")</f>
        <v>NXP Semiconductors</v>
      </c>
      <c r="C15293" s="6">
        <v>12554</v>
      </c>
      <c r="D15293" s="7">
        <v>0.28000000000000003</v>
      </c>
    </row>
    <row r="15294" spans="1:4" x14ac:dyDescent="0.25">
      <c r="A15294" t="str">
        <f>HYPERLINK("https://www.773grp.com/globalSearch/PZU3.3B2115/page-1", "PZU3.3B2115")</f>
        <v>PZU3.3B2115</v>
      </c>
      <c r="B15294" s="3" t="str">
        <f>HYPERLINK("https://www.773grp.com/manufacturer/nxp-semiconductor?pageNo=46", "NXP Semiconductors")</f>
        <v>NXP Semiconductors</v>
      </c>
      <c r="C15294" s="6">
        <v>20497</v>
      </c>
      <c r="D15294" s="7">
        <v>0.28000000000000003</v>
      </c>
    </row>
    <row r="15295" spans="1:4" x14ac:dyDescent="0.25">
      <c r="A15295" t="str">
        <f>HYPERLINK("https://www.773grp.com/globalSearch/PZU3.3DB2115/page-1", "PZU3.3DB2115")</f>
        <v>PZU3.3DB2115</v>
      </c>
      <c r="B15295" s="3" t="str">
        <f>HYPERLINK("https://www.773grp.com/manufacturer/nxp-semiconductor?pageNo=47", "NXP Semiconductors")</f>
        <v>NXP Semiconductors</v>
      </c>
      <c r="C15295" s="6">
        <v>6000</v>
      </c>
      <c r="D15295" s="7">
        <v>0.28000000000000003</v>
      </c>
    </row>
    <row r="15296" spans="1:4" x14ac:dyDescent="0.25">
      <c r="A15296" t="str">
        <f>HYPERLINK("https://www.773grp.com/globalSearch/PZU3.6B1115/page-1", "PZU3.6B1115")</f>
        <v>PZU3.6B1115</v>
      </c>
      <c r="B15296" s="3" t="str">
        <f>HYPERLINK("https://www.773grp.com/manufacturer/nxp-semiconductor?pageNo=48", "NXP Semiconductors")</f>
        <v>NXP Semiconductors</v>
      </c>
      <c r="C15296" s="6">
        <v>6000</v>
      </c>
      <c r="D15296" s="7">
        <v>0.28000000000000003</v>
      </c>
    </row>
    <row r="15297" spans="1:4" x14ac:dyDescent="0.25">
      <c r="A15297" t="str">
        <f>HYPERLINK("https://www.773grp.com/globalSearch/PZU3.6B2115/page-1", "PZU3.6B2115")</f>
        <v>PZU3.6B2115</v>
      </c>
      <c r="B15297" s="3" t="str">
        <f>HYPERLINK("https://www.773grp.com/manufacturer/nxp-semiconductor?pageNo=1", "NXP Semiconductors")</f>
        <v>NXP Semiconductors</v>
      </c>
      <c r="C15297" s="6">
        <v>27000</v>
      </c>
      <c r="D15297" s="7">
        <v>0.28000000000000003</v>
      </c>
    </row>
    <row r="15298" spans="1:4" x14ac:dyDescent="0.25">
      <c r="A15298" t="str">
        <f>HYPERLINK("https://www.773grp.com/globalSearch/PZU3.9B1115/page-1", "PZU3.9B1115")</f>
        <v>PZU3.9B1115</v>
      </c>
      <c r="B15298" s="3" t="str">
        <f>HYPERLINK("https://www.773grp.com/manufacturer/nxp-semiconductor?pageNo=2", "NXP Semiconductors")</f>
        <v>NXP Semiconductors</v>
      </c>
      <c r="C15298" s="6">
        <v>12430</v>
      </c>
      <c r="D15298" s="7">
        <v>0.28000000000000003</v>
      </c>
    </row>
    <row r="15299" spans="1:4" x14ac:dyDescent="0.25">
      <c r="A15299" t="str">
        <f>HYPERLINK("https://www.773grp.com/globalSearch/PZU3.9B2115/page-1", "PZU3.9B2115")</f>
        <v>PZU3.9B2115</v>
      </c>
      <c r="B15299" s="3" t="str">
        <f>HYPERLINK("https://www.773grp.com/manufacturer/nxp-semiconductor?pageNo=3", "NXP Semiconductors")</f>
        <v>NXP Semiconductors</v>
      </c>
      <c r="C15299" s="6">
        <v>42000</v>
      </c>
      <c r="D15299" s="7">
        <v>0.28000000000000003</v>
      </c>
    </row>
    <row r="15300" spans="1:4" x14ac:dyDescent="0.25">
      <c r="A15300" t="str">
        <f>HYPERLINK("https://www.773grp.com/globalSearch/PZU4.3B1115/page-1", "PZU4.3B1115")</f>
        <v>PZU4.3B1115</v>
      </c>
      <c r="B15300" s="3" t="str">
        <f>HYPERLINK("https://www.773grp.com/manufacturer/nxp-semiconductor?pageNo=4", "NXP Semiconductors")</f>
        <v>NXP Semiconductors</v>
      </c>
      <c r="C15300" s="6">
        <v>6000</v>
      </c>
      <c r="D15300" s="7">
        <v>0.28000000000000003</v>
      </c>
    </row>
    <row r="15301" spans="1:4" x14ac:dyDescent="0.25">
      <c r="A15301" t="str">
        <f>HYPERLINK("https://www.773grp.com/globalSearch/PZU4.3B2115/page-1", "PZU4.3B2115")</f>
        <v>PZU4.3B2115</v>
      </c>
      <c r="B15301" s="3" t="str">
        <f>HYPERLINK("https://www.773grp.com/manufacturer/nxp-semiconductor?pageNo=5", "NXP Semiconductors")</f>
        <v>NXP Semiconductors</v>
      </c>
      <c r="C15301" s="6">
        <v>9200</v>
      </c>
      <c r="D15301" s="7">
        <v>0.28000000000000003</v>
      </c>
    </row>
    <row r="15302" spans="1:4" x14ac:dyDescent="0.25">
      <c r="A15302" t="str">
        <f>HYPERLINK("https://www.773grp.com/globalSearch/PZU4.3B3115/page-1", "PZU4.3B3115")</f>
        <v>PZU4.3B3115</v>
      </c>
      <c r="B15302" s="3" t="str">
        <f>HYPERLINK("https://www.773grp.com/manufacturer/nxp-semiconductor?pageNo=6", "NXP Semiconductors")</f>
        <v>NXP Semiconductors</v>
      </c>
      <c r="C15302" s="6">
        <v>6448</v>
      </c>
      <c r="D15302" s="7">
        <v>0.28000000000000003</v>
      </c>
    </row>
    <row r="15303" spans="1:4" x14ac:dyDescent="0.25">
      <c r="A15303" t="str">
        <f>HYPERLINK("https://www.773grp.com/globalSearch/PZU4.7B1115/page-1", "PZU4.7B1115")</f>
        <v>PZU4.7B1115</v>
      </c>
      <c r="B15303" s="3" t="str">
        <f>HYPERLINK("https://www.773grp.com/manufacturer/nxp-semiconductor?pageNo=7", "NXP Semiconductors")</f>
        <v>NXP Semiconductors</v>
      </c>
      <c r="C15303" s="6">
        <v>165</v>
      </c>
      <c r="D15303" s="7">
        <v>0.28000000000000003</v>
      </c>
    </row>
    <row r="15304" spans="1:4" x14ac:dyDescent="0.25">
      <c r="A15304" t="str">
        <f>HYPERLINK("https://www.773grp.com/globalSearch/PZU4.7B2115/page-1", "PZU4.7B2115")</f>
        <v>PZU4.7B2115</v>
      </c>
      <c r="B15304" s="3" t="str">
        <f>HYPERLINK("https://www.773grp.com/manufacturer/nxp-semiconductor?pageNo=8", "NXP Semiconductors")</f>
        <v>NXP Semiconductors</v>
      </c>
      <c r="C15304" s="6">
        <v>15000</v>
      </c>
      <c r="D15304" s="7">
        <v>0.28000000000000003</v>
      </c>
    </row>
    <row r="15305" spans="1:4" x14ac:dyDescent="0.25">
      <c r="A15305" t="str">
        <f>HYPERLINK("https://www.773grp.com/globalSearch/PZU4.7B2135/page-1", "PZU4.7B2135")</f>
        <v>PZU4.7B2135</v>
      </c>
      <c r="B15305" s="3" t="str">
        <f>HYPERLINK("https://www.773grp.com/manufacturer/nxp-semiconductor?pageNo=9", "NXP Semiconductors")</f>
        <v>NXP Semiconductors</v>
      </c>
      <c r="C15305" s="6">
        <v>10000</v>
      </c>
      <c r="D15305" s="7">
        <v>0.28000000000000003</v>
      </c>
    </row>
    <row r="15306" spans="1:4" x14ac:dyDescent="0.25">
      <c r="A15306" t="str">
        <f>HYPERLINK("https://www.773grp.com/globalSearch/PZU4.7B3115/page-1", "PZU4.7B3115")</f>
        <v>PZU4.7B3115</v>
      </c>
      <c r="B15306" s="3" t="str">
        <f>HYPERLINK("https://www.773grp.com/manufacturer/nxp-semiconductor?pageNo=10", "NXP Semiconductors")</f>
        <v>NXP Semiconductors</v>
      </c>
      <c r="C15306" s="6">
        <v>6000</v>
      </c>
      <c r="D15306" s="7">
        <v>0.28000000000000003</v>
      </c>
    </row>
    <row r="15307" spans="1:4" x14ac:dyDescent="0.25">
      <c r="A15307" t="str">
        <f>HYPERLINK("https://www.773grp.com/globalSearch/PZU5.1B1115/page-1", "PZU5.1B1115")</f>
        <v>PZU5.1B1115</v>
      </c>
      <c r="B15307" s="3" t="str">
        <f>HYPERLINK("https://www.773grp.com/manufacturer/nxp-semiconductor?pageNo=11", "NXP Semiconductors")</f>
        <v>NXP Semiconductors</v>
      </c>
      <c r="C15307" s="6">
        <v>6100</v>
      </c>
      <c r="D15307" s="7">
        <v>0.28000000000000003</v>
      </c>
    </row>
    <row r="15308" spans="1:4" x14ac:dyDescent="0.25">
      <c r="A15308" t="str">
        <f>HYPERLINK("https://www.773grp.com/globalSearch/PZU5.1B2115/page-1", "PZU5.1B2115")</f>
        <v>PZU5.1B2115</v>
      </c>
      <c r="B15308" s="3" t="str">
        <f>HYPERLINK("https://www.773grp.com/manufacturer/nxp-semiconductor?pageNo=12", "NXP Semiconductors")</f>
        <v>NXP Semiconductors</v>
      </c>
      <c r="C15308" s="6">
        <v>18000</v>
      </c>
      <c r="D15308" s="7">
        <v>0.28000000000000003</v>
      </c>
    </row>
    <row r="15309" spans="1:4" x14ac:dyDescent="0.25">
      <c r="A15309" t="str">
        <f>HYPERLINK("https://www.773grp.com/globalSearch/PZU5.1B3115/page-1", "PZU5.1B3115")</f>
        <v>PZU5.1B3115</v>
      </c>
      <c r="B15309" s="3" t="str">
        <f>HYPERLINK("https://www.773grp.com/manufacturer/nxp-semiconductor?pageNo=13", "NXP Semiconductors")</f>
        <v>NXP Semiconductors</v>
      </c>
      <c r="C15309" s="6">
        <v>57000</v>
      </c>
      <c r="D15309" s="7">
        <v>0.28000000000000003</v>
      </c>
    </row>
    <row r="15310" spans="1:4" x14ac:dyDescent="0.25">
      <c r="A15310" t="str">
        <f>HYPERLINK("https://www.773grp.com/globalSearch/PZU5.6B1115/page-1", "PZU5.6B1115")</f>
        <v>PZU5.6B1115</v>
      </c>
      <c r="B15310" s="3" t="str">
        <f>HYPERLINK("https://www.773grp.com/manufacturer/nxp-semiconductor?pageNo=14", "NXP Semiconductors")</f>
        <v>NXP Semiconductors</v>
      </c>
      <c r="C15310" s="6">
        <v>700</v>
      </c>
      <c r="D15310" s="7">
        <v>0.28000000000000003</v>
      </c>
    </row>
    <row r="15311" spans="1:4" x14ac:dyDescent="0.25">
      <c r="A15311" t="str">
        <f>HYPERLINK("https://www.773grp.com/globalSearch/PZU5.6B2115/page-1", "PZU5.6B2115")</f>
        <v>PZU5.6B2115</v>
      </c>
      <c r="B15311" s="3" t="str">
        <f>HYPERLINK("https://www.773grp.com/manufacturer/nxp-semiconductor?pageNo=15", "NXP Semiconductors")</f>
        <v>NXP Semiconductors</v>
      </c>
      <c r="C15311" s="6">
        <v>21000</v>
      </c>
      <c r="D15311" s="7">
        <v>0.28000000000000003</v>
      </c>
    </row>
    <row r="15312" spans="1:4" x14ac:dyDescent="0.25">
      <c r="A15312" t="str">
        <f>HYPERLINK("https://www.773grp.com/globalSearch/PZU5.6B3115/page-1", "PZU5.6B3115")</f>
        <v>PZU5.6B3115</v>
      </c>
      <c r="B15312" s="3" t="str">
        <f>HYPERLINK("https://www.773grp.com/manufacturer/nxp-semiconductor?pageNo=16", "NXP Semiconductors")</f>
        <v>NXP Semiconductors</v>
      </c>
      <c r="C15312" s="6">
        <v>21000</v>
      </c>
      <c r="D15312" s="7">
        <v>0.28000000000000003</v>
      </c>
    </row>
    <row r="15313" spans="1:4" x14ac:dyDescent="0.25">
      <c r="A15313" t="str">
        <f>HYPERLINK("https://www.773grp.com/globalSearch/PZU6.2B1115/page-1", "PZU6.2B1115")</f>
        <v>PZU6.2B1115</v>
      </c>
      <c r="B15313" s="3" t="str">
        <f>HYPERLINK("https://www.773grp.com/manufacturer/nxp-semiconductor?pageNo=17", "NXP Semiconductors")</f>
        <v>NXP Semiconductors</v>
      </c>
      <c r="C15313" s="6">
        <v>6000</v>
      </c>
      <c r="D15313" s="7">
        <v>0.28000000000000003</v>
      </c>
    </row>
    <row r="15314" spans="1:4" x14ac:dyDescent="0.25">
      <c r="A15314" t="str">
        <f>HYPERLINK("https://www.773grp.com/globalSearch/PZU6.2B2115/page-1", "PZU6.2B2115")</f>
        <v>PZU6.2B2115</v>
      </c>
      <c r="B15314" s="3" t="str">
        <f>HYPERLINK("https://www.773grp.com/manufacturer/nxp-semiconductor?pageNo=18", "NXP Semiconductors")</f>
        <v>NXP Semiconductors</v>
      </c>
      <c r="C15314" s="6">
        <v>30000</v>
      </c>
      <c r="D15314" s="7">
        <v>0.28000000000000003</v>
      </c>
    </row>
    <row r="15315" spans="1:4" x14ac:dyDescent="0.25">
      <c r="A15315" t="str">
        <f>HYPERLINK("https://www.773grp.com/globalSearch/PZU6.8B1115/page-1", "PZU6.8B1115")</f>
        <v>PZU6.8B1115</v>
      </c>
      <c r="B15315" s="3" t="str">
        <f>HYPERLINK("https://www.773grp.com/manufacturer/nxp-semiconductor?pageNo=19", "NXP Semiconductors")</f>
        <v>NXP Semiconductors</v>
      </c>
      <c r="C15315" s="6">
        <v>12366</v>
      </c>
      <c r="D15315" s="7">
        <v>0.28000000000000003</v>
      </c>
    </row>
    <row r="15316" spans="1:4" x14ac:dyDescent="0.25">
      <c r="A15316" t="str">
        <f>HYPERLINK("https://www.773grp.com/globalSearch/PZU6.8B2115/page-1", "PZU6.8B2115")</f>
        <v>PZU6.8B2115</v>
      </c>
      <c r="B15316" s="3" t="str">
        <f>HYPERLINK("https://www.773grp.com/manufacturer/nxp-semiconductor?pageNo=20", "NXP Semiconductors")</f>
        <v>NXP Semiconductors</v>
      </c>
      <c r="C15316" s="6">
        <v>9000</v>
      </c>
      <c r="D15316" s="7">
        <v>0.28000000000000003</v>
      </c>
    </row>
    <row r="15317" spans="1:4" x14ac:dyDescent="0.25">
      <c r="A15317" t="str">
        <f>HYPERLINK("https://www.773grp.com/globalSearch/PZU6.8B3115/page-1", "PZU6.8B3115")</f>
        <v>PZU6.8B3115</v>
      </c>
      <c r="B15317" s="3" t="str">
        <f>HYPERLINK("https://www.773grp.com/manufacturer/nxp-semiconductor?pageNo=21", "NXP Semiconductors")</f>
        <v>NXP Semiconductors</v>
      </c>
      <c r="C15317" s="6">
        <v>18000</v>
      </c>
      <c r="D15317" s="7">
        <v>0.28000000000000003</v>
      </c>
    </row>
    <row r="15318" spans="1:4" x14ac:dyDescent="0.25">
      <c r="A15318" t="str">
        <f>HYPERLINK("https://www.773grp.com/globalSearch/PZU6.8DB2115/page-1", "PZU6.8DB2115")</f>
        <v>PZU6.8DB2115</v>
      </c>
      <c r="B15318" s="3" t="str">
        <f>HYPERLINK("https://www.773grp.com/manufacturer/nxp-semiconductor?pageNo=22", "NXP Semiconductors")</f>
        <v>NXP Semiconductors</v>
      </c>
      <c r="C15318" s="6">
        <v>3000</v>
      </c>
      <c r="D15318" s="7">
        <v>0.28000000000000003</v>
      </c>
    </row>
    <row r="15319" spans="1:4" x14ac:dyDescent="0.25">
      <c r="A15319" t="str">
        <f>HYPERLINK("https://www.773grp.com/globalSearch/PZU7.5B1115/page-1", "PZU7.5B1115")</f>
        <v>PZU7.5B1115</v>
      </c>
      <c r="B15319" s="3" t="str">
        <f>HYPERLINK("https://www.773grp.com/manufacturer/nxp-semiconductor?pageNo=23", "NXP Semiconductors")</f>
        <v>NXP Semiconductors</v>
      </c>
      <c r="C15319" s="6">
        <v>6000</v>
      </c>
      <c r="D15319" s="7">
        <v>0.28000000000000003</v>
      </c>
    </row>
    <row r="15320" spans="1:4" x14ac:dyDescent="0.25">
      <c r="A15320" t="str">
        <f>HYPERLINK("https://www.773grp.com/globalSearch/PZU7.5B2115/page-1", "PZU7.5B2115")</f>
        <v>PZU7.5B2115</v>
      </c>
      <c r="B15320" s="3" t="str">
        <f>HYPERLINK("https://www.773grp.com/manufacturer/nxp-semiconductor?pageNo=24", "NXP Semiconductors")</f>
        <v>NXP Semiconductors</v>
      </c>
      <c r="C15320" s="6">
        <v>12000</v>
      </c>
      <c r="D15320" s="7">
        <v>0.28000000000000003</v>
      </c>
    </row>
    <row r="15321" spans="1:4" x14ac:dyDescent="0.25">
      <c r="A15321" t="str">
        <f>HYPERLINK("https://www.773grp.com/globalSearch/PZU7.5B3115/page-1", "PZU7.5B3115")</f>
        <v>PZU7.5B3115</v>
      </c>
      <c r="B15321" s="3" t="str">
        <f>HYPERLINK("https://www.773grp.com/manufacturer/nxp-semiconductor?pageNo=25", "NXP Semiconductors")</f>
        <v>NXP Semiconductors</v>
      </c>
      <c r="C15321" s="6">
        <v>30000</v>
      </c>
      <c r="D15321" s="7">
        <v>0.28000000000000003</v>
      </c>
    </row>
    <row r="15322" spans="1:4" x14ac:dyDescent="0.25">
      <c r="A15322" t="str">
        <f>HYPERLINK("https://www.773grp.com/globalSearch/PZU8.2B1115/page-1", "PZU8.2B1115")</f>
        <v>PZU8.2B1115</v>
      </c>
      <c r="B15322" s="3" t="str">
        <f>HYPERLINK("https://www.773grp.com/manufacturer/nxp-semiconductor?pageNo=26", "NXP Semiconductors")</f>
        <v>NXP Semiconductors</v>
      </c>
      <c r="C15322" s="6">
        <v>12201</v>
      </c>
      <c r="D15322" s="7">
        <v>0.28000000000000003</v>
      </c>
    </row>
    <row r="15323" spans="1:4" x14ac:dyDescent="0.25">
      <c r="A15323" t="str">
        <f>HYPERLINK("https://www.773grp.com/globalSearch/PZU8.2B3115/page-1", "PZU8.2B3115")</f>
        <v>PZU8.2B3115</v>
      </c>
      <c r="B15323" s="3" t="str">
        <f>HYPERLINK("https://www.773grp.com/manufacturer/nxp-semiconductor?pageNo=27", "NXP Semiconductors")</f>
        <v>NXP Semiconductors</v>
      </c>
      <c r="C15323" s="6">
        <v>8209</v>
      </c>
      <c r="D15323" s="7">
        <v>0.28000000000000003</v>
      </c>
    </row>
    <row r="15324" spans="1:4" x14ac:dyDescent="0.25">
      <c r="A15324" t="str">
        <f>HYPERLINK("https://www.773grp.com/globalSearch/PZU9.1B1115/page-1", "PZU9.1B1115")</f>
        <v>PZU9.1B1115</v>
      </c>
      <c r="B15324" s="3" t="str">
        <f>HYPERLINK("https://www.773grp.com/manufacturer/nxp-semiconductor?pageNo=28", "NXP Semiconductors")</f>
        <v>NXP Semiconductors</v>
      </c>
      <c r="C15324" s="6">
        <v>6395</v>
      </c>
      <c r="D15324" s="7">
        <v>0.28000000000000003</v>
      </c>
    </row>
    <row r="15325" spans="1:4" x14ac:dyDescent="0.25">
      <c r="A15325" t="str">
        <f>HYPERLINK("https://www.773grp.com/globalSearch/PZU9.1B2115/page-1", "PZU9.1B2115")</f>
        <v>PZU9.1B2115</v>
      </c>
      <c r="B15325" s="3" t="str">
        <f>HYPERLINK("https://www.773grp.com/manufacturer/nxp-semiconductor?pageNo=29", "NXP Semiconductors")</f>
        <v>NXP Semiconductors</v>
      </c>
      <c r="C15325" s="6">
        <v>6000</v>
      </c>
      <c r="D15325" s="7">
        <v>0.28000000000000003</v>
      </c>
    </row>
    <row r="15326" spans="1:4" x14ac:dyDescent="0.25">
      <c r="A15326" t="str">
        <f>HYPERLINK("https://www.773grp.com/globalSearch/PZU9.1B3115/page-1", "PZU9.1B3115")</f>
        <v>PZU9.1B3115</v>
      </c>
      <c r="B15326" s="3" t="str">
        <f>HYPERLINK("https://www.773grp.com/manufacturer/nxp-semiconductor?pageNo=30", "NXP Semiconductors")</f>
        <v>NXP Semiconductors</v>
      </c>
      <c r="C15326" s="6">
        <v>11047</v>
      </c>
      <c r="D15326" s="7">
        <v>0.28000000000000003</v>
      </c>
    </row>
    <row r="15327" spans="1:4" x14ac:dyDescent="0.25">
      <c r="A15327" t="str">
        <f>HYPERLINK("https://www.773grp.com/globalSearch/SL3S1202AC0118/page-1", "SL3S1202AC0118")</f>
        <v>SL3S1202AC0118</v>
      </c>
      <c r="B15327" s="3" t="str">
        <f>HYPERLINK("https://www.773grp.com/manufacturer/nxp-semiconductor?pageNo=31", "NXP Semiconductors")</f>
        <v>NXP Semiconductors</v>
      </c>
      <c r="C15327" s="6">
        <v>15000</v>
      </c>
      <c r="D15327" s="7">
        <v>0.28000000000000003</v>
      </c>
    </row>
    <row r="15328" spans="1:4" x14ac:dyDescent="0.25">
      <c r="A15328" t="str">
        <f>HYPERLINK("https://www.773grp.com/globalSearch/SL3S1202AC2118/page-1", "SL3S1202AC2118")</f>
        <v>SL3S1202AC2118</v>
      </c>
      <c r="B15328" s="3" t="str">
        <f>HYPERLINK("https://www.773grp.com/manufacturer/nxp-semiconductor?pageNo=32", "NXP Semiconductors")</f>
        <v>NXP Semiconductors</v>
      </c>
      <c r="C15328" s="6">
        <v>11000</v>
      </c>
      <c r="D15328" s="7">
        <v>0.28000000000000003</v>
      </c>
    </row>
    <row r="15329" spans="1:4" x14ac:dyDescent="0.25">
      <c r="A15329" t="str">
        <f>HYPERLINK("https://www.773grp.com/globalSearch/TL431AMSDT215/page-1", "TL431AMSDT215")</f>
        <v>TL431AMSDT215</v>
      </c>
      <c r="B15329" s="3" t="str">
        <f>HYPERLINK("https://www.773grp.com/manufacturer/nxp-semiconductor?pageNo=33", "NXP Semiconductors")</f>
        <v>NXP Semiconductors</v>
      </c>
      <c r="C15329" s="6">
        <v>9845</v>
      </c>
      <c r="D15329" s="7">
        <v>0.28000000000000003</v>
      </c>
    </row>
    <row r="15330" spans="1:4" x14ac:dyDescent="0.25">
      <c r="A15330" t="str">
        <f>HYPERLINK("https://www.773grp.com/globalSearch/TL431ASDT215/page-1", "TL431ASDT215")</f>
        <v>TL431ASDT215</v>
      </c>
      <c r="B15330" s="3" t="str">
        <f>HYPERLINK("https://www.773grp.com/manufacturer/nxp-semiconductor?pageNo=34", "NXP Semiconductors")</f>
        <v>NXP Semiconductors</v>
      </c>
      <c r="C15330" s="6">
        <v>12128</v>
      </c>
      <c r="D15330" s="7">
        <v>0.28000000000000003</v>
      </c>
    </row>
    <row r="15331" spans="1:4" x14ac:dyDescent="0.25">
      <c r="A15331" t="str">
        <f>HYPERLINK("https://www.773grp.com/globalSearch/TL431BFDT215/page-1", "TL431BFDT215")</f>
        <v>TL431BFDT215</v>
      </c>
      <c r="B15331" s="3" t="str">
        <f>HYPERLINK("https://www.773grp.com/manufacturer/nxp-semiconductor?pageNo=35", "NXP Semiconductors")</f>
        <v>NXP Semiconductors</v>
      </c>
      <c r="C15331" s="6">
        <v>12000</v>
      </c>
      <c r="D15331" s="7">
        <v>0.28000000000000003</v>
      </c>
    </row>
    <row r="15332" spans="1:4" x14ac:dyDescent="0.25">
      <c r="A15332" t="str">
        <f>HYPERLINK("https://www.773grp.com/globalSearch/TL431CDBZR215/page-1", "TL431CDBZR215")</f>
        <v>TL431CDBZR215</v>
      </c>
      <c r="B15332" s="3" t="str">
        <f>HYPERLINK("https://www.773grp.com/manufacturer/nxp-semiconductor?pageNo=36", "NXP Semiconductors")</f>
        <v>NXP Semiconductors</v>
      </c>
      <c r="C15332" s="6">
        <v>24000</v>
      </c>
      <c r="D15332" s="7">
        <v>0.28000000000000003</v>
      </c>
    </row>
    <row r="15333" spans="1:4" x14ac:dyDescent="0.25">
      <c r="A15333" t="str">
        <f>HYPERLINK("https://www.773grp.com/globalSearch/TL431FDT215/page-1", "TL431FDT215")</f>
        <v>TL431FDT215</v>
      </c>
      <c r="B15333" s="3" t="str">
        <f>HYPERLINK("https://www.773grp.com/manufacturer/nxp-semiconductor?pageNo=37", "NXP Semiconductors")</f>
        <v>NXP Semiconductors</v>
      </c>
      <c r="C15333" s="6">
        <v>12000</v>
      </c>
      <c r="D15333" s="7">
        <v>0.28000000000000003</v>
      </c>
    </row>
    <row r="15334" spans="1:4" x14ac:dyDescent="0.25">
      <c r="A15334" t="str">
        <f>HYPERLINK("https://www.773grp.com/globalSearch/TL431IDBZR215/page-1", "TL431IDBZR215")</f>
        <v>TL431IDBZR215</v>
      </c>
      <c r="B15334" s="3" t="str">
        <f>HYPERLINK("https://www.773grp.com/manufacturer/nxp-semiconductor?pageNo=38", "NXP Semiconductors")</f>
        <v>NXP Semiconductors</v>
      </c>
      <c r="C15334" s="6">
        <v>75000</v>
      </c>
      <c r="D15334" s="7">
        <v>0.28000000000000003</v>
      </c>
    </row>
    <row r="15335" spans="1:4" x14ac:dyDescent="0.25">
      <c r="A15335" t="str">
        <f>HYPERLINK("https://www.773grp.com/globalSearch/TL431MFDT215/page-1", "TL431MFDT215")</f>
        <v>TL431MFDT215</v>
      </c>
      <c r="B15335" s="3" t="str">
        <f>HYPERLINK("https://www.773grp.com/manufacturer/nxp-semiconductor?pageNo=39", "NXP Semiconductors")</f>
        <v>NXP Semiconductors</v>
      </c>
      <c r="C15335" s="6">
        <v>3088</v>
      </c>
      <c r="D15335" s="7">
        <v>0.28000000000000003</v>
      </c>
    </row>
    <row r="15336" spans="1:4" x14ac:dyDescent="0.25">
      <c r="A15336" t="str">
        <f>HYPERLINK("https://www.773grp.com/globalSearch/TL431MSDT215/page-1", "TL431MSDT215")</f>
        <v>TL431MSDT215</v>
      </c>
      <c r="B15336" s="3" t="str">
        <f>HYPERLINK("https://www.773grp.com/manufacturer/nxp-semiconductor?pageNo=40", "NXP Semiconductors")</f>
        <v>NXP Semiconductors</v>
      </c>
      <c r="C15336" s="6">
        <v>41873</v>
      </c>
      <c r="D15336" s="7">
        <v>0.28000000000000003</v>
      </c>
    </row>
    <row r="15337" spans="1:4" x14ac:dyDescent="0.25">
      <c r="A15337" t="str">
        <f>HYPERLINK("https://www.773grp.com/globalSearch/TL431QDBZR215/page-1", "TL431QDBZR215")</f>
        <v>TL431QDBZR215</v>
      </c>
      <c r="B15337" s="3" t="str">
        <f>HYPERLINK("https://www.773grp.com/manufacturer/nxp-semiconductor?pageNo=41", "NXP Semiconductors")</f>
        <v>NXP Semiconductors</v>
      </c>
      <c r="C15337" s="6">
        <v>36000</v>
      </c>
      <c r="D15337" s="7">
        <v>0.28000000000000003</v>
      </c>
    </row>
    <row r="15338" spans="1:4" x14ac:dyDescent="0.25">
      <c r="A15338" t="str">
        <f>HYPERLINK("https://www.773grp.com/globalSearch/TL431SDT215/page-1", "TL431SDT215")</f>
        <v>TL431SDT215</v>
      </c>
      <c r="B15338" s="3" t="str">
        <f>HYPERLINK("https://www.773grp.com/manufacturer/nxp-semiconductor?pageNo=42", "NXP Semiconductors")</f>
        <v>NXP Semiconductors</v>
      </c>
      <c r="C15338" s="6">
        <v>24900</v>
      </c>
      <c r="D15338" s="7">
        <v>0.28000000000000003</v>
      </c>
    </row>
    <row r="15339" spans="1:4" x14ac:dyDescent="0.25">
      <c r="A15339" t="str">
        <f>HYPERLINK("https://www.773grp.com/globalSearch/74AHC00BQ115/page-1", "74AHC00BQ115")</f>
        <v>74AHC00BQ115</v>
      </c>
      <c r="B15339" s="3" t="str">
        <f>HYPERLINK("https://www.773grp.com/manufacturer/nxp-semiconductor?pageNo=43", "NXP Semiconductors")</f>
        <v>NXP Semiconductors</v>
      </c>
      <c r="C15339" s="6">
        <v>5880</v>
      </c>
      <c r="D15339" s="7">
        <v>0.33</v>
      </c>
    </row>
    <row r="15340" spans="1:4" x14ac:dyDescent="0.25">
      <c r="A15340" t="str">
        <f>HYPERLINK("https://www.773grp.com/globalSearch/74AHC02BQ115/page-1", "74AHC02BQ115")</f>
        <v>74AHC02BQ115</v>
      </c>
      <c r="B15340" s="3" t="str">
        <f>HYPERLINK("https://www.773grp.com/manufacturer/nxp-semiconductor?pageNo=44", "NXP Semiconductors")</f>
        <v>NXP Semiconductors</v>
      </c>
      <c r="C15340" s="6">
        <v>6059</v>
      </c>
      <c r="D15340" s="7">
        <v>0.33</v>
      </c>
    </row>
    <row r="15341" spans="1:4" x14ac:dyDescent="0.25">
      <c r="A15341" t="str">
        <f>HYPERLINK("https://www.773grp.com/globalSearch/74AHC04BQ115/page-1", "74AHC04BQ115")</f>
        <v>74AHC04BQ115</v>
      </c>
      <c r="B15341" s="3" t="str">
        <f>HYPERLINK("https://www.773grp.com/manufacturer/nxp-semiconductor?pageNo=45", "NXP Semiconductors")</f>
        <v>NXP Semiconductors</v>
      </c>
      <c r="C15341" s="6">
        <v>65</v>
      </c>
      <c r="D15341" s="7">
        <v>0.33</v>
      </c>
    </row>
    <row r="15342" spans="1:4" x14ac:dyDescent="0.25">
      <c r="A15342" t="str">
        <f>HYPERLINK("https://www.773grp.com/globalSearch/74AHC04D112/page-1", "74AHC04D112")</f>
        <v>74AHC04D112</v>
      </c>
      <c r="B15342" s="3" t="str">
        <f>HYPERLINK("https://www.773grp.com/manufacturer/nxp-semiconductor?pageNo=46", "NXP Semiconductors")</f>
        <v>NXP Semiconductors</v>
      </c>
      <c r="C15342" s="6">
        <v>5700</v>
      </c>
      <c r="D15342" s="7">
        <v>0.33</v>
      </c>
    </row>
    <row r="15343" spans="1:4" x14ac:dyDescent="0.25">
      <c r="A15343" t="str">
        <f>HYPERLINK("https://www.773grp.com/globalSearch/74AHC04D118/page-1", "74AHC04D118")</f>
        <v>74AHC04D118</v>
      </c>
      <c r="B15343" s="3" t="str">
        <f>HYPERLINK("https://www.773grp.com/manufacturer/nxp-semiconductor?pageNo=47", "NXP Semiconductors")</f>
        <v>NXP Semiconductors</v>
      </c>
      <c r="C15343" s="6">
        <v>5006</v>
      </c>
      <c r="D15343" s="7">
        <v>0.33</v>
      </c>
    </row>
    <row r="15344" spans="1:4" x14ac:dyDescent="0.25">
      <c r="A15344" t="str">
        <f>HYPERLINK("https://www.773grp.com/globalSearch/74AHC04PW118/page-1", "74AHC04PW118")</f>
        <v>74AHC04PW118</v>
      </c>
      <c r="B15344" s="3" t="str">
        <f>HYPERLINK("https://www.773grp.com/manufacturer/nxp-semiconductor?pageNo=48", "NXP Semiconductors")</f>
        <v>NXP Semiconductors</v>
      </c>
      <c r="C15344" s="6">
        <v>50000</v>
      </c>
      <c r="D15344" s="7">
        <v>0.33</v>
      </c>
    </row>
    <row r="15345" spans="1:4" x14ac:dyDescent="0.25">
      <c r="A15345" t="str">
        <f>HYPERLINK("https://www.773grp.com/globalSearch/74AHC08BQ115/page-1", "74AHC08BQ115")</f>
        <v>74AHC08BQ115</v>
      </c>
      <c r="B15345" s="3" t="str">
        <f>HYPERLINK("https://www.773grp.com/manufacturer/nxp-semiconductor?pageNo=1", "NXP Semiconductors")</f>
        <v>NXP Semiconductors</v>
      </c>
      <c r="C15345" s="6">
        <v>9901</v>
      </c>
      <c r="D15345" s="7">
        <v>0.33</v>
      </c>
    </row>
    <row r="15346" spans="1:4" x14ac:dyDescent="0.25">
      <c r="A15346" t="str">
        <f>HYPERLINK("https://www.773grp.com/globalSearch/74AHC126D112/page-1", "74AHC126D112")</f>
        <v>74AHC126D112</v>
      </c>
      <c r="B15346" s="3" t="str">
        <f>HYPERLINK("https://www.773grp.com/manufacturer/nxp-semiconductor?pageNo=2", "NXP Semiconductors")</f>
        <v>NXP Semiconductors</v>
      </c>
      <c r="C15346" s="6">
        <v>610</v>
      </c>
      <c r="D15346" s="7">
        <v>0.33</v>
      </c>
    </row>
    <row r="15347" spans="1:4" x14ac:dyDescent="0.25">
      <c r="A15347" t="str">
        <f>HYPERLINK("https://www.773grp.com/globalSearch/74AHC138D112/page-1", "74AHC138D112")</f>
        <v>74AHC138D112</v>
      </c>
      <c r="B15347" s="3" t="str">
        <f>HYPERLINK("https://www.773grp.com/manufacturer/nxp-semiconductor?pageNo=3", "NXP Semiconductors")</f>
        <v>NXP Semiconductors</v>
      </c>
      <c r="C15347" s="6">
        <v>13514</v>
      </c>
      <c r="D15347" s="7">
        <v>0.33</v>
      </c>
    </row>
    <row r="15348" spans="1:4" x14ac:dyDescent="0.25">
      <c r="A15348" t="str">
        <f>HYPERLINK("https://www.773grp.com/globalSearch/74AHC14PW112/page-1", "74AHC14PW112")</f>
        <v>74AHC14PW112</v>
      </c>
      <c r="B15348" s="3" t="str">
        <f>HYPERLINK("https://www.773grp.com/manufacturer/nxp-semiconductor?pageNo=4", "NXP Semiconductors")</f>
        <v>NXP Semiconductors</v>
      </c>
      <c r="C15348" s="6">
        <v>53279</v>
      </c>
      <c r="D15348" s="7">
        <v>0.33</v>
      </c>
    </row>
    <row r="15349" spans="1:4" x14ac:dyDescent="0.25">
      <c r="A15349" t="str">
        <f>HYPERLINK("https://www.773grp.com/globalSearch/74AHC14PW118/page-1", "74AHC14PW118")</f>
        <v>74AHC14PW118</v>
      </c>
      <c r="B15349" s="3" t="str">
        <f>HYPERLINK("https://www.773grp.com/manufacturer/nxp-semiconductor?pageNo=5", "NXP Semiconductors")</f>
        <v>NXP Semiconductors</v>
      </c>
      <c r="C15349" s="6">
        <v>212500</v>
      </c>
      <c r="D15349" s="7">
        <v>0.33</v>
      </c>
    </row>
    <row r="15350" spans="1:4" x14ac:dyDescent="0.25">
      <c r="A15350" t="str">
        <f>HYPERLINK("https://www.773grp.com/globalSearch/74AHC74D118/page-1", "74AHC74D118")</f>
        <v>74AHC74D118</v>
      </c>
      <c r="B15350" s="3" t="str">
        <f>HYPERLINK("https://www.773grp.com/manufacturer/nxp-semiconductor?pageNo=6", "NXP Semiconductors")</f>
        <v>NXP Semiconductors</v>
      </c>
      <c r="C15350" s="6">
        <v>2500</v>
      </c>
      <c r="D15350" s="7">
        <v>0.33</v>
      </c>
    </row>
    <row r="15351" spans="1:4" x14ac:dyDescent="0.25">
      <c r="A15351" t="str">
        <f>HYPERLINK("https://www.773grp.com/globalSearch/74AHC74PW118/page-1", "74AHC74PW118")</f>
        <v>74AHC74PW118</v>
      </c>
      <c r="B15351" s="3" t="str">
        <f>HYPERLINK("https://www.773grp.com/manufacturer/nxp-semiconductor?pageNo=7", "NXP Semiconductors")</f>
        <v>NXP Semiconductors</v>
      </c>
      <c r="C15351" s="6">
        <v>27500</v>
      </c>
      <c r="D15351" s="7">
        <v>0.33</v>
      </c>
    </row>
    <row r="15352" spans="1:4" x14ac:dyDescent="0.25">
      <c r="A15352" t="str">
        <f>HYPERLINK("https://www.773grp.com/globalSearch/74AHC86BQ115/page-1", "74AHC86BQ115")</f>
        <v>74AHC86BQ115</v>
      </c>
      <c r="B15352" s="3" t="str">
        <f>HYPERLINK("https://www.773grp.com/manufacturer/nxp-semiconductor?pageNo=8", "NXP Semiconductors")</f>
        <v>NXP Semiconductors</v>
      </c>
      <c r="C15352" s="6">
        <v>3200</v>
      </c>
      <c r="D15352" s="7">
        <v>0.33</v>
      </c>
    </row>
    <row r="15353" spans="1:4" x14ac:dyDescent="0.25">
      <c r="A15353" t="str">
        <f>HYPERLINK("https://www.773grp.com/globalSearch/74AHCT00BQ115/page-1", "74AHCT00BQ115")</f>
        <v>74AHCT00BQ115</v>
      </c>
      <c r="B15353" s="3" t="str">
        <f>HYPERLINK("https://www.773grp.com/manufacturer/nxp-semiconductor?pageNo=9", "NXP Semiconductors")</f>
        <v>NXP Semiconductors</v>
      </c>
      <c r="C15353" s="6">
        <v>1970</v>
      </c>
      <c r="D15353" s="7">
        <v>0.33</v>
      </c>
    </row>
    <row r="15354" spans="1:4" x14ac:dyDescent="0.25">
      <c r="A15354" t="str">
        <f>HYPERLINK("https://www.773grp.com/globalSearch/74AHCT04D112/page-1", "74AHCT04D112")</f>
        <v>74AHCT04D112</v>
      </c>
      <c r="B15354" s="3" t="str">
        <f>HYPERLINK("https://www.773grp.com/manufacturer/nxp-semiconductor?pageNo=10", "NXP Semiconductors")</f>
        <v>NXP Semiconductors</v>
      </c>
      <c r="C15354" s="6">
        <v>20425</v>
      </c>
      <c r="D15354" s="7">
        <v>0.33</v>
      </c>
    </row>
    <row r="15355" spans="1:4" x14ac:dyDescent="0.25">
      <c r="A15355" t="str">
        <f>HYPERLINK("https://www.773grp.com/globalSearch/74AHCT04D118/page-1", "74AHCT04D118")</f>
        <v>74AHCT04D118</v>
      </c>
      <c r="B15355" s="3" t="str">
        <f>HYPERLINK("https://www.773grp.com/manufacturer/nxp-semiconductor?pageNo=11", "NXP Semiconductors")</f>
        <v>NXP Semiconductors</v>
      </c>
      <c r="C15355" s="6">
        <v>27994</v>
      </c>
      <c r="D15355" s="7">
        <v>0.33</v>
      </c>
    </row>
    <row r="15356" spans="1:4" x14ac:dyDescent="0.25">
      <c r="A15356" t="str">
        <f>HYPERLINK("https://www.773grp.com/globalSearch/74AHCT04PW112/page-1", "74AHCT04PW112")</f>
        <v>74AHCT04PW112</v>
      </c>
      <c r="B15356" s="3" t="str">
        <f>HYPERLINK("https://www.773grp.com/manufacturer/nxp-semiconductor?pageNo=12", "NXP Semiconductors")</f>
        <v>NXP Semiconductors</v>
      </c>
      <c r="C15356" s="6">
        <v>12000</v>
      </c>
      <c r="D15356" s="7">
        <v>0.33</v>
      </c>
    </row>
    <row r="15357" spans="1:4" x14ac:dyDescent="0.25">
      <c r="A15357" t="str">
        <f>HYPERLINK("https://www.773grp.com/globalSearch/74AHCT08BQ115/page-1", "74AHCT08BQ115")</f>
        <v>74AHCT08BQ115</v>
      </c>
      <c r="B15357" s="3" t="str">
        <f>HYPERLINK("https://www.773grp.com/manufacturer/nxp-semiconductor?pageNo=13", "NXP Semiconductors")</f>
        <v>NXP Semiconductors</v>
      </c>
      <c r="C15357" s="6">
        <v>3130</v>
      </c>
      <c r="D15357" s="7">
        <v>0.33</v>
      </c>
    </row>
    <row r="15358" spans="1:4" x14ac:dyDescent="0.25">
      <c r="A15358" t="str">
        <f>HYPERLINK("https://www.773grp.com/globalSearch/74AHCT14PW118/page-1", "74AHCT14PW118")</f>
        <v>74AHCT14PW118</v>
      </c>
      <c r="B15358" s="3" t="str">
        <f>HYPERLINK("https://www.773grp.com/manufacturer/nxp-semiconductor?pageNo=14", "NXP Semiconductors")</f>
        <v>NXP Semiconductors</v>
      </c>
      <c r="C15358" s="6">
        <v>12500</v>
      </c>
      <c r="D15358" s="7">
        <v>0.33</v>
      </c>
    </row>
    <row r="15359" spans="1:4" x14ac:dyDescent="0.25">
      <c r="A15359" t="str">
        <f>HYPERLINK("https://www.773grp.com/globalSearch/74AHCT74D112/page-1", "74AHCT74D112")</f>
        <v>74AHCT74D112</v>
      </c>
      <c r="B15359" s="3" t="str">
        <f>HYPERLINK("https://www.773grp.com/manufacturer/nxp-semiconductor?pageNo=15", "NXP Semiconductors")</f>
        <v>NXP Semiconductors</v>
      </c>
      <c r="C15359" s="6">
        <v>10260</v>
      </c>
      <c r="D15359" s="7">
        <v>0.33</v>
      </c>
    </row>
    <row r="15360" spans="1:4" x14ac:dyDescent="0.25">
      <c r="A15360" t="str">
        <f>HYPERLINK("https://www.773grp.com/globalSearch/74AHCT74PW118/page-1", "74AHCT74PW118")</f>
        <v>74AHCT74PW118</v>
      </c>
      <c r="B15360" s="3" t="str">
        <f>HYPERLINK("https://www.773grp.com/manufacturer/nxp-semiconductor?pageNo=16", "NXP Semiconductors")</f>
        <v>NXP Semiconductors</v>
      </c>
      <c r="C15360" s="6">
        <v>7425</v>
      </c>
      <c r="D15360" s="7">
        <v>0.33</v>
      </c>
    </row>
    <row r="15361" spans="1:4" x14ac:dyDescent="0.25">
      <c r="A15361" t="str">
        <f>HYPERLINK("https://www.773grp.com/globalSearch/74HC00PW112/page-1", "74HC00PW112")</f>
        <v>74HC00PW112</v>
      </c>
      <c r="B15361" s="3" t="str">
        <f>HYPERLINK("https://www.773grp.com/manufacturer/nxp-semiconductor?pageNo=17", "NXP Semiconductors")</f>
        <v>NXP Semiconductors</v>
      </c>
      <c r="C15361" s="6">
        <v>4800</v>
      </c>
      <c r="D15361" s="7">
        <v>0.33</v>
      </c>
    </row>
    <row r="15362" spans="1:4" x14ac:dyDescent="0.25">
      <c r="A15362" t="str">
        <f>HYPERLINK("https://www.773grp.com/globalSearch/74HC00PW118/page-1", "74HC00PW118")</f>
        <v>74HC00PW118</v>
      </c>
      <c r="B15362" s="3" t="str">
        <f>HYPERLINK("https://www.773grp.com/manufacturer/nxp-semiconductor?pageNo=18", "NXP Semiconductors")</f>
        <v>NXP Semiconductors</v>
      </c>
      <c r="C15362" s="6">
        <v>5044</v>
      </c>
      <c r="D15362" s="7">
        <v>0.33</v>
      </c>
    </row>
    <row r="15363" spans="1:4" x14ac:dyDescent="0.25">
      <c r="A15363" t="str">
        <f>HYPERLINK("https://www.773grp.com/globalSearch/74HC02D653/page-1", "74HC02D653")</f>
        <v>74HC02D653</v>
      </c>
      <c r="B15363" s="3" t="str">
        <f>HYPERLINK("https://www.773grp.com/manufacturer/nxp-semiconductor?pageNo=19", "NXP Semiconductors")</f>
        <v>NXP Semiconductors</v>
      </c>
      <c r="C15363" s="6">
        <v>492500</v>
      </c>
      <c r="D15363" s="7">
        <v>0.33</v>
      </c>
    </row>
    <row r="15364" spans="1:4" x14ac:dyDescent="0.25">
      <c r="A15364" t="str">
        <f>HYPERLINK("https://www.773grp.com/globalSearch/74HC02PW112/page-1", "74HC02PW112")</f>
        <v>74HC02PW112</v>
      </c>
      <c r="B15364" s="3" t="str">
        <f>HYPERLINK("https://www.773grp.com/manufacturer/nxp-semiconductor?pageNo=20", "NXP Semiconductors")</f>
        <v>NXP Semiconductors</v>
      </c>
      <c r="C15364" s="6">
        <v>4800</v>
      </c>
      <c r="D15364" s="7">
        <v>0.33</v>
      </c>
    </row>
    <row r="15365" spans="1:4" x14ac:dyDescent="0.25">
      <c r="A15365" t="str">
        <f>HYPERLINK("https://www.773grp.com/globalSearch/74HC02PW118/page-1", "74HC02PW118")</f>
        <v>74HC02PW118</v>
      </c>
      <c r="B15365" s="3" t="str">
        <f>HYPERLINK("https://www.773grp.com/manufacturer/nxp-semiconductor?pageNo=21", "NXP Semiconductors")</f>
        <v>NXP Semiconductors</v>
      </c>
      <c r="C15365" s="6">
        <v>2500</v>
      </c>
      <c r="D15365" s="7">
        <v>0.33</v>
      </c>
    </row>
    <row r="15366" spans="1:4" x14ac:dyDescent="0.25">
      <c r="A15366" t="str">
        <f>HYPERLINK("https://www.773grp.com/globalSearch/74HC04D653/page-1", "74HC04D653")</f>
        <v>74HC04D653</v>
      </c>
      <c r="B15366" s="3" t="str">
        <f>HYPERLINK("https://www.773grp.com/manufacturer/nxp-semiconductor?pageNo=22", "NXP Semiconductors")</f>
        <v>NXP Semiconductors</v>
      </c>
      <c r="C15366" s="6">
        <v>227500</v>
      </c>
      <c r="D15366" s="7">
        <v>0.33</v>
      </c>
    </row>
    <row r="15367" spans="1:4" x14ac:dyDescent="0.25">
      <c r="A15367" t="str">
        <f>HYPERLINK("https://www.773grp.com/globalSearch/74HC04PW112/page-1", "74HC04PW112")</f>
        <v>74HC04PW112</v>
      </c>
      <c r="B15367" s="3" t="str">
        <f>HYPERLINK("https://www.773grp.com/manufacturer/nxp-semiconductor?pageNo=23", "NXP Semiconductors")</f>
        <v>NXP Semiconductors</v>
      </c>
      <c r="C15367" s="6">
        <v>1920</v>
      </c>
      <c r="D15367" s="7">
        <v>0.33</v>
      </c>
    </row>
    <row r="15368" spans="1:4" x14ac:dyDescent="0.25">
      <c r="A15368" t="str">
        <f>HYPERLINK("https://www.773grp.com/globalSearch/74HC04PW118/page-1", "74HC04PW118")</f>
        <v>74HC04PW118</v>
      </c>
      <c r="B15368" s="3" t="str">
        <f>HYPERLINK("https://www.773grp.com/manufacturer/nxp-semiconductor?pageNo=24", "NXP Semiconductors")</f>
        <v>NXP Semiconductors</v>
      </c>
      <c r="C15368" s="6">
        <v>5000</v>
      </c>
      <c r="D15368" s="7">
        <v>0.33</v>
      </c>
    </row>
    <row r="15369" spans="1:4" x14ac:dyDescent="0.25">
      <c r="A15369" t="str">
        <f>HYPERLINK("https://www.773grp.com/globalSearch/74HC08D653/page-1", "74HC08D653")</f>
        <v>74HC08D653</v>
      </c>
      <c r="B15369" s="3" t="str">
        <f>HYPERLINK("https://www.773grp.com/manufacturer/nxp-semiconductor?pageNo=25", "NXP Semiconductors")</f>
        <v>NXP Semiconductors</v>
      </c>
      <c r="C15369" s="6">
        <v>17500</v>
      </c>
      <c r="D15369" s="7">
        <v>0.33</v>
      </c>
    </row>
    <row r="15370" spans="1:4" x14ac:dyDescent="0.25">
      <c r="A15370" t="str">
        <f>HYPERLINK("https://www.773grp.com/globalSearch/74HC08PW118/page-1", "74HC08PW118")</f>
        <v>74HC08PW118</v>
      </c>
      <c r="B15370" s="3" t="str">
        <f>HYPERLINK("https://www.773grp.com/manufacturer/nxp-semiconductor?pageNo=26", "NXP Semiconductors")</f>
        <v>NXP Semiconductors</v>
      </c>
      <c r="C15370" s="6">
        <v>45000</v>
      </c>
      <c r="D15370" s="7">
        <v>0.33</v>
      </c>
    </row>
    <row r="15371" spans="1:4" x14ac:dyDescent="0.25">
      <c r="A15371" t="str">
        <f>HYPERLINK("https://www.773grp.com/globalSearch/74HC10PW118/page-1", "74HC10PW118")</f>
        <v>74HC10PW118</v>
      </c>
      <c r="B15371" s="3" t="str">
        <f>HYPERLINK("https://www.773grp.com/manufacturer/nxp-semiconductor?pageNo=27", "NXP Semiconductors")</f>
        <v>NXP Semiconductors</v>
      </c>
      <c r="C15371" s="6">
        <v>5000</v>
      </c>
      <c r="D15371" s="7">
        <v>0.33</v>
      </c>
    </row>
    <row r="15372" spans="1:4" x14ac:dyDescent="0.25">
      <c r="A15372" t="str">
        <f>HYPERLINK("https://www.773grp.com/globalSearch/74HC14PW112/page-1", "74HC14PW112")</f>
        <v>74HC14PW112</v>
      </c>
      <c r="B15372" s="3" t="str">
        <f>HYPERLINK("https://www.773grp.com/manufacturer/nxp-semiconductor?pageNo=28", "NXP Semiconductors")</f>
        <v>NXP Semiconductors</v>
      </c>
      <c r="C15372" s="6">
        <v>13440</v>
      </c>
      <c r="D15372" s="7">
        <v>0.33</v>
      </c>
    </row>
    <row r="15373" spans="1:4" x14ac:dyDescent="0.25">
      <c r="A15373" t="str">
        <f>HYPERLINK("https://www.773grp.com/globalSearch/74HC27D652/page-1", "74HC27D652")</f>
        <v>74HC27D652</v>
      </c>
      <c r="B15373" s="3" t="str">
        <f>HYPERLINK("https://www.773grp.com/manufacturer/nxp-semiconductor?pageNo=29", "NXP Semiconductors")</f>
        <v>NXP Semiconductors</v>
      </c>
      <c r="C15373" s="6">
        <v>23469</v>
      </c>
      <c r="D15373" s="7">
        <v>0.33</v>
      </c>
    </row>
    <row r="15374" spans="1:4" x14ac:dyDescent="0.25">
      <c r="A15374" t="str">
        <f>HYPERLINK("https://www.773grp.com/globalSearch/74HC27D653/page-1", "74HC27D653")</f>
        <v>74HC27D653</v>
      </c>
      <c r="B15374" s="3" t="str">
        <f>HYPERLINK("https://www.773grp.com/manufacturer/nxp-semiconductor?pageNo=30", "NXP Semiconductors")</f>
        <v>NXP Semiconductors</v>
      </c>
      <c r="C15374" s="6">
        <v>20000</v>
      </c>
      <c r="D15374" s="7">
        <v>0.33</v>
      </c>
    </row>
    <row r="15375" spans="1:4" x14ac:dyDescent="0.25">
      <c r="A15375" t="str">
        <f>HYPERLINK("https://www.773grp.com/globalSearch/74HC32D653/page-1", "74HC32D653")</f>
        <v>74HC32D653</v>
      </c>
      <c r="B15375" s="3" t="str">
        <f>HYPERLINK("https://www.773grp.com/manufacturer/nxp-semiconductor?pageNo=31", "NXP Semiconductors")</f>
        <v>NXP Semiconductors</v>
      </c>
      <c r="C15375" s="6">
        <v>53468</v>
      </c>
      <c r="D15375" s="7">
        <v>0.33</v>
      </c>
    </row>
    <row r="15376" spans="1:4" x14ac:dyDescent="0.25">
      <c r="A15376" t="str">
        <f>HYPERLINK("https://www.773grp.com/globalSearch/74HC32PW112/page-1", "74HC32PW112")</f>
        <v>74HC32PW112</v>
      </c>
      <c r="B15376" s="3" t="str">
        <f>HYPERLINK("https://www.773grp.com/manufacturer/nxp-semiconductor?pageNo=32", "NXP Semiconductors")</f>
        <v>NXP Semiconductors</v>
      </c>
      <c r="C15376" s="6">
        <v>2400</v>
      </c>
      <c r="D15376" s="7">
        <v>0.33</v>
      </c>
    </row>
    <row r="15377" spans="1:4" x14ac:dyDescent="0.25">
      <c r="A15377" t="str">
        <f>HYPERLINK("https://www.773grp.com/globalSearch/74HC32PW118/page-1", "74HC32PW118")</f>
        <v>74HC32PW118</v>
      </c>
      <c r="B15377" s="3" t="str">
        <f>HYPERLINK("https://www.773grp.com/manufacturer/nxp-semiconductor?pageNo=33", "NXP Semiconductors")</f>
        <v>NXP Semiconductors</v>
      </c>
      <c r="C15377" s="6">
        <v>25000</v>
      </c>
      <c r="D15377" s="7">
        <v>0.33</v>
      </c>
    </row>
    <row r="15378" spans="1:4" x14ac:dyDescent="0.25">
      <c r="A15378" t="str">
        <f>HYPERLINK("https://www.773grp.com/globalSearch/74HC74D653/page-1", "74HC74D653")</f>
        <v>74HC74D653</v>
      </c>
      <c r="B15378" s="3" t="str">
        <f>HYPERLINK("https://www.773grp.com/manufacturer/nxp-semiconductor?pageNo=34", "NXP Semiconductors")</f>
        <v>NXP Semiconductors</v>
      </c>
      <c r="C15378" s="6">
        <v>462225</v>
      </c>
      <c r="D15378" s="7">
        <v>0.33</v>
      </c>
    </row>
    <row r="15379" spans="1:4" x14ac:dyDescent="0.25">
      <c r="A15379" t="str">
        <f>HYPERLINK("https://www.773grp.com/globalSearch/74HC74PW112/page-1", "74HC74PW112")</f>
        <v>74HC74PW112</v>
      </c>
      <c r="B15379" s="3" t="str">
        <f>HYPERLINK("https://www.773grp.com/manufacturer/nxp-semiconductor?pageNo=35", "NXP Semiconductors")</f>
        <v>NXP Semiconductors</v>
      </c>
      <c r="C15379" s="6">
        <v>7200</v>
      </c>
      <c r="D15379" s="7">
        <v>0.33</v>
      </c>
    </row>
    <row r="15380" spans="1:4" x14ac:dyDescent="0.25">
      <c r="A15380" t="str">
        <f>HYPERLINK("https://www.773grp.com/globalSearch/74HC74PW118/page-1", "74HC74PW118")</f>
        <v>74HC74PW118</v>
      </c>
      <c r="B15380" s="3" t="str">
        <f>HYPERLINK("https://www.773grp.com/manufacturer/nxp-semiconductor?pageNo=36", "NXP Semiconductors")</f>
        <v>NXP Semiconductors</v>
      </c>
      <c r="C15380" s="6">
        <v>2500</v>
      </c>
      <c r="D15380" s="7">
        <v>0.33</v>
      </c>
    </row>
    <row r="15381" spans="1:4" x14ac:dyDescent="0.25">
      <c r="A15381" t="str">
        <f>HYPERLINK("https://www.773grp.com/globalSearch/74HC86D652/page-1", "74HC86D652")</f>
        <v>74HC86D652</v>
      </c>
      <c r="B15381" s="3" t="str">
        <f>HYPERLINK("https://www.773grp.com/manufacturer/nxp-semiconductor?pageNo=37", "NXP Semiconductors")</f>
        <v>NXP Semiconductors</v>
      </c>
      <c r="C15381" s="6">
        <v>2153</v>
      </c>
      <c r="D15381" s="7">
        <v>0.33</v>
      </c>
    </row>
    <row r="15382" spans="1:4" x14ac:dyDescent="0.25">
      <c r="A15382" t="str">
        <f>HYPERLINK("https://www.773grp.com/globalSearch/74HC86D653/page-1", "74HC86D653")</f>
        <v>74HC86D653</v>
      </c>
      <c r="B15382" s="3" t="str">
        <f>HYPERLINK("https://www.773grp.com/manufacturer/nxp-semiconductor?pageNo=38", "NXP Semiconductors")</f>
        <v>NXP Semiconductors</v>
      </c>
      <c r="C15382" s="6">
        <v>105000</v>
      </c>
      <c r="D15382" s="7">
        <v>0.33</v>
      </c>
    </row>
    <row r="15383" spans="1:4" x14ac:dyDescent="0.25">
      <c r="A15383" t="str">
        <f>HYPERLINK("https://www.773grp.com/globalSearch/74HC86PW112/page-1", "74HC86PW112")</f>
        <v>74HC86PW112</v>
      </c>
      <c r="B15383" s="3" t="str">
        <f>HYPERLINK("https://www.773grp.com/manufacturer/nxp-semiconductor?pageNo=39", "NXP Semiconductors")</f>
        <v>NXP Semiconductors</v>
      </c>
      <c r="C15383" s="6">
        <v>2400</v>
      </c>
      <c r="D15383" s="7">
        <v>0.33</v>
      </c>
    </row>
    <row r="15384" spans="1:4" x14ac:dyDescent="0.25">
      <c r="A15384" t="str">
        <f>HYPERLINK("https://www.773grp.com/globalSearch/74HCT00D652/page-1", "74HCT00D652")</f>
        <v>74HCT00D652</v>
      </c>
      <c r="B15384" s="3" t="str">
        <f>HYPERLINK("https://www.773grp.com/manufacturer/nxp-semiconductor?pageNo=40", "NXP Semiconductors")</f>
        <v>NXP Semiconductors</v>
      </c>
      <c r="C15384" s="6">
        <v>3420</v>
      </c>
      <c r="D15384" s="7">
        <v>0.33</v>
      </c>
    </row>
    <row r="15385" spans="1:4" x14ac:dyDescent="0.25">
      <c r="A15385" t="str">
        <f>HYPERLINK("https://www.773grp.com/globalSearch/74HCT00PW118/page-1", "74HCT00PW118")</f>
        <v>74HCT00PW118</v>
      </c>
      <c r="B15385" s="3" t="str">
        <f>HYPERLINK("https://www.773grp.com/manufacturer/nxp-semiconductor?pageNo=41", "NXP Semiconductors")</f>
        <v>NXP Semiconductors</v>
      </c>
      <c r="C15385" s="6">
        <v>10000</v>
      </c>
      <c r="D15385" s="7">
        <v>0.33</v>
      </c>
    </row>
    <row r="15386" spans="1:4" x14ac:dyDescent="0.25">
      <c r="A15386" t="str">
        <f>HYPERLINK("https://www.773grp.com/globalSearch/74HCT02D652/page-1", "74HCT02D652")</f>
        <v>74HCT02D652</v>
      </c>
      <c r="B15386" s="3" t="str">
        <f>HYPERLINK("https://www.773grp.com/manufacturer/nxp-semiconductor?pageNo=42", "NXP Semiconductors")</f>
        <v>NXP Semiconductors</v>
      </c>
      <c r="C15386" s="6">
        <v>2280</v>
      </c>
      <c r="D15386" s="7">
        <v>0.33</v>
      </c>
    </row>
    <row r="15387" spans="1:4" x14ac:dyDescent="0.25">
      <c r="A15387" t="str">
        <f>HYPERLINK("https://www.773grp.com/globalSearch/74HCT02D653/page-1", "74HCT02D653")</f>
        <v>74HCT02D653</v>
      </c>
      <c r="B15387" s="3" t="str">
        <f>HYPERLINK("https://www.773grp.com/manufacturer/nxp-semiconductor?pageNo=43", "NXP Semiconductors")</f>
        <v>NXP Semiconductors</v>
      </c>
      <c r="C15387" s="6">
        <v>10000</v>
      </c>
      <c r="D15387" s="7">
        <v>0.33</v>
      </c>
    </row>
    <row r="15388" spans="1:4" x14ac:dyDescent="0.25">
      <c r="A15388" t="str">
        <f>HYPERLINK("https://www.773grp.com/globalSearch/74HCT02PW112/page-1", "74HCT02PW112")</f>
        <v>74HCT02PW112</v>
      </c>
      <c r="B15388" s="3" t="str">
        <f>HYPERLINK("https://www.773grp.com/manufacturer/nxp-semiconductor?pageNo=44", "NXP Semiconductors")</f>
        <v>NXP Semiconductors</v>
      </c>
      <c r="C15388" s="6">
        <v>2400</v>
      </c>
      <c r="D15388" s="7">
        <v>0.33</v>
      </c>
    </row>
    <row r="15389" spans="1:4" x14ac:dyDescent="0.25">
      <c r="A15389" t="str">
        <f>HYPERLINK("https://www.773grp.com/globalSearch/74HCT02PW118/page-1", "74HCT02PW118")</f>
        <v>74HCT02PW118</v>
      </c>
      <c r="B15389" s="3" t="str">
        <f>HYPERLINK("https://www.773grp.com/manufacturer/nxp-semiconductor?pageNo=45", "NXP Semiconductors")</f>
        <v>NXP Semiconductors</v>
      </c>
      <c r="C15389" s="6">
        <v>45000</v>
      </c>
      <c r="D15389" s="7">
        <v>0.33</v>
      </c>
    </row>
    <row r="15390" spans="1:4" x14ac:dyDescent="0.25">
      <c r="A15390" t="str">
        <f>HYPERLINK("https://www.773grp.com/globalSearch/74HCT04D652/page-1", "74HCT04D652")</f>
        <v>74HCT04D652</v>
      </c>
      <c r="B15390" s="3" t="str">
        <f>HYPERLINK("https://www.773grp.com/manufacturer/nxp-semiconductor?pageNo=46", "NXP Semiconductors")</f>
        <v>NXP Semiconductors</v>
      </c>
      <c r="C15390" s="6">
        <v>10260</v>
      </c>
      <c r="D15390" s="7">
        <v>0.33</v>
      </c>
    </row>
    <row r="15391" spans="1:4" x14ac:dyDescent="0.25">
      <c r="A15391" t="str">
        <f>HYPERLINK("https://www.773grp.com/globalSearch/74HCT04D653/page-1", "74HCT04D653")</f>
        <v>74HCT04D653</v>
      </c>
      <c r="B15391" s="3" t="str">
        <f>HYPERLINK("https://www.773grp.com/manufacturer/nxp-semiconductor?pageNo=47", "NXP Semiconductors")</f>
        <v>NXP Semiconductors</v>
      </c>
      <c r="C15391" s="6">
        <v>17500</v>
      </c>
      <c r="D15391" s="7">
        <v>0.33</v>
      </c>
    </row>
    <row r="15392" spans="1:4" x14ac:dyDescent="0.25">
      <c r="A15392" t="str">
        <f>HYPERLINK("https://www.773grp.com/globalSearch/74HCT04PW112/page-1", "74HCT04PW112")</f>
        <v>74HCT04PW112</v>
      </c>
      <c r="B15392" s="3" t="str">
        <f>HYPERLINK("https://www.773grp.com/manufacturer/nxp-semiconductor?pageNo=48", "NXP Semiconductors")</f>
        <v>NXP Semiconductors</v>
      </c>
      <c r="C15392" s="6">
        <v>4800</v>
      </c>
      <c r="D15392" s="7">
        <v>0.33</v>
      </c>
    </row>
    <row r="15393" spans="1:4" x14ac:dyDescent="0.25">
      <c r="A15393" t="str">
        <f>HYPERLINK("https://www.773grp.com/globalSearch/74HCT04PW118/page-1", "74HCT04PW118")</f>
        <v>74HCT04PW118</v>
      </c>
      <c r="B15393" s="3" t="str">
        <f>HYPERLINK("https://www.773grp.com/manufacturer/nxp-semiconductor?pageNo=1", "NXP Semiconductors")</f>
        <v>NXP Semiconductors</v>
      </c>
      <c r="C15393" s="6">
        <v>25000</v>
      </c>
      <c r="D15393" s="7">
        <v>0.33</v>
      </c>
    </row>
    <row r="15394" spans="1:4" x14ac:dyDescent="0.25">
      <c r="A15394" t="str">
        <f>HYPERLINK("https://www.773grp.com/globalSearch/74HCT08D652/page-1", "74HCT08D652")</f>
        <v>74HCT08D652</v>
      </c>
      <c r="B15394" s="3" t="str">
        <f>HYPERLINK("https://www.773grp.com/manufacturer/nxp-semiconductor?pageNo=2", "NXP Semiconductors")</f>
        <v>NXP Semiconductors</v>
      </c>
      <c r="C15394" s="6">
        <v>31920</v>
      </c>
      <c r="D15394" s="7">
        <v>0.33</v>
      </c>
    </row>
    <row r="15395" spans="1:4" x14ac:dyDescent="0.25">
      <c r="A15395" t="str">
        <f>HYPERLINK("https://www.773grp.com/globalSearch/74HCT08D653/page-1", "74HCT08D653")</f>
        <v>74HCT08D653</v>
      </c>
      <c r="B15395" s="3" t="str">
        <f>HYPERLINK("https://www.773grp.com/manufacturer/nxp-semiconductor?pageNo=3", "NXP Semiconductors")</f>
        <v>NXP Semiconductors</v>
      </c>
      <c r="C15395" s="6">
        <v>50525</v>
      </c>
      <c r="D15395" s="7">
        <v>0.33</v>
      </c>
    </row>
    <row r="15396" spans="1:4" x14ac:dyDescent="0.25">
      <c r="A15396" t="str">
        <f>HYPERLINK("https://www.773grp.com/globalSearch/74HCT08PW112/page-1", "74HCT08PW112")</f>
        <v>74HCT08PW112</v>
      </c>
      <c r="B15396" s="3" t="str">
        <f>HYPERLINK("https://www.773grp.com/manufacturer/nxp-semiconductor?pageNo=4", "NXP Semiconductors")</f>
        <v>NXP Semiconductors</v>
      </c>
      <c r="C15396" s="6">
        <v>9337</v>
      </c>
      <c r="D15396" s="7">
        <v>0.33</v>
      </c>
    </row>
    <row r="15397" spans="1:4" x14ac:dyDescent="0.25">
      <c r="A15397" t="str">
        <f>HYPERLINK("https://www.773grp.com/globalSearch/74HCT08PW118/page-1", "74HCT08PW118")</f>
        <v>74HCT08PW118</v>
      </c>
      <c r="B15397" s="3" t="str">
        <f>HYPERLINK("https://www.773grp.com/manufacturer/nxp-semiconductor?pageNo=5", "NXP Semiconductors")</f>
        <v>NXP Semiconductors</v>
      </c>
      <c r="C15397" s="6">
        <v>5000</v>
      </c>
      <c r="D15397" s="7">
        <v>0.33</v>
      </c>
    </row>
    <row r="15398" spans="1:4" x14ac:dyDescent="0.25">
      <c r="A15398" t="str">
        <f>HYPERLINK("https://www.773grp.com/globalSearch/74HCT10D652/page-1", "74HCT10D652")</f>
        <v>74HCT10D652</v>
      </c>
      <c r="B15398" s="3" t="str">
        <f>HYPERLINK("https://www.773grp.com/manufacturer/nxp-semiconductor?pageNo=6", "NXP Semiconductors")</f>
        <v>NXP Semiconductors</v>
      </c>
      <c r="C15398" s="6">
        <v>28500</v>
      </c>
      <c r="D15398" s="7">
        <v>0.33</v>
      </c>
    </row>
    <row r="15399" spans="1:4" x14ac:dyDescent="0.25">
      <c r="A15399" t="str">
        <f>HYPERLINK("https://www.773grp.com/globalSearch/74HCT10D653/page-1", "74HCT10D653")</f>
        <v>74HCT10D653</v>
      </c>
      <c r="B15399" s="3" t="str">
        <f>HYPERLINK("https://www.773grp.com/manufacturer/nxp-semiconductor?pageNo=7", "NXP Semiconductors")</f>
        <v>NXP Semiconductors</v>
      </c>
      <c r="C15399" s="6">
        <v>17500</v>
      </c>
      <c r="D15399" s="7">
        <v>0.33</v>
      </c>
    </row>
    <row r="15400" spans="1:4" x14ac:dyDescent="0.25">
      <c r="A15400" t="str">
        <f>HYPERLINK("https://www.773grp.com/globalSearch/74HCT14PW118/page-1", "74HCT14PW118")</f>
        <v>74HCT14PW118</v>
      </c>
      <c r="B15400" s="3" t="str">
        <f>HYPERLINK("https://www.773grp.com/manufacturer/nxp-semiconductor?pageNo=8", "NXP Semiconductors")</f>
        <v>NXP Semiconductors</v>
      </c>
      <c r="C15400" s="6">
        <v>32500</v>
      </c>
      <c r="D15400" s="7">
        <v>0.33</v>
      </c>
    </row>
    <row r="15401" spans="1:4" x14ac:dyDescent="0.25">
      <c r="A15401" t="str">
        <f>HYPERLINK("https://www.773grp.com/globalSearch/74HCT27D652/page-1", "74HCT27D652")</f>
        <v>74HCT27D652</v>
      </c>
      <c r="B15401" s="3" t="str">
        <f>HYPERLINK("https://www.773grp.com/manufacturer/nxp-semiconductor?pageNo=9", "NXP Semiconductors")</f>
        <v>NXP Semiconductors</v>
      </c>
      <c r="C15401" s="6">
        <v>39242</v>
      </c>
      <c r="D15401" s="7">
        <v>0.33</v>
      </c>
    </row>
    <row r="15402" spans="1:4" x14ac:dyDescent="0.25">
      <c r="A15402" t="str">
        <f>HYPERLINK("https://www.773grp.com/globalSearch/74HCT27D653/page-1", "74HCT27D653")</f>
        <v>74HCT27D653</v>
      </c>
      <c r="B15402" s="3" t="str">
        <f>HYPERLINK("https://www.773grp.com/manufacturer/nxp-semiconductor?pageNo=10", "NXP Semiconductors")</f>
        <v>NXP Semiconductors</v>
      </c>
      <c r="C15402" s="6">
        <v>12500</v>
      </c>
      <c r="D15402" s="7">
        <v>0.33</v>
      </c>
    </row>
    <row r="15403" spans="1:4" x14ac:dyDescent="0.25">
      <c r="A15403" t="str">
        <f>HYPERLINK("https://www.773grp.com/globalSearch/74HCT32PW112/page-1", "74HCT32PW112")</f>
        <v>74HCT32PW112</v>
      </c>
      <c r="B15403" s="3" t="str">
        <f>HYPERLINK("https://www.773grp.com/manufacturer/nxp-semiconductor?pageNo=11", "NXP Semiconductors")</f>
        <v>NXP Semiconductors</v>
      </c>
      <c r="C15403" s="6">
        <v>4800</v>
      </c>
      <c r="D15403" s="7">
        <v>0.33</v>
      </c>
    </row>
    <row r="15404" spans="1:4" x14ac:dyDescent="0.25">
      <c r="A15404" t="str">
        <f>HYPERLINK("https://www.773grp.com/globalSearch/74HCT32PW118/page-1", "74HCT32PW118")</f>
        <v>74HCT32PW118</v>
      </c>
      <c r="B15404" s="3" t="str">
        <f>HYPERLINK("https://www.773grp.com/manufacturer/nxp-semiconductor?pageNo=12", "NXP Semiconductors")</f>
        <v>NXP Semiconductors</v>
      </c>
      <c r="C15404" s="6">
        <v>32500</v>
      </c>
      <c r="D15404" s="7">
        <v>0.33</v>
      </c>
    </row>
    <row r="15405" spans="1:4" x14ac:dyDescent="0.25">
      <c r="A15405" t="str">
        <f>HYPERLINK("https://www.773grp.com/globalSearch/74HCT74D652/page-1", "74HCT74D652")</f>
        <v>74HCT74D652</v>
      </c>
      <c r="B15405" s="3" t="str">
        <f>HYPERLINK("https://www.773grp.com/manufacturer/nxp-semiconductor?pageNo=13", "NXP Semiconductors")</f>
        <v>NXP Semiconductors</v>
      </c>
      <c r="C15405" s="6">
        <v>16216</v>
      </c>
      <c r="D15405" s="7">
        <v>0.33</v>
      </c>
    </row>
    <row r="15406" spans="1:4" x14ac:dyDescent="0.25">
      <c r="A15406" t="str">
        <f>HYPERLINK("https://www.773grp.com/globalSearch/74HCT74D653/page-1", "74HCT74D653")</f>
        <v>74HCT74D653</v>
      </c>
      <c r="B15406" s="3" t="str">
        <f>HYPERLINK("https://www.773grp.com/manufacturer/nxp-semiconductor?pageNo=14", "NXP Semiconductors")</f>
        <v>NXP Semiconductors</v>
      </c>
      <c r="C15406" s="6">
        <v>30000</v>
      </c>
      <c r="D15406" s="7">
        <v>0.33</v>
      </c>
    </row>
    <row r="15407" spans="1:4" x14ac:dyDescent="0.25">
      <c r="A15407" t="str">
        <f>HYPERLINK("https://www.773grp.com/globalSearch/74HCT74PW118/page-1", "74HCT74PW118")</f>
        <v>74HCT74PW118</v>
      </c>
      <c r="B15407" s="3" t="str">
        <f>HYPERLINK("https://www.773grp.com/manufacturer/nxp-semiconductor?pageNo=15", "NXP Semiconductors")</f>
        <v>NXP Semiconductors</v>
      </c>
      <c r="C15407" s="6">
        <v>10000</v>
      </c>
      <c r="D15407" s="7">
        <v>0.33</v>
      </c>
    </row>
    <row r="15408" spans="1:4" x14ac:dyDescent="0.25">
      <c r="A15408" t="str">
        <f>HYPERLINK("https://www.773grp.com/globalSearch/74HCT86D653/page-1", "74HCT86D653")</f>
        <v>74HCT86D653</v>
      </c>
      <c r="B15408" s="3" t="str">
        <f>HYPERLINK("https://www.773grp.com/manufacturer/nxp-semiconductor?pageNo=16", "NXP Semiconductors")</f>
        <v>NXP Semiconductors</v>
      </c>
      <c r="C15408" s="6">
        <v>20000</v>
      </c>
      <c r="D15408" s="7">
        <v>0.33</v>
      </c>
    </row>
    <row r="15409" spans="1:4" x14ac:dyDescent="0.25">
      <c r="A15409" t="str">
        <f>HYPERLINK("https://www.773grp.com/globalSearch/74HCT86PW112/page-1", "74HCT86PW112")</f>
        <v>74HCT86PW112</v>
      </c>
      <c r="B15409" s="3" t="str">
        <f>HYPERLINK("https://www.773grp.com/manufacturer/nxp-semiconductor?pageNo=17", "NXP Semiconductors")</f>
        <v>NXP Semiconductors</v>
      </c>
      <c r="C15409" s="6">
        <v>4800</v>
      </c>
      <c r="D15409" s="7">
        <v>0.33</v>
      </c>
    </row>
    <row r="15410" spans="1:4" x14ac:dyDescent="0.25">
      <c r="A15410" t="str">
        <f>HYPERLINK("https://www.773grp.com/globalSearch/74HCT86PW118/page-1", "74HCT86PW118")</f>
        <v>74HCT86PW118</v>
      </c>
      <c r="B15410" s="3" t="str">
        <f>HYPERLINK("https://www.773grp.com/manufacturer/nxp-semiconductor?pageNo=18", "NXP Semiconductors")</f>
        <v>NXP Semiconductors</v>
      </c>
      <c r="C15410" s="6">
        <v>12500</v>
      </c>
      <c r="D15410" s="7">
        <v>0.33</v>
      </c>
    </row>
    <row r="15411" spans="1:4" x14ac:dyDescent="0.25">
      <c r="A15411" t="str">
        <f>HYPERLINK("https://www.773grp.com/globalSearch/74HCU04PW112/page-1", "74HCU04PW112")</f>
        <v>74HCU04PW112</v>
      </c>
      <c r="B15411" s="3" t="str">
        <f>HYPERLINK("https://www.773grp.com/manufacturer/nxp-semiconductor?pageNo=19", "NXP Semiconductors")</f>
        <v>NXP Semiconductors</v>
      </c>
      <c r="C15411" s="6">
        <v>12553</v>
      </c>
      <c r="D15411" s="7">
        <v>0.33</v>
      </c>
    </row>
    <row r="15412" spans="1:4" x14ac:dyDescent="0.25">
      <c r="A15412" t="str">
        <f>HYPERLINK("https://www.773grp.com/globalSearch/74HCU04PW118/page-1", "74HCU04PW118")</f>
        <v>74HCU04PW118</v>
      </c>
      <c r="B15412" s="3" t="str">
        <f>HYPERLINK("https://www.773grp.com/manufacturer/nxp-semiconductor?pageNo=20", "NXP Semiconductors")</f>
        <v>NXP Semiconductors</v>
      </c>
      <c r="C15412" s="6">
        <v>205000</v>
      </c>
      <c r="D15412" s="7">
        <v>0.33</v>
      </c>
    </row>
    <row r="15413" spans="1:4" x14ac:dyDescent="0.25">
      <c r="A15413" t="str">
        <f>HYPERLINK("https://www.773grp.com/globalSearch/74LVC00APW112/page-1", "74LVC00APW112")</f>
        <v>74LVC00APW112</v>
      </c>
      <c r="B15413" s="3" t="str">
        <f>HYPERLINK("https://www.773grp.com/manufacturer/nxp-semiconductor?pageNo=21", "NXP Semiconductors")</f>
        <v>NXP Semiconductors</v>
      </c>
      <c r="C15413" s="6">
        <v>44590</v>
      </c>
      <c r="D15413" s="7">
        <v>0.33</v>
      </c>
    </row>
    <row r="15414" spans="1:4" x14ac:dyDescent="0.25">
      <c r="A15414" t="str">
        <f>HYPERLINK("https://www.773grp.com/globalSearch/74LVC00APW118/page-1", "74LVC00APW118")</f>
        <v>74LVC00APW118</v>
      </c>
      <c r="B15414" s="3" t="str">
        <f>HYPERLINK("https://www.773grp.com/manufacturer/nxp-semiconductor?pageNo=22", "NXP Semiconductors")</f>
        <v>NXP Semiconductors</v>
      </c>
      <c r="C15414" s="6">
        <v>40000</v>
      </c>
      <c r="D15414" s="7">
        <v>0.33</v>
      </c>
    </row>
    <row r="15415" spans="1:4" x14ac:dyDescent="0.25">
      <c r="A15415" t="str">
        <f>HYPERLINK("https://www.773grp.com/globalSearch/74LVC02AD112/page-1", "74LVC02AD112")</f>
        <v>74LVC02AD112</v>
      </c>
      <c r="B15415" s="3" t="str">
        <f>HYPERLINK("https://www.773grp.com/manufacturer/nxp-semiconductor?pageNo=23", "NXP Semiconductors")</f>
        <v>NXP Semiconductors</v>
      </c>
      <c r="C15415" s="6">
        <v>22800</v>
      </c>
      <c r="D15415" s="7">
        <v>0.33</v>
      </c>
    </row>
    <row r="15416" spans="1:4" x14ac:dyDescent="0.25">
      <c r="A15416" t="str">
        <f>HYPERLINK("https://www.773grp.com/globalSearch/74LVC02AD118/page-1", "74LVC02AD118")</f>
        <v>74LVC02AD118</v>
      </c>
      <c r="B15416" s="3" t="str">
        <f>HYPERLINK("https://www.773grp.com/manufacturer/nxp-semiconductor?pageNo=24", "NXP Semiconductors")</f>
        <v>NXP Semiconductors</v>
      </c>
      <c r="C15416" s="6">
        <v>7670</v>
      </c>
      <c r="D15416" s="7">
        <v>0.33</v>
      </c>
    </row>
    <row r="15417" spans="1:4" x14ac:dyDescent="0.25">
      <c r="A15417" t="str">
        <f>HYPERLINK("https://www.773grp.com/globalSearch/74LVC02APW112/page-1", "74LVC02APW112")</f>
        <v>74LVC02APW112</v>
      </c>
      <c r="B15417" s="3" t="str">
        <f>HYPERLINK("https://www.773grp.com/manufacturer/nxp-semiconductor?pageNo=25", "NXP Semiconductors")</f>
        <v>NXP Semiconductors</v>
      </c>
      <c r="C15417" s="6">
        <v>32187</v>
      </c>
      <c r="D15417" s="7">
        <v>0.33</v>
      </c>
    </row>
    <row r="15418" spans="1:4" x14ac:dyDescent="0.25">
      <c r="A15418" t="str">
        <f>HYPERLINK("https://www.773grp.com/globalSearch/74LVC02APW118/page-1", "74LVC02APW118")</f>
        <v>74LVC02APW118</v>
      </c>
      <c r="B15418" s="3" t="str">
        <f>HYPERLINK("https://www.773grp.com/manufacturer/nxp-semiconductor?pageNo=26", "NXP Semiconductors")</f>
        <v>NXP Semiconductors</v>
      </c>
      <c r="C15418" s="6">
        <v>915000</v>
      </c>
      <c r="D15418" s="7">
        <v>0.33</v>
      </c>
    </row>
    <row r="15419" spans="1:4" x14ac:dyDescent="0.25">
      <c r="A15419" t="str">
        <f>HYPERLINK("https://www.773grp.com/globalSearch/74LVC04APW112/page-1", "74LVC04APW112")</f>
        <v>74LVC04APW112</v>
      </c>
      <c r="B15419" s="3" t="str">
        <f>HYPERLINK("https://www.773grp.com/manufacturer/nxp-semiconductor?pageNo=27", "NXP Semiconductors")</f>
        <v>NXP Semiconductors</v>
      </c>
      <c r="C15419" s="6">
        <v>22629</v>
      </c>
      <c r="D15419" s="7">
        <v>0.33</v>
      </c>
    </row>
    <row r="15420" spans="1:4" x14ac:dyDescent="0.25">
      <c r="A15420" t="str">
        <f>HYPERLINK("https://www.773grp.com/globalSearch/74LVC04APW118/page-1", "74LVC04APW118")</f>
        <v>74LVC04APW118</v>
      </c>
      <c r="B15420" s="3" t="str">
        <f>HYPERLINK("https://www.773grp.com/manufacturer/nxp-semiconductor?pageNo=28", "NXP Semiconductors")</f>
        <v>NXP Semiconductors</v>
      </c>
      <c r="C15420" s="6">
        <v>7500</v>
      </c>
      <c r="D15420" s="7">
        <v>0.33</v>
      </c>
    </row>
    <row r="15421" spans="1:4" x14ac:dyDescent="0.25">
      <c r="A15421" t="str">
        <f>HYPERLINK("https://www.773grp.com/globalSearch/74LVC06AD112/page-1", "74LVC06AD112")</f>
        <v>74LVC06AD112</v>
      </c>
      <c r="B15421" s="3" t="str">
        <f>HYPERLINK("https://www.773grp.com/manufacturer/nxp-semiconductor?pageNo=29", "NXP Semiconductors")</f>
        <v>NXP Semiconductors</v>
      </c>
      <c r="C15421" s="6">
        <v>2300</v>
      </c>
      <c r="D15421" s="7">
        <v>0.33</v>
      </c>
    </row>
    <row r="15422" spans="1:4" x14ac:dyDescent="0.25">
      <c r="A15422" t="str">
        <f>HYPERLINK("https://www.773grp.com/globalSearch/74LVC06APW112/page-1", "74LVC06APW112")</f>
        <v>74LVC06APW112</v>
      </c>
      <c r="B15422" s="3" t="str">
        <f>HYPERLINK("https://www.773grp.com/manufacturer/nxp-semiconductor?pageNo=30", "NXP Semiconductors")</f>
        <v>NXP Semiconductors</v>
      </c>
      <c r="C15422" s="6">
        <v>12449</v>
      </c>
      <c r="D15422" s="7">
        <v>0.33</v>
      </c>
    </row>
    <row r="15423" spans="1:4" x14ac:dyDescent="0.25">
      <c r="A15423" t="str">
        <f>HYPERLINK("https://www.773grp.com/globalSearch/74LVC06APW118/page-1", "74LVC06APW118")</f>
        <v>74LVC06APW118</v>
      </c>
      <c r="B15423" s="3" t="str">
        <f>HYPERLINK("https://www.773grp.com/manufacturer/nxp-semiconductor?pageNo=31", "NXP Semiconductors")</f>
        <v>NXP Semiconductors</v>
      </c>
      <c r="C15423" s="6">
        <v>20000</v>
      </c>
      <c r="D15423" s="7">
        <v>0.33</v>
      </c>
    </row>
    <row r="15424" spans="1:4" x14ac:dyDescent="0.25">
      <c r="A15424" t="str">
        <f>HYPERLINK("https://www.773grp.com/globalSearch/74LVC07ABQ115/page-1", "74LVC07ABQ115")</f>
        <v>74LVC07ABQ115</v>
      </c>
      <c r="B15424" s="3" t="str">
        <f>HYPERLINK("https://www.773grp.com/manufacturer/nxp-semiconductor?pageNo=32", "NXP Semiconductors")</f>
        <v>NXP Semiconductors</v>
      </c>
      <c r="C15424" s="6">
        <v>78000</v>
      </c>
      <c r="D15424" s="7">
        <v>0.33</v>
      </c>
    </row>
    <row r="15425" spans="1:4" x14ac:dyDescent="0.25">
      <c r="A15425" t="str">
        <f>HYPERLINK("https://www.773grp.com/globalSearch/74LVC07AD118/page-1", "74LVC07AD118")</f>
        <v>74LVC07AD118</v>
      </c>
      <c r="B15425" s="3" t="str">
        <f>HYPERLINK("https://www.773grp.com/manufacturer/nxp-semiconductor?pageNo=33", "NXP Semiconductors")</f>
        <v>NXP Semiconductors</v>
      </c>
      <c r="C15425" s="6">
        <v>4335</v>
      </c>
      <c r="D15425" s="7">
        <v>0.33</v>
      </c>
    </row>
    <row r="15426" spans="1:4" x14ac:dyDescent="0.25">
      <c r="A15426" t="str">
        <f>HYPERLINK("https://www.773grp.com/globalSearch/74LVC07APW112/page-1", "74LVC07APW112")</f>
        <v>74LVC07APW112</v>
      </c>
      <c r="B15426" s="3" t="str">
        <f>HYPERLINK("https://www.773grp.com/manufacturer/nxp-semiconductor?pageNo=34", "NXP Semiconductors")</f>
        <v>NXP Semiconductors</v>
      </c>
      <c r="C15426" s="6">
        <v>26706</v>
      </c>
      <c r="D15426" s="7">
        <v>0.33</v>
      </c>
    </row>
    <row r="15427" spans="1:4" x14ac:dyDescent="0.25">
      <c r="A15427" t="str">
        <f>HYPERLINK("https://www.773grp.com/globalSearch/74LVC07APW118/page-1", "74LVC07APW118")</f>
        <v>74LVC07APW118</v>
      </c>
      <c r="B15427" s="3" t="str">
        <f>HYPERLINK("https://www.773grp.com/manufacturer/nxp-semiconductor?pageNo=35", "NXP Semiconductors")</f>
        <v>NXP Semiconductors</v>
      </c>
      <c r="C15427" s="6">
        <v>45000</v>
      </c>
      <c r="D15427" s="7">
        <v>0.33</v>
      </c>
    </row>
    <row r="15428" spans="1:4" x14ac:dyDescent="0.25">
      <c r="A15428" t="str">
        <f>HYPERLINK("https://www.773grp.com/globalSearch/74LVC08APW112/page-1", "74LVC08APW112")</f>
        <v>74LVC08APW112</v>
      </c>
      <c r="B15428" s="3" t="str">
        <f>HYPERLINK("https://www.773grp.com/manufacturer/nxp-semiconductor?pageNo=36", "NXP Semiconductors")</f>
        <v>NXP Semiconductors</v>
      </c>
      <c r="C15428" s="6">
        <v>19200</v>
      </c>
      <c r="D15428" s="7">
        <v>0.33</v>
      </c>
    </row>
    <row r="15429" spans="1:4" x14ac:dyDescent="0.25">
      <c r="A15429" t="str">
        <f>HYPERLINK("https://www.773grp.com/globalSearch/74LVC08APW118/page-1", "74LVC08APW118")</f>
        <v>74LVC08APW118</v>
      </c>
      <c r="B15429" s="3" t="str">
        <f>HYPERLINK("https://www.773grp.com/manufacturer/nxp-semiconductor?pageNo=37", "NXP Semiconductors")</f>
        <v>NXP Semiconductors</v>
      </c>
      <c r="C15429" s="6">
        <v>165</v>
      </c>
      <c r="D15429" s="7">
        <v>0.33</v>
      </c>
    </row>
    <row r="15430" spans="1:4" x14ac:dyDescent="0.25">
      <c r="A15430" t="str">
        <f>HYPERLINK("https://www.773grp.com/globalSearch/74LVC10APW112/page-1", "74LVC10APW112")</f>
        <v>74LVC10APW112</v>
      </c>
      <c r="B15430" s="3" t="str">
        <f>HYPERLINK("https://www.773grp.com/manufacturer/nxp-semiconductor?pageNo=38", "NXP Semiconductors")</f>
        <v>NXP Semiconductors</v>
      </c>
      <c r="C15430" s="6">
        <v>2400</v>
      </c>
      <c r="D15430" s="7">
        <v>0.33</v>
      </c>
    </row>
    <row r="15431" spans="1:4" x14ac:dyDescent="0.25">
      <c r="A15431" t="str">
        <f>HYPERLINK("https://www.773grp.com/globalSearch/74LVC10APW118/page-1", "74LVC10APW118")</f>
        <v>74LVC10APW118</v>
      </c>
      <c r="B15431" s="3" t="str">
        <f>HYPERLINK("https://www.773grp.com/manufacturer/nxp-semiconductor?pageNo=39", "NXP Semiconductors")</f>
        <v>NXP Semiconductors</v>
      </c>
      <c r="C15431" s="6">
        <v>3724</v>
      </c>
      <c r="D15431" s="7">
        <v>0.33</v>
      </c>
    </row>
    <row r="15432" spans="1:4" x14ac:dyDescent="0.25">
      <c r="A15432" t="str">
        <f>HYPERLINK("https://www.773grp.com/globalSearch/74LVC11D118/page-1", "74LVC11D118")</f>
        <v>74LVC11D118</v>
      </c>
      <c r="B15432" s="3" t="str">
        <f>HYPERLINK("https://www.773grp.com/manufacturer/nxp-semiconductor?pageNo=40", "NXP Semiconductors")</f>
        <v>NXP Semiconductors</v>
      </c>
      <c r="C15432" s="6">
        <v>16810</v>
      </c>
      <c r="D15432" s="7">
        <v>0.33</v>
      </c>
    </row>
    <row r="15433" spans="1:4" x14ac:dyDescent="0.25">
      <c r="A15433" t="str">
        <f>HYPERLINK("https://www.773grp.com/globalSearch/74LVC11PW112/page-1", "74LVC11PW112")</f>
        <v>74LVC11PW112</v>
      </c>
      <c r="B15433" s="3" t="str">
        <f>HYPERLINK("https://www.773grp.com/manufacturer/nxp-semiconductor?pageNo=41", "NXP Semiconductors")</f>
        <v>NXP Semiconductors</v>
      </c>
      <c r="C15433" s="6">
        <v>15961</v>
      </c>
      <c r="D15433" s="7">
        <v>0.33</v>
      </c>
    </row>
    <row r="15434" spans="1:4" x14ac:dyDescent="0.25">
      <c r="A15434" t="str">
        <f>HYPERLINK("https://www.773grp.com/globalSearch/74LVC11PW118/page-1", "74LVC11PW118")</f>
        <v>74LVC11PW118</v>
      </c>
      <c r="B15434" s="3" t="str">
        <f>HYPERLINK("https://www.773grp.com/manufacturer/nxp-semiconductor?pageNo=42", "NXP Semiconductors")</f>
        <v>NXP Semiconductors</v>
      </c>
      <c r="C15434" s="6">
        <v>20000</v>
      </c>
      <c r="D15434" s="7">
        <v>0.33</v>
      </c>
    </row>
    <row r="15435" spans="1:4" x14ac:dyDescent="0.25">
      <c r="A15435" t="str">
        <f>HYPERLINK("https://www.773grp.com/globalSearch/74LVC125AD112/page-1", "74LVC125AD112")</f>
        <v>74LVC125AD112</v>
      </c>
      <c r="B15435" s="3" t="str">
        <f>HYPERLINK("https://www.773grp.com/manufacturer/nxp-semiconductor?pageNo=43", "NXP Semiconductors")</f>
        <v>NXP Semiconductors</v>
      </c>
      <c r="C15435" s="6">
        <v>21286</v>
      </c>
      <c r="D15435" s="7">
        <v>0.33</v>
      </c>
    </row>
    <row r="15436" spans="1:4" x14ac:dyDescent="0.25">
      <c r="A15436" t="str">
        <f>HYPERLINK("https://www.773grp.com/globalSearch/74LVC125AD118/page-1", "74LVC125AD118")</f>
        <v>74LVC125AD118</v>
      </c>
      <c r="B15436" s="3" t="str">
        <f>HYPERLINK("https://www.773grp.com/manufacturer/nxp-semiconductor?pageNo=44", "NXP Semiconductors")</f>
        <v>NXP Semiconductors</v>
      </c>
      <c r="C15436" s="6">
        <v>12500</v>
      </c>
      <c r="D15436" s="7">
        <v>0.33</v>
      </c>
    </row>
    <row r="15437" spans="1:4" x14ac:dyDescent="0.25">
      <c r="A15437" t="str">
        <f>HYPERLINK("https://www.773grp.com/globalSearch/74LVC14AD118/page-1", "74LVC14AD118")</f>
        <v>74LVC14AD118</v>
      </c>
      <c r="B15437" s="3" t="str">
        <f>HYPERLINK("https://www.773grp.com/manufacturer/nxp-semiconductor?pageNo=45", "NXP Semiconductors")</f>
        <v>NXP Semiconductors</v>
      </c>
      <c r="C15437" s="6">
        <v>207500</v>
      </c>
      <c r="D15437" s="7">
        <v>0.33</v>
      </c>
    </row>
    <row r="15438" spans="1:4" x14ac:dyDescent="0.25">
      <c r="A15438" t="str">
        <f>HYPERLINK("https://www.773grp.com/globalSearch/74LVC14APW118/page-1", "74LVC14APW118")</f>
        <v>74LVC14APW118</v>
      </c>
      <c r="B15438" s="3" t="str">
        <f>HYPERLINK("https://www.773grp.com/manufacturer/nxp-semiconductor?pageNo=46", "NXP Semiconductors")</f>
        <v>NXP Semiconductors</v>
      </c>
      <c r="C15438" s="6">
        <v>350000</v>
      </c>
      <c r="D15438" s="7">
        <v>0.33</v>
      </c>
    </row>
    <row r="15439" spans="1:4" x14ac:dyDescent="0.25">
      <c r="A15439" t="str">
        <f>HYPERLINK("https://www.773grp.com/globalSearch/74LVC1G18GW125/page-1", "74LVC1G18GW125")</f>
        <v>74LVC1G18GW125</v>
      </c>
      <c r="B15439" s="3" t="str">
        <f>HYPERLINK("https://www.773grp.com/manufacturer/nxp-semiconductor?pageNo=47", "NXP Semiconductors")</f>
        <v>NXP Semiconductors</v>
      </c>
      <c r="C15439" s="6">
        <v>14467</v>
      </c>
      <c r="D15439" s="7">
        <v>0.33</v>
      </c>
    </row>
    <row r="15440" spans="1:4" x14ac:dyDescent="0.25">
      <c r="A15440" t="str">
        <f>HYPERLINK("https://www.773grp.com/globalSearch/74LVC32APW112/page-1", "74LVC32APW112")</f>
        <v>74LVC32APW112</v>
      </c>
      <c r="B15440" s="3" t="str">
        <f>HYPERLINK("https://www.773grp.com/manufacturer/nxp-semiconductor?pageNo=48", "NXP Semiconductors")</f>
        <v>NXP Semiconductors</v>
      </c>
      <c r="C15440" s="6">
        <v>11885</v>
      </c>
      <c r="D15440" s="7">
        <v>0.33</v>
      </c>
    </row>
    <row r="15441" spans="1:4" x14ac:dyDescent="0.25">
      <c r="A15441" t="str">
        <f>HYPERLINK("https://www.773grp.com/globalSearch/74LVC32APW118/page-1", "74LVC32APW118")</f>
        <v>74LVC32APW118</v>
      </c>
      <c r="B15441" s="3" t="str">
        <f>HYPERLINK("https://www.773grp.com/manufacturer/nxp-semiconductor?pageNo=1", "NXP Semiconductors")</f>
        <v>NXP Semiconductors</v>
      </c>
      <c r="C15441" s="6">
        <v>65000</v>
      </c>
      <c r="D15441" s="7">
        <v>0.33</v>
      </c>
    </row>
    <row r="15442" spans="1:4" x14ac:dyDescent="0.25">
      <c r="A15442" t="str">
        <f>HYPERLINK("https://www.773grp.com/globalSearch/74LVC74APW112/page-1", "74LVC74APW112")</f>
        <v>74LVC74APW112</v>
      </c>
      <c r="B15442" s="3" t="str">
        <f>HYPERLINK("https://www.773grp.com/manufacturer/nxp-semiconductor?pageNo=2", "NXP Semiconductors")</f>
        <v>NXP Semiconductors</v>
      </c>
      <c r="C15442" s="6">
        <v>26880</v>
      </c>
      <c r="D15442" s="7">
        <v>0.33</v>
      </c>
    </row>
    <row r="15443" spans="1:4" x14ac:dyDescent="0.25">
      <c r="A15443" t="str">
        <f>HYPERLINK("https://www.773grp.com/globalSearch/74LVC74APW118/page-1", "74LVC74APW118")</f>
        <v>74LVC74APW118</v>
      </c>
      <c r="B15443" s="3" t="str">
        <f>HYPERLINK("https://www.773grp.com/manufacturer/nxp-semiconductor?pageNo=3", "NXP Semiconductors")</f>
        <v>NXP Semiconductors</v>
      </c>
      <c r="C15443" s="6">
        <v>157500</v>
      </c>
      <c r="D15443" s="7">
        <v>0.33</v>
      </c>
    </row>
    <row r="15444" spans="1:4" x14ac:dyDescent="0.25">
      <c r="A15444" t="str">
        <f>HYPERLINK("https://www.773grp.com/globalSearch/74LVCU04AD118/page-1", "74LVCU04AD118")</f>
        <v>74LVCU04AD118</v>
      </c>
      <c r="B15444" s="3" t="str">
        <f>HYPERLINK("https://www.773grp.com/manufacturer/nxp-semiconductor?pageNo=4", "NXP Semiconductors")</f>
        <v>NXP Semiconductors</v>
      </c>
      <c r="C15444" s="6">
        <v>5000</v>
      </c>
      <c r="D15444" s="7">
        <v>0.33</v>
      </c>
    </row>
    <row r="15445" spans="1:4" x14ac:dyDescent="0.25">
      <c r="A15445" t="str">
        <f>HYPERLINK("https://www.773grp.com/globalSearch/74LVCU04APW112/page-1", "74LVCU04APW112")</f>
        <v>74LVCU04APW112</v>
      </c>
      <c r="B15445" s="3" t="str">
        <f>HYPERLINK("https://www.773grp.com/manufacturer/nxp-semiconductor?pageNo=5", "NXP Semiconductors")</f>
        <v>NXP Semiconductors</v>
      </c>
      <c r="C15445" s="6">
        <v>7200</v>
      </c>
      <c r="D15445" s="7">
        <v>0.33</v>
      </c>
    </row>
    <row r="15446" spans="1:4" x14ac:dyDescent="0.25">
      <c r="A15446" t="str">
        <f>HYPERLINK("https://www.773grp.com/globalSearch/74LVCU04APW118/page-1", "74LVCU04APW118")</f>
        <v>74LVCU04APW118</v>
      </c>
      <c r="B15446" s="3" t="str">
        <f>HYPERLINK("https://www.773grp.com/manufacturer/nxp-semiconductor?pageNo=6", "NXP Semiconductors")</f>
        <v>NXP Semiconductors</v>
      </c>
      <c r="C15446" s="6">
        <v>175</v>
      </c>
      <c r="D15446" s="7">
        <v>0.33</v>
      </c>
    </row>
    <row r="15447" spans="1:4" x14ac:dyDescent="0.25">
      <c r="A15447" t="str">
        <f>HYPERLINK("https://www.773grp.com/globalSearch/BAP1321-04215/page-1", "BAP1321-04215")</f>
        <v>BAP1321-04215</v>
      </c>
      <c r="B15447" s="3" t="str">
        <f>HYPERLINK("https://www.773grp.com/manufacturer/nxp-semiconductor?pageNo=7", "NXP Semiconductors")</f>
        <v>NXP Semiconductors</v>
      </c>
      <c r="C15447" s="6">
        <v>9000</v>
      </c>
      <c r="D15447" s="7">
        <v>0.33</v>
      </c>
    </row>
    <row r="15448" spans="1:4" x14ac:dyDescent="0.25">
      <c r="A15448" t="str">
        <f>HYPERLINK("https://www.773grp.com/globalSearch/BAP51-04W115/page-1", "BAP51-04W115")</f>
        <v>BAP51-04W115</v>
      </c>
      <c r="B15448" s="3" t="str">
        <f>HYPERLINK("https://www.773grp.com/manufacturer/nxp-semiconductor?pageNo=8", "NXP Semiconductors")</f>
        <v>NXP Semiconductors</v>
      </c>
      <c r="C15448" s="6">
        <v>3000</v>
      </c>
      <c r="D15448" s="7">
        <v>0.33</v>
      </c>
    </row>
    <row r="15449" spans="1:4" x14ac:dyDescent="0.25">
      <c r="A15449" t="str">
        <f>HYPERLINK("https://www.773grp.com/globalSearch/BAP51-06W115/page-1", "BAP51-06W115")</f>
        <v>BAP51-06W115</v>
      </c>
      <c r="B15449" s="3" t="str">
        <f>HYPERLINK("https://www.773grp.com/manufacturer/nxp-semiconductor?pageNo=9", "NXP Semiconductors")</f>
        <v>NXP Semiconductors</v>
      </c>
      <c r="C15449" s="6">
        <v>300</v>
      </c>
      <c r="D15449" s="7">
        <v>0.33</v>
      </c>
    </row>
    <row r="15450" spans="1:4" x14ac:dyDescent="0.25">
      <c r="A15450" t="str">
        <f>HYPERLINK("https://www.773grp.com/globalSearch/BAP64-04W115/page-1", "BAP64-04W115")</f>
        <v>BAP64-04W115</v>
      </c>
      <c r="B15450" s="3" t="str">
        <f>HYPERLINK("https://www.773grp.com/manufacturer/nxp-semiconductor?pageNo=10", "NXP Semiconductors")</f>
        <v>NXP Semiconductors</v>
      </c>
      <c r="C15450" s="6">
        <v>21000</v>
      </c>
      <c r="D15450" s="7">
        <v>0.33</v>
      </c>
    </row>
    <row r="15451" spans="1:4" x14ac:dyDescent="0.25">
      <c r="A15451" t="str">
        <f>HYPERLINK("https://www.773grp.com/globalSearch/BAP64-06215/page-1", "BAP64-06215")</f>
        <v>BAP64-06215</v>
      </c>
      <c r="B15451" s="3" t="str">
        <f>HYPERLINK("https://www.773grp.com/manufacturer/nxp-semiconductor?pageNo=11", "NXP Semiconductors")</f>
        <v>NXP Semiconductors</v>
      </c>
      <c r="C15451" s="6">
        <v>498</v>
      </c>
      <c r="D15451" s="7">
        <v>0.33</v>
      </c>
    </row>
    <row r="15452" spans="1:4" x14ac:dyDescent="0.25">
      <c r="A15452" t="str">
        <f>HYPERLINK("https://www.773grp.com/globalSearch/BAP64-06W115/page-1", "BAP64-06W115")</f>
        <v>BAP64-06W115</v>
      </c>
      <c r="B15452" s="3" t="str">
        <f>HYPERLINK("https://www.773grp.com/manufacturer/nxp-semiconductor?pageNo=12", "NXP Semiconductors")</f>
        <v>NXP Semiconductors</v>
      </c>
      <c r="C15452" s="6">
        <v>3772</v>
      </c>
      <c r="D15452" s="7">
        <v>0.33</v>
      </c>
    </row>
    <row r="15453" spans="1:4" x14ac:dyDescent="0.25">
      <c r="A15453" t="str">
        <f>HYPERLINK("https://www.773grp.com/globalSearch/BAP65-02115/page-1", "BAP65-02115")</f>
        <v>BAP65-02115</v>
      </c>
      <c r="B15453" s="3" t="str">
        <f>HYPERLINK("https://www.773grp.com/manufacturer/nxp-semiconductor?pageNo=13", "NXP Semiconductors")</f>
        <v>NXP Semiconductors</v>
      </c>
      <c r="C15453" s="6">
        <v>21276</v>
      </c>
      <c r="D15453" s="7">
        <v>0.33</v>
      </c>
    </row>
    <row r="15454" spans="1:4" x14ac:dyDescent="0.25">
      <c r="A15454" t="str">
        <f>HYPERLINK("https://www.773grp.com/globalSearch/BAP65-05215/page-1", "BAP65-05215")</f>
        <v>BAP65-05215</v>
      </c>
      <c r="B15454" s="3" t="str">
        <f>HYPERLINK("https://www.773grp.com/manufacturer/nxp-semiconductor?pageNo=14", "NXP Semiconductors")</f>
        <v>NXP Semiconductors</v>
      </c>
      <c r="C15454" s="6">
        <v>24000</v>
      </c>
      <c r="D15454" s="7">
        <v>0.33</v>
      </c>
    </row>
    <row r="15455" spans="1:4" x14ac:dyDescent="0.25">
      <c r="A15455" t="str">
        <f>HYPERLINK("https://www.773grp.com/globalSearch/BAP65-05W115/page-1", "BAP65-05W115")</f>
        <v>BAP65-05W115</v>
      </c>
      <c r="B15455" s="3" t="str">
        <f>HYPERLINK("https://www.773grp.com/manufacturer/nxp-semiconductor?pageNo=15", "NXP Semiconductors")</f>
        <v>NXP Semiconductors</v>
      </c>
      <c r="C15455" s="6">
        <v>81000</v>
      </c>
      <c r="D15455" s="7">
        <v>0.33</v>
      </c>
    </row>
    <row r="15456" spans="1:4" x14ac:dyDescent="0.25">
      <c r="A15456" t="str">
        <f>HYPERLINK("https://www.773grp.com/globalSearch/BAS70-07V115/page-1", "BAS70-07V115")</f>
        <v>BAS70-07V115</v>
      </c>
      <c r="B15456" s="3" t="str">
        <f>HYPERLINK("https://www.773grp.com/manufacturer/nxp-semiconductor?pageNo=16", "NXP Semiconductors")</f>
        <v>NXP Semiconductors</v>
      </c>
      <c r="C15456" s="6">
        <v>9889</v>
      </c>
      <c r="D15456" s="7">
        <v>0.33</v>
      </c>
    </row>
    <row r="15457" spans="1:4" x14ac:dyDescent="0.25">
      <c r="A15457" t="str">
        <f>HYPERLINK("https://www.773grp.com/globalSearch/BAS70L315/page-1", "BAS70L315")</f>
        <v>BAS70L315</v>
      </c>
      <c r="B15457" s="3" t="str">
        <f>HYPERLINK("https://www.773grp.com/manufacturer/nxp-semiconductor?pageNo=17", "NXP Semiconductors")</f>
        <v>NXP Semiconductors</v>
      </c>
      <c r="C15457" s="6">
        <v>1286</v>
      </c>
      <c r="D15457" s="7">
        <v>0.33</v>
      </c>
    </row>
    <row r="15458" spans="1:4" x14ac:dyDescent="0.25">
      <c r="A15458" t="str">
        <f>HYPERLINK("https://www.773grp.com/globalSearch/BAT754A215/page-1", "BAT754A215")</f>
        <v>BAT754A215</v>
      </c>
      <c r="B15458" s="3" t="str">
        <f>HYPERLINK("https://www.773grp.com/manufacturer/nxp-semiconductor?pageNo=18", "NXP Semiconductors")</f>
        <v>NXP Semiconductors</v>
      </c>
      <c r="C15458" s="6">
        <v>26015</v>
      </c>
      <c r="D15458" s="7">
        <v>0.33</v>
      </c>
    </row>
    <row r="15459" spans="1:4" x14ac:dyDescent="0.25">
      <c r="A15459" t="str">
        <f>HYPERLINK("https://www.773grp.com/globalSearch/BAT754C215/page-1", "BAT754C215")</f>
        <v>BAT754C215</v>
      </c>
      <c r="B15459" s="3" t="str">
        <f>HYPERLINK("https://www.773grp.com/manufacturer/nxp-semiconductor?pageNo=19", "NXP Semiconductors")</f>
        <v>NXP Semiconductors</v>
      </c>
      <c r="C15459" s="6">
        <v>746813</v>
      </c>
      <c r="D15459" s="7">
        <v>0.33</v>
      </c>
    </row>
    <row r="15460" spans="1:4" x14ac:dyDescent="0.25">
      <c r="A15460" t="str">
        <f>HYPERLINK("https://www.773grp.com/globalSearch/BAT754S215/page-1", "BAT754S215")</f>
        <v>BAT754S215</v>
      </c>
      <c r="B15460" s="3" t="str">
        <f>HYPERLINK("https://www.773grp.com/manufacturer/nxp-semiconductor?pageNo=20", "NXP Semiconductors")</f>
        <v>NXP Semiconductors</v>
      </c>
      <c r="C15460" s="6">
        <v>9000</v>
      </c>
      <c r="D15460" s="7">
        <v>0.33</v>
      </c>
    </row>
    <row r="15461" spans="1:4" x14ac:dyDescent="0.25">
      <c r="A15461" t="str">
        <f>HYPERLINK("https://www.773grp.com/globalSearch/BAT85113/page-1", "BAT85113")</f>
        <v>BAT85113</v>
      </c>
      <c r="B15461" s="3" t="str">
        <f>HYPERLINK("https://www.773grp.com/manufacturer/nxp-semiconductor?pageNo=21", "NXP Semiconductors")</f>
        <v>NXP Semiconductors</v>
      </c>
      <c r="C15461" s="6">
        <v>20000</v>
      </c>
      <c r="D15461" s="7">
        <v>0.33</v>
      </c>
    </row>
    <row r="15462" spans="1:4" x14ac:dyDescent="0.25">
      <c r="A15462" t="str">
        <f>HYPERLINK("https://www.773grp.com/globalSearch/BAT85133/page-1", "BAT85133")</f>
        <v>BAT85133</v>
      </c>
      <c r="B15462" s="3" t="str">
        <f>HYPERLINK("https://www.773grp.com/manufacturer/nxp-semiconductor?pageNo=22", "NXP Semiconductors")</f>
        <v>NXP Semiconductors</v>
      </c>
      <c r="C15462" s="6">
        <v>30000</v>
      </c>
      <c r="D15462" s="7">
        <v>0.33</v>
      </c>
    </row>
    <row r="15463" spans="1:4" x14ac:dyDescent="0.25">
      <c r="A15463" t="str">
        <f>HYPERLINK("https://www.773grp.com/globalSearch/BAV23215/page-1", "BAV23215")</f>
        <v>BAV23215</v>
      </c>
      <c r="B15463" s="3" t="str">
        <f>HYPERLINK("https://www.773grp.com/manufacturer/nxp-semiconductor?pageNo=23", "NXP Semiconductors")</f>
        <v>NXP Semiconductors</v>
      </c>
      <c r="C15463" s="6">
        <v>83497</v>
      </c>
      <c r="D15463" s="7">
        <v>0.33</v>
      </c>
    </row>
    <row r="15464" spans="1:4" x14ac:dyDescent="0.25">
      <c r="A15464" t="str">
        <f>HYPERLINK("https://www.773grp.com/globalSearch/BAV23A215/page-1", "BAV23A215")</f>
        <v>BAV23A215</v>
      </c>
      <c r="B15464" s="3" t="str">
        <f>HYPERLINK("https://www.773grp.com/manufacturer/nxp-semiconductor?pageNo=24", "NXP Semiconductors")</f>
        <v>NXP Semiconductors</v>
      </c>
      <c r="C15464" s="6">
        <v>18000</v>
      </c>
      <c r="D15464" s="7">
        <v>0.33</v>
      </c>
    </row>
    <row r="15465" spans="1:4" x14ac:dyDescent="0.25">
      <c r="A15465" t="str">
        <f>HYPERLINK("https://www.773grp.com/globalSearch/BAV23C215/page-1", "BAV23C215")</f>
        <v>BAV23C215</v>
      </c>
      <c r="B15465" s="3" t="str">
        <f>HYPERLINK("https://www.773grp.com/manufacturer/nxp-semiconductor?pageNo=25", "NXP Semiconductors")</f>
        <v>NXP Semiconductors</v>
      </c>
      <c r="C15465" s="6">
        <v>455</v>
      </c>
      <c r="D15465" s="7">
        <v>0.33</v>
      </c>
    </row>
    <row r="15466" spans="1:4" x14ac:dyDescent="0.25">
      <c r="A15466" t="str">
        <f>HYPERLINK("https://www.773grp.com/globalSearch/BAV99S115/page-1", "BAV99S115")</f>
        <v>BAV99S115</v>
      </c>
      <c r="B15466" s="3" t="str">
        <f>HYPERLINK("https://www.773grp.com/manufacturer/nxp-semiconductor?pageNo=26", "NXP Semiconductors")</f>
        <v>NXP Semiconductors</v>
      </c>
      <c r="C15466" s="6">
        <v>153000</v>
      </c>
      <c r="D15466" s="7">
        <v>0.33</v>
      </c>
    </row>
    <row r="15467" spans="1:4" x14ac:dyDescent="0.25">
      <c r="A15467" t="str">
        <f>HYPERLINK("https://www.773grp.com/globalSearch/BAV99S135/page-1", "BAV99S135")</f>
        <v>BAV99S135</v>
      </c>
      <c r="B15467" s="3" t="str">
        <f>HYPERLINK("https://www.773grp.com/manufacturer/nxp-semiconductor?pageNo=27", "NXP Semiconductors")</f>
        <v>NXP Semiconductors</v>
      </c>
      <c r="C15467" s="6">
        <v>10000</v>
      </c>
      <c r="D15467" s="7">
        <v>0.33</v>
      </c>
    </row>
    <row r="15468" spans="1:4" x14ac:dyDescent="0.25">
      <c r="A15468" t="str">
        <f>HYPERLINK("https://www.773grp.com/globalSearch/BB178115/page-1", "BB178115")</f>
        <v>BB178115</v>
      </c>
      <c r="B15468" s="3" t="str">
        <f>HYPERLINK("https://www.773grp.com/manufacturer/nxp-semiconductor?pageNo=28", "NXP Semiconductors")</f>
        <v>NXP Semiconductors</v>
      </c>
      <c r="C15468" s="6">
        <v>3000</v>
      </c>
      <c r="D15468" s="7">
        <v>0.33</v>
      </c>
    </row>
    <row r="15469" spans="1:4" x14ac:dyDescent="0.25">
      <c r="A15469" t="str">
        <f>HYPERLINK("https://www.773grp.com/globalSearch/BB179B115/page-1", "BB179B115")</f>
        <v>BB179B115</v>
      </c>
      <c r="B15469" s="3" t="str">
        <f>HYPERLINK("https://www.773grp.com/manufacturer/nxp-semiconductor?pageNo=29", "NXP Semiconductors")</f>
        <v>NXP Semiconductors</v>
      </c>
      <c r="C15469" s="6">
        <v>7721</v>
      </c>
      <c r="D15469" s="7">
        <v>0.33</v>
      </c>
    </row>
    <row r="15470" spans="1:4" x14ac:dyDescent="0.25">
      <c r="A15470" t="str">
        <f>HYPERLINK("https://www.773grp.com/globalSearch/BB181335/page-1", "BB181335")</f>
        <v>BB181335</v>
      </c>
      <c r="B15470" s="3" t="str">
        <f>HYPERLINK("https://www.773grp.com/manufacturer/nxp-semiconductor?pageNo=30", "NXP Semiconductors")</f>
        <v>NXP Semiconductors</v>
      </c>
      <c r="C15470" s="6">
        <v>1440000</v>
      </c>
      <c r="D15470" s="7">
        <v>0.33</v>
      </c>
    </row>
    <row r="15471" spans="1:4" x14ac:dyDescent="0.25">
      <c r="A15471" t="str">
        <f>HYPERLINK("https://www.773grp.com/globalSearch/BB187115/page-1", "BB187115")</f>
        <v>BB187115</v>
      </c>
      <c r="B15471" s="3" t="str">
        <f>HYPERLINK("https://www.773grp.com/manufacturer/nxp-semiconductor?pageNo=31", "NXP Semiconductors")</f>
        <v>NXP Semiconductors</v>
      </c>
      <c r="C15471" s="6">
        <v>12000</v>
      </c>
      <c r="D15471" s="7">
        <v>0.33</v>
      </c>
    </row>
    <row r="15472" spans="1:4" x14ac:dyDescent="0.25">
      <c r="A15472" t="str">
        <f>HYPERLINK("https://www.773grp.com/globalSearch/BB187335/page-1", "BB187335")</f>
        <v>BB187335</v>
      </c>
      <c r="B15472" s="3" t="str">
        <f>HYPERLINK("https://www.773grp.com/manufacturer/nxp-semiconductor?pageNo=32", "NXP Semiconductors")</f>
        <v>NXP Semiconductors</v>
      </c>
      <c r="C15472" s="6">
        <v>700000</v>
      </c>
      <c r="D15472" s="7">
        <v>0.33</v>
      </c>
    </row>
    <row r="15473" spans="1:4" x14ac:dyDescent="0.25">
      <c r="A15473" t="str">
        <f>HYPERLINK("https://www.773grp.com/globalSearch/BC51-10PA115/page-1", "BC51-10PA115")</f>
        <v>BC51-10PA115</v>
      </c>
      <c r="B15473" s="3" t="str">
        <f>HYPERLINK("https://www.773grp.com/manufacturer/nxp-semiconductor?pageNo=33", "NXP Semiconductors")</f>
        <v>NXP Semiconductors</v>
      </c>
      <c r="C15473" s="6">
        <v>2790</v>
      </c>
      <c r="D15473" s="7">
        <v>0.33</v>
      </c>
    </row>
    <row r="15474" spans="1:4" x14ac:dyDescent="0.25">
      <c r="A15474" t="str">
        <f>HYPERLINK("https://www.773grp.com/globalSearch/BC51-16PA115/page-1", "BC51-16PA115")</f>
        <v>BC51-16PA115</v>
      </c>
      <c r="B15474" s="3" t="str">
        <f>HYPERLINK("https://www.773grp.com/manufacturer/nxp-semiconductor?pageNo=34", "NXP Semiconductors")</f>
        <v>NXP Semiconductors</v>
      </c>
      <c r="C15474" s="6">
        <v>9000</v>
      </c>
      <c r="D15474" s="7">
        <v>0.33</v>
      </c>
    </row>
    <row r="15475" spans="1:4" x14ac:dyDescent="0.25">
      <c r="A15475" t="str">
        <f>HYPERLINK("https://www.773grp.com/globalSearch/BC51PA115/page-1", "BC51PA115")</f>
        <v>BC51PA115</v>
      </c>
      <c r="B15475" s="3" t="str">
        <f>HYPERLINK("https://www.773grp.com/manufacturer/nxp-semiconductor?pageNo=35", "NXP Semiconductors")</f>
        <v>NXP Semiconductors</v>
      </c>
      <c r="C15475" s="6">
        <v>12000</v>
      </c>
      <c r="D15475" s="7">
        <v>0.33</v>
      </c>
    </row>
    <row r="15476" spans="1:4" x14ac:dyDescent="0.25">
      <c r="A15476" t="str">
        <f>HYPERLINK("https://www.773grp.com/globalSearch/BC52-10PA115/page-1", "BC52-10PA115")</f>
        <v>BC52-10PA115</v>
      </c>
      <c r="B15476" s="3" t="str">
        <f>HYPERLINK("https://www.773grp.com/manufacturer/nxp-semiconductor?pageNo=36", "NXP Semiconductors")</f>
        <v>NXP Semiconductors</v>
      </c>
      <c r="C15476" s="6">
        <v>12000</v>
      </c>
      <c r="D15476" s="7">
        <v>0.33</v>
      </c>
    </row>
    <row r="15477" spans="1:4" x14ac:dyDescent="0.25">
      <c r="A15477" t="str">
        <f>HYPERLINK("https://www.773grp.com/globalSearch/BC52-16PA115/page-1", "BC52-16PA115")</f>
        <v>BC52-16PA115</v>
      </c>
      <c r="B15477" s="3" t="str">
        <f>HYPERLINK("https://www.773grp.com/manufacturer/nxp-semiconductor?pageNo=37", "NXP Semiconductors")</f>
        <v>NXP Semiconductors</v>
      </c>
      <c r="C15477" s="6">
        <v>12000</v>
      </c>
      <c r="D15477" s="7">
        <v>0.33</v>
      </c>
    </row>
    <row r="15478" spans="1:4" x14ac:dyDescent="0.25">
      <c r="A15478" t="str">
        <f>HYPERLINK("https://www.773grp.com/globalSearch/BC52PA115/page-1", "BC52PA115")</f>
        <v>BC52PA115</v>
      </c>
      <c r="B15478" s="3" t="str">
        <f>HYPERLINK("https://www.773grp.com/manufacturer/nxp-semiconductor?pageNo=38", "NXP Semiconductors")</f>
        <v>NXP Semiconductors</v>
      </c>
      <c r="C15478" s="6">
        <v>12000</v>
      </c>
      <c r="D15478" s="7">
        <v>0.33</v>
      </c>
    </row>
    <row r="15479" spans="1:4" x14ac:dyDescent="0.25">
      <c r="A15479" t="str">
        <f>HYPERLINK("https://www.773grp.com/globalSearch/BC53-10PA115/page-1", "BC53-10PA115")</f>
        <v>BC53-10PA115</v>
      </c>
      <c r="B15479" s="3" t="str">
        <f>HYPERLINK("https://www.773grp.com/manufacturer/nxp-semiconductor?pageNo=39", "NXP Semiconductors")</f>
        <v>NXP Semiconductors</v>
      </c>
      <c r="C15479" s="6">
        <v>15000</v>
      </c>
      <c r="D15479" s="7">
        <v>0.33</v>
      </c>
    </row>
    <row r="15480" spans="1:4" x14ac:dyDescent="0.25">
      <c r="A15480" t="str">
        <f>HYPERLINK("https://www.773grp.com/globalSearch/BC53-16PA115/page-1", "BC53-16PA115")</f>
        <v>BC53-16PA115</v>
      </c>
      <c r="B15480" s="3" t="str">
        <f>HYPERLINK("https://www.773grp.com/manufacturer/nxp-semiconductor?pageNo=40", "NXP Semiconductors")</f>
        <v>NXP Semiconductors</v>
      </c>
      <c r="C15480" s="6">
        <v>12000</v>
      </c>
      <c r="D15480" s="7">
        <v>0.33</v>
      </c>
    </row>
    <row r="15481" spans="1:4" x14ac:dyDescent="0.25">
      <c r="A15481" t="str">
        <f>HYPERLINK("https://www.773grp.com/globalSearch/BC53PA115/page-1", "BC53PA115")</f>
        <v>BC53PA115</v>
      </c>
      <c r="B15481" s="3" t="str">
        <f>HYPERLINK("https://www.773grp.com/manufacturer/nxp-semiconductor?pageNo=41", "NXP Semiconductors")</f>
        <v>NXP Semiconductors</v>
      </c>
      <c r="C15481" s="6">
        <v>12000</v>
      </c>
      <c r="D15481" s="7">
        <v>0.33</v>
      </c>
    </row>
    <row r="15482" spans="1:4" x14ac:dyDescent="0.25">
      <c r="A15482" t="str">
        <f>HYPERLINK("https://www.773grp.com/globalSearch/BC54-10PA115/page-1", "BC54-10PA115")</f>
        <v>BC54-10PA115</v>
      </c>
      <c r="B15482" s="3" t="str">
        <f>HYPERLINK("https://www.773grp.com/manufacturer/nxp-semiconductor?pageNo=42", "NXP Semiconductors")</f>
        <v>NXP Semiconductors</v>
      </c>
      <c r="C15482" s="6">
        <v>12000</v>
      </c>
      <c r="D15482" s="7">
        <v>0.33</v>
      </c>
    </row>
    <row r="15483" spans="1:4" x14ac:dyDescent="0.25">
      <c r="A15483" t="str">
        <f>HYPERLINK("https://www.773grp.com/globalSearch/BC54-16PA115/page-1", "BC54-16PA115")</f>
        <v>BC54-16PA115</v>
      </c>
      <c r="B15483" s="3" t="str">
        <f>HYPERLINK("https://www.773grp.com/manufacturer/nxp-semiconductor?pageNo=43", "NXP Semiconductors")</f>
        <v>NXP Semiconductors</v>
      </c>
      <c r="C15483" s="6">
        <v>17479</v>
      </c>
      <c r="D15483" s="7">
        <v>0.33</v>
      </c>
    </row>
    <row r="15484" spans="1:4" x14ac:dyDescent="0.25">
      <c r="A15484" t="str">
        <f>HYPERLINK("https://www.773grp.com/globalSearch/BC54PA115/page-1", "BC54PA115")</f>
        <v>BC54PA115</v>
      </c>
      <c r="B15484" s="3" t="str">
        <f>HYPERLINK("https://www.773grp.com/manufacturer/nxp-semiconductor?pageNo=44", "NXP Semiconductors")</f>
        <v>NXP Semiconductors</v>
      </c>
      <c r="C15484" s="6">
        <v>12000</v>
      </c>
      <c r="D15484" s="7">
        <v>0.33</v>
      </c>
    </row>
    <row r="15485" spans="1:4" x14ac:dyDescent="0.25">
      <c r="A15485" t="str">
        <f>HYPERLINK("https://www.773grp.com/globalSearch/BC55-10PA115/page-1", "BC55-10PA115")</f>
        <v>BC55-10PA115</v>
      </c>
      <c r="B15485" s="3" t="str">
        <f>HYPERLINK("https://www.773grp.com/manufacturer/nxp-semiconductor?pageNo=45", "NXP Semiconductors")</f>
        <v>NXP Semiconductors</v>
      </c>
      <c r="C15485" s="6">
        <v>12000</v>
      </c>
      <c r="D15485" s="7">
        <v>0.33</v>
      </c>
    </row>
    <row r="15486" spans="1:4" x14ac:dyDescent="0.25">
      <c r="A15486" t="str">
        <f>HYPERLINK("https://www.773grp.com/globalSearch/BC55-16PA115/page-1", "BC55-16PA115")</f>
        <v>BC55-16PA115</v>
      </c>
      <c r="B15486" s="3" t="str">
        <f>HYPERLINK("https://www.773grp.com/manufacturer/nxp-semiconductor?pageNo=46", "NXP Semiconductors")</f>
        <v>NXP Semiconductors</v>
      </c>
      <c r="C15486" s="6">
        <v>12000</v>
      </c>
      <c r="D15486" s="7">
        <v>0.33</v>
      </c>
    </row>
    <row r="15487" spans="1:4" x14ac:dyDescent="0.25">
      <c r="A15487" t="str">
        <f>HYPERLINK("https://www.773grp.com/globalSearch/BC55PA115/page-1", "BC55PA115")</f>
        <v>BC55PA115</v>
      </c>
      <c r="B15487" s="3" t="str">
        <f>HYPERLINK("https://www.773grp.com/manufacturer/nxp-semiconductor?pageNo=47", "NXP Semiconductors")</f>
        <v>NXP Semiconductors</v>
      </c>
      <c r="C15487" s="6">
        <v>12000</v>
      </c>
      <c r="D15487" s="7">
        <v>0.33</v>
      </c>
    </row>
    <row r="15488" spans="1:4" x14ac:dyDescent="0.25">
      <c r="A15488" t="str">
        <f>HYPERLINK("https://www.773grp.com/globalSearch/BC56-10PA115/page-1", "BC56-10PA115")</f>
        <v>BC56-10PA115</v>
      </c>
      <c r="B15488" s="3" t="str">
        <f>HYPERLINK("https://www.773grp.com/manufacturer/nxp-semiconductor?pageNo=48", "NXP Semiconductors")</f>
        <v>NXP Semiconductors</v>
      </c>
      <c r="C15488" s="6">
        <v>14994</v>
      </c>
      <c r="D15488" s="7">
        <v>0.33</v>
      </c>
    </row>
    <row r="15489" spans="1:4" x14ac:dyDescent="0.25">
      <c r="A15489" t="str">
        <f>HYPERLINK("https://www.773grp.com/globalSearch/BC56-16PA115/page-1", "BC56-16PA115")</f>
        <v>BC56-16PA115</v>
      </c>
      <c r="B15489" s="3" t="str">
        <f>HYPERLINK("https://www.773grp.com/manufacturer/nxp-semiconductor?pageNo=1", "NXP Semiconductors")</f>
        <v>NXP Semiconductors</v>
      </c>
      <c r="C15489" s="6">
        <v>4378</v>
      </c>
      <c r="D15489" s="7">
        <v>0.33</v>
      </c>
    </row>
    <row r="15490" spans="1:4" x14ac:dyDescent="0.25">
      <c r="A15490" t="str">
        <f>HYPERLINK("https://www.773grp.com/globalSearch/BC56PA115/page-1", "BC56PA115")</f>
        <v>BC56PA115</v>
      </c>
      <c r="B15490" s="3" t="str">
        <f>HYPERLINK("https://www.773grp.com/manufacturer/nxp-semiconductor?pageNo=2", "NXP Semiconductors")</f>
        <v>NXP Semiconductors</v>
      </c>
      <c r="C15490" s="6">
        <v>12000</v>
      </c>
      <c r="D15490" s="7">
        <v>0.33</v>
      </c>
    </row>
    <row r="15491" spans="1:4" x14ac:dyDescent="0.25">
      <c r="A15491" t="str">
        <f>HYPERLINK("https://www.773grp.com/globalSearch/BC68-25PA115/page-1", "BC68-25PA115")</f>
        <v>BC68-25PA115</v>
      </c>
      <c r="B15491" s="3" t="str">
        <f>HYPERLINK("https://www.773grp.com/manufacturer/nxp-semiconductor?pageNo=3", "NXP Semiconductors")</f>
        <v>NXP Semiconductors</v>
      </c>
      <c r="C15491" s="6">
        <v>9000</v>
      </c>
      <c r="D15491" s="7">
        <v>0.33</v>
      </c>
    </row>
    <row r="15492" spans="1:4" x14ac:dyDescent="0.25">
      <c r="A15492" t="str">
        <f>HYPERLINK("https://www.773grp.com/globalSearch/BC68PA115/page-1", "BC68PA115")</f>
        <v>BC68PA115</v>
      </c>
      <c r="B15492" s="3" t="str">
        <f>HYPERLINK("https://www.773grp.com/manufacturer/nxp-semiconductor?pageNo=4", "NXP Semiconductors")</f>
        <v>NXP Semiconductors</v>
      </c>
      <c r="C15492" s="6">
        <v>3000</v>
      </c>
      <c r="D15492" s="7">
        <v>0.33</v>
      </c>
    </row>
    <row r="15493" spans="1:4" x14ac:dyDescent="0.25">
      <c r="A15493" t="str">
        <f>HYPERLINK("https://www.773grp.com/globalSearch/BC69-16PA115/page-1", "BC69-16PA115")</f>
        <v>BC69-16PA115</v>
      </c>
      <c r="B15493" s="3" t="str">
        <f>HYPERLINK("https://www.773grp.com/manufacturer/nxp-semiconductor?pageNo=5", "NXP Semiconductors")</f>
        <v>NXP Semiconductors</v>
      </c>
      <c r="C15493" s="6">
        <v>8000</v>
      </c>
      <c r="D15493" s="7">
        <v>0.33</v>
      </c>
    </row>
    <row r="15494" spans="1:4" x14ac:dyDescent="0.25">
      <c r="A15494" t="str">
        <f>HYPERLINK("https://www.773grp.com/globalSearch/BC69-25PA115/page-1", "BC69-25PA115")</f>
        <v>BC69-25PA115</v>
      </c>
      <c r="B15494" s="3" t="str">
        <f>HYPERLINK("https://www.773grp.com/manufacturer/nxp-semiconductor?pageNo=6", "NXP Semiconductors")</f>
        <v>NXP Semiconductors</v>
      </c>
      <c r="C15494" s="6">
        <v>6000</v>
      </c>
      <c r="D15494" s="7">
        <v>0.33</v>
      </c>
    </row>
    <row r="15495" spans="1:4" x14ac:dyDescent="0.25">
      <c r="A15495" t="str">
        <f>HYPERLINK("https://www.773grp.com/globalSearch/BC69PA115/page-1", "BC69PA115")</f>
        <v>BC69PA115</v>
      </c>
      <c r="B15495" s="3" t="str">
        <f>HYPERLINK("https://www.773grp.com/manufacturer/nxp-semiconductor?pageNo=7", "NXP Semiconductors")</f>
        <v>NXP Semiconductors</v>
      </c>
      <c r="C15495" s="6">
        <v>9000</v>
      </c>
      <c r="D15495" s="7">
        <v>0.33</v>
      </c>
    </row>
    <row r="15496" spans="1:4" x14ac:dyDescent="0.25">
      <c r="A15496" t="str">
        <f>HYPERLINK("https://www.773grp.com/globalSearch/BC807DS115/page-1", "BC807DS115")</f>
        <v>BC807DS115</v>
      </c>
      <c r="B15496" s="3" t="str">
        <f>HYPERLINK("https://www.773grp.com/manufacturer/nxp-semiconductor?pageNo=8", "NXP Semiconductors")</f>
        <v>NXP Semiconductors</v>
      </c>
      <c r="C15496" s="6">
        <v>47975</v>
      </c>
      <c r="D15496" s="7">
        <v>0.33</v>
      </c>
    </row>
    <row r="15497" spans="1:4" x14ac:dyDescent="0.25">
      <c r="A15497" t="str">
        <f>HYPERLINK("https://www.773grp.com/globalSearch/BC817DS115/page-1", "BC817DS115")</f>
        <v>BC817DS115</v>
      </c>
      <c r="B15497" s="3" t="str">
        <f>HYPERLINK("https://www.773grp.com/manufacturer/nxp-semiconductor?pageNo=9", "NXP Semiconductors")</f>
        <v>NXP Semiconductors</v>
      </c>
      <c r="C15497" s="6">
        <v>23925</v>
      </c>
      <c r="D15497" s="7">
        <v>0.33</v>
      </c>
    </row>
    <row r="15498" spans="1:4" x14ac:dyDescent="0.25">
      <c r="A15498" t="str">
        <f>HYPERLINK("https://www.773grp.com/globalSearch/BF820215/page-1", "BF820215")</f>
        <v>BF820215</v>
      </c>
      <c r="B15498" s="3" t="str">
        <f>HYPERLINK("https://www.773grp.com/manufacturer/nxp-semiconductor?pageNo=10", "NXP Semiconductors")</f>
        <v>NXP Semiconductors</v>
      </c>
      <c r="C15498" s="6">
        <v>40882</v>
      </c>
      <c r="D15498" s="7">
        <v>0.33</v>
      </c>
    </row>
    <row r="15499" spans="1:4" x14ac:dyDescent="0.25">
      <c r="A15499" t="str">
        <f>HYPERLINK("https://www.773grp.com/globalSearch/BF820W115/page-1", "BF820W115")</f>
        <v>BF820W115</v>
      </c>
      <c r="B15499" s="3" t="str">
        <f>HYPERLINK("https://www.773grp.com/manufacturer/nxp-semiconductor?pageNo=11", "NXP Semiconductors")</f>
        <v>NXP Semiconductors</v>
      </c>
      <c r="C15499" s="6">
        <v>18505</v>
      </c>
      <c r="D15499" s="7">
        <v>0.33</v>
      </c>
    </row>
    <row r="15500" spans="1:4" x14ac:dyDescent="0.25">
      <c r="A15500" t="str">
        <f>HYPERLINK("https://www.773grp.com/globalSearch/BF821215/page-1", "BF821215")</f>
        <v>BF821215</v>
      </c>
      <c r="B15500" s="3" t="str">
        <f>HYPERLINK("https://www.773grp.com/manufacturer/nxp-semiconductor?pageNo=12", "NXP Semiconductors")</f>
        <v>NXP Semiconductors</v>
      </c>
      <c r="C15500" s="6">
        <v>36898</v>
      </c>
      <c r="D15500" s="7">
        <v>0.33</v>
      </c>
    </row>
    <row r="15501" spans="1:4" x14ac:dyDescent="0.25">
      <c r="A15501" t="str">
        <f>HYPERLINK("https://www.773grp.com/globalSearch/BF823215/page-1", "BF823215")</f>
        <v>BF823215</v>
      </c>
      <c r="B15501" s="3" t="str">
        <f>HYPERLINK("https://www.773grp.com/manufacturer/nxp-semiconductor?pageNo=13", "NXP Semiconductors")</f>
        <v>NXP Semiconductors</v>
      </c>
      <c r="C15501" s="6">
        <v>51000</v>
      </c>
      <c r="D15501" s="7">
        <v>0.33</v>
      </c>
    </row>
    <row r="15502" spans="1:4" x14ac:dyDescent="0.25">
      <c r="A15502" t="str">
        <f>HYPERLINK("https://www.773grp.com/globalSearch/BFG403W115/page-1", "BFG403W115")</f>
        <v>BFG403W115</v>
      </c>
      <c r="B15502" s="3" t="str">
        <f>HYPERLINK("https://www.773grp.com/manufacturer/nxp-semiconductor?pageNo=14", "NXP Semiconductors")</f>
        <v>NXP Semiconductors</v>
      </c>
      <c r="C15502" s="6">
        <v>2850</v>
      </c>
      <c r="D15502" s="7">
        <v>0.33</v>
      </c>
    </row>
    <row r="15503" spans="1:4" x14ac:dyDescent="0.25">
      <c r="A15503" t="str">
        <f>HYPERLINK("https://www.773grp.com/globalSearch/BFG410W115/page-1", "BFG410W115")</f>
        <v>BFG410W115</v>
      </c>
      <c r="B15503" s="3" t="str">
        <f>HYPERLINK("https://www.773grp.com/manufacturer/nxp-semiconductor?pageNo=15", "NXP Semiconductors")</f>
        <v>NXP Semiconductors</v>
      </c>
      <c r="C15503" s="6">
        <v>6000</v>
      </c>
      <c r="D15503" s="7">
        <v>0.33</v>
      </c>
    </row>
    <row r="15504" spans="1:4" x14ac:dyDescent="0.25">
      <c r="A15504" t="str">
        <f>HYPERLINK("https://www.773grp.com/globalSearch/BFG424F115/page-1", "BFG424F115")</f>
        <v>BFG424F115</v>
      </c>
      <c r="B15504" s="3" t="str">
        <f>HYPERLINK("https://www.773grp.com/manufacturer/nxp-semiconductor?pageNo=16", "NXP Semiconductors")</f>
        <v>NXP Semiconductors</v>
      </c>
      <c r="C15504" s="6">
        <v>6000</v>
      </c>
      <c r="D15504" s="7">
        <v>0.33</v>
      </c>
    </row>
    <row r="15505" spans="1:4" x14ac:dyDescent="0.25">
      <c r="A15505" t="str">
        <f>HYPERLINK("https://www.773grp.com/globalSearch/BFQ67215/page-1", "BFQ67215")</f>
        <v>BFQ67215</v>
      </c>
      <c r="B15505" s="3" t="str">
        <f>HYPERLINK("https://www.773grp.com/manufacturer/nxp-semiconductor?pageNo=17", "NXP Semiconductors")</f>
        <v>NXP Semiconductors</v>
      </c>
      <c r="C15505" s="6">
        <v>27136</v>
      </c>
      <c r="D15505" s="7">
        <v>0.33</v>
      </c>
    </row>
    <row r="15506" spans="1:4" x14ac:dyDescent="0.25">
      <c r="A15506" t="str">
        <f>HYPERLINK("https://www.773grp.com/globalSearch/BFQ67W115/page-1", "BFQ67W115")</f>
        <v>BFQ67W115</v>
      </c>
      <c r="B15506" s="3" t="str">
        <f>HYPERLINK("https://www.773grp.com/manufacturer/nxp-semiconductor?pageNo=18", "NXP Semiconductors")</f>
        <v>NXP Semiconductors</v>
      </c>
      <c r="C15506" s="6">
        <v>15000</v>
      </c>
      <c r="D15506" s="7">
        <v>0.33</v>
      </c>
    </row>
    <row r="15507" spans="1:4" x14ac:dyDescent="0.25">
      <c r="A15507" t="str">
        <f>HYPERLINK("https://www.773grp.com/globalSearch/BSH121135/page-1", "BSH121135")</f>
        <v>BSH121135</v>
      </c>
      <c r="B15507" s="3" t="str">
        <f>HYPERLINK("https://www.773grp.com/manufacturer/nxp-semiconductor?pageNo=19", "NXP Semiconductors")</f>
        <v>NXP Semiconductors</v>
      </c>
      <c r="C15507" s="6">
        <v>20000</v>
      </c>
      <c r="D15507" s="7">
        <v>0.33</v>
      </c>
    </row>
    <row r="15508" spans="1:4" x14ac:dyDescent="0.25">
      <c r="A15508" t="str">
        <f>HYPERLINK("https://www.773grp.com/globalSearch/BSH203215/page-1", "BSH203215")</f>
        <v>BSH203215</v>
      </c>
      <c r="B15508" s="3" t="str">
        <f>HYPERLINK("https://www.773grp.com/manufacturer/nxp-semiconductor?pageNo=20", "NXP Semiconductors")</f>
        <v>NXP Semiconductors</v>
      </c>
      <c r="C15508" s="6">
        <v>159000</v>
      </c>
      <c r="D15508" s="7">
        <v>0.33</v>
      </c>
    </row>
    <row r="15509" spans="1:4" x14ac:dyDescent="0.25">
      <c r="A15509" t="str">
        <f>HYPERLINK("https://www.773grp.com/globalSearch/BSS63215/page-1", "BSS63215")</f>
        <v>BSS63215</v>
      </c>
      <c r="B15509" s="3" t="str">
        <f>HYPERLINK("https://www.773grp.com/manufacturer/nxp-semiconductor?pageNo=21", "NXP Semiconductors")</f>
        <v>NXP Semiconductors</v>
      </c>
      <c r="C15509" s="6">
        <v>78000</v>
      </c>
      <c r="D15509" s="7">
        <v>0.33</v>
      </c>
    </row>
    <row r="15510" spans="1:4" x14ac:dyDescent="0.25">
      <c r="A15510" t="str">
        <f>HYPERLINK("https://www.773grp.com/globalSearch/BSS64215/page-1", "BSS64215")</f>
        <v>BSS64215</v>
      </c>
      <c r="B15510" s="3" t="str">
        <f>HYPERLINK("https://www.773grp.com/manufacturer/nxp-semiconductor?pageNo=22", "NXP Semiconductors")</f>
        <v>NXP Semiconductors</v>
      </c>
      <c r="C15510" s="6">
        <v>27000</v>
      </c>
      <c r="D15510" s="7">
        <v>0.33</v>
      </c>
    </row>
    <row r="15511" spans="1:4" x14ac:dyDescent="0.25">
      <c r="A15511" t="str">
        <f>HYPERLINK("https://www.773grp.com/globalSearch/BSS84AKS115/page-1", "BSS84AKS115")</f>
        <v>BSS84AKS115</v>
      </c>
      <c r="B15511" s="3" t="str">
        <f>HYPERLINK("https://www.773grp.com/manufacturer/nxp-semiconductor?pageNo=23", "NXP Semiconductors")</f>
        <v>NXP Semiconductors</v>
      </c>
      <c r="C15511" s="6">
        <v>6000</v>
      </c>
      <c r="D15511" s="7">
        <v>0.33</v>
      </c>
    </row>
    <row r="15512" spans="1:4" x14ac:dyDescent="0.25">
      <c r="A15512" t="str">
        <f>HYPERLINK("https://www.773grp.com/globalSearch/BSS84AKV115/page-1", "BSS84AKV115")</f>
        <v>BSS84AKV115</v>
      </c>
      <c r="B15512" s="3" t="str">
        <f>HYPERLINK("https://www.773grp.com/manufacturer/nxp-semiconductor?pageNo=24", "NXP Semiconductors")</f>
        <v>NXP Semiconductors</v>
      </c>
      <c r="C15512" s="6">
        <v>8000</v>
      </c>
      <c r="D15512" s="7">
        <v>0.33</v>
      </c>
    </row>
    <row r="15513" spans="1:4" x14ac:dyDescent="0.25">
      <c r="A15513" t="str">
        <f>HYPERLINK("https://www.773grp.com/globalSearch/BSV52215/page-1", "BSV52215")</f>
        <v>BSV52215</v>
      </c>
      <c r="B15513" s="3" t="str">
        <f>HYPERLINK("https://www.773grp.com/manufacturer/nxp-semiconductor?pageNo=25", "NXP Semiconductors")</f>
        <v>NXP Semiconductors</v>
      </c>
      <c r="C15513" s="6">
        <v>12197</v>
      </c>
      <c r="D15513" s="7">
        <v>0.33</v>
      </c>
    </row>
    <row r="15514" spans="1:4" x14ac:dyDescent="0.25">
      <c r="A15514" t="str">
        <f>HYPERLINK("https://www.773grp.com/globalSearch/BZA418A165/page-1", "BZA418A165")</f>
        <v>BZA418A165</v>
      </c>
      <c r="B15514" s="3" t="str">
        <f>HYPERLINK("https://www.773grp.com/manufacturer/nxp-semiconductor?pageNo=26", "NXP Semiconductors")</f>
        <v>NXP Semiconductors</v>
      </c>
      <c r="C15514" s="6">
        <v>449</v>
      </c>
      <c r="D15514" s="7">
        <v>0.33</v>
      </c>
    </row>
    <row r="15515" spans="1:4" x14ac:dyDescent="0.25">
      <c r="A15515" t="str">
        <f>HYPERLINK("https://www.773grp.com/globalSearch/BZA456A115/page-1", "BZA456A115")</f>
        <v>BZA456A115</v>
      </c>
      <c r="B15515" s="3" t="str">
        <f>HYPERLINK("https://www.773grp.com/manufacturer/nxp-semiconductor?pageNo=27", "NXP Semiconductors")</f>
        <v>NXP Semiconductors</v>
      </c>
      <c r="C15515" s="6">
        <v>9000</v>
      </c>
      <c r="D15515" s="7">
        <v>0.33</v>
      </c>
    </row>
    <row r="15516" spans="1:4" x14ac:dyDescent="0.25">
      <c r="A15516" t="str">
        <f>HYPERLINK("https://www.773grp.com/globalSearch/BZA462A115/page-1", "BZA462A115")</f>
        <v>BZA462A115</v>
      </c>
      <c r="B15516" s="3" t="str">
        <f>HYPERLINK("https://www.773grp.com/manufacturer/nxp-semiconductor?pageNo=28", "NXP Semiconductors")</f>
        <v>NXP Semiconductors</v>
      </c>
      <c r="C15516" s="6">
        <v>12000</v>
      </c>
      <c r="D15516" s="7">
        <v>0.33</v>
      </c>
    </row>
    <row r="15517" spans="1:4" x14ac:dyDescent="0.25">
      <c r="A15517" t="str">
        <f>HYPERLINK("https://www.773grp.com/globalSearch/BZA462A125/page-1", "BZA462A125")</f>
        <v>BZA462A125</v>
      </c>
      <c r="B15517" s="3" t="str">
        <f>HYPERLINK("https://www.773grp.com/manufacturer/nxp-semiconductor?pageNo=29", "NXP Semiconductors")</f>
        <v>NXP Semiconductors</v>
      </c>
      <c r="C15517" s="6">
        <v>500</v>
      </c>
      <c r="D15517" s="7">
        <v>0.33</v>
      </c>
    </row>
    <row r="15518" spans="1:4" x14ac:dyDescent="0.25">
      <c r="A15518" t="str">
        <f>HYPERLINK("https://www.773grp.com/globalSearch/BZA820A115/page-1", "BZA820A115")</f>
        <v>BZA820A115</v>
      </c>
      <c r="B15518" s="3" t="str">
        <f>HYPERLINK("https://www.773grp.com/manufacturer/nxp-semiconductor?pageNo=30", "NXP Semiconductors")</f>
        <v>NXP Semiconductors</v>
      </c>
      <c r="C15518" s="6">
        <v>28065</v>
      </c>
      <c r="D15518" s="7">
        <v>0.33</v>
      </c>
    </row>
    <row r="15519" spans="1:4" x14ac:dyDescent="0.25">
      <c r="A15519" t="str">
        <f>HYPERLINK("https://www.773grp.com/globalSearch/BZA856AL115/page-1", "BZA856AL115")</f>
        <v>BZA856AL115</v>
      </c>
      <c r="B15519" s="3" t="str">
        <f>HYPERLINK("https://www.773grp.com/manufacturer/nxp-semiconductor?pageNo=31", "NXP Semiconductors")</f>
        <v>NXP Semiconductors</v>
      </c>
      <c r="C15519" s="6">
        <v>5463</v>
      </c>
      <c r="D15519" s="7">
        <v>0.33</v>
      </c>
    </row>
    <row r="15520" spans="1:4" x14ac:dyDescent="0.25">
      <c r="A15520" t="str">
        <f>HYPERLINK("https://www.773grp.com/globalSearch/BZA862A115/page-1", "BZA862A115")</f>
        <v>BZA862A115</v>
      </c>
      <c r="B15520" s="3" t="str">
        <f>HYPERLINK("https://www.773grp.com/manufacturer/nxp-semiconductor?pageNo=32", "NXP Semiconductors")</f>
        <v>NXP Semiconductors</v>
      </c>
      <c r="C15520" s="6">
        <v>9611</v>
      </c>
      <c r="D15520" s="7">
        <v>0.33</v>
      </c>
    </row>
    <row r="15521" spans="1:4" x14ac:dyDescent="0.25">
      <c r="A15521" t="str">
        <f>HYPERLINK("https://www.773grp.com/globalSearch/BZA862AL115/page-1", "BZA862AL115")</f>
        <v>BZA862AL115</v>
      </c>
      <c r="B15521" s="3" t="str">
        <f>HYPERLINK("https://www.773grp.com/manufacturer/nxp-semiconductor?pageNo=33", "NXP Semiconductors")</f>
        <v>NXP Semiconductors</v>
      </c>
      <c r="C15521" s="6">
        <v>10608</v>
      </c>
      <c r="D15521" s="7">
        <v>0.33</v>
      </c>
    </row>
    <row r="15522" spans="1:4" x14ac:dyDescent="0.25">
      <c r="A15522" t="str">
        <f>HYPERLINK("https://www.773grp.com/globalSearch/BZA862AVL115/page-1", "BZA862AVL115")</f>
        <v>BZA862AVL115</v>
      </c>
      <c r="B15522" s="3" t="str">
        <f>HYPERLINK("https://www.773grp.com/manufacturer/nxp-semiconductor?pageNo=34", "NXP Semiconductors")</f>
        <v>NXP Semiconductors</v>
      </c>
      <c r="C15522" s="6">
        <v>14998</v>
      </c>
      <c r="D15522" s="7">
        <v>0.33</v>
      </c>
    </row>
    <row r="15523" spans="1:4" x14ac:dyDescent="0.25">
      <c r="A15523" t="str">
        <f>HYPERLINK("https://www.773grp.com/globalSearch/BZA868AL115/page-1", "BZA868AL115")</f>
        <v>BZA868AL115</v>
      </c>
      <c r="B15523" s="3" t="str">
        <f>HYPERLINK("https://www.773grp.com/manufacturer/nxp-semiconductor?pageNo=35", "NXP Semiconductors")</f>
        <v>NXP Semiconductors</v>
      </c>
      <c r="C15523" s="6">
        <v>55373</v>
      </c>
      <c r="D15523" s="7">
        <v>0.33</v>
      </c>
    </row>
    <row r="15524" spans="1:4" x14ac:dyDescent="0.25">
      <c r="A15524" t="str">
        <f>HYPERLINK("https://www.773grp.com/globalSearch/BZA868AVL115/page-1", "BZA868AVL115")</f>
        <v>BZA868AVL115</v>
      </c>
      <c r="B15524" s="3" t="str">
        <f>HYPERLINK("https://www.773grp.com/manufacturer/nxp-semiconductor?pageNo=36", "NXP Semiconductors")</f>
        <v>NXP Semiconductors</v>
      </c>
      <c r="C15524" s="6">
        <v>3045</v>
      </c>
      <c r="D15524" s="7">
        <v>0.33</v>
      </c>
    </row>
    <row r="15525" spans="1:4" x14ac:dyDescent="0.25">
      <c r="A15525" t="str">
        <f>HYPERLINK("https://www.773grp.com/globalSearch/BZA956A115/page-1", "BZA956A115")</f>
        <v>BZA956A115</v>
      </c>
      <c r="B15525" s="3" t="str">
        <f>HYPERLINK("https://www.773grp.com/manufacturer/nxp-semiconductor?pageNo=37", "NXP Semiconductors")</f>
        <v>NXP Semiconductors</v>
      </c>
      <c r="C15525" s="6">
        <v>400</v>
      </c>
      <c r="D15525" s="7">
        <v>0.33</v>
      </c>
    </row>
    <row r="15526" spans="1:4" x14ac:dyDescent="0.25">
      <c r="A15526" t="str">
        <f>HYPERLINK("https://www.773grp.com/globalSearch/BZA956AVL115/page-1", "BZA956AVL115")</f>
        <v>BZA956AVL115</v>
      </c>
      <c r="B15526" s="3" t="str">
        <f>HYPERLINK("https://www.773grp.com/manufacturer/nxp-semiconductor?pageNo=38", "NXP Semiconductors")</f>
        <v>NXP Semiconductors</v>
      </c>
      <c r="C15526" s="6">
        <v>4510</v>
      </c>
      <c r="D15526" s="7">
        <v>0.33</v>
      </c>
    </row>
    <row r="15527" spans="1:4" x14ac:dyDescent="0.25">
      <c r="A15527" t="str">
        <f>HYPERLINK("https://www.773grp.com/globalSearch/BZA962A115/page-1", "BZA962A115")</f>
        <v>BZA962A115</v>
      </c>
      <c r="B15527" s="3" t="str">
        <f>HYPERLINK("https://www.773grp.com/manufacturer/nxp-semiconductor?pageNo=39", "NXP Semiconductors")</f>
        <v>NXP Semiconductors</v>
      </c>
      <c r="C15527" s="6">
        <v>12000</v>
      </c>
      <c r="D15527" s="7">
        <v>0.33</v>
      </c>
    </row>
    <row r="15528" spans="1:4" x14ac:dyDescent="0.25">
      <c r="A15528" t="str">
        <f>HYPERLINK("https://www.773grp.com/globalSearch/BZA962AVL115/page-1", "BZA962AVL115")</f>
        <v>BZA962AVL115</v>
      </c>
      <c r="B15528" s="3" t="str">
        <f>HYPERLINK("https://www.773grp.com/manufacturer/nxp-semiconductor?pageNo=40", "NXP Semiconductors")</f>
        <v>NXP Semiconductors</v>
      </c>
      <c r="C15528" s="6">
        <v>104000</v>
      </c>
      <c r="D15528" s="7">
        <v>0.33</v>
      </c>
    </row>
    <row r="15529" spans="1:4" x14ac:dyDescent="0.25">
      <c r="A15529" t="str">
        <f>HYPERLINK("https://www.773grp.com/globalSearch/BZA968AVL115/page-1", "BZA968AVL115")</f>
        <v>BZA968AVL115</v>
      </c>
      <c r="B15529" s="3" t="str">
        <f>HYPERLINK("https://www.773grp.com/manufacturer/nxp-semiconductor?pageNo=41", "NXP Semiconductors")</f>
        <v>NXP Semiconductors</v>
      </c>
      <c r="C15529" s="6">
        <v>15579</v>
      </c>
      <c r="D15529" s="7">
        <v>0.33</v>
      </c>
    </row>
    <row r="15530" spans="1:4" x14ac:dyDescent="0.25">
      <c r="A15530" t="str">
        <f>HYPERLINK("https://www.773grp.com/globalSearch/BZX884-B11315/page-1", "BZX884-B11315")</f>
        <v>BZX884-B11315</v>
      </c>
      <c r="B15530" s="3" t="str">
        <f>HYPERLINK("https://www.773grp.com/manufacturer/nxp-semiconductor?pageNo=42", "NXP Semiconductors")</f>
        <v>NXP Semiconductors</v>
      </c>
      <c r="C15530" s="6">
        <v>30000</v>
      </c>
      <c r="D15530" s="7">
        <v>0.33</v>
      </c>
    </row>
    <row r="15531" spans="1:4" x14ac:dyDescent="0.25">
      <c r="A15531" t="str">
        <f>HYPERLINK("https://www.773grp.com/globalSearch/BZX884-B2V4315/page-1", "BZX884-B2V4315")</f>
        <v>BZX884-B2V4315</v>
      </c>
      <c r="B15531" s="3" t="str">
        <f>HYPERLINK("https://www.773grp.com/manufacturer/nxp-semiconductor?pageNo=43", "NXP Semiconductors")</f>
        <v>NXP Semiconductors</v>
      </c>
      <c r="C15531" s="6">
        <v>92827</v>
      </c>
      <c r="D15531" s="7">
        <v>0.33</v>
      </c>
    </row>
    <row r="15532" spans="1:4" x14ac:dyDescent="0.25">
      <c r="A15532" t="str">
        <f>HYPERLINK("https://www.773grp.com/globalSearch/BZX884-B2V7315/page-1", "BZX884-B2V7315")</f>
        <v>BZX884-B2V7315</v>
      </c>
      <c r="B15532" s="3" t="str">
        <f>HYPERLINK("https://www.773grp.com/manufacturer/nxp-semiconductor?pageNo=44", "NXP Semiconductors")</f>
        <v>NXP Semiconductors</v>
      </c>
      <c r="C15532" s="6">
        <v>9996</v>
      </c>
      <c r="D15532" s="7">
        <v>0.33</v>
      </c>
    </row>
    <row r="15533" spans="1:4" x14ac:dyDescent="0.25">
      <c r="A15533" t="str">
        <f>HYPERLINK("https://www.773grp.com/globalSearch/BZX884-B33315/page-1", "BZX884-B33315")</f>
        <v>BZX884-B33315</v>
      </c>
      <c r="B15533" s="3" t="str">
        <f>HYPERLINK("https://www.773grp.com/manufacturer/nxp-semiconductor?pageNo=45", "NXP Semiconductors")</f>
        <v>NXP Semiconductors</v>
      </c>
      <c r="C15533" s="6">
        <v>30000</v>
      </c>
      <c r="D15533" s="7">
        <v>0.33</v>
      </c>
    </row>
    <row r="15534" spans="1:4" x14ac:dyDescent="0.25">
      <c r="A15534" t="str">
        <f>HYPERLINK("https://www.773grp.com/globalSearch/BZX884-B3V3315/page-1", "BZX884-B3V3315")</f>
        <v>BZX884-B3V3315</v>
      </c>
      <c r="B15534" s="3" t="str">
        <f>HYPERLINK("https://www.773grp.com/manufacturer/nxp-semiconductor?pageNo=46", "NXP Semiconductors")</f>
        <v>NXP Semiconductors</v>
      </c>
      <c r="C15534" s="6">
        <v>21000</v>
      </c>
      <c r="D15534" s="7">
        <v>0.33</v>
      </c>
    </row>
    <row r="15535" spans="1:4" x14ac:dyDescent="0.25">
      <c r="A15535" t="str">
        <f>HYPERLINK("https://www.773grp.com/globalSearch/BZX884-B43315/page-1", "BZX884-B43315")</f>
        <v>BZX884-B43315</v>
      </c>
      <c r="B15535" s="3" t="str">
        <f>HYPERLINK("https://www.773grp.com/manufacturer/nxp-semiconductor?pageNo=47", "NXP Semiconductors")</f>
        <v>NXP Semiconductors</v>
      </c>
      <c r="C15535" s="6">
        <v>20000</v>
      </c>
      <c r="D15535" s="7">
        <v>0.33</v>
      </c>
    </row>
    <row r="15536" spans="1:4" x14ac:dyDescent="0.25">
      <c r="A15536" t="str">
        <f>HYPERLINK("https://www.773grp.com/globalSearch/BZX884-B5V1315/page-1", "BZX884-B5V1315")</f>
        <v>BZX884-B5V1315</v>
      </c>
      <c r="B15536" s="3" t="str">
        <f>HYPERLINK("https://www.773grp.com/manufacturer/nxp-semiconductor?pageNo=48", "NXP Semiconductors")</f>
        <v>NXP Semiconductors</v>
      </c>
      <c r="C15536" s="6">
        <v>30000</v>
      </c>
      <c r="D15536" s="7">
        <v>0.33</v>
      </c>
    </row>
    <row r="15537" spans="1:4" x14ac:dyDescent="0.25">
      <c r="A15537" t="str">
        <f>HYPERLINK("https://www.773grp.com/globalSearch/BZX884-B6V8315/page-1", "BZX884-B6V8315")</f>
        <v>BZX884-B6V8315</v>
      </c>
      <c r="B15537" s="3" t="str">
        <f>HYPERLINK("https://www.773grp.com/manufacturer/nxp-semiconductor?pageNo=1", "NXP Semiconductors")</f>
        <v>NXP Semiconductors</v>
      </c>
      <c r="C15537" s="6">
        <v>900</v>
      </c>
      <c r="D15537" s="7">
        <v>0.33</v>
      </c>
    </row>
    <row r="15538" spans="1:4" x14ac:dyDescent="0.25">
      <c r="A15538" t="str">
        <f>HYPERLINK("https://www.773grp.com/globalSearch/BZX884-B75315/page-1", "BZX884-B75315")</f>
        <v>BZX884-B75315</v>
      </c>
      <c r="B15538" s="3" t="str">
        <f>HYPERLINK("https://www.773grp.com/manufacturer/nxp-semiconductor?pageNo=2", "NXP Semiconductors")</f>
        <v>NXP Semiconductors</v>
      </c>
      <c r="C15538" s="6">
        <v>10000</v>
      </c>
      <c r="D15538" s="7">
        <v>0.33</v>
      </c>
    </row>
    <row r="15539" spans="1:4" x14ac:dyDescent="0.25">
      <c r="A15539" t="str">
        <f>HYPERLINK("https://www.773grp.com/globalSearch/BZX884-B8V2315/page-1", "BZX884-B8V2315")</f>
        <v>BZX884-B8V2315</v>
      </c>
      <c r="B15539" s="3" t="str">
        <f>HYPERLINK("https://www.773grp.com/manufacturer/nxp-semiconductor?pageNo=3", "NXP Semiconductors")</f>
        <v>NXP Semiconductors</v>
      </c>
      <c r="C15539" s="6">
        <v>20191</v>
      </c>
      <c r="D15539" s="7">
        <v>0.33</v>
      </c>
    </row>
    <row r="15540" spans="1:4" x14ac:dyDescent="0.25">
      <c r="A15540" t="str">
        <f>HYPERLINK("https://www.773grp.com/globalSearch/EC103D1116/page-1", "EC103D1116")</f>
        <v>EC103D1116</v>
      </c>
      <c r="B15540" s="3" t="str">
        <f>HYPERLINK("https://www.773grp.com/manufacturer/nxp-semiconductor?pageNo=4", "NXP Semiconductors")</f>
        <v>NXP Semiconductors</v>
      </c>
      <c r="C15540" s="6">
        <v>455</v>
      </c>
      <c r="D15540" s="7">
        <v>0.33</v>
      </c>
    </row>
    <row r="15541" spans="1:4" x14ac:dyDescent="0.25">
      <c r="A15541" t="str">
        <f>HYPERLINK("https://www.773grp.com/globalSearch/EC103D1412/page-1", "EC103D1412")</f>
        <v>EC103D1412</v>
      </c>
      <c r="B15541" s="3" t="str">
        <f>HYPERLINK("https://www.773grp.com/manufacturer/nxp-semiconductor?pageNo=5", "NXP Semiconductors")</f>
        <v>NXP Semiconductors</v>
      </c>
      <c r="C15541" s="6">
        <v>398</v>
      </c>
      <c r="D15541" s="7">
        <v>0.33</v>
      </c>
    </row>
    <row r="15542" spans="1:4" x14ac:dyDescent="0.25">
      <c r="A15542" t="str">
        <f>HYPERLINK("https://www.773grp.com/globalSearch/IP4043CX5-P135/page-1", "IP4043CX5-P135")</f>
        <v>IP4043CX5-P135</v>
      </c>
      <c r="B15542" s="3" t="str">
        <f>HYPERLINK("https://www.773grp.com/manufacturer/nxp-semiconductor?pageNo=6", "NXP Semiconductors")</f>
        <v>NXP Semiconductors</v>
      </c>
      <c r="C15542" s="6">
        <v>9000</v>
      </c>
      <c r="D15542" s="7">
        <v>0.33</v>
      </c>
    </row>
    <row r="15543" spans="1:4" x14ac:dyDescent="0.25">
      <c r="A15543" t="str">
        <f>HYPERLINK("https://www.773grp.com/globalSearch/IP4233CZ6125/page-1", "IP4233CZ6125")</f>
        <v>IP4233CZ6125</v>
      </c>
      <c r="B15543" s="3" t="str">
        <f>HYPERLINK("https://www.773grp.com/manufacturer/nxp-semiconductor?pageNo=7", "NXP Semiconductors")</f>
        <v>NXP Semiconductors</v>
      </c>
      <c r="C15543" s="6">
        <v>3000</v>
      </c>
      <c r="D15543" s="7">
        <v>0.33</v>
      </c>
    </row>
    <row r="15544" spans="1:4" x14ac:dyDescent="0.25">
      <c r="A15544" t="str">
        <f>HYPERLINK("https://www.773grp.com/globalSearch/IP4256CZ3-M315/page-1", "IP4256CZ3-M315")</f>
        <v>IP4256CZ3-M315</v>
      </c>
      <c r="B15544" s="3" t="str">
        <f>HYPERLINK("https://www.773grp.com/manufacturer/nxp-semiconductor?pageNo=8", "NXP Semiconductors")</f>
        <v>NXP Semiconductors</v>
      </c>
      <c r="C15544" s="6">
        <v>30400</v>
      </c>
      <c r="D15544" s="7">
        <v>0.33</v>
      </c>
    </row>
    <row r="15545" spans="1:4" x14ac:dyDescent="0.25">
      <c r="A15545" t="str">
        <f>HYPERLINK("https://www.773grp.com/globalSearch/IP4256CZ6-F115/page-1", "IP4256CZ6-F115")</f>
        <v>IP4256CZ6-F115</v>
      </c>
      <c r="B15545" s="3" t="str">
        <f>HYPERLINK("https://www.773grp.com/manufacturer/nxp-semiconductor?pageNo=9", "NXP Semiconductors")</f>
        <v>NXP Semiconductors</v>
      </c>
      <c r="C15545" s="6">
        <v>10000</v>
      </c>
      <c r="D15545" s="7">
        <v>0.33</v>
      </c>
    </row>
    <row r="15546" spans="1:4" x14ac:dyDescent="0.25">
      <c r="A15546" t="str">
        <f>HYPERLINK("https://www.773grp.com/globalSearch/IP4343CX5-P135/page-1", "IP4343CX5-P135")</f>
        <v>IP4343CX5-P135</v>
      </c>
      <c r="B15546" s="3" t="str">
        <f>HYPERLINK("https://www.773grp.com/manufacturer/nxp-semiconductor?pageNo=10", "NXP Semiconductors")</f>
        <v>NXP Semiconductors</v>
      </c>
      <c r="C15546" s="6">
        <v>4749</v>
      </c>
      <c r="D15546" s="7">
        <v>0.33</v>
      </c>
    </row>
    <row r="15547" spans="1:4" x14ac:dyDescent="0.25">
      <c r="A15547" t="str">
        <f>HYPERLINK("https://www.773grp.com/globalSearch/NX3008NBKMB315/page-1", "NX3008NBKMB315")</f>
        <v>NX3008NBKMB315</v>
      </c>
      <c r="B15547" s="3" t="str">
        <f>HYPERLINK("https://www.773grp.com/manufacturer/nxp-semiconductor?pageNo=11", "NXP Semiconductors")</f>
        <v>NXP Semiconductors</v>
      </c>
      <c r="C15547" s="6">
        <v>10000</v>
      </c>
      <c r="D15547" s="7">
        <v>0.33</v>
      </c>
    </row>
    <row r="15548" spans="1:4" x14ac:dyDescent="0.25">
      <c r="A15548" t="str">
        <f>HYPERLINK("https://www.773grp.com/globalSearch/NX3008PBKMB315/page-1", "NX3008PBKMB315")</f>
        <v>NX3008PBKMB315</v>
      </c>
      <c r="B15548" s="3" t="str">
        <f>HYPERLINK("https://www.773grp.com/manufacturer/nxp-semiconductor?pageNo=12", "NXP Semiconductors")</f>
        <v>NXP Semiconductors</v>
      </c>
      <c r="C15548" s="6">
        <v>10000</v>
      </c>
      <c r="D15548" s="7">
        <v>0.33</v>
      </c>
    </row>
    <row r="15549" spans="1:4" x14ac:dyDescent="0.25">
      <c r="A15549" t="str">
        <f>HYPERLINK("https://www.773grp.com/globalSearch/NX3L1G384GM115/page-1", "NX3L1G384GM115")</f>
        <v>NX3L1G384GM115</v>
      </c>
      <c r="B15549" s="3" t="str">
        <f>HYPERLINK("https://www.773grp.com/manufacturer/nxp-semiconductor?pageNo=13", "NXP Semiconductors")</f>
        <v>NXP Semiconductors</v>
      </c>
      <c r="C15549" s="6">
        <v>5000</v>
      </c>
      <c r="D15549" s="7">
        <v>0.33</v>
      </c>
    </row>
    <row r="15550" spans="1:4" x14ac:dyDescent="0.25">
      <c r="A15550" t="str">
        <f>HYPERLINK("https://www.773grp.com/globalSearch/NX3L1G384GM132/page-1", "NX3L1G384GM132")</f>
        <v>NX3L1G384GM132</v>
      </c>
      <c r="B15550" s="3" t="str">
        <f>HYPERLINK("https://www.773grp.com/manufacturer/nxp-semiconductor?pageNo=14", "NXP Semiconductors")</f>
        <v>NXP Semiconductors</v>
      </c>
      <c r="C15550" s="6">
        <v>14056</v>
      </c>
      <c r="D15550" s="7">
        <v>0.33</v>
      </c>
    </row>
    <row r="15551" spans="1:4" x14ac:dyDescent="0.25">
      <c r="A15551" t="str">
        <f>HYPERLINK("https://www.773grp.com/globalSearch/NX3L1G66GM115/page-1", "NX3L1G66GM115")</f>
        <v>NX3L1G66GM115</v>
      </c>
      <c r="B15551" s="3" t="str">
        <f>HYPERLINK("https://www.773grp.com/manufacturer/nxp-semiconductor?pageNo=15", "NXP Semiconductors")</f>
        <v>NXP Semiconductors</v>
      </c>
      <c r="C15551" s="6">
        <v>5000</v>
      </c>
      <c r="D15551" s="7">
        <v>0.33</v>
      </c>
    </row>
    <row r="15552" spans="1:4" x14ac:dyDescent="0.25">
      <c r="A15552" t="str">
        <f>HYPERLINK("https://www.773grp.com/globalSearch/NX3L1G66GM132/page-1", "NX3L1G66GM132")</f>
        <v>NX3L1G66GM132</v>
      </c>
      <c r="B15552" s="3" t="str">
        <f>HYPERLINK("https://www.773grp.com/manufacturer/nxp-semiconductor?pageNo=16", "NXP Semiconductors")</f>
        <v>NXP Semiconductors</v>
      </c>
      <c r="C15552" s="6">
        <v>5000</v>
      </c>
      <c r="D15552" s="7">
        <v>0.33</v>
      </c>
    </row>
    <row r="15553" spans="1:4" x14ac:dyDescent="0.25">
      <c r="A15553" t="str">
        <f>HYPERLINK("https://www.773grp.com/globalSearch/NX3V1G384GM115/page-1", "NX3V1G384GM115")</f>
        <v>NX3V1G384GM115</v>
      </c>
      <c r="B15553" s="3" t="str">
        <f>HYPERLINK("https://www.773grp.com/manufacturer/nxp-semiconductor?pageNo=17", "NXP Semiconductors")</f>
        <v>NXP Semiconductors</v>
      </c>
      <c r="C15553" s="6">
        <v>5240</v>
      </c>
      <c r="D15553" s="7">
        <v>0.33</v>
      </c>
    </row>
    <row r="15554" spans="1:4" x14ac:dyDescent="0.25">
      <c r="A15554" t="str">
        <f>HYPERLINK("https://www.773grp.com/globalSearch/NX3V1G384GM132/page-1", "NX3V1G384GM132")</f>
        <v>NX3V1G384GM132</v>
      </c>
      <c r="B15554" s="3" t="str">
        <f>HYPERLINK("https://www.773grp.com/manufacturer/nxp-semiconductor?pageNo=18", "NXP Semiconductors")</f>
        <v>NXP Semiconductors</v>
      </c>
      <c r="C15554" s="6">
        <v>5000</v>
      </c>
      <c r="D15554" s="7">
        <v>0.33</v>
      </c>
    </row>
    <row r="15555" spans="1:4" x14ac:dyDescent="0.25">
      <c r="A15555" t="str">
        <f>HYPERLINK("https://www.773grp.com/globalSearch/NX3V1G66GM115/page-1", "NX3V1G66GM115")</f>
        <v>NX3V1G66GM115</v>
      </c>
      <c r="B15555" s="3" t="str">
        <f>HYPERLINK("https://www.773grp.com/manufacturer/nxp-semiconductor?pageNo=19", "NXP Semiconductors")</f>
        <v>NXP Semiconductors</v>
      </c>
      <c r="C15555" s="6">
        <v>10300</v>
      </c>
      <c r="D15555" s="7">
        <v>0.33</v>
      </c>
    </row>
    <row r="15556" spans="1:4" x14ac:dyDescent="0.25">
      <c r="A15556" t="str">
        <f>HYPERLINK("https://www.773grp.com/globalSearch/NX3V1G66GM132/page-1", "NX3V1G66GM132")</f>
        <v>NX3V1G66GM132</v>
      </c>
      <c r="B15556" s="3" t="str">
        <f>HYPERLINK("https://www.773grp.com/manufacturer/nxp-semiconductor?pageNo=20", "NXP Semiconductors")</f>
        <v>NXP Semiconductors</v>
      </c>
      <c r="C15556" s="6">
        <v>5000</v>
      </c>
      <c r="D15556" s="7">
        <v>0.33</v>
      </c>
    </row>
    <row r="15557" spans="1:4" x14ac:dyDescent="0.25">
      <c r="A15557" t="str">
        <f>HYPERLINK("https://www.773grp.com/globalSearch/NX3V1T66GM115/page-1", "NX3V1T66GM115")</f>
        <v>NX3V1T66GM115</v>
      </c>
      <c r="B15557" s="3" t="str">
        <f>HYPERLINK("https://www.773grp.com/manufacturer/nxp-semiconductor?pageNo=21", "NXP Semiconductors")</f>
        <v>NXP Semiconductors</v>
      </c>
      <c r="C15557" s="6">
        <v>5000</v>
      </c>
      <c r="D15557" s="7">
        <v>0.33</v>
      </c>
    </row>
    <row r="15558" spans="1:4" x14ac:dyDescent="0.25">
      <c r="A15558" t="str">
        <f>HYPERLINK("https://www.773grp.com/globalSearch/NX3V1T66GM132/page-1", "NX3V1T66GM132")</f>
        <v>NX3V1T66GM132</v>
      </c>
      <c r="B15558" s="3" t="str">
        <f>HYPERLINK("https://www.773grp.com/manufacturer/nxp-semiconductor?pageNo=22", "NXP Semiconductors")</f>
        <v>NXP Semiconductors</v>
      </c>
      <c r="C15558" s="6">
        <v>5000</v>
      </c>
      <c r="D15558" s="7">
        <v>0.33</v>
      </c>
    </row>
    <row r="15559" spans="1:4" x14ac:dyDescent="0.25">
      <c r="A15559" t="str">
        <f>HYPERLINK("https://www.773grp.com/globalSearch/OT409135/page-1", "OT409135")</f>
        <v>OT409135</v>
      </c>
      <c r="B15559" s="3" t="str">
        <f>HYPERLINK("https://www.773grp.com/manufacturer/nxp-semiconductor?pageNo=23", "NXP Semiconductors")</f>
        <v>NXP Semiconductors</v>
      </c>
      <c r="C15559" s="6">
        <v>4000</v>
      </c>
      <c r="D15559" s="7">
        <v>0.33</v>
      </c>
    </row>
    <row r="15560" spans="1:4" x14ac:dyDescent="0.25">
      <c r="A15560" t="str">
        <f>HYPERLINK("https://www.773grp.com/globalSearch/PBR941215/page-1", "PBR941215")</f>
        <v>PBR941215</v>
      </c>
      <c r="B15560" s="3" t="str">
        <f>HYPERLINK("https://www.773grp.com/manufacturer/nxp-semiconductor?pageNo=24", "NXP Semiconductors")</f>
        <v>NXP Semiconductors</v>
      </c>
      <c r="C15560" s="6">
        <v>660000</v>
      </c>
      <c r="D15560" s="7">
        <v>0.33</v>
      </c>
    </row>
    <row r="15561" spans="1:4" x14ac:dyDescent="0.25">
      <c r="A15561" t="str">
        <f>HYPERLINK("https://www.773grp.com/globalSearch/PBSS2515E115/page-1", "PBSS2515E115")</f>
        <v>PBSS2515E115</v>
      </c>
      <c r="B15561" s="3" t="str">
        <f>HYPERLINK("https://www.773grp.com/manufacturer/nxp-semiconductor?pageNo=25", "NXP Semiconductors")</f>
        <v>NXP Semiconductors</v>
      </c>
      <c r="C15561" s="6">
        <v>117000</v>
      </c>
      <c r="D15561" s="7">
        <v>0.33</v>
      </c>
    </row>
    <row r="15562" spans="1:4" x14ac:dyDescent="0.25">
      <c r="A15562" t="str">
        <f>HYPERLINK("https://www.773grp.com/globalSearch/PBSS3515E115/page-1", "PBSS3515E115")</f>
        <v>PBSS3515E115</v>
      </c>
      <c r="B15562" s="3" t="str">
        <f>HYPERLINK("https://www.773grp.com/manufacturer/nxp-semiconductor?pageNo=26", "NXP Semiconductors")</f>
        <v>NXP Semiconductors</v>
      </c>
      <c r="C15562" s="6">
        <v>60000</v>
      </c>
      <c r="D15562" s="7">
        <v>0.33</v>
      </c>
    </row>
    <row r="15563" spans="1:4" x14ac:dyDescent="0.25">
      <c r="A15563" t="str">
        <f>HYPERLINK("https://www.773grp.com/globalSearch/PBSS4140T215/page-1", "PBSS4140T215")</f>
        <v>PBSS4140T215</v>
      </c>
      <c r="B15563" s="3" t="str">
        <f>HYPERLINK("https://www.773grp.com/manufacturer/nxp-semiconductor?pageNo=27", "NXP Semiconductors")</f>
        <v>NXP Semiconductors</v>
      </c>
      <c r="C15563" s="6">
        <v>18145</v>
      </c>
      <c r="D15563" s="7">
        <v>0.33</v>
      </c>
    </row>
    <row r="15564" spans="1:4" x14ac:dyDescent="0.25">
      <c r="A15564" t="str">
        <f>HYPERLINK("https://www.773grp.com/globalSearch/PBSS4140U115/page-1", "PBSS4140U115")</f>
        <v>PBSS4140U115</v>
      </c>
      <c r="B15564" s="3" t="str">
        <f>HYPERLINK("https://www.773grp.com/manufacturer/nxp-semiconductor?pageNo=28", "NXP Semiconductors")</f>
        <v>NXP Semiconductors</v>
      </c>
      <c r="C15564" s="6">
        <v>42000</v>
      </c>
      <c r="D15564" s="7">
        <v>0.33</v>
      </c>
    </row>
    <row r="15565" spans="1:4" x14ac:dyDescent="0.25">
      <c r="A15565" t="str">
        <f>HYPERLINK("https://www.773grp.com/globalSearch/PBSS4140U135/page-1", "PBSS4140U135")</f>
        <v>PBSS4140U135</v>
      </c>
      <c r="B15565" s="3" t="str">
        <f>HYPERLINK("https://www.773grp.com/manufacturer/nxp-semiconductor?pageNo=29", "NXP Semiconductors")</f>
        <v>NXP Semiconductors</v>
      </c>
      <c r="C15565" s="6">
        <v>20000</v>
      </c>
      <c r="D15565" s="7">
        <v>0.33</v>
      </c>
    </row>
    <row r="15566" spans="1:4" x14ac:dyDescent="0.25">
      <c r="A15566" t="str">
        <f>HYPERLINK("https://www.773grp.com/globalSearch/PBSS4140V115/page-1", "PBSS4140V115")</f>
        <v>PBSS4140V115</v>
      </c>
      <c r="B15566" s="3" t="str">
        <f>HYPERLINK("https://www.773grp.com/manufacturer/nxp-semiconductor?pageNo=30", "NXP Semiconductors")</f>
        <v>NXP Semiconductors</v>
      </c>
      <c r="C15566" s="6">
        <v>39897</v>
      </c>
      <c r="D15566" s="7">
        <v>0.33</v>
      </c>
    </row>
    <row r="15567" spans="1:4" x14ac:dyDescent="0.25">
      <c r="A15567" t="str">
        <f>HYPERLINK("https://www.773grp.com/globalSearch/PBSS4160U115/page-1", "PBSS4160U115")</f>
        <v>PBSS4160U115</v>
      </c>
      <c r="B15567" s="3" t="str">
        <f>HYPERLINK("https://www.773grp.com/manufacturer/nxp-semiconductor?pageNo=31", "NXP Semiconductors")</f>
        <v>NXP Semiconductors</v>
      </c>
      <c r="C15567" s="6">
        <v>33000</v>
      </c>
      <c r="D15567" s="7">
        <v>0.33</v>
      </c>
    </row>
    <row r="15568" spans="1:4" x14ac:dyDescent="0.25">
      <c r="A15568" t="str">
        <f>HYPERLINK("https://www.773grp.com/globalSearch/PBSS4160V115/page-1", "PBSS4160V115")</f>
        <v>PBSS4160V115</v>
      </c>
      <c r="B15568" s="3" t="str">
        <f>HYPERLINK("https://www.773grp.com/manufacturer/nxp-semiconductor?pageNo=32", "NXP Semiconductors")</f>
        <v>NXP Semiconductors</v>
      </c>
      <c r="C15568" s="6">
        <v>4000</v>
      </c>
      <c r="D15568" s="7">
        <v>0.33</v>
      </c>
    </row>
    <row r="15569" spans="1:4" x14ac:dyDescent="0.25">
      <c r="A15569" t="str">
        <f>HYPERLINK("https://www.773grp.com/globalSearch/PBSS5140U115/page-1", "PBSS5140U115")</f>
        <v>PBSS5140U115</v>
      </c>
      <c r="B15569" s="3" t="str">
        <f>HYPERLINK("https://www.773grp.com/manufacturer/nxp-semiconductor?pageNo=33", "NXP Semiconductors")</f>
        <v>NXP Semiconductors</v>
      </c>
      <c r="C15569" s="6">
        <v>51000</v>
      </c>
      <c r="D15569" s="7">
        <v>0.33</v>
      </c>
    </row>
    <row r="15570" spans="1:4" x14ac:dyDescent="0.25">
      <c r="A15570" t="str">
        <f>HYPERLINK("https://www.773grp.com/globalSearch/PBSS5140V115/page-1", "PBSS5140V115")</f>
        <v>PBSS5140V115</v>
      </c>
      <c r="B15570" s="3" t="str">
        <f>HYPERLINK("https://www.773grp.com/manufacturer/nxp-semiconductor?pageNo=34", "NXP Semiconductors")</f>
        <v>NXP Semiconductors</v>
      </c>
      <c r="C15570" s="6">
        <v>23495</v>
      </c>
      <c r="D15570" s="7">
        <v>0.33</v>
      </c>
    </row>
    <row r="15571" spans="1:4" x14ac:dyDescent="0.25">
      <c r="A15571" t="str">
        <f>HYPERLINK("https://www.773grp.com/globalSearch/PDTA113EMB315/page-1", "PDTA113EMB315")</f>
        <v>PDTA113EMB315</v>
      </c>
      <c r="B15571" s="3" t="str">
        <f>HYPERLINK("https://www.773grp.com/manufacturer/nxp-semiconductor?pageNo=35", "NXP Semiconductors")</f>
        <v>NXP Semiconductors</v>
      </c>
      <c r="C15571" s="6">
        <v>10000</v>
      </c>
      <c r="D15571" s="7">
        <v>0.33</v>
      </c>
    </row>
    <row r="15572" spans="1:4" x14ac:dyDescent="0.25">
      <c r="A15572" t="str">
        <f>HYPERLINK("https://www.773grp.com/globalSearch/PEMB9315/page-1", "PEMB9315")</f>
        <v>PEMB9315</v>
      </c>
      <c r="B15572" s="3" t="str">
        <f>HYPERLINK("https://www.773grp.com/manufacturer/nxp-semiconductor?pageNo=36", "NXP Semiconductors")</f>
        <v>NXP Semiconductors</v>
      </c>
      <c r="C15572" s="6">
        <v>16000</v>
      </c>
      <c r="D15572" s="7">
        <v>0.33</v>
      </c>
    </row>
    <row r="15573" spans="1:4" x14ac:dyDescent="0.25">
      <c r="A15573" t="str">
        <f>HYPERLINK("https://www.773grp.com/globalSearch/PEMD6115/page-1", "PEMD6115")</f>
        <v>PEMD6115</v>
      </c>
      <c r="B15573" s="3" t="str">
        <f>HYPERLINK("https://www.773grp.com/manufacturer/nxp-semiconductor?pageNo=37", "NXP Semiconductors")</f>
        <v>NXP Semiconductors</v>
      </c>
      <c r="C15573" s="6">
        <v>15717</v>
      </c>
      <c r="D15573" s="7">
        <v>0.33</v>
      </c>
    </row>
    <row r="15574" spans="1:4" x14ac:dyDescent="0.25">
      <c r="A15574" t="str">
        <f>HYPERLINK("https://www.773grp.com/globalSearch/PEMI1QFN-CE315/page-1", "PEMI1QFN-CE315")</f>
        <v>PEMI1QFN-CE315</v>
      </c>
      <c r="B15574" s="3" t="str">
        <f>HYPERLINK("https://www.773grp.com/manufacturer/nxp-semiconductor?pageNo=38", "NXP Semiconductors")</f>
        <v>NXP Semiconductors</v>
      </c>
      <c r="C15574" s="6">
        <v>10000</v>
      </c>
      <c r="D15574" s="7">
        <v>0.33</v>
      </c>
    </row>
    <row r="15575" spans="1:4" x14ac:dyDescent="0.25">
      <c r="A15575" t="str">
        <f>HYPERLINK("https://www.773grp.com/globalSearch/PEMI1QFN-CG315/page-1", "PEMI1QFN-CG315")</f>
        <v>PEMI1QFN-CG315</v>
      </c>
      <c r="B15575" s="3" t="str">
        <f>HYPERLINK("https://www.773grp.com/manufacturer/nxp-semiconductor?pageNo=39", "NXP Semiconductors")</f>
        <v>NXP Semiconductors</v>
      </c>
      <c r="C15575" s="6">
        <v>10000</v>
      </c>
      <c r="D15575" s="7">
        <v>0.33</v>
      </c>
    </row>
    <row r="15576" spans="1:4" x14ac:dyDescent="0.25">
      <c r="A15576" t="str">
        <f>HYPERLINK("https://www.773grp.com/globalSearch/PEMI1QFN-CK315/page-1", "PEMI1QFN-CK315")</f>
        <v>PEMI1QFN-CK315</v>
      </c>
      <c r="B15576" s="3" t="str">
        <f>HYPERLINK("https://www.773grp.com/manufacturer/nxp-semiconductor?pageNo=40", "NXP Semiconductors")</f>
        <v>NXP Semiconductors</v>
      </c>
      <c r="C15576" s="6">
        <v>10000</v>
      </c>
      <c r="D15576" s="7">
        <v>0.33</v>
      </c>
    </row>
    <row r="15577" spans="1:4" x14ac:dyDescent="0.25">
      <c r="A15577" t="str">
        <f>HYPERLINK("https://www.773grp.com/globalSearch/PEMI1QFN-CM315/page-1", "PEMI1QFN-CM315")</f>
        <v>PEMI1QFN-CM315</v>
      </c>
      <c r="B15577" s="3" t="str">
        <f>HYPERLINK("https://www.773grp.com/manufacturer/nxp-semiconductor?pageNo=41", "NXP Semiconductors")</f>
        <v>NXP Semiconductors</v>
      </c>
      <c r="C15577" s="6">
        <v>10000</v>
      </c>
      <c r="D15577" s="7">
        <v>0.33</v>
      </c>
    </row>
    <row r="15578" spans="1:4" x14ac:dyDescent="0.25">
      <c r="A15578" t="str">
        <f>HYPERLINK("https://www.773grp.com/globalSearch/PEMI1QFN-CP315/page-1", "PEMI1QFN-CP315")</f>
        <v>PEMI1QFN-CP315</v>
      </c>
      <c r="B15578" s="3" t="str">
        <f>HYPERLINK("https://www.773grp.com/manufacturer/nxp-semiconductor?pageNo=42", "NXP Semiconductors")</f>
        <v>NXP Semiconductors</v>
      </c>
      <c r="C15578" s="6">
        <v>10000</v>
      </c>
      <c r="D15578" s="7">
        <v>0.33</v>
      </c>
    </row>
    <row r="15579" spans="1:4" x14ac:dyDescent="0.25">
      <c r="A15579" t="str">
        <f>HYPERLINK("https://www.773grp.com/globalSearch/PEMI1QFN-CR315/page-1", "PEMI1QFN-CR315")</f>
        <v>PEMI1QFN-CR315</v>
      </c>
      <c r="B15579" s="3" t="str">
        <f>HYPERLINK("https://www.773grp.com/manufacturer/nxp-semiconductor?pageNo=43", "NXP Semiconductors")</f>
        <v>NXP Semiconductors</v>
      </c>
      <c r="C15579" s="6">
        <v>10000</v>
      </c>
      <c r="D15579" s="7">
        <v>0.33</v>
      </c>
    </row>
    <row r="15580" spans="1:4" x14ac:dyDescent="0.25">
      <c r="A15580" t="str">
        <f>HYPERLINK("https://www.773grp.com/globalSearch/PEMI1QFN-CT315/page-1", "PEMI1QFN-CT315")</f>
        <v>PEMI1QFN-CT315</v>
      </c>
      <c r="B15580" s="3" t="str">
        <f>HYPERLINK("https://www.773grp.com/manufacturer/nxp-semiconductor?pageNo=44", "NXP Semiconductors")</f>
        <v>NXP Semiconductors</v>
      </c>
      <c r="C15580" s="6">
        <v>10000</v>
      </c>
      <c r="D15580" s="7">
        <v>0.33</v>
      </c>
    </row>
    <row r="15581" spans="1:4" x14ac:dyDescent="0.25">
      <c r="A15581" t="str">
        <f>HYPERLINK("https://www.773grp.com/globalSearch/PEMI1QFN-HE315/page-1", "PEMI1QFN-HE315")</f>
        <v>PEMI1QFN-HE315</v>
      </c>
      <c r="B15581" s="3" t="str">
        <f>HYPERLINK("https://www.773grp.com/manufacturer/nxp-semiconductor?pageNo=45", "NXP Semiconductors")</f>
        <v>NXP Semiconductors</v>
      </c>
      <c r="C15581" s="6">
        <v>10000</v>
      </c>
      <c r="D15581" s="7">
        <v>0.33</v>
      </c>
    </row>
    <row r="15582" spans="1:4" x14ac:dyDescent="0.25">
      <c r="A15582" t="str">
        <f>HYPERLINK("https://www.773grp.com/globalSearch/PEMI1QFN-HG315/page-1", "PEMI1QFN-HG315")</f>
        <v>PEMI1QFN-HG315</v>
      </c>
      <c r="B15582" s="3" t="str">
        <f>HYPERLINK("https://www.773grp.com/manufacturer/nxp-semiconductor?pageNo=46", "NXP Semiconductors")</f>
        <v>NXP Semiconductors</v>
      </c>
      <c r="C15582" s="6">
        <v>10000</v>
      </c>
      <c r="D15582" s="7">
        <v>0.33</v>
      </c>
    </row>
    <row r="15583" spans="1:4" x14ac:dyDescent="0.25">
      <c r="A15583" t="str">
        <f>HYPERLINK("https://www.773grp.com/globalSearch/PEMI1QFN-HK315/page-1", "PEMI1QFN-HK315")</f>
        <v>PEMI1QFN-HK315</v>
      </c>
      <c r="B15583" s="3" t="str">
        <f>HYPERLINK("https://www.773grp.com/manufacturer/nxp-semiconductor?pageNo=47", "NXP Semiconductors")</f>
        <v>NXP Semiconductors</v>
      </c>
      <c r="C15583" s="6">
        <v>10000</v>
      </c>
      <c r="D15583" s="7">
        <v>0.33</v>
      </c>
    </row>
    <row r="15584" spans="1:4" x14ac:dyDescent="0.25">
      <c r="A15584" t="str">
        <f>HYPERLINK("https://www.773grp.com/globalSearch/PEMI1QFN-HM315/page-1", "PEMI1QFN-HM315")</f>
        <v>PEMI1QFN-HM315</v>
      </c>
      <c r="B15584" s="3" t="str">
        <f>HYPERLINK("https://www.773grp.com/manufacturer/nxp-semiconductor?pageNo=48", "NXP Semiconductors")</f>
        <v>NXP Semiconductors</v>
      </c>
      <c r="C15584" s="6">
        <v>10000</v>
      </c>
      <c r="D15584" s="7">
        <v>0.33</v>
      </c>
    </row>
    <row r="15585" spans="1:4" x14ac:dyDescent="0.25">
      <c r="A15585" t="str">
        <f>HYPERLINK("https://www.773grp.com/globalSearch/PEMI1QFN-HP315/page-1", "PEMI1QFN-HP315")</f>
        <v>PEMI1QFN-HP315</v>
      </c>
      <c r="B15585" s="3" t="str">
        <f>HYPERLINK("https://www.773grp.com/manufacturer/nxp-semiconductor?pageNo=1", "NXP Semiconductors")</f>
        <v>NXP Semiconductors</v>
      </c>
      <c r="C15585" s="6">
        <v>10000</v>
      </c>
      <c r="D15585" s="7">
        <v>0.33</v>
      </c>
    </row>
    <row r="15586" spans="1:4" x14ac:dyDescent="0.25">
      <c r="A15586" t="str">
        <f>HYPERLINK("https://www.773grp.com/globalSearch/PEMI1QFN-HR315/page-1", "PEMI1QFN-HR315")</f>
        <v>PEMI1QFN-HR315</v>
      </c>
      <c r="B15586" s="3" t="str">
        <f>HYPERLINK("https://www.773grp.com/manufacturer/nxp-semiconductor?pageNo=2", "NXP Semiconductors")</f>
        <v>NXP Semiconductors</v>
      </c>
      <c r="C15586" s="6">
        <v>10000</v>
      </c>
      <c r="D15586" s="7">
        <v>0.33</v>
      </c>
    </row>
    <row r="15587" spans="1:4" x14ac:dyDescent="0.25">
      <c r="A15587" t="str">
        <f>HYPERLINK("https://www.773grp.com/globalSearch/PEMI1QFN-HT315/page-1", "PEMI1QFN-HT315")</f>
        <v>PEMI1QFN-HT315</v>
      </c>
      <c r="B15587" s="3" t="str">
        <f>HYPERLINK("https://www.773grp.com/manufacturer/nxp-semiconductor?pageNo=3", "NXP Semiconductors")</f>
        <v>NXP Semiconductors</v>
      </c>
      <c r="C15587" s="6">
        <v>10000</v>
      </c>
      <c r="D15587" s="7">
        <v>0.33</v>
      </c>
    </row>
    <row r="15588" spans="1:4" x14ac:dyDescent="0.25">
      <c r="A15588" t="str">
        <f>HYPERLINK("https://www.773grp.com/globalSearch/PEMI1QFN-LE315/page-1", "PEMI1QFN-LE315")</f>
        <v>PEMI1QFN-LE315</v>
      </c>
      <c r="B15588" s="3" t="str">
        <f>HYPERLINK("https://www.773grp.com/manufacturer/nxp-semiconductor?pageNo=4", "NXP Semiconductors")</f>
        <v>NXP Semiconductors</v>
      </c>
      <c r="C15588" s="6">
        <v>10000</v>
      </c>
      <c r="D15588" s="7">
        <v>0.33</v>
      </c>
    </row>
    <row r="15589" spans="1:4" x14ac:dyDescent="0.25">
      <c r="A15589" t="str">
        <f>HYPERLINK("https://www.773grp.com/globalSearch/PEMI1QFN-LG315/page-1", "PEMI1QFN-LG315")</f>
        <v>PEMI1QFN-LG315</v>
      </c>
      <c r="B15589" s="3" t="str">
        <f>HYPERLINK("https://www.773grp.com/manufacturer/nxp-semiconductor?pageNo=5", "NXP Semiconductors")</f>
        <v>NXP Semiconductors</v>
      </c>
      <c r="C15589" s="6">
        <v>10000</v>
      </c>
      <c r="D15589" s="7">
        <v>0.33</v>
      </c>
    </row>
    <row r="15590" spans="1:4" x14ac:dyDescent="0.25">
      <c r="A15590" t="str">
        <f>HYPERLINK("https://www.773grp.com/globalSearch/PEMI1QFN-LK315/page-1", "PEMI1QFN-LK315")</f>
        <v>PEMI1QFN-LK315</v>
      </c>
      <c r="B15590" s="3" t="str">
        <f>HYPERLINK("https://www.773grp.com/manufacturer/nxp-semiconductor?pageNo=6", "NXP Semiconductors")</f>
        <v>NXP Semiconductors</v>
      </c>
      <c r="C15590" s="6">
        <v>10000</v>
      </c>
      <c r="D15590" s="7">
        <v>0.33</v>
      </c>
    </row>
    <row r="15591" spans="1:4" x14ac:dyDescent="0.25">
      <c r="A15591" t="str">
        <f>HYPERLINK("https://www.773grp.com/globalSearch/PEMI1QFN-LM315/page-1", "PEMI1QFN-LM315")</f>
        <v>PEMI1QFN-LM315</v>
      </c>
      <c r="B15591" s="3" t="str">
        <f>HYPERLINK("https://www.773grp.com/manufacturer/nxp-semiconductor?pageNo=7", "NXP Semiconductors")</f>
        <v>NXP Semiconductors</v>
      </c>
      <c r="C15591" s="6">
        <v>10000</v>
      </c>
      <c r="D15591" s="7">
        <v>0.33</v>
      </c>
    </row>
    <row r="15592" spans="1:4" x14ac:dyDescent="0.25">
      <c r="A15592" t="str">
        <f>HYPERLINK("https://www.773grp.com/globalSearch/PEMI1QFN-LP315/page-1", "PEMI1QFN-LP315")</f>
        <v>PEMI1QFN-LP315</v>
      </c>
      <c r="B15592" s="3" t="str">
        <f>HYPERLINK("https://www.773grp.com/manufacturer/nxp-semiconductor?pageNo=8", "NXP Semiconductors")</f>
        <v>NXP Semiconductors</v>
      </c>
      <c r="C15592" s="6">
        <v>10000</v>
      </c>
      <c r="D15592" s="7">
        <v>0.33</v>
      </c>
    </row>
    <row r="15593" spans="1:4" x14ac:dyDescent="0.25">
      <c r="A15593" t="str">
        <f>HYPERLINK("https://www.773grp.com/globalSearch/PEMI1QFN-LR315/page-1", "PEMI1QFN-LR315")</f>
        <v>PEMI1QFN-LR315</v>
      </c>
      <c r="B15593" s="3" t="str">
        <f>HYPERLINK("https://www.773grp.com/manufacturer/nxp-semiconductor?pageNo=9", "NXP Semiconductors")</f>
        <v>NXP Semiconductors</v>
      </c>
      <c r="C15593" s="6">
        <v>10000</v>
      </c>
      <c r="D15593" s="7">
        <v>0.33</v>
      </c>
    </row>
    <row r="15594" spans="1:4" x14ac:dyDescent="0.25">
      <c r="A15594" t="str">
        <f>HYPERLINK("https://www.773grp.com/globalSearch/PEMI1QFN-LT315/page-1", "PEMI1QFN-LT315")</f>
        <v>PEMI1QFN-LT315</v>
      </c>
      <c r="B15594" s="3" t="str">
        <f>HYPERLINK("https://www.773grp.com/manufacturer/nxp-semiconductor?pageNo=10", "NXP Semiconductors")</f>
        <v>NXP Semiconductors</v>
      </c>
      <c r="C15594" s="6">
        <v>10000</v>
      </c>
      <c r="D15594" s="7">
        <v>0.33</v>
      </c>
    </row>
    <row r="15595" spans="1:4" x14ac:dyDescent="0.25">
      <c r="A15595" t="str">
        <f>HYPERLINK("https://www.773grp.com/globalSearch/PEMI1QFN-RE315/page-1", "PEMI1QFN-RE315")</f>
        <v>PEMI1QFN-RE315</v>
      </c>
      <c r="B15595" s="3" t="str">
        <f>HYPERLINK("https://www.773grp.com/manufacturer/nxp-semiconductor?pageNo=11", "NXP Semiconductors")</f>
        <v>NXP Semiconductors</v>
      </c>
      <c r="C15595" s="6">
        <v>10000</v>
      </c>
      <c r="D15595" s="7">
        <v>0.33</v>
      </c>
    </row>
    <row r="15596" spans="1:4" x14ac:dyDescent="0.25">
      <c r="A15596" t="str">
        <f>HYPERLINK("https://www.773grp.com/globalSearch/PEMI1QFN-RG315/page-1", "PEMI1QFN-RG315")</f>
        <v>PEMI1QFN-RG315</v>
      </c>
      <c r="B15596" s="3" t="str">
        <f>HYPERLINK("https://www.773grp.com/manufacturer/nxp-semiconductor?pageNo=12", "NXP Semiconductors")</f>
        <v>NXP Semiconductors</v>
      </c>
      <c r="C15596" s="6">
        <v>10000</v>
      </c>
      <c r="D15596" s="7">
        <v>0.33</v>
      </c>
    </row>
    <row r="15597" spans="1:4" x14ac:dyDescent="0.25">
      <c r="A15597" t="str">
        <f>HYPERLINK("https://www.773grp.com/globalSearch/PEMI1QFN-RK315/page-1", "PEMI1QFN-RK315")</f>
        <v>PEMI1QFN-RK315</v>
      </c>
      <c r="B15597" s="3" t="str">
        <f>HYPERLINK("https://www.773grp.com/manufacturer/nxp-semiconductor?pageNo=13", "NXP Semiconductors")</f>
        <v>NXP Semiconductors</v>
      </c>
      <c r="C15597" s="6">
        <v>10000</v>
      </c>
      <c r="D15597" s="7">
        <v>0.33</v>
      </c>
    </row>
    <row r="15598" spans="1:4" x14ac:dyDescent="0.25">
      <c r="A15598" t="str">
        <f>HYPERLINK("https://www.773grp.com/globalSearch/PEMI1QFN-RM315/page-1", "PEMI1QFN-RM315")</f>
        <v>PEMI1QFN-RM315</v>
      </c>
      <c r="B15598" s="3" t="str">
        <f>HYPERLINK("https://www.773grp.com/manufacturer/nxp-semiconductor?pageNo=14", "NXP Semiconductors")</f>
        <v>NXP Semiconductors</v>
      </c>
      <c r="C15598" s="6">
        <v>10000</v>
      </c>
      <c r="D15598" s="7">
        <v>0.33</v>
      </c>
    </row>
    <row r="15599" spans="1:4" x14ac:dyDescent="0.25">
      <c r="A15599" t="str">
        <f>HYPERLINK("https://www.773grp.com/globalSearch/PEMI1QFN-RP315/page-1", "PEMI1QFN-RP315")</f>
        <v>PEMI1QFN-RP315</v>
      </c>
      <c r="B15599" s="3" t="str">
        <f>HYPERLINK("https://www.773grp.com/manufacturer/nxp-semiconductor?pageNo=15", "NXP Semiconductors")</f>
        <v>NXP Semiconductors</v>
      </c>
      <c r="C15599" s="6">
        <v>10000</v>
      </c>
      <c r="D15599" s="7">
        <v>0.33</v>
      </c>
    </row>
    <row r="15600" spans="1:4" x14ac:dyDescent="0.25">
      <c r="A15600" t="str">
        <f>HYPERLINK("https://www.773grp.com/globalSearch/PEMI1QFN-RR315/page-1", "PEMI1QFN-RR315")</f>
        <v>PEMI1QFN-RR315</v>
      </c>
      <c r="B15600" s="3" t="str">
        <f>HYPERLINK("https://www.773grp.com/manufacturer/nxp-semiconductor?pageNo=16", "NXP Semiconductors")</f>
        <v>NXP Semiconductors</v>
      </c>
      <c r="C15600" s="6">
        <v>10000</v>
      </c>
      <c r="D15600" s="7">
        <v>0.33</v>
      </c>
    </row>
    <row r="15601" spans="1:4" x14ac:dyDescent="0.25">
      <c r="A15601" t="str">
        <f>HYPERLINK("https://www.773grp.com/globalSearch/PEMI1QFN-RT315/page-1", "PEMI1QFN-RT315")</f>
        <v>PEMI1QFN-RT315</v>
      </c>
      <c r="B15601" s="3" t="str">
        <f>HYPERLINK("https://www.773grp.com/manufacturer/nxp-semiconductor?pageNo=17", "NXP Semiconductors")</f>
        <v>NXP Semiconductors</v>
      </c>
      <c r="C15601" s="6">
        <v>10000</v>
      </c>
      <c r="D15601" s="7">
        <v>0.33</v>
      </c>
    </row>
    <row r="15602" spans="1:4" x14ac:dyDescent="0.25">
      <c r="A15602" t="str">
        <f>HYPERLINK("https://www.773grp.com/globalSearch/PEMI1QFN-WE315/page-1", "PEMI1QFN-WE315")</f>
        <v>PEMI1QFN-WE315</v>
      </c>
      <c r="B15602" s="3" t="str">
        <f>HYPERLINK("https://www.773grp.com/manufacturer/nxp-semiconductor?pageNo=18", "NXP Semiconductors")</f>
        <v>NXP Semiconductors</v>
      </c>
      <c r="C15602" s="6">
        <v>10000</v>
      </c>
      <c r="D15602" s="7">
        <v>0.33</v>
      </c>
    </row>
    <row r="15603" spans="1:4" x14ac:dyDescent="0.25">
      <c r="A15603" t="str">
        <f>HYPERLINK("https://www.773grp.com/globalSearch/PEMI1QFN-WG315/page-1", "PEMI1QFN-WG315")</f>
        <v>PEMI1QFN-WG315</v>
      </c>
      <c r="B15603" s="3" t="str">
        <f>HYPERLINK("https://www.773grp.com/manufacturer/nxp-semiconductor?pageNo=19", "NXP Semiconductors")</f>
        <v>NXP Semiconductors</v>
      </c>
      <c r="C15603" s="6">
        <v>10000</v>
      </c>
      <c r="D15603" s="7">
        <v>0.33</v>
      </c>
    </row>
    <row r="15604" spans="1:4" x14ac:dyDescent="0.25">
      <c r="A15604" t="str">
        <f>HYPERLINK("https://www.773grp.com/globalSearch/PEMI1QFN-WK315/page-1", "PEMI1QFN-WK315")</f>
        <v>PEMI1QFN-WK315</v>
      </c>
      <c r="B15604" s="3" t="str">
        <f>HYPERLINK("https://www.773grp.com/manufacturer/nxp-semiconductor?pageNo=20", "NXP Semiconductors")</f>
        <v>NXP Semiconductors</v>
      </c>
      <c r="C15604" s="6">
        <v>10000</v>
      </c>
      <c r="D15604" s="7">
        <v>0.33</v>
      </c>
    </row>
    <row r="15605" spans="1:4" x14ac:dyDescent="0.25">
      <c r="A15605" t="str">
        <f>HYPERLINK("https://www.773grp.com/globalSearch/PEMI1QFN-WM315/page-1", "PEMI1QFN-WM315")</f>
        <v>PEMI1QFN-WM315</v>
      </c>
      <c r="B15605" s="3" t="str">
        <f>HYPERLINK("https://www.773grp.com/manufacturer/nxp-semiconductor?pageNo=21", "NXP Semiconductors")</f>
        <v>NXP Semiconductors</v>
      </c>
      <c r="C15605" s="6">
        <v>10000</v>
      </c>
      <c r="D15605" s="7">
        <v>0.33</v>
      </c>
    </row>
    <row r="15606" spans="1:4" x14ac:dyDescent="0.25">
      <c r="A15606" t="str">
        <f>HYPERLINK("https://www.773grp.com/globalSearch/PEMI1QFN-WP315/page-1", "PEMI1QFN-WP315")</f>
        <v>PEMI1QFN-WP315</v>
      </c>
      <c r="B15606" s="3" t="str">
        <f>HYPERLINK("https://www.773grp.com/manufacturer/nxp-semiconductor?pageNo=22", "NXP Semiconductors")</f>
        <v>NXP Semiconductors</v>
      </c>
      <c r="C15606" s="6">
        <v>10000</v>
      </c>
      <c r="D15606" s="7">
        <v>0.33</v>
      </c>
    </row>
    <row r="15607" spans="1:4" x14ac:dyDescent="0.25">
      <c r="A15607" t="str">
        <f>HYPERLINK("https://www.773grp.com/globalSearch/PEMI1QFN-WR315/page-1", "PEMI1QFN-WR315")</f>
        <v>PEMI1QFN-WR315</v>
      </c>
      <c r="B15607" s="3" t="str">
        <f>HYPERLINK("https://www.773grp.com/manufacturer/nxp-semiconductor?pageNo=23", "NXP Semiconductors")</f>
        <v>NXP Semiconductors</v>
      </c>
      <c r="C15607" s="6">
        <v>10000</v>
      </c>
      <c r="D15607" s="7">
        <v>0.33</v>
      </c>
    </row>
    <row r="15608" spans="1:4" x14ac:dyDescent="0.25">
      <c r="A15608" t="str">
        <f>HYPERLINK("https://www.773grp.com/globalSearch/PEMI1QFN-WT315/page-1", "PEMI1QFN-WT315")</f>
        <v>PEMI1QFN-WT315</v>
      </c>
      <c r="B15608" s="3" t="str">
        <f>HYPERLINK("https://www.773grp.com/manufacturer/nxp-semiconductor?pageNo=24", "NXP Semiconductors")</f>
        <v>NXP Semiconductors</v>
      </c>
      <c r="C15608" s="6">
        <v>10000</v>
      </c>
      <c r="D15608" s="7">
        <v>0.33</v>
      </c>
    </row>
    <row r="15609" spans="1:4" x14ac:dyDescent="0.25">
      <c r="A15609" t="str">
        <f>HYPERLINK("https://www.773grp.com/globalSearch/PEMI2QFN-CE115/page-1", "PEMI2QFN-CE115")</f>
        <v>PEMI2QFN-CE115</v>
      </c>
      <c r="B15609" s="3" t="str">
        <f>HYPERLINK("https://www.773grp.com/manufacturer/nxp-semiconductor?pageNo=25", "NXP Semiconductors")</f>
        <v>NXP Semiconductors</v>
      </c>
      <c r="C15609" s="6">
        <v>10000</v>
      </c>
      <c r="D15609" s="7">
        <v>0.33</v>
      </c>
    </row>
    <row r="15610" spans="1:4" x14ac:dyDescent="0.25">
      <c r="A15610" t="str">
        <f>HYPERLINK("https://www.773grp.com/globalSearch/PEMI2QFN-CG115/page-1", "PEMI2QFN-CG115")</f>
        <v>PEMI2QFN-CG115</v>
      </c>
      <c r="B15610" s="3" t="str">
        <f>HYPERLINK("https://www.773grp.com/manufacturer/nxp-semiconductor?pageNo=26", "NXP Semiconductors")</f>
        <v>NXP Semiconductors</v>
      </c>
      <c r="C15610" s="6">
        <v>10000</v>
      </c>
      <c r="D15610" s="7">
        <v>0.33</v>
      </c>
    </row>
    <row r="15611" spans="1:4" x14ac:dyDescent="0.25">
      <c r="A15611" t="str">
        <f>HYPERLINK("https://www.773grp.com/globalSearch/PEMI2QFN-CK115/page-1", "PEMI2QFN-CK115")</f>
        <v>PEMI2QFN-CK115</v>
      </c>
      <c r="B15611" s="3" t="str">
        <f>HYPERLINK("https://www.773grp.com/manufacturer/nxp-semiconductor?pageNo=27", "NXP Semiconductors")</f>
        <v>NXP Semiconductors</v>
      </c>
      <c r="C15611" s="6">
        <v>10000</v>
      </c>
      <c r="D15611" s="7">
        <v>0.33</v>
      </c>
    </row>
    <row r="15612" spans="1:4" x14ac:dyDescent="0.25">
      <c r="A15612" t="str">
        <f>HYPERLINK("https://www.773grp.com/globalSearch/PEMI2QFN-CM115/page-1", "PEMI2QFN-CM115")</f>
        <v>PEMI2QFN-CM115</v>
      </c>
      <c r="B15612" s="3" t="str">
        <f>HYPERLINK("https://www.773grp.com/manufacturer/nxp-semiconductor?pageNo=28", "NXP Semiconductors")</f>
        <v>NXP Semiconductors</v>
      </c>
      <c r="C15612" s="6">
        <v>10000</v>
      </c>
      <c r="D15612" s="7">
        <v>0.33</v>
      </c>
    </row>
    <row r="15613" spans="1:4" x14ac:dyDescent="0.25">
      <c r="A15613" t="str">
        <f>HYPERLINK("https://www.773grp.com/globalSearch/PEMI2QFN-CP115/page-1", "PEMI2QFN-CP115")</f>
        <v>PEMI2QFN-CP115</v>
      </c>
      <c r="B15613" s="3" t="str">
        <f>HYPERLINK("https://www.773grp.com/manufacturer/nxp-semiconductor?pageNo=29", "NXP Semiconductors")</f>
        <v>NXP Semiconductors</v>
      </c>
      <c r="C15613" s="6">
        <v>10000</v>
      </c>
      <c r="D15613" s="7">
        <v>0.33</v>
      </c>
    </row>
    <row r="15614" spans="1:4" x14ac:dyDescent="0.25">
      <c r="A15614" t="str">
        <f>HYPERLINK("https://www.773grp.com/globalSearch/PEMI2QFN-CR115/page-1", "PEMI2QFN-CR115")</f>
        <v>PEMI2QFN-CR115</v>
      </c>
      <c r="B15614" s="3" t="str">
        <f>HYPERLINK("https://www.773grp.com/manufacturer/nxp-semiconductor?pageNo=30", "NXP Semiconductors")</f>
        <v>NXP Semiconductors</v>
      </c>
      <c r="C15614" s="6">
        <v>10000</v>
      </c>
      <c r="D15614" s="7">
        <v>0.33</v>
      </c>
    </row>
    <row r="15615" spans="1:4" x14ac:dyDescent="0.25">
      <c r="A15615" t="str">
        <f>HYPERLINK("https://www.773grp.com/globalSearch/PEMI2QFN-CT115/page-1", "PEMI2QFN-CT115")</f>
        <v>PEMI2QFN-CT115</v>
      </c>
      <c r="B15615" s="3" t="str">
        <f>HYPERLINK("https://www.773grp.com/manufacturer/nxp-semiconductor?pageNo=31", "NXP Semiconductors")</f>
        <v>NXP Semiconductors</v>
      </c>
      <c r="C15615" s="6">
        <v>10000</v>
      </c>
      <c r="D15615" s="7">
        <v>0.33</v>
      </c>
    </row>
    <row r="15616" spans="1:4" x14ac:dyDescent="0.25">
      <c r="A15616" t="str">
        <f>HYPERLINK("https://www.773grp.com/globalSearch/PEMI2QFN-HE115/page-1", "PEMI2QFN-HE115")</f>
        <v>PEMI2QFN-HE115</v>
      </c>
      <c r="B15616" s="3" t="str">
        <f>HYPERLINK("https://www.773grp.com/manufacturer/nxp-semiconductor?pageNo=32", "NXP Semiconductors")</f>
        <v>NXP Semiconductors</v>
      </c>
      <c r="C15616" s="6">
        <v>10000</v>
      </c>
      <c r="D15616" s="7">
        <v>0.33</v>
      </c>
    </row>
    <row r="15617" spans="1:4" x14ac:dyDescent="0.25">
      <c r="A15617" t="str">
        <f>HYPERLINK("https://www.773grp.com/globalSearch/PEMI2QFN-HG115/page-1", "PEMI2QFN-HG115")</f>
        <v>PEMI2QFN-HG115</v>
      </c>
      <c r="B15617" s="3" t="str">
        <f>HYPERLINK("https://www.773grp.com/manufacturer/nxp-semiconductor?pageNo=33", "NXP Semiconductors")</f>
        <v>NXP Semiconductors</v>
      </c>
      <c r="C15617" s="6">
        <v>5000</v>
      </c>
      <c r="D15617" s="7">
        <v>0.33</v>
      </c>
    </row>
    <row r="15618" spans="1:4" x14ac:dyDescent="0.25">
      <c r="A15618" t="str">
        <f>HYPERLINK("https://www.773grp.com/globalSearch/PEMI2QFN-HK115/page-1", "PEMI2QFN-HK115")</f>
        <v>PEMI2QFN-HK115</v>
      </c>
      <c r="B15618" s="3" t="str">
        <f>HYPERLINK("https://www.773grp.com/manufacturer/nxp-semiconductor?pageNo=34", "NXP Semiconductors")</f>
        <v>NXP Semiconductors</v>
      </c>
      <c r="C15618" s="6">
        <v>10000</v>
      </c>
      <c r="D15618" s="7">
        <v>0.33</v>
      </c>
    </row>
    <row r="15619" spans="1:4" x14ac:dyDescent="0.25">
      <c r="A15619" t="str">
        <f>HYPERLINK("https://www.773grp.com/globalSearch/PEMI2QFN-HM115/page-1", "PEMI2QFN-HM115")</f>
        <v>PEMI2QFN-HM115</v>
      </c>
      <c r="B15619" s="3" t="str">
        <f>HYPERLINK("https://www.773grp.com/manufacturer/nxp-semiconductor?pageNo=35", "NXP Semiconductors")</f>
        <v>NXP Semiconductors</v>
      </c>
      <c r="C15619" s="6">
        <v>10000</v>
      </c>
      <c r="D15619" s="7">
        <v>0.33</v>
      </c>
    </row>
    <row r="15620" spans="1:4" x14ac:dyDescent="0.25">
      <c r="A15620" t="str">
        <f>HYPERLINK("https://www.773grp.com/globalSearch/PEMI2QFN-HP115/page-1", "PEMI2QFN-HP115")</f>
        <v>PEMI2QFN-HP115</v>
      </c>
      <c r="B15620" s="3" t="str">
        <f>HYPERLINK("https://www.773grp.com/manufacturer/nxp-semiconductor?pageNo=36", "NXP Semiconductors")</f>
        <v>NXP Semiconductors</v>
      </c>
      <c r="C15620" s="6">
        <v>10000</v>
      </c>
      <c r="D15620" s="7">
        <v>0.33</v>
      </c>
    </row>
    <row r="15621" spans="1:4" x14ac:dyDescent="0.25">
      <c r="A15621" t="str">
        <f>HYPERLINK("https://www.773grp.com/globalSearch/PEMI2QFN-HR115/page-1", "PEMI2QFN-HR115")</f>
        <v>PEMI2QFN-HR115</v>
      </c>
      <c r="B15621" s="3" t="str">
        <f>HYPERLINK("https://www.773grp.com/manufacturer/nxp-semiconductor?pageNo=37", "NXP Semiconductors")</f>
        <v>NXP Semiconductors</v>
      </c>
      <c r="C15621" s="6">
        <v>10000</v>
      </c>
      <c r="D15621" s="7">
        <v>0.33</v>
      </c>
    </row>
    <row r="15622" spans="1:4" x14ac:dyDescent="0.25">
      <c r="A15622" t="str">
        <f>HYPERLINK("https://www.773grp.com/globalSearch/PEMI2QFN-HT115/page-1", "PEMI2QFN-HT115")</f>
        <v>PEMI2QFN-HT115</v>
      </c>
      <c r="B15622" s="3" t="str">
        <f>HYPERLINK("https://www.773grp.com/manufacturer/nxp-semiconductor?pageNo=38", "NXP Semiconductors")</f>
        <v>NXP Semiconductors</v>
      </c>
      <c r="C15622" s="6">
        <v>10000</v>
      </c>
      <c r="D15622" s="7">
        <v>0.33</v>
      </c>
    </row>
    <row r="15623" spans="1:4" x14ac:dyDescent="0.25">
      <c r="A15623" t="str">
        <f>HYPERLINK("https://www.773grp.com/globalSearch/PEMI2QFN-LE115/page-1", "PEMI2QFN-LE115")</f>
        <v>PEMI2QFN-LE115</v>
      </c>
      <c r="B15623" s="3" t="str">
        <f>HYPERLINK("https://www.773grp.com/manufacturer/nxp-semiconductor?pageNo=39", "NXP Semiconductors")</f>
        <v>NXP Semiconductors</v>
      </c>
      <c r="C15623" s="6">
        <v>10000</v>
      </c>
      <c r="D15623" s="7">
        <v>0.33</v>
      </c>
    </row>
    <row r="15624" spans="1:4" x14ac:dyDescent="0.25">
      <c r="A15624" t="str">
        <f>HYPERLINK("https://www.773grp.com/globalSearch/PEMI2QFN-LG115/page-1", "PEMI2QFN-LG115")</f>
        <v>PEMI2QFN-LG115</v>
      </c>
      <c r="B15624" s="3" t="str">
        <f>HYPERLINK("https://www.773grp.com/manufacturer/nxp-semiconductor?pageNo=40", "NXP Semiconductors")</f>
        <v>NXP Semiconductors</v>
      </c>
      <c r="C15624" s="6">
        <v>10000</v>
      </c>
      <c r="D15624" s="7">
        <v>0.33</v>
      </c>
    </row>
    <row r="15625" spans="1:4" x14ac:dyDescent="0.25">
      <c r="A15625" t="str">
        <f>HYPERLINK("https://www.773grp.com/globalSearch/PEMI2QFN-LK115/page-1", "PEMI2QFN-LK115")</f>
        <v>PEMI2QFN-LK115</v>
      </c>
      <c r="B15625" s="3" t="str">
        <f>HYPERLINK("https://www.773grp.com/manufacturer/nxp-semiconductor?pageNo=41", "NXP Semiconductors")</f>
        <v>NXP Semiconductors</v>
      </c>
      <c r="C15625" s="6">
        <v>5000</v>
      </c>
      <c r="D15625" s="7">
        <v>0.33</v>
      </c>
    </row>
    <row r="15626" spans="1:4" x14ac:dyDescent="0.25">
      <c r="A15626" t="str">
        <f>HYPERLINK("https://www.773grp.com/globalSearch/PEMI2QFN-LM115/page-1", "PEMI2QFN-LM115")</f>
        <v>PEMI2QFN-LM115</v>
      </c>
      <c r="B15626" s="3" t="str">
        <f>HYPERLINK("https://www.773grp.com/manufacturer/nxp-semiconductor?pageNo=42", "NXP Semiconductors")</f>
        <v>NXP Semiconductors</v>
      </c>
      <c r="C15626" s="6">
        <v>5000</v>
      </c>
      <c r="D15626" s="7">
        <v>0.33</v>
      </c>
    </row>
    <row r="15627" spans="1:4" x14ac:dyDescent="0.25">
      <c r="A15627" t="str">
        <f>HYPERLINK("https://www.773grp.com/globalSearch/PEMI2QFN-LP115/page-1", "PEMI2QFN-LP115")</f>
        <v>PEMI2QFN-LP115</v>
      </c>
      <c r="B15627" s="3" t="str">
        <f>HYPERLINK("https://www.773grp.com/manufacturer/nxp-semiconductor?pageNo=43", "NXP Semiconductors")</f>
        <v>NXP Semiconductors</v>
      </c>
      <c r="C15627" s="6">
        <v>5000</v>
      </c>
      <c r="D15627" s="7">
        <v>0.33</v>
      </c>
    </row>
    <row r="15628" spans="1:4" x14ac:dyDescent="0.25">
      <c r="A15628" t="str">
        <f>HYPERLINK("https://www.773grp.com/globalSearch/PEMI2QFN-LR115/page-1", "PEMI2QFN-LR115")</f>
        <v>PEMI2QFN-LR115</v>
      </c>
      <c r="B15628" s="3" t="str">
        <f>HYPERLINK("https://www.773grp.com/manufacturer/nxp-semiconductor?pageNo=44", "NXP Semiconductors")</f>
        <v>NXP Semiconductors</v>
      </c>
      <c r="C15628" s="6">
        <v>10000</v>
      </c>
      <c r="D15628" s="7">
        <v>0.33</v>
      </c>
    </row>
    <row r="15629" spans="1:4" x14ac:dyDescent="0.25">
      <c r="A15629" t="str">
        <f>HYPERLINK("https://www.773grp.com/globalSearch/PEMI2QFN-LT115/page-1", "PEMI2QFN-LT115")</f>
        <v>PEMI2QFN-LT115</v>
      </c>
      <c r="B15629" s="3" t="str">
        <f>HYPERLINK("https://www.773grp.com/manufacturer/nxp-semiconductor?pageNo=45", "NXP Semiconductors")</f>
        <v>NXP Semiconductors</v>
      </c>
      <c r="C15629" s="6">
        <v>10000</v>
      </c>
      <c r="D15629" s="7">
        <v>0.33</v>
      </c>
    </row>
    <row r="15630" spans="1:4" x14ac:dyDescent="0.25">
      <c r="A15630" t="str">
        <f>HYPERLINK("https://www.773grp.com/globalSearch/PEMI2QFN-RE115/page-1", "PEMI2QFN-RE115")</f>
        <v>PEMI2QFN-RE115</v>
      </c>
      <c r="B15630" s="3" t="str">
        <f>HYPERLINK("https://www.773grp.com/manufacturer/nxp-semiconductor?pageNo=46", "NXP Semiconductors")</f>
        <v>NXP Semiconductors</v>
      </c>
      <c r="C15630" s="6">
        <v>10000</v>
      </c>
      <c r="D15630" s="7">
        <v>0.33</v>
      </c>
    </row>
    <row r="15631" spans="1:4" x14ac:dyDescent="0.25">
      <c r="A15631" t="str">
        <f>HYPERLINK("https://www.773grp.com/globalSearch/PEMI2QFN-RG115/page-1", "PEMI2QFN-RG115")</f>
        <v>PEMI2QFN-RG115</v>
      </c>
      <c r="B15631" s="3" t="str">
        <f>HYPERLINK("https://www.773grp.com/manufacturer/nxp-semiconductor?pageNo=47", "NXP Semiconductors")</f>
        <v>NXP Semiconductors</v>
      </c>
      <c r="C15631" s="6">
        <v>10000</v>
      </c>
      <c r="D15631" s="7">
        <v>0.33</v>
      </c>
    </row>
    <row r="15632" spans="1:4" x14ac:dyDescent="0.25">
      <c r="A15632" t="str">
        <f>HYPERLINK("https://www.773grp.com/globalSearch/PEMI2QFN-RK115/page-1", "PEMI2QFN-RK115")</f>
        <v>PEMI2QFN-RK115</v>
      </c>
      <c r="B15632" s="3" t="str">
        <f>HYPERLINK("https://www.773grp.com/manufacturer/nxp-semiconductor?pageNo=48", "NXP Semiconductors")</f>
        <v>NXP Semiconductors</v>
      </c>
      <c r="C15632" s="6">
        <v>10000</v>
      </c>
      <c r="D15632" s="7">
        <v>0.33</v>
      </c>
    </row>
    <row r="15633" spans="1:4" x14ac:dyDescent="0.25">
      <c r="A15633" t="str">
        <f>HYPERLINK("https://www.773grp.com/globalSearch/PEMI2QFN-RM115/page-1", "PEMI2QFN-RM115")</f>
        <v>PEMI2QFN-RM115</v>
      </c>
      <c r="B15633" s="3" t="str">
        <f>HYPERLINK("https://www.773grp.com/manufacturer/nxp-semiconductor?pageNo=1", "NXP Semiconductors")</f>
        <v>NXP Semiconductors</v>
      </c>
      <c r="C15633" s="6">
        <v>10000</v>
      </c>
      <c r="D15633" s="7">
        <v>0.33</v>
      </c>
    </row>
    <row r="15634" spans="1:4" x14ac:dyDescent="0.25">
      <c r="A15634" t="str">
        <f>HYPERLINK("https://www.773grp.com/globalSearch/PEMI2QFN-RP115/page-1", "PEMI2QFN-RP115")</f>
        <v>PEMI2QFN-RP115</v>
      </c>
      <c r="B15634" s="3" t="str">
        <f>HYPERLINK("https://www.773grp.com/manufacturer/nxp-semiconductor?pageNo=2", "NXP Semiconductors")</f>
        <v>NXP Semiconductors</v>
      </c>
      <c r="C15634" s="6">
        <v>10000</v>
      </c>
      <c r="D15634" s="7">
        <v>0.33</v>
      </c>
    </row>
    <row r="15635" spans="1:4" x14ac:dyDescent="0.25">
      <c r="A15635" t="str">
        <f>HYPERLINK("https://www.773grp.com/globalSearch/PEMI2QFN-RR115/page-1", "PEMI2QFN-RR115")</f>
        <v>PEMI2QFN-RR115</v>
      </c>
      <c r="B15635" s="3" t="str">
        <f>HYPERLINK("https://www.773grp.com/manufacturer/nxp-semiconductor?pageNo=3", "NXP Semiconductors")</f>
        <v>NXP Semiconductors</v>
      </c>
      <c r="C15635" s="6">
        <v>5000</v>
      </c>
      <c r="D15635" s="7">
        <v>0.33</v>
      </c>
    </row>
    <row r="15636" spans="1:4" x14ac:dyDescent="0.25">
      <c r="A15636" t="str">
        <f>HYPERLINK("https://www.773grp.com/globalSearch/PEMI2QFN-RT115/page-1", "PEMI2QFN-RT115")</f>
        <v>PEMI2QFN-RT115</v>
      </c>
      <c r="B15636" s="3" t="str">
        <f>HYPERLINK("https://www.773grp.com/manufacturer/nxp-semiconductor?pageNo=4", "NXP Semiconductors")</f>
        <v>NXP Semiconductors</v>
      </c>
      <c r="C15636" s="6">
        <v>10000</v>
      </c>
      <c r="D15636" s="7">
        <v>0.33</v>
      </c>
    </row>
    <row r="15637" spans="1:4" x14ac:dyDescent="0.25">
      <c r="A15637" t="str">
        <f>HYPERLINK("https://www.773grp.com/globalSearch/PEMI2QFN-WE115/page-1", "PEMI2QFN-WE115")</f>
        <v>PEMI2QFN-WE115</v>
      </c>
      <c r="B15637" s="3" t="str">
        <f>HYPERLINK("https://www.773grp.com/manufacturer/nxp-semiconductor?pageNo=5", "NXP Semiconductors")</f>
        <v>NXP Semiconductors</v>
      </c>
      <c r="C15637" s="6">
        <v>10000</v>
      </c>
      <c r="D15637" s="7">
        <v>0.33</v>
      </c>
    </row>
    <row r="15638" spans="1:4" x14ac:dyDescent="0.25">
      <c r="A15638" t="str">
        <f>HYPERLINK("https://www.773grp.com/globalSearch/PEMI2QFN-WG115/page-1", "PEMI2QFN-WG115")</f>
        <v>PEMI2QFN-WG115</v>
      </c>
      <c r="B15638" s="3" t="str">
        <f>HYPERLINK("https://www.773grp.com/manufacturer/nxp-semiconductor?pageNo=6", "NXP Semiconductors")</f>
        <v>NXP Semiconductors</v>
      </c>
      <c r="C15638" s="6">
        <v>10000</v>
      </c>
      <c r="D15638" s="7">
        <v>0.33</v>
      </c>
    </row>
    <row r="15639" spans="1:4" x14ac:dyDescent="0.25">
      <c r="A15639" t="str">
        <f>HYPERLINK("https://www.773grp.com/globalSearch/PEMI2QFN-WK115/page-1", "PEMI2QFN-WK115")</f>
        <v>PEMI2QFN-WK115</v>
      </c>
      <c r="B15639" s="3" t="str">
        <f>HYPERLINK("https://www.773grp.com/manufacturer/nxp-semiconductor?pageNo=7", "NXP Semiconductors")</f>
        <v>NXP Semiconductors</v>
      </c>
      <c r="C15639" s="6">
        <v>10000</v>
      </c>
      <c r="D15639" s="7">
        <v>0.33</v>
      </c>
    </row>
    <row r="15640" spans="1:4" x14ac:dyDescent="0.25">
      <c r="A15640" t="str">
        <f>HYPERLINK("https://www.773grp.com/globalSearch/PEMI2QFN-WM115/page-1", "PEMI2QFN-WM115")</f>
        <v>PEMI2QFN-WM115</v>
      </c>
      <c r="B15640" s="3" t="str">
        <f>HYPERLINK("https://www.773grp.com/manufacturer/nxp-semiconductor?pageNo=8", "NXP Semiconductors")</f>
        <v>NXP Semiconductors</v>
      </c>
      <c r="C15640" s="6">
        <v>10000</v>
      </c>
      <c r="D15640" s="7">
        <v>0.33</v>
      </c>
    </row>
    <row r="15641" spans="1:4" x14ac:dyDescent="0.25">
      <c r="A15641" t="str">
        <f>HYPERLINK("https://www.773grp.com/globalSearch/PEMI2QFN-WP115/page-1", "PEMI2QFN-WP115")</f>
        <v>PEMI2QFN-WP115</v>
      </c>
      <c r="B15641" s="3" t="str">
        <f>HYPERLINK("https://www.773grp.com/manufacturer/nxp-semiconductor?pageNo=9", "NXP Semiconductors")</f>
        <v>NXP Semiconductors</v>
      </c>
      <c r="C15641" s="6">
        <v>10000</v>
      </c>
      <c r="D15641" s="7">
        <v>0.33</v>
      </c>
    </row>
    <row r="15642" spans="1:4" x14ac:dyDescent="0.25">
      <c r="A15642" t="str">
        <f>HYPERLINK("https://www.773grp.com/globalSearch/PEMI2QFN-WR115/page-1", "PEMI2QFN-WR115")</f>
        <v>PEMI2QFN-WR115</v>
      </c>
      <c r="B15642" s="3" t="str">
        <f>HYPERLINK("https://www.773grp.com/manufacturer/nxp-semiconductor?pageNo=10", "NXP Semiconductors")</f>
        <v>NXP Semiconductors</v>
      </c>
      <c r="C15642" s="6">
        <v>10000</v>
      </c>
      <c r="D15642" s="7">
        <v>0.33</v>
      </c>
    </row>
    <row r="15643" spans="1:4" x14ac:dyDescent="0.25">
      <c r="A15643" t="str">
        <f>HYPERLINK("https://www.773grp.com/globalSearch/PEMI2QFN-WT115/page-1", "PEMI2QFN-WT115")</f>
        <v>PEMI2QFN-WT115</v>
      </c>
      <c r="B15643" s="3" t="str">
        <f>HYPERLINK("https://www.773grp.com/manufacturer/nxp-semiconductor?pageNo=11", "NXP Semiconductors")</f>
        <v>NXP Semiconductors</v>
      </c>
      <c r="C15643" s="6">
        <v>10000</v>
      </c>
      <c r="D15643" s="7">
        <v>0.33</v>
      </c>
    </row>
    <row r="15644" spans="1:4" x14ac:dyDescent="0.25">
      <c r="A15644" t="str">
        <f>HYPERLINK("https://www.773grp.com/globalSearch/PEMI4CSP-RT135/page-1", "PEMI4CSP-RT135")</f>
        <v>PEMI4CSP-RT135</v>
      </c>
      <c r="B15644" s="3" t="str">
        <f>HYPERLINK("https://www.773grp.com/manufacturer/nxp-semiconductor?pageNo=12", "NXP Semiconductors")</f>
        <v>NXP Semiconductors</v>
      </c>
      <c r="C15644" s="6">
        <v>13500</v>
      </c>
      <c r="D15644" s="7">
        <v>0.33</v>
      </c>
    </row>
    <row r="15645" spans="1:4" x14ac:dyDescent="0.25">
      <c r="A15645" t="str">
        <f>HYPERLINK("https://www.773grp.com/globalSearch/PEMI4CSP-RW135/page-1", "PEMI4CSP-RW135")</f>
        <v>PEMI4CSP-RW135</v>
      </c>
      <c r="B15645" s="3" t="str">
        <f>HYPERLINK("https://www.773grp.com/manufacturer/nxp-semiconductor?pageNo=13", "NXP Semiconductors")</f>
        <v>NXP Semiconductors</v>
      </c>
      <c r="C15645" s="6">
        <v>13500</v>
      </c>
      <c r="D15645" s="7">
        <v>0.33</v>
      </c>
    </row>
    <row r="15646" spans="1:4" x14ac:dyDescent="0.25">
      <c r="A15646" t="str">
        <f>HYPERLINK("https://www.773grp.com/globalSearch/PESD12VL1BA115/page-1", "PESD12VL1BA115")</f>
        <v>PESD12VL1BA115</v>
      </c>
      <c r="B15646" s="3" t="str">
        <f>HYPERLINK("https://www.773grp.com/manufacturer/nxp-semiconductor?pageNo=14", "NXP Semiconductors")</f>
        <v>NXP Semiconductors</v>
      </c>
      <c r="C15646" s="6">
        <v>21000</v>
      </c>
      <c r="D15646" s="7">
        <v>0.33</v>
      </c>
    </row>
    <row r="15647" spans="1:4" x14ac:dyDescent="0.25">
      <c r="A15647" t="str">
        <f>HYPERLINK("https://www.773grp.com/globalSearch/PESD12VS2UAT215/page-1", "PESD12VS2UAT215")</f>
        <v>PESD12VS2UAT215</v>
      </c>
      <c r="B15647" s="3" t="str">
        <f>HYPERLINK("https://www.773grp.com/manufacturer/nxp-semiconductor?pageNo=15", "NXP Semiconductors")</f>
        <v>NXP Semiconductors</v>
      </c>
      <c r="C15647" s="6">
        <v>22331</v>
      </c>
      <c r="D15647" s="7">
        <v>0.33</v>
      </c>
    </row>
    <row r="15648" spans="1:4" x14ac:dyDescent="0.25">
      <c r="A15648" t="str">
        <f>HYPERLINK("https://www.773grp.com/globalSearch/PESD12VS2UT215/page-1", "PESD12VS2UT215")</f>
        <v>PESD12VS2UT215</v>
      </c>
      <c r="B15648" s="3" t="str">
        <f>HYPERLINK("https://www.773grp.com/manufacturer/nxp-semiconductor?pageNo=16", "NXP Semiconductors")</f>
        <v>NXP Semiconductors</v>
      </c>
      <c r="C15648" s="6">
        <v>90000</v>
      </c>
      <c r="D15648" s="7">
        <v>0.33</v>
      </c>
    </row>
    <row r="15649" spans="1:4" x14ac:dyDescent="0.25">
      <c r="A15649" t="str">
        <f>HYPERLINK("https://www.773grp.com/globalSearch/PESD12VU1UT215/page-1", "PESD12VU1UT215")</f>
        <v>PESD12VU1UT215</v>
      </c>
      <c r="B15649" s="3" t="str">
        <f>HYPERLINK("https://www.773grp.com/manufacturer/nxp-semiconductor?pageNo=17", "NXP Semiconductors")</f>
        <v>NXP Semiconductors</v>
      </c>
      <c r="C15649" s="6">
        <v>15175</v>
      </c>
      <c r="D15649" s="7">
        <v>0.33</v>
      </c>
    </row>
    <row r="15650" spans="1:4" x14ac:dyDescent="0.25">
      <c r="A15650" t="str">
        <f>HYPERLINK("https://www.773grp.com/globalSearch/PESD15VS2UAT215/page-1", "PESD15VS2UAT215")</f>
        <v>PESD15VS2UAT215</v>
      </c>
      <c r="B15650" s="3" t="str">
        <f>HYPERLINK("https://www.773grp.com/manufacturer/nxp-semiconductor?pageNo=18", "NXP Semiconductors")</f>
        <v>NXP Semiconductors</v>
      </c>
      <c r="C15650" s="6">
        <v>9100</v>
      </c>
      <c r="D15650" s="7">
        <v>0.33</v>
      </c>
    </row>
    <row r="15651" spans="1:4" x14ac:dyDescent="0.25">
      <c r="A15651" t="str">
        <f>HYPERLINK("https://www.773grp.com/globalSearch/PESD15VS2UQ115/page-1", "PESD15VS2UQ115")</f>
        <v>PESD15VS2UQ115</v>
      </c>
      <c r="B15651" s="3" t="str">
        <f>HYPERLINK("https://www.773grp.com/manufacturer/nxp-semiconductor?pageNo=19", "NXP Semiconductors")</f>
        <v>NXP Semiconductors</v>
      </c>
      <c r="C15651" s="6">
        <v>12000</v>
      </c>
      <c r="D15651" s="7">
        <v>0.33</v>
      </c>
    </row>
    <row r="15652" spans="1:4" x14ac:dyDescent="0.25">
      <c r="A15652" t="str">
        <f>HYPERLINK("https://www.773grp.com/globalSearch/PESD15VS2UT215/page-1", "PESD15VS2UT215")</f>
        <v>PESD15VS2UT215</v>
      </c>
      <c r="B15652" s="3" t="str">
        <f>HYPERLINK("https://www.773grp.com/manufacturer/nxp-semiconductor?pageNo=20", "NXP Semiconductors")</f>
        <v>NXP Semiconductors</v>
      </c>
      <c r="C15652" s="6">
        <v>24000</v>
      </c>
      <c r="D15652" s="7">
        <v>0.33</v>
      </c>
    </row>
    <row r="15653" spans="1:4" x14ac:dyDescent="0.25">
      <c r="A15653" t="str">
        <f>HYPERLINK("https://www.773grp.com/globalSearch/PESD15VU1UT215/page-1", "PESD15VU1UT215")</f>
        <v>PESD15VU1UT215</v>
      </c>
      <c r="B15653" s="3" t="str">
        <f>HYPERLINK("https://www.773grp.com/manufacturer/nxp-semiconductor?pageNo=21", "NXP Semiconductors")</f>
        <v>NXP Semiconductors</v>
      </c>
      <c r="C15653" s="6">
        <v>15000</v>
      </c>
      <c r="D15653" s="7">
        <v>0.33</v>
      </c>
    </row>
    <row r="15654" spans="1:4" x14ac:dyDescent="0.25">
      <c r="A15654" t="str">
        <f>HYPERLINK("https://www.773grp.com/globalSearch/PESD1FLEX215/page-1", "PESD1FLEX215")</f>
        <v>PESD1FLEX215</v>
      </c>
      <c r="B15654" s="3" t="str">
        <f>HYPERLINK("https://www.773grp.com/manufacturer/nxp-semiconductor?pageNo=22", "NXP Semiconductors")</f>
        <v>NXP Semiconductors</v>
      </c>
      <c r="C15654" s="6">
        <v>15000</v>
      </c>
      <c r="D15654" s="7">
        <v>0.33</v>
      </c>
    </row>
    <row r="15655" spans="1:4" x14ac:dyDescent="0.25">
      <c r="A15655" t="str">
        <f>HYPERLINK("https://www.773grp.com/globalSearch/PESD24VS2UAT215/page-1", "PESD24VS2UAT215")</f>
        <v>PESD24VS2UAT215</v>
      </c>
      <c r="B15655" s="3" t="str">
        <f>HYPERLINK("https://www.773grp.com/manufacturer/nxp-semiconductor?pageNo=23", "NXP Semiconductors")</f>
        <v>NXP Semiconductors</v>
      </c>
      <c r="C15655" s="6">
        <v>9200</v>
      </c>
      <c r="D15655" s="7">
        <v>0.33</v>
      </c>
    </row>
    <row r="15656" spans="1:4" x14ac:dyDescent="0.25">
      <c r="A15656" t="str">
        <f>HYPERLINK("https://www.773grp.com/globalSearch/PESD24VS2UQ115/page-1", "PESD24VS2UQ115")</f>
        <v>PESD24VS2UQ115</v>
      </c>
      <c r="B15656" s="3" t="str">
        <f>HYPERLINK("https://www.773grp.com/manufacturer/nxp-semiconductor?pageNo=24", "NXP Semiconductors")</f>
        <v>NXP Semiconductors</v>
      </c>
      <c r="C15656" s="6">
        <v>12200</v>
      </c>
      <c r="D15656" s="7">
        <v>0.33</v>
      </c>
    </row>
    <row r="15657" spans="1:4" x14ac:dyDescent="0.25">
      <c r="A15657" t="str">
        <f>HYPERLINK("https://www.773grp.com/globalSearch/PESD24VS2UT215/page-1", "PESD24VS2UT215")</f>
        <v>PESD24VS2UT215</v>
      </c>
      <c r="B15657" s="3" t="str">
        <f>HYPERLINK("https://www.773grp.com/manufacturer/nxp-semiconductor?pageNo=25", "NXP Semiconductors")</f>
        <v>NXP Semiconductors</v>
      </c>
      <c r="C15657" s="6">
        <v>24000</v>
      </c>
      <c r="D15657" s="7">
        <v>0.33</v>
      </c>
    </row>
    <row r="15658" spans="1:4" x14ac:dyDescent="0.25">
      <c r="A15658" t="str">
        <f>HYPERLINK("https://www.773grp.com/globalSearch/PESD24VU1UT215/page-1", "PESD24VU1UT215")</f>
        <v>PESD24VU1UT215</v>
      </c>
      <c r="B15658" s="3" t="str">
        <f>HYPERLINK("https://www.773grp.com/manufacturer/nxp-semiconductor?pageNo=26", "NXP Semiconductors")</f>
        <v>NXP Semiconductors</v>
      </c>
      <c r="C15658" s="6">
        <v>6000</v>
      </c>
      <c r="D15658" s="7">
        <v>0.33</v>
      </c>
    </row>
    <row r="15659" spans="1:4" x14ac:dyDescent="0.25">
      <c r="A15659" t="str">
        <f>HYPERLINK("https://www.773grp.com/globalSearch/PESD3V3L1BA115/page-1", "PESD3V3L1BA115")</f>
        <v>PESD3V3L1BA115</v>
      </c>
      <c r="B15659" s="3" t="str">
        <f>HYPERLINK("https://www.773grp.com/manufacturer/nxp-semiconductor?pageNo=27", "NXP Semiconductors")</f>
        <v>NXP Semiconductors</v>
      </c>
      <c r="C15659" s="6">
        <v>1847</v>
      </c>
      <c r="D15659" s="7">
        <v>0.33</v>
      </c>
    </row>
    <row r="15660" spans="1:4" x14ac:dyDescent="0.25">
      <c r="A15660" t="str">
        <f>HYPERLINK("https://www.773grp.com/globalSearch/PESD3V3S2UAT215/page-1", "PESD3V3S2UAT215")</f>
        <v>PESD3V3S2UAT215</v>
      </c>
      <c r="B15660" s="3" t="str">
        <f>HYPERLINK("https://www.773grp.com/manufacturer/nxp-semiconductor?pageNo=28", "NXP Semiconductors")</f>
        <v>NXP Semiconductors</v>
      </c>
      <c r="C15660" s="6">
        <v>18000</v>
      </c>
      <c r="D15660" s="7">
        <v>0.33</v>
      </c>
    </row>
    <row r="15661" spans="1:4" x14ac:dyDescent="0.25">
      <c r="A15661" t="str">
        <f>HYPERLINK("https://www.773grp.com/globalSearch/PESD3V3S2UQ115/page-1", "PESD3V3S2UQ115")</f>
        <v>PESD3V3S2UQ115</v>
      </c>
      <c r="B15661" s="3" t="str">
        <f>HYPERLINK("https://www.773grp.com/manufacturer/nxp-semiconductor?pageNo=29", "NXP Semiconductors")</f>
        <v>NXP Semiconductors</v>
      </c>
      <c r="C15661" s="6">
        <v>16000</v>
      </c>
      <c r="D15661" s="7">
        <v>0.33</v>
      </c>
    </row>
    <row r="15662" spans="1:4" x14ac:dyDescent="0.25">
      <c r="A15662" t="str">
        <f>HYPERLINK("https://www.773grp.com/globalSearch/PESD3V3S2UT215/page-1", "PESD3V3S2UT215")</f>
        <v>PESD3V3S2UT215</v>
      </c>
      <c r="B15662" s="3" t="str">
        <f>HYPERLINK("https://www.773grp.com/manufacturer/nxp-semiconductor?pageNo=30", "NXP Semiconductors")</f>
        <v>NXP Semiconductors</v>
      </c>
      <c r="C15662" s="6">
        <v>1872344</v>
      </c>
      <c r="D15662" s="7">
        <v>0.33</v>
      </c>
    </row>
    <row r="15663" spans="1:4" x14ac:dyDescent="0.25">
      <c r="A15663" t="str">
        <f>HYPERLINK("https://www.773grp.com/globalSearch/PESD3V3U1UB115/page-1", "PESD3V3U1UB115")</f>
        <v>PESD3V3U1UB115</v>
      </c>
      <c r="B15663" s="3" t="str">
        <f>HYPERLINK("https://www.773grp.com/manufacturer/nxp-semiconductor?pageNo=31", "NXP Semiconductors")</f>
        <v>NXP Semiconductors</v>
      </c>
      <c r="C15663" s="6">
        <v>12000</v>
      </c>
      <c r="D15663" s="7">
        <v>0.33</v>
      </c>
    </row>
    <row r="15664" spans="1:4" x14ac:dyDescent="0.25">
      <c r="A15664" t="str">
        <f>HYPERLINK("https://www.773grp.com/globalSearch/PESD3V3U1UT215/page-1", "PESD3V3U1UT215")</f>
        <v>PESD3V3U1UT215</v>
      </c>
      <c r="B15664" s="3" t="str">
        <f>HYPERLINK("https://www.773grp.com/manufacturer/nxp-semiconductor?pageNo=32", "NXP Semiconductors")</f>
        <v>NXP Semiconductors</v>
      </c>
      <c r="C15664" s="6">
        <v>16392</v>
      </c>
      <c r="D15664" s="7">
        <v>0.33</v>
      </c>
    </row>
    <row r="15665" spans="1:4" x14ac:dyDescent="0.25">
      <c r="A15665" t="str">
        <f>HYPERLINK("https://www.773grp.com/globalSearch/PESD5V0L1BA115/page-1", "PESD5V0L1BA115")</f>
        <v>PESD5V0L1BA115</v>
      </c>
      <c r="B15665" s="3" t="str">
        <f>HYPERLINK("https://www.773grp.com/manufacturer/nxp-semiconductor?pageNo=33", "NXP Semiconductors")</f>
        <v>NXP Semiconductors</v>
      </c>
      <c r="C15665" s="6">
        <v>3000</v>
      </c>
      <c r="D15665" s="7">
        <v>0.33</v>
      </c>
    </row>
    <row r="15666" spans="1:4" x14ac:dyDescent="0.25">
      <c r="A15666" t="str">
        <f>HYPERLINK("https://www.773grp.com/globalSearch/PESD5V0L1BA135/page-1", "PESD5V0L1BA135")</f>
        <v>PESD5V0L1BA135</v>
      </c>
      <c r="B15666" s="3" t="str">
        <f>HYPERLINK("https://www.773grp.com/manufacturer/nxp-semiconductor?pageNo=34", "NXP Semiconductors")</f>
        <v>NXP Semiconductors</v>
      </c>
      <c r="C15666" s="6">
        <v>10000</v>
      </c>
      <c r="D15666" s="7">
        <v>0.33</v>
      </c>
    </row>
    <row r="15667" spans="1:4" x14ac:dyDescent="0.25">
      <c r="A15667" t="str">
        <f>HYPERLINK("https://www.773grp.com/globalSearch/PESD5V0S1BA115/page-1", "PESD5V0S1BA115")</f>
        <v>PESD5V0S1BA115</v>
      </c>
      <c r="B15667" s="3" t="str">
        <f>HYPERLINK("https://www.773grp.com/manufacturer/nxp-semiconductor?pageNo=35", "NXP Semiconductors")</f>
        <v>NXP Semiconductors</v>
      </c>
      <c r="C15667" s="6">
        <v>4207</v>
      </c>
      <c r="D15667" s="7">
        <v>0.33</v>
      </c>
    </row>
    <row r="15668" spans="1:4" x14ac:dyDescent="0.25">
      <c r="A15668" t="str">
        <f>HYPERLINK("https://www.773grp.com/globalSearch/PESD5V0S2UAT215/page-1", "PESD5V0S2UAT215")</f>
        <v>PESD5V0S2UAT215</v>
      </c>
      <c r="B15668" s="3" t="str">
        <f>HYPERLINK("https://www.773grp.com/manufacturer/nxp-semiconductor?pageNo=36", "NXP Semiconductors")</f>
        <v>NXP Semiconductors</v>
      </c>
      <c r="C15668" s="6">
        <v>17616</v>
      </c>
      <c r="D15668" s="7">
        <v>0.33</v>
      </c>
    </row>
    <row r="15669" spans="1:4" x14ac:dyDescent="0.25">
      <c r="A15669" t="str">
        <f>HYPERLINK("https://www.773grp.com/globalSearch/PESD5V0S2UQ115/page-1", "PESD5V0S2UQ115")</f>
        <v>PESD5V0S2UQ115</v>
      </c>
      <c r="B15669" s="3" t="str">
        <f>HYPERLINK("https://www.773grp.com/manufacturer/nxp-semiconductor?pageNo=37", "NXP Semiconductors")</f>
        <v>NXP Semiconductors</v>
      </c>
      <c r="C15669" s="6">
        <v>8000</v>
      </c>
      <c r="D15669" s="7">
        <v>0.33</v>
      </c>
    </row>
    <row r="15670" spans="1:4" x14ac:dyDescent="0.25">
      <c r="A15670" t="str">
        <f>HYPERLINK("https://www.773grp.com/globalSearch/PESD5V0U1UL315/page-1", "PESD5V0U1UL315")</f>
        <v>PESD5V0U1UL315</v>
      </c>
      <c r="B15670" s="3" t="str">
        <f>HYPERLINK("https://www.773grp.com/manufacturer/nxp-semiconductor?pageNo=38", "NXP Semiconductors")</f>
        <v>NXP Semiconductors</v>
      </c>
      <c r="C15670" s="6">
        <v>10500</v>
      </c>
      <c r="D15670" s="7">
        <v>0.33</v>
      </c>
    </row>
    <row r="15671" spans="1:4" x14ac:dyDescent="0.25">
      <c r="A15671" t="str">
        <f>HYPERLINK("https://www.773grp.com/globalSearch/PESD5V0U1UT215/page-1", "PESD5V0U1UT215")</f>
        <v>PESD5V0U1UT215</v>
      </c>
      <c r="B15671" s="3" t="str">
        <f>HYPERLINK("https://www.773grp.com/manufacturer/nxp-semiconductor?pageNo=39", "NXP Semiconductors")</f>
        <v>NXP Semiconductors</v>
      </c>
      <c r="C15671" s="6">
        <v>120000</v>
      </c>
      <c r="D15671" s="7">
        <v>0.33</v>
      </c>
    </row>
    <row r="15672" spans="1:4" x14ac:dyDescent="0.25">
      <c r="A15672" t="str">
        <f>HYPERLINK("https://www.773grp.com/globalSearch/PESD5V2S2UT215/page-1", "PESD5V2S2UT215")</f>
        <v>PESD5V2S2UT215</v>
      </c>
      <c r="B15672" s="3" t="str">
        <f>HYPERLINK("https://www.773grp.com/manufacturer/nxp-semiconductor?pageNo=40", "NXP Semiconductors")</f>
        <v>NXP Semiconductors</v>
      </c>
      <c r="C15672" s="6">
        <v>210000</v>
      </c>
      <c r="D15672" s="7">
        <v>0.33</v>
      </c>
    </row>
    <row r="15673" spans="1:4" x14ac:dyDescent="0.25">
      <c r="A15673" t="str">
        <f>HYPERLINK("https://www.773grp.com/globalSearch/PIMC31115/page-1", "PIMC31115")</f>
        <v>PIMC31115</v>
      </c>
      <c r="B15673" s="3" t="str">
        <f>HYPERLINK("https://www.773grp.com/manufacturer/nxp-semiconductor?pageNo=41", "NXP Semiconductors")</f>
        <v>NXP Semiconductors</v>
      </c>
      <c r="C15673" s="6">
        <v>190</v>
      </c>
      <c r="D15673" s="7">
        <v>0.33</v>
      </c>
    </row>
    <row r="15674" spans="1:4" x14ac:dyDescent="0.25">
      <c r="A15674" t="str">
        <f>HYPERLINK("https://www.773grp.com/globalSearch/PMBD6050215/page-1", "PMBD6050215")</f>
        <v>PMBD6050215</v>
      </c>
      <c r="B15674" s="3" t="str">
        <f>HYPERLINK("https://www.773grp.com/manufacturer/nxp-semiconductor?pageNo=42", "NXP Semiconductors")</f>
        <v>NXP Semiconductors</v>
      </c>
      <c r="C15674" s="6">
        <v>228000</v>
      </c>
      <c r="D15674" s="7">
        <v>0.33</v>
      </c>
    </row>
    <row r="15675" spans="1:4" x14ac:dyDescent="0.25">
      <c r="A15675" t="str">
        <f>HYPERLINK("https://www.773grp.com/globalSearch/PMBF4391215/page-1", "PMBF4391215")</f>
        <v>PMBF4391215</v>
      </c>
      <c r="B15675" s="3" t="str">
        <f>HYPERLINK("https://www.773grp.com/manufacturer/nxp-semiconductor?pageNo=43", "NXP Semiconductors")</f>
        <v>NXP Semiconductors</v>
      </c>
      <c r="C15675" s="6">
        <v>12000</v>
      </c>
      <c r="D15675" s="7">
        <v>0.33</v>
      </c>
    </row>
    <row r="15676" spans="1:4" x14ac:dyDescent="0.25">
      <c r="A15676" t="str">
        <f>HYPERLINK("https://www.773grp.com/globalSearch/PMBF4393215/page-1", "PMBF4393215")</f>
        <v>PMBF4393215</v>
      </c>
      <c r="B15676" s="3" t="str">
        <f>HYPERLINK("https://www.773grp.com/manufacturer/nxp-semiconductor?pageNo=44", "NXP Semiconductors")</f>
        <v>NXP Semiconductors</v>
      </c>
      <c r="C15676" s="6">
        <v>133196</v>
      </c>
      <c r="D15676" s="7">
        <v>0.33</v>
      </c>
    </row>
    <row r="15677" spans="1:4" x14ac:dyDescent="0.25">
      <c r="A15677" t="str">
        <f>HYPERLINK("https://www.773grp.com/globalSearch/PMEG2005AEA115/page-1", "PMEG2005AEA115")</f>
        <v>PMEG2005AEA115</v>
      </c>
      <c r="B15677" s="3" t="str">
        <f>HYPERLINK("https://www.773grp.com/manufacturer/nxp-semiconductor?pageNo=45", "NXP Semiconductors")</f>
        <v>NXP Semiconductors</v>
      </c>
      <c r="C15677" s="6">
        <v>3000</v>
      </c>
      <c r="D15677" s="7">
        <v>0.33</v>
      </c>
    </row>
    <row r="15678" spans="1:4" x14ac:dyDescent="0.25">
      <c r="A15678" t="str">
        <f>HYPERLINK("https://www.773grp.com/globalSearch/PMEG2005AEL315/page-1", "PMEG2005AEL315")</f>
        <v>PMEG2005AEL315</v>
      </c>
      <c r="B15678" s="3" t="str">
        <f>HYPERLINK("https://www.773grp.com/manufacturer/nxp-semiconductor?pageNo=46", "NXP Semiconductors")</f>
        <v>NXP Semiconductors</v>
      </c>
      <c r="C15678" s="6">
        <v>3740</v>
      </c>
      <c r="D15678" s="7">
        <v>0.33</v>
      </c>
    </row>
    <row r="15679" spans="1:4" x14ac:dyDescent="0.25">
      <c r="A15679" t="str">
        <f>HYPERLINK("https://www.773grp.com/globalSearch/PMEG2005AELD315/page-1", "PMEG2005AELD315")</f>
        <v>PMEG2005AELD315</v>
      </c>
      <c r="B15679" s="3" t="str">
        <f>HYPERLINK("https://www.773grp.com/manufacturer/nxp-semiconductor?pageNo=47", "NXP Semiconductors")</f>
        <v>NXP Semiconductors</v>
      </c>
      <c r="C15679" s="6">
        <v>10000</v>
      </c>
      <c r="D15679" s="7">
        <v>0.33</v>
      </c>
    </row>
    <row r="15680" spans="1:4" x14ac:dyDescent="0.25">
      <c r="A15680" t="str">
        <f>HYPERLINK("https://www.773grp.com/globalSearch/PMEG2005EB115/page-1", "PMEG2005EB115")</f>
        <v>PMEG2005EB115</v>
      </c>
      <c r="B15680" s="3" t="str">
        <f>HYPERLINK("https://www.773grp.com/manufacturer/nxp-semiconductor?pageNo=48", "NXP Semiconductors")</f>
        <v>NXP Semiconductors</v>
      </c>
      <c r="C15680" s="6">
        <v>159000</v>
      </c>
      <c r="D15680" s="7">
        <v>0.33</v>
      </c>
    </row>
    <row r="15681" spans="1:4" x14ac:dyDescent="0.25">
      <c r="A15681" t="str">
        <f>HYPERLINK("https://www.773grp.com/globalSearch/PMEG2005EL315/page-1", "PMEG2005EL315")</f>
        <v>PMEG2005EL315</v>
      </c>
      <c r="B15681" s="3" t="str">
        <f>HYPERLINK("https://www.773grp.com/manufacturer/nxp-semiconductor?pageNo=1", "NXP Semiconductors")</f>
        <v>NXP Semiconductors</v>
      </c>
      <c r="C15681" s="6">
        <v>2060000</v>
      </c>
      <c r="D15681" s="7">
        <v>0.33</v>
      </c>
    </row>
    <row r="15682" spans="1:4" x14ac:dyDescent="0.25">
      <c r="A15682" t="str">
        <f>HYPERLINK("https://www.773grp.com/globalSearch/PMEG2005ELD315/page-1", "PMEG2005ELD315")</f>
        <v>PMEG2005ELD315</v>
      </c>
      <c r="B15682" s="3" t="str">
        <f>HYPERLINK("https://www.773grp.com/manufacturer/nxp-semiconductor?pageNo=2", "NXP Semiconductors")</f>
        <v>NXP Semiconductors</v>
      </c>
      <c r="C15682" s="6">
        <v>10000</v>
      </c>
      <c r="D15682" s="7">
        <v>0.33</v>
      </c>
    </row>
    <row r="15683" spans="1:4" x14ac:dyDescent="0.25">
      <c r="A15683" t="str">
        <f>HYPERLINK("https://www.773grp.com/globalSearch/PMEG2005ET215/page-1", "PMEG2005ET215")</f>
        <v>PMEG2005ET215</v>
      </c>
      <c r="B15683" s="3" t="str">
        <f>HYPERLINK("https://www.773grp.com/manufacturer/nxp-semiconductor?pageNo=3", "NXP Semiconductors")</f>
        <v>NXP Semiconductors</v>
      </c>
      <c r="C15683" s="6">
        <v>6000</v>
      </c>
      <c r="D15683" s="7">
        <v>0.33</v>
      </c>
    </row>
    <row r="15684" spans="1:4" x14ac:dyDescent="0.25">
      <c r="A15684" t="str">
        <f>HYPERLINK("https://www.773grp.com/globalSearch/PMEG2010AEH115/page-1", "PMEG2010AEH115")</f>
        <v>PMEG2010AEH115</v>
      </c>
      <c r="B15684" s="3" t="str">
        <f>HYPERLINK("https://www.773grp.com/manufacturer/nxp-semiconductor?pageNo=4", "NXP Semiconductors")</f>
        <v>NXP Semiconductors</v>
      </c>
      <c r="C15684" s="6">
        <v>90000</v>
      </c>
      <c r="D15684" s="7">
        <v>0.33</v>
      </c>
    </row>
    <row r="15685" spans="1:4" x14ac:dyDescent="0.25">
      <c r="A15685" t="str">
        <f>HYPERLINK("https://www.773grp.com/globalSearch/PMEG2010AEJ115/page-1", "PMEG2010AEJ115")</f>
        <v>PMEG2010AEJ115</v>
      </c>
      <c r="B15685" s="3" t="str">
        <f>HYPERLINK("https://www.773grp.com/manufacturer/nxp-semiconductor?pageNo=5", "NXP Semiconductors")</f>
        <v>NXP Semiconductors</v>
      </c>
      <c r="C15685" s="6">
        <v>24000</v>
      </c>
      <c r="D15685" s="7">
        <v>0.33</v>
      </c>
    </row>
    <row r="15686" spans="1:4" x14ac:dyDescent="0.25">
      <c r="A15686" t="str">
        <f>HYPERLINK("https://www.773grp.com/globalSearch/PMEG2010EH115/page-1", "PMEG2010EH115")</f>
        <v>PMEG2010EH115</v>
      </c>
      <c r="B15686" s="3" t="str">
        <f>HYPERLINK("https://www.773grp.com/manufacturer/nxp-semiconductor?pageNo=6", "NXP Semiconductors")</f>
        <v>NXP Semiconductors</v>
      </c>
      <c r="C15686" s="6">
        <v>6200</v>
      </c>
      <c r="D15686" s="7">
        <v>0.33</v>
      </c>
    </row>
    <row r="15687" spans="1:4" x14ac:dyDescent="0.25">
      <c r="A15687" t="str">
        <f>HYPERLINK("https://www.773grp.com/globalSearch/PMEG2010EJ115/page-1", "PMEG2010EJ115")</f>
        <v>PMEG2010EJ115</v>
      </c>
      <c r="B15687" s="3" t="str">
        <f>HYPERLINK("https://www.773grp.com/manufacturer/nxp-semiconductor?pageNo=7", "NXP Semiconductors")</f>
        <v>NXP Semiconductors</v>
      </c>
      <c r="C15687" s="6">
        <v>3000</v>
      </c>
      <c r="D15687" s="7">
        <v>0.33</v>
      </c>
    </row>
    <row r="15688" spans="1:4" x14ac:dyDescent="0.25">
      <c r="A15688" t="str">
        <f>HYPERLINK("https://www.773grp.com/globalSearch/PMEG3005AEV115/page-1", "PMEG3005AEV115")</f>
        <v>PMEG3005AEV115</v>
      </c>
      <c r="B15688" s="3" t="str">
        <f>HYPERLINK("https://www.773grp.com/manufacturer/nxp-semiconductor?pageNo=8", "NXP Semiconductors")</f>
        <v>NXP Semiconductors</v>
      </c>
      <c r="C15688" s="6">
        <v>8000</v>
      </c>
      <c r="D15688" s="7">
        <v>0.33</v>
      </c>
    </row>
    <row r="15689" spans="1:4" x14ac:dyDescent="0.25">
      <c r="A15689" t="str">
        <f>HYPERLINK("https://www.773grp.com/globalSearch/PMEG3005EB115/page-1", "PMEG3005EB115")</f>
        <v>PMEG3005EB115</v>
      </c>
      <c r="B15689" s="3" t="str">
        <f>HYPERLINK("https://www.773grp.com/manufacturer/nxp-semiconductor?pageNo=9", "NXP Semiconductors")</f>
        <v>NXP Semiconductors</v>
      </c>
      <c r="C15689" s="6">
        <v>3000</v>
      </c>
      <c r="D15689" s="7">
        <v>0.33</v>
      </c>
    </row>
    <row r="15690" spans="1:4" x14ac:dyDescent="0.25">
      <c r="A15690" t="str">
        <f>HYPERLINK("https://www.773grp.com/globalSearch/PMEG3005ET215/page-1", "PMEG3005ET215")</f>
        <v>PMEG3005ET215</v>
      </c>
      <c r="B15690" s="3" t="str">
        <f>HYPERLINK("https://www.773grp.com/manufacturer/nxp-semiconductor?pageNo=10", "NXP Semiconductors")</f>
        <v>NXP Semiconductors</v>
      </c>
      <c r="C15690" s="6">
        <v>9000</v>
      </c>
      <c r="D15690" s="7">
        <v>0.33</v>
      </c>
    </row>
    <row r="15691" spans="1:4" x14ac:dyDescent="0.25">
      <c r="A15691" t="str">
        <f>HYPERLINK("https://www.773grp.com/globalSearch/PMEG3010CEJ115/page-1", "PMEG3010CEJ115")</f>
        <v>PMEG3010CEJ115</v>
      </c>
      <c r="B15691" s="3" t="str">
        <f>HYPERLINK("https://www.773grp.com/manufacturer/nxp-semiconductor?pageNo=11", "NXP Semiconductors")</f>
        <v>NXP Semiconductors</v>
      </c>
      <c r="C15691" s="6">
        <v>18000</v>
      </c>
      <c r="D15691" s="7">
        <v>0.33</v>
      </c>
    </row>
    <row r="15692" spans="1:4" x14ac:dyDescent="0.25">
      <c r="A15692" t="str">
        <f>HYPERLINK("https://www.773grp.com/globalSearch/PMEG3010EH115/page-1", "PMEG3010EH115")</f>
        <v>PMEG3010EH115</v>
      </c>
      <c r="B15692" s="3" t="str">
        <f>HYPERLINK("https://www.773grp.com/manufacturer/nxp-semiconductor?pageNo=12", "NXP Semiconductors")</f>
        <v>NXP Semiconductors</v>
      </c>
      <c r="C15692" s="6">
        <v>8198</v>
      </c>
      <c r="D15692" s="7">
        <v>0.33</v>
      </c>
    </row>
    <row r="15693" spans="1:4" x14ac:dyDescent="0.25">
      <c r="A15693" t="str">
        <f>HYPERLINK("https://www.773grp.com/globalSearch/PMEG3010EJ115/page-1", "PMEG3010EJ115")</f>
        <v>PMEG3010EJ115</v>
      </c>
      <c r="B15693" s="3" t="str">
        <f>HYPERLINK("https://www.773grp.com/manufacturer/nxp-semiconductor?pageNo=13", "NXP Semiconductors")</f>
        <v>NXP Semiconductors</v>
      </c>
      <c r="C15693" s="6">
        <v>30000</v>
      </c>
      <c r="D15693" s="7">
        <v>0.33</v>
      </c>
    </row>
    <row r="15694" spans="1:4" x14ac:dyDescent="0.25">
      <c r="A15694" t="str">
        <f>HYPERLINK("https://www.773grp.com/globalSearch/PMEG4005AEA115/page-1", "PMEG4005AEA115")</f>
        <v>PMEG4005AEA115</v>
      </c>
      <c r="B15694" s="3" t="str">
        <f>HYPERLINK("https://www.773grp.com/manufacturer/nxp-semiconductor?pageNo=14", "NXP Semiconductors")</f>
        <v>NXP Semiconductors</v>
      </c>
      <c r="C15694" s="6">
        <v>9000</v>
      </c>
      <c r="D15694" s="7">
        <v>0.33</v>
      </c>
    </row>
    <row r="15695" spans="1:4" x14ac:dyDescent="0.25">
      <c r="A15695" t="str">
        <f>HYPERLINK("https://www.773grp.com/globalSearch/PMEG4005AEV115/page-1", "PMEG4005AEV115")</f>
        <v>PMEG4005AEV115</v>
      </c>
      <c r="B15695" s="3" t="str">
        <f>HYPERLINK("https://www.773grp.com/manufacturer/nxp-semiconductor?pageNo=15", "NXP Semiconductors")</f>
        <v>NXP Semiconductors</v>
      </c>
      <c r="C15695" s="6">
        <v>12000</v>
      </c>
      <c r="D15695" s="7">
        <v>0.33</v>
      </c>
    </row>
    <row r="15696" spans="1:4" x14ac:dyDescent="0.25">
      <c r="A15696" t="str">
        <f>HYPERLINK("https://www.773grp.com/globalSearch/PMEG4005ET215/page-1", "PMEG4005ET215")</f>
        <v>PMEG4005ET215</v>
      </c>
      <c r="B15696" s="3" t="str">
        <f>HYPERLINK("https://www.773grp.com/manufacturer/nxp-semiconductor?pageNo=16", "NXP Semiconductors")</f>
        <v>NXP Semiconductors</v>
      </c>
      <c r="C15696" s="6">
        <v>1841</v>
      </c>
      <c r="D15696" s="7">
        <v>0.33</v>
      </c>
    </row>
    <row r="15697" spans="1:4" x14ac:dyDescent="0.25">
      <c r="A15697" t="str">
        <f>HYPERLINK("https://www.773grp.com/globalSearch/PMEG4010CEJ115/page-1", "PMEG4010CEJ115")</f>
        <v>PMEG4010CEJ115</v>
      </c>
      <c r="B15697" s="3" t="str">
        <f>HYPERLINK("https://www.773grp.com/manufacturer/nxp-semiconductor?pageNo=17", "NXP Semiconductors")</f>
        <v>NXP Semiconductors</v>
      </c>
      <c r="C15697" s="6">
        <v>69000</v>
      </c>
      <c r="D15697" s="7">
        <v>0.33</v>
      </c>
    </row>
    <row r="15698" spans="1:4" x14ac:dyDescent="0.25">
      <c r="A15698" t="str">
        <f>HYPERLINK("https://www.773grp.com/globalSearch/PMEG4010EH115/page-1", "PMEG4010EH115")</f>
        <v>PMEG4010EH115</v>
      </c>
      <c r="B15698" s="3" t="str">
        <f>HYPERLINK("https://www.773grp.com/manufacturer/nxp-semiconductor?pageNo=18", "NXP Semiconductors")</f>
        <v>NXP Semiconductors</v>
      </c>
      <c r="C15698" s="6">
        <v>20558</v>
      </c>
      <c r="D15698" s="7">
        <v>0.33</v>
      </c>
    </row>
    <row r="15699" spans="1:4" x14ac:dyDescent="0.25">
      <c r="A15699" t="str">
        <f>HYPERLINK("https://www.773grp.com/globalSearch/PMEG4010EJ115/page-1", "PMEG4010EJ115")</f>
        <v>PMEG4010EJ115</v>
      </c>
      <c r="B15699" s="3" t="str">
        <f>HYPERLINK("https://www.773grp.com/manufacturer/nxp-semiconductor?pageNo=19", "NXP Semiconductors")</f>
        <v>NXP Semiconductors</v>
      </c>
      <c r="C15699" s="6">
        <v>3000</v>
      </c>
      <c r="D15699" s="7">
        <v>0.33</v>
      </c>
    </row>
    <row r="15700" spans="1:4" x14ac:dyDescent="0.25">
      <c r="A15700" t="str">
        <f>HYPERLINK("https://www.773grp.com/globalSearch/PMEG6002TV115/page-1", "PMEG6002TV115")</f>
        <v>PMEG6002TV115</v>
      </c>
      <c r="B15700" s="3" t="str">
        <f>HYPERLINK("https://www.773grp.com/manufacturer/nxp-semiconductor?pageNo=20", "NXP Semiconductors")</f>
        <v>NXP Semiconductors</v>
      </c>
      <c r="C15700" s="6">
        <v>20879</v>
      </c>
      <c r="D15700" s="7">
        <v>0.33</v>
      </c>
    </row>
    <row r="15701" spans="1:4" x14ac:dyDescent="0.25">
      <c r="A15701" t="str">
        <f>HYPERLINK("https://www.773grp.com/globalSearch/PMF170XP115/page-1", "PMF170XP115")</f>
        <v>PMF170XP115</v>
      </c>
      <c r="B15701" s="3" t="str">
        <f>HYPERLINK("https://www.773grp.com/manufacturer/nxp-semiconductor?pageNo=21", "NXP Semiconductors")</f>
        <v>NXP Semiconductors</v>
      </c>
      <c r="C15701" s="6">
        <v>186000</v>
      </c>
      <c r="D15701" s="7">
        <v>0.33</v>
      </c>
    </row>
    <row r="15702" spans="1:4" x14ac:dyDescent="0.25">
      <c r="A15702" t="str">
        <f>HYPERLINK("https://www.773grp.com/globalSearch/PMF3800SN115/page-1", "PMF3800SN115")</f>
        <v>PMF3800SN115</v>
      </c>
      <c r="B15702" s="3" t="str">
        <f>HYPERLINK("https://www.773grp.com/manufacturer/nxp-semiconductor?pageNo=22", "NXP Semiconductors")</f>
        <v>NXP Semiconductors</v>
      </c>
      <c r="C15702" s="6">
        <v>27000</v>
      </c>
      <c r="D15702" s="7">
        <v>0.33</v>
      </c>
    </row>
    <row r="15703" spans="1:4" x14ac:dyDescent="0.25">
      <c r="A15703" t="str">
        <f>HYPERLINK("https://www.773grp.com/globalSearch/PMG85XP115/page-1", "PMG85XP115")</f>
        <v>PMG85XP115</v>
      </c>
      <c r="B15703" s="3" t="str">
        <f>HYPERLINK("https://www.773grp.com/manufacturer/nxp-semiconductor?pageNo=23", "NXP Semiconductors")</f>
        <v>NXP Semiconductors</v>
      </c>
      <c r="C15703" s="6">
        <v>6355</v>
      </c>
      <c r="D15703" s="7">
        <v>0.33</v>
      </c>
    </row>
    <row r="15704" spans="1:4" x14ac:dyDescent="0.25">
      <c r="A15704" t="str">
        <f>HYPERLINK("https://www.773grp.com/globalSearch/PMMT491A215/page-1", "PMMT491A215")</f>
        <v>PMMT491A215</v>
      </c>
      <c r="B15704" s="3" t="str">
        <f>HYPERLINK("https://www.773grp.com/manufacturer/nxp-semiconductor?pageNo=24", "NXP Semiconductors")</f>
        <v>NXP Semiconductors</v>
      </c>
      <c r="C15704" s="6">
        <v>21000</v>
      </c>
      <c r="D15704" s="7">
        <v>0.33</v>
      </c>
    </row>
    <row r="15705" spans="1:4" x14ac:dyDescent="0.25">
      <c r="A15705" t="str">
        <f>HYPERLINK("https://www.773grp.com/globalSearch/PMMT591A215/page-1", "PMMT591A215")</f>
        <v>PMMT591A215</v>
      </c>
      <c r="B15705" s="3" t="str">
        <f>HYPERLINK("https://www.773grp.com/manufacturer/nxp-semiconductor?pageNo=25", "NXP Semiconductors")</f>
        <v>NXP Semiconductors</v>
      </c>
      <c r="C15705" s="6">
        <v>60150</v>
      </c>
      <c r="D15705" s="7">
        <v>0.33</v>
      </c>
    </row>
    <row r="15706" spans="1:4" x14ac:dyDescent="0.25">
      <c r="A15706" t="str">
        <f>HYPERLINK("https://www.773grp.com/globalSearch/RB520CS30L315/page-1", "RB520CS30L315")</f>
        <v>RB520CS30L315</v>
      </c>
      <c r="B15706" s="3" t="str">
        <f>HYPERLINK("https://www.773grp.com/manufacturer/nxp-semiconductor?pageNo=26", "NXP Semiconductors")</f>
        <v>NXP Semiconductors</v>
      </c>
      <c r="C15706" s="6">
        <v>10000</v>
      </c>
      <c r="D15706" s="7">
        <v>0.33</v>
      </c>
    </row>
    <row r="15707" spans="1:4" x14ac:dyDescent="0.25">
      <c r="A15707" t="str">
        <f>HYPERLINK("https://www.773grp.com/globalSearch/SL3S1002AC0118/page-1", "SL3S1002AC0118")</f>
        <v>SL3S1002AC0118</v>
      </c>
      <c r="B15707" s="3" t="str">
        <f>HYPERLINK("https://www.773grp.com/manufacturer/nxp-semiconductor?pageNo=27", "NXP Semiconductors")</f>
        <v>NXP Semiconductors</v>
      </c>
      <c r="C15707" s="6">
        <v>19000</v>
      </c>
      <c r="D15707" s="7">
        <v>0.33</v>
      </c>
    </row>
    <row r="15708" spans="1:4" x14ac:dyDescent="0.25">
      <c r="A15708" t="str">
        <f>HYPERLINK("https://www.773grp.com/globalSearch/TL431ACDBZR215/page-1", "TL431ACDBZR215")</f>
        <v>TL431ACDBZR215</v>
      </c>
      <c r="B15708" s="3" t="str">
        <f>HYPERLINK("https://www.773grp.com/manufacturer/nxp-semiconductor?pageNo=28", "NXP Semiconductors")</f>
        <v>NXP Semiconductors</v>
      </c>
      <c r="C15708" s="6">
        <v>11970</v>
      </c>
      <c r="D15708" s="7">
        <v>0.33</v>
      </c>
    </row>
    <row r="15709" spans="1:4" x14ac:dyDescent="0.25">
      <c r="A15709" t="str">
        <f>HYPERLINK("https://www.773grp.com/globalSearch/TL431AFDT215/page-1", "TL431AFDT215")</f>
        <v>TL431AFDT215</v>
      </c>
      <c r="B15709" s="3" t="str">
        <f>HYPERLINK("https://www.773grp.com/manufacturer/nxp-semiconductor?pageNo=29", "NXP Semiconductors")</f>
        <v>NXP Semiconductors</v>
      </c>
      <c r="C15709" s="6">
        <v>9000</v>
      </c>
      <c r="D15709" s="7">
        <v>0.33</v>
      </c>
    </row>
    <row r="15710" spans="1:4" x14ac:dyDescent="0.25">
      <c r="A15710" t="str">
        <f>HYPERLINK("https://www.773grp.com/globalSearch/TL431AIDBZR215/page-1", "TL431AIDBZR215")</f>
        <v>TL431AIDBZR215</v>
      </c>
      <c r="B15710" s="3" t="str">
        <f>HYPERLINK("https://www.773grp.com/manufacturer/nxp-semiconductor?pageNo=30", "NXP Semiconductors")</f>
        <v>NXP Semiconductors</v>
      </c>
      <c r="C15710" s="6">
        <v>3000</v>
      </c>
      <c r="D15710" s="7">
        <v>0.33</v>
      </c>
    </row>
    <row r="15711" spans="1:4" x14ac:dyDescent="0.25">
      <c r="A15711" t="str">
        <f>HYPERLINK("https://www.773grp.com/globalSearch/TL431AQDBZR215/page-1", "TL431AQDBZR215")</f>
        <v>TL431AQDBZR215</v>
      </c>
      <c r="B15711" s="3" t="str">
        <f>HYPERLINK("https://www.773grp.com/manufacturer/nxp-semiconductor?pageNo=31", "NXP Semiconductors")</f>
        <v>NXP Semiconductors</v>
      </c>
      <c r="C15711" s="6">
        <v>33000</v>
      </c>
      <c r="D15711" s="7">
        <v>0.33</v>
      </c>
    </row>
    <row r="15712" spans="1:4" x14ac:dyDescent="0.25">
      <c r="A15712" t="str">
        <f>HYPERLINK("https://www.773grp.com/globalSearch/1PS74SB23115/page-1", "1PS74SB23115")</f>
        <v>1PS74SB23115</v>
      </c>
      <c r="B15712" s="3" t="str">
        <f>HYPERLINK("https://www.773grp.com/manufacturer/nxp-semiconductor?pageNo=32", "NXP Semiconductors")</f>
        <v>NXP Semiconductors</v>
      </c>
      <c r="C15712" s="6">
        <v>6980</v>
      </c>
      <c r="D15712" s="7">
        <v>0.38</v>
      </c>
    </row>
    <row r="15713" spans="1:4" x14ac:dyDescent="0.25">
      <c r="A15713" t="str">
        <f>HYPERLINK("https://www.773grp.com/globalSearch/2N5064112/page-1", "2N5064112")</f>
        <v>2N5064112</v>
      </c>
      <c r="B15713" s="3" t="str">
        <f>HYPERLINK("https://www.773grp.com/manufacturer/nxp-semiconductor?pageNo=33", "NXP Semiconductors")</f>
        <v>NXP Semiconductors</v>
      </c>
      <c r="C15713" s="6">
        <v>9000</v>
      </c>
      <c r="D15713" s="7">
        <v>0.38</v>
      </c>
    </row>
    <row r="15714" spans="1:4" x14ac:dyDescent="0.25">
      <c r="A15714" t="str">
        <f>HYPERLINK("https://www.773grp.com/globalSearch/2N7002PV115/page-1", "2N7002PV115")</f>
        <v>2N7002PV115</v>
      </c>
      <c r="B15714" s="3" t="str">
        <f>HYPERLINK("https://www.773grp.com/manufacturer/nxp-semiconductor?pageNo=34", "NXP Semiconductors")</f>
        <v>NXP Semiconductors</v>
      </c>
      <c r="C15714" s="6">
        <v>4000</v>
      </c>
      <c r="D15714" s="7">
        <v>0.38</v>
      </c>
    </row>
    <row r="15715" spans="1:4" x14ac:dyDescent="0.25">
      <c r="A15715" t="str">
        <f>HYPERLINK("https://www.773grp.com/globalSearch/74AHC00D112/page-1", "74AHC00D112")</f>
        <v>74AHC00D112</v>
      </c>
      <c r="B15715" s="3" t="str">
        <f>HYPERLINK("https://www.773grp.com/manufacturer/nxp-semiconductor?pageNo=35", "NXP Semiconductors")</f>
        <v>NXP Semiconductors</v>
      </c>
      <c r="C15715" s="6">
        <v>1140</v>
      </c>
      <c r="D15715" s="7">
        <v>0.38</v>
      </c>
    </row>
    <row r="15716" spans="1:4" x14ac:dyDescent="0.25">
      <c r="A15716" t="str">
        <f>HYPERLINK("https://www.773grp.com/globalSearch/74AHC00PW112/page-1", "74AHC00PW112")</f>
        <v>74AHC00PW112</v>
      </c>
      <c r="B15716" s="3" t="str">
        <f>HYPERLINK("https://www.773grp.com/manufacturer/nxp-semiconductor?pageNo=36", "NXP Semiconductors")</f>
        <v>NXP Semiconductors</v>
      </c>
      <c r="C15716" s="6">
        <v>9408</v>
      </c>
      <c r="D15716" s="7">
        <v>0.38</v>
      </c>
    </row>
    <row r="15717" spans="1:4" x14ac:dyDescent="0.25">
      <c r="A15717" t="str">
        <f>HYPERLINK("https://www.773grp.com/globalSearch/74AHC00PW118/page-1", "74AHC00PW118")</f>
        <v>74AHC00PW118</v>
      </c>
      <c r="B15717" s="3" t="str">
        <f>HYPERLINK("https://www.773grp.com/manufacturer/nxp-semiconductor?pageNo=37", "NXP Semiconductors")</f>
        <v>NXP Semiconductors</v>
      </c>
      <c r="C15717" s="6">
        <v>170000</v>
      </c>
      <c r="D15717" s="7">
        <v>0.38</v>
      </c>
    </row>
    <row r="15718" spans="1:4" x14ac:dyDescent="0.25">
      <c r="A15718" t="str">
        <f>HYPERLINK("https://www.773grp.com/globalSearch/74AHC02D118/page-1", "74AHC02D118")</f>
        <v>74AHC02D118</v>
      </c>
      <c r="B15718" s="3" t="str">
        <f>HYPERLINK("https://www.773grp.com/manufacturer/nxp-semiconductor?pageNo=38", "NXP Semiconductors")</f>
        <v>NXP Semiconductors</v>
      </c>
      <c r="C15718" s="6">
        <v>8000</v>
      </c>
      <c r="D15718" s="7">
        <v>0.38</v>
      </c>
    </row>
    <row r="15719" spans="1:4" x14ac:dyDescent="0.25">
      <c r="A15719" t="str">
        <f>HYPERLINK("https://www.773grp.com/globalSearch/74AHC02PW112/page-1", "74AHC02PW112")</f>
        <v>74AHC02PW112</v>
      </c>
      <c r="B15719" s="3" t="str">
        <f>HYPERLINK("https://www.773grp.com/manufacturer/nxp-semiconductor?pageNo=39", "NXP Semiconductors")</f>
        <v>NXP Semiconductors</v>
      </c>
      <c r="C15719" s="6">
        <v>21600</v>
      </c>
      <c r="D15719" s="7">
        <v>0.38</v>
      </c>
    </row>
    <row r="15720" spans="1:4" x14ac:dyDescent="0.25">
      <c r="A15720" t="str">
        <f>HYPERLINK("https://www.773grp.com/globalSearch/74AHC02PW118/page-1", "74AHC02PW118")</f>
        <v>74AHC02PW118</v>
      </c>
      <c r="B15720" s="3" t="str">
        <f>HYPERLINK("https://www.773grp.com/manufacturer/nxp-semiconductor?pageNo=40", "NXP Semiconductors")</f>
        <v>NXP Semiconductors</v>
      </c>
      <c r="C15720" s="6">
        <v>334950</v>
      </c>
      <c r="D15720" s="7">
        <v>0.38</v>
      </c>
    </row>
    <row r="15721" spans="1:4" x14ac:dyDescent="0.25">
      <c r="A15721" t="str">
        <f>HYPERLINK("https://www.773grp.com/globalSearch/74AHC08PW118/page-1", "74AHC08PW118")</f>
        <v>74AHC08PW118</v>
      </c>
      <c r="B15721" s="3" t="str">
        <f>HYPERLINK("https://www.773grp.com/manufacturer/nxp-semiconductor?pageNo=41", "NXP Semiconductors")</f>
        <v>NXP Semiconductors</v>
      </c>
      <c r="C15721" s="6">
        <v>365000</v>
      </c>
      <c r="D15721" s="7">
        <v>0.38</v>
      </c>
    </row>
    <row r="15722" spans="1:4" x14ac:dyDescent="0.25">
      <c r="A15722" t="str">
        <f>HYPERLINK("https://www.773grp.com/globalSearch/74AHC123AD112/page-1", "74AHC123AD112")</f>
        <v>74AHC123AD112</v>
      </c>
      <c r="B15722" s="3" t="str">
        <f>HYPERLINK("https://www.773grp.com/manufacturer/nxp-semiconductor?pageNo=42", "NXP Semiconductors")</f>
        <v>NXP Semiconductors</v>
      </c>
      <c r="C15722" s="6">
        <v>1000</v>
      </c>
      <c r="D15722" s="7">
        <v>0.38</v>
      </c>
    </row>
    <row r="15723" spans="1:4" x14ac:dyDescent="0.25">
      <c r="A15723" t="str">
        <f>HYPERLINK("https://www.773grp.com/globalSearch/74AHC125D112/page-1", "74AHC125D112")</f>
        <v>74AHC125D112</v>
      </c>
      <c r="B15723" s="3" t="str">
        <f>HYPERLINK("https://www.773grp.com/manufacturer/nxp-semiconductor?pageNo=43", "NXP Semiconductors")</f>
        <v>NXP Semiconductors</v>
      </c>
      <c r="C15723" s="6">
        <v>2280</v>
      </c>
      <c r="D15723" s="7">
        <v>0.38</v>
      </c>
    </row>
    <row r="15724" spans="1:4" x14ac:dyDescent="0.25">
      <c r="A15724" t="str">
        <f>HYPERLINK("https://www.773grp.com/globalSearch/74AHC125D118/page-1", "74AHC125D118")</f>
        <v>74AHC125D118</v>
      </c>
      <c r="B15724" s="3" t="str">
        <f>HYPERLINK("https://www.773grp.com/manufacturer/nxp-semiconductor?pageNo=44", "NXP Semiconductors")</f>
        <v>NXP Semiconductors</v>
      </c>
      <c r="C15724" s="6">
        <v>7500</v>
      </c>
      <c r="D15724" s="7">
        <v>0.38</v>
      </c>
    </row>
    <row r="15725" spans="1:4" x14ac:dyDescent="0.25">
      <c r="A15725" t="str">
        <f>HYPERLINK("https://www.773grp.com/globalSearch/74AHC125PW118/page-1", "74AHC125PW118")</f>
        <v>74AHC125PW118</v>
      </c>
      <c r="B15725" s="3" t="str">
        <f>HYPERLINK("https://www.773grp.com/manufacturer/nxp-semiconductor?pageNo=45", "NXP Semiconductors")</f>
        <v>NXP Semiconductors</v>
      </c>
      <c r="C15725" s="6">
        <v>47500</v>
      </c>
      <c r="D15725" s="7">
        <v>0.38</v>
      </c>
    </row>
    <row r="15726" spans="1:4" x14ac:dyDescent="0.25">
      <c r="A15726" t="str">
        <f>HYPERLINK("https://www.773grp.com/globalSearch/74AHC126PW118/page-1", "74AHC126PW118")</f>
        <v>74AHC126PW118</v>
      </c>
      <c r="B15726" s="3" t="str">
        <f>HYPERLINK("https://www.773grp.com/manufacturer/nxp-semiconductor?pageNo=46", "NXP Semiconductors")</f>
        <v>NXP Semiconductors</v>
      </c>
      <c r="C15726" s="6">
        <v>22658</v>
      </c>
      <c r="D15726" s="7">
        <v>0.38</v>
      </c>
    </row>
    <row r="15727" spans="1:4" x14ac:dyDescent="0.25">
      <c r="A15727" t="str">
        <f>HYPERLINK("https://www.773grp.com/globalSearch/74AHC132D118/page-1", "74AHC132D118")</f>
        <v>74AHC132D118</v>
      </c>
      <c r="B15727" s="3" t="str">
        <f>HYPERLINK("https://www.773grp.com/manufacturer/nxp-semiconductor?pageNo=47", "NXP Semiconductors")</f>
        <v>NXP Semiconductors</v>
      </c>
      <c r="C15727" s="6">
        <v>2500</v>
      </c>
      <c r="D15727" s="7">
        <v>0.38</v>
      </c>
    </row>
    <row r="15728" spans="1:4" x14ac:dyDescent="0.25">
      <c r="A15728" t="str">
        <f>HYPERLINK("https://www.773grp.com/globalSearch/74AHC132PW118/page-1", "74AHC132PW118")</f>
        <v>74AHC132PW118</v>
      </c>
      <c r="B15728" s="3" t="str">
        <f>HYPERLINK("https://www.773grp.com/manufacturer/nxp-semiconductor?pageNo=48", "NXP Semiconductors")</f>
        <v>NXP Semiconductors</v>
      </c>
      <c r="C15728" s="6">
        <v>7500</v>
      </c>
      <c r="D15728" s="7">
        <v>0.38</v>
      </c>
    </row>
    <row r="15729" spans="1:4" x14ac:dyDescent="0.25">
      <c r="A15729" t="str">
        <f>HYPERLINK("https://www.773grp.com/globalSearch/74AHC138D118/page-1", "74AHC138D118")</f>
        <v>74AHC138D118</v>
      </c>
      <c r="B15729" s="3" t="str">
        <f>HYPERLINK("https://www.773grp.com/manufacturer/nxp-semiconductor?pageNo=1", "NXP Semiconductors")</f>
        <v>NXP Semiconductors</v>
      </c>
      <c r="C15729" s="6">
        <v>2500</v>
      </c>
      <c r="D15729" s="7">
        <v>0.38</v>
      </c>
    </row>
    <row r="15730" spans="1:4" x14ac:dyDescent="0.25">
      <c r="A15730" t="str">
        <f>HYPERLINK("https://www.773grp.com/globalSearch/74AHC138PW118/page-1", "74AHC138PW118")</f>
        <v>74AHC138PW118</v>
      </c>
      <c r="B15730" s="3" t="str">
        <f>HYPERLINK("https://www.773grp.com/manufacturer/nxp-semiconductor?pageNo=2", "NXP Semiconductors")</f>
        <v>NXP Semiconductors</v>
      </c>
      <c r="C15730" s="6">
        <v>17500</v>
      </c>
      <c r="D15730" s="7">
        <v>0.38</v>
      </c>
    </row>
    <row r="15731" spans="1:4" x14ac:dyDescent="0.25">
      <c r="A15731" t="str">
        <f>HYPERLINK("https://www.773grp.com/globalSearch/74AHC139D112/page-1", "74AHC139D112")</f>
        <v>74AHC139D112</v>
      </c>
      <c r="B15731" s="3" t="str">
        <f>HYPERLINK("https://www.773grp.com/manufacturer/nxp-semiconductor?pageNo=3", "NXP Semiconductors")</f>
        <v>NXP Semiconductors</v>
      </c>
      <c r="C15731" s="6">
        <v>2000</v>
      </c>
      <c r="D15731" s="7">
        <v>0.38</v>
      </c>
    </row>
    <row r="15732" spans="1:4" x14ac:dyDescent="0.25">
      <c r="A15732" t="str">
        <f>HYPERLINK("https://www.773grp.com/globalSearch/74AHC139D118/page-1", "74AHC139D118")</f>
        <v>74AHC139D118</v>
      </c>
      <c r="B15732" s="3" t="str">
        <f>HYPERLINK("https://www.773grp.com/manufacturer/nxp-semiconductor?pageNo=4", "NXP Semiconductors")</f>
        <v>NXP Semiconductors</v>
      </c>
      <c r="C15732" s="6">
        <v>7700</v>
      </c>
      <c r="D15732" s="7">
        <v>0.38</v>
      </c>
    </row>
    <row r="15733" spans="1:4" x14ac:dyDescent="0.25">
      <c r="A15733" t="str">
        <f>HYPERLINK("https://www.773grp.com/globalSearch/74AHC14D112/page-1", "74AHC14D112")</f>
        <v>74AHC14D112</v>
      </c>
      <c r="B15733" s="3" t="str">
        <f>HYPERLINK("https://www.773grp.com/manufacturer/nxp-semiconductor?pageNo=5", "NXP Semiconductors")</f>
        <v>NXP Semiconductors</v>
      </c>
      <c r="C15733" s="6">
        <v>23740</v>
      </c>
      <c r="D15733" s="7">
        <v>0.38</v>
      </c>
    </row>
    <row r="15734" spans="1:4" x14ac:dyDescent="0.25">
      <c r="A15734" t="str">
        <f>HYPERLINK("https://www.773grp.com/globalSearch/74AHC32PW112/page-1", "74AHC32PW112")</f>
        <v>74AHC32PW112</v>
      </c>
      <c r="B15734" s="3" t="str">
        <f>HYPERLINK("https://www.773grp.com/manufacturer/nxp-semiconductor?pageNo=6", "NXP Semiconductors")</f>
        <v>NXP Semiconductors</v>
      </c>
      <c r="C15734" s="6">
        <v>11384</v>
      </c>
      <c r="D15734" s="7">
        <v>0.38</v>
      </c>
    </row>
    <row r="15735" spans="1:4" x14ac:dyDescent="0.25">
      <c r="A15735" t="str">
        <f>HYPERLINK("https://www.773grp.com/globalSearch/74AHC74D112/page-1", "74AHC74D112")</f>
        <v>74AHC74D112</v>
      </c>
      <c r="B15735" s="3" t="str">
        <f>HYPERLINK("https://www.773grp.com/manufacturer/nxp-semiconductor?pageNo=7", "NXP Semiconductors")</f>
        <v>NXP Semiconductors</v>
      </c>
      <c r="C15735" s="6">
        <v>16900</v>
      </c>
      <c r="D15735" s="7">
        <v>0.38</v>
      </c>
    </row>
    <row r="15736" spans="1:4" x14ac:dyDescent="0.25">
      <c r="A15736" t="str">
        <f>HYPERLINK("https://www.773grp.com/globalSearch/74AHC74PW112/page-1", "74AHC74PW112")</f>
        <v>74AHC74PW112</v>
      </c>
      <c r="B15736" s="3" t="str">
        <f>HYPERLINK("https://www.773grp.com/manufacturer/nxp-semiconductor?pageNo=8", "NXP Semiconductors")</f>
        <v>NXP Semiconductors</v>
      </c>
      <c r="C15736" s="6">
        <v>6500</v>
      </c>
      <c r="D15736" s="7">
        <v>0.38</v>
      </c>
    </row>
    <row r="15737" spans="1:4" x14ac:dyDescent="0.25">
      <c r="A15737" t="str">
        <f>HYPERLINK("https://www.773grp.com/globalSearch/74AHC86D118/page-1", "74AHC86D118")</f>
        <v>74AHC86D118</v>
      </c>
      <c r="B15737" s="3" t="str">
        <f>HYPERLINK("https://www.773grp.com/manufacturer/nxp-semiconductor?pageNo=9", "NXP Semiconductors")</f>
        <v>NXP Semiconductors</v>
      </c>
      <c r="C15737" s="6">
        <v>12500</v>
      </c>
      <c r="D15737" s="7">
        <v>0.38</v>
      </c>
    </row>
    <row r="15738" spans="1:4" x14ac:dyDescent="0.25">
      <c r="A15738" t="str">
        <f>HYPERLINK("https://www.773grp.com/globalSearch/74AHC86PW118/page-1", "74AHC86PW118")</f>
        <v>74AHC86PW118</v>
      </c>
      <c r="B15738" s="3" t="str">
        <f>HYPERLINK("https://www.773grp.com/manufacturer/nxp-semiconductor?pageNo=10", "NXP Semiconductors")</f>
        <v>NXP Semiconductors</v>
      </c>
      <c r="C15738" s="6">
        <v>10278</v>
      </c>
      <c r="D15738" s="7">
        <v>0.38</v>
      </c>
    </row>
    <row r="15739" spans="1:4" x14ac:dyDescent="0.25">
      <c r="A15739" t="str">
        <f>HYPERLINK("https://www.773grp.com/globalSearch/74AHCT00D112/page-1", "74AHCT00D112")</f>
        <v>74AHCT00D112</v>
      </c>
      <c r="B15739" s="3" t="str">
        <f>HYPERLINK("https://www.773grp.com/manufacturer/nxp-semiconductor?pageNo=11", "NXP Semiconductors")</f>
        <v>NXP Semiconductors</v>
      </c>
      <c r="C15739" s="6">
        <v>30780</v>
      </c>
      <c r="D15739" s="7">
        <v>0.38</v>
      </c>
    </row>
    <row r="15740" spans="1:4" x14ac:dyDescent="0.25">
      <c r="A15740" t="str">
        <f>HYPERLINK("https://www.773grp.com/globalSearch/74AHCT00D118/page-1", "74AHCT00D118")</f>
        <v>74AHCT00D118</v>
      </c>
      <c r="B15740" s="3" t="str">
        <f>HYPERLINK("https://www.773grp.com/manufacturer/nxp-semiconductor?pageNo=12", "NXP Semiconductors")</f>
        <v>NXP Semiconductors</v>
      </c>
      <c r="C15740" s="6">
        <v>2500</v>
      </c>
      <c r="D15740" s="7">
        <v>0.38</v>
      </c>
    </row>
    <row r="15741" spans="1:4" x14ac:dyDescent="0.25">
      <c r="A15741" t="str">
        <f>HYPERLINK("https://www.773grp.com/globalSearch/74AHCT00PW118/page-1", "74AHCT00PW118")</f>
        <v>74AHCT00PW118</v>
      </c>
      <c r="B15741" s="3" t="str">
        <f>HYPERLINK("https://www.773grp.com/manufacturer/nxp-semiconductor?pageNo=13", "NXP Semiconductors")</f>
        <v>NXP Semiconductors</v>
      </c>
      <c r="C15741" s="6">
        <v>7236</v>
      </c>
      <c r="D15741" s="7">
        <v>0.38</v>
      </c>
    </row>
    <row r="15742" spans="1:4" x14ac:dyDescent="0.25">
      <c r="A15742" t="str">
        <f>HYPERLINK("https://www.773grp.com/globalSearch/74AHCT02D118/page-1", "74AHCT02D118")</f>
        <v>74AHCT02D118</v>
      </c>
      <c r="B15742" s="3" t="str">
        <f>HYPERLINK("https://www.773grp.com/manufacturer/nxp-semiconductor?pageNo=14", "NXP Semiconductors")</f>
        <v>NXP Semiconductors</v>
      </c>
      <c r="C15742" s="6">
        <v>15400</v>
      </c>
      <c r="D15742" s="7">
        <v>0.38</v>
      </c>
    </row>
    <row r="15743" spans="1:4" x14ac:dyDescent="0.25">
      <c r="A15743" t="str">
        <f>HYPERLINK("https://www.773grp.com/globalSearch/74AHCT02PW118/page-1", "74AHCT02PW118")</f>
        <v>74AHCT02PW118</v>
      </c>
      <c r="B15743" s="3" t="str">
        <f>HYPERLINK("https://www.773grp.com/manufacturer/nxp-semiconductor?pageNo=15", "NXP Semiconductors")</f>
        <v>NXP Semiconductors</v>
      </c>
      <c r="C15743" s="6">
        <v>17500</v>
      </c>
      <c r="D15743" s="7">
        <v>0.38</v>
      </c>
    </row>
    <row r="15744" spans="1:4" x14ac:dyDescent="0.25">
      <c r="A15744" t="str">
        <f>HYPERLINK("https://www.773grp.com/globalSearch/74AHCT08D118/page-1", "74AHCT08D118")</f>
        <v>74AHCT08D118</v>
      </c>
      <c r="B15744" s="3" t="str">
        <f>HYPERLINK("https://www.773grp.com/manufacturer/nxp-semiconductor?pageNo=16", "NXP Semiconductors")</f>
        <v>NXP Semiconductors</v>
      </c>
      <c r="C15744" s="6">
        <v>20000</v>
      </c>
      <c r="D15744" s="7">
        <v>0.38</v>
      </c>
    </row>
    <row r="15745" spans="1:4" x14ac:dyDescent="0.25">
      <c r="A15745" t="str">
        <f>HYPERLINK("https://www.773grp.com/globalSearch/74AHCT08PW112/page-1", "74AHCT08PW112")</f>
        <v>74AHCT08PW112</v>
      </c>
      <c r="B15745" s="3" t="str">
        <f>HYPERLINK("https://www.773grp.com/manufacturer/nxp-semiconductor?pageNo=17", "NXP Semiconductors")</f>
        <v>NXP Semiconductors</v>
      </c>
      <c r="C15745" s="6">
        <v>2400</v>
      </c>
      <c r="D15745" s="7">
        <v>0.38</v>
      </c>
    </row>
    <row r="15746" spans="1:4" x14ac:dyDescent="0.25">
      <c r="A15746" t="str">
        <f>HYPERLINK("https://www.773grp.com/globalSearch/74AHCT08PW118/page-1", "74AHCT08PW118")</f>
        <v>74AHCT08PW118</v>
      </c>
      <c r="B15746" s="3" t="str">
        <f>HYPERLINK("https://www.773grp.com/manufacturer/nxp-semiconductor?pageNo=18", "NXP Semiconductors")</f>
        <v>NXP Semiconductors</v>
      </c>
      <c r="C15746" s="6">
        <v>62500</v>
      </c>
      <c r="D15746" s="7">
        <v>0.38</v>
      </c>
    </row>
    <row r="15747" spans="1:4" x14ac:dyDescent="0.25">
      <c r="A15747" t="str">
        <f>HYPERLINK("https://www.773grp.com/globalSearch/74AHCT123AD112/page-1", "74AHCT123AD112")</f>
        <v>74AHCT123AD112</v>
      </c>
      <c r="B15747" s="3" t="str">
        <f>HYPERLINK("https://www.773grp.com/manufacturer/nxp-semiconductor?pageNo=19", "NXP Semiconductors")</f>
        <v>NXP Semiconductors</v>
      </c>
      <c r="C15747" s="6">
        <v>14200</v>
      </c>
      <c r="D15747" s="7">
        <v>0.38</v>
      </c>
    </row>
    <row r="15748" spans="1:4" x14ac:dyDescent="0.25">
      <c r="A15748" t="str">
        <f>HYPERLINK("https://www.773grp.com/globalSearch/74AHCT123AD118/page-1", "74AHCT123AD118")</f>
        <v>74AHCT123AD118</v>
      </c>
      <c r="B15748" s="3" t="str">
        <f>HYPERLINK("https://www.773grp.com/manufacturer/nxp-semiconductor?pageNo=20", "NXP Semiconductors")</f>
        <v>NXP Semiconductors</v>
      </c>
      <c r="C15748" s="6">
        <v>9200</v>
      </c>
      <c r="D15748" s="7">
        <v>0.38</v>
      </c>
    </row>
    <row r="15749" spans="1:4" x14ac:dyDescent="0.25">
      <c r="A15749" t="str">
        <f>HYPERLINK("https://www.773grp.com/globalSearch/74AHCT123APW118/page-1", "74AHCT123APW118")</f>
        <v>74AHCT123APW118</v>
      </c>
      <c r="B15749" s="3" t="str">
        <f>HYPERLINK("https://www.773grp.com/manufacturer/nxp-semiconductor?pageNo=21", "NXP Semiconductors")</f>
        <v>NXP Semiconductors</v>
      </c>
      <c r="C15749" s="6">
        <v>30000</v>
      </c>
      <c r="D15749" s="7">
        <v>0.38</v>
      </c>
    </row>
    <row r="15750" spans="1:4" x14ac:dyDescent="0.25">
      <c r="A15750" t="str">
        <f>HYPERLINK("https://www.773grp.com/globalSearch/74AHCT125D112/page-1", "74AHCT125D112")</f>
        <v>74AHCT125D112</v>
      </c>
      <c r="B15750" s="3" t="str">
        <f>HYPERLINK("https://www.773grp.com/manufacturer/nxp-semiconductor?pageNo=22", "NXP Semiconductors")</f>
        <v>NXP Semiconductors</v>
      </c>
      <c r="C15750" s="6">
        <v>18582</v>
      </c>
      <c r="D15750" s="7">
        <v>0.38</v>
      </c>
    </row>
    <row r="15751" spans="1:4" x14ac:dyDescent="0.25">
      <c r="A15751" t="str">
        <f>HYPERLINK("https://www.773grp.com/globalSearch/74AHCT125D118/page-1", "74AHCT125D118")</f>
        <v>74AHCT125D118</v>
      </c>
      <c r="B15751" s="3" t="str">
        <f>HYPERLINK("https://www.773grp.com/manufacturer/nxp-semiconductor?pageNo=23", "NXP Semiconductors")</f>
        <v>NXP Semiconductors</v>
      </c>
      <c r="C15751" s="6">
        <v>2500</v>
      </c>
      <c r="D15751" s="7">
        <v>0.38</v>
      </c>
    </row>
    <row r="15752" spans="1:4" x14ac:dyDescent="0.25">
      <c r="A15752" t="str">
        <f>HYPERLINK("https://www.773grp.com/globalSearch/74AHCT126D112/page-1", "74AHCT126D112")</f>
        <v>74AHCT126D112</v>
      </c>
      <c r="B15752" s="3" t="str">
        <f>HYPERLINK("https://www.773grp.com/manufacturer/nxp-semiconductor?pageNo=24", "NXP Semiconductors")</f>
        <v>NXP Semiconductors</v>
      </c>
      <c r="C15752" s="6">
        <v>9120</v>
      </c>
      <c r="D15752" s="7">
        <v>0.38</v>
      </c>
    </row>
    <row r="15753" spans="1:4" x14ac:dyDescent="0.25">
      <c r="A15753" t="str">
        <f>HYPERLINK("https://www.773grp.com/globalSearch/74AHCT132D112/page-1", "74AHCT132D112")</f>
        <v>74AHCT132D112</v>
      </c>
      <c r="B15753" s="3" t="str">
        <f>HYPERLINK("https://www.773grp.com/manufacturer/nxp-semiconductor?pageNo=25", "NXP Semiconductors")</f>
        <v>NXP Semiconductors</v>
      </c>
      <c r="C15753" s="6">
        <v>224</v>
      </c>
      <c r="D15753" s="7">
        <v>0.38</v>
      </c>
    </row>
    <row r="15754" spans="1:4" x14ac:dyDescent="0.25">
      <c r="A15754" t="str">
        <f>HYPERLINK("https://www.773grp.com/globalSearch/74AHCT132D118/page-1", "74AHCT132D118")</f>
        <v>74AHCT132D118</v>
      </c>
      <c r="B15754" s="3" t="str">
        <f>HYPERLINK("https://www.773grp.com/manufacturer/nxp-semiconductor?pageNo=26", "NXP Semiconductors")</f>
        <v>NXP Semiconductors</v>
      </c>
      <c r="C15754" s="6">
        <v>10000</v>
      </c>
      <c r="D15754" s="7">
        <v>0.38</v>
      </c>
    </row>
    <row r="15755" spans="1:4" x14ac:dyDescent="0.25">
      <c r="A15755" t="str">
        <f>HYPERLINK("https://www.773grp.com/globalSearch/74AHCT139D118/page-1", "74AHCT139D118")</f>
        <v>74AHCT139D118</v>
      </c>
      <c r="B15755" s="3" t="str">
        <f>HYPERLINK("https://www.773grp.com/manufacturer/nxp-semiconductor?pageNo=27", "NXP Semiconductors")</f>
        <v>NXP Semiconductors</v>
      </c>
      <c r="C15755" s="6">
        <v>3786</v>
      </c>
      <c r="D15755" s="7">
        <v>0.38</v>
      </c>
    </row>
    <row r="15756" spans="1:4" x14ac:dyDescent="0.25">
      <c r="A15756" t="str">
        <f>HYPERLINK("https://www.773grp.com/globalSearch/74AHCT32D112/page-1", "74AHCT32D112")</f>
        <v>74AHCT32D112</v>
      </c>
      <c r="B15756" s="3" t="str">
        <f>HYPERLINK("https://www.773grp.com/manufacturer/nxp-semiconductor?pageNo=28", "NXP Semiconductors")</f>
        <v>NXP Semiconductors</v>
      </c>
      <c r="C15756" s="6">
        <v>4598</v>
      </c>
      <c r="D15756" s="7">
        <v>0.38</v>
      </c>
    </row>
    <row r="15757" spans="1:4" x14ac:dyDescent="0.25">
      <c r="A15757" t="str">
        <f>HYPERLINK("https://www.773grp.com/globalSearch/74AHCT32D118/page-1", "74AHCT32D118")</f>
        <v>74AHCT32D118</v>
      </c>
      <c r="B15757" s="3" t="str">
        <f>HYPERLINK("https://www.773grp.com/manufacturer/nxp-semiconductor?pageNo=29", "NXP Semiconductors")</f>
        <v>NXP Semiconductors</v>
      </c>
      <c r="C15757" s="6">
        <v>15000</v>
      </c>
      <c r="D15757" s="7">
        <v>0.38</v>
      </c>
    </row>
    <row r="15758" spans="1:4" x14ac:dyDescent="0.25">
      <c r="A15758" t="str">
        <f>HYPERLINK("https://www.773grp.com/globalSearch/74AHCT86D112/page-1", "74AHCT86D112")</f>
        <v>74AHCT86D112</v>
      </c>
      <c r="B15758" s="3" t="str">
        <f>HYPERLINK("https://www.773grp.com/manufacturer/nxp-semiconductor?pageNo=30", "NXP Semiconductors")</f>
        <v>NXP Semiconductors</v>
      </c>
      <c r="C15758" s="6">
        <v>4560</v>
      </c>
      <c r="D15758" s="7">
        <v>0.38</v>
      </c>
    </row>
    <row r="15759" spans="1:4" x14ac:dyDescent="0.25">
      <c r="A15759" t="str">
        <f>HYPERLINK("https://www.773grp.com/globalSearch/74AHCU04D112/page-1", "74AHCU04D112")</f>
        <v>74AHCU04D112</v>
      </c>
      <c r="B15759" s="3" t="str">
        <f>HYPERLINK("https://www.773grp.com/manufacturer/nxp-semiconductor?pageNo=31", "NXP Semiconductors")</f>
        <v>NXP Semiconductors</v>
      </c>
      <c r="C15759" s="6">
        <v>7980</v>
      </c>
      <c r="D15759" s="7">
        <v>0.38</v>
      </c>
    </row>
    <row r="15760" spans="1:4" x14ac:dyDescent="0.25">
      <c r="A15760" t="str">
        <f>HYPERLINK("https://www.773grp.com/globalSearch/74AHCU04D118/page-1", "74AHCU04D118")</f>
        <v>74AHCU04D118</v>
      </c>
      <c r="B15760" s="3" t="str">
        <f>HYPERLINK("https://www.773grp.com/manufacturer/nxp-semiconductor?pageNo=32", "NXP Semiconductors")</f>
        <v>NXP Semiconductors</v>
      </c>
      <c r="C15760" s="6">
        <v>3769</v>
      </c>
      <c r="D15760" s="7">
        <v>0.38</v>
      </c>
    </row>
    <row r="15761" spans="1:4" x14ac:dyDescent="0.25">
      <c r="A15761" t="str">
        <f>HYPERLINK("https://www.773grp.com/globalSearch/74AHCU04PW118/page-1", "74AHCU04PW118")</f>
        <v>74AHCU04PW118</v>
      </c>
      <c r="B15761" s="3" t="str">
        <f>HYPERLINK("https://www.773grp.com/manufacturer/nxp-semiconductor?pageNo=33", "NXP Semiconductors")</f>
        <v>NXP Semiconductors</v>
      </c>
      <c r="C15761" s="6">
        <v>10000</v>
      </c>
      <c r="D15761" s="7">
        <v>0.38</v>
      </c>
    </row>
    <row r="15762" spans="1:4" x14ac:dyDescent="0.25">
      <c r="A15762" t="str">
        <f>HYPERLINK("https://www.773grp.com/globalSearch/74AUP1G08GW125/page-1", "74AUP1G08GW125")</f>
        <v>74AUP1G08GW125</v>
      </c>
      <c r="B15762" s="3" t="str">
        <f>HYPERLINK("https://www.773grp.com/manufacturer/nxp-semiconductor?pageNo=34", "NXP Semiconductors")</f>
        <v>NXP Semiconductors</v>
      </c>
      <c r="C15762" s="6">
        <v>6075</v>
      </c>
      <c r="D15762" s="7">
        <v>0.38</v>
      </c>
    </row>
    <row r="15763" spans="1:4" x14ac:dyDescent="0.25">
      <c r="A15763" t="str">
        <f>HYPERLINK("https://www.773grp.com/globalSearch/74AUP1G125GW125/page-1", "74AUP1G125GW125")</f>
        <v>74AUP1G125GW125</v>
      </c>
      <c r="B15763" s="3" t="str">
        <f>HYPERLINK("https://www.773grp.com/manufacturer/nxp-semiconductor?pageNo=35", "NXP Semiconductors")</f>
        <v>NXP Semiconductors</v>
      </c>
      <c r="C15763" s="6">
        <v>516000</v>
      </c>
      <c r="D15763" s="7">
        <v>0.38</v>
      </c>
    </row>
    <row r="15764" spans="1:4" x14ac:dyDescent="0.25">
      <c r="A15764" t="str">
        <f>HYPERLINK("https://www.773grp.com/globalSearch/74AUP1G32GW125/page-1", "74AUP1G32GW125")</f>
        <v>74AUP1G32GW125</v>
      </c>
      <c r="B15764" s="3" t="str">
        <f>HYPERLINK("https://www.773grp.com/manufacturer/nxp-semiconductor?pageNo=36", "NXP Semiconductors")</f>
        <v>NXP Semiconductors</v>
      </c>
      <c r="C15764" s="6">
        <v>11475</v>
      </c>
      <c r="D15764" s="7">
        <v>0.38</v>
      </c>
    </row>
    <row r="15765" spans="1:4" x14ac:dyDescent="0.25">
      <c r="A15765" t="str">
        <f>HYPERLINK("https://www.773grp.com/globalSearch/74HC00BQ115/page-1", "74HC00BQ115")</f>
        <v>74HC00BQ115</v>
      </c>
      <c r="B15765" s="3" t="str">
        <f>HYPERLINK("https://www.773grp.com/manufacturer/nxp-semiconductor?pageNo=37", "NXP Semiconductors")</f>
        <v>NXP Semiconductors</v>
      </c>
      <c r="C15765" s="6">
        <v>980</v>
      </c>
      <c r="D15765" s="7">
        <v>0.38</v>
      </c>
    </row>
    <row r="15766" spans="1:4" x14ac:dyDescent="0.25">
      <c r="A15766" t="str">
        <f>HYPERLINK("https://www.773grp.com/globalSearch/74HC02D652/page-1", "74HC02D652")</f>
        <v>74HC02D652</v>
      </c>
      <c r="B15766" s="3" t="str">
        <f>HYPERLINK("https://www.773grp.com/manufacturer/nxp-semiconductor?pageNo=38", "NXP Semiconductors")</f>
        <v>NXP Semiconductors</v>
      </c>
      <c r="C15766" s="6">
        <v>46740</v>
      </c>
      <c r="D15766" s="7">
        <v>0.38</v>
      </c>
    </row>
    <row r="15767" spans="1:4" x14ac:dyDescent="0.25">
      <c r="A15767" t="str">
        <f>HYPERLINK("https://www.773grp.com/globalSearch/74HC04BQ115/page-1", "74HC04BQ115")</f>
        <v>74HC04BQ115</v>
      </c>
      <c r="B15767" s="3" t="str">
        <f>HYPERLINK("https://www.773grp.com/manufacturer/nxp-semiconductor?pageNo=39", "NXP Semiconductors")</f>
        <v>NXP Semiconductors</v>
      </c>
      <c r="C15767" s="6">
        <v>3830</v>
      </c>
      <c r="D15767" s="7">
        <v>0.38</v>
      </c>
    </row>
    <row r="15768" spans="1:4" x14ac:dyDescent="0.25">
      <c r="A15768" t="str">
        <f>HYPERLINK("https://www.773grp.com/globalSearch/74HC04D652/page-1", "74HC04D652")</f>
        <v>74HC04D652</v>
      </c>
      <c r="B15768" s="3" t="str">
        <f>HYPERLINK("https://www.773grp.com/manufacturer/nxp-semiconductor?pageNo=40", "NXP Semiconductors")</f>
        <v>NXP Semiconductors</v>
      </c>
      <c r="C15768" s="6">
        <v>8560</v>
      </c>
      <c r="D15768" s="7">
        <v>0.38</v>
      </c>
    </row>
    <row r="15769" spans="1:4" x14ac:dyDescent="0.25">
      <c r="A15769" t="str">
        <f>HYPERLINK("https://www.773grp.com/globalSearch/74HC08BQ115/page-1", "74HC08BQ115")</f>
        <v>74HC08BQ115</v>
      </c>
      <c r="B15769" s="3" t="str">
        <f>HYPERLINK("https://www.773grp.com/manufacturer/nxp-semiconductor?pageNo=41", "NXP Semiconductors")</f>
        <v>NXP Semiconductors</v>
      </c>
      <c r="C15769" s="6">
        <v>9140</v>
      </c>
      <c r="D15769" s="7">
        <v>0.38</v>
      </c>
    </row>
    <row r="15770" spans="1:4" x14ac:dyDescent="0.25">
      <c r="A15770" t="str">
        <f>HYPERLINK("https://www.773grp.com/globalSearch/74HC08D652/page-1", "74HC08D652")</f>
        <v>74HC08D652</v>
      </c>
      <c r="B15770" s="3" t="str">
        <f>HYPERLINK("https://www.773grp.com/manufacturer/nxp-semiconductor?pageNo=42", "NXP Semiconductors")</f>
        <v>NXP Semiconductors</v>
      </c>
      <c r="C15770" s="6">
        <v>1140</v>
      </c>
      <c r="D15770" s="7">
        <v>0.38</v>
      </c>
    </row>
    <row r="15771" spans="1:4" x14ac:dyDescent="0.25">
      <c r="A15771" t="str">
        <f>HYPERLINK("https://www.773grp.com/globalSearch/74HC08PW112/page-1", "74HC08PW112")</f>
        <v>74HC08PW112</v>
      </c>
      <c r="B15771" s="3" t="str">
        <f>HYPERLINK("https://www.773grp.com/manufacturer/nxp-semiconductor?pageNo=43", "NXP Semiconductors")</f>
        <v>NXP Semiconductors</v>
      </c>
      <c r="C15771" s="6">
        <v>4800</v>
      </c>
      <c r="D15771" s="7">
        <v>0.38</v>
      </c>
    </row>
    <row r="15772" spans="1:4" x14ac:dyDescent="0.25">
      <c r="A15772" t="str">
        <f>HYPERLINK("https://www.773grp.com/globalSearch/74HC10D652/page-1", "74HC10D652")</f>
        <v>74HC10D652</v>
      </c>
      <c r="B15772" s="3" t="str">
        <f>HYPERLINK("https://www.773grp.com/manufacturer/nxp-semiconductor?pageNo=44", "NXP Semiconductors")</f>
        <v>NXP Semiconductors</v>
      </c>
      <c r="C15772" s="6">
        <v>7980</v>
      </c>
      <c r="D15772" s="7">
        <v>0.38</v>
      </c>
    </row>
    <row r="15773" spans="1:4" x14ac:dyDescent="0.25">
      <c r="A15773" t="str">
        <f>HYPERLINK("https://www.773grp.com/globalSearch/74HC125D652/page-1", "74HC125D652")</f>
        <v>74HC125D652</v>
      </c>
      <c r="B15773" s="3" t="str">
        <f>HYPERLINK("https://www.773grp.com/manufacturer/nxp-semiconductor?pageNo=45", "NXP Semiconductors")</f>
        <v>NXP Semiconductors</v>
      </c>
      <c r="C15773" s="6">
        <v>3120</v>
      </c>
      <c r="D15773" s="7">
        <v>0.38</v>
      </c>
    </row>
    <row r="15774" spans="1:4" x14ac:dyDescent="0.25">
      <c r="A15774" t="str">
        <f>HYPERLINK("https://www.773grp.com/globalSearch/74HC125D653/page-1", "74HC125D653")</f>
        <v>74HC125D653</v>
      </c>
      <c r="B15774" s="3" t="str">
        <f>HYPERLINK("https://www.773grp.com/manufacturer/nxp-semiconductor?pageNo=46", "NXP Semiconductors")</f>
        <v>NXP Semiconductors</v>
      </c>
      <c r="C15774" s="6">
        <v>17500</v>
      </c>
      <c r="D15774" s="7">
        <v>0.38</v>
      </c>
    </row>
    <row r="15775" spans="1:4" x14ac:dyDescent="0.25">
      <c r="A15775" t="str">
        <f>HYPERLINK("https://www.773grp.com/globalSearch/74HC132D652/page-1", "74HC132D652")</f>
        <v>74HC132D652</v>
      </c>
      <c r="B15775" s="3" t="str">
        <f>HYPERLINK("https://www.773grp.com/manufacturer/nxp-semiconductor?pageNo=47", "NXP Semiconductors")</f>
        <v>NXP Semiconductors</v>
      </c>
      <c r="C15775" s="6">
        <v>22380</v>
      </c>
      <c r="D15775" s="7">
        <v>0.38</v>
      </c>
    </row>
    <row r="15776" spans="1:4" x14ac:dyDescent="0.25">
      <c r="A15776" t="str">
        <f>HYPERLINK("https://www.773grp.com/globalSearch/74HC132D653/page-1", "74HC132D653")</f>
        <v>74HC132D653</v>
      </c>
      <c r="B15776" s="3" t="str">
        <f>HYPERLINK("https://www.773grp.com/manufacturer/nxp-semiconductor?pageNo=48", "NXP Semiconductors")</f>
        <v>NXP Semiconductors</v>
      </c>
      <c r="C15776" s="6">
        <v>5000</v>
      </c>
      <c r="D15776" s="7">
        <v>0.38</v>
      </c>
    </row>
    <row r="15777" spans="1:4" x14ac:dyDescent="0.25">
      <c r="A15777" t="str">
        <f>HYPERLINK("https://www.773grp.com/globalSearch/74HC138D653/page-1", "74HC138D653")</f>
        <v>74HC138D653</v>
      </c>
      <c r="B15777" s="3" t="str">
        <f>HYPERLINK("https://www.773grp.com/manufacturer/nxp-semiconductor?pageNo=1", "NXP Semiconductors")</f>
        <v>NXP Semiconductors</v>
      </c>
      <c r="C15777" s="6">
        <v>425000</v>
      </c>
      <c r="D15777" s="7">
        <v>0.38</v>
      </c>
    </row>
    <row r="15778" spans="1:4" x14ac:dyDescent="0.25">
      <c r="A15778" t="str">
        <f>HYPERLINK("https://www.773grp.com/globalSearch/74HC14BQ115/page-1", "74HC14BQ115")</f>
        <v>74HC14BQ115</v>
      </c>
      <c r="B15778" s="3" t="str">
        <f>HYPERLINK("https://www.773grp.com/manufacturer/nxp-semiconductor?pageNo=2", "NXP Semiconductors")</f>
        <v>NXP Semiconductors</v>
      </c>
      <c r="C15778" s="6">
        <v>3000</v>
      </c>
      <c r="D15778" s="7">
        <v>0.38</v>
      </c>
    </row>
    <row r="15779" spans="1:4" x14ac:dyDescent="0.25">
      <c r="A15779" t="str">
        <f>HYPERLINK("https://www.773grp.com/globalSearch/74HC14D652/page-1", "74HC14D652")</f>
        <v>74HC14D652</v>
      </c>
      <c r="B15779" s="3" t="str">
        <f>HYPERLINK("https://www.773grp.com/manufacturer/nxp-semiconductor?pageNo=3", "NXP Semiconductors")</f>
        <v>NXP Semiconductors</v>
      </c>
      <c r="C15779" s="6">
        <v>6840</v>
      </c>
      <c r="D15779" s="7">
        <v>0.38</v>
      </c>
    </row>
    <row r="15780" spans="1:4" x14ac:dyDescent="0.25">
      <c r="A15780" t="str">
        <f>HYPERLINK("https://www.773grp.com/globalSearch/74HC14D653/page-1", "74HC14D653")</f>
        <v>74HC14D653</v>
      </c>
      <c r="B15780" s="3" t="str">
        <f>HYPERLINK("https://www.773grp.com/manufacturer/nxp-semiconductor?pageNo=4", "NXP Semiconductors")</f>
        <v>NXP Semiconductors</v>
      </c>
      <c r="C15780" s="6">
        <v>92831</v>
      </c>
      <c r="D15780" s="7">
        <v>0.38</v>
      </c>
    </row>
    <row r="15781" spans="1:4" x14ac:dyDescent="0.25">
      <c r="A15781" t="str">
        <f>HYPERLINK("https://www.773grp.com/globalSearch/74HC27PW112/page-1", "74HC27PW112")</f>
        <v>74HC27PW112</v>
      </c>
      <c r="B15781" s="3" t="str">
        <f>HYPERLINK("https://www.773grp.com/manufacturer/nxp-semiconductor?pageNo=5", "NXP Semiconductors")</f>
        <v>NXP Semiconductors</v>
      </c>
      <c r="C15781" s="6">
        <v>8118</v>
      </c>
      <c r="D15781" s="7">
        <v>0.38</v>
      </c>
    </row>
    <row r="15782" spans="1:4" x14ac:dyDescent="0.25">
      <c r="A15782" t="str">
        <f>HYPERLINK("https://www.773grp.com/globalSearch/74HC32BQ115/page-1", "74HC32BQ115")</f>
        <v>74HC32BQ115</v>
      </c>
      <c r="B15782" s="3" t="str">
        <f>HYPERLINK("https://www.773grp.com/manufacturer/nxp-semiconductor?pageNo=6", "NXP Semiconductors")</f>
        <v>NXP Semiconductors</v>
      </c>
      <c r="C15782" s="6">
        <v>6000</v>
      </c>
      <c r="D15782" s="7">
        <v>0.38</v>
      </c>
    </row>
    <row r="15783" spans="1:4" x14ac:dyDescent="0.25">
      <c r="A15783" t="str">
        <f>HYPERLINK("https://www.773grp.com/globalSearch/74HCT125D652/page-1", "74HCT125D652")</f>
        <v>74HCT125D652</v>
      </c>
      <c r="B15783" s="3" t="str">
        <f>HYPERLINK("https://www.773grp.com/manufacturer/nxp-semiconductor?pageNo=7", "NXP Semiconductors")</f>
        <v>NXP Semiconductors</v>
      </c>
      <c r="C15783" s="6">
        <v>29640</v>
      </c>
      <c r="D15783" s="7">
        <v>0.38</v>
      </c>
    </row>
    <row r="15784" spans="1:4" x14ac:dyDescent="0.25">
      <c r="A15784" t="str">
        <f>HYPERLINK("https://www.773grp.com/globalSearch/74HCT125D653/page-1", "74HCT125D653")</f>
        <v>74HCT125D653</v>
      </c>
      <c r="B15784" s="3" t="str">
        <f>HYPERLINK("https://www.773grp.com/manufacturer/nxp-semiconductor?pageNo=8", "NXP Semiconductors")</f>
        <v>NXP Semiconductors</v>
      </c>
      <c r="C15784" s="6">
        <v>8438</v>
      </c>
      <c r="D15784" s="7">
        <v>0.38</v>
      </c>
    </row>
    <row r="15785" spans="1:4" x14ac:dyDescent="0.25">
      <c r="A15785" t="str">
        <f>HYPERLINK("https://www.773grp.com/globalSearch/74HCT14BQ115/page-1", "74HCT14BQ115")</f>
        <v>74HCT14BQ115</v>
      </c>
      <c r="B15785" s="3" t="str">
        <f>HYPERLINK("https://www.773grp.com/manufacturer/nxp-semiconductor?pageNo=9", "NXP Semiconductors")</f>
        <v>NXP Semiconductors</v>
      </c>
      <c r="C15785" s="6">
        <v>6035</v>
      </c>
      <c r="D15785" s="7">
        <v>0.38</v>
      </c>
    </row>
    <row r="15786" spans="1:4" x14ac:dyDescent="0.25">
      <c r="A15786" t="str">
        <f>HYPERLINK("https://www.773grp.com/globalSearch/74HCT14D653/page-1", "74HCT14D653")</f>
        <v>74HCT14D653</v>
      </c>
      <c r="B15786" s="3" t="str">
        <f>HYPERLINK("https://www.773grp.com/manufacturer/nxp-semiconductor?pageNo=10", "NXP Semiconductors")</f>
        <v>NXP Semiconductors</v>
      </c>
      <c r="C15786" s="6">
        <v>72500</v>
      </c>
      <c r="D15786" s="7">
        <v>0.38</v>
      </c>
    </row>
    <row r="15787" spans="1:4" x14ac:dyDescent="0.25">
      <c r="A15787" t="str">
        <f>HYPERLINK("https://www.773grp.com/globalSearch/74HCT32BQ115/page-1", "74HCT32BQ115")</f>
        <v>74HCT32BQ115</v>
      </c>
      <c r="B15787" s="3" t="str">
        <f>HYPERLINK("https://www.773grp.com/manufacturer/nxp-semiconductor?pageNo=11", "NXP Semiconductors")</f>
        <v>NXP Semiconductors</v>
      </c>
      <c r="C15787" s="6">
        <v>3000</v>
      </c>
      <c r="D15787" s="7">
        <v>0.38</v>
      </c>
    </row>
    <row r="15788" spans="1:4" x14ac:dyDescent="0.25">
      <c r="A15788" t="str">
        <f>HYPERLINK("https://www.773grp.com/globalSearch/74HCT32D653/page-1", "74HCT32D653")</f>
        <v>74HCT32D653</v>
      </c>
      <c r="B15788" s="3" t="str">
        <f>HYPERLINK("https://www.773grp.com/manufacturer/nxp-semiconductor?pageNo=12", "NXP Semiconductors")</f>
        <v>NXP Semiconductors</v>
      </c>
      <c r="C15788" s="6">
        <v>95309</v>
      </c>
      <c r="D15788" s="7">
        <v>0.38</v>
      </c>
    </row>
    <row r="15789" spans="1:4" x14ac:dyDescent="0.25">
      <c r="A15789" t="str">
        <f>HYPERLINK("https://www.773grp.com/globalSearch/74HCT74BQ115/page-1", "74HCT74BQ115")</f>
        <v>74HCT74BQ115</v>
      </c>
      <c r="B15789" s="3" t="str">
        <f>HYPERLINK("https://www.773grp.com/manufacturer/nxp-semiconductor?pageNo=13", "NXP Semiconductors")</f>
        <v>NXP Semiconductors</v>
      </c>
      <c r="C15789" s="6">
        <v>9000</v>
      </c>
      <c r="D15789" s="7">
        <v>0.38</v>
      </c>
    </row>
    <row r="15790" spans="1:4" x14ac:dyDescent="0.25">
      <c r="A15790" t="str">
        <f>HYPERLINK("https://www.773grp.com/globalSearch/74HCU04D652/page-1", "74HCU04D652")</f>
        <v>74HCU04D652</v>
      </c>
      <c r="B15790" s="3" t="str">
        <f>HYPERLINK("https://www.773grp.com/manufacturer/nxp-semiconductor?pageNo=14", "NXP Semiconductors")</f>
        <v>NXP Semiconductors</v>
      </c>
      <c r="C15790" s="6">
        <v>41511</v>
      </c>
      <c r="D15790" s="7">
        <v>0.38</v>
      </c>
    </row>
    <row r="15791" spans="1:4" x14ac:dyDescent="0.25">
      <c r="A15791" t="str">
        <f>HYPERLINK("https://www.773grp.com/globalSearch/74HCU04D653/page-1", "74HCU04D653")</f>
        <v>74HCU04D653</v>
      </c>
      <c r="B15791" s="3" t="str">
        <f>HYPERLINK("https://www.773grp.com/manufacturer/nxp-semiconductor?pageNo=15", "NXP Semiconductors")</f>
        <v>NXP Semiconductors</v>
      </c>
      <c r="C15791" s="6">
        <v>345000</v>
      </c>
      <c r="D15791" s="7">
        <v>0.38</v>
      </c>
    </row>
    <row r="15792" spans="1:4" x14ac:dyDescent="0.25">
      <c r="A15792" t="str">
        <f>HYPERLINK("https://www.773grp.com/globalSearch/74LVC00ABQ115/page-1", "74LVC00ABQ115")</f>
        <v>74LVC00ABQ115</v>
      </c>
      <c r="B15792" s="3" t="str">
        <f>HYPERLINK("https://www.773grp.com/manufacturer/nxp-semiconductor?pageNo=16", "NXP Semiconductors")</f>
        <v>NXP Semiconductors</v>
      </c>
      <c r="C15792" s="6">
        <v>500</v>
      </c>
      <c r="D15792" s="7">
        <v>0.38</v>
      </c>
    </row>
    <row r="15793" spans="1:4" x14ac:dyDescent="0.25">
      <c r="A15793" t="str">
        <f>HYPERLINK("https://www.773grp.com/globalSearch/74LVC02ABQ115/page-1", "74LVC02ABQ115")</f>
        <v>74LVC02ABQ115</v>
      </c>
      <c r="B15793" s="3" t="str">
        <f>HYPERLINK("https://www.773grp.com/manufacturer/nxp-semiconductor?pageNo=17", "NXP Semiconductors")</f>
        <v>NXP Semiconductors</v>
      </c>
      <c r="C15793" s="6">
        <v>6100</v>
      </c>
      <c r="D15793" s="7">
        <v>0.38</v>
      </c>
    </row>
    <row r="15794" spans="1:4" x14ac:dyDescent="0.25">
      <c r="A15794" t="str">
        <f>HYPERLINK("https://www.773grp.com/globalSearch/74LVC04ABQ115/page-1", "74LVC04ABQ115")</f>
        <v>74LVC04ABQ115</v>
      </c>
      <c r="B15794" s="3" t="str">
        <f>HYPERLINK("https://www.773grp.com/manufacturer/nxp-semiconductor?pageNo=18", "NXP Semiconductors")</f>
        <v>NXP Semiconductors</v>
      </c>
      <c r="C15794" s="6">
        <v>4797</v>
      </c>
      <c r="D15794" s="7">
        <v>0.38</v>
      </c>
    </row>
    <row r="15795" spans="1:4" x14ac:dyDescent="0.25">
      <c r="A15795" t="str">
        <f>HYPERLINK("https://www.773grp.com/globalSearch/74LVC06AD118/page-1", "74LVC06AD118")</f>
        <v>74LVC06AD118</v>
      </c>
      <c r="B15795" s="3" t="str">
        <f>HYPERLINK("https://www.773grp.com/manufacturer/nxp-semiconductor?pageNo=19", "NXP Semiconductors")</f>
        <v>NXP Semiconductors</v>
      </c>
      <c r="C15795" s="6">
        <v>2500</v>
      </c>
      <c r="D15795" s="7">
        <v>0.38</v>
      </c>
    </row>
    <row r="15796" spans="1:4" x14ac:dyDescent="0.25">
      <c r="A15796" t="str">
        <f>HYPERLINK("https://www.773grp.com/globalSearch/74LVC07AD112/page-1", "74LVC07AD112")</f>
        <v>74LVC07AD112</v>
      </c>
      <c r="B15796" s="3" t="str">
        <f>HYPERLINK("https://www.773grp.com/manufacturer/nxp-semiconductor?pageNo=20", "NXP Semiconductors")</f>
        <v>NXP Semiconductors</v>
      </c>
      <c r="C15796" s="6">
        <v>25080</v>
      </c>
      <c r="D15796" s="7">
        <v>0.38</v>
      </c>
    </row>
    <row r="15797" spans="1:4" x14ac:dyDescent="0.25">
      <c r="A15797" t="str">
        <f>HYPERLINK("https://www.773grp.com/globalSearch/74LVC08ABQ115/page-1", "74LVC08ABQ115")</f>
        <v>74LVC08ABQ115</v>
      </c>
      <c r="B15797" s="3" t="str">
        <f>HYPERLINK("https://www.773grp.com/manufacturer/nxp-semiconductor?pageNo=21", "NXP Semiconductors")</f>
        <v>NXP Semiconductors</v>
      </c>
      <c r="C15797" s="6">
        <v>18000</v>
      </c>
      <c r="D15797" s="7">
        <v>0.38</v>
      </c>
    </row>
    <row r="15798" spans="1:4" x14ac:dyDescent="0.25">
      <c r="A15798" t="str">
        <f>HYPERLINK("https://www.773grp.com/globalSearch/74LVC10ABQ115/page-1", "74LVC10ABQ115")</f>
        <v>74LVC10ABQ115</v>
      </c>
      <c r="B15798" s="3" t="str">
        <f>HYPERLINK("https://www.773grp.com/manufacturer/nxp-semiconductor?pageNo=22", "NXP Semiconductors")</f>
        <v>NXP Semiconductors</v>
      </c>
      <c r="C15798" s="6">
        <v>3000</v>
      </c>
      <c r="D15798" s="7">
        <v>0.38</v>
      </c>
    </row>
    <row r="15799" spans="1:4" x14ac:dyDescent="0.25">
      <c r="A15799" t="str">
        <f>HYPERLINK("https://www.773grp.com/globalSearch/74LVC11BQ115/page-1", "74LVC11BQ115")</f>
        <v>74LVC11BQ115</v>
      </c>
      <c r="B15799" s="3" t="str">
        <f>HYPERLINK("https://www.773grp.com/manufacturer/nxp-semiconductor?pageNo=23", "NXP Semiconductors")</f>
        <v>NXP Semiconductors</v>
      </c>
      <c r="C15799" s="6">
        <v>5718</v>
      </c>
      <c r="D15799" s="7">
        <v>0.38</v>
      </c>
    </row>
    <row r="15800" spans="1:4" x14ac:dyDescent="0.25">
      <c r="A15800" t="str">
        <f>HYPERLINK("https://www.773grp.com/globalSearch/74LVC11D112/page-1", "74LVC11D112")</f>
        <v>74LVC11D112</v>
      </c>
      <c r="B15800" s="3" t="str">
        <f>HYPERLINK("https://www.773grp.com/manufacturer/nxp-semiconductor?pageNo=24", "NXP Semiconductors")</f>
        <v>NXP Semiconductors</v>
      </c>
      <c r="C15800" s="6">
        <v>6389</v>
      </c>
      <c r="D15800" s="7">
        <v>0.38</v>
      </c>
    </row>
    <row r="15801" spans="1:4" x14ac:dyDescent="0.25">
      <c r="A15801" t="str">
        <f>HYPERLINK("https://www.773grp.com/globalSearch/74LVC125APW112/page-1", "74LVC125APW112")</f>
        <v>74LVC125APW112</v>
      </c>
      <c r="B15801" s="3" t="str">
        <f>HYPERLINK("https://www.773grp.com/manufacturer/nxp-semiconductor?pageNo=25", "NXP Semiconductors")</f>
        <v>NXP Semiconductors</v>
      </c>
      <c r="C15801" s="6">
        <v>60448</v>
      </c>
      <c r="D15801" s="7">
        <v>0.38</v>
      </c>
    </row>
    <row r="15802" spans="1:4" x14ac:dyDescent="0.25">
      <c r="A15802" t="str">
        <f>HYPERLINK("https://www.773grp.com/globalSearch/74LVC14ABQ115/page-1", "74LVC14ABQ115")</f>
        <v>74LVC14ABQ115</v>
      </c>
      <c r="B15802" s="3" t="str">
        <f>HYPERLINK("https://www.773grp.com/manufacturer/nxp-semiconductor?pageNo=26", "NXP Semiconductors")</f>
        <v>NXP Semiconductors</v>
      </c>
      <c r="C15802" s="6">
        <v>7950</v>
      </c>
      <c r="D15802" s="7">
        <v>0.38</v>
      </c>
    </row>
    <row r="15803" spans="1:4" x14ac:dyDescent="0.25">
      <c r="A15803" t="str">
        <f>HYPERLINK("https://www.773grp.com/globalSearch/74LVC14APW112/page-1", "74LVC14APW112")</f>
        <v>74LVC14APW112</v>
      </c>
      <c r="B15803" s="3" t="str">
        <f>HYPERLINK("https://www.773grp.com/manufacturer/nxp-semiconductor?pageNo=27", "NXP Semiconductors")</f>
        <v>NXP Semiconductors</v>
      </c>
      <c r="C15803" s="6">
        <v>29000</v>
      </c>
      <c r="D15803" s="7">
        <v>0.38</v>
      </c>
    </row>
    <row r="15804" spans="1:4" x14ac:dyDescent="0.25">
      <c r="A15804" t="str">
        <f>HYPERLINK("https://www.773grp.com/globalSearch/74LVC2G14GW125/page-1", "74LVC2G14GW125")</f>
        <v>74LVC2G14GW125</v>
      </c>
      <c r="B15804" s="3" t="str">
        <f>HYPERLINK("https://www.773grp.com/manufacturer/nxp-semiconductor?pageNo=28", "NXP Semiconductors")</f>
        <v>NXP Semiconductors</v>
      </c>
      <c r="C15804" s="6">
        <v>156165</v>
      </c>
      <c r="D15804" s="7">
        <v>0.38</v>
      </c>
    </row>
    <row r="15805" spans="1:4" x14ac:dyDescent="0.25">
      <c r="A15805" t="str">
        <f>HYPERLINK("https://www.773grp.com/globalSearch/74LVC32ABQ115/page-1", "74LVC32ABQ115")</f>
        <v>74LVC32ABQ115</v>
      </c>
      <c r="B15805" s="3" t="str">
        <f>HYPERLINK("https://www.773grp.com/manufacturer/nxp-semiconductor?pageNo=29", "NXP Semiconductors")</f>
        <v>NXP Semiconductors</v>
      </c>
      <c r="C15805" s="6">
        <v>3999</v>
      </c>
      <c r="D15805" s="7">
        <v>0.38</v>
      </c>
    </row>
    <row r="15806" spans="1:4" x14ac:dyDescent="0.25">
      <c r="A15806" t="str">
        <f>HYPERLINK("https://www.773grp.com/globalSearch/74LVC74ABQ115/page-1", "74LVC74ABQ115")</f>
        <v>74LVC74ABQ115</v>
      </c>
      <c r="B15806" s="3" t="str">
        <f>HYPERLINK("https://www.773grp.com/manufacturer/nxp-semiconductor?pageNo=30", "NXP Semiconductors")</f>
        <v>NXP Semiconductors</v>
      </c>
      <c r="C15806" s="6">
        <v>9000</v>
      </c>
      <c r="D15806" s="7">
        <v>0.38</v>
      </c>
    </row>
    <row r="15807" spans="1:4" x14ac:dyDescent="0.25">
      <c r="A15807" t="str">
        <f>HYPERLINK("https://www.773grp.com/globalSearch/74LVC74AD112/page-1", "74LVC74AD112")</f>
        <v>74LVC74AD112</v>
      </c>
      <c r="B15807" s="3" t="str">
        <f>HYPERLINK("https://www.773grp.com/manufacturer/nxp-semiconductor?pageNo=31", "NXP Semiconductors")</f>
        <v>NXP Semiconductors</v>
      </c>
      <c r="C15807" s="6">
        <v>11400</v>
      </c>
      <c r="D15807" s="7">
        <v>0.38</v>
      </c>
    </row>
    <row r="15808" spans="1:4" x14ac:dyDescent="0.25">
      <c r="A15808" t="str">
        <f>HYPERLINK("https://www.773grp.com/globalSearch/74LVC74AD118/page-1", "74LVC74AD118")</f>
        <v>74LVC74AD118</v>
      </c>
      <c r="B15808" s="3" t="str">
        <f>HYPERLINK("https://www.773grp.com/manufacturer/nxp-semiconductor?pageNo=32", "NXP Semiconductors")</f>
        <v>NXP Semiconductors</v>
      </c>
      <c r="C15808" s="6">
        <v>12500</v>
      </c>
      <c r="D15808" s="7">
        <v>0.38</v>
      </c>
    </row>
    <row r="15809" spans="1:4" x14ac:dyDescent="0.25">
      <c r="A15809" t="str">
        <f>HYPERLINK("https://www.773grp.com/globalSearch/74LVC86AD112/page-1", "74LVC86AD112")</f>
        <v>74LVC86AD112</v>
      </c>
      <c r="B15809" s="3" t="str">
        <f>HYPERLINK("https://www.773grp.com/manufacturer/nxp-semiconductor?pageNo=33", "NXP Semiconductors")</f>
        <v>NXP Semiconductors</v>
      </c>
      <c r="C15809" s="6">
        <v>1140</v>
      </c>
      <c r="D15809" s="7">
        <v>0.38</v>
      </c>
    </row>
    <row r="15810" spans="1:4" x14ac:dyDescent="0.25">
      <c r="A15810" t="str">
        <f>HYPERLINK("https://www.773grp.com/globalSearch/74LVC86AD118/page-1", "74LVC86AD118")</f>
        <v>74LVC86AD118</v>
      </c>
      <c r="B15810" s="3" t="str">
        <f>HYPERLINK("https://www.773grp.com/manufacturer/nxp-semiconductor?pageNo=34", "NXP Semiconductors")</f>
        <v>NXP Semiconductors</v>
      </c>
      <c r="C15810" s="6">
        <v>7500</v>
      </c>
      <c r="D15810" s="7">
        <v>0.38</v>
      </c>
    </row>
    <row r="15811" spans="1:4" x14ac:dyDescent="0.25">
      <c r="A15811" t="str">
        <f>HYPERLINK("https://www.773grp.com/globalSearch/74LVC86APW112/page-1", "74LVC86APW112")</f>
        <v>74LVC86APW112</v>
      </c>
      <c r="B15811" s="3" t="str">
        <f>HYPERLINK("https://www.773grp.com/manufacturer/nxp-semiconductor?pageNo=35", "NXP Semiconductors")</f>
        <v>NXP Semiconductors</v>
      </c>
      <c r="C15811" s="6">
        <v>21618</v>
      </c>
      <c r="D15811" s="7">
        <v>0.38</v>
      </c>
    </row>
    <row r="15812" spans="1:4" x14ac:dyDescent="0.25">
      <c r="A15812" t="str">
        <f>HYPERLINK("https://www.773grp.com/globalSearch/74LVC86APW118/page-1", "74LVC86APW118")</f>
        <v>74LVC86APW118</v>
      </c>
      <c r="B15812" s="3" t="str">
        <f>HYPERLINK("https://www.773grp.com/manufacturer/nxp-semiconductor?pageNo=36", "NXP Semiconductors")</f>
        <v>NXP Semiconductors</v>
      </c>
      <c r="C15812" s="6">
        <v>55252</v>
      </c>
      <c r="D15812" s="7">
        <v>0.38</v>
      </c>
    </row>
    <row r="15813" spans="1:4" x14ac:dyDescent="0.25">
      <c r="A15813" t="str">
        <f>HYPERLINK("https://www.773grp.com/globalSearch/74LVCU04ABQ115/page-1", "74LVCU04ABQ115")</f>
        <v>74LVCU04ABQ115</v>
      </c>
      <c r="B15813" s="3" t="str">
        <f>HYPERLINK("https://www.773grp.com/manufacturer/nxp-semiconductor?pageNo=37", "NXP Semiconductors")</f>
        <v>NXP Semiconductors</v>
      </c>
      <c r="C15813" s="6">
        <v>42000</v>
      </c>
      <c r="D15813" s="7">
        <v>0.38</v>
      </c>
    </row>
    <row r="15814" spans="1:4" x14ac:dyDescent="0.25">
      <c r="A15814" t="str">
        <f>HYPERLINK("https://www.773grp.com/globalSearch/74LVCU04AD112/page-1", "74LVCU04AD112")</f>
        <v>74LVCU04AD112</v>
      </c>
      <c r="B15814" s="3" t="str">
        <f>HYPERLINK("https://www.773grp.com/manufacturer/nxp-semiconductor?pageNo=38", "NXP Semiconductors")</f>
        <v>NXP Semiconductors</v>
      </c>
      <c r="C15814" s="6">
        <v>21480</v>
      </c>
      <c r="D15814" s="7">
        <v>0.38</v>
      </c>
    </row>
    <row r="15815" spans="1:4" x14ac:dyDescent="0.25">
      <c r="A15815" t="str">
        <f>HYPERLINK("https://www.773grp.com/globalSearch/BAS40-04W115/page-1", "BAS40-04W115")</f>
        <v>BAS40-04W115</v>
      </c>
      <c r="B15815" s="3" t="str">
        <f>HYPERLINK("https://www.773grp.com/manufacturer/nxp-semiconductor?pageNo=39", "NXP Semiconductors")</f>
        <v>NXP Semiconductors</v>
      </c>
      <c r="C15815" s="6">
        <v>276000</v>
      </c>
      <c r="D15815" s="7">
        <v>0.38</v>
      </c>
    </row>
    <row r="15816" spans="1:4" x14ac:dyDescent="0.25">
      <c r="A15816" t="str">
        <f>HYPERLINK("https://www.773grp.com/globalSearch/BAS40W115/page-1", "BAS40W115")</f>
        <v>BAS40W115</v>
      </c>
      <c r="B15816" s="3" t="str">
        <f>HYPERLINK("https://www.773grp.com/manufacturer/nxp-semiconductor?pageNo=40", "NXP Semiconductors")</f>
        <v>NXP Semiconductors</v>
      </c>
      <c r="C15816" s="6">
        <v>39000</v>
      </c>
      <c r="D15816" s="7">
        <v>0.38</v>
      </c>
    </row>
    <row r="15817" spans="1:4" x14ac:dyDescent="0.25">
      <c r="A15817" t="str">
        <f>HYPERLINK("https://www.773grp.com/globalSearch/BAS45A133/page-1", "BAS45A133")</f>
        <v>BAS45A133</v>
      </c>
      <c r="B15817" s="3" t="str">
        <f>HYPERLINK("https://www.773grp.com/manufacturer/nxp-semiconductor?pageNo=41", "NXP Semiconductors")</f>
        <v>NXP Semiconductors</v>
      </c>
      <c r="C15817" s="6">
        <v>10500</v>
      </c>
      <c r="D15817" s="7">
        <v>0.38</v>
      </c>
    </row>
    <row r="15818" spans="1:4" x14ac:dyDescent="0.25">
      <c r="A15818" t="str">
        <f>HYPERLINK("https://www.773grp.com/globalSearch/BAS45AL115/page-1", "BAS45AL115")</f>
        <v>BAS45AL115</v>
      </c>
      <c r="B15818" s="3" t="str">
        <f>HYPERLINK("https://www.773grp.com/manufacturer/nxp-semiconductor?pageNo=42", "NXP Semiconductors")</f>
        <v>NXP Semiconductors</v>
      </c>
      <c r="C15818" s="6">
        <v>7500</v>
      </c>
      <c r="D15818" s="7">
        <v>0.38</v>
      </c>
    </row>
    <row r="15819" spans="1:4" x14ac:dyDescent="0.25">
      <c r="A15819" t="str">
        <f>HYPERLINK("https://www.773grp.com/globalSearch/BAT18215/page-1", "BAT18215")</f>
        <v>BAT18215</v>
      </c>
      <c r="B15819" s="3" t="str">
        <f>HYPERLINK("https://www.773grp.com/manufacturer/nxp-semiconductor?pageNo=43", "NXP Semiconductors")</f>
        <v>NXP Semiconductors</v>
      </c>
      <c r="C15819" s="6">
        <v>24000</v>
      </c>
      <c r="D15819" s="7">
        <v>0.38</v>
      </c>
    </row>
    <row r="15820" spans="1:4" x14ac:dyDescent="0.25">
      <c r="A15820" t="str">
        <f>HYPERLINK("https://www.773grp.com/globalSearch/BAT721A215/page-1", "BAT721A215")</f>
        <v>BAT721A215</v>
      </c>
      <c r="B15820" s="3" t="str">
        <f>HYPERLINK("https://www.773grp.com/manufacturer/nxp-semiconductor?pageNo=44", "NXP Semiconductors")</f>
        <v>NXP Semiconductors</v>
      </c>
      <c r="C15820" s="6">
        <v>381000</v>
      </c>
      <c r="D15820" s="7">
        <v>0.38</v>
      </c>
    </row>
    <row r="15821" spans="1:4" x14ac:dyDescent="0.25">
      <c r="A15821" t="str">
        <f>HYPERLINK("https://www.773grp.com/globalSearch/BAT721S215/page-1", "BAT721S215")</f>
        <v>BAT721S215</v>
      </c>
      <c r="B15821" s="3" t="str">
        <f>HYPERLINK("https://www.773grp.com/manufacturer/nxp-semiconductor?pageNo=45", "NXP Semiconductors")</f>
        <v>NXP Semiconductors</v>
      </c>
      <c r="C15821" s="6">
        <v>2401</v>
      </c>
      <c r="D15821" s="7">
        <v>0.38</v>
      </c>
    </row>
    <row r="15822" spans="1:4" x14ac:dyDescent="0.25">
      <c r="A15822" t="str">
        <f>HYPERLINK("https://www.773grp.com/globalSearch/BAT74235/page-1", "BAT74235")</f>
        <v>BAT74235</v>
      </c>
      <c r="B15822" s="3" t="str">
        <f>HYPERLINK("https://www.773grp.com/manufacturer/nxp-semiconductor?pageNo=46", "NXP Semiconductors")</f>
        <v>NXP Semiconductors</v>
      </c>
      <c r="C15822" s="6">
        <v>20000</v>
      </c>
      <c r="D15822" s="7">
        <v>0.38</v>
      </c>
    </row>
    <row r="15823" spans="1:4" x14ac:dyDescent="0.25">
      <c r="A15823" t="str">
        <f>HYPERLINK("https://www.773grp.com/globalSearch/BAT74S115/page-1", "BAT74S115")</f>
        <v>BAT74S115</v>
      </c>
      <c r="B15823" s="3" t="str">
        <f>HYPERLINK("https://www.773grp.com/manufacturer/nxp-semiconductor?pageNo=47", "NXP Semiconductors")</f>
        <v>NXP Semiconductors</v>
      </c>
      <c r="C15823" s="6">
        <v>3000</v>
      </c>
      <c r="D15823" s="7">
        <v>0.38</v>
      </c>
    </row>
    <row r="15824" spans="1:4" x14ac:dyDescent="0.25">
      <c r="A15824" t="str">
        <f>HYPERLINK("https://www.773grp.com/globalSearch/BAT86113/page-1", "BAT86113")</f>
        <v>BAT86113</v>
      </c>
      <c r="B15824" s="3" t="str">
        <f>HYPERLINK("https://www.773grp.com/manufacturer/nxp-semiconductor?pageNo=48", "NXP Semiconductors")</f>
        <v>NXP Semiconductors</v>
      </c>
      <c r="C15824" s="6">
        <v>20000</v>
      </c>
      <c r="D15824" s="7">
        <v>0.38</v>
      </c>
    </row>
    <row r="15825" spans="1:4" x14ac:dyDescent="0.25">
      <c r="A15825" t="str">
        <f>HYPERLINK("https://www.773grp.com/globalSearch/BAT86133/page-1", "BAT86133")</f>
        <v>BAT86133</v>
      </c>
      <c r="B15825" s="3" t="str">
        <f>HYPERLINK("https://www.773grp.com/manufacturer/nxp-semiconductor?pageNo=1", "NXP Semiconductors")</f>
        <v>NXP Semiconductors</v>
      </c>
      <c r="C15825" s="6">
        <v>20000</v>
      </c>
      <c r="D15825" s="7">
        <v>0.38</v>
      </c>
    </row>
    <row r="15826" spans="1:4" x14ac:dyDescent="0.25">
      <c r="A15826" t="str">
        <f>HYPERLINK("https://www.773grp.com/globalSearch/BAV23S215/page-1", "BAV23S215")</f>
        <v>BAV23S215</v>
      </c>
      <c r="B15826" s="3" t="str">
        <f>HYPERLINK("https://www.773grp.com/manufacturer/nxp-semiconductor?pageNo=2", "NXP Semiconductors")</f>
        <v>NXP Semiconductors</v>
      </c>
      <c r="C15826" s="6">
        <v>249000</v>
      </c>
      <c r="D15826" s="7">
        <v>0.38</v>
      </c>
    </row>
    <row r="15827" spans="1:4" x14ac:dyDescent="0.25">
      <c r="A15827" t="str">
        <f>HYPERLINK("https://www.773grp.com/globalSearch/BB178-L315/page-1", "BB178-L315")</f>
        <v>BB178-L315</v>
      </c>
      <c r="B15827" s="3" t="str">
        <f>HYPERLINK("https://www.773grp.com/manufacturer/nxp-semiconductor?pageNo=3", "NXP Semiconductors")</f>
        <v>NXP Semiconductors</v>
      </c>
      <c r="C15827" s="6">
        <v>4360000</v>
      </c>
      <c r="D15827" s="7">
        <v>0.38</v>
      </c>
    </row>
    <row r="15828" spans="1:4" x14ac:dyDescent="0.25">
      <c r="A15828" t="str">
        <f>HYPERLINK("https://www.773grp.com/globalSearch/BB178LX315/page-1", "BB178LX315")</f>
        <v>BB178LX315</v>
      </c>
      <c r="B15828" s="3" t="str">
        <f>HYPERLINK("https://www.773grp.com/manufacturer/nxp-semiconductor?pageNo=4", "NXP Semiconductors")</f>
        <v>NXP Semiconductors</v>
      </c>
      <c r="C15828" s="6">
        <v>15000</v>
      </c>
      <c r="D15828" s="7">
        <v>0.38</v>
      </c>
    </row>
    <row r="15829" spans="1:4" x14ac:dyDescent="0.25">
      <c r="A15829" t="str">
        <f>HYPERLINK("https://www.773grp.com/globalSearch/BB179B315/page-1", "BB179B315")</f>
        <v>BB179B315</v>
      </c>
      <c r="B15829" s="3" t="str">
        <f>HYPERLINK("https://www.773grp.com/manufacturer/nxp-semiconductor?pageNo=5", "NXP Semiconductors")</f>
        <v>NXP Semiconductors</v>
      </c>
      <c r="C15829" s="6">
        <v>1352000</v>
      </c>
      <c r="D15829" s="7">
        <v>0.38</v>
      </c>
    </row>
    <row r="15830" spans="1:4" x14ac:dyDescent="0.25">
      <c r="A15830" t="str">
        <f>HYPERLINK("https://www.773grp.com/globalSearch/BB182115/page-1", "BB182115")</f>
        <v>BB182115</v>
      </c>
      <c r="B15830" s="3" t="str">
        <f>HYPERLINK("https://www.773grp.com/manufacturer/nxp-semiconductor?pageNo=6", "NXP Semiconductors")</f>
        <v>NXP Semiconductors</v>
      </c>
      <c r="C15830" s="6">
        <v>36377</v>
      </c>
      <c r="D15830" s="7">
        <v>0.38</v>
      </c>
    </row>
    <row r="15831" spans="1:4" x14ac:dyDescent="0.25">
      <c r="A15831" t="str">
        <f>HYPERLINK("https://www.773grp.com/globalSearch/BB182135/page-1", "BB182135")</f>
        <v>BB182135</v>
      </c>
      <c r="B15831" s="3" t="str">
        <f>HYPERLINK("https://www.773grp.com/manufacturer/nxp-semiconductor?pageNo=7", "NXP Semiconductors")</f>
        <v>NXP Semiconductors</v>
      </c>
      <c r="C15831" s="6">
        <v>2890000</v>
      </c>
      <c r="D15831" s="7">
        <v>0.38</v>
      </c>
    </row>
    <row r="15832" spans="1:4" x14ac:dyDescent="0.25">
      <c r="A15832" t="str">
        <f>HYPERLINK("https://www.773grp.com/globalSearch/BBY40215/page-1", "BBY40215")</f>
        <v>BBY40215</v>
      </c>
      <c r="B15832" s="3" t="str">
        <f>HYPERLINK("https://www.773grp.com/manufacturer/nxp-semiconductor?pageNo=8", "NXP Semiconductors")</f>
        <v>NXP Semiconductors</v>
      </c>
      <c r="C15832" s="6">
        <v>891956</v>
      </c>
      <c r="D15832" s="7">
        <v>0.38</v>
      </c>
    </row>
    <row r="15833" spans="1:4" x14ac:dyDescent="0.25">
      <c r="A15833" t="str">
        <f>HYPERLINK("https://www.773grp.com/globalSearch/BCX51-10115/page-1", "BCX51-10115")</f>
        <v>BCX51-10115</v>
      </c>
      <c r="B15833" s="3" t="str">
        <f>HYPERLINK("https://www.773grp.com/manufacturer/nxp-semiconductor?pageNo=9", "NXP Semiconductors")</f>
        <v>NXP Semiconductors</v>
      </c>
      <c r="C15833" s="6">
        <v>14145</v>
      </c>
      <c r="D15833" s="7">
        <v>0.38</v>
      </c>
    </row>
    <row r="15834" spans="1:4" x14ac:dyDescent="0.25">
      <c r="A15834" t="str">
        <f>HYPERLINK("https://www.773grp.com/globalSearch/BCX51115/page-1", "BCX51115")</f>
        <v>BCX51115</v>
      </c>
      <c r="B15834" s="3" t="str">
        <f>HYPERLINK("https://www.773grp.com/manufacturer/nxp-semiconductor?pageNo=10", "NXP Semiconductors")</f>
        <v>NXP Semiconductors</v>
      </c>
      <c r="C15834" s="6">
        <v>17000</v>
      </c>
      <c r="D15834" s="7">
        <v>0.38</v>
      </c>
    </row>
    <row r="15835" spans="1:4" x14ac:dyDescent="0.25">
      <c r="A15835" t="str">
        <f>HYPERLINK("https://www.773grp.com/globalSearch/BCX51-16115/page-1", "BCX51-16115")</f>
        <v>BCX51-16115</v>
      </c>
      <c r="B15835" s="3" t="str">
        <f>HYPERLINK("https://www.773grp.com/manufacturer/nxp-semiconductor?pageNo=11", "NXP Semiconductors")</f>
        <v>NXP Semiconductors</v>
      </c>
      <c r="C15835" s="6">
        <v>8237</v>
      </c>
      <c r="D15835" s="7">
        <v>0.38</v>
      </c>
    </row>
    <row r="15836" spans="1:4" x14ac:dyDescent="0.25">
      <c r="A15836" t="str">
        <f>HYPERLINK("https://www.773grp.com/globalSearch/BCX52-10115/page-1", "BCX52-10115")</f>
        <v>BCX52-10115</v>
      </c>
      <c r="B15836" s="3" t="str">
        <f>HYPERLINK("https://www.773grp.com/manufacturer/nxp-semiconductor?pageNo=12", "NXP Semiconductors")</f>
        <v>NXP Semiconductors</v>
      </c>
      <c r="C15836" s="6">
        <v>7270</v>
      </c>
      <c r="D15836" s="7">
        <v>0.38</v>
      </c>
    </row>
    <row r="15837" spans="1:4" x14ac:dyDescent="0.25">
      <c r="A15837" t="str">
        <f>HYPERLINK("https://www.773grp.com/globalSearch/BCX52115/page-1", "BCX52115")</f>
        <v>BCX52115</v>
      </c>
      <c r="B15837" s="3" t="str">
        <f>HYPERLINK("https://www.773grp.com/manufacturer/nxp-semiconductor?pageNo=13", "NXP Semiconductors")</f>
        <v>NXP Semiconductors</v>
      </c>
      <c r="C15837" s="6">
        <v>39000</v>
      </c>
      <c r="D15837" s="7">
        <v>0.38</v>
      </c>
    </row>
    <row r="15838" spans="1:4" x14ac:dyDescent="0.25">
      <c r="A15838" t="str">
        <f>HYPERLINK("https://www.773grp.com/globalSearch/BCX52-16115/page-1", "BCX52-16115")</f>
        <v>BCX52-16115</v>
      </c>
      <c r="B15838" s="3" t="str">
        <f>HYPERLINK("https://www.773grp.com/manufacturer/nxp-semiconductor?pageNo=14", "NXP Semiconductors")</f>
        <v>NXP Semiconductors</v>
      </c>
      <c r="C15838" s="6">
        <v>905</v>
      </c>
      <c r="D15838" s="7">
        <v>0.38</v>
      </c>
    </row>
    <row r="15839" spans="1:4" x14ac:dyDescent="0.25">
      <c r="A15839" t="str">
        <f>HYPERLINK("https://www.773grp.com/globalSearch/BCX53-10115/page-1", "BCX53-10115")</f>
        <v>BCX53-10115</v>
      </c>
      <c r="B15839" s="3" t="str">
        <f>HYPERLINK("https://www.773grp.com/manufacturer/nxp-semiconductor?pageNo=15", "NXP Semiconductors")</f>
        <v>NXP Semiconductors</v>
      </c>
      <c r="C15839" s="6">
        <v>8230</v>
      </c>
      <c r="D15839" s="7">
        <v>0.38</v>
      </c>
    </row>
    <row r="15840" spans="1:4" x14ac:dyDescent="0.25">
      <c r="A15840" t="str">
        <f>HYPERLINK("https://www.773grp.com/globalSearch/BCX53115/page-1", "BCX53115")</f>
        <v>BCX53115</v>
      </c>
      <c r="B15840" s="3" t="str">
        <f>HYPERLINK("https://www.773grp.com/manufacturer/nxp-semiconductor?pageNo=16", "NXP Semiconductors")</f>
        <v>NXP Semiconductors</v>
      </c>
      <c r="C15840" s="6">
        <v>8000</v>
      </c>
      <c r="D15840" s="7">
        <v>0.38</v>
      </c>
    </row>
    <row r="15841" spans="1:4" x14ac:dyDescent="0.25">
      <c r="A15841" t="str">
        <f>HYPERLINK("https://www.773grp.com/globalSearch/BCX53-16135/page-1", "BCX53-16135")</f>
        <v>BCX53-16135</v>
      </c>
      <c r="B15841" s="3" t="str">
        <f>HYPERLINK("https://www.773grp.com/manufacturer/nxp-semiconductor?pageNo=17", "NXP Semiconductors")</f>
        <v>NXP Semiconductors</v>
      </c>
      <c r="C15841" s="6">
        <v>8000</v>
      </c>
      <c r="D15841" s="7">
        <v>0.38</v>
      </c>
    </row>
    <row r="15842" spans="1:4" x14ac:dyDescent="0.25">
      <c r="A15842" t="str">
        <f>HYPERLINK("https://www.773grp.com/globalSearch/BCX54-10115/page-1", "BCX54-10115")</f>
        <v>BCX54-10115</v>
      </c>
      <c r="B15842" s="3" t="str">
        <f>HYPERLINK("https://www.773grp.com/manufacturer/nxp-semiconductor?pageNo=18", "NXP Semiconductors")</f>
        <v>NXP Semiconductors</v>
      </c>
      <c r="C15842" s="6">
        <v>8000</v>
      </c>
      <c r="D15842" s="7">
        <v>0.38</v>
      </c>
    </row>
    <row r="15843" spans="1:4" x14ac:dyDescent="0.25">
      <c r="A15843" t="str">
        <f>HYPERLINK("https://www.773grp.com/globalSearch/BCX54115/page-1", "BCX54115")</f>
        <v>BCX54115</v>
      </c>
      <c r="B15843" s="3" t="str">
        <f>HYPERLINK("https://www.773grp.com/manufacturer/nxp-semiconductor?pageNo=19", "NXP Semiconductors")</f>
        <v>NXP Semiconductors</v>
      </c>
      <c r="C15843" s="6">
        <v>139000</v>
      </c>
      <c r="D15843" s="7">
        <v>0.38</v>
      </c>
    </row>
    <row r="15844" spans="1:4" x14ac:dyDescent="0.25">
      <c r="A15844" t="str">
        <f>HYPERLINK("https://www.773grp.com/globalSearch/BCX54-16115/page-1", "BCX54-16115")</f>
        <v>BCX54-16115</v>
      </c>
      <c r="B15844" s="3" t="str">
        <f>HYPERLINK("https://www.773grp.com/manufacturer/nxp-semiconductor?pageNo=20", "NXP Semiconductors")</f>
        <v>NXP Semiconductors</v>
      </c>
      <c r="C15844" s="6">
        <v>9000</v>
      </c>
      <c r="D15844" s="7">
        <v>0.38</v>
      </c>
    </row>
    <row r="15845" spans="1:4" x14ac:dyDescent="0.25">
      <c r="A15845" t="str">
        <f>HYPERLINK("https://www.773grp.com/globalSearch/BCX54-16135/page-1", "BCX54-16135")</f>
        <v>BCX54-16135</v>
      </c>
      <c r="B15845" s="3" t="str">
        <f>HYPERLINK("https://www.773grp.com/manufacturer/nxp-semiconductor?pageNo=21", "NXP Semiconductors")</f>
        <v>NXP Semiconductors</v>
      </c>
      <c r="C15845" s="6">
        <v>216000</v>
      </c>
      <c r="D15845" s="7">
        <v>0.38</v>
      </c>
    </row>
    <row r="15846" spans="1:4" x14ac:dyDescent="0.25">
      <c r="A15846" t="str">
        <f>HYPERLINK("https://www.773grp.com/globalSearch/BCX55-10115/page-1", "BCX55-10115")</f>
        <v>BCX55-10115</v>
      </c>
      <c r="B15846" s="3" t="str">
        <f>HYPERLINK("https://www.773grp.com/manufacturer/nxp-semiconductor?pageNo=22", "NXP Semiconductors")</f>
        <v>NXP Semiconductors</v>
      </c>
      <c r="C15846" s="6">
        <v>298000</v>
      </c>
      <c r="D15846" s="7">
        <v>0.38</v>
      </c>
    </row>
    <row r="15847" spans="1:4" x14ac:dyDescent="0.25">
      <c r="A15847" t="str">
        <f>HYPERLINK("https://www.773grp.com/globalSearch/BCX55115/page-1", "BCX55115")</f>
        <v>BCX55115</v>
      </c>
      <c r="B15847" s="3" t="str">
        <f>HYPERLINK("https://www.773grp.com/manufacturer/nxp-semiconductor?pageNo=23", "NXP Semiconductors")</f>
        <v>NXP Semiconductors</v>
      </c>
      <c r="C15847" s="6">
        <v>6414</v>
      </c>
      <c r="D15847" s="7">
        <v>0.38</v>
      </c>
    </row>
    <row r="15848" spans="1:4" x14ac:dyDescent="0.25">
      <c r="A15848" t="str">
        <f>HYPERLINK("https://www.773grp.com/globalSearch/BCX55-16115/page-1", "BCX55-16115")</f>
        <v>BCX55-16115</v>
      </c>
      <c r="B15848" s="3" t="str">
        <f>HYPERLINK("https://www.773grp.com/manufacturer/nxp-semiconductor?pageNo=24", "NXP Semiconductors")</f>
        <v>NXP Semiconductors</v>
      </c>
      <c r="C15848" s="6">
        <v>217000</v>
      </c>
      <c r="D15848" s="7">
        <v>0.38</v>
      </c>
    </row>
    <row r="15849" spans="1:4" x14ac:dyDescent="0.25">
      <c r="A15849" t="str">
        <f>HYPERLINK("https://www.773grp.com/globalSearch/BCX56-10115/page-1", "BCX56-10115")</f>
        <v>BCX56-10115</v>
      </c>
      <c r="B15849" s="3" t="str">
        <f>HYPERLINK("https://www.773grp.com/manufacturer/nxp-semiconductor?pageNo=25", "NXP Semiconductors")</f>
        <v>NXP Semiconductors</v>
      </c>
      <c r="C15849" s="6">
        <v>6100</v>
      </c>
      <c r="D15849" s="7">
        <v>0.38</v>
      </c>
    </row>
    <row r="15850" spans="1:4" x14ac:dyDescent="0.25">
      <c r="A15850" t="str">
        <f>HYPERLINK("https://www.773grp.com/globalSearch/BCX56-10135/page-1", "BCX56-10135")</f>
        <v>BCX56-10135</v>
      </c>
      <c r="B15850" s="3" t="str">
        <f>HYPERLINK("https://www.773grp.com/manufacturer/nxp-semiconductor?pageNo=26", "NXP Semiconductors")</f>
        <v>NXP Semiconductors</v>
      </c>
      <c r="C15850" s="6">
        <v>8000</v>
      </c>
      <c r="D15850" s="7">
        <v>0.38</v>
      </c>
    </row>
    <row r="15851" spans="1:4" x14ac:dyDescent="0.25">
      <c r="A15851" t="str">
        <f>HYPERLINK("https://www.773grp.com/globalSearch/BCX56115/page-1", "BCX56115")</f>
        <v>BCX56115</v>
      </c>
      <c r="B15851" s="3" t="str">
        <f>HYPERLINK("https://www.773grp.com/manufacturer/nxp-semiconductor?pageNo=27", "NXP Semiconductors")</f>
        <v>NXP Semiconductors</v>
      </c>
      <c r="C15851" s="6">
        <v>11000</v>
      </c>
      <c r="D15851" s="7">
        <v>0.38</v>
      </c>
    </row>
    <row r="15852" spans="1:4" x14ac:dyDescent="0.25">
      <c r="A15852" t="str">
        <f>HYPERLINK("https://www.773grp.com/globalSearch/BF550215/page-1", "BF550215")</f>
        <v>BF550215</v>
      </c>
      <c r="B15852" s="3" t="str">
        <f>HYPERLINK("https://www.773grp.com/manufacturer/nxp-semiconductor?pageNo=28", "NXP Semiconductors")</f>
        <v>NXP Semiconductors</v>
      </c>
      <c r="C15852" s="6">
        <v>35940</v>
      </c>
      <c r="D15852" s="7">
        <v>0.38</v>
      </c>
    </row>
    <row r="15853" spans="1:4" x14ac:dyDescent="0.25">
      <c r="A15853" t="str">
        <f>HYPERLINK("https://www.773grp.com/globalSearch/BF824215/page-1", "BF824215")</f>
        <v>BF824215</v>
      </c>
      <c r="B15853" s="3" t="str">
        <f>HYPERLINK("https://www.773grp.com/manufacturer/nxp-semiconductor?pageNo=29", "NXP Semiconductors")</f>
        <v>NXP Semiconductors</v>
      </c>
      <c r="C15853" s="6">
        <v>6000</v>
      </c>
      <c r="D15853" s="7">
        <v>0.38</v>
      </c>
    </row>
    <row r="15854" spans="1:4" x14ac:dyDescent="0.25">
      <c r="A15854" t="str">
        <f>HYPERLINK("https://www.773grp.com/globalSearch/BF840215/page-1", "BF840215")</f>
        <v>BF840215</v>
      </c>
      <c r="B15854" s="3" t="str">
        <f>HYPERLINK("https://www.773grp.com/manufacturer/nxp-semiconductor?pageNo=30", "NXP Semiconductors")</f>
        <v>NXP Semiconductors</v>
      </c>
      <c r="C15854" s="6">
        <v>12000</v>
      </c>
      <c r="D15854" s="7">
        <v>0.38</v>
      </c>
    </row>
    <row r="15855" spans="1:4" x14ac:dyDescent="0.25">
      <c r="A15855" t="str">
        <f>HYPERLINK("https://www.773grp.com/globalSearch/BFG425W115/page-1", "BFG425W115")</f>
        <v>BFG425W115</v>
      </c>
      <c r="B15855" s="3" t="str">
        <f>HYPERLINK("https://www.773grp.com/manufacturer/nxp-semiconductor?pageNo=31", "NXP Semiconductors")</f>
        <v>NXP Semiconductors</v>
      </c>
      <c r="C15855" s="6">
        <v>84000</v>
      </c>
      <c r="D15855" s="7">
        <v>0.38</v>
      </c>
    </row>
    <row r="15856" spans="1:4" x14ac:dyDescent="0.25">
      <c r="A15856" t="str">
        <f>HYPERLINK("https://www.773grp.com/globalSearch/BFR92A215/page-1", "BFR92A215")</f>
        <v>BFR92A215</v>
      </c>
      <c r="B15856" s="3" t="str">
        <f>HYPERLINK("https://www.773grp.com/manufacturer/nxp-semiconductor?pageNo=32", "NXP Semiconductors")</f>
        <v>NXP Semiconductors</v>
      </c>
      <c r="C15856" s="6">
        <v>329500</v>
      </c>
      <c r="D15856" s="7">
        <v>0.38</v>
      </c>
    </row>
    <row r="15857" spans="1:4" x14ac:dyDescent="0.25">
      <c r="A15857" t="str">
        <f>HYPERLINK("https://www.773grp.com/globalSearch/BFR92AW115/page-1", "BFR92AW115")</f>
        <v>BFR92AW115</v>
      </c>
      <c r="B15857" s="3" t="str">
        <f>HYPERLINK("https://www.773grp.com/manufacturer/nxp-semiconductor?pageNo=33", "NXP Semiconductors")</f>
        <v>NXP Semiconductors</v>
      </c>
      <c r="C15857" s="6">
        <v>23309</v>
      </c>
      <c r="D15857" s="7">
        <v>0.38</v>
      </c>
    </row>
    <row r="15858" spans="1:4" x14ac:dyDescent="0.25">
      <c r="A15858" t="str">
        <f>HYPERLINK("https://www.773grp.com/globalSearch/BFR93AR215/page-1", "BFR93AR215")</f>
        <v>BFR93AR215</v>
      </c>
      <c r="B15858" s="3" t="str">
        <f>HYPERLINK("https://www.773grp.com/manufacturer/nxp-semiconductor?pageNo=34", "NXP Semiconductors")</f>
        <v>NXP Semiconductors</v>
      </c>
      <c r="C15858" s="6">
        <v>5197</v>
      </c>
      <c r="D15858" s="7">
        <v>0.38</v>
      </c>
    </row>
    <row r="15859" spans="1:4" x14ac:dyDescent="0.25">
      <c r="A15859" t="str">
        <f>HYPERLINK("https://www.773grp.com/globalSearch/BFR93AW115/page-1", "BFR93AW115")</f>
        <v>BFR93AW115</v>
      </c>
      <c r="B15859" s="3" t="str">
        <f>HYPERLINK("https://www.773grp.com/manufacturer/nxp-semiconductor?pageNo=35", "NXP Semiconductors")</f>
        <v>NXP Semiconductors</v>
      </c>
      <c r="C15859" s="6">
        <v>12748</v>
      </c>
      <c r="D15859" s="7">
        <v>0.38</v>
      </c>
    </row>
    <row r="15860" spans="1:4" x14ac:dyDescent="0.25">
      <c r="A15860" t="str">
        <f>HYPERLINK("https://www.773grp.com/globalSearch/BFS19215/page-1", "BFS19215")</f>
        <v>BFS19215</v>
      </c>
      <c r="B15860" s="3" t="str">
        <f>HYPERLINK("https://www.773grp.com/manufacturer/nxp-semiconductor?pageNo=36", "NXP Semiconductors")</f>
        <v>NXP Semiconductors</v>
      </c>
      <c r="C15860" s="6">
        <v>12400</v>
      </c>
      <c r="D15860" s="7">
        <v>0.38</v>
      </c>
    </row>
    <row r="15861" spans="1:4" x14ac:dyDescent="0.25">
      <c r="A15861" t="str">
        <f>HYPERLINK("https://www.773grp.com/globalSearch/BFS20215/page-1", "BFS20215")</f>
        <v>BFS20215</v>
      </c>
      <c r="B15861" s="3" t="str">
        <f>HYPERLINK("https://www.773grp.com/manufacturer/nxp-semiconductor?pageNo=37", "NXP Semiconductors")</f>
        <v>NXP Semiconductors</v>
      </c>
      <c r="C15861" s="6">
        <v>11850</v>
      </c>
      <c r="D15861" s="7">
        <v>0.38</v>
      </c>
    </row>
    <row r="15862" spans="1:4" x14ac:dyDescent="0.25">
      <c r="A15862" t="str">
        <f>HYPERLINK("https://www.773grp.com/globalSearch/BGA2709115/page-1", "BGA2709115")</f>
        <v>BGA2709115</v>
      </c>
      <c r="B15862" s="3" t="str">
        <f>HYPERLINK("https://www.773grp.com/manufacturer/nxp-semiconductor?pageNo=38", "NXP Semiconductors")</f>
        <v>NXP Semiconductors</v>
      </c>
      <c r="C15862" s="6">
        <v>48000</v>
      </c>
      <c r="D15862" s="7">
        <v>0.38</v>
      </c>
    </row>
    <row r="15863" spans="1:4" x14ac:dyDescent="0.25">
      <c r="A15863" t="str">
        <f>HYPERLINK("https://www.773grp.com/globalSearch/BGA2712115/page-1", "BGA2712115")</f>
        <v>BGA2712115</v>
      </c>
      <c r="B15863" s="3" t="str">
        <f>HYPERLINK("https://www.773grp.com/manufacturer/nxp-semiconductor?pageNo=39", "NXP Semiconductors")</f>
        <v>NXP Semiconductors</v>
      </c>
      <c r="C15863" s="6">
        <v>3740</v>
      </c>
      <c r="D15863" s="7">
        <v>0.38</v>
      </c>
    </row>
    <row r="15864" spans="1:4" x14ac:dyDescent="0.25">
      <c r="A15864" t="str">
        <f>HYPERLINK("https://www.773grp.com/globalSearch/BGA2712115/page-1", "BGA2712115")</f>
        <v>BGA2712115</v>
      </c>
      <c r="B15864" s="3" t="str">
        <f>HYPERLINK("https://www.773grp.com/manufacturer/nxp-semiconductor?pageNo=40", "NXP Semiconductors")</f>
        <v>NXP Semiconductors</v>
      </c>
      <c r="C15864" s="6">
        <v>9000</v>
      </c>
      <c r="D15864" s="7">
        <v>0.38</v>
      </c>
    </row>
    <row r="15865" spans="1:4" x14ac:dyDescent="0.25">
      <c r="A15865" t="str">
        <f>HYPERLINK("https://www.773grp.com/globalSearch/BGA2716115/page-1", "BGA2716115")</f>
        <v>BGA2716115</v>
      </c>
      <c r="B15865" s="3" t="str">
        <f>HYPERLINK("https://www.773grp.com/manufacturer/nxp-semiconductor?pageNo=41", "NXP Semiconductors")</f>
        <v>NXP Semiconductors</v>
      </c>
      <c r="C15865" s="6">
        <v>19764</v>
      </c>
      <c r="D15865" s="7">
        <v>0.38</v>
      </c>
    </row>
    <row r="15866" spans="1:4" x14ac:dyDescent="0.25">
      <c r="A15866" t="str">
        <f>HYPERLINK("https://www.773grp.com/globalSearch/BGA2817115/page-1", "BGA2817115")</f>
        <v>BGA2817115</v>
      </c>
      <c r="B15866" s="3" t="str">
        <f>HYPERLINK("https://www.773grp.com/manufacturer/nxp-semiconductor?pageNo=42", "NXP Semiconductors")</f>
        <v>NXP Semiconductors</v>
      </c>
      <c r="C15866" s="6">
        <v>5945</v>
      </c>
      <c r="D15866" s="7">
        <v>0.38</v>
      </c>
    </row>
    <row r="15867" spans="1:4" x14ac:dyDescent="0.25">
      <c r="A15867" t="str">
        <f>HYPERLINK("https://www.773grp.com/globalSearch/BGM1012115/page-1", "BGM1012115")</f>
        <v>BGM1012115</v>
      </c>
      <c r="B15867" s="3" t="str">
        <f>HYPERLINK("https://www.773grp.com/manufacturer/nxp-semiconductor?pageNo=43", "NXP Semiconductors")</f>
        <v>NXP Semiconductors</v>
      </c>
      <c r="C15867" s="6">
        <v>6000</v>
      </c>
      <c r="D15867" s="7">
        <v>0.38</v>
      </c>
    </row>
    <row r="15868" spans="1:4" x14ac:dyDescent="0.25">
      <c r="A15868" t="str">
        <f>HYPERLINK("https://www.773grp.com/globalSearch/BSN20215/page-1", "BSN20215")</f>
        <v>BSN20215</v>
      </c>
      <c r="B15868" s="3" t="str">
        <f>HYPERLINK("https://www.773grp.com/manufacturer/nxp-semiconductor?pageNo=44", "NXP Semiconductors")</f>
        <v>NXP Semiconductors</v>
      </c>
      <c r="C15868" s="6">
        <v>366000</v>
      </c>
      <c r="D15868" s="7">
        <v>0.38</v>
      </c>
    </row>
    <row r="15869" spans="1:4" x14ac:dyDescent="0.25">
      <c r="A15869" t="str">
        <f>HYPERLINK("https://www.773grp.com/globalSearch/BSR19A215/page-1", "BSR19A215")</f>
        <v>BSR19A215</v>
      </c>
      <c r="B15869" s="3" t="str">
        <f>HYPERLINK("https://www.773grp.com/manufacturer/nxp-semiconductor?pageNo=45", "NXP Semiconductors")</f>
        <v>NXP Semiconductors</v>
      </c>
      <c r="C15869" s="6">
        <v>27000</v>
      </c>
      <c r="D15869" s="7">
        <v>0.38</v>
      </c>
    </row>
    <row r="15870" spans="1:4" x14ac:dyDescent="0.25">
      <c r="A15870" t="str">
        <f>HYPERLINK("https://www.773grp.com/globalSearch/BT131-600116/page-1", "BT131-600116")</f>
        <v>BT131-600116</v>
      </c>
      <c r="B15870" s="3" t="str">
        <f>HYPERLINK("https://www.773grp.com/manufacturer/nxp-semiconductor?pageNo=46", "NXP Semiconductors")</f>
        <v>NXP Semiconductors</v>
      </c>
      <c r="C15870" s="6">
        <v>10008</v>
      </c>
      <c r="D15870" s="7">
        <v>0.38</v>
      </c>
    </row>
    <row r="15871" spans="1:4" x14ac:dyDescent="0.25">
      <c r="A15871" t="str">
        <f>HYPERLINK("https://www.773grp.com/globalSearch/BT131-600412/page-1", "BT131-600412")</f>
        <v>BT131-600412</v>
      </c>
      <c r="B15871" s="3" t="str">
        <f>HYPERLINK("https://www.773grp.com/manufacturer/nxp-semiconductor?pageNo=47", "NXP Semiconductors")</f>
        <v>NXP Semiconductors</v>
      </c>
      <c r="C15871" s="6">
        <v>5000</v>
      </c>
      <c r="D15871" s="7">
        <v>0.38</v>
      </c>
    </row>
    <row r="15872" spans="1:4" x14ac:dyDescent="0.25">
      <c r="A15872" t="str">
        <f>HYPERLINK("https://www.773grp.com/globalSearch/BT131-600D412/page-1", "BT131-600D412")</f>
        <v>BT131-600D412</v>
      </c>
      <c r="B15872" s="3" t="str">
        <f>HYPERLINK("https://www.773grp.com/manufacturer/nxp-semiconductor?pageNo=48", "NXP Semiconductors")</f>
        <v>NXP Semiconductors</v>
      </c>
      <c r="C15872" s="6">
        <v>100</v>
      </c>
      <c r="D15872" s="7">
        <v>0.38</v>
      </c>
    </row>
    <row r="15873" spans="1:4" x14ac:dyDescent="0.25">
      <c r="A15873" t="str">
        <f>HYPERLINK("https://www.773grp.com/globalSearch/BT131-800116/page-1", "BT131-800116")</f>
        <v>BT131-800116</v>
      </c>
      <c r="B15873" s="3" t="str">
        <f>HYPERLINK("https://www.773grp.com/manufacturer/nxp-semiconductor?pageNo=1", "NXP Semiconductors")</f>
        <v>NXP Semiconductors</v>
      </c>
      <c r="C15873" s="6">
        <v>9760</v>
      </c>
      <c r="D15873" s="7">
        <v>0.38</v>
      </c>
    </row>
    <row r="15874" spans="1:4" x14ac:dyDescent="0.25">
      <c r="A15874" t="str">
        <f>HYPERLINK("https://www.773grp.com/globalSearch/BT131-800D112/page-1", "BT131-800D112")</f>
        <v>BT131-800D112</v>
      </c>
      <c r="B15874" s="3" t="str">
        <f>HYPERLINK("https://www.773grp.com/manufacturer/nxp-semiconductor?pageNo=2", "NXP Semiconductors")</f>
        <v>NXP Semiconductors</v>
      </c>
      <c r="C15874" s="6">
        <v>10024</v>
      </c>
      <c r="D15874" s="7">
        <v>0.38</v>
      </c>
    </row>
    <row r="15875" spans="1:4" x14ac:dyDescent="0.25">
      <c r="A15875" t="str">
        <f>HYPERLINK("https://www.773grp.com/globalSearch/BT131-800D412/page-1", "BT131-800D412")</f>
        <v>BT131-800D412</v>
      </c>
      <c r="B15875" s="3" t="str">
        <f>HYPERLINK("https://www.773grp.com/manufacturer/nxp-semiconductor?pageNo=3", "NXP Semiconductors")</f>
        <v>NXP Semiconductors</v>
      </c>
      <c r="C15875" s="6">
        <v>200</v>
      </c>
      <c r="D15875" s="7">
        <v>0.38</v>
      </c>
    </row>
    <row r="15876" spans="1:4" x14ac:dyDescent="0.25">
      <c r="A15876" t="str">
        <f>HYPERLINK("https://www.773grp.com/globalSearch/BT131-800E412/page-1", "BT131-800E412")</f>
        <v>BT131-800E412</v>
      </c>
      <c r="B15876" s="3" t="str">
        <f>HYPERLINK("https://www.773grp.com/manufacturer/nxp-semiconductor?pageNo=4", "NXP Semiconductors")</f>
        <v>NXP Semiconductors</v>
      </c>
      <c r="C15876" s="6">
        <v>4919</v>
      </c>
      <c r="D15876" s="7">
        <v>0.38</v>
      </c>
    </row>
    <row r="15877" spans="1:4" x14ac:dyDescent="0.25">
      <c r="A15877" t="str">
        <f>HYPERLINK("https://www.773grp.com/globalSearch/BT168GW115/page-1", "BT168GW115")</f>
        <v>BT168GW115</v>
      </c>
      <c r="B15877" s="3" t="str">
        <f>HYPERLINK("https://www.773grp.com/manufacturer/nxp-semiconductor?pageNo=5", "NXP Semiconductors")</f>
        <v>NXP Semiconductors</v>
      </c>
      <c r="C15877" s="6">
        <v>50</v>
      </c>
      <c r="D15877" s="7">
        <v>0.38</v>
      </c>
    </row>
    <row r="15878" spans="1:4" x14ac:dyDescent="0.25">
      <c r="A15878" t="str">
        <f>HYPERLINK("https://www.773grp.com/globalSearch/BUJ100412/page-1", "BUJ100412")</f>
        <v>BUJ100412</v>
      </c>
      <c r="B15878" s="3" t="str">
        <f>HYPERLINK("https://www.773grp.com/manufacturer/nxp-semiconductor?pageNo=6", "NXP Semiconductors")</f>
        <v>NXP Semiconductors</v>
      </c>
      <c r="C15878" s="6">
        <v>5000</v>
      </c>
      <c r="D15878" s="7">
        <v>0.38</v>
      </c>
    </row>
    <row r="15879" spans="1:4" x14ac:dyDescent="0.25">
      <c r="A15879" t="str">
        <f>HYPERLINK("https://www.773grp.com/globalSearch/HEF4011BT652/page-1", "HEF4011BT652")</f>
        <v>HEF4011BT652</v>
      </c>
      <c r="B15879" s="3" t="str">
        <f>HYPERLINK("https://www.773grp.com/manufacturer/nxp-semiconductor?pageNo=7", "NXP Semiconductors")</f>
        <v>NXP Semiconductors</v>
      </c>
      <c r="C15879" s="6">
        <v>7980</v>
      </c>
      <c r="D15879" s="7">
        <v>0.38</v>
      </c>
    </row>
    <row r="15880" spans="1:4" x14ac:dyDescent="0.25">
      <c r="A15880" t="str">
        <f>HYPERLINK("https://www.773grp.com/globalSearch/HEF4011BT653/page-1", "HEF4011BT653")</f>
        <v>HEF4011BT653</v>
      </c>
      <c r="B15880" s="3" t="str">
        <f>HYPERLINK("https://www.773grp.com/manufacturer/nxp-semiconductor?pageNo=8", "NXP Semiconductors")</f>
        <v>NXP Semiconductors</v>
      </c>
      <c r="C15880" s="6">
        <v>4068</v>
      </c>
      <c r="D15880" s="7">
        <v>0.38</v>
      </c>
    </row>
    <row r="15881" spans="1:4" x14ac:dyDescent="0.25">
      <c r="A15881" t="str">
        <f>HYPERLINK("https://www.773grp.com/globalSearch/HEF4069UBT652/page-1", "HEF4069UBT652")</f>
        <v>HEF4069UBT652</v>
      </c>
      <c r="B15881" s="3" t="str">
        <f>HYPERLINK("https://www.773grp.com/manufacturer/nxp-semiconductor?pageNo=9", "NXP Semiconductors")</f>
        <v>NXP Semiconductors</v>
      </c>
      <c r="C15881" s="6">
        <v>2000</v>
      </c>
      <c r="D15881" s="7">
        <v>0.38</v>
      </c>
    </row>
    <row r="15882" spans="1:4" x14ac:dyDescent="0.25">
      <c r="A15882" t="str">
        <f>HYPERLINK("https://www.773grp.com/globalSearch/HEF4069UBT653/page-1", "HEF4069UBT653")</f>
        <v>HEF4069UBT653</v>
      </c>
      <c r="B15882" s="3" t="str">
        <f>HYPERLINK("https://www.773grp.com/manufacturer/nxp-semiconductor?pageNo=10", "NXP Semiconductors")</f>
        <v>NXP Semiconductors</v>
      </c>
      <c r="C15882" s="6">
        <v>27678</v>
      </c>
      <c r="D15882" s="7">
        <v>0.38</v>
      </c>
    </row>
    <row r="15883" spans="1:4" x14ac:dyDescent="0.25">
      <c r="A15883" t="str">
        <f>HYPERLINK("https://www.773grp.com/globalSearch/HEF4071BT653/page-1", "HEF4071BT653")</f>
        <v>HEF4071BT653</v>
      </c>
      <c r="B15883" s="3" t="str">
        <f>HYPERLINK("https://www.773grp.com/manufacturer/nxp-semiconductor?pageNo=11", "NXP Semiconductors")</f>
        <v>NXP Semiconductors</v>
      </c>
      <c r="C15883" s="6">
        <v>7500</v>
      </c>
      <c r="D15883" s="7">
        <v>0.38</v>
      </c>
    </row>
    <row r="15884" spans="1:4" x14ac:dyDescent="0.25">
      <c r="A15884" t="str">
        <f>HYPERLINK("https://www.773grp.com/globalSearch/IP4042CX5-LF135/page-1", "IP4042CX5-LF135")</f>
        <v>IP4042CX5-LF135</v>
      </c>
      <c r="B15884" s="3" t="str">
        <f>HYPERLINK("https://www.773grp.com/manufacturer/nxp-semiconductor?pageNo=12", "NXP Semiconductors")</f>
        <v>NXP Semiconductors</v>
      </c>
      <c r="C15884" s="6">
        <v>9000</v>
      </c>
      <c r="D15884" s="7">
        <v>0.38</v>
      </c>
    </row>
    <row r="15885" spans="1:4" x14ac:dyDescent="0.25">
      <c r="A15885" t="str">
        <f>HYPERLINK("https://www.773grp.com/globalSearch/IP4048CX5-LF135/page-1", "IP4048CX5-LF135")</f>
        <v>IP4048CX5-LF135</v>
      </c>
      <c r="B15885" s="3" t="str">
        <f>HYPERLINK("https://www.773grp.com/manufacturer/nxp-semiconductor?pageNo=13", "NXP Semiconductors")</f>
        <v>NXP Semiconductors</v>
      </c>
      <c r="C15885" s="6">
        <v>4500</v>
      </c>
      <c r="D15885" s="7">
        <v>0.38</v>
      </c>
    </row>
    <row r="15886" spans="1:4" x14ac:dyDescent="0.25">
      <c r="A15886" t="str">
        <f>HYPERLINK("https://www.773grp.com/globalSearch/IP4364CX8-LF-P135/page-1", "IP4364CX8-LF-P135")</f>
        <v>IP4364CX8-LF-P135</v>
      </c>
      <c r="B15886" s="3" t="str">
        <f>HYPERLINK("https://www.773grp.com/manufacturer/nxp-semiconductor?pageNo=14", "NXP Semiconductors")</f>
        <v>NXP Semiconductors</v>
      </c>
      <c r="C15886" s="6">
        <v>4500</v>
      </c>
      <c r="D15886" s="7">
        <v>0.38</v>
      </c>
    </row>
    <row r="15887" spans="1:4" x14ac:dyDescent="0.25">
      <c r="A15887" t="str">
        <f>HYPERLINK("https://www.773grp.com/globalSearch/IP4385CX4-LF135/page-1", "IP4385CX4-LF135")</f>
        <v>IP4385CX4-LF135</v>
      </c>
      <c r="B15887" s="3" t="str">
        <f>HYPERLINK("https://www.773grp.com/manufacturer/nxp-semiconductor?pageNo=15", "NXP Semiconductors")</f>
        <v>NXP Semiconductors</v>
      </c>
      <c r="C15887" s="6">
        <v>12873</v>
      </c>
      <c r="D15887" s="7">
        <v>0.38</v>
      </c>
    </row>
    <row r="15888" spans="1:4" x14ac:dyDescent="0.25">
      <c r="A15888" t="str">
        <f>HYPERLINK("https://www.773grp.com/globalSearch/LD6805K-12H115/page-1", "LD6805K-12H115")</f>
        <v>LD6805K-12H115</v>
      </c>
      <c r="B15888" s="3" t="str">
        <f>HYPERLINK("https://www.773grp.com/manufacturer/nxp-semiconductor?pageNo=16", "NXP Semiconductors")</f>
        <v>NXP Semiconductors</v>
      </c>
      <c r="C15888" s="6">
        <v>10000</v>
      </c>
      <c r="D15888" s="7">
        <v>0.38</v>
      </c>
    </row>
    <row r="15889" spans="1:4" x14ac:dyDescent="0.25">
      <c r="A15889" t="str">
        <f>HYPERLINK("https://www.773grp.com/globalSearch/LD6805K-12P115/page-1", "LD6805K-12P115")</f>
        <v>LD6805K-12P115</v>
      </c>
      <c r="B15889" s="3" t="str">
        <f>HYPERLINK("https://www.773grp.com/manufacturer/nxp-semiconductor?pageNo=17", "NXP Semiconductors")</f>
        <v>NXP Semiconductors</v>
      </c>
      <c r="C15889" s="6">
        <v>19996</v>
      </c>
      <c r="D15889" s="7">
        <v>0.38</v>
      </c>
    </row>
    <row r="15890" spans="1:4" x14ac:dyDescent="0.25">
      <c r="A15890" t="str">
        <f>HYPERLINK("https://www.773grp.com/globalSearch/LD6805K-13H115/page-1", "LD6805K-13H115")</f>
        <v>LD6805K-13H115</v>
      </c>
      <c r="B15890" s="3" t="str">
        <f>HYPERLINK("https://www.773grp.com/manufacturer/nxp-semiconductor?pageNo=18", "NXP Semiconductors")</f>
        <v>NXP Semiconductors</v>
      </c>
      <c r="C15890" s="6">
        <v>10000</v>
      </c>
      <c r="D15890" s="7">
        <v>0.38</v>
      </c>
    </row>
    <row r="15891" spans="1:4" x14ac:dyDescent="0.25">
      <c r="A15891" t="str">
        <f>HYPERLINK("https://www.773grp.com/globalSearch/LD6805K-13P115/page-1", "LD6805K-13P115")</f>
        <v>LD6805K-13P115</v>
      </c>
      <c r="B15891" s="3" t="str">
        <f>HYPERLINK("https://www.773grp.com/manufacturer/nxp-semiconductor?pageNo=19", "NXP Semiconductors")</f>
        <v>NXP Semiconductors</v>
      </c>
      <c r="C15891" s="6">
        <v>10000</v>
      </c>
      <c r="D15891" s="7">
        <v>0.38</v>
      </c>
    </row>
    <row r="15892" spans="1:4" x14ac:dyDescent="0.25">
      <c r="A15892" t="str">
        <f>HYPERLINK("https://www.773grp.com/globalSearch/LD6805K-14H115/page-1", "LD6805K-14H115")</f>
        <v>LD6805K-14H115</v>
      </c>
      <c r="B15892" s="3" t="str">
        <f>HYPERLINK("https://www.773grp.com/manufacturer/nxp-semiconductor?pageNo=20", "NXP Semiconductors")</f>
        <v>NXP Semiconductors</v>
      </c>
      <c r="C15892" s="6">
        <v>10000</v>
      </c>
      <c r="D15892" s="7">
        <v>0.38</v>
      </c>
    </row>
    <row r="15893" spans="1:4" x14ac:dyDescent="0.25">
      <c r="A15893" t="str">
        <f>HYPERLINK("https://www.773grp.com/globalSearch/LD6805K-14P115/page-1", "LD6805K-14P115")</f>
        <v>LD6805K-14P115</v>
      </c>
      <c r="B15893" s="3" t="str">
        <f>HYPERLINK("https://www.773grp.com/manufacturer/nxp-semiconductor?pageNo=21", "NXP Semiconductors")</f>
        <v>NXP Semiconductors</v>
      </c>
      <c r="C15893" s="6">
        <v>10000</v>
      </c>
      <c r="D15893" s="7">
        <v>0.38</v>
      </c>
    </row>
    <row r="15894" spans="1:4" x14ac:dyDescent="0.25">
      <c r="A15894" t="str">
        <f>HYPERLINK("https://www.773grp.com/globalSearch/LD6805K-15P115/page-1", "LD6805K-15P115")</f>
        <v>LD6805K-15P115</v>
      </c>
      <c r="B15894" s="3" t="str">
        <f>HYPERLINK("https://www.773grp.com/manufacturer/nxp-semiconductor?pageNo=22", "NXP Semiconductors")</f>
        <v>NXP Semiconductors</v>
      </c>
      <c r="C15894" s="6">
        <v>10000</v>
      </c>
      <c r="D15894" s="7">
        <v>0.38</v>
      </c>
    </row>
    <row r="15895" spans="1:4" x14ac:dyDescent="0.25">
      <c r="A15895" t="str">
        <f>HYPERLINK("https://www.773grp.com/globalSearch/LD6805K-16H115/page-1", "LD6805K-16H115")</f>
        <v>LD6805K-16H115</v>
      </c>
      <c r="B15895" s="3" t="str">
        <f>HYPERLINK("https://www.773grp.com/manufacturer/nxp-semiconductor?pageNo=23", "NXP Semiconductors")</f>
        <v>NXP Semiconductors</v>
      </c>
      <c r="C15895" s="6">
        <v>10000</v>
      </c>
      <c r="D15895" s="7">
        <v>0.38</v>
      </c>
    </row>
    <row r="15896" spans="1:4" x14ac:dyDescent="0.25">
      <c r="A15896" t="str">
        <f>HYPERLINK("https://www.773grp.com/globalSearch/LD6805K-16P115/page-1", "LD6805K-16P115")</f>
        <v>LD6805K-16P115</v>
      </c>
      <c r="B15896" s="3" t="str">
        <f>HYPERLINK("https://www.773grp.com/manufacturer/nxp-semiconductor?pageNo=24", "NXP Semiconductors")</f>
        <v>NXP Semiconductors</v>
      </c>
      <c r="C15896" s="6">
        <v>10000</v>
      </c>
      <c r="D15896" s="7">
        <v>0.38</v>
      </c>
    </row>
    <row r="15897" spans="1:4" x14ac:dyDescent="0.25">
      <c r="A15897" t="str">
        <f>HYPERLINK("https://www.773grp.com/globalSearch/LD6805K-18H115/page-1", "LD6805K-18H115")</f>
        <v>LD6805K-18H115</v>
      </c>
      <c r="B15897" s="3" t="str">
        <f>HYPERLINK("https://www.773grp.com/manufacturer/nxp-semiconductor?pageNo=25", "NXP Semiconductors")</f>
        <v>NXP Semiconductors</v>
      </c>
      <c r="C15897" s="6">
        <v>10000</v>
      </c>
      <c r="D15897" s="7">
        <v>0.38</v>
      </c>
    </row>
    <row r="15898" spans="1:4" x14ac:dyDescent="0.25">
      <c r="A15898" t="str">
        <f>HYPERLINK("https://www.773grp.com/globalSearch/LD6805K-18P115/page-1", "LD6805K-18P115")</f>
        <v>LD6805K-18P115</v>
      </c>
      <c r="B15898" s="3" t="str">
        <f>HYPERLINK("https://www.773grp.com/manufacturer/nxp-semiconductor?pageNo=26", "NXP Semiconductors")</f>
        <v>NXP Semiconductors</v>
      </c>
      <c r="C15898" s="6">
        <v>10000</v>
      </c>
      <c r="D15898" s="7">
        <v>0.38</v>
      </c>
    </row>
    <row r="15899" spans="1:4" x14ac:dyDescent="0.25">
      <c r="A15899" t="str">
        <f>HYPERLINK("https://www.773grp.com/globalSearch/LD6805K-20H115/page-1", "LD6805K-20H115")</f>
        <v>LD6805K-20H115</v>
      </c>
      <c r="B15899" s="3" t="str">
        <f>HYPERLINK("https://www.773grp.com/manufacturer/nxp-semiconductor?pageNo=27", "NXP Semiconductors")</f>
        <v>NXP Semiconductors</v>
      </c>
      <c r="C15899" s="6">
        <v>10000</v>
      </c>
      <c r="D15899" s="7">
        <v>0.38</v>
      </c>
    </row>
    <row r="15900" spans="1:4" x14ac:dyDescent="0.25">
      <c r="A15900" t="str">
        <f>HYPERLINK("https://www.773grp.com/globalSearch/LD6805K-20P115/page-1", "LD6805K-20P115")</f>
        <v>LD6805K-20P115</v>
      </c>
      <c r="B15900" s="3" t="str">
        <f>HYPERLINK("https://www.773grp.com/manufacturer/nxp-semiconductor?pageNo=28", "NXP Semiconductors")</f>
        <v>NXP Semiconductors</v>
      </c>
      <c r="C15900" s="6">
        <v>10000</v>
      </c>
      <c r="D15900" s="7">
        <v>0.38</v>
      </c>
    </row>
    <row r="15901" spans="1:4" x14ac:dyDescent="0.25">
      <c r="A15901" t="str">
        <f>HYPERLINK("https://www.773grp.com/globalSearch/LD6805K-21P115/page-1", "LD6805K-21P115")</f>
        <v>LD6805K-21P115</v>
      </c>
      <c r="B15901" s="3" t="str">
        <f>HYPERLINK("https://www.773grp.com/manufacturer/nxp-semiconductor?pageNo=29", "NXP Semiconductors")</f>
        <v>NXP Semiconductors</v>
      </c>
      <c r="C15901" s="6">
        <v>10000</v>
      </c>
      <c r="D15901" s="7">
        <v>0.38</v>
      </c>
    </row>
    <row r="15902" spans="1:4" x14ac:dyDescent="0.25">
      <c r="A15902" t="str">
        <f>HYPERLINK("https://www.773grp.com/globalSearch/LD6805K-22H115/page-1", "LD6805K-22H115")</f>
        <v>LD6805K-22H115</v>
      </c>
      <c r="B15902" s="3" t="str">
        <f>HYPERLINK("https://www.773grp.com/manufacturer/nxp-semiconductor?pageNo=30", "NXP Semiconductors")</f>
        <v>NXP Semiconductors</v>
      </c>
      <c r="C15902" s="6">
        <v>10000</v>
      </c>
      <c r="D15902" s="7">
        <v>0.38</v>
      </c>
    </row>
    <row r="15903" spans="1:4" x14ac:dyDescent="0.25">
      <c r="A15903" t="str">
        <f>HYPERLINK("https://www.773grp.com/globalSearch/LD6805K-22P115/page-1", "LD6805K-22P115")</f>
        <v>LD6805K-22P115</v>
      </c>
      <c r="B15903" s="3" t="str">
        <f>HYPERLINK("https://www.773grp.com/manufacturer/nxp-semiconductor?pageNo=31", "NXP Semiconductors")</f>
        <v>NXP Semiconductors</v>
      </c>
      <c r="C15903" s="6">
        <v>10000</v>
      </c>
      <c r="D15903" s="7">
        <v>0.38</v>
      </c>
    </row>
    <row r="15904" spans="1:4" x14ac:dyDescent="0.25">
      <c r="A15904" t="str">
        <f>HYPERLINK("https://www.773grp.com/globalSearch/LD6805K-23H115/page-1", "LD6805K-23H115")</f>
        <v>LD6805K-23H115</v>
      </c>
      <c r="B15904" s="3" t="str">
        <f>HYPERLINK("https://www.773grp.com/manufacturer/nxp-semiconductor?pageNo=32", "NXP Semiconductors")</f>
        <v>NXP Semiconductors</v>
      </c>
      <c r="C15904" s="6">
        <v>10000</v>
      </c>
      <c r="D15904" s="7">
        <v>0.38</v>
      </c>
    </row>
    <row r="15905" spans="1:4" x14ac:dyDescent="0.25">
      <c r="A15905" t="str">
        <f>HYPERLINK("https://www.773grp.com/globalSearch/LD6805K-23P115/page-1", "LD6805K-23P115")</f>
        <v>LD6805K-23P115</v>
      </c>
      <c r="B15905" s="3" t="str">
        <f>HYPERLINK("https://www.773grp.com/manufacturer/nxp-semiconductor?pageNo=33", "NXP Semiconductors")</f>
        <v>NXP Semiconductors</v>
      </c>
      <c r="C15905" s="6">
        <v>10000</v>
      </c>
      <c r="D15905" s="7">
        <v>0.38</v>
      </c>
    </row>
    <row r="15906" spans="1:4" x14ac:dyDescent="0.25">
      <c r="A15906" t="str">
        <f>HYPERLINK("https://www.773grp.com/globalSearch/LD6805K-25H115/page-1", "LD6805K-25H115")</f>
        <v>LD6805K-25H115</v>
      </c>
      <c r="B15906" s="3" t="str">
        <f>HYPERLINK("https://www.773grp.com/manufacturer/nxp-semiconductor?pageNo=34", "NXP Semiconductors")</f>
        <v>NXP Semiconductors</v>
      </c>
      <c r="C15906" s="6">
        <v>10000</v>
      </c>
      <c r="D15906" s="7">
        <v>0.38</v>
      </c>
    </row>
    <row r="15907" spans="1:4" x14ac:dyDescent="0.25">
      <c r="A15907" t="str">
        <f>HYPERLINK("https://www.773grp.com/globalSearch/LD6805K-25P115/page-1", "LD6805K-25P115")</f>
        <v>LD6805K-25P115</v>
      </c>
      <c r="B15907" s="3" t="str">
        <f>HYPERLINK("https://www.773grp.com/manufacturer/nxp-semiconductor?pageNo=35", "NXP Semiconductors")</f>
        <v>NXP Semiconductors</v>
      </c>
      <c r="C15907" s="6">
        <v>10000</v>
      </c>
      <c r="D15907" s="7">
        <v>0.38</v>
      </c>
    </row>
    <row r="15908" spans="1:4" x14ac:dyDescent="0.25">
      <c r="A15908" t="str">
        <f>HYPERLINK("https://www.773grp.com/globalSearch/LD6805K-28H115/page-1", "LD6805K-28H115")</f>
        <v>LD6805K-28H115</v>
      </c>
      <c r="B15908" s="3" t="str">
        <f>HYPERLINK("https://www.773grp.com/manufacturer/nxp-semiconductor?pageNo=36", "NXP Semiconductors")</f>
        <v>NXP Semiconductors</v>
      </c>
      <c r="C15908" s="6">
        <v>18841</v>
      </c>
      <c r="D15908" s="7">
        <v>0.38</v>
      </c>
    </row>
    <row r="15909" spans="1:4" x14ac:dyDescent="0.25">
      <c r="A15909" t="str">
        <f>HYPERLINK("https://www.773grp.com/globalSearch/LD6805K-28P115/page-1", "LD6805K-28P115")</f>
        <v>LD6805K-28P115</v>
      </c>
      <c r="B15909" s="3" t="str">
        <f>HYPERLINK("https://www.773grp.com/manufacturer/nxp-semiconductor?pageNo=37", "NXP Semiconductors")</f>
        <v>NXP Semiconductors</v>
      </c>
      <c r="C15909" s="6">
        <v>8753</v>
      </c>
      <c r="D15909" s="7">
        <v>0.38</v>
      </c>
    </row>
    <row r="15910" spans="1:4" x14ac:dyDescent="0.25">
      <c r="A15910" t="str">
        <f>HYPERLINK("https://www.773grp.com/globalSearch/LD6805K-29H115/page-1", "LD6805K-29H115")</f>
        <v>LD6805K-29H115</v>
      </c>
      <c r="B15910" s="3" t="str">
        <f>HYPERLINK("https://www.773grp.com/manufacturer/nxp-semiconductor?pageNo=38", "NXP Semiconductors")</f>
        <v>NXP Semiconductors</v>
      </c>
      <c r="C15910" s="6">
        <v>10000</v>
      </c>
      <c r="D15910" s="7">
        <v>0.38</v>
      </c>
    </row>
    <row r="15911" spans="1:4" x14ac:dyDescent="0.25">
      <c r="A15911" t="str">
        <f>HYPERLINK("https://www.773grp.com/globalSearch/LD6805K-29P115/page-1", "LD6805K-29P115")</f>
        <v>LD6805K-29P115</v>
      </c>
      <c r="B15911" s="3" t="str">
        <f>HYPERLINK("https://www.773grp.com/manufacturer/nxp-semiconductor?pageNo=39", "NXP Semiconductors")</f>
        <v>NXP Semiconductors</v>
      </c>
      <c r="C15911" s="6">
        <v>10000</v>
      </c>
      <c r="D15911" s="7">
        <v>0.38</v>
      </c>
    </row>
    <row r="15912" spans="1:4" x14ac:dyDescent="0.25">
      <c r="A15912" t="str">
        <f>HYPERLINK("https://www.773grp.com/globalSearch/LD6805K-30H115/page-1", "LD6805K-30H115")</f>
        <v>LD6805K-30H115</v>
      </c>
      <c r="B15912" s="3" t="str">
        <f>HYPERLINK("https://www.773grp.com/manufacturer/nxp-semiconductor?pageNo=40", "NXP Semiconductors")</f>
        <v>NXP Semiconductors</v>
      </c>
      <c r="C15912" s="6">
        <v>15939</v>
      </c>
      <c r="D15912" s="7">
        <v>0.38</v>
      </c>
    </row>
    <row r="15913" spans="1:4" x14ac:dyDescent="0.25">
      <c r="A15913" t="str">
        <f>HYPERLINK("https://www.773grp.com/globalSearch/LD6805K-30P115/page-1", "LD6805K-30P115")</f>
        <v>LD6805K-30P115</v>
      </c>
      <c r="B15913" s="3" t="str">
        <f>HYPERLINK("https://www.773grp.com/manufacturer/nxp-semiconductor?pageNo=41", "NXP Semiconductors")</f>
        <v>NXP Semiconductors</v>
      </c>
      <c r="C15913" s="6">
        <v>25359</v>
      </c>
      <c r="D15913" s="7">
        <v>0.38</v>
      </c>
    </row>
    <row r="15914" spans="1:4" x14ac:dyDescent="0.25">
      <c r="A15914" t="str">
        <f>HYPERLINK("https://www.773grp.com/globalSearch/LD6805K-31H115/page-1", "LD6805K-31H115")</f>
        <v>LD6805K-31H115</v>
      </c>
      <c r="B15914" s="3" t="str">
        <f>HYPERLINK("https://www.773grp.com/manufacturer/nxp-semiconductor?pageNo=42", "NXP Semiconductors")</f>
        <v>NXP Semiconductors</v>
      </c>
      <c r="C15914" s="6">
        <v>88</v>
      </c>
      <c r="D15914" s="7">
        <v>0.38</v>
      </c>
    </row>
    <row r="15915" spans="1:4" x14ac:dyDescent="0.25">
      <c r="A15915" t="str">
        <f>HYPERLINK("https://www.773grp.com/globalSearch/LD6805K-33H115/page-1", "LD6805K-33H115")</f>
        <v>LD6805K-33H115</v>
      </c>
      <c r="B15915" s="3" t="str">
        <f>HYPERLINK("https://www.773grp.com/manufacturer/nxp-semiconductor?pageNo=43", "NXP Semiconductors")</f>
        <v>NXP Semiconductors</v>
      </c>
      <c r="C15915" s="6">
        <v>30000</v>
      </c>
      <c r="D15915" s="7">
        <v>0.38</v>
      </c>
    </row>
    <row r="15916" spans="1:4" x14ac:dyDescent="0.25">
      <c r="A15916" t="str">
        <f>HYPERLINK("https://www.773grp.com/globalSearch/LD6805K-33P115/page-1", "LD6805K-33P115")</f>
        <v>LD6805K-33P115</v>
      </c>
      <c r="B15916" s="3" t="str">
        <f>HYPERLINK("https://www.773grp.com/manufacturer/nxp-semiconductor?pageNo=44", "NXP Semiconductors")</f>
        <v>NXP Semiconductors</v>
      </c>
      <c r="C15916" s="6">
        <v>17063</v>
      </c>
      <c r="D15916" s="7">
        <v>0.38</v>
      </c>
    </row>
    <row r="15917" spans="1:4" x14ac:dyDescent="0.25">
      <c r="A15917" t="str">
        <f>HYPERLINK("https://www.773grp.com/globalSearch/LD6805K-36P115/page-1", "LD6805K-36P115")</f>
        <v>LD6805K-36P115</v>
      </c>
      <c r="B15917" s="3" t="str">
        <f>HYPERLINK("https://www.773grp.com/manufacturer/nxp-semiconductor?pageNo=45", "NXP Semiconductors")</f>
        <v>NXP Semiconductors</v>
      </c>
      <c r="C15917" s="6">
        <v>10000</v>
      </c>
      <c r="D15917" s="7">
        <v>0.38</v>
      </c>
    </row>
    <row r="15918" spans="1:4" x14ac:dyDescent="0.25">
      <c r="A15918" t="str">
        <f>HYPERLINK("https://www.773grp.com/globalSearch/LD6806CX4-12H315/page-1", "LD6806CX4-12H315")</f>
        <v>LD6806CX4-12H315</v>
      </c>
      <c r="B15918" s="3" t="str">
        <f>HYPERLINK("https://www.773grp.com/manufacturer/nxp-semiconductor?pageNo=46", "NXP Semiconductors")</f>
        <v>NXP Semiconductors</v>
      </c>
      <c r="C15918" s="6">
        <v>40097</v>
      </c>
      <c r="D15918" s="7">
        <v>0.38</v>
      </c>
    </row>
    <row r="15919" spans="1:4" x14ac:dyDescent="0.25">
      <c r="A15919" t="str">
        <f>HYPERLINK("https://www.773grp.com/globalSearch/LD6806CX4-12P315/page-1", "LD6806CX4-12P315")</f>
        <v>LD6806CX4-12P315</v>
      </c>
      <c r="B15919" s="3" t="str">
        <f>HYPERLINK("https://www.773grp.com/manufacturer/nxp-semiconductor?pageNo=47", "NXP Semiconductors")</f>
        <v>NXP Semiconductors</v>
      </c>
      <c r="C15919" s="6">
        <v>7697</v>
      </c>
      <c r="D15919" s="7">
        <v>0.38</v>
      </c>
    </row>
    <row r="15920" spans="1:4" x14ac:dyDescent="0.25">
      <c r="A15920" t="str">
        <f>HYPERLINK("https://www.773grp.com/globalSearch/LD6806CX4-13H315/page-1", "LD6806CX4-13H315")</f>
        <v>LD6806CX4-13H315</v>
      </c>
      <c r="B15920" s="3" t="str">
        <f>HYPERLINK("https://www.773grp.com/manufacturer/nxp-semiconductor?pageNo=48", "NXP Semiconductors")</f>
        <v>NXP Semiconductors</v>
      </c>
      <c r="C15920" s="6">
        <v>12724</v>
      </c>
      <c r="D15920" s="7">
        <v>0.38</v>
      </c>
    </row>
    <row r="15921" spans="1:4" x14ac:dyDescent="0.25">
      <c r="A15921" t="str">
        <f>HYPERLINK("https://www.773grp.com/globalSearch/LD6806CX4-13P315/page-1", "LD6806CX4-13P315")</f>
        <v>LD6806CX4-13P315</v>
      </c>
      <c r="B15921" s="3" t="str">
        <f>HYPERLINK("https://www.773grp.com/manufacturer/nxp-semiconductor?pageNo=1", "NXP Semiconductors")</f>
        <v>NXP Semiconductors</v>
      </c>
      <c r="C15921" s="6">
        <v>9000</v>
      </c>
      <c r="D15921" s="7">
        <v>0.38</v>
      </c>
    </row>
    <row r="15922" spans="1:4" x14ac:dyDescent="0.25">
      <c r="A15922" t="str">
        <f>HYPERLINK("https://www.773grp.com/globalSearch/LD6806CX4-14H315/page-1", "LD6806CX4-14H315")</f>
        <v>LD6806CX4-14H315</v>
      </c>
      <c r="B15922" s="3" t="str">
        <f>HYPERLINK("https://www.773grp.com/manufacturer/nxp-semiconductor?pageNo=2", "NXP Semiconductors")</f>
        <v>NXP Semiconductors</v>
      </c>
      <c r="C15922" s="6">
        <v>44950</v>
      </c>
      <c r="D15922" s="7">
        <v>0.38</v>
      </c>
    </row>
    <row r="15923" spans="1:4" x14ac:dyDescent="0.25">
      <c r="A15923" t="str">
        <f>HYPERLINK("https://www.773grp.com/globalSearch/LD6806CX4-14P315/page-1", "LD6806CX4-14P315")</f>
        <v>LD6806CX4-14P315</v>
      </c>
      <c r="B15923" s="3" t="str">
        <f>HYPERLINK("https://www.773grp.com/manufacturer/nxp-semiconductor?pageNo=3", "NXP Semiconductors")</f>
        <v>NXP Semiconductors</v>
      </c>
      <c r="C15923" s="6">
        <v>9000</v>
      </c>
      <c r="D15923" s="7">
        <v>0.38</v>
      </c>
    </row>
    <row r="15924" spans="1:4" x14ac:dyDescent="0.25">
      <c r="A15924" t="str">
        <f>HYPERLINK("https://www.773grp.com/globalSearch/LD6806CX4-16H315/page-1", "LD6806CX4-16H315")</f>
        <v>LD6806CX4-16H315</v>
      </c>
      <c r="B15924" s="3" t="str">
        <f>HYPERLINK("https://www.773grp.com/manufacturer/nxp-semiconductor?pageNo=4", "NXP Semiconductors")</f>
        <v>NXP Semiconductors</v>
      </c>
      <c r="C15924" s="6">
        <v>27840</v>
      </c>
      <c r="D15924" s="7">
        <v>0.38</v>
      </c>
    </row>
    <row r="15925" spans="1:4" x14ac:dyDescent="0.25">
      <c r="A15925" t="str">
        <f>HYPERLINK("https://www.773grp.com/globalSearch/LD6806CX4-16P315/page-1", "LD6806CX4-16P315")</f>
        <v>LD6806CX4-16P315</v>
      </c>
      <c r="B15925" s="3" t="str">
        <f>HYPERLINK("https://www.773grp.com/manufacturer/nxp-semiconductor?pageNo=5", "NXP Semiconductors")</f>
        <v>NXP Semiconductors</v>
      </c>
      <c r="C15925" s="6">
        <v>9000</v>
      </c>
      <c r="D15925" s="7">
        <v>0.38</v>
      </c>
    </row>
    <row r="15926" spans="1:4" x14ac:dyDescent="0.25">
      <c r="A15926" t="str">
        <f>HYPERLINK("https://www.773grp.com/globalSearch/LD6806CX4-18H315/page-1", "LD6806CX4-18H315")</f>
        <v>LD6806CX4-18H315</v>
      </c>
      <c r="B15926" s="3" t="str">
        <f>HYPERLINK("https://www.773grp.com/manufacturer/nxp-semiconductor?pageNo=6", "NXP Semiconductors")</f>
        <v>NXP Semiconductors</v>
      </c>
      <c r="C15926" s="6">
        <v>18300</v>
      </c>
      <c r="D15926" s="7">
        <v>0.38</v>
      </c>
    </row>
    <row r="15927" spans="1:4" x14ac:dyDescent="0.25">
      <c r="A15927" t="str">
        <f>HYPERLINK("https://www.773grp.com/globalSearch/LD6806CX4-18P315/page-1", "LD6806CX4-18P315")</f>
        <v>LD6806CX4-18P315</v>
      </c>
      <c r="B15927" s="3" t="str">
        <f>HYPERLINK("https://www.773grp.com/manufacturer/nxp-semiconductor?pageNo=7", "NXP Semiconductors")</f>
        <v>NXP Semiconductors</v>
      </c>
      <c r="C15927" s="6">
        <v>17694</v>
      </c>
      <c r="D15927" s="7">
        <v>0.38</v>
      </c>
    </row>
    <row r="15928" spans="1:4" x14ac:dyDescent="0.25">
      <c r="A15928" t="str">
        <f>HYPERLINK("https://www.773grp.com/globalSearch/LD6806CX4-20H315/page-1", "LD6806CX4-20H315")</f>
        <v>LD6806CX4-20H315</v>
      </c>
      <c r="B15928" s="3" t="str">
        <f>HYPERLINK("https://www.773grp.com/manufacturer/nxp-semiconductor?pageNo=8", "NXP Semiconductors")</f>
        <v>NXP Semiconductors</v>
      </c>
      <c r="C15928" s="6">
        <v>30399</v>
      </c>
      <c r="D15928" s="7">
        <v>0.38</v>
      </c>
    </row>
    <row r="15929" spans="1:4" x14ac:dyDescent="0.25">
      <c r="A15929" t="str">
        <f>HYPERLINK("https://www.773grp.com/globalSearch/LD6806CX4-20P315/page-1", "LD6806CX4-20P315")</f>
        <v>LD6806CX4-20P315</v>
      </c>
      <c r="B15929" s="3" t="str">
        <f>HYPERLINK("https://www.773grp.com/manufacturer/nxp-semiconductor?pageNo=9", "NXP Semiconductors")</f>
        <v>NXP Semiconductors</v>
      </c>
      <c r="C15929" s="6">
        <v>9000</v>
      </c>
      <c r="D15929" s="7">
        <v>0.38</v>
      </c>
    </row>
    <row r="15930" spans="1:4" x14ac:dyDescent="0.25">
      <c r="A15930" t="str">
        <f>HYPERLINK("https://www.773grp.com/globalSearch/LD6806CX4-22H315/page-1", "LD6806CX4-22H315")</f>
        <v>LD6806CX4-22H315</v>
      </c>
      <c r="B15930" s="3" t="str">
        <f>HYPERLINK("https://www.773grp.com/manufacturer/nxp-semiconductor?pageNo=10", "NXP Semiconductors")</f>
        <v>NXP Semiconductors</v>
      </c>
      <c r="C15930" s="6">
        <v>35348</v>
      </c>
      <c r="D15930" s="7">
        <v>0.38</v>
      </c>
    </row>
    <row r="15931" spans="1:4" x14ac:dyDescent="0.25">
      <c r="A15931" t="str">
        <f>HYPERLINK("https://www.773grp.com/globalSearch/LD6806CX4-22P315/page-1", "LD6806CX4-22P315")</f>
        <v>LD6806CX4-22P315</v>
      </c>
      <c r="B15931" s="3" t="str">
        <f>HYPERLINK("https://www.773grp.com/manufacturer/nxp-semiconductor?pageNo=11", "NXP Semiconductors")</f>
        <v>NXP Semiconductors</v>
      </c>
      <c r="C15931" s="6">
        <v>9000</v>
      </c>
      <c r="D15931" s="7">
        <v>0.38</v>
      </c>
    </row>
    <row r="15932" spans="1:4" x14ac:dyDescent="0.25">
      <c r="A15932" t="str">
        <f>HYPERLINK("https://www.773grp.com/globalSearch/LD6806CX4-23H315/page-1", "LD6806CX4-23H315")</f>
        <v>LD6806CX4-23H315</v>
      </c>
      <c r="B15932" s="3" t="str">
        <f>HYPERLINK("https://www.773grp.com/manufacturer/nxp-semiconductor?pageNo=12", "NXP Semiconductors")</f>
        <v>NXP Semiconductors</v>
      </c>
      <c r="C15932" s="6">
        <v>27499</v>
      </c>
      <c r="D15932" s="7">
        <v>0.38</v>
      </c>
    </row>
    <row r="15933" spans="1:4" x14ac:dyDescent="0.25">
      <c r="A15933" t="str">
        <f>HYPERLINK("https://www.773grp.com/globalSearch/LD6806CX4-23P315/page-1", "LD6806CX4-23P315")</f>
        <v>LD6806CX4-23P315</v>
      </c>
      <c r="B15933" s="3" t="str">
        <f>HYPERLINK("https://www.773grp.com/manufacturer/nxp-semiconductor?pageNo=13", "NXP Semiconductors")</f>
        <v>NXP Semiconductors</v>
      </c>
      <c r="C15933" s="6">
        <v>9000</v>
      </c>
      <c r="D15933" s="7">
        <v>0.38</v>
      </c>
    </row>
    <row r="15934" spans="1:4" x14ac:dyDescent="0.25">
      <c r="A15934" t="str">
        <f>HYPERLINK("https://www.773grp.com/globalSearch/LD6806CX4-25H315/page-1", "LD6806CX4-25H315")</f>
        <v>LD6806CX4-25H315</v>
      </c>
      <c r="B15934" s="3" t="str">
        <f>HYPERLINK("https://www.773grp.com/manufacturer/nxp-semiconductor?pageNo=14", "NXP Semiconductors")</f>
        <v>NXP Semiconductors</v>
      </c>
      <c r="C15934" s="6">
        <v>26078</v>
      </c>
      <c r="D15934" s="7">
        <v>0.38</v>
      </c>
    </row>
    <row r="15935" spans="1:4" x14ac:dyDescent="0.25">
      <c r="A15935" t="str">
        <f>HYPERLINK("https://www.773grp.com/globalSearch/LD6806CX4-25P315/page-1", "LD6806CX4-25P315")</f>
        <v>LD6806CX4-25P315</v>
      </c>
      <c r="B15935" s="3" t="str">
        <f>HYPERLINK("https://www.773grp.com/manufacturer/nxp-semiconductor?pageNo=15", "NXP Semiconductors")</f>
        <v>NXP Semiconductors</v>
      </c>
      <c r="C15935" s="6">
        <v>17750</v>
      </c>
      <c r="D15935" s="7">
        <v>0.38</v>
      </c>
    </row>
    <row r="15936" spans="1:4" x14ac:dyDescent="0.25">
      <c r="A15936" t="str">
        <f>HYPERLINK("https://www.773grp.com/globalSearch/LD6806CX4-27P315/page-1", "LD6806CX4-27P315")</f>
        <v>LD6806CX4-27P315</v>
      </c>
      <c r="B15936" s="3" t="str">
        <f>HYPERLINK("https://www.773grp.com/manufacturer/nxp-semiconductor?pageNo=16", "NXP Semiconductors")</f>
        <v>NXP Semiconductors</v>
      </c>
      <c r="C15936" s="6">
        <v>9000</v>
      </c>
      <c r="D15936" s="7">
        <v>0.38</v>
      </c>
    </row>
    <row r="15937" spans="1:4" x14ac:dyDescent="0.25">
      <c r="A15937" t="str">
        <f>HYPERLINK("https://www.773grp.com/globalSearch/LD6806CX4-28H315/page-1", "LD6806CX4-28H315")</f>
        <v>LD6806CX4-28H315</v>
      </c>
      <c r="B15937" s="3" t="str">
        <f>HYPERLINK("https://www.773grp.com/manufacturer/nxp-semiconductor?pageNo=17", "NXP Semiconductors")</f>
        <v>NXP Semiconductors</v>
      </c>
      <c r="C15937" s="6">
        <v>7644</v>
      </c>
      <c r="D15937" s="7">
        <v>0.38</v>
      </c>
    </row>
    <row r="15938" spans="1:4" x14ac:dyDescent="0.25">
      <c r="A15938" t="str">
        <f>HYPERLINK("https://www.773grp.com/globalSearch/LD6806CX4-28P315/page-1", "LD6806CX4-28P315")</f>
        <v>LD6806CX4-28P315</v>
      </c>
      <c r="B15938" s="3" t="str">
        <f>HYPERLINK("https://www.773grp.com/manufacturer/nxp-semiconductor?pageNo=18", "NXP Semiconductors")</f>
        <v>NXP Semiconductors</v>
      </c>
      <c r="C15938" s="6">
        <v>9000</v>
      </c>
      <c r="D15938" s="7">
        <v>0.38</v>
      </c>
    </row>
    <row r="15939" spans="1:4" x14ac:dyDescent="0.25">
      <c r="A15939" t="str">
        <f>HYPERLINK("https://www.773grp.com/globalSearch/LD6806CX4-29H315/page-1", "LD6806CX4-29H315")</f>
        <v>LD6806CX4-29H315</v>
      </c>
      <c r="B15939" s="3" t="str">
        <f>HYPERLINK("https://www.773grp.com/manufacturer/nxp-semiconductor?pageNo=19", "NXP Semiconductors")</f>
        <v>NXP Semiconductors</v>
      </c>
      <c r="C15939" s="6">
        <v>45336</v>
      </c>
      <c r="D15939" s="7">
        <v>0.38</v>
      </c>
    </row>
    <row r="15940" spans="1:4" x14ac:dyDescent="0.25">
      <c r="A15940" t="str">
        <f>HYPERLINK("https://www.773grp.com/globalSearch/LD6806CX4-29P315/page-1", "LD6806CX4-29P315")</f>
        <v>LD6806CX4-29P315</v>
      </c>
      <c r="B15940" s="3" t="str">
        <f>HYPERLINK("https://www.773grp.com/manufacturer/nxp-semiconductor?pageNo=20", "NXP Semiconductors")</f>
        <v>NXP Semiconductors</v>
      </c>
      <c r="C15940" s="6">
        <v>9000</v>
      </c>
      <c r="D15940" s="7">
        <v>0.38</v>
      </c>
    </row>
    <row r="15941" spans="1:4" x14ac:dyDescent="0.25">
      <c r="A15941" t="str">
        <f>HYPERLINK("https://www.773grp.com/globalSearch/LD6806CX4-30H315/page-1", "LD6806CX4-30H315")</f>
        <v>LD6806CX4-30H315</v>
      </c>
      <c r="B15941" s="3" t="str">
        <f>HYPERLINK("https://www.773grp.com/manufacturer/nxp-semiconductor?pageNo=21", "NXP Semiconductors")</f>
        <v>NXP Semiconductors</v>
      </c>
      <c r="C15941" s="6">
        <v>10329</v>
      </c>
      <c r="D15941" s="7">
        <v>0.38</v>
      </c>
    </row>
    <row r="15942" spans="1:4" x14ac:dyDescent="0.25">
      <c r="A15942" t="str">
        <f>HYPERLINK("https://www.773grp.com/globalSearch/LD6806CX4-30P315/page-1", "LD6806CX4-30P315")</f>
        <v>LD6806CX4-30P315</v>
      </c>
      <c r="B15942" s="3" t="str">
        <f>HYPERLINK("https://www.773grp.com/manufacturer/nxp-semiconductor?pageNo=22", "NXP Semiconductors")</f>
        <v>NXP Semiconductors</v>
      </c>
      <c r="C15942" s="6">
        <v>9000</v>
      </c>
      <c r="D15942" s="7">
        <v>0.38</v>
      </c>
    </row>
    <row r="15943" spans="1:4" x14ac:dyDescent="0.25">
      <c r="A15943" t="str">
        <f>HYPERLINK("https://www.773grp.com/globalSearch/LD6806CX4-33H315/page-1", "LD6806CX4-33H315")</f>
        <v>LD6806CX4-33H315</v>
      </c>
      <c r="B15943" s="3" t="str">
        <f>HYPERLINK("https://www.773grp.com/manufacturer/nxp-semiconductor?pageNo=23", "NXP Semiconductors")</f>
        <v>NXP Semiconductors</v>
      </c>
      <c r="C15943" s="6">
        <v>31982</v>
      </c>
      <c r="D15943" s="7">
        <v>0.38</v>
      </c>
    </row>
    <row r="15944" spans="1:4" x14ac:dyDescent="0.25">
      <c r="A15944" t="str">
        <f>HYPERLINK("https://www.773grp.com/globalSearch/LD6806CX4-33P315/page-1", "LD6806CX4-33P315")</f>
        <v>LD6806CX4-33P315</v>
      </c>
      <c r="B15944" s="3" t="str">
        <f>HYPERLINK("https://www.773grp.com/manufacturer/nxp-semiconductor?pageNo=24", "NXP Semiconductors")</f>
        <v>NXP Semiconductors</v>
      </c>
      <c r="C15944" s="6">
        <v>9000</v>
      </c>
      <c r="D15944" s="7">
        <v>0.38</v>
      </c>
    </row>
    <row r="15945" spans="1:4" x14ac:dyDescent="0.25">
      <c r="A15945" t="str">
        <f>HYPERLINK("https://www.773grp.com/globalSearch/LD6806CX4-36H315/page-1", "LD6806CX4-36H315")</f>
        <v>LD6806CX4-36H315</v>
      </c>
      <c r="B15945" s="3" t="str">
        <f>HYPERLINK("https://www.773grp.com/manufacturer/nxp-semiconductor?pageNo=25", "NXP Semiconductors")</f>
        <v>NXP Semiconductors</v>
      </c>
      <c r="C15945" s="6">
        <v>29567</v>
      </c>
      <c r="D15945" s="7">
        <v>0.38</v>
      </c>
    </row>
    <row r="15946" spans="1:4" x14ac:dyDescent="0.25">
      <c r="A15946" t="str">
        <f>HYPERLINK("https://www.773grp.com/globalSearch/LD6806CX4-36P315/page-1", "LD6806CX4-36P315")</f>
        <v>LD6806CX4-36P315</v>
      </c>
      <c r="B15946" s="3" t="str">
        <f>HYPERLINK("https://www.773grp.com/manufacturer/nxp-semiconductor?pageNo=26", "NXP Semiconductors")</f>
        <v>NXP Semiconductors</v>
      </c>
      <c r="C15946" s="6">
        <v>9000</v>
      </c>
      <c r="D15946" s="7">
        <v>0.38</v>
      </c>
    </row>
    <row r="15947" spans="1:4" x14ac:dyDescent="0.25">
      <c r="A15947" t="str">
        <f>HYPERLINK("https://www.773grp.com/globalSearch/LD6816CX4-12H315/page-1", "LD6816CX4-12H315")</f>
        <v>LD6816CX4-12H315</v>
      </c>
      <c r="B15947" s="3" t="str">
        <f>HYPERLINK("https://www.773grp.com/manufacturer/nxp-semiconductor?pageNo=27", "NXP Semiconductors")</f>
        <v>NXP Semiconductors</v>
      </c>
      <c r="C15947" s="6">
        <v>9000</v>
      </c>
      <c r="D15947" s="7">
        <v>0.38</v>
      </c>
    </row>
    <row r="15948" spans="1:4" x14ac:dyDescent="0.25">
      <c r="A15948" t="str">
        <f>HYPERLINK("https://www.773grp.com/globalSearch/LD6816CX4-12P315/page-1", "LD6816CX4-12P315")</f>
        <v>LD6816CX4-12P315</v>
      </c>
      <c r="B15948" s="3" t="str">
        <f>HYPERLINK("https://www.773grp.com/manufacturer/nxp-semiconductor?pageNo=28", "NXP Semiconductors")</f>
        <v>NXP Semiconductors</v>
      </c>
      <c r="C15948" s="6">
        <v>9000</v>
      </c>
      <c r="D15948" s="7">
        <v>0.38</v>
      </c>
    </row>
    <row r="15949" spans="1:4" x14ac:dyDescent="0.25">
      <c r="A15949" t="str">
        <f>HYPERLINK("https://www.773grp.com/globalSearch/LD6816CX4-13H315/page-1", "LD6816CX4-13H315")</f>
        <v>LD6816CX4-13H315</v>
      </c>
      <c r="B15949" s="3" t="str">
        <f>HYPERLINK("https://www.773grp.com/manufacturer/nxp-semiconductor?pageNo=29", "NXP Semiconductors")</f>
        <v>NXP Semiconductors</v>
      </c>
      <c r="C15949" s="6">
        <v>9000</v>
      </c>
      <c r="D15949" s="7">
        <v>0.38</v>
      </c>
    </row>
    <row r="15950" spans="1:4" x14ac:dyDescent="0.25">
      <c r="A15950" t="str">
        <f>HYPERLINK("https://www.773grp.com/globalSearch/LD6816CX4-13P315/page-1", "LD6816CX4-13P315")</f>
        <v>LD6816CX4-13P315</v>
      </c>
      <c r="B15950" s="3" t="str">
        <f>HYPERLINK("https://www.773grp.com/manufacturer/nxp-semiconductor?pageNo=30", "NXP Semiconductors")</f>
        <v>NXP Semiconductors</v>
      </c>
      <c r="C15950" s="6">
        <v>9000</v>
      </c>
      <c r="D15950" s="7">
        <v>0.38</v>
      </c>
    </row>
    <row r="15951" spans="1:4" x14ac:dyDescent="0.25">
      <c r="A15951" t="str">
        <f>HYPERLINK("https://www.773grp.com/globalSearch/LD6816CX4-14H315/page-1", "LD6816CX4-14H315")</f>
        <v>LD6816CX4-14H315</v>
      </c>
      <c r="B15951" s="3" t="str">
        <f>HYPERLINK("https://www.773grp.com/manufacturer/nxp-semiconductor?pageNo=31", "NXP Semiconductors")</f>
        <v>NXP Semiconductors</v>
      </c>
      <c r="C15951" s="6">
        <v>9000</v>
      </c>
      <c r="D15951" s="7">
        <v>0.38</v>
      </c>
    </row>
    <row r="15952" spans="1:4" x14ac:dyDescent="0.25">
      <c r="A15952" t="str">
        <f>HYPERLINK("https://www.773grp.com/globalSearch/LD6816CX4-14P315/page-1", "LD6816CX4-14P315")</f>
        <v>LD6816CX4-14P315</v>
      </c>
      <c r="B15952" s="3" t="str">
        <f>HYPERLINK("https://www.773grp.com/manufacturer/nxp-semiconductor?pageNo=32", "NXP Semiconductors")</f>
        <v>NXP Semiconductors</v>
      </c>
      <c r="C15952" s="6">
        <v>9000</v>
      </c>
      <c r="D15952" s="7">
        <v>0.38</v>
      </c>
    </row>
    <row r="15953" spans="1:4" x14ac:dyDescent="0.25">
      <c r="A15953" t="str">
        <f>HYPERLINK("https://www.773grp.com/globalSearch/LD6816CX4-16H315/page-1", "LD6816CX4-16H315")</f>
        <v>LD6816CX4-16H315</v>
      </c>
      <c r="B15953" s="3" t="str">
        <f>HYPERLINK("https://www.773grp.com/manufacturer/nxp-semiconductor?pageNo=33", "NXP Semiconductors")</f>
        <v>NXP Semiconductors</v>
      </c>
      <c r="C15953" s="6">
        <v>9000</v>
      </c>
      <c r="D15953" s="7">
        <v>0.38</v>
      </c>
    </row>
    <row r="15954" spans="1:4" x14ac:dyDescent="0.25">
      <c r="A15954" t="str">
        <f>HYPERLINK("https://www.773grp.com/globalSearch/LD6816CX4-16P315/page-1", "LD6816CX4-16P315")</f>
        <v>LD6816CX4-16P315</v>
      </c>
      <c r="B15954" s="3" t="str">
        <f>HYPERLINK("https://www.773grp.com/manufacturer/nxp-semiconductor?pageNo=34", "NXP Semiconductors")</f>
        <v>NXP Semiconductors</v>
      </c>
      <c r="C15954" s="6">
        <v>9000</v>
      </c>
      <c r="D15954" s="7">
        <v>0.38</v>
      </c>
    </row>
    <row r="15955" spans="1:4" x14ac:dyDescent="0.25">
      <c r="A15955" t="str">
        <f>HYPERLINK("https://www.773grp.com/globalSearch/LD6816CX4-18H315/page-1", "LD6816CX4-18H315")</f>
        <v>LD6816CX4-18H315</v>
      </c>
      <c r="B15955" s="3" t="str">
        <f>HYPERLINK("https://www.773grp.com/manufacturer/nxp-semiconductor?pageNo=35", "NXP Semiconductors")</f>
        <v>NXP Semiconductors</v>
      </c>
      <c r="C15955" s="6">
        <v>9000</v>
      </c>
      <c r="D15955" s="7">
        <v>0.38</v>
      </c>
    </row>
    <row r="15956" spans="1:4" x14ac:dyDescent="0.25">
      <c r="A15956" t="str">
        <f>HYPERLINK("https://www.773grp.com/globalSearch/LD6816CX4-18P315/page-1", "LD6816CX4-18P315")</f>
        <v>LD6816CX4-18P315</v>
      </c>
      <c r="B15956" s="3" t="str">
        <f>HYPERLINK("https://www.773grp.com/manufacturer/nxp-semiconductor?pageNo=36", "NXP Semiconductors")</f>
        <v>NXP Semiconductors</v>
      </c>
      <c r="C15956" s="6">
        <v>9000</v>
      </c>
      <c r="D15956" s="7">
        <v>0.38</v>
      </c>
    </row>
    <row r="15957" spans="1:4" x14ac:dyDescent="0.25">
      <c r="A15957" t="str">
        <f>HYPERLINK("https://www.773grp.com/globalSearch/LD6816CX4-20H315/page-1", "LD6816CX4-20H315")</f>
        <v>LD6816CX4-20H315</v>
      </c>
      <c r="B15957" s="3" t="str">
        <f>HYPERLINK("https://www.773grp.com/manufacturer/nxp-semiconductor?pageNo=37", "NXP Semiconductors")</f>
        <v>NXP Semiconductors</v>
      </c>
      <c r="C15957" s="6">
        <v>9000</v>
      </c>
      <c r="D15957" s="7">
        <v>0.38</v>
      </c>
    </row>
    <row r="15958" spans="1:4" x14ac:dyDescent="0.25">
      <c r="A15958" t="str">
        <f>HYPERLINK("https://www.773grp.com/globalSearch/LD6816CX4-20P315/page-1", "LD6816CX4-20P315")</f>
        <v>LD6816CX4-20P315</v>
      </c>
      <c r="B15958" s="3" t="str">
        <f>HYPERLINK("https://www.773grp.com/manufacturer/nxp-semiconductor?pageNo=38", "NXP Semiconductors")</f>
        <v>NXP Semiconductors</v>
      </c>
      <c r="C15958" s="6">
        <v>9000</v>
      </c>
      <c r="D15958" s="7">
        <v>0.38</v>
      </c>
    </row>
    <row r="15959" spans="1:4" x14ac:dyDescent="0.25">
      <c r="A15959" t="str">
        <f>HYPERLINK("https://www.773grp.com/globalSearch/LD6816CX4-22H315/page-1", "LD6816CX4-22H315")</f>
        <v>LD6816CX4-22H315</v>
      </c>
      <c r="B15959" s="3" t="str">
        <f>HYPERLINK("https://www.773grp.com/manufacturer/nxp-semiconductor?pageNo=39", "NXP Semiconductors")</f>
        <v>NXP Semiconductors</v>
      </c>
      <c r="C15959" s="6">
        <v>9000</v>
      </c>
      <c r="D15959" s="7">
        <v>0.38</v>
      </c>
    </row>
    <row r="15960" spans="1:4" x14ac:dyDescent="0.25">
      <c r="A15960" t="str">
        <f>HYPERLINK("https://www.773grp.com/globalSearch/LD6816CX4-22P315/page-1", "LD6816CX4-22P315")</f>
        <v>LD6816CX4-22P315</v>
      </c>
      <c r="B15960" s="3" t="str">
        <f>HYPERLINK("https://www.773grp.com/manufacturer/nxp-semiconductor?pageNo=40", "NXP Semiconductors")</f>
        <v>NXP Semiconductors</v>
      </c>
      <c r="C15960" s="6">
        <v>9000</v>
      </c>
      <c r="D15960" s="7">
        <v>0.38</v>
      </c>
    </row>
    <row r="15961" spans="1:4" x14ac:dyDescent="0.25">
      <c r="A15961" t="str">
        <f>HYPERLINK("https://www.773grp.com/globalSearch/LD6816CX4-23H315/page-1", "LD6816CX4-23H315")</f>
        <v>LD6816CX4-23H315</v>
      </c>
      <c r="B15961" s="3" t="str">
        <f>HYPERLINK("https://www.773grp.com/manufacturer/nxp-semiconductor?pageNo=41", "NXP Semiconductors")</f>
        <v>NXP Semiconductors</v>
      </c>
      <c r="C15961" s="6">
        <v>9000</v>
      </c>
      <c r="D15961" s="7">
        <v>0.38</v>
      </c>
    </row>
    <row r="15962" spans="1:4" x14ac:dyDescent="0.25">
      <c r="A15962" t="str">
        <f>HYPERLINK("https://www.773grp.com/globalSearch/LD6816CX4-23P315/page-1", "LD6816CX4-23P315")</f>
        <v>LD6816CX4-23P315</v>
      </c>
      <c r="B15962" s="3" t="str">
        <f>HYPERLINK("https://www.773grp.com/manufacturer/nxp-semiconductor?pageNo=42", "NXP Semiconductors")</f>
        <v>NXP Semiconductors</v>
      </c>
      <c r="C15962" s="6">
        <v>9000</v>
      </c>
      <c r="D15962" s="7">
        <v>0.38</v>
      </c>
    </row>
    <row r="15963" spans="1:4" x14ac:dyDescent="0.25">
      <c r="A15963" t="str">
        <f>HYPERLINK("https://www.773grp.com/globalSearch/LD6816CX4-25H315/page-1", "LD6816CX4-25H315")</f>
        <v>LD6816CX4-25H315</v>
      </c>
      <c r="B15963" s="3" t="str">
        <f>HYPERLINK("https://www.773grp.com/manufacturer/nxp-semiconductor?pageNo=43", "NXP Semiconductors")</f>
        <v>NXP Semiconductors</v>
      </c>
      <c r="C15963" s="6">
        <v>9000</v>
      </c>
      <c r="D15963" s="7">
        <v>0.38</v>
      </c>
    </row>
    <row r="15964" spans="1:4" x14ac:dyDescent="0.25">
      <c r="A15964" t="str">
        <f>HYPERLINK("https://www.773grp.com/globalSearch/LD6816CX4-25P315/page-1", "LD6816CX4-25P315")</f>
        <v>LD6816CX4-25P315</v>
      </c>
      <c r="B15964" s="3" t="str">
        <f>HYPERLINK("https://www.773grp.com/manufacturer/nxp-semiconductor?pageNo=44", "NXP Semiconductors")</f>
        <v>NXP Semiconductors</v>
      </c>
      <c r="C15964" s="6">
        <v>9000</v>
      </c>
      <c r="D15964" s="7">
        <v>0.38</v>
      </c>
    </row>
    <row r="15965" spans="1:4" x14ac:dyDescent="0.25">
      <c r="A15965" t="str">
        <f>HYPERLINK("https://www.773grp.com/globalSearch/LD6816CX4-27H315/page-1", "LD6816CX4-27H315")</f>
        <v>LD6816CX4-27H315</v>
      </c>
      <c r="B15965" s="3" t="str">
        <f>HYPERLINK("https://www.773grp.com/manufacturer/nxp-semiconductor?pageNo=45", "NXP Semiconductors")</f>
        <v>NXP Semiconductors</v>
      </c>
      <c r="C15965" s="6">
        <v>9000</v>
      </c>
      <c r="D15965" s="7">
        <v>0.38</v>
      </c>
    </row>
    <row r="15966" spans="1:4" x14ac:dyDescent="0.25">
      <c r="A15966" t="str">
        <f>HYPERLINK("https://www.773grp.com/globalSearch/LD6816CX4-27P315/page-1", "LD6816CX4-27P315")</f>
        <v>LD6816CX4-27P315</v>
      </c>
      <c r="B15966" s="3" t="str">
        <f>HYPERLINK("https://www.773grp.com/manufacturer/nxp-semiconductor?pageNo=46", "NXP Semiconductors")</f>
        <v>NXP Semiconductors</v>
      </c>
      <c r="C15966" s="6">
        <v>9000</v>
      </c>
      <c r="D15966" s="7">
        <v>0.38</v>
      </c>
    </row>
    <row r="15967" spans="1:4" x14ac:dyDescent="0.25">
      <c r="A15967" t="str">
        <f>HYPERLINK("https://www.773grp.com/globalSearch/LD6816CX4-28H315/page-1", "LD6816CX4-28H315")</f>
        <v>LD6816CX4-28H315</v>
      </c>
      <c r="B15967" s="3" t="str">
        <f>HYPERLINK("https://www.773grp.com/manufacturer/nxp-semiconductor?pageNo=47", "NXP Semiconductors")</f>
        <v>NXP Semiconductors</v>
      </c>
      <c r="C15967" s="6">
        <v>9000</v>
      </c>
      <c r="D15967" s="7">
        <v>0.38</v>
      </c>
    </row>
    <row r="15968" spans="1:4" x14ac:dyDescent="0.25">
      <c r="A15968" t="str">
        <f>HYPERLINK("https://www.773grp.com/globalSearch/LD6816CX4-28P315/page-1", "LD6816CX4-28P315")</f>
        <v>LD6816CX4-28P315</v>
      </c>
      <c r="B15968" s="3" t="str">
        <f>HYPERLINK("https://www.773grp.com/manufacturer/nxp-semiconductor?pageNo=48", "NXP Semiconductors")</f>
        <v>NXP Semiconductors</v>
      </c>
      <c r="C15968" s="6">
        <v>9000</v>
      </c>
      <c r="D15968" s="7">
        <v>0.38</v>
      </c>
    </row>
    <row r="15969" spans="1:4" x14ac:dyDescent="0.25">
      <c r="A15969" t="str">
        <f>HYPERLINK("https://www.773grp.com/globalSearch/LD6816CX4-29P315/page-1", "LD6816CX4-29P315")</f>
        <v>LD6816CX4-29P315</v>
      </c>
      <c r="B15969" s="3" t="str">
        <f>HYPERLINK("https://www.773grp.com/manufacturer/nxp-semiconductor?pageNo=1", "NXP Semiconductors")</f>
        <v>NXP Semiconductors</v>
      </c>
      <c r="C15969" s="6">
        <v>9000</v>
      </c>
      <c r="D15969" s="7">
        <v>0.38</v>
      </c>
    </row>
    <row r="15970" spans="1:4" x14ac:dyDescent="0.25">
      <c r="A15970" t="str">
        <f>HYPERLINK("https://www.773grp.com/globalSearch/LD6816CX4-30H315/page-1", "LD6816CX4-30H315")</f>
        <v>LD6816CX4-30H315</v>
      </c>
      <c r="B15970" s="3" t="str">
        <f>HYPERLINK("https://www.773grp.com/manufacturer/nxp-semiconductor?pageNo=2", "NXP Semiconductors")</f>
        <v>NXP Semiconductors</v>
      </c>
      <c r="C15970" s="6">
        <v>9000</v>
      </c>
      <c r="D15970" s="7">
        <v>0.38</v>
      </c>
    </row>
    <row r="15971" spans="1:4" x14ac:dyDescent="0.25">
      <c r="A15971" t="str">
        <f>HYPERLINK("https://www.773grp.com/globalSearch/LD6816CX4-30P315/page-1", "LD6816CX4-30P315")</f>
        <v>LD6816CX4-30P315</v>
      </c>
      <c r="B15971" s="3" t="str">
        <f>HYPERLINK("https://www.773grp.com/manufacturer/nxp-semiconductor?pageNo=3", "NXP Semiconductors")</f>
        <v>NXP Semiconductors</v>
      </c>
      <c r="C15971" s="6">
        <v>9000</v>
      </c>
      <c r="D15971" s="7">
        <v>0.38</v>
      </c>
    </row>
    <row r="15972" spans="1:4" x14ac:dyDescent="0.25">
      <c r="A15972" t="str">
        <f>HYPERLINK("https://www.773grp.com/globalSearch/LD6816CX4-33H315/page-1", "LD6816CX4-33H315")</f>
        <v>LD6816CX4-33H315</v>
      </c>
      <c r="B15972" s="3" t="str">
        <f>HYPERLINK("https://www.773grp.com/manufacturer/nxp-semiconductor?pageNo=4", "NXP Semiconductors")</f>
        <v>NXP Semiconductors</v>
      </c>
      <c r="C15972" s="6">
        <v>9000</v>
      </c>
      <c r="D15972" s="7">
        <v>0.38</v>
      </c>
    </row>
    <row r="15973" spans="1:4" x14ac:dyDescent="0.25">
      <c r="A15973" t="str">
        <f>HYPERLINK("https://www.773grp.com/globalSearch/LD6816CX4-33P315/page-1", "LD6816CX4-33P315")</f>
        <v>LD6816CX4-33P315</v>
      </c>
      <c r="B15973" s="3" t="str">
        <f>HYPERLINK("https://www.773grp.com/manufacturer/nxp-semiconductor?pageNo=5", "NXP Semiconductors")</f>
        <v>NXP Semiconductors</v>
      </c>
      <c r="C15973" s="6">
        <v>9000</v>
      </c>
      <c r="D15973" s="7">
        <v>0.38</v>
      </c>
    </row>
    <row r="15974" spans="1:4" x14ac:dyDescent="0.25">
      <c r="A15974" t="str">
        <f>HYPERLINK("https://www.773grp.com/globalSearch/LD6816CX4-36H315/page-1", "LD6816CX4-36H315")</f>
        <v>LD6816CX4-36H315</v>
      </c>
      <c r="B15974" s="3" t="str">
        <f>HYPERLINK("https://www.773grp.com/manufacturer/nxp-semiconductor?pageNo=6", "NXP Semiconductors")</f>
        <v>NXP Semiconductors</v>
      </c>
      <c r="C15974" s="6">
        <v>9000</v>
      </c>
      <c r="D15974" s="7">
        <v>0.38</v>
      </c>
    </row>
    <row r="15975" spans="1:4" x14ac:dyDescent="0.25">
      <c r="A15975" t="str">
        <f>HYPERLINK("https://www.773grp.com/globalSearch/LD6816CX4-36P315/page-1", "LD6816CX4-36P315")</f>
        <v>LD6816CX4-36P315</v>
      </c>
      <c r="B15975" s="3" t="str">
        <f>HYPERLINK("https://www.773grp.com/manufacturer/nxp-semiconductor?pageNo=7", "NXP Semiconductors")</f>
        <v>NXP Semiconductors</v>
      </c>
      <c r="C15975" s="6">
        <v>9000</v>
      </c>
      <c r="D15975" s="7">
        <v>0.38</v>
      </c>
    </row>
    <row r="15976" spans="1:4" x14ac:dyDescent="0.25">
      <c r="A15976" t="str">
        <f>HYPERLINK("https://www.773grp.com/globalSearch/MAC97A8412/page-1", "MAC97A8412")</f>
        <v>MAC97A8412</v>
      </c>
      <c r="B15976" s="3" t="str">
        <f>HYPERLINK("https://www.773grp.com/manufacturer/nxp-semiconductor?pageNo=8", "NXP Semiconductors")</f>
        <v>NXP Semiconductors</v>
      </c>
      <c r="C15976" s="6">
        <v>5000</v>
      </c>
      <c r="D15976" s="7">
        <v>0.38</v>
      </c>
    </row>
    <row r="15977" spans="1:4" x14ac:dyDescent="0.25">
      <c r="A15977" t="str">
        <f>HYPERLINK("https://www.773grp.com/globalSearch/N0118GA412/page-1", "N0118GA412")</f>
        <v>N0118GA412</v>
      </c>
      <c r="B15977" s="3" t="str">
        <f>HYPERLINK("https://www.773grp.com/manufacturer/nxp-semiconductor?pageNo=9", "NXP Semiconductors")</f>
        <v>NXP Semiconductors</v>
      </c>
      <c r="C15977" s="6">
        <v>30000</v>
      </c>
      <c r="D15977" s="7">
        <v>0.38</v>
      </c>
    </row>
    <row r="15978" spans="1:4" x14ac:dyDescent="0.25">
      <c r="A15978" t="str">
        <f>HYPERLINK("https://www.773grp.com/globalSearch/NX6020NBKS115/page-1", "NX6020NBKS115")</f>
        <v>NX6020NBKS115</v>
      </c>
      <c r="B15978" s="3" t="str">
        <f>HYPERLINK("https://www.773grp.com/manufacturer/nxp-semiconductor?pageNo=10", "NXP Semiconductors")</f>
        <v>NXP Semiconductors</v>
      </c>
      <c r="C15978" s="6">
        <v>9000</v>
      </c>
      <c r="D15978" s="7">
        <v>0.38</v>
      </c>
    </row>
    <row r="15979" spans="1:4" x14ac:dyDescent="0.25">
      <c r="A15979" t="str">
        <f>HYPERLINK("https://www.773grp.com/globalSearch/PBLS1501Y115/page-1", "PBLS1501Y115")</f>
        <v>PBLS1501Y115</v>
      </c>
      <c r="B15979" s="3" t="str">
        <f>HYPERLINK("https://www.773grp.com/manufacturer/nxp-semiconductor?pageNo=11", "NXP Semiconductors")</f>
        <v>NXP Semiconductors</v>
      </c>
      <c r="C15979" s="6">
        <v>21540</v>
      </c>
      <c r="D15979" s="7">
        <v>0.38</v>
      </c>
    </row>
    <row r="15980" spans="1:4" x14ac:dyDescent="0.25">
      <c r="A15980" t="str">
        <f>HYPERLINK("https://www.773grp.com/globalSearch/PBLS1503V115/page-1", "PBLS1503V115")</f>
        <v>PBLS1503V115</v>
      </c>
      <c r="B15980" s="3" t="str">
        <f>HYPERLINK("https://www.773grp.com/manufacturer/nxp-semiconductor?pageNo=12", "NXP Semiconductors")</f>
        <v>NXP Semiconductors</v>
      </c>
      <c r="C15980" s="6">
        <v>8000</v>
      </c>
      <c r="D15980" s="7">
        <v>0.38</v>
      </c>
    </row>
    <row r="15981" spans="1:4" x14ac:dyDescent="0.25">
      <c r="A15981" t="str">
        <f>HYPERLINK("https://www.773grp.com/globalSearch/PBLS1503Y115/page-1", "PBLS1503Y115")</f>
        <v>PBLS1503Y115</v>
      </c>
      <c r="B15981" s="3" t="str">
        <f>HYPERLINK("https://www.773grp.com/manufacturer/nxp-semiconductor?pageNo=13", "NXP Semiconductors")</f>
        <v>NXP Semiconductors</v>
      </c>
      <c r="C15981" s="6">
        <v>3000</v>
      </c>
      <c r="D15981" s="7">
        <v>0.38</v>
      </c>
    </row>
    <row r="15982" spans="1:4" x14ac:dyDescent="0.25">
      <c r="A15982" t="str">
        <f>HYPERLINK("https://www.773grp.com/globalSearch/PBLS1504V115/page-1", "PBLS1504V115")</f>
        <v>PBLS1504V115</v>
      </c>
      <c r="B15982" s="3" t="str">
        <f>HYPERLINK("https://www.773grp.com/manufacturer/nxp-semiconductor?pageNo=14", "NXP Semiconductors")</f>
        <v>NXP Semiconductors</v>
      </c>
      <c r="C15982" s="6">
        <v>11539</v>
      </c>
      <c r="D15982" s="7">
        <v>0.38</v>
      </c>
    </row>
    <row r="15983" spans="1:4" x14ac:dyDescent="0.25">
      <c r="A15983" t="str">
        <f>HYPERLINK("https://www.773grp.com/globalSearch/PBLS1504Y115/page-1", "PBLS1504Y115")</f>
        <v>PBLS1504Y115</v>
      </c>
      <c r="B15983" s="3" t="str">
        <f>HYPERLINK("https://www.773grp.com/manufacturer/nxp-semiconductor?pageNo=15", "NXP Semiconductors")</f>
        <v>NXP Semiconductors</v>
      </c>
      <c r="C15983" s="6">
        <v>12116</v>
      </c>
      <c r="D15983" s="7">
        <v>0.38</v>
      </c>
    </row>
    <row r="15984" spans="1:4" x14ac:dyDescent="0.25">
      <c r="A15984" t="str">
        <f>HYPERLINK("https://www.773grp.com/globalSearch/PBLS4001V115/page-1", "PBLS4001V115")</f>
        <v>PBLS4001V115</v>
      </c>
      <c r="B15984" s="3" t="str">
        <f>HYPERLINK("https://www.773grp.com/manufacturer/nxp-semiconductor?pageNo=16", "NXP Semiconductors")</f>
        <v>NXP Semiconductors</v>
      </c>
      <c r="C15984" s="6">
        <v>8000</v>
      </c>
      <c r="D15984" s="7">
        <v>0.38</v>
      </c>
    </row>
    <row r="15985" spans="1:4" x14ac:dyDescent="0.25">
      <c r="A15985" t="str">
        <f>HYPERLINK("https://www.773grp.com/globalSearch/PBLS4001Y115/page-1", "PBLS4001Y115")</f>
        <v>PBLS4001Y115</v>
      </c>
      <c r="B15985" s="3" t="str">
        <f>HYPERLINK("https://www.773grp.com/manufacturer/nxp-semiconductor?pageNo=17", "NXP Semiconductors")</f>
        <v>NXP Semiconductors</v>
      </c>
      <c r="C15985" s="6">
        <v>6000</v>
      </c>
      <c r="D15985" s="7">
        <v>0.38</v>
      </c>
    </row>
    <row r="15986" spans="1:4" x14ac:dyDescent="0.25">
      <c r="A15986" t="str">
        <f>HYPERLINK("https://www.773grp.com/globalSearch/PBLS4003V115/page-1", "PBLS4003V115")</f>
        <v>PBLS4003V115</v>
      </c>
      <c r="B15986" s="3" t="str">
        <f>HYPERLINK("https://www.773grp.com/manufacturer/nxp-semiconductor?pageNo=18", "NXP Semiconductors")</f>
        <v>NXP Semiconductors</v>
      </c>
      <c r="C15986" s="6">
        <v>8000</v>
      </c>
      <c r="D15986" s="7">
        <v>0.38</v>
      </c>
    </row>
    <row r="15987" spans="1:4" x14ac:dyDescent="0.25">
      <c r="A15987" t="str">
        <f>HYPERLINK("https://www.773grp.com/globalSearch/PBLS4003Y115/page-1", "PBLS4003Y115")</f>
        <v>PBLS4003Y115</v>
      </c>
      <c r="B15987" s="3" t="str">
        <f>HYPERLINK("https://www.773grp.com/manufacturer/nxp-semiconductor?pageNo=19", "NXP Semiconductors")</f>
        <v>NXP Semiconductors</v>
      </c>
      <c r="C15987" s="6">
        <v>3445</v>
      </c>
      <c r="D15987" s="7">
        <v>0.38</v>
      </c>
    </row>
    <row r="15988" spans="1:4" x14ac:dyDescent="0.25">
      <c r="A15988" t="str">
        <f>HYPERLINK("https://www.773grp.com/globalSearch/PBLS4005V115/page-1", "PBLS4005V115")</f>
        <v>PBLS4005V115</v>
      </c>
      <c r="B15988" s="3" t="str">
        <f>HYPERLINK("https://www.773grp.com/manufacturer/nxp-semiconductor?pageNo=20", "NXP Semiconductors")</f>
        <v>NXP Semiconductors</v>
      </c>
      <c r="C15988" s="6">
        <v>16500</v>
      </c>
      <c r="D15988" s="7">
        <v>0.38</v>
      </c>
    </row>
    <row r="15989" spans="1:4" x14ac:dyDescent="0.25">
      <c r="A15989" t="str">
        <f>HYPERLINK("https://www.773grp.com/globalSearch/PBR951215/page-1", "PBR951215")</f>
        <v>PBR951215</v>
      </c>
      <c r="B15989" s="3" t="str">
        <f>HYPERLINK("https://www.773grp.com/manufacturer/nxp-semiconductor?pageNo=21", "NXP Semiconductors")</f>
        <v>NXP Semiconductors</v>
      </c>
      <c r="C15989" s="6">
        <v>9410</v>
      </c>
      <c r="D15989" s="7">
        <v>0.38</v>
      </c>
    </row>
    <row r="15990" spans="1:4" x14ac:dyDescent="0.25">
      <c r="A15990" t="str">
        <f>HYPERLINK("https://www.773grp.com/globalSearch/PBSS4220V115/page-1", "PBSS4220V115")</f>
        <v>PBSS4220V115</v>
      </c>
      <c r="B15990" s="3" t="str">
        <f>HYPERLINK("https://www.773grp.com/manufacturer/nxp-semiconductor?pageNo=22", "NXP Semiconductors")</f>
        <v>NXP Semiconductors</v>
      </c>
      <c r="C15990" s="6">
        <v>185</v>
      </c>
      <c r="D15990" s="7">
        <v>0.38</v>
      </c>
    </row>
    <row r="15991" spans="1:4" x14ac:dyDescent="0.25">
      <c r="A15991" t="str">
        <f>HYPERLINK("https://www.773grp.com/globalSearch/PBSS4240V115/page-1", "PBSS4240V115")</f>
        <v>PBSS4240V115</v>
      </c>
      <c r="B15991" s="3" t="str">
        <f>HYPERLINK("https://www.773grp.com/manufacturer/nxp-semiconductor?pageNo=23", "NXP Semiconductors")</f>
        <v>NXP Semiconductors</v>
      </c>
      <c r="C15991" s="6">
        <v>8000</v>
      </c>
      <c r="D15991" s="7">
        <v>0.38</v>
      </c>
    </row>
    <row r="15992" spans="1:4" x14ac:dyDescent="0.25">
      <c r="A15992" t="str">
        <f>HYPERLINK("https://www.773grp.com/globalSearch/PBSS4240Y115/page-1", "PBSS4240Y115")</f>
        <v>PBSS4240Y115</v>
      </c>
      <c r="B15992" s="3" t="str">
        <f>HYPERLINK("https://www.773grp.com/manufacturer/nxp-semiconductor?pageNo=24", "NXP Semiconductors")</f>
        <v>NXP Semiconductors</v>
      </c>
      <c r="C15992" s="6">
        <v>6000</v>
      </c>
      <c r="D15992" s="7">
        <v>0.38</v>
      </c>
    </row>
    <row r="15993" spans="1:4" x14ac:dyDescent="0.25">
      <c r="A15993" t="str">
        <f>HYPERLINK("https://www.773grp.com/globalSearch/PBSS5160V115/page-1", "PBSS5160V115")</f>
        <v>PBSS5160V115</v>
      </c>
      <c r="B15993" s="3" t="str">
        <f>HYPERLINK("https://www.773grp.com/manufacturer/nxp-semiconductor?pageNo=25", "NXP Semiconductors")</f>
        <v>NXP Semiconductors</v>
      </c>
      <c r="C15993" s="6">
        <v>22207</v>
      </c>
      <c r="D15993" s="7">
        <v>0.38</v>
      </c>
    </row>
    <row r="15994" spans="1:4" x14ac:dyDescent="0.25">
      <c r="A15994" t="str">
        <f>HYPERLINK("https://www.773grp.com/globalSearch/PBSS5320T215/page-1", "PBSS5320T215")</f>
        <v>PBSS5320T215</v>
      </c>
      <c r="B15994" s="3" t="str">
        <f>HYPERLINK("https://www.773grp.com/manufacturer/nxp-semiconductor?pageNo=26", "NXP Semiconductors")</f>
        <v>NXP Semiconductors</v>
      </c>
      <c r="C15994" s="6">
        <v>6698</v>
      </c>
      <c r="D15994" s="7">
        <v>0.38</v>
      </c>
    </row>
    <row r="15995" spans="1:4" x14ac:dyDescent="0.25">
      <c r="A15995" t="str">
        <f>HYPERLINK("https://www.773grp.com/globalSearch/PESD5V0V1BLD315/page-1", "PESD5V0V1BLD315")</f>
        <v>PESD5V0V1BLD315</v>
      </c>
      <c r="B15995" s="3" t="str">
        <f>HYPERLINK("https://www.773grp.com/manufacturer/nxp-semiconductor?pageNo=27", "NXP Semiconductors")</f>
        <v>NXP Semiconductors</v>
      </c>
      <c r="C15995" s="6">
        <v>10000</v>
      </c>
      <c r="D15995" s="7">
        <v>0.38</v>
      </c>
    </row>
    <row r="15996" spans="1:4" x14ac:dyDescent="0.25">
      <c r="A15996" t="str">
        <f>HYPERLINK("https://www.773grp.com/globalSearch/PIMN31115/page-1", "PIMN31115")</f>
        <v>PIMN31115</v>
      </c>
      <c r="B15996" s="3" t="str">
        <f>HYPERLINK("https://www.773grp.com/manufacturer/nxp-semiconductor?pageNo=28", "NXP Semiconductors")</f>
        <v>NXP Semiconductors</v>
      </c>
      <c r="C15996" s="6">
        <v>18103</v>
      </c>
      <c r="D15996" s="7">
        <v>0.38</v>
      </c>
    </row>
    <row r="15997" spans="1:4" x14ac:dyDescent="0.25">
      <c r="A15997" t="str">
        <f>HYPERLINK("https://www.773grp.com/globalSearch/PLVA2650A215/page-1", "PLVA2650A215")</f>
        <v>PLVA2650A215</v>
      </c>
      <c r="B15997" s="3" t="str">
        <f>HYPERLINK("https://www.773grp.com/manufacturer/nxp-semiconductor?pageNo=29", "NXP Semiconductors")</f>
        <v>NXP Semiconductors</v>
      </c>
      <c r="C15997" s="6">
        <v>12000</v>
      </c>
      <c r="D15997" s="7">
        <v>0.38</v>
      </c>
    </row>
    <row r="15998" spans="1:4" x14ac:dyDescent="0.25">
      <c r="A15998" t="str">
        <f>HYPERLINK("https://www.773grp.com/globalSearch/PLVA650A215/page-1", "PLVA650A215")</f>
        <v>PLVA650A215</v>
      </c>
      <c r="B15998" s="3" t="str">
        <f>HYPERLINK("https://www.773grp.com/manufacturer/nxp-semiconductor?pageNo=30", "NXP Semiconductors")</f>
        <v>NXP Semiconductors</v>
      </c>
      <c r="C15998" s="6">
        <v>6000</v>
      </c>
      <c r="D15998" s="7">
        <v>0.38</v>
      </c>
    </row>
    <row r="15999" spans="1:4" x14ac:dyDescent="0.25">
      <c r="A15999" t="str">
        <f>HYPERLINK("https://www.773grp.com/globalSearch/PLVA656A215/page-1", "PLVA656A215")</f>
        <v>PLVA656A215</v>
      </c>
      <c r="B15999" s="3" t="str">
        <f>HYPERLINK("https://www.773grp.com/manufacturer/nxp-semiconductor?pageNo=31", "NXP Semiconductors")</f>
        <v>NXP Semiconductors</v>
      </c>
      <c r="C15999" s="6">
        <v>12000</v>
      </c>
      <c r="D15999" s="7">
        <v>0.38</v>
      </c>
    </row>
    <row r="16000" spans="1:4" x14ac:dyDescent="0.25">
      <c r="A16000" t="str">
        <f>HYPERLINK("https://www.773grp.com/globalSearch/PLVA659A215/page-1", "PLVA659A215")</f>
        <v>PLVA659A215</v>
      </c>
      <c r="B16000" s="3" t="str">
        <f>HYPERLINK("https://www.773grp.com/manufacturer/nxp-semiconductor?pageNo=32", "NXP Semiconductors")</f>
        <v>NXP Semiconductors</v>
      </c>
      <c r="C16000" s="6">
        <v>20920</v>
      </c>
      <c r="D16000" s="7">
        <v>0.38</v>
      </c>
    </row>
    <row r="16001" spans="1:4" x14ac:dyDescent="0.25">
      <c r="A16001" t="str">
        <f>HYPERLINK("https://www.773grp.com/globalSearch/PLVA662A215/page-1", "PLVA662A215")</f>
        <v>PLVA662A215</v>
      </c>
      <c r="B16001" s="3" t="str">
        <f>HYPERLINK("https://www.773grp.com/manufacturer/nxp-semiconductor?pageNo=33", "NXP Semiconductors")</f>
        <v>NXP Semiconductors</v>
      </c>
      <c r="C16001" s="6">
        <v>21000</v>
      </c>
      <c r="D16001" s="7">
        <v>0.38</v>
      </c>
    </row>
    <row r="16002" spans="1:4" x14ac:dyDescent="0.25">
      <c r="A16002" t="str">
        <f>HYPERLINK("https://www.773grp.com/globalSearch/PLVA665A215/page-1", "PLVA665A215")</f>
        <v>PLVA665A215</v>
      </c>
      <c r="B16002" s="3" t="str">
        <f>HYPERLINK("https://www.773grp.com/manufacturer/nxp-semiconductor?pageNo=34", "NXP Semiconductors")</f>
        <v>NXP Semiconductors</v>
      </c>
      <c r="C16002" s="6">
        <v>23091</v>
      </c>
      <c r="D16002" s="7">
        <v>0.38</v>
      </c>
    </row>
    <row r="16003" spans="1:4" x14ac:dyDescent="0.25">
      <c r="A16003" t="str">
        <f>HYPERLINK("https://www.773grp.com/globalSearch/PMBF4392215/page-1", "PMBF4392215")</f>
        <v>PMBF4392215</v>
      </c>
      <c r="B16003" s="3" t="str">
        <f>HYPERLINK("https://www.773grp.com/manufacturer/nxp-semiconductor?pageNo=35", "NXP Semiconductors")</f>
        <v>NXP Semiconductors</v>
      </c>
      <c r="C16003" s="6">
        <v>120000</v>
      </c>
      <c r="D16003" s="7">
        <v>0.38</v>
      </c>
    </row>
    <row r="16004" spans="1:4" x14ac:dyDescent="0.25">
      <c r="A16004" t="str">
        <f>HYPERLINK("https://www.773grp.com/globalSearch/PMBFJ310215/page-1", "PMBFJ310215")</f>
        <v>PMBFJ310215</v>
      </c>
      <c r="B16004" s="3" t="str">
        <f>HYPERLINK("https://www.773grp.com/manufacturer/nxp-semiconductor?pageNo=36", "NXP Semiconductors")</f>
        <v>NXP Semiconductors</v>
      </c>
      <c r="C16004" s="6">
        <v>60478</v>
      </c>
      <c r="D16004" s="7">
        <v>0.38</v>
      </c>
    </row>
    <row r="16005" spans="1:4" x14ac:dyDescent="0.25">
      <c r="A16005" t="str">
        <f>HYPERLINK("https://www.773grp.com/globalSearch/PMBTA13215/page-1", "PMBTA13215")</f>
        <v>PMBTA13215</v>
      </c>
      <c r="B16005" s="3" t="str">
        <f>HYPERLINK("https://www.773grp.com/manufacturer/nxp-semiconductor?pageNo=37", "NXP Semiconductors")</f>
        <v>NXP Semiconductors</v>
      </c>
      <c r="C16005" s="6">
        <v>184</v>
      </c>
      <c r="D16005" s="7">
        <v>0.38</v>
      </c>
    </row>
    <row r="16006" spans="1:4" x14ac:dyDescent="0.25">
      <c r="A16006" t="str">
        <f>HYPERLINK("https://www.773grp.com/globalSearch/PMBTA14215/page-1", "PMBTA14215")</f>
        <v>PMBTA14215</v>
      </c>
      <c r="B16006" s="3" t="str">
        <f>HYPERLINK("https://www.773grp.com/manufacturer/nxp-semiconductor?pageNo=38", "NXP Semiconductors")</f>
        <v>NXP Semiconductors</v>
      </c>
      <c r="C16006" s="6">
        <v>39000</v>
      </c>
      <c r="D16006" s="7">
        <v>0.38</v>
      </c>
    </row>
    <row r="16007" spans="1:4" x14ac:dyDescent="0.25">
      <c r="A16007" t="str">
        <f>HYPERLINK("https://www.773grp.com/globalSearch/PMBTA64215/page-1", "PMBTA64215")</f>
        <v>PMBTA64215</v>
      </c>
      <c r="B16007" s="3" t="str">
        <f>HYPERLINK("https://www.773grp.com/manufacturer/nxp-semiconductor?pageNo=39", "NXP Semiconductors")</f>
        <v>NXP Semiconductors</v>
      </c>
      <c r="C16007" s="6">
        <v>10458</v>
      </c>
      <c r="D16007" s="7">
        <v>0.38</v>
      </c>
    </row>
    <row r="16008" spans="1:4" x14ac:dyDescent="0.25">
      <c r="A16008" t="str">
        <f>HYPERLINK("https://www.773grp.com/globalSearch/PMDT290UCE115/page-1", "PMDT290UCE115")</f>
        <v>PMDT290UCE115</v>
      </c>
      <c r="B16008" s="3" t="str">
        <f>HYPERLINK("https://www.773grp.com/manufacturer/nxp-semiconductor?pageNo=40", "NXP Semiconductors")</f>
        <v>NXP Semiconductors</v>
      </c>
      <c r="C16008" s="6">
        <v>8000</v>
      </c>
      <c r="D16008" s="7">
        <v>0.38</v>
      </c>
    </row>
    <row r="16009" spans="1:4" x14ac:dyDescent="0.25">
      <c r="A16009" t="str">
        <f>HYPERLINK("https://www.773grp.com/globalSearch/PMDT670UPE115/page-1", "PMDT670UPE115")</f>
        <v>PMDT670UPE115</v>
      </c>
      <c r="B16009" s="3" t="str">
        <f>HYPERLINK("https://www.773grp.com/manufacturer/nxp-semiconductor?pageNo=41", "NXP Semiconductors")</f>
        <v>NXP Semiconductors</v>
      </c>
      <c r="C16009" s="6">
        <v>4000</v>
      </c>
      <c r="D16009" s="7">
        <v>0.38</v>
      </c>
    </row>
    <row r="16010" spans="1:4" x14ac:dyDescent="0.25">
      <c r="A16010" t="str">
        <f>HYPERLINK("https://www.773grp.com/globalSearch/PMEG1020EA115/page-1", "PMEG1020EA115")</f>
        <v>PMEG1020EA115</v>
      </c>
      <c r="B16010" s="3" t="str">
        <f>HYPERLINK("https://www.773grp.com/manufacturer/nxp-semiconductor?pageNo=42", "NXP Semiconductors")</f>
        <v>NXP Semiconductors</v>
      </c>
      <c r="C16010" s="6">
        <v>15000</v>
      </c>
      <c r="D16010" s="7">
        <v>0.38</v>
      </c>
    </row>
    <row r="16011" spans="1:4" x14ac:dyDescent="0.25">
      <c r="A16011" t="str">
        <f>HYPERLINK("https://www.773grp.com/globalSearch/PMEG1020EH115/page-1", "PMEG1020EH115")</f>
        <v>PMEG1020EH115</v>
      </c>
      <c r="B16011" s="3" t="str">
        <f>HYPERLINK("https://www.773grp.com/manufacturer/nxp-semiconductor?pageNo=43", "NXP Semiconductors")</f>
        <v>NXP Semiconductors</v>
      </c>
      <c r="C16011" s="6">
        <v>9000</v>
      </c>
      <c r="D16011" s="7">
        <v>0.38</v>
      </c>
    </row>
    <row r="16012" spans="1:4" x14ac:dyDescent="0.25">
      <c r="A16012" t="str">
        <f>HYPERLINK("https://www.773grp.com/globalSearch/PMEG1020EJ115/page-1", "PMEG1020EJ115")</f>
        <v>PMEG1020EJ115</v>
      </c>
      <c r="B16012" s="3" t="str">
        <f>HYPERLINK("https://www.773grp.com/manufacturer/nxp-semiconductor?pageNo=44", "NXP Semiconductors")</f>
        <v>NXP Semiconductors</v>
      </c>
      <c r="C16012" s="6">
        <v>12423</v>
      </c>
      <c r="D16012" s="7">
        <v>0.38</v>
      </c>
    </row>
    <row r="16013" spans="1:4" x14ac:dyDescent="0.25">
      <c r="A16013" t="str">
        <f>HYPERLINK("https://www.773grp.com/globalSearch/PMEG1020EV115/page-1", "PMEG1020EV115")</f>
        <v>PMEG1020EV115</v>
      </c>
      <c r="B16013" s="3" t="str">
        <f>HYPERLINK("https://www.773grp.com/manufacturer/nxp-semiconductor?pageNo=45", "NXP Semiconductors")</f>
        <v>NXP Semiconductors</v>
      </c>
      <c r="C16013" s="6">
        <v>84000</v>
      </c>
      <c r="D16013" s="7">
        <v>0.38</v>
      </c>
    </row>
    <row r="16014" spans="1:4" x14ac:dyDescent="0.25">
      <c r="A16014" t="str">
        <f>HYPERLINK("https://www.773grp.com/globalSearch/PMEG2010AET215/page-1", "PMEG2010AET215")</f>
        <v>PMEG2010AET215</v>
      </c>
      <c r="B16014" s="3" t="str">
        <f>HYPERLINK("https://www.773grp.com/manufacturer/nxp-semiconductor?pageNo=46", "NXP Semiconductors")</f>
        <v>NXP Semiconductors</v>
      </c>
      <c r="C16014" s="6">
        <v>9000</v>
      </c>
      <c r="D16014" s="7">
        <v>0.38</v>
      </c>
    </row>
    <row r="16015" spans="1:4" x14ac:dyDescent="0.25">
      <c r="A16015" t="str">
        <f>HYPERLINK("https://www.773grp.com/globalSearch/PMEG2010BEA115/page-1", "PMEG2010BEA115")</f>
        <v>PMEG2010BEA115</v>
      </c>
      <c r="B16015" s="3" t="str">
        <f>HYPERLINK("https://www.773grp.com/manufacturer/nxp-semiconductor?pageNo=47", "NXP Semiconductors")</f>
        <v>NXP Semiconductors</v>
      </c>
      <c r="C16015" s="6">
        <v>3000</v>
      </c>
      <c r="D16015" s="7">
        <v>0.38</v>
      </c>
    </row>
    <row r="16016" spans="1:4" x14ac:dyDescent="0.25">
      <c r="A16016" t="str">
        <f>HYPERLINK("https://www.773grp.com/globalSearch/PMEG2010BEV115/page-1", "PMEG2010BEV115")</f>
        <v>PMEG2010BEV115</v>
      </c>
      <c r="B16016" s="3" t="str">
        <f>HYPERLINK("https://www.773grp.com/manufacturer/nxp-semiconductor?pageNo=48", "NXP Semiconductors")</f>
        <v>NXP Semiconductors</v>
      </c>
      <c r="C16016" s="6">
        <v>6650</v>
      </c>
      <c r="D16016" s="7">
        <v>0.38</v>
      </c>
    </row>
    <row r="16017" spans="1:4" x14ac:dyDescent="0.25">
      <c r="A16017" t="str">
        <f>HYPERLINK("https://www.773grp.com/globalSearch/PMEG2010ET215/page-1", "PMEG2010ET215")</f>
        <v>PMEG2010ET215</v>
      </c>
      <c r="B16017" s="3" t="str">
        <f>HYPERLINK("https://www.773grp.com/manufacturer/nxp-semiconductor?pageNo=1", "NXP Semiconductors")</f>
        <v>NXP Semiconductors</v>
      </c>
      <c r="C16017" s="6">
        <v>6000</v>
      </c>
      <c r="D16017" s="7">
        <v>0.38</v>
      </c>
    </row>
    <row r="16018" spans="1:4" x14ac:dyDescent="0.25">
      <c r="A16018" t="str">
        <f>HYPERLINK("https://www.773grp.com/globalSearch/PMEG2010EV115/page-1", "PMEG2010EV115")</f>
        <v>PMEG2010EV115</v>
      </c>
      <c r="B16018" s="3" t="str">
        <f>HYPERLINK("https://www.773grp.com/manufacturer/nxp-semiconductor?pageNo=2", "NXP Semiconductors")</f>
        <v>NXP Semiconductors</v>
      </c>
      <c r="C16018" s="6">
        <v>8000</v>
      </c>
      <c r="D16018" s="7">
        <v>0.38</v>
      </c>
    </row>
    <row r="16019" spans="1:4" x14ac:dyDescent="0.25">
      <c r="A16019" t="str">
        <f>HYPERLINK("https://www.773grp.com/globalSearch/PMEG2015EA115/page-1", "PMEG2015EA115")</f>
        <v>PMEG2015EA115</v>
      </c>
      <c r="B16019" s="3" t="str">
        <f>HYPERLINK("https://www.773grp.com/manufacturer/nxp-semiconductor?pageNo=3", "NXP Semiconductors")</f>
        <v>NXP Semiconductors</v>
      </c>
      <c r="C16019" s="6">
        <v>20450</v>
      </c>
      <c r="D16019" s="7">
        <v>0.38</v>
      </c>
    </row>
    <row r="16020" spans="1:4" x14ac:dyDescent="0.25">
      <c r="A16020" t="str">
        <f>HYPERLINK("https://www.773grp.com/globalSearch/PMEG2015EH115/page-1", "PMEG2015EH115")</f>
        <v>PMEG2015EH115</v>
      </c>
      <c r="B16020" s="3" t="str">
        <f>HYPERLINK("https://www.773grp.com/manufacturer/nxp-semiconductor?pageNo=4", "NXP Semiconductors")</f>
        <v>NXP Semiconductors</v>
      </c>
      <c r="C16020" s="6">
        <v>18000</v>
      </c>
      <c r="D16020" s="7">
        <v>0.38</v>
      </c>
    </row>
    <row r="16021" spans="1:4" x14ac:dyDescent="0.25">
      <c r="A16021" t="str">
        <f>HYPERLINK("https://www.773grp.com/globalSearch/PMEG2015EJ115/page-1", "PMEG2015EJ115")</f>
        <v>PMEG2015EJ115</v>
      </c>
      <c r="B16021" s="3" t="str">
        <f>HYPERLINK("https://www.773grp.com/manufacturer/nxp-semiconductor?pageNo=5", "NXP Semiconductors")</f>
        <v>NXP Semiconductors</v>
      </c>
      <c r="C16021" s="6">
        <v>17900</v>
      </c>
      <c r="D16021" s="7">
        <v>0.38</v>
      </c>
    </row>
    <row r="16022" spans="1:4" x14ac:dyDescent="0.25">
      <c r="A16022" t="str">
        <f>HYPERLINK("https://www.773grp.com/globalSearch/PMEG2015EV115/page-1", "PMEG2015EV115")</f>
        <v>PMEG2015EV115</v>
      </c>
      <c r="B16022" s="3" t="str">
        <f>HYPERLINK("https://www.773grp.com/manufacturer/nxp-semiconductor?pageNo=6", "NXP Semiconductors")</f>
        <v>NXP Semiconductors</v>
      </c>
      <c r="C16022" s="6">
        <v>8420</v>
      </c>
      <c r="D16022" s="7">
        <v>0.38</v>
      </c>
    </row>
    <row r="16023" spans="1:4" x14ac:dyDescent="0.25">
      <c r="A16023" t="str">
        <f>HYPERLINK("https://www.773grp.com/globalSearch/PMEG2020AEA115/page-1", "PMEG2020AEA115")</f>
        <v>PMEG2020AEA115</v>
      </c>
      <c r="B16023" s="3" t="str">
        <f>HYPERLINK("https://www.773grp.com/manufacturer/nxp-semiconductor?pageNo=7", "NXP Semiconductors")</f>
        <v>NXP Semiconductors</v>
      </c>
      <c r="C16023" s="6">
        <v>9000</v>
      </c>
      <c r="D16023" s="7">
        <v>0.38</v>
      </c>
    </row>
    <row r="16024" spans="1:4" x14ac:dyDescent="0.25">
      <c r="A16024" t="str">
        <f>HYPERLINK("https://www.773grp.com/globalSearch/PMEG2020EH115/page-1", "PMEG2020EH115")</f>
        <v>PMEG2020EH115</v>
      </c>
      <c r="B16024" s="3" t="str">
        <f>HYPERLINK("https://www.773grp.com/manufacturer/nxp-semiconductor?pageNo=8", "NXP Semiconductors")</f>
        <v>NXP Semiconductors</v>
      </c>
      <c r="C16024" s="6">
        <v>6000</v>
      </c>
      <c r="D16024" s="7">
        <v>0.38</v>
      </c>
    </row>
    <row r="16025" spans="1:4" x14ac:dyDescent="0.25">
      <c r="A16025" t="str">
        <f>HYPERLINK("https://www.773grp.com/globalSearch/PMEG2020EJ115/page-1", "PMEG2020EJ115")</f>
        <v>PMEG2020EJ115</v>
      </c>
      <c r="B16025" s="3" t="str">
        <f>HYPERLINK("https://www.773grp.com/manufacturer/nxp-semiconductor?pageNo=9", "NXP Semiconductors")</f>
        <v>NXP Semiconductors</v>
      </c>
      <c r="C16025" s="6">
        <v>25062</v>
      </c>
      <c r="D16025" s="7">
        <v>0.38</v>
      </c>
    </row>
    <row r="16026" spans="1:4" x14ac:dyDescent="0.25">
      <c r="A16026" t="str">
        <f>HYPERLINK("https://www.773grp.com/globalSearch/PMEG3002TV115/page-1", "PMEG3002TV115")</f>
        <v>PMEG3002TV115</v>
      </c>
      <c r="B16026" s="3" t="str">
        <f>HYPERLINK("https://www.773grp.com/manufacturer/nxp-semiconductor?pageNo=10", "NXP Semiconductors")</f>
        <v>NXP Semiconductors</v>
      </c>
      <c r="C16026" s="6">
        <v>8000</v>
      </c>
      <c r="D16026" s="7">
        <v>0.38</v>
      </c>
    </row>
    <row r="16027" spans="1:4" x14ac:dyDescent="0.25">
      <c r="A16027" t="str">
        <f>HYPERLINK("https://www.773grp.com/globalSearch/PMEG3010BEV115/page-1", "PMEG3010BEV115")</f>
        <v>PMEG3010BEV115</v>
      </c>
      <c r="B16027" s="3" t="str">
        <f>HYPERLINK("https://www.773grp.com/manufacturer/nxp-semiconductor?pageNo=11", "NXP Semiconductors")</f>
        <v>NXP Semiconductors</v>
      </c>
      <c r="C16027" s="6">
        <v>76000</v>
      </c>
      <c r="D16027" s="7">
        <v>0.38</v>
      </c>
    </row>
    <row r="16028" spans="1:4" x14ac:dyDescent="0.25">
      <c r="A16028" t="str">
        <f>HYPERLINK("https://www.773grp.com/globalSearch/PMEG3010CEH115/page-1", "PMEG3010CEH115")</f>
        <v>PMEG3010CEH115</v>
      </c>
      <c r="B16028" s="3" t="str">
        <f>HYPERLINK("https://www.773grp.com/manufacturer/nxp-semiconductor?pageNo=12", "NXP Semiconductors")</f>
        <v>NXP Semiconductors</v>
      </c>
      <c r="C16028" s="6">
        <v>12000</v>
      </c>
      <c r="D16028" s="7">
        <v>0.38</v>
      </c>
    </row>
    <row r="16029" spans="1:4" x14ac:dyDescent="0.25">
      <c r="A16029" t="str">
        <f>HYPERLINK("https://www.773grp.com/globalSearch/PMEG3010EB115/page-1", "PMEG3010EB115")</f>
        <v>PMEG3010EB115</v>
      </c>
      <c r="B16029" s="3" t="str">
        <f>HYPERLINK("https://www.773grp.com/manufacturer/nxp-semiconductor?pageNo=13", "NXP Semiconductors")</f>
        <v>NXP Semiconductors</v>
      </c>
      <c r="C16029" s="6">
        <v>31</v>
      </c>
      <c r="D16029" s="7">
        <v>0.38</v>
      </c>
    </row>
    <row r="16030" spans="1:4" x14ac:dyDescent="0.25">
      <c r="A16030" t="str">
        <f>HYPERLINK("https://www.773grp.com/globalSearch/PMEG3010ET215/page-1", "PMEG3010ET215")</f>
        <v>PMEG3010ET215</v>
      </c>
      <c r="B16030" s="3" t="str">
        <f>HYPERLINK("https://www.773grp.com/manufacturer/nxp-semiconductor?pageNo=14", "NXP Semiconductors")</f>
        <v>NXP Semiconductors</v>
      </c>
      <c r="C16030" s="6">
        <v>24000</v>
      </c>
      <c r="D16030" s="7">
        <v>0.38</v>
      </c>
    </row>
    <row r="16031" spans="1:4" x14ac:dyDescent="0.25">
      <c r="A16031" t="str">
        <f>HYPERLINK("https://www.773grp.com/globalSearch/PMEG3015EH115/page-1", "PMEG3015EH115")</f>
        <v>PMEG3015EH115</v>
      </c>
      <c r="B16031" s="3" t="str">
        <f>HYPERLINK("https://www.773grp.com/manufacturer/nxp-semiconductor?pageNo=15", "NXP Semiconductors")</f>
        <v>NXP Semiconductors</v>
      </c>
      <c r="C16031" s="6">
        <v>12800</v>
      </c>
      <c r="D16031" s="7">
        <v>0.38</v>
      </c>
    </row>
    <row r="16032" spans="1:4" x14ac:dyDescent="0.25">
      <c r="A16032" t="str">
        <f>HYPERLINK("https://www.773grp.com/globalSearch/PMEG3015EJ115/page-1", "PMEG3015EJ115")</f>
        <v>PMEG3015EJ115</v>
      </c>
      <c r="B16032" s="3" t="str">
        <f>HYPERLINK("https://www.773grp.com/manufacturer/nxp-semiconductor?pageNo=16", "NXP Semiconductors")</f>
        <v>NXP Semiconductors</v>
      </c>
      <c r="C16032" s="6">
        <v>17800</v>
      </c>
      <c r="D16032" s="7">
        <v>0.38</v>
      </c>
    </row>
    <row r="16033" spans="1:4" x14ac:dyDescent="0.25">
      <c r="A16033" t="str">
        <f>HYPERLINK("https://www.773grp.com/globalSearch/PMEG3015EV115/page-1", "PMEG3015EV115")</f>
        <v>PMEG3015EV115</v>
      </c>
      <c r="B16033" s="3" t="str">
        <f>HYPERLINK("https://www.773grp.com/manufacturer/nxp-semiconductor?pageNo=17", "NXP Semiconductors")</f>
        <v>NXP Semiconductors</v>
      </c>
      <c r="C16033" s="6">
        <v>8000</v>
      </c>
      <c r="D16033" s="7">
        <v>0.38</v>
      </c>
    </row>
    <row r="16034" spans="1:4" x14ac:dyDescent="0.25">
      <c r="A16034" t="str">
        <f>HYPERLINK("https://www.773grp.com/globalSearch/PMEG3020EH115/page-1", "PMEG3020EH115")</f>
        <v>PMEG3020EH115</v>
      </c>
      <c r="B16034" s="3" t="str">
        <f>HYPERLINK("https://www.773grp.com/manufacturer/nxp-semiconductor?pageNo=18", "NXP Semiconductors")</f>
        <v>NXP Semiconductors</v>
      </c>
      <c r="C16034" s="6">
        <v>3000</v>
      </c>
      <c r="D16034" s="7">
        <v>0.38</v>
      </c>
    </row>
    <row r="16035" spans="1:4" x14ac:dyDescent="0.25">
      <c r="A16035" t="str">
        <f>HYPERLINK("https://www.773grp.com/globalSearch/PMEG3020EJ115/page-1", "PMEG3020EJ115")</f>
        <v>PMEG3020EJ115</v>
      </c>
      <c r="B16035" s="3" t="str">
        <f>HYPERLINK("https://www.773grp.com/manufacturer/nxp-semiconductor?pageNo=19", "NXP Semiconductors")</f>
        <v>NXP Semiconductors</v>
      </c>
      <c r="C16035" s="6">
        <v>676</v>
      </c>
      <c r="D16035" s="7">
        <v>0.38</v>
      </c>
    </row>
    <row r="16036" spans="1:4" x14ac:dyDescent="0.25">
      <c r="A16036" t="str">
        <f>HYPERLINK("https://www.773grp.com/globalSearch/PMEG4005CT215/page-1", "PMEG4005CT215")</f>
        <v>PMEG4005CT215</v>
      </c>
      <c r="B16036" s="3" t="str">
        <f>HYPERLINK("https://www.773grp.com/manufacturer/nxp-semiconductor?pageNo=20", "NXP Semiconductors")</f>
        <v>NXP Semiconductors</v>
      </c>
      <c r="C16036" s="6">
        <v>5677</v>
      </c>
      <c r="D16036" s="7">
        <v>0.38</v>
      </c>
    </row>
    <row r="16037" spans="1:4" x14ac:dyDescent="0.25">
      <c r="A16037" t="str">
        <f>HYPERLINK("https://www.773grp.com/globalSearch/PMEG4010BEA115/page-1", "PMEG4010BEA115")</f>
        <v>PMEG4010BEA115</v>
      </c>
      <c r="B16037" s="3" t="str">
        <f>HYPERLINK("https://www.773grp.com/manufacturer/nxp-semiconductor?pageNo=21", "NXP Semiconductors")</f>
        <v>NXP Semiconductors</v>
      </c>
      <c r="C16037" s="6">
        <v>903</v>
      </c>
      <c r="D16037" s="7">
        <v>0.38</v>
      </c>
    </row>
    <row r="16038" spans="1:4" x14ac:dyDescent="0.25">
      <c r="A16038" t="str">
        <f>HYPERLINK("https://www.773grp.com/globalSearch/PMEG4010CEH115/page-1", "PMEG4010CEH115")</f>
        <v>PMEG4010CEH115</v>
      </c>
      <c r="B16038" s="3" t="str">
        <f>HYPERLINK("https://www.773grp.com/manufacturer/nxp-semiconductor?pageNo=22", "NXP Semiconductors")</f>
        <v>NXP Semiconductors</v>
      </c>
      <c r="C16038" s="6">
        <v>4783</v>
      </c>
      <c r="D16038" s="7">
        <v>0.38</v>
      </c>
    </row>
    <row r="16039" spans="1:4" x14ac:dyDescent="0.25">
      <c r="A16039" t="str">
        <f>HYPERLINK("https://www.773grp.com/globalSearch/PMEG4010ET215/page-1", "PMEG4010ET215")</f>
        <v>PMEG4010ET215</v>
      </c>
      <c r="B16039" s="3" t="str">
        <f>HYPERLINK("https://www.773grp.com/manufacturer/nxp-semiconductor?pageNo=23", "NXP Semiconductors")</f>
        <v>NXP Semiconductors</v>
      </c>
      <c r="C16039" s="6">
        <v>24197</v>
      </c>
      <c r="D16039" s="7">
        <v>0.38</v>
      </c>
    </row>
    <row r="16040" spans="1:4" x14ac:dyDescent="0.25">
      <c r="A16040" t="str">
        <f>HYPERLINK("https://www.773grp.com/globalSearch/PMEG6010AED115/page-1", "PMEG6010AED115")</f>
        <v>PMEG6010AED115</v>
      </c>
      <c r="B16040" s="3" t="str">
        <f>HYPERLINK("https://www.773grp.com/manufacturer/nxp-semiconductor?pageNo=24", "NXP Semiconductors")</f>
        <v>NXP Semiconductors</v>
      </c>
      <c r="C16040" s="6">
        <v>12000</v>
      </c>
      <c r="D16040" s="7">
        <v>0.38</v>
      </c>
    </row>
    <row r="16041" spans="1:4" x14ac:dyDescent="0.25">
      <c r="A16041" t="str">
        <f>HYPERLINK("https://www.773grp.com/globalSearch/PMF280UN115/page-1", "PMF280UN115")</f>
        <v>PMF280UN115</v>
      </c>
      <c r="B16041" s="3" t="str">
        <f>HYPERLINK("https://www.773grp.com/manufacturer/nxp-semiconductor?pageNo=25", "NXP Semiconductors")</f>
        <v>NXP Semiconductors</v>
      </c>
      <c r="C16041" s="6">
        <v>30000</v>
      </c>
      <c r="D16041" s="7">
        <v>0.38</v>
      </c>
    </row>
    <row r="16042" spans="1:4" x14ac:dyDescent="0.25">
      <c r="A16042" t="str">
        <f>HYPERLINK("https://www.773grp.com/globalSearch/PMF290XN115/page-1", "PMF290XN115")</f>
        <v>PMF290XN115</v>
      </c>
      <c r="B16042" s="3" t="str">
        <f>HYPERLINK("https://www.773grp.com/manufacturer/nxp-semiconductor?pageNo=26", "NXP Semiconductors")</f>
        <v>NXP Semiconductors</v>
      </c>
      <c r="C16042" s="6">
        <v>120</v>
      </c>
      <c r="D16042" s="7">
        <v>0.38</v>
      </c>
    </row>
    <row r="16043" spans="1:4" x14ac:dyDescent="0.25">
      <c r="A16043" t="str">
        <f>HYPERLINK("https://www.773grp.com/globalSearch/PMF370XN115/page-1", "PMF370XN115")</f>
        <v>PMF370XN115</v>
      </c>
      <c r="B16043" s="3" t="str">
        <f>HYPERLINK("https://www.773grp.com/manufacturer/nxp-semiconductor?pageNo=27", "NXP Semiconductors")</f>
        <v>NXP Semiconductors</v>
      </c>
      <c r="C16043" s="6">
        <v>2420</v>
      </c>
      <c r="D16043" s="7">
        <v>0.38</v>
      </c>
    </row>
    <row r="16044" spans="1:4" x14ac:dyDescent="0.25">
      <c r="A16044" t="str">
        <f>HYPERLINK("https://www.773grp.com/globalSearch/PMF400UN115/page-1", "PMF400UN115")</f>
        <v>PMF400UN115</v>
      </c>
      <c r="B16044" s="3" t="str">
        <f>HYPERLINK("https://www.773grp.com/manufacturer/nxp-semiconductor?pageNo=28", "NXP Semiconductors")</f>
        <v>NXP Semiconductors</v>
      </c>
      <c r="C16044" s="6">
        <v>175039</v>
      </c>
      <c r="D16044" s="7">
        <v>0.38</v>
      </c>
    </row>
    <row r="16045" spans="1:4" x14ac:dyDescent="0.25">
      <c r="A16045" t="str">
        <f>HYPERLINK("https://www.773grp.com/globalSearch/PMF780SN115/page-1", "PMF780SN115")</f>
        <v>PMF780SN115</v>
      </c>
      <c r="B16045" s="3" t="str">
        <f>HYPERLINK("https://www.773grp.com/manufacturer/nxp-semiconductor?pageNo=29", "NXP Semiconductors")</f>
        <v>NXP Semiconductors</v>
      </c>
      <c r="C16045" s="6">
        <v>36000</v>
      </c>
      <c r="D16045" s="7">
        <v>0.38</v>
      </c>
    </row>
    <row r="16046" spans="1:4" x14ac:dyDescent="0.25">
      <c r="A16046" t="str">
        <f>HYPERLINK("https://www.773grp.com/globalSearch/PMGD370XN115/page-1", "PMGD370XN115")</f>
        <v>PMGD370XN115</v>
      </c>
      <c r="B16046" s="3" t="str">
        <f>HYPERLINK("https://www.773grp.com/manufacturer/nxp-semiconductor?pageNo=30", "NXP Semiconductors")</f>
        <v>NXP Semiconductors</v>
      </c>
      <c r="C16046" s="6">
        <v>6000</v>
      </c>
      <c r="D16046" s="7">
        <v>0.38</v>
      </c>
    </row>
    <row r="16047" spans="1:4" x14ac:dyDescent="0.25">
      <c r="A16047" t="str">
        <f>HYPERLINK("https://www.773grp.com/globalSearch/PMGD780SN115/page-1", "PMGD780SN115")</f>
        <v>PMGD780SN115</v>
      </c>
      <c r="B16047" s="3" t="str">
        <f>HYPERLINK("https://www.773grp.com/manufacturer/nxp-semiconductor?pageNo=31", "NXP Semiconductors")</f>
        <v>NXP Semiconductors</v>
      </c>
      <c r="C16047" s="6">
        <v>99000</v>
      </c>
      <c r="D16047" s="7">
        <v>0.38</v>
      </c>
    </row>
    <row r="16048" spans="1:4" x14ac:dyDescent="0.25">
      <c r="A16048" t="str">
        <f>HYPERLINK("https://www.773grp.com/globalSearch/PMN25EN115/page-1", "PMN25EN115")</f>
        <v>PMN25EN115</v>
      </c>
      <c r="B16048" s="3" t="str">
        <f>HYPERLINK("https://www.773grp.com/manufacturer/nxp-semiconductor?pageNo=32", "NXP Semiconductors")</f>
        <v>NXP Semiconductors</v>
      </c>
      <c r="C16048" s="6">
        <v>6000</v>
      </c>
      <c r="D16048" s="7">
        <v>0.38</v>
      </c>
    </row>
    <row r="16049" spans="1:4" x14ac:dyDescent="0.25">
      <c r="A16049" t="str">
        <f>HYPERLINK("https://www.773grp.com/globalSearch/PMN35EN115/page-1", "PMN35EN115")</f>
        <v>PMN35EN115</v>
      </c>
      <c r="B16049" s="3" t="str">
        <f>HYPERLINK("https://www.773grp.com/manufacturer/nxp-semiconductor?pageNo=33", "NXP Semiconductors")</f>
        <v>NXP Semiconductors</v>
      </c>
      <c r="C16049" s="6">
        <v>3500</v>
      </c>
      <c r="D16049" s="7">
        <v>0.38</v>
      </c>
    </row>
    <row r="16050" spans="1:4" x14ac:dyDescent="0.25">
      <c r="A16050" t="str">
        <f>HYPERLINK("https://www.773grp.com/globalSearch/PMN35EN125/page-1", "PMN35EN125")</f>
        <v>PMN35EN125</v>
      </c>
      <c r="B16050" s="3" t="str">
        <f>HYPERLINK("https://www.773grp.com/manufacturer/nxp-semiconductor?pageNo=34", "NXP Semiconductors")</f>
        <v>NXP Semiconductors</v>
      </c>
      <c r="C16050" s="6">
        <v>9000</v>
      </c>
      <c r="D16050" s="7">
        <v>0.38</v>
      </c>
    </row>
    <row r="16051" spans="1:4" x14ac:dyDescent="0.25">
      <c r="A16051" t="str">
        <f>HYPERLINK("https://www.773grp.com/globalSearch/PMR280UN115/page-1", "PMR280UN115")</f>
        <v>PMR280UN115</v>
      </c>
      <c r="B16051" s="3" t="str">
        <f>HYPERLINK("https://www.773grp.com/manufacturer/nxp-semiconductor?pageNo=35", "NXP Semiconductors")</f>
        <v>NXP Semiconductors</v>
      </c>
      <c r="C16051" s="6">
        <v>2778</v>
      </c>
      <c r="D16051" s="7">
        <v>0.38</v>
      </c>
    </row>
    <row r="16052" spans="1:4" x14ac:dyDescent="0.25">
      <c r="A16052" t="str">
        <f>HYPERLINK("https://www.773grp.com/globalSearch/PMR290XN115/page-1", "PMR290XN115")</f>
        <v>PMR290XN115</v>
      </c>
      <c r="B16052" s="3" t="str">
        <f>HYPERLINK("https://www.773grp.com/manufacturer/nxp-semiconductor?pageNo=36", "NXP Semiconductors")</f>
        <v>NXP Semiconductors</v>
      </c>
      <c r="C16052" s="6">
        <v>150</v>
      </c>
      <c r="D16052" s="7">
        <v>0.38</v>
      </c>
    </row>
    <row r="16053" spans="1:4" x14ac:dyDescent="0.25">
      <c r="A16053" t="str">
        <f>HYPERLINK("https://www.773grp.com/globalSearch/PMR370XN115/page-1", "PMR370XN115")</f>
        <v>PMR370XN115</v>
      </c>
      <c r="B16053" s="3" t="str">
        <f>HYPERLINK("https://www.773grp.com/manufacturer/nxp-semiconductor?pageNo=37", "NXP Semiconductors")</f>
        <v>NXP Semiconductors</v>
      </c>
      <c r="C16053" s="6">
        <v>5899</v>
      </c>
      <c r="D16053" s="7">
        <v>0.38</v>
      </c>
    </row>
    <row r="16054" spans="1:4" x14ac:dyDescent="0.25">
      <c r="A16054" t="str">
        <f>HYPERLINK("https://www.773grp.com/globalSearch/PMR400UN115/page-1", "PMR400UN115")</f>
        <v>PMR400UN115</v>
      </c>
      <c r="B16054" s="3" t="str">
        <f>HYPERLINK("https://www.773grp.com/manufacturer/nxp-semiconductor?pageNo=38", "NXP Semiconductors")</f>
        <v>NXP Semiconductors</v>
      </c>
      <c r="C16054" s="6">
        <v>16935</v>
      </c>
      <c r="D16054" s="7">
        <v>0.38</v>
      </c>
    </row>
    <row r="16055" spans="1:4" x14ac:dyDescent="0.25">
      <c r="A16055" t="str">
        <f>HYPERLINK("https://www.773grp.com/globalSearch/PMV65UN215/page-1", "PMV65UN215")</f>
        <v>PMV65UN215</v>
      </c>
      <c r="B16055" s="3" t="str">
        <f>HYPERLINK("https://www.773grp.com/manufacturer/nxp-semiconductor?pageNo=39", "NXP Semiconductors")</f>
        <v>NXP Semiconductors</v>
      </c>
      <c r="C16055" s="6">
        <v>9000</v>
      </c>
      <c r="D16055" s="7">
        <v>0.38</v>
      </c>
    </row>
    <row r="16056" spans="1:4" x14ac:dyDescent="0.25">
      <c r="A16056" t="str">
        <f>HYPERLINK("https://www.773grp.com/globalSearch/PMV90EN215/page-1", "PMV90EN215")</f>
        <v>PMV90EN215</v>
      </c>
      <c r="B16056" s="3" t="str">
        <f>HYPERLINK("https://www.773grp.com/manufacturer/nxp-semiconductor?pageNo=40", "NXP Semiconductors")</f>
        <v>NXP Semiconductors</v>
      </c>
      <c r="C16056" s="6">
        <v>6000</v>
      </c>
      <c r="D16056" s="7">
        <v>0.38</v>
      </c>
    </row>
    <row r="16057" spans="1:4" x14ac:dyDescent="0.25">
      <c r="A16057" t="str">
        <f>HYPERLINK("https://www.773grp.com/globalSearch/PMZB370UNE315/page-1", "PMZB370UNE315")</f>
        <v>PMZB370UNE315</v>
      </c>
      <c r="B16057" s="3" t="str">
        <f>HYPERLINK("https://www.773grp.com/manufacturer/nxp-semiconductor?pageNo=41", "NXP Semiconductors")</f>
        <v>NXP Semiconductors</v>
      </c>
      <c r="C16057" s="6">
        <v>10000</v>
      </c>
      <c r="D16057" s="7">
        <v>0.38</v>
      </c>
    </row>
    <row r="16058" spans="1:4" x14ac:dyDescent="0.25">
      <c r="A16058" t="str">
        <f>HYPERLINK("https://www.773grp.com/globalSearch/PRTR5V0U4Y125/page-1", "PRTR5V0U4Y125")</f>
        <v>PRTR5V0U4Y125</v>
      </c>
      <c r="B16058" s="3" t="str">
        <f>HYPERLINK("https://www.773grp.com/manufacturer/nxp-semiconductor?pageNo=42", "NXP Semiconductors")</f>
        <v>NXP Semiconductors</v>
      </c>
      <c r="C16058" s="6">
        <v>922</v>
      </c>
      <c r="D16058" s="7">
        <v>0.38</v>
      </c>
    </row>
    <row r="16059" spans="1:4" x14ac:dyDescent="0.25">
      <c r="A16059" t="str">
        <f>HYPERLINK("https://www.773grp.com/globalSearch/TL431BMSDT215/page-1", "TL431BMSDT215")</f>
        <v>TL431BMSDT215</v>
      </c>
      <c r="B16059" s="3" t="str">
        <f>HYPERLINK("https://www.773grp.com/manufacturer/nxp-semiconductor?pageNo=43", "NXP Semiconductors")</f>
        <v>NXP Semiconductors</v>
      </c>
      <c r="C16059" s="6">
        <v>21126</v>
      </c>
      <c r="D16059" s="7">
        <v>0.38</v>
      </c>
    </row>
    <row r="16060" spans="1:4" x14ac:dyDescent="0.25">
      <c r="A16060" t="str">
        <f>HYPERLINK("https://www.773grp.com/globalSearch/TL431BSDT215/page-1", "TL431BSDT215")</f>
        <v>TL431BSDT215</v>
      </c>
      <c r="B16060" s="3" t="str">
        <f>HYPERLINK("https://www.773grp.com/manufacturer/nxp-semiconductor?pageNo=44", "NXP Semiconductors")</f>
        <v>NXP Semiconductors</v>
      </c>
      <c r="C16060" s="6">
        <v>27000</v>
      </c>
      <c r="D16060" s="7">
        <v>0.38</v>
      </c>
    </row>
    <row r="16061" spans="1:4" x14ac:dyDescent="0.25">
      <c r="A16061" t="str">
        <f>HYPERLINK("https://www.773grp.com/globalSearch/Z0103MA116/page-1", "Z0103MA116")</f>
        <v>Z0103MA116</v>
      </c>
      <c r="B16061" s="3" t="str">
        <f>HYPERLINK("https://www.773grp.com/manufacturer/nxp-semiconductor?pageNo=45", "NXP Semiconductors")</f>
        <v>NXP Semiconductors</v>
      </c>
      <c r="C16061" s="6">
        <v>24000</v>
      </c>
      <c r="D16061" s="7">
        <v>0.38</v>
      </c>
    </row>
    <row r="16062" spans="1:4" x14ac:dyDescent="0.25">
      <c r="A16062" t="str">
        <f>HYPERLINK("https://www.773grp.com/globalSearch/Z0103MA412/page-1", "Z0103MA412")</f>
        <v>Z0103MA412</v>
      </c>
      <c r="B16062" s="3" t="str">
        <f>HYPERLINK("https://www.773grp.com/manufacturer/nxp-semiconductor?pageNo=46", "NXP Semiconductors")</f>
        <v>NXP Semiconductors</v>
      </c>
      <c r="C16062" s="6">
        <v>35000</v>
      </c>
      <c r="D16062" s="7">
        <v>0.38</v>
      </c>
    </row>
    <row r="16063" spans="1:4" x14ac:dyDescent="0.25">
      <c r="A16063" t="str">
        <f>HYPERLINK("https://www.773grp.com/globalSearch/Z0103NA412/page-1", "Z0103NA412")</f>
        <v>Z0103NA412</v>
      </c>
      <c r="B16063" s="3" t="str">
        <f>HYPERLINK("https://www.773grp.com/manufacturer/nxp-semiconductor?pageNo=47", "NXP Semiconductors")</f>
        <v>NXP Semiconductors</v>
      </c>
      <c r="C16063" s="6">
        <v>35200</v>
      </c>
      <c r="D16063" s="7">
        <v>0.38</v>
      </c>
    </row>
    <row r="16064" spans="1:4" x14ac:dyDescent="0.25">
      <c r="A16064" t="str">
        <f>HYPERLINK("https://www.773grp.com/globalSearch/Z0103NN0135/page-1", "Z0103NN0135")</f>
        <v>Z0103NN0135</v>
      </c>
      <c r="B16064" s="3" t="str">
        <f>HYPERLINK("https://www.773grp.com/manufacturer/nxp-semiconductor?pageNo=48", "NXP Semiconductors")</f>
        <v>NXP Semiconductors</v>
      </c>
      <c r="C16064" s="6">
        <v>2383</v>
      </c>
      <c r="D16064" s="7">
        <v>0.38</v>
      </c>
    </row>
    <row r="16065" spans="1:4" x14ac:dyDescent="0.25">
      <c r="A16065" t="str">
        <f>HYPERLINK("https://www.773grp.com/globalSearch/Z0107MA412/page-1", "Z0107MA412")</f>
        <v>Z0107MA412</v>
      </c>
      <c r="B16065" s="3" t="str">
        <f>HYPERLINK("https://www.773grp.com/manufacturer/nxp-semiconductor?pageNo=1", "NXP Semiconductors")</f>
        <v>NXP Semiconductors</v>
      </c>
      <c r="C16065" s="6">
        <v>5200</v>
      </c>
      <c r="D16065" s="7">
        <v>0.38</v>
      </c>
    </row>
    <row r="16066" spans="1:4" x14ac:dyDescent="0.25">
      <c r="A16066" t="str">
        <f>HYPERLINK("https://www.773grp.com/globalSearch/Z0107NA412/page-1", "Z0107NA412")</f>
        <v>Z0107NA412</v>
      </c>
      <c r="B16066" s="3" t="str">
        <f>HYPERLINK("https://www.773grp.com/manufacturer/nxp-semiconductor?pageNo=2", "NXP Semiconductors")</f>
        <v>NXP Semiconductors</v>
      </c>
      <c r="C16066" s="6">
        <v>5000</v>
      </c>
      <c r="D16066" s="7">
        <v>0.38</v>
      </c>
    </row>
    <row r="16067" spans="1:4" x14ac:dyDescent="0.25">
      <c r="A16067" t="str">
        <f>HYPERLINK("https://www.773grp.com/globalSearch/Z0109MA412/page-1", "Z0109MA412")</f>
        <v>Z0109MA412</v>
      </c>
      <c r="B16067" s="3" t="str">
        <f>HYPERLINK("https://www.773grp.com/manufacturer/nxp-semiconductor?pageNo=3", "NXP Semiconductors")</f>
        <v>NXP Semiconductors</v>
      </c>
      <c r="C16067" s="6">
        <v>45200</v>
      </c>
      <c r="D16067" s="7">
        <v>0.38</v>
      </c>
    </row>
    <row r="16068" spans="1:4" x14ac:dyDescent="0.25">
      <c r="A16068" t="str">
        <f>HYPERLINK("https://www.773grp.com/globalSearch/Z0109NA412/page-1", "Z0109NA412")</f>
        <v>Z0109NA412</v>
      </c>
      <c r="B16068" s="3" t="str">
        <f>HYPERLINK("https://www.773grp.com/manufacturer/nxp-semiconductor?pageNo=4", "NXP Semiconductors")</f>
        <v>NXP Semiconductors</v>
      </c>
      <c r="C16068" s="6">
        <v>25000</v>
      </c>
      <c r="D16068" s="7">
        <v>0.38</v>
      </c>
    </row>
    <row r="16069" spans="1:4" x14ac:dyDescent="0.25">
      <c r="A16069" t="str">
        <f>HYPERLINK("https://www.773grp.com/globalSearch/1PS70SB82115/page-1", "1PS70SB82115")</f>
        <v>1PS70SB82115</v>
      </c>
      <c r="B16069" s="3" t="str">
        <f>HYPERLINK("https://www.773grp.com/manufacturer/nxp-semiconductor?pageNo=5", "NXP Semiconductors")</f>
        <v>NXP Semiconductors</v>
      </c>
      <c r="C16069" s="6">
        <v>6000</v>
      </c>
      <c r="D16069" s="7">
        <v>0.43</v>
      </c>
    </row>
    <row r="16070" spans="1:4" x14ac:dyDescent="0.25">
      <c r="A16070" t="str">
        <f>HYPERLINK("https://www.773grp.com/globalSearch/1PS88SB48115/page-1", "1PS88SB48115")</f>
        <v>1PS88SB48115</v>
      </c>
      <c r="B16070" s="3" t="str">
        <f>HYPERLINK("https://www.773grp.com/manufacturer/nxp-semiconductor?pageNo=6", "NXP Semiconductors")</f>
        <v>NXP Semiconductors</v>
      </c>
      <c r="C16070" s="6">
        <v>3000</v>
      </c>
      <c r="D16070" s="7">
        <v>0.43</v>
      </c>
    </row>
    <row r="16071" spans="1:4" x14ac:dyDescent="0.25">
      <c r="A16071" t="str">
        <f>HYPERLINK("https://www.773grp.com/globalSearch/2PB1424115/page-1", "2PB1424115")</f>
        <v>2PB1424115</v>
      </c>
      <c r="B16071" s="3" t="str">
        <f>HYPERLINK("https://www.773grp.com/manufacturer/nxp-semiconductor?pageNo=7", "NXP Semiconductors")</f>
        <v>NXP Semiconductors</v>
      </c>
      <c r="C16071" s="6">
        <v>3000</v>
      </c>
      <c r="D16071" s="7">
        <v>0.43</v>
      </c>
    </row>
    <row r="16072" spans="1:4" x14ac:dyDescent="0.25">
      <c r="A16072" t="str">
        <f>HYPERLINK("https://www.773grp.com/globalSearch/2PD2150115/page-1", "2PD2150115")</f>
        <v>2PD2150115</v>
      </c>
      <c r="B16072" s="3" t="str">
        <f>HYPERLINK("https://www.773grp.com/manufacturer/nxp-semiconductor?pageNo=8", "NXP Semiconductors")</f>
        <v>NXP Semiconductors</v>
      </c>
      <c r="C16072" s="6">
        <v>3036</v>
      </c>
      <c r="D16072" s="7">
        <v>0.43</v>
      </c>
    </row>
    <row r="16073" spans="1:4" x14ac:dyDescent="0.25">
      <c r="A16073" t="str">
        <f>HYPERLINK("https://www.773grp.com/globalSearch/74AHC04PW112/page-1", "74AHC04PW112")</f>
        <v>74AHC04PW112</v>
      </c>
      <c r="B16073" s="3" t="str">
        <f>HYPERLINK("https://www.773grp.com/manufacturer/nxp-semiconductor?pageNo=9", "NXP Semiconductors")</f>
        <v>NXP Semiconductors</v>
      </c>
      <c r="C16073" s="6">
        <v>14421</v>
      </c>
      <c r="D16073" s="7">
        <v>0.43</v>
      </c>
    </row>
    <row r="16074" spans="1:4" x14ac:dyDescent="0.25">
      <c r="A16074" t="str">
        <f>HYPERLINK("https://www.773grp.com/globalSearch/74AHC08D112/page-1", "74AHC08D112")</f>
        <v>74AHC08D112</v>
      </c>
      <c r="B16074" s="3" t="str">
        <f>HYPERLINK("https://www.773grp.com/manufacturer/nxp-semiconductor?pageNo=10", "NXP Semiconductors")</f>
        <v>NXP Semiconductors</v>
      </c>
      <c r="C16074" s="6">
        <v>13446</v>
      </c>
      <c r="D16074" s="7">
        <v>0.43</v>
      </c>
    </row>
    <row r="16075" spans="1:4" x14ac:dyDescent="0.25">
      <c r="A16075" t="str">
        <f>HYPERLINK("https://www.773grp.com/globalSearch/74AHC08D118/page-1", "74AHC08D118")</f>
        <v>74AHC08D118</v>
      </c>
      <c r="B16075" s="3" t="str">
        <f>HYPERLINK("https://www.773grp.com/manufacturer/nxp-semiconductor?pageNo=11", "NXP Semiconductors")</f>
        <v>NXP Semiconductors</v>
      </c>
      <c r="C16075" s="6">
        <v>10000</v>
      </c>
      <c r="D16075" s="7">
        <v>0.43</v>
      </c>
    </row>
    <row r="16076" spans="1:4" x14ac:dyDescent="0.25">
      <c r="A16076" t="str">
        <f>HYPERLINK("https://www.773grp.com/globalSearch/74AHC123ABQ115/page-1", "74AHC123ABQ115")</f>
        <v>74AHC123ABQ115</v>
      </c>
      <c r="B16076" s="3" t="str">
        <f>HYPERLINK("https://www.773grp.com/manufacturer/nxp-semiconductor?pageNo=12", "NXP Semiconductors")</f>
        <v>NXP Semiconductors</v>
      </c>
      <c r="C16076" s="6">
        <v>4262</v>
      </c>
      <c r="D16076" s="7">
        <v>0.43</v>
      </c>
    </row>
    <row r="16077" spans="1:4" x14ac:dyDescent="0.25">
      <c r="A16077" t="str">
        <f>HYPERLINK("https://www.773grp.com/globalSearch/74AHC123AD118/page-1", "74AHC123AD118")</f>
        <v>74AHC123AD118</v>
      </c>
      <c r="B16077" s="3" t="str">
        <f>HYPERLINK("https://www.773grp.com/manufacturer/nxp-semiconductor?pageNo=13", "NXP Semiconductors")</f>
        <v>NXP Semiconductors</v>
      </c>
      <c r="C16077" s="6">
        <v>5000</v>
      </c>
      <c r="D16077" s="7">
        <v>0.43</v>
      </c>
    </row>
    <row r="16078" spans="1:4" x14ac:dyDescent="0.25">
      <c r="A16078" t="str">
        <f>HYPERLINK("https://www.773grp.com/globalSearch/74AHC123APW112/page-1", "74AHC123APW112")</f>
        <v>74AHC123APW112</v>
      </c>
      <c r="B16078" s="3" t="str">
        <f>HYPERLINK("https://www.773grp.com/manufacturer/nxp-semiconductor?pageNo=14", "NXP Semiconductors")</f>
        <v>NXP Semiconductors</v>
      </c>
      <c r="C16078" s="6">
        <v>761</v>
      </c>
      <c r="D16078" s="7">
        <v>0.43</v>
      </c>
    </row>
    <row r="16079" spans="1:4" x14ac:dyDescent="0.25">
      <c r="A16079" t="str">
        <f>HYPERLINK("https://www.773grp.com/globalSearch/74AHC123APW118/page-1", "74AHC123APW118")</f>
        <v>74AHC123APW118</v>
      </c>
      <c r="B16079" s="3" t="str">
        <f>HYPERLINK("https://www.773grp.com/manufacturer/nxp-semiconductor?pageNo=15", "NXP Semiconductors")</f>
        <v>NXP Semiconductors</v>
      </c>
      <c r="C16079" s="6">
        <v>5000</v>
      </c>
      <c r="D16079" s="7">
        <v>0.43</v>
      </c>
    </row>
    <row r="16080" spans="1:4" x14ac:dyDescent="0.25">
      <c r="A16080" t="str">
        <f>HYPERLINK("https://www.773grp.com/globalSearch/74AHC125BQ115/page-1", "74AHC125BQ115")</f>
        <v>74AHC125BQ115</v>
      </c>
      <c r="B16080" s="3" t="str">
        <f>HYPERLINK("https://www.773grp.com/manufacturer/nxp-semiconductor?pageNo=16", "NXP Semiconductors")</f>
        <v>NXP Semiconductors</v>
      </c>
      <c r="C16080" s="6">
        <v>15000</v>
      </c>
      <c r="D16080" s="7">
        <v>0.43</v>
      </c>
    </row>
    <row r="16081" spans="1:4" x14ac:dyDescent="0.25">
      <c r="A16081" t="str">
        <f>HYPERLINK("https://www.773grp.com/globalSearch/74AHC125PW112/page-1", "74AHC125PW112")</f>
        <v>74AHC125PW112</v>
      </c>
      <c r="B16081" s="3" t="str">
        <f>HYPERLINK("https://www.773grp.com/manufacturer/nxp-semiconductor?pageNo=17", "NXP Semiconductors")</f>
        <v>NXP Semiconductors</v>
      </c>
      <c r="C16081" s="6">
        <v>24000</v>
      </c>
      <c r="D16081" s="7">
        <v>0.43</v>
      </c>
    </row>
    <row r="16082" spans="1:4" x14ac:dyDescent="0.25">
      <c r="A16082" t="str">
        <f>HYPERLINK("https://www.773grp.com/globalSearch/74AHC138BQ115/page-1", "74AHC138BQ115")</f>
        <v>74AHC138BQ115</v>
      </c>
      <c r="B16082" s="3" t="str">
        <f>HYPERLINK("https://www.773grp.com/manufacturer/nxp-semiconductor?pageNo=18", "NXP Semiconductors")</f>
        <v>NXP Semiconductors</v>
      </c>
      <c r="C16082" s="6">
        <v>3000</v>
      </c>
      <c r="D16082" s="7">
        <v>0.43</v>
      </c>
    </row>
    <row r="16083" spans="1:4" x14ac:dyDescent="0.25">
      <c r="A16083" t="str">
        <f>HYPERLINK("https://www.773grp.com/globalSearch/74AHC139PW112/page-1", "74AHC139PW112")</f>
        <v>74AHC139PW112</v>
      </c>
      <c r="B16083" s="3" t="str">
        <f>HYPERLINK("https://www.773grp.com/manufacturer/nxp-semiconductor?pageNo=19", "NXP Semiconductors")</f>
        <v>NXP Semiconductors</v>
      </c>
      <c r="C16083" s="6">
        <v>4800</v>
      </c>
      <c r="D16083" s="7">
        <v>0.43</v>
      </c>
    </row>
    <row r="16084" spans="1:4" x14ac:dyDescent="0.25">
      <c r="A16084" t="str">
        <f>HYPERLINK("https://www.773grp.com/globalSearch/74AHC139PW118/page-1", "74AHC139PW118")</f>
        <v>74AHC139PW118</v>
      </c>
      <c r="B16084" s="3" t="str">
        <f>HYPERLINK("https://www.773grp.com/manufacturer/nxp-semiconductor?pageNo=20", "NXP Semiconductors")</f>
        <v>NXP Semiconductors</v>
      </c>
      <c r="C16084" s="6">
        <v>23962</v>
      </c>
      <c r="D16084" s="7">
        <v>0.43</v>
      </c>
    </row>
    <row r="16085" spans="1:4" x14ac:dyDescent="0.25">
      <c r="A16085" t="str">
        <f>HYPERLINK("https://www.773grp.com/globalSearch/74AHC157D118/page-1", "74AHC157D118")</f>
        <v>74AHC157D118</v>
      </c>
      <c r="B16085" s="3" t="str">
        <f>HYPERLINK("https://www.773grp.com/manufacturer/nxp-semiconductor?pageNo=21", "NXP Semiconductors")</f>
        <v>NXP Semiconductors</v>
      </c>
      <c r="C16085" s="6">
        <v>2500</v>
      </c>
      <c r="D16085" s="7">
        <v>0.43</v>
      </c>
    </row>
    <row r="16086" spans="1:4" x14ac:dyDescent="0.25">
      <c r="A16086" t="str">
        <f>HYPERLINK("https://www.773grp.com/globalSearch/74AHC157PW118/page-1", "74AHC157PW118")</f>
        <v>74AHC157PW118</v>
      </c>
      <c r="B16086" s="3" t="str">
        <f>HYPERLINK("https://www.773grp.com/manufacturer/nxp-semiconductor?pageNo=22", "NXP Semiconductors")</f>
        <v>NXP Semiconductors</v>
      </c>
      <c r="C16086" s="6">
        <v>180</v>
      </c>
      <c r="D16086" s="7">
        <v>0.43</v>
      </c>
    </row>
    <row r="16087" spans="1:4" x14ac:dyDescent="0.25">
      <c r="A16087" t="str">
        <f>HYPERLINK("https://www.773grp.com/globalSearch/74AHC164PW118/page-1", "74AHC164PW118")</f>
        <v>74AHC164PW118</v>
      </c>
      <c r="B16087" s="3" t="str">
        <f>HYPERLINK("https://www.773grp.com/manufacturer/nxp-semiconductor?pageNo=23", "NXP Semiconductors")</f>
        <v>NXP Semiconductors</v>
      </c>
      <c r="C16087" s="6">
        <v>13896</v>
      </c>
      <c r="D16087" s="7">
        <v>0.43</v>
      </c>
    </row>
    <row r="16088" spans="1:4" x14ac:dyDescent="0.25">
      <c r="A16088" t="str">
        <f>HYPERLINK("https://www.773grp.com/globalSearch/74AHC1G09GV125/page-1", "74AHC1G09GV125")</f>
        <v>74AHC1G09GV125</v>
      </c>
      <c r="B16088" s="3" t="str">
        <f>HYPERLINK("https://www.773grp.com/manufacturer/nxp-semiconductor?pageNo=24", "NXP Semiconductors")</f>
        <v>NXP Semiconductors</v>
      </c>
      <c r="C16088" s="6">
        <v>39000</v>
      </c>
      <c r="D16088" s="7">
        <v>0.43</v>
      </c>
    </row>
    <row r="16089" spans="1:4" x14ac:dyDescent="0.25">
      <c r="A16089" t="str">
        <f>HYPERLINK("https://www.773grp.com/globalSearch/74AHC1G09GW125/page-1", "74AHC1G09GW125")</f>
        <v>74AHC1G09GW125</v>
      </c>
      <c r="B16089" s="3" t="str">
        <f>HYPERLINK("https://www.773grp.com/manufacturer/nxp-semiconductor?pageNo=25", "NXP Semiconductors")</f>
        <v>NXP Semiconductors</v>
      </c>
      <c r="C16089" s="6">
        <v>13530</v>
      </c>
      <c r="D16089" s="7">
        <v>0.43</v>
      </c>
    </row>
    <row r="16090" spans="1:4" x14ac:dyDescent="0.25">
      <c r="A16090" t="str">
        <f>HYPERLINK("https://www.773grp.com/globalSearch/74AHC244BQ115/page-1", "74AHC244BQ115")</f>
        <v>74AHC244BQ115</v>
      </c>
      <c r="B16090" s="3" t="str">
        <f>HYPERLINK("https://www.773grp.com/manufacturer/nxp-semiconductor?pageNo=26", "NXP Semiconductors")</f>
        <v>NXP Semiconductors</v>
      </c>
      <c r="C16090" s="6">
        <v>14988</v>
      </c>
      <c r="D16090" s="7">
        <v>0.43</v>
      </c>
    </row>
    <row r="16091" spans="1:4" x14ac:dyDescent="0.25">
      <c r="A16091" t="str">
        <f>HYPERLINK("https://www.773grp.com/globalSearch/74AHC273PW112/page-1", "74AHC273PW112")</f>
        <v>74AHC273PW112</v>
      </c>
      <c r="B16091" s="3" t="str">
        <f>HYPERLINK("https://www.773grp.com/manufacturer/nxp-semiconductor?pageNo=27", "NXP Semiconductors")</f>
        <v>NXP Semiconductors</v>
      </c>
      <c r="C16091" s="6">
        <v>5625</v>
      </c>
      <c r="D16091" s="7">
        <v>0.43</v>
      </c>
    </row>
    <row r="16092" spans="1:4" x14ac:dyDescent="0.25">
      <c r="A16092" t="str">
        <f>HYPERLINK("https://www.773grp.com/globalSearch/74AHC273PW118/page-1", "74AHC273PW118")</f>
        <v>74AHC273PW118</v>
      </c>
      <c r="B16092" s="3" t="str">
        <f>HYPERLINK("https://www.773grp.com/manufacturer/nxp-semiconductor?pageNo=28", "NXP Semiconductors")</f>
        <v>NXP Semiconductors</v>
      </c>
      <c r="C16092" s="6">
        <v>27240</v>
      </c>
      <c r="D16092" s="7">
        <v>0.43</v>
      </c>
    </row>
    <row r="16093" spans="1:4" x14ac:dyDescent="0.25">
      <c r="A16093" t="str">
        <f>HYPERLINK("https://www.773grp.com/globalSearch/74AHC32D112/page-1", "74AHC32D112")</f>
        <v>74AHC32D112</v>
      </c>
      <c r="B16093" s="3" t="str">
        <f>HYPERLINK("https://www.773grp.com/manufacturer/nxp-semiconductor?pageNo=29", "NXP Semiconductors")</f>
        <v>NXP Semiconductors</v>
      </c>
      <c r="C16093" s="6">
        <v>15960</v>
      </c>
      <c r="D16093" s="7">
        <v>0.43</v>
      </c>
    </row>
    <row r="16094" spans="1:4" x14ac:dyDescent="0.25">
      <c r="A16094" t="str">
        <f>HYPERLINK("https://www.773grp.com/globalSearch/74AHC32D118/page-1", "74AHC32D118")</f>
        <v>74AHC32D118</v>
      </c>
      <c r="B16094" s="3" t="str">
        <f>HYPERLINK("https://www.773grp.com/manufacturer/nxp-semiconductor?pageNo=30", "NXP Semiconductors")</f>
        <v>NXP Semiconductors</v>
      </c>
      <c r="C16094" s="6">
        <v>15000</v>
      </c>
      <c r="D16094" s="7">
        <v>0.43</v>
      </c>
    </row>
    <row r="16095" spans="1:4" x14ac:dyDescent="0.25">
      <c r="A16095" t="str">
        <f>HYPERLINK("https://www.773grp.com/globalSearch/74AHC32PW118/page-1", "74AHC32PW118")</f>
        <v>74AHC32PW118</v>
      </c>
      <c r="B16095" s="3" t="str">
        <f>HYPERLINK("https://www.773grp.com/manufacturer/nxp-semiconductor?pageNo=31", "NXP Semiconductors")</f>
        <v>NXP Semiconductors</v>
      </c>
      <c r="C16095" s="6">
        <v>317500</v>
      </c>
      <c r="D16095" s="7">
        <v>0.43</v>
      </c>
    </row>
    <row r="16096" spans="1:4" x14ac:dyDescent="0.25">
      <c r="A16096" t="str">
        <f>HYPERLINK("https://www.773grp.com/globalSearch/74AHCT02PW112/page-1", "74AHCT02PW112")</f>
        <v>74AHCT02PW112</v>
      </c>
      <c r="B16096" s="3" t="str">
        <f>HYPERLINK("https://www.773grp.com/manufacturer/nxp-semiconductor?pageNo=32", "NXP Semiconductors")</f>
        <v>NXP Semiconductors</v>
      </c>
      <c r="C16096" s="6">
        <v>4800</v>
      </c>
      <c r="D16096" s="7">
        <v>0.43</v>
      </c>
    </row>
    <row r="16097" spans="1:4" x14ac:dyDescent="0.25">
      <c r="A16097" t="str">
        <f>HYPERLINK("https://www.773grp.com/globalSearch/74AHCT04BQ115/page-1", "74AHCT04BQ115")</f>
        <v>74AHCT04BQ115</v>
      </c>
      <c r="B16097" s="3" t="str">
        <f>HYPERLINK("https://www.773grp.com/manufacturer/nxp-semiconductor?pageNo=33", "NXP Semiconductors")</f>
        <v>NXP Semiconductors</v>
      </c>
      <c r="C16097" s="6">
        <v>12000</v>
      </c>
      <c r="D16097" s="7">
        <v>0.43</v>
      </c>
    </row>
    <row r="16098" spans="1:4" x14ac:dyDescent="0.25">
      <c r="A16098" t="str">
        <f>HYPERLINK("https://www.773grp.com/globalSearch/74AHCT08D112/page-1", "74AHCT08D112")</f>
        <v>74AHCT08D112</v>
      </c>
      <c r="B16098" s="3" t="str">
        <f>HYPERLINK("https://www.773grp.com/manufacturer/nxp-semiconductor?pageNo=34", "NXP Semiconductors")</f>
        <v>NXP Semiconductors</v>
      </c>
      <c r="C16098" s="6">
        <v>20691</v>
      </c>
      <c r="D16098" s="7">
        <v>0.43</v>
      </c>
    </row>
    <row r="16099" spans="1:4" x14ac:dyDescent="0.25">
      <c r="A16099" t="str">
        <f>HYPERLINK("https://www.773grp.com/globalSearch/74AHCT123ABQ115/page-1", "74AHCT123ABQ115")</f>
        <v>74AHCT123ABQ115</v>
      </c>
      <c r="B16099" s="3" t="str">
        <f>HYPERLINK("https://www.773grp.com/manufacturer/nxp-semiconductor?pageNo=35", "NXP Semiconductors")</f>
        <v>NXP Semiconductors</v>
      </c>
      <c r="C16099" s="6">
        <v>5744</v>
      </c>
      <c r="D16099" s="7">
        <v>0.43</v>
      </c>
    </row>
    <row r="16100" spans="1:4" x14ac:dyDescent="0.25">
      <c r="A16100" t="str">
        <f>HYPERLINK("https://www.773grp.com/globalSearch/74AHCT125PW112/page-1", "74AHCT125PW112")</f>
        <v>74AHCT125PW112</v>
      </c>
      <c r="B16100" s="3" t="str">
        <f>HYPERLINK("https://www.773grp.com/manufacturer/nxp-semiconductor?pageNo=36", "NXP Semiconductors")</f>
        <v>NXP Semiconductors</v>
      </c>
      <c r="C16100" s="6">
        <v>9600</v>
      </c>
      <c r="D16100" s="7">
        <v>0.43</v>
      </c>
    </row>
    <row r="16101" spans="1:4" x14ac:dyDescent="0.25">
      <c r="A16101" t="str">
        <f>HYPERLINK("https://www.773grp.com/globalSearch/74AHCT125PW118/page-1", "74AHCT125PW118")</f>
        <v>74AHCT125PW118</v>
      </c>
      <c r="B16101" s="3" t="str">
        <f>HYPERLINK("https://www.773grp.com/manufacturer/nxp-semiconductor?pageNo=37", "NXP Semiconductors")</f>
        <v>NXP Semiconductors</v>
      </c>
      <c r="C16101" s="6">
        <v>17500</v>
      </c>
      <c r="D16101" s="7">
        <v>0.43</v>
      </c>
    </row>
    <row r="16102" spans="1:4" x14ac:dyDescent="0.25">
      <c r="A16102" t="str">
        <f>HYPERLINK("https://www.773grp.com/globalSearch/74AHCT126PW112/page-1", "74AHCT126PW112")</f>
        <v>74AHCT126PW112</v>
      </c>
      <c r="B16102" s="3" t="str">
        <f>HYPERLINK("https://www.773grp.com/manufacturer/nxp-semiconductor?pageNo=38", "NXP Semiconductors")</f>
        <v>NXP Semiconductors</v>
      </c>
      <c r="C16102" s="6">
        <v>9500</v>
      </c>
      <c r="D16102" s="7">
        <v>0.43</v>
      </c>
    </row>
    <row r="16103" spans="1:4" x14ac:dyDescent="0.25">
      <c r="A16103" t="str">
        <f>HYPERLINK("https://www.773grp.com/globalSearch/74AHCT126PW118/page-1", "74AHCT126PW118")</f>
        <v>74AHCT126PW118</v>
      </c>
      <c r="B16103" s="3" t="str">
        <f>HYPERLINK("https://www.773grp.com/manufacturer/nxp-semiconductor?pageNo=39", "NXP Semiconductors")</f>
        <v>NXP Semiconductors</v>
      </c>
      <c r="C16103" s="6">
        <v>1206</v>
      </c>
      <c r="D16103" s="7">
        <v>0.43</v>
      </c>
    </row>
    <row r="16104" spans="1:4" x14ac:dyDescent="0.25">
      <c r="A16104" t="str">
        <f>HYPERLINK("https://www.773grp.com/globalSearch/74AHCT132PW118/page-1", "74AHCT132PW118")</f>
        <v>74AHCT132PW118</v>
      </c>
      <c r="B16104" s="3" t="str">
        <f>HYPERLINK("https://www.773grp.com/manufacturer/nxp-semiconductor?pageNo=40", "NXP Semiconductors")</f>
        <v>NXP Semiconductors</v>
      </c>
      <c r="C16104" s="6">
        <v>7500</v>
      </c>
      <c r="D16104" s="7">
        <v>0.43</v>
      </c>
    </row>
    <row r="16105" spans="1:4" x14ac:dyDescent="0.25">
      <c r="A16105" t="str">
        <f>HYPERLINK("https://www.773grp.com/globalSearch/74AHCT138PW112/page-1", "74AHCT138PW112")</f>
        <v>74AHCT138PW112</v>
      </c>
      <c r="B16105" s="3" t="str">
        <f>HYPERLINK("https://www.773grp.com/manufacturer/nxp-semiconductor?pageNo=41", "NXP Semiconductors")</f>
        <v>NXP Semiconductors</v>
      </c>
      <c r="C16105" s="6">
        <v>2400</v>
      </c>
      <c r="D16105" s="7">
        <v>0.43</v>
      </c>
    </row>
    <row r="16106" spans="1:4" x14ac:dyDescent="0.25">
      <c r="A16106" t="str">
        <f>HYPERLINK("https://www.773grp.com/globalSearch/74AHCT138PW118/page-1", "74AHCT138PW118")</f>
        <v>74AHCT138PW118</v>
      </c>
      <c r="B16106" s="3" t="str">
        <f>HYPERLINK("https://www.773grp.com/manufacturer/nxp-semiconductor?pageNo=42", "NXP Semiconductors")</f>
        <v>NXP Semiconductors</v>
      </c>
      <c r="C16106" s="6">
        <v>7888</v>
      </c>
      <c r="D16106" s="7">
        <v>0.43</v>
      </c>
    </row>
    <row r="16107" spans="1:4" x14ac:dyDescent="0.25">
      <c r="A16107" t="str">
        <f>HYPERLINK("https://www.773grp.com/globalSearch/74AHCT139PW112/page-1", "74AHCT139PW112")</f>
        <v>74AHCT139PW112</v>
      </c>
      <c r="B16107" s="3" t="str">
        <f>HYPERLINK("https://www.773grp.com/manufacturer/nxp-semiconductor?pageNo=43", "NXP Semiconductors")</f>
        <v>NXP Semiconductors</v>
      </c>
      <c r="C16107" s="6">
        <v>4000</v>
      </c>
      <c r="D16107" s="7">
        <v>0.43</v>
      </c>
    </row>
    <row r="16108" spans="1:4" x14ac:dyDescent="0.25">
      <c r="A16108" t="str">
        <f>HYPERLINK("https://www.773grp.com/globalSearch/74AHCT139PW118/page-1", "74AHCT139PW118")</f>
        <v>74AHCT139PW118</v>
      </c>
      <c r="B16108" s="3" t="str">
        <f>HYPERLINK("https://www.773grp.com/manufacturer/nxp-semiconductor?pageNo=44", "NXP Semiconductors")</f>
        <v>NXP Semiconductors</v>
      </c>
      <c r="C16108" s="6">
        <v>9000</v>
      </c>
      <c r="D16108" s="7">
        <v>0.43</v>
      </c>
    </row>
    <row r="16109" spans="1:4" x14ac:dyDescent="0.25">
      <c r="A16109" t="str">
        <f>HYPERLINK("https://www.773grp.com/globalSearch/74AHCT14D112/page-1", "74AHCT14D112")</f>
        <v>74AHCT14D112</v>
      </c>
      <c r="B16109" s="3" t="str">
        <f>HYPERLINK("https://www.773grp.com/manufacturer/nxp-semiconductor?pageNo=45", "NXP Semiconductors")</f>
        <v>NXP Semiconductors</v>
      </c>
      <c r="C16109" s="6">
        <v>19380</v>
      </c>
      <c r="D16109" s="7">
        <v>0.43</v>
      </c>
    </row>
    <row r="16110" spans="1:4" x14ac:dyDescent="0.25">
      <c r="A16110" t="str">
        <f>HYPERLINK("https://www.773grp.com/globalSearch/74AHCT14D118/page-1", "74AHCT14D118")</f>
        <v>74AHCT14D118</v>
      </c>
      <c r="B16110" s="3" t="str">
        <f>HYPERLINK("https://www.773grp.com/manufacturer/nxp-semiconductor?pageNo=46", "NXP Semiconductors")</f>
        <v>NXP Semiconductors</v>
      </c>
      <c r="C16110" s="6">
        <v>15000</v>
      </c>
      <c r="D16110" s="7">
        <v>0.43</v>
      </c>
    </row>
    <row r="16111" spans="1:4" x14ac:dyDescent="0.25">
      <c r="A16111" t="str">
        <f>HYPERLINK("https://www.773grp.com/globalSearch/74AHCT14PW112/page-1", "74AHCT14PW112")</f>
        <v>74AHCT14PW112</v>
      </c>
      <c r="B16111" s="3" t="str">
        <f>HYPERLINK("https://www.773grp.com/manufacturer/nxp-semiconductor?pageNo=47", "NXP Semiconductors")</f>
        <v>NXP Semiconductors</v>
      </c>
      <c r="C16111" s="6">
        <v>11514</v>
      </c>
      <c r="D16111" s="7">
        <v>0.43</v>
      </c>
    </row>
    <row r="16112" spans="1:4" x14ac:dyDescent="0.25">
      <c r="A16112" t="str">
        <f>HYPERLINK("https://www.773grp.com/globalSearch/74AHCT157D118/page-1", "74AHCT157D118")</f>
        <v>74AHCT157D118</v>
      </c>
      <c r="B16112" s="3" t="str">
        <f>HYPERLINK("https://www.773grp.com/manufacturer/nxp-semiconductor?pageNo=48", "NXP Semiconductors")</f>
        <v>NXP Semiconductors</v>
      </c>
      <c r="C16112" s="6">
        <v>2500</v>
      </c>
      <c r="D16112" s="7">
        <v>0.43</v>
      </c>
    </row>
    <row r="16113" spans="1:4" x14ac:dyDescent="0.25">
      <c r="A16113" t="str">
        <f>HYPERLINK("https://www.773grp.com/globalSearch/74AHCT157PW118/page-1", "74AHCT157PW118")</f>
        <v>74AHCT157PW118</v>
      </c>
      <c r="B16113" s="3" t="str">
        <f>HYPERLINK("https://www.773grp.com/manufacturer/nxp-semiconductor?pageNo=1", "NXP Semiconductors")</f>
        <v>NXP Semiconductors</v>
      </c>
      <c r="C16113" s="6">
        <v>2500</v>
      </c>
      <c r="D16113" s="7">
        <v>0.43</v>
      </c>
    </row>
    <row r="16114" spans="1:4" x14ac:dyDescent="0.25">
      <c r="A16114" t="str">
        <f>HYPERLINK("https://www.773grp.com/globalSearch/74AHCT32PW112/page-1", "74AHCT32PW112")</f>
        <v>74AHCT32PW112</v>
      </c>
      <c r="B16114" s="3" t="str">
        <f>HYPERLINK("https://www.773grp.com/manufacturer/nxp-semiconductor?pageNo=2", "NXP Semiconductors")</f>
        <v>NXP Semiconductors</v>
      </c>
      <c r="C16114" s="6">
        <v>7200</v>
      </c>
      <c r="D16114" s="7">
        <v>0.43</v>
      </c>
    </row>
    <row r="16115" spans="1:4" x14ac:dyDescent="0.25">
      <c r="A16115" t="str">
        <f>HYPERLINK("https://www.773grp.com/globalSearch/74AHCT32PW118/page-1", "74AHCT32PW118")</f>
        <v>74AHCT32PW118</v>
      </c>
      <c r="B16115" s="3" t="str">
        <f>HYPERLINK("https://www.773grp.com/manufacturer/nxp-semiconductor?pageNo=3", "NXP Semiconductors")</f>
        <v>NXP Semiconductors</v>
      </c>
      <c r="C16115" s="6">
        <v>88923</v>
      </c>
      <c r="D16115" s="7">
        <v>0.43</v>
      </c>
    </row>
    <row r="16116" spans="1:4" x14ac:dyDescent="0.25">
      <c r="A16116" t="str">
        <f>HYPERLINK("https://www.773grp.com/globalSearch/74AUP1G00GW125/page-1", "74AUP1G00GW125")</f>
        <v>74AUP1G00GW125</v>
      </c>
      <c r="B16116" s="3" t="str">
        <f>HYPERLINK("https://www.773grp.com/manufacturer/nxp-semiconductor?pageNo=4", "NXP Semiconductors")</f>
        <v>NXP Semiconductors</v>
      </c>
      <c r="C16116" s="6">
        <v>33460</v>
      </c>
      <c r="D16116" s="7">
        <v>0.43</v>
      </c>
    </row>
    <row r="16117" spans="1:4" x14ac:dyDescent="0.25">
      <c r="A16117" t="str">
        <f>HYPERLINK("https://www.773grp.com/globalSearch/74AUP1G02GW125/page-1", "74AUP1G02GW125")</f>
        <v>74AUP1G02GW125</v>
      </c>
      <c r="B16117" s="3" t="str">
        <f>HYPERLINK("https://www.773grp.com/manufacturer/nxp-semiconductor?pageNo=5", "NXP Semiconductors")</f>
        <v>NXP Semiconductors</v>
      </c>
      <c r="C16117" s="6">
        <v>18019</v>
      </c>
      <c r="D16117" s="7">
        <v>0.43</v>
      </c>
    </row>
    <row r="16118" spans="1:4" x14ac:dyDescent="0.25">
      <c r="A16118" t="str">
        <f>HYPERLINK("https://www.773grp.com/globalSearch/74AUP1G06GW125/page-1", "74AUP1G06GW125")</f>
        <v>74AUP1G06GW125</v>
      </c>
      <c r="B16118" s="3" t="str">
        <f>HYPERLINK("https://www.773grp.com/manufacturer/nxp-semiconductor?pageNo=6", "NXP Semiconductors")</f>
        <v>NXP Semiconductors</v>
      </c>
      <c r="C16118" s="6">
        <v>30189</v>
      </c>
      <c r="D16118" s="7">
        <v>0.43</v>
      </c>
    </row>
    <row r="16119" spans="1:4" x14ac:dyDescent="0.25">
      <c r="A16119" t="str">
        <f>HYPERLINK("https://www.773grp.com/globalSearch/74AUP1G14GW125/page-1", "74AUP1G14GW125")</f>
        <v>74AUP1G14GW125</v>
      </c>
      <c r="B16119" s="3" t="str">
        <f>HYPERLINK("https://www.773grp.com/manufacturer/nxp-semiconductor?pageNo=7", "NXP Semiconductors")</f>
        <v>NXP Semiconductors</v>
      </c>
      <c r="C16119" s="6">
        <v>432000</v>
      </c>
      <c r="D16119" s="7">
        <v>0.43</v>
      </c>
    </row>
    <row r="16120" spans="1:4" x14ac:dyDescent="0.25">
      <c r="A16120" t="str">
        <f>HYPERLINK("https://www.773grp.com/globalSearch/74AUP1G17GW125/page-1", "74AUP1G17GW125")</f>
        <v>74AUP1G17GW125</v>
      </c>
      <c r="B16120" s="3" t="str">
        <f>HYPERLINK("https://www.773grp.com/manufacturer/nxp-semiconductor?pageNo=8", "NXP Semiconductors")</f>
        <v>NXP Semiconductors</v>
      </c>
      <c r="C16120" s="6">
        <v>19700</v>
      </c>
      <c r="D16120" s="7">
        <v>0.43</v>
      </c>
    </row>
    <row r="16121" spans="1:4" x14ac:dyDescent="0.25">
      <c r="A16121" t="str">
        <f>HYPERLINK("https://www.773grp.com/globalSearch/74AUP1G32GW-DG125/page-1", "74AUP1G32GW-DG125")</f>
        <v>74AUP1G32GW-DG125</v>
      </c>
      <c r="B16121" s="3" t="str">
        <f>HYPERLINK("https://www.773grp.com/manufacturer/nxp-semiconductor?pageNo=9", "NXP Semiconductors")</f>
        <v>NXP Semiconductors</v>
      </c>
      <c r="C16121" s="6">
        <v>6000</v>
      </c>
      <c r="D16121" s="7">
        <v>0.43</v>
      </c>
    </row>
    <row r="16122" spans="1:4" x14ac:dyDescent="0.25">
      <c r="A16122" t="str">
        <f>HYPERLINK("https://www.773grp.com/globalSearch/74AUP1G86GW125/page-1", "74AUP1G86GW125")</f>
        <v>74AUP1G86GW125</v>
      </c>
      <c r="B16122" s="3" t="str">
        <f>HYPERLINK("https://www.773grp.com/manufacturer/nxp-semiconductor?pageNo=10", "NXP Semiconductors")</f>
        <v>NXP Semiconductors</v>
      </c>
      <c r="C16122" s="6">
        <v>27180</v>
      </c>
      <c r="D16122" s="7">
        <v>0.43</v>
      </c>
    </row>
    <row r="16123" spans="1:4" x14ac:dyDescent="0.25">
      <c r="A16123" t="str">
        <f>HYPERLINK("https://www.773grp.com/globalSearch/74AUP1T58GW125/page-1", "74AUP1T58GW125")</f>
        <v>74AUP1T58GW125</v>
      </c>
      <c r="B16123" s="3" t="str">
        <f>HYPERLINK("https://www.773grp.com/manufacturer/nxp-semiconductor?pageNo=11", "NXP Semiconductors")</f>
        <v>NXP Semiconductors</v>
      </c>
      <c r="C16123" s="6">
        <v>21000</v>
      </c>
      <c r="D16123" s="7">
        <v>0.43</v>
      </c>
    </row>
    <row r="16124" spans="1:4" x14ac:dyDescent="0.25">
      <c r="A16124" t="str">
        <f>HYPERLINK("https://www.773grp.com/globalSearch/74AUP1T98GW125/page-1", "74AUP1T98GW125")</f>
        <v>74AUP1T98GW125</v>
      </c>
      <c r="B16124" s="3" t="str">
        <f>HYPERLINK("https://www.773grp.com/manufacturer/nxp-semiconductor?pageNo=12", "NXP Semiconductors")</f>
        <v>NXP Semiconductors</v>
      </c>
      <c r="C16124" s="6">
        <v>7508</v>
      </c>
      <c r="D16124" s="7">
        <v>0.43</v>
      </c>
    </row>
    <row r="16125" spans="1:4" x14ac:dyDescent="0.25">
      <c r="A16125" t="str">
        <f>HYPERLINK("https://www.773grp.com/globalSearch/74CBTLV1G125GV125/page-1", "74CBTLV1G125GV125")</f>
        <v>74CBTLV1G125GV125</v>
      </c>
      <c r="B16125" s="3" t="str">
        <f>HYPERLINK("https://www.773grp.com/manufacturer/nxp-semiconductor?pageNo=13", "NXP Semiconductors")</f>
        <v>NXP Semiconductors</v>
      </c>
      <c r="C16125" s="6">
        <v>16725</v>
      </c>
      <c r="D16125" s="7">
        <v>0.43</v>
      </c>
    </row>
    <row r="16126" spans="1:4" x14ac:dyDescent="0.25">
      <c r="A16126" t="str">
        <f>HYPERLINK("https://www.773grp.com/globalSearch/74CBTLV1G125GW125/page-1", "74CBTLV1G125GW125")</f>
        <v>74CBTLV1G125GW125</v>
      </c>
      <c r="B16126" s="3" t="str">
        <f>HYPERLINK("https://www.773grp.com/manufacturer/nxp-semiconductor?pageNo=14", "NXP Semiconductors")</f>
        <v>NXP Semiconductors</v>
      </c>
      <c r="C16126" s="6">
        <v>6000</v>
      </c>
      <c r="D16126" s="7">
        <v>0.43</v>
      </c>
    </row>
    <row r="16127" spans="1:4" x14ac:dyDescent="0.25">
      <c r="A16127" t="str">
        <f>HYPERLINK("https://www.773grp.com/globalSearch/74HC03D652/page-1", "74HC03D652")</f>
        <v>74HC03D652</v>
      </c>
      <c r="B16127" s="3" t="str">
        <f>HYPERLINK("https://www.773grp.com/manufacturer/nxp-semiconductor?pageNo=15", "NXP Semiconductors")</f>
        <v>NXP Semiconductors</v>
      </c>
      <c r="C16127" s="6">
        <v>22800</v>
      </c>
      <c r="D16127" s="7">
        <v>0.43</v>
      </c>
    </row>
    <row r="16128" spans="1:4" x14ac:dyDescent="0.25">
      <c r="A16128" t="str">
        <f>HYPERLINK("https://www.773grp.com/globalSearch/74HC03D653/page-1", "74HC03D653")</f>
        <v>74HC03D653</v>
      </c>
      <c r="B16128" s="3" t="str">
        <f>HYPERLINK("https://www.773grp.com/manufacturer/nxp-semiconductor?pageNo=16", "NXP Semiconductors")</f>
        <v>NXP Semiconductors</v>
      </c>
      <c r="C16128" s="6">
        <v>27722</v>
      </c>
      <c r="D16128" s="7">
        <v>0.43</v>
      </c>
    </row>
    <row r="16129" spans="1:4" x14ac:dyDescent="0.25">
      <c r="A16129" t="str">
        <f>HYPERLINK("https://www.773grp.com/globalSearch/74HC03PW112/page-1", "74HC03PW112")</f>
        <v>74HC03PW112</v>
      </c>
      <c r="B16129" s="3" t="str">
        <f>HYPERLINK("https://www.773grp.com/manufacturer/nxp-semiconductor?pageNo=17", "NXP Semiconductors")</f>
        <v>NXP Semiconductors</v>
      </c>
      <c r="C16129" s="6">
        <v>7253</v>
      </c>
      <c r="D16129" s="7">
        <v>0.43</v>
      </c>
    </row>
    <row r="16130" spans="1:4" x14ac:dyDescent="0.25">
      <c r="A16130" t="str">
        <f>HYPERLINK("https://www.773grp.com/globalSearch/74HC03PW118/page-1", "74HC03PW118")</f>
        <v>74HC03PW118</v>
      </c>
      <c r="B16130" s="3" t="str">
        <f>HYPERLINK("https://www.773grp.com/manufacturer/nxp-semiconductor?pageNo=18", "NXP Semiconductors")</f>
        <v>NXP Semiconductors</v>
      </c>
      <c r="C16130" s="6">
        <v>115000</v>
      </c>
      <c r="D16130" s="7">
        <v>0.43</v>
      </c>
    </row>
    <row r="16131" spans="1:4" x14ac:dyDescent="0.25">
      <c r="A16131" t="str">
        <f>HYPERLINK("https://www.773grp.com/globalSearch/74HC11D652/page-1", "74HC11D652")</f>
        <v>74HC11D652</v>
      </c>
      <c r="B16131" s="3" t="str">
        <f>HYPERLINK("https://www.773grp.com/manufacturer/nxp-semiconductor?pageNo=19", "NXP Semiconductors")</f>
        <v>NXP Semiconductors</v>
      </c>
      <c r="C16131" s="6">
        <v>13879</v>
      </c>
      <c r="D16131" s="7">
        <v>0.43</v>
      </c>
    </row>
    <row r="16132" spans="1:4" x14ac:dyDescent="0.25">
      <c r="A16132" t="str">
        <f>HYPERLINK("https://www.773grp.com/globalSearch/74HC11D653/page-1", "74HC11D653")</f>
        <v>74HC11D653</v>
      </c>
      <c r="B16132" s="3" t="str">
        <f>HYPERLINK("https://www.773grp.com/manufacturer/nxp-semiconductor?pageNo=20", "NXP Semiconductors")</f>
        <v>NXP Semiconductors</v>
      </c>
      <c r="C16132" s="6">
        <v>12500</v>
      </c>
      <c r="D16132" s="7">
        <v>0.43</v>
      </c>
    </row>
    <row r="16133" spans="1:4" x14ac:dyDescent="0.25">
      <c r="A16133" t="str">
        <f>HYPERLINK("https://www.773grp.com/globalSearch/74HC11PW118/page-1", "74HC11PW118")</f>
        <v>74HC11PW118</v>
      </c>
      <c r="B16133" s="3" t="str">
        <f>HYPERLINK("https://www.773grp.com/manufacturer/nxp-semiconductor?pageNo=21", "NXP Semiconductors")</f>
        <v>NXP Semiconductors</v>
      </c>
      <c r="C16133" s="6">
        <v>2500</v>
      </c>
      <c r="D16133" s="7">
        <v>0.43</v>
      </c>
    </row>
    <row r="16134" spans="1:4" x14ac:dyDescent="0.25">
      <c r="A16134" t="str">
        <f>HYPERLINK("https://www.773grp.com/globalSearch/74HC125PW112/page-1", "74HC125PW112")</f>
        <v>74HC125PW112</v>
      </c>
      <c r="B16134" s="3" t="str">
        <f>HYPERLINK("https://www.773grp.com/manufacturer/nxp-semiconductor?pageNo=22", "NXP Semiconductors")</f>
        <v>NXP Semiconductors</v>
      </c>
      <c r="C16134" s="6">
        <v>5600</v>
      </c>
      <c r="D16134" s="7">
        <v>0.43</v>
      </c>
    </row>
    <row r="16135" spans="1:4" x14ac:dyDescent="0.25">
      <c r="A16135" t="str">
        <f>HYPERLINK("https://www.773grp.com/globalSearch/74HC125PW118/page-1", "74HC125PW118")</f>
        <v>74HC125PW118</v>
      </c>
      <c r="B16135" s="3" t="str">
        <f>HYPERLINK("https://www.773grp.com/manufacturer/nxp-semiconductor?pageNo=23", "NXP Semiconductors")</f>
        <v>NXP Semiconductors</v>
      </c>
      <c r="C16135" s="6">
        <v>196</v>
      </c>
      <c r="D16135" s="7">
        <v>0.43</v>
      </c>
    </row>
    <row r="16136" spans="1:4" x14ac:dyDescent="0.25">
      <c r="A16136" t="str">
        <f>HYPERLINK("https://www.773grp.com/globalSearch/74HC132PW112/page-1", "74HC132PW112")</f>
        <v>74HC132PW112</v>
      </c>
      <c r="B16136" s="3" t="str">
        <f>HYPERLINK("https://www.773grp.com/manufacturer/nxp-semiconductor?pageNo=24", "NXP Semiconductors")</f>
        <v>NXP Semiconductors</v>
      </c>
      <c r="C16136" s="6">
        <v>10627</v>
      </c>
      <c r="D16136" s="7">
        <v>0.43</v>
      </c>
    </row>
    <row r="16137" spans="1:4" x14ac:dyDescent="0.25">
      <c r="A16137" t="str">
        <f>HYPERLINK("https://www.773grp.com/globalSearch/74HC132PW118/page-1", "74HC132PW118")</f>
        <v>74HC132PW118</v>
      </c>
      <c r="B16137" s="3" t="str">
        <f>HYPERLINK("https://www.773grp.com/manufacturer/nxp-semiconductor?pageNo=25", "NXP Semiconductors")</f>
        <v>NXP Semiconductors</v>
      </c>
      <c r="C16137" s="6">
        <v>7500</v>
      </c>
      <c r="D16137" s="7">
        <v>0.43</v>
      </c>
    </row>
    <row r="16138" spans="1:4" x14ac:dyDescent="0.25">
      <c r="A16138" t="str">
        <f>HYPERLINK("https://www.773grp.com/globalSearch/74HC139D653/page-1", "74HC139D653")</f>
        <v>74HC139D653</v>
      </c>
      <c r="B16138" s="3" t="str">
        <f>HYPERLINK("https://www.773grp.com/manufacturer/nxp-semiconductor?pageNo=26", "NXP Semiconductors")</f>
        <v>NXP Semiconductors</v>
      </c>
      <c r="C16138" s="6">
        <v>405000</v>
      </c>
      <c r="D16138" s="7">
        <v>0.43</v>
      </c>
    </row>
    <row r="16139" spans="1:4" x14ac:dyDescent="0.25">
      <c r="A16139" t="str">
        <f>HYPERLINK("https://www.773grp.com/globalSearch/74HC139PW112/page-1", "74HC139PW112")</f>
        <v>74HC139PW112</v>
      </c>
      <c r="B16139" s="3" t="str">
        <f>HYPERLINK("https://www.773grp.com/manufacturer/nxp-semiconductor?pageNo=27", "NXP Semiconductors")</f>
        <v>NXP Semiconductors</v>
      </c>
      <c r="C16139" s="6">
        <v>4500</v>
      </c>
      <c r="D16139" s="7">
        <v>0.43</v>
      </c>
    </row>
    <row r="16140" spans="1:4" x14ac:dyDescent="0.25">
      <c r="A16140" t="str">
        <f>HYPERLINK("https://www.773grp.com/globalSearch/74HC139PW118/page-1", "74HC139PW118")</f>
        <v>74HC139PW118</v>
      </c>
      <c r="B16140" s="3" t="str">
        <f>HYPERLINK("https://www.773grp.com/manufacturer/nxp-semiconductor?pageNo=28", "NXP Semiconductors")</f>
        <v>NXP Semiconductors</v>
      </c>
      <c r="C16140" s="6">
        <v>150</v>
      </c>
      <c r="D16140" s="7">
        <v>0.43</v>
      </c>
    </row>
    <row r="16141" spans="1:4" x14ac:dyDescent="0.25">
      <c r="A16141" t="str">
        <f>HYPERLINK("https://www.773grp.com/globalSearch/74HC20D652/page-1", "74HC20D652")</f>
        <v>74HC20D652</v>
      </c>
      <c r="B16141" s="3" t="str">
        <f>HYPERLINK("https://www.773grp.com/manufacturer/nxp-semiconductor?pageNo=29", "NXP Semiconductors")</f>
        <v>NXP Semiconductors</v>
      </c>
      <c r="C16141" s="6">
        <v>31920</v>
      </c>
      <c r="D16141" s="7">
        <v>0.43</v>
      </c>
    </row>
    <row r="16142" spans="1:4" x14ac:dyDescent="0.25">
      <c r="A16142" t="str">
        <f>HYPERLINK("https://www.773grp.com/globalSearch/74HC20D653/page-1", "74HC20D653")</f>
        <v>74HC20D653</v>
      </c>
      <c r="B16142" s="3" t="str">
        <f>HYPERLINK("https://www.773grp.com/manufacturer/nxp-semiconductor?pageNo=30", "NXP Semiconductors")</f>
        <v>NXP Semiconductors</v>
      </c>
      <c r="C16142" s="6">
        <v>2500</v>
      </c>
      <c r="D16142" s="7">
        <v>0.43</v>
      </c>
    </row>
    <row r="16143" spans="1:4" x14ac:dyDescent="0.25">
      <c r="A16143" t="str">
        <f>HYPERLINK("https://www.773grp.com/globalSearch/74HC2G04GV125/page-1", "74HC2G04GV125")</f>
        <v>74HC2G04GV125</v>
      </c>
      <c r="B16143" s="3" t="str">
        <f>HYPERLINK("https://www.773grp.com/manufacturer/nxp-semiconductor?pageNo=31", "NXP Semiconductors")</f>
        <v>NXP Semiconductors</v>
      </c>
      <c r="C16143" s="6">
        <v>496</v>
      </c>
      <c r="D16143" s="7">
        <v>0.43</v>
      </c>
    </row>
    <row r="16144" spans="1:4" x14ac:dyDescent="0.25">
      <c r="A16144" t="str">
        <f>HYPERLINK("https://www.773grp.com/globalSearch/74HC2G04GW125/page-1", "74HC2G04GW125")</f>
        <v>74HC2G04GW125</v>
      </c>
      <c r="B16144" s="3" t="str">
        <f>HYPERLINK("https://www.773grp.com/manufacturer/nxp-semiconductor?pageNo=32", "NXP Semiconductors")</f>
        <v>NXP Semiconductors</v>
      </c>
      <c r="C16144" s="6">
        <v>6000</v>
      </c>
      <c r="D16144" s="7">
        <v>0.43</v>
      </c>
    </row>
    <row r="16145" spans="1:4" x14ac:dyDescent="0.25">
      <c r="A16145" t="str">
        <f>HYPERLINK("https://www.773grp.com/globalSearch/74HC2G17GW125/page-1", "74HC2G17GW125")</f>
        <v>74HC2G17GW125</v>
      </c>
      <c r="B16145" s="3" t="str">
        <f>HYPERLINK("https://www.773grp.com/manufacturer/nxp-semiconductor?pageNo=33", "NXP Semiconductors")</f>
        <v>NXP Semiconductors</v>
      </c>
      <c r="C16145" s="6">
        <v>6000</v>
      </c>
      <c r="D16145" s="7">
        <v>0.43</v>
      </c>
    </row>
    <row r="16146" spans="1:4" x14ac:dyDescent="0.25">
      <c r="A16146" t="str">
        <f>HYPERLINK("https://www.773grp.com/globalSearch/74HC2GU04GW125/page-1", "74HC2GU04GW125")</f>
        <v>74HC2GU04GW125</v>
      </c>
      <c r="B16146" s="3" t="str">
        <f>HYPERLINK("https://www.773grp.com/manufacturer/nxp-semiconductor?pageNo=34", "NXP Semiconductors")</f>
        <v>NXP Semiconductors</v>
      </c>
      <c r="C16146" s="6">
        <v>400</v>
      </c>
      <c r="D16146" s="7">
        <v>0.43</v>
      </c>
    </row>
    <row r="16147" spans="1:4" x14ac:dyDescent="0.25">
      <c r="A16147" t="str">
        <f>HYPERLINK("https://www.773grp.com/globalSearch/74HC4066D652/page-1", "74HC4066D652")</f>
        <v>74HC4066D652</v>
      </c>
      <c r="B16147" s="3" t="str">
        <f>HYPERLINK("https://www.773grp.com/manufacturer/nxp-semiconductor?pageNo=35", "NXP Semiconductors")</f>
        <v>NXP Semiconductors</v>
      </c>
      <c r="C16147" s="6">
        <v>3420</v>
      </c>
      <c r="D16147" s="7">
        <v>0.43</v>
      </c>
    </row>
    <row r="16148" spans="1:4" x14ac:dyDescent="0.25">
      <c r="A16148" t="str">
        <f>HYPERLINK("https://www.773grp.com/globalSearch/74HC4066PW112/page-1", "74HC4066PW112")</f>
        <v>74HC4066PW112</v>
      </c>
      <c r="B16148" s="3" t="str">
        <f>HYPERLINK("https://www.773grp.com/manufacturer/nxp-semiconductor?pageNo=36", "NXP Semiconductors")</f>
        <v>NXP Semiconductors</v>
      </c>
      <c r="C16148" s="6">
        <v>3168</v>
      </c>
      <c r="D16148" s="7">
        <v>0.43</v>
      </c>
    </row>
    <row r="16149" spans="1:4" x14ac:dyDescent="0.25">
      <c r="A16149" t="str">
        <f>HYPERLINK("https://www.773grp.com/globalSearch/74HC4066PW118/page-1", "74HC4066PW118")</f>
        <v>74HC4066PW118</v>
      </c>
      <c r="B16149" s="3" t="str">
        <f>HYPERLINK("https://www.773grp.com/manufacturer/nxp-semiconductor?pageNo=37", "NXP Semiconductors")</f>
        <v>NXP Semiconductors</v>
      </c>
      <c r="C16149" s="6">
        <v>125598</v>
      </c>
      <c r="D16149" s="7">
        <v>0.43</v>
      </c>
    </row>
    <row r="16150" spans="1:4" x14ac:dyDescent="0.25">
      <c r="A16150" t="str">
        <f>HYPERLINK("https://www.773grp.com/globalSearch/74HCT03D652/page-1", "74HCT03D652")</f>
        <v>74HCT03D652</v>
      </c>
      <c r="B16150" s="3" t="str">
        <f>HYPERLINK("https://www.773grp.com/manufacturer/nxp-semiconductor?pageNo=38", "NXP Semiconductors")</f>
        <v>NXP Semiconductors</v>
      </c>
      <c r="C16150" s="6">
        <v>31535</v>
      </c>
      <c r="D16150" s="7">
        <v>0.43</v>
      </c>
    </row>
    <row r="16151" spans="1:4" x14ac:dyDescent="0.25">
      <c r="A16151" t="str">
        <f>HYPERLINK("https://www.773grp.com/globalSearch/74HCT03D653/page-1", "74HCT03D653")</f>
        <v>74HCT03D653</v>
      </c>
      <c r="B16151" s="3" t="str">
        <f>HYPERLINK("https://www.773grp.com/manufacturer/nxp-semiconductor?pageNo=39", "NXP Semiconductors")</f>
        <v>NXP Semiconductors</v>
      </c>
      <c r="C16151" s="6">
        <v>7500</v>
      </c>
      <c r="D16151" s="7">
        <v>0.43</v>
      </c>
    </row>
    <row r="16152" spans="1:4" x14ac:dyDescent="0.25">
      <c r="A16152" t="str">
        <f>HYPERLINK("https://www.773grp.com/globalSearch/74HCT11D652/page-1", "74HCT11D652")</f>
        <v>74HCT11D652</v>
      </c>
      <c r="B16152" s="3" t="str">
        <f>HYPERLINK("https://www.773grp.com/manufacturer/nxp-semiconductor?pageNo=40", "NXP Semiconductors")</f>
        <v>NXP Semiconductors</v>
      </c>
      <c r="C16152" s="6">
        <v>13452</v>
      </c>
      <c r="D16152" s="7">
        <v>0.43</v>
      </c>
    </row>
    <row r="16153" spans="1:4" x14ac:dyDescent="0.25">
      <c r="A16153" t="str">
        <f>HYPERLINK("https://www.773grp.com/globalSearch/74HCT11D653/page-1", "74HCT11D653")</f>
        <v>74HCT11D653</v>
      </c>
      <c r="B16153" s="3" t="str">
        <f>HYPERLINK("https://www.773grp.com/manufacturer/nxp-semiconductor?pageNo=41", "NXP Semiconductors")</f>
        <v>NXP Semiconductors</v>
      </c>
      <c r="C16153" s="6">
        <v>2500</v>
      </c>
      <c r="D16153" s="7">
        <v>0.43</v>
      </c>
    </row>
    <row r="16154" spans="1:4" x14ac:dyDescent="0.25">
      <c r="A16154" t="str">
        <f>HYPERLINK("https://www.773grp.com/globalSearch/74HCT123D652/page-1", "74HCT123D652")</f>
        <v>74HCT123D652</v>
      </c>
      <c r="B16154" s="3" t="str">
        <f>HYPERLINK("https://www.773grp.com/manufacturer/nxp-semiconductor?pageNo=42", "NXP Semiconductors")</f>
        <v>NXP Semiconductors</v>
      </c>
      <c r="C16154" s="6">
        <v>3000</v>
      </c>
      <c r="D16154" s="7">
        <v>0.43</v>
      </c>
    </row>
    <row r="16155" spans="1:4" x14ac:dyDescent="0.25">
      <c r="A16155" t="str">
        <f>HYPERLINK("https://www.773grp.com/globalSearch/74HCT123D653/page-1", "74HCT123D653")</f>
        <v>74HCT123D653</v>
      </c>
      <c r="B16155" s="3" t="str">
        <f>HYPERLINK("https://www.773grp.com/manufacturer/nxp-semiconductor?pageNo=43", "NXP Semiconductors")</f>
        <v>NXP Semiconductors</v>
      </c>
      <c r="C16155" s="6">
        <v>5000</v>
      </c>
      <c r="D16155" s="7">
        <v>0.43</v>
      </c>
    </row>
    <row r="16156" spans="1:4" x14ac:dyDescent="0.25">
      <c r="A16156" t="str">
        <f>HYPERLINK("https://www.773grp.com/globalSearch/74HCT125PW112/page-1", "74HCT125PW112")</f>
        <v>74HCT125PW112</v>
      </c>
      <c r="B16156" s="3" t="str">
        <f>HYPERLINK("https://www.773grp.com/manufacturer/nxp-semiconductor?pageNo=44", "NXP Semiconductors")</f>
        <v>NXP Semiconductors</v>
      </c>
      <c r="C16156" s="6">
        <v>9302</v>
      </c>
      <c r="D16156" s="7">
        <v>0.43</v>
      </c>
    </row>
    <row r="16157" spans="1:4" x14ac:dyDescent="0.25">
      <c r="A16157" t="str">
        <f>HYPERLINK("https://www.773grp.com/globalSearch/74HCT125PW118/page-1", "74HCT125PW118")</f>
        <v>74HCT125PW118</v>
      </c>
      <c r="B16157" s="3" t="str">
        <f>HYPERLINK("https://www.773grp.com/manufacturer/nxp-semiconductor?pageNo=45", "NXP Semiconductors")</f>
        <v>NXP Semiconductors</v>
      </c>
      <c r="C16157" s="6">
        <v>10115</v>
      </c>
      <c r="D16157" s="7">
        <v>0.43</v>
      </c>
    </row>
    <row r="16158" spans="1:4" x14ac:dyDescent="0.25">
      <c r="A16158" t="str">
        <f>HYPERLINK("https://www.773grp.com/globalSearch/74HCT132D652/page-1", "74HCT132D652")</f>
        <v>74HCT132D652</v>
      </c>
      <c r="B16158" s="3" t="str">
        <f>HYPERLINK("https://www.773grp.com/manufacturer/nxp-semiconductor?pageNo=46", "NXP Semiconductors")</f>
        <v>NXP Semiconductors</v>
      </c>
      <c r="C16158" s="6">
        <v>7980</v>
      </c>
      <c r="D16158" s="7">
        <v>0.43</v>
      </c>
    </row>
    <row r="16159" spans="1:4" x14ac:dyDescent="0.25">
      <c r="A16159" t="str">
        <f>HYPERLINK("https://www.773grp.com/globalSearch/74HCT132D653/page-1", "74HCT132D653")</f>
        <v>74HCT132D653</v>
      </c>
      <c r="B16159" s="3" t="str">
        <f>HYPERLINK("https://www.773grp.com/manufacturer/nxp-semiconductor?pageNo=47", "NXP Semiconductors")</f>
        <v>NXP Semiconductors</v>
      </c>
      <c r="C16159" s="6">
        <v>4121</v>
      </c>
      <c r="D16159" s="7">
        <v>0.43</v>
      </c>
    </row>
    <row r="16160" spans="1:4" x14ac:dyDescent="0.25">
      <c r="A16160" t="str">
        <f>HYPERLINK("https://www.773grp.com/globalSearch/74HCT132PW118/page-1", "74HCT132PW118")</f>
        <v>74HCT132PW118</v>
      </c>
      <c r="B16160" s="3" t="str">
        <f>HYPERLINK("https://www.773grp.com/manufacturer/nxp-semiconductor?pageNo=48", "NXP Semiconductors")</f>
        <v>NXP Semiconductors</v>
      </c>
      <c r="C16160" s="6">
        <v>340</v>
      </c>
      <c r="D16160" s="7">
        <v>0.43</v>
      </c>
    </row>
    <row r="16161" spans="1:4" x14ac:dyDescent="0.25">
      <c r="A16161" t="str">
        <f>HYPERLINK("https://www.773grp.com/globalSearch/74HCT138D652/page-1", "74HCT138D652")</f>
        <v>74HCT138D652</v>
      </c>
      <c r="B16161" s="3" t="str">
        <f>HYPERLINK("https://www.773grp.com/manufacturer/nxp-semiconductor?pageNo=1", "NXP Semiconductors")</f>
        <v>NXP Semiconductors</v>
      </c>
      <c r="C16161" s="6">
        <v>15000</v>
      </c>
      <c r="D16161" s="7">
        <v>0.43</v>
      </c>
    </row>
    <row r="16162" spans="1:4" x14ac:dyDescent="0.25">
      <c r="A16162" t="str">
        <f>HYPERLINK("https://www.773grp.com/globalSearch/74HCT138PW118/page-1", "74HCT138PW118")</f>
        <v>74HCT138PW118</v>
      </c>
      <c r="B16162" s="3" t="str">
        <f>HYPERLINK("https://www.773grp.com/manufacturer/nxp-semiconductor?pageNo=2", "NXP Semiconductors")</f>
        <v>NXP Semiconductors</v>
      </c>
      <c r="C16162" s="6">
        <v>25000</v>
      </c>
      <c r="D16162" s="7">
        <v>0.43</v>
      </c>
    </row>
    <row r="16163" spans="1:4" x14ac:dyDescent="0.25">
      <c r="A16163" t="str">
        <f>HYPERLINK("https://www.773grp.com/globalSearch/74HCT139D652/page-1", "74HCT139D652")</f>
        <v>74HCT139D652</v>
      </c>
      <c r="B16163" s="3" t="str">
        <f>HYPERLINK("https://www.773grp.com/manufacturer/nxp-semiconductor?pageNo=3", "NXP Semiconductors")</f>
        <v>NXP Semiconductors</v>
      </c>
      <c r="C16163" s="6">
        <v>20233</v>
      </c>
      <c r="D16163" s="7">
        <v>0.43</v>
      </c>
    </row>
    <row r="16164" spans="1:4" x14ac:dyDescent="0.25">
      <c r="A16164" t="str">
        <f>HYPERLINK("https://www.773grp.com/globalSearch/74HCT139D653/page-1", "74HCT139D653")</f>
        <v>74HCT139D653</v>
      </c>
      <c r="B16164" s="3" t="str">
        <f>HYPERLINK("https://www.773grp.com/manufacturer/nxp-semiconductor?pageNo=4", "NXP Semiconductors")</f>
        <v>NXP Semiconductors</v>
      </c>
      <c r="C16164" s="6">
        <v>10000</v>
      </c>
      <c r="D16164" s="7">
        <v>0.43</v>
      </c>
    </row>
    <row r="16165" spans="1:4" x14ac:dyDescent="0.25">
      <c r="A16165" t="str">
        <f>HYPERLINK("https://www.773grp.com/globalSearch/74HCT139PW112/page-1", "74HCT139PW112")</f>
        <v>74HCT139PW112</v>
      </c>
      <c r="B16165" s="3" t="str">
        <f>HYPERLINK("https://www.773grp.com/manufacturer/nxp-semiconductor?pageNo=5", "NXP Semiconductors")</f>
        <v>NXP Semiconductors</v>
      </c>
      <c r="C16165" s="6">
        <v>2400</v>
      </c>
      <c r="D16165" s="7">
        <v>0.43</v>
      </c>
    </row>
    <row r="16166" spans="1:4" x14ac:dyDescent="0.25">
      <c r="A16166" t="str">
        <f>HYPERLINK("https://www.773grp.com/globalSearch/74HCT139PW118/page-1", "74HCT139PW118")</f>
        <v>74HCT139PW118</v>
      </c>
      <c r="B16166" s="3" t="str">
        <f>HYPERLINK("https://www.773grp.com/manufacturer/nxp-semiconductor?pageNo=6", "NXP Semiconductors")</f>
        <v>NXP Semiconductors</v>
      </c>
      <c r="C16166" s="6">
        <v>2500</v>
      </c>
      <c r="D16166" s="7">
        <v>0.43</v>
      </c>
    </row>
    <row r="16167" spans="1:4" x14ac:dyDescent="0.25">
      <c r="A16167" t="str">
        <f>HYPERLINK("https://www.773grp.com/globalSearch/74HCT2G04GW125/page-1", "74HCT2G04GW125")</f>
        <v>74HCT2G04GW125</v>
      </c>
      <c r="B16167" s="3" t="str">
        <f>HYPERLINK("https://www.773grp.com/manufacturer/nxp-semiconductor?pageNo=7", "NXP Semiconductors")</f>
        <v>NXP Semiconductors</v>
      </c>
      <c r="C16167" s="6">
        <v>3000</v>
      </c>
      <c r="D16167" s="7">
        <v>0.43</v>
      </c>
    </row>
    <row r="16168" spans="1:4" x14ac:dyDescent="0.25">
      <c r="A16168" t="str">
        <f>HYPERLINK("https://www.773grp.com/globalSearch/74HCT2G08DP125/page-1", "74HCT2G08DP125")</f>
        <v>74HCT2G08DP125</v>
      </c>
      <c r="B16168" s="3" t="str">
        <f>HYPERLINK("https://www.773grp.com/manufacturer/nxp-semiconductor?pageNo=8", "NXP Semiconductors")</f>
        <v>NXP Semiconductors</v>
      </c>
      <c r="C16168" s="6">
        <v>6000</v>
      </c>
      <c r="D16168" s="7">
        <v>0.43</v>
      </c>
    </row>
    <row r="16169" spans="1:4" x14ac:dyDescent="0.25">
      <c r="A16169" t="str">
        <f>HYPERLINK("https://www.773grp.com/globalSearch/74HCT2G17GW125/page-1", "74HCT2G17GW125")</f>
        <v>74HCT2G17GW125</v>
      </c>
      <c r="B16169" s="3" t="str">
        <f>HYPERLINK("https://www.773grp.com/manufacturer/nxp-semiconductor?pageNo=9", "NXP Semiconductors")</f>
        <v>NXP Semiconductors</v>
      </c>
      <c r="C16169" s="6">
        <v>5132</v>
      </c>
      <c r="D16169" s="7">
        <v>0.43</v>
      </c>
    </row>
    <row r="16170" spans="1:4" x14ac:dyDescent="0.25">
      <c r="A16170" t="str">
        <f>HYPERLINK("https://www.773grp.com/globalSearch/74HCT2G32DP125/page-1", "74HCT2G32DP125")</f>
        <v>74HCT2G32DP125</v>
      </c>
      <c r="B16170" s="3" t="str">
        <f>HYPERLINK("https://www.773grp.com/manufacturer/nxp-semiconductor?pageNo=10", "NXP Semiconductors")</f>
        <v>NXP Semiconductors</v>
      </c>
      <c r="C16170" s="6">
        <v>3000</v>
      </c>
      <c r="D16170" s="7">
        <v>0.43</v>
      </c>
    </row>
    <row r="16171" spans="1:4" x14ac:dyDescent="0.25">
      <c r="A16171" t="str">
        <f>HYPERLINK("https://www.773grp.com/globalSearch/74HCT4066D112/page-1", "74HCT4066D112")</f>
        <v>74HCT4066D112</v>
      </c>
      <c r="B16171" s="3" t="str">
        <f>HYPERLINK("https://www.773grp.com/manufacturer/nxp-semiconductor?pageNo=11", "NXP Semiconductors")</f>
        <v>NXP Semiconductors</v>
      </c>
      <c r="C16171" s="6">
        <v>16549</v>
      </c>
      <c r="D16171" s="7">
        <v>0.43</v>
      </c>
    </row>
    <row r="16172" spans="1:4" x14ac:dyDescent="0.25">
      <c r="A16172" t="str">
        <f>HYPERLINK("https://www.773grp.com/globalSearch/74HCT4066D118/page-1", "74HCT4066D118")</f>
        <v>74HCT4066D118</v>
      </c>
      <c r="B16172" s="3" t="str">
        <f>HYPERLINK("https://www.773grp.com/manufacturer/nxp-semiconductor?pageNo=12", "NXP Semiconductors")</f>
        <v>NXP Semiconductors</v>
      </c>
      <c r="C16172" s="6">
        <v>20000</v>
      </c>
      <c r="D16172" s="7">
        <v>0.43</v>
      </c>
    </row>
    <row r="16173" spans="1:4" x14ac:dyDescent="0.25">
      <c r="A16173" t="str">
        <f>HYPERLINK("https://www.773grp.com/globalSearch/74LV08PW118/page-1", "74LV08PW118")</f>
        <v>74LV08PW118</v>
      </c>
      <c r="B16173" s="3" t="str">
        <f>HYPERLINK("https://www.773grp.com/manufacturer/nxp-semiconductor?pageNo=13", "NXP Semiconductors")</f>
        <v>NXP Semiconductors</v>
      </c>
      <c r="C16173" s="6">
        <v>5000</v>
      </c>
      <c r="D16173" s="7">
        <v>0.43</v>
      </c>
    </row>
    <row r="16174" spans="1:4" x14ac:dyDescent="0.25">
      <c r="A16174" t="str">
        <f>HYPERLINK("https://www.773grp.com/globalSearch/74LV14PW118/page-1", "74LV14PW118")</f>
        <v>74LV14PW118</v>
      </c>
      <c r="B16174" s="3" t="str">
        <f>HYPERLINK("https://www.773grp.com/manufacturer/nxp-semiconductor?pageNo=14", "NXP Semiconductors")</f>
        <v>NXP Semiconductors</v>
      </c>
      <c r="C16174" s="6">
        <v>37500</v>
      </c>
      <c r="D16174" s="7">
        <v>0.43</v>
      </c>
    </row>
    <row r="16175" spans="1:4" x14ac:dyDescent="0.25">
      <c r="A16175" t="str">
        <f>HYPERLINK("https://www.773grp.com/globalSearch/74LV32PW118/page-1", "74LV32PW118")</f>
        <v>74LV32PW118</v>
      </c>
      <c r="B16175" s="3" t="str">
        <f>HYPERLINK("https://www.773grp.com/manufacturer/nxp-semiconductor?pageNo=15", "NXP Semiconductors")</f>
        <v>NXP Semiconductors</v>
      </c>
      <c r="C16175" s="6">
        <v>7500</v>
      </c>
      <c r="D16175" s="7">
        <v>0.43</v>
      </c>
    </row>
    <row r="16176" spans="1:4" x14ac:dyDescent="0.25">
      <c r="A16176" t="str">
        <f>HYPERLINK("https://www.773grp.com/globalSearch/74LVC00AD112/page-1", "74LVC00AD112")</f>
        <v>74LVC00AD112</v>
      </c>
      <c r="B16176" s="3" t="str">
        <f>HYPERLINK("https://www.773grp.com/manufacturer/nxp-semiconductor?pageNo=16", "NXP Semiconductors")</f>
        <v>NXP Semiconductors</v>
      </c>
      <c r="C16176" s="6">
        <v>24198</v>
      </c>
      <c r="D16176" s="7">
        <v>0.43</v>
      </c>
    </row>
    <row r="16177" spans="1:4" x14ac:dyDescent="0.25">
      <c r="A16177" t="str">
        <f>HYPERLINK("https://www.773grp.com/globalSearch/74LVC00ADB118/page-1", "74LVC00ADB118")</f>
        <v>74LVC00ADB118</v>
      </c>
      <c r="B16177" s="3" t="str">
        <f>HYPERLINK("https://www.773grp.com/manufacturer/nxp-semiconductor?pageNo=17", "NXP Semiconductors")</f>
        <v>NXP Semiconductors</v>
      </c>
      <c r="C16177" s="6">
        <v>10300</v>
      </c>
      <c r="D16177" s="7">
        <v>0.43</v>
      </c>
    </row>
    <row r="16178" spans="1:4" x14ac:dyDescent="0.25">
      <c r="A16178" t="str">
        <f>HYPERLINK("https://www.773grp.com/globalSearch/74LVC04ADB118/page-1", "74LVC04ADB118")</f>
        <v>74LVC04ADB118</v>
      </c>
      <c r="B16178" s="3" t="str">
        <f>HYPERLINK("https://www.773grp.com/manufacturer/nxp-semiconductor?pageNo=18", "NXP Semiconductors")</f>
        <v>NXP Semiconductors</v>
      </c>
      <c r="C16178" s="6">
        <v>24000</v>
      </c>
      <c r="D16178" s="7">
        <v>0.43</v>
      </c>
    </row>
    <row r="16179" spans="1:4" x14ac:dyDescent="0.25">
      <c r="A16179" t="str">
        <f>HYPERLINK("https://www.773grp.com/globalSearch/74LVC06ABQ115/page-1", "74LVC06ABQ115")</f>
        <v>74LVC06ABQ115</v>
      </c>
      <c r="B16179" s="3" t="str">
        <f>HYPERLINK("https://www.773grp.com/manufacturer/nxp-semiconductor?pageNo=19", "NXP Semiconductors")</f>
        <v>NXP Semiconductors</v>
      </c>
      <c r="C16179" s="6">
        <v>3000</v>
      </c>
      <c r="D16179" s="7">
        <v>0.43</v>
      </c>
    </row>
    <row r="16180" spans="1:4" x14ac:dyDescent="0.25">
      <c r="A16180" t="str">
        <f>HYPERLINK("https://www.773grp.com/globalSearch/74LVC08AD112/page-1", "74LVC08AD112")</f>
        <v>74LVC08AD112</v>
      </c>
      <c r="B16180" s="3" t="str">
        <f>HYPERLINK("https://www.773grp.com/manufacturer/nxp-semiconductor?pageNo=20", "NXP Semiconductors")</f>
        <v>NXP Semiconductors</v>
      </c>
      <c r="C16180" s="6">
        <v>18118</v>
      </c>
      <c r="D16180" s="7">
        <v>0.43</v>
      </c>
    </row>
    <row r="16181" spans="1:4" x14ac:dyDescent="0.25">
      <c r="A16181" t="str">
        <f>HYPERLINK("https://www.773grp.com/globalSearch/74LVC125ABQ115/page-1", "74LVC125ABQ115")</f>
        <v>74LVC125ABQ115</v>
      </c>
      <c r="B16181" s="3" t="str">
        <f>HYPERLINK("https://www.773grp.com/manufacturer/nxp-semiconductor?pageNo=21", "NXP Semiconductors")</f>
        <v>NXP Semiconductors</v>
      </c>
      <c r="C16181" s="6">
        <v>18398</v>
      </c>
      <c r="D16181" s="7">
        <v>0.43</v>
      </c>
    </row>
    <row r="16182" spans="1:4" x14ac:dyDescent="0.25">
      <c r="A16182" t="str">
        <f>HYPERLINK("https://www.773grp.com/globalSearch/74LVC125ADB118/page-1", "74LVC125ADB118")</f>
        <v>74LVC125ADB118</v>
      </c>
      <c r="B16182" s="3" t="str">
        <f>HYPERLINK("https://www.773grp.com/manufacturer/nxp-semiconductor?pageNo=22", "NXP Semiconductors")</f>
        <v>NXP Semiconductors</v>
      </c>
      <c r="C16182" s="6">
        <v>16000</v>
      </c>
      <c r="D16182" s="7">
        <v>0.43</v>
      </c>
    </row>
    <row r="16183" spans="1:4" x14ac:dyDescent="0.25">
      <c r="A16183" t="str">
        <f>HYPERLINK("https://www.773grp.com/globalSearch/74LVC126AD112/page-1", "74LVC126AD112")</f>
        <v>74LVC126AD112</v>
      </c>
      <c r="B16183" s="3" t="str">
        <f>HYPERLINK("https://www.773grp.com/manufacturer/nxp-semiconductor?pageNo=23", "NXP Semiconductors")</f>
        <v>NXP Semiconductors</v>
      </c>
      <c r="C16183" s="6">
        <v>11104</v>
      </c>
      <c r="D16183" s="7">
        <v>0.43</v>
      </c>
    </row>
    <row r="16184" spans="1:4" x14ac:dyDescent="0.25">
      <c r="A16184" t="str">
        <f>HYPERLINK("https://www.773grp.com/globalSearch/74LVC126AD118/page-1", "74LVC126AD118")</f>
        <v>74LVC126AD118</v>
      </c>
      <c r="B16184" s="3" t="str">
        <f>HYPERLINK("https://www.773grp.com/manufacturer/nxp-semiconductor?pageNo=24", "NXP Semiconductors")</f>
        <v>NXP Semiconductors</v>
      </c>
      <c r="C16184" s="6">
        <v>5000</v>
      </c>
      <c r="D16184" s="7">
        <v>0.43</v>
      </c>
    </row>
    <row r="16185" spans="1:4" x14ac:dyDescent="0.25">
      <c r="A16185" t="str">
        <f>HYPERLINK("https://www.773grp.com/globalSearch/74LVC126APW112/page-1", "74LVC126APW112")</f>
        <v>74LVC126APW112</v>
      </c>
      <c r="B16185" s="3" t="str">
        <f>HYPERLINK("https://www.773grp.com/manufacturer/nxp-semiconductor?pageNo=25", "NXP Semiconductors")</f>
        <v>NXP Semiconductors</v>
      </c>
      <c r="C16185" s="6">
        <v>19200</v>
      </c>
      <c r="D16185" s="7">
        <v>0.43</v>
      </c>
    </row>
    <row r="16186" spans="1:4" x14ac:dyDescent="0.25">
      <c r="A16186" t="str">
        <f>HYPERLINK("https://www.773grp.com/globalSearch/74LVC126APW118/page-1", "74LVC126APW118")</f>
        <v>74LVC126APW118</v>
      </c>
      <c r="B16186" s="3" t="str">
        <f>HYPERLINK("https://www.773grp.com/manufacturer/nxp-semiconductor?pageNo=26", "NXP Semiconductors")</f>
        <v>NXP Semiconductors</v>
      </c>
      <c r="C16186" s="6">
        <v>12500</v>
      </c>
      <c r="D16186" s="7">
        <v>0.43</v>
      </c>
    </row>
    <row r="16187" spans="1:4" x14ac:dyDescent="0.25">
      <c r="A16187" t="str">
        <f>HYPERLINK("https://www.773grp.com/globalSearch/74LVC138AD112/page-1", "74LVC138AD112")</f>
        <v>74LVC138AD112</v>
      </c>
      <c r="B16187" s="3" t="str">
        <f>HYPERLINK("https://www.773grp.com/manufacturer/nxp-semiconductor?pageNo=27", "NXP Semiconductors")</f>
        <v>NXP Semiconductors</v>
      </c>
      <c r="C16187" s="6">
        <v>21800</v>
      </c>
      <c r="D16187" s="7">
        <v>0.43</v>
      </c>
    </row>
    <row r="16188" spans="1:4" x14ac:dyDescent="0.25">
      <c r="A16188" t="str">
        <f>HYPERLINK("https://www.773grp.com/globalSearch/74LVC138AD118/page-1", "74LVC138AD118")</f>
        <v>74LVC138AD118</v>
      </c>
      <c r="B16188" s="3" t="str">
        <f>HYPERLINK("https://www.773grp.com/manufacturer/nxp-semiconductor?pageNo=28", "NXP Semiconductors")</f>
        <v>NXP Semiconductors</v>
      </c>
      <c r="C16188" s="6">
        <v>32500</v>
      </c>
      <c r="D16188" s="7">
        <v>0.43</v>
      </c>
    </row>
    <row r="16189" spans="1:4" x14ac:dyDescent="0.25">
      <c r="A16189" t="str">
        <f>HYPERLINK("https://www.773grp.com/globalSearch/74LVC138APW112/page-1", "74LVC138APW112")</f>
        <v>74LVC138APW112</v>
      </c>
      <c r="B16189" s="3" t="str">
        <f>HYPERLINK("https://www.773grp.com/manufacturer/nxp-semiconductor?pageNo=29", "NXP Semiconductors")</f>
        <v>NXP Semiconductors</v>
      </c>
      <c r="C16189" s="6">
        <v>23558</v>
      </c>
      <c r="D16189" s="7">
        <v>0.43</v>
      </c>
    </row>
    <row r="16190" spans="1:4" x14ac:dyDescent="0.25">
      <c r="A16190" t="str">
        <f>HYPERLINK("https://www.773grp.com/globalSearch/74LVC138APW118/page-1", "74LVC138APW118")</f>
        <v>74LVC138APW118</v>
      </c>
      <c r="B16190" s="3" t="str">
        <f>HYPERLINK("https://www.773grp.com/manufacturer/nxp-semiconductor?pageNo=30", "NXP Semiconductors")</f>
        <v>NXP Semiconductors</v>
      </c>
      <c r="C16190" s="6">
        <v>30000</v>
      </c>
      <c r="D16190" s="7">
        <v>0.43</v>
      </c>
    </row>
    <row r="16191" spans="1:4" x14ac:dyDescent="0.25">
      <c r="A16191" t="str">
        <f>HYPERLINK("https://www.773grp.com/globalSearch/74LVC139D112/page-1", "74LVC139D112")</f>
        <v>74LVC139D112</v>
      </c>
      <c r="B16191" s="3" t="str">
        <f>HYPERLINK("https://www.773grp.com/manufacturer/nxp-semiconductor?pageNo=31", "NXP Semiconductors")</f>
        <v>NXP Semiconductors</v>
      </c>
      <c r="C16191" s="6">
        <v>20000</v>
      </c>
      <c r="D16191" s="7">
        <v>0.43</v>
      </c>
    </row>
    <row r="16192" spans="1:4" x14ac:dyDescent="0.25">
      <c r="A16192" t="str">
        <f>HYPERLINK("https://www.773grp.com/globalSearch/74LVC139PW112/page-1", "74LVC139PW112")</f>
        <v>74LVC139PW112</v>
      </c>
      <c r="B16192" s="3" t="str">
        <f>HYPERLINK("https://www.773grp.com/manufacturer/nxp-semiconductor?pageNo=32", "NXP Semiconductors")</f>
        <v>NXP Semiconductors</v>
      </c>
      <c r="C16192" s="6">
        <v>7921</v>
      </c>
      <c r="D16192" s="7">
        <v>0.43</v>
      </c>
    </row>
    <row r="16193" spans="1:4" x14ac:dyDescent="0.25">
      <c r="A16193" t="str">
        <f>HYPERLINK("https://www.773grp.com/globalSearch/74LVC139PW118/page-1", "74LVC139PW118")</f>
        <v>74LVC139PW118</v>
      </c>
      <c r="B16193" s="3" t="str">
        <f>HYPERLINK("https://www.773grp.com/manufacturer/nxp-semiconductor?pageNo=33", "NXP Semiconductors")</f>
        <v>NXP Semiconductors</v>
      </c>
      <c r="C16193" s="6">
        <v>17983</v>
      </c>
      <c r="D16193" s="7">
        <v>0.43</v>
      </c>
    </row>
    <row r="16194" spans="1:4" x14ac:dyDescent="0.25">
      <c r="A16194" t="str">
        <f>HYPERLINK("https://www.773grp.com/globalSearch/74LVC14AD112/page-1", "74LVC14AD112")</f>
        <v>74LVC14AD112</v>
      </c>
      <c r="B16194" s="3" t="str">
        <f>HYPERLINK("https://www.773grp.com/manufacturer/nxp-semiconductor?pageNo=34", "NXP Semiconductors")</f>
        <v>NXP Semiconductors</v>
      </c>
      <c r="C16194" s="6">
        <v>27360</v>
      </c>
      <c r="D16194" s="7">
        <v>0.43</v>
      </c>
    </row>
    <row r="16195" spans="1:4" x14ac:dyDescent="0.25">
      <c r="A16195" t="str">
        <f>HYPERLINK("https://www.773grp.com/globalSearch/74LVC157AD112/page-1", "74LVC157AD112")</f>
        <v>74LVC157AD112</v>
      </c>
      <c r="B16195" s="3" t="str">
        <f>HYPERLINK("https://www.773grp.com/manufacturer/nxp-semiconductor?pageNo=35", "NXP Semiconductors")</f>
        <v>NXP Semiconductors</v>
      </c>
      <c r="C16195" s="6">
        <v>8250</v>
      </c>
      <c r="D16195" s="7">
        <v>0.43</v>
      </c>
    </row>
    <row r="16196" spans="1:4" x14ac:dyDescent="0.25">
      <c r="A16196" t="str">
        <f>HYPERLINK("https://www.773grp.com/globalSearch/74LVC157AD118/page-1", "74LVC157AD118")</f>
        <v>74LVC157AD118</v>
      </c>
      <c r="B16196" s="3" t="str">
        <f>HYPERLINK("https://www.773grp.com/manufacturer/nxp-semiconductor?pageNo=36", "NXP Semiconductors")</f>
        <v>NXP Semiconductors</v>
      </c>
      <c r="C16196" s="6">
        <v>19197</v>
      </c>
      <c r="D16196" s="7">
        <v>0.43</v>
      </c>
    </row>
    <row r="16197" spans="1:4" x14ac:dyDescent="0.25">
      <c r="A16197" t="str">
        <f>HYPERLINK("https://www.773grp.com/globalSearch/74LVC157APW112/page-1", "74LVC157APW112")</f>
        <v>74LVC157APW112</v>
      </c>
      <c r="B16197" s="3" t="str">
        <f>HYPERLINK("https://www.773grp.com/manufacturer/nxp-semiconductor?pageNo=37", "NXP Semiconductors")</f>
        <v>NXP Semiconductors</v>
      </c>
      <c r="C16197" s="6">
        <v>8400</v>
      </c>
      <c r="D16197" s="7">
        <v>0.43</v>
      </c>
    </row>
    <row r="16198" spans="1:4" x14ac:dyDescent="0.25">
      <c r="A16198" t="str">
        <f>HYPERLINK("https://www.773grp.com/globalSearch/74LVC157APW118/page-1", "74LVC157APW118")</f>
        <v>74LVC157APW118</v>
      </c>
      <c r="B16198" s="3" t="str">
        <f>HYPERLINK("https://www.773grp.com/manufacturer/nxp-semiconductor?pageNo=38", "NXP Semiconductors")</f>
        <v>NXP Semiconductors</v>
      </c>
      <c r="C16198" s="6">
        <v>2500</v>
      </c>
      <c r="D16198" s="7">
        <v>0.43</v>
      </c>
    </row>
    <row r="16199" spans="1:4" x14ac:dyDescent="0.25">
      <c r="A16199" t="str">
        <f>HYPERLINK("https://www.773grp.com/globalSearch/74LVC1G386GW125/page-1", "74LVC1G386GW125")</f>
        <v>74LVC1G386GW125</v>
      </c>
      <c r="B16199" s="3" t="str">
        <f>HYPERLINK("https://www.773grp.com/manufacturer/nxp-semiconductor?pageNo=39", "NXP Semiconductors")</f>
        <v>NXP Semiconductors</v>
      </c>
      <c r="C16199" s="6">
        <v>9000</v>
      </c>
      <c r="D16199" s="7">
        <v>0.43</v>
      </c>
    </row>
    <row r="16200" spans="1:4" x14ac:dyDescent="0.25">
      <c r="A16200" t="str">
        <f>HYPERLINK("https://www.773grp.com/globalSearch/74LVC1G58GV125/page-1", "74LVC1G58GV125")</f>
        <v>74LVC1G58GV125</v>
      </c>
      <c r="B16200" s="3" t="str">
        <f>HYPERLINK("https://www.773grp.com/manufacturer/nxp-semiconductor?pageNo=40", "NXP Semiconductors")</f>
        <v>NXP Semiconductors</v>
      </c>
      <c r="C16200" s="6">
        <v>5270</v>
      </c>
      <c r="D16200" s="7">
        <v>0.43</v>
      </c>
    </row>
    <row r="16201" spans="1:4" x14ac:dyDescent="0.25">
      <c r="A16201" t="str">
        <f>HYPERLINK("https://www.773grp.com/globalSearch/74LVC1G58GW125/page-1", "74LVC1G58GW125")</f>
        <v>74LVC1G58GW125</v>
      </c>
      <c r="B16201" s="3" t="str">
        <f>HYPERLINK("https://www.773grp.com/manufacturer/nxp-semiconductor?pageNo=41", "NXP Semiconductors")</f>
        <v>NXP Semiconductors</v>
      </c>
      <c r="C16201" s="6">
        <v>21478</v>
      </c>
      <c r="D16201" s="7">
        <v>0.43</v>
      </c>
    </row>
    <row r="16202" spans="1:4" x14ac:dyDescent="0.25">
      <c r="A16202" t="str">
        <f>HYPERLINK("https://www.773grp.com/globalSearch/74LVC244APW112/page-1", "74LVC244APW112")</f>
        <v>74LVC244APW112</v>
      </c>
      <c r="B16202" s="3" t="str">
        <f>HYPERLINK("https://www.773grp.com/manufacturer/nxp-semiconductor?pageNo=42", "NXP Semiconductors")</f>
        <v>NXP Semiconductors</v>
      </c>
      <c r="C16202" s="6">
        <v>11250</v>
      </c>
      <c r="D16202" s="7">
        <v>0.43</v>
      </c>
    </row>
    <row r="16203" spans="1:4" x14ac:dyDescent="0.25">
      <c r="A16203" t="str">
        <f>HYPERLINK("https://www.773grp.com/globalSearch/74LVC2G04GW125/page-1", "74LVC2G04GW125")</f>
        <v>74LVC2G04GW125</v>
      </c>
      <c r="B16203" s="3" t="str">
        <f>HYPERLINK("https://www.773grp.com/manufacturer/nxp-semiconductor?pageNo=43", "NXP Semiconductors")</f>
        <v>NXP Semiconductors</v>
      </c>
      <c r="C16203" s="6">
        <v>39000</v>
      </c>
      <c r="D16203" s="7">
        <v>0.43</v>
      </c>
    </row>
    <row r="16204" spans="1:4" x14ac:dyDescent="0.25">
      <c r="A16204" t="str">
        <f>HYPERLINK("https://www.773grp.com/globalSearch/74LVC2G17GW125/page-1", "74LVC2G17GW125")</f>
        <v>74LVC2G17GW125</v>
      </c>
      <c r="B16204" s="3" t="str">
        <f>HYPERLINK("https://www.773grp.com/manufacturer/nxp-semiconductor?pageNo=44", "NXP Semiconductors")</f>
        <v>NXP Semiconductors</v>
      </c>
      <c r="C16204" s="6">
        <v>259838</v>
      </c>
      <c r="D16204" s="7">
        <v>0.43</v>
      </c>
    </row>
    <row r="16205" spans="1:4" x14ac:dyDescent="0.25">
      <c r="A16205" t="str">
        <f>HYPERLINK("https://www.773grp.com/globalSearch/74LVC2G34GW125/page-1", "74LVC2G34GW125")</f>
        <v>74LVC2G34GW125</v>
      </c>
      <c r="B16205" s="3" t="str">
        <f>HYPERLINK("https://www.773grp.com/manufacturer/nxp-semiconductor?pageNo=45", "NXP Semiconductors")</f>
        <v>NXP Semiconductors</v>
      </c>
      <c r="C16205" s="6">
        <v>81000</v>
      </c>
      <c r="D16205" s="7">
        <v>0.43</v>
      </c>
    </row>
    <row r="16206" spans="1:4" x14ac:dyDescent="0.25">
      <c r="A16206" t="str">
        <f>HYPERLINK("https://www.773grp.com/globalSearch/74LVC373APW112/page-1", "74LVC373APW112")</f>
        <v>74LVC373APW112</v>
      </c>
      <c r="B16206" s="3" t="str">
        <f>HYPERLINK("https://www.773grp.com/manufacturer/nxp-semiconductor?pageNo=46", "NXP Semiconductors")</f>
        <v>NXP Semiconductors</v>
      </c>
      <c r="C16206" s="6">
        <v>5925</v>
      </c>
      <c r="D16206" s="7">
        <v>0.43</v>
      </c>
    </row>
    <row r="16207" spans="1:4" x14ac:dyDescent="0.25">
      <c r="A16207" t="str">
        <f>HYPERLINK("https://www.773grp.com/globalSearch/74LVC373APW118/page-1", "74LVC373APW118")</f>
        <v>74LVC373APW118</v>
      </c>
      <c r="B16207" s="3" t="str">
        <f>HYPERLINK("https://www.773grp.com/manufacturer/nxp-semiconductor?pageNo=47", "NXP Semiconductors")</f>
        <v>NXP Semiconductors</v>
      </c>
      <c r="C16207" s="6">
        <v>10000</v>
      </c>
      <c r="D16207" s="7">
        <v>0.43</v>
      </c>
    </row>
    <row r="16208" spans="1:4" x14ac:dyDescent="0.25">
      <c r="A16208" t="str">
        <f>HYPERLINK("https://www.773grp.com/globalSearch/74LVC374APW118/page-1", "74LVC374APW118")</f>
        <v>74LVC374APW118</v>
      </c>
      <c r="B16208" s="3" t="str">
        <f>HYPERLINK("https://www.773grp.com/manufacturer/nxp-semiconductor?pageNo=48", "NXP Semiconductors")</f>
        <v>NXP Semiconductors</v>
      </c>
      <c r="C16208" s="6">
        <v>142500</v>
      </c>
      <c r="D16208" s="7">
        <v>0.43</v>
      </c>
    </row>
    <row r="16209" spans="1:4" x14ac:dyDescent="0.25">
      <c r="A16209" t="str">
        <f>HYPERLINK("https://www.773grp.com/globalSearch/74LVC573APW112/page-1", "74LVC573APW112")</f>
        <v>74LVC573APW112</v>
      </c>
      <c r="B16209" s="3" t="str">
        <f>HYPERLINK("https://www.773grp.com/manufacturer/nxp-semiconductor?pageNo=1", "NXP Semiconductors")</f>
        <v>NXP Semiconductors</v>
      </c>
      <c r="C16209" s="6">
        <v>14700</v>
      </c>
      <c r="D16209" s="7">
        <v>0.43</v>
      </c>
    </row>
    <row r="16210" spans="1:4" x14ac:dyDescent="0.25">
      <c r="A16210" t="str">
        <f>HYPERLINK("https://www.773grp.com/globalSearch/74LVC573APW118/page-1", "74LVC573APW118")</f>
        <v>74LVC573APW118</v>
      </c>
      <c r="B16210" s="3" t="str">
        <f>HYPERLINK("https://www.773grp.com/manufacturer/nxp-semiconductor?pageNo=2", "NXP Semiconductors")</f>
        <v>NXP Semiconductors</v>
      </c>
      <c r="C16210" s="6">
        <v>800</v>
      </c>
      <c r="D16210" s="7">
        <v>0.43</v>
      </c>
    </row>
    <row r="16211" spans="1:4" x14ac:dyDescent="0.25">
      <c r="A16211" t="str">
        <f>HYPERLINK("https://www.773grp.com/globalSearch/74LVC574APW112/page-1", "74LVC574APW112")</f>
        <v>74LVC574APW112</v>
      </c>
      <c r="B16211" s="3" t="str">
        <f>HYPERLINK("https://www.773grp.com/manufacturer/nxp-semiconductor?pageNo=3", "NXP Semiconductors")</f>
        <v>NXP Semiconductors</v>
      </c>
      <c r="C16211" s="6">
        <v>29650</v>
      </c>
      <c r="D16211" s="7">
        <v>0.43</v>
      </c>
    </row>
    <row r="16212" spans="1:4" x14ac:dyDescent="0.25">
      <c r="A16212" t="str">
        <f>HYPERLINK("https://www.773grp.com/globalSearch/74LVC574APW118/page-1", "74LVC574APW118")</f>
        <v>74LVC574APW118</v>
      </c>
      <c r="B16212" s="3" t="str">
        <f>HYPERLINK("https://www.773grp.com/manufacturer/nxp-semiconductor?pageNo=4", "NXP Semiconductors")</f>
        <v>NXP Semiconductors</v>
      </c>
      <c r="C16212" s="6">
        <v>20000</v>
      </c>
      <c r="D16212" s="7">
        <v>0.43</v>
      </c>
    </row>
    <row r="16213" spans="1:4" x14ac:dyDescent="0.25">
      <c r="A16213" t="str">
        <f>HYPERLINK("https://www.773grp.com/globalSearch/74LVT125D118/page-1", "74LVT125D118")</f>
        <v>74LVT125D118</v>
      </c>
      <c r="B16213" s="3" t="str">
        <f>HYPERLINK("https://www.773grp.com/manufacturer/nxp-semiconductor?pageNo=5", "NXP Semiconductors")</f>
        <v>NXP Semiconductors</v>
      </c>
      <c r="C16213" s="6">
        <v>2500</v>
      </c>
      <c r="D16213" s="7">
        <v>0.43</v>
      </c>
    </row>
    <row r="16214" spans="1:4" x14ac:dyDescent="0.25">
      <c r="A16214" t="str">
        <f>HYPERLINK("https://www.773grp.com/globalSearch/74LVT125PW112/page-1", "74LVT125PW112")</f>
        <v>74LVT125PW112</v>
      </c>
      <c r="B16214" s="3" t="str">
        <f>HYPERLINK("https://www.773grp.com/manufacturer/nxp-semiconductor?pageNo=6", "NXP Semiconductors")</f>
        <v>NXP Semiconductors</v>
      </c>
      <c r="C16214" s="6">
        <v>4800</v>
      </c>
      <c r="D16214" s="7">
        <v>0.43</v>
      </c>
    </row>
    <row r="16215" spans="1:4" x14ac:dyDescent="0.25">
      <c r="A16215" t="str">
        <f>HYPERLINK("https://www.773grp.com/globalSearch/74LVT125PW118/page-1", "74LVT125PW118")</f>
        <v>74LVT125PW118</v>
      </c>
      <c r="B16215" s="3" t="str">
        <f>HYPERLINK("https://www.773grp.com/manufacturer/nxp-semiconductor?pageNo=7", "NXP Semiconductors")</f>
        <v>NXP Semiconductors</v>
      </c>
      <c r="C16215" s="6">
        <v>12500</v>
      </c>
      <c r="D16215" s="7">
        <v>0.43</v>
      </c>
    </row>
    <row r="16216" spans="1:4" x14ac:dyDescent="0.25">
      <c r="A16216" t="str">
        <f>HYPERLINK("https://www.773grp.com/globalSearch/74LVT126PW118/page-1", "74LVT126PW118")</f>
        <v>74LVT126PW118</v>
      </c>
      <c r="B16216" s="3" t="str">
        <f>HYPERLINK("https://www.773grp.com/manufacturer/nxp-semiconductor?pageNo=8", "NXP Semiconductors")</f>
        <v>NXP Semiconductors</v>
      </c>
      <c r="C16216" s="6">
        <v>5000</v>
      </c>
      <c r="D16216" s="7">
        <v>0.43</v>
      </c>
    </row>
    <row r="16217" spans="1:4" x14ac:dyDescent="0.25">
      <c r="A16217" t="str">
        <f>HYPERLINK("https://www.773grp.com/globalSearch/BAP51-05W115/page-1", "BAP51-05W115")</f>
        <v>BAP51-05W115</v>
      </c>
      <c r="B16217" s="3" t="str">
        <f>HYPERLINK("https://www.773grp.com/manufacturer/nxp-semiconductor?pageNo=9", "NXP Semiconductors")</f>
        <v>NXP Semiconductors</v>
      </c>
      <c r="C16217" s="6">
        <v>3000</v>
      </c>
      <c r="D16217" s="7">
        <v>0.43</v>
      </c>
    </row>
    <row r="16218" spans="1:4" x14ac:dyDescent="0.25">
      <c r="A16218" t="str">
        <f>HYPERLINK("https://www.773grp.com/globalSearch/BAP70-04W115/page-1", "BAP70-04W115")</f>
        <v>BAP70-04W115</v>
      </c>
      <c r="B16218" s="3" t="str">
        <f>HYPERLINK("https://www.773grp.com/manufacturer/nxp-semiconductor?pageNo=10", "NXP Semiconductors")</f>
        <v>NXP Semiconductors</v>
      </c>
      <c r="C16218" s="6">
        <v>530</v>
      </c>
      <c r="D16218" s="7">
        <v>0.43</v>
      </c>
    </row>
    <row r="16219" spans="1:4" x14ac:dyDescent="0.25">
      <c r="A16219" t="str">
        <f>HYPERLINK("https://www.773grp.com/globalSearch/BAT17215/page-1", "BAT17215")</f>
        <v>BAT17215</v>
      </c>
      <c r="B16219" s="3" t="str">
        <f>HYPERLINK("https://www.773grp.com/manufacturer/nxp-semiconductor?pageNo=11", "NXP Semiconductors")</f>
        <v>NXP Semiconductors</v>
      </c>
      <c r="C16219" s="6">
        <v>7861</v>
      </c>
      <c r="D16219" s="7">
        <v>0.43</v>
      </c>
    </row>
    <row r="16220" spans="1:4" x14ac:dyDescent="0.25">
      <c r="A16220" t="str">
        <f>HYPERLINK("https://www.773grp.com/globalSearch/BAT854SW115/page-1", "BAT854SW115")</f>
        <v>BAT854SW115</v>
      </c>
      <c r="B16220" s="3" t="str">
        <f>HYPERLINK("https://www.773grp.com/manufacturer/nxp-semiconductor?pageNo=12", "NXP Semiconductors")</f>
        <v>NXP Semiconductors</v>
      </c>
      <c r="C16220" s="6">
        <v>71</v>
      </c>
      <c r="D16220" s="7">
        <v>0.43</v>
      </c>
    </row>
    <row r="16221" spans="1:4" x14ac:dyDescent="0.25">
      <c r="A16221" t="str">
        <f>HYPERLINK("https://www.773grp.com/globalSearch/BAT854W115/page-1", "BAT854W115")</f>
        <v>BAT854W115</v>
      </c>
      <c r="B16221" s="3" t="str">
        <f>HYPERLINK("https://www.773grp.com/manufacturer/nxp-semiconductor?pageNo=13", "NXP Semiconductors")</f>
        <v>NXP Semiconductors</v>
      </c>
      <c r="C16221" s="6">
        <v>9000</v>
      </c>
      <c r="D16221" s="7">
        <v>0.43</v>
      </c>
    </row>
    <row r="16222" spans="1:4" x14ac:dyDescent="0.25">
      <c r="A16222" t="str">
        <f>HYPERLINK("https://www.773grp.com/globalSearch/BB179BLX315/page-1", "BB179BLX315")</f>
        <v>BB179BLX315</v>
      </c>
      <c r="B16222" s="3" t="str">
        <f>HYPERLINK("https://www.773grp.com/manufacturer/nxp-semiconductor?pageNo=14", "NXP Semiconductors")</f>
        <v>NXP Semiconductors</v>
      </c>
      <c r="C16222" s="6">
        <v>8605</v>
      </c>
      <c r="D16222" s="7">
        <v>0.43</v>
      </c>
    </row>
    <row r="16223" spans="1:4" x14ac:dyDescent="0.25">
      <c r="A16223" t="str">
        <f>HYPERLINK("https://www.773grp.com/globalSearch/BB179LX315/page-1", "BB179LX315")</f>
        <v>BB179LX315</v>
      </c>
      <c r="B16223" s="3" t="str">
        <f>HYPERLINK("https://www.773grp.com/manufacturer/nxp-semiconductor?pageNo=15", "NXP Semiconductors")</f>
        <v>NXP Semiconductors</v>
      </c>
      <c r="C16223" s="6">
        <v>126000</v>
      </c>
      <c r="D16223" s="7">
        <v>0.43</v>
      </c>
    </row>
    <row r="16224" spans="1:4" x14ac:dyDescent="0.25">
      <c r="A16224" t="str">
        <f>HYPERLINK("https://www.773grp.com/globalSearch/BB182LX315/page-1", "BB182LX315")</f>
        <v>BB182LX315</v>
      </c>
      <c r="B16224" s="3" t="str">
        <f>HYPERLINK("https://www.773grp.com/manufacturer/nxp-semiconductor?pageNo=16", "NXP Semiconductors")</f>
        <v>NXP Semiconductors</v>
      </c>
      <c r="C16224" s="6">
        <v>4902</v>
      </c>
      <c r="D16224" s="7">
        <v>0.43</v>
      </c>
    </row>
    <row r="16225" spans="1:4" x14ac:dyDescent="0.25">
      <c r="A16225" t="str">
        <f>HYPERLINK("https://www.773grp.com/globalSearch/BB187LX315/page-1", "BB187LX315")</f>
        <v>BB187LX315</v>
      </c>
      <c r="B16225" s="3" t="str">
        <f>HYPERLINK("https://www.773grp.com/manufacturer/nxp-semiconductor?pageNo=17", "NXP Semiconductors")</f>
        <v>NXP Semiconductors</v>
      </c>
      <c r="C16225" s="6">
        <v>20300</v>
      </c>
      <c r="D16225" s="7">
        <v>0.43</v>
      </c>
    </row>
    <row r="16226" spans="1:4" x14ac:dyDescent="0.25">
      <c r="A16226" t="str">
        <f>HYPERLINK("https://www.773grp.com/globalSearch/BB198115/page-1", "BB198115")</f>
        <v>BB198115</v>
      </c>
      <c r="B16226" s="3" t="str">
        <f>HYPERLINK("https://www.773grp.com/manufacturer/nxp-semiconductor?pageNo=18", "NXP Semiconductors")</f>
        <v>NXP Semiconductors</v>
      </c>
      <c r="C16226" s="6">
        <v>3000</v>
      </c>
      <c r="D16226" s="7">
        <v>0.43</v>
      </c>
    </row>
    <row r="16227" spans="1:4" x14ac:dyDescent="0.25">
      <c r="A16227" t="str">
        <f>HYPERLINK("https://www.773grp.com/globalSearch/BB199115/page-1", "BB199115")</f>
        <v>BB199115</v>
      </c>
      <c r="B16227" s="3" t="str">
        <f>HYPERLINK("https://www.773grp.com/manufacturer/nxp-semiconductor?pageNo=19", "NXP Semiconductors")</f>
        <v>NXP Semiconductors</v>
      </c>
      <c r="C16227" s="6">
        <v>5624</v>
      </c>
      <c r="D16227" s="7">
        <v>0.43</v>
      </c>
    </row>
    <row r="16228" spans="1:4" x14ac:dyDescent="0.25">
      <c r="A16228" t="str">
        <f>HYPERLINK("https://www.773grp.com/globalSearch/BBY40235/page-1", "BBY40235")</f>
        <v>BBY40235</v>
      </c>
      <c r="B16228" s="3" t="str">
        <f>HYPERLINK("https://www.773grp.com/manufacturer/nxp-semiconductor?pageNo=20", "NXP Semiconductors")</f>
        <v>NXP Semiconductors</v>
      </c>
      <c r="C16228" s="6">
        <v>10000</v>
      </c>
      <c r="D16228" s="7">
        <v>0.43</v>
      </c>
    </row>
    <row r="16229" spans="1:4" x14ac:dyDescent="0.25">
      <c r="A16229" t="str">
        <f>HYPERLINK("https://www.773grp.com/globalSearch/BCM61B215/page-1", "BCM61B215")</f>
        <v>BCM61B215</v>
      </c>
      <c r="B16229" s="3" t="str">
        <f>HYPERLINK("https://www.773grp.com/manufacturer/nxp-semiconductor?pageNo=21", "NXP Semiconductors")</f>
        <v>NXP Semiconductors</v>
      </c>
      <c r="C16229" s="6">
        <v>33000</v>
      </c>
      <c r="D16229" s="7">
        <v>0.43</v>
      </c>
    </row>
    <row r="16230" spans="1:4" x14ac:dyDescent="0.25">
      <c r="A16230" t="str">
        <f>HYPERLINK("https://www.773grp.com/globalSearch/BCM62B215/page-1", "BCM62B215")</f>
        <v>BCM62B215</v>
      </c>
      <c r="B16230" s="3" t="str">
        <f>HYPERLINK("https://www.773grp.com/manufacturer/nxp-semiconductor?pageNo=22", "NXP Semiconductors")</f>
        <v>NXP Semiconductors</v>
      </c>
      <c r="C16230" s="6">
        <v>12000</v>
      </c>
      <c r="D16230" s="7">
        <v>0.43</v>
      </c>
    </row>
    <row r="16231" spans="1:4" x14ac:dyDescent="0.25">
      <c r="A16231" t="str">
        <f>HYPERLINK("https://www.773grp.com/globalSearch/BCM847BV115/page-1", "BCM847BV115")</f>
        <v>BCM847BV115</v>
      </c>
      <c r="B16231" s="3" t="str">
        <f>HYPERLINK("https://www.773grp.com/manufacturer/nxp-semiconductor?pageNo=23", "NXP Semiconductors")</f>
        <v>NXP Semiconductors</v>
      </c>
      <c r="C16231" s="6">
        <v>24000</v>
      </c>
      <c r="D16231" s="7">
        <v>0.43</v>
      </c>
    </row>
    <row r="16232" spans="1:4" x14ac:dyDescent="0.25">
      <c r="A16232" t="str">
        <f>HYPERLINK("https://www.773grp.com/globalSearch/BCM847BV315/page-1", "BCM847BV315")</f>
        <v>BCM847BV315</v>
      </c>
      <c r="B16232" s="3" t="str">
        <f>HYPERLINK("https://www.773grp.com/manufacturer/nxp-semiconductor?pageNo=24", "NXP Semiconductors")</f>
        <v>NXP Semiconductors</v>
      </c>
      <c r="C16232" s="6">
        <v>8000</v>
      </c>
      <c r="D16232" s="7">
        <v>0.43</v>
      </c>
    </row>
    <row r="16233" spans="1:4" x14ac:dyDescent="0.25">
      <c r="A16233" t="str">
        <f>HYPERLINK("https://www.773grp.com/globalSearch/BCM847DS115/page-1", "BCM847DS115")</f>
        <v>BCM847DS115</v>
      </c>
      <c r="B16233" s="3" t="str">
        <f>HYPERLINK("https://www.773grp.com/manufacturer/nxp-semiconductor?pageNo=25", "NXP Semiconductors")</f>
        <v>NXP Semiconductors</v>
      </c>
      <c r="C16233" s="6">
        <v>12000</v>
      </c>
      <c r="D16233" s="7">
        <v>0.43</v>
      </c>
    </row>
    <row r="16234" spans="1:4" x14ac:dyDescent="0.25">
      <c r="A16234" t="str">
        <f>HYPERLINK("https://www.773grp.com/globalSearch/BCM856DS115/page-1", "BCM856DS115")</f>
        <v>BCM856DS115</v>
      </c>
      <c r="B16234" s="3" t="str">
        <f>HYPERLINK("https://www.773grp.com/manufacturer/nxp-semiconductor?pageNo=26", "NXP Semiconductors")</f>
        <v>NXP Semiconductors</v>
      </c>
      <c r="C16234" s="6">
        <v>3000</v>
      </c>
      <c r="D16234" s="7">
        <v>0.43</v>
      </c>
    </row>
    <row r="16235" spans="1:4" x14ac:dyDescent="0.25">
      <c r="A16235" t="str">
        <f>HYPERLINK("https://www.773grp.com/globalSearch/BCM857BS115/page-1", "BCM857BS115")</f>
        <v>BCM857BS115</v>
      </c>
      <c r="B16235" s="3" t="str">
        <f>HYPERLINK("https://www.773grp.com/manufacturer/nxp-semiconductor?pageNo=27", "NXP Semiconductors")</f>
        <v>NXP Semiconductors</v>
      </c>
      <c r="C16235" s="6">
        <v>12000</v>
      </c>
      <c r="D16235" s="7">
        <v>0.43</v>
      </c>
    </row>
    <row r="16236" spans="1:4" x14ac:dyDescent="0.25">
      <c r="A16236" t="str">
        <f>HYPERLINK("https://www.773grp.com/globalSearch/BCM857BV115/page-1", "BCM857BV115")</f>
        <v>BCM857BV115</v>
      </c>
      <c r="B16236" s="3" t="str">
        <f>HYPERLINK("https://www.773grp.com/manufacturer/nxp-semiconductor?pageNo=28", "NXP Semiconductors")</f>
        <v>NXP Semiconductors</v>
      </c>
      <c r="C16236" s="6">
        <v>16000</v>
      </c>
      <c r="D16236" s="7">
        <v>0.43</v>
      </c>
    </row>
    <row r="16237" spans="1:4" x14ac:dyDescent="0.25">
      <c r="A16237" t="str">
        <f>HYPERLINK("https://www.773grp.com/globalSearch/BFG310-XR215/page-1", "BFG310-XR215")</f>
        <v>BFG310-XR215</v>
      </c>
      <c r="B16237" s="3" t="str">
        <f>HYPERLINK("https://www.773grp.com/manufacturer/nxp-semiconductor?pageNo=29", "NXP Semiconductors")</f>
        <v>NXP Semiconductors</v>
      </c>
      <c r="C16237" s="6">
        <v>1352</v>
      </c>
      <c r="D16237" s="7">
        <v>0.43</v>
      </c>
    </row>
    <row r="16238" spans="1:4" x14ac:dyDescent="0.25">
      <c r="A16238" t="str">
        <f>HYPERLINK("https://www.773grp.com/globalSearch/BFG310W-XR115/page-1", "BFG310W-XR115")</f>
        <v>BFG310W-XR115</v>
      </c>
      <c r="B16238" s="3" t="str">
        <f>HYPERLINK("https://www.773grp.com/manufacturer/nxp-semiconductor?pageNo=30", "NXP Semiconductors")</f>
        <v>NXP Semiconductors</v>
      </c>
      <c r="C16238" s="6">
        <v>3000</v>
      </c>
      <c r="D16238" s="7">
        <v>0.43</v>
      </c>
    </row>
    <row r="16239" spans="1:4" x14ac:dyDescent="0.25">
      <c r="A16239" t="str">
        <f>HYPERLINK("https://www.773grp.com/globalSearch/BFR93A215/page-1", "BFR93A215")</f>
        <v>BFR93A215</v>
      </c>
      <c r="B16239" s="3" t="str">
        <f>HYPERLINK("https://www.773grp.com/manufacturer/nxp-semiconductor?pageNo=31", "NXP Semiconductors")</f>
        <v>NXP Semiconductors</v>
      </c>
      <c r="C16239" s="6">
        <v>18317</v>
      </c>
      <c r="D16239" s="7">
        <v>0.43</v>
      </c>
    </row>
    <row r="16240" spans="1:4" x14ac:dyDescent="0.25">
      <c r="A16240" t="str">
        <f>HYPERLINK("https://www.773grp.com/globalSearch/BGA2711115/page-1", "BGA2711115")</f>
        <v>BGA2711115</v>
      </c>
      <c r="B16240" s="3" t="str">
        <f>HYPERLINK("https://www.773grp.com/manufacturer/nxp-semiconductor?pageNo=32", "NXP Semiconductors")</f>
        <v>NXP Semiconductors</v>
      </c>
      <c r="C16240" s="6">
        <v>13490</v>
      </c>
      <c r="D16240" s="7">
        <v>0.43</v>
      </c>
    </row>
    <row r="16241" spans="1:4" x14ac:dyDescent="0.25">
      <c r="A16241" t="str">
        <f>HYPERLINK("https://www.773grp.com/globalSearch/BGA2717115/page-1", "BGA2717115")</f>
        <v>BGA2717115</v>
      </c>
      <c r="B16241" s="3" t="str">
        <f>HYPERLINK("https://www.773grp.com/manufacturer/nxp-semiconductor?pageNo=33", "NXP Semiconductors")</f>
        <v>NXP Semiconductors</v>
      </c>
      <c r="C16241" s="6">
        <v>3000</v>
      </c>
      <c r="D16241" s="7">
        <v>0.43</v>
      </c>
    </row>
    <row r="16242" spans="1:4" x14ac:dyDescent="0.25">
      <c r="A16242" t="str">
        <f>HYPERLINK("https://www.773grp.com/globalSearch/BGA2800115/page-1", "BGA2800115")</f>
        <v>BGA2800115</v>
      </c>
      <c r="B16242" s="3" t="str">
        <f>HYPERLINK("https://www.773grp.com/manufacturer/nxp-semiconductor?pageNo=34", "NXP Semiconductors")</f>
        <v>NXP Semiconductors</v>
      </c>
      <c r="C16242" s="6">
        <v>6183</v>
      </c>
      <c r="D16242" s="7">
        <v>0.43</v>
      </c>
    </row>
    <row r="16243" spans="1:4" x14ac:dyDescent="0.25">
      <c r="A16243" t="str">
        <f>HYPERLINK("https://www.773grp.com/globalSearch/BGA2801115/page-1", "BGA2801115")</f>
        <v>BGA2801115</v>
      </c>
      <c r="B16243" s="3" t="str">
        <f>HYPERLINK("https://www.773grp.com/manufacturer/nxp-semiconductor?pageNo=35", "NXP Semiconductors")</f>
        <v>NXP Semiconductors</v>
      </c>
      <c r="C16243" s="6">
        <v>186200</v>
      </c>
      <c r="D16243" s="7">
        <v>0.43</v>
      </c>
    </row>
    <row r="16244" spans="1:4" x14ac:dyDescent="0.25">
      <c r="A16244" t="str">
        <f>HYPERLINK("https://www.773grp.com/globalSearch/BGA2802115/page-1", "BGA2802115")</f>
        <v>BGA2802115</v>
      </c>
      <c r="B16244" s="3" t="str">
        <f>HYPERLINK("https://www.773grp.com/manufacturer/nxp-semiconductor?pageNo=36", "NXP Semiconductors")</f>
        <v>NXP Semiconductors</v>
      </c>
      <c r="C16244" s="6">
        <v>6200</v>
      </c>
      <c r="D16244" s="7">
        <v>0.43</v>
      </c>
    </row>
    <row r="16245" spans="1:4" x14ac:dyDescent="0.25">
      <c r="A16245" t="str">
        <f>HYPERLINK("https://www.773grp.com/globalSearch/BGA2803115/page-1", "BGA2803115")</f>
        <v>BGA2803115</v>
      </c>
      <c r="B16245" s="3" t="str">
        <f>HYPERLINK("https://www.773grp.com/manufacturer/nxp-semiconductor?pageNo=37", "NXP Semiconductors")</f>
        <v>NXP Semiconductors</v>
      </c>
      <c r="C16245" s="6">
        <v>324200</v>
      </c>
      <c r="D16245" s="7">
        <v>0.43</v>
      </c>
    </row>
    <row r="16246" spans="1:4" x14ac:dyDescent="0.25">
      <c r="A16246" t="str">
        <f>HYPERLINK("https://www.773grp.com/globalSearch/BGA2815115/page-1", "BGA2815115")</f>
        <v>BGA2815115</v>
      </c>
      <c r="B16246" s="3" t="str">
        <f>HYPERLINK("https://www.773grp.com/manufacturer/nxp-semiconductor?pageNo=38", "NXP Semiconductors")</f>
        <v>NXP Semiconductors</v>
      </c>
      <c r="C16246" s="6">
        <v>8781</v>
      </c>
      <c r="D16246" s="7">
        <v>0.43</v>
      </c>
    </row>
    <row r="16247" spans="1:4" x14ac:dyDescent="0.25">
      <c r="A16247" t="str">
        <f>HYPERLINK("https://www.773grp.com/globalSearch/BGA2816115/page-1", "BGA2816115")</f>
        <v>BGA2816115</v>
      </c>
      <c r="B16247" s="3" t="str">
        <f>HYPERLINK("https://www.773grp.com/manufacturer/nxp-semiconductor?pageNo=39", "NXP Semiconductors")</f>
        <v>NXP Semiconductors</v>
      </c>
      <c r="C16247" s="6">
        <v>140</v>
      </c>
      <c r="D16247" s="7">
        <v>0.43</v>
      </c>
    </row>
    <row r="16248" spans="1:4" x14ac:dyDescent="0.25">
      <c r="A16248" t="str">
        <f>HYPERLINK("https://www.773grp.com/globalSearch/BGA2850115/page-1", "BGA2850115")</f>
        <v>BGA2850115</v>
      </c>
      <c r="B16248" s="3" t="str">
        <f>HYPERLINK("https://www.773grp.com/manufacturer/nxp-semiconductor?pageNo=40", "NXP Semiconductors")</f>
        <v>NXP Semiconductors</v>
      </c>
      <c r="C16248" s="6">
        <v>6113</v>
      </c>
      <c r="D16248" s="7">
        <v>0.43</v>
      </c>
    </row>
    <row r="16249" spans="1:4" x14ac:dyDescent="0.25">
      <c r="A16249" t="str">
        <f>HYPERLINK("https://www.773grp.com/globalSearch/BSH103215/page-1", "BSH103215")</f>
        <v>BSH103215</v>
      </c>
      <c r="B16249" s="3" t="str">
        <f>HYPERLINK("https://www.773grp.com/manufacturer/nxp-semiconductor?pageNo=41", "NXP Semiconductors")</f>
        <v>NXP Semiconductors</v>
      </c>
      <c r="C16249" s="6">
        <v>122565</v>
      </c>
      <c r="D16249" s="7">
        <v>0.43</v>
      </c>
    </row>
    <row r="16250" spans="1:4" x14ac:dyDescent="0.25">
      <c r="A16250" t="str">
        <f>HYPERLINK("https://www.773grp.com/globalSearch/BST82215/page-1", "BST82215")</f>
        <v>BST82215</v>
      </c>
      <c r="B16250" s="3" t="str">
        <f>HYPERLINK("https://www.773grp.com/manufacturer/nxp-semiconductor?pageNo=42", "NXP Semiconductors")</f>
        <v>NXP Semiconductors</v>
      </c>
      <c r="C16250" s="6">
        <v>3000</v>
      </c>
      <c r="D16250" s="7">
        <v>0.43</v>
      </c>
    </row>
    <row r="16251" spans="1:4" x14ac:dyDescent="0.25">
      <c r="A16251" t="str">
        <f>HYPERLINK("https://www.773grp.com/globalSearch/BT132-600D116/page-1", "BT132-600D116")</f>
        <v>BT132-600D116</v>
      </c>
      <c r="B16251" s="3" t="str">
        <f>HYPERLINK("https://www.773grp.com/manufacturer/nxp-semiconductor?pageNo=43", "NXP Semiconductors")</f>
        <v>NXP Semiconductors</v>
      </c>
      <c r="C16251" s="6">
        <v>18000</v>
      </c>
      <c r="D16251" s="7">
        <v>0.43</v>
      </c>
    </row>
    <row r="16252" spans="1:4" x14ac:dyDescent="0.25">
      <c r="A16252" t="str">
        <f>HYPERLINK("https://www.773grp.com/globalSearch/BZA408B115/page-1", "BZA408B115")</f>
        <v>BZA408B115</v>
      </c>
      <c r="B16252" s="3" t="str">
        <f>HYPERLINK("https://www.773grp.com/manufacturer/nxp-semiconductor?pageNo=44", "NXP Semiconductors")</f>
        <v>NXP Semiconductors</v>
      </c>
      <c r="C16252" s="6">
        <v>95417</v>
      </c>
      <c r="D16252" s="7">
        <v>0.43</v>
      </c>
    </row>
    <row r="16253" spans="1:4" x14ac:dyDescent="0.25">
      <c r="A16253" t="str">
        <f>HYPERLINK("https://www.773grp.com/globalSearch/HEF4001BT652/page-1", "HEF4001BT652")</f>
        <v>HEF4001BT652</v>
      </c>
      <c r="B16253" s="3" t="str">
        <f>HYPERLINK("https://www.773grp.com/manufacturer/nxp-semiconductor?pageNo=45", "NXP Semiconductors")</f>
        <v>NXP Semiconductors</v>
      </c>
      <c r="C16253" s="6">
        <v>13680</v>
      </c>
      <c r="D16253" s="7">
        <v>0.43</v>
      </c>
    </row>
    <row r="16254" spans="1:4" x14ac:dyDescent="0.25">
      <c r="A16254" t="str">
        <f>HYPERLINK("https://www.773grp.com/globalSearch/HEF4001BT653/page-1", "HEF4001BT653")</f>
        <v>HEF4001BT653</v>
      </c>
      <c r="B16254" s="3" t="str">
        <f>HYPERLINK("https://www.773grp.com/manufacturer/nxp-semiconductor?pageNo=46", "NXP Semiconductors")</f>
        <v>NXP Semiconductors</v>
      </c>
      <c r="C16254" s="6">
        <v>7500</v>
      </c>
      <c r="D16254" s="7">
        <v>0.43</v>
      </c>
    </row>
    <row r="16255" spans="1:4" x14ac:dyDescent="0.25">
      <c r="A16255" t="str">
        <f>HYPERLINK("https://www.773grp.com/globalSearch/HEF40106BT652/page-1", "HEF40106BT652")</f>
        <v>HEF40106BT652</v>
      </c>
      <c r="B16255" s="3" t="str">
        <f>HYPERLINK("https://www.773grp.com/manufacturer/nxp-semiconductor?pageNo=47", "NXP Semiconductors")</f>
        <v>NXP Semiconductors</v>
      </c>
      <c r="C16255" s="6">
        <v>59028</v>
      </c>
      <c r="D16255" s="7">
        <v>0.43</v>
      </c>
    </row>
    <row r="16256" spans="1:4" x14ac:dyDescent="0.25">
      <c r="A16256" t="str">
        <f>HYPERLINK("https://www.773grp.com/globalSearch/HEF40106BT653/page-1", "HEF40106BT653")</f>
        <v>HEF40106BT653</v>
      </c>
      <c r="B16256" s="3" t="str">
        <f>HYPERLINK("https://www.773grp.com/manufacturer/nxp-semiconductor?pageNo=48", "NXP Semiconductors")</f>
        <v>NXP Semiconductors</v>
      </c>
      <c r="C16256" s="6">
        <v>109850</v>
      </c>
      <c r="D16256" s="7">
        <v>0.43</v>
      </c>
    </row>
    <row r="16257" spans="1:4" x14ac:dyDescent="0.25">
      <c r="A16257" t="str">
        <f>HYPERLINK("https://www.773grp.com/globalSearch/HEF4013BT652/page-1", "HEF4013BT652")</f>
        <v>HEF4013BT652</v>
      </c>
      <c r="B16257" s="3" t="s">
        <v>93</v>
      </c>
      <c r="C16257" s="6">
        <v>9120</v>
      </c>
      <c r="D16257" s="7">
        <v>0.43</v>
      </c>
    </row>
    <row r="16258" spans="1:4" x14ac:dyDescent="0.25">
      <c r="A16258" t="str">
        <f>HYPERLINK("https://www.773grp.com/globalSearch/HEF4013BT653/page-1", "HEF4013BT653")</f>
        <v>HEF4013BT653</v>
      </c>
      <c r="B16258" s="3" t="s">
        <v>93</v>
      </c>
      <c r="C16258" s="6">
        <v>17500</v>
      </c>
      <c r="D16258" s="7">
        <v>0.43</v>
      </c>
    </row>
    <row r="16259" spans="1:4" x14ac:dyDescent="0.25">
      <c r="A16259" t="str">
        <f>HYPERLINK("https://www.773grp.com/globalSearch/HEF4093BT653/page-1", "HEF4093BT653")</f>
        <v>HEF4093BT653</v>
      </c>
      <c r="B16259" s="3" t="s">
        <v>93</v>
      </c>
      <c r="C16259" s="6">
        <v>50000</v>
      </c>
      <c r="D16259" s="7">
        <v>0.43</v>
      </c>
    </row>
    <row r="16260" spans="1:4" x14ac:dyDescent="0.25">
      <c r="A16260" t="str">
        <f>HYPERLINK("https://www.773grp.com/globalSearch/IP4049CX5-LF135/page-1", "IP4049CX5-LF135")</f>
        <v>IP4049CX5-LF135</v>
      </c>
      <c r="B16260" s="3" t="s">
        <v>93</v>
      </c>
      <c r="C16260" s="6">
        <v>300</v>
      </c>
      <c r="D16260" s="7">
        <v>0.43</v>
      </c>
    </row>
    <row r="16261" spans="1:4" x14ac:dyDescent="0.25">
      <c r="A16261" t="str">
        <f>HYPERLINK("https://www.773grp.com/globalSearch/IP4058CX8-LF135/page-1", "IP4058CX8-LF135")</f>
        <v>IP4058CX8-LF135</v>
      </c>
      <c r="B16261" s="3" t="s">
        <v>93</v>
      </c>
      <c r="C16261" s="6">
        <v>5579</v>
      </c>
      <c r="D16261" s="7">
        <v>0.43</v>
      </c>
    </row>
    <row r="16262" spans="1:4" x14ac:dyDescent="0.25">
      <c r="A16262" t="str">
        <f>HYPERLINK("https://www.773grp.com/globalSearch/IP4221CZ6-S115/page-1", "IP4221CZ6-S115")</f>
        <v>IP4221CZ6-S115</v>
      </c>
      <c r="B16262" s="3" t="s">
        <v>93</v>
      </c>
      <c r="C16262" s="6">
        <v>7059</v>
      </c>
      <c r="D16262" s="7">
        <v>0.43</v>
      </c>
    </row>
    <row r="16263" spans="1:4" x14ac:dyDescent="0.25">
      <c r="A16263" t="str">
        <f>HYPERLINK("https://www.773grp.com/globalSearch/LD6836CX4-12H315/page-1", "LD6836CX4-12H315")</f>
        <v>LD6836CX4-12H315</v>
      </c>
      <c r="B16263" s="3" t="s">
        <v>93</v>
      </c>
      <c r="C16263" s="6">
        <v>9000</v>
      </c>
      <c r="D16263" s="7">
        <v>0.43</v>
      </c>
    </row>
    <row r="16264" spans="1:4" x14ac:dyDescent="0.25">
      <c r="A16264" t="str">
        <f>HYPERLINK("https://www.773grp.com/globalSearch/LD6836CX4-12P315/page-1", "LD6836CX4-12P315")</f>
        <v>LD6836CX4-12P315</v>
      </c>
      <c r="B16264" s="3" t="s">
        <v>93</v>
      </c>
      <c r="C16264" s="6">
        <v>9000</v>
      </c>
      <c r="D16264" s="7">
        <v>0.43</v>
      </c>
    </row>
    <row r="16265" spans="1:4" x14ac:dyDescent="0.25">
      <c r="A16265" t="str">
        <f>HYPERLINK("https://www.773grp.com/globalSearch/LD6836CX4-13H315/page-1", "LD6836CX4-13H315")</f>
        <v>LD6836CX4-13H315</v>
      </c>
      <c r="B16265" s="3" t="s">
        <v>93</v>
      </c>
      <c r="C16265" s="6">
        <v>9000</v>
      </c>
      <c r="D16265" s="7">
        <v>0.43</v>
      </c>
    </row>
    <row r="16266" spans="1:4" x14ac:dyDescent="0.25">
      <c r="A16266" t="str">
        <f>HYPERLINK("https://www.773grp.com/globalSearch/LD6836CX4-13P315/page-1", "LD6836CX4-13P315")</f>
        <v>LD6836CX4-13P315</v>
      </c>
      <c r="B16266" s="3" t="s">
        <v>93</v>
      </c>
      <c r="C16266" s="6">
        <v>9000</v>
      </c>
      <c r="D16266" s="7">
        <v>0.43</v>
      </c>
    </row>
    <row r="16267" spans="1:4" x14ac:dyDescent="0.25">
      <c r="A16267" t="str">
        <f>HYPERLINK("https://www.773grp.com/globalSearch/LD6836CX4-14H315/page-1", "LD6836CX4-14H315")</f>
        <v>LD6836CX4-14H315</v>
      </c>
      <c r="B16267" s="3" t="s">
        <v>93</v>
      </c>
      <c r="C16267" s="6">
        <v>9000</v>
      </c>
      <c r="D16267" s="7">
        <v>0.43</v>
      </c>
    </row>
    <row r="16268" spans="1:4" x14ac:dyDescent="0.25">
      <c r="A16268" t="str">
        <f>HYPERLINK("https://www.773grp.com/globalSearch/LD6836CX4-14P315/page-1", "LD6836CX4-14P315")</f>
        <v>LD6836CX4-14P315</v>
      </c>
      <c r="B16268" s="3" t="s">
        <v>93</v>
      </c>
      <c r="C16268" s="6">
        <v>9000</v>
      </c>
      <c r="D16268" s="7">
        <v>0.43</v>
      </c>
    </row>
    <row r="16269" spans="1:4" x14ac:dyDescent="0.25">
      <c r="A16269" t="str">
        <f>HYPERLINK("https://www.773grp.com/globalSearch/LD6836CX4-16H315/page-1", "LD6836CX4-16H315")</f>
        <v>LD6836CX4-16H315</v>
      </c>
      <c r="B16269" s="3" t="s">
        <v>93</v>
      </c>
      <c r="C16269" s="6">
        <v>9000</v>
      </c>
      <c r="D16269" s="7">
        <v>0.43</v>
      </c>
    </row>
    <row r="16270" spans="1:4" x14ac:dyDescent="0.25">
      <c r="A16270" t="str">
        <f>HYPERLINK("https://www.773grp.com/globalSearch/LD6836CX4-16P315/page-1", "LD6836CX4-16P315")</f>
        <v>LD6836CX4-16P315</v>
      </c>
      <c r="B16270" s="3" t="s">
        <v>93</v>
      </c>
      <c r="C16270" s="6">
        <v>9000</v>
      </c>
      <c r="D16270" s="7">
        <v>0.43</v>
      </c>
    </row>
    <row r="16271" spans="1:4" x14ac:dyDescent="0.25">
      <c r="A16271" t="str">
        <f>HYPERLINK("https://www.773grp.com/globalSearch/LD6836CX4-18H315/page-1", "LD6836CX4-18H315")</f>
        <v>LD6836CX4-18H315</v>
      </c>
      <c r="B16271" s="3" t="s">
        <v>93</v>
      </c>
      <c r="C16271" s="6">
        <v>9000</v>
      </c>
      <c r="D16271" s="7">
        <v>0.43</v>
      </c>
    </row>
    <row r="16272" spans="1:4" x14ac:dyDescent="0.25">
      <c r="A16272" t="str">
        <f>HYPERLINK("https://www.773grp.com/globalSearch/LD6836CX4-18P315/page-1", "LD6836CX4-18P315")</f>
        <v>LD6836CX4-18P315</v>
      </c>
      <c r="B16272" s="3" t="s">
        <v>93</v>
      </c>
      <c r="C16272" s="6">
        <v>9000</v>
      </c>
      <c r="D16272" s="7">
        <v>0.43</v>
      </c>
    </row>
    <row r="16273" spans="1:4" x14ac:dyDescent="0.25">
      <c r="A16273" t="str">
        <f>HYPERLINK("https://www.773grp.com/globalSearch/LD6836CX4-20H315/page-1", "LD6836CX4-20H315")</f>
        <v>LD6836CX4-20H315</v>
      </c>
      <c r="B16273" s="3" t="s">
        <v>93</v>
      </c>
      <c r="C16273" s="6">
        <v>9000</v>
      </c>
      <c r="D16273" s="7">
        <v>0.43</v>
      </c>
    </row>
    <row r="16274" spans="1:4" x14ac:dyDescent="0.25">
      <c r="A16274" t="str">
        <f>HYPERLINK("https://www.773grp.com/globalSearch/LD6836CX4-20P315/page-1", "LD6836CX4-20P315")</f>
        <v>LD6836CX4-20P315</v>
      </c>
      <c r="B16274" s="3" t="s">
        <v>93</v>
      </c>
      <c r="C16274" s="6">
        <v>9000</v>
      </c>
      <c r="D16274" s="7">
        <v>0.43</v>
      </c>
    </row>
    <row r="16275" spans="1:4" x14ac:dyDescent="0.25">
      <c r="A16275" t="str">
        <f>HYPERLINK("https://www.773grp.com/globalSearch/LD6836CX4-22H315/page-1", "LD6836CX4-22H315")</f>
        <v>LD6836CX4-22H315</v>
      </c>
      <c r="B16275" s="3" t="s">
        <v>93</v>
      </c>
      <c r="C16275" s="6">
        <v>9000</v>
      </c>
      <c r="D16275" s="7">
        <v>0.43</v>
      </c>
    </row>
    <row r="16276" spans="1:4" x14ac:dyDescent="0.25">
      <c r="A16276" t="str">
        <f>HYPERLINK("https://www.773grp.com/globalSearch/LD6836CX4-22P315/page-1", "LD6836CX4-22P315")</f>
        <v>LD6836CX4-22P315</v>
      </c>
      <c r="B16276" s="3" t="s">
        <v>93</v>
      </c>
      <c r="C16276" s="6">
        <v>9000</v>
      </c>
      <c r="D16276" s="7">
        <v>0.43</v>
      </c>
    </row>
    <row r="16277" spans="1:4" x14ac:dyDescent="0.25">
      <c r="A16277" t="str">
        <f>HYPERLINK("https://www.773grp.com/globalSearch/LD6836CX4-23H315/page-1", "LD6836CX4-23H315")</f>
        <v>LD6836CX4-23H315</v>
      </c>
      <c r="B16277" s="3" t="s">
        <v>93</v>
      </c>
      <c r="C16277" s="6">
        <v>9000</v>
      </c>
      <c r="D16277" s="7">
        <v>0.43</v>
      </c>
    </row>
    <row r="16278" spans="1:4" x14ac:dyDescent="0.25">
      <c r="A16278" t="str">
        <f>HYPERLINK("https://www.773grp.com/globalSearch/LD6836CX4-23P315/page-1", "LD6836CX4-23P315")</f>
        <v>LD6836CX4-23P315</v>
      </c>
      <c r="B16278" s="3" t="s">
        <v>93</v>
      </c>
      <c r="C16278" s="6">
        <v>9000</v>
      </c>
      <c r="D16278" s="7">
        <v>0.43</v>
      </c>
    </row>
    <row r="16279" spans="1:4" x14ac:dyDescent="0.25">
      <c r="A16279" t="str">
        <f>HYPERLINK("https://www.773grp.com/globalSearch/LD6836CX4-25H315/page-1", "LD6836CX4-25H315")</f>
        <v>LD6836CX4-25H315</v>
      </c>
      <c r="B16279" s="3" t="s">
        <v>93</v>
      </c>
      <c r="C16279" s="6">
        <v>9000</v>
      </c>
      <c r="D16279" s="7">
        <v>0.43</v>
      </c>
    </row>
    <row r="16280" spans="1:4" x14ac:dyDescent="0.25">
      <c r="A16280" t="str">
        <f>HYPERLINK("https://www.773grp.com/globalSearch/LD6836CX4-25P315/page-1", "LD6836CX4-25P315")</f>
        <v>LD6836CX4-25P315</v>
      </c>
      <c r="B16280" s="3" t="s">
        <v>93</v>
      </c>
      <c r="C16280" s="6">
        <v>9000</v>
      </c>
      <c r="D16280" s="7">
        <v>0.43</v>
      </c>
    </row>
    <row r="16281" spans="1:4" x14ac:dyDescent="0.25">
      <c r="A16281" t="str">
        <f>HYPERLINK("https://www.773grp.com/globalSearch/LD6836CX4-27P315/page-1", "LD6836CX4-27P315")</f>
        <v>LD6836CX4-27P315</v>
      </c>
      <c r="B16281" s="3" t="s">
        <v>93</v>
      </c>
      <c r="C16281" s="6">
        <v>9000</v>
      </c>
      <c r="D16281" s="7">
        <v>0.43</v>
      </c>
    </row>
    <row r="16282" spans="1:4" x14ac:dyDescent="0.25">
      <c r="A16282" t="str">
        <f>HYPERLINK("https://www.773grp.com/globalSearch/LD6836CX4-28H315/page-1", "LD6836CX4-28H315")</f>
        <v>LD6836CX4-28H315</v>
      </c>
      <c r="B16282" s="3" t="s">
        <v>93</v>
      </c>
      <c r="C16282" s="6">
        <v>9000</v>
      </c>
      <c r="D16282" s="7">
        <v>0.43</v>
      </c>
    </row>
    <row r="16283" spans="1:4" x14ac:dyDescent="0.25">
      <c r="A16283" t="str">
        <f>HYPERLINK("https://www.773grp.com/globalSearch/LD6836CX4-28P315/page-1", "LD6836CX4-28P315")</f>
        <v>LD6836CX4-28P315</v>
      </c>
      <c r="B16283" s="3" t="s">
        <v>93</v>
      </c>
      <c r="C16283" s="6">
        <v>9000</v>
      </c>
      <c r="D16283" s="7">
        <v>0.43</v>
      </c>
    </row>
    <row r="16284" spans="1:4" x14ac:dyDescent="0.25">
      <c r="A16284" t="str">
        <f>HYPERLINK("https://www.773grp.com/globalSearch/LD6836CX4-29H315/page-1", "LD6836CX4-29H315")</f>
        <v>LD6836CX4-29H315</v>
      </c>
      <c r="B16284" s="3" t="s">
        <v>93</v>
      </c>
      <c r="C16284" s="6">
        <v>9000</v>
      </c>
      <c r="D16284" s="7">
        <v>0.43</v>
      </c>
    </row>
    <row r="16285" spans="1:4" x14ac:dyDescent="0.25">
      <c r="A16285" t="str">
        <f>HYPERLINK("https://www.773grp.com/globalSearch/LD6836CX4-29P315/page-1", "LD6836CX4-29P315")</f>
        <v>LD6836CX4-29P315</v>
      </c>
      <c r="B16285" s="3" t="s">
        <v>93</v>
      </c>
      <c r="C16285" s="6">
        <v>9000</v>
      </c>
      <c r="D16285" s="7">
        <v>0.43</v>
      </c>
    </row>
    <row r="16286" spans="1:4" x14ac:dyDescent="0.25">
      <c r="A16286" t="str">
        <f>HYPERLINK("https://www.773grp.com/globalSearch/LD6836CX4-30P315/page-1", "LD6836CX4-30P315")</f>
        <v>LD6836CX4-30P315</v>
      </c>
      <c r="B16286" s="3" t="s">
        <v>93</v>
      </c>
      <c r="C16286" s="6">
        <v>9000</v>
      </c>
      <c r="D16286" s="7">
        <v>0.43</v>
      </c>
    </row>
    <row r="16287" spans="1:4" x14ac:dyDescent="0.25">
      <c r="A16287" t="str">
        <f>HYPERLINK("https://www.773grp.com/globalSearch/LD6836CX4-33H315/page-1", "LD6836CX4-33H315")</f>
        <v>LD6836CX4-33H315</v>
      </c>
      <c r="B16287" s="3" t="s">
        <v>93</v>
      </c>
      <c r="C16287" s="6">
        <v>18000</v>
      </c>
      <c r="D16287" s="7">
        <v>0.43</v>
      </c>
    </row>
    <row r="16288" spans="1:4" x14ac:dyDescent="0.25">
      <c r="A16288" t="str">
        <f>HYPERLINK("https://www.773grp.com/globalSearch/LD6836CX4-33P315/page-1", "LD6836CX4-33P315")</f>
        <v>LD6836CX4-33P315</v>
      </c>
      <c r="B16288" s="3" t="s">
        <v>93</v>
      </c>
      <c r="C16288" s="6">
        <v>9000</v>
      </c>
      <c r="D16288" s="7">
        <v>0.43</v>
      </c>
    </row>
    <row r="16289" spans="1:4" x14ac:dyDescent="0.25">
      <c r="A16289" t="str">
        <f>HYPERLINK("https://www.773grp.com/globalSearch/LD6836CX4-36H315/page-1", "LD6836CX4-36H315")</f>
        <v>LD6836CX4-36H315</v>
      </c>
      <c r="B16289" s="3" t="s">
        <v>93</v>
      </c>
      <c r="C16289" s="6">
        <v>9000</v>
      </c>
      <c r="D16289" s="7">
        <v>0.43</v>
      </c>
    </row>
    <row r="16290" spans="1:4" x14ac:dyDescent="0.25">
      <c r="A16290" t="str">
        <f>HYPERLINK("https://www.773grp.com/globalSearch/LD6836CX4-36P315/page-1", "LD6836CX4-36P315")</f>
        <v>LD6836CX4-36P315</v>
      </c>
      <c r="B16290" s="3" t="s">
        <v>93</v>
      </c>
      <c r="C16290" s="6">
        <v>9000</v>
      </c>
      <c r="D16290" s="7">
        <v>0.43</v>
      </c>
    </row>
    <row r="16291" spans="1:4" x14ac:dyDescent="0.25">
      <c r="A16291" t="str">
        <f>HYPERLINK("https://www.773grp.com/globalSearch/LD6836TD-13H125/page-1", "LD6836TD-13H125")</f>
        <v>LD6836TD-13H125</v>
      </c>
      <c r="B16291" s="3" t="s">
        <v>93</v>
      </c>
      <c r="C16291" s="6">
        <v>6000</v>
      </c>
      <c r="D16291" s="7">
        <v>0.43</v>
      </c>
    </row>
    <row r="16292" spans="1:4" x14ac:dyDescent="0.25">
      <c r="A16292" t="str">
        <f>HYPERLINK("https://www.773grp.com/globalSearch/LD6836TD-14H125/page-1", "LD6836TD-14H125")</f>
        <v>LD6836TD-14H125</v>
      </c>
      <c r="B16292" s="3" t="s">
        <v>93</v>
      </c>
      <c r="C16292" s="6">
        <v>5980</v>
      </c>
      <c r="D16292" s="7">
        <v>0.43</v>
      </c>
    </row>
    <row r="16293" spans="1:4" x14ac:dyDescent="0.25">
      <c r="A16293" t="str">
        <f>HYPERLINK("https://www.773grp.com/globalSearch/LD6836TD-16H125/page-1", "LD6836TD-16H125")</f>
        <v>LD6836TD-16H125</v>
      </c>
      <c r="B16293" s="3" t="s">
        <v>93</v>
      </c>
      <c r="C16293" s="6">
        <v>6000</v>
      </c>
      <c r="D16293" s="7">
        <v>0.43</v>
      </c>
    </row>
    <row r="16294" spans="1:4" x14ac:dyDescent="0.25">
      <c r="A16294" t="str">
        <f>HYPERLINK("https://www.773grp.com/globalSearch/LD6836TD-18H125/page-1", "LD6836TD-18H125")</f>
        <v>LD6836TD-18H125</v>
      </c>
      <c r="B16294" s="3" t="s">
        <v>93</v>
      </c>
      <c r="C16294" s="6">
        <v>6000</v>
      </c>
      <c r="D16294" s="7">
        <v>0.43</v>
      </c>
    </row>
    <row r="16295" spans="1:4" x14ac:dyDescent="0.25">
      <c r="A16295" t="str">
        <f>HYPERLINK("https://www.773grp.com/globalSearch/LD6836TD-20H125/page-1", "LD6836TD-20H125")</f>
        <v>LD6836TD-20H125</v>
      </c>
      <c r="B16295" s="3" t="s">
        <v>93</v>
      </c>
      <c r="C16295" s="6">
        <v>6000</v>
      </c>
      <c r="D16295" s="7">
        <v>0.43</v>
      </c>
    </row>
    <row r="16296" spans="1:4" x14ac:dyDescent="0.25">
      <c r="A16296" t="str">
        <f>HYPERLINK("https://www.773grp.com/globalSearch/LD6836TD-22H125/page-1", "LD6836TD-22H125")</f>
        <v>LD6836TD-22H125</v>
      </c>
      <c r="B16296" s="3" t="s">
        <v>93</v>
      </c>
      <c r="C16296" s="6">
        <v>6000</v>
      </c>
      <c r="D16296" s="7">
        <v>0.43</v>
      </c>
    </row>
    <row r="16297" spans="1:4" x14ac:dyDescent="0.25">
      <c r="A16297" t="str">
        <f>HYPERLINK("https://www.773grp.com/globalSearch/LD6836TD-23H125/page-1", "LD6836TD-23H125")</f>
        <v>LD6836TD-23H125</v>
      </c>
      <c r="B16297" s="3" t="s">
        <v>93</v>
      </c>
      <c r="C16297" s="6">
        <v>6000</v>
      </c>
      <c r="D16297" s="7">
        <v>0.43</v>
      </c>
    </row>
    <row r="16298" spans="1:4" x14ac:dyDescent="0.25">
      <c r="A16298" t="str">
        <f>HYPERLINK("https://www.773grp.com/globalSearch/LD6836TD-28H125/page-1", "LD6836TD-28H125")</f>
        <v>LD6836TD-28H125</v>
      </c>
      <c r="B16298" s="3" t="s">
        <v>93</v>
      </c>
      <c r="C16298" s="6">
        <v>6000</v>
      </c>
      <c r="D16298" s="7">
        <v>0.43</v>
      </c>
    </row>
    <row r="16299" spans="1:4" x14ac:dyDescent="0.25">
      <c r="A16299" t="str">
        <f>HYPERLINK("https://www.773grp.com/globalSearch/LD6836TD-29H125/page-1", "LD6836TD-29H125")</f>
        <v>LD6836TD-29H125</v>
      </c>
      <c r="B16299" s="3" t="s">
        <v>93</v>
      </c>
      <c r="C16299" s="6">
        <v>6000</v>
      </c>
      <c r="D16299" s="7">
        <v>0.43</v>
      </c>
    </row>
    <row r="16300" spans="1:4" x14ac:dyDescent="0.25">
      <c r="A16300" t="str">
        <f>HYPERLINK("https://www.773grp.com/globalSearch/LD6836TD-36H125/page-1", "LD6836TD-36H125")</f>
        <v>LD6836TD-36H125</v>
      </c>
      <c r="B16300" s="3" t="s">
        <v>93</v>
      </c>
      <c r="C16300" s="6">
        <v>6000</v>
      </c>
      <c r="D16300" s="7">
        <v>0.43</v>
      </c>
    </row>
    <row r="16301" spans="1:4" x14ac:dyDescent="0.25">
      <c r="A16301" t="str">
        <f>HYPERLINK("https://www.773grp.com/globalSearch/N74F00D602/page-1", "N74F00D602")</f>
        <v>N74F00D602</v>
      </c>
      <c r="B16301" s="3" t="s">
        <v>93</v>
      </c>
      <c r="C16301" s="6">
        <v>15599</v>
      </c>
      <c r="D16301" s="7">
        <v>0.43</v>
      </c>
    </row>
    <row r="16302" spans="1:4" x14ac:dyDescent="0.25">
      <c r="A16302" t="str">
        <f>HYPERLINK("https://www.773grp.com/globalSearch/N74F00D623/page-1", "N74F00D623")</f>
        <v>N74F00D623</v>
      </c>
      <c r="B16302" s="3" t="s">
        <v>93</v>
      </c>
      <c r="C16302" s="6">
        <v>60000</v>
      </c>
      <c r="D16302" s="7">
        <v>0.43</v>
      </c>
    </row>
    <row r="16303" spans="1:4" x14ac:dyDescent="0.25">
      <c r="A16303" t="str">
        <f>HYPERLINK("https://www.773grp.com/globalSearch/N74F04D602/page-1", "N74F04D602")</f>
        <v>N74F04D602</v>
      </c>
      <c r="B16303" s="3" t="s">
        <v>93</v>
      </c>
      <c r="C16303" s="6">
        <v>38203</v>
      </c>
      <c r="D16303" s="7">
        <v>0.43</v>
      </c>
    </row>
    <row r="16304" spans="1:4" x14ac:dyDescent="0.25">
      <c r="A16304" t="str">
        <f>HYPERLINK("https://www.773grp.com/globalSearch/N74F04D623/page-1", "N74F04D623")</f>
        <v>N74F04D623</v>
      </c>
      <c r="B16304" s="3" t="s">
        <v>93</v>
      </c>
      <c r="C16304" s="6">
        <v>40000</v>
      </c>
      <c r="D16304" s="7">
        <v>0.43</v>
      </c>
    </row>
    <row r="16305" spans="1:4" x14ac:dyDescent="0.25">
      <c r="A16305" t="str">
        <f>HYPERLINK("https://www.773grp.com/globalSearch/N74F08D602/page-1", "N74F08D602")</f>
        <v>N74F08D602</v>
      </c>
      <c r="B16305" s="3" t="s">
        <v>93</v>
      </c>
      <c r="C16305" s="6">
        <v>15960</v>
      </c>
      <c r="D16305" s="7">
        <v>0.43</v>
      </c>
    </row>
    <row r="16306" spans="1:4" x14ac:dyDescent="0.25">
      <c r="A16306" t="str">
        <f>HYPERLINK("https://www.773grp.com/globalSearch/N74F08D623/page-1", "N74F08D623")</f>
        <v>N74F08D623</v>
      </c>
      <c r="B16306" s="3" t="s">
        <v>93</v>
      </c>
      <c r="C16306" s="6">
        <v>5200</v>
      </c>
      <c r="D16306" s="7">
        <v>0.43</v>
      </c>
    </row>
    <row r="16307" spans="1:4" x14ac:dyDescent="0.25">
      <c r="A16307" t="str">
        <f>HYPERLINK("https://www.773grp.com/globalSearch/N74F32D602/page-1", "N74F32D602")</f>
        <v>N74F32D602</v>
      </c>
      <c r="B16307" s="3" t="s">
        <v>93</v>
      </c>
      <c r="C16307" s="6">
        <v>21090</v>
      </c>
      <c r="D16307" s="7">
        <v>0.43</v>
      </c>
    </row>
    <row r="16308" spans="1:4" x14ac:dyDescent="0.25">
      <c r="A16308" t="str">
        <f>HYPERLINK("https://www.773grp.com/globalSearch/N74F32D623/page-1", "N74F32D623")</f>
        <v>N74F32D623</v>
      </c>
      <c r="B16308" s="3" t="s">
        <v>93</v>
      </c>
      <c r="C16308" s="6">
        <v>15000</v>
      </c>
      <c r="D16308" s="7">
        <v>0.43</v>
      </c>
    </row>
    <row r="16309" spans="1:4" x14ac:dyDescent="0.25">
      <c r="A16309" t="str">
        <f>HYPERLINK("https://www.773grp.com/globalSearch/NX3L1G3157GM115/page-1", "NX3L1G3157GM115")</f>
        <v>NX3L1G3157GM115</v>
      </c>
      <c r="B16309" s="3" t="s">
        <v>93</v>
      </c>
      <c r="C16309" s="6">
        <v>8368</v>
      </c>
      <c r="D16309" s="7">
        <v>0.43</v>
      </c>
    </row>
    <row r="16310" spans="1:4" x14ac:dyDescent="0.25">
      <c r="A16310" t="str">
        <f>HYPERLINK("https://www.773grp.com/globalSearch/OT406135/page-1", "OT406135")</f>
        <v>OT406135</v>
      </c>
      <c r="B16310" s="3" t="s">
        <v>93</v>
      </c>
      <c r="C16310" s="6">
        <v>7672</v>
      </c>
      <c r="D16310" s="7">
        <v>0.43</v>
      </c>
    </row>
    <row r="16311" spans="1:4" x14ac:dyDescent="0.25">
      <c r="A16311" t="str">
        <f>HYPERLINK("https://www.773grp.com/globalSearch/OT407126/page-1", "OT407126")</f>
        <v>OT407126</v>
      </c>
      <c r="B16311" s="3" t="s">
        <v>93</v>
      </c>
      <c r="C16311" s="6">
        <v>8000</v>
      </c>
      <c r="D16311" s="7">
        <v>0.43</v>
      </c>
    </row>
    <row r="16312" spans="1:4" x14ac:dyDescent="0.25">
      <c r="A16312" t="str">
        <f>HYPERLINK("https://www.773grp.com/globalSearch/PBSS4350D115/page-1", "PBSS4350D115")</f>
        <v>PBSS4350D115</v>
      </c>
      <c r="B16312" s="3" t="s">
        <v>93</v>
      </c>
      <c r="C16312" s="6">
        <v>48000</v>
      </c>
      <c r="D16312" s="7">
        <v>0.43</v>
      </c>
    </row>
    <row r="16313" spans="1:4" x14ac:dyDescent="0.25">
      <c r="A16313" t="str">
        <f>HYPERLINK("https://www.773grp.com/globalSearch/PBSS4350D125/page-1", "PBSS4350D125")</f>
        <v>PBSS4350D125</v>
      </c>
      <c r="B16313" s="3" t="s">
        <v>93</v>
      </c>
      <c r="C16313" s="6">
        <v>444000</v>
      </c>
      <c r="D16313" s="7">
        <v>0.43</v>
      </c>
    </row>
    <row r="16314" spans="1:4" x14ac:dyDescent="0.25">
      <c r="A16314" t="str">
        <f>HYPERLINK("https://www.773grp.com/globalSearch/PBSS5160U115/page-1", "PBSS5160U115")</f>
        <v>PBSS5160U115</v>
      </c>
      <c r="B16314" s="3" t="s">
        <v>93</v>
      </c>
      <c r="C16314" s="6">
        <v>9000</v>
      </c>
      <c r="D16314" s="7">
        <v>0.43</v>
      </c>
    </row>
    <row r="16315" spans="1:4" x14ac:dyDescent="0.25">
      <c r="A16315" t="str">
        <f>HYPERLINK("https://www.773grp.com/globalSearch/PBSS5250X115/page-1", "PBSS5250X115")</f>
        <v>PBSS5250X115</v>
      </c>
      <c r="B16315" s="3" t="s">
        <v>93</v>
      </c>
      <c r="C16315" s="6">
        <v>14925</v>
      </c>
      <c r="D16315" s="7">
        <v>0.43</v>
      </c>
    </row>
    <row r="16316" spans="1:4" x14ac:dyDescent="0.25">
      <c r="A16316" t="str">
        <f>HYPERLINK("https://www.773grp.com/globalSearch/PBSS5320D125/page-1", "PBSS5320D125")</f>
        <v>PBSS5320D125</v>
      </c>
      <c r="B16316" s="3" t="s">
        <v>93</v>
      </c>
      <c r="C16316" s="6">
        <v>345000</v>
      </c>
      <c r="D16316" s="7">
        <v>0.43</v>
      </c>
    </row>
    <row r="16317" spans="1:4" x14ac:dyDescent="0.25">
      <c r="A16317" t="str">
        <f>HYPERLINK("https://www.773grp.com/globalSearch/PBSS5330X115/page-1", "PBSS5330X115")</f>
        <v>PBSS5330X115</v>
      </c>
      <c r="B16317" s="3" t="s">
        <v>93</v>
      </c>
      <c r="C16317" s="6">
        <v>3000</v>
      </c>
      <c r="D16317" s="7">
        <v>0.43</v>
      </c>
    </row>
    <row r="16318" spans="1:4" x14ac:dyDescent="0.25">
      <c r="A16318" t="str">
        <f>HYPERLINK("https://www.773grp.com/globalSearch/PBSS5330X135/page-1", "PBSS5330X135")</f>
        <v>PBSS5330X135</v>
      </c>
      <c r="B16318" s="3" t="s">
        <v>93</v>
      </c>
      <c r="C16318" s="6">
        <v>2419</v>
      </c>
      <c r="D16318" s="7">
        <v>0.43</v>
      </c>
    </row>
    <row r="16319" spans="1:4" x14ac:dyDescent="0.25">
      <c r="A16319" t="str">
        <f>HYPERLINK("https://www.773grp.com/globalSearch/PBSS5350D115/page-1", "PBSS5350D115")</f>
        <v>PBSS5350D115</v>
      </c>
      <c r="B16319" s="3" t="s">
        <v>93</v>
      </c>
      <c r="C16319" s="6">
        <v>61100</v>
      </c>
      <c r="D16319" s="7">
        <v>0.43</v>
      </c>
    </row>
    <row r="16320" spans="1:4" x14ac:dyDescent="0.25">
      <c r="A16320" t="str">
        <f>HYPERLINK("https://www.773grp.com/globalSearch/PBSS5350X115/page-1", "PBSS5350X115")</f>
        <v>PBSS5350X115</v>
      </c>
      <c r="B16320" s="3" t="s">
        <v>93</v>
      </c>
      <c r="C16320" s="6">
        <v>19000</v>
      </c>
      <c r="D16320" s="7">
        <v>0.43</v>
      </c>
    </row>
    <row r="16321" spans="1:4" x14ac:dyDescent="0.25">
      <c r="A16321" t="str">
        <f>HYPERLINK("https://www.773grp.com/globalSearch/PBSS5350X135/page-1", "PBSS5350X135")</f>
        <v>PBSS5350X135</v>
      </c>
      <c r="B16321" s="3" t="s">
        <v>93</v>
      </c>
      <c r="C16321" s="6">
        <v>8472</v>
      </c>
      <c r="D16321" s="7">
        <v>0.43</v>
      </c>
    </row>
    <row r="16322" spans="1:4" x14ac:dyDescent="0.25">
      <c r="A16322" t="str">
        <f>HYPERLINK("https://www.773grp.com/globalSearch/PBSS5350Z135/page-1", "PBSS5350Z135")</f>
        <v>PBSS5350Z135</v>
      </c>
      <c r="B16322" s="3" t="s">
        <v>93</v>
      </c>
      <c r="C16322" s="6">
        <v>120000</v>
      </c>
      <c r="D16322" s="7">
        <v>0.43</v>
      </c>
    </row>
    <row r="16323" spans="1:4" x14ac:dyDescent="0.25">
      <c r="A16323" t="str">
        <f>HYPERLINK("https://www.773grp.com/globalSearch/PEMI4QFN-BYP132/page-1", "PEMI4QFN-BYP132")</f>
        <v>PEMI4QFN-BYP132</v>
      </c>
      <c r="B16323" s="3" t="s">
        <v>93</v>
      </c>
      <c r="C16323" s="6">
        <v>8000</v>
      </c>
      <c r="D16323" s="7">
        <v>0.43</v>
      </c>
    </row>
    <row r="16324" spans="1:4" x14ac:dyDescent="0.25">
      <c r="A16324" t="str">
        <f>HYPERLINK("https://www.773grp.com/globalSearch/PEMI4QFN-CE132/page-1", "PEMI4QFN-CE132")</f>
        <v>PEMI4QFN-CE132</v>
      </c>
      <c r="B16324" s="3" t="s">
        <v>93</v>
      </c>
      <c r="C16324" s="6">
        <v>8000</v>
      </c>
      <c r="D16324" s="7">
        <v>0.43</v>
      </c>
    </row>
    <row r="16325" spans="1:4" x14ac:dyDescent="0.25">
      <c r="A16325" t="str">
        <f>HYPERLINK("https://www.773grp.com/globalSearch/PEMI4QFN-CG132/page-1", "PEMI4QFN-CG132")</f>
        <v>PEMI4QFN-CG132</v>
      </c>
      <c r="B16325" s="3" t="s">
        <v>93</v>
      </c>
      <c r="C16325" s="6">
        <v>8000</v>
      </c>
      <c r="D16325" s="7">
        <v>0.43</v>
      </c>
    </row>
    <row r="16326" spans="1:4" x14ac:dyDescent="0.25">
      <c r="A16326" t="str">
        <f>HYPERLINK("https://www.773grp.com/globalSearch/PEMI4QFN-CK132/page-1", "PEMI4QFN-CK132")</f>
        <v>PEMI4QFN-CK132</v>
      </c>
      <c r="B16326" s="3" t="s">
        <v>93</v>
      </c>
      <c r="C16326" s="6">
        <v>8000</v>
      </c>
      <c r="D16326" s="7">
        <v>0.43</v>
      </c>
    </row>
    <row r="16327" spans="1:4" x14ac:dyDescent="0.25">
      <c r="A16327" t="str">
        <f>HYPERLINK("https://www.773grp.com/globalSearch/PEMI4QFN-CM132/page-1", "PEMI4QFN-CM132")</f>
        <v>PEMI4QFN-CM132</v>
      </c>
      <c r="B16327" s="3" t="s">
        <v>93</v>
      </c>
      <c r="C16327" s="6">
        <v>8000</v>
      </c>
      <c r="D16327" s="7">
        <v>0.43</v>
      </c>
    </row>
    <row r="16328" spans="1:4" x14ac:dyDescent="0.25">
      <c r="A16328" t="str">
        <f>HYPERLINK("https://www.773grp.com/globalSearch/PEMI4QFN-CP132/page-1", "PEMI4QFN-CP132")</f>
        <v>PEMI4QFN-CP132</v>
      </c>
      <c r="B16328" s="3" t="s">
        <v>93</v>
      </c>
      <c r="C16328" s="6">
        <v>8000</v>
      </c>
      <c r="D16328" s="7">
        <v>0.43</v>
      </c>
    </row>
    <row r="16329" spans="1:4" x14ac:dyDescent="0.25">
      <c r="A16329" t="str">
        <f>HYPERLINK("https://www.773grp.com/globalSearch/PEMI4QFN-CR132/page-1", "PEMI4QFN-CR132")</f>
        <v>PEMI4QFN-CR132</v>
      </c>
      <c r="B16329" s="3" t="s">
        <v>93</v>
      </c>
      <c r="C16329" s="6">
        <v>8000</v>
      </c>
      <c r="D16329" s="7">
        <v>0.43</v>
      </c>
    </row>
    <row r="16330" spans="1:4" x14ac:dyDescent="0.25">
      <c r="A16330" t="str">
        <f>HYPERLINK("https://www.773grp.com/globalSearch/PEMI4QFN-CT132/page-1", "PEMI4QFN-CT132")</f>
        <v>PEMI4QFN-CT132</v>
      </c>
      <c r="B16330" s="3" t="s">
        <v>93</v>
      </c>
      <c r="C16330" s="6">
        <v>8000</v>
      </c>
      <c r="D16330" s="7">
        <v>0.43</v>
      </c>
    </row>
    <row r="16331" spans="1:4" x14ac:dyDescent="0.25">
      <c r="A16331" t="str">
        <f>HYPERLINK("https://www.773grp.com/globalSearch/PEMI4QFN-HE132/page-1", "PEMI4QFN-HE132")</f>
        <v>PEMI4QFN-HE132</v>
      </c>
      <c r="B16331" s="3" t="s">
        <v>93</v>
      </c>
      <c r="C16331" s="6">
        <v>8000</v>
      </c>
      <c r="D16331" s="7">
        <v>0.43</v>
      </c>
    </row>
    <row r="16332" spans="1:4" x14ac:dyDescent="0.25">
      <c r="A16332" t="str">
        <f>HYPERLINK("https://www.773grp.com/globalSearch/PEMI4QFN-HG132/page-1", "PEMI4QFN-HG132")</f>
        <v>PEMI4QFN-HG132</v>
      </c>
      <c r="B16332" s="3" t="s">
        <v>93</v>
      </c>
      <c r="C16332" s="6">
        <v>8000</v>
      </c>
      <c r="D16332" s="7">
        <v>0.43</v>
      </c>
    </row>
    <row r="16333" spans="1:4" x14ac:dyDescent="0.25">
      <c r="A16333" t="str">
        <f>HYPERLINK("https://www.773grp.com/globalSearch/PEMI4QFN-HK132/page-1", "PEMI4QFN-HK132")</f>
        <v>PEMI4QFN-HK132</v>
      </c>
      <c r="B16333" s="3" t="s">
        <v>93</v>
      </c>
      <c r="C16333" s="6">
        <v>8000</v>
      </c>
      <c r="D16333" s="7">
        <v>0.43</v>
      </c>
    </row>
    <row r="16334" spans="1:4" x14ac:dyDescent="0.25">
      <c r="A16334" t="str">
        <f>HYPERLINK("https://www.773grp.com/globalSearch/PEMI4QFN-HM132/page-1", "PEMI4QFN-HM132")</f>
        <v>PEMI4QFN-HM132</v>
      </c>
      <c r="B16334" s="3" t="s">
        <v>93</v>
      </c>
      <c r="C16334" s="6">
        <v>8000</v>
      </c>
      <c r="D16334" s="7">
        <v>0.43</v>
      </c>
    </row>
    <row r="16335" spans="1:4" x14ac:dyDescent="0.25">
      <c r="A16335" t="str">
        <f>HYPERLINK("https://www.773grp.com/globalSearch/PEMI4QFN-HP132/page-1", "PEMI4QFN-HP132")</f>
        <v>PEMI4QFN-HP132</v>
      </c>
      <c r="B16335" s="3" t="s">
        <v>93</v>
      </c>
      <c r="C16335" s="6">
        <v>8000</v>
      </c>
      <c r="D16335" s="7">
        <v>0.43</v>
      </c>
    </row>
    <row r="16336" spans="1:4" x14ac:dyDescent="0.25">
      <c r="A16336" t="str">
        <f>HYPERLINK("https://www.773grp.com/globalSearch/PEMI4QFN-HR132/page-1", "PEMI4QFN-HR132")</f>
        <v>PEMI4QFN-HR132</v>
      </c>
      <c r="B16336" s="3" t="s">
        <v>93</v>
      </c>
      <c r="C16336" s="6">
        <v>8000</v>
      </c>
      <c r="D16336" s="7">
        <v>0.43</v>
      </c>
    </row>
    <row r="16337" spans="1:4" x14ac:dyDescent="0.25">
      <c r="A16337" t="str">
        <f>HYPERLINK("https://www.773grp.com/globalSearch/PEMI4QFN-HT132/page-1", "PEMI4QFN-HT132")</f>
        <v>PEMI4QFN-HT132</v>
      </c>
      <c r="B16337" s="3" t="s">
        <v>93</v>
      </c>
      <c r="C16337" s="6">
        <v>4000</v>
      </c>
      <c r="D16337" s="7">
        <v>0.43</v>
      </c>
    </row>
    <row r="16338" spans="1:4" x14ac:dyDescent="0.25">
      <c r="A16338" t="str">
        <f>HYPERLINK("https://www.773grp.com/globalSearch/PEMI4QFN-LE132/page-1", "PEMI4QFN-LE132")</f>
        <v>PEMI4QFN-LE132</v>
      </c>
      <c r="B16338" s="3" t="s">
        <v>93</v>
      </c>
      <c r="C16338" s="6">
        <v>8000</v>
      </c>
      <c r="D16338" s="7">
        <v>0.43</v>
      </c>
    </row>
    <row r="16339" spans="1:4" x14ac:dyDescent="0.25">
      <c r="A16339" t="str">
        <f>HYPERLINK("https://www.773grp.com/globalSearch/PEMI4QFN-LG132/page-1", "PEMI4QFN-LG132")</f>
        <v>PEMI4QFN-LG132</v>
      </c>
      <c r="B16339" s="3" t="s">
        <v>93</v>
      </c>
      <c r="C16339" s="6">
        <v>8000</v>
      </c>
      <c r="D16339" s="7">
        <v>0.43</v>
      </c>
    </row>
    <row r="16340" spans="1:4" x14ac:dyDescent="0.25">
      <c r="A16340" t="str">
        <f>HYPERLINK("https://www.773grp.com/globalSearch/PEMI4QFN-LK132/page-1", "PEMI4QFN-LK132")</f>
        <v>PEMI4QFN-LK132</v>
      </c>
      <c r="B16340" s="3" t="s">
        <v>93</v>
      </c>
      <c r="C16340" s="6">
        <v>8000</v>
      </c>
      <c r="D16340" s="7">
        <v>0.43</v>
      </c>
    </row>
    <row r="16341" spans="1:4" x14ac:dyDescent="0.25">
      <c r="A16341" t="str">
        <f>HYPERLINK("https://www.773grp.com/globalSearch/PEMI4QFN-LM132/page-1", "PEMI4QFN-LM132")</f>
        <v>PEMI4QFN-LM132</v>
      </c>
      <c r="B16341" s="3" t="s">
        <v>93</v>
      </c>
      <c r="C16341" s="6">
        <v>8000</v>
      </c>
      <c r="D16341" s="7">
        <v>0.43</v>
      </c>
    </row>
    <row r="16342" spans="1:4" x14ac:dyDescent="0.25">
      <c r="A16342" t="str">
        <f>HYPERLINK("https://www.773grp.com/globalSearch/PEMI4QFN-LP132/page-1", "PEMI4QFN-LP132")</f>
        <v>PEMI4QFN-LP132</v>
      </c>
      <c r="B16342" s="3" t="s">
        <v>93</v>
      </c>
      <c r="C16342" s="6">
        <v>8000</v>
      </c>
      <c r="D16342" s="7">
        <v>0.43</v>
      </c>
    </row>
    <row r="16343" spans="1:4" x14ac:dyDescent="0.25">
      <c r="A16343" t="str">
        <f>HYPERLINK("https://www.773grp.com/globalSearch/PEMI4QFN-LR132/page-1", "PEMI4QFN-LR132")</f>
        <v>PEMI4QFN-LR132</v>
      </c>
      <c r="B16343" s="3" t="s">
        <v>93</v>
      </c>
      <c r="C16343" s="6">
        <v>8000</v>
      </c>
      <c r="D16343" s="7">
        <v>0.43</v>
      </c>
    </row>
    <row r="16344" spans="1:4" x14ac:dyDescent="0.25">
      <c r="A16344" t="str">
        <f>HYPERLINK("https://www.773grp.com/globalSearch/PEMI4QFN-LT132/page-1", "PEMI4QFN-LT132")</f>
        <v>PEMI4QFN-LT132</v>
      </c>
      <c r="B16344" s="3" t="s">
        <v>93</v>
      </c>
      <c r="C16344" s="6">
        <v>8000</v>
      </c>
      <c r="D16344" s="7">
        <v>0.43</v>
      </c>
    </row>
    <row r="16345" spans="1:4" x14ac:dyDescent="0.25">
      <c r="A16345" t="str">
        <f>HYPERLINK("https://www.773grp.com/globalSearch/PEMI4QFN-RE132/page-1", "PEMI4QFN-RE132")</f>
        <v>PEMI4QFN-RE132</v>
      </c>
      <c r="B16345" s="3" t="s">
        <v>93</v>
      </c>
      <c r="C16345" s="6">
        <v>8000</v>
      </c>
      <c r="D16345" s="7">
        <v>0.43</v>
      </c>
    </row>
    <row r="16346" spans="1:4" x14ac:dyDescent="0.25">
      <c r="A16346" t="str">
        <f>HYPERLINK("https://www.773grp.com/globalSearch/PEMI4QFN-RG132/page-1", "PEMI4QFN-RG132")</f>
        <v>PEMI4QFN-RG132</v>
      </c>
      <c r="B16346" s="3" t="s">
        <v>93</v>
      </c>
      <c r="C16346" s="6">
        <v>8000</v>
      </c>
      <c r="D16346" s="7">
        <v>0.43</v>
      </c>
    </row>
    <row r="16347" spans="1:4" x14ac:dyDescent="0.25">
      <c r="A16347" t="str">
        <f>HYPERLINK("https://www.773grp.com/globalSearch/PEMI4QFN-RK132/page-1", "PEMI4QFN-RK132")</f>
        <v>PEMI4QFN-RK132</v>
      </c>
      <c r="B16347" s="3" t="s">
        <v>93</v>
      </c>
      <c r="C16347" s="6">
        <v>8000</v>
      </c>
      <c r="D16347" s="7">
        <v>0.43</v>
      </c>
    </row>
    <row r="16348" spans="1:4" x14ac:dyDescent="0.25">
      <c r="A16348" t="str">
        <f>HYPERLINK("https://www.773grp.com/globalSearch/PEMI4QFN-RM132/page-1", "PEMI4QFN-RM132")</f>
        <v>PEMI4QFN-RM132</v>
      </c>
      <c r="B16348" s="3" t="s">
        <v>93</v>
      </c>
      <c r="C16348" s="6">
        <v>8000</v>
      </c>
      <c r="D16348" s="7">
        <v>0.43</v>
      </c>
    </row>
    <row r="16349" spans="1:4" x14ac:dyDescent="0.25">
      <c r="A16349" t="str">
        <f>HYPERLINK("https://www.773grp.com/globalSearch/PEMI4QFN-RP132/page-1", "PEMI4QFN-RP132")</f>
        <v>PEMI4QFN-RP132</v>
      </c>
      <c r="B16349" s="3" t="s">
        <v>93</v>
      </c>
      <c r="C16349" s="6">
        <v>8000</v>
      </c>
      <c r="D16349" s="7">
        <v>0.43</v>
      </c>
    </row>
    <row r="16350" spans="1:4" x14ac:dyDescent="0.25">
      <c r="A16350" t="str">
        <f>HYPERLINK("https://www.773grp.com/globalSearch/PEMI4QFN-RR132/page-1", "PEMI4QFN-RR132")</f>
        <v>PEMI4QFN-RR132</v>
      </c>
      <c r="B16350" s="3" t="s">
        <v>93</v>
      </c>
      <c r="C16350" s="6">
        <v>8000</v>
      </c>
      <c r="D16350" s="7">
        <v>0.43</v>
      </c>
    </row>
    <row r="16351" spans="1:4" x14ac:dyDescent="0.25">
      <c r="A16351" t="str">
        <f>HYPERLINK("https://www.773grp.com/globalSearch/PEMI4QFN-RT132/page-1", "PEMI4QFN-RT132")</f>
        <v>PEMI4QFN-RT132</v>
      </c>
      <c r="B16351" s="3" t="s">
        <v>93</v>
      </c>
      <c r="C16351" s="6">
        <v>8000</v>
      </c>
      <c r="D16351" s="7">
        <v>0.43</v>
      </c>
    </row>
    <row r="16352" spans="1:4" x14ac:dyDescent="0.25">
      <c r="A16352" t="str">
        <f>HYPERLINK("https://www.773grp.com/globalSearch/PEMI4QFN-WE132/page-1", "PEMI4QFN-WE132")</f>
        <v>PEMI4QFN-WE132</v>
      </c>
      <c r="B16352" s="3" t="s">
        <v>93</v>
      </c>
      <c r="C16352" s="6">
        <v>8000</v>
      </c>
      <c r="D16352" s="7">
        <v>0.43</v>
      </c>
    </row>
    <row r="16353" spans="1:4" x14ac:dyDescent="0.25">
      <c r="A16353" t="str">
        <f>HYPERLINK("https://www.773grp.com/globalSearch/PEMI4QFN-WG132/page-1", "PEMI4QFN-WG132")</f>
        <v>PEMI4QFN-WG132</v>
      </c>
      <c r="B16353" s="3" t="s">
        <v>93</v>
      </c>
      <c r="C16353" s="6">
        <v>8000</v>
      </c>
      <c r="D16353" s="7">
        <v>0.43</v>
      </c>
    </row>
    <row r="16354" spans="1:4" x14ac:dyDescent="0.25">
      <c r="A16354" t="str">
        <f>HYPERLINK("https://www.773grp.com/globalSearch/PEMI4QFN-WK132/page-1", "PEMI4QFN-WK132")</f>
        <v>PEMI4QFN-WK132</v>
      </c>
      <c r="B16354" s="3" t="s">
        <v>93</v>
      </c>
      <c r="C16354" s="6">
        <v>8000</v>
      </c>
      <c r="D16354" s="7">
        <v>0.43</v>
      </c>
    </row>
    <row r="16355" spans="1:4" x14ac:dyDescent="0.25">
      <c r="A16355" t="str">
        <f>HYPERLINK("https://www.773grp.com/globalSearch/PEMI4QFN-WM132/page-1", "PEMI4QFN-WM132")</f>
        <v>PEMI4QFN-WM132</v>
      </c>
      <c r="B16355" s="3" t="s">
        <v>93</v>
      </c>
      <c r="C16355" s="6">
        <v>8000</v>
      </c>
      <c r="D16355" s="7">
        <v>0.43</v>
      </c>
    </row>
    <row r="16356" spans="1:4" x14ac:dyDescent="0.25">
      <c r="A16356" t="str">
        <f>HYPERLINK("https://www.773grp.com/globalSearch/PEMI4QFN-WP132/page-1", "PEMI4QFN-WP132")</f>
        <v>PEMI4QFN-WP132</v>
      </c>
      <c r="B16356" s="3" t="s">
        <v>93</v>
      </c>
      <c r="C16356" s="6">
        <v>8000</v>
      </c>
      <c r="D16356" s="7">
        <v>0.43</v>
      </c>
    </row>
    <row r="16357" spans="1:4" x14ac:dyDescent="0.25">
      <c r="A16357" t="str">
        <f>HYPERLINK("https://www.773grp.com/globalSearch/PEMI4QFN-WR132/page-1", "PEMI4QFN-WR132")</f>
        <v>PEMI4QFN-WR132</v>
      </c>
      <c r="B16357" s="3" t="s">
        <v>93</v>
      </c>
      <c r="C16357" s="6">
        <v>8000</v>
      </c>
      <c r="D16357" s="7">
        <v>0.43</v>
      </c>
    </row>
    <row r="16358" spans="1:4" x14ac:dyDescent="0.25">
      <c r="A16358" t="str">
        <f>HYPERLINK("https://www.773grp.com/globalSearch/PEMI4QFN-WT132/page-1", "PEMI4QFN-WT132")</f>
        <v>PEMI4QFN-WT132</v>
      </c>
      <c r="B16358" s="3" t="s">
        <v>93</v>
      </c>
      <c r="C16358" s="6">
        <v>8000</v>
      </c>
      <c r="D16358" s="7">
        <v>0.43</v>
      </c>
    </row>
    <row r="16359" spans="1:4" x14ac:dyDescent="0.25">
      <c r="A16359" t="str">
        <f>HYPERLINK("https://www.773grp.com/globalSearch/PEMI6CSP-RT135/page-1", "PEMI6CSP-RT135")</f>
        <v>PEMI6CSP-RT135</v>
      </c>
      <c r="B16359" s="3" t="s">
        <v>93</v>
      </c>
      <c r="C16359" s="6">
        <v>9000</v>
      </c>
      <c r="D16359" s="7">
        <v>0.43</v>
      </c>
    </row>
    <row r="16360" spans="1:4" x14ac:dyDescent="0.25">
      <c r="A16360" t="str">
        <f>HYPERLINK("https://www.773grp.com/globalSearch/PEMI6CSP-RW135/page-1", "PEMI6CSP-RW135")</f>
        <v>PEMI6CSP-RW135</v>
      </c>
      <c r="B16360" s="3" t="s">
        <v>93</v>
      </c>
      <c r="C16360" s="6">
        <v>9000</v>
      </c>
      <c r="D16360" s="7">
        <v>0.43</v>
      </c>
    </row>
    <row r="16361" spans="1:4" x14ac:dyDescent="0.25">
      <c r="A16361" t="str">
        <f>HYPERLINK("https://www.773grp.com/globalSearch/PESD3V3V4UK132/page-1", "PESD3V3V4UK132")</f>
        <v>PESD3V3V4UK132</v>
      </c>
      <c r="B16361" s="3" t="s">
        <v>93</v>
      </c>
      <c r="C16361" s="6">
        <v>5000</v>
      </c>
      <c r="D16361" s="7">
        <v>0.43</v>
      </c>
    </row>
    <row r="16362" spans="1:4" x14ac:dyDescent="0.25">
      <c r="A16362" t="str">
        <f>HYPERLINK("https://www.773grp.com/globalSearch/PESD5V0U1BL315/page-1", "PESD5V0U1BL315")</f>
        <v>PESD5V0U1BL315</v>
      </c>
      <c r="B16362" s="3" t="s">
        <v>93</v>
      </c>
      <c r="C16362" s="6">
        <v>142095</v>
      </c>
      <c r="D16362" s="7">
        <v>0.43</v>
      </c>
    </row>
    <row r="16363" spans="1:4" x14ac:dyDescent="0.25">
      <c r="A16363" t="str">
        <f>HYPERLINK("https://www.773grp.com/globalSearch/PESD5V0U2BT215/page-1", "PESD5V0U2BT215")</f>
        <v>PESD5V0U2BT215</v>
      </c>
      <c r="B16363" s="3" t="s">
        <v>93</v>
      </c>
      <c r="C16363" s="6">
        <v>4</v>
      </c>
      <c r="D16363" s="7">
        <v>0.43</v>
      </c>
    </row>
    <row r="16364" spans="1:4" x14ac:dyDescent="0.25">
      <c r="A16364" t="str">
        <f>HYPERLINK("https://www.773grp.com/globalSearch/PESD5V0V1BA115/page-1", "PESD5V0V1BA115")</f>
        <v>PESD5V0V1BA115</v>
      </c>
      <c r="B16364" s="3" t="s">
        <v>93</v>
      </c>
      <c r="C16364" s="6">
        <v>4042</v>
      </c>
      <c r="D16364" s="7">
        <v>0.43</v>
      </c>
    </row>
    <row r="16365" spans="1:4" x14ac:dyDescent="0.25">
      <c r="A16365" t="str">
        <f>HYPERLINK("https://www.773grp.com/globalSearch/PESD5V0V1BB115/page-1", "PESD5V0V1BB115")</f>
        <v>PESD5V0V1BB115</v>
      </c>
      <c r="B16365" s="3" t="s">
        <v>93</v>
      </c>
      <c r="C16365" s="6">
        <v>6000</v>
      </c>
      <c r="D16365" s="7">
        <v>0.43</v>
      </c>
    </row>
    <row r="16366" spans="1:4" x14ac:dyDescent="0.25">
      <c r="A16366" t="str">
        <f>HYPERLINK("https://www.773grp.com/globalSearch/PESD5V0V1BL315/page-1", "PESD5V0V1BL315")</f>
        <v>PESD5V0V1BL315</v>
      </c>
      <c r="B16366" s="3" t="s">
        <v>93</v>
      </c>
      <c r="C16366" s="6">
        <v>10400</v>
      </c>
      <c r="D16366" s="7">
        <v>0.43</v>
      </c>
    </row>
    <row r="16367" spans="1:4" x14ac:dyDescent="0.25">
      <c r="A16367" t="str">
        <f>HYPERLINK("https://www.773grp.com/globalSearch/PESD9V0V4UK132/page-1", "PESD9V0V4UK132")</f>
        <v>PESD9V0V4UK132</v>
      </c>
      <c r="B16367" s="3" t="s">
        <v>93</v>
      </c>
      <c r="C16367" s="6">
        <v>5000</v>
      </c>
      <c r="D16367" s="7">
        <v>0.43</v>
      </c>
    </row>
    <row r="16368" spans="1:4" x14ac:dyDescent="0.25">
      <c r="A16368" t="str">
        <f>HYPERLINK("https://www.773grp.com/globalSearch/PLVA2653A215/page-1", "PLVA2653A215")</f>
        <v>PLVA2653A215</v>
      </c>
      <c r="B16368" s="3" t="s">
        <v>93</v>
      </c>
      <c r="C16368" s="6">
        <v>12000</v>
      </c>
      <c r="D16368" s="7">
        <v>0.43</v>
      </c>
    </row>
    <row r="16369" spans="1:4" x14ac:dyDescent="0.25">
      <c r="A16369" t="str">
        <f>HYPERLINK("https://www.773grp.com/globalSearch/PLVA2656A215/page-1", "PLVA2656A215")</f>
        <v>PLVA2656A215</v>
      </c>
      <c r="B16369" s="3" t="s">
        <v>93</v>
      </c>
      <c r="C16369" s="6">
        <v>3200</v>
      </c>
      <c r="D16369" s="7">
        <v>0.43</v>
      </c>
    </row>
    <row r="16370" spans="1:4" x14ac:dyDescent="0.25">
      <c r="A16370" t="str">
        <f>HYPERLINK("https://www.773grp.com/globalSearch/PLVA2659A215/page-1", "PLVA2659A215")</f>
        <v>PLVA2659A215</v>
      </c>
      <c r="B16370" s="3" t="s">
        <v>93</v>
      </c>
      <c r="C16370" s="6">
        <v>6386</v>
      </c>
      <c r="D16370" s="7">
        <v>0.43</v>
      </c>
    </row>
    <row r="16371" spans="1:4" x14ac:dyDescent="0.25">
      <c r="A16371" t="str">
        <f>HYPERLINK("https://www.773grp.com/globalSearch/PLVA2662A215/page-1", "PLVA2662A215")</f>
        <v>PLVA2662A215</v>
      </c>
      <c r="B16371" s="3" t="s">
        <v>93</v>
      </c>
      <c r="C16371" s="6">
        <v>15000</v>
      </c>
      <c r="D16371" s="7">
        <v>0.43</v>
      </c>
    </row>
    <row r="16372" spans="1:4" x14ac:dyDescent="0.25">
      <c r="A16372" t="str">
        <f>HYPERLINK("https://www.773grp.com/globalSearch/PLVA2665A215/page-1", "PLVA2665A215")</f>
        <v>PLVA2665A215</v>
      </c>
      <c r="B16372" s="3" t="s">
        <v>93</v>
      </c>
      <c r="C16372" s="6">
        <v>6373</v>
      </c>
      <c r="D16372" s="7">
        <v>0.43</v>
      </c>
    </row>
    <row r="16373" spans="1:4" x14ac:dyDescent="0.25">
      <c r="A16373" t="str">
        <f>HYPERLINK("https://www.773grp.com/globalSearch/PLVA2668A215/page-1", "PLVA2668A215")</f>
        <v>PLVA2668A215</v>
      </c>
      <c r="B16373" s="3" t="s">
        <v>93</v>
      </c>
      <c r="C16373" s="6">
        <v>6000</v>
      </c>
      <c r="D16373" s="7">
        <v>0.43</v>
      </c>
    </row>
    <row r="16374" spans="1:4" x14ac:dyDescent="0.25">
      <c r="A16374" t="str">
        <f>HYPERLINK("https://www.773grp.com/globalSearch/PMEG1030EH115/page-1", "PMEG1030EH115")</f>
        <v>PMEG1030EH115</v>
      </c>
      <c r="B16374" s="3" t="s">
        <v>93</v>
      </c>
      <c r="C16374" s="6">
        <v>24000</v>
      </c>
      <c r="D16374" s="7">
        <v>0.43</v>
      </c>
    </row>
    <row r="16375" spans="1:4" x14ac:dyDescent="0.25">
      <c r="A16375" t="str">
        <f>HYPERLINK("https://www.773grp.com/globalSearch/PMEG2010BER115/page-1", "PMEG2010BER115")</f>
        <v>PMEG2010BER115</v>
      </c>
      <c r="B16375" s="3" t="s">
        <v>93</v>
      </c>
      <c r="C16375" s="6">
        <v>6000</v>
      </c>
      <c r="D16375" s="7">
        <v>0.43</v>
      </c>
    </row>
    <row r="16376" spans="1:4" x14ac:dyDescent="0.25">
      <c r="A16376" t="str">
        <f>HYPERLINK("https://www.773grp.com/globalSearch/PMEG2020EPA115/page-1", "PMEG2020EPA115")</f>
        <v>PMEG2020EPA115</v>
      </c>
      <c r="B16376" s="3" t="s">
        <v>93</v>
      </c>
      <c r="C16376" s="6">
        <v>6000</v>
      </c>
      <c r="D16376" s="7">
        <v>0.43</v>
      </c>
    </row>
    <row r="16377" spans="1:4" x14ac:dyDescent="0.25">
      <c r="A16377" t="str">
        <f>HYPERLINK("https://www.773grp.com/globalSearch/PMEG3010BEP115/page-1", "PMEG3010BEP115")</f>
        <v>PMEG3010BEP115</v>
      </c>
      <c r="B16377" s="3" t="s">
        <v>93</v>
      </c>
      <c r="C16377" s="6">
        <v>12000</v>
      </c>
      <c r="D16377" s="7">
        <v>0.43</v>
      </c>
    </row>
    <row r="16378" spans="1:4" x14ac:dyDescent="0.25">
      <c r="A16378" t="str">
        <f>HYPERLINK("https://www.773grp.com/globalSearch/PMEG3010EP115/page-1", "PMEG3010EP115")</f>
        <v>PMEG3010EP115</v>
      </c>
      <c r="B16378" s="3" t="s">
        <v>93</v>
      </c>
      <c r="C16378" s="6">
        <v>19487</v>
      </c>
      <c r="D16378" s="7">
        <v>0.43</v>
      </c>
    </row>
    <row r="16379" spans="1:4" x14ac:dyDescent="0.25">
      <c r="A16379" t="str">
        <f>HYPERLINK("https://www.773grp.com/globalSearch/PMEG3010ER115/page-1", "PMEG3010ER115")</f>
        <v>PMEG3010ER115</v>
      </c>
      <c r="B16379" s="3" t="s">
        <v>93</v>
      </c>
      <c r="C16379" s="6">
        <v>18000</v>
      </c>
      <c r="D16379" s="7">
        <v>0.43</v>
      </c>
    </row>
    <row r="16380" spans="1:4" x14ac:dyDescent="0.25">
      <c r="A16380" t="str">
        <f>HYPERLINK("https://www.773grp.com/globalSearch/PMEG3020BER115/page-1", "PMEG3020BER115")</f>
        <v>PMEG3020BER115</v>
      </c>
      <c r="B16380" s="3" t="s">
        <v>93</v>
      </c>
      <c r="C16380" s="6">
        <v>15000</v>
      </c>
      <c r="D16380" s="7">
        <v>0.43</v>
      </c>
    </row>
    <row r="16381" spans="1:4" x14ac:dyDescent="0.25">
      <c r="A16381" t="str">
        <f>HYPERLINK("https://www.773grp.com/globalSearch/PMEG3020CEP115/page-1", "PMEG3020CEP115")</f>
        <v>PMEG3020CEP115</v>
      </c>
      <c r="B16381" s="3" t="s">
        <v>93</v>
      </c>
      <c r="C16381" s="6">
        <v>15200</v>
      </c>
      <c r="D16381" s="7">
        <v>0.43</v>
      </c>
    </row>
    <row r="16382" spans="1:4" x14ac:dyDescent="0.25">
      <c r="A16382" t="str">
        <f>HYPERLINK("https://www.773grp.com/globalSearch/PMEG3020EP115/page-1", "PMEG3020EP115")</f>
        <v>PMEG3020EP115</v>
      </c>
      <c r="B16382" s="3" t="s">
        <v>93</v>
      </c>
      <c r="C16382" s="6">
        <v>2960</v>
      </c>
      <c r="D16382" s="7">
        <v>0.43</v>
      </c>
    </row>
    <row r="16383" spans="1:4" x14ac:dyDescent="0.25">
      <c r="A16383" t="str">
        <f>HYPERLINK("https://www.773grp.com/globalSearch/PMEG3020EPA115/page-1", "PMEG3020EPA115")</f>
        <v>PMEG3020EPA115</v>
      </c>
      <c r="B16383" s="3" t="s">
        <v>93</v>
      </c>
      <c r="C16383" s="6">
        <v>350</v>
      </c>
      <c r="D16383" s="7">
        <v>0.43</v>
      </c>
    </row>
    <row r="16384" spans="1:4" x14ac:dyDescent="0.25">
      <c r="A16384" t="str">
        <f>HYPERLINK("https://www.773grp.com/globalSearch/PMEG3020ER115/page-1", "PMEG3020ER115")</f>
        <v>PMEG3020ER115</v>
      </c>
      <c r="B16384" s="3" t="s">
        <v>93</v>
      </c>
      <c r="C16384" s="6">
        <v>111194</v>
      </c>
      <c r="D16384" s="7">
        <v>0.43</v>
      </c>
    </row>
    <row r="16385" spans="1:4" x14ac:dyDescent="0.25">
      <c r="A16385" t="str">
        <f>HYPERLINK("https://www.773grp.com/globalSearch/PMEG4010EP115/page-1", "PMEG4010EP115")</f>
        <v>PMEG4010EP115</v>
      </c>
      <c r="B16385" s="3" t="s">
        <v>93</v>
      </c>
      <c r="C16385" s="6">
        <v>18000</v>
      </c>
      <c r="D16385" s="7">
        <v>0.43</v>
      </c>
    </row>
    <row r="16386" spans="1:4" x14ac:dyDescent="0.25">
      <c r="A16386" t="str">
        <f>HYPERLINK("https://www.773grp.com/globalSearch/PMEG4010ER115/page-1", "PMEG4010ER115")</f>
        <v>PMEG4010ER115</v>
      </c>
      <c r="B16386" s="3" t="s">
        <v>93</v>
      </c>
      <c r="C16386" s="6">
        <v>12095</v>
      </c>
      <c r="D16386" s="7">
        <v>0.43</v>
      </c>
    </row>
    <row r="16387" spans="1:4" x14ac:dyDescent="0.25">
      <c r="A16387" t="str">
        <f>HYPERLINK("https://www.773grp.com/globalSearch/PMEG4020EP115/page-1", "PMEG4020EP115")</f>
        <v>PMEG4020EP115</v>
      </c>
      <c r="B16387" s="3" t="s">
        <v>93</v>
      </c>
      <c r="C16387" s="6">
        <v>3000</v>
      </c>
      <c r="D16387" s="7">
        <v>0.43</v>
      </c>
    </row>
    <row r="16388" spans="1:4" x14ac:dyDescent="0.25">
      <c r="A16388" t="str">
        <f>HYPERLINK("https://www.773grp.com/globalSearch/PMEG4020EPA115/page-1", "PMEG4020EPA115")</f>
        <v>PMEG4020EPA115</v>
      </c>
      <c r="B16388" s="3" t="s">
        <v>93</v>
      </c>
      <c r="C16388" s="6">
        <v>6000</v>
      </c>
      <c r="D16388" s="7">
        <v>0.43</v>
      </c>
    </row>
    <row r="16389" spans="1:4" x14ac:dyDescent="0.25">
      <c r="A16389" t="str">
        <f>HYPERLINK("https://www.773grp.com/globalSearch/PMEG6010EP115/page-1", "PMEG6010EP115")</f>
        <v>PMEG6010EP115</v>
      </c>
      <c r="B16389" s="3" t="s">
        <v>93</v>
      </c>
      <c r="C16389" s="6">
        <v>5900</v>
      </c>
      <c r="D16389" s="7">
        <v>0.43</v>
      </c>
    </row>
    <row r="16390" spans="1:4" x14ac:dyDescent="0.25">
      <c r="A16390" t="str">
        <f>HYPERLINK("https://www.773grp.com/globalSearch/PMEG6010ER115/page-1", "PMEG6010ER115")</f>
        <v>PMEG6010ER115</v>
      </c>
      <c r="B16390" s="3" t="s">
        <v>93</v>
      </c>
      <c r="C16390" s="6">
        <v>950</v>
      </c>
      <c r="D16390" s="7">
        <v>0.43</v>
      </c>
    </row>
    <row r="16391" spans="1:4" x14ac:dyDescent="0.25">
      <c r="A16391" t="str">
        <f>HYPERLINK("https://www.773grp.com/globalSearch/PMG45UN115/page-1", "PMG45UN115")</f>
        <v>PMG45UN115</v>
      </c>
      <c r="B16391" s="3" t="s">
        <v>93</v>
      </c>
      <c r="C16391" s="6">
        <v>9000</v>
      </c>
      <c r="D16391" s="7">
        <v>0.43</v>
      </c>
    </row>
    <row r="16392" spans="1:4" x14ac:dyDescent="0.25">
      <c r="A16392" t="str">
        <f>HYPERLINK("https://www.773grp.com/globalSearch/PUMF12115/page-1", "PUMF12115")</f>
        <v>PUMF12115</v>
      </c>
      <c r="B16392" s="3" t="s">
        <v>93</v>
      </c>
      <c r="C16392" s="6">
        <v>3000</v>
      </c>
      <c r="D16392" s="7">
        <v>0.43</v>
      </c>
    </row>
    <row r="16393" spans="1:4" x14ac:dyDescent="0.25">
      <c r="A16393" t="str">
        <f>HYPERLINK("https://www.773grp.com/globalSearch/SL3S1002FTB1115/page-1", "SL3S1002FTB1115")</f>
        <v>SL3S1002FTB1115</v>
      </c>
      <c r="B16393" s="3" t="s">
        <v>93</v>
      </c>
      <c r="C16393" s="6">
        <v>70000</v>
      </c>
      <c r="D16393" s="7">
        <v>0.43</v>
      </c>
    </row>
    <row r="16394" spans="1:4" x14ac:dyDescent="0.25">
      <c r="A16394" t="str">
        <f>HYPERLINK("https://www.773grp.com/globalSearch/SL3S1203FTB0115/page-1", "SL3S1203FTB0115")</f>
        <v>SL3S1203FTB0115</v>
      </c>
      <c r="B16394" s="3" t="s">
        <v>93</v>
      </c>
      <c r="C16394" s="6">
        <v>50000</v>
      </c>
      <c r="D16394" s="7">
        <v>0.43</v>
      </c>
    </row>
    <row r="16395" spans="1:4" x14ac:dyDescent="0.25">
      <c r="A16395" t="str">
        <f>HYPERLINK("https://www.773grp.com/globalSearch/TLVH431IDBZR215/page-1", "TLVH431IDBZR215")</f>
        <v>TLVH431IDBZR215</v>
      </c>
      <c r="B16395" s="3" t="s">
        <v>93</v>
      </c>
      <c r="C16395" s="6">
        <v>9000</v>
      </c>
      <c r="D16395" s="7">
        <v>0.43</v>
      </c>
    </row>
    <row r="16396" spans="1:4" x14ac:dyDescent="0.25">
      <c r="A16396" t="str">
        <f>HYPERLINK("https://www.773grp.com/globalSearch/TLVH431MQDBZR215/page-1", "TLVH431MQDBZR215")</f>
        <v>TLVH431MQDBZR215</v>
      </c>
      <c r="B16396" s="3" t="s">
        <v>93</v>
      </c>
      <c r="C16396" s="6">
        <v>9000</v>
      </c>
      <c r="D16396" s="7">
        <v>0.43</v>
      </c>
    </row>
    <row r="16397" spans="1:4" x14ac:dyDescent="0.25">
      <c r="A16397" t="str">
        <f>HYPERLINK("https://www.773grp.com/globalSearch/TLVH431QDBZR215/page-1", "TLVH431QDBZR215")</f>
        <v>TLVH431QDBZR215</v>
      </c>
      <c r="B16397" s="3" t="s">
        <v>93</v>
      </c>
      <c r="C16397" s="6">
        <v>9000</v>
      </c>
      <c r="D16397" s="7">
        <v>0.43</v>
      </c>
    </row>
    <row r="16398" spans="1:4" x14ac:dyDescent="0.25">
      <c r="A16398" t="str">
        <f>HYPERLINK("https://www.773grp.com/globalSearch/XC7SET02GW125/page-1", "XC7SET02GW125")</f>
        <v>XC7SET02GW125</v>
      </c>
      <c r="B16398" s="3" t="s">
        <v>93</v>
      </c>
      <c r="C16398" s="6">
        <v>300</v>
      </c>
      <c r="D16398" s="7">
        <v>0.43</v>
      </c>
    </row>
    <row r="16399" spans="1:4" x14ac:dyDescent="0.25">
      <c r="A16399" t="str">
        <f>HYPERLINK("https://www.773grp.com/globalSearch/XC7SET04GV125/page-1", "XC7SET04GV125")</f>
        <v>XC7SET04GV125</v>
      </c>
      <c r="B16399" s="3" t="s">
        <v>93</v>
      </c>
      <c r="C16399" s="6">
        <v>6000</v>
      </c>
      <c r="D16399" s="7">
        <v>0.43</v>
      </c>
    </row>
    <row r="16400" spans="1:4" x14ac:dyDescent="0.25">
      <c r="A16400" t="str">
        <f>HYPERLINK("https://www.773grp.com/globalSearch/XC7SET04GW125/page-1", "XC7SET04GW125")</f>
        <v>XC7SET04GW125</v>
      </c>
      <c r="B16400" s="3" t="s">
        <v>93</v>
      </c>
      <c r="C16400" s="6">
        <v>298</v>
      </c>
      <c r="D16400" s="7">
        <v>0.43</v>
      </c>
    </row>
    <row r="16401" spans="1:4" x14ac:dyDescent="0.25">
      <c r="A16401" t="str">
        <f>HYPERLINK("https://www.773grp.com/globalSearch/XC7SET08GW125/page-1", "XC7SET08GW125")</f>
        <v>XC7SET08GW125</v>
      </c>
      <c r="B16401" s="3" t="s">
        <v>93</v>
      </c>
      <c r="C16401" s="6">
        <v>300</v>
      </c>
      <c r="D16401" s="7">
        <v>0.43</v>
      </c>
    </row>
    <row r="16402" spans="1:4" x14ac:dyDescent="0.25">
      <c r="A16402" t="str">
        <f>HYPERLINK("https://www.773grp.com/globalSearch/XC7SET125GV125/page-1", "XC7SET125GV125")</f>
        <v>XC7SET125GV125</v>
      </c>
      <c r="B16402" s="3" t="s">
        <v>93</v>
      </c>
      <c r="C16402" s="6">
        <v>484</v>
      </c>
      <c r="D16402" s="7">
        <v>0.43</v>
      </c>
    </row>
    <row r="16403" spans="1:4" x14ac:dyDescent="0.25">
      <c r="A16403" t="str">
        <f>HYPERLINK("https://www.773grp.com/globalSearch/XC7SET125GW125/page-1", "XC7SET125GW125")</f>
        <v>XC7SET125GW125</v>
      </c>
      <c r="B16403" s="3" t="s">
        <v>93</v>
      </c>
      <c r="C16403" s="6">
        <v>300</v>
      </c>
      <c r="D16403" s="7">
        <v>0.43</v>
      </c>
    </row>
    <row r="16404" spans="1:4" x14ac:dyDescent="0.25">
      <c r="A16404" t="str">
        <f>HYPERLINK("https://www.773grp.com/globalSearch/XC7SET14GV125/page-1", "XC7SET14GV125")</f>
        <v>XC7SET14GV125</v>
      </c>
      <c r="B16404" s="3" t="s">
        <v>93</v>
      </c>
      <c r="C16404" s="6">
        <v>6000</v>
      </c>
      <c r="D16404" s="7">
        <v>0.43</v>
      </c>
    </row>
    <row r="16405" spans="1:4" x14ac:dyDescent="0.25">
      <c r="A16405" t="str">
        <f>HYPERLINK("https://www.773grp.com/globalSearch/XC7SET14GW125/page-1", "XC7SET14GW125")</f>
        <v>XC7SET14GW125</v>
      </c>
      <c r="B16405" s="3" t="s">
        <v>93</v>
      </c>
      <c r="C16405" s="6">
        <v>300</v>
      </c>
      <c r="D16405" s="7">
        <v>0.43</v>
      </c>
    </row>
    <row r="16406" spans="1:4" x14ac:dyDescent="0.25">
      <c r="A16406" t="str">
        <f>HYPERLINK("https://www.773grp.com/globalSearch/XC7SET32GW125/page-1", "XC7SET32GW125")</f>
        <v>XC7SET32GW125</v>
      </c>
      <c r="B16406" s="3" t="s">
        <v>93</v>
      </c>
      <c r="C16406" s="6">
        <v>300</v>
      </c>
      <c r="D16406" s="7">
        <v>0.43</v>
      </c>
    </row>
    <row r="16407" spans="1:4" x14ac:dyDescent="0.25">
      <c r="A16407" t="str">
        <f>HYPERLINK("https://www.773grp.com/globalSearch/XC7SET86GV125/page-1", "XC7SET86GV125")</f>
        <v>XC7SET86GV125</v>
      </c>
      <c r="B16407" s="3" t="s">
        <v>93</v>
      </c>
      <c r="C16407" s="6">
        <v>5900</v>
      </c>
      <c r="D16407" s="7">
        <v>0.43</v>
      </c>
    </row>
    <row r="16408" spans="1:4" x14ac:dyDescent="0.25">
      <c r="A16408" t="str">
        <f>HYPERLINK("https://www.773grp.com/globalSearch/XC7SET86GW125/page-1", "XC7SET86GW125")</f>
        <v>XC7SET86GW125</v>
      </c>
      <c r="B16408" s="3" t="s">
        <v>93</v>
      </c>
      <c r="C16408" s="6">
        <v>300</v>
      </c>
      <c r="D16408" s="7">
        <v>0.43</v>
      </c>
    </row>
    <row r="16409" spans="1:4" x14ac:dyDescent="0.25">
      <c r="A16409" t="str">
        <f>HYPERLINK("https://www.773grp.com/globalSearch/XC7SH02GW125/page-1", "XC7SH02GW125")</f>
        <v>XC7SH02GW125</v>
      </c>
      <c r="B16409" s="3" t="s">
        <v>93</v>
      </c>
      <c r="C16409" s="6">
        <v>300</v>
      </c>
      <c r="D16409" s="7">
        <v>0.43</v>
      </c>
    </row>
    <row r="16410" spans="1:4" x14ac:dyDescent="0.25">
      <c r="A16410" t="str">
        <f>HYPERLINK("https://www.773grp.com/globalSearch/XC7SH04GV125/page-1", "XC7SH04GV125")</f>
        <v>XC7SH04GV125</v>
      </c>
      <c r="B16410" s="3" t="s">
        <v>93</v>
      </c>
      <c r="C16410" s="6">
        <v>6000</v>
      </c>
      <c r="D16410" s="7">
        <v>0.43</v>
      </c>
    </row>
    <row r="16411" spans="1:4" x14ac:dyDescent="0.25">
      <c r="A16411" t="str">
        <f>HYPERLINK("https://www.773grp.com/globalSearch/XC7SH08GW125/page-1", "XC7SH08GW125")</f>
        <v>XC7SH08GW125</v>
      </c>
      <c r="B16411" s="3" t="s">
        <v>93</v>
      </c>
      <c r="C16411" s="6">
        <v>300</v>
      </c>
      <c r="D16411" s="7">
        <v>0.43</v>
      </c>
    </row>
    <row r="16412" spans="1:4" x14ac:dyDescent="0.25">
      <c r="A16412" t="str">
        <f>HYPERLINK("https://www.773grp.com/globalSearch/XC7SH125GV125/page-1", "XC7SH125GV125")</f>
        <v>XC7SH125GV125</v>
      </c>
      <c r="B16412" s="3" t="s">
        <v>93</v>
      </c>
      <c r="C16412" s="6">
        <v>5921</v>
      </c>
      <c r="D16412" s="7">
        <v>0.43</v>
      </c>
    </row>
    <row r="16413" spans="1:4" x14ac:dyDescent="0.25">
      <c r="A16413" t="str">
        <f>HYPERLINK("https://www.773grp.com/globalSearch/XC7SH125GW125/page-1", "XC7SH125GW125")</f>
        <v>XC7SH125GW125</v>
      </c>
      <c r="B16413" s="3" t="s">
        <v>93</v>
      </c>
      <c r="C16413" s="6">
        <v>794</v>
      </c>
      <c r="D16413" s="7">
        <v>0.43</v>
      </c>
    </row>
    <row r="16414" spans="1:4" x14ac:dyDescent="0.25">
      <c r="A16414" t="str">
        <f>HYPERLINK("https://www.773grp.com/globalSearch/XC7SH14GW125/page-1", "XC7SH14GW125")</f>
        <v>XC7SH14GW125</v>
      </c>
      <c r="B16414" s="3" t="s">
        <v>93</v>
      </c>
      <c r="C16414" s="6">
        <v>6485</v>
      </c>
      <c r="D16414" s="7">
        <v>0.43</v>
      </c>
    </row>
    <row r="16415" spans="1:4" x14ac:dyDescent="0.25">
      <c r="A16415" t="str">
        <f>HYPERLINK("https://www.773grp.com/globalSearch/XC7SH32GV125/page-1", "XC7SH32GV125")</f>
        <v>XC7SH32GV125</v>
      </c>
      <c r="B16415" s="3" t="s">
        <v>93</v>
      </c>
      <c r="C16415" s="6">
        <v>6000</v>
      </c>
      <c r="D16415" s="7">
        <v>0.43</v>
      </c>
    </row>
    <row r="16416" spans="1:4" x14ac:dyDescent="0.25">
      <c r="A16416" t="str">
        <f>HYPERLINK("https://www.773grp.com/globalSearch/XC7SH32GW125/page-1", "XC7SH32GW125")</f>
        <v>XC7SH32GW125</v>
      </c>
      <c r="B16416" s="3" t="s">
        <v>93</v>
      </c>
      <c r="C16416" s="6">
        <v>300</v>
      </c>
      <c r="D16416" s="7">
        <v>0.43</v>
      </c>
    </row>
    <row r="16417" spans="1:4" x14ac:dyDescent="0.25">
      <c r="A16417" t="str">
        <f>HYPERLINK("https://www.773grp.com/globalSearch/XC7SH86GW125/page-1", "XC7SH86GW125")</f>
        <v>XC7SH86GW125</v>
      </c>
      <c r="B16417" s="3" t="s">
        <v>93</v>
      </c>
      <c r="C16417" s="6">
        <v>300</v>
      </c>
      <c r="D16417" s="7">
        <v>0.43</v>
      </c>
    </row>
    <row r="16418" spans="1:4" x14ac:dyDescent="0.25">
      <c r="A16418" t="str">
        <f>HYPERLINK("https://www.773grp.com/globalSearch/XC7SHU04GW125/page-1", "XC7SHU04GW125")</f>
        <v>XC7SHU04GW125</v>
      </c>
      <c r="B16418" s="3" t="s">
        <v>93</v>
      </c>
      <c r="C16418" s="6">
        <v>6185</v>
      </c>
      <c r="D16418" s="7">
        <v>0.43</v>
      </c>
    </row>
    <row r="16419" spans="1:4" x14ac:dyDescent="0.25">
      <c r="A16419" t="str">
        <f>HYPERLINK("https://www.773grp.com/globalSearch/Z0103MN135/page-1", "Z0103MN135")</f>
        <v>Z0103MN135</v>
      </c>
      <c r="B16419" s="3" t="s">
        <v>93</v>
      </c>
      <c r="C16419" s="6">
        <v>52000</v>
      </c>
      <c r="D16419" s="7">
        <v>0.43</v>
      </c>
    </row>
    <row r="16420" spans="1:4" x14ac:dyDescent="0.25">
      <c r="A16420" t="str">
        <f>HYPERLINK("https://www.773grp.com/globalSearch/Z0103NN135/page-1", "Z0103NN135")</f>
        <v>Z0103NN135</v>
      </c>
      <c r="B16420" s="3" t="s">
        <v>93</v>
      </c>
      <c r="C16420" s="6">
        <v>12000</v>
      </c>
      <c r="D16420" s="7">
        <v>0.43</v>
      </c>
    </row>
    <row r="16421" spans="1:4" x14ac:dyDescent="0.25">
      <c r="A16421" t="str">
        <f>HYPERLINK("https://www.773grp.com/globalSearch/Z0109MN0135/page-1", "Z0109MN0135")</f>
        <v>Z0109MN0135</v>
      </c>
      <c r="B16421" s="3" t="s">
        <v>93</v>
      </c>
      <c r="C16421" s="6">
        <v>4000</v>
      </c>
      <c r="D16421" s="7">
        <v>0.43</v>
      </c>
    </row>
    <row r="16422" spans="1:4" x14ac:dyDescent="0.25">
      <c r="A16422" t="str">
        <f>HYPERLINK("https://www.773grp.com/globalSearch/Z0109MN135/page-1", "Z0109MN135")</f>
        <v>Z0109MN135</v>
      </c>
      <c r="B16422" s="3" t="s">
        <v>93</v>
      </c>
      <c r="C16422" s="6">
        <v>228000</v>
      </c>
      <c r="D16422" s="7">
        <v>0.43</v>
      </c>
    </row>
    <row r="16423" spans="1:4" x14ac:dyDescent="0.25">
      <c r="A16423" t="str">
        <f>HYPERLINK("https://www.773grp.com/globalSearch/1PS66SB17115/page-1", "1PS66SB17115")</f>
        <v>1PS66SB17115</v>
      </c>
      <c r="B16423" s="3" t="s">
        <v>93</v>
      </c>
      <c r="C16423" s="6">
        <v>12104</v>
      </c>
      <c r="D16423" s="7">
        <v>0.48</v>
      </c>
    </row>
    <row r="16424" spans="1:4" x14ac:dyDescent="0.25">
      <c r="A16424" t="str">
        <f>HYPERLINK("https://www.773grp.com/globalSearch/1PS79SB17115/page-1", "1PS79SB17115")</f>
        <v>1PS79SB17115</v>
      </c>
      <c r="B16424" s="3" t="s">
        <v>93</v>
      </c>
      <c r="C16424" s="6">
        <v>6000</v>
      </c>
      <c r="D16424" s="7">
        <v>0.48</v>
      </c>
    </row>
    <row r="16425" spans="1:4" x14ac:dyDescent="0.25">
      <c r="A16425" t="str">
        <f>HYPERLINK("https://www.773grp.com/globalSearch/74AHC132PW112/page-1", "74AHC132PW112")</f>
        <v>74AHC132PW112</v>
      </c>
      <c r="B16425" s="3" t="s">
        <v>93</v>
      </c>
      <c r="C16425" s="6">
        <v>3900</v>
      </c>
      <c r="D16425" s="7">
        <v>0.48</v>
      </c>
    </row>
    <row r="16426" spans="1:4" x14ac:dyDescent="0.25">
      <c r="A16426" t="str">
        <f>HYPERLINK("https://www.773grp.com/globalSearch/74AHC164BQ115/page-1", "74AHC164BQ115")</f>
        <v>74AHC164BQ115</v>
      </c>
      <c r="B16426" s="3" t="s">
        <v>93</v>
      </c>
      <c r="C16426" s="6">
        <v>8444</v>
      </c>
      <c r="D16426" s="7">
        <v>0.48</v>
      </c>
    </row>
    <row r="16427" spans="1:4" x14ac:dyDescent="0.25">
      <c r="A16427" t="str">
        <f>HYPERLINK("https://www.773grp.com/globalSearch/74AHC573PW118/page-1", "74AHC573PW118")</f>
        <v>74AHC573PW118</v>
      </c>
      <c r="B16427" s="3" t="s">
        <v>93</v>
      </c>
      <c r="C16427" s="6">
        <v>22699</v>
      </c>
      <c r="D16427" s="7">
        <v>0.48</v>
      </c>
    </row>
    <row r="16428" spans="1:4" x14ac:dyDescent="0.25">
      <c r="A16428" t="str">
        <f>HYPERLINK("https://www.773grp.com/globalSearch/74AHC574PW118/page-1", "74AHC574PW118")</f>
        <v>74AHC574PW118</v>
      </c>
      <c r="B16428" s="3" t="s">
        <v>93</v>
      </c>
      <c r="C16428" s="6">
        <v>2500</v>
      </c>
      <c r="D16428" s="7">
        <v>0.48</v>
      </c>
    </row>
    <row r="16429" spans="1:4" x14ac:dyDescent="0.25">
      <c r="A16429" t="str">
        <f>HYPERLINK("https://www.773grp.com/globalSearch/74AHC595D112/page-1", "74AHC595D112")</f>
        <v>74AHC595D112</v>
      </c>
      <c r="B16429" s="3" t="s">
        <v>93</v>
      </c>
      <c r="C16429" s="6">
        <v>3000</v>
      </c>
      <c r="D16429" s="7">
        <v>0.48</v>
      </c>
    </row>
    <row r="16430" spans="1:4" x14ac:dyDescent="0.25">
      <c r="A16430" t="str">
        <f>HYPERLINK("https://www.773grp.com/globalSearch/74AHC595D118/page-1", "74AHC595D118")</f>
        <v>74AHC595D118</v>
      </c>
      <c r="B16430" s="3" t="s">
        <v>93</v>
      </c>
      <c r="C16430" s="6">
        <v>7500</v>
      </c>
      <c r="D16430" s="7">
        <v>0.48</v>
      </c>
    </row>
    <row r="16431" spans="1:4" x14ac:dyDescent="0.25">
      <c r="A16431" t="str">
        <f>HYPERLINK("https://www.773grp.com/globalSearch/74AHCT125BQ115/page-1", "74AHCT125BQ115")</f>
        <v>74AHCT125BQ115</v>
      </c>
      <c r="B16431" s="3" t="s">
        <v>93</v>
      </c>
      <c r="C16431" s="6">
        <v>9000</v>
      </c>
      <c r="D16431" s="7">
        <v>0.48</v>
      </c>
    </row>
    <row r="16432" spans="1:4" x14ac:dyDescent="0.25">
      <c r="A16432" t="str">
        <f>HYPERLINK("https://www.773grp.com/globalSearch/74AHCT1G04GW165/page-1", "74AHCT1G04GW165")</f>
        <v>74AHCT1G04GW165</v>
      </c>
      <c r="B16432" s="3" t="s">
        <v>93</v>
      </c>
      <c r="C16432" s="6">
        <v>30000</v>
      </c>
      <c r="D16432" s="7">
        <v>0.48</v>
      </c>
    </row>
    <row r="16433" spans="1:4" x14ac:dyDescent="0.25">
      <c r="A16433" t="str">
        <f>HYPERLINK("https://www.773grp.com/globalSearch/74AHCT1G14GW165/page-1", "74AHCT1G14GW165")</f>
        <v>74AHCT1G14GW165</v>
      </c>
      <c r="B16433" s="3" t="s">
        <v>93</v>
      </c>
      <c r="C16433" s="6">
        <v>10000</v>
      </c>
      <c r="D16433" s="7">
        <v>0.48</v>
      </c>
    </row>
    <row r="16434" spans="1:4" x14ac:dyDescent="0.25">
      <c r="A16434" t="str">
        <f>HYPERLINK("https://www.773grp.com/globalSearch/74AHCT244PW112/page-1", "74AHCT244PW112")</f>
        <v>74AHCT244PW112</v>
      </c>
      <c r="B16434" s="3" t="s">
        <v>93</v>
      </c>
      <c r="C16434" s="6">
        <v>7500</v>
      </c>
      <c r="D16434" s="7">
        <v>0.48</v>
      </c>
    </row>
    <row r="16435" spans="1:4" x14ac:dyDescent="0.25">
      <c r="A16435" t="str">
        <f>HYPERLINK("https://www.773grp.com/globalSearch/74AHCT245PW118/page-1", "74AHCT245PW118")</f>
        <v>74AHCT245PW118</v>
      </c>
      <c r="B16435" s="3" t="s">
        <v>93</v>
      </c>
      <c r="C16435" s="6">
        <v>25000</v>
      </c>
      <c r="D16435" s="7">
        <v>0.48</v>
      </c>
    </row>
    <row r="16436" spans="1:4" x14ac:dyDescent="0.25">
      <c r="A16436" t="str">
        <f>HYPERLINK("https://www.773grp.com/globalSearch/74AHCT257D112/page-1", "74AHCT257D112")</f>
        <v>74AHCT257D112</v>
      </c>
      <c r="B16436" s="3" t="s">
        <v>93</v>
      </c>
      <c r="C16436" s="6">
        <v>1000</v>
      </c>
      <c r="D16436" s="7">
        <v>0.48</v>
      </c>
    </row>
    <row r="16437" spans="1:4" x14ac:dyDescent="0.25">
      <c r="A16437" t="str">
        <f>HYPERLINK("https://www.773grp.com/globalSearch/74AHCT273PW112/page-1", "74AHCT273PW112")</f>
        <v>74AHCT273PW112</v>
      </c>
      <c r="B16437" s="3" t="s">
        <v>93</v>
      </c>
      <c r="C16437" s="6">
        <v>1875</v>
      </c>
      <c r="D16437" s="7">
        <v>0.48</v>
      </c>
    </row>
    <row r="16438" spans="1:4" x14ac:dyDescent="0.25">
      <c r="A16438" t="str">
        <f>HYPERLINK("https://www.773grp.com/globalSearch/74AHCT273PW118/page-1", "74AHCT273PW118")</f>
        <v>74AHCT273PW118</v>
      </c>
      <c r="B16438" s="3" t="s">
        <v>93</v>
      </c>
      <c r="C16438" s="6">
        <v>13154</v>
      </c>
      <c r="D16438" s="7">
        <v>0.48</v>
      </c>
    </row>
    <row r="16439" spans="1:4" x14ac:dyDescent="0.25">
      <c r="A16439" t="str">
        <f>HYPERLINK("https://www.773grp.com/globalSearch/74AHCT373PW118/page-1", "74AHCT373PW118")</f>
        <v>74AHCT373PW118</v>
      </c>
      <c r="B16439" s="3" t="s">
        <v>93</v>
      </c>
      <c r="C16439" s="6">
        <v>42700</v>
      </c>
      <c r="D16439" s="7">
        <v>0.48</v>
      </c>
    </row>
    <row r="16440" spans="1:4" x14ac:dyDescent="0.25">
      <c r="A16440" t="str">
        <f>HYPERLINK("https://www.773grp.com/globalSearch/74AHCT374PW118/page-1", "74AHCT374PW118")</f>
        <v>74AHCT374PW118</v>
      </c>
      <c r="B16440" s="3" t="s">
        <v>93</v>
      </c>
      <c r="C16440" s="6">
        <v>5400</v>
      </c>
      <c r="D16440" s="7">
        <v>0.48</v>
      </c>
    </row>
    <row r="16441" spans="1:4" x14ac:dyDescent="0.25">
      <c r="A16441" t="str">
        <f>HYPERLINK("https://www.773grp.com/globalSearch/74AHCT541PW112/page-1", "74AHCT541PW112")</f>
        <v>74AHCT541PW112</v>
      </c>
      <c r="B16441" s="3" t="s">
        <v>93</v>
      </c>
      <c r="C16441" s="6">
        <v>4</v>
      </c>
      <c r="D16441" s="7">
        <v>0.48</v>
      </c>
    </row>
    <row r="16442" spans="1:4" x14ac:dyDescent="0.25">
      <c r="A16442" t="str">
        <f>HYPERLINK("https://www.773grp.com/globalSearch/74AHCT541PW118/page-1", "74AHCT541PW118")</f>
        <v>74AHCT541PW118</v>
      </c>
      <c r="B16442" s="3" t="s">
        <v>93</v>
      </c>
      <c r="C16442" s="6">
        <v>90000</v>
      </c>
      <c r="D16442" s="7">
        <v>0.48</v>
      </c>
    </row>
    <row r="16443" spans="1:4" x14ac:dyDescent="0.25">
      <c r="A16443" t="str">
        <f>HYPERLINK("https://www.773grp.com/globalSearch/74AHCT573PW118/page-1", "74AHCT573PW118")</f>
        <v>74AHCT573PW118</v>
      </c>
      <c r="B16443" s="3" t="s">
        <v>93</v>
      </c>
      <c r="C16443" s="6">
        <v>5000</v>
      </c>
      <c r="D16443" s="7">
        <v>0.48</v>
      </c>
    </row>
    <row r="16444" spans="1:4" x14ac:dyDescent="0.25">
      <c r="A16444" t="str">
        <f>HYPERLINK("https://www.773grp.com/globalSearch/74AHCT574PW112/page-1", "74AHCT574PW112")</f>
        <v>74AHCT574PW112</v>
      </c>
      <c r="B16444" s="3" t="s">
        <v>93</v>
      </c>
      <c r="C16444" s="6">
        <v>7500</v>
      </c>
      <c r="D16444" s="7">
        <v>0.48</v>
      </c>
    </row>
    <row r="16445" spans="1:4" x14ac:dyDescent="0.25">
      <c r="A16445" t="str">
        <f>HYPERLINK("https://www.773grp.com/globalSearch/74AHCT595D118/page-1", "74AHCT595D118")</f>
        <v>74AHCT595D118</v>
      </c>
      <c r="B16445" s="3" t="s">
        <v>93</v>
      </c>
      <c r="C16445" s="6">
        <v>2500</v>
      </c>
      <c r="D16445" s="7">
        <v>0.48</v>
      </c>
    </row>
    <row r="16446" spans="1:4" x14ac:dyDescent="0.25">
      <c r="A16446" t="str">
        <f>HYPERLINK("https://www.773grp.com/globalSearch/74ALVC00D112/page-1", "74ALVC00D112")</f>
        <v>74ALVC00D112</v>
      </c>
      <c r="B16446" s="3" t="s">
        <v>93</v>
      </c>
      <c r="C16446" s="6">
        <v>3000</v>
      </c>
      <c r="D16446" s="7">
        <v>0.48</v>
      </c>
    </row>
    <row r="16447" spans="1:4" x14ac:dyDescent="0.25">
      <c r="A16447" t="str">
        <f>HYPERLINK("https://www.773grp.com/globalSearch/74ALVC00PW118/page-1", "74ALVC00PW118")</f>
        <v>74ALVC00PW118</v>
      </c>
      <c r="B16447" s="3" t="s">
        <v>93</v>
      </c>
      <c r="C16447" s="6">
        <v>5000</v>
      </c>
      <c r="D16447" s="7">
        <v>0.48</v>
      </c>
    </row>
    <row r="16448" spans="1:4" x14ac:dyDescent="0.25">
      <c r="A16448" t="str">
        <f>HYPERLINK("https://www.773grp.com/globalSearch/74ALVC02D112/page-1", "74ALVC02D112")</f>
        <v>74ALVC02D112</v>
      </c>
      <c r="B16448" s="3" t="s">
        <v>93</v>
      </c>
      <c r="C16448" s="6">
        <v>1140</v>
      </c>
      <c r="D16448" s="7">
        <v>0.48</v>
      </c>
    </row>
    <row r="16449" spans="1:4" x14ac:dyDescent="0.25">
      <c r="A16449" t="str">
        <f>HYPERLINK("https://www.773grp.com/globalSearch/74ALVC02D118/page-1", "74ALVC02D118")</f>
        <v>74ALVC02D118</v>
      </c>
      <c r="B16449" s="3" t="s">
        <v>93</v>
      </c>
      <c r="C16449" s="6">
        <v>7500</v>
      </c>
      <c r="D16449" s="7">
        <v>0.48</v>
      </c>
    </row>
    <row r="16450" spans="1:4" x14ac:dyDescent="0.25">
      <c r="A16450" t="str">
        <f>HYPERLINK("https://www.773grp.com/globalSearch/74ALVC02PW118/page-1", "74ALVC02PW118")</f>
        <v>74ALVC02PW118</v>
      </c>
      <c r="B16450" s="3" t="s">
        <v>93</v>
      </c>
      <c r="C16450" s="6">
        <v>5000</v>
      </c>
      <c r="D16450" s="7">
        <v>0.48</v>
      </c>
    </row>
    <row r="16451" spans="1:4" x14ac:dyDescent="0.25">
      <c r="A16451" t="str">
        <f>HYPERLINK("https://www.773grp.com/globalSearch/74ALVC04D112/page-1", "74ALVC04D112")</f>
        <v>74ALVC04D112</v>
      </c>
      <c r="B16451" s="3" t="s">
        <v>93</v>
      </c>
      <c r="C16451" s="6">
        <v>4454</v>
      </c>
      <c r="D16451" s="7">
        <v>0.48</v>
      </c>
    </row>
    <row r="16452" spans="1:4" x14ac:dyDescent="0.25">
      <c r="A16452" t="str">
        <f>HYPERLINK("https://www.773grp.com/globalSearch/74ALVC08D118/page-1", "74ALVC08D118")</f>
        <v>74ALVC08D118</v>
      </c>
      <c r="B16452" s="3" t="s">
        <v>93</v>
      </c>
      <c r="C16452" s="6">
        <v>1500</v>
      </c>
      <c r="D16452" s="7">
        <v>0.48</v>
      </c>
    </row>
    <row r="16453" spans="1:4" x14ac:dyDescent="0.25">
      <c r="A16453" t="str">
        <f>HYPERLINK("https://www.773grp.com/globalSearch/74ALVC08PW118/page-1", "74ALVC08PW118")</f>
        <v>74ALVC08PW118</v>
      </c>
      <c r="B16453" s="3" t="s">
        <v>93</v>
      </c>
      <c r="C16453" s="6">
        <v>2675</v>
      </c>
      <c r="D16453" s="7">
        <v>0.48</v>
      </c>
    </row>
    <row r="16454" spans="1:4" x14ac:dyDescent="0.25">
      <c r="A16454" t="str">
        <f>HYPERLINK("https://www.773grp.com/globalSearch/74ALVC14D112/page-1", "74ALVC14D112")</f>
        <v>74ALVC14D112</v>
      </c>
      <c r="B16454" s="3" t="s">
        <v>93</v>
      </c>
      <c r="C16454" s="6">
        <v>6780</v>
      </c>
      <c r="D16454" s="7">
        <v>0.48</v>
      </c>
    </row>
    <row r="16455" spans="1:4" x14ac:dyDescent="0.25">
      <c r="A16455" t="str">
        <f>HYPERLINK("https://www.773grp.com/globalSearch/74ALVC14PW118/page-1", "74ALVC14PW118")</f>
        <v>74ALVC14PW118</v>
      </c>
      <c r="B16455" s="3" t="s">
        <v>93</v>
      </c>
      <c r="C16455" s="6">
        <v>4307</v>
      </c>
      <c r="D16455" s="7">
        <v>0.48</v>
      </c>
    </row>
    <row r="16456" spans="1:4" x14ac:dyDescent="0.25">
      <c r="A16456" t="str">
        <f>HYPERLINK("https://www.773grp.com/globalSearch/74ALVC32PW112/page-1", "74ALVC32PW112")</f>
        <v>74ALVC32PW112</v>
      </c>
      <c r="B16456" s="3" t="s">
        <v>93</v>
      </c>
      <c r="C16456" s="6">
        <v>4800</v>
      </c>
      <c r="D16456" s="7">
        <v>0.48</v>
      </c>
    </row>
    <row r="16457" spans="1:4" x14ac:dyDescent="0.25">
      <c r="A16457" t="str">
        <f>HYPERLINK("https://www.773grp.com/globalSearch/74AUP1G58GW125/page-1", "74AUP1G58GW125")</f>
        <v>74AUP1G58GW125</v>
      </c>
      <c r="B16457" s="3" t="s">
        <v>93</v>
      </c>
      <c r="C16457" s="6">
        <v>30000</v>
      </c>
      <c r="D16457" s="7">
        <v>0.48</v>
      </c>
    </row>
    <row r="16458" spans="1:4" x14ac:dyDescent="0.25">
      <c r="A16458" t="str">
        <f>HYPERLINK("https://www.773grp.com/globalSearch/74AVC1T45GM115/page-1", "74AVC1T45GM115")</f>
        <v>74AVC1T45GM115</v>
      </c>
      <c r="B16458" s="3" t="s">
        <v>93</v>
      </c>
      <c r="C16458" s="6">
        <v>5000</v>
      </c>
      <c r="D16458" s="7">
        <v>0.48</v>
      </c>
    </row>
    <row r="16459" spans="1:4" x14ac:dyDescent="0.25">
      <c r="A16459" t="str">
        <f>HYPERLINK("https://www.773grp.com/globalSearch/74AVC2T45GF115/page-1", "74AVC2T45GF115")</f>
        <v>74AVC2T45GF115</v>
      </c>
      <c r="B16459" s="3" t="s">
        <v>93</v>
      </c>
      <c r="C16459" s="6">
        <v>5000</v>
      </c>
      <c r="D16459" s="7">
        <v>0.48</v>
      </c>
    </row>
    <row r="16460" spans="1:4" x14ac:dyDescent="0.25">
      <c r="A16460" t="str">
        <f>HYPERLINK("https://www.773grp.com/globalSearch/74AVC2T45GT115/page-1", "74AVC2T45GT115")</f>
        <v>74AVC2T45GT115</v>
      </c>
      <c r="B16460" s="3" t="s">
        <v>93</v>
      </c>
      <c r="C16460" s="6">
        <v>123197</v>
      </c>
      <c r="D16460" s="7">
        <v>0.48</v>
      </c>
    </row>
    <row r="16461" spans="1:4" x14ac:dyDescent="0.25">
      <c r="A16461" t="str">
        <f>HYPERLINK("https://www.773grp.com/globalSearch/74AVCH2T45GT115/page-1", "74AVCH2T45GT115")</f>
        <v>74AVCH2T45GT115</v>
      </c>
      <c r="B16461" s="3" t="s">
        <v>93</v>
      </c>
      <c r="C16461" s="6">
        <v>2676</v>
      </c>
      <c r="D16461" s="7">
        <v>0.48</v>
      </c>
    </row>
    <row r="16462" spans="1:4" x14ac:dyDescent="0.25">
      <c r="A16462" t="str">
        <f>HYPERLINK("https://www.773grp.com/globalSearch/74HC08BQ-Q100115/page-1", "74HC08BQ-Q100115")</f>
        <v>74HC08BQ-Q100115</v>
      </c>
      <c r="B16462" s="3" t="s">
        <v>93</v>
      </c>
      <c r="C16462" s="6">
        <v>3000</v>
      </c>
      <c r="D16462" s="7">
        <v>0.48</v>
      </c>
    </row>
    <row r="16463" spans="1:4" x14ac:dyDescent="0.25">
      <c r="A16463" t="str">
        <f>HYPERLINK("https://www.773grp.com/globalSearch/74HC11PW112/page-1", "74HC11PW112")</f>
        <v>74HC11PW112</v>
      </c>
      <c r="B16463" s="3" t="s">
        <v>93</v>
      </c>
      <c r="C16463" s="6">
        <v>2400</v>
      </c>
      <c r="D16463" s="7">
        <v>0.48</v>
      </c>
    </row>
    <row r="16464" spans="1:4" x14ac:dyDescent="0.25">
      <c r="A16464" t="str">
        <f>HYPERLINK("https://www.773grp.com/globalSearch/74HC123D652/page-1", "74HC123D652")</f>
        <v>74HC123D652</v>
      </c>
      <c r="B16464" s="3" t="s">
        <v>93</v>
      </c>
      <c r="C16464" s="6">
        <v>4000</v>
      </c>
      <c r="D16464" s="7">
        <v>0.48</v>
      </c>
    </row>
    <row r="16465" spans="1:4" x14ac:dyDescent="0.25">
      <c r="A16465" t="str">
        <f>HYPERLINK("https://www.773grp.com/globalSearch/74HC123D653/page-1", "74HC123D653")</f>
        <v>74HC123D653</v>
      </c>
      <c r="B16465" s="3" t="s">
        <v>93</v>
      </c>
      <c r="C16465" s="6">
        <v>62500</v>
      </c>
      <c r="D16465" s="7">
        <v>0.48</v>
      </c>
    </row>
    <row r="16466" spans="1:4" x14ac:dyDescent="0.25">
      <c r="A16466" t="str">
        <f>HYPERLINK("https://www.773grp.com/globalSearch/74HC126D652/page-1", "74HC126D652")</f>
        <v>74HC126D652</v>
      </c>
      <c r="B16466" s="3" t="s">
        <v>93</v>
      </c>
      <c r="C16466" s="6">
        <v>14228</v>
      </c>
      <c r="D16466" s="7">
        <v>0.48</v>
      </c>
    </row>
    <row r="16467" spans="1:4" x14ac:dyDescent="0.25">
      <c r="A16467" t="str">
        <f>HYPERLINK("https://www.773grp.com/globalSearch/74HC126D653/page-1", "74HC126D653")</f>
        <v>74HC126D653</v>
      </c>
      <c r="B16467" s="3" t="s">
        <v>93</v>
      </c>
      <c r="C16467" s="6">
        <v>37500</v>
      </c>
      <c r="D16467" s="7">
        <v>0.48</v>
      </c>
    </row>
    <row r="16468" spans="1:4" x14ac:dyDescent="0.25">
      <c r="A16468" t="str">
        <f>HYPERLINK("https://www.773grp.com/globalSearch/74HC126PW118/page-1", "74HC126PW118")</f>
        <v>74HC126PW118</v>
      </c>
      <c r="B16468" s="3" t="s">
        <v>93</v>
      </c>
      <c r="C16468" s="6">
        <v>10000</v>
      </c>
      <c r="D16468" s="7">
        <v>0.48</v>
      </c>
    </row>
    <row r="16469" spans="1:4" x14ac:dyDescent="0.25">
      <c r="A16469" t="str">
        <f>HYPERLINK("https://www.773grp.com/globalSearch/74HC139D652/page-1", "74HC139D652")</f>
        <v>74HC139D652</v>
      </c>
      <c r="B16469" s="3" t="s">
        <v>93</v>
      </c>
      <c r="C16469" s="6">
        <v>9000</v>
      </c>
      <c r="D16469" s="7">
        <v>0.48</v>
      </c>
    </row>
    <row r="16470" spans="1:4" x14ac:dyDescent="0.25">
      <c r="A16470" t="str">
        <f>HYPERLINK("https://www.773grp.com/globalSearch/74HC151D653/page-1", "74HC151D653")</f>
        <v>74HC151D653</v>
      </c>
      <c r="B16470" s="3" t="s">
        <v>93</v>
      </c>
      <c r="C16470" s="6">
        <v>7500</v>
      </c>
      <c r="D16470" s="7">
        <v>0.48</v>
      </c>
    </row>
    <row r="16471" spans="1:4" x14ac:dyDescent="0.25">
      <c r="A16471" t="str">
        <f>HYPERLINK("https://www.773grp.com/globalSearch/74HC153D652/page-1", "74HC153D652")</f>
        <v>74HC153D652</v>
      </c>
      <c r="B16471" s="3" t="s">
        <v>93</v>
      </c>
      <c r="C16471" s="6">
        <v>4915</v>
      </c>
      <c r="D16471" s="7">
        <v>0.48</v>
      </c>
    </row>
    <row r="16472" spans="1:4" x14ac:dyDescent="0.25">
      <c r="A16472" t="str">
        <f>HYPERLINK("https://www.773grp.com/globalSearch/74HC153D653/page-1", "74HC153D653")</f>
        <v>74HC153D653</v>
      </c>
      <c r="B16472" s="3" t="s">
        <v>93</v>
      </c>
      <c r="C16472" s="6">
        <v>20365</v>
      </c>
      <c r="D16472" s="7">
        <v>0.48</v>
      </c>
    </row>
    <row r="16473" spans="1:4" x14ac:dyDescent="0.25">
      <c r="A16473" t="str">
        <f>HYPERLINK("https://www.773grp.com/globalSearch/74HC157D652/page-1", "74HC157D652")</f>
        <v>74HC157D652</v>
      </c>
      <c r="B16473" s="3" t="s">
        <v>93</v>
      </c>
      <c r="C16473" s="6">
        <v>18626</v>
      </c>
      <c r="D16473" s="7">
        <v>0.48</v>
      </c>
    </row>
    <row r="16474" spans="1:4" x14ac:dyDescent="0.25">
      <c r="A16474" t="str">
        <f>HYPERLINK("https://www.773grp.com/globalSearch/74HC157D653/page-1", "74HC157D653")</f>
        <v>74HC157D653</v>
      </c>
      <c r="B16474" s="3" t="s">
        <v>93</v>
      </c>
      <c r="C16474" s="6">
        <v>12500</v>
      </c>
      <c r="D16474" s="7">
        <v>0.48</v>
      </c>
    </row>
    <row r="16475" spans="1:4" x14ac:dyDescent="0.25">
      <c r="A16475" t="str">
        <f>HYPERLINK("https://www.773grp.com/globalSearch/74HC163D653/page-1", "74HC163D653")</f>
        <v>74HC163D653</v>
      </c>
      <c r="B16475" s="3" t="s">
        <v>93</v>
      </c>
      <c r="C16475" s="6">
        <v>12713</v>
      </c>
      <c r="D16475" s="7">
        <v>0.48</v>
      </c>
    </row>
    <row r="16476" spans="1:4" x14ac:dyDescent="0.25">
      <c r="A16476" t="str">
        <f>HYPERLINK("https://www.773grp.com/globalSearch/74HC164D652/page-1", "74HC164D652")</f>
        <v>74HC164D652</v>
      </c>
      <c r="B16476" s="3" t="s">
        <v>93</v>
      </c>
      <c r="C16476" s="6">
        <v>30780</v>
      </c>
      <c r="D16476" s="7">
        <v>0.48</v>
      </c>
    </row>
    <row r="16477" spans="1:4" x14ac:dyDescent="0.25">
      <c r="A16477" t="str">
        <f>HYPERLINK("https://www.773grp.com/globalSearch/74HC164D653/page-1", "74HC164D653")</f>
        <v>74HC164D653</v>
      </c>
      <c r="B16477" s="3" t="s">
        <v>93</v>
      </c>
      <c r="C16477" s="6">
        <v>27500</v>
      </c>
      <c r="D16477" s="7">
        <v>0.48</v>
      </c>
    </row>
    <row r="16478" spans="1:4" x14ac:dyDescent="0.25">
      <c r="A16478" t="str">
        <f>HYPERLINK("https://www.773grp.com/globalSearch/74HC165D652/page-1", "74HC165D652")</f>
        <v>74HC165D652</v>
      </c>
      <c r="B16478" s="3" t="s">
        <v>93</v>
      </c>
      <c r="C16478" s="6">
        <v>22000</v>
      </c>
      <c r="D16478" s="7">
        <v>0.48</v>
      </c>
    </row>
    <row r="16479" spans="1:4" x14ac:dyDescent="0.25">
      <c r="A16479" t="str">
        <f>HYPERLINK("https://www.773grp.com/globalSearch/74HC165D653/page-1", "74HC165D653")</f>
        <v>74HC165D653</v>
      </c>
      <c r="B16479" s="3" t="s">
        <v>93</v>
      </c>
      <c r="C16479" s="6">
        <v>592500</v>
      </c>
      <c r="D16479" s="7">
        <v>0.48</v>
      </c>
    </row>
    <row r="16480" spans="1:4" x14ac:dyDescent="0.25">
      <c r="A16480" t="str">
        <f>HYPERLINK("https://www.773grp.com/globalSearch/74HC1G14GW165/page-1", "74HC1G14GW165")</f>
        <v>74HC1G14GW165</v>
      </c>
      <c r="B16480" s="3" t="s">
        <v>93</v>
      </c>
      <c r="C16480" s="6">
        <v>10000</v>
      </c>
      <c r="D16480" s="7">
        <v>0.48</v>
      </c>
    </row>
    <row r="16481" spans="1:4" x14ac:dyDescent="0.25">
      <c r="A16481" t="str">
        <f>HYPERLINK("https://www.773grp.com/globalSearch/74HC21D652/page-1", "74HC21D652")</f>
        <v>74HC21D652</v>
      </c>
      <c r="B16481" s="3" t="s">
        <v>93</v>
      </c>
      <c r="C16481" s="6">
        <v>13680</v>
      </c>
      <c r="D16481" s="7">
        <v>0.48</v>
      </c>
    </row>
    <row r="16482" spans="1:4" x14ac:dyDescent="0.25">
      <c r="A16482" t="str">
        <f>HYPERLINK("https://www.773grp.com/globalSearch/74HC21D653/page-1", "74HC21D653")</f>
        <v>74HC21D653</v>
      </c>
      <c r="B16482" s="3" t="s">
        <v>93</v>
      </c>
      <c r="C16482" s="6">
        <v>20000</v>
      </c>
      <c r="D16482" s="7">
        <v>0.48</v>
      </c>
    </row>
    <row r="16483" spans="1:4" x14ac:dyDescent="0.25">
      <c r="A16483" t="str">
        <f>HYPERLINK("https://www.773grp.com/globalSearch/74HC259D652/page-1", "74HC259D652")</f>
        <v>74HC259D652</v>
      </c>
      <c r="B16483" s="3" t="s">
        <v>93</v>
      </c>
      <c r="C16483" s="6">
        <v>6000</v>
      </c>
      <c r="D16483" s="7">
        <v>0.48</v>
      </c>
    </row>
    <row r="16484" spans="1:4" x14ac:dyDescent="0.25">
      <c r="A16484" t="str">
        <f>HYPERLINK("https://www.773grp.com/globalSearch/74HC259D653/page-1", "74HC259D653")</f>
        <v>74HC259D653</v>
      </c>
      <c r="B16484" s="3" t="s">
        <v>93</v>
      </c>
      <c r="C16484" s="6">
        <v>2500</v>
      </c>
      <c r="D16484" s="7">
        <v>0.48</v>
      </c>
    </row>
    <row r="16485" spans="1:4" x14ac:dyDescent="0.25">
      <c r="A16485" t="str">
        <f>HYPERLINK("https://www.773grp.com/globalSearch/74HC30D652/page-1", "74HC30D652")</f>
        <v>74HC30D652</v>
      </c>
      <c r="B16485" s="3" t="s">
        <v>93</v>
      </c>
      <c r="C16485" s="6">
        <v>16814</v>
      </c>
      <c r="D16485" s="7">
        <v>0.48</v>
      </c>
    </row>
    <row r="16486" spans="1:4" x14ac:dyDescent="0.25">
      <c r="A16486" t="str">
        <f>HYPERLINK("https://www.773grp.com/globalSearch/74HC30PW118/page-1", "74HC30PW118")</f>
        <v>74HC30PW118</v>
      </c>
      <c r="B16486" s="3" t="s">
        <v>93</v>
      </c>
      <c r="C16486" s="6">
        <v>2660</v>
      </c>
      <c r="D16486" s="7">
        <v>0.48</v>
      </c>
    </row>
    <row r="16487" spans="1:4" x14ac:dyDescent="0.25">
      <c r="A16487" t="str">
        <f>HYPERLINK("https://www.773grp.com/globalSearch/74HC393D652/page-1", "74HC393D652")</f>
        <v>74HC393D652</v>
      </c>
      <c r="B16487" s="3" t="s">
        <v>93</v>
      </c>
      <c r="C16487" s="6">
        <v>2280</v>
      </c>
      <c r="D16487" s="7">
        <v>0.48</v>
      </c>
    </row>
    <row r="16488" spans="1:4" x14ac:dyDescent="0.25">
      <c r="A16488" t="str">
        <f>HYPERLINK("https://www.773grp.com/globalSearch/74HC4051D653/page-1", "74HC4051D653")</f>
        <v>74HC4051D653</v>
      </c>
      <c r="B16488" s="3" t="s">
        <v>93</v>
      </c>
      <c r="C16488" s="6">
        <v>5000</v>
      </c>
      <c r="D16488" s="7">
        <v>0.48</v>
      </c>
    </row>
    <row r="16489" spans="1:4" x14ac:dyDescent="0.25">
      <c r="A16489" t="str">
        <f>HYPERLINK("https://www.773grp.com/globalSearch/74HC4051PW112/page-1", "74HC4051PW112")</f>
        <v>74HC4051PW112</v>
      </c>
      <c r="B16489" s="3" t="s">
        <v>93</v>
      </c>
      <c r="C16489" s="6">
        <v>14420</v>
      </c>
      <c r="D16489" s="7">
        <v>0.48</v>
      </c>
    </row>
    <row r="16490" spans="1:4" x14ac:dyDescent="0.25">
      <c r="A16490" t="str">
        <f>HYPERLINK("https://www.773grp.com/globalSearch/74HC4051PW118/page-1", "74HC4051PW118")</f>
        <v>74HC4051PW118</v>
      </c>
      <c r="B16490" s="3" t="s">
        <v>93</v>
      </c>
      <c r="C16490" s="6">
        <v>6259</v>
      </c>
      <c r="D16490" s="7">
        <v>0.48</v>
      </c>
    </row>
    <row r="16491" spans="1:4" x14ac:dyDescent="0.25">
      <c r="A16491" t="str">
        <f>HYPERLINK("https://www.773grp.com/globalSearch/74HC4053D652/page-1", "74HC4053D652")</f>
        <v>74HC4053D652</v>
      </c>
      <c r="B16491" s="3" t="s">
        <v>93</v>
      </c>
      <c r="C16491" s="6">
        <v>30000</v>
      </c>
      <c r="D16491" s="7">
        <v>0.48</v>
      </c>
    </row>
    <row r="16492" spans="1:4" x14ac:dyDescent="0.25">
      <c r="A16492" t="str">
        <f>HYPERLINK("https://www.773grp.com/globalSearch/74HC4053D653/page-1", "74HC4053D653")</f>
        <v>74HC4053D653</v>
      </c>
      <c r="B16492" s="3" t="s">
        <v>93</v>
      </c>
      <c r="C16492" s="6">
        <v>57500</v>
      </c>
      <c r="D16492" s="7">
        <v>0.48</v>
      </c>
    </row>
    <row r="16493" spans="1:4" x14ac:dyDescent="0.25">
      <c r="A16493" t="str">
        <f>HYPERLINK("https://www.773grp.com/globalSearch/74HC595D112/page-1", "74HC595D112")</f>
        <v>74HC595D112</v>
      </c>
      <c r="B16493" s="3" t="s">
        <v>93</v>
      </c>
      <c r="C16493" s="6">
        <v>50000</v>
      </c>
      <c r="D16493" s="7">
        <v>0.48</v>
      </c>
    </row>
    <row r="16494" spans="1:4" x14ac:dyDescent="0.25">
      <c r="A16494" t="str">
        <f>HYPERLINK("https://www.773grp.com/globalSearch/74HC595D118/page-1", "74HC595D118")</f>
        <v>74HC595D118</v>
      </c>
      <c r="B16494" s="3" t="s">
        <v>93</v>
      </c>
      <c r="C16494" s="6">
        <v>4370</v>
      </c>
      <c r="D16494" s="7">
        <v>0.48</v>
      </c>
    </row>
    <row r="16495" spans="1:4" x14ac:dyDescent="0.25">
      <c r="A16495" t="str">
        <f>HYPERLINK("https://www.773grp.com/globalSearch/74HCT126D652/page-1", "74HCT126D652")</f>
        <v>74HCT126D652</v>
      </c>
      <c r="B16495" s="3" t="s">
        <v>93</v>
      </c>
      <c r="C16495" s="6">
        <v>14644</v>
      </c>
      <c r="D16495" s="7">
        <v>0.48</v>
      </c>
    </row>
    <row r="16496" spans="1:4" x14ac:dyDescent="0.25">
      <c r="A16496" t="str">
        <f>HYPERLINK("https://www.773grp.com/globalSearch/74HCT126D653/page-1", "74HCT126D653")</f>
        <v>74HCT126D653</v>
      </c>
      <c r="B16496" s="3" t="s">
        <v>93</v>
      </c>
      <c r="C16496" s="6">
        <v>2500</v>
      </c>
      <c r="D16496" s="7">
        <v>0.48</v>
      </c>
    </row>
    <row r="16497" spans="1:4" x14ac:dyDescent="0.25">
      <c r="A16497" t="str">
        <f>HYPERLINK("https://www.773grp.com/globalSearch/74HCT138BQ115/page-1", "74HCT138BQ115")</f>
        <v>74HCT138BQ115</v>
      </c>
      <c r="B16497" s="3" t="s">
        <v>93</v>
      </c>
      <c r="C16497" s="6">
        <v>2000</v>
      </c>
      <c r="D16497" s="7">
        <v>0.48</v>
      </c>
    </row>
    <row r="16498" spans="1:4" x14ac:dyDescent="0.25">
      <c r="A16498" t="str">
        <f>HYPERLINK("https://www.773grp.com/globalSearch/74HCT1G08GW165/page-1", "74HCT1G08GW165")</f>
        <v>74HCT1G08GW165</v>
      </c>
      <c r="B16498" s="3" t="s">
        <v>93</v>
      </c>
      <c r="C16498" s="6">
        <v>10000</v>
      </c>
      <c r="D16498" s="7">
        <v>0.48</v>
      </c>
    </row>
    <row r="16499" spans="1:4" x14ac:dyDescent="0.25">
      <c r="A16499" t="str">
        <f>HYPERLINK("https://www.773grp.com/globalSearch/74HCT2G125DP125/page-1", "74HCT2G125DP125")</f>
        <v>74HCT2G125DP125</v>
      </c>
      <c r="B16499" s="3" t="s">
        <v>93</v>
      </c>
      <c r="C16499" s="6">
        <v>6000</v>
      </c>
      <c r="D16499" s="7">
        <v>0.48</v>
      </c>
    </row>
    <row r="16500" spans="1:4" x14ac:dyDescent="0.25">
      <c r="A16500" t="str">
        <f>HYPERLINK("https://www.773grp.com/globalSearch/74HCT2G126DP125/page-1", "74HCT2G126DP125")</f>
        <v>74HCT2G126DP125</v>
      </c>
      <c r="B16500" s="3" t="s">
        <v>93</v>
      </c>
      <c r="C16500" s="6">
        <v>275905</v>
      </c>
      <c r="D16500" s="7">
        <v>0.48</v>
      </c>
    </row>
    <row r="16501" spans="1:4" x14ac:dyDescent="0.25">
      <c r="A16501" t="str">
        <f>HYPERLINK("https://www.773grp.com/globalSearch/74HCT30D652/page-1", "74HCT30D652")</f>
        <v>74HCT30D652</v>
      </c>
      <c r="B16501" s="3" t="s">
        <v>93</v>
      </c>
      <c r="C16501" s="6">
        <v>5700</v>
      </c>
      <c r="D16501" s="7">
        <v>0.48</v>
      </c>
    </row>
    <row r="16502" spans="1:4" x14ac:dyDescent="0.25">
      <c r="A16502" t="str">
        <f>HYPERLINK("https://www.773grp.com/globalSearch/74HCT30D653/page-1", "74HCT30D653")</f>
        <v>74HCT30D653</v>
      </c>
      <c r="B16502" s="3" t="s">
        <v>93</v>
      </c>
      <c r="C16502" s="6">
        <v>7500</v>
      </c>
      <c r="D16502" s="7">
        <v>0.48</v>
      </c>
    </row>
    <row r="16503" spans="1:4" x14ac:dyDescent="0.25">
      <c r="A16503" t="str">
        <f>HYPERLINK("https://www.773grp.com/globalSearch/74HCT4053D112/page-1", "74HCT4053D112")</f>
        <v>74HCT4053D112</v>
      </c>
      <c r="B16503" s="3" t="s">
        <v>93</v>
      </c>
      <c r="C16503" s="6">
        <v>8000</v>
      </c>
      <c r="D16503" s="7">
        <v>0.48</v>
      </c>
    </row>
    <row r="16504" spans="1:4" x14ac:dyDescent="0.25">
      <c r="A16504" t="str">
        <f>HYPERLINK("https://www.773grp.com/globalSearch/74HCT4053D118/page-1", "74HCT4053D118")</f>
        <v>74HCT4053D118</v>
      </c>
      <c r="B16504" s="3" t="s">
        <v>93</v>
      </c>
      <c r="C16504" s="6">
        <v>7500</v>
      </c>
      <c r="D16504" s="7">
        <v>0.48</v>
      </c>
    </row>
    <row r="16505" spans="1:4" x14ac:dyDescent="0.25">
      <c r="A16505" t="str">
        <f>HYPERLINK("https://www.773grp.com/globalSearch/74LV00D112/page-1", "74LV00D112")</f>
        <v>74LV00D112</v>
      </c>
      <c r="B16505" s="3" t="s">
        <v>93</v>
      </c>
      <c r="C16505" s="6">
        <v>3343</v>
      </c>
      <c r="D16505" s="7">
        <v>0.48</v>
      </c>
    </row>
    <row r="16506" spans="1:4" x14ac:dyDescent="0.25">
      <c r="A16506" t="str">
        <f>HYPERLINK("https://www.773grp.com/globalSearch/74LV00PW118/page-1", "74LV00PW118")</f>
        <v>74LV00PW118</v>
      </c>
      <c r="B16506" s="3" t="s">
        <v>93</v>
      </c>
      <c r="C16506" s="6">
        <v>2500</v>
      </c>
      <c r="D16506" s="7">
        <v>0.48</v>
      </c>
    </row>
    <row r="16507" spans="1:4" x14ac:dyDescent="0.25">
      <c r="A16507" t="str">
        <f>HYPERLINK("https://www.773grp.com/globalSearch/74LV02D112/page-1", "74LV02D112")</f>
        <v>74LV02D112</v>
      </c>
      <c r="B16507" s="3" t="s">
        <v>93</v>
      </c>
      <c r="C16507" s="6">
        <v>5700</v>
      </c>
      <c r="D16507" s="7">
        <v>0.48</v>
      </c>
    </row>
    <row r="16508" spans="1:4" x14ac:dyDescent="0.25">
      <c r="A16508" t="str">
        <f>HYPERLINK("https://www.773grp.com/globalSearch/74LV03D118/page-1", "74LV03D118")</f>
        <v>74LV03D118</v>
      </c>
      <c r="B16508" s="3" t="s">
        <v>93</v>
      </c>
      <c r="C16508" s="6">
        <v>17500</v>
      </c>
      <c r="D16508" s="7">
        <v>0.48</v>
      </c>
    </row>
    <row r="16509" spans="1:4" x14ac:dyDescent="0.25">
      <c r="A16509" t="str">
        <f>HYPERLINK("https://www.773grp.com/globalSearch/74LV04BQ115/page-1", "74LV04BQ115")</f>
        <v>74LV04BQ115</v>
      </c>
      <c r="B16509" s="3" t="s">
        <v>93</v>
      </c>
      <c r="C16509" s="6">
        <v>300</v>
      </c>
      <c r="D16509" s="7">
        <v>0.48</v>
      </c>
    </row>
    <row r="16510" spans="1:4" x14ac:dyDescent="0.25">
      <c r="A16510" t="str">
        <f>HYPERLINK("https://www.773grp.com/globalSearch/74LV04D118/page-1", "74LV04D118")</f>
        <v>74LV04D118</v>
      </c>
      <c r="B16510" s="3" t="s">
        <v>93</v>
      </c>
      <c r="C16510" s="6">
        <v>165</v>
      </c>
      <c r="D16510" s="7">
        <v>0.48</v>
      </c>
    </row>
    <row r="16511" spans="1:4" x14ac:dyDescent="0.25">
      <c r="A16511" t="str">
        <f>HYPERLINK("https://www.773grp.com/globalSearch/74LV04PW118/page-1", "74LV04PW118")</f>
        <v>74LV04PW118</v>
      </c>
      <c r="B16511" s="3" t="s">
        <v>93</v>
      </c>
      <c r="C16511" s="6">
        <v>7500</v>
      </c>
      <c r="D16511" s="7">
        <v>0.48</v>
      </c>
    </row>
    <row r="16512" spans="1:4" x14ac:dyDescent="0.25">
      <c r="A16512" t="str">
        <f>HYPERLINK("https://www.773grp.com/globalSearch/74LV08D112/page-1", "74LV08D112")</f>
        <v>74LV08D112</v>
      </c>
      <c r="B16512" s="3" t="s">
        <v>93</v>
      </c>
      <c r="C16512" s="6">
        <v>6840</v>
      </c>
      <c r="D16512" s="7">
        <v>0.48</v>
      </c>
    </row>
    <row r="16513" spans="1:4" x14ac:dyDescent="0.25">
      <c r="A16513" t="str">
        <f>HYPERLINK("https://www.773grp.com/globalSearch/74LV125D118/page-1", "74LV125D118")</f>
        <v>74LV125D118</v>
      </c>
      <c r="B16513" s="3" t="s">
        <v>93</v>
      </c>
      <c r="C16513" s="6">
        <v>2500</v>
      </c>
      <c r="D16513" s="7">
        <v>0.48</v>
      </c>
    </row>
    <row r="16514" spans="1:4" x14ac:dyDescent="0.25">
      <c r="A16514" t="str">
        <f>HYPERLINK("https://www.773grp.com/globalSearch/74LV14BQ115/page-1", "74LV14BQ115")</f>
        <v>74LV14BQ115</v>
      </c>
      <c r="B16514" s="3" t="s">
        <v>93</v>
      </c>
      <c r="C16514" s="6">
        <v>6000</v>
      </c>
      <c r="D16514" s="7">
        <v>0.48</v>
      </c>
    </row>
    <row r="16515" spans="1:4" x14ac:dyDescent="0.25">
      <c r="A16515" t="str">
        <f>HYPERLINK("https://www.773grp.com/globalSearch/74LV14D112/page-1", "74LV14D112")</f>
        <v>74LV14D112</v>
      </c>
      <c r="B16515" s="3" t="s">
        <v>93</v>
      </c>
      <c r="C16515" s="6">
        <v>7980</v>
      </c>
      <c r="D16515" s="7">
        <v>0.48</v>
      </c>
    </row>
    <row r="16516" spans="1:4" x14ac:dyDescent="0.25">
      <c r="A16516" t="str">
        <f>HYPERLINK("https://www.773grp.com/globalSearch/74LV14D118/page-1", "74LV14D118")</f>
        <v>74LV14D118</v>
      </c>
      <c r="B16516" s="3" t="s">
        <v>93</v>
      </c>
      <c r="C16516" s="6">
        <v>7500</v>
      </c>
      <c r="D16516" s="7">
        <v>0.48</v>
      </c>
    </row>
    <row r="16517" spans="1:4" x14ac:dyDescent="0.25">
      <c r="A16517" t="str">
        <f>HYPERLINK("https://www.773grp.com/globalSearch/74LV32BQ115/page-1", "74LV32BQ115")</f>
        <v>74LV32BQ115</v>
      </c>
      <c r="B16517" s="3" t="s">
        <v>93</v>
      </c>
      <c r="C16517" s="6">
        <v>3000</v>
      </c>
      <c r="D16517" s="7">
        <v>0.48</v>
      </c>
    </row>
    <row r="16518" spans="1:4" x14ac:dyDescent="0.25">
      <c r="A16518" t="str">
        <f>HYPERLINK("https://www.773grp.com/globalSearch/74LV32D112/page-1", "74LV32D112")</f>
        <v>74LV32D112</v>
      </c>
      <c r="B16518" s="3" t="s">
        <v>93</v>
      </c>
      <c r="C16518" s="6">
        <v>1140</v>
      </c>
      <c r="D16518" s="7">
        <v>0.48</v>
      </c>
    </row>
    <row r="16519" spans="1:4" x14ac:dyDescent="0.25">
      <c r="A16519" t="str">
        <f>HYPERLINK("https://www.773grp.com/globalSearch/74LV74D112/page-1", "74LV74D112")</f>
        <v>74LV74D112</v>
      </c>
      <c r="B16519" s="3" t="s">
        <v>93</v>
      </c>
      <c r="C16519" s="6">
        <v>10260</v>
      </c>
      <c r="D16519" s="7">
        <v>0.48</v>
      </c>
    </row>
    <row r="16520" spans="1:4" x14ac:dyDescent="0.25">
      <c r="A16520" t="str">
        <f>HYPERLINK("https://www.773grp.com/globalSearch/74LV74D118/page-1", "74LV74D118")</f>
        <v>74LV74D118</v>
      </c>
      <c r="B16520" s="3" t="s">
        <v>93</v>
      </c>
      <c r="C16520" s="6">
        <v>15000</v>
      </c>
      <c r="D16520" s="7">
        <v>0.48</v>
      </c>
    </row>
    <row r="16521" spans="1:4" x14ac:dyDescent="0.25">
      <c r="A16521" t="str">
        <f>HYPERLINK("https://www.773grp.com/globalSearch/74LV74PW112/page-1", "74LV74PW112")</f>
        <v>74LV74PW112</v>
      </c>
      <c r="B16521" s="3" t="s">
        <v>93</v>
      </c>
      <c r="C16521" s="6">
        <v>2400</v>
      </c>
      <c r="D16521" s="7">
        <v>0.48</v>
      </c>
    </row>
    <row r="16522" spans="1:4" x14ac:dyDescent="0.25">
      <c r="A16522" t="str">
        <f>HYPERLINK("https://www.773grp.com/globalSearch/74LV74PW118/page-1", "74LV74PW118")</f>
        <v>74LV74PW118</v>
      </c>
      <c r="B16522" s="3" t="s">
        <v>93</v>
      </c>
      <c r="C16522" s="6">
        <v>95000</v>
      </c>
      <c r="D16522" s="7">
        <v>0.48</v>
      </c>
    </row>
    <row r="16523" spans="1:4" x14ac:dyDescent="0.25">
      <c r="A16523" t="str">
        <f>HYPERLINK("https://www.773grp.com/globalSearch/74LVC157ABQ115/page-1", "74LVC157ABQ115")</f>
        <v>74LVC157ABQ115</v>
      </c>
      <c r="B16523" s="3" t="s">
        <v>93</v>
      </c>
      <c r="C16523" s="6">
        <v>6000</v>
      </c>
      <c r="D16523" s="7">
        <v>0.48</v>
      </c>
    </row>
    <row r="16524" spans="1:4" x14ac:dyDescent="0.25">
      <c r="A16524" t="str">
        <f>HYPERLINK("https://www.773grp.com/globalSearch/74LVC1G3157GV125/page-1", "74LVC1G3157GV125")</f>
        <v>74LVC1G3157GV125</v>
      </c>
      <c r="B16524" s="3" t="s">
        <v>93</v>
      </c>
      <c r="C16524" s="6">
        <v>18000</v>
      </c>
      <c r="D16524" s="7">
        <v>0.48</v>
      </c>
    </row>
    <row r="16525" spans="1:4" x14ac:dyDescent="0.25">
      <c r="A16525" t="str">
        <f>HYPERLINK("https://www.773grp.com/globalSearch/74LVC1G3157GW125/page-1", "74LVC1G3157GW125")</f>
        <v>74LVC1G3157GW125</v>
      </c>
      <c r="B16525" s="3" t="s">
        <v>93</v>
      </c>
      <c r="C16525" s="6">
        <v>128570</v>
      </c>
      <c r="D16525" s="7">
        <v>0.48</v>
      </c>
    </row>
    <row r="16526" spans="1:4" x14ac:dyDescent="0.25">
      <c r="A16526" t="str">
        <f>HYPERLINK("https://www.773grp.com/globalSearch/74LVC1G53DP125/page-1", "74LVC1G53DP125")</f>
        <v>74LVC1G53DP125</v>
      </c>
      <c r="B16526" s="3" t="s">
        <v>93</v>
      </c>
      <c r="C16526" s="6">
        <v>3000</v>
      </c>
      <c r="D16526" s="7">
        <v>0.48</v>
      </c>
    </row>
    <row r="16527" spans="1:4" x14ac:dyDescent="0.25">
      <c r="A16527" t="str">
        <f>HYPERLINK("https://www.773grp.com/globalSearch/74LVC1G66GV125/page-1", "74LVC1G66GV125")</f>
        <v>74LVC1G66GV125</v>
      </c>
      <c r="B16527" s="3" t="s">
        <v>93</v>
      </c>
      <c r="C16527" s="6">
        <v>17500</v>
      </c>
      <c r="D16527" s="7">
        <v>0.48</v>
      </c>
    </row>
    <row r="16528" spans="1:4" x14ac:dyDescent="0.25">
      <c r="A16528" t="str">
        <f>HYPERLINK("https://www.773grp.com/globalSearch/74LVC240APW112/page-1", "74LVC240APW112")</f>
        <v>74LVC240APW112</v>
      </c>
      <c r="B16528" s="3" t="s">
        <v>93</v>
      </c>
      <c r="C16528" s="6">
        <v>5100</v>
      </c>
      <c r="D16528" s="7">
        <v>0.48</v>
      </c>
    </row>
    <row r="16529" spans="1:4" x14ac:dyDescent="0.25">
      <c r="A16529" t="str">
        <f>HYPERLINK("https://www.773grp.com/globalSearch/74LVC240APW118/page-1", "74LVC240APW118")</f>
        <v>74LVC240APW118</v>
      </c>
      <c r="B16529" s="3" t="s">
        <v>93</v>
      </c>
      <c r="C16529" s="6">
        <v>35000</v>
      </c>
      <c r="D16529" s="7">
        <v>0.48</v>
      </c>
    </row>
    <row r="16530" spans="1:4" x14ac:dyDescent="0.25">
      <c r="A16530" t="str">
        <f>HYPERLINK("https://www.773grp.com/globalSearch/74LVC257AD112/page-1", "74LVC257AD112")</f>
        <v>74LVC257AD112</v>
      </c>
      <c r="B16530" s="3" t="s">
        <v>93</v>
      </c>
      <c r="C16530" s="6">
        <v>2000</v>
      </c>
      <c r="D16530" s="7">
        <v>0.48</v>
      </c>
    </row>
    <row r="16531" spans="1:4" x14ac:dyDescent="0.25">
      <c r="A16531" t="str">
        <f>HYPERLINK("https://www.773grp.com/globalSearch/74LVC257AD118/page-1", "74LVC257AD118")</f>
        <v>74LVC257AD118</v>
      </c>
      <c r="B16531" s="3" t="s">
        <v>93</v>
      </c>
      <c r="C16531" s="6">
        <v>5200</v>
      </c>
      <c r="D16531" s="7">
        <v>0.48</v>
      </c>
    </row>
    <row r="16532" spans="1:4" x14ac:dyDescent="0.25">
      <c r="A16532" t="str">
        <f>HYPERLINK("https://www.773grp.com/globalSearch/74LVC257APW112/page-1", "74LVC257APW112")</f>
        <v>74LVC257APW112</v>
      </c>
      <c r="B16532" s="3" t="s">
        <v>93</v>
      </c>
      <c r="C16532" s="6">
        <v>16446</v>
      </c>
      <c r="D16532" s="7">
        <v>0.48</v>
      </c>
    </row>
    <row r="16533" spans="1:4" x14ac:dyDescent="0.25">
      <c r="A16533" t="str">
        <f>HYPERLINK("https://www.773grp.com/globalSearch/74LVC257APW118/page-1", "74LVC257APW118")</f>
        <v>74LVC257APW118</v>
      </c>
      <c r="B16533" s="3" t="s">
        <v>93</v>
      </c>
      <c r="C16533" s="6">
        <v>332</v>
      </c>
      <c r="D16533" s="7">
        <v>0.48</v>
      </c>
    </row>
    <row r="16534" spans="1:4" x14ac:dyDescent="0.25">
      <c r="A16534" t="str">
        <f>HYPERLINK("https://www.773grp.com/globalSearch/74LVC2G04GV125/page-1", "74LVC2G04GV125")</f>
        <v>74LVC2G04GV125</v>
      </c>
      <c r="B16534" s="3" t="s">
        <v>93</v>
      </c>
      <c r="C16534" s="6">
        <v>54000</v>
      </c>
      <c r="D16534" s="7">
        <v>0.48</v>
      </c>
    </row>
    <row r="16535" spans="1:4" x14ac:dyDescent="0.25">
      <c r="A16535" t="str">
        <f>HYPERLINK("https://www.773grp.com/globalSearch/74LVC2G06GW125/page-1", "74LVC2G06GW125")</f>
        <v>74LVC2G06GW125</v>
      </c>
      <c r="B16535" s="3" t="s">
        <v>93</v>
      </c>
      <c r="C16535" s="6">
        <v>17550</v>
      </c>
      <c r="D16535" s="7">
        <v>0.48</v>
      </c>
    </row>
    <row r="16536" spans="1:4" x14ac:dyDescent="0.25">
      <c r="A16536" t="str">
        <f>HYPERLINK("https://www.773grp.com/globalSearch/74LVC2G07GV125/page-1", "74LVC2G07GV125")</f>
        <v>74LVC2G07GV125</v>
      </c>
      <c r="B16536" s="3" t="s">
        <v>93</v>
      </c>
      <c r="C16536" s="6">
        <v>297000</v>
      </c>
      <c r="D16536" s="7">
        <v>0.48</v>
      </c>
    </row>
    <row r="16537" spans="1:4" x14ac:dyDescent="0.25">
      <c r="A16537" t="str">
        <f>HYPERLINK("https://www.773grp.com/globalSearch/74LVC2G17GV125/page-1", "74LVC2G17GV125")</f>
        <v>74LVC2G17GV125</v>
      </c>
      <c r="B16537" s="3" t="s">
        <v>93</v>
      </c>
      <c r="C16537" s="6">
        <v>33000</v>
      </c>
      <c r="D16537" s="7">
        <v>0.48</v>
      </c>
    </row>
    <row r="16538" spans="1:4" x14ac:dyDescent="0.25">
      <c r="A16538" t="str">
        <f>HYPERLINK("https://www.773grp.com/globalSearch/74LVC32ADB118/page-1", "74LVC32ADB118")</f>
        <v>74LVC32ADB118</v>
      </c>
      <c r="B16538" s="3" t="s">
        <v>93</v>
      </c>
      <c r="C16538" s="6">
        <v>13349</v>
      </c>
      <c r="D16538" s="7">
        <v>0.48</v>
      </c>
    </row>
    <row r="16539" spans="1:4" x14ac:dyDescent="0.25">
      <c r="A16539" t="str">
        <f>HYPERLINK("https://www.773grp.com/globalSearch/74LVT125D112/page-1", "74LVT125D112")</f>
        <v>74LVT125D112</v>
      </c>
      <c r="B16539" s="3" t="s">
        <v>93</v>
      </c>
      <c r="C16539" s="6">
        <v>33808</v>
      </c>
      <c r="D16539" s="7">
        <v>0.48</v>
      </c>
    </row>
    <row r="16540" spans="1:4" x14ac:dyDescent="0.25">
      <c r="A16540" t="str">
        <f>HYPERLINK("https://www.773grp.com/globalSearch/74LVT126D112/page-1", "74LVT126D112")</f>
        <v>74LVT126D112</v>
      </c>
      <c r="B16540" s="3" t="s">
        <v>93</v>
      </c>
      <c r="C16540" s="6">
        <v>3420</v>
      </c>
      <c r="D16540" s="7">
        <v>0.48</v>
      </c>
    </row>
    <row r="16541" spans="1:4" x14ac:dyDescent="0.25">
      <c r="A16541" t="str">
        <f>HYPERLINK("https://www.773grp.com/globalSearch/BAS70VV115/page-1", "BAS70VV115")</f>
        <v>BAS70VV115</v>
      </c>
      <c r="B16541" s="3" t="s">
        <v>93</v>
      </c>
      <c r="C16541" s="6">
        <v>263</v>
      </c>
      <c r="D16541" s="7">
        <v>0.48</v>
      </c>
    </row>
    <row r="16542" spans="1:4" x14ac:dyDescent="0.25">
      <c r="A16542" t="str">
        <f>HYPERLINK("https://www.773grp.com/globalSearch/BAT720215/page-1", "BAT720215")</f>
        <v>BAT720215</v>
      </c>
      <c r="B16542" s="3" t="s">
        <v>93</v>
      </c>
      <c r="C16542" s="6">
        <v>15000</v>
      </c>
      <c r="D16542" s="7">
        <v>0.48</v>
      </c>
    </row>
    <row r="16543" spans="1:4" x14ac:dyDescent="0.25">
      <c r="A16543" t="str">
        <f>HYPERLINK("https://www.773grp.com/globalSearch/BAT720235/page-1", "BAT720235")</f>
        <v>BAT720235</v>
      </c>
      <c r="B16543" s="3" t="s">
        <v>93</v>
      </c>
      <c r="C16543" s="6">
        <v>10000</v>
      </c>
      <c r="D16543" s="7">
        <v>0.48</v>
      </c>
    </row>
    <row r="16544" spans="1:4" x14ac:dyDescent="0.25">
      <c r="A16544" t="str">
        <f>HYPERLINK("https://www.773grp.com/globalSearch/BAT721215/page-1", "BAT721215")</f>
        <v>BAT721215</v>
      </c>
      <c r="B16544" s="3" t="s">
        <v>93</v>
      </c>
      <c r="C16544" s="6">
        <v>5341</v>
      </c>
      <c r="D16544" s="7">
        <v>0.48</v>
      </c>
    </row>
    <row r="16545" spans="1:4" x14ac:dyDescent="0.25">
      <c r="A16545" t="str">
        <f>HYPERLINK("https://www.773grp.com/globalSearch/BAT721C215/page-1", "BAT721C215")</f>
        <v>BAT721C215</v>
      </c>
      <c r="B16545" s="3" t="s">
        <v>93</v>
      </c>
      <c r="C16545" s="6">
        <v>6000</v>
      </c>
      <c r="D16545" s="7">
        <v>0.48</v>
      </c>
    </row>
    <row r="16546" spans="1:4" x14ac:dyDescent="0.25">
      <c r="A16546" t="str">
        <f>HYPERLINK("https://www.773grp.com/globalSearch/BAT754L115/page-1", "BAT754L115")</f>
        <v>BAT754L115</v>
      </c>
      <c r="B16546" s="3" t="s">
        <v>93</v>
      </c>
      <c r="C16546" s="6">
        <v>15000</v>
      </c>
      <c r="D16546" s="7">
        <v>0.48</v>
      </c>
    </row>
    <row r="16547" spans="1:4" x14ac:dyDescent="0.25">
      <c r="A16547" t="str">
        <f>HYPERLINK("https://www.773grp.com/globalSearch/BCM856BS115/page-1", "BCM856BS115")</f>
        <v>BCM856BS115</v>
      </c>
      <c r="B16547" s="3" t="s">
        <v>93</v>
      </c>
      <c r="C16547" s="6">
        <v>8420</v>
      </c>
      <c r="D16547" s="7">
        <v>0.48</v>
      </c>
    </row>
    <row r="16548" spans="1:4" x14ac:dyDescent="0.25">
      <c r="A16548" t="str">
        <f>HYPERLINK("https://www.773grp.com/globalSearch/BCP51115/page-1", "BCP51115")</f>
        <v>BCP51115</v>
      </c>
      <c r="B16548" s="3" t="s">
        <v>93</v>
      </c>
      <c r="C16548" s="6">
        <v>10548</v>
      </c>
      <c r="D16548" s="7">
        <v>0.48</v>
      </c>
    </row>
    <row r="16549" spans="1:4" x14ac:dyDescent="0.25">
      <c r="A16549" t="str">
        <f>HYPERLINK("https://www.773grp.com/globalSearch/BCP51-16135/page-1", "BCP51-16135")</f>
        <v>BCP51-16135</v>
      </c>
      <c r="B16549" s="3" t="s">
        <v>93</v>
      </c>
      <c r="C16549" s="6">
        <v>12000</v>
      </c>
      <c r="D16549" s="7">
        <v>0.48</v>
      </c>
    </row>
    <row r="16550" spans="1:4" x14ac:dyDescent="0.25">
      <c r="A16550" t="str">
        <f>HYPERLINK("https://www.773grp.com/globalSearch/BCP52-10135/page-1", "BCP52-10135")</f>
        <v>BCP52-10135</v>
      </c>
      <c r="B16550" s="3" t="s">
        <v>93</v>
      </c>
      <c r="C16550" s="6">
        <v>16000</v>
      </c>
      <c r="D16550" s="7">
        <v>0.48</v>
      </c>
    </row>
    <row r="16551" spans="1:4" x14ac:dyDescent="0.25">
      <c r="A16551" t="str">
        <f>HYPERLINK("https://www.773grp.com/globalSearch/BCP52135/page-1", "BCP52135")</f>
        <v>BCP52135</v>
      </c>
      <c r="B16551" s="3" t="s">
        <v>93</v>
      </c>
      <c r="C16551" s="6">
        <v>20000</v>
      </c>
      <c r="D16551" s="7">
        <v>0.48</v>
      </c>
    </row>
    <row r="16552" spans="1:4" x14ac:dyDescent="0.25">
      <c r="A16552" t="str">
        <f>HYPERLINK("https://www.773grp.com/globalSearch/BCP53-10115/page-1", "BCP53-10115")</f>
        <v>BCP53-10115</v>
      </c>
      <c r="B16552" s="3" t="s">
        <v>93</v>
      </c>
      <c r="C16552" s="6">
        <v>55000</v>
      </c>
      <c r="D16552" s="7">
        <v>0.48</v>
      </c>
    </row>
    <row r="16553" spans="1:4" x14ac:dyDescent="0.25">
      <c r="A16553" t="str">
        <f>HYPERLINK("https://www.773grp.com/globalSearch/BCP53115/page-1", "BCP53115")</f>
        <v>BCP53115</v>
      </c>
      <c r="B16553" s="3" t="s">
        <v>93</v>
      </c>
      <c r="C16553" s="6">
        <v>14000</v>
      </c>
      <c r="D16553" s="7">
        <v>0.48</v>
      </c>
    </row>
    <row r="16554" spans="1:4" x14ac:dyDescent="0.25">
      <c r="A16554" t="str">
        <f>HYPERLINK("https://www.773grp.com/globalSearch/BCP53-16135/page-1", "BCP53-16135")</f>
        <v>BCP53-16135</v>
      </c>
      <c r="B16554" s="3" t="s">
        <v>93</v>
      </c>
      <c r="C16554" s="6">
        <v>3933</v>
      </c>
      <c r="D16554" s="7">
        <v>0.48</v>
      </c>
    </row>
    <row r="16555" spans="1:4" x14ac:dyDescent="0.25">
      <c r="A16555" t="str">
        <f>HYPERLINK("https://www.773grp.com/globalSearch/BCP54115/page-1", "BCP54115")</f>
        <v>BCP54115</v>
      </c>
      <c r="B16555" s="3" t="s">
        <v>93</v>
      </c>
      <c r="C16555" s="6">
        <v>9000</v>
      </c>
      <c r="D16555" s="7">
        <v>0.48</v>
      </c>
    </row>
    <row r="16556" spans="1:4" x14ac:dyDescent="0.25">
      <c r="A16556" t="str">
        <f>HYPERLINK("https://www.773grp.com/globalSearch/BCP54-16115/page-1", "BCP54-16115")</f>
        <v>BCP54-16115</v>
      </c>
      <c r="B16556" s="3" t="s">
        <v>93</v>
      </c>
      <c r="C16556" s="6">
        <v>45000</v>
      </c>
      <c r="D16556" s="7">
        <v>0.48</v>
      </c>
    </row>
    <row r="16557" spans="1:4" x14ac:dyDescent="0.25">
      <c r="A16557" t="str">
        <f>HYPERLINK("https://www.773grp.com/globalSearch/BCP54-16135/page-1", "BCP54-16135")</f>
        <v>BCP54-16135</v>
      </c>
      <c r="B16557" s="3" t="s">
        <v>93</v>
      </c>
      <c r="C16557" s="6">
        <v>7200</v>
      </c>
      <c r="D16557" s="7">
        <v>0.48</v>
      </c>
    </row>
    <row r="16558" spans="1:4" x14ac:dyDescent="0.25">
      <c r="A16558" t="str">
        <f>HYPERLINK("https://www.773grp.com/globalSearch/BCP55-10115/page-1", "BCP55-10115")</f>
        <v>BCP55-10115</v>
      </c>
      <c r="B16558" s="3" t="s">
        <v>93</v>
      </c>
      <c r="C16558" s="6">
        <v>8000</v>
      </c>
      <c r="D16558" s="7">
        <v>0.48</v>
      </c>
    </row>
    <row r="16559" spans="1:4" x14ac:dyDescent="0.25">
      <c r="A16559" t="str">
        <f>HYPERLINK("https://www.773grp.com/globalSearch/BCP55115/page-1", "BCP55115")</f>
        <v>BCP55115</v>
      </c>
      <c r="B16559" s="3" t="s">
        <v>93</v>
      </c>
      <c r="C16559" s="6">
        <v>29000</v>
      </c>
      <c r="D16559" s="7">
        <v>0.48</v>
      </c>
    </row>
    <row r="16560" spans="1:4" x14ac:dyDescent="0.25">
      <c r="A16560" t="str">
        <f>HYPERLINK("https://www.773grp.com/globalSearch/BCP55-16115/page-1", "BCP55-16115")</f>
        <v>BCP55-16115</v>
      </c>
      <c r="B16560" s="3" t="s">
        <v>93</v>
      </c>
      <c r="C16560" s="6">
        <v>7000</v>
      </c>
      <c r="D16560" s="7">
        <v>0.48</v>
      </c>
    </row>
    <row r="16561" spans="1:4" x14ac:dyDescent="0.25">
      <c r="A16561" t="str">
        <f>HYPERLINK("https://www.773grp.com/globalSearch/BCP56-10115/page-1", "BCP56-10115")</f>
        <v>BCP56-10115</v>
      </c>
      <c r="B16561" s="3" t="s">
        <v>93</v>
      </c>
      <c r="C16561" s="6">
        <v>7000</v>
      </c>
      <c r="D16561" s="7">
        <v>0.48</v>
      </c>
    </row>
    <row r="16562" spans="1:4" x14ac:dyDescent="0.25">
      <c r="A16562" t="str">
        <f>HYPERLINK("https://www.773grp.com/globalSearch/BCP56-16115/page-1", "BCP56-16115")</f>
        <v>BCP56-16115</v>
      </c>
      <c r="B16562" s="3" t="s">
        <v>93</v>
      </c>
      <c r="C16562" s="6">
        <v>442384</v>
      </c>
      <c r="D16562" s="7">
        <v>0.48</v>
      </c>
    </row>
    <row r="16563" spans="1:4" x14ac:dyDescent="0.25">
      <c r="A16563" t="str">
        <f>HYPERLINK("https://www.773grp.com/globalSearch/BCP56-16135/page-1", "BCP56-16135")</f>
        <v>BCP56-16135</v>
      </c>
      <c r="B16563" s="3" t="s">
        <v>93</v>
      </c>
      <c r="C16563" s="6">
        <v>8000</v>
      </c>
      <c r="D16563" s="7">
        <v>0.48</v>
      </c>
    </row>
    <row r="16564" spans="1:4" x14ac:dyDescent="0.25">
      <c r="A16564" t="str">
        <f>HYPERLINK("https://www.773grp.com/globalSearch/BCP68115/page-1", "BCP68115")</f>
        <v>BCP68115</v>
      </c>
      <c r="B16564" s="3" t="s">
        <v>93</v>
      </c>
      <c r="C16564" s="6">
        <v>13775</v>
      </c>
      <c r="D16564" s="7">
        <v>0.48</v>
      </c>
    </row>
    <row r="16565" spans="1:4" x14ac:dyDescent="0.25">
      <c r="A16565" t="str">
        <f>HYPERLINK("https://www.773grp.com/globalSearch/BCP68-25115/page-1", "BCP68-25115")</f>
        <v>BCP68-25115</v>
      </c>
      <c r="B16565" s="3" t="s">
        <v>93</v>
      </c>
      <c r="C16565" s="6">
        <v>500</v>
      </c>
      <c r="D16565" s="7">
        <v>0.48</v>
      </c>
    </row>
    <row r="16566" spans="1:4" x14ac:dyDescent="0.25">
      <c r="A16566" t="str">
        <f>HYPERLINK("https://www.773grp.com/globalSearch/BCP69135/page-1", "BCP69135")</f>
        <v>BCP69135</v>
      </c>
      <c r="B16566" s="3" t="s">
        <v>93</v>
      </c>
      <c r="C16566" s="6">
        <v>8000</v>
      </c>
      <c r="D16566" s="7">
        <v>0.48</v>
      </c>
    </row>
    <row r="16567" spans="1:4" x14ac:dyDescent="0.25">
      <c r="A16567" t="str">
        <f>HYPERLINK("https://www.773grp.com/globalSearch/BCP69-25135/page-1", "BCP69-25135")</f>
        <v>BCP69-25135</v>
      </c>
      <c r="B16567" s="3" t="s">
        <v>93</v>
      </c>
      <c r="C16567" s="6">
        <v>28000</v>
      </c>
      <c r="D16567" s="7">
        <v>0.48</v>
      </c>
    </row>
    <row r="16568" spans="1:4" x14ac:dyDescent="0.25">
      <c r="A16568" t="str">
        <f>HYPERLINK("https://www.773grp.com/globalSearch/BF570215/page-1", "BF570215")</f>
        <v>BF570215</v>
      </c>
      <c r="B16568" s="3" t="s">
        <v>93</v>
      </c>
      <c r="C16568" s="6">
        <v>3000</v>
      </c>
      <c r="D16568" s="7">
        <v>0.48</v>
      </c>
    </row>
    <row r="16569" spans="1:4" x14ac:dyDescent="0.25">
      <c r="A16569" t="str">
        <f>HYPERLINK("https://www.773grp.com/globalSearch/BF904215/page-1", "BF904215")</f>
        <v>BF904215</v>
      </c>
      <c r="B16569" s="3" t="s">
        <v>93</v>
      </c>
      <c r="C16569" s="6">
        <v>3000</v>
      </c>
      <c r="D16569" s="7">
        <v>0.48</v>
      </c>
    </row>
    <row r="16570" spans="1:4" x14ac:dyDescent="0.25">
      <c r="A16570" t="str">
        <f>HYPERLINK("https://www.773grp.com/globalSearch/BFR505215/page-1", "BFR505215")</f>
        <v>BFR505215</v>
      </c>
      <c r="B16570" s="3" t="s">
        <v>93</v>
      </c>
      <c r="C16570" s="6">
        <v>6000</v>
      </c>
      <c r="D16570" s="7">
        <v>0.48</v>
      </c>
    </row>
    <row r="16571" spans="1:4" x14ac:dyDescent="0.25">
      <c r="A16571" t="str">
        <f>HYPERLINK("https://www.773grp.com/globalSearch/BGA2771115/page-1", "BGA2771115")</f>
        <v>BGA2771115</v>
      </c>
      <c r="B16571" s="3" t="s">
        <v>93</v>
      </c>
      <c r="C16571" s="6">
        <v>6000</v>
      </c>
      <c r="D16571" s="7">
        <v>0.48</v>
      </c>
    </row>
    <row r="16572" spans="1:4" x14ac:dyDescent="0.25">
      <c r="A16572" t="str">
        <f>HYPERLINK("https://www.773grp.com/globalSearch/BGA2865115/page-1", "BGA2865115")</f>
        <v>BGA2865115</v>
      </c>
      <c r="B16572" s="3" t="s">
        <v>93</v>
      </c>
      <c r="C16572" s="6">
        <v>7711</v>
      </c>
      <c r="D16572" s="7">
        <v>0.48</v>
      </c>
    </row>
    <row r="16573" spans="1:4" x14ac:dyDescent="0.25">
      <c r="A16573" t="str">
        <f>HYPERLINK("https://www.773grp.com/globalSearch/HEF4011UBT653/page-1", "HEF4011UBT653")</f>
        <v>HEF4011UBT653</v>
      </c>
      <c r="B16573" s="3" t="s">
        <v>93</v>
      </c>
      <c r="C16573" s="6">
        <v>2500</v>
      </c>
      <c r="D16573" s="7">
        <v>0.48</v>
      </c>
    </row>
    <row r="16574" spans="1:4" x14ac:dyDescent="0.25">
      <c r="A16574" t="str">
        <f>HYPERLINK("https://www.773grp.com/globalSearch/HEF4066BT652/page-1", "HEF4066BT652")</f>
        <v>HEF4066BT652</v>
      </c>
      <c r="B16574" s="3" t="s">
        <v>93</v>
      </c>
      <c r="C16574" s="6">
        <v>35226</v>
      </c>
      <c r="D16574" s="7">
        <v>0.48</v>
      </c>
    </row>
    <row r="16575" spans="1:4" x14ac:dyDescent="0.25">
      <c r="A16575" t="str">
        <f>HYPERLINK("https://www.773grp.com/globalSearch/HEF4073BT653/page-1", "HEF4073BT653")</f>
        <v>HEF4073BT653</v>
      </c>
      <c r="B16575" s="3" t="s">
        <v>93</v>
      </c>
      <c r="C16575" s="6">
        <v>2500</v>
      </c>
      <c r="D16575" s="7">
        <v>0.48</v>
      </c>
    </row>
    <row r="16576" spans="1:4" x14ac:dyDescent="0.25">
      <c r="A16576" t="str">
        <f>HYPERLINK("https://www.773grp.com/globalSearch/HEF4081BT652/page-1", "HEF4081BT652")</f>
        <v>HEF4081BT652</v>
      </c>
      <c r="B16576" s="3" t="s">
        <v>93</v>
      </c>
      <c r="C16576" s="6">
        <v>2280</v>
      </c>
      <c r="D16576" s="7">
        <v>0.48</v>
      </c>
    </row>
    <row r="16577" spans="1:4" x14ac:dyDescent="0.25">
      <c r="A16577" t="str">
        <f>HYPERLINK("https://www.773grp.com/globalSearch/HEF4081BT653/page-1", "HEF4081BT653")</f>
        <v>HEF4081BT653</v>
      </c>
      <c r="B16577" s="3" t="s">
        <v>93</v>
      </c>
      <c r="C16577" s="6">
        <v>7690</v>
      </c>
      <c r="D16577" s="7">
        <v>0.48</v>
      </c>
    </row>
    <row r="16578" spans="1:4" x14ac:dyDescent="0.25">
      <c r="A16578" t="str">
        <f>HYPERLINK("https://www.773grp.com/globalSearch/IP4078CX6-LF135/page-1", "IP4078CX6-LF135")</f>
        <v>IP4078CX6-LF135</v>
      </c>
      <c r="B16578" s="3" t="s">
        <v>93</v>
      </c>
      <c r="C16578" s="6">
        <v>4500</v>
      </c>
      <c r="D16578" s="7">
        <v>0.48</v>
      </c>
    </row>
    <row r="16579" spans="1:4" x14ac:dyDescent="0.25">
      <c r="A16579" t="str">
        <f>HYPERLINK("https://www.773grp.com/globalSearch/IP4234CZ6125/page-1", "IP4234CZ6125")</f>
        <v>IP4234CZ6125</v>
      </c>
      <c r="B16579" s="3" t="s">
        <v>93</v>
      </c>
      <c r="C16579" s="6">
        <v>24000</v>
      </c>
      <c r="D16579" s="7">
        <v>0.48</v>
      </c>
    </row>
    <row r="16580" spans="1:4" x14ac:dyDescent="0.25">
      <c r="A16580" t="str">
        <f>HYPERLINK("https://www.773grp.com/globalSearch/IP4282CZ6115/page-1", "IP4282CZ6115")</f>
        <v>IP4282CZ6115</v>
      </c>
      <c r="B16580" s="3" t="s">
        <v>93</v>
      </c>
      <c r="C16580" s="6">
        <v>10000</v>
      </c>
      <c r="D16580" s="7">
        <v>0.48</v>
      </c>
    </row>
    <row r="16581" spans="1:4" x14ac:dyDescent="0.25">
      <c r="A16581" t="str">
        <f>HYPERLINK("https://www.773grp.com/globalSearch/IP4359CX4-LF135/page-1", "IP4359CX4-LF135")</f>
        <v>IP4359CX4-LF135</v>
      </c>
      <c r="B16581" s="3" t="s">
        <v>93</v>
      </c>
      <c r="C16581" s="6">
        <v>4500</v>
      </c>
      <c r="D16581" s="7">
        <v>0.48</v>
      </c>
    </row>
    <row r="16582" spans="1:4" x14ac:dyDescent="0.25">
      <c r="A16582" t="str">
        <f>HYPERLINK("https://www.773grp.com/globalSearch/LD6815TD-12P125/page-1", "LD6815TD-12P125")</f>
        <v>LD6815TD-12P125</v>
      </c>
      <c r="B16582" s="3" t="s">
        <v>93</v>
      </c>
      <c r="C16582" s="6">
        <v>3000</v>
      </c>
      <c r="D16582" s="7">
        <v>0.48</v>
      </c>
    </row>
    <row r="16583" spans="1:4" x14ac:dyDescent="0.25">
      <c r="A16583" t="str">
        <f>HYPERLINK("https://www.773grp.com/globalSearch/LD6815TD-21P125/page-1", "LD6815TD-21P125")</f>
        <v>LD6815TD-21P125</v>
      </c>
      <c r="B16583" s="3" t="s">
        <v>93</v>
      </c>
      <c r="C16583" s="6">
        <v>9000</v>
      </c>
      <c r="D16583" s="7">
        <v>0.48</v>
      </c>
    </row>
    <row r="16584" spans="1:4" x14ac:dyDescent="0.25">
      <c r="A16584" t="str">
        <f>HYPERLINK("https://www.773grp.com/globalSearch/LD6815TD-29P125/page-1", "LD6815TD-29P125")</f>
        <v>LD6815TD-29P125</v>
      </c>
      <c r="B16584" s="3" t="s">
        <v>93</v>
      </c>
      <c r="C16584" s="6">
        <v>3000</v>
      </c>
      <c r="D16584" s="7">
        <v>0.48</v>
      </c>
    </row>
    <row r="16585" spans="1:4" x14ac:dyDescent="0.25">
      <c r="A16585" t="str">
        <f>HYPERLINK("https://www.773grp.com/globalSearch/LD6836TD-16P125/page-1", "LD6836TD-16P125")</f>
        <v>LD6836TD-16P125</v>
      </c>
      <c r="B16585" s="3" t="s">
        <v>93</v>
      </c>
      <c r="C16585" s="6">
        <v>2998</v>
      </c>
      <c r="D16585" s="7">
        <v>0.48</v>
      </c>
    </row>
    <row r="16586" spans="1:4" x14ac:dyDescent="0.25">
      <c r="A16586" t="str">
        <f>HYPERLINK("https://www.773grp.com/globalSearch/LD6836TD-29P125/page-1", "LD6836TD-29P125")</f>
        <v>LD6836TD-29P125</v>
      </c>
      <c r="B16586" s="3" t="s">
        <v>93</v>
      </c>
      <c r="C16586" s="6">
        <v>2950</v>
      </c>
      <c r="D16586" s="7">
        <v>0.48</v>
      </c>
    </row>
    <row r="16587" spans="1:4" x14ac:dyDescent="0.25">
      <c r="A16587" t="str">
        <f>HYPERLINK("https://www.773grp.com/globalSearch/N74F02D623/page-1", "N74F02D623")</f>
        <v>N74F02D623</v>
      </c>
      <c r="B16587" s="3" t="s">
        <v>93</v>
      </c>
      <c r="C16587" s="6">
        <v>17500</v>
      </c>
      <c r="D16587" s="7">
        <v>0.48</v>
      </c>
    </row>
    <row r="16588" spans="1:4" x14ac:dyDescent="0.25">
      <c r="A16588" t="str">
        <f>HYPERLINK("https://www.773grp.com/globalSearch/N74F10D602/page-1", "N74F10D602")</f>
        <v>N74F10D602</v>
      </c>
      <c r="B16588" s="3" t="s">
        <v>93</v>
      </c>
      <c r="C16588" s="6">
        <v>4560</v>
      </c>
      <c r="D16588" s="7">
        <v>0.48</v>
      </c>
    </row>
    <row r="16589" spans="1:4" x14ac:dyDescent="0.25">
      <c r="A16589" t="str">
        <f>HYPERLINK("https://www.773grp.com/globalSearch/N74F10D623/page-1", "N74F10D623")</f>
        <v>N74F10D623</v>
      </c>
      <c r="B16589" s="3" t="s">
        <v>93</v>
      </c>
      <c r="C16589" s="6">
        <v>2500</v>
      </c>
      <c r="D16589" s="7">
        <v>0.48</v>
      </c>
    </row>
    <row r="16590" spans="1:4" x14ac:dyDescent="0.25">
      <c r="A16590" t="str">
        <f>HYPERLINK("https://www.773grp.com/globalSearch/N74F30D602/page-1", "N74F30D602")</f>
        <v>N74F30D602</v>
      </c>
      <c r="B16590" s="3" t="s">
        <v>93</v>
      </c>
      <c r="C16590" s="6">
        <v>2280</v>
      </c>
      <c r="D16590" s="7">
        <v>0.48</v>
      </c>
    </row>
    <row r="16591" spans="1:4" x14ac:dyDescent="0.25">
      <c r="A16591" t="str">
        <f>HYPERLINK("https://www.773grp.com/globalSearch/N74F30D623/page-1", "N74F30D623")</f>
        <v>N74F30D623</v>
      </c>
      <c r="B16591" s="3" t="s">
        <v>93</v>
      </c>
      <c r="C16591" s="6">
        <v>2500</v>
      </c>
      <c r="D16591" s="7">
        <v>0.48</v>
      </c>
    </row>
    <row r="16592" spans="1:4" x14ac:dyDescent="0.25">
      <c r="A16592" t="str">
        <f>HYPERLINK("https://www.773grp.com/globalSearch/NX1117CE285Z115/page-1", "NX1117CE285Z115")</f>
        <v>NX1117CE285Z115</v>
      </c>
      <c r="B16592" s="3" t="s">
        <v>93</v>
      </c>
      <c r="C16592" s="6">
        <v>12121</v>
      </c>
      <c r="D16592" s="7">
        <v>0.48</v>
      </c>
    </row>
    <row r="16593" spans="1:4" x14ac:dyDescent="0.25">
      <c r="A16593" t="str">
        <f>HYPERLINK("https://www.773grp.com/globalSearch/NX1117CE50Z115/page-1", "NX1117CE50Z115")</f>
        <v>NX1117CE50Z115</v>
      </c>
      <c r="B16593" s="3" t="s">
        <v>93</v>
      </c>
      <c r="C16593" s="6">
        <v>1000</v>
      </c>
      <c r="D16593" s="7">
        <v>0.48</v>
      </c>
    </row>
    <row r="16594" spans="1:4" x14ac:dyDescent="0.25">
      <c r="A16594" t="str">
        <f>HYPERLINK("https://www.773grp.com/globalSearch/NX3L1T3157GW125/page-1", "NX3L1T3157GW125")</f>
        <v>NX3L1T3157GW125</v>
      </c>
      <c r="B16594" s="3" t="s">
        <v>93</v>
      </c>
      <c r="C16594" s="6">
        <v>9000</v>
      </c>
      <c r="D16594" s="7">
        <v>0.48</v>
      </c>
    </row>
    <row r="16595" spans="1:4" x14ac:dyDescent="0.25">
      <c r="A16595" t="str">
        <f>HYPERLINK("https://www.773grp.com/globalSearch/PBLS2001D115/page-1", "PBLS2001D115")</f>
        <v>PBLS2001D115</v>
      </c>
      <c r="B16595" s="3" t="s">
        <v>93</v>
      </c>
      <c r="C16595" s="6">
        <v>9400</v>
      </c>
      <c r="D16595" s="7">
        <v>0.48</v>
      </c>
    </row>
    <row r="16596" spans="1:4" x14ac:dyDescent="0.25">
      <c r="A16596" t="str">
        <f>HYPERLINK("https://www.773grp.com/globalSearch/PBLS2002D115/page-1", "PBLS2002D115")</f>
        <v>PBLS2002D115</v>
      </c>
      <c r="B16596" s="3" t="s">
        <v>93</v>
      </c>
      <c r="C16596" s="6">
        <v>450</v>
      </c>
      <c r="D16596" s="7">
        <v>0.48</v>
      </c>
    </row>
    <row r="16597" spans="1:4" x14ac:dyDescent="0.25">
      <c r="A16597" t="str">
        <f>HYPERLINK("https://www.773grp.com/globalSearch/PBLS2003D115/page-1", "PBLS2003D115")</f>
        <v>PBLS2003D115</v>
      </c>
      <c r="B16597" s="3" t="s">
        <v>93</v>
      </c>
      <c r="C16597" s="6">
        <v>6000</v>
      </c>
      <c r="D16597" s="7">
        <v>0.48</v>
      </c>
    </row>
    <row r="16598" spans="1:4" x14ac:dyDescent="0.25">
      <c r="A16598" t="str">
        <f>HYPERLINK("https://www.773grp.com/globalSearch/PBLS2004D115/page-1", "PBLS2004D115")</f>
        <v>PBLS2004D115</v>
      </c>
      <c r="B16598" s="3" t="s">
        <v>93</v>
      </c>
      <c r="C16598" s="6">
        <v>6000</v>
      </c>
      <c r="D16598" s="7">
        <v>0.48</v>
      </c>
    </row>
    <row r="16599" spans="1:4" x14ac:dyDescent="0.25">
      <c r="A16599" t="str">
        <f>HYPERLINK("https://www.773grp.com/globalSearch/PBLS4001D115/page-1", "PBLS4001D115")</f>
        <v>PBLS4001D115</v>
      </c>
      <c r="B16599" s="3" t="s">
        <v>93</v>
      </c>
      <c r="C16599" s="6">
        <v>3000</v>
      </c>
      <c r="D16599" s="7">
        <v>0.48</v>
      </c>
    </row>
    <row r="16600" spans="1:4" x14ac:dyDescent="0.25">
      <c r="A16600" t="str">
        <f>HYPERLINK("https://www.773grp.com/globalSearch/PBLS4002D115/page-1", "PBLS4002D115")</f>
        <v>PBLS4002D115</v>
      </c>
      <c r="B16600" s="3" t="s">
        <v>93</v>
      </c>
      <c r="C16600" s="6">
        <v>9000</v>
      </c>
      <c r="D16600" s="7">
        <v>0.48</v>
      </c>
    </row>
    <row r="16601" spans="1:4" x14ac:dyDescent="0.25">
      <c r="A16601" t="str">
        <f>HYPERLINK("https://www.773grp.com/globalSearch/PBLS4003D115/page-1", "PBLS4003D115")</f>
        <v>PBLS4003D115</v>
      </c>
      <c r="B16601" s="3" t="s">
        <v>93</v>
      </c>
      <c r="C16601" s="6">
        <v>6000</v>
      </c>
      <c r="D16601" s="7">
        <v>0.48</v>
      </c>
    </row>
    <row r="16602" spans="1:4" x14ac:dyDescent="0.25">
      <c r="A16602" t="str">
        <f>HYPERLINK("https://www.773grp.com/globalSearch/PBLS4005D115/page-1", "PBLS4005D115")</f>
        <v>PBLS4005D115</v>
      </c>
      <c r="B16602" s="3" t="s">
        <v>93</v>
      </c>
      <c r="C16602" s="6">
        <v>6000</v>
      </c>
      <c r="D16602" s="7">
        <v>0.48</v>
      </c>
    </row>
    <row r="16603" spans="1:4" x14ac:dyDescent="0.25">
      <c r="A16603" t="str">
        <f>HYPERLINK("https://www.773grp.com/globalSearch/PBLS6001D115/page-1", "PBLS6001D115")</f>
        <v>PBLS6001D115</v>
      </c>
      <c r="B16603" s="3" t="s">
        <v>93</v>
      </c>
      <c r="C16603" s="6">
        <v>3000</v>
      </c>
      <c r="D16603" s="7">
        <v>0.48</v>
      </c>
    </row>
    <row r="16604" spans="1:4" x14ac:dyDescent="0.25">
      <c r="A16604" t="str">
        <f>HYPERLINK("https://www.773grp.com/globalSearch/PBLS6002D115/page-1", "PBLS6002D115")</f>
        <v>PBLS6002D115</v>
      </c>
      <c r="B16604" s="3" t="s">
        <v>93</v>
      </c>
      <c r="C16604" s="6">
        <v>6000</v>
      </c>
      <c r="D16604" s="7">
        <v>0.48</v>
      </c>
    </row>
    <row r="16605" spans="1:4" x14ac:dyDescent="0.25">
      <c r="A16605" t="str">
        <f>HYPERLINK("https://www.773grp.com/globalSearch/PBLS6003D115/page-1", "PBLS6003D115")</f>
        <v>PBLS6003D115</v>
      </c>
      <c r="B16605" s="3" t="s">
        <v>93</v>
      </c>
      <c r="C16605" s="6">
        <v>3000</v>
      </c>
      <c r="D16605" s="7">
        <v>0.48</v>
      </c>
    </row>
    <row r="16606" spans="1:4" x14ac:dyDescent="0.25">
      <c r="A16606" t="str">
        <f>HYPERLINK("https://www.773grp.com/globalSearch/PBLS6004D115/page-1", "PBLS6004D115")</f>
        <v>PBLS6004D115</v>
      </c>
      <c r="B16606" s="3" t="s">
        <v>93</v>
      </c>
      <c r="C16606" s="6">
        <v>6000</v>
      </c>
      <c r="D16606" s="7">
        <v>0.48</v>
      </c>
    </row>
    <row r="16607" spans="1:4" x14ac:dyDescent="0.25">
      <c r="A16607" t="str">
        <f>HYPERLINK("https://www.773grp.com/globalSearch/PBSS4120T215/page-1", "PBSS4120T215")</f>
        <v>PBSS4120T215</v>
      </c>
      <c r="B16607" s="3" t="s">
        <v>93</v>
      </c>
      <c r="C16607" s="6">
        <v>9000</v>
      </c>
      <c r="D16607" s="7">
        <v>0.48</v>
      </c>
    </row>
    <row r="16608" spans="1:4" x14ac:dyDescent="0.25">
      <c r="A16608" t="str">
        <f>HYPERLINK("https://www.773grp.com/globalSearch/PBSS4130T215/page-1", "PBSS4130T215")</f>
        <v>PBSS4130T215</v>
      </c>
      <c r="B16608" s="3" t="s">
        <v>93</v>
      </c>
      <c r="C16608" s="6">
        <v>45000</v>
      </c>
      <c r="D16608" s="7">
        <v>0.48</v>
      </c>
    </row>
    <row r="16609" spans="1:4" x14ac:dyDescent="0.25">
      <c r="A16609" t="str">
        <f>HYPERLINK("https://www.773grp.com/globalSearch/PBSS4230T215/page-1", "PBSS4230T215")</f>
        <v>PBSS4230T215</v>
      </c>
      <c r="B16609" s="3" t="s">
        <v>93</v>
      </c>
      <c r="C16609" s="6">
        <v>33000</v>
      </c>
      <c r="D16609" s="7">
        <v>0.48</v>
      </c>
    </row>
    <row r="16610" spans="1:4" x14ac:dyDescent="0.25">
      <c r="A16610" t="str">
        <f>HYPERLINK("https://www.773grp.com/globalSearch/PBSS4330PA115/page-1", "PBSS4330PA115")</f>
        <v>PBSS4330PA115</v>
      </c>
      <c r="B16610" s="3" t="s">
        <v>93</v>
      </c>
      <c r="C16610" s="6">
        <v>6000</v>
      </c>
      <c r="D16610" s="7">
        <v>0.48</v>
      </c>
    </row>
    <row r="16611" spans="1:4" x14ac:dyDescent="0.25">
      <c r="A16611" t="str">
        <f>HYPERLINK("https://www.773grp.com/globalSearch/PBSS4350T215/page-1", "PBSS4350T215")</f>
        <v>PBSS4350T215</v>
      </c>
      <c r="B16611" s="3" t="s">
        <v>93</v>
      </c>
      <c r="C16611" s="6">
        <v>221909</v>
      </c>
      <c r="D16611" s="7">
        <v>0.48</v>
      </c>
    </row>
    <row r="16612" spans="1:4" x14ac:dyDescent="0.25">
      <c r="A16612" t="str">
        <f>HYPERLINK("https://www.773grp.com/globalSearch/PBSS4350X135/page-1", "PBSS4350X135")</f>
        <v>PBSS4350X135</v>
      </c>
      <c r="B16612" s="3" t="s">
        <v>93</v>
      </c>
      <c r="C16612" s="6">
        <v>275512</v>
      </c>
      <c r="D16612" s="7">
        <v>0.48</v>
      </c>
    </row>
    <row r="16613" spans="1:4" x14ac:dyDescent="0.25">
      <c r="A16613" t="str">
        <f>HYPERLINK("https://www.773grp.com/globalSearch/PBSS5120T215/page-1", "PBSS5120T215")</f>
        <v>PBSS5120T215</v>
      </c>
      <c r="B16613" s="3" t="s">
        <v>93</v>
      </c>
      <c r="C16613" s="6">
        <v>17527</v>
      </c>
      <c r="D16613" s="7">
        <v>0.48</v>
      </c>
    </row>
    <row r="16614" spans="1:4" x14ac:dyDescent="0.25">
      <c r="A16614" t="str">
        <f>HYPERLINK("https://www.773grp.com/globalSearch/PBSS5130T215/page-1", "PBSS5130T215")</f>
        <v>PBSS5130T215</v>
      </c>
      <c r="B16614" s="3" t="s">
        <v>93</v>
      </c>
      <c r="C16614" s="6">
        <v>6194</v>
      </c>
      <c r="D16614" s="7">
        <v>0.48</v>
      </c>
    </row>
    <row r="16615" spans="1:4" x14ac:dyDescent="0.25">
      <c r="A16615" t="str">
        <f>HYPERLINK("https://www.773grp.com/globalSearch/PBSS5220T215/page-1", "PBSS5220T215")</f>
        <v>PBSS5220T215</v>
      </c>
      <c r="B16615" s="3" t="s">
        <v>93</v>
      </c>
      <c r="C16615" s="6">
        <v>25983</v>
      </c>
      <c r="D16615" s="7">
        <v>0.48</v>
      </c>
    </row>
    <row r="16616" spans="1:4" x14ac:dyDescent="0.25">
      <c r="A16616" t="str">
        <f>HYPERLINK("https://www.773grp.com/globalSearch/PBSS5220V115/page-1", "PBSS5220V115")</f>
        <v>PBSS5220V115</v>
      </c>
      <c r="B16616" s="3" t="s">
        <v>93</v>
      </c>
      <c r="C16616" s="6">
        <v>4000</v>
      </c>
      <c r="D16616" s="7">
        <v>0.48</v>
      </c>
    </row>
    <row r="16617" spans="1:4" x14ac:dyDescent="0.25">
      <c r="A16617" t="str">
        <f>HYPERLINK("https://www.773grp.com/globalSearch/PBSS5230T215/page-1", "PBSS5230T215")</f>
        <v>PBSS5230T215</v>
      </c>
      <c r="B16617" s="3" t="s">
        <v>93</v>
      </c>
      <c r="C16617" s="6">
        <v>3000</v>
      </c>
      <c r="D16617" s="7">
        <v>0.48</v>
      </c>
    </row>
    <row r="16618" spans="1:4" x14ac:dyDescent="0.25">
      <c r="A16618" t="str">
        <f>HYPERLINK("https://www.773grp.com/globalSearch/PBSS5240V115/page-1", "PBSS5240V115")</f>
        <v>PBSS5240V115</v>
      </c>
      <c r="B16618" s="3" t="s">
        <v>93</v>
      </c>
      <c r="C16618" s="6">
        <v>4000</v>
      </c>
      <c r="D16618" s="7">
        <v>0.48</v>
      </c>
    </row>
    <row r="16619" spans="1:4" x14ac:dyDescent="0.25">
      <c r="A16619" t="str">
        <f>HYPERLINK("https://www.773grp.com/globalSearch/PBSS5240Y115/page-1", "PBSS5240Y115")</f>
        <v>PBSS5240Y115</v>
      </c>
      <c r="B16619" s="3" t="s">
        <v>93</v>
      </c>
      <c r="C16619" s="6">
        <v>3000</v>
      </c>
      <c r="D16619" s="7">
        <v>0.48</v>
      </c>
    </row>
    <row r="16620" spans="1:4" x14ac:dyDescent="0.25">
      <c r="A16620" t="str">
        <f>HYPERLINK("https://www.773grp.com/globalSearch/PBSS5250T215/page-1", "PBSS5250T215")</f>
        <v>PBSS5250T215</v>
      </c>
      <c r="B16620" s="3" t="s">
        <v>93</v>
      </c>
      <c r="C16620" s="6">
        <v>500</v>
      </c>
      <c r="D16620" s="7">
        <v>0.48</v>
      </c>
    </row>
    <row r="16621" spans="1:4" x14ac:dyDescent="0.25">
      <c r="A16621" t="str">
        <f>HYPERLINK("https://www.773grp.com/globalSearch/PBSS5350T215/page-1", "PBSS5350T215")</f>
        <v>PBSS5350T215</v>
      </c>
      <c r="B16621" s="3" t="s">
        <v>93</v>
      </c>
      <c r="C16621" s="6">
        <v>16772</v>
      </c>
      <c r="D16621" s="7">
        <v>0.48</v>
      </c>
    </row>
    <row r="16622" spans="1:4" x14ac:dyDescent="0.25">
      <c r="A16622" t="str">
        <f>HYPERLINK("https://www.773grp.com/globalSearch/PBSS8110D115/page-1", "PBSS8110D115")</f>
        <v>PBSS8110D115</v>
      </c>
      <c r="B16622" s="3" t="s">
        <v>93</v>
      </c>
      <c r="C16622" s="6">
        <v>450</v>
      </c>
      <c r="D16622" s="7">
        <v>0.48</v>
      </c>
    </row>
    <row r="16623" spans="1:4" x14ac:dyDescent="0.25">
      <c r="A16623" t="str">
        <f>HYPERLINK("https://www.773grp.com/globalSearch/PBSS8110T215/page-1", "PBSS8110T215")</f>
        <v>PBSS8110T215</v>
      </c>
      <c r="B16623" s="3" t="s">
        <v>93</v>
      </c>
      <c r="C16623" s="6">
        <v>18469</v>
      </c>
      <c r="D16623" s="7">
        <v>0.48</v>
      </c>
    </row>
    <row r="16624" spans="1:4" x14ac:dyDescent="0.25">
      <c r="A16624" t="str">
        <f>HYPERLINK("https://www.773grp.com/globalSearch/PBSS9110D115/page-1", "PBSS9110D115")</f>
        <v>PBSS9110D115</v>
      </c>
      <c r="B16624" s="3" t="s">
        <v>93</v>
      </c>
      <c r="C16624" s="6">
        <v>6409</v>
      </c>
      <c r="D16624" s="7">
        <v>0.48</v>
      </c>
    </row>
    <row r="16625" spans="1:4" x14ac:dyDescent="0.25">
      <c r="A16625" t="str">
        <f>HYPERLINK("https://www.773grp.com/globalSearch/PBSS9110T215/page-1", "PBSS9110T215")</f>
        <v>PBSS9110T215</v>
      </c>
      <c r="B16625" s="3" t="s">
        <v>93</v>
      </c>
      <c r="C16625" s="6">
        <v>21000</v>
      </c>
      <c r="D16625" s="7">
        <v>0.48</v>
      </c>
    </row>
    <row r="16626" spans="1:4" x14ac:dyDescent="0.25">
      <c r="A16626" t="str">
        <f>HYPERLINK("https://www.773grp.com/globalSearch/PBSS9110X135/page-1", "PBSS9110X135")</f>
        <v>PBSS9110X135</v>
      </c>
      <c r="B16626" s="3" t="s">
        <v>93</v>
      </c>
      <c r="C16626" s="6">
        <v>24000</v>
      </c>
      <c r="D16626" s="7">
        <v>0.48</v>
      </c>
    </row>
    <row r="16627" spans="1:4" x14ac:dyDescent="0.25">
      <c r="A16627" t="str">
        <f>HYPERLINK("https://www.773grp.com/globalSearch/PBSS9110Z135/page-1", "PBSS9110Z135")</f>
        <v>PBSS9110Z135</v>
      </c>
      <c r="B16627" s="3" t="s">
        <v>93</v>
      </c>
      <c r="C16627" s="6">
        <v>27588</v>
      </c>
      <c r="D16627" s="7">
        <v>0.48</v>
      </c>
    </row>
    <row r="16628" spans="1:4" x14ac:dyDescent="0.25">
      <c r="A16628" t="str">
        <f>HYPERLINK("https://www.773grp.com/globalSearch/PESD12VS4UD115/page-1", "PESD12VS4UD115")</f>
        <v>PESD12VS4UD115</v>
      </c>
      <c r="B16628" s="3" t="s">
        <v>93</v>
      </c>
      <c r="C16628" s="6">
        <v>2962</v>
      </c>
      <c r="D16628" s="7">
        <v>0.48</v>
      </c>
    </row>
    <row r="16629" spans="1:4" x14ac:dyDescent="0.25">
      <c r="A16629" t="str">
        <f>HYPERLINK("https://www.773grp.com/globalSearch/PESD15VS4UD115/page-1", "PESD15VS4UD115")</f>
        <v>PESD15VS4UD115</v>
      </c>
      <c r="B16629" s="3" t="s">
        <v>93</v>
      </c>
      <c r="C16629" s="6">
        <v>8322</v>
      </c>
      <c r="D16629" s="7">
        <v>0.48</v>
      </c>
    </row>
    <row r="16630" spans="1:4" x14ac:dyDescent="0.25">
      <c r="A16630" t="str">
        <f>HYPERLINK("https://www.773grp.com/globalSearch/PESD24VS4UD115/page-1", "PESD24VS4UD115")</f>
        <v>PESD24VS4UD115</v>
      </c>
      <c r="B16630" s="3" t="s">
        <v>93</v>
      </c>
      <c r="C16630" s="6">
        <v>39000</v>
      </c>
      <c r="D16630" s="7">
        <v>0.48</v>
      </c>
    </row>
    <row r="16631" spans="1:4" x14ac:dyDescent="0.25">
      <c r="A16631" t="str">
        <f>HYPERLINK("https://www.773grp.com/globalSearch/PESD3V3L4UF115/page-1", "PESD3V3L4UF115")</f>
        <v>PESD3V3L4UF115</v>
      </c>
      <c r="B16631" s="3" t="s">
        <v>93</v>
      </c>
      <c r="C16631" s="6">
        <v>15000</v>
      </c>
      <c r="D16631" s="7">
        <v>0.48</v>
      </c>
    </row>
    <row r="16632" spans="1:4" x14ac:dyDescent="0.25">
      <c r="A16632" t="str">
        <f>HYPERLINK("https://www.773grp.com/globalSearch/PESD3V3L4UW115/page-1", "PESD3V3L4UW115")</f>
        <v>PESD3V3L4UW115</v>
      </c>
      <c r="B16632" s="3" t="s">
        <v>93</v>
      </c>
      <c r="C16632" s="6">
        <v>170</v>
      </c>
      <c r="D16632" s="7">
        <v>0.48</v>
      </c>
    </row>
    <row r="16633" spans="1:4" x14ac:dyDescent="0.25">
      <c r="A16633" t="str">
        <f>HYPERLINK("https://www.773grp.com/globalSearch/PESD3V3L5UK132/page-1", "PESD3V3L5UK132")</f>
        <v>PESD3V3L5UK132</v>
      </c>
      <c r="B16633" s="3" t="s">
        <v>93</v>
      </c>
      <c r="C16633" s="6">
        <v>5000</v>
      </c>
      <c r="D16633" s="7">
        <v>0.48</v>
      </c>
    </row>
    <row r="16634" spans="1:4" x14ac:dyDescent="0.25">
      <c r="A16634" t="str">
        <f>HYPERLINK("https://www.773grp.com/globalSearch/PESD3V3S4UD115/page-1", "PESD3V3S4UD115")</f>
        <v>PESD3V3S4UD115</v>
      </c>
      <c r="B16634" s="3" t="s">
        <v>93</v>
      </c>
      <c r="C16634" s="6">
        <v>2540</v>
      </c>
      <c r="D16634" s="7">
        <v>0.48</v>
      </c>
    </row>
    <row r="16635" spans="1:4" x14ac:dyDescent="0.25">
      <c r="A16635" t="str">
        <f>HYPERLINK("https://www.773grp.com/globalSearch/PESD3V3V4UF115/page-1", "PESD3V3V4UF115")</f>
        <v>PESD3V3V4UF115</v>
      </c>
      <c r="B16635" s="3" t="s">
        <v>93</v>
      </c>
      <c r="C16635" s="6">
        <v>3000</v>
      </c>
      <c r="D16635" s="7">
        <v>0.48</v>
      </c>
    </row>
    <row r="16636" spans="1:4" x14ac:dyDescent="0.25">
      <c r="A16636" t="str">
        <f>HYPERLINK("https://www.773grp.com/globalSearch/PESD5V0L4UW115/page-1", "PESD5V0L4UW115")</f>
        <v>PESD5V0L4UW115</v>
      </c>
      <c r="B16636" s="3" t="s">
        <v>93</v>
      </c>
      <c r="C16636" s="6">
        <v>12200</v>
      </c>
      <c r="D16636" s="7">
        <v>0.48</v>
      </c>
    </row>
    <row r="16637" spans="1:4" x14ac:dyDescent="0.25">
      <c r="A16637" t="str">
        <f>HYPERLINK("https://www.773grp.com/globalSearch/PESD5V0S1BL315/page-1", "PESD5V0S1BL315")</f>
        <v>PESD5V0S1BL315</v>
      </c>
      <c r="B16637" s="3" t="s">
        <v>93</v>
      </c>
      <c r="C16637" s="6">
        <v>1980000</v>
      </c>
      <c r="D16637" s="7">
        <v>0.48</v>
      </c>
    </row>
    <row r="16638" spans="1:4" x14ac:dyDescent="0.25">
      <c r="A16638" t="str">
        <f>HYPERLINK("https://www.773grp.com/globalSearch/PESD5V0S4UD115/page-1", "PESD5V0S4UD115")</f>
        <v>PESD5V0S4UD115</v>
      </c>
      <c r="B16638" s="3" t="s">
        <v>93</v>
      </c>
      <c r="C16638" s="6">
        <v>3000</v>
      </c>
      <c r="D16638" s="7">
        <v>0.48</v>
      </c>
    </row>
    <row r="16639" spans="1:4" x14ac:dyDescent="0.25">
      <c r="A16639" t="str">
        <f>HYPERLINK("https://www.773grp.com/globalSearch/PESD5V0U2BM315/page-1", "PESD5V0U2BM315")</f>
        <v>PESD5V0U2BM315</v>
      </c>
      <c r="B16639" s="3" t="s">
        <v>93</v>
      </c>
      <c r="C16639" s="6">
        <v>225</v>
      </c>
      <c r="D16639" s="7">
        <v>0.48</v>
      </c>
    </row>
    <row r="16640" spans="1:4" x14ac:dyDescent="0.25">
      <c r="A16640" t="str">
        <f>HYPERLINK("https://www.773grp.com/globalSearch/PESD5V0V4UW115/page-1", "PESD5V0V4UW115")</f>
        <v>PESD5V0V4UW115</v>
      </c>
      <c r="B16640" s="3" t="s">
        <v>93</v>
      </c>
      <c r="C16640" s="6">
        <v>4457</v>
      </c>
      <c r="D16640" s="7">
        <v>0.48</v>
      </c>
    </row>
    <row r="16641" spans="1:4" x14ac:dyDescent="0.25">
      <c r="A16641" t="str">
        <f>HYPERLINK("https://www.773grp.com/globalSearch/PMBD353215/page-1", "PMBD353215")</f>
        <v>PMBD353215</v>
      </c>
      <c r="B16641" s="3" t="s">
        <v>93</v>
      </c>
      <c r="C16641" s="6">
        <v>18000</v>
      </c>
      <c r="D16641" s="7">
        <v>0.48</v>
      </c>
    </row>
    <row r="16642" spans="1:4" x14ac:dyDescent="0.25">
      <c r="A16642" t="str">
        <f>HYPERLINK("https://www.773grp.com/globalSearch/PMBD354215/page-1", "PMBD354215")</f>
        <v>PMBD354215</v>
      </c>
      <c r="B16642" s="3" t="s">
        <v>93</v>
      </c>
      <c r="C16642" s="6">
        <v>13000</v>
      </c>
      <c r="D16642" s="7">
        <v>0.48</v>
      </c>
    </row>
    <row r="16643" spans="1:4" x14ac:dyDescent="0.25">
      <c r="A16643" t="str">
        <f>HYPERLINK("https://www.773grp.com/globalSearch/PMBFJ110215/page-1", "PMBFJ110215")</f>
        <v>PMBFJ110215</v>
      </c>
      <c r="B16643" s="3" t="s">
        <v>93</v>
      </c>
      <c r="C16643" s="6">
        <v>423000</v>
      </c>
      <c r="D16643" s="7">
        <v>0.48</v>
      </c>
    </row>
    <row r="16644" spans="1:4" x14ac:dyDescent="0.25">
      <c r="A16644" t="str">
        <f>HYPERLINK("https://www.773grp.com/globalSearch/PMBFJ309215/page-1", "PMBFJ309215")</f>
        <v>PMBFJ309215</v>
      </c>
      <c r="B16644" s="3" t="s">
        <v>93</v>
      </c>
      <c r="C16644" s="6">
        <v>99000</v>
      </c>
      <c r="D16644" s="7">
        <v>0.48</v>
      </c>
    </row>
    <row r="16645" spans="1:4" x14ac:dyDescent="0.25">
      <c r="A16645" t="str">
        <f>HYPERLINK("https://www.773grp.com/globalSearch/PMBTA44215/page-1", "PMBTA44215")</f>
        <v>PMBTA44215</v>
      </c>
      <c r="B16645" s="3" t="s">
        <v>93</v>
      </c>
      <c r="C16645" s="6">
        <v>9400</v>
      </c>
      <c r="D16645" s="7">
        <v>0.48</v>
      </c>
    </row>
    <row r="16646" spans="1:4" x14ac:dyDescent="0.25">
      <c r="A16646" t="str">
        <f>HYPERLINK("https://www.773grp.com/globalSearch/PMEG2020CPA115/page-1", "PMEG2020CPA115")</f>
        <v>PMEG2020CPA115</v>
      </c>
      <c r="B16646" s="3" t="s">
        <v>93</v>
      </c>
      <c r="C16646" s="6">
        <v>9000</v>
      </c>
      <c r="D16646" s="7">
        <v>0.48</v>
      </c>
    </row>
    <row r="16647" spans="1:4" x14ac:dyDescent="0.25">
      <c r="A16647" t="str">
        <f>HYPERLINK("https://www.773grp.com/globalSearch/PMEG3030BEP115/page-1", "PMEG3030BEP115")</f>
        <v>PMEG3030BEP115</v>
      </c>
      <c r="B16647" s="3" t="s">
        <v>93</v>
      </c>
      <c r="C16647" s="6">
        <v>5269</v>
      </c>
      <c r="D16647" s="7">
        <v>0.48</v>
      </c>
    </row>
    <row r="16648" spans="1:4" x14ac:dyDescent="0.25">
      <c r="A16648" t="str">
        <f>HYPERLINK("https://www.773grp.com/globalSearch/PMEG3030EP115/page-1", "PMEG3030EP115")</f>
        <v>PMEG3030EP115</v>
      </c>
      <c r="B16648" s="3" t="s">
        <v>93</v>
      </c>
      <c r="C16648" s="6">
        <v>90000</v>
      </c>
      <c r="D16648" s="7">
        <v>0.48</v>
      </c>
    </row>
    <row r="16649" spans="1:4" x14ac:dyDescent="0.25">
      <c r="A16649" t="str">
        <f>HYPERLINK("https://www.773grp.com/globalSearch/PMEG4020ETR115/page-1", "PMEG4020ETR115")</f>
        <v>PMEG4020ETR115</v>
      </c>
      <c r="B16649" s="3" t="s">
        <v>93</v>
      </c>
      <c r="C16649" s="6">
        <v>6000</v>
      </c>
      <c r="D16649" s="7">
        <v>0.48</v>
      </c>
    </row>
    <row r="16650" spans="1:4" x14ac:dyDescent="0.25">
      <c r="A16650" t="str">
        <f>HYPERLINK("https://www.773grp.com/globalSearch/PMEG6010CPA115/page-1", "PMEG6010CPA115")</f>
        <v>PMEG6010CPA115</v>
      </c>
      <c r="B16650" s="3" t="s">
        <v>93</v>
      </c>
      <c r="C16650" s="6">
        <v>15150</v>
      </c>
      <c r="D16650" s="7">
        <v>0.48</v>
      </c>
    </row>
    <row r="16651" spans="1:4" x14ac:dyDescent="0.25">
      <c r="A16651" t="str">
        <f>HYPERLINK("https://www.773grp.com/globalSearch/PMEG6020ER115/page-1", "PMEG6020ER115")</f>
        <v>PMEG6020ER115</v>
      </c>
      <c r="B16651" s="3" t="s">
        <v>93</v>
      </c>
      <c r="C16651" s="6">
        <v>774</v>
      </c>
      <c r="D16651" s="7">
        <v>0.48</v>
      </c>
    </row>
    <row r="16652" spans="1:4" x14ac:dyDescent="0.25">
      <c r="A16652" t="str">
        <f>HYPERLINK("https://www.773grp.com/globalSearch/PMN34UP115/page-1", "PMN34UP115")</f>
        <v>PMN34UP115</v>
      </c>
      <c r="B16652" s="3" t="s">
        <v>93</v>
      </c>
      <c r="C16652" s="6">
        <v>500</v>
      </c>
      <c r="D16652" s="7">
        <v>0.48</v>
      </c>
    </row>
    <row r="16653" spans="1:4" x14ac:dyDescent="0.25">
      <c r="A16653" t="str">
        <f>HYPERLINK("https://www.773grp.com/globalSearch/PMT21EN115/page-1", "PMT21EN115")</f>
        <v>PMT21EN115</v>
      </c>
      <c r="B16653" s="3" t="s">
        <v>93</v>
      </c>
      <c r="C16653" s="6">
        <v>3500</v>
      </c>
      <c r="D16653" s="7">
        <v>0.48</v>
      </c>
    </row>
    <row r="16654" spans="1:4" x14ac:dyDescent="0.25">
      <c r="A16654" t="str">
        <f>HYPERLINK("https://www.773grp.com/globalSearch/PMT21EN135/page-1", "PMT21EN135")</f>
        <v>PMT21EN135</v>
      </c>
      <c r="B16654" s="3" t="s">
        <v>93</v>
      </c>
      <c r="C16654" s="6">
        <v>222</v>
      </c>
      <c r="D16654" s="7">
        <v>0.48</v>
      </c>
    </row>
    <row r="16655" spans="1:4" x14ac:dyDescent="0.25">
      <c r="A16655" t="str">
        <f>HYPERLINK("https://www.773grp.com/globalSearch/PMV28UN215/page-1", "PMV28UN215")</f>
        <v>PMV28UN215</v>
      </c>
      <c r="B16655" s="3" t="s">
        <v>93</v>
      </c>
      <c r="C16655" s="6">
        <v>6000</v>
      </c>
      <c r="D16655" s="7">
        <v>0.48</v>
      </c>
    </row>
    <row r="16656" spans="1:4" x14ac:dyDescent="0.25">
      <c r="A16656" t="str">
        <f>HYPERLINK("https://www.773grp.com/globalSearch/PMV30UN215/page-1", "PMV30UN215")</f>
        <v>PMV30UN215</v>
      </c>
      <c r="B16656" s="3" t="s">
        <v>93</v>
      </c>
      <c r="C16656" s="6">
        <v>9000</v>
      </c>
      <c r="D16656" s="7">
        <v>0.48</v>
      </c>
    </row>
    <row r="16657" spans="1:4" x14ac:dyDescent="0.25">
      <c r="A16657" t="str">
        <f>HYPERLINK("https://www.773grp.com/globalSearch/PMV30XN215/page-1", "PMV30XN215")</f>
        <v>PMV30XN215</v>
      </c>
      <c r="B16657" s="3" t="s">
        <v>93</v>
      </c>
      <c r="C16657" s="6">
        <v>3000</v>
      </c>
      <c r="D16657" s="7">
        <v>0.48</v>
      </c>
    </row>
    <row r="16658" spans="1:4" x14ac:dyDescent="0.25">
      <c r="A16658" t="str">
        <f>HYPERLINK("https://www.773grp.com/globalSearch/SL3S1213FTB0115/page-1", "SL3S1213FTB0115")</f>
        <v>SL3S1213FTB0115</v>
      </c>
      <c r="B16658" s="3" t="s">
        <v>93</v>
      </c>
      <c r="C16658" s="6">
        <v>22000</v>
      </c>
      <c r="D16658" s="7">
        <v>0.48</v>
      </c>
    </row>
    <row r="16659" spans="1:4" x14ac:dyDescent="0.25">
      <c r="A16659" t="str">
        <f>HYPERLINK("https://www.773grp.com/globalSearch/XC7WT14GT115/page-1", "XC7WT14GT115")</f>
        <v>XC7WT14GT115</v>
      </c>
      <c r="B16659" s="3" t="s">
        <v>93</v>
      </c>
      <c r="C16659" s="6">
        <v>300</v>
      </c>
      <c r="D16659" s="7">
        <v>0.48</v>
      </c>
    </row>
    <row r="16660" spans="1:4" x14ac:dyDescent="0.25">
      <c r="A16660" t="str">
        <f>HYPERLINK("https://www.773grp.com/globalSearch/1PS70SB84115/page-1", "1PS70SB84115")</f>
        <v>1PS70SB84115</v>
      </c>
      <c r="B16660" s="3" t="s">
        <v>93</v>
      </c>
      <c r="C16660" s="6">
        <v>3073</v>
      </c>
      <c r="D16660" s="7">
        <v>0.53</v>
      </c>
    </row>
    <row r="16661" spans="1:4" x14ac:dyDescent="0.25">
      <c r="A16661" t="str">
        <f>HYPERLINK("https://www.773grp.com/globalSearch/1PS70SB86115/page-1", "1PS70SB86115")</f>
        <v>1PS70SB86115</v>
      </c>
      <c r="B16661" s="3" t="s">
        <v>93</v>
      </c>
      <c r="C16661" s="6">
        <v>9203</v>
      </c>
      <c r="D16661" s="7">
        <v>0.53</v>
      </c>
    </row>
    <row r="16662" spans="1:4" x14ac:dyDescent="0.25">
      <c r="A16662" t="str">
        <f>HYPERLINK("https://www.773grp.com/globalSearch/74AHC244PW112/page-1", "74AHC244PW112")</f>
        <v>74AHC244PW112</v>
      </c>
      <c r="B16662" s="3" t="s">
        <v>93</v>
      </c>
      <c r="C16662" s="6">
        <v>11096</v>
      </c>
      <c r="D16662" s="7">
        <v>0.53</v>
      </c>
    </row>
    <row r="16663" spans="1:4" x14ac:dyDescent="0.25">
      <c r="A16663" t="str">
        <f>HYPERLINK("https://www.773grp.com/globalSearch/74AHC244PW118/page-1", "74AHC244PW118")</f>
        <v>74AHC244PW118</v>
      </c>
      <c r="B16663" s="3" t="s">
        <v>93</v>
      </c>
      <c r="C16663" s="6">
        <v>20000</v>
      </c>
      <c r="D16663" s="7">
        <v>0.53</v>
      </c>
    </row>
    <row r="16664" spans="1:4" x14ac:dyDescent="0.25">
      <c r="A16664" t="str">
        <f>HYPERLINK("https://www.773grp.com/globalSearch/74AHC245PW112/page-1", "74AHC245PW112")</f>
        <v>74AHC245PW112</v>
      </c>
      <c r="B16664" s="3" t="s">
        <v>93</v>
      </c>
      <c r="C16664" s="6">
        <v>9765</v>
      </c>
      <c r="D16664" s="7">
        <v>0.53</v>
      </c>
    </row>
    <row r="16665" spans="1:4" x14ac:dyDescent="0.25">
      <c r="A16665" t="str">
        <f>HYPERLINK("https://www.773grp.com/globalSearch/74AHC245PW118/page-1", "74AHC245PW118")</f>
        <v>74AHC245PW118</v>
      </c>
      <c r="B16665" s="3" t="s">
        <v>93</v>
      </c>
      <c r="C16665" s="6">
        <v>277666</v>
      </c>
      <c r="D16665" s="7">
        <v>0.53</v>
      </c>
    </row>
    <row r="16666" spans="1:4" x14ac:dyDescent="0.25">
      <c r="A16666" t="str">
        <f>HYPERLINK("https://www.773grp.com/globalSearch/74AHC257PW118/page-1", "74AHC257PW118")</f>
        <v>74AHC257PW118</v>
      </c>
      <c r="B16666" s="3" t="s">
        <v>93</v>
      </c>
      <c r="C16666" s="6">
        <v>5300</v>
      </c>
      <c r="D16666" s="7">
        <v>0.53</v>
      </c>
    </row>
    <row r="16667" spans="1:4" x14ac:dyDescent="0.25">
      <c r="A16667" t="str">
        <f>HYPERLINK("https://www.773grp.com/globalSearch/74AHC273BQ115/page-1", "74AHC273BQ115")</f>
        <v>74AHC273BQ115</v>
      </c>
      <c r="B16667" s="3" t="s">
        <v>93</v>
      </c>
      <c r="C16667" s="6">
        <v>6000</v>
      </c>
      <c r="D16667" s="7">
        <v>0.53</v>
      </c>
    </row>
    <row r="16668" spans="1:4" x14ac:dyDescent="0.25">
      <c r="A16668" t="str">
        <f>HYPERLINK("https://www.773grp.com/globalSearch/74AHC30D112/page-1", "74AHC30D112")</f>
        <v>74AHC30D112</v>
      </c>
      <c r="B16668" s="3" t="s">
        <v>93</v>
      </c>
      <c r="C16668" s="6">
        <v>3420</v>
      </c>
      <c r="D16668" s="7">
        <v>0.53</v>
      </c>
    </row>
    <row r="16669" spans="1:4" x14ac:dyDescent="0.25">
      <c r="A16669" t="str">
        <f>HYPERLINK("https://www.773grp.com/globalSearch/74AHC30PW112/page-1", "74AHC30PW112")</f>
        <v>74AHC30PW112</v>
      </c>
      <c r="B16669" s="3" t="s">
        <v>93</v>
      </c>
      <c r="C16669" s="6">
        <v>4000</v>
      </c>
      <c r="D16669" s="7">
        <v>0.53</v>
      </c>
    </row>
    <row r="16670" spans="1:4" x14ac:dyDescent="0.25">
      <c r="A16670" t="str">
        <f>HYPERLINK("https://www.773grp.com/globalSearch/74AHC30PW118/page-1", "74AHC30PW118")</f>
        <v>74AHC30PW118</v>
      </c>
      <c r="B16670" s="3" t="s">
        <v>93</v>
      </c>
      <c r="C16670" s="6">
        <v>2500</v>
      </c>
      <c r="D16670" s="7">
        <v>0.53</v>
      </c>
    </row>
    <row r="16671" spans="1:4" x14ac:dyDescent="0.25">
      <c r="A16671" t="str">
        <f>HYPERLINK("https://www.773grp.com/globalSearch/74AHC373PW118/page-1", "74AHC373PW118")</f>
        <v>74AHC373PW118</v>
      </c>
      <c r="B16671" s="3" t="s">
        <v>93</v>
      </c>
      <c r="C16671" s="6">
        <v>37650</v>
      </c>
      <c r="D16671" s="7">
        <v>0.53</v>
      </c>
    </row>
    <row r="16672" spans="1:4" x14ac:dyDescent="0.25">
      <c r="A16672" t="str">
        <f>HYPERLINK("https://www.773grp.com/globalSearch/74AHC541BQ115/page-1", "74AHC541BQ115")</f>
        <v>74AHC541BQ115</v>
      </c>
      <c r="B16672" s="3" t="s">
        <v>93</v>
      </c>
      <c r="C16672" s="6">
        <v>6150</v>
      </c>
      <c r="D16672" s="7">
        <v>0.53</v>
      </c>
    </row>
    <row r="16673" spans="1:4" x14ac:dyDescent="0.25">
      <c r="A16673" t="str">
        <f>HYPERLINK("https://www.773grp.com/globalSearch/74AHC541PW118/page-1", "74AHC541PW118")</f>
        <v>74AHC541PW118</v>
      </c>
      <c r="B16673" s="3" t="s">
        <v>93</v>
      </c>
      <c r="C16673" s="6">
        <v>369</v>
      </c>
      <c r="D16673" s="7">
        <v>0.53</v>
      </c>
    </row>
    <row r="16674" spans="1:4" x14ac:dyDescent="0.25">
      <c r="A16674" t="str">
        <f>HYPERLINK("https://www.773grp.com/globalSearch/74AHC573PW112/page-1", "74AHC573PW112")</f>
        <v>74AHC573PW112</v>
      </c>
      <c r="B16674" s="3" t="s">
        <v>93</v>
      </c>
      <c r="C16674" s="6">
        <v>27187</v>
      </c>
      <c r="D16674" s="7">
        <v>0.53</v>
      </c>
    </row>
    <row r="16675" spans="1:4" x14ac:dyDescent="0.25">
      <c r="A16675" t="str">
        <f>HYPERLINK("https://www.773grp.com/globalSearch/74AHC595PW112/page-1", "74AHC595PW112")</f>
        <v>74AHC595PW112</v>
      </c>
      <c r="B16675" s="3" t="s">
        <v>93</v>
      </c>
      <c r="C16675" s="6">
        <v>2400</v>
      </c>
      <c r="D16675" s="7">
        <v>0.53</v>
      </c>
    </row>
    <row r="16676" spans="1:4" x14ac:dyDescent="0.25">
      <c r="A16676" t="str">
        <f>HYPERLINK("https://www.773grp.com/globalSearch/74AHC595PW118/page-1", "74AHC595PW118")</f>
        <v>74AHC595PW118</v>
      </c>
      <c r="B16676" s="3" t="s">
        <v>93</v>
      </c>
      <c r="C16676" s="6">
        <v>82719</v>
      </c>
      <c r="D16676" s="7">
        <v>0.53</v>
      </c>
    </row>
    <row r="16677" spans="1:4" x14ac:dyDescent="0.25">
      <c r="A16677" t="str">
        <f>HYPERLINK("https://www.773grp.com/globalSearch/74AHCT244PW118/page-1", "74AHCT244PW118")</f>
        <v>74AHCT244PW118</v>
      </c>
      <c r="B16677" s="3" t="s">
        <v>93</v>
      </c>
      <c r="C16677" s="6">
        <v>17500</v>
      </c>
      <c r="D16677" s="7">
        <v>0.53</v>
      </c>
    </row>
    <row r="16678" spans="1:4" x14ac:dyDescent="0.25">
      <c r="A16678" t="str">
        <f>HYPERLINK("https://www.773grp.com/globalSearch/74AHCT245PW112/page-1", "74AHCT245PW112")</f>
        <v>74AHCT245PW112</v>
      </c>
      <c r="B16678" s="3" t="s">
        <v>93</v>
      </c>
      <c r="C16678" s="6">
        <v>28295</v>
      </c>
      <c r="D16678" s="7">
        <v>0.53</v>
      </c>
    </row>
    <row r="16679" spans="1:4" x14ac:dyDescent="0.25">
      <c r="A16679" t="str">
        <f>HYPERLINK("https://www.773grp.com/globalSearch/74AHCT273BQ115/page-1", "74AHCT273BQ115")</f>
        <v>74AHCT273BQ115</v>
      </c>
      <c r="B16679" s="3" t="s">
        <v>93</v>
      </c>
      <c r="C16679" s="6">
        <v>3000</v>
      </c>
      <c r="D16679" s="7">
        <v>0.53</v>
      </c>
    </row>
    <row r="16680" spans="1:4" x14ac:dyDescent="0.25">
      <c r="A16680" t="str">
        <f>HYPERLINK("https://www.773grp.com/globalSearch/74AHCT30D112/page-1", "74AHCT30D112")</f>
        <v>74AHCT30D112</v>
      </c>
      <c r="B16680" s="3" t="s">
        <v>93</v>
      </c>
      <c r="C16680" s="6">
        <v>1140</v>
      </c>
      <c r="D16680" s="7">
        <v>0.53</v>
      </c>
    </row>
    <row r="16681" spans="1:4" x14ac:dyDescent="0.25">
      <c r="A16681" t="str">
        <f>HYPERLINK("https://www.773grp.com/globalSearch/74AHCT30PW112/page-1", "74AHCT30PW112")</f>
        <v>74AHCT30PW112</v>
      </c>
      <c r="B16681" s="3" t="s">
        <v>93</v>
      </c>
      <c r="C16681" s="6">
        <v>2714</v>
      </c>
      <c r="D16681" s="7">
        <v>0.53</v>
      </c>
    </row>
    <row r="16682" spans="1:4" x14ac:dyDescent="0.25">
      <c r="A16682" t="str">
        <f>HYPERLINK("https://www.773grp.com/globalSearch/74AHCT30PW118/page-1", "74AHCT30PW118")</f>
        <v>74AHCT30PW118</v>
      </c>
      <c r="B16682" s="3" t="s">
        <v>93</v>
      </c>
      <c r="C16682" s="6">
        <v>2500</v>
      </c>
      <c r="D16682" s="7">
        <v>0.53</v>
      </c>
    </row>
    <row r="16683" spans="1:4" x14ac:dyDescent="0.25">
      <c r="A16683" t="str">
        <f>HYPERLINK("https://www.773grp.com/globalSearch/74AHCT574BQ115/page-1", "74AHCT574BQ115")</f>
        <v>74AHCT574BQ115</v>
      </c>
      <c r="B16683" s="3" t="s">
        <v>93</v>
      </c>
      <c r="C16683" s="6">
        <v>3000</v>
      </c>
      <c r="D16683" s="7">
        <v>0.53</v>
      </c>
    </row>
    <row r="16684" spans="1:4" x14ac:dyDescent="0.25">
      <c r="A16684" t="str">
        <f>HYPERLINK("https://www.773grp.com/globalSearch/74AHCT595PW112/page-1", "74AHCT595PW112")</f>
        <v>74AHCT595PW112</v>
      </c>
      <c r="B16684" s="3" t="s">
        <v>93</v>
      </c>
      <c r="C16684" s="6">
        <v>10941</v>
      </c>
      <c r="D16684" s="7">
        <v>0.53</v>
      </c>
    </row>
    <row r="16685" spans="1:4" x14ac:dyDescent="0.25">
      <c r="A16685" t="str">
        <f>HYPERLINK("https://www.773grp.com/globalSearch/74AHCT595PW118/page-1", "74AHCT595PW118")</f>
        <v>74AHCT595PW118</v>
      </c>
      <c r="B16685" s="3" t="s">
        <v>93</v>
      </c>
      <c r="C16685" s="6">
        <v>50000</v>
      </c>
      <c r="D16685" s="7">
        <v>0.53</v>
      </c>
    </row>
    <row r="16686" spans="1:4" x14ac:dyDescent="0.25">
      <c r="A16686" t="str">
        <f>HYPERLINK("https://www.773grp.com/globalSearch/74AUP1G09GW125/page-1", "74AUP1G09GW125")</f>
        <v>74AUP1G09GW125</v>
      </c>
      <c r="B16686" s="3" t="s">
        <v>93</v>
      </c>
      <c r="C16686" s="6">
        <v>224</v>
      </c>
      <c r="D16686" s="7">
        <v>0.53</v>
      </c>
    </row>
    <row r="16687" spans="1:4" x14ac:dyDescent="0.25">
      <c r="A16687" t="str">
        <f>HYPERLINK("https://www.773grp.com/globalSearch/74AUP1G126GW125/page-1", "74AUP1G126GW125")</f>
        <v>74AUP1G126GW125</v>
      </c>
      <c r="B16687" s="3" t="s">
        <v>93</v>
      </c>
      <c r="C16687" s="6">
        <v>68201</v>
      </c>
      <c r="D16687" s="7">
        <v>0.53</v>
      </c>
    </row>
    <row r="16688" spans="1:4" x14ac:dyDescent="0.25">
      <c r="A16688" t="str">
        <f>HYPERLINK("https://www.773grp.com/globalSearch/74AUP1G19GW125/page-1", "74AUP1G19GW125")</f>
        <v>74AUP1G19GW125</v>
      </c>
      <c r="B16688" s="3" t="s">
        <v>93</v>
      </c>
      <c r="C16688" s="6">
        <v>3200</v>
      </c>
      <c r="D16688" s="7">
        <v>0.53</v>
      </c>
    </row>
    <row r="16689" spans="1:4" x14ac:dyDescent="0.25">
      <c r="A16689" t="str">
        <f>HYPERLINK("https://www.773grp.com/globalSearch/74AUP1G240GW125/page-1", "74AUP1G240GW125")</f>
        <v>74AUP1G240GW125</v>
      </c>
      <c r="B16689" s="3" t="s">
        <v>93</v>
      </c>
      <c r="C16689" s="6">
        <v>190</v>
      </c>
      <c r="D16689" s="7">
        <v>0.53</v>
      </c>
    </row>
    <row r="16690" spans="1:4" x14ac:dyDescent="0.25">
      <c r="A16690" t="str">
        <f>HYPERLINK("https://www.773grp.com/globalSearch/74AUP1G34GW125/page-1", "74AUP1G34GW125")</f>
        <v>74AUP1G34GW125</v>
      </c>
      <c r="B16690" s="3" t="s">
        <v>93</v>
      </c>
      <c r="C16690" s="6">
        <v>15000</v>
      </c>
      <c r="D16690" s="7">
        <v>0.53</v>
      </c>
    </row>
    <row r="16691" spans="1:4" x14ac:dyDescent="0.25">
      <c r="A16691" t="str">
        <f>HYPERLINK("https://www.773grp.com/globalSearch/74AUP2G06GW125/page-1", "74AUP2G06GW125")</f>
        <v>74AUP2G06GW125</v>
      </c>
      <c r="B16691" s="3" t="s">
        <v>93</v>
      </c>
      <c r="C16691" s="6">
        <v>3000</v>
      </c>
      <c r="D16691" s="7">
        <v>0.53</v>
      </c>
    </row>
    <row r="16692" spans="1:4" x14ac:dyDescent="0.25">
      <c r="A16692" t="str">
        <f>HYPERLINK("https://www.773grp.com/globalSearch/74AVC1T45GW125/page-1", "74AVC1T45GW125")</f>
        <v>74AVC1T45GW125</v>
      </c>
      <c r="B16692" s="3" t="s">
        <v>93</v>
      </c>
      <c r="C16692" s="6">
        <v>1339</v>
      </c>
      <c r="D16692" s="7">
        <v>0.53</v>
      </c>
    </row>
    <row r="16693" spans="1:4" x14ac:dyDescent="0.25">
      <c r="A16693" t="str">
        <f>HYPERLINK("https://www.773grp.com/globalSearch/74HC107D652/page-1", "74HC107D652")</f>
        <v>74HC107D652</v>
      </c>
      <c r="B16693" s="3" t="s">
        <v>93</v>
      </c>
      <c r="C16693" s="6">
        <v>3333</v>
      </c>
      <c r="D16693" s="7">
        <v>0.53</v>
      </c>
    </row>
    <row r="16694" spans="1:4" x14ac:dyDescent="0.25">
      <c r="A16694" t="str">
        <f>HYPERLINK("https://www.773grp.com/globalSearch/74HC107D653/page-1", "74HC107D653")</f>
        <v>74HC107D653</v>
      </c>
      <c r="B16694" s="3" t="s">
        <v>93</v>
      </c>
      <c r="C16694" s="6">
        <v>1562</v>
      </c>
      <c r="D16694" s="7">
        <v>0.53</v>
      </c>
    </row>
    <row r="16695" spans="1:4" x14ac:dyDescent="0.25">
      <c r="A16695" t="str">
        <f>HYPERLINK("https://www.773grp.com/globalSearch/74HC109D652/page-1", "74HC109D652")</f>
        <v>74HC109D652</v>
      </c>
      <c r="B16695" s="3" t="s">
        <v>93</v>
      </c>
      <c r="C16695" s="6">
        <v>8875</v>
      </c>
      <c r="D16695" s="7">
        <v>0.53</v>
      </c>
    </row>
    <row r="16696" spans="1:4" x14ac:dyDescent="0.25">
      <c r="A16696" t="str">
        <f>HYPERLINK("https://www.773grp.com/globalSearch/74HC109D653/page-1", "74HC109D653")</f>
        <v>74HC109D653</v>
      </c>
      <c r="B16696" s="3" t="s">
        <v>93</v>
      </c>
      <c r="C16696" s="6">
        <v>15000</v>
      </c>
      <c r="D16696" s="7">
        <v>0.53</v>
      </c>
    </row>
    <row r="16697" spans="1:4" x14ac:dyDescent="0.25">
      <c r="A16697" t="str">
        <f>HYPERLINK("https://www.773grp.com/globalSearch/74HC123PW112/page-1", "74HC123PW112")</f>
        <v>74HC123PW112</v>
      </c>
      <c r="B16697" s="3" t="s">
        <v>93</v>
      </c>
      <c r="C16697" s="6">
        <v>18724</v>
      </c>
      <c r="D16697" s="7">
        <v>0.53</v>
      </c>
    </row>
    <row r="16698" spans="1:4" x14ac:dyDescent="0.25">
      <c r="A16698" t="str">
        <f>HYPERLINK("https://www.773grp.com/globalSearch/74HC123PW118/page-1", "74HC123PW118")</f>
        <v>74HC123PW118</v>
      </c>
      <c r="B16698" s="3" t="s">
        <v>93</v>
      </c>
      <c r="C16698" s="6">
        <v>50000</v>
      </c>
      <c r="D16698" s="7">
        <v>0.53</v>
      </c>
    </row>
    <row r="16699" spans="1:4" x14ac:dyDescent="0.25">
      <c r="A16699" t="str">
        <f>HYPERLINK("https://www.773grp.com/globalSearch/74HC125DB118/page-1", "74HC125DB118")</f>
        <v>74HC125DB118</v>
      </c>
      <c r="B16699" s="3" t="s">
        <v>93</v>
      </c>
      <c r="C16699" s="6">
        <v>14000</v>
      </c>
      <c r="D16699" s="7">
        <v>0.53</v>
      </c>
    </row>
    <row r="16700" spans="1:4" x14ac:dyDescent="0.25">
      <c r="A16700" t="str">
        <f>HYPERLINK("https://www.773grp.com/globalSearch/74HC132DB118/page-1", "74HC132DB118")</f>
        <v>74HC132DB118</v>
      </c>
      <c r="B16700" s="3" t="s">
        <v>93</v>
      </c>
      <c r="C16700" s="6">
        <v>16000</v>
      </c>
      <c r="D16700" s="7">
        <v>0.53</v>
      </c>
    </row>
    <row r="16701" spans="1:4" x14ac:dyDescent="0.25">
      <c r="A16701" t="str">
        <f>HYPERLINK("https://www.773grp.com/globalSearch/74HC138PW112/page-1", "74HC138PW112")</f>
        <v>74HC138PW112</v>
      </c>
      <c r="B16701" s="3" t="s">
        <v>93</v>
      </c>
      <c r="C16701" s="6">
        <v>14366</v>
      </c>
      <c r="D16701" s="7">
        <v>0.53</v>
      </c>
    </row>
    <row r="16702" spans="1:4" x14ac:dyDescent="0.25">
      <c r="A16702" t="str">
        <f>HYPERLINK("https://www.773grp.com/globalSearch/74HC138PW118/page-1", "74HC138PW118")</f>
        <v>74HC138PW118</v>
      </c>
      <c r="B16702" s="3" t="s">
        <v>93</v>
      </c>
      <c r="C16702" s="6">
        <v>2500</v>
      </c>
      <c r="D16702" s="7">
        <v>0.53</v>
      </c>
    </row>
    <row r="16703" spans="1:4" x14ac:dyDescent="0.25">
      <c r="A16703" t="str">
        <f>HYPERLINK("https://www.773grp.com/globalSearch/74HC153PW118/page-1", "74HC153PW118")</f>
        <v>74HC153PW118</v>
      </c>
      <c r="B16703" s="3" t="s">
        <v>93</v>
      </c>
      <c r="C16703" s="6">
        <v>2500</v>
      </c>
      <c r="D16703" s="7">
        <v>0.53</v>
      </c>
    </row>
    <row r="16704" spans="1:4" x14ac:dyDescent="0.25">
      <c r="A16704" t="str">
        <f>HYPERLINK("https://www.773grp.com/globalSearch/74HC157PW112/page-1", "74HC157PW112")</f>
        <v>74HC157PW112</v>
      </c>
      <c r="B16704" s="3" t="s">
        <v>93</v>
      </c>
      <c r="C16704" s="6">
        <v>2400</v>
      </c>
      <c r="D16704" s="7">
        <v>0.53</v>
      </c>
    </row>
    <row r="16705" spans="1:4" x14ac:dyDescent="0.25">
      <c r="A16705" t="str">
        <f>HYPERLINK("https://www.773grp.com/globalSearch/74HC163D652/page-1", "74HC163D652")</f>
        <v>74HC163D652</v>
      </c>
      <c r="B16705" s="3" t="s">
        <v>93</v>
      </c>
      <c r="C16705" s="6">
        <v>6000</v>
      </c>
      <c r="D16705" s="7">
        <v>0.53</v>
      </c>
    </row>
    <row r="16706" spans="1:4" x14ac:dyDescent="0.25">
      <c r="A16706" t="str">
        <f>HYPERLINK("https://www.773grp.com/globalSearch/74HC164PW112/page-1", "74HC164PW112")</f>
        <v>74HC164PW112</v>
      </c>
      <c r="B16706" s="3" t="s">
        <v>93</v>
      </c>
      <c r="C16706" s="6">
        <v>19602</v>
      </c>
      <c r="D16706" s="7">
        <v>0.53</v>
      </c>
    </row>
    <row r="16707" spans="1:4" x14ac:dyDescent="0.25">
      <c r="A16707" t="str">
        <f>HYPERLINK("https://www.773grp.com/globalSearch/74HC164PW118/page-1", "74HC164PW118")</f>
        <v>74HC164PW118</v>
      </c>
      <c r="B16707" s="3" t="s">
        <v>93</v>
      </c>
      <c r="C16707" s="6">
        <v>132500</v>
      </c>
      <c r="D16707" s="7">
        <v>0.53</v>
      </c>
    </row>
    <row r="16708" spans="1:4" x14ac:dyDescent="0.25">
      <c r="A16708" t="str">
        <f>HYPERLINK("https://www.773grp.com/globalSearch/74HC165PW112/page-1", "74HC165PW112")</f>
        <v>74HC165PW112</v>
      </c>
      <c r="B16708" s="3" t="s">
        <v>93</v>
      </c>
      <c r="C16708" s="6">
        <v>2400</v>
      </c>
      <c r="D16708" s="7">
        <v>0.53</v>
      </c>
    </row>
    <row r="16709" spans="1:4" x14ac:dyDescent="0.25">
      <c r="A16709" t="str">
        <f>HYPERLINK("https://www.773grp.com/globalSearch/74HC165PW118/page-1", "74HC165PW118")</f>
        <v>74HC165PW118</v>
      </c>
      <c r="B16709" s="3" t="s">
        <v>93</v>
      </c>
      <c r="C16709" s="6">
        <v>42500</v>
      </c>
      <c r="D16709" s="7">
        <v>0.53</v>
      </c>
    </row>
    <row r="16710" spans="1:4" x14ac:dyDescent="0.25">
      <c r="A16710" t="str">
        <f>HYPERLINK("https://www.773grp.com/globalSearch/74HC240PW112/page-1", "74HC240PW112")</f>
        <v>74HC240PW112</v>
      </c>
      <c r="B16710" s="3" t="s">
        <v>93</v>
      </c>
      <c r="C16710" s="6">
        <v>9913</v>
      </c>
      <c r="D16710" s="7">
        <v>0.53</v>
      </c>
    </row>
    <row r="16711" spans="1:4" x14ac:dyDescent="0.25">
      <c r="A16711" t="str">
        <f>HYPERLINK("https://www.773grp.com/globalSearch/74HC240PW118/page-1", "74HC240PW118")</f>
        <v>74HC240PW118</v>
      </c>
      <c r="B16711" s="3" t="s">
        <v>93</v>
      </c>
      <c r="C16711" s="6">
        <v>15200</v>
      </c>
      <c r="D16711" s="7">
        <v>0.53</v>
      </c>
    </row>
    <row r="16712" spans="1:4" x14ac:dyDescent="0.25">
      <c r="A16712" t="str">
        <f>HYPERLINK("https://www.773grp.com/globalSearch/74HC244PW112/page-1", "74HC244PW112")</f>
        <v>74HC244PW112</v>
      </c>
      <c r="B16712" s="3" t="s">
        <v>93</v>
      </c>
      <c r="C16712" s="6">
        <v>13395</v>
      </c>
      <c r="D16712" s="7">
        <v>0.53</v>
      </c>
    </row>
    <row r="16713" spans="1:4" x14ac:dyDescent="0.25">
      <c r="A16713" t="str">
        <f>HYPERLINK("https://www.773grp.com/globalSearch/74HC251D652/page-1", "74HC251D652")</f>
        <v>74HC251D652</v>
      </c>
      <c r="B16713" s="3" t="s">
        <v>93</v>
      </c>
      <c r="C16713" s="6">
        <v>17900</v>
      </c>
      <c r="D16713" s="7">
        <v>0.53</v>
      </c>
    </row>
    <row r="16714" spans="1:4" x14ac:dyDescent="0.25">
      <c r="A16714" t="str">
        <f>HYPERLINK("https://www.773grp.com/globalSearch/74HC251D653/page-1", "74HC251D653")</f>
        <v>74HC251D653</v>
      </c>
      <c r="B16714" s="3" t="s">
        <v>93</v>
      </c>
      <c r="C16714" s="6">
        <v>7693</v>
      </c>
      <c r="D16714" s="7">
        <v>0.53</v>
      </c>
    </row>
    <row r="16715" spans="1:4" x14ac:dyDescent="0.25">
      <c r="A16715" t="str">
        <f>HYPERLINK("https://www.773grp.com/globalSearch/74HC257D652/page-1", "74HC257D652")</f>
        <v>74HC257D652</v>
      </c>
      <c r="B16715" s="3" t="s">
        <v>93</v>
      </c>
      <c r="C16715" s="6">
        <v>15571</v>
      </c>
      <c r="D16715" s="7">
        <v>0.53</v>
      </c>
    </row>
    <row r="16716" spans="1:4" x14ac:dyDescent="0.25">
      <c r="A16716" t="str">
        <f>HYPERLINK("https://www.773grp.com/globalSearch/74HC257D653/page-1", "74HC257D653")</f>
        <v>74HC257D653</v>
      </c>
      <c r="B16716" s="3" t="s">
        <v>93</v>
      </c>
      <c r="C16716" s="6">
        <v>5126</v>
      </c>
      <c r="D16716" s="7">
        <v>0.53</v>
      </c>
    </row>
    <row r="16717" spans="1:4" x14ac:dyDescent="0.25">
      <c r="A16717" t="str">
        <f>HYPERLINK("https://www.773grp.com/globalSearch/74HC257PW118/page-1", "74HC257PW118")</f>
        <v>74HC257PW118</v>
      </c>
      <c r="B16717" s="3" t="s">
        <v>93</v>
      </c>
      <c r="C16717" s="6">
        <v>35000</v>
      </c>
      <c r="D16717" s="7">
        <v>0.53</v>
      </c>
    </row>
    <row r="16718" spans="1:4" x14ac:dyDescent="0.25">
      <c r="A16718" t="str">
        <f>HYPERLINK("https://www.773grp.com/globalSearch/74HC273PW112/page-1", "74HC273PW112")</f>
        <v>74HC273PW112</v>
      </c>
      <c r="B16718" s="3" t="s">
        <v>93</v>
      </c>
      <c r="C16718" s="6">
        <v>14709</v>
      </c>
      <c r="D16718" s="7">
        <v>0.53</v>
      </c>
    </row>
    <row r="16719" spans="1:4" x14ac:dyDescent="0.25">
      <c r="A16719" t="str">
        <f>HYPERLINK("https://www.773grp.com/globalSearch/74HC273PW118/page-1", "74HC273PW118")</f>
        <v>74HC273PW118</v>
      </c>
      <c r="B16719" s="3" t="s">
        <v>93</v>
      </c>
      <c r="C16719" s="6">
        <v>32500</v>
      </c>
      <c r="D16719" s="7">
        <v>0.53</v>
      </c>
    </row>
    <row r="16720" spans="1:4" x14ac:dyDescent="0.25">
      <c r="A16720" t="str">
        <f>HYPERLINK("https://www.773grp.com/globalSearch/74HC2G34GV125/page-1", "74HC2G34GV125")</f>
        <v>74HC2G34GV125</v>
      </c>
      <c r="B16720" s="3" t="s">
        <v>93</v>
      </c>
      <c r="C16720" s="6">
        <v>13499</v>
      </c>
      <c r="D16720" s="7">
        <v>0.53</v>
      </c>
    </row>
    <row r="16721" spans="1:4" x14ac:dyDescent="0.25">
      <c r="A16721" t="str">
        <f>HYPERLINK("https://www.773grp.com/globalSearch/74HC2GU04GV125/page-1", "74HC2GU04GV125")</f>
        <v>74HC2GU04GV125</v>
      </c>
      <c r="B16721" s="3" t="s">
        <v>93</v>
      </c>
      <c r="C16721" s="6">
        <v>12000</v>
      </c>
      <c r="D16721" s="7">
        <v>0.53</v>
      </c>
    </row>
    <row r="16722" spans="1:4" x14ac:dyDescent="0.25">
      <c r="A16722" t="str">
        <f>HYPERLINK("https://www.773grp.com/globalSearch/74HC373PW112/page-1", "74HC373PW112")</f>
        <v>74HC373PW112</v>
      </c>
      <c r="B16722" s="3" t="s">
        <v>93</v>
      </c>
      <c r="C16722" s="6">
        <v>6110</v>
      </c>
      <c r="D16722" s="7">
        <v>0.53</v>
      </c>
    </row>
    <row r="16723" spans="1:4" x14ac:dyDescent="0.25">
      <c r="A16723" t="str">
        <f>HYPERLINK("https://www.773grp.com/globalSearch/74HC373PW118/page-1", "74HC373PW118")</f>
        <v>74HC373PW118</v>
      </c>
      <c r="B16723" s="3" t="s">
        <v>93</v>
      </c>
      <c r="C16723" s="6">
        <v>1823</v>
      </c>
      <c r="D16723" s="7">
        <v>0.53</v>
      </c>
    </row>
    <row r="16724" spans="1:4" x14ac:dyDescent="0.25">
      <c r="A16724" t="str">
        <f>HYPERLINK("https://www.773grp.com/globalSearch/74HC374PW118/page-1", "74HC374PW118")</f>
        <v>74HC374PW118</v>
      </c>
      <c r="B16724" s="3" t="s">
        <v>93</v>
      </c>
      <c r="C16724" s="6">
        <v>27500</v>
      </c>
      <c r="D16724" s="7">
        <v>0.53</v>
      </c>
    </row>
    <row r="16725" spans="1:4" x14ac:dyDescent="0.25">
      <c r="A16725" t="str">
        <f>HYPERLINK("https://www.773grp.com/globalSearch/74HC393PW112/page-1", "74HC393PW112")</f>
        <v>74HC393PW112</v>
      </c>
      <c r="B16725" s="3" t="s">
        <v>93</v>
      </c>
      <c r="C16725" s="6">
        <v>2400</v>
      </c>
      <c r="D16725" s="7">
        <v>0.53</v>
      </c>
    </row>
    <row r="16726" spans="1:4" x14ac:dyDescent="0.25">
      <c r="A16726" t="str">
        <f>HYPERLINK("https://www.773grp.com/globalSearch/74HC4040D652/page-1", "74HC4040D652")</f>
        <v>74HC4040D652</v>
      </c>
      <c r="B16726" s="3" t="s">
        <v>93</v>
      </c>
      <c r="C16726" s="6">
        <v>7000</v>
      </c>
      <c r="D16726" s="7">
        <v>0.53</v>
      </c>
    </row>
    <row r="16727" spans="1:4" x14ac:dyDescent="0.25">
      <c r="A16727" t="str">
        <f>HYPERLINK("https://www.773grp.com/globalSearch/74HC4040D653/page-1", "74HC4040D653")</f>
        <v>74HC4040D653</v>
      </c>
      <c r="B16727" s="3" t="s">
        <v>93</v>
      </c>
      <c r="C16727" s="6">
        <v>55626</v>
      </c>
      <c r="D16727" s="7">
        <v>0.53</v>
      </c>
    </row>
    <row r="16728" spans="1:4" x14ac:dyDescent="0.25">
      <c r="A16728" t="str">
        <f>HYPERLINK("https://www.773grp.com/globalSearch/74HC4052D652/page-1", "74HC4052D652")</f>
        <v>74HC4052D652</v>
      </c>
      <c r="B16728" s="3" t="s">
        <v>93</v>
      </c>
      <c r="C16728" s="6">
        <v>103000</v>
      </c>
      <c r="D16728" s="7">
        <v>0.53</v>
      </c>
    </row>
    <row r="16729" spans="1:4" x14ac:dyDescent="0.25">
      <c r="A16729" t="str">
        <f>HYPERLINK("https://www.773grp.com/globalSearch/74HC4052PW112/page-1", "74HC4052PW112")</f>
        <v>74HC4052PW112</v>
      </c>
      <c r="B16729" s="3" t="s">
        <v>93</v>
      </c>
      <c r="C16729" s="6">
        <v>88918</v>
      </c>
      <c r="D16729" s="7">
        <v>0.53</v>
      </c>
    </row>
    <row r="16730" spans="1:4" x14ac:dyDescent="0.25">
      <c r="A16730" t="str">
        <f>HYPERLINK("https://www.773grp.com/globalSearch/74HC4052PW118/page-1", "74HC4052PW118")</f>
        <v>74HC4052PW118</v>
      </c>
      <c r="B16730" s="3" t="s">
        <v>93</v>
      </c>
      <c r="C16730" s="6">
        <v>10000</v>
      </c>
      <c r="D16730" s="7">
        <v>0.53</v>
      </c>
    </row>
    <row r="16731" spans="1:4" x14ac:dyDescent="0.25">
      <c r="A16731" t="str">
        <f>HYPERLINK("https://www.773grp.com/globalSearch/74HC4053PW112/page-1", "74HC4053PW112")</f>
        <v>74HC4053PW112</v>
      </c>
      <c r="B16731" s="3" t="s">
        <v>93</v>
      </c>
      <c r="C16731" s="6">
        <v>28320</v>
      </c>
      <c r="D16731" s="7">
        <v>0.53</v>
      </c>
    </row>
    <row r="16732" spans="1:4" x14ac:dyDescent="0.25">
      <c r="A16732" t="str">
        <f>HYPERLINK("https://www.773grp.com/globalSearch/74HC4053PW118/page-1", "74HC4053PW118")</f>
        <v>74HC4053PW118</v>
      </c>
      <c r="B16732" s="3" t="s">
        <v>93</v>
      </c>
      <c r="C16732" s="6">
        <v>17500</v>
      </c>
      <c r="D16732" s="7">
        <v>0.53</v>
      </c>
    </row>
    <row r="16733" spans="1:4" x14ac:dyDescent="0.25">
      <c r="A16733" t="str">
        <f>HYPERLINK("https://www.773grp.com/globalSearch/74HC4066BQ115/page-1", "74HC4066BQ115")</f>
        <v>74HC4066BQ115</v>
      </c>
      <c r="B16733" s="3" t="s">
        <v>93</v>
      </c>
      <c r="C16733" s="6">
        <v>6000</v>
      </c>
      <c r="D16733" s="7">
        <v>0.53</v>
      </c>
    </row>
    <row r="16734" spans="1:4" x14ac:dyDescent="0.25">
      <c r="A16734" t="str">
        <f>HYPERLINK("https://www.773grp.com/globalSearch/74HC4094D653/page-1", "74HC4094D653")</f>
        <v>74HC4094D653</v>
      </c>
      <c r="B16734" s="3" t="s">
        <v>93</v>
      </c>
      <c r="C16734" s="6">
        <v>30000</v>
      </c>
      <c r="D16734" s="7">
        <v>0.53</v>
      </c>
    </row>
    <row r="16735" spans="1:4" x14ac:dyDescent="0.25">
      <c r="A16735" t="str">
        <f>HYPERLINK("https://www.773grp.com/globalSearch/74HC541PW112/page-1", "74HC541PW112")</f>
        <v>74HC541PW112</v>
      </c>
      <c r="B16735" s="3" t="s">
        <v>93</v>
      </c>
      <c r="C16735" s="6">
        <v>11840</v>
      </c>
      <c r="D16735" s="7">
        <v>0.53</v>
      </c>
    </row>
    <row r="16736" spans="1:4" x14ac:dyDescent="0.25">
      <c r="A16736" t="str">
        <f>HYPERLINK("https://www.773grp.com/globalSearch/74HC541PW118/page-1", "74HC541PW118")</f>
        <v>74HC541PW118</v>
      </c>
      <c r="B16736" s="3" t="s">
        <v>93</v>
      </c>
      <c r="C16736" s="6">
        <v>10170</v>
      </c>
      <c r="D16736" s="7">
        <v>0.53</v>
      </c>
    </row>
    <row r="16737" spans="1:4" x14ac:dyDescent="0.25">
      <c r="A16737" t="str">
        <f>HYPERLINK("https://www.773grp.com/globalSearch/74HC573PW112/page-1", "74HC573PW112")</f>
        <v>74HC573PW112</v>
      </c>
      <c r="B16737" s="3" t="s">
        <v>93</v>
      </c>
      <c r="C16737" s="6">
        <v>7500</v>
      </c>
      <c r="D16737" s="7">
        <v>0.53</v>
      </c>
    </row>
    <row r="16738" spans="1:4" x14ac:dyDescent="0.25">
      <c r="A16738" t="str">
        <f>HYPERLINK("https://www.773grp.com/globalSearch/74HC573PW118/page-1", "74HC573PW118")</f>
        <v>74HC573PW118</v>
      </c>
      <c r="B16738" s="3" t="s">
        <v>93</v>
      </c>
      <c r="C16738" s="6">
        <v>10000</v>
      </c>
      <c r="D16738" s="7">
        <v>0.53</v>
      </c>
    </row>
    <row r="16739" spans="1:4" x14ac:dyDescent="0.25">
      <c r="A16739" t="str">
        <f>HYPERLINK("https://www.773grp.com/globalSearch/74HC574PW112/page-1", "74HC574PW112")</f>
        <v>74HC574PW112</v>
      </c>
      <c r="B16739" s="3" t="s">
        <v>93</v>
      </c>
      <c r="C16739" s="6">
        <v>15032</v>
      </c>
      <c r="D16739" s="7">
        <v>0.53</v>
      </c>
    </row>
    <row r="16740" spans="1:4" x14ac:dyDescent="0.25">
      <c r="A16740" t="str">
        <f>HYPERLINK("https://www.773grp.com/globalSearch/74HC595PW112/page-1", "74HC595PW112")</f>
        <v>74HC595PW112</v>
      </c>
      <c r="B16740" s="3" t="s">
        <v>93</v>
      </c>
      <c r="C16740" s="6">
        <v>57600</v>
      </c>
      <c r="D16740" s="7">
        <v>0.53</v>
      </c>
    </row>
    <row r="16741" spans="1:4" x14ac:dyDescent="0.25">
      <c r="A16741" t="str">
        <f>HYPERLINK("https://www.773grp.com/globalSearch/74HC595PW118/page-1", "74HC595PW118")</f>
        <v>74HC595PW118</v>
      </c>
      <c r="B16741" s="3" t="s">
        <v>93</v>
      </c>
      <c r="C16741" s="6">
        <v>2500</v>
      </c>
      <c r="D16741" s="7">
        <v>0.53</v>
      </c>
    </row>
    <row r="16742" spans="1:4" x14ac:dyDescent="0.25">
      <c r="A16742" t="str">
        <f>HYPERLINK("https://www.773grp.com/globalSearch/74HCT109D652/page-1", "74HCT109D652")</f>
        <v>74HCT109D652</v>
      </c>
      <c r="B16742" s="3" t="s">
        <v>93</v>
      </c>
      <c r="C16742" s="6">
        <v>2000</v>
      </c>
      <c r="D16742" s="7">
        <v>0.53</v>
      </c>
    </row>
    <row r="16743" spans="1:4" x14ac:dyDescent="0.25">
      <c r="A16743" t="str">
        <f>HYPERLINK("https://www.773grp.com/globalSearch/74HCT109D653/page-1", "74HCT109D653")</f>
        <v>74HCT109D653</v>
      </c>
      <c r="B16743" s="3" t="s">
        <v>93</v>
      </c>
      <c r="C16743" s="6">
        <v>7490</v>
      </c>
      <c r="D16743" s="7">
        <v>0.53</v>
      </c>
    </row>
    <row r="16744" spans="1:4" x14ac:dyDescent="0.25">
      <c r="A16744" t="str">
        <f>HYPERLINK("https://www.773grp.com/globalSearch/74HCT126PW118/page-1", "74HCT126PW118")</f>
        <v>74HCT126PW118</v>
      </c>
      <c r="B16744" s="3" t="s">
        <v>93</v>
      </c>
      <c r="C16744" s="6">
        <v>12278</v>
      </c>
      <c r="D16744" s="7">
        <v>0.53</v>
      </c>
    </row>
    <row r="16745" spans="1:4" x14ac:dyDescent="0.25">
      <c r="A16745" t="str">
        <f>HYPERLINK("https://www.773grp.com/globalSearch/74HCT151D652/page-1", "74HCT151D652")</f>
        <v>74HCT151D652</v>
      </c>
      <c r="B16745" s="3" t="s">
        <v>93</v>
      </c>
      <c r="C16745" s="6">
        <v>19603</v>
      </c>
      <c r="D16745" s="7">
        <v>0.53</v>
      </c>
    </row>
    <row r="16746" spans="1:4" x14ac:dyDescent="0.25">
      <c r="A16746" t="str">
        <f>HYPERLINK("https://www.773grp.com/globalSearch/74HCT151D653/page-1", "74HCT151D653")</f>
        <v>74HCT151D653</v>
      </c>
      <c r="B16746" s="3" t="s">
        <v>93</v>
      </c>
      <c r="C16746" s="6">
        <v>5175</v>
      </c>
      <c r="D16746" s="7">
        <v>0.53</v>
      </c>
    </row>
    <row r="16747" spans="1:4" x14ac:dyDescent="0.25">
      <c r="A16747" t="str">
        <f>HYPERLINK("https://www.773grp.com/globalSearch/74HCT151PW112/page-1", "74HCT151PW112")</f>
        <v>74HCT151PW112</v>
      </c>
      <c r="B16747" s="3" t="s">
        <v>93</v>
      </c>
      <c r="C16747" s="6">
        <v>2400</v>
      </c>
      <c r="D16747" s="7">
        <v>0.53</v>
      </c>
    </row>
    <row r="16748" spans="1:4" x14ac:dyDescent="0.25">
      <c r="A16748" t="str">
        <f>HYPERLINK("https://www.773grp.com/globalSearch/74HCT164D652/page-1", "74HCT164D652")</f>
        <v>74HCT164D652</v>
      </c>
      <c r="B16748" s="3" t="s">
        <v>93</v>
      </c>
      <c r="C16748" s="6">
        <v>15565</v>
      </c>
      <c r="D16748" s="7">
        <v>0.53</v>
      </c>
    </row>
    <row r="16749" spans="1:4" x14ac:dyDescent="0.25">
      <c r="A16749" t="str">
        <f>HYPERLINK("https://www.773grp.com/globalSearch/74HCT164D653/page-1", "74HCT164D653")</f>
        <v>74HCT164D653</v>
      </c>
      <c r="B16749" s="3" t="s">
        <v>93</v>
      </c>
      <c r="C16749" s="6">
        <v>7500</v>
      </c>
      <c r="D16749" s="7">
        <v>0.53</v>
      </c>
    </row>
    <row r="16750" spans="1:4" x14ac:dyDescent="0.25">
      <c r="A16750" t="str">
        <f>HYPERLINK("https://www.773grp.com/globalSearch/74HCT240PW112/page-1", "74HCT240PW112")</f>
        <v>74HCT240PW112</v>
      </c>
      <c r="B16750" s="3" t="s">
        <v>93</v>
      </c>
      <c r="C16750" s="6">
        <v>13877</v>
      </c>
      <c r="D16750" s="7">
        <v>0.53</v>
      </c>
    </row>
    <row r="16751" spans="1:4" x14ac:dyDescent="0.25">
      <c r="A16751" t="str">
        <f>HYPERLINK("https://www.773grp.com/globalSearch/74HCT244PW112/page-1", "74HCT244PW112")</f>
        <v>74HCT244PW112</v>
      </c>
      <c r="B16751" s="3" t="s">
        <v>93</v>
      </c>
      <c r="C16751" s="6">
        <v>26891</v>
      </c>
      <c r="D16751" s="7">
        <v>0.53</v>
      </c>
    </row>
    <row r="16752" spans="1:4" x14ac:dyDescent="0.25">
      <c r="A16752" t="str">
        <f>HYPERLINK("https://www.773grp.com/globalSearch/74HCT244PW118/page-1", "74HCT244PW118")</f>
        <v>74HCT244PW118</v>
      </c>
      <c r="B16752" s="3" t="s">
        <v>93</v>
      </c>
      <c r="C16752" s="6">
        <v>2498</v>
      </c>
      <c r="D16752" s="7">
        <v>0.53</v>
      </c>
    </row>
    <row r="16753" spans="1:4" x14ac:dyDescent="0.25">
      <c r="A16753" t="str">
        <f>HYPERLINK("https://www.773grp.com/globalSearch/74HCT245PW112/page-1", "74HCT245PW112")</f>
        <v>74HCT245PW112</v>
      </c>
      <c r="B16753" s="3" t="s">
        <v>93</v>
      </c>
      <c r="C16753" s="6">
        <v>21223</v>
      </c>
      <c r="D16753" s="7">
        <v>0.53</v>
      </c>
    </row>
    <row r="16754" spans="1:4" x14ac:dyDescent="0.25">
      <c r="A16754" t="str">
        <f>HYPERLINK("https://www.773grp.com/globalSearch/74HCT245PW118/page-1", "74HCT245PW118")</f>
        <v>74HCT245PW118</v>
      </c>
      <c r="B16754" s="3" t="s">
        <v>93</v>
      </c>
      <c r="C16754" s="6">
        <v>7500</v>
      </c>
      <c r="D16754" s="7">
        <v>0.53</v>
      </c>
    </row>
    <row r="16755" spans="1:4" x14ac:dyDescent="0.25">
      <c r="A16755" t="str">
        <f>HYPERLINK("https://www.773grp.com/globalSearch/74HCT273PW112/page-1", "74HCT273PW112")</f>
        <v>74HCT273PW112</v>
      </c>
      <c r="B16755" s="3" t="s">
        <v>93</v>
      </c>
      <c r="C16755" s="6">
        <v>3750</v>
      </c>
      <c r="D16755" s="7">
        <v>0.53</v>
      </c>
    </row>
    <row r="16756" spans="1:4" x14ac:dyDescent="0.25">
      <c r="A16756" t="str">
        <f>HYPERLINK("https://www.773grp.com/globalSearch/74HCT2G14GV125/page-1", "74HCT2G14GV125")</f>
        <v>74HCT2G14GV125</v>
      </c>
      <c r="B16756" s="3" t="s">
        <v>93</v>
      </c>
      <c r="C16756" s="6">
        <v>6190</v>
      </c>
      <c r="D16756" s="7">
        <v>0.53</v>
      </c>
    </row>
    <row r="16757" spans="1:4" x14ac:dyDescent="0.25">
      <c r="A16757" t="str">
        <f>HYPERLINK("https://www.773grp.com/globalSearch/74HCT2G17GV125/page-1", "74HCT2G17GV125")</f>
        <v>74HCT2G17GV125</v>
      </c>
      <c r="B16757" s="3" t="s">
        <v>93</v>
      </c>
      <c r="C16757" s="6">
        <v>180</v>
      </c>
      <c r="D16757" s="7">
        <v>0.53</v>
      </c>
    </row>
    <row r="16758" spans="1:4" x14ac:dyDescent="0.25">
      <c r="A16758" t="str">
        <f>HYPERLINK("https://www.773grp.com/globalSearch/74HCT30PW/page-1", "74HCT30PW")</f>
        <v>74HCT30PW</v>
      </c>
      <c r="B16758" s="3" t="s">
        <v>93</v>
      </c>
      <c r="C16758" s="6">
        <v>45</v>
      </c>
      <c r="D16758" s="7">
        <v>0.53</v>
      </c>
    </row>
    <row r="16759" spans="1:4" x14ac:dyDescent="0.25">
      <c r="A16759" t="str">
        <f>HYPERLINK("https://www.773grp.com/globalSearch/74HCT30PW118/page-1", "74HCT30PW118")</f>
        <v>74HCT30PW118</v>
      </c>
      <c r="B16759" s="3" t="s">
        <v>93</v>
      </c>
      <c r="C16759" s="6">
        <v>370</v>
      </c>
      <c r="D16759" s="7">
        <v>0.53</v>
      </c>
    </row>
    <row r="16760" spans="1:4" x14ac:dyDescent="0.25">
      <c r="A16760" t="str">
        <f>HYPERLINK("https://www.773grp.com/globalSearch/74HCT32DB118/page-1", "74HCT32DB118")</f>
        <v>74HCT32DB118</v>
      </c>
      <c r="B16760" s="3" t="s">
        <v>93</v>
      </c>
      <c r="C16760" s="6">
        <v>14000</v>
      </c>
      <c r="D16760" s="7">
        <v>0.53</v>
      </c>
    </row>
    <row r="16761" spans="1:4" x14ac:dyDescent="0.25">
      <c r="A16761" t="str">
        <f>HYPERLINK("https://www.773grp.com/globalSearch/74HCT373PW112/page-1", "74HCT373PW112")</f>
        <v>74HCT373PW112</v>
      </c>
      <c r="B16761" s="3" t="s">
        <v>93</v>
      </c>
      <c r="C16761" s="6">
        <v>3750</v>
      </c>
      <c r="D16761" s="7">
        <v>0.53</v>
      </c>
    </row>
    <row r="16762" spans="1:4" x14ac:dyDescent="0.25">
      <c r="A16762" t="str">
        <f>HYPERLINK("https://www.773grp.com/globalSearch/74HCT373PW118/page-1", "74HCT373PW118")</f>
        <v>74HCT373PW118</v>
      </c>
      <c r="B16762" s="3" t="s">
        <v>93</v>
      </c>
      <c r="C16762" s="6">
        <v>200</v>
      </c>
      <c r="D16762" s="7">
        <v>0.53</v>
      </c>
    </row>
    <row r="16763" spans="1:4" x14ac:dyDescent="0.25">
      <c r="A16763" t="str">
        <f>HYPERLINK("https://www.773grp.com/globalSearch/74HCT374PW112/page-1", "74HCT374PW112")</f>
        <v>74HCT374PW112</v>
      </c>
      <c r="B16763" s="3" t="s">
        <v>93</v>
      </c>
      <c r="C16763" s="6">
        <v>1875</v>
      </c>
      <c r="D16763" s="7">
        <v>0.53</v>
      </c>
    </row>
    <row r="16764" spans="1:4" x14ac:dyDescent="0.25">
      <c r="A16764" t="str">
        <f>HYPERLINK("https://www.773grp.com/globalSearch/74HCT374PW118/page-1", "74HCT374PW118")</f>
        <v>74HCT374PW118</v>
      </c>
      <c r="B16764" s="3" t="s">
        <v>93</v>
      </c>
      <c r="C16764" s="6">
        <v>5190</v>
      </c>
      <c r="D16764" s="7">
        <v>0.53</v>
      </c>
    </row>
    <row r="16765" spans="1:4" x14ac:dyDescent="0.25">
      <c r="A16765" t="str">
        <f>HYPERLINK("https://www.773grp.com/globalSearch/74HCT4053PW112/page-1", "74HCT4053PW112")</f>
        <v>74HCT4053PW112</v>
      </c>
      <c r="B16765" s="3" t="s">
        <v>93</v>
      </c>
      <c r="C16765" s="6">
        <v>14373</v>
      </c>
      <c r="D16765" s="7">
        <v>0.53</v>
      </c>
    </row>
    <row r="16766" spans="1:4" x14ac:dyDescent="0.25">
      <c r="A16766" t="str">
        <f>HYPERLINK("https://www.773grp.com/globalSearch/74HCT4053PW118/page-1", "74HCT4053PW118")</f>
        <v>74HCT4053PW118</v>
      </c>
      <c r="B16766" s="3" t="s">
        <v>93</v>
      </c>
      <c r="C16766" s="6">
        <v>147500</v>
      </c>
      <c r="D16766" s="7">
        <v>0.53</v>
      </c>
    </row>
    <row r="16767" spans="1:4" x14ac:dyDescent="0.25">
      <c r="A16767" t="str">
        <f>HYPERLINK("https://www.773grp.com/globalSearch/74HCT4066BQ115/page-1", "74HCT4066BQ115")</f>
        <v>74HCT4066BQ115</v>
      </c>
      <c r="B16767" s="3" t="s">
        <v>93</v>
      </c>
      <c r="C16767" s="6">
        <v>4619</v>
      </c>
      <c r="D16767" s="7">
        <v>0.53</v>
      </c>
    </row>
    <row r="16768" spans="1:4" x14ac:dyDescent="0.25">
      <c r="A16768" t="str">
        <f>HYPERLINK("https://www.773grp.com/globalSearch/74HCT541PW112/page-1", "74HCT541PW112")</f>
        <v>74HCT541PW112</v>
      </c>
      <c r="B16768" s="3" t="s">
        <v>93</v>
      </c>
      <c r="C16768" s="6">
        <v>12375</v>
      </c>
      <c r="D16768" s="7">
        <v>0.53</v>
      </c>
    </row>
    <row r="16769" spans="1:4" x14ac:dyDescent="0.25">
      <c r="A16769" t="str">
        <f>HYPERLINK("https://www.773grp.com/globalSearch/74HCT541PW118/page-1", "74HCT541PW118")</f>
        <v>74HCT541PW118</v>
      </c>
      <c r="B16769" s="3" t="s">
        <v>93</v>
      </c>
      <c r="C16769" s="6">
        <v>30000</v>
      </c>
      <c r="D16769" s="7">
        <v>0.53</v>
      </c>
    </row>
    <row r="16770" spans="1:4" x14ac:dyDescent="0.25">
      <c r="A16770" t="str">
        <f>HYPERLINK("https://www.773grp.com/globalSearch/74HCT573PW112/page-1", "74HCT573PW112")</f>
        <v>74HCT573PW112</v>
      </c>
      <c r="B16770" s="3" t="s">
        <v>93</v>
      </c>
      <c r="C16770" s="6">
        <v>400</v>
      </c>
      <c r="D16770" s="7">
        <v>0.53</v>
      </c>
    </row>
    <row r="16771" spans="1:4" x14ac:dyDescent="0.25">
      <c r="A16771" t="str">
        <f>HYPERLINK("https://www.773grp.com/globalSearch/74HCT573PW118/page-1", "74HCT573PW118")</f>
        <v>74HCT573PW118</v>
      </c>
      <c r="B16771" s="3" t="s">
        <v>93</v>
      </c>
      <c r="C16771" s="6">
        <v>110</v>
      </c>
      <c r="D16771" s="7">
        <v>0.53</v>
      </c>
    </row>
    <row r="16772" spans="1:4" x14ac:dyDescent="0.25">
      <c r="A16772" t="str">
        <f>HYPERLINK("https://www.773grp.com/globalSearch/74HCT574PW112/page-1", "74HCT574PW112")</f>
        <v>74HCT574PW112</v>
      </c>
      <c r="B16772" s="3" t="s">
        <v>93</v>
      </c>
      <c r="C16772" s="6">
        <v>18300</v>
      </c>
      <c r="D16772" s="7">
        <v>0.53</v>
      </c>
    </row>
    <row r="16773" spans="1:4" x14ac:dyDescent="0.25">
      <c r="A16773" t="str">
        <f>HYPERLINK("https://www.773grp.com/globalSearch/74LV00PW112/page-1", "74LV00PW112")</f>
        <v>74LV00PW112</v>
      </c>
      <c r="B16773" s="3" t="s">
        <v>93</v>
      </c>
      <c r="C16773" s="6">
        <v>3920</v>
      </c>
      <c r="D16773" s="7">
        <v>0.53</v>
      </c>
    </row>
    <row r="16774" spans="1:4" x14ac:dyDescent="0.25">
      <c r="A16774" t="str">
        <f>HYPERLINK("https://www.773grp.com/globalSearch/74LV02PW112/page-1", "74LV02PW112")</f>
        <v>74LV02PW112</v>
      </c>
      <c r="B16774" s="3" t="s">
        <v>93</v>
      </c>
      <c r="C16774" s="6">
        <v>2400</v>
      </c>
      <c r="D16774" s="7">
        <v>0.53</v>
      </c>
    </row>
    <row r="16775" spans="1:4" x14ac:dyDescent="0.25">
      <c r="A16775" t="str">
        <f>HYPERLINK("https://www.773grp.com/globalSearch/74LV04D112/page-1", "74LV04D112")</f>
        <v>74LV04D112</v>
      </c>
      <c r="B16775" s="3" t="s">
        <v>93</v>
      </c>
      <c r="C16775" s="6">
        <v>13148</v>
      </c>
      <c r="D16775" s="7">
        <v>0.53</v>
      </c>
    </row>
    <row r="16776" spans="1:4" x14ac:dyDescent="0.25">
      <c r="A16776" t="str">
        <f>HYPERLINK("https://www.773grp.com/globalSearch/74LV08PW112/page-1", "74LV08PW112")</f>
        <v>74LV08PW112</v>
      </c>
      <c r="B16776" s="3" t="s">
        <v>93</v>
      </c>
      <c r="C16776" s="6">
        <v>1248</v>
      </c>
      <c r="D16776" s="7">
        <v>0.53</v>
      </c>
    </row>
    <row r="16777" spans="1:4" x14ac:dyDescent="0.25">
      <c r="A16777" t="str">
        <f>HYPERLINK("https://www.773grp.com/globalSearch/74LV125D112/page-1", "74LV125D112")</f>
        <v>74LV125D112</v>
      </c>
      <c r="B16777" s="3" t="s">
        <v>93</v>
      </c>
      <c r="C16777" s="6">
        <v>2330</v>
      </c>
      <c r="D16777" s="7">
        <v>0.53</v>
      </c>
    </row>
    <row r="16778" spans="1:4" x14ac:dyDescent="0.25">
      <c r="A16778" t="str">
        <f>HYPERLINK("https://www.773grp.com/globalSearch/74LV125PW118/page-1", "74LV125PW118")</f>
        <v>74LV125PW118</v>
      </c>
      <c r="B16778" s="3" t="s">
        <v>93</v>
      </c>
      <c r="C16778" s="6">
        <v>5330</v>
      </c>
      <c r="D16778" s="7">
        <v>0.53</v>
      </c>
    </row>
    <row r="16779" spans="1:4" x14ac:dyDescent="0.25">
      <c r="A16779" t="str">
        <f>HYPERLINK("https://www.773grp.com/globalSearch/74LV14PW112/page-1", "74LV14PW112")</f>
        <v>74LV14PW112</v>
      </c>
      <c r="B16779" s="3" t="s">
        <v>93</v>
      </c>
      <c r="C16779" s="6">
        <v>24000</v>
      </c>
      <c r="D16779" s="7">
        <v>0.53</v>
      </c>
    </row>
    <row r="16780" spans="1:4" x14ac:dyDescent="0.25">
      <c r="A16780" t="str">
        <f>HYPERLINK("https://www.773grp.com/globalSearch/74LV32DB118/page-1", "74LV32DB118")</f>
        <v>74LV32DB118</v>
      </c>
      <c r="B16780" s="3" t="s">
        <v>93</v>
      </c>
      <c r="C16780" s="6">
        <v>6045</v>
      </c>
      <c r="D16780" s="7">
        <v>0.53</v>
      </c>
    </row>
    <row r="16781" spans="1:4" x14ac:dyDescent="0.25">
      <c r="A16781" t="str">
        <f>HYPERLINK("https://www.773grp.com/globalSearch/74LVC00ADB112/page-1", "74LVC00ADB112")</f>
        <v>74LVC00ADB112</v>
      </c>
      <c r="B16781" s="3" t="s">
        <v>93</v>
      </c>
      <c r="C16781" s="6">
        <v>13448</v>
      </c>
      <c r="D16781" s="7">
        <v>0.53</v>
      </c>
    </row>
    <row r="16782" spans="1:4" x14ac:dyDescent="0.25">
      <c r="A16782" t="str">
        <f>HYPERLINK("https://www.773grp.com/globalSearch/74LVC08ADB112/page-1", "74LVC08ADB112")</f>
        <v>74LVC08ADB112</v>
      </c>
      <c r="B16782" s="3" t="s">
        <v>93</v>
      </c>
      <c r="C16782" s="6">
        <v>6736</v>
      </c>
      <c r="D16782" s="7">
        <v>0.53</v>
      </c>
    </row>
    <row r="16783" spans="1:4" x14ac:dyDescent="0.25">
      <c r="A16783" t="str">
        <f>HYPERLINK("https://www.773grp.com/globalSearch/74LVC125ADB112/page-1", "74LVC125ADB112")</f>
        <v>74LVC125ADB112</v>
      </c>
      <c r="B16783" s="3" t="s">
        <v>93</v>
      </c>
      <c r="C16783" s="6">
        <v>16454</v>
      </c>
      <c r="D16783" s="7">
        <v>0.53</v>
      </c>
    </row>
    <row r="16784" spans="1:4" x14ac:dyDescent="0.25">
      <c r="A16784" t="str">
        <f>HYPERLINK("https://www.773grp.com/globalSearch/74LVC138ABQ115/page-1", "74LVC138ABQ115")</f>
        <v>74LVC138ABQ115</v>
      </c>
      <c r="B16784" s="3" t="s">
        <v>93</v>
      </c>
      <c r="C16784" s="6">
        <v>21000</v>
      </c>
      <c r="D16784" s="7">
        <v>0.53</v>
      </c>
    </row>
    <row r="16785" spans="1:4" x14ac:dyDescent="0.25">
      <c r="A16785" t="str">
        <f>HYPERLINK("https://www.773grp.com/globalSearch/74LVC138ADB112/page-1", "74LVC138ADB112")</f>
        <v>74LVC138ADB112</v>
      </c>
      <c r="B16785" s="3" t="s">
        <v>93</v>
      </c>
      <c r="C16785" s="6">
        <v>8446</v>
      </c>
      <c r="D16785" s="7">
        <v>0.53</v>
      </c>
    </row>
    <row r="16786" spans="1:4" x14ac:dyDescent="0.25">
      <c r="A16786" t="str">
        <f>HYPERLINK("https://www.773grp.com/globalSearch/74LVC138ADB118/page-1", "74LVC138ADB118")</f>
        <v>74LVC138ADB118</v>
      </c>
      <c r="B16786" s="3" t="s">
        <v>93</v>
      </c>
      <c r="C16786" s="6">
        <v>7323</v>
      </c>
      <c r="D16786" s="7">
        <v>0.53</v>
      </c>
    </row>
    <row r="16787" spans="1:4" x14ac:dyDescent="0.25">
      <c r="A16787" t="str">
        <f>HYPERLINK("https://www.773grp.com/globalSearch/74LVC139DB112/page-1", "74LVC139DB112")</f>
        <v>74LVC139DB112</v>
      </c>
      <c r="B16787" s="3" t="s">
        <v>93</v>
      </c>
      <c r="C16787" s="6">
        <v>4368</v>
      </c>
      <c r="D16787" s="7">
        <v>0.53</v>
      </c>
    </row>
    <row r="16788" spans="1:4" x14ac:dyDescent="0.25">
      <c r="A16788" t="str">
        <f>HYPERLINK("https://www.773grp.com/globalSearch/74LVC139DB118/page-1", "74LVC139DB118")</f>
        <v>74LVC139DB118</v>
      </c>
      <c r="B16788" s="3" t="s">
        <v>93</v>
      </c>
      <c r="C16788" s="6">
        <v>8000</v>
      </c>
      <c r="D16788" s="7">
        <v>0.53</v>
      </c>
    </row>
    <row r="16789" spans="1:4" x14ac:dyDescent="0.25">
      <c r="A16789" t="str">
        <f>HYPERLINK("https://www.773grp.com/globalSearch/74LVC157ADB112/page-1", "74LVC157ADB112")</f>
        <v>74LVC157ADB112</v>
      </c>
      <c r="B16789" s="3" t="s">
        <v>93</v>
      </c>
      <c r="C16789" s="6">
        <v>7644</v>
      </c>
      <c r="D16789" s="7">
        <v>0.53</v>
      </c>
    </row>
    <row r="16790" spans="1:4" x14ac:dyDescent="0.25">
      <c r="A16790" t="str">
        <f>HYPERLINK("https://www.773grp.com/globalSearch/74LVC157ADB118/page-1", "74LVC157ADB118")</f>
        <v>74LVC157ADB118</v>
      </c>
      <c r="B16790" s="3" t="s">
        <v>93</v>
      </c>
      <c r="C16790" s="6">
        <v>16200</v>
      </c>
      <c r="D16790" s="7">
        <v>0.53</v>
      </c>
    </row>
    <row r="16791" spans="1:4" x14ac:dyDescent="0.25">
      <c r="A16791" t="str">
        <f>HYPERLINK("https://www.773grp.com/globalSearch/74LVC1G10GV125/page-1", "74LVC1G10GV125")</f>
        <v>74LVC1G10GV125</v>
      </c>
      <c r="B16791" s="3" t="s">
        <v>93</v>
      </c>
      <c r="C16791" s="6">
        <v>125</v>
      </c>
      <c r="D16791" s="7">
        <v>0.53</v>
      </c>
    </row>
    <row r="16792" spans="1:4" x14ac:dyDescent="0.25">
      <c r="A16792" t="str">
        <f>HYPERLINK("https://www.773grp.com/globalSearch/74LVC1G10GW125/page-1", "74LVC1G10GW125")</f>
        <v>74LVC1G10GW125</v>
      </c>
      <c r="B16792" s="3" t="s">
        <v>93</v>
      </c>
      <c r="C16792" s="6">
        <v>12000</v>
      </c>
      <c r="D16792" s="7">
        <v>0.53</v>
      </c>
    </row>
    <row r="16793" spans="1:4" x14ac:dyDescent="0.25">
      <c r="A16793" t="str">
        <f>HYPERLINK("https://www.773grp.com/globalSearch/74LVC1G53DC125/page-1", "74LVC1G53DC125")</f>
        <v>74LVC1G53DC125</v>
      </c>
      <c r="B16793" s="3" t="s">
        <v>93</v>
      </c>
      <c r="C16793" s="6">
        <v>3000</v>
      </c>
      <c r="D16793" s="7">
        <v>0.53</v>
      </c>
    </row>
    <row r="16794" spans="1:4" x14ac:dyDescent="0.25">
      <c r="A16794" t="str">
        <f>HYPERLINK("https://www.773grp.com/globalSearch/74LVC1G98GW125/page-1", "74LVC1G98GW125")</f>
        <v>74LVC1G98GW125</v>
      </c>
      <c r="B16794" s="3" t="s">
        <v>93</v>
      </c>
      <c r="C16794" s="6">
        <v>81000</v>
      </c>
      <c r="D16794" s="7">
        <v>0.53</v>
      </c>
    </row>
    <row r="16795" spans="1:4" x14ac:dyDescent="0.25">
      <c r="A16795" t="str">
        <f>HYPERLINK("https://www.773grp.com/globalSearch/74LVC245ABQ115/page-1", "74LVC245ABQ115")</f>
        <v>74LVC245ABQ115</v>
      </c>
      <c r="B16795" s="3" t="s">
        <v>93</v>
      </c>
      <c r="C16795" s="6">
        <v>3000</v>
      </c>
      <c r="D16795" s="7">
        <v>0.53</v>
      </c>
    </row>
    <row r="16796" spans="1:4" x14ac:dyDescent="0.25">
      <c r="A16796" t="str">
        <f>HYPERLINK("https://www.773grp.com/globalSearch/74LVC245APW112/page-1", "74LVC245APW112")</f>
        <v>74LVC245APW112</v>
      </c>
      <c r="B16796" s="3" t="s">
        <v>93</v>
      </c>
      <c r="C16796" s="6">
        <v>7625</v>
      </c>
      <c r="D16796" s="7">
        <v>0.53</v>
      </c>
    </row>
    <row r="16797" spans="1:4" x14ac:dyDescent="0.25">
      <c r="A16797" t="str">
        <f>HYPERLINK("https://www.773grp.com/globalSearch/74LVC245APW118/page-1", "74LVC245APW118")</f>
        <v>74LVC245APW118</v>
      </c>
      <c r="B16797" s="3" t="s">
        <v>93</v>
      </c>
      <c r="C16797" s="6">
        <v>350000</v>
      </c>
      <c r="D16797" s="7">
        <v>0.53</v>
      </c>
    </row>
    <row r="16798" spans="1:4" x14ac:dyDescent="0.25">
      <c r="A16798" t="str">
        <f>HYPERLINK("https://www.773grp.com/globalSearch/74LVC257ABQ115/page-1", "74LVC257ABQ115")</f>
        <v>74LVC257ABQ115</v>
      </c>
      <c r="B16798" s="3" t="s">
        <v>93</v>
      </c>
      <c r="C16798" s="6">
        <v>300</v>
      </c>
      <c r="D16798" s="7">
        <v>0.53</v>
      </c>
    </row>
    <row r="16799" spans="1:4" x14ac:dyDescent="0.25">
      <c r="A16799" t="str">
        <f>HYPERLINK("https://www.773grp.com/globalSearch/74LVC2G06GV125/page-1", "74LVC2G06GV125")</f>
        <v>74LVC2G06GV125</v>
      </c>
      <c r="B16799" s="3" t="s">
        <v>93</v>
      </c>
      <c r="C16799" s="6">
        <v>3879</v>
      </c>
      <c r="D16799" s="7">
        <v>0.53</v>
      </c>
    </row>
    <row r="16800" spans="1:4" x14ac:dyDescent="0.25">
      <c r="A16800" t="str">
        <f>HYPERLINK("https://www.773grp.com/globalSearch/74LVC2G14GV125/page-1", "74LVC2G14GV125")</f>
        <v>74LVC2G14GV125</v>
      </c>
      <c r="B16800" s="3" t="s">
        <v>93</v>
      </c>
      <c r="C16800" s="6">
        <v>24000</v>
      </c>
      <c r="D16800" s="7">
        <v>0.53</v>
      </c>
    </row>
    <row r="16801" spans="1:4" x14ac:dyDescent="0.25">
      <c r="A16801" t="str">
        <f>HYPERLINK("https://www.773grp.com/globalSearch/74LVC32ADB112/page-1", "74LVC32ADB112")</f>
        <v>74LVC32ADB112</v>
      </c>
      <c r="B16801" s="3" t="s">
        <v>93</v>
      </c>
      <c r="C16801" s="6">
        <v>9327</v>
      </c>
      <c r="D16801" s="7">
        <v>0.53</v>
      </c>
    </row>
    <row r="16802" spans="1:4" x14ac:dyDescent="0.25">
      <c r="A16802" t="str">
        <f>HYPERLINK("https://www.773grp.com/globalSearch/74LVC373ABQ115/page-1", "74LVC373ABQ115")</f>
        <v>74LVC373ABQ115</v>
      </c>
      <c r="B16802" s="3" t="s">
        <v>93</v>
      </c>
      <c r="C16802" s="6">
        <v>200</v>
      </c>
      <c r="D16802" s="7">
        <v>0.53</v>
      </c>
    </row>
    <row r="16803" spans="1:4" x14ac:dyDescent="0.25">
      <c r="A16803" t="str">
        <f>HYPERLINK("https://www.773grp.com/globalSearch/74LVC374ABQ115/page-1", "74LVC374ABQ115")</f>
        <v>74LVC374ABQ115</v>
      </c>
      <c r="B16803" s="3" t="s">
        <v>93</v>
      </c>
      <c r="C16803" s="6">
        <v>10</v>
      </c>
      <c r="D16803" s="7">
        <v>0.53</v>
      </c>
    </row>
    <row r="16804" spans="1:4" x14ac:dyDescent="0.25">
      <c r="A16804" t="str">
        <f>HYPERLINK("https://www.773grp.com/globalSearch/74LVC573ABQ115/page-1", "74LVC573ABQ115")</f>
        <v>74LVC573ABQ115</v>
      </c>
      <c r="B16804" s="3" t="s">
        <v>93</v>
      </c>
      <c r="C16804" s="6">
        <v>3750</v>
      </c>
      <c r="D16804" s="7">
        <v>0.53</v>
      </c>
    </row>
    <row r="16805" spans="1:4" x14ac:dyDescent="0.25">
      <c r="A16805" t="str">
        <f>HYPERLINK("https://www.773grp.com/globalSearch/74LVC574ABQ115/page-1", "74LVC574ABQ115")</f>
        <v>74LVC574ABQ115</v>
      </c>
      <c r="B16805" s="3" t="s">
        <v>93</v>
      </c>
      <c r="C16805" s="6">
        <v>6270</v>
      </c>
      <c r="D16805" s="7">
        <v>0.53</v>
      </c>
    </row>
    <row r="16806" spans="1:4" x14ac:dyDescent="0.25">
      <c r="A16806" t="str">
        <f>HYPERLINK("https://www.773grp.com/globalSearch/74LVC74ADB118/page-1", "74LVC74ADB118")</f>
        <v>74LVC74ADB118</v>
      </c>
      <c r="B16806" s="3" t="s">
        <v>93</v>
      </c>
      <c r="C16806" s="6">
        <v>22000</v>
      </c>
      <c r="D16806" s="7">
        <v>0.53</v>
      </c>
    </row>
    <row r="16807" spans="1:4" x14ac:dyDescent="0.25">
      <c r="A16807" t="str">
        <f>HYPERLINK("https://www.773grp.com/globalSearch/74LVCH244APW112/page-1", "74LVCH244APW112")</f>
        <v>74LVCH244APW112</v>
      </c>
      <c r="B16807" s="3" t="s">
        <v>93</v>
      </c>
      <c r="C16807" s="6">
        <v>4325</v>
      </c>
      <c r="D16807" s="7">
        <v>0.53</v>
      </c>
    </row>
    <row r="16808" spans="1:4" x14ac:dyDescent="0.25">
      <c r="A16808" t="str">
        <f>HYPERLINK("https://www.773grp.com/globalSearch/74LVCH244APW118/page-1", "74LVCH244APW118")</f>
        <v>74LVCH244APW118</v>
      </c>
      <c r="B16808" s="3" t="s">
        <v>93</v>
      </c>
      <c r="C16808" s="6">
        <v>14974</v>
      </c>
      <c r="D16808" s="7">
        <v>0.53</v>
      </c>
    </row>
    <row r="16809" spans="1:4" x14ac:dyDescent="0.25">
      <c r="A16809" t="str">
        <f>HYPERLINK("https://www.773grp.com/globalSearch/74LVCH245APW112/page-1", "74LVCH245APW112")</f>
        <v>74LVCH245APW112</v>
      </c>
      <c r="B16809" s="3" t="s">
        <v>93</v>
      </c>
      <c r="C16809" s="6">
        <v>5700</v>
      </c>
      <c r="D16809" s="7">
        <v>0.53</v>
      </c>
    </row>
    <row r="16810" spans="1:4" x14ac:dyDescent="0.25">
      <c r="A16810" t="str">
        <f>HYPERLINK("https://www.773grp.com/globalSearch/74LVCH245APW118/page-1", "74LVCH245APW118")</f>
        <v>74LVCH245APW118</v>
      </c>
      <c r="B16810" s="3" t="s">
        <v>93</v>
      </c>
      <c r="C16810" s="6">
        <v>47500</v>
      </c>
      <c r="D16810" s="7">
        <v>0.53</v>
      </c>
    </row>
    <row r="16811" spans="1:4" x14ac:dyDescent="0.25">
      <c r="A16811" t="str">
        <f>HYPERLINK("https://www.773grp.com/globalSearch/74LVT125BQ115/page-1", "74LVT125BQ115")</f>
        <v>74LVT125BQ115</v>
      </c>
      <c r="B16811" s="3" t="s">
        <v>93</v>
      </c>
      <c r="C16811" s="6">
        <v>3075</v>
      </c>
      <c r="D16811" s="7">
        <v>0.53</v>
      </c>
    </row>
    <row r="16812" spans="1:4" x14ac:dyDescent="0.25">
      <c r="A16812" t="str">
        <f>HYPERLINK("https://www.773grp.com/globalSearch/74LVT125DB118/page-1", "74LVT125DB118")</f>
        <v>74LVT125DB118</v>
      </c>
      <c r="B16812" s="3" t="s">
        <v>93</v>
      </c>
      <c r="C16812" s="6">
        <v>21257</v>
      </c>
      <c r="D16812" s="7">
        <v>0.53</v>
      </c>
    </row>
    <row r="16813" spans="1:4" x14ac:dyDescent="0.25">
      <c r="A16813" t="str">
        <f>HYPERLINK("https://www.773grp.com/globalSearch/74LVT126D118/page-1", "74LVT126D118")</f>
        <v>74LVT126D118</v>
      </c>
      <c r="B16813" s="3" t="s">
        <v>93</v>
      </c>
      <c r="C16813" s="6">
        <v>15000</v>
      </c>
      <c r="D16813" s="7">
        <v>0.53</v>
      </c>
    </row>
    <row r="16814" spans="1:4" x14ac:dyDescent="0.25">
      <c r="A16814" t="str">
        <f>HYPERLINK("https://www.773grp.com/globalSearch/74LVU04D118/page-1", "74LVU04D118")</f>
        <v>74LVU04D118</v>
      </c>
      <c r="B16814" s="3" t="s">
        <v>93</v>
      </c>
      <c r="C16814" s="6">
        <v>5200</v>
      </c>
      <c r="D16814" s="7">
        <v>0.53</v>
      </c>
    </row>
    <row r="16815" spans="1:4" x14ac:dyDescent="0.25">
      <c r="A16815" t="str">
        <f>HYPERLINK("https://www.773grp.com/globalSearch/74VHC14PW118/page-1", "74VHC14PW118")</f>
        <v>74VHC14PW118</v>
      </c>
      <c r="B16815" s="3" t="s">
        <v>93</v>
      </c>
      <c r="C16815" s="6">
        <v>5000</v>
      </c>
      <c r="D16815" s="7">
        <v>0.53</v>
      </c>
    </row>
    <row r="16816" spans="1:4" x14ac:dyDescent="0.25">
      <c r="A16816" t="str">
        <f>HYPERLINK("https://www.773grp.com/globalSearch/74VHC32PW118/page-1", "74VHC32PW118")</f>
        <v>74VHC32PW118</v>
      </c>
      <c r="B16816" s="3" t="s">
        <v>93</v>
      </c>
      <c r="C16816" s="6">
        <v>5000</v>
      </c>
      <c r="D16816" s="7">
        <v>0.53</v>
      </c>
    </row>
    <row r="16817" spans="1:4" x14ac:dyDescent="0.25">
      <c r="A16817" t="str">
        <f>HYPERLINK("https://www.773grp.com/globalSearch/74VHCT02PW118/page-1", "74VHCT02PW118")</f>
        <v>74VHCT02PW118</v>
      </c>
      <c r="B16817" s="3" t="s">
        <v>93</v>
      </c>
      <c r="C16817" s="6">
        <v>2500</v>
      </c>
      <c r="D16817" s="7">
        <v>0.53</v>
      </c>
    </row>
    <row r="16818" spans="1:4" x14ac:dyDescent="0.25">
      <c r="A16818" t="str">
        <f>HYPERLINK("https://www.773grp.com/globalSearch/74VHCT32PW118/page-1", "74VHCT32PW118")</f>
        <v>74VHCT32PW118</v>
      </c>
      <c r="B16818" s="3" t="s">
        <v>93</v>
      </c>
      <c r="C16818" s="6">
        <v>366</v>
      </c>
      <c r="D16818" s="7">
        <v>0.53</v>
      </c>
    </row>
    <row r="16819" spans="1:4" x14ac:dyDescent="0.25">
      <c r="A16819" t="str">
        <f>HYPERLINK("https://www.773grp.com/globalSearch/ACT102H-600D118/page-1", "ACT102H-600D118")</f>
        <v>ACT102H-600D118</v>
      </c>
      <c r="B16819" s="3" t="s">
        <v>93</v>
      </c>
      <c r="C16819" s="6">
        <v>2630</v>
      </c>
      <c r="D16819" s="7">
        <v>0.53</v>
      </c>
    </row>
    <row r="16820" spans="1:4" x14ac:dyDescent="0.25">
      <c r="A16820" t="str">
        <f>HYPERLINK("https://www.773grp.com/globalSearch/ACT108W-600E135/page-1", "ACT108W-600E135")</f>
        <v>ACT108W-600E135</v>
      </c>
      <c r="B16820" s="3" t="s">
        <v>93</v>
      </c>
      <c r="C16820" s="6">
        <v>120000</v>
      </c>
      <c r="D16820" s="7">
        <v>0.53</v>
      </c>
    </row>
    <row r="16821" spans="1:4" x14ac:dyDescent="0.25">
      <c r="A16821" t="str">
        <f>HYPERLINK("https://www.773grp.com/globalSearch/BAT960115/page-1", "BAT960115")</f>
        <v>BAT960115</v>
      </c>
      <c r="B16821" s="3" t="s">
        <v>93</v>
      </c>
      <c r="C16821" s="6">
        <v>45990</v>
      </c>
      <c r="D16821" s="7">
        <v>0.53</v>
      </c>
    </row>
    <row r="16822" spans="1:4" x14ac:dyDescent="0.25">
      <c r="A16822" t="str">
        <f>HYPERLINK("https://www.773grp.com/globalSearch/BCV65215/page-1", "BCV65215")</f>
        <v>BCV65215</v>
      </c>
      <c r="B16822" s="3" t="s">
        <v>93</v>
      </c>
      <c r="C16822" s="6">
        <v>8730</v>
      </c>
      <c r="D16822" s="7">
        <v>0.53</v>
      </c>
    </row>
    <row r="16823" spans="1:4" x14ac:dyDescent="0.25">
      <c r="A16823" t="str">
        <f>HYPERLINK("https://www.773grp.com/globalSearch/BFG505-X215/page-1", "BFG505-X215")</f>
        <v>BFG505-X215</v>
      </c>
      <c r="B16823" s="3" t="s">
        <v>93</v>
      </c>
      <c r="C16823" s="6">
        <v>5521</v>
      </c>
      <c r="D16823" s="7">
        <v>0.53</v>
      </c>
    </row>
    <row r="16824" spans="1:4" x14ac:dyDescent="0.25">
      <c r="A16824" t="str">
        <f>HYPERLINK("https://www.773grp.com/globalSearch/BFG520-XR215/page-1", "BFG520-XR215")</f>
        <v>BFG520-XR215</v>
      </c>
      <c r="B16824" s="3" t="s">
        <v>93</v>
      </c>
      <c r="C16824" s="6">
        <v>69400</v>
      </c>
      <c r="D16824" s="7">
        <v>0.53</v>
      </c>
    </row>
    <row r="16825" spans="1:4" x14ac:dyDescent="0.25">
      <c r="A16825" t="str">
        <f>HYPERLINK("https://www.773grp.com/globalSearch/BFG520215/page-1", "BFG520215")</f>
        <v>BFG520215</v>
      </c>
      <c r="B16825" s="3" t="s">
        <v>93</v>
      </c>
      <c r="C16825" s="6">
        <v>6000</v>
      </c>
      <c r="D16825" s="7">
        <v>0.53</v>
      </c>
    </row>
    <row r="16826" spans="1:4" x14ac:dyDescent="0.25">
      <c r="A16826" t="str">
        <f>HYPERLINK("https://www.773grp.com/globalSearch/BFG520W-X115/page-1", "BFG520W-X115")</f>
        <v>BFG520W-X115</v>
      </c>
      <c r="B16826" s="3" t="s">
        <v>93</v>
      </c>
      <c r="C16826" s="6">
        <v>12000</v>
      </c>
      <c r="D16826" s="7">
        <v>0.53</v>
      </c>
    </row>
    <row r="16827" spans="1:4" x14ac:dyDescent="0.25">
      <c r="A16827" t="str">
        <f>HYPERLINK("https://www.773grp.com/globalSearch/BFG67-X215/page-1", "BFG67-X215")</f>
        <v>BFG67-X215</v>
      </c>
      <c r="B16827" s="3" t="s">
        <v>93</v>
      </c>
      <c r="C16827" s="6">
        <v>3000</v>
      </c>
      <c r="D16827" s="7">
        <v>0.53</v>
      </c>
    </row>
    <row r="16828" spans="1:4" x14ac:dyDescent="0.25">
      <c r="A16828" t="str">
        <f>HYPERLINK("https://www.773grp.com/globalSearch/BFR505T115/page-1", "BFR505T115")</f>
        <v>BFR505T115</v>
      </c>
      <c r="B16828" s="3" t="s">
        <v>93</v>
      </c>
      <c r="C16828" s="6">
        <v>6000</v>
      </c>
      <c r="D16828" s="7">
        <v>0.53</v>
      </c>
    </row>
    <row r="16829" spans="1:4" x14ac:dyDescent="0.25">
      <c r="A16829" t="str">
        <f>HYPERLINK("https://www.773grp.com/globalSearch/BFR520T115/page-1", "BFR520T115")</f>
        <v>BFR520T115</v>
      </c>
      <c r="B16829" s="3" t="s">
        <v>93</v>
      </c>
      <c r="C16829" s="6">
        <v>81000</v>
      </c>
      <c r="D16829" s="7">
        <v>0.53</v>
      </c>
    </row>
    <row r="16830" spans="1:4" x14ac:dyDescent="0.25">
      <c r="A16830" t="str">
        <f>HYPERLINK("https://www.773grp.com/globalSearch/BFR94A215/page-1", "BFR94A215")</f>
        <v>BFR94A215</v>
      </c>
      <c r="B16830" s="3" t="s">
        <v>93</v>
      </c>
      <c r="C16830" s="6">
        <v>6480</v>
      </c>
      <c r="D16830" s="7">
        <v>0.53</v>
      </c>
    </row>
    <row r="16831" spans="1:4" x14ac:dyDescent="0.25">
      <c r="A16831" t="str">
        <f>HYPERLINK("https://www.773grp.com/globalSearch/BFR94AW115/page-1", "BFR94AW115")</f>
        <v>BFR94AW115</v>
      </c>
      <c r="B16831" s="3" t="s">
        <v>93</v>
      </c>
      <c r="C16831" s="6">
        <v>6200</v>
      </c>
      <c r="D16831" s="7">
        <v>0.53</v>
      </c>
    </row>
    <row r="16832" spans="1:4" x14ac:dyDescent="0.25">
      <c r="A16832" t="str">
        <f>HYPERLINK("https://www.773grp.com/globalSearch/BFU610F115/page-1", "BFU610F115")</f>
        <v>BFU610F115</v>
      </c>
      <c r="B16832" s="3" t="s">
        <v>93</v>
      </c>
      <c r="C16832" s="6">
        <v>9140</v>
      </c>
      <c r="D16832" s="7">
        <v>0.53</v>
      </c>
    </row>
    <row r="16833" spans="1:4" x14ac:dyDescent="0.25">
      <c r="A16833" t="str">
        <f>HYPERLINK("https://www.773grp.com/globalSearch/BFU630F115/page-1", "BFU630F115")</f>
        <v>BFU630F115</v>
      </c>
      <c r="B16833" s="3" t="s">
        <v>93</v>
      </c>
      <c r="C16833" s="6">
        <v>11900</v>
      </c>
      <c r="D16833" s="7">
        <v>0.53</v>
      </c>
    </row>
    <row r="16834" spans="1:4" x14ac:dyDescent="0.25">
      <c r="A16834" t="str">
        <f>HYPERLINK("https://www.773grp.com/globalSearch/BFU660F115/page-1", "BFU660F115")</f>
        <v>BFU660F115</v>
      </c>
      <c r="B16834" s="3" t="s">
        <v>93</v>
      </c>
      <c r="C16834" s="6">
        <v>3100</v>
      </c>
      <c r="D16834" s="7">
        <v>0.53</v>
      </c>
    </row>
    <row r="16835" spans="1:4" x14ac:dyDescent="0.25">
      <c r="A16835" t="str">
        <f>HYPERLINK("https://www.773grp.com/globalSearch/BFU690F115/page-1", "BFU690F115")</f>
        <v>BFU690F115</v>
      </c>
      <c r="B16835" s="3" t="s">
        <v>93</v>
      </c>
      <c r="C16835" s="6">
        <v>2135</v>
      </c>
      <c r="D16835" s="7">
        <v>0.53</v>
      </c>
    </row>
    <row r="16836" spans="1:4" x14ac:dyDescent="0.25">
      <c r="A16836" t="str">
        <f>HYPERLINK("https://www.773grp.com/globalSearch/BFU710F115/page-1", "BFU710F115")</f>
        <v>BFU710F115</v>
      </c>
      <c r="B16836" s="3" t="s">
        <v>93</v>
      </c>
      <c r="C16836" s="6">
        <v>8412</v>
      </c>
      <c r="D16836" s="7">
        <v>0.53</v>
      </c>
    </row>
    <row r="16837" spans="1:4" x14ac:dyDescent="0.25">
      <c r="A16837" t="str">
        <f>HYPERLINK("https://www.773grp.com/globalSearch/BFU730F115/page-1", "BFU730F115")</f>
        <v>BFU730F115</v>
      </c>
      <c r="B16837" s="3" t="s">
        <v>93</v>
      </c>
      <c r="C16837" s="6">
        <v>2256</v>
      </c>
      <c r="D16837" s="7">
        <v>0.53</v>
      </c>
    </row>
    <row r="16838" spans="1:4" x14ac:dyDescent="0.25">
      <c r="A16838" t="str">
        <f>HYPERLINK("https://www.773grp.com/globalSearch/BFU760F115/page-1", "BFU760F115")</f>
        <v>BFU760F115</v>
      </c>
      <c r="B16838" s="3" t="s">
        <v>93</v>
      </c>
      <c r="C16838" s="6">
        <v>9002</v>
      </c>
      <c r="D16838" s="7">
        <v>0.53</v>
      </c>
    </row>
    <row r="16839" spans="1:4" x14ac:dyDescent="0.25">
      <c r="A16839" t="str">
        <f>HYPERLINK("https://www.773grp.com/globalSearch/BFU790F115/page-1", "BFU790F115")</f>
        <v>BFU790F115</v>
      </c>
      <c r="B16839" s="3" t="s">
        <v>93</v>
      </c>
      <c r="C16839" s="6">
        <v>3990</v>
      </c>
      <c r="D16839" s="7">
        <v>0.53</v>
      </c>
    </row>
    <row r="16840" spans="1:4" x14ac:dyDescent="0.25">
      <c r="A16840" t="str">
        <f>HYPERLINK("https://www.773grp.com/globalSearch/BGA2714115/page-1", "BGA2714115")</f>
        <v>BGA2714115</v>
      </c>
      <c r="B16840" s="3" t="s">
        <v>93</v>
      </c>
      <c r="C16840" s="6">
        <v>395</v>
      </c>
      <c r="D16840" s="7">
        <v>0.53</v>
      </c>
    </row>
    <row r="16841" spans="1:4" x14ac:dyDescent="0.25">
      <c r="A16841" t="str">
        <f>HYPERLINK("https://www.773grp.com/globalSearch/BGA2748115/page-1", "BGA2748115")</f>
        <v>BGA2748115</v>
      </c>
      <c r="B16841" s="3" t="s">
        <v>93</v>
      </c>
      <c r="C16841" s="6">
        <v>5464</v>
      </c>
      <c r="D16841" s="7">
        <v>0.53</v>
      </c>
    </row>
    <row r="16842" spans="1:4" x14ac:dyDescent="0.25">
      <c r="A16842" t="str">
        <f>HYPERLINK("https://www.773grp.com/globalSearch/BGA2818115/page-1", "BGA2818115")</f>
        <v>BGA2818115</v>
      </c>
      <c r="B16842" s="3" t="s">
        <v>93</v>
      </c>
      <c r="C16842" s="6">
        <v>5995</v>
      </c>
      <c r="D16842" s="7">
        <v>0.53</v>
      </c>
    </row>
    <row r="16843" spans="1:4" x14ac:dyDescent="0.25">
      <c r="A16843" t="str">
        <f>HYPERLINK("https://www.773grp.com/globalSearch/BGM1013115/page-1", "BGM1013115")</f>
        <v>BGM1013115</v>
      </c>
      <c r="B16843" s="3" t="s">
        <v>93</v>
      </c>
      <c r="C16843" s="6">
        <v>15000</v>
      </c>
      <c r="D16843" s="7">
        <v>0.53</v>
      </c>
    </row>
    <row r="16844" spans="1:4" x14ac:dyDescent="0.25">
      <c r="A16844" t="str">
        <f>HYPERLINK("https://www.773grp.com/globalSearch/BGM1014115/page-1", "BGM1014115")</f>
        <v>BGM1014115</v>
      </c>
      <c r="B16844" s="3" t="s">
        <v>93</v>
      </c>
      <c r="C16844" s="6">
        <v>9000</v>
      </c>
      <c r="D16844" s="7">
        <v>0.53</v>
      </c>
    </row>
    <row r="16845" spans="1:4" x14ac:dyDescent="0.25">
      <c r="A16845" t="str">
        <f>HYPERLINK("https://www.773grp.com/globalSearch/BGU7031115/page-1", "BGU7031115")</f>
        <v>BGU7031115</v>
      </c>
      <c r="B16845" s="3" t="s">
        <v>93</v>
      </c>
      <c r="C16845" s="6">
        <v>3177</v>
      </c>
      <c r="D16845" s="7">
        <v>0.53</v>
      </c>
    </row>
    <row r="16846" spans="1:4" x14ac:dyDescent="0.25">
      <c r="A16846" t="str">
        <f>HYPERLINK("https://www.773grp.com/globalSearch/BSH112235/page-1", "BSH112235")</f>
        <v>BSH112235</v>
      </c>
      <c r="B16846" s="3" t="s">
        <v>93</v>
      </c>
      <c r="C16846" s="6">
        <v>20000</v>
      </c>
      <c r="D16846" s="7">
        <v>0.53</v>
      </c>
    </row>
    <row r="16847" spans="1:4" x14ac:dyDescent="0.25">
      <c r="A16847" t="str">
        <f>HYPERLINK("https://www.773grp.com/globalSearch/CBT3125PW118/page-1", "CBT3125PW118")</f>
        <v>CBT3125PW118</v>
      </c>
      <c r="B16847" s="3" t="s">
        <v>93</v>
      </c>
      <c r="C16847" s="6">
        <v>10982</v>
      </c>
      <c r="D16847" s="7">
        <v>0.53</v>
      </c>
    </row>
    <row r="16848" spans="1:4" x14ac:dyDescent="0.25">
      <c r="A16848" t="str">
        <f>HYPERLINK("https://www.773grp.com/globalSearch/CBT3126PW118/page-1", "CBT3126PW118")</f>
        <v>CBT3126PW118</v>
      </c>
      <c r="B16848" s="3" t="s">
        <v>93</v>
      </c>
      <c r="C16848" s="6">
        <v>10000</v>
      </c>
      <c r="D16848" s="7">
        <v>0.53</v>
      </c>
    </row>
    <row r="16849" spans="1:4" x14ac:dyDescent="0.25">
      <c r="A16849" t="str">
        <f>HYPERLINK("https://www.773grp.com/globalSearch/CBT3257ABQ115/page-1", "CBT3257ABQ115")</f>
        <v>CBT3257ABQ115</v>
      </c>
      <c r="B16849" s="3" t="s">
        <v>93</v>
      </c>
      <c r="C16849" s="6">
        <v>15120</v>
      </c>
      <c r="D16849" s="7">
        <v>0.53</v>
      </c>
    </row>
    <row r="16850" spans="1:4" x14ac:dyDescent="0.25">
      <c r="A16850" t="str">
        <f>HYPERLINK("https://www.773grp.com/globalSearch/CBT3257AD112/page-1", "CBT3257AD112")</f>
        <v>CBT3257AD112</v>
      </c>
      <c r="B16850" s="3" t="s">
        <v>93</v>
      </c>
      <c r="C16850" s="6">
        <v>1976</v>
      </c>
      <c r="D16850" s="7">
        <v>0.53</v>
      </c>
    </row>
    <row r="16851" spans="1:4" x14ac:dyDescent="0.25">
      <c r="A16851" t="str">
        <f>HYPERLINK("https://www.773grp.com/globalSearch/CBT3257AD118/page-1", "CBT3257AD118")</f>
        <v>CBT3257AD118</v>
      </c>
      <c r="B16851" s="3" t="s">
        <v>93</v>
      </c>
      <c r="C16851" s="6">
        <v>300</v>
      </c>
      <c r="D16851" s="7">
        <v>0.53</v>
      </c>
    </row>
    <row r="16852" spans="1:4" x14ac:dyDescent="0.25">
      <c r="A16852" t="str">
        <f>HYPERLINK("https://www.773grp.com/globalSearch/CBT3306PW118/page-1", "CBT3306PW118")</f>
        <v>CBT3306PW118</v>
      </c>
      <c r="B16852" s="3" t="s">
        <v>93</v>
      </c>
      <c r="C16852" s="6">
        <v>28900</v>
      </c>
      <c r="D16852" s="7">
        <v>0.53</v>
      </c>
    </row>
    <row r="16853" spans="1:4" x14ac:dyDescent="0.25">
      <c r="A16853" t="str">
        <f>HYPERLINK("https://www.773grp.com/globalSearch/HEF4007UBT653/page-1", "HEF4007UBT653")</f>
        <v>HEF4007UBT653</v>
      </c>
      <c r="B16853" s="3" t="s">
        <v>93</v>
      </c>
      <c r="C16853" s="6">
        <v>10000</v>
      </c>
      <c r="D16853" s="7">
        <v>0.53</v>
      </c>
    </row>
    <row r="16854" spans="1:4" x14ac:dyDescent="0.25">
      <c r="A16854" t="str">
        <f>HYPERLINK("https://www.773grp.com/globalSearch/HEF4023BT652/page-1", "HEF4023BT652")</f>
        <v>HEF4023BT652</v>
      </c>
      <c r="B16854" s="3" t="s">
        <v>93</v>
      </c>
      <c r="C16854" s="6">
        <v>1333</v>
      </c>
      <c r="D16854" s="7">
        <v>0.53</v>
      </c>
    </row>
    <row r="16855" spans="1:4" x14ac:dyDescent="0.25">
      <c r="A16855" t="str">
        <f>HYPERLINK("https://www.773grp.com/globalSearch/HEF4023BT653/page-1", "HEF4023BT653")</f>
        <v>HEF4023BT653</v>
      </c>
      <c r="B16855" s="3" t="s">
        <v>93</v>
      </c>
      <c r="C16855" s="6">
        <v>5000</v>
      </c>
      <c r="D16855" s="7">
        <v>0.53</v>
      </c>
    </row>
    <row r="16856" spans="1:4" x14ac:dyDescent="0.25">
      <c r="A16856" t="str">
        <f>HYPERLINK("https://www.773grp.com/globalSearch/HEF4025BT652/page-1", "HEF4025BT652")</f>
        <v>HEF4025BT652</v>
      </c>
      <c r="B16856" s="3" t="s">
        <v>93</v>
      </c>
      <c r="C16856" s="6">
        <v>3420</v>
      </c>
      <c r="D16856" s="7">
        <v>0.53</v>
      </c>
    </row>
    <row r="16857" spans="1:4" x14ac:dyDescent="0.25">
      <c r="A16857" t="str">
        <f>HYPERLINK("https://www.773grp.com/globalSearch/HEF4027BT652/page-1", "HEF4027BT652")</f>
        <v>HEF4027BT652</v>
      </c>
      <c r="B16857" s="3" t="s">
        <v>93</v>
      </c>
      <c r="C16857" s="6">
        <v>8660</v>
      </c>
      <c r="D16857" s="7">
        <v>0.53</v>
      </c>
    </row>
    <row r="16858" spans="1:4" x14ac:dyDescent="0.25">
      <c r="A16858" t="str">
        <f>HYPERLINK("https://www.773grp.com/globalSearch/HEF4027BT653/page-1", "HEF4027BT653")</f>
        <v>HEF4027BT653</v>
      </c>
      <c r="B16858" s="3" t="s">
        <v>93</v>
      </c>
      <c r="C16858" s="6">
        <v>15000</v>
      </c>
      <c r="D16858" s="7">
        <v>0.53</v>
      </c>
    </row>
    <row r="16859" spans="1:4" x14ac:dyDescent="0.25">
      <c r="A16859" t="str">
        <f>HYPERLINK("https://www.773grp.com/globalSearch/HEF4030BT652/page-1", "HEF4030BT652")</f>
        <v>HEF4030BT652</v>
      </c>
      <c r="B16859" s="3" t="s">
        <v>93</v>
      </c>
      <c r="C16859" s="6">
        <v>7033</v>
      </c>
      <c r="D16859" s="7">
        <v>0.53</v>
      </c>
    </row>
    <row r="16860" spans="1:4" x14ac:dyDescent="0.25">
      <c r="A16860" t="str">
        <f>HYPERLINK("https://www.773grp.com/globalSearch/HEF4030BT653/page-1", "HEF4030BT653")</f>
        <v>HEF4030BT653</v>
      </c>
      <c r="B16860" s="3" t="s">
        <v>93</v>
      </c>
      <c r="C16860" s="6">
        <v>5000</v>
      </c>
      <c r="D16860" s="7">
        <v>0.53</v>
      </c>
    </row>
    <row r="16861" spans="1:4" x14ac:dyDescent="0.25">
      <c r="A16861" t="str">
        <f>HYPERLINK("https://www.773grp.com/globalSearch/HEF4050BT652/page-1", "HEF4050BT652")</f>
        <v>HEF4050BT652</v>
      </c>
      <c r="B16861" s="3" t="s">
        <v>93</v>
      </c>
      <c r="C16861" s="6">
        <v>3236</v>
      </c>
      <c r="D16861" s="7">
        <v>0.53</v>
      </c>
    </row>
    <row r="16862" spans="1:4" x14ac:dyDescent="0.25">
      <c r="A16862" t="str">
        <f>HYPERLINK("https://www.773grp.com/globalSearch/HEF4050BT653/page-1", "HEF4050BT653")</f>
        <v>HEF4050BT653</v>
      </c>
      <c r="B16862" s="3" t="s">
        <v>93</v>
      </c>
      <c r="C16862" s="6">
        <v>27500</v>
      </c>
      <c r="D16862" s="7">
        <v>0.53</v>
      </c>
    </row>
    <row r="16863" spans="1:4" x14ac:dyDescent="0.25">
      <c r="A16863" t="str">
        <f>HYPERLINK("https://www.773grp.com/globalSearch/HEF4053BT652/page-1", "HEF4053BT652")</f>
        <v>HEF4053BT652</v>
      </c>
      <c r="B16863" s="3" t="s">
        <v>93</v>
      </c>
      <c r="C16863" s="6">
        <v>3000</v>
      </c>
      <c r="D16863" s="7">
        <v>0.53</v>
      </c>
    </row>
    <row r="16864" spans="1:4" x14ac:dyDescent="0.25">
      <c r="A16864" t="str">
        <f>HYPERLINK("https://www.773grp.com/globalSearch/HEF4053BT653/page-1", "HEF4053BT653")</f>
        <v>HEF4053BT653</v>
      </c>
      <c r="B16864" s="3" t="s">
        <v>93</v>
      </c>
      <c r="C16864" s="6">
        <v>120000</v>
      </c>
      <c r="D16864" s="7">
        <v>0.53</v>
      </c>
    </row>
    <row r="16865" spans="1:4" x14ac:dyDescent="0.25">
      <c r="A16865" t="str">
        <f>HYPERLINK("https://www.773grp.com/globalSearch/HEF4070BT652/page-1", "HEF4070BT652")</f>
        <v>HEF4070BT652</v>
      </c>
      <c r="B16865" s="3" t="s">
        <v>93</v>
      </c>
      <c r="C16865" s="6">
        <v>19333</v>
      </c>
      <c r="D16865" s="7">
        <v>0.53</v>
      </c>
    </row>
    <row r="16866" spans="1:4" x14ac:dyDescent="0.25">
      <c r="A16866" t="str">
        <f>HYPERLINK("https://www.773grp.com/globalSearch/HEF4070BT653/page-1", "HEF4070BT653")</f>
        <v>HEF4070BT653</v>
      </c>
      <c r="B16866" s="3" t="s">
        <v>93</v>
      </c>
      <c r="C16866" s="6">
        <v>169</v>
      </c>
      <c r="D16866" s="7">
        <v>0.53</v>
      </c>
    </row>
    <row r="16867" spans="1:4" x14ac:dyDescent="0.25">
      <c r="A16867" t="str">
        <f>HYPERLINK("https://www.773grp.com/globalSearch/HEF4073BT652/page-1", "HEF4073BT652")</f>
        <v>HEF4073BT652</v>
      </c>
      <c r="B16867" s="3" t="s">
        <v>93</v>
      </c>
      <c r="C16867" s="6">
        <v>2080</v>
      </c>
      <c r="D16867" s="7">
        <v>0.53</v>
      </c>
    </row>
    <row r="16868" spans="1:4" x14ac:dyDescent="0.25">
      <c r="A16868" t="str">
        <f>HYPERLINK("https://www.773grp.com/globalSearch/HEF4077BT652/page-1", "HEF4077BT652")</f>
        <v>HEF4077BT652</v>
      </c>
      <c r="B16868" s="3" t="s">
        <v>93</v>
      </c>
      <c r="C16868" s="6">
        <v>12540</v>
      </c>
      <c r="D16868" s="7">
        <v>0.53</v>
      </c>
    </row>
    <row r="16869" spans="1:4" x14ac:dyDescent="0.25">
      <c r="A16869" t="str">
        <f>HYPERLINK("https://www.773grp.com/globalSearch/HEF4077BT653/page-1", "HEF4077BT653")</f>
        <v>HEF4077BT653</v>
      </c>
      <c r="B16869" s="3" t="s">
        <v>93</v>
      </c>
      <c r="C16869" s="6">
        <v>5100</v>
      </c>
      <c r="D16869" s="7">
        <v>0.53</v>
      </c>
    </row>
    <row r="16870" spans="1:4" x14ac:dyDescent="0.25">
      <c r="A16870" t="str">
        <f>HYPERLINK("https://www.773grp.com/globalSearch/HEF4082BT652/page-1", "HEF4082BT652")</f>
        <v>HEF4082BT652</v>
      </c>
      <c r="B16870" s="3" t="s">
        <v>93</v>
      </c>
      <c r="C16870" s="6">
        <v>5985</v>
      </c>
      <c r="D16870" s="7">
        <v>0.53</v>
      </c>
    </row>
    <row r="16871" spans="1:4" x14ac:dyDescent="0.25">
      <c r="A16871" t="str">
        <f>HYPERLINK("https://www.773grp.com/globalSearch/IP4047CX6-LF135/page-1", "IP4047CX6-LF135")</f>
        <v>IP4047CX6-LF135</v>
      </c>
      <c r="B16871" s="3" t="s">
        <v>93</v>
      </c>
      <c r="C16871" s="6">
        <v>9000</v>
      </c>
      <c r="D16871" s="7">
        <v>0.53</v>
      </c>
    </row>
    <row r="16872" spans="1:4" x14ac:dyDescent="0.25">
      <c r="A16872" t="str">
        <f>HYPERLINK("https://www.773grp.com/globalSearch/IP4055CX6-LF135/page-1", "IP4055CX6-LF135")</f>
        <v>IP4055CX6-LF135</v>
      </c>
      <c r="B16872" s="3" t="s">
        <v>93</v>
      </c>
      <c r="C16872" s="6">
        <v>193500</v>
      </c>
      <c r="D16872" s="7">
        <v>0.53</v>
      </c>
    </row>
    <row r="16873" spans="1:4" x14ac:dyDescent="0.25">
      <c r="A16873" t="str">
        <f>HYPERLINK("https://www.773grp.com/globalSearch/IP4242CZ6115/page-1", "IP4242CZ6115")</f>
        <v>IP4242CZ6115</v>
      </c>
      <c r="B16873" s="3" t="s">
        <v>93</v>
      </c>
      <c r="C16873" s="6">
        <v>10000</v>
      </c>
      <c r="D16873" s="7">
        <v>0.53</v>
      </c>
    </row>
    <row r="16874" spans="1:4" x14ac:dyDescent="0.25">
      <c r="A16874" t="str">
        <f>HYPERLINK("https://www.773grp.com/globalSearch/IP4264CZ8-40118/page-1", "IP4264CZ8-40118")</f>
        <v>IP4264CZ8-40118</v>
      </c>
      <c r="B16874" s="3" t="s">
        <v>93</v>
      </c>
      <c r="C16874" s="6">
        <v>8000</v>
      </c>
      <c r="D16874" s="7">
        <v>0.53</v>
      </c>
    </row>
    <row r="16875" spans="1:4" x14ac:dyDescent="0.25">
      <c r="A16875" t="str">
        <f>HYPERLINK("https://www.773grp.com/globalSearch/N74F02D602/page-1", "N74F02D602")</f>
        <v>N74F02D602</v>
      </c>
      <c r="B16875" s="3" t="s">
        <v>93</v>
      </c>
      <c r="C16875" s="6">
        <v>11400</v>
      </c>
      <c r="D16875" s="7">
        <v>0.53</v>
      </c>
    </row>
    <row r="16876" spans="1:4" x14ac:dyDescent="0.25">
      <c r="A16876" t="str">
        <f>HYPERLINK("https://www.773grp.com/globalSearch/N74F11D623/page-1", "N74F11D623")</f>
        <v>N74F11D623</v>
      </c>
      <c r="B16876" s="3" t="s">
        <v>93</v>
      </c>
      <c r="C16876" s="6">
        <v>2500</v>
      </c>
      <c r="D16876" s="7">
        <v>0.53</v>
      </c>
    </row>
    <row r="16877" spans="1:4" x14ac:dyDescent="0.25">
      <c r="A16877" t="str">
        <f>HYPERLINK("https://www.773grp.com/globalSearch/N74F14D602/page-1", "N74F14D602")</f>
        <v>N74F14D602</v>
      </c>
      <c r="B16877" s="3" t="s">
        <v>93</v>
      </c>
      <c r="C16877" s="6">
        <v>1553</v>
      </c>
      <c r="D16877" s="7">
        <v>0.53</v>
      </c>
    </row>
    <row r="16878" spans="1:4" x14ac:dyDescent="0.25">
      <c r="A16878" t="str">
        <f>HYPERLINK("https://www.773grp.com/globalSearch/N74F14D623/page-1", "N74F14D623")</f>
        <v>N74F14D623</v>
      </c>
      <c r="B16878" s="3" t="s">
        <v>93</v>
      </c>
      <c r="C16878" s="6">
        <v>7260</v>
      </c>
      <c r="D16878" s="7">
        <v>0.53</v>
      </c>
    </row>
    <row r="16879" spans="1:4" x14ac:dyDescent="0.25">
      <c r="A16879" t="str">
        <f>HYPERLINK("https://www.773grp.com/globalSearch/N74F20D602/page-1", "N74F20D602")</f>
        <v>N74F20D602</v>
      </c>
      <c r="B16879" s="3" t="s">
        <v>93</v>
      </c>
      <c r="C16879" s="6">
        <v>9120</v>
      </c>
      <c r="D16879" s="7">
        <v>0.53</v>
      </c>
    </row>
    <row r="16880" spans="1:4" x14ac:dyDescent="0.25">
      <c r="A16880" t="str">
        <f>HYPERLINK("https://www.773grp.com/globalSearch/N74F20D623/page-1", "N74F20D623")</f>
        <v>N74F20D623</v>
      </c>
      <c r="B16880" s="3" t="s">
        <v>93</v>
      </c>
      <c r="C16880" s="6">
        <v>5000</v>
      </c>
      <c r="D16880" s="7">
        <v>0.53</v>
      </c>
    </row>
    <row r="16881" spans="1:4" x14ac:dyDescent="0.25">
      <c r="A16881" t="str">
        <f>HYPERLINK("https://www.773grp.com/globalSearch/N74F20N602/page-1", "N74F20N602")</f>
        <v>N74F20N602</v>
      </c>
      <c r="B16881" s="3" t="s">
        <v>93</v>
      </c>
      <c r="C16881" s="6">
        <v>2000</v>
      </c>
      <c r="D16881" s="7">
        <v>0.53</v>
      </c>
    </row>
    <row r="16882" spans="1:4" x14ac:dyDescent="0.25">
      <c r="A16882" t="str">
        <f>HYPERLINK("https://www.773grp.com/globalSearch/N74F27D623/page-1", "N74F27D623")</f>
        <v>N74F27D623</v>
      </c>
      <c r="B16882" s="3" t="s">
        <v>93</v>
      </c>
      <c r="C16882" s="6">
        <v>15000</v>
      </c>
      <c r="D16882" s="7">
        <v>0.53</v>
      </c>
    </row>
    <row r="16883" spans="1:4" x14ac:dyDescent="0.25">
      <c r="A16883" t="str">
        <f>HYPERLINK("https://www.773grp.com/globalSearch/N74F38D602/page-1", "N74F38D602")</f>
        <v>N74F38D602</v>
      </c>
      <c r="B16883" s="3" t="s">
        <v>93</v>
      </c>
      <c r="C16883" s="6">
        <v>14592</v>
      </c>
      <c r="D16883" s="7">
        <v>0.53</v>
      </c>
    </row>
    <row r="16884" spans="1:4" x14ac:dyDescent="0.25">
      <c r="A16884" t="str">
        <f>HYPERLINK("https://www.773grp.com/globalSearch/N74F38D623/page-1", "N74F38D623")</f>
        <v>N74F38D623</v>
      </c>
      <c r="B16884" s="3" t="s">
        <v>93</v>
      </c>
      <c r="C16884" s="6">
        <v>17500</v>
      </c>
      <c r="D16884" s="7">
        <v>0.53</v>
      </c>
    </row>
    <row r="16885" spans="1:4" x14ac:dyDescent="0.25">
      <c r="A16885" t="str">
        <f>HYPERLINK("https://www.773grp.com/globalSearch/N74F74D623/page-1", "N74F74D623")</f>
        <v>N74F74D623</v>
      </c>
      <c r="B16885" s="3" t="s">
        <v>93</v>
      </c>
      <c r="C16885" s="6">
        <v>30000</v>
      </c>
      <c r="D16885" s="7">
        <v>0.53</v>
      </c>
    </row>
    <row r="16886" spans="1:4" x14ac:dyDescent="0.25">
      <c r="A16886" t="str">
        <f>HYPERLINK("https://www.773grp.com/globalSearch/NCX2200GM115/page-1", "NCX2200GM115")</f>
        <v>NCX2200GM115</v>
      </c>
      <c r="B16886" s="3" t="s">
        <v>93</v>
      </c>
      <c r="C16886" s="6">
        <v>5450</v>
      </c>
      <c r="D16886" s="7">
        <v>0.53</v>
      </c>
    </row>
    <row r="16887" spans="1:4" x14ac:dyDescent="0.25">
      <c r="A16887" t="str">
        <f>HYPERLINK("https://www.773grp.com/globalSearch/NUR460-L02112/page-1", "NUR460-L02112")</f>
        <v>NUR460-L02112</v>
      </c>
      <c r="B16887" s="3" t="s">
        <v>93</v>
      </c>
      <c r="C16887" s="6">
        <v>9131</v>
      </c>
      <c r="D16887" s="7">
        <v>0.53</v>
      </c>
    </row>
    <row r="16888" spans="1:4" x14ac:dyDescent="0.25">
      <c r="A16888" t="str">
        <f>HYPERLINK("https://www.773grp.com/globalSearch/NX3L2G384GD125/page-1", "NX3L2G384GD125")</f>
        <v>NX3L2G384GD125</v>
      </c>
      <c r="B16888" s="3" t="s">
        <v>93</v>
      </c>
      <c r="C16888" s="6">
        <v>300</v>
      </c>
      <c r="D16888" s="7">
        <v>0.53</v>
      </c>
    </row>
    <row r="16889" spans="1:4" x14ac:dyDescent="0.25">
      <c r="A16889" t="str">
        <f>HYPERLINK("https://www.773grp.com/globalSearch/PBHV8115T215/page-1", "PBHV8115T215")</f>
        <v>PBHV8115T215</v>
      </c>
      <c r="B16889" s="3" t="s">
        <v>93</v>
      </c>
      <c r="C16889" s="6">
        <v>135</v>
      </c>
      <c r="D16889" s="7">
        <v>0.53</v>
      </c>
    </row>
    <row r="16890" spans="1:4" x14ac:dyDescent="0.25">
      <c r="A16890" t="str">
        <f>HYPERLINK("https://www.773grp.com/globalSearch/PBHV8118T215/page-1", "PBHV8118T215")</f>
        <v>PBHV8118T215</v>
      </c>
      <c r="B16890" s="3" t="s">
        <v>93</v>
      </c>
      <c r="C16890" s="6">
        <v>3000</v>
      </c>
      <c r="D16890" s="7">
        <v>0.53</v>
      </c>
    </row>
    <row r="16891" spans="1:4" x14ac:dyDescent="0.25">
      <c r="A16891" t="str">
        <f>HYPERLINK("https://www.773grp.com/globalSearch/PBHV8540T215/page-1", "PBHV8540T215")</f>
        <v>PBHV8540T215</v>
      </c>
      <c r="B16891" s="3" t="s">
        <v>93</v>
      </c>
      <c r="C16891" s="6">
        <v>24364</v>
      </c>
      <c r="D16891" s="7">
        <v>0.53</v>
      </c>
    </row>
    <row r="16892" spans="1:4" x14ac:dyDescent="0.25">
      <c r="A16892" t="str">
        <f>HYPERLINK("https://www.773grp.com/globalSearch/PBHV9050T215/page-1", "PBHV9050T215")</f>
        <v>PBHV9050T215</v>
      </c>
      <c r="B16892" s="3" t="s">
        <v>93</v>
      </c>
      <c r="C16892" s="6">
        <v>6000</v>
      </c>
      <c r="D16892" s="7">
        <v>0.53</v>
      </c>
    </row>
    <row r="16893" spans="1:4" x14ac:dyDescent="0.25">
      <c r="A16893" t="str">
        <f>HYPERLINK("https://www.773grp.com/globalSearch/PBHV9115T215/page-1", "PBHV9115T215")</f>
        <v>PBHV9115T215</v>
      </c>
      <c r="B16893" s="3" t="s">
        <v>93</v>
      </c>
      <c r="C16893" s="6">
        <v>60133</v>
      </c>
      <c r="D16893" s="7">
        <v>0.53</v>
      </c>
    </row>
    <row r="16894" spans="1:4" x14ac:dyDescent="0.25">
      <c r="A16894" t="str">
        <f>HYPERLINK("https://www.773grp.com/globalSearch/PBSS4021NT215/page-1", "PBSS4021NT215")</f>
        <v>PBSS4021NT215</v>
      </c>
      <c r="B16894" s="3" t="s">
        <v>93</v>
      </c>
      <c r="C16894" s="6">
        <v>24000</v>
      </c>
      <c r="D16894" s="7">
        <v>0.53</v>
      </c>
    </row>
    <row r="16895" spans="1:4" x14ac:dyDescent="0.25">
      <c r="A16895" t="str">
        <f>HYPERLINK("https://www.773grp.com/globalSearch/PBSS4021PT215/page-1", "PBSS4021PT215")</f>
        <v>PBSS4021PT215</v>
      </c>
      <c r="B16895" s="3" t="s">
        <v>93</v>
      </c>
      <c r="C16895" s="6">
        <v>9000</v>
      </c>
      <c r="D16895" s="7">
        <v>0.53</v>
      </c>
    </row>
    <row r="16896" spans="1:4" x14ac:dyDescent="0.25">
      <c r="A16896" t="str">
        <f>HYPERLINK("https://www.773grp.com/globalSearch/PBSS4032NT215/page-1", "PBSS4032NT215")</f>
        <v>PBSS4032NT215</v>
      </c>
      <c r="B16896" s="3" t="s">
        <v>93</v>
      </c>
      <c r="C16896" s="6">
        <v>15000</v>
      </c>
      <c r="D16896" s="7">
        <v>0.53</v>
      </c>
    </row>
    <row r="16897" spans="1:4" x14ac:dyDescent="0.25">
      <c r="A16897" t="str">
        <f>HYPERLINK("https://www.773grp.com/globalSearch/PBSS4032PT215/page-1", "PBSS4032PT215")</f>
        <v>PBSS4032PT215</v>
      </c>
      <c r="B16897" s="3" t="s">
        <v>93</v>
      </c>
      <c r="C16897" s="6">
        <v>18000</v>
      </c>
      <c r="D16897" s="7">
        <v>0.53</v>
      </c>
    </row>
    <row r="16898" spans="1:4" x14ac:dyDescent="0.25">
      <c r="A16898" t="str">
        <f>HYPERLINK("https://www.773grp.com/globalSearch/PBSS4041NT215/page-1", "PBSS4041NT215")</f>
        <v>PBSS4041NT215</v>
      </c>
      <c r="B16898" s="3" t="s">
        <v>93</v>
      </c>
      <c r="C16898" s="6">
        <v>6000</v>
      </c>
      <c r="D16898" s="7">
        <v>0.53</v>
      </c>
    </row>
    <row r="16899" spans="1:4" x14ac:dyDescent="0.25">
      <c r="A16899" t="str">
        <f>HYPERLINK("https://www.773grp.com/globalSearch/PBSS4041PT215/page-1", "PBSS4041PT215")</f>
        <v>PBSS4041PT215</v>
      </c>
      <c r="B16899" s="3" t="s">
        <v>93</v>
      </c>
      <c r="C16899" s="6">
        <v>3000</v>
      </c>
      <c r="D16899" s="7">
        <v>0.53</v>
      </c>
    </row>
    <row r="16900" spans="1:4" x14ac:dyDescent="0.25">
      <c r="A16900" t="str">
        <f>HYPERLINK("https://www.773grp.com/globalSearch/PBSS4160T215/page-1", "PBSS4160T215")</f>
        <v>PBSS4160T215</v>
      </c>
      <c r="B16900" s="3" t="s">
        <v>93</v>
      </c>
      <c r="C16900" s="6">
        <v>63000</v>
      </c>
      <c r="D16900" s="7">
        <v>0.53</v>
      </c>
    </row>
    <row r="16901" spans="1:4" x14ac:dyDescent="0.25">
      <c r="A16901" t="str">
        <f>HYPERLINK("https://www.773grp.com/globalSearch/PBSS5140T215/page-1", "PBSS5140T215")</f>
        <v>PBSS5140T215</v>
      </c>
      <c r="B16901" s="3" t="s">
        <v>93</v>
      </c>
      <c r="C16901" s="6">
        <v>51000</v>
      </c>
      <c r="D16901" s="7">
        <v>0.53</v>
      </c>
    </row>
    <row r="16902" spans="1:4" x14ac:dyDescent="0.25">
      <c r="A16902" t="str">
        <f>HYPERLINK("https://www.773grp.com/globalSearch/PBSS5160T215/page-1", "PBSS5160T215")</f>
        <v>PBSS5160T215</v>
      </c>
      <c r="B16902" s="3" t="s">
        <v>93</v>
      </c>
      <c r="C16902" s="6">
        <v>15000</v>
      </c>
      <c r="D16902" s="7">
        <v>0.53</v>
      </c>
    </row>
    <row r="16903" spans="1:4" x14ac:dyDescent="0.25">
      <c r="A16903" t="str">
        <f>HYPERLINK("https://www.773grp.com/globalSearch/PBSS5420D115/page-1", "PBSS5420D115")</f>
        <v>PBSS5420D115</v>
      </c>
      <c r="B16903" s="3" t="s">
        <v>93</v>
      </c>
      <c r="C16903" s="6">
        <v>1896</v>
      </c>
      <c r="D16903" s="7">
        <v>0.53</v>
      </c>
    </row>
    <row r="16904" spans="1:4" x14ac:dyDescent="0.25">
      <c r="A16904" t="str">
        <f>HYPERLINK("https://www.773grp.com/globalSearch/PBSS5440D115/page-1", "PBSS5440D115")</f>
        <v>PBSS5440D115</v>
      </c>
      <c r="B16904" s="3" t="s">
        <v>93</v>
      </c>
      <c r="C16904" s="6">
        <v>6000</v>
      </c>
      <c r="D16904" s="7">
        <v>0.53</v>
      </c>
    </row>
    <row r="16905" spans="1:4" x14ac:dyDescent="0.25">
      <c r="A16905" t="str">
        <f>HYPERLINK("https://www.773grp.com/globalSearch/PESD12VS1UA115/page-1", "PESD12VS1UA115")</f>
        <v>PESD12VS1UA115</v>
      </c>
      <c r="B16905" s="3" t="s">
        <v>93</v>
      </c>
      <c r="C16905" s="6">
        <v>3000</v>
      </c>
      <c r="D16905" s="7">
        <v>0.53</v>
      </c>
    </row>
    <row r="16906" spans="1:4" x14ac:dyDescent="0.25">
      <c r="A16906" t="str">
        <f>HYPERLINK("https://www.773grp.com/globalSearch/PESD12VS1UJ115/page-1", "PESD12VS1UJ115")</f>
        <v>PESD12VS1UJ115</v>
      </c>
      <c r="B16906" s="3" t="s">
        <v>93</v>
      </c>
      <c r="C16906" s="6">
        <v>3000</v>
      </c>
      <c r="D16906" s="7">
        <v>0.53</v>
      </c>
    </row>
    <row r="16907" spans="1:4" x14ac:dyDescent="0.25">
      <c r="A16907" t="str">
        <f>HYPERLINK("https://www.773grp.com/globalSearch/PESD3V3L2UM315/page-1", "PESD3V3L2UM315")</f>
        <v>PESD3V3L2UM315</v>
      </c>
      <c r="B16907" s="3" t="s">
        <v>93</v>
      </c>
      <c r="C16907" s="6">
        <v>28799</v>
      </c>
      <c r="D16907" s="7">
        <v>0.53</v>
      </c>
    </row>
    <row r="16908" spans="1:4" x14ac:dyDescent="0.25">
      <c r="A16908" t="str">
        <f>HYPERLINK("https://www.773grp.com/globalSearch/PESD3V3L5UF115/page-1", "PESD3V3L5UF115")</f>
        <v>PESD3V3L5UF115</v>
      </c>
      <c r="B16908" s="3" t="s">
        <v>93</v>
      </c>
      <c r="C16908" s="6">
        <v>20000</v>
      </c>
      <c r="D16908" s="7">
        <v>0.53</v>
      </c>
    </row>
    <row r="16909" spans="1:4" x14ac:dyDescent="0.25">
      <c r="A16909" t="str">
        <f>HYPERLINK("https://www.773grp.com/globalSearch/PESD3V3L5UV115/page-1", "PESD3V3L5UV115")</f>
        <v>PESD3V3L5UV115</v>
      </c>
      <c r="B16909" s="3" t="s">
        <v>93</v>
      </c>
      <c r="C16909" s="6">
        <v>12000</v>
      </c>
      <c r="D16909" s="7">
        <v>0.53</v>
      </c>
    </row>
    <row r="16910" spans="1:4" x14ac:dyDescent="0.25">
      <c r="A16910" t="str">
        <f>HYPERLINK("https://www.773grp.com/globalSearch/PESD5V0L2UM315/page-1", "PESD5V0L2UM315")</f>
        <v>PESD5V0L2UM315</v>
      </c>
      <c r="B16910" s="3" t="s">
        <v>93</v>
      </c>
      <c r="C16910" s="6">
        <v>10000</v>
      </c>
      <c r="D16910" s="7">
        <v>0.53</v>
      </c>
    </row>
    <row r="16911" spans="1:4" x14ac:dyDescent="0.25">
      <c r="A16911" t="str">
        <f>HYPERLINK("https://www.773grp.com/globalSearch/PESD5V0L5UV125/page-1", "PESD5V0L5UV125")</f>
        <v>PESD5V0L5UV125</v>
      </c>
      <c r="B16911" s="3" t="s">
        <v>93</v>
      </c>
      <c r="C16911" s="6">
        <v>4000</v>
      </c>
      <c r="D16911" s="7">
        <v>0.53</v>
      </c>
    </row>
    <row r="16912" spans="1:4" x14ac:dyDescent="0.25">
      <c r="A16912" t="str">
        <f>HYPERLINK("https://www.773grp.com/globalSearch/PESD5V0S1UA115/page-1", "PESD5V0S1UA115")</f>
        <v>PESD5V0S1UA115</v>
      </c>
      <c r="B16912" s="3" t="s">
        <v>93</v>
      </c>
      <c r="C16912" s="6">
        <v>200</v>
      </c>
      <c r="D16912" s="7">
        <v>0.53</v>
      </c>
    </row>
    <row r="16913" spans="1:4" x14ac:dyDescent="0.25">
      <c r="A16913" t="str">
        <f>HYPERLINK("https://www.773grp.com/globalSearch/PESD5V0S1UJ115/page-1", "PESD5V0S1UJ115")</f>
        <v>PESD5V0S1UJ115</v>
      </c>
      <c r="B16913" s="3" t="s">
        <v>93</v>
      </c>
      <c r="C16913" s="6">
        <v>12000</v>
      </c>
      <c r="D16913" s="7">
        <v>0.53</v>
      </c>
    </row>
    <row r="16914" spans="1:4" x14ac:dyDescent="0.25">
      <c r="A16914" t="str">
        <f>HYPERLINK("https://www.773grp.com/globalSearch/PESD5V0U4BW115/page-1", "PESD5V0U4BW115")</f>
        <v>PESD5V0U4BW115</v>
      </c>
      <c r="B16914" s="3" t="s">
        <v>93</v>
      </c>
      <c r="C16914" s="6">
        <v>280</v>
      </c>
      <c r="D16914" s="7">
        <v>0.53</v>
      </c>
    </row>
    <row r="16915" spans="1:4" x14ac:dyDescent="0.25">
      <c r="A16915" t="str">
        <f>HYPERLINK("https://www.773grp.com/globalSearch/PESD5V0X1UB135/page-1", "PESD5V0X1UB135")</f>
        <v>PESD5V0X1UB135</v>
      </c>
      <c r="B16915" s="3" t="s">
        <v>93</v>
      </c>
      <c r="C16915" s="6">
        <v>10000</v>
      </c>
      <c r="D16915" s="7">
        <v>0.53</v>
      </c>
    </row>
    <row r="16916" spans="1:4" x14ac:dyDescent="0.25">
      <c r="A16916" t="str">
        <f>HYPERLINK("https://www.773grp.com/globalSearch/PMBFJ108215/page-1", "PMBFJ108215")</f>
        <v>PMBFJ108215</v>
      </c>
      <c r="B16916" s="3" t="s">
        <v>93</v>
      </c>
      <c r="C16916" s="6">
        <v>54000</v>
      </c>
      <c r="D16916" s="7">
        <v>0.53</v>
      </c>
    </row>
    <row r="16917" spans="1:4" x14ac:dyDescent="0.25">
      <c r="A16917" t="str">
        <f>HYPERLINK("https://www.773grp.com/globalSearch/PMBFJ109215/page-1", "PMBFJ109215")</f>
        <v>PMBFJ109215</v>
      </c>
      <c r="B16917" s="3" t="s">
        <v>93</v>
      </c>
      <c r="C16917" s="6">
        <v>3000</v>
      </c>
      <c r="D16917" s="7">
        <v>0.53</v>
      </c>
    </row>
    <row r="16918" spans="1:4" x14ac:dyDescent="0.25">
      <c r="A16918" t="str">
        <f>HYPERLINK("https://www.773grp.com/globalSearch/PMBFJ111215/page-1", "PMBFJ111215")</f>
        <v>PMBFJ111215</v>
      </c>
      <c r="B16918" s="3" t="s">
        <v>93</v>
      </c>
      <c r="C16918" s="6">
        <v>1745</v>
      </c>
      <c r="D16918" s="7">
        <v>0.53</v>
      </c>
    </row>
    <row r="16919" spans="1:4" x14ac:dyDescent="0.25">
      <c r="A16919" t="str">
        <f>HYPERLINK("https://www.773grp.com/globalSearch/PMBFJ112215/page-1", "PMBFJ112215")</f>
        <v>PMBFJ112215</v>
      </c>
      <c r="B16919" s="3" t="s">
        <v>93</v>
      </c>
      <c r="C16919" s="6">
        <v>45000</v>
      </c>
      <c r="D16919" s="7">
        <v>0.53</v>
      </c>
    </row>
    <row r="16920" spans="1:4" x14ac:dyDescent="0.25">
      <c r="A16920" t="str">
        <f>HYPERLINK("https://www.773grp.com/globalSearch/PMBFJ113215/page-1", "PMBFJ113215")</f>
        <v>PMBFJ113215</v>
      </c>
      <c r="B16920" s="3" t="s">
        <v>93</v>
      </c>
      <c r="C16920" s="6">
        <v>2554</v>
      </c>
      <c r="D16920" s="7">
        <v>0.53</v>
      </c>
    </row>
    <row r="16921" spans="1:4" x14ac:dyDescent="0.25">
      <c r="A16921" t="str">
        <f>HYPERLINK("https://www.773grp.com/globalSearch/PMBFJ174215/page-1", "PMBFJ174215")</f>
        <v>PMBFJ174215</v>
      </c>
      <c r="B16921" s="3" t="s">
        <v>93</v>
      </c>
      <c r="C16921" s="6">
        <v>6000</v>
      </c>
      <c r="D16921" s="7">
        <v>0.53</v>
      </c>
    </row>
    <row r="16922" spans="1:4" x14ac:dyDescent="0.25">
      <c r="A16922" t="str">
        <f>HYPERLINK("https://www.773grp.com/globalSearch/PMBFJ175215/page-1", "PMBFJ175215")</f>
        <v>PMBFJ175215</v>
      </c>
      <c r="B16922" s="3" t="s">
        <v>93</v>
      </c>
      <c r="C16922" s="6">
        <v>344</v>
      </c>
      <c r="D16922" s="7">
        <v>0.53</v>
      </c>
    </row>
    <row r="16923" spans="1:4" x14ac:dyDescent="0.25">
      <c r="A16923" t="str">
        <f>HYPERLINK("https://www.773grp.com/globalSearch/PMBFJ176215/page-1", "PMBFJ176215")</f>
        <v>PMBFJ176215</v>
      </c>
      <c r="B16923" s="3" t="s">
        <v>93</v>
      </c>
      <c r="C16923" s="6">
        <v>6000</v>
      </c>
      <c r="D16923" s="7">
        <v>0.53</v>
      </c>
    </row>
    <row r="16924" spans="1:4" x14ac:dyDescent="0.25">
      <c r="A16924" t="str">
        <f>HYPERLINK("https://www.773grp.com/globalSearch/PMEG6030EP115/page-1", "PMEG6030EP115")</f>
        <v>PMEG6030EP115</v>
      </c>
      <c r="B16924" s="3" t="s">
        <v>93</v>
      </c>
      <c r="C16924" s="6">
        <v>553</v>
      </c>
      <c r="D16924" s="7">
        <v>0.53</v>
      </c>
    </row>
    <row r="16925" spans="1:4" x14ac:dyDescent="0.25">
      <c r="A16925" t="str">
        <f>HYPERLINK("https://www.773grp.com/globalSearch/PMGD8000LN115/page-1", "PMGD8000LN115")</f>
        <v>PMGD8000LN115</v>
      </c>
      <c r="B16925" s="3" t="s">
        <v>93</v>
      </c>
      <c r="C16925" s="6">
        <v>14</v>
      </c>
      <c r="D16925" s="7">
        <v>0.53</v>
      </c>
    </row>
    <row r="16926" spans="1:4" x14ac:dyDescent="0.25">
      <c r="A16926" t="str">
        <f>HYPERLINK("https://www.773grp.com/globalSearch/PMV65XP215/page-1", "PMV65XP215")</f>
        <v>PMV65XP215</v>
      </c>
      <c r="B16926" s="3" t="s">
        <v>93</v>
      </c>
      <c r="C16926" s="6">
        <v>51000</v>
      </c>
      <c r="D16926" s="7">
        <v>0.53</v>
      </c>
    </row>
    <row r="16927" spans="1:4" x14ac:dyDescent="0.25">
      <c r="A16927" t="str">
        <f>HYPERLINK("https://www.773grp.com/globalSearch/PRTR5V0U1T215/page-1", "PRTR5V0U1T215")</f>
        <v>PRTR5V0U1T215</v>
      </c>
      <c r="B16927" s="3" t="s">
        <v>93</v>
      </c>
      <c r="C16927" s="6">
        <v>12535</v>
      </c>
      <c r="D16927" s="7">
        <v>0.53</v>
      </c>
    </row>
    <row r="16928" spans="1:4" x14ac:dyDescent="0.25">
      <c r="A16928" t="str">
        <f>HYPERLINK("https://www.773grp.com/globalSearch/PSMN012-25YLC115/page-1", "PSMN012-25YLC115")</f>
        <v>PSMN012-25YLC115</v>
      </c>
      <c r="B16928" s="3" t="s">
        <v>93</v>
      </c>
      <c r="C16928" s="6">
        <v>1847</v>
      </c>
      <c r="D16928" s="7">
        <v>0.53</v>
      </c>
    </row>
    <row r="16929" spans="1:4" x14ac:dyDescent="0.25">
      <c r="A16929" t="str">
        <f>HYPERLINK("https://www.773grp.com/globalSearch/PTVS10VS1UR115/page-1", "PTVS10VS1UR115")</f>
        <v>PTVS10VS1UR115</v>
      </c>
      <c r="B16929" s="3" t="s">
        <v>93</v>
      </c>
      <c r="C16929" s="6">
        <v>6100</v>
      </c>
      <c r="D16929" s="7">
        <v>0.53</v>
      </c>
    </row>
    <row r="16930" spans="1:4" x14ac:dyDescent="0.25">
      <c r="A16930" t="str">
        <f>HYPERLINK("https://www.773grp.com/globalSearch/PTVS10VS1UTR115/page-1", "PTVS10VS1UTR115")</f>
        <v>PTVS10VS1UTR115</v>
      </c>
      <c r="B16930" s="3" t="s">
        <v>93</v>
      </c>
      <c r="C16930" s="6">
        <v>6000</v>
      </c>
      <c r="D16930" s="7">
        <v>0.53</v>
      </c>
    </row>
    <row r="16931" spans="1:4" x14ac:dyDescent="0.25">
      <c r="A16931" t="str">
        <f>HYPERLINK("https://www.773grp.com/globalSearch/PTVS11VP1UTP115/page-1", "PTVS11VP1UTP115")</f>
        <v>PTVS11VP1UTP115</v>
      </c>
      <c r="B16931" s="3" t="s">
        <v>93</v>
      </c>
      <c r="C16931" s="6">
        <v>2944</v>
      </c>
      <c r="D16931" s="7">
        <v>0.53</v>
      </c>
    </row>
    <row r="16932" spans="1:4" x14ac:dyDescent="0.25">
      <c r="A16932" t="str">
        <f>HYPERLINK("https://www.773grp.com/globalSearch/PTVS11VS1UR115/page-1", "PTVS11VS1UR115")</f>
        <v>PTVS11VS1UR115</v>
      </c>
      <c r="B16932" s="3" t="s">
        <v>93</v>
      </c>
      <c r="C16932" s="6">
        <v>9150</v>
      </c>
      <c r="D16932" s="7">
        <v>0.53</v>
      </c>
    </row>
    <row r="16933" spans="1:4" x14ac:dyDescent="0.25">
      <c r="A16933" t="str">
        <f>HYPERLINK("https://www.773grp.com/globalSearch/PTVS11VS1UTR115/page-1", "PTVS11VS1UTR115")</f>
        <v>PTVS11VS1UTR115</v>
      </c>
      <c r="B16933" s="3" t="s">
        <v>93</v>
      </c>
      <c r="C16933" s="6">
        <v>9000</v>
      </c>
      <c r="D16933" s="7">
        <v>0.53</v>
      </c>
    </row>
    <row r="16934" spans="1:4" x14ac:dyDescent="0.25">
      <c r="A16934" t="str">
        <f>HYPERLINK("https://www.773grp.com/globalSearch/PTVS12VP1UP115/page-1", "PTVS12VP1UP115")</f>
        <v>PTVS12VP1UP115</v>
      </c>
      <c r="B16934" s="3" t="s">
        <v>93</v>
      </c>
      <c r="C16934" s="6">
        <v>200</v>
      </c>
      <c r="D16934" s="7">
        <v>0.53</v>
      </c>
    </row>
    <row r="16935" spans="1:4" x14ac:dyDescent="0.25">
      <c r="A16935" t="str">
        <f>HYPERLINK("https://www.773grp.com/globalSearch/PTVS12VS1UTR115/page-1", "PTVS12VS1UTR115")</f>
        <v>PTVS12VS1UTR115</v>
      </c>
      <c r="B16935" s="3" t="s">
        <v>93</v>
      </c>
      <c r="C16935" s="6">
        <v>6000</v>
      </c>
      <c r="D16935" s="7">
        <v>0.53</v>
      </c>
    </row>
    <row r="16936" spans="1:4" x14ac:dyDescent="0.25">
      <c r="A16936" t="str">
        <f>HYPERLINK("https://www.773grp.com/globalSearch/PTVS13VS1UR115/page-1", "PTVS13VS1UR115")</f>
        <v>PTVS13VS1UR115</v>
      </c>
      <c r="B16936" s="3" t="s">
        <v>93</v>
      </c>
      <c r="C16936" s="6">
        <v>9000</v>
      </c>
      <c r="D16936" s="7">
        <v>0.53</v>
      </c>
    </row>
    <row r="16937" spans="1:4" x14ac:dyDescent="0.25">
      <c r="A16937" t="str">
        <f>HYPERLINK("https://www.773grp.com/globalSearch/PTVS13VS1UTR115/page-1", "PTVS13VS1UTR115")</f>
        <v>PTVS13VS1UTR115</v>
      </c>
      <c r="B16937" s="3" t="s">
        <v>93</v>
      </c>
      <c r="C16937" s="6">
        <v>6000</v>
      </c>
      <c r="D16937" s="7">
        <v>0.53</v>
      </c>
    </row>
    <row r="16938" spans="1:4" x14ac:dyDescent="0.25">
      <c r="A16938" t="str">
        <f>HYPERLINK("https://www.773grp.com/globalSearch/PTVS14VP1UP115/page-1", "PTVS14VP1UP115")</f>
        <v>PTVS14VP1UP115</v>
      </c>
      <c r="B16938" s="3" t="s">
        <v>93</v>
      </c>
      <c r="C16938" s="6">
        <v>200</v>
      </c>
      <c r="D16938" s="7">
        <v>0.53</v>
      </c>
    </row>
    <row r="16939" spans="1:4" x14ac:dyDescent="0.25">
      <c r="A16939" t="str">
        <f>HYPERLINK("https://www.773grp.com/globalSearch/PTVS14VS1UR115/page-1", "PTVS14VS1UR115")</f>
        <v>PTVS14VS1UR115</v>
      </c>
      <c r="B16939" s="3" t="s">
        <v>93</v>
      </c>
      <c r="C16939" s="6">
        <v>14800</v>
      </c>
      <c r="D16939" s="7">
        <v>0.53</v>
      </c>
    </row>
    <row r="16940" spans="1:4" x14ac:dyDescent="0.25">
      <c r="A16940" t="str">
        <f>HYPERLINK("https://www.773grp.com/globalSearch/PTVS14VS1UTR115/page-1", "PTVS14VS1UTR115")</f>
        <v>PTVS14VS1UTR115</v>
      </c>
      <c r="B16940" s="3" t="s">
        <v>93</v>
      </c>
      <c r="C16940" s="6">
        <v>6000</v>
      </c>
      <c r="D16940" s="7">
        <v>0.53</v>
      </c>
    </row>
    <row r="16941" spans="1:4" x14ac:dyDescent="0.25">
      <c r="A16941" t="str">
        <f>HYPERLINK("https://www.773grp.com/globalSearch/PTVS15VS1UR115/page-1", "PTVS15VS1UR115")</f>
        <v>PTVS15VS1UR115</v>
      </c>
      <c r="B16941" s="3" t="s">
        <v>93</v>
      </c>
      <c r="C16941" s="6">
        <v>8970</v>
      </c>
      <c r="D16941" s="7">
        <v>0.53</v>
      </c>
    </row>
    <row r="16942" spans="1:4" x14ac:dyDescent="0.25">
      <c r="A16942" t="str">
        <f>HYPERLINK("https://www.773grp.com/globalSearch/PTVS16VP1UP115/page-1", "PTVS16VP1UP115")</f>
        <v>PTVS16VP1UP115</v>
      </c>
      <c r="B16942" s="3" t="s">
        <v>93</v>
      </c>
      <c r="C16942" s="6">
        <v>665</v>
      </c>
      <c r="D16942" s="7">
        <v>0.53</v>
      </c>
    </row>
    <row r="16943" spans="1:4" x14ac:dyDescent="0.25">
      <c r="A16943" t="str">
        <f>HYPERLINK("https://www.773grp.com/globalSearch/PTVS16VS1UR115/page-1", "PTVS16VS1UR115")</f>
        <v>PTVS16VS1UR115</v>
      </c>
      <c r="B16943" s="3" t="s">
        <v>93</v>
      </c>
      <c r="C16943" s="6">
        <v>9400</v>
      </c>
      <c r="D16943" s="7">
        <v>0.53</v>
      </c>
    </row>
    <row r="16944" spans="1:4" x14ac:dyDescent="0.25">
      <c r="A16944" t="str">
        <f>HYPERLINK("https://www.773grp.com/globalSearch/PTVS16VS1UTR115/page-1", "PTVS16VS1UTR115")</f>
        <v>PTVS16VS1UTR115</v>
      </c>
      <c r="B16944" s="3" t="s">
        <v>93</v>
      </c>
      <c r="C16944" s="6">
        <v>6000</v>
      </c>
      <c r="D16944" s="7">
        <v>0.53</v>
      </c>
    </row>
    <row r="16945" spans="1:4" x14ac:dyDescent="0.25">
      <c r="A16945" t="str">
        <f>HYPERLINK("https://www.773grp.com/globalSearch/PTVS17VP1UP115/page-1", "PTVS17VP1UP115")</f>
        <v>PTVS17VP1UP115</v>
      </c>
      <c r="B16945" s="3" t="s">
        <v>93</v>
      </c>
      <c r="C16945" s="6">
        <v>200</v>
      </c>
      <c r="D16945" s="7">
        <v>0.53</v>
      </c>
    </row>
    <row r="16946" spans="1:4" x14ac:dyDescent="0.25">
      <c r="A16946" t="str">
        <f>HYPERLINK("https://www.773grp.com/globalSearch/PTVS17VS1UR115/page-1", "PTVS17VS1UR115")</f>
        <v>PTVS17VS1UR115</v>
      </c>
      <c r="B16946" s="3" t="s">
        <v>93</v>
      </c>
      <c r="C16946" s="6">
        <v>21200</v>
      </c>
      <c r="D16946" s="7">
        <v>0.53</v>
      </c>
    </row>
    <row r="16947" spans="1:4" x14ac:dyDescent="0.25">
      <c r="A16947" t="str">
        <f>HYPERLINK("https://www.773grp.com/globalSearch/PTVS17VS1UTR115/page-1", "PTVS17VS1UTR115")</f>
        <v>PTVS17VS1UTR115</v>
      </c>
      <c r="B16947" s="3" t="s">
        <v>93</v>
      </c>
      <c r="C16947" s="6">
        <v>6000</v>
      </c>
      <c r="D16947" s="7">
        <v>0.53</v>
      </c>
    </row>
    <row r="16948" spans="1:4" x14ac:dyDescent="0.25">
      <c r="A16948" t="str">
        <f>HYPERLINK("https://www.773grp.com/globalSearch/PTVS18VS1UR115/page-1", "PTVS18VS1UR115")</f>
        <v>PTVS18VS1UR115</v>
      </c>
      <c r="B16948" s="3" t="s">
        <v>93</v>
      </c>
      <c r="C16948" s="6">
        <v>9260</v>
      </c>
      <c r="D16948" s="7">
        <v>0.53</v>
      </c>
    </row>
    <row r="16949" spans="1:4" x14ac:dyDescent="0.25">
      <c r="A16949" t="str">
        <f>HYPERLINK("https://www.773grp.com/globalSearch/PTVS18VS1UTR115/page-1", "PTVS18VS1UTR115")</f>
        <v>PTVS18VS1UTR115</v>
      </c>
      <c r="B16949" s="3" t="s">
        <v>93</v>
      </c>
      <c r="C16949" s="6">
        <v>6000</v>
      </c>
      <c r="D16949" s="7">
        <v>0.53</v>
      </c>
    </row>
    <row r="16950" spans="1:4" x14ac:dyDescent="0.25">
      <c r="A16950" t="str">
        <f>HYPERLINK("https://www.773grp.com/globalSearch/PTVS20VP1UP115/page-1", "PTVS20VP1UP115")</f>
        <v>PTVS20VP1UP115</v>
      </c>
      <c r="B16950" s="3" t="s">
        <v>93</v>
      </c>
      <c r="C16950" s="6">
        <v>30000</v>
      </c>
      <c r="D16950" s="7">
        <v>0.53</v>
      </c>
    </row>
    <row r="16951" spans="1:4" x14ac:dyDescent="0.25">
      <c r="A16951" t="str">
        <f>HYPERLINK("https://www.773grp.com/globalSearch/PTVS20VS1UR115/page-1", "PTVS20VS1UR115")</f>
        <v>PTVS20VS1UR115</v>
      </c>
      <c r="B16951" s="3" t="s">
        <v>93</v>
      </c>
      <c r="C16951" s="6">
        <v>6000</v>
      </c>
      <c r="D16951" s="7">
        <v>0.53</v>
      </c>
    </row>
    <row r="16952" spans="1:4" x14ac:dyDescent="0.25">
      <c r="A16952" t="str">
        <f>HYPERLINK("https://www.773grp.com/globalSearch/PTVS20VS1UTR115/page-1", "PTVS20VS1UTR115")</f>
        <v>PTVS20VS1UTR115</v>
      </c>
      <c r="B16952" s="3" t="s">
        <v>93</v>
      </c>
      <c r="C16952" s="6">
        <v>8398</v>
      </c>
      <c r="D16952" s="7">
        <v>0.53</v>
      </c>
    </row>
    <row r="16953" spans="1:4" x14ac:dyDescent="0.25">
      <c r="A16953" t="str">
        <f>HYPERLINK("https://www.773grp.com/globalSearch/PTVS22VS1UR115/page-1", "PTVS22VS1UR115")</f>
        <v>PTVS22VS1UR115</v>
      </c>
      <c r="B16953" s="3" t="s">
        <v>93</v>
      </c>
      <c r="C16953" s="6">
        <v>500</v>
      </c>
      <c r="D16953" s="7">
        <v>0.53</v>
      </c>
    </row>
    <row r="16954" spans="1:4" x14ac:dyDescent="0.25">
      <c r="A16954" t="str">
        <f>HYPERLINK("https://www.773grp.com/globalSearch/PTVS24VP1UP115/page-1", "PTVS24VP1UP115")</f>
        <v>PTVS24VP1UP115</v>
      </c>
      <c r="B16954" s="3" t="s">
        <v>93</v>
      </c>
      <c r="C16954" s="6">
        <v>200</v>
      </c>
      <c r="D16954" s="7">
        <v>0.53</v>
      </c>
    </row>
    <row r="16955" spans="1:4" x14ac:dyDescent="0.25">
      <c r="A16955" t="str">
        <f>HYPERLINK("https://www.773grp.com/globalSearch/PTVS24VS1UTR115/page-1", "PTVS24VS1UTR115")</f>
        <v>PTVS24VS1UTR115</v>
      </c>
      <c r="B16955" s="3" t="s">
        <v>93</v>
      </c>
      <c r="C16955" s="6">
        <v>9000</v>
      </c>
      <c r="D16955" s="7">
        <v>0.53</v>
      </c>
    </row>
    <row r="16956" spans="1:4" x14ac:dyDescent="0.25">
      <c r="A16956" t="str">
        <f>HYPERLINK("https://www.773grp.com/globalSearch/PTVS26VS1UR115/page-1", "PTVS26VS1UR115")</f>
        <v>PTVS26VS1UR115</v>
      </c>
      <c r="B16956" s="3" t="s">
        <v>93</v>
      </c>
      <c r="C16956" s="6">
        <v>9400</v>
      </c>
      <c r="D16956" s="7">
        <v>0.53</v>
      </c>
    </row>
    <row r="16957" spans="1:4" x14ac:dyDescent="0.25">
      <c r="A16957" t="str">
        <f>HYPERLINK("https://www.773grp.com/globalSearch/PTVS26VS1UTR115/page-1", "PTVS26VS1UTR115")</f>
        <v>PTVS26VS1UTR115</v>
      </c>
      <c r="B16957" s="3" t="s">
        <v>93</v>
      </c>
      <c r="C16957" s="6">
        <v>9000</v>
      </c>
      <c r="D16957" s="7">
        <v>0.53</v>
      </c>
    </row>
    <row r="16958" spans="1:4" x14ac:dyDescent="0.25">
      <c r="A16958" t="str">
        <f>HYPERLINK("https://www.773grp.com/globalSearch/PTVS28VS1UTR115/page-1", "PTVS28VS1UTR115")</f>
        <v>PTVS28VS1UTR115</v>
      </c>
      <c r="B16958" s="3" t="s">
        <v>93</v>
      </c>
      <c r="C16958" s="6">
        <v>3000</v>
      </c>
      <c r="D16958" s="7">
        <v>0.53</v>
      </c>
    </row>
    <row r="16959" spans="1:4" x14ac:dyDescent="0.25">
      <c r="A16959" t="str">
        <f>HYPERLINK("https://www.773grp.com/globalSearch/PTVS30VP1UP115/page-1", "PTVS30VP1UP115")</f>
        <v>PTVS30VP1UP115</v>
      </c>
      <c r="B16959" s="3" t="s">
        <v>93</v>
      </c>
      <c r="C16959" s="6">
        <v>6000</v>
      </c>
      <c r="D16959" s="7">
        <v>0.53</v>
      </c>
    </row>
    <row r="16960" spans="1:4" x14ac:dyDescent="0.25">
      <c r="A16960" t="str">
        <f>HYPERLINK("https://www.773grp.com/globalSearch/PTVS30VS1UTR115/page-1", "PTVS30VS1UTR115")</f>
        <v>PTVS30VS1UTR115</v>
      </c>
      <c r="B16960" s="3" t="s">
        <v>93</v>
      </c>
      <c r="C16960" s="6">
        <v>6000</v>
      </c>
      <c r="D16960" s="7">
        <v>0.53</v>
      </c>
    </row>
    <row r="16961" spans="1:4" x14ac:dyDescent="0.25">
      <c r="A16961" t="str">
        <f>HYPERLINK("https://www.773grp.com/globalSearch/PTVS33VP1UP115/page-1", "PTVS33VP1UP115")</f>
        <v>PTVS33VP1UP115</v>
      </c>
      <c r="B16961" s="3" t="s">
        <v>93</v>
      </c>
      <c r="C16961" s="6">
        <v>3000</v>
      </c>
      <c r="D16961" s="7">
        <v>0.53</v>
      </c>
    </row>
    <row r="16962" spans="1:4" x14ac:dyDescent="0.25">
      <c r="A16962" t="str">
        <f>HYPERLINK("https://www.773grp.com/globalSearch/PTVS33VS1UR115/page-1", "PTVS33VS1UR115")</f>
        <v>PTVS33VS1UR115</v>
      </c>
      <c r="B16962" s="3" t="s">
        <v>93</v>
      </c>
      <c r="C16962" s="6">
        <v>6000</v>
      </c>
      <c r="D16962" s="7">
        <v>0.53</v>
      </c>
    </row>
    <row r="16963" spans="1:4" x14ac:dyDescent="0.25">
      <c r="A16963" t="str">
        <f>HYPERLINK("https://www.773grp.com/globalSearch/PTVS33VS1UTR115/page-1", "PTVS33VS1UTR115")</f>
        <v>PTVS33VS1UTR115</v>
      </c>
      <c r="B16963" s="3" t="s">
        <v>93</v>
      </c>
      <c r="C16963" s="6">
        <v>6000</v>
      </c>
      <c r="D16963" s="7">
        <v>0.53</v>
      </c>
    </row>
    <row r="16964" spans="1:4" x14ac:dyDescent="0.25">
      <c r="A16964" t="str">
        <f>HYPERLINK("https://www.773grp.com/globalSearch/PTVS36VS1UR115/page-1", "PTVS36VS1UR115")</f>
        <v>PTVS36VS1UR115</v>
      </c>
      <c r="B16964" s="3" t="s">
        <v>93</v>
      </c>
      <c r="C16964" s="6">
        <v>3000</v>
      </c>
      <c r="D16964" s="7">
        <v>0.53</v>
      </c>
    </row>
    <row r="16965" spans="1:4" x14ac:dyDescent="0.25">
      <c r="A16965" t="str">
        <f>HYPERLINK("https://www.773grp.com/globalSearch/PTVS36VS1UTR115/page-1", "PTVS36VS1UTR115")</f>
        <v>PTVS36VS1UTR115</v>
      </c>
      <c r="B16965" s="3" t="s">
        <v>93</v>
      </c>
      <c r="C16965" s="6">
        <v>9000</v>
      </c>
      <c r="D16965" s="7">
        <v>0.53</v>
      </c>
    </row>
    <row r="16966" spans="1:4" x14ac:dyDescent="0.25">
      <c r="A16966" t="str">
        <f>HYPERLINK("https://www.773grp.com/globalSearch/PTVS3V3S1UTR115/page-1", "PTVS3V3S1UTR115")</f>
        <v>PTVS3V3S1UTR115</v>
      </c>
      <c r="B16966" s="3" t="s">
        <v>93</v>
      </c>
      <c r="C16966" s="6">
        <v>3000</v>
      </c>
      <c r="D16966" s="7">
        <v>0.53</v>
      </c>
    </row>
    <row r="16967" spans="1:4" x14ac:dyDescent="0.25">
      <c r="A16967" t="str">
        <f>HYPERLINK("https://www.773grp.com/globalSearch/PTVS40VP1UP115/page-1", "PTVS40VP1UP115")</f>
        <v>PTVS40VP1UP115</v>
      </c>
      <c r="B16967" s="3" t="s">
        <v>93</v>
      </c>
      <c r="C16967" s="6">
        <v>200</v>
      </c>
      <c r="D16967" s="7">
        <v>0.53</v>
      </c>
    </row>
    <row r="16968" spans="1:4" x14ac:dyDescent="0.25">
      <c r="A16968" t="str">
        <f>HYPERLINK("https://www.773grp.com/globalSearch/PTVS40VS1UR115/page-1", "PTVS40VS1UR115")</f>
        <v>PTVS40VS1UR115</v>
      </c>
      <c r="B16968" s="3" t="s">
        <v>93</v>
      </c>
      <c r="C16968" s="6">
        <v>12500</v>
      </c>
      <c r="D16968" s="7">
        <v>0.53</v>
      </c>
    </row>
    <row r="16969" spans="1:4" x14ac:dyDescent="0.25">
      <c r="A16969" t="str">
        <f>HYPERLINK("https://www.773grp.com/globalSearch/PTVS40VS1UTR115/page-1", "PTVS40VS1UTR115")</f>
        <v>PTVS40VS1UTR115</v>
      </c>
      <c r="B16969" s="3" t="s">
        <v>93</v>
      </c>
      <c r="C16969" s="6">
        <v>6000</v>
      </c>
      <c r="D16969" s="7">
        <v>0.53</v>
      </c>
    </row>
    <row r="16970" spans="1:4" x14ac:dyDescent="0.25">
      <c r="A16970" t="str">
        <f>HYPERLINK("https://www.773grp.com/globalSearch/PTVS43VS1UR115/page-1", "PTVS43VS1UR115")</f>
        <v>PTVS43VS1UR115</v>
      </c>
      <c r="B16970" s="3" t="s">
        <v>93</v>
      </c>
      <c r="C16970" s="6">
        <v>400</v>
      </c>
      <c r="D16970" s="7">
        <v>0.53</v>
      </c>
    </row>
    <row r="16971" spans="1:4" x14ac:dyDescent="0.25">
      <c r="A16971" t="str">
        <f>HYPERLINK("https://www.773grp.com/globalSearch/PTVS43VS1UTR115/page-1", "PTVS43VS1UTR115")</f>
        <v>PTVS43VS1UTR115</v>
      </c>
      <c r="B16971" s="3" t="s">
        <v>93</v>
      </c>
      <c r="C16971" s="6">
        <v>6000</v>
      </c>
      <c r="D16971" s="7">
        <v>0.53</v>
      </c>
    </row>
    <row r="16972" spans="1:4" x14ac:dyDescent="0.25">
      <c r="A16972" t="str">
        <f>HYPERLINK("https://www.773grp.com/globalSearch/PTVS45VP1UP115/page-1", "PTVS45VP1UP115")</f>
        <v>PTVS45VP1UP115</v>
      </c>
      <c r="B16972" s="3" t="s">
        <v>93</v>
      </c>
      <c r="C16972" s="6">
        <v>5477</v>
      </c>
      <c r="D16972" s="7">
        <v>0.53</v>
      </c>
    </row>
    <row r="16973" spans="1:4" x14ac:dyDescent="0.25">
      <c r="A16973" t="str">
        <f>HYPERLINK("https://www.773grp.com/globalSearch/PTVS45VS1UR115/page-1", "PTVS45VS1UR115")</f>
        <v>PTVS45VS1UR115</v>
      </c>
      <c r="B16973" s="3" t="s">
        <v>93</v>
      </c>
      <c r="C16973" s="6">
        <v>17530</v>
      </c>
      <c r="D16973" s="7">
        <v>0.53</v>
      </c>
    </row>
    <row r="16974" spans="1:4" x14ac:dyDescent="0.25">
      <c r="A16974" t="str">
        <f>HYPERLINK("https://www.773grp.com/globalSearch/PTVS45VS1UTR115/page-1", "PTVS45VS1UTR115")</f>
        <v>PTVS45VS1UTR115</v>
      </c>
      <c r="B16974" s="3" t="s">
        <v>93</v>
      </c>
      <c r="C16974" s="6">
        <v>6000</v>
      </c>
      <c r="D16974" s="7">
        <v>0.53</v>
      </c>
    </row>
    <row r="16975" spans="1:4" x14ac:dyDescent="0.25">
      <c r="A16975" t="str">
        <f>HYPERLINK("https://www.773grp.com/globalSearch/PTVS48VS1UR115/page-1", "PTVS48VS1UR115")</f>
        <v>PTVS48VS1UR115</v>
      </c>
      <c r="B16975" s="3" t="s">
        <v>93</v>
      </c>
      <c r="C16975" s="6">
        <v>385</v>
      </c>
      <c r="D16975" s="7">
        <v>0.53</v>
      </c>
    </row>
    <row r="16976" spans="1:4" x14ac:dyDescent="0.25">
      <c r="A16976" t="str">
        <f>HYPERLINK("https://www.773grp.com/globalSearch/PTVS48VS1UTR115/page-1", "PTVS48VS1UTR115")</f>
        <v>PTVS48VS1UTR115</v>
      </c>
      <c r="B16976" s="3" t="s">
        <v>93</v>
      </c>
      <c r="C16976" s="6">
        <v>8934</v>
      </c>
      <c r="D16976" s="7">
        <v>0.53</v>
      </c>
    </row>
    <row r="16977" spans="1:4" x14ac:dyDescent="0.25">
      <c r="A16977" t="str">
        <f>HYPERLINK("https://www.773grp.com/globalSearch/PTVS51VP1UP115/page-1", "PTVS51VP1UP115")</f>
        <v>PTVS51VP1UP115</v>
      </c>
      <c r="B16977" s="3" t="s">
        <v>93</v>
      </c>
      <c r="C16977" s="6">
        <v>400</v>
      </c>
      <c r="D16977" s="7">
        <v>0.53</v>
      </c>
    </row>
    <row r="16978" spans="1:4" x14ac:dyDescent="0.25">
      <c r="A16978" t="str">
        <f>HYPERLINK("https://www.773grp.com/globalSearch/PTVS51VS1UR115/page-1", "PTVS51VS1UR115")</f>
        <v>PTVS51VS1UR115</v>
      </c>
      <c r="B16978" s="3" t="s">
        <v>93</v>
      </c>
      <c r="C16978" s="6">
        <v>9000</v>
      </c>
      <c r="D16978" s="7">
        <v>0.53</v>
      </c>
    </row>
    <row r="16979" spans="1:4" x14ac:dyDescent="0.25">
      <c r="A16979" t="str">
        <f>HYPERLINK("https://www.773grp.com/globalSearch/PTVS51VS1UTR115/page-1", "PTVS51VS1UTR115")</f>
        <v>PTVS51VS1UTR115</v>
      </c>
      <c r="B16979" s="3" t="s">
        <v>93</v>
      </c>
      <c r="C16979" s="6">
        <v>6000</v>
      </c>
      <c r="D16979" s="7">
        <v>0.53</v>
      </c>
    </row>
    <row r="16980" spans="1:4" x14ac:dyDescent="0.25">
      <c r="A16980" t="str">
        <f>HYPERLINK("https://www.773grp.com/globalSearch/PTVS54VS1UR115/page-1", "PTVS54VS1UR115")</f>
        <v>PTVS54VS1UR115</v>
      </c>
      <c r="B16980" s="3" t="s">
        <v>93</v>
      </c>
      <c r="C16980" s="6">
        <v>6000</v>
      </c>
      <c r="D16980" s="7">
        <v>0.53</v>
      </c>
    </row>
    <row r="16981" spans="1:4" x14ac:dyDescent="0.25">
      <c r="A16981" t="str">
        <f>HYPERLINK("https://www.773grp.com/globalSearch/PTVS54VS1UTR115/page-1", "PTVS54VS1UTR115")</f>
        <v>PTVS54VS1UTR115</v>
      </c>
      <c r="B16981" s="3" t="s">
        <v>93</v>
      </c>
      <c r="C16981" s="6">
        <v>6000</v>
      </c>
      <c r="D16981" s="7">
        <v>0.53</v>
      </c>
    </row>
    <row r="16982" spans="1:4" x14ac:dyDescent="0.25">
      <c r="A16982" t="str">
        <f>HYPERLINK("https://www.773grp.com/globalSearch/PTVS58VP1UP115/page-1", "PTVS58VP1UP115")</f>
        <v>PTVS58VP1UP115</v>
      </c>
      <c r="B16982" s="3" t="s">
        <v>93</v>
      </c>
      <c r="C16982" s="6">
        <v>980</v>
      </c>
      <c r="D16982" s="7">
        <v>0.53</v>
      </c>
    </row>
    <row r="16983" spans="1:4" x14ac:dyDescent="0.25">
      <c r="A16983" t="str">
        <f>HYPERLINK("https://www.773grp.com/globalSearch/PTVS58VS1UR115/page-1", "PTVS58VS1UR115")</f>
        <v>PTVS58VS1UR115</v>
      </c>
      <c r="B16983" s="3" t="s">
        <v>93</v>
      </c>
      <c r="C16983" s="6">
        <v>500</v>
      </c>
      <c r="D16983" s="7">
        <v>0.53</v>
      </c>
    </row>
    <row r="16984" spans="1:4" x14ac:dyDescent="0.25">
      <c r="A16984" t="str">
        <f>HYPERLINK("https://www.773grp.com/globalSearch/PTVS5V0P1UP115/page-1", "PTVS5V0P1UP115")</f>
        <v>PTVS5V0P1UP115</v>
      </c>
      <c r="B16984" s="3" t="s">
        <v>93</v>
      </c>
      <c r="C16984" s="6">
        <v>6000</v>
      </c>
      <c r="D16984" s="7">
        <v>0.53</v>
      </c>
    </row>
    <row r="16985" spans="1:4" x14ac:dyDescent="0.25">
      <c r="A16985" t="str">
        <f>HYPERLINK("https://www.773grp.com/globalSearch/PTVS5V0S1UR115/page-1", "PTVS5V0S1UR115")</f>
        <v>PTVS5V0S1UR115</v>
      </c>
      <c r="B16985" s="3" t="s">
        <v>93</v>
      </c>
      <c r="C16985" s="6">
        <v>3000</v>
      </c>
      <c r="D16985" s="7">
        <v>0.53</v>
      </c>
    </row>
    <row r="16986" spans="1:4" x14ac:dyDescent="0.25">
      <c r="A16986" t="str">
        <f>HYPERLINK("https://www.773grp.com/globalSearch/PTVS5V0S1UTR115/page-1", "PTVS5V0S1UTR115")</f>
        <v>PTVS5V0S1UTR115</v>
      </c>
      <c r="B16986" s="3" t="s">
        <v>93</v>
      </c>
      <c r="C16986" s="6">
        <v>3000</v>
      </c>
      <c r="D16986" s="7">
        <v>0.53</v>
      </c>
    </row>
    <row r="16987" spans="1:4" x14ac:dyDescent="0.25">
      <c r="A16987" t="str">
        <f>HYPERLINK("https://www.773grp.com/globalSearch/PTVS60VS1UR115/page-1", "PTVS60VS1UR115")</f>
        <v>PTVS60VS1UR115</v>
      </c>
      <c r="B16987" s="3" t="s">
        <v>93</v>
      </c>
      <c r="C16987" s="6">
        <v>9140</v>
      </c>
      <c r="D16987" s="7">
        <v>0.53</v>
      </c>
    </row>
    <row r="16988" spans="1:4" x14ac:dyDescent="0.25">
      <c r="A16988" t="str">
        <f>HYPERLINK("https://www.773grp.com/globalSearch/PTVS60VS1UTR115/page-1", "PTVS60VS1UTR115")</f>
        <v>PTVS60VS1UTR115</v>
      </c>
      <c r="B16988" s="3" t="s">
        <v>93</v>
      </c>
      <c r="C16988" s="6">
        <v>8870</v>
      </c>
      <c r="D16988" s="7">
        <v>0.53</v>
      </c>
    </row>
    <row r="16989" spans="1:4" x14ac:dyDescent="0.25">
      <c r="A16989" t="str">
        <f>HYPERLINK("https://www.773grp.com/globalSearch/PTVS64VP1UP115/page-1", "PTVS64VP1UP115")</f>
        <v>PTVS64VP1UP115</v>
      </c>
      <c r="B16989" s="3" t="s">
        <v>93</v>
      </c>
      <c r="C16989" s="6">
        <v>3000</v>
      </c>
      <c r="D16989" s="7">
        <v>0.53</v>
      </c>
    </row>
    <row r="16990" spans="1:4" x14ac:dyDescent="0.25">
      <c r="A16990" t="str">
        <f>HYPERLINK("https://www.773grp.com/globalSearch/PTVS64VS1UTR115/page-1", "PTVS64VS1UTR115")</f>
        <v>PTVS64VS1UTR115</v>
      </c>
      <c r="B16990" s="3" t="s">
        <v>93</v>
      </c>
      <c r="C16990" s="6">
        <v>6000</v>
      </c>
      <c r="D16990" s="7">
        <v>0.53</v>
      </c>
    </row>
    <row r="16991" spans="1:4" x14ac:dyDescent="0.25">
      <c r="A16991" t="str">
        <f>HYPERLINK("https://www.773grp.com/globalSearch/PTVS6V0S1UR115/page-1", "PTVS6V0S1UR115")</f>
        <v>PTVS6V0S1UR115</v>
      </c>
      <c r="B16991" s="3" t="s">
        <v>93</v>
      </c>
      <c r="C16991" s="6">
        <v>9000</v>
      </c>
      <c r="D16991" s="7">
        <v>0.53</v>
      </c>
    </row>
    <row r="16992" spans="1:4" x14ac:dyDescent="0.25">
      <c r="A16992" t="str">
        <f>HYPERLINK("https://www.773grp.com/globalSearch/PTVS6V0S1UTR115/page-1", "PTVS6V0S1UTR115")</f>
        <v>PTVS6V0S1UTR115</v>
      </c>
      <c r="B16992" s="3" t="s">
        <v>93</v>
      </c>
      <c r="C16992" s="6">
        <v>6000</v>
      </c>
      <c r="D16992" s="7">
        <v>0.53</v>
      </c>
    </row>
    <row r="16993" spans="1:4" x14ac:dyDescent="0.25">
      <c r="A16993" t="str">
        <f>HYPERLINK("https://www.773grp.com/globalSearch/PTVS6V5S1UR115/page-1", "PTVS6V5S1UR115")</f>
        <v>PTVS6V5S1UR115</v>
      </c>
      <c r="B16993" s="3" t="s">
        <v>93</v>
      </c>
      <c r="C16993" s="6">
        <v>15100</v>
      </c>
      <c r="D16993" s="7">
        <v>0.53</v>
      </c>
    </row>
    <row r="16994" spans="1:4" x14ac:dyDescent="0.25">
      <c r="A16994" t="str">
        <f>HYPERLINK("https://www.773grp.com/globalSearch/PTVS6V5S1UTR115/page-1", "PTVS6V5S1UTR115")</f>
        <v>PTVS6V5S1UTR115</v>
      </c>
      <c r="B16994" s="3" t="s">
        <v>93</v>
      </c>
      <c r="C16994" s="6">
        <v>6000</v>
      </c>
      <c r="D16994" s="7">
        <v>0.53</v>
      </c>
    </row>
    <row r="16995" spans="1:4" x14ac:dyDescent="0.25">
      <c r="A16995" t="str">
        <f>HYPERLINK("https://www.773grp.com/globalSearch/PTVS7V0P1UP115/page-1", "PTVS7V0P1UP115")</f>
        <v>PTVS7V0P1UP115</v>
      </c>
      <c r="B16995" s="3" t="s">
        <v>93</v>
      </c>
      <c r="C16995" s="6">
        <v>6000</v>
      </c>
      <c r="D16995" s="7">
        <v>0.53</v>
      </c>
    </row>
    <row r="16996" spans="1:4" x14ac:dyDescent="0.25">
      <c r="A16996" t="str">
        <f>HYPERLINK("https://www.773grp.com/globalSearch/PTVS7V0S1UR115/page-1", "PTVS7V0S1UR115")</f>
        <v>PTVS7V0S1UR115</v>
      </c>
      <c r="B16996" s="3" t="s">
        <v>93</v>
      </c>
      <c r="C16996" s="6">
        <v>9190</v>
      </c>
      <c r="D16996" s="7">
        <v>0.53</v>
      </c>
    </row>
    <row r="16997" spans="1:4" x14ac:dyDescent="0.25">
      <c r="A16997" t="str">
        <f>HYPERLINK("https://www.773grp.com/globalSearch/PTVS7V0S1UTR115/page-1", "PTVS7V0S1UTR115")</f>
        <v>PTVS7V0S1UTR115</v>
      </c>
      <c r="B16997" s="3" t="s">
        <v>93</v>
      </c>
      <c r="C16997" s="6">
        <v>6000</v>
      </c>
      <c r="D16997" s="7">
        <v>0.53</v>
      </c>
    </row>
    <row r="16998" spans="1:4" x14ac:dyDescent="0.25">
      <c r="A16998" t="str">
        <f>HYPERLINK("https://www.773grp.com/globalSearch/PTVS7V5P1UTP115/page-1", "PTVS7V5P1UTP115")</f>
        <v>PTVS7V5P1UTP115</v>
      </c>
      <c r="B16998" s="3" t="s">
        <v>93</v>
      </c>
      <c r="C16998" s="6">
        <v>2700</v>
      </c>
      <c r="D16998" s="7">
        <v>0.53</v>
      </c>
    </row>
    <row r="16999" spans="1:4" x14ac:dyDescent="0.25">
      <c r="A16999" t="str">
        <f>HYPERLINK("https://www.773grp.com/globalSearch/PTVS7V5S1UR115/page-1", "PTVS7V5S1UR115")</f>
        <v>PTVS7V5S1UR115</v>
      </c>
      <c r="B16999" s="3" t="s">
        <v>93</v>
      </c>
      <c r="C16999" s="6">
        <v>6000</v>
      </c>
      <c r="D16999" s="7">
        <v>0.53</v>
      </c>
    </row>
    <row r="17000" spans="1:4" x14ac:dyDescent="0.25">
      <c r="A17000" t="str">
        <f>HYPERLINK("https://www.773grp.com/globalSearch/PTVS7V5S1UTR115/page-1", "PTVS7V5S1UTR115")</f>
        <v>PTVS7V5S1UTR115</v>
      </c>
      <c r="B17000" s="3" t="s">
        <v>93</v>
      </c>
      <c r="C17000" s="6">
        <v>6000</v>
      </c>
      <c r="D17000" s="7">
        <v>0.53</v>
      </c>
    </row>
    <row r="17001" spans="1:4" x14ac:dyDescent="0.25">
      <c r="A17001" t="str">
        <f>HYPERLINK("https://www.773grp.com/globalSearch/PTVS8V0S1UR115/page-1", "PTVS8V0S1UR115")</f>
        <v>PTVS8V0S1UR115</v>
      </c>
      <c r="B17001" s="3" t="s">
        <v>93</v>
      </c>
      <c r="C17001" s="6">
        <v>6217</v>
      </c>
      <c r="D17001" s="7">
        <v>0.53</v>
      </c>
    </row>
    <row r="17002" spans="1:4" x14ac:dyDescent="0.25">
      <c r="A17002" t="str">
        <f>HYPERLINK("https://www.773grp.com/globalSearch/PTVS8V0S1UTR115/page-1", "PTVS8V0S1UTR115")</f>
        <v>PTVS8V0S1UTR115</v>
      </c>
      <c r="B17002" s="3" t="s">
        <v>93</v>
      </c>
      <c r="C17002" s="6">
        <v>6000</v>
      </c>
      <c r="D17002" s="7">
        <v>0.53</v>
      </c>
    </row>
    <row r="17003" spans="1:4" x14ac:dyDescent="0.25">
      <c r="A17003" t="str">
        <f>HYPERLINK("https://www.773grp.com/globalSearch/PTVS8V5P1UP115/page-1", "PTVS8V5P1UP115")</f>
        <v>PTVS8V5P1UP115</v>
      </c>
      <c r="B17003" s="3" t="s">
        <v>93</v>
      </c>
      <c r="C17003" s="6">
        <v>1152</v>
      </c>
      <c r="D17003" s="7">
        <v>0.53</v>
      </c>
    </row>
    <row r="17004" spans="1:4" x14ac:dyDescent="0.25">
      <c r="A17004" t="str">
        <f>HYPERLINK("https://www.773grp.com/globalSearch/PTVS8V5P1UTP115/page-1", "PTVS8V5P1UTP115")</f>
        <v>PTVS8V5P1UTP115</v>
      </c>
      <c r="B17004" s="3" t="s">
        <v>93</v>
      </c>
      <c r="C17004" s="6">
        <v>2938</v>
      </c>
      <c r="D17004" s="7">
        <v>0.53</v>
      </c>
    </row>
    <row r="17005" spans="1:4" x14ac:dyDescent="0.25">
      <c r="A17005" t="str">
        <f>HYPERLINK("https://www.773grp.com/globalSearch/PTVS8V5S1UR115/page-1", "PTVS8V5S1UR115")</f>
        <v>PTVS8V5S1UR115</v>
      </c>
      <c r="B17005" s="3" t="s">
        <v>93</v>
      </c>
      <c r="C17005" s="6">
        <v>10463</v>
      </c>
      <c r="D17005" s="7">
        <v>0.53</v>
      </c>
    </row>
    <row r="17006" spans="1:4" x14ac:dyDescent="0.25">
      <c r="A17006" t="str">
        <f>HYPERLINK("https://www.773grp.com/globalSearch/PTVS8V5S1UTR115/page-1", "PTVS8V5S1UTR115")</f>
        <v>PTVS8V5S1UTR115</v>
      </c>
      <c r="B17006" s="3" t="s">
        <v>93</v>
      </c>
      <c r="C17006" s="6">
        <v>6000</v>
      </c>
      <c r="D17006" s="7">
        <v>0.53</v>
      </c>
    </row>
    <row r="17007" spans="1:4" x14ac:dyDescent="0.25">
      <c r="A17007" t="str">
        <f>HYPERLINK("https://www.773grp.com/globalSearch/PTVS9V0P1UP115/page-1", "PTVS9V0P1UP115")</f>
        <v>PTVS9V0P1UP115</v>
      </c>
      <c r="B17007" s="3" t="s">
        <v>93</v>
      </c>
      <c r="C17007" s="6">
        <v>897</v>
      </c>
      <c r="D17007" s="7">
        <v>0.53</v>
      </c>
    </row>
    <row r="17008" spans="1:4" x14ac:dyDescent="0.25">
      <c r="A17008" t="str">
        <f>HYPERLINK("https://www.773grp.com/globalSearch/PTVS9V0S1UR115/page-1", "PTVS9V0S1UR115")</f>
        <v>PTVS9V0S1UR115</v>
      </c>
      <c r="B17008" s="3" t="s">
        <v>93</v>
      </c>
      <c r="C17008" s="6">
        <v>9200</v>
      </c>
      <c r="D17008" s="7">
        <v>0.53</v>
      </c>
    </row>
    <row r="17009" spans="1:4" x14ac:dyDescent="0.25">
      <c r="A17009" t="str">
        <f>HYPERLINK("https://www.773grp.com/globalSearch/PTVS9V0S1UTR115/page-1", "PTVS9V0S1UTR115")</f>
        <v>PTVS9V0S1UTR115</v>
      </c>
      <c r="B17009" s="3" t="s">
        <v>93</v>
      </c>
      <c r="C17009" s="6">
        <v>6000</v>
      </c>
      <c r="D17009" s="7">
        <v>0.53</v>
      </c>
    </row>
    <row r="17010" spans="1:4" x14ac:dyDescent="0.25">
      <c r="A17010" t="str">
        <f>HYPERLINK("https://www.773grp.com/globalSearch/PUSBM12VX4-TL115/page-1", "PUSBM12VX4-TL115")</f>
        <v>PUSBM12VX4-TL115</v>
      </c>
      <c r="B17010" s="3" t="s">
        <v>93</v>
      </c>
      <c r="C17010" s="6">
        <v>8000</v>
      </c>
      <c r="D17010" s="7">
        <v>0.53</v>
      </c>
    </row>
    <row r="17011" spans="1:4" x14ac:dyDescent="0.25">
      <c r="A17011" t="str">
        <f>HYPERLINK("https://www.773grp.com/globalSearch/PUSBM15VX4-TL115/page-1", "PUSBM15VX4-TL115")</f>
        <v>PUSBM15VX4-TL115</v>
      </c>
      <c r="B17011" s="3" t="s">
        <v>93</v>
      </c>
      <c r="C17011" s="6">
        <v>12000</v>
      </c>
      <c r="D17011" s="7">
        <v>0.53</v>
      </c>
    </row>
    <row r="17012" spans="1:4" x14ac:dyDescent="0.25">
      <c r="A17012" t="str">
        <f>HYPERLINK("https://www.773grp.com/globalSearch/PUSBM30VX4-TL115/page-1", "PUSBM30VX4-TL115")</f>
        <v>PUSBM30VX4-TL115</v>
      </c>
      <c r="B17012" s="3" t="s">
        <v>93</v>
      </c>
      <c r="C17012" s="6">
        <v>4000</v>
      </c>
      <c r="D17012" s="7">
        <v>0.53</v>
      </c>
    </row>
    <row r="17013" spans="1:4" x14ac:dyDescent="0.25">
      <c r="A17013" t="str">
        <f>HYPERLINK("https://www.773grp.com/globalSearch/PUSBM5V5X4-TL115/page-1", "PUSBM5V5X4-TL115")</f>
        <v>PUSBM5V5X4-TL115</v>
      </c>
      <c r="B17013" s="3" t="s">
        <v>93</v>
      </c>
      <c r="C17013" s="6">
        <v>4000</v>
      </c>
      <c r="D17013" s="7">
        <v>0.53</v>
      </c>
    </row>
    <row r="17014" spans="1:4" x14ac:dyDescent="0.25">
      <c r="A17014" t="str">
        <f>HYPERLINK("https://www.773grp.com/globalSearch/PVR100AD-B3V0115/page-1", "PVR100AD-B3V0115")</f>
        <v>PVR100AD-B3V0115</v>
      </c>
      <c r="B17014" s="3" t="s">
        <v>93</v>
      </c>
      <c r="C17014" s="6">
        <v>3000</v>
      </c>
      <c r="D17014" s="7">
        <v>0.53</v>
      </c>
    </row>
    <row r="17015" spans="1:4" x14ac:dyDescent="0.25">
      <c r="A17015" t="str">
        <f>HYPERLINK("https://www.773grp.com/globalSearch/SL3S1002FTT118/page-1", "SL3S1002FTT118")</f>
        <v>SL3S1002FTT118</v>
      </c>
      <c r="B17015" s="3" t="s">
        <v>93</v>
      </c>
      <c r="C17015" s="6">
        <v>195</v>
      </c>
      <c r="D17015" s="7">
        <v>0.53</v>
      </c>
    </row>
    <row r="17016" spans="1:4" x14ac:dyDescent="0.25">
      <c r="A17016" t="str">
        <f>HYPERLINK("https://www.773grp.com/globalSearch/TLVH431AMQDBZR215/page-1", "TLVH431AMQDBZR215")</f>
        <v>TLVH431AMQDBZR215</v>
      </c>
      <c r="B17016" s="3" t="s">
        <v>93</v>
      </c>
      <c r="C17016" s="6">
        <v>6000</v>
      </c>
      <c r="D17016" s="7">
        <v>0.53</v>
      </c>
    </row>
    <row r="17017" spans="1:4" x14ac:dyDescent="0.25">
      <c r="A17017" t="str">
        <f>HYPERLINK("https://www.773grp.com/globalSearch/74ABT125D623/page-1", "74ABT125D623")</f>
        <v>74ABT125D623</v>
      </c>
      <c r="B17017" s="3" t="s">
        <v>93</v>
      </c>
      <c r="C17017" s="6">
        <v>17500</v>
      </c>
      <c r="D17017" s="7">
        <v>0.57999999999999996</v>
      </c>
    </row>
    <row r="17018" spans="1:4" x14ac:dyDescent="0.25">
      <c r="A17018" t="str">
        <f>HYPERLINK("https://www.773grp.com/globalSearch/74ABT125PW112/page-1", "74ABT125PW112")</f>
        <v>74ABT125PW112</v>
      </c>
      <c r="B17018" s="3" t="s">
        <v>93</v>
      </c>
      <c r="C17018" s="6">
        <v>10080</v>
      </c>
      <c r="D17018" s="7">
        <v>0.57999999999999996</v>
      </c>
    </row>
    <row r="17019" spans="1:4" x14ac:dyDescent="0.25">
      <c r="A17019" t="str">
        <f>HYPERLINK("https://www.773grp.com/globalSearch/74ABT125PW118/page-1", "74ABT125PW118")</f>
        <v>74ABT125PW118</v>
      </c>
      <c r="B17019" s="3" t="s">
        <v>93</v>
      </c>
      <c r="C17019" s="6">
        <v>4500</v>
      </c>
      <c r="D17019" s="7">
        <v>0.57999999999999996</v>
      </c>
    </row>
    <row r="17020" spans="1:4" x14ac:dyDescent="0.25">
      <c r="A17020" t="str">
        <f>HYPERLINK("https://www.773grp.com/globalSearch/74ABT126D602/page-1", "74ABT126D602")</f>
        <v>74ABT126D602</v>
      </c>
      <c r="B17020" s="3" t="s">
        <v>93</v>
      </c>
      <c r="C17020" s="6">
        <v>13874</v>
      </c>
      <c r="D17020" s="7">
        <v>0.57999999999999996</v>
      </c>
    </row>
    <row r="17021" spans="1:4" x14ac:dyDescent="0.25">
      <c r="A17021" t="str">
        <f>HYPERLINK("https://www.773grp.com/globalSearch/74ABT126D623/page-1", "74ABT126D623")</f>
        <v>74ABT126D623</v>
      </c>
      <c r="B17021" s="3" t="s">
        <v>93</v>
      </c>
      <c r="C17021" s="6">
        <v>17500</v>
      </c>
      <c r="D17021" s="7">
        <v>0.57999999999999996</v>
      </c>
    </row>
    <row r="17022" spans="1:4" x14ac:dyDescent="0.25">
      <c r="A17022" t="str">
        <f>HYPERLINK("https://www.773grp.com/globalSearch/74AHC2G00DP125/page-1", "74AHC2G00DP125")</f>
        <v>74AHC2G00DP125</v>
      </c>
      <c r="B17022" s="3" t="s">
        <v>93</v>
      </c>
      <c r="C17022" s="6">
        <v>290</v>
      </c>
      <c r="D17022" s="7">
        <v>0.57999999999999996</v>
      </c>
    </row>
    <row r="17023" spans="1:4" x14ac:dyDescent="0.25">
      <c r="A17023" t="str">
        <f>HYPERLINK("https://www.773grp.com/globalSearch/74AHCT138BQ115/page-1", "74AHCT138BQ115")</f>
        <v>74AHCT138BQ115</v>
      </c>
      <c r="B17023" s="3" t="s">
        <v>93</v>
      </c>
      <c r="C17023" s="6">
        <v>3000</v>
      </c>
      <c r="D17023" s="7">
        <v>0.57999999999999996</v>
      </c>
    </row>
    <row r="17024" spans="1:4" x14ac:dyDescent="0.25">
      <c r="A17024" t="str">
        <f>HYPERLINK("https://www.773grp.com/globalSearch/74AHCT2G08DP125/page-1", "74AHCT2G08DP125")</f>
        <v>74AHCT2G08DP125</v>
      </c>
      <c r="B17024" s="3" t="s">
        <v>93</v>
      </c>
      <c r="C17024" s="6">
        <v>6000</v>
      </c>
      <c r="D17024" s="7">
        <v>0.57999999999999996</v>
      </c>
    </row>
    <row r="17025" spans="1:4" x14ac:dyDescent="0.25">
      <c r="A17025" t="str">
        <f>HYPERLINK("https://www.773grp.com/globalSearch/74AHCT2G32DP125/page-1", "74AHCT2G32DP125")</f>
        <v>74AHCT2G32DP125</v>
      </c>
      <c r="B17025" s="3" t="s">
        <v>93</v>
      </c>
      <c r="C17025" s="6">
        <v>300</v>
      </c>
      <c r="D17025" s="7">
        <v>0.57999999999999996</v>
      </c>
    </row>
    <row r="17026" spans="1:4" x14ac:dyDescent="0.25">
      <c r="A17026" t="str">
        <f>HYPERLINK("https://www.773grp.com/globalSearch/74AHCT373PW112/page-1", "74AHCT373PW112")</f>
        <v>74AHCT373PW112</v>
      </c>
      <c r="B17026" s="3" t="s">
        <v>93</v>
      </c>
      <c r="C17026" s="6">
        <v>2400</v>
      </c>
      <c r="D17026" s="7">
        <v>0.57999999999999996</v>
      </c>
    </row>
    <row r="17027" spans="1:4" x14ac:dyDescent="0.25">
      <c r="A17027" t="str">
        <f>HYPERLINK("https://www.773grp.com/globalSearch/74AHCT541BQ115/page-1", "74AHCT541BQ115")</f>
        <v>74AHCT541BQ115</v>
      </c>
      <c r="B17027" s="3" t="s">
        <v>93</v>
      </c>
      <c r="C17027" s="6">
        <v>6000</v>
      </c>
      <c r="D17027" s="7">
        <v>0.57999999999999996</v>
      </c>
    </row>
    <row r="17028" spans="1:4" x14ac:dyDescent="0.25">
      <c r="A17028" t="str">
        <f>HYPERLINK("https://www.773grp.com/globalSearch/74AUP1G175GW125/page-1", "74AUP1G175GW125")</f>
        <v>74AUP1G175GW125</v>
      </c>
      <c r="B17028" s="3" t="s">
        <v>93</v>
      </c>
      <c r="C17028" s="6">
        <v>9915</v>
      </c>
      <c r="D17028" s="7">
        <v>0.57999999999999996</v>
      </c>
    </row>
    <row r="17029" spans="1:4" x14ac:dyDescent="0.25">
      <c r="A17029" t="str">
        <f>HYPERLINK("https://www.773grp.com/globalSearch/74AUP1G97GW125/page-1", "74AUP1G97GW125")</f>
        <v>74AUP1G97GW125</v>
      </c>
      <c r="B17029" s="3" t="s">
        <v>93</v>
      </c>
      <c r="C17029" s="6">
        <v>11846</v>
      </c>
      <c r="D17029" s="7">
        <v>0.57999999999999996</v>
      </c>
    </row>
    <row r="17030" spans="1:4" x14ac:dyDescent="0.25">
      <c r="A17030" t="str">
        <f>HYPERLINK("https://www.773grp.com/globalSearch/74HC138BQ115/page-1", "74HC138BQ115")</f>
        <v>74HC138BQ115</v>
      </c>
      <c r="B17030" s="3" t="s">
        <v>93</v>
      </c>
      <c r="C17030" s="6">
        <v>15545</v>
      </c>
      <c r="D17030" s="7">
        <v>0.57999999999999996</v>
      </c>
    </row>
    <row r="17031" spans="1:4" x14ac:dyDescent="0.25">
      <c r="A17031" t="str">
        <f>HYPERLINK("https://www.773grp.com/globalSearch/74HC161D652/page-1", "74HC161D652")</f>
        <v>74HC161D652</v>
      </c>
      <c r="B17031" s="3" t="s">
        <v>93</v>
      </c>
      <c r="C17031" s="6">
        <v>13148</v>
      </c>
      <c r="D17031" s="7">
        <v>0.57999999999999996</v>
      </c>
    </row>
    <row r="17032" spans="1:4" x14ac:dyDescent="0.25">
      <c r="A17032" t="str">
        <f>HYPERLINK("https://www.773grp.com/globalSearch/74HC161D653/page-1", "74HC161D653")</f>
        <v>74HC161D653</v>
      </c>
      <c r="B17032" s="3" t="s">
        <v>93</v>
      </c>
      <c r="C17032" s="6">
        <v>13140</v>
      </c>
      <c r="D17032" s="7">
        <v>0.57999999999999996</v>
      </c>
    </row>
    <row r="17033" spans="1:4" x14ac:dyDescent="0.25">
      <c r="A17033" t="str">
        <f>HYPERLINK("https://www.773grp.com/globalSearch/74HC163PW118/page-1", "74HC163PW118")</f>
        <v>74HC163PW118</v>
      </c>
      <c r="B17033" s="3" t="s">
        <v>93</v>
      </c>
      <c r="C17033" s="6">
        <v>20000</v>
      </c>
      <c r="D17033" s="7">
        <v>0.57999999999999996</v>
      </c>
    </row>
    <row r="17034" spans="1:4" x14ac:dyDescent="0.25">
      <c r="A17034" t="str">
        <f>HYPERLINK("https://www.773grp.com/globalSearch/74HC165BQ115/page-1", "74HC165BQ115")</f>
        <v>74HC165BQ115</v>
      </c>
      <c r="B17034" s="3" t="s">
        <v>93</v>
      </c>
      <c r="C17034" s="6">
        <v>6000</v>
      </c>
      <c r="D17034" s="7">
        <v>0.57999999999999996</v>
      </c>
    </row>
    <row r="17035" spans="1:4" x14ac:dyDescent="0.25">
      <c r="A17035" t="str">
        <f>HYPERLINK("https://www.773grp.com/globalSearch/74HC166PW112/page-1", "74HC166PW112")</f>
        <v>74HC166PW112</v>
      </c>
      <c r="B17035" s="3" t="s">
        <v>93</v>
      </c>
      <c r="C17035" s="6">
        <v>1860</v>
      </c>
      <c r="D17035" s="7">
        <v>0.57999999999999996</v>
      </c>
    </row>
    <row r="17036" spans="1:4" x14ac:dyDescent="0.25">
      <c r="A17036" t="str">
        <f>HYPERLINK("https://www.773grp.com/globalSearch/74HC174D652/page-1", "74HC174D652")</f>
        <v>74HC174D652</v>
      </c>
      <c r="B17036" s="3" t="s">
        <v>93</v>
      </c>
      <c r="C17036" s="6">
        <v>16963</v>
      </c>
      <c r="D17036" s="7">
        <v>0.57999999999999996</v>
      </c>
    </row>
    <row r="17037" spans="1:4" x14ac:dyDescent="0.25">
      <c r="A17037" t="str">
        <f>HYPERLINK("https://www.773grp.com/globalSearch/74HC174D653/page-1", "74HC174D653")</f>
        <v>74HC174D653</v>
      </c>
      <c r="B17037" s="3" t="s">
        <v>93</v>
      </c>
      <c r="C17037" s="6">
        <v>15000</v>
      </c>
      <c r="D17037" s="7">
        <v>0.57999999999999996</v>
      </c>
    </row>
    <row r="17038" spans="1:4" x14ac:dyDescent="0.25">
      <c r="A17038" t="str">
        <f>HYPERLINK("https://www.773grp.com/globalSearch/74HC174PW112/page-1", "74HC174PW112")</f>
        <v>74HC174PW112</v>
      </c>
      <c r="B17038" s="3" t="s">
        <v>93</v>
      </c>
      <c r="C17038" s="6">
        <v>7200</v>
      </c>
      <c r="D17038" s="7">
        <v>0.57999999999999996</v>
      </c>
    </row>
    <row r="17039" spans="1:4" x14ac:dyDescent="0.25">
      <c r="A17039" t="str">
        <f>HYPERLINK("https://www.773grp.com/globalSearch/74HC175D653/page-1", "74HC175D653")</f>
        <v>74HC175D653</v>
      </c>
      <c r="B17039" s="3" t="s">
        <v>93</v>
      </c>
      <c r="C17039" s="6">
        <v>15405</v>
      </c>
      <c r="D17039" s="7">
        <v>0.57999999999999996</v>
      </c>
    </row>
    <row r="17040" spans="1:4" x14ac:dyDescent="0.25">
      <c r="A17040" t="str">
        <f>HYPERLINK("https://www.773grp.com/globalSearch/74HC244BQ115/page-1", "74HC244BQ115")</f>
        <v>74HC244BQ115</v>
      </c>
      <c r="B17040" s="3" t="s">
        <v>93</v>
      </c>
      <c r="C17040" s="6">
        <v>3000</v>
      </c>
      <c r="D17040" s="7">
        <v>0.57999999999999996</v>
      </c>
    </row>
    <row r="17041" spans="1:4" x14ac:dyDescent="0.25">
      <c r="A17041" t="str">
        <f>HYPERLINK("https://www.773grp.com/globalSearch/74HC244DB112/page-1", "74HC244DB112")</f>
        <v>74HC244DB112</v>
      </c>
      <c r="B17041" s="3" t="s">
        <v>93</v>
      </c>
      <c r="C17041" s="6">
        <v>8329</v>
      </c>
      <c r="D17041" s="7">
        <v>0.57999999999999996</v>
      </c>
    </row>
    <row r="17042" spans="1:4" x14ac:dyDescent="0.25">
      <c r="A17042" t="str">
        <f>HYPERLINK("https://www.773grp.com/globalSearch/74HC244PW118/page-1", "74HC244PW118")</f>
        <v>74HC244PW118</v>
      </c>
      <c r="B17042" s="3" t="s">
        <v>93</v>
      </c>
      <c r="C17042" s="6">
        <v>50709</v>
      </c>
      <c r="D17042" s="7">
        <v>0.57999999999999996</v>
      </c>
    </row>
    <row r="17043" spans="1:4" x14ac:dyDescent="0.25">
      <c r="A17043" t="str">
        <f>HYPERLINK("https://www.773grp.com/globalSearch/74HC253D653/page-1", "74HC253D653")</f>
        <v>74HC253D653</v>
      </c>
      <c r="B17043" s="3" t="s">
        <v>93</v>
      </c>
      <c r="C17043" s="6">
        <v>172500</v>
      </c>
      <c r="D17043" s="7">
        <v>0.57999999999999996</v>
      </c>
    </row>
    <row r="17044" spans="1:4" x14ac:dyDescent="0.25">
      <c r="A17044" t="str">
        <f>HYPERLINK("https://www.773grp.com/globalSearch/74HC27BQ115/page-1", "74HC27BQ115")</f>
        <v>74HC27BQ115</v>
      </c>
      <c r="B17044" s="3" t="s">
        <v>93</v>
      </c>
      <c r="C17044" s="6">
        <v>150</v>
      </c>
      <c r="D17044" s="7">
        <v>0.57999999999999996</v>
      </c>
    </row>
    <row r="17045" spans="1:4" x14ac:dyDescent="0.25">
      <c r="A17045" t="str">
        <f>HYPERLINK("https://www.773grp.com/globalSearch/74HC2G08DP125/page-1", "74HC2G08DP125")</f>
        <v>74HC2G08DP125</v>
      </c>
      <c r="B17045" s="3" t="s">
        <v>93</v>
      </c>
      <c r="C17045" s="6">
        <v>3000</v>
      </c>
      <c r="D17045" s="7">
        <v>0.57999999999999996</v>
      </c>
    </row>
    <row r="17046" spans="1:4" x14ac:dyDescent="0.25">
      <c r="A17046" t="str">
        <f>HYPERLINK("https://www.773grp.com/globalSearch/74HC2G32DP125/page-1", "74HC2G32DP125")</f>
        <v>74HC2G32DP125</v>
      </c>
      <c r="B17046" s="3" t="s">
        <v>93</v>
      </c>
      <c r="C17046" s="6">
        <v>6000</v>
      </c>
      <c r="D17046" s="7">
        <v>0.57999999999999996</v>
      </c>
    </row>
    <row r="17047" spans="1:4" x14ac:dyDescent="0.25">
      <c r="A17047" t="str">
        <f>HYPERLINK("https://www.773grp.com/globalSearch/74HC2G66DP125/page-1", "74HC2G66DP125")</f>
        <v>74HC2G66DP125</v>
      </c>
      <c r="B17047" s="3" t="s">
        <v>93</v>
      </c>
      <c r="C17047" s="6">
        <v>16689</v>
      </c>
      <c r="D17047" s="7">
        <v>0.57999999999999996</v>
      </c>
    </row>
    <row r="17048" spans="1:4" x14ac:dyDescent="0.25">
      <c r="A17048" t="str">
        <f>HYPERLINK("https://www.773grp.com/globalSearch/74HC365PW118/page-1", "74HC365PW118")</f>
        <v>74HC365PW118</v>
      </c>
      <c r="B17048" s="3" t="s">
        <v>93</v>
      </c>
      <c r="C17048" s="6">
        <v>7500</v>
      </c>
      <c r="D17048" s="7">
        <v>0.57999999999999996</v>
      </c>
    </row>
    <row r="17049" spans="1:4" x14ac:dyDescent="0.25">
      <c r="A17049" t="str">
        <f>HYPERLINK("https://www.773grp.com/globalSearch/74HC4040PW112/page-1", "74HC4040PW112")</f>
        <v>74HC4040PW112</v>
      </c>
      <c r="B17049" s="3" t="s">
        <v>93</v>
      </c>
      <c r="C17049" s="6">
        <v>7200</v>
      </c>
      <c r="D17049" s="7">
        <v>0.57999999999999996</v>
      </c>
    </row>
    <row r="17050" spans="1:4" x14ac:dyDescent="0.25">
      <c r="A17050" t="str">
        <f>HYPERLINK("https://www.773grp.com/globalSearch/74HC4040PW118/page-1", "74HC4040PW118")</f>
        <v>74HC4040PW118</v>
      </c>
      <c r="B17050" s="3" t="s">
        <v>93</v>
      </c>
      <c r="C17050" s="6">
        <v>20000</v>
      </c>
      <c r="D17050" s="7">
        <v>0.57999999999999996</v>
      </c>
    </row>
    <row r="17051" spans="1:4" x14ac:dyDescent="0.25">
      <c r="A17051" t="str">
        <f>HYPERLINK("https://www.773grp.com/globalSearch/74HC4050PW112/page-1", "74HC4050PW112")</f>
        <v>74HC4050PW112</v>
      </c>
      <c r="B17051" s="3" t="s">
        <v>93</v>
      </c>
      <c r="C17051" s="6">
        <v>4800</v>
      </c>
      <c r="D17051" s="7">
        <v>0.57999999999999996</v>
      </c>
    </row>
    <row r="17052" spans="1:4" x14ac:dyDescent="0.25">
      <c r="A17052" t="str">
        <f>HYPERLINK("https://www.773grp.com/globalSearch/74HC4050PW118/page-1", "74HC4050PW118")</f>
        <v>74HC4050PW118</v>
      </c>
      <c r="B17052" s="3" t="s">
        <v>93</v>
      </c>
      <c r="C17052" s="6">
        <v>6725</v>
      </c>
      <c r="D17052" s="7">
        <v>0.57999999999999996</v>
      </c>
    </row>
    <row r="17053" spans="1:4" x14ac:dyDescent="0.25">
      <c r="A17053" t="str">
        <f>HYPERLINK("https://www.773grp.com/globalSearch/74HC4094PW118/page-1", "74HC4094PW118")</f>
        <v>74HC4094PW118</v>
      </c>
      <c r="B17053" s="3" t="s">
        <v>93</v>
      </c>
      <c r="C17053" s="6">
        <v>5000</v>
      </c>
      <c r="D17053" s="7">
        <v>0.57999999999999996</v>
      </c>
    </row>
    <row r="17054" spans="1:4" x14ac:dyDescent="0.25">
      <c r="A17054" t="str">
        <f>HYPERLINK("https://www.773grp.com/globalSearch/74HC573BQ115/page-1", "74HC573BQ115")</f>
        <v>74HC573BQ115</v>
      </c>
      <c r="B17054" s="3" t="s">
        <v>93</v>
      </c>
      <c r="C17054" s="6">
        <v>9000</v>
      </c>
      <c r="D17054" s="7">
        <v>0.57999999999999996</v>
      </c>
    </row>
    <row r="17055" spans="1:4" x14ac:dyDescent="0.25">
      <c r="A17055" t="str">
        <f>HYPERLINK("https://www.773grp.com/globalSearch/74HC74DB112/page-1", "74HC74DB112")</f>
        <v>74HC74DB112</v>
      </c>
      <c r="B17055" s="3" t="s">
        <v>93</v>
      </c>
      <c r="C17055" s="6">
        <v>8736</v>
      </c>
      <c r="D17055" s="7">
        <v>0.57999999999999996</v>
      </c>
    </row>
    <row r="17056" spans="1:4" x14ac:dyDescent="0.25">
      <c r="A17056" t="str">
        <f>HYPERLINK("https://www.773grp.com/globalSearch/74HCT11PW112/page-1", "74HCT11PW112")</f>
        <v>74HCT11PW112</v>
      </c>
      <c r="B17056" s="3" t="s">
        <v>93</v>
      </c>
      <c r="C17056" s="6">
        <v>2300</v>
      </c>
      <c r="D17056" s="7">
        <v>0.57999999999999996</v>
      </c>
    </row>
    <row r="17057" spans="1:4" x14ac:dyDescent="0.25">
      <c r="A17057" t="str">
        <f>HYPERLINK("https://www.773grp.com/globalSearch/74HCT11PW118/page-1", "74HCT11PW118")</f>
        <v>74HCT11PW118</v>
      </c>
      <c r="B17057" s="3" t="s">
        <v>93</v>
      </c>
      <c r="C17057" s="6">
        <v>5000</v>
      </c>
      <c r="D17057" s="7">
        <v>0.57999999999999996</v>
      </c>
    </row>
    <row r="17058" spans="1:4" x14ac:dyDescent="0.25">
      <c r="A17058" t="str">
        <f>HYPERLINK("https://www.773grp.com/globalSearch/74HCT126DB112/page-1", "74HCT126DB112")</f>
        <v>74HCT126DB112</v>
      </c>
      <c r="B17058" s="3" t="s">
        <v>93</v>
      </c>
      <c r="C17058" s="6">
        <v>6318</v>
      </c>
      <c r="D17058" s="7">
        <v>0.57999999999999996</v>
      </c>
    </row>
    <row r="17059" spans="1:4" x14ac:dyDescent="0.25">
      <c r="A17059" t="str">
        <f>HYPERLINK("https://www.773grp.com/globalSearch/74HCT14DB112/page-1", "74HCT14DB112")</f>
        <v>74HCT14DB112</v>
      </c>
      <c r="B17059" s="3" t="s">
        <v>93</v>
      </c>
      <c r="C17059" s="6">
        <v>9288</v>
      </c>
      <c r="D17059" s="7">
        <v>0.57999999999999996</v>
      </c>
    </row>
    <row r="17060" spans="1:4" x14ac:dyDescent="0.25">
      <c r="A17060" t="str">
        <f>HYPERLINK("https://www.773grp.com/globalSearch/74HCT14DB118/page-1", "74HCT14DB118")</f>
        <v>74HCT14DB118</v>
      </c>
      <c r="B17060" s="3" t="s">
        <v>93</v>
      </c>
      <c r="C17060" s="6">
        <v>17500</v>
      </c>
      <c r="D17060" s="7">
        <v>0.57999999999999996</v>
      </c>
    </row>
    <row r="17061" spans="1:4" x14ac:dyDescent="0.25">
      <c r="A17061" t="str">
        <f>HYPERLINK("https://www.773grp.com/globalSearch/74HCT157D652/page-1", "74HCT157D652")</f>
        <v>74HCT157D652</v>
      </c>
      <c r="B17061" s="3" t="s">
        <v>93</v>
      </c>
      <c r="C17061" s="6">
        <v>11400</v>
      </c>
      <c r="D17061" s="7">
        <v>0.57999999999999996</v>
      </c>
    </row>
    <row r="17062" spans="1:4" x14ac:dyDescent="0.25">
      <c r="A17062" t="str">
        <f>HYPERLINK("https://www.773grp.com/globalSearch/74HCT157D653/page-1", "74HCT157D653")</f>
        <v>74HCT157D653</v>
      </c>
      <c r="B17062" s="3" t="s">
        <v>93</v>
      </c>
      <c r="C17062" s="6">
        <v>2500</v>
      </c>
      <c r="D17062" s="7">
        <v>0.57999999999999996</v>
      </c>
    </row>
    <row r="17063" spans="1:4" x14ac:dyDescent="0.25">
      <c r="A17063" t="str">
        <f>HYPERLINK("https://www.773grp.com/globalSearch/74HCT20D652/page-1", "74HCT20D652")</f>
        <v>74HCT20D652</v>
      </c>
      <c r="B17063" s="3" t="s">
        <v>93</v>
      </c>
      <c r="C17063" s="6">
        <v>3420</v>
      </c>
      <c r="D17063" s="7">
        <v>0.57999999999999996</v>
      </c>
    </row>
    <row r="17064" spans="1:4" x14ac:dyDescent="0.25">
      <c r="A17064" t="str">
        <f>HYPERLINK("https://www.773grp.com/globalSearch/74HCT244BQ115/page-1", "74HCT244BQ115")</f>
        <v>74HCT244BQ115</v>
      </c>
      <c r="B17064" s="3" t="s">
        <v>93</v>
      </c>
      <c r="C17064" s="6">
        <v>30000</v>
      </c>
      <c r="D17064" s="7">
        <v>0.57999999999999996</v>
      </c>
    </row>
    <row r="17065" spans="1:4" x14ac:dyDescent="0.25">
      <c r="A17065" t="str">
        <f>HYPERLINK("https://www.773grp.com/globalSearch/74HCT257D652/page-1", "74HCT257D652")</f>
        <v>74HCT257D652</v>
      </c>
      <c r="B17065" s="3" t="s">
        <v>93</v>
      </c>
      <c r="C17065" s="6">
        <v>8460</v>
      </c>
      <c r="D17065" s="7">
        <v>0.57999999999999996</v>
      </c>
    </row>
    <row r="17066" spans="1:4" x14ac:dyDescent="0.25">
      <c r="A17066" t="str">
        <f>HYPERLINK("https://www.773grp.com/globalSearch/74HCT257D653/page-1", "74HCT257D653")</f>
        <v>74HCT257D653</v>
      </c>
      <c r="B17066" s="3" t="s">
        <v>93</v>
      </c>
      <c r="C17066" s="6">
        <v>15197</v>
      </c>
      <c r="D17066" s="7">
        <v>0.57999999999999996</v>
      </c>
    </row>
    <row r="17067" spans="1:4" x14ac:dyDescent="0.25">
      <c r="A17067" t="str">
        <f>HYPERLINK("https://www.773grp.com/globalSearch/74HCT257PW112/page-1", "74HCT257PW112")</f>
        <v>74HCT257PW112</v>
      </c>
      <c r="B17067" s="3" t="s">
        <v>93</v>
      </c>
      <c r="C17067" s="6">
        <v>7190</v>
      </c>
      <c r="D17067" s="7">
        <v>0.57999999999999996</v>
      </c>
    </row>
    <row r="17068" spans="1:4" x14ac:dyDescent="0.25">
      <c r="A17068" t="str">
        <f>HYPERLINK("https://www.773grp.com/globalSearch/74HCT257PW118/page-1", "74HCT257PW118")</f>
        <v>74HCT257PW118</v>
      </c>
      <c r="B17068" s="3" t="s">
        <v>93</v>
      </c>
      <c r="C17068" s="6">
        <v>2500</v>
      </c>
      <c r="D17068" s="7">
        <v>0.57999999999999996</v>
      </c>
    </row>
    <row r="17069" spans="1:4" x14ac:dyDescent="0.25">
      <c r="A17069" t="str">
        <f>HYPERLINK("https://www.773grp.com/globalSearch/74HCT3G04DP125/page-1", "74HCT3G04DP125")</f>
        <v>74HCT3G04DP125</v>
      </c>
      <c r="B17069" s="3" t="s">
        <v>93</v>
      </c>
      <c r="C17069" s="6">
        <v>6000</v>
      </c>
      <c r="D17069" s="7">
        <v>0.57999999999999996</v>
      </c>
    </row>
    <row r="17070" spans="1:4" x14ac:dyDescent="0.25">
      <c r="A17070" t="str">
        <f>HYPERLINK("https://www.773grp.com/globalSearch/74HCT573BQ115/page-1", "74HCT573BQ115")</f>
        <v>74HCT573BQ115</v>
      </c>
      <c r="B17070" s="3" t="s">
        <v>93</v>
      </c>
      <c r="C17070" s="6">
        <v>3010</v>
      </c>
      <c r="D17070" s="7">
        <v>0.57999999999999996</v>
      </c>
    </row>
    <row r="17071" spans="1:4" x14ac:dyDescent="0.25">
      <c r="A17071" t="str">
        <f>HYPERLINK("https://www.773grp.com/globalSearch/74LV04DB118/page-1", "74LV04DB118")</f>
        <v>74LV04DB118</v>
      </c>
      <c r="B17071" s="3" t="s">
        <v>93</v>
      </c>
      <c r="C17071" s="6">
        <v>4231</v>
      </c>
      <c r="D17071" s="7">
        <v>0.57999999999999996</v>
      </c>
    </row>
    <row r="17072" spans="1:4" x14ac:dyDescent="0.25">
      <c r="A17072" t="str">
        <f>HYPERLINK("https://www.773grp.com/globalSearch/74LV123D112/page-1", "74LV123D112")</f>
        <v>74LV123D112</v>
      </c>
      <c r="B17072" s="3" t="s">
        <v>93</v>
      </c>
      <c r="C17072" s="6">
        <v>8000</v>
      </c>
      <c r="D17072" s="7">
        <v>0.57999999999999996</v>
      </c>
    </row>
    <row r="17073" spans="1:4" x14ac:dyDescent="0.25">
      <c r="A17073" t="str">
        <f>HYPERLINK("https://www.773grp.com/globalSearch/74LV123D118/page-1", "74LV123D118")</f>
        <v>74LV123D118</v>
      </c>
      <c r="B17073" s="3" t="s">
        <v>93</v>
      </c>
      <c r="C17073" s="6">
        <v>12500</v>
      </c>
      <c r="D17073" s="7">
        <v>0.57999999999999996</v>
      </c>
    </row>
    <row r="17074" spans="1:4" x14ac:dyDescent="0.25">
      <c r="A17074" t="str">
        <f>HYPERLINK("https://www.773grp.com/globalSearch/74LV123PW118/page-1", "74LV123PW118")</f>
        <v>74LV123PW118</v>
      </c>
      <c r="B17074" s="3" t="s">
        <v>93</v>
      </c>
      <c r="C17074" s="6">
        <v>1550</v>
      </c>
      <c r="D17074" s="7">
        <v>0.57999999999999996</v>
      </c>
    </row>
    <row r="17075" spans="1:4" x14ac:dyDescent="0.25">
      <c r="A17075" t="str">
        <f>HYPERLINK("https://www.773grp.com/globalSearch/74LV86BQ115/page-1", "74LV86BQ115")</f>
        <v>74LV86BQ115</v>
      </c>
      <c r="B17075" s="3" t="s">
        <v>93</v>
      </c>
      <c r="C17075" s="6">
        <v>3300</v>
      </c>
      <c r="D17075" s="7">
        <v>0.57999999999999996</v>
      </c>
    </row>
    <row r="17076" spans="1:4" x14ac:dyDescent="0.25">
      <c r="A17076" t="str">
        <f>HYPERLINK("https://www.773grp.com/globalSearch/74LV86PW118/page-1", "74LV86PW118")</f>
        <v>74LV86PW118</v>
      </c>
      <c r="B17076" s="3" t="s">
        <v>93</v>
      </c>
      <c r="C17076" s="6">
        <v>5197</v>
      </c>
      <c r="D17076" s="7">
        <v>0.57999999999999996</v>
      </c>
    </row>
    <row r="17077" spans="1:4" x14ac:dyDescent="0.25">
      <c r="A17077" t="str">
        <f>HYPERLINK("https://www.773grp.com/globalSearch/74LVC08ADB118/page-1", "74LVC08ADB118")</f>
        <v>74LVC08ADB118</v>
      </c>
      <c r="B17077" s="3" t="s">
        <v>93</v>
      </c>
      <c r="C17077" s="6">
        <v>12000</v>
      </c>
      <c r="D17077" s="7">
        <v>0.57999999999999996</v>
      </c>
    </row>
    <row r="17078" spans="1:4" x14ac:dyDescent="0.25">
      <c r="A17078" t="str">
        <f>HYPERLINK("https://www.773grp.com/globalSearch/74LVC11DB118/page-1", "74LVC11DB118")</f>
        <v>74LVC11DB118</v>
      </c>
      <c r="B17078" s="3" t="s">
        <v>93</v>
      </c>
      <c r="C17078" s="6">
        <v>2000</v>
      </c>
      <c r="D17078" s="7">
        <v>0.57999999999999996</v>
      </c>
    </row>
    <row r="17079" spans="1:4" x14ac:dyDescent="0.25">
      <c r="A17079" t="str">
        <f>HYPERLINK("https://www.773grp.com/globalSearch/74LVC1G00GM115/page-1", "74LVC1G00GM115")</f>
        <v>74LVC1G00GM115</v>
      </c>
      <c r="B17079" s="3" t="s">
        <v>93</v>
      </c>
      <c r="C17079" s="6">
        <v>973226</v>
      </c>
      <c r="D17079" s="7">
        <v>0.57999999999999996</v>
      </c>
    </row>
    <row r="17080" spans="1:4" x14ac:dyDescent="0.25">
      <c r="A17080" t="str">
        <f>HYPERLINK("https://www.773grp.com/globalSearch/74LVC1G00GM132/page-1", "74LVC1G00GM132")</f>
        <v>74LVC1G00GM132</v>
      </c>
      <c r="B17080" s="3" t="s">
        <v>93</v>
      </c>
      <c r="C17080" s="6">
        <v>9600</v>
      </c>
      <c r="D17080" s="7">
        <v>0.57999999999999996</v>
      </c>
    </row>
    <row r="17081" spans="1:4" x14ac:dyDescent="0.25">
      <c r="A17081" t="str">
        <f>HYPERLINK("https://www.773grp.com/globalSearch/74LVC1G02GM115/page-1", "74LVC1G02GM115")</f>
        <v>74LVC1G02GM115</v>
      </c>
      <c r="B17081" s="3" t="s">
        <v>93</v>
      </c>
      <c r="C17081" s="6">
        <v>18929</v>
      </c>
      <c r="D17081" s="7">
        <v>0.57999999999999996</v>
      </c>
    </row>
    <row r="17082" spans="1:4" x14ac:dyDescent="0.25">
      <c r="A17082" t="str">
        <f>HYPERLINK("https://www.773grp.com/globalSearch/74LVC1G02GM132/page-1", "74LVC1G02GM132")</f>
        <v>74LVC1G02GM132</v>
      </c>
      <c r="B17082" s="3" t="s">
        <v>93</v>
      </c>
      <c r="C17082" s="6">
        <v>300</v>
      </c>
      <c r="D17082" s="7">
        <v>0.57999999999999996</v>
      </c>
    </row>
    <row r="17083" spans="1:4" x14ac:dyDescent="0.25">
      <c r="A17083" t="str">
        <f>HYPERLINK("https://www.773grp.com/globalSearch/74LVC1G04GM115/page-1", "74LVC1G04GM115")</f>
        <v>74LVC1G04GM115</v>
      </c>
      <c r="B17083" s="3" t="s">
        <v>93</v>
      </c>
      <c r="C17083" s="6">
        <v>15100</v>
      </c>
      <c r="D17083" s="7">
        <v>0.57999999999999996</v>
      </c>
    </row>
    <row r="17084" spans="1:4" x14ac:dyDescent="0.25">
      <c r="A17084" t="str">
        <f>HYPERLINK("https://www.773grp.com/globalSearch/74LVC1G06GM115/page-1", "74LVC1G06GM115")</f>
        <v>74LVC1G06GM115</v>
      </c>
      <c r="B17084" s="3" t="s">
        <v>93</v>
      </c>
      <c r="C17084" s="6">
        <v>35300</v>
      </c>
      <c r="D17084" s="7">
        <v>0.57999999999999996</v>
      </c>
    </row>
    <row r="17085" spans="1:4" x14ac:dyDescent="0.25">
      <c r="A17085" t="str">
        <f>HYPERLINK("https://www.773grp.com/globalSearch/74LVC1G07GM115/page-1", "74LVC1G07GM115")</f>
        <v>74LVC1G07GM115</v>
      </c>
      <c r="B17085" s="3" t="s">
        <v>93</v>
      </c>
      <c r="C17085" s="6">
        <v>5215</v>
      </c>
      <c r="D17085" s="7">
        <v>0.57999999999999996</v>
      </c>
    </row>
    <row r="17086" spans="1:4" x14ac:dyDescent="0.25">
      <c r="A17086" t="str">
        <f>HYPERLINK("https://www.773grp.com/globalSearch/74LVC1G08GM115/page-1", "74LVC1G08GM115")</f>
        <v>74LVC1G08GM115</v>
      </c>
      <c r="B17086" s="3" t="s">
        <v>93</v>
      </c>
      <c r="C17086" s="6">
        <v>10000</v>
      </c>
      <c r="D17086" s="7">
        <v>0.57999999999999996</v>
      </c>
    </row>
    <row r="17087" spans="1:4" x14ac:dyDescent="0.25">
      <c r="A17087" t="str">
        <f>HYPERLINK("https://www.773grp.com/globalSearch/74LVC1G08GM132/page-1", "74LVC1G08GM132")</f>
        <v>74LVC1G08GM132</v>
      </c>
      <c r="B17087" s="3" t="s">
        <v>93</v>
      </c>
      <c r="C17087" s="6">
        <v>5000</v>
      </c>
      <c r="D17087" s="7">
        <v>0.57999999999999996</v>
      </c>
    </row>
    <row r="17088" spans="1:4" x14ac:dyDescent="0.25">
      <c r="A17088" t="str">
        <f>HYPERLINK("https://www.773grp.com/globalSearch/74LVC1G11GM115/page-1", "74LVC1G11GM115")</f>
        <v>74LVC1G11GM115</v>
      </c>
      <c r="B17088" s="3" t="s">
        <v>93</v>
      </c>
      <c r="C17088" s="6">
        <v>35115</v>
      </c>
      <c r="D17088" s="7">
        <v>0.57999999999999996</v>
      </c>
    </row>
    <row r="17089" spans="1:4" x14ac:dyDescent="0.25">
      <c r="A17089" t="str">
        <f>HYPERLINK("https://www.773grp.com/globalSearch/74LVC1G125GM115/page-1", "74LVC1G125GM115")</f>
        <v>74LVC1G125GM115</v>
      </c>
      <c r="B17089" s="3" t="s">
        <v>93</v>
      </c>
      <c r="C17089" s="6">
        <v>6610</v>
      </c>
      <c r="D17089" s="7">
        <v>0.57999999999999996</v>
      </c>
    </row>
    <row r="17090" spans="1:4" x14ac:dyDescent="0.25">
      <c r="A17090" t="str">
        <f>HYPERLINK("https://www.773grp.com/globalSearch/74LVC1G126GM115/page-1", "74LVC1G126GM115")</f>
        <v>74LVC1G126GM115</v>
      </c>
      <c r="B17090" s="3" t="s">
        <v>93</v>
      </c>
      <c r="C17090" s="6">
        <v>11799</v>
      </c>
      <c r="D17090" s="7">
        <v>0.57999999999999996</v>
      </c>
    </row>
    <row r="17091" spans="1:4" x14ac:dyDescent="0.25">
      <c r="A17091" t="str">
        <f>HYPERLINK("https://www.773grp.com/globalSearch/74LVC1G14GM115/page-1", "74LVC1G14GM115")</f>
        <v>74LVC1G14GM115</v>
      </c>
      <c r="B17091" s="3" t="s">
        <v>93</v>
      </c>
      <c r="C17091" s="6">
        <v>950</v>
      </c>
      <c r="D17091" s="7">
        <v>0.57999999999999996</v>
      </c>
    </row>
    <row r="17092" spans="1:4" x14ac:dyDescent="0.25">
      <c r="A17092" t="str">
        <f>HYPERLINK("https://www.773grp.com/globalSearch/74LVC1G157GM115/page-1", "74LVC1G157GM115")</f>
        <v>74LVC1G157GM115</v>
      </c>
      <c r="B17092" s="3" t="s">
        <v>93</v>
      </c>
      <c r="C17092" s="6">
        <v>4860</v>
      </c>
      <c r="D17092" s="7">
        <v>0.57999999999999996</v>
      </c>
    </row>
    <row r="17093" spans="1:4" x14ac:dyDescent="0.25">
      <c r="A17093" t="str">
        <f>HYPERLINK("https://www.773grp.com/globalSearch/74LVC1G175GM115/page-1", "74LVC1G175GM115")</f>
        <v>74LVC1G175GM115</v>
      </c>
      <c r="B17093" s="3" t="s">
        <v>93</v>
      </c>
      <c r="C17093" s="6">
        <v>10000</v>
      </c>
      <c r="D17093" s="7">
        <v>0.57999999999999996</v>
      </c>
    </row>
    <row r="17094" spans="1:4" x14ac:dyDescent="0.25">
      <c r="A17094" t="str">
        <f>HYPERLINK("https://www.773grp.com/globalSearch/74LVC1G17GM115/page-1", "74LVC1G17GM115")</f>
        <v>74LVC1G17GM115</v>
      </c>
      <c r="B17094" s="3" t="s">
        <v>93</v>
      </c>
      <c r="C17094" s="6">
        <v>25000</v>
      </c>
      <c r="D17094" s="7">
        <v>0.57999999999999996</v>
      </c>
    </row>
    <row r="17095" spans="1:4" x14ac:dyDescent="0.25">
      <c r="A17095" t="str">
        <f>HYPERLINK("https://www.773grp.com/globalSearch/74LVC1G3157GM115/page-1", "74LVC1G3157GM115")</f>
        <v>74LVC1G3157GM115</v>
      </c>
      <c r="B17095" s="3" t="s">
        <v>93</v>
      </c>
      <c r="C17095" s="6">
        <v>3542</v>
      </c>
      <c r="D17095" s="7">
        <v>0.57999999999999996</v>
      </c>
    </row>
    <row r="17096" spans="1:4" x14ac:dyDescent="0.25">
      <c r="A17096" t="str">
        <f>HYPERLINK("https://www.773grp.com/globalSearch/74LVC1G3157GM132/page-1", "74LVC1G3157GM132")</f>
        <v>74LVC1G3157GM132</v>
      </c>
      <c r="B17096" s="3" t="s">
        <v>93</v>
      </c>
      <c r="C17096" s="6">
        <v>74650</v>
      </c>
      <c r="D17096" s="7">
        <v>0.57999999999999996</v>
      </c>
    </row>
    <row r="17097" spans="1:4" x14ac:dyDescent="0.25">
      <c r="A17097" t="str">
        <f>HYPERLINK("https://www.773grp.com/globalSearch/74LVC1G32GM115/page-1", "74LVC1G32GM115")</f>
        <v>74LVC1G32GM115</v>
      </c>
      <c r="B17097" s="3" t="s">
        <v>93</v>
      </c>
      <c r="C17097" s="6">
        <v>15900</v>
      </c>
      <c r="D17097" s="7">
        <v>0.57999999999999996</v>
      </c>
    </row>
    <row r="17098" spans="1:4" x14ac:dyDescent="0.25">
      <c r="A17098" t="str">
        <f>HYPERLINK("https://www.773grp.com/globalSearch/74LVC1G32GM132/page-1", "74LVC1G32GM132")</f>
        <v>74LVC1G32GM132</v>
      </c>
      <c r="B17098" s="3" t="s">
        <v>93</v>
      </c>
      <c r="C17098" s="6">
        <v>320300</v>
      </c>
      <c r="D17098" s="7">
        <v>0.57999999999999996</v>
      </c>
    </row>
    <row r="17099" spans="1:4" x14ac:dyDescent="0.25">
      <c r="A17099" t="str">
        <f>HYPERLINK("https://www.773grp.com/globalSearch/74LVC1G34GM115/page-1", "74LVC1G34GM115")</f>
        <v>74LVC1G34GM115</v>
      </c>
      <c r="B17099" s="3" t="s">
        <v>93</v>
      </c>
      <c r="C17099" s="6">
        <v>15000</v>
      </c>
      <c r="D17099" s="7">
        <v>0.57999999999999996</v>
      </c>
    </row>
    <row r="17100" spans="1:4" x14ac:dyDescent="0.25">
      <c r="A17100" t="str">
        <f>HYPERLINK("https://www.773grp.com/globalSearch/74LVC1G38GM115/page-1", "74LVC1G38GM115")</f>
        <v>74LVC1G38GM115</v>
      </c>
      <c r="B17100" s="3" t="s">
        <v>93</v>
      </c>
      <c r="C17100" s="6">
        <v>150</v>
      </c>
      <c r="D17100" s="7">
        <v>0.57999999999999996</v>
      </c>
    </row>
    <row r="17101" spans="1:4" x14ac:dyDescent="0.25">
      <c r="A17101" t="str">
        <f>HYPERLINK("https://www.773grp.com/globalSearch/74LVC1G57GM115/page-1", "74LVC1G57GM115")</f>
        <v>74LVC1G57GM115</v>
      </c>
      <c r="B17101" s="3" t="s">
        <v>93</v>
      </c>
      <c r="C17101" s="6">
        <v>10000</v>
      </c>
      <c r="D17101" s="7">
        <v>0.57999999999999996</v>
      </c>
    </row>
    <row r="17102" spans="1:4" x14ac:dyDescent="0.25">
      <c r="A17102" t="str">
        <f>HYPERLINK("https://www.773grp.com/globalSearch/74LVC1G57GM132/page-1", "74LVC1G57GM132")</f>
        <v>74LVC1G57GM132</v>
      </c>
      <c r="B17102" s="3" t="s">
        <v>93</v>
      </c>
      <c r="C17102" s="6">
        <v>5000</v>
      </c>
      <c r="D17102" s="7">
        <v>0.57999999999999996</v>
      </c>
    </row>
    <row r="17103" spans="1:4" x14ac:dyDescent="0.25">
      <c r="A17103" t="str">
        <f>HYPERLINK("https://www.773grp.com/globalSearch/74LVC1G58GM115/page-1", "74LVC1G58GM115")</f>
        <v>74LVC1G58GM115</v>
      </c>
      <c r="B17103" s="3" t="s">
        <v>93</v>
      </c>
      <c r="C17103" s="6">
        <v>142764</v>
      </c>
      <c r="D17103" s="7">
        <v>0.57999999999999996</v>
      </c>
    </row>
    <row r="17104" spans="1:4" x14ac:dyDescent="0.25">
      <c r="A17104" t="str">
        <f>HYPERLINK("https://www.773grp.com/globalSearch/74LVC1G58GM132/page-1", "74LVC1G58GM132")</f>
        <v>74LVC1G58GM132</v>
      </c>
      <c r="B17104" s="3" t="s">
        <v>93</v>
      </c>
      <c r="C17104" s="6">
        <v>4960</v>
      </c>
      <c r="D17104" s="7">
        <v>0.57999999999999996</v>
      </c>
    </row>
    <row r="17105" spans="1:4" x14ac:dyDescent="0.25">
      <c r="A17105" t="str">
        <f>HYPERLINK("https://www.773grp.com/globalSearch/74LVC1G79GM115/page-1", "74LVC1G79GM115")</f>
        <v>74LVC1G79GM115</v>
      </c>
      <c r="B17105" s="3" t="s">
        <v>93</v>
      </c>
      <c r="C17105" s="6">
        <v>5300</v>
      </c>
      <c r="D17105" s="7">
        <v>0.57999999999999996</v>
      </c>
    </row>
    <row r="17106" spans="1:4" x14ac:dyDescent="0.25">
      <c r="A17106" t="str">
        <f>HYPERLINK("https://www.773grp.com/globalSearch/74LVC1G79GM132/page-1", "74LVC1G79GM132")</f>
        <v>74LVC1G79GM132</v>
      </c>
      <c r="B17106" s="3" t="s">
        <v>93</v>
      </c>
      <c r="C17106" s="6">
        <v>5000</v>
      </c>
      <c r="D17106" s="7">
        <v>0.57999999999999996</v>
      </c>
    </row>
    <row r="17107" spans="1:4" x14ac:dyDescent="0.25">
      <c r="A17107" t="str">
        <f>HYPERLINK("https://www.773grp.com/globalSearch/74LVC1G80GM115/page-1", "74LVC1G80GM115")</f>
        <v>74LVC1G80GM115</v>
      </c>
      <c r="B17107" s="3" t="s">
        <v>93</v>
      </c>
      <c r="C17107" s="6">
        <v>5000</v>
      </c>
      <c r="D17107" s="7">
        <v>0.57999999999999996</v>
      </c>
    </row>
    <row r="17108" spans="1:4" x14ac:dyDescent="0.25">
      <c r="A17108" t="str">
        <f>HYPERLINK("https://www.773grp.com/globalSearch/74LVC1G99DP125/page-1", "74LVC1G99DP125")</f>
        <v>74LVC1G99DP125</v>
      </c>
      <c r="B17108" s="3" t="s">
        <v>93</v>
      </c>
      <c r="C17108" s="6">
        <v>2000</v>
      </c>
      <c r="D17108" s="7">
        <v>0.57999999999999996</v>
      </c>
    </row>
    <row r="17109" spans="1:4" x14ac:dyDescent="0.25">
      <c r="A17109" t="str">
        <f>HYPERLINK("https://www.773grp.com/globalSearch/74LVC1GU04GM115/page-1", "74LVC1GU04GM115")</f>
        <v>74LVC1GU04GM115</v>
      </c>
      <c r="B17109" s="3" t="s">
        <v>93</v>
      </c>
      <c r="C17109" s="6">
        <v>300</v>
      </c>
      <c r="D17109" s="7">
        <v>0.57999999999999996</v>
      </c>
    </row>
    <row r="17110" spans="1:4" x14ac:dyDescent="0.25">
      <c r="A17110" t="str">
        <f>HYPERLINK("https://www.773grp.com/globalSearch/74LVC2244APW112/page-1", "74LVC2244APW112")</f>
        <v>74LVC2244APW112</v>
      </c>
      <c r="B17110" s="3" t="s">
        <v>93</v>
      </c>
      <c r="C17110" s="6">
        <v>3675</v>
      </c>
      <c r="D17110" s="7">
        <v>0.57999999999999996</v>
      </c>
    </row>
    <row r="17111" spans="1:4" x14ac:dyDescent="0.25">
      <c r="A17111" t="str">
        <f>HYPERLINK("https://www.773grp.com/globalSearch/74LVC2244APW118/page-1", "74LVC2244APW118")</f>
        <v>74LVC2244APW118</v>
      </c>
      <c r="B17111" s="3" t="s">
        <v>93</v>
      </c>
      <c r="C17111" s="6">
        <v>90000</v>
      </c>
      <c r="D17111" s="7">
        <v>0.57999999999999996</v>
      </c>
    </row>
    <row r="17112" spans="1:4" x14ac:dyDescent="0.25">
      <c r="A17112" t="str">
        <f>HYPERLINK("https://www.773grp.com/globalSearch/74LVC241APW112/page-1", "74LVC241APW112")</f>
        <v>74LVC241APW112</v>
      </c>
      <c r="B17112" s="3" t="s">
        <v>93</v>
      </c>
      <c r="C17112" s="6">
        <v>3750</v>
      </c>
      <c r="D17112" s="7">
        <v>0.57999999999999996</v>
      </c>
    </row>
    <row r="17113" spans="1:4" x14ac:dyDescent="0.25">
      <c r="A17113" t="str">
        <f>HYPERLINK("https://www.773grp.com/globalSearch/74LVC241APW118/page-1", "74LVC241APW118")</f>
        <v>74LVC241APW118</v>
      </c>
      <c r="B17113" s="3" t="s">
        <v>93</v>
      </c>
      <c r="C17113" s="6">
        <v>10000</v>
      </c>
      <c r="D17113" s="7">
        <v>0.57999999999999996</v>
      </c>
    </row>
    <row r="17114" spans="1:4" x14ac:dyDescent="0.25">
      <c r="A17114" t="str">
        <f>HYPERLINK("https://www.773grp.com/globalSearch/74LVC244ADB112/page-1", "74LVC244ADB112")</f>
        <v>74LVC244ADB112</v>
      </c>
      <c r="B17114" s="3" t="s">
        <v>93</v>
      </c>
      <c r="C17114" s="6">
        <v>10164</v>
      </c>
      <c r="D17114" s="7">
        <v>0.57999999999999996</v>
      </c>
    </row>
    <row r="17115" spans="1:4" x14ac:dyDescent="0.25">
      <c r="A17115" t="str">
        <f>HYPERLINK("https://www.773grp.com/globalSearch/74LVC244ADB118/page-1", "74LVC244ADB118")</f>
        <v>74LVC244ADB118</v>
      </c>
      <c r="B17115" s="3" t="s">
        <v>93</v>
      </c>
      <c r="C17115" s="6">
        <v>23000</v>
      </c>
      <c r="D17115" s="7">
        <v>0.57999999999999996</v>
      </c>
    </row>
    <row r="17116" spans="1:4" x14ac:dyDescent="0.25">
      <c r="A17116" t="str">
        <f>HYPERLINK("https://www.773grp.com/globalSearch/74LVC257ADB112/page-1", "74LVC257ADB112")</f>
        <v>74LVC257ADB112</v>
      </c>
      <c r="B17116" s="3" t="s">
        <v>93</v>
      </c>
      <c r="C17116" s="6">
        <v>5460</v>
      </c>
      <c r="D17116" s="7">
        <v>0.57999999999999996</v>
      </c>
    </row>
    <row r="17117" spans="1:4" x14ac:dyDescent="0.25">
      <c r="A17117" t="str">
        <f>HYPERLINK("https://www.773grp.com/globalSearch/74LVC257ADB118/page-1", "74LVC257ADB118")</f>
        <v>74LVC257ADB118</v>
      </c>
      <c r="B17117" s="3" t="s">
        <v>93</v>
      </c>
      <c r="C17117" s="6">
        <v>9710</v>
      </c>
      <c r="D17117" s="7">
        <v>0.57999999999999996</v>
      </c>
    </row>
    <row r="17118" spans="1:4" x14ac:dyDescent="0.25">
      <c r="A17118" t="str">
        <f>HYPERLINK("https://www.773grp.com/globalSearch/74LVC273DB112/page-1", "74LVC273DB112")</f>
        <v>74LVC273DB112</v>
      </c>
      <c r="B17118" s="3" t="s">
        <v>93</v>
      </c>
      <c r="C17118" s="6">
        <v>13900</v>
      </c>
      <c r="D17118" s="7">
        <v>0.57999999999999996</v>
      </c>
    </row>
    <row r="17119" spans="1:4" x14ac:dyDescent="0.25">
      <c r="A17119" t="str">
        <f>HYPERLINK("https://www.773grp.com/globalSearch/74LVC273PW112/page-1", "74LVC273PW112")</f>
        <v>74LVC273PW112</v>
      </c>
      <c r="B17119" s="3" t="s">
        <v>93</v>
      </c>
      <c r="C17119" s="6">
        <v>16875</v>
      </c>
      <c r="D17119" s="7">
        <v>0.57999999999999996</v>
      </c>
    </row>
    <row r="17120" spans="1:4" x14ac:dyDescent="0.25">
      <c r="A17120" t="str">
        <f>HYPERLINK("https://www.773grp.com/globalSearch/74LVC2G00DP125/page-1", "74LVC2G00DP125")</f>
        <v>74LVC2G00DP125</v>
      </c>
      <c r="B17120" s="3" t="s">
        <v>93</v>
      </c>
      <c r="C17120" s="6">
        <v>6000</v>
      </c>
      <c r="D17120" s="7">
        <v>0.57999999999999996</v>
      </c>
    </row>
    <row r="17121" spans="1:4" x14ac:dyDescent="0.25">
      <c r="A17121" t="str">
        <f>HYPERLINK("https://www.773grp.com/globalSearch/74LVC2G02DP125/page-1", "74LVC2G02DP125")</f>
        <v>74LVC2G02DP125</v>
      </c>
      <c r="B17121" s="3" t="s">
        <v>93</v>
      </c>
      <c r="C17121" s="6">
        <v>3000</v>
      </c>
      <c r="D17121" s="7">
        <v>0.57999999999999996</v>
      </c>
    </row>
    <row r="17122" spans="1:4" x14ac:dyDescent="0.25">
      <c r="A17122" t="str">
        <f>HYPERLINK("https://www.773grp.com/globalSearch/74LVC2G08DP125/page-1", "74LVC2G08DP125")</f>
        <v>74LVC2G08DP125</v>
      </c>
      <c r="B17122" s="3" t="s">
        <v>93</v>
      </c>
      <c r="C17122" s="6">
        <v>21000</v>
      </c>
      <c r="D17122" s="7">
        <v>0.57999999999999996</v>
      </c>
    </row>
    <row r="17123" spans="1:4" x14ac:dyDescent="0.25">
      <c r="A17123" t="str">
        <f>HYPERLINK("https://www.773grp.com/globalSearch/74LVC2G32DP125/page-1", "74LVC2G32DP125")</f>
        <v>74LVC2G32DP125</v>
      </c>
      <c r="B17123" s="3" t="s">
        <v>93</v>
      </c>
      <c r="C17123" s="6">
        <v>12000</v>
      </c>
      <c r="D17123" s="7">
        <v>0.57999999999999996</v>
      </c>
    </row>
    <row r="17124" spans="1:4" x14ac:dyDescent="0.25">
      <c r="A17124" t="str">
        <f>HYPERLINK("https://www.773grp.com/globalSearch/74LVC2G34GV125/page-1", "74LVC2G34GV125")</f>
        <v>74LVC2G34GV125</v>
      </c>
      <c r="B17124" s="3" t="s">
        <v>93</v>
      </c>
      <c r="C17124" s="6">
        <v>15000</v>
      </c>
      <c r="D17124" s="7">
        <v>0.57999999999999996</v>
      </c>
    </row>
    <row r="17125" spans="1:4" x14ac:dyDescent="0.25">
      <c r="A17125" t="str">
        <f>HYPERLINK("https://www.773grp.com/globalSearch/74LVC2G38DP125/page-1", "74LVC2G38DP125")</f>
        <v>74LVC2G38DP125</v>
      </c>
      <c r="B17125" s="3" t="s">
        <v>93</v>
      </c>
      <c r="C17125" s="6">
        <v>9000</v>
      </c>
      <c r="D17125" s="7">
        <v>0.57999999999999996</v>
      </c>
    </row>
    <row r="17126" spans="1:4" x14ac:dyDescent="0.25">
      <c r="A17126" t="str">
        <f>HYPERLINK("https://www.773grp.com/globalSearch/74LVC2G74DC125/page-1", "74LVC2G74DC125")</f>
        <v>74LVC2G74DC125</v>
      </c>
      <c r="B17126" s="3" t="s">
        <v>93</v>
      </c>
      <c r="C17126" s="6">
        <v>100</v>
      </c>
      <c r="D17126" s="7">
        <v>0.57999999999999996</v>
      </c>
    </row>
    <row r="17127" spans="1:4" x14ac:dyDescent="0.25">
      <c r="A17127" t="str">
        <f>HYPERLINK("https://www.773grp.com/globalSearch/74LVC2G86DP125/page-1", "74LVC2G86DP125")</f>
        <v>74LVC2G86DP125</v>
      </c>
      <c r="B17127" s="3" t="s">
        <v>93</v>
      </c>
      <c r="C17127" s="6">
        <v>109</v>
      </c>
      <c r="D17127" s="7">
        <v>0.57999999999999996</v>
      </c>
    </row>
    <row r="17128" spans="1:4" x14ac:dyDescent="0.25">
      <c r="A17128" t="str">
        <f>HYPERLINK("https://www.773grp.com/globalSearch/74LVC373ADB118/page-1", "74LVC373ADB118")</f>
        <v>74LVC373ADB118</v>
      </c>
      <c r="B17128" s="3" t="s">
        <v>93</v>
      </c>
      <c r="C17128" s="6">
        <v>14000</v>
      </c>
      <c r="D17128" s="7">
        <v>0.57999999999999996</v>
      </c>
    </row>
    <row r="17129" spans="1:4" x14ac:dyDescent="0.25">
      <c r="A17129" t="str">
        <f>HYPERLINK("https://www.773grp.com/globalSearch/74LVC573ADB118/page-1", "74LVC573ADB118")</f>
        <v>74LVC573ADB118</v>
      </c>
      <c r="B17129" s="3" t="s">
        <v>93</v>
      </c>
      <c r="C17129" s="6">
        <v>1000</v>
      </c>
      <c r="D17129" s="7">
        <v>0.57999999999999996</v>
      </c>
    </row>
    <row r="17130" spans="1:4" x14ac:dyDescent="0.25">
      <c r="A17130" t="str">
        <f>HYPERLINK("https://www.773grp.com/globalSearch/74LVC86ADB118/page-1", "74LVC86ADB118")</f>
        <v>74LVC86ADB118</v>
      </c>
      <c r="B17130" s="3" t="s">
        <v>93</v>
      </c>
      <c r="C17130" s="6">
        <v>6056</v>
      </c>
      <c r="D17130" s="7">
        <v>0.57999999999999996</v>
      </c>
    </row>
    <row r="17131" spans="1:4" x14ac:dyDescent="0.25">
      <c r="A17131" t="str">
        <f>HYPERLINK("https://www.773grp.com/globalSearch/74LVCH244APW-AUJ118/page-1", "74LVCH244APW-AUJ118")</f>
        <v>74LVCH244APW-AUJ118</v>
      </c>
      <c r="B17131" s="3" t="s">
        <v>93</v>
      </c>
      <c r="C17131" s="6">
        <v>2200</v>
      </c>
      <c r="D17131" s="7">
        <v>0.57999999999999996</v>
      </c>
    </row>
    <row r="17132" spans="1:4" x14ac:dyDescent="0.25">
      <c r="A17132" t="str">
        <f>HYPERLINK("https://www.773grp.com/globalSearch/74LVT126PW112/page-1", "74LVT126PW112")</f>
        <v>74LVT126PW112</v>
      </c>
      <c r="B17132" s="3" t="s">
        <v>93</v>
      </c>
      <c r="C17132" s="6">
        <v>7238</v>
      </c>
      <c r="D17132" s="7">
        <v>0.57999999999999996</v>
      </c>
    </row>
    <row r="17133" spans="1:4" x14ac:dyDescent="0.25">
      <c r="A17133" t="str">
        <f>HYPERLINK("https://www.773grp.com/globalSearch/ACT108-600D126/page-1", "ACT108-600D126")</f>
        <v>ACT108-600D126</v>
      </c>
      <c r="B17133" s="3" t="s">
        <v>93</v>
      </c>
      <c r="C17133" s="6">
        <v>10000</v>
      </c>
      <c r="D17133" s="7">
        <v>0.57999999999999996</v>
      </c>
    </row>
    <row r="17134" spans="1:4" x14ac:dyDescent="0.25">
      <c r="A17134" t="str">
        <f>HYPERLINK("https://www.773grp.com/globalSearch/ACT108-600E126/page-1", "ACT108-600E126")</f>
        <v>ACT108-600E126</v>
      </c>
      <c r="B17134" s="3" t="s">
        <v>93</v>
      </c>
      <c r="C17134" s="6">
        <v>281</v>
      </c>
      <c r="D17134" s="7">
        <v>0.57999999999999996</v>
      </c>
    </row>
    <row r="17135" spans="1:4" x14ac:dyDescent="0.25">
      <c r="A17135" t="str">
        <f>HYPERLINK("https://www.773grp.com/globalSearch/ACT108-600E412/page-1", "ACT108-600E412")</f>
        <v>ACT108-600E412</v>
      </c>
      <c r="B17135" s="3" t="s">
        <v>93</v>
      </c>
      <c r="C17135" s="6">
        <v>189</v>
      </c>
      <c r="D17135" s="7">
        <v>0.57999999999999996</v>
      </c>
    </row>
    <row r="17136" spans="1:4" x14ac:dyDescent="0.25">
      <c r="A17136" t="str">
        <f>HYPERLINK("https://www.773grp.com/globalSearch/ACT108W-600D135/page-1", "ACT108W-600D135")</f>
        <v>ACT108W-600D135</v>
      </c>
      <c r="B17136" s="3" t="s">
        <v>93</v>
      </c>
      <c r="C17136" s="6">
        <v>8000</v>
      </c>
      <c r="D17136" s="7">
        <v>0.57999999999999996</v>
      </c>
    </row>
    <row r="17137" spans="1:4" x14ac:dyDescent="0.25">
      <c r="A17137" t="str">
        <f>HYPERLINK("https://www.773grp.com/globalSearch/BAT54CV115/page-1", "BAT54CV115")</f>
        <v>BAT54CV115</v>
      </c>
      <c r="B17137" s="3" t="s">
        <v>93</v>
      </c>
      <c r="C17137" s="6">
        <v>12200</v>
      </c>
      <c r="D17137" s="7">
        <v>0.57999999999999996</v>
      </c>
    </row>
    <row r="17138" spans="1:4" x14ac:dyDescent="0.25">
      <c r="A17138" t="str">
        <f>HYPERLINK("https://www.773grp.com/globalSearch/BAT54VV115/page-1", "BAT54VV115")</f>
        <v>BAT54VV115</v>
      </c>
      <c r="B17138" s="3" t="s">
        <v>93</v>
      </c>
      <c r="C17138" s="6">
        <v>1036000</v>
      </c>
      <c r="D17138" s="7">
        <v>0.57999999999999996</v>
      </c>
    </row>
    <row r="17139" spans="1:4" x14ac:dyDescent="0.25">
      <c r="A17139" t="str">
        <f>HYPERLINK("https://www.773grp.com/globalSearch/BB201215/page-1", "BB201215")</f>
        <v>BB201215</v>
      </c>
      <c r="B17139" s="3" t="s">
        <v>93</v>
      </c>
      <c r="C17139" s="6">
        <v>28248</v>
      </c>
      <c r="D17139" s="7">
        <v>0.57999999999999996</v>
      </c>
    </row>
    <row r="17140" spans="1:4" x14ac:dyDescent="0.25">
      <c r="A17140" t="str">
        <f>HYPERLINK("https://www.773grp.com/globalSearch/BF908WR115/page-1", "BF908WR115")</f>
        <v>BF908WR115</v>
      </c>
      <c r="B17140" s="3" t="s">
        <v>93</v>
      </c>
      <c r="C17140" s="6">
        <v>57445</v>
      </c>
      <c r="D17140" s="7">
        <v>0.57999999999999996</v>
      </c>
    </row>
    <row r="17141" spans="1:4" x14ac:dyDescent="0.25">
      <c r="A17141" t="str">
        <f>HYPERLINK("https://www.773grp.com/globalSearch/BF998215/page-1", "BF998215")</f>
        <v>BF998215</v>
      </c>
      <c r="B17141" s="3" t="s">
        <v>93</v>
      </c>
      <c r="C17141" s="6">
        <v>3574</v>
      </c>
      <c r="D17141" s="7">
        <v>0.57999999999999996</v>
      </c>
    </row>
    <row r="17142" spans="1:4" x14ac:dyDescent="0.25">
      <c r="A17142" t="str">
        <f>HYPERLINK("https://www.773grp.com/globalSearch/BF998R215/page-1", "BF998R215")</f>
        <v>BF998R215</v>
      </c>
      <c r="B17142" s="3" t="s">
        <v>93</v>
      </c>
      <c r="C17142" s="6">
        <v>3000</v>
      </c>
      <c r="D17142" s="7">
        <v>0.57999999999999996</v>
      </c>
    </row>
    <row r="17143" spans="1:4" x14ac:dyDescent="0.25">
      <c r="A17143" t="str">
        <f>HYPERLINK("https://www.773grp.com/globalSearch/BFG93A215/page-1", "BFG93A215")</f>
        <v>BFG93A215</v>
      </c>
      <c r="B17143" s="3" t="s">
        <v>93</v>
      </c>
      <c r="C17143" s="6">
        <v>3000</v>
      </c>
      <c r="D17143" s="7">
        <v>0.57999999999999996</v>
      </c>
    </row>
    <row r="17144" spans="1:4" x14ac:dyDescent="0.25">
      <c r="A17144" t="str">
        <f>HYPERLINK("https://www.773grp.com/globalSearch/BFR106215/page-1", "BFR106215")</f>
        <v>BFR106215</v>
      </c>
      <c r="B17144" s="3" t="s">
        <v>93</v>
      </c>
      <c r="C17144" s="6">
        <v>345000</v>
      </c>
      <c r="D17144" s="7">
        <v>0.57999999999999996</v>
      </c>
    </row>
    <row r="17145" spans="1:4" x14ac:dyDescent="0.25">
      <c r="A17145" t="str">
        <f>HYPERLINK("https://www.773grp.com/globalSearch/BFR540215/page-1", "BFR540215")</f>
        <v>BFR540215</v>
      </c>
      <c r="B17145" s="3" t="s">
        <v>93</v>
      </c>
      <c r="C17145" s="6">
        <v>12000</v>
      </c>
      <c r="D17145" s="7">
        <v>0.57999999999999996</v>
      </c>
    </row>
    <row r="17146" spans="1:4" x14ac:dyDescent="0.25">
      <c r="A17146" t="str">
        <f>HYPERLINK("https://www.773grp.com/globalSearch/BFS505115/page-1", "BFS505115")</f>
        <v>BFS505115</v>
      </c>
      <c r="B17146" s="3" t="s">
        <v>93</v>
      </c>
      <c r="C17146" s="6">
        <v>3260</v>
      </c>
      <c r="D17146" s="7">
        <v>0.57999999999999996</v>
      </c>
    </row>
    <row r="17147" spans="1:4" x14ac:dyDescent="0.25">
      <c r="A17147" t="str">
        <f>HYPERLINK("https://www.773grp.com/globalSearch/BSH202215/page-1", "BSH202215")</f>
        <v>BSH202215</v>
      </c>
      <c r="B17147" s="3" t="s">
        <v>93</v>
      </c>
      <c r="C17147" s="6">
        <v>96000</v>
      </c>
      <c r="D17147" s="7">
        <v>0.57999999999999996</v>
      </c>
    </row>
    <row r="17148" spans="1:4" x14ac:dyDescent="0.25">
      <c r="A17148" t="str">
        <f>HYPERLINK("https://www.773grp.com/globalSearch/BT134W-600D115/page-1", "BT134W-600D115")</f>
        <v>BT134W-600D115</v>
      </c>
      <c r="B17148" s="3" t="s">
        <v>93</v>
      </c>
      <c r="C17148" s="6">
        <v>12000</v>
      </c>
      <c r="D17148" s="7">
        <v>0.57999999999999996</v>
      </c>
    </row>
    <row r="17149" spans="1:4" x14ac:dyDescent="0.25">
      <c r="A17149" t="str">
        <f>HYPERLINK("https://www.773grp.com/globalSearch/BT134W-800115/page-1", "BT134W-800115")</f>
        <v>BT134W-800115</v>
      </c>
      <c r="B17149" s="3" t="s">
        <v>93</v>
      </c>
      <c r="C17149" s="6">
        <v>2000</v>
      </c>
      <c r="D17149" s="7">
        <v>0.57999999999999996</v>
      </c>
    </row>
    <row r="17150" spans="1:4" x14ac:dyDescent="0.25">
      <c r="A17150" t="str">
        <f>HYPERLINK("https://www.773grp.com/globalSearch/BTA2008-600E412/page-1", "BTA2008-600E412")</f>
        <v>BTA2008-600E412</v>
      </c>
      <c r="B17150" s="3" t="s">
        <v>93</v>
      </c>
      <c r="C17150" s="6">
        <v>4000</v>
      </c>
      <c r="D17150" s="7">
        <v>0.57999999999999996</v>
      </c>
    </row>
    <row r="17151" spans="1:4" x14ac:dyDescent="0.25">
      <c r="A17151" t="str">
        <f>HYPERLINK("https://www.773grp.com/globalSearch/BTA2008W-600D135/page-1", "BTA2008W-600D135")</f>
        <v>BTA2008W-600D135</v>
      </c>
      <c r="B17151" s="3" t="s">
        <v>93</v>
      </c>
      <c r="C17151" s="6">
        <v>32200</v>
      </c>
      <c r="D17151" s="7">
        <v>0.57999999999999996</v>
      </c>
    </row>
    <row r="17152" spans="1:4" x14ac:dyDescent="0.25">
      <c r="A17152" t="str">
        <f>HYPERLINK("https://www.773grp.com/globalSearch/BUK78150-55A115/page-1", "BUK78150-55A115")</f>
        <v>BUK78150-55A115</v>
      </c>
      <c r="B17152" s="3" t="s">
        <v>93</v>
      </c>
      <c r="C17152" s="6">
        <v>2000</v>
      </c>
      <c r="D17152" s="7">
        <v>0.57999999999999996</v>
      </c>
    </row>
    <row r="17153" spans="1:4" x14ac:dyDescent="0.25">
      <c r="A17153" t="str">
        <f>HYPERLINK("https://www.773grp.com/globalSearch/BUK98150-55A135/page-1", "BUK98150-55A135")</f>
        <v>BUK98150-55A135</v>
      </c>
      <c r="B17153" s="3" t="s">
        <v>93</v>
      </c>
      <c r="C17153" s="6">
        <v>4000</v>
      </c>
      <c r="D17153" s="7">
        <v>0.57999999999999996</v>
      </c>
    </row>
    <row r="17154" spans="1:4" x14ac:dyDescent="0.25">
      <c r="A17154" t="str">
        <f>HYPERLINK("https://www.773grp.com/globalSearch/BZA856A115/page-1", "BZA856A115")</f>
        <v>BZA856A115</v>
      </c>
      <c r="B17154" s="3" t="s">
        <v>93</v>
      </c>
      <c r="C17154" s="6">
        <v>11044</v>
      </c>
      <c r="D17154" s="7">
        <v>0.57999999999999996</v>
      </c>
    </row>
    <row r="17155" spans="1:4" x14ac:dyDescent="0.25">
      <c r="A17155" t="str">
        <f>HYPERLINK("https://www.773grp.com/globalSearch/BZX84-A10215/page-1", "BZX84-A10215")</f>
        <v>BZX84-A10215</v>
      </c>
      <c r="B17155" s="3" t="s">
        <v>93</v>
      </c>
      <c r="C17155" s="6">
        <v>45000</v>
      </c>
      <c r="D17155" s="7">
        <v>0.57999999999999996</v>
      </c>
    </row>
    <row r="17156" spans="1:4" x14ac:dyDescent="0.25">
      <c r="A17156" t="str">
        <f>HYPERLINK("https://www.773grp.com/globalSearch/BZX84-A11215/page-1", "BZX84-A11215")</f>
        <v>BZX84-A11215</v>
      </c>
      <c r="B17156" s="3" t="s">
        <v>93</v>
      </c>
      <c r="C17156" s="6">
        <v>8650</v>
      </c>
      <c r="D17156" s="7">
        <v>0.57999999999999996</v>
      </c>
    </row>
    <row r="17157" spans="1:4" x14ac:dyDescent="0.25">
      <c r="A17157" t="str">
        <f>HYPERLINK("https://www.773grp.com/globalSearch/BZX84-A12215/page-1", "BZX84-A12215")</f>
        <v>BZX84-A12215</v>
      </c>
      <c r="B17157" s="3" t="s">
        <v>93</v>
      </c>
      <c r="C17157" s="6">
        <v>9000</v>
      </c>
      <c r="D17157" s="7">
        <v>0.57999999999999996</v>
      </c>
    </row>
    <row r="17158" spans="1:4" x14ac:dyDescent="0.25">
      <c r="A17158" t="str">
        <f>HYPERLINK("https://www.773grp.com/globalSearch/BZX84-A13215/page-1", "BZX84-A13215")</f>
        <v>BZX84-A13215</v>
      </c>
      <c r="B17158" s="3" t="s">
        <v>93</v>
      </c>
      <c r="C17158" s="6">
        <v>6000</v>
      </c>
      <c r="D17158" s="7">
        <v>0.57999999999999996</v>
      </c>
    </row>
    <row r="17159" spans="1:4" x14ac:dyDescent="0.25">
      <c r="A17159" t="str">
        <f>HYPERLINK("https://www.773grp.com/globalSearch/BZX84-A15215/page-1", "BZX84-A15215")</f>
        <v>BZX84-A15215</v>
      </c>
      <c r="B17159" s="3" t="s">
        <v>93</v>
      </c>
      <c r="C17159" s="6">
        <v>6000</v>
      </c>
      <c r="D17159" s="7">
        <v>0.57999999999999996</v>
      </c>
    </row>
    <row r="17160" spans="1:4" x14ac:dyDescent="0.25">
      <c r="A17160" t="str">
        <f>HYPERLINK("https://www.773grp.com/globalSearch/BZX84-A20215/page-1", "BZX84-A20215")</f>
        <v>BZX84-A20215</v>
      </c>
      <c r="B17160" s="3" t="s">
        <v>93</v>
      </c>
      <c r="C17160" s="6">
        <v>59451</v>
      </c>
      <c r="D17160" s="7">
        <v>0.57999999999999996</v>
      </c>
    </row>
    <row r="17161" spans="1:4" x14ac:dyDescent="0.25">
      <c r="A17161" t="str">
        <f>HYPERLINK("https://www.773grp.com/globalSearch/BZX84-A27215/page-1", "BZX84-A27215")</f>
        <v>BZX84-A27215</v>
      </c>
      <c r="B17161" s="3" t="s">
        <v>93</v>
      </c>
      <c r="C17161" s="6">
        <v>9000</v>
      </c>
      <c r="D17161" s="7">
        <v>0.57999999999999996</v>
      </c>
    </row>
    <row r="17162" spans="1:4" x14ac:dyDescent="0.25">
      <c r="A17162" t="str">
        <f>HYPERLINK("https://www.773grp.com/globalSearch/BZX84-A2V4215/page-1", "BZX84-A2V4215")</f>
        <v>BZX84-A2V4215</v>
      </c>
      <c r="B17162" s="3" t="s">
        <v>93</v>
      </c>
      <c r="C17162" s="6">
        <v>6000</v>
      </c>
      <c r="D17162" s="7">
        <v>0.57999999999999996</v>
      </c>
    </row>
    <row r="17163" spans="1:4" x14ac:dyDescent="0.25">
      <c r="A17163" t="str">
        <f>HYPERLINK("https://www.773grp.com/globalSearch/BZX84-A2V7215/page-1", "BZX84-A2V7215")</f>
        <v>BZX84-A2V7215</v>
      </c>
      <c r="B17163" s="3" t="s">
        <v>93</v>
      </c>
      <c r="C17163" s="6">
        <v>15250</v>
      </c>
      <c r="D17163" s="7">
        <v>0.57999999999999996</v>
      </c>
    </row>
    <row r="17164" spans="1:4" x14ac:dyDescent="0.25">
      <c r="A17164" t="str">
        <f>HYPERLINK("https://www.773grp.com/globalSearch/BZX84-A36215/page-1", "BZX84-A36215")</f>
        <v>BZX84-A36215</v>
      </c>
      <c r="B17164" s="3" t="s">
        <v>93</v>
      </c>
      <c r="C17164" s="6">
        <v>9000</v>
      </c>
      <c r="D17164" s="7">
        <v>0.57999999999999996</v>
      </c>
    </row>
    <row r="17165" spans="1:4" x14ac:dyDescent="0.25">
      <c r="A17165" t="str">
        <f>HYPERLINK("https://www.773grp.com/globalSearch/BZX84-A3V0215/page-1", "BZX84-A3V0215")</f>
        <v>BZX84-A3V0215</v>
      </c>
      <c r="B17165" s="3" t="s">
        <v>93</v>
      </c>
      <c r="C17165" s="6">
        <v>5747</v>
      </c>
      <c r="D17165" s="7">
        <v>0.57999999999999996</v>
      </c>
    </row>
    <row r="17166" spans="1:4" x14ac:dyDescent="0.25">
      <c r="A17166" t="str">
        <f>HYPERLINK("https://www.773grp.com/globalSearch/BZX84-A3V3215/page-1", "BZX84-A3V3215")</f>
        <v>BZX84-A3V3215</v>
      </c>
      <c r="B17166" s="3" t="s">
        <v>93</v>
      </c>
      <c r="C17166" s="6">
        <v>1270</v>
      </c>
      <c r="D17166" s="7">
        <v>0.57999999999999996</v>
      </c>
    </row>
    <row r="17167" spans="1:4" x14ac:dyDescent="0.25">
      <c r="A17167" t="str">
        <f>HYPERLINK("https://www.773grp.com/globalSearch/BZX84-A3V6215/page-1", "BZX84-A3V6215")</f>
        <v>BZX84-A3V6215</v>
      </c>
      <c r="B17167" s="3" t="s">
        <v>93</v>
      </c>
      <c r="C17167" s="6">
        <v>306000</v>
      </c>
      <c r="D17167" s="7">
        <v>0.57999999999999996</v>
      </c>
    </row>
    <row r="17168" spans="1:4" x14ac:dyDescent="0.25">
      <c r="A17168" t="str">
        <f>HYPERLINK("https://www.773grp.com/globalSearch/BZX84-A3V9215/page-1", "BZX84-A3V9215")</f>
        <v>BZX84-A3V9215</v>
      </c>
      <c r="B17168" s="3" t="s">
        <v>93</v>
      </c>
      <c r="C17168" s="6">
        <v>17400</v>
      </c>
      <c r="D17168" s="7">
        <v>0.57999999999999996</v>
      </c>
    </row>
    <row r="17169" spans="1:4" x14ac:dyDescent="0.25">
      <c r="A17169" t="str">
        <f>HYPERLINK("https://www.773grp.com/globalSearch/BZX84-A4V3215/page-1", "BZX84-A4V3215")</f>
        <v>BZX84-A4V3215</v>
      </c>
      <c r="B17169" s="3" t="s">
        <v>93</v>
      </c>
      <c r="C17169" s="6">
        <v>9000</v>
      </c>
      <c r="D17169" s="7">
        <v>0.57999999999999996</v>
      </c>
    </row>
    <row r="17170" spans="1:4" x14ac:dyDescent="0.25">
      <c r="A17170" t="str">
        <f>HYPERLINK("https://www.773grp.com/globalSearch/BZX84-A4V7215/page-1", "BZX84-A4V7215")</f>
        <v>BZX84-A4V7215</v>
      </c>
      <c r="B17170" s="3" t="s">
        <v>93</v>
      </c>
      <c r="C17170" s="6">
        <v>39000</v>
      </c>
      <c r="D17170" s="7">
        <v>0.57999999999999996</v>
      </c>
    </row>
    <row r="17171" spans="1:4" x14ac:dyDescent="0.25">
      <c r="A17171" t="str">
        <f>HYPERLINK("https://www.773grp.com/globalSearch/BZX84-A51215/page-1", "BZX84-A51215")</f>
        <v>BZX84-A51215</v>
      </c>
      <c r="B17171" s="3" t="s">
        <v>93</v>
      </c>
      <c r="C17171" s="6">
        <v>6000</v>
      </c>
      <c r="D17171" s="7">
        <v>0.57999999999999996</v>
      </c>
    </row>
    <row r="17172" spans="1:4" x14ac:dyDescent="0.25">
      <c r="A17172" t="str">
        <f>HYPERLINK("https://www.773grp.com/globalSearch/BZX84-A5V1215/page-1", "BZX84-A5V1215")</f>
        <v>BZX84-A5V1215</v>
      </c>
      <c r="B17172" s="3" t="s">
        <v>93</v>
      </c>
      <c r="C17172" s="6">
        <v>15000</v>
      </c>
      <c r="D17172" s="7">
        <v>0.57999999999999996</v>
      </c>
    </row>
    <row r="17173" spans="1:4" x14ac:dyDescent="0.25">
      <c r="A17173" t="str">
        <f>HYPERLINK("https://www.773grp.com/globalSearch/BZX84-A5V6215/page-1", "BZX84-A5V6215")</f>
        <v>BZX84-A5V6215</v>
      </c>
      <c r="B17173" s="3" t="s">
        <v>93</v>
      </c>
      <c r="C17173" s="6">
        <v>15000</v>
      </c>
      <c r="D17173" s="7">
        <v>0.57999999999999996</v>
      </c>
    </row>
    <row r="17174" spans="1:4" x14ac:dyDescent="0.25">
      <c r="A17174" t="str">
        <f>HYPERLINK("https://www.773grp.com/globalSearch/BZX84-A6V2215/page-1", "BZX84-A6V2215")</f>
        <v>BZX84-A6V2215</v>
      </c>
      <c r="B17174" s="3" t="s">
        <v>93</v>
      </c>
      <c r="C17174" s="6">
        <v>6000</v>
      </c>
      <c r="D17174" s="7">
        <v>0.57999999999999996</v>
      </c>
    </row>
    <row r="17175" spans="1:4" x14ac:dyDescent="0.25">
      <c r="A17175" t="str">
        <f>HYPERLINK("https://www.773grp.com/globalSearch/BZX84-A6V8215/page-1", "BZX84-A6V8215")</f>
        <v>BZX84-A6V8215</v>
      </c>
      <c r="B17175" s="3" t="s">
        <v>93</v>
      </c>
      <c r="C17175" s="6">
        <v>36255</v>
      </c>
      <c r="D17175" s="7">
        <v>0.57999999999999996</v>
      </c>
    </row>
    <row r="17176" spans="1:4" x14ac:dyDescent="0.25">
      <c r="A17176" t="str">
        <f>HYPERLINK("https://www.773grp.com/globalSearch/BZX84-A7V5215/page-1", "BZX84-A7V5215")</f>
        <v>BZX84-A7V5215</v>
      </c>
      <c r="B17176" s="3" t="s">
        <v>93</v>
      </c>
      <c r="C17176" s="6">
        <v>6240</v>
      </c>
      <c r="D17176" s="7">
        <v>0.57999999999999996</v>
      </c>
    </row>
    <row r="17177" spans="1:4" x14ac:dyDescent="0.25">
      <c r="A17177" t="str">
        <f>HYPERLINK("https://www.773grp.com/globalSearch/BZX84-A8V2215/page-1", "BZX84-A8V2215")</f>
        <v>BZX84-A8V2215</v>
      </c>
      <c r="B17177" s="3" t="s">
        <v>93</v>
      </c>
      <c r="C17177" s="6">
        <v>6000</v>
      </c>
      <c r="D17177" s="7">
        <v>0.57999999999999996</v>
      </c>
    </row>
    <row r="17178" spans="1:4" x14ac:dyDescent="0.25">
      <c r="A17178" t="str">
        <f>HYPERLINK("https://www.773grp.com/globalSearch/BZX84-A9V1215/page-1", "BZX84-A9V1215")</f>
        <v>BZX84-A9V1215</v>
      </c>
      <c r="B17178" s="3" t="s">
        <v>93</v>
      </c>
      <c r="C17178" s="6">
        <v>11548</v>
      </c>
      <c r="D17178" s="7">
        <v>0.57999999999999996</v>
      </c>
    </row>
    <row r="17179" spans="1:4" x14ac:dyDescent="0.25">
      <c r="A17179" t="str">
        <f>HYPERLINK("https://www.773grp.com/globalSearch/CBT3245ABQ115/page-1", "CBT3245ABQ115")</f>
        <v>CBT3245ABQ115</v>
      </c>
      <c r="B17179" s="3" t="s">
        <v>93</v>
      </c>
      <c r="C17179" s="6">
        <v>289</v>
      </c>
      <c r="D17179" s="7">
        <v>0.57999999999999996</v>
      </c>
    </row>
    <row r="17180" spans="1:4" x14ac:dyDescent="0.25">
      <c r="A17180" t="str">
        <f>HYPERLINK("https://www.773grp.com/globalSearch/HEC40106BT118/page-1", "HEC40106BT118")</f>
        <v>HEC40106BT118</v>
      </c>
      <c r="B17180" s="3" t="s">
        <v>93</v>
      </c>
      <c r="C17180" s="6">
        <v>150</v>
      </c>
      <c r="D17180" s="7">
        <v>0.57999999999999996</v>
      </c>
    </row>
    <row r="17181" spans="1:4" x14ac:dyDescent="0.25">
      <c r="A17181" t="str">
        <f>HYPERLINK("https://www.773grp.com/globalSearch/HEC4013BT118/page-1", "HEC4013BT118")</f>
        <v>HEC4013BT118</v>
      </c>
      <c r="B17181" s="3" t="s">
        <v>93</v>
      </c>
      <c r="C17181" s="6">
        <v>2500</v>
      </c>
      <c r="D17181" s="7">
        <v>0.57999999999999996</v>
      </c>
    </row>
    <row r="17182" spans="1:4" x14ac:dyDescent="0.25">
      <c r="A17182" t="str">
        <f>HYPERLINK("https://www.773grp.com/globalSearch/HEF40106BTT118/page-1", "HEF40106BTT118")</f>
        <v>HEF40106BTT118</v>
      </c>
      <c r="B17182" s="3" t="s">
        <v>93</v>
      </c>
      <c r="C17182" s="6">
        <v>2500</v>
      </c>
      <c r="D17182" s="7">
        <v>0.57999999999999996</v>
      </c>
    </row>
    <row r="17183" spans="1:4" x14ac:dyDescent="0.25">
      <c r="A17183" t="str">
        <f>HYPERLINK("https://www.773grp.com/globalSearch/HEF4028BT653/page-1", "HEF4028BT653")</f>
        <v>HEF4028BT653</v>
      </c>
      <c r="B17183" s="3" t="s">
        <v>93</v>
      </c>
      <c r="C17183" s="6">
        <v>7500</v>
      </c>
      <c r="D17183" s="7">
        <v>0.57999999999999996</v>
      </c>
    </row>
    <row r="17184" spans="1:4" x14ac:dyDescent="0.25">
      <c r="A17184" t="str">
        <f>HYPERLINK("https://www.773grp.com/globalSearch/HEF4040BT653/page-1", "HEF4040BT653")</f>
        <v>HEF4040BT653</v>
      </c>
      <c r="B17184" s="3" t="s">
        <v>93</v>
      </c>
      <c r="C17184" s="6">
        <v>25000</v>
      </c>
      <c r="D17184" s="7">
        <v>0.57999999999999996</v>
      </c>
    </row>
    <row r="17185" spans="1:4" x14ac:dyDescent="0.25">
      <c r="A17185" t="str">
        <f>HYPERLINK("https://www.773grp.com/globalSearch/HEF4044BT652/page-1", "HEF4044BT652")</f>
        <v>HEF4044BT652</v>
      </c>
      <c r="B17185" s="3" t="s">
        <v>93</v>
      </c>
      <c r="C17185" s="6">
        <v>13725</v>
      </c>
      <c r="D17185" s="7">
        <v>0.57999999999999996</v>
      </c>
    </row>
    <row r="17186" spans="1:4" x14ac:dyDescent="0.25">
      <c r="A17186" t="str">
        <f>HYPERLINK("https://www.773grp.com/globalSearch/HEF4044BT653/page-1", "HEF4044BT653")</f>
        <v>HEF4044BT653</v>
      </c>
      <c r="B17186" s="3" t="s">
        <v>93</v>
      </c>
      <c r="C17186" s="6">
        <v>130</v>
      </c>
      <c r="D17186" s="7">
        <v>0.57999999999999996</v>
      </c>
    </row>
    <row r="17187" spans="1:4" x14ac:dyDescent="0.25">
      <c r="A17187" t="str">
        <f>HYPERLINK("https://www.773grp.com/globalSearch/HEF4049BT652/page-1", "HEF4049BT652")</f>
        <v>HEF4049BT652</v>
      </c>
      <c r="B17187" s="3" t="s">
        <v>93</v>
      </c>
      <c r="C17187" s="6">
        <v>2298</v>
      </c>
      <c r="D17187" s="7">
        <v>0.57999999999999996</v>
      </c>
    </row>
    <row r="17188" spans="1:4" x14ac:dyDescent="0.25">
      <c r="A17188" t="str">
        <f>HYPERLINK("https://www.773grp.com/globalSearch/HEF4051BT652/page-1", "HEF4051BT652")</f>
        <v>HEF4051BT652</v>
      </c>
      <c r="B17188" s="3" t="s">
        <v>93</v>
      </c>
      <c r="C17188" s="6">
        <v>4690</v>
      </c>
      <c r="D17188" s="7">
        <v>0.57999999999999996</v>
      </c>
    </row>
    <row r="17189" spans="1:4" x14ac:dyDescent="0.25">
      <c r="A17189" t="str">
        <f>HYPERLINK("https://www.773grp.com/globalSearch/HEF4051BT653/page-1", "HEF4051BT653")</f>
        <v>HEF4051BT653</v>
      </c>
      <c r="B17189" s="3" t="s">
        <v>93</v>
      </c>
      <c r="C17189" s="6">
        <v>2500</v>
      </c>
      <c r="D17189" s="7">
        <v>0.57999999999999996</v>
      </c>
    </row>
    <row r="17190" spans="1:4" x14ac:dyDescent="0.25">
      <c r="A17190" t="str">
        <f>HYPERLINK("https://www.773grp.com/globalSearch/HEF4052BT652/page-1", "HEF4052BT652")</f>
        <v>HEF4052BT652</v>
      </c>
      <c r="B17190" s="3" t="s">
        <v>93</v>
      </c>
      <c r="C17190" s="6">
        <v>14438</v>
      </c>
      <c r="D17190" s="7">
        <v>0.57999999999999996</v>
      </c>
    </row>
    <row r="17191" spans="1:4" x14ac:dyDescent="0.25">
      <c r="A17191" t="str">
        <f>HYPERLINK("https://www.773grp.com/globalSearch/HEF4052BT653/page-1", "HEF4052BT653")</f>
        <v>HEF4052BT653</v>
      </c>
      <c r="B17191" s="3" t="s">
        <v>93</v>
      </c>
      <c r="C17191" s="6">
        <v>50000</v>
      </c>
      <c r="D17191" s="7">
        <v>0.57999999999999996</v>
      </c>
    </row>
    <row r="17192" spans="1:4" x14ac:dyDescent="0.25">
      <c r="A17192" t="str">
        <f>HYPERLINK("https://www.773grp.com/globalSearch/HEF4094BT652/page-1", "HEF4094BT652")</f>
        <v>HEF4094BT652</v>
      </c>
      <c r="B17192" s="3" t="s">
        <v>93</v>
      </c>
      <c r="C17192" s="6">
        <v>8400</v>
      </c>
      <c r="D17192" s="7">
        <v>0.57999999999999996</v>
      </c>
    </row>
    <row r="17193" spans="1:4" x14ac:dyDescent="0.25">
      <c r="A17193" t="str">
        <f>HYPERLINK("https://www.773grp.com/globalSearch/HEF4094BT653/page-1", "HEF4094BT653")</f>
        <v>HEF4094BT653</v>
      </c>
      <c r="B17193" s="3" t="s">
        <v>93</v>
      </c>
      <c r="C17193" s="6">
        <v>4512</v>
      </c>
      <c r="D17193" s="7">
        <v>0.57999999999999996</v>
      </c>
    </row>
    <row r="17194" spans="1:4" x14ac:dyDescent="0.25">
      <c r="A17194" t="str">
        <f>HYPERLINK("https://www.773grp.com/globalSearch/HEF4094BTS118/page-1", "HEF4094BTS118")</f>
        <v>HEF4094BTS118</v>
      </c>
      <c r="B17194" s="3" t="s">
        <v>93</v>
      </c>
      <c r="C17194" s="6">
        <v>8150</v>
      </c>
      <c r="D17194" s="7">
        <v>0.57999999999999996</v>
      </c>
    </row>
    <row r="17195" spans="1:4" x14ac:dyDescent="0.25">
      <c r="A17195" t="str">
        <f>HYPERLINK("https://www.773grp.com/globalSearch/IP4064CX8-LF-P135/page-1", "IP4064CX8-LF-P135")</f>
        <v>IP4064CX8-LF-P135</v>
      </c>
      <c r="B17195" s="3" t="s">
        <v>93</v>
      </c>
      <c r="C17195" s="6">
        <v>9000</v>
      </c>
      <c r="D17195" s="7">
        <v>0.57999999999999996</v>
      </c>
    </row>
    <row r="17196" spans="1:4" x14ac:dyDescent="0.25">
      <c r="A17196" t="str">
        <f>HYPERLINK("https://www.773grp.com/globalSearch/LD6806F-12P115/page-1", "LD6806F-12P115")</f>
        <v>LD6806F-12P115</v>
      </c>
      <c r="B17196" s="3" t="s">
        <v>93</v>
      </c>
      <c r="C17196" s="6">
        <v>5000</v>
      </c>
      <c r="D17196" s="7">
        <v>0.57999999999999996</v>
      </c>
    </row>
    <row r="17197" spans="1:4" x14ac:dyDescent="0.25">
      <c r="A17197" t="str">
        <f>HYPERLINK("https://www.773grp.com/globalSearch/LD6806F-13H115/page-1", "LD6806F-13H115")</f>
        <v>LD6806F-13H115</v>
      </c>
      <c r="B17197" s="3" t="s">
        <v>93</v>
      </c>
      <c r="C17197" s="6">
        <v>16048</v>
      </c>
      <c r="D17197" s="7">
        <v>0.57999999999999996</v>
      </c>
    </row>
    <row r="17198" spans="1:4" x14ac:dyDescent="0.25">
      <c r="A17198" t="str">
        <f>HYPERLINK("https://www.773grp.com/globalSearch/LD6806F-13P115/page-1", "LD6806F-13P115")</f>
        <v>LD6806F-13P115</v>
      </c>
      <c r="B17198" s="3" t="s">
        <v>93</v>
      </c>
      <c r="C17198" s="6">
        <v>5000</v>
      </c>
      <c r="D17198" s="7">
        <v>0.57999999999999996</v>
      </c>
    </row>
    <row r="17199" spans="1:4" x14ac:dyDescent="0.25">
      <c r="A17199" t="str">
        <f>HYPERLINK("https://www.773grp.com/globalSearch/LD6806F-14H115/page-1", "LD6806F-14H115")</f>
        <v>LD6806F-14H115</v>
      </c>
      <c r="B17199" s="3" t="s">
        <v>93</v>
      </c>
      <c r="C17199" s="6">
        <v>256</v>
      </c>
      <c r="D17199" s="7">
        <v>0.57999999999999996</v>
      </c>
    </row>
    <row r="17200" spans="1:4" x14ac:dyDescent="0.25">
      <c r="A17200" t="str">
        <f>HYPERLINK("https://www.773grp.com/globalSearch/LD6806F-14P115/page-1", "LD6806F-14P115")</f>
        <v>LD6806F-14P115</v>
      </c>
      <c r="B17200" s="3" t="s">
        <v>93</v>
      </c>
      <c r="C17200" s="6">
        <v>5000</v>
      </c>
      <c r="D17200" s="7">
        <v>0.57999999999999996</v>
      </c>
    </row>
    <row r="17201" spans="1:4" x14ac:dyDescent="0.25">
      <c r="A17201" t="str">
        <f>HYPERLINK("https://www.773grp.com/globalSearch/LD6806F-16H115/page-1", "LD6806F-16H115")</f>
        <v>LD6806F-16H115</v>
      </c>
      <c r="B17201" s="3" t="s">
        <v>93</v>
      </c>
      <c r="C17201" s="6">
        <v>394</v>
      </c>
      <c r="D17201" s="7">
        <v>0.57999999999999996</v>
      </c>
    </row>
    <row r="17202" spans="1:4" x14ac:dyDescent="0.25">
      <c r="A17202" t="str">
        <f>HYPERLINK("https://www.773grp.com/globalSearch/LD6806F-16P115/page-1", "LD6806F-16P115")</f>
        <v>LD6806F-16P115</v>
      </c>
      <c r="B17202" s="3" t="s">
        <v>93</v>
      </c>
      <c r="C17202" s="6">
        <v>5000</v>
      </c>
      <c r="D17202" s="7">
        <v>0.57999999999999996</v>
      </c>
    </row>
    <row r="17203" spans="1:4" x14ac:dyDescent="0.25">
      <c r="A17203" t="str">
        <f>HYPERLINK("https://www.773grp.com/globalSearch/LD6806F-18H115/page-1", "LD6806F-18H115")</f>
        <v>LD6806F-18H115</v>
      </c>
      <c r="B17203" s="3" t="s">
        <v>93</v>
      </c>
      <c r="C17203" s="6">
        <v>9685</v>
      </c>
      <c r="D17203" s="7">
        <v>0.57999999999999996</v>
      </c>
    </row>
    <row r="17204" spans="1:4" x14ac:dyDescent="0.25">
      <c r="A17204" t="str">
        <f>HYPERLINK("https://www.773grp.com/globalSearch/LD6806F-18P115/page-1", "LD6806F-18P115")</f>
        <v>LD6806F-18P115</v>
      </c>
      <c r="B17204" s="3" t="s">
        <v>93</v>
      </c>
      <c r="C17204" s="6">
        <v>3990</v>
      </c>
      <c r="D17204" s="7">
        <v>0.57999999999999996</v>
      </c>
    </row>
    <row r="17205" spans="1:4" x14ac:dyDescent="0.25">
      <c r="A17205" t="str">
        <f>HYPERLINK("https://www.773grp.com/globalSearch/LD6806F-20H115/page-1", "LD6806F-20H115")</f>
        <v>LD6806F-20H115</v>
      </c>
      <c r="B17205" s="3" t="s">
        <v>93</v>
      </c>
      <c r="C17205" s="6">
        <v>567</v>
      </c>
      <c r="D17205" s="7">
        <v>0.57999999999999996</v>
      </c>
    </row>
    <row r="17206" spans="1:4" x14ac:dyDescent="0.25">
      <c r="A17206" t="str">
        <f>HYPERLINK("https://www.773grp.com/globalSearch/LD6806F-20P115/page-1", "LD6806F-20P115")</f>
        <v>LD6806F-20P115</v>
      </c>
      <c r="B17206" s="3" t="s">
        <v>93</v>
      </c>
      <c r="C17206" s="6">
        <v>5000</v>
      </c>
      <c r="D17206" s="7">
        <v>0.57999999999999996</v>
      </c>
    </row>
    <row r="17207" spans="1:4" x14ac:dyDescent="0.25">
      <c r="A17207" t="str">
        <f>HYPERLINK("https://www.773grp.com/globalSearch/LD6806F-22H115/page-1", "LD6806F-22H115")</f>
        <v>LD6806F-22H115</v>
      </c>
      <c r="B17207" s="3" t="s">
        <v>93</v>
      </c>
      <c r="C17207" s="6">
        <v>388</v>
      </c>
      <c r="D17207" s="7">
        <v>0.57999999999999996</v>
      </c>
    </row>
    <row r="17208" spans="1:4" x14ac:dyDescent="0.25">
      <c r="A17208" t="str">
        <f>HYPERLINK("https://www.773grp.com/globalSearch/LD6806F-22P115/page-1", "LD6806F-22P115")</f>
        <v>LD6806F-22P115</v>
      </c>
      <c r="B17208" s="3" t="s">
        <v>93</v>
      </c>
      <c r="C17208" s="6">
        <v>5000</v>
      </c>
      <c r="D17208" s="7">
        <v>0.57999999999999996</v>
      </c>
    </row>
    <row r="17209" spans="1:4" x14ac:dyDescent="0.25">
      <c r="A17209" t="str">
        <f>HYPERLINK("https://www.773grp.com/globalSearch/LD6806F-23H115/page-1", "LD6806F-23H115")</f>
        <v>LD6806F-23H115</v>
      </c>
      <c r="B17209" s="3" t="s">
        <v>93</v>
      </c>
      <c r="C17209" s="6">
        <v>15985</v>
      </c>
      <c r="D17209" s="7">
        <v>0.57999999999999996</v>
      </c>
    </row>
    <row r="17210" spans="1:4" x14ac:dyDescent="0.25">
      <c r="A17210" t="str">
        <f>HYPERLINK("https://www.773grp.com/globalSearch/LD6806F-23P115/page-1", "LD6806F-23P115")</f>
        <v>LD6806F-23P115</v>
      </c>
      <c r="B17210" s="3" t="s">
        <v>93</v>
      </c>
      <c r="C17210" s="6">
        <v>5000</v>
      </c>
      <c r="D17210" s="7">
        <v>0.57999999999999996</v>
      </c>
    </row>
    <row r="17211" spans="1:4" x14ac:dyDescent="0.25">
      <c r="A17211" t="str">
        <f>HYPERLINK("https://www.773grp.com/globalSearch/LD6806F-25H115/page-1", "LD6806F-25H115")</f>
        <v>LD6806F-25H115</v>
      </c>
      <c r="B17211" s="3" t="s">
        <v>93</v>
      </c>
      <c r="C17211" s="6">
        <v>200</v>
      </c>
      <c r="D17211" s="7">
        <v>0.57999999999999996</v>
      </c>
    </row>
    <row r="17212" spans="1:4" x14ac:dyDescent="0.25">
      <c r="A17212" t="str">
        <f>HYPERLINK("https://www.773grp.com/globalSearch/LD6806F-25P115/page-1", "LD6806F-25P115")</f>
        <v>LD6806F-25P115</v>
      </c>
      <c r="B17212" s="3" t="s">
        <v>93</v>
      </c>
      <c r="C17212" s="6">
        <v>5000</v>
      </c>
      <c r="D17212" s="7">
        <v>0.57999999999999996</v>
      </c>
    </row>
    <row r="17213" spans="1:4" x14ac:dyDescent="0.25">
      <c r="A17213" t="str">
        <f>HYPERLINK("https://www.773grp.com/globalSearch/LD6806F-27P115/page-1", "LD6806F-27P115")</f>
        <v>LD6806F-27P115</v>
      </c>
      <c r="B17213" s="3" t="s">
        <v>93</v>
      </c>
      <c r="C17213" s="6">
        <v>5000</v>
      </c>
      <c r="D17213" s="7">
        <v>0.57999999999999996</v>
      </c>
    </row>
    <row r="17214" spans="1:4" x14ac:dyDescent="0.25">
      <c r="A17214" t="str">
        <f>HYPERLINK("https://www.773grp.com/globalSearch/LD6806F-28H115/page-1", "LD6806F-28H115")</f>
        <v>LD6806F-28H115</v>
      </c>
      <c r="B17214" s="3" t="s">
        <v>93</v>
      </c>
      <c r="C17214" s="6">
        <v>9751</v>
      </c>
      <c r="D17214" s="7">
        <v>0.57999999999999996</v>
      </c>
    </row>
    <row r="17215" spans="1:4" x14ac:dyDescent="0.25">
      <c r="A17215" t="str">
        <f>HYPERLINK("https://www.773grp.com/globalSearch/LD6806F-28P115/page-1", "LD6806F-28P115")</f>
        <v>LD6806F-28P115</v>
      </c>
      <c r="B17215" s="3" t="s">
        <v>93</v>
      </c>
      <c r="C17215" s="6">
        <v>5000</v>
      </c>
      <c r="D17215" s="7">
        <v>0.57999999999999996</v>
      </c>
    </row>
    <row r="17216" spans="1:4" x14ac:dyDescent="0.25">
      <c r="A17216" t="str">
        <f>HYPERLINK("https://www.773grp.com/globalSearch/LD6806F-29P115/page-1", "LD6806F-29P115")</f>
        <v>LD6806F-29P115</v>
      </c>
      <c r="B17216" s="3" t="s">
        <v>93</v>
      </c>
      <c r="C17216" s="6">
        <v>5000</v>
      </c>
      <c r="D17216" s="7">
        <v>0.57999999999999996</v>
      </c>
    </row>
    <row r="17217" spans="1:4" x14ac:dyDescent="0.25">
      <c r="A17217" t="str">
        <f>HYPERLINK("https://www.773grp.com/globalSearch/LD6806F-30P115/page-1", "LD6806F-30P115")</f>
        <v>LD6806F-30P115</v>
      </c>
      <c r="B17217" s="3" t="s">
        <v>93</v>
      </c>
      <c r="C17217" s="6">
        <v>5000</v>
      </c>
      <c r="D17217" s="7">
        <v>0.57999999999999996</v>
      </c>
    </row>
    <row r="17218" spans="1:4" x14ac:dyDescent="0.25">
      <c r="A17218" t="str">
        <f>HYPERLINK("https://www.773grp.com/globalSearch/LD6806F-33H115/page-1", "LD6806F-33H115")</f>
        <v>LD6806F-33H115</v>
      </c>
      <c r="B17218" s="3" t="s">
        <v>93</v>
      </c>
      <c r="C17218" s="6">
        <v>5210</v>
      </c>
      <c r="D17218" s="7">
        <v>0.57999999999999996</v>
      </c>
    </row>
    <row r="17219" spans="1:4" x14ac:dyDescent="0.25">
      <c r="A17219" t="str">
        <f>HYPERLINK("https://www.773grp.com/globalSearch/LD6806F-33P115/page-1", "LD6806F-33P115")</f>
        <v>LD6806F-33P115</v>
      </c>
      <c r="B17219" s="3" t="s">
        <v>93</v>
      </c>
      <c r="C17219" s="6">
        <v>5000</v>
      </c>
      <c r="D17219" s="7">
        <v>0.57999999999999996</v>
      </c>
    </row>
    <row r="17220" spans="1:4" x14ac:dyDescent="0.25">
      <c r="A17220" t="str">
        <f>HYPERLINK("https://www.773grp.com/globalSearch/LD6806F-36P115/page-1", "LD6806F-36P115")</f>
        <v>LD6806F-36P115</v>
      </c>
      <c r="B17220" s="3" t="s">
        <v>93</v>
      </c>
      <c r="C17220" s="6">
        <v>5000</v>
      </c>
      <c r="D17220" s="7">
        <v>0.57999999999999996</v>
      </c>
    </row>
    <row r="17221" spans="1:4" x14ac:dyDescent="0.25">
      <c r="A17221" t="str">
        <f>HYPERLINK("https://www.773grp.com/globalSearch/LD6806TD-12H125/page-1", "LD6806TD-12H125")</f>
        <v>LD6806TD-12H125</v>
      </c>
      <c r="B17221" s="3" t="s">
        <v>93</v>
      </c>
      <c r="C17221" s="6">
        <v>15302</v>
      </c>
      <c r="D17221" s="7">
        <v>0.57999999999999996</v>
      </c>
    </row>
    <row r="17222" spans="1:4" x14ac:dyDescent="0.25">
      <c r="A17222" t="str">
        <f>HYPERLINK("https://www.773grp.com/globalSearch/LD6806TD-12P125/page-1", "LD6806TD-12P125")</f>
        <v>LD6806TD-12P125</v>
      </c>
      <c r="B17222" s="3" t="s">
        <v>93</v>
      </c>
      <c r="C17222" s="6">
        <v>6000</v>
      </c>
      <c r="D17222" s="7">
        <v>0.57999999999999996</v>
      </c>
    </row>
    <row r="17223" spans="1:4" x14ac:dyDescent="0.25">
      <c r="A17223" t="str">
        <f>HYPERLINK("https://www.773grp.com/globalSearch/LD6806TD-13H125/page-1", "LD6806TD-13H125")</f>
        <v>LD6806TD-13H125</v>
      </c>
      <c r="B17223" s="3" t="s">
        <v>93</v>
      </c>
      <c r="C17223" s="6">
        <v>6000</v>
      </c>
      <c r="D17223" s="7">
        <v>0.57999999999999996</v>
      </c>
    </row>
    <row r="17224" spans="1:4" x14ac:dyDescent="0.25">
      <c r="A17224" t="str">
        <f>HYPERLINK("https://www.773grp.com/globalSearch/LD6806TD-13P125/page-1", "LD6806TD-13P125")</f>
        <v>LD6806TD-13P125</v>
      </c>
      <c r="B17224" s="3" t="s">
        <v>93</v>
      </c>
      <c r="C17224" s="6">
        <v>3000</v>
      </c>
      <c r="D17224" s="7">
        <v>0.57999999999999996</v>
      </c>
    </row>
    <row r="17225" spans="1:4" x14ac:dyDescent="0.25">
      <c r="A17225" t="str">
        <f>HYPERLINK("https://www.773grp.com/globalSearch/LD6806TD-14H125/page-1", "LD6806TD-14H125")</f>
        <v>LD6806TD-14H125</v>
      </c>
      <c r="B17225" s="3" t="s">
        <v>93</v>
      </c>
      <c r="C17225" s="6">
        <v>9000</v>
      </c>
      <c r="D17225" s="7">
        <v>0.57999999999999996</v>
      </c>
    </row>
    <row r="17226" spans="1:4" x14ac:dyDescent="0.25">
      <c r="A17226" t="str">
        <f>HYPERLINK("https://www.773grp.com/globalSearch/LD6806TD-14P125/page-1", "LD6806TD-14P125")</f>
        <v>LD6806TD-14P125</v>
      </c>
      <c r="B17226" s="3" t="s">
        <v>93</v>
      </c>
      <c r="C17226" s="6">
        <v>9000</v>
      </c>
      <c r="D17226" s="7">
        <v>0.57999999999999996</v>
      </c>
    </row>
    <row r="17227" spans="1:4" x14ac:dyDescent="0.25">
      <c r="A17227" t="str">
        <f>HYPERLINK("https://www.773grp.com/globalSearch/LD6806TD-16H125/page-1", "LD6806TD-16H125")</f>
        <v>LD6806TD-16H125</v>
      </c>
      <c r="B17227" s="3" t="s">
        <v>93</v>
      </c>
      <c r="C17227" s="6">
        <v>9000</v>
      </c>
      <c r="D17227" s="7">
        <v>0.57999999999999996</v>
      </c>
    </row>
    <row r="17228" spans="1:4" x14ac:dyDescent="0.25">
      <c r="A17228" t="str">
        <f>HYPERLINK("https://www.773grp.com/globalSearch/LD6806TD-16P125/page-1", "LD6806TD-16P125")</f>
        <v>LD6806TD-16P125</v>
      </c>
      <c r="B17228" s="3" t="s">
        <v>93</v>
      </c>
      <c r="C17228" s="6">
        <v>9000</v>
      </c>
      <c r="D17228" s="7">
        <v>0.57999999999999996</v>
      </c>
    </row>
    <row r="17229" spans="1:4" x14ac:dyDescent="0.25">
      <c r="A17229" t="str">
        <f>HYPERLINK("https://www.773grp.com/globalSearch/LD6806TD-18H125/page-1", "LD6806TD-18H125")</f>
        <v>LD6806TD-18H125</v>
      </c>
      <c r="B17229" s="3" t="s">
        <v>93</v>
      </c>
      <c r="C17229" s="6">
        <v>14303</v>
      </c>
      <c r="D17229" s="7">
        <v>0.57999999999999996</v>
      </c>
    </row>
    <row r="17230" spans="1:4" x14ac:dyDescent="0.25">
      <c r="A17230" t="str">
        <f>HYPERLINK("https://www.773grp.com/globalSearch/LD6806TD-18P125/page-1", "LD6806TD-18P125")</f>
        <v>LD6806TD-18P125</v>
      </c>
      <c r="B17230" s="3" t="s">
        <v>93</v>
      </c>
      <c r="C17230" s="6">
        <v>9000</v>
      </c>
      <c r="D17230" s="7">
        <v>0.57999999999999996</v>
      </c>
    </row>
    <row r="17231" spans="1:4" x14ac:dyDescent="0.25">
      <c r="A17231" t="str">
        <f>HYPERLINK("https://www.773grp.com/globalSearch/LD6806TD-20H125/page-1", "LD6806TD-20H125")</f>
        <v>LD6806TD-20H125</v>
      </c>
      <c r="B17231" s="3" t="s">
        <v>93</v>
      </c>
      <c r="C17231" s="6">
        <v>9000</v>
      </c>
      <c r="D17231" s="7">
        <v>0.57999999999999996</v>
      </c>
    </row>
    <row r="17232" spans="1:4" x14ac:dyDescent="0.25">
      <c r="A17232" t="str">
        <f>HYPERLINK("https://www.773grp.com/globalSearch/LD6806TD-20P125/page-1", "LD6806TD-20P125")</f>
        <v>LD6806TD-20P125</v>
      </c>
      <c r="B17232" s="3" t="s">
        <v>93</v>
      </c>
      <c r="C17232" s="6">
        <v>9000</v>
      </c>
      <c r="D17232" s="7">
        <v>0.57999999999999996</v>
      </c>
    </row>
    <row r="17233" spans="1:4" x14ac:dyDescent="0.25">
      <c r="A17233" t="str">
        <f>HYPERLINK("https://www.773grp.com/globalSearch/LD6806TD-22H125/page-1", "LD6806TD-22H125")</f>
        <v>LD6806TD-22H125</v>
      </c>
      <c r="B17233" s="3" t="s">
        <v>93</v>
      </c>
      <c r="C17233" s="6">
        <v>9000</v>
      </c>
      <c r="D17233" s="7">
        <v>0.57999999999999996</v>
      </c>
    </row>
    <row r="17234" spans="1:4" x14ac:dyDescent="0.25">
      <c r="A17234" t="str">
        <f>HYPERLINK("https://www.773grp.com/globalSearch/LD6806TD-22P125/page-1", "LD6806TD-22P125")</f>
        <v>LD6806TD-22P125</v>
      </c>
      <c r="B17234" s="3" t="s">
        <v>93</v>
      </c>
      <c r="C17234" s="6">
        <v>9000</v>
      </c>
      <c r="D17234" s="7">
        <v>0.57999999999999996</v>
      </c>
    </row>
    <row r="17235" spans="1:4" x14ac:dyDescent="0.25">
      <c r="A17235" t="str">
        <f>HYPERLINK("https://www.773grp.com/globalSearch/LD6806TD-23H125/page-1", "LD6806TD-23H125")</f>
        <v>LD6806TD-23H125</v>
      </c>
      <c r="B17235" s="3" t="s">
        <v>93</v>
      </c>
      <c r="C17235" s="6">
        <v>6000</v>
      </c>
      <c r="D17235" s="7">
        <v>0.57999999999999996</v>
      </c>
    </row>
    <row r="17236" spans="1:4" x14ac:dyDescent="0.25">
      <c r="A17236" t="str">
        <f>HYPERLINK("https://www.773grp.com/globalSearch/LD6806TD-23P125/page-1", "LD6806TD-23P125")</f>
        <v>LD6806TD-23P125</v>
      </c>
      <c r="B17236" s="3" t="s">
        <v>93</v>
      </c>
      <c r="C17236" s="6">
        <v>9000</v>
      </c>
      <c r="D17236" s="7">
        <v>0.57999999999999996</v>
      </c>
    </row>
    <row r="17237" spans="1:4" x14ac:dyDescent="0.25">
      <c r="A17237" t="str">
        <f>HYPERLINK("https://www.773grp.com/globalSearch/LD6806TD-25H125/page-1", "LD6806TD-25H125")</f>
        <v>LD6806TD-25H125</v>
      </c>
      <c r="B17237" s="3" t="s">
        <v>93</v>
      </c>
      <c r="C17237" s="6">
        <v>18000</v>
      </c>
      <c r="D17237" s="7">
        <v>0.57999999999999996</v>
      </c>
    </row>
    <row r="17238" spans="1:4" x14ac:dyDescent="0.25">
      <c r="A17238" t="str">
        <f>HYPERLINK("https://www.773grp.com/globalSearch/LD6806TD-25P125/page-1", "LD6806TD-25P125")</f>
        <v>LD6806TD-25P125</v>
      </c>
      <c r="B17238" s="3" t="s">
        <v>93</v>
      </c>
      <c r="C17238" s="6">
        <v>6000</v>
      </c>
      <c r="D17238" s="7">
        <v>0.57999999999999996</v>
      </c>
    </row>
    <row r="17239" spans="1:4" x14ac:dyDescent="0.25">
      <c r="A17239" t="str">
        <f>HYPERLINK("https://www.773grp.com/globalSearch/LD6806TD-27H125/page-1", "LD6806TD-27H125")</f>
        <v>LD6806TD-27H125</v>
      </c>
      <c r="B17239" s="3" t="s">
        <v>93</v>
      </c>
      <c r="C17239" s="6">
        <v>9000</v>
      </c>
      <c r="D17239" s="7">
        <v>0.57999999999999996</v>
      </c>
    </row>
    <row r="17240" spans="1:4" x14ac:dyDescent="0.25">
      <c r="A17240" t="str">
        <f>HYPERLINK("https://www.773grp.com/globalSearch/LD6806TD-27P125/page-1", "LD6806TD-27P125")</f>
        <v>LD6806TD-27P125</v>
      </c>
      <c r="B17240" s="3" t="s">
        <v>93</v>
      </c>
      <c r="C17240" s="6">
        <v>9000</v>
      </c>
      <c r="D17240" s="7">
        <v>0.57999999999999996</v>
      </c>
    </row>
    <row r="17241" spans="1:4" x14ac:dyDescent="0.25">
      <c r="A17241" t="str">
        <f>HYPERLINK("https://www.773grp.com/globalSearch/LD6806TD-28H125/page-1", "LD6806TD-28H125")</f>
        <v>LD6806TD-28H125</v>
      </c>
      <c r="B17241" s="3" t="s">
        <v>93</v>
      </c>
      <c r="C17241" s="6">
        <v>12000</v>
      </c>
      <c r="D17241" s="7">
        <v>0.57999999999999996</v>
      </c>
    </row>
    <row r="17242" spans="1:4" x14ac:dyDescent="0.25">
      <c r="A17242" t="str">
        <f>HYPERLINK("https://www.773grp.com/globalSearch/LD6806TD-28P125/page-1", "LD6806TD-28P125")</f>
        <v>LD6806TD-28P125</v>
      </c>
      <c r="B17242" s="3" t="s">
        <v>93</v>
      </c>
      <c r="C17242" s="6">
        <v>869</v>
      </c>
      <c r="D17242" s="7">
        <v>0.57999999999999996</v>
      </c>
    </row>
    <row r="17243" spans="1:4" x14ac:dyDescent="0.25">
      <c r="A17243" t="str">
        <f>HYPERLINK("https://www.773grp.com/globalSearch/LD6806TD-29H125/page-1", "LD6806TD-29H125")</f>
        <v>LD6806TD-29H125</v>
      </c>
      <c r="B17243" s="3" t="s">
        <v>93</v>
      </c>
      <c r="C17243" s="6">
        <v>9000</v>
      </c>
      <c r="D17243" s="7">
        <v>0.57999999999999996</v>
      </c>
    </row>
    <row r="17244" spans="1:4" x14ac:dyDescent="0.25">
      <c r="A17244" t="str">
        <f>HYPERLINK("https://www.773grp.com/globalSearch/LD6806TD-29P125/page-1", "LD6806TD-29P125")</f>
        <v>LD6806TD-29P125</v>
      </c>
      <c r="B17244" s="3" t="s">
        <v>93</v>
      </c>
      <c r="C17244" s="6">
        <v>9000</v>
      </c>
      <c r="D17244" s="7">
        <v>0.57999999999999996</v>
      </c>
    </row>
    <row r="17245" spans="1:4" x14ac:dyDescent="0.25">
      <c r="A17245" t="str">
        <f>HYPERLINK("https://www.773grp.com/globalSearch/LD6806TD-30H125/page-1", "LD6806TD-30H125")</f>
        <v>LD6806TD-30H125</v>
      </c>
      <c r="B17245" s="3" t="s">
        <v>93</v>
      </c>
      <c r="C17245" s="6">
        <v>2096</v>
      </c>
      <c r="D17245" s="7">
        <v>0.57999999999999996</v>
      </c>
    </row>
    <row r="17246" spans="1:4" x14ac:dyDescent="0.25">
      <c r="A17246" t="str">
        <f>HYPERLINK("https://www.773grp.com/globalSearch/LD6806TD-30P125/page-1", "LD6806TD-30P125")</f>
        <v>LD6806TD-30P125</v>
      </c>
      <c r="B17246" s="3" t="s">
        <v>93</v>
      </c>
      <c r="C17246" s="6">
        <v>9000</v>
      </c>
      <c r="D17246" s="7">
        <v>0.57999999999999996</v>
      </c>
    </row>
    <row r="17247" spans="1:4" x14ac:dyDescent="0.25">
      <c r="A17247" t="str">
        <f>HYPERLINK("https://www.773grp.com/globalSearch/LD6806TD-33H125/page-1", "LD6806TD-33H125")</f>
        <v>LD6806TD-33H125</v>
      </c>
      <c r="B17247" s="3" t="s">
        <v>93</v>
      </c>
      <c r="C17247" s="6">
        <v>11311</v>
      </c>
      <c r="D17247" s="7">
        <v>0.57999999999999996</v>
      </c>
    </row>
    <row r="17248" spans="1:4" x14ac:dyDescent="0.25">
      <c r="A17248" t="str">
        <f>HYPERLINK("https://www.773grp.com/globalSearch/LD6806TD-33P125/page-1", "LD6806TD-33P125")</f>
        <v>LD6806TD-33P125</v>
      </c>
      <c r="B17248" s="3" t="s">
        <v>93</v>
      </c>
      <c r="C17248" s="6">
        <v>3000</v>
      </c>
      <c r="D17248" s="7">
        <v>0.57999999999999996</v>
      </c>
    </row>
    <row r="17249" spans="1:4" x14ac:dyDescent="0.25">
      <c r="A17249" t="str">
        <f>HYPERLINK("https://www.773grp.com/globalSearch/LD6806TD-36H125/page-1", "LD6806TD-36H125")</f>
        <v>LD6806TD-36H125</v>
      </c>
      <c r="B17249" s="3" t="s">
        <v>93</v>
      </c>
      <c r="C17249" s="6">
        <v>9000</v>
      </c>
      <c r="D17249" s="7">
        <v>0.57999999999999996</v>
      </c>
    </row>
    <row r="17250" spans="1:4" x14ac:dyDescent="0.25">
      <c r="A17250" t="str">
        <f>HYPERLINK("https://www.773grp.com/globalSearch/LD6806TD-36P125/page-1", "LD6806TD-36P125")</f>
        <v>LD6806TD-36P125</v>
      </c>
      <c r="B17250" s="3" t="s">
        <v>93</v>
      </c>
      <c r="C17250" s="6">
        <v>9000</v>
      </c>
      <c r="D17250" s="7">
        <v>0.57999999999999996</v>
      </c>
    </row>
    <row r="17251" spans="1:4" x14ac:dyDescent="0.25">
      <c r="A17251" t="str">
        <f>HYPERLINK("https://www.773grp.com/globalSearch/N74F138D602/page-1", "N74F138D602")</f>
        <v>N74F138D602</v>
      </c>
      <c r="B17251" s="3" t="s">
        <v>93</v>
      </c>
      <c r="C17251" s="6">
        <v>5245</v>
      </c>
      <c r="D17251" s="7">
        <v>0.57999999999999996</v>
      </c>
    </row>
    <row r="17252" spans="1:4" x14ac:dyDescent="0.25">
      <c r="A17252" t="str">
        <f>HYPERLINK("https://www.773grp.com/globalSearch/N74F138D623/page-1", "N74F138D623")</f>
        <v>N74F138D623</v>
      </c>
      <c r="B17252" s="3" t="s">
        <v>93</v>
      </c>
      <c r="C17252" s="6">
        <v>12505</v>
      </c>
      <c r="D17252" s="7">
        <v>0.57999999999999996</v>
      </c>
    </row>
    <row r="17253" spans="1:4" x14ac:dyDescent="0.25">
      <c r="A17253" t="str">
        <f>HYPERLINK("https://www.773grp.com/globalSearch/N74F74D602/page-1", "N74F74D602")</f>
        <v>N74F74D602</v>
      </c>
      <c r="B17253" s="3" t="s">
        <v>93</v>
      </c>
      <c r="C17253" s="6">
        <v>6305</v>
      </c>
      <c r="D17253" s="7">
        <v>0.57999999999999996</v>
      </c>
    </row>
    <row r="17254" spans="1:4" x14ac:dyDescent="0.25">
      <c r="A17254" t="str">
        <f>HYPERLINK("https://www.773grp.com/globalSearch/PBHV8140Z115/page-1", "PBHV8140Z115")</f>
        <v>PBHV8140Z115</v>
      </c>
      <c r="B17254" s="3" t="s">
        <v>93</v>
      </c>
      <c r="C17254" s="6">
        <v>6000</v>
      </c>
      <c r="D17254" s="7">
        <v>0.57999999999999996</v>
      </c>
    </row>
    <row r="17255" spans="1:4" x14ac:dyDescent="0.25">
      <c r="A17255" t="str">
        <f>HYPERLINK("https://www.773grp.com/globalSearch/PBHV8215Z115/page-1", "PBHV8215Z115")</f>
        <v>PBHV8215Z115</v>
      </c>
      <c r="B17255" s="3" t="s">
        <v>93</v>
      </c>
      <c r="C17255" s="6">
        <v>12000</v>
      </c>
      <c r="D17255" s="7">
        <v>0.57999999999999996</v>
      </c>
    </row>
    <row r="17256" spans="1:4" x14ac:dyDescent="0.25">
      <c r="A17256" t="str">
        <f>HYPERLINK("https://www.773grp.com/globalSearch/PBHV8540Z115/page-1", "PBHV8540Z115")</f>
        <v>PBHV8540Z115</v>
      </c>
      <c r="B17256" s="3" t="s">
        <v>93</v>
      </c>
      <c r="C17256" s="6">
        <v>2654</v>
      </c>
      <c r="D17256" s="7">
        <v>0.57999999999999996</v>
      </c>
    </row>
    <row r="17257" spans="1:4" x14ac:dyDescent="0.25">
      <c r="A17257" t="str">
        <f>HYPERLINK("https://www.773grp.com/globalSearch/PBHV9040Z115/page-1", "PBHV9040Z115")</f>
        <v>PBHV9040Z115</v>
      </c>
      <c r="B17257" s="3" t="s">
        <v>93</v>
      </c>
      <c r="C17257" s="6">
        <v>100</v>
      </c>
      <c r="D17257" s="7">
        <v>0.57999999999999996</v>
      </c>
    </row>
    <row r="17258" spans="1:4" x14ac:dyDescent="0.25">
      <c r="A17258" t="str">
        <f>HYPERLINK("https://www.773grp.com/globalSearch/PBHV9050Z115/page-1", "PBHV9050Z115")</f>
        <v>PBHV9050Z115</v>
      </c>
      <c r="B17258" s="3" t="s">
        <v>93</v>
      </c>
      <c r="C17258" s="6">
        <v>12000</v>
      </c>
      <c r="D17258" s="7">
        <v>0.57999999999999996</v>
      </c>
    </row>
    <row r="17259" spans="1:4" x14ac:dyDescent="0.25">
      <c r="A17259" t="str">
        <f>HYPERLINK("https://www.773grp.com/globalSearch/PBHV9115X115/page-1", "PBHV9115X115")</f>
        <v>PBHV9115X115</v>
      </c>
      <c r="B17259" s="3" t="s">
        <v>93</v>
      </c>
      <c r="C17259" s="6">
        <v>16000</v>
      </c>
      <c r="D17259" s="7">
        <v>0.57999999999999996</v>
      </c>
    </row>
    <row r="17260" spans="1:4" x14ac:dyDescent="0.25">
      <c r="A17260" t="str">
        <f>HYPERLINK("https://www.773grp.com/globalSearch/PBHV9115Z115/page-1", "PBHV9115Z115")</f>
        <v>PBHV9115Z115</v>
      </c>
      <c r="B17260" s="3" t="s">
        <v>93</v>
      </c>
      <c r="C17260" s="6">
        <v>10200</v>
      </c>
      <c r="D17260" s="7">
        <v>0.57999999999999996</v>
      </c>
    </row>
    <row r="17261" spans="1:4" x14ac:dyDescent="0.25">
      <c r="A17261" t="str">
        <f>HYPERLINK("https://www.773grp.com/globalSearch/PBHV9215Z115/page-1", "PBHV9215Z115")</f>
        <v>PBHV9215Z115</v>
      </c>
      <c r="B17261" s="3" t="s">
        <v>93</v>
      </c>
      <c r="C17261" s="6">
        <v>12000</v>
      </c>
      <c r="D17261" s="7">
        <v>0.57999999999999996</v>
      </c>
    </row>
    <row r="17262" spans="1:4" x14ac:dyDescent="0.25">
      <c r="A17262" t="str">
        <f>HYPERLINK("https://www.773grp.com/globalSearch/PBHV9540Z115/page-1", "PBHV9540Z115")</f>
        <v>PBHV9540Z115</v>
      </c>
      <c r="B17262" s="3" t="s">
        <v>93</v>
      </c>
      <c r="C17262" s="6">
        <v>12000</v>
      </c>
      <c r="D17262" s="7">
        <v>0.57999999999999996</v>
      </c>
    </row>
    <row r="17263" spans="1:4" x14ac:dyDescent="0.25">
      <c r="A17263" t="str">
        <f>HYPERLINK("https://www.773grp.com/globalSearch/PBSS305PD115/page-1", "PBSS305PD115")</f>
        <v>PBSS305PD115</v>
      </c>
      <c r="B17263" s="3" t="s">
        <v>93</v>
      </c>
      <c r="C17263" s="6">
        <v>2879</v>
      </c>
      <c r="D17263" s="7">
        <v>0.57999999999999996</v>
      </c>
    </row>
    <row r="17264" spans="1:4" x14ac:dyDescent="0.25">
      <c r="A17264" t="str">
        <f>HYPERLINK("https://www.773grp.com/globalSearch/PBSS4032ND115/page-1", "PBSS4032ND115")</f>
        <v>PBSS4032ND115</v>
      </c>
      <c r="B17264" s="3" t="s">
        <v>93</v>
      </c>
      <c r="C17264" s="6">
        <v>25762</v>
      </c>
      <c r="D17264" s="7">
        <v>0.57999999999999996</v>
      </c>
    </row>
    <row r="17265" spans="1:4" x14ac:dyDescent="0.25">
      <c r="A17265" t="str">
        <f>HYPERLINK("https://www.773grp.com/globalSearch/PBSS4032PD115/page-1", "PBSS4032PD115")</f>
        <v>PBSS4032PD115</v>
      </c>
      <c r="B17265" s="3" t="s">
        <v>93</v>
      </c>
      <c r="C17265" s="6">
        <v>23034</v>
      </c>
      <c r="D17265" s="7">
        <v>0.57999999999999996</v>
      </c>
    </row>
    <row r="17266" spans="1:4" x14ac:dyDescent="0.25">
      <c r="A17266" t="str">
        <f>HYPERLINK("https://www.773grp.com/globalSearch/PESD12VL2BT215/page-1", "PESD12VL2BT215")</f>
        <v>PESD12VL2BT215</v>
      </c>
      <c r="B17266" s="3" t="s">
        <v>93</v>
      </c>
      <c r="C17266" s="6">
        <v>18000</v>
      </c>
      <c r="D17266" s="7">
        <v>0.57999999999999996</v>
      </c>
    </row>
    <row r="17267" spans="1:4" x14ac:dyDescent="0.25">
      <c r="A17267" t="str">
        <f>HYPERLINK("https://www.773grp.com/globalSearch/PESD24VL2BT215/page-1", "PESD24VL2BT215")</f>
        <v>PESD24VL2BT215</v>
      </c>
      <c r="B17267" s="3" t="s">
        <v>93</v>
      </c>
      <c r="C17267" s="6">
        <v>6000</v>
      </c>
      <c r="D17267" s="7">
        <v>0.57999999999999996</v>
      </c>
    </row>
    <row r="17268" spans="1:4" x14ac:dyDescent="0.25">
      <c r="A17268" t="str">
        <f>HYPERLINK("https://www.773grp.com/globalSearch/PESD3V3L2BT215/page-1", "PESD3V3L2BT215")</f>
        <v>PESD3V3L2BT215</v>
      </c>
      <c r="B17268" s="3" t="s">
        <v>93</v>
      </c>
      <c r="C17268" s="6">
        <v>31380</v>
      </c>
      <c r="D17268" s="7">
        <v>0.57999999999999996</v>
      </c>
    </row>
    <row r="17269" spans="1:4" x14ac:dyDescent="0.25">
      <c r="A17269" t="str">
        <f>HYPERLINK("https://www.773grp.com/globalSearch/PESD3V3L4UG115/page-1", "PESD3V3L4UG115")</f>
        <v>PESD3V3L4UG115</v>
      </c>
      <c r="B17269" s="3" t="s">
        <v>93</v>
      </c>
      <c r="C17269" s="6">
        <v>6348</v>
      </c>
      <c r="D17269" s="7">
        <v>0.57999999999999996</v>
      </c>
    </row>
    <row r="17270" spans="1:4" x14ac:dyDescent="0.25">
      <c r="A17270" t="str">
        <f>HYPERLINK("https://www.773grp.com/globalSearch/PESD5V0L2BT215/page-1", "PESD5V0L2BT215")</f>
        <v>PESD5V0L2BT215</v>
      </c>
      <c r="B17270" s="3" t="s">
        <v>93</v>
      </c>
      <c r="C17270" s="6">
        <v>1526</v>
      </c>
      <c r="D17270" s="7">
        <v>0.57999999999999996</v>
      </c>
    </row>
    <row r="17271" spans="1:4" x14ac:dyDescent="0.25">
      <c r="A17271" t="str">
        <f>HYPERLINK("https://www.773grp.com/globalSearch/PESD5V0U4BF115/page-1", "PESD5V0U4BF115")</f>
        <v>PESD5V0U4BF115</v>
      </c>
      <c r="B17271" s="3" t="s">
        <v>93</v>
      </c>
      <c r="C17271" s="6">
        <v>5000</v>
      </c>
      <c r="D17271" s="7">
        <v>0.57999999999999996</v>
      </c>
    </row>
    <row r="17272" spans="1:4" x14ac:dyDescent="0.25">
      <c r="A17272" t="str">
        <f>HYPERLINK("https://www.773grp.com/globalSearch/PESD5V0U5BV115/page-1", "PESD5V0U5BV115")</f>
        <v>PESD5V0U5BV115</v>
      </c>
      <c r="B17272" s="3" t="s">
        <v>93</v>
      </c>
      <c r="C17272" s="6">
        <v>4000</v>
      </c>
      <c r="D17272" s="7">
        <v>0.57999999999999996</v>
      </c>
    </row>
    <row r="17273" spans="1:4" x14ac:dyDescent="0.25">
      <c r="A17273" t="str">
        <f>HYPERLINK("https://www.773grp.com/globalSearch/PMD2001D115/page-1", "PMD2001D115")</f>
        <v>PMD2001D115</v>
      </c>
      <c r="B17273" s="3" t="s">
        <v>93</v>
      </c>
      <c r="C17273" s="6">
        <v>24060</v>
      </c>
      <c r="D17273" s="7">
        <v>0.57999999999999996</v>
      </c>
    </row>
    <row r="17274" spans="1:4" x14ac:dyDescent="0.25">
      <c r="A17274" t="str">
        <f>HYPERLINK("https://www.773grp.com/globalSearch/PMD9002D115/page-1", "PMD9002D115")</f>
        <v>PMD9002D115</v>
      </c>
      <c r="B17274" s="3" t="s">
        <v>93</v>
      </c>
      <c r="C17274" s="6">
        <v>1795</v>
      </c>
      <c r="D17274" s="7">
        <v>0.57999999999999996</v>
      </c>
    </row>
    <row r="17275" spans="1:4" x14ac:dyDescent="0.25">
      <c r="A17275" t="str">
        <f>HYPERLINK("https://www.773grp.com/globalSearch/PMD9003D115/page-1", "PMD9003D115")</f>
        <v>PMD9003D115</v>
      </c>
      <c r="B17275" s="3" t="s">
        <v>93</v>
      </c>
      <c r="C17275" s="6">
        <v>560</v>
      </c>
      <c r="D17275" s="7">
        <v>0.57999999999999996</v>
      </c>
    </row>
    <row r="17276" spans="1:4" x14ac:dyDescent="0.25">
      <c r="A17276" t="str">
        <f>HYPERLINK("https://www.773grp.com/globalSearch/PMD9010D115/page-1", "PMD9010D115")</f>
        <v>PMD9010D115</v>
      </c>
      <c r="B17276" s="3" t="s">
        <v>93</v>
      </c>
      <c r="C17276" s="6">
        <v>24</v>
      </c>
      <c r="D17276" s="7">
        <v>0.57999999999999996</v>
      </c>
    </row>
    <row r="17277" spans="1:4" x14ac:dyDescent="0.25">
      <c r="A17277" t="str">
        <f>HYPERLINK("https://www.773grp.com/globalSearch/PMD9050D115/page-1", "PMD9050D115")</f>
        <v>PMD9050D115</v>
      </c>
      <c r="B17277" s="3" t="s">
        <v>93</v>
      </c>
      <c r="C17277" s="6">
        <v>2946</v>
      </c>
      <c r="D17277" s="7">
        <v>0.57999999999999996</v>
      </c>
    </row>
    <row r="17278" spans="1:4" x14ac:dyDescent="0.25">
      <c r="A17278" t="str">
        <f>HYPERLINK("https://www.773grp.com/globalSearch/PMEM1505PG115/page-1", "PMEM1505PG115")</f>
        <v>PMEM1505PG115</v>
      </c>
      <c r="B17278" s="3" t="s">
        <v>93</v>
      </c>
      <c r="C17278" s="6">
        <v>6000</v>
      </c>
      <c r="D17278" s="7">
        <v>0.57999999999999996</v>
      </c>
    </row>
    <row r="17279" spans="1:4" x14ac:dyDescent="0.25">
      <c r="A17279" t="str">
        <f>HYPERLINK("https://www.773grp.com/globalSearch/PMN15UN115/page-1", "PMN15UN115")</f>
        <v>PMN15UN115</v>
      </c>
      <c r="B17279" s="3" t="s">
        <v>93</v>
      </c>
      <c r="C17279" s="6">
        <v>6000</v>
      </c>
      <c r="D17279" s="7">
        <v>0.57999999999999996</v>
      </c>
    </row>
    <row r="17280" spans="1:4" x14ac:dyDescent="0.25">
      <c r="A17280" t="str">
        <f>HYPERLINK("https://www.773grp.com/globalSearch/PMN48XP115/page-1", "PMN48XP115")</f>
        <v>PMN48XP115</v>
      </c>
      <c r="B17280" s="3" t="s">
        <v>93</v>
      </c>
      <c r="C17280" s="6">
        <v>500</v>
      </c>
      <c r="D17280" s="7">
        <v>0.57999999999999996</v>
      </c>
    </row>
    <row r="17281" spans="1:4" x14ac:dyDescent="0.25">
      <c r="A17281" t="str">
        <f>HYPERLINK("https://www.773grp.com/globalSearch/PMV22EN215/page-1", "PMV22EN215")</f>
        <v>PMV22EN215</v>
      </c>
      <c r="B17281" s="3" t="s">
        <v>93</v>
      </c>
      <c r="C17281" s="6">
        <v>5827</v>
      </c>
      <c r="D17281" s="7">
        <v>0.57999999999999996</v>
      </c>
    </row>
    <row r="17282" spans="1:4" x14ac:dyDescent="0.25">
      <c r="A17282" t="str">
        <f>HYPERLINK("https://www.773grp.com/globalSearch/PRTR5V0U2D115/page-1", "PRTR5V0U2D115")</f>
        <v>PRTR5V0U2D115</v>
      </c>
      <c r="B17282" s="3" t="s">
        <v>93</v>
      </c>
      <c r="C17282" s="6">
        <v>136</v>
      </c>
      <c r="D17282" s="7">
        <v>0.57999999999999996</v>
      </c>
    </row>
    <row r="17283" spans="1:4" x14ac:dyDescent="0.25">
      <c r="A17283" t="str">
        <f>HYPERLINK("https://www.773grp.com/globalSearch/PSMN010-25YLC115/page-1", "PSMN010-25YLC115")</f>
        <v>PSMN010-25YLC115</v>
      </c>
      <c r="B17283" s="3" t="s">
        <v>93</v>
      </c>
      <c r="C17283" s="6">
        <v>4130</v>
      </c>
      <c r="D17283" s="7">
        <v>0.57999999999999996</v>
      </c>
    </row>
    <row r="17284" spans="1:4" x14ac:dyDescent="0.25">
      <c r="A17284" t="str">
        <f>HYPERLINK("https://www.773grp.com/globalSearch/PVR100AZ-B12V115/page-1", "PVR100AZ-B12V115")</f>
        <v>PVR100AZ-B12V115</v>
      </c>
      <c r="B17284" s="3" t="s">
        <v>93</v>
      </c>
      <c r="C17284" s="6">
        <v>3951</v>
      </c>
      <c r="D17284" s="7">
        <v>0.57999999999999996</v>
      </c>
    </row>
    <row r="17285" spans="1:4" x14ac:dyDescent="0.25">
      <c r="A17285" t="str">
        <f>HYPERLINK("https://www.773grp.com/globalSearch/PVR100AZ-B2V5115/page-1", "PVR100AZ-B2V5115")</f>
        <v>PVR100AZ-B2V5115</v>
      </c>
      <c r="B17285" s="3" t="s">
        <v>93</v>
      </c>
      <c r="C17285" s="6">
        <v>3893</v>
      </c>
      <c r="D17285" s="7">
        <v>0.57999999999999996</v>
      </c>
    </row>
    <row r="17286" spans="1:4" x14ac:dyDescent="0.25">
      <c r="A17286" t="str">
        <f>HYPERLINK("https://www.773grp.com/globalSearch/PVR100AZ-B3V0115/page-1", "PVR100AZ-B3V0115")</f>
        <v>PVR100AZ-B3V0115</v>
      </c>
      <c r="B17286" s="3" t="s">
        <v>93</v>
      </c>
      <c r="C17286" s="6">
        <v>986</v>
      </c>
      <c r="D17286" s="7">
        <v>0.57999999999999996</v>
      </c>
    </row>
    <row r="17287" spans="1:4" x14ac:dyDescent="0.25">
      <c r="A17287" t="str">
        <f>HYPERLINK("https://www.773grp.com/globalSearch/PVR100AZ-B3V3115/page-1", "PVR100AZ-B3V3115")</f>
        <v>PVR100AZ-B3V3115</v>
      </c>
      <c r="B17287" s="3" t="s">
        <v>93</v>
      </c>
      <c r="C17287" s="6">
        <v>5000</v>
      </c>
      <c r="D17287" s="7">
        <v>0.57999999999999996</v>
      </c>
    </row>
    <row r="17288" spans="1:4" x14ac:dyDescent="0.25">
      <c r="A17288" t="str">
        <f>HYPERLINK("https://www.773grp.com/globalSearch/PVR100AZ-B5V0115/page-1", "PVR100AZ-B5V0115")</f>
        <v>PVR100AZ-B5V0115</v>
      </c>
      <c r="B17288" s="3" t="s">
        <v>93</v>
      </c>
      <c r="C17288" s="6">
        <v>781</v>
      </c>
      <c r="D17288" s="7">
        <v>0.57999999999999996</v>
      </c>
    </row>
    <row r="17289" spans="1:4" x14ac:dyDescent="0.25">
      <c r="A17289" t="str">
        <f>HYPERLINK("https://www.773grp.com/globalSearch/SI2302DS215/page-1", "SI2302DS215")</f>
        <v>SI2302DS215</v>
      </c>
      <c r="B17289" s="3" t="s">
        <v>93</v>
      </c>
      <c r="C17289" s="6">
        <v>3000</v>
      </c>
      <c r="D17289" s="7">
        <v>0.57999999999999996</v>
      </c>
    </row>
    <row r="17290" spans="1:4" x14ac:dyDescent="0.25">
      <c r="A17290" t="str">
        <f>HYPERLINK("https://www.773grp.com/globalSearch/SI2304DS215/page-1", "SI2304DS215")</f>
        <v>SI2304DS215</v>
      </c>
      <c r="B17290" s="3" t="s">
        <v>93</v>
      </c>
      <c r="C17290" s="6">
        <v>74530</v>
      </c>
      <c r="D17290" s="7">
        <v>0.57999999999999996</v>
      </c>
    </row>
    <row r="17291" spans="1:4" x14ac:dyDescent="0.25">
      <c r="A17291" t="str">
        <f>HYPERLINK("https://www.773grp.com/globalSearch/74AHC1G125GM132/page-1", "74AHC1G125GM132")</f>
        <v>74AHC1G125GM132</v>
      </c>
      <c r="B17291" s="3" t="s">
        <v>93</v>
      </c>
      <c r="C17291" s="6">
        <v>4998</v>
      </c>
      <c r="D17291" s="7">
        <v>0.64</v>
      </c>
    </row>
    <row r="17292" spans="1:4" x14ac:dyDescent="0.25">
      <c r="A17292" t="str">
        <f>HYPERLINK("https://www.773grp.com/globalSearch/74AHC2G08GD125/page-1", "74AHC2G08GD125")</f>
        <v>74AHC2G08GD125</v>
      </c>
      <c r="B17292" s="3" t="s">
        <v>93</v>
      </c>
      <c r="C17292" s="6">
        <v>6000</v>
      </c>
      <c r="D17292" s="7">
        <v>0.64</v>
      </c>
    </row>
    <row r="17293" spans="1:4" x14ac:dyDescent="0.25">
      <c r="A17293" t="str">
        <f>HYPERLINK("https://www.773grp.com/globalSearch/74AHC2G125GD125/page-1", "74AHC2G125GD125")</f>
        <v>74AHC2G125GD125</v>
      </c>
      <c r="B17293" s="3" t="s">
        <v>93</v>
      </c>
      <c r="C17293" s="6">
        <v>6000</v>
      </c>
      <c r="D17293" s="7">
        <v>0.64</v>
      </c>
    </row>
    <row r="17294" spans="1:4" x14ac:dyDescent="0.25">
      <c r="A17294" t="str">
        <f>HYPERLINK("https://www.773grp.com/globalSearch/74AHC2G126GD125/page-1", "74AHC2G126GD125")</f>
        <v>74AHC2G126GD125</v>
      </c>
      <c r="B17294" s="3" t="s">
        <v>93</v>
      </c>
      <c r="C17294" s="6">
        <v>6000</v>
      </c>
      <c r="D17294" s="7">
        <v>0.64</v>
      </c>
    </row>
    <row r="17295" spans="1:4" x14ac:dyDescent="0.25">
      <c r="A17295" t="str">
        <f>HYPERLINK("https://www.773grp.com/globalSearch/74AHC2G241DC125/page-1", "74AHC2G241DC125")</f>
        <v>74AHC2G241DC125</v>
      </c>
      <c r="B17295" s="3" t="s">
        <v>93</v>
      </c>
      <c r="C17295" s="6">
        <v>3000</v>
      </c>
      <c r="D17295" s="7">
        <v>0.64</v>
      </c>
    </row>
    <row r="17296" spans="1:4" x14ac:dyDescent="0.25">
      <c r="A17296" t="str">
        <f>HYPERLINK("https://www.773grp.com/globalSearch/74AHC2G32GD125/page-1", "74AHC2G32GD125")</f>
        <v>74AHC2G32GD125</v>
      </c>
      <c r="B17296" s="3" t="s">
        <v>93</v>
      </c>
      <c r="C17296" s="6">
        <v>6220</v>
      </c>
      <c r="D17296" s="7">
        <v>0.64</v>
      </c>
    </row>
    <row r="17297" spans="1:4" x14ac:dyDescent="0.25">
      <c r="A17297" t="str">
        <f>HYPERLINK("https://www.773grp.com/globalSearch/74AHC3G14GD125/page-1", "74AHC3G14GD125")</f>
        <v>74AHC3G14GD125</v>
      </c>
      <c r="B17297" s="3" t="s">
        <v>93</v>
      </c>
      <c r="C17297" s="6">
        <v>165</v>
      </c>
      <c r="D17297" s="7">
        <v>0.64</v>
      </c>
    </row>
    <row r="17298" spans="1:4" x14ac:dyDescent="0.25">
      <c r="A17298" t="str">
        <f>HYPERLINK("https://www.773grp.com/globalSearch/74AHC573BQ115/page-1", "74AHC573BQ115")</f>
        <v>74AHC573BQ115</v>
      </c>
      <c r="B17298" s="3" t="s">
        <v>93</v>
      </c>
      <c r="C17298" s="6">
        <v>200</v>
      </c>
      <c r="D17298" s="7">
        <v>0.64</v>
      </c>
    </row>
    <row r="17299" spans="1:4" x14ac:dyDescent="0.25">
      <c r="A17299" t="str">
        <f>HYPERLINK("https://www.773grp.com/globalSearch/74AHC595BQ115/page-1", "74AHC595BQ115")</f>
        <v>74AHC595BQ115</v>
      </c>
      <c r="B17299" s="3" t="s">
        <v>93</v>
      </c>
      <c r="C17299" s="6">
        <v>9000</v>
      </c>
      <c r="D17299" s="7">
        <v>0.64</v>
      </c>
    </row>
    <row r="17300" spans="1:4" x14ac:dyDescent="0.25">
      <c r="A17300" t="str">
        <f>HYPERLINK("https://www.773grp.com/globalSearch/74AHC74BQ115/page-1", "74AHC74BQ115")</f>
        <v>74AHC74BQ115</v>
      </c>
      <c r="B17300" s="3" t="s">
        <v>93</v>
      </c>
      <c r="C17300" s="6">
        <v>6000</v>
      </c>
      <c r="D17300" s="7">
        <v>0.64</v>
      </c>
    </row>
    <row r="17301" spans="1:4" x14ac:dyDescent="0.25">
      <c r="A17301" t="str">
        <f>HYPERLINK("https://www.773grp.com/globalSearch/74AHCT1G125GM115/page-1", "74AHCT1G125GM115")</f>
        <v>74AHCT1G125GM115</v>
      </c>
      <c r="B17301" s="3" t="s">
        <v>93</v>
      </c>
      <c r="C17301" s="6">
        <v>5223</v>
      </c>
      <c r="D17301" s="7">
        <v>0.64</v>
      </c>
    </row>
    <row r="17302" spans="1:4" x14ac:dyDescent="0.25">
      <c r="A17302" t="str">
        <f>HYPERLINK("https://www.773grp.com/globalSearch/74AHCT2G08GD125/page-1", "74AHCT2G08GD125")</f>
        <v>74AHCT2G08GD125</v>
      </c>
      <c r="B17302" s="3" t="s">
        <v>93</v>
      </c>
      <c r="C17302" s="6">
        <v>3229</v>
      </c>
      <c r="D17302" s="7">
        <v>0.64</v>
      </c>
    </row>
    <row r="17303" spans="1:4" x14ac:dyDescent="0.25">
      <c r="A17303" t="str">
        <f>HYPERLINK("https://www.773grp.com/globalSearch/74AHCT2G125DC125/page-1", "74AHCT2G125DC125")</f>
        <v>74AHCT2G125DC125</v>
      </c>
      <c r="B17303" s="3" t="s">
        <v>93</v>
      </c>
      <c r="C17303" s="6">
        <v>3000</v>
      </c>
      <c r="D17303" s="7">
        <v>0.64</v>
      </c>
    </row>
    <row r="17304" spans="1:4" x14ac:dyDescent="0.25">
      <c r="A17304" t="str">
        <f>HYPERLINK("https://www.773grp.com/globalSearch/74AHCT2G125DP125/page-1", "74AHCT2G125DP125")</f>
        <v>74AHCT2G125DP125</v>
      </c>
      <c r="B17304" s="3" t="s">
        <v>93</v>
      </c>
      <c r="C17304" s="6">
        <v>27000</v>
      </c>
      <c r="D17304" s="7">
        <v>0.64</v>
      </c>
    </row>
    <row r="17305" spans="1:4" x14ac:dyDescent="0.25">
      <c r="A17305" t="str">
        <f>HYPERLINK("https://www.773grp.com/globalSearch/74AHCT2G125GD125/page-1", "74AHCT2G125GD125")</f>
        <v>74AHCT2G125GD125</v>
      </c>
      <c r="B17305" s="3" t="s">
        <v>93</v>
      </c>
      <c r="C17305" s="6">
        <v>3000</v>
      </c>
      <c r="D17305" s="7">
        <v>0.64</v>
      </c>
    </row>
    <row r="17306" spans="1:4" x14ac:dyDescent="0.25">
      <c r="A17306" t="str">
        <f>HYPERLINK("https://www.773grp.com/globalSearch/74AHCT2G126DC125/page-1", "74AHCT2G126DC125")</f>
        <v>74AHCT2G126DC125</v>
      </c>
      <c r="B17306" s="3" t="s">
        <v>93</v>
      </c>
      <c r="C17306" s="6">
        <v>6000</v>
      </c>
      <c r="D17306" s="7">
        <v>0.64</v>
      </c>
    </row>
    <row r="17307" spans="1:4" x14ac:dyDescent="0.25">
      <c r="A17307" t="str">
        <f>HYPERLINK("https://www.773grp.com/globalSearch/74AHCT2G32DC125/page-1", "74AHCT2G32DC125")</f>
        <v>74AHCT2G32DC125</v>
      </c>
      <c r="B17307" s="3" t="s">
        <v>93</v>
      </c>
      <c r="C17307" s="6">
        <v>3000</v>
      </c>
      <c r="D17307" s="7">
        <v>0.64</v>
      </c>
    </row>
    <row r="17308" spans="1:4" x14ac:dyDescent="0.25">
      <c r="A17308" t="str">
        <f>HYPERLINK("https://www.773grp.com/globalSearch/74AHCT3G04DP125/page-1", "74AHCT3G04DP125")</f>
        <v>74AHCT3G04DP125</v>
      </c>
      <c r="B17308" s="3" t="s">
        <v>93</v>
      </c>
      <c r="C17308" s="6">
        <v>849</v>
      </c>
      <c r="D17308" s="7">
        <v>0.64</v>
      </c>
    </row>
    <row r="17309" spans="1:4" x14ac:dyDescent="0.25">
      <c r="A17309" t="str">
        <f>HYPERLINK("https://www.773grp.com/globalSearch/74AHCT3G14GD125/page-1", "74AHCT3G14GD125")</f>
        <v>74AHCT3G14GD125</v>
      </c>
      <c r="B17309" s="3" t="s">
        <v>93</v>
      </c>
      <c r="C17309" s="6">
        <v>3000</v>
      </c>
      <c r="D17309" s="7">
        <v>0.64</v>
      </c>
    </row>
    <row r="17310" spans="1:4" x14ac:dyDescent="0.25">
      <c r="A17310" t="str">
        <f>HYPERLINK("https://www.773grp.com/globalSearch/74AHCT573PW112/page-1", "74AHCT573PW112")</f>
        <v>74AHCT573PW112</v>
      </c>
      <c r="B17310" s="3" t="s">
        <v>93</v>
      </c>
      <c r="C17310" s="6">
        <v>9035</v>
      </c>
      <c r="D17310" s="7">
        <v>0.64</v>
      </c>
    </row>
    <row r="17311" spans="1:4" x14ac:dyDescent="0.25">
      <c r="A17311" t="str">
        <f>HYPERLINK("https://www.773grp.com/globalSearch/74AUP1G00GM115/page-1", "74AUP1G00GM115")</f>
        <v>74AUP1G00GM115</v>
      </c>
      <c r="B17311" s="3" t="s">
        <v>93</v>
      </c>
      <c r="C17311" s="6">
        <v>116100</v>
      </c>
      <c r="D17311" s="7">
        <v>0.64</v>
      </c>
    </row>
    <row r="17312" spans="1:4" x14ac:dyDescent="0.25">
      <c r="A17312" t="str">
        <f>HYPERLINK("https://www.773grp.com/globalSearch/74AUP1G02GM115/page-1", "74AUP1G02GM115")</f>
        <v>74AUP1G02GM115</v>
      </c>
      <c r="B17312" s="3" t="s">
        <v>93</v>
      </c>
      <c r="C17312" s="6">
        <v>25000</v>
      </c>
      <c r="D17312" s="7">
        <v>0.64</v>
      </c>
    </row>
    <row r="17313" spans="1:4" x14ac:dyDescent="0.25">
      <c r="A17313" t="str">
        <f>HYPERLINK("https://www.773grp.com/globalSearch/74AUP1G04GM115/page-1", "74AUP1G04GM115")</f>
        <v>74AUP1G04GM115</v>
      </c>
      <c r="B17313" s="3" t="s">
        <v>93</v>
      </c>
      <c r="C17313" s="6">
        <v>152079</v>
      </c>
      <c r="D17313" s="7">
        <v>0.64</v>
      </c>
    </row>
    <row r="17314" spans="1:4" x14ac:dyDescent="0.25">
      <c r="A17314" t="str">
        <f>HYPERLINK("https://www.773grp.com/globalSearch/74AUP1G06GM115/page-1", "74AUP1G06GM115")</f>
        <v>74AUP1G06GM115</v>
      </c>
      <c r="B17314" s="3" t="s">
        <v>93</v>
      </c>
      <c r="C17314" s="6">
        <v>5000</v>
      </c>
      <c r="D17314" s="7">
        <v>0.64</v>
      </c>
    </row>
    <row r="17315" spans="1:4" x14ac:dyDescent="0.25">
      <c r="A17315" t="str">
        <f>HYPERLINK("https://www.773grp.com/globalSearch/74AUP1G07GM115/page-1", "74AUP1G07GM115")</f>
        <v>74AUP1G07GM115</v>
      </c>
      <c r="B17315" s="3" t="s">
        <v>93</v>
      </c>
      <c r="C17315" s="6">
        <v>135300</v>
      </c>
      <c r="D17315" s="7">
        <v>0.64</v>
      </c>
    </row>
    <row r="17316" spans="1:4" x14ac:dyDescent="0.25">
      <c r="A17316" t="str">
        <f>HYPERLINK("https://www.773grp.com/globalSearch/74AUP1G09GM115/page-1", "74AUP1G09GM115")</f>
        <v>74AUP1G09GM115</v>
      </c>
      <c r="B17316" s="3" t="s">
        <v>93</v>
      </c>
      <c r="C17316" s="6">
        <v>179</v>
      </c>
      <c r="D17316" s="7">
        <v>0.64</v>
      </c>
    </row>
    <row r="17317" spans="1:4" x14ac:dyDescent="0.25">
      <c r="A17317" t="str">
        <f>HYPERLINK("https://www.773grp.com/globalSearch/74AUP1G125GM115/page-1", "74AUP1G125GM115")</f>
        <v>74AUP1G125GM115</v>
      </c>
      <c r="B17317" s="3" t="s">
        <v>93</v>
      </c>
      <c r="C17317" s="6">
        <v>32210</v>
      </c>
      <c r="D17317" s="7">
        <v>0.64</v>
      </c>
    </row>
    <row r="17318" spans="1:4" x14ac:dyDescent="0.25">
      <c r="A17318" t="str">
        <f>HYPERLINK("https://www.773grp.com/globalSearch/74AUP1G126GM115/page-1", "74AUP1G126GM115")</f>
        <v>74AUP1G126GM115</v>
      </c>
      <c r="B17318" s="3" t="s">
        <v>93</v>
      </c>
      <c r="C17318" s="6">
        <v>10000</v>
      </c>
      <c r="D17318" s="7">
        <v>0.64</v>
      </c>
    </row>
    <row r="17319" spans="1:4" x14ac:dyDescent="0.25">
      <c r="A17319" t="str">
        <f>HYPERLINK("https://www.773grp.com/globalSearch/74AUP1G14GM115/page-1", "74AUP1G14GM115")</f>
        <v>74AUP1G14GM115</v>
      </c>
      <c r="B17319" s="3" t="s">
        <v>93</v>
      </c>
      <c r="C17319" s="6">
        <v>6100</v>
      </c>
      <c r="D17319" s="7">
        <v>0.64</v>
      </c>
    </row>
    <row r="17320" spans="1:4" x14ac:dyDescent="0.25">
      <c r="A17320" t="str">
        <f>HYPERLINK("https://www.773grp.com/globalSearch/74AUP1G157GM132/page-1", "74AUP1G157GM132")</f>
        <v>74AUP1G157GM132</v>
      </c>
      <c r="B17320" s="3" t="s">
        <v>93</v>
      </c>
      <c r="C17320" s="6">
        <v>5000</v>
      </c>
      <c r="D17320" s="7">
        <v>0.64</v>
      </c>
    </row>
    <row r="17321" spans="1:4" x14ac:dyDescent="0.25">
      <c r="A17321" t="str">
        <f>HYPERLINK("https://www.773grp.com/globalSearch/74AUP1G158GM115/page-1", "74AUP1G158GM115")</f>
        <v>74AUP1G158GM115</v>
      </c>
      <c r="B17321" s="3" t="s">
        <v>93</v>
      </c>
      <c r="C17321" s="6">
        <v>5000</v>
      </c>
      <c r="D17321" s="7">
        <v>0.64</v>
      </c>
    </row>
    <row r="17322" spans="1:4" x14ac:dyDescent="0.25">
      <c r="A17322" t="str">
        <f>HYPERLINK("https://www.773grp.com/globalSearch/74AUP1G175GM115/page-1", "74AUP1G175GM115")</f>
        <v>74AUP1G175GM115</v>
      </c>
      <c r="B17322" s="3" t="s">
        <v>93</v>
      </c>
      <c r="C17322" s="6">
        <v>13500</v>
      </c>
      <c r="D17322" s="7">
        <v>0.64</v>
      </c>
    </row>
    <row r="17323" spans="1:4" x14ac:dyDescent="0.25">
      <c r="A17323" t="str">
        <f>HYPERLINK("https://www.773grp.com/globalSearch/74AUP1G17GM115/page-1", "74AUP1G17GM115")</f>
        <v>74AUP1G17GM115</v>
      </c>
      <c r="B17323" s="3" t="s">
        <v>93</v>
      </c>
      <c r="C17323" s="6">
        <v>9921</v>
      </c>
      <c r="D17323" s="7">
        <v>0.64</v>
      </c>
    </row>
    <row r="17324" spans="1:4" x14ac:dyDescent="0.25">
      <c r="A17324" t="str">
        <f>HYPERLINK("https://www.773grp.com/globalSearch/74AUP1G18GM115/page-1", "74AUP1G18GM115")</f>
        <v>74AUP1G18GM115</v>
      </c>
      <c r="B17324" s="3" t="s">
        <v>93</v>
      </c>
      <c r="C17324" s="6">
        <v>5000</v>
      </c>
      <c r="D17324" s="7">
        <v>0.64</v>
      </c>
    </row>
    <row r="17325" spans="1:4" x14ac:dyDescent="0.25">
      <c r="A17325" t="str">
        <f>HYPERLINK("https://www.773grp.com/globalSearch/74AUP1G18GM132/page-1", "74AUP1G18GM132")</f>
        <v>74AUP1G18GM132</v>
      </c>
      <c r="B17325" s="3" t="s">
        <v>93</v>
      </c>
      <c r="C17325" s="6">
        <v>8</v>
      </c>
      <c r="D17325" s="7">
        <v>0.64</v>
      </c>
    </row>
    <row r="17326" spans="1:4" x14ac:dyDescent="0.25">
      <c r="A17326" t="str">
        <f>HYPERLINK("https://www.773grp.com/globalSearch/74AUP1G19GM115/page-1", "74AUP1G19GM115")</f>
        <v>74AUP1G19GM115</v>
      </c>
      <c r="B17326" s="3" t="s">
        <v>93</v>
      </c>
      <c r="C17326" s="6">
        <v>5000</v>
      </c>
      <c r="D17326" s="7">
        <v>0.64</v>
      </c>
    </row>
    <row r="17327" spans="1:4" x14ac:dyDescent="0.25">
      <c r="A17327" t="str">
        <f>HYPERLINK("https://www.773grp.com/globalSearch/74AUP1G19GM132/page-1", "74AUP1G19GM132")</f>
        <v>74AUP1G19GM132</v>
      </c>
      <c r="B17327" s="3" t="s">
        <v>93</v>
      </c>
      <c r="C17327" s="6">
        <v>5000</v>
      </c>
      <c r="D17327" s="7">
        <v>0.64</v>
      </c>
    </row>
    <row r="17328" spans="1:4" x14ac:dyDescent="0.25">
      <c r="A17328" t="str">
        <f>HYPERLINK("https://www.773grp.com/globalSearch/74AUP1G3208GW125/page-1", "74AUP1G3208GW125")</f>
        <v>74AUP1G3208GW125</v>
      </c>
      <c r="B17328" s="3" t="s">
        <v>93</v>
      </c>
      <c r="C17328" s="6">
        <v>2171</v>
      </c>
      <c r="D17328" s="7">
        <v>0.64</v>
      </c>
    </row>
    <row r="17329" spans="1:4" x14ac:dyDescent="0.25">
      <c r="A17329" t="str">
        <f>HYPERLINK("https://www.773grp.com/globalSearch/74AUP1G32GF132/page-1", "74AUP1G32GF132")</f>
        <v>74AUP1G32GF132</v>
      </c>
      <c r="B17329" s="3" t="s">
        <v>93</v>
      </c>
      <c r="C17329" s="6">
        <v>180345</v>
      </c>
      <c r="D17329" s="7">
        <v>0.64</v>
      </c>
    </row>
    <row r="17330" spans="1:4" x14ac:dyDescent="0.25">
      <c r="A17330" t="str">
        <f>HYPERLINK("https://www.773grp.com/globalSearch/74AUP1G32GM115/page-1", "74AUP1G32GM115")</f>
        <v>74AUP1G32GM115</v>
      </c>
      <c r="B17330" s="3" t="s">
        <v>93</v>
      </c>
      <c r="C17330" s="6">
        <v>20000</v>
      </c>
      <c r="D17330" s="7">
        <v>0.64</v>
      </c>
    </row>
    <row r="17331" spans="1:4" x14ac:dyDescent="0.25">
      <c r="A17331" t="str">
        <f>HYPERLINK("https://www.773grp.com/globalSearch/74AUP1G32GM132/page-1", "74AUP1G32GM132")</f>
        <v>74AUP1G32GM132</v>
      </c>
      <c r="B17331" s="3" t="s">
        <v>93</v>
      </c>
      <c r="C17331" s="6">
        <v>4270</v>
      </c>
      <c r="D17331" s="7">
        <v>0.64</v>
      </c>
    </row>
    <row r="17332" spans="1:4" x14ac:dyDescent="0.25">
      <c r="A17332" t="str">
        <f>HYPERLINK("https://www.773grp.com/globalSearch/74AUP1G332GM115/page-1", "74AUP1G332GM115")</f>
        <v>74AUP1G332GM115</v>
      </c>
      <c r="B17332" s="3" t="s">
        <v>93</v>
      </c>
      <c r="C17332" s="6">
        <v>25200</v>
      </c>
      <c r="D17332" s="7">
        <v>0.64</v>
      </c>
    </row>
    <row r="17333" spans="1:4" x14ac:dyDescent="0.25">
      <c r="A17333" t="str">
        <f>HYPERLINK("https://www.773grp.com/globalSearch/74AUP1G34GM115/page-1", "74AUP1G34GM115")</f>
        <v>74AUP1G34GM115</v>
      </c>
      <c r="B17333" s="3" t="s">
        <v>93</v>
      </c>
      <c r="C17333" s="6">
        <v>50174</v>
      </c>
      <c r="D17333" s="7">
        <v>0.64</v>
      </c>
    </row>
    <row r="17334" spans="1:4" x14ac:dyDescent="0.25">
      <c r="A17334" t="str">
        <f>HYPERLINK("https://www.773grp.com/globalSearch/74AUP1G74GD125/page-1", "74AUP1G74GD125")</f>
        <v>74AUP1G74GD125</v>
      </c>
      <c r="B17334" s="3" t="s">
        <v>93</v>
      </c>
      <c r="C17334" s="6">
        <v>2774</v>
      </c>
      <c r="D17334" s="7">
        <v>0.64</v>
      </c>
    </row>
    <row r="17335" spans="1:4" x14ac:dyDescent="0.25">
      <c r="A17335" t="str">
        <f>HYPERLINK("https://www.773grp.com/globalSearch/74AUP1G885DC125/page-1", "74AUP1G885DC125")</f>
        <v>74AUP1G885DC125</v>
      </c>
      <c r="B17335" s="3" t="s">
        <v>93</v>
      </c>
      <c r="C17335" s="6">
        <v>5884</v>
      </c>
      <c r="D17335" s="7">
        <v>0.64</v>
      </c>
    </row>
    <row r="17336" spans="1:4" x14ac:dyDescent="0.25">
      <c r="A17336" t="str">
        <f>HYPERLINK("https://www.773grp.com/globalSearch/74AUP1T34GM115/page-1", "74AUP1T34GM115")</f>
        <v>74AUP1T34GM115</v>
      </c>
      <c r="B17336" s="3" t="s">
        <v>93</v>
      </c>
      <c r="C17336" s="6">
        <v>7577</v>
      </c>
      <c r="D17336" s="7">
        <v>0.64</v>
      </c>
    </row>
    <row r="17337" spans="1:4" x14ac:dyDescent="0.25">
      <c r="A17337" t="str">
        <f>HYPERLINK("https://www.773grp.com/globalSearch/74AUP1T97GW125/page-1", "74AUP1T97GW125")</f>
        <v>74AUP1T97GW125</v>
      </c>
      <c r="B17337" s="3" t="s">
        <v>93</v>
      </c>
      <c r="C17337" s="6">
        <v>3000</v>
      </c>
      <c r="D17337" s="7">
        <v>0.64</v>
      </c>
    </row>
    <row r="17338" spans="1:4" x14ac:dyDescent="0.25">
      <c r="A17338" t="str">
        <f>HYPERLINK("https://www.773grp.com/globalSearch/74AUP2G00DC125/page-1", "74AUP2G00DC125")</f>
        <v>74AUP2G00DC125</v>
      </c>
      <c r="B17338" s="3" t="s">
        <v>93</v>
      </c>
      <c r="C17338" s="6">
        <v>225</v>
      </c>
      <c r="D17338" s="7">
        <v>0.64</v>
      </c>
    </row>
    <row r="17339" spans="1:4" x14ac:dyDescent="0.25">
      <c r="A17339" t="str">
        <f>HYPERLINK("https://www.773grp.com/globalSearch/74AUP2G02GD125/page-1", "74AUP2G02GD125")</f>
        <v>74AUP2G02GD125</v>
      </c>
      <c r="B17339" s="3" t="s">
        <v>93</v>
      </c>
      <c r="C17339" s="6">
        <v>3200</v>
      </c>
      <c r="D17339" s="7">
        <v>0.64</v>
      </c>
    </row>
    <row r="17340" spans="1:4" x14ac:dyDescent="0.25">
      <c r="A17340" t="str">
        <f>HYPERLINK("https://www.773grp.com/globalSearch/74AUP2G08DC125/page-1", "74AUP2G08DC125")</f>
        <v>74AUP2G08DC125</v>
      </c>
      <c r="B17340" s="3" t="s">
        <v>93</v>
      </c>
      <c r="C17340" s="6">
        <v>312</v>
      </c>
      <c r="D17340" s="7">
        <v>0.64</v>
      </c>
    </row>
    <row r="17341" spans="1:4" x14ac:dyDescent="0.25">
      <c r="A17341" t="str">
        <f>HYPERLINK("https://www.773grp.com/globalSearch/74AUP2G08GD125/page-1", "74AUP2G08GD125")</f>
        <v>74AUP2G08GD125</v>
      </c>
      <c r="B17341" s="3" t="s">
        <v>93</v>
      </c>
      <c r="C17341" s="6">
        <v>6000</v>
      </c>
      <c r="D17341" s="7">
        <v>0.64</v>
      </c>
    </row>
    <row r="17342" spans="1:4" x14ac:dyDescent="0.25">
      <c r="A17342" t="str">
        <f>HYPERLINK("https://www.773grp.com/globalSearch/74AUP2G08GM125/page-1", "74AUP2G08GM125")</f>
        <v>74AUP2G08GM125</v>
      </c>
      <c r="B17342" s="3" t="s">
        <v>93</v>
      </c>
      <c r="C17342" s="6">
        <v>15300</v>
      </c>
      <c r="D17342" s="7">
        <v>0.64</v>
      </c>
    </row>
    <row r="17343" spans="1:4" x14ac:dyDescent="0.25">
      <c r="A17343" t="str">
        <f>HYPERLINK("https://www.773grp.com/globalSearch/74AUP2G125DC125/page-1", "74AUP2G125DC125")</f>
        <v>74AUP2G125DC125</v>
      </c>
      <c r="B17343" s="3" t="s">
        <v>93</v>
      </c>
      <c r="C17343" s="6">
        <v>18000</v>
      </c>
      <c r="D17343" s="7">
        <v>0.64</v>
      </c>
    </row>
    <row r="17344" spans="1:4" x14ac:dyDescent="0.25">
      <c r="A17344" t="str">
        <f>HYPERLINK("https://www.773grp.com/globalSearch/74AUP2G125GD125/page-1", "74AUP2G125GD125")</f>
        <v>74AUP2G125GD125</v>
      </c>
      <c r="B17344" s="3" t="s">
        <v>93</v>
      </c>
      <c r="C17344" s="6">
        <v>3000</v>
      </c>
      <c r="D17344" s="7">
        <v>0.64</v>
      </c>
    </row>
    <row r="17345" spans="1:4" x14ac:dyDescent="0.25">
      <c r="A17345" t="str">
        <f>HYPERLINK("https://www.773grp.com/globalSearch/74AUP2G126DC125/page-1", "74AUP2G126DC125")</f>
        <v>74AUP2G126DC125</v>
      </c>
      <c r="B17345" s="3" t="s">
        <v>93</v>
      </c>
      <c r="C17345" s="6">
        <v>204000</v>
      </c>
      <c r="D17345" s="7">
        <v>0.64</v>
      </c>
    </row>
    <row r="17346" spans="1:4" x14ac:dyDescent="0.25">
      <c r="A17346" t="str">
        <f>HYPERLINK("https://www.773grp.com/globalSearch/74AUP2G126GD125/page-1", "74AUP2G126GD125")</f>
        <v>74AUP2G126GD125</v>
      </c>
      <c r="B17346" s="3" t="s">
        <v>93</v>
      </c>
      <c r="C17346" s="6">
        <v>3389</v>
      </c>
      <c r="D17346" s="7">
        <v>0.64</v>
      </c>
    </row>
    <row r="17347" spans="1:4" x14ac:dyDescent="0.25">
      <c r="A17347" t="str">
        <f>HYPERLINK("https://www.773grp.com/globalSearch/74AUP2G132GD125/page-1", "74AUP2G132GD125")</f>
        <v>74AUP2G132GD125</v>
      </c>
      <c r="B17347" s="3" t="s">
        <v>93</v>
      </c>
      <c r="C17347" s="6">
        <v>6219</v>
      </c>
      <c r="D17347" s="7">
        <v>0.64</v>
      </c>
    </row>
    <row r="17348" spans="1:4" x14ac:dyDescent="0.25">
      <c r="A17348" t="str">
        <f>HYPERLINK("https://www.773grp.com/globalSearch/74AUP2G132GM125/page-1", "74AUP2G132GM125")</f>
        <v>74AUP2G132GM125</v>
      </c>
      <c r="B17348" s="3" t="s">
        <v>93</v>
      </c>
      <c r="C17348" s="6">
        <v>300</v>
      </c>
      <c r="D17348" s="7">
        <v>0.64</v>
      </c>
    </row>
    <row r="17349" spans="1:4" x14ac:dyDescent="0.25">
      <c r="A17349" t="str">
        <f>HYPERLINK("https://www.773grp.com/globalSearch/74AUP2G157GM125/page-1", "74AUP2G157GM125")</f>
        <v>74AUP2G157GM125</v>
      </c>
      <c r="B17349" s="3" t="s">
        <v>93</v>
      </c>
      <c r="C17349" s="6">
        <v>275</v>
      </c>
      <c r="D17349" s="7">
        <v>0.64</v>
      </c>
    </row>
    <row r="17350" spans="1:4" x14ac:dyDescent="0.25">
      <c r="A17350" t="str">
        <f>HYPERLINK("https://www.773grp.com/globalSearch/74AUP2G240DC125/page-1", "74AUP2G240DC125")</f>
        <v>74AUP2G240DC125</v>
      </c>
      <c r="B17350" s="3" t="s">
        <v>93</v>
      </c>
      <c r="C17350" s="6">
        <v>3000</v>
      </c>
      <c r="D17350" s="7">
        <v>0.64</v>
      </c>
    </row>
    <row r="17351" spans="1:4" x14ac:dyDescent="0.25">
      <c r="A17351" t="str">
        <f>HYPERLINK("https://www.773grp.com/globalSearch/74AUP2G240GD125/page-1", "74AUP2G240GD125")</f>
        <v>74AUP2G240GD125</v>
      </c>
      <c r="B17351" s="3" t="s">
        <v>93</v>
      </c>
      <c r="C17351" s="6">
        <v>300</v>
      </c>
      <c r="D17351" s="7">
        <v>0.64</v>
      </c>
    </row>
    <row r="17352" spans="1:4" x14ac:dyDescent="0.25">
      <c r="A17352" t="str">
        <f>HYPERLINK("https://www.773grp.com/globalSearch/74AUP2G241DC125/page-1", "74AUP2G241DC125")</f>
        <v>74AUP2G241DC125</v>
      </c>
      <c r="B17352" s="3" t="s">
        <v>93</v>
      </c>
      <c r="C17352" s="6">
        <v>39000</v>
      </c>
      <c r="D17352" s="7">
        <v>0.64</v>
      </c>
    </row>
    <row r="17353" spans="1:4" x14ac:dyDescent="0.25">
      <c r="A17353" t="str">
        <f>HYPERLINK("https://www.773grp.com/globalSearch/74AUP2G241GD125/page-1", "74AUP2G241GD125")</f>
        <v>74AUP2G241GD125</v>
      </c>
      <c r="B17353" s="3" t="s">
        <v>93</v>
      </c>
      <c r="C17353" s="6">
        <v>102249</v>
      </c>
      <c r="D17353" s="7">
        <v>0.64</v>
      </c>
    </row>
    <row r="17354" spans="1:4" x14ac:dyDescent="0.25">
      <c r="A17354" t="str">
        <f>HYPERLINK("https://www.773grp.com/globalSearch/74AUP2G32GD125/page-1", "74AUP2G32GD125")</f>
        <v>74AUP2G32GD125</v>
      </c>
      <c r="B17354" s="3" t="s">
        <v>93</v>
      </c>
      <c r="C17354" s="6">
        <v>6300</v>
      </c>
      <c r="D17354" s="7">
        <v>0.64</v>
      </c>
    </row>
    <row r="17355" spans="1:4" x14ac:dyDescent="0.25">
      <c r="A17355" t="str">
        <f>HYPERLINK("https://www.773grp.com/globalSearch/74AUP2G38DC125/page-1", "74AUP2G38DC125")</f>
        <v>74AUP2G38DC125</v>
      </c>
      <c r="B17355" s="3" t="s">
        <v>93</v>
      </c>
      <c r="C17355" s="6">
        <v>3000</v>
      </c>
      <c r="D17355" s="7">
        <v>0.64</v>
      </c>
    </row>
    <row r="17356" spans="1:4" x14ac:dyDescent="0.25">
      <c r="A17356" t="str">
        <f>HYPERLINK("https://www.773grp.com/globalSearch/74AUP2G38GD125/page-1", "74AUP2G38GD125")</f>
        <v>74AUP2G38GD125</v>
      </c>
      <c r="B17356" s="3" t="s">
        <v>93</v>
      </c>
      <c r="C17356" s="6">
        <v>524</v>
      </c>
      <c r="D17356" s="7">
        <v>0.64</v>
      </c>
    </row>
    <row r="17357" spans="1:4" x14ac:dyDescent="0.25">
      <c r="A17357" t="str">
        <f>HYPERLINK("https://www.773grp.com/globalSearch/74AUP2G38GM125/page-1", "74AUP2G38GM125")</f>
        <v>74AUP2G38GM125</v>
      </c>
      <c r="B17357" s="3" t="s">
        <v>93</v>
      </c>
      <c r="C17357" s="6">
        <v>4300</v>
      </c>
      <c r="D17357" s="7">
        <v>0.64</v>
      </c>
    </row>
    <row r="17358" spans="1:4" x14ac:dyDescent="0.25">
      <c r="A17358" t="str">
        <f>HYPERLINK("https://www.773grp.com/globalSearch/74AUP2G79GD125/page-1", "74AUP2G79GD125")</f>
        <v>74AUP2G79GD125</v>
      </c>
      <c r="B17358" s="3" t="s">
        <v>93</v>
      </c>
      <c r="C17358" s="6">
        <v>539</v>
      </c>
      <c r="D17358" s="7">
        <v>0.64</v>
      </c>
    </row>
    <row r="17359" spans="1:4" x14ac:dyDescent="0.25">
      <c r="A17359" t="str">
        <f>HYPERLINK("https://www.773grp.com/globalSearch/74AUP2G79GM125/page-1", "74AUP2G79GM125")</f>
        <v>74AUP2G79GM125</v>
      </c>
      <c r="B17359" s="3" t="s">
        <v>93</v>
      </c>
      <c r="C17359" s="6">
        <v>300</v>
      </c>
      <c r="D17359" s="7">
        <v>0.64</v>
      </c>
    </row>
    <row r="17360" spans="1:4" x14ac:dyDescent="0.25">
      <c r="A17360" t="str">
        <f>HYPERLINK("https://www.773grp.com/globalSearch/74AUP2G80GD125/page-1", "74AUP2G80GD125")</f>
        <v>74AUP2G80GD125</v>
      </c>
      <c r="B17360" s="3" t="s">
        <v>93</v>
      </c>
      <c r="C17360" s="6">
        <v>2811</v>
      </c>
      <c r="D17360" s="7">
        <v>0.64</v>
      </c>
    </row>
    <row r="17361" spans="1:4" x14ac:dyDescent="0.25">
      <c r="A17361" t="str">
        <f>HYPERLINK("https://www.773grp.com/globalSearch/74AUP2G80GM125/page-1", "74AUP2G80GM125")</f>
        <v>74AUP2G80GM125</v>
      </c>
      <c r="B17361" s="3" t="s">
        <v>93</v>
      </c>
      <c r="C17361" s="6">
        <v>1300</v>
      </c>
      <c r="D17361" s="7">
        <v>0.64</v>
      </c>
    </row>
    <row r="17362" spans="1:4" x14ac:dyDescent="0.25">
      <c r="A17362" t="str">
        <f>HYPERLINK("https://www.773grp.com/globalSearch/74AUP2G86DC125/page-1", "74AUP2G86DC125")</f>
        <v>74AUP2G86DC125</v>
      </c>
      <c r="B17362" s="3" t="s">
        <v>93</v>
      </c>
      <c r="C17362" s="6">
        <v>250</v>
      </c>
      <c r="D17362" s="7">
        <v>0.64</v>
      </c>
    </row>
    <row r="17363" spans="1:4" x14ac:dyDescent="0.25">
      <c r="A17363" t="str">
        <f>HYPERLINK("https://www.773grp.com/globalSearch/74AUP2G86GD125/page-1", "74AUP2G86GD125")</f>
        <v>74AUP2G86GD125</v>
      </c>
      <c r="B17363" s="3" t="s">
        <v>93</v>
      </c>
      <c r="C17363" s="6">
        <v>3300</v>
      </c>
      <c r="D17363" s="7">
        <v>0.64</v>
      </c>
    </row>
    <row r="17364" spans="1:4" x14ac:dyDescent="0.25">
      <c r="A17364" t="str">
        <f>HYPERLINK("https://www.773grp.com/globalSearch/74AUP2G86GM125/page-1", "74AUP2G86GM125")</f>
        <v>74AUP2G86GM125</v>
      </c>
      <c r="B17364" s="3" t="s">
        <v>93</v>
      </c>
      <c r="C17364" s="6">
        <v>300</v>
      </c>
      <c r="D17364" s="7">
        <v>0.64</v>
      </c>
    </row>
    <row r="17365" spans="1:4" x14ac:dyDescent="0.25">
      <c r="A17365" t="str">
        <f>HYPERLINK("https://www.773grp.com/globalSearch/74AVC1T45GM132/page-1", "74AVC1T45GM132")</f>
        <v>74AVC1T45GM132</v>
      </c>
      <c r="B17365" s="3" t="s">
        <v>93</v>
      </c>
      <c r="C17365" s="6">
        <v>5000</v>
      </c>
      <c r="D17365" s="7">
        <v>0.64</v>
      </c>
    </row>
    <row r="17366" spans="1:4" x14ac:dyDescent="0.25">
      <c r="A17366" t="str">
        <f>HYPERLINK("https://www.773grp.com/globalSearch/74HC00DB112/page-1", "74HC00DB112")</f>
        <v>74HC00DB112</v>
      </c>
      <c r="B17366" s="3" t="s">
        <v>93</v>
      </c>
      <c r="C17366" s="6">
        <v>5466</v>
      </c>
      <c r="D17366" s="7">
        <v>0.64</v>
      </c>
    </row>
    <row r="17367" spans="1:4" x14ac:dyDescent="0.25">
      <c r="A17367" t="str">
        <f>HYPERLINK("https://www.773grp.com/globalSearch/74HC00DB118/page-1", "74HC00DB118")</f>
        <v>74HC00DB118</v>
      </c>
      <c r="B17367" s="3" t="s">
        <v>93</v>
      </c>
      <c r="C17367" s="6">
        <v>190</v>
      </c>
      <c r="D17367" s="7">
        <v>0.64</v>
      </c>
    </row>
    <row r="17368" spans="1:4" x14ac:dyDescent="0.25">
      <c r="A17368" t="str">
        <f>HYPERLINK("https://www.773grp.com/globalSearch/74HC04DB118/page-1", "74HC04DB118")</f>
        <v>74HC04DB118</v>
      </c>
      <c r="B17368" s="3" t="s">
        <v>93</v>
      </c>
      <c r="C17368" s="6">
        <v>180</v>
      </c>
      <c r="D17368" s="7">
        <v>0.64</v>
      </c>
    </row>
    <row r="17369" spans="1:4" x14ac:dyDescent="0.25">
      <c r="A17369" t="str">
        <f>HYPERLINK("https://www.773grp.com/globalSearch/74HC08DB112/page-1", "74HC08DB112")</f>
        <v>74HC08DB112</v>
      </c>
      <c r="B17369" s="3" t="s">
        <v>93</v>
      </c>
      <c r="C17369" s="6">
        <v>3347</v>
      </c>
      <c r="D17369" s="7">
        <v>0.64</v>
      </c>
    </row>
    <row r="17370" spans="1:4" x14ac:dyDescent="0.25">
      <c r="A17370" t="str">
        <f>HYPERLINK("https://www.773grp.com/globalSearch/74HC08DB118/page-1", "74HC08DB118")</f>
        <v>74HC08DB118</v>
      </c>
      <c r="B17370" s="3" t="s">
        <v>93</v>
      </c>
      <c r="C17370" s="6">
        <v>168</v>
      </c>
      <c r="D17370" s="7">
        <v>0.64</v>
      </c>
    </row>
    <row r="17371" spans="1:4" x14ac:dyDescent="0.25">
      <c r="A17371" t="str">
        <f>HYPERLINK("https://www.773grp.com/globalSearch/74HC10DB112/page-1", "74HC10DB112")</f>
        <v>74HC10DB112</v>
      </c>
      <c r="B17371" s="3" t="s">
        <v>93</v>
      </c>
      <c r="C17371" s="6">
        <v>2184</v>
      </c>
      <c r="D17371" s="7">
        <v>0.64</v>
      </c>
    </row>
    <row r="17372" spans="1:4" x14ac:dyDescent="0.25">
      <c r="A17372" t="str">
        <f>HYPERLINK("https://www.773grp.com/globalSearch/74HC166D652/page-1", "74HC166D652")</f>
        <v>74HC166D652</v>
      </c>
      <c r="B17372" s="3" t="s">
        <v>93</v>
      </c>
      <c r="C17372" s="6">
        <v>11261</v>
      </c>
      <c r="D17372" s="7">
        <v>0.64</v>
      </c>
    </row>
    <row r="17373" spans="1:4" x14ac:dyDescent="0.25">
      <c r="A17373" t="str">
        <f>HYPERLINK("https://www.773grp.com/globalSearch/74HC166D653/page-1", "74HC166D653")</f>
        <v>74HC166D653</v>
      </c>
      <c r="B17373" s="3" t="s">
        <v>93</v>
      </c>
      <c r="C17373" s="6">
        <v>78855</v>
      </c>
      <c r="D17373" s="7">
        <v>0.64</v>
      </c>
    </row>
    <row r="17374" spans="1:4" x14ac:dyDescent="0.25">
      <c r="A17374" t="str">
        <f>HYPERLINK("https://www.773grp.com/globalSearch/74HC175D652/page-1", "74HC175D652")</f>
        <v>74HC175D652</v>
      </c>
      <c r="B17374" s="3" t="s">
        <v>93</v>
      </c>
      <c r="C17374" s="6">
        <v>12728</v>
      </c>
      <c r="D17374" s="7">
        <v>0.64</v>
      </c>
    </row>
    <row r="17375" spans="1:4" x14ac:dyDescent="0.25">
      <c r="A17375" t="str">
        <f>HYPERLINK("https://www.773grp.com/globalSearch/74HC20DB112/page-1", "74HC20DB112")</f>
        <v>74HC20DB112</v>
      </c>
      <c r="B17375" s="3" t="s">
        <v>93</v>
      </c>
      <c r="C17375" s="6">
        <v>1100</v>
      </c>
      <c r="D17375" s="7">
        <v>0.64</v>
      </c>
    </row>
    <row r="17376" spans="1:4" x14ac:dyDescent="0.25">
      <c r="A17376" t="str">
        <f>HYPERLINK("https://www.773grp.com/globalSearch/74HC240D653/page-1", "74HC240D653")</f>
        <v>74HC240D653</v>
      </c>
      <c r="B17376" s="3" t="s">
        <v>93</v>
      </c>
      <c r="C17376" s="6">
        <v>24000</v>
      </c>
      <c r="D17376" s="7">
        <v>0.64</v>
      </c>
    </row>
    <row r="17377" spans="1:4" x14ac:dyDescent="0.25">
      <c r="A17377" t="str">
        <f>HYPERLINK("https://www.773grp.com/globalSearch/74HC244D653/page-1", "74HC244D653")</f>
        <v>74HC244D653</v>
      </c>
      <c r="B17377" s="3" t="s">
        <v>93</v>
      </c>
      <c r="C17377" s="6">
        <v>56000</v>
      </c>
      <c r="D17377" s="7">
        <v>0.64</v>
      </c>
    </row>
    <row r="17378" spans="1:4" x14ac:dyDescent="0.25">
      <c r="A17378" t="str">
        <f>HYPERLINK("https://www.773grp.com/globalSearch/74HC244DB118/page-1", "74HC244DB118")</f>
        <v>74HC244DB118</v>
      </c>
      <c r="B17378" s="3" t="s">
        <v>93</v>
      </c>
      <c r="C17378" s="6">
        <v>10390</v>
      </c>
      <c r="D17378" s="7">
        <v>0.64</v>
      </c>
    </row>
    <row r="17379" spans="1:4" x14ac:dyDescent="0.25">
      <c r="A17379" t="str">
        <f>HYPERLINK("https://www.773grp.com/globalSearch/74HC245PW112/page-1", "74HC245PW112")</f>
        <v>74HC245PW112</v>
      </c>
      <c r="B17379" s="3" t="s">
        <v>93</v>
      </c>
      <c r="C17379" s="6">
        <v>8062</v>
      </c>
      <c r="D17379" s="7">
        <v>0.64</v>
      </c>
    </row>
    <row r="17380" spans="1:4" x14ac:dyDescent="0.25">
      <c r="A17380" t="str">
        <f>HYPERLINK("https://www.773grp.com/globalSearch/74HC245PW118/page-1", "74HC245PW118")</f>
        <v>74HC245PW118</v>
      </c>
      <c r="B17380" s="3" t="s">
        <v>93</v>
      </c>
      <c r="C17380" s="6">
        <v>1087933</v>
      </c>
      <c r="D17380" s="7">
        <v>0.64</v>
      </c>
    </row>
    <row r="17381" spans="1:4" x14ac:dyDescent="0.25">
      <c r="A17381" t="str">
        <f>HYPERLINK("https://www.773grp.com/globalSearch/74HC253D652/page-1", "74HC253D652")</f>
        <v>74HC253D652</v>
      </c>
      <c r="B17381" s="3" t="s">
        <v>93</v>
      </c>
      <c r="C17381" s="6">
        <v>16020</v>
      </c>
      <c r="D17381" s="7">
        <v>0.64</v>
      </c>
    </row>
    <row r="17382" spans="1:4" x14ac:dyDescent="0.25">
      <c r="A17382" t="str">
        <f>HYPERLINK("https://www.773grp.com/globalSearch/74HC259PW118/page-1", "74HC259PW118")</f>
        <v>74HC259PW118</v>
      </c>
      <c r="B17382" s="3" t="s">
        <v>93</v>
      </c>
      <c r="C17382" s="6">
        <v>15000</v>
      </c>
      <c r="D17382" s="7">
        <v>0.64</v>
      </c>
    </row>
    <row r="17383" spans="1:4" x14ac:dyDescent="0.25">
      <c r="A17383" t="str">
        <f>HYPERLINK("https://www.773grp.com/globalSearch/74HC2G00DC125/page-1", "74HC2G00DC125")</f>
        <v>74HC2G00DC125</v>
      </c>
      <c r="B17383" s="3" t="s">
        <v>93</v>
      </c>
      <c r="C17383" s="6">
        <v>6000</v>
      </c>
      <c r="D17383" s="7">
        <v>0.64</v>
      </c>
    </row>
    <row r="17384" spans="1:4" x14ac:dyDescent="0.25">
      <c r="A17384" t="str">
        <f>HYPERLINK("https://www.773grp.com/globalSearch/74HC2G00GD125/page-1", "74HC2G00GD125")</f>
        <v>74HC2G00GD125</v>
      </c>
      <c r="B17384" s="3" t="s">
        <v>93</v>
      </c>
      <c r="C17384" s="6">
        <v>3000</v>
      </c>
      <c r="D17384" s="7">
        <v>0.64</v>
      </c>
    </row>
    <row r="17385" spans="1:4" x14ac:dyDescent="0.25">
      <c r="A17385" t="str">
        <f>HYPERLINK("https://www.773grp.com/globalSearch/74HC2G02DC125/page-1", "74HC2G02DC125")</f>
        <v>74HC2G02DC125</v>
      </c>
      <c r="B17385" s="3" t="s">
        <v>93</v>
      </c>
      <c r="C17385" s="6">
        <v>12000</v>
      </c>
      <c r="D17385" s="7">
        <v>0.64</v>
      </c>
    </row>
    <row r="17386" spans="1:4" x14ac:dyDescent="0.25">
      <c r="A17386" t="str">
        <f>HYPERLINK("https://www.773grp.com/globalSearch/74HC2G02GD125/page-1", "74HC2G02GD125")</f>
        <v>74HC2G02GD125</v>
      </c>
      <c r="B17386" s="3" t="s">
        <v>93</v>
      </c>
      <c r="C17386" s="6">
        <v>3000</v>
      </c>
      <c r="D17386" s="7">
        <v>0.64</v>
      </c>
    </row>
    <row r="17387" spans="1:4" x14ac:dyDescent="0.25">
      <c r="A17387" t="str">
        <f>HYPERLINK("https://www.773grp.com/globalSearch/74HC2G08GD125/page-1", "74HC2G08GD125")</f>
        <v>74HC2G08GD125</v>
      </c>
      <c r="B17387" s="3" t="s">
        <v>93</v>
      </c>
      <c r="C17387" s="6">
        <v>3000</v>
      </c>
      <c r="D17387" s="7">
        <v>0.64</v>
      </c>
    </row>
    <row r="17388" spans="1:4" x14ac:dyDescent="0.25">
      <c r="A17388" t="str">
        <f>HYPERLINK("https://www.773grp.com/globalSearch/74HC2G125DP125/page-1", "74HC2G125DP125")</f>
        <v>74HC2G125DP125</v>
      </c>
      <c r="B17388" s="3" t="s">
        <v>93</v>
      </c>
      <c r="C17388" s="6">
        <v>12000</v>
      </c>
      <c r="D17388" s="7">
        <v>0.64</v>
      </c>
    </row>
    <row r="17389" spans="1:4" x14ac:dyDescent="0.25">
      <c r="A17389" t="str">
        <f>HYPERLINK("https://www.773grp.com/globalSearch/74HC2G126GD125/page-1", "74HC2G126GD125")</f>
        <v>74HC2G126GD125</v>
      </c>
      <c r="B17389" s="3" t="s">
        <v>93</v>
      </c>
      <c r="C17389" s="6">
        <v>6230</v>
      </c>
      <c r="D17389" s="7">
        <v>0.64</v>
      </c>
    </row>
    <row r="17390" spans="1:4" x14ac:dyDescent="0.25">
      <c r="A17390" t="str">
        <f>HYPERLINK("https://www.773grp.com/globalSearch/74HC2G32GD125/page-1", "74HC2G32GD125")</f>
        <v>74HC2G32GD125</v>
      </c>
      <c r="B17390" s="3" t="s">
        <v>93</v>
      </c>
      <c r="C17390" s="6">
        <v>6000</v>
      </c>
      <c r="D17390" s="7">
        <v>0.64</v>
      </c>
    </row>
    <row r="17391" spans="1:4" x14ac:dyDescent="0.25">
      <c r="A17391" t="str">
        <f>HYPERLINK("https://www.773grp.com/globalSearch/74HC2G66GD125/page-1", "74HC2G66GD125")</f>
        <v>74HC2G66GD125</v>
      </c>
      <c r="B17391" s="3" t="s">
        <v>93</v>
      </c>
      <c r="C17391" s="6">
        <v>5428</v>
      </c>
      <c r="D17391" s="7">
        <v>0.64</v>
      </c>
    </row>
    <row r="17392" spans="1:4" x14ac:dyDescent="0.25">
      <c r="A17392" t="str">
        <f>HYPERLINK("https://www.773grp.com/globalSearch/74HC32DB112/page-1", "74HC32DB112")</f>
        <v>74HC32DB112</v>
      </c>
      <c r="B17392" s="3" t="s">
        <v>93</v>
      </c>
      <c r="C17392" s="6">
        <v>1092</v>
      </c>
      <c r="D17392" s="7">
        <v>0.64</v>
      </c>
    </row>
    <row r="17393" spans="1:4" x14ac:dyDescent="0.25">
      <c r="A17393" t="str">
        <f>HYPERLINK("https://www.773grp.com/globalSearch/74HC365PW112/page-1", "74HC365PW112")</f>
        <v>74HC365PW112</v>
      </c>
      <c r="B17393" s="3" t="s">
        <v>93</v>
      </c>
      <c r="C17393" s="6">
        <v>7200</v>
      </c>
      <c r="D17393" s="7">
        <v>0.64</v>
      </c>
    </row>
    <row r="17394" spans="1:4" x14ac:dyDescent="0.25">
      <c r="A17394" t="str">
        <f>HYPERLINK("https://www.773grp.com/globalSearch/74HC373DB118/page-1", "74HC373DB118")</f>
        <v>74HC373DB118</v>
      </c>
      <c r="B17394" s="3" t="s">
        <v>93</v>
      </c>
      <c r="C17394" s="6">
        <v>17229</v>
      </c>
      <c r="D17394" s="7">
        <v>0.64</v>
      </c>
    </row>
    <row r="17395" spans="1:4" x14ac:dyDescent="0.25">
      <c r="A17395" t="str">
        <f>HYPERLINK("https://www.773grp.com/globalSearch/74HC374DB112/page-1", "74HC374DB112")</f>
        <v>74HC374DB112</v>
      </c>
      <c r="B17395" s="3" t="s">
        <v>93</v>
      </c>
      <c r="C17395" s="6">
        <v>6336</v>
      </c>
      <c r="D17395" s="7">
        <v>0.64</v>
      </c>
    </row>
    <row r="17396" spans="1:4" x14ac:dyDescent="0.25">
      <c r="A17396" t="str">
        <f>HYPERLINK("https://www.773grp.com/globalSearch/74HC374DB118/page-1", "74HC374DB118")</f>
        <v>74HC374DB118</v>
      </c>
      <c r="B17396" s="3" t="s">
        <v>93</v>
      </c>
      <c r="C17396" s="6">
        <v>2804</v>
      </c>
      <c r="D17396" s="7">
        <v>0.64</v>
      </c>
    </row>
    <row r="17397" spans="1:4" x14ac:dyDescent="0.25">
      <c r="A17397" t="str">
        <f>HYPERLINK("https://www.773grp.com/globalSearch/74HC4002D652/page-1", "74HC4002D652")</f>
        <v>74HC4002D652</v>
      </c>
      <c r="B17397" s="3" t="s">
        <v>93</v>
      </c>
      <c r="C17397" s="6">
        <v>13680</v>
      </c>
      <c r="D17397" s="7">
        <v>0.64</v>
      </c>
    </row>
    <row r="17398" spans="1:4" x14ac:dyDescent="0.25">
      <c r="A17398" t="str">
        <f>HYPERLINK("https://www.773grp.com/globalSearch/74HC4002D653/page-1", "74HC4002D653")</f>
        <v>74HC4002D653</v>
      </c>
      <c r="B17398" s="3" t="s">
        <v>93</v>
      </c>
      <c r="C17398" s="6">
        <v>4575</v>
      </c>
      <c r="D17398" s="7">
        <v>0.64</v>
      </c>
    </row>
    <row r="17399" spans="1:4" x14ac:dyDescent="0.25">
      <c r="A17399" t="str">
        <f>HYPERLINK("https://www.773grp.com/globalSearch/74HC4050D652/page-1", "74HC4050D652")</f>
        <v>74HC4050D652</v>
      </c>
      <c r="B17399" s="3" t="s">
        <v>93</v>
      </c>
      <c r="C17399" s="6">
        <v>10926</v>
      </c>
      <c r="D17399" s="7">
        <v>0.64</v>
      </c>
    </row>
    <row r="17400" spans="1:4" x14ac:dyDescent="0.25">
      <c r="A17400" t="str">
        <f>HYPERLINK("https://www.773grp.com/globalSearch/74HC4050D653/page-1", "74HC4050D653")</f>
        <v>74HC4050D653</v>
      </c>
      <c r="B17400" s="3" t="s">
        <v>93</v>
      </c>
      <c r="C17400" s="6">
        <v>2500</v>
      </c>
      <c r="D17400" s="7">
        <v>0.64</v>
      </c>
    </row>
    <row r="17401" spans="1:4" x14ac:dyDescent="0.25">
      <c r="A17401" t="str">
        <f>HYPERLINK("https://www.773grp.com/globalSearch/74HC573D653/page-1", "74HC573D653")</f>
        <v>74HC573D653</v>
      </c>
      <c r="B17401" s="3" t="s">
        <v>93</v>
      </c>
      <c r="C17401" s="6">
        <v>160000</v>
      </c>
      <c r="D17401" s="7">
        <v>0.64</v>
      </c>
    </row>
    <row r="17402" spans="1:4" x14ac:dyDescent="0.25">
      <c r="A17402" t="str">
        <f>HYPERLINK("https://www.773grp.com/globalSearch/74HC73D652/page-1", "74HC73D652")</f>
        <v>74HC73D652</v>
      </c>
      <c r="B17402" s="3" t="s">
        <v>93</v>
      </c>
      <c r="C17402" s="6">
        <v>2250</v>
      </c>
      <c r="D17402" s="7">
        <v>0.64</v>
      </c>
    </row>
    <row r="17403" spans="1:4" x14ac:dyDescent="0.25">
      <c r="A17403" t="str">
        <f>HYPERLINK("https://www.773grp.com/globalSearch/74HCT153D652/page-1", "74HCT153D652")</f>
        <v>74HCT153D652</v>
      </c>
      <c r="B17403" s="3" t="s">
        <v>93</v>
      </c>
      <c r="C17403" s="6">
        <v>20879</v>
      </c>
      <c r="D17403" s="7">
        <v>0.64</v>
      </c>
    </row>
    <row r="17404" spans="1:4" x14ac:dyDescent="0.25">
      <c r="A17404" t="str">
        <f>HYPERLINK("https://www.773grp.com/globalSearch/74HCT153D653/page-1", "74HCT153D653")</f>
        <v>74HCT153D653</v>
      </c>
      <c r="B17404" s="3" t="s">
        <v>93</v>
      </c>
      <c r="C17404" s="6">
        <v>4156</v>
      </c>
      <c r="D17404" s="7">
        <v>0.64</v>
      </c>
    </row>
    <row r="17405" spans="1:4" x14ac:dyDescent="0.25">
      <c r="A17405" t="str">
        <f>HYPERLINK("https://www.773grp.com/globalSearch/74HCT164PW112/page-1", "74HCT164PW112")</f>
        <v>74HCT164PW112</v>
      </c>
      <c r="B17405" s="3" t="s">
        <v>93</v>
      </c>
      <c r="C17405" s="6">
        <v>4175</v>
      </c>
      <c r="D17405" s="7">
        <v>0.64</v>
      </c>
    </row>
    <row r="17406" spans="1:4" x14ac:dyDescent="0.25">
      <c r="A17406" t="str">
        <f>HYPERLINK("https://www.773grp.com/globalSearch/74HCT164PW118/page-1", "74HCT164PW118")</f>
        <v>74HCT164PW118</v>
      </c>
      <c r="B17406" s="3" t="s">
        <v>93</v>
      </c>
      <c r="C17406" s="6">
        <v>14674</v>
      </c>
      <c r="D17406" s="7">
        <v>0.64</v>
      </c>
    </row>
    <row r="17407" spans="1:4" x14ac:dyDescent="0.25">
      <c r="A17407" t="str">
        <f>HYPERLINK("https://www.773grp.com/globalSearch/74HCT174D652/page-1", "74HCT174D652")</f>
        <v>74HCT174D652</v>
      </c>
      <c r="B17407" s="3" t="s">
        <v>93</v>
      </c>
      <c r="C17407" s="6">
        <v>5000</v>
      </c>
      <c r="D17407" s="7">
        <v>0.64</v>
      </c>
    </row>
    <row r="17408" spans="1:4" x14ac:dyDescent="0.25">
      <c r="A17408" t="str">
        <f>HYPERLINK("https://www.773grp.com/globalSearch/74HCT174D653/page-1", "74HCT174D653")</f>
        <v>74HCT174D653</v>
      </c>
      <c r="B17408" s="3" t="s">
        <v>93</v>
      </c>
      <c r="C17408" s="6">
        <v>2500</v>
      </c>
      <c r="D17408" s="7">
        <v>0.64</v>
      </c>
    </row>
    <row r="17409" spans="1:4" x14ac:dyDescent="0.25">
      <c r="A17409" t="str">
        <f>HYPERLINK("https://www.773grp.com/globalSearch/74HCT174PW118/page-1", "74HCT174PW118")</f>
        <v>74HCT174PW118</v>
      </c>
      <c r="B17409" s="3" t="s">
        <v>93</v>
      </c>
      <c r="C17409" s="6">
        <v>194</v>
      </c>
      <c r="D17409" s="7">
        <v>0.64</v>
      </c>
    </row>
    <row r="17410" spans="1:4" x14ac:dyDescent="0.25">
      <c r="A17410" t="str">
        <f>HYPERLINK("https://www.773grp.com/globalSearch/74HCT244D653/page-1", "74HCT244D653")</f>
        <v>74HCT244D653</v>
      </c>
      <c r="B17410" s="3" t="s">
        <v>93</v>
      </c>
      <c r="C17410" s="6">
        <v>142000</v>
      </c>
      <c r="D17410" s="7">
        <v>0.64</v>
      </c>
    </row>
    <row r="17411" spans="1:4" x14ac:dyDescent="0.25">
      <c r="A17411" t="str">
        <f>HYPERLINK("https://www.773grp.com/globalSearch/74HCT244DB112/page-1", "74HCT244DB112")</f>
        <v>74HCT244DB112</v>
      </c>
      <c r="B17411" s="3" t="s">
        <v>93</v>
      </c>
      <c r="C17411" s="6">
        <v>9804</v>
      </c>
      <c r="D17411" s="7">
        <v>0.64</v>
      </c>
    </row>
    <row r="17412" spans="1:4" x14ac:dyDescent="0.25">
      <c r="A17412" t="str">
        <f>HYPERLINK("https://www.773grp.com/globalSearch/74HCT244DB118/page-1", "74HCT244DB118")</f>
        <v>74HCT244DB118</v>
      </c>
      <c r="B17412" s="3" t="s">
        <v>93</v>
      </c>
      <c r="C17412" s="6">
        <v>200</v>
      </c>
      <c r="D17412" s="7">
        <v>0.64</v>
      </c>
    </row>
    <row r="17413" spans="1:4" x14ac:dyDescent="0.25">
      <c r="A17413" t="str">
        <f>HYPERLINK("https://www.773grp.com/globalSearch/74HCT245D652/page-1", "74HCT245D652")</f>
        <v>74HCT245D652</v>
      </c>
      <c r="B17413" s="3" t="s">
        <v>93</v>
      </c>
      <c r="C17413" s="6">
        <v>9120</v>
      </c>
      <c r="D17413" s="7">
        <v>0.64</v>
      </c>
    </row>
    <row r="17414" spans="1:4" x14ac:dyDescent="0.25">
      <c r="A17414" t="str">
        <f>HYPERLINK("https://www.773grp.com/globalSearch/74HCT245D653/page-1", "74HCT245D653")</f>
        <v>74HCT245D653</v>
      </c>
      <c r="B17414" s="3" t="s">
        <v>93</v>
      </c>
      <c r="C17414" s="6">
        <v>58000</v>
      </c>
      <c r="D17414" s="7">
        <v>0.64</v>
      </c>
    </row>
    <row r="17415" spans="1:4" x14ac:dyDescent="0.25">
      <c r="A17415" t="str">
        <f>HYPERLINK("https://www.773grp.com/globalSearch/74HCT245DB112/page-1", "74HCT245DB112")</f>
        <v>74HCT245DB112</v>
      </c>
      <c r="B17415" s="3" t="s">
        <v>93</v>
      </c>
      <c r="C17415" s="6">
        <v>14434</v>
      </c>
      <c r="D17415" s="7">
        <v>0.64</v>
      </c>
    </row>
    <row r="17416" spans="1:4" x14ac:dyDescent="0.25">
      <c r="A17416" t="str">
        <f>HYPERLINK("https://www.773grp.com/globalSearch/74HCT253D652/page-1", "74HCT253D652")</f>
        <v>74HCT253D652</v>
      </c>
      <c r="B17416" s="3" t="s">
        <v>93</v>
      </c>
      <c r="C17416" s="6">
        <v>13786</v>
      </c>
      <c r="D17416" s="7">
        <v>0.64</v>
      </c>
    </row>
    <row r="17417" spans="1:4" x14ac:dyDescent="0.25">
      <c r="A17417" t="str">
        <f>HYPERLINK("https://www.773grp.com/globalSearch/74HCT253D653/page-1", "74HCT253D653")</f>
        <v>74HCT253D653</v>
      </c>
      <c r="B17417" s="3" t="s">
        <v>93</v>
      </c>
      <c r="C17417" s="6">
        <v>7695</v>
      </c>
      <c r="D17417" s="7">
        <v>0.64</v>
      </c>
    </row>
    <row r="17418" spans="1:4" x14ac:dyDescent="0.25">
      <c r="A17418" t="str">
        <f>HYPERLINK("https://www.773grp.com/globalSearch/74HCT259D652/page-1", "74HCT259D652")</f>
        <v>74HCT259D652</v>
      </c>
      <c r="B17418" s="3" t="s">
        <v>93</v>
      </c>
      <c r="C17418" s="6">
        <v>5000</v>
      </c>
      <c r="D17418" s="7">
        <v>0.64</v>
      </c>
    </row>
    <row r="17419" spans="1:4" x14ac:dyDescent="0.25">
      <c r="A17419" t="str">
        <f>HYPERLINK("https://www.773grp.com/globalSearch/74HCT259D653/page-1", "74HCT259D653")</f>
        <v>74HCT259D653</v>
      </c>
      <c r="B17419" s="3" t="s">
        <v>93</v>
      </c>
      <c r="C17419" s="6">
        <v>55000</v>
      </c>
      <c r="D17419" s="7">
        <v>0.64</v>
      </c>
    </row>
    <row r="17420" spans="1:4" x14ac:dyDescent="0.25">
      <c r="A17420" t="str">
        <f>HYPERLINK("https://www.773grp.com/globalSearch/74HCT273DB112/page-1", "74HCT273DB112")</f>
        <v>74HCT273DB112</v>
      </c>
      <c r="B17420" s="3" t="s">
        <v>93</v>
      </c>
      <c r="C17420" s="6">
        <v>1848</v>
      </c>
      <c r="D17420" s="7">
        <v>0.64</v>
      </c>
    </row>
    <row r="17421" spans="1:4" x14ac:dyDescent="0.25">
      <c r="A17421" t="str">
        <f>HYPERLINK("https://www.773grp.com/globalSearch/74HCT2G02GD125/page-1", "74HCT2G02GD125")</f>
        <v>74HCT2G02GD125</v>
      </c>
      <c r="B17421" s="3" t="s">
        <v>93</v>
      </c>
      <c r="C17421" s="6">
        <v>3000</v>
      </c>
      <c r="D17421" s="7">
        <v>0.64</v>
      </c>
    </row>
    <row r="17422" spans="1:4" x14ac:dyDescent="0.25">
      <c r="A17422" t="str">
        <f>HYPERLINK("https://www.773grp.com/globalSearch/74HCT2G08GD125/page-1", "74HCT2G08GD125")</f>
        <v>74HCT2G08GD125</v>
      </c>
      <c r="B17422" s="3" t="s">
        <v>93</v>
      </c>
      <c r="C17422" s="6">
        <v>3000</v>
      </c>
      <c r="D17422" s="7">
        <v>0.64</v>
      </c>
    </row>
    <row r="17423" spans="1:4" x14ac:dyDescent="0.25">
      <c r="A17423" t="str">
        <f>HYPERLINK("https://www.773grp.com/globalSearch/74HCT2G126GD125/page-1", "74HCT2G126GD125")</f>
        <v>74HCT2G126GD125</v>
      </c>
      <c r="B17423" s="3" t="s">
        <v>93</v>
      </c>
      <c r="C17423" s="6">
        <v>3250</v>
      </c>
      <c r="D17423" s="7">
        <v>0.64</v>
      </c>
    </row>
    <row r="17424" spans="1:4" x14ac:dyDescent="0.25">
      <c r="A17424" t="str">
        <f>HYPERLINK("https://www.773grp.com/globalSearch/74HCT2G66GD125/page-1", "74HCT2G66GD125")</f>
        <v>74HCT2G66GD125</v>
      </c>
      <c r="B17424" s="3" t="s">
        <v>93</v>
      </c>
      <c r="C17424" s="6">
        <v>250</v>
      </c>
      <c r="D17424" s="7">
        <v>0.64</v>
      </c>
    </row>
    <row r="17425" spans="1:4" x14ac:dyDescent="0.25">
      <c r="A17425" t="str">
        <f>HYPERLINK("https://www.773grp.com/globalSearch/74HCT373D652/page-1", "74HCT373D652")</f>
        <v>74HCT373D652</v>
      </c>
      <c r="B17425" s="3" t="s">
        <v>93</v>
      </c>
      <c r="C17425" s="6">
        <v>2750</v>
      </c>
      <c r="D17425" s="7">
        <v>0.64</v>
      </c>
    </row>
    <row r="17426" spans="1:4" x14ac:dyDescent="0.25">
      <c r="A17426" t="str">
        <f>HYPERLINK("https://www.773grp.com/globalSearch/74HCT373D653/page-1", "74HCT373D653")</f>
        <v>74HCT373D653</v>
      </c>
      <c r="B17426" s="3" t="s">
        <v>93</v>
      </c>
      <c r="C17426" s="6">
        <v>52000</v>
      </c>
      <c r="D17426" s="7">
        <v>0.64</v>
      </c>
    </row>
    <row r="17427" spans="1:4" x14ac:dyDescent="0.25">
      <c r="A17427" t="str">
        <f>HYPERLINK("https://www.773grp.com/globalSearch/74HCT374DB118/page-1", "74HCT374DB118")</f>
        <v>74HCT374DB118</v>
      </c>
      <c r="B17427" s="3" t="s">
        <v>93</v>
      </c>
      <c r="C17427" s="6">
        <v>2000</v>
      </c>
      <c r="D17427" s="7">
        <v>0.64</v>
      </c>
    </row>
    <row r="17428" spans="1:4" x14ac:dyDescent="0.25">
      <c r="A17428" t="str">
        <f>HYPERLINK("https://www.773grp.com/globalSearch/74HCT3G04GD125/page-1", "74HCT3G04GD125")</f>
        <v>74HCT3G04GD125</v>
      </c>
      <c r="B17428" s="3" t="s">
        <v>93</v>
      </c>
      <c r="C17428" s="6">
        <v>3148</v>
      </c>
      <c r="D17428" s="7">
        <v>0.64</v>
      </c>
    </row>
    <row r="17429" spans="1:4" x14ac:dyDescent="0.25">
      <c r="A17429" t="str">
        <f>HYPERLINK("https://www.773grp.com/globalSearch/74HCT4051D118/page-1", "74HCT4051D118")</f>
        <v>74HCT4051D118</v>
      </c>
      <c r="B17429" s="3" t="s">
        <v>93</v>
      </c>
      <c r="C17429" s="6">
        <v>90843</v>
      </c>
      <c r="D17429" s="7">
        <v>0.64</v>
      </c>
    </row>
    <row r="17430" spans="1:4" x14ac:dyDescent="0.25">
      <c r="A17430" t="str">
        <f>HYPERLINK("https://www.773grp.com/globalSearch/74HCT4051PW112/page-1", "74HCT4051PW112")</f>
        <v>74HCT4051PW112</v>
      </c>
      <c r="B17430" s="3" t="s">
        <v>93</v>
      </c>
      <c r="C17430" s="6">
        <v>6243</v>
      </c>
      <c r="D17430" s="7">
        <v>0.64</v>
      </c>
    </row>
    <row r="17431" spans="1:4" x14ac:dyDescent="0.25">
      <c r="A17431" t="str">
        <f>HYPERLINK("https://www.773grp.com/globalSearch/74HCT4051PW118/page-1", "74HCT4051PW118")</f>
        <v>74HCT4051PW118</v>
      </c>
      <c r="B17431" s="3" t="s">
        <v>93</v>
      </c>
      <c r="C17431" s="6">
        <v>10000</v>
      </c>
      <c r="D17431" s="7">
        <v>0.64</v>
      </c>
    </row>
    <row r="17432" spans="1:4" x14ac:dyDescent="0.25">
      <c r="A17432" t="str">
        <f>HYPERLINK("https://www.773grp.com/globalSearch/74HCT4052D112/page-1", "74HCT4052D112")</f>
        <v>74HCT4052D112</v>
      </c>
      <c r="B17432" s="3" t="s">
        <v>93</v>
      </c>
      <c r="C17432" s="6">
        <v>5600</v>
      </c>
      <c r="D17432" s="7">
        <v>0.64</v>
      </c>
    </row>
    <row r="17433" spans="1:4" x14ac:dyDescent="0.25">
      <c r="A17433" t="str">
        <f>HYPERLINK("https://www.773grp.com/globalSearch/74HCT4094D112/page-1", "74HCT4094D112")</f>
        <v>74HCT4094D112</v>
      </c>
      <c r="B17433" s="3" t="s">
        <v>93</v>
      </c>
      <c r="C17433" s="6">
        <v>17000</v>
      </c>
      <c r="D17433" s="7">
        <v>0.64</v>
      </c>
    </row>
    <row r="17434" spans="1:4" x14ac:dyDescent="0.25">
      <c r="A17434" t="str">
        <f>HYPERLINK("https://www.773grp.com/globalSearch/74HCT4094D118/page-1", "74HCT4094D118")</f>
        <v>74HCT4094D118</v>
      </c>
      <c r="B17434" s="3" t="s">
        <v>93</v>
      </c>
      <c r="C17434" s="6">
        <v>5000</v>
      </c>
      <c r="D17434" s="7">
        <v>0.64</v>
      </c>
    </row>
    <row r="17435" spans="1:4" x14ac:dyDescent="0.25">
      <c r="A17435" t="str">
        <f>HYPERLINK("https://www.773grp.com/globalSearch/74HCT573D653/page-1", "74HCT573D653")</f>
        <v>74HCT573D653</v>
      </c>
      <c r="B17435" s="3" t="s">
        <v>93</v>
      </c>
      <c r="C17435" s="6">
        <v>14000</v>
      </c>
      <c r="D17435" s="7">
        <v>0.64</v>
      </c>
    </row>
    <row r="17436" spans="1:4" x14ac:dyDescent="0.25">
      <c r="A17436" t="str">
        <f>HYPERLINK("https://www.773grp.com/globalSearch/74HCT573DB112/page-1", "74HCT573DB112")</f>
        <v>74HCT573DB112</v>
      </c>
      <c r="B17436" s="3" t="s">
        <v>93</v>
      </c>
      <c r="C17436" s="6">
        <v>9636</v>
      </c>
      <c r="D17436" s="7">
        <v>0.64</v>
      </c>
    </row>
    <row r="17437" spans="1:4" x14ac:dyDescent="0.25">
      <c r="A17437" t="str">
        <f>HYPERLINK("https://www.773grp.com/globalSearch/74HCT573DB118/page-1", "74HCT573DB118")</f>
        <v>74HCT573DB118</v>
      </c>
      <c r="B17437" s="3" t="s">
        <v>93</v>
      </c>
      <c r="C17437" s="6">
        <v>8310</v>
      </c>
      <c r="D17437" s="7">
        <v>0.64</v>
      </c>
    </row>
    <row r="17438" spans="1:4" x14ac:dyDescent="0.25">
      <c r="A17438" t="str">
        <f>HYPERLINK("https://www.773grp.com/globalSearch/74LV02BQ115/page-1", "74LV02BQ115")</f>
        <v>74LV02BQ115</v>
      </c>
      <c r="B17438" s="3" t="s">
        <v>93</v>
      </c>
      <c r="C17438" s="6">
        <v>300</v>
      </c>
      <c r="D17438" s="7">
        <v>0.64</v>
      </c>
    </row>
    <row r="17439" spans="1:4" x14ac:dyDescent="0.25">
      <c r="A17439" t="str">
        <f>HYPERLINK("https://www.773grp.com/globalSearch/74LV123DB112/page-1", "74LV123DB112")</f>
        <v>74LV123DB112</v>
      </c>
      <c r="B17439" s="3" t="s">
        <v>93</v>
      </c>
      <c r="C17439" s="6">
        <v>9659</v>
      </c>
      <c r="D17439" s="7">
        <v>0.64</v>
      </c>
    </row>
    <row r="17440" spans="1:4" x14ac:dyDescent="0.25">
      <c r="A17440" t="str">
        <f>HYPERLINK("https://www.773grp.com/globalSearch/74LV123DB118/page-1", "74LV123DB118")</f>
        <v>74LV123DB118</v>
      </c>
      <c r="B17440" s="3" t="s">
        <v>93</v>
      </c>
      <c r="C17440" s="6">
        <v>2165</v>
      </c>
      <c r="D17440" s="7">
        <v>0.64</v>
      </c>
    </row>
    <row r="17441" spans="1:4" x14ac:dyDescent="0.25">
      <c r="A17441" t="str">
        <f>HYPERLINK("https://www.773grp.com/globalSearch/74LV14DB118/page-1", "74LV14DB118")</f>
        <v>74LV14DB118</v>
      </c>
      <c r="B17441" s="3" t="s">
        <v>93</v>
      </c>
      <c r="C17441" s="6">
        <v>14561</v>
      </c>
      <c r="D17441" s="7">
        <v>0.64</v>
      </c>
    </row>
    <row r="17442" spans="1:4" x14ac:dyDescent="0.25">
      <c r="A17442" t="str">
        <f>HYPERLINK("https://www.773grp.com/globalSearch/74LVC132APW118/page-1", "74LVC132APW118")</f>
        <v>74LVC132APW118</v>
      </c>
      <c r="B17442" s="3" t="s">
        <v>93</v>
      </c>
      <c r="C17442" s="6">
        <v>7500</v>
      </c>
      <c r="D17442" s="7">
        <v>0.64</v>
      </c>
    </row>
    <row r="17443" spans="1:4" x14ac:dyDescent="0.25">
      <c r="A17443" t="str">
        <f>HYPERLINK("https://www.773grp.com/globalSearch/74LVC1G384GM115/page-1", "74LVC1G384GM115")</f>
        <v>74LVC1G384GM115</v>
      </c>
      <c r="B17443" s="3" t="s">
        <v>93</v>
      </c>
      <c r="C17443" s="6">
        <v>15000</v>
      </c>
      <c r="D17443" s="7">
        <v>0.64</v>
      </c>
    </row>
    <row r="17444" spans="1:4" x14ac:dyDescent="0.25">
      <c r="A17444" t="str">
        <f>HYPERLINK("https://www.773grp.com/globalSearch/74LVC1G53GD125/page-1", "74LVC1G53GD125")</f>
        <v>74LVC1G53GD125</v>
      </c>
      <c r="B17444" s="3" t="s">
        <v>93</v>
      </c>
      <c r="C17444" s="6">
        <v>3000</v>
      </c>
      <c r="D17444" s="7">
        <v>0.64</v>
      </c>
    </row>
    <row r="17445" spans="1:4" x14ac:dyDescent="0.25">
      <c r="A17445" t="str">
        <f>HYPERLINK("https://www.773grp.com/globalSearch/74LVC1G66GM115/page-1", "74LVC1G66GM115")</f>
        <v>74LVC1G66GM115</v>
      </c>
      <c r="B17445" s="3" t="s">
        <v>93</v>
      </c>
      <c r="C17445" s="6">
        <v>30450</v>
      </c>
      <c r="D17445" s="7">
        <v>0.64</v>
      </c>
    </row>
    <row r="17446" spans="1:4" x14ac:dyDescent="0.25">
      <c r="A17446" t="str">
        <f>HYPERLINK("https://www.773grp.com/globalSearch/74LVC1G74GD125/page-1", "74LVC1G74GD125")</f>
        <v>74LVC1G74GD125</v>
      </c>
      <c r="B17446" s="3" t="s">
        <v>93</v>
      </c>
      <c r="C17446" s="6">
        <v>3300</v>
      </c>
      <c r="D17446" s="7">
        <v>0.64</v>
      </c>
    </row>
    <row r="17447" spans="1:4" x14ac:dyDescent="0.25">
      <c r="A17447" t="str">
        <f>HYPERLINK("https://www.773grp.com/globalSearch/74LVC1G74GM125/page-1", "74LVC1G74GM125")</f>
        <v>74LVC1G74GM125</v>
      </c>
      <c r="B17447" s="3" t="s">
        <v>93</v>
      </c>
      <c r="C17447" s="6">
        <v>184488</v>
      </c>
      <c r="D17447" s="7">
        <v>0.64</v>
      </c>
    </row>
    <row r="17448" spans="1:4" x14ac:dyDescent="0.25">
      <c r="A17448" t="str">
        <f>HYPERLINK("https://www.773grp.com/globalSearch/74LVC1G99GD125/page-1", "74LVC1G99GD125")</f>
        <v>74LVC1G99GD125</v>
      </c>
      <c r="B17448" s="3" t="s">
        <v>93</v>
      </c>
      <c r="C17448" s="6">
        <v>6000</v>
      </c>
      <c r="D17448" s="7">
        <v>0.64</v>
      </c>
    </row>
    <row r="17449" spans="1:4" x14ac:dyDescent="0.25">
      <c r="A17449" t="str">
        <f>HYPERLINK("https://www.773grp.com/globalSearch/74LVC1T45GM115/page-1", "74LVC1T45GM115")</f>
        <v>74LVC1T45GM115</v>
      </c>
      <c r="B17449" s="3" t="s">
        <v>93</v>
      </c>
      <c r="C17449" s="6">
        <v>905270</v>
      </c>
      <c r="D17449" s="7">
        <v>0.64</v>
      </c>
    </row>
    <row r="17450" spans="1:4" x14ac:dyDescent="0.25">
      <c r="A17450" t="str">
        <f>HYPERLINK("https://www.773grp.com/globalSearch/74LVC1T45GM132/page-1", "74LVC1T45GM132")</f>
        <v>74LVC1T45GM132</v>
      </c>
      <c r="B17450" s="3" t="s">
        <v>93</v>
      </c>
      <c r="C17450" s="6">
        <v>105000</v>
      </c>
      <c r="D17450" s="7">
        <v>0.64</v>
      </c>
    </row>
    <row r="17451" spans="1:4" x14ac:dyDescent="0.25">
      <c r="A17451" t="str">
        <f>HYPERLINK("https://www.773grp.com/globalSearch/74LVC240ADB118/page-1", "74LVC240ADB118")</f>
        <v>74LVC240ADB118</v>
      </c>
      <c r="B17451" s="3" t="s">
        <v>93</v>
      </c>
      <c r="C17451" s="6">
        <v>3000</v>
      </c>
      <c r="D17451" s="7">
        <v>0.64</v>
      </c>
    </row>
    <row r="17452" spans="1:4" x14ac:dyDescent="0.25">
      <c r="A17452" t="str">
        <f>HYPERLINK("https://www.773grp.com/globalSearch/74LVC241ADB112/page-1", "74LVC241ADB112")</f>
        <v>74LVC241ADB112</v>
      </c>
      <c r="B17452" s="3" t="s">
        <v>93</v>
      </c>
      <c r="C17452" s="6">
        <v>7392</v>
      </c>
      <c r="D17452" s="7">
        <v>0.64</v>
      </c>
    </row>
    <row r="17453" spans="1:4" x14ac:dyDescent="0.25">
      <c r="A17453" t="str">
        <f>HYPERLINK("https://www.773grp.com/globalSearch/74LVC245ADB118/page-1", "74LVC245ADB118")</f>
        <v>74LVC245ADB118</v>
      </c>
      <c r="B17453" s="3" t="s">
        <v>93</v>
      </c>
      <c r="C17453" s="6">
        <v>24000</v>
      </c>
      <c r="D17453" s="7">
        <v>0.64</v>
      </c>
    </row>
    <row r="17454" spans="1:4" x14ac:dyDescent="0.25">
      <c r="A17454" t="str">
        <f>HYPERLINK("https://www.773grp.com/globalSearch/74LVC2G00GD125/page-1", "74LVC2G00GD125")</f>
        <v>74LVC2G00GD125</v>
      </c>
      <c r="B17454" s="3" t="s">
        <v>93</v>
      </c>
      <c r="C17454" s="6">
        <v>290</v>
      </c>
      <c r="D17454" s="7">
        <v>0.64</v>
      </c>
    </row>
    <row r="17455" spans="1:4" x14ac:dyDescent="0.25">
      <c r="A17455" t="str">
        <f>HYPERLINK("https://www.773grp.com/globalSearch/74LVC2G02DC125/page-1", "74LVC2G02DC125")</f>
        <v>74LVC2G02DC125</v>
      </c>
      <c r="B17455" s="3" t="s">
        <v>93</v>
      </c>
      <c r="C17455" s="6">
        <v>93000</v>
      </c>
      <c r="D17455" s="7">
        <v>0.64</v>
      </c>
    </row>
    <row r="17456" spans="1:4" x14ac:dyDescent="0.25">
      <c r="A17456" t="str">
        <f>HYPERLINK("https://www.773grp.com/globalSearch/74LVC2G02GD125/page-1", "74LVC2G02GD125")</f>
        <v>74LVC2G02GD125</v>
      </c>
      <c r="B17456" s="3" t="s">
        <v>93</v>
      </c>
      <c r="C17456" s="6">
        <v>3300</v>
      </c>
      <c r="D17456" s="7">
        <v>0.64</v>
      </c>
    </row>
    <row r="17457" spans="1:4" x14ac:dyDescent="0.25">
      <c r="A17457" t="str">
        <f>HYPERLINK("https://www.773grp.com/globalSearch/74LVC2G08DC125/page-1", "74LVC2G08DC125")</f>
        <v>74LVC2G08DC125</v>
      </c>
      <c r="B17457" s="3" t="s">
        <v>93</v>
      </c>
      <c r="C17457" s="6">
        <v>36000</v>
      </c>
      <c r="D17457" s="7">
        <v>0.64</v>
      </c>
    </row>
    <row r="17458" spans="1:4" x14ac:dyDescent="0.25">
      <c r="A17458" t="str">
        <f>HYPERLINK("https://www.773grp.com/globalSearch/74LVC2G08GD125/page-1", "74LVC2G08GD125")</f>
        <v>74LVC2G08GD125</v>
      </c>
      <c r="B17458" s="3" t="s">
        <v>93</v>
      </c>
      <c r="C17458" s="6">
        <v>6000</v>
      </c>
      <c r="D17458" s="7">
        <v>0.64</v>
      </c>
    </row>
    <row r="17459" spans="1:4" x14ac:dyDescent="0.25">
      <c r="A17459" t="str">
        <f>HYPERLINK("https://www.773grp.com/globalSearch/74LVC2G125DC125/page-1", "74LVC2G125DC125")</f>
        <v>74LVC2G125DC125</v>
      </c>
      <c r="B17459" s="3" t="s">
        <v>93</v>
      </c>
      <c r="C17459" s="6">
        <v>24000</v>
      </c>
      <c r="D17459" s="7">
        <v>0.64</v>
      </c>
    </row>
    <row r="17460" spans="1:4" x14ac:dyDescent="0.25">
      <c r="A17460" t="str">
        <f>HYPERLINK("https://www.773grp.com/globalSearch/74LVC2G125DP125/page-1", "74LVC2G125DP125")</f>
        <v>74LVC2G125DP125</v>
      </c>
      <c r="B17460" s="3" t="s">
        <v>93</v>
      </c>
      <c r="C17460" s="6">
        <v>4718</v>
      </c>
      <c r="D17460" s="7">
        <v>0.64</v>
      </c>
    </row>
    <row r="17461" spans="1:4" x14ac:dyDescent="0.25">
      <c r="A17461" t="str">
        <f>HYPERLINK("https://www.773grp.com/globalSearch/74LVC2G125GD125/page-1", "74LVC2G125GD125")</f>
        <v>74LVC2G125GD125</v>
      </c>
      <c r="B17461" s="3" t="s">
        <v>93</v>
      </c>
      <c r="C17461" s="6">
        <v>45280</v>
      </c>
      <c r="D17461" s="7">
        <v>0.64</v>
      </c>
    </row>
    <row r="17462" spans="1:4" x14ac:dyDescent="0.25">
      <c r="A17462" t="str">
        <f>HYPERLINK("https://www.773grp.com/globalSearch/74LVC2G126DC125/page-1", "74LVC2G126DC125")</f>
        <v>74LVC2G126DC125</v>
      </c>
      <c r="B17462" s="3" t="s">
        <v>93</v>
      </c>
      <c r="C17462" s="6">
        <v>6100</v>
      </c>
      <c r="D17462" s="7">
        <v>0.64</v>
      </c>
    </row>
    <row r="17463" spans="1:4" x14ac:dyDescent="0.25">
      <c r="A17463" t="str">
        <f>HYPERLINK("https://www.773grp.com/globalSearch/74LVC2G126DP125/page-1", "74LVC2G126DP125")</f>
        <v>74LVC2G126DP125</v>
      </c>
      <c r="B17463" s="3" t="s">
        <v>93</v>
      </c>
      <c r="C17463" s="6">
        <v>9150</v>
      </c>
      <c r="D17463" s="7">
        <v>0.64</v>
      </c>
    </row>
    <row r="17464" spans="1:4" x14ac:dyDescent="0.25">
      <c r="A17464" t="str">
        <f>HYPERLINK("https://www.773grp.com/globalSearch/74LVC2G126GD125/page-1", "74LVC2G126GD125")</f>
        <v>74LVC2G126GD125</v>
      </c>
      <c r="B17464" s="3" t="s">
        <v>93</v>
      </c>
      <c r="C17464" s="6">
        <v>9000</v>
      </c>
      <c r="D17464" s="7">
        <v>0.64</v>
      </c>
    </row>
    <row r="17465" spans="1:4" x14ac:dyDescent="0.25">
      <c r="A17465" t="str">
        <f>HYPERLINK("https://www.773grp.com/globalSearch/74LVC2G240DC125/page-1", "74LVC2G240DC125")</f>
        <v>74LVC2G240DC125</v>
      </c>
      <c r="B17465" s="3" t="s">
        <v>93</v>
      </c>
      <c r="C17465" s="6">
        <v>175</v>
      </c>
      <c r="D17465" s="7">
        <v>0.64</v>
      </c>
    </row>
    <row r="17466" spans="1:4" x14ac:dyDescent="0.25">
      <c r="A17466" t="str">
        <f>HYPERLINK("https://www.773grp.com/globalSearch/74LVC2G241DC125/page-1", "74LVC2G241DC125")</f>
        <v>74LVC2G241DC125</v>
      </c>
      <c r="B17466" s="3" t="s">
        <v>93</v>
      </c>
      <c r="C17466" s="6">
        <v>8500</v>
      </c>
      <c r="D17466" s="7">
        <v>0.64</v>
      </c>
    </row>
    <row r="17467" spans="1:4" x14ac:dyDescent="0.25">
      <c r="A17467" t="str">
        <f>HYPERLINK("https://www.773grp.com/globalSearch/74LVC2G241GD125/page-1", "74LVC2G241GD125")</f>
        <v>74LVC2G241GD125</v>
      </c>
      <c r="B17467" s="3" t="s">
        <v>93</v>
      </c>
      <c r="C17467" s="6">
        <v>3000</v>
      </c>
      <c r="D17467" s="7">
        <v>0.64</v>
      </c>
    </row>
    <row r="17468" spans="1:4" x14ac:dyDescent="0.25">
      <c r="A17468" t="str">
        <f>HYPERLINK("https://www.773grp.com/globalSearch/74LVC2G32DC125/page-1", "74LVC2G32DC125")</f>
        <v>74LVC2G32DC125</v>
      </c>
      <c r="B17468" s="3" t="s">
        <v>93</v>
      </c>
      <c r="C17468" s="6">
        <v>3000</v>
      </c>
      <c r="D17468" s="7">
        <v>0.64</v>
      </c>
    </row>
    <row r="17469" spans="1:4" x14ac:dyDescent="0.25">
      <c r="A17469" t="str">
        <f>HYPERLINK("https://www.773grp.com/globalSearch/74LVC2G32GD125/page-1", "74LVC2G32GD125")</f>
        <v>74LVC2G32GD125</v>
      </c>
      <c r="B17469" s="3" t="s">
        <v>93</v>
      </c>
      <c r="C17469" s="6">
        <v>300</v>
      </c>
      <c r="D17469" s="7">
        <v>0.64</v>
      </c>
    </row>
    <row r="17470" spans="1:4" x14ac:dyDescent="0.25">
      <c r="A17470" t="str">
        <f>HYPERLINK("https://www.773grp.com/globalSearch/74LVC2G38DC125/page-1", "74LVC2G38DC125")</f>
        <v>74LVC2G38DC125</v>
      </c>
      <c r="B17470" s="3" t="s">
        <v>93</v>
      </c>
      <c r="C17470" s="6">
        <v>3000</v>
      </c>
      <c r="D17470" s="7">
        <v>0.64</v>
      </c>
    </row>
    <row r="17471" spans="1:4" x14ac:dyDescent="0.25">
      <c r="A17471" t="str">
        <f>HYPERLINK("https://www.773grp.com/globalSearch/74LVC2G38GD125/page-1", "74LVC2G38GD125")</f>
        <v>74LVC2G38GD125</v>
      </c>
      <c r="B17471" s="3" t="s">
        <v>93</v>
      </c>
      <c r="C17471" s="6">
        <v>549</v>
      </c>
      <c r="D17471" s="7">
        <v>0.64</v>
      </c>
    </row>
    <row r="17472" spans="1:4" x14ac:dyDescent="0.25">
      <c r="A17472" t="str">
        <f>HYPERLINK("https://www.773grp.com/globalSearch/74LVC2G53DP125/page-1", "74LVC2G53DP125")</f>
        <v>74LVC2G53DP125</v>
      </c>
      <c r="B17472" s="3" t="s">
        <v>93</v>
      </c>
      <c r="C17472" s="6">
        <v>175</v>
      </c>
      <c r="D17472" s="7">
        <v>0.64</v>
      </c>
    </row>
    <row r="17473" spans="1:4" x14ac:dyDescent="0.25">
      <c r="A17473" t="str">
        <f>HYPERLINK("https://www.773grp.com/globalSearch/74LVC2G53GD125/page-1", "74LVC2G53GD125")</f>
        <v>74LVC2G53GD125</v>
      </c>
      <c r="B17473" s="3" t="s">
        <v>93</v>
      </c>
      <c r="C17473" s="6">
        <v>2668</v>
      </c>
      <c r="D17473" s="7">
        <v>0.64</v>
      </c>
    </row>
    <row r="17474" spans="1:4" x14ac:dyDescent="0.25">
      <c r="A17474" t="str">
        <f>HYPERLINK("https://www.773grp.com/globalSearch/74LVC2G66DC125/page-1", "74LVC2G66DC125")</f>
        <v>74LVC2G66DC125</v>
      </c>
      <c r="B17474" s="3" t="s">
        <v>93</v>
      </c>
      <c r="C17474" s="6">
        <v>235825</v>
      </c>
      <c r="D17474" s="7">
        <v>0.64</v>
      </c>
    </row>
    <row r="17475" spans="1:4" x14ac:dyDescent="0.25">
      <c r="A17475" t="str">
        <f>HYPERLINK("https://www.773grp.com/globalSearch/74LVC2G66GD125/page-1", "74LVC2G66GD125")</f>
        <v>74LVC2G66GD125</v>
      </c>
      <c r="B17475" s="3" t="s">
        <v>93</v>
      </c>
      <c r="C17475" s="6">
        <v>3270</v>
      </c>
      <c r="D17475" s="7">
        <v>0.64</v>
      </c>
    </row>
    <row r="17476" spans="1:4" x14ac:dyDescent="0.25">
      <c r="A17476" t="str">
        <f>HYPERLINK("https://www.773grp.com/globalSearch/74LVC2G74GD125/page-1", "74LVC2G74GD125")</f>
        <v>74LVC2G74GD125</v>
      </c>
      <c r="B17476" s="3" t="s">
        <v>93</v>
      </c>
      <c r="C17476" s="6">
        <v>9450</v>
      </c>
      <c r="D17476" s="7">
        <v>0.64</v>
      </c>
    </row>
    <row r="17477" spans="1:4" x14ac:dyDescent="0.25">
      <c r="A17477" t="str">
        <f>HYPERLINK("https://www.773grp.com/globalSearch/74LVC2G86DC125/page-1", "74LVC2G86DC125")</f>
        <v>74LVC2G86DC125</v>
      </c>
      <c r="B17477" s="3" t="s">
        <v>93</v>
      </c>
      <c r="C17477" s="6">
        <v>3000</v>
      </c>
      <c r="D17477" s="7">
        <v>0.64</v>
      </c>
    </row>
    <row r="17478" spans="1:4" x14ac:dyDescent="0.25">
      <c r="A17478" t="str">
        <f>HYPERLINK("https://www.773grp.com/globalSearch/74LVC3G04GD125/page-1", "74LVC3G04GD125")</f>
        <v>74LVC3G04GD125</v>
      </c>
      <c r="B17478" s="3" t="s">
        <v>93</v>
      </c>
      <c r="C17478" s="6">
        <v>3230</v>
      </c>
      <c r="D17478" s="7">
        <v>0.64</v>
      </c>
    </row>
    <row r="17479" spans="1:4" x14ac:dyDescent="0.25">
      <c r="A17479" t="str">
        <f>HYPERLINK("https://www.773grp.com/globalSearch/74LVC3G14GD125/page-1", "74LVC3G14GD125")</f>
        <v>74LVC3G14GD125</v>
      </c>
      <c r="B17479" s="3" t="s">
        <v>93</v>
      </c>
      <c r="C17479" s="6">
        <v>3000</v>
      </c>
      <c r="D17479" s="7">
        <v>0.64</v>
      </c>
    </row>
    <row r="17480" spans="1:4" x14ac:dyDescent="0.25">
      <c r="A17480" t="str">
        <f>HYPERLINK("https://www.773grp.com/globalSearch/74LVC3G17GD125/page-1", "74LVC3G17GD125")</f>
        <v>74LVC3G17GD125</v>
      </c>
      <c r="B17480" s="3" t="s">
        <v>93</v>
      </c>
      <c r="C17480" s="6">
        <v>3170</v>
      </c>
      <c r="D17480" s="7">
        <v>0.64</v>
      </c>
    </row>
    <row r="17481" spans="1:4" x14ac:dyDescent="0.25">
      <c r="A17481" t="str">
        <f>HYPERLINK("https://www.773grp.com/globalSearch/74LVC3G34GD125/page-1", "74LVC3G34GD125")</f>
        <v>74LVC3G34GD125</v>
      </c>
      <c r="B17481" s="3" t="s">
        <v>93</v>
      </c>
      <c r="C17481" s="6">
        <v>3000</v>
      </c>
      <c r="D17481" s="7">
        <v>0.64</v>
      </c>
    </row>
    <row r="17482" spans="1:4" x14ac:dyDescent="0.25">
      <c r="A17482" t="str">
        <f>HYPERLINK("https://www.773grp.com/globalSearch/74LVC574ADB118/page-1", "74LVC574ADB118")</f>
        <v>74LVC574ADB118</v>
      </c>
      <c r="B17482" s="3" t="s">
        <v>93</v>
      </c>
      <c r="C17482" s="6">
        <v>3520</v>
      </c>
      <c r="D17482" s="7">
        <v>0.64</v>
      </c>
    </row>
    <row r="17483" spans="1:4" x14ac:dyDescent="0.25">
      <c r="A17483" t="str">
        <f>HYPERLINK("https://www.773grp.com/globalSearch/74LVT126DB118/page-1", "74LVT126DB118")</f>
        <v>74LVT126DB118</v>
      </c>
      <c r="B17483" s="3" t="s">
        <v>93</v>
      </c>
      <c r="C17483" s="6">
        <v>10000</v>
      </c>
      <c r="D17483" s="7">
        <v>0.64</v>
      </c>
    </row>
    <row r="17484" spans="1:4" x14ac:dyDescent="0.25">
      <c r="A17484" t="str">
        <f>HYPERLINK("https://www.773grp.com/globalSearch/74VHC02BQ115/page-1", "74VHC02BQ115")</f>
        <v>74VHC02BQ115</v>
      </c>
      <c r="B17484" s="3" t="s">
        <v>93</v>
      </c>
      <c r="C17484" s="6">
        <v>385</v>
      </c>
      <c r="D17484" s="7">
        <v>0.64</v>
      </c>
    </row>
    <row r="17485" spans="1:4" x14ac:dyDescent="0.25">
      <c r="A17485" t="str">
        <f>HYPERLINK("https://www.773grp.com/globalSearch/74VHCT02BQ115/page-1", "74VHCT02BQ115")</f>
        <v>74VHCT02BQ115</v>
      </c>
      <c r="B17485" s="3" t="s">
        <v>93</v>
      </c>
      <c r="C17485" s="6">
        <v>500</v>
      </c>
      <c r="D17485" s="7">
        <v>0.64</v>
      </c>
    </row>
    <row r="17486" spans="1:4" x14ac:dyDescent="0.25">
      <c r="A17486" t="str">
        <f>HYPERLINK("https://www.773grp.com/globalSearch/74VHCT08BQ115/page-1", "74VHCT08BQ115")</f>
        <v>74VHCT08BQ115</v>
      </c>
      <c r="B17486" s="3" t="s">
        <v>93</v>
      </c>
      <c r="C17486" s="6">
        <v>500</v>
      </c>
      <c r="D17486" s="7">
        <v>0.64</v>
      </c>
    </row>
    <row r="17487" spans="1:4" x14ac:dyDescent="0.25">
      <c r="A17487" t="str">
        <f>HYPERLINK("https://www.773grp.com/globalSearch/74VHCT32BQ115/page-1", "74VHCT32BQ115")</f>
        <v>74VHCT32BQ115</v>
      </c>
      <c r="B17487" s="3" t="s">
        <v>93</v>
      </c>
      <c r="C17487" s="6">
        <v>500</v>
      </c>
      <c r="D17487" s="7">
        <v>0.64</v>
      </c>
    </row>
    <row r="17488" spans="1:4" x14ac:dyDescent="0.25">
      <c r="A17488" t="str">
        <f>HYPERLINK("https://www.773grp.com/globalSearch/BCV49115/page-1", "BCV49115")</f>
        <v>BCV49115</v>
      </c>
      <c r="B17488" s="3" t="s">
        <v>93</v>
      </c>
      <c r="C17488" s="6">
        <v>4000</v>
      </c>
      <c r="D17488" s="7">
        <v>0.64</v>
      </c>
    </row>
    <row r="17489" spans="1:4" x14ac:dyDescent="0.25">
      <c r="A17489" t="str">
        <f>HYPERLINK("https://www.773grp.com/globalSearch/BCV49135/page-1", "BCV49135")</f>
        <v>BCV49135</v>
      </c>
      <c r="B17489" s="3" t="s">
        <v>93</v>
      </c>
      <c r="C17489" s="6">
        <v>8000</v>
      </c>
      <c r="D17489" s="7">
        <v>0.64</v>
      </c>
    </row>
    <row r="17490" spans="1:4" x14ac:dyDescent="0.25">
      <c r="A17490" t="str">
        <f>HYPERLINK("https://www.773grp.com/globalSearch/BF1100R215/page-1", "BF1100R215")</f>
        <v>BF1100R215</v>
      </c>
      <c r="B17490" s="3" t="s">
        <v>93</v>
      </c>
      <c r="C17490" s="6">
        <v>3000</v>
      </c>
      <c r="D17490" s="7">
        <v>0.64</v>
      </c>
    </row>
    <row r="17491" spans="1:4" x14ac:dyDescent="0.25">
      <c r="A17491" t="str">
        <f>HYPERLINK("https://www.773grp.com/globalSearch/BF1105WR115/page-1", "BF1105WR115")</f>
        <v>BF1105WR115</v>
      </c>
      <c r="B17491" s="3" t="s">
        <v>93</v>
      </c>
      <c r="C17491" s="6">
        <v>3000</v>
      </c>
      <c r="D17491" s="7">
        <v>0.64</v>
      </c>
    </row>
    <row r="17492" spans="1:4" x14ac:dyDescent="0.25">
      <c r="A17492" t="str">
        <f>HYPERLINK("https://www.773grp.com/globalSearch/BF1109WR115/page-1", "BF1109WR115")</f>
        <v>BF1109WR115</v>
      </c>
      <c r="B17492" s="3" t="s">
        <v>93</v>
      </c>
      <c r="C17492" s="6">
        <v>3000</v>
      </c>
      <c r="D17492" s="7">
        <v>0.64</v>
      </c>
    </row>
    <row r="17493" spans="1:4" x14ac:dyDescent="0.25">
      <c r="A17493" t="str">
        <f>HYPERLINK("https://www.773grp.com/globalSearch/BF1201R215/page-1", "BF1201R215")</f>
        <v>BF1201R215</v>
      </c>
      <c r="B17493" s="3" t="s">
        <v>93</v>
      </c>
      <c r="C17493" s="6">
        <v>195</v>
      </c>
      <c r="D17493" s="7">
        <v>0.64</v>
      </c>
    </row>
    <row r="17494" spans="1:4" x14ac:dyDescent="0.25">
      <c r="A17494" t="str">
        <f>HYPERLINK("https://www.773grp.com/globalSearch/BF1201WR135/page-1", "BF1201WR135")</f>
        <v>BF1201WR135</v>
      </c>
      <c r="B17494" s="3" t="s">
        <v>93</v>
      </c>
      <c r="C17494" s="6">
        <v>2240000</v>
      </c>
      <c r="D17494" s="7">
        <v>0.64</v>
      </c>
    </row>
    <row r="17495" spans="1:4" x14ac:dyDescent="0.25">
      <c r="A17495" t="str">
        <f>HYPERLINK("https://www.773grp.com/globalSearch/BF1202215/page-1", "BF1202215")</f>
        <v>BF1202215</v>
      </c>
      <c r="B17495" s="3" t="s">
        <v>93</v>
      </c>
      <c r="C17495" s="6">
        <v>11669</v>
      </c>
      <c r="D17495" s="7">
        <v>0.64</v>
      </c>
    </row>
    <row r="17496" spans="1:4" x14ac:dyDescent="0.25">
      <c r="A17496" t="str">
        <f>HYPERLINK("https://www.773grp.com/globalSearch/BF1202R215/page-1", "BF1202R215")</f>
        <v>BF1202R215</v>
      </c>
      <c r="B17496" s="3" t="s">
        <v>93</v>
      </c>
      <c r="C17496" s="6">
        <v>12711</v>
      </c>
      <c r="D17496" s="7">
        <v>0.64</v>
      </c>
    </row>
    <row r="17497" spans="1:4" x14ac:dyDescent="0.25">
      <c r="A17497" t="str">
        <f>HYPERLINK("https://www.773grp.com/globalSearch/BF1202WR135/page-1", "BF1202WR135")</f>
        <v>BF1202WR135</v>
      </c>
      <c r="B17497" s="3" t="s">
        <v>93</v>
      </c>
      <c r="C17497" s="6">
        <v>2840000</v>
      </c>
      <c r="D17497" s="7">
        <v>0.64</v>
      </c>
    </row>
    <row r="17498" spans="1:4" x14ac:dyDescent="0.25">
      <c r="A17498" t="str">
        <f>HYPERLINK("https://www.773grp.com/globalSearch/BF1211215/page-1", "BF1211215")</f>
        <v>BF1211215</v>
      </c>
      <c r="B17498" s="3" t="s">
        <v>93</v>
      </c>
      <c r="C17498" s="6">
        <v>3000</v>
      </c>
      <c r="D17498" s="7">
        <v>0.64</v>
      </c>
    </row>
    <row r="17499" spans="1:4" x14ac:dyDescent="0.25">
      <c r="A17499" t="str">
        <f>HYPERLINK("https://www.773grp.com/globalSearch/BF1212215/page-1", "BF1212215")</f>
        <v>BF1212215</v>
      </c>
      <c r="B17499" s="3" t="s">
        <v>93</v>
      </c>
      <c r="C17499" s="6">
        <v>11200</v>
      </c>
      <c r="D17499" s="7">
        <v>0.64</v>
      </c>
    </row>
    <row r="17500" spans="1:4" x14ac:dyDescent="0.25">
      <c r="A17500" t="str">
        <f>HYPERLINK("https://www.773grp.com/globalSearch/BF1212R215/page-1", "BF1212R215")</f>
        <v>BF1212R215</v>
      </c>
      <c r="B17500" s="3" t="s">
        <v>93</v>
      </c>
      <c r="C17500" s="6">
        <v>6000</v>
      </c>
      <c r="D17500" s="7">
        <v>0.64</v>
      </c>
    </row>
    <row r="17501" spans="1:4" x14ac:dyDescent="0.25">
      <c r="A17501" t="str">
        <f>HYPERLINK("https://www.773grp.com/globalSearch/BF1216115/page-1", "BF1216115")</f>
        <v>BF1216115</v>
      </c>
      <c r="B17501" s="3" t="s">
        <v>93</v>
      </c>
      <c r="C17501" s="6">
        <v>3151</v>
      </c>
      <c r="D17501" s="7">
        <v>0.64</v>
      </c>
    </row>
    <row r="17502" spans="1:4" x14ac:dyDescent="0.25">
      <c r="A17502" t="str">
        <f>HYPERLINK("https://www.773grp.com/globalSearch/BF1217WR115/page-1", "BF1217WR115")</f>
        <v>BF1217WR115</v>
      </c>
      <c r="B17502" s="3" t="s">
        <v>93</v>
      </c>
      <c r="C17502" s="6">
        <v>200</v>
      </c>
      <c r="D17502" s="7">
        <v>0.64</v>
      </c>
    </row>
    <row r="17503" spans="1:4" x14ac:dyDescent="0.25">
      <c r="A17503" t="str">
        <f>HYPERLINK("https://www.773grp.com/globalSearch/BF862215/page-1", "BF862215")</f>
        <v>BF862215</v>
      </c>
      <c r="B17503" s="3" t="s">
        <v>93</v>
      </c>
      <c r="C17503" s="6">
        <v>63000</v>
      </c>
      <c r="D17503" s="7">
        <v>0.64</v>
      </c>
    </row>
    <row r="17504" spans="1:4" x14ac:dyDescent="0.25">
      <c r="A17504" t="str">
        <f>HYPERLINK("https://www.773grp.com/globalSearch/BF909A215/page-1", "BF909A215")</f>
        <v>BF909A215</v>
      </c>
      <c r="B17504" s="3" t="s">
        <v>93</v>
      </c>
      <c r="C17504" s="6">
        <v>2974</v>
      </c>
      <c r="D17504" s="7">
        <v>0.64</v>
      </c>
    </row>
    <row r="17505" spans="1:4" x14ac:dyDescent="0.25">
      <c r="A17505" t="str">
        <f>HYPERLINK("https://www.773grp.com/globalSearch/BF909AR215/page-1", "BF909AR215")</f>
        <v>BF909AR215</v>
      </c>
      <c r="B17505" s="3" t="s">
        <v>93</v>
      </c>
      <c r="C17505" s="6">
        <v>9000</v>
      </c>
      <c r="D17505" s="7">
        <v>0.64</v>
      </c>
    </row>
    <row r="17506" spans="1:4" x14ac:dyDescent="0.25">
      <c r="A17506" t="str">
        <f>HYPERLINK("https://www.773grp.com/globalSearch/BF909WR115/page-1", "BF909WR115")</f>
        <v>BF909WR115</v>
      </c>
      <c r="B17506" s="3" t="s">
        <v>93</v>
      </c>
      <c r="C17506" s="6">
        <v>3000</v>
      </c>
      <c r="D17506" s="7">
        <v>0.64</v>
      </c>
    </row>
    <row r="17507" spans="1:4" x14ac:dyDescent="0.25">
      <c r="A17507" t="str">
        <f>HYPERLINK("https://www.773grp.com/globalSearch/BFG540-X215/page-1", "BFG540-X215")</f>
        <v>BFG540-X215</v>
      </c>
      <c r="B17507" s="3" t="s">
        <v>93</v>
      </c>
      <c r="C17507" s="6">
        <v>1503</v>
      </c>
      <c r="D17507" s="7">
        <v>0.64</v>
      </c>
    </row>
    <row r="17508" spans="1:4" x14ac:dyDescent="0.25">
      <c r="A17508" t="str">
        <f>HYPERLINK("https://www.773grp.com/globalSearch/BFG540-XR215/page-1", "BFG540-XR215")</f>
        <v>BFG540-XR215</v>
      </c>
      <c r="B17508" s="3" t="s">
        <v>93</v>
      </c>
      <c r="C17508" s="6">
        <v>200</v>
      </c>
      <c r="D17508" s="7">
        <v>0.64</v>
      </c>
    </row>
    <row r="17509" spans="1:4" x14ac:dyDescent="0.25">
      <c r="A17509" t="str">
        <f>HYPERLINK("https://www.773grp.com/globalSearch/BFG540215/page-1", "BFG540215")</f>
        <v>BFG540215</v>
      </c>
      <c r="B17509" s="3" t="s">
        <v>93</v>
      </c>
      <c r="C17509" s="6">
        <v>3000</v>
      </c>
      <c r="D17509" s="7">
        <v>0.64</v>
      </c>
    </row>
    <row r="17510" spans="1:4" x14ac:dyDescent="0.25">
      <c r="A17510" t="str">
        <f>HYPERLINK("https://www.773grp.com/globalSearch/BFR30215/page-1", "BFR30215")</f>
        <v>BFR30215</v>
      </c>
      <c r="B17510" s="3" t="s">
        <v>93</v>
      </c>
      <c r="C17510" s="6">
        <v>9000</v>
      </c>
      <c r="D17510" s="7">
        <v>0.64</v>
      </c>
    </row>
    <row r="17511" spans="1:4" x14ac:dyDescent="0.25">
      <c r="A17511" t="str">
        <f>HYPERLINK("https://www.773grp.com/globalSearch/BFR31215/page-1", "BFR31215")</f>
        <v>BFR31215</v>
      </c>
      <c r="B17511" s="3" t="s">
        <v>93</v>
      </c>
      <c r="C17511" s="6">
        <v>15000</v>
      </c>
      <c r="D17511" s="7">
        <v>0.64</v>
      </c>
    </row>
    <row r="17512" spans="1:4" x14ac:dyDescent="0.25">
      <c r="A17512" t="str">
        <f>HYPERLINK("https://www.773grp.com/globalSearch/BFS520115/page-1", "BFS520115")</f>
        <v>BFS520115</v>
      </c>
      <c r="B17512" s="3" t="s">
        <v>93</v>
      </c>
      <c r="C17512" s="6">
        <v>30000</v>
      </c>
      <c r="D17512" s="7">
        <v>0.64</v>
      </c>
    </row>
    <row r="17513" spans="1:4" x14ac:dyDescent="0.25">
      <c r="A17513" t="str">
        <f>HYPERLINK("https://www.773grp.com/globalSearch/BGA2870115/page-1", "BGA2870115")</f>
        <v>BGA2870115</v>
      </c>
      <c r="B17513" s="3" t="s">
        <v>93</v>
      </c>
      <c r="C17513" s="6">
        <v>200</v>
      </c>
      <c r="D17513" s="7">
        <v>0.64</v>
      </c>
    </row>
    <row r="17514" spans="1:4" x14ac:dyDescent="0.25">
      <c r="A17514" t="str">
        <f>HYPERLINK("https://www.773grp.com/globalSearch/BSH114215/page-1", "BSH114215")</f>
        <v>BSH114215</v>
      </c>
      <c r="B17514" s="3" t="s">
        <v>93</v>
      </c>
      <c r="C17514" s="6">
        <v>9000</v>
      </c>
      <c r="D17514" s="7">
        <v>0.64</v>
      </c>
    </row>
    <row r="17515" spans="1:4" x14ac:dyDescent="0.25">
      <c r="A17515" t="str">
        <f>HYPERLINK("https://www.773grp.com/globalSearch/BTA2008-800D412/page-1", "BTA2008-800D412")</f>
        <v>BTA2008-800D412</v>
      </c>
      <c r="B17515" s="3" t="s">
        <v>93</v>
      </c>
      <c r="C17515" s="6">
        <v>103</v>
      </c>
      <c r="D17515" s="7">
        <v>0.64</v>
      </c>
    </row>
    <row r="17516" spans="1:4" x14ac:dyDescent="0.25">
      <c r="A17516" t="str">
        <f>HYPERLINK("https://www.773grp.com/globalSearch/BTA2008-800E412/page-1", "BTA2008-800E412")</f>
        <v>BTA2008-800E412</v>
      </c>
      <c r="B17516" s="3" t="s">
        <v>93</v>
      </c>
      <c r="C17516" s="6">
        <v>4976</v>
      </c>
      <c r="D17516" s="7">
        <v>0.64</v>
      </c>
    </row>
    <row r="17517" spans="1:4" x14ac:dyDescent="0.25">
      <c r="A17517" t="str">
        <f>HYPERLINK("https://www.773grp.com/globalSearch/BZA856AVL115/page-1", "BZA856AVL115")</f>
        <v>BZA856AVL115</v>
      </c>
      <c r="B17517" s="3" t="s">
        <v>93</v>
      </c>
      <c r="C17517" s="6">
        <v>9000</v>
      </c>
      <c r="D17517" s="7">
        <v>0.64</v>
      </c>
    </row>
    <row r="17518" spans="1:4" x14ac:dyDescent="0.25">
      <c r="A17518" t="str">
        <f>HYPERLINK("https://www.773grp.com/globalSearch/BZX84-A24215/page-1", "BZX84-A24215")</f>
        <v>BZX84-A24215</v>
      </c>
      <c r="B17518" s="3" t="s">
        <v>93</v>
      </c>
      <c r="C17518" s="6">
        <v>3000</v>
      </c>
      <c r="D17518" s="7">
        <v>0.64</v>
      </c>
    </row>
    <row r="17519" spans="1:4" x14ac:dyDescent="0.25">
      <c r="A17519" t="str">
        <f>HYPERLINK("https://www.773grp.com/globalSearch/BZX84-A30215/page-1", "BZX84-A30215")</f>
        <v>BZX84-A30215</v>
      </c>
      <c r="B17519" s="3" t="s">
        <v>93</v>
      </c>
      <c r="C17519" s="6">
        <v>6000</v>
      </c>
      <c r="D17519" s="7">
        <v>0.64</v>
      </c>
    </row>
    <row r="17520" spans="1:4" x14ac:dyDescent="0.25">
      <c r="A17520" t="str">
        <f>HYPERLINK("https://www.773grp.com/globalSearch/BZX84-A33215/page-1", "BZX84-A33215")</f>
        <v>BZX84-A33215</v>
      </c>
      <c r="B17520" s="3" t="s">
        <v>93</v>
      </c>
      <c r="C17520" s="6">
        <v>6000</v>
      </c>
      <c r="D17520" s="7">
        <v>0.64</v>
      </c>
    </row>
    <row r="17521" spans="1:4" x14ac:dyDescent="0.25">
      <c r="A17521" t="str">
        <f>HYPERLINK("https://www.773grp.com/globalSearch/CBT3253APW112/page-1", "CBT3253APW112")</f>
        <v>CBT3253APW112</v>
      </c>
      <c r="B17521" s="3" t="s">
        <v>93</v>
      </c>
      <c r="C17521" s="6">
        <v>2400</v>
      </c>
      <c r="D17521" s="7">
        <v>0.64</v>
      </c>
    </row>
    <row r="17522" spans="1:4" x14ac:dyDescent="0.25">
      <c r="A17522" t="str">
        <f>HYPERLINK("https://www.773grp.com/globalSearch/CBT3253APW118/page-1", "CBT3253APW118")</f>
        <v>CBT3253APW118</v>
      </c>
      <c r="B17522" s="3" t="s">
        <v>93</v>
      </c>
      <c r="C17522" s="6">
        <v>5000</v>
      </c>
      <c r="D17522" s="7">
        <v>0.64</v>
      </c>
    </row>
    <row r="17523" spans="1:4" x14ac:dyDescent="0.25">
      <c r="A17523" t="str">
        <f>HYPERLINK("https://www.773grp.com/globalSearch/CBT3306GM125/page-1", "CBT3306GM125")</f>
        <v>CBT3306GM125</v>
      </c>
      <c r="B17523" s="3" t="s">
        <v>93</v>
      </c>
      <c r="C17523" s="6">
        <v>300</v>
      </c>
      <c r="D17523" s="7">
        <v>0.64</v>
      </c>
    </row>
    <row r="17524" spans="1:4" x14ac:dyDescent="0.25">
      <c r="A17524" t="str">
        <f>HYPERLINK("https://www.773grp.com/globalSearch/CBT3306GT115/page-1", "CBT3306GT115")</f>
        <v>CBT3306GT115</v>
      </c>
      <c r="B17524" s="3" t="s">
        <v>93</v>
      </c>
      <c r="C17524" s="6">
        <v>149</v>
      </c>
      <c r="D17524" s="7">
        <v>0.64</v>
      </c>
    </row>
    <row r="17525" spans="1:4" x14ac:dyDescent="0.25">
      <c r="A17525" t="str">
        <f>HYPERLINK("https://www.773grp.com/globalSearch/CBTD3306GM125/page-1", "CBTD3306GM125")</f>
        <v>CBTD3306GM125</v>
      </c>
      <c r="B17525" s="3" t="s">
        <v>93</v>
      </c>
      <c r="C17525" s="6">
        <v>8000</v>
      </c>
      <c r="D17525" s="7">
        <v>0.64</v>
      </c>
    </row>
    <row r="17526" spans="1:4" x14ac:dyDescent="0.25">
      <c r="A17526" t="str">
        <f>HYPERLINK("https://www.773grp.com/globalSearch/CBTD3306GT115/page-1", "CBTD3306GT115")</f>
        <v>CBTD3306GT115</v>
      </c>
      <c r="B17526" s="3" t="s">
        <v>93</v>
      </c>
      <c r="C17526" s="6">
        <v>300</v>
      </c>
      <c r="D17526" s="7">
        <v>0.64</v>
      </c>
    </row>
    <row r="17527" spans="1:4" x14ac:dyDescent="0.25">
      <c r="A17527" t="str">
        <f>HYPERLINK("https://www.773grp.com/globalSearch/HEF4000BT652/page-1", "HEF4000BT652")</f>
        <v>HEF4000BT652</v>
      </c>
      <c r="B17527" s="3" t="s">
        <v>93</v>
      </c>
      <c r="C17527" s="6">
        <v>1453</v>
      </c>
      <c r="D17527" s="7">
        <v>0.64</v>
      </c>
    </row>
    <row r="17528" spans="1:4" x14ac:dyDescent="0.25">
      <c r="A17528" t="str">
        <f>HYPERLINK("https://www.773grp.com/globalSearch/HEF4002BT652/page-1", "HEF4002BT652")</f>
        <v>HEF4002BT652</v>
      </c>
      <c r="B17528" s="3" t="s">
        <v>93</v>
      </c>
      <c r="C17528" s="6">
        <v>1140</v>
      </c>
      <c r="D17528" s="7">
        <v>0.64</v>
      </c>
    </row>
    <row r="17529" spans="1:4" x14ac:dyDescent="0.25">
      <c r="A17529" t="str">
        <f>HYPERLINK("https://www.773grp.com/globalSearch/HEF4015BT652/page-1", "HEF4015BT652")</f>
        <v>HEF4015BT652</v>
      </c>
      <c r="B17529" s="3" t="s">
        <v>93</v>
      </c>
      <c r="C17529" s="6">
        <v>3000</v>
      </c>
      <c r="D17529" s="7">
        <v>0.64</v>
      </c>
    </row>
    <row r="17530" spans="1:4" x14ac:dyDescent="0.25">
      <c r="A17530" t="str">
        <f>HYPERLINK("https://www.773grp.com/globalSearch/HEF4015BT653/page-1", "HEF4015BT653")</f>
        <v>HEF4015BT653</v>
      </c>
      <c r="B17530" s="3" t="s">
        <v>93</v>
      </c>
      <c r="C17530" s="6">
        <v>2500</v>
      </c>
      <c r="D17530" s="7">
        <v>0.64</v>
      </c>
    </row>
    <row r="17531" spans="1:4" x14ac:dyDescent="0.25">
      <c r="A17531" t="str">
        <f>HYPERLINK("https://www.773grp.com/globalSearch/HEF4028BT652/page-1", "HEF4028BT652")</f>
        <v>HEF4028BT652</v>
      </c>
      <c r="B17531" s="3" t="s">
        <v>93</v>
      </c>
      <c r="C17531" s="6">
        <v>14203</v>
      </c>
      <c r="D17531" s="7">
        <v>0.64</v>
      </c>
    </row>
    <row r="17532" spans="1:4" x14ac:dyDescent="0.25">
      <c r="A17532" t="str">
        <f>HYPERLINK("https://www.773grp.com/globalSearch/HEF4538BT653/page-1", "HEF4538BT653")</f>
        <v>HEF4538BT653</v>
      </c>
      <c r="B17532" s="3" t="s">
        <v>93</v>
      </c>
      <c r="C17532" s="6">
        <v>5000</v>
      </c>
      <c r="D17532" s="7">
        <v>0.64</v>
      </c>
    </row>
    <row r="17533" spans="1:4" x14ac:dyDescent="0.25">
      <c r="A17533" t="str">
        <f>HYPERLINK("https://www.773grp.com/globalSearch/HEF4543BT653/page-1", "HEF4543BT653")</f>
        <v>HEF4543BT653</v>
      </c>
      <c r="B17533" s="3" t="s">
        <v>93</v>
      </c>
      <c r="C17533" s="6">
        <v>7650</v>
      </c>
      <c r="D17533" s="7">
        <v>0.64</v>
      </c>
    </row>
    <row r="17534" spans="1:4" x14ac:dyDescent="0.25">
      <c r="A17534" t="str">
        <f>HYPERLINK("https://www.773grp.com/globalSearch/IP4353CX15-LF135/page-1", "IP4353CX15-LF135")</f>
        <v>IP4353CX15-LF135</v>
      </c>
      <c r="B17534" s="3" t="s">
        <v>93</v>
      </c>
      <c r="C17534" s="6">
        <v>9200</v>
      </c>
      <c r="D17534" s="7">
        <v>0.64</v>
      </c>
    </row>
    <row r="17535" spans="1:4" x14ac:dyDescent="0.25">
      <c r="A17535" t="str">
        <f>HYPERLINK("https://www.773grp.com/globalSearch/N74F125D623/page-1", "N74F125D623")</f>
        <v>N74F125D623</v>
      </c>
      <c r="B17535" s="3" t="s">
        <v>93</v>
      </c>
      <c r="C17535" s="6">
        <v>10000</v>
      </c>
      <c r="D17535" s="7">
        <v>0.64</v>
      </c>
    </row>
    <row r="17536" spans="1:4" x14ac:dyDescent="0.25">
      <c r="A17536" t="str">
        <f>HYPERLINK("https://www.773grp.com/globalSearch/N74F51D602/page-1", "N74F51D602")</f>
        <v>N74F51D602</v>
      </c>
      <c r="B17536" s="3" t="s">
        <v>93</v>
      </c>
      <c r="C17536" s="6">
        <v>4220</v>
      </c>
      <c r="D17536" s="7">
        <v>0.64</v>
      </c>
    </row>
    <row r="17537" spans="1:4" x14ac:dyDescent="0.25">
      <c r="A17537" t="str">
        <f>HYPERLINK("https://www.773grp.com/globalSearch/N74F51D623/page-1", "N74F51D623")</f>
        <v>N74F51D623</v>
      </c>
      <c r="B17537" s="3" t="s">
        <v>93</v>
      </c>
      <c r="C17537" s="6">
        <v>2500</v>
      </c>
      <c r="D17537" s="7">
        <v>0.64</v>
      </c>
    </row>
    <row r="17538" spans="1:4" x14ac:dyDescent="0.25">
      <c r="A17538" t="str">
        <f>HYPERLINK("https://www.773grp.com/globalSearch/NTB0101GF132/page-1", "NTB0101GF132")</f>
        <v>NTB0101GF132</v>
      </c>
      <c r="B17538" s="3" t="s">
        <v>93</v>
      </c>
      <c r="C17538" s="6">
        <v>200</v>
      </c>
      <c r="D17538" s="7">
        <v>0.64</v>
      </c>
    </row>
    <row r="17539" spans="1:4" x14ac:dyDescent="0.25">
      <c r="A17539" t="str">
        <f>HYPERLINK("https://www.773grp.com/globalSearch/NTB0101GM115/page-1", "NTB0101GM115")</f>
        <v>NTB0101GM115</v>
      </c>
      <c r="B17539" s="3" t="s">
        <v>93</v>
      </c>
      <c r="C17539" s="6">
        <v>300</v>
      </c>
      <c r="D17539" s="7">
        <v>0.64</v>
      </c>
    </row>
    <row r="17540" spans="1:4" x14ac:dyDescent="0.25">
      <c r="A17540" t="str">
        <f>HYPERLINK("https://www.773grp.com/globalSearch/NTS0102GF115/page-1", "NTS0102GF115")</f>
        <v>NTS0102GF115</v>
      </c>
      <c r="B17540" s="3" t="s">
        <v>93</v>
      </c>
      <c r="C17540" s="6">
        <v>4900</v>
      </c>
      <c r="D17540" s="7">
        <v>0.64</v>
      </c>
    </row>
    <row r="17541" spans="1:4" x14ac:dyDescent="0.25">
      <c r="A17541" t="str">
        <f>HYPERLINK("https://www.773grp.com/globalSearch/NX1117C12Z115/page-1", "NX1117C12Z115")</f>
        <v>NX1117C12Z115</v>
      </c>
      <c r="B17541" s="3" t="s">
        <v>93</v>
      </c>
      <c r="C17541" s="6">
        <v>2000</v>
      </c>
      <c r="D17541" s="7">
        <v>0.64</v>
      </c>
    </row>
    <row r="17542" spans="1:4" x14ac:dyDescent="0.25">
      <c r="A17542" t="str">
        <f>HYPERLINK("https://www.773grp.com/globalSearch/NX1117C15Z115/page-1", "NX1117C15Z115")</f>
        <v>NX1117C15Z115</v>
      </c>
      <c r="B17542" s="3" t="s">
        <v>93</v>
      </c>
      <c r="C17542" s="6">
        <v>5000</v>
      </c>
      <c r="D17542" s="7">
        <v>0.64</v>
      </c>
    </row>
    <row r="17543" spans="1:4" x14ac:dyDescent="0.25">
      <c r="A17543" t="str">
        <f>HYPERLINK("https://www.773grp.com/globalSearch/NX1117C18Z115/page-1", "NX1117C18Z115")</f>
        <v>NX1117C18Z115</v>
      </c>
      <c r="B17543" s="3" t="s">
        <v>93</v>
      </c>
      <c r="C17543" s="6">
        <v>10000</v>
      </c>
      <c r="D17543" s="7">
        <v>0.64</v>
      </c>
    </row>
    <row r="17544" spans="1:4" x14ac:dyDescent="0.25">
      <c r="A17544" t="str">
        <f>HYPERLINK("https://www.773grp.com/globalSearch/NX1117C19Z115/page-1", "NX1117C19Z115")</f>
        <v>NX1117C19Z115</v>
      </c>
      <c r="B17544" s="3" t="s">
        <v>93</v>
      </c>
      <c r="C17544" s="6">
        <v>3640</v>
      </c>
      <c r="D17544" s="7">
        <v>0.64</v>
      </c>
    </row>
    <row r="17545" spans="1:4" x14ac:dyDescent="0.25">
      <c r="A17545" t="str">
        <f>HYPERLINK("https://www.773grp.com/globalSearch/NX1117C20Z115/page-1", "NX1117C20Z115")</f>
        <v>NX1117C20Z115</v>
      </c>
      <c r="B17545" s="3" t="s">
        <v>93</v>
      </c>
      <c r="C17545" s="6">
        <v>5000</v>
      </c>
      <c r="D17545" s="7">
        <v>0.64</v>
      </c>
    </row>
    <row r="17546" spans="1:4" x14ac:dyDescent="0.25">
      <c r="A17546" t="str">
        <f>HYPERLINK("https://www.773grp.com/globalSearch/NX1117C25Z115/page-1", "NX1117C25Z115")</f>
        <v>NX1117C25Z115</v>
      </c>
      <c r="B17546" s="3" t="s">
        <v>93</v>
      </c>
      <c r="C17546" s="6">
        <v>8000</v>
      </c>
      <c r="D17546" s="7">
        <v>0.64</v>
      </c>
    </row>
    <row r="17547" spans="1:4" x14ac:dyDescent="0.25">
      <c r="A17547" t="str">
        <f>HYPERLINK("https://www.773grp.com/globalSearch/NX1117C285Z115/page-1", "NX1117C285Z115")</f>
        <v>NX1117C285Z115</v>
      </c>
      <c r="B17547" s="3" t="s">
        <v>93</v>
      </c>
      <c r="C17547" s="6">
        <v>5000</v>
      </c>
      <c r="D17547" s="7">
        <v>0.64</v>
      </c>
    </row>
    <row r="17548" spans="1:4" x14ac:dyDescent="0.25">
      <c r="A17548" t="str">
        <f>HYPERLINK("https://www.773grp.com/globalSearch/NX1117C33Z115/page-1", "NX1117C33Z115")</f>
        <v>NX1117C33Z115</v>
      </c>
      <c r="B17548" s="3" t="s">
        <v>93</v>
      </c>
      <c r="C17548" s="6">
        <v>4280</v>
      </c>
      <c r="D17548" s="7">
        <v>0.64</v>
      </c>
    </row>
    <row r="17549" spans="1:4" x14ac:dyDescent="0.25">
      <c r="A17549" t="str">
        <f>HYPERLINK("https://www.773grp.com/globalSearch/NX1117C50Z115/page-1", "NX1117C50Z115")</f>
        <v>NX1117C50Z115</v>
      </c>
      <c r="B17549" s="3" t="s">
        <v>93</v>
      </c>
      <c r="C17549" s="6">
        <v>5000</v>
      </c>
      <c r="D17549" s="7">
        <v>0.64</v>
      </c>
    </row>
    <row r="17550" spans="1:4" x14ac:dyDescent="0.25">
      <c r="A17550" t="str">
        <f>HYPERLINK("https://www.773grp.com/globalSearch/NX1117CADJZ115/page-1", "NX1117CADJZ115")</f>
        <v>NX1117CADJZ115</v>
      </c>
      <c r="B17550" s="3" t="s">
        <v>93</v>
      </c>
      <c r="C17550" s="6">
        <v>3000</v>
      </c>
      <c r="D17550" s="7">
        <v>0.64</v>
      </c>
    </row>
    <row r="17551" spans="1:4" x14ac:dyDescent="0.25">
      <c r="A17551" t="str">
        <f>HYPERLINK("https://www.773grp.com/globalSearch/NX3L1G53GD125/page-1", "NX3L1G53GD125")</f>
        <v>NX3L1G53GD125</v>
      </c>
      <c r="B17551" s="3" t="s">
        <v>93</v>
      </c>
      <c r="C17551" s="6">
        <v>6300</v>
      </c>
      <c r="D17551" s="7">
        <v>0.64</v>
      </c>
    </row>
    <row r="17552" spans="1:4" x14ac:dyDescent="0.25">
      <c r="A17552" t="str">
        <f>HYPERLINK("https://www.773grp.com/globalSearch/NX3L1T384GM115/page-1", "NX3L1T384GM115")</f>
        <v>NX3L1T384GM115</v>
      </c>
      <c r="B17552" s="3" t="s">
        <v>93</v>
      </c>
      <c r="C17552" s="6">
        <v>757</v>
      </c>
      <c r="D17552" s="7">
        <v>0.64</v>
      </c>
    </row>
    <row r="17553" spans="1:4" x14ac:dyDescent="0.25">
      <c r="A17553" t="str">
        <f>HYPERLINK("https://www.773grp.com/globalSearch/NX3L1T53GD125/page-1", "NX3L1T53GD125")</f>
        <v>NX3L1T53GD125</v>
      </c>
      <c r="B17553" s="3" t="s">
        <v>93</v>
      </c>
      <c r="C17553" s="6">
        <v>9000</v>
      </c>
      <c r="D17553" s="7">
        <v>0.64</v>
      </c>
    </row>
    <row r="17554" spans="1:4" x14ac:dyDescent="0.25">
      <c r="A17554" t="str">
        <f>HYPERLINK("https://www.773grp.com/globalSearch/NX3L1T53GM125/page-1", "NX3L1T53GM125")</f>
        <v>NX3L1T53GM125</v>
      </c>
      <c r="B17554" s="3" t="s">
        <v>93</v>
      </c>
      <c r="C17554" s="6">
        <v>300</v>
      </c>
      <c r="D17554" s="7">
        <v>0.64</v>
      </c>
    </row>
    <row r="17555" spans="1:4" x14ac:dyDescent="0.25">
      <c r="A17555" t="str">
        <f>HYPERLINK("https://www.773grp.com/globalSearch/NX3L1T53GT115/page-1", "NX3L1T53GT115")</f>
        <v>NX3L1T53GT115</v>
      </c>
      <c r="B17555" s="3" t="s">
        <v>93</v>
      </c>
      <c r="C17555" s="6">
        <v>5000</v>
      </c>
      <c r="D17555" s="7">
        <v>0.64</v>
      </c>
    </row>
    <row r="17556" spans="1:4" x14ac:dyDescent="0.25">
      <c r="A17556" t="str">
        <f>HYPERLINK("https://www.773grp.com/globalSearch/NX3L1T66GM115/page-1", "NX3L1T66GM115")</f>
        <v>NX3L1T66GM115</v>
      </c>
      <c r="B17556" s="3" t="s">
        <v>93</v>
      </c>
      <c r="C17556" s="6">
        <v>87</v>
      </c>
      <c r="D17556" s="7">
        <v>0.64</v>
      </c>
    </row>
    <row r="17557" spans="1:4" x14ac:dyDescent="0.25">
      <c r="A17557" t="str">
        <f>HYPERLINK("https://www.773grp.com/globalSearch/NX3L2G384GT115/page-1", "NX3L2G384GT115")</f>
        <v>NX3L2G384GT115</v>
      </c>
      <c r="B17557" s="3" t="s">
        <v>93</v>
      </c>
      <c r="C17557" s="6">
        <v>249</v>
      </c>
      <c r="D17557" s="7">
        <v>0.64</v>
      </c>
    </row>
    <row r="17558" spans="1:4" x14ac:dyDescent="0.25">
      <c r="A17558" t="str">
        <f>HYPERLINK("https://www.773grp.com/globalSearch/NX3L2G66GD125/page-1", "NX3L2G66GD125")</f>
        <v>NX3L2G66GD125</v>
      </c>
      <c r="B17558" s="3" t="s">
        <v>93</v>
      </c>
      <c r="C17558" s="6">
        <v>300</v>
      </c>
      <c r="D17558" s="7">
        <v>0.64</v>
      </c>
    </row>
    <row r="17559" spans="1:4" x14ac:dyDescent="0.25">
      <c r="A17559" t="str">
        <f>HYPERLINK("https://www.773grp.com/globalSearch/NX3L2G66GM125/page-1", "NX3L2G66GM125")</f>
        <v>NX3L2G66GM125</v>
      </c>
      <c r="B17559" s="3" t="s">
        <v>93</v>
      </c>
      <c r="C17559" s="6">
        <v>8000</v>
      </c>
      <c r="D17559" s="7">
        <v>0.64</v>
      </c>
    </row>
    <row r="17560" spans="1:4" x14ac:dyDescent="0.25">
      <c r="A17560" t="str">
        <f>HYPERLINK("https://www.773grp.com/globalSearch/NX3L2G66GT115/page-1", "NX3L2G66GT115")</f>
        <v>NX3L2G66GT115</v>
      </c>
      <c r="B17560" s="3" t="s">
        <v>93</v>
      </c>
      <c r="C17560" s="6">
        <v>5000</v>
      </c>
      <c r="D17560" s="7">
        <v>0.64</v>
      </c>
    </row>
    <row r="17561" spans="1:4" x14ac:dyDescent="0.25">
      <c r="A17561" t="str">
        <f>HYPERLINK("https://www.773grp.com/globalSearch/NX3L2T66GD125/page-1", "NX3L2T66GD125")</f>
        <v>NX3L2T66GD125</v>
      </c>
      <c r="B17561" s="3" t="s">
        <v>93</v>
      </c>
      <c r="C17561" s="6">
        <v>779</v>
      </c>
      <c r="D17561" s="7">
        <v>0.64</v>
      </c>
    </row>
    <row r="17562" spans="1:4" x14ac:dyDescent="0.25">
      <c r="A17562" t="str">
        <f>HYPERLINK("https://www.773grp.com/globalSearch/PBLS2001S115/page-1", "PBLS2001S115")</f>
        <v>PBLS2001S115</v>
      </c>
      <c r="B17562" s="3" t="s">
        <v>93</v>
      </c>
      <c r="C17562" s="6">
        <v>4490</v>
      </c>
      <c r="D17562" s="7">
        <v>0.64</v>
      </c>
    </row>
    <row r="17563" spans="1:4" x14ac:dyDescent="0.25">
      <c r="A17563" t="str">
        <f>HYPERLINK("https://www.773grp.com/globalSearch/PBLS2003S115/page-1", "PBLS2003S115")</f>
        <v>PBLS2003S115</v>
      </c>
      <c r="B17563" s="3" t="s">
        <v>93</v>
      </c>
      <c r="C17563" s="6">
        <v>3620</v>
      </c>
      <c r="D17563" s="7">
        <v>0.64</v>
      </c>
    </row>
    <row r="17564" spans="1:4" x14ac:dyDescent="0.25">
      <c r="A17564" t="str">
        <f>HYPERLINK("https://www.773grp.com/globalSearch/PBSM5240PF115/page-1", "PBSM5240PF115")</f>
        <v>PBSM5240PF115</v>
      </c>
      <c r="B17564" s="3" t="s">
        <v>93</v>
      </c>
      <c r="C17564" s="6">
        <v>4321</v>
      </c>
      <c r="D17564" s="7">
        <v>0.64</v>
      </c>
    </row>
    <row r="17565" spans="1:4" x14ac:dyDescent="0.25">
      <c r="A17565" t="str">
        <f>HYPERLINK("https://www.773grp.com/globalSearch/PBSS303PD115/page-1", "PBSS303PD115")</f>
        <v>PBSS303PD115</v>
      </c>
      <c r="B17565" s="3" t="s">
        <v>93</v>
      </c>
      <c r="C17565" s="6">
        <v>1762</v>
      </c>
      <c r="D17565" s="7">
        <v>0.64</v>
      </c>
    </row>
    <row r="17566" spans="1:4" x14ac:dyDescent="0.25">
      <c r="A17566" t="str">
        <f>HYPERLINK("https://www.773grp.com/globalSearch/PBSS3540M315/page-1", "PBSS3540M315")</f>
        <v>PBSS3540M315</v>
      </c>
      <c r="B17566" s="3" t="s">
        <v>93</v>
      </c>
      <c r="C17566" s="6">
        <v>170</v>
      </c>
      <c r="D17566" s="7">
        <v>0.64</v>
      </c>
    </row>
    <row r="17567" spans="1:4" x14ac:dyDescent="0.25">
      <c r="A17567" t="str">
        <f>HYPERLINK("https://www.773grp.com/globalSearch/PBSS4240T215/page-1", "PBSS4240T215")</f>
        <v>PBSS4240T215</v>
      </c>
      <c r="B17567" s="3" t="s">
        <v>93</v>
      </c>
      <c r="C17567" s="6">
        <v>66738</v>
      </c>
      <c r="D17567" s="7">
        <v>0.64</v>
      </c>
    </row>
    <row r="17568" spans="1:4" x14ac:dyDescent="0.25">
      <c r="A17568" t="str">
        <f>HYPERLINK("https://www.773grp.com/globalSearch/PBSS4250X135/page-1", "PBSS4250X135")</f>
        <v>PBSS4250X135</v>
      </c>
      <c r="B17568" s="3" t="s">
        <v>93</v>
      </c>
      <c r="C17568" s="6">
        <v>8000</v>
      </c>
      <c r="D17568" s="7">
        <v>0.64</v>
      </c>
    </row>
    <row r="17569" spans="1:4" x14ac:dyDescent="0.25">
      <c r="A17569" t="str">
        <f>HYPERLINK("https://www.773grp.com/globalSearch/PBSS4320T215/page-1", "PBSS4320T215")</f>
        <v>PBSS4320T215</v>
      </c>
      <c r="B17569" s="3" t="s">
        <v>93</v>
      </c>
      <c r="C17569" s="6">
        <v>15185</v>
      </c>
      <c r="D17569" s="7">
        <v>0.64</v>
      </c>
    </row>
    <row r="17570" spans="1:4" x14ac:dyDescent="0.25">
      <c r="A17570" t="str">
        <f>HYPERLINK("https://www.773grp.com/globalSearch/PBSS5240T215/page-1", "PBSS5240T215")</f>
        <v>PBSS5240T215</v>
      </c>
      <c r="B17570" s="3" t="s">
        <v>93</v>
      </c>
      <c r="C17570" s="6">
        <v>36000</v>
      </c>
      <c r="D17570" s="7">
        <v>0.64</v>
      </c>
    </row>
    <row r="17571" spans="1:4" x14ac:dyDescent="0.25">
      <c r="A17571" t="str">
        <f>HYPERLINK("https://www.773grp.com/globalSearch/PEMF21115/page-1", "PEMF21115")</f>
        <v>PEMF21115</v>
      </c>
      <c r="B17571" s="3" t="s">
        <v>93</v>
      </c>
      <c r="C17571" s="6">
        <v>8200</v>
      </c>
      <c r="D17571" s="7">
        <v>0.64</v>
      </c>
    </row>
    <row r="17572" spans="1:4" x14ac:dyDescent="0.25">
      <c r="A17572" t="str">
        <f>HYPERLINK("https://www.773grp.com/globalSearch/PESD5V0L4UG115/page-1", "PESD5V0L4UG115")</f>
        <v>PESD5V0L4UG115</v>
      </c>
      <c r="B17572" s="3" t="s">
        <v>93</v>
      </c>
      <c r="C17572" s="6">
        <v>9000</v>
      </c>
      <c r="D17572" s="7">
        <v>0.64</v>
      </c>
    </row>
    <row r="17573" spans="1:4" x14ac:dyDescent="0.25">
      <c r="A17573" t="str">
        <f>HYPERLINK("https://www.773grp.com/globalSearch/PESD5V0X1BL315/page-1", "PESD5V0X1BL315")</f>
        <v>PESD5V0X1BL315</v>
      </c>
      <c r="B17573" s="3" t="s">
        <v>93</v>
      </c>
      <c r="C17573" s="6">
        <v>7967</v>
      </c>
      <c r="D17573" s="7">
        <v>0.64</v>
      </c>
    </row>
    <row r="17574" spans="1:4" x14ac:dyDescent="0.25">
      <c r="A17574" t="str">
        <f>HYPERLINK("https://www.773grp.com/globalSearch/PHD13005127/page-1", "PHD13005127")</f>
        <v>PHD13005127</v>
      </c>
      <c r="B17574" s="3" t="s">
        <v>93</v>
      </c>
      <c r="C17574" s="6">
        <v>4000</v>
      </c>
      <c r="D17574" s="7">
        <v>0.64</v>
      </c>
    </row>
    <row r="17575" spans="1:4" x14ac:dyDescent="0.25">
      <c r="A17575" t="str">
        <f>HYPERLINK("https://www.773grp.com/globalSearch/PHE13005127/page-1", "PHE13005127")</f>
        <v>PHE13005127</v>
      </c>
      <c r="B17575" s="3" t="s">
        <v>93</v>
      </c>
      <c r="C17575" s="6">
        <v>5087</v>
      </c>
      <c r="D17575" s="7">
        <v>0.64</v>
      </c>
    </row>
    <row r="17576" spans="1:4" x14ac:dyDescent="0.25">
      <c r="A17576" t="str">
        <f>HYPERLINK("https://www.773grp.com/globalSearch/PHT4NQ10LT135/page-1", "PHT4NQ10LT135")</f>
        <v>PHT4NQ10LT135</v>
      </c>
      <c r="B17576" s="3" t="s">
        <v>93</v>
      </c>
      <c r="C17576" s="6">
        <v>18888</v>
      </c>
      <c r="D17576" s="7">
        <v>0.64</v>
      </c>
    </row>
    <row r="17577" spans="1:4" x14ac:dyDescent="0.25">
      <c r="A17577" t="str">
        <f>HYPERLINK("https://www.773grp.com/globalSearch/PMV117EN215/page-1", "PMV117EN215")</f>
        <v>PMV117EN215</v>
      </c>
      <c r="B17577" s="3" t="s">
        <v>93</v>
      </c>
      <c r="C17577" s="6">
        <v>12000</v>
      </c>
      <c r="D17577" s="7">
        <v>0.64</v>
      </c>
    </row>
    <row r="17578" spans="1:4" x14ac:dyDescent="0.25">
      <c r="A17578" t="str">
        <f>HYPERLINK("https://www.773grp.com/globalSearch/PMV31XN215/page-1", "PMV31XN215")</f>
        <v>PMV31XN215</v>
      </c>
      <c r="B17578" s="3" t="s">
        <v>93</v>
      </c>
      <c r="C17578" s="6">
        <v>70454</v>
      </c>
      <c r="D17578" s="7">
        <v>0.64</v>
      </c>
    </row>
    <row r="17579" spans="1:4" x14ac:dyDescent="0.25">
      <c r="A17579" t="str">
        <f>HYPERLINK("https://www.773grp.com/globalSearch/PMV45EN215/page-1", "PMV45EN215")</f>
        <v>PMV45EN215</v>
      </c>
      <c r="B17579" s="3" t="s">
        <v>93</v>
      </c>
      <c r="C17579" s="6">
        <v>1435</v>
      </c>
      <c r="D17579" s="7">
        <v>0.64</v>
      </c>
    </row>
    <row r="17580" spans="1:4" x14ac:dyDescent="0.25">
      <c r="A17580" t="str">
        <f>HYPERLINK("https://www.773grp.com/globalSearch/PMV56XN215/page-1", "PMV56XN215")</f>
        <v>PMV56XN215</v>
      </c>
      <c r="B17580" s="3" t="s">
        <v>93</v>
      </c>
      <c r="C17580" s="6">
        <v>23023</v>
      </c>
      <c r="D17580" s="7">
        <v>0.64</v>
      </c>
    </row>
    <row r="17581" spans="1:4" x14ac:dyDescent="0.25">
      <c r="A17581" t="str">
        <f>HYPERLINK("https://www.773grp.com/globalSearch/PMV60EN215/page-1", "PMV60EN215")</f>
        <v>PMV60EN215</v>
      </c>
      <c r="B17581" s="3" t="s">
        <v>93</v>
      </c>
      <c r="C17581" s="6">
        <v>15000</v>
      </c>
      <c r="D17581" s="7">
        <v>0.64</v>
      </c>
    </row>
    <row r="17582" spans="1:4" x14ac:dyDescent="0.25">
      <c r="A17582" t="str">
        <f>HYPERLINK("https://www.773grp.com/globalSearch/PSMN9R0-25YLC115/page-1", "PSMN9R0-25YLC115")</f>
        <v>PSMN9R0-25YLC115</v>
      </c>
      <c r="B17582" s="3" t="s">
        <v>93</v>
      </c>
      <c r="C17582" s="6">
        <v>11992</v>
      </c>
      <c r="D17582" s="7">
        <v>0.64</v>
      </c>
    </row>
    <row r="17583" spans="1:4" x14ac:dyDescent="0.25">
      <c r="A17583" t="str">
        <f>HYPERLINK("https://www.773grp.com/globalSearch/PZT2222A115/page-1", "PZT2222A115")</f>
        <v>PZT2222A115</v>
      </c>
      <c r="B17583" s="3" t="s">
        <v>93</v>
      </c>
      <c r="C17583" s="6">
        <v>232000</v>
      </c>
      <c r="D17583" s="7">
        <v>0.64</v>
      </c>
    </row>
    <row r="17584" spans="1:4" x14ac:dyDescent="0.25">
      <c r="A17584" t="str">
        <f>HYPERLINK("https://www.773grp.com/globalSearch/PZT2907A115/page-1", "PZT2907A115")</f>
        <v>PZT2907A115</v>
      </c>
      <c r="B17584" s="3" t="s">
        <v>93</v>
      </c>
      <c r="C17584" s="6">
        <v>40000</v>
      </c>
      <c r="D17584" s="7">
        <v>0.64</v>
      </c>
    </row>
    <row r="17585" spans="1:4" x14ac:dyDescent="0.25">
      <c r="A17585" t="str">
        <f>HYPERLINK("https://www.773grp.com/globalSearch/PZT4401115/page-1", "PZT4401115")</f>
        <v>PZT4401115</v>
      </c>
      <c r="B17585" s="3" t="s">
        <v>93</v>
      </c>
      <c r="C17585" s="6">
        <v>15000</v>
      </c>
      <c r="D17585" s="7">
        <v>0.64</v>
      </c>
    </row>
    <row r="17586" spans="1:4" x14ac:dyDescent="0.25">
      <c r="A17586" t="str">
        <f>HYPERLINK("https://www.773grp.com/globalSearch/PZT4403115/page-1", "PZT4403115")</f>
        <v>PZT4403115</v>
      </c>
      <c r="B17586" s="3" t="s">
        <v>93</v>
      </c>
      <c r="C17586" s="6">
        <v>24079</v>
      </c>
      <c r="D17586" s="7">
        <v>0.64</v>
      </c>
    </row>
    <row r="17587" spans="1:4" x14ac:dyDescent="0.25">
      <c r="A17587" t="str">
        <f>HYPERLINK("https://www.773grp.com/globalSearch/74ABT244PW112/page-1", "74ABT244PW112")</f>
        <v>74ABT244PW112</v>
      </c>
      <c r="B17587" s="3" t="s">
        <v>93</v>
      </c>
      <c r="C17587" s="6">
        <v>5625</v>
      </c>
      <c r="D17587" s="7">
        <v>0.69</v>
      </c>
    </row>
    <row r="17588" spans="1:4" x14ac:dyDescent="0.25">
      <c r="A17588" t="str">
        <f>HYPERLINK("https://www.773grp.com/globalSearch/74ABT244PW118/page-1", "74ABT244PW118")</f>
        <v>74ABT244PW118</v>
      </c>
      <c r="B17588" s="3" t="s">
        <v>93</v>
      </c>
      <c r="C17588" s="6">
        <v>8224</v>
      </c>
      <c r="D17588" s="7">
        <v>0.69</v>
      </c>
    </row>
    <row r="17589" spans="1:4" x14ac:dyDescent="0.25">
      <c r="A17589" t="str">
        <f>HYPERLINK("https://www.773grp.com/globalSearch/74AHC244D118/page-1", "74AHC244D118")</f>
        <v>74AHC244D118</v>
      </c>
      <c r="B17589" s="3" t="s">
        <v>93</v>
      </c>
      <c r="C17589" s="6">
        <v>148</v>
      </c>
      <c r="D17589" s="7">
        <v>0.69</v>
      </c>
    </row>
    <row r="17590" spans="1:4" x14ac:dyDescent="0.25">
      <c r="A17590" t="str">
        <f>HYPERLINK("https://www.773grp.com/globalSearch/74AUP1G09GF132/page-1", "74AUP1G09GF132")</f>
        <v>74AUP1G09GF132</v>
      </c>
      <c r="B17590" s="3" t="s">
        <v>93</v>
      </c>
      <c r="C17590" s="6">
        <v>45000</v>
      </c>
      <c r="D17590" s="7">
        <v>0.69</v>
      </c>
    </row>
    <row r="17591" spans="1:4" x14ac:dyDescent="0.25">
      <c r="A17591" t="str">
        <f>HYPERLINK("https://www.773grp.com/globalSearch/74AUP1G373GW125/page-1", "74AUP1G373GW125")</f>
        <v>74AUP1G373GW125</v>
      </c>
      <c r="B17591" s="3" t="s">
        <v>93</v>
      </c>
      <c r="C17591" s="6">
        <v>87000</v>
      </c>
      <c r="D17591" s="7">
        <v>0.69</v>
      </c>
    </row>
    <row r="17592" spans="1:4" x14ac:dyDescent="0.25">
      <c r="A17592" t="str">
        <f>HYPERLINK("https://www.773grp.com/globalSearch/74AUP1G374GW125/page-1", "74AUP1G374GW125")</f>
        <v>74AUP1G374GW125</v>
      </c>
      <c r="B17592" s="3" t="s">
        <v>93</v>
      </c>
      <c r="C17592" s="6">
        <v>6150</v>
      </c>
      <c r="D17592" s="7">
        <v>0.69</v>
      </c>
    </row>
    <row r="17593" spans="1:4" x14ac:dyDescent="0.25">
      <c r="A17593" t="str">
        <f>HYPERLINK("https://www.773grp.com/globalSearch/74AUP2G125GF115/page-1", "74AUP2G125GF115")</f>
        <v>74AUP2G125GF115</v>
      </c>
      <c r="B17593" s="3" t="s">
        <v>93</v>
      </c>
      <c r="C17593" s="6">
        <v>549</v>
      </c>
      <c r="D17593" s="7">
        <v>0.69</v>
      </c>
    </row>
    <row r="17594" spans="1:4" x14ac:dyDescent="0.25">
      <c r="A17594" t="str">
        <f>HYPERLINK("https://www.773grp.com/globalSearch/74AUP2G32GF115/page-1", "74AUP2G32GF115")</f>
        <v>74AUP2G32GF115</v>
      </c>
      <c r="B17594" s="3" t="s">
        <v>93</v>
      </c>
      <c r="C17594" s="6">
        <v>285</v>
      </c>
      <c r="D17594" s="7">
        <v>0.69</v>
      </c>
    </row>
    <row r="17595" spans="1:4" x14ac:dyDescent="0.25">
      <c r="A17595" t="str">
        <f>HYPERLINK("https://www.773grp.com/globalSearch/74CBTLV1G125GF132/page-1", "74CBTLV1G125GF132")</f>
        <v>74CBTLV1G125GF132</v>
      </c>
      <c r="B17595" s="3" t="s">
        <v>93</v>
      </c>
      <c r="C17595" s="6">
        <v>300</v>
      </c>
      <c r="D17595" s="7">
        <v>0.69</v>
      </c>
    </row>
    <row r="17596" spans="1:4" x14ac:dyDescent="0.25">
      <c r="A17596" t="str">
        <f>HYPERLINK("https://www.773grp.com/globalSearch/74HC112D652/page-1", "74HC112D652")</f>
        <v>74HC112D652</v>
      </c>
      <c r="B17596" s="3" t="s">
        <v>93</v>
      </c>
      <c r="C17596" s="6">
        <v>15825</v>
      </c>
      <c r="D17596" s="7">
        <v>0.69</v>
      </c>
    </row>
    <row r="17597" spans="1:4" x14ac:dyDescent="0.25">
      <c r="A17597" t="str">
        <f>HYPERLINK("https://www.773grp.com/globalSearch/74HC112D653/page-1", "74HC112D653")</f>
        <v>74HC112D653</v>
      </c>
      <c r="B17597" s="3" t="s">
        <v>93</v>
      </c>
      <c r="C17597" s="6">
        <v>2640</v>
      </c>
      <c r="D17597" s="7">
        <v>0.69</v>
      </c>
    </row>
    <row r="17598" spans="1:4" x14ac:dyDescent="0.25">
      <c r="A17598" t="str">
        <f>HYPERLINK("https://www.773grp.com/globalSearch/74HC112PW112/page-1", "74HC112PW112")</f>
        <v>74HC112PW112</v>
      </c>
      <c r="B17598" s="3" t="s">
        <v>93</v>
      </c>
      <c r="C17598" s="6">
        <v>2400</v>
      </c>
      <c r="D17598" s="7">
        <v>0.69</v>
      </c>
    </row>
    <row r="17599" spans="1:4" x14ac:dyDescent="0.25">
      <c r="A17599" t="str">
        <f>HYPERLINK("https://www.773grp.com/globalSearch/74HC166PW118/page-1", "74HC166PW118")</f>
        <v>74HC166PW118</v>
      </c>
      <c r="B17599" s="3" t="s">
        <v>93</v>
      </c>
      <c r="C17599" s="6">
        <v>2500</v>
      </c>
      <c r="D17599" s="7">
        <v>0.69</v>
      </c>
    </row>
    <row r="17600" spans="1:4" x14ac:dyDescent="0.25">
      <c r="A17600" t="str">
        <f>HYPERLINK("https://www.773grp.com/globalSearch/74HC173D652/page-1", "74HC173D652")</f>
        <v>74HC173D652</v>
      </c>
      <c r="B17600" s="3" t="s">
        <v>93</v>
      </c>
      <c r="C17600" s="6">
        <v>17820</v>
      </c>
      <c r="D17600" s="7">
        <v>0.69</v>
      </c>
    </row>
    <row r="17601" spans="1:4" x14ac:dyDescent="0.25">
      <c r="A17601" t="str">
        <f>HYPERLINK("https://www.773grp.com/globalSearch/74HC173D653/page-1", "74HC173D653")</f>
        <v>74HC173D653</v>
      </c>
      <c r="B17601" s="3" t="s">
        <v>93</v>
      </c>
      <c r="C17601" s="6">
        <v>13859</v>
      </c>
      <c r="D17601" s="7">
        <v>0.69</v>
      </c>
    </row>
    <row r="17602" spans="1:4" x14ac:dyDescent="0.25">
      <c r="A17602" t="str">
        <f>HYPERLINK("https://www.773grp.com/globalSearch/74HC238D652/page-1", "74HC238D652")</f>
        <v>74HC238D652</v>
      </c>
      <c r="B17602" s="3" t="s">
        <v>93</v>
      </c>
      <c r="C17602" s="6">
        <v>7000</v>
      </c>
      <c r="D17602" s="7">
        <v>0.69</v>
      </c>
    </row>
    <row r="17603" spans="1:4" x14ac:dyDescent="0.25">
      <c r="A17603" t="str">
        <f>HYPERLINK("https://www.773grp.com/globalSearch/74HC238D653/page-1", "74HC238D653")</f>
        <v>74HC238D653</v>
      </c>
      <c r="B17603" s="3" t="s">
        <v>93</v>
      </c>
      <c r="C17603" s="6">
        <v>7210</v>
      </c>
      <c r="D17603" s="7">
        <v>0.69</v>
      </c>
    </row>
    <row r="17604" spans="1:4" x14ac:dyDescent="0.25">
      <c r="A17604" t="str">
        <f>HYPERLINK("https://www.773grp.com/globalSearch/74HC238PW118/page-1", "74HC238PW118")</f>
        <v>74HC238PW118</v>
      </c>
      <c r="B17604" s="3" t="s">
        <v>93</v>
      </c>
      <c r="C17604" s="6">
        <v>10000</v>
      </c>
      <c r="D17604" s="7">
        <v>0.69</v>
      </c>
    </row>
    <row r="17605" spans="1:4" x14ac:dyDescent="0.25">
      <c r="A17605" t="str">
        <f>HYPERLINK("https://www.773grp.com/globalSearch/74HC240D652/page-1", "74HC240D652")</f>
        <v>74HC240D652</v>
      </c>
      <c r="B17605" s="3" t="s">
        <v>93</v>
      </c>
      <c r="C17605" s="6">
        <v>10235</v>
      </c>
      <c r="D17605" s="7">
        <v>0.69</v>
      </c>
    </row>
    <row r="17606" spans="1:4" x14ac:dyDescent="0.25">
      <c r="A17606" t="str">
        <f>HYPERLINK("https://www.773grp.com/globalSearch/74HC244D652/page-1", "74HC244D652")</f>
        <v>74HC244D652</v>
      </c>
      <c r="B17606" s="3" t="s">
        <v>93</v>
      </c>
      <c r="C17606" s="6">
        <v>109630</v>
      </c>
      <c r="D17606" s="7">
        <v>0.69</v>
      </c>
    </row>
    <row r="17607" spans="1:4" x14ac:dyDescent="0.25">
      <c r="A17607" t="str">
        <f>HYPERLINK("https://www.773grp.com/globalSearch/74HC245DB112/page-1", "74HC245DB112")</f>
        <v>74HC245DB112</v>
      </c>
      <c r="B17607" s="3" t="s">
        <v>93</v>
      </c>
      <c r="C17607" s="6">
        <v>10164</v>
      </c>
      <c r="D17607" s="7">
        <v>0.69</v>
      </c>
    </row>
    <row r="17608" spans="1:4" x14ac:dyDescent="0.25">
      <c r="A17608" t="str">
        <f>HYPERLINK("https://www.773grp.com/globalSearch/74HC245DB118/page-1", "74HC245DB118")</f>
        <v>74HC245DB118</v>
      </c>
      <c r="B17608" s="3" t="s">
        <v>93</v>
      </c>
      <c r="C17608" s="6">
        <v>168</v>
      </c>
      <c r="D17608" s="7">
        <v>0.69</v>
      </c>
    </row>
    <row r="17609" spans="1:4" x14ac:dyDescent="0.25">
      <c r="A17609" t="str">
        <f>HYPERLINK("https://www.773grp.com/globalSearch/74HC251DB118/page-1", "74HC251DB118")</f>
        <v>74HC251DB118</v>
      </c>
      <c r="B17609" s="3" t="s">
        <v>93</v>
      </c>
      <c r="C17609" s="6">
        <v>2000</v>
      </c>
      <c r="D17609" s="7">
        <v>0.69</v>
      </c>
    </row>
    <row r="17610" spans="1:4" x14ac:dyDescent="0.25">
      <c r="A17610" t="str">
        <f>HYPERLINK("https://www.773grp.com/globalSearch/74HC251PW112/page-1", "74HC251PW112")</f>
        <v>74HC251PW112</v>
      </c>
      <c r="B17610" s="3" t="s">
        <v>93</v>
      </c>
      <c r="C17610" s="6">
        <v>4800</v>
      </c>
      <c r="D17610" s="7">
        <v>0.69</v>
      </c>
    </row>
    <row r="17611" spans="1:4" x14ac:dyDescent="0.25">
      <c r="A17611" t="str">
        <f>HYPERLINK("https://www.773grp.com/globalSearch/74HC30DB112/page-1", "74HC30DB112")</f>
        <v>74HC30DB112</v>
      </c>
      <c r="B17611" s="3" t="s">
        <v>93</v>
      </c>
      <c r="C17611" s="6">
        <v>3276</v>
      </c>
      <c r="D17611" s="7">
        <v>0.69</v>
      </c>
    </row>
    <row r="17612" spans="1:4" x14ac:dyDescent="0.25">
      <c r="A17612" t="str">
        <f>HYPERLINK("https://www.773grp.com/globalSearch/74HC30DB118/page-1", "74HC30DB118")</f>
        <v>74HC30DB118</v>
      </c>
      <c r="B17612" s="3" t="s">
        <v>93</v>
      </c>
      <c r="C17612" s="6">
        <v>4000</v>
      </c>
      <c r="D17612" s="7">
        <v>0.69</v>
      </c>
    </row>
    <row r="17613" spans="1:4" x14ac:dyDescent="0.25">
      <c r="A17613" t="str">
        <f>HYPERLINK("https://www.773grp.com/globalSearch/74HC365D652/page-1", "74HC365D652")</f>
        <v>74HC365D652</v>
      </c>
      <c r="B17613" s="3" t="s">
        <v>93</v>
      </c>
      <c r="C17613" s="6">
        <v>4000</v>
      </c>
      <c r="D17613" s="7">
        <v>0.69</v>
      </c>
    </row>
    <row r="17614" spans="1:4" x14ac:dyDescent="0.25">
      <c r="A17614" t="str">
        <f>HYPERLINK("https://www.773grp.com/globalSearch/74HC365D653/page-1", "74HC365D653")</f>
        <v>74HC365D653</v>
      </c>
      <c r="B17614" s="3" t="s">
        <v>93</v>
      </c>
      <c r="C17614" s="6">
        <v>27500</v>
      </c>
      <c r="D17614" s="7">
        <v>0.69</v>
      </c>
    </row>
    <row r="17615" spans="1:4" x14ac:dyDescent="0.25">
      <c r="A17615" t="str">
        <f>HYPERLINK("https://www.773grp.com/globalSearch/74HC367D652/page-1", "74HC367D652")</f>
        <v>74HC367D652</v>
      </c>
      <c r="B17615" s="3" t="str">
        <f>HYPERLINK("https://www.773grp.com/manufacturer/nxp-semiconductor?pageNo=1", "NXP Semiconductors")</f>
        <v>NXP Semiconductors</v>
      </c>
      <c r="C17615" s="6">
        <v>3786</v>
      </c>
      <c r="D17615" s="7">
        <v>0.69</v>
      </c>
    </row>
    <row r="17616" spans="1:4" x14ac:dyDescent="0.25">
      <c r="A17616" t="str">
        <f>HYPERLINK("https://www.773grp.com/globalSearch/74HC368D652/page-1", "74HC368D652")</f>
        <v>74HC368D652</v>
      </c>
      <c r="B17616" s="3" t="str">
        <f>HYPERLINK("https://www.773grp.com/manufacturer/nxp-semiconductor?pageNo=2", "NXP Semiconductors")</f>
        <v>NXP Semiconductors</v>
      </c>
      <c r="C17616" s="6">
        <v>7150</v>
      </c>
      <c r="D17616" s="7">
        <v>0.69</v>
      </c>
    </row>
    <row r="17617" spans="1:4" x14ac:dyDescent="0.25">
      <c r="A17617" t="str">
        <f>HYPERLINK("https://www.773grp.com/globalSearch/74HC368D653/page-1", "74HC368D653")</f>
        <v>74HC368D653</v>
      </c>
      <c r="B17617" s="3" t="str">
        <f>HYPERLINK("https://www.773grp.com/manufacturer/nxp-semiconductor?pageNo=3", "NXP Semiconductors")</f>
        <v>NXP Semiconductors</v>
      </c>
      <c r="C17617" s="6">
        <v>2423</v>
      </c>
      <c r="D17617" s="7">
        <v>0.69</v>
      </c>
    </row>
    <row r="17618" spans="1:4" x14ac:dyDescent="0.25">
      <c r="A17618" t="str">
        <f>HYPERLINK("https://www.773grp.com/globalSearch/74HC374D653/page-1", "74HC374D653")</f>
        <v>74HC374D653</v>
      </c>
      <c r="B17618" s="3" t="str">
        <f>HYPERLINK("https://www.773grp.com/manufacturer/nxp-semiconductor?pageNo=4", "NXP Semiconductors")</f>
        <v>NXP Semiconductors</v>
      </c>
      <c r="C17618" s="6">
        <v>871</v>
      </c>
      <c r="D17618" s="7">
        <v>0.69</v>
      </c>
    </row>
    <row r="17619" spans="1:4" x14ac:dyDescent="0.25">
      <c r="A17619" t="str">
        <f>HYPERLINK("https://www.773grp.com/globalSearch/74HC377PW112/page-1", "74HC377PW112")</f>
        <v>74HC377PW112</v>
      </c>
      <c r="B17619" s="3" t="str">
        <f>HYPERLINK("https://www.773grp.com/manufacturer/nxp-semiconductor?pageNo=5", "NXP Semiconductors")</f>
        <v>NXP Semiconductors</v>
      </c>
      <c r="C17619" s="6">
        <v>1875</v>
      </c>
      <c r="D17619" s="7">
        <v>0.69</v>
      </c>
    </row>
    <row r="17620" spans="1:4" x14ac:dyDescent="0.25">
      <c r="A17620" t="str">
        <f>HYPERLINK("https://www.773grp.com/globalSearch/74HC377PW118/page-1", "74HC377PW118")</f>
        <v>74HC377PW118</v>
      </c>
      <c r="B17620" s="3" t="str">
        <f>HYPERLINK("https://www.773grp.com/manufacturer/nxp-semiconductor?pageNo=6", "NXP Semiconductors")</f>
        <v>NXP Semiconductors</v>
      </c>
      <c r="C17620" s="6">
        <v>27500</v>
      </c>
      <c r="D17620" s="7">
        <v>0.69</v>
      </c>
    </row>
    <row r="17621" spans="1:4" x14ac:dyDescent="0.25">
      <c r="A17621" t="str">
        <f>HYPERLINK("https://www.773grp.com/globalSearch/74HC390D652/page-1", "74HC390D652")</f>
        <v>74HC390D652</v>
      </c>
      <c r="B17621" s="3" t="str">
        <f>HYPERLINK("https://www.773grp.com/manufacturer/nxp-semiconductor?pageNo=7", "NXP Semiconductors")</f>
        <v>NXP Semiconductors</v>
      </c>
      <c r="C17621" s="6">
        <v>13900</v>
      </c>
      <c r="D17621" s="7">
        <v>0.69</v>
      </c>
    </row>
    <row r="17622" spans="1:4" x14ac:dyDescent="0.25">
      <c r="A17622" t="str">
        <f>HYPERLINK("https://www.773grp.com/globalSearch/74HC390D653/page-1", "74HC390D653")</f>
        <v>74HC390D653</v>
      </c>
      <c r="B17622" s="3" t="str">
        <f>HYPERLINK("https://www.773grp.com/manufacturer/nxp-semiconductor?pageNo=8", "NXP Semiconductors")</f>
        <v>NXP Semiconductors</v>
      </c>
      <c r="C17622" s="6">
        <v>2500</v>
      </c>
      <c r="D17622" s="7">
        <v>0.69</v>
      </c>
    </row>
    <row r="17623" spans="1:4" x14ac:dyDescent="0.25">
      <c r="A17623" t="str">
        <f>HYPERLINK("https://www.773grp.com/globalSearch/74HC390PW112/page-1", "74HC390PW112")</f>
        <v>74HC390PW112</v>
      </c>
      <c r="B17623" s="3" t="str">
        <f>HYPERLINK("https://www.773grp.com/manufacturer/nxp-semiconductor?pageNo=9", "NXP Semiconductors")</f>
        <v>NXP Semiconductors</v>
      </c>
      <c r="C17623" s="6">
        <v>4800</v>
      </c>
      <c r="D17623" s="7">
        <v>0.69</v>
      </c>
    </row>
    <row r="17624" spans="1:4" x14ac:dyDescent="0.25">
      <c r="A17624" t="str">
        <f>HYPERLINK("https://www.773grp.com/globalSearch/74HC4016D652/page-1", "74HC4016D652")</f>
        <v>74HC4016D652</v>
      </c>
      <c r="B17624" s="3" t="str">
        <f>HYPERLINK("https://www.773grp.com/manufacturer/nxp-semiconductor?pageNo=10", "NXP Semiconductors")</f>
        <v>NXP Semiconductors</v>
      </c>
      <c r="C17624" s="6">
        <v>2060</v>
      </c>
      <c r="D17624" s="7">
        <v>0.69</v>
      </c>
    </row>
    <row r="17625" spans="1:4" x14ac:dyDescent="0.25">
      <c r="A17625" t="str">
        <f>HYPERLINK("https://www.773grp.com/globalSearch/74HC4016D653/page-1", "74HC4016D653")</f>
        <v>74HC4016D653</v>
      </c>
      <c r="B17625" s="3" t="str">
        <f>HYPERLINK("https://www.773grp.com/manufacturer/nxp-semiconductor?pageNo=11", "NXP Semiconductors")</f>
        <v>NXP Semiconductors</v>
      </c>
      <c r="C17625" s="6">
        <v>5000</v>
      </c>
      <c r="D17625" s="7">
        <v>0.69</v>
      </c>
    </row>
    <row r="17626" spans="1:4" x14ac:dyDescent="0.25">
      <c r="A17626" t="str">
        <f>HYPERLINK("https://www.773grp.com/globalSearch/74HC4020D652/page-1", "74HC4020D652")</f>
        <v>74HC4020D652</v>
      </c>
      <c r="B17626" s="3" t="str">
        <f>HYPERLINK("https://www.773grp.com/manufacturer/nxp-semiconductor?pageNo=12", "NXP Semiconductors")</f>
        <v>NXP Semiconductors</v>
      </c>
      <c r="C17626" s="6">
        <v>21650</v>
      </c>
      <c r="D17626" s="7">
        <v>0.69</v>
      </c>
    </row>
    <row r="17627" spans="1:4" x14ac:dyDescent="0.25">
      <c r="A17627" t="str">
        <f>HYPERLINK("https://www.773grp.com/globalSearch/74HC4020D653/page-1", "74HC4020D653")</f>
        <v>74HC4020D653</v>
      </c>
      <c r="B17627" s="3" t="str">
        <f>HYPERLINK("https://www.773grp.com/manufacturer/nxp-semiconductor?pageNo=13", "NXP Semiconductors")</f>
        <v>NXP Semiconductors</v>
      </c>
      <c r="C17627" s="6">
        <v>4940</v>
      </c>
      <c r="D17627" s="7">
        <v>0.69</v>
      </c>
    </row>
    <row r="17628" spans="1:4" x14ac:dyDescent="0.25">
      <c r="A17628" t="str">
        <f>HYPERLINK("https://www.773grp.com/globalSearch/74HC4020PW118/page-1", "74HC4020PW118")</f>
        <v>74HC4020PW118</v>
      </c>
      <c r="B17628" s="3" t="str">
        <f>HYPERLINK("https://www.773grp.com/manufacturer/nxp-semiconductor?pageNo=14", "NXP Semiconductors")</f>
        <v>NXP Semiconductors</v>
      </c>
      <c r="C17628" s="6">
        <v>5090</v>
      </c>
      <c r="D17628" s="7">
        <v>0.69</v>
      </c>
    </row>
    <row r="17629" spans="1:4" x14ac:dyDescent="0.25">
      <c r="A17629" t="str">
        <f>HYPERLINK("https://www.773grp.com/globalSearch/74HC4040DB118/page-1", "74HC4040DB118")</f>
        <v>74HC4040DB118</v>
      </c>
      <c r="B17629" s="3" t="str">
        <f>HYPERLINK("https://www.773grp.com/manufacturer/nxp-semiconductor?pageNo=15", "NXP Semiconductors")</f>
        <v>NXP Semiconductors</v>
      </c>
      <c r="C17629" s="6">
        <v>300</v>
      </c>
      <c r="D17629" s="7">
        <v>0.69</v>
      </c>
    </row>
    <row r="17630" spans="1:4" x14ac:dyDescent="0.25">
      <c r="A17630" t="str">
        <f>HYPERLINK("https://www.773grp.com/globalSearch/74HC4060PW118/page-1", "74HC4060PW118")</f>
        <v>74HC4060PW118</v>
      </c>
      <c r="B17630" s="3" t="str">
        <f>HYPERLINK("https://www.773grp.com/manufacturer/nxp-semiconductor?pageNo=16", "NXP Semiconductors")</f>
        <v>NXP Semiconductors</v>
      </c>
      <c r="C17630" s="6">
        <v>77500</v>
      </c>
      <c r="D17630" s="7">
        <v>0.69</v>
      </c>
    </row>
    <row r="17631" spans="1:4" x14ac:dyDescent="0.25">
      <c r="A17631" t="str">
        <f>HYPERLINK("https://www.773grp.com/globalSearch/74HC4066DB112/page-1", "74HC4066DB112")</f>
        <v>74HC4066DB112</v>
      </c>
      <c r="B17631" s="3" t="str">
        <f>HYPERLINK("https://www.773grp.com/manufacturer/nxp-semiconductor?pageNo=17", "NXP Semiconductors")</f>
        <v>NXP Semiconductors</v>
      </c>
      <c r="C17631" s="6">
        <v>8778</v>
      </c>
      <c r="D17631" s="7">
        <v>0.69</v>
      </c>
    </row>
    <row r="17632" spans="1:4" x14ac:dyDescent="0.25">
      <c r="A17632" t="str">
        <f>HYPERLINK("https://www.773grp.com/globalSearch/74HC4066DB118/page-1", "74HC4066DB118")</f>
        <v>74HC4066DB118</v>
      </c>
      <c r="B17632" s="3" t="str">
        <f>HYPERLINK("https://www.773grp.com/manufacturer/nxp-semiconductor?pageNo=18", "NXP Semiconductors")</f>
        <v>NXP Semiconductors</v>
      </c>
      <c r="C17632" s="6">
        <v>8000</v>
      </c>
      <c r="D17632" s="7">
        <v>0.69</v>
      </c>
    </row>
    <row r="17633" spans="1:4" x14ac:dyDescent="0.25">
      <c r="A17633" t="str">
        <f>HYPERLINK("https://www.773grp.com/globalSearch/74HC4075D652/page-1", "74HC4075D652")</f>
        <v>74HC4075D652</v>
      </c>
      <c r="B17633" s="3" t="str">
        <f>HYPERLINK("https://www.773grp.com/manufacturer/nxp-semiconductor?pageNo=19", "NXP Semiconductors")</f>
        <v>NXP Semiconductors</v>
      </c>
      <c r="C17633" s="6">
        <v>9120</v>
      </c>
      <c r="D17633" s="7">
        <v>0.69</v>
      </c>
    </row>
    <row r="17634" spans="1:4" x14ac:dyDescent="0.25">
      <c r="A17634" t="str">
        <f>HYPERLINK("https://www.773grp.com/globalSearch/74HC4075D653/page-1", "74HC4075D653")</f>
        <v>74HC4075D653</v>
      </c>
      <c r="B17634" s="3" t="str">
        <f>HYPERLINK("https://www.773grp.com/manufacturer/nxp-semiconductor?pageNo=20", "NXP Semiconductors")</f>
        <v>NXP Semiconductors</v>
      </c>
      <c r="C17634" s="6">
        <v>5000</v>
      </c>
      <c r="D17634" s="7">
        <v>0.69</v>
      </c>
    </row>
    <row r="17635" spans="1:4" x14ac:dyDescent="0.25">
      <c r="A17635" t="str">
        <f>HYPERLINK("https://www.773grp.com/globalSearch/74HC4316D652/page-1", "74HC4316D652")</f>
        <v>74HC4316D652</v>
      </c>
      <c r="B17635" s="3" t="str">
        <f>HYPERLINK("https://www.773grp.com/manufacturer/nxp-semiconductor?pageNo=21", "NXP Semiconductors")</f>
        <v>NXP Semiconductors</v>
      </c>
      <c r="C17635" s="6">
        <v>6016</v>
      </c>
      <c r="D17635" s="7">
        <v>0.69</v>
      </c>
    </row>
    <row r="17636" spans="1:4" x14ac:dyDescent="0.25">
      <c r="A17636" t="str">
        <f>HYPERLINK("https://www.773grp.com/globalSearch/74HC4316D653/page-1", "74HC4316D653")</f>
        <v>74HC4316D653</v>
      </c>
      <c r="B17636" s="3" t="str">
        <f>HYPERLINK("https://www.773grp.com/manufacturer/nxp-semiconductor?pageNo=22", "NXP Semiconductors")</f>
        <v>NXP Semiconductors</v>
      </c>
      <c r="C17636" s="6">
        <v>8517</v>
      </c>
      <c r="D17636" s="7">
        <v>0.69</v>
      </c>
    </row>
    <row r="17637" spans="1:4" x14ac:dyDescent="0.25">
      <c r="A17637" t="str">
        <f>HYPERLINK("https://www.773grp.com/globalSearch/74HC4316PW118/page-1", "74HC4316PW118")</f>
        <v>74HC4316PW118</v>
      </c>
      <c r="B17637" s="3" t="str">
        <f>HYPERLINK("https://www.773grp.com/manufacturer/nxp-semiconductor?pageNo=23", "NXP Semiconductors")</f>
        <v>NXP Semiconductors</v>
      </c>
      <c r="C17637" s="6">
        <v>5719</v>
      </c>
      <c r="D17637" s="7">
        <v>0.69</v>
      </c>
    </row>
    <row r="17638" spans="1:4" x14ac:dyDescent="0.25">
      <c r="A17638" t="str">
        <f>HYPERLINK("https://www.773grp.com/globalSearch/74HCT03DB112/page-1", "74HCT03DB112")</f>
        <v>74HCT03DB112</v>
      </c>
      <c r="B17638" s="3" t="str">
        <f>HYPERLINK("https://www.773grp.com/manufacturer/nxp-semiconductor?pageNo=24", "NXP Semiconductors")</f>
        <v>NXP Semiconductors</v>
      </c>
      <c r="C17638" s="6">
        <v>3276</v>
      </c>
      <c r="D17638" s="7">
        <v>0.69</v>
      </c>
    </row>
    <row r="17639" spans="1:4" x14ac:dyDescent="0.25">
      <c r="A17639" t="str">
        <f>HYPERLINK("https://www.773grp.com/globalSearch/74HCT11DB112/page-1", "74HCT11DB112")</f>
        <v>74HCT11DB112</v>
      </c>
      <c r="B17639" s="3" t="str">
        <f>HYPERLINK("https://www.773grp.com/manufacturer/nxp-semiconductor?pageNo=25", "NXP Semiconductors")</f>
        <v>NXP Semiconductors</v>
      </c>
      <c r="C17639" s="6">
        <v>2</v>
      </c>
      <c r="D17639" s="7">
        <v>0.69</v>
      </c>
    </row>
    <row r="17640" spans="1:4" x14ac:dyDescent="0.25">
      <c r="A17640" t="str">
        <f>HYPERLINK("https://www.773grp.com/globalSearch/74HCT20DB112/page-1", "74HCT20DB112")</f>
        <v>74HCT20DB112</v>
      </c>
      <c r="B17640" s="3" t="str">
        <f>HYPERLINK("https://www.773grp.com/manufacturer/nxp-semiconductor?pageNo=26", "NXP Semiconductors")</f>
        <v>NXP Semiconductors</v>
      </c>
      <c r="C17640" s="6">
        <v>2184</v>
      </c>
      <c r="D17640" s="7">
        <v>0.69</v>
      </c>
    </row>
    <row r="17641" spans="1:4" x14ac:dyDescent="0.25">
      <c r="A17641" t="str">
        <f>HYPERLINK("https://www.773grp.com/globalSearch/74HCT240D652/page-1", "74HCT240D652")</f>
        <v>74HCT240D652</v>
      </c>
      <c r="B17641" s="3" t="str">
        <f>HYPERLINK("https://www.773grp.com/manufacturer/nxp-semiconductor?pageNo=27", "NXP Semiconductors")</f>
        <v>NXP Semiconductors</v>
      </c>
      <c r="C17641" s="6">
        <v>19418</v>
      </c>
      <c r="D17641" s="7">
        <v>0.69</v>
      </c>
    </row>
    <row r="17642" spans="1:4" x14ac:dyDescent="0.25">
      <c r="A17642" t="str">
        <f>HYPERLINK("https://www.773grp.com/globalSearch/74HCT240D653/page-1", "74HCT240D653")</f>
        <v>74HCT240D653</v>
      </c>
      <c r="B17642" s="3" t="str">
        <f>HYPERLINK("https://www.773grp.com/manufacturer/nxp-semiconductor?pageNo=28", "NXP Semiconductors")</f>
        <v>NXP Semiconductors</v>
      </c>
      <c r="C17642" s="6">
        <v>16000</v>
      </c>
      <c r="D17642" s="7">
        <v>0.69</v>
      </c>
    </row>
    <row r="17643" spans="1:4" x14ac:dyDescent="0.25">
      <c r="A17643" t="str">
        <f>HYPERLINK("https://www.773grp.com/globalSearch/74HCT245DB118/page-1", "74HCT245DB118")</f>
        <v>74HCT245DB118</v>
      </c>
      <c r="B17643" s="3" t="str">
        <f>HYPERLINK("https://www.773grp.com/manufacturer/nxp-semiconductor?pageNo=29", "NXP Semiconductors")</f>
        <v>NXP Semiconductors</v>
      </c>
      <c r="C17643" s="6">
        <v>15135</v>
      </c>
      <c r="D17643" s="7">
        <v>0.69</v>
      </c>
    </row>
    <row r="17644" spans="1:4" x14ac:dyDescent="0.25">
      <c r="A17644" t="str">
        <f>HYPERLINK("https://www.773grp.com/globalSearch/74HCT251D652/page-1", "74HCT251D652")</f>
        <v>74HCT251D652</v>
      </c>
      <c r="B17644" s="3" t="str">
        <f>HYPERLINK("https://www.773grp.com/manufacturer/nxp-semiconductor?pageNo=30", "NXP Semiconductors")</f>
        <v>NXP Semiconductors</v>
      </c>
      <c r="C17644" s="6">
        <v>6712</v>
      </c>
      <c r="D17644" s="7">
        <v>0.69</v>
      </c>
    </row>
    <row r="17645" spans="1:4" x14ac:dyDescent="0.25">
      <c r="A17645" t="str">
        <f>HYPERLINK("https://www.773grp.com/globalSearch/74HCT251D653/page-1", "74HCT251D653")</f>
        <v>74HCT251D653</v>
      </c>
      <c r="B17645" s="3" t="str">
        <f>HYPERLINK("https://www.773grp.com/manufacturer/nxp-semiconductor?pageNo=31", "NXP Semiconductors")</f>
        <v>NXP Semiconductors</v>
      </c>
      <c r="C17645" s="6">
        <v>5000</v>
      </c>
      <c r="D17645" s="7">
        <v>0.69</v>
      </c>
    </row>
    <row r="17646" spans="1:4" x14ac:dyDescent="0.25">
      <c r="A17646" t="str">
        <f>HYPERLINK("https://www.773grp.com/globalSearch/74HCT30DB112/page-1", "74HCT30DB112")</f>
        <v>74HCT30DB112</v>
      </c>
      <c r="B17646" s="3" t="str">
        <f>HYPERLINK("https://www.773grp.com/manufacturer/nxp-semiconductor?pageNo=32", "NXP Semiconductors")</f>
        <v>NXP Semiconductors</v>
      </c>
      <c r="C17646" s="6">
        <v>1092</v>
      </c>
      <c r="D17646" s="7">
        <v>0.69</v>
      </c>
    </row>
    <row r="17647" spans="1:4" x14ac:dyDescent="0.25">
      <c r="A17647" t="str">
        <f>HYPERLINK("https://www.773grp.com/globalSearch/74HCT30DB118/page-1", "74HCT30DB118")</f>
        <v>74HCT30DB118</v>
      </c>
      <c r="B17647" s="3" t="str">
        <f>HYPERLINK("https://www.773grp.com/manufacturer/nxp-semiconductor?pageNo=33", "NXP Semiconductors")</f>
        <v>NXP Semiconductors</v>
      </c>
      <c r="C17647" s="6">
        <v>10000</v>
      </c>
      <c r="D17647" s="7">
        <v>0.69</v>
      </c>
    </row>
    <row r="17648" spans="1:4" x14ac:dyDescent="0.25">
      <c r="A17648" t="str">
        <f>HYPERLINK("https://www.773grp.com/globalSearch/74HCT374D652/page-1", "74HCT374D652")</f>
        <v>74HCT374D652</v>
      </c>
      <c r="B17648" s="3" t="str">
        <f>HYPERLINK("https://www.773grp.com/manufacturer/nxp-semiconductor?pageNo=34", "NXP Semiconductors")</f>
        <v>NXP Semiconductors</v>
      </c>
      <c r="C17648" s="6">
        <v>974</v>
      </c>
      <c r="D17648" s="7">
        <v>0.69</v>
      </c>
    </row>
    <row r="17649" spans="1:4" x14ac:dyDescent="0.25">
      <c r="A17649" t="str">
        <f>HYPERLINK("https://www.773grp.com/globalSearch/74HCT374D653/page-1", "74HCT374D653")</f>
        <v>74HCT374D653</v>
      </c>
      <c r="B17649" s="3" t="str">
        <f>HYPERLINK("https://www.773grp.com/manufacturer/nxp-semiconductor?pageNo=35", "NXP Semiconductors")</f>
        <v>NXP Semiconductors</v>
      </c>
      <c r="C17649" s="6">
        <v>24466</v>
      </c>
      <c r="D17649" s="7">
        <v>0.69</v>
      </c>
    </row>
    <row r="17650" spans="1:4" x14ac:dyDescent="0.25">
      <c r="A17650" t="str">
        <f>HYPERLINK("https://www.773grp.com/globalSearch/74HCT393D652/page-1", "74HCT393D652")</f>
        <v>74HCT393D652</v>
      </c>
      <c r="B17650" s="3" t="str">
        <f>HYPERLINK("https://www.773grp.com/manufacturer/nxp-semiconductor?pageNo=36", "NXP Semiconductors")</f>
        <v>NXP Semiconductors</v>
      </c>
      <c r="C17650" s="6">
        <v>12687</v>
      </c>
      <c r="D17650" s="7">
        <v>0.69</v>
      </c>
    </row>
    <row r="17651" spans="1:4" x14ac:dyDescent="0.25">
      <c r="A17651" t="str">
        <f>HYPERLINK("https://www.773grp.com/globalSearch/74HCT393D653/page-1", "74HCT393D653")</f>
        <v>74HCT393D653</v>
      </c>
      <c r="B17651" s="3" t="str">
        <f>HYPERLINK("https://www.773grp.com/manufacturer/nxp-semiconductor?pageNo=37", "NXP Semiconductors")</f>
        <v>NXP Semiconductors</v>
      </c>
      <c r="C17651" s="6">
        <v>7700</v>
      </c>
      <c r="D17651" s="7">
        <v>0.69</v>
      </c>
    </row>
    <row r="17652" spans="1:4" x14ac:dyDescent="0.25">
      <c r="A17652" t="str">
        <f>HYPERLINK("https://www.773grp.com/globalSearch/74HCT4060D653/page-1", "74HCT4060D653")</f>
        <v>74HCT4060D653</v>
      </c>
      <c r="B17652" s="3" t="str">
        <f>HYPERLINK("https://www.773grp.com/manufacturer/nxp-semiconductor?pageNo=38", "NXP Semiconductors")</f>
        <v>NXP Semiconductors</v>
      </c>
      <c r="C17652" s="6">
        <v>2500</v>
      </c>
      <c r="D17652" s="7">
        <v>0.69</v>
      </c>
    </row>
    <row r="17653" spans="1:4" x14ac:dyDescent="0.25">
      <c r="A17653" t="str">
        <f>HYPERLINK("https://www.773grp.com/globalSearch/74LV00DB118/page-1", "74LV00DB118")</f>
        <v>74LV00DB118</v>
      </c>
      <c r="B17653" s="3" t="str">
        <f>HYPERLINK("https://www.773grp.com/manufacturer/nxp-semiconductor?pageNo=39", "NXP Semiconductors")</f>
        <v>NXP Semiconductors</v>
      </c>
      <c r="C17653" s="6">
        <v>4000</v>
      </c>
      <c r="D17653" s="7">
        <v>0.69</v>
      </c>
    </row>
    <row r="17654" spans="1:4" x14ac:dyDescent="0.25">
      <c r="A17654" t="str">
        <f>HYPERLINK("https://www.773grp.com/globalSearch/74LV132D112/page-1", "74LV132D112")</f>
        <v>74LV132D112</v>
      </c>
      <c r="B17654" s="3" t="str">
        <f>HYPERLINK("https://www.773grp.com/manufacturer/nxp-semiconductor?pageNo=40", "NXP Semiconductors")</f>
        <v>NXP Semiconductors</v>
      </c>
      <c r="C17654" s="6">
        <v>171</v>
      </c>
      <c r="D17654" s="7">
        <v>0.69</v>
      </c>
    </row>
    <row r="17655" spans="1:4" x14ac:dyDescent="0.25">
      <c r="A17655" t="str">
        <f>HYPERLINK("https://www.773grp.com/globalSearch/74LV132D118/page-1", "74LV132D118")</f>
        <v>74LV132D118</v>
      </c>
      <c r="B17655" s="3" t="str">
        <f>HYPERLINK("https://www.773grp.com/manufacturer/nxp-semiconductor?pageNo=41", "NXP Semiconductors")</f>
        <v>NXP Semiconductors</v>
      </c>
      <c r="C17655" s="6">
        <v>4115</v>
      </c>
      <c r="D17655" s="7">
        <v>0.69</v>
      </c>
    </row>
    <row r="17656" spans="1:4" x14ac:dyDescent="0.25">
      <c r="A17656" t="str">
        <f>HYPERLINK("https://www.773grp.com/globalSearch/74LV132PW112/page-1", "74LV132PW112")</f>
        <v>74LV132PW112</v>
      </c>
      <c r="B17656" s="3" t="str">
        <f>HYPERLINK("https://www.773grp.com/manufacturer/nxp-semiconductor?pageNo=42", "NXP Semiconductors")</f>
        <v>NXP Semiconductors</v>
      </c>
      <c r="C17656" s="6">
        <v>8778</v>
      </c>
      <c r="D17656" s="7">
        <v>0.69</v>
      </c>
    </row>
    <row r="17657" spans="1:4" x14ac:dyDescent="0.25">
      <c r="A17657" t="str">
        <f>HYPERLINK("https://www.773grp.com/globalSearch/74LV132PW118/page-1", "74LV132PW118")</f>
        <v>74LV132PW118</v>
      </c>
      <c r="B17657" s="3" t="str">
        <f>HYPERLINK("https://www.773grp.com/manufacturer/nxp-semiconductor?pageNo=43", "NXP Semiconductors")</f>
        <v>NXP Semiconductors</v>
      </c>
      <c r="C17657" s="6">
        <v>15551</v>
      </c>
      <c r="D17657" s="7">
        <v>0.69</v>
      </c>
    </row>
    <row r="17658" spans="1:4" x14ac:dyDescent="0.25">
      <c r="A17658" t="str">
        <f>HYPERLINK("https://www.773grp.com/globalSearch/74LV138BQ115/page-1", "74LV138BQ115")</f>
        <v>74LV138BQ115</v>
      </c>
      <c r="B17658" s="3" t="str">
        <f>HYPERLINK("https://www.773grp.com/manufacturer/nxp-semiconductor?pageNo=44", "NXP Semiconductors")</f>
        <v>NXP Semiconductors</v>
      </c>
      <c r="C17658" s="6">
        <v>6044</v>
      </c>
      <c r="D17658" s="7">
        <v>0.69</v>
      </c>
    </row>
    <row r="17659" spans="1:4" x14ac:dyDescent="0.25">
      <c r="A17659" t="str">
        <f>HYPERLINK("https://www.773grp.com/globalSearch/74LV138D118/page-1", "74LV138D118")</f>
        <v>74LV138D118</v>
      </c>
      <c r="B17659" s="3" t="str">
        <f>HYPERLINK("https://www.773grp.com/manufacturer/nxp-semiconductor?pageNo=45", "NXP Semiconductors")</f>
        <v>NXP Semiconductors</v>
      </c>
      <c r="C17659" s="6">
        <v>180</v>
      </c>
      <c r="D17659" s="7">
        <v>0.69</v>
      </c>
    </row>
    <row r="17660" spans="1:4" x14ac:dyDescent="0.25">
      <c r="A17660" t="str">
        <f>HYPERLINK("https://www.773grp.com/globalSearch/74LV138PW118/page-1", "74LV138PW118")</f>
        <v>74LV138PW118</v>
      </c>
      <c r="B17660" s="3" t="str">
        <f>HYPERLINK("https://www.773grp.com/manufacturer/nxp-semiconductor?pageNo=46", "NXP Semiconductors")</f>
        <v>NXP Semiconductors</v>
      </c>
      <c r="C17660" s="6">
        <v>5060</v>
      </c>
      <c r="D17660" s="7">
        <v>0.69</v>
      </c>
    </row>
    <row r="17661" spans="1:4" x14ac:dyDescent="0.25">
      <c r="A17661" t="str">
        <f>HYPERLINK("https://www.773grp.com/globalSearch/74LV139BQ115/page-1", "74LV139BQ115")</f>
        <v>74LV139BQ115</v>
      </c>
      <c r="B17661" s="3" t="str">
        <f>HYPERLINK("https://www.773grp.com/manufacturer/nxp-semiconductor?pageNo=47", "NXP Semiconductors")</f>
        <v>NXP Semiconductors</v>
      </c>
      <c r="C17661" s="6">
        <v>300</v>
      </c>
      <c r="D17661" s="7">
        <v>0.69</v>
      </c>
    </row>
    <row r="17662" spans="1:4" x14ac:dyDescent="0.25">
      <c r="A17662" t="str">
        <f>HYPERLINK("https://www.773grp.com/globalSearch/74LV139D112/page-1", "74LV139D112")</f>
        <v>74LV139D112</v>
      </c>
      <c r="B17662" s="3" t="str">
        <f>HYPERLINK("https://www.773grp.com/manufacturer/nxp-semiconductor?pageNo=48", "NXP Semiconductors")</f>
        <v>NXP Semiconductors</v>
      </c>
      <c r="C17662" s="6">
        <v>11374</v>
      </c>
      <c r="D17662" s="7">
        <v>0.69</v>
      </c>
    </row>
    <row r="17663" spans="1:4" x14ac:dyDescent="0.25">
      <c r="A17663" t="str">
        <f>HYPERLINK("https://www.773grp.com/globalSearch/74LV139D118/page-1", "74LV139D118")</f>
        <v>74LV139D118</v>
      </c>
      <c r="B17663" s="3" t="str">
        <f>HYPERLINK("https://www.773grp.com/manufacturer/nxp-semiconductor?pageNo=1", "NXP Semiconductors")</f>
        <v>NXP Semiconductors</v>
      </c>
      <c r="C17663" s="6">
        <v>3702</v>
      </c>
      <c r="D17663" s="7">
        <v>0.69</v>
      </c>
    </row>
    <row r="17664" spans="1:4" x14ac:dyDescent="0.25">
      <c r="A17664" t="str">
        <f>HYPERLINK("https://www.773grp.com/globalSearch/74LV139DB118/page-1", "74LV139DB118")</f>
        <v>74LV139DB118</v>
      </c>
      <c r="B17664" s="3" t="str">
        <f>HYPERLINK("https://www.773grp.com/manufacturer/nxp-semiconductor?pageNo=2", "NXP Semiconductors")</f>
        <v>NXP Semiconductors</v>
      </c>
      <c r="C17664" s="6">
        <v>3255</v>
      </c>
      <c r="D17664" s="7">
        <v>0.69</v>
      </c>
    </row>
    <row r="17665" spans="1:4" x14ac:dyDescent="0.25">
      <c r="A17665" t="str">
        <f>HYPERLINK("https://www.773grp.com/globalSearch/74LV139PW112/page-1", "74LV139PW112")</f>
        <v>74LV139PW112</v>
      </c>
      <c r="B17665" s="3" t="str">
        <f>HYPERLINK("https://www.773grp.com/manufacturer/nxp-semiconductor?pageNo=3", "NXP Semiconductors")</f>
        <v>NXP Semiconductors</v>
      </c>
      <c r="C17665" s="6">
        <v>2270</v>
      </c>
      <c r="D17665" s="7">
        <v>0.69</v>
      </c>
    </row>
    <row r="17666" spans="1:4" x14ac:dyDescent="0.25">
      <c r="A17666" t="str">
        <f>HYPERLINK("https://www.773grp.com/globalSearch/74LV139PW118/page-1", "74LV139PW118")</f>
        <v>74LV139PW118</v>
      </c>
      <c r="B17666" s="3" t="str">
        <f>HYPERLINK("https://www.773grp.com/manufacturer/nxp-semiconductor?pageNo=4", "NXP Semiconductors")</f>
        <v>NXP Semiconductors</v>
      </c>
      <c r="C17666" s="6">
        <v>2322</v>
      </c>
      <c r="D17666" s="7">
        <v>0.69</v>
      </c>
    </row>
    <row r="17667" spans="1:4" x14ac:dyDescent="0.25">
      <c r="A17667" t="str">
        <f>HYPERLINK("https://www.773grp.com/globalSearch/74LV14DB112/page-1", "74LV14DB112")</f>
        <v>74LV14DB112</v>
      </c>
      <c r="B17667" s="3" t="str">
        <f>HYPERLINK("https://www.773grp.com/manufacturer/nxp-semiconductor?pageNo=5", "NXP Semiconductors")</f>
        <v>NXP Semiconductors</v>
      </c>
      <c r="C17667" s="6">
        <v>1434</v>
      </c>
      <c r="D17667" s="7">
        <v>0.69</v>
      </c>
    </row>
    <row r="17668" spans="1:4" x14ac:dyDescent="0.25">
      <c r="A17668" t="str">
        <f>HYPERLINK("https://www.773grp.com/globalSearch/74LVC1G99GF115/page-1", "74LVC1G99GF115")</f>
        <v>74LVC1G99GF115</v>
      </c>
      <c r="B17668" s="3" t="str">
        <f>HYPERLINK("https://www.773grp.com/manufacturer/nxp-semiconductor?pageNo=6", "NXP Semiconductors")</f>
        <v>NXP Semiconductors</v>
      </c>
      <c r="C17668" s="6">
        <v>300</v>
      </c>
      <c r="D17668" s="7">
        <v>0.69</v>
      </c>
    </row>
    <row r="17669" spans="1:4" x14ac:dyDescent="0.25">
      <c r="A17669" t="str">
        <f>HYPERLINK("https://www.773grp.com/globalSearch/74LVC1G99GM125/page-1", "74LVC1G99GM125")</f>
        <v>74LVC1G99GM125</v>
      </c>
      <c r="B17669" s="3" t="str">
        <f>HYPERLINK("https://www.773grp.com/manufacturer/nxp-semiconductor?pageNo=7", "NXP Semiconductors")</f>
        <v>NXP Semiconductors</v>
      </c>
      <c r="C17669" s="6">
        <v>4000</v>
      </c>
      <c r="D17669" s="7">
        <v>0.69</v>
      </c>
    </row>
    <row r="17670" spans="1:4" x14ac:dyDescent="0.25">
      <c r="A17670" t="str">
        <f>HYPERLINK("https://www.773grp.com/globalSearch/74LVC1T45GF132/page-1", "74LVC1T45GF132")</f>
        <v>74LVC1T45GF132</v>
      </c>
      <c r="B17670" s="3" t="str">
        <f>HYPERLINK("https://www.773grp.com/manufacturer/nxp-semiconductor?pageNo=8", "NXP Semiconductors")</f>
        <v>NXP Semiconductors</v>
      </c>
      <c r="C17670" s="6">
        <v>498</v>
      </c>
      <c r="D17670" s="7">
        <v>0.69</v>
      </c>
    </row>
    <row r="17671" spans="1:4" x14ac:dyDescent="0.25">
      <c r="A17671" t="str">
        <f>HYPERLINK("https://www.773grp.com/globalSearch/74LVC240AD118/page-1", "74LVC240AD118")</f>
        <v>74LVC240AD118</v>
      </c>
      <c r="B17671" s="3" t="str">
        <f>HYPERLINK("https://www.773grp.com/manufacturer/nxp-semiconductor?pageNo=9", "NXP Semiconductors")</f>
        <v>NXP Semiconductors</v>
      </c>
      <c r="C17671" s="6">
        <v>6000</v>
      </c>
      <c r="D17671" s="7">
        <v>0.69</v>
      </c>
    </row>
    <row r="17672" spans="1:4" x14ac:dyDescent="0.25">
      <c r="A17672" t="str">
        <f>HYPERLINK("https://www.773grp.com/globalSearch/74LVC245ABX115/page-1", "74LVC245ABX115")</f>
        <v>74LVC245ABX115</v>
      </c>
      <c r="B17672" s="3" t="str">
        <f>HYPERLINK("https://www.773grp.com/manufacturer/nxp-semiconductor?pageNo=10", "NXP Semiconductors")</f>
        <v>NXP Semiconductors</v>
      </c>
      <c r="C17672" s="6">
        <v>249</v>
      </c>
      <c r="D17672" s="7">
        <v>0.69</v>
      </c>
    </row>
    <row r="17673" spans="1:4" x14ac:dyDescent="0.25">
      <c r="A17673" t="str">
        <f>HYPERLINK("https://www.773grp.com/globalSearch/74LVC245AD118/page-1", "74LVC245AD118")</f>
        <v>74LVC245AD118</v>
      </c>
      <c r="B17673" s="3" t="str">
        <f>HYPERLINK("https://www.773grp.com/manufacturer/nxp-semiconductor?pageNo=11", "NXP Semiconductors")</f>
        <v>NXP Semiconductors</v>
      </c>
      <c r="C17673" s="6">
        <v>2000</v>
      </c>
      <c r="D17673" s="7">
        <v>0.69</v>
      </c>
    </row>
    <row r="17674" spans="1:4" x14ac:dyDescent="0.25">
      <c r="A17674" t="str">
        <f>HYPERLINK("https://www.773grp.com/globalSearch/74LVC273BQ115/page-1", "74LVC273BQ115")</f>
        <v>74LVC273BQ115</v>
      </c>
      <c r="B17674" s="3" t="str">
        <f>HYPERLINK("https://www.773grp.com/manufacturer/nxp-semiconductor?pageNo=12", "NXP Semiconductors")</f>
        <v>NXP Semiconductors</v>
      </c>
      <c r="C17674" s="6">
        <v>3294</v>
      </c>
      <c r="D17674" s="7">
        <v>0.69</v>
      </c>
    </row>
    <row r="17675" spans="1:4" x14ac:dyDescent="0.25">
      <c r="A17675" t="str">
        <f>HYPERLINK("https://www.773grp.com/globalSearch/74LVC273D112/page-1", "74LVC273D112")</f>
        <v>74LVC273D112</v>
      </c>
      <c r="B17675" s="3" t="str">
        <f>HYPERLINK("https://www.773grp.com/manufacturer/nxp-semiconductor?pageNo=13", "NXP Semiconductors")</f>
        <v>NXP Semiconductors</v>
      </c>
      <c r="C17675" s="6">
        <v>5238</v>
      </c>
      <c r="D17675" s="7">
        <v>0.69</v>
      </c>
    </row>
    <row r="17676" spans="1:4" x14ac:dyDescent="0.25">
      <c r="A17676" t="str">
        <f>HYPERLINK("https://www.773grp.com/globalSearch/74LVC273D118/page-1", "74LVC273D118")</f>
        <v>74LVC273D118</v>
      </c>
      <c r="B17676" s="3" t="str">
        <f>HYPERLINK("https://www.773grp.com/manufacturer/nxp-semiconductor?pageNo=14", "NXP Semiconductors")</f>
        <v>NXP Semiconductors</v>
      </c>
      <c r="C17676" s="6">
        <v>40000</v>
      </c>
      <c r="D17676" s="7">
        <v>0.69</v>
      </c>
    </row>
    <row r="17677" spans="1:4" x14ac:dyDescent="0.25">
      <c r="A17677" t="str">
        <f>HYPERLINK("https://www.773grp.com/globalSearch/74LVC27DB112/page-1", "74LVC27DB112")</f>
        <v>74LVC27DB112</v>
      </c>
      <c r="B17677" s="3" t="str">
        <f>HYPERLINK("https://www.773grp.com/manufacturer/nxp-semiconductor?pageNo=15", "NXP Semiconductors")</f>
        <v>NXP Semiconductors</v>
      </c>
      <c r="C17677" s="6">
        <v>4368</v>
      </c>
      <c r="D17677" s="7">
        <v>0.69</v>
      </c>
    </row>
    <row r="17678" spans="1:4" x14ac:dyDescent="0.25">
      <c r="A17678" t="str">
        <f>HYPERLINK("https://www.773grp.com/globalSearch/74LVC2G02GF115/page-1", "74LVC2G02GF115")</f>
        <v>74LVC2G02GF115</v>
      </c>
      <c r="B17678" s="3" t="str">
        <f>HYPERLINK("https://www.773grp.com/manufacturer/nxp-semiconductor?pageNo=16", "NXP Semiconductors")</f>
        <v>NXP Semiconductors</v>
      </c>
      <c r="C17678" s="6">
        <v>300</v>
      </c>
      <c r="D17678" s="7">
        <v>0.69</v>
      </c>
    </row>
    <row r="17679" spans="1:4" x14ac:dyDescent="0.25">
      <c r="A17679" t="str">
        <f>HYPERLINK("https://www.773grp.com/globalSearch/74LVC2G06GF132/page-1", "74LVC2G06GF132")</f>
        <v>74LVC2G06GF132</v>
      </c>
      <c r="B17679" s="3" t="str">
        <f>HYPERLINK("https://www.773grp.com/manufacturer/nxp-semiconductor?pageNo=17", "NXP Semiconductors")</f>
        <v>NXP Semiconductors</v>
      </c>
      <c r="C17679" s="6">
        <v>99</v>
      </c>
      <c r="D17679" s="7">
        <v>0.69</v>
      </c>
    </row>
    <row r="17680" spans="1:4" x14ac:dyDescent="0.25">
      <c r="A17680" t="str">
        <f>HYPERLINK("https://www.773grp.com/globalSearch/74LVC2G53GF115/page-1", "74LVC2G53GF115")</f>
        <v>74LVC2G53GF115</v>
      </c>
      <c r="B17680" s="3" t="str">
        <f>HYPERLINK("https://www.773grp.com/manufacturer/nxp-semiconductor?pageNo=18", "NXP Semiconductors")</f>
        <v>NXP Semiconductors</v>
      </c>
      <c r="C17680" s="6">
        <v>300</v>
      </c>
      <c r="D17680" s="7">
        <v>0.69</v>
      </c>
    </row>
    <row r="17681" spans="1:4" x14ac:dyDescent="0.25">
      <c r="A17681" t="str">
        <f>HYPERLINK("https://www.773grp.com/globalSearch/74LVC2G74GF115/page-1", "74LVC2G74GF115")</f>
        <v>74LVC2G74GF115</v>
      </c>
      <c r="B17681" s="3" t="str">
        <f>HYPERLINK("https://www.773grp.com/manufacturer/nxp-semiconductor?pageNo=19", "NXP Semiconductors")</f>
        <v>NXP Semiconductors</v>
      </c>
      <c r="C17681" s="6">
        <v>499</v>
      </c>
      <c r="D17681" s="7">
        <v>0.69</v>
      </c>
    </row>
    <row r="17682" spans="1:4" x14ac:dyDescent="0.25">
      <c r="A17682" t="str">
        <f>HYPERLINK("https://www.773grp.com/globalSearch/74LVC2G86GF115/page-1", "74LVC2G86GF115")</f>
        <v>74LVC2G86GF115</v>
      </c>
      <c r="B17682" s="3" t="str">
        <f>HYPERLINK("https://www.773grp.com/manufacturer/nxp-semiconductor?pageNo=20", "NXP Semiconductors")</f>
        <v>NXP Semiconductors</v>
      </c>
      <c r="C17682" s="6">
        <v>549</v>
      </c>
      <c r="D17682" s="7">
        <v>0.69</v>
      </c>
    </row>
    <row r="17683" spans="1:4" x14ac:dyDescent="0.25">
      <c r="A17683" t="str">
        <f>HYPERLINK("https://www.773grp.com/globalSearch/74LVC38AD112/page-1", "74LVC38AD112")</f>
        <v>74LVC38AD112</v>
      </c>
      <c r="B17683" s="3" t="str">
        <f>HYPERLINK("https://www.773grp.com/manufacturer/nxp-semiconductor?pageNo=21", "NXP Semiconductors")</f>
        <v>NXP Semiconductors</v>
      </c>
      <c r="C17683" s="6">
        <v>1140</v>
      </c>
      <c r="D17683" s="7">
        <v>0.69</v>
      </c>
    </row>
    <row r="17684" spans="1:4" x14ac:dyDescent="0.25">
      <c r="A17684" t="str">
        <f>HYPERLINK("https://www.773grp.com/globalSearch/74LVC38AD118/page-1", "74LVC38AD118")</f>
        <v>74LVC38AD118</v>
      </c>
      <c r="B17684" s="3" t="str">
        <f>HYPERLINK("https://www.773grp.com/manufacturer/nxp-semiconductor?pageNo=22", "NXP Semiconductors")</f>
        <v>NXP Semiconductors</v>
      </c>
      <c r="C17684" s="6">
        <v>4452</v>
      </c>
      <c r="D17684" s="7">
        <v>0.69</v>
      </c>
    </row>
    <row r="17685" spans="1:4" x14ac:dyDescent="0.25">
      <c r="A17685" t="str">
        <f>HYPERLINK("https://www.773grp.com/globalSearch/74LVC3G17DP125/page-1", "74LVC3G17DP125")</f>
        <v>74LVC3G17DP125</v>
      </c>
      <c r="B17685" s="3" t="str">
        <f>HYPERLINK("https://www.773grp.com/manufacturer/nxp-semiconductor?pageNo=23", "NXP Semiconductors")</f>
        <v>NXP Semiconductors</v>
      </c>
      <c r="C17685" s="6">
        <v>8000</v>
      </c>
      <c r="D17685" s="7">
        <v>0.69</v>
      </c>
    </row>
    <row r="17686" spans="1:4" x14ac:dyDescent="0.25">
      <c r="A17686" t="str">
        <f>HYPERLINK("https://www.773grp.com/globalSearch/74LVC541AD112/page-1", "74LVC541AD112")</f>
        <v>74LVC541AD112</v>
      </c>
      <c r="B17686" s="3" t="str">
        <f>HYPERLINK("https://www.773grp.com/manufacturer/nxp-semiconductor?pageNo=24", "NXP Semiconductors")</f>
        <v>NXP Semiconductors</v>
      </c>
      <c r="C17686" s="6">
        <v>9500</v>
      </c>
      <c r="D17686" s="7">
        <v>0.69</v>
      </c>
    </row>
    <row r="17687" spans="1:4" x14ac:dyDescent="0.25">
      <c r="A17687" t="str">
        <f>HYPERLINK("https://www.773grp.com/globalSearch/74LVC541AD118/page-1", "74LVC541AD118")</f>
        <v>74LVC541AD118</v>
      </c>
      <c r="B17687" s="3" t="str">
        <f>HYPERLINK("https://www.773grp.com/manufacturer/nxp-semiconductor?pageNo=25", "NXP Semiconductors")</f>
        <v>NXP Semiconductors</v>
      </c>
      <c r="C17687" s="6">
        <v>108120</v>
      </c>
      <c r="D17687" s="7">
        <v>0.69</v>
      </c>
    </row>
    <row r="17688" spans="1:4" x14ac:dyDescent="0.25">
      <c r="A17688" t="str">
        <f>HYPERLINK("https://www.773grp.com/globalSearch/74LVC541APW112/page-1", "74LVC541APW112")</f>
        <v>74LVC541APW112</v>
      </c>
      <c r="B17688" s="3" t="str">
        <f>HYPERLINK("https://www.773grp.com/manufacturer/nxp-semiconductor?pageNo=26", "NXP Semiconductors")</f>
        <v>NXP Semiconductors</v>
      </c>
      <c r="C17688" s="6">
        <v>20660</v>
      </c>
      <c r="D17688" s="7">
        <v>0.69</v>
      </c>
    </row>
    <row r="17689" spans="1:4" x14ac:dyDescent="0.25">
      <c r="A17689" t="str">
        <f>HYPERLINK("https://www.773grp.com/globalSearch/74LVC541APW118/page-1", "74LVC541APW118")</f>
        <v>74LVC541APW118</v>
      </c>
      <c r="B17689" s="3" t="str">
        <f>HYPERLINK("https://www.773grp.com/manufacturer/nxp-semiconductor?pageNo=27", "NXP Semiconductors")</f>
        <v>NXP Semiconductors</v>
      </c>
      <c r="C17689" s="6">
        <v>55000</v>
      </c>
      <c r="D17689" s="7">
        <v>0.69</v>
      </c>
    </row>
    <row r="17690" spans="1:4" x14ac:dyDescent="0.25">
      <c r="A17690" t="str">
        <f>HYPERLINK("https://www.773grp.com/globalSearch/74LVCH1T45GF132/page-1", "74LVCH1T45GF132")</f>
        <v>74LVCH1T45GF132</v>
      </c>
      <c r="B17690" s="3" t="str">
        <f>HYPERLINK("https://www.773grp.com/manufacturer/nxp-semiconductor?pageNo=28", "NXP Semiconductors")</f>
        <v>NXP Semiconductors</v>
      </c>
      <c r="C17690" s="6">
        <v>5321</v>
      </c>
      <c r="D17690" s="7">
        <v>0.69</v>
      </c>
    </row>
    <row r="17691" spans="1:4" x14ac:dyDescent="0.25">
      <c r="A17691" t="str">
        <f>HYPERLINK("https://www.773grp.com/globalSearch/74LVCH245ADB118/page-1", "74LVCH245ADB118")</f>
        <v>74LVCH245ADB118</v>
      </c>
      <c r="B17691" s="3" t="str">
        <f>HYPERLINK("https://www.773grp.com/manufacturer/nxp-semiconductor?pageNo=29", "NXP Semiconductors")</f>
        <v>NXP Semiconductors</v>
      </c>
      <c r="C17691" s="6">
        <v>1000</v>
      </c>
      <c r="D17691" s="7">
        <v>0.69</v>
      </c>
    </row>
    <row r="17692" spans="1:4" x14ac:dyDescent="0.25">
      <c r="A17692" t="str">
        <f>HYPERLINK("https://www.773grp.com/globalSearch/74LVT125DB112/page-1", "74LVT125DB112")</f>
        <v>74LVT125DB112</v>
      </c>
      <c r="B17692" s="3" t="str">
        <f>HYPERLINK("https://www.773grp.com/manufacturer/nxp-semiconductor?pageNo=30", "NXP Semiconductors")</f>
        <v>NXP Semiconductors</v>
      </c>
      <c r="C17692" s="6">
        <v>7644</v>
      </c>
      <c r="D17692" s="7">
        <v>0.69</v>
      </c>
    </row>
    <row r="17693" spans="1:4" x14ac:dyDescent="0.25">
      <c r="A17693" t="str">
        <f>HYPERLINK("https://www.773grp.com/globalSearch/74LVT244APW112/page-1", "74LVT244APW112")</f>
        <v>74LVT244APW112</v>
      </c>
      <c r="B17693" s="3" t="str">
        <f>HYPERLINK("https://www.773grp.com/manufacturer/nxp-semiconductor?pageNo=31", "NXP Semiconductors")</f>
        <v>NXP Semiconductors</v>
      </c>
      <c r="C17693" s="6">
        <v>11850</v>
      </c>
      <c r="D17693" s="7">
        <v>0.69</v>
      </c>
    </row>
    <row r="17694" spans="1:4" x14ac:dyDescent="0.25">
      <c r="A17694" t="str">
        <f>HYPERLINK("https://www.773grp.com/globalSearch/74LVT244APW118/page-1", "74LVT244APW118")</f>
        <v>74LVT244APW118</v>
      </c>
      <c r="B17694" s="3" t="str">
        <f>HYPERLINK("https://www.773grp.com/manufacturer/nxp-semiconductor?pageNo=32", "NXP Semiconductors")</f>
        <v>NXP Semiconductors</v>
      </c>
      <c r="C17694" s="6">
        <v>7500</v>
      </c>
      <c r="D17694" s="7">
        <v>0.69</v>
      </c>
    </row>
    <row r="17695" spans="1:4" x14ac:dyDescent="0.25">
      <c r="A17695" t="str">
        <f>HYPERLINK("https://www.773grp.com/globalSearch/74LVT245BPW118/page-1", "74LVT245BPW118")</f>
        <v>74LVT245BPW118</v>
      </c>
      <c r="B17695" s="3" t="str">
        <f>HYPERLINK("https://www.773grp.com/manufacturer/nxp-semiconductor?pageNo=33", "NXP Semiconductors")</f>
        <v>NXP Semiconductors</v>
      </c>
      <c r="C17695" s="6">
        <v>2500</v>
      </c>
      <c r="D17695" s="7">
        <v>0.69</v>
      </c>
    </row>
    <row r="17696" spans="1:4" x14ac:dyDescent="0.25">
      <c r="A17696" t="str">
        <f>HYPERLINK("https://www.773grp.com/globalSearch/BAP64Q125/page-1", "BAP64Q125")</f>
        <v>BAP64Q125</v>
      </c>
      <c r="B17696" s="3" t="str">
        <f>HYPERLINK("https://www.773grp.com/manufacturer/nxp-semiconductor?pageNo=34", "NXP Semiconductors")</f>
        <v>NXP Semiconductors</v>
      </c>
      <c r="C17696" s="6">
        <v>3000</v>
      </c>
      <c r="D17696" s="7">
        <v>0.69</v>
      </c>
    </row>
    <row r="17697" spans="1:4" x14ac:dyDescent="0.25">
      <c r="A17697" t="str">
        <f>HYPERLINK("https://www.773grp.com/globalSearch/BAP70Q125/page-1", "BAP70Q125")</f>
        <v>BAP70Q125</v>
      </c>
      <c r="B17697" s="3" t="str">
        <f>HYPERLINK("https://www.773grp.com/manufacturer/nxp-semiconductor?pageNo=35", "NXP Semiconductors")</f>
        <v>NXP Semiconductors</v>
      </c>
      <c r="C17697" s="6">
        <v>100</v>
      </c>
      <c r="D17697" s="7">
        <v>0.69</v>
      </c>
    </row>
    <row r="17698" spans="1:4" x14ac:dyDescent="0.25">
      <c r="A17698" t="str">
        <f>HYPERLINK("https://www.773grp.com/globalSearch/BAS17215/page-1", "BAS17215")</f>
        <v>BAS17215</v>
      </c>
      <c r="B17698" s="3" t="str">
        <f>HYPERLINK("https://www.773grp.com/manufacturer/nxp-semiconductor?pageNo=36", "NXP Semiconductors")</f>
        <v>NXP Semiconductors</v>
      </c>
      <c r="C17698" s="6">
        <v>9195</v>
      </c>
      <c r="D17698" s="7">
        <v>0.69</v>
      </c>
    </row>
    <row r="17699" spans="1:4" x14ac:dyDescent="0.25">
      <c r="A17699" t="str">
        <f>HYPERLINK("https://www.773grp.com/globalSearch/BB208-03115/page-1", "BB208-03115")</f>
        <v>BB208-03115</v>
      </c>
      <c r="B17699" s="3" t="str">
        <f>HYPERLINK("https://www.773grp.com/manufacturer/nxp-semiconductor?pageNo=37", "NXP Semiconductors")</f>
        <v>NXP Semiconductors</v>
      </c>
      <c r="C17699" s="6">
        <v>55990</v>
      </c>
      <c r="D17699" s="7">
        <v>0.69</v>
      </c>
    </row>
    <row r="17700" spans="1:4" x14ac:dyDescent="0.25">
      <c r="A17700" t="str">
        <f>HYPERLINK("https://www.773grp.com/globalSearch/BCV61215/page-1", "BCV61215")</f>
        <v>BCV61215</v>
      </c>
      <c r="B17700" s="3" t="str">
        <f>HYPERLINK("https://www.773grp.com/manufacturer/nxp-semiconductor?pageNo=38", "NXP Semiconductors")</f>
        <v>NXP Semiconductors</v>
      </c>
      <c r="C17700" s="6">
        <v>3000</v>
      </c>
      <c r="D17700" s="7">
        <v>0.69</v>
      </c>
    </row>
    <row r="17701" spans="1:4" x14ac:dyDescent="0.25">
      <c r="A17701" t="str">
        <f>HYPERLINK("https://www.773grp.com/globalSearch/BCV62215/page-1", "BCV62215")</f>
        <v>BCV62215</v>
      </c>
      <c r="B17701" s="3" t="str">
        <f>HYPERLINK("https://www.773grp.com/manufacturer/nxp-semiconductor?pageNo=39", "NXP Semiconductors")</f>
        <v>NXP Semiconductors</v>
      </c>
      <c r="C17701" s="6">
        <v>15000</v>
      </c>
      <c r="D17701" s="7">
        <v>0.69</v>
      </c>
    </row>
    <row r="17702" spans="1:4" x14ac:dyDescent="0.25">
      <c r="A17702" t="str">
        <f>HYPERLINK("https://www.773grp.com/globalSearch/BCV62A215/page-1", "BCV62A215")</f>
        <v>BCV62A215</v>
      </c>
      <c r="B17702" s="3" t="str">
        <f>HYPERLINK("https://www.773grp.com/manufacturer/nxp-semiconductor?pageNo=40", "NXP Semiconductors")</f>
        <v>NXP Semiconductors</v>
      </c>
      <c r="C17702" s="6">
        <v>3000</v>
      </c>
      <c r="D17702" s="7">
        <v>0.69</v>
      </c>
    </row>
    <row r="17703" spans="1:4" x14ac:dyDescent="0.25">
      <c r="A17703" t="str">
        <f>HYPERLINK("https://www.773grp.com/globalSearch/BCV62B215/page-1", "BCV62B215")</f>
        <v>BCV62B215</v>
      </c>
      <c r="B17703" s="3" t="str">
        <f>HYPERLINK("https://www.773grp.com/manufacturer/nxp-semiconductor?pageNo=41", "NXP Semiconductors")</f>
        <v>NXP Semiconductors</v>
      </c>
      <c r="C17703" s="6">
        <v>57000</v>
      </c>
      <c r="D17703" s="7">
        <v>0.69</v>
      </c>
    </row>
    <row r="17704" spans="1:4" x14ac:dyDescent="0.25">
      <c r="A17704" t="str">
        <f>HYPERLINK("https://www.773grp.com/globalSearch/BCV63B215/page-1", "BCV63B215")</f>
        <v>BCV63B215</v>
      </c>
      <c r="B17704" s="3" t="str">
        <f>HYPERLINK("https://www.773grp.com/manufacturer/nxp-semiconductor?pageNo=42", "NXP Semiconductors")</f>
        <v>NXP Semiconductors</v>
      </c>
      <c r="C17704" s="6">
        <v>3195</v>
      </c>
      <c r="D17704" s="7">
        <v>0.69</v>
      </c>
    </row>
    <row r="17705" spans="1:4" x14ac:dyDescent="0.25">
      <c r="A17705" t="str">
        <f>HYPERLINK("https://www.773grp.com/globalSearch/BCV64B215/page-1", "BCV64B215")</f>
        <v>BCV64B215</v>
      </c>
      <c r="B17705" s="3" t="str">
        <f>HYPERLINK("https://www.773grp.com/manufacturer/nxp-semiconductor?pageNo=43", "NXP Semiconductors")</f>
        <v>NXP Semiconductors</v>
      </c>
      <c r="C17705" s="6">
        <v>3165</v>
      </c>
      <c r="D17705" s="7">
        <v>0.69</v>
      </c>
    </row>
    <row r="17706" spans="1:4" x14ac:dyDescent="0.25">
      <c r="A17706" t="str">
        <f>HYPERLINK("https://www.773grp.com/globalSearch/BF545C215/page-1", "BF545C215")</f>
        <v>BF545C215</v>
      </c>
      <c r="B17706" s="3" t="str">
        <f>HYPERLINK("https://www.773grp.com/manufacturer/nxp-semiconductor?pageNo=44", "NXP Semiconductors")</f>
        <v>NXP Semiconductors</v>
      </c>
      <c r="C17706" s="6">
        <v>5172</v>
      </c>
      <c r="D17706" s="7">
        <v>0.69</v>
      </c>
    </row>
    <row r="17707" spans="1:4" x14ac:dyDescent="0.25">
      <c r="A17707" t="str">
        <f>HYPERLINK("https://www.773grp.com/globalSearch/BF904A215/page-1", "BF904A215")</f>
        <v>BF904A215</v>
      </c>
      <c r="B17707" s="3" t="str">
        <f>HYPERLINK("https://www.773grp.com/manufacturer/nxp-semiconductor?pageNo=45", "NXP Semiconductors")</f>
        <v>NXP Semiconductors</v>
      </c>
      <c r="C17707" s="6">
        <v>2865</v>
      </c>
      <c r="D17707" s="7">
        <v>0.69</v>
      </c>
    </row>
    <row r="17708" spans="1:4" x14ac:dyDescent="0.25">
      <c r="A17708" t="str">
        <f>HYPERLINK("https://www.773grp.com/globalSearch/BF904AR215/page-1", "BF904AR215")</f>
        <v>BF904AR215</v>
      </c>
      <c r="B17708" s="3" t="str">
        <f>HYPERLINK("https://www.773grp.com/manufacturer/nxp-semiconductor?pageNo=46", "NXP Semiconductors")</f>
        <v>NXP Semiconductors</v>
      </c>
      <c r="C17708" s="6">
        <v>2955</v>
      </c>
      <c r="D17708" s="7">
        <v>0.69</v>
      </c>
    </row>
    <row r="17709" spans="1:4" x14ac:dyDescent="0.25">
      <c r="A17709" t="str">
        <f>HYPERLINK("https://www.773grp.com/globalSearch/BF909215/page-1", "BF909215")</f>
        <v>BF909215</v>
      </c>
      <c r="B17709" s="3" t="str">
        <f>HYPERLINK("https://www.773grp.com/manufacturer/nxp-semiconductor?pageNo=47", "NXP Semiconductors")</f>
        <v>NXP Semiconductors</v>
      </c>
      <c r="C17709" s="6">
        <v>2920</v>
      </c>
      <c r="D17709" s="7">
        <v>0.69</v>
      </c>
    </row>
    <row r="17710" spans="1:4" x14ac:dyDescent="0.25">
      <c r="A17710" t="str">
        <f>HYPERLINK("https://www.773grp.com/globalSearch/BF909R215/page-1", "BF909R215")</f>
        <v>BF909R215</v>
      </c>
      <c r="B17710" s="3" t="str">
        <f>HYPERLINK("https://www.773grp.com/manufacturer/nxp-semiconductor?pageNo=48", "NXP Semiconductors")</f>
        <v>NXP Semiconductors</v>
      </c>
      <c r="C17710" s="6">
        <v>2900</v>
      </c>
      <c r="D17710" s="7">
        <v>0.69</v>
      </c>
    </row>
    <row r="17711" spans="1:4" x14ac:dyDescent="0.25">
      <c r="A17711" t="str">
        <f>HYPERLINK("https://www.773grp.com/globalSearch/BFG540W-X115/page-1", "BFG540W-X115")</f>
        <v>BFG540W-X115</v>
      </c>
      <c r="B17711" s="3" t="str">
        <f>HYPERLINK("https://www.773grp.com/manufacturer/nxp-semiconductor?pageNo=1", "NXP Semiconductors")</f>
        <v>NXP Semiconductors</v>
      </c>
      <c r="C17711" s="6">
        <v>3000</v>
      </c>
      <c r="D17711" s="7">
        <v>0.69</v>
      </c>
    </row>
    <row r="17712" spans="1:4" x14ac:dyDescent="0.25">
      <c r="A17712" t="str">
        <f>HYPERLINK("https://www.773grp.com/globalSearch/BFG540W115/page-1", "BFG540W115")</f>
        <v>BFG540W115</v>
      </c>
      <c r="B17712" s="3" t="str">
        <f>HYPERLINK("https://www.773grp.com/manufacturer/nxp-semiconductor?pageNo=2", "NXP Semiconductors")</f>
        <v>NXP Semiconductors</v>
      </c>
      <c r="C17712" s="6">
        <v>3000</v>
      </c>
      <c r="D17712" s="7">
        <v>0.69</v>
      </c>
    </row>
    <row r="17713" spans="1:4" x14ac:dyDescent="0.25">
      <c r="A17713" t="str">
        <f>HYPERLINK("https://www.773grp.com/globalSearch/BFS25A115/page-1", "BFS25A115")</f>
        <v>BFS25A115</v>
      </c>
      <c r="B17713" s="3" t="str">
        <f>HYPERLINK("https://www.773grp.com/manufacturer/nxp-semiconductor?pageNo=3", "NXP Semiconductors")</f>
        <v>NXP Semiconductors</v>
      </c>
      <c r="C17713" s="6">
        <v>106589</v>
      </c>
      <c r="D17713" s="7">
        <v>0.69</v>
      </c>
    </row>
    <row r="17714" spans="1:4" x14ac:dyDescent="0.25">
      <c r="A17714" t="str">
        <f>HYPERLINK("https://www.773grp.com/globalSearch/BFT25A215/page-1", "BFT25A215")</f>
        <v>BFT25A215</v>
      </c>
      <c r="B17714" s="3" t="str">
        <f>HYPERLINK("https://www.773grp.com/manufacturer/nxp-semiconductor?pageNo=4", "NXP Semiconductors")</f>
        <v>NXP Semiconductors</v>
      </c>
      <c r="C17714" s="6">
        <v>3000</v>
      </c>
      <c r="D17714" s="7">
        <v>0.69</v>
      </c>
    </row>
    <row r="17715" spans="1:4" x14ac:dyDescent="0.25">
      <c r="A17715" t="str">
        <f>HYPERLINK("https://www.773grp.com/globalSearch/BGU7041115/page-1", "BGU7041115")</f>
        <v>BGU7041115</v>
      </c>
      <c r="B17715" s="3" t="str">
        <f>HYPERLINK("https://www.773grp.com/manufacturer/nxp-semiconductor?pageNo=5", "NXP Semiconductors")</f>
        <v>NXP Semiconductors</v>
      </c>
      <c r="C17715" s="6">
        <v>5648</v>
      </c>
      <c r="D17715" s="7">
        <v>0.69</v>
      </c>
    </row>
    <row r="17716" spans="1:4" x14ac:dyDescent="0.25">
      <c r="A17716" t="str">
        <f>HYPERLINK("https://www.773grp.com/globalSearch/CBT3253AD112/page-1", "CBT3253AD112")</f>
        <v>CBT3253AD112</v>
      </c>
      <c r="B17716" s="3" t="str">
        <f>HYPERLINK("https://www.773grp.com/manufacturer/nxp-semiconductor?pageNo=6", "NXP Semiconductors")</f>
        <v>NXP Semiconductors</v>
      </c>
      <c r="C17716" s="6">
        <v>6000</v>
      </c>
      <c r="D17716" s="7">
        <v>0.69</v>
      </c>
    </row>
    <row r="17717" spans="1:4" x14ac:dyDescent="0.25">
      <c r="A17717" t="str">
        <f>HYPERLINK("https://www.773grp.com/globalSearch/HEF4021BT652/page-1", "HEF4021BT652")</f>
        <v>HEF4021BT652</v>
      </c>
      <c r="B17717" s="3" t="str">
        <f>HYPERLINK("https://www.773grp.com/manufacturer/nxp-semiconductor?pageNo=7", "NXP Semiconductors")</f>
        <v>NXP Semiconductors</v>
      </c>
      <c r="C17717" s="6">
        <v>62000</v>
      </c>
      <c r="D17717" s="7">
        <v>0.69</v>
      </c>
    </row>
    <row r="17718" spans="1:4" x14ac:dyDescent="0.25">
      <c r="A17718" t="str">
        <f>HYPERLINK("https://www.773grp.com/globalSearch/HEF4021BT653/page-1", "HEF4021BT653")</f>
        <v>HEF4021BT653</v>
      </c>
      <c r="B17718" s="3" t="str">
        <f>HYPERLINK("https://www.773grp.com/manufacturer/nxp-semiconductor?pageNo=8", "NXP Semiconductors")</f>
        <v>NXP Semiconductors</v>
      </c>
      <c r="C17718" s="6">
        <v>7700</v>
      </c>
      <c r="D17718" s="7">
        <v>0.69</v>
      </c>
    </row>
    <row r="17719" spans="1:4" x14ac:dyDescent="0.25">
      <c r="A17719" t="str">
        <f>HYPERLINK("https://www.773grp.com/globalSearch/HEF4024BT653/page-1", "HEF4024BT653")</f>
        <v>HEF4024BT653</v>
      </c>
      <c r="B17719" s="3" t="str">
        <f>HYPERLINK("https://www.773grp.com/manufacturer/nxp-semiconductor?pageNo=9", "NXP Semiconductors")</f>
        <v>NXP Semiconductors</v>
      </c>
      <c r="C17719" s="6">
        <v>10165</v>
      </c>
      <c r="D17719" s="7">
        <v>0.69</v>
      </c>
    </row>
    <row r="17720" spans="1:4" x14ac:dyDescent="0.25">
      <c r="A17720" t="str">
        <f>HYPERLINK("https://www.773grp.com/globalSearch/HEF4047BT652/page-1", "HEF4047BT652")</f>
        <v>HEF4047BT652</v>
      </c>
      <c r="B17720" s="3" t="str">
        <f>HYPERLINK("https://www.773grp.com/manufacturer/nxp-semiconductor?pageNo=10", "NXP Semiconductors")</f>
        <v>NXP Semiconductors</v>
      </c>
      <c r="C17720" s="6">
        <v>1140</v>
      </c>
      <c r="D17720" s="7">
        <v>0.69</v>
      </c>
    </row>
    <row r="17721" spans="1:4" x14ac:dyDescent="0.25">
      <c r="A17721" t="str">
        <f>HYPERLINK("https://www.773grp.com/globalSearch/HEF4060BT652/page-1", "HEF4060BT652")</f>
        <v>HEF4060BT652</v>
      </c>
      <c r="B17721" s="3" t="str">
        <f>HYPERLINK("https://www.773grp.com/manufacturer/nxp-semiconductor?pageNo=11", "NXP Semiconductors")</f>
        <v>NXP Semiconductors</v>
      </c>
      <c r="C17721" s="6">
        <v>5000</v>
      </c>
      <c r="D17721" s="7">
        <v>0.69</v>
      </c>
    </row>
    <row r="17722" spans="1:4" x14ac:dyDescent="0.25">
      <c r="A17722" t="str">
        <f>HYPERLINK("https://www.773grp.com/globalSearch/HEF4060BT653/page-1", "HEF4060BT653")</f>
        <v>HEF4060BT653</v>
      </c>
      <c r="B17722" s="3" t="str">
        <f>HYPERLINK("https://www.773grp.com/manufacturer/nxp-semiconductor?pageNo=12", "NXP Semiconductors")</f>
        <v>NXP Semiconductors</v>
      </c>
      <c r="C17722" s="6">
        <v>24071</v>
      </c>
      <c r="D17722" s="7">
        <v>0.69</v>
      </c>
    </row>
    <row r="17723" spans="1:4" x14ac:dyDescent="0.25">
      <c r="A17723" t="str">
        <f>HYPERLINK("https://www.773grp.com/globalSearch/HEF4072BT653/page-1", "HEF4072BT653")</f>
        <v>HEF4072BT653</v>
      </c>
      <c r="B17723" s="3" t="str">
        <f>HYPERLINK("https://www.773grp.com/manufacturer/nxp-semiconductor?pageNo=13", "NXP Semiconductors")</f>
        <v>NXP Semiconductors</v>
      </c>
      <c r="C17723" s="6">
        <v>1755</v>
      </c>
      <c r="D17723" s="7">
        <v>0.69</v>
      </c>
    </row>
    <row r="17724" spans="1:4" x14ac:dyDescent="0.25">
      <c r="A17724" t="str">
        <f>HYPERLINK("https://www.773grp.com/globalSearch/HEF4511BT652/page-1", "HEF4511BT652")</f>
        <v>HEF4511BT652</v>
      </c>
      <c r="B17724" s="3" t="str">
        <f>HYPERLINK("https://www.773grp.com/manufacturer/nxp-semiconductor?pageNo=14", "NXP Semiconductors")</f>
        <v>NXP Semiconductors</v>
      </c>
      <c r="C17724" s="6">
        <v>28827</v>
      </c>
      <c r="D17724" s="7">
        <v>0.69</v>
      </c>
    </row>
    <row r="17725" spans="1:4" x14ac:dyDescent="0.25">
      <c r="A17725" t="str">
        <f>HYPERLINK("https://www.773grp.com/globalSearch/HEF4511BT653/page-1", "HEF4511BT653")</f>
        <v>HEF4511BT653</v>
      </c>
      <c r="B17725" s="3" t="str">
        <f>HYPERLINK("https://www.773grp.com/manufacturer/nxp-semiconductor?pageNo=15", "NXP Semiconductors")</f>
        <v>NXP Semiconductors</v>
      </c>
      <c r="C17725" s="6">
        <v>1850</v>
      </c>
      <c r="D17725" s="7">
        <v>0.69</v>
      </c>
    </row>
    <row r="17726" spans="1:4" x14ac:dyDescent="0.25">
      <c r="A17726" t="str">
        <f>HYPERLINK("https://www.773grp.com/globalSearch/HEF4520BT652/page-1", "HEF4520BT652")</f>
        <v>HEF4520BT652</v>
      </c>
      <c r="B17726" s="3" t="str">
        <f>HYPERLINK("https://www.773grp.com/manufacturer/nxp-semiconductor?pageNo=16", "NXP Semiconductors")</f>
        <v>NXP Semiconductors</v>
      </c>
      <c r="C17726" s="6">
        <v>3200</v>
      </c>
      <c r="D17726" s="7">
        <v>0.69</v>
      </c>
    </row>
    <row r="17727" spans="1:4" x14ac:dyDescent="0.25">
      <c r="A17727" t="str">
        <f>HYPERLINK("https://www.773grp.com/globalSearch/HEF4520BT653/page-1", "HEF4520BT653")</f>
        <v>HEF4520BT653</v>
      </c>
      <c r="B17727" s="3" t="str">
        <f>HYPERLINK("https://www.773grp.com/manufacturer/nxp-semiconductor?pageNo=17", "NXP Semiconductors")</f>
        <v>NXP Semiconductors</v>
      </c>
      <c r="C17727" s="6">
        <v>10000</v>
      </c>
      <c r="D17727" s="7">
        <v>0.69</v>
      </c>
    </row>
    <row r="17728" spans="1:4" x14ac:dyDescent="0.25">
      <c r="A17728" t="str">
        <f>HYPERLINK("https://www.773grp.com/globalSearch/IP4254CZ12-6-TTL1/page-1", "IP4254CZ12-6-TTL1")</f>
        <v>IP4254CZ12-6-TTL1</v>
      </c>
      <c r="B17728" s="3" t="str">
        <f>HYPERLINK("https://www.773grp.com/manufacturer/nxp-semiconductor?pageNo=18", "NXP Semiconductors")</f>
        <v>NXP Semiconductors</v>
      </c>
      <c r="C17728" s="6">
        <v>712</v>
      </c>
      <c r="D17728" s="7">
        <v>0.69</v>
      </c>
    </row>
    <row r="17729" spans="1:4" x14ac:dyDescent="0.25">
      <c r="A17729" t="str">
        <f>HYPERLINK("https://www.773grp.com/globalSearch/IP4285CZ9-TBB115/page-1", "IP4285CZ9-TBB115")</f>
        <v>IP4285CZ9-TBB115</v>
      </c>
      <c r="B17729" s="3" t="str">
        <f>HYPERLINK("https://www.773grp.com/manufacturer/nxp-semiconductor?pageNo=19", "NXP Semiconductors")</f>
        <v>NXP Semiconductors</v>
      </c>
      <c r="C17729" s="6">
        <v>4000</v>
      </c>
      <c r="D17729" s="7">
        <v>0.69</v>
      </c>
    </row>
    <row r="17730" spans="1:4" x14ac:dyDescent="0.25">
      <c r="A17730" t="str">
        <f>HYPERLINK("https://www.773grp.com/globalSearch/N74F125D602/page-1", "N74F125D602")</f>
        <v>N74F125D602</v>
      </c>
      <c r="B17730" s="3" t="str">
        <f>HYPERLINK("https://www.773grp.com/manufacturer/nxp-semiconductor?pageNo=20", "NXP Semiconductors")</f>
        <v>NXP Semiconductors</v>
      </c>
      <c r="C17730" s="6">
        <v>13680</v>
      </c>
      <c r="D17730" s="7">
        <v>0.69</v>
      </c>
    </row>
    <row r="17731" spans="1:4" x14ac:dyDescent="0.25">
      <c r="A17731" t="str">
        <f>HYPERLINK("https://www.773grp.com/globalSearch/N74F126D602/page-1", "N74F126D602")</f>
        <v>N74F126D602</v>
      </c>
      <c r="B17731" s="3" t="str">
        <f>HYPERLINK("https://www.773grp.com/manufacturer/nxp-semiconductor?pageNo=21", "NXP Semiconductors")</f>
        <v>NXP Semiconductors</v>
      </c>
      <c r="C17731" s="6">
        <v>6856</v>
      </c>
      <c r="D17731" s="7">
        <v>0.69</v>
      </c>
    </row>
    <row r="17732" spans="1:4" x14ac:dyDescent="0.25">
      <c r="A17732" t="str">
        <f>HYPERLINK("https://www.773grp.com/globalSearch/N74F126D623/page-1", "N74F126D623")</f>
        <v>N74F126D623</v>
      </c>
      <c r="B17732" s="3" t="str">
        <f>HYPERLINK("https://www.773grp.com/manufacturer/nxp-semiconductor?pageNo=22", "NXP Semiconductors")</f>
        <v>NXP Semiconductors</v>
      </c>
      <c r="C17732" s="6">
        <v>12579</v>
      </c>
      <c r="D17732" s="7">
        <v>0.69</v>
      </c>
    </row>
    <row r="17733" spans="1:4" x14ac:dyDescent="0.25">
      <c r="A17733" t="str">
        <f>HYPERLINK("https://www.773grp.com/globalSearch/N74F132D602/page-1", "N74F132D602")</f>
        <v>N74F132D602</v>
      </c>
      <c r="B17733" s="3" t="str">
        <f>HYPERLINK("https://www.773grp.com/manufacturer/nxp-semiconductor?pageNo=23", "NXP Semiconductors")</f>
        <v>NXP Semiconductors</v>
      </c>
      <c r="C17733" s="6">
        <v>5700</v>
      </c>
      <c r="D17733" s="7">
        <v>0.69</v>
      </c>
    </row>
    <row r="17734" spans="1:4" x14ac:dyDescent="0.25">
      <c r="A17734" t="str">
        <f>HYPERLINK("https://www.773grp.com/globalSearch/N74F257AD602/page-1", "N74F257AD602")</f>
        <v>N74F257AD602</v>
      </c>
      <c r="B17734" s="3" t="str">
        <f>HYPERLINK("https://www.773grp.com/manufacturer/nxp-semiconductor?pageNo=24", "NXP Semiconductors")</f>
        <v>NXP Semiconductors</v>
      </c>
      <c r="C17734" s="6">
        <v>8560</v>
      </c>
      <c r="D17734" s="7">
        <v>0.69</v>
      </c>
    </row>
    <row r="17735" spans="1:4" x14ac:dyDescent="0.25">
      <c r="A17735" t="str">
        <f>HYPERLINK("https://www.773grp.com/globalSearch/N74F257AD623/page-1", "N74F257AD623")</f>
        <v>N74F257AD623</v>
      </c>
      <c r="B17735" s="3" t="str">
        <f>HYPERLINK("https://www.773grp.com/manufacturer/nxp-semiconductor?pageNo=25", "NXP Semiconductors")</f>
        <v>NXP Semiconductors</v>
      </c>
      <c r="C17735" s="6">
        <v>21482</v>
      </c>
      <c r="D17735" s="7">
        <v>0.69</v>
      </c>
    </row>
    <row r="17736" spans="1:4" x14ac:dyDescent="0.25">
      <c r="A17736" t="str">
        <f>HYPERLINK("https://www.773grp.com/globalSearch/NCX2202GW125/page-1", "NCX2202GW125")</f>
        <v>NCX2202GW125</v>
      </c>
      <c r="B17736" s="3" t="str">
        <f>HYPERLINK("https://www.773grp.com/manufacturer/nxp-semiconductor?pageNo=26", "NXP Semiconductors")</f>
        <v>NXP Semiconductors</v>
      </c>
      <c r="C17736" s="6">
        <v>3000</v>
      </c>
      <c r="D17736" s="7">
        <v>0.69</v>
      </c>
    </row>
    <row r="17737" spans="1:4" x14ac:dyDescent="0.25">
      <c r="A17737" t="str">
        <f>HYPERLINK("https://www.773grp.com/globalSearch/PBSS4420D115/page-1", "PBSS4420D115")</f>
        <v>PBSS4420D115</v>
      </c>
      <c r="B17737" s="3" t="str">
        <f>HYPERLINK("https://www.773grp.com/manufacturer/nxp-semiconductor?pageNo=27", "NXP Semiconductors")</f>
        <v>NXP Semiconductors</v>
      </c>
      <c r="C17737" s="6">
        <v>30000</v>
      </c>
      <c r="D17737" s="7">
        <v>0.69</v>
      </c>
    </row>
    <row r="17738" spans="1:4" x14ac:dyDescent="0.25">
      <c r="A17738" t="str">
        <f>HYPERLINK("https://www.773grp.com/globalSearch/PBSS4580PA115/page-1", "PBSS4580PA115")</f>
        <v>PBSS4580PA115</v>
      </c>
      <c r="B17738" s="3" t="str">
        <f>HYPERLINK("https://www.773grp.com/manufacturer/nxp-semiconductor?pageNo=28", "NXP Semiconductors")</f>
        <v>NXP Semiconductors</v>
      </c>
      <c r="C17738" s="6">
        <v>3200</v>
      </c>
      <c r="D17738" s="7">
        <v>0.69</v>
      </c>
    </row>
    <row r="17739" spans="1:4" x14ac:dyDescent="0.25">
      <c r="A17739" t="str">
        <f>HYPERLINK("https://www.773grp.com/globalSearch/PBSS4612PA115/page-1", "PBSS4612PA115")</f>
        <v>PBSS4612PA115</v>
      </c>
      <c r="B17739" s="3" t="str">
        <f>HYPERLINK("https://www.773grp.com/manufacturer/nxp-semiconductor?pageNo=29", "NXP Semiconductors")</f>
        <v>NXP Semiconductors</v>
      </c>
      <c r="C17739" s="6">
        <v>6000</v>
      </c>
      <c r="D17739" s="7">
        <v>0.69</v>
      </c>
    </row>
    <row r="17740" spans="1:4" x14ac:dyDescent="0.25">
      <c r="A17740" t="str">
        <f>HYPERLINK("https://www.773grp.com/globalSearch/PBSS4620PA115/page-1", "PBSS4620PA115")</f>
        <v>PBSS4620PA115</v>
      </c>
      <c r="B17740" s="3" t="str">
        <f>HYPERLINK("https://www.773grp.com/manufacturer/nxp-semiconductor?pageNo=30", "NXP Semiconductors")</f>
        <v>NXP Semiconductors</v>
      </c>
      <c r="C17740" s="6">
        <v>6092</v>
      </c>
      <c r="D17740" s="7">
        <v>0.69</v>
      </c>
    </row>
    <row r="17741" spans="1:4" x14ac:dyDescent="0.25">
      <c r="A17741" t="str">
        <f>HYPERLINK("https://www.773grp.com/globalSearch/PBSS4630PA115/page-1", "PBSS4630PA115")</f>
        <v>PBSS4630PA115</v>
      </c>
      <c r="B17741" s="3" t="str">
        <f>HYPERLINK("https://www.773grp.com/manufacturer/nxp-semiconductor?pageNo=31", "NXP Semiconductors")</f>
        <v>NXP Semiconductors</v>
      </c>
      <c r="C17741" s="6">
        <v>3000</v>
      </c>
      <c r="D17741" s="7">
        <v>0.69</v>
      </c>
    </row>
    <row r="17742" spans="1:4" x14ac:dyDescent="0.25">
      <c r="A17742" t="str">
        <f>HYPERLINK("https://www.773grp.com/globalSearch/PEMI6QFN-BYP132/page-1", "PEMI6QFN-BYP132")</f>
        <v>PEMI6QFN-BYP132</v>
      </c>
      <c r="B17742" s="3" t="str">
        <f>HYPERLINK("https://www.773grp.com/manufacturer/nxp-semiconductor?pageNo=32", "NXP Semiconductors")</f>
        <v>NXP Semiconductors</v>
      </c>
      <c r="C17742" s="6">
        <v>4000</v>
      </c>
      <c r="D17742" s="7">
        <v>0.69</v>
      </c>
    </row>
    <row r="17743" spans="1:4" x14ac:dyDescent="0.25">
      <c r="A17743" t="str">
        <f>HYPERLINK("https://www.773grp.com/globalSearch/PEMI6QFN-CE132/page-1", "PEMI6QFN-CE132")</f>
        <v>PEMI6QFN-CE132</v>
      </c>
      <c r="B17743" s="3" t="str">
        <f>HYPERLINK("https://www.773grp.com/manufacturer/nxp-semiconductor?pageNo=33", "NXP Semiconductors")</f>
        <v>NXP Semiconductors</v>
      </c>
      <c r="C17743" s="6">
        <v>4000</v>
      </c>
      <c r="D17743" s="7">
        <v>0.69</v>
      </c>
    </row>
    <row r="17744" spans="1:4" x14ac:dyDescent="0.25">
      <c r="A17744" t="str">
        <f>HYPERLINK("https://www.773grp.com/globalSearch/PEMI6QFN-CG132/page-1", "PEMI6QFN-CG132")</f>
        <v>PEMI6QFN-CG132</v>
      </c>
      <c r="B17744" s="3" t="str">
        <f>HYPERLINK("https://www.773grp.com/manufacturer/nxp-semiconductor?pageNo=34", "NXP Semiconductors")</f>
        <v>NXP Semiconductors</v>
      </c>
      <c r="C17744" s="6">
        <v>4000</v>
      </c>
      <c r="D17744" s="7">
        <v>0.69</v>
      </c>
    </row>
    <row r="17745" spans="1:4" x14ac:dyDescent="0.25">
      <c r="A17745" t="str">
        <f>HYPERLINK("https://www.773grp.com/globalSearch/PEMI6QFN-CK132/page-1", "PEMI6QFN-CK132")</f>
        <v>PEMI6QFN-CK132</v>
      </c>
      <c r="B17745" s="3" t="str">
        <f>HYPERLINK("https://www.773grp.com/manufacturer/nxp-semiconductor?pageNo=35", "NXP Semiconductors")</f>
        <v>NXP Semiconductors</v>
      </c>
      <c r="C17745" s="6">
        <v>4000</v>
      </c>
      <c r="D17745" s="7">
        <v>0.69</v>
      </c>
    </row>
    <row r="17746" spans="1:4" x14ac:dyDescent="0.25">
      <c r="A17746" t="str">
        <f>HYPERLINK("https://www.773grp.com/globalSearch/PEMI6QFN-CM132/page-1", "PEMI6QFN-CM132")</f>
        <v>PEMI6QFN-CM132</v>
      </c>
      <c r="B17746" s="3" t="str">
        <f>HYPERLINK("https://www.773grp.com/manufacturer/nxp-semiconductor?pageNo=36", "NXP Semiconductors")</f>
        <v>NXP Semiconductors</v>
      </c>
      <c r="C17746" s="6">
        <v>4000</v>
      </c>
      <c r="D17746" s="7">
        <v>0.69</v>
      </c>
    </row>
    <row r="17747" spans="1:4" x14ac:dyDescent="0.25">
      <c r="A17747" t="str">
        <f>HYPERLINK("https://www.773grp.com/globalSearch/PEMI6QFN-CP132/page-1", "PEMI6QFN-CP132")</f>
        <v>PEMI6QFN-CP132</v>
      </c>
      <c r="B17747" s="3" t="str">
        <f>HYPERLINK("https://www.773grp.com/manufacturer/nxp-semiconductor?pageNo=37", "NXP Semiconductors")</f>
        <v>NXP Semiconductors</v>
      </c>
      <c r="C17747" s="6">
        <v>4000</v>
      </c>
      <c r="D17747" s="7">
        <v>0.69</v>
      </c>
    </row>
    <row r="17748" spans="1:4" x14ac:dyDescent="0.25">
      <c r="A17748" t="str">
        <f>HYPERLINK("https://www.773grp.com/globalSearch/PEMI6QFN-CR132/page-1", "PEMI6QFN-CR132")</f>
        <v>PEMI6QFN-CR132</v>
      </c>
      <c r="B17748" s="3" t="str">
        <f>HYPERLINK("https://www.773grp.com/manufacturer/nxp-semiconductor?pageNo=38", "NXP Semiconductors")</f>
        <v>NXP Semiconductors</v>
      </c>
      <c r="C17748" s="6">
        <v>4000</v>
      </c>
      <c r="D17748" s="7">
        <v>0.69</v>
      </c>
    </row>
    <row r="17749" spans="1:4" x14ac:dyDescent="0.25">
      <c r="A17749" t="str">
        <f>HYPERLINK("https://www.773grp.com/globalSearch/PEMI6QFN-CT132/page-1", "PEMI6QFN-CT132")</f>
        <v>PEMI6QFN-CT132</v>
      </c>
      <c r="B17749" s="3" t="str">
        <f>HYPERLINK("https://www.773grp.com/manufacturer/nxp-semiconductor?pageNo=39", "NXP Semiconductors")</f>
        <v>NXP Semiconductors</v>
      </c>
      <c r="C17749" s="6">
        <v>4000</v>
      </c>
      <c r="D17749" s="7">
        <v>0.69</v>
      </c>
    </row>
    <row r="17750" spans="1:4" x14ac:dyDescent="0.25">
      <c r="A17750" t="str">
        <f>HYPERLINK("https://www.773grp.com/globalSearch/PEMI6QFN-HG132/page-1", "PEMI6QFN-HG132")</f>
        <v>PEMI6QFN-HG132</v>
      </c>
      <c r="B17750" s="3" t="str">
        <f>HYPERLINK("https://www.773grp.com/manufacturer/nxp-semiconductor?pageNo=40", "NXP Semiconductors")</f>
        <v>NXP Semiconductors</v>
      </c>
      <c r="C17750" s="6">
        <v>4000</v>
      </c>
      <c r="D17750" s="7">
        <v>0.69</v>
      </c>
    </row>
    <row r="17751" spans="1:4" x14ac:dyDescent="0.25">
      <c r="A17751" t="str">
        <f>HYPERLINK("https://www.773grp.com/globalSearch/PEMI6QFN-HK132/page-1", "PEMI6QFN-HK132")</f>
        <v>PEMI6QFN-HK132</v>
      </c>
      <c r="B17751" s="3" t="str">
        <f>HYPERLINK("https://www.773grp.com/manufacturer/nxp-semiconductor?pageNo=41", "NXP Semiconductors")</f>
        <v>NXP Semiconductors</v>
      </c>
      <c r="C17751" s="6">
        <v>4000</v>
      </c>
      <c r="D17751" s="7">
        <v>0.69</v>
      </c>
    </row>
    <row r="17752" spans="1:4" x14ac:dyDescent="0.25">
      <c r="A17752" t="str">
        <f>HYPERLINK("https://www.773grp.com/globalSearch/PEMI6QFN-HM132/page-1", "PEMI6QFN-HM132")</f>
        <v>PEMI6QFN-HM132</v>
      </c>
      <c r="B17752" s="3" t="str">
        <f>HYPERLINK("https://www.773grp.com/manufacturer/nxp-semiconductor?pageNo=42", "NXP Semiconductors")</f>
        <v>NXP Semiconductors</v>
      </c>
      <c r="C17752" s="6">
        <v>4000</v>
      </c>
      <c r="D17752" s="7">
        <v>0.69</v>
      </c>
    </row>
    <row r="17753" spans="1:4" x14ac:dyDescent="0.25">
      <c r="A17753" t="str">
        <f>HYPERLINK("https://www.773grp.com/globalSearch/PEMI6QFN-HP132/page-1", "PEMI6QFN-HP132")</f>
        <v>PEMI6QFN-HP132</v>
      </c>
      <c r="B17753" s="3" t="str">
        <f>HYPERLINK("https://www.773grp.com/manufacturer/nxp-semiconductor?pageNo=43", "NXP Semiconductors")</f>
        <v>NXP Semiconductors</v>
      </c>
      <c r="C17753" s="6">
        <v>4000</v>
      </c>
      <c r="D17753" s="7">
        <v>0.69</v>
      </c>
    </row>
    <row r="17754" spans="1:4" x14ac:dyDescent="0.25">
      <c r="A17754" t="str">
        <f>HYPERLINK("https://www.773grp.com/globalSearch/PEMI6QFN-HR132/page-1", "PEMI6QFN-HR132")</f>
        <v>PEMI6QFN-HR132</v>
      </c>
      <c r="B17754" s="3" t="str">
        <f>HYPERLINK("https://www.773grp.com/manufacturer/nxp-semiconductor?pageNo=44", "NXP Semiconductors")</f>
        <v>NXP Semiconductors</v>
      </c>
      <c r="C17754" s="6">
        <v>4000</v>
      </c>
      <c r="D17754" s="7">
        <v>0.69</v>
      </c>
    </row>
    <row r="17755" spans="1:4" x14ac:dyDescent="0.25">
      <c r="A17755" t="str">
        <f>HYPERLINK("https://www.773grp.com/globalSearch/PEMI6QFN-HT132/page-1", "PEMI6QFN-HT132")</f>
        <v>PEMI6QFN-HT132</v>
      </c>
      <c r="B17755" s="3" t="str">
        <f>HYPERLINK("https://www.773grp.com/manufacturer/nxp-semiconductor?pageNo=45", "NXP Semiconductors")</f>
        <v>NXP Semiconductors</v>
      </c>
      <c r="C17755" s="6">
        <v>4000</v>
      </c>
      <c r="D17755" s="7">
        <v>0.69</v>
      </c>
    </row>
    <row r="17756" spans="1:4" x14ac:dyDescent="0.25">
      <c r="A17756" t="str">
        <f>HYPERLINK("https://www.773grp.com/globalSearch/PEMI6QFN-LE132/page-1", "PEMI6QFN-LE132")</f>
        <v>PEMI6QFN-LE132</v>
      </c>
      <c r="B17756" s="3" t="str">
        <f>HYPERLINK("https://www.773grp.com/manufacturer/nxp-semiconductor?pageNo=46", "NXP Semiconductors")</f>
        <v>NXP Semiconductors</v>
      </c>
      <c r="C17756" s="6">
        <v>4000</v>
      </c>
      <c r="D17756" s="7">
        <v>0.69</v>
      </c>
    </row>
    <row r="17757" spans="1:4" x14ac:dyDescent="0.25">
      <c r="A17757" t="str">
        <f>HYPERLINK("https://www.773grp.com/globalSearch/PEMI6QFN-LG132/page-1", "PEMI6QFN-LG132")</f>
        <v>PEMI6QFN-LG132</v>
      </c>
      <c r="B17757" s="3" t="str">
        <f>HYPERLINK("https://www.773grp.com/manufacturer/nxp-semiconductor?pageNo=47", "NXP Semiconductors")</f>
        <v>NXP Semiconductors</v>
      </c>
      <c r="C17757" s="6">
        <v>4000</v>
      </c>
      <c r="D17757" s="7">
        <v>0.69</v>
      </c>
    </row>
    <row r="17758" spans="1:4" x14ac:dyDescent="0.25">
      <c r="A17758" t="str">
        <f>HYPERLINK("https://www.773grp.com/globalSearch/PEMI6QFN-LK132/page-1", "PEMI6QFN-LK132")</f>
        <v>PEMI6QFN-LK132</v>
      </c>
      <c r="B17758" s="3" t="str">
        <f>HYPERLINK("https://www.773grp.com/manufacturer/nxp-semiconductor?pageNo=48", "NXP Semiconductors")</f>
        <v>NXP Semiconductors</v>
      </c>
      <c r="C17758" s="6">
        <v>4000</v>
      </c>
      <c r="D17758" s="7">
        <v>0.69</v>
      </c>
    </row>
    <row r="17759" spans="1:4" x14ac:dyDescent="0.25">
      <c r="A17759" t="str">
        <f>HYPERLINK("https://www.773grp.com/globalSearch/PEMI6QFN-LM132/page-1", "PEMI6QFN-LM132")</f>
        <v>PEMI6QFN-LM132</v>
      </c>
      <c r="B17759" s="3" t="str">
        <f>HYPERLINK("https://www.773grp.com/manufacturer/nxp-semiconductor?pageNo=1", "NXP Semiconductors")</f>
        <v>NXP Semiconductors</v>
      </c>
      <c r="C17759" s="6">
        <v>4000</v>
      </c>
      <c r="D17759" s="7">
        <v>0.69</v>
      </c>
    </row>
    <row r="17760" spans="1:4" x14ac:dyDescent="0.25">
      <c r="A17760" t="str">
        <f>HYPERLINK("https://www.773grp.com/globalSearch/PEMI6QFN-LP132/page-1", "PEMI6QFN-LP132")</f>
        <v>PEMI6QFN-LP132</v>
      </c>
      <c r="B17760" s="3" t="str">
        <f>HYPERLINK("https://www.773grp.com/manufacturer/nxp-semiconductor?pageNo=2", "NXP Semiconductors")</f>
        <v>NXP Semiconductors</v>
      </c>
      <c r="C17760" s="6">
        <v>4000</v>
      </c>
      <c r="D17760" s="7">
        <v>0.69</v>
      </c>
    </row>
    <row r="17761" spans="1:4" x14ac:dyDescent="0.25">
      <c r="A17761" t="str">
        <f>HYPERLINK("https://www.773grp.com/globalSearch/PEMI6QFN-LR132/page-1", "PEMI6QFN-LR132")</f>
        <v>PEMI6QFN-LR132</v>
      </c>
      <c r="B17761" s="3" t="str">
        <f>HYPERLINK("https://www.773grp.com/manufacturer/nxp-semiconductor?pageNo=3", "NXP Semiconductors")</f>
        <v>NXP Semiconductors</v>
      </c>
      <c r="C17761" s="6">
        <v>4000</v>
      </c>
      <c r="D17761" s="7">
        <v>0.69</v>
      </c>
    </row>
    <row r="17762" spans="1:4" x14ac:dyDescent="0.25">
      <c r="A17762" t="str">
        <f>HYPERLINK("https://www.773grp.com/globalSearch/PEMI6QFN-LT132/page-1", "PEMI6QFN-LT132")</f>
        <v>PEMI6QFN-LT132</v>
      </c>
      <c r="B17762" s="3" t="str">
        <f>HYPERLINK("https://www.773grp.com/manufacturer/nxp-semiconductor?pageNo=4", "NXP Semiconductors")</f>
        <v>NXP Semiconductors</v>
      </c>
      <c r="C17762" s="6">
        <v>4000</v>
      </c>
      <c r="D17762" s="7">
        <v>0.69</v>
      </c>
    </row>
    <row r="17763" spans="1:4" x14ac:dyDescent="0.25">
      <c r="A17763" t="str">
        <f>HYPERLINK("https://www.773grp.com/globalSearch/PEMI6QFN-RE132/page-1", "PEMI6QFN-RE132")</f>
        <v>PEMI6QFN-RE132</v>
      </c>
      <c r="B17763" s="3" t="str">
        <f>HYPERLINK("https://www.773grp.com/manufacturer/nxp-semiconductor?pageNo=5", "NXP Semiconductors")</f>
        <v>NXP Semiconductors</v>
      </c>
      <c r="C17763" s="6">
        <v>4000</v>
      </c>
      <c r="D17763" s="7">
        <v>0.69</v>
      </c>
    </row>
    <row r="17764" spans="1:4" x14ac:dyDescent="0.25">
      <c r="A17764" t="str">
        <f>HYPERLINK("https://www.773grp.com/globalSearch/PEMI6QFN-RG132/page-1", "PEMI6QFN-RG132")</f>
        <v>PEMI6QFN-RG132</v>
      </c>
      <c r="B17764" s="3" t="str">
        <f>HYPERLINK("https://www.773grp.com/manufacturer/nxp-semiconductor?pageNo=6", "NXP Semiconductors")</f>
        <v>NXP Semiconductors</v>
      </c>
      <c r="C17764" s="6">
        <v>4000</v>
      </c>
      <c r="D17764" s="7">
        <v>0.69</v>
      </c>
    </row>
    <row r="17765" spans="1:4" x14ac:dyDescent="0.25">
      <c r="A17765" t="str">
        <f>HYPERLINK("https://www.773grp.com/globalSearch/PEMI6QFN-RK132/page-1", "PEMI6QFN-RK132")</f>
        <v>PEMI6QFN-RK132</v>
      </c>
      <c r="B17765" s="3" t="str">
        <f>HYPERLINK("https://www.773grp.com/manufacturer/nxp-semiconductor?pageNo=7", "NXP Semiconductors")</f>
        <v>NXP Semiconductors</v>
      </c>
      <c r="C17765" s="6">
        <v>4000</v>
      </c>
      <c r="D17765" s="7">
        <v>0.69</v>
      </c>
    </row>
    <row r="17766" spans="1:4" x14ac:dyDescent="0.25">
      <c r="A17766" t="str">
        <f>HYPERLINK("https://www.773grp.com/globalSearch/PEMI6QFN-RM132/page-1", "PEMI6QFN-RM132")</f>
        <v>PEMI6QFN-RM132</v>
      </c>
      <c r="B17766" s="3" t="str">
        <f>HYPERLINK("https://www.773grp.com/manufacturer/nxp-semiconductor?pageNo=8", "NXP Semiconductors")</f>
        <v>NXP Semiconductors</v>
      </c>
      <c r="C17766" s="6">
        <v>4000</v>
      </c>
      <c r="D17766" s="7">
        <v>0.69</v>
      </c>
    </row>
    <row r="17767" spans="1:4" x14ac:dyDescent="0.25">
      <c r="A17767" t="str">
        <f>HYPERLINK("https://www.773grp.com/globalSearch/PEMI6QFN-RP132/page-1", "PEMI6QFN-RP132")</f>
        <v>PEMI6QFN-RP132</v>
      </c>
      <c r="B17767" s="3" t="str">
        <f>HYPERLINK("https://www.773grp.com/manufacturer/nxp-semiconductor?pageNo=9", "NXP Semiconductors")</f>
        <v>NXP Semiconductors</v>
      </c>
      <c r="C17767" s="6">
        <v>4000</v>
      </c>
      <c r="D17767" s="7">
        <v>0.69</v>
      </c>
    </row>
    <row r="17768" spans="1:4" x14ac:dyDescent="0.25">
      <c r="A17768" t="str">
        <f>HYPERLINK("https://www.773grp.com/globalSearch/PEMI6QFN-RR132/page-1", "PEMI6QFN-RR132")</f>
        <v>PEMI6QFN-RR132</v>
      </c>
      <c r="B17768" s="3" t="str">
        <f>HYPERLINK("https://www.773grp.com/manufacturer/nxp-semiconductor?pageNo=10", "NXP Semiconductors")</f>
        <v>NXP Semiconductors</v>
      </c>
      <c r="C17768" s="6">
        <v>4000</v>
      </c>
      <c r="D17768" s="7">
        <v>0.69</v>
      </c>
    </row>
    <row r="17769" spans="1:4" x14ac:dyDescent="0.25">
      <c r="A17769" t="str">
        <f>HYPERLINK("https://www.773grp.com/globalSearch/PEMI6QFN-RT132/page-1", "PEMI6QFN-RT132")</f>
        <v>PEMI6QFN-RT132</v>
      </c>
      <c r="B17769" s="3" t="str">
        <f>HYPERLINK("https://www.773grp.com/manufacturer/nxp-semiconductor?pageNo=11", "NXP Semiconductors")</f>
        <v>NXP Semiconductors</v>
      </c>
      <c r="C17769" s="6">
        <v>4000</v>
      </c>
      <c r="D17769" s="7">
        <v>0.69</v>
      </c>
    </row>
    <row r="17770" spans="1:4" x14ac:dyDescent="0.25">
      <c r="A17770" t="str">
        <f>HYPERLINK("https://www.773grp.com/globalSearch/PEMI6QFN-WE132/page-1", "PEMI6QFN-WE132")</f>
        <v>PEMI6QFN-WE132</v>
      </c>
      <c r="B17770" s="3" t="str">
        <f>HYPERLINK("https://www.773grp.com/manufacturer/nxp-semiconductor?pageNo=12", "NXP Semiconductors")</f>
        <v>NXP Semiconductors</v>
      </c>
      <c r="C17770" s="6">
        <v>4000</v>
      </c>
      <c r="D17770" s="7">
        <v>0.69</v>
      </c>
    </row>
    <row r="17771" spans="1:4" x14ac:dyDescent="0.25">
      <c r="A17771" t="str">
        <f>HYPERLINK("https://www.773grp.com/globalSearch/PEMI6QFN-WG132/page-1", "PEMI6QFN-WG132")</f>
        <v>PEMI6QFN-WG132</v>
      </c>
      <c r="B17771" s="3" t="str">
        <f>HYPERLINK("https://www.773grp.com/manufacturer/nxp-semiconductor?pageNo=13", "NXP Semiconductors")</f>
        <v>NXP Semiconductors</v>
      </c>
      <c r="C17771" s="6">
        <v>4000</v>
      </c>
      <c r="D17771" s="7">
        <v>0.69</v>
      </c>
    </row>
    <row r="17772" spans="1:4" x14ac:dyDescent="0.25">
      <c r="A17772" t="str">
        <f>HYPERLINK("https://www.773grp.com/globalSearch/PEMI6QFN-WK132/page-1", "PEMI6QFN-WK132")</f>
        <v>PEMI6QFN-WK132</v>
      </c>
      <c r="B17772" s="3" t="str">
        <f>HYPERLINK("https://www.773grp.com/manufacturer/nxp-semiconductor?pageNo=14", "NXP Semiconductors")</f>
        <v>NXP Semiconductors</v>
      </c>
      <c r="C17772" s="6">
        <v>4000</v>
      </c>
      <c r="D17772" s="7">
        <v>0.69</v>
      </c>
    </row>
    <row r="17773" spans="1:4" x14ac:dyDescent="0.25">
      <c r="A17773" t="str">
        <f>HYPERLINK("https://www.773grp.com/globalSearch/PEMI6QFN-WM132/page-1", "PEMI6QFN-WM132")</f>
        <v>PEMI6QFN-WM132</v>
      </c>
      <c r="B17773" s="3" t="str">
        <f>HYPERLINK("https://www.773grp.com/manufacturer/nxp-semiconductor?pageNo=15", "NXP Semiconductors")</f>
        <v>NXP Semiconductors</v>
      </c>
      <c r="C17773" s="6">
        <v>4000</v>
      </c>
      <c r="D17773" s="7">
        <v>0.69</v>
      </c>
    </row>
    <row r="17774" spans="1:4" x14ac:dyDescent="0.25">
      <c r="A17774" t="str">
        <f>HYPERLINK("https://www.773grp.com/globalSearch/PEMI6QFN-WP132/page-1", "PEMI6QFN-WP132")</f>
        <v>PEMI6QFN-WP132</v>
      </c>
      <c r="B17774" s="3" t="str">
        <f>HYPERLINK("https://www.773grp.com/manufacturer/nxp-semiconductor?pageNo=16", "NXP Semiconductors")</f>
        <v>NXP Semiconductors</v>
      </c>
      <c r="C17774" s="6">
        <v>4000</v>
      </c>
      <c r="D17774" s="7">
        <v>0.69</v>
      </c>
    </row>
    <row r="17775" spans="1:4" x14ac:dyDescent="0.25">
      <c r="A17775" t="str">
        <f>HYPERLINK("https://www.773grp.com/globalSearch/PEMI6QFN-WR132/page-1", "PEMI6QFN-WR132")</f>
        <v>PEMI6QFN-WR132</v>
      </c>
      <c r="B17775" s="3" t="str">
        <f>HYPERLINK("https://www.773grp.com/manufacturer/nxp-semiconductor?pageNo=17", "NXP Semiconductors")</f>
        <v>NXP Semiconductors</v>
      </c>
      <c r="C17775" s="6">
        <v>4000</v>
      </c>
      <c r="D17775" s="7">
        <v>0.69</v>
      </c>
    </row>
    <row r="17776" spans="1:4" x14ac:dyDescent="0.25">
      <c r="A17776" t="str">
        <f>HYPERLINK("https://www.773grp.com/globalSearch/PEMI6QFN-WT132/page-1", "PEMI6QFN-WT132")</f>
        <v>PEMI6QFN-WT132</v>
      </c>
      <c r="B17776" s="3" t="str">
        <f>HYPERLINK("https://www.773grp.com/manufacturer/nxp-semiconductor?pageNo=18", "NXP Semiconductors")</f>
        <v>NXP Semiconductors</v>
      </c>
      <c r="C17776" s="6">
        <v>4000</v>
      </c>
      <c r="D17776" s="7">
        <v>0.69</v>
      </c>
    </row>
    <row r="17777" spans="1:4" x14ac:dyDescent="0.25">
      <c r="A17777" t="str">
        <f>HYPERLINK("https://www.773grp.com/globalSearch/PMN49EN135/page-1", "PMN49EN135")</f>
        <v>PMN49EN135</v>
      </c>
      <c r="B17777" s="3" t="str">
        <f>HYPERLINK("https://www.773grp.com/manufacturer/nxp-semiconductor?pageNo=19", "NXP Semiconductors")</f>
        <v>NXP Semiconductors</v>
      </c>
      <c r="C17777" s="6">
        <v>8959</v>
      </c>
      <c r="D17777" s="7">
        <v>0.69</v>
      </c>
    </row>
    <row r="17778" spans="1:4" x14ac:dyDescent="0.25">
      <c r="A17778" t="str">
        <f>HYPERLINK("https://www.773grp.com/globalSearch/PMV20XN215/page-1", "PMV20XN215")</f>
        <v>PMV20XN215</v>
      </c>
      <c r="B17778" s="3" t="str">
        <f>HYPERLINK("https://www.773grp.com/manufacturer/nxp-semiconductor?pageNo=20", "NXP Semiconductors")</f>
        <v>NXP Semiconductors</v>
      </c>
      <c r="C17778" s="6">
        <v>55767</v>
      </c>
      <c r="D17778" s="7">
        <v>0.69</v>
      </c>
    </row>
    <row r="17779" spans="1:4" x14ac:dyDescent="0.25">
      <c r="A17779" t="str">
        <f>HYPERLINK("https://www.773grp.com/globalSearch/PMV40UN215/page-1", "PMV40UN215")</f>
        <v>PMV40UN215</v>
      </c>
      <c r="B17779" s="3" t="str">
        <f>HYPERLINK("https://www.773grp.com/manufacturer/nxp-semiconductor?pageNo=21", "NXP Semiconductors")</f>
        <v>NXP Semiconductors</v>
      </c>
      <c r="C17779" s="6">
        <v>352269</v>
      </c>
      <c r="D17779" s="7">
        <v>0.69</v>
      </c>
    </row>
    <row r="17780" spans="1:4" x14ac:dyDescent="0.25">
      <c r="A17780" t="str">
        <f>HYPERLINK("https://www.773grp.com/globalSearch/PSMN7R5-25YLC115/page-1", "PSMN7R5-25YLC115")</f>
        <v>PSMN7R5-25YLC115</v>
      </c>
      <c r="B17780" s="3" t="str">
        <f>HYPERLINK("https://www.773grp.com/manufacturer/nxp-semiconductor?pageNo=22", "NXP Semiconductors")</f>
        <v>NXP Semiconductors</v>
      </c>
      <c r="C17780" s="6">
        <v>5005</v>
      </c>
      <c r="D17780" s="7">
        <v>0.69</v>
      </c>
    </row>
    <row r="17781" spans="1:4" x14ac:dyDescent="0.25">
      <c r="A17781" t="str">
        <f>HYPERLINK("https://www.773grp.com/globalSearch/PSMN8R0-30YLC115/page-1", "PSMN8R0-30YLC115")</f>
        <v>PSMN8R0-30YLC115</v>
      </c>
      <c r="B17781" s="3" t="str">
        <f>HYPERLINK("https://www.773grp.com/manufacturer/nxp-semiconductor?pageNo=23", "NXP Semiconductors")</f>
        <v>NXP Semiconductors</v>
      </c>
      <c r="C17781" s="6">
        <v>2776</v>
      </c>
      <c r="D17781" s="7">
        <v>0.69</v>
      </c>
    </row>
    <row r="17782" spans="1:4" x14ac:dyDescent="0.25">
      <c r="A17782" t="str">
        <f>HYPERLINK("https://www.773grp.com/globalSearch/TDA1308T-N2115/page-1", "TDA1308T-N2115")</f>
        <v>TDA1308T-N2115</v>
      </c>
      <c r="B17782" s="3" t="str">
        <f>HYPERLINK("https://www.773grp.com/manufacturer/nxp-semiconductor?pageNo=24", "NXP Semiconductors")</f>
        <v>NXP Semiconductors</v>
      </c>
      <c r="C17782" s="6">
        <v>600</v>
      </c>
      <c r="D17782" s="7">
        <v>0.69</v>
      </c>
    </row>
    <row r="17783" spans="1:4" x14ac:dyDescent="0.25">
      <c r="A17783" t="str">
        <f>HYPERLINK("https://www.773grp.com/globalSearch/74AHC08PW112/page-1", "74AHC08PW112")</f>
        <v>74AHC08PW112</v>
      </c>
      <c r="B17783" s="3" t="str">
        <f>HYPERLINK("https://www.773grp.com/manufacturer/nxp-semiconductor?pageNo=25", "NXP Semiconductors")</f>
        <v>NXP Semiconductors</v>
      </c>
      <c r="C17783" s="6">
        <v>2400</v>
      </c>
      <c r="D17783" s="7">
        <v>0.74</v>
      </c>
    </row>
    <row r="17784" spans="1:4" x14ac:dyDescent="0.25">
      <c r="A17784" t="str">
        <f>HYPERLINK("https://www.773grp.com/globalSearch/74AHC244D112/page-1", "74AHC244D112")</f>
        <v>74AHC244D112</v>
      </c>
      <c r="B17784" s="3" t="str">
        <f>HYPERLINK("https://www.773grp.com/manufacturer/nxp-semiconductor?pageNo=26", "NXP Semiconductors")</f>
        <v>NXP Semiconductors</v>
      </c>
      <c r="C17784" s="6">
        <v>8620</v>
      </c>
      <c r="D17784" s="7">
        <v>0.74</v>
      </c>
    </row>
    <row r="17785" spans="1:4" x14ac:dyDescent="0.25">
      <c r="A17785" t="str">
        <f>HYPERLINK("https://www.773grp.com/globalSearch/74AHC245D112/page-1", "74AHC245D112")</f>
        <v>74AHC245D112</v>
      </c>
      <c r="B17785" s="3" t="str">
        <f>HYPERLINK("https://www.773grp.com/manufacturer/nxp-semiconductor?pageNo=27", "NXP Semiconductors")</f>
        <v>NXP Semiconductors</v>
      </c>
      <c r="C17785" s="6">
        <v>4285</v>
      </c>
      <c r="D17785" s="7">
        <v>0.74</v>
      </c>
    </row>
    <row r="17786" spans="1:4" x14ac:dyDescent="0.25">
      <c r="A17786" t="str">
        <f>HYPERLINK("https://www.773grp.com/globalSearch/74AHC245D118/page-1", "74AHC245D118")</f>
        <v>74AHC245D118</v>
      </c>
      <c r="B17786" s="3" t="str">
        <f>HYPERLINK("https://www.773grp.com/manufacturer/nxp-semiconductor?pageNo=28", "NXP Semiconductors")</f>
        <v>NXP Semiconductors</v>
      </c>
      <c r="C17786" s="6">
        <v>31010</v>
      </c>
      <c r="D17786" s="7">
        <v>0.74</v>
      </c>
    </row>
    <row r="17787" spans="1:4" x14ac:dyDescent="0.25">
      <c r="A17787" t="str">
        <f>HYPERLINK("https://www.773grp.com/globalSearch/74AHC273D112/page-1", "74AHC273D112")</f>
        <v>74AHC273D112</v>
      </c>
      <c r="B17787" s="3" t="str">
        <f>HYPERLINK("https://www.773grp.com/manufacturer/nxp-semiconductor?pageNo=29", "NXP Semiconductors")</f>
        <v>NXP Semiconductors</v>
      </c>
      <c r="C17787" s="6">
        <v>456</v>
      </c>
      <c r="D17787" s="7">
        <v>0.74</v>
      </c>
    </row>
    <row r="17788" spans="1:4" x14ac:dyDescent="0.25">
      <c r="A17788" t="str">
        <f>HYPERLINK("https://www.773grp.com/globalSearch/74AHC273D118/page-1", "74AHC273D118")</f>
        <v>74AHC273D118</v>
      </c>
      <c r="B17788" s="3" t="str">
        <f>HYPERLINK("https://www.773grp.com/manufacturer/nxp-semiconductor?pageNo=30", "NXP Semiconductors")</f>
        <v>NXP Semiconductors</v>
      </c>
      <c r="C17788" s="6">
        <v>1454</v>
      </c>
      <c r="D17788" s="7">
        <v>0.74</v>
      </c>
    </row>
    <row r="17789" spans="1:4" x14ac:dyDescent="0.25">
      <c r="A17789" t="str">
        <f>HYPERLINK("https://www.773grp.com/globalSearch/74AHC373D118/page-1", "74AHC373D118")</f>
        <v>74AHC373D118</v>
      </c>
      <c r="B17789" s="3" t="str">
        <f>HYPERLINK("https://www.773grp.com/manufacturer/nxp-semiconductor?pageNo=31", "NXP Semiconductors")</f>
        <v>NXP Semiconductors</v>
      </c>
      <c r="C17789" s="6">
        <v>40180</v>
      </c>
      <c r="D17789" s="7">
        <v>0.74</v>
      </c>
    </row>
    <row r="17790" spans="1:4" x14ac:dyDescent="0.25">
      <c r="A17790" t="str">
        <f>HYPERLINK("https://www.773grp.com/globalSearch/74AHC374D112/page-1", "74AHC374D112")</f>
        <v>74AHC374D112</v>
      </c>
      <c r="B17790" s="3" t="str">
        <f>HYPERLINK("https://www.773grp.com/manufacturer/nxp-semiconductor?pageNo=32", "NXP Semiconductors")</f>
        <v>NXP Semiconductors</v>
      </c>
      <c r="C17790" s="6">
        <v>4080</v>
      </c>
      <c r="D17790" s="7">
        <v>0.74</v>
      </c>
    </row>
    <row r="17791" spans="1:4" x14ac:dyDescent="0.25">
      <c r="A17791" t="str">
        <f>HYPERLINK("https://www.773grp.com/globalSearch/74AHC374D118/page-1", "74AHC374D118")</f>
        <v>74AHC374D118</v>
      </c>
      <c r="B17791" s="3" t="str">
        <f>HYPERLINK("https://www.773grp.com/manufacturer/nxp-semiconductor?pageNo=33", "NXP Semiconductors")</f>
        <v>NXP Semiconductors</v>
      </c>
      <c r="C17791" s="6">
        <v>34000</v>
      </c>
      <c r="D17791" s="7">
        <v>0.74</v>
      </c>
    </row>
    <row r="17792" spans="1:4" x14ac:dyDescent="0.25">
      <c r="A17792" t="str">
        <f>HYPERLINK("https://www.773grp.com/globalSearch/74AHC541D112/page-1", "74AHC541D112")</f>
        <v>74AHC541D112</v>
      </c>
      <c r="B17792" s="3" t="str">
        <f>HYPERLINK("https://www.773grp.com/manufacturer/nxp-semiconductor?pageNo=34", "NXP Semiconductors")</f>
        <v>NXP Semiconductors</v>
      </c>
      <c r="C17792" s="6">
        <v>3040</v>
      </c>
      <c r="D17792" s="7">
        <v>0.74</v>
      </c>
    </row>
    <row r="17793" spans="1:4" x14ac:dyDescent="0.25">
      <c r="A17793" t="str">
        <f>HYPERLINK("https://www.773grp.com/globalSearch/74AHC541D118/page-1", "74AHC541D118")</f>
        <v>74AHC541D118</v>
      </c>
      <c r="B17793" s="3" t="str">
        <f>HYPERLINK("https://www.773grp.com/manufacturer/nxp-semiconductor?pageNo=35", "NXP Semiconductors")</f>
        <v>NXP Semiconductors</v>
      </c>
      <c r="C17793" s="6">
        <v>6337</v>
      </c>
      <c r="D17793" s="7">
        <v>0.74</v>
      </c>
    </row>
    <row r="17794" spans="1:4" x14ac:dyDescent="0.25">
      <c r="A17794" t="str">
        <f>HYPERLINK("https://www.773grp.com/globalSearch/74AHC573D112/page-1", "74AHC573D112")</f>
        <v>74AHC573D112</v>
      </c>
      <c r="B17794" s="3" t="str">
        <f>HYPERLINK("https://www.773grp.com/manufacturer/nxp-semiconductor?pageNo=36", "NXP Semiconductors")</f>
        <v>NXP Semiconductors</v>
      </c>
      <c r="C17794" s="6">
        <v>3040</v>
      </c>
      <c r="D17794" s="7">
        <v>0.74</v>
      </c>
    </row>
    <row r="17795" spans="1:4" x14ac:dyDescent="0.25">
      <c r="A17795" t="str">
        <f>HYPERLINK("https://www.773grp.com/globalSearch/74AHC573D118/page-1", "74AHC573D118")</f>
        <v>74AHC573D118</v>
      </c>
      <c r="B17795" s="3" t="str">
        <f>HYPERLINK("https://www.773grp.com/manufacturer/nxp-semiconductor?pageNo=37", "NXP Semiconductors")</f>
        <v>NXP Semiconductors</v>
      </c>
      <c r="C17795" s="6">
        <v>2000</v>
      </c>
      <c r="D17795" s="7">
        <v>0.74</v>
      </c>
    </row>
    <row r="17796" spans="1:4" x14ac:dyDescent="0.25">
      <c r="A17796" t="str">
        <f>HYPERLINK("https://www.773grp.com/globalSearch/74AHC574D118/page-1", "74AHC574D118")</f>
        <v>74AHC574D118</v>
      </c>
      <c r="B17796" s="3" t="str">
        <f>HYPERLINK("https://www.773grp.com/manufacturer/nxp-semiconductor?pageNo=38", "NXP Semiconductors")</f>
        <v>NXP Semiconductors</v>
      </c>
      <c r="C17796" s="6">
        <v>6000</v>
      </c>
      <c r="D17796" s="7">
        <v>0.74</v>
      </c>
    </row>
    <row r="17797" spans="1:4" x14ac:dyDescent="0.25">
      <c r="A17797" t="str">
        <f>HYPERLINK("https://www.773grp.com/globalSearch/74AHCT157BQ115/page-1", "74AHCT157BQ115")</f>
        <v>74AHCT157BQ115</v>
      </c>
      <c r="B17797" s="3" t="str">
        <f>HYPERLINK("https://www.773grp.com/manufacturer/nxp-semiconductor?pageNo=39", "NXP Semiconductors")</f>
        <v>NXP Semiconductors</v>
      </c>
      <c r="C17797" s="6">
        <v>3000</v>
      </c>
      <c r="D17797" s="7">
        <v>0.74</v>
      </c>
    </row>
    <row r="17798" spans="1:4" x14ac:dyDescent="0.25">
      <c r="A17798" t="str">
        <f>HYPERLINK("https://www.773grp.com/globalSearch/74AHCT244D112/page-1", "74AHCT244D112")</f>
        <v>74AHCT244D112</v>
      </c>
      <c r="B17798" s="3" t="str">
        <f>HYPERLINK("https://www.773grp.com/manufacturer/nxp-semiconductor?pageNo=40", "NXP Semiconductors")</f>
        <v>NXP Semiconductors</v>
      </c>
      <c r="C17798" s="6">
        <v>6080</v>
      </c>
      <c r="D17798" s="7">
        <v>0.74</v>
      </c>
    </row>
    <row r="17799" spans="1:4" x14ac:dyDescent="0.25">
      <c r="A17799" t="str">
        <f>HYPERLINK("https://www.773grp.com/globalSearch/74AHCT244D118/page-1", "74AHCT244D118")</f>
        <v>74AHCT244D118</v>
      </c>
      <c r="B17799" s="3" t="str">
        <f>HYPERLINK("https://www.773grp.com/manufacturer/nxp-semiconductor?pageNo=41", "NXP Semiconductors")</f>
        <v>NXP Semiconductors</v>
      </c>
      <c r="C17799" s="6">
        <v>2500</v>
      </c>
      <c r="D17799" s="7">
        <v>0.74</v>
      </c>
    </row>
    <row r="17800" spans="1:4" x14ac:dyDescent="0.25">
      <c r="A17800" t="str">
        <f>HYPERLINK("https://www.773grp.com/globalSearch/74AHCT245D112/page-1", "74AHCT245D112")</f>
        <v>74AHCT245D112</v>
      </c>
      <c r="B17800" s="3" t="str">
        <f>HYPERLINK("https://www.773grp.com/manufacturer/nxp-semiconductor?pageNo=42", "NXP Semiconductors")</f>
        <v>NXP Semiconductors</v>
      </c>
      <c r="C17800" s="6">
        <v>4049</v>
      </c>
      <c r="D17800" s="7">
        <v>0.74</v>
      </c>
    </row>
    <row r="17801" spans="1:4" x14ac:dyDescent="0.25">
      <c r="A17801" t="str">
        <f>HYPERLINK("https://www.773grp.com/globalSearch/74AHCT245D118/page-1", "74AHCT245D118")</f>
        <v>74AHCT245D118</v>
      </c>
      <c r="B17801" s="3" t="str">
        <f>HYPERLINK("https://www.773grp.com/manufacturer/nxp-semiconductor?pageNo=43", "NXP Semiconductors")</f>
        <v>NXP Semiconductors</v>
      </c>
      <c r="C17801" s="6">
        <v>10000</v>
      </c>
      <c r="D17801" s="7">
        <v>0.74</v>
      </c>
    </row>
    <row r="17802" spans="1:4" x14ac:dyDescent="0.25">
      <c r="A17802" t="str">
        <f>HYPERLINK("https://www.773grp.com/globalSearch/74AHCT273D112/page-1", "74AHCT273D112")</f>
        <v>74AHCT273D112</v>
      </c>
      <c r="B17802" s="3" t="str">
        <f>HYPERLINK("https://www.773grp.com/manufacturer/nxp-semiconductor?pageNo=44", "NXP Semiconductors")</f>
        <v>NXP Semiconductors</v>
      </c>
      <c r="C17802" s="6">
        <v>4560</v>
      </c>
      <c r="D17802" s="7">
        <v>0.74</v>
      </c>
    </row>
    <row r="17803" spans="1:4" x14ac:dyDescent="0.25">
      <c r="A17803" t="str">
        <f>HYPERLINK("https://www.773grp.com/globalSearch/74AHCT273D118/page-1", "74AHCT273D118")</f>
        <v>74AHCT273D118</v>
      </c>
      <c r="B17803" s="3" t="str">
        <f>HYPERLINK("https://www.773grp.com/manufacturer/nxp-semiconductor?pageNo=45", "NXP Semiconductors")</f>
        <v>NXP Semiconductors</v>
      </c>
      <c r="C17803" s="6">
        <v>20000</v>
      </c>
      <c r="D17803" s="7">
        <v>0.74</v>
      </c>
    </row>
    <row r="17804" spans="1:4" x14ac:dyDescent="0.25">
      <c r="A17804" t="str">
        <f>HYPERLINK("https://www.773grp.com/globalSearch/74AHCT373D112/page-1", "74AHCT373D112")</f>
        <v>74AHCT373D112</v>
      </c>
      <c r="B17804" s="3" t="str">
        <f>HYPERLINK("https://www.773grp.com/manufacturer/nxp-semiconductor?pageNo=46", "NXP Semiconductors")</f>
        <v>NXP Semiconductors</v>
      </c>
      <c r="C17804" s="6">
        <v>3040</v>
      </c>
      <c r="D17804" s="7">
        <v>0.74</v>
      </c>
    </row>
    <row r="17805" spans="1:4" x14ac:dyDescent="0.25">
      <c r="A17805" t="str">
        <f>HYPERLINK("https://www.773grp.com/globalSearch/74AHCT373D118/page-1", "74AHCT373D118")</f>
        <v>74AHCT373D118</v>
      </c>
      <c r="B17805" s="3" t="str">
        <f>HYPERLINK("https://www.773grp.com/manufacturer/nxp-semiconductor?pageNo=47", "NXP Semiconductors")</f>
        <v>NXP Semiconductors</v>
      </c>
      <c r="C17805" s="6">
        <v>2000</v>
      </c>
      <c r="D17805" s="7">
        <v>0.74</v>
      </c>
    </row>
    <row r="17806" spans="1:4" x14ac:dyDescent="0.25">
      <c r="A17806" t="str">
        <f>HYPERLINK("https://www.773grp.com/globalSearch/74AHCT541D112/page-1", "74AHCT541D112")</f>
        <v>74AHCT541D112</v>
      </c>
      <c r="B17806" s="3" t="str">
        <f>HYPERLINK("https://www.773grp.com/manufacturer/nxp-semiconductor?pageNo=48", "NXP Semiconductors")</f>
        <v>NXP Semiconductors</v>
      </c>
      <c r="C17806" s="6">
        <v>17323</v>
      </c>
      <c r="D17806" s="7">
        <v>0.74</v>
      </c>
    </row>
    <row r="17807" spans="1:4" x14ac:dyDescent="0.25">
      <c r="A17807" t="str">
        <f>HYPERLINK("https://www.773grp.com/globalSearch/74AHCT541D118/page-1", "74AHCT541D118")</f>
        <v>74AHCT541D118</v>
      </c>
      <c r="B17807" s="3" t="str">
        <f>HYPERLINK("https://www.773grp.com/manufacturer/nxp-semiconductor?pageNo=1", "NXP Semiconductors")</f>
        <v>NXP Semiconductors</v>
      </c>
      <c r="C17807" s="6">
        <v>30000</v>
      </c>
      <c r="D17807" s="7">
        <v>0.74</v>
      </c>
    </row>
    <row r="17808" spans="1:4" x14ac:dyDescent="0.25">
      <c r="A17808" t="str">
        <f>HYPERLINK("https://www.773grp.com/globalSearch/74AHCT574D118/page-1", "74AHCT574D118")</f>
        <v>74AHCT574D118</v>
      </c>
      <c r="B17808" s="3" t="str">
        <f>HYPERLINK("https://www.773grp.com/manufacturer/nxp-semiconductor?pageNo=2", "NXP Semiconductors")</f>
        <v>NXP Semiconductors</v>
      </c>
      <c r="C17808" s="6">
        <v>1490</v>
      </c>
      <c r="D17808" s="7">
        <v>0.74</v>
      </c>
    </row>
    <row r="17809" spans="1:4" x14ac:dyDescent="0.25">
      <c r="A17809" t="str">
        <f>HYPERLINK("https://www.773grp.com/globalSearch/74AHCT595D112/page-1", "74AHCT595D112")</f>
        <v>74AHCT595D112</v>
      </c>
      <c r="B17809" s="3" t="str">
        <f>HYPERLINK("https://www.773grp.com/manufacturer/nxp-semiconductor?pageNo=3", "NXP Semiconductors")</f>
        <v>NXP Semiconductors</v>
      </c>
      <c r="C17809" s="6">
        <v>6340</v>
      </c>
      <c r="D17809" s="7">
        <v>0.74</v>
      </c>
    </row>
    <row r="17810" spans="1:4" x14ac:dyDescent="0.25">
      <c r="A17810" t="str">
        <f>HYPERLINK("https://www.773grp.com/globalSearch/74ALVC125D112/page-1", "74ALVC125D112")</f>
        <v>74ALVC125D112</v>
      </c>
      <c r="B17810" s="3" t="str">
        <f>HYPERLINK("https://www.773grp.com/manufacturer/nxp-semiconductor?pageNo=4", "NXP Semiconductors")</f>
        <v>NXP Semiconductors</v>
      </c>
      <c r="C17810" s="6">
        <v>3340</v>
      </c>
      <c r="D17810" s="7">
        <v>0.74</v>
      </c>
    </row>
    <row r="17811" spans="1:4" x14ac:dyDescent="0.25">
      <c r="A17811" t="str">
        <f>HYPERLINK("https://www.773grp.com/globalSearch/74AUP1G240GM115/page-1", "74AUP1G240GM115")</f>
        <v>74AUP1G240GM115</v>
      </c>
      <c r="B17811" s="3" t="str">
        <f>HYPERLINK("https://www.773grp.com/manufacturer/nxp-semiconductor?pageNo=5", "NXP Semiconductors")</f>
        <v>NXP Semiconductors</v>
      </c>
      <c r="C17811" s="6">
        <v>5450</v>
      </c>
      <c r="D17811" s="7">
        <v>0.74</v>
      </c>
    </row>
    <row r="17812" spans="1:4" x14ac:dyDescent="0.25">
      <c r="A17812" t="str">
        <f>HYPERLINK("https://www.773grp.com/globalSearch/74AUP1G3208GM115/page-1", "74AUP1G3208GM115")</f>
        <v>74AUP1G3208GM115</v>
      </c>
      <c r="B17812" s="3" t="str">
        <f>HYPERLINK("https://www.773grp.com/manufacturer/nxp-semiconductor?pageNo=6", "NXP Semiconductors")</f>
        <v>NXP Semiconductors</v>
      </c>
      <c r="C17812" s="6">
        <v>125</v>
      </c>
      <c r="D17812" s="7">
        <v>0.74</v>
      </c>
    </row>
    <row r="17813" spans="1:4" x14ac:dyDescent="0.25">
      <c r="A17813" t="str">
        <f>HYPERLINK("https://www.773grp.com/globalSearch/74AUP1G374GM132/page-1", "74AUP1G374GM132")</f>
        <v>74AUP1G374GM132</v>
      </c>
      <c r="B17813" s="3" t="str">
        <f>HYPERLINK("https://www.773grp.com/manufacturer/nxp-semiconductor?pageNo=7", "NXP Semiconductors")</f>
        <v>NXP Semiconductors</v>
      </c>
      <c r="C17813" s="6">
        <v>10000</v>
      </c>
      <c r="D17813" s="7">
        <v>0.74</v>
      </c>
    </row>
    <row r="17814" spans="1:4" x14ac:dyDescent="0.25">
      <c r="A17814" t="str">
        <f>HYPERLINK("https://www.773grp.com/globalSearch/74AUP1G38GM115/page-1", "74AUP1G38GM115")</f>
        <v>74AUP1G38GM115</v>
      </c>
      <c r="B17814" s="3" t="str">
        <f>HYPERLINK("https://www.773grp.com/manufacturer/nxp-semiconductor?pageNo=8", "NXP Semiconductors")</f>
        <v>NXP Semiconductors</v>
      </c>
      <c r="C17814" s="6">
        <v>5300</v>
      </c>
      <c r="D17814" s="7">
        <v>0.74</v>
      </c>
    </row>
    <row r="17815" spans="1:4" x14ac:dyDescent="0.25">
      <c r="A17815" t="str">
        <f>HYPERLINK("https://www.773grp.com/globalSearch/74AUP1G57GM115/page-1", "74AUP1G57GM115")</f>
        <v>74AUP1G57GM115</v>
      </c>
      <c r="B17815" s="3" t="str">
        <f>HYPERLINK("https://www.773grp.com/manufacturer/nxp-semiconductor?pageNo=9", "NXP Semiconductors")</f>
        <v>NXP Semiconductors</v>
      </c>
      <c r="C17815" s="6">
        <v>260000</v>
      </c>
      <c r="D17815" s="7">
        <v>0.74</v>
      </c>
    </row>
    <row r="17816" spans="1:4" x14ac:dyDescent="0.25">
      <c r="A17816" t="str">
        <f>HYPERLINK("https://www.773grp.com/globalSearch/74AUP1G57GM132/page-1", "74AUP1G57GM132")</f>
        <v>74AUP1G57GM132</v>
      </c>
      <c r="B17816" s="3" t="str">
        <f>HYPERLINK("https://www.773grp.com/manufacturer/nxp-semiconductor?pageNo=10", "NXP Semiconductors")</f>
        <v>NXP Semiconductors</v>
      </c>
      <c r="C17816" s="6">
        <v>5000</v>
      </c>
      <c r="D17816" s="7">
        <v>0.74</v>
      </c>
    </row>
    <row r="17817" spans="1:4" x14ac:dyDescent="0.25">
      <c r="A17817" t="str">
        <f>HYPERLINK("https://www.773grp.com/globalSearch/74AUP1G58GM115/page-1", "74AUP1G58GM115")</f>
        <v>74AUP1G58GM115</v>
      </c>
      <c r="B17817" s="3" t="str">
        <f>HYPERLINK("https://www.773grp.com/manufacturer/nxp-semiconductor?pageNo=11", "NXP Semiconductors")</f>
        <v>NXP Semiconductors</v>
      </c>
      <c r="C17817" s="6">
        <v>150</v>
      </c>
      <c r="D17817" s="7">
        <v>0.74</v>
      </c>
    </row>
    <row r="17818" spans="1:4" x14ac:dyDescent="0.25">
      <c r="A17818" t="str">
        <f>HYPERLINK("https://www.773grp.com/globalSearch/74AUP1G58GM132/page-1", "74AUP1G58GM132")</f>
        <v>74AUP1G58GM132</v>
      </c>
      <c r="B17818" s="3" t="str">
        <f>HYPERLINK("https://www.773grp.com/manufacturer/nxp-semiconductor?pageNo=12", "NXP Semiconductors")</f>
        <v>NXP Semiconductors</v>
      </c>
      <c r="C17818" s="6">
        <v>5300</v>
      </c>
      <c r="D17818" s="7">
        <v>0.74</v>
      </c>
    </row>
    <row r="17819" spans="1:4" x14ac:dyDescent="0.25">
      <c r="A17819" t="str">
        <f>HYPERLINK("https://www.773grp.com/globalSearch/74AUP1G74GM125/page-1", "74AUP1G74GM125")</f>
        <v>74AUP1G74GM125</v>
      </c>
      <c r="B17819" s="3" t="str">
        <f>HYPERLINK("https://www.773grp.com/manufacturer/nxp-semiconductor?pageNo=13", "NXP Semiconductors")</f>
        <v>NXP Semiconductors</v>
      </c>
      <c r="C17819" s="6">
        <v>12175</v>
      </c>
      <c r="D17819" s="7">
        <v>0.74</v>
      </c>
    </row>
    <row r="17820" spans="1:4" x14ac:dyDescent="0.25">
      <c r="A17820" t="str">
        <f>HYPERLINK("https://www.773grp.com/globalSearch/74AUP1G79GM115/page-1", "74AUP1G79GM115")</f>
        <v>74AUP1G79GM115</v>
      </c>
      <c r="B17820" s="3" t="str">
        <f>HYPERLINK("https://www.773grp.com/manufacturer/nxp-semiconductor?pageNo=14", "NXP Semiconductors")</f>
        <v>NXP Semiconductors</v>
      </c>
      <c r="C17820" s="6">
        <v>5000</v>
      </c>
      <c r="D17820" s="7">
        <v>0.74</v>
      </c>
    </row>
    <row r="17821" spans="1:4" x14ac:dyDescent="0.25">
      <c r="A17821" t="str">
        <f>HYPERLINK("https://www.773grp.com/globalSearch/74AUP1G79GM132/page-1", "74AUP1G79GM132")</f>
        <v>74AUP1G79GM132</v>
      </c>
      <c r="B17821" s="3" t="str">
        <f>HYPERLINK("https://www.773grp.com/manufacturer/nxp-semiconductor?pageNo=15", "NXP Semiconductors")</f>
        <v>NXP Semiconductors</v>
      </c>
      <c r="C17821" s="6">
        <v>5153</v>
      </c>
      <c r="D17821" s="7">
        <v>0.74</v>
      </c>
    </row>
    <row r="17822" spans="1:4" x14ac:dyDescent="0.25">
      <c r="A17822" t="str">
        <f>HYPERLINK("https://www.773grp.com/globalSearch/74AUP1G79GW125/page-1", "74AUP1G79GW125")</f>
        <v>74AUP1G79GW125</v>
      </c>
      <c r="B17822" s="3" t="str">
        <f>HYPERLINK("https://www.773grp.com/manufacturer/nxp-semiconductor?pageNo=16", "NXP Semiconductors")</f>
        <v>NXP Semiconductors</v>
      </c>
      <c r="C17822" s="6">
        <v>15190</v>
      </c>
      <c r="D17822" s="7">
        <v>0.74</v>
      </c>
    </row>
    <row r="17823" spans="1:4" x14ac:dyDescent="0.25">
      <c r="A17823" t="str">
        <f>HYPERLINK("https://www.773grp.com/globalSearch/74AUP1G86GM115/page-1", "74AUP1G86GM115")</f>
        <v>74AUP1G86GM115</v>
      </c>
      <c r="B17823" s="3" t="str">
        <f>HYPERLINK("https://www.773grp.com/manufacturer/nxp-semiconductor?pageNo=17", "NXP Semiconductors")</f>
        <v>NXP Semiconductors</v>
      </c>
      <c r="C17823" s="6">
        <v>10000</v>
      </c>
      <c r="D17823" s="7">
        <v>0.74</v>
      </c>
    </row>
    <row r="17824" spans="1:4" x14ac:dyDescent="0.25">
      <c r="A17824" t="str">
        <f>HYPERLINK("https://www.773grp.com/globalSearch/74AUP1G97GM115/page-1", "74AUP1G97GM115")</f>
        <v>74AUP1G97GM115</v>
      </c>
      <c r="B17824" s="3" t="str">
        <f>HYPERLINK("https://www.773grp.com/manufacturer/nxp-semiconductor?pageNo=18", "NXP Semiconductors")</f>
        <v>NXP Semiconductors</v>
      </c>
      <c r="C17824" s="6">
        <v>2330</v>
      </c>
      <c r="D17824" s="7">
        <v>0.74</v>
      </c>
    </row>
    <row r="17825" spans="1:4" x14ac:dyDescent="0.25">
      <c r="A17825" t="str">
        <f>HYPERLINK("https://www.773grp.com/globalSearch/74AUP1G97GM132/page-1", "74AUP1G97GM132")</f>
        <v>74AUP1G97GM132</v>
      </c>
      <c r="B17825" s="3" t="str">
        <f>HYPERLINK("https://www.773grp.com/manufacturer/nxp-semiconductor?pageNo=19", "NXP Semiconductors")</f>
        <v>NXP Semiconductors</v>
      </c>
      <c r="C17825" s="6">
        <v>5000</v>
      </c>
      <c r="D17825" s="7">
        <v>0.74</v>
      </c>
    </row>
    <row r="17826" spans="1:4" x14ac:dyDescent="0.25">
      <c r="A17826" t="str">
        <f>HYPERLINK("https://www.773grp.com/globalSearch/74AUP1G98GM115/page-1", "74AUP1G98GM115")</f>
        <v>74AUP1G98GM115</v>
      </c>
      <c r="B17826" s="3" t="str">
        <f>HYPERLINK("https://www.773grp.com/manufacturer/nxp-semiconductor?pageNo=20", "NXP Semiconductors")</f>
        <v>NXP Semiconductors</v>
      </c>
      <c r="C17826" s="6">
        <v>10000</v>
      </c>
      <c r="D17826" s="7">
        <v>0.74</v>
      </c>
    </row>
    <row r="17827" spans="1:4" x14ac:dyDescent="0.25">
      <c r="A17827" t="str">
        <f>HYPERLINK("https://www.773grp.com/globalSearch/74AUP1G98GM132/page-1", "74AUP1G98GM132")</f>
        <v>74AUP1G98GM132</v>
      </c>
      <c r="B17827" s="3" t="str">
        <f>HYPERLINK("https://www.773grp.com/manufacturer/nxp-semiconductor?pageNo=21", "NXP Semiconductors")</f>
        <v>NXP Semiconductors</v>
      </c>
      <c r="C17827" s="6">
        <v>5000</v>
      </c>
      <c r="D17827" s="7">
        <v>0.74</v>
      </c>
    </row>
    <row r="17828" spans="1:4" x14ac:dyDescent="0.25">
      <c r="A17828" t="str">
        <f>HYPERLINK("https://www.773grp.com/globalSearch/74AUP1GU04GM115/page-1", "74AUP1GU04GM115")</f>
        <v>74AUP1GU04GM115</v>
      </c>
      <c r="B17828" s="3" t="str">
        <f>HYPERLINK("https://www.773grp.com/manufacturer/nxp-semiconductor?pageNo=22", "NXP Semiconductors")</f>
        <v>NXP Semiconductors</v>
      </c>
      <c r="C17828" s="6">
        <v>5975</v>
      </c>
      <c r="D17828" s="7">
        <v>0.74</v>
      </c>
    </row>
    <row r="17829" spans="1:4" x14ac:dyDescent="0.25">
      <c r="A17829" t="str">
        <f>HYPERLINK("https://www.773grp.com/globalSearch/74AUP1T45GM115/page-1", "74AUP1T45GM115")</f>
        <v>74AUP1T45GM115</v>
      </c>
      <c r="B17829" s="3" t="str">
        <f>HYPERLINK("https://www.773grp.com/manufacturer/nxp-semiconductor?pageNo=23", "NXP Semiconductors")</f>
        <v>NXP Semiconductors</v>
      </c>
      <c r="C17829" s="6">
        <v>15300</v>
      </c>
      <c r="D17829" s="7">
        <v>0.74</v>
      </c>
    </row>
    <row r="17830" spans="1:4" x14ac:dyDescent="0.25">
      <c r="A17830" t="str">
        <f>HYPERLINK("https://www.773grp.com/globalSearch/74AUP1T57GM115/page-1", "74AUP1T57GM115")</f>
        <v>74AUP1T57GM115</v>
      </c>
      <c r="B17830" s="3" t="str">
        <f>HYPERLINK("https://www.773grp.com/manufacturer/nxp-semiconductor?pageNo=24", "NXP Semiconductors")</f>
        <v>NXP Semiconductors</v>
      </c>
      <c r="C17830" s="6">
        <v>5300</v>
      </c>
      <c r="D17830" s="7">
        <v>0.74</v>
      </c>
    </row>
    <row r="17831" spans="1:4" x14ac:dyDescent="0.25">
      <c r="A17831" t="str">
        <f>HYPERLINK("https://www.773grp.com/globalSearch/74AUP1T57GM132/page-1", "74AUP1T57GM132")</f>
        <v>74AUP1T57GM132</v>
      </c>
      <c r="B17831" s="3" t="str">
        <f>HYPERLINK("https://www.773grp.com/manufacturer/nxp-semiconductor?pageNo=25", "NXP Semiconductors")</f>
        <v>NXP Semiconductors</v>
      </c>
      <c r="C17831" s="6">
        <v>5000</v>
      </c>
      <c r="D17831" s="7">
        <v>0.74</v>
      </c>
    </row>
    <row r="17832" spans="1:4" x14ac:dyDescent="0.25">
      <c r="A17832" t="str">
        <f>HYPERLINK("https://www.773grp.com/globalSearch/74AUP1T58GM115/page-1", "74AUP1T58GM115")</f>
        <v>74AUP1T58GM115</v>
      </c>
      <c r="B17832" s="3" t="str">
        <f>HYPERLINK("https://www.773grp.com/manufacturer/nxp-semiconductor?pageNo=26", "NXP Semiconductors")</f>
        <v>NXP Semiconductors</v>
      </c>
      <c r="C17832" s="6">
        <v>5095</v>
      </c>
      <c r="D17832" s="7">
        <v>0.74</v>
      </c>
    </row>
    <row r="17833" spans="1:4" x14ac:dyDescent="0.25">
      <c r="A17833" t="str">
        <f>HYPERLINK("https://www.773grp.com/globalSearch/74AUP1T58GM132/page-1", "74AUP1T58GM132")</f>
        <v>74AUP1T58GM132</v>
      </c>
      <c r="B17833" s="3" t="str">
        <f>HYPERLINK("https://www.773grp.com/manufacturer/nxp-semiconductor?pageNo=27", "NXP Semiconductors")</f>
        <v>NXP Semiconductors</v>
      </c>
      <c r="C17833" s="6">
        <v>5000</v>
      </c>
      <c r="D17833" s="7">
        <v>0.74</v>
      </c>
    </row>
    <row r="17834" spans="1:4" x14ac:dyDescent="0.25">
      <c r="A17834" t="str">
        <f>HYPERLINK("https://www.773grp.com/globalSearch/74AUP1T98GM115/page-1", "74AUP1T98GM115")</f>
        <v>74AUP1T98GM115</v>
      </c>
      <c r="B17834" s="3" t="str">
        <f>HYPERLINK("https://www.773grp.com/manufacturer/nxp-semiconductor?pageNo=28", "NXP Semiconductors")</f>
        <v>NXP Semiconductors</v>
      </c>
      <c r="C17834" s="6">
        <v>5000</v>
      </c>
      <c r="D17834" s="7">
        <v>0.74</v>
      </c>
    </row>
    <row r="17835" spans="1:4" x14ac:dyDescent="0.25">
      <c r="A17835" t="str">
        <f>HYPERLINK("https://www.773grp.com/globalSearch/74AUP1T98GM132/page-1", "74AUP1T98GM132")</f>
        <v>74AUP1T98GM132</v>
      </c>
      <c r="B17835" s="3" t="str">
        <f>HYPERLINK("https://www.773grp.com/manufacturer/nxp-semiconductor?pageNo=29", "NXP Semiconductors")</f>
        <v>NXP Semiconductors</v>
      </c>
      <c r="C17835" s="6">
        <v>300</v>
      </c>
      <c r="D17835" s="7">
        <v>0.74</v>
      </c>
    </row>
    <row r="17836" spans="1:4" x14ac:dyDescent="0.25">
      <c r="A17836" t="str">
        <f>HYPERLINK("https://www.773grp.com/globalSearch/74AUP2G132GT115/page-1", "74AUP2G132GT115")</f>
        <v>74AUP2G132GT115</v>
      </c>
      <c r="B17836" s="3" t="str">
        <f>HYPERLINK("https://www.773grp.com/manufacturer/nxp-semiconductor?pageNo=30", "NXP Semiconductors")</f>
        <v>NXP Semiconductors</v>
      </c>
      <c r="C17836" s="6">
        <v>300</v>
      </c>
      <c r="D17836" s="7">
        <v>0.74</v>
      </c>
    </row>
    <row r="17837" spans="1:4" x14ac:dyDescent="0.25">
      <c r="A17837" t="str">
        <f>HYPERLINK("https://www.773grp.com/globalSearch/74AVC2T45DP125/page-1", "74AVC2T45DP125")</f>
        <v>74AVC2T45DP125</v>
      </c>
      <c r="B17837" s="3" t="str">
        <f>HYPERLINK("https://www.773grp.com/manufacturer/nxp-semiconductor?pageNo=31", "NXP Semiconductors")</f>
        <v>NXP Semiconductors</v>
      </c>
      <c r="C17837" s="6">
        <v>6000</v>
      </c>
      <c r="D17837" s="7">
        <v>0.74</v>
      </c>
    </row>
    <row r="17838" spans="1:4" x14ac:dyDescent="0.25">
      <c r="A17838" t="str">
        <f>HYPERLINK("https://www.773grp.com/globalSearch/74AVCH1T45GM115/page-1", "74AVCH1T45GM115")</f>
        <v>74AVCH1T45GM115</v>
      </c>
      <c r="B17838" s="3" t="str">
        <f>HYPERLINK("https://www.773grp.com/manufacturer/nxp-semiconductor?pageNo=32", "NXP Semiconductors")</f>
        <v>NXP Semiconductors</v>
      </c>
      <c r="C17838" s="6">
        <v>10000</v>
      </c>
      <c r="D17838" s="7">
        <v>0.74</v>
      </c>
    </row>
    <row r="17839" spans="1:4" x14ac:dyDescent="0.25">
      <c r="A17839" t="str">
        <f>HYPERLINK("https://www.773grp.com/globalSearch/74AVCH1T45GW125/page-1", "74AVCH1T45GW125")</f>
        <v>74AVCH1T45GW125</v>
      </c>
      <c r="B17839" s="3" t="str">
        <f>HYPERLINK("https://www.773grp.com/manufacturer/nxp-semiconductor?pageNo=33", "NXP Semiconductors")</f>
        <v>NXP Semiconductors</v>
      </c>
      <c r="C17839" s="6">
        <v>9000</v>
      </c>
      <c r="D17839" s="7">
        <v>0.74</v>
      </c>
    </row>
    <row r="17840" spans="1:4" x14ac:dyDescent="0.25">
      <c r="A17840" t="str">
        <f>HYPERLINK("https://www.773grp.com/globalSearch/74CBTLV3257DS118/page-1", "74CBTLV3257DS118")</f>
        <v>74CBTLV3257DS118</v>
      </c>
      <c r="B17840" s="3" t="str">
        <f>HYPERLINK("https://www.773grp.com/manufacturer/nxp-semiconductor?pageNo=34", "NXP Semiconductors")</f>
        <v>NXP Semiconductors</v>
      </c>
      <c r="C17840" s="6">
        <v>10430</v>
      </c>
      <c r="D17840" s="7">
        <v>0.74</v>
      </c>
    </row>
    <row r="17841" spans="1:4" x14ac:dyDescent="0.25">
      <c r="A17841" t="str">
        <f>HYPERLINK("https://www.773grp.com/globalSearch/74HC137D652/page-1", "74HC137D652")</f>
        <v>74HC137D652</v>
      </c>
      <c r="B17841" s="3" t="str">
        <f>HYPERLINK("https://www.773grp.com/manufacturer/nxp-semiconductor?pageNo=35", "NXP Semiconductors")</f>
        <v>NXP Semiconductors</v>
      </c>
      <c r="C17841" s="6">
        <v>3000</v>
      </c>
      <c r="D17841" s="7">
        <v>0.74</v>
      </c>
    </row>
    <row r="17842" spans="1:4" x14ac:dyDescent="0.25">
      <c r="A17842" t="str">
        <f>HYPERLINK("https://www.773grp.com/globalSearch/74HC137D653/page-1", "74HC137D653")</f>
        <v>74HC137D653</v>
      </c>
      <c r="B17842" s="3" t="str">
        <f>HYPERLINK("https://www.773grp.com/manufacturer/nxp-semiconductor?pageNo=36", "NXP Semiconductors")</f>
        <v>NXP Semiconductors</v>
      </c>
      <c r="C17842" s="6">
        <v>2500</v>
      </c>
      <c r="D17842" s="7">
        <v>0.74</v>
      </c>
    </row>
    <row r="17843" spans="1:4" x14ac:dyDescent="0.25">
      <c r="A17843" t="str">
        <f>HYPERLINK("https://www.773grp.com/globalSearch/74HC147D652/page-1", "74HC147D652")</f>
        <v>74HC147D652</v>
      </c>
      <c r="B17843" s="3" t="str">
        <f>HYPERLINK("https://www.773grp.com/manufacturer/nxp-semiconductor?pageNo=37", "NXP Semiconductors")</f>
        <v>NXP Semiconductors</v>
      </c>
      <c r="C17843" s="6">
        <v>8000</v>
      </c>
      <c r="D17843" s="7">
        <v>0.74</v>
      </c>
    </row>
    <row r="17844" spans="1:4" x14ac:dyDescent="0.25">
      <c r="A17844" t="str">
        <f>HYPERLINK("https://www.773grp.com/globalSearch/74HC147D653/page-1", "74HC147D653")</f>
        <v>74HC147D653</v>
      </c>
      <c r="B17844" s="3" t="str">
        <f>HYPERLINK("https://www.773grp.com/manufacturer/nxp-semiconductor?pageNo=38", "NXP Semiconductors")</f>
        <v>NXP Semiconductors</v>
      </c>
      <c r="C17844" s="6">
        <v>7635</v>
      </c>
      <c r="D17844" s="7">
        <v>0.74</v>
      </c>
    </row>
    <row r="17845" spans="1:4" x14ac:dyDescent="0.25">
      <c r="A17845" t="str">
        <f>HYPERLINK("https://www.773grp.com/globalSearch/74HC151D652/page-1", "74HC151D652")</f>
        <v>74HC151D652</v>
      </c>
      <c r="B17845" s="3" t="str">
        <f>HYPERLINK("https://www.773grp.com/manufacturer/nxp-semiconductor?pageNo=39", "NXP Semiconductors")</f>
        <v>NXP Semiconductors</v>
      </c>
      <c r="C17845" s="6">
        <v>29550</v>
      </c>
      <c r="D17845" s="7">
        <v>0.74</v>
      </c>
    </row>
    <row r="17846" spans="1:4" x14ac:dyDescent="0.25">
      <c r="A17846" t="str">
        <f>HYPERLINK("https://www.773grp.com/globalSearch/74HC158D653/page-1", "74HC158D653")</f>
        <v>74HC158D653</v>
      </c>
      <c r="B17846" s="3" t="str">
        <f>HYPERLINK("https://www.773grp.com/manufacturer/nxp-semiconductor?pageNo=40", "NXP Semiconductors")</f>
        <v>NXP Semiconductors</v>
      </c>
      <c r="C17846" s="6">
        <v>2500</v>
      </c>
      <c r="D17846" s="7">
        <v>0.74</v>
      </c>
    </row>
    <row r="17847" spans="1:4" x14ac:dyDescent="0.25">
      <c r="A17847" t="str">
        <f>HYPERLINK("https://www.773grp.com/globalSearch/74HC191D653/page-1", "74HC191D653")</f>
        <v>74HC191D653</v>
      </c>
      <c r="B17847" s="3" t="str">
        <f>HYPERLINK("https://www.773grp.com/manufacturer/nxp-semiconductor?pageNo=41", "NXP Semiconductors")</f>
        <v>NXP Semiconductors</v>
      </c>
      <c r="C17847" s="6">
        <v>12500</v>
      </c>
      <c r="D17847" s="7">
        <v>0.74</v>
      </c>
    </row>
    <row r="17848" spans="1:4" x14ac:dyDescent="0.25">
      <c r="A17848" t="str">
        <f>HYPERLINK("https://www.773grp.com/globalSearch/74HC21PW112/page-1", "74HC21PW112")</f>
        <v>74HC21PW112</v>
      </c>
      <c r="B17848" s="3" t="str">
        <f>HYPERLINK("https://www.773grp.com/manufacturer/nxp-semiconductor?pageNo=42", "NXP Semiconductors")</f>
        <v>NXP Semiconductors</v>
      </c>
      <c r="C17848" s="6">
        <v>1290</v>
      </c>
      <c r="D17848" s="7">
        <v>0.74</v>
      </c>
    </row>
    <row r="17849" spans="1:4" x14ac:dyDescent="0.25">
      <c r="A17849" t="str">
        <f>HYPERLINK("https://www.773grp.com/globalSearch/74HC237D652/page-1", "74HC237D652")</f>
        <v>74HC237D652</v>
      </c>
      <c r="B17849" s="3" t="str">
        <f>HYPERLINK("https://www.773grp.com/manufacturer/nxp-semiconductor?pageNo=43", "NXP Semiconductors")</f>
        <v>NXP Semiconductors</v>
      </c>
      <c r="C17849" s="6">
        <v>9285</v>
      </c>
      <c r="D17849" s="7">
        <v>0.74</v>
      </c>
    </row>
    <row r="17850" spans="1:4" x14ac:dyDescent="0.25">
      <c r="A17850" t="str">
        <f>HYPERLINK("https://www.773grp.com/globalSearch/74HC245D652/page-1", "74HC245D652")</f>
        <v>74HC245D652</v>
      </c>
      <c r="B17850" s="3" t="str">
        <f>HYPERLINK("https://www.773grp.com/manufacturer/nxp-semiconductor?pageNo=44", "NXP Semiconductors")</f>
        <v>NXP Semiconductors</v>
      </c>
      <c r="C17850" s="6">
        <v>16568</v>
      </c>
      <c r="D17850" s="7">
        <v>0.74</v>
      </c>
    </row>
    <row r="17851" spans="1:4" x14ac:dyDescent="0.25">
      <c r="A17851" t="str">
        <f>HYPERLINK("https://www.773grp.com/globalSearch/74HC245D653/page-1", "74HC245D653")</f>
        <v>74HC245D653</v>
      </c>
      <c r="B17851" s="3" t="str">
        <f>HYPERLINK("https://www.773grp.com/manufacturer/nxp-semiconductor?pageNo=45", "NXP Semiconductors")</f>
        <v>NXP Semiconductors</v>
      </c>
      <c r="C17851" s="6">
        <v>824000</v>
      </c>
      <c r="D17851" s="7">
        <v>0.74</v>
      </c>
    </row>
    <row r="17852" spans="1:4" x14ac:dyDescent="0.25">
      <c r="A17852" t="str">
        <f>HYPERLINK("https://www.773grp.com/globalSearch/74HC273D653/page-1", "74HC273D653")</f>
        <v>74HC273D653</v>
      </c>
      <c r="B17852" s="3" t="str">
        <f>HYPERLINK("https://www.773grp.com/manufacturer/nxp-semiconductor?pageNo=46", "NXP Semiconductors")</f>
        <v>NXP Semiconductors</v>
      </c>
      <c r="C17852" s="6">
        <v>70000</v>
      </c>
      <c r="D17852" s="7">
        <v>0.74</v>
      </c>
    </row>
    <row r="17853" spans="1:4" x14ac:dyDescent="0.25">
      <c r="A17853" t="str">
        <f>HYPERLINK("https://www.773grp.com/globalSearch/74HC273DB118/page-1", "74HC273DB118")</f>
        <v>74HC273DB118</v>
      </c>
      <c r="B17853" s="3" t="str">
        <f>HYPERLINK("https://www.773grp.com/manufacturer/nxp-semiconductor?pageNo=47", "NXP Semiconductors")</f>
        <v>NXP Semiconductors</v>
      </c>
      <c r="C17853" s="6">
        <v>7000</v>
      </c>
      <c r="D17853" s="7">
        <v>0.74</v>
      </c>
    </row>
    <row r="17854" spans="1:4" x14ac:dyDescent="0.25">
      <c r="A17854" t="str">
        <f>HYPERLINK("https://www.773grp.com/globalSearch/74HC366D652/page-1", "74HC366D652")</f>
        <v>74HC366D652</v>
      </c>
      <c r="B17854" s="3" t="str">
        <f>HYPERLINK("https://www.773grp.com/manufacturer/nxp-semiconductor?pageNo=48", "NXP Semiconductors")</f>
        <v>NXP Semiconductors</v>
      </c>
      <c r="C17854" s="6">
        <v>5102</v>
      </c>
      <c r="D17854" s="7">
        <v>0.74</v>
      </c>
    </row>
    <row r="17855" spans="1:4" x14ac:dyDescent="0.25">
      <c r="A17855" t="str">
        <f>HYPERLINK("https://www.773grp.com/globalSearch/74HC366D653/page-1", "74HC366D653")</f>
        <v>74HC366D653</v>
      </c>
      <c r="B17855" s="3" t="str">
        <f>HYPERLINK("https://www.773grp.com/manufacturer/nxp-semiconductor?pageNo=1", "NXP Semiconductors")</f>
        <v>NXP Semiconductors</v>
      </c>
      <c r="C17855" s="6">
        <v>5426</v>
      </c>
      <c r="D17855" s="7">
        <v>0.74</v>
      </c>
    </row>
    <row r="17856" spans="1:4" x14ac:dyDescent="0.25">
      <c r="A17856" t="str">
        <f>HYPERLINK("https://www.773grp.com/globalSearch/74HC366PW-Q100118/page-1", "74HC366PW-Q100118")</f>
        <v>74HC366PW-Q100118</v>
      </c>
      <c r="B17856" s="3" t="str">
        <f>HYPERLINK("https://www.773grp.com/manufacturer/nxp-semiconductor?pageNo=2", "NXP Semiconductors")</f>
        <v>NXP Semiconductors</v>
      </c>
      <c r="C17856" s="6">
        <v>2000</v>
      </c>
      <c r="D17856" s="7">
        <v>0.74</v>
      </c>
    </row>
    <row r="17857" spans="1:4" x14ac:dyDescent="0.25">
      <c r="A17857" t="str">
        <f>HYPERLINK("https://www.773grp.com/globalSearch/74HC373D652/page-1", "74HC373D652")</f>
        <v>74HC373D652</v>
      </c>
      <c r="B17857" s="3" t="str">
        <f>HYPERLINK("https://www.773grp.com/manufacturer/nxp-semiconductor?pageNo=3", "NXP Semiconductors")</f>
        <v>NXP Semiconductors</v>
      </c>
      <c r="C17857" s="6">
        <v>5700</v>
      </c>
      <c r="D17857" s="7">
        <v>0.74</v>
      </c>
    </row>
    <row r="17858" spans="1:4" x14ac:dyDescent="0.25">
      <c r="A17858" t="str">
        <f>HYPERLINK("https://www.773grp.com/globalSearch/74HC373D653/page-1", "74HC373D653")</f>
        <v>74HC373D653</v>
      </c>
      <c r="B17858" s="3" t="str">
        <f>HYPERLINK("https://www.773grp.com/manufacturer/nxp-semiconductor?pageNo=4", "NXP Semiconductors")</f>
        <v>NXP Semiconductors</v>
      </c>
      <c r="C17858" s="6">
        <v>18182</v>
      </c>
      <c r="D17858" s="7">
        <v>0.74</v>
      </c>
    </row>
    <row r="17859" spans="1:4" x14ac:dyDescent="0.25">
      <c r="A17859" t="str">
        <f>HYPERLINK("https://www.773grp.com/globalSearch/74HC374D652/page-1", "74HC374D652")</f>
        <v>74HC374D652</v>
      </c>
      <c r="B17859" s="3" t="str">
        <f>HYPERLINK("https://www.773grp.com/manufacturer/nxp-semiconductor?pageNo=5", "NXP Semiconductors")</f>
        <v>NXP Semiconductors</v>
      </c>
      <c r="C17859" s="6">
        <v>21280</v>
      </c>
      <c r="D17859" s="7">
        <v>0.74</v>
      </c>
    </row>
    <row r="17860" spans="1:4" x14ac:dyDescent="0.25">
      <c r="A17860" t="str">
        <f>HYPERLINK("https://www.773grp.com/globalSearch/74HC377D653/page-1", "74HC377D653")</f>
        <v>74HC377D653</v>
      </c>
      <c r="B17860" s="3" t="str">
        <f>HYPERLINK("https://www.773grp.com/manufacturer/nxp-semiconductor?pageNo=6", "NXP Semiconductors")</f>
        <v>NXP Semiconductors</v>
      </c>
      <c r="C17860" s="6">
        <v>6476</v>
      </c>
      <c r="D17860" s="7">
        <v>0.74</v>
      </c>
    </row>
    <row r="17861" spans="1:4" x14ac:dyDescent="0.25">
      <c r="A17861" t="str">
        <f>HYPERLINK("https://www.773grp.com/globalSearch/74HC4017D652/page-1", "74HC4017D652")</f>
        <v>74HC4017D652</v>
      </c>
      <c r="B17861" s="3" t="str">
        <f>HYPERLINK("https://www.773grp.com/manufacturer/nxp-semiconductor?pageNo=7", "NXP Semiconductors")</f>
        <v>NXP Semiconductors</v>
      </c>
      <c r="C17861" s="6">
        <v>6328</v>
      </c>
      <c r="D17861" s="7">
        <v>0.74</v>
      </c>
    </row>
    <row r="17862" spans="1:4" x14ac:dyDescent="0.25">
      <c r="A17862" t="str">
        <f>HYPERLINK("https://www.773grp.com/globalSearch/74HC4094DB112/page-1", "74HC4094DB112")</f>
        <v>74HC4094DB112</v>
      </c>
      <c r="B17862" s="3" t="str">
        <f>HYPERLINK("https://www.773grp.com/manufacturer/nxp-semiconductor?pageNo=8", "NXP Semiconductors")</f>
        <v>NXP Semiconductors</v>
      </c>
      <c r="C17862" s="6">
        <v>2984</v>
      </c>
      <c r="D17862" s="7">
        <v>0.74</v>
      </c>
    </row>
    <row r="17863" spans="1:4" x14ac:dyDescent="0.25">
      <c r="A17863" t="str">
        <f>HYPERLINK("https://www.773grp.com/globalSearch/74HC4094DB118/page-1", "74HC4094DB118")</f>
        <v>74HC4094DB118</v>
      </c>
      <c r="B17863" s="3" t="str">
        <f>HYPERLINK("https://www.773grp.com/manufacturer/nxp-semiconductor?pageNo=9", "NXP Semiconductors")</f>
        <v>NXP Semiconductors</v>
      </c>
      <c r="C17863" s="6">
        <v>52300</v>
      </c>
      <c r="D17863" s="7">
        <v>0.74</v>
      </c>
    </row>
    <row r="17864" spans="1:4" x14ac:dyDescent="0.25">
      <c r="A17864" t="str">
        <f>HYPERLINK("https://www.773grp.com/globalSearch/74HC42D653/page-1", "74HC42D653")</f>
        <v>74HC42D653</v>
      </c>
      <c r="B17864" s="3" t="str">
        <f>HYPERLINK("https://www.773grp.com/manufacturer/nxp-semiconductor?pageNo=10", "NXP Semiconductors")</f>
        <v>NXP Semiconductors</v>
      </c>
      <c r="C17864" s="6">
        <v>12500</v>
      </c>
      <c r="D17864" s="7">
        <v>0.74</v>
      </c>
    </row>
    <row r="17865" spans="1:4" x14ac:dyDescent="0.25">
      <c r="A17865" t="str">
        <f>HYPERLINK("https://www.773grp.com/globalSearch/74HC4538D653/page-1", "74HC4538D653")</f>
        <v>74HC4538D653</v>
      </c>
      <c r="B17865" s="3" t="str">
        <f>HYPERLINK("https://www.773grp.com/manufacturer/nxp-semiconductor?pageNo=11", "NXP Semiconductors")</f>
        <v>NXP Semiconductors</v>
      </c>
      <c r="C17865" s="6">
        <v>162500</v>
      </c>
      <c r="D17865" s="7">
        <v>0.74</v>
      </c>
    </row>
    <row r="17866" spans="1:4" x14ac:dyDescent="0.25">
      <c r="A17866" t="str">
        <f>HYPERLINK("https://www.773grp.com/globalSearch/74HC4538PW112/page-1", "74HC4538PW112")</f>
        <v>74HC4538PW112</v>
      </c>
      <c r="B17866" s="3" t="str">
        <f>HYPERLINK("https://www.773grp.com/manufacturer/nxp-semiconductor?pageNo=12", "NXP Semiconductors")</f>
        <v>NXP Semiconductors</v>
      </c>
      <c r="C17866" s="6">
        <v>2400</v>
      </c>
      <c r="D17866" s="7">
        <v>0.74</v>
      </c>
    </row>
    <row r="17867" spans="1:4" x14ac:dyDescent="0.25">
      <c r="A17867" t="str">
        <f>HYPERLINK("https://www.773grp.com/globalSearch/74HC4538PW118/page-1", "74HC4538PW118")</f>
        <v>74HC4538PW118</v>
      </c>
      <c r="B17867" s="3" t="str">
        <f>HYPERLINK("https://www.773grp.com/manufacturer/nxp-semiconductor?pageNo=13", "NXP Semiconductors")</f>
        <v>NXP Semiconductors</v>
      </c>
      <c r="C17867" s="6">
        <v>17500</v>
      </c>
      <c r="D17867" s="7">
        <v>0.74</v>
      </c>
    </row>
    <row r="17868" spans="1:4" x14ac:dyDescent="0.25">
      <c r="A17868" t="str">
        <f>HYPERLINK("https://www.773grp.com/globalSearch/74HC541D653/page-1", "74HC541D653")</f>
        <v>74HC541D653</v>
      </c>
      <c r="B17868" s="3" t="str">
        <f>HYPERLINK("https://www.773grp.com/manufacturer/nxp-semiconductor?pageNo=14", "NXP Semiconductors")</f>
        <v>NXP Semiconductors</v>
      </c>
      <c r="C17868" s="6">
        <v>88000</v>
      </c>
      <c r="D17868" s="7">
        <v>0.74</v>
      </c>
    </row>
    <row r="17869" spans="1:4" x14ac:dyDescent="0.25">
      <c r="A17869" t="str">
        <f>HYPERLINK("https://www.773grp.com/globalSearch/74HC573DB112/page-1", "74HC573DB112")</f>
        <v>74HC573DB112</v>
      </c>
      <c r="B17869" s="3" t="str">
        <f>HYPERLINK("https://www.773grp.com/manufacturer/nxp-semiconductor?pageNo=15", "NXP Semiconductors")</f>
        <v>NXP Semiconductors</v>
      </c>
      <c r="C17869" s="6">
        <v>3076</v>
      </c>
      <c r="D17869" s="7">
        <v>0.74</v>
      </c>
    </row>
    <row r="17870" spans="1:4" x14ac:dyDescent="0.25">
      <c r="A17870" t="str">
        <f>HYPERLINK("https://www.773grp.com/globalSearch/74HC573DB118/page-1", "74HC573DB118")</f>
        <v>74HC573DB118</v>
      </c>
      <c r="B17870" s="3" t="str">
        <f>HYPERLINK("https://www.773grp.com/manufacturer/nxp-semiconductor?pageNo=16", "NXP Semiconductors")</f>
        <v>NXP Semiconductors</v>
      </c>
      <c r="C17870" s="6">
        <v>3000</v>
      </c>
      <c r="D17870" s="7">
        <v>0.74</v>
      </c>
    </row>
    <row r="17871" spans="1:4" x14ac:dyDescent="0.25">
      <c r="A17871" t="str">
        <f>HYPERLINK("https://www.773grp.com/globalSearch/74HC574D653/page-1", "74HC574D653")</f>
        <v>74HC574D653</v>
      </c>
      <c r="B17871" s="3" t="str">
        <f>HYPERLINK("https://www.773grp.com/manufacturer/nxp-semiconductor?pageNo=17", "NXP Semiconductors")</f>
        <v>NXP Semiconductors</v>
      </c>
      <c r="C17871" s="6">
        <v>80000</v>
      </c>
      <c r="D17871" s="7">
        <v>0.74</v>
      </c>
    </row>
    <row r="17872" spans="1:4" x14ac:dyDescent="0.25">
      <c r="A17872" t="str">
        <f>HYPERLINK("https://www.773grp.com/globalSearch/74HC58D652/page-1", "74HC58D652")</f>
        <v>74HC58D652</v>
      </c>
      <c r="B17872" s="3" t="str">
        <f>HYPERLINK("https://www.773grp.com/manufacturer/nxp-semiconductor?pageNo=18", "NXP Semiconductors")</f>
        <v>NXP Semiconductors</v>
      </c>
      <c r="C17872" s="6">
        <v>1140</v>
      </c>
      <c r="D17872" s="7">
        <v>0.74</v>
      </c>
    </row>
    <row r="17873" spans="1:4" x14ac:dyDescent="0.25">
      <c r="A17873" t="str">
        <f>HYPERLINK("https://www.773grp.com/globalSearch/74HC58D653/page-1", "74HC58D653")</f>
        <v>74HC58D653</v>
      </c>
      <c r="B17873" s="3" t="str">
        <f>HYPERLINK("https://www.773grp.com/manufacturer/nxp-semiconductor?pageNo=19", "NXP Semiconductors")</f>
        <v>NXP Semiconductors</v>
      </c>
      <c r="C17873" s="6">
        <v>2625</v>
      </c>
      <c r="D17873" s="7">
        <v>0.74</v>
      </c>
    </row>
    <row r="17874" spans="1:4" x14ac:dyDescent="0.25">
      <c r="A17874" t="str">
        <f>HYPERLINK("https://www.773grp.com/globalSearch/74HC58DB112/page-1", "74HC58DB112")</f>
        <v>74HC58DB112</v>
      </c>
      <c r="B17874" s="3" t="str">
        <f>HYPERLINK("https://www.773grp.com/manufacturer/nxp-semiconductor?pageNo=20", "NXP Semiconductors")</f>
        <v>NXP Semiconductors</v>
      </c>
      <c r="C17874" s="6">
        <v>2184</v>
      </c>
      <c r="D17874" s="7">
        <v>0.74</v>
      </c>
    </row>
    <row r="17875" spans="1:4" x14ac:dyDescent="0.25">
      <c r="A17875" t="str">
        <f>HYPERLINK("https://www.773grp.com/globalSearch/74HC597D652/page-1", "74HC597D652")</f>
        <v>74HC597D652</v>
      </c>
      <c r="B17875" s="3" t="str">
        <f>HYPERLINK("https://www.773grp.com/manufacturer/nxp-semiconductor?pageNo=21", "NXP Semiconductors")</f>
        <v>NXP Semiconductors</v>
      </c>
      <c r="C17875" s="6">
        <v>28553</v>
      </c>
      <c r="D17875" s="7">
        <v>0.74</v>
      </c>
    </row>
    <row r="17876" spans="1:4" x14ac:dyDescent="0.25">
      <c r="A17876" t="str">
        <f>HYPERLINK("https://www.773grp.com/globalSearch/74HC597PW118/page-1", "74HC597PW118")</f>
        <v>74HC597PW118</v>
      </c>
      <c r="B17876" s="3" t="str">
        <f>HYPERLINK("https://www.773grp.com/manufacturer/nxp-semiconductor?pageNo=22", "NXP Semiconductors")</f>
        <v>NXP Semiconductors</v>
      </c>
      <c r="C17876" s="6">
        <v>5000</v>
      </c>
      <c r="D17876" s="7">
        <v>0.74</v>
      </c>
    </row>
    <row r="17877" spans="1:4" x14ac:dyDescent="0.25">
      <c r="A17877" t="str">
        <f>HYPERLINK("https://www.773grp.com/globalSearch/74HC75D652/page-1", "74HC75D652")</f>
        <v>74HC75D652</v>
      </c>
      <c r="B17877" s="3" t="str">
        <f>HYPERLINK("https://www.773grp.com/manufacturer/nxp-semiconductor?pageNo=23", "NXP Semiconductors")</f>
        <v>NXP Semiconductors</v>
      </c>
      <c r="C17877" s="6">
        <v>17645</v>
      </c>
      <c r="D17877" s="7">
        <v>0.74</v>
      </c>
    </row>
    <row r="17878" spans="1:4" x14ac:dyDescent="0.25">
      <c r="A17878" t="str">
        <f>HYPERLINK("https://www.773grp.com/globalSearch/74HC75D653/page-1", "74HC75D653")</f>
        <v>74HC75D653</v>
      </c>
      <c r="B17878" s="3" t="str">
        <f>HYPERLINK("https://www.773grp.com/manufacturer/nxp-semiconductor?pageNo=24", "NXP Semiconductors")</f>
        <v>NXP Semiconductors</v>
      </c>
      <c r="C17878" s="6">
        <v>1944</v>
      </c>
      <c r="D17878" s="7">
        <v>0.74</v>
      </c>
    </row>
    <row r="17879" spans="1:4" x14ac:dyDescent="0.25">
      <c r="A17879" t="str">
        <f>HYPERLINK("https://www.773grp.com/globalSearch/74HC75PW112/page-1", "74HC75PW112")</f>
        <v>74HC75PW112</v>
      </c>
      <c r="B17879" s="3" t="str">
        <f>HYPERLINK("https://www.773grp.com/manufacturer/nxp-semiconductor?pageNo=25", "NXP Semiconductors")</f>
        <v>NXP Semiconductors</v>
      </c>
      <c r="C17879" s="6">
        <v>4800</v>
      </c>
      <c r="D17879" s="7">
        <v>0.74</v>
      </c>
    </row>
    <row r="17880" spans="1:4" x14ac:dyDescent="0.25">
      <c r="A17880" t="str">
        <f>HYPERLINK("https://www.773grp.com/globalSearch/74HC75PW118/page-1", "74HC75PW118")</f>
        <v>74HC75PW118</v>
      </c>
      <c r="B17880" s="3" t="str">
        <f>HYPERLINK("https://www.773grp.com/manufacturer/nxp-semiconductor?pageNo=26", "NXP Semiconductors")</f>
        <v>NXP Semiconductors</v>
      </c>
      <c r="C17880" s="6">
        <v>350</v>
      </c>
      <c r="D17880" s="7">
        <v>0.74</v>
      </c>
    </row>
    <row r="17881" spans="1:4" x14ac:dyDescent="0.25">
      <c r="A17881" t="str">
        <f>HYPERLINK("https://www.773grp.com/globalSearch/74HC85D653/page-1", "74HC85D653")</f>
        <v>74HC85D653</v>
      </c>
      <c r="B17881" s="3" t="str">
        <f>HYPERLINK("https://www.773grp.com/manufacturer/nxp-semiconductor?pageNo=27", "NXP Semiconductors")</f>
        <v>NXP Semiconductors</v>
      </c>
      <c r="C17881" s="6">
        <v>2500</v>
      </c>
      <c r="D17881" s="7">
        <v>0.74</v>
      </c>
    </row>
    <row r="17882" spans="1:4" x14ac:dyDescent="0.25">
      <c r="A17882" t="str">
        <f>HYPERLINK("https://www.773grp.com/globalSearch/74HCT273D652/page-1", "74HCT273D652")</f>
        <v>74HCT273D652</v>
      </c>
      <c r="B17882" s="3" t="str">
        <f>HYPERLINK("https://www.773grp.com/manufacturer/nxp-semiconductor?pageNo=28", "NXP Semiconductors")</f>
        <v>NXP Semiconductors</v>
      </c>
      <c r="C17882" s="6">
        <v>19760</v>
      </c>
      <c r="D17882" s="7">
        <v>0.74</v>
      </c>
    </row>
    <row r="17883" spans="1:4" x14ac:dyDescent="0.25">
      <c r="A17883" t="str">
        <f>HYPERLINK("https://www.773grp.com/globalSearch/74HCT273D653/page-1", "74HCT273D653")</f>
        <v>74HCT273D653</v>
      </c>
      <c r="B17883" s="3" t="str">
        <f>HYPERLINK("https://www.773grp.com/manufacturer/nxp-semiconductor?pageNo=29", "NXP Semiconductors")</f>
        <v>NXP Semiconductors</v>
      </c>
      <c r="C17883" s="6">
        <v>18000</v>
      </c>
      <c r="D17883" s="7">
        <v>0.74</v>
      </c>
    </row>
    <row r="17884" spans="1:4" x14ac:dyDescent="0.25">
      <c r="A17884" t="str">
        <f>HYPERLINK("https://www.773grp.com/globalSearch/74HCT368D652/page-1", "74HCT368D652")</f>
        <v>74HCT368D652</v>
      </c>
      <c r="B17884" s="3" t="str">
        <f>HYPERLINK("https://www.773grp.com/manufacturer/nxp-semiconductor?pageNo=30", "NXP Semiconductors")</f>
        <v>NXP Semiconductors</v>
      </c>
      <c r="C17884" s="6">
        <v>2000</v>
      </c>
      <c r="D17884" s="7">
        <v>0.74</v>
      </c>
    </row>
    <row r="17885" spans="1:4" x14ac:dyDescent="0.25">
      <c r="A17885" t="str">
        <f>HYPERLINK("https://www.773grp.com/globalSearch/74HCT368D653/page-1", "74HCT368D653")</f>
        <v>74HCT368D653</v>
      </c>
      <c r="B17885" s="3" t="str">
        <f>HYPERLINK("https://www.773grp.com/manufacturer/nxp-semiconductor?pageNo=31", "NXP Semiconductors")</f>
        <v>NXP Semiconductors</v>
      </c>
      <c r="C17885" s="6">
        <v>22500</v>
      </c>
      <c r="D17885" s="7">
        <v>0.74</v>
      </c>
    </row>
    <row r="17886" spans="1:4" x14ac:dyDescent="0.25">
      <c r="A17886" t="str">
        <f>HYPERLINK("https://www.773grp.com/globalSearch/74HCT4020D652/page-1", "74HCT4020D652")</f>
        <v>74HCT4020D652</v>
      </c>
      <c r="B17886" s="3" t="str">
        <f>HYPERLINK("https://www.773grp.com/manufacturer/nxp-semiconductor?pageNo=32", "NXP Semiconductors")</f>
        <v>NXP Semiconductors</v>
      </c>
      <c r="C17886" s="6">
        <v>13273</v>
      </c>
      <c r="D17886" s="7">
        <v>0.74</v>
      </c>
    </row>
    <row r="17887" spans="1:4" x14ac:dyDescent="0.25">
      <c r="A17887" t="str">
        <f>HYPERLINK("https://www.773grp.com/globalSearch/74HCT4020D653/page-1", "74HCT4020D653")</f>
        <v>74HCT4020D653</v>
      </c>
      <c r="B17887" s="3" t="str">
        <f>HYPERLINK("https://www.773grp.com/manufacturer/nxp-semiconductor?pageNo=33", "NXP Semiconductors")</f>
        <v>NXP Semiconductors</v>
      </c>
      <c r="C17887" s="6">
        <v>145</v>
      </c>
      <c r="D17887" s="7">
        <v>0.74</v>
      </c>
    </row>
    <row r="17888" spans="1:4" x14ac:dyDescent="0.25">
      <c r="A17888" t="str">
        <f>HYPERLINK("https://www.773grp.com/globalSearch/74HCT4316D112/page-1", "74HCT4316D112")</f>
        <v>74HCT4316D112</v>
      </c>
      <c r="B17888" s="3" t="str">
        <f>HYPERLINK("https://www.773grp.com/manufacturer/nxp-semiconductor?pageNo=34", "NXP Semiconductors")</f>
        <v>NXP Semiconductors</v>
      </c>
      <c r="C17888" s="6">
        <v>2615</v>
      </c>
      <c r="D17888" s="7">
        <v>0.74</v>
      </c>
    </row>
    <row r="17889" spans="1:4" x14ac:dyDescent="0.25">
      <c r="A17889" t="str">
        <f>HYPERLINK("https://www.773grp.com/globalSearch/74HCT4316D118/page-1", "74HCT4316D118")</f>
        <v>74HCT4316D118</v>
      </c>
      <c r="B17889" s="3" t="str">
        <f>HYPERLINK("https://www.773grp.com/manufacturer/nxp-semiconductor?pageNo=35", "NXP Semiconductors")</f>
        <v>NXP Semiconductors</v>
      </c>
      <c r="C17889" s="6">
        <v>5051</v>
      </c>
      <c r="D17889" s="7">
        <v>0.74</v>
      </c>
    </row>
    <row r="17890" spans="1:4" x14ac:dyDescent="0.25">
      <c r="A17890" t="str">
        <f>HYPERLINK("https://www.773grp.com/globalSearch/74HCT541D653/page-1", "74HCT541D653")</f>
        <v>74HCT541D653</v>
      </c>
      <c r="B17890" s="3" t="str">
        <f>HYPERLINK("https://www.773grp.com/manufacturer/nxp-semiconductor?pageNo=36", "NXP Semiconductors")</f>
        <v>NXP Semiconductors</v>
      </c>
      <c r="C17890" s="6">
        <v>792</v>
      </c>
      <c r="D17890" s="7">
        <v>0.74</v>
      </c>
    </row>
    <row r="17891" spans="1:4" x14ac:dyDescent="0.25">
      <c r="A17891" t="str">
        <f>HYPERLINK("https://www.773grp.com/globalSearch/74HCT574D652/page-1", "74HCT574D652")</f>
        <v>74HCT574D652</v>
      </c>
      <c r="B17891" s="3" t="str">
        <f>HYPERLINK("https://www.773grp.com/manufacturer/nxp-semiconductor?pageNo=37", "NXP Semiconductors")</f>
        <v>NXP Semiconductors</v>
      </c>
      <c r="C17891" s="6">
        <v>1900</v>
      </c>
      <c r="D17891" s="7">
        <v>0.74</v>
      </c>
    </row>
    <row r="17892" spans="1:4" x14ac:dyDescent="0.25">
      <c r="A17892" t="str">
        <f>HYPERLINK("https://www.773grp.com/globalSearch/74HCT574D653/page-1", "74HCT574D653")</f>
        <v>74HCT574D653</v>
      </c>
      <c r="B17892" s="3" t="str">
        <f>HYPERLINK("https://www.773grp.com/manufacturer/nxp-semiconductor?pageNo=38", "NXP Semiconductors")</f>
        <v>NXP Semiconductors</v>
      </c>
      <c r="C17892" s="6">
        <v>134000</v>
      </c>
      <c r="D17892" s="7">
        <v>0.74</v>
      </c>
    </row>
    <row r="17893" spans="1:4" x14ac:dyDescent="0.25">
      <c r="A17893" t="str">
        <f>HYPERLINK("https://www.773grp.com/globalSearch/74LV244PW112/page-1", "74LV244PW112")</f>
        <v>74LV244PW112</v>
      </c>
      <c r="B17893" s="3" t="str">
        <f>HYPERLINK("https://www.773grp.com/manufacturer/nxp-semiconductor?pageNo=39", "NXP Semiconductors")</f>
        <v>NXP Semiconductors</v>
      </c>
      <c r="C17893" s="6">
        <v>11250</v>
      </c>
      <c r="D17893" s="7">
        <v>0.74</v>
      </c>
    </row>
    <row r="17894" spans="1:4" x14ac:dyDescent="0.25">
      <c r="A17894" t="str">
        <f>HYPERLINK("https://www.773grp.com/globalSearch/74LV244PW118/page-1", "74LV244PW118")</f>
        <v>74LV244PW118</v>
      </c>
      <c r="B17894" s="3" t="str">
        <f>HYPERLINK("https://www.773grp.com/manufacturer/nxp-semiconductor?pageNo=40", "NXP Semiconductors")</f>
        <v>NXP Semiconductors</v>
      </c>
      <c r="C17894" s="6">
        <v>5140</v>
      </c>
      <c r="D17894" s="7">
        <v>0.74</v>
      </c>
    </row>
    <row r="17895" spans="1:4" x14ac:dyDescent="0.25">
      <c r="A17895" t="str">
        <f>HYPERLINK("https://www.773grp.com/globalSearch/74LV273DB118/page-1", "74LV273DB118")</f>
        <v>74LV273DB118</v>
      </c>
      <c r="B17895" s="3" t="str">
        <f>HYPERLINK("https://www.773grp.com/manufacturer/nxp-semiconductor?pageNo=41", "NXP Semiconductors")</f>
        <v>NXP Semiconductors</v>
      </c>
      <c r="C17895" s="6">
        <v>501000</v>
      </c>
      <c r="D17895" s="7">
        <v>0.74</v>
      </c>
    </row>
    <row r="17896" spans="1:4" x14ac:dyDescent="0.25">
      <c r="A17896" t="str">
        <f>HYPERLINK("https://www.773grp.com/globalSearch/74LV273PW112/page-1", "74LV273PW112")</f>
        <v>74LV273PW112</v>
      </c>
      <c r="B17896" s="3" t="str">
        <f>HYPERLINK("https://www.773grp.com/manufacturer/nxp-semiconductor?pageNo=42", "NXP Semiconductors")</f>
        <v>NXP Semiconductors</v>
      </c>
      <c r="C17896" s="6">
        <v>4392</v>
      </c>
      <c r="D17896" s="7">
        <v>0.74</v>
      </c>
    </row>
    <row r="17897" spans="1:4" x14ac:dyDescent="0.25">
      <c r="A17897" t="str">
        <f>HYPERLINK("https://www.773grp.com/globalSearch/74LV273PW118/page-1", "74LV273PW118")</f>
        <v>74LV273PW118</v>
      </c>
      <c r="B17897" s="3" t="str">
        <f>HYPERLINK("https://www.773grp.com/manufacturer/nxp-semiconductor?pageNo=43", "NXP Semiconductors")</f>
        <v>NXP Semiconductors</v>
      </c>
      <c r="C17897" s="6">
        <v>5000</v>
      </c>
      <c r="D17897" s="7">
        <v>0.74</v>
      </c>
    </row>
    <row r="17898" spans="1:4" x14ac:dyDescent="0.25">
      <c r="A17898" t="str">
        <f>HYPERLINK("https://www.773grp.com/globalSearch/74LV374DB118/page-1", "74LV374DB118")</f>
        <v>74LV374DB118</v>
      </c>
      <c r="B17898" s="3" t="str">
        <f>HYPERLINK("https://www.773grp.com/manufacturer/nxp-semiconductor?pageNo=44", "NXP Semiconductors")</f>
        <v>NXP Semiconductors</v>
      </c>
      <c r="C17898" s="6">
        <v>2000</v>
      </c>
      <c r="D17898" s="7">
        <v>0.74</v>
      </c>
    </row>
    <row r="17899" spans="1:4" x14ac:dyDescent="0.25">
      <c r="A17899" t="str">
        <f>HYPERLINK("https://www.773grp.com/globalSearch/74LV573PW112/page-1", "74LV573PW112")</f>
        <v>74LV573PW112</v>
      </c>
      <c r="B17899" s="3" t="str">
        <f>HYPERLINK("https://www.773grp.com/manufacturer/nxp-semiconductor?pageNo=45", "NXP Semiconductors")</f>
        <v>NXP Semiconductors</v>
      </c>
      <c r="C17899" s="6">
        <v>5625</v>
      </c>
      <c r="D17899" s="7">
        <v>0.74</v>
      </c>
    </row>
    <row r="17900" spans="1:4" x14ac:dyDescent="0.25">
      <c r="A17900" t="str">
        <f>HYPERLINK("https://www.773grp.com/globalSearch/74LV573PW118/page-1", "74LV573PW118")</f>
        <v>74LV573PW118</v>
      </c>
      <c r="B17900" s="3" t="str">
        <f>HYPERLINK("https://www.773grp.com/manufacturer/nxp-semiconductor?pageNo=46", "NXP Semiconductors")</f>
        <v>NXP Semiconductors</v>
      </c>
      <c r="C17900" s="6">
        <v>6730</v>
      </c>
      <c r="D17900" s="7">
        <v>0.74</v>
      </c>
    </row>
    <row r="17901" spans="1:4" x14ac:dyDescent="0.25">
      <c r="A17901" t="str">
        <f>HYPERLINK("https://www.773grp.com/globalSearch/74LVC04ADB112/page-1", "74LVC04ADB112")</f>
        <v>74LVC04ADB112</v>
      </c>
      <c r="B17901" s="3" t="str">
        <f>HYPERLINK("https://www.773grp.com/manufacturer/nxp-semiconductor?pageNo=47", "NXP Semiconductors")</f>
        <v>NXP Semiconductors</v>
      </c>
      <c r="C17901" s="6">
        <v>8736</v>
      </c>
      <c r="D17901" s="7">
        <v>0.74</v>
      </c>
    </row>
    <row r="17902" spans="1:4" x14ac:dyDescent="0.25">
      <c r="A17902" t="str">
        <f>HYPERLINK("https://www.773grp.com/globalSearch/74LVC14ADB112/page-1", "74LVC14ADB112")</f>
        <v>74LVC14ADB112</v>
      </c>
      <c r="B17902" s="3" t="str">
        <f>HYPERLINK("https://www.773grp.com/manufacturer/nxp-semiconductor?pageNo=48", "NXP Semiconductors")</f>
        <v>NXP Semiconductors</v>
      </c>
      <c r="C17902" s="6">
        <v>1092</v>
      </c>
      <c r="D17902" s="7">
        <v>0.74</v>
      </c>
    </row>
    <row r="17903" spans="1:4" x14ac:dyDescent="0.25">
      <c r="A17903" t="str">
        <f>HYPERLINK("https://www.773grp.com/globalSearch/74LVC1G04GF132/page-1", "74LVC1G04GF132")</f>
        <v>74LVC1G04GF132</v>
      </c>
      <c r="B17903" s="3" t="str">
        <f>HYPERLINK("https://www.773grp.com/manufacturer/nxp-semiconductor?pageNo=1", "NXP Semiconductors")</f>
        <v>NXP Semiconductors</v>
      </c>
      <c r="C17903" s="6">
        <v>8960</v>
      </c>
      <c r="D17903" s="7">
        <v>0.74</v>
      </c>
    </row>
    <row r="17904" spans="1:4" x14ac:dyDescent="0.25">
      <c r="A17904" t="str">
        <f>HYPERLINK("https://www.773grp.com/globalSearch/74LVC1G74GT115/page-1", "74LVC1G74GT115")</f>
        <v>74LVC1G74GT115</v>
      </c>
      <c r="B17904" s="3" t="str">
        <f>HYPERLINK("https://www.773grp.com/manufacturer/nxp-semiconductor?pageNo=2", "NXP Semiconductors")</f>
        <v>NXP Semiconductors</v>
      </c>
      <c r="C17904" s="6">
        <v>50000</v>
      </c>
      <c r="D17904" s="7">
        <v>0.74</v>
      </c>
    </row>
    <row r="17905" spans="1:4" x14ac:dyDescent="0.25">
      <c r="A17905" t="str">
        <f>HYPERLINK("https://www.773grp.com/globalSearch/74LVC1GX04GW125/page-1", "74LVC1GX04GW125")</f>
        <v>74LVC1GX04GW125</v>
      </c>
      <c r="B17905" s="3" t="str">
        <f>HYPERLINK("https://www.773grp.com/manufacturer/nxp-semiconductor?pageNo=3", "NXP Semiconductors")</f>
        <v>NXP Semiconductors</v>
      </c>
      <c r="C17905" s="6">
        <v>6443</v>
      </c>
      <c r="D17905" s="7">
        <v>0.74</v>
      </c>
    </row>
    <row r="17906" spans="1:4" x14ac:dyDescent="0.25">
      <c r="A17906" t="str">
        <f>HYPERLINK("https://www.773grp.com/globalSearch/74LVC240AD112/page-1", "74LVC240AD112")</f>
        <v>74LVC240AD112</v>
      </c>
      <c r="B17906" s="3" t="str">
        <f>HYPERLINK("https://www.773grp.com/manufacturer/nxp-semiconductor?pageNo=4", "NXP Semiconductors")</f>
        <v>NXP Semiconductors</v>
      </c>
      <c r="C17906" s="6">
        <v>17484</v>
      </c>
      <c r="D17906" s="7">
        <v>0.74</v>
      </c>
    </row>
    <row r="17907" spans="1:4" x14ac:dyDescent="0.25">
      <c r="A17907" t="str">
        <f>HYPERLINK("https://www.773grp.com/globalSearch/74LVC244AD112/page-1", "74LVC244AD112")</f>
        <v>74LVC244AD112</v>
      </c>
      <c r="B17907" s="3" t="str">
        <f>HYPERLINK("https://www.773grp.com/manufacturer/nxp-semiconductor?pageNo=5", "NXP Semiconductors")</f>
        <v>NXP Semiconductors</v>
      </c>
      <c r="C17907" s="6">
        <v>27322</v>
      </c>
      <c r="D17907" s="7">
        <v>0.74</v>
      </c>
    </row>
    <row r="17908" spans="1:4" x14ac:dyDescent="0.25">
      <c r="A17908" t="str">
        <f>HYPERLINK("https://www.773grp.com/globalSearch/74LVC244AD118/page-1", "74LVC244AD118")</f>
        <v>74LVC244AD118</v>
      </c>
      <c r="B17908" s="3" t="str">
        <f>HYPERLINK("https://www.773grp.com/manufacturer/nxp-semiconductor?pageNo=6", "NXP Semiconductors")</f>
        <v>NXP Semiconductors</v>
      </c>
      <c r="C17908" s="6">
        <v>18303</v>
      </c>
      <c r="D17908" s="7">
        <v>0.74</v>
      </c>
    </row>
    <row r="17909" spans="1:4" x14ac:dyDescent="0.25">
      <c r="A17909" t="str">
        <f>HYPERLINK("https://www.773grp.com/globalSearch/74LVC245AD112/page-1", "74LVC245AD112")</f>
        <v>74LVC245AD112</v>
      </c>
      <c r="B17909" s="3" t="str">
        <f>HYPERLINK("https://www.773grp.com/manufacturer/nxp-semiconductor?pageNo=7", "NXP Semiconductors")</f>
        <v>NXP Semiconductors</v>
      </c>
      <c r="C17909" s="6">
        <v>9438</v>
      </c>
      <c r="D17909" s="7">
        <v>0.74</v>
      </c>
    </row>
    <row r="17910" spans="1:4" x14ac:dyDescent="0.25">
      <c r="A17910" t="str">
        <f>HYPERLINK("https://www.773grp.com/globalSearch/74LVC245ADB112/page-1", "74LVC245ADB112")</f>
        <v>74LVC245ADB112</v>
      </c>
      <c r="B17910" s="3" t="str">
        <f>HYPERLINK("https://www.773grp.com/manufacturer/nxp-semiconductor?pageNo=8", "NXP Semiconductors")</f>
        <v>NXP Semiconductors</v>
      </c>
      <c r="C17910" s="6">
        <v>2975</v>
      </c>
      <c r="D17910" s="7">
        <v>0.74</v>
      </c>
    </row>
    <row r="17911" spans="1:4" x14ac:dyDescent="0.25">
      <c r="A17911" t="str">
        <f>HYPERLINK("https://www.773grp.com/globalSearch/74LVC2G04GM115/page-1", "74LVC2G04GM115")</f>
        <v>74LVC2G04GM115</v>
      </c>
      <c r="B17911" s="3" t="str">
        <f>HYPERLINK("https://www.773grp.com/manufacturer/nxp-semiconductor?pageNo=9", "NXP Semiconductors")</f>
        <v>NXP Semiconductors</v>
      </c>
      <c r="C17911" s="6">
        <v>125</v>
      </c>
      <c r="D17911" s="7">
        <v>0.74</v>
      </c>
    </row>
    <row r="17912" spans="1:4" x14ac:dyDescent="0.25">
      <c r="A17912" t="str">
        <f>HYPERLINK("https://www.773grp.com/globalSearch/74LVC2G07GM115/page-1", "74LVC2G07GM115")</f>
        <v>74LVC2G07GM115</v>
      </c>
      <c r="B17912" s="3" t="str">
        <f>HYPERLINK("https://www.773grp.com/manufacturer/nxp-semiconductor?pageNo=10", "NXP Semiconductors")</f>
        <v>NXP Semiconductors</v>
      </c>
      <c r="C17912" s="6">
        <v>5000</v>
      </c>
      <c r="D17912" s="7">
        <v>0.74</v>
      </c>
    </row>
    <row r="17913" spans="1:4" x14ac:dyDescent="0.25">
      <c r="A17913" t="str">
        <f>HYPERLINK("https://www.773grp.com/globalSearch/74LVC2G08GM125/page-1", "74LVC2G08GM125")</f>
        <v>74LVC2G08GM125</v>
      </c>
      <c r="B17913" s="3" t="str">
        <f>HYPERLINK("https://www.773grp.com/manufacturer/nxp-semiconductor?pageNo=11", "NXP Semiconductors")</f>
        <v>NXP Semiconductors</v>
      </c>
      <c r="C17913" s="6">
        <v>4000</v>
      </c>
      <c r="D17913" s="7">
        <v>0.74</v>
      </c>
    </row>
    <row r="17914" spans="1:4" x14ac:dyDescent="0.25">
      <c r="A17914" t="str">
        <f>HYPERLINK("https://www.773grp.com/globalSearch/74LVC2G14GF132/page-1", "74LVC2G14GF132")</f>
        <v>74LVC2G14GF132</v>
      </c>
      <c r="B17914" s="3" t="str">
        <f>HYPERLINK("https://www.773grp.com/manufacturer/nxp-semiconductor?pageNo=12", "NXP Semiconductors")</f>
        <v>NXP Semiconductors</v>
      </c>
      <c r="C17914" s="6">
        <v>5300</v>
      </c>
      <c r="D17914" s="7">
        <v>0.74</v>
      </c>
    </row>
    <row r="17915" spans="1:4" x14ac:dyDescent="0.25">
      <c r="A17915" t="str">
        <f>HYPERLINK("https://www.773grp.com/globalSearch/74LVC2G17GM115/page-1", "74LVC2G17GM115")</f>
        <v>74LVC2G17GM115</v>
      </c>
      <c r="B17915" s="3" t="str">
        <f>HYPERLINK("https://www.773grp.com/manufacturer/nxp-semiconductor?pageNo=13", "NXP Semiconductors")</f>
        <v>NXP Semiconductors</v>
      </c>
      <c r="C17915" s="6">
        <v>55300</v>
      </c>
      <c r="D17915" s="7">
        <v>0.74</v>
      </c>
    </row>
    <row r="17916" spans="1:4" x14ac:dyDescent="0.25">
      <c r="A17916" t="str">
        <f>HYPERLINK("https://www.773grp.com/globalSearch/74LVC2G53GT115/page-1", "74LVC2G53GT115")</f>
        <v>74LVC2G53GT115</v>
      </c>
      <c r="B17916" s="3" t="str">
        <f>HYPERLINK("https://www.773grp.com/manufacturer/nxp-semiconductor?pageNo=14", "NXP Semiconductors")</f>
        <v>NXP Semiconductors</v>
      </c>
      <c r="C17916" s="6">
        <v>9964</v>
      </c>
      <c r="D17916" s="7">
        <v>0.74</v>
      </c>
    </row>
    <row r="17917" spans="1:4" x14ac:dyDescent="0.25">
      <c r="A17917" t="str">
        <f>HYPERLINK("https://www.773grp.com/globalSearch/74LVC2G74GT115/page-1", "74LVC2G74GT115")</f>
        <v>74LVC2G74GT115</v>
      </c>
      <c r="B17917" s="3" t="str">
        <f>HYPERLINK("https://www.773grp.com/manufacturer/nxp-semiconductor?pageNo=15", "NXP Semiconductors")</f>
        <v>NXP Semiconductors</v>
      </c>
      <c r="C17917" s="6">
        <v>200</v>
      </c>
      <c r="D17917" s="7">
        <v>0.74</v>
      </c>
    </row>
    <row r="17918" spans="1:4" x14ac:dyDescent="0.25">
      <c r="A17918" t="str">
        <f>HYPERLINK("https://www.773grp.com/globalSearch/74LVC2GU04GM115/page-1", "74LVC2GU04GM115")</f>
        <v>74LVC2GU04GM115</v>
      </c>
      <c r="B17918" s="3" t="str">
        <f>HYPERLINK("https://www.773grp.com/manufacturer/nxp-semiconductor?pageNo=16", "NXP Semiconductors")</f>
        <v>NXP Semiconductors</v>
      </c>
      <c r="C17918" s="6">
        <v>4500</v>
      </c>
      <c r="D17918" s="7">
        <v>0.74</v>
      </c>
    </row>
    <row r="17919" spans="1:4" x14ac:dyDescent="0.25">
      <c r="A17919" t="str">
        <f>HYPERLINK("https://www.773grp.com/globalSearch/74LVC373AD112/page-1", "74LVC373AD112")</f>
        <v>74LVC373AD112</v>
      </c>
      <c r="B17919" s="3" t="str">
        <f>HYPERLINK("https://www.773grp.com/manufacturer/nxp-semiconductor?pageNo=17", "NXP Semiconductors")</f>
        <v>NXP Semiconductors</v>
      </c>
      <c r="C17919" s="6">
        <v>19692</v>
      </c>
      <c r="D17919" s="7">
        <v>0.74</v>
      </c>
    </row>
    <row r="17920" spans="1:4" x14ac:dyDescent="0.25">
      <c r="A17920" t="str">
        <f>HYPERLINK("https://www.773grp.com/globalSearch/74LVC373AD118/page-1", "74LVC373AD118")</f>
        <v>74LVC373AD118</v>
      </c>
      <c r="B17920" s="3" t="str">
        <f>HYPERLINK("https://www.773grp.com/manufacturer/nxp-semiconductor?pageNo=18", "NXP Semiconductors")</f>
        <v>NXP Semiconductors</v>
      </c>
      <c r="C17920" s="6">
        <v>10000</v>
      </c>
      <c r="D17920" s="7">
        <v>0.74</v>
      </c>
    </row>
    <row r="17921" spans="1:4" x14ac:dyDescent="0.25">
      <c r="A17921" t="str">
        <f>HYPERLINK("https://www.773grp.com/globalSearch/74LVC374AD112/page-1", "74LVC374AD112")</f>
        <v>74LVC374AD112</v>
      </c>
      <c r="B17921" s="3" t="str">
        <f>HYPERLINK("https://www.773grp.com/manufacturer/nxp-semiconductor?pageNo=19", "NXP Semiconductors")</f>
        <v>NXP Semiconductors</v>
      </c>
      <c r="C17921" s="6">
        <v>3040</v>
      </c>
      <c r="D17921" s="7">
        <v>0.74</v>
      </c>
    </row>
    <row r="17922" spans="1:4" x14ac:dyDescent="0.25">
      <c r="A17922" t="str">
        <f>HYPERLINK("https://www.773grp.com/globalSearch/74LVC374AD118/page-1", "74LVC374AD118")</f>
        <v>74LVC374AD118</v>
      </c>
      <c r="B17922" s="3" t="str">
        <f>HYPERLINK("https://www.773grp.com/manufacturer/nxp-semiconductor?pageNo=20", "NXP Semiconductors")</f>
        <v>NXP Semiconductors</v>
      </c>
      <c r="C17922" s="6">
        <v>39841</v>
      </c>
      <c r="D17922" s="7">
        <v>0.74</v>
      </c>
    </row>
    <row r="17923" spans="1:4" x14ac:dyDescent="0.25">
      <c r="A17923" t="str">
        <f>HYPERLINK("https://www.773grp.com/globalSearch/74LVC374ADB112/page-1", "74LVC374ADB112")</f>
        <v>74LVC374ADB112</v>
      </c>
      <c r="B17923" s="3" t="str">
        <f>HYPERLINK("https://www.773grp.com/manufacturer/nxp-semiconductor?pageNo=21", "NXP Semiconductors")</f>
        <v>NXP Semiconductors</v>
      </c>
      <c r="C17923" s="6">
        <v>924</v>
      </c>
      <c r="D17923" s="7">
        <v>0.74</v>
      </c>
    </row>
    <row r="17924" spans="1:4" x14ac:dyDescent="0.25">
      <c r="A17924" t="str">
        <f>HYPERLINK("https://www.773grp.com/globalSearch/74LVC374ADB118/page-1", "74LVC374ADB118")</f>
        <v>74LVC374ADB118</v>
      </c>
      <c r="B17924" s="3" t="str">
        <f>HYPERLINK("https://www.773grp.com/manufacturer/nxp-semiconductor?pageNo=22", "NXP Semiconductors")</f>
        <v>NXP Semiconductors</v>
      </c>
      <c r="C17924" s="6">
        <v>9235</v>
      </c>
      <c r="D17924" s="7">
        <v>0.74</v>
      </c>
    </row>
    <row r="17925" spans="1:4" x14ac:dyDescent="0.25">
      <c r="A17925" t="str">
        <f>HYPERLINK("https://www.773grp.com/globalSearch/74LVC38APW112/page-1", "74LVC38APW112")</f>
        <v>74LVC38APW112</v>
      </c>
      <c r="B17925" s="3" t="str">
        <f>HYPERLINK("https://www.773grp.com/manufacturer/nxp-semiconductor?pageNo=23", "NXP Semiconductors")</f>
        <v>NXP Semiconductors</v>
      </c>
      <c r="C17925" s="6">
        <v>2400</v>
      </c>
      <c r="D17925" s="7">
        <v>0.74</v>
      </c>
    </row>
    <row r="17926" spans="1:4" x14ac:dyDescent="0.25">
      <c r="A17926" t="str">
        <f>HYPERLINK("https://www.773grp.com/globalSearch/74LVC38APW118/page-1", "74LVC38APW118")</f>
        <v>74LVC38APW118</v>
      </c>
      <c r="B17926" s="3" t="str">
        <f>HYPERLINK("https://www.773grp.com/manufacturer/nxp-semiconductor?pageNo=24", "NXP Semiconductors")</f>
        <v>NXP Semiconductors</v>
      </c>
      <c r="C17926" s="6">
        <v>7500</v>
      </c>
      <c r="D17926" s="7">
        <v>0.74</v>
      </c>
    </row>
    <row r="17927" spans="1:4" x14ac:dyDescent="0.25">
      <c r="A17927" t="str">
        <f>HYPERLINK("https://www.773grp.com/globalSearch/74LVC4066BQ115/page-1", "74LVC4066BQ115")</f>
        <v>74LVC4066BQ115</v>
      </c>
      <c r="B17927" s="3" t="str">
        <f>HYPERLINK("https://www.773grp.com/manufacturer/nxp-semiconductor?pageNo=25", "NXP Semiconductors")</f>
        <v>NXP Semiconductors</v>
      </c>
      <c r="C17927" s="6">
        <v>3000</v>
      </c>
      <c r="D17927" s="7">
        <v>0.74</v>
      </c>
    </row>
    <row r="17928" spans="1:4" x14ac:dyDescent="0.25">
      <c r="A17928" t="str">
        <f>HYPERLINK("https://www.773grp.com/globalSearch/74LVC573AD118/page-1", "74LVC573AD118")</f>
        <v>74LVC573AD118</v>
      </c>
      <c r="B17928" s="3" t="str">
        <f>HYPERLINK("https://www.773grp.com/manufacturer/nxp-semiconductor?pageNo=26", "NXP Semiconductors")</f>
        <v>NXP Semiconductors</v>
      </c>
      <c r="C17928" s="6">
        <v>11070</v>
      </c>
      <c r="D17928" s="7">
        <v>0.74</v>
      </c>
    </row>
    <row r="17929" spans="1:4" x14ac:dyDescent="0.25">
      <c r="A17929" t="str">
        <f>HYPERLINK("https://www.773grp.com/globalSearch/74LVC574AD112/page-1", "74LVC574AD112")</f>
        <v>74LVC574AD112</v>
      </c>
      <c r="B17929" s="3" t="str">
        <f>HYPERLINK("https://www.773grp.com/manufacturer/nxp-semiconductor?pageNo=27", "NXP Semiconductors")</f>
        <v>NXP Semiconductors</v>
      </c>
      <c r="C17929" s="6">
        <v>14662</v>
      </c>
      <c r="D17929" s="7">
        <v>0.74</v>
      </c>
    </row>
    <row r="17930" spans="1:4" x14ac:dyDescent="0.25">
      <c r="A17930" t="str">
        <f>HYPERLINK("https://www.773grp.com/globalSearch/74LVC574AD118/page-1", "74LVC574AD118")</f>
        <v>74LVC574AD118</v>
      </c>
      <c r="B17930" s="3" t="str">
        <f>HYPERLINK("https://www.773grp.com/manufacturer/nxp-semiconductor?pageNo=28", "NXP Semiconductors")</f>
        <v>NXP Semiconductors</v>
      </c>
      <c r="C17930" s="6">
        <v>18220</v>
      </c>
      <c r="D17930" s="7">
        <v>0.74</v>
      </c>
    </row>
    <row r="17931" spans="1:4" x14ac:dyDescent="0.25">
      <c r="A17931" t="str">
        <f>HYPERLINK("https://www.773grp.com/globalSearch/74LVCV2G66GD125/page-1", "74LVCV2G66GD125")</f>
        <v>74LVCV2G66GD125</v>
      </c>
      <c r="B17931" s="3" t="str">
        <f>HYPERLINK("https://www.773grp.com/manufacturer/nxp-semiconductor?pageNo=29", "NXP Semiconductors")</f>
        <v>NXP Semiconductors</v>
      </c>
      <c r="C17931" s="6">
        <v>450</v>
      </c>
      <c r="D17931" s="7">
        <v>0.74</v>
      </c>
    </row>
    <row r="17932" spans="1:4" x14ac:dyDescent="0.25">
      <c r="A17932" t="str">
        <f>HYPERLINK("https://www.773grp.com/globalSearch/74LVT273PW112/page-1", "74LVT273PW112")</f>
        <v>74LVT273PW112</v>
      </c>
      <c r="B17932" s="3" t="str">
        <f>HYPERLINK("https://www.773grp.com/manufacturer/nxp-semiconductor?pageNo=30", "NXP Semiconductors")</f>
        <v>NXP Semiconductors</v>
      </c>
      <c r="C17932" s="6">
        <v>1875</v>
      </c>
      <c r="D17932" s="7">
        <v>0.74</v>
      </c>
    </row>
    <row r="17933" spans="1:4" x14ac:dyDescent="0.25">
      <c r="A17933" t="str">
        <f>HYPERLINK("https://www.773grp.com/globalSearch/74LVT573PW118/page-1", "74LVT573PW118")</f>
        <v>74LVT573PW118</v>
      </c>
      <c r="B17933" s="3" t="str">
        <f>HYPERLINK("https://www.773grp.com/manufacturer/nxp-semiconductor?pageNo=31", "NXP Semiconductors")</f>
        <v>NXP Semiconductors</v>
      </c>
      <c r="C17933" s="6">
        <v>7450</v>
      </c>
      <c r="D17933" s="7">
        <v>0.74</v>
      </c>
    </row>
    <row r="17934" spans="1:4" x14ac:dyDescent="0.25">
      <c r="A17934" t="str">
        <f>HYPERLINK("https://www.773grp.com/globalSearch/74VHC126D118/page-1", "74VHC126D118")</f>
        <v>74VHC126D118</v>
      </c>
      <c r="B17934" s="3" t="str">
        <f>HYPERLINK("https://www.773grp.com/manufacturer/nxp-semiconductor?pageNo=32", "NXP Semiconductors")</f>
        <v>NXP Semiconductors</v>
      </c>
      <c r="C17934" s="6">
        <v>231</v>
      </c>
      <c r="D17934" s="7">
        <v>0.74</v>
      </c>
    </row>
    <row r="17935" spans="1:4" x14ac:dyDescent="0.25">
      <c r="A17935" t="str">
        <f>HYPERLINK("https://www.773grp.com/globalSearch/74VHCT541PW118/page-1", "74VHCT541PW118")</f>
        <v>74VHCT541PW118</v>
      </c>
      <c r="B17935" s="3" t="str">
        <f>HYPERLINK("https://www.773grp.com/manufacturer/nxp-semiconductor?pageNo=33", "NXP Semiconductors")</f>
        <v>NXP Semiconductors</v>
      </c>
      <c r="C17935" s="6">
        <v>5000</v>
      </c>
      <c r="D17935" s="7">
        <v>0.74</v>
      </c>
    </row>
    <row r="17936" spans="1:4" x14ac:dyDescent="0.25">
      <c r="A17936" t="str">
        <f>HYPERLINK("https://www.773grp.com/globalSearch/BC868115/page-1", "BC868115")</f>
        <v>BC868115</v>
      </c>
      <c r="B17936" s="3" t="str">
        <f>HYPERLINK("https://www.773grp.com/manufacturer/nxp-semiconductor?pageNo=34", "NXP Semiconductors")</f>
        <v>NXP Semiconductors</v>
      </c>
      <c r="C17936" s="6">
        <v>21800</v>
      </c>
      <c r="D17936" s="7">
        <v>0.74</v>
      </c>
    </row>
    <row r="17937" spans="1:4" x14ac:dyDescent="0.25">
      <c r="A17937" t="str">
        <f>HYPERLINK("https://www.773grp.com/globalSearch/BC868-25115/page-1", "BC868-25115")</f>
        <v>BC868-25115</v>
      </c>
      <c r="B17937" s="3" t="str">
        <f>HYPERLINK("https://www.773grp.com/manufacturer/nxp-semiconductor?pageNo=35", "NXP Semiconductors")</f>
        <v>NXP Semiconductors</v>
      </c>
      <c r="C17937" s="6">
        <v>790</v>
      </c>
      <c r="D17937" s="7">
        <v>0.74</v>
      </c>
    </row>
    <row r="17938" spans="1:4" x14ac:dyDescent="0.25">
      <c r="A17938" t="str">
        <f>HYPERLINK("https://www.773grp.com/globalSearch/BC869115/page-1", "BC869115")</f>
        <v>BC869115</v>
      </c>
      <c r="B17938" s="3" t="str">
        <f>HYPERLINK("https://www.773grp.com/manufacturer/nxp-semiconductor?pageNo=36", "NXP Semiconductors")</f>
        <v>NXP Semiconductors</v>
      </c>
      <c r="C17938" s="6">
        <v>77000</v>
      </c>
      <c r="D17938" s="7">
        <v>0.74</v>
      </c>
    </row>
    <row r="17939" spans="1:4" x14ac:dyDescent="0.25">
      <c r="A17939" t="str">
        <f>HYPERLINK("https://www.773grp.com/globalSearch/BC869-16115/page-1", "BC869-16115")</f>
        <v>BC869-16115</v>
      </c>
      <c r="B17939" s="3" t="str">
        <f>HYPERLINK("https://www.773grp.com/manufacturer/nxp-semiconductor?pageNo=37", "NXP Semiconductors")</f>
        <v>NXP Semiconductors</v>
      </c>
      <c r="C17939" s="6">
        <v>8000</v>
      </c>
      <c r="D17939" s="7">
        <v>0.74</v>
      </c>
    </row>
    <row r="17940" spans="1:4" x14ac:dyDescent="0.25">
      <c r="A17940" t="str">
        <f>HYPERLINK("https://www.773grp.com/globalSearch/BC869-25115/page-1", "BC869-25115")</f>
        <v>BC869-25115</v>
      </c>
      <c r="B17940" s="3" t="str">
        <f>HYPERLINK("https://www.773grp.com/manufacturer/nxp-semiconductor?pageNo=38", "NXP Semiconductors")</f>
        <v>NXP Semiconductors</v>
      </c>
      <c r="C17940" s="6">
        <v>2000</v>
      </c>
      <c r="D17940" s="7">
        <v>0.74</v>
      </c>
    </row>
    <row r="17941" spans="1:4" x14ac:dyDescent="0.25">
      <c r="A17941" t="str">
        <f>HYPERLINK("https://www.773grp.com/globalSearch/BF622115/page-1", "BF622115")</f>
        <v>BF622115</v>
      </c>
      <c r="B17941" s="3" t="str">
        <f>HYPERLINK("https://www.773grp.com/manufacturer/nxp-semiconductor?pageNo=39", "NXP Semiconductors")</f>
        <v>NXP Semiconductors</v>
      </c>
      <c r="C17941" s="6">
        <v>5075</v>
      </c>
      <c r="D17941" s="7">
        <v>0.74</v>
      </c>
    </row>
    <row r="17942" spans="1:4" x14ac:dyDescent="0.25">
      <c r="A17942" t="str">
        <f>HYPERLINK("https://www.773grp.com/globalSearch/BF861B215/page-1", "BF861B215")</f>
        <v>BF861B215</v>
      </c>
      <c r="B17942" s="3" t="str">
        <f>HYPERLINK("https://www.773grp.com/manufacturer/nxp-semiconductor?pageNo=40", "NXP Semiconductors")</f>
        <v>NXP Semiconductors</v>
      </c>
      <c r="C17942" s="6">
        <v>6000</v>
      </c>
      <c r="D17942" s="7">
        <v>0.74</v>
      </c>
    </row>
    <row r="17943" spans="1:4" x14ac:dyDescent="0.25">
      <c r="A17943" t="str">
        <f>HYPERLINK("https://www.773grp.com/globalSearch/BFS540115/page-1", "BFS540115")</f>
        <v>BFS540115</v>
      </c>
      <c r="B17943" s="3" t="str">
        <f>HYPERLINK("https://www.773grp.com/manufacturer/nxp-semiconductor?pageNo=41", "NXP Semiconductors")</f>
        <v>NXP Semiconductors</v>
      </c>
      <c r="C17943" s="6">
        <v>69000</v>
      </c>
      <c r="D17943" s="7">
        <v>0.74</v>
      </c>
    </row>
    <row r="17944" spans="1:4" x14ac:dyDescent="0.25">
      <c r="A17944" t="str">
        <f>HYPERLINK("https://www.773grp.com/globalSearch/BGU7003132/page-1", "BGU7003132")</f>
        <v>BGU7003132</v>
      </c>
      <c r="B17944" s="3" t="str">
        <f>HYPERLINK("https://www.773grp.com/manufacturer/nxp-semiconductor?pageNo=42", "NXP Semiconductors")</f>
        <v>NXP Semiconductors</v>
      </c>
      <c r="C17944" s="6">
        <v>25000</v>
      </c>
      <c r="D17944" s="7">
        <v>0.74</v>
      </c>
    </row>
    <row r="17945" spans="1:4" x14ac:dyDescent="0.25">
      <c r="A17945" t="str">
        <f>HYPERLINK("https://www.773grp.com/globalSearch/BGU7003W115/page-1", "BGU7003W115")</f>
        <v>BGU7003W115</v>
      </c>
      <c r="B17945" s="3" t="str">
        <f>HYPERLINK("https://www.773grp.com/manufacturer/nxp-semiconductor?pageNo=43", "NXP Semiconductors")</f>
        <v>NXP Semiconductors</v>
      </c>
      <c r="C17945" s="6">
        <v>60000</v>
      </c>
      <c r="D17945" s="7">
        <v>0.74</v>
      </c>
    </row>
    <row r="17946" spans="1:4" x14ac:dyDescent="0.25">
      <c r="A17946" t="str">
        <f>HYPERLINK("https://www.773grp.com/globalSearch/BGU7032115/page-1", "BGU7032115")</f>
        <v>BGU7032115</v>
      </c>
      <c r="B17946" s="3" t="str">
        <f>HYPERLINK("https://www.773grp.com/manufacturer/nxp-semiconductor?pageNo=44", "NXP Semiconductors")</f>
        <v>NXP Semiconductors</v>
      </c>
      <c r="C17946" s="6">
        <v>6200</v>
      </c>
      <c r="D17946" s="7">
        <v>0.74</v>
      </c>
    </row>
    <row r="17947" spans="1:4" x14ac:dyDescent="0.25">
      <c r="A17947" t="str">
        <f>HYPERLINK("https://www.773grp.com/globalSearch/BSP100135/page-1", "BSP100135")</f>
        <v>BSP100135</v>
      </c>
      <c r="B17947" s="3" t="str">
        <f>HYPERLINK("https://www.773grp.com/manufacturer/nxp-semiconductor?pageNo=45", "NXP Semiconductors")</f>
        <v>NXP Semiconductors</v>
      </c>
      <c r="C17947" s="6">
        <v>4000</v>
      </c>
      <c r="D17947" s="7">
        <v>0.74</v>
      </c>
    </row>
    <row r="17948" spans="1:4" x14ac:dyDescent="0.25">
      <c r="A17948" t="str">
        <f>HYPERLINK("https://www.773grp.com/globalSearch/BTA201-600B112/page-1", "BTA201-600B112")</f>
        <v>BTA201-600B112</v>
      </c>
      <c r="B17948" s="3" t="str">
        <f>HYPERLINK("https://www.773grp.com/manufacturer/nxp-semiconductor?pageNo=46", "NXP Semiconductors")</f>
        <v>NXP Semiconductors</v>
      </c>
      <c r="C17948" s="6">
        <v>5014</v>
      </c>
      <c r="D17948" s="7">
        <v>0.74</v>
      </c>
    </row>
    <row r="17949" spans="1:4" x14ac:dyDescent="0.25">
      <c r="A17949" t="str">
        <f>HYPERLINK("https://www.773grp.com/globalSearch/BTA201-600E112/page-1", "BTA201-600E112")</f>
        <v>BTA201-600E112</v>
      </c>
      <c r="B17949" s="3" t="str">
        <f>HYPERLINK("https://www.773grp.com/manufacturer/nxp-semiconductor?pageNo=47", "NXP Semiconductors")</f>
        <v>NXP Semiconductors</v>
      </c>
      <c r="C17949" s="6">
        <v>1599</v>
      </c>
      <c r="D17949" s="7">
        <v>0.74</v>
      </c>
    </row>
    <row r="17950" spans="1:4" x14ac:dyDescent="0.25">
      <c r="A17950" t="str">
        <f>HYPERLINK("https://www.773grp.com/globalSearch/CBT3125D112/page-1", "CBT3125D112")</f>
        <v>CBT3125D112</v>
      </c>
      <c r="B17950" s="3" t="str">
        <f>HYPERLINK("https://www.773grp.com/manufacturer/nxp-semiconductor?pageNo=48", "NXP Semiconductors")</f>
        <v>NXP Semiconductors</v>
      </c>
      <c r="C17950" s="6">
        <v>2280</v>
      </c>
      <c r="D17950" s="7">
        <v>0.74</v>
      </c>
    </row>
    <row r="17951" spans="1:4" x14ac:dyDescent="0.25">
      <c r="A17951" t="str">
        <f>HYPERLINK("https://www.773grp.com/globalSearch/CBT3125D118/page-1", "CBT3125D118")</f>
        <v>CBT3125D118</v>
      </c>
      <c r="B17951" s="3" t="str">
        <f>HYPERLINK("https://www.773grp.com/manufacturer/nxp-semiconductor?pageNo=1", "NXP Semiconductors")</f>
        <v>NXP Semiconductors</v>
      </c>
      <c r="C17951" s="6">
        <v>2650</v>
      </c>
      <c r="D17951" s="7">
        <v>0.74</v>
      </c>
    </row>
    <row r="17952" spans="1:4" x14ac:dyDescent="0.25">
      <c r="A17952" t="str">
        <f>HYPERLINK("https://www.773grp.com/globalSearch/CBT3125DB118/page-1", "CBT3125DB118")</f>
        <v>CBT3125DB118</v>
      </c>
      <c r="B17952" s="3" t="str">
        <f>HYPERLINK("https://www.773grp.com/manufacturer/nxp-semiconductor?pageNo=2", "NXP Semiconductors")</f>
        <v>NXP Semiconductors</v>
      </c>
      <c r="C17952" s="6">
        <v>2000</v>
      </c>
      <c r="D17952" s="7">
        <v>0.74</v>
      </c>
    </row>
    <row r="17953" spans="1:4" x14ac:dyDescent="0.25">
      <c r="A17953" t="str">
        <f>HYPERLINK("https://www.773grp.com/globalSearch/CBT3126D118/page-1", "CBT3126D118")</f>
        <v>CBT3126D118</v>
      </c>
      <c r="B17953" s="3" t="str">
        <f>HYPERLINK("https://www.773grp.com/manufacturer/nxp-semiconductor?pageNo=3", "NXP Semiconductors")</f>
        <v>NXP Semiconductors</v>
      </c>
      <c r="C17953" s="6">
        <v>2240</v>
      </c>
      <c r="D17953" s="7">
        <v>0.74</v>
      </c>
    </row>
    <row r="17954" spans="1:4" x14ac:dyDescent="0.25">
      <c r="A17954" t="str">
        <f>HYPERLINK("https://www.773grp.com/globalSearch/CBT3126DB118/page-1", "CBT3126DB118")</f>
        <v>CBT3126DB118</v>
      </c>
      <c r="B17954" s="3" t="str">
        <f>HYPERLINK("https://www.773grp.com/manufacturer/nxp-semiconductor?pageNo=4", "NXP Semiconductors")</f>
        <v>NXP Semiconductors</v>
      </c>
      <c r="C17954" s="6">
        <v>2000</v>
      </c>
      <c r="D17954" s="7">
        <v>0.74</v>
      </c>
    </row>
    <row r="17955" spans="1:4" x14ac:dyDescent="0.25">
      <c r="A17955" t="str">
        <f>HYPERLINK("https://www.773grp.com/globalSearch/CBT3244ABQ115/page-1", "CBT3244ABQ115")</f>
        <v>CBT3244ABQ115</v>
      </c>
      <c r="B17955" s="3" t="str">
        <f>HYPERLINK("https://www.773grp.com/manufacturer/nxp-semiconductor?pageNo=5", "NXP Semiconductors")</f>
        <v>NXP Semiconductors</v>
      </c>
      <c r="C17955" s="6">
        <v>255</v>
      </c>
      <c r="D17955" s="7">
        <v>0.74</v>
      </c>
    </row>
    <row r="17956" spans="1:4" x14ac:dyDescent="0.25">
      <c r="A17956" t="str">
        <f>HYPERLINK("https://www.773grp.com/globalSearch/CBT3244AD112/page-1", "CBT3244AD112")</f>
        <v>CBT3244AD112</v>
      </c>
      <c r="B17956" s="3" t="str">
        <f>HYPERLINK("https://www.773grp.com/manufacturer/nxp-semiconductor?pageNo=6", "NXP Semiconductors")</f>
        <v>NXP Semiconductors</v>
      </c>
      <c r="C17956" s="6">
        <v>7579</v>
      </c>
      <c r="D17956" s="7">
        <v>0.74</v>
      </c>
    </row>
    <row r="17957" spans="1:4" x14ac:dyDescent="0.25">
      <c r="A17957" t="str">
        <f>HYPERLINK("https://www.773grp.com/globalSearch/CBT3244AD118/page-1", "CBT3244AD118")</f>
        <v>CBT3244AD118</v>
      </c>
      <c r="B17957" s="3" t="str">
        <f>HYPERLINK("https://www.773grp.com/manufacturer/nxp-semiconductor?pageNo=7", "NXP Semiconductors")</f>
        <v>NXP Semiconductors</v>
      </c>
      <c r="C17957" s="6">
        <v>4000</v>
      </c>
      <c r="D17957" s="7">
        <v>0.74</v>
      </c>
    </row>
    <row r="17958" spans="1:4" x14ac:dyDescent="0.25">
      <c r="A17958" t="str">
        <f>HYPERLINK("https://www.773grp.com/globalSearch/CBT3244ADB112/page-1", "CBT3244ADB112")</f>
        <v>CBT3244ADB112</v>
      </c>
      <c r="B17958" s="3" t="str">
        <f>HYPERLINK("https://www.773grp.com/manufacturer/nxp-semiconductor?pageNo=8", "NXP Semiconductors")</f>
        <v>NXP Semiconductors</v>
      </c>
      <c r="C17958" s="6">
        <v>4655</v>
      </c>
      <c r="D17958" s="7">
        <v>0.74</v>
      </c>
    </row>
    <row r="17959" spans="1:4" x14ac:dyDescent="0.25">
      <c r="A17959" t="str">
        <f>HYPERLINK("https://www.773grp.com/globalSearch/CBT3244ADB118/page-1", "CBT3244ADB118")</f>
        <v>CBT3244ADB118</v>
      </c>
      <c r="B17959" s="3" t="str">
        <f>HYPERLINK("https://www.773grp.com/manufacturer/nxp-semiconductor?pageNo=9", "NXP Semiconductors")</f>
        <v>NXP Semiconductors</v>
      </c>
      <c r="C17959" s="6">
        <v>2735</v>
      </c>
      <c r="D17959" s="7">
        <v>0.74</v>
      </c>
    </row>
    <row r="17960" spans="1:4" x14ac:dyDescent="0.25">
      <c r="A17960" t="str">
        <f>HYPERLINK("https://www.773grp.com/globalSearch/CBT3244APW112/page-1", "CBT3244APW112")</f>
        <v>CBT3244APW112</v>
      </c>
      <c r="B17960" s="3" t="str">
        <f>HYPERLINK("https://www.773grp.com/manufacturer/nxp-semiconductor?pageNo=10", "NXP Semiconductors")</f>
        <v>NXP Semiconductors</v>
      </c>
      <c r="C17960" s="6">
        <v>9375</v>
      </c>
      <c r="D17960" s="7">
        <v>0.74</v>
      </c>
    </row>
    <row r="17961" spans="1:4" x14ac:dyDescent="0.25">
      <c r="A17961" t="str">
        <f>HYPERLINK("https://www.773grp.com/globalSearch/CBT3244APW118/page-1", "CBT3244APW118")</f>
        <v>CBT3244APW118</v>
      </c>
      <c r="B17961" s="3" t="str">
        <f>HYPERLINK("https://www.773grp.com/manufacturer/nxp-semiconductor?pageNo=11", "NXP Semiconductors")</f>
        <v>NXP Semiconductors</v>
      </c>
      <c r="C17961" s="6">
        <v>12500</v>
      </c>
      <c r="D17961" s="7">
        <v>0.74</v>
      </c>
    </row>
    <row r="17962" spans="1:4" x14ac:dyDescent="0.25">
      <c r="A17962" t="str">
        <f>HYPERLINK("https://www.773grp.com/globalSearch/CBT3245AD118/page-1", "CBT3245AD118")</f>
        <v>CBT3245AD118</v>
      </c>
      <c r="B17962" s="3" t="str">
        <f>HYPERLINK("https://www.773grp.com/manufacturer/nxp-semiconductor?pageNo=12", "NXP Semiconductors")</f>
        <v>NXP Semiconductors</v>
      </c>
      <c r="C17962" s="6">
        <v>4000</v>
      </c>
      <c r="D17962" s="7">
        <v>0.74</v>
      </c>
    </row>
    <row r="17963" spans="1:4" x14ac:dyDescent="0.25">
      <c r="A17963" t="str">
        <f>HYPERLINK("https://www.773grp.com/globalSearch/CBT3245ADB118/page-1", "CBT3245ADB118")</f>
        <v>CBT3245ADB118</v>
      </c>
      <c r="B17963" s="3" t="str">
        <f>HYPERLINK("https://www.773grp.com/manufacturer/nxp-semiconductor?pageNo=13", "NXP Semiconductors")</f>
        <v>NXP Semiconductors</v>
      </c>
      <c r="C17963" s="6">
        <v>3648</v>
      </c>
      <c r="D17963" s="7">
        <v>0.74</v>
      </c>
    </row>
    <row r="17964" spans="1:4" x14ac:dyDescent="0.25">
      <c r="A17964" t="str">
        <f>HYPERLINK("https://www.773grp.com/globalSearch/CBT3245APW112/page-1", "CBT3245APW112")</f>
        <v>CBT3245APW112</v>
      </c>
      <c r="B17964" s="3" t="str">
        <f>HYPERLINK("https://www.773grp.com/manufacturer/nxp-semiconductor?pageNo=14", "NXP Semiconductors")</f>
        <v>NXP Semiconductors</v>
      </c>
      <c r="C17964" s="6">
        <v>1627</v>
      </c>
      <c r="D17964" s="7">
        <v>0.74</v>
      </c>
    </row>
    <row r="17965" spans="1:4" x14ac:dyDescent="0.25">
      <c r="A17965" t="str">
        <f>HYPERLINK("https://www.773grp.com/globalSearch/CBT3245APW118/page-1", "CBT3245APW118")</f>
        <v>CBT3245APW118</v>
      </c>
      <c r="B17965" s="3" t="str">
        <f>HYPERLINK("https://www.773grp.com/manufacturer/nxp-semiconductor?pageNo=15", "NXP Semiconductors")</f>
        <v>NXP Semiconductors</v>
      </c>
      <c r="C17965" s="6">
        <v>5000</v>
      </c>
      <c r="D17965" s="7">
        <v>0.74</v>
      </c>
    </row>
    <row r="17966" spans="1:4" x14ac:dyDescent="0.25">
      <c r="A17966" t="str">
        <f>HYPERLINK("https://www.773grp.com/globalSearch/CBTD3306PW118/page-1", "CBTD3306PW118")</f>
        <v>CBTD3306PW118</v>
      </c>
      <c r="B17966" s="3" t="str">
        <f>HYPERLINK("https://www.773grp.com/manufacturer/nxp-semiconductor?pageNo=16", "NXP Semiconductors")</f>
        <v>NXP Semiconductors</v>
      </c>
      <c r="C17966" s="6">
        <v>1003</v>
      </c>
      <c r="D17966" s="7">
        <v>0.74</v>
      </c>
    </row>
    <row r="17967" spans="1:4" x14ac:dyDescent="0.25">
      <c r="A17967" t="str">
        <f>HYPERLINK("https://www.773grp.com/globalSearch/HEF4013BTT112/page-1", "HEF4013BTT112")</f>
        <v>HEF4013BTT112</v>
      </c>
      <c r="B17967" s="3" t="str">
        <f>HYPERLINK("https://www.773grp.com/manufacturer/nxp-semiconductor?pageNo=17", "NXP Semiconductors")</f>
        <v>NXP Semiconductors</v>
      </c>
      <c r="C17967" s="6">
        <v>9200</v>
      </c>
      <c r="D17967" s="7">
        <v>0.74</v>
      </c>
    </row>
    <row r="17968" spans="1:4" x14ac:dyDescent="0.25">
      <c r="A17968" t="str">
        <f>HYPERLINK("https://www.773grp.com/globalSearch/HEF4013BTT118/page-1", "HEF4013BTT118")</f>
        <v>HEF4013BTT118</v>
      </c>
      <c r="B17968" s="3" t="str">
        <f>HYPERLINK("https://www.773grp.com/manufacturer/nxp-semiconductor?pageNo=18", "NXP Semiconductors")</f>
        <v>NXP Semiconductors</v>
      </c>
      <c r="C17968" s="6">
        <v>5100</v>
      </c>
      <c r="D17968" s="7">
        <v>0.74</v>
      </c>
    </row>
    <row r="17969" spans="1:4" x14ac:dyDescent="0.25">
      <c r="A17969" t="str">
        <f>HYPERLINK("https://www.773grp.com/globalSearch/HEF4014BT652/page-1", "HEF4014BT652")</f>
        <v>HEF4014BT652</v>
      </c>
      <c r="B17969" s="3" t="str">
        <f>HYPERLINK("https://www.773grp.com/manufacturer/nxp-semiconductor?pageNo=19", "NXP Semiconductors")</f>
        <v>NXP Semiconductors</v>
      </c>
      <c r="C17969" s="6">
        <v>3900</v>
      </c>
      <c r="D17969" s="7">
        <v>0.74</v>
      </c>
    </row>
    <row r="17970" spans="1:4" x14ac:dyDescent="0.25">
      <c r="A17970" t="str">
        <f>HYPERLINK("https://www.773grp.com/globalSearch/HEF4017BT652/page-1", "HEF4017BT652")</f>
        <v>HEF4017BT652</v>
      </c>
      <c r="B17970" s="3" t="str">
        <f>HYPERLINK("https://www.773grp.com/manufacturer/nxp-semiconductor?pageNo=20", "NXP Semiconductors")</f>
        <v>NXP Semiconductors</v>
      </c>
      <c r="C17970" s="6">
        <v>4257</v>
      </c>
      <c r="D17970" s="7">
        <v>0.74</v>
      </c>
    </row>
    <row r="17971" spans="1:4" x14ac:dyDescent="0.25">
      <c r="A17971" t="str">
        <f>HYPERLINK("https://www.773grp.com/globalSearch/HEF4017BT653/page-1", "HEF4017BT653")</f>
        <v>HEF4017BT653</v>
      </c>
      <c r="B17971" s="3" t="str">
        <f>HYPERLINK("https://www.773grp.com/manufacturer/nxp-semiconductor?pageNo=21", "NXP Semiconductors")</f>
        <v>NXP Semiconductors</v>
      </c>
      <c r="C17971" s="6">
        <v>17943</v>
      </c>
      <c r="D17971" s="7">
        <v>0.74</v>
      </c>
    </row>
    <row r="17972" spans="1:4" x14ac:dyDescent="0.25">
      <c r="A17972" t="str">
        <f>HYPERLINK("https://www.773grp.com/globalSearch/HEF4046BT652/page-1", "HEF4046BT652")</f>
        <v>HEF4046BT652</v>
      </c>
      <c r="B17972" s="3" t="str">
        <f>HYPERLINK("https://www.773grp.com/manufacturer/nxp-semiconductor?pageNo=22", "NXP Semiconductors")</f>
        <v>NXP Semiconductors</v>
      </c>
      <c r="C17972" s="6">
        <v>4800</v>
      </c>
      <c r="D17972" s="7">
        <v>0.74</v>
      </c>
    </row>
    <row r="17973" spans="1:4" x14ac:dyDescent="0.25">
      <c r="A17973" t="str">
        <f>HYPERLINK("https://www.773grp.com/globalSearch/HEF4046BT653/page-1", "HEF4046BT653")</f>
        <v>HEF4046BT653</v>
      </c>
      <c r="B17973" s="3" t="str">
        <f>HYPERLINK("https://www.773grp.com/manufacturer/nxp-semiconductor?pageNo=23", "NXP Semiconductors")</f>
        <v>NXP Semiconductors</v>
      </c>
      <c r="C17973" s="6">
        <v>10000</v>
      </c>
      <c r="D17973" s="7">
        <v>0.74</v>
      </c>
    </row>
    <row r="17974" spans="1:4" x14ac:dyDescent="0.25">
      <c r="A17974" t="str">
        <f>HYPERLINK("https://www.773grp.com/globalSearch/HEF4053BTT118/page-1", "HEF4053BTT118")</f>
        <v>HEF4053BTT118</v>
      </c>
      <c r="B17974" s="3" t="str">
        <f>HYPERLINK("https://www.773grp.com/manufacturer/nxp-semiconductor?pageNo=24", "NXP Semiconductors")</f>
        <v>NXP Semiconductors</v>
      </c>
      <c r="C17974" s="6">
        <v>2625</v>
      </c>
      <c r="D17974" s="7">
        <v>0.74</v>
      </c>
    </row>
    <row r="17975" spans="1:4" x14ac:dyDescent="0.25">
      <c r="A17975" t="str">
        <f>HYPERLINK("https://www.773grp.com/globalSearch/HEF4069UBTT118/page-1", "HEF4069UBTT118")</f>
        <v>HEF4069UBTT118</v>
      </c>
      <c r="B17975" s="3" t="str">
        <f>HYPERLINK("https://www.773grp.com/manufacturer/nxp-semiconductor?pageNo=25", "NXP Semiconductors")</f>
        <v>NXP Semiconductors</v>
      </c>
      <c r="C17975" s="6">
        <v>2949</v>
      </c>
      <c r="D17975" s="7">
        <v>0.74</v>
      </c>
    </row>
    <row r="17976" spans="1:4" x14ac:dyDescent="0.25">
      <c r="A17976" t="str">
        <f>HYPERLINK("https://www.773grp.com/globalSearch/HTMS1101FTB-AF115/page-1", "HTMS1101FTB-AF115")</f>
        <v>HTMS1101FTB-AF115</v>
      </c>
      <c r="B17976" s="3" t="str">
        <f>HYPERLINK("https://www.773grp.com/manufacturer/nxp-semiconductor?pageNo=26", "NXP Semiconductors")</f>
        <v>NXP Semiconductors</v>
      </c>
      <c r="C17976" s="6">
        <v>4500</v>
      </c>
      <c r="D17976" s="7">
        <v>0.74</v>
      </c>
    </row>
    <row r="17977" spans="1:4" x14ac:dyDescent="0.25">
      <c r="A17977" t="str">
        <f>HYPERLINK("https://www.773grp.com/globalSearch/ICM7555ID-01112/page-1", "ICM7555ID-01112")</f>
        <v>ICM7555ID-01112</v>
      </c>
      <c r="B17977" s="3" t="str">
        <f>HYPERLINK("https://www.773grp.com/manufacturer/nxp-semiconductor?pageNo=27", "NXP Semiconductors")</f>
        <v>NXP Semiconductors</v>
      </c>
      <c r="C17977" s="6">
        <v>7</v>
      </c>
      <c r="D17977" s="7">
        <v>0.74</v>
      </c>
    </row>
    <row r="17978" spans="1:4" x14ac:dyDescent="0.25">
      <c r="A17978" t="str">
        <f>HYPERLINK("https://www.773grp.com/globalSearch/IP4386CX4-P315/page-1", "IP4386CX4-P315")</f>
        <v>IP4386CX4-P315</v>
      </c>
      <c r="B17978" s="3" t="str">
        <f>HYPERLINK("https://www.773grp.com/manufacturer/nxp-semiconductor?pageNo=28", "NXP Semiconductors")</f>
        <v>NXP Semiconductors</v>
      </c>
      <c r="C17978" s="6">
        <v>18360</v>
      </c>
      <c r="D17978" s="7">
        <v>0.74</v>
      </c>
    </row>
    <row r="17979" spans="1:4" x14ac:dyDescent="0.25">
      <c r="A17979" t="str">
        <f>HYPERLINK("https://www.773grp.com/globalSearch/MF0MOA4U10-D118/page-1", "MF0MOA4U10-D118")</f>
        <v>MF0MOA4U10-D118</v>
      </c>
      <c r="B17979" s="3" t="str">
        <f>HYPERLINK("https://www.773grp.com/manufacturer/nxp-semiconductor?pageNo=29", "NXP Semiconductors")</f>
        <v>NXP Semiconductors</v>
      </c>
      <c r="C17979" s="6">
        <v>200</v>
      </c>
      <c r="D17979" s="7">
        <v>0.74</v>
      </c>
    </row>
    <row r="17980" spans="1:4" x14ac:dyDescent="0.25">
      <c r="A17980" t="str">
        <f>HYPERLINK("https://www.773grp.com/globalSearch/N74F164D602/page-1", "N74F164D602")</f>
        <v>N74F164D602</v>
      </c>
      <c r="B17980" s="3" t="str">
        <f>HYPERLINK("https://www.773grp.com/manufacturer/nxp-semiconductor?pageNo=30", "NXP Semiconductors")</f>
        <v>NXP Semiconductors</v>
      </c>
      <c r="C17980" s="6">
        <v>7970</v>
      </c>
      <c r="D17980" s="7">
        <v>0.74</v>
      </c>
    </row>
    <row r="17981" spans="1:4" x14ac:dyDescent="0.25">
      <c r="A17981" t="str">
        <f>HYPERLINK("https://www.773grp.com/globalSearch/N74F86D602/page-1", "N74F86D602")</f>
        <v>N74F86D602</v>
      </c>
      <c r="B17981" s="3" t="str">
        <f>HYPERLINK("https://www.773grp.com/manufacturer/nxp-semiconductor?pageNo=31", "NXP Semiconductors")</f>
        <v>NXP Semiconductors</v>
      </c>
      <c r="C17981" s="6">
        <v>2366</v>
      </c>
      <c r="D17981" s="7">
        <v>0.74</v>
      </c>
    </row>
    <row r="17982" spans="1:4" x14ac:dyDescent="0.25">
      <c r="A17982" t="str">
        <f>HYPERLINK("https://www.773grp.com/globalSearch/N74F86D623/page-1", "N74F86D623")</f>
        <v>N74F86D623</v>
      </c>
      <c r="B17982" s="3" t="str">
        <f>HYPERLINK("https://www.773grp.com/manufacturer/nxp-semiconductor?pageNo=32", "NXP Semiconductors")</f>
        <v>NXP Semiconductors</v>
      </c>
      <c r="C17982" s="6">
        <v>7500</v>
      </c>
      <c r="D17982" s="7">
        <v>0.74</v>
      </c>
    </row>
    <row r="17983" spans="1:4" x14ac:dyDescent="0.25">
      <c r="A17983" t="str">
        <f>HYPERLINK("https://www.773grp.com/globalSearch/NX3L2T384GD125/page-1", "NX3L2T384GD125")</f>
        <v>NX3L2T384GD125</v>
      </c>
      <c r="B17983" s="3" t="str">
        <f>HYPERLINK("https://www.773grp.com/manufacturer/nxp-semiconductor?pageNo=33", "NXP Semiconductors")</f>
        <v>NXP Semiconductors</v>
      </c>
      <c r="C17983" s="6">
        <v>494</v>
      </c>
      <c r="D17983" s="7">
        <v>0.74</v>
      </c>
    </row>
    <row r="17984" spans="1:4" x14ac:dyDescent="0.25">
      <c r="A17984" t="str">
        <f>HYPERLINK("https://www.773grp.com/globalSearch/OT412115/page-1", "OT412115")</f>
        <v>OT412115</v>
      </c>
      <c r="B17984" s="3" t="str">
        <f>HYPERLINK("https://www.773grp.com/manufacturer/nxp-semiconductor?pageNo=34", "NXP Semiconductors")</f>
        <v>NXP Semiconductors</v>
      </c>
      <c r="C17984" s="6">
        <v>5000</v>
      </c>
      <c r="D17984" s="7">
        <v>0.74</v>
      </c>
    </row>
    <row r="17985" spans="1:4" x14ac:dyDescent="0.25">
      <c r="A17985" t="str">
        <f>HYPERLINK("https://www.773grp.com/globalSearch/PBLS2021D115/page-1", "PBLS2021D115")</f>
        <v>PBLS2021D115</v>
      </c>
      <c r="B17985" s="3" t="str">
        <f>HYPERLINK("https://www.773grp.com/manufacturer/nxp-semiconductor?pageNo=35", "NXP Semiconductors")</f>
        <v>NXP Semiconductors</v>
      </c>
      <c r="C17985" s="6">
        <v>2877</v>
      </c>
      <c r="D17985" s="7">
        <v>0.74</v>
      </c>
    </row>
    <row r="17986" spans="1:4" x14ac:dyDescent="0.25">
      <c r="A17986" t="str">
        <f>HYPERLINK("https://www.773grp.com/globalSearch/PBLS2022D115/page-1", "PBLS2022D115")</f>
        <v>PBLS2022D115</v>
      </c>
      <c r="B17986" s="3" t="str">
        <f>HYPERLINK("https://www.773grp.com/manufacturer/nxp-semiconductor?pageNo=36", "NXP Semiconductors")</f>
        <v>NXP Semiconductors</v>
      </c>
      <c r="C17986" s="6">
        <v>3000</v>
      </c>
      <c r="D17986" s="7">
        <v>0.74</v>
      </c>
    </row>
    <row r="17987" spans="1:4" x14ac:dyDescent="0.25">
      <c r="A17987" t="str">
        <f>HYPERLINK("https://www.773grp.com/globalSearch/PBLS2023D115/page-1", "PBLS2023D115")</f>
        <v>PBLS2023D115</v>
      </c>
      <c r="B17987" s="3" t="str">
        <f>HYPERLINK("https://www.773grp.com/manufacturer/nxp-semiconductor?pageNo=37", "NXP Semiconductors")</f>
        <v>NXP Semiconductors</v>
      </c>
      <c r="C17987" s="6">
        <v>3000</v>
      </c>
      <c r="D17987" s="7">
        <v>0.74</v>
      </c>
    </row>
    <row r="17988" spans="1:4" x14ac:dyDescent="0.25">
      <c r="A17988" t="str">
        <f>HYPERLINK("https://www.773grp.com/globalSearch/PBLS6022D115/page-1", "PBLS6022D115")</f>
        <v>PBLS6022D115</v>
      </c>
      <c r="B17988" s="3" t="str">
        <f>HYPERLINK("https://www.773grp.com/manufacturer/nxp-semiconductor?pageNo=38", "NXP Semiconductors")</f>
        <v>NXP Semiconductors</v>
      </c>
      <c r="C17988" s="6">
        <v>3000</v>
      </c>
      <c r="D17988" s="7">
        <v>0.74</v>
      </c>
    </row>
    <row r="17989" spans="1:4" x14ac:dyDescent="0.25">
      <c r="A17989" t="str">
        <f>HYPERLINK("https://www.773grp.com/globalSearch/PBLS6023D115/page-1", "PBLS6023D115")</f>
        <v>PBLS6023D115</v>
      </c>
      <c r="B17989" s="3" t="str">
        <f>HYPERLINK("https://www.773grp.com/manufacturer/nxp-semiconductor?pageNo=39", "NXP Semiconductors")</f>
        <v>NXP Semiconductors</v>
      </c>
      <c r="C17989" s="6">
        <v>3000</v>
      </c>
      <c r="D17989" s="7">
        <v>0.74</v>
      </c>
    </row>
    <row r="17990" spans="1:4" x14ac:dyDescent="0.25">
      <c r="A17990" t="str">
        <f>HYPERLINK("https://www.773grp.com/globalSearch/PBLS6024D115/page-1", "PBLS6024D115")</f>
        <v>PBLS6024D115</v>
      </c>
      <c r="B17990" s="3" t="str">
        <f>HYPERLINK("https://www.773grp.com/manufacturer/nxp-semiconductor?pageNo=40", "NXP Semiconductors")</f>
        <v>NXP Semiconductors</v>
      </c>
      <c r="C17990" s="6">
        <v>11645</v>
      </c>
      <c r="D17990" s="7">
        <v>0.74</v>
      </c>
    </row>
    <row r="17991" spans="1:4" x14ac:dyDescent="0.25">
      <c r="A17991" t="str">
        <f>HYPERLINK("https://www.773grp.com/globalSearch/PBSS301NX115/page-1", "PBSS301NX115")</f>
        <v>PBSS301NX115</v>
      </c>
      <c r="B17991" s="3" t="str">
        <f>HYPERLINK("https://www.773grp.com/manufacturer/nxp-semiconductor?pageNo=41", "NXP Semiconductors")</f>
        <v>NXP Semiconductors</v>
      </c>
      <c r="C17991" s="6">
        <v>1128</v>
      </c>
      <c r="D17991" s="7">
        <v>0.74</v>
      </c>
    </row>
    <row r="17992" spans="1:4" x14ac:dyDescent="0.25">
      <c r="A17992" t="str">
        <f>HYPERLINK("https://www.773grp.com/globalSearch/PBSS303NZ135/page-1", "PBSS303NZ135")</f>
        <v>PBSS303NZ135</v>
      </c>
      <c r="B17992" s="3" t="str">
        <f>HYPERLINK("https://www.773grp.com/manufacturer/nxp-semiconductor?pageNo=42", "NXP Semiconductors")</f>
        <v>NXP Semiconductors</v>
      </c>
      <c r="C17992" s="6">
        <v>12000</v>
      </c>
      <c r="D17992" s="7">
        <v>0.74</v>
      </c>
    </row>
    <row r="17993" spans="1:4" x14ac:dyDescent="0.25">
      <c r="A17993" t="str">
        <f>HYPERLINK("https://www.773grp.com/globalSearch/PBSS303PX115/page-1", "PBSS303PX115")</f>
        <v>PBSS303PX115</v>
      </c>
      <c r="B17993" s="3" t="str">
        <f>HYPERLINK("https://www.773grp.com/manufacturer/nxp-semiconductor?pageNo=43", "NXP Semiconductors")</f>
        <v>NXP Semiconductors</v>
      </c>
      <c r="C17993" s="6">
        <v>9914</v>
      </c>
      <c r="D17993" s="7">
        <v>0.74</v>
      </c>
    </row>
    <row r="17994" spans="1:4" x14ac:dyDescent="0.25">
      <c r="A17994" t="str">
        <f>HYPERLINK("https://www.773grp.com/globalSearch/PBSS5320X135/page-1", "PBSS5320X135")</f>
        <v>PBSS5320X135</v>
      </c>
      <c r="B17994" s="3" t="str">
        <f>HYPERLINK("https://www.773grp.com/manufacturer/nxp-semiconductor?pageNo=44", "NXP Semiconductors")</f>
        <v>NXP Semiconductors</v>
      </c>
      <c r="C17994" s="6">
        <v>15990</v>
      </c>
      <c r="D17994" s="7">
        <v>0.74</v>
      </c>
    </row>
    <row r="17995" spans="1:4" x14ac:dyDescent="0.25">
      <c r="A17995" t="str">
        <f>HYPERLINK("https://www.773grp.com/globalSearch/PBSS5330PA115/page-1", "PBSS5330PA115")</f>
        <v>PBSS5330PA115</v>
      </c>
      <c r="B17995" s="3" t="str">
        <f>HYPERLINK("https://www.773grp.com/manufacturer/nxp-semiconductor?pageNo=45", "NXP Semiconductors")</f>
        <v>NXP Semiconductors</v>
      </c>
      <c r="C17995" s="6">
        <v>2625</v>
      </c>
      <c r="D17995" s="7">
        <v>0.74</v>
      </c>
    </row>
    <row r="17996" spans="1:4" x14ac:dyDescent="0.25">
      <c r="A17996" t="str">
        <f>HYPERLINK("https://www.773grp.com/globalSearch/PBSS5560PA115/page-1", "PBSS5560PA115")</f>
        <v>PBSS5560PA115</v>
      </c>
      <c r="B17996" s="3" t="str">
        <f>HYPERLINK("https://www.773grp.com/manufacturer/nxp-semiconductor?pageNo=46", "NXP Semiconductors")</f>
        <v>NXP Semiconductors</v>
      </c>
      <c r="C17996" s="6">
        <v>4642</v>
      </c>
      <c r="D17996" s="7">
        <v>0.74</v>
      </c>
    </row>
    <row r="17997" spans="1:4" x14ac:dyDescent="0.25">
      <c r="A17997" t="str">
        <f>HYPERLINK("https://www.773grp.com/globalSearch/PBSS5580PA115/page-1", "PBSS5580PA115")</f>
        <v>PBSS5580PA115</v>
      </c>
      <c r="B17997" s="3" t="str">
        <f>HYPERLINK("https://www.773grp.com/manufacturer/nxp-semiconductor?pageNo=47", "NXP Semiconductors")</f>
        <v>NXP Semiconductors</v>
      </c>
      <c r="C17997" s="6">
        <v>3145</v>
      </c>
      <c r="D17997" s="7">
        <v>0.74</v>
      </c>
    </row>
    <row r="17998" spans="1:4" x14ac:dyDescent="0.25">
      <c r="A17998" t="str">
        <f>HYPERLINK("https://www.773grp.com/globalSearch/PBSS5612PA115/page-1", "PBSS5612PA115")</f>
        <v>PBSS5612PA115</v>
      </c>
      <c r="B17998" s="3" t="str">
        <f>HYPERLINK("https://www.773grp.com/manufacturer/nxp-semiconductor?pageNo=48", "NXP Semiconductors")</f>
        <v>NXP Semiconductors</v>
      </c>
      <c r="C17998" s="6">
        <v>6000</v>
      </c>
      <c r="D17998" s="7">
        <v>0.74</v>
      </c>
    </row>
    <row r="17999" spans="1:4" x14ac:dyDescent="0.25">
      <c r="A17999" t="str">
        <f>HYPERLINK("https://www.773grp.com/globalSearch/PBSS5620PA115/page-1", "PBSS5620PA115")</f>
        <v>PBSS5620PA115</v>
      </c>
      <c r="B17999" s="3" t="str">
        <f>HYPERLINK("https://www.773grp.com/manufacturer/nxp-semiconductor?pageNo=1", "NXP Semiconductors")</f>
        <v>NXP Semiconductors</v>
      </c>
      <c r="C17999" s="6">
        <v>9000</v>
      </c>
      <c r="D17999" s="7">
        <v>0.74</v>
      </c>
    </row>
    <row r="18000" spans="1:4" x14ac:dyDescent="0.25">
      <c r="A18000" t="str">
        <f>HYPERLINK("https://www.773grp.com/globalSearch/PBSS5630PA115/page-1", "PBSS5630PA115")</f>
        <v>PBSS5630PA115</v>
      </c>
      <c r="B18000" s="3" t="str">
        <f>HYPERLINK("https://www.773grp.com/manufacturer/nxp-semiconductor?pageNo=2", "NXP Semiconductors")</f>
        <v>NXP Semiconductors</v>
      </c>
      <c r="C18000" s="6">
        <v>9000</v>
      </c>
      <c r="D18000" s="7">
        <v>0.74</v>
      </c>
    </row>
    <row r="18001" spans="1:4" x14ac:dyDescent="0.25">
      <c r="A18001" t="str">
        <f>HYPERLINK("https://www.773grp.com/globalSearch/PBSS8510PA115/page-1", "PBSS8510PA115")</f>
        <v>PBSS8510PA115</v>
      </c>
      <c r="B18001" s="3" t="str">
        <f>HYPERLINK("https://www.773grp.com/manufacturer/nxp-semiconductor?pageNo=3", "NXP Semiconductors")</f>
        <v>NXP Semiconductors</v>
      </c>
      <c r="C18001" s="6">
        <v>3000</v>
      </c>
      <c r="D18001" s="7">
        <v>0.74</v>
      </c>
    </row>
    <row r="18002" spans="1:4" x14ac:dyDescent="0.25">
      <c r="A18002" t="str">
        <f>HYPERLINK("https://www.773grp.com/globalSearch/PBSS9410PA115/page-1", "PBSS9410PA115")</f>
        <v>PBSS9410PA115</v>
      </c>
      <c r="B18002" s="3" t="str">
        <f>HYPERLINK("https://www.773grp.com/manufacturer/nxp-semiconductor?pageNo=4", "NXP Semiconductors")</f>
        <v>NXP Semiconductors</v>
      </c>
      <c r="C18002" s="6">
        <v>5500</v>
      </c>
      <c r="D18002" s="7">
        <v>0.74</v>
      </c>
    </row>
    <row r="18003" spans="1:4" x14ac:dyDescent="0.25">
      <c r="A18003" t="str">
        <f>HYPERLINK("https://www.773grp.com/globalSearch/PESD15VS5UD115/page-1", "PESD15VS5UD115")</f>
        <v>PESD15VS5UD115</v>
      </c>
      <c r="B18003" s="3" t="str">
        <f>HYPERLINK("https://www.773grp.com/manufacturer/nxp-semiconductor?pageNo=5", "NXP Semiconductors")</f>
        <v>NXP Semiconductors</v>
      </c>
      <c r="C18003" s="6">
        <v>4645</v>
      </c>
      <c r="D18003" s="7">
        <v>0.74</v>
      </c>
    </row>
    <row r="18004" spans="1:4" x14ac:dyDescent="0.25">
      <c r="A18004" t="str">
        <f>HYPERLINK("https://www.773grp.com/globalSearch/PESD24VS5UD115/page-1", "PESD24VS5UD115")</f>
        <v>PESD24VS5UD115</v>
      </c>
      <c r="B18004" s="3" t="str">
        <f>HYPERLINK("https://www.773grp.com/manufacturer/nxp-semiconductor?pageNo=6", "NXP Semiconductors")</f>
        <v>NXP Semiconductors</v>
      </c>
      <c r="C18004" s="6">
        <v>125</v>
      </c>
      <c r="D18004" s="7">
        <v>0.74</v>
      </c>
    </row>
    <row r="18005" spans="1:4" x14ac:dyDescent="0.25">
      <c r="A18005" t="str">
        <f>HYPERLINK("https://www.773grp.com/globalSearch/PESD3V3L1UL315/page-1", "PESD3V3L1UL315")</f>
        <v>PESD3V3L1UL315</v>
      </c>
      <c r="B18005" s="3" t="str">
        <f>HYPERLINK("https://www.773grp.com/manufacturer/nxp-semiconductor?pageNo=7", "NXP Semiconductors")</f>
        <v>NXP Semiconductors</v>
      </c>
      <c r="C18005" s="6">
        <v>503</v>
      </c>
      <c r="D18005" s="7">
        <v>0.74</v>
      </c>
    </row>
    <row r="18006" spans="1:4" x14ac:dyDescent="0.25">
      <c r="A18006" t="str">
        <f>HYPERLINK("https://www.773grp.com/globalSearch/PESD3V3S5UD115/page-1", "PESD3V3S5UD115")</f>
        <v>PESD3V3S5UD115</v>
      </c>
      <c r="B18006" s="3" t="str">
        <f>HYPERLINK("https://www.773grp.com/manufacturer/nxp-semiconductor?pageNo=8", "NXP Semiconductors")</f>
        <v>NXP Semiconductors</v>
      </c>
      <c r="C18006" s="6">
        <v>6000</v>
      </c>
      <c r="D18006" s="7">
        <v>0.74</v>
      </c>
    </row>
    <row r="18007" spans="1:4" x14ac:dyDescent="0.25">
      <c r="A18007" t="str">
        <f>HYPERLINK("https://www.773grp.com/globalSearch/PESD3V3S5UD125/page-1", "PESD3V3S5UD125")</f>
        <v>PESD3V3S5UD125</v>
      </c>
      <c r="B18007" s="3" t="str">
        <f>HYPERLINK("https://www.773grp.com/manufacturer/nxp-semiconductor?pageNo=9", "NXP Semiconductors")</f>
        <v>NXP Semiconductors</v>
      </c>
      <c r="C18007" s="6">
        <v>3000</v>
      </c>
      <c r="D18007" s="7">
        <v>0.74</v>
      </c>
    </row>
    <row r="18008" spans="1:4" x14ac:dyDescent="0.25">
      <c r="A18008" t="str">
        <f>HYPERLINK("https://www.773grp.com/globalSearch/PESD3V3V4UG115/page-1", "PESD3V3V4UG115")</f>
        <v>PESD3V3V4UG115</v>
      </c>
      <c r="B18008" s="3" t="str">
        <f>HYPERLINK("https://www.773grp.com/manufacturer/nxp-semiconductor?pageNo=10", "NXP Semiconductors")</f>
        <v>NXP Semiconductors</v>
      </c>
      <c r="C18008" s="6">
        <v>7698</v>
      </c>
      <c r="D18008" s="7">
        <v>0.74</v>
      </c>
    </row>
    <row r="18009" spans="1:4" x14ac:dyDescent="0.25">
      <c r="A18009" t="str">
        <f>HYPERLINK("https://www.773grp.com/globalSearch/PESD3V3V4UW115/page-1", "PESD3V3V4UW115")</f>
        <v>PESD3V3V4UW115</v>
      </c>
      <c r="B18009" s="3" t="str">
        <f>HYPERLINK("https://www.773grp.com/manufacturer/nxp-semiconductor?pageNo=11", "NXP Semiconductors")</f>
        <v>NXP Semiconductors</v>
      </c>
      <c r="C18009" s="6">
        <v>4000</v>
      </c>
      <c r="D18009" s="7">
        <v>0.74</v>
      </c>
    </row>
    <row r="18010" spans="1:4" x14ac:dyDescent="0.25">
      <c r="A18010" t="str">
        <f>HYPERLINK("https://www.773grp.com/globalSearch/PESD5V0S5UD115/page-1", "PESD5V0S5UD115")</f>
        <v>PESD5V0S5UD115</v>
      </c>
      <c r="B18010" s="3" t="str">
        <f>HYPERLINK("https://www.773grp.com/manufacturer/nxp-semiconductor?pageNo=12", "NXP Semiconductors")</f>
        <v>NXP Semiconductors</v>
      </c>
      <c r="C18010" s="6">
        <v>12000</v>
      </c>
      <c r="D18010" s="7">
        <v>0.74</v>
      </c>
    </row>
    <row r="18011" spans="1:4" x14ac:dyDescent="0.25">
      <c r="A18011" t="str">
        <f>HYPERLINK("https://www.773grp.com/globalSearch/PESD5V0V4UG115/page-1", "PESD5V0V4UG115")</f>
        <v>PESD5V0V4UG115</v>
      </c>
      <c r="B18011" s="3" t="str">
        <f>HYPERLINK("https://www.773grp.com/manufacturer/nxp-semiconductor?pageNo=13", "NXP Semiconductors")</f>
        <v>NXP Semiconductors</v>
      </c>
      <c r="C18011" s="6">
        <v>16436</v>
      </c>
      <c r="D18011" s="7">
        <v>0.74</v>
      </c>
    </row>
    <row r="18012" spans="1:4" x14ac:dyDescent="0.25">
      <c r="A18012" t="str">
        <f>HYPERLINK("https://www.773grp.com/globalSearch/PMEM4010PD115/page-1", "PMEM4010PD115")</f>
        <v>PMEM4010PD115</v>
      </c>
      <c r="B18012" s="3" t="str">
        <f>HYPERLINK("https://www.773grp.com/manufacturer/nxp-semiconductor?pageNo=14", "NXP Semiconductors")</f>
        <v>NXP Semiconductors</v>
      </c>
      <c r="C18012" s="6">
        <v>3000</v>
      </c>
      <c r="D18012" s="7">
        <v>0.74</v>
      </c>
    </row>
    <row r="18013" spans="1:4" x14ac:dyDescent="0.25">
      <c r="A18013" t="str">
        <f>HYPERLINK("https://www.773grp.com/globalSearch/PMN27UP115/page-1", "PMN27UP115")</f>
        <v>PMN27UP115</v>
      </c>
      <c r="B18013" s="3" t="str">
        <f>HYPERLINK("https://www.773grp.com/manufacturer/nxp-semiconductor?pageNo=15", "NXP Semiconductors")</f>
        <v>NXP Semiconductors</v>
      </c>
      <c r="C18013" s="6">
        <v>348</v>
      </c>
      <c r="D18013" s="7">
        <v>0.74</v>
      </c>
    </row>
    <row r="18014" spans="1:4" x14ac:dyDescent="0.25">
      <c r="A18014" t="str">
        <f>HYPERLINK("https://www.773grp.com/globalSearch/PMN80XP115/page-1", "PMN80XP115")</f>
        <v>PMN80XP115</v>
      </c>
      <c r="B18014" s="3" t="str">
        <f>HYPERLINK("https://www.773grp.com/manufacturer/nxp-semiconductor?pageNo=16", "NXP Semiconductors")</f>
        <v>NXP Semiconductors</v>
      </c>
      <c r="C18014" s="6">
        <v>3000</v>
      </c>
      <c r="D18014" s="7">
        <v>0.74</v>
      </c>
    </row>
    <row r="18015" spans="1:4" x14ac:dyDescent="0.25">
      <c r="A18015" t="str">
        <f>HYPERLINK("https://www.773grp.com/globalSearch/PMP4501V115/page-1", "PMP4501V115")</f>
        <v>PMP4501V115</v>
      </c>
      <c r="B18015" s="3" t="str">
        <f>HYPERLINK("https://www.773grp.com/manufacturer/nxp-semiconductor?pageNo=17", "NXP Semiconductors")</f>
        <v>NXP Semiconductors</v>
      </c>
      <c r="C18015" s="6">
        <v>12980</v>
      </c>
      <c r="D18015" s="7">
        <v>0.74</v>
      </c>
    </row>
    <row r="18016" spans="1:4" x14ac:dyDescent="0.25">
      <c r="A18016" t="str">
        <f>HYPERLINK("https://www.773grp.com/globalSearch/PMP4501Y115/page-1", "PMP4501Y115")</f>
        <v>PMP4501Y115</v>
      </c>
      <c r="B18016" s="3" t="str">
        <f>HYPERLINK("https://www.773grp.com/manufacturer/nxp-semiconductor?pageNo=18", "NXP Semiconductors")</f>
        <v>NXP Semiconductors</v>
      </c>
      <c r="C18016" s="6">
        <v>3000</v>
      </c>
      <c r="D18016" s="7">
        <v>0.74</v>
      </c>
    </row>
    <row r="18017" spans="1:4" x14ac:dyDescent="0.25">
      <c r="A18017" t="str">
        <f>HYPERLINK("https://www.773grp.com/globalSearch/PMP5501V115/page-1", "PMP5501V115")</f>
        <v>PMP5501V115</v>
      </c>
      <c r="B18017" s="3" t="str">
        <f>HYPERLINK("https://www.773grp.com/manufacturer/nxp-semiconductor?pageNo=19", "NXP Semiconductors")</f>
        <v>NXP Semiconductors</v>
      </c>
      <c r="C18017" s="6">
        <v>8000</v>
      </c>
      <c r="D18017" s="7">
        <v>0.74</v>
      </c>
    </row>
    <row r="18018" spans="1:4" x14ac:dyDescent="0.25">
      <c r="A18018" t="str">
        <f>HYPERLINK("https://www.773grp.com/globalSearch/PMP5501Y115/page-1", "PMP5501Y115")</f>
        <v>PMP5501Y115</v>
      </c>
      <c r="B18018" s="3" t="str">
        <f>HYPERLINK("https://www.773grp.com/manufacturer/nxp-semiconductor?pageNo=20", "NXP Semiconductors")</f>
        <v>NXP Semiconductors</v>
      </c>
      <c r="C18018" s="6">
        <v>26348</v>
      </c>
      <c r="D18018" s="7">
        <v>0.74</v>
      </c>
    </row>
    <row r="18019" spans="1:4" x14ac:dyDescent="0.25">
      <c r="A18019" t="str">
        <f>HYPERLINK("https://www.773grp.com/globalSearch/PSMN8R0-30YL115/page-1", "PSMN8R0-30YL115")</f>
        <v>PSMN8R0-30YL115</v>
      </c>
      <c r="B18019" s="3" t="str">
        <f>HYPERLINK("https://www.773grp.com/manufacturer/nxp-semiconductor?pageNo=21", "NXP Semiconductors")</f>
        <v>NXP Semiconductors</v>
      </c>
      <c r="C18019" s="6">
        <v>4738</v>
      </c>
      <c r="D18019" s="7">
        <v>0.74</v>
      </c>
    </row>
    <row r="18020" spans="1:4" x14ac:dyDescent="0.25">
      <c r="A18020" t="str">
        <f>HYPERLINK("https://www.773grp.com/globalSearch/PSMN9R1-30YL115/page-1", "PSMN9R1-30YL115")</f>
        <v>PSMN9R1-30YL115</v>
      </c>
      <c r="B18020" s="3" t="str">
        <f>HYPERLINK("https://www.773grp.com/manufacturer/nxp-semiconductor?pageNo=22", "NXP Semiconductors")</f>
        <v>NXP Semiconductors</v>
      </c>
      <c r="C18020" s="6">
        <v>250</v>
      </c>
      <c r="D18020" s="7">
        <v>0.74</v>
      </c>
    </row>
    <row r="18021" spans="1:4" x14ac:dyDescent="0.25">
      <c r="A18021" t="str">
        <f>HYPERLINK("https://www.773grp.com/globalSearch/XC7SET125GM115/page-1", "XC7SET125GM115")</f>
        <v>XC7SET125GM115</v>
      </c>
      <c r="B18021" s="3" t="str">
        <f>HYPERLINK("https://www.773grp.com/manufacturer/nxp-semiconductor?pageNo=23", "NXP Semiconductors")</f>
        <v>NXP Semiconductors</v>
      </c>
      <c r="C18021" s="6">
        <v>10000</v>
      </c>
      <c r="D18021" s="7">
        <v>0.74</v>
      </c>
    </row>
    <row r="18022" spans="1:4" x14ac:dyDescent="0.25">
      <c r="A18022" t="str">
        <f>HYPERLINK("https://www.773grp.com/globalSearch/XC7SH125GM115/page-1", "XC7SH125GM115")</f>
        <v>XC7SH125GM115</v>
      </c>
      <c r="B18022" s="3" t="str">
        <f>HYPERLINK("https://www.773grp.com/manufacturer/nxp-semiconductor?pageNo=24", "NXP Semiconductors")</f>
        <v>NXP Semiconductors</v>
      </c>
      <c r="C18022" s="6">
        <v>10300</v>
      </c>
      <c r="D18022" s="7">
        <v>0.74</v>
      </c>
    </row>
    <row r="18023" spans="1:4" x14ac:dyDescent="0.25">
      <c r="A18023" t="str">
        <f>HYPERLINK("https://www.773grp.com/globalSearch/1PS88SB82115/page-1", "1PS88SB82115")</f>
        <v>1PS88SB82115</v>
      </c>
      <c r="B18023" s="3" t="str">
        <f>HYPERLINK("https://www.773grp.com/manufacturer/nxp-semiconductor?pageNo=25", "NXP Semiconductors")</f>
        <v>NXP Semiconductors</v>
      </c>
      <c r="C18023" s="6">
        <v>150</v>
      </c>
      <c r="D18023" s="7">
        <v>0.79</v>
      </c>
    </row>
    <row r="18024" spans="1:4" x14ac:dyDescent="0.25">
      <c r="A18024" t="str">
        <f>HYPERLINK("https://www.773grp.com/globalSearch/74ABT244D623/page-1", "74ABT244D623")</f>
        <v>74ABT244D623</v>
      </c>
      <c r="B18024" s="3" t="str">
        <f>HYPERLINK("https://www.773grp.com/manufacturer/nxp-semiconductor?pageNo=26", "NXP Semiconductors")</f>
        <v>NXP Semiconductors</v>
      </c>
      <c r="C18024" s="6">
        <v>10000</v>
      </c>
      <c r="D18024" s="7">
        <v>0.79</v>
      </c>
    </row>
    <row r="18025" spans="1:4" x14ac:dyDescent="0.25">
      <c r="A18025" t="str">
        <f>HYPERLINK("https://www.773grp.com/globalSearch/74ABT244DB118/page-1", "74ABT244DB118")</f>
        <v>74ABT244DB118</v>
      </c>
      <c r="B18025" s="3" t="str">
        <f>HYPERLINK("https://www.773grp.com/manufacturer/nxp-semiconductor?pageNo=27", "NXP Semiconductors")</f>
        <v>NXP Semiconductors</v>
      </c>
      <c r="C18025" s="6">
        <v>11000</v>
      </c>
      <c r="D18025" s="7">
        <v>0.79</v>
      </c>
    </row>
    <row r="18026" spans="1:4" x14ac:dyDescent="0.25">
      <c r="A18026" t="str">
        <f>HYPERLINK("https://www.773grp.com/globalSearch/74ABT245DB112/page-1", "74ABT245DB112")</f>
        <v>74ABT245DB112</v>
      </c>
      <c r="B18026" s="3" t="str">
        <f>HYPERLINK("https://www.773grp.com/manufacturer/nxp-semiconductor?pageNo=28", "NXP Semiconductors")</f>
        <v>NXP Semiconductors</v>
      </c>
      <c r="C18026" s="6">
        <v>4002</v>
      </c>
      <c r="D18026" s="7">
        <v>0.79</v>
      </c>
    </row>
    <row r="18027" spans="1:4" x14ac:dyDescent="0.25">
      <c r="A18027" t="str">
        <f>HYPERLINK("https://www.773grp.com/globalSearch/74ABT245DB118/page-1", "74ABT245DB118")</f>
        <v>74ABT245DB118</v>
      </c>
      <c r="B18027" s="3" t="str">
        <f>HYPERLINK("https://www.773grp.com/manufacturer/nxp-semiconductor?pageNo=29", "NXP Semiconductors")</f>
        <v>NXP Semiconductors</v>
      </c>
      <c r="C18027" s="6">
        <v>21445</v>
      </c>
      <c r="D18027" s="7">
        <v>0.79</v>
      </c>
    </row>
    <row r="18028" spans="1:4" x14ac:dyDescent="0.25">
      <c r="A18028" t="str">
        <f>HYPERLINK("https://www.773grp.com/globalSearch/74ABT574AD118/page-1", "74ABT574AD118")</f>
        <v>74ABT574AD118</v>
      </c>
      <c r="B18028" s="3" t="str">
        <f>HYPERLINK("https://www.773grp.com/manufacturer/nxp-semiconductor?pageNo=30", "NXP Semiconductors")</f>
        <v>NXP Semiconductors</v>
      </c>
      <c r="C18028" s="6">
        <v>6000</v>
      </c>
      <c r="D18028" s="7">
        <v>0.79</v>
      </c>
    </row>
    <row r="18029" spans="1:4" x14ac:dyDescent="0.25">
      <c r="A18029" t="str">
        <f>HYPERLINK("https://www.773grp.com/globalSearch/74ABT574ADB118/page-1", "74ABT574ADB118")</f>
        <v>74ABT574ADB118</v>
      </c>
      <c r="B18029" s="3" t="str">
        <f>HYPERLINK("https://www.773grp.com/manufacturer/nxp-semiconductor?pageNo=31", "NXP Semiconductors")</f>
        <v>NXP Semiconductors</v>
      </c>
      <c r="C18029" s="6">
        <v>3000</v>
      </c>
      <c r="D18029" s="7">
        <v>0.79</v>
      </c>
    </row>
    <row r="18030" spans="1:4" x14ac:dyDescent="0.25">
      <c r="A18030" t="str">
        <f>HYPERLINK("https://www.773grp.com/globalSearch/74AHC3G04DC125/page-1", "74AHC3G04DC125")</f>
        <v>74AHC3G04DC125</v>
      </c>
      <c r="B18030" s="3" t="str">
        <f>HYPERLINK("https://www.773grp.com/manufacturer/nxp-semiconductor?pageNo=32", "NXP Semiconductors")</f>
        <v>NXP Semiconductors</v>
      </c>
      <c r="C18030" s="6">
        <v>3000</v>
      </c>
      <c r="D18030" s="7">
        <v>0.79</v>
      </c>
    </row>
    <row r="18031" spans="1:4" x14ac:dyDescent="0.25">
      <c r="A18031" t="str">
        <f>HYPERLINK("https://www.773grp.com/globalSearch/74AHC3G14DP125/page-1", "74AHC3G14DP125")</f>
        <v>74AHC3G14DP125</v>
      </c>
      <c r="B18031" s="3" t="str">
        <f>HYPERLINK("https://www.773grp.com/manufacturer/nxp-semiconductor?pageNo=33", "NXP Semiconductors")</f>
        <v>NXP Semiconductors</v>
      </c>
      <c r="C18031" s="6">
        <v>140</v>
      </c>
      <c r="D18031" s="7">
        <v>0.79</v>
      </c>
    </row>
    <row r="18032" spans="1:4" x14ac:dyDescent="0.25">
      <c r="A18032" t="str">
        <f>HYPERLINK("https://www.773grp.com/globalSearch/74AHC3GU04DP125/page-1", "74AHC3GU04DP125")</f>
        <v>74AHC3GU04DP125</v>
      </c>
      <c r="B18032" s="3" t="str">
        <f>HYPERLINK("https://www.773grp.com/manufacturer/nxp-semiconductor?pageNo=34", "NXP Semiconductors")</f>
        <v>NXP Semiconductors</v>
      </c>
      <c r="C18032" s="6">
        <v>105</v>
      </c>
      <c r="D18032" s="7">
        <v>0.79</v>
      </c>
    </row>
    <row r="18033" spans="1:4" x14ac:dyDescent="0.25">
      <c r="A18033" t="str">
        <f>HYPERLINK("https://www.773grp.com/globalSearch/74AHC3GU04GD125/page-1", "74AHC3GU04GD125")</f>
        <v>74AHC3GU04GD125</v>
      </c>
      <c r="B18033" s="3" t="str">
        <f>HYPERLINK("https://www.773grp.com/manufacturer/nxp-semiconductor?pageNo=35", "NXP Semiconductors")</f>
        <v>NXP Semiconductors</v>
      </c>
      <c r="C18033" s="6">
        <v>249</v>
      </c>
      <c r="D18033" s="7">
        <v>0.79</v>
      </c>
    </row>
    <row r="18034" spans="1:4" x14ac:dyDescent="0.25">
      <c r="A18034" t="str">
        <f>HYPERLINK("https://www.773grp.com/globalSearch/74AHCT3G04DC125/page-1", "74AHCT3G04DC125")</f>
        <v>74AHCT3G04DC125</v>
      </c>
      <c r="B18034" s="3" t="str">
        <f>HYPERLINK("https://www.773grp.com/manufacturer/nxp-semiconductor?pageNo=36", "NXP Semiconductors")</f>
        <v>NXP Semiconductors</v>
      </c>
      <c r="C18034" s="6">
        <v>3000</v>
      </c>
      <c r="D18034" s="7">
        <v>0.79</v>
      </c>
    </row>
    <row r="18035" spans="1:4" x14ac:dyDescent="0.25">
      <c r="A18035" t="str">
        <f>HYPERLINK("https://www.773grp.com/globalSearch/74AHCT3G04GD125/page-1", "74AHCT3G04GD125")</f>
        <v>74AHCT3G04GD125</v>
      </c>
      <c r="B18035" s="3" t="str">
        <f>HYPERLINK("https://www.773grp.com/manufacturer/nxp-semiconductor?pageNo=37", "NXP Semiconductors")</f>
        <v>NXP Semiconductors</v>
      </c>
      <c r="C18035" s="6">
        <v>3000</v>
      </c>
      <c r="D18035" s="7">
        <v>0.79</v>
      </c>
    </row>
    <row r="18036" spans="1:4" x14ac:dyDescent="0.25">
      <c r="A18036" t="str">
        <f>HYPERLINK("https://www.773grp.com/globalSearch/74AHCT3G14DP125/page-1", "74AHCT3G14DP125")</f>
        <v>74AHCT3G14DP125</v>
      </c>
      <c r="B18036" s="3" t="str">
        <f>HYPERLINK("https://www.773grp.com/manufacturer/nxp-semiconductor?pageNo=38", "NXP Semiconductors")</f>
        <v>NXP Semiconductors</v>
      </c>
      <c r="C18036" s="6">
        <v>3000</v>
      </c>
      <c r="D18036" s="7">
        <v>0.79</v>
      </c>
    </row>
    <row r="18037" spans="1:4" x14ac:dyDescent="0.25">
      <c r="A18037" t="str">
        <f>HYPERLINK("https://www.773grp.com/globalSearch/74ALVC125PW112/page-1", "74ALVC125PW112")</f>
        <v>74ALVC125PW112</v>
      </c>
      <c r="B18037" s="3" t="str">
        <f>HYPERLINK("https://www.773grp.com/manufacturer/nxp-semiconductor?pageNo=39", "NXP Semiconductors")</f>
        <v>NXP Semiconductors</v>
      </c>
      <c r="C18037" s="6">
        <v>4315</v>
      </c>
      <c r="D18037" s="7">
        <v>0.79</v>
      </c>
    </row>
    <row r="18038" spans="1:4" x14ac:dyDescent="0.25">
      <c r="A18038" t="str">
        <f>HYPERLINK("https://www.773grp.com/globalSearch/74ALVC244D118/page-1", "74ALVC244D118")</f>
        <v>74ALVC244D118</v>
      </c>
      <c r="B18038" s="3" t="str">
        <f>HYPERLINK("https://www.773grp.com/manufacturer/nxp-semiconductor?pageNo=40", "NXP Semiconductors")</f>
        <v>NXP Semiconductors</v>
      </c>
      <c r="C18038" s="6">
        <v>10</v>
      </c>
      <c r="D18038" s="7">
        <v>0.79</v>
      </c>
    </row>
    <row r="18039" spans="1:4" x14ac:dyDescent="0.25">
      <c r="A18039" t="str">
        <f>HYPERLINK("https://www.773grp.com/globalSearch/74ALVC245D112/page-1", "74ALVC245D112")</f>
        <v>74ALVC245D112</v>
      </c>
      <c r="B18039" s="3" t="str">
        <f>HYPERLINK("https://www.773grp.com/manufacturer/nxp-semiconductor?pageNo=41", "NXP Semiconductors")</f>
        <v>NXP Semiconductors</v>
      </c>
      <c r="C18039" s="6">
        <v>2928</v>
      </c>
      <c r="D18039" s="7">
        <v>0.79</v>
      </c>
    </row>
    <row r="18040" spans="1:4" x14ac:dyDescent="0.25">
      <c r="A18040" t="str">
        <f>HYPERLINK("https://www.773grp.com/globalSearch/74ALVC245D118/page-1", "74ALVC245D118")</f>
        <v>74ALVC245D118</v>
      </c>
      <c r="B18040" s="3" t="str">
        <f>HYPERLINK("https://www.773grp.com/manufacturer/nxp-semiconductor?pageNo=42", "NXP Semiconductors")</f>
        <v>NXP Semiconductors</v>
      </c>
      <c r="C18040" s="6">
        <v>2000</v>
      </c>
      <c r="D18040" s="7">
        <v>0.79</v>
      </c>
    </row>
    <row r="18041" spans="1:4" x14ac:dyDescent="0.25">
      <c r="A18041" t="str">
        <f>HYPERLINK("https://www.773grp.com/globalSearch/74AUP1G0832GF132/page-1", "74AUP1G0832GF132")</f>
        <v>74AUP1G0832GF132</v>
      </c>
      <c r="B18041" s="3" t="str">
        <f>HYPERLINK("https://www.773grp.com/manufacturer/nxp-semiconductor?pageNo=43", "NXP Semiconductors")</f>
        <v>NXP Semiconductors</v>
      </c>
      <c r="C18041" s="6">
        <v>300</v>
      </c>
      <c r="D18041" s="7">
        <v>0.79</v>
      </c>
    </row>
    <row r="18042" spans="1:4" x14ac:dyDescent="0.25">
      <c r="A18042" t="str">
        <f>HYPERLINK("https://www.773grp.com/globalSearch/74AUP1G126GF132/page-1", "74AUP1G126GF132")</f>
        <v>74AUP1G126GF132</v>
      </c>
      <c r="B18042" s="3" t="str">
        <f>HYPERLINK("https://www.773grp.com/manufacturer/nxp-semiconductor?pageNo=44", "NXP Semiconductors")</f>
        <v>NXP Semiconductors</v>
      </c>
      <c r="C18042" s="6">
        <v>5000</v>
      </c>
      <c r="D18042" s="7">
        <v>0.79</v>
      </c>
    </row>
    <row r="18043" spans="1:4" x14ac:dyDescent="0.25">
      <c r="A18043" t="str">
        <f>HYPERLINK("https://www.773grp.com/globalSearch/74AUP1G175GF132/page-1", "74AUP1G175GF132")</f>
        <v>74AUP1G175GF132</v>
      </c>
      <c r="B18043" s="3" t="str">
        <f>HYPERLINK("https://www.773grp.com/manufacturer/nxp-semiconductor?pageNo=45", "NXP Semiconductors")</f>
        <v>NXP Semiconductors</v>
      </c>
      <c r="C18043" s="6">
        <v>9927</v>
      </c>
      <c r="D18043" s="7">
        <v>0.79</v>
      </c>
    </row>
    <row r="18044" spans="1:4" x14ac:dyDescent="0.25">
      <c r="A18044" t="str">
        <f>HYPERLINK("https://www.773grp.com/globalSearch/74AUP1G19GF132/page-1", "74AUP1G19GF132")</f>
        <v>74AUP1G19GF132</v>
      </c>
      <c r="B18044" s="3" t="str">
        <f>HYPERLINK("https://www.773grp.com/manufacturer/nxp-semiconductor?pageNo=46", "NXP Semiconductors")</f>
        <v>NXP Semiconductors</v>
      </c>
      <c r="C18044" s="6">
        <v>5000</v>
      </c>
      <c r="D18044" s="7">
        <v>0.79</v>
      </c>
    </row>
    <row r="18045" spans="1:4" x14ac:dyDescent="0.25">
      <c r="A18045" t="str">
        <f>HYPERLINK("https://www.773grp.com/globalSearch/74AUP1G240GF132/page-1", "74AUP1G240GF132")</f>
        <v>74AUP1G240GF132</v>
      </c>
      <c r="B18045" s="3" t="str">
        <f>HYPERLINK("https://www.773grp.com/manufacturer/nxp-semiconductor?pageNo=47", "NXP Semiconductors")</f>
        <v>NXP Semiconductors</v>
      </c>
      <c r="C18045" s="6">
        <v>300</v>
      </c>
      <c r="D18045" s="7">
        <v>0.79</v>
      </c>
    </row>
    <row r="18046" spans="1:4" x14ac:dyDescent="0.25">
      <c r="A18046" t="str">
        <f>HYPERLINK("https://www.773grp.com/globalSearch/74AUP1G332GW125/page-1", "74AUP1G332GW125")</f>
        <v>74AUP1G332GW125</v>
      </c>
      <c r="B18046" s="3" t="str">
        <f>HYPERLINK("https://www.773grp.com/manufacturer/nxp-semiconductor?pageNo=48", "NXP Semiconductors")</f>
        <v>NXP Semiconductors</v>
      </c>
      <c r="C18046" s="6">
        <v>6000</v>
      </c>
      <c r="D18046" s="7">
        <v>0.79</v>
      </c>
    </row>
    <row r="18047" spans="1:4" x14ac:dyDescent="0.25">
      <c r="A18047" t="str">
        <f>HYPERLINK("https://www.773grp.com/globalSearch/74AUP1G885GM125/page-1", "74AUP1G885GM125")</f>
        <v>74AUP1G885GM125</v>
      </c>
      <c r="B18047" s="3" t="str">
        <f>HYPERLINK("https://www.773grp.com/manufacturer/nxp-semiconductor?pageNo=1", "NXP Semiconductors")</f>
        <v>NXP Semiconductors</v>
      </c>
      <c r="C18047" s="6">
        <v>8000</v>
      </c>
      <c r="D18047" s="7">
        <v>0.79</v>
      </c>
    </row>
    <row r="18048" spans="1:4" x14ac:dyDescent="0.25">
      <c r="A18048" t="str">
        <f>HYPERLINK("https://www.773grp.com/globalSearch/74AUP1G98GF132/page-1", "74AUP1G98GF132")</f>
        <v>74AUP1G98GF132</v>
      </c>
      <c r="B18048" s="3" t="str">
        <f>HYPERLINK("https://www.773grp.com/manufacturer/nxp-semiconductor?pageNo=2", "NXP Semiconductors")</f>
        <v>NXP Semiconductors</v>
      </c>
      <c r="C18048" s="6">
        <v>5295</v>
      </c>
      <c r="D18048" s="7">
        <v>0.79</v>
      </c>
    </row>
    <row r="18049" spans="1:4" x14ac:dyDescent="0.25">
      <c r="A18049" t="str">
        <f>HYPERLINK("https://www.773grp.com/globalSearch/74AUP1T97GM115/page-1", "74AUP1T97GM115")</f>
        <v>74AUP1T97GM115</v>
      </c>
      <c r="B18049" s="3" t="str">
        <f>HYPERLINK("https://www.773grp.com/manufacturer/nxp-semiconductor?pageNo=3", "NXP Semiconductors")</f>
        <v>NXP Semiconductors</v>
      </c>
      <c r="C18049" s="6">
        <v>5000</v>
      </c>
      <c r="D18049" s="7">
        <v>0.79</v>
      </c>
    </row>
    <row r="18050" spans="1:4" x14ac:dyDescent="0.25">
      <c r="A18050" t="str">
        <f>HYPERLINK("https://www.773grp.com/globalSearch/74AUP1T97GM132/page-1", "74AUP1T97GM132")</f>
        <v>74AUP1T97GM132</v>
      </c>
      <c r="B18050" s="3" t="str">
        <f>HYPERLINK("https://www.773grp.com/manufacturer/nxp-semiconductor?pageNo=4", "NXP Semiconductors")</f>
        <v>NXP Semiconductors</v>
      </c>
      <c r="C18050" s="6">
        <v>5000</v>
      </c>
      <c r="D18050" s="7">
        <v>0.79</v>
      </c>
    </row>
    <row r="18051" spans="1:4" x14ac:dyDescent="0.25">
      <c r="A18051" t="str">
        <f>HYPERLINK("https://www.773grp.com/globalSearch/74AUP2G00GM125/page-1", "74AUP2G00GM125")</f>
        <v>74AUP2G00GM125</v>
      </c>
      <c r="B18051" s="3" t="str">
        <f>HYPERLINK("https://www.773grp.com/manufacturer/nxp-semiconductor?pageNo=5", "NXP Semiconductors")</f>
        <v>NXP Semiconductors</v>
      </c>
      <c r="C18051" s="6">
        <v>300</v>
      </c>
      <c r="D18051" s="7">
        <v>0.79</v>
      </c>
    </row>
    <row r="18052" spans="1:4" x14ac:dyDescent="0.25">
      <c r="A18052" t="str">
        <f>HYPERLINK("https://www.773grp.com/globalSearch/74AUP2G02GM125/page-1", "74AUP2G02GM125")</f>
        <v>74AUP2G02GM125</v>
      </c>
      <c r="B18052" s="3" t="str">
        <f>HYPERLINK("https://www.773grp.com/manufacturer/nxp-semiconductor?pageNo=6", "NXP Semiconductors")</f>
        <v>NXP Semiconductors</v>
      </c>
      <c r="C18052" s="6">
        <v>300</v>
      </c>
      <c r="D18052" s="7">
        <v>0.79</v>
      </c>
    </row>
    <row r="18053" spans="1:4" x14ac:dyDescent="0.25">
      <c r="A18053" t="str">
        <f>HYPERLINK("https://www.773grp.com/globalSearch/74AUP2G04GM115/page-1", "74AUP2G04GM115")</f>
        <v>74AUP2G04GM115</v>
      </c>
      <c r="B18053" s="3" t="str">
        <f>HYPERLINK("https://www.773grp.com/manufacturer/nxp-semiconductor?pageNo=7", "NXP Semiconductors")</f>
        <v>NXP Semiconductors</v>
      </c>
      <c r="C18053" s="6">
        <v>10000</v>
      </c>
      <c r="D18053" s="7">
        <v>0.79</v>
      </c>
    </row>
    <row r="18054" spans="1:4" x14ac:dyDescent="0.25">
      <c r="A18054" t="str">
        <f>HYPERLINK("https://www.773grp.com/globalSearch/74AUP2G04GM132/page-1", "74AUP2G04GM132")</f>
        <v>74AUP2G04GM132</v>
      </c>
      <c r="B18054" s="3" t="str">
        <f>HYPERLINK("https://www.773grp.com/manufacturer/nxp-semiconductor?pageNo=8", "NXP Semiconductors")</f>
        <v>NXP Semiconductors</v>
      </c>
      <c r="C18054" s="6">
        <v>5000</v>
      </c>
      <c r="D18054" s="7">
        <v>0.79</v>
      </c>
    </row>
    <row r="18055" spans="1:4" x14ac:dyDescent="0.25">
      <c r="A18055" t="str">
        <f>HYPERLINK("https://www.773grp.com/globalSearch/74AUP2G07GM115/page-1", "74AUP2G07GM115")</f>
        <v>74AUP2G07GM115</v>
      </c>
      <c r="B18055" s="3" t="str">
        <f>HYPERLINK("https://www.773grp.com/manufacturer/nxp-semiconductor?pageNo=9", "NXP Semiconductors")</f>
        <v>NXP Semiconductors</v>
      </c>
      <c r="C18055" s="6">
        <v>10000</v>
      </c>
      <c r="D18055" s="7">
        <v>0.79</v>
      </c>
    </row>
    <row r="18056" spans="1:4" x14ac:dyDescent="0.25">
      <c r="A18056" t="str">
        <f>HYPERLINK("https://www.773grp.com/globalSearch/74AUP2G07GM132/page-1", "74AUP2G07GM132")</f>
        <v>74AUP2G07GM132</v>
      </c>
      <c r="B18056" s="3" t="str">
        <f>HYPERLINK("https://www.773grp.com/manufacturer/nxp-semiconductor?pageNo=10", "NXP Semiconductors")</f>
        <v>NXP Semiconductors</v>
      </c>
      <c r="C18056" s="6">
        <v>5000</v>
      </c>
      <c r="D18056" s="7">
        <v>0.79</v>
      </c>
    </row>
    <row r="18057" spans="1:4" x14ac:dyDescent="0.25">
      <c r="A18057" t="str">
        <f>HYPERLINK("https://www.773grp.com/globalSearch/74AUP2G17GF132/page-1", "74AUP2G17GF132")</f>
        <v>74AUP2G17GF132</v>
      </c>
      <c r="B18057" s="3" t="str">
        <f>HYPERLINK("https://www.773grp.com/manufacturer/nxp-semiconductor?pageNo=11", "NXP Semiconductors")</f>
        <v>NXP Semiconductors</v>
      </c>
      <c r="C18057" s="6">
        <v>15000</v>
      </c>
      <c r="D18057" s="7">
        <v>0.79</v>
      </c>
    </row>
    <row r="18058" spans="1:4" x14ac:dyDescent="0.25">
      <c r="A18058" t="str">
        <f>HYPERLINK("https://www.773grp.com/globalSearch/74AUP2G17GM132/page-1", "74AUP2G17GM132")</f>
        <v>74AUP2G17GM132</v>
      </c>
      <c r="B18058" s="3" t="str">
        <f>HYPERLINK("https://www.773grp.com/manufacturer/nxp-semiconductor?pageNo=12", "NXP Semiconductors")</f>
        <v>NXP Semiconductors</v>
      </c>
      <c r="C18058" s="6">
        <v>4661</v>
      </c>
      <c r="D18058" s="7">
        <v>0.79</v>
      </c>
    </row>
    <row r="18059" spans="1:4" x14ac:dyDescent="0.25">
      <c r="A18059" t="str">
        <f>HYPERLINK("https://www.773grp.com/globalSearch/74AUP2G32GM125/page-1", "74AUP2G32GM125")</f>
        <v>74AUP2G32GM125</v>
      </c>
      <c r="B18059" s="3" t="str">
        <f>HYPERLINK("https://www.773grp.com/manufacturer/nxp-semiconductor?pageNo=13", "NXP Semiconductors")</f>
        <v>NXP Semiconductors</v>
      </c>
      <c r="C18059" s="6">
        <v>300</v>
      </c>
      <c r="D18059" s="7">
        <v>0.79</v>
      </c>
    </row>
    <row r="18060" spans="1:4" x14ac:dyDescent="0.25">
      <c r="A18060" t="str">
        <f>HYPERLINK("https://www.773grp.com/globalSearch/74AUP2G34GM132/page-1", "74AUP2G34GM132")</f>
        <v>74AUP2G34GM132</v>
      </c>
      <c r="B18060" s="3" t="str">
        <f>HYPERLINK("https://www.773grp.com/manufacturer/nxp-semiconductor?pageNo=14", "NXP Semiconductors")</f>
        <v>NXP Semiconductors</v>
      </c>
      <c r="C18060" s="6">
        <v>5000</v>
      </c>
      <c r="D18060" s="7">
        <v>0.79</v>
      </c>
    </row>
    <row r="18061" spans="1:4" x14ac:dyDescent="0.25">
      <c r="A18061" t="str">
        <f>HYPERLINK("https://www.773grp.com/globalSearch/74AUP2GU04GM115/page-1", "74AUP2GU04GM115")</f>
        <v>74AUP2GU04GM115</v>
      </c>
      <c r="B18061" s="3" t="str">
        <f>HYPERLINK("https://www.773grp.com/manufacturer/nxp-semiconductor?pageNo=15", "NXP Semiconductors")</f>
        <v>NXP Semiconductors</v>
      </c>
      <c r="C18061" s="6">
        <v>5000</v>
      </c>
      <c r="D18061" s="7">
        <v>0.79</v>
      </c>
    </row>
    <row r="18062" spans="1:4" x14ac:dyDescent="0.25">
      <c r="A18062" t="str">
        <f>HYPERLINK("https://www.773grp.com/globalSearch/74AUP2GU04GM132/page-1", "74AUP2GU04GM132")</f>
        <v>74AUP2GU04GM132</v>
      </c>
      <c r="B18062" s="3" t="str">
        <f>HYPERLINK("https://www.773grp.com/manufacturer/nxp-semiconductor?pageNo=16", "NXP Semiconductors")</f>
        <v>NXP Semiconductors</v>
      </c>
      <c r="C18062" s="6">
        <v>5000</v>
      </c>
      <c r="D18062" s="7">
        <v>0.79</v>
      </c>
    </row>
    <row r="18063" spans="1:4" x14ac:dyDescent="0.25">
      <c r="A18063" t="str">
        <f>HYPERLINK("https://www.773grp.com/globalSearch/74AUP3G04DC125/page-1", "74AUP3G04DC125")</f>
        <v>74AUP3G04DC125</v>
      </c>
      <c r="B18063" s="3" t="str">
        <f>HYPERLINK("https://www.773grp.com/manufacturer/nxp-semiconductor?pageNo=17", "NXP Semiconductors")</f>
        <v>NXP Semiconductors</v>
      </c>
      <c r="C18063" s="6">
        <v>6000</v>
      </c>
      <c r="D18063" s="7">
        <v>0.79</v>
      </c>
    </row>
    <row r="18064" spans="1:4" x14ac:dyDescent="0.25">
      <c r="A18064" t="str">
        <f>HYPERLINK("https://www.773grp.com/globalSearch/74AUP3G04GD125/page-1", "74AUP3G04GD125")</f>
        <v>74AUP3G04GD125</v>
      </c>
      <c r="B18064" s="3" t="str">
        <f>HYPERLINK("https://www.773grp.com/manufacturer/nxp-semiconductor?pageNo=18", "NXP Semiconductors")</f>
        <v>NXP Semiconductors</v>
      </c>
      <c r="C18064" s="6">
        <v>250</v>
      </c>
      <c r="D18064" s="7">
        <v>0.79</v>
      </c>
    </row>
    <row r="18065" spans="1:4" x14ac:dyDescent="0.25">
      <c r="A18065" t="str">
        <f>HYPERLINK("https://www.773grp.com/globalSearch/74AVC2T45DC125/page-1", "74AVC2T45DC125")</f>
        <v>74AVC2T45DC125</v>
      </c>
      <c r="B18065" s="3" t="str">
        <f>HYPERLINK("https://www.773grp.com/manufacturer/nxp-semiconductor?pageNo=19", "NXP Semiconductors")</f>
        <v>NXP Semiconductors</v>
      </c>
      <c r="C18065" s="6">
        <v>14615</v>
      </c>
      <c r="D18065" s="7">
        <v>0.79</v>
      </c>
    </row>
    <row r="18066" spans="1:4" x14ac:dyDescent="0.25">
      <c r="A18066" t="str">
        <f>HYPERLINK("https://www.773grp.com/globalSearch/74AVC2T45GD125/page-1", "74AVC2T45GD125")</f>
        <v>74AVC2T45GD125</v>
      </c>
      <c r="B18066" s="3" t="str">
        <f>HYPERLINK("https://www.773grp.com/manufacturer/nxp-semiconductor?pageNo=20", "NXP Semiconductors")</f>
        <v>NXP Semiconductors</v>
      </c>
      <c r="C18066" s="6">
        <v>3300</v>
      </c>
      <c r="D18066" s="7">
        <v>0.79</v>
      </c>
    </row>
    <row r="18067" spans="1:4" x14ac:dyDescent="0.25">
      <c r="A18067" t="str">
        <f>HYPERLINK("https://www.773grp.com/globalSearch/74AVCH2T45GD125/page-1", "74AVCH2T45GD125")</f>
        <v>74AVCH2T45GD125</v>
      </c>
      <c r="B18067" s="3" t="str">
        <f>HYPERLINK("https://www.773grp.com/manufacturer/nxp-semiconductor?pageNo=21", "NXP Semiconductors")</f>
        <v>NXP Semiconductors</v>
      </c>
      <c r="C18067" s="6">
        <v>300</v>
      </c>
      <c r="D18067" s="7">
        <v>0.79</v>
      </c>
    </row>
    <row r="18068" spans="1:4" x14ac:dyDescent="0.25">
      <c r="A18068" t="str">
        <f>HYPERLINK("https://www.773grp.com/globalSearch/74CBTLV1G125GN132/page-1", "74CBTLV1G125GN132")</f>
        <v>74CBTLV1G125GN132</v>
      </c>
      <c r="B18068" s="3" t="str">
        <f>HYPERLINK("https://www.773grp.com/manufacturer/nxp-semiconductor?pageNo=22", "NXP Semiconductors")</f>
        <v>NXP Semiconductors</v>
      </c>
      <c r="C18068" s="6">
        <v>300</v>
      </c>
      <c r="D18068" s="7">
        <v>0.79</v>
      </c>
    </row>
    <row r="18069" spans="1:4" x14ac:dyDescent="0.25">
      <c r="A18069" t="str">
        <f>HYPERLINK("https://www.773grp.com/globalSearch/74CBTLV3125BQ115/page-1", "74CBTLV3125BQ115")</f>
        <v>74CBTLV3125BQ115</v>
      </c>
      <c r="B18069" s="3" t="str">
        <f>HYPERLINK("https://www.773grp.com/manufacturer/nxp-semiconductor?pageNo=23", "NXP Semiconductors")</f>
        <v>NXP Semiconductors</v>
      </c>
      <c r="C18069" s="6">
        <v>12212</v>
      </c>
      <c r="D18069" s="7">
        <v>0.79</v>
      </c>
    </row>
    <row r="18070" spans="1:4" x14ac:dyDescent="0.25">
      <c r="A18070" t="str">
        <f>HYPERLINK("https://www.773grp.com/globalSearch/74CBTLV3125PW118/page-1", "74CBTLV3125PW118")</f>
        <v>74CBTLV3125PW118</v>
      </c>
      <c r="B18070" s="3" t="str">
        <f>HYPERLINK("https://www.773grp.com/manufacturer/nxp-semiconductor?pageNo=24", "NXP Semiconductors")</f>
        <v>NXP Semiconductors</v>
      </c>
      <c r="C18070" s="6">
        <v>10000</v>
      </c>
      <c r="D18070" s="7">
        <v>0.79</v>
      </c>
    </row>
    <row r="18071" spans="1:4" x14ac:dyDescent="0.25">
      <c r="A18071" t="str">
        <f>HYPERLINK("https://www.773grp.com/globalSearch/74CBTLV3126BQ115/page-1", "74CBTLV3126BQ115")</f>
        <v>74CBTLV3126BQ115</v>
      </c>
      <c r="B18071" s="3" t="str">
        <f>HYPERLINK("https://www.773grp.com/manufacturer/nxp-semiconductor?pageNo=25", "NXP Semiconductors")</f>
        <v>NXP Semiconductors</v>
      </c>
      <c r="C18071" s="6">
        <v>300</v>
      </c>
      <c r="D18071" s="7">
        <v>0.79</v>
      </c>
    </row>
    <row r="18072" spans="1:4" x14ac:dyDescent="0.25">
      <c r="A18072" t="str">
        <f>HYPERLINK("https://www.773grp.com/globalSearch/74CBTLV3126PW118/page-1", "74CBTLV3126PW118")</f>
        <v>74CBTLV3126PW118</v>
      </c>
      <c r="B18072" s="3" t="str">
        <f>HYPERLINK("https://www.773grp.com/manufacturer/nxp-semiconductor?pageNo=26", "NXP Semiconductors")</f>
        <v>NXP Semiconductors</v>
      </c>
      <c r="C18072" s="6">
        <v>180</v>
      </c>
      <c r="D18072" s="7">
        <v>0.79</v>
      </c>
    </row>
    <row r="18073" spans="1:4" x14ac:dyDescent="0.25">
      <c r="A18073" t="str">
        <f>HYPERLINK("https://www.773grp.com/globalSearch/74CBTLV3244PW118/page-1", "74CBTLV3244PW118")</f>
        <v>74CBTLV3244PW118</v>
      </c>
      <c r="B18073" s="3" t="str">
        <f>HYPERLINK("https://www.773grp.com/manufacturer/nxp-semiconductor?pageNo=27", "NXP Semiconductors")</f>
        <v>NXP Semiconductors</v>
      </c>
      <c r="C18073" s="6">
        <v>2200</v>
      </c>
      <c r="D18073" s="7">
        <v>0.79</v>
      </c>
    </row>
    <row r="18074" spans="1:4" x14ac:dyDescent="0.25">
      <c r="A18074" t="str">
        <f>HYPERLINK("https://www.773grp.com/globalSearch/74CBTLV3245PW118/page-1", "74CBTLV3245PW118")</f>
        <v>74CBTLV3245PW118</v>
      </c>
      <c r="B18074" s="3" t="str">
        <f>HYPERLINK("https://www.773grp.com/manufacturer/nxp-semiconductor?pageNo=28", "NXP Semiconductors")</f>
        <v>NXP Semiconductors</v>
      </c>
      <c r="C18074" s="6">
        <v>5000</v>
      </c>
      <c r="D18074" s="7">
        <v>0.79</v>
      </c>
    </row>
    <row r="18075" spans="1:4" x14ac:dyDescent="0.25">
      <c r="A18075" t="str">
        <f>HYPERLINK("https://www.773grp.com/globalSearch/74HC109DB112/page-1", "74HC109DB112")</f>
        <v>74HC109DB112</v>
      </c>
      <c r="B18075" s="3" t="str">
        <f>HYPERLINK("https://www.773grp.com/manufacturer/nxp-semiconductor?pageNo=29", "NXP Semiconductors")</f>
        <v>NXP Semiconductors</v>
      </c>
      <c r="C18075" s="6">
        <v>5075</v>
      </c>
      <c r="D18075" s="7">
        <v>0.79</v>
      </c>
    </row>
    <row r="18076" spans="1:4" x14ac:dyDescent="0.25">
      <c r="A18076" t="str">
        <f>HYPERLINK("https://www.773grp.com/globalSearch/74HC139DB112/page-1", "74HC139DB112")</f>
        <v>74HC139DB112</v>
      </c>
      <c r="B18076" s="3" t="str">
        <f>HYPERLINK("https://www.773grp.com/manufacturer/nxp-semiconductor?pageNo=30", "NXP Semiconductors")</f>
        <v>NXP Semiconductors</v>
      </c>
      <c r="C18076" s="6">
        <v>3276</v>
      </c>
      <c r="D18076" s="7">
        <v>0.79</v>
      </c>
    </row>
    <row r="18077" spans="1:4" x14ac:dyDescent="0.25">
      <c r="A18077" t="str">
        <f>HYPERLINK("https://www.773grp.com/globalSearch/74HC191D652/page-1", "74HC191D652")</f>
        <v>74HC191D652</v>
      </c>
      <c r="B18077" s="3" t="str">
        <f>HYPERLINK("https://www.773grp.com/manufacturer/nxp-semiconductor?pageNo=31", "NXP Semiconductors")</f>
        <v>NXP Semiconductors</v>
      </c>
      <c r="C18077" s="6">
        <v>2500</v>
      </c>
      <c r="D18077" s="7">
        <v>0.79</v>
      </c>
    </row>
    <row r="18078" spans="1:4" x14ac:dyDescent="0.25">
      <c r="A18078" t="str">
        <f>HYPERLINK("https://www.773grp.com/globalSearch/74HC241PW118/page-1", "74HC241PW118")</f>
        <v>74HC241PW118</v>
      </c>
      <c r="B18078" s="3" t="str">
        <f>HYPERLINK("https://www.773grp.com/manufacturer/nxp-semiconductor?pageNo=32", "NXP Semiconductors")</f>
        <v>NXP Semiconductors</v>
      </c>
      <c r="C18078" s="6">
        <v>200</v>
      </c>
      <c r="D18078" s="7">
        <v>0.79</v>
      </c>
    </row>
    <row r="18079" spans="1:4" x14ac:dyDescent="0.25">
      <c r="A18079" t="str">
        <f>HYPERLINK("https://www.773grp.com/globalSearch/74HC27DB112/page-1", "74HC27DB112")</f>
        <v>74HC27DB112</v>
      </c>
      <c r="B18079" s="3" t="str">
        <f>HYPERLINK("https://www.773grp.com/manufacturer/nxp-semiconductor?pageNo=33", "NXP Semiconductors")</f>
        <v>NXP Semiconductors</v>
      </c>
      <c r="C18079" s="6">
        <v>1092</v>
      </c>
      <c r="D18079" s="7">
        <v>0.79</v>
      </c>
    </row>
    <row r="18080" spans="1:4" x14ac:dyDescent="0.25">
      <c r="A18080" t="str">
        <f>HYPERLINK("https://www.773grp.com/globalSearch/74HC3G06DP125/page-1", "74HC3G06DP125")</f>
        <v>74HC3G06DP125</v>
      </c>
      <c r="B18080" s="3" t="str">
        <f>HYPERLINK("https://www.773grp.com/manufacturer/nxp-semiconductor?pageNo=34", "NXP Semiconductors")</f>
        <v>NXP Semiconductors</v>
      </c>
      <c r="C18080" s="6">
        <v>3046</v>
      </c>
      <c r="D18080" s="7">
        <v>0.79</v>
      </c>
    </row>
    <row r="18081" spans="1:4" x14ac:dyDescent="0.25">
      <c r="A18081" t="str">
        <f>HYPERLINK("https://www.773grp.com/globalSearch/74HC3G07DC125/page-1", "74HC3G07DC125")</f>
        <v>74HC3G07DC125</v>
      </c>
      <c r="B18081" s="3" t="str">
        <f>HYPERLINK("https://www.773grp.com/manufacturer/nxp-semiconductor?pageNo=35", "NXP Semiconductors")</f>
        <v>NXP Semiconductors</v>
      </c>
      <c r="C18081" s="6">
        <v>3000</v>
      </c>
      <c r="D18081" s="7">
        <v>0.79</v>
      </c>
    </row>
    <row r="18082" spans="1:4" x14ac:dyDescent="0.25">
      <c r="A18082" t="str">
        <f>HYPERLINK("https://www.773grp.com/globalSearch/74HC3G07GD125/page-1", "74HC3G07GD125")</f>
        <v>74HC3G07GD125</v>
      </c>
      <c r="B18082" s="3" t="str">
        <f>HYPERLINK("https://www.773grp.com/manufacturer/nxp-semiconductor?pageNo=36", "NXP Semiconductors")</f>
        <v>NXP Semiconductors</v>
      </c>
      <c r="C18082" s="6">
        <v>6000</v>
      </c>
      <c r="D18082" s="7">
        <v>0.79</v>
      </c>
    </row>
    <row r="18083" spans="1:4" x14ac:dyDescent="0.25">
      <c r="A18083" t="str">
        <f>HYPERLINK("https://www.773grp.com/globalSearch/74HC3G14DC125/page-1", "74HC3G14DC125")</f>
        <v>74HC3G14DC125</v>
      </c>
      <c r="B18083" s="3" t="str">
        <f>HYPERLINK("https://www.773grp.com/manufacturer/nxp-semiconductor?pageNo=37", "NXP Semiconductors")</f>
        <v>NXP Semiconductors</v>
      </c>
      <c r="C18083" s="6">
        <v>5600</v>
      </c>
      <c r="D18083" s="7">
        <v>0.79</v>
      </c>
    </row>
    <row r="18084" spans="1:4" x14ac:dyDescent="0.25">
      <c r="A18084" t="str">
        <f>HYPERLINK("https://www.773grp.com/globalSearch/74HC3G14GD125/page-1", "74HC3G14GD125")</f>
        <v>74HC3G14GD125</v>
      </c>
      <c r="B18084" s="3" t="str">
        <f>HYPERLINK("https://www.773grp.com/manufacturer/nxp-semiconductor?pageNo=38", "NXP Semiconductors")</f>
        <v>NXP Semiconductors</v>
      </c>
      <c r="C18084" s="6">
        <v>3000</v>
      </c>
      <c r="D18084" s="7">
        <v>0.79</v>
      </c>
    </row>
    <row r="18085" spans="1:4" x14ac:dyDescent="0.25">
      <c r="A18085" t="str">
        <f>HYPERLINK("https://www.773grp.com/globalSearch/74HC3G34DP125/page-1", "74HC3G34DP125")</f>
        <v>74HC3G34DP125</v>
      </c>
      <c r="B18085" s="3" t="str">
        <f>HYPERLINK("https://www.773grp.com/manufacturer/nxp-semiconductor?pageNo=39", "NXP Semiconductors")</f>
        <v>NXP Semiconductors</v>
      </c>
      <c r="C18085" s="6">
        <v>6000</v>
      </c>
      <c r="D18085" s="7">
        <v>0.79</v>
      </c>
    </row>
    <row r="18086" spans="1:4" x14ac:dyDescent="0.25">
      <c r="A18086" t="str">
        <f>HYPERLINK("https://www.773grp.com/globalSearch/74HC3G34GD125/page-1", "74HC3G34GD125")</f>
        <v>74HC3G34GD125</v>
      </c>
      <c r="B18086" s="3" t="str">
        <f>HYPERLINK("https://www.773grp.com/manufacturer/nxp-semiconductor?pageNo=40", "NXP Semiconductors")</f>
        <v>NXP Semiconductors</v>
      </c>
      <c r="C18086" s="6">
        <v>200</v>
      </c>
      <c r="D18086" s="7">
        <v>0.79</v>
      </c>
    </row>
    <row r="18087" spans="1:4" x14ac:dyDescent="0.25">
      <c r="A18087" t="str">
        <f>HYPERLINK("https://www.773grp.com/globalSearch/74HC3GU04DP125/page-1", "74HC3GU04DP125")</f>
        <v>74HC3GU04DP125</v>
      </c>
      <c r="B18087" s="3" t="str">
        <f>HYPERLINK("https://www.773grp.com/manufacturer/nxp-semiconductor?pageNo=41", "NXP Semiconductors")</f>
        <v>NXP Semiconductors</v>
      </c>
      <c r="C18087" s="6">
        <v>200</v>
      </c>
      <c r="D18087" s="7">
        <v>0.79</v>
      </c>
    </row>
    <row r="18088" spans="1:4" x14ac:dyDescent="0.25">
      <c r="A18088" t="str">
        <f>HYPERLINK("https://www.773grp.com/globalSearch/74HC590D118/page-1", "74HC590D118")</f>
        <v>74HC590D118</v>
      </c>
      <c r="B18088" s="3" t="str">
        <f>HYPERLINK("https://www.773grp.com/manufacturer/nxp-semiconductor?pageNo=42", "NXP Semiconductors")</f>
        <v>NXP Semiconductors</v>
      </c>
      <c r="C18088" s="6">
        <v>418</v>
      </c>
      <c r="D18088" s="7">
        <v>0.79</v>
      </c>
    </row>
    <row r="18089" spans="1:4" x14ac:dyDescent="0.25">
      <c r="A18089" t="str">
        <f>HYPERLINK("https://www.773grp.com/globalSearch/74HC590PW118/page-1", "74HC590PW118")</f>
        <v>74HC590PW118</v>
      </c>
      <c r="B18089" s="3" t="str">
        <f>HYPERLINK("https://www.773grp.com/manufacturer/nxp-semiconductor?pageNo=43", "NXP Semiconductors")</f>
        <v>NXP Semiconductors</v>
      </c>
      <c r="C18089" s="6">
        <v>68</v>
      </c>
      <c r="D18089" s="7">
        <v>0.79</v>
      </c>
    </row>
    <row r="18090" spans="1:4" x14ac:dyDescent="0.25">
      <c r="A18090" t="str">
        <f>HYPERLINK("https://www.773grp.com/globalSearch/74HC85D652/page-1", "74HC85D652")</f>
        <v>74HC85D652</v>
      </c>
      <c r="B18090" s="3" t="str">
        <f>HYPERLINK("https://www.773grp.com/manufacturer/nxp-semiconductor?pageNo=44", "NXP Semiconductors")</f>
        <v>NXP Semiconductors</v>
      </c>
      <c r="C18090" s="6">
        <v>6082</v>
      </c>
      <c r="D18090" s="7">
        <v>0.79</v>
      </c>
    </row>
    <row r="18091" spans="1:4" x14ac:dyDescent="0.25">
      <c r="A18091" t="str">
        <f>HYPERLINK("https://www.773grp.com/globalSearch/74HCT109DB112/page-1", "74HCT109DB112")</f>
        <v>74HCT109DB112</v>
      </c>
      <c r="B18091" s="3" t="str">
        <f>HYPERLINK("https://www.773grp.com/manufacturer/nxp-semiconductor?pageNo=45", "NXP Semiconductors")</f>
        <v>NXP Semiconductors</v>
      </c>
      <c r="C18091" s="6">
        <v>2439</v>
      </c>
      <c r="D18091" s="7">
        <v>0.79</v>
      </c>
    </row>
    <row r="18092" spans="1:4" x14ac:dyDescent="0.25">
      <c r="A18092" t="str">
        <f>HYPERLINK("https://www.773grp.com/globalSearch/74HCT161D653/page-1", "74HCT161D653")</f>
        <v>74HCT161D653</v>
      </c>
      <c r="B18092" s="3" t="str">
        <f>HYPERLINK("https://www.773grp.com/manufacturer/nxp-semiconductor?pageNo=46", "NXP Semiconductors")</f>
        <v>NXP Semiconductors</v>
      </c>
      <c r="C18092" s="6">
        <v>2500</v>
      </c>
      <c r="D18092" s="7">
        <v>0.79</v>
      </c>
    </row>
    <row r="18093" spans="1:4" x14ac:dyDescent="0.25">
      <c r="A18093" t="str">
        <f>HYPERLINK("https://www.773grp.com/globalSearch/74HCT163D653/page-1", "74HCT163D653")</f>
        <v>74HCT163D653</v>
      </c>
      <c r="B18093" s="3" t="str">
        <f>HYPERLINK("https://www.773grp.com/manufacturer/nxp-semiconductor?pageNo=47", "NXP Semiconductors")</f>
        <v>NXP Semiconductors</v>
      </c>
      <c r="C18093" s="6">
        <v>4725</v>
      </c>
      <c r="D18093" s="7">
        <v>0.79</v>
      </c>
    </row>
    <row r="18094" spans="1:4" x14ac:dyDescent="0.25">
      <c r="A18094" t="str">
        <f>HYPERLINK("https://www.773grp.com/globalSearch/74HCT165D652/page-1", "74HCT165D652")</f>
        <v>74HCT165D652</v>
      </c>
      <c r="B18094" s="3" t="str">
        <f>HYPERLINK("https://www.773grp.com/manufacturer/nxp-semiconductor?pageNo=48", "NXP Semiconductors")</f>
        <v>NXP Semiconductors</v>
      </c>
      <c r="C18094" s="6">
        <v>12000</v>
      </c>
      <c r="D18094" s="7">
        <v>0.79</v>
      </c>
    </row>
    <row r="18095" spans="1:4" x14ac:dyDescent="0.25">
      <c r="A18095" t="str">
        <f>HYPERLINK("https://www.773grp.com/globalSearch/74HCT165D653/page-1", "74HCT165D653")</f>
        <v>74HCT165D653</v>
      </c>
      <c r="B18095" s="3" t="str">
        <f>HYPERLINK("https://www.773grp.com/manufacturer/nxp-semiconductor?pageNo=1", "NXP Semiconductors")</f>
        <v>NXP Semiconductors</v>
      </c>
      <c r="C18095" s="6">
        <v>22500</v>
      </c>
      <c r="D18095" s="7">
        <v>0.79</v>
      </c>
    </row>
    <row r="18096" spans="1:4" x14ac:dyDescent="0.25">
      <c r="A18096" t="str">
        <f>HYPERLINK("https://www.773grp.com/globalSearch/74HCT166D652/page-1", "74HCT166D652")</f>
        <v>74HCT166D652</v>
      </c>
      <c r="B18096" s="3" t="str">
        <f>HYPERLINK("https://www.773grp.com/manufacturer/nxp-semiconductor?pageNo=2", "NXP Semiconductors")</f>
        <v>NXP Semiconductors</v>
      </c>
      <c r="C18096" s="6">
        <v>7775</v>
      </c>
      <c r="D18096" s="7">
        <v>0.79</v>
      </c>
    </row>
    <row r="18097" spans="1:4" x14ac:dyDescent="0.25">
      <c r="A18097" t="str">
        <f>HYPERLINK("https://www.773grp.com/globalSearch/74HCT166D653/page-1", "74HCT166D653")</f>
        <v>74HCT166D653</v>
      </c>
      <c r="B18097" s="3" t="str">
        <f>HYPERLINK("https://www.773grp.com/manufacturer/nxp-semiconductor?pageNo=3", "NXP Semiconductors")</f>
        <v>NXP Semiconductors</v>
      </c>
      <c r="C18097" s="6">
        <v>5000</v>
      </c>
      <c r="D18097" s="7">
        <v>0.79</v>
      </c>
    </row>
    <row r="18098" spans="1:4" x14ac:dyDescent="0.25">
      <c r="A18098" t="str">
        <f>HYPERLINK("https://www.773grp.com/globalSearch/74HCT174DB112/page-1", "74HCT174DB112")</f>
        <v>74HCT174DB112</v>
      </c>
      <c r="B18098" s="3" t="str">
        <f>HYPERLINK("https://www.773grp.com/manufacturer/nxp-semiconductor?pageNo=4", "NXP Semiconductors")</f>
        <v>NXP Semiconductors</v>
      </c>
      <c r="C18098" s="6">
        <v>1092</v>
      </c>
      <c r="D18098" s="7">
        <v>0.79</v>
      </c>
    </row>
    <row r="18099" spans="1:4" x14ac:dyDescent="0.25">
      <c r="A18099" t="str">
        <f>HYPERLINK("https://www.773grp.com/globalSearch/74HCT175D652/page-1", "74HCT175D652")</f>
        <v>74HCT175D652</v>
      </c>
      <c r="B18099" s="3" t="str">
        <f>HYPERLINK("https://www.773grp.com/manufacturer/nxp-semiconductor?pageNo=5", "NXP Semiconductors")</f>
        <v>NXP Semiconductors</v>
      </c>
      <c r="C18099" s="6">
        <v>2000</v>
      </c>
      <c r="D18099" s="7">
        <v>0.79</v>
      </c>
    </row>
    <row r="18100" spans="1:4" x14ac:dyDescent="0.25">
      <c r="A18100" t="str">
        <f>HYPERLINK("https://www.773grp.com/globalSearch/74HCT175D653/page-1", "74HCT175D653")</f>
        <v>74HCT175D653</v>
      </c>
      <c r="B18100" s="3" t="str">
        <f>HYPERLINK("https://www.773grp.com/manufacturer/nxp-semiconductor?pageNo=6", "NXP Semiconductors")</f>
        <v>NXP Semiconductors</v>
      </c>
      <c r="C18100" s="6">
        <v>2700</v>
      </c>
      <c r="D18100" s="7">
        <v>0.79</v>
      </c>
    </row>
    <row r="18101" spans="1:4" x14ac:dyDescent="0.25">
      <c r="A18101" t="str">
        <f>HYPERLINK("https://www.773grp.com/globalSearch/74HCT2G08DC125/page-1", "74HCT2G08DC125")</f>
        <v>74HCT2G08DC125</v>
      </c>
      <c r="B18101" s="3" t="str">
        <f>HYPERLINK("https://www.773grp.com/manufacturer/nxp-semiconductor?pageNo=7", "NXP Semiconductors")</f>
        <v>NXP Semiconductors</v>
      </c>
      <c r="C18101" s="6">
        <v>150</v>
      </c>
      <c r="D18101" s="7">
        <v>0.79</v>
      </c>
    </row>
    <row r="18102" spans="1:4" x14ac:dyDescent="0.25">
      <c r="A18102" t="str">
        <f>HYPERLINK("https://www.773grp.com/globalSearch/74HCT2G125DC125/page-1", "74HCT2G125DC125")</f>
        <v>74HCT2G125DC125</v>
      </c>
      <c r="B18102" s="3" t="str">
        <f>HYPERLINK("https://www.773grp.com/manufacturer/nxp-semiconductor?pageNo=8", "NXP Semiconductors")</f>
        <v>NXP Semiconductors</v>
      </c>
      <c r="C18102" s="6">
        <v>3000</v>
      </c>
      <c r="D18102" s="7">
        <v>0.79</v>
      </c>
    </row>
    <row r="18103" spans="1:4" x14ac:dyDescent="0.25">
      <c r="A18103" t="str">
        <f>HYPERLINK("https://www.773grp.com/globalSearch/74HCT2G66DP125/page-1", "74HCT2G66DP125")</f>
        <v>74HCT2G66DP125</v>
      </c>
      <c r="B18103" s="3" t="str">
        <f>HYPERLINK("https://www.773grp.com/manufacturer/nxp-semiconductor?pageNo=9", "NXP Semiconductors")</f>
        <v>NXP Semiconductors</v>
      </c>
      <c r="C18103" s="6">
        <v>27100</v>
      </c>
      <c r="D18103" s="7">
        <v>0.79</v>
      </c>
    </row>
    <row r="18104" spans="1:4" x14ac:dyDescent="0.25">
      <c r="A18104" t="str">
        <f>HYPERLINK("https://www.773grp.com/globalSearch/74HCT390D652/page-1", "74HCT390D652")</f>
        <v>74HCT390D652</v>
      </c>
      <c r="B18104" s="3" t="str">
        <f>HYPERLINK("https://www.773grp.com/manufacturer/nxp-semiconductor?pageNo=10", "NXP Semiconductors")</f>
        <v>NXP Semiconductors</v>
      </c>
      <c r="C18104" s="6">
        <v>3000</v>
      </c>
      <c r="D18104" s="7">
        <v>0.79</v>
      </c>
    </row>
    <row r="18105" spans="1:4" x14ac:dyDescent="0.25">
      <c r="A18105" t="str">
        <f>HYPERLINK("https://www.773grp.com/globalSearch/74HCT3G06GD125/page-1", "74HCT3G06GD125")</f>
        <v>74HCT3G06GD125</v>
      </c>
      <c r="B18105" s="3" t="str">
        <f>HYPERLINK("https://www.773grp.com/manufacturer/nxp-semiconductor?pageNo=11", "NXP Semiconductors")</f>
        <v>NXP Semiconductors</v>
      </c>
      <c r="C18105" s="6">
        <v>228</v>
      </c>
      <c r="D18105" s="7">
        <v>0.79</v>
      </c>
    </row>
    <row r="18106" spans="1:4" x14ac:dyDescent="0.25">
      <c r="A18106" t="str">
        <f>HYPERLINK("https://www.773grp.com/globalSearch/74HCT3G34DC125/page-1", "74HCT3G34DC125")</f>
        <v>74HCT3G34DC125</v>
      </c>
      <c r="B18106" s="3" t="str">
        <f>HYPERLINK("https://www.773grp.com/manufacturer/nxp-semiconductor?pageNo=12", "NXP Semiconductors")</f>
        <v>NXP Semiconductors</v>
      </c>
      <c r="C18106" s="6">
        <v>150</v>
      </c>
      <c r="D18106" s="7">
        <v>0.79</v>
      </c>
    </row>
    <row r="18107" spans="1:4" x14ac:dyDescent="0.25">
      <c r="A18107" t="str">
        <f>HYPERLINK("https://www.773grp.com/globalSearch/74HCT3G34GD125/page-1", "74HCT3G34GD125")</f>
        <v>74HCT3G34GD125</v>
      </c>
      <c r="B18107" s="3" t="str">
        <f>HYPERLINK("https://www.773grp.com/manufacturer/nxp-semiconductor?pageNo=13", "NXP Semiconductors")</f>
        <v>NXP Semiconductors</v>
      </c>
      <c r="C18107" s="6">
        <v>3249</v>
      </c>
      <c r="D18107" s="7">
        <v>0.79</v>
      </c>
    </row>
    <row r="18108" spans="1:4" x14ac:dyDescent="0.25">
      <c r="A18108" t="str">
        <f>HYPERLINK("https://www.773grp.com/globalSearch/74HCT4075D653/page-1", "74HCT4075D653")</f>
        <v>74HCT4075D653</v>
      </c>
      <c r="B18108" s="3" t="str">
        <f>HYPERLINK("https://www.773grp.com/manufacturer/nxp-semiconductor?pageNo=14", "NXP Semiconductors")</f>
        <v>NXP Semiconductors</v>
      </c>
      <c r="C18108" s="6">
        <v>2500</v>
      </c>
      <c r="D18108" s="7">
        <v>0.79</v>
      </c>
    </row>
    <row r="18109" spans="1:4" x14ac:dyDescent="0.25">
      <c r="A18109" t="str">
        <f>HYPERLINK("https://www.773grp.com/globalSearch/74HCT4075PW112/page-1", "74HCT4075PW112")</f>
        <v>74HCT4075PW112</v>
      </c>
      <c r="B18109" s="3" t="str">
        <f>HYPERLINK("https://www.773grp.com/manufacturer/nxp-semiconductor?pageNo=15", "NXP Semiconductors")</f>
        <v>NXP Semiconductors</v>
      </c>
      <c r="C18109" s="6">
        <v>2400</v>
      </c>
      <c r="D18109" s="7">
        <v>0.79</v>
      </c>
    </row>
    <row r="18110" spans="1:4" x14ac:dyDescent="0.25">
      <c r="A18110" t="str">
        <f>HYPERLINK("https://www.773grp.com/globalSearch/74HCT423D112/page-1", "74HCT423D112")</f>
        <v>74HCT423D112</v>
      </c>
      <c r="B18110" s="3" t="str">
        <f>HYPERLINK("https://www.773grp.com/manufacturer/nxp-semiconductor?pageNo=16", "NXP Semiconductors")</f>
        <v>NXP Semiconductors</v>
      </c>
      <c r="C18110" s="6">
        <v>4000</v>
      </c>
      <c r="D18110" s="7">
        <v>0.79</v>
      </c>
    </row>
    <row r="18111" spans="1:4" x14ac:dyDescent="0.25">
      <c r="A18111" t="str">
        <f>HYPERLINK("https://www.773grp.com/globalSearch/74LV132BQ115/page-1", "74LV132BQ115")</f>
        <v>74LV132BQ115</v>
      </c>
      <c r="B18111" s="3" t="str">
        <f>HYPERLINK("https://www.773grp.com/manufacturer/nxp-semiconductor?pageNo=17", "NXP Semiconductors")</f>
        <v>NXP Semiconductors</v>
      </c>
      <c r="C18111" s="6">
        <v>12150</v>
      </c>
      <c r="D18111" s="7">
        <v>0.79</v>
      </c>
    </row>
    <row r="18112" spans="1:4" x14ac:dyDescent="0.25">
      <c r="A18112" t="str">
        <f>HYPERLINK("https://www.773grp.com/globalSearch/74LV4051PW118/page-1", "74LV4051PW118")</f>
        <v>74LV4051PW118</v>
      </c>
      <c r="B18112" s="3" t="str">
        <f>HYPERLINK("https://www.773grp.com/manufacturer/nxp-semiconductor?pageNo=18", "NXP Semiconductors")</f>
        <v>NXP Semiconductors</v>
      </c>
      <c r="C18112" s="6">
        <v>117500</v>
      </c>
      <c r="D18112" s="7">
        <v>0.79</v>
      </c>
    </row>
    <row r="18113" spans="1:4" x14ac:dyDescent="0.25">
      <c r="A18113" t="str">
        <f>HYPERLINK("https://www.773grp.com/globalSearch/74LVC109D112/page-1", "74LVC109D112")</f>
        <v>74LVC109D112</v>
      </c>
      <c r="B18113" s="3" t="str">
        <f>HYPERLINK("https://www.773grp.com/manufacturer/nxp-semiconductor?pageNo=19", "NXP Semiconductors")</f>
        <v>NXP Semiconductors</v>
      </c>
      <c r="C18113" s="6">
        <v>4000</v>
      </c>
      <c r="D18113" s="7">
        <v>0.79</v>
      </c>
    </row>
    <row r="18114" spans="1:4" x14ac:dyDescent="0.25">
      <c r="A18114" t="str">
        <f>HYPERLINK("https://www.773grp.com/globalSearch/74LVC109PW118/page-1", "74LVC109PW118")</f>
        <v>74LVC109PW118</v>
      </c>
      <c r="B18114" s="3" t="str">
        <f>HYPERLINK("https://www.773grp.com/manufacturer/nxp-semiconductor?pageNo=20", "NXP Semiconductors")</f>
        <v>NXP Semiconductors</v>
      </c>
      <c r="C18114" s="6">
        <v>5000</v>
      </c>
      <c r="D18114" s="7">
        <v>0.79</v>
      </c>
    </row>
    <row r="18115" spans="1:4" x14ac:dyDescent="0.25">
      <c r="A18115" t="str">
        <f>HYPERLINK("https://www.773grp.com/globalSearch/74LVC1G08GN132/page-1", "74LVC1G08GN132")</f>
        <v>74LVC1G08GN132</v>
      </c>
      <c r="B18115" s="3" t="str">
        <f>HYPERLINK("https://www.773grp.com/manufacturer/nxp-semiconductor?pageNo=21", "NXP Semiconductors")</f>
        <v>NXP Semiconductors</v>
      </c>
      <c r="C18115" s="6">
        <v>300</v>
      </c>
      <c r="D18115" s="7">
        <v>0.79</v>
      </c>
    </row>
    <row r="18116" spans="1:4" x14ac:dyDescent="0.25">
      <c r="A18116" t="str">
        <f>HYPERLINK("https://www.773grp.com/globalSearch/74LVC1G125GN132/page-1", "74LVC1G125GN132")</f>
        <v>74LVC1G125GN132</v>
      </c>
      <c r="B18116" s="3" t="str">
        <f>HYPERLINK("https://www.773grp.com/manufacturer/nxp-semiconductor?pageNo=22", "NXP Semiconductors")</f>
        <v>NXP Semiconductors</v>
      </c>
      <c r="C18116" s="6">
        <v>95</v>
      </c>
      <c r="D18116" s="7">
        <v>0.79</v>
      </c>
    </row>
    <row r="18117" spans="1:4" x14ac:dyDescent="0.25">
      <c r="A18117" t="str">
        <f>HYPERLINK("https://www.773grp.com/globalSearch/74LVC1G17GF132/page-1", "74LVC1G17GF132")</f>
        <v>74LVC1G17GF132</v>
      </c>
      <c r="B18117" s="3" t="str">
        <f>HYPERLINK("https://www.773grp.com/manufacturer/nxp-semiconductor?pageNo=23", "NXP Semiconductors")</f>
        <v>NXP Semiconductors</v>
      </c>
      <c r="C18117" s="6">
        <v>20000</v>
      </c>
      <c r="D18117" s="7">
        <v>0.79</v>
      </c>
    </row>
    <row r="18118" spans="1:4" x14ac:dyDescent="0.25">
      <c r="A18118" t="str">
        <f>HYPERLINK("https://www.773grp.com/globalSearch/74LVC1G79GN132/page-1", "74LVC1G79GN132")</f>
        <v>74LVC1G79GN132</v>
      </c>
      <c r="B18118" s="3" t="str">
        <f>HYPERLINK("https://www.773grp.com/manufacturer/nxp-semiconductor?pageNo=24", "NXP Semiconductors")</f>
        <v>NXP Semiconductors</v>
      </c>
      <c r="C18118" s="6">
        <v>300</v>
      </c>
      <c r="D18118" s="7">
        <v>0.79</v>
      </c>
    </row>
    <row r="18119" spans="1:4" x14ac:dyDescent="0.25">
      <c r="A18119" t="str">
        <f>HYPERLINK("https://www.773grp.com/globalSearch/74LVC2244ADB112/page-1", "74LVC2244ADB112")</f>
        <v>74LVC2244ADB112</v>
      </c>
      <c r="B18119" s="3" t="str">
        <f>HYPERLINK("https://www.773grp.com/manufacturer/nxp-semiconductor?pageNo=25", "NXP Semiconductors")</f>
        <v>NXP Semiconductors</v>
      </c>
      <c r="C18119" s="6">
        <v>11088</v>
      </c>
      <c r="D18119" s="7">
        <v>0.79</v>
      </c>
    </row>
    <row r="18120" spans="1:4" x14ac:dyDescent="0.25">
      <c r="A18120" t="str">
        <f>HYPERLINK("https://www.773grp.com/globalSearch/74LVC2245AD112/page-1", "74LVC2245AD112")</f>
        <v>74LVC2245AD112</v>
      </c>
      <c r="B18120" s="3" t="str">
        <f>HYPERLINK("https://www.773grp.com/manufacturer/nxp-semiconductor?pageNo=26", "NXP Semiconductors")</f>
        <v>NXP Semiconductors</v>
      </c>
      <c r="C18120" s="6">
        <v>6834</v>
      </c>
      <c r="D18120" s="7">
        <v>0.79</v>
      </c>
    </row>
    <row r="18121" spans="1:4" x14ac:dyDescent="0.25">
      <c r="A18121" t="str">
        <f>HYPERLINK("https://www.773grp.com/globalSearch/74LVC2245ADB118/page-1", "74LVC2245ADB118")</f>
        <v>74LVC2245ADB118</v>
      </c>
      <c r="B18121" s="3" t="str">
        <f>HYPERLINK("https://www.773grp.com/manufacturer/nxp-semiconductor?pageNo=27", "NXP Semiconductors")</f>
        <v>NXP Semiconductors</v>
      </c>
      <c r="C18121" s="6">
        <v>2460</v>
      </c>
      <c r="D18121" s="7">
        <v>0.79</v>
      </c>
    </row>
    <row r="18122" spans="1:4" x14ac:dyDescent="0.25">
      <c r="A18122" t="str">
        <f>HYPERLINK("https://www.773grp.com/globalSearch/74LVC2245APW112/page-1", "74LVC2245APW112")</f>
        <v>74LVC2245APW112</v>
      </c>
      <c r="B18122" s="3" t="str">
        <f>HYPERLINK("https://www.773grp.com/manufacturer/nxp-semiconductor?pageNo=28", "NXP Semiconductors")</f>
        <v>NXP Semiconductors</v>
      </c>
      <c r="C18122" s="6">
        <v>45000</v>
      </c>
      <c r="D18122" s="7">
        <v>0.79</v>
      </c>
    </row>
    <row r="18123" spans="1:4" x14ac:dyDescent="0.25">
      <c r="A18123" t="str">
        <f>HYPERLINK("https://www.773grp.com/globalSearch/74LVC2245APW118/page-1", "74LVC2245APW118")</f>
        <v>74LVC2245APW118</v>
      </c>
      <c r="B18123" s="3" t="str">
        <f>HYPERLINK("https://www.773grp.com/manufacturer/nxp-semiconductor?pageNo=29", "NXP Semiconductors")</f>
        <v>NXP Semiconductors</v>
      </c>
      <c r="C18123" s="6">
        <v>121</v>
      </c>
      <c r="D18123" s="7">
        <v>0.79</v>
      </c>
    </row>
    <row r="18124" spans="1:4" x14ac:dyDescent="0.25">
      <c r="A18124" t="str">
        <f>HYPERLINK("https://www.773grp.com/globalSearch/74LVC2G66GM125/page-1", "74LVC2G66GM125")</f>
        <v>74LVC2G66GM125</v>
      </c>
      <c r="B18124" s="3" t="str">
        <f>HYPERLINK("https://www.773grp.com/manufacturer/nxp-semiconductor?pageNo=30", "NXP Semiconductors")</f>
        <v>NXP Semiconductors</v>
      </c>
      <c r="C18124" s="6">
        <v>150</v>
      </c>
      <c r="D18124" s="7">
        <v>0.79</v>
      </c>
    </row>
    <row r="18125" spans="1:4" x14ac:dyDescent="0.25">
      <c r="A18125" t="str">
        <f>HYPERLINK("https://www.773grp.com/globalSearch/74LVC3G04DC125/page-1", "74LVC3G04DC125")</f>
        <v>74LVC3G04DC125</v>
      </c>
      <c r="B18125" s="3" t="str">
        <f>HYPERLINK("https://www.773grp.com/manufacturer/nxp-semiconductor?pageNo=31", "NXP Semiconductors")</f>
        <v>NXP Semiconductors</v>
      </c>
      <c r="C18125" s="6">
        <v>6000</v>
      </c>
      <c r="D18125" s="7">
        <v>0.79</v>
      </c>
    </row>
    <row r="18126" spans="1:4" x14ac:dyDescent="0.25">
      <c r="A18126" t="str">
        <f>HYPERLINK("https://www.773grp.com/globalSearch/74LVC3G06DC125/page-1", "74LVC3G06DC125")</f>
        <v>74LVC3G06DC125</v>
      </c>
      <c r="B18126" s="3" t="str">
        <f>HYPERLINK("https://www.773grp.com/manufacturer/nxp-semiconductor?pageNo=32", "NXP Semiconductors")</f>
        <v>NXP Semiconductors</v>
      </c>
      <c r="C18126" s="6">
        <v>3000</v>
      </c>
      <c r="D18126" s="7">
        <v>0.79</v>
      </c>
    </row>
    <row r="18127" spans="1:4" x14ac:dyDescent="0.25">
      <c r="A18127" t="str">
        <f>HYPERLINK("https://www.773grp.com/globalSearch/74LVC3G07DC125/page-1", "74LVC3G07DC125")</f>
        <v>74LVC3G07DC125</v>
      </c>
      <c r="B18127" s="3" t="str">
        <f>HYPERLINK("https://www.773grp.com/manufacturer/nxp-semiconductor?pageNo=33", "NXP Semiconductors")</f>
        <v>NXP Semiconductors</v>
      </c>
      <c r="C18127" s="6">
        <v>6000</v>
      </c>
      <c r="D18127" s="7">
        <v>0.79</v>
      </c>
    </row>
    <row r="18128" spans="1:4" x14ac:dyDescent="0.25">
      <c r="A18128" t="str">
        <f>HYPERLINK("https://www.773grp.com/globalSearch/74LVC3G34DC125/page-1", "74LVC3G34DC125")</f>
        <v>74LVC3G34DC125</v>
      </c>
      <c r="B18128" s="3" t="str">
        <f>HYPERLINK("https://www.773grp.com/manufacturer/nxp-semiconductor?pageNo=34", "NXP Semiconductors")</f>
        <v>NXP Semiconductors</v>
      </c>
      <c r="C18128" s="6">
        <v>3000</v>
      </c>
      <c r="D18128" s="7">
        <v>0.79</v>
      </c>
    </row>
    <row r="18129" spans="1:4" x14ac:dyDescent="0.25">
      <c r="A18129" t="str">
        <f>HYPERLINK("https://www.773grp.com/globalSearch/74LVC3GU04DC125/page-1", "74LVC3GU04DC125")</f>
        <v>74LVC3GU04DC125</v>
      </c>
      <c r="B18129" s="3" t="str">
        <f>HYPERLINK("https://www.773grp.com/manufacturer/nxp-semiconductor?pageNo=35", "NXP Semiconductors")</f>
        <v>NXP Semiconductors</v>
      </c>
      <c r="C18129" s="6">
        <v>6000</v>
      </c>
      <c r="D18129" s="7">
        <v>0.79</v>
      </c>
    </row>
    <row r="18130" spans="1:4" x14ac:dyDescent="0.25">
      <c r="A18130" t="str">
        <f>HYPERLINK("https://www.773grp.com/globalSearch/74LVC3GU04GD125/page-1", "74LVC3GU04GD125")</f>
        <v>74LVC3GU04GD125</v>
      </c>
      <c r="B18130" s="3" t="str">
        <f>HYPERLINK("https://www.773grp.com/manufacturer/nxp-semiconductor?pageNo=36", "NXP Semiconductors")</f>
        <v>NXP Semiconductors</v>
      </c>
      <c r="C18130" s="6">
        <v>3250</v>
      </c>
      <c r="D18130" s="7">
        <v>0.79</v>
      </c>
    </row>
    <row r="18131" spans="1:4" x14ac:dyDescent="0.25">
      <c r="A18131" t="str">
        <f>HYPERLINK("https://www.773grp.com/globalSearch/74LVCH244AD112/page-1", "74LVCH244AD112")</f>
        <v>74LVCH244AD112</v>
      </c>
      <c r="B18131" s="3" t="str">
        <f>HYPERLINK("https://www.773grp.com/manufacturer/nxp-semiconductor?pageNo=37", "NXP Semiconductors")</f>
        <v>NXP Semiconductors</v>
      </c>
      <c r="C18131" s="6">
        <v>1520</v>
      </c>
      <c r="D18131" s="7">
        <v>0.79</v>
      </c>
    </row>
    <row r="18132" spans="1:4" x14ac:dyDescent="0.25">
      <c r="A18132" t="str">
        <f>HYPERLINK("https://www.773grp.com/globalSearch/74LVCH2T45GD125/page-1", "74LVCH2T45GD125")</f>
        <v>74LVCH2T45GD125</v>
      </c>
      <c r="B18132" s="3" t="str">
        <f>HYPERLINK("https://www.773grp.com/manufacturer/nxp-semiconductor?pageNo=38", "NXP Semiconductors")</f>
        <v>NXP Semiconductors</v>
      </c>
      <c r="C18132" s="6">
        <v>3250</v>
      </c>
      <c r="D18132" s="7">
        <v>0.79</v>
      </c>
    </row>
    <row r="18133" spans="1:4" x14ac:dyDescent="0.25">
      <c r="A18133" t="str">
        <f>HYPERLINK("https://www.773grp.com/globalSearch/74LVT240PW112/page-1", "74LVT240PW112")</f>
        <v>74LVT240PW112</v>
      </c>
      <c r="B18133" s="3" t="str">
        <f>HYPERLINK("https://www.773grp.com/manufacturer/nxp-semiconductor?pageNo=39", "NXP Semiconductors")</f>
        <v>NXP Semiconductors</v>
      </c>
      <c r="C18133" s="6">
        <v>1000</v>
      </c>
      <c r="D18133" s="7">
        <v>0.79</v>
      </c>
    </row>
    <row r="18134" spans="1:4" x14ac:dyDescent="0.25">
      <c r="A18134" t="str">
        <f>HYPERLINK("https://www.773grp.com/globalSearch/74LVT241PW112/page-1", "74LVT241PW112")</f>
        <v>74LVT241PW112</v>
      </c>
      <c r="B18134" s="3" t="str">
        <f>HYPERLINK("https://www.773grp.com/manufacturer/nxp-semiconductor?pageNo=40", "NXP Semiconductors")</f>
        <v>NXP Semiconductors</v>
      </c>
      <c r="C18134" s="6">
        <v>1875</v>
      </c>
      <c r="D18134" s="7">
        <v>0.79</v>
      </c>
    </row>
    <row r="18135" spans="1:4" x14ac:dyDescent="0.25">
      <c r="A18135" t="str">
        <f>HYPERLINK("https://www.773grp.com/globalSearch/74LVT241PW118/page-1", "74LVT241PW118")</f>
        <v>74LVT241PW118</v>
      </c>
      <c r="B18135" s="3" t="str">
        <f>HYPERLINK("https://www.773grp.com/manufacturer/nxp-semiconductor?pageNo=41", "NXP Semiconductors")</f>
        <v>NXP Semiconductors</v>
      </c>
      <c r="C18135" s="6">
        <v>5640</v>
      </c>
      <c r="D18135" s="7">
        <v>0.79</v>
      </c>
    </row>
    <row r="18136" spans="1:4" x14ac:dyDescent="0.25">
      <c r="A18136" t="str">
        <f>HYPERLINK("https://www.773grp.com/globalSearch/74LVT244ADB112/page-1", "74LVT244ADB112")</f>
        <v>74LVT244ADB112</v>
      </c>
      <c r="B18136" s="3" t="str">
        <f>HYPERLINK("https://www.773grp.com/manufacturer/nxp-semiconductor?pageNo=42", "NXP Semiconductors")</f>
        <v>NXP Semiconductors</v>
      </c>
      <c r="C18136" s="6">
        <v>5544</v>
      </c>
      <c r="D18136" s="7">
        <v>0.79</v>
      </c>
    </row>
    <row r="18137" spans="1:4" x14ac:dyDescent="0.25">
      <c r="A18137" t="str">
        <f>HYPERLINK("https://www.773grp.com/globalSearch/74LVT244ADB118/page-1", "74LVT244ADB118")</f>
        <v>74LVT244ADB118</v>
      </c>
      <c r="B18137" s="3" t="str">
        <f>HYPERLINK("https://www.773grp.com/manufacturer/nxp-semiconductor?pageNo=43", "NXP Semiconductors")</f>
        <v>NXP Semiconductors</v>
      </c>
      <c r="C18137" s="6">
        <v>16000</v>
      </c>
      <c r="D18137" s="7">
        <v>0.79</v>
      </c>
    </row>
    <row r="18138" spans="1:4" x14ac:dyDescent="0.25">
      <c r="A18138" t="str">
        <f>HYPERLINK("https://www.773grp.com/globalSearch/74LVT244BDB112/page-1", "74LVT244BDB112")</f>
        <v>74LVT244BDB112</v>
      </c>
      <c r="B18138" s="3" t="str">
        <f>HYPERLINK("https://www.773grp.com/manufacturer/nxp-semiconductor?pageNo=44", "NXP Semiconductors")</f>
        <v>NXP Semiconductors</v>
      </c>
      <c r="C18138" s="6">
        <v>391</v>
      </c>
      <c r="D18138" s="7">
        <v>0.79</v>
      </c>
    </row>
    <row r="18139" spans="1:4" x14ac:dyDescent="0.25">
      <c r="A18139" t="str">
        <f>HYPERLINK("https://www.773grp.com/globalSearch/74LVT244BDB118/page-1", "74LVT244BDB118")</f>
        <v>74LVT244BDB118</v>
      </c>
      <c r="B18139" s="3" t="str">
        <f>HYPERLINK("https://www.773grp.com/manufacturer/nxp-semiconductor?pageNo=45", "NXP Semiconductors")</f>
        <v>NXP Semiconductors</v>
      </c>
      <c r="C18139" s="6">
        <v>2080</v>
      </c>
      <c r="D18139" s="7">
        <v>0.79</v>
      </c>
    </row>
    <row r="18140" spans="1:4" x14ac:dyDescent="0.25">
      <c r="A18140" t="str">
        <f>HYPERLINK("https://www.773grp.com/globalSearch/74LVT244BPW112/page-1", "74LVT244BPW112")</f>
        <v>74LVT244BPW112</v>
      </c>
      <c r="B18140" s="3" t="str">
        <f>HYPERLINK("https://www.773grp.com/manufacturer/nxp-semiconductor?pageNo=46", "NXP Semiconductors")</f>
        <v>NXP Semiconductors</v>
      </c>
      <c r="C18140" s="6">
        <v>3160</v>
      </c>
      <c r="D18140" s="7">
        <v>0.79</v>
      </c>
    </row>
    <row r="18141" spans="1:4" x14ac:dyDescent="0.25">
      <c r="A18141" t="str">
        <f>HYPERLINK("https://www.773grp.com/globalSearch/74LVT244BPW118/page-1", "74LVT244BPW118")</f>
        <v>74LVT244BPW118</v>
      </c>
      <c r="B18141" s="3" t="str">
        <f>HYPERLINK("https://www.773grp.com/manufacturer/nxp-semiconductor?pageNo=47", "NXP Semiconductors")</f>
        <v>NXP Semiconductors</v>
      </c>
      <c r="C18141" s="6">
        <v>5005</v>
      </c>
      <c r="D18141" s="7">
        <v>0.79</v>
      </c>
    </row>
    <row r="18142" spans="1:4" x14ac:dyDescent="0.25">
      <c r="A18142" t="str">
        <f>HYPERLINK("https://www.773grp.com/globalSearch/74LVT245BBQ115/page-1", "74LVT245BBQ115")</f>
        <v>74LVT245BBQ115</v>
      </c>
      <c r="B18142" s="3" t="str">
        <f>HYPERLINK("https://www.773grp.com/manufacturer/nxp-semiconductor?pageNo=48", "NXP Semiconductors")</f>
        <v>NXP Semiconductors</v>
      </c>
      <c r="C18142" s="6">
        <v>3000</v>
      </c>
      <c r="D18142" s="7">
        <v>0.79</v>
      </c>
    </row>
    <row r="18143" spans="1:4" x14ac:dyDescent="0.25">
      <c r="A18143" t="str">
        <f>HYPERLINK("https://www.773grp.com/globalSearch/74LVT245PW112/page-1", "74LVT245PW112")</f>
        <v>74LVT245PW112</v>
      </c>
      <c r="B18143" s="3" t="str">
        <f>HYPERLINK("https://www.773grp.com/manufacturer/nxp-semiconductor?pageNo=1", "NXP Semiconductors")</f>
        <v>NXP Semiconductors</v>
      </c>
      <c r="C18143" s="6">
        <v>8754</v>
      </c>
      <c r="D18143" s="7">
        <v>0.79</v>
      </c>
    </row>
    <row r="18144" spans="1:4" x14ac:dyDescent="0.25">
      <c r="A18144" t="str">
        <f>HYPERLINK("https://www.773grp.com/globalSearch/74LVT245PW118/page-1", "74LVT245PW118")</f>
        <v>74LVT245PW118</v>
      </c>
      <c r="B18144" s="3" t="str">
        <f>HYPERLINK("https://www.773grp.com/manufacturer/nxp-semiconductor?pageNo=2", "NXP Semiconductors")</f>
        <v>NXP Semiconductors</v>
      </c>
      <c r="C18144" s="6">
        <v>2500</v>
      </c>
      <c r="D18144" s="7">
        <v>0.79</v>
      </c>
    </row>
    <row r="18145" spans="1:4" x14ac:dyDescent="0.25">
      <c r="A18145" t="str">
        <f>HYPERLINK("https://www.773grp.com/globalSearch/74LVT574D112/page-1", "74LVT574D112")</f>
        <v>74LVT574D112</v>
      </c>
      <c r="B18145" s="3" t="str">
        <f>HYPERLINK("https://www.773grp.com/manufacturer/nxp-semiconductor?pageNo=3", "NXP Semiconductors")</f>
        <v>NXP Semiconductors</v>
      </c>
      <c r="C18145" s="6">
        <v>8789</v>
      </c>
      <c r="D18145" s="7">
        <v>0.79</v>
      </c>
    </row>
    <row r="18146" spans="1:4" x14ac:dyDescent="0.25">
      <c r="A18146" t="str">
        <f>HYPERLINK("https://www.773grp.com/globalSearch/74LVT574DB112/page-1", "74LVT574DB112")</f>
        <v>74LVT574DB112</v>
      </c>
      <c r="B18146" s="3" t="str">
        <f>HYPERLINK("https://www.773grp.com/manufacturer/nxp-semiconductor?pageNo=4", "NXP Semiconductors")</f>
        <v>NXP Semiconductors</v>
      </c>
      <c r="C18146" s="6">
        <v>8875</v>
      </c>
      <c r="D18146" s="7">
        <v>0.79</v>
      </c>
    </row>
    <row r="18147" spans="1:4" x14ac:dyDescent="0.25">
      <c r="A18147" t="str">
        <f>HYPERLINK("https://www.773grp.com/globalSearch/74LVT574DB118/page-1", "74LVT574DB118")</f>
        <v>74LVT574DB118</v>
      </c>
      <c r="B18147" s="3" t="str">
        <f>HYPERLINK("https://www.773grp.com/manufacturer/nxp-semiconductor?pageNo=5", "NXP Semiconductors")</f>
        <v>NXP Semiconductors</v>
      </c>
      <c r="C18147" s="6">
        <v>1000</v>
      </c>
      <c r="D18147" s="7">
        <v>0.79</v>
      </c>
    </row>
    <row r="18148" spans="1:4" x14ac:dyDescent="0.25">
      <c r="A18148" t="str">
        <f>HYPERLINK("https://www.773grp.com/globalSearch/74LVT574PW112/page-1", "74LVT574PW112")</f>
        <v>74LVT574PW112</v>
      </c>
      <c r="B18148" s="3" t="str">
        <f>HYPERLINK("https://www.773grp.com/manufacturer/nxp-semiconductor?pageNo=6", "NXP Semiconductors")</f>
        <v>NXP Semiconductors</v>
      </c>
      <c r="C18148" s="6">
        <v>3790</v>
      </c>
      <c r="D18148" s="7">
        <v>0.79</v>
      </c>
    </row>
    <row r="18149" spans="1:4" x14ac:dyDescent="0.25">
      <c r="A18149" t="str">
        <f>HYPERLINK("https://www.773grp.com/globalSearch/74LVT574PW118/page-1", "74LVT574PW118")</f>
        <v>74LVT574PW118</v>
      </c>
      <c r="B18149" s="3" t="str">
        <f>HYPERLINK("https://www.773grp.com/manufacturer/nxp-semiconductor?pageNo=7", "NXP Semiconductors")</f>
        <v>NXP Semiconductors</v>
      </c>
      <c r="C18149" s="6">
        <v>12640</v>
      </c>
      <c r="D18149" s="7">
        <v>0.79</v>
      </c>
    </row>
    <row r="18150" spans="1:4" x14ac:dyDescent="0.25">
      <c r="A18150" t="str">
        <f>HYPERLINK("https://www.773grp.com/globalSearch/74LVTH125D112/page-1", "74LVTH125D112")</f>
        <v>74LVTH125D112</v>
      </c>
      <c r="B18150" s="3" t="str">
        <f>HYPERLINK("https://www.773grp.com/manufacturer/nxp-semiconductor?pageNo=8", "NXP Semiconductors")</f>
        <v>NXP Semiconductors</v>
      </c>
      <c r="C18150" s="6">
        <v>6840</v>
      </c>
      <c r="D18150" s="7">
        <v>0.79</v>
      </c>
    </row>
    <row r="18151" spans="1:4" x14ac:dyDescent="0.25">
      <c r="A18151" t="str">
        <f>HYPERLINK("https://www.773grp.com/globalSearch/74LVTH125PW118/page-1", "74LVTH125PW118")</f>
        <v>74LVTH125PW118</v>
      </c>
      <c r="B18151" s="3" t="str">
        <f>HYPERLINK("https://www.773grp.com/manufacturer/nxp-semiconductor?pageNo=9", "NXP Semiconductors")</f>
        <v>NXP Semiconductors</v>
      </c>
      <c r="C18151" s="6">
        <v>2650</v>
      </c>
      <c r="D18151" s="7">
        <v>0.79</v>
      </c>
    </row>
    <row r="18152" spans="1:4" x14ac:dyDescent="0.25">
      <c r="A18152" t="str">
        <f>HYPERLINK("https://www.773grp.com/globalSearch/74VHCT245PW118/page-1", "74VHCT245PW118")</f>
        <v>74VHCT245PW118</v>
      </c>
      <c r="B18152" s="3" t="str">
        <f>HYPERLINK("https://www.773grp.com/manufacturer/nxp-semiconductor?pageNo=10", "NXP Semiconductors")</f>
        <v>NXP Semiconductors</v>
      </c>
      <c r="C18152" s="6">
        <v>5000</v>
      </c>
      <c r="D18152" s="7">
        <v>0.79</v>
      </c>
    </row>
    <row r="18153" spans="1:4" x14ac:dyDescent="0.25">
      <c r="A18153" t="str">
        <f>HYPERLINK("https://www.773grp.com/globalSearch/BAP70AM115/page-1", "BAP70AM115")</f>
        <v>BAP70AM115</v>
      </c>
      <c r="B18153" s="3" t="str">
        <f>HYPERLINK("https://www.773grp.com/manufacturer/nxp-semiconductor?pageNo=11", "NXP Semiconductors")</f>
        <v>NXP Semiconductors</v>
      </c>
      <c r="C18153" s="6">
        <v>2588</v>
      </c>
      <c r="D18153" s="7">
        <v>0.79</v>
      </c>
    </row>
    <row r="18154" spans="1:4" x14ac:dyDescent="0.25">
      <c r="A18154" t="str">
        <f>HYPERLINK("https://www.773grp.com/globalSearch/BB202115/page-1", "BB202115")</f>
        <v>BB202115</v>
      </c>
      <c r="B18154" s="3" t="str">
        <f>HYPERLINK("https://www.773grp.com/manufacturer/nxp-semiconductor?pageNo=12", "NXP Semiconductors")</f>
        <v>NXP Semiconductors</v>
      </c>
      <c r="C18154" s="6">
        <v>24000</v>
      </c>
      <c r="D18154" s="7">
        <v>0.79</v>
      </c>
    </row>
    <row r="18155" spans="1:4" x14ac:dyDescent="0.25">
      <c r="A18155" t="str">
        <f>HYPERLINK("https://www.773grp.com/globalSearch/BB202LX315/page-1", "BB202LX315")</f>
        <v>BB202LX315</v>
      </c>
      <c r="B18155" s="3" t="str">
        <f>HYPERLINK("https://www.773grp.com/manufacturer/nxp-semiconductor?pageNo=13", "NXP Semiconductors")</f>
        <v>NXP Semiconductors</v>
      </c>
      <c r="C18155" s="6">
        <v>147</v>
      </c>
      <c r="D18155" s="7">
        <v>0.79</v>
      </c>
    </row>
    <row r="18156" spans="1:4" x14ac:dyDescent="0.25">
      <c r="A18156" t="str">
        <f>HYPERLINK("https://www.773grp.com/globalSearch/BB207215/page-1", "BB207215")</f>
        <v>BB207215</v>
      </c>
      <c r="B18156" s="3" t="str">
        <f>HYPERLINK("https://www.773grp.com/manufacturer/nxp-semiconductor?pageNo=14", "NXP Semiconductors")</f>
        <v>NXP Semiconductors</v>
      </c>
      <c r="C18156" s="6">
        <v>3000</v>
      </c>
      <c r="D18156" s="7">
        <v>0.79</v>
      </c>
    </row>
    <row r="18157" spans="1:4" x14ac:dyDescent="0.25">
      <c r="A18157" t="str">
        <f>HYPERLINK("https://www.773grp.com/globalSearch/BF991215/page-1", "BF991215")</f>
        <v>BF991215</v>
      </c>
      <c r="B18157" s="3" t="str">
        <f>HYPERLINK("https://www.773grp.com/manufacturer/nxp-semiconductor?pageNo=15", "NXP Semiconductors")</f>
        <v>NXP Semiconductors</v>
      </c>
      <c r="C18157" s="6">
        <v>12000</v>
      </c>
      <c r="D18157" s="7">
        <v>0.79</v>
      </c>
    </row>
    <row r="18158" spans="1:4" x14ac:dyDescent="0.25">
      <c r="A18158" t="str">
        <f>HYPERLINK("https://www.773grp.com/globalSearch/BF992215/page-1", "BF992215")</f>
        <v>BF992215</v>
      </c>
      <c r="B18158" s="3" t="str">
        <f>HYPERLINK("https://www.773grp.com/manufacturer/nxp-semiconductor?pageNo=16", "NXP Semiconductors")</f>
        <v>NXP Semiconductors</v>
      </c>
      <c r="C18158" s="6">
        <v>12000</v>
      </c>
      <c r="D18158" s="7">
        <v>0.79</v>
      </c>
    </row>
    <row r="18159" spans="1:4" x14ac:dyDescent="0.25">
      <c r="A18159" t="str">
        <f>HYPERLINK("https://www.773grp.com/globalSearch/BF994S215/page-1", "BF994S215")</f>
        <v>BF994S215</v>
      </c>
      <c r="B18159" s="3" t="str">
        <f>HYPERLINK("https://www.773grp.com/manufacturer/nxp-semiconductor?pageNo=17", "NXP Semiconductors")</f>
        <v>NXP Semiconductors</v>
      </c>
      <c r="C18159" s="6">
        <v>6290</v>
      </c>
      <c r="D18159" s="7">
        <v>0.79</v>
      </c>
    </row>
    <row r="18160" spans="1:4" x14ac:dyDescent="0.25">
      <c r="A18160" t="str">
        <f>HYPERLINK("https://www.773grp.com/globalSearch/BFQ540115/page-1", "BFQ540115")</f>
        <v>BFQ540115</v>
      </c>
      <c r="B18160" s="3" t="str">
        <f>HYPERLINK("https://www.773grp.com/manufacturer/nxp-semiconductor?pageNo=18", "NXP Semiconductors")</f>
        <v>NXP Semiconductors</v>
      </c>
      <c r="C18160" s="6">
        <v>13553</v>
      </c>
      <c r="D18160" s="7">
        <v>0.79</v>
      </c>
    </row>
    <row r="18161" spans="1:4" x14ac:dyDescent="0.25">
      <c r="A18161" t="str">
        <f>HYPERLINK("https://www.773grp.com/globalSearch/BFR520215/page-1", "BFR520215")</f>
        <v>BFR520215</v>
      </c>
      <c r="B18161" s="3" t="str">
        <f>HYPERLINK("https://www.773grp.com/manufacturer/nxp-semiconductor?pageNo=19", "NXP Semiconductors")</f>
        <v>NXP Semiconductors</v>
      </c>
      <c r="C18161" s="6">
        <v>5634</v>
      </c>
      <c r="D18161" s="7">
        <v>0.79</v>
      </c>
    </row>
    <row r="18162" spans="1:4" x14ac:dyDescent="0.25">
      <c r="A18162" t="str">
        <f>HYPERLINK("https://www.773grp.com/globalSearch/BGU7042115/page-1", "BGU7042115")</f>
        <v>BGU7042115</v>
      </c>
      <c r="B18162" s="3" t="str">
        <f>HYPERLINK("https://www.773grp.com/manufacturer/nxp-semiconductor?pageNo=20", "NXP Semiconductors")</f>
        <v>NXP Semiconductors</v>
      </c>
      <c r="C18162" s="6">
        <v>12000</v>
      </c>
      <c r="D18162" s="7">
        <v>0.79</v>
      </c>
    </row>
    <row r="18163" spans="1:4" x14ac:dyDescent="0.25">
      <c r="A18163" t="str">
        <f>HYPERLINK("https://www.773grp.com/globalSearch/BGU7045115/page-1", "BGU7045115")</f>
        <v>BGU7045115</v>
      </c>
      <c r="B18163" s="3" t="str">
        <f>HYPERLINK("https://www.773grp.com/manufacturer/nxp-semiconductor?pageNo=21", "NXP Semiconductors")</f>
        <v>NXP Semiconductors</v>
      </c>
      <c r="C18163" s="6">
        <v>6000</v>
      </c>
      <c r="D18163" s="7">
        <v>0.79</v>
      </c>
    </row>
    <row r="18164" spans="1:4" x14ac:dyDescent="0.25">
      <c r="A18164" t="str">
        <f>HYPERLINK("https://www.773grp.com/globalSearch/BT134-600127/page-1", "BT134-600127")</f>
        <v>BT134-600127</v>
      </c>
      <c r="B18164" s="3" t="str">
        <f>HYPERLINK("https://www.773grp.com/manufacturer/nxp-semiconductor?pageNo=22", "NXP Semiconductors")</f>
        <v>NXP Semiconductors</v>
      </c>
      <c r="C18164" s="6">
        <v>272</v>
      </c>
      <c r="D18164" s="7">
        <v>0.79</v>
      </c>
    </row>
    <row r="18165" spans="1:4" x14ac:dyDescent="0.25">
      <c r="A18165" t="str">
        <f>HYPERLINK("https://www.773grp.com/globalSearch/BT134-600D127/page-1", "BT134-600D127")</f>
        <v>BT134-600D127</v>
      </c>
      <c r="B18165" s="3" t="str">
        <f>HYPERLINK("https://www.773grp.com/manufacturer/nxp-semiconductor?pageNo=23", "NXP Semiconductors")</f>
        <v>NXP Semiconductors</v>
      </c>
      <c r="C18165" s="6">
        <v>16000</v>
      </c>
      <c r="D18165" s="7">
        <v>0.79</v>
      </c>
    </row>
    <row r="18166" spans="1:4" x14ac:dyDescent="0.25">
      <c r="A18166" t="str">
        <f>HYPERLINK("https://www.773grp.com/globalSearch/BT134-600E127/page-1", "BT134-600E127")</f>
        <v>BT134-600E127</v>
      </c>
      <c r="B18166" s="3" t="str">
        <f>HYPERLINK("https://www.773grp.com/manufacturer/nxp-semiconductor?pageNo=24", "NXP Semiconductors")</f>
        <v>NXP Semiconductors</v>
      </c>
      <c r="C18166" s="6">
        <v>75000</v>
      </c>
      <c r="D18166" s="7">
        <v>0.79</v>
      </c>
    </row>
    <row r="18167" spans="1:4" x14ac:dyDescent="0.25">
      <c r="A18167" t="str">
        <f>HYPERLINK("https://www.773grp.com/globalSearch/BT134-600G127/page-1", "BT134-600G127")</f>
        <v>BT134-600G127</v>
      </c>
      <c r="B18167" s="3" t="str">
        <f>HYPERLINK("https://www.773grp.com/manufacturer/nxp-semiconductor?pageNo=25", "NXP Semiconductors")</f>
        <v>NXP Semiconductors</v>
      </c>
      <c r="C18167" s="6">
        <v>67200</v>
      </c>
      <c r="D18167" s="7">
        <v>0.79</v>
      </c>
    </row>
    <row r="18168" spans="1:4" x14ac:dyDescent="0.25">
      <c r="A18168" t="str">
        <f>HYPERLINK("https://www.773grp.com/globalSearch/BTA204W-600B135/page-1", "BTA204W-600B135")</f>
        <v>BTA204W-600B135</v>
      </c>
      <c r="B18168" s="3" t="str">
        <f>HYPERLINK("https://www.773grp.com/manufacturer/nxp-semiconductor?pageNo=26", "NXP Semiconductors")</f>
        <v>NXP Semiconductors</v>
      </c>
      <c r="C18168" s="6">
        <v>20000</v>
      </c>
      <c r="D18168" s="7">
        <v>0.79</v>
      </c>
    </row>
    <row r="18169" spans="1:4" x14ac:dyDescent="0.25">
      <c r="A18169" t="str">
        <f>HYPERLINK("https://www.773grp.com/globalSearch/BTA204W-600D135/page-1", "BTA204W-600D135")</f>
        <v>BTA204W-600D135</v>
      </c>
      <c r="B18169" s="3" t="str">
        <f>HYPERLINK("https://www.773grp.com/manufacturer/nxp-semiconductor?pageNo=27", "NXP Semiconductors")</f>
        <v>NXP Semiconductors</v>
      </c>
      <c r="C18169" s="6">
        <v>150</v>
      </c>
      <c r="D18169" s="7">
        <v>0.79</v>
      </c>
    </row>
    <row r="18170" spans="1:4" x14ac:dyDescent="0.25">
      <c r="A18170" t="str">
        <f>HYPERLINK("https://www.773grp.com/globalSearch/BTA204W-600F135/page-1", "BTA204W-600F135")</f>
        <v>BTA204W-600F135</v>
      </c>
      <c r="B18170" s="3" t="str">
        <f>HYPERLINK("https://www.773grp.com/manufacturer/nxp-semiconductor?pageNo=28", "NXP Semiconductors")</f>
        <v>NXP Semiconductors</v>
      </c>
      <c r="C18170" s="6">
        <v>4000</v>
      </c>
      <c r="D18170" s="7">
        <v>0.79</v>
      </c>
    </row>
    <row r="18171" spans="1:4" x14ac:dyDescent="0.25">
      <c r="A18171" t="str">
        <f>HYPERLINK("https://www.773grp.com/globalSearch/BUK9880-55A115/page-1", "BUK9880-55A115")</f>
        <v>BUK9880-55A115</v>
      </c>
      <c r="B18171" s="3" t="str">
        <f>HYPERLINK("https://www.773grp.com/manufacturer/nxp-semiconductor?pageNo=29", "NXP Semiconductors")</f>
        <v>NXP Semiconductors</v>
      </c>
      <c r="C18171" s="6">
        <v>26330</v>
      </c>
      <c r="D18171" s="7">
        <v>0.79</v>
      </c>
    </row>
    <row r="18172" spans="1:4" x14ac:dyDescent="0.25">
      <c r="A18172" t="str">
        <f>HYPERLINK("https://www.773grp.com/globalSearch/CBT3384D112/page-1", "CBT3384D112")</f>
        <v>CBT3384D112</v>
      </c>
      <c r="B18172" s="3" t="str">
        <f>HYPERLINK("https://www.773grp.com/manufacturer/nxp-semiconductor?pageNo=30", "NXP Semiconductors")</f>
        <v>NXP Semiconductors</v>
      </c>
      <c r="C18172" s="6">
        <v>2400</v>
      </c>
      <c r="D18172" s="7">
        <v>0.79</v>
      </c>
    </row>
    <row r="18173" spans="1:4" x14ac:dyDescent="0.25">
      <c r="A18173" t="str">
        <f>HYPERLINK("https://www.773grp.com/globalSearch/CBT3384DB118/page-1", "CBT3384DB118")</f>
        <v>CBT3384DB118</v>
      </c>
      <c r="B18173" s="3" t="str">
        <f>HYPERLINK("https://www.773grp.com/manufacturer/nxp-semiconductor?pageNo=31", "NXP Semiconductors")</f>
        <v>NXP Semiconductors</v>
      </c>
      <c r="C18173" s="6">
        <v>2150</v>
      </c>
      <c r="D18173" s="7">
        <v>0.79</v>
      </c>
    </row>
    <row r="18174" spans="1:4" x14ac:dyDescent="0.25">
      <c r="A18174" t="str">
        <f>HYPERLINK("https://www.773grp.com/globalSearch/CBT3384PW118/page-1", "CBT3384PW118")</f>
        <v>CBT3384PW118</v>
      </c>
      <c r="B18174" s="3" t="str">
        <f>HYPERLINK("https://www.773grp.com/manufacturer/nxp-semiconductor?pageNo=32", "NXP Semiconductors")</f>
        <v>NXP Semiconductors</v>
      </c>
      <c r="C18174" s="6">
        <v>4350</v>
      </c>
      <c r="D18174" s="7">
        <v>0.79</v>
      </c>
    </row>
    <row r="18175" spans="1:4" x14ac:dyDescent="0.25">
      <c r="A18175" t="str">
        <f>HYPERLINK("https://www.773grp.com/globalSearch/HEF4051BTT118/page-1", "HEF4051BTT118")</f>
        <v>HEF4051BTT118</v>
      </c>
      <c r="B18175" s="3" t="str">
        <f>HYPERLINK("https://www.773grp.com/manufacturer/nxp-semiconductor?pageNo=33", "NXP Semiconductors")</f>
        <v>NXP Semiconductors</v>
      </c>
      <c r="C18175" s="6">
        <v>15000</v>
      </c>
      <c r="D18175" s="7">
        <v>0.79</v>
      </c>
    </row>
    <row r="18176" spans="1:4" x14ac:dyDescent="0.25">
      <c r="A18176" t="str">
        <f>HYPERLINK("https://www.773grp.com/globalSearch/HEF4528BT652/page-1", "HEF4528BT652")</f>
        <v>HEF4528BT652</v>
      </c>
      <c r="B18176" s="3" t="str">
        <f>HYPERLINK("https://www.773grp.com/manufacturer/nxp-semiconductor?pageNo=34", "NXP Semiconductors")</f>
        <v>NXP Semiconductors</v>
      </c>
      <c r="C18176" s="6">
        <v>1000</v>
      </c>
      <c r="D18176" s="7">
        <v>0.79</v>
      </c>
    </row>
    <row r="18177" spans="1:4" x14ac:dyDescent="0.25">
      <c r="A18177" t="str">
        <f>HYPERLINK("https://www.773grp.com/globalSearch/HEF4528BT653/page-1", "HEF4528BT653")</f>
        <v>HEF4528BT653</v>
      </c>
      <c r="B18177" s="3" t="str">
        <f>HYPERLINK("https://www.773grp.com/manufacturer/nxp-semiconductor?pageNo=35", "NXP Semiconductors")</f>
        <v>NXP Semiconductors</v>
      </c>
      <c r="C18177" s="6">
        <v>5000</v>
      </c>
      <c r="D18177" s="7">
        <v>0.79</v>
      </c>
    </row>
    <row r="18178" spans="1:4" x14ac:dyDescent="0.25">
      <c r="A18178" t="str">
        <f>HYPERLINK("https://www.773grp.com/globalSearch/HEF4555BT652/page-1", "HEF4555BT652")</f>
        <v>HEF4555BT652</v>
      </c>
      <c r="B18178" s="3" t="str">
        <f>HYPERLINK("https://www.773grp.com/manufacturer/nxp-semiconductor?pageNo=36", "NXP Semiconductors")</f>
        <v>NXP Semiconductors</v>
      </c>
      <c r="C18178" s="6">
        <v>6600</v>
      </c>
      <c r="D18178" s="7">
        <v>0.79</v>
      </c>
    </row>
    <row r="18179" spans="1:4" x14ac:dyDescent="0.25">
      <c r="A18179" t="str">
        <f>HYPERLINK("https://www.773grp.com/globalSearch/HTMS8101FTK-AF115/page-1", "HTMS8101FTK-AF115")</f>
        <v>HTMS8101FTK-AF115</v>
      </c>
      <c r="B18179" s="3" t="str">
        <f>HYPERLINK("https://www.773grp.com/manufacturer/nxp-semiconductor?pageNo=37", "NXP Semiconductors")</f>
        <v>NXP Semiconductors</v>
      </c>
      <c r="C18179" s="6">
        <v>136</v>
      </c>
      <c r="D18179" s="7">
        <v>0.79</v>
      </c>
    </row>
    <row r="18180" spans="1:4" x14ac:dyDescent="0.25">
      <c r="A18180" t="str">
        <f>HYPERLINK("https://www.773grp.com/globalSearch/IP4251CZ12-6-TTL1/page-1", "IP4251CZ12-6-TTL1")</f>
        <v>IP4251CZ12-6-TTL1</v>
      </c>
      <c r="B18180" s="3" t="str">
        <f>HYPERLINK("https://www.773grp.com/manufacturer/nxp-semiconductor?pageNo=38", "NXP Semiconductors")</f>
        <v>NXP Semiconductors</v>
      </c>
      <c r="C18180" s="6">
        <v>99</v>
      </c>
      <c r="D18180" s="7">
        <v>0.79</v>
      </c>
    </row>
    <row r="18181" spans="1:4" x14ac:dyDescent="0.25">
      <c r="A18181" t="str">
        <f>HYPERLINK("https://www.773grp.com/globalSearch/IP4284CZ10-TB115/page-1", "IP4284CZ10-TB115")</f>
        <v>IP4284CZ10-TB115</v>
      </c>
      <c r="B18181" s="3" t="str">
        <f>HYPERLINK("https://www.773grp.com/manufacturer/nxp-semiconductor?pageNo=39", "NXP Semiconductors")</f>
        <v>NXP Semiconductors</v>
      </c>
      <c r="C18181" s="6">
        <v>5000</v>
      </c>
      <c r="D18181" s="7">
        <v>0.79</v>
      </c>
    </row>
    <row r="18182" spans="1:4" x14ac:dyDescent="0.25">
      <c r="A18182" t="str">
        <f>HYPERLINK("https://www.773grp.com/globalSearch/LM75BD118/page-1", "LM75BD118")</f>
        <v>LM75BD118</v>
      </c>
      <c r="B18182" s="3" t="str">
        <f>HYPERLINK("https://www.773grp.com/manufacturer/nxp-semiconductor?pageNo=40", "NXP Semiconductors")</f>
        <v>NXP Semiconductors</v>
      </c>
      <c r="C18182" s="6">
        <v>79</v>
      </c>
      <c r="D18182" s="7">
        <v>0.79</v>
      </c>
    </row>
    <row r="18183" spans="1:4" x14ac:dyDescent="0.25">
      <c r="A18183" t="str">
        <f>HYPERLINK("https://www.773grp.com/globalSearch/LM75BDP-DG118/page-1", "LM75BDP-DG118")</f>
        <v>LM75BDP-DG118</v>
      </c>
      <c r="B18183" s="3" t="str">
        <f>HYPERLINK("https://www.773grp.com/manufacturer/nxp-semiconductor?pageNo=41", "NXP Semiconductors")</f>
        <v>NXP Semiconductors</v>
      </c>
      <c r="C18183" s="6">
        <v>470000</v>
      </c>
      <c r="D18183" s="7">
        <v>0.79</v>
      </c>
    </row>
    <row r="18184" spans="1:4" x14ac:dyDescent="0.25">
      <c r="A18184" t="str">
        <f>HYPERLINK("https://www.773grp.com/globalSearch/LM75BGD125/page-1", "LM75BGD125")</f>
        <v>LM75BGD125</v>
      </c>
      <c r="B18184" s="3" t="str">
        <f>HYPERLINK("https://www.773grp.com/manufacturer/nxp-semiconductor?pageNo=42", "NXP Semiconductors")</f>
        <v>NXP Semiconductors</v>
      </c>
      <c r="C18184" s="6">
        <v>3000</v>
      </c>
      <c r="D18184" s="7">
        <v>0.79</v>
      </c>
    </row>
    <row r="18185" spans="1:4" x14ac:dyDescent="0.25">
      <c r="A18185" t="str">
        <f>HYPERLINK("https://www.773grp.com/globalSearch/NCX2220GU115/page-1", "NCX2220GU115")</f>
        <v>NCX2220GU115</v>
      </c>
      <c r="B18185" s="3" t="str">
        <f>HYPERLINK("https://www.773grp.com/manufacturer/nxp-semiconductor?pageNo=43", "NXP Semiconductors")</f>
        <v>NXP Semiconductors</v>
      </c>
      <c r="C18185" s="6">
        <v>4000</v>
      </c>
      <c r="D18185" s="7">
        <v>0.79</v>
      </c>
    </row>
    <row r="18186" spans="1:4" x14ac:dyDescent="0.25">
      <c r="A18186" t="str">
        <f>HYPERLINK("https://www.773grp.com/globalSearch/NX3L1T3157GM115/page-1", "NX3L1T3157GM115")</f>
        <v>NX3L1T3157GM115</v>
      </c>
      <c r="B18186" s="3" t="str">
        <f>HYPERLINK("https://www.773grp.com/manufacturer/nxp-semiconductor?pageNo=44", "NXP Semiconductors")</f>
        <v>NXP Semiconductors</v>
      </c>
      <c r="C18186" s="6">
        <v>5573</v>
      </c>
      <c r="D18186" s="7">
        <v>0.79</v>
      </c>
    </row>
    <row r="18187" spans="1:4" x14ac:dyDescent="0.25">
      <c r="A18187" t="str">
        <f>HYPERLINK("https://www.773grp.com/globalSearch/NX3L1T5157GM115/page-1", "NX3L1T5157GM115")</f>
        <v>NX3L1T5157GM115</v>
      </c>
      <c r="B18187" s="3" t="str">
        <f>HYPERLINK("https://www.773grp.com/manufacturer/nxp-semiconductor?pageNo=45", "NXP Semiconductors")</f>
        <v>NXP Semiconductors</v>
      </c>
      <c r="C18187" s="6">
        <v>10000</v>
      </c>
      <c r="D18187" s="7">
        <v>0.79</v>
      </c>
    </row>
    <row r="18188" spans="1:4" x14ac:dyDescent="0.25">
      <c r="A18188" t="str">
        <f>HYPERLINK("https://www.773grp.com/globalSearch/NX3L1T5157GM132/page-1", "NX3L1T5157GM132")</f>
        <v>NX3L1T5157GM132</v>
      </c>
      <c r="B18188" s="3" t="str">
        <f>HYPERLINK("https://www.773grp.com/manufacturer/nxp-semiconductor?pageNo=46", "NXP Semiconductors")</f>
        <v>NXP Semiconductors</v>
      </c>
      <c r="C18188" s="6">
        <v>80</v>
      </c>
      <c r="D18188" s="7">
        <v>0.79</v>
      </c>
    </row>
    <row r="18189" spans="1:4" x14ac:dyDescent="0.25">
      <c r="A18189" t="str">
        <f>HYPERLINK("https://www.773grp.com/globalSearch/NX3L2267GM115/page-1", "NX3L2267GM115")</f>
        <v>NX3L2267GM115</v>
      </c>
      <c r="B18189" s="3" t="str">
        <f>HYPERLINK("https://www.773grp.com/manufacturer/nxp-semiconductor?pageNo=47", "NXP Semiconductors")</f>
        <v>NXP Semiconductors</v>
      </c>
      <c r="C18189" s="6">
        <v>5000</v>
      </c>
      <c r="D18189" s="7">
        <v>0.79</v>
      </c>
    </row>
    <row r="18190" spans="1:4" x14ac:dyDescent="0.25">
      <c r="A18190" t="str">
        <f>HYPERLINK("https://www.773grp.com/globalSearch/NX3L2267GM132/page-1", "NX3L2267GM132")</f>
        <v>NX3L2267GM132</v>
      </c>
      <c r="B18190" s="3" t="str">
        <f>HYPERLINK("https://www.773grp.com/manufacturer/nxp-semiconductor?pageNo=48", "NXP Semiconductors")</f>
        <v>NXP Semiconductors</v>
      </c>
      <c r="C18190" s="6">
        <v>236</v>
      </c>
      <c r="D18190" s="7">
        <v>0.79</v>
      </c>
    </row>
    <row r="18191" spans="1:4" x14ac:dyDescent="0.25">
      <c r="A18191" t="str">
        <f>HYPERLINK("https://www.773grp.com/globalSearch/NX3L2T384GM125/page-1", "NX3L2T384GM125")</f>
        <v>NX3L2T384GM125</v>
      </c>
      <c r="B18191" s="3" t="str">
        <f>HYPERLINK("https://www.773grp.com/manufacturer/nxp-semiconductor?pageNo=1", "NXP Semiconductors")</f>
        <v>NXP Semiconductors</v>
      </c>
      <c r="C18191" s="6">
        <v>800</v>
      </c>
      <c r="D18191" s="7">
        <v>0.79</v>
      </c>
    </row>
    <row r="18192" spans="1:4" x14ac:dyDescent="0.25">
      <c r="A18192" t="str">
        <f>HYPERLINK("https://www.773grp.com/globalSearch/NX3V1T384GM115/page-1", "NX3V1T384GM115")</f>
        <v>NX3V1T384GM115</v>
      </c>
      <c r="B18192" s="3" t="str">
        <f>HYPERLINK("https://www.773grp.com/manufacturer/nxp-semiconductor?pageNo=2", "NXP Semiconductors")</f>
        <v>NXP Semiconductors</v>
      </c>
      <c r="C18192" s="6">
        <v>200</v>
      </c>
      <c r="D18192" s="7">
        <v>0.79</v>
      </c>
    </row>
    <row r="18193" spans="1:4" x14ac:dyDescent="0.25">
      <c r="A18193" t="str">
        <f>HYPERLINK("https://www.773grp.com/globalSearch/PBSS304NZ135/page-1", "PBSS304NZ135")</f>
        <v>PBSS304NZ135</v>
      </c>
      <c r="B18193" s="3" t="str">
        <f>HYPERLINK("https://www.773grp.com/manufacturer/nxp-semiconductor?pageNo=3", "NXP Semiconductors")</f>
        <v>NXP Semiconductors</v>
      </c>
      <c r="C18193" s="6">
        <v>43880</v>
      </c>
      <c r="D18193" s="7">
        <v>0.79</v>
      </c>
    </row>
    <row r="18194" spans="1:4" x14ac:dyDescent="0.25">
      <c r="A18194" t="str">
        <f>HYPERLINK("https://www.773grp.com/globalSearch/PBSS304PX115/page-1", "PBSS304PX115")</f>
        <v>PBSS304PX115</v>
      </c>
      <c r="B18194" s="3" t="str">
        <f>HYPERLINK("https://www.773grp.com/manufacturer/nxp-semiconductor?pageNo=4", "NXP Semiconductors")</f>
        <v>NXP Semiconductors</v>
      </c>
      <c r="C18194" s="6">
        <v>140</v>
      </c>
      <c r="D18194" s="7">
        <v>0.79</v>
      </c>
    </row>
    <row r="18195" spans="1:4" x14ac:dyDescent="0.25">
      <c r="A18195" t="str">
        <f>HYPERLINK("https://www.773grp.com/globalSearch/PBSS306NX115/page-1", "PBSS306NX115")</f>
        <v>PBSS306NX115</v>
      </c>
      <c r="B18195" s="3" t="str">
        <f>HYPERLINK("https://www.773grp.com/manufacturer/nxp-semiconductor?pageNo=5", "NXP Semiconductors")</f>
        <v>NXP Semiconductors</v>
      </c>
      <c r="C18195" s="6">
        <v>150</v>
      </c>
      <c r="D18195" s="7">
        <v>0.79</v>
      </c>
    </row>
    <row r="18196" spans="1:4" x14ac:dyDescent="0.25">
      <c r="A18196" t="str">
        <f>HYPERLINK("https://www.773grp.com/globalSearch/PBSS306NZ135/page-1", "PBSS306NZ135")</f>
        <v>PBSS306NZ135</v>
      </c>
      <c r="B18196" s="3" t="str">
        <f>HYPERLINK("https://www.773grp.com/manufacturer/nxp-semiconductor?pageNo=6", "NXP Semiconductors")</f>
        <v>NXP Semiconductors</v>
      </c>
      <c r="C18196" s="6">
        <v>10909</v>
      </c>
      <c r="D18196" s="7">
        <v>0.79</v>
      </c>
    </row>
    <row r="18197" spans="1:4" x14ac:dyDescent="0.25">
      <c r="A18197" t="str">
        <f>HYPERLINK("https://www.773grp.com/globalSearch/PBSS306PZ135/page-1", "PBSS306PZ135")</f>
        <v>PBSS306PZ135</v>
      </c>
      <c r="B18197" s="3" t="str">
        <f>HYPERLINK("https://www.773grp.com/manufacturer/nxp-semiconductor?pageNo=7", "NXP Semiconductors")</f>
        <v>NXP Semiconductors</v>
      </c>
      <c r="C18197" s="6">
        <v>6347</v>
      </c>
      <c r="D18197" s="7">
        <v>0.79</v>
      </c>
    </row>
    <row r="18198" spans="1:4" x14ac:dyDescent="0.25">
      <c r="A18198" t="str">
        <f>HYPERLINK("https://www.773grp.com/globalSearch/PBSS4160DPN115/page-1", "PBSS4160DPN115")</f>
        <v>PBSS4160DPN115</v>
      </c>
      <c r="B18198" s="3" t="str">
        <f>HYPERLINK("https://www.773grp.com/manufacturer/nxp-semiconductor?pageNo=8", "NXP Semiconductors")</f>
        <v>NXP Semiconductors</v>
      </c>
      <c r="C18198" s="6">
        <v>15170</v>
      </c>
      <c r="D18198" s="7">
        <v>0.79</v>
      </c>
    </row>
    <row r="18199" spans="1:4" x14ac:dyDescent="0.25">
      <c r="A18199" t="str">
        <f>HYPERLINK("https://www.773grp.com/globalSearch/PBSS4160DS115/page-1", "PBSS4160DS115")</f>
        <v>PBSS4160DS115</v>
      </c>
      <c r="B18199" s="3" t="str">
        <f>HYPERLINK("https://www.773grp.com/manufacturer/nxp-semiconductor?pageNo=9", "NXP Semiconductors")</f>
        <v>NXP Semiconductors</v>
      </c>
      <c r="C18199" s="6">
        <v>8399</v>
      </c>
      <c r="D18199" s="7">
        <v>0.79</v>
      </c>
    </row>
    <row r="18200" spans="1:4" x14ac:dyDescent="0.25">
      <c r="A18200" t="str">
        <f>HYPERLINK("https://www.773grp.com/globalSearch/PBSS5160DS115/page-1", "PBSS5160DS115")</f>
        <v>PBSS5160DS115</v>
      </c>
      <c r="B18200" s="3" t="str">
        <f>HYPERLINK("https://www.773grp.com/manufacturer/nxp-semiconductor?pageNo=10", "NXP Semiconductors")</f>
        <v>NXP Semiconductors</v>
      </c>
      <c r="C18200" s="6">
        <v>12000</v>
      </c>
      <c r="D18200" s="7">
        <v>0.79</v>
      </c>
    </row>
    <row r="18201" spans="1:4" x14ac:dyDescent="0.25">
      <c r="A18201" t="str">
        <f>HYPERLINK("https://www.773grp.com/globalSearch/PEMI8QFN-BYP132/page-1", "PEMI8QFN-BYP132")</f>
        <v>PEMI8QFN-BYP132</v>
      </c>
      <c r="B18201" s="3" t="str">
        <f>HYPERLINK("https://www.773grp.com/manufacturer/nxp-semiconductor?pageNo=11", "NXP Semiconductors")</f>
        <v>NXP Semiconductors</v>
      </c>
      <c r="C18201" s="6">
        <v>4000</v>
      </c>
      <c r="D18201" s="7">
        <v>0.79</v>
      </c>
    </row>
    <row r="18202" spans="1:4" x14ac:dyDescent="0.25">
      <c r="A18202" t="str">
        <f>HYPERLINK("https://www.773grp.com/globalSearch/PEMI8QFN-CE132/page-1", "PEMI8QFN-CE132")</f>
        <v>PEMI8QFN-CE132</v>
      </c>
      <c r="B18202" s="3" t="str">
        <f>HYPERLINK("https://www.773grp.com/manufacturer/nxp-semiconductor?pageNo=12", "NXP Semiconductors")</f>
        <v>NXP Semiconductors</v>
      </c>
      <c r="C18202" s="6">
        <v>4000</v>
      </c>
      <c r="D18202" s="7">
        <v>0.79</v>
      </c>
    </row>
    <row r="18203" spans="1:4" x14ac:dyDescent="0.25">
      <c r="A18203" t="str">
        <f>HYPERLINK("https://www.773grp.com/globalSearch/PEMI8QFN-CG132/page-1", "PEMI8QFN-CG132")</f>
        <v>PEMI8QFN-CG132</v>
      </c>
      <c r="B18203" s="3" t="str">
        <f>HYPERLINK("https://www.773grp.com/manufacturer/nxp-semiconductor?pageNo=13", "NXP Semiconductors")</f>
        <v>NXP Semiconductors</v>
      </c>
      <c r="C18203" s="6">
        <v>4000</v>
      </c>
      <c r="D18203" s="7">
        <v>0.79</v>
      </c>
    </row>
    <row r="18204" spans="1:4" x14ac:dyDescent="0.25">
      <c r="A18204" t="str">
        <f>HYPERLINK("https://www.773grp.com/globalSearch/PEMI8QFN-CK132/page-1", "PEMI8QFN-CK132")</f>
        <v>PEMI8QFN-CK132</v>
      </c>
      <c r="B18204" s="3" t="str">
        <f>HYPERLINK("https://www.773grp.com/manufacturer/nxp-semiconductor?pageNo=14", "NXP Semiconductors")</f>
        <v>NXP Semiconductors</v>
      </c>
      <c r="C18204" s="6">
        <v>4000</v>
      </c>
      <c r="D18204" s="7">
        <v>0.79</v>
      </c>
    </row>
    <row r="18205" spans="1:4" x14ac:dyDescent="0.25">
      <c r="A18205" t="str">
        <f>HYPERLINK("https://www.773grp.com/globalSearch/PEMI8QFN-CM132/page-1", "PEMI8QFN-CM132")</f>
        <v>PEMI8QFN-CM132</v>
      </c>
      <c r="B18205" s="3" t="str">
        <f>HYPERLINK("https://www.773grp.com/manufacturer/nxp-semiconductor?pageNo=15", "NXP Semiconductors")</f>
        <v>NXP Semiconductors</v>
      </c>
      <c r="C18205" s="6">
        <v>4000</v>
      </c>
      <c r="D18205" s="7">
        <v>0.79</v>
      </c>
    </row>
    <row r="18206" spans="1:4" x14ac:dyDescent="0.25">
      <c r="A18206" t="str">
        <f>HYPERLINK("https://www.773grp.com/globalSearch/PEMI8QFN-CP132/page-1", "PEMI8QFN-CP132")</f>
        <v>PEMI8QFN-CP132</v>
      </c>
      <c r="B18206" s="3" t="str">
        <f>HYPERLINK("https://www.773grp.com/manufacturer/nxp-semiconductor?pageNo=16", "NXP Semiconductors")</f>
        <v>NXP Semiconductors</v>
      </c>
      <c r="C18206" s="6">
        <v>4000</v>
      </c>
      <c r="D18206" s="7">
        <v>0.79</v>
      </c>
    </row>
    <row r="18207" spans="1:4" x14ac:dyDescent="0.25">
      <c r="A18207" t="str">
        <f>HYPERLINK("https://www.773grp.com/globalSearch/PEMI8QFN-CR132/page-1", "PEMI8QFN-CR132")</f>
        <v>PEMI8QFN-CR132</v>
      </c>
      <c r="B18207" s="3" t="str">
        <f>HYPERLINK("https://www.773grp.com/manufacturer/nxp-semiconductor?pageNo=17", "NXP Semiconductors")</f>
        <v>NXP Semiconductors</v>
      </c>
      <c r="C18207" s="6">
        <v>4000</v>
      </c>
      <c r="D18207" s="7">
        <v>0.79</v>
      </c>
    </row>
    <row r="18208" spans="1:4" x14ac:dyDescent="0.25">
      <c r="A18208" t="str">
        <f>HYPERLINK("https://www.773grp.com/globalSearch/PEMI8QFN-CT132/page-1", "PEMI8QFN-CT132")</f>
        <v>PEMI8QFN-CT132</v>
      </c>
      <c r="B18208" s="3" t="str">
        <f>HYPERLINK("https://www.773grp.com/manufacturer/nxp-semiconductor?pageNo=18", "NXP Semiconductors")</f>
        <v>NXP Semiconductors</v>
      </c>
      <c r="C18208" s="6">
        <v>4000</v>
      </c>
      <c r="D18208" s="7">
        <v>0.79</v>
      </c>
    </row>
    <row r="18209" spans="1:4" x14ac:dyDescent="0.25">
      <c r="A18209" t="str">
        <f>HYPERLINK("https://www.773grp.com/globalSearch/PEMI8QFN-HE132/page-1", "PEMI8QFN-HE132")</f>
        <v>PEMI8QFN-HE132</v>
      </c>
      <c r="B18209" s="3" t="str">
        <f>HYPERLINK("https://www.773grp.com/manufacturer/nxp-semiconductor?pageNo=19", "NXP Semiconductors")</f>
        <v>NXP Semiconductors</v>
      </c>
      <c r="C18209" s="6">
        <v>4000</v>
      </c>
      <c r="D18209" s="7">
        <v>0.79</v>
      </c>
    </row>
    <row r="18210" spans="1:4" x14ac:dyDescent="0.25">
      <c r="A18210" t="str">
        <f>HYPERLINK("https://www.773grp.com/globalSearch/PEMI8QFN-HG132/page-1", "PEMI8QFN-HG132")</f>
        <v>PEMI8QFN-HG132</v>
      </c>
      <c r="B18210" s="3" t="str">
        <f>HYPERLINK("https://www.773grp.com/manufacturer/nxp-semiconductor?pageNo=20", "NXP Semiconductors")</f>
        <v>NXP Semiconductors</v>
      </c>
      <c r="C18210" s="6">
        <v>4000</v>
      </c>
      <c r="D18210" s="7">
        <v>0.79</v>
      </c>
    </row>
    <row r="18211" spans="1:4" x14ac:dyDescent="0.25">
      <c r="A18211" t="str">
        <f>HYPERLINK("https://www.773grp.com/globalSearch/PEMI8QFN-HK132/page-1", "PEMI8QFN-HK132")</f>
        <v>PEMI8QFN-HK132</v>
      </c>
      <c r="B18211" s="3" t="str">
        <f>HYPERLINK("https://www.773grp.com/manufacturer/nxp-semiconductor?pageNo=21", "NXP Semiconductors")</f>
        <v>NXP Semiconductors</v>
      </c>
      <c r="C18211" s="6">
        <v>4000</v>
      </c>
      <c r="D18211" s="7">
        <v>0.79</v>
      </c>
    </row>
    <row r="18212" spans="1:4" x14ac:dyDescent="0.25">
      <c r="A18212" t="str">
        <f>HYPERLINK("https://www.773grp.com/globalSearch/PEMI8QFN-HM132/page-1", "PEMI8QFN-HM132")</f>
        <v>PEMI8QFN-HM132</v>
      </c>
      <c r="B18212" s="3" t="str">
        <f>HYPERLINK("https://www.773grp.com/manufacturer/nxp-semiconductor?pageNo=22", "NXP Semiconductors")</f>
        <v>NXP Semiconductors</v>
      </c>
      <c r="C18212" s="6">
        <v>4000</v>
      </c>
      <c r="D18212" s="7">
        <v>0.79</v>
      </c>
    </row>
    <row r="18213" spans="1:4" x14ac:dyDescent="0.25">
      <c r="A18213" t="str">
        <f>HYPERLINK("https://www.773grp.com/globalSearch/PEMI8QFN-HP132/page-1", "PEMI8QFN-HP132")</f>
        <v>PEMI8QFN-HP132</v>
      </c>
      <c r="B18213" s="3" t="str">
        <f>HYPERLINK("https://www.773grp.com/manufacturer/nxp-semiconductor?pageNo=23", "NXP Semiconductors")</f>
        <v>NXP Semiconductors</v>
      </c>
      <c r="C18213" s="6">
        <v>4000</v>
      </c>
      <c r="D18213" s="7">
        <v>0.79</v>
      </c>
    </row>
    <row r="18214" spans="1:4" x14ac:dyDescent="0.25">
      <c r="A18214" t="str">
        <f>HYPERLINK("https://www.773grp.com/globalSearch/PEMI8QFN-HR132/page-1", "PEMI8QFN-HR132")</f>
        <v>PEMI8QFN-HR132</v>
      </c>
      <c r="B18214" s="3" t="str">
        <f>HYPERLINK("https://www.773grp.com/manufacturer/nxp-semiconductor?pageNo=24", "NXP Semiconductors")</f>
        <v>NXP Semiconductors</v>
      </c>
      <c r="C18214" s="6">
        <v>4000</v>
      </c>
      <c r="D18214" s="7">
        <v>0.79</v>
      </c>
    </row>
    <row r="18215" spans="1:4" x14ac:dyDescent="0.25">
      <c r="A18215" t="str">
        <f>HYPERLINK("https://www.773grp.com/globalSearch/PEMI8QFN-HT132/page-1", "PEMI8QFN-HT132")</f>
        <v>PEMI8QFN-HT132</v>
      </c>
      <c r="B18215" s="3" t="str">
        <f>HYPERLINK("https://www.773grp.com/manufacturer/nxp-semiconductor?pageNo=25", "NXP Semiconductors")</f>
        <v>NXP Semiconductors</v>
      </c>
      <c r="C18215" s="6">
        <v>4000</v>
      </c>
      <c r="D18215" s="7">
        <v>0.79</v>
      </c>
    </row>
    <row r="18216" spans="1:4" x14ac:dyDescent="0.25">
      <c r="A18216" t="str">
        <f>HYPERLINK("https://www.773grp.com/globalSearch/PEMI8QFN-LE132/page-1", "PEMI8QFN-LE132")</f>
        <v>PEMI8QFN-LE132</v>
      </c>
      <c r="B18216" s="3" t="str">
        <f>HYPERLINK("https://www.773grp.com/manufacturer/nxp-semiconductor?pageNo=26", "NXP Semiconductors")</f>
        <v>NXP Semiconductors</v>
      </c>
      <c r="C18216" s="6">
        <v>4000</v>
      </c>
      <c r="D18216" s="7">
        <v>0.79</v>
      </c>
    </row>
    <row r="18217" spans="1:4" x14ac:dyDescent="0.25">
      <c r="A18217" t="str">
        <f>HYPERLINK("https://www.773grp.com/globalSearch/PEMI8QFN-LG132/page-1", "PEMI8QFN-LG132")</f>
        <v>PEMI8QFN-LG132</v>
      </c>
      <c r="B18217" s="3" t="str">
        <f>HYPERLINK("https://www.773grp.com/manufacturer/nxp-semiconductor?pageNo=27", "NXP Semiconductors")</f>
        <v>NXP Semiconductors</v>
      </c>
      <c r="C18217" s="6">
        <v>4000</v>
      </c>
      <c r="D18217" s="7">
        <v>0.79</v>
      </c>
    </row>
    <row r="18218" spans="1:4" x14ac:dyDescent="0.25">
      <c r="A18218" t="str">
        <f>HYPERLINK("https://www.773grp.com/globalSearch/PEMI8QFN-LK132/page-1", "PEMI8QFN-LK132")</f>
        <v>PEMI8QFN-LK132</v>
      </c>
      <c r="B18218" s="3" t="str">
        <f>HYPERLINK("https://www.773grp.com/manufacturer/nxp-semiconductor?pageNo=28", "NXP Semiconductors")</f>
        <v>NXP Semiconductors</v>
      </c>
      <c r="C18218" s="6">
        <v>4000</v>
      </c>
      <c r="D18218" s="7">
        <v>0.79</v>
      </c>
    </row>
    <row r="18219" spans="1:4" x14ac:dyDescent="0.25">
      <c r="A18219" t="str">
        <f>HYPERLINK("https://www.773grp.com/globalSearch/PEMI8QFN-LM132/page-1", "PEMI8QFN-LM132")</f>
        <v>PEMI8QFN-LM132</v>
      </c>
      <c r="B18219" s="3" t="str">
        <f>HYPERLINK("https://www.773grp.com/manufacturer/nxp-semiconductor?pageNo=29", "NXP Semiconductors")</f>
        <v>NXP Semiconductors</v>
      </c>
      <c r="C18219" s="6">
        <v>4000</v>
      </c>
      <c r="D18219" s="7">
        <v>0.79</v>
      </c>
    </row>
    <row r="18220" spans="1:4" x14ac:dyDescent="0.25">
      <c r="A18220" t="str">
        <f>HYPERLINK("https://www.773grp.com/globalSearch/PEMI8QFN-LP132/page-1", "PEMI8QFN-LP132")</f>
        <v>PEMI8QFN-LP132</v>
      </c>
      <c r="B18220" s="3" t="str">
        <f>HYPERLINK("https://www.773grp.com/manufacturer/nxp-semiconductor?pageNo=30", "NXP Semiconductors")</f>
        <v>NXP Semiconductors</v>
      </c>
      <c r="C18220" s="6">
        <v>4000</v>
      </c>
      <c r="D18220" s="7">
        <v>0.79</v>
      </c>
    </row>
    <row r="18221" spans="1:4" x14ac:dyDescent="0.25">
      <c r="A18221" t="str">
        <f>HYPERLINK("https://www.773grp.com/globalSearch/PEMI8QFN-LR132/page-1", "PEMI8QFN-LR132")</f>
        <v>PEMI8QFN-LR132</v>
      </c>
      <c r="B18221" s="3" t="str">
        <f>HYPERLINK("https://www.773grp.com/manufacturer/nxp-semiconductor?pageNo=31", "NXP Semiconductors")</f>
        <v>NXP Semiconductors</v>
      </c>
      <c r="C18221" s="6">
        <v>4000</v>
      </c>
      <c r="D18221" s="7">
        <v>0.79</v>
      </c>
    </row>
    <row r="18222" spans="1:4" x14ac:dyDescent="0.25">
      <c r="A18222" t="str">
        <f>HYPERLINK("https://www.773grp.com/globalSearch/PEMI8QFN-LT132/page-1", "PEMI8QFN-LT132")</f>
        <v>PEMI8QFN-LT132</v>
      </c>
      <c r="B18222" s="3" t="str">
        <f>HYPERLINK("https://www.773grp.com/manufacturer/nxp-semiconductor?pageNo=32", "NXP Semiconductors")</f>
        <v>NXP Semiconductors</v>
      </c>
      <c r="C18222" s="6">
        <v>4000</v>
      </c>
      <c r="D18222" s="7">
        <v>0.79</v>
      </c>
    </row>
    <row r="18223" spans="1:4" x14ac:dyDescent="0.25">
      <c r="A18223" t="str">
        <f>HYPERLINK("https://www.773grp.com/globalSearch/PEMI8QFN-RE132/page-1", "PEMI8QFN-RE132")</f>
        <v>PEMI8QFN-RE132</v>
      </c>
      <c r="B18223" s="3" t="str">
        <f>HYPERLINK("https://www.773grp.com/manufacturer/nxp-semiconductor?pageNo=33", "NXP Semiconductors")</f>
        <v>NXP Semiconductors</v>
      </c>
      <c r="C18223" s="6">
        <v>4000</v>
      </c>
      <c r="D18223" s="7">
        <v>0.79</v>
      </c>
    </row>
    <row r="18224" spans="1:4" x14ac:dyDescent="0.25">
      <c r="A18224" t="str">
        <f>HYPERLINK("https://www.773grp.com/globalSearch/PEMI8QFN-RG132/page-1", "PEMI8QFN-RG132")</f>
        <v>PEMI8QFN-RG132</v>
      </c>
      <c r="B18224" s="3" t="str">
        <f>HYPERLINK("https://www.773grp.com/manufacturer/nxp-semiconductor?pageNo=34", "NXP Semiconductors")</f>
        <v>NXP Semiconductors</v>
      </c>
      <c r="C18224" s="6">
        <v>4000</v>
      </c>
      <c r="D18224" s="7">
        <v>0.79</v>
      </c>
    </row>
    <row r="18225" spans="1:4" x14ac:dyDescent="0.25">
      <c r="A18225" t="str">
        <f>HYPERLINK("https://www.773grp.com/globalSearch/PEMI8QFN-RK132/page-1", "PEMI8QFN-RK132")</f>
        <v>PEMI8QFN-RK132</v>
      </c>
      <c r="B18225" s="3" t="str">
        <f>HYPERLINK("https://www.773grp.com/manufacturer/nxp-semiconductor?pageNo=35", "NXP Semiconductors")</f>
        <v>NXP Semiconductors</v>
      </c>
      <c r="C18225" s="6">
        <v>4000</v>
      </c>
      <c r="D18225" s="7">
        <v>0.79</v>
      </c>
    </row>
    <row r="18226" spans="1:4" x14ac:dyDescent="0.25">
      <c r="A18226" t="str">
        <f>HYPERLINK("https://www.773grp.com/globalSearch/PEMI8QFN-RM132/page-1", "PEMI8QFN-RM132")</f>
        <v>PEMI8QFN-RM132</v>
      </c>
      <c r="B18226" s="3" t="str">
        <f>HYPERLINK("https://www.773grp.com/manufacturer/nxp-semiconductor?pageNo=36", "NXP Semiconductors")</f>
        <v>NXP Semiconductors</v>
      </c>
      <c r="C18226" s="6">
        <v>4000</v>
      </c>
      <c r="D18226" s="7">
        <v>0.79</v>
      </c>
    </row>
    <row r="18227" spans="1:4" x14ac:dyDescent="0.25">
      <c r="A18227" t="str">
        <f>HYPERLINK("https://www.773grp.com/globalSearch/PEMI8QFN-RP132/page-1", "PEMI8QFN-RP132")</f>
        <v>PEMI8QFN-RP132</v>
      </c>
      <c r="B18227" s="3" t="str">
        <f>HYPERLINK("https://www.773grp.com/manufacturer/nxp-semiconductor?pageNo=37", "NXP Semiconductors")</f>
        <v>NXP Semiconductors</v>
      </c>
      <c r="C18227" s="6">
        <v>4000</v>
      </c>
      <c r="D18227" s="7">
        <v>0.79</v>
      </c>
    </row>
    <row r="18228" spans="1:4" x14ac:dyDescent="0.25">
      <c r="A18228" t="str">
        <f>HYPERLINK("https://www.773grp.com/globalSearch/PEMI8QFN-RR132/page-1", "PEMI8QFN-RR132")</f>
        <v>PEMI8QFN-RR132</v>
      </c>
      <c r="B18228" s="3" t="str">
        <f>HYPERLINK("https://www.773grp.com/manufacturer/nxp-semiconductor?pageNo=38", "NXP Semiconductors")</f>
        <v>NXP Semiconductors</v>
      </c>
      <c r="C18228" s="6">
        <v>4000</v>
      </c>
      <c r="D18228" s="7">
        <v>0.79</v>
      </c>
    </row>
    <row r="18229" spans="1:4" x14ac:dyDescent="0.25">
      <c r="A18229" t="str">
        <f>HYPERLINK("https://www.773grp.com/globalSearch/PEMI8QFN-RT132/page-1", "PEMI8QFN-RT132")</f>
        <v>PEMI8QFN-RT132</v>
      </c>
      <c r="B18229" s="3" t="str">
        <f>HYPERLINK("https://www.773grp.com/manufacturer/nxp-semiconductor?pageNo=39", "NXP Semiconductors")</f>
        <v>NXP Semiconductors</v>
      </c>
      <c r="C18229" s="6">
        <v>4000</v>
      </c>
      <c r="D18229" s="7">
        <v>0.79</v>
      </c>
    </row>
    <row r="18230" spans="1:4" x14ac:dyDescent="0.25">
      <c r="A18230" t="str">
        <f>HYPERLINK("https://www.773grp.com/globalSearch/PEMI8QFN-WE132/page-1", "PEMI8QFN-WE132")</f>
        <v>PEMI8QFN-WE132</v>
      </c>
      <c r="B18230" s="3" t="str">
        <f>HYPERLINK("https://www.773grp.com/manufacturer/nxp-semiconductor?pageNo=40", "NXP Semiconductors")</f>
        <v>NXP Semiconductors</v>
      </c>
      <c r="C18230" s="6">
        <v>4000</v>
      </c>
      <c r="D18230" s="7">
        <v>0.79</v>
      </c>
    </row>
    <row r="18231" spans="1:4" x14ac:dyDescent="0.25">
      <c r="A18231" t="str">
        <f>HYPERLINK("https://www.773grp.com/globalSearch/PEMI8QFN-WG132/page-1", "PEMI8QFN-WG132")</f>
        <v>PEMI8QFN-WG132</v>
      </c>
      <c r="B18231" s="3" t="str">
        <f>HYPERLINK("https://www.773grp.com/manufacturer/nxp-semiconductor?pageNo=41", "NXP Semiconductors")</f>
        <v>NXP Semiconductors</v>
      </c>
      <c r="C18231" s="6">
        <v>4000</v>
      </c>
      <c r="D18231" s="7">
        <v>0.79</v>
      </c>
    </row>
    <row r="18232" spans="1:4" x14ac:dyDescent="0.25">
      <c r="A18232" t="str">
        <f>HYPERLINK("https://www.773grp.com/globalSearch/PEMI8QFN-WK132/page-1", "PEMI8QFN-WK132")</f>
        <v>PEMI8QFN-WK132</v>
      </c>
      <c r="B18232" s="3" t="str">
        <f>HYPERLINK("https://www.773grp.com/manufacturer/nxp-semiconductor?pageNo=42", "NXP Semiconductors")</f>
        <v>NXP Semiconductors</v>
      </c>
      <c r="C18232" s="6">
        <v>4000</v>
      </c>
      <c r="D18232" s="7">
        <v>0.79</v>
      </c>
    </row>
    <row r="18233" spans="1:4" x14ac:dyDescent="0.25">
      <c r="A18233" t="str">
        <f>HYPERLINK("https://www.773grp.com/globalSearch/PEMI8QFN-WM132/page-1", "PEMI8QFN-WM132")</f>
        <v>PEMI8QFN-WM132</v>
      </c>
      <c r="B18233" s="3" t="str">
        <f>HYPERLINK("https://www.773grp.com/manufacturer/nxp-semiconductor?pageNo=43", "NXP Semiconductors")</f>
        <v>NXP Semiconductors</v>
      </c>
      <c r="C18233" s="6">
        <v>4000</v>
      </c>
      <c r="D18233" s="7">
        <v>0.79</v>
      </c>
    </row>
    <row r="18234" spans="1:4" x14ac:dyDescent="0.25">
      <c r="A18234" t="str">
        <f>HYPERLINK("https://www.773grp.com/globalSearch/PEMI8QFN-WR132/page-1", "PEMI8QFN-WR132")</f>
        <v>PEMI8QFN-WR132</v>
      </c>
      <c r="B18234" s="3" t="str">
        <f>HYPERLINK("https://www.773grp.com/manufacturer/nxp-semiconductor?pageNo=44", "NXP Semiconductors")</f>
        <v>NXP Semiconductors</v>
      </c>
      <c r="C18234" s="6">
        <v>4000</v>
      </c>
      <c r="D18234" s="7">
        <v>0.79</v>
      </c>
    </row>
    <row r="18235" spans="1:4" x14ac:dyDescent="0.25">
      <c r="A18235" t="str">
        <f>HYPERLINK("https://www.773grp.com/globalSearch/PEMI8QFN-WT132/page-1", "PEMI8QFN-WT132")</f>
        <v>PEMI8QFN-WT132</v>
      </c>
      <c r="B18235" s="3" t="str">
        <f>HYPERLINK("https://www.773grp.com/manufacturer/nxp-semiconductor?pageNo=45", "NXP Semiconductors")</f>
        <v>NXP Semiconductors</v>
      </c>
      <c r="C18235" s="6">
        <v>4000</v>
      </c>
      <c r="D18235" s="7">
        <v>0.79</v>
      </c>
    </row>
    <row r="18236" spans="1:4" x14ac:dyDescent="0.25">
      <c r="A18236" t="str">
        <f>HYPERLINK("https://www.773grp.com/globalSearch/PESD5V0L6UAS118/page-1", "PESD5V0L6UAS118")</f>
        <v>PESD5V0L6UAS118</v>
      </c>
      <c r="B18236" s="3" t="str">
        <f>HYPERLINK("https://www.773grp.com/manufacturer/nxp-semiconductor?pageNo=46", "NXP Semiconductors")</f>
        <v>NXP Semiconductors</v>
      </c>
      <c r="C18236" s="6">
        <v>8929</v>
      </c>
      <c r="D18236" s="7">
        <v>0.79</v>
      </c>
    </row>
    <row r="18237" spans="1:4" x14ac:dyDescent="0.25">
      <c r="A18237" t="str">
        <f>HYPERLINK("https://www.773grp.com/globalSearch/PESD5V0L6US118/page-1", "PESD5V0L6US118")</f>
        <v>PESD5V0L6US118</v>
      </c>
      <c r="B18237" s="3" t="str">
        <f>HYPERLINK("https://www.773grp.com/manufacturer/nxp-semiconductor?pageNo=47", "NXP Semiconductors")</f>
        <v>NXP Semiconductors</v>
      </c>
      <c r="C18237" s="6">
        <v>47500</v>
      </c>
      <c r="D18237" s="7">
        <v>0.79</v>
      </c>
    </row>
    <row r="18238" spans="1:4" x14ac:dyDescent="0.25">
      <c r="A18238" t="str">
        <f>HYPERLINK("https://www.773grp.com/globalSearch/PESD5V0L7BAS118/page-1", "PESD5V0L7BAS118")</f>
        <v>PESD5V0L7BAS118</v>
      </c>
      <c r="B18238" s="3" t="str">
        <f>HYPERLINK("https://www.773grp.com/manufacturer/nxp-semiconductor?pageNo=48", "NXP Semiconductors")</f>
        <v>NXP Semiconductors</v>
      </c>
      <c r="C18238" s="6">
        <v>10000</v>
      </c>
      <c r="D18238" s="7">
        <v>0.79</v>
      </c>
    </row>
    <row r="18239" spans="1:4" x14ac:dyDescent="0.25">
      <c r="A18239" t="str">
        <f>HYPERLINK("https://www.773grp.com/globalSearch/PMN23UN135/page-1", "PMN23UN135")</f>
        <v>PMN23UN135</v>
      </c>
      <c r="B18239" s="3" t="str">
        <f>HYPERLINK("https://www.773grp.com/manufacturer/nxp-semiconductor?pageNo=1", "NXP Semiconductors")</f>
        <v>NXP Semiconductors</v>
      </c>
      <c r="C18239" s="6">
        <v>11649</v>
      </c>
      <c r="D18239" s="7">
        <v>0.79</v>
      </c>
    </row>
    <row r="18240" spans="1:4" x14ac:dyDescent="0.25">
      <c r="A18240" t="str">
        <f>HYPERLINK("https://www.773grp.com/globalSearch/PMN27UN135/page-1", "PMN27UN135")</f>
        <v>PMN27UN135</v>
      </c>
      <c r="B18240" s="3" t="str">
        <f>HYPERLINK("https://www.773grp.com/manufacturer/nxp-semiconductor?pageNo=2", "NXP Semiconductors")</f>
        <v>NXP Semiconductors</v>
      </c>
      <c r="C18240" s="6">
        <v>10250</v>
      </c>
      <c r="D18240" s="7">
        <v>0.79</v>
      </c>
    </row>
    <row r="18241" spans="1:4" x14ac:dyDescent="0.25">
      <c r="A18241" t="str">
        <f>HYPERLINK("https://www.773grp.com/globalSearch/PMN34LN135/page-1", "PMN34LN135")</f>
        <v>PMN34LN135</v>
      </c>
      <c r="B18241" s="3" t="str">
        <f>HYPERLINK("https://www.773grp.com/manufacturer/nxp-semiconductor?pageNo=3", "NXP Semiconductors")</f>
        <v>NXP Semiconductors</v>
      </c>
      <c r="C18241" s="6">
        <v>175</v>
      </c>
      <c r="D18241" s="7">
        <v>0.79</v>
      </c>
    </row>
    <row r="18242" spans="1:4" x14ac:dyDescent="0.25">
      <c r="A18242" t="str">
        <f>HYPERLINK("https://www.773grp.com/globalSearch/PMN34UN135/page-1", "PMN34UN135")</f>
        <v>PMN34UN135</v>
      </c>
      <c r="B18242" s="3" t="str">
        <f>HYPERLINK("https://www.773grp.com/manufacturer/nxp-semiconductor?pageNo=4", "NXP Semiconductors")</f>
        <v>NXP Semiconductors</v>
      </c>
      <c r="C18242" s="6">
        <v>650</v>
      </c>
      <c r="D18242" s="7">
        <v>0.79</v>
      </c>
    </row>
    <row r="18243" spans="1:4" x14ac:dyDescent="0.25">
      <c r="A18243" t="str">
        <f>HYPERLINK("https://www.773grp.com/globalSearch/PMN38EN135/page-1", "PMN38EN135")</f>
        <v>PMN38EN135</v>
      </c>
      <c r="B18243" s="3" t="str">
        <f>HYPERLINK("https://www.773grp.com/manufacturer/nxp-semiconductor?pageNo=5", "NXP Semiconductors")</f>
        <v>NXP Semiconductors</v>
      </c>
      <c r="C18243" s="6">
        <v>300</v>
      </c>
      <c r="D18243" s="7">
        <v>0.79</v>
      </c>
    </row>
    <row r="18244" spans="1:4" x14ac:dyDescent="0.25">
      <c r="A18244" t="str">
        <f>HYPERLINK("https://www.773grp.com/globalSearch/PMN40LN135/page-1", "PMN40LN135")</f>
        <v>PMN40LN135</v>
      </c>
      <c r="B18244" s="3" t="str">
        <f>HYPERLINK("https://www.773grp.com/manufacturer/nxp-semiconductor?pageNo=6", "NXP Semiconductors")</f>
        <v>NXP Semiconductors</v>
      </c>
      <c r="C18244" s="6">
        <v>24547</v>
      </c>
      <c r="D18244" s="7">
        <v>0.79</v>
      </c>
    </row>
    <row r="18245" spans="1:4" x14ac:dyDescent="0.25">
      <c r="A18245" t="str">
        <f>HYPERLINK("https://www.773grp.com/globalSearch/PMP4201G115/page-1", "PMP4201G115")</f>
        <v>PMP4201G115</v>
      </c>
      <c r="B18245" s="3" t="str">
        <f>HYPERLINK("https://www.773grp.com/manufacturer/nxp-semiconductor?pageNo=7", "NXP Semiconductors")</f>
        <v>NXP Semiconductors</v>
      </c>
      <c r="C18245" s="6">
        <v>9279</v>
      </c>
      <c r="D18245" s="7">
        <v>0.79</v>
      </c>
    </row>
    <row r="18246" spans="1:4" x14ac:dyDescent="0.25">
      <c r="A18246" t="str">
        <f>HYPERLINK("https://www.773grp.com/globalSearch/PMP4201V115/page-1", "PMP4201V115")</f>
        <v>PMP4201V115</v>
      </c>
      <c r="B18246" s="3" t="str">
        <f>HYPERLINK("https://www.773grp.com/manufacturer/nxp-semiconductor?pageNo=8", "NXP Semiconductors")</f>
        <v>NXP Semiconductors</v>
      </c>
      <c r="C18246" s="6">
        <v>8315</v>
      </c>
      <c r="D18246" s="7">
        <v>0.79</v>
      </c>
    </row>
    <row r="18247" spans="1:4" x14ac:dyDescent="0.25">
      <c r="A18247" t="str">
        <f>HYPERLINK("https://www.773grp.com/globalSearch/PMP4201Y115/page-1", "PMP4201Y115")</f>
        <v>PMP4201Y115</v>
      </c>
      <c r="B18247" s="3" t="str">
        <f>HYPERLINK("https://www.773grp.com/manufacturer/nxp-semiconductor?pageNo=9", "NXP Semiconductors")</f>
        <v>NXP Semiconductors</v>
      </c>
      <c r="C18247" s="6">
        <v>21000</v>
      </c>
      <c r="D18247" s="7">
        <v>0.79</v>
      </c>
    </row>
    <row r="18248" spans="1:4" x14ac:dyDescent="0.25">
      <c r="A18248" t="str">
        <f>HYPERLINK("https://www.773grp.com/globalSearch/PMP5201G115/page-1", "PMP5201G115")</f>
        <v>PMP5201G115</v>
      </c>
      <c r="B18248" s="3" t="str">
        <f>HYPERLINK("https://www.773grp.com/manufacturer/nxp-semiconductor?pageNo=10", "NXP Semiconductors")</f>
        <v>NXP Semiconductors</v>
      </c>
      <c r="C18248" s="6">
        <v>14480</v>
      </c>
      <c r="D18248" s="7">
        <v>0.79</v>
      </c>
    </row>
    <row r="18249" spans="1:4" x14ac:dyDescent="0.25">
      <c r="A18249" t="str">
        <f>HYPERLINK("https://www.773grp.com/globalSearch/PMP5201Y115/page-1", "PMP5201Y115")</f>
        <v>PMP5201Y115</v>
      </c>
      <c r="B18249" s="3" t="str">
        <f>HYPERLINK("https://www.773grp.com/manufacturer/nxp-semiconductor?pageNo=11", "NXP Semiconductors")</f>
        <v>NXP Semiconductors</v>
      </c>
      <c r="C18249" s="6">
        <v>8295</v>
      </c>
      <c r="D18249" s="7">
        <v>0.79</v>
      </c>
    </row>
    <row r="18250" spans="1:4" x14ac:dyDescent="0.25">
      <c r="A18250" t="str">
        <f>HYPERLINK("https://www.773grp.com/globalSearch/PSMN9R0-30YL115/page-1", "PSMN9R0-30YL115")</f>
        <v>PSMN9R0-30YL115</v>
      </c>
      <c r="B18250" s="3" t="str">
        <f>HYPERLINK("https://www.773grp.com/manufacturer/nxp-semiconductor?pageNo=12", "NXP Semiconductors")</f>
        <v>NXP Semiconductors</v>
      </c>
      <c r="C18250" s="6">
        <v>6229</v>
      </c>
      <c r="D18250" s="7">
        <v>0.79</v>
      </c>
    </row>
    <row r="18251" spans="1:4" x14ac:dyDescent="0.25">
      <c r="A18251" t="str">
        <f>HYPERLINK("https://www.773grp.com/globalSearch/PXT4401115/page-1", "PXT4401115")</f>
        <v>PXT4401115</v>
      </c>
      <c r="B18251" s="3" t="str">
        <f>HYPERLINK("https://www.773grp.com/manufacturer/nxp-semiconductor?pageNo=13", "NXP Semiconductors")</f>
        <v>NXP Semiconductors</v>
      </c>
      <c r="C18251" s="6">
        <v>3000</v>
      </c>
      <c r="D18251" s="7">
        <v>0.79</v>
      </c>
    </row>
    <row r="18252" spans="1:4" x14ac:dyDescent="0.25">
      <c r="A18252" t="str">
        <f>HYPERLINK("https://www.773grp.com/globalSearch/PXT4403115/page-1", "PXT4403115")</f>
        <v>PXT4403115</v>
      </c>
      <c r="B18252" s="3" t="str">
        <f>HYPERLINK("https://www.773grp.com/manufacturer/nxp-semiconductor?pageNo=14", "NXP Semiconductors")</f>
        <v>NXP Semiconductors</v>
      </c>
      <c r="C18252" s="6">
        <v>8000</v>
      </c>
      <c r="D18252" s="7">
        <v>0.79</v>
      </c>
    </row>
    <row r="18253" spans="1:4" x14ac:dyDescent="0.25">
      <c r="A18253" t="str">
        <f>HYPERLINK("https://www.773grp.com/globalSearch/XC7SET125GF132/page-1", "XC7SET125GF132")</f>
        <v>XC7SET125GF132</v>
      </c>
      <c r="B18253" s="3" t="str">
        <f>HYPERLINK("https://www.773grp.com/manufacturer/nxp-semiconductor?pageNo=15", "NXP Semiconductors")</f>
        <v>NXP Semiconductors</v>
      </c>
      <c r="C18253" s="6">
        <v>300</v>
      </c>
      <c r="D18253" s="7">
        <v>0.79</v>
      </c>
    </row>
    <row r="18254" spans="1:4" x14ac:dyDescent="0.25">
      <c r="A18254" t="str">
        <f>HYPERLINK("https://www.773grp.com/globalSearch/XC7SH125GF132/page-1", "XC7SH125GF132")</f>
        <v>XC7SH125GF132</v>
      </c>
      <c r="B18254" s="3" t="str">
        <f>HYPERLINK("https://www.773grp.com/manufacturer/nxp-semiconductor?pageNo=16", "NXP Semiconductors")</f>
        <v>NXP Semiconductors</v>
      </c>
      <c r="C18254" s="6">
        <v>3760</v>
      </c>
      <c r="D18254" s="7">
        <v>0.79</v>
      </c>
    </row>
    <row r="18255" spans="1:4" x14ac:dyDescent="0.25">
      <c r="A18255" t="str">
        <f>HYPERLINK("https://www.773grp.com/globalSearch/XC7WH126GD125/page-1", "XC7WH126GD125")</f>
        <v>XC7WH126GD125</v>
      </c>
      <c r="B18255" s="3" t="str">
        <f>HYPERLINK("https://www.773grp.com/manufacturer/nxp-semiconductor?pageNo=17", "NXP Semiconductors")</f>
        <v>NXP Semiconductors</v>
      </c>
      <c r="C18255" s="6">
        <v>3800</v>
      </c>
      <c r="D18255" s="7">
        <v>0.79</v>
      </c>
    </row>
    <row r="18256" spans="1:4" x14ac:dyDescent="0.25">
      <c r="A18256" t="str">
        <f>HYPERLINK("https://www.773grp.com/globalSearch/XC7WH14GD125/page-1", "XC7WH14GD125")</f>
        <v>XC7WH14GD125</v>
      </c>
      <c r="B18256" s="3" t="str">
        <f>HYPERLINK("https://www.773grp.com/manufacturer/nxp-semiconductor?pageNo=18", "NXP Semiconductors")</f>
        <v>NXP Semiconductors</v>
      </c>
      <c r="C18256" s="6">
        <v>3800</v>
      </c>
      <c r="D18256" s="7">
        <v>0.79</v>
      </c>
    </row>
    <row r="18257" spans="1:4" x14ac:dyDescent="0.25">
      <c r="A18257" t="str">
        <f>HYPERLINK("https://www.773grp.com/globalSearch/74ABT2244D118/page-1", "74ABT2244D118")</f>
        <v>74ABT2244D118</v>
      </c>
      <c r="B18257" s="3" t="str">
        <f>HYPERLINK("https://www.773grp.com/manufacturer/nxp-semiconductor?pageNo=19", "NXP Semiconductors")</f>
        <v>NXP Semiconductors</v>
      </c>
      <c r="C18257" s="6">
        <v>6000</v>
      </c>
      <c r="D18257" s="7">
        <v>0.85</v>
      </c>
    </row>
    <row r="18258" spans="1:4" x14ac:dyDescent="0.25">
      <c r="A18258" t="str">
        <f>HYPERLINK("https://www.773grp.com/globalSearch/74ABT240D602/page-1", "74ABT240D602")</f>
        <v>74ABT240D602</v>
      </c>
      <c r="B18258" s="3" t="str">
        <f>HYPERLINK("https://www.773grp.com/manufacturer/nxp-semiconductor?pageNo=20", "NXP Semiconductors")</f>
        <v>NXP Semiconductors</v>
      </c>
      <c r="C18258" s="6">
        <v>4560</v>
      </c>
      <c r="D18258" s="7">
        <v>0.85</v>
      </c>
    </row>
    <row r="18259" spans="1:4" x14ac:dyDescent="0.25">
      <c r="A18259" t="str">
        <f>HYPERLINK("https://www.773grp.com/globalSearch/74ABT240D623/page-1", "74ABT240D623")</f>
        <v>74ABT240D623</v>
      </c>
      <c r="B18259" s="3" t="str">
        <f>HYPERLINK("https://www.773grp.com/manufacturer/nxp-semiconductor?pageNo=21", "NXP Semiconductors")</f>
        <v>NXP Semiconductors</v>
      </c>
      <c r="C18259" s="6">
        <v>14000</v>
      </c>
      <c r="D18259" s="7">
        <v>0.85</v>
      </c>
    </row>
    <row r="18260" spans="1:4" x14ac:dyDescent="0.25">
      <c r="A18260" t="str">
        <f>HYPERLINK("https://www.773grp.com/globalSearch/74ABT240PW112/page-1", "74ABT240PW112")</f>
        <v>74ABT240PW112</v>
      </c>
      <c r="B18260" s="3" t="str">
        <f>HYPERLINK("https://www.773grp.com/manufacturer/nxp-semiconductor?pageNo=22", "NXP Semiconductors")</f>
        <v>NXP Semiconductors</v>
      </c>
      <c r="C18260" s="6">
        <v>947</v>
      </c>
      <c r="D18260" s="7">
        <v>0.85</v>
      </c>
    </row>
    <row r="18261" spans="1:4" x14ac:dyDescent="0.25">
      <c r="A18261" t="str">
        <f>HYPERLINK("https://www.773grp.com/globalSearch/74ABT373AD112/page-1", "74ABT373AD112")</f>
        <v>74ABT373AD112</v>
      </c>
      <c r="B18261" s="3" t="str">
        <f>HYPERLINK("https://www.773grp.com/manufacturer/nxp-semiconductor?pageNo=23", "NXP Semiconductors")</f>
        <v>NXP Semiconductors</v>
      </c>
      <c r="C18261" s="6">
        <v>1520</v>
      </c>
      <c r="D18261" s="7">
        <v>0.85</v>
      </c>
    </row>
    <row r="18262" spans="1:4" x14ac:dyDescent="0.25">
      <c r="A18262" t="str">
        <f>HYPERLINK("https://www.773grp.com/globalSearch/74ABT373AD118/page-1", "74ABT373AD118")</f>
        <v>74ABT373AD118</v>
      </c>
      <c r="B18262" s="3" t="str">
        <f>HYPERLINK("https://www.773grp.com/manufacturer/nxp-semiconductor?pageNo=24", "NXP Semiconductors")</f>
        <v>NXP Semiconductors</v>
      </c>
      <c r="C18262" s="6">
        <v>11500</v>
      </c>
      <c r="D18262" s="7">
        <v>0.85</v>
      </c>
    </row>
    <row r="18263" spans="1:4" x14ac:dyDescent="0.25">
      <c r="A18263" t="str">
        <f>HYPERLINK("https://www.773grp.com/globalSearch/74ABT374ADB112/page-1", "74ABT374ADB112")</f>
        <v>74ABT374ADB112</v>
      </c>
      <c r="B18263" s="3" t="str">
        <f>HYPERLINK("https://www.773grp.com/manufacturer/nxp-semiconductor?pageNo=25", "NXP Semiconductors")</f>
        <v>NXP Semiconductors</v>
      </c>
      <c r="C18263" s="6">
        <v>3696</v>
      </c>
      <c r="D18263" s="7">
        <v>0.85</v>
      </c>
    </row>
    <row r="18264" spans="1:4" x14ac:dyDescent="0.25">
      <c r="A18264" t="str">
        <f>HYPERLINK("https://www.773grp.com/globalSearch/74ABT374ADB118/page-1", "74ABT374ADB118")</f>
        <v>74ABT374ADB118</v>
      </c>
      <c r="B18264" s="3" t="str">
        <f>HYPERLINK("https://www.773grp.com/manufacturer/nxp-semiconductor?pageNo=26", "NXP Semiconductors")</f>
        <v>NXP Semiconductors</v>
      </c>
      <c r="C18264" s="6">
        <v>1000</v>
      </c>
      <c r="D18264" s="7">
        <v>0.85</v>
      </c>
    </row>
    <row r="18265" spans="1:4" x14ac:dyDescent="0.25">
      <c r="A18265" t="str">
        <f>HYPERLINK("https://www.773grp.com/globalSearch/74ABT374APW112/page-1", "74ABT374APW112")</f>
        <v>74ABT374APW112</v>
      </c>
      <c r="B18265" s="3" t="str">
        <f>HYPERLINK("https://www.773grp.com/manufacturer/nxp-semiconductor?pageNo=27", "NXP Semiconductors")</f>
        <v>NXP Semiconductors</v>
      </c>
      <c r="C18265" s="6">
        <v>1575</v>
      </c>
      <c r="D18265" s="7">
        <v>0.85</v>
      </c>
    </row>
    <row r="18266" spans="1:4" x14ac:dyDescent="0.25">
      <c r="A18266" t="str">
        <f>HYPERLINK("https://www.773grp.com/globalSearch/74ABT540D623/page-1", "74ABT540D623")</f>
        <v>74ABT540D623</v>
      </c>
      <c r="B18266" s="3" t="str">
        <f>HYPERLINK("https://www.773grp.com/manufacturer/nxp-semiconductor?pageNo=28", "NXP Semiconductors")</f>
        <v>NXP Semiconductors</v>
      </c>
      <c r="C18266" s="6">
        <v>38000</v>
      </c>
      <c r="D18266" s="7">
        <v>0.85</v>
      </c>
    </row>
    <row r="18267" spans="1:4" x14ac:dyDescent="0.25">
      <c r="A18267" t="str">
        <f>HYPERLINK("https://www.773grp.com/globalSearch/74ABT540DB118/page-1", "74ABT540DB118")</f>
        <v>74ABT540DB118</v>
      </c>
      <c r="B18267" s="3" t="str">
        <f>HYPERLINK("https://www.773grp.com/manufacturer/nxp-semiconductor?pageNo=29", "NXP Semiconductors")</f>
        <v>NXP Semiconductors</v>
      </c>
      <c r="C18267" s="6">
        <v>1000</v>
      </c>
      <c r="D18267" s="7">
        <v>0.85</v>
      </c>
    </row>
    <row r="18268" spans="1:4" x14ac:dyDescent="0.25">
      <c r="A18268" t="str">
        <f>HYPERLINK("https://www.773grp.com/globalSearch/74ABT540PW112/page-1", "74ABT540PW112")</f>
        <v>74ABT540PW112</v>
      </c>
      <c r="B18268" s="3" t="str">
        <f>HYPERLINK("https://www.773grp.com/manufacturer/nxp-semiconductor?pageNo=30", "NXP Semiconductors")</f>
        <v>NXP Semiconductors</v>
      </c>
      <c r="C18268" s="6">
        <v>1600</v>
      </c>
      <c r="D18268" s="7">
        <v>0.85</v>
      </c>
    </row>
    <row r="18269" spans="1:4" x14ac:dyDescent="0.25">
      <c r="A18269" t="str">
        <f>HYPERLINK("https://www.773grp.com/globalSearch/74ABT541D602/page-1", "74ABT541D602")</f>
        <v>74ABT541D602</v>
      </c>
      <c r="B18269" s="3" t="str">
        <f>HYPERLINK("https://www.773grp.com/manufacturer/nxp-semiconductor?pageNo=31", "NXP Semiconductors")</f>
        <v>NXP Semiconductors</v>
      </c>
      <c r="C18269" s="6">
        <v>1540</v>
      </c>
      <c r="D18269" s="7">
        <v>0.85</v>
      </c>
    </row>
    <row r="18270" spans="1:4" x14ac:dyDescent="0.25">
      <c r="A18270" t="str">
        <f>HYPERLINK("https://www.773grp.com/globalSearch/74ABT541D623/page-1", "74ABT541D623")</f>
        <v>74ABT541D623</v>
      </c>
      <c r="B18270" s="3" t="str">
        <f>HYPERLINK("https://www.773grp.com/manufacturer/nxp-semiconductor?pageNo=32", "NXP Semiconductors")</f>
        <v>NXP Semiconductors</v>
      </c>
      <c r="C18270" s="6">
        <v>6045</v>
      </c>
      <c r="D18270" s="7">
        <v>0.85</v>
      </c>
    </row>
    <row r="18271" spans="1:4" x14ac:dyDescent="0.25">
      <c r="A18271" t="str">
        <f>HYPERLINK("https://www.773grp.com/globalSearch/74ABT573APW118/page-1", "74ABT573APW118")</f>
        <v>74ABT573APW118</v>
      </c>
      <c r="B18271" s="3" t="str">
        <f>HYPERLINK("https://www.773grp.com/manufacturer/nxp-semiconductor?pageNo=33", "NXP Semiconductors")</f>
        <v>NXP Semiconductors</v>
      </c>
      <c r="C18271" s="6">
        <v>3070</v>
      </c>
      <c r="D18271" s="7">
        <v>0.85</v>
      </c>
    </row>
    <row r="18272" spans="1:4" x14ac:dyDescent="0.25">
      <c r="A18272" t="str">
        <f>HYPERLINK("https://www.773grp.com/globalSearch/74ALVC244PW112/page-1", "74ALVC244PW112")</f>
        <v>74ALVC244PW112</v>
      </c>
      <c r="B18272" s="3" t="str">
        <f>HYPERLINK("https://www.773grp.com/manufacturer/nxp-semiconductor?pageNo=34", "NXP Semiconductors")</f>
        <v>NXP Semiconductors</v>
      </c>
      <c r="C18272" s="6">
        <v>7049</v>
      </c>
      <c r="D18272" s="7">
        <v>0.85</v>
      </c>
    </row>
    <row r="18273" spans="1:4" x14ac:dyDescent="0.25">
      <c r="A18273" t="str">
        <f>HYPERLINK("https://www.773grp.com/globalSearch/74ALVC244PW118/page-1", "74ALVC244PW118")</f>
        <v>74ALVC244PW118</v>
      </c>
      <c r="B18273" s="3" t="str">
        <f>HYPERLINK("https://www.773grp.com/manufacturer/nxp-semiconductor?pageNo=35", "NXP Semiconductors")</f>
        <v>NXP Semiconductors</v>
      </c>
      <c r="C18273" s="6">
        <v>11350</v>
      </c>
      <c r="D18273" s="7">
        <v>0.85</v>
      </c>
    </row>
    <row r="18274" spans="1:4" x14ac:dyDescent="0.25">
      <c r="A18274" t="str">
        <f>HYPERLINK("https://www.773grp.com/globalSearch/74AUP1G00GN132/page-1", "74AUP1G00GN132")</f>
        <v>74AUP1G00GN132</v>
      </c>
      <c r="B18274" s="3" t="str">
        <f>HYPERLINK("https://www.773grp.com/manufacturer/nxp-semiconductor?pageNo=36", "NXP Semiconductors")</f>
        <v>NXP Semiconductors</v>
      </c>
      <c r="C18274" s="6">
        <v>300</v>
      </c>
      <c r="D18274" s="7">
        <v>0.85</v>
      </c>
    </row>
    <row r="18275" spans="1:4" x14ac:dyDescent="0.25">
      <c r="A18275" t="str">
        <f>HYPERLINK("https://www.773grp.com/globalSearch/74AUP1G02GN132/page-1", "74AUP1G02GN132")</f>
        <v>74AUP1G02GN132</v>
      </c>
      <c r="B18275" s="3" t="str">
        <f>HYPERLINK("https://www.773grp.com/manufacturer/nxp-semiconductor?pageNo=37", "NXP Semiconductors")</f>
        <v>NXP Semiconductors</v>
      </c>
      <c r="C18275" s="6">
        <v>300</v>
      </c>
      <c r="D18275" s="7">
        <v>0.85</v>
      </c>
    </row>
    <row r="18276" spans="1:4" x14ac:dyDescent="0.25">
      <c r="A18276" t="str">
        <f>HYPERLINK("https://www.773grp.com/globalSearch/74AUP1G04GN132/page-1", "74AUP1G04GN132")</f>
        <v>74AUP1G04GN132</v>
      </c>
      <c r="B18276" s="3" t="str">
        <f>HYPERLINK("https://www.773grp.com/manufacturer/nxp-semiconductor?pageNo=38", "NXP Semiconductors")</f>
        <v>NXP Semiconductors</v>
      </c>
      <c r="C18276" s="6">
        <v>300</v>
      </c>
      <c r="D18276" s="7">
        <v>0.85</v>
      </c>
    </row>
    <row r="18277" spans="1:4" x14ac:dyDescent="0.25">
      <c r="A18277" t="str">
        <f>HYPERLINK("https://www.773grp.com/globalSearch/74AUP1G06GF132/page-1", "74AUP1G06GF132")</f>
        <v>74AUP1G06GF132</v>
      </c>
      <c r="B18277" s="3" t="str">
        <f>HYPERLINK("https://www.773grp.com/manufacturer/nxp-semiconductor?pageNo=39", "NXP Semiconductors")</f>
        <v>NXP Semiconductors</v>
      </c>
      <c r="C18277" s="6">
        <v>300</v>
      </c>
      <c r="D18277" s="7">
        <v>0.85</v>
      </c>
    </row>
    <row r="18278" spans="1:4" x14ac:dyDescent="0.25">
      <c r="A18278" t="str">
        <f>HYPERLINK("https://www.773grp.com/globalSearch/74AUP1G07GN132/page-1", "74AUP1G07GN132")</f>
        <v>74AUP1G07GN132</v>
      </c>
      <c r="B18278" s="3" t="str">
        <f>HYPERLINK("https://www.773grp.com/manufacturer/nxp-semiconductor?pageNo=40", "NXP Semiconductors")</f>
        <v>NXP Semiconductors</v>
      </c>
      <c r="C18278" s="6">
        <v>400</v>
      </c>
      <c r="D18278" s="7">
        <v>0.85</v>
      </c>
    </row>
    <row r="18279" spans="1:4" x14ac:dyDescent="0.25">
      <c r="A18279" t="str">
        <f>HYPERLINK("https://www.773grp.com/globalSearch/74AUP1G07GW125/page-1", "74AUP1G07GW125")</f>
        <v>74AUP1G07GW125</v>
      </c>
      <c r="B18279" s="3" t="str">
        <f>HYPERLINK("https://www.773grp.com/manufacturer/nxp-semiconductor?pageNo=41", "NXP Semiconductors")</f>
        <v>NXP Semiconductors</v>
      </c>
      <c r="C18279" s="6">
        <v>3497</v>
      </c>
      <c r="D18279" s="7">
        <v>0.85</v>
      </c>
    </row>
    <row r="18280" spans="1:4" x14ac:dyDescent="0.25">
      <c r="A18280" t="str">
        <f>HYPERLINK("https://www.773grp.com/globalSearch/74AUP1G125GN132/page-1", "74AUP1G125GN132")</f>
        <v>74AUP1G125GN132</v>
      </c>
      <c r="B18280" s="3" t="str">
        <f>HYPERLINK("https://www.773grp.com/manufacturer/nxp-semiconductor?pageNo=42", "NXP Semiconductors")</f>
        <v>NXP Semiconductors</v>
      </c>
      <c r="C18280" s="6">
        <v>300</v>
      </c>
      <c r="D18280" s="7">
        <v>0.85</v>
      </c>
    </row>
    <row r="18281" spans="1:4" x14ac:dyDescent="0.25">
      <c r="A18281" t="str">
        <f>HYPERLINK("https://www.773grp.com/globalSearch/74AUP1G132GF132/page-1", "74AUP1G132GF132")</f>
        <v>74AUP1G132GF132</v>
      </c>
      <c r="B18281" s="3" t="str">
        <f>HYPERLINK("https://www.773grp.com/manufacturer/nxp-semiconductor?pageNo=43", "NXP Semiconductors")</f>
        <v>NXP Semiconductors</v>
      </c>
      <c r="C18281" s="6">
        <v>300</v>
      </c>
      <c r="D18281" s="7">
        <v>0.85</v>
      </c>
    </row>
    <row r="18282" spans="1:4" x14ac:dyDescent="0.25">
      <c r="A18282" t="str">
        <f>HYPERLINK("https://www.773grp.com/globalSearch/74AUP1G132GN132/page-1", "74AUP1G132GN132")</f>
        <v>74AUP1G132GN132</v>
      </c>
      <c r="B18282" s="3" t="str">
        <f>HYPERLINK("https://www.773grp.com/manufacturer/nxp-semiconductor?pageNo=44", "NXP Semiconductors")</f>
        <v>NXP Semiconductors</v>
      </c>
      <c r="C18282" s="6">
        <v>300</v>
      </c>
      <c r="D18282" s="7">
        <v>0.85</v>
      </c>
    </row>
    <row r="18283" spans="1:4" x14ac:dyDescent="0.25">
      <c r="A18283" t="str">
        <f>HYPERLINK("https://www.773grp.com/globalSearch/74AUP1G132GW125/page-1", "74AUP1G132GW125")</f>
        <v>74AUP1G132GW125</v>
      </c>
      <c r="B18283" s="3" t="str">
        <f>HYPERLINK("https://www.773grp.com/manufacturer/nxp-semiconductor?pageNo=45", "NXP Semiconductors")</f>
        <v>NXP Semiconductors</v>
      </c>
      <c r="C18283" s="6">
        <v>3000</v>
      </c>
      <c r="D18283" s="7">
        <v>0.85</v>
      </c>
    </row>
    <row r="18284" spans="1:4" x14ac:dyDescent="0.25">
      <c r="A18284" t="str">
        <f>HYPERLINK("https://www.773grp.com/globalSearch/74AUP1G14GF132/page-1", "74AUP1G14GF132")</f>
        <v>74AUP1G14GF132</v>
      </c>
      <c r="B18284" s="3" t="str">
        <f>HYPERLINK("https://www.773grp.com/manufacturer/nxp-semiconductor?pageNo=46", "NXP Semiconductors")</f>
        <v>NXP Semiconductors</v>
      </c>
      <c r="C18284" s="6">
        <v>300</v>
      </c>
      <c r="D18284" s="7">
        <v>0.85</v>
      </c>
    </row>
    <row r="18285" spans="1:4" x14ac:dyDescent="0.25">
      <c r="A18285" t="str">
        <f>HYPERLINK("https://www.773grp.com/globalSearch/74AUP1G18GF132/page-1", "74AUP1G18GF132")</f>
        <v>74AUP1G18GF132</v>
      </c>
      <c r="B18285" s="3" t="str">
        <f>HYPERLINK("https://www.773grp.com/manufacturer/nxp-semiconductor?pageNo=47", "NXP Semiconductors")</f>
        <v>NXP Semiconductors</v>
      </c>
      <c r="C18285" s="6">
        <v>5000</v>
      </c>
      <c r="D18285" s="7">
        <v>0.85</v>
      </c>
    </row>
    <row r="18286" spans="1:4" x14ac:dyDescent="0.25">
      <c r="A18286" t="str">
        <f>HYPERLINK("https://www.773grp.com/globalSearch/74AUP1G38GW125/page-1", "74AUP1G38GW125")</f>
        <v>74AUP1G38GW125</v>
      </c>
      <c r="B18286" s="3" t="str">
        <f>HYPERLINK("https://www.773grp.com/manufacturer/nxp-semiconductor?pageNo=48", "NXP Semiconductors")</f>
        <v>NXP Semiconductors</v>
      </c>
      <c r="C18286" s="6">
        <v>3000</v>
      </c>
      <c r="D18286" s="7">
        <v>0.85</v>
      </c>
    </row>
    <row r="18287" spans="1:4" x14ac:dyDescent="0.25">
      <c r="A18287" t="str">
        <f>HYPERLINK("https://www.773grp.com/globalSearch/74AUP1G80GW125/page-1", "74AUP1G80GW125")</f>
        <v>74AUP1G80GW125</v>
      </c>
      <c r="B18287" s="3" t="str">
        <f>HYPERLINK("https://www.773grp.com/manufacturer/nxp-semiconductor?pageNo=1", "NXP Semiconductors")</f>
        <v>NXP Semiconductors</v>
      </c>
      <c r="C18287" s="6">
        <v>6000</v>
      </c>
      <c r="D18287" s="7">
        <v>0.85</v>
      </c>
    </row>
    <row r="18288" spans="1:4" x14ac:dyDescent="0.25">
      <c r="A18288" t="str">
        <f>HYPERLINK("https://www.773grp.com/globalSearch/74AUP1G98GS132/page-1", "74AUP1G98GS132")</f>
        <v>74AUP1G98GS132</v>
      </c>
      <c r="B18288" s="3" t="str">
        <f>HYPERLINK("https://www.773grp.com/manufacturer/nxp-semiconductor?pageNo=2", "NXP Semiconductors")</f>
        <v>NXP Semiconductors</v>
      </c>
      <c r="C18288" s="6">
        <v>5000</v>
      </c>
      <c r="D18288" s="7">
        <v>0.85</v>
      </c>
    </row>
    <row r="18289" spans="1:4" x14ac:dyDescent="0.25">
      <c r="A18289" t="str">
        <f>HYPERLINK("https://www.773grp.com/globalSearch/74HC14DB112/page-1", "74HC14DB112")</f>
        <v>74HC14DB112</v>
      </c>
      <c r="B18289" s="3" t="str">
        <f>HYPERLINK("https://www.773grp.com/manufacturer/nxp-semiconductor?pageNo=3", "NXP Semiconductors")</f>
        <v>NXP Semiconductors</v>
      </c>
      <c r="C18289" s="6">
        <v>3059</v>
      </c>
      <c r="D18289" s="7">
        <v>0.85</v>
      </c>
    </row>
    <row r="18290" spans="1:4" x14ac:dyDescent="0.25">
      <c r="A18290" t="str">
        <f>HYPERLINK("https://www.773grp.com/globalSearch/74HC243D112/page-1", "74HC243D112")</f>
        <v>74HC243D112</v>
      </c>
      <c r="B18290" s="3" t="str">
        <f>HYPERLINK("https://www.773grp.com/manufacturer/nxp-semiconductor?pageNo=4", "NXP Semiconductors")</f>
        <v>NXP Semiconductors</v>
      </c>
      <c r="C18290" s="6">
        <v>8699</v>
      </c>
      <c r="D18290" s="7">
        <v>0.85</v>
      </c>
    </row>
    <row r="18291" spans="1:4" x14ac:dyDescent="0.25">
      <c r="A18291" t="str">
        <f>HYPERLINK("https://www.773grp.com/globalSearch/74HC243D118/page-1", "74HC243D118")</f>
        <v>74HC243D118</v>
      </c>
      <c r="B18291" s="3" t="str">
        <f>HYPERLINK("https://www.773grp.com/manufacturer/nxp-semiconductor?pageNo=5", "NXP Semiconductors")</f>
        <v>NXP Semiconductors</v>
      </c>
      <c r="C18291" s="6">
        <v>2500</v>
      </c>
      <c r="D18291" s="7">
        <v>0.85</v>
      </c>
    </row>
    <row r="18292" spans="1:4" x14ac:dyDescent="0.25">
      <c r="A18292" t="str">
        <f>HYPERLINK("https://www.773grp.com/globalSearch/74HC2G66GT115/page-1", "74HC2G66GT115")</f>
        <v>74HC2G66GT115</v>
      </c>
      <c r="B18292" s="3" t="str">
        <f>HYPERLINK("https://www.773grp.com/manufacturer/nxp-semiconductor?pageNo=6", "NXP Semiconductors")</f>
        <v>NXP Semiconductors</v>
      </c>
      <c r="C18292" s="6">
        <v>6750</v>
      </c>
      <c r="D18292" s="7">
        <v>0.85</v>
      </c>
    </row>
    <row r="18293" spans="1:4" x14ac:dyDescent="0.25">
      <c r="A18293" t="str">
        <f>HYPERLINK("https://www.773grp.com/globalSearch/74HC393BQ115/page-1", "74HC393BQ115")</f>
        <v>74HC393BQ115</v>
      </c>
      <c r="B18293" s="3" t="str">
        <f>HYPERLINK("https://www.773grp.com/manufacturer/nxp-semiconductor?pageNo=7", "NXP Semiconductors")</f>
        <v>NXP Semiconductors</v>
      </c>
      <c r="C18293" s="6">
        <v>3000</v>
      </c>
      <c r="D18293" s="7">
        <v>0.85</v>
      </c>
    </row>
    <row r="18294" spans="1:4" x14ac:dyDescent="0.25">
      <c r="A18294" t="str">
        <f>HYPERLINK("https://www.773grp.com/globalSearch/74HC4520D112/page-1", "74HC4520D112")</f>
        <v>74HC4520D112</v>
      </c>
      <c r="B18294" s="3" t="str">
        <f>HYPERLINK("https://www.773grp.com/manufacturer/nxp-semiconductor?pageNo=8", "NXP Semiconductors")</f>
        <v>NXP Semiconductors</v>
      </c>
      <c r="C18294" s="6">
        <v>2020</v>
      </c>
      <c r="D18294" s="7">
        <v>0.85</v>
      </c>
    </row>
    <row r="18295" spans="1:4" x14ac:dyDescent="0.25">
      <c r="A18295" t="str">
        <f>HYPERLINK("https://www.773grp.com/globalSearch/74HC688D652/page-1", "74HC688D652")</f>
        <v>74HC688D652</v>
      </c>
      <c r="B18295" s="3" t="str">
        <f>HYPERLINK("https://www.773grp.com/manufacturer/nxp-semiconductor?pageNo=9", "NXP Semiconductors")</f>
        <v>NXP Semiconductors</v>
      </c>
      <c r="C18295" s="6">
        <v>7144</v>
      </c>
      <c r="D18295" s="7">
        <v>0.85</v>
      </c>
    </row>
    <row r="18296" spans="1:4" x14ac:dyDescent="0.25">
      <c r="A18296" t="str">
        <f>HYPERLINK("https://www.773grp.com/globalSearch/74HC688D653/page-1", "74HC688D653")</f>
        <v>74HC688D653</v>
      </c>
      <c r="B18296" s="3" t="str">
        <f>HYPERLINK("https://www.773grp.com/manufacturer/nxp-semiconductor?pageNo=10", "NXP Semiconductors")</f>
        <v>NXP Semiconductors</v>
      </c>
      <c r="C18296" s="6">
        <v>130</v>
      </c>
      <c r="D18296" s="7">
        <v>0.85</v>
      </c>
    </row>
    <row r="18297" spans="1:4" x14ac:dyDescent="0.25">
      <c r="A18297" t="str">
        <f>HYPERLINK("https://www.773grp.com/globalSearch/74HC75DB112/page-1", "74HC75DB112")</f>
        <v>74HC75DB112</v>
      </c>
      <c r="B18297" s="3" t="str">
        <f>HYPERLINK("https://www.773grp.com/manufacturer/nxp-semiconductor?pageNo=11", "NXP Semiconductors")</f>
        <v>NXP Semiconductors</v>
      </c>
      <c r="C18297" s="6">
        <v>1092</v>
      </c>
      <c r="D18297" s="7">
        <v>0.85</v>
      </c>
    </row>
    <row r="18298" spans="1:4" x14ac:dyDescent="0.25">
      <c r="A18298" t="str">
        <f>HYPERLINK("https://www.773grp.com/globalSearch/74HCT10DB112/page-1", "74HCT10DB112")</f>
        <v>74HCT10DB112</v>
      </c>
      <c r="B18298" s="3" t="str">
        <f>HYPERLINK("https://www.773grp.com/manufacturer/nxp-semiconductor?pageNo=12", "NXP Semiconductors")</f>
        <v>NXP Semiconductors</v>
      </c>
      <c r="C18298" s="6">
        <v>3868</v>
      </c>
      <c r="D18298" s="7">
        <v>0.85</v>
      </c>
    </row>
    <row r="18299" spans="1:4" x14ac:dyDescent="0.25">
      <c r="A18299" t="str">
        <f>HYPERLINK("https://www.773grp.com/globalSearch/74HCT123PW112/page-1", "74HCT123PW112")</f>
        <v>74HCT123PW112</v>
      </c>
      <c r="B18299" s="3" t="str">
        <f>HYPERLINK("https://www.773grp.com/manufacturer/nxp-semiconductor?pageNo=13", "NXP Semiconductors")</f>
        <v>NXP Semiconductors</v>
      </c>
      <c r="C18299" s="6">
        <v>2400</v>
      </c>
      <c r="D18299" s="7">
        <v>0.85</v>
      </c>
    </row>
    <row r="18300" spans="1:4" x14ac:dyDescent="0.25">
      <c r="A18300" t="str">
        <f>HYPERLINK("https://www.773grp.com/globalSearch/74HCT163PW118/page-1", "74HCT163PW118")</f>
        <v>74HCT163PW118</v>
      </c>
      <c r="B18300" s="3" t="str">
        <f>HYPERLINK("https://www.773grp.com/manufacturer/nxp-semiconductor?pageNo=14", "NXP Semiconductors")</f>
        <v>NXP Semiconductors</v>
      </c>
      <c r="C18300" s="6">
        <v>2500</v>
      </c>
      <c r="D18300" s="7">
        <v>0.85</v>
      </c>
    </row>
    <row r="18301" spans="1:4" x14ac:dyDescent="0.25">
      <c r="A18301" t="str">
        <f>HYPERLINK("https://www.773grp.com/globalSearch/74HCT173D653/page-1", "74HCT173D653")</f>
        <v>74HCT173D653</v>
      </c>
      <c r="B18301" s="3" t="str">
        <f>HYPERLINK("https://www.773grp.com/manufacturer/nxp-semiconductor?pageNo=15", "NXP Semiconductors")</f>
        <v>NXP Semiconductors</v>
      </c>
      <c r="C18301" s="6">
        <v>2500</v>
      </c>
      <c r="D18301" s="7">
        <v>0.85</v>
      </c>
    </row>
    <row r="18302" spans="1:4" x14ac:dyDescent="0.25">
      <c r="A18302" t="str">
        <f>HYPERLINK("https://www.773grp.com/globalSearch/74HCT238D652/page-1", "74HCT238D652")</f>
        <v>74HCT238D652</v>
      </c>
      <c r="B18302" s="3" t="str">
        <f>HYPERLINK("https://www.773grp.com/manufacturer/nxp-semiconductor?pageNo=16", "NXP Semiconductors")</f>
        <v>NXP Semiconductors</v>
      </c>
      <c r="C18302" s="6">
        <v>9371</v>
      </c>
      <c r="D18302" s="7">
        <v>0.85</v>
      </c>
    </row>
    <row r="18303" spans="1:4" x14ac:dyDescent="0.25">
      <c r="A18303" t="str">
        <f>HYPERLINK("https://www.773grp.com/globalSearch/74HCT238D653/page-1", "74HCT238D653")</f>
        <v>74HCT238D653</v>
      </c>
      <c r="B18303" s="3" t="str">
        <f>HYPERLINK("https://www.773grp.com/manufacturer/nxp-semiconductor?pageNo=17", "NXP Semiconductors")</f>
        <v>NXP Semiconductors</v>
      </c>
      <c r="C18303" s="6">
        <v>10000</v>
      </c>
      <c r="D18303" s="7">
        <v>0.85</v>
      </c>
    </row>
    <row r="18304" spans="1:4" x14ac:dyDescent="0.25">
      <c r="A18304" t="str">
        <f>HYPERLINK("https://www.773grp.com/globalSearch/74HCT4040D652/page-1", "74HCT4040D652")</f>
        <v>74HCT4040D652</v>
      </c>
      <c r="B18304" s="3" t="str">
        <f>HYPERLINK("https://www.773grp.com/manufacturer/nxp-semiconductor?pageNo=18", "NXP Semiconductors")</f>
        <v>NXP Semiconductors</v>
      </c>
      <c r="C18304" s="6">
        <v>2503</v>
      </c>
      <c r="D18304" s="7">
        <v>0.85</v>
      </c>
    </row>
    <row r="18305" spans="1:4" x14ac:dyDescent="0.25">
      <c r="A18305" t="str">
        <f>HYPERLINK("https://www.773grp.com/globalSearch/74HCT4040D653/page-1", "74HCT4040D653")</f>
        <v>74HCT4040D653</v>
      </c>
      <c r="B18305" s="3" t="str">
        <f>HYPERLINK("https://www.773grp.com/manufacturer/nxp-semiconductor?pageNo=19", "NXP Semiconductors")</f>
        <v>NXP Semiconductors</v>
      </c>
      <c r="C18305" s="6">
        <v>6313</v>
      </c>
      <c r="D18305" s="7">
        <v>0.85</v>
      </c>
    </row>
    <row r="18306" spans="1:4" x14ac:dyDescent="0.25">
      <c r="A18306" t="str">
        <f>HYPERLINK("https://www.773grp.com/globalSearch/74HCT423PW118/page-1", "74HCT423PW118")</f>
        <v>74HCT423PW118</v>
      </c>
      <c r="B18306" s="3" t="str">
        <f>HYPERLINK("https://www.773grp.com/manufacturer/nxp-semiconductor?pageNo=20", "NXP Semiconductors")</f>
        <v>NXP Semiconductors</v>
      </c>
      <c r="C18306" s="6">
        <v>1818</v>
      </c>
      <c r="D18306" s="7">
        <v>0.85</v>
      </c>
    </row>
    <row r="18307" spans="1:4" x14ac:dyDescent="0.25">
      <c r="A18307" t="str">
        <f>HYPERLINK("https://www.773grp.com/globalSearch/74HCT4520D118/page-1", "74HCT4520D118")</f>
        <v>74HCT4520D118</v>
      </c>
      <c r="B18307" s="3" t="str">
        <f>HYPERLINK("https://www.773grp.com/manufacturer/nxp-semiconductor?pageNo=21", "NXP Semiconductors")</f>
        <v>NXP Semiconductors</v>
      </c>
      <c r="C18307" s="6">
        <v>2000</v>
      </c>
      <c r="D18307" s="7">
        <v>0.85</v>
      </c>
    </row>
    <row r="18308" spans="1:4" x14ac:dyDescent="0.25">
      <c r="A18308" t="str">
        <f>HYPERLINK("https://www.773grp.com/globalSearch/74HCT4538D112/page-1", "74HCT4538D112")</f>
        <v>74HCT4538D112</v>
      </c>
      <c r="B18308" s="3" t="str">
        <f>HYPERLINK("https://www.773grp.com/manufacturer/nxp-semiconductor?pageNo=22", "NXP Semiconductors")</f>
        <v>NXP Semiconductors</v>
      </c>
      <c r="C18308" s="6">
        <v>4070</v>
      </c>
      <c r="D18308" s="7">
        <v>0.85</v>
      </c>
    </row>
    <row r="18309" spans="1:4" x14ac:dyDescent="0.25">
      <c r="A18309" t="str">
        <f>HYPERLINK("https://www.773grp.com/globalSearch/74HCT4538D118/page-1", "74HCT4538D118")</f>
        <v>74HCT4538D118</v>
      </c>
      <c r="B18309" s="3" t="str">
        <f>HYPERLINK("https://www.773grp.com/manufacturer/nxp-semiconductor?pageNo=23", "NXP Semiconductors")</f>
        <v>NXP Semiconductors</v>
      </c>
      <c r="C18309" s="6">
        <v>22500</v>
      </c>
      <c r="D18309" s="7">
        <v>0.85</v>
      </c>
    </row>
    <row r="18310" spans="1:4" x14ac:dyDescent="0.25">
      <c r="A18310" t="str">
        <f>HYPERLINK("https://www.773grp.com/globalSearch/74LV273D118/page-1", "74LV273D118")</f>
        <v>74LV273D118</v>
      </c>
      <c r="B18310" s="3" t="str">
        <f>HYPERLINK("https://www.773grp.com/manufacturer/nxp-semiconductor?pageNo=24", "NXP Semiconductors")</f>
        <v>NXP Semiconductors</v>
      </c>
      <c r="C18310" s="6">
        <v>2150</v>
      </c>
      <c r="D18310" s="7">
        <v>0.85</v>
      </c>
    </row>
    <row r="18311" spans="1:4" x14ac:dyDescent="0.25">
      <c r="A18311" t="str">
        <f>HYPERLINK("https://www.773grp.com/globalSearch/74LV373DB112/page-1", "74LV373DB112")</f>
        <v>74LV373DB112</v>
      </c>
      <c r="B18311" s="3" t="str">
        <f>HYPERLINK("https://www.773grp.com/manufacturer/nxp-semiconductor?pageNo=25", "NXP Semiconductors")</f>
        <v>NXP Semiconductors</v>
      </c>
      <c r="C18311" s="6">
        <v>1848</v>
      </c>
      <c r="D18311" s="7">
        <v>0.85</v>
      </c>
    </row>
    <row r="18312" spans="1:4" x14ac:dyDescent="0.25">
      <c r="A18312" t="str">
        <f>HYPERLINK("https://www.773grp.com/globalSearch/74LV373PW112/page-1", "74LV373PW112")</f>
        <v>74LV373PW112</v>
      </c>
      <c r="B18312" s="3" t="str">
        <f>HYPERLINK("https://www.773grp.com/manufacturer/nxp-semiconductor?pageNo=26", "NXP Semiconductors")</f>
        <v>NXP Semiconductors</v>
      </c>
      <c r="C18312" s="6">
        <v>5625</v>
      </c>
      <c r="D18312" s="7">
        <v>0.85</v>
      </c>
    </row>
    <row r="18313" spans="1:4" x14ac:dyDescent="0.25">
      <c r="A18313" t="str">
        <f>HYPERLINK("https://www.773grp.com/globalSearch/74LV373PW118/page-1", "74LV373PW118")</f>
        <v>74LV373PW118</v>
      </c>
      <c r="B18313" s="3" t="str">
        <f>HYPERLINK("https://www.773grp.com/manufacturer/nxp-semiconductor?pageNo=27", "NXP Semiconductors")</f>
        <v>NXP Semiconductors</v>
      </c>
      <c r="C18313" s="6">
        <v>2625</v>
      </c>
      <c r="D18313" s="7">
        <v>0.85</v>
      </c>
    </row>
    <row r="18314" spans="1:4" x14ac:dyDescent="0.25">
      <c r="A18314" t="str">
        <f>HYPERLINK("https://www.773grp.com/globalSearch/74LV4051BQ115/page-1", "74LV4051BQ115")</f>
        <v>74LV4051BQ115</v>
      </c>
      <c r="B18314" s="3" t="str">
        <f>HYPERLINK("https://www.773grp.com/manufacturer/nxp-semiconductor?pageNo=28", "NXP Semiconductors")</f>
        <v>NXP Semiconductors</v>
      </c>
      <c r="C18314" s="6">
        <v>18635</v>
      </c>
      <c r="D18314" s="7">
        <v>0.85</v>
      </c>
    </row>
    <row r="18315" spans="1:4" x14ac:dyDescent="0.25">
      <c r="A18315" t="str">
        <f>HYPERLINK("https://www.773grp.com/globalSearch/74LV4053BQ115/page-1", "74LV4053BQ115")</f>
        <v>74LV4053BQ115</v>
      </c>
      <c r="B18315" s="3" t="str">
        <f>HYPERLINK("https://www.773grp.com/manufacturer/nxp-semiconductor?pageNo=29", "NXP Semiconductors")</f>
        <v>NXP Semiconductors</v>
      </c>
      <c r="C18315" s="6">
        <v>2798</v>
      </c>
      <c r="D18315" s="7">
        <v>0.85</v>
      </c>
    </row>
    <row r="18316" spans="1:4" x14ac:dyDescent="0.25">
      <c r="A18316" t="str">
        <f>HYPERLINK("https://www.773grp.com/globalSearch/74LV573D112/page-1", "74LV573D112")</f>
        <v>74LV573D112</v>
      </c>
      <c r="B18316" s="3" t="str">
        <f>HYPERLINK("https://www.773grp.com/manufacturer/nxp-semiconductor?pageNo=30", "NXP Semiconductors")</f>
        <v>NXP Semiconductors</v>
      </c>
      <c r="C18316" s="6">
        <v>1520</v>
      </c>
      <c r="D18316" s="7">
        <v>0.85</v>
      </c>
    </row>
    <row r="18317" spans="1:4" x14ac:dyDescent="0.25">
      <c r="A18317" t="str">
        <f>HYPERLINK("https://www.773grp.com/globalSearch/74LV574DB118/page-1", "74LV574DB118")</f>
        <v>74LV574DB118</v>
      </c>
      <c r="B18317" s="3" t="str">
        <f>HYPERLINK("https://www.773grp.com/manufacturer/nxp-semiconductor?pageNo=31", "NXP Semiconductors")</f>
        <v>NXP Semiconductors</v>
      </c>
      <c r="C18317" s="6">
        <v>150</v>
      </c>
      <c r="D18317" s="7">
        <v>0.85</v>
      </c>
    </row>
    <row r="18318" spans="1:4" x14ac:dyDescent="0.25">
      <c r="A18318" t="str">
        <f>HYPERLINK("https://www.773grp.com/globalSearch/74LV574PW112/page-1", "74LV574PW112")</f>
        <v>74LV574PW112</v>
      </c>
      <c r="B18318" s="3" t="str">
        <f>HYPERLINK("https://www.773grp.com/manufacturer/nxp-semiconductor?pageNo=32", "NXP Semiconductors")</f>
        <v>NXP Semiconductors</v>
      </c>
      <c r="C18318" s="6">
        <v>4641</v>
      </c>
      <c r="D18318" s="7">
        <v>0.85</v>
      </c>
    </row>
    <row r="18319" spans="1:4" x14ac:dyDescent="0.25">
      <c r="A18319" t="str">
        <f>HYPERLINK("https://www.773grp.com/globalSearch/74LV574PW118/page-1", "74LV574PW118")</f>
        <v>74LV574PW118</v>
      </c>
      <c r="B18319" s="3" t="str">
        <f>HYPERLINK("https://www.773grp.com/manufacturer/nxp-semiconductor?pageNo=33", "NXP Semiconductors")</f>
        <v>NXP Semiconductors</v>
      </c>
      <c r="C18319" s="6">
        <v>6393</v>
      </c>
      <c r="D18319" s="7">
        <v>0.85</v>
      </c>
    </row>
    <row r="18320" spans="1:4" x14ac:dyDescent="0.25">
      <c r="A18320" t="str">
        <f>HYPERLINK("https://www.773grp.com/globalSearch/74LV86DB118/page-1", "74LV86DB118")</f>
        <v>74LV86DB118</v>
      </c>
      <c r="B18320" s="3" t="str">
        <f>HYPERLINK("https://www.773grp.com/manufacturer/nxp-semiconductor?pageNo=34", "NXP Semiconductors")</f>
        <v>NXP Semiconductors</v>
      </c>
      <c r="C18320" s="6">
        <v>4000</v>
      </c>
      <c r="D18320" s="7">
        <v>0.85</v>
      </c>
    </row>
    <row r="18321" spans="1:4" x14ac:dyDescent="0.25">
      <c r="A18321" t="str">
        <f>HYPERLINK("https://www.773grp.com/globalSearch/74LVC1G00GN132/page-1", "74LVC1G00GN132")</f>
        <v>74LVC1G00GN132</v>
      </c>
      <c r="B18321" s="3" t="str">
        <f>HYPERLINK("https://www.773grp.com/manufacturer/nxp-semiconductor?pageNo=35", "NXP Semiconductors")</f>
        <v>NXP Semiconductors</v>
      </c>
      <c r="C18321" s="6">
        <v>5304</v>
      </c>
      <c r="D18321" s="7">
        <v>0.85</v>
      </c>
    </row>
    <row r="18322" spans="1:4" x14ac:dyDescent="0.25">
      <c r="A18322" t="str">
        <f>HYPERLINK("https://www.773grp.com/globalSearch/74LVC1G07GF132/page-1", "74LVC1G07GF132")</f>
        <v>74LVC1G07GF132</v>
      </c>
      <c r="B18322" s="3" t="str">
        <f>HYPERLINK("https://www.773grp.com/manufacturer/nxp-semiconductor?pageNo=36", "NXP Semiconductors")</f>
        <v>NXP Semiconductors</v>
      </c>
      <c r="C18322" s="6">
        <v>5639</v>
      </c>
      <c r="D18322" s="7">
        <v>0.85</v>
      </c>
    </row>
    <row r="18323" spans="1:4" x14ac:dyDescent="0.25">
      <c r="A18323" t="str">
        <f>HYPERLINK("https://www.773grp.com/globalSearch/74LVC1G07GN132/page-1", "74LVC1G07GN132")</f>
        <v>74LVC1G07GN132</v>
      </c>
      <c r="B18323" s="3" t="str">
        <f>HYPERLINK("https://www.773grp.com/manufacturer/nxp-semiconductor?pageNo=37", "NXP Semiconductors")</f>
        <v>NXP Semiconductors</v>
      </c>
      <c r="C18323" s="6">
        <v>5000</v>
      </c>
      <c r="D18323" s="7">
        <v>0.85</v>
      </c>
    </row>
    <row r="18324" spans="1:4" x14ac:dyDescent="0.25">
      <c r="A18324" t="str">
        <f>HYPERLINK("https://www.773grp.com/globalSearch/74LVC1G175GF132/page-1", "74LVC1G175GF132")</f>
        <v>74LVC1G175GF132</v>
      </c>
      <c r="B18324" s="3" t="str">
        <f>HYPERLINK("https://www.773grp.com/manufacturer/nxp-semiconductor?pageNo=38", "NXP Semiconductors")</f>
        <v>NXP Semiconductors</v>
      </c>
      <c r="C18324" s="6">
        <v>300</v>
      </c>
      <c r="D18324" s="7">
        <v>0.85</v>
      </c>
    </row>
    <row r="18325" spans="1:4" x14ac:dyDescent="0.25">
      <c r="A18325" t="str">
        <f>HYPERLINK("https://www.773grp.com/globalSearch/74LVC1G3157GF132/page-1", "74LVC1G3157GF132")</f>
        <v>74LVC1G3157GF132</v>
      </c>
      <c r="B18325" s="3" t="str">
        <f>HYPERLINK("https://www.773grp.com/manufacturer/nxp-semiconductor?pageNo=39", "NXP Semiconductors")</f>
        <v>NXP Semiconductors</v>
      </c>
      <c r="C18325" s="6">
        <v>950</v>
      </c>
      <c r="D18325" s="7">
        <v>0.85</v>
      </c>
    </row>
    <row r="18326" spans="1:4" x14ac:dyDescent="0.25">
      <c r="A18326" t="str">
        <f>HYPERLINK("https://www.773grp.com/globalSearch/74LVC1G384GF132/page-1", "74LVC1G384GF132")</f>
        <v>74LVC1G384GF132</v>
      </c>
      <c r="B18326" s="3" t="str">
        <f>HYPERLINK("https://www.773grp.com/manufacturer/nxp-semiconductor?pageNo=40", "NXP Semiconductors")</f>
        <v>NXP Semiconductors</v>
      </c>
      <c r="C18326" s="6">
        <v>300</v>
      </c>
      <c r="D18326" s="7">
        <v>0.85</v>
      </c>
    </row>
    <row r="18327" spans="1:4" x14ac:dyDescent="0.25">
      <c r="A18327" t="str">
        <f>HYPERLINK("https://www.773grp.com/globalSearch/74LVC1G58GF132/page-1", "74LVC1G58GF132")</f>
        <v>74LVC1G58GF132</v>
      </c>
      <c r="B18327" s="3" t="str">
        <f>HYPERLINK("https://www.773grp.com/manufacturer/nxp-semiconductor?pageNo=41", "NXP Semiconductors")</f>
        <v>NXP Semiconductors</v>
      </c>
      <c r="C18327" s="6">
        <v>961345</v>
      </c>
      <c r="D18327" s="7">
        <v>0.85</v>
      </c>
    </row>
    <row r="18328" spans="1:4" x14ac:dyDescent="0.25">
      <c r="A18328" t="str">
        <f>HYPERLINK("https://www.773grp.com/globalSearch/74LVC1G66GF132/page-1", "74LVC1G66GF132")</f>
        <v>74LVC1G66GF132</v>
      </c>
      <c r="B18328" s="3" t="str">
        <f>HYPERLINK("https://www.773grp.com/manufacturer/nxp-semiconductor?pageNo=42", "NXP Semiconductors")</f>
        <v>NXP Semiconductors</v>
      </c>
      <c r="C18328" s="6">
        <v>380</v>
      </c>
      <c r="D18328" s="7">
        <v>0.85</v>
      </c>
    </row>
    <row r="18329" spans="1:4" x14ac:dyDescent="0.25">
      <c r="A18329" t="str">
        <f>HYPERLINK("https://www.773grp.com/globalSearch/74LVC1G74GN115/page-1", "74LVC1G74GN115")</f>
        <v>74LVC1G74GN115</v>
      </c>
      <c r="B18329" s="3" t="str">
        <f>HYPERLINK("https://www.773grp.com/manufacturer/nxp-semiconductor?pageNo=43", "NXP Semiconductors")</f>
        <v>NXP Semiconductors</v>
      </c>
      <c r="C18329" s="6">
        <v>100</v>
      </c>
      <c r="D18329" s="7">
        <v>0.85</v>
      </c>
    </row>
    <row r="18330" spans="1:4" x14ac:dyDescent="0.25">
      <c r="A18330" t="str">
        <f>HYPERLINK("https://www.773grp.com/globalSearch/74LVC1G99GT115/page-1", "74LVC1G99GT115")</f>
        <v>74LVC1G99GT115</v>
      </c>
      <c r="B18330" s="3" t="str">
        <f>HYPERLINK("https://www.773grp.com/manufacturer/nxp-semiconductor?pageNo=44", "NXP Semiconductors")</f>
        <v>NXP Semiconductors</v>
      </c>
      <c r="C18330" s="6">
        <v>25799</v>
      </c>
      <c r="D18330" s="7">
        <v>0.85</v>
      </c>
    </row>
    <row r="18331" spans="1:4" x14ac:dyDescent="0.25">
      <c r="A18331" t="str">
        <f>HYPERLINK("https://www.773grp.com/globalSearch/74LVC2G04GF132/page-1", "74LVC2G04GF132")</f>
        <v>74LVC2G04GF132</v>
      </c>
      <c r="B18331" s="3" t="str">
        <f>HYPERLINK("https://www.773grp.com/manufacturer/nxp-semiconductor?pageNo=45", "NXP Semiconductors")</f>
        <v>NXP Semiconductors</v>
      </c>
      <c r="C18331" s="6">
        <v>250</v>
      </c>
      <c r="D18331" s="7">
        <v>0.85</v>
      </c>
    </row>
    <row r="18332" spans="1:4" x14ac:dyDescent="0.25">
      <c r="A18332" t="str">
        <f>HYPERLINK("https://www.773grp.com/globalSearch/74LVC2G07GF132/page-1", "74LVC2G07GF132")</f>
        <v>74LVC2G07GF132</v>
      </c>
      <c r="B18332" s="3" t="str">
        <f>HYPERLINK("https://www.773grp.com/manufacturer/nxp-semiconductor?pageNo=46", "NXP Semiconductors")</f>
        <v>NXP Semiconductors</v>
      </c>
      <c r="C18332" s="6">
        <v>400</v>
      </c>
      <c r="D18332" s="7">
        <v>0.85</v>
      </c>
    </row>
    <row r="18333" spans="1:4" x14ac:dyDescent="0.25">
      <c r="A18333" t="str">
        <f>HYPERLINK("https://www.773grp.com/globalSearch/74LVC2G240GD125/page-1", "74LVC2G240GD125")</f>
        <v>74LVC2G240GD125</v>
      </c>
      <c r="B18333" s="3" t="str">
        <f>HYPERLINK("https://www.773grp.com/manufacturer/nxp-semiconductor?pageNo=47", "NXP Semiconductors")</f>
        <v>NXP Semiconductors</v>
      </c>
      <c r="C18333" s="6">
        <v>6000</v>
      </c>
      <c r="D18333" s="7">
        <v>0.85</v>
      </c>
    </row>
    <row r="18334" spans="1:4" x14ac:dyDescent="0.25">
      <c r="A18334" t="str">
        <f>HYPERLINK("https://www.773grp.com/globalSearch/74LVC2G34GF132/page-1", "74LVC2G34GF132")</f>
        <v>74LVC2G34GF132</v>
      </c>
      <c r="B18334" s="3" t="str">
        <f>HYPERLINK("https://www.773grp.com/manufacturer/nxp-semiconductor?pageNo=48", "NXP Semiconductors")</f>
        <v>NXP Semiconductors</v>
      </c>
      <c r="C18334" s="6">
        <v>300</v>
      </c>
      <c r="D18334" s="7">
        <v>0.85</v>
      </c>
    </row>
    <row r="18335" spans="1:4" x14ac:dyDescent="0.25">
      <c r="A18335" t="str">
        <f>HYPERLINK("https://www.773grp.com/globalSearch/74LVC2G34GN132/page-1", "74LVC2G34GN132")</f>
        <v>74LVC2G34GN132</v>
      </c>
      <c r="B18335" s="3" t="str">
        <f>HYPERLINK("https://www.773grp.com/manufacturer/nxp-semiconductor?pageNo=1", "NXP Semiconductors")</f>
        <v>NXP Semiconductors</v>
      </c>
      <c r="C18335" s="6">
        <v>6498</v>
      </c>
      <c r="D18335" s="7">
        <v>0.85</v>
      </c>
    </row>
    <row r="18336" spans="1:4" x14ac:dyDescent="0.25">
      <c r="A18336" t="str">
        <f>HYPERLINK("https://www.773grp.com/globalSearch/74LVC541ADB112/page-1", "74LVC541ADB112")</f>
        <v>74LVC541ADB112</v>
      </c>
      <c r="B18336" s="3" t="str">
        <f>HYPERLINK("https://www.773grp.com/manufacturer/nxp-semiconductor?pageNo=2", "NXP Semiconductors")</f>
        <v>NXP Semiconductors</v>
      </c>
      <c r="C18336" s="6">
        <v>5544</v>
      </c>
      <c r="D18336" s="7">
        <v>0.85</v>
      </c>
    </row>
    <row r="18337" spans="1:4" x14ac:dyDescent="0.25">
      <c r="A18337" t="str">
        <f>HYPERLINK("https://www.773grp.com/globalSearch/74LVC541ADB118/page-1", "74LVC541ADB118")</f>
        <v>74LVC541ADB118</v>
      </c>
      <c r="B18337" s="3" t="str">
        <f>HYPERLINK("https://www.773grp.com/manufacturer/nxp-semiconductor?pageNo=3", "NXP Semiconductors")</f>
        <v>NXP Semiconductors</v>
      </c>
      <c r="C18337" s="6">
        <v>4000</v>
      </c>
      <c r="D18337" s="7">
        <v>0.85</v>
      </c>
    </row>
    <row r="18338" spans="1:4" x14ac:dyDescent="0.25">
      <c r="A18338" t="str">
        <f>HYPERLINK("https://www.773grp.com/globalSearch/74LVC573AD112/page-1", "74LVC573AD112")</f>
        <v>74LVC573AD112</v>
      </c>
      <c r="B18338" s="3" t="str">
        <f>HYPERLINK("https://www.773grp.com/manufacturer/nxp-semiconductor?pageNo=4", "NXP Semiconductors")</f>
        <v>NXP Semiconductors</v>
      </c>
      <c r="C18338" s="6">
        <v>18343</v>
      </c>
      <c r="D18338" s="7">
        <v>0.85</v>
      </c>
    </row>
    <row r="18339" spans="1:4" x14ac:dyDescent="0.25">
      <c r="A18339" t="str">
        <f>HYPERLINK("https://www.773grp.com/globalSearch/74LVT240D112/page-1", "74LVT240D112")</f>
        <v>74LVT240D112</v>
      </c>
      <c r="B18339" s="3" t="str">
        <f>HYPERLINK("https://www.773grp.com/manufacturer/nxp-semiconductor?pageNo=5", "NXP Semiconductors")</f>
        <v>NXP Semiconductors</v>
      </c>
      <c r="C18339" s="6">
        <v>6392</v>
      </c>
      <c r="D18339" s="7">
        <v>0.85</v>
      </c>
    </row>
    <row r="18340" spans="1:4" x14ac:dyDescent="0.25">
      <c r="A18340" t="str">
        <f>HYPERLINK("https://www.773grp.com/globalSearch/74LVT241D112/page-1", "74LVT241D112")</f>
        <v>74LVT241D112</v>
      </c>
      <c r="B18340" s="3" t="str">
        <f>HYPERLINK("https://www.773grp.com/manufacturer/nxp-semiconductor?pageNo=6", "NXP Semiconductors")</f>
        <v>NXP Semiconductors</v>
      </c>
      <c r="C18340" s="6">
        <v>2900</v>
      </c>
      <c r="D18340" s="7">
        <v>0.85</v>
      </c>
    </row>
    <row r="18341" spans="1:4" x14ac:dyDescent="0.25">
      <c r="A18341" t="str">
        <f>HYPERLINK("https://www.773grp.com/globalSearch/74LVT244AD112/page-1", "74LVT244AD112")</f>
        <v>74LVT244AD112</v>
      </c>
      <c r="B18341" s="3" t="str">
        <f>HYPERLINK("https://www.773grp.com/manufacturer/nxp-semiconductor?pageNo=7", "NXP Semiconductors")</f>
        <v>NXP Semiconductors</v>
      </c>
      <c r="C18341" s="6">
        <v>4726</v>
      </c>
      <c r="D18341" s="7">
        <v>0.85</v>
      </c>
    </row>
    <row r="18342" spans="1:4" x14ac:dyDescent="0.25">
      <c r="A18342" t="str">
        <f>HYPERLINK("https://www.773grp.com/globalSearch/74LVT244AD118/page-1", "74LVT244AD118")</f>
        <v>74LVT244AD118</v>
      </c>
      <c r="B18342" s="3" t="str">
        <f>HYPERLINK("https://www.773grp.com/manufacturer/nxp-semiconductor?pageNo=8", "NXP Semiconductors")</f>
        <v>NXP Semiconductors</v>
      </c>
      <c r="C18342" s="6">
        <v>12000</v>
      </c>
      <c r="D18342" s="7">
        <v>0.85</v>
      </c>
    </row>
    <row r="18343" spans="1:4" x14ac:dyDescent="0.25">
      <c r="A18343" t="str">
        <f>HYPERLINK("https://www.773grp.com/globalSearch/74LVT245BDB118/page-1", "74LVT245BDB118")</f>
        <v>74LVT245BDB118</v>
      </c>
      <c r="B18343" s="3" t="str">
        <f>HYPERLINK("https://www.773grp.com/manufacturer/nxp-semiconductor?pageNo=9", "NXP Semiconductors")</f>
        <v>NXP Semiconductors</v>
      </c>
      <c r="C18343" s="6">
        <v>7000</v>
      </c>
      <c r="D18343" s="7">
        <v>0.85</v>
      </c>
    </row>
    <row r="18344" spans="1:4" x14ac:dyDescent="0.25">
      <c r="A18344" t="str">
        <f>HYPERLINK("https://www.773grp.com/globalSearch/74VHC125BQ115/page-1", "74VHC125BQ115")</f>
        <v>74VHC125BQ115</v>
      </c>
      <c r="B18344" s="3" t="str">
        <f>HYPERLINK("https://www.773grp.com/manufacturer/nxp-semiconductor?pageNo=10", "NXP Semiconductors")</f>
        <v>NXP Semiconductors</v>
      </c>
      <c r="C18344" s="6">
        <v>3000</v>
      </c>
      <c r="D18344" s="7">
        <v>0.85</v>
      </c>
    </row>
    <row r="18345" spans="1:4" x14ac:dyDescent="0.25">
      <c r="A18345" t="str">
        <f>HYPERLINK("https://www.773grp.com/globalSearch/74VHC126BQ115/page-1", "74VHC126BQ115")</f>
        <v>74VHC126BQ115</v>
      </c>
      <c r="B18345" s="3" t="str">
        <f>HYPERLINK("https://www.773grp.com/manufacturer/nxp-semiconductor?pageNo=11", "NXP Semiconductors")</f>
        <v>NXP Semiconductors</v>
      </c>
      <c r="C18345" s="6">
        <v>500</v>
      </c>
      <c r="D18345" s="7">
        <v>0.85</v>
      </c>
    </row>
    <row r="18346" spans="1:4" x14ac:dyDescent="0.25">
      <c r="A18346" t="str">
        <f>HYPERLINK("https://www.773grp.com/globalSearch/BAS40XY115/page-1", "BAS40XY115")</f>
        <v>BAS40XY115</v>
      </c>
      <c r="B18346" s="3" t="str">
        <f>HYPERLINK("https://www.773grp.com/manufacturer/nxp-semiconductor?pageNo=12", "NXP Semiconductors")</f>
        <v>NXP Semiconductors</v>
      </c>
      <c r="C18346" s="6">
        <v>18000</v>
      </c>
      <c r="D18346" s="7">
        <v>0.85</v>
      </c>
    </row>
    <row r="18347" spans="1:4" x14ac:dyDescent="0.25">
      <c r="A18347" t="str">
        <f>HYPERLINK("https://www.773grp.com/globalSearch/BF1108R215/page-1", "BF1108R215")</f>
        <v>BF1108R215</v>
      </c>
      <c r="B18347" s="3" t="str">
        <f>HYPERLINK("https://www.773grp.com/manufacturer/nxp-semiconductor?pageNo=13", "NXP Semiconductors")</f>
        <v>NXP Semiconductors</v>
      </c>
      <c r="C18347" s="6">
        <v>21000</v>
      </c>
      <c r="D18347" s="7">
        <v>0.85</v>
      </c>
    </row>
    <row r="18348" spans="1:4" x14ac:dyDescent="0.25">
      <c r="A18348" t="str">
        <f>HYPERLINK("https://www.773grp.com/globalSearch/BF1205115/page-1", "BF1205115")</f>
        <v>BF1205115</v>
      </c>
      <c r="B18348" s="3" t="str">
        <f>HYPERLINK("https://www.773grp.com/manufacturer/nxp-semiconductor?pageNo=14", "NXP Semiconductors")</f>
        <v>NXP Semiconductors</v>
      </c>
      <c r="C18348" s="6">
        <v>9000</v>
      </c>
      <c r="D18348" s="7">
        <v>0.85</v>
      </c>
    </row>
    <row r="18349" spans="1:4" x14ac:dyDescent="0.25">
      <c r="A18349" t="str">
        <f>HYPERLINK("https://www.773grp.com/globalSearch/BSH205215/page-1", "BSH205215")</f>
        <v>BSH205215</v>
      </c>
      <c r="B18349" s="3" t="str">
        <f>HYPERLINK("https://www.773grp.com/manufacturer/nxp-semiconductor?pageNo=15", "NXP Semiconductors")</f>
        <v>NXP Semiconductors</v>
      </c>
      <c r="C18349" s="6">
        <v>135000</v>
      </c>
      <c r="D18349" s="7">
        <v>0.85</v>
      </c>
    </row>
    <row r="18350" spans="1:4" x14ac:dyDescent="0.25">
      <c r="A18350" t="str">
        <f>HYPERLINK("https://www.773grp.com/globalSearch/BSP89115/page-1", "BSP89115")</f>
        <v>BSP89115</v>
      </c>
      <c r="B18350" s="3" t="str">
        <f>HYPERLINK("https://www.773grp.com/manufacturer/nxp-semiconductor?pageNo=16", "NXP Semiconductors")</f>
        <v>NXP Semiconductors</v>
      </c>
      <c r="C18350" s="6">
        <v>40000</v>
      </c>
      <c r="D18350" s="7">
        <v>0.85</v>
      </c>
    </row>
    <row r="18351" spans="1:4" x14ac:dyDescent="0.25">
      <c r="A18351" t="str">
        <f>HYPERLINK("https://www.773grp.com/globalSearch/BSR56215/page-1", "BSR56215")</f>
        <v>BSR56215</v>
      </c>
      <c r="B18351" s="3" t="str">
        <f>HYPERLINK("https://www.773grp.com/manufacturer/nxp-semiconductor?pageNo=17", "NXP Semiconductors")</f>
        <v>NXP Semiconductors</v>
      </c>
      <c r="C18351" s="6">
        <v>3000</v>
      </c>
      <c r="D18351" s="7">
        <v>0.85</v>
      </c>
    </row>
    <row r="18352" spans="1:4" x14ac:dyDescent="0.25">
      <c r="A18352" t="str">
        <f>HYPERLINK("https://www.773grp.com/globalSearch/BSR57215/page-1", "BSR57215")</f>
        <v>BSR57215</v>
      </c>
      <c r="B18352" s="3" t="str">
        <f>HYPERLINK("https://www.773grp.com/manufacturer/nxp-semiconductor?pageNo=18", "NXP Semiconductors")</f>
        <v>NXP Semiconductors</v>
      </c>
      <c r="C18352" s="6">
        <v>10627</v>
      </c>
      <c r="D18352" s="7">
        <v>0.85</v>
      </c>
    </row>
    <row r="18353" spans="1:4" x14ac:dyDescent="0.25">
      <c r="A18353" t="str">
        <f>HYPERLINK("https://www.773grp.com/globalSearch/BSR58215/page-1", "BSR58215")</f>
        <v>BSR58215</v>
      </c>
      <c r="B18353" s="3" t="str">
        <f>HYPERLINK("https://www.773grp.com/manufacturer/nxp-semiconductor?pageNo=19", "NXP Semiconductors")</f>
        <v>NXP Semiconductors</v>
      </c>
      <c r="C18353" s="6">
        <v>3574</v>
      </c>
      <c r="D18353" s="7">
        <v>0.85</v>
      </c>
    </row>
    <row r="18354" spans="1:4" x14ac:dyDescent="0.25">
      <c r="A18354" t="str">
        <f>HYPERLINK("https://www.773grp.com/globalSearch/BT134-800127/page-1", "BT134-800127")</f>
        <v>BT134-800127</v>
      </c>
      <c r="B18354" s="3" t="str">
        <f>HYPERLINK("https://www.773grp.com/manufacturer/nxp-semiconductor?pageNo=20", "NXP Semiconductors")</f>
        <v>NXP Semiconductors</v>
      </c>
      <c r="C18354" s="6">
        <v>4885</v>
      </c>
      <c r="D18354" s="7">
        <v>0.85</v>
      </c>
    </row>
    <row r="18355" spans="1:4" x14ac:dyDescent="0.25">
      <c r="A18355" t="str">
        <f>HYPERLINK("https://www.773grp.com/globalSearch/BT134-800E127/page-1", "BT134-800E127")</f>
        <v>BT134-800E127</v>
      </c>
      <c r="B18355" s="3" t="str">
        <f>HYPERLINK("https://www.773grp.com/manufacturer/nxp-semiconductor?pageNo=21", "NXP Semiconductors")</f>
        <v>NXP Semiconductors</v>
      </c>
      <c r="C18355" s="6">
        <v>150</v>
      </c>
      <c r="D18355" s="7">
        <v>0.85</v>
      </c>
    </row>
    <row r="18356" spans="1:4" x14ac:dyDescent="0.25">
      <c r="A18356" t="str">
        <f>HYPERLINK("https://www.773grp.com/globalSearch/BT136-600127/page-1", "BT136-600127")</f>
        <v>BT136-600127</v>
      </c>
      <c r="B18356" s="3" t="str">
        <f>HYPERLINK("https://www.773grp.com/manufacturer/nxp-semiconductor?pageNo=22", "NXP Semiconductors")</f>
        <v>NXP Semiconductors</v>
      </c>
      <c r="C18356" s="6">
        <v>20834</v>
      </c>
      <c r="D18356" s="7">
        <v>0.85</v>
      </c>
    </row>
    <row r="18357" spans="1:4" x14ac:dyDescent="0.25">
      <c r="A18357" t="str">
        <f>HYPERLINK("https://www.773grp.com/globalSearch/BT136-600D127/page-1", "BT136-600D127")</f>
        <v>BT136-600D127</v>
      </c>
      <c r="B18357" s="3" t="str">
        <f>HYPERLINK("https://www.773grp.com/manufacturer/nxp-semiconductor?pageNo=23", "NXP Semiconductors")</f>
        <v>NXP Semiconductors</v>
      </c>
      <c r="C18357" s="6">
        <v>16000</v>
      </c>
      <c r="D18357" s="7">
        <v>0.85</v>
      </c>
    </row>
    <row r="18358" spans="1:4" x14ac:dyDescent="0.25">
      <c r="A18358" t="str">
        <f>HYPERLINK("https://www.773grp.com/globalSearch/BT136-600E-L01127/page-1", "BT136-600E-L01127")</f>
        <v>BT136-600E-L01127</v>
      </c>
      <c r="B18358" s="3" t="str">
        <f>HYPERLINK("https://www.773grp.com/manufacturer/nxp-semiconductor?pageNo=24", "NXP Semiconductors")</f>
        <v>NXP Semiconductors</v>
      </c>
      <c r="C18358" s="6">
        <v>3000</v>
      </c>
      <c r="D18358" s="7">
        <v>0.85</v>
      </c>
    </row>
    <row r="18359" spans="1:4" x14ac:dyDescent="0.25">
      <c r="A18359" t="str">
        <f>HYPERLINK("https://www.773grp.com/globalSearch/BT136-600E127/page-1", "BT136-600E127")</f>
        <v>BT136-600E127</v>
      </c>
      <c r="B18359" s="3" t="str">
        <f>HYPERLINK("https://www.773grp.com/manufacturer/nxp-semiconductor?pageNo=25", "NXP Semiconductors")</f>
        <v>NXP Semiconductors</v>
      </c>
      <c r="C18359" s="6">
        <v>34998</v>
      </c>
      <c r="D18359" s="7">
        <v>0.85</v>
      </c>
    </row>
    <row r="18360" spans="1:4" x14ac:dyDescent="0.25">
      <c r="A18360" t="str">
        <f>HYPERLINK("https://www.773grp.com/globalSearch/BT136-800E127/page-1", "BT136-800E127")</f>
        <v>BT136-800E127</v>
      </c>
      <c r="B18360" s="3" t="str">
        <f>HYPERLINK("https://www.773grp.com/manufacturer/nxp-semiconductor?pageNo=26", "NXP Semiconductors")</f>
        <v>NXP Semiconductors</v>
      </c>
      <c r="C18360" s="6">
        <v>4207</v>
      </c>
      <c r="D18360" s="7">
        <v>0.85</v>
      </c>
    </row>
    <row r="18361" spans="1:4" x14ac:dyDescent="0.25">
      <c r="A18361" t="str">
        <f>HYPERLINK("https://www.773grp.com/globalSearch/BT136S-600118/page-1", "BT136S-600118")</f>
        <v>BT136S-600118</v>
      </c>
      <c r="B18361" s="3" t="str">
        <f>HYPERLINK("https://www.773grp.com/manufacturer/nxp-semiconductor?pageNo=27", "NXP Semiconductors")</f>
        <v>NXP Semiconductors</v>
      </c>
      <c r="C18361" s="6">
        <v>5150</v>
      </c>
      <c r="D18361" s="7">
        <v>0.85</v>
      </c>
    </row>
    <row r="18362" spans="1:4" x14ac:dyDescent="0.25">
      <c r="A18362" t="str">
        <f>HYPERLINK("https://www.773grp.com/globalSearch/BT136S-600D118/page-1", "BT136S-600D118")</f>
        <v>BT136S-600D118</v>
      </c>
      <c r="B18362" s="3" t="str">
        <f>HYPERLINK("https://www.773grp.com/manufacturer/nxp-semiconductor?pageNo=28", "NXP Semiconductors")</f>
        <v>NXP Semiconductors</v>
      </c>
      <c r="C18362" s="6">
        <v>2500</v>
      </c>
      <c r="D18362" s="7">
        <v>0.85</v>
      </c>
    </row>
    <row r="18363" spans="1:4" x14ac:dyDescent="0.25">
      <c r="A18363" t="str">
        <f>HYPERLINK("https://www.773grp.com/globalSearch/BT136S-800E118/page-1", "BT136S-800E118")</f>
        <v>BT136S-800E118</v>
      </c>
      <c r="B18363" s="3" t="str">
        <f>HYPERLINK("https://www.773grp.com/manufacturer/nxp-semiconductor?pageNo=29", "NXP Semiconductors")</f>
        <v>NXP Semiconductors</v>
      </c>
      <c r="C18363" s="6">
        <v>10000</v>
      </c>
      <c r="D18363" s="7">
        <v>0.85</v>
      </c>
    </row>
    <row r="18364" spans="1:4" x14ac:dyDescent="0.25">
      <c r="A18364" t="str">
        <f>HYPERLINK("https://www.773grp.com/globalSearch/BT136S-800F118/page-1", "BT136S-800F118")</f>
        <v>BT136S-800F118</v>
      </c>
      <c r="B18364" s="3" t="str">
        <f>HYPERLINK("https://www.773grp.com/manufacturer/nxp-semiconductor?pageNo=30", "NXP Semiconductors")</f>
        <v>NXP Semiconductors</v>
      </c>
      <c r="C18364" s="6">
        <v>81</v>
      </c>
      <c r="D18364" s="7">
        <v>0.85</v>
      </c>
    </row>
    <row r="18365" spans="1:4" x14ac:dyDescent="0.25">
      <c r="A18365" t="str">
        <f>HYPERLINK("https://www.773grp.com/globalSearch/BT136X-600127/page-1", "BT136X-600127")</f>
        <v>BT136X-600127</v>
      </c>
      <c r="B18365" s="3" t="str">
        <f>HYPERLINK("https://www.773grp.com/manufacturer/nxp-semiconductor?pageNo=31", "NXP Semiconductors")</f>
        <v>NXP Semiconductors</v>
      </c>
      <c r="C18365" s="6">
        <v>4420</v>
      </c>
      <c r="D18365" s="7">
        <v>0.85</v>
      </c>
    </row>
    <row r="18366" spans="1:4" x14ac:dyDescent="0.25">
      <c r="A18366" t="str">
        <f>HYPERLINK("https://www.773grp.com/globalSearch/BT136X-600D127/page-1", "BT136X-600D127")</f>
        <v>BT136X-600D127</v>
      </c>
      <c r="B18366" s="3" t="str">
        <f>HYPERLINK("https://www.773grp.com/manufacturer/nxp-semiconductor?pageNo=32", "NXP Semiconductors")</f>
        <v>NXP Semiconductors</v>
      </c>
      <c r="C18366" s="6">
        <v>3000</v>
      </c>
      <c r="D18366" s="7">
        <v>0.85</v>
      </c>
    </row>
    <row r="18367" spans="1:4" x14ac:dyDescent="0.25">
      <c r="A18367" t="str">
        <f>HYPERLINK("https://www.773grp.com/globalSearch/BT136X-600E127/page-1", "BT136X-600E127")</f>
        <v>BT136X-600E127</v>
      </c>
      <c r="B18367" s="3" t="str">
        <f>HYPERLINK("https://www.773grp.com/manufacturer/nxp-semiconductor?pageNo=33", "NXP Semiconductors")</f>
        <v>NXP Semiconductors</v>
      </c>
      <c r="C18367" s="6">
        <v>5000</v>
      </c>
      <c r="D18367" s="7">
        <v>0.85</v>
      </c>
    </row>
    <row r="18368" spans="1:4" x14ac:dyDescent="0.25">
      <c r="A18368" t="str">
        <f>HYPERLINK("https://www.773grp.com/globalSearch/BT136X-600F127/page-1", "BT136X-600F127")</f>
        <v>BT136X-600F127</v>
      </c>
      <c r="B18368" s="3" t="str">
        <f>HYPERLINK("https://www.773grp.com/manufacturer/nxp-semiconductor?pageNo=34", "NXP Semiconductors")</f>
        <v>NXP Semiconductors</v>
      </c>
      <c r="C18368" s="6">
        <v>150</v>
      </c>
      <c r="D18368" s="7">
        <v>0.85</v>
      </c>
    </row>
    <row r="18369" spans="1:4" x14ac:dyDescent="0.25">
      <c r="A18369" t="str">
        <f>HYPERLINK("https://www.773grp.com/globalSearch/BT136X-800E127/page-1", "BT136X-800E127")</f>
        <v>BT136X-800E127</v>
      </c>
      <c r="B18369" s="3" t="str">
        <f>HYPERLINK("https://www.773grp.com/manufacturer/nxp-semiconductor?pageNo=35", "NXP Semiconductors")</f>
        <v>NXP Semiconductors</v>
      </c>
      <c r="C18369" s="6">
        <v>3000</v>
      </c>
      <c r="D18369" s="7">
        <v>0.85</v>
      </c>
    </row>
    <row r="18370" spans="1:4" x14ac:dyDescent="0.25">
      <c r="A18370" t="str">
        <f>HYPERLINK("https://www.773grp.com/globalSearch/BT148-400R127/page-1", "BT148-400R127")</f>
        <v>BT148-400R127</v>
      </c>
      <c r="B18370" s="3" t="str">
        <f>HYPERLINK("https://www.773grp.com/manufacturer/nxp-semiconductor?pageNo=36", "NXP Semiconductors")</f>
        <v>NXP Semiconductors</v>
      </c>
      <c r="C18370" s="6">
        <v>200</v>
      </c>
      <c r="D18370" s="7">
        <v>0.85</v>
      </c>
    </row>
    <row r="18371" spans="1:4" x14ac:dyDescent="0.25">
      <c r="A18371" t="str">
        <f>HYPERLINK("https://www.773grp.com/globalSearch/BT148-600R127/page-1", "BT148-600R127")</f>
        <v>BT148-600R127</v>
      </c>
      <c r="B18371" s="3" t="str">
        <f>HYPERLINK("https://www.773grp.com/manufacturer/nxp-semiconductor?pageNo=37", "NXP Semiconductors")</f>
        <v>NXP Semiconductors</v>
      </c>
      <c r="C18371" s="6">
        <v>3000</v>
      </c>
      <c r="D18371" s="7">
        <v>0.85</v>
      </c>
    </row>
    <row r="18372" spans="1:4" x14ac:dyDescent="0.25">
      <c r="A18372" t="str">
        <f>HYPERLINK("https://www.773grp.com/globalSearch/BTA201-800E112/page-1", "BTA201-800E112")</f>
        <v>BTA201-800E112</v>
      </c>
      <c r="B18372" s="3" t="str">
        <f>HYPERLINK("https://www.773grp.com/manufacturer/nxp-semiconductor?pageNo=38", "NXP Semiconductors")</f>
        <v>NXP Semiconductors</v>
      </c>
      <c r="C18372" s="6">
        <v>12</v>
      </c>
      <c r="D18372" s="7">
        <v>0.85</v>
      </c>
    </row>
    <row r="18373" spans="1:4" x14ac:dyDescent="0.25">
      <c r="A18373" t="str">
        <f>HYPERLINK("https://www.773grp.com/globalSearch/BTA201-800E412/page-1", "BTA201-800E412")</f>
        <v>BTA201-800E412</v>
      </c>
      <c r="B18373" s="3" t="str">
        <f>HYPERLINK("https://www.773grp.com/manufacturer/nxp-semiconductor?pageNo=39", "NXP Semiconductors")</f>
        <v>NXP Semiconductors</v>
      </c>
      <c r="C18373" s="6">
        <v>188</v>
      </c>
      <c r="D18373" s="7">
        <v>0.85</v>
      </c>
    </row>
    <row r="18374" spans="1:4" x14ac:dyDescent="0.25">
      <c r="A18374" t="str">
        <f>HYPERLINK("https://www.773grp.com/globalSearch/BUK7880-55A115/page-1", "BUK7880-55A115")</f>
        <v>BUK7880-55A115</v>
      </c>
      <c r="B18374" s="3" t="str">
        <f>HYPERLINK("https://www.773grp.com/manufacturer/nxp-semiconductor?pageNo=40", "NXP Semiconductors")</f>
        <v>NXP Semiconductors</v>
      </c>
      <c r="C18374" s="6">
        <v>5090</v>
      </c>
      <c r="D18374" s="7">
        <v>0.85</v>
      </c>
    </row>
    <row r="18375" spans="1:4" x14ac:dyDescent="0.25">
      <c r="A18375" t="str">
        <f>HYPERLINK("https://www.773grp.com/globalSearch/CBT3251D112/page-1", "CBT3251D112")</f>
        <v>CBT3251D112</v>
      </c>
      <c r="B18375" s="3" t="str">
        <f>HYPERLINK("https://www.773grp.com/manufacturer/nxp-semiconductor?pageNo=41", "NXP Semiconductors")</f>
        <v>NXP Semiconductors</v>
      </c>
      <c r="C18375" s="6">
        <v>10973</v>
      </c>
      <c r="D18375" s="7">
        <v>0.85</v>
      </c>
    </row>
    <row r="18376" spans="1:4" x14ac:dyDescent="0.25">
      <c r="A18376" t="str">
        <f>HYPERLINK("https://www.773grp.com/globalSearch/CBT3251PW112/page-1", "CBT3251PW112")</f>
        <v>CBT3251PW112</v>
      </c>
      <c r="B18376" s="3" t="str">
        <f>HYPERLINK("https://www.773grp.com/manufacturer/nxp-semiconductor?pageNo=42", "NXP Semiconductors")</f>
        <v>NXP Semiconductors</v>
      </c>
      <c r="C18376" s="6">
        <v>2449</v>
      </c>
      <c r="D18376" s="7">
        <v>0.85</v>
      </c>
    </row>
    <row r="18377" spans="1:4" x14ac:dyDescent="0.25">
      <c r="A18377" t="str">
        <f>HYPERLINK("https://www.773grp.com/globalSearch/CBT3251PW118/page-1", "CBT3251PW118")</f>
        <v>CBT3251PW118</v>
      </c>
      <c r="B18377" s="3" t="str">
        <f>HYPERLINK("https://www.773grp.com/manufacturer/nxp-semiconductor?pageNo=43", "NXP Semiconductors")</f>
        <v>NXP Semiconductors</v>
      </c>
      <c r="C18377" s="6">
        <v>10000</v>
      </c>
      <c r="D18377" s="7">
        <v>0.85</v>
      </c>
    </row>
    <row r="18378" spans="1:4" x14ac:dyDescent="0.25">
      <c r="A18378" t="str">
        <f>HYPERLINK("https://www.773grp.com/globalSearch/CBT3257ADB118/page-1", "CBT3257ADB118")</f>
        <v>CBT3257ADB118</v>
      </c>
      <c r="B18378" s="3" t="str">
        <f>HYPERLINK("https://www.773grp.com/manufacturer/nxp-semiconductor?pageNo=44", "NXP Semiconductors")</f>
        <v>NXP Semiconductors</v>
      </c>
      <c r="C18378" s="6">
        <v>2000</v>
      </c>
      <c r="D18378" s="7">
        <v>0.85</v>
      </c>
    </row>
    <row r="18379" spans="1:4" x14ac:dyDescent="0.25">
      <c r="A18379" t="str">
        <f>HYPERLINK("https://www.773grp.com/globalSearch/HTSH5601ETK118/page-1", "HTSH5601ETK118")</f>
        <v>HTSH5601ETK118</v>
      </c>
      <c r="B18379" s="3" t="str">
        <f>HYPERLINK("https://www.773grp.com/manufacturer/nxp-semiconductor?pageNo=45", "NXP Semiconductors")</f>
        <v>NXP Semiconductors</v>
      </c>
      <c r="C18379" s="6">
        <v>3129</v>
      </c>
      <c r="D18379" s="7">
        <v>0.85</v>
      </c>
    </row>
    <row r="18380" spans="1:4" x14ac:dyDescent="0.25">
      <c r="A18380" t="str">
        <f>HYPERLINK("https://www.773grp.com/globalSearch/LM75AD112/page-1", "LM75AD112")</f>
        <v>LM75AD112</v>
      </c>
      <c r="B18380" s="3" t="str">
        <f>HYPERLINK("https://www.773grp.com/manufacturer/nxp-semiconductor?pageNo=46", "NXP Semiconductors")</f>
        <v>NXP Semiconductors</v>
      </c>
      <c r="C18380" s="6">
        <v>7978</v>
      </c>
      <c r="D18380" s="7">
        <v>0.85</v>
      </c>
    </row>
    <row r="18381" spans="1:4" x14ac:dyDescent="0.25">
      <c r="A18381" t="str">
        <f>HYPERLINK("https://www.773grp.com/globalSearch/LM75ADP118/page-1", "LM75ADP118")</f>
        <v>LM75ADP118</v>
      </c>
      <c r="B18381" s="3" t="str">
        <f>HYPERLINK("https://www.773grp.com/manufacturer/nxp-semiconductor?pageNo=47", "NXP Semiconductors")</f>
        <v>NXP Semiconductors</v>
      </c>
      <c r="C18381" s="6">
        <v>2500</v>
      </c>
      <c r="D18381" s="7">
        <v>0.85</v>
      </c>
    </row>
    <row r="18382" spans="1:4" x14ac:dyDescent="0.25">
      <c r="A18382" t="str">
        <f>HYPERLINK("https://www.773grp.com/globalSearch/N74F153D602/page-1", "N74F153D602")</f>
        <v>N74F153D602</v>
      </c>
      <c r="B18382" s="3" t="str">
        <f>HYPERLINK("https://www.773grp.com/manufacturer/nxp-semiconductor?pageNo=48", "NXP Semiconductors")</f>
        <v>NXP Semiconductors</v>
      </c>
      <c r="C18382" s="6">
        <v>1000</v>
      </c>
      <c r="D18382" s="7">
        <v>0.85</v>
      </c>
    </row>
    <row r="18383" spans="1:4" x14ac:dyDescent="0.25">
      <c r="A18383" t="str">
        <f>HYPERLINK("https://www.773grp.com/globalSearch/N74F153D623/page-1", "N74F153D623")</f>
        <v>N74F153D623</v>
      </c>
      <c r="B18383" s="3" t="str">
        <f>HYPERLINK("https://www.773grp.com/manufacturer/nxp-semiconductor?pageNo=1", "NXP Semiconductors")</f>
        <v>NXP Semiconductors</v>
      </c>
      <c r="C18383" s="6">
        <v>2672</v>
      </c>
      <c r="D18383" s="7">
        <v>0.85</v>
      </c>
    </row>
    <row r="18384" spans="1:4" x14ac:dyDescent="0.25">
      <c r="A18384" t="str">
        <f>HYPERLINK("https://www.773grp.com/globalSearch/N74F244DB112/page-1", "N74F244DB112")</f>
        <v>N74F244DB112</v>
      </c>
      <c r="B18384" s="3" t="str">
        <f>HYPERLINK("https://www.773grp.com/manufacturer/nxp-semiconductor?pageNo=2", "NXP Semiconductors")</f>
        <v>NXP Semiconductors</v>
      </c>
      <c r="C18384" s="6">
        <v>10164</v>
      </c>
      <c r="D18384" s="7">
        <v>0.85</v>
      </c>
    </row>
    <row r="18385" spans="1:4" x14ac:dyDescent="0.25">
      <c r="A18385" t="str">
        <f>HYPERLINK("https://www.773grp.com/globalSearch/NTB0102GF115/page-1", "NTB0102GF115")</f>
        <v>NTB0102GF115</v>
      </c>
      <c r="B18385" s="3" t="str">
        <f>HYPERLINK("https://www.773grp.com/manufacturer/nxp-semiconductor?pageNo=3", "NXP Semiconductors")</f>
        <v>NXP Semiconductors</v>
      </c>
      <c r="C18385" s="6">
        <v>300</v>
      </c>
      <c r="D18385" s="7">
        <v>0.85</v>
      </c>
    </row>
    <row r="18386" spans="1:4" x14ac:dyDescent="0.25">
      <c r="A18386" t="str">
        <f>HYPERLINK("https://www.773grp.com/globalSearch/NTB0102GT115/page-1", "NTB0102GT115")</f>
        <v>NTB0102GT115</v>
      </c>
      <c r="B18386" s="3" t="str">
        <f>HYPERLINK("https://www.773grp.com/manufacturer/nxp-semiconductor?pageNo=4", "NXP Semiconductors")</f>
        <v>NXP Semiconductors</v>
      </c>
      <c r="C18386" s="6">
        <v>5000</v>
      </c>
      <c r="D18386" s="7">
        <v>0.85</v>
      </c>
    </row>
    <row r="18387" spans="1:4" x14ac:dyDescent="0.25">
      <c r="A18387" t="str">
        <f>HYPERLINK("https://www.773grp.com/globalSearch/NX3L4684GM132/page-1", "NX3L4684GM132")</f>
        <v>NX3L4684GM132</v>
      </c>
      <c r="B18387" s="3" t="str">
        <f>HYPERLINK("https://www.773grp.com/manufacturer/nxp-semiconductor?pageNo=5", "NXP Semiconductors")</f>
        <v>NXP Semiconductors</v>
      </c>
      <c r="C18387" s="6">
        <v>4875</v>
      </c>
      <c r="D18387" s="7">
        <v>0.85</v>
      </c>
    </row>
    <row r="18388" spans="1:4" x14ac:dyDescent="0.25">
      <c r="A18388" t="str">
        <f>HYPERLINK("https://www.773grp.com/globalSearch/NX3L4684TK115/page-1", "NX3L4684TK115")</f>
        <v>NX3L4684TK115</v>
      </c>
      <c r="B18388" s="3" t="str">
        <f>HYPERLINK("https://www.773grp.com/manufacturer/nxp-semiconductor?pageNo=6", "NXP Semiconductors")</f>
        <v>NXP Semiconductors</v>
      </c>
      <c r="C18388" s="6">
        <v>5600</v>
      </c>
      <c r="D18388" s="7">
        <v>0.85</v>
      </c>
    </row>
    <row r="18389" spans="1:4" x14ac:dyDescent="0.25">
      <c r="A18389" t="str">
        <f>HYPERLINK("https://www.773grp.com/globalSearch/PBLS2002S115/page-1", "PBLS2002S115")</f>
        <v>PBLS2002S115</v>
      </c>
      <c r="B18389" s="3" t="str">
        <f>HYPERLINK("https://www.773grp.com/manufacturer/nxp-semiconductor?pageNo=7", "NXP Semiconductors")</f>
        <v>NXP Semiconductors</v>
      </c>
      <c r="C18389" s="6">
        <v>2890</v>
      </c>
      <c r="D18389" s="7">
        <v>0.85</v>
      </c>
    </row>
    <row r="18390" spans="1:4" x14ac:dyDescent="0.25">
      <c r="A18390" t="str">
        <f>HYPERLINK("https://www.773grp.com/globalSearch/PBSS4032NX115/page-1", "PBSS4032NX115")</f>
        <v>PBSS4032NX115</v>
      </c>
      <c r="B18390" s="3" t="str">
        <f>HYPERLINK("https://www.773grp.com/manufacturer/nxp-semiconductor?pageNo=8", "NXP Semiconductors")</f>
        <v>NXP Semiconductors</v>
      </c>
      <c r="C18390" s="6">
        <v>5975</v>
      </c>
      <c r="D18390" s="7">
        <v>0.85</v>
      </c>
    </row>
    <row r="18391" spans="1:4" x14ac:dyDescent="0.25">
      <c r="A18391" t="str">
        <f>HYPERLINK("https://www.773grp.com/globalSearch/PBSS4032NZ115/page-1", "PBSS4032NZ115")</f>
        <v>PBSS4032NZ115</v>
      </c>
      <c r="B18391" s="3" t="str">
        <f>HYPERLINK("https://www.773grp.com/manufacturer/nxp-semiconductor?pageNo=9", "NXP Semiconductors")</f>
        <v>NXP Semiconductors</v>
      </c>
      <c r="C18391" s="6">
        <v>20875</v>
      </c>
      <c r="D18391" s="7">
        <v>0.85</v>
      </c>
    </row>
    <row r="18392" spans="1:4" x14ac:dyDescent="0.25">
      <c r="A18392" t="str">
        <f>HYPERLINK("https://www.773grp.com/globalSearch/PBSS4032PX115/page-1", "PBSS4032PX115")</f>
        <v>PBSS4032PX115</v>
      </c>
      <c r="B18392" s="3" t="str">
        <f>HYPERLINK("https://www.773grp.com/manufacturer/nxp-semiconductor?pageNo=10", "NXP Semiconductors")</f>
        <v>NXP Semiconductors</v>
      </c>
      <c r="C18392" s="6">
        <v>3190</v>
      </c>
      <c r="D18392" s="7">
        <v>0.85</v>
      </c>
    </row>
    <row r="18393" spans="1:4" x14ac:dyDescent="0.25">
      <c r="A18393" t="str">
        <f>HYPERLINK("https://www.773grp.com/globalSearch/PBSS4032PZ115/page-1", "PBSS4032PZ115")</f>
        <v>PBSS4032PZ115</v>
      </c>
      <c r="B18393" s="3" t="str">
        <f>HYPERLINK("https://www.773grp.com/manufacturer/nxp-semiconductor?pageNo=11", "NXP Semiconductors")</f>
        <v>NXP Semiconductors</v>
      </c>
      <c r="C18393" s="6">
        <v>4000</v>
      </c>
      <c r="D18393" s="7">
        <v>0.85</v>
      </c>
    </row>
    <row r="18394" spans="1:4" x14ac:dyDescent="0.25">
      <c r="A18394" t="str">
        <f>HYPERLINK("https://www.773grp.com/globalSearch/PBSS4041NX115/page-1", "PBSS4041NX115")</f>
        <v>PBSS4041NX115</v>
      </c>
      <c r="B18394" s="3" t="str">
        <f>HYPERLINK("https://www.773grp.com/manufacturer/nxp-semiconductor?pageNo=12", "NXP Semiconductors")</f>
        <v>NXP Semiconductors</v>
      </c>
      <c r="C18394" s="6">
        <v>17760</v>
      </c>
      <c r="D18394" s="7">
        <v>0.85</v>
      </c>
    </row>
    <row r="18395" spans="1:4" x14ac:dyDescent="0.25">
      <c r="A18395" t="str">
        <f>HYPERLINK("https://www.773grp.com/globalSearch/PBSS4041PX115/page-1", "PBSS4041PX115")</f>
        <v>PBSS4041PX115</v>
      </c>
      <c r="B18395" s="3" t="str">
        <f>HYPERLINK("https://www.773grp.com/manufacturer/nxp-semiconductor?pageNo=13", "NXP Semiconductors")</f>
        <v>NXP Semiconductors</v>
      </c>
      <c r="C18395" s="6">
        <v>10000</v>
      </c>
      <c r="D18395" s="7">
        <v>0.85</v>
      </c>
    </row>
    <row r="18396" spans="1:4" x14ac:dyDescent="0.25">
      <c r="A18396" t="str">
        <f>HYPERLINK("https://www.773grp.com/globalSearch/PMBFJ620115/page-1", "PMBFJ620115")</f>
        <v>PMBFJ620115</v>
      </c>
      <c r="B18396" s="3" t="str">
        <f>HYPERLINK("https://www.773grp.com/manufacturer/nxp-semiconductor?pageNo=14", "NXP Semiconductors")</f>
        <v>NXP Semiconductors</v>
      </c>
      <c r="C18396" s="6">
        <v>156000</v>
      </c>
      <c r="D18396" s="7">
        <v>0.85</v>
      </c>
    </row>
    <row r="18397" spans="1:4" x14ac:dyDescent="0.25">
      <c r="A18397" t="str">
        <f>HYPERLINK("https://www.773grp.com/globalSearch/PMDPB70EN115/page-1", "PMDPB70EN115")</f>
        <v>PMDPB70EN115</v>
      </c>
      <c r="B18397" s="3" t="str">
        <f>HYPERLINK("https://www.773grp.com/manufacturer/nxp-semiconductor?pageNo=15", "NXP Semiconductors")</f>
        <v>NXP Semiconductors</v>
      </c>
      <c r="C18397" s="6">
        <v>6000</v>
      </c>
      <c r="D18397" s="7">
        <v>0.85</v>
      </c>
    </row>
    <row r="18398" spans="1:4" x14ac:dyDescent="0.25">
      <c r="A18398" t="str">
        <f>HYPERLINK("https://www.773grp.com/globalSearch/PMDPB70XP115/page-1", "PMDPB70XP115")</f>
        <v>PMDPB70XP115</v>
      </c>
      <c r="B18398" s="3" t="str">
        <f>HYPERLINK("https://www.773grp.com/manufacturer/nxp-semiconductor?pageNo=16", "NXP Semiconductors")</f>
        <v>NXP Semiconductors</v>
      </c>
      <c r="C18398" s="6">
        <v>6000</v>
      </c>
      <c r="D18398" s="7">
        <v>0.85</v>
      </c>
    </row>
    <row r="18399" spans="1:4" x14ac:dyDescent="0.25">
      <c r="A18399" t="str">
        <f>HYPERLINK("https://www.773grp.com/globalSearch/PMFPB8040XP115/page-1", "PMFPB8040XP115")</f>
        <v>PMFPB8040XP115</v>
      </c>
      <c r="B18399" s="3" t="str">
        <f>HYPERLINK("https://www.773grp.com/manufacturer/nxp-semiconductor?pageNo=17", "NXP Semiconductors")</f>
        <v>NXP Semiconductors</v>
      </c>
      <c r="C18399" s="6">
        <v>2223</v>
      </c>
      <c r="D18399" s="7">
        <v>0.85</v>
      </c>
    </row>
    <row r="18400" spans="1:4" x14ac:dyDescent="0.25">
      <c r="A18400" t="str">
        <f>HYPERLINK("https://www.773grp.com/globalSearch/PMZ250UN315/page-1", "PMZ250UN315")</f>
        <v>PMZ250UN315</v>
      </c>
      <c r="B18400" s="3" t="str">
        <f>HYPERLINK("https://www.773grp.com/manufacturer/nxp-semiconductor?pageNo=18", "NXP Semiconductors")</f>
        <v>NXP Semiconductors</v>
      </c>
      <c r="C18400" s="6">
        <v>30000</v>
      </c>
      <c r="D18400" s="7">
        <v>0.85</v>
      </c>
    </row>
    <row r="18401" spans="1:4" x14ac:dyDescent="0.25">
      <c r="A18401" t="str">
        <f>HYPERLINK("https://www.773grp.com/globalSearch/PMZ350XN315/page-1", "PMZ350XN315")</f>
        <v>PMZ350XN315</v>
      </c>
      <c r="B18401" s="3" t="str">
        <f>HYPERLINK("https://www.773grp.com/manufacturer/nxp-semiconductor?pageNo=19", "NXP Semiconductors")</f>
        <v>NXP Semiconductors</v>
      </c>
      <c r="C18401" s="6">
        <v>20000</v>
      </c>
      <c r="D18401" s="7">
        <v>0.85</v>
      </c>
    </row>
    <row r="18402" spans="1:4" x14ac:dyDescent="0.25">
      <c r="A18402" t="str">
        <f>HYPERLINK("https://www.773grp.com/globalSearch/PMZ390UN315/page-1", "PMZ390UN315")</f>
        <v>PMZ390UN315</v>
      </c>
      <c r="B18402" s="3" t="str">
        <f>HYPERLINK("https://www.773grp.com/manufacturer/nxp-semiconductor?pageNo=20", "NXP Semiconductors")</f>
        <v>NXP Semiconductors</v>
      </c>
      <c r="C18402" s="6">
        <v>150</v>
      </c>
      <c r="D18402" s="7">
        <v>0.85</v>
      </c>
    </row>
    <row r="18403" spans="1:4" x14ac:dyDescent="0.25">
      <c r="A18403" t="str">
        <f>HYPERLINK("https://www.773grp.com/globalSearch/PSMN5R9-30YL115/page-1", "PSMN5R9-30YL115")</f>
        <v>PSMN5R9-30YL115</v>
      </c>
      <c r="B18403" s="3" t="str">
        <f>HYPERLINK("https://www.773grp.com/manufacturer/nxp-semiconductor?pageNo=21", "NXP Semiconductors")</f>
        <v>NXP Semiconductors</v>
      </c>
      <c r="C18403" s="6">
        <v>2429</v>
      </c>
      <c r="D18403" s="7">
        <v>0.85</v>
      </c>
    </row>
    <row r="18404" spans="1:4" x14ac:dyDescent="0.25">
      <c r="A18404" t="str">
        <f>HYPERLINK("https://www.773grp.com/globalSearch/SL2MOS2001DV118/page-1", "SL2MOS2001DV118")</f>
        <v>SL2MOS2001DV118</v>
      </c>
      <c r="B18404" s="3" t="str">
        <f>HYPERLINK("https://www.773grp.com/manufacturer/nxp-semiconductor?pageNo=22", "NXP Semiconductors")</f>
        <v>NXP Semiconductors</v>
      </c>
      <c r="C18404" s="6">
        <v>53158</v>
      </c>
      <c r="D18404" s="7">
        <v>0.85</v>
      </c>
    </row>
    <row r="18405" spans="1:4" x14ac:dyDescent="0.25">
      <c r="A18405" t="str">
        <f>HYPERLINK("https://www.773grp.com/globalSearch/74ABT2244PW118/page-1", "74ABT2244PW118")</f>
        <v>74ABT2244PW118</v>
      </c>
      <c r="B18405" s="3" t="str">
        <f>HYPERLINK("https://www.773grp.com/manufacturer/nxp-semiconductor?pageNo=23", "NXP Semiconductors")</f>
        <v>NXP Semiconductors</v>
      </c>
      <c r="C18405" s="6">
        <v>2500</v>
      </c>
      <c r="D18405" s="7">
        <v>0.9</v>
      </c>
    </row>
    <row r="18406" spans="1:4" x14ac:dyDescent="0.25">
      <c r="A18406" t="str">
        <f>HYPERLINK("https://www.773grp.com/globalSearch/74ABT244D602/page-1", "74ABT244D602")</f>
        <v>74ABT244D602</v>
      </c>
      <c r="B18406" s="3" t="str">
        <f>HYPERLINK("https://www.773grp.com/manufacturer/nxp-semiconductor?pageNo=24", "NXP Semiconductors")</f>
        <v>NXP Semiconductors</v>
      </c>
      <c r="C18406" s="6">
        <v>7011</v>
      </c>
      <c r="D18406" s="7">
        <v>0.9</v>
      </c>
    </row>
    <row r="18407" spans="1:4" x14ac:dyDescent="0.25">
      <c r="A18407" t="str">
        <f>HYPERLINK("https://www.773grp.com/globalSearch/74ABT273ADB118/page-1", "74ABT273ADB118")</f>
        <v>74ABT273ADB118</v>
      </c>
      <c r="B18407" s="3" t="str">
        <f>HYPERLINK("https://www.773grp.com/manufacturer/nxp-semiconductor?pageNo=25", "NXP Semiconductors")</f>
        <v>NXP Semiconductors</v>
      </c>
      <c r="C18407" s="6">
        <v>7000</v>
      </c>
      <c r="D18407" s="7">
        <v>0.9</v>
      </c>
    </row>
    <row r="18408" spans="1:4" x14ac:dyDescent="0.25">
      <c r="A18408" t="str">
        <f>HYPERLINK("https://www.773grp.com/globalSearch/74ABT573AD112/page-1", "74ABT573AD112")</f>
        <v>74ABT573AD112</v>
      </c>
      <c r="B18408" s="3" t="str">
        <f>HYPERLINK("https://www.773grp.com/manufacturer/nxp-semiconductor?pageNo=26", "NXP Semiconductors")</f>
        <v>NXP Semiconductors</v>
      </c>
      <c r="C18408" s="6">
        <v>3451</v>
      </c>
      <c r="D18408" s="7">
        <v>0.9</v>
      </c>
    </row>
    <row r="18409" spans="1:4" x14ac:dyDescent="0.25">
      <c r="A18409" t="str">
        <f>HYPERLINK("https://www.773grp.com/globalSearch/74ABT573ADB118/page-1", "74ABT573ADB118")</f>
        <v>74ABT573ADB118</v>
      </c>
      <c r="B18409" s="3" t="str">
        <f>HYPERLINK("https://www.773grp.com/manufacturer/nxp-semiconductor?pageNo=27", "NXP Semiconductors")</f>
        <v>NXP Semiconductors</v>
      </c>
      <c r="C18409" s="6">
        <v>2000</v>
      </c>
      <c r="D18409" s="7">
        <v>0.9</v>
      </c>
    </row>
    <row r="18410" spans="1:4" x14ac:dyDescent="0.25">
      <c r="A18410" t="str">
        <f>HYPERLINK("https://www.773grp.com/globalSearch/74ABT574AD112/page-1", "74ABT574AD112")</f>
        <v>74ABT574AD112</v>
      </c>
      <c r="B18410" s="3" t="str">
        <f>HYPERLINK("https://www.773grp.com/manufacturer/nxp-semiconductor?pageNo=28", "NXP Semiconductors")</f>
        <v>NXP Semiconductors</v>
      </c>
      <c r="C18410" s="6">
        <v>240</v>
      </c>
      <c r="D18410" s="7">
        <v>0.9</v>
      </c>
    </row>
    <row r="18411" spans="1:4" x14ac:dyDescent="0.25">
      <c r="A18411" t="str">
        <f>HYPERLINK("https://www.773grp.com/globalSearch/74ABT574ADB112/page-1", "74ABT574ADB112")</f>
        <v>74ABT574ADB112</v>
      </c>
      <c r="B18411" s="3" t="str">
        <f>HYPERLINK("https://www.773grp.com/manufacturer/nxp-semiconductor?pageNo=29", "NXP Semiconductors")</f>
        <v>NXP Semiconductors</v>
      </c>
      <c r="C18411" s="6">
        <v>3146</v>
      </c>
      <c r="D18411" s="7">
        <v>0.9</v>
      </c>
    </row>
    <row r="18412" spans="1:4" x14ac:dyDescent="0.25">
      <c r="A18412" t="str">
        <f>HYPERLINK("https://www.773grp.com/globalSearch/74AHC594PW118/page-1", "74AHC594PW118")</f>
        <v>74AHC594PW118</v>
      </c>
      <c r="B18412" s="3" t="str">
        <f>HYPERLINK("https://www.773grp.com/manufacturer/nxp-semiconductor?pageNo=30", "NXP Semiconductors")</f>
        <v>NXP Semiconductors</v>
      </c>
      <c r="C18412" s="6">
        <v>2500</v>
      </c>
      <c r="D18412" s="7">
        <v>0.9</v>
      </c>
    </row>
    <row r="18413" spans="1:4" x14ac:dyDescent="0.25">
      <c r="A18413" t="str">
        <f>HYPERLINK("https://www.773grp.com/globalSearch/74AHCT259D112/page-1", "74AHCT259D112")</f>
        <v>74AHCT259D112</v>
      </c>
      <c r="B18413" s="3" t="str">
        <f>HYPERLINK("https://www.773grp.com/manufacturer/nxp-semiconductor?pageNo=31", "NXP Semiconductors")</f>
        <v>NXP Semiconductors</v>
      </c>
      <c r="C18413" s="6">
        <v>227</v>
      </c>
      <c r="D18413" s="7">
        <v>0.9</v>
      </c>
    </row>
    <row r="18414" spans="1:4" x14ac:dyDescent="0.25">
      <c r="A18414" t="str">
        <f>HYPERLINK("https://www.773grp.com/globalSearch/74AHCT259PW118/page-1", "74AHCT259PW118")</f>
        <v>74AHCT259PW118</v>
      </c>
      <c r="B18414" s="3" t="str">
        <f>HYPERLINK("https://www.773grp.com/manufacturer/nxp-semiconductor?pageNo=32", "NXP Semiconductors")</f>
        <v>NXP Semiconductors</v>
      </c>
      <c r="C18414" s="6">
        <v>2500</v>
      </c>
      <c r="D18414" s="7">
        <v>0.9</v>
      </c>
    </row>
    <row r="18415" spans="1:4" x14ac:dyDescent="0.25">
      <c r="A18415" t="str">
        <f>HYPERLINK("https://www.773grp.com/globalSearch/74ALVC125BQ115/page-1", "74ALVC125BQ115")</f>
        <v>74ALVC125BQ115</v>
      </c>
      <c r="B18415" s="3" t="str">
        <f>HYPERLINK("https://www.773grp.com/manufacturer/nxp-semiconductor?pageNo=33", "NXP Semiconductors")</f>
        <v>NXP Semiconductors</v>
      </c>
      <c r="C18415" s="6">
        <v>5499</v>
      </c>
      <c r="D18415" s="7">
        <v>0.9</v>
      </c>
    </row>
    <row r="18416" spans="1:4" x14ac:dyDescent="0.25">
      <c r="A18416" t="str">
        <f>HYPERLINK("https://www.773grp.com/globalSearch/74AUP1G374GF132/page-1", "74AUP1G374GF132")</f>
        <v>74AUP1G374GF132</v>
      </c>
      <c r="B18416" s="3" t="str">
        <f>HYPERLINK("https://www.773grp.com/manufacturer/nxp-semiconductor?pageNo=34", "NXP Semiconductors")</f>
        <v>NXP Semiconductors</v>
      </c>
      <c r="C18416" s="6">
        <v>300</v>
      </c>
      <c r="D18416" s="7">
        <v>0.9</v>
      </c>
    </row>
    <row r="18417" spans="1:4" x14ac:dyDescent="0.25">
      <c r="A18417" t="str">
        <f>HYPERLINK("https://www.773grp.com/globalSearch/74HC193D652/page-1", "74HC193D652")</f>
        <v>74HC193D652</v>
      </c>
      <c r="B18417" s="3" t="str">
        <f>HYPERLINK("https://www.773grp.com/manufacturer/nxp-semiconductor?pageNo=35", "NXP Semiconductors")</f>
        <v>NXP Semiconductors</v>
      </c>
      <c r="C18417" s="6">
        <v>7000</v>
      </c>
      <c r="D18417" s="7">
        <v>0.9</v>
      </c>
    </row>
    <row r="18418" spans="1:4" x14ac:dyDescent="0.25">
      <c r="A18418" t="str">
        <f>HYPERLINK("https://www.773grp.com/globalSearch/74HC221D652/page-1", "74HC221D652")</f>
        <v>74HC221D652</v>
      </c>
      <c r="B18418" s="3" t="str">
        <f>HYPERLINK("https://www.773grp.com/manufacturer/nxp-semiconductor?pageNo=36", "NXP Semiconductors")</f>
        <v>NXP Semiconductors</v>
      </c>
      <c r="C18418" s="6">
        <v>16497</v>
      </c>
      <c r="D18418" s="7">
        <v>0.9</v>
      </c>
    </row>
    <row r="18419" spans="1:4" x14ac:dyDescent="0.25">
      <c r="A18419" t="str">
        <f>HYPERLINK("https://www.773grp.com/globalSearch/74HC221D653/page-1", "74HC221D653")</f>
        <v>74HC221D653</v>
      </c>
      <c r="B18419" s="3" t="str">
        <f>HYPERLINK("https://www.773grp.com/manufacturer/nxp-semiconductor?pageNo=37", "NXP Semiconductors")</f>
        <v>NXP Semiconductors</v>
      </c>
      <c r="C18419" s="6">
        <v>7500</v>
      </c>
      <c r="D18419" s="7">
        <v>0.9</v>
      </c>
    </row>
    <row r="18420" spans="1:4" x14ac:dyDescent="0.25">
      <c r="A18420" t="str">
        <f>HYPERLINK("https://www.773grp.com/globalSearch/74HC377D652/page-1", "74HC377D652")</f>
        <v>74HC377D652</v>
      </c>
      <c r="B18420" s="3" t="str">
        <f>HYPERLINK("https://www.773grp.com/manufacturer/nxp-semiconductor?pageNo=38", "NXP Semiconductors")</f>
        <v>NXP Semiconductors</v>
      </c>
      <c r="C18420" s="6">
        <v>1520</v>
      </c>
      <c r="D18420" s="7">
        <v>0.9</v>
      </c>
    </row>
    <row r="18421" spans="1:4" x14ac:dyDescent="0.25">
      <c r="A18421" t="str">
        <f>HYPERLINK("https://www.773grp.com/globalSearch/74HC423D652/page-1", "74HC423D652")</f>
        <v>74HC423D652</v>
      </c>
      <c r="B18421" s="3" t="str">
        <f>HYPERLINK("https://www.773grp.com/manufacturer/nxp-semiconductor?pageNo=39", "NXP Semiconductors")</f>
        <v>NXP Semiconductors</v>
      </c>
      <c r="C18421" s="6">
        <v>1000</v>
      </c>
      <c r="D18421" s="7">
        <v>0.9</v>
      </c>
    </row>
    <row r="18422" spans="1:4" x14ac:dyDescent="0.25">
      <c r="A18422" t="str">
        <f>HYPERLINK("https://www.773grp.com/globalSearch/74HCT112D652/page-1", "74HCT112D652")</f>
        <v>74HCT112D652</v>
      </c>
      <c r="B18422" s="3" t="str">
        <f>HYPERLINK("https://www.773grp.com/manufacturer/nxp-semiconductor?pageNo=40", "NXP Semiconductors")</f>
        <v>NXP Semiconductors</v>
      </c>
      <c r="C18422" s="6">
        <v>1344</v>
      </c>
      <c r="D18422" s="7">
        <v>0.9</v>
      </c>
    </row>
    <row r="18423" spans="1:4" x14ac:dyDescent="0.25">
      <c r="A18423" t="str">
        <f>HYPERLINK("https://www.773grp.com/globalSearch/74HCT112D653/page-1", "74HCT112D653")</f>
        <v>74HCT112D653</v>
      </c>
      <c r="B18423" s="3" t="str">
        <f>HYPERLINK("https://www.773grp.com/manufacturer/nxp-semiconductor?pageNo=41", "NXP Semiconductors")</f>
        <v>NXP Semiconductors</v>
      </c>
      <c r="C18423" s="6">
        <v>2500</v>
      </c>
      <c r="D18423" s="7">
        <v>0.9</v>
      </c>
    </row>
    <row r="18424" spans="1:4" x14ac:dyDescent="0.25">
      <c r="A18424" t="str">
        <f>HYPERLINK("https://www.773grp.com/globalSearch/74HCT112DB112/page-1", "74HCT112DB112")</f>
        <v>74HCT112DB112</v>
      </c>
      <c r="B18424" s="3" t="str">
        <f>HYPERLINK("https://www.773grp.com/manufacturer/nxp-semiconductor?pageNo=42", "NXP Semiconductors")</f>
        <v>NXP Semiconductors</v>
      </c>
      <c r="C18424" s="6">
        <v>3276</v>
      </c>
      <c r="D18424" s="7">
        <v>0.9</v>
      </c>
    </row>
    <row r="18425" spans="1:4" x14ac:dyDescent="0.25">
      <c r="A18425" t="str">
        <f>HYPERLINK("https://www.773grp.com/globalSearch/74HCT132DB112/page-1", "74HCT132DB112")</f>
        <v>74HCT132DB112</v>
      </c>
      <c r="B18425" s="3" t="str">
        <f>HYPERLINK("https://www.773grp.com/manufacturer/nxp-semiconductor?pageNo=43", "NXP Semiconductors")</f>
        <v>NXP Semiconductors</v>
      </c>
      <c r="C18425" s="6">
        <v>1092</v>
      </c>
      <c r="D18425" s="7">
        <v>0.9</v>
      </c>
    </row>
    <row r="18426" spans="1:4" x14ac:dyDescent="0.25">
      <c r="A18426" t="str">
        <f>HYPERLINK("https://www.773grp.com/globalSearch/74HCT132DB118/page-1", "74HCT132DB118")</f>
        <v>74HCT132DB118</v>
      </c>
      <c r="B18426" s="3" t="str">
        <f>HYPERLINK("https://www.773grp.com/manufacturer/nxp-semiconductor?pageNo=44", "NXP Semiconductors")</f>
        <v>NXP Semiconductors</v>
      </c>
      <c r="C18426" s="6">
        <v>4000</v>
      </c>
      <c r="D18426" s="7">
        <v>0.9</v>
      </c>
    </row>
    <row r="18427" spans="1:4" x14ac:dyDescent="0.25">
      <c r="A18427" t="str">
        <f>HYPERLINK("https://www.773grp.com/globalSearch/74HCT191D652/page-1", "74HCT191D652")</f>
        <v>74HCT191D652</v>
      </c>
      <c r="B18427" s="3" t="str">
        <f>HYPERLINK("https://www.773grp.com/manufacturer/nxp-semiconductor?pageNo=45", "NXP Semiconductors")</f>
        <v>NXP Semiconductors</v>
      </c>
      <c r="C18427" s="6">
        <v>3240</v>
      </c>
      <c r="D18427" s="7">
        <v>0.9</v>
      </c>
    </row>
    <row r="18428" spans="1:4" x14ac:dyDescent="0.25">
      <c r="A18428" t="str">
        <f>HYPERLINK("https://www.773grp.com/globalSearch/74HCT377D652/page-1", "74HCT377D652")</f>
        <v>74HCT377D652</v>
      </c>
      <c r="B18428" s="3" t="str">
        <f>HYPERLINK("https://www.773grp.com/manufacturer/nxp-semiconductor?pageNo=46", "NXP Semiconductors")</f>
        <v>NXP Semiconductors</v>
      </c>
      <c r="C18428" s="6">
        <v>683</v>
      </c>
      <c r="D18428" s="7">
        <v>0.9</v>
      </c>
    </row>
    <row r="18429" spans="1:4" x14ac:dyDescent="0.25">
      <c r="A18429" t="str">
        <f>HYPERLINK("https://www.773grp.com/globalSearch/74HCT377D653/page-1", "74HCT377D653")</f>
        <v>74HCT377D653</v>
      </c>
      <c r="B18429" s="3" t="str">
        <f>HYPERLINK("https://www.773grp.com/manufacturer/nxp-semiconductor?pageNo=47", "NXP Semiconductors")</f>
        <v>NXP Semiconductors</v>
      </c>
      <c r="C18429" s="6">
        <v>4200</v>
      </c>
      <c r="D18429" s="7">
        <v>0.9</v>
      </c>
    </row>
    <row r="18430" spans="1:4" x14ac:dyDescent="0.25">
      <c r="A18430" t="str">
        <f>HYPERLINK("https://www.773grp.com/globalSearch/74HCT4094DB112/page-1", "74HCT4094DB112")</f>
        <v>74HCT4094DB112</v>
      </c>
      <c r="B18430" s="3" t="str">
        <f>HYPERLINK("https://www.773grp.com/manufacturer/nxp-semiconductor?pageNo=48", "NXP Semiconductors")</f>
        <v>NXP Semiconductors</v>
      </c>
      <c r="C18430" s="6">
        <v>1092</v>
      </c>
      <c r="D18430" s="7">
        <v>0.9</v>
      </c>
    </row>
    <row r="18431" spans="1:4" x14ac:dyDescent="0.25">
      <c r="A18431" t="str">
        <f>HYPERLINK("https://www.773grp.com/globalSearch/74HCT4094DB118/page-1", "74HCT4094DB118")</f>
        <v>74HCT4094DB118</v>
      </c>
      <c r="B18431" s="3" t="str">
        <f>HYPERLINK("https://www.773grp.com/manufacturer/nxp-semiconductor?pageNo=1", "NXP Semiconductors")</f>
        <v>NXP Semiconductors</v>
      </c>
      <c r="C18431" s="6">
        <v>2000</v>
      </c>
      <c r="D18431" s="7">
        <v>0.9</v>
      </c>
    </row>
    <row r="18432" spans="1:4" x14ac:dyDescent="0.25">
      <c r="A18432" t="str">
        <f>HYPERLINK("https://www.773grp.com/globalSearch/74HCT688D652/page-1", "74HCT688D652")</f>
        <v>74HCT688D652</v>
      </c>
      <c r="B18432" s="3" t="str">
        <f>HYPERLINK("https://www.773grp.com/manufacturer/nxp-semiconductor?pageNo=2", "NXP Semiconductors")</f>
        <v>NXP Semiconductors</v>
      </c>
      <c r="C18432" s="6">
        <v>5674</v>
      </c>
      <c r="D18432" s="7">
        <v>0.9</v>
      </c>
    </row>
    <row r="18433" spans="1:4" x14ac:dyDescent="0.25">
      <c r="A18433" t="str">
        <f>HYPERLINK("https://www.773grp.com/globalSearch/74HCT688D653/page-1", "74HCT688D653")</f>
        <v>74HCT688D653</v>
      </c>
      <c r="B18433" s="3" t="str">
        <f>HYPERLINK("https://www.773grp.com/manufacturer/nxp-semiconductor?pageNo=3", "NXP Semiconductors")</f>
        <v>NXP Semiconductors</v>
      </c>
      <c r="C18433" s="6">
        <v>4000</v>
      </c>
      <c r="D18433" s="7">
        <v>0.9</v>
      </c>
    </row>
    <row r="18434" spans="1:4" x14ac:dyDescent="0.25">
      <c r="A18434" t="str">
        <f>HYPERLINK("https://www.773grp.com/globalSearch/74HCT688PW112/page-1", "74HCT688PW112")</f>
        <v>74HCT688PW112</v>
      </c>
      <c r="B18434" s="3" t="str">
        <f>HYPERLINK("https://www.773grp.com/manufacturer/nxp-semiconductor?pageNo=4", "NXP Semiconductors")</f>
        <v>NXP Semiconductors</v>
      </c>
      <c r="C18434" s="6">
        <v>2042</v>
      </c>
      <c r="D18434" s="7">
        <v>0.9</v>
      </c>
    </row>
    <row r="18435" spans="1:4" x14ac:dyDescent="0.25">
      <c r="A18435" t="str">
        <f>HYPERLINK("https://www.773grp.com/globalSearch/74LV245DB112/page-1", "74LV245DB112")</f>
        <v>74LV245DB112</v>
      </c>
      <c r="B18435" s="3" t="str">
        <f>HYPERLINK("https://www.773grp.com/manufacturer/nxp-semiconductor?pageNo=5", "NXP Semiconductors")</f>
        <v>NXP Semiconductors</v>
      </c>
      <c r="C18435" s="6">
        <v>1848</v>
      </c>
      <c r="D18435" s="7">
        <v>0.9</v>
      </c>
    </row>
    <row r="18436" spans="1:4" x14ac:dyDescent="0.25">
      <c r="A18436" t="str">
        <f>HYPERLINK("https://www.773grp.com/globalSearch/74LV245DB118/page-1", "74LV245DB118")</f>
        <v>74LV245DB118</v>
      </c>
      <c r="B18436" s="3" t="str">
        <f>HYPERLINK("https://www.773grp.com/manufacturer/nxp-semiconductor?pageNo=6", "NXP Semiconductors")</f>
        <v>NXP Semiconductors</v>
      </c>
      <c r="C18436" s="6">
        <v>3347</v>
      </c>
      <c r="D18436" s="7">
        <v>0.9</v>
      </c>
    </row>
    <row r="18437" spans="1:4" x14ac:dyDescent="0.25">
      <c r="A18437" t="str">
        <f>HYPERLINK("https://www.773grp.com/globalSearch/74LV245PW118/page-1", "74LV245PW118")</f>
        <v>74LV245PW118</v>
      </c>
      <c r="B18437" s="3" t="str">
        <f>HYPERLINK("https://www.773grp.com/manufacturer/nxp-semiconductor?pageNo=7", "NXP Semiconductors")</f>
        <v>NXP Semiconductors</v>
      </c>
      <c r="C18437" s="6">
        <v>150</v>
      </c>
      <c r="D18437" s="7">
        <v>0.9</v>
      </c>
    </row>
    <row r="18438" spans="1:4" x14ac:dyDescent="0.25">
      <c r="A18438" t="str">
        <f>HYPERLINK("https://www.773grp.com/globalSearch/74LV273D112/page-1", "74LV273D112")</f>
        <v>74LV273D112</v>
      </c>
      <c r="B18438" s="3" t="str">
        <f>HYPERLINK("https://www.773grp.com/manufacturer/nxp-semiconductor?pageNo=8", "NXP Semiconductors")</f>
        <v>NXP Semiconductors</v>
      </c>
      <c r="C18438" s="6">
        <v>4560</v>
      </c>
      <c r="D18438" s="7">
        <v>0.9</v>
      </c>
    </row>
    <row r="18439" spans="1:4" x14ac:dyDescent="0.25">
      <c r="A18439" t="str">
        <f>HYPERLINK("https://www.773grp.com/globalSearch/74LV27D112/page-1", "74LV27D112")</f>
        <v>74LV27D112</v>
      </c>
      <c r="B18439" s="3" t="str">
        <f>HYPERLINK("https://www.773grp.com/manufacturer/nxp-semiconductor?pageNo=9", "NXP Semiconductors")</f>
        <v>NXP Semiconductors</v>
      </c>
      <c r="C18439" s="6">
        <v>3420</v>
      </c>
      <c r="D18439" s="7">
        <v>0.9</v>
      </c>
    </row>
    <row r="18440" spans="1:4" x14ac:dyDescent="0.25">
      <c r="A18440" t="str">
        <f>HYPERLINK("https://www.773grp.com/globalSearch/74LV374D118/page-1", "74LV374D118")</f>
        <v>74LV374D118</v>
      </c>
      <c r="B18440" s="3" t="str">
        <f>HYPERLINK("https://www.773grp.com/manufacturer/nxp-semiconductor?pageNo=10", "NXP Semiconductors")</f>
        <v>NXP Semiconductors</v>
      </c>
      <c r="C18440" s="6">
        <v>10000</v>
      </c>
      <c r="D18440" s="7">
        <v>0.9</v>
      </c>
    </row>
    <row r="18441" spans="1:4" x14ac:dyDescent="0.25">
      <c r="A18441" t="str">
        <f>HYPERLINK("https://www.773grp.com/globalSearch/74LV574D118/page-1", "74LV574D118")</f>
        <v>74LV574D118</v>
      </c>
      <c r="B18441" s="3" t="str">
        <f>HYPERLINK("https://www.773grp.com/manufacturer/nxp-semiconductor?pageNo=11", "NXP Semiconductors")</f>
        <v>NXP Semiconductors</v>
      </c>
      <c r="C18441" s="6">
        <v>745</v>
      </c>
      <c r="D18441" s="7">
        <v>0.9</v>
      </c>
    </row>
    <row r="18442" spans="1:4" x14ac:dyDescent="0.25">
      <c r="A18442" t="str">
        <f>HYPERLINK("https://www.773grp.com/globalSearch/74LVC1G02GX125/page-1", "74LVC1G02GX125")</f>
        <v>74LVC1G02GX125</v>
      </c>
      <c r="B18442" s="3" t="str">
        <f>HYPERLINK("https://www.773grp.com/manufacturer/nxp-semiconductor?pageNo=12", "NXP Semiconductors")</f>
        <v>NXP Semiconductors</v>
      </c>
      <c r="C18442" s="6">
        <v>20000</v>
      </c>
      <c r="D18442" s="7">
        <v>0.9</v>
      </c>
    </row>
    <row r="18443" spans="1:4" x14ac:dyDescent="0.25">
      <c r="A18443" t="str">
        <f>HYPERLINK("https://www.773grp.com/globalSearch/74LVT245D118/page-1", "74LVT245D118")</f>
        <v>74LVT245D118</v>
      </c>
      <c r="B18443" s="3" t="str">
        <f>HYPERLINK("https://www.773grp.com/manufacturer/nxp-semiconductor?pageNo=13", "NXP Semiconductors")</f>
        <v>NXP Semiconductors</v>
      </c>
      <c r="C18443" s="6">
        <v>100</v>
      </c>
      <c r="D18443" s="7">
        <v>0.9</v>
      </c>
    </row>
    <row r="18444" spans="1:4" x14ac:dyDescent="0.25">
      <c r="A18444" t="str">
        <f>HYPERLINK("https://www.773grp.com/globalSearch/74LVT245DB112/page-1", "74LVT245DB112")</f>
        <v>74LVT245DB112</v>
      </c>
      <c r="B18444" s="3" t="str">
        <f>HYPERLINK("https://www.773grp.com/manufacturer/nxp-semiconductor?pageNo=14", "NXP Semiconductors")</f>
        <v>NXP Semiconductors</v>
      </c>
      <c r="C18444" s="6">
        <v>3696</v>
      </c>
      <c r="D18444" s="7">
        <v>0.9</v>
      </c>
    </row>
    <row r="18445" spans="1:4" x14ac:dyDescent="0.25">
      <c r="A18445" t="str">
        <f>HYPERLINK("https://www.773grp.com/globalSearch/74LVT245DB118/page-1", "74LVT245DB118")</f>
        <v>74LVT245DB118</v>
      </c>
      <c r="B18445" s="3" t="str">
        <f>HYPERLINK("https://www.773grp.com/manufacturer/nxp-semiconductor?pageNo=15", "NXP Semiconductors")</f>
        <v>NXP Semiconductors</v>
      </c>
      <c r="C18445" s="6">
        <v>44212</v>
      </c>
      <c r="D18445" s="7">
        <v>0.9</v>
      </c>
    </row>
    <row r="18446" spans="1:4" x14ac:dyDescent="0.25">
      <c r="A18446" t="str">
        <f>HYPERLINK("https://www.773grp.com/globalSearch/74LVT273DB118/page-1", "74LVT273DB118")</f>
        <v>74LVT273DB118</v>
      </c>
      <c r="B18446" s="3" t="str">
        <f>HYPERLINK("https://www.773grp.com/manufacturer/nxp-semiconductor?pageNo=16", "NXP Semiconductors")</f>
        <v>NXP Semiconductors</v>
      </c>
      <c r="C18446" s="6">
        <v>6775</v>
      </c>
      <c r="D18446" s="7">
        <v>0.9</v>
      </c>
    </row>
    <row r="18447" spans="1:4" x14ac:dyDescent="0.25">
      <c r="A18447" t="str">
        <f>HYPERLINK("https://www.773grp.com/globalSearch/74VHCT244BQ115/page-1", "74VHCT244BQ115")</f>
        <v>74VHCT244BQ115</v>
      </c>
      <c r="B18447" s="3" t="str">
        <f>HYPERLINK("https://www.773grp.com/manufacturer/nxp-semiconductor?pageNo=17", "NXP Semiconductors")</f>
        <v>NXP Semiconductors</v>
      </c>
      <c r="C18447" s="6">
        <v>400</v>
      </c>
      <c r="D18447" s="7">
        <v>0.9</v>
      </c>
    </row>
    <row r="18448" spans="1:4" x14ac:dyDescent="0.25">
      <c r="A18448" t="str">
        <f>HYPERLINK("https://www.773grp.com/globalSearch/BCV28115/page-1", "BCV28115")</f>
        <v>BCV28115</v>
      </c>
      <c r="B18448" s="3" t="str">
        <f>HYPERLINK("https://www.773grp.com/manufacturer/nxp-semiconductor?pageNo=18", "NXP Semiconductors")</f>
        <v>NXP Semiconductors</v>
      </c>
      <c r="C18448" s="6">
        <v>3000</v>
      </c>
      <c r="D18448" s="7">
        <v>0.9</v>
      </c>
    </row>
    <row r="18449" spans="1:4" x14ac:dyDescent="0.25">
      <c r="A18449" t="str">
        <f>HYPERLINK("https://www.773grp.com/globalSearch/BCV29115/page-1", "BCV29115")</f>
        <v>BCV29115</v>
      </c>
      <c r="B18449" s="3" t="str">
        <f>HYPERLINK("https://www.773grp.com/manufacturer/nxp-semiconductor?pageNo=19", "NXP Semiconductors")</f>
        <v>NXP Semiconductors</v>
      </c>
      <c r="C18449" s="6">
        <v>975</v>
      </c>
      <c r="D18449" s="7">
        <v>0.9</v>
      </c>
    </row>
    <row r="18450" spans="1:4" x14ac:dyDescent="0.25">
      <c r="A18450" t="str">
        <f>HYPERLINK("https://www.773grp.com/globalSearch/BCV48115/page-1", "BCV48115")</f>
        <v>BCV48115</v>
      </c>
      <c r="B18450" s="3" t="str">
        <f>HYPERLINK("https://www.773grp.com/manufacturer/nxp-semiconductor?pageNo=20", "NXP Semiconductors")</f>
        <v>NXP Semiconductors</v>
      </c>
      <c r="C18450" s="6">
        <v>18085</v>
      </c>
      <c r="D18450" s="7">
        <v>0.9</v>
      </c>
    </row>
    <row r="18451" spans="1:4" x14ac:dyDescent="0.25">
      <c r="A18451" t="str">
        <f>HYPERLINK("https://www.773grp.com/globalSearch/BCV61A215/page-1", "BCV61A215")</f>
        <v>BCV61A215</v>
      </c>
      <c r="B18451" s="3" t="str">
        <f>HYPERLINK("https://www.773grp.com/manufacturer/nxp-semiconductor?pageNo=21", "NXP Semiconductors")</f>
        <v>NXP Semiconductors</v>
      </c>
      <c r="C18451" s="6">
        <v>3594</v>
      </c>
      <c r="D18451" s="7">
        <v>0.9</v>
      </c>
    </row>
    <row r="18452" spans="1:4" x14ac:dyDescent="0.25">
      <c r="A18452" t="str">
        <f>HYPERLINK("https://www.773grp.com/globalSearch/BCV61B215/page-1", "BCV61B215")</f>
        <v>BCV61B215</v>
      </c>
      <c r="B18452" s="3" t="str">
        <f>HYPERLINK("https://www.773grp.com/manufacturer/nxp-semiconductor?pageNo=22", "NXP Semiconductors")</f>
        <v>NXP Semiconductors</v>
      </c>
      <c r="C18452" s="6">
        <v>3165</v>
      </c>
      <c r="D18452" s="7">
        <v>0.9</v>
      </c>
    </row>
    <row r="18453" spans="1:4" x14ac:dyDescent="0.25">
      <c r="A18453" t="str">
        <f>HYPERLINK("https://www.773grp.com/globalSearch/BCV61C215/page-1", "BCV61C215")</f>
        <v>BCV61C215</v>
      </c>
      <c r="B18453" s="3" t="str">
        <f>HYPERLINK("https://www.773grp.com/manufacturer/nxp-semiconductor?pageNo=23", "NXP Semiconductors")</f>
        <v>NXP Semiconductors</v>
      </c>
      <c r="C18453" s="6">
        <v>632</v>
      </c>
      <c r="D18453" s="7">
        <v>0.9</v>
      </c>
    </row>
    <row r="18454" spans="1:4" x14ac:dyDescent="0.25">
      <c r="A18454" t="str">
        <f>HYPERLINK("https://www.773grp.com/globalSearch/BCV62C215/page-1", "BCV62C215")</f>
        <v>BCV62C215</v>
      </c>
      <c r="B18454" s="3" t="str">
        <f>HYPERLINK("https://www.773grp.com/manufacturer/nxp-semiconductor?pageNo=24", "NXP Semiconductors")</f>
        <v>NXP Semiconductors</v>
      </c>
      <c r="C18454" s="6">
        <v>6000</v>
      </c>
      <c r="D18454" s="7">
        <v>0.9</v>
      </c>
    </row>
    <row r="18455" spans="1:4" x14ac:dyDescent="0.25">
      <c r="A18455" t="str">
        <f>HYPERLINK("https://www.773grp.com/globalSearch/BF1102115/page-1", "BF1102115")</f>
        <v>BF1102115</v>
      </c>
      <c r="B18455" s="3" t="str">
        <f>HYPERLINK("https://www.773grp.com/manufacturer/nxp-semiconductor?pageNo=25", "NXP Semiconductors")</f>
        <v>NXP Semiconductors</v>
      </c>
      <c r="C18455" s="6">
        <v>5780</v>
      </c>
      <c r="D18455" s="7">
        <v>0.9</v>
      </c>
    </row>
    <row r="18456" spans="1:4" x14ac:dyDescent="0.25">
      <c r="A18456" t="str">
        <f>HYPERLINK("https://www.773grp.com/globalSearch/BF1210115/page-1", "BF1210115")</f>
        <v>BF1210115</v>
      </c>
      <c r="B18456" s="3" t="str">
        <f>HYPERLINK("https://www.773grp.com/manufacturer/nxp-semiconductor?pageNo=26", "NXP Semiconductors")</f>
        <v>NXP Semiconductors</v>
      </c>
      <c r="C18456" s="6">
        <v>3000</v>
      </c>
      <c r="D18456" s="7">
        <v>0.9</v>
      </c>
    </row>
    <row r="18457" spans="1:4" x14ac:dyDescent="0.25">
      <c r="A18457" t="str">
        <f>HYPERLINK("https://www.773grp.com/globalSearch/BFT92215/page-1", "BFT92215")</f>
        <v>BFT92215</v>
      </c>
      <c r="B18457" s="3" t="str">
        <f>HYPERLINK("https://www.773grp.com/manufacturer/nxp-semiconductor?pageNo=27", "NXP Semiconductors")</f>
        <v>NXP Semiconductors</v>
      </c>
      <c r="C18457" s="6">
        <v>6000</v>
      </c>
      <c r="D18457" s="7">
        <v>0.9</v>
      </c>
    </row>
    <row r="18458" spans="1:4" x14ac:dyDescent="0.25">
      <c r="A18458" t="str">
        <f>HYPERLINK("https://www.773grp.com/globalSearch/BSR30115/page-1", "BSR30115")</f>
        <v>BSR30115</v>
      </c>
      <c r="B18458" s="3" t="str">
        <f>HYPERLINK("https://www.773grp.com/manufacturer/nxp-semiconductor?pageNo=28", "NXP Semiconductors")</f>
        <v>NXP Semiconductors</v>
      </c>
      <c r="C18458" s="6">
        <v>4380</v>
      </c>
      <c r="D18458" s="7">
        <v>0.9</v>
      </c>
    </row>
    <row r="18459" spans="1:4" x14ac:dyDescent="0.25">
      <c r="A18459" t="str">
        <f>HYPERLINK("https://www.773grp.com/globalSearch/BSR31115/page-1", "BSR31115")</f>
        <v>BSR31115</v>
      </c>
      <c r="B18459" s="3" t="str">
        <f>HYPERLINK("https://www.773grp.com/manufacturer/nxp-semiconductor?pageNo=29", "NXP Semiconductors")</f>
        <v>NXP Semiconductors</v>
      </c>
      <c r="C18459" s="6">
        <v>583</v>
      </c>
      <c r="D18459" s="7">
        <v>0.9</v>
      </c>
    </row>
    <row r="18460" spans="1:4" x14ac:dyDescent="0.25">
      <c r="A18460" t="str">
        <f>HYPERLINK("https://www.773grp.com/globalSearch/BSR31135/page-1", "BSR31135")</f>
        <v>BSR31135</v>
      </c>
      <c r="B18460" s="3" t="str">
        <f>HYPERLINK("https://www.773grp.com/manufacturer/nxp-semiconductor?pageNo=30", "NXP Semiconductors")</f>
        <v>NXP Semiconductors</v>
      </c>
      <c r="C18460" s="6">
        <v>4176</v>
      </c>
      <c r="D18460" s="7">
        <v>0.9</v>
      </c>
    </row>
    <row r="18461" spans="1:4" x14ac:dyDescent="0.25">
      <c r="A18461" t="str">
        <f>HYPERLINK("https://www.773grp.com/globalSearch/BSS192115/page-1", "BSS192115")</f>
        <v>BSS192115</v>
      </c>
      <c r="B18461" s="3" t="str">
        <f>HYPERLINK("https://www.773grp.com/manufacturer/nxp-semiconductor?pageNo=31", "NXP Semiconductors")</f>
        <v>NXP Semiconductors</v>
      </c>
      <c r="C18461" s="6">
        <v>10424</v>
      </c>
      <c r="D18461" s="7">
        <v>0.9</v>
      </c>
    </row>
    <row r="18462" spans="1:4" x14ac:dyDescent="0.25">
      <c r="A18462" t="str">
        <f>HYPERLINK("https://www.773grp.com/globalSearch/BST50115/page-1", "BST50115")</f>
        <v>BST50115</v>
      </c>
      <c r="B18462" s="3" t="str">
        <f>HYPERLINK("https://www.773grp.com/manufacturer/nxp-semiconductor?pageNo=32", "NXP Semiconductors")</f>
        <v>NXP Semiconductors</v>
      </c>
      <c r="C18462" s="6">
        <v>4000</v>
      </c>
      <c r="D18462" s="7">
        <v>0.9</v>
      </c>
    </row>
    <row r="18463" spans="1:4" x14ac:dyDescent="0.25">
      <c r="A18463" t="str">
        <f>HYPERLINK("https://www.773grp.com/globalSearch/BST51115/page-1", "BST51115")</f>
        <v>BST51115</v>
      </c>
      <c r="B18463" s="3" t="str">
        <f>HYPERLINK("https://www.773grp.com/manufacturer/nxp-semiconductor?pageNo=33", "NXP Semiconductors")</f>
        <v>NXP Semiconductors</v>
      </c>
      <c r="C18463" s="6">
        <v>2000</v>
      </c>
      <c r="D18463" s="7">
        <v>0.9</v>
      </c>
    </row>
    <row r="18464" spans="1:4" x14ac:dyDescent="0.25">
      <c r="A18464" t="str">
        <f>HYPERLINK("https://www.773grp.com/globalSearch/BST52115/page-1", "BST52115")</f>
        <v>BST52115</v>
      </c>
      <c r="B18464" s="3" t="str">
        <f>HYPERLINK("https://www.773grp.com/manufacturer/nxp-semiconductor?pageNo=34", "NXP Semiconductors")</f>
        <v>NXP Semiconductors</v>
      </c>
      <c r="C18464" s="6">
        <v>150</v>
      </c>
      <c r="D18464" s="7">
        <v>0.9</v>
      </c>
    </row>
    <row r="18465" spans="1:4" x14ac:dyDescent="0.25">
      <c r="A18465" t="str">
        <f>HYPERLINK("https://www.773grp.com/globalSearch/BST52135/page-1", "BST52135")</f>
        <v>BST52135</v>
      </c>
      <c r="B18465" s="3" t="str">
        <f>HYPERLINK("https://www.773grp.com/manufacturer/nxp-semiconductor?pageNo=35", "NXP Semiconductors")</f>
        <v>NXP Semiconductors</v>
      </c>
      <c r="C18465" s="6">
        <v>65</v>
      </c>
      <c r="D18465" s="7">
        <v>0.9</v>
      </c>
    </row>
    <row r="18466" spans="1:4" x14ac:dyDescent="0.25">
      <c r="A18466" t="str">
        <f>HYPERLINK("https://www.773grp.com/globalSearch/BST60115/page-1", "BST60115")</f>
        <v>BST60115</v>
      </c>
      <c r="B18466" s="3" t="str">
        <f>HYPERLINK("https://www.773grp.com/manufacturer/nxp-semiconductor?pageNo=36", "NXP Semiconductors")</f>
        <v>NXP Semiconductors</v>
      </c>
      <c r="C18466" s="6">
        <v>671</v>
      </c>
      <c r="D18466" s="7">
        <v>0.9</v>
      </c>
    </row>
    <row r="18467" spans="1:4" x14ac:dyDescent="0.25">
      <c r="A18467" t="str">
        <f>HYPERLINK("https://www.773grp.com/globalSearch/BST61115/page-1", "BST61115")</f>
        <v>BST61115</v>
      </c>
      <c r="B18467" s="3" t="str">
        <f>HYPERLINK("https://www.773grp.com/manufacturer/nxp-semiconductor?pageNo=37", "NXP Semiconductors")</f>
        <v>NXP Semiconductors</v>
      </c>
      <c r="C18467" s="6">
        <v>7000</v>
      </c>
      <c r="D18467" s="7">
        <v>0.9</v>
      </c>
    </row>
    <row r="18468" spans="1:4" x14ac:dyDescent="0.25">
      <c r="A18468" t="str">
        <f>HYPERLINK("https://www.773grp.com/globalSearch/BST62115/page-1", "BST62115")</f>
        <v>BST62115</v>
      </c>
      <c r="B18468" s="3" t="str">
        <f>HYPERLINK("https://www.773grp.com/manufacturer/nxp-semiconductor?pageNo=38", "NXP Semiconductors")</f>
        <v>NXP Semiconductors</v>
      </c>
      <c r="C18468" s="6">
        <v>110</v>
      </c>
      <c r="D18468" s="7">
        <v>0.9</v>
      </c>
    </row>
    <row r="18469" spans="1:4" x14ac:dyDescent="0.25">
      <c r="A18469" t="str">
        <f>HYPERLINK("https://www.773grp.com/globalSearch/BT150-500R127/page-1", "BT150-500R127")</f>
        <v>BT150-500R127</v>
      </c>
      <c r="B18469" s="3" t="str">
        <f>HYPERLINK("https://www.773grp.com/manufacturer/nxp-semiconductor?pageNo=39", "NXP Semiconductors")</f>
        <v>NXP Semiconductors</v>
      </c>
      <c r="C18469" s="6">
        <v>10000</v>
      </c>
      <c r="D18469" s="7">
        <v>0.9</v>
      </c>
    </row>
    <row r="18470" spans="1:4" x14ac:dyDescent="0.25">
      <c r="A18470" t="str">
        <f>HYPERLINK("https://www.773grp.com/globalSearch/BT234-600D127/page-1", "BT234-600D127")</f>
        <v>BT234-600D127</v>
      </c>
      <c r="B18470" s="3" t="str">
        <f>HYPERLINK("https://www.773grp.com/manufacturer/nxp-semiconductor?pageNo=40", "NXP Semiconductors")</f>
        <v>NXP Semiconductors</v>
      </c>
      <c r="C18470" s="6">
        <v>2000</v>
      </c>
      <c r="D18470" s="7">
        <v>0.9</v>
      </c>
    </row>
    <row r="18471" spans="1:4" x14ac:dyDescent="0.25">
      <c r="A18471" t="str">
        <f>HYPERLINK("https://www.773grp.com/globalSearch/BT234-800D127/page-1", "BT234-800D127")</f>
        <v>BT234-800D127</v>
      </c>
      <c r="B18471" s="3" t="str">
        <f>HYPERLINK("https://www.773grp.com/manufacturer/nxp-semiconductor?pageNo=41", "NXP Semiconductors")</f>
        <v>NXP Semiconductors</v>
      </c>
      <c r="C18471" s="6">
        <v>1000</v>
      </c>
      <c r="D18471" s="7">
        <v>0.9</v>
      </c>
    </row>
    <row r="18472" spans="1:4" x14ac:dyDescent="0.25">
      <c r="A18472" t="str">
        <f>HYPERLINK("https://www.773grp.com/globalSearch/BTA204-600C127/page-1", "BTA204-600C127")</f>
        <v>BTA204-600C127</v>
      </c>
      <c r="B18472" s="3" t="str">
        <f>HYPERLINK("https://www.773grp.com/manufacturer/nxp-semiconductor?pageNo=42", "NXP Semiconductors")</f>
        <v>NXP Semiconductors</v>
      </c>
      <c r="C18472" s="6">
        <v>100</v>
      </c>
      <c r="D18472" s="7">
        <v>0.9</v>
      </c>
    </row>
    <row r="18473" spans="1:4" x14ac:dyDescent="0.25">
      <c r="A18473" t="str">
        <f>HYPERLINK("https://www.773grp.com/globalSearch/BTA204-600D127/page-1", "BTA204-600D127")</f>
        <v>BTA204-600D127</v>
      </c>
      <c r="B18473" s="3" t="str">
        <f>HYPERLINK("https://www.773grp.com/manufacturer/nxp-semiconductor?pageNo=43", "NXP Semiconductors")</f>
        <v>NXP Semiconductors</v>
      </c>
      <c r="C18473" s="6">
        <v>10150</v>
      </c>
      <c r="D18473" s="7">
        <v>0.9</v>
      </c>
    </row>
    <row r="18474" spans="1:4" x14ac:dyDescent="0.25">
      <c r="A18474" t="str">
        <f>HYPERLINK("https://www.773grp.com/globalSearch/BTA204-600E127/page-1", "BTA204-600E127")</f>
        <v>BTA204-600E127</v>
      </c>
      <c r="B18474" s="3" t="str">
        <f>HYPERLINK("https://www.773grp.com/manufacturer/nxp-semiconductor?pageNo=44", "NXP Semiconductors")</f>
        <v>NXP Semiconductors</v>
      </c>
      <c r="C18474" s="6">
        <v>78</v>
      </c>
      <c r="D18474" s="7">
        <v>0.9</v>
      </c>
    </row>
    <row r="18475" spans="1:4" x14ac:dyDescent="0.25">
      <c r="A18475" t="str">
        <f>HYPERLINK("https://www.773grp.com/globalSearch/BTA204-600F127/page-1", "BTA204-600F127")</f>
        <v>BTA204-600F127</v>
      </c>
      <c r="B18475" s="3" t="str">
        <f>HYPERLINK("https://www.773grp.com/manufacturer/nxp-semiconductor?pageNo=45", "NXP Semiconductors")</f>
        <v>NXP Semiconductors</v>
      </c>
      <c r="C18475" s="6">
        <v>124</v>
      </c>
      <c r="D18475" s="7">
        <v>0.9</v>
      </c>
    </row>
    <row r="18476" spans="1:4" x14ac:dyDescent="0.25">
      <c r="A18476" t="str">
        <f>HYPERLINK("https://www.773grp.com/globalSearch/BTA204-800B127/page-1", "BTA204-800B127")</f>
        <v>BTA204-800B127</v>
      </c>
      <c r="B18476" s="3" t="str">
        <f>HYPERLINK("https://www.773grp.com/manufacturer/nxp-semiconductor?pageNo=46", "NXP Semiconductors")</f>
        <v>NXP Semiconductors</v>
      </c>
      <c r="C18476" s="6">
        <v>1000</v>
      </c>
      <c r="D18476" s="7">
        <v>0.9</v>
      </c>
    </row>
    <row r="18477" spans="1:4" x14ac:dyDescent="0.25">
      <c r="A18477" t="str">
        <f>HYPERLINK("https://www.773grp.com/globalSearch/BTA204-800C-DG127/page-1", "BTA204-800C-DG127")</f>
        <v>BTA204-800C-DG127</v>
      </c>
      <c r="B18477" s="3" t="str">
        <f>HYPERLINK("https://www.773grp.com/manufacturer/nxp-semiconductor?pageNo=47", "NXP Semiconductors")</f>
        <v>NXP Semiconductors</v>
      </c>
      <c r="C18477" s="6">
        <v>5000</v>
      </c>
      <c r="D18477" s="7">
        <v>0.9</v>
      </c>
    </row>
    <row r="18478" spans="1:4" x14ac:dyDescent="0.25">
      <c r="A18478" t="str">
        <f>HYPERLINK("https://www.773grp.com/globalSearch/BTA204-800C127/page-1", "BTA204-800C127")</f>
        <v>BTA204-800C127</v>
      </c>
      <c r="B18478" s="3" t="str">
        <f>HYPERLINK("https://www.773grp.com/manufacturer/nxp-semiconductor?pageNo=48", "NXP Semiconductors")</f>
        <v>NXP Semiconductors</v>
      </c>
      <c r="C18478" s="6">
        <v>2000</v>
      </c>
      <c r="D18478" s="7">
        <v>0.9</v>
      </c>
    </row>
    <row r="18479" spans="1:4" x14ac:dyDescent="0.25">
      <c r="A18479" t="str">
        <f>HYPERLINK("https://www.773grp.com/globalSearch/BTA204-800E127/page-1", "BTA204-800E127")</f>
        <v>BTA204-800E127</v>
      </c>
      <c r="B18479" s="3" t="str">
        <f>HYPERLINK("https://www.773grp.com/manufacturer/nxp-semiconductor?pageNo=1", "NXP Semiconductors")</f>
        <v>NXP Semiconductors</v>
      </c>
      <c r="C18479" s="6">
        <v>9148</v>
      </c>
      <c r="D18479" s="7">
        <v>0.9</v>
      </c>
    </row>
    <row r="18480" spans="1:4" x14ac:dyDescent="0.25">
      <c r="A18480" t="str">
        <f>HYPERLINK("https://www.773grp.com/globalSearch/BTA204S-600B118/page-1", "BTA204S-600B118")</f>
        <v>BTA204S-600B118</v>
      </c>
      <c r="B18480" s="3" t="str">
        <f>HYPERLINK("https://www.773grp.com/manufacturer/nxp-semiconductor?pageNo=2", "NXP Semiconductors")</f>
        <v>NXP Semiconductors</v>
      </c>
      <c r="C18480" s="6">
        <v>15000</v>
      </c>
      <c r="D18480" s="7">
        <v>0.9</v>
      </c>
    </row>
    <row r="18481" spans="1:4" x14ac:dyDescent="0.25">
      <c r="A18481" t="str">
        <f>HYPERLINK("https://www.773grp.com/globalSearch/BTA204S-600C118/page-1", "BTA204S-600C118")</f>
        <v>BTA204S-600C118</v>
      </c>
      <c r="B18481" s="3" t="str">
        <f>HYPERLINK("https://www.773grp.com/manufacturer/nxp-semiconductor?pageNo=3", "NXP Semiconductors")</f>
        <v>NXP Semiconductors</v>
      </c>
      <c r="C18481" s="6">
        <v>13650</v>
      </c>
      <c r="D18481" s="7">
        <v>0.9</v>
      </c>
    </row>
    <row r="18482" spans="1:4" x14ac:dyDescent="0.25">
      <c r="A18482" t="str">
        <f>HYPERLINK("https://www.773grp.com/globalSearch/BTA204S-600D118/page-1", "BTA204S-600D118")</f>
        <v>BTA204S-600D118</v>
      </c>
      <c r="B18482" s="3" t="str">
        <f>HYPERLINK("https://www.773grp.com/manufacturer/nxp-semiconductor?pageNo=4", "NXP Semiconductors")</f>
        <v>NXP Semiconductors</v>
      </c>
      <c r="C18482" s="6">
        <v>15150</v>
      </c>
      <c r="D18482" s="7">
        <v>0.9</v>
      </c>
    </row>
    <row r="18483" spans="1:4" x14ac:dyDescent="0.25">
      <c r="A18483" t="str">
        <f>HYPERLINK("https://www.773grp.com/globalSearch/BTA204S-600E118/page-1", "BTA204S-600E118")</f>
        <v>BTA204S-600E118</v>
      </c>
      <c r="B18483" s="3" t="str">
        <f>HYPERLINK("https://www.773grp.com/manufacturer/nxp-semiconductor?pageNo=5", "NXP Semiconductors")</f>
        <v>NXP Semiconductors</v>
      </c>
      <c r="C18483" s="6">
        <v>20150</v>
      </c>
      <c r="D18483" s="7">
        <v>0.9</v>
      </c>
    </row>
    <row r="18484" spans="1:4" x14ac:dyDescent="0.25">
      <c r="A18484" t="str">
        <f>HYPERLINK("https://www.773grp.com/globalSearch/BTA204S-600F118/page-1", "BTA204S-600F118")</f>
        <v>BTA204S-600F118</v>
      </c>
      <c r="B18484" s="3" t="str">
        <f>HYPERLINK("https://www.773grp.com/manufacturer/nxp-semiconductor?pageNo=6", "NXP Semiconductors")</f>
        <v>NXP Semiconductors</v>
      </c>
      <c r="C18484" s="6">
        <v>7150</v>
      </c>
      <c r="D18484" s="7">
        <v>0.9</v>
      </c>
    </row>
    <row r="18485" spans="1:4" x14ac:dyDescent="0.25">
      <c r="A18485" t="str">
        <f>HYPERLINK("https://www.773grp.com/globalSearch/BTA204S-800B118/page-1", "BTA204S-800B118")</f>
        <v>BTA204S-800B118</v>
      </c>
      <c r="B18485" s="3" t="str">
        <f>HYPERLINK("https://www.773grp.com/manufacturer/nxp-semiconductor?pageNo=7", "NXP Semiconductors")</f>
        <v>NXP Semiconductors</v>
      </c>
      <c r="C18485" s="6">
        <v>7000</v>
      </c>
      <c r="D18485" s="7">
        <v>0.9</v>
      </c>
    </row>
    <row r="18486" spans="1:4" x14ac:dyDescent="0.25">
      <c r="A18486" t="str">
        <f>HYPERLINK("https://www.773grp.com/globalSearch/BTA204S-800C118/page-1", "BTA204S-800C118")</f>
        <v>BTA204S-800C118</v>
      </c>
      <c r="B18486" s="3" t="str">
        <f>HYPERLINK("https://www.773grp.com/manufacturer/nxp-semiconductor?pageNo=8", "NXP Semiconductors")</f>
        <v>NXP Semiconductors</v>
      </c>
      <c r="C18486" s="6">
        <v>7500</v>
      </c>
      <c r="D18486" s="7">
        <v>0.9</v>
      </c>
    </row>
    <row r="18487" spans="1:4" x14ac:dyDescent="0.25">
      <c r="A18487" t="str">
        <f>HYPERLINK("https://www.773grp.com/globalSearch/BTA204S-800E118/page-1", "BTA204S-800E118")</f>
        <v>BTA204S-800E118</v>
      </c>
      <c r="B18487" s="3" t="str">
        <f>HYPERLINK("https://www.773grp.com/manufacturer/nxp-semiconductor?pageNo=9", "NXP Semiconductors")</f>
        <v>NXP Semiconductors</v>
      </c>
      <c r="C18487" s="6">
        <v>10000</v>
      </c>
      <c r="D18487" s="7">
        <v>0.9</v>
      </c>
    </row>
    <row r="18488" spans="1:4" x14ac:dyDescent="0.25">
      <c r="A18488" t="str">
        <f>HYPERLINK("https://www.773grp.com/globalSearch/N74F157AD602/page-1", "N74F157AD602")</f>
        <v>N74F157AD602</v>
      </c>
      <c r="B18488" s="3" t="str">
        <f>HYPERLINK("https://www.773grp.com/manufacturer/nxp-semiconductor?pageNo=10", "NXP Semiconductors")</f>
        <v>NXP Semiconductors</v>
      </c>
      <c r="C18488" s="6">
        <v>4000</v>
      </c>
      <c r="D18488" s="7">
        <v>0.9</v>
      </c>
    </row>
    <row r="18489" spans="1:4" x14ac:dyDescent="0.25">
      <c r="A18489" t="str">
        <f>HYPERLINK("https://www.773grp.com/globalSearch/N74F157AN602/page-1", "N74F157AN602")</f>
        <v>N74F157AN602</v>
      </c>
      <c r="B18489" s="3" t="str">
        <f>HYPERLINK("https://www.773grp.com/manufacturer/nxp-semiconductor?pageNo=11", "NXP Semiconductors")</f>
        <v>NXP Semiconductors</v>
      </c>
      <c r="C18489" s="6">
        <v>3000</v>
      </c>
      <c r="D18489" s="7">
        <v>0.9</v>
      </c>
    </row>
    <row r="18490" spans="1:4" x14ac:dyDescent="0.25">
      <c r="A18490" t="str">
        <f>HYPERLINK("https://www.773grp.com/globalSearch/NTS0101GF132/page-1", "NTS0101GF132")</f>
        <v>NTS0101GF132</v>
      </c>
      <c r="B18490" s="3" t="str">
        <f>HYPERLINK("https://www.773grp.com/manufacturer/nxp-semiconductor?pageNo=12", "NXP Semiconductors")</f>
        <v>NXP Semiconductors</v>
      </c>
      <c r="C18490" s="6">
        <v>300</v>
      </c>
      <c r="D18490" s="7">
        <v>0.9</v>
      </c>
    </row>
    <row r="18491" spans="1:4" x14ac:dyDescent="0.25">
      <c r="A18491" t="str">
        <f>HYPERLINK("https://www.773grp.com/globalSearch/NTS0101GM115/page-1", "NTS0101GM115")</f>
        <v>NTS0101GM115</v>
      </c>
      <c r="B18491" s="3" t="str">
        <f>HYPERLINK("https://www.773grp.com/manufacturer/nxp-semiconductor?pageNo=13", "NXP Semiconductors")</f>
        <v>NXP Semiconductors</v>
      </c>
      <c r="C18491" s="6">
        <v>200</v>
      </c>
      <c r="D18491" s="7">
        <v>0.9</v>
      </c>
    </row>
    <row r="18492" spans="1:4" x14ac:dyDescent="0.25">
      <c r="A18492" t="str">
        <f>HYPERLINK("https://www.773grp.com/globalSearch/NVT2001GM115/page-1", "NVT2001GM115")</f>
        <v>NVT2001GM115</v>
      </c>
      <c r="B18492" s="3" t="str">
        <f>HYPERLINK("https://www.773grp.com/manufacturer/nxp-semiconductor?pageNo=14", "NXP Semiconductors")</f>
        <v>NXP Semiconductors</v>
      </c>
      <c r="C18492" s="6">
        <v>84300</v>
      </c>
      <c r="D18492" s="7">
        <v>0.9</v>
      </c>
    </row>
    <row r="18493" spans="1:4" x14ac:dyDescent="0.25">
      <c r="A18493" t="str">
        <f>HYPERLINK("https://www.773grp.com/globalSearch/NX3DV2567GU115/page-1", "NX3DV2567GU115")</f>
        <v>NX3DV2567GU115</v>
      </c>
      <c r="B18493" s="3" t="str">
        <f>HYPERLINK("https://www.773grp.com/manufacturer/nxp-semiconductor?pageNo=15", "NXP Semiconductors")</f>
        <v>NXP Semiconductors</v>
      </c>
      <c r="C18493" s="6">
        <v>4250</v>
      </c>
      <c r="D18493" s="7">
        <v>0.9</v>
      </c>
    </row>
    <row r="18494" spans="1:4" x14ac:dyDescent="0.25">
      <c r="A18494" t="str">
        <f>HYPERLINK("https://www.773grp.com/globalSearch/PBSS301ND115/page-1", "PBSS301ND115")</f>
        <v>PBSS301ND115</v>
      </c>
      <c r="B18494" s="3" t="str">
        <f>HYPERLINK("https://www.773grp.com/manufacturer/nxp-semiconductor?pageNo=16", "NXP Semiconductors")</f>
        <v>NXP Semiconductors</v>
      </c>
      <c r="C18494" s="6">
        <v>3200</v>
      </c>
      <c r="D18494" s="7">
        <v>0.9</v>
      </c>
    </row>
    <row r="18495" spans="1:4" x14ac:dyDescent="0.25">
      <c r="A18495" t="str">
        <f>HYPERLINK("https://www.773grp.com/globalSearch/PBSS301PD115/page-1", "PBSS301PD115")</f>
        <v>PBSS301PD115</v>
      </c>
      <c r="B18495" s="3" t="str">
        <f>HYPERLINK("https://www.773grp.com/manufacturer/nxp-semiconductor?pageNo=17", "NXP Semiconductors")</f>
        <v>NXP Semiconductors</v>
      </c>
      <c r="C18495" s="6">
        <v>5430</v>
      </c>
      <c r="D18495" s="7">
        <v>0.9</v>
      </c>
    </row>
    <row r="18496" spans="1:4" x14ac:dyDescent="0.25">
      <c r="A18496" t="str">
        <f>HYPERLINK("https://www.773grp.com/globalSearch/PBSS302ND115/page-1", "PBSS302ND115")</f>
        <v>PBSS302ND115</v>
      </c>
      <c r="B18496" s="3" t="str">
        <f>HYPERLINK("https://www.773grp.com/manufacturer/nxp-semiconductor?pageNo=18", "NXP Semiconductors")</f>
        <v>NXP Semiconductors</v>
      </c>
      <c r="C18496" s="6">
        <v>9136</v>
      </c>
      <c r="D18496" s="7">
        <v>0.9</v>
      </c>
    </row>
    <row r="18497" spans="1:4" x14ac:dyDescent="0.25">
      <c r="A18497" t="str">
        <f>HYPERLINK("https://www.773grp.com/globalSearch/PBSS302PD115/page-1", "PBSS302PD115")</f>
        <v>PBSS302PD115</v>
      </c>
      <c r="B18497" s="3" t="str">
        <f>HYPERLINK("https://www.773grp.com/manufacturer/nxp-semiconductor?pageNo=19", "NXP Semiconductors")</f>
        <v>NXP Semiconductors</v>
      </c>
      <c r="C18497" s="6">
        <v>6930</v>
      </c>
      <c r="D18497" s="7">
        <v>0.9</v>
      </c>
    </row>
    <row r="18498" spans="1:4" x14ac:dyDescent="0.25">
      <c r="A18498" t="str">
        <f>HYPERLINK("https://www.773grp.com/globalSearch/PBSS304ND115/page-1", "PBSS304ND115")</f>
        <v>PBSS304ND115</v>
      </c>
      <c r="B18498" s="3" t="str">
        <f>HYPERLINK("https://www.773grp.com/manufacturer/nxp-semiconductor?pageNo=20", "NXP Semiconductors")</f>
        <v>NXP Semiconductors</v>
      </c>
      <c r="C18498" s="6">
        <v>6000</v>
      </c>
      <c r="D18498" s="7">
        <v>0.9</v>
      </c>
    </row>
    <row r="18499" spans="1:4" x14ac:dyDescent="0.25">
      <c r="A18499" t="str">
        <f>HYPERLINK("https://www.773grp.com/globalSearch/PBSS304PD115/page-1", "PBSS304PD115")</f>
        <v>PBSS304PD115</v>
      </c>
      <c r="B18499" s="3" t="str">
        <f>HYPERLINK("https://www.773grp.com/manufacturer/nxp-semiconductor?pageNo=21", "NXP Semiconductors")</f>
        <v>NXP Semiconductors</v>
      </c>
      <c r="C18499" s="6">
        <v>3000</v>
      </c>
      <c r="D18499" s="7">
        <v>0.9</v>
      </c>
    </row>
    <row r="18500" spans="1:4" x14ac:dyDescent="0.25">
      <c r="A18500" t="str">
        <f>HYPERLINK("https://www.773grp.com/globalSearch/PBSS4021NX115/page-1", "PBSS4021NX115")</f>
        <v>PBSS4021NX115</v>
      </c>
      <c r="B18500" s="3" t="str">
        <f>HYPERLINK("https://www.773grp.com/manufacturer/nxp-semiconductor?pageNo=22", "NXP Semiconductors")</f>
        <v>NXP Semiconductors</v>
      </c>
      <c r="C18500" s="6">
        <v>3000</v>
      </c>
      <c r="D18500" s="7">
        <v>0.9</v>
      </c>
    </row>
    <row r="18501" spans="1:4" x14ac:dyDescent="0.25">
      <c r="A18501" t="str">
        <f>HYPERLINK("https://www.773grp.com/globalSearch/PBSS4021NZ115/page-1", "PBSS4021NZ115")</f>
        <v>PBSS4021NZ115</v>
      </c>
      <c r="B18501" s="3" t="str">
        <f>HYPERLINK("https://www.773grp.com/manufacturer/nxp-semiconductor?pageNo=23", "NXP Semiconductors")</f>
        <v>NXP Semiconductors</v>
      </c>
      <c r="C18501" s="6">
        <v>7000</v>
      </c>
      <c r="D18501" s="7">
        <v>0.9</v>
      </c>
    </row>
    <row r="18502" spans="1:4" x14ac:dyDescent="0.25">
      <c r="A18502" t="str">
        <f>HYPERLINK("https://www.773grp.com/globalSearch/PBSS4021PX115/page-1", "PBSS4021PX115")</f>
        <v>PBSS4021PX115</v>
      </c>
      <c r="B18502" s="3" t="str">
        <f>HYPERLINK("https://www.773grp.com/manufacturer/nxp-semiconductor?pageNo=24", "NXP Semiconductors")</f>
        <v>NXP Semiconductors</v>
      </c>
      <c r="C18502" s="6">
        <v>5400</v>
      </c>
      <c r="D18502" s="7">
        <v>0.9</v>
      </c>
    </row>
    <row r="18503" spans="1:4" x14ac:dyDescent="0.25">
      <c r="A18503" t="str">
        <f>HYPERLINK("https://www.773grp.com/globalSearch/PBSS4021PZ115/page-1", "PBSS4021PZ115")</f>
        <v>PBSS4021PZ115</v>
      </c>
      <c r="B18503" s="3" t="str">
        <f>HYPERLINK("https://www.773grp.com/manufacturer/nxp-semiconductor?pageNo=25", "NXP Semiconductors")</f>
        <v>NXP Semiconductors</v>
      </c>
      <c r="C18503" s="6">
        <v>9000</v>
      </c>
      <c r="D18503" s="7">
        <v>0.9</v>
      </c>
    </row>
    <row r="18504" spans="1:4" x14ac:dyDescent="0.25">
      <c r="A18504" t="str">
        <f>HYPERLINK("https://www.773grp.com/globalSearch/PBSS4041PZ115/page-1", "PBSS4041PZ115")</f>
        <v>PBSS4041PZ115</v>
      </c>
      <c r="B18504" s="3" t="str">
        <f>HYPERLINK("https://www.773grp.com/manufacturer/nxp-semiconductor?pageNo=26", "NXP Semiconductors")</f>
        <v>NXP Semiconductors</v>
      </c>
      <c r="C18504" s="6">
        <v>2000</v>
      </c>
      <c r="D18504" s="7">
        <v>0.9</v>
      </c>
    </row>
    <row r="18505" spans="1:4" x14ac:dyDescent="0.25">
      <c r="A18505" t="str">
        <f>HYPERLINK("https://www.773grp.com/globalSearch/PHE13007127/page-1", "PHE13007127")</f>
        <v>PHE13007127</v>
      </c>
      <c r="B18505" s="3" t="str">
        <f>HYPERLINK("https://www.773grp.com/manufacturer/nxp-semiconductor?pageNo=27", "NXP Semiconductors")</f>
        <v>NXP Semiconductors</v>
      </c>
      <c r="C18505" s="6">
        <v>50</v>
      </c>
      <c r="D18505" s="7">
        <v>0.9</v>
      </c>
    </row>
    <row r="18506" spans="1:4" x14ac:dyDescent="0.25">
      <c r="A18506" t="str">
        <f>HYPERLINK("https://www.773grp.com/globalSearch/PHK13N03LT518/page-1", "PHK13N03LT518")</f>
        <v>PHK13N03LT518</v>
      </c>
      <c r="B18506" s="3" t="str">
        <f>HYPERLINK("https://www.773grp.com/manufacturer/nxp-semiconductor?pageNo=28", "NXP Semiconductors")</f>
        <v>NXP Semiconductors</v>
      </c>
      <c r="C18506" s="6">
        <v>10000</v>
      </c>
      <c r="D18506" s="7">
        <v>0.9</v>
      </c>
    </row>
    <row r="18507" spans="1:4" x14ac:dyDescent="0.25">
      <c r="A18507" t="str">
        <f>HYPERLINK("https://www.773grp.com/globalSearch/PMV16UN215/page-1", "PMV16UN215")</f>
        <v>PMV16UN215</v>
      </c>
      <c r="B18507" s="3" t="str">
        <f>HYPERLINK("https://www.773grp.com/manufacturer/nxp-semiconductor?pageNo=29", "NXP Semiconductors")</f>
        <v>NXP Semiconductors</v>
      </c>
      <c r="C18507" s="6">
        <v>117150</v>
      </c>
      <c r="D18507" s="7">
        <v>0.9</v>
      </c>
    </row>
    <row r="18508" spans="1:4" x14ac:dyDescent="0.25">
      <c r="A18508" t="str">
        <f>HYPERLINK("https://www.773grp.com/globalSearch/PRTR5V0U2AX215/page-1", "PRTR5V0U2AX215")</f>
        <v>PRTR5V0U2AX215</v>
      </c>
      <c r="B18508" s="3" t="str">
        <f>HYPERLINK("https://www.773grp.com/manufacturer/nxp-semiconductor?pageNo=30", "NXP Semiconductors")</f>
        <v>NXP Semiconductors</v>
      </c>
      <c r="C18508" s="6">
        <v>6000</v>
      </c>
      <c r="D18508" s="7">
        <v>0.9</v>
      </c>
    </row>
    <row r="18509" spans="1:4" x14ac:dyDescent="0.25">
      <c r="A18509" t="str">
        <f>HYPERLINK("https://www.773grp.com/globalSearch/PSMN4R0-25YLC115/page-1", "PSMN4R0-25YLC115")</f>
        <v>PSMN4R0-25YLC115</v>
      </c>
      <c r="B18509" s="3" t="str">
        <f>HYPERLINK("https://www.773grp.com/manufacturer/nxp-semiconductor?pageNo=31", "NXP Semiconductors")</f>
        <v>NXP Semiconductors</v>
      </c>
      <c r="C18509" s="6">
        <v>3000</v>
      </c>
      <c r="D18509" s="7">
        <v>0.9</v>
      </c>
    </row>
    <row r="18510" spans="1:4" x14ac:dyDescent="0.25">
      <c r="A18510" t="str">
        <f>HYPERLINK("https://www.773grp.com/globalSearch/PSMN4R5-30YLC115/page-1", "PSMN4R5-30YLC115")</f>
        <v>PSMN4R5-30YLC115</v>
      </c>
      <c r="B18510" s="3" t="str">
        <f>HYPERLINK("https://www.773grp.com/manufacturer/nxp-semiconductor?pageNo=32", "NXP Semiconductors")</f>
        <v>NXP Semiconductors</v>
      </c>
      <c r="C18510" s="6">
        <v>6000</v>
      </c>
      <c r="D18510" s="7">
        <v>0.9</v>
      </c>
    </row>
    <row r="18511" spans="1:4" x14ac:dyDescent="0.25">
      <c r="A18511" t="str">
        <f>HYPERLINK("https://www.773grp.com/globalSearch/PXTA14115/page-1", "PXTA14115")</f>
        <v>PXTA14115</v>
      </c>
      <c r="B18511" s="3" t="str">
        <f>HYPERLINK("https://www.773grp.com/manufacturer/nxp-semiconductor?pageNo=33", "NXP Semiconductors")</f>
        <v>NXP Semiconductors</v>
      </c>
      <c r="C18511" s="6">
        <v>3000</v>
      </c>
      <c r="D18511" s="7">
        <v>0.9</v>
      </c>
    </row>
    <row r="18512" spans="1:4" x14ac:dyDescent="0.25">
      <c r="A18512" t="str">
        <f>HYPERLINK("https://www.773grp.com/globalSearch/PZTA42115/page-1", "PZTA42115")</f>
        <v>PZTA42115</v>
      </c>
      <c r="B18512" s="3" t="str">
        <f>HYPERLINK("https://www.773grp.com/manufacturer/nxp-semiconductor?pageNo=34", "NXP Semiconductors")</f>
        <v>NXP Semiconductors</v>
      </c>
      <c r="C18512" s="6">
        <v>70000</v>
      </c>
      <c r="D18512" s="7">
        <v>0.9</v>
      </c>
    </row>
    <row r="18513" spans="1:4" x14ac:dyDescent="0.25">
      <c r="A18513" t="str">
        <f>HYPERLINK("https://www.773grp.com/globalSearch/74ABT125DB112/page-1", "74ABT125DB112")</f>
        <v>74ABT125DB112</v>
      </c>
      <c r="B18513" s="3" t="str">
        <f>HYPERLINK("https://www.773grp.com/manufacturer/nxp-semiconductor?pageNo=35", "NXP Semiconductors")</f>
        <v>NXP Semiconductors</v>
      </c>
      <c r="C18513" s="6">
        <v>15045</v>
      </c>
      <c r="D18513" s="7">
        <v>0.95</v>
      </c>
    </row>
    <row r="18514" spans="1:4" x14ac:dyDescent="0.25">
      <c r="A18514" t="str">
        <f>HYPERLINK("https://www.773grp.com/globalSearch/74ABT126DB118/page-1", "74ABT126DB118")</f>
        <v>74ABT126DB118</v>
      </c>
      <c r="B18514" s="3" t="str">
        <f>HYPERLINK("https://www.773grp.com/manufacturer/nxp-semiconductor?pageNo=36", "NXP Semiconductors")</f>
        <v>NXP Semiconductors</v>
      </c>
      <c r="C18514" s="6">
        <v>6000</v>
      </c>
      <c r="D18514" s="7">
        <v>0.95</v>
      </c>
    </row>
    <row r="18515" spans="1:4" x14ac:dyDescent="0.25">
      <c r="A18515" t="str">
        <f>HYPERLINK("https://www.773grp.com/globalSearch/74ABT245D623/page-1", "74ABT245D623")</f>
        <v>74ABT245D623</v>
      </c>
      <c r="B18515" s="3" t="str">
        <f>HYPERLINK("https://www.773grp.com/manufacturer/nxp-semiconductor?pageNo=37", "NXP Semiconductors")</f>
        <v>NXP Semiconductors</v>
      </c>
      <c r="C18515" s="6">
        <v>8000</v>
      </c>
      <c r="D18515" s="7">
        <v>0.95</v>
      </c>
    </row>
    <row r="18516" spans="1:4" x14ac:dyDescent="0.25">
      <c r="A18516" t="str">
        <f>HYPERLINK("https://www.773grp.com/globalSearch/74ABT245PW112/page-1", "74ABT245PW112")</f>
        <v>74ABT245PW112</v>
      </c>
      <c r="B18516" s="3" t="str">
        <f>HYPERLINK("https://www.773grp.com/manufacturer/nxp-semiconductor?pageNo=38", "NXP Semiconductors")</f>
        <v>NXP Semiconductors</v>
      </c>
      <c r="C18516" s="6">
        <v>682</v>
      </c>
      <c r="D18516" s="7">
        <v>0.95</v>
      </c>
    </row>
    <row r="18517" spans="1:4" x14ac:dyDescent="0.25">
      <c r="A18517" t="str">
        <f>HYPERLINK("https://www.773grp.com/globalSearch/74ABT245PW118/page-1", "74ABT245PW118")</f>
        <v>74ABT245PW118</v>
      </c>
      <c r="B18517" s="3" t="str">
        <f>HYPERLINK("https://www.773grp.com/manufacturer/nxp-semiconductor?pageNo=39", "NXP Semiconductors")</f>
        <v>NXP Semiconductors</v>
      </c>
      <c r="C18517" s="6">
        <v>2500</v>
      </c>
      <c r="D18517" s="7">
        <v>0.95</v>
      </c>
    </row>
    <row r="18518" spans="1:4" x14ac:dyDescent="0.25">
      <c r="A18518" t="str">
        <f>HYPERLINK("https://www.773grp.com/globalSearch/74ABT273AD112/page-1", "74ABT273AD112")</f>
        <v>74ABT273AD112</v>
      </c>
      <c r="B18518" s="3" t="str">
        <f>HYPERLINK("https://www.773grp.com/manufacturer/nxp-semiconductor?pageNo=40", "NXP Semiconductors")</f>
        <v>NXP Semiconductors</v>
      </c>
      <c r="C18518" s="6">
        <v>4560</v>
      </c>
      <c r="D18518" s="7">
        <v>0.95</v>
      </c>
    </row>
    <row r="18519" spans="1:4" x14ac:dyDescent="0.25">
      <c r="A18519" t="str">
        <f>HYPERLINK("https://www.773grp.com/globalSearch/74ABT273AD118/page-1", "74ABT273AD118")</f>
        <v>74ABT273AD118</v>
      </c>
      <c r="B18519" s="3" t="str">
        <f>HYPERLINK("https://www.773grp.com/manufacturer/nxp-semiconductor?pageNo=41", "NXP Semiconductors")</f>
        <v>NXP Semiconductors</v>
      </c>
      <c r="C18519" s="6">
        <v>2000</v>
      </c>
      <c r="D18519" s="7">
        <v>0.95</v>
      </c>
    </row>
    <row r="18520" spans="1:4" x14ac:dyDescent="0.25">
      <c r="A18520" t="str">
        <f>HYPERLINK("https://www.773grp.com/globalSearch/74ALVC74D118/page-1", "74ALVC74D118")</f>
        <v>74ALVC74D118</v>
      </c>
      <c r="B18520" s="3" t="str">
        <f>HYPERLINK("https://www.773grp.com/manufacturer/nxp-semiconductor?pageNo=42", "NXP Semiconductors")</f>
        <v>NXP Semiconductors</v>
      </c>
      <c r="C18520" s="6">
        <v>145</v>
      </c>
      <c r="D18520" s="7">
        <v>0.95</v>
      </c>
    </row>
    <row r="18521" spans="1:4" x14ac:dyDescent="0.25">
      <c r="A18521" t="str">
        <f>HYPERLINK("https://www.773grp.com/globalSearch/74ALVC74PW112/page-1", "74ALVC74PW112")</f>
        <v>74ALVC74PW112</v>
      </c>
      <c r="B18521" s="3" t="str">
        <f>HYPERLINK("https://www.773grp.com/manufacturer/nxp-semiconductor?pageNo=43", "NXP Semiconductors")</f>
        <v>NXP Semiconductors</v>
      </c>
      <c r="C18521" s="6">
        <v>6720</v>
      </c>
      <c r="D18521" s="7">
        <v>0.95</v>
      </c>
    </row>
    <row r="18522" spans="1:4" x14ac:dyDescent="0.25">
      <c r="A18522" t="str">
        <f>HYPERLINK("https://www.773grp.com/globalSearch/74ALVC74PW118/page-1", "74ALVC74PW118")</f>
        <v>74ALVC74PW118</v>
      </c>
      <c r="B18522" s="3" t="str">
        <f>HYPERLINK("https://www.773grp.com/manufacturer/nxp-semiconductor?pageNo=44", "NXP Semiconductors")</f>
        <v>NXP Semiconductors</v>
      </c>
      <c r="C18522" s="6">
        <v>5000</v>
      </c>
      <c r="D18522" s="7">
        <v>0.95</v>
      </c>
    </row>
    <row r="18523" spans="1:4" x14ac:dyDescent="0.25">
      <c r="A18523" t="str">
        <f>HYPERLINK("https://www.773grp.com/globalSearch/74AUP1G11GF132/page-1", "74AUP1G11GF132")</f>
        <v>74AUP1G11GF132</v>
      </c>
      <c r="B18523" s="3" t="str">
        <f>HYPERLINK("https://www.773grp.com/manufacturer/nxp-semiconductor?pageNo=45", "NXP Semiconductors")</f>
        <v>NXP Semiconductors</v>
      </c>
      <c r="C18523" s="6">
        <v>5000</v>
      </c>
      <c r="D18523" s="7">
        <v>0.95</v>
      </c>
    </row>
    <row r="18524" spans="1:4" x14ac:dyDescent="0.25">
      <c r="A18524" t="str">
        <f>HYPERLINK("https://www.773grp.com/globalSearch/74AUP1G74GN115/page-1", "74AUP1G74GN115")</f>
        <v>74AUP1G74GN115</v>
      </c>
      <c r="B18524" s="3" t="str">
        <f>HYPERLINK("https://www.773grp.com/manufacturer/nxp-semiconductor?pageNo=46", "NXP Semiconductors")</f>
        <v>NXP Semiconductors</v>
      </c>
      <c r="C18524" s="6">
        <v>300</v>
      </c>
      <c r="D18524" s="7">
        <v>0.95</v>
      </c>
    </row>
    <row r="18525" spans="1:4" x14ac:dyDescent="0.25">
      <c r="A18525" t="str">
        <f>HYPERLINK("https://www.773grp.com/globalSearch/74AUP1T34GF132/page-1", "74AUP1T34GF132")</f>
        <v>74AUP1T34GF132</v>
      </c>
      <c r="B18525" s="3" t="str">
        <f>HYPERLINK("https://www.773grp.com/manufacturer/nxp-semiconductor?pageNo=47", "NXP Semiconductors")</f>
        <v>NXP Semiconductors</v>
      </c>
      <c r="C18525" s="6">
        <v>97</v>
      </c>
      <c r="D18525" s="7">
        <v>0.95</v>
      </c>
    </row>
    <row r="18526" spans="1:4" x14ac:dyDescent="0.25">
      <c r="A18526" t="str">
        <f>HYPERLINK("https://www.773grp.com/globalSearch/74AUP2G04GF132/page-1", "74AUP2G04GF132")</f>
        <v>74AUP2G04GF132</v>
      </c>
      <c r="B18526" s="3" t="str">
        <f>HYPERLINK("https://www.773grp.com/manufacturer/nxp-semiconductor?pageNo=48", "NXP Semiconductors")</f>
        <v>NXP Semiconductors</v>
      </c>
      <c r="C18526" s="6">
        <v>5300</v>
      </c>
      <c r="D18526" s="7">
        <v>0.95</v>
      </c>
    </row>
    <row r="18527" spans="1:4" x14ac:dyDescent="0.25">
      <c r="A18527" t="str">
        <f>HYPERLINK("https://www.773grp.com/globalSearch/74CBTLV3125DS118/page-1", "74CBTLV3125DS118")</f>
        <v>74CBTLV3125DS118</v>
      </c>
      <c r="B18527" s="3" t="str">
        <f>HYPERLINK("https://www.773grp.com/manufacturer/nxp-semiconductor?pageNo=1", "NXP Semiconductors")</f>
        <v>NXP Semiconductors</v>
      </c>
      <c r="C18527" s="6">
        <v>10225</v>
      </c>
      <c r="D18527" s="7">
        <v>0.95</v>
      </c>
    </row>
    <row r="18528" spans="1:4" x14ac:dyDescent="0.25">
      <c r="A18528" t="str">
        <f>HYPERLINK("https://www.773grp.com/globalSearch/74HC157DB112/page-1", "74HC157DB112")</f>
        <v>74HC157DB112</v>
      </c>
      <c r="B18528" s="3" t="str">
        <f>HYPERLINK("https://www.773grp.com/manufacturer/nxp-semiconductor?pageNo=2", "NXP Semiconductors")</f>
        <v>NXP Semiconductors</v>
      </c>
      <c r="C18528" s="6">
        <v>2724</v>
      </c>
      <c r="D18528" s="7">
        <v>0.95</v>
      </c>
    </row>
    <row r="18529" spans="1:4" x14ac:dyDescent="0.25">
      <c r="A18529" t="str">
        <f>HYPERLINK("https://www.773grp.com/globalSearch/74HC157DB118/page-1", "74HC157DB118")</f>
        <v>74HC157DB118</v>
      </c>
      <c r="B18529" s="3" t="str">
        <f>HYPERLINK("https://www.773grp.com/manufacturer/nxp-semiconductor?pageNo=3", "NXP Semiconductors")</f>
        <v>NXP Semiconductors</v>
      </c>
      <c r="C18529" s="6">
        <v>2000</v>
      </c>
      <c r="D18529" s="7">
        <v>0.95</v>
      </c>
    </row>
    <row r="18530" spans="1:4" x14ac:dyDescent="0.25">
      <c r="A18530" t="str">
        <f>HYPERLINK("https://www.773grp.com/globalSearch/74HC160D653/page-1", "74HC160D653")</f>
        <v>74HC160D653</v>
      </c>
      <c r="B18530" s="3" t="str">
        <f>HYPERLINK("https://www.773grp.com/manufacturer/nxp-semiconductor?pageNo=4", "NXP Semiconductors")</f>
        <v>NXP Semiconductors</v>
      </c>
      <c r="C18530" s="6">
        <v>5000</v>
      </c>
      <c r="D18530" s="7">
        <v>0.95</v>
      </c>
    </row>
    <row r="18531" spans="1:4" x14ac:dyDescent="0.25">
      <c r="A18531" t="str">
        <f>HYPERLINK("https://www.773grp.com/globalSearch/74HC241D652/page-1", "74HC241D652")</f>
        <v>74HC241D652</v>
      </c>
      <c r="B18531" s="3" t="str">
        <f>HYPERLINK("https://www.773grp.com/manufacturer/nxp-semiconductor?pageNo=5", "NXP Semiconductors")</f>
        <v>NXP Semiconductors</v>
      </c>
      <c r="C18531" s="6">
        <v>10379</v>
      </c>
      <c r="D18531" s="7">
        <v>0.95</v>
      </c>
    </row>
    <row r="18532" spans="1:4" x14ac:dyDescent="0.25">
      <c r="A18532" t="str">
        <f>HYPERLINK("https://www.773grp.com/globalSearch/74HC241D653/page-1", "74HC241D653")</f>
        <v>74HC241D653</v>
      </c>
      <c r="B18532" s="3" t="str">
        <f>HYPERLINK("https://www.773grp.com/manufacturer/nxp-semiconductor?pageNo=6", "NXP Semiconductors")</f>
        <v>NXP Semiconductors</v>
      </c>
      <c r="C18532" s="6">
        <v>18774</v>
      </c>
      <c r="D18532" s="7">
        <v>0.95</v>
      </c>
    </row>
    <row r="18533" spans="1:4" x14ac:dyDescent="0.25">
      <c r="A18533" t="str">
        <f>HYPERLINK("https://www.773grp.com/globalSearch/74HC4046AD652/page-1", "74HC4046AD652")</f>
        <v>74HC4046AD652</v>
      </c>
      <c r="B18533" s="3" t="str">
        <f>HYPERLINK("https://www.773grp.com/manufacturer/nxp-semiconductor?pageNo=7", "NXP Semiconductors")</f>
        <v>NXP Semiconductors</v>
      </c>
      <c r="C18533" s="6">
        <v>3000</v>
      </c>
      <c r="D18533" s="7">
        <v>0.95</v>
      </c>
    </row>
    <row r="18534" spans="1:4" x14ac:dyDescent="0.25">
      <c r="A18534" t="str">
        <f>HYPERLINK("https://www.773grp.com/globalSearch/74HC4046AD653/page-1", "74HC4046AD653")</f>
        <v>74HC4046AD653</v>
      </c>
      <c r="B18534" s="3" t="str">
        <f>HYPERLINK("https://www.773grp.com/manufacturer/nxp-semiconductor?pageNo=8", "NXP Semiconductors")</f>
        <v>NXP Semiconductors</v>
      </c>
      <c r="C18534" s="6">
        <v>488</v>
      </c>
      <c r="D18534" s="7">
        <v>0.95</v>
      </c>
    </row>
    <row r="18535" spans="1:4" x14ac:dyDescent="0.25">
      <c r="A18535" t="str">
        <f>HYPERLINK("https://www.773grp.com/globalSearch/74HC595DB112/page-1", "74HC595DB112")</f>
        <v>74HC595DB112</v>
      </c>
      <c r="B18535" s="3" t="str">
        <f>HYPERLINK("https://www.773grp.com/manufacturer/nxp-semiconductor?pageNo=9", "NXP Semiconductors")</f>
        <v>NXP Semiconductors</v>
      </c>
      <c r="C18535" s="6">
        <v>697</v>
      </c>
      <c r="D18535" s="7">
        <v>0.95</v>
      </c>
    </row>
    <row r="18536" spans="1:4" x14ac:dyDescent="0.25">
      <c r="A18536" t="str">
        <f>HYPERLINK("https://www.773grp.com/globalSearch/74HCT153PW112/page-1", "74HCT153PW112")</f>
        <v>74HCT153PW112</v>
      </c>
      <c r="B18536" s="3" t="str">
        <f>HYPERLINK("https://www.773grp.com/manufacturer/nxp-semiconductor?pageNo=10", "NXP Semiconductors")</f>
        <v>NXP Semiconductors</v>
      </c>
      <c r="C18536" s="6">
        <v>4800</v>
      </c>
      <c r="D18536" s="7">
        <v>0.95</v>
      </c>
    </row>
    <row r="18537" spans="1:4" x14ac:dyDescent="0.25">
      <c r="A18537" t="str">
        <f>HYPERLINK("https://www.773grp.com/globalSearch/74HCT241D652/page-1", "74HCT241D652")</f>
        <v>74HCT241D652</v>
      </c>
      <c r="B18537" s="3" t="str">
        <f>HYPERLINK("https://www.773grp.com/manufacturer/nxp-semiconductor?pageNo=11", "NXP Semiconductors")</f>
        <v>NXP Semiconductors</v>
      </c>
      <c r="C18537" s="6">
        <v>1520</v>
      </c>
      <c r="D18537" s="7">
        <v>0.95</v>
      </c>
    </row>
    <row r="18538" spans="1:4" x14ac:dyDescent="0.25">
      <c r="A18538" t="str">
        <f>HYPERLINK("https://www.773grp.com/globalSearch/74HCT241D653/page-1", "74HCT241D653")</f>
        <v>74HCT241D653</v>
      </c>
      <c r="B18538" s="3" t="str">
        <f>HYPERLINK("https://www.773grp.com/manufacturer/nxp-semiconductor?pageNo=12", "NXP Semiconductors")</f>
        <v>NXP Semiconductors</v>
      </c>
      <c r="C18538" s="6">
        <v>6000</v>
      </c>
      <c r="D18538" s="7">
        <v>0.95</v>
      </c>
    </row>
    <row r="18539" spans="1:4" x14ac:dyDescent="0.25">
      <c r="A18539" t="str">
        <f>HYPERLINK("https://www.773grp.com/globalSearch/74HCT563D653/page-1", "74HCT563D653")</f>
        <v>74HCT563D653</v>
      </c>
      <c r="B18539" s="3" t="str">
        <f>HYPERLINK("https://www.773grp.com/manufacturer/nxp-semiconductor?pageNo=13", "NXP Semiconductors")</f>
        <v>NXP Semiconductors</v>
      </c>
      <c r="C18539" s="6">
        <v>680</v>
      </c>
      <c r="D18539" s="7">
        <v>0.95</v>
      </c>
    </row>
    <row r="18540" spans="1:4" x14ac:dyDescent="0.25">
      <c r="A18540" t="str">
        <f>HYPERLINK("https://www.773grp.com/globalSearch/74HCT85D652/page-1", "74HCT85D652")</f>
        <v>74HCT85D652</v>
      </c>
      <c r="B18540" s="3" t="str">
        <f>HYPERLINK("https://www.773grp.com/manufacturer/nxp-semiconductor?pageNo=14", "NXP Semiconductors")</f>
        <v>NXP Semiconductors</v>
      </c>
      <c r="C18540" s="6">
        <v>3000</v>
      </c>
      <c r="D18540" s="7">
        <v>0.95</v>
      </c>
    </row>
    <row r="18541" spans="1:4" x14ac:dyDescent="0.25">
      <c r="A18541" t="str">
        <f>HYPERLINK("https://www.773grp.com/globalSearch/74LV138D112/page-1", "74LV138D112")</f>
        <v>74LV138D112</v>
      </c>
      <c r="B18541" s="3" t="str">
        <f>HYPERLINK("https://www.773grp.com/manufacturer/nxp-semiconductor?pageNo=15", "NXP Semiconductors")</f>
        <v>NXP Semiconductors</v>
      </c>
      <c r="C18541" s="6">
        <v>8097</v>
      </c>
      <c r="D18541" s="7">
        <v>0.95</v>
      </c>
    </row>
    <row r="18542" spans="1:4" x14ac:dyDescent="0.25">
      <c r="A18542" t="str">
        <f>HYPERLINK("https://www.773grp.com/globalSearch/74LV165AD118/page-1", "74LV165AD118")</f>
        <v>74LV165AD118</v>
      </c>
      <c r="B18542" s="3" t="str">
        <f>HYPERLINK("https://www.773grp.com/manufacturer/nxp-semiconductor?pageNo=16", "NXP Semiconductors")</f>
        <v>NXP Semiconductors</v>
      </c>
      <c r="C18542" s="6">
        <v>37500</v>
      </c>
      <c r="D18542" s="7">
        <v>0.95</v>
      </c>
    </row>
    <row r="18543" spans="1:4" x14ac:dyDescent="0.25">
      <c r="A18543" t="str">
        <f>HYPERLINK("https://www.773grp.com/globalSearch/74LV165APW112/page-1", "74LV165APW112")</f>
        <v>74LV165APW112</v>
      </c>
      <c r="B18543" s="3" t="str">
        <f>HYPERLINK("https://www.773grp.com/manufacturer/nxp-semiconductor?pageNo=17", "NXP Semiconductors")</f>
        <v>NXP Semiconductors</v>
      </c>
      <c r="C18543" s="6">
        <v>183</v>
      </c>
      <c r="D18543" s="7">
        <v>0.95</v>
      </c>
    </row>
    <row r="18544" spans="1:4" x14ac:dyDescent="0.25">
      <c r="A18544" t="str">
        <f>HYPERLINK("https://www.773grp.com/globalSearch/74LV165APW118/page-1", "74LV165APW118")</f>
        <v>74LV165APW118</v>
      </c>
      <c r="B18544" s="3" t="str">
        <f>HYPERLINK("https://www.773grp.com/manufacturer/nxp-semiconductor?pageNo=18", "NXP Semiconductors")</f>
        <v>NXP Semiconductors</v>
      </c>
      <c r="C18544" s="6">
        <v>25000</v>
      </c>
      <c r="D18544" s="7">
        <v>0.95</v>
      </c>
    </row>
    <row r="18545" spans="1:4" x14ac:dyDescent="0.25">
      <c r="A18545" t="str">
        <f>HYPERLINK("https://www.773grp.com/globalSearch/74LV374D112/page-1", "74LV374D112")</f>
        <v>74LV374D112</v>
      </c>
      <c r="B18545" s="3" t="str">
        <f>HYPERLINK("https://www.773grp.com/manufacturer/nxp-semiconductor?pageNo=19", "NXP Semiconductors")</f>
        <v>NXP Semiconductors</v>
      </c>
      <c r="C18545" s="6">
        <v>1330</v>
      </c>
      <c r="D18545" s="7">
        <v>0.95</v>
      </c>
    </row>
    <row r="18546" spans="1:4" x14ac:dyDescent="0.25">
      <c r="A18546" t="str">
        <f>HYPERLINK("https://www.773grp.com/globalSearch/74LV4066D118/page-1", "74LV4066D118")</f>
        <v>74LV4066D118</v>
      </c>
      <c r="B18546" s="3" t="str">
        <f>HYPERLINK("https://www.773grp.com/manufacturer/nxp-semiconductor?pageNo=20", "NXP Semiconductors")</f>
        <v>NXP Semiconductors</v>
      </c>
      <c r="C18546" s="6">
        <v>59225</v>
      </c>
      <c r="D18546" s="7">
        <v>0.95</v>
      </c>
    </row>
    <row r="18547" spans="1:4" x14ac:dyDescent="0.25">
      <c r="A18547" t="str">
        <f>HYPERLINK("https://www.773grp.com/globalSearch/74LV4066PW112/page-1", "74LV4066PW112")</f>
        <v>74LV4066PW112</v>
      </c>
      <c r="B18547" s="3" t="str">
        <f>HYPERLINK("https://www.773grp.com/manufacturer/nxp-semiconductor?pageNo=21", "NXP Semiconductors")</f>
        <v>NXP Semiconductors</v>
      </c>
      <c r="C18547" s="6">
        <v>2544</v>
      </c>
      <c r="D18547" s="7">
        <v>0.95</v>
      </c>
    </row>
    <row r="18548" spans="1:4" x14ac:dyDescent="0.25">
      <c r="A18548" t="str">
        <f>HYPERLINK("https://www.773grp.com/globalSearch/74LV4066PW118/page-1", "74LV4066PW118")</f>
        <v>74LV4066PW118</v>
      </c>
      <c r="B18548" s="3" t="str">
        <f>HYPERLINK("https://www.773grp.com/manufacturer/nxp-semiconductor?pageNo=22", "NXP Semiconductors")</f>
        <v>NXP Semiconductors</v>
      </c>
      <c r="C18548" s="6">
        <v>25000</v>
      </c>
      <c r="D18548" s="7">
        <v>0.95</v>
      </c>
    </row>
    <row r="18549" spans="1:4" x14ac:dyDescent="0.25">
      <c r="A18549" t="str">
        <f>HYPERLINK("https://www.773grp.com/globalSearch/74LVC1G3157GN132/page-1", "74LVC1G3157GN132")</f>
        <v>74LVC1G3157GN132</v>
      </c>
      <c r="B18549" s="3" t="str">
        <f>HYPERLINK("https://www.773grp.com/manufacturer/nxp-semiconductor?pageNo=23", "NXP Semiconductors")</f>
        <v>NXP Semiconductors</v>
      </c>
      <c r="C18549" s="6">
        <v>5100</v>
      </c>
      <c r="D18549" s="7">
        <v>0.95</v>
      </c>
    </row>
    <row r="18550" spans="1:4" x14ac:dyDescent="0.25">
      <c r="A18550" t="str">
        <f>HYPERLINK("https://www.773grp.com/globalSearch/74LVT244ABQ115/page-1", "74LVT244ABQ115")</f>
        <v>74LVT244ABQ115</v>
      </c>
      <c r="B18550" s="3" t="str">
        <f>HYPERLINK("https://www.773grp.com/manufacturer/nxp-semiconductor?pageNo=24", "NXP Semiconductors")</f>
        <v>NXP Semiconductors</v>
      </c>
      <c r="C18550" s="6">
        <v>3000</v>
      </c>
      <c r="D18550" s="7">
        <v>0.95</v>
      </c>
    </row>
    <row r="18551" spans="1:4" x14ac:dyDescent="0.25">
      <c r="A18551" t="str">
        <f>HYPERLINK("https://www.773grp.com/globalSearch/74LVT245BD118/page-1", "74LVT245BD118")</f>
        <v>74LVT245BD118</v>
      </c>
      <c r="B18551" s="3" t="str">
        <f>HYPERLINK("https://www.773grp.com/manufacturer/nxp-semiconductor?pageNo=25", "NXP Semiconductors")</f>
        <v>NXP Semiconductors</v>
      </c>
      <c r="C18551" s="6">
        <v>4000</v>
      </c>
      <c r="D18551" s="7">
        <v>0.95</v>
      </c>
    </row>
    <row r="18552" spans="1:4" x14ac:dyDescent="0.25">
      <c r="A18552" t="str">
        <f>HYPERLINK("https://www.773grp.com/globalSearch/74LVT374D112/page-1", "74LVT374D112")</f>
        <v>74LVT374D112</v>
      </c>
      <c r="B18552" s="3" t="str">
        <f>HYPERLINK("https://www.773grp.com/manufacturer/nxp-semiconductor?pageNo=26", "NXP Semiconductors")</f>
        <v>NXP Semiconductors</v>
      </c>
      <c r="C18552" s="6">
        <v>5649</v>
      </c>
      <c r="D18552" s="7">
        <v>0.95</v>
      </c>
    </row>
    <row r="18553" spans="1:4" x14ac:dyDescent="0.25">
      <c r="A18553" t="str">
        <f>HYPERLINK("https://www.773grp.com/globalSearch/74LVT374PW118/page-1", "74LVT374PW118")</f>
        <v>74LVT374PW118</v>
      </c>
      <c r="B18553" s="3" t="str">
        <f>HYPERLINK("https://www.773grp.com/manufacturer/nxp-semiconductor?pageNo=27", "NXP Semiconductors")</f>
        <v>NXP Semiconductors</v>
      </c>
      <c r="C18553" s="6">
        <v>15000</v>
      </c>
      <c r="D18553" s="7">
        <v>0.95</v>
      </c>
    </row>
    <row r="18554" spans="1:4" x14ac:dyDescent="0.25">
      <c r="A18554" t="str">
        <f>HYPERLINK("https://www.773grp.com/globalSearch/74LVT574BQ115/page-1", "74LVT574BQ115")</f>
        <v>74LVT574BQ115</v>
      </c>
      <c r="B18554" s="3" t="str">
        <f>HYPERLINK("https://www.773grp.com/manufacturer/nxp-semiconductor?pageNo=28", "NXP Semiconductors")</f>
        <v>NXP Semiconductors</v>
      </c>
      <c r="C18554" s="6">
        <v>147</v>
      </c>
      <c r="D18554" s="7">
        <v>0.95</v>
      </c>
    </row>
    <row r="18555" spans="1:4" x14ac:dyDescent="0.25">
      <c r="A18555" t="str">
        <f>HYPERLINK("https://www.773grp.com/globalSearch/BF1203115/page-1", "BF1203115")</f>
        <v>BF1203115</v>
      </c>
      <c r="B18555" s="3" t="str">
        <f>HYPERLINK("https://www.773grp.com/manufacturer/nxp-semiconductor?pageNo=29", "NXP Semiconductors")</f>
        <v>NXP Semiconductors</v>
      </c>
      <c r="C18555" s="6">
        <v>2975</v>
      </c>
      <c r="D18555" s="7">
        <v>0.95</v>
      </c>
    </row>
    <row r="18556" spans="1:4" x14ac:dyDescent="0.25">
      <c r="A18556" t="str">
        <f>HYPERLINK("https://www.773grp.com/globalSearch/BF1207115/page-1", "BF1207115")</f>
        <v>BF1207115</v>
      </c>
      <c r="B18556" s="3" t="str">
        <f>HYPERLINK("https://www.773grp.com/manufacturer/nxp-semiconductor?pageNo=30", "NXP Semiconductors")</f>
        <v>NXP Semiconductors</v>
      </c>
      <c r="C18556" s="6">
        <v>128</v>
      </c>
      <c r="D18556" s="7">
        <v>0.95</v>
      </c>
    </row>
    <row r="18557" spans="1:4" x14ac:dyDescent="0.25">
      <c r="A18557" t="str">
        <f>HYPERLINK("https://www.773grp.com/globalSearch/BFT93215/page-1", "BFT93215")</f>
        <v>BFT93215</v>
      </c>
      <c r="B18557" s="3" t="str">
        <f>HYPERLINK("https://www.773grp.com/manufacturer/nxp-semiconductor?pageNo=31", "NXP Semiconductors")</f>
        <v>NXP Semiconductors</v>
      </c>
      <c r="C18557" s="6">
        <v>72817</v>
      </c>
      <c r="D18557" s="7">
        <v>0.95</v>
      </c>
    </row>
    <row r="18558" spans="1:4" x14ac:dyDescent="0.25">
      <c r="A18558" t="str">
        <f>HYPERLINK("https://www.773grp.com/globalSearch/BGA2012115/page-1", "BGA2012115")</f>
        <v>BGA2012115</v>
      </c>
      <c r="B18558" s="3" t="str">
        <f>HYPERLINK("https://www.773grp.com/manufacturer/nxp-semiconductor?pageNo=32", "NXP Semiconductors")</f>
        <v>NXP Semiconductors</v>
      </c>
      <c r="C18558" s="6">
        <v>6000</v>
      </c>
      <c r="D18558" s="7">
        <v>0.95</v>
      </c>
    </row>
    <row r="18559" spans="1:4" x14ac:dyDescent="0.25">
      <c r="A18559" t="str">
        <f>HYPERLINK("https://www.773grp.com/globalSearch/BGU6102147/page-1", "BGU6102147")</f>
        <v>BGU6102147</v>
      </c>
      <c r="B18559" s="3" t="str">
        <f>HYPERLINK("https://www.773grp.com/manufacturer/nxp-semiconductor?pageNo=33", "NXP Semiconductors")</f>
        <v>NXP Semiconductors</v>
      </c>
      <c r="C18559" s="6">
        <v>4455</v>
      </c>
      <c r="D18559" s="7">
        <v>0.95</v>
      </c>
    </row>
    <row r="18560" spans="1:4" x14ac:dyDescent="0.25">
      <c r="A18560" t="str">
        <f>HYPERLINK("https://www.773grp.com/globalSearch/BGU7005115/page-1", "BGU7005115")</f>
        <v>BGU7005115</v>
      </c>
      <c r="B18560" s="3" t="str">
        <f>HYPERLINK("https://www.773grp.com/manufacturer/nxp-semiconductor?pageNo=34", "NXP Semiconductors")</f>
        <v>NXP Semiconductors</v>
      </c>
      <c r="C18560" s="6">
        <v>53998</v>
      </c>
      <c r="D18560" s="7">
        <v>0.95</v>
      </c>
    </row>
    <row r="18561" spans="1:4" x14ac:dyDescent="0.25">
      <c r="A18561" t="str">
        <f>HYPERLINK("https://www.773grp.com/globalSearch/BGU7033115/page-1", "BGU7033115")</f>
        <v>BGU7033115</v>
      </c>
      <c r="B18561" s="3" t="str">
        <f>HYPERLINK("https://www.773grp.com/manufacturer/nxp-semiconductor?pageNo=35", "NXP Semiconductors")</f>
        <v>NXP Semiconductors</v>
      </c>
      <c r="C18561" s="6">
        <v>6395</v>
      </c>
      <c r="D18561" s="7">
        <v>0.95</v>
      </c>
    </row>
    <row r="18562" spans="1:4" x14ac:dyDescent="0.25">
      <c r="A18562" t="str">
        <f>HYPERLINK("https://www.773grp.com/globalSearch/BT137-600127/page-1", "BT137-600127")</f>
        <v>BT137-600127</v>
      </c>
      <c r="B18562" s="3" t="str">
        <f>HYPERLINK("https://www.773grp.com/manufacturer/nxp-semiconductor?pageNo=36", "NXP Semiconductors")</f>
        <v>NXP Semiconductors</v>
      </c>
      <c r="C18562" s="6">
        <v>13100</v>
      </c>
      <c r="D18562" s="7">
        <v>0.95</v>
      </c>
    </row>
    <row r="18563" spans="1:4" x14ac:dyDescent="0.25">
      <c r="A18563" t="str">
        <f>HYPERLINK("https://www.773grp.com/globalSearch/BT137-600D127/page-1", "BT137-600D127")</f>
        <v>BT137-600D127</v>
      </c>
      <c r="B18563" s="3" t="str">
        <f>HYPERLINK("https://www.773grp.com/manufacturer/nxp-semiconductor?pageNo=37", "NXP Semiconductors")</f>
        <v>NXP Semiconductors</v>
      </c>
      <c r="C18563" s="6">
        <v>17468</v>
      </c>
      <c r="D18563" s="7">
        <v>0.95</v>
      </c>
    </row>
    <row r="18564" spans="1:4" x14ac:dyDescent="0.25">
      <c r="A18564" t="str">
        <f>HYPERLINK("https://www.773grp.com/globalSearch/BT137-600E-L01127/page-1", "BT137-600E-L01127")</f>
        <v>BT137-600E-L01127</v>
      </c>
      <c r="B18564" s="3" t="str">
        <f>HYPERLINK("https://www.773grp.com/manufacturer/nxp-semiconductor?pageNo=38", "NXP Semiconductors")</f>
        <v>NXP Semiconductors</v>
      </c>
      <c r="C18564" s="6">
        <v>5400</v>
      </c>
      <c r="D18564" s="7">
        <v>0.95</v>
      </c>
    </row>
    <row r="18565" spans="1:4" x14ac:dyDescent="0.25">
      <c r="A18565" t="str">
        <f>HYPERLINK("https://www.773grp.com/globalSearch/BT137-600E127/page-1", "BT137-600E127")</f>
        <v>BT137-600E127</v>
      </c>
      <c r="B18565" s="3" t="str">
        <f>HYPERLINK("https://www.773grp.com/manufacturer/nxp-semiconductor?pageNo=39", "NXP Semiconductors")</f>
        <v>NXP Semiconductors</v>
      </c>
      <c r="C18565" s="6">
        <v>5500</v>
      </c>
      <c r="D18565" s="7">
        <v>0.95</v>
      </c>
    </row>
    <row r="18566" spans="1:4" x14ac:dyDescent="0.25">
      <c r="A18566" t="str">
        <f>HYPERLINK("https://www.773grp.com/globalSearch/BT137-600G127/page-1", "BT137-600G127")</f>
        <v>BT137-600G127</v>
      </c>
      <c r="B18566" s="3" t="str">
        <f>HYPERLINK("https://www.773grp.com/manufacturer/nxp-semiconductor?pageNo=40", "NXP Semiconductors")</f>
        <v>NXP Semiconductors</v>
      </c>
      <c r="C18566" s="6">
        <v>72000</v>
      </c>
      <c r="D18566" s="7">
        <v>0.95</v>
      </c>
    </row>
    <row r="18567" spans="1:4" x14ac:dyDescent="0.25">
      <c r="A18567" t="str">
        <f>HYPERLINK("https://www.773grp.com/globalSearch/BT137-800127/page-1", "BT137-800127")</f>
        <v>BT137-800127</v>
      </c>
      <c r="B18567" s="3" t="str">
        <f>HYPERLINK("https://www.773grp.com/manufacturer/nxp-semiconductor?pageNo=41", "NXP Semiconductors")</f>
        <v>NXP Semiconductors</v>
      </c>
      <c r="C18567" s="6">
        <v>9000</v>
      </c>
      <c r="D18567" s="7">
        <v>0.95</v>
      </c>
    </row>
    <row r="18568" spans="1:4" x14ac:dyDescent="0.25">
      <c r="A18568" t="str">
        <f>HYPERLINK("https://www.773grp.com/globalSearch/BT137-800E127/page-1", "BT137-800E127")</f>
        <v>BT137-800E127</v>
      </c>
      <c r="B18568" s="3" t="str">
        <f>HYPERLINK("https://www.773grp.com/manufacturer/nxp-semiconductor?pageNo=42", "NXP Semiconductors")</f>
        <v>NXP Semiconductors</v>
      </c>
      <c r="C18568" s="6">
        <v>3150</v>
      </c>
      <c r="D18568" s="7">
        <v>0.95</v>
      </c>
    </row>
    <row r="18569" spans="1:4" x14ac:dyDescent="0.25">
      <c r="A18569" t="str">
        <f>HYPERLINK("https://www.773grp.com/globalSearch/BT137S-600D118/page-1", "BT137S-600D118")</f>
        <v>BT137S-600D118</v>
      </c>
      <c r="B18569" s="3" t="str">
        <f>HYPERLINK("https://www.773grp.com/manufacturer/nxp-semiconductor?pageNo=43", "NXP Semiconductors")</f>
        <v>NXP Semiconductors</v>
      </c>
      <c r="C18569" s="6">
        <v>1526</v>
      </c>
      <c r="D18569" s="7">
        <v>0.95</v>
      </c>
    </row>
    <row r="18570" spans="1:4" x14ac:dyDescent="0.25">
      <c r="A18570" t="str">
        <f>HYPERLINK("https://www.773grp.com/globalSearch/BT137S-600E118/page-1", "BT137S-600E118")</f>
        <v>BT137S-600E118</v>
      </c>
      <c r="B18570" s="3" t="str">
        <f>HYPERLINK("https://www.773grp.com/manufacturer/nxp-semiconductor?pageNo=44", "NXP Semiconductors")</f>
        <v>NXP Semiconductors</v>
      </c>
      <c r="C18570" s="6">
        <v>17500</v>
      </c>
      <c r="D18570" s="7">
        <v>0.95</v>
      </c>
    </row>
    <row r="18571" spans="1:4" x14ac:dyDescent="0.25">
      <c r="A18571" t="str">
        <f>HYPERLINK("https://www.773grp.com/globalSearch/BT137S-600G118/page-1", "BT137S-600G118")</f>
        <v>BT137S-600G118</v>
      </c>
      <c r="B18571" s="3" t="str">
        <f>HYPERLINK("https://www.773grp.com/manufacturer/nxp-semiconductor?pageNo=45", "NXP Semiconductors")</f>
        <v>NXP Semiconductors</v>
      </c>
      <c r="C18571" s="6">
        <v>10150</v>
      </c>
      <c r="D18571" s="7">
        <v>0.95</v>
      </c>
    </row>
    <row r="18572" spans="1:4" x14ac:dyDescent="0.25">
      <c r="A18572" t="str">
        <f>HYPERLINK("https://www.773grp.com/globalSearch/BT137S-800G118/page-1", "BT137S-800G118")</f>
        <v>BT137S-800G118</v>
      </c>
      <c r="B18572" s="3" t="str">
        <f>HYPERLINK("https://www.773grp.com/manufacturer/nxp-semiconductor?pageNo=46", "NXP Semiconductors")</f>
        <v>NXP Semiconductors</v>
      </c>
      <c r="C18572" s="6">
        <v>150</v>
      </c>
      <c r="D18572" s="7">
        <v>0.95</v>
      </c>
    </row>
    <row r="18573" spans="1:4" x14ac:dyDescent="0.25">
      <c r="A18573" t="str">
        <f>HYPERLINK("https://www.773grp.com/globalSearch/BT137X-600127/page-1", "BT137X-600127")</f>
        <v>BT137X-600127</v>
      </c>
      <c r="B18573" s="3" t="str">
        <f>HYPERLINK("https://www.773grp.com/manufacturer/nxp-semiconductor?pageNo=47", "NXP Semiconductors")</f>
        <v>NXP Semiconductors</v>
      </c>
      <c r="C18573" s="6">
        <v>135</v>
      </c>
      <c r="D18573" s="7">
        <v>0.95</v>
      </c>
    </row>
    <row r="18574" spans="1:4" x14ac:dyDescent="0.25">
      <c r="A18574" t="str">
        <f>HYPERLINK("https://www.773grp.com/globalSearch/BT137X-600D127/page-1", "BT137X-600D127")</f>
        <v>BT137X-600D127</v>
      </c>
      <c r="B18574" s="3" t="str">
        <f>HYPERLINK("https://www.773grp.com/manufacturer/nxp-semiconductor?pageNo=48", "NXP Semiconductors")</f>
        <v>NXP Semiconductors</v>
      </c>
      <c r="C18574" s="6">
        <v>62980</v>
      </c>
      <c r="D18574" s="7">
        <v>0.95</v>
      </c>
    </row>
    <row r="18575" spans="1:4" x14ac:dyDescent="0.25">
      <c r="A18575" t="str">
        <f>HYPERLINK("https://www.773grp.com/globalSearch/BT137X-600E127/page-1", "BT137X-600E127")</f>
        <v>BT137X-600E127</v>
      </c>
      <c r="B18575" s="3" t="str">
        <f>HYPERLINK("https://www.773grp.com/manufacturer/nxp-semiconductor?pageNo=1", "NXP Semiconductors")</f>
        <v>NXP Semiconductors</v>
      </c>
      <c r="C18575" s="6">
        <v>6048</v>
      </c>
      <c r="D18575" s="7">
        <v>0.95</v>
      </c>
    </row>
    <row r="18576" spans="1:4" x14ac:dyDescent="0.25">
      <c r="A18576" t="str">
        <f>HYPERLINK("https://www.773grp.com/globalSearch/BT137X-600F127/page-1", "BT137X-600F127")</f>
        <v>BT137X-600F127</v>
      </c>
      <c r="B18576" s="3" t="str">
        <f>HYPERLINK("https://www.773grp.com/manufacturer/nxp-semiconductor?pageNo=2", "NXP Semiconductors")</f>
        <v>NXP Semiconductors</v>
      </c>
      <c r="C18576" s="6">
        <v>150</v>
      </c>
      <c r="D18576" s="7">
        <v>0.95</v>
      </c>
    </row>
    <row r="18577" spans="1:4" x14ac:dyDescent="0.25">
      <c r="A18577" t="str">
        <f>HYPERLINK("https://www.773grp.com/globalSearch/BT137X-600G127/page-1", "BT137X-600G127")</f>
        <v>BT137X-600G127</v>
      </c>
      <c r="B18577" s="3" t="str">
        <f>HYPERLINK("https://www.773grp.com/manufacturer/nxp-semiconductor?pageNo=3", "NXP Semiconductors")</f>
        <v>NXP Semiconductors</v>
      </c>
      <c r="C18577" s="6">
        <v>5199</v>
      </c>
      <c r="D18577" s="7">
        <v>0.95</v>
      </c>
    </row>
    <row r="18578" spans="1:4" x14ac:dyDescent="0.25">
      <c r="A18578" t="str">
        <f>HYPERLINK("https://www.773grp.com/globalSearch/BT137X-800127/page-1", "BT137X-800127")</f>
        <v>BT137X-800127</v>
      </c>
      <c r="B18578" s="3" t="str">
        <f>HYPERLINK("https://www.773grp.com/manufacturer/nxp-semiconductor?pageNo=4", "NXP Semiconductors")</f>
        <v>NXP Semiconductors</v>
      </c>
      <c r="C18578" s="6">
        <v>1650</v>
      </c>
      <c r="D18578" s="7">
        <v>0.95</v>
      </c>
    </row>
    <row r="18579" spans="1:4" x14ac:dyDescent="0.25">
      <c r="A18579" t="str">
        <f>HYPERLINK("https://www.773grp.com/globalSearch/BTA204S-1000C118/page-1", "BTA204S-1000C118")</f>
        <v>BTA204S-1000C118</v>
      </c>
      <c r="B18579" s="3" t="str">
        <f>HYPERLINK("https://www.773grp.com/manufacturer/nxp-semiconductor?pageNo=5", "NXP Semiconductors")</f>
        <v>NXP Semiconductors</v>
      </c>
      <c r="C18579" s="6">
        <v>2500</v>
      </c>
      <c r="D18579" s="7">
        <v>0.95</v>
      </c>
    </row>
    <row r="18580" spans="1:4" x14ac:dyDescent="0.25">
      <c r="A18580" t="str">
        <f>HYPERLINK("https://www.773grp.com/globalSearch/BTA204X-1000C127/page-1", "BTA204X-1000C127")</f>
        <v>BTA204X-1000C127</v>
      </c>
      <c r="B18580" s="3" t="str">
        <f>HYPERLINK("https://www.773grp.com/manufacturer/nxp-semiconductor?pageNo=6", "NXP Semiconductors")</f>
        <v>NXP Semiconductors</v>
      </c>
      <c r="C18580" s="6">
        <v>5000</v>
      </c>
      <c r="D18580" s="7">
        <v>0.95</v>
      </c>
    </row>
    <row r="18581" spans="1:4" x14ac:dyDescent="0.25">
      <c r="A18581" t="str">
        <f>HYPERLINK("https://www.773grp.com/globalSearch/BYQ28E-200-H127/page-1", "BYQ28E-200-H127")</f>
        <v>BYQ28E-200-H127</v>
      </c>
      <c r="B18581" s="3" t="str">
        <f>HYPERLINK("https://www.773grp.com/manufacturer/nxp-semiconductor?pageNo=7", "NXP Semiconductors")</f>
        <v>NXP Semiconductors</v>
      </c>
      <c r="C18581" s="6">
        <v>50</v>
      </c>
      <c r="D18581" s="7">
        <v>0.95</v>
      </c>
    </row>
    <row r="18582" spans="1:4" x14ac:dyDescent="0.25">
      <c r="A18582" t="str">
        <f>HYPERLINK("https://www.773grp.com/globalSearch/BYQ28E-200127/page-1", "BYQ28E-200127")</f>
        <v>BYQ28E-200127</v>
      </c>
      <c r="B18582" s="3" t="str">
        <f>HYPERLINK("https://www.773grp.com/manufacturer/nxp-semiconductor?pageNo=8", "NXP Semiconductors")</f>
        <v>NXP Semiconductors</v>
      </c>
      <c r="C18582" s="6">
        <v>5000</v>
      </c>
      <c r="D18582" s="7">
        <v>0.95</v>
      </c>
    </row>
    <row r="18583" spans="1:4" x14ac:dyDescent="0.25">
      <c r="A18583" t="str">
        <f>HYPERLINK("https://www.773grp.com/globalSearch/BYV40E-150115/page-1", "BYV40E-150115")</f>
        <v>BYV40E-150115</v>
      </c>
      <c r="B18583" s="3" t="str">
        <f>HYPERLINK("https://www.773grp.com/manufacturer/nxp-semiconductor?pageNo=9", "NXP Semiconductors")</f>
        <v>NXP Semiconductors</v>
      </c>
      <c r="C18583" s="6">
        <v>7000</v>
      </c>
      <c r="D18583" s="7">
        <v>0.95</v>
      </c>
    </row>
    <row r="18584" spans="1:4" x14ac:dyDescent="0.25">
      <c r="A18584" t="str">
        <f>HYPERLINK("https://www.773grp.com/globalSearch/BZV49-C10115/page-1", "BZV49-C10115")</f>
        <v>BZV49-C10115</v>
      </c>
      <c r="B18584" s="3" t="str">
        <f>HYPERLINK("https://www.773grp.com/manufacturer/nxp-semiconductor?pageNo=10", "NXP Semiconductors")</f>
        <v>NXP Semiconductors</v>
      </c>
      <c r="C18584" s="6">
        <v>8000</v>
      </c>
      <c r="D18584" s="7">
        <v>0.95</v>
      </c>
    </row>
    <row r="18585" spans="1:4" x14ac:dyDescent="0.25">
      <c r="A18585" t="str">
        <f>HYPERLINK("https://www.773grp.com/globalSearch/BZV49-C12115/page-1", "BZV49-C12115")</f>
        <v>BZV49-C12115</v>
      </c>
      <c r="B18585" s="3" t="str">
        <f>HYPERLINK("https://www.773grp.com/manufacturer/nxp-semiconductor?pageNo=11", "NXP Semiconductors")</f>
        <v>NXP Semiconductors</v>
      </c>
      <c r="C18585" s="6">
        <v>2000</v>
      </c>
      <c r="D18585" s="7">
        <v>0.95</v>
      </c>
    </row>
    <row r="18586" spans="1:4" x14ac:dyDescent="0.25">
      <c r="A18586" t="str">
        <f>HYPERLINK("https://www.773grp.com/globalSearch/BZV49-C15115/page-1", "BZV49-C15115")</f>
        <v>BZV49-C15115</v>
      </c>
      <c r="B18586" s="3" t="str">
        <f>HYPERLINK("https://www.773grp.com/manufacturer/nxp-semiconductor?pageNo=12", "NXP Semiconductors")</f>
        <v>NXP Semiconductors</v>
      </c>
      <c r="C18586" s="6">
        <v>3150</v>
      </c>
      <c r="D18586" s="7">
        <v>0.95</v>
      </c>
    </row>
    <row r="18587" spans="1:4" x14ac:dyDescent="0.25">
      <c r="A18587" t="str">
        <f>HYPERLINK("https://www.773grp.com/globalSearch/BZV49-C16115/page-1", "BZV49-C16115")</f>
        <v>BZV49-C16115</v>
      </c>
      <c r="B18587" s="3" t="str">
        <f>HYPERLINK("https://www.773grp.com/manufacturer/nxp-semiconductor?pageNo=13", "NXP Semiconductors")</f>
        <v>NXP Semiconductors</v>
      </c>
      <c r="C18587" s="6">
        <v>300</v>
      </c>
      <c r="D18587" s="7">
        <v>0.95</v>
      </c>
    </row>
    <row r="18588" spans="1:4" x14ac:dyDescent="0.25">
      <c r="A18588" t="str">
        <f>HYPERLINK("https://www.773grp.com/globalSearch/BZV49-C18115/page-1", "BZV49-C18115")</f>
        <v>BZV49-C18115</v>
      </c>
      <c r="B18588" s="3" t="str">
        <f>HYPERLINK("https://www.773grp.com/manufacturer/nxp-semiconductor?pageNo=14", "NXP Semiconductors")</f>
        <v>NXP Semiconductors</v>
      </c>
      <c r="C18588" s="6">
        <v>5699</v>
      </c>
      <c r="D18588" s="7">
        <v>0.95</v>
      </c>
    </row>
    <row r="18589" spans="1:4" x14ac:dyDescent="0.25">
      <c r="A18589" t="str">
        <f>HYPERLINK("https://www.773grp.com/globalSearch/BZV49-C20115/page-1", "BZV49-C20115")</f>
        <v>BZV49-C20115</v>
      </c>
      <c r="B18589" s="3" t="str">
        <f>HYPERLINK("https://www.773grp.com/manufacturer/nxp-semiconductor?pageNo=15", "NXP Semiconductors")</f>
        <v>NXP Semiconductors</v>
      </c>
      <c r="C18589" s="6">
        <v>12250</v>
      </c>
      <c r="D18589" s="7">
        <v>0.95</v>
      </c>
    </row>
    <row r="18590" spans="1:4" x14ac:dyDescent="0.25">
      <c r="A18590" t="str">
        <f>HYPERLINK("https://www.773grp.com/globalSearch/BZV49-C22115/page-1", "BZV49-C22115")</f>
        <v>BZV49-C22115</v>
      </c>
      <c r="B18590" s="3" t="str">
        <f>HYPERLINK("https://www.773grp.com/manufacturer/nxp-semiconductor?pageNo=16", "NXP Semiconductors")</f>
        <v>NXP Semiconductors</v>
      </c>
      <c r="C18590" s="6">
        <v>7898</v>
      </c>
      <c r="D18590" s="7">
        <v>0.95</v>
      </c>
    </row>
    <row r="18591" spans="1:4" x14ac:dyDescent="0.25">
      <c r="A18591" t="str">
        <f>HYPERLINK("https://www.773grp.com/globalSearch/BZV49-C24115/page-1", "BZV49-C24115")</f>
        <v>BZV49-C24115</v>
      </c>
      <c r="B18591" s="3" t="str">
        <f>HYPERLINK("https://www.773grp.com/manufacturer/nxp-semiconductor?pageNo=17", "NXP Semiconductors")</f>
        <v>NXP Semiconductors</v>
      </c>
      <c r="C18591" s="6">
        <v>300</v>
      </c>
      <c r="D18591" s="7">
        <v>0.95</v>
      </c>
    </row>
    <row r="18592" spans="1:4" x14ac:dyDescent="0.25">
      <c r="A18592" t="str">
        <f>HYPERLINK("https://www.773grp.com/globalSearch/BZV49-C27115/page-1", "BZV49-C27115")</f>
        <v>BZV49-C27115</v>
      </c>
      <c r="B18592" s="3" t="str">
        <f>HYPERLINK("https://www.773grp.com/manufacturer/nxp-semiconductor?pageNo=18", "NXP Semiconductors")</f>
        <v>NXP Semiconductors</v>
      </c>
      <c r="C18592" s="6">
        <v>1900</v>
      </c>
      <c r="D18592" s="7">
        <v>0.95</v>
      </c>
    </row>
    <row r="18593" spans="1:4" x14ac:dyDescent="0.25">
      <c r="A18593" t="str">
        <f>HYPERLINK("https://www.773grp.com/globalSearch/BZV49-C2V4115/page-1", "BZV49-C2V4115")</f>
        <v>BZV49-C2V4115</v>
      </c>
      <c r="B18593" s="3" t="str">
        <f>HYPERLINK("https://www.773grp.com/manufacturer/nxp-semiconductor?pageNo=19", "NXP Semiconductors")</f>
        <v>NXP Semiconductors</v>
      </c>
      <c r="C18593" s="6">
        <v>5000</v>
      </c>
      <c r="D18593" s="7">
        <v>0.95</v>
      </c>
    </row>
    <row r="18594" spans="1:4" x14ac:dyDescent="0.25">
      <c r="A18594" t="str">
        <f>HYPERLINK("https://www.773grp.com/globalSearch/BZV49-C2V7115/page-1", "BZV49-C2V7115")</f>
        <v>BZV49-C2V7115</v>
      </c>
      <c r="B18594" s="3" t="str">
        <f>HYPERLINK("https://www.773grp.com/manufacturer/nxp-semiconductor?pageNo=20", "NXP Semiconductors")</f>
        <v>NXP Semiconductors</v>
      </c>
      <c r="C18594" s="6">
        <v>14125</v>
      </c>
      <c r="D18594" s="7">
        <v>0.95</v>
      </c>
    </row>
    <row r="18595" spans="1:4" x14ac:dyDescent="0.25">
      <c r="A18595" t="str">
        <f>HYPERLINK("https://www.773grp.com/globalSearch/BZV49-C30115/page-1", "BZV49-C30115")</f>
        <v>BZV49-C30115</v>
      </c>
      <c r="B18595" s="3" t="str">
        <f>HYPERLINK("https://www.773grp.com/manufacturer/nxp-semiconductor?pageNo=21", "NXP Semiconductors")</f>
        <v>NXP Semiconductors</v>
      </c>
      <c r="C18595" s="6">
        <v>900</v>
      </c>
      <c r="D18595" s="7">
        <v>0.95</v>
      </c>
    </row>
    <row r="18596" spans="1:4" x14ac:dyDescent="0.25">
      <c r="A18596" t="str">
        <f>HYPERLINK("https://www.773grp.com/globalSearch/BZV49-C36115/page-1", "BZV49-C36115")</f>
        <v>BZV49-C36115</v>
      </c>
      <c r="B18596" s="3" t="str">
        <f>HYPERLINK("https://www.773grp.com/manufacturer/nxp-semiconductor?pageNo=22", "NXP Semiconductors")</f>
        <v>NXP Semiconductors</v>
      </c>
      <c r="C18596" s="6">
        <v>2000</v>
      </c>
      <c r="D18596" s="7">
        <v>0.95</v>
      </c>
    </row>
    <row r="18597" spans="1:4" x14ac:dyDescent="0.25">
      <c r="A18597" t="str">
        <f>HYPERLINK("https://www.773grp.com/globalSearch/BZV49-C3V0115/page-1", "BZV49-C3V0115")</f>
        <v>BZV49-C3V0115</v>
      </c>
      <c r="B18597" s="3" t="str">
        <f>HYPERLINK("https://www.773grp.com/manufacturer/nxp-semiconductor?pageNo=23", "NXP Semiconductors")</f>
        <v>NXP Semiconductors</v>
      </c>
      <c r="C18597" s="6">
        <v>7028</v>
      </c>
      <c r="D18597" s="7">
        <v>0.95</v>
      </c>
    </row>
    <row r="18598" spans="1:4" x14ac:dyDescent="0.25">
      <c r="A18598" t="str">
        <f>HYPERLINK("https://www.773grp.com/globalSearch/BZV49-C3V3115/page-1", "BZV49-C3V3115")</f>
        <v>BZV49-C3V3115</v>
      </c>
      <c r="B18598" s="3" t="str">
        <f>HYPERLINK("https://www.773grp.com/manufacturer/nxp-semiconductor?pageNo=24", "NXP Semiconductors")</f>
        <v>NXP Semiconductors</v>
      </c>
      <c r="C18598" s="6">
        <v>98000</v>
      </c>
      <c r="D18598" s="7">
        <v>0.95</v>
      </c>
    </row>
    <row r="18599" spans="1:4" x14ac:dyDescent="0.25">
      <c r="A18599" t="str">
        <f>HYPERLINK("https://www.773grp.com/globalSearch/BZV49-C43115/page-1", "BZV49-C43115")</f>
        <v>BZV49-C43115</v>
      </c>
      <c r="B18599" s="3" t="str">
        <f>HYPERLINK("https://www.773grp.com/manufacturer/nxp-semiconductor?pageNo=25", "NXP Semiconductors")</f>
        <v>NXP Semiconductors</v>
      </c>
      <c r="C18599" s="6">
        <v>5940</v>
      </c>
      <c r="D18599" s="7">
        <v>0.95</v>
      </c>
    </row>
    <row r="18600" spans="1:4" x14ac:dyDescent="0.25">
      <c r="A18600" t="str">
        <f>HYPERLINK("https://www.773grp.com/globalSearch/BZV49-C47115/page-1", "BZV49-C47115")</f>
        <v>BZV49-C47115</v>
      </c>
      <c r="B18600" s="3" t="str">
        <f>HYPERLINK("https://www.773grp.com/manufacturer/nxp-semiconductor?pageNo=26", "NXP Semiconductors")</f>
        <v>NXP Semiconductors</v>
      </c>
      <c r="C18600" s="6">
        <v>4000</v>
      </c>
      <c r="D18600" s="7">
        <v>0.95</v>
      </c>
    </row>
    <row r="18601" spans="1:4" x14ac:dyDescent="0.25">
      <c r="A18601" t="str">
        <f>HYPERLINK("https://www.773grp.com/globalSearch/BZV49-C4V3115/page-1", "BZV49-C4V3115")</f>
        <v>BZV49-C4V3115</v>
      </c>
      <c r="B18601" s="3" t="str">
        <f>HYPERLINK("https://www.773grp.com/manufacturer/nxp-semiconductor?pageNo=27", "NXP Semiconductors")</f>
        <v>NXP Semiconductors</v>
      </c>
      <c r="C18601" s="6">
        <v>300</v>
      </c>
      <c r="D18601" s="7">
        <v>0.95</v>
      </c>
    </row>
    <row r="18602" spans="1:4" x14ac:dyDescent="0.25">
      <c r="A18602" t="str">
        <f>HYPERLINK("https://www.773grp.com/globalSearch/BZV49-C56115/page-1", "BZV49-C56115")</f>
        <v>BZV49-C56115</v>
      </c>
      <c r="B18602" s="3" t="str">
        <f>HYPERLINK("https://www.773grp.com/manufacturer/nxp-semiconductor?pageNo=28", "NXP Semiconductors")</f>
        <v>NXP Semiconductors</v>
      </c>
      <c r="C18602" s="6">
        <v>2000</v>
      </c>
      <c r="D18602" s="7">
        <v>0.95</v>
      </c>
    </row>
    <row r="18603" spans="1:4" x14ac:dyDescent="0.25">
      <c r="A18603" t="str">
        <f>HYPERLINK("https://www.773grp.com/globalSearch/BZV49-C5V1115/page-1", "BZV49-C5V1115")</f>
        <v>BZV49-C5V1115</v>
      </c>
      <c r="B18603" s="3" t="str">
        <f>HYPERLINK("https://www.773grp.com/manufacturer/nxp-semiconductor?pageNo=29", "NXP Semiconductors")</f>
        <v>NXP Semiconductors</v>
      </c>
      <c r="C18603" s="6">
        <v>2000</v>
      </c>
      <c r="D18603" s="7">
        <v>0.95</v>
      </c>
    </row>
    <row r="18604" spans="1:4" x14ac:dyDescent="0.25">
      <c r="A18604" t="str">
        <f>HYPERLINK("https://www.773grp.com/globalSearch/BZV49-C62115/page-1", "BZV49-C62115")</f>
        <v>BZV49-C62115</v>
      </c>
      <c r="B18604" s="3" t="str">
        <f>HYPERLINK("https://www.773grp.com/manufacturer/nxp-semiconductor?pageNo=30", "NXP Semiconductors")</f>
        <v>NXP Semiconductors</v>
      </c>
      <c r="C18604" s="6">
        <v>3000</v>
      </c>
      <c r="D18604" s="7">
        <v>0.95</v>
      </c>
    </row>
    <row r="18605" spans="1:4" x14ac:dyDescent="0.25">
      <c r="A18605" t="str">
        <f>HYPERLINK("https://www.773grp.com/globalSearch/BZV49-C6V2115/page-1", "BZV49-C6V2115")</f>
        <v>BZV49-C6V2115</v>
      </c>
      <c r="B18605" s="3" t="str">
        <f>HYPERLINK("https://www.773grp.com/manufacturer/nxp-semiconductor?pageNo=31", "NXP Semiconductors")</f>
        <v>NXP Semiconductors</v>
      </c>
      <c r="C18605" s="6">
        <v>6049</v>
      </c>
      <c r="D18605" s="7">
        <v>0.95</v>
      </c>
    </row>
    <row r="18606" spans="1:4" x14ac:dyDescent="0.25">
      <c r="A18606" t="str">
        <f>HYPERLINK("https://www.773grp.com/globalSearch/BZV49-C6V8115/page-1", "BZV49-C6V8115")</f>
        <v>BZV49-C6V8115</v>
      </c>
      <c r="B18606" s="3" t="str">
        <f>HYPERLINK("https://www.773grp.com/manufacturer/nxp-semiconductor?pageNo=32", "NXP Semiconductors")</f>
        <v>NXP Semiconductors</v>
      </c>
      <c r="C18606" s="6">
        <v>12000</v>
      </c>
      <c r="D18606" s="7">
        <v>0.95</v>
      </c>
    </row>
    <row r="18607" spans="1:4" x14ac:dyDescent="0.25">
      <c r="A18607" t="str">
        <f>HYPERLINK("https://www.773grp.com/globalSearch/BZV49-C7V5115/page-1", "BZV49-C7V5115")</f>
        <v>BZV49-C7V5115</v>
      </c>
      <c r="B18607" s="3" t="str">
        <f>HYPERLINK("https://www.773grp.com/manufacturer/nxp-semiconductor?pageNo=33", "NXP Semiconductors")</f>
        <v>NXP Semiconductors</v>
      </c>
      <c r="C18607" s="6">
        <v>1000</v>
      </c>
      <c r="D18607" s="7">
        <v>0.95</v>
      </c>
    </row>
    <row r="18608" spans="1:4" x14ac:dyDescent="0.25">
      <c r="A18608" t="str">
        <f>HYPERLINK("https://www.773grp.com/globalSearch/BZV49-C8V2115/page-1", "BZV49-C8V2115")</f>
        <v>BZV49-C8V2115</v>
      </c>
      <c r="B18608" s="3" t="str">
        <f>HYPERLINK("https://www.773grp.com/manufacturer/nxp-semiconductor?pageNo=34", "NXP Semiconductors")</f>
        <v>NXP Semiconductors</v>
      </c>
      <c r="C18608" s="6">
        <v>474</v>
      </c>
      <c r="D18608" s="7">
        <v>0.95</v>
      </c>
    </row>
    <row r="18609" spans="1:4" x14ac:dyDescent="0.25">
      <c r="A18609" t="str">
        <f>HYPERLINK("https://www.773grp.com/globalSearch/BZV49-C9V1115/page-1", "BZV49-C9V1115")</f>
        <v>BZV49-C9V1115</v>
      </c>
      <c r="B18609" s="3" t="str">
        <f>HYPERLINK("https://www.773grp.com/manufacturer/nxp-semiconductor?pageNo=35", "NXP Semiconductors")</f>
        <v>NXP Semiconductors</v>
      </c>
      <c r="C18609" s="6">
        <v>2000</v>
      </c>
      <c r="D18609" s="7">
        <v>0.95</v>
      </c>
    </row>
    <row r="18610" spans="1:4" x14ac:dyDescent="0.25">
      <c r="A18610" t="str">
        <f>HYPERLINK("https://www.773grp.com/globalSearch/HEF4020BT652/page-1", "HEF4020BT652")</f>
        <v>HEF4020BT652</v>
      </c>
      <c r="B18610" s="3" t="str">
        <f>HYPERLINK("https://www.773grp.com/manufacturer/nxp-semiconductor?pageNo=36", "NXP Semiconductors")</f>
        <v>NXP Semiconductors</v>
      </c>
      <c r="C18610" s="6">
        <v>2550</v>
      </c>
      <c r="D18610" s="7">
        <v>0.95</v>
      </c>
    </row>
    <row r="18611" spans="1:4" x14ac:dyDescent="0.25">
      <c r="A18611" t="str">
        <f>HYPERLINK("https://www.773grp.com/globalSearch/HEF4020BT653/page-1", "HEF4020BT653")</f>
        <v>HEF4020BT653</v>
      </c>
      <c r="B18611" s="3" t="str">
        <f>HYPERLINK("https://www.773grp.com/manufacturer/nxp-semiconductor?pageNo=37", "NXP Semiconductors")</f>
        <v>NXP Semiconductors</v>
      </c>
      <c r="C18611" s="6">
        <v>2485</v>
      </c>
      <c r="D18611" s="7">
        <v>0.95</v>
      </c>
    </row>
    <row r="18612" spans="1:4" x14ac:dyDescent="0.25">
      <c r="A18612" t="str">
        <f>HYPERLINK("https://www.773grp.com/globalSearch/HEF4541BT512/page-1", "HEF4541BT512")</f>
        <v>HEF4541BT512</v>
      </c>
      <c r="B18612" s="3" t="str">
        <f>HYPERLINK("https://www.773grp.com/manufacturer/nxp-semiconductor?pageNo=38", "NXP Semiconductors")</f>
        <v>NXP Semiconductors</v>
      </c>
      <c r="C18612" s="6">
        <v>1140</v>
      </c>
      <c r="D18612" s="7">
        <v>0.95</v>
      </c>
    </row>
    <row r="18613" spans="1:4" x14ac:dyDescent="0.25">
      <c r="A18613" t="str">
        <f>HYPERLINK("https://www.773grp.com/globalSearch/HEF4952BT112/page-1", "HEF4952BT112")</f>
        <v>HEF4952BT112</v>
      </c>
      <c r="B18613" s="3" t="str">
        <f>HYPERLINK("https://www.773grp.com/manufacturer/nxp-semiconductor?pageNo=39", "NXP Semiconductors")</f>
        <v>NXP Semiconductors</v>
      </c>
      <c r="C18613" s="6">
        <v>1000</v>
      </c>
      <c r="D18613" s="7">
        <v>0.95</v>
      </c>
    </row>
    <row r="18614" spans="1:4" x14ac:dyDescent="0.25">
      <c r="A18614" t="str">
        <f>HYPERLINK("https://www.773grp.com/globalSearch/IP3088CX10135/page-1", "IP3088CX10135")</f>
        <v>IP3088CX10135</v>
      </c>
      <c r="B18614" s="3" t="str">
        <f>HYPERLINK("https://www.773grp.com/manufacturer/nxp-semiconductor?pageNo=40", "NXP Semiconductors")</f>
        <v>NXP Semiconductors</v>
      </c>
      <c r="C18614" s="6">
        <v>246</v>
      </c>
      <c r="D18614" s="7">
        <v>0.95</v>
      </c>
    </row>
    <row r="18615" spans="1:4" x14ac:dyDescent="0.25">
      <c r="A18615" t="str">
        <f>HYPERLINK("https://www.773grp.com/globalSearch/IP4051CX11-LF135/page-1", "IP4051CX11-LF135")</f>
        <v>IP4051CX11-LF135</v>
      </c>
      <c r="B18615" s="3" t="str">
        <f>HYPERLINK("https://www.773grp.com/manufacturer/nxp-semiconductor?pageNo=41", "NXP Semiconductors")</f>
        <v>NXP Semiconductors</v>
      </c>
      <c r="C18615" s="6">
        <v>200</v>
      </c>
      <c r="D18615" s="7">
        <v>0.95</v>
      </c>
    </row>
    <row r="18616" spans="1:4" x14ac:dyDescent="0.25">
      <c r="A18616" t="str">
        <f>HYPERLINK("https://www.773grp.com/globalSearch/J111126/page-1", "J111126")</f>
        <v>J111126</v>
      </c>
      <c r="B18616" s="3" t="str">
        <f>HYPERLINK("https://www.773grp.com/manufacturer/nxp-semiconductor?pageNo=42", "NXP Semiconductors")</f>
        <v>NXP Semiconductors</v>
      </c>
      <c r="C18616" s="6">
        <v>6000</v>
      </c>
      <c r="D18616" s="7">
        <v>0.95</v>
      </c>
    </row>
    <row r="18617" spans="1:4" x14ac:dyDescent="0.25">
      <c r="A18617" t="str">
        <f>HYPERLINK("https://www.773grp.com/globalSearch/J112126/page-1", "J112126")</f>
        <v>J112126</v>
      </c>
      <c r="B18617" s="3" t="str">
        <f>HYPERLINK("https://www.773grp.com/manufacturer/nxp-semiconductor?pageNo=43", "NXP Semiconductors")</f>
        <v>NXP Semiconductors</v>
      </c>
      <c r="C18617" s="6">
        <v>300</v>
      </c>
      <c r="D18617" s="7">
        <v>0.95</v>
      </c>
    </row>
    <row r="18618" spans="1:4" x14ac:dyDescent="0.25">
      <c r="A18618" t="str">
        <f>HYPERLINK("https://www.773grp.com/globalSearch/N74F245DB118/page-1", "N74F245DB118")</f>
        <v>N74F245DB118</v>
      </c>
      <c r="B18618" s="3" t="str">
        <f>HYPERLINK("https://www.773grp.com/manufacturer/nxp-semiconductor?pageNo=44", "NXP Semiconductors")</f>
        <v>NXP Semiconductors</v>
      </c>
      <c r="C18618" s="6">
        <v>603</v>
      </c>
      <c r="D18618" s="7">
        <v>0.95</v>
      </c>
    </row>
    <row r="18619" spans="1:4" x14ac:dyDescent="0.25">
      <c r="A18619" t="str">
        <f>HYPERLINK("https://www.773grp.com/globalSearch/N74F280BD623/page-1", "N74F280BD623")</f>
        <v>N74F280BD623</v>
      </c>
      <c r="B18619" s="3" t="str">
        <f>HYPERLINK("https://www.773grp.com/manufacturer/nxp-semiconductor?pageNo=45", "NXP Semiconductors")</f>
        <v>NXP Semiconductors</v>
      </c>
      <c r="C18619" s="6">
        <v>7500</v>
      </c>
      <c r="D18619" s="7">
        <v>0.95</v>
      </c>
    </row>
    <row r="18620" spans="1:4" x14ac:dyDescent="0.25">
      <c r="A18620" t="str">
        <f>HYPERLINK("https://www.773grp.com/globalSearch/N74F374D602/page-1", "N74F374D602")</f>
        <v>N74F374D602</v>
      </c>
      <c r="B18620" s="3" t="str">
        <f>HYPERLINK("https://www.773grp.com/manufacturer/nxp-semiconductor?pageNo=46", "NXP Semiconductors")</f>
        <v>NXP Semiconductors</v>
      </c>
      <c r="C18620" s="6">
        <v>1562</v>
      </c>
      <c r="D18620" s="7">
        <v>0.95</v>
      </c>
    </row>
    <row r="18621" spans="1:4" x14ac:dyDescent="0.25">
      <c r="A18621" t="str">
        <f>HYPERLINK("https://www.773grp.com/globalSearch/N74F374D623/page-1", "N74F374D623")</f>
        <v>N74F374D623</v>
      </c>
      <c r="B18621" s="3" t="str">
        <f>HYPERLINK("https://www.773grp.com/manufacturer/nxp-semiconductor?pageNo=47", "NXP Semiconductors")</f>
        <v>NXP Semiconductors</v>
      </c>
      <c r="C18621" s="6">
        <v>12000</v>
      </c>
      <c r="D18621" s="7">
        <v>0.95</v>
      </c>
    </row>
    <row r="18622" spans="1:4" x14ac:dyDescent="0.25">
      <c r="A18622" t="str">
        <f>HYPERLINK("https://www.773grp.com/globalSearch/N74F374N602/page-1", "N74F374N602")</f>
        <v>N74F374N602</v>
      </c>
      <c r="B18622" s="3" t="str">
        <f>HYPERLINK("https://www.773grp.com/manufacturer/nxp-semiconductor?pageNo=48", "NXP Semiconductors")</f>
        <v>NXP Semiconductors</v>
      </c>
      <c r="C18622" s="6">
        <v>1440</v>
      </c>
      <c r="D18622" s="7">
        <v>0.95</v>
      </c>
    </row>
    <row r="18623" spans="1:4" x14ac:dyDescent="0.25">
      <c r="A18623" t="str">
        <f>HYPERLINK("https://www.773grp.com/globalSearch/NCX2220GM125/page-1", "NCX2220GM125")</f>
        <v>NCX2220GM125</v>
      </c>
      <c r="B18623" s="3" t="str">
        <f>HYPERLINK("https://www.773grp.com/manufacturer/nxp-semiconductor?pageNo=1", "NXP Semiconductors")</f>
        <v>NXP Semiconductors</v>
      </c>
      <c r="C18623" s="6">
        <v>4275</v>
      </c>
      <c r="D18623" s="7">
        <v>0.95</v>
      </c>
    </row>
    <row r="18624" spans="1:4" x14ac:dyDescent="0.25">
      <c r="A18624" t="str">
        <f>HYPERLINK("https://www.773grp.com/globalSearch/PBSS4520X135/page-1", "PBSS4520X135")</f>
        <v>PBSS4520X135</v>
      </c>
      <c r="B18624" s="3" t="str">
        <f>HYPERLINK("https://www.773grp.com/manufacturer/nxp-semiconductor?pageNo=2", "NXP Semiconductors")</f>
        <v>NXP Semiconductors</v>
      </c>
      <c r="C18624" s="6">
        <v>20000</v>
      </c>
      <c r="D18624" s="7">
        <v>0.95</v>
      </c>
    </row>
    <row r="18625" spans="1:4" x14ac:dyDescent="0.25">
      <c r="A18625" t="str">
        <f>HYPERLINK("https://www.773grp.com/globalSearch/PBSS4540X135/page-1", "PBSS4540X135")</f>
        <v>PBSS4540X135</v>
      </c>
      <c r="B18625" s="3" t="str">
        <f>HYPERLINK("https://www.773grp.com/manufacturer/nxp-semiconductor?pageNo=3", "NXP Semiconductors")</f>
        <v>NXP Semiconductors</v>
      </c>
      <c r="C18625" s="6">
        <v>32000</v>
      </c>
      <c r="D18625" s="7">
        <v>0.95</v>
      </c>
    </row>
    <row r="18626" spans="1:4" x14ac:dyDescent="0.25">
      <c r="A18626" t="str">
        <f>HYPERLINK("https://www.773grp.com/globalSearch/PBSS4540Z115/page-1", "PBSS4540Z115")</f>
        <v>PBSS4540Z115</v>
      </c>
      <c r="B18626" s="3" t="str">
        <f>HYPERLINK("https://www.773grp.com/manufacturer/nxp-semiconductor?pageNo=4", "NXP Semiconductors")</f>
        <v>NXP Semiconductors</v>
      </c>
      <c r="C18626" s="6">
        <v>1000</v>
      </c>
      <c r="D18626" s="7">
        <v>0.95</v>
      </c>
    </row>
    <row r="18627" spans="1:4" x14ac:dyDescent="0.25">
      <c r="A18627" t="str">
        <f>HYPERLINK("https://www.773grp.com/globalSearch/PBSS5350SS115/page-1", "PBSS5350SS115")</f>
        <v>PBSS5350SS115</v>
      </c>
      <c r="B18627" s="3" t="str">
        <f>HYPERLINK("https://www.773grp.com/manufacturer/nxp-semiconductor?pageNo=5", "NXP Semiconductors")</f>
        <v>NXP Semiconductors</v>
      </c>
      <c r="C18627" s="6">
        <v>10000</v>
      </c>
      <c r="D18627" s="7">
        <v>0.95</v>
      </c>
    </row>
    <row r="18628" spans="1:4" x14ac:dyDescent="0.25">
      <c r="A18628" t="str">
        <f>HYPERLINK("https://www.773grp.com/globalSearch/PBSS5520X135/page-1", "PBSS5520X135")</f>
        <v>PBSS5520X135</v>
      </c>
      <c r="B18628" s="3" t="str">
        <f>HYPERLINK("https://www.773grp.com/manufacturer/nxp-semiconductor?pageNo=6", "NXP Semiconductors")</f>
        <v>NXP Semiconductors</v>
      </c>
      <c r="C18628" s="6">
        <v>8000</v>
      </c>
      <c r="D18628" s="7">
        <v>0.95</v>
      </c>
    </row>
    <row r="18629" spans="1:4" x14ac:dyDescent="0.25">
      <c r="A18629" t="str">
        <f>HYPERLINK("https://www.773grp.com/globalSearch/PBSS5540X135/page-1", "PBSS5540X135")</f>
        <v>PBSS5540X135</v>
      </c>
      <c r="B18629" s="3" t="str">
        <f>HYPERLINK("https://www.773grp.com/manufacturer/nxp-semiconductor?pageNo=7", "NXP Semiconductors")</f>
        <v>NXP Semiconductors</v>
      </c>
      <c r="C18629" s="6">
        <v>4000</v>
      </c>
      <c r="D18629" s="7">
        <v>0.95</v>
      </c>
    </row>
    <row r="18630" spans="1:4" x14ac:dyDescent="0.25">
      <c r="A18630" t="str">
        <f>HYPERLINK("https://www.773grp.com/globalSearch/PBSS5540Z115/page-1", "PBSS5540Z115")</f>
        <v>PBSS5540Z115</v>
      </c>
      <c r="B18630" s="3" t="str">
        <f>HYPERLINK("https://www.773grp.com/manufacturer/nxp-semiconductor?pageNo=8", "NXP Semiconductors")</f>
        <v>NXP Semiconductors</v>
      </c>
      <c r="C18630" s="6">
        <v>22341</v>
      </c>
      <c r="D18630" s="7">
        <v>0.95</v>
      </c>
    </row>
    <row r="18631" spans="1:4" x14ac:dyDescent="0.25">
      <c r="A18631" t="str">
        <f>HYPERLINK("https://www.773grp.com/globalSearch/PBSS8110X135/page-1", "PBSS8110X135")</f>
        <v>PBSS8110X135</v>
      </c>
      <c r="B18631" s="3" t="str">
        <f>HYPERLINK("https://www.773grp.com/manufacturer/nxp-semiconductor?pageNo=9", "NXP Semiconductors")</f>
        <v>NXP Semiconductors</v>
      </c>
      <c r="C18631" s="6">
        <v>20000</v>
      </c>
      <c r="D18631" s="7">
        <v>0.95</v>
      </c>
    </row>
    <row r="18632" spans="1:4" x14ac:dyDescent="0.25">
      <c r="A18632" t="str">
        <f>HYPERLINK("https://www.773grp.com/globalSearch/PBSS8110Z135/page-1", "PBSS8110Z135")</f>
        <v>PBSS8110Z135</v>
      </c>
      <c r="B18632" s="3" t="str">
        <f>HYPERLINK("https://www.773grp.com/manufacturer/nxp-semiconductor?pageNo=10", "NXP Semiconductors")</f>
        <v>NXP Semiconductors</v>
      </c>
      <c r="C18632" s="6">
        <v>12930</v>
      </c>
      <c r="D18632" s="7">
        <v>0.95</v>
      </c>
    </row>
    <row r="18633" spans="1:4" x14ac:dyDescent="0.25">
      <c r="A18633" t="str">
        <f>HYPERLINK("https://www.773grp.com/globalSearch/PCT2075D118/page-1", "PCT2075D118")</f>
        <v>PCT2075D118</v>
      </c>
      <c r="B18633" s="3" t="str">
        <f>HYPERLINK("https://www.773grp.com/manufacturer/nxp-semiconductor?pageNo=11", "NXP Semiconductors")</f>
        <v>NXP Semiconductors</v>
      </c>
      <c r="C18633" s="6">
        <v>47</v>
      </c>
      <c r="D18633" s="7">
        <v>0.95</v>
      </c>
    </row>
    <row r="18634" spans="1:4" x14ac:dyDescent="0.25">
      <c r="A18634" t="str">
        <f>HYPERLINK("https://www.773grp.com/globalSearch/PCT2075TP147/page-1", "PCT2075TP147")</f>
        <v>PCT2075TP147</v>
      </c>
      <c r="B18634" s="3" t="str">
        <f>HYPERLINK("https://www.773grp.com/manufacturer/nxp-semiconductor?pageNo=12", "NXP Semiconductors")</f>
        <v>NXP Semiconductors</v>
      </c>
      <c r="C18634" s="6">
        <v>59</v>
      </c>
      <c r="D18634" s="7">
        <v>0.95</v>
      </c>
    </row>
    <row r="18635" spans="1:4" x14ac:dyDescent="0.25">
      <c r="A18635" t="str">
        <f>HYPERLINK("https://www.773grp.com/globalSearch/PMDPB38UNE115/page-1", "PMDPB38UNE115")</f>
        <v>PMDPB38UNE115</v>
      </c>
      <c r="B18635" s="3" t="str">
        <f>HYPERLINK("https://www.773grp.com/manufacturer/nxp-semiconductor?pageNo=13", "NXP Semiconductors")</f>
        <v>NXP Semiconductors</v>
      </c>
      <c r="C18635" s="6">
        <v>2975</v>
      </c>
      <c r="D18635" s="7">
        <v>0.95</v>
      </c>
    </row>
    <row r="18636" spans="1:4" x14ac:dyDescent="0.25">
      <c r="A18636" t="str">
        <f>HYPERLINK("https://www.773grp.com/globalSearch/PMDPB80XP115/page-1", "PMDPB80XP115")</f>
        <v>PMDPB80XP115</v>
      </c>
      <c r="B18636" s="3" t="str">
        <f>HYPERLINK("https://www.773grp.com/manufacturer/nxp-semiconductor?pageNo=14", "NXP Semiconductors")</f>
        <v>NXP Semiconductors</v>
      </c>
      <c r="C18636" s="6">
        <v>2000</v>
      </c>
      <c r="D18636" s="7">
        <v>0.95</v>
      </c>
    </row>
    <row r="18637" spans="1:4" x14ac:dyDescent="0.25">
      <c r="A18637" t="str">
        <f>HYPERLINK("https://www.773grp.com/globalSearch/PMEM4020ND115/page-1", "PMEM4020ND115")</f>
        <v>PMEM4020ND115</v>
      </c>
      <c r="B18637" s="3" t="str">
        <f>HYPERLINK("https://www.773grp.com/manufacturer/nxp-semiconductor?pageNo=15", "NXP Semiconductors")</f>
        <v>NXP Semiconductors</v>
      </c>
      <c r="C18637" s="6">
        <v>3000</v>
      </c>
      <c r="D18637" s="7">
        <v>0.95</v>
      </c>
    </row>
    <row r="18638" spans="1:4" x14ac:dyDescent="0.25">
      <c r="A18638" t="str">
        <f>HYPERLINK("https://www.773grp.com/globalSearch/PSMN3R7-25YLC115/page-1", "PSMN3R7-25YLC115")</f>
        <v>PSMN3R7-25YLC115</v>
      </c>
      <c r="B18638" s="3" t="str">
        <f>HYPERLINK("https://www.773grp.com/manufacturer/nxp-semiconductor?pageNo=16", "NXP Semiconductors")</f>
        <v>NXP Semiconductors</v>
      </c>
      <c r="C18638" s="6">
        <v>7192</v>
      </c>
      <c r="D18638" s="7">
        <v>0.95</v>
      </c>
    </row>
    <row r="18639" spans="1:4" x14ac:dyDescent="0.25">
      <c r="A18639" t="str">
        <f>HYPERLINK("https://www.773grp.com/globalSearch/PSMN4R1-30YLC115/page-1", "PSMN4R1-30YLC115")</f>
        <v>PSMN4R1-30YLC115</v>
      </c>
      <c r="B18639" s="3" t="str">
        <f>HYPERLINK("https://www.773grp.com/manufacturer/nxp-semiconductor?pageNo=17", "NXP Semiconductors")</f>
        <v>NXP Semiconductors</v>
      </c>
      <c r="C18639" s="6">
        <v>2154</v>
      </c>
      <c r="D18639" s="7">
        <v>0.95</v>
      </c>
    </row>
    <row r="18640" spans="1:4" x14ac:dyDescent="0.25">
      <c r="A18640" t="str">
        <f>HYPERLINK("https://www.773grp.com/globalSearch/PSMN6R0-30YL115/page-1", "PSMN6R0-30YL115")</f>
        <v>PSMN6R0-30YL115</v>
      </c>
      <c r="B18640" s="3" t="str">
        <f>HYPERLINK("https://www.773grp.com/manufacturer/nxp-semiconductor?pageNo=18", "NXP Semiconductors")</f>
        <v>NXP Semiconductors</v>
      </c>
      <c r="C18640" s="6">
        <v>1500</v>
      </c>
      <c r="D18640" s="7">
        <v>0.95</v>
      </c>
    </row>
    <row r="18641" spans="1:4" x14ac:dyDescent="0.25">
      <c r="A18641" t="str">
        <f>HYPERLINK("https://www.773grp.com/globalSearch/74ABT245D602/page-1", "74ABT245D602")</f>
        <v>74ABT245D602</v>
      </c>
      <c r="B18641" s="3" t="str">
        <f>HYPERLINK("https://www.773grp.com/manufacturer/nxp-semiconductor?pageNo=19", "NXP Semiconductors")</f>
        <v>NXP Semiconductors</v>
      </c>
      <c r="C18641" s="6">
        <v>2926</v>
      </c>
      <c r="D18641" s="7">
        <v>1</v>
      </c>
    </row>
    <row r="18642" spans="1:4" x14ac:dyDescent="0.25">
      <c r="A18642" t="str">
        <f>HYPERLINK("https://www.773grp.com/globalSearch/74AHCT164D112/page-1", "74AHCT164D112")</f>
        <v>74AHCT164D112</v>
      </c>
      <c r="B18642" s="3" t="str">
        <f>HYPERLINK("https://www.773grp.com/manufacturer/nxp-semiconductor?pageNo=20", "NXP Semiconductors")</f>
        <v>NXP Semiconductors</v>
      </c>
      <c r="C18642" s="6">
        <v>1140</v>
      </c>
      <c r="D18642" s="7">
        <v>1</v>
      </c>
    </row>
    <row r="18643" spans="1:4" x14ac:dyDescent="0.25">
      <c r="A18643" t="str">
        <f>HYPERLINK("https://www.773grp.com/globalSearch/74ALVC244BQ115/page-1", "74ALVC244BQ115")</f>
        <v>74ALVC244BQ115</v>
      </c>
      <c r="B18643" s="3" t="str">
        <f>HYPERLINK("https://www.773grp.com/manufacturer/nxp-semiconductor?pageNo=21", "NXP Semiconductors")</f>
        <v>NXP Semiconductors</v>
      </c>
      <c r="C18643" s="6">
        <v>8883</v>
      </c>
      <c r="D18643" s="7">
        <v>1</v>
      </c>
    </row>
    <row r="18644" spans="1:4" x14ac:dyDescent="0.25">
      <c r="A18644" t="str">
        <f>HYPERLINK("https://www.773grp.com/globalSearch/74AUP1G57GF132/page-1", "74AUP1G57GF132")</f>
        <v>74AUP1G57GF132</v>
      </c>
      <c r="B18644" s="3" t="str">
        <f>HYPERLINK("https://www.773grp.com/manufacturer/nxp-semiconductor?pageNo=22", "NXP Semiconductors")</f>
        <v>NXP Semiconductors</v>
      </c>
      <c r="C18644" s="6">
        <v>10000</v>
      </c>
      <c r="D18644" s="7">
        <v>1</v>
      </c>
    </row>
    <row r="18645" spans="1:4" x14ac:dyDescent="0.25">
      <c r="A18645" t="str">
        <f>HYPERLINK("https://www.773grp.com/globalSearch/74AUP2G04GW125/page-1", "74AUP2G04GW125")</f>
        <v>74AUP2G04GW125</v>
      </c>
      <c r="B18645" s="3" t="str">
        <f>HYPERLINK("https://www.773grp.com/manufacturer/nxp-semiconductor?pageNo=23", "NXP Semiconductors")</f>
        <v>NXP Semiconductors</v>
      </c>
      <c r="C18645" s="6">
        <v>9015</v>
      </c>
      <c r="D18645" s="7">
        <v>1</v>
      </c>
    </row>
    <row r="18646" spans="1:4" x14ac:dyDescent="0.25">
      <c r="A18646" t="str">
        <f>HYPERLINK("https://www.773grp.com/globalSearch/74AUP2G07GW125/page-1", "74AUP2G07GW125")</f>
        <v>74AUP2G07GW125</v>
      </c>
      <c r="B18646" s="3" t="str">
        <f>HYPERLINK("https://www.773grp.com/manufacturer/nxp-semiconductor?pageNo=24", "NXP Semiconductors")</f>
        <v>NXP Semiconductors</v>
      </c>
      <c r="C18646" s="6">
        <v>18428</v>
      </c>
      <c r="D18646" s="7">
        <v>1</v>
      </c>
    </row>
    <row r="18647" spans="1:4" x14ac:dyDescent="0.25">
      <c r="A18647" t="str">
        <f>HYPERLINK("https://www.773grp.com/globalSearch/74AUP2G14GW125/page-1", "74AUP2G14GW125")</f>
        <v>74AUP2G14GW125</v>
      </c>
      <c r="B18647" s="3" t="str">
        <f>HYPERLINK("https://www.773grp.com/manufacturer/nxp-semiconductor?pageNo=25", "NXP Semiconductors")</f>
        <v>NXP Semiconductors</v>
      </c>
      <c r="C18647" s="6">
        <v>7452</v>
      </c>
      <c r="D18647" s="7">
        <v>1</v>
      </c>
    </row>
    <row r="18648" spans="1:4" x14ac:dyDescent="0.25">
      <c r="A18648" t="str">
        <f>HYPERLINK("https://www.773grp.com/globalSearch/74AUP2G34GW125/page-1", "74AUP2G34GW125")</f>
        <v>74AUP2G34GW125</v>
      </c>
      <c r="B18648" s="3" t="str">
        <f>HYPERLINK("https://www.773grp.com/manufacturer/nxp-semiconductor?pageNo=26", "NXP Semiconductors")</f>
        <v>NXP Semiconductors</v>
      </c>
      <c r="C18648" s="6">
        <v>3100</v>
      </c>
      <c r="D18648" s="7">
        <v>1</v>
      </c>
    </row>
    <row r="18649" spans="1:4" x14ac:dyDescent="0.25">
      <c r="A18649" t="str">
        <f>HYPERLINK("https://www.773grp.com/globalSearch/74AUP2GU04GW125/page-1", "74AUP2GU04GW125")</f>
        <v>74AUP2GU04GW125</v>
      </c>
      <c r="B18649" s="3" t="str">
        <f>HYPERLINK("https://www.773grp.com/manufacturer/nxp-semiconductor?pageNo=27", "NXP Semiconductors")</f>
        <v>NXP Semiconductors</v>
      </c>
      <c r="C18649" s="6">
        <v>51000</v>
      </c>
      <c r="D18649" s="7">
        <v>1</v>
      </c>
    </row>
    <row r="18650" spans="1:4" x14ac:dyDescent="0.25">
      <c r="A18650" t="str">
        <f>HYPERLINK("https://www.773grp.com/globalSearch/74HC137DB112/page-1", "74HC137DB112")</f>
        <v>74HC137DB112</v>
      </c>
      <c r="B18650" s="3" t="str">
        <f>HYPERLINK("https://www.773grp.com/manufacturer/nxp-semiconductor?pageNo=28", "NXP Semiconductors")</f>
        <v>NXP Semiconductors</v>
      </c>
      <c r="C18650" s="6">
        <v>1094</v>
      </c>
      <c r="D18650" s="7">
        <v>1</v>
      </c>
    </row>
    <row r="18651" spans="1:4" x14ac:dyDescent="0.25">
      <c r="A18651" t="str">
        <f>HYPERLINK("https://www.773grp.com/globalSearch/74HC21DB112/page-1", "74HC21DB112")</f>
        <v>74HC21DB112</v>
      </c>
      <c r="B18651" s="3" t="str">
        <f>HYPERLINK("https://www.773grp.com/manufacturer/nxp-semiconductor?pageNo=29", "NXP Semiconductors")</f>
        <v>NXP Semiconductors</v>
      </c>
      <c r="C18651" s="6">
        <v>6651</v>
      </c>
      <c r="D18651" s="7">
        <v>1</v>
      </c>
    </row>
    <row r="18652" spans="1:4" x14ac:dyDescent="0.25">
      <c r="A18652" t="str">
        <f>HYPERLINK("https://www.773grp.com/globalSearch/74HC4049D652/page-1", "74HC4049D652")</f>
        <v>74HC4049D652</v>
      </c>
      <c r="B18652" s="3" t="str">
        <f>HYPERLINK("https://www.773grp.com/manufacturer/nxp-semiconductor?pageNo=30", "NXP Semiconductors")</f>
        <v>NXP Semiconductors</v>
      </c>
      <c r="C18652" s="6">
        <v>73066</v>
      </c>
      <c r="D18652" s="7">
        <v>1</v>
      </c>
    </row>
    <row r="18653" spans="1:4" x14ac:dyDescent="0.25">
      <c r="A18653" t="str">
        <f>HYPERLINK("https://www.773grp.com/globalSearch/74HC4049D653/page-1", "74HC4049D653")</f>
        <v>74HC4049D653</v>
      </c>
      <c r="B18653" s="3" t="str">
        <f>HYPERLINK("https://www.773grp.com/manufacturer/nxp-semiconductor?pageNo=31", "NXP Semiconductors")</f>
        <v>NXP Semiconductors</v>
      </c>
      <c r="C18653" s="6">
        <v>5000</v>
      </c>
      <c r="D18653" s="7">
        <v>1</v>
      </c>
    </row>
    <row r="18654" spans="1:4" x14ac:dyDescent="0.25">
      <c r="A18654" t="str">
        <f>HYPERLINK("https://www.773grp.com/globalSearch/74HCT165BQ115/page-1", "74HCT165BQ115")</f>
        <v>74HCT165BQ115</v>
      </c>
      <c r="B18654" s="3" t="str">
        <f>HYPERLINK("https://www.773grp.com/manufacturer/nxp-semiconductor?pageNo=32", "NXP Semiconductors")</f>
        <v>NXP Semiconductors</v>
      </c>
      <c r="C18654" s="6">
        <v>2381</v>
      </c>
      <c r="D18654" s="7">
        <v>1</v>
      </c>
    </row>
    <row r="18655" spans="1:4" x14ac:dyDescent="0.25">
      <c r="A18655" t="str">
        <f>HYPERLINK("https://www.773grp.com/globalSearch/74HCT251DB112/page-1", "74HCT251DB112")</f>
        <v>74HCT251DB112</v>
      </c>
      <c r="B18655" s="3" t="str">
        <f>HYPERLINK("https://www.773grp.com/manufacturer/nxp-semiconductor?pageNo=33", "NXP Semiconductors")</f>
        <v>NXP Semiconductors</v>
      </c>
      <c r="C18655" s="6">
        <v>3280</v>
      </c>
      <c r="D18655" s="7">
        <v>1</v>
      </c>
    </row>
    <row r="18656" spans="1:4" x14ac:dyDescent="0.25">
      <c r="A18656" t="str">
        <f>HYPERLINK("https://www.773grp.com/globalSearch/74HCT251DB118/page-1", "74HCT251DB118")</f>
        <v>74HCT251DB118</v>
      </c>
      <c r="B18656" s="3" t="str">
        <f>HYPERLINK("https://www.773grp.com/manufacturer/nxp-semiconductor?pageNo=34", "NXP Semiconductors")</f>
        <v>NXP Semiconductors</v>
      </c>
      <c r="C18656" s="6">
        <v>1970</v>
      </c>
      <c r="D18656" s="7">
        <v>1</v>
      </c>
    </row>
    <row r="18657" spans="1:4" x14ac:dyDescent="0.25">
      <c r="A18657" t="str">
        <f>HYPERLINK("https://www.773grp.com/globalSearch/74HCT253DB112/page-1", "74HCT253DB112")</f>
        <v>74HCT253DB112</v>
      </c>
      <c r="B18657" s="3" t="str">
        <f>HYPERLINK("https://www.773grp.com/manufacturer/nxp-semiconductor?pageNo=35", "NXP Semiconductors")</f>
        <v>NXP Semiconductors</v>
      </c>
      <c r="C18657" s="6">
        <v>987</v>
      </c>
      <c r="D18657" s="7">
        <v>1</v>
      </c>
    </row>
    <row r="18658" spans="1:4" x14ac:dyDescent="0.25">
      <c r="A18658" t="str">
        <f>HYPERLINK("https://www.773grp.com/globalSearch/74HCT597D653/page-1", "74HCT597D653")</f>
        <v>74HCT597D653</v>
      </c>
      <c r="B18658" s="3" t="str">
        <f>HYPERLINK("https://www.773grp.com/manufacturer/nxp-semiconductor?pageNo=36", "NXP Semiconductors")</f>
        <v>NXP Semiconductors</v>
      </c>
      <c r="C18658" s="6">
        <v>65</v>
      </c>
      <c r="D18658" s="7">
        <v>1</v>
      </c>
    </row>
    <row r="18659" spans="1:4" x14ac:dyDescent="0.25">
      <c r="A18659" t="str">
        <f>HYPERLINK("https://www.773grp.com/globalSearch/74LV153D118/page-1", "74LV153D118")</f>
        <v>74LV153D118</v>
      </c>
      <c r="B18659" s="3" t="str">
        <f>HYPERLINK("https://www.773grp.com/manufacturer/nxp-semiconductor?pageNo=37", "NXP Semiconductors")</f>
        <v>NXP Semiconductors</v>
      </c>
      <c r="C18659" s="6">
        <v>5000</v>
      </c>
      <c r="D18659" s="7">
        <v>1</v>
      </c>
    </row>
    <row r="18660" spans="1:4" x14ac:dyDescent="0.25">
      <c r="A18660" t="str">
        <f>HYPERLINK("https://www.773grp.com/globalSearch/74LV153DB112/page-1", "74LV153DB112")</f>
        <v>74LV153DB112</v>
      </c>
      <c r="B18660" s="3" t="str">
        <f>HYPERLINK("https://www.773grp.com/manufacturer/nxp-semiconductor?pageNo=38", "NXP Semiconductors")</f>
        <v>NXP Semiconductors</v>
      </c>
      <c r="C18660" s="6">
        <v>4368</v>
      </c>
      <c r="D18660" s="7">
        <v>1</v>
      </c>
    </row>
    <row r="18661" spans="1:4" x14ac:dyDescent="0.25">
      <c r="A18661" t="str">
        <f>HYPERLINK("https://www.773grp.com/globalSearch/74LV153DB118/page-1", "74LV153DB118")</f>
        <v>74LV153DB118</v>
      </c>
      <c r="B18661" s="3" t="str">
        <f>HYPERLINK("https://www.773grp.com/manufacturer/nxp-semiconductor?pageNo=39", "NXP Semiconductors")</f>
        <v>NXP Semiconductors</v>
      </c>
      <c r="C18661" s="6">
        <v>8</v>
      </c>
      <c r="D18661" s="7">
        <v>1</v>
      </c>
    </row>
    <row r="18662" spans="1:4" x14ac:dyDescent="0.25">
      <c r="A18662" t="str">
        <f>HYPERLINK("https://www.773grp.com/globalSearch/74LV153PW112/page-1", "74LV153PW112")</f>
        <v>74LV153PW112</v>
      </c>
      <c r="B18662" s="3" t="str">
        <f>HYPERLINK("https://www.773grp.com/manufacturer/nxp-semiconductor?pageNo=40", "NXP Semiconductors")</f>
        <v>NXP Semiconductors</v>
      </c>
      <c r="C18662" s="6">
        <v>54</v>
      </c>
      <c r="D18662" s="7">
        <v>1</v>
      </c>
    </row>
    <row r="18663" spans="1:4" x14ac:dyDescent="0.25">
      <c r="A18663" t="str">
        <f>HYPERLINK("https://www.773grp.com/globalSearch/74LV153PW118/page-1", "74LV153PW118")</f>
        <v>74LV153PW118</v>
      </c>
      <c r="B18663" s="3" t="str">
        <f>HYPERLINK("https://www.773grp.com/manufacturer/nxp-semiconductor?pageNo=41", "NXP Semiconductors")</f>
        <v>NXP Semiconductors</v>
      </c>
      <c r="C18663" s="6">
        <v>2500</v>
      </c>
      <c r="D18663" s="7">
        <v>1</v>
      </c>
    </row>
    <row r="18664" spans="1:4" x14ac:dyDescent="0.25">
      <c r="A18664" t="str">
        <f>HYPERLINK("https://www.773grp.com/globalSearch/74LV165D112/page-1", "74LV165D112")</f>
        <v>74LV165D112</v>
      </c>
      <c r="B18664" s="3" t="str">
        <f>HYPERLINK("https://www.773grp.com/manufacturer/nxp-semiconductor?pageNo=42", "NXP Semiconductors")</f>
        <v>NXP Semiconductors</v>
      </c>
      <c r="C18664" s="6">
        <v>2960</v>
      </c>
      <c r="D18664" s="7">
        <v>1</v>
      </c>
    </row>
    <row r="18665" spans="1:4" x14ac:dyDescent="0.25">
      <c r="A18665" t="str">
        <f>HYPERLINK("https://www.773grp.com/globalSearch/74LV165D118/page-1", "74LV165D118")</f>
        <v>74LV165D118</v>
      </c>
      <c r="B18665" s="3" t="str">
        <f>HYPERLINK("https://www.773grp.com/manufacturer/nxp-semiconductor?pageNo=43", "NXP Semiconductors")</f>
        <v>NXP Semiconductors</v>
      </c>
      <c r="C18665" s="6">
        <v>5000</v>
      </c>
      <c r="D18665" s="7">
        <v>1</v>
      </c>
    </row>
    <row r="18666" spans="1:4" x14ac:dyDescent="0.25">
      <c r="A18666" t="str">
        <f>HYPERLINK("https://www.773grp.com/globalSearch/74LV4051D118/page-1", "74LV4051D118")</f>
        <v>74LV4051D118</v>
      </c>
      <c r="B18666" s="3" t="str">
        <f>HYPERLINK("https://www.773grp.com/manufacturer/nxp-semiconductor?pageNo=44", "NXP Semiconductors")</f>
        <v>NXP Semiconductors</v>
      </c>
      <c r="C18666" s="6">
        <v>3500</v>
      </c>
      <c r="D18666" s="7">
        <v>1</v>
      </c>
    </row>
    <row r="18667" spans="1:4" x14ac:dyDescent="0.25">
      <c r="A18667" t="str">
        <f>HYPERLINK("https://www.773grp.com/globalSearch/74LV4052D118/page-1", "74LV4052D118")</f>
        <v>74LV4052D118</v>
      </c>
      <c r="B18667" s="3" t="str">
        <f>HYPERLINK("https://www.773grp.com/manufacturer/nxp-semiconductor?pageNo=45", "NXP Semiconductors")</f>
        <v>NXP Semiconductors</v>
      </c>
      <c r="C18667" s="6">
        <v>2500</v>
      </c>
      <c r="D18667" s="7">
        <v>1</v>
      </c>
    </row>
    <row r="18668" spans="1:4" x14ac:dyDescent="0.25">
      <c r="A18668" t="str">
        <f>HYPERLINK("https://www.773grp.com/globalSearch/74LV4052DB118/page-1", "74LV4052DB118")</f>
        <v>74LV4052DB118</v>
      </c>
      <c r="B18668" s="3" t="str">
        <f>HYPERLINK("https://www.773grp.com/manufacturer/nxp-semiconductor?pageNo=46", "NXP Semiconductors")</f>
        <v>NXP Semiconductors</v>
      </c>
      <c r="C18668" s="6">
        <v>3630</v>
      </c>
      <c r="D18668" s="7">
        <v>1</v>
      </c>
    </row>
    <row r="18669" spans="1:4" x14ac:dyDescent="0.25">
      <c r="A18669" t="str">
        <f>HYPERLINK("https://www.773grp.com/globalSearch/74LV4053D118/page-1", "74LV4053D118")</f>
        <v>74LV4053D118</v>
      </c>
      <c r="B18669" s="3" t="str">
        <f>HYPERLINK("https://www.773grp.com/manufacturer/nxp-semiconductor?pageNo=47", "NXP Semiconductors")</f>
        <v>NXP Semiconductors</v>
      </c>
      <c r="C18669" s="6">
        <v>7500</v>
      </c>
      <c r="D18669" s="7">
        <v>1</v>
      </c>
    </row>
    <row r="18670" spans="1:4" x14ac:dyDescent="0.25">
      <c r="A18670" t="str">
        <f>HYPERLINK("https://www.773grp.com/globalSearch/74LV4053DB112/page-1", "74LV4053DB112")</f>
        <v>74LV4053DB112</v>
      </c>
      <c r="B18670" s="3" t="str">
        <f>HYPERLINK("https://www.773grp.com/manufacturer/nxp-semiconductor?pageNo=48", "NXP Semiconductors")</f>
        <v>NXP Semiconductors</v>
      </c>
      <c r="C18670" s="6">
        <v>2184</v>
      </c>
      <c r="D18670" s="7">
        <v>1</v>
      </c>
    </row>
    <row r="18671" spans="1:4" x14ac:dyDescent="0.25">
      <c r="A18671" t="str">
        <f>HYPERLINK("https://www.773grp.com/globalSearch/74LVC377PW118/page-1", "74LVC377PW118")</f>
        <v>74LVC377PW118</v>
      </c>
      <c r="B18671" s="3" t="str">
        <f>HYPERLINK("https://www.773grp.com/manufacturer/nxp-semiconductor?pageNo=1", "NXP Semiconductors")</f>
        <v>NXP Semiconductors</v>
      </c>
      <c r="C18671" s="6">
        <v>3557</v>
      </c>
      <c r="D18671" s="7">
        <v>1</v>
      </c>
    </row>
    <row r="18672" spans="1:4" x14ac:dyDescent="0.25">
      <c r="A18672" t="str">
        <f>HYPERLINK("https://www.773grp.com/globalSearch/74LVT245BD112/page-1", "74LVT245BD112")</f>
        <v>74LVT245BD112</v>
      </c>
      <c r="B18672" s="3" t="str">
        <f>HYPERLINK("https://www.773grp.com/manufacturer/nxp-semiconductor?pageNo=2", "NXP Semiconductors")</f>
        <v>NXP Semiconductors</v>
      </c>
      <c r="C18672" s="6">
        <v>10659</v>
      </c>
      <c r="D18672" s="7">
        <v>1</v>
      </c>
    </row>
    <row r="18673" spans="1:4" x14ac:dyDescent="0.25">
      <c r="A18673" t="str">
        <f>HYPERLINK("https://www.773grp.com/globalSearch/74LVT245D112/page-1", "74LVT245D112")</f>
        <v>74LVT245D112</v>
      </c>
      <c r="B18673" s="3" t="str">
        <f>HYPERLINK("https://www.773grp.com/manufacturer/nxp-semiconductor?pageNo=3", "NXP Semiconductors")</f>
        <v>NXP Semiconductors</v>
      </c>
      <c r="C18673" s="6">
        <v>14528</v>
      </c>
      <c r="D18673" s="7">
        <v>1</v>
      </c>
    </row>
    <row r="18674" spans="1:4" x14ac:dyDescent="0.25">
      <c r="A18674" t="str">
        <f>HYPERLINK("https://www.773grp.com/globalSearch/ACTT4S-800E118/page-1", "ACTT4S-800E118")</f>
        <v>ACTT4S-800E118</v>
      </c>
      <c r="B18674" s="3" t="str">
        <f>HYPERLINK("https://www.773grp.com/manufacturer/nxp-semiconductor?pageNo=4", "NXP Semiconductors")</f>
        <v>NXP Semiconductors</v>
      </c>
      <c r="C18674" s="6">
        <v>2500</v>
      </c>
      <c r="D18674" s="7">
        <v>1</v>
      </c>
    </row>
    <row r="18675" spans="1:4" x14ac:dyDescent="0.25">
      <c r="A18675" t="str">
        <f>HYPERLINK("https://www.773grp.com/globalSearch/BB184115/page-1", "BB184115")</f>
        <v>BB184115</v>
      </c>
      <c r="B18675" s="3" t="str">
        <f>HYPERLINK("https://www.773grp.com/manufacturer/nxp-semiconductor?pageNo=5", "NXP Semiconductors")</f>
        <v>NXP Semiconductors</v>
      </c>
      <c r="C18675" s="6">
        <v>1</v>
      </c>
      <c r="D18675" s="7">
        <v>1</v>
      </c>
    </row>
    <row r="18676" spans="1:4" x14ac:dyDescent="0.25">
      <c r="A18676" t="str">
        <f>HYPERLINK("https://www.773grp.com/globalSearch/BF510215/page-1", "BF510215")</f>
        <v>BF510215</v>
      </c>
      <c r="B18676" s="3" t="str">
        <f>HYPERLINK("https://www.773grp.com/manufacturer/nxp-semiconductor?pageNo=6", "NXP Semiconductors")</f>
        <v>NXP Semiconductors</v>
      </c>
      <c r="C18676" s="6">
        <v>3119</v>
      </c>
      <c r="D18676" s="7">
        <v>1</v>
      </c>
    </row>
    <row r="18677" spans="1:4" x14ac:dyDescent="0.25">
      <c r="A18677" t="str">
        <f>HYPERLINK("https://www.773grp.com/globalSearch/BF511215/page-1", "BF511215")</f>
        <v>BF511215</v>
      </c>
      <c r="B18677" s="3" t="str">
        <f>HYPERLINK("https://www.773grp.com/manufacturer/nxp-semiconductor?pageNo=7", "NXP Semiconductors")</f>
        <v>NXP Semiconductors</v>
      </c>
      <c r="C18677" s="6">
        <v>6000</v>
      </c>
      <c r="D18677" s="7">
        <v>1</v>
      </c>
    </row>
    <row r="18678" spans="1:4" x14ac:dyDescent="0.25">
      <c r="A18678" t="str">
        <f>HYPERLINK("https://www.773grp.com/globalSearch/BF620115/page-1", "BF620115")</f>
        <v>BF620115</v>
      </c>
      <c r="B18678" s="3" t="str">
        <f>HYPERLINK("https://www.773grp.com/manufacturer/nxp-semiconductor?pageNo=8", "NXP Semiconductors")</f>
        <v>NXP Semiconductors</v>
      </c>
      <c r="C18678" s="6">
        <v>9000</v>
      </c>
      <c r="D18678" s="7">
        <v>1</v>
      </c>
    </row>
    <row r="18679" spans="1:4" x14ac:dyDescent="0.25">
      <c r="A18679" t="str">
        <f>HYPERLINK("https://www.773grp.com/globalSearch/BF621115/page-1", "BF621115")</f>
        <v>BF621115</v>
      </c>
      <c r="B18679" s="3" t="str">
        <f>HYPERLINK("https://www.773grp.com/manufacturer/nxp-semiconductor?pageNo=9", "NXP Semiconductors")</f>
        <v>NXP Semiconductors</v>
      </c>
      <c r="C18679" s="6">
        <v>6000</v>
      </c>
      <c r="D18679" s="7">
        <v>1</v>
      </c>
    </row>
    <row r="18680" spans="1:4" x14ac:dyDescent="0.25">
      <c r="A18680" t="str">
        <f>HYPERLINK("https://www.773grp.com/globalSearch/BF623115/page-1", "BF623115")</f>
        <v>BF623115</v>
      </c>
      <c r="B18680" s="3" t="str">
        <f>HYPERLINK("https://www.773grp.com/manufacturer/nxp-semiconductor?pageNo=10", "NXP Semiconductors")</f>
        <v>NXP Semiconductors</v>
      </c>
      <c r="C18680" s="6">
        <v>300</v>
      </c>
      <c r="D18680" s="7">
        <v>1</v>
      </c>
    </row>
    <row r="18681" spans="1:4" x14ac:dyDescent="0.25">
      <c r="A18681" t="str">
        <f>HYPERLINK("https://www.773grp.com/globalSearch/BFG25AW-X115/page-1", "BFG25AW-X115")</f>
        <v>BFG25AW-X115</v>
      </c>
      <c r="B18681" s="3" t="str">
        <f>HYPERLINK("https://www.773grp.com/manufacturer/nxp-semiconductor?pageNo=11", "NXP Semiconductors")</f>
        <v>NXP Semiconductors</v>
      </c>
      <c r="C18681" s="6">
        <v>724</v>
      </c>
      <c r="D18681" s="7">
        <v>1</v>
      </c>
    </row>
    <row r="18682" spans="1:4" x14ac:dyDescent="0.25">
      <c r="A18682" t="str">
        <f>HYPERLINK("https://www.773grp.com/globalSearch/BGA2002115/page-1", "BGA2002115")</f>
        <v>BGA2002115</v>
      </c>
      <c r="B18682" s="3" t="str">
        <f>HYPERLINK("https://www.773grp.com/manufacturer/nxp-semiconductor?pageNo=12", "NXP Semiconductors")</f>
        <v>NXP Semiconductors</v>
      </c>
      <c r="C18682" s="6">
        <v>6000</v>
      </c>
      <c r="D18682" s="7">
        <v>1</v>
      </c>
    </row>
    <row r="18683" spans="1:4" x14ac:dyDescent="0.25">
      <c r="A18683" t="str">
        <f>HYPERLINK("https://www.773grp.com/globalSearch/BSP50115/page-1", "BSP50115")</f>
        <v>BSP50115</v>
      </c>
      <c r="B18683" s="3" t="str">
        <f>HYPERLINK("https://www.773grp.com/manufacturer/nxp-semiconductor?pageNo=13", "NXP Semiconductors")</f>
        <v>NXP Semiconductors</v>
      </c>
      <c r="C18683" s="6">
        <v>19000</v>
      </c>
      <c r="D18683" s="7">
        <v>1</v>
      </c>
    </row>
    <row r="18684" spans="1:4" x14ac:dyDescent="0.25">
      <c r="A18684" t="str">
        <f>HYPERLINK("https://www.773grp.com/globalSearch/BSP51115/page-1", "BSP51115")</f>
        <v>BSP51115</v>
      </c>
      <c r="B18684" s="3" t="str">
        <f>HYPERLINK("https://www.773grp.com/manufacturer/nxp-semiconductor?pageNo=14", "NXP Semiconductors")</f>
        <v>NXP Semiconductors</v>
      </c>
      <c r="C18684" s="6">
        <v>4000</v>
      </c>
      <c r="D18684" s="7">
        <v>1</v>
      </c>
    </row>
    <row r="18685" spans="1:4" x14ac:dyDescent="0.25">
      <c r="A18685" t="str">
        <f>HYPERLINK("https://www.773grp.com/globalSearch/BSP52115/page-1", "BSP52115")</f>
        <v>BSP52115</v>
      </c>
      <c r="B18685" s="3" t="str">
        <f>HYPERLINK("https://www.773grp.com/manufacturer/nxp-semiconductor?pageNo=15", "NXP Semiconductors")</f>
        <v>NXP Semiconductors</v>
      </c>
      <c r="C18685" s="6">
        <v>19116</v>
      </c>
      <c r="D18685" s="7">
        <v>1</v>
      </c>
    </row>
    <row r="18686" spans="1:4" x14ac:dyDescent="0.25">
      <c r="A18686" t="str">
        <f>HYPERLINK("https://www.773grp.com/globalSearch/BSP60115/page-1", "BSP60115")</f>
        <v>BSP60115</v>
      </c>
      <c r="B18686" s="3" t="str">
        <f>HYPERLINK("https://www.773grp.com/manufacturer/nxp-semiconductor?pageNo=16", "NXP Semiconductors")</f>
        <v>NXP Semiconductors</v>
      </c>
      <c r="C18686" s="6">
        <v>4000</v>
      </c>
      <c r="D18686" s="7">
        <v>1</v>
      </c>
    </row>
    <row r="18687" spans="1:4" x14ac:dyDescent="0.25">
      <c r="A18687" t="str">
        <f>HYPERLINK("https://www.773grp.com/globalSearch/BSP61115/page-1", "BSP61115")</f>
        <v>BSP61115</v>
      </c>
      <c r="B18687" s="3" t="str">
        <f>HYPERLINK("https://www.773grp.com/manufacturer/nxp-semiconductor?pageNo=17", "NXP Semiconductors")</f>
        <v>NXP Semiconductors</v>
      </c>
      <c r="C18687" s="6">
        <v>12000</v>
      </c>
      <c r="D18687" s="7">
        <v>1</v>
      </c>
    </row>
    <row r="18688" spans="1:4" x14ac:dyDescent="0.25">
      <c r="A18688" t="str">
        <f>HYPERLINK("https://www.773grp.com/globalSearch/BSP62115/page-1", "BSP62115")</f>
        <v>BSP62115</v>
      </c>
      <c r="B18688" s="3" t="str">
        <f>HYPERLINK("https://www.773grp.com/manufacturer/nxp-semiconductor?pageNo=18", "NXP Semiconductors")</f>
        <v>NXP Semiconductors</v>
      </c>
      <c r="C18688" s="6">
        <v>13000</v>
      </c>
      <c r="D18688" s="7">
        <v>1</v>
      </c>
    </row>
    <row r="18689" spans="1:4" x14ac:dyDescent="0.25">
      <c r="A18689" t="str">
        <f>HYPERLINK("https://www.773grp.com/globalSearch/BSR33115/page-1", "BSR33115")</f>
        <v>BSR33115</v>
      </c>
      <c r="B18689" s="3" t="str">
        <f>HYPERLINK("https://www.773grp.com/manufacturer/nxp-semiconductor?pageNo=19", "NXP Semiconductors")</f>
        <v>NXP Semiconductors</v>
      </c>
      <c r="C18689" s="6">
        <v>1290</v>
      </c>
      <c r="D18689" s="7">
        <v>1</v>
      </c>
    </row>
    <row r="18690" spans="1:4" x14ac:dyDescent="0.25">
      <c r="A18690" t="str">
        <f>HYPERLINK("https://www.773grp.com/globalSearch/BSR33135/page-1", "BSR33135")</f>
        <v>BSR33135</v>
      </c>
      <c r="B18690" s="3" t="str">
        <f>HYPERLINK("https://www.773grp.com/manufacturer/nxp-semiconductor?pageNo=20", "NXP Semiconductors")</f>
        <v>NXP Semiconductors</v>
      </c>
      <c r="C18690" s="6">
        <v>4000</v>
      </c>
      <c r="D18690" s="7">
        <v>1</v>
      </c>
    </row>
    <row r="18691" spans="1:4" x14ac:dyDescent="0.25">
      <c r="A18691" t="str">
        <f>HYPERLINK("https://www.773grp.com/globalSearch/BSR41115/page-1", "BSR41115")</f>
        <v>BSR41115</v>
      </c>
      <c r="B18691" s="3" t="str">
        <f>HYPERLINK("https://www.773grp.com/manufacturer/nxp-semiconductor?pageNo=21", "NXP Semiconductors")</f>
        <v>NXP Semiconductors</v>
      </c>
      <c r="C18691" s="6">
        <v>6000</v>
      </c>
      <c r="D18691" s="7">
        <v>1</v>
      </c>
    </row>
    <row r="18692" spans="1:4" x14ac:dyDescent="0.25">
      <c r="A18692" t="str">
        <f>HYPERLINK("https://www.773grp.com/globalSearch/BSR43115/page-1", "BSR43115")</f>
        <v>BSR43115</v>
      </c>
      <c r="B18692" s="3" t="str">
        <f>HYPERLINK("https://www.773grp.com/manufacturer/nxp-semiconductor?pageNo=22", "NXP Semiconductors")</f>
        <v>NXP Semiconductors</v>
      </c>
      <c r="C18692" s="6">
        <v>3000</v>
      </c>
      <c r="D18692" s="7">
        <v>1</v>
      </c>
    </row>
    <row r="18693" spans="1:4" x14ac:dyDescent="0.25">
      <c r="A18693" t="str">
        <f>HYPERLINK("https://www.773grp.com/globalSearch/BSS83215/page-1", "BSS83215")</f>
        <v>BSS83215</v>
      </c>
      <c r="B18693" s="3" t="str">
        <f>HYPERLINK("https://www.773grp.com/manufacturer/nxp-semiconductor?pageNo=23", "NXP Semiconductors")</f>
        <v>NXP Semiconductors</v>
      </c>
      <c r="C18693" s="6">
        <v>90000</v>
      </c>
      <c r="D18693" s="7">
        <v>1</v>
      </c>
    </row>
    <row r="18694" spans="1:4" x14ac:dyDescent="0.25">
      <c r="A18694" t="str">
        <f>HYPERLINK("https://www.773grp.com/globalSearch/BT151-500C127/page-1", "BT151-500C127")</f>
        <v>BT151-500C127</v>
      </c>
      <c r="B18694" s="3" t="str">
        <f>HYPERLINK("https://www.773grp.com/manufacturer/nxp-semiconductor?pageNo=24", "NXP Semiconductors")</f>
        <v>NXP Semiconductors</v>
      </c>
      <c r="C18694" s="6">
        <v>200</v>
      </c>
      <c r="D18694" s="7">
        <v>1</v>
      </c>
    </row>
    <row r="18695" spans="1:4" x14ac:dyDescent="0.25">
      <c r="A18695" t="str">
        <f>HYPERLINK("https://www.773grp.com/globalSearch/BT151-500L127/page-1", "BT151-500L127")</f>
        <v>BT151-500L127</v>
      </c>
      <c r="B18695" s="3" t="str">
        <f>HYPERLINK("https://www.773grp.com/manufacturer/nxp-semiconductor?pageNo=25", "NXP Semiconductors")</f>
        <v>NXP Semiconductors</v>
      </c>
      <c r="C18695" s="6">
        <v>12875</v>
      </c>
      <c r="D18695" s="7">
        <v>1</v>
      </c>
    </row>
    <row r="18696" spans="1:4" x14ac:dyDescent="0.25">
      <c r="A18696" t="str">
        <f>HYPERLINK("https://www.773grp.com/globalSearch/BT151-500R127/page-1", "BT151-500R127")</f>
        <v>BT151-500R127</v>
      </c>
      <c r="B18696" s="3" t="str">
        <f>HYPERLINK("https://www.773grp.com/manufacturer/nxp-semiconductor?pageNo=26", "NXP Semiconductors")</f>
        <v>NXP Semiconductors</v>
      </c>
      <c r="C18696" s="6">
        <v>23100</v>
      </c>
      <c r="D18696" s="7">
        <v>1</v>
      </c>
    </row>
    <row r="18697" spans="1:4" x14ac:dyDescent="0.25">
      <c r="A18697" t="str">
        <f>HYPERLINK("https://www.773grp.com/globalSearch/BT151-650C127/page-1", "BT151-650C127")</f>
        <v>BT151-650C127</v>
      </c>
      <c r="B18697" s="3" t="str">
        <f>HYPERLINK("https://www.773grp.com/manufacturer/nxp-semiconductor?pageNo=27", "NXP Semiconductors")</f>
        <v>NXP Semiconductors</v>
      </c>
      <c r="C18697" s="6">
        <v>3790</v>
      </c>
      <c r="D18697" s="7">
        <v>1</v>
      </c>
    </row>
    <row r="18698" spans="1:4" x14ac:dyDescent="0.25">
      <c r="A18698" t="str">
        <f>HYPERLINK("https://www.773grp.com/globalSearch/BT151-650L127/page-1", "BT151-650L127")</f>
        <v>BT151-650L127</v>
      </c>
      <c r="B18698" s="3" t="str">
        <f>HYPERLINK("https://www.773grp.com/manufacturer/nxp-semiconductor?pageNo=28", "NXP Semiconductors")</f>
        <v>NXP Semiconductors</v>
      </c>
      <c r="C18698" s="6">
        <v>110000</v>
      </c>
      <c r="D18698" s="7">
        <v>1</v>
      </c>
    </row>
    <row r="18699" spans="1:4" x14ac:dyDescent="0.25">
      <c r="A18699" t="str">
        <f>HYPERLINK("https://www.773grp.com/globalSearch/BT151-650R127/page-1", "BT151-650R127")</f>
        <v>BT151-650R127</v>
      </c>
      <c r="B18699" s="3" t="str">
        <f>HYPERLINK("https://www.773grp.com/manufacturer/nxp-semiconductor?pageNo=29", "NXP Semiconductors")</f>
        <v>NXP Semiconductors</v>
      </c>
      <c r="C18699" s="6">
        <v>4509</v>
      </c>
      <c r="D18699" s="7">
        <v>1</v>
      </c>
    </row>
    <row r="18700" spans="1:4" x14ac:dyDescent="0.25">
      <c r="A18700" t="str">
        <f>HYPERLINK("https://www.773grp.com/globalSearch/BT151S-500R118/page-1", "BT151S-500R118")</f>
        <v>BT151S-500R118</v>
      </c>
      <c r="B18700" s="3" t="str">
        <f>HYPERLINK("https://www.773grp.com/manufacturer/nxp-semiconductor?pageNo=30", "NXP Semiconductors")</f>
        <v>NXP Semiconductors</v>
      </c>
      <c r="C18700" s="6">
        <v>20939</v>
      </c>
      <c r="D18700" s="7">
        <v>1</v>
      </c>
    </row>
    <row r="18701" spans="1:4" x14ac:dyDescent="0.25">
      <c r="A18701" t="str">
        <f>HYPERLINK("https://www.773grp.com/globalSearch/BT151S-650L118/page-1", "BT151S-650L118")</f>
        <v>BT151S-650L118</v>
      </c>
      <c r="B18701" s="3" t="str">
        <f>HYPERLINK("https://www.773grp.com/manufacturer/nxp-semiconductor?pageNo=31", "NXP Semiconductors")</f>
        <v>NXP Semiconductors</v>
      </c>
      <c r="C18701" s="6">
        <v>150</v>
      </c>
      <c r="D18701" s="7">
        <v>1</v>
      </c>
    </row>
    <row r="18702" spans="1:4" x14ac:dyDescent="0.25">
      <c r="A18702" t="str">
        <f>HYPERLINK("https://www.773grp.com/globalSearch/BT151S-650R118/page-1", "BT151S-650R118")</f>
        <v>BT151S-650R118</v>
      </c>
      <c r="B18702" s="3" t="str">
        <f>HYPERLINK("https://www.773grp.com/manufacturer/nxp-semiconductor?pageNo=32", "NXP Semiconductors")</f>
        <v>NXP Semiconductors</v>
      </c>
      <c r="C18702" s="6">
        <v>29142</v>
      </c>
      <c r="D18702" s="7">
        <v>1</v>
      </c>
    </row>
    <row r="18703" spans="1:4" x14ac:dyDescent="0.25">
      <c r="A18703" t="str">
        <f>HYPERLINK("https://www.773grp.com/globalSearch/BT151U-650C127/page-1", "BT151U-650C127")</f>
        <v>BT151U-650C127</v>
      </c>
      <c r="B18703" s="3" t="str">
        <f>HYPERLINK("https://www.773grp.com/manufacturer/nxp-semiconductor?pageNo=33", "NXP Semiconductors")</f>
        <v>NXP Semiconductors</v>
      </c>
      <c r="C18703" s="6">
        <v>3750</v>
      </c>
      <c r="D18703" s="7">
        <v>1</v>
      </c>
    </row>
    <row r="18704" spans="1:4" x14ac:dyDescent="0.25">
      <c r="A18704" t="str">
        <f>HYPERLINK("https://www.773grp.com/globalSearch/BT151X-500C127/page-1", "BT151X-500C127")</f>
        <v>BT151X-500C127</v>
      </c>
      <c r="B18704" s="3" t="str">
        <f>HYPERLINK("https://www.773grp.com/manufacturer/nxp-semiconductor?pageNo=34", "NXP Semiconductors")</f>
        <v>NXP Semiconductors</v>
      </c>
      <c r="C18704" s="6">
        <v>1850</v>
      </c>
      <c r="D18704" s="7">
        <v>1</v>
      </c>
    </row>
    <row r="18705" spans="1:4" x14ac:dyDescent="0.25">
      <c r="A18705" t="str">
        <f>HYPERLINK("https://www.773grp.com/globalSearch/BT151X-500R127/page-1", "BT151X-500R127")</f>
        <v>BT151X-500R127</v>
      </c>
      <c r="B18705" s="3" t="str">
        <f>HYPERLINK("https://www.773grp.com/manufacturer/nxp-semiconductor?pageNo=35", "NXP Semiconductors")</f>
        <v>NXP Semiconductors</v>
      </c>
      <c r="C18705" s="6">
        <v>4064</v>
      </c>
      <c r="D18705" s="7">
        <v>1</v>
      </c>
    </row>
    <row r="18706" spans="1:4" x14ac:dyDescent="0.25">
      <c r="A18706" t="str">
        <f>HYPERLINK("https://www.773grp.com/globalSearch/BT151X-650C127/page-1", "BT151X-650C127")</f>
        <v>BT151X-650C127</v>
      </c>
      <c r="B18706" s="3" t="str">
        <f>HYPERLINK("https://www.773grp.com/manufacturer/nxp-semiconductor?pageNo=36", "NXP Semiconductors")</f>
        <v>NXP Semiconductors</v>
      </c>
      <c r="C18706" s="6">
        <v>150</v>
      </c>
      <c r="D18706" s="7">
        <v>1</v>
      </c>
    </row>
    <row r="18707" spans="1:4" x14ac:dyDescent="0.25">
      <c r="A18707" t="str">
        <f>HYPERLINK("https://www.773grp.com/globalSearch/BT151X-650R127/page-1", "BT151X-650R127")</f>
        <v>BT151X-650R127</v>
      </c>
      <c r="B18707" s="3" t="str">
        <f>HYPERLINK("https://www.773grp.com/manufacturer/nxp-semiconductor?pageNo=37", "NXP Semiconductors")</f>
        <v>NXP Semiconductors</v>
      </c>
      <c r="C18707" s="6">
        <v>2080</v>
      </c>
      <c r="D18707" s="7">
        <v>1</v>
      </c>
    </row>
    <row r="18708" spans="1:4" x14ac:dyDescent="0.25">
      <c r="A18708" t="str">
        <f>HYPERLINK("https://www.773grp.com/globalSearch/BTA202X-600D127/page-1", "BTA202X-600D127")</f>
        <v>BTA202X-600D127</v>
      </c>
      <c r="B18708" s="3" t="str">
        <f>HYPERLINK("https://www.773grp.com/manufacturer/nxp-semiconductor?pageNo=38", "NXP Semiconductors")</f>
        <v>NXP Semiconductors</v>
      </c>
      <c r="C18708" s="6">
        <v>1000</v>
      </c>
      <c r="D18708" s="7">
        <v>1</v>
      </c>
    </row>
    <row r="18709" spans="1:4" x14ac:dyDescent="0.25">
      <c r="A18709" t="str">
        <f>HYPERLINK("https://www.773grp.com/globalSearch/BTA202X-600E127/page-1", "BTA202X-600E127")</f>
        <v>BTA202X-600E127</v>
      </c>
      <c r="B18709" s="3" t="str">
        <f>HYPERLINK("https://www.773grp.com/manufacturer/nxp-semiconductor?pageNo=39", "NXP Semiconductors")</f>
        <v>NXP Semiconductors</v>
      </c>
      <c r="C18709" s="6">
        <v>1115</v>
      </c>
      <c r="D18709" s="7">
        <v>1</v>
      </c>
    </row>
    <row r="18710" spans="1:4" x14ac:dyDescent="0.25">
      <c r="A18710" t="str">
        <f>HYPERLINK("https://www.773grp.com/globalSearch/BTA202X-800D127/page-1", "BTA202X-800D127")</f>
        <v>BTA202X-800D127</v>
      </c>
      <c r="B18710" s="3" t="str">
        <f>HYPERLINK("https://www.773grp.com/manufacturer/nxp-semiconductor?pageNo=40", "NXP Semiconductors")</f>
        <v>NXP Semiconductors</v>
      </c>
      <c r="C18710" s="6">
        <v>1000</v>
      </c>
      <c r="D18710" s="7">
        <v>1</v>
      </c>
    </row>
    <row r="18711" spans="1:4" x14ac:dyDescent="0.25">
      <c r="A18711" t="str">
        <f>HYPERLINK("https://www.773grp.com/globalSearch/BTA202X-800E127/page-1", "BTA202X-800E127")</f>
        <v>BTA202X-800E127</v>
      </c>
      <c r="B18711" s="3" t="str">
        <f>HYPERLINK("https://www.773grp.com/manufacturer/nxp-semiconductor?pageNo=41", "NXP Semiconductors")</f>
        <v>NXP Semiconductors</v>
      </c>
      <c r="C18711" s="6">
        <v>16275</v>
      </c>
      <c r="D18711" s="7">
        <v>1</v>
      </c>
    </row>
    <row r="18712" spans="1:4" x14ac:dyDescent="0.25">
      <c r="A18712" t="str">
        <f>HYPERLINK("https://www.773grp.com/globalSearch/BUK7277-55A118/page-1", "BUK7277-55A118")</f>
        <v>BUK7277-55A118</v>
      </c>
      <c r="B18712" s="3" t="str">
        <f>HYPERLINK("https://www.773grp.com/manufacturer/nxp-semiconductor?pageNo=42", "NXP Semiconductors")</f>
        <v>NXP Semiconductors</v>
      </c>
      <c r="C18712" s="6">
        <v>141</v>
      </c>
      <c r="D18712" s="7">
        <v>1</v>
      </c>
    </row>
    <row r="18713" spans="1:4" x14ac:dyDescent="0.25">
      <c r="A18713" t="str">
        <f>HYPERLINK("https://www.773grp.com/globalSearch/BUK7880-55135/page-1", "BUK7880-55135")</f>
        <v>BUK7880-55135</v>
      </c>
      <c r="B18713" s="3" t="str">
        <f>HYPERLINK("https://www.773grp.com/manufacturer/nxp-semiconductor?pageNo=43", "NXP Semiconductors")</f>
        <v>NXP Semiconductors</v>
      </c>
      <c r="C18713" s="6">
        <v>4000</v>
      </c>
      <c r="D18713" s="7">
        <v>1</v>
      </c>
    </row>
    <row r="18714" spans="1:4" x14ac:dyDescent="0.25">
      <c r="A18714" t="str">
        <f>HYPERLINK("https://www.773grp.com/globalSearch/CBT3306D118/page-1", "CBT3306D118")</f>
        <v>CBT3306D118</v>
      </c>
      <c r="B18714" s="3" t="str">
        <f>HYPERLINK("https://www.773grp.com/manufacturer/nxp-semiconductor?pageNo=44", "NXP Semiconductors")</f>
        <v>NXP Semiconductors</v>
      </c>
      <c r="C18714" s="6">
        <v>4265</v>
      </c>
      <c r="D18714" s="7">
        <v>1</v>
      </c>
    </row>
    <row r="18715" spans="1:4" x14ac:dyDescent="0.25">
      <c r="A18715" t="str">
        <f>HYPERLINK("https://www.773grp.com/globalSearch/CBTD3384PW112/page-1", "CBTD3384PW112")</f>
        <v>CBTD3384PW112</v>
      </c>
      <c r="B18715" s="3" t="str">
        <f>HYPERLINK("https://www.773grp.com/manufacturer/nxp-semiconductor?pageNo=45", "NXP Semiconductors")</f>
        <v>NXP Semiconductors</v>
      </c>
      <c r="C18715" s="6">
        <v>3048</v>
      </c>
      <c r="D18715" s="7">
        <v>1</v>
      </c>
    </row>
    <row r="18716" spans="1:4" x14ac:dyDescent="0.25">
      <c r="A18716" t="str">
        <f>HYPERLINK("https://www.773grp.com/globalSearch/CBTD3384PW118/page-1", "CBTD3384PW118")</f>
        <v>CBTD3384PW118</v>
      </c>
      <c r="B18716" s="3" t="str">
        <f>HYPERLINK("https://www.773grp.com/manufacturer/nxp-semiconductor?pageNo=46", "NXP Semiconductors")</f>
        <v>NXP Semiconductors</v>
      </c>
      <c r="C18716" s="6">
        <v>15150</v>
      </c>
      <c r="D18716" s="7">
        <v>1</v>
      </c>
    </row>
    <row r="18717" spans="1:4" x14ac:dyDescent="0.25">
      <c r="A18717" t="str">
        <f>HYPERLINK("https://www.773grp.com/globalSearch/HEF40175BT652/page-1", "HEF40175BT652")</f>
        <v>HEF40175BT652</v>
      </c>
      <c r="B18717" s="3" t="str">
        <f>HYPERLINK("https://www.773grp.com/manufacturer/nxp-semiconductor?pageNo=47", "NXP Semiconductors")</f>
        <v>NXP Semiconductors</v>
      </c>
      <c r="C18717" s="6">
        <v>150</v>
      </c>
      <c r="D18717" s="7">
        <v>1</v>
      </c>
    </row>
    <row r="18718" spans="1:4" x14ac:dyDescent="0.25">
      <c r="A18718" t="str">
        <f>HYPERLINK("https://www.773grp.com/globalSearch/HEF4516BT652/page-1", "HEF4516BT652")</f>
        <v>HEF4516BT652</v>
      </c>
      <c r="B18718" s="3" t="str">
        <f>HYPERLINK("https://www.773grp.com/manufacturer/nxp-semiconductor?pageNo=48", "NXP Semiconductors")</f>
        <v>NXP Semiconductors</v>
      </c>
      <c r="C18718" s="6">
        <v>4000</v>
      </c>
      <c r="D18718" s="7">
        <v>1</v>
      </c>
    </row>
    <row r="18719" spans="1:4" x14ac:dyDescent="0.25">
      <c r="A18719" t="str">
        <f>HYPERLINK("https://www.773grp.com/globalSearch/IP4251CZ16-8-TTL1/page-1", "IP4251CZ16-8-TTL1")</f>
        <v>IP4251CZ16-8-TTL1</v>
      </c>
      <c r="B18719" s="3" t="str">
        <f>HYPERLINK("https://www.773grp.com/manufacturer/nxp-semiconductor?pageNo=1", "NXP Semiconductors")</f>
        <v>NXP Semiconductors</v>
      </c>
      <c r="C18719" s="6">
        <v>200</v>
      </c>
      <c r="D18719" s="7">
        <v>1</v>
      </c>
    </row>
    <row r="18720" spans="1:4" x14ac:dyDescent="0.25">
      <c r="A18720" t="str">
        <f>HYPERLINK("https://www.773grp.com/globalSearch/KTY82-220215/page-1", "KTY82-220215")</f>
        <v>KTY82-220215</v>
      </c>
      <c r="B18720" s="3" t="str">
        <f>HYPERLINK("https://www.773grp.com/manufacturer/nxp-semiconductor?pageNo=2", "NXP Semiconductors")</f>
        <v>NXP Semiconductors</v>
      </c>
      <c r="C18720" s="6">
        <v>3000</v>
      </c>
      <c r="D18720" s="7">
        <v>1</v>
      </c>
    </row>
    <row r="18721" spans="1:4" x14ac:dyDescent="0.25">
      <c r="A18721" t="str">
        <f>HYPERLINK("https://www.773grp.com/globalSearch/N74F244D623/page-1", "N74F244D623")</f>
        <v>N74F244D623</v>
      </c>
      <c r="B18721" s="3" t="str">
        <f>HYPERLINK("https://www.773grp.com/manufacturer/nxp-semiconductor?pageNo=3", "NXP Semiconductors")</f>
        <v>NXP Semiconductors</v>
      </c>
      <c r="C18721" s="6">
        <v>14000</v>
      </c>
      <c r="D18721" s="7">
        <v>1</v>
      </c>
    </row>
    <row r="18722" spans="1:4" x14ac:dyDescent="0.25">
      <c r="A18722" t="str">
        <f>HYPERLINK("https://www.773grp.com/globalSearch/N74F573D602/page-1", "N74F573D602")</f>
        <v>N74F573D602</v>
      </c>
      <c r="B18722" s="3" t="str">
        <f>HYPERLINK("https://www.773grp.com/manufacturer/nxp-semiconductor?pageNo=4", "NXP Semiconductors")</f>
        <v>NXP Semiconductors</v>
      </c>
      <c r="C18722" s="6">
        <v>1520</v>
      </c>
      <c r="D18722" s="7">
        <v>1</v>
      </c>
    </row>
    <row r="18723" spans="1:4" x14ac:dyDescent="0.25">
      <c r="A18723" t="str">
        <f>HYPERLINK("https://www.773grp.com/globalSearch/N74F573D623/page-1", "N74F573D623")</f>
        <v>N74F573D623</v>
      </c>
      <c r="B18723" s="3" t="str">
        <f>HYPERLINK("https://www.773grp.com/manufacturer/nxp-semiconductor?pageNo=5", "NXP Semiconductors")</f>
        <v>NXP Semiconductors</v>
      </c>
      <c r="C18723" s="6">
        <v>4000</v>
      </c>
      <c r="D18723" s="7">
        <v>1</v>
      </c>
    </row>
    <row r="18724" spans="1:4" x14ac:dyDescent="0.25">
      <c r="A18724" t="str">
        <f>HYPERLINK("https://www.773grp.com/globalSearch/N74F574D602/page-1", "N74F574D602")</f>
        <v>N74F574D602</v>
      </c>
      <c r="B18724" s="3" t="str">
        <f>HYPERLINK("https://www.773grp.com/manufacturer/nxp-semiconductor?pageNo=6", "NXP Semiconductors")</f>
        <v>NXP Semiconductors</v>
      </c>
      <c r="C18724" s="6">
        <v>3040</v>
      </c>
      <c r="D18724" s="7">
        <v>1</v>
      </c>
    </row>
    <row r="18725" spans="1:4" x14ac:dyDescent="0.25">
      <c r="A18725" t="str">
        <f>HYPERLINK("https://www.773grp.com/globalSearch/N74F574D623/page-1", "N74F574D623")</f>
        <v>N74F574D623</v>
      </c>
      <c r="B18725" s="3" t="str">
        <f>HYPERLINK("https://www.773grp.com/manufacturer/nxp-semiconductor?pageNo=7", "NXP Semiconductors")</f>
        <v>NXP Semiconductors</v>
      </c>
      <c r="C18725" s="6">
        <v>12696</v>
      </c>
      <c r="D18725" s="7">
        <v>1</v>
      </c>
    </row>
    <row r="18726" spans="1:4" x14ac:dyDescent="0.25">
      <c r="A18726" t="str">
        <f>HYPERLINK("https://www.773grp.com/globalSearch/NVT2002DP118/page-1", "NVT2002DP118")</f>
        <v>NVT2002DP118</v>
      </c>
      <c r="B18726" s="3" t="str">
        <f>HYPERLINK("https://www.773grp.com/manufacturer/nxp-semiconductor?pageNo=8", "NXP Semiconductors")</f>
        <v>NXP Semiconductors</v>
      </c>
      <c r="C18726" s="6">
        <v>5000</v>
      </c>
      <c r="D18726" s="7">
        <v>1</v>
      </c>
    </row>
    <row r="18727" spans="1:4" x14ac:dyDescent="0.25">
      <c r="A18727" t="str">
        <f>HYPERLINK("https://www.773grp.com/globalSearch/PBSS4140DPN115/page-1", "PBSS4140DPN115")</f>
        <v>PBSS4140DPN115</v>
      </c>
      <c r="B18727" s="3" t="str">
        <f>HYPERLINK("https://www.773grp.com/manufacturer/nxp-semiconductor?pageNo=9", "NXP Semiconductors")</f>
        <v>NXP Semiconductors</v>
      </c>
      <c r="C18727" s="6">
        <v>9000</v>
      </c>
      <c r="D18727" s="7">
        <v>1</v>
      </c>
    </row>
    <row r="18728" spans="1:4" x14ac:dyDescent="0.25">
      <c r="A18728" t="str">
        <f>HYPERLINK("https://www.773grp.com/globalSearch/PBSS4350SPN115/page-1", "PBSS4350SPN115")</f>
        <v>PBSS4350SPN115</v>
      </c>
      <c r="B18728" s="3" t="str">
        <f>HYPERLINK("https://www.773grp.com/manufacturer/nxp-semiconductor?pageNo=10", "NXP Semiconductors")</f>
        <v>NXP Semiconductors</v>
      </c>
      <c r="C18728" s="6">
        <v>699</v>
      </c>
      <c r="D18728" s="7">
        <v>1</v>
      </c>
    </row>
    <row r="18729" spans="1:4" x14ac:dyDescent="0.25">
      <c r="A18729" t="str">
        <f>HYPERLINK("https://www.773grp.com/globalSearch/PCA9306D118/page-1", "PCA9306D118")</f>
        <v>PCA9306D118</v>
      </c>
      <c r="B18729" s="3" t="str">
        <f>HYPERLINK("https://www.773grp.com/manufacturer/nxp-semiconductor?pageNo=11", "NXP Semiconductors")</f>
        <v>NXP Semiconductors</v>
      </c>
      <c r="C18729" s="6">
        <v>1236</v>
      </c>
      <c r="D18729" s="7">
        <v>1</v>
      </c>
    </row>
    <row r="18730" spans="1:4" x14ac:dyDescent="0.25">
      <c r="A18730" t="str">
        <f>HYPERLINK("https://www.773grp.com/globalSearch/PCA9306DP118/page-1", "PCA9306DP118")</f>
        <v>PCA9306DP118</v>
      </c>
      <c r="B18730" s="3" t="str">
        <f>HYPERLINK("https://www.773grp.com/manufacturer/nxp-semiconductor?pageNo=12", "NXP Semiconductors")</f>
        <v>NXP Semiconductors</v>
      </c>
      <c r="C18730" s="6">
        <v>3909</v>
      </c>
      <c r="D18730" s="7">
        <v>1</v>
      </c>
    </row>
    <row r="18731" spans="1:4" x14ac:dyDescent="0.25">
      <c r="A18731" t="str">
        <f>HYPERLINK("https://www.773grp.com/globalSearch/PCA9306GD1125/page-1", "PCA9306GD1125")</f>
        <v>PCA9306GD1125</v>
      </c>
      <c r="B18731" s="3" t="str">
        <f>HYPERLINK("https://www.773grp.com/manufacturer/nxp-semiconductor?pageNo=13", "NXP Semiconductors")</f>
        <v>NXP Semiconductors</v>
      </c>
      <c r="C18731" s="6">
        <v>3065</v>
      </c>
      <c r="D18731" s="7">
        <v>1</v>
      </c>
    </row>
    <row r="18732" spans="1:4" x14ac:dyDescent="0.25">
      <c r="A18732" t="str">
        <f>HYPERLINK("https://www.773grp.com/globalSearch/PCA9306GF115/page-1", "PCA9306GF115")</f>
        <v>PCA9306GF115</v>
      </c>
      <c r="B18732" s="3" t="str">
        <f>HYPERLINK("https://www.773grp.com/manufacturer/nxp-semiconductor?pageNo=14", "NXP Semiconductors")</f>
        <v>NXP Semiconductors</v>
      </c>
      <c r="C18732" s="6">
        <v>3362</v>
      </c>
      <c r="D18732" s="7">
        <v>1</v>
      </c>
    </row>
    <row r="18733" spans="1:4" x14ac:dyDescent="0.25">
      <c r="A18733" t="str">
        <f>HYPERLINK("https://www.773grp.com/globalSearch/PCA9306GM125/page-1", "PCA9306GM125")</f>
        <v>PCA9306GM125</v>
      </c>
      <c r="B18733" s="3" t="str">
        <f>HYPERLINK("https://www.773grp.com/manufacturer/nxp-semiconductor?pageNo=15", "NXP Semiconductors")</f>
        <v>NXP Semiconductors</v>
      </c>
      <c r="C18733" s="6">
        <v>20000</v>
      </c>
      <c r="D18733" s="7">
        <v>1</v>
      </c>
    </row>
    <row r="18734" spans="1:4" x14ac:dyDescent="0.25">
      <c r="A18734" t="str">
        <f>HYPERLINK("https://www.773grp.com/globalSearch/PESD5V0L7BS118/page-1", "PESD5V0L7BS118")</f>
        <v>PESD5V0L7BS118</v>
      </c>
      <c r="B18734" s="3" t="str">
        <f>HYPERLINK("https://www.773grp.com/manufacturer/nxp-semiconductor?pageNo=16", "NXP Semiconductors")</f>
        <v>NXP Semiconductors</v>
      </c>
      <c r="C18734" s="6">
        <v>10000</v>
      </c>
      <c r="D18734" s="7">
        <v>1</v>
      </c>
    </row>
    <row r="18735" spans="1:4" x14ac:dyDescent="0.25">
      <c r="A18735" t="str">
        <f>HYPERLINK("https://www.773grp.com/globalSearch/PMDPB65UP115/page-1", "PMDPB65UP115")</f>
        <v>PMDPB65UP115</v>
      </c>
      <c r="B18735" s="3" t="str">
        <f>HYPERLINK("https://www.773grp.com/manufacturer/nxp-semiconductor?pageNo=17", "NXP Semiconductors")</f>
        <v>NXP Semiconductors</v>
      </c>
      <c r="C18735" s="6">
        <v>3000</v>
      </c>
      <c r="D18735" s="7">
        <v>1</v>
      </c>
    </row>
    <row r="18736" spans="1:4" x14ac:dyDescent="0.25">
      <c r="A18736" t="str">
        <f>HYPERLINK("https://www.773grp.com/globalSearch/PSMN3R2-25YLC115/page-1", "PSMN3R2-25YLC115")</f>
        <v>PSMN3R2-25YLC115</v>
      </c>
      <c r="B18736" s="3" t="str">
        <f>HYPERLINK("https://www.773grp.com/manufacturer/nxp-semiconductor?pageNo=18", "NXP Semiconductors")</f>
        <v>NXP Semiconductors</v>
      </c>
      <c r="C18736" s="6">
        <v>2399</v>
      </c>
      <c r="D18736" s="7">
        <v>1</v>
      </c>
    </row>
    <row r="18737" spans="1:4" x14ac:dyDescent="0.25">
      <c r="A18737" t="str">
        <f>HYPERLINK("https://www.773grp.com/globalSearch/PSMN3R7-30YLC115/page-1", "PSMN3R7-30YLC115")</f>
        <v>PSMN3R7-30YLC115</v>
      </c>
      <c r="B18737" s="3" t="str">
        <f>HYPERLINK("https://www.773grp.com/manufacturer/nxp-semiconductor?pageNo=19", "NXP Semiconductors")</f>
        <v>NXP Semiconductors</v>
      </c>
      <c r="C18737" s="6">
        <v>4599</v>
      </c>
      <c r="D18737" s="7">
        <v>1</v>
      </c>
    </row>
    <row r="18738" spans="1:4" x14ac:dyDescent="0.25">
      <c r="A18738" t="str">
        <f>HYPERLINK("https://www.773grp.com/globalSearch/PXTA42115/page-1", "PXTA42115")</f>
        <v>PXTA42115</v>
      </c>
      <c r="B18738" s="3" t="str">
        <f>HYPERLINK("https://www.773grp.com/manufacturer/nxp-semiconductor?pageNo=20", "NXP Semiconductors")</f>
        <v>NXP Semiconductors</v>
      </c>
      <c r="C18738" s="6">
        <v>12000</v>
      </c>
      <c r="D18738" s="7">
        <v>1</v>
      </c>
    </row>
    <row r="18739" spans="1:4" x14ac:dyDescent="0.25">
      <c r="A18739" t="str">
        <f>HYPERLINK("https://www.773grp.com/globalSearch/PXTA92115/page-1", "PXTA92115")</f>
        <v>PXTA92115</v>
      </c>
      <c r="B18739" s="3" t="str">
        <f>HYPERLINK("https://www.773grp.com/manufacturer/nxp-semiconductor?pageNo=21", "NXP Semiconductors")</f>
        <v>NXP Semiconductors</v>
      </c>
      <c r="C18739" s="6">
        <v>7155</v>
      </c>
      <c r="D18739" s="7">
        <v>1</v>
      </c>
    </row>
    <row r="18740" spans="1:4" x14ac:dyDescent="0.25">
      <c r="A18740" t="str">
        <f>HYPERLINK("https://www.773grp.com/globalSearch/PZTA14115/page-1", "PZTA14115")</f>
        <v>PZTA14115</v>
      </c>
      <c r="B18740" s="3" t="str">
        <f>HYPERLINK("https://www.773grp.com/manufacturer/nxp-semiconductor?pageNo=22", "NXP Semiconductors")</f>
        <v>NXP Semiconductors</v>
      </c>
      <c r="C18740" s="6">
        <v>4000</v>
      </c>
      <c r="D18740" s="7">
        <v>1</v>
      </c>
    </row>
    <row r="18741" spans="1:4" x14ac:dyDescent="0.25">
      <c r="A18741" t="str">
        <f>HYPERLINK("https://www.773grp.com/globalSearch/1PS70SB85115/page-1", "1PS70SB85115")</f>
        <v>1PS70SB85115</v>
      </c>
      <c r="B18741" s="3" t="str">
        <f>HYPERLINK("https://www.773grp.com/manufacturer/nxp-semiconductor?pageNo=23", "NXP Semiconductors")</f>
        <v>NXP Semiconductors</v>
      </c>
      <c r="C18741" s="6">
        <v>15000</v>
      </c>
      <c r="D18741" s="7">
        <v>1.06</v>
      </c>
    </row>
    <row r="18742" spans="1:4" x14ac:dyDescent="0.25">
      <c r="A18742" t="str">
        <f>HYPERLINK("https://www.773grp.com/globalSearch/74ABT240DB118/page-1", "74ABT240DB118")</f>
        <v>74ABT240DB118</v>
      </c>
      <c r="B18742" s="3" t="str">
        <f>HYPERLINK("https://www.773grp.com/manufacturer/nxp-semiconductor?pageNo=24", "NXP Semiconductors")</f>
        <v>NXP Semiconductors</v>
      </c>
      <c r="C18742" s="6">
        <v>4000</v>
      </c>
      <c r="D18742" s="7">
        <v>1.06</v>
      </c>
    </row>
    <row r="18743" spans="1:4" x14ac:dyDescent="0.25">
      <c r="A18743" t="str">
        <f>HYPERLINK("https://www.773grp.com/globalSearch/74AHC594BQ115/page-1", "74AHC594BQ115")</f>
        <v>74AHC594BQ115</v>
      </c>
      <c r="B18743" s="3" t="str">
        <f>HYPERLINK("https://www.773grp.com/manufacturer/nxp-semiconductor?pageNo=25", "NXP Semiconductors")</f>
        <v>NXP Semiconductors</v>
      </c>
      <c r="C18743" s="6">
        <v>9000</v>
      </c>
      <c r="D18743" s="7">
        <v>1.06</v>
      </c>
    </row>
    <row r="18744" spans="1:4" x14ac:dyDescent="0.25">
      <c r="A18744" t="str">
        <f>HYPERLINK("https://www.773grp.com/globalSearch/74AHC594D118/page-1", "74AHC594D118")</f>
        <v>74AHC594D118</v>
      </c>
      <c r="B18744" s="3" t="str">
        <f>HYPERLINK("https://www.773grp.com/manufacturer/nxp-semiconductor?pageNo=26", "NXP Semiconductors")</f>
        <v>NXP Semiconductors</v>
      </c>
      <c r="C18744" s="6">
        <v>2500</v>
      </c>
      <c r="D18744" s="7">
        <v>1.06</v>
      </c>
    </row>
    <row r="18745" spans="1:4" x14ac:dyDescent="0.25">
      <c r="A18745" t="str">
        <f>HYPERLINK("https://www.773grp.com/globalSearch/74AHCT594DB118/page-1", "74AHCT594DB118")</f>
        <v>74AHCT594DB118</v>
      </c>
      <c r="B18745" s="3" t="str">
        <f>HYPERLINK("https://www.773grp.com/manufacturer/nxp-semiconductor?pageNo=27", "NXP Semiconductors")</f>
        <v>NXP Semiconductors</v>
      </c>
      <c r="C18745" s="6">
        <v>150</v>
      </c>
      <c r="D18745" s="7">
        <v>1.06</v>
      </c>
    </row>
    <row r="18746" spans="1:4" x14ac:dyDescent="0.25">
      <c r="A18746" t="str">
        <f>HYPERLINK("https://www.773grp.com/globalSearch/74ALVC373D112/page-1", "74ALVC373D112")</f>
        <v>74ALVC373D112</v>
      </c>
      <c r="B18746" s="3" t="str">
        <f>HYPERLINK("https://www.773grp.com/manufacturer/nxp-semiconductor?pageNo=28", "NXP Semiconductors")</f>
        <v>NXP Semiconductors</v>
      </c>
      <c r="C18746" s="6">
        <v>923</v>
      </c>
      <c r="D18746" s="7">
        <v>1.06</v>
      </c>
    </row>
    <row r="18747" spans="1:4" x14ac:dyDescent="0.25">
      <c r="A18747" t="str">
        <f>HYPERLINK("https://www.773grp.com/globalSearch/74ALVC373PW112/page-1", "74ALVC373PW112")</f>
        <v>74ALVC373PW112</v>
      </c>
      <c r="B18747" s="3" t="str">
        <f>HYPERLINK("https://www.773grp.com/manufacturer/nxp-semiconductor?pageNo=29", "NXP Semiconductors")</f>
        <v>NXP Semiconductors</v>
      </c>
      <c r="C18747" s="6">
        <v>1640</v>
      </c>
      <c r="D18747" s="7">
        <v>1.06</v>
      </c>
    </row>
    <row r="18748" spans="1:4" x14ac:dyDescent="0.25">
      <c r="A18748" t="str">
        <f>HYPERLINK("https://www.773grp.com/globalSearch/74ALVC373PW118/page-1", "74ALVC373PW118")</f>
        <v>74ALVC373PW118</v>
      </c>
      <c r="B18748" s="3" t="str">
        <f>HYPERLINK("https://www.773grp.com/manufacturer/nxp-semiconductor?pageNo=30", "NXP Semiconductors")</f>
        <v>NXP Semiconductors</v>
      </c>
      <c r="C18748" s="6">
        <v>5000</v>
      </c>
      <c r="D18748" s="7">
        <v>1.06</v>
      </c>
    </row>
    <row r="18749" spans="1:4" x14ac:dyDescent="0.25">
      <c r="A18749" t="str">
        <f>HYPERLINK("https://www.773grp.com/globalSearch/74ALVC374PW112/page-1", "74ALVC374PW112")</f>
        <v>74ALVC374PW112</v>
      </c>
      <c r="B18749" s="3" t="str">
        <f>HYPERLINK("https://www.773grp.com/manufacturer/nxp-semiconductor?pageNo=31", "NXP Semiconductors")</f>
        <v>NXP Semiconductors</v>
      </c>
      <c r="C18749" s="6">
        <v>1615</v>
      </c>
      <c r="D18749" s="7">
        <v>1.06</v>
      </c>
    </row>
    <row r="18750" spans="1:4" x14ac:dyDescent="0.25">
      <c r="A18750" t="str">
        <f>HYPERLINK("https://www.773grp.com/globalSearch/74ALVC74BQ115/page-1", "74ALVC74BQ115")</f>
        <v>74ALVC74BQ115</v>
      </c>
      <c r="B18750" s="3" t="str">
        <f>HYPERLINK("https://www.773grp.com/manufacturer/nxp-semiconductor?pageNo=32", "NXP Semiconductors")</f>
        <v>NXP Semiconductors</v>
      </c>
      <c r="C18750" s="6">
        <v>813</v>
      </c>
      <c r="D18750" s="7">
        <v>1.06</v>
      </c>
    </row>
    <row r="18751" spans="1:4" x14ac:dyDescent="0.25">
      <c r="A18751" t="str">
        <f>HYPERLINK("https://www.773grp.com/globalSearch/74AUP1G157GW125/page-1", "74AUP1G157GW125")</f>
        <v>74AUP1G157GW125</v>
      </c>
      <c r="B18751" s="3" t="str">
        <f>HYPERLINK("https://www.773grp.com/manufacturer/nxp-semiconductor?pageNo=33", "NXP Semiconductors")</f>
        <v>NXP Semiconductors</v>
      </c>
      <c r="C18751" s="6">
        <v>93000</v>
      </c>
      <c r="D18751" s="7">
        <v>1.06</v>
      </c>
    </row>
    <row r="18752" spans="1:4" x14ac:dyDescent="0.25">
      <c r="A18752" t="str">
        <f>HYPERLINK("https://www.773grp.com/globalSearch/74AUP1T45GW125/page-1", "74AUP1T45GW125")</f>
        <v>74AUP1T45GW125</v>
      </c>
      <c r="B18752" s="3" t="str">
        <f>HYPERLINK("https://www.773grp.com/manufacturer/nxp-semiconductor?pageNo=34", "NXP Semiconductors")</f>
        <v>NXP Semiconductors</v>
      </c>
      <c r="C18752" s="6">
        <v>1290</v>
      </c>
      <c r="D18752" s="7">
        <v>1.06</v>
      </c>
    </row>
    <row r="18753" spans="1:4" x14ac:dyDescent="0.25">
      <c r="A18753" t="str">
        <f>HYPERLINK("https://www.773grp.com/globalSearch/74AUP1Z125GM115/page-1", "74AUP1Z125GM115")</f>
        <v>74AUP1Z125GM115</v>
      </c>
      <c r="B18753" s="3" t="str">
        <f>HYPERLINK("https://www.773grp.com/manufacturer/nxp-semiconductor?pageNo=35", "NXP Semiconductors")</f>
        <v>NXP Semiconductors</v>
      </c>
      <c r="C18753" s="6">
        <v>300</v>
      </c>
      <c r="D18753" s="7">
        <v>1.06</v>
      </c>
    </row>
    <row r="18754" spans="1:4" x14ac:dyDescent="0.25">
      <c r="A18754" t="str">
        <f>HYPERLINK("https://www.773grp.com/globalSearch/74AUP2G157GT115/page-1", "74AUP2G157GT115")</f>
        <v>74AUP2G157GT115</v>
      </c>
      <c r="B18754" s="3" t="str">
        <f>HYPERLINK("https://www.773grp.com/manufacturer/nxp-semiconductor?pageNo=36", "NXP Semiconductors")</f>
        <v>NXP Semiconductors</v>
      </c>
      <c r="C18754" s="6">
        <v>300</v>
      </c>
      <c r="D18754" s="7">
        <v>1.06</v>
      </c>
    </row>
    <row r="18755" spans="1:4" x14ac:dyDescent="0.25">
      <c r="A18755" t="str">
        <f>HYPERLINK("https://www.773grp.com/globalSearch/74AUP2G17GW125/page-1", "74AUP2G17GW125")</f>
        <v>74AUP2G17GW125</v>
      </c>
      <c r="B18755" s="3" t="str">
        <f>HYPERLINK("https://www.773grp.com/manufacturer/nxp-semiconductor?pageNo=37", "NXP Semiconductors")</f>
        <v>NXP Semiconductors</v>
      </c>
      <c r="C18755" s="6">
        <v>30150</v>
      </c>
      <c r="D18755" s="7">
        <v>1.06</v>
      </c>
    </row>
    <row r="18756" spans="1:4" x14ac:dyDescent="0.25">
      <c r="A18756" t="str">
        <f>HYPERLINK("https://www.773grp.com/globalSearch/74AUP2G38GT115/page-1", "74AUP2G38GT115")</f>
        <v>74AUP2G38GT115</v>
      </c>
      <c r="B18756" s="3" t="str">
        <f>HYPERLINK("https://www.773grp.com/manufacturer/nxp-semiconductor?pageNo=38", "NXP Semiconductors")</f>
        <v>NXP Semiconductors</v>
      </c>
      <c r="C18756" s="6">
        <v>300</v>
      </c>
      <c r="D18756" s="7">
        <v>1.06</v>
      </c>
    </row>
    <row r="18757" spans="1:4" x14ac:dyDescent="0.25">
      <c r="A18757" t="str">
        <f>HYPERLINK("https://www.773grp.com/globalSearch/74AUP2G79GT115/page-1", "74AUP2G79GT115")</f>
        <v>74AUP2G79GT115</v>
      </c>
      <c r="B18757" s="3" t="str">
        <f>HYPERLINK("https://www.773grp.com/manufacturer/nxp-semiconductor?pageNo=39", "NXP Semiconductors")</f>
        <v>NXP Semiconductors</v>
      </c>
      <c r="C18757" s="6">
        <v>300</v>
      </c>
      <c r="D18757" s="7">
        <v>1.06</v>
      </c>
    </row>
    <row r="18758" spans="1:4" x14ac:dyDescent="0.25">
      <c r="A18758" t="str">
        <f>HYPERLINK("https://www.773grp.com/globalSearch/74AUP2G80GT115/page-1", "74AUP2G80GT115")</f>
        <v>74AUP2G80GT115</v>
      </c>
      <c r="B18758" s="3" t="str">
        <f>HYPERLINK("https://www.773grp.com/manufacturer/nxp-semiconductor?pageNo=40", "NXP Semiconductors")</f>
        <v>NXP Semiconductors</v>
      </c>
      <c r="C18758" s="6">
        <v>300</v>
      </c>
      <c r="D18758" s="7">
        <v>1.06</v>
      </c>
    </row>
    <row r="18759" spans="1:4" x14ac:dyDescent="0.25">
      <c r="A18759" t="str">
        <f>HYPERLINK("https://www.773grp.com/globalSearch/74AUP2G86GT115/page-1", "74AUP2G86GT115")</f>
        <v>74AUP2G86GT115</v>
      </c>
      <c r="B18759" s="3" t="str">
        <f>HYPERLINK("https://www.773grp.com/manufacturer/nxp-semiconductor?pageNo=41", "NXP Semiconductors")</f>
        <v>NXP Semiconductors</v>
      </c>
      <c r="C18759" s="6">
        <v>300</v>
      </c>
      <c r="D18759" s="7">
        <v>1.06</v>
      </c>
    </row>
    <row r="18760" spans="1:4" x14ac:dyDescent="0.25">
      <c r="A18760" t="str">
        <f>HYPERLINK("https://www.773grp.com/globalSearch/74AVC4T245D118/page-1", "74AVC4T245D118")</f>
        <v>74AVC4T245D118</v>
      </c>
      <c r="B18760" s="3" t="str">
        <f>HYPERLINK("https://www.773grp.com/manufacturer/nxp-semiconductor?pageNo=42", "NXP Semiconductors")</f>
        <v>NXP Semiconductors</v>
      </c>
      <c r="C18760" s="6">
        <v>2500</v>
      </c>
      <c r="D18760" s="7">
        <v>1.06</v>
      </c>
    </row>
    <row r="18761" spans="1:4" x14ac:dyDescent="0.25">
      <c r="A18761" t="str">
        <f>HYPERLINK("https://www.773grp.com/globalSearch/74CBTLV3861PW118/page-1", "74CBTLV3861PW118")</f>
        <v>74CBTLV3861PW118</v>
      </c>
      <c r="B18761" s="3" t="str">
        <f>HYPERLINK("https://www.773grp.com/manufacturer/nxp-semiconductor?pageNo=43", "NXP Semiconductors")</f>
        <v>NXP Semiconductors</v>
      </c>
      <c r="C18761" s="6">
        <v>3340</v>
      </c>
      <c r="D18761" s="7">
        <v>1.06</v>
      </c>
    </row>
    <row r="18762" spans="1:4" x14ac:dyDescent="0.25">
      <c r="A18762" t="str">
        <f>HYPERLINK("https://www.773grp.com/globalSearch/74HC107DB112/page-1", "74HC107DB112")</f>
        <v>74HC107DB112</v>
      </c>
      <c r="B18762" s="3" t="str">
        <f>HYPERLINK("https://www.773grp.com/manufacturer/nxp-semiconductor?pageNo=44", "NXP Semiconductors")</f>
        <v>NXP Semiconductors</v>
      </c>
      <c r="C18762" s="6">
        <v>1500</v>
      </c>
      <c r="D18762" s="7">
        <v>1.06</v>
      </c>
    </row>
    <row r="18763" spans="1:4" x14ac:dyDescent="0.25">
      <c r="A18763" t="str">
        <f>HYPERLINK("https://www.773grp.com/globalSearch/74HC174DB112/page-1", "74HC174DB112")</f>
        <v>74HC174DB112</v>
      </c>
      <c r="B18763" s="3" t="str">
        <f>HYPERLINK("https://www.773grp.com/manufacturer/nxp-semiconductor?pageNo=45", "NXP Semiconductors")</f>
        <v>NXP Semiconductors</v>
      </c>
      <c r="C18763" s="6">
        <v>2188</v>
      </c>
      <c r="D18763" s="7">
        <v>1.06</v>
      </c>
    </row>
    <row r="18764" spans="1:4" x14ac:dyDescent="0.25">
      <c r="A18764" t="str">
        <f>HYPERLINK("https://www.773grp.com/globalSearch/74HC175DB112/page-1", "74HC175DB112")</f>
        <v>74HC175DB112</v>
      </c>
      <c r="B18764" s="3" t="str">
        <f>HYPERLINK("https://www.773grp.com/manufacturer/nxp-semiconductor?pageNo=46", "NXP Semiconductors")</f>
        <v>NXP Semiconductors</v>
      </c>
      <c r="C18764" s="6">
        <v>1300</v>
      </c>
      <c r="D18764" s="7">
        <v>1.06</v>
      </c>
    </row>
    <row r="18765" spans="1:4" x14ac:dyDescent="0.25">
      <c r="A18765" t="str">
        <f>HYPERLINK("https://www.773grp.com/globalSearch/74HC240DB112/page-1", "74HC240DB112")</f>
        <v>74HC240DB112</v>
      </c>
      <c r="B18765" s="3" t="str">
        <f>HYPERLINK("https://www.773grp.com/manufacturer/nxp-semiconductor?pageNo=47", "NXP Semiconductors")</f>
        <v>NXP Semiconductors</v>
      </c>
      <c r="C18765" s="6">
        <v>1848</v>
      </c>
      <c r="D18765" s="7">
        <v>1.06</v>
      </c>
    </row>
    <row r="18766" spans="1:4" x14ac:dyDescent="0.25">
      <c r="A18766" t="str">
        <f>HYPERLINK("https://www.773grp.com/globalSearch/74HC240DB118/page-1", "74HC240DB118")</f>
        <v>74HC240DB118</v>
      </c>
      <c r="B18766" s="3" t="str">
        <f>HYPERLINK("https://www.773grp.com/manufacturer/nxp-semiconductor?pageNo=48", "NXP Semiconductors")</f>
        <v>NXP Semiconductors</v>
      </c>
      <c r="C18766" s="6">
        <v>2374</v>
      </c>
      <c r="D18766" s="7">
        <v>1.06</v>
      </c>
    </row>
    <row r="18767" spans="1:4" x14ac:dyDescent="0.25">
      <c r="A18767" t="str">
        <f>HYPERLINK("https://www.773grp.com/globalSearch/74HC4024D652/page-1", "74HC4024D652")</f>
        <v>74HC4024D652</v>
      </c>
      <c r="B18767" s="3" t="str">
        <f>HYPERLINK("https://www.773grp.com/manufacturer/nxp-semiconductor?pageNo=1", "NXP Semiconductors")</f>
        <v>NXP Semiconductors</v>
      </c>
      <c r="C18767" s="6">
        <v>370</v>
      </c>
      <c r="D18767" s="7">
        <v>1.06</v>
      </c>
    </row>
    <row r="18768" spans="1:4" x14ac:dyDescent="0.25">
      <c r="A18768" t="str">
        <f>HYPERLINK("https://www.773grp.com/globalSearch/74HC4024D653/page-1", "74HC4024D653")</f>
        <v>74HC4024D653</v>
      </c>
      <c r="B18768" s="3" t="str">
        <f>HYPERLINK("https://www.773grp.com/manufacturer/nxp-semiconductor?pageNo=2", "NXP Semiconductors")</f>
        <v>NXP Semiconductors</v>
      </c>
      <c r="C18768" s="6">
        <v>5000</v>
      </c>
      <c r="D18768" s="7">
        <v>1.06</v>
      </c>
    </row>
    <row r="18769" spans="1:4" x14ac:dyDescent="0.25">
      <c r="A18769" t="str">
        <f>HYPERLINK("https://www.773grp.com/globalSearch/74HC574DB112/page-1", "74HC574DB112")</f>
        <v>74HC574DB112</v>
      </c>
      <c r="B18769" s="3" t="str">
        <f>HYPERLINK("https://www.773grp.com/manufacturer/nxp-semiconductor?pageNo=3", "NXP Semiconductors")</f>
        <v>NXP Semiconductors</v>
      </c>
      <c r="C18769" s="6">
        <v>1848</v>
      </c>
      <c r="D18769" s="7">
        <v>1.06</v>
      </c>
    </row>
    <row r="18770" spans="1:4" x14ac:dyDescent="0.25">
      <c r="A18770" t="str">
        <f>HYPERLINK("https://www.773grp.com/globalSearch/74HC574DB118/page-1", "74HC574DB118")</f>
        <v>74HC574DB118</v>
      </c>
      <c r="B18770" s="3" t="str">
        <f>HYPERLINK("https://www.773grp.com/manufacturer/nxp-semiconductor?pageNo=4", "NXP Semiconductors")</f>
        <v>NXP Semiconductors</v>
      </c>
      <c r="C18770" s="6">
        <v>1000</v>
      </c>
      <c r="D18770" s="7">
        <v>1.06</v>
      </c>
    </row>
    <row r="18771" spans="1:4" x14ac:dyDescent="0.25">
      <c r="A18771" t="str">
        <f>HYPERLINK("https://www.773grp.com/globalSearch/74HC7266D652/page-1", "74HC7266D652")</f>
        <v>74HC7266D652</v>
      </c>
      <c r="B18771" s="3" t="str">
        <f>HYPERLINK("https://www.773grp.com/manufacturer/nxp-semiconductor?pageNo=5", "NXP Semiconductors")</f>
        <v>NXP Semiconductors</v>
      </c>
      <c r="C18771" s="6">
        <v>4056</v>
      </c>
      <c r="D18771" s="7">
        <v>1.06</v>
      </c>
    </row>
    <row r="18772" spans="1:4" x14ac:dyDescent="0.25">
      <c r="A18772" t="str">
        <f>HYPERLINK("https://www.773grp.com/globalSearch/74HC7266D653/page-1", "74HC7266D653")</f>
        <v>74HC7266D653</v>
      </c>
      <c r="B18772" s="3" t="str">
        <f>HYPERLINK("https://www.773grp.com/manufacturer/nxp-semiconductor?pageNo=6", "NXP Semiconductors")</f>
        <v>NXP Semiconductors</v>
      </c>
      <c r="C18772" s="6">
        <v>22500</v>
      </c>
      <c r="D18772" s="7">
        <v>1.06</v>
      </c>
    </row>
    <row r="18773" spans="1:4" x14ac:dyDescent="0.25">
      <c r="A18773" t="str">
        <f>HYPERLINK("https://www.773grp.com/globalSearch/74HCT151DB118/page-1", "74HCT151DB118")</f>
        <v>74HCT151DB118</v>
      </c>
      <c r="B18773" s="3" t="str">
        <f>HYPERLINK("https://www.773grp.com/manufacturer/nxp-semiconductor?pageNo=7", "NXP Semiconductors")</f>
        <v>NXP Semiconductors</v>
      </c>
      <c r="C18773" s="6">
        <v>4000</v>
      </c>
      <c r="D18773" s="7">
        <v>1.06</v>
      </c>
    </row>
    <row r="18774" spans="1:4" x14ac:dyDescent="0.25">
      <c r="A18774" t="str">
        <f>HYPERLINK("https://www.773grp.com/globalSearch/74HCT175PW118/page-1", "74HCT175PW118")</f>
        <v>74HCT175PW118</v>
      </c>
      <c r="B18774" s="3" t="str">
        <f>HYPERLINK("https://www.773grp.com/manufacturer/nxp-semiconductor?pageNo=8", "NXP Semiconductors")</f>
        <v>NXP Semiconductors</v>
      </c>
      <c r="C18774" s="6">
        <v>2500</v>
      </c>
      <c r="D18774" s="7">
        <v>1.06</v>
      </c>
    </row>
    <row r="18775" spans="1:4" x14ac:dyDescent="0.25">
      <c r="A18775" t="str">
        <f>HYPERLINK("https://www.773grp.com/globalSearch/74HCT240DB112/page-1", "74HCT240DB112")</f>
        <v>74HCT240DB112</v>
      </c>
      <c r="B18775" s="3" t="str">
        <f>HYPERLINK("https://www.773grp.com/manufacturer/nxp-semiconductor?pageNo=9", "NXP Semiconductors")</f>
        <v>NXP Semiconductors</v>
      </c>
      <c r="C18775" s="6">
        <v>182</v>
      </c>
      <c r="D18775" s="7">
        <v>1.06</v>
      </c>
    </row>
    <row r="18776" spans="1:4" x14ac:dyDescent="0.25">
      <c r="A18776" t="str">
        <f>HYPERLINK("https://www.773grp.com/globalSearch/74HCT240DB118/page-1", "74HCT240DB118")</f>
        <v>74HCT240DB118</v>
      </c>
      <c r="B18776" s="3" t="str">
        <f>HYPERLINK("https://www.773grp.com/manufacturer/nxp-semiconductor?pageNo=10", "NXP Semiconductors")</f>
        <v>NXP Semiconductors</v>
      </c>
      <c r="C18776" s="6">
        <v>1136</v>
      </c>
      <c r="D18776" s="7">
        <v>1.06</v>
      </c>
    </row>
    <row r="18777" spans="1:4" x14ac:dyDescent="0.25">
      <c r="A18777" t="str">
        <f>HYPERLINK("https://www.773grp.com/globalSearch/74HCT241DB112/page-1", "74HCT241DB112")</f>
        <v>74HCT241DB112</v>
      </c>
      <c r="B18777" s="3" t="str">
        <f>HYPERLINK("https://www.773grp.com/manufacturer/nxp-semiconductor?pageNo=11", "NXP Semiconductors")</f>
        <v>NXP Semiconductors</v>
      </c>
      <c r="C18777" s="6">
        <v>990</v>
      </c>
      <c r="D18777" s="7">
        <v>1.06</v>
      </c>
    </row>
    <row r="18778" spans="1:4" x14ac:dyDescent="0.25">
      <c r="A18778" t="str">
        <f>HYPERLINK("https://www.773grp.com/globalSearch/74HCT245BQ115/page-1", "74HCT245BQ115")</f>
        <v>74HCT245BQ115</v>
      </c>
      <c r="B18778" s="3" t="str">
        <f>HYPERLINK("https://www.773grp.com/manufacturer/nxp-semiconductor?pageNo=12", "NXP Semiconductors")</f>
        <v>NXP Semiconductors</v>
      </c>
      <c r="C18778" s="6">
        <v>5500</v>
      </c>
      <c r="D18778" s="7">
        <v>1.06</v>
      </c>
    </row>
    <row r="18779" spans="1:4" x14ac:dyDescent="0.25">
      <c r="A18779" t="str">
        <f>HYPERLINK("https://www.773grp.com/globalSearch/74HCT251PW112/page-1", "74HCT251PW112")</f>
        <v>74HCT251PW112</v>
      </c>
      <c r="B18779" s="3" t="str">
        <f>HYPERLINK("https://www.773grp.com/manufacturer/nxp-semiconductor?pageNo=13", "NXP Semiconductors")</f>
        <v>NXP Semiconductors</v>
      </c>
      <c r="C18779" s="6">
        <v>1400</v>
      </c>
      <c r="D18779" s="7">
        <v>1.06</v>
      </c>
    </row>
    <row r="18780" spans="1:4" x14ac:dyDescent="0.25">
      <c r="A18780" t="str">
        <f>HYPERLINK("https://www.773grp.com/globalSearch/74HCT251PW118/page-1", "74HCT251PW118")</f>
        <v>74HCT251PW118</v>
      </c>
      <c r="B18780" s="3" t="str">
        <f>HYPERLINK("https://www.773grp.com/manufacturer/nxp-semiconductor?pageNo=14", "NXP Semiconductors")</f>
        <v>NXP Semiconductors</v>
      </c>
      <c r="C18780" s="6">
        <v>2500</v>
      </c>
      <c r="D18780" s="7">
        <v>1.06</v>
      </c>
    </row>
    <row r="18781" spans="1:4" x14ac:dyDescent="0.25">
      <c r="A18781" t="str">
        <f>HYPERLINK("https://www.773grp.com/globalSearch/74HCT257DB112/page-1", "74HCT257DB112")</f>
        <v>74HCT257DB112</v>
      </c>
      <c r="B18781" s="3" t="str">
        <f>HYPERLINK("https://www.773grp.com/manufacturer/nxp-semiconductor?pageNo=15", "NXP Semiconductors")</f>
        <v>NXP Semiconductors</v>
      </c>
      <c r="C18781" s="6">
        <v>1500</v>
      </c>
      <c r="D18781" s="7">
        <v>1.06</v>
      </c>
    </row>
    <row r="18782" spans="1:4" x14ac:dyDescent="0.25">
      <c r="A18782" t="str">
        <f>HYPERLINK("https://www.773grp.com/globalSearch/74HCT259PW112/page-1", "74HCT259PW112")</f>
        <v>74HCT259PW112</v>
      </c>
      <c r="B18782" s="3" t="str">
        <f>HYPERLINK("https://www.773grp.com/manufacturer/nxp-semiconductor?pageNo=16", "NXP Semiconductors")</f>
        <v>NXP Semiconductors</v>
      </c>
      <c r="C18782" s="6">
        <v>12812</v>
      </c>
      <c r="D18782" s="7">
        <v>1.06</v>
      </c>
    </row>
    <row r="18783" spans="1:4" x14ac:dyDescent="0.25">
      <c r="A18783" t="str">
        <f>HYPERLINK("https://www.773grp.com/globalSearch/74HCT373DB112/page-1", "74HCT373DB112")</f>
        <v>74HCT373DB112</v>
      </c>
      <c r="B18783" s="3" t="str">
        <f>HYPERLINK("https://www.773grp.com/manufacturer/nxp-semiconductor?pageNo=17", "NXP Semiconductors")</f>
        <v>NXP Semiconductors</v>
      </c>
      <c r="C18783" s="6">
        <v>1848</v>
      </c>
      <c r="D18783" s="7">
        <v>1.06</v>
      </c>
    </row>
    <row r="18784" spans="1:4" x14ac:dyDescent="0.25">
      <c r="A18784" t="str">
        <f>HYPERLINK("https://www.773grp.com/globalSearch/74HCT377PW112/page-1", "74HCT377PW112")</f>
        <v>74HCT377PW112</v>
      </c>
      <c r="B18784" s="3" t="str">
        <f>HYPERLINK("https://www.773grp.com/manufacturer/nxp-semiconductor?pageNo=18", "NXP Semiconductors")</f>
        <v>NXP Semiconductors</v>
      </c>
      <c r="C18784" s="6">
        <v>1875</v>
      </c>
      <c r="D18784" s="7">
        <v>1.06</v>
      </c>
    </row>
    <row r="18785" spans="1:4" x14ac:dyDescent="0.25">
      <c r="A18785" t="str">
        <f>HYPERLINK("https://www.773grp.com/globalSearch/74HCT393DB112/page-1", "74HCT393DB112")</f>
        <v>74HCT393DB112</v>
      </c>
      <c r="B18785" s="3" t="str">
        <f>HYPERLINK("https://www.773grp.com/manufacturer/nxp-semiconductor?pageNo=19", "NXP Semiconductors")</f>
        <v>NXP Semiconductors</v>
      </c>
      <c r="C18785" s="6">
        <v>2368</v>
      </c>
      <c r="D18785" s="7">
        <v>1.06</v>
      </c>
    </row>
    <row r="18786" spans="1:4" x14ac:dyDescent="0.25">
      <c r="A18786" t="str">
        <f>HYPERLINK("https://www.773grp.com/globalSearch/74HCT393DB118/page-1", "74HCT393DB118")</f>
        <v>74HCT393DB118</v>
      </c>
      <c r="B18786" s="3" t="str">
        <f>HYPERLINK("https://www.773grp.com/manufacturer/nxp-semiconductor?pageNo=20", "NXP Semiconductors")</f>
        <v>NXP Semiconductors</v>
      </c>
      <c r="C18786" s="6">
        <v>150</v>
      </c>
      <c r="D18786" s="7">
        <v>1.06</v>
      </c>
    </row>
    <row r="18787" spans="1:4" x14ac:dyDescent="0.25">
      <c r="A18787" t="str">
        <f>HYPERLINK("https://www.773grp.com/globalSearch/74HCT4016D112/page-1", "74HCT4016D112")</f>
        <v>74HCT4016D112</v>
      </c>
      <c r="B18787" s="3" t="str">
        <f>HYPERLINK("https://www.773grp.com/manufacturer/nxp-semiconductor?pageNo=21", "NXP Semiconductors")</f>
        <v>NXP Semiconductors</v>
      </c>
      <c r="C18787" s="6">
        <v>3420</v>
      </c>
      <c r="D18787" s="7">
        <v>1.06</v>
      </c>
    </row>
    <row r="18788" spans="1:4" x14ac:dyDescent="0.25">
      <c r="A18788" t="str">
        <f>HYPERLINK("https://www.773grp.com/globalSearch/74HCT4017D653/page-1", "74HCT4017D653")</f>
        <v>74HCT4017D653</v>
      </c>
      <c r="B18788" s="3" t="str">
        <f>HYPERLINK("https://www.773grp.com/manufacturer/nxp-semiconductor?pageNo=22", "NXP Semiconductors")</f>
        <v>NXP Semiconductors</v>
      </c>
      <c r="C18788" s="6">
        <v>7500</v>
      </c>
      <c r="D18788" s="7">
        <v>1.06</v>
      </c>
    </row>
    <row r="18789" spans="1:4" x14ac:dyDescent="0.25">
      <c r="A18789" t="str">
        <f>HYPERLINK("https://www.773grp.com/globalSearch/74HCT4020PW112/page-1", "74HCT4020PW112")</f>
        <v>74HCT4020PW112</v>
      </c>
      <c r="B18789" s="3" t="str">
        <f>HYPERLINK("https://www.773grp.com/manufacturer/nxp-semiconductor?pageNo=23", "NXP Semiconductors")</f>
        <v>NXP Semiconductors</v>
      </c>
      <c r="C18789" s="6">
        <v>2401</v>
      </c>
      <c r="D18789" s="7">
        <v>1.06</v>
      </c>
    </row>
    <row r="18790" spans="1:4" x14ac:dyDescent="0.25">
      <c r="A18790" t="str">
        <f>HYPERLINK("https://www.773grp.com/globalSearch/74HCT4046AD112/page-1", "74HCT4046AD112")</f>
        <v>74HCT4046AD112</v>
      </c>
      <c r="B18790" s="3" t="str">
        <f>HYPERLINK("https://www.773grp.com/manufacturer/nxp-semiconductor?pageNo=24", "NXP Semiconductors")</f>
        <v>NXP Semiconductors</v>
      </c>
      <c r="C18790" s="6">
        <v>1195</v>
      </c>
      <c r="D18790" s="7">
        <v>1.06</v>
      </c>
    </row>
    <row r="18791" spans="1:4" x14ac:dyDescent="0.25">
      <c r="A18791" t="str">
        <f>HYPERLINK("https://www.773grp.com/globalSearch/74HCT4046AD118/page-1", "74HCT4046AD118")</f>
        <v>74HCT4046AD118</v>
      </c>
      <c r="B18791" s="3" t="str">
        <f>HYPERLINK("https://www.773grp.com/manufacturer/nxp-semiconductor?pageNo=25", "NXP Semiconductors")</f>
        <v>NXP Semiconductors</v>
      </c>
      <c r="C18791" s="6">
        <v>5027</v>
      </c>
      <c r="D18791" s="7">
        <v>1.06</v>
      </c>
    </row>
    <row r="18792" spans="1:4" x14ac:dyDescent="0.25">
      <c r="A18792" t="str">
        <f>HYPERLINK("https://www.773grp.com/globalSearch/74HCT4538PW112/page-1", "74HCT4538PW112")</f>
        <v>74HCT4538PW112</v>
      </c>
      <c r="B18792" s="3" t="str">
        <f>HYPERLINK("https://www.773grp.com/manufacturer/nxp-semiconductor?pageNo=26", "NXP Semiconductors")</f>
        <v>NXP Semiconductors</v>
      </c>
      <c r="C18792" s="6">
        <v>2400</v>
      </c>
      <c r="D18792" s="7">
        <v>1.06</v>
      </c>
    </row>
    <row r="18793" spans="1:4" x14ac:dyDescent="0.25">
      <c r="A18793" t="str">
        <f>HYPERLINK("https://www.773grp.com/globalSearch/74HCT4538PW118/page-1", "74HCT4538PW118")</f>
        <v>74HCT4538PW118</v>
      </c>
      <c r="B18793" s="3" t="str">
        <f>HYPERLINK("https://www.773grp.com/manufacturer/nxp-semiconductor?pageNo=27", "NXP Semiconductors")</f>
        <v>NXP Semiconductors</v>
      </c>
      <c r="C18793" s="6">
        <v>62500</v>
      </c>
      <c r="D18793" s="7">
        <v>1.06</v>
      </c>
    </row>
    <row r="18794" spans="1:4" x14ac:dyDescent="0.25">
      <c r="A18794" t="str">
        <f>HYPERLINK("https://www.773grp.com/globalSearch/74HCT574DB112/page-1", "74HCT574DB112")</f>
        <v>74HCT574DB112</v>
      </c>
      <c r="B18794" s="3" t="str">
        <f>HYPERLINK("https://www.773grp.com/manufacturer/nxp-semiconductor?pageNo=28", "NXP Semiconductors")</f>
        <v>NXP Semiconductors</v>
      </c>
      <c r="C18794" s="6">
        <v>924</v>
      </c>
      <c r="D18794" s="7">
        <v>1.06</v>
      </c>
    </row>
    <row r="18795" spans="1:4" x14ac:dyDescent="0.25">
      <c r="A18795" t="str">
        <f>HYPERLINK("https://www.773grp.com/globalSearch/74HCT574DB118/page-1", "74HCT574DB118")</f>
        <v>74HCT574DB118</v>
      </c>
      <c r="B18795" s="3" t="str">
        <f>HYPERLINK("https://www.773grp.com/manufacturer/nxp-semiconductor?pageNo=29", "NXP Semiconductors")</f>
        <v>NXP Semiconductors</v>
      </c>
      <c r="C18795" s="6">
        <v>5000</v>
      </c>
      <c r="D18795" s="7">
        <v>1.06</v>
      </c>
    </row>
    <row r="18796" spans="1:4" x14ac:dyDescent="0.25">
      <c r="A18796" t="str">
        <f>HYPERLINK("https://www.773grp.com/globalSearch/74LV164D112/page-1", "74LV164D112")</f>
        <v>74LV164D112</v>
      </c>
      <c r="B18796" s="3" t="str">
        <f>HYPERLINK("https://www.773grp.com/manufacturer/nxp-semiconductor?pageNo=30", "NXP Semiconductors")</f>
        <v>NXP Semiconductors</v>
      </c>
      <c r="C18796" s="6">
        <v>2882</v>
      </c>
      <c r="D18796" s="7">
        <v>1.06</v>
      </c>
    </row>
    <row r="18797" spans="1:4" x14ac:dyDescent="0.25">
      <c r="A18797" t="str">
        <f>HYPERLINK("https://www.773grp.com/globalSearch/74LV164D118/page-1", "74LV164D118")</f>
        <v>74LV164D118</v>
      </c>
      <c r="B18797" s="3" t="str">
        <f>HYPERLINK("https://www.773grp.com/manufacturer/nxp-semiconductor?pageNo=31", "NXP Semiconductors")</f>
        <v>NXP Semiconductors</v>
      </c>
      <c r="C18797" s="6">
        <v>2500</v>
      </c>
      <c r="D18797" s="7">
        <v>1.06</v>
      </c>
    </row>
    <row r="18798" spans="1:4" x14ac:dyDescent="0.25">
      <c r="A18798" t="str">
        <f>HYPERLINK("https://www.773grp.com/globalSearch/74LV165PW112/page-1", "74LV165PW112")</f>
        <v>74LV165PW112</v>
      </c>
      <c r="B18798" s="3" t="str">
        <f>HYPERLINK("https://www.773grp.com/manufacturer/nxp-semiconductor?pageNo=32", "NXP Semiconductors")</f>
        <v>NXP Semiconductors</v>
      </c>
      <c r="C18798" s="6">
        <v>4800</v>
      </c>
      <c r="D18798" s="7">
        <v>1.06</v>
      </c>
    </row>
    <row r="18799" spans="1:4" x14ac:dyDescent="0.25">
      <c r="A18799" t="str">
        <f>HYPERLINK("https://www.773grp.com/globalSearch/74LV165PW118/page-1", "74LV165PW118")</f>
        <v>74LV165PW118</v>
      </c>
      <c r="B18799" s="3" t="str">
        <f>HYPERLINK("https://www.773grp.com/manufacturer/nxp-semiconductor?pageNo=33", "NXP Semiconductors")</f>
        <v>NXP Semiconductors</v>
      </c>
      <c r="C18799" s="6">
        <v>3596</v>
      </c>
      <c r="D18799" s="7">
        <v>1.06</v>
      </c>
    </row>
    <row r="18800" spans="1:4" x14ac:dyDescent="0.25">
      <c r="A18800" t="str">
        <f>HYPERLINK("https://www.773grp.com/globalSearch/74LV174DB118/page-1", "74LV174DB118")</f>
        <v>74LV174DB118</v>
      </c>
      <c r="B18800" s="3" t="str">
        <f>HYPERLINK("https://www.773grp.com/manufacturer/nxp-semiconductor?pageNo=34", "NXP Semiconductors")</f>
        <v>NXP Semiconductors</v>
      </c>
      <c r="C18800" s="6">
        <v>2000</v>
      </c>
      <c r="D18800" s="7">
        <v>1.06</v>
      </c>
    </row>
    <row r="18801" spans="1:4" x14ac:dyDescent="0.25">
      <c r="A18801" t="str">
        <f>HYPERLINK("https://www.773grp.com/globalSearch/74LV245D118/page-1", "74LV245D118")</f>
        <v>74LV245D118</v>
      </c>
      <c r="B18801" s="3" t="str">
        <f>HYPERLINK("https://www.773grp.com/manufacturer/nxp-semiconductor?pageNo=35", "NXP Semiconductors")</f>
        <v>NXP Semiconductors</v>
      </c>
      <c r="C18801" s="6">
        <v>140</v>
      </c>
      <c r="D18801" s="7">
        <v>1.06</v>
      </c>
    </row>
    <row r="18802" spans="1:4" x14ac:dyDescent="0.25">
      <c r="A18802" t="str">
        <f>HYPERLINK("https://www.773grp.com/globalSearch/74LV373D112/page-1", "74LV373D112")</f>
        <v>74LV373D112</v>
      </c>
      <c r="B18802" s="3" t="str">
        <f>HYPERLINK("https://www.773grp.com/manufacturer/nxp-semiconductor?pageNo=36", "NXP Semiconductors")</f>
        <v>NXP Semiconductors</v>
      </c>
      <c r="C18802" s="6">
        <v>1520</v>
      </c>
      <c r="D18802" s="7">
        <v>1.06</v>
      </c>
    </row>
    <row r="18803" spans="1:4" x14ac:dyDescent="0.25">
      <c r="A18803" t="str">
        <f>HYPERLINK("https://www.773grp.com/globalSearch/74LV373D118/page-1", "74LV373D118")</f>
        <v>74LV373D118</v>
      </c>
      <c r="B18803" s="3" t="str">
        <f>HYPERLINK("https://www.773grp.com/manufacturer/nxp-semiconductor?pageNo=37", "NXP Semiconductors")</f>
        <v>NXP Semiconductors</v>
      </c>
      <c r="C18803" s="6">
        <v>4000</v>
      </c>
      <c r="D18803" s="7">
        <v>1.06</v>
      </c>
    </row>
    <row r="18804" spans="1:4" x14ac:dyDescent="0.25">
      <c r="A18804" t="str">
        <f>HYPERLINK("https://www.773grp.com/globalSearch/74LV4051PW112/page-1", "74LV4051PW112")</f>
        <v>74LV4051PW112</v>
      </c>
      <c r="B18804" s="3" t="str">
        <f>HYPERLINK("https://www.773grp.com/manufacturer/nxp-semiconductor?pageNo=38", "NXP Semiconductors")</f>
        <v>NXP Semiconductors</v>
      </c>
      <c r="C18804" s="6">
        <v>5856</v>
      </c>
      <c r="D18804" s="7">
        <v>1.06</v>
      </c>
    </row>
    <row r="18805" spans="1:4" x14ac:dyDescent="0.25">
      <c r="A18805" t="str">
        <f>HYPERLINK("https://www.773grp.com/globalSearch/74LV4052PW118/page-1", "74LV4052PW118")</f>
        <v>74LV4052PW118</v>
      </c>
      <c r="B18805" s="3" t="str">
        <f>HYPERLINK("https://www.773grp.com/manufacturer/nxp-semiconductor?pageNo=39", "NXP Semiconductors")</f>
        <v>NXP Semiconductors</v>
      </c>
      <c r="C18805" s="6">
        <v>10454</v>
      </c>
      <c r="D18805" s="7">
        <v>1.06</v>
      </c>
    </row>
    <row r="18806" spans="1:4" x14ac:dyDescent="0.25">
      <c r="A18806" t="str">
        <f>HYPERLINK("https://www.773grp.com/globalSearch/74LV4053PW112/page-1", "74LV4053PW112")</f>
        <v>74LV4053PW112</v>
      </c>
      <c r="B18806" s="3" t="str">
        <f>HYPERLINK("https://www.773grp.com/manufacturer/nxp-semiconductor?pageNo=40", "NXP Semiconductors")</f>
        <v>NXP Semiconductors</v>
      </c>
      <c r="C18806" s="6">
        <v>2400</v>
      </c>
      <c r="D18806" s="7">
        <v>1.06</v>
      </c>
    </row>
    <row r="18807" spans="1:4" x14ac:dyDescent="0.25">
      <c r="A18807" t="str">
        <f>HYPERLINK("https://www.773grp.com/globalSearch/74LVC161D112/page-1", "74LVC161D112")</f>
        <v>74LVC161D112</v>
      </c>
      <c r="B18807" s="3" t="str">
        <f>HYPERLINK("https://www.773grp.com/manufacturer/nxp-semiconductor?pageNo=41", "NXP Semiconductors")</f>
        <v>NXP Semiconductors</v>
      </c>
      <c r="C18807" s="6">
        <v>4370</v>
      </c>
      <c r="D18807" s="7">
        <v>1.06</v>
      </c>
    </row>
    <row r="18808" spans="1:4" x14ac:dyDescent="0.25">
      <c r="A18808" t="str">
        <f>HYPERLINK("https://www.773grp.com/globalSearch/74LVC161D118/page-1", "74LVC161D118")</f>
        <v>74LVC161D118</v>
      </c>
      <c r="B18808" s="3" t="str">
        <f>HYPERLINK("https://www.773grp.com/manufacturer/nxp-semiconductor?pageNo=42", "NXP Semiconductors")</f>
        <v>NXP Semiconductors</v>
      </c>
      <c r="C18808" s="6">
        <v>10000</v>
      </c>
      <c r="D18808" s="7">
        <v>1.06</v>
      </c>
    </row>
    <row r="18809" spans="1:4" x14ac:dyDescent="0.25">
      <c r="A18809" t="str">
        <f>HYPERLINK("https://www.773grp.com/globalSearch/74LVC161PW118/page-1", "74LVC161PW118")</f>
        <v>74LVC161PW118</v>
      </c>
      <c r="B18809" s="3" t="str">
        <f>HYPERLINK("https://www.773grp.com/manufacturer/nxp-semiconductor?pageNo=43", "NXP Semiconductors")</f>
        <v>NXP Semiconductors</v>
      </c>
      <c r="C18809" s="6">
        <v>9900</v>
      </c>
      <c r="D18809" s="7">
        <v>1.06</v>
      </c>
    </row>
    <row r="18810" spans="1:4" x14ac:dyDescent="0.25">
      <c r="A18810" t="str">
        <f>HYPERLINK("https://www.773grp.com/globalSearch/74LVC1G332GM115/page-1", "74LVC1G332GM115")</f>
        <v>74LVC1G332GM115</v>
      </c>
      <c r="B18810" s="3" t="str">
        <f>HYPERLINK("https://www.773grp.com/manufacturer/nxp-semiconductor?pageNo=44", "NXP Semiconductors")</f>
        <v>NXP Semiconductors</v>
      </c>
      <c r="C18810" s="6">
        <v>10100</v>
      </c>
      <c r="D18810" s="7">
        <v>1.06</v>
      </c>
    </row>
    <row r="18811" spans="1:4" x14ac:dyDescent="0.25">
      <c r="A18811" t="str">
        <f>HYPERLINK("https://www.773grp.com/globalSearch/74LVC244ABX115/page-1", "74LVC244ABX115")</f>
        <v>74LVC244ABX115</v>
      </c>
      <c r="B18811" s="3" t="str">
        <f>HYPERLINK("https://www.773grp.com/manufacturer/nxp-semiconductor?pageNo=45", "NXP Semiconductors")</f>
        <v>NXP Semiconductors</v>
      </c>
      <c r="C18811" s="6">
        <v>4000</v>
      </c>
      <c r="D18811" s="7">
        <v>1.06</v>
      </c>
    </row>
    <row r="18812" spans="1:4" x14ac:dyDescent="0.25">
      <c r="A18812" t="str">
        <f>HYPERLINK("https://www.773grp.com/globalSearch/74LVC2G00GM125/page-1", "74LVC2G00GM125")</f>
        <v>74LVC2G00GM125</v>
      </c>
      <c r="B18812" s="3" t="str">
        <f>HYPERLINK("https://www.773grp.com/manufacturer/nxp-semiconductor?pageNo=46", "NXP Semiconductors")</f>
        <v>NXP Semiconductors</v>
      </c>
      <c r="C18812" s="6">
        <v>4388</v>
      </c>
      <c r="D18812" s="7">
        <v>1.06</v>
      </c>
    </row>
    <row r="18813" spans="1:4" x14ac:dyDescent="0.25">
      <c r="A18813" t="str">
        <f>HYPERLINK("https://www.773grp.com/globalSearch/74LVC2G02GM125/page-1", "74LVC2G02GM125")</f>
        <v>74LVC2G02GM125</v>
      </c>
      <c r="B18813" s="3" t="str">
        <f>HYPERLINK("https://www.773grp.com/manufacturer/nxp-semiconductor?pageNo=47", "NXP Semiconductors")</f>
        <v>NXP Semiconductors</v>
      </c>
      <c r="C18813" s="6">
        <v>4300</v>
      </c>
      <c r="D18813" s="7">
        <v>1.06</v>
      </c>
    </row>
    <row r="18814" spans="1:4" x14ac:dyDescent="0.25">
      <c r="A18814" t="str">
        <f>HYPERLINK("https://www.773grp.com/globalSearch/74LVC2G125GM125/page-1", "74LVC2G125GM125")</f>
        <v>74LVC2G125GM125</v>
      </c>
      <c r="B18814" s="3" t="str">
        <f>HYPERLINK("https://www.773grp.com/manufacturer/nxp-semiconductor?pageNo=48", "NXP Semiconductors")</f>
        <v>NXP Semiconductors</v>
      </c>
      <c r="C18814" s="6">
        <v>40000</v>
      </c>
      <c r="D18814" s="7">
        <v>1.06</v>
      </c>
    </row>
    <row r="18815" spans="1:4" x14ac:dyDescent="0.25">
      <c r="A18815" t="str">
        <f>HYPERLINK("https://www.773grp.com/globalSearch/74LVC2G126GM125/page-1", "74LVC2G126GM125")</f>
        <v>74LVC2G126GM125</v>
      </c>
      <c r="B18815" s="3" t="str">
        <f>HYPERLINK("https://www.773grp.com/manufacturer/nxp-semiconductor?pageNo=1", "NXP Semiconductors")</f>
        <v>NXP Semiconductors</v>
      </c>
      <c r="C18815" s="6">
        <v>300</v>
      </c>
      <c r="D18815" s="7">
        <v>1.06</v>
      </c>
    </row>
    <row r="18816" spans="1:4" x14ac:dyDescent="0.25">
      <c r="A18816" t="str">
        <f>HYPERLINK("https://www.773grp.com/globalSearch/74LVC2G240GM125/page-1", "74LVC2G240GM125")</f>
        <v>74LVC2G240GM125</v>
      </c>
      <c r="B18816" s="3" t="str">
        <f>HYPERLINK("https://www.773grp.com/manufacturer/nxp-semiconductor?pageNo=2", "NXP Semiconductors")</f>
        <v>NXP Semiconductors</v>
      </c>
      <c r="C18816" s="6">
        <v>4000</v>
      </c>
      <c r="D18816" s="7">
        <v>1.06</v>
      </c>
    </row>
    <row r="18817" spans="1:4" x14ac:dyDescent="0.25">
      <c r="A18817" t="str">
        <f>HYPERLINK("https://www.773grp.com/globalSearch/74LVC2G32GM125/page-1", "74LVC2G32GM125")</f>
        <v>74LVC2G32GM125</v>
      </c>
      <c r="B18817" s="3" t="str">
        <f>HYPERLINK("https://www.773grp.com/manufacturer/nxp-semiconductor?pageNo=3", "NXP Semiconductors")</f>
        <v>NXP Semiconductors</v>
      </c>
      <c r="C18817" s="6">
        <v>92</v>
      </c>
      <c r="D18817" s="7">
        <v>1.06</v>
      </c>
    </row>
    <row r="18818" spans="1:4" x14ac:dyDescent="0.25">
      <c r="A18818" t="str">
        <f>HYPERLINK("https://www.773grp.com/globalSearch/74LVC2G74GM125/page-1", "74LVC2G74GM125")</f>
        <v>74LVC2G74GM125</v>
      </c>
      <c r="B18818" s="3" t="str">
        <f>HYPERLINK("https://www.773grp.com/manufacturer/nxp-semiconductor?pageNo=4", "NXP Semiconductors")</f>
        <v>NXP Semiconductors</v>
      </c>
      <c r="C18818" s="6">
        <v>150</v>
      </c>
      <c r="D18818" s="7">
        <v>1.06</v>
      </c>
    </row>
    <row r="18819" spans="1:4" x14ac:dyDescent="0.25">
      <c r="A18819" t="str">
        <f>HYPERLINK("https://www.773grp.com/globalSearch/74LVC2G86GM125/page-1", "74LVC2G86GM125")</f>
        <v>74LVC2G86GM125</v>
      </c>
      <c r="B18819" s="3" t="str">
        <f>HYPERLINK("https://www.773grp.com/manufacturer/nxp-semiconductor?pageNo=5", "NXP Semiconductors")</f>
        <v>NXP Semiconductors</v>
      </c>
      <c r="C18819" s="6">
        <v>300</v>
      </c>
      <c r="D18819" s="7">
        <v>1.06</v>
      </c>
    </row>
    <row r="18820" spans="1:4" x14ac:dyDescent="0.25">
      <c r="A18820" t="str">
        <f>HYPERLINK("https://www.773grp.com/globalSearch/74LVC377D112/page-1", "74LVC377D112")</f>
        <v>74LVC377D112</v>
      </c>
      <c r="B18820" s="3" t="str">
        <f>HYPERLINK("https://www.773grp.com/manufacturer/nxp-semiconductor?pageNo=6", "NXP Semiconductors")</f>
        <v>NXP Semiconductors</v>
      </c>
      <c r="C18820" s="6">
        <v>1634</v>
      </c>
      <c r="D18820" s="7">
        <v>1.06</v>
      </c>
    </row>
    <row r="18821" spans="1:4" x14ac:dyDescent="0.25">
      <c r="A18821" t="str">
        <f>HYPERLINK("https://www.773grp.com/globalSearch/74LVC3G04GM125/page-1", "74LVC3G04GM125")</f>
        <v>74LVC3G04GM125</v>
      </c>
      <c r="B18821" s="3" t="str">
        <f>HYPERLINK("https://www.773grp.com/manufacturer/nxp-semiconductor?pageNo=7", "NXP Semiconductors")</f>
        <v>NXP Semiconductors</v>
      </c>
      <c r="C18821" s="6">
        <v>4297</v>
      </c>
      <c r="D18821" s="7">
        <v>1.06</v>
      </c>
    </row>
    <row r="18822" spans="1:4" x14ac:dyDescent="0.25">
      <c r="A18822" t="str">
        <f>HYPERLINK("https://www.773grp.com/globalSearch/74LVC3G07GM125/page-1", "74LVC3G07GM125")</f>
        <v>74LVC3G07GM125</v>
      </c>
      <c r="B18822" s="3" t="str">
        <f>HYPERLINK("https://www.773grp.com/manufacturer/nxp-semiconductor?pageNo=8", "NXP Semiconductors")</f>
        <v>NXP Semiconductors</v>
      </c>
      <c r="C18822" s="6">
        <v>300</v>
      </c>
      <c r="D18822" s="7">
        <v>1.06</v>
      </c>
    </row>
    <row r="18823" spans="1:4" x14ac:dyDescent="0.25">
      <c r="A18823" t="str">
        <f>HYPERLINK("https://www.773grp.com/globalSearch/74LVC3G17GM125/page-1", "74LVC3G17GM125")</f>
        <v>74LVC3G17GM125</v>
      </c>
      <c r="B18823" s="3" t="str">
        <f>HYPERLINK("https://www.773grp.com/manufacturer/nxp-semiconductor?pageNo=9", "NXP Semiconductors")</f>
        <v>NXP Semiconductors</v>
      </c>
      <c r="C18823" s="6">
        <v>196</v>
      </c>
      <c r="D18823" s="7">
        <v>1.06</v>
      </c>
    </row>
    <row r="18824" spans="1:4" x14ac:dyDescent="0.25">
      <c r="A18824" t="str">
        <f>HYPERLINK("https://www.773grp.com/globalSearch/74LVC4066PW118/page-1", "74LVC4066PW118")</f>
        <v>74LVC4066PW118</v>
      </c>
      <c r="B18824" s="3" t="str">
        <f>HYPERLINK("https://www.773grp.com/manufacturer/nxp-semiconductor?pageNo=10", "NXP Semiconductors")</f>
        <v>NXP Semiconductors</v>
      </c>
      <c r="C18824" s="6">
        <v>1580</v>
      </c>
      <c r="D18824" s="7">
        <v>1.06</v>
      </c>
    </row>
    <row r="18825" spans="1:4" x14ac:dyDescent="0.25">
      <c r="A18825" t="str">
        <f>HYPERLINK("https://www.773grp.com/globalSearch/74LVC594AD112/page-1", "74LVC594AD112")</f>
        <v>74LVC594AD112</v>
      </c>
      <c r="B18825" s="3" t="str">
        <f>HYPERLINK("https://www.773grp.com/manufacturer/nxp-semiconductor?pageNo=11", "NXP Semiconductors")</f>
        <v>NXP Semiconductors</v>
      </c>
      <c r="C18825" s="6">
        <v>2000</v>
      </c>
      <c r="D18825" s="7">
        <v>1.06</v>
      </c>
    </row>
    <row r="18826" spans="1:4" x14ac:dyDescent="0.25">
      <c r="A18826" t="str">
        <f>HYPERLINK("https://www.773grp.com/globalSearch/74LVC594AD118/page-1", "74LVC594AD118")</f>
        <v>74LVC594AD118</v>
      </c>
      <c r="B18826" s="3" t="str">
        <f>HYPERLINK("https://www.773grp.com/manufacturer/nxp-semiconductor?pageNo=12", "NXP Semiconductors")</f>
        <v>NXP Semiconductors</v>
      </c>
      <c r="C18826" s="6">
        <v>2500</v>
      </c>
      <c r="D18826" s="7">
        <v>1.06</v>
      </c>
    </row>
    <row r="18827" spans="1:4" x14ac:dyDescent="0.25">
      <c r="A18827" t="str">
        <f>HYPERLINK("https://www.773grp.com/globalSearch/74LVC8T245PW118/page-1", "74LVC8T245PW118")</f>
        <v>74LVC8T245PW118</v>
      </c>
      <c r="B18827" s="3" t="str">
        <f>HYPERLINK("https://www.773grp.com/manufacturer/nxp-semiconductor?pageNo=13", "NXP Semiconductors")</f>
        <v>NXP Semiconductors</v>
      </c>
      <c r="C18827" s="6">
        <v>2500</v>
      </c>
      <c r="D18827" s="7">
        <v>1.06</v>
      </c>
    </row>
    <row r="18828" spans="1:4" x14ac:dyDescent="0.25">
      <c r="A18828" t="str">
        <f>HYPERLINK("https://www.773grp.com/globalSearch/74LVCH244ABX115/page-1", "74LVCH244ABX115")</f>
        <v>74LVCH244ABX115</v>
      </c>
      <c r="B18828" s="3" t="str">
        <f>HYPERLINK("https://www.773grp.com/manufacturer/nxp-semiconductor?pageNo=14", "NXP Semiconductors")</f>
        <v>NXP Semiconductors</v>
      </c>
      <c r="C18828" s="6">
        <v>300</v>
      </c>
      <c r="D18828" s="7">
        <v>1.06</v>
      </c>
    </row>
    <row r="18829" spans="1:4" x14ac:dyDescent="0.25">
      <c r="A18829" t="str">
        <f>HYPERLINK("https://www.773grp.com/globalSearch/BGU8007115/page-1", "BGU8007115")</f>
        <v>BGU8007115</v>
      </c>
      <c r="B18829" s="3" t="str">
        <f>HYPERLINK("https://www.773grp.com/manufacturer/nxp-semiconductor?pageNo=15", "NXP Semiconductors")</f>
        <v>NXP Semiconductors</v>
      </c>
      <c r="C18829" s="6">
        <v>320</v>
      </c>
      <c r="D18829" s="7">
        <v>1.06</v>
      </c>
    </row>
    <row r="18830" spans="1:4" x14ac:dyDescent="0.25">
      <c r="A18830" t="str">
        <f>HYPERLINK("https://www.773grp.com/globalSearch/BT137B-600F118/page-1", "BT137B-600F118")</f>
        <v>BT137B-600F118</v>
      </c>
      <c r="B18830" s="3" t="str">
        <f>HYPERLINK("https://www.773grp.com/manufacturer/nxp-semiconductor?pageNo=16", "NXP Semiconductors")</f>
        <v>NXP Semiconductors</v>
      </c>
      <c r="C18830" s="6">
        <v>100</v>
      </c>
      <c r="D18830" s="7">
        <v>1.06</v>
      </c>
    </row>
    <row r="18831" spans="1:4" x14ac:dyDescent="0.25">
      <c r="A18831" t="str">
        <f>HYPERLINK("https://www.773grp.com/globalSearch/BT150S-600R118/page-1", "BT150S-600R118")</f>
        <v>BT150S-600R118</v>
      </c>
      <c r="B18831" s="3" t="str">
        <f>HYPERLINK("https://www.773grp.com/manufacturer/nxp-semiconductor?pageNo=17", "NXP Semiconductors")</f>
        <v>NXP Semiconductors</v>
      </c>
      <c r="C18831" s="6">
        <v>5622</v>
      </c>
      <c r="D18831" s="7">
        <v>1.06</v>
      </c>
    </row>
    <row r="18832" spans="1:4" x14ac:dyDescent="0.25">
      <c r="A18832" t="str">
        <f>HYPERLINK("https://www.773grp.com/globalSearch/BT151-500RT127/page-1", "BT151-500RT127")</f>
        <v>BT151-500RT127</v>
      </c>
      <c r="B18832" s="3" t="str">
        <f>HYPERLINK("https://www.773grp.com/manufacturer/nxp-semiconductor?pageNo=18", "NXP Semiconductors")</f>
        <v>NXP Semiconductors</v>
      </c>
      <c r="C18832" s="6">
        <v>144</v>
      </c>
      <c r="D18832" s="7">
        <v>1.06</v>
      </c>
    </row>
    <row r="18833" spans="1:4" x14ac:dyDescent="0.25">
      <c r="A18833" t="str">
        <f>HYPERLINK("https://www.773grp.com/globalSearch/BT151-800C127/page-1", "BT151-800C127")</f>
        <v>BT151-800C127</v>
      </c>
      <c r="B18833" s="3" t="str">
        <f>HYPERLINK("https://www.773grp.com/manufacturer/nxp-semiconductor?pageNo=19", "NXP Semiconductors")</f>
        <v>NXP Semiconductors</v>
      </c>
      <c r="C18833" s="6">
        <v>1000</v>
      </c>
      <c r="D18833" s="7">
        <v>1.06</v>
      </c>
    </row>
    <row r="18834" spans="1:4" x14ac:dyDescent="0.25">
      <c r="A18834" t="str">
        <f>HYPERLINK("https://www.773grp.com/globalSearch/BT151-800R127/page-1", "BT151-800R127")</f>
        <v>BT151-800R127</v>
      </c>
      <c r="B18834" s="3" t="str">
        <f>HYPERLINK("https://www.773grp.com/manufacturer/nxp-semiconductor?pageNo=20", "NXP Semiconductors")</f>
        <v>NXP Semiconductors</v>
      </c>
      <c r="C18834" s="6">
        <v>6900</v>
      </c>
      <c r="D18834" s="7">
        <v>1.06</v>
      </c>
    </row>
    <row r="18835" spans="1:4" x14ac:dyDescent="0.25">
      <c r="A18835" t="str">
        <f>HYPERLINK("https://www.773grp.com/globalSearch/BT151S-800R118/page-1", "BT151S-800R118")</f>
        <v>BT151S-800R118</v>
      </c>
      <c r="B18835" s="3" t="str">
        <f>HYPERLINK("https://www.773grp.com/manufacturer/nxp-semiconductor?pageNo=21", "NXP Semiconductors")</f>
        <v>NXP Semiconductors</v>
      </c>
      <c r="C18835" s="6">
        <v>7500</v>
      </c>
      <c r="D18835" s="7">
        <v>1.06</v>
      </c>
    </row>
    <row r="18836" spans="1:4" x14ac:dyDescent="0.25">
      <c r="A18836" t="str">
        <f>HYPERLINK("https://www.773grp.com/globalSearch/BT151X-800R127/page-1", "BT151X-800R127")</f>
        <v>BT151X-800R127</v>
      </c>
      <c r="B18836" s="3" t="str">
        <f>HYPERLINK("https://www.773grp.com/manufacturer/nxp-semiconductor?pageNo=22", "NXP Semiconductors")</f>
        <v>NXP Semiconductors</v>
      </c>
      <c r="C18836" s="6">
        <v>7000</v>
      </c>
      <c r="D18836" s="7">
        <v>1.06</v>
      </c>
    </row>
    <row r="18837" spans="1:4" x14ac:dyDescent="0.25">
      <c r="A18837" t="str">
        <f>HYPERLINK("https://www.773grp.com/globalSearch/BUJ103A127/page-1", "BUJ103A127")</f>
        <v>BUJ103A127</v>
      </c>
      <c r="B18837" s="3" t="str">
        <f>HYPERLINK("https://www.773grp.com/manufacturer/nxp-semiconductor?pageNo=23", "NXP Semiconductors")</f>
        <v>NXP Semiconductors</v>
      </c>
      <c r="C18837" s="6">
        <v>76800</v>
      </c>
      <c r="D18837" s="7">
        <v>1.06</v>
      </c>
    </row>
    <row r="18838" spans="1:4" x14ac:dyDescent="0.25">
      <c r="A18838" t="str">
        <f>HYPERLINK("https://www.773grp.com/globalSearch/BUJD103AD118/page-1", "BUJD103AD118")</f>
        <v>BUJD103AD118</v>
      </c>
      <c r="B18838" s="3" t="str">
        <f>HYPERLINK("https://www.773grp.com/manufacturer/nxp-semiconductor?pageNo=24", "NXP Semiconductors")</f>
        <v>NXP Semiconductors</v>
      </c>
      <c r="C18838" s="6">
        <v>5000</v>
      </c>
      <c r="D18838" s="7">
        <v>1.06</v>
      </c>
    </row>
    <row r="18839" spans="1:4" x14ac:dyDescent="0.25">
      <c r="A18839" t="str">
        <f>HYPERLINK("https://www.773grp.com/globalSearch/BUJD203AD118/page-1", "BUJD203AD118")</f>
        <v>BUJD203AD118</v>
      </c>
      <c r="B18839" s="3" t="str">
        <f>HYPERLINK("https://www.773grp.com/manufacturer/nxp-semiconductor?pageNo=25", "NXP Semiconductors")</f>
        <v>NXP Semiconductors</v>
      </c>
      <c r="C18839" s="6">
        <v>261</v>
      </c>
      <c r="D18839" s="7">
        <v>1.06</v>
      </c>
    </row>
    <row r="18840" spans="1:4" x14ac:dyDescent="0.25">
      <c r="A18840" t="str">
        <f>HYPERLINK("https://www.773grp.com/globalSearch/BYQ28ED-200118/page-1", "BYQ28ED-200118")</f>
        <v>BYQ28ED-200118</v>
      </c>
      <c r="B18840" s="3" t="str">
        <f>HYPERLINK("https://www.773grp.com/manufacturer/nxp-semiconductor?pageNo=26", "NXP Semiconductors")</f>
        <v>NXP Semiconductors</v>
      </c>
      <c r="C18840" s="6">
        <v>10000</v>
      </c>
      <c r="D18840" s="7">
        <v>1.06</v>
      </c>
    </row>
    <row r="18841" spans="1:4" x14ac:dyDescent="0.25">
      <c r="A18841" t="str">
        <f>HYPERLINK("https://www.773grp.com/globalSearch/BYV25FD-600118/page-1", "BYV25FD-600118")</f>
        <v>BYV25FD-600118</v>
      </c>
      <c r="B18841" s="3" t="str">
        <f>HYPERLINK("https://www.773grp.com/manufacturer/nxp-semiconductor?pageNo=27", "NXP Semiconductors")</f>
        <v>NXP Semiconductors</v>
      </c>
      <c r="C18841" s="6">
        <v>12262</v>
      </c>
      <c r="D18841" s="7">
        <v>1.06</v>
      </c>
    </row>
    <row r="18842" spans="1:4" x14ac:dyDescent="0.25">
      <c r="A18842" t="str">
        <f>HYPERLINK("https://www.773grp.com/globalSearch/BZV90-C12115/page-1", "BZV90-C12115")</f>
        <v>BZV90-C12115</v>
      </c>
      <c r="B18842" s="3" t="str">
        <f>HYPERLINK("https://www.773grp.com/manufacturer/nxp-semiconductor?pageNo=28", "NXP Semiconductors")</f>
        <v>NXP Semiconductors</v>
      </c>
      <c r="C18842" s="6">
        <v>4427</v>
      </c>
      <c r="D18842" s="7">
        <v>1.06</v>
      </c>
    </row>
    <row r="18843" spans="1:4" x14ac:dyDescent="0.25">
      <c r="A18843" t="str">
        <f>HYPERLINK("https://www.773grp.com/globalSearch/BZV90-C18115/page-1", "BZV90-C18115")</f>
        <v>BZV90-C18115</v>
      </c>
      <c r="B18843" s="3" t="str">
        <f>HYPERLINK("https://www.773grp.com/manufacturer/nxp-semiconductor?pageNo=29", "NXP Semiconductors")</f>
        <v>NXP Semiconductors</v>
      </c>
      <c r="C18843" s="6">
        <v>897</v>
      </c>
      <c r="D18843" s="7">
        <v>1.06</v>
      </c>
    </row>
    <row r="18844" spans="1:4" x14ac:dyDescent="0.25">
      <c r="A18844" t="str">
        <f>HYPERLINK("https://www.773grp.com/globalSearch/BZV90-C20115/page-1", "BZV90-C20115")</f>
        <v>BZV90-C20115</v>
      </c>
      <c r="B18844" s="3" t="str">
        <f>HYPERLINK("https://www.773grp.com/manufacturer/nxp-semiconductor?pageNo=30", "NXP Semiconductors")</f>
        <v>NXP Semiconductors</v>
      </c>
      <c r="C18844" s="6">
        <v>2944</v>
      </c>
      <c r="D18844" s="7">
        <v>1.06</v>
      </c>
    </row>
    <row r="18845" spans="1:4" x14ac:dyDescent="0.25">
      <c r="A18845" t="str">
        <f>HYPERLINK("https://www.773grp.com/globalSearch/BZV90-C22115/page-1", "BZV90-C22115")</f>
        <v>BZV90-C22115</v>
      </c>
      <c r="B18845" s="3" t="str">
        <f>HYPERLINK("https://www.773grp.com/manufacturer/nxp-semiconductor?pageNo=31", "NXP Semiconductors")</f>
        <v>NXP Semiconductors</v>
      </c>
      <c r="C18845" s="6">
        <v>2000</v>
      </c>
      <c r="D18845" s="7">
        <v>1.06</v>
      </c>
    </row>
    <row r="18846" spans="1:4" x14ac:dyDescent="0.25">
      <c r="A18846" t="str">
        <f>HYPERLINK("https://www.773grp.com/globalSearch/BZV90-C2V4115/page-1", "BZV90-C2V4115")</f>
        <v>BZV90-C2V4115</v>
      </c>
      <c r="B18846" s="3" t="str">
        <f>HYPERLINK("https://www.773grp.com/manufacturer/nxp-semiconductor?pageNo=32", "NXP Semiconductors")</f>
        <v>NXP Semiconductors</v>
      </c>
      <c r="C18846" s="6">
        <v>3000</v>
      </c>
      <c r="D18846" s="7">
        <v>1.06</v>
      </c>
    </row>
    <row r="18847" spans="1:4" x14ac:dyDescent="0.25">
      <c r="A18847" t="str">
        <f>HYPERLINK("https://www.773grp.com/globalSearch/BZV90-C30115/page-1", "BZV90-C30115")</f>
        <v>BZV90-C30115</v>
      </c>
      <c r="B18847" s="3" t="str">
        <f>HYPERLINK("https://www.773grp.com/manufacturer/nxp-semiconductor?pageNo=33", "NXP Semiconductors")</f>
        <v>NXP Semiconductors</v>
      </c>
      <c r="C18847" s="6">
        <v>1935</v>
      </c>
      <c r="D18847" s="7">
        <v>1.06</v>
      </c>
    </row>
    <row r="18848" spans="1:4" x14ac:dyDescent="0.25">
      <c r="A18848" t="str">
        <f>HYPERLINK("https://www.773grp.com/globalSearch/BZV90-C36115/page-1", "BZV90-C36115")</f>
        <v>BZV90-C36115</v>
      </c>
      <c r="B18848" s="3" t="str">
        <f>HYPERLINK("https://www.773grp.com/manufacturer/nxp-semiconductor?pageNo=34", "NXP Semiconductors")</f>
        <v>NXP Semiconductors</v>
      </c>
      <c r="C18848" s="6">
        <v>2960</v>
      </c>
      <c r="D18848" s="7">
        <v>1.06</v>
      </c>
    </row>
    <row r="18849" spans="1:4" x14ac:dyDescent="0.25">
      <c r="A18849" t="str">
        <f>HYPERLINK("https://www.773grp.com/globalSearch/BZV90-C3V0115/page-1", "BZV90-C3V0115")</f>
        <v>BZV90-C3V0115</v>
      </c>
      <c r="B18849" s="3" t="str">
        <f>HYPERLINK("https://www.773grp.com/manufacturer/nxp-semiconductor?pageNo=35", "NXP Semiconductors")</f>
        <v>NXP Semiconductors</v>
      </c>
      <c r="C18849" s="6">
        <v>1907</v>
      </c>
      <c r="D18849" s="7">
        <v>1.06</v>
      </c>
    </row>
    <row r="18850" spans="1:4" x14ac:dyDescent="0.25">
      <c r="A18850" t="str">
        <f>HYPERLINK("https://www.773grp.com/globalSearch/BZV90-C5V1115/page-1", "BZV90-C5V1115")</f>
        <v>BZV90-C5V1115</v>
      </c>
      <c r="B18850" s="3" t="str">
        <f>HYPERLINK("https://www.773grp.com/manufacturer/nxp-semiconductor?pageNo=36", "NXP Semiconductors")</f>
        <v>NXP Semiconductors</v>
      </c>
      <c r="C18850" s="6">
        <v>528</v>
      </c>
      <c r="D18850" s="7">
        <v>1.06</v>
      </c>
    </row>
    <row r="18851" spans="1:4" x14ac:dyDescent="0.25">
      <c r="A18851" t="str">
        <f>HYPERLINK("https://www.773grp.com/globalSearch/BZV90-C68115/page-1", "BZV90-C68115")</f>
        <v>BZV90-C68115</v>
      </c>
      <c r="B18851" s="3" t="str">
        <f>HYPERLINK("https://www.773grp.com/manufacturer/nxp-semiconductor?pageNo=37", "NXP Semiconductors")</f>
        <v>NXP Semiconductors</v>
      </c>
      <c r="C18851" s="6">
        <v>2000</v>
      </c>
      <c r="D18851" s="7">
        <v>1.06</v>
      </c>
    </row>
    <row r="18852" spans="1:4" x14ac:dyDescent="0.25">
      <c r="A18852" t="str">
        <f>HYPERLINK("https://www.773grp.com/globalSearch/BZV90-C6V2115/page-1", "BZV90-C6V2115")</f>
        <v>BZV90-C6V2115</v>
      </c>
      <c r="B18852" s="3" t="str">
        <f>HYPERLINK("https://www.773grp.com/manufacturer/nxp-semiconductor?pageNo=38", "NXP Semiconductors")</f>
        <v>NXP Semiconductors</v>
      </c>
      <c r="C18852" s="6">
        <v>1835</v>
      </c>
      <c r="D18852" s="7">
        <v>1.06</v>
      </c>
    </row>
    <row r="18853" spans="1:4" x14ac:dyDescent="0.25">
      <c r="A18853" t="str">
        <f>HYPERLINK("https://www.773grp.com/globalSearch/BZV90-C6V8115/page-1", "BZV90-C6V8115")</f>
        <v>BZV90-C6V8115</v>
      </c>
      <c r="B18853" s="3" t="str">
        <f>HYPERLINK("https://www.773grp.com/manufacturer/nxp-semiconductor?pageNo=39", "NXP Semiconductors")</f>
        <v>NXP Semiconductors</v>
      </c>
      <c r="C18853" s="6">
        <v>3150</v>
      </c>
      <c r="D18853" s="7">
        <v>1.06</v>
      </c>
    </row>
    <row r="18854" spans="1:4" x14ac:dyDescent="0.25">
      <c r="A18854" t="str">
        <f>HYPERLINK("https://www.773grp.com/globalSearch/BZV90-C8V2115/page-1", "BZV90-C8V2115")</f>
        <v>BZV90-C8V2115</v>
      </c>
      <c r="B18854" s="3" t="str">
        <f>HYPERLINK("https://www.773grp.com/manufacturer/nxp-semiconductor?pageNo=40", "NXP Semiconductors")</f>
        <v>NXP Semiconductors</v>
      </c>
      <c r="C18854" s="6">
        <v>1440</v>
      </c>
      <c r="D18854" s="7">
        <v>1.06</v>
      </c>
    </row>
    <row r="18855" spans="1:4" x14ac:dyDescent="0.25">
      <c r="A18855" t="str">
        <f>HYPERLINK("https://www.773grp.com/globalSearch/BZV90-C9V1115/page-1", "BZV90-C9V1115")</f>
        <v>BZV90-C9V1115</v>
      </c>
      <c r="B18855" s="3" t="str">
        <f>HYPERLINK("https://www.773grp.com/manufacturer/nxp-semiconductor?pageNo=41", "NXP Semiconductors")</f>
        <v>NXP Semiconductors</v>
      </c>
      <c r="C18855" s="6">
        <v>2000</v>
      </c>
      <c r="D18855" s="7">
        <v>1.06</v>
      </c>
    </row>
    <row r="18856" spans="1:4" x14ac:dyDescent="0.25">
      <c r="A18856" t="str">
        <f>HYPERLINK("https://www.773grp.com/globalSearch/CBTD3861BQ118/page-1", "CBTD3861BQ118")</f>
        <v>CBTD3861BQ118</v>
      </c>
      <c r="B18856" s="3" t="str">
        <f>HYPERLINK("https://www.773grp.com/manufacturer/nxp-semiconductor?pageNo=42", "NXP Semiconductors")</f>
        <v>NXP Semiconductors</v>
      </c>
      <c r="C18856" s="6">
        <v>3000</v>
      </c>
      <c r="D18856" s="7">
        <v>1.06</v>
      </c>
    </row>
    <row r="18857" spans="1:4" x14ac:dyDescent="0.25">
      <c r="A18857" t="str">
        <f>HYPERLINK("https://www.773grp.com/globalSearch/N74F244D602/page-1", "N74F244D602")</f>
        <v>N74F244D602</v>
      </c>
      <c r="B18857" s="3" t="str">
        <f>HYPERLINK("https://www.773grp.com/manufacturer/nxp-semiconductor?pageNo=43", "NXP Semiconductors")</f>
        <v>NXP Semiconductors</v>
      </c>
      <c r="C18857" s="6">
        <v>11990</v>
      </c>
      <c r="D18857" s="7">
        <v>1.06</v>
      </c>
    </row>
    <row r="18858" spans="1:4" x14ac:dyDescent="0.25">
      <c r="A18858" t="str">
        <f>HYPERLINK("https://www.773grp.com/globalSearch/N74F245D602/page-1", "N74F245D602")</f>
        <v>N74F245D602</v>
      </c>
      <c r="B18858" s="3" t="str">
        <f>HYPERLINK("https://www.773grp.com/manufacturer/nxp-semiconductor?pageNo=44", "NXP Semiconductors")</f>
        <v>NXP Semiconductors</v>
      </c>
      <c r="C18858" s="6">
        <v>1520</v>
      </c>
      <c r="D18858" s="7">
        <v>1.06</v>
      </c>
    </row>
    <row r="18859" spans="1:4" x14ac:dyDescent="0.25">
      <c r="A18859" t="str">
        <f>HYPERLINK("https://www.773grp.com/globalSearch/N74F373D602/page-1", "N74F373D602")</f>
        <v>N74F373D602</v>
      </c>
      <c r="B18859" s="3" t="str">
        <f>HYPERLINK("https://www.773grp.com/manufacturer/nxp-semiconductor?pageNo=45", "NXP Semiconductors")</f>
        <v>NXP Semiconductors</v>
      </c>
      <c r="C18859" s="6">
        <v>4560</v>
      </c>
      <c r="D18859" s="7">
        <v>1.06</v>
      </c>
    </row>
    <row r="18860" spans="1:4" x14ac:dyDescent="0.25">
      <c r="A18860" t="str">
        <f>HYPERLINK("https://www.773grp.com/globalSearch/NX3L1G53GM125/page-1", "NX3L1G53GM125")</f>
        <v>NX3L1G53GM125</v>
      </c>
      <c r="B18860" s="3" t="str">
        <f>HYPERLINK("https://www.773grp.com/manufacturer/nxp-semiconductor?pageNo=46", "NXP Semiconductors")</f>
        <v>NXP Semiconductors</v>
      </c>
      <c r="C18860" s="6">
        <v>21248</v>
      </c>
      <c r="D18860" s="7">
        <v>1.06</v>
      </c>
    </row>
    <row r="18861" spans="1:4" x14ac:dyDescent="0.25">
      <c r="A18861" t="str">
        <f>HYPERLINK("https://www.773grp.com/globalSearch/NX3L1G53GT115/page-1", "NX3L1G53GT115")</f>
        <v>NX3L1G53GT115</v>
      </c>
      <c r="B18861" s="3" t="str">
        <f>HYPERLINK("https://www.773grp.com/manufacturer/nxp-semiconductor?pageNo=47", "NXP Semiconductors")</f>
        <v>NXP Semiconductors</v>
      </c>
      <c r="C18861" s="6">
        <v>20100</v>
      </c>
      <c r="D18861" s="7">
        <v>1.06</v>
      </c>
    </row>
    <row r="18862" spans="1:4" x14ac:dyDescent="0.25">
      <c r="A18862" t="str">
        <f>HYPERLINK("https://www.773grp.com/globalSearch/NX5DV330D112/page-1", "NX5DV330D112")</f>
        <v>NX5DV330D112</v>
      </c>
      <c r="B18862" s="3" t="str">
        <f>HYPERLINK("https://www.773grp.com/manufacturer/nxp-semiconductor?pageNo=48", "NXP Semiconductors")</f>
        <v>NXP Semiconductors</v>
      </c>
      <c r="C18862" s="6">
        <v>2000</v>
      </c>
      <c r="D18862" s="7">
        <v>1.06</v>
      </c>
    </row>
    <row r="18863" spans="1:4" x14ac:dyDescent="0.25">
      <c r="A18863" t="str">
        <f>HYPERLINK("https://www.773grp.com/globalSearch/NX5DV330D118/page-1", "NX5DV330D118")</f>
        <v>NX5DV330D118</v>
      </c>
      <c r="B18863" s="3" t="str">
        <f>HYPERLINK("https://www.773grp.com/manufacturer/nxp-semiconductor?pageNo=1", "NXP Semiconductors")</f>
        <v>NXP Semiconductors</v>
      </c>
      <c r="C18863" s="6">
        <v>7771</v>
      </c>
      <c r="D18863" s="7">
        <v>1.06</v>
      </c>
    </row>
    <row r="18864" spans="1:4" x14ac:dyDescent="0.25">
      <c r="A18864" t="str">
        <f>HYPERLINK("https://www.773grp.com/globalSearch/NX5DV330PW112/page-1", "NX5DV330PW112")</f>
        <v>NX5DV330PW112</v>
      </c>
      <c r="B18864" s="3" t="str">
        <f>HYPERLINK("https://www.773grp.com/manufacturer/nxp-semiconductor?pageNo=2", "NXP Semiconductors")</f>
        <v>NXP Semiconductors</v>
      </c>
      <c r="C18864" s="6">
        <v>19200</v>
      </c>
      <c r="D18864" s="7">
        <v>1.06</v>
      </c>
    </row>
    <row r="18865" spans="1:4" x14ac:dyDescent="0.25">
      <c r="A18865" t="str">
        <f>HYPERLINK("https://www.773grp.com/globalSearch/NX5DV330PW118/page-1", "NX5DV330PW118")</f>
        <v>NX5DV330PW118</v>
      </c>
      <c r="B18865" s="3" t="str">
        <f>HYPERLINK("https://www.773grp.com/manufacturer/nxp-semiconductor?pageNo=3", "NXP Semiconductors")</f>
        <v>NXP Semiconductors</v>
      </c>
      <c r="C18865" s="6">
        <v>150</v>
      </c>
      <c r="D18865" s="7">
        <v>1.06</v>
      </c>
    </row>
    <row r="18866" spans="1:4" x14ac:dyDescent="0.25">
      <c r="A18866" t="str">
        <f>HYPERLINK("https://www.773grp.com/globalSearch/PESD16VX1UL315/page-1", "PESD16VX1UL315")</f>
        <v>PESD16VX1UL315</v>
      </c>
      <c r="B18866" s="3" t="str">
        <f>HYPERLINK("https://www.773grp.com/manufacturer/nxp-semiconductor?pageNo=4", "NXP Semiconductors")</f>
        <v>NXP Semiconductors</v>
      </c>
      <c r="C18866" s="6">
        <v>10000</v>
      </c>
      <c r="D18866" s="7">
        <v>1.06</v>
      </c>
    </row>
    <row r="18867" spans="1:4" x14ac:dyDescent="0.25">
      <c r="A18867" t="str">
        <f>HYPERLINK("https://www.773grp.com/globalSearch/PESD3V3X1BL315/page-1", "PESD3V3X1BL315")</f>
        <v>PESD3V3X1BL315</v>
      </c>
      <c r="B18867" s="3" t="str">
        <f>HYPERLINK("https://www.773grp.com/manufacturer/nxp-semiconductor?pageNo=5", "NXP Semiconductors")</f>
        <v>NXP Semiconductors</v>
      </c>
      <c r="C18867" s="6">
        <v>9494</v>
      </c>
      <c r="D18867" s="7">
        <v>1.06</v>
      </c>
    </row>
    <row r="18868" spans="1:4" x14ac:dyDescent="0.25">
      <c r="A18868" t="str">
        <f>HYPERLINK("https://www.773grp.com/globalSearch/PESD5V0F1BL315/page-1", "PESD5V0F1BL315")</f>
        <v>PESD5V0F1BL315</v>
      </c>
      <c r="B18868" s="3" t="str">
        <f>HYPERLINK("https://www.773grp.com/manufacturer/nxp-semiconductor?pageNo=6", "NXP Semiconductors")</f>
        <v>NXP Semiconductors</v>
      </c>
      <c r="C18868" s="6">
        <v>30000</v>
      </c>
      <c r="D18868" s="7">
        <v>1.06</v>
      </c>
    </row>
    <row r="18869" spans="1:4" x14ac:dyDescent="0.25">
      <c r="A18869" t="str">
        <f>HYPERLINK("https://www.773grp.com/globalSearch/PESD5V0V4UF115/page-1", "PESD5V0V4UF115")</f>
        <v>PESD5V0V4UF115</v>
      </c>
      <c r="B18869" s="3" t="str">
        <f>HYPERLINK("https://www.773grp.com/manufacturer/nxp-semiconductor?pageNo=7", "NXP Semiconductors")</f>
        <v>NXP Semiconductors</v>
      </c>
      <c r="C18869" s="6">
        <v>15000</v>
      </c>
      <c r="D18869" s="7">
        <v>1.06</v>
      </c>
    </row>
    <row r="18870" spans="1:4" x14ac:dyDescent="0.25">
      <c r="A18870" t="str">
        <f>HYPERLINK("https://www.773grp.com/globalSearch/PESD5V0X1BQ115/page-1", "PESD5V0X1BQ115")</f>
        <v>PESD5V0X1BQ115</v>
      </c>
      <c r="B18870" s="3" t="str">
        <f>HYPERLINK("https://www.773grp.com/manufacturer/nxp-semiconductor?pageNo=8", "NXP Semiconductors")</f>
        <v>NXP Semiconductors</v>
      </c>
      <c r="C18870" s="6">
        <v>7340</v>
      </c>
      <c r="D18870" s="7">
        <v>1.06</v>
      </c>
    </row>
    <row r="18871" spans="1:4" x14ac:dyDescent="0.25">
      <c r="A18871" t="str">
        <f>HYPERLINK("https://www.773grp.com/globalSearch/PESD5V0X1BT215/page-1", "PESD5V0X1BT215")</f>
        <v>PESD5V0X1BT215</v>
      </c>
      <c r="B18871" s="3" t="str">
        <f>HYPERLINK("https://www.773grp.com/manufacturer/nxp-semiconductor?pageNo=9", "NXP Semiconductors")</f>
        <v>NXP Semiconductors</v>
      </c>
      <c r="C18871" s="6">
        <v>75000</v>
      </c>
      <c r="D18871" s="7">
        <v>1.06</v>
      </c>
    </row>
    <row r="18872" spans="1:4" x14ac:dyDescent="0.25">
      <c r="A18872" t="str">
        <f>HYPERLINK("https://www.773grp.com/globalSearch/PHD20N06T118/page-1", "PHD20N06T118")</f>
        <v>PHD20N06T118</v>
      </c>
      <c r="B18872" s="3" t="str">
        <f>HYPERLINK("https://www.773grp.com/manufacturer/nxp-semiconductor?pageNo=10", "NXP Semiconductors")</f>
        <v>NXP Semiconductors</v>
      </c>
      <c r="C18872" s="6">
        <v>10150</v>
      </c>
      <c r="D18872" s="7">
        <v>1.06</v>
      </c>
    </row>
    <row r="18873" spans="1:4" x14ac:dyDescent="0.25">
      <c r="A18873" t="str">
        <f>HYPERLINK("https://www.773grp.com/globalSearch/PHD3055E118/page-1", "PHD3055E118")</f>
        <v>PHD3055E118</v>
      </c>
      <c r="B18873" s="3" t="str">
        <f>HYPERLINK("https://www.773grp.com/manufacturer/nxp-semiconductor?pageNo=11", "NXP Semiconductors")</f>
        <v>NXP Semiconductors</v>
      </c>
      <c r="C18873" s="6">
        <v>2665</v>
      </c>
      <c r="D18873" s="7">
        <v>1.06</v>
      </c>
    </row>
    <row r="18874" spans="1:4" x14ac:dyDescent="0.25">
      <c r="A18874" t="str">
        <f>HYPERLINK("https://www.773grp.com/globalSearch/PMZ760SN315/page-1", "PMZ760SN315")</f>
        <v>PMZ760SN315</v>
      </c>
      <c r="B18874" s="3" t="str">
        <f>HYPERLINK("https://www.773grp.com/manufacturer/nxp-semiconductor?pageNo=12", "NXP Semiconductors")</f>
        <v>NXP Semiconductors</v>
      </c>
      <c r="C18874" s="6">
        <v>20000</v>
      </c>
      <c r="D18874" s="7">
        <v>1.06</v>
      </c>
    </row>
    <row r="18875" spans="1:4" x14ac:dyDescent="0.25">
      <c r="A18875" t="str">
        <f>HYPERLINK("https://www.773grp.com/globalSearch/PSMN022-30PL127/page-1", "PSMN022-30PL127")</f>
        <v>PSMN022-30PL127</v>
      </c>
      <c r="B18875" s="3" t="str">
        <f>HYPERLINK("https://www.773grp.com/manufacturer/nxp-semiconductor?pageNo=13", "NXP Semiconductors")</f>
        <v>NXP Semiconductors</v>
      </c>
      <c r="C18875" s="6">
        <v>4989</v>
      </c>
      <c r="D18875" s="7">
        <v>1.06</v>
      </c>
    </row>
    <row r="18876" spans="1:4" x14ac:dyDescent="0.25">
      <c r="A18876" t="str">
        <f>HYPERLINK("https://www.773grp.com/globalSearch/XC7WH126DC125/page-1", "XC7WH126DC125")</f>
        <v>XC7WH126DC125</v>
      </c>
      <c r="B18876" s="3" t="str">
        <f>HYPERLINK("https://www.773grp.com/manufacturer/nxp-semiconductor?pageNo=14", "NXP Semiconductors")</f>
        <v>NXP Semiconductors</v>
      </c>
      <c r="C18876" s="6">
        <v>499</v>
      </c>
      <c r="D18876" s="7">
        <v>1.06</v>
      </c>
    </row>
    <row r="18877" spans="1:4" x14ac:dyDescent="0.25">
      <c r="A18877" t="str">
        <f>HYPERLINK("https://www.773grp.com/globalSearch/74ABT244DB112/page-1", "74ABT244DB112")</f>
        <v>74ABT244DB112</v>
      </c>
      <c r="B18877" s="3" t="str">
        <f>HYPERLINK("https://www.773grp.com/manufacturer/nxp-semiconductor?pageNo=15", "NXP Semiconductors")</f>
        <v>NXP Semiconductors</v>
      </c>
      <c r="C18877" s="6">
        <v>5544</v>
      </c>
      <c r="D18877" s="7">
        <v>1.1100000000000001</v>
      </c>
    </row>
    <row r="18878" spans="1:4" x14ac:dyDescent="0.25">
      <c r="A18878" t="str">
        <f>HYPERLINK("https://www.773grp.com/globalSearch/74ABT541DB112/page-1", "74ABT541DB112")</f>
        <v>74ABT541DB112</v>
      </c>
      <c r="B18878" s="3" t="str">
        <f>HYPERLINK("https://www.773grp.com/manufacturer/nxp-semiconductor?pageNo=16", "NXP Semiconductors")</f>
        <v>NXP Semiconductors</v>
      </c>
      <c r="C18878" s="6">
        <v>183</v>
      </c>
      <c r="D18878" s="7">
        <v>1.1100000000000001</v>
      </c>
    </row>
    <row r="18879" spans="1:4" x14ac:dyDescent="0.25">
      <c r="A18879" t="str">
        <f>HYPERLINK("https://www.773grp.com/globalSearch/74ABT541DB118/page-1", "74ABT541DB118")</f>
        <v>74ABT541DB118</v>
      </c>
      <c r="B18879" s="3" t="str">
        <f>HYPERLINK("https://www.773grp.com/manufacturer/nxp-semiconductor?pageNo=17", "NXP Semiconductors")</f>
        <v>NXP Semiconductors</v>
      </c>
      <c r="C18879" s="6">
        <v>2000</v>
      </c>
      <c r="D18879" s="7">
        <v>1.1100000000000001</v>
      </c>
    </row>
    <row r="18880" spans="1:4" x14ac:dyDescent="0.25">
      <c r="A18880" t="str">
        <f>HYPERLINK("https://www.773grp.com/globalSearch/74AHC259PW112/page-1", "74AHC259PW112")</f>
        <v>74AHC259PW112</v>
      </c>
      <c r="B18880" s="3" t="str">
        <f>HYPERLINK("https://www.773grp.com/manufacturer/nxp-semiconductor?pageNo=18", "NXP Semiconductors")</f>
        <v>NXP Semiconductors</v>
      </c>
      <c r="C18880" s="6">
        <v>2326</v>
      </c>
      <c r="D18880" s="7">
        <v>1.1100000000000001</v>
      </c>
    </row>
    <row r="18881" spans="1:4" x14ac:dyDescent="0.25">
      <c r="A18881" t="str">
        <f>HYPERLINK("https://www.773grp.com/globalSearch/74AHC377D112/page-1", "74AHC377D112")</f>
        <v>74AHC377D112</v>
      </c>
      <c r="B18881" s="3" t="str">
        <f>HYPERLINK("https://www.773grp.com/manufacturer/nxp-semiconductor?pageNo=19", "NXP Semiconductors")</f>
        <v>NXP Semiconductors</v>
      </c>
      <c r="C18881" s="6">
        <v>1520</v>
      </c>
      <c r="D18881" s="7">
        <v>1.1100000000000001</v>
      </c>
    </row>
    <row r="18882" spans="1:4" x14ac:dyDescent="0.25">
      <c r="A18882" t="str">
        <f>HYPERLINK("https://www.773grp.com/globalSearch/74AHC377D118/page-1", "74AHC377D118")</f>
        <v>74AHC377D118</v>
      </c>
      <c r="B18882" s="3" t="str">
        <f>HYPERLINK("https://www.773grp.com/manufacturer/nxp-semiconductor?pageNo=20", "NXP Semiconductors")</f>
        <v>NXP Semiconductors</v>
      </c>
      <c r="C18882" s="6">
        <v>8000</v>
      </c>
      <c r="D18882" s="7">
        <v>1.1100000000000001</v>
      </c>
    </row>
    <row r="18883" spans="1:4" x14ac:dyDescent="0.25">
      <c r="A18883" t="str">
        <f>HYPERLINK("https://www.773grp.com/globalSearch/74AHCT377D112/page-1", "74AHCT377D112")</f>
        <v>74AHCT377D112</v>
      </c>
      <c r="B18883" s="3" t="str">
        <f>HYPERLINK("https://www.773grp.com/manufacturer/nxp-semiconductor?pageNo=21", "NXP Semiconductors")</f>
        <v>NXP Semiconductors</v>
      </c>
      <c r="C18883" s="6">
        <v>1520</v>
      </c>
      <c r="D18883" s="7">
        <v>1.1100000000000001</v>
      </c>
    </row>
    <row r="18884" spans="1:4" x14ac:dyDescent="0.25">
      <c r="A18884" t="str">
        <f>HYPERLINK("https://www.773grp.com/globalSearch/74ALVC541D118/page-1", "74ALVC541D118")</f>
        <v>74ALVC541D118</v>
      </c>
      <c r="B18884" s="3" t="str">
        <f>HYPERLINK("https://www.773grp.com/manufacturer/nxp-semiconductor?pageNo=22", "NXP Semiconductors")</f>
        <v>NXP Semiconductors</v>
      </c>
      <c r="C18884" s="6">
        <v>1445</v>
      </c>
      <c r="D18884" s="7">
        <v>1.1100000000000001</v>
      </c>
    </row>
    <row r="18885" spans="1:4" x14ac:dyDescent="0.25">
      <c r="A18885" t="str">
        <f>HYPERLINK("https://www.773grp.com/globalSearch/74ALVC541PW118/page-1", "74ALVC541PW118")</f>
        <v>74ALVC541PW118</v>
      </c>
      <c r="B18885" s="3" t="str">
        <f>HYPERLINK("https://www.773grp.com/manufacturer/nxp-semiconductor?pageNo=23", "NXP Semiconductors")</f>
        <v>NXP Semiconductors</v>
      </c>
      <c r="C18885" s="6">
        <v>2700</v>
      </c>
      <c r="D18885" s="7">
        <v>1.1100000000000001</v>
      </c>
    </row>
    <row r="18886" spans="1:4" x14ac:dyDescent="0.25">
      <c r="A18886" t="str">
        <f>HYPERLINK("https://www.773grp.com/globalSearch/74ALVC574D112/page-1", "74ALVC574D112")</f>
        <v>74ALVC574D112</v>
      </c>
      <c r="B18886" s="3" t="str">
        <f>HYPERLINK("https://www.773grp.com/manufacturer/nxp-semiconductor?pageNo=24", "NXP Semiconductors")</f>
        <v>NXP Semiconductors</v>
      </c>
      <c r="C18886" s="6">
        <v>1510</v>
      </c>
      <c r="D18886" s="7">
        <v>1.1100000000000001</v>
      </c>
    </row>
    <row r="18887" spans="1:4" x14ac:dyDescent="0.25">
      <c r="A18887" t="str">
        <f>HYPERLINK("https://www.773grp.com/globalSearch/74AUP2G08GN115/page-1", "74AUP2G08GN115")</f>
        <v>74AUP2G08GN115</v>
      </c>
      <c r="B18887" s="3" t="str">
        <f>HYPERLINK("https://www.773grp.com/manufacturer/nxp-semiconductor?pageNo=25", "NXP Semiconductors")</f>
        <v>NXP Semiconductors</v>
      </c>
      <c r="C18887" s="6">
        <v>5100</v>
      </c>
      <c r="D18887" s="7">
        <v>1.1100000000000001</v>
      </c>
    </row>
    <row r="18888" spans="1:4" x14ac:dyDescent="0.25">
      <c r="A18888" t="str">
        <f>HYPERLINK("https://www.773grp.com/globalSearch/74AUP2G125GN115/page-1", "74AUP2G125GN115")</f>
        <v>74AUP2G125GN115</v>
      </c>
      <c r="B18888" s="3" t="str">
        <f>HYPERLINK("https://www.773grp.com/manufacturer/nxp-semiconductor?pageNo=26", "NXP Semiconductors")</f>
        <v>NXP Semiconductors</v>
      </c>
      <c r="C18888" s="6">
        <v>398</v>
      </c>
      <c r="D18888" s="7">
        <v>1.1100000000000001</v>
      </c>
    </row>
    <row r="18889" spans="1:4" x14ac:dyDescent="0.25">
      <c r="A18889" t="str">
        <f>HYPERLINK("https://www.773grp.com/globalSearch/74HC123DB112/page-1", "74HC123DB112")</f>
        <v>74HC123DB112</v>
      </c>
      <c r="B18889" s="3" t="str">
        <f>HYPERLINK("https://www.773grp.com/manufacturer/nxp-semiconductor?pageNo=27", "NXP Semiconductors")</f>
        <v>NXP Semiconductors</v>
      </c>
      <c r="C18889" s="6">
        <v>3276</v>
      </c>
      <c r="D18889" s="7">
        <v>1.1100000000000001</v>
      </c>
    </row>
    <row r="18890" spans="1:4" x14ac:dyDescent="0.25">
      <c r="A18890" t="str">
        <f>HYPERLINK("https://www.773grp.com/globalSearch/74HC153DB112/page-1", "74HC153DB112")</f>
        <v>74HC153DB112</v>
      </c>
      <c r="B18890" s="3" t="str">
        <f>HYPERLINK("https://www.773grp.com/manufacturer/nxp-semiconductor?pageNo=28", "NXP Semiconductors")</f>
        <v>NXP Semiconductors</v>
      </c>
      <c r="C18890" s="6">
        <v>1092</v>
      </c>
      <c r="D18890" s="7">
        <v>1.1100000000000001</v>
      </c>
    </row>
    <row r="18891" spans="1:4" x14ac:dyDescent="0.25">
      <c r="A18891" t="str">
        <f>HYPERLINK("https://www.773grp.com/globalSearch/74HC160DB112/page-1", "74HC160DB112")</f>
        <v>74HC160DB112</v>
      </c>
      <c r="B18891" s="3" t="str">
        <f>HYPERLINK("https://www.773grp.com/manufacturer/nxp-semiconductor?pageNo=29", "NXP Semiconductors")</f>
        <v>NXP Semiconductors</v>
      </c>
      <c r="C18891" s="6">
        <v>3276</v>
      </c>
      <c r="D18891" s="7">
        <v>1.1100000000000001</v>
      </c>
    </row>
    <row r="18892" spans="1:4" x14ac:dyDescent="0.25">
      <c r="A18892" t="str">
        <f>HYPERLINK("https://www.773grp.com/globalSearch/74HC161DB112/page-1", "74HC161DB112")</f>
        <v>74HC161DB112</v>
      </c>
      <c r="B18892" s="3" t="str">
        <f>HYPERLINK("https://www.773grp.com/manufacturer/nxp-semiconductor?pageNo=30", "NXP Semiconductors")</f>
        <v>NXP Semiconductors</v>
      </c>
      <c r="C18892" s="6">
        <v>2184</v>
      </c>
      <c r="D18892" s="7">
        <v>1.1100000000000001</v>
      </c>
    </row>
    <row r="18893" spans="1:4" x14ac:dyDescent="0.25">
      <c r="A18893" t="str">
        <f>HYPERLINK("https://www.773grp.com/globalSearch/74HC163DB112/page-1", "74HC163DB112")</f>
        <v>74HC163DB112</v>
      </c>
      <c r="B18893" s="3" t="str">
        <f>HYPERLINK("https://www.773grp.com/manufacturer/nxp-semiconductor?pageNo=31", "NXP Semiconductors")</f>
        <v>NXP Semiconductors</v>
      </c>
      <c r="C18893" s="6">
        <v>3276</v>
      </c>
      <c r="D18893" s="7">
        <v>1.1100000000000001</v>
      </c>
    </row>
    <row r="18894" spans="1:4" x14ac:dyDescent="0.25">
      <c r="A18894" t="str">
        <f>HYPERLINK("https://www.773grp.com/globalSearch/74HC163DB118/page-1", "74HC163DB118")</f>
        <v>74HC163DB118</v>
      </c>
      <c r="B18894" s="3" t="str">
        <f>HYPERLINK("https://www.773grp.com/manufacturer/nxp-semiconductor?pageNo=32", "NXP Semiconductors")</f>
        <v>NXP Semiconductors</v>
      </c>
      <c r="C18894" s="6">
        <v>2000</v>
      </c>
      <c r="D18894" s="7">
        <v>1.1100000000000001</v>
      </c>
    </row>
    <row r="18895" spans="1:4" x14ac:dyDescent="0.25">
      <c r="A18895" t="str">
        <f>HYPERLINK("https://www.773grp.com/globalSearch/74HC164DB112/page-1", "74HC164DB112")</f>
        <v>74HC164DB112</v>
      </c>
      <c r="B18895" s="3" t="str">
        <f>HYPERLINK("https://www.773grp.com/manufacturer/nxp-semiconductor?pageNo=33", "NXP Semiconductors")</f>
        <v>NXP Semiconductors</v>
      </c>
      <c r="C18895" s="6">
        <v>1122</v>
      </c>
      <c r="D18895" s="7">
        <v>1.1100000000000001</v>
      </c>
    </row>
    <row r="18896" spans="1:4" x14ac:dyDescent="0.25">
      <c r="A18896" t="str">
        <f>HYPERLINK("https://www.773grp.com/globalSearch/74HC165DB112/page-1", "74HC165DB112")</f>
        <v>74HC165DB112</v>
      </c>
      <c r="B18896" s="3" t="str">
        <f>HYPERLINK("https://www.773grp.com/manufacturer/nxp-semiconductor?pageNo=34", "NXP Semiconductors")</f>
        <v>NXP Semiconductors</v>
      </c>
      <c r="C18896" s="6">
        <v>1092</v>
      </c>
      <c r="D18896" s="7">
        <v>1.1100000000000001</v>
      </c>
    </row>
    <row r="18897" spans="1:4" x14ac:dyDescent="0.25">
      <c r="A18897" t="str">
        <f>HYPERLINK("https://www.773grp.com/globalSearch/74HC165DB118/page-1", "74HC165DB118")</f>
        <v>74HC165DB118</v>
      </c>
      <c r="B18897" s="3" t="str">
        <f>HYPERLINK("https://www.773grp.com/manufacturer/nxp-semiconductor?pageNo=35", "NXP Semiconductors")</f>
        <v>NXP Semiconductors</v>
      </c>
      <c r="C18897" s="6">
        <v>200</v>
      </c>
      <c r="D18897" s="7">
        <v>1.1100000000000001</v>
      </c>
    </row>
    <row r="18898" spans="1:4" x14ac:dyDescent="0.25">
      <c r="A18898" t="str">
        <f>HYPERLINK("https://www.773grp.com/globalSearch/74HC166DB112/page-1", "74HC166DB112")</f>
        <v>74HC166DB112</v>
      </c>
      <c r="B18898" s="3" t="str">
        <f>HYPERLINK("https://www.773grp.com/manufacturer/nxp-semiconductor?pageNo=36", "NXP Semiconductors")</f>
        <v>NXP Semiconductors</v>
      </c>
      <c r="C18898" s="6">
        <v>2184</v>
      </c>
      <c r="D18898" s="7">
        <v>1.1100000000000001</v>
      </c>
    </row>
    <row r="18899" spans="1:4" x14ac:dyDescent="0.25">
      <c r="A18899" t="str">
        <f>HYPERLINK("https://www.773grp.com/globalSearch/74HC194D652/page-1", "74HC194D652")</f>
        <v>74HC194D652</v>
      </c>
      <c r="B18899" s="3" t="str">
        <f>HYPERLINK("https://www.773grp.com/manufacturer/nxp-semiconductor?pageNo=37", "NXP Semiconductors")</f>
        <v>NXP Semiconductors</v>
      </c>
      <c r="C18899" s="6">
        <v>5345</v>
      </c>
      <c r="D18899" s="7">
        <v>1.1100000000000001</v>
      </c>
    </row>
    <row r="18900" spans="1:4" x14ac:dyDescent="0.25">
      <c r="A18900" t="str">
        <f>HYPERLINK("https://www.773grp.com/globalSearch/74HC259DB112/page-1", "74HC259DB112")</f>
        <v>74HC259DB112</v>
      </c>
      <c r="B18900" s="3" t="str">
        <f>HYPERLINK("https://www.773grp.com/manufacturer/nxp-semiconductor?pageNo=38", "NXP Semiconductors")</f>
        <v>NXP Semiconductors</v>
      </c>
      <c r="C18900" s="6">
        <v>3184</v>
      </c>
      <c r="D18900" s="7">
        <v>1.1100000000000001</v>
      </c>
    </row>
    <row r="18901" spans="1:4" x14ac:dyDescent="0.25">
      <c r="A18901" t="str">
        <f>HYPERLINK("https://www.773grp.com/globalSearch/74HC283D652/page-1", "74HC283D652")</f>
        <v>74HC283D652</v>
      </c>
      <c r="B18901" s="3" t="str">
        <f>HYPERLINK("https://www.773grp.com/manufacturer/nxp-semiconductor?pageNo=39", "NXP Semiconductors")</f>
        <v>NXP Semiconductors</v>
      </c>
      <c r="C18901" s="6">
        <v>4000</v>
      </c>
      <c r="D18901" s="7">
        <v>1.1100000000000001</v>
      </c>
    </row>
    <row r="18902" spans="1:4" x14ac:dyDescent="0.25">
      <c r="A18902" t="str">
        <f>HYPERLINK("https://www.773grp.com/globalSearch/74HC368DB112/page-1", "74HC368DB112")</f>
        <v>74HC368DB112</v>
      </c>
      <c r="B18902" s="3" t="str">
        <f>HYPERLINK("https://www.773grp.com/manufacturer/nxp-semiconductor?pageNo=40", "NXP Semiconductors")</f>
        <v>NXP Semiconductors</v>
      </c>
      <c r="C18902" s="6">
        <v>1000</v>
      </c>
      <c r="D18902" s="7">
        <v>1.1100000000000001</v>
      </c>
    </row>
    <row r="18903" spans="1:4" x14ac:dyDescent="0.25">
      <c r="A18903" t="str">
        <f>HYPERLINK("https://www.773grp.com/globalSearch/74HC368DB118/page-1", "74HC368DB118")</f>
        <v>74HC368DB118</v>
      </c>
      <c r="B18903" s="3" t="str">
        <f>HYPERLINK("https://www.773grp.com/manufacturer/nxp-semiconductor?pageNo=41", "NXP Semiconductors")</f>
        <v>NXP Semiconductors</v>
      </c>
      <c r="C18903" s="6">
        <v>200</v>
      </c>
      <c r="D18903" s="7">
        <v>1.1100000000000001</v>
      </c>
    </row>
    <row r="18904" spans="1:4" x14ac:dyDescent="0.25">
      <c r="A18904" t="str">
        <f>HYPERLINK("https://www.773grp.com/globalSearch/74HC377DB112/page-1", "74HC377DB112")</f>
        <v>74HC377DB112</v>
      </c>
      <c r="B18904" s="3" t="str">
        <f>HYPERLINK("https://www.773grp.com/manufacturer/nxp-semiconductor?pageNo=42", "NXP Semiconductors")</f>
        <v>NXP Semiconductors</v>
      </c>
      <c r="C18904" s="6">
        <v>2772</v>
      </c>
      <c r="D18904" s="7">
        <v>1.1100000000000001</v>
      </c>
    </row>
    <row r="18905" spans="1:4" x14ac:dyDescent="0.25">
      <c r="A18905" t="str">
        <f>HYPERLINK("https://www.773grp.com/globalSearch/74HC377DB118/page-1", "74HC377DB118")</f>
        <v>74HC377DB118</v>
      </c>
      <c r="B18905" s="3" t="str">
        <f>HYPERLINK("https://www.773grp.com/manufacturer/nxp-semiconductor?pageNo=43", "NXP Semiconductors")</f>
        <v>NXP Semiconductors</v>
      </c>
      <c r="C18905" s="6">
        <v>6000</v>
      </c>
      <c r="D18905" s="7">
        <v>1.1100000000000001</v>
      </c>
    </row>
    <row r="18906" spans="1:4" x14ac:dyDescent="0.25">
      <c r="A18906" t="str">
        <f>HYPERLINK("https://www.773grp.com/globalSearch/74HC540D653/page-1", "74HC540D653")</f>
        <v>74HC540D653</v>
      </c>
      <c r="B18906" s="3" t="str">
        <f>HYPERLINK("https://www.773grp.com/manufacturer/nxp-semiconductor?pageNo=44", "NXP Semiconductors")</f>
        <v>NXP Semiconductors</v>
      </c>
      <c r="C18906" s="6">
        <v>190</v>
      </c>
      <c r="D18906" s="7">
        <v>1.1100000000000001</v>
      </c>
    </row>
    <row r="18907" spans="1:4" x14ac:dyDescent="0.25">
      <c r="A18907" t="str">
        <f>HYPERLINK("https://www.773grp.com/globalSearch/74HCT151DB112/page-1", "74HCT151DB112")</f>
        <v>74HCT151DB112</v>
      </c>
      <c r="B18907" s="3" t="str">
        <f>HYPERLINK("https://www.773grp.com/manufacturer/nxp-semiconductor?pageNo=45", "NXP Semiconductors")</f>
        <v>NXP Semiconductors</v>
      </c>
      <c r="C18907" s="6">
        <v>1092</v>
      </c>
      <c r="D18907" s="7">
        <v>1.1100000000000001</v>
      </c>
    </row>
    <row r="18908" spans="1:4" x14ac:dyDescent="0.25">
      <c r="A18908" t="str">
        <f>HYPERLINK("https://www.773grp.com/globalSearch/74HCT157DB112/page-1", "74HCT157DB112")</f>
        <v>74HCT157DB112</v>
      </c>
      <c r="B18908" s="3" t="str">
        <f>HYPERLINK("https://www.773grp.com/manufacturer/nxp-semiconductor?pageNo=46", "NXP Semiconductors")</f>
        <v>NXP Semiconductors</v>
      </c>
      <c r="C18908" s="6">
        <v>5460</v>
      </c>
      <c r="D18908" s="7">
        <v>1.1100000000000001</v>
      </c>
    </row>
    <row r="18909" spans="1:4" x14ac:dyDescent="0.25">
      <c r="A18909" t="str">
        <f>HYPERLINK("https://www.773grp.com/globalSearch/74HCT161DB112/page-1", "74HCT161DB112")</f>
        <v>74HCT161DB112</v>
      </c>
      <c r="B18909" s="3" t="str">
        <f>HYPERLINK("https://www.773grp.com/manufacturer/nxp-semiconductor?pageNo=47", "NXP Semiconductors")</f>
        <v>NXP Semiconductors</v>
      </c>
      <c r="C18909" s="6">
        <v>2075</v>
      </c>
      <c r="D18909" s="7">
        <v>1.1100000000000001</v>
      </c>
    </row>
    <row r="18910" spans="1:4" x14ac:dyDescent="0.25">
      <c r="A18910" t="str">
        <f>HYPERLINK("https://www.773grp.com/globalSearch/74HCT161DB118/page-1", "74HCT161DB118")</f>
        <v>74HCT161DB118</v>
      </c>
      <c r="B18910" s="3" t="str">
        <f>HYPERLINK("https://www.773grp.com/manufacturer/nxp-semiconductor?pageNo=48", "NXP Semiconductors")</f>
        <v>NXP Semiconductors</v>
      </c>
      <c r="C18910" s="6">
        <v>1994</v>
      </c>
      <c r="D18910" s="7">
        <v>1.1100000000000001</v>
      </c>
    </row>
    <row r="18911" spans="1:4" x14ac:dyDescent="0.25">
      <c r="A18911" t="str">
        <f>HYPERLINK("https://www.773grp.com/globalSearch/74HCT166DB112/page-1", "74HCT166DB112")</f>
        <v>74HCT166DB112</v>
      </c>
      <c r="B18911" s="3" t="s">
        <v>93</v>
      </c>
      <c r="C18911" s="6">
        <v>2812</v>
      </c>
      <c r="D18911" s="7">
        <v>1.1100000000000001</v>
      </c>
    </row>
    <row r="18912" spans="1:4" x14ac:dyDescent="0.25">
      <c r="A18912" t="str">
        <f>HYPERLINK("https://www.773grp.com/globalSearch/74HCT365DB112/page-1", "74HCT365DB112")</f>
        <v>74HCT365DB112</v>
      </c>
      <c r="B18912" s="3" t="s">
        <v>93</v>
      </c>
      <c r="C18912" s="6">
        <v>11659</v>
      </c>
      <c r="D18912" s="7">
        <v>1.1100000000000001</v>
      </c>
    </row>
    <row r="18913" spans="1:4" x14ac:dyDescent="0.25">
      <c r="A18913" t="str">
        <f>HYPERLINK("https://www.773grp.com/globalSearch/74HCT365DB118/page-1", "74HCT365DB118")</f>
        <v>74HCT365DB118</v>
      </c>
      <c r="B18913" s="3" t="s">
        <v>93</v>
      </c>
      <c r="C18913" s="6">
        <v>1778</v>
      </c>
      <c r="D18913" s="7">
        <v>1.1100000000000001</v>
      </c>
    </row>
    <row r="18914" spans="1:4" x14ac:dyDescent="0.25">
      <c r="A18914" t="str">
        <f>HYPERLINK("https://www.773grp.com/globalSearch/74HCT367DB112/page-1", "74HCT367DB112")</f>
        <v>74HCT367DB112</v>
      </c>
      <c r="B18914" s="3" t="s">
        <v>93</v>
      </c>
      <c r="C18914" s="6">
        <v>1981</v>
      </c>
      <c r="D18914" s="7">
        <v>1.1100000000000001</v>
      </c>
    </row>
    <row r="18915" spans="1:4" x14ac:dyDescent="0.25">
      <c r="A18915" t="str">
        <f>HYPERLINK("https://www.773grp.com/globalSearch/74HCT368DB112/page-1", "74HCT368DB112")</f>
        <v>74HCT368DB112</v>
      </c>
      <c r="B18915" s="3" t="s">
        <v>93</v>
      </c>
      <c r="C18915" s="6">
        <v>4368</v>
      </c>
      <c r="D18915" s="7">
        <v>1.1100000000000001</v>
      </c>
    </row>
    <row r="18916" spans="1:4" x14ac:dyDescent="0.25">
      <c r="A18916" t="str">
        <f>HYPERLINK("https://www.773grp.com/globalSearch/74HCT4040DB112/page-1", "74HCT4040DB112")</f>
        <v>74HCT4040DB112</v>
      </c>
      <c r="B18916" s="3" t="s">
        <v>93</v>
      </c>
      <c r="C18916" s="6">
        <v>1092</v>
      </c>
      <c r="D18916" s="7">
        <v>1.1100000000000001</v>
      </c>
    </row>
    <row r="18917" spans="1:4" x14ac:dyDescent="0.25">
      <c r="A18917" t="str">
        <f>HYPERLINK("https://www.773grp.com/globalSearch/74HCT4040DB118/page-1", "74HCT4040DB118")</f>
        <v>74HCT4040DB118</v>
      </c>
      <c r="B18917" s="3" t="s">
        <v>93</v>
      </c>
      <c r="C18917" s="6">
        <v>2000</v>
      </c>
      <c r="D18917" s="7">
        <v>1.1100000000000001</v>
      </c>
    </row>
    <row r="18918" spans="1:4" x14ac:dyDescent="0.25">
      <c r="A18918" t="str">
        <f>HYPERLINK("https://www.773grp.com/globalSearch/74HCT4040PW112/page-1", "74HCT4040PW112")</f>
        <v>74HCT4040PW112</v>
      </c>
      <c r="B18918" s="3" t="s">
        <v>93</v>
      </c>
      <c r="C18918" s="6">
        <v>19000</v>
      </c>
      <c r="D18918" s="7">
        <v>1.1100000000000001</v>
      </c>
    </row>
    <row r="18919" spans="1:4" x14ac:dyDescent="0.25">
      <c r="A18919" t="str">
        <f>HYPERLINK("https://www.773grp.com/globalSearch/74HCT4316PW112/page-1", "74HCT4316PW112")</f>
        <v>74HCT4316PW112</v>
      </c>
      <c r="B18919" s="3" t="s">
        <v>93</v>
      </c>
      <c r="C18919" s="6">
        <v>2400</v>
      </c>
      <c r="D18919" s="7">
        <v>1.1100000000000001</v>
      </c>
    </row>
    <row r="18920" spans="1:4" x14ac:dyDescent="0.25">
      <c r="A18920" t="str">
        <f>HYPERLINK("https://www.773grp.com/globalSearch/74HCT4316PW118/page-1", "74HCT4316PW118")</f>
        <v>74HCT4316PW118</v>
      </c>
      <c r="B18920" s="3" t="s">
        <v>93</v>
      </c>
      <c r="C18920" s="6">
        <v>2500</v>
      </c>
      <c r="D18920" s="7">
        <v>1.1100000000000001</v>
      </c>
    </row>
    <row r="18921" spans="1:4" x14ac:dyDescent="0.25">
      <c r="A18921" t="str">
        <f>HYPERLINK("https://www.773grp.com/globalSearch/74HCT540D652/page-1", "74HCT540D652")</f>
        <v>74HCT540D652</v>
      </c>
      <c r="B18921" s="3" t="s">
        <v>93</v>
      </c>
      <c r="C18921" s="6">
        <v>10464</v>
      </c>
      <c r="D18921" s="7">
        <v>1.1100000000000001</v>
      </c>
    </row>
    <row r="18922" spans="1:4" x14ac:dyDescent="0.25">
      <c r="A18922" t="str">
        <f>HYPERLINK("https://www.773grp.com/globalSearch/74HCT85DB112/page-1", "74HCT85DB112")</f>
        <v>74HCT85DB112</v>
      </c>
      <c r="B18922" s="3" t="s">
        <v>93</v>
      </c>
      <c r="C18922" s="6">
        <v>2185</v>
      </c>
      <c r="D18922" s="7">
        <v>1.1100000000000001</v>
      </c>
    </row>
    <row r="18923" spans="1:4" x14ac:dyDescent="0.25">
      <c r="A18923" t="str">
        <f>HYPERLINK("https://www.773grp.com/globalSearch/74LVC163PW112/page-1", "74LVC163PW112")</f>
        <v>74LVC163PW112</v>
      </c>
      <c r="B18923" s="3" t="s">
        <v>93</v>
      </c>
      <c r="C18923" s="6">
        <v>2590</v>
      </c>
      <c r="D18923" s="7">
        <v>1.1100000000000001</v>
      </c>
    </row>
    <row r="18924" spans="1:4" x14ac:dyDescent="0.25">
      <c r="A18924" t="str">
        <f>HYPERLINK("https://www.773grp.com/globalSearch/74LVC163PW118/page-1", "74LVC163PW118")</f>
        <v>74LVC163PW118</v>
      </c>
      <c r="B18924" s="3" t="s">
        <v>93</v>
      </c>
      <c r="C18924" s="6">
        <v>20000</v>
      </c>
      <c r="D18924" s="7">
        <v>1.1100000000000001</v>
      </c>
    </row>
    <row r="18925" spans="1:4" x14ac:dyDescent="0.25">
      <c r="A18925" t="str">
        <f>HYPERLINK("https://www.773grp.com/globalSearch/74LVC3G07DP125/page-1", "74LVC3G07DP125")</f>
        <v>74LVC3G07DP125</v>
      </c>
      <c r="B18925" s="3" t="s">
        <v>93</v>
      </c>
      <c r="C18925" s="6">
        <v>6000</v>
      </c>
      <c r="D18925" s="7">
        <v>1.1100000000000001</v>
      </c>
    </row>
    <row r="18926" spans="1:4" x14ac:dyDescent="0.25">
      <c r="A18926" t="str">
        <f>HYPERLINK("https://www.773grp.com/globalSearch/74LVC3GU04GN115/page-1", "74LVC3GU04GN115")</f>
        <v>74LVC3GU04GN115</v>
      </c>
      <c r="B18926" s="3" t="s">
        <v>93</v>
      </c>
      <c r="C18926" s="6">
        <v>5000</v>
      </c>
      <c r="D18926" s="7">
        <v>1.1100000000000001</v>
      </c>
    </row>
    <row r="18927" spans="1:4" x14ac:dyDescent="0.25">
      <c r="A18927" t="str">
        <f>HYPERLINK("https://www.773grp.com/globalSearch/74LVT240DB112/page-1", "74LVT240DB112")</f>
        <v>74LVT240DB112</v>
      </c>
      <c r="B18927" s="3" t="s">
        <v>93</v>
      </c>
      <c r="C18927" s="6">
        <v>1848</v>
      </c>
      <c r="D18927" s="7">
        <v>1.1100000000000001</v>
      </c>
    </row>
    <row r="18928" spans="1:4" x14ac:dyDescent="0.25">
      <c r="A18928" t="str">
        <f>HYPERLINK("https://www.773grp.com/globalSearch/74LVT240DB118/page-1", "74LVT240DB118")</f>
        <v>74LVT240DB118</v>
      </c>
      <c r="B18928" s="3" t="s">
        <v>93</v>
      </c>
      <c r="C18928" s="6">
        <v>1000</v>
      </c>
      <c r="D18928" s="7">
        <v>1.1100000000000001</v>
      </c>
    </row>
    <row r="18929" spans="1:4" x14ac:dyDescent="0.25">
      <c r="A18929" t="str">
        <f>HYPERLINK("https://www.773grp.com/globalSearch/ACTT6-800E127/page-1", "ACTT6-800E127")</f>
        <v>ACTT6-800E127</v>
      </c>
      <c r="B18929" s="3" t="s">
        <v>93</v>
      </c>
      <c r="C18929" s="6">
        <v>100</v>
      </c>
      <c r="D18929" s="7">
        <v>1.1100000000000001</v>
      </c>
    </row>
    <row r="18930" spans="1:4" x14ac:dyDescent="0.25">
      <c r="A18930" t="str">
        <f>HYPERLINK("https://www.773grp.com/globalSearch/ACTT6G-800E127/page-1", "ACTT6G-800E127")</f>
        <v>ACTT6G-800E127</v>
      </c>
      <c r="B18930" s="3" t="s">
        <v>93</v>
      </c>
      <c r="C18930" s="6">
        <v>100</v>
      </c>
      <c r="D18930" s="7">
        <v>1.1100000000000001</v>
      </c>
    </row>
    <row r="18931" spans="1:4" x14ac:dyDescent="0.25">
      <c r="A18931" t="str">
        <f>HYPERLINK("https://www.773grp.com/globalSearch/ACTT6X-800E127/page-1", "ACTT6X-800E127")</f>
        <v>ACTT6X-800E127</v>
      </c>
      <c r="B18931" s="3" t="s">
        <v>93</v>
      </c>
      <c r="C18931" s="6">
        <v>50</v>
      </c>
      <c r="D18931" s="7">
        <v>1.1100000000000001</v>
      </c>
    </row>
    <row r="18932" spans="1:4" x14ac:dyDescent="0.25">
      <c r="A18932" t="str">
        <f>HYPERLINK("https://www.773grp.com/globalSearch/BF1204115/page-1", "BF1204115")</f>
        <v>BF1204115</v>
      </c>
      <c r="B18932" s="3" t="s">
        <v>93</v>
      </c>
      <c r="C18932" s="6">
        <v>1601</v>
      </c>
      <c r="D18932" s="7">
        <v>1.1100000000000001</v>
      </c>
    </row>
    <row r="18933" spans="1:4" x14ac:dyDescent="0.25">
      <c r="A18933" t="str">
        <f>HYPERLINK("https://www.773grp.com/globalSearch/BF1206115/page-1", "BF1206115")</f>
        <v>BF1206115</v>
      </c>
      <c r="B18933" s="3" t="s">
        <v>93</v>
      </c>
      <c r="C18933" s="6">
        <v>3000</v>
      </c>
      <c r="D18933" s="7">
        <v>1.1100000000000001</v>
      </c>
    </row>
    <row r="18934" spans="1:4" x14ac:dyDescent="0.25">
      <c r="A18934" t="str">
        <f>HYPERLINK("https://www.773grp.com/globalSearch/BF720115/page-1", "BF720115")</f>
        <v>BF720115</v>
      </c>
      <c r="B18934" s="3" t="s">
        <v>93</v>
      </c>
      <c r="C18934" s="6">
        <v>4788</v>
      </c>
      <c r="D18934" s="7">
        <v>1.1100000000000001</v>
      </c>
    </row>
    <row r="18935" spans="1:4" x14ac:dyDescent="0.25">
      <c r="A18935" t="str">
        <f>HYPERLINK("https://www.773grp.com/globalSearch/BF722115/page-1", "BF722115")</f>
        <v>BF722115</v>
      </c>
      <c r="B18935" s="3" t="s">
        <v>93</v>
      </c>
      <c r="C18935" s="6">
        <v>8000</v>
      </c>
      <c r="D18935" s="7">
        <v>1.1100000000000001</v>
      </c>
    </row>
    <row r="18936" spans="1:4" x14ac:dyDescent="0.25">
      <c r="A18936" t="str">
        <f>HYPERLINK("https://www.773grp.com/globalSearch/BF723115/page-1", "BF723115")</f>
        <v>BF723115</v>
      </c>
      <c r="B18936" s="3" t="s">
        <v>93</v>
      </c>
      <c r="C18936" s="6">
        <v>22000</v>
      </c>
      <c r="D18936" s="7">
        <v>1.1100000000000001</v>
      </c>
    </row>
    <row r="18937" spans="1:4" x14ac:dyDescent="0.25">
      <c r="A18937" t="str">
        <f>HYPERLINK("https://www.773grp.com/globalSearch/BFT92W115/page-1", "BFT92W115")</f>
        <v>BFT92W115</v>
      </c>
      <c r="B18937" s="3" t="s">
        <v>93</v>
      </c>
      <c r="C18937" s="6">
        <v>6000</v>
      </c>
      <c r="D18937" s="7">
        <v>1.1100000000000001</v>
      </c>
    </row>
    <row r="18938" spans="1:4" x14ac:dyDescent="0.25">
      <c r="A18938" t="str">
        <f>HYPERLINK("https://www.773grp.com/globalSearch/BGU6104147/page-1", "BGU6104147")</f>
        <v>BGU6104147</v>
      </c>
      <c r="B18938" s="3" t="s">
        <v>93</v>
      </c>
      <c r="C18938" s="6">
        <v>5000</v>
      </c>
      <c r="D18938" s="7">
        <v>1.1100000000000001</v>
      </c>
    </row>
    <row r="18939" spans="1:4" x14ac:dyDescent="0.25">
      <c r="A18939" t="str">
        <f>HYPERLINK("https://www.773grp.com/globalSearch/BST39115/page-1", "BST39115")</f>
        <v>BST39115</v>
      </c>
      <c r="B18939" s="3" t="s">
        <v>93</v>
      </c>
      <c r="C18939" s="6">
        <v>9000</v>
      </c>
      <c r="D18939" s="7">
        <v>1.1100000000000001</v>
      </c>
    </row>
    <row r="18940" spans="1:4" x14ac:dyDescent="0.25">
      <c r="A18940" t="str">
        <f>HYPERLINK("https://www.773grp.com/globalSearch/BUJ303A127/page-1", "BUJ303A127")</f>
        <v>BUJ303A127</v>
      </c>
      <c r="B18940" s="3" t="s">
        <v>93</v>
      </c>
      <c r="C18940" s="6">
        <v>9050</v>
      </c>
      <c r="D18940" s="7">
        <v>1.1100000000000001</v>
      </c>
    </row>
    <row r="18941" spans="1:4" x14ac:dyDescent="0.25">
      <c r="A18941" t="str">
        <f>HYPERLINK("https://www.773grp.com/globalSearch/BUJD203A127/page-1", "BUJD203A127")</f>
        <v>BUJD203A127</v>
      </c>
      <c r="B18941" s="3" t="s">
        <v>93</v>
      </c>
      <c r="C18941" s="6">
        <v>1059</v>
      </c>
      <c r="D18941" s="7">
        <v>1.1100000000000001</v>
      </c>
    </row>
    <row r="18942" spans="1:4" x14ac:dyDescent="0.25">
      <c r="A18942" t="str">
        <f>HYPERLINK("https://www.773grp.com/globalSearch/GTL2002D-DG118/page-1", "GTL2002D-DG118")</f>
        <v>GTL2002D-DG118</v>
      </c>
      <c r="B18942" s="3" t="s">
        <v>93</v>
      </c>
      <c r="C18942" s="6">
        <v>2974</v>
      </c>
      <c r="D18942" s="7">
        <v>1.1100000000000001</v>
      </c>
    </row>
    <row r="18943" spans="1:4" x14ac:dyDescent="0.25">
      <c r="A18943" t="str">
        <f>HYPERLINK("https://www.773grp.com/globalSearch/GTL2002D112/page-1", "GTL2002D112")</f>
        <v>GTL2002D112</v>
      </c>
      <c r="B18943" s="3" t="s">
        <v>93</v>
      </c>
      <c r="C18943" s="6">
        <v>6560</v>
      </c>
      <c r="D18943" s="7">
        <v>1.1100000000000001</v>
      </c>
    </row>
    <row r="18944" spans="1:4" x14ac:dyDescent="0.25">
      <c r="A18944" t="str">
        <f>HYPERLINK("https://www.773grp.com/globalSearch/GTL2002D118/page-1", "GTL2002D118")</f>
        <v>GTL2002D118</v>
      </c>
      <c r="B18944" s="3" t="s">
        <v>93</v>
      </c>
      <c r="C18944" s="6">
        <v>30000</v>
      </c>
      <c r="D18944" s="7">
        <v>1.1100000000000001</v>
      </c>
    </row>
    <row r="18945" spans="1:4" x14ac:dyDescent="0.25">
      <c r="A18945" t="str">
        <f>HYPERLINK("https://www.773grp.com/globalSearch/HEF4011UBP652/page-1", "HEF4011UBP652")</f>
        <v>HEF4011UBP652</v>
      </c>
      <c r="B18945" s="3" t="s">
        <v>93</v>
      </c>
      <c r="C18945" s="6">
        <v>3489</v>
      </c>
      <c r="D18945" s="7">
        <v>1.1100000000000001</v>
      </c>
    </row>
    <row r="18946" spans="1:4" x14ac:dyDescent="0.25">
      <c r="A18946" t="str">
        <f>HYPERLINK("https://www.773grp.com/globalSearch/IP4054CX15-LF135/page-1", "IP4054CX15-LF135")</f>
        <v>IP4054CX15-LF135</v>
      </c>
      <c r="B18946" s="3" t="s">
        <v>93</v>
      </c>
      <c r="C18946" s="6">
        <v>9000</v>
      </c>
      <c r="D18946" s="7">
        <v>1.1100000000000001</v>
      </c>
    </row>
    <row r="18947" spans="1:4" x14ac:dyDescent="0.25">
      <c r="A18947" t="str">
        <f>HYPERLINK("https://www.773grp.com/globalSearch/KTY81-250112/page-1", "KTY81-250112")</f>
        <v>KTY81-250112</v>
      </c>
      <c r="B18947" s="3" t="s">
        <v>93</v>
      </c>
      <c r="C18947" s="6">
        <v>4000</v>
      </c>
      <c r="D18947" s="7">
        <v>1.1100000000000001</v>
      </c>
    </row>
    <row r="18948" spans="1:4" x14ac:dyDescent="0.25">
      <c r="A18948" t="str">
        <f>HYPERLINK("https://www.773grp.com/globalSearch/N74F273AD602/page-1", "N74F273AD602")</f>
        <v>N74F273AD602</v>
      </c>
      <c r="B18948" s="3" t="s">
        <v>93</v>
      </c>
      <c r="C18948" s="6">
        <v>4570</v>
      </c>
      <c r="D18948" s="7">
        <v>1.1100000000000001</v>
      </c>
    </row>
    <row r="18949" spans="1:4" x14ac:dyDescent="0.25">
      <c r="A18949" t="str">
        <f>HYPERLINK("https://www.773grp.com/globalSearch/PBSS4240DPN115/page-1", "PBSS4240DPN115")</f>
        <v>PBSS4240DPN115</v>
      </c>
      <c r="B18949" s="3" t="s">
        <v>93</v>
      </c>
      <c r="C18949" s="6">
        <v>3200</v>
      </c>
      <c r="D18949" s="7">
        <v>1.1100000000000001</v>
      </c>
    </row>
    <row r="18950" spans="1:4" x14ac:dyDescent="0.25">
      <c r="A18950" t="str">
        <f>HYPERLINK("https://www.773grp.com/globalSearch/PBSS4480X135/page-1", "PBSS4480X135")</f>
        <v>PBSS4480X135</v>
      </c>
      <c r="B18950" s="3" t="s">
        <v>93</v>
      </c>
      <c r="C18950" s="6">
        <v>17418</v>
      </c>
      <c r="D18950" s="7">
        <v>1.1100000000000001</v>
      </c>
    </row>
    <row r="18951" spans="1:4" x14ac:dyDescent="0.25">
      <c r="A18951" t="str">
        <f>HYPERLINK("https://www.773grp.com/globalSearch/PHE13009-DG127/page-1", "PHE13009-DG127")</f>
        <v>PHE13009-DG127</v>
      </c>
      <c r="B18951" s="3" t="s">
        <v>93</v>
      </c>
      <c r="C18951" s="6">
        <v>17000</v>
      </c>
      <c r="D18951" s="7">
        <v>1.1100000000000001</v>
      </c>
    </row>
    <row r="18952" spans="1:4" x14ac:dyDescent="0.25">
      <c r="A18952" t="str">
        <f>HYPERLINK("https://www.773grp.com/globalSearch/PSMN2R9-25YLC115/page-1", "PSMN2R9-25YLC115")</f>
        <v>PSMN2R9-25YLC115</v>
      </c>
      <c r="B18952" s="3" t="s">
        <v>93</v>
      </c>
      <c r="C18952" s="6">
        <v>1983</v>
      </c>
      <c r="D18952" s="7">
        <v>1.1100000000000001</v>
      </c>
    </row>
    <row r="18953" spans="1:4" x14ac:dyDescent="0.25">
      <c r="A18953" t="str">
        <f>HYPERLINK("https://www.773grp.com/globalSearch/PSMN3R2-30YLC115/page-1", "PSMN3R2-30YLC115")</f>
        <v>PSMN3R2-30YLC115</v>
      </c>
      <c r="B18953" s="3" t="s">
        <v>93</v>
      </c>
      <c r="C18953" s="6">
        <v>1951</v>
      </c>
      <c r="D18953" s="7">
        <v>1.1100000000000001</v>
      </c>
    </row>
    <row r="18954" spans="1:4" x14ac:dyDescent="0.25">
      <c r="A18954" t="str">
        <f>HYPERLINK("https://www.773grp.com/globalSearch/PZTA44115/page-1", "PZTA44115")</f>
        <v>PZTA44115</v>
      </c>
      <c r="B18954" s="3" t="s">
        <v>93</v>
      </c>
      <c r="C18954" s="6">
        <v>20000</v>
      </c>
      <c r="D18954" s="7">
        <v>1.1100000000000001</v>
      </c>
    </row>
    <row r="18955" spans="1:4" x14ac:dyDescent="0.25">
      <c r="A18955" t="str">
        <f>HYPERLINK("https://www.773grp.com/globalSearch/TEA1733T-N1118/page-1", "TEA1733T-N1118")</f>
        <v>TEA1733T-N1118</v>
      </c>
      <c r="B18955" s="3" t="s">
        <v>93</v>
      </c>
      <c r="C18955" s="6">
        <v>7500</v>
      </c>
      <c r="D18955" s="7">
        <v>1.1100000000000001</v>
      </c>
    </row>
    <row r="18956" spans="1:4" x14ac:dyDescent="0.25">
      <c r="A18956" t="str">
        <f>HYPERLINK("https://www.773grp.com/globalSearch/74ABT2245D118/page-1", "74ABT2245D118")</f>
        <v>74ABT2245D118</v>
      </c>
      <c r="B18956" s="3" t="s">
        <v>93</v>
      </c>
      <c r="C18956" s="6">
        <v>4000</v>
      </c>
      <c r="D18956" s="7">
        <v>1.1599999999999999</v>
      </c>
    </row>
    <row r="18957" spans="1:4" x14ac:dyDescent="0.25">
      <c r="A18957" t="str">
        <f>HYPERLINK("https://www.773grp.com/globalSearch/74ABT2245DB118/page-1", "74ABT2245DB118")</f>
        <v>74ABT2245DB118</v>
      </c>
      <c r="B18957" s="3" t="s">
        <v>93</v>
      </c>
      <c r="C18957" s="6">
        <v>2000</v>
      </c>
      <c r="D18957" s="7">
        <v>1.1599999999999999</v>
      </c>
    </row>
    <row r="18958" spans="1:4" x14ac:dyDescent="0.25">
      <c r="A18958" t="str">
        <f>HYPERLINK("https://www.773grp.com/globalSearch/74CBTLV3861BQ118/page-1", "74CBTLV3861BQ118")</f>
        <v>74CBTLV3861BQ118</v>
      </c>
      <c r="B18958" s="3" t="s">
        <v>93</v>
      </c>
      <c r="C18958" s="6">
        <v>3350</v>
      </c>
      <c r="D18958" s="7">
        <v>1.1599999999999999</v>
      </c>
    </row>
    <row r="18959" spans="1:4" x14ac:dyDescent="0.25">
      <c r="A18959" t="str">
        <f>HYPERLINK("https://www.773grp.com/globalSearch/74HC02N652/page-1", "74HC02N652")</f>
        <v>74HC02N652</v>
      </c>
      <c r="B18959" s="3" t="s">
        <v>93</v>
      </c>
      <c r="C18959" s="6">
        <v>31957</v>
      </c>
      <c r="D18959" s="7">
        <v>1.1599999999999999</v>
      </c>
    </row>
    <row r="18960" spans="1:4" x14ac:dyDescent="0.25">
      <c r="A18960" t="str">
        <f>HYPERLINK("https://www.773grp.com/globalSearch/74HC04N652/page-1", "74HC04N652")</f>
        <v>74HC04N652</v>
      </c>
      <c r="B18960" s="3" t="s">
        <v>93</v>
      </c>
      <c r="C18960" s="6">
        <v>13550</v>
      </c>
      <c r="D18960" s="7">
        <v>1.1599999999999999</v>
      </c>
    </row>
    <row r="18961" spans="1:4" x14ac:dyDescent="0.25">
      <c r="A18961" t="str">
        <f>HYPERLINK("https://www.773grp.com/globalSearch/74HC08N652/page-1", "74HC08N652")</f>
        <v>74HC08N652</v>
      </c>
      <c r="B18961" s="3" t="s">
        <v>93</v>
      </c>
      <c r="C18961" s="6">
        <v>36118</v>
      </c>
      <c r="D18961" s="7">
        <v>1.1599999999999999</v>
      </c>
    </row>
    <row r="18962" spans="1:4" x14ac:dyDescent="0.25">
      <c r="A18962" t="str">
        <f>HYPERLINK("https://www.773grp.com/globalSearch/74HC14N652/page-1", "74HC14N652")</f>
        <v>74HC14N652</v>
      </c>
      <c r="B18962" s="3" t="s">
        <v>93</v>
      </c>
      <c r="C18962" s="6">
        <v>15000</v>
      </c>
      <c r="D18962" s="7">
        <v>1.1599999999999999</v>
      </c>
    </row>
    <row r="18963" spans="1:4" x14ac:dyDescent="0.25">
      <c r="A18963" t="str">
        <f>HYPERLINK("https://www.773grp.com/globalSearch/74HC151DB112/page-1", "74HC151DB112")</f>
        <v>74HC151DB112</v>
      </c>
      <c r="B18963" s="3" t="s">
        <v>93</v>
      </c>
      <c r="C18963" s="6">
        <v>2184</v>
      </c>
      <c r="D18963" s="7">
        <v>1.1599999999999999</v>
      </c>
    </row>
    <row r="18964" spans="1:4" x14ac:dyDescent="0.25">
      <c r="A18964" t="str">
        <f>HYPERLINK("https://www.773grp.com/globalSearch/74HC27N652/page-1", "74HC27N652")</f>
        <v>74HC27N652</v>
      </c>
      <c r="B18964" s="3" t="s">
        <v>93</v>
      </c>
      <c r="C18964" s="6">
        <v>42000</v>
      </c>
      <c r="D18964" s="7">
        <v>1.1599999999999999</v>
      </c>
    </row>
    <row r="18965" spans="1:4" x14ac:dyDescent="0.25">
      <c r="A18965" t="str">
        <f>HYPERLINK("https://www.773grp.com/globalSearch/74HC32N652/page-1", "74HC32N652")</f>
        <v>74HC32N652</v>
      </c>
      <c r="B18965" s="3" t="s">
        <v>93</v>
      </c>
      <c r="C18965" s="6">
        <v>11000</v>
      </c>
      <c r="D18965" s="7">
        <v>1.1599999999999999</v>
      </c>
    </row>
    <row r="18966" spans="1:4" x14ac:dyDescent="0.25">
      <c r="A18966" t="str">
        <f>HYPERLINK("https://www.773grp.com/globalSearch/74HC4024PW118/page-1", "74HC4024PW118")</f>
        <v>74HC4024PW118</v>
      </c>
      <c r="B18966" s="3" t="s">
        <v>93</v>
      </c>
      <c r="C18966" s="6">
        <v>5000</v>
      </c>
      <c r="D18966" s="7">
        <v>1.1599999999999999</v>
      </c>
    </row>
    <row r="18967" spans="1:4" x14ac:dyDescent="0.25">
      <c r="A18967" t="str">
        <f>HYPERLINK("https://www.773grp.com/globalSearch/74HC4051DB112/page-1", "74HC4051DB112")</f>
        <v>74HC4051DB112</v>
      </c>
      <c r="B18967" s="3" t="s">
        <v>93</v>
      </c>
      <c r="C18967" s="6">
        <v>6352</v>
      </c>
      <c r="D18967" s="7">
        <v>1.1599999999999999</v>
      </c>
    </row>
    <row r="18968" spans="1:4" x14ac:dyDescent="0.25">
      <c r="A18968" t="str">
        <f>HYPERLINK("https://www.773grp.com/globalSearch/74HC4051DB118/page-1", "74HC4051DB118")</f>
        <v>74HC4051DB118</v>
      </c>
      <c r="B18968" s="3" t="s">
        <v>93</v>
      </c>
      <c r="C18968" s="6">
        <v>2000</v>
      </c>
      <c r="D18968" s="7">
        <v>1.1599999999999999</v>
      </c>
    </row>
    <row r="18969" spans="1:4" x14ac:dyDescent="0.25">
      <c r="A18969" t="str">
        <f>HYPERLINK("https://www.773grp.com/globalSearch/74HC4052DB112/page-1", "74HC4052DB112")</f>
        <v>74HC4052DB112</v>
      </c>
      <c r="B18969" s="3" t="s">
        <v>93</v>
      </c>
      <c r="C18969" s="6">
        <v>1092</v>
      </c>
      <c r="D18969" s="7">
        <v>1.1599999999999999</v>
      </c>
    </row>
    <row r="18970" spans="1:4" x14ac:dyDescent="0.25">
      <c r="A18970" t="str">
        <f>HYPERLINK("https://www.773grp.com/globalSearch/74HC4053DB112/page-1", "74HC4053DB112")</f>
        <v>74HC4053DB112</v>
      </c>
      <c r="B18970" s="3" t="s">
        <v>93</v>
      </c>
      <c r="C18970" s="6">
        <v>21971</v>
      </c>
      <c r="D18970" s="7">
        <v>1.1599999999999999</v>
      </c>
    </row>
    <row r="18971" spans="1:4" x14ac:dyDescent="0.25">
      <c r="A18971" t="str">
        <f>HYPERLINK("https://www.773grp.com/globalSearch/74HC4075DB112/page-1", "74HC4075DB112")</f>
        <v>74HC4075DB112</v>
      </c>
      <c r="B18971" s="3" t="s">
        <v>93</v>
      </c>
      <c r="C18971" s="6">
        <v>1092</v>
      </c>
      <c r="D18971" s="7">
        <v>1.1599999999999999</v>
      </c>
    </row>
    <row r="18972" spans="1:4" x14ac:dyDescent="0.25">
      <c r="A18972" t="str">
        <f>HYPERLINK("https://www.773grp.com/globalSearch/74HC540D652/page-1", "74HC540D652")</f>
        <v>74HC540D652</v>
      </c>
      <c r="B18972" s="3" t="s">
        <v>93</v>
      </c>
      <c r="C18972" s="6">
        <v>12655</v>
      </c>
      <c r="D18972" s="7">
        <v>1.1599999999999999</v>
      </c>
    </row>
    <row r="18973" spans="1:4" x14ac:dyDescent="0.25">
      <c r="A18973" t="str">
        <f>HYPERLINK("https://www.773grp.com/globalSearch/74HC563D653/page-1", "74HC563D653")</f>
        <v>74HC563D653</v>
      </c>
      <c r="B18973" s="3" t="s">
        <v>93</v>
      </c>
      <c r="C18973" s="6">
        <v>4000</v>
      </c>
      <c r="D18973" s="7">
        <v>1.1599999999999999</v>
      </c>
    </row>
    <row r="18974" spans="1:4" x14ac:dyDescent="0.25">
      <c r="A18974" t="str">
        <f>HYPERLINK("https://www.773grp.com/globalSearch/74HC564D652/page-1", "74HC564D652")</f>
        <v>74HC564D652</v>
      </c>
      <c r="B18974" s="3" t="s">
        <v>93</v>
      </c>
      <c r="C18974" s="6">
        <v>3040</v>
      </c>
      <c r="D18974" s="7">
        <v>1.1599999999999999</v>
      </c>
    </row>
    <row r="18975" spans="1:4" x14ac:dyDescent="0.25">
      <c r="A18975" t="str">
        <f>HYPERLINK("https://www.773grp.com/globalSearch/74HC564D653/page-1", "74HC564D653")</f>
        <v>74HC564D653</v>
      </c>
      <c r="B18975" s="3" t="s">
        <v>93</v>
      </c>
      <c r="C18975" s="6">
        <v>8389</v>
      </c>
      <c r="D18975" s="7">
        <v>1.1599999999999999</v>
      </c>
    </row>
    <row r="18976" spans="1:4" x14ac:dyDescent="0.25">
      <c r="A18976" t="str">
        <f>HYPERLINK("https://www.773grp.com/globalSearch/74HCT00N652/page-1", "74HCT00N652")</f>
        <v>74HCT00N652</v>
      </c>
      <c r="B18976" s="3" t="s">
        <v>93</v>
      </c>
      <c r="C18976" s="6">
        <v>52000</v>
      </c>
      <c r="D18976" s="7">
        <v>1.1599999999999999</v>
      </c>
    </row>
    <row r="18977" spans="1:4" x14ac:dyDescent="0.25">
      <c r="A18977" t="str">
        <f>HYPERLINK("https://www.773grp.com/globalSearch/74HCT02N652/page-1", "74HCT02N652")</f>
        <v>74HCT02N652</v>
      </c>
      <c r="B18977" s="3" t="s">
        <v>93</v>
      </c>
      <c r="C18977" s="6">
        <v>47000</v>
      </c>
      <c r="D18977" s="7">
        <v>1.1599999999999999</v>
      </c>
    </row>
    <row r="18978" spans="1:4" x14ac:dyDescent="0.25">
      <c r="A18978" t="str">
        <f>HYPERLINK("https://www.773grp.com/globalSearch/74HCT04N652/page-1", "74HCT04N652")</f>
        <v>74HCT04N652</v>
      </c>
      <c r="B18978" s="3" t="s">
        <v>93</v>
      </c>
      <c r="C18978" s="6">
        <v>26733</v>
      </c>
      <c r="D18978" s="7">
        <v>1.1599999999999999</v>
      </c>
    </row>
    <row r="18979" spans="1:4" x14ac:dyDescent="0.25">
      <c r="A18979" t="str">
        <f>HYPERLINK("https://www.773grp.com/globalSearch/74HCT08N652/page-1", "74HCT08N652")</f>
        <v>74HCT08N652</v>
      </c>
      <c r="B18979" s="3" t="s">
        <v>93</v>
      </c>
      <c r="C18979" s="6">
        <v>26383</v>
      </c>
      <c r="D18979" s="7">
        <v>1.1599999999999999</v>
      </c>
    </row>
    <row r="18980" spans="1:4" x14ac:dyDescent="0.25">
      <c r="A18980" t="str">
        <f>HYPERLINK("https://www.773grp.com/globalSearch/74HCT14N652/page-1", "74HCT14N652")</f>
        <v>74HCT14N652</v>
      </c>
      <c r="B18980" s="3" t="s">
        <v>93</v>
      </c>
      <c r="C18980" s="6">
        <v>8000</v>
      </c>
      <c r="D18980" s="7">
        <v>1.1599999999999999</v>
      </c>
    </row>
    <row r="18981" spans="1:4" x14ac:dyDescent="0.25">
      <c r="A18981" t="str">
        <f>HYPERLINK("https://www.773grp.com/globalSearch/74HCT193D652/page-1", "74HCT193D652")</f>
        <v>74HCT193D652</v>
      </c>
      <c r="B18981" s="3" t="s">
        <v>93</v>
      </c>
      <c r="C18981" s="6">
        <v>2830</v>
      </c>
      <c r="D18981" s="7">
        <v>1.1599999999999999</v>
      </c>
    </row>
    <row r="18982" spans="1:4" x14ac:dyDescent="0.25">
      <c r="A18982" t="str">
        <f>HYPERLINK("https://www.773grp.com/globalSearch/74HCT193D653/page-1", "74HCT193D653")</f>
        <v>74HCT193D653</v>
      </c>
      <c r="B18982" s="3" t="s">
        <v>93</v>
      </c>
      <c r="C18982" s="6">
        <v>2985</v>
      </c>
      <c r="D18982" s="7">
        <v>1.1599999999999999</v>
      </c>
    </row>
    <row r="18983" spans="1:4" x14ac:dyDescent="0.25">
      <c r="A18983" t="str">
        <f>HYPERLINK("https://www.773grp.com/globalSearch/74HCT238PW112/page-1", "74HCT238PW112")</f>
        <v>74HCT238PW112</v>
      </c>
      <c r="B18983" s="3" t="s">
        <v>93</v>
      </c>
      <c r="C18983" s="6">
        <v>440</v>
      </c>
      <c r="D18983" s="7">
        <v>1.1599999999999999</v>
      </c>
    </row>
    <row r="18984" spans="1:4" x14ac:dyDescent="0.25">
      <c r="A18984" t="str">
        <f>HYPERLINK("https://www.773grp.com/globalSearch/74HCT27N652/page-1", "74HCT27N652")</f>
        <v>74HCT27N652</v>
      </c>
      <c r="B18984" s="3" t="s">
        <v>93</v>
      </c>
      <c r="C18984" s="6">
        <v>8075</v>
      </c>
      <c r="D18984" s="7">
        <v>1.1599999999999999</v>
      </c>
    </row>
    <row r="18985" spans="1:4" x14ac:dyDescent="0.25">
      <c r="A18985" t="str">
        <f>HYPERLINK("https://www.773grp.com/globalSearch/74HCT32N652/page-1", "74HCT32N652")</f>
        <v>74HCT32N652</v>
      </c>
      <c r="B18985" s="3" t="s">
        <v>93</v>
      </c>
      <c r="C18985" s="6">
        <v>28908</v>
      </c>
      <c r="D18985" s="7">
        <v>1.1599999999999999</v>
      </c>
    </row>
    <row r="18986" spans="1:4" x14ac:dyDescent="0.25">
      <c r="A18986" t="str">
        <f>HYPERLINK("https://www.773grp.com/globalSearch/74HCT4051DB112/page-1", "74HCT4051DB112")</f>
        <v>74HCT4051DB112</v>
      </c>
      <c r="B18986" s="3" t="s">
        <v>93</v>
      </c>
      <c r="C18986" s="6">
        <v>976</v>
      </c>
      <c r="D18986" s="7">
        <v>1.1599999999999999</v>
      </c>
    </row>
    <row r="18987" spans="1:4" x14ac:dyDescent="0.25">
      <c r="A18987" t="str">
        <f>HYPERLINK("https://www.773grp.com/globalSearch/74HCT4051DB118/page-1", "74HCT4051DB118")</f>
        <v>74HCT4051DB118</v>
      </c>
      <c r="B18987" s="3" t="s">
        <v>93</v>
      </c>
      <c r="C18987" s="6">
        <v>1950</v>
      </c>
      <c r="D18987" s="7">
        <v>1.1599999999999999</v>
      </c>
    </row>
    <row r="18988" spans="1:4" x14ac:dyDescent="0.25">
      <c r="A18988" t="str">
        <f>HYPERLINK("https://www.773grp.com/globalSearch/74HCT4052DB112/page-1", "74HCT4052DB112")</f>
        <v>74HCT4052DB112</v>
      </c>
      <c r="B18988" s="3" t="s">
        <v>93</v>
      </c>
      <c r="C18988" s="6">
        <v>1092</v>
      </c>
      <c r="D18988" s="7">
        <v>1.1599999999999999</v>
      </c>
    </row>
    <row r="18989" spans="1:4" x14ac:dyDescent="0.25">
      <c r="A18989" t="str">
        <f>HYPERLINK("https://www.773grp.com/globalSearch/74HCT4052DB118/page-1", "74HCT4052DB118")</f>
        <v>74HCT4052DB118</v>
      </c>
      <c r="B18989" s="3" t="s">
        <v>93</v>
      </c>
      <c r="C18989" s="6">
        <v>10000</v>
      </c>
      <c r="D18989" s="7">
        <v>1.1599999999999999</v>
      </c>
    </row>
    <row r="18990" spans="1:4" x14ac:dyDescent="0.25">
      <c r="A18990" t="str">
        <f>HYPERLINK("https://www.773grp.com/globalSearch/74HCT4053DB112/page-1", "74HCT4053DB112")</f>
        <v>74HCT4053DB112</v>
      </c>
      <c r="B18990" s="3" t="s">
        <v>93</v>
      </c>
      <c r="C18990" s="6">
        <v>3276</v>
      </c>
      <c r="D18990" s="7">
        <v>1.1599999999999999</v>
      </c>
    </row>
    <row r="18991" spans="1:4" x14ac:dyDescent="0.25">
      <c r="A18991" t="str">
        <f>HYPERLINK("https://www.773grp.com/globalSearch/74HCT4066DB112/page-1", "74HCT4066DB112")</f>
        <v>74HCT4066DB112</v>
      </c>
      <c r="B18991" s="3" t="s">
        <v>93</v>
      </c>
      <c r="C18991" s="6">
        <v>1564</v>
      </c>
      <c r="D18991" s="7">
        <v>1.1599999999999999</v>
      </c>
    </row>
    <row r="18992" spans="1:4" x14ac:dyDescent="0.25">
      <c r="A18992" t="str">
        <f>HYPERLINK("https://www.773grp.com/globalSearch/74HCU04N652/page-1", "74HCU04N652")</f>
        <v>74HCU04N652</v>
      </c>
      <c r="B18992" s="3" t="s">
        <v>93</v>
      </c>
      <c r="C18992" s="6">
        <v>42000</v>
      </c>
      <c r="D18992" s="7">
        <v>1.1599999999999999</v>
      </c>
    </row>
    <row r="18993" spans="1:4" x14ac:dyDescent="0.25">
      <c r="A18993" t="str">
        <f>HYPERLINK("https://www.773grp.com/globalSearch/74LV259D112/page-1", "74LV259D112")</f>
        <v>74LV259D112</v>
      </c>
      <c r="B18993" s="3" t="s">
        <v>93</v>
      </c>
      <c r="C18993" s="6">
        <v>3000</v>
      </c>
      <c r="D18993" s="7">
        <v>1.1599999999999999</v>
      </c>
    </row>
    <row r="18994" spans="1:4" x14ac:dyDescent="0.25">
      <c r="A18994" t="str">
        <f>HYPERLINK("https://www.773grp.com/globalSearch/74LVC1G97GW125/page-1", "74LVC1G97GW125")</f>
        <v>74LVC1G97GW125</v>
      </c>
      <c r="B18994" s="3" t="s">
        <v>93</v>
      </c>
      <c r="C18994" s="6">
        <v>345000</v>
      </c>
      <c r="D18994" s="7">
        <v>1.1599999999999999</v>
      </c>
    </row>
    <row r="18995" spans="1:4" x14ac:dyDescent="0.25">
      <c r="A18995" t="str">
        <f>HYPERLINK("https://www.773grp.com/globalSearch/BFM505115/page-1", "BFM505115")</f>
        <v>BFM505115</v>
      </c>
      <c r="B18995" s="3" t="s">
        <v>93</v>
      </c>
      <c r="C18995" s="6">
        <v>177156</v>
      </c>
      <c r="D18995" s="7">
        <v>1.1599999999999999</v>
      </c>
    </row>
    <row r="18996" spans="1:4" x14ac:dyDescent="0.25">
      <c r="A18996" t="str">
        <f>HYPERLINK("https://www.773grp.com/globalSearch/BFM520115/page-1", "BFM520115")</f>
        <v>BFM520115</v>
      </c>
      <c r="B18996" s="3" t="s">
        <v>93</v>
      </c>
      <c r="C18996" s="6">
        <v>25639</v>
      </c>
      <c r="D18996" s="7">
        <v>1.1599999999999999</v>
      </c>
    </row>
    <row r="18997" spans="1:4" x14ac:dyDescent="0.25">
      <c r="A18997" t="str">
        <f>HYPERLINK("https://www.773grp.com/globalSearch/BFQ18A115/page-1", "BFQ18A115")</f>
        <v>BFQ18A115</v>
      </c>
      <c r="B18997" s="3" t="s">
        <v>93</v>
      </c>
      <c r="C18997" s="6">
        <v>4000</v>
      </c>
      <c r="D18997" s="7">
        <v>1.1599999999999999</v>
      </c>
    </row>
    <row r="18998" spans="1:4" x14ac:dyDescent="0.25">
      <c r="A18998" t="str">
        <f>HYPERLINK("https://www.773grp.com/globalSearch/BGU7004115/page-1", "BGU7004115")</f>
        <v>BGU7004115</v>
      </c>
      <c r="B18998" s="3" t="s">
        <v>93</v>
      </c>
      <c r="C18998" s="6">
        <v>474</v>
      </c>
      <c r="D18998" s="7">
        <v>1.1599999999999999</v>
      </c>
    </row>
    <row r="18999" spans="1:4" x14ac:dyDescent="0.25">
      <c r="A18999" t="str">
        <f>HYPERLINK("https://www.773grp.com/globalSearch/BSP31115/page-1", "BSP31115")</f>
        <v>BSP31115</v>
      </c>
      <c r="B18999" s="3" t="s">
        <v>93</v>
      </c>
      <c r="C18999" s="6">
        <v>139</v>
      </c>
      <c r="D18999" s="7">
        <v>1.1599999999999999</v>
      </c>
    </row>
    <row r="19000" spans="1:4" x14ac:dyDescent="0.25">
      <c r="A19000" t="str">
        <f>HYPERLINK("https://www.773grp.com/globalSearch/BSP33115/page-1", "BSP33115")</f>
        <v>BSP33115</v>
      </c>
      <c r="B19000" s="3" t="s">
        <v>93</v>
      </c>
      <c r="C19000" s="6">
        <v>4500</v>
      </c>
      <c r="D19000" s="7">
        <v>1.1599999999999999</v>
      </c>
    </row>
    <row r="19001" spans="1:4" x14ac:dyDescent="0.25">
      <c r="A19001" t="str">
        <f>HYPERLINK("https://www.773grp.com/globalSearch/BSP43115/page-1", "BSP43115")</f>
        <v>BSP43115</v>
      </c>
      <c r="B19001" s="3" t="s">
        <v>93</v>
      </c>
      <c r="C19001" s="6">
        <v>4000</v>
      </c>
      <c r="D19001" s="7">
        <v>1.1599999999999999</v>
      </c>
    </row>
    <row r="19002" spans="1:4" x14ac:dyDescent="0.25">
      <c r="A19002" t="str">
        <f>HYPERLINK("https://www.773grp.com/globalSearch/BT236X-600127/page-1", "BT236X-600127")</f>
        <v>BT236X-600127</v>
      </c>
      <c r="B19002" s="3" t="s">
        <v>93</v>
      </c>
      <c r="C19002" s="6">
        <v>5000</v>
      </c>
      <c r="D19002" s="7">
        <v>1.1599999999999999</v>
      </c>
    </row>
    <row r="19003" spans="1:4" x14ac:dyDescent="0.25">
      <c r="A19003" t="str">
        <f>HYPERLINK("https://www.773grp.com/globalSearch/BT236X-600F127/page-1", "BT236X-600F127")</f>
        <v>BT236X-600F127</v>
      </c>
      <c r="B19003" s="3" t="s">
        <v>93</v>
      </c>
      <c r="C19003" s="6">
        <v>1000</v>
      </c>
      <c r="D19003" s="7">
        <v>1.1599999999999999</v>
      </c>
    </row>
    <row r="19004" spans="1:4" x14ac:dyDescent="0.25">
      <c r="A19004" t="str">
        <f>HYPERLINK("https://www.773grp.com/globalSearch/BT236X-600G127/page-1", "BT236X-600G127")</f>
        <v>BT236X-600G127</v>
      </c>
      <c r="B19004" s="3" t="s">
        <v>93</v>
      </c>
      <c r="C19004" s="6">
        <v>198</v>
      </c>
      <c r="D19004" s="7">
        <v>1.1599999999999999</v>
      </c>
    </row>
    <row r="19005" spans="1:4" x14ac:dyDescent="0.25">
      <c r="A19005" t="str">
        <f>HYPERLINK("https://www.773grp.com/globalSearch/BT236X-800127/page-1", "BT236X-800127")</f>
        <v>BT236X-800127</v>
      </c>
      <c r="B19005" s="3" t="s">
        <v>93</v>
      </c>
      <c r="C19005" s="6">
        <v>150</v>
      </c>
      <c r="D19005" s="7">
        <v>1.1599999999999999</v>
      </c>
    </row>
    <row r="19006" spans="1:4" x14ac:dyDescent="0.25">
      <c r="A19006" t="str">
        <f>HYPERLINK("https://www.773grp.com/globalSearch/BUJ303B127/page-1", "BUJ303B127")</f>
        <v>BUJ303B127</v>
      </c>
      <c r="B19006" s="3" t="s">
        <v>93</v>
      </c>
      <c r="C19006" s="6">
        <v>90</v>
      </c>
      <c r="D19006" s="7">
        <v>1.1599999999999999</v>
      </c>
    </row>
    <row r="19007" spans="1:4" x14ac:dyDescent="0.25">
      <c r="A19007" t="str">
        <f>HYPERLINK("https://www.773grp.com/globalSearch/BUJ403A127/page-1", "BUJ403A127")</f>
        <v>BUJ403A127</v>
      </c>
      <c r="B19007" s="3" t="s">
        <v>93</v>
      </c>
      <c r="C19007" s="6">
        <v>14127</v>
      </c>
      <c r="D19007" s="7">
        <v>1.1599999999999999</v>
      </c>
    </row>
    <row r="19008" spans="1:4" x14ac:dyDescent="0.25">
      <c r="A19008" t="str">
        <f>HYPERLINK("https://www.773grp.com/globalSearch/BUJD105AD118/page-1", "BUJD105AD118")</f>
        <v>BUJD105AD118</v>
      </c>
      <c r="B19008" s="3" t="s">
        <v>93</v>
      </c>
      <c r="C19008" s="6">
        <v>40</v>
      </c>
      <c r="D19008" s="7">
        <v>1.1599999999999999</v>
      </c>
    </row>
    <row r="19009" spans="1:4" x14ac:dyDescent="0.25">
      <c r="A19009" t="str">
        <f>HYPERLINK("https://www.773grp.com/globalSearch/BUK95150-55A127/page-1", "BUK95150-55A127")</f>
        <v>BUK95150-55A127</v>
      </c>
      <c r="B19009" s="3" t="s">
        <v>93</v>
      </c>
      <c r="C19009" s="6">
        <v>2000</v>
      </c>
      <c r="D19009" s="7">
        <v>1.1599999999999999</v>
      </c>
    </row>
    <row r="19010" spans="1:4" x14ac:dyDescent="0.25">
      <c r="A19010" t="str">
        <f>HYPERLINK("https://www.773grp.com/globalSearch/BYC8D-600127/page-1", "BYC8D-600127")</f>
        <v>BYC8D-600127</v>
      </c>
      <c r="B19010" s="3" t="s">
        <v>93</v>
      </c>
      <c r="C19010" s="6">
        <v>4000</v>
      </c>
      <c r="D19010" s="7">
        <v>1.1599999999999999</v>
      </c>
    </row>
    <row r="19011" spans="1:4" x14ac:dyDescent="0.25">
      <c r="A19011" t="str">
        <f>HYPERLINK("https://www.773grp.com/globalSearch/BYV25D-600118/page-1", "BYV25D-600118")</f>
        <v>BYV25D-600118</v>
      </c>
      <c r="B19011" s="3" t="s">
        <v>93</v>
      </c>
      <c r="C19011" s="6">
        <v>5000</v>
      </c>
      <c r="D19011" s="7">
        <v>1.1599999999999999</v>
      </c>
    </row>
    <row r="19012" spans="1:4" x14ac:dyDescent="0.25">
      <c r="A19012" t="str">
        <f>HYPERLINK("https://www.773grp.com/globalSearch/CBT3384DK118/page-1", "CBT3384DK118")</f>
        <v>CBT3384DK118</v>
      </c>
      <c r="B19012" s="3" t="s">
        <v>93</v>
      </c>
      <c r="C19012" s="6">
        <v>50000</v>
      </c>
      <c r="D19012" s="7">
        <v>1.1599999999999999</v>
      </c>
    </row>
    <row r="19013" spans="1:4" x14ac:dyDescent="0.25">
      <c r="A19013" t="str">
        <f>HYPERLINK("https://www.773grp.com/globalSearch/HEF4521BT652/page-1", "HEF4521BT652")</f>
        <v>HEF4521BT652</v>
      </c>
      <c r="B19013" s="3" t="s">
        <v>93</v>
      </c>
      <c r="C19013" s="6">
        <v>4000</v>
      </c>
      <c r="D19013" s="7">
        <v>1.1599999999999999</v>
      </c>
    </row>
    <row r="19014" spans="1:4" x14ac:dyDescent="0.25">
      <c r="A19014" t="str">
        <f>HYPERLINK("https://www.773grp.com/globalSearch/HEF4521BT653/page-1", "HEF4521BT653")</f>
        <v>HEF4521BT653</v>
      </c>
      <c r="B19014" s="3" t="s">
        <v>93</v>
      </c>
      <c r="C19014" s="6">
        <v>2500</v>
      </c>
      <c r="D19014" s="7">
        <v>1.1599999999999999</v>
      </c>
    </row>
    <row r="19015" spans="1:4" x14ac:dyDescent="0.25">
      <c r="A19015" t="str">
        <f>HYPERLINK("https://www.773grp.com/globalSearch/KTY82-210215/page-1", "KTY82-210215")</f>
        <v>KTY82-210215</v>
      </c>
      <c r="B19015" s="3" t="s">
        <v>93</v>
      </c>
      <c r="C19015" s="6">
        <v>66</v>
      </c>
      <c r="D19015" s="7">
        <v>1.1599999999999999</v>
      </c>
    </row>
    <row r="19016" spans="1:4" x14ac:dyDescent="0.25">
      <c r="A19016" t="str">
        <f>HYPERLINK("https://www.773grp.com/globalSearch/KTY82-221215/page-1", "KTY82-221215")</f>
        <v>KTY82-221215</v>
      </c>
      <c r="B19016" s="3" t="s">
        <v>93</v>
      </c>
      <c r="C19016" s="6">
        <v>3000</v>
      </c>
      <c r="D19016" s="7">
        <v>1.1599999999999999</v>
      </c>
    </row>
    <row r="19017" spans="1:4" x14ac:dyDescent="0.25">
      <c r="A19017" t="str">
        <f>HYPERLINK("https://www.773grp.com/globalSearch/KTY82-222215/page-1", "KTY82-222215")</f>
        <v>KTY82-222215</v>
      </c>
      <c r="B19017" s="3" t="s">
        <v>93</v>
      </c>
      <c r="C19017" s="6">
        <v>700</v>
      </c>
      <c r="D19017" s="7">
        <v>1.1599999999999999</v>
      </c>
    </row>
    <row r="19018" spans="1:4" x14ac:dyDescent="0.25">
      <c r="A19018" t="str">
        <f>HYPERLINK("https://www.773grp.com/globalSearch/N74F161AD623/page-1", "N74F161AD623")</f>
        <v>N74F161AD623</v>
      </c>
      <c r="B19018" s="3" t="s">
        <v>93</v>
      </c>
      <c r="C19018" s="6">
        <v>1254</v>
      </c>
      <c r="D19018" s="7">
        <v>1.1599999999999999</v>
      </c>
    </row>
    <row r="19019" spans="1:4" x14ac:dyDescent="0.25">
      <c r="A19019" t="str">
        <f>HYPERLINK("https://www.773grp.com/globalSearch/N74F161AN602/page-1", "N74F161AN602")</f>
        <v>N74F161AN602</v>
      </c>
      <c r="B19019" s="3" t="s">
        <v>93</v>
      </c>
      <c r="C19019" s="6">
        <v>1770</v>
      </c>
      <c r="D19019" s="7">
        <v>1.1599999999999999</v>
      </c>
    </row>
    <row r="19020" spans="1:4" x14ac:dyDescent="0.25">
      <c r="A19020" t="str">
        <f>HYPERLINK("https://www.773grp.com/globalSearch/N74F242D602/page-1", "N74F242D602")</f>
        <v>N74F242D602</v>
      </c>
      <c r="B19020" s="3" t="s">
        <v>93</v>
      </c>
      <c r="C19020" s="6">
        <v>2224</v>
      </c>
      <c r="D19020" s="7">
        <v>1.1599999999999999</v>
      </c>
    </row>
    <row r="19021" spans="1:4" x14ac:dyDescent="0.25">
      <c r="A19021" t="str">
        <f>HYPERLINK("https://www.773grp.com/globalSearch/NX3DV221GM115/page-1", "NX3DV221GM115")</f>
        <v>NX3DV221GM115</v>
      </c>
      <c r="B19021" s="3" t="s">
        <v>93</v>
      </c>
      <c r="C19021" s="6">
        <v>5000</v>
      </c>
      <c r="D19021" s="7">
        <v>1.1599999999999999</v>
      </c>
    </row>
    <row r="19022" spans="1:4" x14ac:dyDescent="0.25">
      <c r="A19022" t="str">
        <f>HYPERLINK("https://www.773grp.com/globalSearch/PSMN3R0-30MLC115/page-1", "PSMN3R0-30MLC115")</f>
        <v>PSMN3R0-30MLC115</v>
      </c>
      <c r="B19022" s="3" t="s">
        <v>93</v>
      </c>
      <c r="C19022" s="6">
        <v>1398</v>
      </c>
      <c r="D19022" s="7">
        <v>1.1599999999999999</v>
      </c>
    </row>
    <row r="19023" spans="1:4" x14ac:dyDescent="0.25">
      <c r="A19023" t="str">
        <f>HYPERLINK("https://www.773grp.com/globalSearch/74ALVC373BQ115/page-1", "74ALVC373BQ115")</f>
        <v>74ALVC373BQ115</v>
      </c>
      <c r="B19023" s="3" t="s">
        <v>93</v>
      </c>
      <c r="C19023" s="6">
        <v>3000</v>
      </c>
      <c r="D19023" s="7">
        <v>1.21</v>
      </c>
    </row>
    <row r="19024" spans="1:4" x14ac:dyDescent="0.25">
      <c r="A19024" t="str">
        <f>HYPERLINK("https://www.773grp.com/globalSearch/74HC132N652/page-1", "74HC132N652")</f>
        <v>74HC132N652</v>
      </c>
      <c r="B19024" s="3" t="s">
        <v>93</v>
      </c>
      <c r="C19024" s="6">
        <v>33075</v>
      </c>
      <c r="D19024" s="7">
        <v>1.21</v>
      </c>
    </row>
    <row r="19025" spans="1:4" x14ac:dyDescent="0.25">
      <c r="A19025" t="str">
        <f>HYPERLINK("https://www.773grp.com/globalSearch/74HC139N652/page-1", "74HC139N652")</f>
        <v>74HC139N652</v>
      </c>
      <c r="B19025" s="3" t="s">
        <v>93</v>
      </c>
      <c r="C19025" s="6">
        <v>17000</v>
      </c>
      <c r="D19025" s="7">
        <v>1.21</v>
      </c>
    </row>
    <row r="19026" spans="1:4" x14ac:dyDescent="0.25">
      <c r="A19026" t="str">
        <f>HYPERLINK("https://www.773grp.com/globalSearch/74HC194DB112/page-1", "74HC194DB112")</f>
        <v>74HC194DB112</v>
      </c>
      <c r="B19026" s="3" t="s">
        <v>93</v>
      </c>
      <c r="C19026" s="6">
        <v>1503</v>
      </c>
      <c r="D19026" s="7">
        <v>1.21</v>
      </c>
    </row>
    <row r="19027" spans="1:4" x14ac:dyDescent="0.25">
      <c r="A19027" t="str">
        <f>HYPERLINK("https://www.773grp.com/globalSearch/74HC390DB112/page-1", "74HC390DB112")</f>
        <v>74HC390DB112</v>
      </c>
      <c r="B19027" s="3" t="s">
        <v>93</v>
      </c>
      <c r="C19027" s="6">
        <v>792</v>
      </c>
      <c r="D19027" s="7">
        <v>1.21</v>
      </c>
    </row>
    <row r="19028" spans="1:4" x14ac:dyDescent="0.25">
      <c r="A19028" t="str">
        <f>HYPERLINK("https://www.773grp.com/globalSearch/74HC4024DB112/page-1", "74HC4024DB112")</f>
        <v>74HC4024DB112</v>
      </c>
      <c r="B19028" s="3" t="s">
        <v>93</v>
      </c>
      <c r="C19028" s="6">
        <v>3189</v>
      </c>
      <c r="D19028" s="7">
        <v>1.21</v>
      </c>
    </row>
    <row r="19029" spans="1:4" x14ac:dyDescent="0.25">
      <c r="A19029" t="str">
        <f>HYPERLINK("https://www.773grp.com/globalSearch/74HC4050DB112/page-1", "74HC4050DB112")</f>
        <v>74HC4050DB112</v>
      </c>
      <c r="B19029" s="3" t="s">
        <v>93</v>
      </c>
      <c r="C19029" s="6">
        <v>2523</v>
      </c>
      <c r="D19029" s="7">
        <v>1.21</v>
      </c>
    </row>
    <row r="19030" spans="1:4" x14ac:dyDescent="0.25">
      <c r="A19030" t="str">
        <f>HYPERLINK("https://www.773grp.com/globalSearch/74HC85DB112/page-1", "74HC85DB112")</f>
        <v>74HC85DB112</v>
      </c>
      <c r="B19030" s="3" t="s">
        <v>93</v>
      </c>
      <c r="C19030" s="6">
        <v>1092</v>
      </c>
      <c r="D19030" s="7">
        <v>1.21</v>
      </c>
    </row>
    <row r="19031" spans="1:4" x14ac:dyDescent="0.25">
      <c r="A19031" t="str">
        <f>HYPERLINK("https://www.773grp.com/globalSearch/74HC85DB118/page-1", "74HC85DB118")</f>
        <v>74HC85DB118</v>
      </c>
      <c r="B19031" s="3" t="s">
        <v>93</v>
      </c>
      <c r="C19031" s="6">
        <v>2000</v>
      </c>
      <c r="D19031" s="7">
        <v>1.21</v>
      </c>
    </row>
    <row r="19032" spans="1:4" x14ac:dyDescent="0.25">
      <c r="A19032" t="str">
        <f>HYPERLINK("https://www.773grp.com/globalSearch/74HC86N652/page-1", "74HC86N652")</f>
        <v>74HC86N652</v>
      </c>
      <c r="B19032" s="3" t="s">
        <v>93</v>
      </c>
      <c r="C19032" s="6">
        <v>53136</v>
      </c>
      <c r="D19032" s="7">
        <v>1.21</v>
      </c>
    </row>
    <row r="19033" spans="1:4" x14ac:dyDescent="0.25">
      <c r="A19033" t="str">
        <f>HYPERLINK("https://www.773grp.com/globalSearch/74HC93D112/page-1", "74HC93D112")</f>
        <v>74HC93D112</v>
      </c>
      <c r="B19033" s="3" t="s">
        <v>93</v>
      </c>
      <c r="C19033" s="6">
        <v>2280</v>
      </c>
      <c r="D19033" s="7">
        <v>1.21</v>
      </c>
    </row>
    <row r="19034" spans="1:4" x14ac:dyDescent="0.25">
      <c r="A19034" t="str">
        <f>HYPERLINK("https://www.773grp.com/globalSearch/74HCT132N652/page-1", "74HCT132N652")</f>
        <v>74HCT132N652</v>
      </c>
      <c r="B19034" s="3" t="s">
        <v>93</v>
      </c>
      <c r="C19034" s="6">
        <v>6724</v>
      </c>
      <c r="D19034" s="7">
        <v>1.21</v>
      </c>
    </row>
    <row r="19035" spans="1:4" x14ac:dyDescent="0.25">
      <c r="A19035" t="str">
        <f>HYPERLINK("https://www.773grp.com/globalSearch/74HCT138N652/page-1", "74HCT138N652")</f>
        <v>74HCT138N652</v>
      </c>
      <c r="B19035" s="3" t="s">
        <v>93</v>
      </c>
      <c r="C19035" s="6">
        <v>26588</v>
      </c>
      <c r="D19035" s="7">
        <v>1.21</v>
      </c>
    </row>
    <row r="19036" spans="1:4" x14ac:dyDescent="0.25">
      <c r="A19036" t="str">
        <f>HYPERLINK("https://www.773grp.com/globalSearch/74HCT139N652/page-1", "74HCT139N652")</f>
        <v>74HCT139N652</v>
      </c>
      <c r="B19036" s="3" t="s">
        <v>93</v>
      </c>
      <c r="C19036" s="6">
        <v>15000</v>
      </c>
      <c r="D19036" s="7">
        <v>1.21</v>
      </c>
    </row>
    <row r="19037" spans="1:4" x14ac:dyDescent="0.25">
      <c r="A19037" t="str">
        <f>HYPERLINK("https://www.773grp.com/globalSearch/74HCT173DB112/page-1", "74HCT173DB112")</f>
        <v>74HCT173DB112</v>
      </c>
      <c r="B19037" s="3" t="s">
        <v>93</v>
      </c>
      <c r="C19037" s="6">
        <v>24</v>
      </c>
      <c r="D19037" s="7">
        <v>1.21</v>
      </c>
    </row>
    <row r="19038" spans="1:4" x14ac:dyDescent="0.25">
      <c r="A19038" t="str">
        <f>HYPERLINK("https://www.773grp.com/globalSearch/74HCT194D653/page-1", "74HCT194D653")</f>
        <v>74HCT194D653</v>
      </c>
      <c r="B19038" s="3" t="s">
        <v>93</v>
      </c>
      <c r="C19038" s="6">
        <v>130</v>
      </c>
      <c r="D19038" s="7">
        <v>1.21</v>
      </c>
    </row>
    <row r="19039" spans="1:4" x14ac:dyDescent="0.25">
      <c r="A19039" t="str">
        <f>HYPERLINK("https://www.773grp.com/globalSearch/74HCT221D112/page-1", "74HCT221D112")</f>
        <v>74HCT221D112</v>
      </c>
      <c r="B19039" s="3" t="s">
        <v>93</v>
      </c>
      <c r="C19039" s="6">
        <v>2000</v>
      </c>
      <c r="D19039" s="7">
        <v>1.21</v>
      </c>
    </row>
    <row r="19040" spans="1:4" x14ac:dyDescent="0.25">
      <c r="A19040" t="str">
        <f>HYPERLINK("https://www.773grp.com/globalSearch/74HCT221D118/page-1", "74HCT221D118")</f>
        <v>74HCT221D118</v>
      </c>
      <c r="B19040" s="3" t="s">
        <v>93</v>
      </c>
      <c r="C19040" s="6">
        <v>2500</v>
      </c>
      <c r="D19040" s="7">
        <v>1.21</v>
      </c>
    </row>
    <row r="19041" spans="1:4" x14ac:dyDescent="0.25">
      <c r="A19041" t="str">
        <f>HYPERLINK("https://www.773grp.com/globalSearch/74HCT390DB112/page-1", "74HCT390DB112")</f>
        <v>74HCT390DB112</v>
      </c>
      <c r="B19041" s="3" t="s">
        <v>93</v>
      </c>
      <c r="C19041" s="6">
        <v>1125</v>
      </c>
      <c r="D19041" s="7">
        <v>1.21</v>
      </c>
    </row>
    <row r="19042" spans="1:4" x14ac:dyDescent="0.25">
      <c r="A19042" t="str">
        <f>HYPERLINK("https://www.773grp.com/globalSearch/74HCT423DB112/page-1", "74HCT423DB112")</f>
        <v>74HCT423DB112</v>
      </c>
      <c r="B19042" s="3" t="s">
        <v>93</v>
      </c>
      <c r="C19042" s="6">
        <v>22</v>
      </c>
      <c r="D19042" s="7">
        <v>1.21</v>
      </c>
    </row>
    <row r="19043" spans="1:4" x14ac:dyDescent="0.25">
      <c r="A19043" t="str">
        <f>HYPERLINK("https://www.773grp.com/globalSearch/74HCT595D112/page-1", "74HCT595D112")</f>
        <v>74HCT595D112</v>
      </c>
      <c r="B19043" s="3" t="s">
        <v>93</v>
      </c>
      <c r="C19043" s="6">
        <v>10000</v>
      </c>
      <c r="D19043" s="7">
        <v>1.21</v>
      </c>
    </row>
    <row r="19044" spans="1:4" x14ac:dyDescent="0.25">
      <c r="A19044" t="str">
        <f>HYPERLINK("https://www.773grp.com/globalSearch/74HCT86N652/page-1", "74HCT86N652")</f>
        <v>74HCT86N652</v>
      </c>
      <c r="B19044" s="3" t="s">
        <v>93</v>
      </c>
      <c r="C19044" s="6">
        <v>34145</v>
      </c>
      <c r="D19044" s="7">
        <v>1.21</v>
      </c>
    </row>
    <row r="19045" spans="1:4" x14ac:dyDescent="0.25">
      <c r="A19045" t="str">
        <f>HYPERLINK("https://www.773grp.com/globalSearch/74LV4053D112/page-1", "74LV4053D112")</f>
        <v>74LV4053D112</v>
      </c>
      <c r="B19045" s="3" t="s">
        <v>93</v>
      </c>
      <c r="C19045" s="6">
        <v>3000</v>
      </c>
      <c r="D19045" s="7">
        <v>1.21</v>
      </c>
    </row>
    <row r="19046" spans="1:4" x14ac:dyDescent="0.25">
      <c r="A19046" t="str">
        <f>HYPERLINK("https://www.773grp.com/globalSearch/74LVC169PW112/page-1", "74LVC169PW112")</f>
        <v>74LVC169PW112</v>
      </c>
      <c r="B19046" s="3" t="s">
        <v>93</v>
      </c>
      <c r="C19046" s="6">
        <v>4000</v>
      </c>
      <c r="D19046" s="7">
        <v>1.21</v>
      </c>
    </row>
    <row r="19047" spans="1:4" x14ac:dyDescent="0.25">
      <c r="A19047" t="str">
        <f>HYPERLINK("https://www.773grp.com/globalSearch/74LVC169PW118/page-1", "74LVC169PW118")</f>
        <v>74LVC169PW118</v>
      </c>
      <c r="B19047" s="3" t="s">
        <v>93</v>
      </c>
      <c r="C19047" s="6">
        <v>5150</v>
      </c>
      <c r="D19047" s="7">
        <v>1.21</v>
      </c>
    </row>
    <row r="19048" spans="1:4" x14ac:dyDescent="0.25">
      <c r="A19048" t="str">
        <f>HYPERLINK("https://www.773grp.com/globalSearch/74LVC1GX04GV125/page-1", "74LVC1GX04GV125")</f>
        <v>74LVC1GX04GV125</v>
      </c>
      <c r="B19048" s="3" t="s">
        <v>93</v>
      </c>
      <c r="C19048" s="6">
        <v>6000</v>
      </c>
      <c r="D19048" s="7">
        <v>1.21</v>
      </c>
    </row>
    <row r="19049" spans="1:4" x14ac:dyDescent="0.25">
      <c r="A19049" t="str">
        <f>HYPERLINK("https://www.773grp.com/globalSearch/BSP250115/page-1", "BSP250115")</f>
        <v>BSP250115</v>
      </c>
      <c r="B19049" s="3" t="s">
        <v>93</v>
      </c>
      <c r="C19049" s="6">
        <v>7269</v>
      </c>
      <c r="D19049" s="7">
        <v>1.21</v>
      </c>
    </row>
    <row r="19050" spans="1:4" x14ac:dyDescent="0.25">
      <c r="A19050" t="str">
        <f>HYPERLINK("https://www.773grp.com/globalSearch/BSP250135/page-1", "BSP250135")</f>
        <v>BSP250135</v>
      </c>
      <c r="B19050" s="3" t="s">
        <v>93</v>
      </c>
      <c r="C19050" s="6">
        <v>16149</v>
      </c>
      <c r="D19050" s="7">
        <v>1.21</v>
      </c>
    </row>
    <row r="19051" spans="1:4" x14ac:dyDescent="0.25">
      <c r="A19051" t="str">
        <f>HYPERLINK("https://www.773grp.com/globalSearch/BUK6213-30C118/page-1", "BUK6213-30C118")</f>
        <v>BUK6213-30C118</v>
      </c>
      <c r="B19051" s="3" t="s">
        <v>93</v>
      </c>
      <c r="C19051" s="6">
        <v>2500</v>
      </c>
      <c r="D19051" s="7">
        <v>1.21</v>
      </c>
    </row>
    <row r="19052" spans="1:4" x14ac:dyDescent="0.25">
      <c r="A19052" t="str">
        <f>HYPERLINK("https://www.773grp.com/globalSearch/BUK6218-40C118/page-1", "BUK6218-40C118")</f>
        <v>BUK6218-40C118</v>
      </c>
      <c r="B19052" s="3" t="s">
        <v>93</v>
      </c>
      <c r="C19052" s="6">
        <v>202</v>
      </c>
      <c r="D19052" s="7">
        <v>1.21</v>
      </c>
    </row>
    <row r="19053" spans="1:4" x14ac:dyDescent="0.25">
      <c r="A19053" t="str">
        <f>HYPERLINK("https://www.773grp.com/globalSearch/BUK6228-55C118/page-1", "BUK6228-55C118")</f>
        <v>BUK6228-55C118</v>
      </c>
      <c r="B19053" s="3" t="s">
        <v>93</v>
      </c>
      <c r="C19053" s="6">
        <v>5615</v>
      </c>
      <c r="D19053" s="7">
        <v>1.21</v>
      </c>
    </row>
    <row r="19054" spans="1:4" x14ac:dyDescent="0.25">
      <c r="A19054" t="str">
        <f>HYPERLINK("https://www.773grp.com/globalSearch/BYC5-600127/page-1", "BYC5-600127")</f>
        <v>BYC5-600127</v>
      </c>
      <c r="B19054" s="3" t="s">
        <v>93</v>
      </c>
      <c r="C19054" s="6">
        <v>6000</v>
      </c>
      <c r="D19054" s="7">
        <v>1.21</v>
      </c>
    </row>
    <row r="19055" spans="1:4" x14ac:dyDescent="0.25">
      <c r="A19055" t="str">
        <f>HYPERLINK("https://www.773grp.com/globalSearch/BYQ28X-200127/page-1", "BYQ28X-200127")</f>
        <v>BYQ28X-200127</v>
      </c>
      <c r="B19055" s="3" t="s">
        <v>93</v>
      </c>
      <c r="C19055" s="6">
        <v>2000</v>
      </c>
      <c r="D19055" s="7">
        <v>1.21</v>
      </c>
    </row>
    <row r="19056" spans="1:4" x14ac:dyDescent="0.25">
      <c r="A19056" t="str">
        <f>HYPERLINK("https://www.773grp.com/globalSearch/PBSS301PX115/page-1", "PBSS301PX115")</f>
        <v>PBSS301PX115</v>
      </c>
      <c r="B19056" s="3" t="s">
        <v>93</v>
      </c>
      <c r="C19056" s="6">
        <v>8575</v>
      </c>
      <c r="D19056" s="7">
        <v>1.21</v>
      </c>
    </row>
    <row r="19057" spans="1:4" x14ac:dyDescent="0.25">
      <c r="A19057" t="str">
        <f>HYPERLINK("https://www.773grp.com/globalSearch/PBSS302NX115/page-1", "PBSS302NX115")</f>
        <v>PBSS302NX115</v>
      </c>
      <c r="B19057" s="3" t="s">
        <v>93</v>
      </c>
      <c r="C19057" s="6">
        <v>11148</v>
      </c>
      <c r="D19057" s="7">
        <v>1.21</v>
      </c>
    </row>
    <row r="19058" spans="1:4" x14ac:dyDescent="0.25">
      <c r="A19058" t="str">
        <f>HYPERLINK("https://www.773grp.com/globalSearch/PBSS302PX115/page-1", "PBSS302PX115")</f>
        <v>PBSS302PX115</v>
      </c>
      <c r="B19058" s="3" t="s">
        <v>93</v>
      </c>
      <c r="C19058" s="6">
        <v>4000</v>
      </c>
      <c r="D19058" s="7">
        <v>1.21</v>
      </c>
    </row>
    <row r="19059" spans="1:4" x14ac:dyDescent="0.25">
      <c r="A19059" t="str">
        <f>HYPERLINK("https://www.773grp.com/globalSearch/PHK18NQ03LT518/page-1", "PHK18NQ03LT518")</f>
        <v>PHK18NQ03LT518</v>
      </c>
      <c r="B19059" s="3" t="s">
        <v>93</v>
      </c>
      <c r="C19059" s="6">
        <v>5000</v>
      </c>
      <c r="D19059" s="7">
        <v>1.21</v>
      </c>
    </row>
    <row r="19060" spans="1:4" x14ac:dyDescent="0.25">
      <c r="A19060" t="str">
        <f>HYPERLINK("https://www.773grp.com/globalSearch/PHT8N06LT135/page-1", "PHT8N06LT135")</f>
        <v>PHT8N06LT135</v>
      </c>
      <c r="B19060" s="3" t="s">
        <v>93</v>
      </c>
      <c r="C19060" s="6">
        <v>6638</v>
      </c>
      <c r="D19060" s="7">
        <v>1.21</v>
      </c>
    </row>
    <row r="19061" spans="1:4" x14ac:dyDescent="0.25">
      <c r="A19061" t="str">
        <f>HYPERLINK("https://www.773grp.com/globalSearch/PSMN2R6-30YLC115/page-1", "PSMN2R6-30YLC115")</f>
        <v>PSMN2R6-30YLC115</v>
      </c>
      <c r="B19061" s="3" t="s">
        <v>93</v>
      </c>
      <c r="C19061" s="6">
        <v>1303</v>
      </c>
      <c r="D19061" s="7">
        <v>1.21</v>
      </c>
    </row>
    <row r="19062" spans="1:4" x14ac:dyDescent="0.25">
      <c r="A19062" t="str">
        <f>HYPERLINK("https://www.773grp.com/globalSearch/74AHCT594BQ115/page-1", "74AHCT594BQ115")</f>
        <v>74AHCT594BQ115</v>
      </c>
      <c r="B19062" s="3" t="s">
        <v>93</v>
      </c>
      <c r="C19062" s="6">
        <v>6000</v>
      </c>
      <c r="D19062" s="7">
        <v>1.26</v>
      </c>
    </row>
    <row r="19063" spans="1:4" x14ac:dyDescent="0.25">
      <c r="A19063" t="str">
        <f>HYPERLINK("https://www.773grp.com/globalSearch/74AUP1G74GT115/page-1", "74AUP1G74GT115")</f>
        <v>74AUP1G74GT115</v>
      </c>
      <c r="B19063" s="3" t="s">
        <v>93</v>
      </c>
      <c r="C19063" s="6">
        <v>10000</v>
      </c>
      <c r="D19063" s="7">
        <v>1.26</v>
      </c>
    </row>
    <row r="19064" spans="1:4" x14ac:dyDescent="0.25">
      <c r="A19064" t="str">
        <f>HYPERLINK("https://www.773grp.com/globalSearch/74AUP1T45GF132/page-1", "74AUP1T45GF132")</f>
        <v>74AUP1T45GF132</v>
      </c>
      <c r="B19064" s="3" t="s">
        <v>93</v>
      </c>
      <c r="C19064" s="6">
        <v>275</v>
      </c>
      <c r="D19064" s="7">
        <v>1.26</v>
      </c>
    </row>
    <row r="19065" spans="1:4" x14ac:dyDescent="0.25">
      <c r="A19065" t="str">
        <f>HYPERLINK("https://www.773grp.com/globalSearch/74AUP2G00GF115/page-1", "74AUP2G00GF115")</f>
        <v>74AUP2G00GF115</v>
      </c>
      <c r="B19065" s="3" t="s">
        <v>93</v>
      </c>
      <c r="C19065" s="6">
        <v>300</v>
      </c>
      <c r="D19065" s="7">
        <v>1.26</v>
      </c>
    </row>
    <row r="19066" spans="1:4" x14ac:dyDescent="0.25">
      <c r="A19066" t="str">
        <f>HYPERLINK("https://www.773grp.com/globalSearch/74AUP2G08GT115/page-1", "74AUP2G08GT115")</f>
        <v>74AUP2G08GT115</v>
      </c>
      <c r="B19066" s="3" t="s">
        <v>93</v>
      </c>
      <c r="C19066" s="6">
        <v>10145</v>
      </c>
      <c r="D19066" s="7">
        <v>1.26</v>
      </c>
    </row>
    <row r="19067" spans="1:4" x14ac:dyDescent="0.25">
      <c r="A19067" t="str">
        <f>HYPERLINK("https://www.773grp.com/globalSearch/74AUP2G125GT115/page-1", "74AUP2G125GT115")</f>
        <v>74AUP2G125GT115</v>
      </c>
      <c r="B19067" s="3" t="s">
        <v>93</v>
      </c>
      <c r="C19067" s="6">
        <v>173</v>
      </c>
      <c r="D19067" s="7">
        <v>1.26</v>
      </c>
    </row>
    <row r="19068" spans="1:4" x14ac:dyDescent="0.25">
      <c r="A19068" t="str">
        <f>HYPERLINK("https://www.773grp.com/globalSearch/74AUP2G126GT115/page-1", "74AUP2G126GT115")</f>
        <v>74AUP2G126GT115</v>
      </c>
      <c r="B19068" s="3" t="s">
        <v>93</v>
      </c>
      <c r="C19068" s="6">
        <v>5000</v>
      </c>
      <c r="D19068" s="7">
        <v>1.26</v>
      </c>
    </row>
    <row r="19069" spans="1:4" x14ac:dyDescent="0.25">
      <c r="A19069" t="str">
        <f>HYPERLINK("https://www.773grp.com/globalSearch/74AUP2G32GT115/page-1", "74AUP2G32GT115")</f>
        <v>74AUP2G32GT115</v>
      </c>
      <c r="B19069" s="3" t="s">
        <v>93</v>
      </c>
      <c r="C19069" s="6">
        <v>490</v>
      </c>
      <c r="D19069" s="7">
        <v>1.26</v>
      </c>
    </row>
    <row r="19070" spans="1:4" x14ac:dyDescent="0.25">
      <c r="A19070" t="str">
        <f>HYPERLINK("https://www.773grp.com/globalSearch/74HC147DB112/page-1", "74HC147DB112")</f>
        <v>74HC147DB112</v>
      </c>
      <c r="B19070" s="3" t="s">
        <v>93</v>
      </c>
      <c r="C19070" s="6">
        <v>1092</v>
      </c>
      <c r="D19070" s="7">
        <v>1.26</v>
      </c>
    </row>
    <row r="19071" spans="1:4" x14ac:dyDescent="0.25">
      <c r="A19071" t="str">
        <f>HYPERLINK("https://www.773grp.com/globalSearch/74HC258DB112/page-1", "74HC258DB112")</f>
        <v>74HC258DB112</v>
      </c>
      <c r="B19071" s="3" t="s">
        <v>93</v>
      </c>
      <c r="C19071" s="6">
        <v>2184</v>
      </c>
      <c r="D19071" s="7">
        <v>1.26</v>
      </c>
    </row>
    <row r="19072" spans="1:4" x14ac:dyDescent="0.25">
      <c r="A19072" t="str">
        <f>HYPERLINK("https://www.773grp.com/globalSearch/74HC365DB112/page-1", "74HC365DB112")</f>
        <v>74HC365DB112</v>
      </c>
      <c r="B19072" s="3" t="s">
        <v>93</v>
      </c>
      <c r="C19072" s="6">
        <v>709</v>
      </c>
      <c r="D19072" s="7">
        <v>1.26</v>
      </c>
    </row>
    <row r="19073" spans="1:4" x14ac:dyDescent="0.25">
      <c r="A19073" t="str">
        <f>HYPERLINK("https://www.773grp.com/globalSearch/74HC4049DB112/page-1", "74HC4049DB112")</f>
        <v>74HC4049DB112</v>
      </c>
      <c r="B19073" s="3" t="s">
        <v>93</v>
      </c>
      <c r="C19073" s="6">
        <v>2092</v>
      </c>
      <c r="D19073" s="7">
        <v>1.26</v>
      </c>
    </row>
    <row r="19074" spans="1:4" x14ac:dyDescent="0.25">
      <c r="A19074" t="str">
        <f>HYPERLINK("https://www.773grp.com/globalSearch/74HC4060DB112/page-1", "74HC4060DB112")</f>
        <v>74HC4060DB112</v>
      </c>
      <c r="B19074" s="3" t="s">
        <v>93</v>
      </c>
      <c r="C19074" s="6">
        <v>362</v>
      </c>
      <c r="D19074" s="7">
        <v>1.26</v>
      </c>
    </row>
    <row r="19075" spans="1:4" x14ac:dyDescent="0.25">
      <c r="A19075" t="str">
        <f>HYPERLINK("https://www.773grp.com/globalSearch/74HC4351D652/page-1", "74HC4351D652")</f>
        <v>74HC4351D652</v>
      </c>
      <c r="B19075" s="3" t="s">
        <v>93</v>
      </c>
      <c r="C19075" s="6">
        <v>2201</v>
      </c>
      <c r="D19075" s="7">
        <v>1.26</v>
      </c>
    </row>
    <row r="19076" spans="1:4" x14ac:dyDescent="0.25">
      <c r="A19076" t="str">
        <f>HYPERLINK("https://www.773grp.com/globalSearch/74HC4351D653/page-1", "74HC4351D653")</f>
        <v>74HC4351D653</v>
      </c>
      <c r="B19076" s="3" t="s">
        <v>93</v>
      </c>
      <c r="C19076" s="6">
        <v>2000</v>
      </c>
      <c r="D19076" s="7">
        <v>1.26</v>
      </c>
    </row>
    <row r="19077" spans="1:4" x14ac:dyDescent="0.25">
      <c r="A19077" t="str">
        <f>HYPERLINK("https://www.773grp.com/globalSearch/74HC74N652/page-1", "74HC74N652")</f>
        <v>74HC74N652</v>
      </c>
      <c r="B19077" s="3" t="s">
        <v>93</v>
      </c>
      <c r="C19077" s="6">
        <v>57477</v>
      </c>
      <c r="D19077" s="7">
        <v>1.26</v>
      </c>
    </row>
    <row r="19078" spans="1:4" x14ac:dyDescent="0.25">
      <c r="A19078" t="str">
        <f>HYPERLINK("https://www.773grp.com/globalSearch/74HCT163DB112/page-1", "74HCT163DB112")</f>
        <v>74HCT163DB112</v>
      </c>
      <c r="B19078" s="3" t="s">
        <v>93</v>
      </c>
      <c r="C19078" s="6">
        <v>3778</v>
      </c>
      <c r="D19078" s="7">
        <v>1.26</v>
      </c>
    </row>
    <row r="19079" spans="1:4" x14ac:dyDescent="0.25">
      <c r="A19079" t="str">
        <f>HYPERLINK("https://www.773grp.com/globalSearch/74HCT165DB112/page-1", "74HCT165DB112")</f>
        <v>74HCT165DB112</v>
      </c>
      <c r="B19079" s="3" t="s">
        <v>93</v>
      </c>
      <c r="C19079" s="6">
        <v>2090</v>
      </c>
      <c r="D19079" s="7">
        <v>1.26</v>
      </c>
    </row>
    <row r="19080" spans="1:4" x14ac:dyDescent="0.25">
      <c r="A19080" t="str">
        <f>HYPERLINK("https://www.773grp.com/globalSearch/74HCT165DB118/page-1", "74HCT165DB118")</f>
        <v>74HCT165DB118</v>
      </c>
      <c r="B19080" s="3" t="s">
        <v>93</v>
      </c>
      <c r="C19080" s="6">
        <v>2000</v>
      </c>
      <c r="D19080" s="7">
        <v>1.26</v>
      </c>
    </row>
    <row r="19081" spans="1:4" x14ac:dyDescent="0.25">
      <c r="A19081" t="str">
        <f>HYPERLINK("https://www.773grp.com/globalSearch/74HCT377DB112/page-1", "74HCT377DB112")</f>
        <v>74HCT377DB112</v>
      </c>
      <c r="B19081" s="3" t="s">
        <v>93</v>
      </c>
      <c r="C19081" s="6">
        <v>2772</v>
      </c>
      <c r="D19081" s="7">
        <v>1.26</v>
      </c>
    </row>
    <row r="19082" spans="1:4" x14ac:dyDescent="0.25">
      <c r="A19082" t="str">
        <f>HYPERLINK("https://www.773grp.com/globalSearch/74HCT377DB118/page-1", "74HCT377DB118")</f>
        <v>74HCT377DB118</v>
      </c>
      <c r="B19082" s="3" t="s">
        <v>93</v>
      </c>
      <c r="C19082" s="6">
        <v>2000</v>
      </c>
      <c r="D19082" s="7">
        <v>1.26</v>
      </c>
    </row>
    <row r="19083" spans="1:4" x14ac:dyDescent="0.25">
      <c r="A19083" t="str">
        <f>HYPERLINK("https://www.773grp.com/globalSearch/74HCT4060DB112/page-1", "74HCT4060DB112")</f>
        <v>74HCT4060DB112</v>
      </c>
      <c r="B19083" s="3" t="s">
        <v>93</v>
      </c>
      <c r="C19083" s="6">
        <v>80</v>
      </c>
      <c r="D19083" s="7">
        <v>1.26</v>
      </c>
    </row>
    <row r="19084" spans="1:4" x14ac:dyDescent="0.25">
      <c r="A19084" t="str">
        <f>HYPERLINK("https://www.773grp.com/globalSearch/74HCT74N652/page-1", "74HCT74N652")</f>
        <v>74HCT74N652</v>
      </c>
      <c r="B19084" s="3" t="s">
        <v>93</v>
      </c>
      <c r="C19084" s="6">
        <v>33774</v>
      </c>
      <c r="D19084" s="7">
        <v>1.26</v>
      </c>
    </row>
    <row r="19085" spans="1:4" x14ac:dyDescent="0.25">
      <c r="A19085" t="str">
        <f>HYPERLINK("https://www.773grp.com/globalSearch/74LV164BQ115/page-1", "74LV164BQ115")</f>
        <v>74LV164BQ115</v>
      </c>
      <c r="B19085" s="3" t="s">
        <v>93</v>
      </c>
      <c r="C19085" s="6">
        <v>346</v>
      </c>
      <c r="D19085" s="7">
        <v>1.26</v>
      </c>
    </row>
    <row r="19086" spans="1:4" x14ac:dyDescent="0.25">
      <c r="A19086" t="str">
        <f>HYPERLINK("https://www.773grp.com/globalSearch/74LV541PW112/page-1", "74LV541PW112")</f>
        <v>74LV541PW112</v>
      </c>
      <c r="B19086" s="3" t="s">
        <v>93</v>
      </c>
      <c r="C19086" s="6">
        <v>6215</v>
      </c>
      <c r="D19086" s="7">
        <v>1.26</v>
      </c>
    </row>
    <row r="19087" spans="1:4" x14ac:dyDescent="0.25">
      <c r="A19087" t="str">
        <f>HYPERLINK("https://www.773grp.com/globalSearch/74LVC16244ADGG112/page-1", "74LVC16244ADGG112")</f>
        <v>74LVC16244ADGG112</v>
      </c>
      <c r="B19087" s="3" t="s">
        <v>93</v>
      </c>
      <c r="C19087" s="6">
        <v>1092</v>
      </c>
      <c r="D19087" s="7">
        <v>1.26</v>
      </c>
    </row>
    <row r="19088" spans="1:4" x14ac:dyDescent="0.25">
      <c r="A19088" t="str">
        <f>HYPERLINK("https://www.773grp.com/globalSearch/74LVC2G00GT115/page-1", "74LVC2G00GT115")</f>
        <v>74LVC2G00GT115</v>
      </c>
      <c r="B19088" s="3" t="s">
        <v>93</v>
      </c>
      <c r="C19088" s="6">
        <v>10000</v>
      </c>
      <c r="D19088" s="7">
        <v>1.26</v>
      </c>
    </row>
    <row r="19089" spans="1:4" x14ac:dyDescent="0.25">
      <c r="A19089" t="str">
        <f>HYPERLINK("https://www.773grp.com/globalSearch/74LVC2G08GT115/page-1", "74LVC2G08GT115")</f>
        <v>74LVC2G08GT115</v>
      </c>
      <c r="B19089" s="3" t="s">
        <v>93</v>
      </c>
      <c r="C19089" s="6">
        <v>30000</v>
      </c>
      <c r="D19089" s="7">
        <v>1.26</v>
      </c>
    </row>
    <row r="19090" spans="1:4" x14ac:dyDescent="0.25">
      <c r="A19090" t="str">
        <f>HYPERLINK("https://www.773grp.com/globalSearch/74LVC2G125GT115/page-1", "74LVC2G125GT115")</f>
        <v>74LVC2G125GT115</v>
      </c>
      <c r="B19090" s="3" t="s">
        <v>93</v>
      </c>
      <c r="C19090" s="6">
        <v>497</v>
      </c>
      <c r="D19090" s="7">
        <v>1.26</v>
      </c>
    </row>
    <row r="19091" spans="1:4" x14ac:dyDescent="0.25">
      <c r="A19091" t="str">
        <f>HYPERLINK("https://www.773grp.com/globalSearch/74LVC2G32GT115/page-1", "74LVC2G32GT115")</f>
        <v>74LVC2G32GT115</v>
      </c>
      <c r="B19091" s="3" t="s">
        <v>93</v>
      </c>
      <c r="C19091" s="6">
        <v>370</v>
      </c>
      <c r="D19091" s="7">
        <v>1.26</v>
      </c>
    </row>
    <row r="19092" spans="1:4" x14ac:dyDescent="0.25">
      <c r="A19092" t="str">
        <f>HYPERLINK("https://www.773grp.com/globalSearch/74LVC2G38GT115/page-1", "74LVC2G38GT115")</f>
        <v>74LVC2G38GT115</v>
      </c>
      <c r="B19092" s="3" t="s">
        <v>93</v>
      </c>
      <c r="C19092" s="6">
        <v>5000</v>
      </c>
      <c r="D19092" s="7">
        <v>1.26</v>
      </c>
    </row>
    <row r="19093" spans="1:4" x14ac:dyDescent="0.25">
      <c r="A19093" t="str">
        <f>HYPERLINK("https://www.773grp.com/globalSearch/74LVC2G66GT115/page-1", "74LVC2G66GT115")</f>
        <v>74LVC2G66GT115</v>
      </c>
      <c r="B19093" s="3" t="s">
        <v>93</v>
      </c>
      <c r="C19093" s="6">
        <v>1100</v>
      </c>
      <c r="D19093" s="7">
        <v>1.26</v>
      </c>
    </row>
    <row r="19094" spans="1:4" x14ac:dyDescent="0.25">
      <c r="A19094" t="str">
        <f>HYPERLINK("https://www.773grp.com/globalSearch/74LVC2G86GT115/page-1", "74LVC2G86GT115")</f>
        <v>74LVC2G86GT115</v>
      </c>
      <c r="B19094" s="3" t="s">
        <v>93</v>
      </c>
      <c r="C19094" s="6">
        <v>300</v>
      </c>
      <c r="D19094" s="7">
        <v>1.26</v>
      </c>
    </row>
    <row r="19095" spans="1:4" x14ac:dyDescent="0.25">
      <c r="A19095" t="str">
        <f>HYPERLINK("https://www.773grp.com/globalSearch/74LVC3G14GT115/page-1", "74LVC3G14GT115")</f>
        <v>74LVC3G14GT115</v>
      </c>
      <c r="B19095" s="3" t="s">
        <v>93</v>
      </c>
      <c r="C19095" s="6">
        <v>3696</v>
      </c>
      <c r="D19095" s="7">
        <v>1.26</v>
      </c>
    </row>
    <row r="19096" spans="1:4" x14ac:dyDescent="0.25">
      <c r="A19096" t="str">
        <f>HYPERLINK("https://www.773grp.com/globalSearch/74LVC3G34GT115/page-1", "74LVC3G34GT115")</f>
        <v>74LVC3G34GT115</v>
      </c>
      <c r="B19096" s="3" t="s">
        <v>93</v>
      </c>
      <c r="C19096" s="6">
        <v>8413</v>
      </c>
      <c r="D19096" s="7">
        <v>1.26</v>
      </c>
    </row>
    <row r="19097" spans="1:4" x14ac:dyDescent="0.25">
      <c r="A19097" t="str">
        <f>HYPERLINK("https://www.773grp.com/globalSearch/74LVC595ABQ115/page-1", "74LVC595ABQ115")</f>
        <v>74LVC595ABQ115</v>
      </c>
      <c r="B19097" s="3" t="s">
        <v>93</v>
      </c>
      <c r="C19097" s="6">
        <v>80346</v>
      </c>
      <c r="D19097" s="7">
        <v>1.26</v>
      </c>
    </row>
    <row r="19098" spans="1:4" x14ac:dyDescent="0.25">
      <c r="A19098" t="str">
        <f>HYPERLINK("https://www.773grp.com/globalSearch/74LVTH244AD118/page-1", "74LVTH244AD118")</f>
        <v>74LVTH244AD118</v>
      </c>
      <c r="B19098" s="3" t="s">
        <v>93</v>
      </c>
      <c r="C19098" s="6">
        <v>1900</v>
      </c>
      <c r="D19098" s="7">
        <v>1.26</v>
      </c>
    </row>
    <row r="19099" spans="1:4" x14ac:dyDescent="0.25">
      <c r="A19099" t="str">
        <f>HYPERLINK("https://www.773grp.com/globalSearch/74LVTH244APW112/page-1", "74LVTH244APW112")</f>
        <v>74LVTH244APW112</v>
      </c>
      <c r="B19099" s="3" t="s">
        <v>93</v>
      </c>
      <c r="C19099" s="6">
        <v>1875</v>
      </c>
      <c r="D19099" s="7">
        <v>1.26</v>
      </c>
    </row>
    <row r="19100" spans="1:4" x14ac:dyDescent="0.25">
      <c r="A19100" t="str">
        <f>HYPERLINK("https://www.773grp.com/globalSearch/74LVTH244APW118/page-1", "74LVTH244APW118")</f>
        <v>74LVTH244APW118</v>
      </c>
      <c r="B19100" s="3" t="s">
        <v>93</v>
      </c>
      <c r="C19100" s="6">
        <v>8736</v>
      </c>
      <c r="D19100" s="7">
        <v>1.26</v>
      </c>
    </row>
    <row r="19101" spans="1:4" x14ac:dyDescent="0.25">
      <c r="A19101" t="str">
        <f>HYPERLINK("https://www.773grp.com/globalSearch/74LVTH244BDB118/page-1", "74LVTH244BDB118")</f>
        <v>74LVTH244BDB118</v>
      </c>
      <c r="B19101" s="3" t="s">
        <v>93</v>
      </c>
      <c r="C19101" s="6">
        <v>4000</v>
      </c>
      <c r="D19101" s="7">
        <v>1.26</v>
      </c>
    </row>
    <row r="19102" spans="1:4" x14ac:dyDescent="0.25">
      <c r="A19102" t="str">
        <f>HYPERLINK("https://www.773grp.com/globalSearch/74LVTH574DB118/page-1", "74LVTH574DB118")</f>
        <v>74LVTH574DB118</v>
      </c>
      <c r="B19102" s="3" t="s">
        <v>93</v>
      </c>
      <c r="C19102" s="6">
        <v>4000</v>
      </c>
      <c r="D19102" s="7">
        <v>1.26</v>
      </c>
    </row>
    <row r="19103" spans="1:4" x14ac:dyDescent="0.25">
      <c r="A19103" t="str">
        <f>HYPERLINK("https://www.773grp.com/globalSearch/BGU7008115/page-1", "BGU7008115")</f>
        <v>BGU7008115</v>
      </c>
      <c r="B19103" s="3" t="s">
        <v>93</v>
      </c>
      <c r="C19103" s="6">
        <v>293</v>
      </c>
      <c r="D19103" s="7">
        <v>1.26</v>
      </c>
    </row>
    <row r="19104" spans="1:4" x14ac:dyDescent="0.25">
      <c r="A19104" t="str">
        <f>HYPERLINK("https://www.773grp.com/globalSearch/BSH207135/page-1", "BSH207135")</f>
        <v>BSH207135</v>
      </c>
      <c r="B19104" s="3" t="s">
        <v>93</v>
      </c>
      <c r="C19104" s="6">
        <v>35000</v>
      </c>
      <c r="D19104" s="7">
        <v>1.26</v>
      </c>
    </row>
    <row r="19105" spans="1:4" x14ac:dyDescent="0.25">
      <c r="A19105" t="str">
        <f>HYPERLINK("https://www.773grp.com/globalSearch/BTA208-600B127/page-1", "BTA208-600B127")</f>
        <v>BTA208-600B127</v>
      </c>
      <c r="B19105" s="3" t="s">
        <v>93</v>
      </c>
      <c r="C19105" s="6">
        <v>14000</v>
      </c>
      <c r="D19105" s="7">
        <v>1.26</v>
      </c>
    </row>
    <row r="19106" spans="1:4" x14ac:dyDescent="0.25">
      <c r="A19106" t="str">
        <f>HYPERLINK("https://www.773grp.com/globalSearch/BTA208-600D127/page-1", "BTA208-600D127")</f>
        <v>BTA208-600D127</v>
      </c>
      <c r="B19106" s="3" t="s">
        <v>93</v>
      </c>
      <c r="C19106" s="6">
        <v>100</v>
      </c>
      <c r="D19106" s="7">
        <v>1.26</v>
      </c>
    </row>
    <row r="19107" spans="1:4" x14ac:dyDescent="0.25">
      <c r="A19107" t="str">
        <f>HYPERLINK("https://www.773grp.com/globalSearch/BTA208-600F127/page-1", "BTA208-600F127")</f>
        <v>BTA208-600F127</v>
      </c>
      <c r="B19107" s="3" t="s">
        <v>93</v>
      </c>
      <c r="C19107" s="6">
        <v>4000</v>
      </c>
      <c r="D19107" s="7">
        <v>1.26</v>
      </c>
    </row>
    <row r="19108" spans="1:4" x14ac:dyDescent="0.25">
      <c r="A19108" t="str">
        <f>HYPERLINK("https://www.773grp.com/globalSearch/BTA208-800B127/page-1", "BTA208-800B127")</f>
        <v>BTA208-800B127</v>
      </c>
      <c r="B19108" s="3" t="s">
        <v>93</v>
      </c>
      <c r="C19108" s="6">
        <v>3000</v>
      </c>
      <c r="D19108" s="7">
        <v>1.26</v>
      </c>
    </row>
    <row r="19109" spans="1:4" x14ac:dyDescent="0.25">
      <c r="A19109" t="str">
        <f>HYPERLINK("https://www.773grp.com/globalSearch/BTA208-800E127/page-1", "BTA208-800E127")</f>
        <v>BTA208-800E127</v>
      </c>
      <c r="B19109" s="3" t="s">
        <v>93</v>
      </c>
      <c r="C19109" s="6">
        <v>3000</v>
      </c>
      <c r="D19109" s="7">
        <v>1.26</v>
      </c>
    </row>
    <row r="19110" spans="1:4" x14ac:dyDescent="0.25">
      <c r="A19110" t="str">
        <f>HYPERLINK("https://www.773grp.com/globalSearch/BTA208S-600B118/page-1", "BTA208S-600B118")</f>
        <v>BTA208S-600B118</v>
      </c>
      <c r="B19110" s="3" t="s">
        <v>93</v>
      </c>
      <c r="C19110" s="6">
        <v>15000</v>
      </c>
      <c r="D19110" s="7">
        <v>1.26</v>
      </c>
    </row>
    <row r="19111" spans="1:4" x14ac:dyDescent="0.25">
      <c r="A19111" t="str">
        <f>HYPERLINK("https://www.773grp.com/globalSearch/BTA208S-600D118/page-1", "BTA208S-600D118")</f>
        <v>BTA208S-600D118</v>
      </c>
      <c r="B19111" s="3" t="s">
        <v>93</v>
      </c>
      <c r="C19111" s="6">
        <v>14000</v>
      </c>
      <c r="D19111" s="7">
        <v>1.26</v>
      </c>
    </row>
    <row r="19112" spans="1:4" x14ac:dyDescent="0.25">
      <c r="A19112" t="str">
        <f>HYPERLINK("https://www.773grp.com/globalSearch/BTA208S-600E118/page-1", "BTA208S-600E118")</f>
        <v>BTA208S-600E118</v>
      </c>
      <c r="B19112" s="3" t="s">
        <v>93</v>
      </c>
      <c r="C19112" s="6">
        <v>5100</v>
      </c>
      <c r="D19112" s="7">
        <v>1.26</v>
      </c>
    </row>
    <row r="19113" spans="1:4" x14ac:dyDescent="0.25">
      <c r="A19113" t="str">
        <f>HYPERLINK("https://www.773grp.com/globalSearch/BTA208S-800B118/page-1", "BTA208S-800B118")</f>
        <v>BTA208S-800B118</v>
      </c>
      <c r="B19113" s="3" t="s">
        <v>93</v>
      </c>
      <c r="C19113" s="6">
        <v>12050</v>
      </c>
      <c r="D19113" s="7">
        <v>1.26</v>
      </c>
    </row>
    <row r="19114" spans="1:4" x14ac:dyDescent="0.25">
      <c r="A19114" t="str">
        <f>HYPERLINK("https://www.773grp.com/globalSearch/BTA208S-800E118/page-1", "BTA208S-800E118")</f>
        <v>BTA208S-800E118</v>
      </c>
      <c r="B19114" s="3" t="s">
        <v>93</v>
      </c>
      <c r="C19114" s="6">
        <v>9</v>
      </c>
      <c r="D19114" s="7">
        <v>1.26</v>
      </c>
    </row>
    <row r="19115" spans="1:4" x14ac:dyDescent="0.25">
      <c r="A19115" t="str">
        <f>HYPERLINK("https://www.773grp.com/globalSearch/BTA208S-800F118/page-1", "BTA208S-800F118")</f>
        <v>BTA208S-800F118</v>
      </c>
      <c r="B19115" s="3" t="s">
        <v>93</v>
      </c>
      <c r="C19115" s="6">
        <v>5000</v>
      </c>
      <c r="D19115" s="7">
        <v>1.26</v>
      </c>
    </row>
    <row r="19116" spans="1:4" x14ac:dyDescent="0.25">
      <c r="A19116" t="str">
        <f>HYPERLINK("https://www.773grp.com/globalSearch/BTA208X-600D127/page-1", "BTA208X-600D127")</f>
        <v>BTA208X-600D127</v>
      </c>
      <c r="B19116" s="3" t="s">
        <v>93</v>
      </c>
      <c r="C19116" s="6">
        <v>1952</v>
      </c>
      <c r="D19116" s="7">
        <v>1.26</v>
      </c>
    </row>
    <row r="19117" spans="1:4" x14ac:dyDescent="0.25">
      <c r="A19117" t="str">
        <f>HYPERLINK("https://www.773grp.com/globalSearch/BTA208X-600F127/page-1", "BTA208X-600F127")</f>
        <v>BTA208X-600F127</v>
      </c>
      <c r="B19117" s="3" t="s">
        <v>93</v>
      </c>
      <c r="C19117" s="6">
        <v>2000</v>
      </c>
      <c r="D19117" s="7">
        <v>1.26</v>
      </c>
    </row>
    <row r="19118" spans="1:4" x14ac:dyDescent="0.25">
      <c r="A19118" t="str">
        <f>HYPERLINK("https://www.773grp.com/globalSearch/BTA208X-800E127/page-1", "BTA208X-800E127")</f>
        <v>BTA208X-800E127</v>
      </c>
      <c r="B19118" s="3" t="s">
        <v>93</v>
      </c>
      <c r="C19118" s="6">
        <v>1643</v>
      </c>
      <c r="D19118" s="7">
        <v>1.26</v>
      </c>
    </row>
    <row r="19119" spans="1:4" x14ac:dyDescent="0.25">
      <c r="A19119" t="str">
        <f>HYPERLINK("https://www.773grp.com/globalSearch/BUJ103AX127/page-1", "BUJ103AX127")</f>
        <v>BUJ103AX127</v>
      </c>
      <c r="B19119" s="3" t="s">
        <v>93</v>
      </c>
      <c r="C19119" s="6">
        <v>83</v>
      </c>
      <c r="D19119" s="7">
        <v>1.26</v>
      </c>
    </row>
    <row r="19120" spans="1:4" x14ac:dyDescent="0.25">
      <c r="A19120" t="str">
        <f>HYPERLINK("https://www.773grp.com/globalSearch/BUJ105A127/page-1", "BUJ105A127")</f>
        <v>BUJ105A127</v>
      </c>
      <c r="B19120" s="3" t="s">
        <v>93</v>
      </c>
      <c r="C19120" s="6">
        <v>4150</v>
      </c>
      <c r="D19120" s="7">
        <v>1.26</v>
      </c>
    </row>
    <row r="19121" spans="1:4" x14ac:dyDescent="0.25">
      <c r="A19121" t="str">
        <f>HYPERLINK("https://www.773grp.com/globalSearch/BUJ403A-DG127/page-1", "BUJ403A-DG127")</f>
        <v>BUJ403A-DG127</v>
      </c>
      <c r="B19121" s="3" t="s">
        <v>93</v>
      </c>
      <c r="C19121" s="6">
        <v>2000</v>
      </c>
      <c r="D19121" s="7">
        <v>1.26</v>
      </c>
    </row>
    <row r="19122" spans="1:4" x14ac:dyDescent="0.25">
      <c r="A19122" t="str">
        <f>HYPERLINK("https://www.773grp.com/globalSearch/BUK7237-55A118/page-1", "BUK7237-55A118")</f>
        <v>BUK7237-55A118</v>
      </c>
      <c r="B19122" s="3" t="s">
        <v>93</v>
      </c>
      <c r="C19122" s="6">
        <v>7619</v>
      </c>
      <c r="D19122" s="7">
        <v>1.26</v>
      </c>
    </row>
    <row r="19123" spans="1:4" x14ac:dyDescent="0.25">
      <c r="A19123" t="str">
        <f>HYPERLINK("https://www.773grp.com/globalSearch/BYC5D-500127/page-1", "BYC5D-500127")</f>
        <v>BYC5D-500127</v>
      </c>
      <c r="B19123" s="3" t="s">
        <v>93</v>
      </c>
      <c r="C19123" s="6">
        <v>4000</v>
      </c>
      <c r="D19123" s="7">
        <v>1.26</v>
      </c>
    </row>
    <row r="19124" spans="1:4" x14ac:dyDescent="0.25">
      <c r="A19124" t="str">
        <f>HYPERLINK("https://www.773grp.com/globalSearch/BYV29-400127/page-1", "BYV29-400127")</f>
        <v>BYV29-400127</v>
      </c>
      <c r="B19124" s="3" t="s">
        <v>93</v>
      </c>
      <c r="C19124" s="6">
        <v>13500</v>
      </c>
      <c r="D19124" s="7">
        <v>1.26</v>
      </c>
    </row>
    <row r="19125" spans="1:4" x14ac:dyDescent="0.25">
      <c r="A19125" t="str">
        <f>HYPERLINK("https://www.773grp.com/globalSearch/BYV29FD-600118/page-1", "BYV29FD-600118")</f>
        <v>BYV29FD-600118</v>
      </c>
      <c r="B19125" s="3" t="s">
        <v>93</v>
      </c>
      <c r="C19125" s="6">
        <v>2500</v>
      </c>
      <c r="D19125" s="7">
        <v>1.26</v>
      </c>
    </row>
    <row r="19126" spans="1:4" x14ac:dyDescent="0.25">
      <c r="A19126" t="str">
        <f>HYPERLINK("https://www.773grp.com/globalSearch/BYW29E-100127/page-1", "BYW29E-100127")</f>
        <v>BYW29E-100127</v>
      </c>
      <c r="B19126" s="3" t="s">
        <v>93</v>
      </c>
      <c r="C19126" s="6">
        <v>2000</v>
      </c>
      <c r="D19126" s="7">
        <v>1.26</v>
      </c>
    </row>
    <row r="19127" spans="1:4" x14ac:dyDescent="0.25">
      <c r="A19127" t="str">
        <f>HYPERLINK("https://www.773grp.com/globalSearch/BYW29E-150127/page-1", "BYW29E-150127")</f>
        <v>BYW29E-150127</v>
      </c>
      <c r="B19127" s="3" t="s">
        <v>93</v>
      </c>
      <c r="C19127" s="6">
        <v>45000</v>
      </c>
      <c r="D19127" s="7">
        <v>1.26</v>
      </c>
    </row>
    <row r="19128" spans="1:4" x14ac:dyDescent="0.25">
      <c r="A19128" t="str">
        <f>HYPERLINK("https://www.773grp.com/globalSearch/HEF4526BT653/page-1", "HEF4526BT653")</f>
        <v>HEF4526BT653</v>
      </c>
      <c r="B19128" s="3" t="s">
        <v>93</v>
      </c>
      <c r="C19128" s="6">
        <v>5000</v>
      </c>
      <c r="D19128" s="7">
        <v>1.26</v>
      </c>
    </row>
    <row r="19129" spans="1:4" x14ac:dyDescent="0.25">
      <c r="A19129" t="str">
        <f>HYPERLINK("https://www.773grp.com/globalSearch/IP3253CZ16-8-TTL1/page-1", "IP3253CZ16-8-TTL1")</f>
        <v>IP3253CZ16-8-TTL1</v>
      </c>
      <c r="B19129" s="3" t="s">
        <v>93</v>
      </c>
      <c r="C19129" s="6">
        <v>100</v>
      </c>
      <c r="D19129" s="7">
        <v>1.26</v>
      </c>
    </row>
    <row r="19130" spans="1:4" x14ac:dyDescent="0.25">
      <c r="A19130" t="str">
        <f>HYPERLINK("https://www.773grp.com/globalSearch/KTY81-220112/page-1", "KTY81-220112")</f>
        <v>KTY81-220112</v>
      </c>
      <c r="B19130" s="3" t="s">
        <v>93</v>
      </c>
      <c r="C19130" s="6">
        <v>6369</v>
      </c>
      <c r="D19130" s="7">
        <v>1.26</v>
      </c>
    </row>
    <row r="19131" spans="1:4" x14ac:dyDescent="0.25">
      <c r="A19131" t="str">
        <f>HYPERLINK("https://www.773grp.com/globalSearch/NT2H0301F0DTL125/page-1", "NT2H0301F0DTL125")</f>
        <v>NT2H0301F0DTL125</v>
      </c>
      <c r="B19131" s="3" t="s">
        <v>93</v>
      </c>
      <c r="C19131" s="6">
        <v>344000</v>
      </c>
      <c r="D19131" s="7">
        <v>1.26</v>
      </c>
    </row>
    <row r="19132" spans="1:4" x14ac:dyDescent="0.25">
      <c r="A19132" t="str">
        <f>HYPERLINK("https://www.773grp.com/globalSearch/NX3DV3899GU115/page-1", "NX3DV3899GU115")</f>
        <v>NX3DV3899GU115</v>
      </c>
      <c r="B19132" s="3" t="s">
        <v>93</v>
      </c>
      <c r="C19132" s="6">
        <v>116250</v>
      </c>
      <c r="D19132" s="7">
        <v>1.26</v>
      </c>
    </row>
    <row r="19133" spans="1:4" x14ac:dyDescent="0.25">
      <c r="A19133" t="str">
        <f>HYPERLINK("https://www.773grp.com/globalSearch/PCA9509GM125/page-1", "PCA9509GM125")</f>
        <v>PCA9509GM125</v>
      </c>
      <c r="B19133" s="3" t="s">
        <v>93</v>
      </c>
      <c r="C19133" s="6">
        <v>3345</v>
      </c>
      <c r="D19133" s="7">
        <v>1.26</v>
      </c>
    </row>
    <row r="19134" spans="1:4" x14ac:dyDescent="0.25">
      <c r="A19134" t="str">
        <f>HYPERLINK("https://www.773grp.com/globalSearch/PHC21025118/page-1", "PHC21025118")</f>
        <v>PHC21025118</v>
      </c>
      <c r="B19134" s="3" t="s">
        <v>93</v>
      </c>
      <c r="C19134" s="6">
        <v>22500</v>
      </c>
      <c r="D19134" s="7">
        <v>1.26</v>
      </c>
    </row>
    <row r="19135" spans="1:4" x14ac:dyDescent="0.25">
      <c r="A19135" t="str">
        <f>HYPERLINK("https://www.773grp.com/globalSearch/PHK12NQ03LT518/page-1", "PHK12NQ03LT518")</f>
        <v>PHK12NQ03LT518</v>
      </c>
      <c r="B19135" s="3" t="s">
        <v>93</v>
      </c>
      <c r="C19135" s="6">
        <v>20000</v>
      </c>
      <c r="D19135" s="7">
        <v>1.26</v>
      </c>
    </row>
    <row r="19136" spans="1:4" x14ac:dyDescent="0.25">
      <c r="A19136" t="str">
        <f>HYPERLINK("https://www.773grp.com/globalSearch/TEA1738LT-N1118/page-1", "TEA1738LT-N1118")</f>
        <v>TEA1738LT-N1118</v>
      </c>
      <c r="B19136" s="3" t="s">
        <v>93</v>
      </c>
      <c r="C19136" s="6">
        <v>2500</v>
      </c>
      <c r="D19136" s="7">
        <v>1.26</v>
      </c>
    </row>
    <row r="19137" spans="1:4" x14ac:dyDescent="0.25">
      <c r="A19137" t="str">
        <f>HYPERLINK("https://www.773grp.com/globalSearch/TEA1738T-N1118/page-1", "TEA1738T-N1118")</f>
        <v>TEA1738T-N1118</v>
      </c>
      <c r="B19137" s="3" t="s">
        <v>93</v>
      </c>
      <c r="C19137" s="6">
        <v>2500</v>
      </c>
      <c r="D19137" s="7">
        <v>1.26</v>
      </c>
    </row>
    <row r="19138" spans="1:4" x14ac:dyDescent="0.25">
      <c r="A19138" t="str">
        <f>HYPERLINK("https://www.773grp.com/globalSearch/74ABT02N112/page-1", "74ABT02N112")</f>
        <v>74ABT02N112</v>
      </c>
      <c r="B19138" s="3" t="s">
        <v>93</v>
      </c>
      <c r="C19138" s="6">
        <v>1000</v>
      </c>
      <c r="D19138" s="7">
        <v>1.31</v>
      </c>
    </row>
    <row r="19139" spans="1:4" x14ac:dyDescent="0.25">
      <c r="A19139" t="str">
        <f>HYPERLINK("https://www.773grp.com/globalSearch/74ABT08D112/page-1", "74ABT08D112")</f>
        <v>74ABT08D112</v>
      </c>
      <c r="B19139" s="3" t="s">
        <v>93</v>
      </c>
      <c r="C19139" s="6">
        <v>3374</v>
      </c>
      <c r="D19139" s="7">
        <v>1.31</v>
      </c>
    </row>
    <row r="19140" spans="1:4" x14ac:dyDescent="0.25">
      <c r="A19140" t="str">
        <f>HYPERLINK("https://www.773grp.com/globalSearch/74ABT08D118/page-1", "74ABT08D118")</f>
        <v>74ABT08D118</v>
      </c>
      <c r="B19140" s="3" t="s">
        <v>93</v>
      </c>
      <c r="C19140" s="6">
        <v>2500</v>
      </c>
      <c r="D19140" s="7">
        <v>1.31</v>
      </c>
    </row>
    <row r="19141" spans="1:4" x14ac:dyDescent="0.25">
      <c r="A19141" t="str">
        <f>HYPERLINK("https://www.773grp.com/globalSearch/74ABT20D112/page-1", "74ABT20D112")</f>
        <v>74ABT20D112</v>
      </c>
      <c r="B19141" s="3" t="s">
        <v>93</v>
      </c>
      <c r="C19141" s="6">
        <v>1140</v>
      </c>
      <c r="D19141" s="7">
        <v>1.31</v>
      </c>
    </row>
    <row r="19142" spans="1:4" x14ac:dyDescent="0.25">
      <c r="A19142" t="str">
        <f>HYPERLINK("https://www.773grp.com/globalSearch/74ABT20PW112/page-1", "74ABT20PW112")</f>
        <v>74ABT20PW112</v>
      </c>
      <c r="B19142" s="3" t="s">
        <v>93</v>
      </c>
      <c r="C19142" s="6">
        <v>2400</v>
      </c>
      <c r="D19142" s="7">
        <v>1.31</v>
      </c>
    </row>
    <row r="19143" spans="1:4" x14ac:dyDescent="0.25">
      <c r="A19143" t="str">
        <f>HYPERLINK("https://www.773grp.com/globalSearch/74ABT32D112/page-1", "74ABT32D112")</f>
        <v>74ABT32D112</v>
      </c>
      <c r="B19143" s="3" t="s">
        <v>93</v>
      </c>
      <c r="C19143" s="6">
        <v>1140</v>
      </c>
      <c r="D19143" s="7">
        <v>1.31</v>
      </c>
    </row>
    <row r="19144" spans="1:4" x14ac:dyDescent="0.25">
      <c r="A19144" t="str">
        <f>HYPERLINK("https://www.773grp.com/globalSearch/74ABT32D118/page-1", "74ABT32D118")</f>
        <v>74ABT32D118</v>
      </c>
      <c r="B19144" s="3" t="s">
        <v>93</v>
      </c>
      <c r="C19144" s="6">
        <v>2527</v>
      </c>
      <c r="D19144" s="7">
        <v>1.31</v>
      </c>
    </row>
    <row r="19145" spans="1:4" x14ac:dyDescent="0.25">
      <c r="A19145" t="str">
        <f>HYPERLINK("https://www.773grp.com/globalSearch/74ALVC541BQ115/page-1", "74ALVC541BQ115")</f>
        <v>74ALVC541BQ115</v>
      </c>
      <c r="B19145" s="3" t="s">
        <v>93</v>
      </c>
      <c r="C19145" s="6">
        <v>100</v>
      </c>
      <c r="D19145" s="7">
        <v>1.31</v>
      </c>
    </row>
    <row r="19146" spans="1:4" x14ac:dyDescent="0.25">
      <c r="A19146" t="str">
        <f>HYPERLINK("https://www.773grp.com/globalSearch/74ALVC573BQ115/page-1", "74ALVC573BQ115")</f>
        <v>74ALVC573BQ115</v>
      </c>
      <c r="B19146" s="3" t="s">
        <v>93</v>
      </c>
      <c r="C19146" s="6">
        <v>3000</v>
      </c>
      <c r="D19146" s="7">
        <v>1.31</v>
      </c>
    </row>
    <row r="19147" spans="1:4" x14ac:dyDescent="0.25">
      <c r="A19147" t="str">
        <f>HYPERLINK("https://www.773grp.com/globalSearch/74AVC4T245PW118/page-1", "74AVC4T245PW118")</f>
        <v>74AVC4T245PW118</v>
      </c>
      <c r="B19147" s="3" t="s">
        <v>93</v>
      </c>
      <c r="C19147" s="6">
        <v>22500</v>
      </c>
      <c r="D19147" s="7">
        <v>1.31</v>
      </c>
    </row>
    <row r="19148" spans="1:4" x14ac:dyDescent="0.25">
      <c r="A19148" t="str">
        <f>HYPERLINK("https://www.773grp.com/globalSearch/74AVCH4T245BQ115/page-1", "74AVCH4T245BQ115")</f>
        <v>74AVCH4T245BQ115</v>
      </c>
      <c r="B19148" s="3" t="s">
        <v>93</v>
      </c>
      <c r="C19148" s="6">
        <v>300</v>
      </c>
      <c r="D19148" s="7">
        <v>1.31</v>
      </c>
    </row>
    <row r="19149" spans="1:4" x14ac:dyDescent="0.25">
      <c r="A19149" t="str">
        <f>HYPERLINK("https://www.773grp.com/globalSearch/74CBTLV3861DK118/page-1", "74CBTLV3861DK118")</f>
        <v>74CBTLV3861DK118</v>
      </c>
      <c r="B19149" s="3" t="s">
        <v>93</v>
      </c>
      <c r="C19149" s="6">
        <v>2500</v>
      </c>
      <c r="D19149" s="7">
        <v>1.31</v>
      </c>
    </row>
    <row r="19150" spans="1:4" x14ac:dyDescent="0.25">
      <c r="A19150" t="str">
        <f>HYPERLINK("https://www.773grp.com/globalSearch/74HC03N652/page-1", "74HC03N652")</f>
        <v>74HC03N652</v>
      </c>
      <c r="B19150" s="3" t="s">
        <v>93</v>
      </c>
      <c r="C19150" s="6">
        <v>9150</v>
      </c>
      <c r="D19150" s="7">
        <v>1.31</v>
      </c>
    </row>
    <row r="19151" spans="1:4" x14ac:dyDescent="0.25">
      <c r="A19151" t="str">
        <f>HYPERLINK("https://www.773grp.com/globalSearch/74HC10N652/page-1", "74HC10N652")</f>
        <v>74HC10N652</v>
      </c>
      <c r="B19151" s="3" t="s">
        <v>93</v>
      </c>
      <c r="C19151" s="6">
        <v>12192</v>
      </c>
      <c r="D19151" s="7">
        <v>1.31</v>
      </c>
    </row>
    <row r="19152" spans="1:4" x14ac:dyDescent="0.25">
      <c r="A19152" t="str">
        <f>HYPERLINK("https://www.773grp.com/globalSearch/74HC11N652/page-1", "74HC11N652")</f>
        <v>74HC11N652</v>
      </c>
      <c r="B19152" s="3" t="s">
        <v>93</v>
      </c>
      <c r="C19152" s="6">
        <v>49800</v>
      </c>
      <c r="D19152" s="7">
        <v>1.31</v>
      </c>
    </row>
    <row r="19153" spans="1:4" x14ac:dyDescent="0.25">
      <c r="A19153" t="str">
        <f>HYPERLINK("https://www.773grp.com/globalSearch/74HC20N652/page-1", "74HC20N652")</f>
        <v>74HC20N652</v>
      </c>
      <c r="B19153" s="3" t="s">
        <v>93</v>
      </c>
      <c r="C19153" s="6">
        <v>11000</v>
      </c>
      <c r="D19153" s="7">
        <v>1.31</v>
      </c>
    </row>
    <row r="19154" spans="1:4" x14ac:dyDescent="0.25">
      <c r="A19154" t="str">
        <f>HYPERLINK("https://www.773grp.com/globalSearch/74HC21N652/page-1", "74HC21N652")</f>
        <v>74HC21N652</v>
      </c>
      <c r="B19154" s="3" t="s">
        <v>93</v>
      </c>
      <c r="C19154" s="6">
        <v>20964</v>
      </c>
      <c r="D19154" s="7">
        <v>1.31</v>
      </c>
    </row>
    <row r="19155" spans="1:4" x14ac:dyDescent="0.25">
      <c r="A19155" t="str">
        <f>HYPERLINK("https://www.773grp.com/globalSearch/74HC30N652/page-1", "74HC30N652")</f>
        <v>74HC30N652</v>
      </c>
      <c r="B19155" s="3" t="s">
        <v>93</v>
      </c>
      <c r="C19155" s="6">
        <v>43361</v>
      </c>
      <c r="D19155" s="7">
        <v>1.31</v>
      </c>
    </row>
    <row r="19156" spans="1:4" x14ac:dyDescent="0.25">
      <c r="A19156" t="str">
        <f>HYPERLINK("https://www.773grp.com/globalSearch/74HC4353D653/page-1", "74HC4353D653")</f>
        <v>74HC4353D653</v>
      </c>
      <c r="B19156" s="3" t="s">
        <v>93</v>
      </c>
      <c r="C19156" s="6">
        <v>4000</v>
      </c>
      <c r="D19156" s="7">
        <v>1.31</v>
      </c>
    </row>
    <row r="19157" spans="1:4" x14ac:dyDescent="0.25">
      <c r="A19157" t="str">
        <f>HYPERLINK("https://www.773grp.com/globalSearch/74HC4511D652/page-1", "74HC4511D652")</f>
        <v>74HC4511D652</v>
      </c>
      <c r="B19157" s="3" t="s">
        <v>93</v>
      </c>
      <c r="C19157" s="6">
        <v>5454</v>
      </c>
      <c r="D19157" s="7">
        <v>1.31</v>
      </c>
    </row>
    <row r="19158" spans="1:4" x14ac:dyDescent="0.25">
      <c r="A19158" t="str">
        <f>HYPERLINK("https://www.773grp.com/globalSearch/74HC4851D118/page-1", "74HC4851D118")</f>
        <v>74HC4851D118</v>
      </c>
      <c r="B19158" s="3" t="s">
        <v>93</v>
      </c>
      <c r="C19158" s="6">
        <v>2500</v>
      </c>
      <c r="D19158" s="7">
        <v>1.31</v>
      </c>
    </row>
    <row r="19159" spans="1:4" x14ac:dyDescent="0.25">
      <c r="A19159" t="str">
        <f>HYPERLINK("https://www.773grp.com/globalSearch/74HC4852PW118/page-1", "74HC4852PW118")</f>
        <v>74HC4852PW118</v>
      </c>
      <c r="B19159" s="3" t="s">
        <v>93</v>
      </c>
      <c r="C19159" s="6">
        <v>10000</v>
      </c>
      <c r="D19159" s="7">
        <v>1.31</v>
      </c>
    </row>
    <row r="19160" spans="1:4" x14ac:dyDescent="0.25">
      <c r="A19160" t="str">
        <f>HYPERLINK("https://www.773grp.com/globalSearch/74HC541DB112/page-1", "74HC541DB112")</f>
        <v>74HC541DB112</v>
      </c>
      <c r="B19160" s="3" t="s">
        <v>93</v>
      </c>
      <c r="C19160" s="6">
        <v>924</v>
      </c>
      <c r="D19160" s="7">
        <v>1.31</v>
      </c>
    </row>
    <row r="19161" spans="1:4" x14ac:dyDescent="0.25">
      <c r="A19161" t="str">
        <f>HYPERLINK("https://www.773grp.com/globalSearch/74HCT03N652/page-1", "74HCT03N652")</f>
        <v>74HCT03N652</v>
      </c>
      <c r="B19161" s="3" t="s">
        <v>93</v>
      </c>
      <c r="C19161" s="6">
        <v>22016</v>
      </c>
      <c r="D19161" s="7">
        <v>1.31</v>
      </c>
    </row>
    <row r="19162" spans="1:4" x14ac:dyDescent="0.25">
      <c r="A19162" t="str">
        <f>HYPERLINK("https://www.773grp.com/globalSearch/74HCT10N652/page-1", "74HCT10N652")</f>
        <v>74HCT10N652</v>
      </c>
      <c r="B19162" s="3" t="s">
        <v>93</v>
      </c>
      <c r="C19162" s="6">
        <v>36027</v>
      </c>
      <c r="D19162" s="7">
        <v>1.31</v>
      </c>
    </row>
    <row r="19163" spans="1:4" x14ac:dyDescent="0.25">
      <c r="A19163" t="str">
        <f>HYPERLINK("https://www.773grp.com/globalSearch/74HCT11N652/page-1", "74HCT11N652")</f>
        <v>74HCT11N652</v>
      </c>
      <c r="B19163" s="3" t="s">
        <v>93</v>
      </c>
      <c r="C19163" s="6">
        <v>11000</v>
      </c>
      <c r="D19163" s="7">
        <v>1.31</v>
      </c>
    </row>
    <row r="19164" spans="1:4" x14ac:dyDescent="0.25">
      <c r="A19164" t="str">
        <f>HYPERLINK("https://www.773grp.com/globalSearch/74HCT153DB112/page-1", "74HCT153DB112")</f>
        <v>74HCT153DB112</v>
      </c>
      <c r="B19164" s="3" t="s">
        <v>93</v>
      </c>
      <c r="C19164" s="6">
        <v>2184</v>
      </c>
      <c r="D19164" s="7">
        <v>1.31</v>
      </c>
    </row>
    <row r="19165" spans="1:4" x14ac:dyDescent="0.25">
      <c r="A19165" t="str">
        <f>HYPERLINK("https://www.773grp.com/globalSearch/74HCT20N652/page-1", "74HCT20N652")</f>
        <v>74HCT20N652</v>
      </c>
      <c r="B19165" s="3" t="s">
        <v>93</v>
      </c>
      <c r="C19165" s="6">
        <v>18148</v>
      </c>
      <c r="D19165" s="7">
        <v>1.31</v>
      </c>
    </row>
    <row r="19166" spans="1:4" x14ac:dyDescent="0.25">
      <c r="A19166" t="str">
        <f>HYPERLINK("https://www.773grp.com/globalSearch/74HCT30N652/page-1", "74HCT30N652")</f>
        <v>74HCT30N652</v>
      </c>
      <c r="B19166" s="3" t="s">
        <v>93</v>
      </c>
      <c r="C19166" s="6">
        <v>16295</v>
      </c>
      <c r="D19166" s="7">
        <v>1.31</v>
      </c>
    </row>
    <row r="19167" spans="1:4" x14ac:dyDescent="0.25">
      <c r="A19167" t="str">
        <f>HYPERLINK("https://www.773grp.com/globalSearch/74HCT366D653/page-1", "74HCT366D653")</f>
        <v>74HCT366D653</v>
      </c>
      <c r="B19167" s="3" t="s">
        <v>93</v>
      </c>
      <c r="C19167" s="6">
        <v>2500</v>
      </c>
      <c r="D19167" s="7">
        <v>1.31</v>
      </c>
    </row>
    <row r="19168" spans="1:4" x14ac:dyDescent="0.25">
      <c r="A19168" t="str">
        <f>HYPERLINK("https://www.773grp.com/globalSearch/74HCT366DB112/page-1", "74HCT366DB112")</f>
        <v>74HCT366DB112</v>
      </c>
      <c r="B19168" s="3" t="s">
        <v>93</v>
      </c>
      <c r="C19168" s="6">
        <v>2949</v>
      </c>
      <c r="D19168" s="7">
        <v>1.31</v>
      </c>
    </row>
    <row r="19169" spans="1:4" x14ac:dyDescent="0.25">
      <c r="A19169" t="str">
        <f>HYPERLINK("https://www.773grp.com/globalSearch/74HCT366DB118/page-1", "74HCT366DB118")</f>
        <v>74HCT366DB118</v>
      </c>
      <c r="B19169" s="3" t="s">
        <v>93</v>
      </c>
      <c r="C19169" s="6">
        <v>2000</v>
      </c>
      <c r="D19169" s="7">
        <v>1.31</v>
      </c>
    </row>
    <row r="19170" spans="1:4" x14ac:dyDescent="0.25">
      <c r="A19170" t="str">
        <f>HYPERLINK("https://www.773grp.com/globalSearch/74HCT4852PW118/page-1", "74HCT4852PW118")</f>
        <v>74HCT4852PW118</v>
      </c>
      <c r="B19170" s="3" t="s">
        <v>93</v>
      </c>
      <c r="C19170" s="6">
        <v>240</v>
      </c>
      <c r="D19170" s="7">
        <v>1.31</v>
      </c>
    </row>
    <row r="19171" spans="1:4" x14ac:dyDescent="0.25">
      <c r="A19171" t="str">
        <f>HYPERLINK("https://www.773grp.com/globalSearch/74HCT563DB112/page-1", "74HCT563DB112")</f>
        <v>74HCT563DB112</v>
      </c>
      <c r="B19171" s="3" t="s">
        <v>93</v>
      </c>
      <c r="C19171" s="6">
        <v>1848</v>
      </c>
      <c r="D19171" s="7">
        <v>1.31</v>
      </c>
    </row>
    <row r="19172" spans="1:4" x14ac:dyDescent="0.25">
      <c r="A19172" t="str">
        <f>HYPERLINK("https://www.773grp.com/globalSearch/74HCT93D112/page-1", "74HCT93D112")</f>
        <v>74HCT93D112</v>
      </c>
      <c r="B19172" s="3" t="s">
        <v>93</v>
      </c>
      <c r="C19172" s="6">
        <v>1140</v>
      </c>
      <c r="D19172" s="7">
        <v>1.31</v>
      </c>
    </row>
    <row r="19173" spans="1:4" x14ac:dyDescent="0.25">
      <c r="A19173" t="str">
        <f>HYPERLINK("https://www.773grp.com/globalSearch/74HCT93D118/page-1", "74HCT93D118")</f>
        <v>74HCT93D118</v>
      </c>
      <c r="B19173" s="3" t="s">
        <v>93</v>
      </c>
      <c r="C19173" s="6">
        <v>1006</v>
      </c>
      <c r="D19173" s="7">
        <v>1.31</v>
      </c>
    </row>
    <row r="19174" spans="1:4" x14ac:dyDescent="0.25">
      <c r="A19174" t="str">
        <f>HYPERLINK("https://www.773grp.com/globalSearch/74LV365D112/page-1", "74LV365D112")</f>
        <v>74LV365D112</v>
      </c>
      <c r="B19174" s="3" t="s">
        <v>93</v>
      </c>
      <c r="C19174" s="6">
        <v>1000</v>
      </c>
      <c r="D19174" s="7">
        <v>1.31</v>
      </c>
    </row>
    <row r="19175" spans="1:4" x14ac:dyDescent="0.25">
      <c r="A19175" t="str">
        <f>HYPERLINK("https://www.773grp.com/globalSearch/74LV365D118/page-1", "74LV365D118")</f>
        <v>74LV365D118</v>
      </c>
      <c r="B19175" s="3" t="s">
        <v>93</v>
      </c>
      <c r="C19175" s="6">
        <v>2480</v>
      </c>
      <c r="D19175" s="7">
        <v>1.31</v>
      </c>
    </row>
    <row r="19176" spans="1:4" x14ac:dyDescent="0.25">
      <c r="A19176" t="str">
        <f>HYPERLINK("https://www.773grp.com/globalSearch/74LV4060D112/page-1", "74LV4060D112")</f>
        <v>74LV4060D112</v>
      </c>
      <c r="B19176" s="3" t="s">
        <v>93</v>
      </c>
      <c r="C19176" s="6">
        <v>1820</v>
      </c>
      <c r="D19176" s="7">
        <v>1.31</v>
      </c>
    </row>
    <row r="19177" spans="1:4" x14ac:dyDescent="0.25">
      <c r="A19177" t="str">
        <f>HYPERLINK("https://www.773grp.com/globalSearch/74LV541DB112/page-1", "74LV541DB112")</f>
        <v>74LV541DB112</v>
      </c>
      <c r="B19177" s="3" t="s">
        <v>93</v>
      </c>
      <c r="C19177" s="6">
        <v>2752</v>
      </c>
      <c r="D19177" s="7">
        <v>1.31</v>
      </c>
    </row>
    <row r="19178" spans="1:4" x14ac:dyDescent="0.25">
      <c r="A19178" t="str">
        <f>HYPERLINK("https://www.773grp.com/globalSearch/74LV595D112/page-1", "74LV595D112")</f>
        <v>74LV595D112</v>
      </c>
      <c r="B19178" s="3" t="s">
        <v>93</v>
      </c>
      <c r="C19178" s="6">
        <v>5608</v>
      </c>
      <c r="D19178" s="7">
        <v>1.31</v>
      </c>
    </row>
    <row r="19179" spans="1:4" x14ac:dyDescent="0.25">
      <c r="A19179" t="str">
        <f>HYPERLINK("https://www.773grp.com/globalSearch/74LV595D118/page-1", "74LV595D118")</f>
        <v>74LV595D118</v>
      </c>
      <c r="B19179" s="3" t="s">
        <v>93</v>
      </c>
      <c r="C19179" s="6">
        <v>7500</v>
      </c>
      <c r="D19179" s="7">
        <v>1.31</v>
      </c>
    </row>
    <row r="19180" spans="1:4" x14ac:dyDescent="0.25">
      <c r="A19180" t="str">
        <f>HYPERLINK("https://www.773grp.com/globalSearch/74LV595DB118/page-1", "74LV595DB118")</f>
        <v>74LV595DB118</v>
      </c>
      <c r="B19180" s="3" t="s">
        <v>93</v>
      </c>
      <c r="C19180" s="6">
        <v>8000</v>
      </c>
      <c r="D19180" s="7">
        <v>1.31</v>
      </c>
    </row>
    <row r="19181" spans="1:4" x14ac:dyDescent="0.25">
      <c r="A19181" t="str">
        <f>HYPERLINK("https://www.773grp.com/globalSearch/74LVC16244ADGG118/page-1", "74LVC16244ADGG118")</f>
        <v>74LVC16244ADGG118</v>
      </c>
      <c r="B19181" s="3" t="s">
        <v>93</v>
      </c>
      <c r="C19181" s="6">
        <v>68000</v>
      </c>
      <c r="D19181" s="7">
        <v>1.31</v>
      </c>
    </row>
    <row r="19182" spans="1:4" x14ac:dyDescent="0.25">
      <c r="A19182" t="str">
        <f>HYPERLINK("https://www.773grp.com/globalSearch/74LVC16245ADGG112/page-1", "74LVC16245ADGG112")</f>
        <v>74LVC16245ADGG112</v>
      </c>
      <c r="B19182" s="3" t="s">
        <v>93</v>
      </c>
      <c r="C19182" s="6">
        <v>11846</v>
      </c>
      <c r="D19182" s="7">
        <v>1.31</v>
      </c>
    </row>
    <row r="19183" spans="1:4" x14ac:dyDescent="0.25">
      <c r="A19183" t="str">
        <f>HYPERLINK("https://www.773grp.com/globalSearch/74LVC16245ADGG118/page-1", "74LVC16245ADGG118")</f>
        <v>74LVC16245ADGG118</v>
      </c>
      <c r="B19183" s="3" t="s">
        <v>93</v>
      </c>
      <c r="C19183" s="6">
        <v>18266</v>
      </c>
      <c r="D19183" s="7">
        <v>1.31</v>
      </c>
    </row>
    <row r="19184" spans="1:4" x14ac:dyDescent="0.25">
      <c r="A19184" t="str">
        <f>HYPERLINK("https://www.773grp.com/globalSearch/74LVC823APW118/page-1", "74LVC823APW118")</f>
        <v>74LVC823APW118</v>
      </c>
      <c r="B19184" s="3" t="s">
        <v>93</v>
      </c>
      <c r="C19184" s="6">
        <v>7500</v>
      </c>
      <c r="D19184" s="7">
        <v>1.31</v>
      </c>
    </row>
    <row r="19185" spans="1:4" x14ac:dyDescent="0.25">
      <c r="A19185" t="str">
        <f>HYPERLINK("https://www.773grp.com/globalSearch/74LVC827AD112/page-1", "74LVC827AD112")</f>
        <v>74LVC827AD112</v>
      </c>
      <c r="B19185" s="3" t="s">
        <v>93</v>
      </c>
      <c r="C19185" s="6">
        <v>7025</v>
      </c>
      <c r="D19185" s="7">
        <v>1.31</v>
      </c>
    </row>
    <row r="19186" spans="1:4" x14ac:dyDescent="0.25">
      <c r="A19186" t="str">
        <f>HYPERLINK("https://www.773grp.com/globalSearch/74LVT14PW118/page-1", "74LVT14PW118")</f>
        <v>74LVT14PW118</v>
      </c>
      <c r="B19186" s="3" t="s">
        <v>93</v>
      </c>
      <c r="C19186" s="6">
        <v>760</v>
      </c>
      <c r="D19186" s="7">
        <v>1.31</v>
      </c>
    </row>
    <row r="19187" spans="1:4" x14ac:dyDescent="0.25">
      <c r="A19187" t="str">
        <f>HYPERLINK("https://www.773grp.com/globalSearch/BFG480W115/page-1", "BFG480W115")</f>
        <v>BFG480W115</v>
      </c>
      <c r="B19187" s="3" t="s">
        <v>93</v>
      </c>
      <c r="C19187" s="6">
        <v>33000</v>
      </c>
      <c r="D19187" s="7">
        <v>1.31</v>
      </c>
    </row>
    <row r="19188" spans="1:4" x14ac:dyDescent="0.25">
      <c r="A19188" t="str">
        <f>HYPERLINK("https://www.773grp.com/globalSearch/BFG541115/page-1", "BFG541115")</f>
        <v>BFG541115</v>
      </c>
      <c r="B19188" s="3" t="s">
        <v>93</v>
      </c>
      <c r="C19188" s="6">
        <v>1000</v>
      </c>
      <c r="D19188" s="7">
        <v>1.31</v>
      </c>
    </row>
    <row r="19189" spans="1:4" x14ac:dyDescent="0.25">
      <c r="A19189" t="str">
        <f>HYPERLINK("https://www.773grp.com/globalSearch/BFG97115/page-1", "BFG97115")</f>
        <v>BFG97115</v>
      </c>
      <c r="B19189" s="3" t="s">
        <v>93</v>
      </c>
      <c r="C19189" s="6">
        <v>3000</v>
      </c>
      <c r="D19189" s="7">
        <v>1.31</v>
      </c>
    </row>
    <row r="19190" spans="1:4" x14ac:dyDescent="0.25">
      <c r="A19190" t="str">
        <f>HYPERLINK("https://www.773grp.com/globalSearch/BT258-500R127/page-1", "BT258-500R127")</f>
        <v>BT258-500R127</v>
      </c>
      <c r="B19190" s="3" t="s">
        <v>93</v>
      </c>
      <c r="C19190" s="6">
        <v>10119</v>
      </c>
      <c r="D19190" s="7">
        <v>1.31</v>
      </c>
    </row>
    <row r="19191" spans="1:4" x14ac:dyDescent="0.25">
      <c r="A19191" t="str">
        <f>HYPERLINK("https://www.773grp.com/globalSearch/BT258-600R127/page-1", "BT258-600R127")</f>
        <v>BT258-600R127</v>
      </c>
      <c r="B19191" s="3" t="s">
        <v>93</v>
      </c>
      <c r="C19191" s="6">
        <v>124</v>
      </c>
      <c r="D19191" s="7">
        <v>1.31</v>
      </c>
    </row>
    <row r="19192" spans="1:4" x14ac:dyDescent="0.25">
      <c r="A19192" t="str">
        <f>HYPERLINK("https://www.773grp.com/globalSearch/BT258-800R127/page-1", "BT258-800R127")</f>
        <v>BT258-800R127</v>
      </c>
      <c r="B19192" s="3" t="s">
        <v>93</v>
      </c>
      <c r="C19192" s="6">
        <v>7620</v>
      </c>
      <c r="D19192" s="7">
        <v>1.31</v>
      </c>
    </row>
    <row r="19193" spans="1:4" x14ac:dyDescent="0.25">
      <c r="A19193" t="str">
        <f>HYPERLINK("https://www.773grp.com/globalSearch/BT258S-800LT118/page-1", "BT258S-800LT118")</f>
        <v>BT258S-800LT118</v>
      </c>
      <c r="B19193" s="3" t="s">
        <v>93</v>
      </c>
      <c r="C19193" s="6">
        <v>5150</v>
      </c>
      <c r="D19193" s="7">
        <v>1.31</v>
      </c>
    </row>
    <row r="19194" spans="1:4" x14ac:dyDescent="0.25">
      <c r="A19194" t="str">
        <f>HYPERLINK("https://www.773grp.com/globalSearch/BT300S-600R118/page-1", "BT300S-600R118")</f>
        <v>BT300S-600R118</v>
      </c>
      <c r="B19194" s="3" t="s">
        <v>93</v>
      </c>
      <c r="C19194" s="6">
        <v>10000</v>
      </c>
      <c r="D19194" s="7">
        <v>1.31</v>
      </c>
    </row>
    <row r="19195" spans="1:4" x14ac:dyDescent="0.25">
      <c r="A19195" t="str">
        <f>HYPERLINK("https://www.773grp.com/globalSearch/BTA208X-800F127/page-1", "BTA208X-800F127")</f>
        <v>BTA208X-800F127</v>
      </c>
      <c r="B19195" s="3" t="s">
        <v>93</v>
      </c>
      <c r="C19195" s="6">
        <v>1141</v>
      </c>
      <c r="D19195" s="7">
        <v>1.31</v>
      </c>
    </row>
    <row r="19196" spans="1:4" x14ac:dyDescent="0.25">
      <c r="A19196" t="str">
        <f>HYPERLINK("https://www.773grp.com/globalSearch/BTA212-600B127/page-1", "BTA212-600B127")</f>
        <v>BTA212-600B127</v>
      </c>
      <c r="B19196" s="3" t="s">
        <v>93</v>
      </c>
      <c r="C19196" s="6">
        <v>4700</v>
      </c>
      <c r="D19196" s="7">
        <v>1.31</v>
      </c>
    </row>
    <row r="19197" spans="1:4" x14ac:dyDescent="0.25">
      <c r="A19197" t="str">
        <f>HYPERLINK("https://www.773grp.com/globalSearch/BTA212-600D127/page-1", "BTA212-600D127")</f>
        <v>BTA212-600D127</v>
      </c>
      <c r="B19197" s="3" t="s">
        <v>93</v>
      </c>
      <c r="C19197" s="6">
        <v>15000</v>
      </c>
      <c r="D19197" s="7">
        <v>1.31</v>
      </c>
    </row>
    <row r="19198" spans="1:4" x14ac:dyDescent="0.25">
      <c r="A19198" t="str">
        <f>HYPERLINK("https://www.773grp.com/globalSearch/BTA212-600E127/page-1", "BTA212-600E127")</f>
        <v>BTA212-600E127</v>
      </c>
      <c r="B19198" s="3" t="s">
        <v>93</v>
      </c>
      <c r="C19198" s="6">
        <v>5154</v>
      </c>
      <c r="D19198" s="7">
        <v>1.31</v>
      </c>
    </row>
    <row r="19199" spans="1:4" x14ac:dyDescent="0.25">
      <c r="A19199" t="str">
        <f>HYPERLINK("https://www.773grp.com/globalSearch/BTA212-600F127/page-1", "BTA212-600F127")</f>
        <v>BTA212-600F127</v>
      </c>
      <c r="B19199" s="3" t="s">
        <v>93</v>
      </c>
      <c r="C19199" s="6">
        <v>3000</v>
      </c>
      <c r="D19199" s="7">
        <v>1.31</v>
      </c>
    </row>
    <row r="19200" spans="1:4" x14ac:dyDescent="0.25">
      <c r="A19200" t="str">
        <f>HYPERLINK("https://www.773grp.com/globalSearch/BUK7575-55A127/page-1", "BUK7575-55A127")</f>
        <v>BUK7575-55A127</v>
      </c>
      <c r="B19200" s="3" t="s">
        <v>93</v>
      </c>
      <c r="C19200" s="6">
        <v>150</v>
      </c>
      <c r="D19200" s="7">
        <v>1.31</v>
      </c>
    </row>
    <row r="19201" spans="1:4" x14ac:dyDescent="0.25">
      <c r="A19201" t="str">
        <f>HYPERLINK("https://www.773grp.com/globalSearch/BUK95180-100A127/page-1", "BUK95180-100A127")</f>
        <v>BUK95180-100A127</v>
      </c>
      <c r="B19201" s="3" t="s">
        <v>93</v>
      </c>
      <c r="C19201" s="6">
        <v>2936</v>
      </c>
      <c r="D19201" s="7">
        <v>1.31</v>
      </c>
    </row>
    <row r="19202" spans="1:4" x14ac:dyDescent="0.25">
      <c r="A19202" t="str">
        <f>HYPERLINK("https://www.773grp.com/globalSearch/BUK9575-55A127/page-1", "BUK9575-55A127")</f>
        <v>BUK9575-55A127</v>
      </c>
      <c r="B19202" s="3" t="s">
        <v>93</v>
      </c>
      <c r="C19202" s="6">
        <v>2150</v>
      </c>
      <c r="D19202" s="7">
        <v>1.31</v>
      </c>
    </row>
    <row r="19203" spans="1:4" x14ac:dyDescent="0.25">
      <c r="A19203" t="str">
        <f>HYPERLINK("https://www.773grp.com/globalSearch/BYC10D-600127/page-1", "BYC10D-600127")</f>
        <v>BYC10D-600127</v>
      </c>
      <c r="B19203" s="3" t="s">
        <v>93</v>
      </c>
      <c r="C19203" s="6">
        <v>6000</v>
      </c>
      <c r="D19203" s="7">
        <v>1.31</v>
      </c>
    </row>
    <row r="19204" spans="1:4" x14ac:dyDescent="0.25">
      <c r="A19204" t="str">
        <f>HYPERLINK("https://www.773grp.com/globalSearch/BYC5DX-500127/page-1", "BYC5DX-500127")</f>
        <v>BYC5DX-500127</v>
      </c>
      <c r="B19204" s="3" t="s">
        <v>93</v>
      </c>
      <c r="C19204" s="6">
        <v>4000</v>
      </c>
      <c r="D19204" s="7">
        <v>1.31</v>
      </c>
    </row>
    <row r="19205" spans="1:4" x14ac:dyDescent="0.25">
      <c r="A19205" t="str">
        <f>HYPERLINK("https://www.773grp.com/globalSearch/BYC8-600127/page-1", "BYC8-600127")</f>
        <v>BYC8-600127</v>
      </c>
      <c r="B19205" s="3" t="s">
        <v>93</v>
      </c>
      <c r="C19205" s="6">
        <v>7103</v>
      </c>
      <c r="D19205" s="7">
        <v>1.31</v>
      </c>
    </row>
    <row r="19206" spans="1:4" x14ac:dyDescent="0.25">
      <c r="A19206" t="str">
        <f>HYPERLINK("https://www.773grp.com/globalSearch/BYV29-500127/page-1", "BYV29-500127")</f>
        <v>BYV29-500127</v>
      </c>
      <c r="B19206" s="3" t="s">
        <v>93</v>
      </c>
      <c r="C19206" s="6">
        <v>5143</v>
      </c>
      <c r="D19206" s="7">
        <v>1.31</v>
      </c>
    </row>
    <row r="19207" spans="1:4" x14ac:dyDescent="0.25">
      <c r="A19207" t="str">
        <f>HYPERLINK("https://www.773grp.com/globalSearch/BYV29F-600127/page-1", "BYV29F-600127")</f>
        <v>BYV29F-600127</v>
      </c>
      <c r="B19207" s="3" t="s">
        <v>93</v>
      </c>
      <c r="C19207" s="6">
        <v>34000</v>
      </c>
      <c r="D19207" s="7">
        <v>1.31</v>
      </c>
    </row>
    <row r="19208" spans="1:4" x14ac:dyDescent="0.25">
      <c r="A19208" t="str">
        <f>HYPERLINK("https://www.773grp.com/globalSearch/BYW29E-200127/page-1", "BYW29E-200127")</f>
        <v>BYW29E-200127</v>
      </c>
      <c r="B19208" s="3" t="s">
        <v>93</v>
      </c>
      <c r="C19208" s="6">
        <v>8815</v>
      </c>
      <c r="D19208" s="7">
        <v>1.31</v>
      </c>
    </row>
    <row r="19209" spans="1:4" x14ac:dyDescent="0.25">
      <c r="A19209" t="str">
        <f>HYPERLINK("https://www.773grp.com/globalSearch/HEF4007UBP652/page-1", "HEF4007UBP652")</f>
        <v>HEF4007UBP652</v>
      </c>
      <c r="B19209" s="3" t="s">
        <v>93</v>
      </c>
      <c r="C19209" s="6">
        <v>200</v>
      </c>
      <c r="D19209" s="7">
        <v>1.31</v>
      </c>
    </row>
    <row r="19210" spans="1:4" x14ac:dyDescent="0.25">
      <c r="A19210" t="str">
        <f>HYPERLINK("https://www.773grp.com/globalSearch/HEF40106BP652/page-1", "HEF40106BP652")</f>
        <v>HEF40106BP652</v>
      </c>
      <c r="B19210" s="3" t="s">
        <v>93</v>
      </c>
      <c r="C19210" s="6">
        <v>12000</v>
      </c>
      <c r="D19210" s="7">
        <v>1.31</v>
      </c>
    </row>
    <row r="19211" spans="1:4" x14ac:dyDescent="0.25">
      <c r="A19211" t="str">
        <f>HYPERLINK("https://www.773grp.com/globalSearch/HEF4011BP652/page-1", "HEF4011BP652")</f>
        <v>HEF4011BP652</v>
      </c>
      <c r="B19211" s="3" t="s">
        <v>93</v>
      </c>
      <c r="C19211" s="6">
        <v>7850</v>
      </c>
      <c r="D19211" s="7">
        <v>1.31</v>
      </c>
    </row>
    <row r="19212" spans="1:4" x14ac:dyDescent="0.25">
      <c r="A19212" t="str">
        <f>HYPERLINK("https://www.773grp.com/globalSearch/HEF4016BP652/page-1", "HEF4016BP652")</f>
        <v>HEF4016BP652</v>
      </c>
      <c r="B19212" s="3" t="s">
        <v>93</v>
      </c>
      <c r="C19212" s="6">
        <v>4825</v>
      </c>
      <c r="D19212" s="7">
        <v>1.31</v>
      </c>
    </row>
    <row r="19213" spans="1:4" x14ac:dyDescent="0.25">
      <c r="A19213" t="str">
        <f>HYPERLINK("https://www.773grp.com/globalSearch/HEF4027BP652/page-1", "HEF4027BP652")</f>
        <v>HEF4027BP652</v>
      </c>
      <c r="B19213" s="3" t="s">
        <v>93</v>
      </c>
      <c r="C19213" s="6">
        <v>5000</v>
      </c>
      <c r="D19213" s="7">
        <v>1.31</v>
      </c>
    </row>
    <row r="19214" spans="1:4" x14ac:dyDescent="0.25">
      <c r="A19214" t="str">
        <f>HYPERLINK("https://www.773grp.com/globalSearch/HEF4066BP652/page-1", "HEF4066BP652")</f>
        <v>HEF4066BP652</v>
      </c>
      <c r="B19214" s="3" t="s">
        <v>93</v>
      </c>
      <c r="C19214" s="6">
        <v>108100</v>
      </c>
      <c r="D19214" s="7">
        <v>1.31</v>
      </c>
    </row>
    <row r="19215" spans="1:4" x14ac:dyDescent="0.25">
      <c r="A19215" t="str">
        <f>HYPERLINK("https://www.773grp.com/globalSearch/HEF4073BP652/page-1", "HEF4073BP652")</f>
        <v>HEF4073BP652</v>
      </c>
      <c r="B19215" s="3" t="s">
        <v>93</v>
      </c>
      <c r="C19215" s="6">
        <v>11015</v>
      </c>
      <c r="D19215" s="7">
        <v>1.31</v>
      </c>
    </row>
    <row r="19216" spans="1:4" x14ac:dyDescent="0.25">
      <c r="A19216" t="str">
        <f>HYPERLINK("https://www.773grp.com/globalSearch/HEF4075BP652/page-1", "HEF4075BP652")</f>
        <v>HEF4075BP652</v>
      </c>
      <c r="B19216" s="3" t="s">
        <v>93</v>
      </c>
      <c r="C19216" s="6">
        <v>7827</v>
      </c>
      <c r="D19216" s="7">
        <v>1.31</v>
      </c>
    </row>
    <row r="19217" spans="1:4" x14ac:dyDescent="0.25">
      <c r="A19217" t="str">
        <f>HYPERLINK("https://www.773grp.com/globalSearch/HEF4081BP652/page-1", "HEF4081BP652")</f>
        <v>HEF4081BP652</v>
      </c>
      <c r="B19217" s="3" t="s">
        <v>93</v>
      </c>
      <c r="C19217" s="6">
        <v>126832</v>
      </c>
      <c r="D19217" s="7">
        <v>1.31</v>
      </c>
    </row>
    <row r="19218" spans="1:4" x14ac:dyDescent="0.25">
      <c r="A19218" t="str">
        <f>HYPERLINK("https://www.773grp.com/globalSearch/HEF4082BP652/page-1", "HEF4082BP652")</f>
        <v>HEF4082BP652</v>
      </c>
      <c r="B19218" s="3" t="s">
        <v>93</v>
      </c>
      <c r="C19218" s="6">
        <v>3025</v>
      </c>
      <c r="D19218" s="7">
        <v>1.31</v>
      </c>
    </row>
    <row r="19219" spans="1:4" x14ac:dyDescent="0.25">
      <c r="A19219" t="str">
        <f>HYPERLINK("https://www.773grp.com/globalSearch/HEF4093BP652/page-1", "HEF4093BP652")</f>
        <v>HEF4093BP652</v>
      </c>
      <c r="B19219" s="3" t="s">
        <v>93</v>
      </c>
      <c r="C19219" s="6">
        <v>117000</v>
      </c>
      <c r="D19219" s="7">
        <v>1.31</v>
      </c>
    </row>
    <row r="19220" spans="1:4" x14ac:dyDescent="0.25">
      <c r="A19220" t="str">
        <f>HYPERLINK("https://www.773grp.com/globalSearch/HEF4104BT652/page-1", "HEF4104BT652")</f>
        <v>HEF4104BT652</v>
      </c>
      <c r="B19220" s="3" t="s">
        <v>93</v>
      </c>
      <c r="C19220" s="6">
        <v>1000</v>
      </c>
      <c r="D19220" s="7">
        <v>1.31</v>
      </c>
    </row>
    <row r="19221" spans="1:4" x14ac:dyDescent="0.25">
      <c r="A19221" t="str">
        <f>HYPERLINK("https://www.773grp.com/globalSearch/HEF4514BT652/page-1", "HEF4514BT652")</f>
        <v>HEF4514BT652</v>
      </c>
      <c r="B19221" s="3" t="s">
        <v>93</v>
      </c>
      <c r="C19221" s="6">
        <v>77</v>
      </c>
      <c r="D19221" s="7">
        <v>1.31</v>
      </c>
    </row>
    <row r="19222" spans="1:4" x14ac:dyDescent="0.25">
      <c r="A19222" t="str">
        <f>HYPERLINK("https://www.773grp.com/globalSearch/IP4280CZ10118/page-1", "IP4280CZ10118")</f>
        <v>IP4280CZ10118</v>
      </c>
      <c r="B19222" s="3" t="s">
        <v>93</v>
      </c>
      <c r="C19222" s="6">
        <v>7500</v>
      </c>
      <c r="D19222" s="7">
        <v>1.31</v>
      </c>
    </row>
    <row r="19223" spans="1:4" x14ac:dyDescent="0.25">
      <c r="A19223" t="str">
        <f>HYPERLINK("https://www.773grp.com/globalSearch/N74F06D623/page-1", "N74F06D623")</f>
        <v>N74F06D623</v>
      </c>
      <c r="B19223" s="3" t="s">
        <v>93</v>
      </c>
      <c r="C19223" s="6">
        <v>127500</v>
      </c>
      <c r="D19223" s="7">
        <v>1.31</v>
      </c>
    </row>
    <row r="19224" spans="1:4" x14ac:dyDescent="0.25">
      <c r="A19224" t="str">
        <f>HYPERLINK("https://www.773grp.com/globalSearch/N74F07D623/page-1", "N74F07D623")</f>
        <v>N74F07D623</v>
      </c>
      <c r="B19224" s="3" t="s">
        <v>93</v>
      </c>
      <c r="C19224" s="6">
        <v>87500</v>
      </c>
      <c r="D19224" s="7">
        <v>1.31</v>
      </c>
    </row>
    <row r="19225" spans="1:4" x14ac:dyDescent="0.25">
      <c r="A19225" t="str">
        <f>HYPERLINK("https://www.773grp.com/globalSearch/NVT2006BQ115/page-1", "NVT2006BQ115")</f>
        <v>NVT2006BQ115</v>
      </c>
      <c r="B19225" s="3" t="s">
        <v>93</v>
      </c>
      <c r="C19225" s="6">
        <v>3400</v>
      </c>
      <c r="D19225" s="7">
        <v>1.31</v>
      </c>
    </row>
    <row r="19226" spans="1:4" x14ac:dyDescent="0.25">
      <c r="A19226" t="str">
        <f>HYPERLINK("https://www.773grp.com/globalSearch/NVT2006BS118/page-1", "NVT2006BS118")</f>
        <v>NVT2006BS118</v>
      </c>
      <c r="B19226" s="3" t="s">
        <v>93</v>
      </c>
      <c r="C19226" s="6">
        <v>6100</v>
      </c>
      <c r="D19226" s="7">
        <v>1.31</v>
      </c>
    </row>
    <row r="19227" spans="1:4" x14ac:dyDescent="0.25">
      <c r="A19227" t="str">
        <f>HYPERLINK("https://www.773grp.com/globalSearch/NX3DV3899HR115/page-1", "NX3DV3899HR115")</f>
        <v>NX3DV3899HR115</v>
      </c>
      <c r="B19227" s="3" t="s">
        <v>93</v>
      </c>
      <c r="C19227" s="6">
        <v>300</v>
      </c>
      <c r="D19227" s="7">
        <v>1.31</v>
      </c>
    </row>
    <row r="19228" spans="1:4" x14ac:dyDescent="0.25">
      <c r="A19228" t="str">
        <f>HYPERLINK("https://www.773grp.com/globalSearch/NX3L2267GU115/page-1", "NX3L2267GU115")</f>
        <v>NX3L2267GU115</v>
      </c>
      <c r="B19228" s="3" t="s">
        <v>93</v>
      </c>
      <c r="C19228" s="6">
        <v>20080</v>
      </c>
      <c r="D19228" s="7">
        <v>1.31</v>
      </c>
    </row>
    <row r="19229" spans="1:4" x14ac:dyDescent="0.25">
      <c r="A19229" t="str">
        <f>HYPERLINK("https://www.773grp.com/globalSearch/OT386127/page-1", "OT386127")</f>
        <v>OT386127</v>
      </c>
      <c r="B19229" s="3" t="s">
        <v>93</v>
      </c>
      <c r="C19229" s="6">
        <v>3750</v>
      </c>
      <c r="D19229" s="7">
        <v>1.31</v>
      </c>
    </row>
    <row r="19230" spans="1:4" x14ac:dyDescent="0.25">
      <c r="A19230" t="str">
        <f>HYPERLINK("https://www.773grp.com/globalSearch/PBSS302NZ135/page-1", "PBSS302NZ135")</f>
        <v>PBSS302NZ135</v>
      </c>
      <c r="B19230" s="3" t="s">
        <v>93</v>
      </c>
      <c r="C19230" s="6">
        <v>4000</v>
      </c>
      <c r="D19230" s="7">
        <v>1.31</v>
      </c>
    </row>
    <row r="19231" spans="1:4" x14ac:dyDescent="0.25">
      <c r="A19231" t="str">
        <f>HYPERLINK("https://www.773grp.com/globalSearch/PBSS302PZ135/page-1", "PBSS302PZ135")</f>
        <v>PBSS302PZ135</v>
      </c>
      <c r="B19231" s="3" t="s">
        <v>93</v>
      </c>
      <c r="C19231" s="6">
        <v>4729</v>
      </c>
      <c r="D19231" s="7">
        <v>1.31</v>
      </c>
    </row>
    <row r="19232" spans="1:4" x14ac:dyDescent="0.25">
      <c r="A19232" t="str">
        <f>HYPERLINK("https://www.773grp.com/globalSearch/PCA24S08AD118/page-1", "PCA24S08AD118")</f>
        <v>PCA24S08AD118</v>
      </c>
      <c r="B19232" s="3" t="s">
        <v>93</v>
      </c>
      <c r="C19232" s="6">
        <v>2500</v>
      </c>
      <c r="D19232" s="7">
        <v>1.31</v>
      </c>
    </row>
    <row r="19233" spans="1:4" x14ac:dyDescent="0.25">
      <c r="A19233" t="str">
        <f>HYPERLINK("https://www.773grp.com/globalSearch/PCA24S08ADP118/page-1", "PCA24S08ADP118")</f>
        <v>PCA24S08ADP118</v>
      </c>
      <c r="B19233" s="3" t="s">
        <v>93</v>
      </c>
      <c r="C19233" s="6">
        <v>5000</v>
      </c>
      <c r="D19233" s="7">
        <v>1.31</v>
      </c>
    </row>
    <row r="19234" spans="1:4" x14ac:dyDescent="0.25">
      <c r="A19234" t="str">
        <f>HYPERLINK("https://www.773grp.com/globalSearch/PTN3360ABS518/page-1", "PTN3360ABS518")</f>
        <v>PTN3360ABS518</v>
      </c>
      <c r="B19234" s="3" t="s">
        <v>93</v>
      </c>
      <c r="C19234" s="6">
        <v>216000</v>
      </c>
      <c r="D19234" s="7">
        <v>1.31</v>
      </c>
    </row>
    <row r="19235" spans="1:4" x14ac:dyDescent="0.25">
      <c r="A19235" t="str">
        <f>HYPERLINK("https://www.773grp.com/globalSearch/PTN3360BBS518/page-1", "PTN3360BBS518")</f>
        <v>PTN3360BBS518</v>
      </c>
      <c r="B19235" s="3" t="s">
        <v>93</v>
      </c>
      <c r="C19235" s="6">
        <v>40000</v>
      </c>
      <c r="D19235" s="7">
        <v>1.31</v>
      </c>
    </row>
    <row r="19236" spans="1:4" x14ac:dyDescent="0.25">
      <c r="A19236" t="str">
        <f>HYPERLINK("https://www.773grp.com/globalSearch/TJF1051T-3118/page-1", "TJF1051T-3118")</f>
        <v>TJF1051T-3118</v>
      </c>
      <c r="B19236" s="3" t="s">
        <v>93</v>
      </c>
      <c r="C19236" s="6">
        <v>10000</v>
      </c>
      <c r="D19236" s="7">
        <v>1.31</v>
      </c>
    </row>
    <row r="19237" spans="1:4" x14ac:dyDescent="0.25">
      <c r="A19237" t="str">
        <f>HYPERLINK("https://www.773grp.com/globalSearch/74ABT08DB112/page-1", "74ABT08DB112")</f>
        <v>74ABT08DB112</v>
      </c>
      <c r="B19237" s="3" t="s">
        <v>93</v>
      </c>
      <c r="C19237" s="6">
        <v>1000</v>
      </c>
      <c r="D19237" s="7">
        <v>1.36</v>
      </c>
    </row>
    <row r="19238" spans="1:4" x14ac:dyDescent="0.25">
      <c r="A19238" t="str">
        <f>HYPERLINK("https://www.773grp.com/globalSearch/74ABT125D602/page-1", "74ABT125D602")</f>
        <v>74ABT125D602</v>
      </c>
      <c r="B19238" s="3" t="s">
        <v>93</v>
      </c>
      <c r="C19238" s="6">
        <v>2980</v>
      </c>
      <c r="D19238" s="7">
        <v>1.36</v>
      </c>
    </row>
    <row r="19239" spans="1:4" x14ac:dyDescent="0.25">
      <c r="A19239" t="str">
        <f>HYPERLINK("https://www.773grp.com/globalSearch/74AUP1G00GF132/page-1", "74AUP1G00GF132")</f>
        <v>74AUP1G00GF132</v>
      </c>
      <c r="B19239" s="3" t="s">
        <v>93</v>
      </c>
      <c r="C19239" s="6">
        <v>400</v>
      </c>
      <c r="D19239" s="7">
        <v>1.36</v>
      </c>
    </row>
    <row r="19240" spans="1:4" x14ac:dyDescent="0.25">
      <c r="A19240" t="str">
        <f>HYPERLINK("https://www.773grp.com/globalSearch/74AUP1G04GF132/page-1", "74AUP1G04GF132")</f>
        <v>74AUP1G04GF132</v>
      </c>
      <c r="B19240" s="3" t="s">
        <v>93</v>
      </c>
      <c r="C19240" s="6">
        <v>300</v>
      </c>
      <c r="D19240" s="7">
        <v>1.36</v>
      </c>
    </row>
    <row r="19241" spans="1:4" x14ac:dyDescent="0.25">
      <c r="A19241" t="str">
        <f>HYPERLINK("https://www.773grp.com/globalSearch/74HC191DB112/page-1", "74HC191DB112")</f>
        <v>74HC191DB112</v>
      </c>
      <c r="B19241" s="3" t="s">
        <v>93</v>
      </c>
      <c r="C19241" s="6">
        <v>755</v>
      </c>
      <c r="D19241" s="7">
        <v>1.36</v>
      </c>
    </row>
    <row r="19242" spans="1:4" x14ac:dyDescent="0.25">
      <c r="A19242" t="str">
        <f>HYPERLINK("https://www.773grp.com/globalSearch/74HC237DB112/page-1", "74HC237DB112")</f>
        <v>74HC237DB112</v>
      </c>
      <c r="B19242" s="3" t="s">
        <v>93</v>
      </c>
      <c r="C19242" s="6">
        <v>1092</v>
      </c>
      <c r="D19242" s="7">
        <v>1.36</v>
      </c>
    </row>
    <row r="19243" spans="1:4" x14ac:dyDescent="0.25">
      <c r="A19243" t="str">
        <f>HYPERLINK("https://www.773grp.com/globalSearch/74HC237DB118/page-1", "74HC237DB118")</f>
        <v>74HC237DB118</v>
      </c>
      <c r="B19243" s="3" t="s">
        <v>93</v>
      </c>
      <c r="C19243" s="6">
        <v>6407</v>
      </c>
      <c r="D19243" s="7">
        <v>1.36</v>
      </c>
    </row>
    <row r="19244" spans="1:4" x14ac:dyDescent="0.25">
      <c r="A19244" t="str">
        <f>HYPERLINK("https://www.773grp.com/globalSearch/74HC238DB112/page-1", "74HC238DB112")</f>
        <v>74HC238DB112</v>
      </c>
      <c r="B19244" s="3" t="s">
        <v>93</v>
      </c>
      <c r="C19244" s="6">
        <v>3020</v>
      </c>
      <c r="D19244" s="7">
        <v>1.36</v>
      </c>
    </row>
    <row r="19245" spans="1:4" x14ac:dyDescent="0.25">
      <c r="A19245" t="str">
        <f>HYPERLINK("https://www.773grp.com/globalSearch/74HC4020DB118/page-1", "74HC4020DB118")</f>
        <v>74HC4020DB118</v>
      </c>
      <c r="B19245" s="3" t="s">
        <v>93</v>
      </c>
      <c r="C19245" s="6">
        <v>40</v>
      </c>
      <c r="D19245" s="7">
        <v>1.36</v>
      </c>
    </row>
    <row r="19246" spans="1:4" x14ac:dyDescent="0.25">
      <c r="A19246" t="str">
        <f>HYPERLINK("https://www.773grp.com/globalSearch/74HCT238DB112/page-1", "74HCT238DB112")</f>
        <v>74HCT238DB112</v>
      </c>
      <c r="B19246" s="3" t="s">
        <v>93</v>
      </c>
      <c r="C19246" s="6">
        <v>1092</v>
      </c>
      <c r="D19246" s="7">
        <v>1.36</v>
      </c>
    </row>
    <row r="19247" spans="1:4" x14ac:dyDescent="0.25">
      <c r="A19247" t="str">
        <f>HYPERLINK("https://www.773grp.com/globalSearch/74HCT259DB112/page-1", "74HCT259DB112")</f>
        <v>74HCT259DB112</v>
      </c>
      <c r="B19247" s="3" t="s">
        <v>93</v>
      </c>
      <c r="C19247" s="6">
        <v>1092</v>
      </c>
      <c r="D19247" s="7">
        <v>1.36</v>
      </c>
    </row>
    <row r="19248" spans="1:4" x14ac:dyDescent="0.25">
      <c r="A19248" t="str">
        <f>HYPERLINK("https://www.773grp.com/globalSearch/74HCT4015D112/page-1", "74HCT4015D112")</f>
        <v>74HCT4015D112</v>
      </c>
      <c r="B19248" s="3" t="s">
        <v>93</v>
      </c>
      <c r="C19248" s="6">
        <v>3000</v>
      </c>
      <c r="D19248" s="7">
        <v>1.36</v>
      </c>
    </row>
    <row r="19249" spans="1:4" x14ac:dyDescent="0.25">
      <c r="A19249" t="str">
        <f>HYPERLINK("https://www.773grp.com/globalSearch/74HCT4511D653/page-1", "74HCT4511D653")</f>
        <v>74HCT4511D653</v>
      </c>
      <c r="B19249" s="3" t="s">
        <v>93</v>
      </c>
      <c r="C19249" s="6">
        <v>2500</v>
      </c>
      <c r="D19249" s="7">
        <v>1.36</v>
      </c>
    </row>
    <row r="19250" spans="1:4" x14ac:dyDescent="0.25">
      <c r="A19250" t="str">
        <f>HYPERLINK("https://www.773grp.com/globalSearch/74HCT534D652/page-1", "74HCT534D652")</f>
        <v>74HCT534D652</v>
      </c>
      <c r="B19250" s="3" t="s">
        <v>93</v>
      </c>
      <c r="C19250" s="6">
        <v>1520</v>
      </c>
      <c r="D19250" s="7">
        <v>1.36</v>
      </c>
    </row>
    <row r="19251" spans="1:4" x14ac:dyDescent="0.25">
      <c r="A19251" t="str">
        <f>HYPERLINK("https://www.773grp.com/globalSearch/74HCT534D653/page-1", "74HCT534D653")</f>
        <v>74HCT534D653</v>
      </c>
      <c r="B19251" s="3" t="s">
        <v>93</v>
      </c>
      <c r="C19251" s="6">
        <v>3970</v>
      </c>
      <c r="D19251" s="7">
        <v>1.36</v>
      </c>
    </row>
    <row r="19252" spans="1:4" x14ac:dyDescent="0.25">
      <c r="A19252" t="str">
        <f>HYPERLINK("https://www.773grp.com/globalSearch/74HCT597DB112/page-1", "74HCT597DB112")</f>
        <v>74HCT597DB112</v>
      </c>
      <c r="B19252" s="3" t="s">
        <v>93</v>
      </c>
      <c r="C19252" s="6">
        <v>82</v>
      </c>
      <c r="D19252" s="7">
        <v>1.36</v>
      </c>
    </row>
    <row r="19253" spans="1:4" x14ac:dyDescent="0.25">
      <c r="A19253" t="str">
        <f>HYPERLINK("https://www.773grp.com/globalSearch/74LV595PW112/page-1", "74LV595PW112")</f>
        <v>74LV595PW112</v>
      </c>
      <c r="B19253" s="3" t="s">
        <v>93</v>
      </c>
      <c r="C19253" s="6">
        <v>5240</v>
      </c>
      <c r="D19253" s="7">
        <v>1.36</v>
      </c>
    </row>
    <row r="19254" spans="1:4" x14ac:dyDescent="0.25">
      <c r="A19254" t="str">
        <f>HYPERLINK("https://www.773grp.com/globalSearch/74LV595PW118/page-1", "74LV595PW118")</f>
        <v>74LV595PW118</v>
      </c>
      <c r="B19254" s="3" t="s">
        <v>93</v>
      </c>
      <c r="C19254" s="6">
        <v>68439</v>
      </c>
      <c r="D19254" s="7">
        <v>1.36</v>
      </c>
    </row>
    <row r="19255" spans="1:4" x14ac:dyDescent="0.25">
      <c r="A19255" t="str">
        <f>HYPERLINK("https://www.773grp.com/globalSearch/74LVC16373ADGG112/page-1", "74LVC16373ADGG112")</f>
        <v>74LVC16373ADGG112</v>
      </c>
      <c r="B19255" s="3" t="s">
        <v>93</v>
      </c>
      <c r="C19255" s="6">
        <v>6929</v>
      </c>
      <c r="D19255" s="7">
        <v>1.36</v>
      </c>
    </row>
    <row r="19256" spans="1:4" x14ac:dyDescent="0.25">
      <c r="A19256" t="str">
        <f>HYPERLINK("https://www.773grp.com/globalSearch/74LVC16374ADGG112/page-1", "74LVC16374ADGG112")</f>
        <v>74LVC16374ADGG112</v>
      </c>
      <c r="B19256" s="3" t="s">
        <v>93</v>
      </c>
      <c r="C19256" s="6">
        <v>4122</v>
      </c>
      <c r="D19256" s="7">
        <v>1.36</v>
      </c>
    </row>
    <row r="19257" spans="1:4" x14ac:dyDescent="0.25">
      <c r="A19257" t="str">
        <f>HYPERLINK("https://www.773grp.com/globalSearch/74LVC16374ADGG118/page-1", "74LVC16374ADGG118")</f>
        <v>74LVC16374ADGG118</v>
      </c>
      <c r="B19257" s="3" t="s">
        <v>93</v>
      </c>
      <c r="C19257" s="6">
        <v>4077</v>
      </c>
      <c r="D19257" s="7">
        <v>1.36</v>
      </c>
    </row>
    <row r="19258" spans="1:4" x14ac:dyDescent="0.25">
      <c r="A19258" t="str">
        <f>HYPERLINK("https://www.773grp.com/globalSearch/74LVC1G00GF132/page-1", "74LVC1G00GF132")</f>
        <v>74LVC1G00GF132</v>
      </c>
      <c r="B19258" s="3" t="s">
        <v>93</v>
      </c>
      <c r="C19258" s="6">
        <v>5080</v>
      </c>
      <c r="D19258" s="7">
        <v>1.36</v>
      </c>
    </row>
    <row r="19259" spans="1:4" x14ac:dyDescent="0.25">
      <c r="A19259" t="str">
        <f>HYPERLINK("https://www.773grp.com/globalSearch/74LVC1G06GF132/page-1", "74LVC1G06GF132")</f>
        <v>74LVC1G06GF132</v>
      </c>
      <c r="B19259" s="3" t="s">
        <v>93</v>
      </c>
      <c r="C19259" s="6">
        <v>300</v>
      </c>
      <c r="D19259" s="7">
        <v>1.36</v>
      </c>
    </row>
    <row r="19260" spans="1:4" x14ac:dyDescent="0.25">
      <c r="A19260" t="str">
        <f>HYPERLINK("https://www.773grp.com/globalSearch/74LVC1G14GF132/page-1", "74LVC1G14GF132")</f>
        <v>74LVC1G14GF132</v>
      </c>
      <c r="B19260" s="3" t="s">
        <v>93</v>
      </c>
      <c r="C19260" s="6">
        <v>285</v>
      </c>
      <c r="D19260" s="7">
        <v>1.36</v>
      </c>
    </row>
    <row r="19261" spans="1:4" x14ac:dyDescent="0.25">
      <c r="A19261" t="str">
        <f>HYPERLINK("https://www.773grp.com/globalSearch/74LVC1G32GF132/page-1", "74LVC1G32GF132")</f>
        <v>74LVC1G32GF132</v>
      </c>
      <c r="B19261" s="3" t="s">
        <v>93</v>
      </c>
      <c r="C19261" s="6">
        <v>2645</v>
      </c>
      <c r="D19261" s="7">
        <v>1.36</v>
      </c>
    </row>
    <row r="19262" spans="1:4" x14ac:dyDescent="0.25">
      <c r="A19262" t="str">
        <f>HYPERLINK("https://www.773grp.com/globalSearch/74LVC1G332GF132/page-1", "74LVC1G332GF132")</f>
        <v>74LVC1G332GF132</v>
      </c>
      <c r="B19262" s="3" t="s">
        <v>93</v>
      </c>
      <c r="C19262" s="6">
        <v>46270</v>
      </c>
      <c r="D19262" s="7">
        <v>1.36</v>
      </c>
    </row>
    <row r="19263" spans="1:4" x14ac:dyDescent="0.25">
      <c r="A19263" t="str">
        <f>HYPERLINK("https://www.773grp.com/globalSearch/74LVC1G57GF132/page-1", "74LVC1G57GF132")</f>
        <v>74LVC1G57GF132</v>
      </c>
      <c r="B19263" s="3" t="s">
        <v>93</v>
      </c>
      <c r="C19263" s="6">
        <v>1000100</v>
      </c>
      <c r="D19263" s="7">
        <v>1.36</v>
      </c>
    </row>
    <row r="19264" spans="1:4" x14ac:dyDescent="0.25">
      <c r="A19264" t="str">
        <f>HYPERLINK("https://www.773grp.com/globalSearch/74LVC1G86GF132/page-1", "74LVC1G86GF132")</f>
        <v>74LVC1G86GF132</v>
      </c>
      <c r="B19264" s="3" t="s">
        <v>93</v>
      </c>
      <c r="C19264" s="6">
        <v>300</v>
      </c>
      <c r="D19264" s="7">
        <v>1.36</v>
      </c>
    </row>
    <row r="19265" spans="1:4" x14ac:dyDescent="0.25">
      <c r="A19265" t="str">
        <f>HYPERLINK("https://www.773grp.com/globalSearch/74LVC827APW112/page-1", "74LVC827APW112")</f>
        <v>74LVC827APW112</v>
      </c>
      <c r="B19265" s="3" t="s">
        <v>93</v>
      </c>
      <c r="C19265" s="6">
        <v>4016</v>
      </c>
      <c r="D19265" s="7">
        <v>1.36</v>
      </c>
    </row>
    <row r="19266" spans="1:4" x14ac:dyDescent="0.25">
      <c r="A19266" t="str">
        <f>HYPERLINK("https://www.773grp.com/globalSearch/BT138-600127/page-1", "BT138-600127")</f>
        <v>BT138-600127</v>
      </c>
      <c r="B19266" s="3" t="s">
        <v>93</v>
      </c>
      <c r="C19266" s="6">
        <v>12000</v>
      </c>
      <c r="D19266" s="7">
        <v>1.36</v>
      </c>
    </row>
    <row r="19267" spans="1:4" x14ac:dyDescent="0.25">
      <c r="A19267" t="str">
        <f>HYPERLINK("https://www.773grp.com/globalSearch/BT138-600D127/page-1", "BT138-600D127")</f>
        <v>BT138-600D127</v>
      </c>
      <c r="B19267" s="3" t="s">
        <v>93</v>
      </c>
      <c r="C19267" s="6">
        <v>10955</v>
      </c>
      <c r="D19267" s="7">
        <v>1.36</v>
      </c>
    </row>
    <row r="19268" spans="1:4" x14ac:dyDescent="0.25">
      <c r="A19268" t="str">
        <f>HYPERLINK("https://www.773grp.com/globalSearch/BT138-600G127/page-1", "BT138-600G127")</f>
        <v>BT138-600G127</v>
      </c>
      <c r="B19268" s="3" t="s">
        <v>93</v>
      </c>
      <c r="C19268" s="6">
        <v>16150</v>
      </c>
      <c r="D19268" s="7">
        <v>1.36</v>
      </c>
    </row>
    <row r="19269" spans="1:4" x14ac:dyDescent="0.25">
      <c r="A19269" t="str">
        <f>HYPERLINK("https://www.773grp.com/globalSearch/BT138-800G127/page-1", "BT138-800G127")</f>
        <v>BT138-800G127</v>
      </c>
      <c r="B19269" s="3" t="s">
        <v>93</v>
      </c>
      <c r="C19269" s="6">
        <v>2028</v>
      </c>
      <c r="D19269" s="7">
        <v>1.36</v>
      </c>
    </row>
    <row r="19270" spans="1:4" x14ac:dyDescent="0.25">
      <c r="A19270" t="str">
        <f>HYPERLINK("https://www.773grp.com/globalSearch/BTA208X-1000B127/page-1", "BTA208X-1000B127")</f>
        <v>BTA208X-1000B127</v>
      </c>
      <c r="B19270" s="3" t="s">
        <v>93</v>
      </c>
      <c r="C19270" s="6">
        <v>50</v>
      </c>
      <c r="D19270" s="7">
        <v>1.36</v>
      </c>
    </row>
    <row r="19271" spans="1:4" x14ac:dyDescent="0.25">
      <c r="A19271" t="str">
        <f>HYPERLINK("https://www.773grp.com/globalSearch/BTA208X-1000C127/page-1", "BTA208X-1000C127")</f>
        <v>BTA208X-1000C127</v>
      </c>
      <c r="B19271" s="3" t="s">
        <v>93</v>
      </c>
      <c r="C19271" s="6">
        <v>818</v>
      </c>
      <c r="D19271" s="7">
        <v>1.36</v>
      </c>
    </row>
    <row r="19272" spans="1:4" x14ac:dyDescent="0.25">
      <c r="A19272" t="str">
        <f>HYPERLINK("https://www.773grp.com/globalSearch/BYC10DX-600127/page-1", "BYC10DX-600127")</f>
        <v>BYC10DX-600127</v>
      </c>
      <c r="B19272" s="3" t="s">
        <v>93</v>
      </c>
      <c r="C19272" s="6">
        <v>4000</v>
      </c>
      <c r="D19272" s="7">
        <v>1.36</v>
      </c>
    </row>
    <row r="19273" spans="1:4" x14ac:dyDescent="0.25">
      <c r="A19273" t="str">
        <f>HYPERLINK("https://www.773grp.com/globalSearch/BYV29FX-600127/page-1", "BYV29FX-600127")</f>
        <v>BYV29FX-600127</v>
      </c>
      <c r="B19273" s="3" t="s">
        <v>93</v>
      </c>
      <c r="C19273" s="6">
        <v>4707</v>
      </c>
      <c r="D19273" s="7">
        <v>1.36</v>
      </c>
    </row>
    <row r="19274" spans="1:4" x14ac:dyDescent="0.25">
      <c r="A19274" t="str">
        <f>HYPERLINK("https://www.773grp.com/globalSearch/BYV29X-500127/page-1", "BYV29X-500127")</f>
        <v>BYV29X-500127</v>
      </c>
      <c r="B19274" s="3" t="s">
        <v>93</v>
      </c>
      <c r="C19274" s="6">
        <v>1500</v>
      </c>
      <c r="D19274" s="7">
        <v>1.36</v>
      </c>
    </row>
    <row r="19275" spans="1:4" x14ac:dyDescent="0.25">
      <c r="A19275" t="str">
        <f>HYPERLINK("https://www.773grp.com/globalSearch/BYV29X-600127/page-1", "BYV29X-600127")</f>
        <v>BYV29X-600127</v>
      </c>
      <c r="B19275" s="3" t="s">
        <v>93</v>
      </c>
      <c r="C19275" s="6">
        <v>3600</v>
      </c>
      <c r="D19275" s="7">
        <v>1.36</v>
      </c>
    </row>
    <row r="19276" spans="1:4" x14ac:dyDescent="0.25">
      <c r="A19276" t="str">
        <f>HYPERLINK("https://www.773grp.com/globalSearch/CBT3253ADS118/page-1", "CBT3253ADS118")</f>
        <v>CBT3253ADS118</v>
      </c>
      <c r="B19276" s="3" t="s">
        <v>93</v>
      </c>
      <c r="C19276" s="6">
        <v>2221</v>
      </c>
      <c r="D19276" s="7">
        <v>1.36</v>
      </c>
    </row>
    <row r="19277" spans="1:4" x14ac:dyDescent="0.25">
      <c r="A19277" t="str">
        <f>HYPERLINK("https://www.773grp.com/globalSearch/CBT3257APW112/page-1", "CBT3257APW112")</f>
        <v>CBT3257APW112</v>
      </c>
      <c r="B19277" s="3" t="s">
        <v>93</v>
      </c>
      <c r="C19277" s="6">
        <v>2400</v>
      </c>
      <c r="D19277" s="7">
        <v>1.36</v>
      </c>
    </row>
    <row r="19278" spans="1:4" x14ac:dyDescent="0.25">
      <c r="A19278" t="str">
        <f>HYPERLINK("https://www.773grp.com/globalSearch/CBT3257APW118/page-1", "CBT3257APW118")</f>
        <v>CBT3257APW118</v>
      </c>
      <c r="B19278" s="3" t="s">
        <v>93</v>
      </c>
      <c r="C19278" s="6">
        <v>2500</v>
      </c>
      <c r="D19278" s="7">
        <v>1.36</v>
      </c>
    </row>
    <row r="19279" spans="1:4" x14ac:dyDescent="0.25">
      <c r="A19279" t="str">
        <f>HYPERLINK("https://www.773grp.com/globalSearch/IP3088CX15135/page-1", "IP3088CX15135")</f>
        <v>IP3088CX15135</v>
      </c>
      <c r="B19279" s="3" t="s">
        <v>93</v>
      </c>
      <c r="C19279" s="6">
        <v>247</v>
      </c>
      <c r="D19279" s="7">
        <v>1.36</v>
      </c>
    </row>
    <row r="19280" spans="1:4" x14ac:dyDescent="0.25">
      <c r="A19280" t="str">
        <f>HYPERLINK("https://www.773grp.com/globalSearch/NX5DV330DS118/page-1", "NX5DV330DS118")</f>
        <v>NX5DV330DS118</v>
      </c>
      <c r="B19280" s="3" t="s">
        <v>93</v>
      </c>
      <c r="C19280" s="6">
        <v>52795</v>
      </c>
      <c r="D19280" s="7">
        <v>1.36</v>
      </c>
    </row>
    <row r="19281" spans="1:4" x14ac:dyDescent="0.25">
      <c r="A19281" t="str">
        <f>HYPERLINK("https://www.773grp.com/globalSearch/NX5DV715HF118/page-1", "NX5DV715HF118")</f>
        <v>NX5DV715HF118</v>
      </c>
      <c r="B19281" s="3" t="s">
        <v>93</v>
      </c>
      <c r="C19281" s="6">
        <v>260000</v>
      </c>
      <c r="D19281" s="7">
        <v>1.36</v>
      </c>
    </row>
    <row r="19282" spans="1:4" x14ac:dyDescent="0.25">
      <c r="A19282" t="str">
        <f>HYPERLINK("https://www.773grp.com/globalSearch/PBSS305NX115/page-1", "PBSS305NX115")</f>
        <v>PBSS305NX115</v>
      </c>
      <c r="B19282" s="3" t="s">
        <v>93</v>
      </c>
      <c r="C19282" s="6">
        <v>3000</v>
      </c>
      <c r="D19282" s="7">
        <v>1.36</v>
      </c>
    </row>
    <row r="19283" spans="1:4" x14ac:dyDescent="0.25">
      <c r="A19283" t="str">
        <f>HYPERLINK("https://www.773grp.com/globalSearch/PBSS305NZ135/page-1", "PBSS305NZ135")</f>
        <v>PBSS305NZ135</v>
      </c>
      <c r="B19283" s="3" t="s">
        <v>93</v>
      </c>
      <c r="C19283" s="6">
        <v>19679</v>
      </c>
      <c r="D19283" s="7">
        <v>1.36</v>
      </c>
    </row>
    <row r="19284" spans="1:4" x14ac:dyDescent="0.25">
      <c r="A19284" t="str">
        <f>HYPERLINK("https://www.773grp.com/globalSearch/PBSS305PX115/page-1", "PBSS305PX115")</f>
        <v>PBSS305PX115</v>
      </c>
      <c r="B19284" s="3" t="s">
        <v>93</v>
      </c>
      <c r="C19284" s="6">
        <v>2200</v>
      </c>
      <c r="D19284" s="7">
        <v>1.36</v>
      </c>
    </row>
    <row r="19285" spans="1:4" x14ac:dyDescent="0.25">
      <c r="A19285" t="str">
        <f>HYPERLINK("https://www.773grp.com/globalSearch/PBSS305PZ135/page-1", "PBSS305PZ135")</f>
        <v>PBSS305PZ135</v>
      </c>
      <c r="B19285" s="3" t="s">
        <v>93</v>
      </c>
      <c r="C19285" s="6">
        <v>3258</v>
      </c>
      <c r="D19285" s="7">
        <v>1.36</v>
      </c>
    </row>
    <row r="19286" spans="1:4" x14ac:dyDescent="0.25">
      <c r="A19286" t="str">
        <f>HYPERLINK("https://www.773grp.com/globalSearch/PCA9306DC1125/page-1", "PCA9306DC1125")</f>
        <v>PCA9306DC1125</v>
      </c>
      <c r="B19286" s="3" t="s">
        <v>93</v>
      </c>
      <c r="C19286" s="6">
        <v>65100</v>
      </c>
      <c r="D19286" s="7">
        <v>1.36</v>
      </c>
    </row>
    <row r="19287" spans="1:4" x14ac:dyDescent="0.25">
      <c r="A19287" t="str">
        <f>HYPERLINK("https://www.773grp.com/globalSearch/PCA9306DC125/page-1", "PCA9306DC125")</f>
        <v>PCA9306DC125</v>
      </c>
      <c r="B19287" s="3" t="s">
        <v>93</v>
      </c>
      <c r="C19287" s="6">
        <v>1034</v>
      </c>
      <c r="D19287" s="7">
        <v>1.36</v>
      </c>
    </row>
    <row r="19288" spans="1:4" x14ac:dyDescent="0.25">
      <c r="A19288" t="str">
        <f>HYPERLINK("https://www.773grp.com/globalSearch/SE97BTP547/page-1", "SE97BTP547")</f>
        <v>SE97BTP547</v>
      </c>
      <c r="B19288" s="3" t="s">
        <v>93</v>
      </c>
      <c r="C19288" s="6">
        <v>4060</v>
      </c>
      <c r="D19288" s="7">
        <v>1.36</v>
      </c>
    </row>
    <row r="19289" spans="1:4" x14ac:dyDescent="0.25">
      <c r="A19289" t="str">
        <f>HYPERLINK("https://www.773grp.com/globalSearch/74ABT162244DGG118/page-1", "74ABT162244DGG118")</f>
        <v>74ABT162244DGG118</v>
      </c>
      <c r="B19289" s="3" t="s">
        <v>93</v>
      </c>
      <c r="C19289" s="6">
        <v>4050</v>
      </c>
      <c r="D19289" s="7">
        <v>1.41</v>
      </c>
    </row>
    <row r="19290" spans="1:4" x14ac:dyDescent="0.25">
      <c r="A19290" t="str">
        <f>HYPERLINK("https://www.773grp.com/globalSearch/74AUP1G157GF132/page-1", "74AUP1G157GF132")</f>
        <v>74AUP1G157GF132</v>
      </c>
      <c r="B19290" s="3" t="s">
        <v>93</v>
      </c>
      <c r="C19290" s="6">
        <v>15300</v>
      </c>
      <c r="D19290" s="7">
        <v>1.41</v>
      </c>
    </row>
    <row r="19291" spans="1:4" x14ac:dyDescent="0.25">
      <c r="A19291" t="str">
        <f>HYPERLINK("https://www.773grp.com/globalSearch/74AUP1G158GF132/page-1", "74AUP1G158GF132")</f>
        <v>74AUP1G158GF132</v>
      </c>
      <c r="B19291" s="3" t="s">
        <v>93</v>
      </c>
      <c r="C19291" s="6">
        <v>15000</v>
      </c>
      <c r="D19291" s="7">
        <v>1.41</v>
      </c>
    </row>
    <row r="19292" spans="1:4" x14ac:dyDescent="0.25">
      <c r="A19292" t="str">
        <f>HYPERLINK("https://www.773grp.com/globalSearch/74AUP1G386GF132/page-1", "74AUP1G386GF132")</f>
        <v>74AUP1G386GF132</v>
      </c>
      <c r="B19292" s="3" t="s">
        <v>93</v>
      </c>
      <c r="C19292" s="6">
        <v>15000</v>
      </c>
      <c r="D19292" s="7">
        <v>1.41</v>
      </c>
    </row>
    <row r="19293" spans="1:4" x14ac:dyDescent="0.25">
      <c r="A19293" t="str">
        <f>HYPERLINK("https://www.773grp.com/globalSearch/74AUP1G38GF132/page-1", "74AUP1G38GF132")</f>
        <v>74AUP1G38GF132</v>
      </c>
      <c r="B19293" s="3" t="s">
        <v>93</v>
      </c>
      <c r="C19293" s="6">
        <v>85175</v>
      </c>
      <c r="D19293" s="7">
        <v>1.41</v>
      </c>
    </row>
    <row r="19294" spans="1:4" x14ac:dyDescent="0.25">
      <c r="A19294" t="str">
        <f>HYPERLINK("https://www.773grp.com/globalSearch/74AUP1G58GF132/page-1", "74AUP1G58GF132")</f>
        <v>74AUP1G58GF132</v>
      </c>
      <c r="B19294" s="3" t="s">
        <v>93</v>
      </c>
      <c r="C19294" s="6">
        <v>15270</v>
      </c>
      <c r="D19294" s="7">
        <v>1.41</v>
      </c>
    </row>
    <row r="19295" spans="1:4" x14ac:dyDescent="0.25">
      <c r="A19295" t="str">
        <f>HYPERLINK("https://www.773grp.com/globalSearch/74AUP1G97GF132/page-1", "74AUP1G97GF132")</f>
        <v>74AUP1G97GF132</v>
      </c>
      <c r="B19295" s="3" t="s">
        <v>93</v>
      </c>
      <c r="C19295" s="6">
        <v>15295</v>
      </c>
      <c r="D19295" s="7">
        <v>1.41</v>
      </c>
    </row>
    <row r="19296" spans="1:4" x14ac:dyDescent="0.25">
      <c r="A19296" t="str">
        <f>HYPERLINK("https://www.773grp.com/globalSearch/74AUP1T57GF132/page-1", "74AUP1T57GF132")</f>
        <v>74AUP1T57GF132</v>
      </c>
      <c r="B19296" s="3" t="s">
        <v>93</v>
      </c>
      <c r="C19296" s="6">
        <v>20000</v>
      </c>
      <c r="D19296" s="7">
        <v>1.41</v>
      </c>
    </row>
    <row r="19297" spans="1:4" x14ac:dyDescent="0.25">
      <c r="A19297" t="str">
        <f>HYPERLINK("https://www.773grp.com/globalSearch/74AUP1T58GF132/page-1", "74AUP1T58GF132")</f>
        <v>74AUP1T58GF132</v>
      </c>
      <c r="B19297" s="3" t="s">
        <v>93</v>
      </c>
      <c r="C19297" s="6">
        <v>20000</v>
      </c>
      <c r="D19297" s="7">
        <v>1.41</v>
      </c>
    </row>
    <row r="19298" spans="1:4" x14ac:dyDescent="0.25">
      <c r="A19298" t="str">
        <f>HYPERLINK("https://www.773grp.com/globalSearch/74AUP1T98GF132/page-1", "74AUP1T98GF132")</f>
        <v>74AUP1T98GF132</v>
      </c>
      <c r="B19298" s="3" t="s">
        <v>93</v>
      </c>
      <c r="C19298" s="6">
        <v>20300</v>
      </c>
      <c r="D19298" s="7">
        <v>1.41</v>
      </c>
    </row>
    <row r="19299" spans="1:4" x14ac:dyDescent="0.25">
      <c r="A19299" t="str">
        <f>HYPERLINK("https://www.773grp.com/globalSearch/74AUP2G34GF132/page-1", "74AUP2G34GF132")</f>
        <v>74AUP2G34GF132</v>
      </c>
      <c r="B19299" s="3" t="s">
        <v>93</v>
      </c>
      <c r="C19299" s="6">
        <v>15000</v>
      </c>
      <c r="D19299" s="7">
        <v>1.41</v>
      </c>
    </row>
    <row r="19300" spans="1:4" x14ac:dyDescent="0.25">
      <c r="A19300" t="str">
        <f>HYPERLINK("https://www.773grp.com/globalSearch/74AUP2GU04GF132/page-1", "74AUP2GU04GF132")</f>
        <v>74AUP2GU04GF132</v>
      </c>
      <c r="B19300" s="3" t="s">
        <v>93</v>
      </c>
      <c r="C19300" s="6">
        <v>15000</v>
      </c>
      <c r="D19300" s="7">
        <v>1.41</v>
      </c>
    </row>
    <row r="19301" spans="1:4" x14ac:dyDescent="0.25">
      <c r="A19301" t="str">
        <f>HYPERLINK("https://www.773grp.com/globalSearch/74HC273BQ115/page-1", "74HC273BQ115")</f>
        <v>74HC273BQ115</v>
      </c>
      <c r="B19301" s="3" t="s">
        <v>93</v>
      </c>
      <c r="C19301" s="6">
        <v>2375</v>
      </c>
      <c r="D19301" s="7">
        <v>1.41</v>
      </c>
    </row>
    <row r="19302" spans="1:4" x14ac:dyDescent="0.25">
      <c r="A19302" t="str">
        <f>HYPERLINK("https://www.773grp.com/globalSearch/74HC4017DB112/page-1", "74HC4017DB112")</f>
        <v>74HC4017DB112</v>
      </c>
      <c r="B19302" s="3" t="s">
        <v>93</v>
      </c>
      <c r="C19302" s="6">
        <v>846</v>
      </c>
      <c r="D19302" s="7">
        <v>1.41</v>
      </c>
    </row>
    <row r="19303" spans="1:4" x14ac:dyDescent="0.25">
      <c r="A19303" t="str">
        <f>HYPERLINK("https://www.773grp.com/globalSearch/74HC4017DB118/page-1", "74HC4017DB118")</f>
        <v>74HC4017DB118</v>
      </c>
      <c r="B19303" s="3" t="s">
        <v>93</v>
      </c>
      <c r="C19303" s="6">
        <v>134</v>
      </c>
      <c r="D19303" s="7">
        <v>1.41</v>
      </c>
    </row>
    <row r="19304" spans="1:4" x14ac:dyDescent="0.25">
      <c r="A19304" t="str">
        <f>HYPERLINK("https://www.773grp.com/globalSearch/74HC4067D652/page-1", "74HC4067D652")</f>
        <v>74HC4067D652</v>
      </c>
      <c r="B19304" s="3" t="s">
        <v>93</v>
      </c>
      <c r="C19304" s="6">
        <v>531</v>
      </c>
      <c r="D19304" s="7">
        <v>1.41</v>
      </c>
    </row>
    <row r="19305" spans="1:4" x14ac:dyDescent="0.25">
      <c r="A19305" t="str">
        <f>HYPERLINK("https://www.773grp.com/globalSearch/74HC4067DB112/page-1", "74HC4067DB112")</f>
        <v>74HC4067DB112</v>
      </c>
      <c r="B19305" s="3" t="s">
        <v>93</v>
      </c>
      <c r="C19305" s="6">
        <v>1652</v>
      </c>
      <c r="D19305" s="7">
        <v>1.41</v>
      </c>
    </row>
    <row r="19306" spans="1:4" x14ac:dyDescent="0.25">
      <c r="A19306" t="str">
        <f>HYPERLINK("https://www.773grp.com/globalSearch/74HC4067DB118/page-1", "74HC4067DB118")</f>
        <v>74HC4067DB118</v>
      </c>
      <c r="B19306" s="3" t="s">
        <v>93</v>
      </c>
      <c r="C19306" s="6">
        <v>270000</v>
      </c>
      <c r="D19306" s="7">
        <v>1.41</v>
      </c>
    </row>
    <row r="19307" spans="1:4" x14ac:dyDescent="0.25">
      <c r="A19307" t="str">
        <f>HYPERLINK("https://www.773grp.com/globalSearch/74HCT164DB112/page-1", "74HCT164DB112")</f>
        <v>74HCT164DB112</v>
      </c>
      <c r="B19307" s="3" t="s">
        <v>93</v>
      </c>
      <c r="C19307" s="6">
        <v>682</v>
      </c>
      <c r="D19307" s="7">
        <v>1.41</v>
      </c>
    </row>
    <row r="19308" spans="1:4" x14ac:dyDescent="0.25">
      <c r="A19308" t="str">
        <f>HYPERLINK("https://www.773grp.com/globalSearch/74HCT640D652/page-1", "74HCT640D652")</f>
        <v>74HCT640D652</v>
      </c>
      <c r="B19308" s="3" t="s">
        <v>93</v>
      </c>
      <c r="C19308" s="6">
        <v>1520</v>
      </c>
      <c r="D19308" s="7">
        <v>1.41</v>
      </c>
    </row>
    <row r="19309" spans="1:4" x14ac:dyDescent="0.25">
      <c r="A19309" t="str">
        <f>HYPERLINK("https://www.773grp.com/globalSearch/74HCT640D653/page-1", "74HCT640D653")</f>
        <v>74HCT640D653</v>
      </c>
      <c r="B19309" s="3" t="s">
        <v>93</v>
      </c>
      <c r="C19309" s="6">
        <v>8000</v>
      </c>
      <c r="D19309" s="7">
        <v>1.41</v>
      </c>
    </row>
    <row r="19310" spans="1:4" x14ac:dyDescent="0.25">
      <c r="A19310" t="str">
        <f>HYPERLINK("https://www.773grp.com/globalSearch/74LV241D112/page-1", "74LV241D112")</f>
        <v>74LV241D112</v>
      </c>
      <c r="B19310" s="3" t="s">
        <v>93</v>
      </c>
      <c r="C19310" s="6">
        <v>2520</v>
      </c>
      <c r="D19310" s="7">
        <v>1.41</v>
      </c>
    </row>
    <row r="19311" spans="1:4" x14ac:dyDescent="0.25">
      <c r="A19311" t="str">
        <f>HYPERLINK("https://www.773grp.com/globalSearch/74LV241DB112/page-1", "74LV241DB112")</f>
        <v>74LV241DB112</v>
      </c>
      <c r="B19311" s="3" t="s">
        <v>93</v>
      </c>
      <c r="C19311" s="6">
        <v>1848</v>
      </c>
      <c r="D19311" s="7">
        <v>1.41</v>
      </c>
    </row>
    <row r="19312" spans="1:4" x14ac:dyDescent="0.25">
      <c r="A19312" t="str">
        <f>HYPERLINK("https://www.773grp.com/globalSearch/74LV393D118/page-1", "74LV393D118")</f>
        <v>74LV393D118</v>
      </c>
      <c r="B19312" s="3" t="s">
        <v>93</v>
      </c>
      <c r="C19312" s="6">
        <v>2500</v>
      </c>
      <c r="D19312" s="7">
        <v>1.41</v>
      </c>
    </row>
    <row r="19313" spans="1:4" x14ac:dyDescent="0.25">
      <c r="A19313" t="str">
        <f>HYPERLINK("https://www.773grp.com/globalSearch/74LVC162244ADL118/page-1", "74LVC162244ADL118")</f>
        <v>74LVC162244ADL118</v>
      </c>
      <c r="B19313" s="3" t="s">
        <v>93</v>
      </c>
      <c r="C19313" s="6">
        <v>2000</v>
      </c>
      <c r="D19313" s="7">
        <v>1.41</v>
      </c>
    </row>
    <row r="19314" spans="1:4" x14ac:dyDescent="0.25">
      <c r="A19314" t="str">
        <f>HYPERLINK("https://www.773grp.com/globalSearch/74LVC16244ADL112/page-1", "74LVC16244ADL112")</f>
        <v>74LVC16244ADL112</v>
      </c>
      <c r="B19314" s="3" t="s">
        <v>93</v>
      </c>
      <c r="C19314" s="6">
        <v>1581</v>
      </c>
      <c r="D19314" s="7">
        <v>1.41</v>
      </c>
    </row>
    <row r="19315" spans="1:4" x14ac:dyDescent="0.25">
      <c r="A19315" t="str">
        <f>HYPERLINK("https://www.773grp.com/globalSearch/74LVC16244ADL118/page-1", "74LVC16244ADL118")</f>
        <v>74LVC16244ADL118</v>
      </c>
      <c r="B19315" s="3" t="s">
        <v>93</v>
      </c>
      <c r="C19315" s="6">
        <v>5501</v>
      </c>
      <c r="D19315" s="7">
        <v>1.41</v>
      </c>
    </row>
    <row r="19316" spans="1:4" x14ac:dyDescent="0.25">
      <c r="A19316" t="str">
        <f>HYPERLINK("https://www.773grp.com/globalSearch/74LVC1G34GF132/page-1", "74LVC1G34GF132")</f>
        <v>74LVC1G34GF132</v>
      </c>
      <c r="B19316" s="3" t="s">
        <v>93</v>
      </c>
      <c r="C19316" s="6">
        <v>15000</v>
      </c>
      <c r="D19316" s="7">
        <v>1.41</v>
      </c>
    </row>
    <row r="19317" spans="1:4" x14ac:dyDescent="0.25">
      <c r="A19317" t="str">
        <f>HYPERLINK("https://www.773grp.com/globalSearch/74LVC1G79GF132/page-1", "74LVC1G79GF132")</f>
        <v>74LVC1G79GF132</v>
      </c>
      <c r="B19317" s="3" t="s">
        <v>93</v>
      </c>
      <c r="C19317" s="6">
        <v>10000</v>
      </c>
      <c r="D19317" s="7">
        <v>1.41</v>
      </c>
    </row>
    <row r="19318" spans="1:4" x14ac:dyDescent="0.25">
      <c r="A19318" t="str">
        <f>HYPERLINK("https://www.773grp.com/globalSearch/74LVCH16245ADGG11/page-1", "74LVCH16245ADGG11")</f>
        <v>74LVCH16245ADGG11</v>
      </c>
      <c r="B19318" s="3" t="s">
        <v>93</v>
      </c>
      <c r="C19318" s="6">
        <v>437</v>
      </c>
      <c r="D19318" s="7">
        <v>1.41</v>
      </c>
    </row>
    <row r="19319" spans="1:4" x14ac:dyDescent="0.25">
      <c r="A19319" t="str">
        <f>HYPERLINK("https://www.773grp.com/globalSearch/ACTT6B-800E118/page-1", "ACTT6B-800E118")</f>
        <v>ACTT6B-800E118</v>
      </c>
      <c r="B19319" s="3" t="s">
        <v>93</v>
      </c>
      <c r="C19319" s="6">
        <v>800</v>
      </c>
      <c r="D19319" s="7">
        <v>1.41</v>
      </c>
    </row>
    <row r="19320" spans="1:4" x14ac:dyDescent="0.25">
      <c r="A19320" t="str">
        <f>HYPERLINK("https://www.773grp.com/globalSearch/BFG21W115/page-1", "BFG21W115")</f>
        <v>BFG21W115</v>
      </c>
      <c r="B19320" s="3" t="s">
        <v>93</v>
      </c>
      <c r="C19320" s="6">
        <v>21000</v>
      </c>
      <c r="D19320" s="7">
        <v>1.41</v>
      </c>
    </row>
    <row r="19321" spans="1:4" x14ac:dyDescent="0.25">
      <c r="A19321" t="str">
        <f>HYPERLINK("https://www.773grp.com/globalSearch/BGA2022115/page-1", "BGA2022115")</f>
        <v>BGA2022115</v>
      </c>
      <c r="B19321" s="3" t="s">
        <v>93</v>
      </c>
      <c r="C19321" s="6">
        <v>3064</v>
      </c>
      <c r="D19321" s="7">
        <v>1.41</v>
      </c>
    </row>
    <row r="19322" spans="1:4" x14ac:dyDescent="0.25">
      <c r="A19322" t="str">
        <f>HYPERLINK("https://www.773grp.com/globalSearch/BT139-600127/page-1", "BT139-600127")</f>
        <v>BT139-600127</v>
      </c>
      <c r="B19322" s="3" t="s">
        <v>93</v>
      </c>
      <c r="C19322" s="6">
        <v>7029</v>
      </c>
      <c r="D19322" s="7">
        <v>1.41</v>
      </c>
    </row>
    <row r="19323" spans="1:4" x14ac:dyDescent="0.25">
      <c r="A19323" t="str">
        <f>HYPERLINK("https://www.773grp.com/globalSearch/BT139-600E127/page-1", "BT139-600E127")</f>
        <v>BT139-600E127</v>
      </c>
      <c r="B19323" s="3" t="s">
        <v>93</v>
      </c>
      <c r="C19323" s="6">
        <v>3275</v>
      </c>
      <c r="D19323" s="7">
        <v>1.41</v>
      </c>
    </row>
    <row r="19324" spans="1:4" x14ac:dyDescent="0.25">
      <c r="A19324" t="str">
        <f>HYPERLINK("https://www.773grp.com/globalSearch/BT139X-600E127/page-1", "BT139X-600E127")</f>
        <v>BT139X-600E127</v>
      </c>
      <c r="B19324" s="3" t="s">
        <v>93</v>
      </c>
      <c r="C19324" s="6">
        <v>82</v>
      </c>
      <c r="D19324" s="7">
        <v>1.41</v>
      </c>
    </row>
    <row r="19325" spans="1:4" x14ac:dyDescent="0.25">
      <c r="A19325" t="str">
        <f>HYPERLINK("https://www.773grp.com/globalSearch/BT258X-600R127/page-1", "BT258X-600R127")</f>
        <v>BT258X-600R127</v>
      </c>
      <c r="B19325" s="3" t="s">
        <v>93</v>
      </c>
      <c r="C19325" s="6">
        <v>2023</v>
      </c>
      <c r="D19325" s="7">
        <v>1.41</v>
      </c>
    </row>
    <row r="19326" spans="1:4" x14ac:dyDescent="0.25">
      <c r="A19326" t="str">
        <f>HYPERLINK("https://www.773grp.com/globalSearch/BT258X-800R127/page-1", "BT258X-800R127")</f>
        <v>BT258X-800R127</v>
      </c>
      <c r="B19326" s="3" t="s">
        <v>93</v>
      </c>
      <c r="C19326" s="6">
        <v>3232</v>
      </c>
      <c r="D19326" s="7">
        <v>1.41</v>
      </c>
    </row>
    <row r="19327" spans="1:4" x14ac:dyDescent="0.25">
      <c r="A19327" t="str">
        <f>HYPERLINK("https://www.773grp.com/globalSearch/BUK9230-55A118/page-1", "BUK9230-55A118")</f>
        <v>BUK9230-55A118</v>
      </c>
      <c r="B19327" s="3" t="s">
        <v>93</v>
      </c>
      <c r="C19327" s="6">
        <v>43</v>
      </c>
      <c r="D19327" s="7">
        <v>1.41</v>
      </c>
    </row>
    <row r="19328" spans="1:4" x14ac:dyDescent="0.25">
      <c r="A19328" t="str">
        <f>HYPERLINK("https://www.773grp.com/globalSearch/BUK9275-100A118/page-1", "BUK9275-100A118")</f>
        <v>BUK9275-100A118</v>
      </c>
      <c r="B19328" s="3" t="s">
        <v>93</v>
      </c>
      <c r="C19328" s="6">
        <v>2500</v>
      </c>
      <c r="D19328" s="7">
        <v>1.41</v>
      </c>
    </row>
    <row r="19329" spans="1:4" x14ac:dyDescent="0.25">
      <c r="A19329" t="str">
        <f>HYPERLINK("https://www.773grp.com/globalSearch/BYQ30E-200127/page-1", "BYQ30E-200127")</f>
        <v>BYQ30E-200127</v>
      </c>
      <c r="B19329" s="3" t="s">
        <v>93</v>
      </c>
      <c r="C19329" s="6">
        <v>13122</v>
      </c>
      <c r="D19329" s="7">
        <v>1.41</v>
      </c>
    </row>
    <row r="19330" spans="1:4" x14ac:dyDescent="0.25">
      <c r="A19330" t="str">
        <f>HYPERLINK("https://www.773grp.com/globalSearch/BYV25G-600127/page-1", "BYV25G-600127")</f>
        <v>BYV25G-600127</v>
      </c>
      <c r="B19330" s="3" t="s">
        <v>93</v>
      </c>
      <c r="C19330" s="6">
        <v>939</v>
      </c>
      <c r="D19330" s="7">
        <v>1.41</v>
      </c>
    </row>
    <row r="19331" spans="1:4" x14ac:dyDescent="0.25">
      <c r="A19331" t="str">
        <f>HYPERLINK("https://www.773grp.com/globalSearch/N74F280BN602/page-1", "N74F280BN602")</f>
        <v>N74F280BN602</v>
      </c>
      <c r="B19331" s="3" t="s">
        <v>93</v>
      </c>
      <c r="C19331" s="6">
        <v>150</v>
      </c>
      <c r="D19331" s="7">
        <v>1.41</v>
      </c>
    </row>
    <row r="19332" spans="1:4" x14ac:dyDescent="0.25">
      <c r="A19332" t="str">
        <f>HYPERLINK("https://www.773grp.com/globalSearch/N74F283N602/page-1", "N74F283N602")</f>
        <v>N74F283N602</v>
      </c>
      <c r="B19332" s="3" t="s">
        <v>93</v>
      </c>
      <c r="C19332" s="6">
        <v>830</v>
      </c>
      <c r="D19332" s="7">
        <v>1.41</v>
      </c>
    </row>
    <row r="19333" spans="1:4" x14ac:dyDescent="0.25">
      <c r="A19333" t="str">
        <f>HYPERLINK("https://www.773grp.com/globalSearch/N74F534D602/page-1", "N74F534D602")</f>
        <v>N74F534D602</v>
      </c>
      <c r="B19333" s="3" t="s">
        <v>93</v>
      </c>
      <c r="C19333" s="6">
        <v>1240</v>
      </c>
      <c r="D19333" s="7">
        <v>1.41</v>
      </c>
    </row>
    <row r="19334" spans="1:4" x14ac:dyDescent="0.25">
      <c r="A19334" t="str">
        <f>HYPERLINK("https://www.773grp.com/globalSearch/NTB0104BQ115/page-1", "NTB0104BQ115")</f>
        <v>NTB0104BQ115</v>
      </c>
      <c r="B19334" s="3" t="s">
        <v>93</v>
      </c>
      <c r="C19334" s="6">
        <v>85</v>
      </c>
      <c r="D19334" s="7">
        <v>1.41</v>
      </c>
    </row>
    <row r="19335" spans="1:4" x14ac:dyDescent="0.25">
      <c r="A19335" t="str">
        <f>HYPERLINK("https://www.773grp.com/globalSearch/NTB0104GU12115/page-1", "NTB0104GU12115")</f>
        <v>NTB0104GU12115</v>
      </c>
      <c r="B19335" s="3" t="s">
        <v>93</v>
      </c>
      <c r="C19335" s="6">
        <v>56000</v>
      </c>
      <c r="D19335" s="7">
        <v>1.41</v>
      </c>
    </row>
    <row r="19336" spans="1:4" x14ac:dyDescent="0.25">
      <c r="A19336" t="str">
        <f>HYPERLINK("https://www.773grp.com/globalSearch/NVT2008PW118/page-1", "NVT2008PW118")</f>
        <v>NVT2008PW118</v>
      </c>
      <c r="B19336" s="3" t="s">
        <v>93</v>
      </c>
      <c r="C19336" s="6">
        <v>2500</v>
      </c>
      <c r="D19336" s="7">
        <v>1.41</v>
      </c>
    </row>
    <row r="19337" spans="1:4" x14ac:dyDescent="0.25">
      <c r="A19337" t="str">
        <f>HYPERLINK("https://www.773grp.com/globalSearch/PDI1284P11DGG118/page-1", "PDI1284P11DGG118")</f>
        <v>PDI1284P11DGG118</v>
      </c>
      <c r="B19337" s="3" t="s">
        <v>93</v>
      </c>
      <c r="C19337" s="6">
        <v>113</v>
      </c>
      <c r="D19337" s="7">
        <v>1.41</v>
      </c>
    </row>
    <row r="19338" spans="1:4" x14ac:dyDescent="0.25">
      <c r="A19338" t="str">
        <f>HYPERLINK("https://www.773grp.com/globalSearch/PHN203518/page-1", "PHN203518")</f>
        <v>PHN203518</v>
      </c>
      <c r="B19338" s="3" t="s">
        <v>93</v>
      </c>
      <c r="C19338" s="6">
        <v>7500</v>
      </c>
      <c r="D19338" s="7">
        <v>1.41</v>
      </c>
    </row>
    <row r="19339" spans="1:4" x14ac:dyDescent="0.25">
      <c r="A19339" t="str">
        <f>HYPERLINK("https://www.773grp.com/globalSearch/PHP225118/page-1", "PHP225118")</f>
        <v>PHP225118</v>
      </c>
      <c r="B19339" s="3" t="s">
        <v>93</v>
      </c>
      <c r="C19339" s="6">
        <v>5000</v>
      </c>
      <c r="D19339" s="7">
        <v>1.41</v>
      </c>
    </row>
    <row r="19340" spans="1:4" x14ac:dyDescent="0.25">
      <c r="A19340" t="str">
        <f>HYPERLINK("https://www.773grp.com/globalSearch/PSMN050-80PS127/page-1", "PSMN050-80PS127")</f>
        <v>PSMN050-80PS127</v>
      </c>
      <c r="B19340" s="3" t="s">
        <v>93</v>
      </c>
      <c r="C19340" s="6">
        <v>7004</v>
      </c>
      <c r="D19340" s="7">
        <v>1.41</v>
      </c>
    </row>
    <row r="19341" spans="1:4" x14ac:dyDescent="0.25">
      <c r="A19341" t="str">
        <f>HYPERLINK("https://www.773grp.com/globalSearch/SA58672UK027/page-1", "SA58672UK027")</f>
        <v>SA58672UK027</v>
      </c>
      <c r="B19341" s="3" t="s">
        <v>93</v>
      </c>
      <c r="C19341" s="6">
        <v>6000</v>
      </c>
      <c r="D19341" s="7">
        <v>1.41</v>
      </c>
    </row>
    <row r="19342" spans="1:4" x14ac:dyDescent="0.25">
      <c r="A19342" t="str">
        <f>HYPERLINK("https://www.773grp.com/globalSearch/SI4410DY518/page-1", "SI4410DY518")</f>
        <v>SI4410DY518</v>
      </c>
      <c r="B19342" s="3" t="s">
        <v>93</v>
      </c>
      <c r="C19342" s="6">
        <v>12500</v>
      </c>
      <c r="D19342" s="7">
        <v>1.41</v>
      </c>
    </row>
    <row r="19343" spans="1:4" x14ac:dyDescent="0.25">
      <c r="A19343" t="str">
        <f>HYPERLINK("https://www.773grp.com/globalSearch/TDA8034T-C1118/page-1", "TDA8034T-C1118")</f>
        <v>TDA8034T-C1118</v>
      </c>
      <c r="B19343" s="3" t="s">
        <v>93</v>
      </c>
      <c r="C19343" s="6">
        <v>2533</v>
      </c>
      <c r="D19343" s="7">
        <v>1.41</v>
      </c>
    </row>
    <row r="19344" spans="1:4" x14ac:dyDescent="0.25">
      <c r="A19344" t="str">
        <f>HYPERLINK("https://www.773grp.com/globalSearch/TEA1791T-N1118/page-1", "TEA1791T-N1118")</f>
        <v>TEA1791T-N1118</v>
      </c>
      <c r="B19344" s="3" t="s">
        <v>93</v>
      </c>
      <c r="C19344" s="6">
        <v>5000</v>
      </c>
      <c r="D19344" s="7">
        <v>1.41</v>
      </c>
    </row>
    <row r="19345" spans="1:4" x14ac:dyDescent="0.25">
      <c r="A19345" t="str">
        <f>HYPERLINK("https://www.773grp.com/globalSearch/TJA1027T-20118/page-1", "TJA1027T-20118")</f>
        <v>TJA1027T-20118</v>
      </c>
      <c r="B19345" s="3" t="s">
        <v>93</v>
      </c>
      <c r="C19345" s="6">
        <v>6621</v>
      </c>
      <c r="D19345" s="7">
        <v>1.41</v>
      </c>
    </row>
    <row r="19346" spans="1:4" x14ac:dyDescent="0.25">
      <c r="A19346" t="str">
        <f>HYPERLINK("https://www.773grp.com/globalSearch/74AUP1T97GN132/page-1", "74AUP1T97GN132")</f>
        <v>74AUP1T97GN132</v>
      </c>
      <c r="B19346" s="3" t="s">
        <v>93</v>
      </c>
      <c r="C19346" s="6">
        <v>300</v>
      </c>
      <c r="D19346" s="7">
        <v>1.49</v>
      </c>
    </row>
    <row r="19347" spans="1:4" x14ac:dyDescent="0.25">
      <c r="A19347" t="str">
        <f>HYPERLINK("https://www.773grp.com/globalSearch/74HC594D112/page-1", "74HC594D112")</f>
        <v>74HC594D112</v>
      </c>
      <c r="B19347" s="3" t="s">
        <v>93</v>
      </c>
      <c r="C19347" s="6">
        <v>1000</v>
      </c>
      <c r="D19347" s="7">
        <v>1.49</v>
      </c>
    </row>
    <row r="19348" spans="1:4" x14ac:dyDescent="0.25">
      <c r="A19348" t="str">
        <f>HYPERLINK("https://www.773grp.com/globalSearch/74HC594D118/page-1", "74HC594D118")</f>
        <v>74HC594D118</v>
      </c>
      <c r="B19348" s="3" t="s">
        <v>93</v>
      </c>
      <c r="C19348" s="6">
        <v>42500</v>
      </c>
      <c r="D19348" s="7">
        <v>1.49</v>
      </c>
    </row>
    <row r="19349" spans="1:4" x14ac:dyDescent="0.25">
      <c r="A19349" t="str">
        <f>HYPERLINK("https://www.773grp.com/globalSearch/74HCT154D652/page-1", "74HCT154D652")</f>
        <v>74HCT154D652</v>
      </c>
      <c r="B19349" s="3" t="s">
        <v>93</v>
      </c>
      <c r="C19349" s="6">
        <v>3101</v>
      </c>
      <c r="D19349" s="7">
        <v>1.49</v>
      </c>
    </row>
    <row r="19350" spans="1:4" x14ac:dyDescent="0.25">
      <c r="A19350" t="str">
        <f>HYPERLINK("https://www.773grp.com/globalSearch/74HCT154D653/page-1", "74HCT154D653")</f>
        <v>74HCT154D653</v>
      </c>
      <c r="B19350" s="3" t="s">
        <v>93</v>
      </c>
      <c r="C19350" s="6">
        <v>6000</v>
      </c>
      <c r="D19350" s="7">
        <v>1.49</v>
      </c>
    </row>
    <row r="19351" spans="1:4" x14ac:dyDescent="0.25">
      <c r="A19351" t="str">
        <f>HYPERLINK("https://www.773grp.com/globalSearch/74HCT540DB112/page-1", "74HCT540DB112")</f>
        <v>74HCT540DB112</v>
      </c>
      <c r="B19351" s="3" t="s">
        <v>93</v>
      </c>
      <c r="C19351" s="6">
        <v>8316</v>
      </c>
      <c r="D19351" s="7">
        <v>1.49</v>
      </c>
    </row>
    <row r="19352" spans="1:4" x14ac:dyDescent="0.25">
      <c r="A19352" t="str">
        <f>HYPERLINK("https://www.773grp.com/globalSearch/74LVC16245ADL112/page-1", "74LVC16245ADL112")</f>
        <v>74LVC16245ADL112</v>
      </c>
      <c r="B19352" s="3" t="s">
        <v>93</v>
      </c>
      <c r="C19352" s="6">
        <v>378</v>
      </c>
      <c r="D19352" s="7">
        <v>1.49</v>
      </c>
    </row>
    <row r="19353" spans="1:4" x14ac:dyDescent="0.25">
      <c r="A19353" t="str">
        <f>HYPERLINK("https://www.773grp.com/globalSearch/74LVC16245ADL118/page-1", "74LVC16245ADL118")</f>
        <v>74LVC16245ADL118</v>
      </c>
      <c r="B19353" s="3" t="s">
        <v>93</v>
      </c>
      <c r="C19353" s="6">
        <v>4000</v>
      </c>
      <c r="D19353" s="7">
        <v>1.49</v>
      </c>
    </row>
    <row r="19354" spans="1:4" x14ac:dyDescent="0.25">
      <c r="A19354" t="str">
        <f>HYPERLINK("https://www.773grp.com/globalSearch/74LVC821AD118/page-1", "74LVC821AD118")</f>
        <v>74LVC821AD118</v>
      </c>
      <c r="B19354" s="3" t="s">
        <v>93</v>
      </c>
      <c r="C19354" s="6">
        <v>2000</v>
      </c>
      <c r="D19354" s="7">
        <v>1.49</v>
      </c>
    </row>
    <row r="19355" spans="1:4" x14ac:dyDescent="0.25">
      <c r="A19355" t="str">
        <f>HYPERLINK("https://www.773grp.com/globalSearch/74LVC823ADB118/page-1", "74LVC823ADB118")</f>
        <v>74LVC823ADB118</v>
      </c>
      <c r="B19355" s="3" t="s">
        <v>93</v>
      </c>
      <c r="C19355" s="6">
        <v>2000</v>
      </c>
      <c r="D19355" s="7">
        <v>1.49</v>
      </c>
    </row>
    <row r="19356" spans="1:4" x14ac:dyDescent="0.25">
      <c r="A19356" t="str">
        <f>HYPERLINK("https://www.773grp.com/globalSearch/74LVCH16245ADL112/page-1", "74LVCH16245ADL112")</f>
        <v>74LVCH16245ADL112</v>
      </c>
      <c r="B19356" s="3" t="s">
        <v>93</v>
      </c>
      <c r="C19356" s="6">
        <v>2914</v>
      </c>
      <c r="D19356" s="7">
        <v>1.49</v>
      </c>
    </row>
    <row r="19357" spans="1:4" x14ac:dyDescent="0.25">
      <c r="A19357" t="str">
        <f>HYPERLINK("https://www.773grp.com/globalSearch/74LVCH16245ADL118/page-1", "74LVCH16245ADL118")</f>
        <v>74LVCH16245ADL118</v>
      </c>
      <c r="B19357" s="3" t="s">
        <v>93</v>
      </c>
      <c r="C19357" s="6">
        <v>2366</v>
      </c>
      <c r="D19357" s="7">
        <v>1.49</v>
      </c>
    </row>
    <row r="19358" spans="1:4" x14ac:dyDescent="0.25">
      <c r="A19358" t="str">
        <f>HYPERLINK("https://www.773grp.com/globalSearch/74LVT2244PW112/page-1", "74LVT2244PW112")</f>
        <v>74LVT2244PW112</v>
      </c>
      <c r="B19358" s="3" t="s">
        <v>93</v>
      </c>
      <c r="C19358" s="6">
        <v>2613</v>
      </c>
      <c r="D19358" s="7">
        <v>1.49</v>
      </c>
    </row>
    <row r="19359" spans="1:4" x14ac:dyDescent="0.25">
      <c r="A19359" t="str">
        <f>HYPERLINK("https://www.773grp.com/globalSearch/74LVT2244PW118/page-1", "74LVT2244PW118")</f>
        <v>74LVT2244PW118</v>
      </c>
      <c r="B19359" s="3" t="s">
        <v>93</v>
      </c>
      <c r="C19359" s="6">
        <v>5505</v>
      </c>
      <c r="D19359" s="7">
        <v>1.49</v>
      </c>
    </row>
    <row r="19360" spans="1:4" x14ac:dyDescent="0.25">
      <c r="A19360" t="str">
        <f>HYPERLINK("https://www.773grp.com/globalSearch/74LVT2245DB118/page-1", "74LVT2245DB118")</f>
        <v>74LVT2245DB118</v>
      </c>
      <c r="B19360" s="3" t="s">
        <v>93</v>
      </c>
      <c r="C19360" s="6">
        <v>800</v>
      </c>
      <c r="D19360" s="7">
        <v>1.49</v>
      </c>
    </row>
    <row r="19361" spans="1:4" x14ac:dyDescent="0.25">
      <c r="A19361" t="str">
        <f>HYPERLINK("https://www.773grp.com/globalSearch/BFQ591115/page-1", "BFQ591115")</f>
        <v>BFQ591115</v>
      </c>
      <c r="B19361" s="3" t="s">
        <v>93</v>
      </c>
      <c r="C19361" s="6">
        <v>2000</v>
      </c>
      <c r="D19361" s="7">
        <v>1.49</v>
      </c>
    </row>
    <row r="19362" spans="1:4" x14ac:dyDescent="0.25">
      <c r="A19362" t="str">
        <f>HYPERLINK("https://www.773grp.com/globalSearch/BSP110115/page-1", "BSP110115")</f>
        <v>BSP110115</v>
      </c>
      <c r="B19362" s="3" t="s">
        <v>93</v>
      </c>
      <c r="C19362" s="6">
        <v>9000</v>
      </c>
      <c r="D19362" s="7">
        <v>1.49</v>
      </c>
    </row>
    <row r="19363" spans="1:4" x14ac:dyDescent="0.25">
      <c r="A19363" t="str">
        <f>HYPERLINK("https://www.773grp.com/globalSearch/BT138-600E127/page-1", "BT138-600E127")</f>
        <v>BT138-600E127</v>
      </c>
      <c r="B19363" s="3" t="s">
        <v>93</v>
      </c>
      <c r="C19363" s="6">
        <v>5458</v>
      </c>
      <c r="D19363" s="7">
        <v>1.49</v>
      </c>
    </row>
    <row r="19364" spans="1:4" x14ac:dyDescent="0.25">
      <c r="A19364" t="str">
        <f>HYPERLINK("https://www.773grp.com/globalSearch/BT138-800127/page-1", "BT138-800127")</f>
        <v>BT138-800127</v>
      </c>
      <c r="B19364" s="3" t="s">
        <v>93</v>
      </c>
      <c r="C19364" s="6">
        <v>12000</v>
      </c>
      <c r="D19364" s="7">
        <v>1.49</v>
      </c>
    </row>
    <row r="19365" spans="1:4" x14ac:dyDescent="0.25">
      <c r="A19365" t="str">
        <f>HYPERLINK("https://www.773grp.com/globalSearch/BT138-800E127/page-1", "BT138-800E127")</f>
        <v>BT138-800E127</v>
      </c>
      <c r="B19365" s="3" t="s">
        <v>93</v>
      </c>
      <c r="C19365" s="6">
        <v>20</v>
      </c>
      <c r="D19365" s="7">
        <v>1.49</v>
      </c>
    </row>
    <row r="19366" spans="1:4" x14ac:dyDescent="0.25">
      <c r="A19366" t="str">
        <f>HYPERLINK("https://www.773grp.com/globalSearch/BT138X-600127/page-1", "BT138X-600127")</f>
        <v>BT138X-600127</v>
      </c>
      <c r="B19366" s="3" t="s">
        <v>93</v>
      </c>
      <c r="C19366" s="6">
        <v>4590</v>
      </c>
      <c r="D19366" s="7">
        <v>1.49</v>
      </c>
    </row>
    <row r="19367" spans="1:4" x14ac:dyDescent="0.25">
      <c r="A19367" t="str">
        <f>HYPERLINK("https://www.773grp.com/globalSearch/BT138X-600E127/page-1", "BT138X-600E127")</f>
        <v>BT138X-600E127</v>
      </c>
      <c r="B19367" s="3" t="s">
        <v>93</v>
      </c>
      <c r="C19367" s="6">
        <v>1750</v>
      </c>
      <c r="D19367" s="7">
        <v>1.49</v>
      </c>
    </row>
    <row r="19368" spans="1:4" x14ac:dyDescent="0.25">
      <c r="A19368" t="str">
        <f>HYPERLINK("https://www.773grp.com/globalSearch/BT138X-600G127/page-1", "BT138X-600G127")</f>
        <v>BT138X-600G127</v>
      </c>
      <c r="B19368" s="3" t="s">
        <v>93</v>
      </c>
      <c r="C19368" s="6">
        <v>90</v>
      </c>
      <c r="D19368" s="7">
        <v>1.49</v>
      </c>
    </row>
    <row r="19369" spans="1:4" x14ac:dyDescent="0.25">
      <c r="A19369" t="str">
        <f>HYPERLINK("https://www.773grp.com/globalSearch/BT138X-800F127/page-1", "BT138X-800F127")</f>
        <v>BT138X-800F127</v>
      </c>
      <c r="B19369" s="3" t="s">
        <v>93</v>
      </c>
      <c r="C19369" s="6">
        <v>50</v>
      </c>
      <c r="D19369" s="7">
        <v>1.49</v>
      </c>
    </row>
    <row r="19370" spans="1:4" x14ac:dyDescent="0.25">
      <c r="A19370" t="str">
        <f>HYPERLINK("https://www.773grp.com/globalSearch/BT139-800127/page-1", "BT139-800127")</f>
        <v>BT139-800127</v>
      </c>
      <c r="B19370" s="3" t="s">
        <v>93</v>
      </c>
      <c r="C19370" s="6">
        <v>7252</v>
      </c>
      <c r="D19370" s="7">
        <v>1.49</v>
      </c>
    </row>
    <row r="19371" spans="1:4" x14ac:dyDescent="0.25">
      <c r="A19371" t="str">
        <f>HYPERLINK("https://www.773grp.com/globalSearch/BT139-800E127/page-1", "BT139-800E127")</f>
        <v>BT139-800E127</v>
      </c>
      <c r="B19371" s="3" t="s">
        <v>93</v>
      </c>
      <c r="C19371" s="6">
        <v>4259</v>
      </c>
      <c r="D19371" s="7">
        <v>1.49</v>
      </c>
    </row>
    <row r="19372" spans="1:4" x14ac:dyDescent="0.25">
      <c r="A19372" t="str">
        <f>HYPERLINK("https://www.773grp.com/globalSearch/BT139-800G127/page-1", "BT139-800G127")</f>
        <v>BT139-800G127</v>
      </c>
      <c r="B19372" s="3" t="s">
        <v>93</v>
      </c>
      <c r="C19372" s="6">
        <v>615</v>
      </c>
      <c r="D19372" s="7">
        <v>1.49</v>
      </c>
    </row>
    <row r="19373" spans="1:4" x14ac:dyDescent="0.25">
      <c r="A19373" t="str">
        <f>HYPERLINK("https://www.773grp.com/globalSearch/BT139X-800127/page-1", "BT139X-800127")</f>
        <v>BT139X-800127</v>
      </c>
      <c r="B19373" s="3" t="s">
        <v>93</v>
      </c>
      <c r="C19373" s="6">
        <v>2295</v>
      </c>
      <c r="D19373" s="7">
        <v>1.49</v>
      </c>
    </row>
    <row r="19374" spans="1:4" x14ac:dyDescent="0.25">
      <c r="A19374" t="str">
        <f>HYPERLINK("https://www.773grp.com/globalSearch/BUK6209-30C118/page-1", "BUK6209-30C118")</f>
        <v>BUK6209-30C118</v>
      </c>
      <c r="B19374" s="3" t="s">
        <v>93</v>
      </c>
      <c r="C19374" s="6">
        <v>7737</v>
      </c>
      <c r="D19374" s="7">
        <v>1.49</v>
      </c>
    </row>
    <row r="19375" spans="1:4" x14ac:dyDescent="0.25">
      <c r="A19375" t="str">
        <f>HYPERLINK("https://www.773grp.com/globalSearch/BUK6212-40C118/page-1", "BUK6212-40C118")</f>
        <v>BUK6212-40C118</v>
      </c>
      <c r="B19375" s="3" t="s">
        <v>93</v>
      </c>
      <c r="C19375" s="6">
        <v>239</v>
      </c>
      <c r="D19375" s="7">
        <v>1.49</v>
      </c>
    </row>
    <row r="19376" spans="1:4" x14ac:dyDescent="0.25">
      <c r="A19376" t="str">
        <f>HYPERLINK("https://www.773grp.com/globalSearch/BUK6240-75C118/page-1", "BUK6240-75C118")</f>
        <v>BUK6240-75C118</v>
      </c>
      <c r="B19376" s="3" t="s">
        <v>93</v>
      </c>
      <c r="C19376" s="6">
        <v>7500</v>
      </c>
      <c r="D19376" s="7">
        <v>1.49</v>
      </c>
    </row>
    <row r="19377" spans="1:4" x14ac:dyDescent="0.25">
      <c r="A19377" t="str">
        <f>HYPERLINK("https://www.773grp.com/globalSearch/BUK7Y13-40B115/page-1", "BUK7Y13-40B115")</f>
        <v>BUK7Y13-40B115</v>
      </c>
      <c r="B19377" s="3" t="s">
        <v>93</v>
      </c>
      <c r="C19377" s="6">
        <v>2316</v>
      </c>
      <c r="D19377" s="7">
        <v>1.49</v>
      </c>
    </row>
    <row r="19378" spans="1:4" x14ac:dyDescent="0.25">
      <c r="A19378" t="str">
        <f>HYPERLINK("https://www.773grp.com/globalSearch/BYV29G-600127/page-1", "BYV29G-600127")</f>
        <v>BYV29G-600127</v>
      </c>
      <c r="B19378" s="3" t="s">
        <v>93</v>
      </c>
      <c r="C19378" s="6">
        <v>290</v>
      </c>
      <c r="D19378" s="7">
        <v>1.49</v>
      </c>
    </row>
    <row r="19379" spans="1:4" x14ac:dyDescent="0.25">
      <c r="A19379" t="str">
        <f>HYPERLINK("https://www.773grp.com/globalSearch/BYW29ED-200118/page-1", "BYW29ED-200118")</f>
        <v>BYW29ED-200118</v>
      </c>
      <c r="B19379" s="3" t="s">
        <v>93</v>
      </c>
      <c r="C19379" s="6">
        <v>5000</v>
      </c>
      <c r="D19379" s="7">
        <v>1.49</v>
      </c>
    </row>
    <row r="19380" spans="1:4" x14ac:dyDescent="0.25">
      <c r="A19380" t="str">
        <f>HYPERLINK("https://www.773grp.com/globalSearch/GTL2002DC125/page-1", "GTL2002DC125")</f>
        <v>GTL2002DC125</v>
      </c>
      <c r="B19380" s="3" t="s">
        <v>93</v>
      </c>
      <c r="C19380" s="6">
        <v>3278</v>
      </c>
      <c r="D19380" s="7">
        <v>1.49</v>
      </c>
    </row>
    <row r="19381" spans="1:4" x14ac:dyDescent="0.25">
      <c r="A19381" t="str">
        <f>HYPERLINK("https://www.773grp.com/globalSearch/HEF4001BP652/page-1", "HEF4001BP652")</f>
        <v>HEF4001BP652</v>
      </c>
      <c r="B19381" s="3" t="s">
        <v>93</v>
      </c>
      <c r="C19381" s="6">
        <v>4000</v>
      </c>
      <c r="D19381" s="7">
        <v>1.49</v>
      </c>
    </row>
    <row r="19382" spans="1:4" x14ac:dyDescent="0.25">
      <c r="A19382" t="str">
        <f>HYPERLINK("https://www.773grp.com/globalSearch/HEF4013BP652/page-1", "HEF4013BP652")</f>
        <v>HEF4013BP652</v>
      </c>
      <c r="B19382" s="3" t="s">
        <v>93</v>
      </c>
      <c r="C19382" s="6">
        <v>1000</v>
      </c>
      <c r="D19382" s="7">
        <v>1.49</v>
      </c>
    </row>
    <row r="19383" spans="1:4" x14ac:dyDescent="0.25">
      <c r="A19383" t="str">
        <f>HYPERLINK("https://www.773grp.com/globalSearch/HEF4023BP652/page-1", "HEF4023BP652")</f>
        <v>HEF4023BP652</v>
      </c>
      <c r="B19383" s="3" t="s">
        <v>93</v>
      </c>
      <c r="C19383" s="6">
        <v>3896</v>
      </c>
      <c r="D19383" s="7">
        <v>1.49</v>
      </c>
    </row>
    <row r="19384" spans="1:4" x14ac:dyDescent="0.25">
      <c r="A19384" t="str">
        <f>HYPERLINK("https://www.773grp.com/globalSearch/HEF4025BP652/page-1", "HEF4025BP652")</f>
        <v>HEF4025BP652</v>
      </c>
      <c r="B19384" s="3" t="s">
        <v>93</v>
      </c>
      <c r="C19384" s="6">
        <v>5000</v>
      </c>
      <c r="D19384" s="7">
        <v>1.49</v>
      </c>
    </row>
    <row r="19385" spans="1:4" x14ac:dyDescent="0.25">
      <c r="A19385" t="str">
        <f>HYPERLINK("https://www.773grp.com/globalSearch/HEF4069UBP652/page-1", "HEF4069UBP652")</f>
        <v>HEF4069UBP652</v>
      </c>
      <c r="B19385" s="3" t="s">
        <v>93</v>
      </c>
      <c r="C19385" s="6">
        <v>115051</v>
      </c>
      <c r="D19385" s="7">
        <v>1.49</v>
      </c>
    </row>
    <row r="19386" spans="1:4" x14ac:dyDescent="0.25">
      <c r="A19386" t="str">
        <f>HYPERLINK("https://www.773grp.com/globalSearch/HEF4070BP652/page-1", "HEF4070BP652")</f>
        <v>HEF4070BP652</v>
      </c>
      <c r="B19386" s="3" t="s">
        <v>93</v>
      </c>
      <c r="C19386" s="6">
        <v>1000</v>
      </c>
      <c r="D19386" s="7">
        <v>1.49</v>
      </c>
    </row>
    <row r="19387" spans="1:4" x14ac:dyDescent="0.25">
      <c r="A19387" t="str">
        <f>HYPERLINK("https://www.773grp.com/globalSearch/HEF4071BP652/page-1", "HEF4071BP652")</f>
        <v>HEF4071BP652</v>
      </c>
      <c r="B19387" s="3" t="s">
        <v>93</v>
      </c>
      <c r="C19387" s="6">
        <v>51000</v>
      </c>
      <c r="D19387" s="7">
        <v>1.49</v>
      </c>
    </row>
    <row r="19388" spans="1:4" x14ac:dyDescent="0.25">
      <c r="A19388" t="str">
        <f>HYPERLINK("https://www.773grp.com/globalSearch/KTY81-110112/page-1", "KTY81-110112")</f>
        <v>KTY81-110112</v>
      </c>
      <c r="B19388" s="3" t="s">
        <v>93</v>
      </c>
      <c r="C19388" s="6">
        <v>3728</v>
      </c>
      <c r="D19388" s="7">
        <v>1.49</v>
      </c>
    </row>
    <row r="19389" spans="1:4" x14ac:dyDescent="0.25">
      <c r="A19389" t="str">
        <f>HYPERLINK("https://www.773grp.com/globalSearch/KTY81-121112/page-1", "KTY81-121112")</f>
        <v>KTY81-121112</v>
      </c>
      <c r="B19389" s="3" t="s">
        <v>93</v>
      </c>
      <c r="C19389" s="6">
        <v>2000</v>
      </c>
      <c r="D19389" s="7">
        <v>1.49</v>
      </c>
    </row>
    <row r="19390" spans="1:4" x14ac:dyDescent="0.25">
      <c r="A19390" t="str">
        <f>HYPERLINK("https://www.773grp.com/globalSearch/KTY81-210112/page-1", "KTY81-210112")</f>
        <v>KTY81-210112</v>
      </c>
      <c r="B19390" s="3" t="s">
        <v>93</v>
      </c>
      <c r="C19390" s="6">
        <v>4000</v>
      </c>
      <c r="D19390" s="7">
        <v>1.49</v>
      </c>
    </row>
    <row r="19391" spans="1:4" x14ac:dyDescent="0.25">
      <c r="A19391" t="str">
        <f>HYPERLINK("https://www.773grp.com/globalSearch/PCF8577CU-F3026/page-1", "PCF8577CU-F3026")</f>
        <v>PCF8577CU-F3026</v>
      </c>
      <c r="B19391" s="3" t="s">
        <v>93</v>
      </c>
      <c r="C19391" s="6">
        <v>27648</v>
      </c>
      <c r="D19391" s="7">
        <v>1.49</v>
      </c>
    </row>
    <row r="19392" spans="1:4" x14ac:dyDescent="0.25">
      <c r="A19392" t="str">
        <f>HYPERLINK("https://www.773grp.com/globalSearch/PSMN1R9-25YLC115/page-1", "PSMN1R9-25YLC115")</f>
        <v>PSMN1R9-25YLC115</v>
      </c>
      <c r="B19392" s="3" t="s">
        <v>93</v>
      </c>
      <c r="C19392" s="6">
        <v>5836</v>
      </c>
      <c r="D19392" s="7">
        <v>1.49</v>
      </c>
    </row>
    <row r="19393" spans="1:4" x14ac:dyDescent="0.25">
      <c r="A19393" t="str">
        <f>HYPERLINK("https://www.773grp.com/globalSearch/PSMN2R0-30YL115/page-1", "PSMN2R0-30YL115")</f>
        <v>PSMN2R0-30YL115</v>
      </c>
      <c r="B19393" s="3" t="s">
        <v>93</v>
      </c>
      <c r="C19393" s="6">
        <v>1500</v>
      </c>
      <c r="D19393" s="7">
        <v>1.49</v>
      </c>
    </row>
    <row r="19394" spans="1:4" x14ac:dyDescent="0.25">
      <c r="A19394" t="str">
        <f>HYPERLINK("https://www.773grp.com/globalSearch/PTN3361BBS518/page-1", "PTN3361BBS518")</f>
        <v>PTN3361BBS518</v>
      </c>
      <c r="B19394" s="3" t="s">
        <v>93</v>
      </c>
      <c r="C19394" s="6">
        <v>500</v>
      </c>
      <c r="D19394" s="7">
        <v>1.49</v>
      </c>
    </row>
    <row r="19395" spans="1:4" x14ac:dyDescent="0.25">
      <c r="A19395" t="str">
        <f>HYPERLINK("https://www.773grp.com/globalSearch/TEA1520P-N2112/page-1", "TEA1520P-N2112")</f>
        <v>TEA1520P-N2112</v>
      </c>
      <c r="B19395" s="3" t="s">
        <v>93</v>
      </c>
      <c r="C19395" s="6">
        <v>2174</v>
      </c>
      <c r="D19395" s="7">
        <v>1.49</v>
      </c>
    </row>
    <row r="19396" spans="1:4" x14ac:dyDescent="0.25">
      <c r="A19396" t="str">
        <f>HYPERLINK("https://www.773grp.com/globalSearch/TEA1520T-N2518/page-1", "TEA1520T-N2518")</f>
        <v>TEA1520T-N2518</v>
      </c>
      <c r="B19396" s="3" t="s">
        <v>93</v>
      </c>
      <c r="C19396" s="6">
        <v>29500</v>
      </c>
      <c r="D19396" s="7">
        <v>1.49</v>
      </c>
    </row>
    <row r="19397" spans="1:4" x14ac:dyDescent="0.25">
      <c r="A19397" t="str">
        <f>HYPERLINK("https://www.773grp.com/globalSearch/TEA1738FT-N1118/page-1", "TEA1738FT-N1118")</f>
        <v>TEA1738FT-N1118</v>
      </c>
      <c r="B19397" s="3" t="s">
        <v>93</v>
      </c>
      <c r="C19397" s="6">
        <v>49998</v>
      </c>
      <c r="D19397" s="7">
        <v>1.49</v>
      </c>
    </row>
    <row r="19398" spans="1:4" x14ac:dyDescent="0.25">
      <c r="A19398" t="str">
        <f>HYPERLINK("https://www.773grp.com/globalSearch/TEA1738GT-N1118/page-1", "TEA1738GT-N1118")</f>
        <v>TEA1738GT-N1118</v>
      </c>
      <c r="B19398" s="3" t="s">
        <v>93</v>
      </c>
      <c r="C19398" s="6">
        <v>4861</v>
      </c>
      <c r="D19398" s="7">
        <v>1.49</v>
      </c>
    </row>
    <row r="19399" spans="1:4" x14ac:dyDescent="0.25">
      <c r="A19399" t="str">
        <f>HYPERLINK("https://www.773grp.com/globalSearch/TJA1051T-E118/page-1", "TJA1051T-E118")</f>
        <v>TJA1051T-E118</v>
      </c>
      <c r="B19399" s="3" t="s">
        <v>93</v>
      </c>
      <c r="C19399" s="6">
        <v>2500</v>
      </c>
      <c r="D19399" s="7">
        <v>1.49</v>
      </c>
    </row>
    <row r="19400" spans="1:4" x14ac:dyDescent="0.25">
      <c r="A19400" t="str">
        <f>HYPERLINK("https://www.773grp.com/globalSearch/74ABT04PW112/page-1", "74ABT04PW112")</f>
        <v>74ABT04PW112</v>
      </c>
      <c r="B19400" s="3" t="s">
        <v>93</v>
      </c>
      <c r="C19400" s="6">
        <v>827</v>
      </c>
      <c r="D19400" s="7">
        <v>1.54</v>
      </c>
    </row>
    <row r="19401" spans="1:4" x14ac:dyDescent="0.25">
      <c r="A19401" t="str">
        <f>HYPERLINK("https://www.773grp.com/globalSearch/74ABT32PW118/page-1", "74ABT32PW118")</f>
        <v>74ABT32PW118</v>
      </c>
      <c r="B19401" s="3" t="s">
        <v>93</v>
      </c>
      <c r="C19401" s="6">
        <v>94</v>
      </c>
      <c r="D19401" s="7">
        <v>1.54</v>
      </c>
    </row>
    <row r="19402" spans="1:4" x14ac:dyDescent="0.25">
      <c r="A19402" t="str">
        <f>HYPERLINK("https://www.773grp.com/globalSearch/74HC123N652/page-1", "74HC123N652")</f>
        <v>74HC123N652</v>
      </c>
      <c r="B19402" s="3" t="s">
        <v>93</v>
      </c>
      <c r="C19402" s="6">
        <v>8039</v>
      </c>
      <c r="D19402" s="7">
        <v>1.54</v>
      </c>
    </row>
    <row r="19403" spans="1:4" x14ac:dyDescent="0.25">
      <c r="A19403" t="str">
        <f>HYPERLINK("https://www.773grp.com/globalSearch/74HC125N652/page-1", "74HC125N652")</f>
        <v>74HC125N652</v>
      </c>
      <c r="B19403" s="3" t="s">
        <v>93</v>
      </c>
      <c r="C19403" s="6">
        <v>2130</v>
      </c>
      <c r="D19403" s="7">
        <v>1.54</v>
      </c>
    </row>
    <row r="19404" spans="1:4" x14ac:dyDescent="0.25">
      <c r="A19404" t="str">
        <f>HYPERLINK("https://www.773grp.com/globalSearch/74HC126N652/page-1", "74HC126N652")</f>
        <v>74HC126N652</v>
      </c>
      <c r="B19404" s="3" t="s">
        <v>93</v>
      </c>
      <c r="C19404" s="6">
        <v>21100</v>
      </c>
      <c r="D19404" s="7">
        <v>1.54</v>
      </c>
    </row>
    <row r="19405" spans="1:4" x14ac:dyDescent="0.25">
      <c r="A19405" t="str">
        <f>HYPERLINK("https://www.773grp.com/globalSearch/74HC221DB112/page-1", "74HC221DB112")</f>
        <v>74HC221DB112</v>
      </c>
      <c r="B19405" s="3" t="s">
        <v>93</v>
      </c>
      <c r="C19405" s="6">
        <v>2185</v>
      </c>
      <c r="D19405" s="7">
        <v>1.54</v>
      </c>
    </row>
    <row r="19406" spans="1:4" x14ac:dyDescent="0.25">
      <c r="A19406" t="str">
        <f>HYPERLINK("https://www.773grp.com/globalSearch/74HC299D653/page-1", "74HC299D653")</f>
        <v>74HC299D653</v>
      </c>
      <c r="B19406" s="3" t="s">
        <v>93</v>
      </c>
      <c r="C19406" s="6">
        <v>2000</v>
      </c>
      <c r="D19406" s="7">
        <v>1.54</v>
      </c>
    </row>
    <row r="19407" spans="1:4" x14ac:dyDescent="0.25">
      <c r="A19407" t="str">
        <f>HYPERLINK("https://www.773grp.com/globalSearch/74HC597DB112/page-1", "74HC597DB112")</f>
        <v>74HC597DB112</v>
      </c>
      <c r="B19407" s="3" t="s">
        <v>93</v>
      </c>
      <c r="C19407" s="6">
        <v>46488</v>
      </c>
      <c r="D19407" s="7">
        <v>1.54</v>
      </c>
    </row>
    <row r="19408" spans="1:4" x14ac:dyDescent="0.25">
      <c r="A19408" t="str">
        <f>HYPERLINK("https://www.773grp.com/globalSearch/74HC597DB118/page-1", "74HC597DB118")</f>
        <v>74HC597DB118</v>
      </c>
      <c r="B19408" s="3" t="s">
        <v>93</v>
      </c>
      <c r="C19408" s="6">
        <v>2000</v>
      </c>
      <c r="D19408" s="7">
        <v>1.54</v>
      </c>
    </row>
    <row r="19409" spans="1:4" x14ac:dyDescent="0.25">
      <c r="A19409" t="str">
        <f>HYPERLINK("https://www.773grp.com/globalSearch/74HCT123DB112/page-1", "74HCT123DB112")</f>
        <v>74HCT123DB112</v>
      </c>
      <c r="B19409" s="3" t="s">
        <v>93</v>
      </c>
      <c r="C19409" s="6">
        <v>3772</v>
      </c>
      <c r="D19409" s="7">
        <v>1.54</v>
      </c>
    </row>
    <row r="19410" spans="1:4" x14ac:dyDescent="0.25">
      <c r="A19410" t="str">
        <f>HYPERLINK("https://www.773grp.com/globalSearch/74HCT123N652/page-1", "74HCT123N652")</f>
        <v>74HCT123N652</v>
      </c>
      <c r="B19410" s="3" t="s">
        <v>93</v>
      </c>
      <c r="C19410" s="6">
        <v>6200</v>
      </c>
      <c r="D19410" s="7">
        <v>1.54</v>
      </c>
    </row>
    <row r="19411" spans="1:4" x14ac:dyDescent="0.25">
      <c r="A19411" t="str">
        <f>HYPERLINK("https://www.773grp.com/globalSearch/74HCT125N652/page-1", "74HCT125N652")</f>
        <v>74HCT125N652</v>
      </c>
      <c r="B19411" s="3" t="s">
        <v>93</v>
      </c>
      <c r="C19411" s="6">
        <v>18295</v>
      </c>
      <c r="D19411" s="7">
        <v>1.54</v>
      </c>
    </row>
    <row r="19412" spans="1:4" x14ac:dyDescent="0.25">
      <c r="A19412" t="str">
        <f>HYPERLINK("https://www.773grp.com/globalSearch/74HCT147D652/page-1", "74HCT147D652")</f>
        <v>74HCT147D652</v>
      </c>
      <c r="B19412" s="3" t="s">
        <v>93</v>
      </c>
      <c r="C19412" s="6">
        <v>1000</v>
      </c>
      <c r="D19412" s="7">
        <v>1.54</v>
      </c>
    </row>
    <row r="19413" spans="1:4" x14ac:dyDescent="0.25">
      <c r="A19413" t="str">
        <f>HYPERLINK("https://www.773grp.com/globalSearch/74HCT42D652/page-1", "74HCT42D652")</f>
        <v>74HCT42D652</v>
      </c>
      <c r="B19413" s="3" t="s">
        <v>93</v>
      </c>
      <c r="C19413" s="6">
        <v>2276</v>
      </c>
      <c r="D19413" s="7">
        <v>1.54</v>
      </c>
    </row>
    <row r="19414" spans="1:4" x14ac:dyDescent="0.25">
      <c r="A19414" t="str">
        <f>HYPERLINK("https://www.773grp.com/globalSearch/74HCT42D653/page-1", "74HCT42D653")</f>
        <v>74HCT42D653</v>
      </c>
      <c r="B19414" s="3" t="s">
        <v>93</v>
      </c>
      <c r="C19414" s="6">
        <v>2500</v>
      </c>
      <c r="D19414" s="7">
        <v>1.54</v>
      </c>
    </row>
    <row r="19415" spans="1:4" x14ac:dyDescent="0.25">
      <c r="A19415" t="str">
        <f>HYPERLINK("https://www.773grp.com/globalSearch/74HCT4351DB112/page-1", "74HCT4351DB112")</f>
        <v>74HCT4351DB112</v>
      </c>
      <c r="B19415" s="3" t="s">
        <v>93</v>
      </c>
      <c r="C19415" s="6">
        <v>924</v>
      </c>
      <c r="D19415" s="7">
        <v>1.54</v>
      </c>
    </row>
    <row r="19416" spans="1:4" x14ac:dyDescent="0.25">
      <c r="A19416" t="str">
        <f>HYPERLINK("https://www.773grp.com/globalSearch/74LV259DB112/page-1", "74LV259DB112")</f>
        <v>74LV259DB112</v>
      </c>
      <c r="B19416" s="3" t="s">
        <v>93</v>
      </c>
      <c r="C19416" s="6">
        <v>2144</v>
      </c>
      <c r="D19416" s="7">
        <v>1.54</v>
      </c>
    </row>
    <row r="19417" spans="1:4" x14ac:dyDescent="0.25">
      <c r="A19417" t="str">
        <f>HYPERLINK("https://www.773grp.com/globalSearch/74LV377D112/page-1", "74LV377D112")</f>
        <v>74LV377D112</v>
      </c>
      <c r="B19417" s="3" t="s">
        <v>93</v>
      </c>
      <c r="C19417" s="6">
        <v>2892</v>
      </c>
      <c r="D19417" s="7">
        <v>1.54</v>
      </c>
    </row>
    <row r="19418" spans="1:4" x14ac:dyDescent="0.25">
      <c r="A19418" t="str">
        <f>HYPERLINK("https://www.773grp.com/globalSearch/74LVC162244ADL112/page-1", "74LVC162244ADL112")</f>
        <v>74LVC162244ADL112</v>
      </c>
      <c r="B19418" s="3" t="s">
        <v>93</v>
      </c>
      <c r="C19418" s="6">
        <v>5011</v>
      </c>
      <c r="D19418" s="7">
        <v>1.54</v>
      </c>
    </row>
    <row r="19419" spans="1:4" x14ac:dyDescent="0.25">
      <c r="A19419" t="str">
        <f>HYPERLINK("https://www.773grp.com/globalSearch/74LVC162245ADL112/page-1", "74LVC162245ADL112")</f>
        <v>74LVC162245ADL112</v>
      </c>
      <c r="B19419" s="3" t="s">
        <v>93</v>
      </c>
      <c r="C19419" s="6">
        <v>4946</v>
      </c>
      <c r="D19419" s="7">
        <v>1.54</v>
      </c>
    </row>
    <row r="19420" spans="1:4" x14ac:dyDescent="0.25">
      <c r="A19420" t="str">
        <f>HYPERLINK("https://www.773grp.com/globalSearch/74LVC16240ADL112/page-1", "74LVC16240ADL112")</f>
        <v>74LVC16240ADL112</v>
      </c>
      <c r="B19420" s="3" t="s">
        <v>93</v>
      </c>
      <c r="C19420" s="6">
        <v>2889</v>
      </c>
      <c r="D19420" s="7">
        <v>1.54</v>
      </c>
    </row>
    <row r="19421" spans="1:4" x14ac:dyDescent="0.25">
      <c r="A19421" t="str">
        <f>HYPERLINK("https://www.773grp.com/globalSearch/74LVC16373ADL112/page-1", "74LVC16373ADL112")</f>
        <v>74LVC16373ADL112</v>
      </c>
      <c r="B19421" s="3" t="s">
        <v>93</v>
      </c>
      <c r="C19421" s="6">
        <v>772</v>
      </c>
      <c r="D19421" s="7">
        <v>1.54</v>
      </c>
    </row>
    <row r="19422" spans="1:4" x14ac:dyDescent="0.25">
      <c r="A19422" t="str">
        <f>HYPERLINK("https://www.773grp.com/globalSearch/74LVC16374ADL112/page-1", "74LVC16374ADL112")</f>
        <v>74LVC16374ADL112</v>
      </c>
      <c r="B19422" s="3" t="s">
        <v>93</v>
      </c>
      <c r="C19422" s="6">
        <v>2868</v>
      </c>
      <c r="D19422" s="7">
        <v>1.54</v>
      </c>
    </row>
    <row r="19423" spans="1:4" x14ac:dyDescent="0.25">
      <c r="A19423" t="str">
        <f>HYPERLINK("https://www.773grp.com/globalSearch/74LVC16374ADL118/page-1", "74LVC16374ADL118")</f>
        <v>74LVC16374ADL118</v>
      </c>
      <c r="B19423" s="3" t="s">
        <v>93</v>
      </c>
      <c r="C19423" s="6">
        <v>193</v>
      </c>
      <c r="D19423" s="7">
        <v>1.54</v>
      </c>
    </row>
    <row r="19424" spans="1:4" x14ac:dyDescent="0.25">
      <c r="A19424" t="str">
        <f>HYPERLINK("https://www.773grp.com/globalSearch/74LVC821APW112/page-1", "74LVC821APW112")</f>
        <v>74LVC821APW112</v>
      </c>
      <c r="B19424" s="3" t="s">
        <v>93</v>
      </c>
      <c r="C19424" s="6">
        <v>3650</v>
      </c>
      <c r="D19424" s="7">
        <v>1.54</v>
      </c>
    </row>
    <row r="19425" spans="1:4" x14ac:dyDescent="0.25">
      <c r="A19425" t="str">
        <f>HYPERLINK("https://www.773grp.com/globalSearch/74LVT2245PW112/page-1", "74LVT2245PW112")</f>
        <v>74LVT2245PW112</v>
      </c>
      <c r="B19425" s="3" t="s">
        <v>93</v>
      </c>
      <c r="C19425" s="6">
        <v>1875</v>
      </c>
      <c r="D19425" s="7">
        <v>1.54</v>
      </c>
    </row>
    <row r="19426" spans="1:4" x14ac:dyDescent="0.25">
      <c r="A19426" t="str">
        <f>HYPERLINK("https://www.773grp.com/globalSearch/74LVT2245PW118/page-1", "74LVT2245PW118")</f>
        <v>74LVT2245PW118</v>
      </c>
      <c r="B19426" s="3" t="s">
        <v>93</v>
      </c>
      <c r="C19426" s="6">
        <v>2163</v>
      </c>
      <c r="D19426" s="7">
        <v>1.54</v>
      </c>
    </row>
    <row r="19427" spans="1:4" x14ac:dyDescent="0.25">
      <c r="A19427" t="str">
        <f>HYPERLINK("https://www.773grp.com/globalSearch/BYR29-800127/page-1", "BYR29-800127")</f>
        <v>BYR29-800127</v>
      </c>
      <c r="B19427" s="3" t="s">
        <v>93</v>
      </c>
      <c r="C19427" s="6">
        <v>4644</v>
      </c>
      <c r="D19427" s="7">
        <v>1.54</v>
      </c>
    </row>
    <row r="19428" spans="1:4" x14ac:dyDescent="0.25">
      <c r="A19428" t="str">
        <f>HYPERLINK("https://www.773grp.com/globalSearch/HEF4000BP652/page-1", "HEF4000BP652")</f>
        <v>HEF4000BP652</v>
      </c>
      <c r="B19428" s="3" t="s">
        <v>93</v>
      </c>
      <c r="C19428" s="6">
        <v>4575</v>
      </c>
      <c r="D19428" s="7">
        <v>1.54</v>
      </c>
    </row>
    <row r="19429" spans="1:4" x14ac:dyDescent="0.25">
      <c r="A19429" t="str">
        <f>HYPERLINK("https://www.773grp.com/globalSearch/IP4309CX9135/page-1", "IP4309CX9135")</f>
        <v>IP4309CX9135</v>
      </c>
      <c r="B19429" s="3" t="s">
        <v>93</v>
      </c>
      <c r="C19429" s="6">
        <v>8989</v>
      </c>
      <c r="D19429" s="7">
        <v>1.54</v>
      </c>
    </row>
    <row r="19430" spans="1:4" x14ac:dyDescent="0.25">
      <c r="A19430" t="str">
        <f>HYPERLINK("https://www.773grp.com/globalSearch/NVT2010BS118/page-1", "NVT2010BS118")</f>
        <v>NVT2010BS118</v>
      </c>
      <c r="B19430" s="3" t="s">
        <v>93</v>
      </c>
      <c r="C19430" s="6">
        <v>6000</v>
      </c>
      <c r="D19430" s="7">
        <v>1.54</v>
      </c>
    </row>
    <row r="19431" spans="1:4" x14ac:dyDescent="0.25">
      <c r="A19431" t="str">
        <f>HYPERLINK("https://www.773grp.com/globalSearch/NVT2010PW118/page-1", "NVT2010PW118")</f>
        <v>NVT2010PW118</v>
      </c>
      <c r="B19431" s="3" t="s">
        <v>93</v>
      </c>
      <c r="C19431" s="6">
        <v>30000</v>
      </c>
      <c r="D19431" s="7">
        <v>1.54</v>
      </c>
    </row>
    <row r="19432" spans="1:4" x14ac:dyDescent="0.25">
      <c r="A19432" t="str">
        <f>HYPERLINK("https://www.773grp.com/globalSearch/PHB20N06T118/page-1", "PHB20N06T118")</f>
        <v>PHB20N06T118</v>
      </c>
      <c r="B19432" s="3" t="s">
        <v>93</v>
      </c>
      <c r="C19432" s="6">
        <v>157</v>
      </c>
      <c r="D19432" s="7">
        <v>1.54</v>
      </c>
    </row>
    <row r="19433" spans="1:4" x14ac:dyDescent="0.25">
      <c r="A19433" t="str">
        <f>HYPERLINK("https://www.773grp.com/globalSearch/PHB21N06LT118/page-1", "PHB21N06LT118")</f>
        <v>PHB21N06LT118</v>
      </c>
      <c r="B19433" s="3" t="s">
        <v>93</v>
      </c>
      <c r="C19433" s="6">
        <v>178</v>
      </c>
      <c r="D19433" s="7">
        <v>1.54</v>
      </c>
    </row>
    <row r="19434" spans="1:4" x14ac:dyDescent="0.25">
      <c r="A19434" t="str">
        <f>HYPERLINK("https://www.773grp.com/globalSearch/PHT6N06LT135/page-1", "PHT6N06LT135")</f>
        <v>PHT6N06LT135</v>
      </c>
      <c r="B19434" s="3" t="s">
        <v>93</v>
      </c>
      <c r="C19434" s="6">
        <v>4475</v>
      </c>
      <c r="D19434" s="7">
        <v>1.54</v>
      </c>
    </row>
    <row r="19435" spans="1:4" x14ac:dyDescent="0.25">
      <c r="A19435" t="str">
        <f>HYPERLINK("https://www.773grp.com/globalSearch/PHT6N06T135/page-1", "PHT6N06T135")</f>
        <v>PHT6N06T135</v>
      </c>
      <c r="B19435" s="3" t="s">
        <v>93</v>
      </c>
      <c r="C19435" s="6">
        <v>19799</v>
      </c>
      <c r="D19435" s="7">
        <v>1.54</v>
      </c>
    </row>
    <row r="19436" spans="1:4" x14ac:dyDescent="0.25">
      <c r="A19436" t="str">
        <f>HYPERLINK("https://www.773grp.com/globalSearch/PHT6NQ10T135/page-1", "PHT6NQ10T135")</f>
        <v>PHT6NQ10T135</v>
      </c>
      <c r="B19436" s="3" t="s">
        <v>93</v>
      </c>
      <c r="C19436" s="6">
        <v>3865</v>
      </c>
      <c r="D19436" s="7">
        <v>1.54</v>
      </c>
    </row>
    <row r="19437" spans="1:4" x14ac:dyDescent="0.25">
      <c r="A19437" t="str">
        <f>HYPERLINK("https://www.773grp.com/globalSearch/SA58672TK138/page-1", "SA58672TK138")</f>
        <v>SA58672TK138</v>
      </c>
      <c r="B19437" s="3" t="s">
        <v>93</v>
      </c>
      <c r="C19437" s="6">
        <v>3000</v>
      </c>
      <c r="D19437" s="7">
        <v>1.54</v>
      </c>
    </row>
    <row r="19438" spans="1:4" x14ac:dyDescent="0.25">
      <c r="A19438" t="str">
        <f>HYPERLINK("https://www.773grp.com/globalSearch/TDA8024T-C1118/page-1", "TDA8024T-C1118")</f>
        <v>TDA8024T-C1118</v>
      </c>
      <c r="B19438" s="3" t="s">
        <v>93</v>
      </c>
      <c r="C19438" s="6">
        <v>458</v>
      </c>
      <c r="D19438" s="7">
        <v>1.54</v>
      </c>
    </row>
    <row r="19439" spans="1:4" x14ac:dyDescent="0.25">
      <c r="A19439" t="str">
        <f>HYPERLINK("https://www.773grp.com/globalSearch/TDA8024TT-C1118/page-1", "TDA8024TT-C1118")</f>
        <v>TDA8024TT-C1118</v>
      </c>
      <c r="B19439" s="3" t="s">
        <v>93</v>
      </c>
      <c r="C19439" s="6">
        <v>65494</v>
      </c>
      <c r="D19439" s="7">
        <v>1.54</v>
      </c>
    </row>
    <row r="19440" spans="1:4" x14ac:dyDescent="0.25">
      <c r="A19440" t="str">
        <f>HYPERLINK("https://www.773grp.com/globalSearch/74ABT162244DL112/page-1", "74ABT162244DL112")</f>
        <v>74ABT162244DL112</v>
      </c>
      <c r="B19440" s="3" t="s">
        <v>93</v>
      </c>
      <c r="C19440" s="6">
        <v>191</v>
      </c>
      <c r="D19440" s="7">
        <v>1.59</v>
      </c>
    </row>
    <row r="19441" spans="1:4" x14ac:dyDescent="0.25">
      <c r="A19441" t="str">
        <f>HYPERLINK("https://www.773grp.com/globalSearch/74ABT162244DL118/page-1", "74ABT162244DL118")</f>
        <v>74ABT162244DL118</v>
      </c>
      <c r="B19441" s="3" t="s">
        <v>93</v>
      </c>
      <c r="C19441" s="6">
        <v>4674</v>
      </c>
      <c r="D19441" s="7">
        <v>1.59</v>
      </c>
    </row>
    <row r="19442" spans="1:4" x14ac:dyDescent="0.25">
      <c r="A19442" t="str">
        <f>HYPERLINK("https://www.773grp.com/globalSearch/74ABT16240ADL118/page-1", "74ABT16240ADL118")</f>
        <v>74ABT16240ADL118</v>
      </c>
      <c r="B19442" s="3" t="s">
        <v>93</v>
      </c>
      <c r="C19442" s="6">
        <v>2000</v>
      </c>
      <c r="D19442" s="7">
        <v>1.59</v>
      </c>
    </row>
    <row r="19443" spans="1:4" x14ac:dyDescent="0.25">
      <c r="A19443" t="str">
        <f>HYPERLINK("https://www.773grp.com/globalSearch/74ABT16244ADGG112/page-1", "74ABT16244ADGG112")</f>
        <v>74ABT16244ADGG112</v>
      </c>
      <c r="B19443" s="3" t="s">
        <v>93</v>
      </c>
      <c r="C19443" s="6">
        <v>975</v>
      </c>
      <c r="D19443" s="7">
        <v>1.59</v>
      </c>
    </row>
    <row r="19444" spans="1:4" x14ac:dyDescent="0.25">
      <c r="A19444" t="str">
        <f>HYPERLINK("https://www.773grp.com/globalSearch/74ABT16244ADL112/page-1", "74ABT16244ADL112")</f>
        <v>74ABT16244ADL112</v>
      </c>
      <c r="B19444" s="3" t="s">
        <v>93</v>
      </c>
      <c r="C19444" s="6">
        <v>1753</v>
      </c>
      <c r="D19444" s="7">
        <v>1.59</v>
      </c>
    </row>
    <row r="19445" spans="1:4" x14ac:dyDescent="0.25">
      <c r="A19445" t="str">
        <f>HYPERLINK("https://www.773grp.com/globalSearch/74ABT16244ADL118/page-1", "74ABT16244ADL118")</f>
        <v>74ABT16244ADL118</v>
      </c>
      <c r="B19445" s="3" t="s">
        <v>93</v>
      </c>
      <c r="C19445" s="6">
        <v>591</v>
      </c>
      <c r="D19445" s="7">
        <v>1.59</v>
      </c>
    </row>
    <row r="19446" spans="1:4" x14ac:dyDescent="0.25">
      <c r="A19446" t="str">
        <f>HYPERLINK("https://www.773grp.com/globalSearch/74ABT74D112/page-1", "74ABT74D112")</f>
        <v>74ABT74D112</v>
      </c>
      <c r="B19446" s="3" t="s">
        <v>93</v>
      </c>
      <c r="C19446" s="6">
        <v>570</v>
      </c>
      <c r="D19446" s="7">
        <v>1.59</v>
      </c>
    </row>
    <row r="19447" spans="1:4" x14ac:dyDescent="0.25">
      <c r="A19447" t="str">
        <f>HYPERLINK("https://www.773grp.com/globalSearch/74ABT74D118/page-1", "74ABT74D118")</f>
        <v>74ABT74D118</v>
      </c>
      <c r="B19447" s="3" t="s">
        <v>93</v>
      </c>
      <c r="C19447" s="6">
        <v>587</v>
      </c>
      <c r="D19447" s="7">
        <v>1.59</v>
      </c>
    </row>
    <row r="19448" spans="1:4" x14ac:dyDescent="0.25">
      <c r="A19448" t="str">
        <f>HYPERLINK("https://www.773grp.com/globalSearch/74ALVC16244DL118/page-1", "74ALVC16244DL118")</f>
        <v>74ALVC16244DL118</v>
      </c>
      <c r="B19448" s="3" t="s">
        <v>93</v>
      </c>
      <c r="C19448" s="6">
        <v>915</v>
      </c>
      <c r="D19448" s="7">
        <v>1.59</v>
      </c>
    </row>
    <row r="19449" spans="1:4" x14ac:dyDescent="0.25">
      <c r="A19449" t="str">
        <f>HYPERLINK("https://www.773grp.com/globalSearch/74AVC4TD245GU115/page-1", "74AVC4TD245GU115")</f>
        <v>74AVC4TD245GU115</v>
      </c>
      <c r="B19449" s="3" t="s">
        <v>93</v>
      </c>
      <c r="C19449" s="6">
        <v>379725</v>
      </c>
      <c r="D19449" s="7">
        <v>1.59</v>
      </c>
    </row>
    <row r="19450" spans="1:4" x14ac:dyDescent="0.25">
      <c r="A19450" t="str">
        <f>HYPERLINK("https://www.773grp.com/globalSearch/74AVC8T245PW118/page-1", "74AVC8T245PW118")</f>
        <v>74AVC8T245PW118</v>
      </c>
      <c r="B19450" s="3" t="s">
        <v>93</v>
      </c>
      <c r="C19450" s="6">
        <v>3563</v>
      </c>
      <c r="D19450" s="7">
        <v>1.59</v>
      </c>
    </row>
    <row r="19451" spans="1:4" x14ac:dyDescent="0.25">
      <c r="A19451" t="str">
        <f>HYPERLINK("https://www.773grp.com/globalSearch/74AVCH8T245PW112/page-1", "74AVCH8T245PW112")</f>
        <v>74AVCH8T245PW112</v>
      </c>
      <c r="B19451" s="3" t="s">
        <v>93</v>
      </c>
      <c r="C19451" s="6">
        <v>1091</v>
      </c>
      <c r="D19451" s="7">
        <v>1.59</v>
      </c>
    </row>
    <row r="19452" spans="1:4" x14ac:dyDescent="0.25">
      <c r="A19452" t="str">
        <f>HYPERLINK("https://www.773grp.com/globalSearch/74HC244N652/page-1", "74HC244N652")</f>
        <v>74HC244N652</v>
      </c>
      <c r="B19452" s="3" t="s">
        <v>93</v>
      </c>
      <c r="C19452" s="6">
        <v>21600</v>
      </c>
      <c r="D19452" s="7">
        <v>1.59</v>
      </c>
    </row>
    <row r="19453" spans="1:4" x14ac:dyDescent="0.25">
      <c r="A19453" t="str">
        <f>HYPERLINK("https://www.773grp.com/globalSearch/74HC273N652/page-1", "74HC273N652")</f>
        <v>74HC273N652</v>
      </c>
      <c r="B19453" s="3" t="s">
        <v>93</v>
      </c>
      <c r="C19453" s="6">
        <v>43848</v>
      </c>
      <c r="D19453" s="7">
        <v>1.59</v>
      </c>
    </row>
    <row r="19454" spans="1:4" x14ac:dyDescent="0.25">
      <c r="A19454" t="str">
        <f>HYPERLINK("https://www.773grp.com/globalSearch/74HC373N652/page-1", "74HC373N652")</f>
        <v>74HC373N652</v>
      </c>
      <c r="B19454" s="3" t="s">
        <v>93</v>
      </c>
      <c r="C19454" s="6">
        <v>30726</v>
      </c>
      <c r="D19454" s="7">
        <v>1.59</v>
      </c>
    </row>
    <row r="19455" spans="1:4" x14ac:dyDescent="0.25">
      <c r="A19455" t="str">
        <f>HYPERLINK("https://www.773grp.com/globalSearch/74HC374N652/page-1", "74HC374N652")</f>
        <v>74HC374N652</v>
      </c>
      <c r="B19455" s="3" t="s">
        <v>93</v>
      </c>
      <c r="C19455" s="6">
        <v>13140</v>
      </c>
      <c r="D19455" s="7">
        <v>1.59</v>
      </c>
    </row>
    <row r="19456" spans="1:4" x14ac:dyDescent="0.25">
      <c r="A19456" t="str">
        <f>HYPERLINK("https://www.773grp.com/globalSearch/74HC4046APW112/page-1", "74HC4046APW112")</f>
        <v>74HC4046APW112</v>
      </c>
      <c r="B19456" s="3" t="s">
        <v>93</v>
      </c>
      <c r="C19456" s="6">
        <v>4800</v>
      </c>
      <c r="D19456" s="7">
        <v>1.59</v>
      </c>
    </row>
    <row r="19457" spans="1:4" x14ac:dyDescent="0.25">
      <c r="A19457" t="str">
        <f>HYPERLINK("https://www.773grp.com/globalSearch/74HC4066N652/page-1", "74HC4066N652")</f>
        <v>74HC4066N652</v>
      </c>
      <c r="B19457" s="3" t="s">
        <v>93</v>
      </c>
      <c r="C19457" s="6">
        <v>10000</v>
      </c>
      <c r="D19457" s="7">
        <v>1.59</v>
      </c>
    </row>
    <row r="19458" spans="1:4" x14ac:dyDescent="0.25">
      <c r="A19458" t="str">
        <f>HYPERLINK("https://www.773grp.com/globalSearch/74HC541N652/page-1", "74HC541N652")</f>
        <v>74HC541N652</v>
      </c>
      <c r="B19458" s="3" t="s">
        <v>93</v>
      </c>
      <c r="C19458" s="6">
        <v>10800</v>
      </c>
      <c r="D19458" s="7">
        <v>1.59</v>
      </c>
    </row>
    <row r="19459" spans="1:4" x14ac:dyDescent="0.25">
      <c r="A19459" t="str">
        <f>HYPERLINK("https://www.773grp.com/globalSearch/74HC574N652/page-1", "74HC574N652")</f>
        <v>74HC574N652</v>
      </c>
      <c r="B19459" s="3" t="s">
        <v>93</v>
      </c>
      <c r="C19459" s="6">
        <v>29160</v>
      </c>
      <c r="D19459" s="7">
        <v>1.59</v>
      </c>
    </row>
    <row r="19460" spans="1:4" x14ac:dyDescent="0.25">
      <c r="A19460" t="str">
        <f>HYPERLINK("https://www.773grp.com/globalSearch/74HCT244N652/page-1", "74HCT244N652")</f>
        <v>74HCT244N652</v>
      </c>
      <c r="B19460" s="3" t="s">
        <v>93</v>
      </c>
      <c r="C19460" s="6">
        <v>5760</v>
      </c>
      <c r="D19460" s="7">
        <v>1.59</v>
      </c>
    </row>
    <row r="19461" spans="1:4" x14ac:dyDescent="0.25">
      <c r="A19461" t="str">
        <f>HYPERLINK("https://www.773grp.com/globalSearch/74HCT245N652/page-1", "74HCT245N652")</f>
        <v>74HCT245N652</v>
      </c>
      <c r="B19461" s="3" t="s">
        <v>93</v>
      </c>
      <c r="C19461" s="6">
        <v>5008</v>
      </c>
      <c r="D19461" s="7">
        <v>1.59</v>
      </c>
    </row>
    <row r="19462" spans="1:4" x14ac:dyDescent="0.25">
      <c r="A19462" t="str">
        <f>HYPERLINK("https://www.773grp.com/globalSearch/74HCT273N652/page-1", "74HCT273N652")</f>
        <v>74HCT273N652</v>
      </c>
      <c r="B19462" s="3" t="s">
        <v>93</v>
      </c>
      <c r="C19462" s="6">
        <v>19440</v>
      </c>
      <c r="D19462" s="7">
        <v>1.59</v>
      </c>
    </row>
    <row r="19463" spans="1:4" x14ac:dyDescent="0.25">
      <c r="A19463" t="str">
        <f>HYPERLINK("https://www.773grp.com/globalSearch/74HCT373N652/page-1", "74HCT373N652")</f>
        <v>74HCT373N652</v>
      </c>
      <c r="B19463" s="3" t="s">
        <v>93</v>
      </c>
      <c r="C19463" s="6">
        <v>16560</v>
      </c>
      <c r="D19463" s="7">
        <v>1.59</v>
      </c>
    </row>
    <row r="19464" spans="1:4" x14ac:dyDescent="0.25">
      <c r="A19464" t="str">
        <f>HYPERLINK("https://www.773grp.com/globalSearch/74HCT374N652/page-1", "74HCT374N652")</f>
        <v>74HCT374N652</v>
      </c>
      <c r="B19464" s="3" t="s">
        <v>93</v>
      </c>
      <c r="C19464" s="6">
        <v>9360</v>
      </c>
      <c r="D19464" s="7">
        <v>1.59</v>
      </c>
    </row>
    <row r="19465" spans="1:4" x14ac:dyDescent="0.25">
      <c r="A19465" t="str">
        <f>HYPERLINK("https://www.773grp.com/globalSearch/74HCT4060D652/page-1", "74HCT4060D652")</f>
        <v>74HCT4060D652</v>
      </c>
      <c r="B19465" s="3" t="s">
        <v>93</v>
      </c>
      <c r="C19465" s="6">
        <v>8000</v>
      </c>
      <c r="D19465" s="7">
        <v>1.59</v>
      </c>
    </row>
    <row r="19466" spans="1:4" x14ac:dyDescent="0.25">
      <c r="A19466" t="str">
        <f>HYPERLINK("https://www.773grp.com/globalSearch/74HCT4066N112/page-1", "74HCT4066N112")</f>
        <v>74HCT4066N112</v>
      </c>
      <c r="B19466" s="3" t="s">
        <v>93</v>
      </c>
      <c r="C19466" s="6">
        <v>6400</v>
      </c>
      <c r="D19466" s="7">
        <v>1.59</v>
      </c>
    </row>
    <row r="19467" spans="1:4" x14ac:dyDescent="0.25">
      <c r="A19467" t="str">
        <f>HYPERLINK("https://www.773grp.com/globalSearch/74HCT541N652/page-1", "74HCT541N652")</f>
        <v>74HCT541N652</v>
      </c>
      <c r="B19467" s="3" t="s">
        <v>93</v>
      </c>
      <c r="C19467" s="6">
        <v>12960</v>
      </c>
      <c r="D19467" s="7">
        <v>1.59</v>
      </c>
    </row>
    <row r="19468" spans="1:4" x14ac:dyDescent="0.25">
      <c r="A19468" t="str">
        <f>HYPERLINK("https://www.773grp.com/globalSearch/74HCT573N652/page-1", "74HCT573N652")</f>
        <v>74HCT573N652</v>
      </c>
      <c r="B19468" s="3" t="s">
        <v>93</v>
      </c>
      <c r="C19468" s="6">
        <v>7200</v>
      </c>
      <c r="D19468" s="7">
        <v>1.59</v>
      </c>
    </row>
    <row r="19469" spans="1:4" x14ac:dyDescent="0.25">
      <c r="A19469" t="str">
        <f>HYPERLINK("https://www.773grp.com/globalSearch/74HCT574N652/page-1", "74HCT574N652")</f>
        <v>74HCT574N652</v>
      </c>
      <c r="B19469" s="3" t="s">
        <v>93</v>
      </c>
      <c r="C19469" s="6">
        <v>16560</v>
      </c>
      <c r="D19469" s="7">
        <v>1.59</v>
      </c>
    </row>
    <row r="19470" spans="1:4" x14ac:dyDescent="0.25">
      <c r="A19470" t="str">
        <f>HYPERLINK("https://www.773grp.com/globalSearch/74LV393PW112/page-1", "74LV393PW112")</f>
        <v>74LV393PW112</v>
      </c>
      <c r="B19470" s="3" t="s">
        <v>93</v>
      </c>
      <c r="C19470" s="6">
        <v>1906</v>
      </c>
      <c r="D19470" s="7">
        <v>1.59</v>
      </c>
    </row>
    <row r="19471" spans="1:4" x14ac:dyDescent="0.25">
      <c r="A19471" t="str">
        <f>HYPERLINK("https://www.773grp.com/globalSearch/74LV393PW118/page-1", "74LV393PW118")</f>
        <v>74LV393PW118</v>
      </c>
      <c r="B19471" s="3" t="s">
        <v>93</v>
      </c>
      <c r="C19471" s="6">
        <v>2500</v>
      </c>
      <c r="D19471" s="7">
        <v>1.59</v>
      </c>
    </row>
    <row r="19472" spans="1:4" x14ac:dyDescent="0.25">
      <c r="A19472" t="str">
        <f>HYPERLINK("https://www.773grp.com/globalSearch/74LVC162245ADL118/page-1", "74LVC162245ADL118")</f>
        <v>74LVC162245ADL118</v>
      </c>
      <c r="B19472" s="3" t="s">
        <v>93</v>
      </c>
      <c r="C19472" s="6">
        <v>25000</v>
      </c>
      <c r="D19472" s="7">
        <v>1.59</v>
      </c>
    </row>
    <row r="19473" spans="1:4" x14ac:dyDescent="0.25">
      <c r="A19473" t="str">
        <f>HYPERLINK("https://www.773grp.com/globalSearch/74LVT00D112/page-1", "74LVT00D112")</f>
        <v>74LVT00D112</v>
      </c>
      <c r="B19473" s="3" t="s">
        <v>93</v>
      </c>
      <c r="C19473" s="6">
        <v>1065</v>
      </c>
      <c r="D19473" s="7">
        <v>1.59</v>
      </c>
    </row>
    <row r="19474" spans="1:4" x14ac:dyDescent="0.25">
      <c r="A19474" t="str">
        <f>HYPERLINK("https://www.773grp.com/globalSearch/74LVT00DB112/page-1", "74LVT00DB112")</f>
        <v>74LVT00DB112</v>
      </c>
      <c r="B19474" s="3" t="s">
        <v>93</v>
      </c>
      <c r="C19474" s="6">
        <v>1092</v>
      </c>
      <c r="D19474" s="7">
        <v>1.59</v>
      </c>
    </row>
    <row r="19475" spans="1:4" x14ac:dyDescent="0.25">
      <c r="A19475" t="str">
        <f>HYPERLINK("https://www.773grp.com/globalSearch/74LVT00PW112/page-1", "74LVT00PW112")</f>
        <v>74LVT00PW112</v>
      </c>
      <c r="B19475" s="3" t="s">
        <v>93</v>
      </c>
      <c r="C19475" s="6">
        <v>2400</v>
      </c>
      <c r="D19475" s="7">
        <v>1.59</v>
      </c>
    </row>
    <row r="19476" spans="1:4" x14ac:dyDescent="0.25">
      <c r="A19476" t="str">
        <f>HYPERLINK("https://www.773grp.com/globalSearch/74LVT02D112/page-1", "74LVT02D112")</f>
        <v>74LVT02D112</v>
      </c>
      <c r="B19476" s="3" t="s">
        <v>93</v>
      </c>
      <c r="C19476" s="6">
        <v>1140</v>
      </c>
      <c r="D19476" s="7">
        <v>1.59</v>
      </c>
    </row>
    <row r="19477" spans="1:4" x14ac:dyDescent="0.25">
      <c r="A19477" t="str">
        <f>HYPERLINK("https://www.773grp.com/globalSearch/74LVT02DB112/page-1", "74LVT02DB112")</f>
        <v>74LVT02DB112</v>
      </c>
      <c r="B19477" s="3" t="s">
        <v>93</v>
      </c>
      <c r="C19477" s="6">
        <v>1870</v>
      </c>
      <c r="D19477" s="7">
        <v>1.59</v>
      </c>
    </row>
    <row r="19478" spans="1:4" x14ac:dyDescent="0.25">
      <c r="A19478" t="str">
        <f>HYPERLINK("https://www.773grp.com/globalSearch/74LVT02PW112/page-1", "74LVT02PW112")</f>
        <v>74LVT02PW112</v>
      </c>
      <c r="B19478" s="3" t="s">
        <v>93</v>
      </c>
      <c r="C19478" s="6">
        <v>4800</v>
      </c>
      <c r="D19478" s="7">
        <v>1.59</v>
      </c>
    </row>
    <row r="19479" spans="1:4" x14ac:dyDescent="0.25">
      <c r="A19479" t="str">
        <f>HYPERLINK("https://www.773grp.com/globalSearch/74LVT04D118/page-1", "74LVT04D118")</f>
        <v>74LVT04D118</v>
      </c>
      <c r="B19479" s="3" t="s">
        <v>93</v>
      </c>
      <c r="C19479" s="6">
        <v>2500</v>
      </c>
      <c r="D19479" s="7">
        <v>1.59</v>
      </c>
    </row>
    <row r="19480" spans="1:4" x14ac:dyDescent="0.25">
      <c r="A19480" t="str">
        <f>HYPERLINK("https://www.773grp.com/globalSearch/74LVT04DB112/page-1", "74LVT04DB112")</f>
        <v>74LVT04DB112</v>
      </c>
      <c r="B19480" s="3" t="s">
        <v>93</v>
      </c>
      <c r="C19480" s="6">
        <v>631</v>
      </c>
      <c r="D19480" s="7">
        <v>1.59</v>
      </c>
    </row>
    <row r="19481" spans="1:4" x14ac:dyDescent="0.25">
      <c r="A19481" t="str">
        <f>HYPERLINK("https://www.773grp.com/globalSearch/74LVT08D112/page-1", "74LVT08D112")</f>
        <v>74LVT08D112</v>
      </c>
      <c r="B19481" s="3" t="s">
        <v>93</v>
      </c>
      <c r="C19481" s="6">
        <v>2280</v>
      </c>
      <c r="D19481" s="7">
        <v>1.59</v>
      </c>
    </row>
    <row r="19482" spans="1:4" x14ac:dyDescent="0.25">
      <c r="A19482" t="str">
        <f>HYPERLINK("https://www.773grp.com/globalSearch/74LVT08D118/page-1", "74LVT08D118")</f>
        <v>74LVT08D118</v>
      </c>
      <c r="B19482" s="3" t="s">
        <v>93</v>
      </c>
      <c r="C19482" s="6">
        <v>248</v>
      </c>
      <c r="D19482" s="7">
        <v>1.59</v>
      </c>
    </row>
    <row r="19483" spans="1:4" x14ac:dyDescent="0.25">
      <c r="A19483" t="str">
        <f>HYPERLINK("https://www.773grp.com/globalSearch/74LVT08DB112/page-1", "74LVT08DB112")</f>
        <v>74LVT08DB112</v>
      </c>
      <c r="B19483" s="3" t="s">
        <v>93</v>
      </c>
      <c r="C19483" s="6">
        <v>1092</v>
      </c>
      <c r="D19483" s="7">
        <v>1.59</v>
      </c>
    </row>
    <row r="19484" spans="1:4" x14ac:dyDescent="0.25">
      <c r="A19484" t="str">
        <f>HYPERLINK("https://www.773grp.com/globalSearch/74LVT08PW112/page-1", "74LVT08PW112")</f>
        <v>74LVT08PW112</v>
      </c>
      <c r="B19484" s="3" t="s">
        <v>93</v>
      </c>
      <c r="C19484" s="6">
        <v>4600</v>
      </c>
      <c r="D19484" s="7">
        <v>1.59</v>
      </c>
    </row>
    <row r="19485" spans="1:4" x14ac:dyDescent="0.25">
      <c r="A19485" t="str">
        <f>HYPERLINK("https://www.773grp.com/globalSearch/74LVT10D112/page-1", "74LVT10D112")</f>
        <v>74LVT10D112</v>
      </c>
      <c r="B19485" s="3" t="s">
        <v>93</v>
      </c>
      <c r="C19485" s="6">
        <v>1140</v>
      </c>
      <c r="D19485" s="7">
        <v>1.59</v>
      </c>
    </row>
    <row r="19486" spans="1:4" x14ac:dyDescent="0.25">
      <c r="A19486" t="str">
        <f>HYPERLINK("https://www.773grp.com/globalSearch/74LVT10DB112/page-1", "74LVT10DB112")</f>
        <v>74LVT10DB112</v>
      </c>
      <c r="B19486" s="3" t="s">
        <v>93</v>
      </c>
      <c r="C19486" s="6">
        <v>1092</v>
      </c>
      <c r="D19486" s="7">
        <v>1.59</v>
      </c>
    </row>
    <row r="19487" spans="1:4" x14ac:dyDescent="0.25">
      <c r="A19487" t="str">
        <f>HYPERLINK("https://www.773grp.com/globalSearch/74LVT14D112/page-1", "74LVT14D112")</f>
        <v>74LVT14D112</v>
      </c>
      <c r="B19487" s="3" t="s">
        <v>93</v>
      </c>
      <c r="C19487" s="6">
        <v>5130</v>
      </c>
      <c r="D19487" s="7">
        <v>1.59</v>
      </c>
    </row>
    <row r="19488" spans="1:4" x14ac:dyDescent="0.25">
      <c r="A19488" t="str">
        <f>HYPERLINK("https://www.773grp.com/globalSearch/74LVT162373DGG118/page-1", "74LVT162373DGG118")</f>
        <v>74LVT162373DGG118</v>
      </c>
      <c r="B19488" s="3" t="s">
        <v>93</v>
      </c>
      <c r="C19488" s="6">
        <v>4693</v>
      </c>
      <c r="D19488" s="7">
        <v>1.59</v>
      </c>
    </row>
    <row r="19489" spans="1:4" x14ac:dyDescent="0.25">
      <c r="A19489" t="str">
        <f>HYPERLINK("https://www.773grp.com/globalSearch/74LVT16244BDL118/page-1", "74LVT16244BDL118")</f>
        <v>74LVT16244BDL118</v>
      </c>
      <c r="B19489" s="3" t="s">
        <v>93</v>
      </c>
      <c r="C19489" s="6">
        <v>13080</v>
      </c>
      <c r="D19489" s="7">
        <v>1.59</v>
      </c>
    </row>
    <row r="19490" spans="1:4" x14ac:dyDescent="0.25">
      <c r="A19490" t="str">
        <f>HYPERLINK("https://www.773grp.com/globalSearch/74LVT16373ADGG112/page-1", "74LVT16373ADGG112")</f>
        <v>74LVT16373ADGG112</v>
      </c>
      <c r="B19490" s="3" t="s">
        <v>93</v>
      </c>
      <c r="C19490" s="6">
        <v>6825</v>
      </c>
      <c r="D19490" s="7">
        <v>1.59</v>
      </c>
    </row>
    <row r="19491" spans="1:4" x14ac:dyDescent="0.25">
      <c r="A19491" t="str">
        <f>HYPERLINK("https://www.773grp.com/globalSearch/74LVT16373ADGG118/page-1", "74LVT16373ADGG118")</f>
        <v>74LVT16373ADGG118</v>
      </c>
      <c r="B19491" s="3" t="s">
        <v>93</v>
      </c>
      <c r="C19491" s="6">
        <v>2000</v>
      </c>
      <c r="D19491" s="7">
        <v>1.59</v>
      </c>
    </row>
    <row r="19492" spans="1:4" x14ac:dyDescent="0.25">
      <c r="A19492" t="str">
        <f>HYPERLINK("https://www.773grp.com/globalSearch/74LVT74D112/page-1", "74LVT74D112")</f>
        <v>74LVT74D112</v>
      </c>
      <c r="B19492" s="3" t="s">
        <v>93</v>
      </c>
      <c r="C19492" s="6">
        <v>3654</v>
      </c>
      <c r="D19492" s="7">
        <v>1.59</v>
      </c>
    </row>
    <row r="19493" spans="1:4" x14ac:dyDescent="0.25">
      <c r="A19493" t="str">
        <f>HYPERLINK("https://www.773grp.com/globalSearch/74LVT74DB112/page-1", "74LVT74DB112")</f>
        <v>74LVT74DB112</v>
      </c>
      <c r="B19493" s="3" t="s">
        <v>93</v>
      </c>
      <c r="C19493" s="6">
        <v>1072</v>
      </c>
      <c r="D19493" s="7">
        <v>1.59</v>
      </c>
    </row>
    <row r="19494" spans="1:4" x14ac:dyDescent="0.25">
      <c r="A19494" t="str">
        <f>HYPERLINK("https://www.773grp.com/globalSearch/BAT120C115/page-1", "BAT120C115")</f>
        <v>BAT120C115</v>
      </c>
      <c r="B19494" s="3" t="s">
        <v>93</v>
      </c>
      <c r="C19494" s="6">
        <v>3000</v>
      </c>
      <c r="D19494" s="7">
        <v>1.59</v>
      </c>
    </row>
    <row r="19495" spans="1:4" x14ac:dyDescent="0.25">
      <c r="A19495" t="str">
        <f>HYPERLINK("https://www.773grp.com/globalSearch/BAT120S115/page-1", "BAT120S115")</f>
        <v>BAT120S115</v>
      </c>
      <c r="B19495" s="3" t="s">
        <v>93</v>
      </c>
      <c r="C19495" s="6">
        <v>2000</v>
      </c>
      <c r="D19495" s="7">
        <v>1.59</v>
      </c>
    </row>
    <row r="19496" spans="1:4" x14ac:dyDescent="0.25">
      <c r="A19496" t="str">
        <f>HYPERLINK("https://www.773grp.com/globalSearch/BFG135115/page-1", "BFG135115")</f>
        <v>BFG135115</v>
      </c>
      <c r="B19496" s="3" t="s">
        <v>93</v>
      </c>
      <c r="C19496" s="6">
        <v>692</v>
      </c>
      <c r="D19496" s="7">
        <v>1.59</v>
      </c>
    </row>
    <row r="19497" spans="1:4" x14ac:dyDescent="0.25">
      <c r="A19497" t="str">
        <f>HYPERLINK("https://www.773grp.com/globalSearch/BGA2031-1115/page-1", "BGA2031-1115")</f>
        <v>BGA2031-1115</v>
      </c>
      <c r="B19497" s="3" t="s">
        <v>93</v>
      </c>
      <c r="C19497" s="6">
        <v>33000</v>
      </c>
      <c r="D19497" s="7">
        <v>1.59</v>
      </c>
    </row>
    <row r="19498" spans="1:4" x14ac:dyDescent="0.25">
      <c r="A19498" t="str">
        <f>HYPERLINK("https://www.773grp.com/globalSearch/BSP130115/page-1", "BSP130115")</f>
        <v>BSP130115</v>
      </c>
      <c r="B19498" s="3" t="s">
        <v>93</v>
      </c>
      <c r="C19498" s="6">
        <v>1000</v>
      </c>
      <c r="D19498" s="7">
        <v>1.59</v>
      </c>
    </row>
    <row r="19499" spans="1:4" x14ac:dyDescent="0.25">
      <c r="A19499" t="str">
        <f>HYPERLINK("https://www.773grp.com/globalSearch/BT138B-600118/page-1", "BT138B-600118")</f>
        <v>BT138B-600118</v>
      </c>
      <c r="B19499" s="3" t="s">
        <v>93</v>
      </c>
      <c r="C19499" s="6">
        <v>1600</v>
      </c>
      <c r="D19499" s="7">
        <v>1.59</v>
      </c>
    </row>
    <row r="19500" spans="1:4" x14ac:dyDescent="0.25">
      <c r="A19500" t="str">
        <f>HYPERLINK("https://www.773grp.com/globalSearch/BT139B-600E118/page-1", "BT139B-600E118")</f>
        <v>BT139B-600E118</v>
      </c>
      <c r="B19500" s="3" t="s">
        <v>93</v>
      </c>
      <c r="C19500" s="6">
        <v>1235</v>
      </c>
      <c r="D19500" s="7">
        <v>1.59</v>
      </c>
    </row>
    <row r="19501" spans="1:4" x14ac:dyDescent="0.25">
      <c r="A19501" t="str">
        <f>HYPERLINK("https://www.773grp.com/globalSearch/BTA212X-600D127/page-1", "BTA212X-600D127")</f>
        <v>BTA212X-600D127</v>
      </c>
      <c r="B19501" s="3" t="s">
        <v>93</v>
      </c>
      <c r="C19501" s="6">
        <v>7000</v>
      </c>
      <c r="D19501" s="7">
        <v>1.59</v>
      </c>
    </row>
    <row r="19502" spans="1:4" x14ac:dyDescent="0.25">
      <c r="A19502" t="str">
        <f>HYPERLINK("https://www.773grp.com/globalSearch/BTA212X-600E127/page-1", "BTA212X-600E127")</f>
        <v>BTA212X-600E127</v>
      </c>
      <c r="B19502" s="3" t="s">
        <v>93</v>
      </c>
      <c r="C19502" s="6">
        <v>2000</v>
      </c>
      <c r="D19502" s="7">
        <v>1.59</v>
      </c>
    </row>
    <row r="19503" spans="1:4" x14ac:dyDescent="0.25">
      <c r="A19503" t="str">
        <f>HYPERLINK("https://www.773grp.com/globalSearch/BTA216-600B-DG127/page-1", "BTA216-600B-DG127")</f>
        <v>BTA216-600B-DG127</v>
      </c>
      <c r="B19503" s="3" t="s">
        <v>93</v>
      </c>
      <c r="C19503" s="6">
        <v>5000</v>
      </c>
      <c r="D19503" s="7">
        <v>1.59</v>
      </c>
    </row>
    <row r="19504" spans="1:4" x14ac:dyDescent="0.25">
      <c r="A19504" t="str">
        <f>HYPERLINK("https://www.773grp.com/globalSearch/BTA216-600B127/page-1", "BTA216-600B127")</f>
        <v>BTA216-600B127</v>
      </c>
      <c r="B19504" s="3" t="s">
        <v>93</v>
      </c>
      <c r="C19504" s="6">
        <v>1592</v>
      </c>
      <c r="D19504" s="7">
        <v>1.59</v>
      </c>
    </row>
    <row r="19505" spans="1:4" x14ac:dyDescent="0.25">
      <c r="A19505" t="str">
        <f>HYPERLINK("https://www.773grp.com/globalSearch/BTA312-600B-DG127/page-1", "BTA312-600B-DG127")</f>
        <v>BTA312-600B-DG127</v>
      </c>
      <c r="B19505" s="3" t="s">
        <v>93</v>
      </c>
      <c r="C19505" s="6">
        <v>945</v>
      </c>
      <c r="D19505" s="7">
        <v>1.59</v>
      </c>
    </row>
    <row r="19506" spans="1:4" x14ac:dyDescent="0.25">
      <c r="A19506" t="str">
        <f>HYPERLINK("https://www.773grp.com/globalSearch/BTA312-600B127/page-1", "BTA312-600B127")</f>
        <v>BTA312-600B127</v>
      </c>
      <c r="B19506" s="3" t="s">
        <v>93</v>
      </c>
      <c r="C19506" s="6">
        <v>4000</v>
      </c>
      <c r="D19506" s="7">
        <v>1.59</v>
      </c>
    </row>
    <row r="19507" spans="1:4" x14ac:dyDescent="0.25">
      <c r="A19507" t="str">
        <f>HYPERLINK("https://www.773grp.com/globalSearch/BTA312-600C127/page-1", "BTA312-600C127")</f>
        <v>BTA312-600C127</v>
      </c>
      <c r="B19507" s="3" t="s">
        <v>93</v>
      </c>
      <c r="C19507" s="6">
        <v>3000</v>
      </c>
      <c r="D19507" s="7">
        <v>1.59</v>
      </c>
    </row>
    <row r="19508" spans="1:4" x14ac:dyDescent="0.25">
      <c r="A19508" t="str">
        <f>HYPERLINK("https://www.773grp.com/globalSearch/BTA312-600D127/page-1", "BTA312-600D127")</f>
        <v>BTA312-600D127</v>
      </c>
      <c r="B19508" s="3" t="s">
        <v>93</v>
      </c>
      <c r="C19508" s="6">
        <v>140</v>
      </c>
      <c r="D19508" s="7">
        <v>1.59</v>
      </c>
    </row>
    <row r="19509" spans="1:4" x14ac:dyDescent="0.25">
      <c r="A19509" t="str">
        <f>HYPERLINK("https://www.773grp.com/globalSearch/BTA312-800B127/page-1", "BTA312-800B127")</f>
        <v>BTA312-800B127</v>
      </c>
      <c r="B19509" s="3" t="s">
        <v>93</v>
      </c>
      <c r="C19509" s="6">
        <v>4000</v>
      </c>
      <c r="D19509" s="7">
        <v>1.59</v>
      </c>
    </row>
    <row r="19510" spans="1:4" x14ac:dyDescent="0.25">
      <c r="A19510" t="str">
        <f>HYPERLINK("https://www.773grp.com/globalSearch/BTA312-800C127/page-1", "BTA312-800C127")</f>
        <v>BTA312-800C127</v>
      </c>
      <c r="B19510" s="3" t="s">
        <v>93</v>
      </c>
      <c r="C19510" s="6">
        <v>8150</v>
      </c>
      <c r="D19510" s="7">
        <v>1.59</v>
      </c>
    </row>
    <row r="19511" spans="1:4" x14ac:dyDescent="0.25">
      <c r="A19511" t="str">
        <f>HYPERLINK("https://www.773grp.com/globalSearch/BTA312-800E127/page-1", "BTA312-800E127")</f>
        <v>BTA312-800E127</v>
      </c>
      <c r="B19511" s="3" t="s">
        <v>93</v>
      </c>
      <c r="C19511" s="6">
        <v>3190</v>
      </c>
      <c r="D19511" s="7">
        <v>1.59</v>
      </c>
    </row>
    <row r="19512" spans="1:4" x14ac:dyDescent="0.25">
      <c r="A19512" t="str">
        <f>HYPERLINK("https://www.773grp.com/globalSearch/BTA312-800ET127/page-1", "BTA312-800ET127")</f>
        <v>BTA312-800ET127</v>
      </c>
      <c r="B19512" s="3" t="s">
        <v>93</v>
      </c>
      <c r="C19512" s="6">
        <v>150</v>
      </c>
      <c r="D19512" s="7">
        <v>1.59</v>
      </c>
    </row>
    <row r="19513" spans="1:4" x14ac:dyDescent="0.25">
      <c r="A19513" t="str">
        <f>HYPERLINK("https://www.773grp.com/globalSearch/BYC5X-600127/page-1", "BYC5X-600127")</f>
        <v>BYC5X-600127</v>
      </c>
      <c r="B19513" s="3" t="s">
        <v>93</v>
      </c>
      <c r="C19513" s="6">
        <v>150</v>
      </c>
      <c r="D19513" s="7">
        <v>1.59</v>
      </c>
    </row>
    <row r="19514" spans="1:4" x14ac:dyDescent="0.25">
      <c r="A19514" t="str">
        <f>HYPERLINK("https://www.773grp.com/globalSearch/BYC8X-600127/page-1", "BYC8X-600127")</f>
        <v>BYC8X-600127</v>
      </c>
      <c r="B19514" s="3" t="s">
        <v>93</v>
      </c>
      <c r="C19514" s="6">
        <v>2000</v>
      </c>
      <c r="D19514" s="7">
        <v>1.59</v>
      </c>
    </row>
    <row r="19515" spans="1:4" x14ac:dyDescent="0.25">
      <c r="A19515" t="str">
        <f>HYPERLINK("https://www.773grp.com/globalSearch/GTL2003PW112/page-1", "GTL2003PW112")</f>
        <v>GTL2003PW112</v>
      </c>
      <c r="B19515" s="3" t="s">
        <v>93</v>
      </c>
      <c r="C19515" s="6">
        <v>193</v>
      </c>
      <c r="D19515" s="7">
        <v>1.59</v>
      </c>
    </row>
    <row r="19516" spans="1:4" x14ac:dyDescent="0.25">
      <c r="A19516" t="str">
        <f>HYPERLINK("https://www.773grp.com/globalSearch/GTL2012DP118/page-1", "GTL2012DP118")</f>
        <v>GTL2012DP118</v>
      </c>
      <c r="B19516" s="3" t="s">
        <v>93</v>
      </c>
      <c r="C19516" s="6">
        <v>2283</v>
      </c>
      <c r="D19516" s="7">
        <v>1.59</v>
      </c>
    </row>
    <row r="19517" spans="1:4" x14ac:dyDescent="0.25">
      <c r="A19517" t="str">
        <f>HYPERLINK("https://www.773grp.com/globalSearch/HEF4049BP652/page-1", "HEF4049BP652")</f>
        <v>HEF4049BP652</v>
      </c>
      <c r="B19517" s="3" t="s">
        <v>93</v>
      </c>
      <c r="C19517" s="6">
        <v>10000</v>
      </c>
      <c r="D19517" s="7">
        <v>1.59</v>
      </c>
    </row>
    <row r="19518" spans="1:4" x14ac:dyDescent="0.25">
      <c r="A19518" t="str">
        <f>HYPERLINK("https://www.773grp.com/globalSearch/IP3088CX20135/page-1", "IP3088CX20135")</f>
        <v>IP3088CX20135</v>
      </c>
      <c r="B19518" s="3" t="s">
        <v>93</v>
      </c>
      <c r="C19518" s="6">
        <v>4500</v>
      </c>
      <c r="D19518" s="7">
        <v>1.59</v>
      </c>
    </row>
    <row r="19519" spans="1:4" x14ac:dyDescent="0.25">
      <c r="A19519" t="str">
        <f>HYPERLINK("https://www.773grp.com/globalSearch/IP4769CZ14118/page-1", "IP4769CZ14118")</f>
        <v>IP4769CZ14118</v>
      </c>
      <c r="B19519" s="3" t="s">
        <v>93</v>
      </c>
      <c r="C19519" s="6">
        <v>2500</v>
      </c>
      <c r="D19519" s="7">
        <v>1.59</v>
      </c>
    </row>
    <row r="19520" spans="1:4" x14ac:dyDescent="0.25">
      <c r="A19520" t="str">
        <f>HYPERLINK("https://www.773grp.com/globalSearch/NTS0104BQ115/page-1", "NTS0104BQ115")</f>
        <v>NTS0104BQ115</v>
      </c>
      <c r="B19520" s="3" t="s">
        <v>93</v>
      </c>
      <c r="C19520" s="6">
        <v>40</v>
      </c>
      <c r="D19520" s="7">
        <v>1.59</v>
      </c>
    </row>
    <row r="19521" spans="1:4" x14ac:dyDescent="0.25">
      <c r="A19521" t="str">
        <f>HYPERLINK("https://www.773grp.com/globalSearch/NX3L4053HR115/page-1", "NX3L4053HR115")</f>
        <v>NX3L4053HR115</v>
      </c>
      <c r="B19521" s="3" t="s">
        <v>93</v>
      </c>
      <c r="C19521" s="6">
        <v>13500</v>
      </c>
      <c r="D19521" s="7">
        <v>1.59</v>
      </c>
    </row>
    <row r="19522" spans="1:4" x14ac:dyDescent="0.25">
      <c r="A19522" t="str">
        <f>HYPERLINK("https://www.773grp.com/globalSearch/OT411127/page-1", "OT411127")</f>
        <v>OT411127</v>
      </c>
      <c r="B19522" s="3" t="s">
        <v>93</v>
      </c>
      <c r="C19522" s="6">
        <v>2000</v>
      </c>
      <c r="D19522" s="7">
        <v>1.59</v>
      </c>
    </row>
    <row r="19523" spans="1:4" x14ac:dyDescent="0.25">
      <c r="A19523" t="str">
        <f>HYPERLINK("https://www.773grp.com/globalSearch/PBSS301NZ135/page-1", "PBSS301NZ135")</f>
        <v>PBSS301NZ135</v>
      </c>
      <c r="B19523" s="3" t="s">
        <v>93</v>
      </c>
      <c r="C19523" s="6">
        <v>8550</v>
      </c>
      <c r="D19523" s="7">
        <v>1.59</v>
      </c>
    </row>
    <row r="19524" spans="1:4" x14ac:dyDescent="0.25">
      <c r="A19524" t="str">
        <f>HYPERLINK("https://www.773grp.com/globalSearch/PBSS4021SN115/page-1", "PBSS4021SN115")</f>
        <v>PBSS4021SN115</v>
      </c>
      <c r="B19524" s="3" t="s">
        <v>93</v>
      </c>
      <c r="C19524" s="6">
        <v>2000</v>
      </c>
      <c r="D19524" s="7">
        <v>1.59</v>
      </c>
    </row>
    <row r="19525" spans="1:4" x14ac:dyDescent="0.25">
      <c r="A19525" t="str">
        <f>HYPERLINK("https://www.773grp.com/globalSearch/PBSS4021SP115/page-1", "PBSS4021SP115")</f>
        <v>PBSS4021SP115</v>
      </c>
      <c r="B19525" s="3" t="s">
        <v>93</v>
      </c>
      <c r="C19525" s="6">
        <v>2000</v>
      </c>
      <c r="D19525" s="7">
        <v>1.59</v>
      </c>
    </row>
    <row r="19526" spans="1:4" x14ac:dyDescent="0.25">
      <c r="A19526" t="str">
        <f>HYPERLINK("https://www.773grp.com/globalSearch/PBSS4021SPN115/page-1", "PBSS4021SPN115")</f>
        <v>PBSS4021SPN115</v>
      </c>
      <c r="B19526" s="3" t="s">
        <v>93</v>
      </c>
      <c r="C19526" s="6">
        <v>1000</v>
      </c>
      <c r="D19526" s="7">
        <v>1.59</v>
      </c>
    </row>
    <row r="19527" spans="1:4" x14ac:dyDescent="0.25">
      <c r="A19527" t="str">
        <f>HYPERLINK("https://www.773grp.com/globalSearch/PBSS4032SN115/page-1", "PBSS4032SN115")</f>
        <v>PBSS4032SN115</v>
      </c>
      <c r="B19527" s="3" t="s">
        <v>93</v>
      </c>
      <c r="C19527" s="6">
        <v>3750</v>
      </c>
      <c r="D19527" s="7">
        <v>1.59</v>
      </c>
    </row>
    <row r="19528" spans="1:4" x14ac:dyDescent="0.25">
      <c r="A19528" t="str">
        <f>HYPERLINK("https://www.773grp.com/globalSearch/PBSS4032SP115/page-1", "PBSS4032SP115")</f>
        <v>PBSS4032SP115</v>
      </c>
      <c r="B19528" s="3" t="s">
        <v>93</v>
      </c>
      <c r="C19528" s="6">
        <v>2532</v>
      </c>
      <c r="D19528" s="7">
        <v>1.59</v>
      </c>
    </row>
    <row r="19529" spans="1:4" x14ac:dyDescent="0.25">
      <c r="A19529" t="str">
        <f>HYPERLINK("https://www.773grp.com/globalSearch/PBSS4032SPN115/page-1", "PBSS4032SPN115")</f>
        <v>PBSS4032SPN115</v>
      </c>
      <c r="B19529" s="3" t="s">
        <v>93</v>
      </c>
      <c r="C19529" s="6">
        <v>5000</v>
      </c>
      <c r="D19529" s="7">
        <v>1.59</v>
      </c>
    </row>
    <row r="19530" spans="1:4" x14ac:dyDescent="0.25">
      <c r="A19530" t="str">
        <f>HYPERLINK("https://www.773grp.com/globalSearch/PBSS4041SP115/page-1", "PBSS4041SP115")</f>
        <v>PBSS4041SP115</v>
      </c>
      <c r="B19530" s="3" t="s">
        <v>93</v>
      </c>
      <c r="C19530" s="6">
        <v>2809</v>
      </c>
      <c r="D19530" s="7">
        <v>1.59</v>
      </c>
    </row>
    <row r="19531" spans="1:4" x14ac:dyDescent="0.25">
      <c r="A19531" t="str">
        <f>HYPERLINK("https://www.773grp.com/globalSearch/PBSS4041SPN115/page-1", "PBSS4041SPN115")</f>
        <v>PBSS4041SPN115</v>
      </c>
      <c r="B19531" s="3" t="s">
        <v>93</v>
      </c>
      <c r="C19531" s="6">
        <v>2000</v>
      </c>
      <c r="D19531" s="7">
        <v>1.59</v>
      </c>
    </row>
    <row r="19532" spans="1:4" x14ac:dyDescent="0.25">
      <c r="A19532" t="str">
        <f>HYPERLINK("https://www.773grp.com/globalSearch/PCA9509AGM125/page-1", "PCA9509AGM125")</f>
        <v>PCA9509AGM125</v>
      </c>
      <c r="B19532" s="3" t="s">
        <v>93</v>
      </c>
      <c r="C19532" s="6">
        <v>101</v>
      </c>
      <c r="D19532" s="7">
        <v>1.59</v>
      </c>
    </row>
    <row r="19533" spans="1:4" x14ac:dyDescent="0.25">
      <c r="A19533" t="str">
        <f>HYPERLINK("https://www.773grp.com/globalSearch/PCA9509PGM125/page-1", "PCA9509PGM125")</f>
        <v>PCA9509PGM125</v>
      </c>
      <c r="B19533" s="3" t="s">
        <v>93</v>
      </c>
      <c r="C19533" s="6">
        <v>4300</v>
      </c>
      <c r="D19533" s="7">
        <v>1.59</v>
      </c>
    </row>
    <row r="19534" spans="1:4" x14ac:dyDescent="0.25">
      <c r="A19534" t="str">
        <f>HYPERLINK("https://www.773grp.com/globalSearch/PML340SN118/page-1", "PML340SN118")</f>
        <v>PML340SN118</v>
      </c>
      <c r="B19534" s="3" t="s">
        <v>93</v>
      </c>
      <c r="C19534" s="6">
        <v>160</v>
      </c>
      <c r="D19534" s="7">
        <v>1.59</v>
      </c>
    </row>
    <row r="19535" spans="1:4" x14ac:dyDescent="0.25">
      <c r="A19535" t="str">
        <f>HYPERLINK("https://www.773grp.com/globalSearch/PSMN013-80YS115/page-1", "PSMN013-80YS115")</f>
        <v>PSMN013-80YS115</v>
      </c>
      <c r="B19535" s="3" t="s">
        <v>93</v>
      </c>
      <c r="C19535" s="6">
        <v>7500</v>
      </c>
      <c r="D19535" s="7">
        <v>1.59</v>
      </c>
    </row>
    <row r="19536" spans="1:4" x14ac:dyDescent="0.25">
      <c r="A19536" t="str">
        <f>HYPERLINK("https://www.773grp.com/globalSearch/PSMN034-100BS118/page-1", "PSMN034-100BS118")</f>
        <v>PSMN034-100BS118</v>
      </c>
      <c r="B19536" s="3" t="s">
        <v>93</v>
      </c>
      <c r="C19536" s="6">
        <v>100</v>
      </c>
      <c r="D19536" s="7">
        <v>1.59</v>
      </c>
    </row>
    <row r="19537" spans="1:4" x14ac:dyDescent="0.25">
      <c r="A19537" t="str">
        <f>HYPERLINK("https://www.773grp.com/globalSearch/PSMN034-100PS127/page-1", "PSMN034-100PS127")</f>
        <v>PSMN034-100PS127</v>
      </c>
      <c r="B19537" s="3" t="s">
        <v>93</v>
      </c>
      <c r="C19537" s="6">
        <v>5000</v>
      </c>
      <c r="D19537" s="7">
        <v>1.59</v>
      </c>
    </row>
    <row r="19538" spans="1:4" x14ac:dyDescent="0.25">
      <c r="A19538" t="str">
        <f>HYPERLINK("https://www.773grp.com/globalSearch/PSMN8R0-40BS118/page-1", "PSMN8R0-40BS118")</f>
        <v>PSMN8R0-40BS118</v>
      </c>
      <c r="B19538" s="3" t="s">
        <v>93</v>
      </c>
      <c r="C19538" s="6">
        <v>132</v>
      </c>
      <c r="D19538" s="7">
        <v>1.59</v>
      </c>
    </row>
    <row r="19539" spans="1:4" x14ac:dyDescent="0.25">
      <c r="A19539" t="str">
        <f>HYPERLINK("https://www.773grp.com/globalSearch/PSMN8R040PS127/page-1", "PSMN8R040PS127")</f>
        <v>PSMN8R040PS127</v>
      </c>
      <c r="B19539" s="3" t="s">
        <v>93</v>
      </c>
      <c r="C19539" s="6">
        <v>104</v>
      </c>
      <c r="D19539" s="7">
        <v>1.59</v>
      </c>
    </row>
    <row r="19540" spans="1:4" x14ac:dyDescent="0.25">
      <c r="A19540" t="str">
        <f>HYPERLINK("https://www.773grp.com/globalSearch/PTN36241BBS118/page-1", "PTN36241BBS118")</f>
        <v>PTN36241BBS118</v>
      </c>
      <c r="B19540" s="3" t="s">
        <v>93</v>
      </c>
      <c r="C19540" s="6">
        <v>30000</v>
      </c>
      <c r="D19540" s="7">
        <v>1.59</v>
      </c>
    </row>
    <row r="19541" spans="1:4" x14ac:dyDescent="0.25">
      <c r="A19541" t="str">
        <f>HYPERLINK("https://www.773grp.com/globalSearch/SA56004AD112/page-1", "SA56004AD112")</f>
        <v>SA56004AD112</v>
      </c>
      <c r="B19541" s="3" t="s">
        <v>93</v>
      </c>
      <c r="C19541" s="6">
        <v>3655</v>
      </c>
      <c r="D19541" s="7">
        <v>1.59</v>
      </c>
    </row>
    <row r="19542" spans="1:4" x14ac:dyDescent="0.25">
      <c r="A19542" t="str">
        <f>HYPERLINK("https://www.773grp.com/globalSearch/SA56004ADP118/page-1", "SA56004ADP118")</f>
        <v>SA56004ADP118</v>
      </c>
      <c r="B19542" s="3" t="s">
        <v>93</v>
      </c>
      <c r="C19542" s="6">
        <v>2500</v>
      </c>
      <c r="D19542" s="7">
        <v>1.59</v>
      </c>
    </row>
    <row r="19543" spans="1:4" x14ac:dyDescent="0.25">
      <c r="A19543" t="str">
        <f>HYPERLINK("https://www.773grp.com/globalSearch/SA56004ATK118/page-1", "SA56004ATK118")</f>
        <v>SA56004ATK118</v>
      </c>
      <c r="B19543" s="3" t="s">
        <v>93</v>
      </c>
      <c r="C19543" s="6">
        <v>17900</v>
      </c>
      <c r="D19543" s="7">
        <v>1.59</v>
      </c>
    </row>
    <row r="19544" spans="1:4" x14ac:dyDescent="0.25">
      <c r="A19544" t="str">
        <f>HYPERLINK("https://www.773grp.com/globalSearch/SA56004CD112/page-1", "SA56004CD112")</f>
        <v>SA56004CD112</v>
      </c>
      <c r="B19544" s="3" t="s">
        <v>93</v>
      </c>
      <c r="C19544" s="6">
        <v>10</v>
      </c>
      <c r="D19544" s="7">
        <v>1.59</v>
      </c>
    </row>
    <row r="19545" spans="1:4" x14ac:dyDescent="0.25">
      <c r="A19545" t="str">
        <f>HYPERLINK("https://www.773grp.com/globalSearch/SA56004DD112/page-1", "SA56004DD112")</f>
        <v>SA56004DD112</v>
      </c>
      <c r="B19545" s="3" t="s">
        <v>93</v>
      </c>
      <c r="C19545" s="6">
        <v>1700</v>
      </c>
      <c r="D19545" s="7">
        <v>1.59</v>
      </c>
    </row>
    <row r="19546" spans="1:4" x14ac:dyDescent="0.25">
      <c r="A19546" t="str">
        <f>HYPERLINK("https://www.773grp.com/globalSearch/SA56004DD118/page-1", "SA56004DD118")</f>
        <v>SA56004DD118</v>
      </c>
      <c r="B19546" s="3" t="s">
        <v>93</v>
      </c>
      <c r="C19546" s="6">
        <v>165</v>
      </c>
      <c r="D19546" s="7">
        <v>1.59</v>
      </c>
    </row>
    <row r="19547" spans="1:4" x14ac:dyDescent="0.25">
      <c r="A19547" t="str">
        <f>HYPERLINK("https://www.773grp.com/globalSearch/SA56004DDP118/page-1", "SA56004DDP118")</f>
        <v>SA56004DDP118</v>
      </c>
      <c r="B19547" s="3" t="s">
        <v>93</v>
      </c>
      <c r="C19547" s="6">
        <v>2500</v>
      </c>
      <c r="D19547" s="7">
        <v>1.59</v>
      </c>
    </row>
    <row r="19548" spans="1:4" x14ac:dyDescent="0.25">
      <c r="A19548" t="str">
        <f>HYPERLINK("https://www.773grp.com/globalSearch/SA56004ED118/page-1", "SA56004ED118")</f>
        <v>SA56004ED118</v>
      </c>
      <c r="B19548" s="3" t="s">
        <v>93</v>
      </c>
      <c r="C19548" s="6">
        <v>5000</v>
      </c>
      <c r="D19548" s="7">
        <v>1.59</v>
      </c>
    </row>
    <row r="19549" spans="1:4" x14ac:dyDescent="0.25">
      <c r="A19549" t="str">
        <f>HYPERLINK("https://www.773grp.com/globalSearch/SA56004EDP118/page-1", "SA56004EDP118")</f>
        <v>SA56004EDP118</v>
      </c>
      <c r="B19549" s="3" t="s">
        <v>93</v>
      </c>
      <c r="C19549" s="6">
        <v>2812</v>
      </c>
      <c r="D19549" s="7">
        <v>1.59</v>
      </c>
    </row>
    <row r="19550" spans="1:4" x14ac:dyDescent="0.25">
      <c r="A19550" t="str">
        <f>HYPERLINK("https://www.773grp.com/globalSearch/SA56004ETK118/page-1", "SA56004ETK118")</f>
        <v>SA56004ETK118</v>
      </c>
      <c r="B19550" s="3" t="s">
        <v>93</v>
      </c>
      <c r="C19550" s="6">
        <v>6400</v>
      </c>
      <c r="D19550" s="7">
        <v>1.59</v>
      </c>
    </row>
    <row r="19551" spans="1:4" x14ac:dyDescent="0.25">
      <c r="A19551" t="str">
        <f>HYPERLINK("https://www.773grp.com/globalSearch/SA56004FD112/page-1", "SA56004FD112")</f>
        <v>SA56004FD112</v>
      </c>
      <c r="B19551" s="3" t="s">
        <v>93</v>
      </c>
      <c r="C19551" s="6">
        <v>2234</v>
      </c>
      <c r="D19551" s="7">
        <v>1.59</v>
      </c>
    </row>
    <row r="19552" spans="1:4" x14ac:dyDescent="0.25">
      <c r="A19552" t="str">
        <f>HYPERLINK("https://www.773grp.com/globalSearch/TJA1021T-10-C118/page-1", "TJA1021T-10-C118")</f>
        <v>TJA1021T-10-C118</v>
      </c>
      <c r="B19552" s="3" t="s">
        <v>93</v>
      </c>
      <c r="C19552" s="6">
        <v>203</v>
      </c>
      <c r="D19552" s="7">
        <v>1.59</v>
      </c>
    </row>
    <row r="19553" spans="1:4" x14ac:dyDescent="0.25">
      <c r="A19553" t="str">
        <f>HYPERLINK("https://www.773grp.com/globalSearch/TJA1021T-20-C118/page-1", "TJA1021T-20-C118")</f>
        <v>TJA1021T-20-C118</v>
      </c>
      <c r="B19553" s="3" t="s">
        <v>93</v>
      </c>
      <c r="C19553" s="6">
        <v>30335</v>
      </c>
      <c r="D19553" s="7">
        <v>1.59</v>
      </c>
    </row>
    <row r="19554" spans="1:4" x14ac:dyDescent="0.25">
      <c r="A19554" t="str">
        <f>HYPERLINK("https://www.773grp.com/globalSearch/TJF1051T-3112/page-1", "TJF1051T-3112")</f>
        <v>TJF1051T-3112</v>
      </c>
      <c r="B19554" s="3" t="s">
        <v>93</v>
      </c>
      <c r="C19554" s="6">
        <v>211679</v>
      </c>
      <c r="D19554" s="7">
        <v>1.59</v>
      </c>
    </row>
    <row r="19555" spans="1:4" x14ac:dyDescent="0.25">
      <c r="A19555" t="str">
        <f>HYPERLINK("https://www.773grp.com/globalSearch/74ABT74DB112/page-1", "74ABT74DB112")</f>
        <v>74ABT74DB112</v>
      </c>
      <c r="B19555" s="3" t="s">
        <v>93</v>
      </c>
      <c r="C19555" s="6">
        <v>756</v>
      </c>
      <c r="D19555" s="7">
        <v>1.64</v>
      </c>
    </row>
    <row r="19556" spans="1:4" x14ac:dyDescent="0.25">
      <c r="A19556" t="str">
        <f>HYPERLINK("https://www.773grp.com/globalSearch/74HC259N652/page-1", "74HC259N652")</f>
        <v>74HC259N652</v>
      </c>
      <c r="B19556" s="3" t="s">
        <v>93</v>
      </c>
      <c r="C19556" s="6">
        <v>4040</v>
      </c>
      <c r="D19556" s="7">
        <v>1.64</v>
      </c>
    </row>
    <row r="19557" spans="1:4" x14ac:dyDescent="0.25">
      <c r="A19557" t="str">
        <f>HYPERLINK("https://www.773grp.com/globalSearch/74HC4538DB112/page-1", "74HC4538DB112")</f>
        <v>74HC4538DB112</v>
      </c>
      <c r="B19557" s="3" t="s">
        <v>93</v>
      </c>
      <c r="C19557" s="6">
        <v>2372</v>
      </c>
      <c r="D19557" s="7">
        <v>1.64</v>
      </c>
    </row>
    <row r="19558" spans="1:4" x14ac:dyDescent="0.25">
      <c r="A19558" t="str">
        <f>HYPERLINK("https://www.773grp.com/globalSearch/74HC4538DB118/page-1", "74HC4538DB118")</f>
        <v>74HC4538DB118</v>
      </c>
      <c r="B19558" s="3" t="s">
        <v>93</v>
      </c>
      <c r="C19558" s="6">
        <v>2000</v>
      </c>
      <c r="D19558" s="7">
        <v>1.64</v>
      </c>
    </row>
    <row r="19559" spans="1:4" x14ac:dyDescent="0.25">
      <c r="A19559" t="str">
        <f>HYPERLINK("https://www.773grp.com/globalSearch/74HC6323AD112/page-1", "74HC6323AD112")</f>
        <v>74HC6323AD112</v>
      </c>
      <c r="B19559" s="3" t="s">
        <v>93</v>
      </c>
      <c r="C19559" s="6">
        <v>1792</v>
      </c>
      <c r="D19559" s="7">
        <v>1.64</v>
      </c>
    </row>
    <row r="19560" spans="1:4" x14ac:dyDescent="0.25">
      <c r="A19560" t="str">
        <f>HYPERLINK("https://www.773grp.com/globalSearch/74HC6323AD118/page-1", "74HC6323AD118")</f>
        <v>74HC6323AD118</v>
      </c>
      <c r="B19560" s="3" t="s">
        <v>93</v>
      </c>
      <c r="C19560" s="6">
        <v>1633</v>
      </c>
      <c r="D19560" s="7">
        <v>1.64</v>
      </c>
    </row>
    <row r="19561" spans="1:4" x14ac:dyDescent="0.25">
      <c r="A19561" t="str">
        <f>HYPERLINK("https://www.773grp.com/globalSearch/74HC75N652/page-1", "74HC75N652")</f>
        <v>74HC75N652</v>
      </c>
      <c r="B19561" s="3" t="s">
        <v>93</v>
      </c>
      <c r="C19561" s="6">
        <v>14216</v>
      </c>
      <c r="D19561" s="7">
        <v>1.64</v>
      </c>
    </row>
    <row r="19562" spans="1:4" x14ac:dyDescent="0.25">
      <c r="A19562" t="str">
        <f>HYPERLINK("https://www.773grp.com/globalSearch/74HCT259N652/page-1", "74HCT259N652")</f>
        <v>74HCT259N652</v>
      </c>
      <c r="B19562" s="3" t="s">
        <v>93</v>
      </c>
      <c r="C19562" s="6">
        <v>404</v>
      </c>
      <c r="D19562" s="7">
        <v>1.64</v>
      </c>
    </row>
    <row r="19563" spans="1:4" x14ac:dyDescent="0.25">
      <c r="A19563" t="str">
        <f>HYPERLINK("https://www.773grp.com/globalSearch/74HCT4520DB112/page-1", "74HCT4520DB112")</f>
        <v>74HCT4520DB112</v>
      </c>
      <c r="B19563" s="3" t="s">
        <v>93</v>
      </c>
      <c r="C19563" s="6">
        <v>749</v>
      </c>
      <c r="D19563" s="7">
        <v>1.64</v>
      </c>
    </row>
    <row r="19564" spans="1:4" x14ac:dyDescent="0.25">
      <c r="A19564" t="str">
        <f>HYPERLINK("https://www.773grp.com/globalSearch/74LV365DB112/page-1", "74LV365DB112")</f>
        <v>74LV365DB112</v>
      </c>
      <c r="B19564" s="3" t="s">
        <v>93</v>
      </c>
      <c r="C19564" s="6">
        <v>1092</v>
      </c>
      <c r="D19564" s="7">
        <v>1.64</v>
      </c>
    </row>
    <row r="19565" spans="1:4" x14ac:dyDescent="0.25">
      <c r="A19565" t="str">
        <f>HYPERLINK("https://www.773grp.com/globalSearch/74LVT16244BDGG118/page-1", "74LVT16244BDGG118")</f>
        <v>74LVT16244BDGG118</v>
      </c>
      <c r="B19565" s="3" t="s">
        <v>93</v>
      </c>
      <c r="C19565" s="6">
        <v>8000</v>
      </c>
      <c r="D19565" s="7">
        <v>1.64</v>
      </c>
    </row>
    <row r="19566" spans="1:4" x14ac:dyDescent="0.25">
      <c r="A19566" t="str">
        <f>HYPERLINK("https://www.773grp.com/globalSearch/74LVT32D112/page-1", "74LVT32D112")</f>
        <v>74LVT32D112</v>
      </c>
      <c r="B19566" s="3" t="s">
        <v>93</v>
      </c>
      <c r="C19566" s="6">
        <v>1140</v>
      </c>
      <c r="D19566" s="7">
        <v>1.64</v>
      </c>
    </row>
    <row r="19567" spans="1:4" x14ac:dyDescent="0.25">
      <c r="A19567" t="str">
        <f>HYPERLINK("https://www.773grp.com/globalSearch/74LVT32DB112/page-1", "74LVT32DB112")</f>
        <v>74LVT32DB112</v>
      </c>
      <c r="B19567" s="3" t="s">
        <v>93</v>
      </c>
      <c r="C19567" s="6">
        <v>2099</v>
      </c>
      <c r="D19567" s="7">
        <v>1.64</v>
      </c>
    </row>
    <row r="19568" spans="1:4" x14ac:dyDescent="0.25">
      <c r="A19568" t="str">
        <f>HYPERLINK("https://www.773grp.com/globalSearch/BTA316-600B127/page-1", "BTA316-600B127")</f>
        <v>BTA316-600B127</v>
      </c>
      <c r="B19568" s="3" t="s">
        <v>93</v>
      </c>
      <c r="C19568" s="6">
        <v>3000</v>
      </c>
      <c r="D19568" s="7">
        <v>1.64</v>
      </c>
    </row>
    <row r="19569" spans="1:4" x14ac:dyDescent="0.25">
      <c r="A19569" t="str">
        <f>HYPERLINK("https://www.773grp.com/globalSearch/BTA316-600D127/page-1", "BTA316-600D127")</f>
        <v>BTA316-600D127</v>
      </c>
      <c r="B19569" s="3" t="s">
        <v>93</v>
      </c>
      <c r="C19569" s="6">
        <v>4000</v>
      </c>
      <c r="D19569" s="7">
        <v>1.64</v>
      </c>
    </row>
    <row r="19570" spans="1:4" x14ac:dyDescent="0.25">
      <c r="A19570" t="str">
        <f>HYPERLINK("https://www.773grp.com/globalSearch/BTA316-600E127/page-1", "BTA316-600E127")</f>
        <v>BTA316-600E127</v>
      </c>
      <c r="B19570" s="3" t="s">
        <v>93</v>
      </c>
      <c r="C19570" s="6">
        <v>31</v>
      </c>
      <c r="D19570" s="7">
        <v>1.64</v>
      </c>
    </row>
    <row r="19571" spans="1:4" x14ac:dyDescent="0.25">
      <c r="A19571" t="str">
        <f>HYPERLINK("https://www.773grp.com/globalSearch/BUK7222-55A118/page-1", "BUK7222-55A118")</f>
        <v>BUK7222-55A118</v>
      </c>
      <c r="B19571" s="3" t="s">
        <v>93</v>
      </c>
      <c r="C19571" s="6">
        <v>142</v>
      </c>
      <c r="D19571" s="7">
        <v>1.64</v>
      </c>
    </row>
    <row r="19572" spans="1:4" x14ac:dyDescent="0.25">
      <c r="A19572" t="str">
        <f>HYPERLINK("https://www.773grp.com/globalSearch/BYW29EX-200127/page-1", "BYW29EX-200127")</f>
        <v>BYW29EX-200127</v>
      </c>
      <c r="B19572" s="3" t="s">
        <v>93</v>
      </c>
      <c r="C19572" s="6">
        <v>11218</v>
      </c>
      <c r="D19572" s="7">
        <v>1.64</v>
      </c>
    </row>
    <row r="19573" spans="1:4" x14ac:dyDescent="0.25">
      <c r="A19573" t="str">
        <f>HYPERLINK("https://www.773grp.com/globalSearch/N74F00N602/page-1", "N74F00N602")</f>
        <v>N74F00N602</v>
      </c>
      <c r="B19573" s="3" t="s">
        <v>93</v>
      </c>
      <c r="C19573" s="6">
        <v>17539</v>
      </c>
      <c r="D19573" s="7">
        <v>1.64</v>
      </c>
    </row>
    <row r="19574" spans="1:4" x14ac:dyDescent="0.25">
      <c r="A19574" t="str">
        <f>HYPERLINK("https://www.773grp.com/globalSearch/N74F02N602/page-1", "N74F02N602")</f>
        <v>N74F02N602</v>
      </c>
      <c r="B19574" s="3" t="s">
        <v>93</v>
      </c>
      <c r="C19574" s="6">
        <v>11768</v>
      </c>
      <c r="D19574" s="7">
        <v>1.64</v>
      </c>
    </row>
    <row r="19575" spans="1:4" x14ac:dyDescent="0.25">
      <c r="A19575" t="str">
        <f>HYPERLINK("https://www.773grp.com/globalSearch/N74F04N602/page-1", "N74F04N602")</f>
        <v>N74F04N602</v>
      </c>
      <c r="B19575" s="3" t="s">
        <v>93</v>
      </c>
      <c r="C19575" s="6">
        <v>15854</v>
      </c>
      <c r="D19575" s="7">
        <v>1.64</v>
      </c>
    </row>
    <row r="19576" spans="1:4" x14ac:dyDescent="0.25">
      <c r="A19576" t="str">
        <f>HYPERLINK("https://www.773grp.com/globalSearch/N74F08N602/page-1", "N74F08N602")</f>
        <v>N74F08N602</v>
      </c>
      <c r="B19576" s="3" t="s">
        <v>93</v>
      </c>
      <c r="C19576" s="6">
        <v>5000</v>
      </c>
      <c r="D19576" s="7">
        <v>1.64</v>
      </c>
    </row>
    <row r="19577" spans="1:4" x14ac:dyDescent="0.25">
      <c r="A19577" t="str">
        <f>HYPERLINK("https://www.773grp.com/globalSearch/N74F10N602/page-1", "N74F10N602")</f>
        <v>N74F10N602</v>
      </c>
      <c r="B19577" s="3" t="s">
        <v>93</v>
      </c>
      <c r="C19577" s="6">
        <v>6971</v>
      </c>
      <c r="D19577" s="7">
        <v>1.64</v>
      </c>
    </row>
    <row r="19578" spans="1:4" x14ac:dyDescent="0.25">
      <c r="A19578" t="str">
        <f>HYPERLINK("https://www.773grp.com/globalSearch/N74F11N602/page-1", "N74F11N602")</f>
        <v>N74F11N602</v>
      </c>
      <c r="B19578" s="3" t="s">
        <v>93</v>
      </c>
      <c r="C19578" s="6">
        <v>3275</v>
      </c>
      <c r="D19578" s="7">
        <v>1.64</v>
      </c>
    </row>
    <row r="19579" spans="1:4" x14ac:dyDescent="0.25">
      <c r="A19579" t="str">
        <f>HYPERLINK("https://www.773grp.com/globalSearch/N74F27N602/page-1", "N74F27N602")</f>
        <v>N74F27N602</v>
      </c>
      <c r="B19579" s="3" t="s">
        <v>93</v>
      </c>
      <c r="C19579" s="6">
        <v>6700</v>
      </c>
      <c r="D19579" s="7">
        <v>1.64</v>
      </c>
    </row>
    <row r="19580" spans="1:4" x14ac:dyDescent="0.25">
      <c r="A19580" t="str">
        <f>HYPERLINK("https://www.773grp.com/globalSearch/N74F32N602/page-1", "N74F32N602")</f>
        <v>N74F32N602</v>
      </c>
      <c r="B19580" s="3" t="s">
        <v>93</v>
      </c>
      <c r="C19580" s="6">
        <v>4800</v>
      </c>
      <c r="D19580" s="7">
        <v>1.64</v>
      </c>
    </row>
    <row r="19581" spans="1:4" x14ac:dyDescent="0.25">
      <c r="A19581" t="str">
        <f>HYPERLINK("https://www.773grp.com/globalSearch/N74F38N602/page-1", "N74F38N602")</f>
        <v>N74F38N602</v>
      </c>
      <c r="B19581" s="3" t="s">
        <v>93</v>
      </c>
      <c r="C19581" s="6">
        <v>7001</v>
      </c>
      <c r="D19581" s="7">
        <v>1.64</v>
      </c>
    </row>
    <row r="19582" spans="1:4" x14ac:dyDescent="0.25">
      <c r="A19582" t="str">
        <f>HYPERLINK("https://www.773grp.com/globalSearch/PH6530AL115/page-1", "PH6530AL115")</f>
        <v>PH6530AL115</v>
      </c>
      <c r="B19582" s="3" t="s">
        <v>93</v>
      </c>
      <c r="C19582" s="6">
        <v>4500</v>
      </c>
      <c r="D19582" s="7">
        <v>1.64</v>
      </c>
    </row>
    <row r="19583" spans="1:4" x14ac:dyDescent="0.25">
      <c r="A19583" t="str">
        <f>HYPERLINK("https://www.773grp.com/globalSearch/PHD9NQ20T118/page-1", "PHD9NQ20T118")</f>
        <v>PHD9NQ20T118</v>
      </c>
      <c r="B19583" s="3" t="s">
        <v>93</v>
      </c>
      <c r="C19583" s="6">
        <v>7500</v>
      </c>
      <c r="D19583" s="7">
        <v>1.64</v>
      </c>
    </row>
    <row r="19584" spans="1:4" x14ac:dyDescent="0.25">
      <c r="A19584" t="str">
        <f>HYPERLINK("https://www.773grp.com/globalSearch/PHP20N06T127/page-1", "PHP20N06T127")</f>
        <v>PHP20N06T127</v>
      </c>
      <c r="B19584" s="3" t="s">
        <v>93</v>
      </c>
      <c r="C19584" s="6">
        <v>6185</v>
      </c>
      <c r="D19584" s="7">
        <v>1.64</v>
      </c>
    </row>
    <row r="19585" spans="1:4" x14ac:dyDescent="0.25">
      <c r="A19585" t="str">
        <f>HYPERLINK("https://www.773grp.com/globalSearch/PSMN017-30LL115/page-1", "PSMN017-30LL115")</f>
        <v>PSMN017-30LL115</v>
      </c>
      <c r="B19585" s="3" t="s">
        <v>93</v>
      </c>
      <c r="C19585" s="6">
        <v>232</v>
      </c>
      <c r="D19585" s="7">
        <v>1.64</v>
      </c>
    </row>
    <row r="19586" spans="1:4" x14ac:dyDescent="0.25">
      <c r="A19586" t="str">
        <f>HYPERLINK("https://www.773grp.com/globalSearch/PSMN1R7-25YLC115/page-1", "PSMN1R7-25YLC115")</f>
        <v>PSMN1R7-25YLC115</v>
      </c>
      <c r="B19586" s="3" t="s">
        <v>93</v>
      </c>
      <c r="C19586" s="6">
        <v>1633</v>
      </c>
      <c r="D19586" s="7">
        <v>1.64</v>
      </c>
    </row>
    <row r="19587" spans="1:4" x14ac:dyDescent="0.25">
      <c r="A19587" t="str">
        <f>HYPERLINK("https://www.773grp.com/globalSearch/74HC107N652/page-1", "74HC107N652")</f>
        <v>74HC107N652</v>
      </c>
      <c r="B19587" s="3" t="s">
        <v>93</v>
      </c>
      <c r="C19587" s="6">
        <v>10734</v>
      </c>
      <c r="D19587" s="7">
        <v>1.69</v>
      </c>
    </row>
    <row r="19588" spans="1:4" x14ac:dyDescent="0.25">
      <c r="A19588" t="str">
        <f>HYPERLINK("https://www.773grp.com/globalSearch/74HC109N652/page-1", "74HC109N652")</f>
        <v>74HC109N652</v>
      </c>
      <c r="B19588" s="3" t="s">
        <v>93</v>
      </c>
      <c r="C19588" s="6">
        <v>12825</v>
      </c>
      <c r="D19588" s="7">
        <v>1.69</v>
      </c>
    </row>
    <row r="19589" spans="1:4" x14ac:dyDescent="0.25">
      <c r="A19589" t="str">
        <f>HYPERLINK("https://www.773grp.com/globalSearch/74HC4520DB112/page-1", "74HC4520DB112")</f>
        <v>74HC4520DB112</v>
      </c>
      <c r="B19589" s="3" t="s">
        <v>93</v>
      </c>
      <c r="C19589" s="6">
        <v>1948</v>
      </c>
      <c r="D19589" s="7">
        <v>1.69</v>
      </c>
    </row>
    <row r="19590" spans="1:4" x14ac:dyDescent="0.25">
      <c r="A19590" t="str">
        <f>HYPERLINK("https://www.773grp.com/globalSearch/74HC640DB112/page-1", "74HC640DB112")</f>
        <v>74HC640DB112</v>
      </c>
      <c r="B19590" s="3" t="s">
        <v>93</v>
      </c>
      <c r="C19590" s="6">
        <v>1848</v>
      </c>
      <c r="D19590" s="7">
        <v>1.69</v>
      </c>
    </row>
    <row r="19591" spans="1:4" x14ac:dyDescent="0.25">
      <c r="A19591" t="str">
        <f>HYPERLINK("https://www.773grp.com/globalSearch/74HC85N652/page-1", "74HC85N652")</f>
        <v>74HC85N652</v>
      </c>
      <c r="B19591" s="3" t="s">
        <v>93</v>
      </c>
      <c r="C19591" s="6">
        <v>11000</v>
      </c>
      <c r="D19591" s="7">
        <v>1.69</v>
      </c>
    </row>
    <row r="19592" spans="1:4" x14ac:dyDescent="0.25">
      <c r="A19592" t="str">
        <f>HYPERLINK("https://www.773grp.com/globalSearch/74HCT109N652/page-1", "74HCT109N652")</f>
        <v>74HCT109N652</v>
      </c>
      <c r="B19592" s="3" t="s">
        <v>93</v>
      </c>
      <c r="C19592" s="6">
        <v>11807</v>
      </c>
      <c r="D19592" s="7">
        <v>1.69</v>
      </c>
    </row>
    <row r="19593" spans="1:4" x14ac:dyDescent="0.25">
      <c r="A19593" t="str">
        <f>HYPERLINK("https://www.773grp.com/globalSearch/74HCT221DB112/page-1", "74HCT221DB112")</f>
        <v>74HCT221DB112</v>
      </c>
      <c r="B19593" s="3" t="s">
        <v>93</v>
      </c>
      <c r="C19593" s="6">
        <v>1092</v>
      </c>
      <c r="D19593" s="7">
        <v>1.69</v>
      </c>
    </row>
    <row r="19594" spans="1:4" x14ac:dyDescent="0.25">
      <c r="A19594" t="str">
        <f>HYPERLINK("https://www.773grp.com/globalSearch/74HCT221DB118/page-1", "74HCT221DB118")</f>
        <v>74HCT221DB118</v>
      </c>
      <c r="B19594" s="3" t="s">
        <v>93</v>
      </c>
      <c r="C19594" s="6">
        <v>8000</v>
      </c>
      <c r="D19594" s="7">
        <v>1.69</v>
      </c>
    </row>
    <row r="19595" spans="1:4" x14ac:dyDescent="0.25">
      <c r="A19595" t="str">
        <f>HYPERLINK("https://www.773grp.com/globalSearch/74HCT640DB112/page-1", "74HCT640DB112")</f>
        <v>74HCT640DB112</v>
      </c>
      <c r="B19595" s="3" t="s">
        <v>93</v>
      </c>
      <c r="C19595" s="6">
        <v>12</v>
      </c>
      <c r="D19595" s="7">
        <v>1.69</v>
      </c>
    </row>
    <row r="19596" spans="1:4" x14ac:dyDescent="0.25">
      <c r="A19596" t="str">
        <f>HYPERLINK("https://www.773grp.com/globalSearch/74HCT688DB112/page-1", "74HCT688DB112")</f>
        <v>74HCT688DB112</v>
      </c>
      <c r="B19596" s="3" t="s">
        <v>93</v>
      </c>
      <c r="C19596" s="6">
        <v>1848</v>
      </c>
      <c r="D19596" s="7">
        <v>1.69</v>
      </c>
    </row>
    <row r="19597" spans="1:4" x14ac:dyDescent="0.25">
      <c r="A19597" t="str">
        <f>HYPERLINK("https://www.773grp.com/globalSearch/74LV251PW112/page-1", "74LV251PW112")</f>
        <v>74LV251PW112</v>
      </c>
      <c r="B19597" s="3" t="s">
        <v>93</v>
      </c>
      <c r="C19597" s="6">
        <v>370</v>
      </c>
      <c r="D19597" s="7">
        <v>1.69</v>
      </c>
    </row>
    <row r="19598" spans="1:4" x14ac:dyDescent="0.25">
      <c r="A19598" t="str">
        <f>HYPERLINK("https://www.773grp.com/globalSearch/74LV365PW118/page-1", "74LV365PW118")</f>
        <v>74LV365PW118</v>
      </c>
      <c r="B19598" s="3" t="s">
        <v>93</v>
      </c>
      <c r="C19598" s="6">
        <v>1121</v>
      </c>
      <c r="D19598" s="7">
        <v>1.69</v>
      </c>
    </row>
    <row r="19599" spans="1:4" x14ac:dyDescent="0.25">
      <c r="A19599" t="str">
        <f>HYPERLINK("https://www.773grp.com/globalSearch/74LV377DB112/page-1", "74LV377DB112")</f>
        <v>74LV377DB112</v>
      </c>
      <c r="B19599" s="3" t="s">
        <v>93</v>
      </c>
      <c r="C19599" s="6">
        <v>1848</v>
      </c>
      <c r="D19599" s="7">
        <v>1.69</v>
      </c>
    </row>
    <row r="19600" spans="1:4" x14ac:dyDescent="0.25">
      <c r="A19600" t="str">
        <f>HYPERLINK("https://www.773grp.com/globalSearch/74LV377DB118/page-1", "74LV377DB118")</f>
        <v>74LV377DB118</v>
      </c>
      <c r="B19600" s="3" t="s">
        <v>93</v>
      </c>
      <c r="C19600" s="6">
        <v>1000</v>
      </c>
      <c r="D19600" s="7">
        <v>1.69</v>
      </c>
    </row>
    <row r="19601" spans="1:4" x14ac:dyDescent="0.25">
      <c r="A19601" t="str">
        <f>HYPERLINK("https://www.773grp.com/globalSearch/BSP126115/page-1", "BSP126115")</f>
        <v>BSP126115</v>
      </c>
      <c r="B19601" s="3" t="s">
        <v>93</v>
      </c>
      <c r="C19601" s="6">
        <v>6000</v>
      </c>
      <c r="D19601" s="7">
        <v>1.69</v>
      </c>
    </row>
    <row r="19602" spans="1:4" x14ac:dyDescent="0.25">
      <c r="A19602" t="str">
        <f>HYPERLINK("https://www.773grp.com/globalSearch/BSP220115/page-1", "BSP220115")</f>
        <v>BSP220115</v>
      </c>
      <c r="B19602" s="3" t="s">
        <v>93</v>
      </c>
      <c r="C19602" s="6">
        <v>7990</v>
      </c>
      <c r="D19602" s="7">
        <v>1.69</v>
      </c>
    </row>
    <row r="19603" spans="1:4" x14ac:dyDescent="0.25">
      <c r="A19603" t="str">
        <f>HYPERLINK("https://www.773grp.com/globalSearch/BSP225115/page-1", "BSP225115")</f>
        <v>BSP225115</v>
      </c>
      <c r="B19603" s="3" t="s">
        <v>93</v>
      </c>
      <c r="C19603" s="6">
        <v>81000</v>
      </c>
      <c r="D19603" s="7">
        <v>1.69</v>
      </c>
    </row>
    <row r="19604" spans="1:4" x14ac:dyDescent="0.25">
      <c r="A19604" t="str">
        <f>HYPERLINK("https://www.773grp.com/globalSearch/BT152-400R127/page-1", "BT152-400R127")</f>
        <v>BT152-400R127</v>
      </c>
      <c r="B19604" s="3" t="s">
        <v>93</v>
      </c>
      <c r="C19604" s="6">
        <v>5000</v>
      </c>
      <c r="D19604" s="7">
        <v>1.69</v>
      </c>
    </row>
    <row r="19605" spans="1:4" x14ac:dyDescent="0.25">
      <c r="A19605" t="str">
        <f>HYPERLINK("https://www.773grp.com/globalSearch/BTA312B-600D118/page-1", "BTA312B-600D118")</f>
        <v>BTA312B-600D118</v>
      </c>
      <c r="B19605" s="3" t="s">
        <v>93</v>
      </c>
      <c r="C19605" s="6">
        <v>5600</v>
      </c>
      <c r="D19605" s="7">
        <v>1.69</v>
      </c>
    </row>
    <row r="19606" spans="1:4" x14ac:dyDescent="0.25">
      <c r="A19606" t="str">
        <f>HYPERLINK("https://www.773grp.com/globalSearch/BTA312B-800C118/page-1", "BTA312B-800C118")</f>
        <v>BTA312B-800C118</v>
      </c>
      <c r="B19606" s="3" t="s">
        <v>93</v>
      </c>
      <c r="C19606" s="6">
        <v>5600</v>
      </c>
      <c r="D19606" s="7">
        <v>1.69</v>
      </c>
    </row>
    <row r="19607" spans="1:4" x14ac:dyDescent="0.25">
      <c r="A19607" t="str">
        <f>HYPERLINK("https://www.773grp.com/globalSearch/BTA312X-600D127/page-1", "BTA312X-600D127")</f>
        <v>BTA312X-600D127</v>
      </c>
      <c r="B19607" s="3" t="s">
        <v>93</v>
      </c>
      <c r="C19607" s="6">
        <v>4557</v>
      </c>
      <c r="D19607" s="7">
        <v>1.69</v>
      </c>
    </row>
    <row r="19608" spans="1:4" x14ac:dyDescent="0.25">
      <c r="A19608" t="str">
        <f>HYPERLINK("https://www.773grp.com/globalSearch/BTA312X-600E127/page-1", "BTA312X-600E127")</f>
        <v>BTA312X-600E127</v>
      </c>
      <c r="B19608" s="3" t="s">
        <v>93</v>
      </c>
      <c r="C19608" s="6">
        <v>12190</v>
      </c>
      <c r="D19608" s="7">
        <v>1.69</v>
      </c>
    </row>
    <row r="19609" spans="1:4" x14ac:dyDescent="0.25">
      <c r="A19609" t="str">
        <f>HYPERLINK("https://www.773grp.com/globalSearch/BTA312X-800B127/page-1", "BTA312X-800B127")</f>
        <v>BTA312X-800B127</v>
      </c>
      <c r="B19609" s="3" t="s">
        <v>93</v>
      </c>
      <c r="C19609" s="6">
        <v>72</v>
      </c>
      <c r="D19609" s="7">
        <v>1.69</v>
      </c>
    </row>
    <row r="19610" spans="1:4" x14ac:dyDescent="0.25">
      <c r="A19610" t="str">
        <f>HYPERLINK("https://www.773grp.com/globalSearch/BTA312X-800C127/page-1", "BTA312X-800C127")</f>
        <v>BTA312X-800C127</v>
      </c>
      <c r="B19610" s="3" t="s">
        <v>93</v>
      </c>
      <c r="C19610" s="6">
        <v>25000</v>
      </c>
      <c r="D19610" s="7">
        <v>1.69</v>
      </c>
    </row>
    <row r="19611" spans="1:4" x14ac:dyDescent="0.25">
      <c r="A19611" t="str">
        <f>HYPERLINK("https://www.773grp.com/globalSearch/BTA312X-800E127/page-1", "BTA312X-800E127")</f>
        <v>BTA312X-800E127</v>
      </c>
      <c r="B19611" s="3" t="s">
        <v>93</v>
      </c>
      <c r="C19611" s="6">
        <v>190</v>
      </c>
      <c r="D19611" s="7">
        <v>1.69</v>
      </c>
    </row>
    <row r="19612" spans="1:4" x14ac:dyDescent="0.25">
      <c r="A19612" t="str">
        <f>HYPERLINK("https://www.773grp.com/globalSearch/BTA316-600ET127/page-1", "BTA316-600ET127")</f>
        <v>BTA316-600ET127</v>
      </c>
      <c r="B19612" s="3" t="s">
        <v>93</v>
      </c>
      <c r="C19612" s="6">
        <v>2000</v>
      </c>
      <c r="D19612" s="7">
        <v>1.69</v>
      </c>
    </row>
    <row r="19613" spans="1:4" x14ac:dyDescent="0.25">
      <c r="A19613" t="str">
        <f>HYPERLINK("https://www.773grp.com/globalSearch/BTA316X-600B127/page-1", "BTA316X-600B127")</f>
        <v>BTA316X-600B127</v>
      </c>
      <c r="B19613" s="3" t="s">
        <v>93</v>
      </c>
      <c r="C19613" s="6">
        <v>60</v>
      </c>
      <c r="D19613" s="7">
        <v>1.69</v>
      </c>
    </row>
    <row r="19614" spans="1:4" x14ac:dyDescent="0.25">
      <c r="A19614" t="str">
        <f>HYPERLINK("https://www.773grp.com/globalSearch/BTA316X-600E127/page-1", "BTA316X-600E127")</f>
        <v>BTA316X-600E127</v>
      </c>
      <c r="B19614" s="3" t="s">
        <v>93</v>
      </c>
      <c r="C19614" s="6">
        <v>4048</v>
      </c>
      <c r="D19614" s="7">
        <v>1.69</v>
      </c>
    </row>
    <row r="19615" spans="1:4" x14ac:dyDescent="0.25">
      <c r="A19615" t="str">
        <f>HYPERLINK("https://www.773grp.com/globalSearch/BTA412Y-600B127/page-1", "BTA412Y-600B127")</f>
        <v>BTA412Y-600B127</v>
      </c>
      <c r="B19615" s="3" t="s">
        <v>93</v>
      </c>
      <c r="C19615" s="6">
        <v>7000</v>
      </c>
      <c r="D19615" s="7">
        <v>1.69</v>
      </c>
    </row>
    <row r="19616" spans="1:4" x14ac:dyDescent="0.25">
      <c r="A19616" t="str">
        <f>HYPERLINK("https://www.773grp.com/globalSearch/BUK7635-55A118/page-1", "BUK7635-55A118")</f>
        <v>BUK7635-55A118</v>
      </c>
      <c r="B19616" s="3" t="s">
        <v>93</v>
      </c>
      <c r="C19616" s="6">
        <v>794</v>
      </c>
      <c r="D19616" s="7">
        <v>1.69</v>
      </c>
    </row>
    <row r="19617" spans="1:4" x14ac:dyDescent="0.25">
      <c r="A19617" t="str">
        <f>HYPERLINK("https://www.773grp.com/globalSearch/BYC10-600CT127/page-1", "BYC10-600CT127")</f>
        <v>BYC10-600CT127</v>
      </c>
      <c r="B19617" s="3" t="s">
        <v>93</v>
      </c>
      <c r="C19617" s="6">
        <v>3474</v>
      </c>
      <c r="D19617" s="7">
        <v>1.69</v>
      </c>
    </row>
    <row r="19618" spans="1:4" x14ac:dyDescent="0.25">
      <c r="A19618" t="str">
        <f>HYPERLINK("https://www.773grp.com/globalSearch/BYT28-300127/page-1", "BYT28-300127")</f>
        <v>BYT28-300127</v>
      </c>
      <c r="B19618" s="3" t="s">
        <v>93</v>
      </c>
      <c r="C19618" s="6">
        <v>2000</v>
      </c>
      <c r="D19618" s="7">
        <v>1.69</v>
      </c>
    </row>
    <row r="19619" spans="1:4" x14ac:dyDescent="0.25">
      <c r="A19619" t="str">
        <f>HYPERLINK("https://www.773grp.com/globalSearch/PSMN017-80PS127/page-1", "PSMN017-80PS127")</f>
        <v>PSMN017-80PS127</v>
      </c>
      <c r="B19619" s="3" t="s">
        <v>93</v>
      </c>
      <c r="C19619" s="6">
        <v>6000</v>
      </c>
      <c r="D19619" s="7">
        <v>1.69</v>
      </c>
    </row>
    <row r="19620" spans="1:4" x14ac:dyDescent="0.25">
      <c r="A19620" t="str">
        <f>HYPERLINK("https://www.773grp.com/globalSearch/PSMN027-100PS127/page-1", "PSMN027-100PS127")</f>
        <v>PSMN027-100PS127</v>
      </c>
      <c r="B19620" s="3" t="s">
        <v>93</v>
      </c>
      <c r="C19620" s="6">
        <v>4911</v>
      </c>
      <c r="D19620" s="7">
        <v>1.69</v>
      </c>
    </row>
    <row r="19621" spans="1:4" x14ac:dyDescent="0.25">
      <c r="A19621" t="str">
        <f>HYPERLINK("https://www.773grp.com/globalSearch/PSMN2R5-30YL115/page-1", "PSMN2R5-30YL115")</f>
        <v>PSMN2R5-30YL115</v>
      </c>
      <c r="B19621" s="3" t="s">
        <v>93</v>
      </c>
      <c r="C19621" s="6">
        <v>3400</v>
      </c>
      <c r="D19621" s="7">
        <v>1.69</v>
      </c>
    </row>
    <row r="19622" spans="1:4" x14ac:dyDescent="0.25">
      <c r="A19622" t="str">
        <f>HYPERLINK("https://www.773grp.com/globalSearch/PSMN4R3-30PL127/page-1", "PSMN4R3-30PL127")</f>
        <v>PSMN4R3-30PL127</v>
      </c>
      <c r="B19622" s="3" t="s">
        <v>93</v>
      </c>
      <c r="C19622" s="6">
        <v>6000</v>
      </c>
      <c r="D19622" s="7">
        <v>1.69</v>
      </c>
    </row>
    <row r="19623" spans="1:4" x14ac:dyDescent="0.25">
      <c r="A19623" t="str">
        <f>HYPERLINK("https://www.773grp.com/globalSearch/PSMN7R0-60YS115/page-1", "PSMN7R0-60YS115")</f>
        <v>PSMN7R0-60YS115</v>
      </c>
      <c r="B19623" s="3" t="s">
        <v>93</v>
      </c>
      <c r="C19623" s="6">
        <v>1000</v>
      </c>
      <c r="D19623" s="7">
        <v>1.69</v>
      </c>
    </row>
    <row r="19624" spans="1:4" x14ac:dyDescent="0.25">
      <c r="A19624" t="str">
        <f>HYPERLINK("https://www.773grp.com/globalSearch/SE95D118/page-1", "SE95D118")</f>
        <v>SE95D118</v>
      </c>
      <c r="B19624" s="3" t="s">
        <v>93</v>
      </c>
      <c r="C19624" s="6">
        <v>2478</v>
      </c>
      <c r="D19624" s="7">
        <v>1.69</v>
      </c>
    </row>
    <row r="19625" spans="1:4" x14ac:dyDescent="0.25">
      <c r="A19625" t="str">
        <f>HYPERLINK("https://www.773grp.com/globalSearch/SE95DP118/page-1", "SE95DP118")</f>
        <v>SE95DP118</v>
      </c>
      <c r="B19625" s="3" t="s">
        <v>93</v>
      </c>
      <c r="C19625" s="6">
        <v>2329</v>
      </c>
      <c r="D19625" s="7">
        <v>1.69</v>
      </c>
    </row>
    <row r="19626" spans="1:4" x14ac:dyDescent="0.25">
      <c r="A19626" t="str">
        <f>HYPERLINK("https://www.773grp.com/globalSearch/TEA1703T-N1118/page-1", "TEA1703T-N1118")</f>
        <v>TEA1703T-N1118</v>
      </c>
      <c r="B19626" s="3" t="s">
        <v>93</v>
      </c>
      <c r="C19626" s="6">
        <v>2433</v>
      </c>
      <c r="D19626" s="7">
        <v>1.69</v>
      </c>
    </row>
    <row r="19627" spans="1:4" x14ac:dyDescent="0.25">
      <c r="A19627" t="str">
        <f>HYPERLINK("https://www.773grp.com/globalSearch/74ABT543AD112/page-1", "74ABT543AD112")</f>
        <v>74ABT543AD112</v>
      </c>
      <c r="B19627" s="3" t="s">
        <v>93</v>
      </c>
      <c r="C19627" s="6">
        <v>1200</v>
      </c>
      <c r="D19627" s="7">
        <v>1.74</v>
      </c>
    </row>
    <row r="19628" spans="1:4" x14ac:dyDescent="0.25">
      <c r="A19628" t="str">
        <f>HYPERLINK("https://www.773grp.com/globalSearch/74ABT543APW112/page-1", "74ABT543APW112")</f>
        <v>74ABT543APW112</v>
      </c>
      <c r="B19628" s="3" t="s">
        <v>93</v>
      </c>
      <c r="C19628" s="6">
        <v>3139</v>
      </c>
      <c r="D19628" s="7">
        <v>1.74</v>
      </c>
    </row>
    <row r="19629" spans="1:4" x14ac:dyDescent="0.25">
      <c r="A19629" t="str">
        <f>HYPERLINK("https://www.773grp.com/globalSearch/74HC154D653/page-1", "74HC154D653")</f>
        <v>74HC154D653</v>
      </c>
      <c r="B19629" s="3" t="s">
        <v>93</v>
      </c>
      <c r="C19629" s="6">
        <v>13000</v>
      </c>
      <c r="D19629" s="7">
        <v>1.74</v>
      </c>
    </row>
    <row r="19630" spans="1:4" x14ac:dyDescent="0.25">
      <c r="A19630" t="str">
        <f>HYPERLINK("https://www.773grp.com/globalSearch/74HC595N112/page-1", "74HC595N112")</f>
        <v>74HC595N112</v>
      </c>
      <c r="B19630" s="3" t="s">
        <v>93</v>
      </c>
      <c r="C19630" s="6">
        <v>22950</v>
      </c>
      <c r="D19630" s="7">
        <v>1.74</v>
      </c>
    </row>
    <row r="19631" spans="1:4" x14ac:dyDescent="0.25">
      <c r="A19631" t="str">
        <f>HYPERLINK("https://www.773grp.com/globalSearch/74LV377PW112/page-1", "74LV377PW112")</f>
        <v>74LV377PW112</v>
      </c>
      <c r="B19631" s="3" t="s">
        <v>93</v>
      </c>
      <c r="C19631" s="6">
        <v>213</v>
      </c>
      <c r="D19631" s="7">
        <v>1.74</v>
      </c>
    </row>
    <row r="19632" spans="1:4" x14ac:dyDescent="0.25">
      <c r="A19632" t="str">
        <f>HYPERLINK("https://www.773grp.com/globalSearch/74LV377PW118/page-1", "74LV377PW118")</f>
        <v>74LV377PW118</v>
      </c>
      <c r="B19632" s="3" t="s">
        <v>93</v>
      </c>
      <c r="C19632" s="6">
        <v>2550</v>
      </c>
      <c r="D19632" s="7">
        <v>1.74</v>
      </c>
    </row>
    <row r="19633" spans="1:4" x14ac:dyDescent="0.25">
      <c r="A19633" t="str">
        <f>HYPERLINK("https://www.773grp.com/globalSearch/74LV4060PW112/page-1", "74LV4060PW112")</f>
        <v>74LV4060PW112</v>
      </c>
      <c r="B19633" s="3" t="s">
        <v>93</v>
      </c>
      <c r="C19633" s="6">
        <v>1045</v>
      </c>
      <c r="D19633" s="7">
        <v>1.74</v>
      </c>
    </row>
    <row r="19634" spans="1:4" x14ac:dyDescent="0.25">
      <c r="A19634" t="str">
        <f>HYPERLINK("https://www.773grp.com/globalSearch/74LV4060PW118/page-1", "74LV4060PW118")</f>
        <v>74LV4060PW118</v>
      </c>
      <c r="B19634" s="3" t="s">
        <v>93</v>
      </c>
      <c r="C19634" s="6">
        <v>7500</v>
      </c>
      <c r="D19634" s="7">
        <v>1.74</v>
      </c>
    </row>
    <row r="19635" spans="1:4" x14ac:dyDescent="0.25">
      <c r="A19635" t="str">
        <f>HYPERLINK("https://www.773grp.com/globalSearch/74LVC4245APW112/page-1", "74LVC4245APW112")</f>
        <v>74LVC4245APW112</v>
      </c>
      <c r="B19635" s="3" t="s">
        <v>93</v>
      </c>
      <c r="C19635" s="6">
        <v>7875</v>
      </c>
      <c r="D19635" s="7">
        <v>1.74</v>
      </c>
    </row>
    <row r="19636" spans="1:4" x14ac:dyDescent="0.25">
      <c r="A19636" t="str">
        <f>HYPERLINK("https://www.773grp.com/globalSearch/74LVC4245APW118/page-1", "74LVC4245APW118")</f>
        <v>74LVC4245APW118</v>
      </c>
      <c r="B19636" s="3" t="s">
        <v>93</v>
      </c>
      <c r="C19636" s="6">
        <v>50990</v>
      </c>
      <c r="D19636" s="7">
        <v>1.74</v>
      </c>
    </row>
    <row r="19637" spans="1:4" x14ac:dyDescent="0.25">
      <c r="A19637" t="str">
        <f>HYPERLINK("https://www.773grp.com/globalSearch/74LVT162244BDL112/page-1", "74LVT162244BDL112")</f>
        <v>74LVT162244BDL112</v>
      </c>
      <c r="B19637" s="3" t="s">
        <v>93</v>
      </c>
      <c r="C19637" s="6">
        <v>1581</v>
      </c>
      <c r="D19637" s="7">
        <v>1.74</v>
      </c>
    </row>
    <row r="19638" spans="1:4" x14ac:dyDescent="0.25">
      <c r="A19638" t="str">
        <f>HYPERLINK("https://www.773grp.com/globalSearch/74LVT162244BDL118/page-1", "74LVT162244BDL118")</f>
        <v>74LVT162244BDL118</v>
      </c>
      <c r="B19638" s="3" t="s">
        <v>93</v>
      </c>
      <c r="C19638" s="6">
        <v>2000</v>
      </c>
      <c r="D19638" s="7">
        <v>1.74</v>
      </c>
    </row>
    <row r="19639" spans="1:4" x14ac:dyDescent="0.25">
      <c r="A19639" t="str">
        <f>HYPERLINK("https://www.773grp.com/globalSearch/74LVT16240ADL118/page-1", "74LVT16240ADL118")</f>
        <v>74LVT16240ADL118</v>
      </c>
      <c r="B19639" s="3" t="s">
        <v>93</v>
      </c>
      <c r="C19639" s="6">
        <v>2000</v>
      </c>
      <c r="D19639" s="7">
        <v>1.74</v>
      </c>
    </row>
    <row r="19640" spans="1:4" x14ac:dyDescent="0.25">
      <c r="A19640" t="str">
        <f>HYPERLINK("https://www.773grp.com/globalSearch/74LVT16244BDL112/page-1", "74LVT16244BDL112")</f>
        <v>74LVT16244BDL112</v>
      </c>
      <c r="B19640" s="3" t="s">
        <v>93</v>
      </c>
      <c r="C19640" s="6">
        <v>9414</v>
      </c>
      <c r="D19640" s="7">
        <v>1.74</v>
      </c>
    </row>
    <row r="19641" spans="1:4" x14ac:dyDescent="0.25">
      <c r="A19641" t="str">
        <f>HYPERLINK("https://www.773grp.com/globalSearch/74LVT2244DB118/page-1", "74LVT2244DB118")</f>
        <v>74LVT2244DB118</v>
      </c>
      <c r="B19641" s="3" t="s">
        <v>93</v>
      </c>
      <c r="C19641" s="6">
        <v>2000</v>
      </c>
      <c r="D19641" s="7">
        <v>1.74</v>
      </c>
    </row>
    <row r="19642" spans="1:4" x14ac:dyDescent="0.25">
      <c r="A19642" t="str">
        <f>HYPERLINK("https://www.773grp.com/globalSearch/BAT160A115/page-1", "BAT160A115")</f>
        <v>BAT160A115</v>
      </c>
      <c r="B19642" s="3" t="s">
        <v>93</v>
      </c>
      <c r="C19642" s="6">
        <v>25414</v>
      </c>
      <c r="D19642" s="7">
        <v>1.74</v>
      </c>
    </row>
    <row r="19643" spans="1:4" x14ac:dyDescent="0.25">
      <c r="A19643" t="str">
        <f>HYPERLINK("https://www.773grp.com/globalSearch/BAT160C115/page-1", "BAT160C115")</f>
        <v>BAT160C115</v>
      </c>
      <c r="B19643" s="3" t="s">
        <v>93</v>
      </c>
      <c r="C19643" s="6">
        <v>1000</v>
      </c>
      <c r="D19643" s="7">
        <v>1.74</v>
      </c>
    </row>
    <row r="19644" spans="1:4" x14ac:dyDescent="0.25">
      <c r="A19644" t="str">
        <f>HYPERLINK("https://www.773grp.com/globalSearch/BAT160S115/page-1", "BAT160S115")</f>
        <v>BAT160S115</v>
      </c>
      <c r="B19644" s="3" t="s">
        <v>93</v>
      </c>
      <c r="C19644" s="6">
        <v>4000</v>
      </c>
      <c r="D19644" s="7">
        <v>1.74</v>
      </c>
    </row>
    <row r="19645" spans="1:4" x14ac:dyDescent="0.25">
      <c r="A19645" t="str">
        <f>HYPERLINK("https://www.773grp.com/globalSearch/BT152-600R127/page-1", "BT152-600R127")</f>
        <v>BT152-600R127</v>
      </c>
      <c r="B19645" s="3" t="s">
        <v>93</v>
      </c>
      <c r="C19645" s="6">
        <v>5036</v>
      </c>
      <c r="D19645" s="7">
        <v>1.74</v>
      </c>
    </row>
    <row r="19646" spans="1:4" x14ac:dyDescent="0.25">
      <c r="A19646" t="str">
        <f>HYPERLINK("https://www.773grp.com/globalSearch/BT152X-400R127/page-1", "BT152X-400R127")</f>
        <v>BT152X-400R127</v>
      </c>
      <c r="B19646" s="3" t="s">
        <v>93</v>
      </c>
      <c r="C19646" s="6">
        <v>2500</v>
      </c>
      <c r="D19646" s="7">
        <v>1.74</v>
      </c>
    </row>
    <row r="19647" spans="1:4" x14ac:dyDescent="0.25">
      <c r="A19647" t="str">
        <f>HYPERLINK("https://www.773grp.com/globalSearch/BTA312-800CT127/page-1", "BTA312-800CT127")</f>
        <v>BTA312-800CT127</v>
      </c>
      <c r="B19647" s="3" t="s">
        <v>93</v>
      </c>
      <c r="C19647" s="6">
        <v>1000</v>
      </c>
      <c r="D19647" s="7">
        <v>1.74</v>
      </c>
    </row>
    <row r="19648" spans="1:4" x14ac:dyDescent="0.25">
      <c r="A19648" t="str">
        <f>HYPERLINK("https://www.773grp.com/globalSearch/BTA312B-600CT118/page-1", "BTA312B-600CT118")</f>
        <v>BTA312B-600CT118</v>
      </c>
      <c r="B19648" s="3" t="s">
        <v>93</v>
      </c>
      <c r="C19648" s="6">
        <v>800</v>
      </c>
      <c r="D19648" s="7">
        <v>1.74</v>
      </c>
    </row>
    <row r="19649" spans="1:4" x14ac:dyDescent="0.25">
      <c r="A19649" t="str">
        <f>HYPERLINK("https://www.773grp.com/globalSearch/BTA316-800B127/page-1", "BTA316-800B127")</f>
        <v>BTA316-800B127</v>
      </c>
      <c r="B19649" s="3" t="s">
        <v>93</v>
      </c>
      <c r="C19649" s="6">
        <v>4000</v>
      </c>
      <c r="D19649" s="7">
        <v>1.74</v>
      </c>
    </row>
    <row r="19650" spans="1:4" x14ac:dyDescent="0.25">
      <c r="A19650" t="str">
        <f>HYPERLINK("https://www.773grp.com/globalSearch/BTA316-800C127/page-1", "BTA316-800C127")</f>
        <v>BTA316-800C127</v>
      </c>
      <c r="B19650" s="3" t="s">
        <v>93</v>
      </c>
      <c r="C19650" s="6">
        <v>96</v>
      </c>
      <c r="D19650" s="7">
        <v>1.74</v>
      </c>
    </row>
    <row r="19651" spans="1:4" x14ac:dyDescent="0.25">
      <c r="A19651" t="str">
        <f>HYPERLINK("https://www.773grp.com/globalSearch/BTA316-800E127/page-1", "BTA316-800E127")</f>
        <v>BTA316-800E127</v>
      </c>
      <c r="B19651" s="3" t="s">
        <v>93</v>
      </c>
      <c r="C19651" s="6">
        <v>3165</v>
      </c>
      <c r="D19651" s="7">
        <v>1.74</v>
      </c>
    </row>
    <row r="19652" spans="1:4" x14ac:dyDescent="0.25">
      <c r="A19652" t="str">
        <f>HYPERLINK("https://www.773grp.com/globalSearch/BTA316-800ET127/page-1", "BTA316-800ET127")</f>
        <v>BTA316-800ET127</v>
      </c>
      <c r="B19652" s="3" t="s">
        <v>93</v>
      </c>
      <c r="C19652" s="6">
        <v>4000</v>
      </c>
      <c r="D19652" s="7">
        <v>1.74</v>
      </c>
    </row>
    <row r="19653" spans="1:4" x14ac:dyDescent="0.25">
      <c r="A19653" t="str">
        <f>HYPERLINK("https://www.773grp.com/globalSearch/BTA316B-600B118/page-1", "BTA316B-600B118")</f>
        <v>BTA316B-600B118</v>
      </c>
      <c r="B19653" s="3" t="s">
        <v>93</v>
      </c>
      <c r="C19653" s="6">
        <v>2400</v>
      </c>
      <c r="D19653" s="7">
        <v>1.74</v>
      </c>
    </row>
    <row r="19654" spans="1:4" x14ac:dyDescent="0.25">
      <c r="A19654" t="str">
        <f>HYPERLINK("https://www.773grp.com/globalSearch/BTA316B-600C118/page-1", "BTA316B-600C118")</f>
        <v>BTA316B-600C118</v>
      </c>
      <c r="B19654" s="3" t="s">
        <v>93</v>
      </c>
      <c r="C19654" s="6">
        <v>8800</v>
      </c>
      <c r="D19654" s="7">
        <v>1.74</v>
      </c>
    </row>
    <row r="19655" spans="1:4" x14ac:dyDescent="0.25">
      <c r="A19655" t="str">
        <f>HYPERLINK("https://www.773grp.com/globalSearch/BTA316X-800C127/page-1", "BTA316X-800C127")</f>
        <v>BTA316X-800C127</v>
      </c>
      <c r="B19655" s="3" t="s">
        <v>93</v>
      </c>
      <c r="C19655" s="6">
        <v>7969</v>
      </c>
      <c r="D19655" s="7">
        <v>1.74</v>
      </c>
    </row>
    <row r="19656" spans="1:4" x14ac:dyDescent="0.25">
      <c r="A19656" t="str">
        <f>HYPERLINK("https://www.773grp.com/globalSearch/BUK968R3-40E118/page-1", "BUK968R3-40E118")</f>
        <v>BUK968R3-40E118</v>
      </c>
      <c r="B19656" s="3" t="s">
        <v>93</v>
      </c>
      <c r="C19656" s="6">
        <v>4800</v>
      </c>
      <c r="D19656" s="7">
        <v>1.74</v>
      </c>
    </row>
    <row r="19657" spans="1:4" x14ac:dyDescent="0.25">
      <c r="A19657" t="str">
        <f>HYPERLINK("https://www.773grp.com/globalSearch/BYC10-600127/page-1", "BYC10-600127")</f>
        <v>BYC10-600127</v>
      </c>
      <c r="B19657" s="3" t="s">
        <v>93</v>
      </c>
      <c r="C19657" s="6">
        <v>5432</v>
      </c>
      <c r="D19657" s="7">
        <v>1.74</v>
      </c>
    </row>
    <row r="19658" spans="1:4" x14ac:dyDescent="0.25">
      <c r="A19658" t="str">
        <f>HYPERLINK("https://www.773grp.com/globalSearch/GTL2005PW112/page-1", "GTL2005PW112")</f>
        <v>GTL2005PW112</v>
      </c>
      <c r="B19658" s="3" t="s">
        <v>93</v>
      </c>
      <c r="C19658" s="6">
        <v>2304</v>
      </c>
      <c r="D19658" s="7">
        <v>1.74</v>
      </c>
    </row>
    <row r="19659" spans="1:4" x14ac:dyDescent="0.25">
      <c r="A19659" t="str">
        <f>HYPERLINK("https://www.773grp.com/globalSearch/GTL2005PW118/page-1", "GTL2005PW118")</f>
        <v>GTL2005PW118</v>
      </c>
      <c r="B19659" s="3" t="s">
        <v>93</v>
      </c>
      <c r="C19659" s="6">
        <v>2740</v>
      </c>
      <c r="D19659" s="7">
        <v>1.74</v>
      </c>
    </row>
    <row r="19660" spans="1:4" x14ac:dyDescent="0.25">
      <c r="A19660" t="str">
        <f>HYPERLINK("https://www.773grp.com/globalSearch/GTL2014PW112/page-1", "GTL2014PW112")</f>
        <v>GTL2014PW112</v>
      </c>
      <c r="B19660" s="3" t="s">
        <v>93</v>
      </c>
      <c r="C19660" s="6">
        <v>3519</v>
      </c>
      <c r="D19660" s="7">
        <v>1.74</v>
      </c>
    </row>
    <row r="19661" spans="1:4" x14ac:dyDescent="0.25">
      <c r="A19661" t="str">
        <f>HYPERLINK("https://www.773grp.com/globalSearch/GTL2014PW118/page-1", "GTL2014PW118")</f>
        <v>GTL2014PW118</v>
      </c>
      <c r="B19661" s="3" t="s">
        <v>93</v>
      </c>
      <c r="C19661" s="6">
        <v>3000</v>
      </c>
      <c r="D19661" s="7">
        <v>1.74</v>
      </c>
    </row>
    <row r="19662" spans="1:4" x14ac:dyDescent="0.25">
      <c r="A19662" t="str">
        <f>HYPERLINK("https://www.773grp.com/globalSearch/HEF4043BP652/page-1", "HEF4043BP652")</f>
        <v>HEF4043BP652</v>
      </c>
      <c r="B19662" s="3" t="s">
        <v>93</v>
      </c>
      <c r="C19662" s="6">
        <v>2000</v>
      </c>
      <c r="D19662" s="7">
        <v>1.74</v>
      </c>
    </row>
    <row r="19663" spans="1:4" x14ac:dyDescent="0.25">
      <c r="A19663" t="str">
        <f>HYPERLINK("https://www.773grp.com/globalSearch/HEF4044BP652/page-1", "HEF4044BP652")</f>
        <v>HEF4044BP652</v>
      </c>
      <c r="B19663" s="3" t="s">
        <v>93</v>
      </c>
      <c r="C19663" s="6">
        <v>2000</v>
      </c>
      <c r="D19663" s="7">
        <v>1.74</v>
      </c>
    </row>
    <row r="19664" spans="1:4" x14ac:dyDescent="0.25">
      <c r="A19664" t="str">
        <f>HYPERLINK("https://www.773grp.com/globalSearch/HEF4557BT653/page-1", "HEF4557BT653")</f>
        <v>HEF4557BT653</v>
      </c>
      <c r="B19664" s="3" t="s">
        <v>93</v>
      </c>
      <c r="C19664" s="6">
        <v>12500</v>
      </c>
      <c r="D19664" s="7">
        <v>1.74</v>
      </c>
    </row>
    <row r="19665" spans="1:4" x14ac:dyDescent="0.25">
      <c r="A19665" t="str">
        <f>HYPERLINK("https://www.773grp.com/globalSearch/IP4052CX20-LF135/page-1", "IP4052CX20-LF135")</f>
        <v>IP4052CX20-LF135</v>
      </c>
      <c r="B19665" s="3" t="s">
        <v>93</v>
      </c>
      <c r="C19665" s="6">
        <v>11</v>
      </c>
      <c r="D19665" s="7">
        <v>1.74</v>
      </c>
    </row>
    <row r="19666" spans="1:4" x14ac:dyDescent="0.25">
      <c r="A19666" t="str">
        <f>HYPERLINK("https://www.773grp.com/globalSearch/N74F14N602/page-1", "N74F14N602")</f>
        <v>N74F14N602</v>
      </c>
      <c r="B19666" s="3" t="s">
        <v>93</v>
      </c>
      <c r="C19666" s="6">
        <v>3726</v>
      </c>
      <c r="D19666" s="7">
        <v>1.74</v>
      </c>
    </row>
    <row r="19667" spans="1:4" x14ac:dyDescent="0.25">
      <c r="A19667" t="str">
        <f>HYPERLINK("https://www.773grp.com/globalSearch/PCA9536D112/page-1", "PCA9536D112")</f>
        <v>PCA9536D112</v>
      </c>
      <c r="B19667" s="3" t="s">
        <v>93</v>
      </c>
      <c r="C19667" s="6">
        <v>338</v>
      </c>
      <c r="D19667" s="7">
        <v>1.74</v>
      </c>
    </row>
    <row r="19668" spans="1:4" x14ac:dyDescent="0.25">
      <c r="A19668" t="str">
        <f>HYPERLINK("https://www.773grp.com/globalSearch/PCA9536DP-DG118/page-1", "PCA9536DP-DG118")</f>
        <v>PCA9536DP-DG118</v>
      </c>
      <c r="B19668" s="3" t="s">
        <v>93</v>
      </c>
      <c r="C19668" s="6">
        <v>5000</v>
      </c>
      <c r="D19668" s="7">
        <v>1.74</v>
      </c>
    </row>
    <row r="19669" spans="1:4" x14ac:dyDescent="0.25">
      <c r="A19669" t="str">
        <f>HYPERLINK("https://www.773grp.com/globalSearch/PCA9536DP118/page-1", "PCA9536DP118")</f>
        <v>PCA9536DP118</v>
      </c>
      <c r="B19669" s="3" t="s">
        <v>93</v>
      </c>
      <c r="C19669" s="6">
        <v>2500</v>
      </c>
      <c r="D19669" s="7">
        <v>1.74</v>
      </c>
    </row>
    <row r="19670" spans="1:4" x14ac:dyDescent="0.25">
      <c r="A19670" t="str">
        <f>HYPERLINK("https://www.773grp.com/globalSearch/PCA9536TK118/page-1", "PCA9536TK118")</f>
        <v>PCA9536TK118</v>
      </c>
      <c r="B19670" s="3" t="s">
        <v>93</v>
      </c>
      <c r="C19670" s="6">
        <v>5921</v>
      </c>
      <c r="D19670" s="7">
        <v>1.74</v>
      </c>
    </row>
    <row r="19671" spans="1:4" x14ac:dyDescent="0.25">
      <c r="A19671" t="str">
        <f>HYPERLINK("https://www.773grp.com/globalSearch/PH9025L115/page-1", "PH9025L115")</f>
        <v>PH9025L115</v>
      </c>
      <c r="B19671" s="3" t="s">
        <v>93</v>
      </c>
      <c r="C19671" s="6">
        <v>75</v>
      </c>
      <c r="D19671" s="7">
        <v>1.74</v>
      </c>
    </row>
    <row r="19672" spans="1:4" x14ac:dyDescent="0.25">
      <c r="A19672" t="str">
        <f>HYPERLINK("https://www.773grp.com/globalSearch/PH9030L115/page-1", "PH9030L115")</f>
        <v>PH9030L115</v>
      </c>
      <c r="B19672" s="3" t="s">
        <v>93</v>
      </c>
      <c r="C19672" s="6">
        <v>99</v>
      </c>
      <c r="D19672" s="7">
        <v>1.74</v>
      </c>
    </row>
    <row r="19673" spans="1:4" x14ac:dyDescent="0.25">
      <c r="A19673" t="str">
        <f>HYPERLINK("https://www.773grp.com/globalSearch/PSMN017-80BS118/page-1", "PSMN017-80BS118")</f>
        <v>PSMN017-80BS118</v>
      </c>
      <c r="B19673" s="3" t="s">
        <v>93</v>
      </c>
      <c r="C19673" s="6">
        <v>4940</v>
      </c>
      <c r="D19673" s="7">
        <v>1.74</v>
      </c>
    </row>
    <row r="19674" spans="1:4" x14ac:dyDescent="0.25">
      <c r="A19674" t="str">
        <f>HYPERLINK("https://www.773grp.com/globalSearch/PSMN1R2-25YLC115/page-1", "PSMN1R2-25YLC115")</f>
        <v>PSMN1R2-25YLC115</v>
      </c>
      <c r="B19674" s="3" t="s">
        <v>93</v>
      </c>
      <c r="C19674" s="6">
        <v>215</v>
      </c>
      <c r="D19674" s="7">
        <v>1.74</v>
      </c>
    </row>
    <row r="19675" spans="1:4" x14ac:dyDescent="0.25">
      <c r="A19675" t="str">
        <f>HYPERLINK("https://www.773grp.com/globalSearch/PSMN1R5-30YLC115/page-1", "PSMN1R5-30YLC115")</f>
        <v>PSMN1R5-30YLC115</v>
      </c>
      <c r="B19675" s="3" t="s">
        <v>93</v>
      </c>
      <c r="C19675" s="6">
        <v>264</v>
      </c>
      <c r="D19675" s="7">
        <v>1.74</v>
      </c>
    </row>
    <row r="19676" spans="1:4" x14ac:dyDescent="0.25">
      <c r="A19676" t="str">
        <f>HYPERLINK("https://www.773grp.com/globalSearch/PSMN5R8-30LL115/page-1", "PSMN5R8-30LL115")</f>
        <v>PSMN5R8-30LL115</v>
      </c>
      <c r="B19676" s="3" t="s">
        <v>93</v>
      </c>
      <c r="C19676" s="6">
        <v>33</v>
      </c>
      <c r="D19676" s="7">
        <v>1.74</v>
      </c>
    </row>
    <row r="19677" spans="1:4" x14ac:dyDescent="0.25">
      <c r="A19677" t="str">
        <f>HYPERLINK("https://www.773grp.com/globalSearch/TDA8034HN-C1151/page-1", "TDA8034HN-C1151")</f>
        <v>TDA8034HN-C1151</v>
      </c>
      <c r="B19677" s="3" t="s">
        <v>93</v>
      </c>
      <c r="C19677" s="6">
        <v>122</v>
      </c>
      <c r="D19677" s="7">
        <v>1.74</v>
      </c>
    </row>
    <row r="19678" spans="1:4" x14ac:dyDescent="0.25">
      <c r="A19678" t="str">
        <f>HYPERLINK("https://www.773grp.com/globalSearch/74ABT16245BDGG112/page-1", "74ABT16245BDGG112")</f>
        <v>74ABT16245BDGG112</v>
      </c>
      <c r="B19678" s="3" t="s">
        <v>93</v>
      </c>
      <c r="C19678" s="6">
        <v>8096</v>
      </c>
      <c r="D19678" s="7">
        <v>1.79</v>
      </c>
    </row>
    <row r="19679" spans="1:4" x14ac:dyDescent="0.25">
      <c r="A19679" t="str">
        <f>HYPERLINK("https://www.773grp.com/globalSearch/74ALVC16245DGG112/page-1", "74ALVC16245DGG112")</f>
        <v>74ALVC16245DGG112</v>
      </c>
      <c r="B19679" s="3" t="s">
        <v>93</v>
      </c>
      <c r="C19679" s="6">
        <v>1950</v>
      </c>
      <c r="D19679" s="7">
        <v>1.79</v>
      </c>
    </row>
    <row r="19680" spans="1:4" x14ac:dyDescent="0.25">
      <c r="A19680" t="str">
        <f>HYPERLINK("https://www.773grp.com/globalSearch/74ALVC16245DGG118/page-1", "74ALVC16245DGG118")</f>
        <v>74ALVC16245DGG118</v>
      </c>
      <c r="B19680" s="3" t="s">
        <v>93</v>
      </c>
      <c r="C19680" s="6">
        <v>4000</v>
      </c>
      <c r="D19680" s="7">
        <v>1.79</v>
      </c>
    </row>
    <row r="19681" spans="1:4" x14ac:dyDescent="0.25">
      <c r="A19681" t="str">
        <f>HYPERLINK("https://www.773grp.com/globalSearch/74ALVC16245DL112/page-1", "74ALVC16245DL112")</f>
        <v>74ALVC16245DL112</v>
      </c>
      <c r="B19681" s="3" t="s">
        <v>93</v>
      </c>
      <c r="C19681" s="6">
        <v>2065</v>
      </c>
      <c r="D19681" s="7">
        <v>1.79</v>
      </c>
    </row>
    <row r="19682" spans="1:4" x14ac:dyDescent="0.25">
      <c r="A19682" t="str">
        <f>HYPERLINK("https://www.773grp.com/globalSearch/74ALVC16245DL118/page-1", "74ALVC16245DL118")</f>
        <v>74ALVC16245DL118</v>
      </c>
      <c r="B19682" s="3" t="s">
        <v>93</v>
      </c>
      <c r="C19682" s="6">
        <v>4000</v>
      </c>
      <c r="D19682" s="7">
        <v>1.79</v>
      </c>
    </row>
    <row r="19683" spans="1:4" x14ac:dyDescent="0.25">
      <c r="A19683" t="str">
        <f>HYPERLINK("https://www.773grp.com/globalSearch/74ALVCH16244DGG11/page-1", "74ALVCH16244DGG11")</f>
        <v>74ALVCH16244DGG11</v>
      </c>
      <c r="B19683" s="3" t="s">
        <v>93</v>
      </c>
      <c r="C19683" s="6">
        <v>100</v>
      </c>
      <c r="D19683" s="7">
        <v>1.79</v>
      </c>
    </row>
    <row r="19684" spans="1:4" x14ac:dyDescent="0.25">
      <c r="A19684" t="str">
        <f>HYPERLINK("https://www.773grp.com/globalSearch/74ALVCH16245DL112/page-1", "74ALVCH16245DL112")</f>
        <v>74ALVCH16245DL112</v>
      </c>
      <c r="B19684" s="3" t="s">
        <v>93</v>
      </c>
      <c r="C19684" s="6">
        <v>3162</v>
      </c>
      <c r="D19684" s="7">
        <v>1.79</v>
      </c>
    </row>
    <row r="19685" spans="1:4" x14ac:dyDescent="0.25">
      <c r="A19685" t="str">
        <f>HYPERLINK("https://www.773grp.com/globalSearch/74HC151N652/page-1", "74HC151N652")</f>
        <v>74HC151N652</v>
      </c>
      <c r="B19685" s="3" t="s">
        <v>93</v>
      </c>
      <c r="C19685" s="6">
        <v>20481</v>
      </c>
      <c r="D19685" s="7">
        <v>1.79</v>
      </c>
    </row>
    <row r="19686" spans="1:4" x14ac:dyDescent="0.25">
      <c r="A19686" t="str">
        <f>HYPERLINK("https://www.773grp.com/globalSearch/74HC153N652/page-1", "74HC153N652")</f>
        <v>74HC153N652</v>
      </c>
      <c r="B19686" s="3" t="s">
        <v>93</v>
      </c>
      <c r="C19686" s="6">
        <v>29389</v>
      </c>
      <c r="D19686" s="7">
        <v>1.79</v>
      </c>
    </row>
    <row r="19687" spans="1:4" x14ac:dyDescent="0.25">
      <c r="A19687" t="str">
        <f>HYPERLINK("https://www.773grp.com/globalSearch/74HC157N652/page-1", "74HC157N652")</f>
        <v>74HC157N652</v>
      </c>
      <c r="B19687" s="3" t="s">
        <v>93</v>
      </c>
      <c r="C19687" s="6">
        <v>16000</v>
      </c>
      <c r="D19687" s="7">
        <v>1.79</v>
      </c>
    </row>
    <row r="19688" spans="1:4" x14ac:dyDescent="0.25">
      <c r="A19688" t="str">
        <f>HYPERLINK("https://www.773grp.com/globalSearch/74HC240N652/page-1", "74HC240N652")</f>
        <v>74HC240N652</v>
      </c>
      <c r="B19688" s="3" t="s">
        <v>93</v>
      </c>
      <c r="C19688" s="6">
        <v>25420</v>
      </c>
      <c r="D19688" s="7">
        <v>1.79</v>
      </c>
    </row>
    <row r="19689" spans="1:4" x14ac:dyDescent="0.25">
      <c r="A19689" t="str">
        <f>HYPERLINK("https://www.773grp.com/globalSearch/74HC241N652/page-1", "74HC241N652")</f>
        <v>74HC241N652</v>
      </c>
      <c r="B19689" s="3" t="s">
        <v>93</v>
      </c>
      <c r="C19689" s="6">
        <v>4160</v>
      </c>
      <c r="D19689" s="7">
        <v>1.79</v>
      </c>
    </row>
    <row r="19690" spans="1:4" x14ac:dyDescent="0.25">
      <c r="A19690" t="str">
        <f>HYPERLINK("https://www.773grp.com/globalSearch/74HC243N652/page-1", "74HC243N652")</f>
        <v>74HC243N652</v>
      </c>
      <c r="B19690" s="3" t="s">
        <v>93</v>
      </c>
      <c r="C19690" s="6">
        <v>5800</v>
      </c>
      <c r="D19690" s="7">
        <v>1.79</v>
      </c>
    </row>
    <row r="19691" spans="1:4" x14ac:dyDescent="0.25">
      <c r="A19691" t="str">
        <f>HYPERLINK("https://www.773grp.com/globalSearch/74HCT151N652/page-1", "74HCT151N652")</f>
        <v>74HCT151N652</v>
      </c>
      <c r="B19691" s="3" t="s">
        <v>93</v>
      </c>
      <c r="C19691" s="6">
        <v>2075</v>
      </c>
      <c r="D19691" s="7">
        <v>1.79</v>
      </c>
    </row>
    <row r="19692" spans="1:4" x14ac:dyDescent="0.25">
      <c r="A19692" t="str">
        <f>HYPERLINK("https://www.773grp.com/globalSearch/74HCT153N652/page-1", "74HCT153N652")</f>
        <v>74HCT153N652</v>
      </c>
      <c r="B19692" s="3" t="s">
        <v>93</v>
      </c>
      <c r="C19692" s="6">
        <v>2999</v>
      </c>
      <c r="D19692" s="7">
        <v>1.79</v>
      </c>
    </row>
    <row r="19693" spans="1:4" x14ac:dyDescent="0.25">
      <c r="A19693" t="str">
        <f>HYPERLINK("https://www.773grp.com/globalSearch/74HCT157N652/page-1", "74HCT157N652")</f>
        <v>74HCT157N652</v>
      </c>
      <c r="B19693" s="3" t="s">
        <v>93</v>
      </c>
      <c r="C19693" s="6">
        <v>9398</v>
      </c>
      <c r="D19693" s="7">
        <v>1.79</v>
      </c>
    </row>
    <row r="19694" spans="1:4" x14ac:dyDescent="0.25">
      <c r="A19694" t="str">
        <f>HYPERLINK("https://www.773grp.com/globalSearch/74HCT240N652/page-1", "74HCT240N652")</f>
        <v>74HCT240N652</v>
      </c>
      <c r="B19694" s="3" t="s">
        <v>93</v>
      </c>
      <c r="C19694" s="6">
        <v>19379</v>
      </c>
      <c r="D19694" s="7">
        <v>1.79</v>
      </c>
    </row>
    <row r="19695" spans="1:4" x14ac:dyDescent="0.25">
      <c r="A19695" t="str">
        <f>HYPERLINK("https://www.773grp.com/globalSearch/74HCT670D652/page-1", "74HCT670D652")</f>
        <v>74HCT670D652</v>
      </c>
      <c r="B19695" s="3" t="s">
        <v>93</v>
      </c>
      <c r="C19695" s="6">
        <v>1000</v>
      </c>
      <c r="D19695" s="7">
        <v>1.79</v>
      </c>
    </row>
    <row r="19696" spans="1:4" x14ac:dyDescent="0.25">
      <c r="A19696" t="str">
        <f>HYPERLINK("https://www.773grp.com/globalSearch/74LVT16245BDGG112/page-1", "74LVT16245BDGG112")</f>
        <v>74LVT16245BDGG112</v>
      </c>
      <c r="B19696" s="3" t="s">
        <v>93</v>
      </c>
      <c r="C19696" s="6">
        <v>975</v>
      </c>
      <c r="D19696" s="7">
        <v>1.79</v>
      </c>
    </row>
    <row r="19697" spans="1:4" x14ac:dyDescent="0.25">
      <c r="A19697" t="str">
        <f>HYPERLINK("https://www.773grp.com/globalSearch/74LVT16245BDGG118/page-1", "74LVT16245BDGG118")</f>
        <v>74LVT16245BDGG118</v>
      </c>
      <c r="B19697" s="3" t="s">
        <v>93</v>
      </c>
      <c r="C19697" s="6">
        <v>6000</v>
      </c>
      <c r="D19697" s="7">
        <v>1.79</v>
      </c>
    </row>
    <row r="19698" spans="1:4" x14ac:dyDescent="0.25">
      <c r="A19698" t="str">
        <f>HYPERLINK("https://www.773grp.com/globalSearch/BFG591115/page-1", "BFG591115")</f>
        <v>BFG591115</v>
      </c>
      <c r="B19698" s="3" t="s">
        <v>93</v>
      </c>
      <c r="C19698" s="6">
        <v>28111</v>
      </c>
      <c r="D19698" s="7">
        <v>1.79</v>
      </c>
    </row>
    <row r="19699" spans="1:4" x14ac:dyDescent="0.25">
      <c r="A19699" t="str">
        <f>HYPERLINK("https://www.773grp.com/globalSearch/BFG94115/page-1", "BFG94115")</f>
        <v>BFG94115</v>
      </c>
      <c r="B19699" s="3" t="s">
        <v>93</v>
      </c>
      <c r="C19699" s="6">
        <v>2743</v>
      </c>
      <c r="D19699" s="7">
        <v>1.79</v>
      </c>
    </row>
    <row r="19700" spans="1:4" x14ac:dyDescent="0.25">
      <c r="A19700" t="str">
        <f>HYPERLINK("https://www.773grp.com/globalSearch/BSP030115/page-1", "BSP030115")</f>
        <v>BSP030115</v>
      </c>
      <c r="B19700" s="3" t="s">
        <v>93</v>
      </c>
      <c r="C19700" s="6">
        <v>16000</v>
      </c>
      <c r="D19700" s="7">
        <v>1.79</v>
      </c>
    </row>
    <row r="19701" spans="1:4" x14ac:dyDescent="0.25">
      <c r="A19701" t="str">
        <f>HYPERLINK("https://www.773grp.com/globalSearch/BSP122115/page-1", "BSP122115")</f>
        <v>BSP122115</v>
      </c>
      <c r="B19701" s="3" t="s">
        <v>93</v>
      </c>
      <c r="C19701" s="6">
        <v>11788</v>
      </c>
      <c r="D19701" s="7">
        <v>1.79</v>
      </c>
    </row>
    <row r="19702" spans="1:4" x14ac:dyDescent="0.25">
      <c r="A19702" t="str">
        <f>HYPERLINK("https://www.773grp.com/globalSearch/BT138X-600F127/page-1", "BT138X-600F127")</f>
        <v>BT138X-600F127</v>
      </c>
      <c r="B19702" s="3" t="s">
        <v>93</v>
      </c>
      <c r="C19702" s="6">
        <v>4000</v>
      </c>
      <c r="D19702" s="7">
        <v>1.79</v>
      </c>
    </row>
    <row r="19703" spans="1:4" x14ac:dyDescent="0.25">
      <c r="A19703" t="str">
        <f>HYPERLINK("https://www.773grp.com/globalSearch/BT138X-800127/page-1", "BT138X-800127")</f>
        <v>BT138X-800127</v>
      </c>
      <c r="B19703" s="3" t="s">
        <v>93</v>
      </c>
      <c r="C19703" s="6">
        <v>3031</v>
      </c>
      <c r="D19703" s="7">
        <v>1.79</v>
      </c>
    </row>
    <row r="19704" spans="1:4" x14ac:dyDescent="0.25">
      <c r="A19704" t="str">
        <f>HYPERLINK("https://www.773grp.com/globalSearch/BT152-500RT127/page-1", "BT152-500RT127")</f>
        <v>BT152-500RT127</v>
      </c>
      <c r="B19704" s="3" t="s">
        <v>93</v>
      </c>
      <c r="C19704" s="6">
        <v>8000</v>
      </c>
      <c r="D19704" s="7">
        <v>1.79</v>
      </c>
    </row>
    <row r="19705" spans="1:4" x14ac:dyDescent="0.25">
      <c r="A19705" t="str">
        <f>HYPERLINK("https://www.773grp.com/globalSearch/BT152-800R127/page-1", "BT152-800R127")</f>
        <v>BT152-800R127</v>
      </c>
      <c r="B19705" s="3" t="s">
        <v>93</v>
      </c>
      <c r="C19705" s="6">
        <v>9825</v>
      </c>
      <c r="D19705" s="7">
        <v>1.79</v>
      </c>
    </row>
    <row r="19706" spans="1:4" x14ac:dyDescent="0.25">
      <c r="A19706" t="str">
        <f>HYPERLINK("https://www.773grp.com/globalSearch/BT152B-400R118/page-1", "BT152B-400R118")</f>
        <v>BT152B-400R118</v>
      </c>
      <c r="B19706" s="3" t="s">
        <v>93</v>
      </c>
      <c r="C19706" s="6">
        <v>6100</v>
      </c>
      <c r="D19706" s="7">
        <v>1.79</v>
      </c>
    </row>
    <row r="19707" spans="1:4" x14ac:dyDescent="0.25">
      <c r="A19707" t="str">
        <f>HYPERLINK("https://www.773grp.com/globalSearch/BT152X-600R127/page-1", "BT152X-600R127")</f>
        <v>BT152X-600R127</v>
      </c>
      <c r="B19707" s="3" t="s">
        <v>93</v>
      </c>
      <c r="C19707" s="6">
        <v>61</v>
      </c>
      <c r="D19707" s="7">
        <v>1.79</v>
      </c>
    </row>
    <row r="19708" spans="1:4" x14ac:dyDescent="0.25">
      <c r="A19708" t="str">
        <f>HYPERLINK("https://www.773grp.com/globalSearch/BTA212B-600B118/page-1", "BTA212B-600B118")</f>
        <v>BTA212B-600B118</v>
      </c>
      <c r="B19708" s="3" t="s">
        <v>93</v>
      </c>
      <c r="C19708" s="6">
        <v>800</v>
      </c>
      <c r="D19708" s="7">
        <v>1.79</v>
      </c>
    </row>
    <row r="19709" spans="1:4" x14ac:dyDescent="0.25">
      <c r="A19709" t="str">
        <f>HYPERLINK("https://www.773grp.com/globalSearch/BTA212B-600D118/page-1", "BTA212B-600D118")</f>
        <v>BTA212B-600D118</v>
      </c>
      <c r="B19709" s="3" t="s">
        <v>93</v>
      </c>
      <c r="C19709" s="6">
        <v>4000</v>
      </c>
      <c r="D19709" s="7">
        <v>1.79</v>
      </c>
    </row>
    <row r="19710" spans="1:4" x14ac:dyDescent="0.25">
      <c r="A19710" t="str">
        <f>HYPERLINK("https://www.773grp.com/globalSearch/BTA212B-600E118/page-1", "BTA212B-600E118")</f>
        <v>BTA212B-600E118</v>
      </c>
      <c r="B19710" s="3" t="s">
        <v>93</v>
      </c>
      <c r="C19710" s="6">
        <v>4000</v>
      </c>
      <c r="D19710" s="7">
        <v>1.79</v>
      </c>
    </row>
    <row r="19711" spans="1:4" x14ac:dyDescent="0.25">
      <c r="A19711" t="str">
        <f>HYPERLINK("https://www.773grp.com/globalSearch/BTA212B-600F118/page-1", "BTA212B-600F118")</f>
        <v>BTA212B-600F118</v>
      </c>
      <c r="B19711" s="3" t="s">
        <v>93</v>
      </c>
      <c r="C19711" s="6">
        <v>1434</v>
      </c>
      <c r="D19711" s="7">
        <v>1.79</v>
      </c>
    </row>
    <row r="19712" spans="1:4" x14ac:dyDescent="0.25">
      <c r="A19712" t="str">
        <f>HYPERLINK("https://www.773grp.com/globalSearch/BTA316B-800B118/page-1", "BTA316B-800B118")</f>
        <v>BTA316B-800B118</v>
      </c>
      <c r="B19712" s="3" t="s">
        <v>93</v>
      </c>
      <c r="C19712" s="6">
        <v>2400</v>
      </c>
      <c r="D19712" s="7">
        <v>1.79</v>
      </c>
    </row>
    <row r="19713" spans="1:4" x14ac:dyDescent="0.25">
      <c r="A19713" t="str">
        <f>HYPERLINK("https://www.773grp.com/globalSearch/BTA316B-800E118/page-1", "BTA316B-800E118")</f>
        <v>BTA316B-800E118</v>
      </c>
      <c r="B19713" s="3" t="s">
        <v>93</v>
      </c>
      <c r="C19713" s="6">
        <v>8000</v>
      </c>
      <c r="D19713" s="7">
        <v>1.79</v>
      </c>
    </row>
    <row r="19714" spans="1:4" x14ac:dyDescent="0.25">
      <c r="A19714" t="str">
        <f>HYPERLINK("https://www.773grp.com/globalSearch/BUK7575-100A127/page-1", "BUK7575-100A127")</f>
        <v>BUK7575-100A127</v>
      </c>
      <c r="B19714" s="3" t="s">
        <v>93</v>
      </c>
      <c r="C19714" s="6">
        <v>138</v>
      </c>
      <c r="D19714" s="7">
        <v>1.79</v>
      </c>
    </row>
    <row r="19715" spans="1:4" x14ac:dyDescent="0.25">
      <c r="A19715" t="str">
        <f>HYPERLINK("https://www.773grp.com/globalSearch/BUK9575-100A127/page-1", "BUK9575-100A127")</f>
        <v>BUK9575-100A127</v>
      </c>
      <c r="B19715" s="3" t="s">
        <v>93</v>
      </c>
      <c r="C19715" s="6">
        <v>1720</v>
      </c>
      <c r="D19715" s="7">
        <v>1.79</v>
      </c>
    </row>
    <row r="19716" spans="1:4" x14ac:dyDescent="0.25">
      <c r="A19716" t="str">
        <f>HYPERLINK("https://www.773grp.com/globalSearch/BUK958R5-40E127/page-1", "BUK958R5-40E127")</f>
        <v>BUK958R5-40E127</v>
      </c>
      <c r="B19716" s="3" t="s">
        <v>93</v>
      </c>
      <c r="C19716" s="6">
        <v>180</v>
      </c>
      <c r="D19716" s="7">
        <v>1.79</v>
      </c>
    </row>
    <row r="19717" spans="1:4" x14ac:dyDescent="0.25">
      <c r="A19717" t="str">
        <f>HYPERLINK("https://www.773grp.com/globalSearch/BYC5B-600118/page-1", "BYC5B-600118")</f>
        <v>BYC5B-600118</v>
      </c>
      <c r="B19717" s="3" t="s">
        <v>93</v>
      </c>
      <c r="C19717" s="6">
        <v>17</v>
      </c>
      <c r="D19717" s="7">
        <v>1.79</v>
      </c>
    </row>
    <row r="19718" spans="1:4" x14ac:dyDescent="0.25">
      <c r="A19718" t="str">
        <f>HYPERLINK("https://www.773grp.com/globalSearch/BYR29X-600127/page-1", "BYR29X-600127")</f>
        <v>BYR29X-600127</v>
      </c>
      <c r="B19718" s="3" t="s">
        <v>93</v>
      </c>
      <c r="C19718" s="6">
        <v>3015</v>
      </c>
      <c r="D19718" s="7">
        <v>1.79</v>
      </c>
    </row>
    <row r="19719" spans="1:4" x14ac:dyDescent="0.25">
      <c r="A19719" t="str">
        <f>HYPERLINK("https://www.773grp.com/globalSearch/BYT28-500127/page-1", "BYT28-500127")</f>
        <v>BYT28-500127</v>
      </c>
      <c r="B19719" s="3" t="s">
        <v>93</v>
      </c>
      <c r="C19719" s="6">
        <v>12864</v>
      </c>
      <c r="D19719" s="7">
        <v>1.79</v>
      </c>
    </row>
    <row r="19720" spans="1:4" x14ac:dyDescent="0.25">
      <c r="A19720" t="str">
        <f>HYPERLINK("https://www.773grp.com/globalSearch/BYV32E-100127/page-1", "BYV32E-100127")</f>
        <v>BYV32E-100127</v>
      </c>
      <c r="B19720" s="3" t="s">
        <v>93</v>
      </c>
      <c r="C19720" s="6">
        <v>7400</v>
      </c>
      <c r="D19720" s="7">
        <v>1.79</v>
      </c>
    </row>
    <row r="19721" spans="1:4" x14ac:dyDescent="0.25">
      <c r="A19721" t="str">
        <f>HYPERLINK("https://www.773grp.com/globalSearch/HEF4024BP652/page-1", "HEF4024BP652")</f>
        <v>HEF4024BP652</v>
      </c>
      <c r="B19721" s="3" t="s">
        <v>93</v>
      </c>
      <c r="C19721" s="6">
        <v>6409</v>
      </c>
      <c r="D19721" s="7">
        <v>1.79</v>
      </c>
    </row>
    <row r="19722" spans="1:4" x14ac:dyDescent="0.25">
      <c r="A19722" t="str">
        <f>HYPERLINK("https://www.773grp.com/globalSearch/HEF4030BP652/page-1", "HEF4030BP652")</f>
        <v>HEF4030BP652</v>
      </c>
      <c r="B19722" s="3" t="s">
        <v>93</v>
      </c>
      <c r="C19722" s="6">
        <v>8650</v>
      </c>
      <c r="D19722" s="7">
        <v>1.79</v>
      </c>
    </row>
    <row r="19723" spans="1:4" x14ac:dyDescent="0.25">
      <c r="A19723" t="str">
        <f>HYPERLINK("https://www.773grp.com/globalSearch/HEF4051BP652/page-1", "HEF4051BP652")</f>
        <v>HEF4051BP652</v>
      </c>
      <c r="B19723" s="3" t="s">
        <v>93</v>
      </c>
      <c r="C19723" s="6">
        <v>39025</v>
      </c>
      <c r="D19723" s="7">
        <v>1.79</v>
      </c>
    </row>
    <row r="19724" spans="1:4" x14ac:dyDescent="0.25">
      <c r="A19724" t="str">
        <f>HYPERLINK("https://www.773grp.com/globalSearch/HEF4052BP652/page-1", "HEF4052BP652")</f>
        <v>HEF4052BP652</v>
      </c>
      <c r="B19724" s="3" t="s">
        <v>93</v>
      </c>
      <c r="C19724" s="6">
        <v>1000</v>
      </c>
      <c r="D19724" s="7">
        <v>1.79</v>
      </c>
    </row>
    <row r="19725" spans="1:4" x14ac:dyDescent="0.25">
      <c r="A19725" t="str">
        <f>HYPERLINK("https://www.773grp.com/globalSearch/HEF4053BP652/page-1", "HEF4053BP652")</f>
        <v>HEF4053BP652</v>
      </c>
      <c r="B19725" s="3" t="s">
        <v>93</v>
      </c>
      <c r="C19725" s="6">
        <v>5000</v>
      </c>
      <c r="D19725" s="7">
        <v>1.79</v>
      </c>
    </row>
    <row r="19726" spans="1:4" x14ac:dyDescent="0.25">
      <c r="A19726" t="str">
        <f>HYPERLINK("https://www.773grp.com/globalSearch/HEF4518BP652/page-1", "HEF4518BP652")</f>
        <v>HEF4518BP652</v>
      </c>
      <c r="B19726" s="3" t="s">
        <v>93</v>
      </c>
      <c r="C19726" s="6">
        <v>1000</v>
      </c>
      <c r="D19726" s="7">
        <v>1.79</v>
      </c>
    </row>
    <row r="19727" spans="1:4" x14ac:dyDescent="0.25">
      <c r="A19727" t="str">
        <f>HYPERLINK("https://www.773grp.com/globalSearch/HEF4520BP652/page-1", "HEF4520BP652")</f>
        <v>HEF4520BP652</v>
      </c>
      <c r="B19727" s="3" t="s">
        <v>93</v>
      </c>
      <c r="C19727" s="6">
        <v>2205</v>
      </c>
      <c r="D19727" s="7">
        <v>1.79</v>
      </c>
    </row>
    <row r="19728" spans="1:4" x14ac:dyDescent="0.25">
      <c r="A19728" t="str">
        <f>HYPERLINK("https://www.773grp.com/globalSearch/PCF2123BS-1512/page-1", "PCF2123BS-1512")</f>
        <v>PCF2123BS-1512</v>
      </c>
      <c r="B19728" s="3" t="s">
        <v>93</v>
      </c>
      <c r="C19728" s="6">
        <v>2000</v>
      </c>
      <c r="D19728" s="7">
        <v>1.79</v>
      </c>
    </row>
    <row r="19729" spans="1:4" x14ac:dyDescent="0.25">
      <c r="A19729" t="str">
        <f>HYPERLINK("https://www.773grp.com/globalSearch/PCF8563TS-5118/page-1", "PCF8563TS-5118")</f>
        <v>PCF8563TS-5118</v>
      </c>
      <c r="B19729" s="3" t="s">
        <v>93</v>
      </c>
      <c r="C19729" s="6">
        <v>991</v>
      </c>
      <c r="D19729" s="7">
        <v>1.79</v>
      </c>
    </row>
    <row r="19730" spans="1:4" x14ac:dyDescent="0.25">
      <c r="A19730" t="str">
        <f>HYPERLINK("https://www.773grp.com/globalSearch/PHB18NQ10T118/page-1", "PHB18NQ10T118")</f>
        <v>PHB18NQ10T118</v>
      </c>
      <c r="B19730" s="3" t="s">
        <v>93</v>
      </c>
      <c r="C19730" s="6">
        <v>1966</v>
      </c>
      <c r="D19730" s="7">
        <v>1.79</v>
      </c>
    </row>
    <row r="19731" spans="1:4" x14ac:dyDescent="0.25">
      <c r="A19731" t="str">
        <f>HYPERLINK("https://www.773grp.com/globalSearch/PHB29N08T118/page-1", "PHB29N08T118")</f>
        <v>PHB29N08T118</v>
      </c>
      <c r="B19731" s="3" t="s">
        <v>93</v>
      </c>
      <c r="C19731" s="6">
        <v>3400</v>
      </c>
      <c r="D19731" s="7">
        <v>1.79</v>
      </c>
    </row>
    <row r="19732" spans="1:4" x14ac:dyDescent="0.25">
      <c r="A19732" t="str">
        <f>HYPERLINK("https://www.773grp.com/globalSearch/PHB32N06LT118/page-1", "PHB32N06LT118")</f>
        <v>PHB32N06LT118</v>
      </c>
      <c r="B19732" s="3" t="s">
        <v>93</v>
      </c>
      <c r="C19732" s="6">
        <v>10400</v>
      </c>
      <c r="D19732" s="7">
        <v>1.79</v>
      </c>
    </row>
    <row r="19733" spans="1:4" x14ac:dyDescent="0.25">
      <c r="A19733" t="str">
        <f>HYPERLINK("https://www.773grp.com/globalSearch/PSMN8R0-40PS127/page-1", "PSMN8R0-40PS127")</f>
        <v>PSMN8R0-40PS127</v>
      </c>
      <c r="B19733" s="3" t="s">
        <v>93</v>
      </c>
      <c r="C19733" s="6">
        <v>2000</v>
      </c>
      <c r="D19733" s="7">
        <v>1.79</v>
      </c>
    </row>
    <row r="19734" spans="1:4" x14ac:dyDescent="0.25">
      <c r="A19734" t="str">
        <f>HYPERLINK("https://www.773grp.com/globalSearch/TJA1042T-3118/page-1", "TJA1042T-3118")</f>
        <v>TJA1042T-3118</v>
      </c>
      <c r="B19734" s="3" t="s">
        <v>93</v>
      </c>
      <c r="C19734" s="6">
        <v>116</v>
      </c>
      <c r="D19734" s="7">
        <v>1.79</v>
      </c>
    </row>
    <row r="19735" spans="1:4" x14ac:dyDescent="0.25">
      <c r="A19735" t="str">
        <f>HYPERLINK("https://www.773grp.com/globalSearch/74HC4051N652/page-1", "74HC4051N652")</f>
        <v>74HC4051N652</v>
      </c>
      <c r="B19735" s="3" t="s">
        <v>93</v>
      </c>
      <c r="C19735" s="6">
        <v>27600</v>
      </c>
      <c r="D19735" s="7">
        <v>1.84</v>
      </c>
    </row>
    <row r="19736" spans="1:4" x14ac:dyDescent="0.25">
      <c r="A19736" t="str">
        <f>HYPERLINK("https://www.773grp.com/globalSearch/74HC4052N652/page-1", "74HC4052N652")</f>
        <v>74HC4052N652</v>
      </c>
      <c r="B19736" s="3" t="s">
        <v>93</v>
      </c>
      <c r="C19736" s="6">
        <v>81300</v>
      </c>
      <c r="D19736" s="7">
        <v>1.84</v>
      </c>
    </row>
    <row r="19737" spans="1:4" x14ac:dyDescent="0.25">
      <c r="A19737" t="str">
        <f>HYPERLINK("https://www.773grp.com/globalSearch/74HC4053N652/page-1", "74HC4053N652")</f>
        <v>74HC4053N652</v>
      </c>
      <c r="B19737" s="3" t="s">
        <v>93</v>
      </c>
      <c r="C19737" s="6">
        <v>5000</v>
      </c>
      <c r="D19737" s="7">
        <v>1.84</v>
      </c>
    </row>
    <row r="19738" spans="1:4" x14ac:dyDescent="0.25">
      <c r="A19738" t="str">
        <f>HYPERLINK("https://www.773grp.com/globalSearch/74HC670D653/page-1", "74HC670D653")</f>
        <v>74HC670D653</v>
      </c>
      <c r="B19738" s="3" t="s">
        <v>93</v>
      </c>
      <c r="C19738" s="6">
        <v>2500</v>
      </c>
      <c r="D19738" s="7">
        <v>1.84</v>
      </c>
    </row>
    <row r="19739" spans="1:4" x14ac:dyDescent="0.25">
      <c r="A19739" t="str">
        <f>HYPERLINK("https://www.773grp.com/globalSearch/74HCT4051N112/page-1", "74HCT4051N112")</f>
        <v>74HCT4051N112</v>
      </c>
      <c r="B19739" s="3" t="s">
        <v>93</v>
      </c>
      <c r="C19739" s="6">
        <v>11000</v>
      </c>
      <c r="D19739" s="7">
        <v>1.84</v>
      </c>
    </row>
    <row r="19740" spans="1:4" x14ac:dyDescent="0.25">
      <c r="A19740" t="str">
        <f>HYPERLINK("https://www.773grp.com/globalSearch/74LVC4245AD112/page-1", "74LVC4245AD112")</f>
        <v>74LVC4245AD112</v>
      </c>
      <c r="B19740" s="3" t="s">
        <v>93</v>
      </c>
      <c r="C19740" s="6">
        <v>20340</v>
      </c>
      <c r="D19740" s="7">
        <v>1.84</v>
      </c>
    </row>
    <row r="19741" spans="1:4" x14ac:dyDescent="0.25">
      <c r="A19741" t="str">
        <f>HYPERLINK("https://www.773grp.com/globalSearch/74LVC4245AD118/page-1", "74LVC4245AD118")</f>
        <v>74LVC4245AD118</v>
      </c>
      <c r="B19741" s="3" t="s">
        <v>93</v>
      </c>
      <c r="C19741" s="6">
        <v>31000</v>
      </c>
      <c r="D19741" s="7">
        <v>1.84</v>
      </c>
    </row>
    <row r="19742" spans="1:4" x14ac:dyDescent="0.25">
      <c r="A19742" t="str">
        <f>HYPERLINK("https://www.773grp.com/globalSearch/74LVC4245ADB118/page-1", "74LVC4245ADB118")</f>
        <v>74LVC4245ADB118</v>
      </c>
      <c r="B19742" s="3" t="s">
        <v>93</v>
      </c>
      <c r="C19742" s="6">
        <v>9000</v>
      </c>
      <c r="D19742" s="7">
        <v>1.84</v>
      </c>
    </row>
    <row r="19743" spans="1:4" x14ac:dyDescent="0.25">
      <c r="A19743" t="str">
        <f>HYPERLINK("https://www.773grp.com/globalSearch/BTA312Y-600C127/page-1", "BTA312Y-600C127")</f>
        <v>BTA312Y-600C127</v>
      </c>
      <c r="B19743" s="3" t="s">
        <v>93</v>
      </c>
      <c r="C19743" s="6">
        <v>178</v>
      </c>
      <c r="D19743" s="7">
        <v>1.84</v>
      </c>
    </row>
    <row r="19744" spans="1:4" x14ac:dyDescent="0.25">
      <c r="A19744" t="str">
        <f>HYPERLINK("https://www.773grp.com/globalSearch/BTA412Y-800B127/page-1", "BTA412Y-800B127")</f>
        <v>BTA412Y-800B127</v>
      </c>
      <c r="B19744" s="3" t="s">
        <v>93</v>
      </c>
      <c r="C19744" s="6">
        <v>936</v>
      </c>
      <c r="D19744" s="7">
        <v>1.84</v>
      </c>
    </row>
    <row r="19745" spans="1:4" x14ac:dyDescent="0.25">
      <c r="A19745" t="str">
        <f>HYPERLINK("https://www.773grp.com/globalSearch/BUK9628-55A118/page-1", "BUK9628-55A118")</f>
        <v>BUK9628-55A118</v>
      </c>
      <c r="B19745" s="3" t="s">
        <v>93</v>
      </c>
      <c r="C19745" s="6">
        <v>5600</v>
      </c>
      <c r="D19745" s="7">
        <v>1.84</v>
      </c>
    </row>
    <row r="19746" spans="1:4" x14ac:dyDescent="0.25">
      <c r="A19746" t="str">
        <f>HYPERLINK("https://www.773grp.com/globalSearch/BUK9E15-60E127/page-1", "BUK9E15-60E127")</f>
        <v>BUK9E15-60E127</v>
      </c>
      <c r="B19746" s="3" t="s">
        <v>93</v>
      </c>
      <c r="C19746" s="6">
        <v>290</v>
      </c>
      <c r="D19746" s="7">
        <v>1.84</v>
      </c>
    </row>
    <row r="19747" spans="1:4" x14ac:dyDescent="0.25">
      <c r="A19747" t="str">
        <f>HYPERLINK("https://www.773grp.com/globalSearch/BUK9E8R5-40E127/page-1", "BUK9E8R5-40E127")</f>
        <v>BUK9E8R5-40E127</v>
      </c>
      <c r="B19747" s="3" t="s">
        <v>93</v>
      </c>
      <c r="C19747" s="6">
        <v>268</v>
      </c>
      <c r="D19747" s="7">
        <v>1.84</v>
      </c>
    </row>
    <row r="19748" spans="1:4" x14ac:dyDescent="0.25">
      <c r="A19748" t="str">
        <f>HYPERLINK("https://www.773grp.com/globalSearch/BYV32E-150127/page-1", "BYV32E-150127")</f>
        <v>BYV32E-150127</v>
      </c>
      <c r="B19748" s="3" t="s">
        <v>93</v>
      </c>
      <c r="C19748" s="6">
        <v>4460</v>
      </c>
      <c r="D19748" s="7">
        <v>1.84</v>
      </c>
    </row>
    <row r="19749" spans="1:4" x14ac:dyDescent="0.25">
      <c r="A19749" t="str">
        <f>HYPERLINK("https://www.773grp.com/globalSearch/BZV90-C15115/page-1", "BZV90-C15115")</f>
        <v>BZV90-C15115</v>
      </c>
      <c r="B19749" s="3" t="s">
        <v>93</v>
      </c>
      <c r="C19749" s="6">
        <v>4000</v>
      </c>
      <c r="D19749" s="7">
        <v>1.84</v>
      </c>
    </row>
    <row r="19750" spans="1:4" x14ac:dyDescent="0.25">
      <c r="A19750" t="str">
        <f>HYPERLINK("https://www.773grp.com/globalSearch/BZV90-C27115/page-1", "BZV90-C27115")</f>
        <v>BZV90-C27115</v>
      </c>
      <c r="B19750" s="3" t="s">
        <v>93</v>
      </c>
      <c r="C19750" s="6">
        <v>634</v>
      </c>
      <c r="D19750" s="7">
        <v>1.84</v>
      </c>
    </row>
    <row r="19751" spans="1:4" x14ac:dyDescent="0.25">
      <c r="A19751" t="str">
        <f>HYPERLINK("https://www.773grp.com/globalSearch/BZV90-C3V6115/page-1", "BZV90-C3V6115")</f>
        <v>BZV90-C3V6115</v>
      </c>
      <c r="B19751" s="3" t="s">
        <v>93</v>
      </c>
      <c r="C19751" s="6">
        <v>10038</v>
      </c>
      <c r="D19751" s="7">
        <v>1.84</v>
      </c>
    </row>
    <row r="19752" spans="1:4" x14ac:dyDescent="0.25">
      <c r="A19752" t="str">
        <f>HYPERLINK("https://www.773grp.com/globalSearch/BZV90-C4V7115/page-1", "BZV90-C4V7115")</f>
        <v>BZV90-C4V7115</v>
      </c>
      <c r="B19752" s="3" t="s">
        <v>93</v>
      </c>
      <c r="C19752" s="6">
        <v>2323</v>
      </c>
      <c r="D19752" s="7">
        <v>1.84</v>
      </c>
    </row>
    <row r="19753" spans="1:4" x14ac:dyDescent="0.25">
      <c r="A19753" t="str">
        <f>HYPERLINK("https://www.773grp.com/globalSearch/GTL2005PW-DG118/page-1", "GTL2005PW-DG118")</f>
        <v>GTL2005PW-DG118</v>
      </c>
      <c r="B19753" s="3" t="s">
        <v>93</v>
      </c>
      <c r="C19753" s="6">
        <v>5970</v>
      </c>
      <c r="D19753" s="7">
        <v>1.84</v>
      </c>
    </row>
    <row r="19754" spans="1:4" x14ac:dyDescent="0.25">
      <c r="A19754" t="str">
        <f>HYPERLINK("https://www.773grp.com/globalSearch/IP4776CZ38118/page-1", "IP4776CZ38118")</f>
        <v>IP4776CZ38118</v>
      </c>
      <c r="B19754" s="3" t="s">
        <v>93</v>
      </c>
      <c r="C19754" s="6">
        <v>1</v>
      </c>
      <c r="D19754" s="7">
        <v>1.84</v>
      </c>
    </row>
    <row r="19755" spans="1:4" x14ac:dyDescent="0.25">
      <c r="A19755" t="str">
        <f>HYPERLINK("https://www.773grp.com/globalSearch/NX3DV221GM132/page-1", "NX3DV221GM132")</f>
        <v>NX3DV221GM132</v>
      </c>
      <c r="B19755" s="3" t="s">
        <v>93</v>
      </c>
      <c r="C19755" s="6">
        <v>845</v>
      </c>
      <c r="D19755" s="7">
        <v>1.84</v>
      </c>
    </row>
    <row r="19756" spans="1:4" x14ac:dyDescent="0.25">
      <c r="A19756" t="str">
        <f>HYPERLINK("https://www.773grp.com/globalSearch/PBSS4041NZ115/page-1", "PBSS4041NZ115")</f>
        <v>PBSS4041NZ115</v>
      </c>
      <c r="B19756" s="3" t="s">
        <v>93</v>
      </c>
      <c r="C19756" s="6">
        <v>200</v>
      </c>
      <c r="D19756" s="7">
        <v>1.84</v>
      </c>
    </row>
    <row r="19757" spans="1:4" x14ac:dyDescent="0.25">
      <c r="A19757" t="str">
        <f>HYPERLINK("https://www.773grp.com/globalSearch/PCA9922PW118/page-1", "PCA9922PW118")</f>
        <v>PCA9922PW118</v>
      </c>
      <c r="B19757" s="3" t="s">
        <v>93</v>
      </c>
      <c r="C19757" s="6">
        <v>133</v>
      </c>
      <c r="D19757" s="7">
        <v>1.84</v>
      </c>
    </row>
    <row r="19758" spans="1:4" x14ac:dyDescent="0.25">
      <c r="A19758" t="str">
        <f>HYPERLINK("https://www.773grp.com/globalSearch/PCF85102C-2T-0311/page-1", "PCF85102C-2T-0311")</f>
        <v>PCF85102C-2T-0311</v>
      </c>
      <c r="B19758" s="3" t="s">
        <v>93</v>
      </c>
      <c r="C19758" s="6">
        <v>1190</v>
      </c>
      <c r="D19758" s="7">
        <v>1.84</v>
      </c>
    </row>
    <row r="19759" spans="1:4" x14ac:dyDescent="0.25">
      <c r="A19759" t="str">
        <f>HYPERLINK("https://www.773grp.com/globalSearch/PCF85103C-2T-00118/page-1", "PCF85103C-2T-00118")</f>
        <v>PCF85103C-2T-00118</v>
      </c>
      <c r="B19759" s="3" t="s">
        <v>93</v>
      </c>
      <c r="C19759" s="6">
        <v>2575</v>
      </c>
      <c r="D19759" s="7">
        <v>1.84</v>
      </c>
    </row>
    <row r="19760" spans="1:4" x14ac:dyDescent="0.25">
      <c r="A19760" t="str">
        <f>HYPERLINK("https://www.773grp.com/globalSearch/PSMN011-80YS115/page-1", "PSMN011-80YS115")</f>
        <v>PSMN011-80YS115</v>
      </c>
      <c r="B19760" s="3" t="s">
        <v>93</v>
      </c>
      <c r="C19760" s="6">
        <v>3000</v>
      </c>
      <c r="D19760" s="7">
        <v>1.84</v>
      </c>
    </row>
    <row r="19761" spans="1:4" x14ac:dyDescent="0.25">
      <c r="A19761" t="str">
        <f>HYPERLINK("https://www.773grp.com/globalSearch/PSMN1R7-30YL115/page-1", "PSMN1R7-30YL115")</f>
        <v>PSMN1R7-30YL115</v>
      </c>
      <c r="B19761" s="3" t="s">
        <v>93</v>
      </c>
      <c r="C19761" s="6">
        <v>4500</v>
      </c>
      <c r="D19761" s="7">
        <v>1.84</v>
      </c>
    </row>
    <row r="19762" spans="1:4" x14ac:dyDescent="0.25">
      <c r="A19762" t="str">
        <f>HYPERLINK("https://www.773grp.com/globalSearch/TEA1521T-N2518/page-1", "TEA1521T-N2518")</f>
        <v>TEA1521T-N2518</v>
      </c>
      <c r="B19762" s="3" t="s">
        <v>93</v>
      </c>
      <c r="C19762" s="6">
        <v>5000</v>
      </c>
      <c r="D19762" s="7">
        <v>1.84</v>
      </c>
    </row>
    <row r="19763" spans="1:4" x14ac:dyDescent="0.25">
      <c r="A19763" t="str">
        <f>HYPERLINK("https://www.773grp.com/globalSearch/TEA1761T-N2-DG118/page-1", "TEA1761T-N2-DG118")</f>
        <v>TEA1761T-N2-DG118</v>
      </c>
      <c r="B19763" s="3" t="s">
        <v>93</v>
      </c>
      <c r="C19763" s="6">
        <v>12500</v>
      </c>
      <c r="D19763" s="7">
        <v>1.84</v>
      </c>
    </row>
    <row r="19764" spans="1:4" x14ac:dyDescent="0.25">
      <c r="A19764" t="str">
        <f>HYPERLINK("https://www.773grp.com/globalSearch/74ABT162245ADL118/page-1", "74ABT162245ADL118")</f>
        <v>74ABT162245ADL118</v>
      </c>
      <c r="B19764" s="3" t="s">
        <v>93</v>
      </c>
      <c r="C19764" s="6">
        <v>1000</v>
      </c>
      <c r="D19764" s="7">
        <v>1.91</v>
      </c>
    </row>
    <row r="19765" spans="1:4" x14ac:dyDescent="0.25">
      <c r="A19765" t="str">
        <f>HYPERLINK("https://www.773grp.com/globalSearch/74ABT241D602/page-1", "74ABT241D602")</f>
        <v>74ABT241D602</v>
      </c>
      <c r="B19765" s="3" t="s">
        <v>93</v>
      </c>
      <c r="C19765" s="6">
        <v>3040</v>
      </c>
      <c r="D19765" s="7">
        <v>1.91</v>
      </c>
    </row>
    <row r="19766" spans="1:4" x14ac:dyDescent="0.25">
      <c r="A19766" t="str">
        <f>HYPERLINK("https://www.773grp.com/globalSearch/74ABT241D623/page-1", "74ABT241D623")</f>
        <v>74ABT241D623</v>
      </c>
      <c r="B19766" s="3" t="s">
        <v>93</v>
      </c>
      <c r="C19766" s="6">
        <v>4000</v>
      </c>
      <c r="D19766" s="7">
        <v>1.91</v>
      </c>
    </row>
    <row r="19767" spans="1:4" x14ac:dyDescent="0.25">
      <c r="A19767" t="str">
        <f>HYPERLINK("https://www.773grp.com/globalSearch/74HC390N652/page-1", "74HC390N652")</f>
        <v>74HC390N652</v>
      </c>
      <c r="B19767" s="3" t="s">
        <v>93</v>
      </c>
      <c r="C19767" s="6">
        <v>8998</v>
      </c>
      <c r="D19767" s="7">
        <v>1.91</v>
      </c>
    </row>
    <row r="19768" spans="1:4" x14ac:dyDescent="0.25">
      <c r="A19768" t="str">
        <f>HYPERLINK("https://www.773grp.com/globalSearch/74HC393N652/page-1", "74HC393N652")</f>
        <v>74HC393N652</v>
      </c>
      <c r="B19768" s="3" t="s">
        <v>93</v>
      </c>
      <c r="C19768" s="6">
        <v>17441</v>
      </c>
      <c r="D19768" s="7">
        <v>1.91</v>
      </c>
    </row>
    <row r="19769" spans="1:4" x14ac:dyDescent="0.25">
      <c r="A19769" t="str">
        <f>HYPERLINK("https://www.773grp.com/globalSearch/74HC4514D652/page-1", "74HC4514D652")</f>
        <v>74HC4514D652</v>
      </c>
      <c r="B19769" s="3" t="s">
        <v>93</v>
      </c>
      <c r="C19769" s="6">
        <v>7554</v>
      </c>
      <c r="D19769" s="7">
        <v>1.91</v>
      </c>
    </row>
    <row r="19770" spans="1:4" x14ac:dyDescent="0.25">
      <c r="A19770" t="str">
        <f>HYPERLINK("https://www.773grp.com/globalSearch/74HC4514D653/page-1", "74HC4514D653")</f>
        <v>74HC4514D653</v>
      </c>
      <c r="B19770" s="3" t="s">
        <v>93</v>
      </c>
      <c r="C19770" s="6">
        <v>25000</v>
      </c>
      <c r="D19770" s="7">
        <v>1.91</v>
      </c>
    </row>
    <row r="19771" spans="1:4" x14ac:dyDescent="0.25">
      <c r="A19771" t="str">
        <f>HYPERLINK("https://www.773grp.com/globalSearch/74HC73N652/page-1", "74HC73N652")</f>
        <v>74HC73N652</v>
      </c>
      <c r="B19771" s="3" t="s">
        <v>93</v>
      </c>
      <c r="C19771" s="6">
        <v>24500</v>
      </c>
      <c r="D19771" s="7">
        <v>1.91</v>
      </c>
    </row>
    <row r="19772" spans="1:4" x14ac:dyDescent="0.25">
      <c r="A19772" t="str">
        <f>HYPERLINK("https://www.773grp.com/globalSearch/74HCT390N652/page-1", "74HCT390N652")</f>
        <v>74HCT390N652</v>
      </c>
      <c r="B19772" s="3" t="s">
        <v>93</v>
      </c>
      <c r="C19772" s="6">
        <v>4000</v>
      </c>
      <c r="D19772" s="7">
        <v>1.91</v>
      </c>
    </row>
    <row r="19773" spans="1:4" x14ac:dyDescent="0.25">
      <c r="A19773" t="str">
        <f>HYPERLINK("https://www.773grp.com/globalSearch/74HCT393N652/page-1", "74HCT393N652")</f>
        <v>74HCT393N652</v>
      </c>
      <c r="B19773" s="3" t="s">
        <v>93</v>
      </c>
      <c r="C19773" s="6">
        <v>5104</v>
      </c>
      <c r="D19773" s="7">
        <v>1.91</v>
      </c>
    </row>
    <row r="19774" spans="1:4" x14ac:dyDescent="0.25">
      <c r="A19774" t="str">
        <f>HYPERLINK("https://www.773grp.com/globalSearch/74HCT4002N112/page-1", "74HCT4002N112")</f>
        <v>74HCT4002N112</v>
      </c>
      <c r="B19774" s="3" t="s">
        <v>93</v>
      </c>
      <c r="C19774" s="6">
        <v>2950</v>
      </c>
      <c r="D19774" s="7">
        <v>1.91</v>
      </c>
    </row>
    <row r="19775" spans="1:4" x14ac:dyDescent="0.25">
      <c r="A19775" t="str">
        <f>HYPERLINK("https://www.773grp.com/globalSearch/74HCT85N652/page-1", "74HCT85N652")</f>
        <v>74HCT85N652</v>
      </c>
      <c r="B19775" s="3" t="s">
        <v>93</v>
      </c>
      <c r="C19775" s="6">
        <v>14900</v>
      </c>
      <c r="D19775" s="7">
        <v>1.91</v>
      </c>
    </row>
    <row r="19776" spans="1:4" x14ac:dyDescent="0.25">
      <c r="A19776" t="str">
        <f>HYPERLINK("https://www.773grp.com/globalSearch/74LV4094D118/page-1", "74LV4094D118")</f>
        <v>74LV4094D118</v>
      </c>
      <c r="B19776" s="3" t="s">
        <v>93</v>
      </c>
      <c r="C19776" s="6">
        <v>1790</v>
      </c>
      <c r="D19776" s="7">
        <v>1.91</v>
      </c>
    </row>
    <row r="19777" spans="1:4" x14ac:dyDescent="0.25">
      <c r="A19777" t="str">
        <f>HYPERLINK("https://www.773grp.com/globalSearch/74LVC543AD112/page-1", "74LVC543AD112")</f>
        <v>74LVC543AD112</v>
      </c>
      <c r="B19777" s="3" t="s">
        <v>93</v>
      </c>
      <c r="C19777" s="6">
        <v>1900</v>
      </c>
      <c r="D19777" s="7">
        <v>1.91</v>
      </c>
    </row>
    <row r="19778" spans="1:4" x14ac:dyDescent="0.25">
      <c r="A19778" t="str">
        <f>HYPERLINK("https://www.773grp.com/globalSearch/BFG10W-X115/page-1", "BFG10W-X115")</f>
        <v>BFG10W-X115</v>
      </c>
      <c r="B19778" s="3" t="s">
        <v>93</v>
      </c>
      <c r="C19778" s="6">
        <v>12000</v>
      </c>
      <c r="D19778" s="7">
        <v>1.91</v>
      </c>
    </row>
    <row r="19779" spans="1:4" x14ac:dyDescent="0.25">
      <c r="A19779" t="str">
        <f>HYPERLINK("https://www.773grp.com/globalSearch/BTA216-600E127/page-1", "BTA216-600E127")</f>
        <v>BTA216-600E127</v>
      </c>
      <c r="B19779" s="3" t="s">
        <v>93</v>
      </c>
      <c r="C19779" s="6">
        <v>7000</v>
      </c>
      <c r="D19779" s="7">
        <v>1.91</v>
      </c>
    </row>
    <row r="19780" spans="1:4" x14ac:dyDescent="0.25">
      <c r="A19780" t="str">
        <f>HYPERLINK("https://www.773grp.com/globalSearch/BTA216-600F127/page-1", "BTA216-600F127")</f>
        <v>BTA216-600F127</v>
      </c>
      <c r="B19780" s="3" t="s">
        <v>93</v>
      </c>
      <c r="C19780" s="6">
        <v>4070</v>
      </c>
      <c r="D19780" s="7">
        <v>1.91</v>
      </c>
    </row>
    <row r="19781" spans="1:4" x14ac:dyDescent="0.25">
      <c r="A19781" t="str">
        <f>HYPERLINK("https://www.773grp.com/globalSearch/BTA216X-600D127/page-1", "BTA216X-600D127")</f>
        <v>BTA216X-600D127</v>
      </c>
      <c r="B19781" s="3" t="s">
        <v>93</v>
      </c>
      <c r="C19781" s="6">
        <v>1000</v>
      </c>
      <c r="D19781" s="7">
        <v>1.91</v>
      </c>
    </row>
    <row r="19782" spans="1:4" x14ac:dyDescent="0.25">
      <c r="A19782" t="str">
        <f>HYPERLINK("https://www.773grp.com/globalSearch/BTA216X-600E127/page-1", "BTA216X-600E127")</f>
        <v>BTA216X-600E127</v>
      </c>
      <c r="B19782" s="3" t="s">
        <v>93</v>
      </c>
      <c r="C19782" s="6">
        <v>3000</v>
      </c>
      <c r="D19782" s="7">
        <v>1.91</v>
      </c>
    </row>
    <row r="19783" spans="1:4" x14ac:dyDescent="0.25">
      <c r="A19783" t="str">
        <f>HYPERLINK("https://www.773grp.com/globalSearch/BTA216X-600F127/page-1", "BTA216X-600F127")</f>
        <v>BTA216X-600F127</v>
      </c>
      <c r="B19783" s="3" t="s">
        <v>93</v>
      </c>
      <c r="C19783" s="6">
        <v>6950</v>
      </c>
      <c r="D19783" s="7">
        <v>1.91</v>
      </c>
    </row>
    <row r="19784" spans="1:4" x14ac:dyDescent="0.25">
      <c r="A19784" t="str">
        <f>HYPERLINK("https://www.773grp.com/globalSearch/BUK7Y10-30B115/page-1", "BUK7Y10-30B115")</f>
        <v>BUK7Y10-30B115</v>
      </c>
      <c r="B19784" s="3" t="s">
        <v>93</v>
      </c>
      <c r="C19784" s="6">
        <v>215</v>
      </c>
      <c r="D19784" s="7">
        <v>1.91</v>
      </c>
    </row>
    <row r="19785" spans="1:4" x14ac:dyDescent="0.25">
      <c r="A19785" t="str">
        <f>HYPERLINK("https://www.773grp.com/globalSearch/BUK7Y18-55B115/page-1", "BUK7Y18-55B115")</f>
        <v>BUK7Y18-55B115</v>
      </c>
      <c r="B19785" s="3" t="s">
        <v>93</v>
      </c>
      <c r="C19785" s="6">
        <v>197</v>
      </c>
      <c r="D19785" s="7">
        <v>1.91</v>
      </c>
    </row>
    <row r="19786" spans="1:4" x14ac:dyDescent="0.25">
      <c r="A19786" t="str">
        <f>HYPERLINK("https://www.773grp.com/globalSearch/GTL2010PW112/page-1", "GTL2010PW112")</f>
        <v>GTL2010PW112</v>
      </c>
      <c r="B19786" s="3" t="s">
        <v>93</v>
      </c>
      <c r="C19786" s="6">
        <v>450</v>
      </c>
      <c r="D19786" s="7">
        <v>1.91</v>
      </c>
    </row>
    <row r="19787" spans="1:4" x14ac:dyDescent="0.25">
      <c r="A19787" t="str">
        <f>HYPERLINK("https://www.773grp.com/globalSearch/GTL2010PW118/page-1", "GTL2010PW118")</f>
        <v>GTL2010PW118</v>
      </c>
      <c r="B19787" s="3" t="s">
        <v>93</v>
      </c>
      <c r="C19787" s="6">
        <v>2500</v>
      </c>
      <c r="D19787" s="7">
        <v>1.91</v>
      </c>
    </row>
    <row r="19788" spans="1:4" x14ac:dyDescent="0.25">
      <c r="A19788" t="str">
        <f>HYPERLINK("https://www.773grp.com/globalSearch/HEF4017BP652/page-1", "HEF4017BP652")</f>
        <v>HEF4017BP652</v>
      </c>
      <c r="B19788" s="3" t="s">
        <v>93</v>
      </c>
      <c r="C19788" s="6">
        <v>4665</v>
      </c>
      <c r="D19788" s="7">
        <v>1.91</v>
      </c>
    </row>
    <row r="19789" spans="1:4" x14ac:dyDescent="0.25">
      <c r="A19789" t="str">
        <f>HYPERLINK("https://www.773grp.com/globalSearch/HEF4021BP652/page-1", "HEF4021BP652")</f>
        <v>HEF4021BP652</v>
      </c>
      <c r="B19789" s="3" t="s">
        <v>93</v>
      </c>
      <c r="C19789" s="6">
        <v>6000</v>
      </c>
      <c r="D19789" s="7">
        <v>1.91</v>
      </c>
    </row>
    <row r="19790" spans="1:4" x14ac:dyDescent="0.25">
      <c r="A19790" t="str">
        <f>HYPERLINK("https://www.773grp.com/globalSearch/HEF4028BP652/page-1", "HEF4028BP652")</f>
        <v>HEF4028BP652</v>
      </c>
      <c r="B19790" s="3" t="s">
        <v>93</v>
      </c>
      <c r="C19790" s="6">
        <v>1000</v>
      </c>
      <c r="D19790" s="7">
        <v>1.91</v>
      </c>
    </row>
    <row r="19791" spans="1:4" x14ac:dyDescent="0.25">
      <c r="A19791" t="str">
        <f>HYPERLINK("https://www.773grp.com/globalSearch/HEF4094BP652/page-1", "HEF4094BP652")</f>
        <v>HEF4094BP652</v>
      </c>
      <c r="B19791" s="3" t="s">
        <v>93</v>
      </c>
      <c r="C19791" s="6">
        <v>30000</v>
      </c>
      <c r="D19791" s="7">
        <v>1.91</v>
      </c>
    </row>
    <row r="19792" spans="1:4" x14ac:dyDescent="0.25">
      <c r="A19792" t="str">
        <f>HYPERLINK("https://www.773grp.com/globalSearch/N74F126N602/page-1", "N74F126N602")</f>
        <v>N74F126N602</v>
      </c>
      <c r="B19792" s="3" t="s">
        <v>93</v>
      </c>
      <c r="C19792" s="6">
        <v>7658</v>
      </c>
      <c r="D19792" s="7">
        <v>1.91</v>
      </c>
    </row>
    <row r="19793" spans="1:4" x14ac:dyDescent="0.25">
      <c r="A19793" t="str">
        <f>HYPERLINK("https://www.773grp.com/globalSearch/PHP18NQ10T127/page-1", "PHP18NQ10T127")</f>
        <v>PHP18NQ10T127</v>
      </c>
      <c r="B19793" s="3" t="s">
        <v>93</v>
      </c>
      <c r="C19793" s="6">
        <v>3420</v>
      </c>
      <c r="D19793" s="7">
        <v>1.91</v>
      </c>
    </row>
    <row r="19794" spans="1:4" x14ac:dyDescent="0.25">
      <c r="A19794" t="str">
        <f>HYPERLINK("https://www.773grp.com/globalSearch/PHP29N08T127/page-1", "PHP29N08T127")</f>
        <v>PHP29N08T127</v>
      </c>
      <c r="B19794" s="3" t="s">
        <v>93</v>
      </c>
      <c r="C19794" s="6">
        <v>1122</v>
      </c>
      <c r="D19794" s="7">
        <v>1.91</v>
      </c>
    </row>
    <row r="19795" spans="1:4" x14ac:dyDescent="0.25">
      <c r="A19795" t="str">
        <f>HYPERLINK("https://www.773grp.com/globalSearch/PSMN3R4-30PL127/page-1", "PSMN3R4-30PL127")</f>
        <v>PSMN3R4-30PL127</v>
      </c>
      <c r="B19795" s="3" t="s">
        <v>93</v>
      </c>
      <c r="C19795" s="6">
        <v>2000</v>
      </c>
      <c r="D19795" s="7">
        <v>1.91</v>
      </c>
    </row>
    <row r="19796" spans="1:4" x14ac:dyDescent="0.25">
      <c r="A19796" t="str">
        <f>HYPERLINK("https://www.773grp.com/globalSearch/TDA3664AT-N1118/page-1", "TDA3664AT-N1118")</f>
        <v>TDA3664AT-N1118</v>
      </c>
      <c r="B19796" s="3" t="s">
        <v>93</v>
      </c>
      <c r="C19796" s="6">
        <v>720388</v>
      </c>
      <c r="D19796" s="7">
        <v>1.91</v>
      </c>
    </row>
    <row r="19797" spans="1:4" x14ac:dyDescent="0.25">
      <c r="A19797" t="str">
        <f>HYPERLINK("https://www.773grp.com/globalSearch/TDA3664TT-N1118/page-1", "TDA3664TT-N1118")</f>
        <v>TDA3664TT-N1118</v>
      </c>
      <c r="B19797" s="3" t="s">
        <v>93</v>
      </c>
      <c r="C19797" s="6">
        <v>2500</v>
      </c>
      <c r="D19797" s="7">
        <v>1.91</v>
      </c>
    </row>
    <row r="19798" spans="1:4" x14ac:dyDescent="0.25">
      <c r="A19798" t="str">
        <f>HYPERLINK("https://www.773grp.com/globalSearch/TJA1021T-10-C112/page-1", "TJA1021T-10-C112")</f>
        <v>TJA1021T-10-C112</v>
      </c>
      <c r="B19798" s="3" t="s">
        <v>93</v>
      </c>
      <c r="C19798" s="6">
        <v>50</v>
      </c>
      <c r="D19798" s="7">
        <v>1.91</v>
      </c>
    </row>
    <row r="19799" spans="1:4" x14ac:dyDescent="0.25">
      <c r="A19799" t="str">
        <f>HYPERLINK("https://www.773grp.com/globalSearch/TJA1021T-20-C112/page-1", "TJA1021T-20-C112")</f>
        <v>TJA1021T-20-C112</v>
      </c>
      <c r="B19799" s="3" t="s">
        <v>93</v>
      </c>
      <c r="C19799" s="6">
        <v>19544</v>
      </c>
      <c r="D19799" s="7">
        <v>1.91</v>
      </c>
    </row>
    <row r="19800" spans="1:4" x14ac:dyDescent="0.25">
      <c r="A19800" t="str">
        <f>HYPERLINK("https://www.773grp.com/globalSearch/74ABT16245BDL112/page-1", "74ABT16245BDL112")</f>
        <v>74ABT16245BDL112</v>
      </c>
      <c r="B19800" s="3" t="s">
        <v>93</v>
      </c>
      <c r="C19800" s="6">
        <v>2601</v>
      </c>
      <c r="D19800" s="7">
        <v>1.96</v>
      </c>
    </row>
    <row r="19801" spans="1:4" x14ac:dyDescent="0.25">
      <c r="A19801" t="str">
        <f>HYPERLINK("https://www.773grp.com/globalSearch/74ABT16245BDL118/page-1", "74ABT16245BDL118")</f>
        <v>74ABT16245BDL118</v>
      </c>
      <c r="B19801" s="3" t="s">
        <v>93</v>
      </c>
      <c r="C19801" s="6">
        <v>5000</v>
      </c>
      <c r="D19801" s="7">
        <v>1.96</v>
      </c>
    </row>
    <row r="19802" spans="1:4" x14ac:dyDescent="0.25">
      <c r="A19802" t="str">
        <f>HYPERLINK("https://www.773grp.com/globalSearch/74HC40103DB118/page-1", "74HC40103DB118")</f>
        <v>74HC40103DB118</v>
      </c>
      <c r="B19802" s="3" t="s">
        <v>93</v>
      </c>
      <c r="C19802" s="6">
        <v>100</v>
      </c>
      <c r="D19802" s="7">
        <v>1.96</v>
      </c>
    </row>
    <row r="19803" spans="1:4" x14ac:dyDescent="0.25">
      <c r="A19803" t="str">
        <f>HYPERLINK("https://www.773grp.com/globalSearch/74HC670DB112/page-1", "74HC670DB112")</f>
        <v>74HC670DB112</v>
      </c>
      <c r="B19803" s="3" t="s">
        <v>93</v>
      </c>
      <c r="C19803" s="6">
        <v>1092</v>
      </c>
      <c r="D19803" s="7">
        <v>1.96</v>
      </c>
    </row>
    <row r="19804" spans="1:4" x14ac:dyDescent="0.25">
      <c r="A19804" t="str">
        <f>HYPERLINK("https://www.773grp.com/globalSearch/74HCT241N652/page-1", "74HCT241N652")</f>
        <v>74HCT241N652</v>
      </c>
      <c r="B19804" s="3" t="s">
        <v>93</v>
      </c>
      <c r="C19804" s="6">
        <v>2367</v>
      </c>
      <c r="D19804" s="7">
        <v>1.96</v>
      </c>
    </row>
    <row r="19805" spans="1:4" x14ac:dyDescent="0.25">
      <c r="A19805" t="str">
        <f>HYPERLINK("https://www.773grp.com/globalSearch/74HCT6323AD112/page-1", "74HCT6323AD112")</f>
        <v>74HCT6323AD112</v>
      </c>
      <c r="B19805" s="3" t="s">
        <v>93</v>
      </c>
      <c r="C19805" s="6">
        <v>1062</v>
      </c>
      <c r="D19805" s="7">
        <v>1.96</v>
      </c>
    </row>
    <row r="19806" spans="1:4" x14ac:dyDescent="0.25">
      <c r="A19806" t="str">
        <f>HYPERLINK("https://www.773grp.com/globalSearch/74LV14N112/page-1", "74LV14N112")</f>
        <v>74LV14N112</v>
      </c>
      <c r="B19806" s="3" t="s">
        <v>93</v>
      </c>
      <c r="C19806" s="6">
        <v>4000</v>
      </c>
      <c r="D19806" s="7">
        <v>1.96</v>
      </c>
    </row>
    <row r="19807" spans="1:4" x14ac:dyDescent="0.25">
      <c r="A19807" t="str">
        <f>HYPERLINK("https://www.773grp.com/globalSearch/74LV4020D112/page-1", "74LV4020D112")</f>
        <v>74LV4020D112</v>
      </c>
      <c r="B19807" s="3" t="s">
        <v>93</v>
      </c>
      <c r="C19807" s="6">
        <v>2000</v>
      </c>
      <c r="D19807" s="7">
        <v>1.96</v>
      </c>
    </row>
    <row r="19808" spans="1:4" x14ac:dyDescent="0.25">
      <c r="A19808" t="str">
        <f>HYPERLINK("https://www.773grp.com/globalSearch/74LV4020D118/page-1", "74LV4020D118")</f>
        <v>74LV4020D118</v>
      </c>
      <c r="B19808" s="3" t="s">
        <v>93</v>
      </c>
      <c r="C19808" s="6">
        <v>1963</v>
      </c>
      <c r="D19808" s="7">
        <v>1.96</v>
      </c>
    </row>
    <row r="19809" spans="1:4" x14ac:dyDescent="0.25">
      <c r="A19809" t="str">
        <f>HYPERLINK("https://www.773grp.com/globalSearch/74LV4020DB112/page-1", "74LV4020DB112")</f>
        <v>74LV4020DB112</v>
      </c>
      <c r="B19809" s="3" t="s">
        <v>93</v>
      </c>
      <c r="C19809" s="6">
        <v>951</v>
      </c>
      <c r="D19809" s="7">
        <v>1.96</v>
      </c>
    </row>
    <row r="19810" spans="1:4" x14ac:dyDescent="0.25">
      <c r="A19810" t="str">
        <f>HYPERLINK("https://www.773grp.com/globalSearch/74LVT162245BDL112/page-1", "74LVT162245BDL112")</f>
        <v>74LVT162245BDL112</v>
      </c>
      <c r="B19810" s="3" t="s">
        <v>93</v>
      </c>
      <c r="C19810" s="6">
        <v>1400</v>
      </c>
      <c r="D19810" s="7">
        <v>1.96</v>
      </c>
    </row>
    <row r="19811" spans="1:4" x14ac:dyDescent="0.25">
      <c r="A19811" t="str">
        <f>HYPERLINK("https://www.773grp.com/globalSearch/74LVT162245BDL118/page-1", "74LVT162245BDL118")</f>
        <v>74LVT162245BDL118</v>
      </c>
      <c r="B19811" s="3" t="s">
        <v>93</v>
      </c>
      <c r="C19811" s="6">
        <v>15559</v>
      </c>
      <c r="D19811" s="7">
        <v>1.96</v>
      </c>
    </row>
    <row r="19812" spans="1:4" x14ac:dyDescent="0.25">
      <c r="A19812" t="str">
        <f>HYPERLINK("https://www.773grp.com/globalSearch/74LVT16245BDL112/page-1", "74LVT16245BDL112")</f>
        <v>74LVT16245BDL112</v>
      </c>
      <c r="B19812" s="3" t="s">
        <v>93</v>
      </c>
      <c r="C19812" s="6">
        <v>5317</v>
      </c>
      <c r="D19812" s="7">
        <v>1.96</v>
      </c>
    </row>
    <row r="19813" spans="1:4" x14ac:dyDescent="0.25">
      <c r="A19813" t="str">
        <f>HYPERLINK("https://www.773grp.com/globalSearch/BSP230135/page-1", "BSP230135")</f>
        <v>BSP230135</v>
      </c>
      <c r="B19813" s="3" t="s">
        <v>93</v>
      </c>
      <c r="C19813" s="6">
        <v>8000</v>
      </c>
      <c r="D19813" s="7">
        <v>1.96</v>
      </c>
    </row>
    <row r="19814" spans="1:4" x14ac:dyDescent="0.25">
      <c r="A19814" t="str">
        <f>HYPERLINK("https://www.773grp.com/globalSearch/BT138Y-600E127/page-1", "BT138Y-600E127")</f>
        <v>BT138Y-600E127</v>
      </c>
      <c r="B19814" s="3" t="s">
        <v>93</v>
      </c>
      <c r="C19814" s="6">
        <v>690</v>
      </c>
      <c r="D19814" s="7">
        <v>1.96</v>
      </c>
    </row>
    <row r="19815" spans="1:4" x14ac:dyDescent="0.25">
      <c r="A19815" t="str">
        <f>HYPERLINK("https://www.773grp.com/globalSearch/BTA216-600BT127/page-1", "BTA216-600BT127")</f>
        <v>BTA216-600BT127</v>
      </c>
      <c r="B19815" s="3" t="s">
        <v>93</v>
      </c>
      <c r="C19815" s="6">
        <v>3350</v>
      </c>
      <c r="D19815" s="7">
        <v>1.96</v>
      </c>
    </row>
    <row r="19816" spans="1:4" x14ac:dyDescent="0.25">
      <c r="A19816" t="str">
        <f>HYPERLINK("https://www.773grp.com/globalSearch/BUK7215-55A118/page-1", "BUK7215-55A118")</f>
        <v>BUK7215-55A118</v>
      </c>
      <c r="B19816" s="3" t="s">
        <v>93</v>
      </c>
      <c r="C19816" s="6">
        <v>88</v>
      </c>
      <c r="D19816" s="7">
        <v>1.96</v>
      </c>
    </row>
    <row r="19817" spans="1:4" x14ac:dyDescent="0.25">
      <c r="A19817" t="str">
        <f>HYPERLINK("https://www.773grp.com/globalSearch/BUK9215-55A118/page-1", "BUK9215-55A118")</f>
        <v>BUK9215-55A118</v>
      </c>
      <c r="B19817" s="3" t="s">
        <v>93</v>
      </c>
      <c r="C19817" s="6">
        <v>139</v>
      </c>
      <c r="D19817" s="7">
        <v>1.96</v>
      </c>
    </row>
    <row r="19818" spans="1:4" x14ac:dyDescent="0.25">
      <c r="A19818" t="str">
        <f>HYPERLINK("https://www.773grp.com/globalSearch/BUK9520-55A127/page-1", "BUK9520-55A127")</f>
        <v>BUK9520-55A127</v>
      </c>
      <c r="B19818" s="3" t="s">
        <v>93</v>
      </c>
      <c r="C19818" s="6">
        <v>1364</v>
      </c>
      <c r="D19818" s="7">
        <v>1.96</v>
      </c>
    </row>
    <row r="19819" spans="1:4" x14ac:dyDescent="0.25">
      <c r="A19819" t="str">
        <f>HYPERLINK("https://www.773grp.com/globalSearch/N74F74N602/page-1", "N74F74N602")</f>
        <v>N74F74N602</v>
      </c>
      <c r="B19819" s="3" t="s">
        <v>93</v>
      </c>
      <c r="C19819" s="6">
        <v>14056</v>
      </c>
      <c r="D19819" s="7">
        <v>1.96</v>
      </c>
    </row>
    <row r="19820" spans="1:4" x14ac:dyDescent="0.25">
      <c r="A19820" t="str">
        <f>HYPERLINK("https://www.773grp.com/globalSearch/74ABT241DB118/page-1", "74ABT241DB118")</f>
        <v>74ABT241DB118</v>
      </c>
      <c r="B19820" s="3" t="s">
        <v>93</v>
      </c>
      <c r="C19820" s="6">
        <v>1000</v>
      </c>
      <c r="D19820" s="7">
        <v>2.0099999999999998</v>
      </c>
    </row>
    <row r="19821" spans="1:4" x14ac:dyDescent="0.25">
      <c r="A19821" t="str">
        <f>HYPERLINK("https://www.773grp.com/globalSearch/74ALVC164245DL112/page-1", "74ALVC164245DL112")</f>
        <v>74ALVC164245DL112</v>
      </c>
      <c r="B19821" s="3" t="s">
        <v>93</v>
      </c>
      <c r="C19821" s="6">
        <v>21080</v>
      </c>
      <c r="D19821" s="7">
        <v>2.0099999999999998</v>
      </c>
    </row>
    <row r="19822" spans="1:4" x14ac:dyDescent="0.25">
      <c r="A19822" t="str">
        <f>HYPERLINK("https://www.773grp.com/globalSearch/74HCT595DB112/page-1", "74HCT595DB112")</f>
        <v>74HCT595DB112</v>
      </c>
      <c r="B19822" s="3" t="s">
        <v>93</v>
      </c>
      <c r="C19822" s="6">
        <v>5460</v>
      </c>
      <c r="D19822" s="7">
        <v>2.0099999999999998</v>
      </c>
    </row>
    <row r="19823" spans="1:4" x14ac:dyDescent="0.25">
      <c r="A19823" t="str">
        <f>HYPERLINK("https://www.773grp.com/globalSearch/74HCT595DB118/page-1", "74HCT595DB118")</f>
        <v>74HCT595DB118</v>
      </c>
      <c r="B19823" s="3" t="s">
        <v>93</v>
      </c>
      <c r="C19823" s="6">
        <v>1400</v>
      </c>
      <c r="D19823" s="7">
        <v>2.0099999999999998</v>
      </c>
    </row>
    <row r="19824" spans="1:4" x14ac:dyDescent="0.25">
      <c r="A19824" t="str">
        <f>HYPERLINK("https://www.773grp.com/globalSearch/74HCT652D112/page-1", "74HCT652D112")</f>
        <v>74HCT652D112</v>
      </c>
      <c r="B19824" s="3" t="s">
        <v>93</v>
      </c>
      <c r="C19824" s="6">
        <v>1200</v>
      </c>
      <c r="D19824" s="7">
        <v>2.0099999999999998</v>
      </c>
    </row>
    <row r="19825" spans="1:4" x14ac:dyDescent="0.25">
      <c r="A19825" t="str">
        <f>HYPERLINK("https://www.773grp.com/globalSearch/74LV4060DB112/page-1", "74LV4060DB112")</f>
        <v>74LV4060DB112</v>
      </c>
      <c r="B19825" s="3" t="s">
        <v>93</v>
      </c>
      <c r="C19825" s="6">
        <v>1092</v>
      </c>
      <c r="D19825" s="7">
        <v>2.0099999999999998</v>
      </c>
    </row>
    <row r="19826" spans="1:4" x14ac:dyDescent="0.25">
      <c r="A19826" t="str">
        <f>HYPERLINK("https://www.773grp.com/globalSearch/74LV4094DB112/page-1", "74LV4094DB112")</f>
        <v>74LV4094DB112</v>
      </c>
      <c r="B19826" s="3" t="s">
        <v>93</v>
      </c>
      <c r="C19826" s="6">
        <v>4368</v>
      </c>
      <c r="D19826" s="7">
        <v>2.0099999999999998</v>
      </c>
    </row>
    <row r="19827" spans="1:4" x14ac:dyDescent="0.25">
      <c r="A19827" t="str">
        <f>HYPERLINK("https://www.773grp.com/globalSearch/74LVC16240ADGG112/page-1", "74LVC16240ADGG112")</f>
        <v>74LVC16240ADGG112</v>
      </c>
      <c r="B19827" s="3" t="s">
        <v>93</v>
      </c>
      <c r="C19827" s="6">
        <v>975</v>
      </c>
      <c r="D19827" s="7">
        <v>2.0099999999999998</v>
      </c>
    </row>
    <row r="19828" spans="1:4" x14ac:dyDescent="0.25">
      <c r="A19828" t="str">
        <f>HYPERLINK("https://www.773grp.com/globalSearch/74LVCH16244ADL112/page-1", "74LVCH16244ADL112")</f>
        <v>74LVCH16244ADL112</v>
      </c>
      <c r="B19828" s="3" t="s">
        <v>93</v>
      </c>
      <c r="C19828" s="6">
        <v>4216</v>
      </c>
      <c r="D19828" s="7">
        <v>2.0099999999999998</v>
      </c>
    </row>
    <row r="19829" spans="1:4" x14ac:dyDescent="0.25">
      <c r="A19829" t="str">
        <f>HYPERLINK("https://www.773grp.com/globalSearch/74LVCH16244ADL118/page-1", "74LVCH16244ADL118")</f>
        <v>74LVCH16244ADL118</v>
      </c>
      <c r="B19829" s="3" t="s">
        <v>93</v>
      </c>
      <c r="C19829" s="6">
        <v>2000</v>
      </c>
      <c r="D19829" s="7">
        <v>2.0099999999999998</v>
      </c>
    </row>
    <row r="19830" spans="1:4" x14ac:dyDescent="0.25">
      <c r="A19830" t="str">
        <f>HYPERLINK("https://www.773grp.com/globalSearch/BFG590-X215/page-1", "BFG590-X215")</f>
        <v>BFG590-X215</v>
      </c>
      <c r="B19830" s="3" t="s">
        <v>93</v>
      </c>
      <c r="C19830" s="6">
        <v>36000</v>
      </c>
      <c r="D19830" s="7">
        <v>2.0099999999999998</v>
      </c>
    </row>
    <row r="19831" spans="1:4" x14ac:dyDescent="0.25">
      <c r="A19831" t="str">
        <f>HYPERLINK("https://www.773grp.com/globalSearch/BTA212-800B127/page-1", "BTA212-800B127")</f>
        <v>BTA212-800B127</v>
      </c>
      <c r="B19831" s="3" t="s">
        <v>93</v>
      </c>
      <c r="C19831" s="6">
        <v>4000</v>
      </c>
      <c r="D19831" s="7">
        <v>2.0099999999999998</v>
      </c>
    </row>
    <row r="19832" spans="1:4" x14ac:dyDescent="0.25">
      <c r="A19832" t="str">
        <f>HYPERLINK("https://www.773grp.com/globalSearch/BTA416Y-600B127/page-1", "BTA416Y-600B127")</f>
        <v>BTA416Y-600B127</v>
      </c>
      <c r="B19832" s="3" t="s">
        <v>93</v>
      </c>
      <c r="C19832" s="6">
        <v>8000</v>
      </c>
      <c r="D19832" s="7">
        <v>2.0099999999999998</v>
      </c>
    </row>
    <row r="19833" spans="1:4" x14ac:dyDescent="0.25">
      <c r="A19833" t="str">
        <f>HYPERLINK("https://www.773grp.com/globalSearch/BTA416Y-800B127/page-1", "BTA416Y-800B127")</f>
        <v>BTA416Y-800B127</v>
      </c>
      <c r="B19833" s="3" t="s">
        <v>93</v>
      </c>
      <c r="C19833" s="6">
        <v>2000</v>
      </c>
      <c r="D19833" s="7">
        <v>2.0099999999999998</v>
      </c>
    </row>
    <row r="19834" spans="1:4" x14ac:dyDescent="0.25">
      <c r="A19834" t="str">
        <f>HYPERLINK("https://www.773grp.com/globalSearch/BTA420X-800CT127/page-1", "BTA420X-800CT127")</f>
        <v>BTA420X-800CT127</v>
      </c>
      <c r="B19834" s="3" t="s">
        <v>93</v>
      </c>
      <c r="C19834" s="6">
        <v>2000</v>
      </c>
      <c r="D19834" s="7">
        <v>2.0099999999999998</v>
      </c>
    </row>
    <row r="19835" spans="1:4" x14ac:dyDescent="0.25">
      <c r="A19835" t="str">
        <f>HYPERLINK("https://www.773grp.com/globalSearch/BYV42E-150127/page-1", "BYV42E-150127")</f>
        <v>BYV42E-150127</v>
      </c>
      <c r="B19835" s="3" t="s">
        <v>93</v>
      </c>
      <c r="C19835" s="6">
        <v>12249</v>
      </c>
      <c r="D19835" s="7">
        <v>2.0099999999999998</v>
      </c>
    </row>
    <row r="19836" spans="1:4" x14ac:dyDescent="0.25">
      <c r="A19836" t="str">
        <f>HYPERLINK("https://www.773grp.com/globalSearch/BYV42E-200127/page-1", "BYV42E-200127")</f>
        <v>BYV42E-200127</v>
      </c>
      <c r="B19836" s="3" t="s">
        <v>93</v>
      </c>
      <c r="C19836" s="6">
        <v>16417</v>
      </c>
      <c r="D19836" s="7">
        <v>2.0099999999999998</v>
      </c>
    </row>
    <row r="19837" spans="1:4" x14ac:dyDescent="0.25">
      <c r="A19837" t="str">
        <f>HYPERLINK("https://www.773grp.com/globalSearch/IP4791CZ12132/page-1", "IP4791CZ12132")</f>
        <v>IP4791CZ12132</v>
      </c>
      <c r="B19837" s="3" t="s">
        <v>93</v>
      </c>
      <c r="C19837" s="6">
        <v>32000</v>
      </c>
      <c r="D19837" s="7">
        <v>2.0099999999999998</v>
      </c>
    </row>
    <row r="19838" spans="1:4" x14ac:dyDescent="0.25">
      <c r="A19838" t="str">
        <f>HYPERLINK("https://www.773grp.com/globalSearch/PCF8523T-1118/page-1", "PCF8523T-1118")</f>
        <v>PCF8523T-1118</v>
      </c>
      <c r="B19838" s="3" t="s">
        <v>93</v>
      </c>
      <c r="C19838" s="6">
        <v>2286</v>
      </c>
      <c r="D19838" s="7">
        <v>2.0099999999999998</v>
      </c>
    </row>
    <row r="19839" spans="1:4" x14ac:dyDescent="0.25">
      <c r="A19839" t="str">
        <f>HYPERLINK("https://www.773grp.com/globalSearch/PSMN013-100PS127/page-1", "PSMN013-100PS127")</f>
        <v>PSMN013-100PS127</v>
      </c>
      <c r="B19839" s="3" t="s">
        <v>93</v>
      </c>
      <c r="C19839" s="6">
        <v>5000</v>
      </c>
      <c r="D19839" s="7">
        <v>2.0099999999999998</v>
      </c>
    </row>
    <row r="19840" spans="1:4" x14ac:dyDescent="0.25">
      <c r="A19840" t="str">
        <f>HYPERLINK("https://www.773grp.com/globalSearch/PSMN1R1-25YLC115/page-1", "PSMN1R1-25YLC115")</f>
        <v>PSMN1R1-25YLC115</v>
      </c>
      <c r="B19840" s="3" t="s">
        <v>93</v>
      </c>
      <c r="C19840" s="6">
        <v>1500</v>
      </c>
      <c r="D19840" s="7">
        <v>2.0099999999999998</v>
      </c>
    </row>
    <row r="19841" spans="1:4" x14ac:dyDescent="0.25">
      <c r="A19841" t="str">
        <f>HYPERLINK("https://www.773grp.com/globalSearch/PSMN9R0-30LL115/page-1", "PSMN9R0-30LL115")</f>
        <v>PSMN9R0-30LL115</v>
      </c>
      <c r="B19841" s="3" t="s">
        <v>93</v>
      </c>
      <c r="C19841" s="6">
        <v>749</v>
      </c>
      <c r="D19841" s="7">
        <v>2.0099999999999998</v>
      </c>
    </row>
    <row r="19842" spans="1:4" x14ac:dyDescent="0.25">
      <c r="A19842" t="str">
        <f>HYPERLINK("https://www.773grp.com/globalSearch/SE98APW118/page-1", "SE98APW118")</f>
        <v>SE98APW118</v>
      </c>
      <c r="B19842" s="3" t="s">
        <v>93</v>
      </c>
      <c r="C19842" s="6">
        <v>9125</v>
      </c>
      <c r="D19842" s="7">
        <v>2.0099999999999998</v>
      </c>
    </row>
    <row r="19843" spans="1:4" x14ac:dyDescent="0.25">
      <c r="A19843" t="str">
        <f>HYPERLINK("https://www.773grp.com/globalSearch/SE98ATP547/page-1", "SE98ATP547")</f>
        <v>SE98ATP547</v>
      </c>
      <c r="B19843" s="3" t="s">
        <v>93</v>
      </c>
      <c r="C19843" s="6">
        <v>4000</v>
      </c>
      <c r="D19843" s="7">
        <v>2.0099999999999998</v>
      </c>
    </row>
    <row r="19844" spans="1:4" x14ac:dyDescent="0.25">
      <c r="A19844" t="str">
        <f>HYPERLINK("https://www.773grp.com/globalSearch/TDA7073AT-N4118/page-1", "TDA7073AT-N4118")</f>
        <v>TDA7073AT-N4118</v>
      </c>
      <c r="B19844" s="3" t="s">
        <v>93</v>
      </c>
      <c r="C19844" s="6">
        <v>46000</v>
      </c>
      <c r="D19844" s="7">
        <v>2.0099999999999998</v>
      </c>
    </row>
    <row r="19845" spans="1:4" x14ac:dyDescent="0.25">
      <c r="A19845" t="str">
        <f>HYPERLINK("https://www.773grp.com/globalSearch/74ABT125N602/page-1", "74ABT125N602")</f>
        <v>74ABT125N602</v>
      </c>
      <c r="B19845" s="3" t="s">
        <v>93</v>
      </c>
      <c r="C19845" s="6">
        <v>2000</v>
      </c>
      <c r="D19845" s="7">
        <v>2.06</v>
      </c>
    </row>
    <row r="19846" spans="1:4" x14ac:dyDescent="0.25">
      <c r="A19846" t="str">
        <f>HYPERLINK("https://www.773grp.com/globalSearch/74HC112N652/page-1", "74HC112N652")</f>
        <v>74HC112N652</v>
      </c>
      <c r="B19846" s="3" t="s">
        <v>93</v>
      </c>
      <c r="C19846" s="6">
        <v>200</v>
      </c>
      <c r="D19846" s="7">
        <v>2.06</v>
      </c>
    </row>
    <row r="19847" spans="1:4" x14ac:dyDescent="0.25">
      <c r="A19847" t="str">
        <f>HYPERLINK("https://www.773grp.com/globalSearch/74HC137N652/page-1", "74HC137N652")</f>
        <v>74HC137N652</v>
      </c>
      <c r="B19847" s="3" t="s">
        <v>93</v>
      </c>
      <c r="C19847" s="6">
        <v>10698</v>
      </c>
      <c r="D19847" s="7">
        <v>2.06</v>
      </c>
    </row>
    <row r="19848" spans="1:4" x14ac:dyDescent="0.25">
      <c r="A19848" t="str">
        <f>HYPERLINK("https://www.773grp.com/globalSearch/74HC164N652/page-1", "74HC164N652")</f>
        <v>74HC164N652</v>
      </c>
      <c r="B19848" s="3" t="s">
        <v>93</v>
      </c>
      <c r="C19848" s="6">
        <v>32950</v>
      </c>
      <c r="D19848" s="7">
        <v>2.06</v>
      </c>
    </row>
    <row r="19849" spans="1:4" x14ac:dyDescent="0.25">
      <c r="A19849" t="str">
        <f>HYPERLINK("https://www.773grp.com/globalSearch/74HC165N652/page-1", "74HC165N652")</f>
        <v>74HC165N652</v>
      </c>
      <c r="B19849" s="3" t="s">
        <v>93</v>
      </c>
      <c r="C19849" s="6">
        <v>37316</v>
      </c>
      <c r="D19849" s="7">
        <v>2.06</v>
      </c>
    </row>
    <row r="19850" spans="1:4" x14ac:dyDescent="0.25">
      <c r="A19850" t="str">
        <f>HYPERLINK("https://www.773grp.com/globalSearch/74HC173N652/page-1", "74HC173N652")</f>
        <v>74HC173N652</v>
      </c>
      <c r="B19850" s="3" t="s">
        <v>93</v>
      </c>
      <c r="C19850" s="6">
        <v>8850</v>
      </c>
      <c r="D19850" s="7">
        <v>2.06</v>
      </c>
    </row>
    <row r="19851" spans="1:4" x14ac:dyDescent="0.25">
      <c r="A19851" t="str">
        <f>HYPERLINK("https://www.773grp.com/globalSearch/74HC174N652/page-1", "74HC174N652")</f>
        <v>74HC174N652</v>
      </c>
      <c r="B19851" s="3" t="s">
        <v>93</v>
      </c>
      <c r="C19851" s="6">
        <v>37743</v>
      </c>
      <c r="D19851" s="7">
        <v>2.06</v>
      </c>
    </row>
    <row r="19852" spans="1:4" x14ac:dyDescent="0.25">
      <c r="A19852" t="str">
        <f>HYPERLINK("https://www.773grp.com/globalSearch/74HC175N652/page-1", "74HC175N652")</f>
        <v>74HC175N652</v>
      </c>
      <c r="B19852" s="3" t="s">
        <v>93</v>
      </c>
      <c r="C19852" s="6">
        <v>4741</v>
      </c>
      <c r="D19852" s="7">
        <v>2.06</v>
      </c>
    </row>
    <row r="19853" spans="1:4" x14ac:dyDescent="0.25">
      <c r="A19853" t="str">
        <f>HYPERLINK("https://www.773grp.com/globalSearch/74HC251N652/page-1", "74HC251N652")</f>
        <v>74HC251N652</v>
      </c>
      <c r="B19853" s="3" t="s">
        <v>93</v>
      </c>
      <c r="C19853" s="6">
        <v>51927</v>
      </c>
      <c r="D19853" s="7">
        <v>2.06</v>
      </c>
    </row>
    <row r="19854" spans="1:4" x14ac:dyDescent="0.25">
      <c r="A19854" t="str">
        <f>HYPERLINK("https://www.773grp.com/globalSearch/74HC253N652/page-1", "74HC253N652")</f>
        <v>74HC253N652</v>
      </c>
      <c r="B19854" s="3" t="s">
        <v>93</v>
      </c>
      <c r="C19854" s="6">
        <v>16320</v>
      </c>
      <c r="D19854" s="7">
        <v>2.06</v>
      </c>
    </row>
    <row r="19855" spans="1:4" x14ac:dyDescent="0.25">
      <c r="A19855" t="str">
        <f>HYPERLINK("https://www.773grp.com/globalSearch/74HC257N652/page-1", "74HC257N652")</f>
        <v>74HC257N652</v>
      </c>
      <c r="B19855" s="3" t="s">
        <v>93</v>
      </c>
      <c r="C19855" s="6">
        <v>4000</v>
      </c>
      <c r="D19855" s="7">
        <v>2.06</v>
      </c>
    </row>
    <row r="19856" spans="1:4" x14ac:dyDescent="0.25">
      <c r="A19856" t="str">
        <f>HYPERLINK("https://www.773grp.com/globalSearch/74HC377N652/page-1", "74HC377N652")</f>
        <v>74HC377N652</v>
      </c>
      <c r="B19856" s="3" t="s">
        <v>93</v>
      </c>
      <c r="C19856" s="6">
        <v>12775</v>
      </c>
      <c r="D19856" s="7">
        <v>2.06</v>
      </c>
    </row>
    <row r="19857" spans="1:4" x14ac:dyDescent="0.25">
      <c r="A19857" t="str">
        <f>HYPERLINK("https://www.773grp.com/globalSearch/74HC4050N652/page-1", "74HC4050N652")</f>
        <v>74HC4050N652</v>
      </c>
      <c r="B19857" s="3" t="s">
        <v>93</v>
      </c>
      <c r="C19857" s="6">
        <v>6900</v>
      </c>
      <c r="D19857" s="7">
        <v>2.06</v>
      </c>
    </row>
    <row r="19858" spans="1:4" x14ac:dyDescent="0.25">
      <c r="A19858" t="str">
        <f>HYPERLINK("https://www.773grp.com/globalSearch/74HC4094N652/page-1", "74HC4094N652")</f>
        <v>74HC4094N652</v>
      </c>
      <c r="B19858" s="3" t="s">
        <v>93</v>
      </c>
      <c r="C19858" s="6">
        <v>400</v>
      </c>
      <c r="D19858" s="7">
        <v>2.06</v>
      </c>
    </row>
    <row r="19859" spans="1:4" x14ac:dyDescent="0.25">
      <c r="A19859" t="str">
        <f>HYPERLINK("https://www.773grp.com/globalSearch/74HCT112N652/page-1", "74HCT112N652")</f>
        <v>74HCT112N652</v>
      </c>
      <c r="B19859" s="3" t="s">
        <v>93</v>
      </c>
      <c r="C19859" s="6">
        <v>5425</v>
      </c>
      <c r="D19859" s="7">
        <v>2.06</v>
      </c>
    </row>
    <row r="19860" spans="1:4" x14ac:dyDescent="0.25">
      <c r="A19860" t="str">
        <f>HYPERLINK("https://www.773grp.com/globalSearch/74HCT164N652/page-1", "74HCT164N652")</f>
        <v>74HCT164N652</v>
      </c>
      <c r="B19860" s="3" t="s">
        <v>93</v>
      </c>
      <c r="C19860" s="6">
        <v>32785</v>
      </c>
      <c r="D19860" s="7">
        <v>2.06</v>
      </c>
    </row>
    <row r="19861" spans="1:4" x14ac:dyDescent="0.25">
      <c r="A19861" t="str">
        <f>HYPERLINK("https://www.773grp.com/globalSearch/74HCT165N652/page-1", "74HCT165N652")</f>
        <v>74HCT165N652</v>
      </c>
      <c r="B19861" s="3" t="s">
        <v>93</v>
      </c>
      <c r="C19861" s="6">
        <v>11200</v>
      </c>
      <c r="D19861" s="7">
        <v>2.06</v>
      </c>
    </row>
    <row r="19862" spans="1:4" x14ac:dyDescent="0.25">
      <c r="A19862" t="str">
        <f>HYPERLINK("https://www.773grp.com/globalSearch/74HCT173N652/page-1", "74HCT173N652")</f>
        <v>74HCT173N652</v>
      </c>
      <c r="B19862" s="3" t="s">
        <v>93</v>
      </c>
      <c r="C19862" s="6">
        <v>5875</v>
      </c>
      <c r="D19862" s="7">
        <v>2.06</v>
      </c>
    </row>
    <row r="19863" spans="1:4" x14ac:dyDescent="0.25">
      <c r="A19863" t="str">
        <f>HYPERLINK("https://www.773grp.com/globalSearch/74HCT174N652/page-1", "74HCT174N652")</f>
        <v>74HCT174N652</v>
      </c>
      <c r="B19863" s="3" t="s">
        <v>93</v>
      </c>
      <c r="C19863" s="6">
        <v>20303</v>
      </c>
      <c r="D19863" s="7">
        <v>2.06</v>
      </c>
    </row>
    <row r="19864" spans="1:4" x14ac:dyDescent="0.25">
      <c r="A19864" t="str">
        <f>HYPERLINK("https://www.773grp.com/globalSearch/74HCT175N652/page-1", "74HCT175N652")</f>
        <v>74HCT175N652</v>
      </c>
      <c r="B19864" s="3" t="s">
        <v>93</v>
      </c>
      <c r="C19864" s="6">
        <v>19479</v>
      </c>
      <c r="D19864" s="7">
        <v>2.06</v>
      </c>
    </row>
    <row r="19865" spans="1:4" x14ac:dyDescent="0.25">
      <c r="A19865" t="str">
        <f>HYPERLINK("https://www.773grp.com/globalSearch/74HCT251N652/page-1", "74HCT251N652")</f>
        <v>74HCT251N652</v>
      </c>
      <c r="B19865" s="3" t="s">
        <v>93</v>
      </c>
      <c r="C19865" s="6">
        <v>37000</v>
      </c>
      <c r="D19865" s="7">
        <v>2.06</v>
      </c>
    </row>
    <row r="19866" spans="1:4" x14ac:dyDescent="0.25">
      <c r="A19866" t="str">
        <f>HYPERLINK("https://www.773grp.com/globalSearch/74HCT253N652/page-1", "74HCT253N652")</f>
        <v>74HCT253N652</v>
      </c>
      <c r="B19866" s="3" t="s">
        <v>93</v>
      </c>
      <c r="C19866" s="6">
        <v>6659</v>
      </c>
      <c r="D19866" s="7">
        <v>2.06</v>
      </c>
    </row>
    <row r="19867" spans="1:4" x14ac:dyDescent="0.25">
      <c r="A19867" t="str">
        <f>HYPERLINK("https://www.773grp.com/globalSearch/74HCT257N652/page-1", "74HCT257N652")</f>
        <v>74HCT257N652</v>
      </c>
      <c r="B19867" s="3" t="s">
        <v>93</v>
      </c>
      <c r="C19867" s="6">
        <v>3000</v>
      </c>
      <c r="D19867" s="7">
        <v>2.06</v>
      </c>
    </row>
    <row r="19868" spans="1:4" x14ac:dyDescent="0.25">
      <c r="A19868" t="str">
        <f>HYPERLINK("https://www.773grp.com/globalSearch/74HCT377N652/page-1", "74HCT377N652")</f>
        <v>74HCT377N652</v>
      </c>
      <c r="B19868" s="3" t="s">
        <v>93</v>
      </c>
      <c r="C19868" s="6">
        <v>2880</v>
      </c>
      <c r="D19868" s="7">
        <v>2.06</v>
      </c>
    </row>
    <row r="19869" spans="1:4" x14ac:dyDescent="0.25">
      <c r="A19869" t="str">
        <f>HYPERLINK("https://www.773grp.com/globalSearch/74HCT4094N112/page-1", "74HCT4094N112")</f>
        <v>74HCT4094N112</v>
      </c>
      <c r="B19869" s="3" t="s">
        <v>93</v>
      </c>
      <c r="C19869" s="6">
        <v>3641</v>
      </c>
      <c r="D19869" s="7">
        <v>2.06</v>
      </c>
    </row>
    <row r="19870" spans="1:4" x14ac:dyDescent="0.25">
      <c r="A19870" t="str">
        <f>HYPERLINK("https://www.773grp.com/globalSearch/74LV00N112/page-1", "74LV00N112")</f>
        <v>74LV00N112</v>
      </c>
      <c r="B19870" s="3" t="s">
        <v>93</v>
      </c>
      <c r="C19870" s="6">
        <v>4825</v>
      </c>
      <c r="D19870" s="7">
        <v>2.06</v>
      </c>
    </row>
    <row r="19871" spans="1:4" x14ac:dyDescent="0.25">
      <c r="A19871" t="str">
        <f>HYPERLINK("https://www.773grp.com/globalSearch/74LV04N112/page-1", "74LV04N112")</f>
        <v>74LV04N112</v>
      </c>
      <c r="B19871" s="3" t="s">
        <v>93</v>
      </c>
      <c r="C19871" s="6">
        <v>3848</v>
      </c>
      <c r="D19871" s="7">
        <v>2.06</v>
      </c>
    </row>
    <row r="19872" spans="1:4" x14ac:dyDescent="0.25">
      <c r="A19872" t="str">
        <f>HYPERLINK("https://www.773grp.com/globalSearch/74LV08N112/page-1", "74LV08N112")</f>
        <v>74LV08N112</v>
      </c>
      <c r="B19872" s="3" t="s">
        <v>93</v>
      </c>
      <c r="C19872" s="6">
        <v>4940</v>
      </c>
      <c r="D19872" s="7">
        <v>2.06</v>
      </c>
    </row>
    <row r="19873" spans="1:4" x14ac:dyDescent="0.25">
      <c r="A19873" t="str">
        <f>HYPERLINK("https://www.773grp.com/globalSearch/74LV74N112/page-1", "74LV74N112")</f>
        <v>74LV74N112</v>
      </c>
      <c r="B19873" s="3" t="s">
        <v>93</v>
      </c>
      <c r="C19873" s="6">
        <v>4000</v>
      </c>
      <c r="D19873" s="7">
        <v>2.06</v>
      </c>
    </row>
    <row r="19874" spans="1:4" x14ac:dyDescent="0.25">
      <c r="A19874" t="str">
        <f>HYPERLINK("https://www.773grp.com/globalSearch/74LV86N112/page-1", "74LV86N112")</f>
        <v>74LV86N112</v>
      </c>
      <c r="B19874" s="3" t="s">
        <v>93</v>
      </c>
      <c r="C19874" s="6">
        <v>2000</v>
      </c>
      <c r="D19874" s="7">
        <v>2.06</v>
      </c>
    </row>
    <row r="19875" spans="1:4" x14ac:dyDescent="0.25">
      <c r="A19875" t="str">
        <f>HYPERLINK("https://www.773grp.com/globalSearch/BTA216B-600B118/page-1", "BTA216B-600B118")</f>
        <v>BTA216B-600B118</v>
      </c>
      <c r="B19875" s="3" t="s">
        <v>93</v>
      </c>
      <c r="C19875" s="6">
        <v>4000</v>
      </c>
      <c r="D19875" s="7">
        <v>2.06</v>
      </c>
    </row>
    <row r="19876" spans="1:4" x14ac:dyDescent="0.25">
      <c r="A19876" t="str">
        <f>HYPERLINK("https://www.773grp.com/globalSearch/BTA216B-600F118/page-1", "BTA216B-600F118")</f>
        <v>BTA216B-600F118</v>
      </c>
      <c r="B19876" s="3" t="s">
        <v>93</v>
      </c>
      <c r="C19876" s="6">
        <v>3200</v>
      </c>
      <c r="D19876" s="7">
        <v>2.06</v>
      </c>
    </row>
    <row r="19877" spans="1:4" x14ac:dyDescent="0.25">
      <c r="A19877" t="str">
        <f>HYPERLINK("https://www.773grp.com/globalSearch/BTA216B-800B118/page-1", "BTA216B-800B118")</f>
        <v>BTA216B-800B118</v>
      </c>
      <c r="B19877" s="3" t="s">
        <v>93</v>
      </c>
      <c r="C19877" s="6">
        <v>4000</v>
      </c>
      <c r="D19877" s="7">
        <v>2.06</v>
      </c>
    </row>
    <row r="19878" spans="1:4" x14ac:dyDescent="0.25">
      <c r="A19878" t="str">
        <f>HYPERLINK("https://www.773grp.com/globalSearch/BUK7227-100B118/page-1", "BUK7227-100B118")</f>
        <v>BUK7227-100B118</v>
      </c>
      <c r="B19878" s="3" t="s">
        <v>93</v>
      </c>
      <c r="C19878" s="6">
        <v>12500</v>
      </c>
      <c r="D19878" s="7">
        <v>2.06</v>
      </c>
    </row>
    <row r="19879" spans="1:4" x14ac:dyDescent="0.25">
      <c r="A19879" t="str">
        <f>HYPERLINK("https://www.773grp.com/globalSearch/BUK7620-55A118/page-1", "BUK7620-55A118")</f>
        <v>BUK7620-55A118</v>
      </c>
      <c r="B19879" s="3" t="s">
        <v>93</v>
      </c>
      <c r="C19879" s="6">
        <v>2400</v>
      </c>
      <c r="D19879" s="7">
        <v>2.06</v>
      </c>
    </row>
    <row r="19880" spans="1:4" x14ac:dyDescent="0.25">
      <c r="A19880" t="str">
        <f>HYPERLINK("https://www.773grp.com/globalSearch/BYT79-500127/page-1", "BYT79-500127")</f>
        <v>BYT79-500127</v>
      </c>
      <c r="B19880" s="3" t="s">
        <v>93</v>
      </c>
      <c r="C19880" s="6">
        <v>6000</v>
      </c>
      <c r="D19880" s="7">
        <v>2.06</v>
      </c>
    </row>
    <row r="19881" spans="1:4" x14ac:dyDescent="0.25">
      <c r="A19881" t="str">
        <f>HYPERLINK("https://www.773grp.com/globalSearch/BYT79X-600127/page-1", "BYT79X-600127")</f>
        <v>BYT79X-600127</v>
      </c>
      <c r="B19881" s="3" t="s">
        <v>93</v>
      </c>
      <c r="C19881" s="6">
        <v>1000</v>
      </c>
      <c r="D19881" s="7">
        <v>2.06</v>
      </c>
    </row>
    <row r="19882" spans="1:4" x14ac:dyDescent="0.25">
      <c r="A19882" t="str">
        <f>HYPERLINK("https://www.773grp.com/globalSearch/HEF4002BP652/page-1", "HEF4002BP652")</f>
        <v>HEF4002BP652</v>
      </c>
      <c r="B19882" s="3" t="s">
        <v>93</v>
      </c>
      <c r="C19882" s="6">
        <v>4356</v>
      </c>
      <c r="D19882" s="7">
        <v>2.06</v>
      </c>
    </row>
    <row r="19883" spans="1:4" x14ac:dyDescent="0.25">
      <c r="A19883" t="str">
        <f>HYPERLINK("https://www.773grp.com/globalSearch/HEF40175BP652/page-1", "HEF40175BP652")</f>
        <v>HEF40175BP652</v>
      </c>
      <c r="B19883" s="3" t="s">
        <v>93</v>
      </c>
      <c r="C19883" s="6">
        <v>2550</v>
      </c>
      <c r="D19883" s="7">
        <v>2.06</v>
      </c>
    </row>
    <row r="19884" spans="1:4" x14ac:dyDescent="0.25">
      <c r="A19884" t="str">
        <f>HYPERLINK("https://www.773grp.com/globalSearch/HEF4020BP652/page-1", "HEF4020BP652")</f>
        <v>HEF4020BP652</v>
      </c>
      <c r="B19884" s="3" t="s">
        <v>93</v>
      </c>
      <c r="C19884" s="6">
        <v>3250</v>
      </c>
      <c r="D19884" s="7">
        <v>2.06</v>
      </c>
    </row>
    <row r="19885" spans="1:4" x14ac:dyDescent="0.25">
      <c r="A19885" t="str">
        <f>HYPERLINK("https://www.773grp.com/globalSearch/HEF4047BP652/page-1", "HEF4047BP652")</f>
        <v>HEF4047BP652</v>
      </c>
      <c r="B19885" s="3" t="s">
        <v>93</v>
      </c>
      <c r="C19885" s="6">
        <v>4000</v>
      </c>
      <c r="D19885" s="7">
        <v>2.06</v>
      </c>
    </row>
    <row r="19886" spans="1:4" x14ac:dyDescent="0.25">
      <c r="A19886" t="str">
        <f>HYPERLINK("https://www.773grp.com/globalSearch/HEF4072BP652/page-1", "HEF4072BP652")</f>
        <v>HEF4072BP652</v>
      </c>
      <c r="B19886" s="3" t="s">
        <v>93</v>
      </c>
      <c r="C19886" s="6">
        <v>14938</v>
      </c>
      <c r="D19886" s="7">
        <v>2.06</v>
      </c>
    </row>
    <row r="19887" spans="1:4" x14ac:dyDescent="0.25">
      <c r="A19887" t="str">
        <f>HYPERLINK("https://www.773grp.com/globalSearch/KTY84-130113/page-1", "KTY84-130113")</f>
        <v>KTY84-130113</v>
      </c>
      <c r="B19887" s="3" t="s">
        <v>93</v>
      </c>
      <c r="C19887" s="6">
        <v>10000</v>
      </c>
      <c r="D19887" s="7">
        <v>2.06</v>
      </c>
    </row>
    <row r="19888" spans="1:4" x14ac:dyDescent="0.25">
      <c r="A19888" t="str">
        <f>HYPERLINK("https://www.773grp.com/globalSearch/PCA8550PW112/page-1", "PCA8550PW112")</f>
        <v>PCA8550PW112</v>
      </c>
      <c r="B19888" s="3" t="s">
        <v>93</v>
      </c>
      <c r="C19888" s="6">
        <v>1030</v>
      </c>
      <c r="D19888" s="7">
        <v>2.06</v>
      </c>
    </row>
    <row r="19889" spans="1:4" x14ac:dyDescent="0.25">
      <c r="A19889" t="str">
        <f>HYPERLINK("https://www.773grp.com/globalSearch/PCA9537DP118/page-1", "PCA9537DP118")</f>
        <v>PCA9537DP118</v>
      </c>
      <c r="B19889" s="3" t="s">
        <v>93</v>
      </c>
      <c r="C19889" s="6">
        <v>6931</v>
      </c>
      <c r="D19889" s="7">
        <v>2.06</v>
      </c>
    </row>
    <row r="19890" spans="1:4" x14ac:dyDescent="0.25">
      <c r="A19890" t="str">
        <f>HYPERLINK("https://www.773grp.com/globalSearch/PCF8523TS-1112/page-1", "PCF8523TS-1112")</f>
        <v>PCF8523TS-1112</v>
      </c>
      <c r="B19890" s="3" t="s">
        <v>93</v>
      </c>
      <c r="C19890" s="6">
        <v>1858</v>
      </c>
      <c r="D19890" s="7">
        <v>2.06</v>
      </c>
    </row>
    <row r="19891" spans="1:4" x14ac:dyDescent="0.25">
      <c r="A19891" t="str">
        <f>HYPERLINK("https://www.773grp.com/globalSearch/PCF8523TS-1118/page-1", "PCF8523TS-1118")</f>
        <v>PCF8523TS-1118</v>
      </c>
      <c r="B19891" s="3" t="s">
        <v>93</v>
      </c>
      <c r="C19891" s="6">
        <v>2500</v>
      </c>
      <c r="D19891" s="7">
        <v>2.06</v>
      </c>
    </row>
    <row r="19892" spans="1:4" x14ac:dyDescent="0.25">
      <c r="A19892" t="str">
        <f>HYPERLINK("https://www.773grp.com/globalSearch/PSMN012-80PS127/page-1", "PSMN012-80PS127")</f>
        <v>PSMN012-80PS127</v>
      </c>
      <c r="B19892" s="3" t="s">
        <v>93</v>
      </c>
      <c r="C19892" s="6">
        <v>6082</v>
      </c>
      <c r="D19892" s="7">
        <v>2.06</v>
      </c>
    </row>
    <row r="19893" spans="1:4" x14ac:dyDescent="0.25">
      <c r="A19893" t="str">
        <f>HYPERLINK("https://www.773grp.com/globalSearch/PSMN085-150K518/page-1", "PSMN085-150K518")</f>
        <v>PSMN085-150K518</v>
      </c>
      <c r="B19893" s="3" t="s">
        <v>93</v>
      </c>
      <c r="C19893" s="6">
        <v>14750</v>
      </c>
      <c r="D19893" s="7">
        <v>2.06</v>
      </c>
    </row>
    <row r="19894" spans="1:4" x14ac:dyDescent="0.25">
      <c r="A19894" t="str">
        <f>HYPERLINK("https://www.773grp.com/globalSearch/TEA1533AP-N1112/page-1", "TEA1533AP-N1112")</f>
        <v>TEA1533AP-N1112</v>
      </c>
      <c r="B19894" s="3" t="s">
        <v>93</v>
      </c>
      <c r="C19894" s="6">
        <v>44</v>
      </c>
      <c r="D19894" s="7">
        <v>2.06</v>
      </c>
    </row>
    <row r="19895" spans="1:4" x14ac:dyDescent="0.25">
      <c r="A19895" t="str">
        <f>HYPERLINK("https://www.773grp.com/globalSearch/TEA1533AT-N1518/page-1", "TEA1533AT-N1518")</f>
        <v>TEA1533AT-N1518</v>
      </c>
      <c r="B19895" s="3" t="s">
        <v>93</v>
      </c>
      <c r="C19895" s="6">
        <v>385000</v>
      </c>
      <c r="D19895" s="7">
        <v>2.06</v>
      </c>
    </row>
    <row r="19896" spans="1:4" x14ac:dyDescent="0.25">
      <c r="A19896" t="str">
        <f>HYPERLINK("https://www.773grp.com/globalSearch/74HCT4052N112/page-1", "74HCT4052N112")</f>
        <v>74HCT4052N112</v>
      </c>
      <c r="B19896" s="3" t="s">
        <v>93</v>
      </c>
      <c r="C19896" s="6">
        <v>8000</v>
      </c>
      <c r="D19896" s="7">
        <v>2.11</v>
      </c>
    </row>
    <row r="19897" spans="1:4" x14ac:dyDescent="0.25">
      <c r="A19897" t="str">
        <f>HYPERLINK("https://www.773grp.com/globalSearch/74HCT4053N112/page-1", "74HCT4053N112")</f>
        <v>74HCT4053N112</v>
      </c>
      <c r="B19897" s="3" t="s">
        <v>93</v>
      </c>
      <c r="C19897" s="6">
        <v>50</v>
      </c>
      <c r="D19897" s="7">
        <v>2.11</v>
      </c>
    </row>
    <row r="19898" spans="1:4" x14ac:dyDescent="0.25">
      <c r="A19898" t="str">
        <f>HYPERLINK("https://www.773grp.com/globalSearch/74HCT540N652/page-1", "74HCT540N652")</f>
        <v>74HCT540N652</v>
      </c>
      <c r="B19898" s="3" t="s">
        <v>93</v>
      </c>
      <c r="C19898" s="6">
        <v>2197</v>
      </c>
      <c r="D19898" s="7">
        <v>2.11</v>
      </c>
    </row>
    <row r="19899" spans="1:4" x14ac:dyDescent="0.25">
      <c r="A19899" t="str">
        <f>HYPERLINK("https://www.773grp.com/globalSearch/74LV4094PW112/page-1", "74LV4094PW112")</f>
        <v>74LV4094PW112</v>
      </c>
      <c r="B19899" s="3" t="s">
        <v>93</v>
      </c>
      <c r="C19899" s="6">
        <v>4800</v>
      </c>
      <c r="D19899" s="7">
        <v>2.11</v>
      </c>
    </row>
    <row r="19900" spans="1:4" x14ac:dyDescent="0.25">
      <c r="A19900" t="str">
        <f>HYPERLINK("https://www.773grp.com/globalSearch/74LV4094PW118/page-1", "74LV4094PW118")</f>
        <v>74LV4094PW118</v>
      </c>
      <c r="B19900" s="3" t="s">
        <v>93</v>
      </c>
      <c r="C19900" s="6">
        <v>5000</v>
      </c>
      <c r="D19900" s="7">
        <v>2.11</v>
      </c>
    </row>
    <row r="19901" spans="1:4" x14ac:dyDescent="0.25">
      <c r="A19901" t="str">
        <f>HYPERLINK("https://www.773grp.com/globalSearch/74LVCH8T245PW118/page-1", "74LVCH8T245PW118")</f>
        <v>74LVCH8T245PW118</v>
      </c>
      <c r="B19901" s="3" t="s">
        <v>93</v>
      </c>
      <c r="C19901" s="6">
        <v>2500</v>
      </c>
      <c r="D19901" s="7">
        <v>2.11</v>
      </c>
    </row>
    <row r="19902" spans="1:4" x14ac:dyDescent="0.25">
      <c r="A19902" t="str">
        <f>HYPERLINK("https://www.773grp.com/globalSearch/BTA212X-800B127/page-1", "BTA212X-800B127")</f>
        <v>BTA212X-800B127</v>
      </c>
      <c r="B19902" s="3" t="s">
        <v>93</v>
      </c>
      <c r="C19902" s="6">
        <v>6000</v>
      </c>
      <c r="D19902" s="7">
        <v>2.11</v>
      </c>
    </row>
    <row r="19903" spans="1:4" x14ac:dyDescent="0.25">
      <c r="A19903" t="str">
        <f>HYPERLINK("https://www.773grp.com/globalSearch/BTA212X-800E127/page-1", "BTA212X-800E127")</f>
        <v>BTA212X-800E127</v>
      </c>
      <c r="B19903" s="3" t="s">
        <v>93</v>
      </c>
      <c r="C19903" s="6">
        <v>119</v>
      </c>
      <c r="D19903" s="7">
        <v>2.11</v>
      </c>
    </row>
    <row r="19904" spans="1:4" x14ac:dyDescent="0.25">
      <c r="A19904" t="str">
        <f>HYPERLINK("https://www.773grp.com/globalSearch/BUK768R3-60E118/page-1", "BUK768R3-60E118")</f>
        <v>BUK768R3-60E118</v>
      </c>
      <c r="B19904" s="3" t="s">
        <v>93</v>
      </c>
      <c r="C19904" s="6">
        <v>6400</v>
      </c>
      <c r="D19904" s="7">
        <v>2.11</v>
      </c>
    </row>
    <row r="19905" spans="1:4" x14ac:dyDescent="0.25">
      <c r="A19905" t="str">
        <f>HYPERLINK("https://www.773grp.com/globalSearch/HEF4015BP652/page-1", "HEF4015BP652")</f>
        <v>HEF4015BP652</v>
      </c>
      <c r="B19905" s="3" t="s">
        <v>93</v>
      </c>
      <c r="C19905" s="6">
        <v>42200</v>
      </c>
      <c r="D19905" s="7">
        <v>2.11</v>
      </c>
    </row>
    <row r="19906" spans="1:4" x14ac:dyDescent="0.25">
      <c r="A19906" t="str">
        <f>HYPERLINK("https://www.773grp.com/globalSearch/PCA9560D112/page-1", "PCA9560D112")</f>
        <v>PCA9560D112</v>
      </c>
      <c r="B19906" s="3" t="s">
        <v>93</v>
      </c>
      <c r="C19906" s="6">
        <v>1514</v>
      </c>
      <c r="D19906" s="7">
        <v>2.11</v>
      </c>
    </row>
    <row r="19907" spans="1:4" x14ac:dyDescent="0.25">
      <c r="A19907" t="str">
        <f>HYPERLINK("https://www.773grp.com/globalSearch/PCA9561D112/page-1", "PCA9561D112")</f>
        <v>PCA9561D112</v>
      </c>
      <c r="B19907" s="3" t="s">
        <v>93</v>
      </c>
      <c r="C19907" s="6">
        <v>1425</v>
      </c>
      <c r="D19907" s="7">
        <v>2.11</v>
      </c>
    </row>
    <row r="19908" spans="1:4" x14ac:dyDescent="0.25">
      <c r="A19908" t="str">
        <f>HYPERLINK("https://www.773grp.com/globalSearch/PCA9632DP1118/page-1", "PCA9632DP1118")</f>
        <v>PCA9632DP1118</v>
      </c>
      <c r="B19908" s="3" t="s">
        <v>93</v>
      </c>
      <c r="C19908" s="6">
        <v>732</v>
      </c>
      <c r="D19908" s="7">
        <v>2.11</v>
      </c>
    </row>
    <row r="19909" spans="1:4" x14ac:dyDescent="0.25">
      <c r="A19909" t="str">
        <f>HYPERLINK("https://www.773grp.com/globalSearch/PCA9632DP2118/page-1", "PCA9632DP2118")</f>
        <v>PCA9632DP2118</v>
      </c>
      <c r="B19909" s="3" t="s">
        <v>93</v>
      </c>
      <c r="C19909" s="6">
        <v>4500</v>
      </c>
      <c r="D19909" s="7">
        <v>2.11</v>
      </c>
    </row>
    <row r="19910" spans="1:4" x14ac:dyDescent="0.25">
      <c r="A19910" t="str">
        <f>HYPERLINK("https://www.773grp.com/globalSearch/PCA9633D16112/page-1", "PCA9633D16112")</f>
        <v>PCA9633D16112</v>
      </c>
      <c r="B19910" s="3" t="s">
        <v>93</v>
      </c>
      <c r="C19910" s="6">
        <v>2446</v>
      </c>
      <c r="D19910" s="7">
        <v>2.11</v>
      </c>
    </row>
    <row r="19911" spans="1:4" x14ac:dyDescent="0.25">
      <c r="A19911" t="str">
        <f>HYPERLINK("https://www.773grp.com/globalSearch/PCA9633D16118/page-1", "PCA9633D16118")</f>
        <v>PCA9633D16118</v>
      </c>
      <c r="B19911" s="3" t="s">
        <v>93</v>
      </c>
      <c r="C19911" s="6">
        <v>100</v>
      </c>
      <c r="D19911" s="7">
        <v>2.11</v>
      </c>
    </row>
    <row r="19912" spans="1:4" x14ac:dyDescent="0.25">
      <c r="A19912" t="str">
        <f>HYPERLINK("https://www.773grp.com/globalSearch/PCA9633DP2118/page-1", "PCA9633DP2118")</f>
        <v>PCA9633DP2118</v>
      </c>
      <c r="B19912" s="3" t="s">
        <v>93</v>
      </c>
      <c r="C19912" s="6">
        <v>2696</v>
      </c>
      <c r="D19912" s="7">
        <v>2.11</v>
      </c>
    </row>
    <row r="19913" spans="1:4" x14ac:dyDescent="0.25">
      <c r="A19913" t="str">
        <f>HYPERLINK("https://www.773grp.com/globalSearch/PCF8594C-2P-02112/page-1", "PCF8594C-2P-02112")</f>
        <v>PCF8594C-2P-02112</v>
      </c>
      <c r="B19913" s="3" t="s">
        <v>93</v>
      </c>
      <c r="C19913" s="6">
        <v>100</v>
      </c>
      <c r="D19913" s="7">
        <v>2.11</v>
      </c>
    </row>
    <row r="19914" spans="1:4" x14ac:dyDescent="0.25">
      <c r="A19914" t="str">
        <f>HYPERLINK("https://www.773grp.com/globalSearch/PHK28NQ03LT518/page-1", "PHK28NQ03LT518")</f>
        <v>PHK28NQ03LT518</v>
      </c>
      <c r="B19914" s="3" t="s">
        <v>93</v>
      </c>
      <c r="C19914" s="6">
        <v>7500</v>
      </c>
      <c r="D19914" s="7">
        <v>2.11</v>
      </c>
    </row>
    <row r="19915" spans="1:4" x14ac:dyDescent="0.25">
      <c r="A19915" t="str">
        <f>HYPERLINK("https://www.773grp.com/globalSearch/PSMN3R4-30BL118/page-1", "PSMN3R4-30BL118")</f>
        <v>PSMN3R4-30BL118</v>
      </c>
      <c r="B19915" s="3" t="s">
        <v>93</v>
      </c>
      <c r="C19915" s="6">
        <v>100</v>
      </c>
      <c r="D19915" s="7">
        <v>2.11</v>
      </c>
    </row>
    <row r="19916" spans="1:4" x14ac:dyDescent="0.25">
      <c r="A19916" t="str">
        <f>HYPERLINK("https://www.773grp.com/globalSearch/PSMN7R6-60PS127/page-1", "PSMN7R6-60PS127")</f>
        <v>PSMN7R6-60PS127</v>
      </c>
      <c r="B19916" s="3" t="s">
        <v>93</v>
      </c>
      <c r="C19916" s="6">
        <v>8518</v>
      </c>
      <c r="D19916" s="7">
        <v>2.11</v>
      </c>
    </row>
    <row r="19917" spans="1:4" x14ac:dyDescent="0.25">
      <c r="A19917" t="str">
        <f>HYPERLINK("https://www.773grp.com/globalSearch/TEA1522T-N2518/page-1", "TEA1522T-N2518")</f>
        <v>TEA1522T-N2518</v>
      </c>
      <c r="B19917" s="3" t="s">
        <v>93</v>
      </c>
      <c r="C19917" s="6">
        <v>275000</v>
      </c>
      <c r="D19917" s="7">
        <v>2.11</v>
      </c>
    </row>
    <row r="19918" spans="1:4" x14ac:dyDescent="0.25">
      <c r="A19918" t="str">
        <f>HYPERLINK("https://www.773grp.com/globalSearch/TFF1014HN-N1115/page-1", "TFF1014HN-N1115")</f>
        <v>TFF1014HN-N1115</v>
      </c>
      <c r="B19918" s="3" t="s">
        <v>93</v>
      </c>
      <c r="C19918" s="6">
        <v>98900</v>
      </c>
      <c r="D19918" s="7">
        <v>2.11</v>
      </c>
    </row>
    <row r="19919" spans="1:4" x14ac:dyDescent="0.25">
      <c r="A19919" t="str">
        <f>HYPERLINK("https://www.773grp.com/globalSearch/TFF1014HN-N1135/page-1", "TFF1014HN-N1135")</f>
        <v>TFF1014HN-N1135</v>
      </c>
      <c r="B19919" s="3" t="s">
        <v>93</v>
      </c>
      <c r="C19919" s="6">
        <v>44</v>
      </c>
      <c r="D19919" s="7">
        <v>2.11</v>
      </c>
    </row>
    <row r="19920" spans="1:4" x14ac:dyDescent="0.25">
      <c r="A19920" t="str">
        <f>HYPERLINK("https://www.773grp.com/globalSearch/TFF1015HN-N1115/page-1", "TFF1015HN-N1115")</f>
        <v>TFF1015HN-N1115</v>
      </c>
      <c r="B19920" s="3" t="s">
        <v>93</v>
      </c>
      <c r="C19920" s="6">
        <v>2984</v>
      </c>
      <c r="D19920" s="7">
        <v>2.11</v>
      </c>
    </row>
    <row r="19921" spans="1:4" x14ac:dyDescent="0.25">
      <c r="A19921" t="str">
        <f>HYPERLINK("https://www.773grp.com/globalSearch/TFF1018HN-N1115/page-1", "TFF1018HN-N1115")</f>
        <v>TFF1018HN-N1115</v>
      </c>
      <c r="B19921" s="3" t="s">
        <v>93</v>
      </c>
      <c r="C19921" s="6">
        <v>3000</v>
      </c>
      <c r="D19921" s="7">
        <v>2.11</v>
      </c>
    </row>
    <row r="19922" spans="1:4" x14ac:dyDescent="0.25">
      <c r="A19922" t="str">
        <f>HYPERLINK("https://www.773grp.com/globalSearch/BUK9212-55B118/page-1", "BUK9212-55B118")</f>
        <v>BUK9212-55B118</v>
      </c>
      <c r="B19922" s="3" t="s">
        <v>93</v>
      </c>
      <c r="C19922" s="6">
        <v>7250</v>
      </c>
      <c r="D19922" s="7">
        <v>2.16</v>
      </c>
    </row>
    <row r="19923" spans="1:4" x14ac:dyDescent="0.25">
      <c r="A19923" t="str">
        <f>HYPERLINK("https://www.773grp.com/globalSearch/CBT16211DGG112/page-1", "CBT16211DGG112")</f>
        <v>CBT16211DGG112</v>
      </c>
      <c r="B19923" s="3" t="s">
        <v>93</v>
      </c>
      <c r="C19923" s="6">
        <v>1865</v>
      </c>
      <c r="D19923" s="7">
        <v>2.16</v>
      </c>
    </row>
    <row r="19924" spans="1:4" x14ac:dyDescent="0.25">
      <c r="A19924" t="str">
        <f>HYPERLINK("https://www.773grp.com/globalSearch/CBT16211DGG118/page-1", "CBT16211DGG118")</f>
        <v>CBT16211DGG118</v>
      </c>
      <c r="B19924" s="3" t="s">
        <v>93</v>
      </c>
      <c r="C19924" s="6">
        <v>2000</v>
      </c>
      <c r="D19924" s="7">
        <v>2.16</v>
      </c>
    </row>
    <row r="19925" spans="1:4" x14ac:dyDescent="0.25">
      <c r="A19925" t="str">
        <f>HYPERLINK("https://www.773grp.com/globalSearch/HEF4060BP652/page-1", "HEF4060BP652")</f>
        <v>HEF4060BP652</v>
      </c>
      <c r="B19925" s="3" t="s">
        <v>93</v>
      </c>
      <c r="C19925" s="6">
        <v>5000</v>
      </c>
      <c r="D19925" s="7">
        <v>2.16</v>
      </c>
    </row>
    <row r="19926" spans="1:4" x14ac:dyDescent="0.25">
      <c r="A19926" t="str">
        <f>HYPERLINK("https://www.773grp.com/globalSearch/HEF4541BP652/page-1", "HEF4541BP652")</f>
        <v>HEF4541BP652</v>
      </c>
      <c r="B19926" s="3" t="s">
        <v>93</v>
      </c>
      <c r="C19926" s="6">
        <v>253645</v>
      </c>
      <c r="D19926" s="7">
        <v>2.16</v>
      </c>
    </row>
    <row r="19927" spans="1:4" x14ac:dyDescent="0.25">
      <c r="A19927" t="str">
        <f>HYPERLINK("https://www.773grp.com/globalSearch/IP4352CX24-LF135/page-1", "IP4352CX24-LF135")</f>
        <v>IP4352CX24-LF135</v>
      </c>
      <c r="B19927" s="3" t="s">
        <v>93</v>
      </c>
      <c r="C19927" s="6">
        <v>100</v>
      </c>
      <c r="D19927" s="7">
        <v>2.16</v>
      </c>
    </row>
    <row r="19928" spans="1:4" x14ac:dyDescent="0.25">
      <c r="A19928" t="str">
        <f>HYPERLINK("https://www.773grp.com/globalSearch/PCA9515ADP118/page-1", "PCA9515ADP118")</f>
        <v>PCA9515ADP118</v>
      </c>
      <c r="B19928" s="3" t="s">
        <v>93</v>
      </c>
      <c r="C19928" s="6">
        <v>37500</v>
      </c>
      <c r="D19928" s="7">
        <v>2.16</v>
      </c>
    </row>
    <row r="19929" spans="1:4" x14ac:dyDescent="0.25">
      <c r="A19929" t="str">
        <f>HYPERLINK("https://www.773grp.com/globalSearch/PCA9557D118/page-1", "PCA9557D118")</f>
        <v>PCA9557D118</v>
      </c>
      <c r="B19929" s="3" t="s">
        <v>93</v>
      </c>
      <c r="C19929" s="6">
        <v>1330</v>
      </c>
      <c r="D19929" s="7">
        <v>2.16</v>
      </c>
    </row>
    <row r="19930" spans="1:4" x14ac:dyDescent="0.25">
      <c r="A19930" t="str">
        <f>HYPERLINK("https://www.773grp.com/globalSearch/PCA9557PW112/page-1", "PCA9557PW112")</f>
        <v>PCA9557PW112</v>
      </c>
      <c r="B19930" s="3" t="s">
        <v>93</v>
      </c>
      <c r="C19930" s="6">
        <v>2000</v>
      </c>
      <c r="D19930" s="7">
        <v>2.16</v>
      </c>
    </row>
    <row r="19931" spans="1:4" x14ac:dyDescent="0.25">
      <c r="A19931" t="str">
        <f>HYPERLINK("https://www.773grp.com/globalSearch/PCA9557PW118/page-1", "PCA9557PW118")</f>
        <v>PCA9557PW118</v>
      </c>
      <c r="B19931" s="3" t="s">
        <v>93</v>
      </c>
      <c r="C19931" s="6">
        <v>2049</v>
      </c>
      <c r="D19931" s="7">
        <v>2.16</v>
      </c>
    </row>
    <row r="19932" spans="1:4" x14ac:dyDescent="0.25">
      <c r="A19932" t="str">
        <f>HYPERLINK("https://www.773grp.com/globalSearch/PSMN016-100PS127/page-1", "PSMN016-100PS127")</f>
        <v>PSMN016-100PS127</v>
      </c>
      <c r="B19932" s="3" t="s">
        <v>93</v>
      </c>
      <c r="C19932" s="6">
        <v>4000</v>
      </c>
      <c r="D19932" s="7">
        <v>2.16</v>
      </c>
    </row>
    <row r="19933" spans="1:4" x14ac:dyDescent="0.25">
      <c r="A19933" t="str">
        <f>HYPERLINK("https://www.773grp.com/globalSearch/PSMN1R5-25YL115/page-1", "PSMN1R5-25YL115")</f>
        <v>PSMN1R5-25YL115</v>
      </c>
      <c r="B19933" s="3" t="s">
        <v>93</v>
      </c>
      <c r="C19933" s="6">
        <v>1500</v>
      </c>
      <c r="D19933" s="7">
        <v>2.16</v>
      </c>
    </row>
    <row r="19934" spans="1:4" x14ac:dyDescent="0.25">
      <c r="A19934" t="str">
        <f>HYPERLINK("https://www.773grp.com/globalSearch/PSMN1R5-30YL115/page-1", "PSMN1R5-30YL115")</f>
        <v>PSMN1R5-30YL115</v>
      </c>
      <c r="B19934" s="3" t="s">
        <v>93</v>
      </c>
      <c r="C19934" s="6">
        <v>1050</v>
      </c>
      <c r="D19934" s="7">
        <v>2.16</v>
      </c>
    </row>
    <row r="19935" spans="1:4" x14ac:dyDescent="0.25">
      <c r="A19935" t="str">
        <f>HYPERLINK("https://www.773grp.com/globalSearch/TEA1761T-N2118/page-1", "TEA1761T-N2118")</f>
        <v>TEA1761T-N2118</v>
      </c>
      <c r="B19935" s="3" t="s">
        <v>93</v>
      </c>
      <c r="C19935" s="6">
        <v>5050</v>
      </c>
      <c r="D19935" s="7">
        <v>2.16</v>
      </c>
    </row>
    <row r="19936" spans="1:4" x14ac:dyDescent="0.25">
      <c r="A19936" t="str">
        <f>HYPERLINK("https://www.773grp.com/globalSearch/TJA1042T-3112/page-1", "TJA1042T-3112")</f>
        <v>TJA1042T-3112</v>
      </c>
      <c r="B19936" s="3" t="s">
        <v>93</v>
      </c>
      <c r="C19936" s="6">
        <v>4399</v>
      </c>
      <c r="D19936" s="7">
        <v>2.16</v>
      </c>
    </row>
    <row r="19937" spans="1:4" x14ac:dyDescent="0.25">
      <c r="A19937" t="str">
        <f>HYPERLINK("https://www.773grp.com/globalSearch/74HC166N652/page-1", "74HC166N652")</f>
        <v>74HC166N652</v>
      </c>
      <c r="B19937" s="3" t="s">
        <v>93</v>
      </c>
      <c r="C19937" s="6">
        <v>6774</v>
      </c>
      <c r="D19937" s="7">
        <v>2.21</v>
      </c>
    </row>
    <row r="19938" spans="1:4" x14ac:dyDescent="0.25">
      <c r="A19938" t="str">
        <f>HYPERLINK("https://www.773grp.com/globalSearch/74HC237N652/page-1", "74HC237N652")</f>
        <v>74HC237N652</v>
      </c>
      <c r="B19938" s="3" t="s">
        <v>93</v>
      </c>
      <c r="C19938" s="6">
        <v>2000</v>
      </c>
      <c r="D19938" s="7">
        <v>2.21</v>
      </c>
    </row>
    <row r="19939" spans="1:4" x14ac:dyDescent="0.25">
      <c r="A19939" t="str">
        <f>HYPERLINK("https://www.773grp.com/globalSearch/74HC238N652/page-1", "74HC238N652")</f>
        <v>74HC238N652</v>
      </c>
      <c r="B19939" s="3" t="s">
        <v>93</v>
      </c>
      <c r="C19939" s="6">
        <v>12581</v>
      </c>
      <c r="D19939" s="7">
        <v>2.21</v>
      </c>
    </row>
    <row r="19940" spans="1:4" x14ac:dyDescent="0.25">
      <c r="A19940" t="str">
        <f>HYPERLINK("https://www.773grp.com/globalSearch/74HC4075N652/page-1", "74HC4075N652")</f>
        <v>74HC4075N652</v>
      </c>
      <c r="B19940" s="3" t="s">
        <v>93</v>
      </c>
      <c r="C19940" s="6">
        <v>8036</v>
      </c>
      <c r="D19940" s="7">
        <v>2.21</v>
      </c>
    </row>
    <row r="19941" spans="1:4" x14ac:dyDescent="0.25">
      <c r="A19941" t="str">
        <f>HYPERLINK("https://www.773grp.com/globalSearch/74HC4515D652/page-1", "74HC4515D652")</f>
        <v>74HC4515D652</v>
      </c>
      <c r="B19941" s="3" t="s">
        <v>93</v>
      </c>
      <c r="C19941" s="6">
        <v>1400</v>
      </c>
      <c r="D19941" s="7">
        <v>2.21</v>
      </c>
    </row>
    <row r="19942" spans="1:4" x14ac:dyDescent="0.25">
      <c r="A19942" t="str">
        <f>HYPERLINK("https://www.773grp.com/globalSearch/74HC4515D653/page-1", "74HC4515D653")</f>
        <v>74HC4515D653</v>
      </c>
      <c r="B19942" s="3" t="s">
        <v>93</v>
      </c>
      <c r="C19942" s="6">
        <v>8000</v>
      </c>
      <c r="D19942" s="7">
        <v>2.21</v>
      </c>
    </row>
    <row r="19943" spans="1:4" x14ac:dyDescent="0.25">
      <c r="A19943" t="str">
        <f>HYPERLINK("https://www.773grp.com/globalSearch/74HCT166N652/page-1", "74HCT166N652")</f>
        <v>74HCT166N652</v>
      </c>
      <c r="B19943" s="3" t="s">
        <v>93</v>
      </c>
      <c r="C19943" s="6">
        <v>1000</v>
      </c>
      <c r="D19943" s="7">
        <v>2.21</v>
      </c>
    </row>
    <row r="19944" spans="1:4" x14ac:dyDescent="0.25">
      <c r="A19944" t="str">
        <f>HYPERLINK("https://www.773grp.com/globalSearch/74HCT238N652/page-1", "74HCT238N652")</f>
        <v>74HCT238N652</v>
      </c>
      <c r="B19944" s="3" t="s">
        <v>93</v>
      </c>
      <c r="C19944" s="6">
        <v>16926</v>
      </c>
      <c r="D19944" s="7">
        <v>2.21</v>
      </c>
    </row>
    <row r="19945" spans="1:4" x14ac:dyDescent="0.25">
      <c r="A19945" t="str">
        <f>HYPERLINK("https://www.773grp.com/globalSearch/74HCT4075N652/page-1", "74HCT4075N652")</f>
        <v>74HCT4075N652</v>
      </c>
      <c r="B19945" s="3" t="s">
        <v>93</v>
      </c>
      <c r="C19945" s="6">
        <v>5300</v>
      </c>
      <c r="D19945" s="7">
        <v>2.21</v>
      </c>
    </row>
    <row r="19946" spans="1:4" x14ac:dyDescent="0.25">
      <c r="A19946" t="str">
        <f>HYPERLINK("https://www.773grp.com/globalSearch/74LVT2241D112/page-1", "74LVT2241D112")</f>
        <v>74LVT2241D112</v>
      </c>
      <c r="B19946" s="3" t="s">
        <v>93</v>
      </c>
      <c r="C19946" s="6">
        <v>1520</v>
      </c>
      <c r="D19946" s="7">
        <v>2.21</v>
      </c>
    </row>
    <row r="19947" spans="1:4" x14ac:dyDescent="0.25">
      <c r="A19947" t="str">
        <f>HYPERLINK("https://www.773grp.com/globalSearch/74LVT2241DB112/page-1", "74LVT2241DB112")</f>
        <v>74LVT2241DB112</v>
      </c>
      <c r="B19947" s="3" t="s">
        <v>93</v>
      </c>
      <c r="C19947" s="6">
        <v>924</v>
      </c>
      <c r="D19947" s="7">
        <v>2.21</v>
      </c>
    </row>
    <row r="19948" spans="1:4" x14ac:dyDescent="0.25">
      <c r="A19948" t="str">
        <f>HYPERLINK("https://www.773grp.com/globalSearch/BUK7516-55A127/page-1", "BUK7516-55A127")</f>
        <v>BUK7516-55A127</v>
      </c>
      <c r="B19948" s="3" t="s">
        <v>93</v>
      </c>
      <c r="C19948" s="6">
        <v>4000</v>
      </c>
      <c r="D19948" s="7">
        <v>2.21</v>
      </c>
    </row>
    <row r="19949" spans="1:4" x14ac:dyDescent="0.25">
      <c r="A19949" t="str">
        <f>HYPERLINK("https://www.773grp.com/globalSearch/BUK9516-55A127/page-1", "BUK9516-55A127")</f>
        <v>BUK9516-55A127</v>
      </c>
      <c r="B19949" s="3" t="s">
        <v>93</v>
      </c>
      <c r="C19949" s="6">
        <v>3773</v>
      </c>
      <c r="D19949" s="7">
        <v>2.21</v>
      </c>
    </row>
    <row r="19950" spans="1:4" x14ac:dyDescent="0.25">
      <c r="A19950" t="str">
        <f>HYPERLINK("https://www.773grp.com/globalSearch/BUK9523-75A127/page-1", "BUK9523-75A127")</f>
        <v>BUK9523-75A127</v>
      </c>
      <c r="B19950" s="3" t="s">
        <v>93</v>
      </c>
      <c r="C19950" s="6">
        <v>3975</v>
      </c>
      <c r="D19950" s="7">
        <v>2.21</v>
      </c>
    </row>
    <row r="19951" spans="1:4" x14ac:dyDescent="0.25">
      <c r="A19951" t="str">
        <f>HYPERLINK("https://www.773grp.com/globalSearch/BYV32EB-200118/page-1", "BYV32EB-200118")</f>
        <v>BYV32EB-200118</v>
      </c>
      <c r="B19951" s="3" t="s">
        <v>93</v>
      </c>
      <c r="C19951" s="6">
        <v>6400</v>
      </c>
      <c r="D19951" s="7">
        <v>2.21</v>
      </c>
    </row>
    <row r="19952" spans="1:4" x14ac:dyDescent="0.25">
      <c r="A19952" t="str">
        <f>HYPERLINK("https://www.773grp.com/globalSearch/CBTD16210DGG118/page-1", "CBTD16210DGG118")</f>
        <v>CBTD16210DGG118</v>
      </c>
      <c r="B19952" s="3" t="s">
        <v>93</v>
      </c>
      <c r="C19952" s="6">
        <v>175</v>
      </c>
      <c r="D19952" s="7">
        <v>2.21</v>
      </c>
    </row>
    <row r="19953" spans="1:4" x14ac:dyDescent="0.25">
      <c r="A19953" t="str">
        <f>HYPERLINK("https://www.773grp.com/globalSearch/CBTD16211DGG112/page-1", "CBTD16211DGG112")</f>
        <v>CBTD16211DGG112</v>
      </c>
      <c r="B19953" s="3" t="s">
        <v>93</v>
      </c>
      <c r="C19953" s="6">
        <v>1196</v>
      </c>
      <c r="D19953" s="7">
        <v>2.21</v>
      </c>
    </row>
    <row r="19954" spans="1:4" x14ac:dyDescent="0.25">
      <c r="A19954" t="str">
        <f>HYPERLINK("https://www.773grp.com/globalSearch/N74F244N602/page-1", "N74F244N602")</f>
        <v>N74F244N602</v>
      </c>
      <c r="B19954" s="3" t="s">
        <v>93</v>
      </c>
      <c r="C19954" s="6">
        <v>11175</v>
      </c>
      <c r="D19954" s="7">
        <v>2.21</v>
      </c>
    </row>
    <row r="19955" spans="1:4" x14ac:dyDescent="0.25">
      <c r="A19955" t="str">
        <f>HYPERLINK("https://www.773grp.com/globalSearch/N74F245N602/page-1", "N74F245N602")</f>
        <v>N74F245N602</v>
      </c>
      <c r="B19955" s="3" t="s">
        <v>93</v>
      </c>
      <c r="C19955" s="6">
        <v>5130</v>
      </c>
      <c r="D19955" s="7">
        <v>2.21</v>
      </c>
    </row>
    <row r="19956" spans="1:4" x14ac:dyDescent="0.25">
      <c r="A19956" t="str">
        <f>HYPERLINK("https://www.773grp.com/globalSearch/N74F273AN602/page-1", "N74F273AN602")</f>
        <v>N74F273AN602</v>
      </c>
      <c r="B19956" s="3" t="s">
        <v>93</v>
      </c>
      <c r="C19956" s="6">
        <v>3688</v>
      </c>
      <c r="D19956" s="7">
        <v>2.21</v>
      </c>
    </row>
    <row r="19957" spans="1:4" x14ac:dyDescent="0.25">
      <c r="A19957" t="str">
        <f>HYPERLINK("https://www.773grp.com/globalSearch/N74F373N602/page-1", "N74F373N602")</f>
        <v>N74F373N602</v>
      </c>
      <c r="B19957" s="3" t="s">
        <v>93</v>
      </c>
      <c r="C19957" s="6">
        <v>5495</v>
      </c>
      <c r="D19957" s="7">
        <v>2.21</v>
      </c>
    </row>
    <row r="19958" spans="1:4" x14ac:dyDescent="0.25">
      <c r="A19958" t="str">
        <f>HYPERLINK("https://www.773grp.com/globalSearch/PBSS4041SN115/page-1", "PBSS4041SN115")</f>
        <v>PBSS4041SN115</v>
      </c>
      <c r="B19958" s="3" t="s">
        <v>93</v>
      </c>
      <c r="C19958" s="6">
        <v>5000</v>
      </c>
      <c r="D19958" s="7">
        <v>2.21</v>
      </c>
    </row>
    <row r="19959" spans="1:4" x14ac:dyDescent="0.25">
      <c r="A19959" t="str">
        <f>HYPERLINK("https://www.773grp.com/globalSearch/PCA9517ADP118/page-1", "PCA9517ADP118")</f>
        <v>PCA9517ADP118</v>
      </c>
      <c r="B19959" s="3" t="s">
        <v>93</v>
      </c>
      <c r="C19959" s="6">
        <v>29600</v>
      </c>
      <c r="D19959" s="7">
        <v>2.21</v>
      </c>
    </row>
    <row r="19960" spans="1:4" x14ac:dyDescent="0.25">
      <c r="A19960" t="str">
        <f>HYPERLINK("https://www.773grp.com/globalSearch/PCA9574BS118/page-1", "PCA9574BS118")</f>
        <v>PCA9574BS118</v>
      </c>
      <c r="B19960" s="3" t="s">
        <v>93</v>
      </c>
      <c r="C19960" s="6">
        <v>24139</v>
      </c>
      <c r="D19960" s="7">
        <v>2.21</v>
      </c>
    </row>
    <row r="19961" spans="1:4" x14ac:dyDescent="0.25">
      <c r="A19961" t="str">
        <f>HYPERLINK("https://www.773grp.com/globalSearch/PH8230E115/page-1", "PH8230E115")</f>
        <v>PH8230E115</v>
      </c>
      <c r="B19961" s="3" t="s">
        <v>93</v>
      </c>
      <c r="C19961" s="6">
        <v>513</v>
      </c>
      <c r="D19961" s="7">
        <v>2.21</v>
      </c>
    </row>
    <row r="19962" spans="1:4" x14ac:dyDescent="0.25">
      <c r="A19962" t="str">
        <f>HYPERLINK("https://www.773grp.com/globalSearch/PHP9NQ20T127/page-1", "PHP9NQ20T127")</f>
        <v>PHP9NQ20T127</v>
      </c>
      <c r="B19962" s="3" t="s">
        <v>93</v>
      </c>
      <c r="C19962" s="6">
        <v>3150</v>
      </c>
      <c r="D19962" s="7">
        <v>2.21</v>
      </c>
    </row>
    <row r="19963" spans="1:4" x14ac:dyDescent="0.25">
      <c r="A19963" t="str">
        <f>HYPERLINK("https://www.773grp.com/globalSearch/PSMN012-80BS118/page-1", "PSMN012-80BS118")</f>
        <v>PSMN012-80BS118</v>
      </c>
      <c r="B19963" s="3" t="s">
        <v>93</v>
      </c>
      <c r="C19963" s="6">
        <v>4800</v>
      </c>
      <c r="D19963" s="7">
        <v>2.21</v>
      </c>
    </row>
    <row r="19964" spans="1:4" x14ac:dyDescent="0.25">
      <c r="A19964" t="str">
        <f>HYPERLINK("https://www.773grp.com/globalSearch/PSMN1R3-30YL115/page-1", "PSMN1R3-30YL115")</f>
        <v>PSMN1R3-30YL115</v>
      </c>
      <c r="B19964" s="3" t="s">
        <v>93</v>
      </c>
      <c r="C19964" s="6">
        <v>1500</v>
      </c>
      <c r="D19964" s="7">
        <v>2.21</v>
      </c>
    </row>
    <row r="19965" spans="1:4" x14ac:dyDescent="0.25">
      <c r="A19965" t="str">
        <f>HYPERLINK("https://www.773grp.com/globalSearch/TEA1532CT-N1118/page-1", "TEA1532CT-N1118")</f>
        <v>TEA1532CT-N1118</v>
      </c>
      <c r="B19965" s="3" t="s">
        <v>93</v>
      </c>
      <c r="C19965" s="6">
        <v>4961</v>
      </c>
      <c r="D19965" s="7">
        <v>2.21</v>
      </c>
    </row>
    <row r="19966" spans="1:4" x14ac:dyDescent="0.25">
      <c r="A19966" t="str">
        <f>HYPERLINK("https://www.773grp.com/globalSearch/TJA1020T-N1118/page-1", "TJA1020T-N1118")</f>
        <v>TJA1020T-N1118</v>
      </c>
      <c r="B19966" s="3" t="s">
        <v>93</v>
      </c>
      <c r="C19966" s="6">
        <v>145000</v>
      </c>
      <c r="D19966" s="7">
        <v>2.21</v>
      </c>
    </row>
    <row r="19967" spans="1:4" x14ac:dyDescent="0.25">
      <c r="A19967" t="str">
        <f>HYPERLINK("https://www.773grp.com/globalSearch/74HC4046ADB118/page-1", "74HC4046ADB118")</f>
        <v>74HC4046ADB118</v>
      </c>
      <c r="B19967" s="3" t="s">
        <v>93</v>
      </c>
      <c r="C19967" s="6">
        <v>2000</v>
      </c>
      <c r="D19967" s="7">
        <v>2.2599999999999998</v>
      </c>
    </row>
    <row r="19968" spans="1:4" x14ac:dyDescent="0.25">
      <c r="A19968" t="str">
        <f>HYPERLINK("https://www.773grp.com/globalSearch/BTA140-600127/page-1", "BTA140-600127")</f>
        <v>BTA140-600127</v>
      </c>
      <c r="B19968" s="3" t="s">
        <v>93</v>
      </c>
      <c r="C19968" s="6">
        <v>100</v>
      </c>
      <c r="D19968" s="7">
        <v>2.2599999999999998</v>
      </c>
    </row>
    <row r="19969" spans="1:4" x14ac:dyDescent="0.25">
      <c r="A19969" t="str">
        <f>HYPERLINK("https://www.773grp.com/globalSearch/BTA140-800127/page-1", "BTA140-800127")</f>
        <v>BTA140-800127</v>
      </c>
      <c r="B19969" s="3" t="s">
        <v>93</v>
      </c>
      <c r="C19969" s="6">
        <v>4000</v>
      </c>
      <c r="D19969" s="7">
        <v>2.2599999999999998</v>
      </c>
    </row>
    <row r="19970" spans="1:4" x14ac:dyDescent="0.25">
      <c r="A19970" t="str">
        <f>HYPERLINK("https://www.773grp.com/globalSearch/BTA216-600D127/page-1", "BTA216-600D127")</f>
        <v>BTA216-600D127</v>
      </c>
      <c r="B19970" s="3" t="s">
        <v>93</v>
      </c>
      <c r="C19970" s="6">
        <v>2000</v>
      </c>
      <c r="D19970" s="7">
        <v>2.2599999999999998</v>
      </c>
    </row>
    <row r="19971" spans="1:4" x14ac:dyDescent="0.25">
      <c r="A19971" t="str">
        <f>HYPERLINK("https://www.773grp.com/globalSearch/BUK7523-75A127/page-1", "BUK7523-75A127")</f>
        <v>BUK7523-75A127</v>
      </c>
      <c r="B19971" s="3" t="s">
        <v>93</v>
      </c>
      <c r="C19971" s="6">
        <v>147</v>
      </c>
      <c r="D19971" s="7">
        <v>2.2599999999999998</v>
      </c>
    </row>
    <row r="19972" spans="1:4" x14ac:dyDescent="0.25">
      <c r="A19972" t="str">
        <f>HYPERLINK("https://www.773grp.com/globalSearch/BUK7540-100A127/page-1", "BUK7540-100A127")</f>
        <v>BUK7540-100A127</v>
      </c>
      <c r="B19972" s="3" t="s">
        <v>93</v>
      </c>
      <c r="C19972" s="6">
        <v>41</v>
      </c>
      <c r="D19972" s="7">
        <v>2.2599999999999998</v>
      </c>
    </row>
    <row r="19973" spans="1:4" x14ac:dyDescent="0.25">
      <c r="A19973" t="str">
        <f>HYPERLINK("https://www.773grp.com/globalSearch/HEF4511BP652/page-1", "HEF4511BP652")</f>
        <v>HEF4511BP652</v>
      </c>
      <c r="B19973" s="3" t="s">
        <v>93</v>
      </c>
      <c r="C19973" s="6">
        <v>2657</v>
      </c>
      <c r="D19973" s="7">
        <v>2.2599999999999998</v>
      </c>
    </row>
    <row r="19974" spans="1:4" x14ac:dyDescent="0.25">
      <c r="A19974" t="str">
        <f>HYPERLINK("https://www.773grp.com/globalSearch/PCA9540BD118/page-1", "PCA9540BD118")</f>
        <v>PCA9540BD118</v>
      </c>
      <c r="B19974" s="3" t="s">
        <v>93</v>
      </c>
      <c r="C19974" s="6">
        <v>10000</v>
      </c>
      <c r="D19974" s="7">
        <v>2.2599999999999998</v>
      </c>
    </row>
    <row r="19975" spans="1:4" x14ac:dyDescent="0.25">
      <c r="A19975" t="str">
        <f>HYPERLINK("https://www.773grp.com/globalSearch/PCA9540BDP-DG118/page-1", "PCA9540BDP-DG118")</f>
        <v>PCA9540BDP-DG118</v>
      </c>
      <c r="B19975" s="3" t="s">
        <v>93</v>
      </c>
      <c r="C19975" s="6">
        <v>3525</v>
      </c>
      <c r="D19975" s="7">
        <v>2.2599999999999998</v>
      </c>
    </row>
    <row r="19976" spans="1:4" x14ac:dyDescent="0.25">
      <c r="A19976" t="str">
        <f>HYPERLINK("https://www.773grp.com/globalSearch/PCA9540BDP118/page-1", "PCA9540BDP118")</f>
        <v>PCA9540BDP118</v>
      </c>
      <c r="B19976" s="3" t="s">
        <v>93</v>
      </c>
      <c r="C19976" s="6">
        <v>8301</v>
      </c>
      <c r="D19976" s="7">
        <v>2.2599999999999998</v>
      </c>
    </row>
    <row r="19977" spans="1:4" x14ac:dyDescent="0.25">
      <c r="A19977" t="str">
        <f>HYPERLINK("https://www.773grp.com/globalSearch/PCA9540BGD125/page-1", "PCA9540BGD125")</f>
        <v>PCA9540BGD125</v>
      </c>
      <c r="B19977" s="3" t="s">
        <v>93</v>
      </c>
      <c r="C19977" s="6">
        <v>3000</v>
      </c>
      <c r="D19977" s="7">
        <v>2.2599999999999998</v>
      </c>
    </row>
    <row r="19978" spans="1:4" x14ac:dyDescent="0.25">
      <c r="A19978" t="str">
        <f>HYPERLINK("https://www.773grp.com/globalSearch/PCF8574AT-3518/page-1", "PCF8574AT-3518")</f>
        <v>PCF8574AT-3518</v>
      </c>
      <c r="B19978" s="3" t="s">
        <v>93</v>
      </c>
      <c r="C19978" s="6">
        <v>1000</v>
      </c>
      <c r="D19978" s="7">
        <v>2.2599999999999998</v>
      </c>
    </row>
    <row r="19979" spans="1:4" x14ac:dyDescent="0.25">
      <c r="A19979" t="str">
        <f>HYPERLINK("https://www.773grp.com/globalSearch/PCF8574T-3518/page-1", "PCF8574T-3518")</f>
        <v>PCF8574T-3518</v>
      </c>
      <c r="B19979" s="3" t="s">
        <v>93</v>
      </c>
      <c r="C19979" s="6">
        <v>23000</v>
      </c>
      <c r="D19979" s="7">
        <v>2.2599999999999998</v>
      </c>
    </row>
    <row r="19980" spans="1:4" x14ac:dyDescent="0.25">
      <c r="A19980" t="str">
        <f>HYPERLINK("https://www.773grp.com/globalSearch/PCF8574TS-3118/page-1", "PCF8574TS-3118")</f>
        <v>PCF8574TS-3118</v>
      </c>
      <c r="B19980" s="3" t="s">
        <v>93</v>
      </c>
      <c r="C19980" s="6">
        <v>2500</v>
      </c>
      <c r="D19980" s="7">
        <v>2.2599999999999998</v>
      </c>
    </row>
    <row r="19981" spans="1:4" x14ac:dyDescent="0.25">
      <c r="A19981" t="str">
        <f>HYPERLINK("https://www.773grp.com/globalSearch/PH8030L115/page-1", "PH8030L115")</f>
        <v>PH8030L115</v>
      </c>
      <c r="B19981" s="3" t="s">
        <v>93</v>
      </c>
      <c r="C19981" s="6">
        <v>283</v>
      </c>
      <c r="D19981" s="7">
        <v>2.2599999999999998</v>
      </c>
    </row>
    <row r="19982" spans="1:4" x14ac:dyDescent="0.25">
      <c r="A19982" t="str">
        <f>HYPERLINK("https://www.773grp.com/globalSearch/PHB27NQ10T118/page-1", "PHB27NQ10T118")</f>
        <v>PHB27NQ10T118</v>
      </c>
      <c r="B19982" s="3" t="s">
        <v>93</v>
      </c>
      <c r="C19982" s="6">
        <v>5000</v>
      </c>
      <c r="D19982" s="7">
        <v>2.2599999999999998</v>
      </c>
    </row>
    <row r="19983" spans="1:4" x14ac:dyDescent="0.25">
      <c r="A19983" t="str">
        <f>HYPERLINK("https://www.773grp.com/globalSearch/TDA1517P-N3112/page-1", "TDA1517P-N3112")</f>
        <v>TDA1517P-N3112</v>
      </c>
      <c r="B19983" s="3" t="s">
        <v>93</v>
      </c>
      <c r="C19983" s="6">
        <v>2082</v>
      </c>
      <c r="D19983" s="7">
        <v>2.2599999999999998</v>
      </c>
    </row>
    <row r="19984" spans="1:4" x14ac:dyDescent="0.25">
      <c r="A19984" t="str">
        <f>HYPERLINK("https://www.773grp.com/globalSearch/UDA1334ATS-N2118/page-1", "UDA1334ATS-N2118")</f>
        <v>UDA1334ATS-N2118</v>
      </c>
      <c r="B19984" s="3" t="s">
        <v>93</v>
      </c>
      <c r="C19984" s="6">
        <v>7250</v>
      </c>
      <c r="D19984" s="7">
        <v>2.2599999999999998</v>
      </c>
    </row>
    <row r="19985" spans="1:4" x14ac:dyDescent="0.25">
      <c r="A19985" t="str">
        <f>HYPERLINK("https://www.773grp.com/globalSearch/UDA1334BTS-N2118/page-1", "UDA1334BTS-N2118")</f>
        <v>UDA1334BTS-N2118</v>
      </c>
      <c r="B19985" s="3" t="s">
        <v>93</v>
      </c>
      <c r="C19985" s="6">
        <v>5000</v>
      </c>
      <c r="D19985" s="7">
        <v>2.2599999999999998</v>
      </c>
    </row>
    <row r="19986" spans="1:4" x14ac:dyDescent="0.25">
      <c r="A19986" t="str">
        <f>HYPERLINK("https://www.773grp.com/globalSearch/74ABT240N602/page-1", "74ABT240N602")</f>
        <v>74ABT240N602</v>
      </c>
      <c r="B19986" s="3" t="s">
        <v>93</v>
      </c>
      <c r="C19986" s="6">
        <v>540</v>
      </c>
      <c r="D19986" s="7">
        <v>2.33</v>
      </c>
    </row>
    <row r="19987" spans="1:4" x14ac:dyDescent="0.25">
      <c r="A19987" t="str">
        <f>HYPERLINK("https://www.773grp.com/globalSearch/74HC191N652/page-1", "74HC191N652")</f>
        <v>74HC191N652</v>
      </c>
      <c r="B19987" s="3" t="s">
        <v>93</v>
      </c>
      <c r="C19987" s="6">
        <v>20000</v>
      </c>
      <c r="D19987" s="7">
        <v>2.33</v>
      </c>
    </row>
    <row r="19988" spans="1:4" x14ac:dyDescent="0.25">
      <c r="A19988" t="str">
        <f>HYPERLINK("https://www.773grp.com/globalSearch/74HC193N652/page-1", "74HC193N652")</f>
        <v>74HC193N652</v>
      </c>
      <c r="B19988" s="3" t="s">
        <v>93</v>
      </c>
      <c r="C19988" s="6">
        <v>23247</v>
      </c>
      <c r="D19988" s="7">
        <v>2.33</v>
      </c>
    </row>
    <row r="19989" spans="1:4" x14ac:dyDescent="0.25">
      <c r="A19989" t="str">
        <f>HYPERLINK("https://www.773grp.com/globalSearch/74HC40105D652/page-1", "74HC40105D652")</f>
        <v>74HC40105D652</v>
      </c>
      <c r="B19989" s="3" t="s">
        <v>93</v>
      </c>
      <c r="C19989" s="6">
        <v>4936</v>
      </c>
      <c r="D19989" s="7">
        <v>2.33</v>
      </c>
    </row>
    <row r="19990" spans="1:4" x14ac:dyDescent="0.25">
      <c r="A19990" t="str">
        <f>HYPERLINK("https://www.773grp.com/globalSearch/74HC40105DB112/page-1", "74HC40105DB112")</f>
        <v>74HC40105DB112</v>
      </c>
      <c r="B19990" s="3" t="s">
        <v>93</v>
      </c>
      <c r="C19990" s="6">
        <v>1187</v>
      </c>
      <c r="D19990" s="7">
        <v>2.33</v>
      </c>
    </row>
    <row r="19991" spans="1:4" x14ac:dyDescent="0.25">
      <c r="A19991" t="str">
        <f>HYPERLINK("https://www.773grp.com/globalSearch/74HC40105PW112/page-1", "74HC40105PW112")</f>
        <v>74HC40105PW112</v>
      </c>
      <c r="B19991" s="3" t="s">
        <v>93</v>
      </c>
      <c r="C19991" s="6">
        <v>672</v>
      </c>
      <c r="D19991" s="7">
        <v>2.33</v>
      </c>
    </row>
    <row r="19992" spans="1:4" x14ac:dyDescent="0.25">
      <c r="A19992" t="str">
        <f>HYPERLINK("https://www.773grp.com/globalSearch/74HC4020N652/page-1", "74HC4020N652")</f>
        <v>74HC4020N652</v>
      </c>
      <c r="B19992" s="3" t="s">
        <v>93</v>
      </c>
      <c r="C19992" s="6">
        <v>12870</v>
      </c>
      <c r="D19992" s="7">
        <v>2.33</v>
      </c>
    </row>
    <row r="19993" spans="1:4" x14ac:dyDescent="0.25">
      <c r="A19993" t="str">
        <f>HYPERLINK("https://www.773grp.com/globalSearch/74HC4024N652/page-1", "74HC4024N652")</f>
        <v>74HC4024N652</v>
      </c>
      <c r="B19993" s="3" t="s">
        <v>93</v>
      </c>
      <c r="C19993" s="6">
        <v>5109</v>
      </c>
      <c r="D19993" s="7">
        <v>2.33</v>
      </c>
    </row>
    <row r="19994" spans="1:4" x14ac:dyDescent="0.25">
      <c r="A19994" t="str">
        <f>HYPERLINK("https://www.773grp.com/globalSearch/74HC540N652/page-1", "74HC540N652")</f>
        <v>74HC540N652</v>
      </c>
      <c r="B19994" s="3" t="s">
        <v>93</v>
      </c>
      <c r="C19994" s="6">
        <v>7525</v>
      </c>
      <c r="D19994" s="7">
        <v>2.33</v>
      </c>
    </row>
    <row r="19995" spans="1:4" x14ac:dyDescent="0.25">
      <c r="A19995" t="str">
        <f>HYPERLINK("https://www.773grp.com/globalSearch/74HCT191N652/page-1", "74HCT191N652")</f>
        <v>74HCT191N652</v>
      </c>
      <c r="B19995" s="3" t="s">
        <v>93</v>
      </c>
      <c r="C19995" s="6">
        <v>4000</v>
      </c>
      <c r="D19995" s="7">
        <v>2.33</v>
      </c>
    </row>
    <row r="19996" spans="1:4" x14ac:dyDescent="0.25">
      <c r="A19996" t="str">
        <f>HYPERLINK("https://www.773grp.com/globalSearch/74HCT193N652/page-1", "74HCT193N652")</f>
        <v>74HCT193N652</v>
      </c>
      <c r="B19996" s="3" t="s">
        <v>93</v>
      </c>
      <c r="C19996" s="6">
        <v>3000</v>
      </c>
      <c r="D19996" s="7">
        <v>2.33</v>
      </c>
    </row>
    <row r="19997" spans="1:4" x14ac:dyDescent="0.25">
      <c r="A19997" t="str">
        <f>HYPERLINK("https://www.773grp.com/globalSearch/74HCT40105D118/page-1", "74HCT40105D118")</f>
        <v>74HCT40105D118</v>
      </c>
      <c r="B19997" s="3" t="s">
        <v>93</v>
      </c>
      <c r="C19997" s="6">
        <v>7500</v>
      </c>
      <c r="D19997" s="7">
        <v>2.33</v>
      </c>
    </row>
    <row r="19998" spans="1:4" x14ac:dyDescent="0.25">
      <c r="A19998" t="str">
        <f>HYPERLINK("https://www.773grp.com/globalSearch/74HCT4020N652/page-1", "74HCT4020N652")</f>
        <v>74HCT4020N652</v>
      </c>
      <c r="B19998" s="3" t="s">
        <v>93</v>
      </c>
      <c r="C19998" s="6">
        <v>1215</v>
      </c>
      <c r="D19998" s="7">
        <v>2.33</v>
      </c>
    </row>
    <row r="19999" spans="1:4" x14ac:dyDescent="0.25">
      <c r="A19999" t="str">
        <f>HYPERLINK("https://www.773grp.com/globalSearch/74LV123N112/page-1", "74LV123N112")</f>
        <v>74LV123N112</v>
      </c>
      <c r="B19999" s="3" t="s">
        <v>93</v>
      </c>
      <c r="C19999" s="6">
        <v>3000</v>
      </c>
      <c r="D19999" s="7">
        <v>2.33</v>
      </c>
    </row>
    <row r="20000" spans="1:4" x14ac:dyDescent="0.25">
      <c r="A20000" t="str">
        <f>HYPERLINK("https://www.773grp.com/globalSearch/74LV125N112/page-1", "74LV125N112")</f>
        <v>74LV125N112</v>
      </c>
      <c r="B20000" s="3" t="s">
        <v>93</v>
      </c>
      <c r="C20000" s="6">
        <v>1800</v>
      </c>
      <c r="D20000" s="7">
        <v>2.33</v>
      </c>
    </row>
    <row r="20001" spans="1:4" x14ac:dyDescent="0.25">
      <c r="A20001" t="str">
        <f>HYPERLINK("https://www.773grp.com/globalSearch/74LV132N112/page-1", "74LV132N112")</f>
        <v>74LV132N112</v>
      </c>
      <c r="B20001" s="3" t="s">
        <v>93</v>
      </c>
      <c r="C20001" s="6">
        <v>2000</v>
      </c>
      <c r="D20001" s="7">
        <v>2.33</v>
      </c>
    </row>
    <row r="20002" spans="1:4" x14ac:dyDescent="0.25">
      <c r="A20002" t="str">
        <f>HYPERLINK("https://www.773grp.com/globalSearch/74LV138N112/page-1", "74LV138N112")</f>
        <v>74LV138N112</v>
      </c>
      <c r="B20002" s="3" t="s">
        <v>93</v>
      </c>
      <c r="C20002" s="6">
        <v>2000</v>
      </c>
      <c r="D20002" s="7">
        <v>2.33</v>
      </c>
    </row>
    <row r="20003" spans="1:4" x14ac:dyDescent="0.25">
      <c r="A20003" t="str">
        <f>HYPERLINK("https://www.773grp.com/globalSearch/74LV139N112/page-1", "74LV139N112")</f>
        <v>74LV139N112</v>
      </c>
      <c r="B20003" s="3" t="s">
        <v>93</v>
      </c>
      <c r="C20003" s="6">
        <v>2000</v>
      </c>
      <c r="D20003" s="7">
        <v>2.33</v>
      </c>
    </row>
    <row r="20004" spans="1:4" x14ac:dyDescent="0.25">
      <c r="A20004" t="str">
        <f>HYPERLINK("https://www.773grp.com/globalSearch/HEF4528BP652/page-1", "HEF4528BP652")</f>
        <v>HEF4528BP652</v>
      </c>
      <c r="B20004" s="3" t="s">
        <v>93</v>
      </c>
      <c r="C20004" s="6">
        <v>5698</v>
      </c>
      <c r="D20004" s="7">
        <v>2.33</v>
      </c>
    </row>
    <row r="20005" spans="1:4" x14ac:dyDescent="0.25">
      <c r="A20005" t="str">
        <f>HYPERLINK("https://www.773grp.com/globalSearch/HEF4538BP652/page-1", "HEF4538BP652")</f>
        <v>HEF4538BP652</v>
      </c>
      <c r="B20005" s="3" t="s">
        <v>93</v>
      </c>
      <c r="C20005" s="6">
        <v>2000</v>
      </c>
      <c r="D20005" s="7">
        <v>2.33</v>
      </c>
    </row>
    <row r="20006" spans="1:4" x14ac:dyDescent="0.25">
      <c r="A20006" t="str">
        <f>HYPERLINK("https://www.773grp.com/globalSearch/N74F138N602/page-1", "N74F138N602")</f>
        <v>N74F138N602</v>
      </c>
      <c r="B20006" s="3" t="s">
        <v>93</v>
      </c>
      <c r="C20006" s="6">
        <v>4000</v>
      </c>
      <c r="D20006" s="7">
        <v>2.33</v>
      </c>
    </row>
    <row r="20007" spans="1:4" x14ac:dyDescent="0.25">
      <c r="A20007" t="str">
        <f>HYPERLINK("https://www.773grp.com/globalSearch/PCA9509ADP118/page-1", "PCA9509ADP118")</f>
        <v>PCA9509ADP118</v>
      </c>
      <c r="B20007" s="3" t="s">
        <v>93</v>
      </c>
      <c r="C20007" s="6">
        <v>2500</v>
      </c>
      <c r="D20007" s="7">
        <v>2.33</v>
      </c>
    </row>
    <row r="20008" spans="1:4" x14ac:dyDescent="0.25">
      <c r="A20008" t="str">
        <f>HYPERLINK("https://www.773grp.com/globalSearch/PCA9509D118/page-1", "PCA9509D118")</f>
        <v>PCA9509D118</v>
      </c>
      <c r="B20008" s="3" t="s">
        <v>93</v>
      </c>
      <c r="C20008" s="6">
        <v>35</v>
      </c>
      <c r="D20008" s="7">
        <v>2.33</v>
      </c>
    </row>
    <row r="20009" spans="1:4" x14ac:dyDescent="0.25">
      <c r="A20009" t="str">
        <f>HYPERLINK("https://www.773grp.com/globalSearch/PCA9509DP118/page-1", "PCA9509DP118")</f>
        <v>PCA9509DP118</v>
      </c>
      <c r="B20009" s="3" t="s">
        <v>93</v>
      </c>
      <c r="C20009" s="6">
        <v>10000</v>
      </c>
      <c r="D20009" s="7">
        <v>2.33</v>
      </c>
    </row>
    <row r="20010" spans="1:4" x14ac:dyDescent="0.25">
      <c r="A20010" t="str">
        <f>HYPERLINK("https://www.773grp.com/globalSearch/PCA9515AD118/page-1", "PCA9515AD118")</f>
        <v>PCA9515AD118</v>
      </c>
      <c r="B20010" s="3" t="s">
        <v>93</v>
      </c>
      <c r="C20010" s="6">
        <v>3774</v>
      </c>
      <c r="D20010" s="7">
        <v>2.33</v>
      </c>
    </row>
    <row r="20011" spans="1:4" x14ac:dyDescent="0.25">
      <c r="A20011" t="str">
        <f>HYPERLINK("https://www.773grp.com/globalSearch/PCA9515DP118/page-1", "PCA9515DP118")</f>
        <v>PCA9515DP118</v>
      </c>
      <c r="B20011" s="3" t="s">
        <v>93</v>
      </c>
      <c r="C20011" s="6">
        <v>10000</v>
      </c>
      <c r="D20011" s="7">
        <v>2.33</v>
      </c>
    </row>
    <row r="20012" spans="1:4" x14ac:dyDescent="0.25">
      <c r="A20012" t="str">
        <f>HYPERLINK("https://www.773grp.com/globalSearch/PCA9517D112/page-1", "PCA9517D112")</f>
        <v>PCA9517D112</v>
      </c>
      <c r="B20012" s="3" t="s">
        <v>93</v>
      </c>
      <c r="C20012" s="6">
        <v>2809</v>
      </c>
      <c r="D20012" s="7">
        <v>2.33</v>
      </c>
    </row>
    <row r="20013" spans="1:4" x14ac:dyDescent="0.25">
      <c r="A20013" t="str">
        <f>HYPERLINK("https://www.773grp.com/globalSearch/PCA9559PW112/page-1", "PCA9559PW112")</f>
        <v>PCA9559PW112</v>
      </c>
      <c r="B20013" s="3" t="s">
        <v>93</v>
      </c>
      <c r="C20013" s="6">
        <v>2750</v>
      </c>
      <c r="D20013" s="7">
        <v>2.33</v>
      </c>
    </row>
    <row r="20014" spans="1:4" x14ac:dyDescent="0.25">
      <c r="A20014" t="str">
        <f>HYPERLINK("https://www.773grp.com/globalSearch/PCA9560PW112/page-1", "PCA9560PW112")</f>
        <v>PCA9560PW112</v>
      </c>
      <c r="B20014" s="3" t="s">
        <v>93</v>
      </c>
      <c r="C20014" s="6">
        <v>745</v>
      </c>
      <c r="D20014" s="7">
        <v>2.33</v>
      </c>
    </row>
    <row r="20015" spans="1:4" x14ac:dyDescent="0.25">
      <c r="A20015" t="str">
        <f>HYPERLINK("https://www.773grp.com/globalSearch/PCA9561PW118/page-1", "PCA9561PW118")</f>
        <v>PCA9561PW118</v>
      </c>
      <c r="B20015" s="3" t="s">
        <v>93</v>
      </c>
      <c r="C20015" s="6">
        <v>2500</v>
      </c>
      <c r="D20015" s="7">
        <v>2.33</v>
      </c>
    </row>
    <row r="20016" spans="1:4" x14ac:dyDescent="0.25">
      <c r="A20016" t="str">
        <f>HYPERLINK("https://www.773grp.com/globalSearch/PCF8594C-2T-02112/page-1", "PCF8594C-2T-02112")</f>
        <v>PCF8594C-2T-02112</v>
      </c>
      <c r="B20016" s="3" t="s">
        <v>93</v>
      </c>
      <c r="C20016" s="6">
        <v>3348</v>
      </c>
      <c r="D20016" s="7">
        <v>2.33</v>
      </c>
    </row>
    <row r="20017" spans="1:4" x14ac:dyDescent="0.25">
      <c r="A20017" t="str">
        <f>HYPERLINK("https://www.773grp.com/globalSearch/PHK31NQ03LT518/page-1", "PHK31NQ03LT518")</f>
        <v>PHK31NQ03LT518</v>
      </c>
      <c r="B20017" s="3" t="s">
        <v>93</v>
      </c>
      <c r="C20017" s="6">
        <v>12123</v>
      </c>
      <c r="D20017" s="7">
        <v>2.33</v>
      </c>
    </row>
    <row r="20018" spans="1:4" x14ac:dyDescent="0.25">
      <c r="A20018" t="str">
        <f>HYPERLINK("https://www.773grp.com/globalSearch/PHP27NQ11T127/page-1", "PHP27NQ11T127")</f>
        <v>PHP27NQ11T127</v>
      </c>
      <c r="B20018" s="3" t="s">
        <v>93</v>
      </c>
      <c r="C20018" s="6">
        <v>4011</v>
      </c>
      <c r="D20018" s="7">
        <v>2.33</v>
      </c>
    </row>
    <row r="20019" spans="1:4" x14ac:dyDescent="0.25">
      <c r="A20019" t="str">
        <f>HYPERLINK("https://www.773grp.com/globalSearch/74HC4538N652/page-1", "74HC4538N652")</f>
        <v>74HC4538N652</v>
      </c>
      <c r="B20019" s="3" t="s">
        <v>93</v>
      </c>
      <c r="C20019" s="6">
        <v>12000</v>
      </c>
      <c r="D20019" s="7">
        <v>2.38</v>
      </c>
    </row>
    <row r="20020" spans="1:4" x14ac:dyDescent="0.25">
      <c r="A20020" t="str">
        <f>HYPERLINK("https://www.773grp.com/globalSearch/74HC7540DB118/page-1", "74HC7540DB118")</f>
        <v>74HC7540DB118</v>
      </c>
      <c r="B20020" s="3" t="s">
        <v>93</v>
      </c>
      <c r="C20020" s="6">
        <v>1000</v>
      </c>
      <c r="D20020" s="7">
        <v>2.38</v>
      </c>
    </row>
    <row r="20021" spans="1:4" x14ac:dyDescent="0.25">
      <c r="A20021" t="str">
        <f>HYPERLINK("https://www.773grp.com/globalSearch/74HC7541D118/page-1", "74HC7541D118")</f>
        <v>74HC7541D118</v>
      </c>
      <c r="B20021" s="3" t="s">
        <v>93</v>
      </c>
      <c r="C20021" s="6">
        <v>512</v>
      </c>
      <c r="D20021" s="7">
        <v>2.38</v>
      </c>
    </row>
    <row r="20022" spans="1:4" x14ac:dyDescent="0.25">
      <c r="A20022" t="str">
        <f>HYPERLINK("https://www.773grp.com/globalSearch/74HCT4538N112/page-1", "74HCT4538N112")</f>
        <v>74HCT4538N112</v>
      </c>
      <c r="B20022" s="3" t="s">
        <v>93</v>
      </c>
      <c r="C20022" s="6">
        <v>4000</v>
      </c>
      <c r="D20022" s="7">
        <v>2.38</v>
      </c>
    </row>
    <row r="20023" spans="1:4" x14ac:dyDescent="0.25">
      <c r="A20023" t="str">
        <f>HYPERLINK("https://www.773grp.com/globalSearch/BUK7513-75B127/page-1", "BUK7513-75B127")</f>
        <v>BUK7513-75B127</v>
      </c>
      <c r="B20023" s="3" t="s">
        <v>93</v>
      </c>
      <c r="C20023" s="6">
        <v>78</v>
      </c>
      <c r="D20023" s="7">
        <v>2.38</v>
      </c>
    </row>
    <row r="20024" spans="1:4" x14ac:dyDescent="0.25">
      <c r="A20024" t="str">
        <f>HYPERLINK("https://www.773grp.com/globalSearch/BUK9640-100A118/page-1", "BUK9640-100A118")</f>
        <v>BUK9640-100A118</v>
      </c>
      <c r="B20024" s="3" t="s">
        <v>93</v>
      </c>
      <c r="C20024" s="6">
        <v>4000</v>
      </c>
      <c r="D20024" s="7">
        <v>2.38</v>
      </c>
    </row>
    <row r="20025" spans="1:4" x14ac:dyDescent="0.25">
      <c r="A20025" t="str">
        <f>HYPERLINK("https://www.773grp.com/globalSearch/BYV42EB-200118/page-1", "BYV42EB-200118")</f>
        <v>BYV42EB-200118</v>
      </c>
      <c r="B20025" s="3" t="s">
        <v>93</v>
      </c>
      <c r="C20025" s="6">
        <v>5600</v>
      </c>
      <c r="D20025" s="7">
        <v>2.38</v>
      </c>
    </row>
    <row r="20026" spans="1:4" x14ac:dyDescent="0.25">
      <c r="A20026" t="str">
        <f>HYPERLINK("https://www.773grp.com/globalSearch/CBTL06122AHF518/page-1", "CBTL06122AHF518")</f>
        <v>CBTL06122AHF518</v>
      </c>
      <c r="B20026" s="3" t="s">
        <v>93</v>
      </c>
      <c r="C20026" s="6">
        <v>3535</v>
      </c>
      <c r="D20026" s="7">
        <v>2.38</v>
      </c>
    </row>
    <row r="20027" spans="1:4" x14ac:dyDescent="0.25">
      <c r="A20027" t="str">
        <f>HYPERLINK("https://www.773grp.com/globalSearch/HEF4046BP652/page-1", "HEF4046BP652")</f>
        <v>HEF4046BP652</v>
      </c>
      <c r="B20027" s="3" t="s">
        <v>93</v>
      </c>
      <c r="C20027" s="6">
        <v>7000</v>
      </c>
      <c r="D20027" s="7">
        <v>2.38</v>
      </c>
    </row>
    <row r="20028" spans="1:4" x14ac:dyDescent="0.25">
      <c r="A20028" t="str">
        <f>HYPERLINK("https://www.773grp.com/globalSearch/HTMS1201FTK-AF115/page-1", "HTMS1201FTK-AF115")</f>
        <v>HTMS1201FTK-AF115</v>
      </c>
      <c r="B20028" s="3" t="s">
        <v>93</v>
      </c>
      <c r="C20028" s="6">
        <v>150</v>
      </c>
      <c r="D20028" s="7">
        <v>2.38</v>
      </c>
    </row>
    <row r="20029" spans="1:4" x14ac:dyDescent="0.25">
      <c r="A20029" t="str">
        <f>HYPERLINK("https://www.773grp.com/globalSearch/IP4855CX25-P135/page-1", "IP4855CX25-P135")</f>
        <v>IP4855CX25-P135</v>
      </c>
      <c r="B20029" s="3" t="s">
        <v>93</v>
      </c>
      <c r="C20029" s="6">
        <v>4500</v>
      </c>
      <c r="D20029" s="7">
        <v>2.38</v>
      </c>
    </row>
    <row r="20030" spans="1:4" x14ac:dyDescent="0.25">
      <c r="A20030" t="str">
        <f>HYPERLINK("https://www.773grp.com/globalSearch/N74F194N602/page-1", "N74F194N602")</f>
        <v>N74F194N602</v>
      </c>
      <c r="B20030" s="3" t="s">
        <v>93</v>
      </c>
      <c r="C20030" s="6">
        <v>1000</v>
      </c>
      <c r="D20030" s="7">
        <v>2.38</v>
      </c>
    </row>
    <row r="20031" spans="1:4" x14ac:dyDescent="0.25">
      <c r="A20031" t="str">
        <f>HYPERLINK("https://www.773grp.com/globalSearch/PCF8563BS-4118/page-1", "PCF8563BS-4118")</f>
        <v>PCF8563BS-4118</v>
      </c>
      <c r="B20031" s="3" t="s">
        <v>93</v>
      </c>
      <c r="C20031" s="6">
        <v>24000</v>
      </c>
      <c r="D20031" s="7">
        <v>2.38</v>
      </c>
    </row>
    <row r="20032" spans="1:4" x14ac:dyDescent="0.25">
      <c r="A20032" t="str">
        <f>HYPERLINK("https://www.773grp.com/globalSearch/PSMN4R5-40PS127/page-1", "PSMN4R5-40PS127")</f>
        <v>PSMN4R5-40PS127</v>
      </c>
      <c r="B20032" s="3" t="s">
        <v>93</v>
      </c>
      <c r="C20032" s="6">
        <v>5000</v>
      </c>
      <c r="D20032" s="7">
        <v>2.38</v>
      </c>
    </row>
    <row r="20033" spans="1:4" x14ac:dyDescent="0.25">
      <c r="A20033" t="str">
        <f>HYPERLINK("https://www.773grp.com/globalSearch/74HC4002N652/page-1", "74HC4002N652")</f>
        <v>74HC4002N652</v>
      </c>
      <c r="B20033" s="3" t="s">
        <v>93</v>
      </c>
      <c r="C20033" s="6">
        <v>6158</v>
      </c>
      <c r="D20033" s="7">
        <v>2.4300000000000002</v>
      </c>
    </row>
    <row r="20034" spans="1:4" x14ac:dyDescent="0.25">
      <c r="A20034" t="str">
        <f>HYPERLINK("https://www.773grp.com/globalSearch/BTA216X-800B127/page-1", "BTA216X-800B127")</f>
        <v>BTA216X-800B127</v>
      </c>
      <c r="B20034" s="3" t="s">
        <v>93</v>
      </c>
      <c r="C20034" s="6">
        <v>3467</v>
      </c>
      <c r="D20034" s="7">
        <v>2.4300000000000002</v>
      </c>
    </row>
    <row r="20035" spans="1:4" x14ac:dyDescent="0.25">
      <c r="A20035" t="str">
        <f>HYPERLINK("https://www.773grp.com/globalSearch/BUK624R5-30C118/page-1", "BUK624R5-30C118")</f>
        <v>BUK624R5-30C118</v>
      </c>
      <c r="B20035" s="3" t="s">
        <v>93</v>
      </c>
      <c r="C20035" s="6">
        <v>150</v>
      </c>
      <c r="D20035" s="7">
        <v>2.4300000000000002</v>
      </c>
    </row>
    <row r="20036" spans="1:4" x14ac:dyDescent="0.25">
      <c r="A20036" t="str">
        <f>HYPERLINK("https://www.773grp.com/globalSearch/BUK7623-75A118/page-1", "BUK7623-75A118")</f>
        <v>BUK7623-75A118</v>
      </c>
      <c r="B20036" s="3" t="s">
        <v>93</v>
      </c>
      <c r="C20036" s="6">
        <v>4800</v>
      </c>
      <c r="D20036" s="7">
        <v>2.4300000000000002</v>
      </c>
    </row>
    <row r="20037" spans="1:4" x14ac:dyDescent="0.25">
      <c r="A20037" t="str">
        <f>HYPERLINK("https://www.773grp.com/globalSearch/BUK9507-30B127/page-1", "BUK9507-30B127")</f>
        <v>BUK9507-30B127</v>
      </c>
      <c r="B20037" s="3" t="s">
        <v>93</v>
      </c>
      <c r="C20037" s="6">
        <v>5003</v>
      </c>
      <c r="D20037" s="7">
        <v>2.4300000000000002</v>
      </c>
    </row>
    <row r="20038" spans="1:4" x14ac:dyDescent="0.25">
      <c r="A20038" t="str">
        <f>HYPERLINK("https://www.773grp.com/globalSearch/BUK9509-40B127/page-1", "BUK9509-40B127")</f>
        <v>BUK9509-40B127</v>
      </c>
      <c r="B20038" s="3" t="s">
        <v>93</v>
      </c>
      <c r="C20038" s="6">
        <v>4000</v>
      </c>
      <c r="D20038" s="7">
        <v>2.4300000000000002</v>
      </c>
    </row>
    <row r="20039" spans="1:4" x14ac:dyDescent="0.25">
      <c r="A20039" t="str">
        <f>HYPERLINK("https://www.773grp.com/globalSearch/BUK9512-55B127/page-1", "BUK9512-55B127")</f>
        <v>BUK9512-55B127</v>
      </c>
      <c r="B20039" s="3" t="s">
        <v>93</v>
      </c>
      <c r="C20039" s="6">
        <v>5000</v>
      </c>
      <c r="D20039" s="7">
        <v>2.4300000000000002</v>
      </c>
    </row>
    <row r="20040" spans="1:4" x14ac:dyDescent="0.25">
      <c r="A20040" t="str">
        <f>HYPERLINK("https://www.773grp.com/globalSearch/BUK9Y12-55B115/page-1", "BUK9Y12-55B115")</f>
        <v>BUK9Y12-55B115</v>
      </c>
      <c r="B20040" s="3" t="s">
        <v>93</v>
      </c>
      <c r="C20040" s="6">
        <v>150</v>
      </c>
      <c r="D20040" s="7">
        <v>2.4300000000000002</v>
      </c>
    </row>
    <row r="20041" spans="1:4" x14ac:dyDescent="0.25">
      <c r="A20041" t="str">
        <f>HYPERLINK("https://www.773grp.com/globalSearch/BYV42G-200127/page-1", "BYV42G-200127")</f>
        <v>BYV42G-200127</v>
      </c>
      <c r="B20041" s="3" t="s">
        <v>93</v>
      </c>
      <c r="C20041" s="6">
        <v>1000</v>
      </c>
      <c r="D20041" s="7">
        <v>2.4300000000000002</v>
      </c>
    </row>
    <row r="20042" spans="1:4" x14ac:dyDescent="0.25">
      <c r="A20042" t="str">
        <f>HYPERLINK("https://www.773grp.com/globalSearch/HEF4068BP652/page-1", "HEF4068BP652")</f>
        <v>HEF4068BP652</v>
      </c>
      <c r="B20042" s="3" t="s">
        <v>93</v>
      </c>
      <c r="C20042" s="6">
        <v>17188</v>
      </c>
      <c r="D20042" s="7">
        <v>2.4300000000000002</v>
      </c>
    </row>
    <row r="20043" spans="1:4" x14ac:dyDescent="0.25">
      <c r="A20043" t="str">
        <f>HYPERLINK("https://www.773grp.com/globalSearch/HEF4794BT118/page-1", "HEF4794BT118")</f>
        <v>HEF4794BT118</v>
      </c>
      <c r="B20043" s="3" t="s">
        <v>93</v>
      </c>
      <c r="C20043" s="6">
        <v>2536</v>
      </c>
      <c r="D20043" s="7">
        <v>2.4300000000000002</v>
      </c>
    </row>
    <row r="20044" spans="1:4" x14ac:dyDescent="0.25">
      <c r="A20044" t="str">
        <f>HYPERLINK("https://www.773grp.com/globalSearch/N74F299N602/page-1", "N74F299N602")</f>
        <v>N74F299N602</v>
      </c>
      <c r="B20044" s="3" t="s">
        <v>93</v>
      </c>
      <c r="C20044" s="6">
        <v>720</v>
      </c>
      <c r="D20044" s="7">
        <v>2.4300000000000002</v>
      </c>
    </row>
    <row r="20045" spans="1:4" x14ac:dyDescent="0.25">
      <c r="A20045" t="str">
        <f>HYPERLINK("https://www.773grp.com/globalSearch/PSMN8R7-80BS118/page-1", "PSMN8R7-80BS118")</f>
        <v>PSMN8R7-80BS118</v>
      </c>
      <c r="B20045" s="3" t="s">
        <v>93</v>
      </c>
      <c r="C20045" s="6">
        <v>146</v>
      </c>
      <c r="D20045" s="7">
        <v>2.4300000000000002</v>
      </c>
    </row>
    <row r="20046" spans="1:4" x14ac:dyDescent="0.25">
      <c r="A20046" t="str">
        <f>HYPERLINK("https://www.773grp.com/globalSearch/PTN3380BBS518/page-1", "PTN3380BBS518")</f>
        <v>PTN3380BBS518</v>
      </c>
      <c r="B20046" s="3" t="s">
        <v>93</v>
      </c>
      <c r="C20046" s="6">
        <v>7011</v>
      </c>
      <c r="D20046" s="7">
        <v>2.4300000000000002</v>
      </c>
    </row>
    <row r="20047" spans="1:4" x14ac:dyDescent="0.25">
      <c r="A20047" t="str">
        <f>HYPERLINK("https://www.773grp.com/globalSearch/SSL3250AHN-C1528/page-1", "SSL3250AHN-C1528")</f>
        <v>SSL3250AHN-C1528</v>
      </c>
      <c r="B20047" s="3" t="s">
        <v>93</v>
      </c>
      <c r="C20047" s="6">
        <v>12000</v>
      </c>
      <c r="D20047" s="7">
        <v>2.4300000000000002</v>
      </c>
    </row>
    <row r="20048" spans="1:4" x14ac:dyDescent="0.25">
      <c r="A20048" t="str">
        <f>HYPERLINK("https://www.773grp.com/globalSearch/TJA1020T-VM112/page-1", "TJA1020T-VM112")</f>
        <v>TJA1020T-VM112</v>
      </c>
      <c r="B20048" s="3" t="s">
        <v>93</v>
      </c>
      <c r="C20048" s="6">
        <v>6000</v>
      </c>
      <c r="D20048" s="7">
        <v>2.4300000000000002</v>
      </c>
    </row>
    <row r="20049" spans="1:4" x14ac:dyDescent="0.25">
      <c r="A20049" t="str">
        <f>HYPERLINK("https://www.773grp.com/globalSearch/74HC161N652/page-1", "74HC161N652")</f>
        <v>74HC161N652</v>
      </c>
      <c r="B20049" s="3" t="s">
        <v>93</v>
      </c>
      <c r="C20049" s="6">
        <v>15635</v>
      </c>
      <c r="D20049" s="7">
        <v>2.48</v>
      </c>
    </row>
    <row r="20050" spans="1:4" x14ac:dyDescent="0.25">
      <c r="A20050" t="str">
        <f>HYPERLINK("https://www.773grp.com/globalSearch/74HC163N652/page-1", "74HC163N652")</f>
        <v>74HC163N652</v>
      </c>
      <c r="B20050" s="3" t="s">
        <v>93</v>
      </c>
      <c r="C20050" s="6">
        <v>2984</v>
      </c>
      <c r="D20050" s="7">
        <v>2.48</v>
      </c>
    </row>
    <row r="20051" spans="1:4" x14ac:dyDescent="0.25">
      <c r="A20051" t="str">
        <f>HYPERLINK("https://www.773grp.com/globalSearch/74HC194N652/page-1", "74HC194N652")</f>
        <v>74HC194N652</v>
      </c>
      <c r="B20051" s="3" t="s">
        <v>93</v>
      </c>
      <c r="C20051" s="6">
        <v>5000</v>
      </c>
      <c r="D20051" s="7">
        <v>2.48</v>
      </c>
    </row>
    <row r="20052" spans="1:4" x14ac:dyDescent="0.25">
      <c r="A20052" t="str">
        <f>HYPERLINK("https://www.773grp.com/globalSearch/74HC365N652/page-1", "74HC365N652")</f>
        <v>74HC365N652</v>
      </c>
      <c r="B20052" s="3" t="s">
        <v>93</v>
      </c>
      <c r="C20052" s="6">
        <v>7510</v>
      </c>
      <c r="D20052" s="7">
        <v>2.48</v>
      </c>
    </row>
    <row r="20053" spans="1:4" x14ac:dyDescent="0.25">
      <c r="A20053" t="str">
        <f>HYPERLINK("https://www.773grp.com/globalSearch/74HC367N652/page-1", "74HC367N652")</f>
        <v>74HC367N652</v>
      </c>
      <c r="B20053" s="3" t="s">
        <v>93</v>
      </c>
      <c r="C20053" s="6">
        <v>5265</v>
      </c>
      <c r="D20053" s="7">
        <v>2.48</v>
      </c>
    </row>
    <row r="20054" spans="1:4" x14ac:dyDescent="0.25">
      <c r="A20054" t="str">
        <f>HYPERLINK("https://www.773grp.com/globalSearch/74HC368N652/page-1", "74HC368N652")</f>
        <v>74HC368N652</v>
      </c>
      <c r="B20054" s="3" t="s">
        <v>93</v>
      </c>
      <c r="C20054" s="6">
        <v>6925</v>
      </c>
      <c r="D20054" s="7">
        <v>2.48</v>
      </c>
    </row>
    <row r="20055" spans="1:4" x14ac:dyDescent="0.25">
      <c r="A20055" t="str">
        <f>HYPERLINK("https://www.773grp.com/globalSearch/74HC4015N652/page-1", "74HC4015N652")</f>
        <v>74HC4015N652</v>
      </c>
      <c r="B20055" s="3" t="s">
        <v>93</v>
      </c>
      <c r="C20055" s="6">
        <v>1000</v>
      </c>
      <c r="D20055" s="7">
        <v>2.48</v>
      </c>
    </row>
    <row r="20056" spans="1:4" x14ac:dyDescent="0.25">
      <c r="A20056" t="str">
        <f>HYPERLINK("https://www.773grp.com/globalSearch/74HC4040N652/page-1", "74HC4040N652")</f>
        <v>74HC4040N652</v>
      </c>
      <c r="B20056" s="3" t="s">
        <v>93</v>
      </c>
      <c r="C20056" s="6">
        <v>3000</v>
      </c>
      <c r="D20056" s="7">
        <v>2.48</v>
      </c>
    </row>
    <row r="20057" spans="1:4" x14ac:dyDescent="0.25">
      <c r="A20057" t="str">
        <f>HYPERLINK("https://www.773grp.com/globalSearch/74HC4060N652/page-1", "74HC4060N652")</f>
        <v>74HC4060N652</v>
      </c>
      <c r="B20057" s="3" t="s">
        <v>93</v>
      </c>
      <c r="C20057" s="6">
        <v>7550</v>
      </c>
      <c r="D20057" s="7">
        <v>2.48</v>
      </c>
    </row>
    <row r="20058" spans="1:4" x14ac:dyDescent="0.25">
      <c r="A20058" t="str">
        <f>HYPERLINK("https://www.773grp.com/globalSearch/74HC58N652/page-1", "74HC58N652")</f>
        <v>74HC58N652</v>
      </c>
      <c r="B20058" s="3" t="s">
        <v>93</v>
      </c>
      <c r="C20058" s="6">
        <v>12877</v>
      </c>
      <c r="D20058" s="7">
        <v>2.48</v>
      </c>
    </row>
    <row r="20059" spans="1:4" x14ac:dyDescent="0.25">
      <c r="A20059" t="str">
        <f>HYPERLINK("https://www.773grp.com/globalSearch/74HC597N652/page-1", "74HC597N652")</f>
        <v>74HC597N652</v>
      </c>
      <c r="B20059" s="3" t="s">
        <v>93</v>
      </c>
      <c r="C20059" s="6">
        <v>5052</v>
      </c>
      <c r="D20059" s="7">
        <v>2.48</v>
      </c>
    </row>
    <row r="20060" spans="1:4" x14ac:dyDescent="0.25">
      <c r="A20060" t="str">
        <f>HYPERLINK("https://www.773grp.com/globalSearch/74HCT161N652/page-1", "74HCT161N652")</f>
        <v>74HCT161N652</v>
      </c>
      <c r="B20060" s="3" t="s">
        <v>93</v>
      </c>
      <c r="C20060" s="6">
        <v>5500</v>
      </c>
      <c r="D20060" s="7">
        <v>2.48</v>
      </c>
    </row>
    <row r="20061" spans="1:4" x14ac:dyDescent="0.25">
      <c r="A20061" t="str">
        <f>HYPERLINK("https://www.773grp.com/globalSearch/74HCT163N652/page-1", "74HCT163N652")</f>
        <v>74HCT163N652</v>
      </c>
      <c r="B20061" s="3" t="s">
        <v>93</v>
      </c>
      <c r="C20061" s="6">
        <v>7810</v>
      </c>
      <c r="D20061" s="7">
        <v>2.48</v>
      </c>
    </row>
    <row r="20062" spans="1:4" x14ac:dyDescent="0.25">
      <c r="A20062" t="str">
        <f>HYPERLINK("https://www.773grp.com/globalSearch/74HCT194N652/page-1", "74HCT194N652")</f>
        <v>74HCT194N652</v>
      </c>
      <c r="B20062" s="3" t="s">
        <v>93</v>
      </c>
      <c r="C20062" s="6">
        <v>4955</v>
      </c>
      <c r="D20062" s="7">
        <v>2.48</v>
      </c>
    </row>
    <row r="20063" spans="1:4" x14ac:dyDescent="0.25">
      <c r="A20063" t="str">
        <f>HYPERLINK("https://www.773grp.com/globalSearch/74HCT365N652/page-1", "74HCT365N652")</f>
        <v>74HCT365N652</v>
      </c>
      <c r="B20063" s="3" t="s">
        <v>93</v>
      </c>
      <c r="C20063" s="6">
        <v>2000</v>
      </c>
      <c r="D20063" s="7">
        <v>2.48</v>
      </c>
    </row>
    <row r="20064" spans="1:4" x14ac:dyDescent="0.25">
      <c r="A20064" t="str">
        <f>HYPERLINK("https://www.773grp.com/globalSearch/74HCT367N652/page-1", "74HCT367N652")</f>
        <v>74HCT367N652</v>
      </c>
      <c r="B20064" s="3" t="s">
        <v>93</v>
      </c>
      <c r="C20064" s="6">
        <v>5749</v>
      </c>
      <c r="D20064" s="7">
        <v>2.48</v>
      </c>
    </row>
    <row r="20065" spans="1:4" x14ac:dyDescent="0.25">
      <c r="A20065" t="str">
        <f>HYPERLINK("https://www.773grp.com/globalSearch/74HCT4040N652/page-1", "74HCT4040N652")</f>
        <v>74HCT4040N652</v>
      </c>
      <c r="B20065" s="3" t="s">
        <v>93</v>
      </c>
      <c r="C20065" s="6">
        <v>1784</v>
      </c>
      <c r="D20065" s="7">
        <v>2.48</v>
      </c>
    </row>
    <row r="20066" spans="1:4" x14ac:dyDescent="0.25">
      <c r="A20066" t="str">
        <f>HYPERLINK("https://www.773grp.com/globalSearch/74HCT4060N652/page-1", "74HCT4060N652")</f>
        <v>74HCT4060N652</v>
      </c>
      <c r="B20066" s="3" t="s">
        <v>93</v>
      </c>
      <c r="C20066" s="6">
        <v>1031</v>
      </c>
      <c r="D20066" s="7">
        <v>2.48</v>
      </c>
    </row>
    <row r="20067" spans="1:4" x14ac:dyDescent="0.25">
      <c r="A20067" t="str">
        <f>HYPERLINK("https://www.773grp.com/globalSearch/74LVC8T245BQ118/page-1", "74LVC8T245BQ118")</f>
        <v>74LVC8T245BQ118</v>
      </c>
      <c r="B20067" s="3" t="s">
        <v>93</v>
      </c>
      <c r="C20067" s="6">
        <v>3000</v>
      </c>
      <c r="D20067" s="7">
        <v>2.48</v>
      </c>
    </row>
    <row r="20068" spans="1:4" x14ac:dyDescent="0.25">
      <c r="A20068" t="str">
        <f>HYPERLINK("https://www.773grp.com/globalSearch/BUK7212-55B118/page-1", "BUK7212-55B118")</f>
        <v>BUK7212-55B118</v>
      </c>
      <c r="B20068" s="3" t="s">
        <v>93</v>
      </c>
      <c r="C20068" s="6">
        <v>10000</v>
      </c>
      <c r="D20068" s="7">
        <v>2.48</v>
      </c>
    </row>
    <row r="20069" spans="1:4" x14ac:dyDescent="0.25">
      <c r="A20069" t="str">
        <f>HYPERLINK("https://www.773grp.com/globalSearch/BUK7514-55A127/page-1", "BUK7514-55A127")</f>
        <v>BUK7514-55A127</v>
      </c>
      <c r="B20069" s="3" t="s">
        <v>93</v>
      </c>
      <c r="C20069" s="6">
        <v>7804</v>
      </c>
      <c r="D20069" s="7">
        <v>2.48</v>
      </c>
    </row>
    <row r="20070" spans="1:4" x14ac:dyDescent="0.25">
      <c r="A20070" t="str">
        <f>HYPERLINK("https://www.773grp.com/globalSearch/BUK9529-100B127/page-1", "BUK9529-100B127")</f>
        <v>BUK9529-100B127</v>
      </c>
      <c r="B20070" s="3" t="s">
        <v>93</v>
      </c>
      <c r="C20070" s="6">
        <v>3400</v>
      </c>
      <c r="D20070" s="7">
        <v>2.48</v>
      </c>
    </row>
    <row r="20071" spans="1:4" x14ac:dyDescent="0.25">
      <c r="A20071" t="str">
        <f>HYPERLINK("https://www.773grp.com/globalSearch/GTL2034PW118/page-1", "GTL2034PW118")</f>
        <v>GTL2034PW118</v>
      </c>
      <c r="B20071" s="3" t="s">
        <v>93</v>
      </c>
      <c r="C20071" s="6">
        <v>4640</v>
      </c>
      <c r="D20071" s="7">
        <v>2.48</v>
      </c>
    </row>
    <row r="20072" spans="1:4" x14ac:dyDescent="0.25">
      <c r="A20072" t="str">
        <f>HYPERLINK("https://www.773grp.com/globalSearch/N74F164N602/page-1", "N74F164N602")</f>
        <v>N74F164N602</v>
      </c>
      <c r="B20072" s="3" t="s">
        <v>93</v>
      </c>
      <c r="C20072" s="6">
        <v>3518</v>
      </c>
      <c r="D20072" s="7">
        <v>2.48</v>
      </c>
    </row>
    <row r="20073" spans="1:4" x14ac:dyDescent="0.25">
      <c r="A20073" t="str">
        <f>HYPERLINK("https://www.773grp.com/globalSearch/PCA9534BS118/page-1", "PCA9534BS118")</f>
        <v>PCA9534BS118</v>
      </c>
      <c r="B20073" s="3" t="s">
        <v>93</v>
      </c>
      <c r="C20073" s="6">
        <v>3855</v>
      </c>
      <c r="D20073" s="7">
        <v>2.48</v>
      </c>
    </row>
    <row r="20074" spans="1:4" x14ac:dyDescent="0.25">
      <c r="A20074" t="str">
        <f>HYPERLINK("https://www.773grp.com/globalSearch/PCA9534D112/page-1", "PCA9534D112")</f>
        <v>PCA9534D112</v>
      </c>
      <c r="B20074" s="3" t="s">
        <v>93</v>
      </c>
      <c r="C20074" s="6">
        <v>3166</v>
      </c>
      <c r="D20074" s="7">
        <v>2.48</v>
      </c>
    </row>
    <row r="20075" spans="1:4" x14ac:dyDescent="0.25">
      <c r="A20075" t="str">
        <f>HYPERLINK("https://www.773grp.com/globalSearch/PCA9534D118/page-1", "PCA9534D118")</f>
        <v>PCA9534D118</v>
      </c>
      <c r="B20075" s="3" t="s">
        <v>93</v>
      </c>
      <c r="C20075" s="6">
        <v>2000</v>
      </c>
      <c r="D20075" s="7">
        <v>2.48</v>
      </c>
    </row>
    <row r="20076" spans="1:4" x14ac:dyDescent="0.25">
      <c r="A20076" t="str">
        <f>HYPERLINK("https://www.773grp.com/globalSearch/PCA9534PW118/page-1", "PCA9534PW118")</f>
        <v>PCA9534PW118</v>
      </c>
      <c r="B20076" s="3" t="s">
        <v>93</v>
      </c>
      <c r="C20076" s="6">
        <v>6789</v>
      </c>
      <c r="D20076" s="7">
        <v>2.48</v>
      </c>
    </row>
    <row r="20077" spans="1:4" x14ac:dyDescent="0.25">
      <c r="A20077" t="str">
        <f>HYPERLINK("https://www.773grp.com/globalSearch/PCA9538BS118/page-1", "PCA9538BS118")</f>
        <v>PCA9538BS118</v>
      </c>
      <c r="B20077" s="3" t="s">
        <v>93</v>
      </c>
      <c r="C20077" s="6">
        <v>6000</v>
      </c>
      <c r="D20077" s="7">
        <v>2.48</v>
      </c>
    </row>
    <row r="20078" spans="1:4" x14ac:dyDescent="0.25">
      <c r="A20078" t="str">
        <f>HYPERLINK("https://www.773grp.com/globalSearch/PCA9538D112/page-1", "PCA9538D112")</f>
        <v>PCA9538D112</v>
      </c>
      <c r="B20078" s="3" t="s">
        <v>93</v>
      </c>
      <c r="C20078" s="6">
        <v>646</v>
      </c>
      <c r="D20078" s="7">
        <v>2.48</v>
      </c>
    </row>
    <row r="20079" spans="1:4" x14ac:dyDescent="0.25">
      <c r="A20079" t="str">
        <f>HYPERLINK("https://www.773grp.com/globalSearch/PCA9538D118/page-1", "PCA9538D118")</f>
        <v>PCA9538D118</v>
      </c>
      <c r="B20079" s="3" t="s">
        <v>93</v>
      </c>
      <c r="C20079" s="6">
        <v>170</v>
      </c>
      <c r="D20079" s="7">
        <v>2.48</v>
      </c>
    </row>
    <row r="20080" spans="1:4" x14ac:dyDescent="0.25">
      <c r="A20080" t="str">
        <f>HYPERLINK("https://www.773grp.com/globalSearch/PCA9538PW118/page-1", "PCA9538PW118")</f>
        <v>PCA9538PW118</v>
      </c>
      <c r="B20080" s="3" t="s">
        <v>93</v>
      </c>
      <c r="C20080" s="6">
        <v>1930</v>
      </c>
      <c r="D20080" s="7">
        <v>2.48</v>
      </c>
    </row>
    <row r="20081" spans="1:4" x14ac:dyDescent="0.25">
      <c r="A20081" t="str">
        <f>HYPERLINK("https://www.773grp.com/globalSearch/PCA9554ABS118/page-1", "PCA9554ABS118")</f>
        <v>PCA9554ABS118</v>
      </c>
      <c r="B20081" s="3" t="s">
        <v>93</v>
      </c>
      <c r="C20081" s="6">
        <v>6000</v>
      </c>
      <c r="D20081" s="7">
        <v>2.48</v>
      </c>
    </row>
    <row r="20082" spans="1:4" x14ac:dyDescent="0.25">
      <c r="A20082" t="str">
        <f>HYPERLINK("https://www.773grp.com/globalSearch/PCA9554AD112/page-1", "PCA9554AD112")</f>
        <v>PCA9554AD112</v>
      </c>
      <c r="B20082" s="3" t="s">
        <v>93</v>
      </c>
      <c r="C20082" s="6">
        <v>633</v>
      </c>
      <c r="D20082" s="7">
        <v>2.48</v>
      </c>
    </row>
    <row r="20083" spans="1:4" x14ac:dyDescent="0.25">
      <c r="A20083" t="str">
        <f>HYPERLINK("https://www.773grp.com/globalSearch/PCA9554AD118/page-1", "PCA9554AD118")</f>
        <v>PCA9554AD118</v>
      </c>
      <c r="B20083" s="3" t="s">
        <v>93</v>
      </c>
      <c r="C20083" s="6">
        <v>3000</v>
      </c>
      <c r="D20083" s="7">
        <v>2.48</v>
      </c>
    </row>
    <row r="20084" spans="1:4" x14ac:dyDescent="0.25">
      <c r="A20084" t="str">
        <f>HYPERLINK("https://www.773grp.com/globalSearch/PCA9554APW112/page-1", "PCA9554APW112")</f>
        <v>PCA9554APW112</v>
      </c>
      <c r="B20084" s="3" t="s">
        <v>93</v>
      </c>
      <c r="C20084" s="6">
        <v>2400</v>
      </c>
      <c r="D20084" s="7">
        <v>2.48</v>
      </c>
    </row>
    <row r="20085" spans="1:4" x14ac:dyDescent="0.25">
      <c r="A20085" t="str">
        <f>HYPERLINK("https://www.773grp.com/globalSearch/PCA9554ATS112/page-1", "PCA9554ATS112")</f>
        <v>PCA9554ATS112</v>
      </c>
      <c r="B20085" s="3" t="s">
        <v>93</v>
      </c>
      <c r="C20085" s="6">
        <v>413</v>
      </c>
      <c r="D20085" s="7">
        <v>2.48</v>
      </c>
    </row>
    <row r="20086" spans="1:4" x14ac:dyDescent="0.25">
      <c r="A20086" t="str">
        <f>HYPERLINK("https://www.773grp.com/globalSearch/PCA9554ATS118/page-1", "PCA9554ATS118")</f>
        <v>PCA9554ATS118</v>
      </c>
      <c r="B20086" s="3" t="s">
        <v>93</v>
      </c>
      <c r="C20086" s="6">
        <v>200</v>
      </c>
      <c r="D20086" s="7">
        <v>2.48</v>
      </c>
    </row>
    <row r="20087" spans="1:4" x14ac:dyDescent="0.25">
      <c r="A20087" t="str">
        <f>HYPERLINK("https://www.773grp.com/globalSearch/PCA9554BS118/page-1", "PCA9554BS118")</f>
        <v>PCA9554BS118</v>
      </c>
      <c r="B20087" s="3" t="s">
        <v>93</v>
      </c>
      <c r="C20087" s="6">
        <v>6000</v>
      </c>
      <c r="D20087" s="7">
        <v>2.48</v>
      </c>
    </row>
    <row r="20088" spans="1:4" x14ac:dyDescent="0.25">
      <c r="A20088" t="str">
        <f>HYPERLINK("https://www.773grp.com/globalSearch/PCA9554D118/page-1", "PCA9554D118")</f>
        <v>PCA9554D118</v>
      </c>
      <c r="B20088" s="3" t="s">
        <v>93</v>
      </c>
      <c r="C20088" s="6">
        <v>3000</v>
      </c>
      <c r="D20088" s="7">
        <v>2.48</v>
      </c>
    </row>
    <row r="20089" spans="1:4" x14ac:dyDescent="0.25">
      <c r="A20089" t="str">
        <f>HYPERLINK("https://www.773grp.com/globalSearch/PCA9554DB118/page-1", "PCA9554DB118")</f>
        <v>PCA9554DB118</v>
      </c>
      <c r="B20089" s="3" t="s">
        <v>93</v>
      </c>
      <c r="C20089" s="6">
        <v>151</v>
      </c>
      <c r="D20089" s="7">
        <v>2.48</v>
      </c>
    </row>
    <row r="20090" spans="1:4" x14ac:dyDescent="0.25">
      <c r="A20090" t="str">
        <f>HYPERLINK("https://www.773grp.com/globalSearch/PCA9554PW-DG118/page-1", "PCA9554PW-DG118")</f>
        <v>PCA9554PW-DG118</v>
      </c>
      <c r="B20090" s="3" t="s">
        <v>93</v>
      </c>
      <c r="C20090" s="6">
        <v>216</v>
      </c>
      <c r="D20090" s="7">
        <v>2.48</v>
      </c>
    </row>
    <row r="20091" spans="1:4" x14ac:dyDescent="0.25">
      <c r="A20091" t="str">
        <f>HYPERLINK("https://www.773grp.com/globalSearch/PCA9554TS118/page-1", "PCA9554TS118")</f>
        <v>PCA9554TS118</v>
      </c>
      <c r="B20091" s="3" t="s">
        <v>93</v>
      </c>
      <c r="C20091" s="6">
        <v>1267</v>
      </c>
      <c r="D20091" s="7">
        <v>2.48</v>
      </c>
    </row>
    <row r="20092" spans="1:4" x14ac:dyDescent="0.25">
      <c r="A20092" t="str">
        <f>HYPERLINK("https://www.773grp.com/globalSearch/PCF8883T-1118/page-1", "PCF8883T-1118")</f>
        <v>PCF8883T-1118</v>
      </c>
      <c r="B20092" s="3" t="s">
        <v>93</v>
      </c>
      <c r="C20092" s="6">
        <v>2500</v>
      </c>
      <c r="D20092" s="7">
        <v>2.48</v>
      </c>
    </row>
    <row r="20093" spans="1:4" x14ac:dyDescent="0.25">
      <c r="A20093" t="str">
        <f>HYPERLINK("https://www.773grp.com/globalSearch/PSMN2R7-30PL127/page-1", "PSMN2R7-30PL127")</f>
        <v>PSMN2R7-30PL127</v>
      </c>
      <c r="B20093" s="3" t="s">
        <v>93</v>
      </c>
      <c r="C20093" s="6">
        <v>7000</v>
      </c>
      <c r="D20093" s="7">
        <v>2.48</v>
      </c>
    </row>
    <row r="20094" spans="1:4" x14ac:dyDescent="0.25">
      <c r="A20094" t="str">
        <f>HYPERLINK("https://www.773grp.com/globalSearch/SSL21151T-1118/page-1", "SSL21151T-1118")</f>
        <v>SSL21151T-1118</v>
      </c>
      <c r="B20094" s="3" t="s">
        <v>93</v>
      </c>
      <c r="C20094" s="6">
        <v>2500</v>
      </c>
      <c r="D20094" s="7">
        <v>2.48</v>
      </c>
    </row>
    <row r="20095" spans="1:4" x14ac:dyDescent="0.25">
      <c r="A20095" t="str">
        <f>HYPERLINK("https://www.773grp.com/globalSearch/TDA8541T-N1112/page-1", "TDA8541T-N1112")</f>
        <v>TDA8541T-N1112</v>
      </c>
      <c r="B20095" s="3" t="s">
        <v>93</v>
      </c>
      <c r="C20095" s="6">
        <v>1600</v>
      </c>
      <c r="D20095" s="7">
        <v>2.48</v>
      </c>
    </row>
    <row r="20096" spans="1:4" x14ac:dyDescent="0.25">
      <c r="A20096" t="str">
        <f>HYPERLINK("https://www.773grp.com/globalSearch/TJA1055T-3-C518/page-1", "TJA1055T-3-C518")</f>
        <v>TJA1055T-3-C518</v>
      </c>
      <c r="B20096" s="3" t="s">
        <v>93</v>
      </c>
      <c r="C20096" s="6">
        <v>24750</v>
      </c>
      <c r="D20096" s="7">
        <v>2.48</v>
      </c>
    </row>
    <row r="20097" spans="1:4" x14ac:dyDescent="0.25">
      <c r="A20097" t="str">
        <f>HYPERLINK("https://www.773grp.com/globalSearch/TJA1055T-C518/page-1", "TJA1055T-C518")</f>
        <v>TJA1055T-C518</v>
      </c>
      <c r="B20097" s="3" t="s">
        <v>93</v>
      </c>
      <c r="C20097" s="6">
        <v>87500</v>
      </c>
      <c r="D20097" s="7">
        <v>2.48</v>
      </c>
    </row>
    <row r="20098" spans="1:4" x14ac:dyDescent="0.25">
      <c r="A20098" t="str">
        <f>HYPERLINK("https://www.773grp.com/globalSearch/74ABT16373BDL112/page-1", "74ABT16373BDL112")</f>
        <v>74ABT16373BDL112</v>
      </c>
      <c r="B20098" s="3" t="s">
        <v>93</v>
      </c>
      <c r="C20098" s="6">
        <v>2883</v>
      </c>
      <c r="D20098" s="7">
        <v>2.54</v>
      </c>
    </row>
    <row r="20099" spans="1:4" x14ac:dyDescent="0.25">
      <c r="A20099" t="str">
        <f>HYPERLINK("https://www.773grp.com/globalSearch/74ABT16373BDL118/page-1", "74ABT16373BDL118")</f>
        <v>74ABT16373BDL118</v>
      </c>
      <c r="B20099" s="3" t="s">
        <v>93</v>
      </c>
      <c r="C20099" s="6">
        <v>4994</v>
      </c>
      <c r="D20099" s="7">
        <v>2.54</v>
      </c>
    </row>
    <row r="20100" spans="1:4" x14ac:dyDescent="0.25">
      <c r="A20100" t="str">
        <f>HYPERLINK("https://www.773grp.com/globalSearch/74HC160N652/page-1", "74HC160N652")</f>
        <v>74HC160N652</v>
      </c>
      <c r="B20100" s="3" t="s">
        <v>93</v>
      </c>
      <c r="C20100" s="6">
        <v>8094</v>
      </c>
      <c r="D20100" s="7">
        <v>2.54</v>
      </c>
    </row>
    <row r="20101" spans="1:4" x14ac:dyDescent="0.25">
      <c r="A20101" t="str">
        <f>HYPERLINK("https://www.773grp.com/globalSearch/74HC4017N652/page-1", "74HC4017N652")</f>
        <v>74HC4017N652</v>
      </c>
      <c r="B20101" s="3" t="s">
        <v>93</v>
      </c>
      <c r="C20101" s="6">
        <v>2000</v>
      </c>
      <c r="D20101" s="7">
        <v>2.54</v>
      </c>
    </row>
    <row r="20102" spans="1:4" x14ac:dyDescent="0.25">
      <c r="A20102" t="str">
        <f>HYPERLINK("https://www.773grp.com/globalSearch/74HCT4017N652/page-1", "74HCT4017N652")</f>
        <v>74HCT4017N652</v>
      </c>
      <c r="B20102" s="3" t="s">
        <v>93</v>
      </c>
      <c r="C20102" s="6">
        <v>1000</v>
      </c>
      <c r="D20102" s="7">
        <v>2.54</v>
      </c>
    </row>
    <row r="20103" spans="1:4" x14ac:dyDescent="0.25">
      <c r="A20103" t="str">
        <f>HYPERLINK("https://www.773grp.com/globalSearch/BUK7535-100A127/page-1", "BUK7535-100A127")</f>
        <v>BUK7535-100A127</v>
      </c>
      <c r="B20103" s="3" t="s">
        <v>93</v>
      </c>
      <c r="C20103" s="6">
        <v>3000</v>
      </c>
      <c r="D20103" s="7">
        <v>2.54</v>
      </c>
    </row>
    <row r="20104" spans="1:4" x14ac:dyDescent="0.25">
      <c r="A20104" t="str">
        <f>HYPERLINK("https://www.773grp.com/globalSearch/BUK7Y12-55B115/page-1", "BUK7Y12-55B115")</f>
        <v>BUK7Y12-55B115</v>
      </c>
      <c r="B20104" s="3" t="s">
        <v>93</v>
      </c>
      <c r="C20104" s="6">
        <v>165</v>
      </c>
      <c r="D20104" s="7">
        <v>2.54</v>
      </c>
    </row>
    <row r="20105" spans="1:4" x14ac:dyDescent="0.25">
      <c r="A20105" t="str">
        <f>HYPERLINK("https://www.773grp.com/globalSearch/BUK9514-55A127/page-1", "BUK9514-55A127")</f>
        <v>BUK9514-55A127</v>
      </c>
      <c r="B20105" s="3" t="s">
        <v>93</v>
      </c>
      <c r="C20105" s="6">
        <v>4677</v>
      </c>
      <c r="D20105" s="7">
        <v>2.54</v>
      </c>
    </row>
    <row r="20106" spans="1:4" x14ac:dyDescent="0.25">
      <c r="A20106" t="str">
        <f>HYPERLINK("https://www.773grp.com/globalSearch/BYV34-600127/page-1", "BYV34-600127")</f>
        <v>BYV34-600127</v>
      </c>
      <c r="B20106" s="3" t="s">
        <v>93</v>
      </c>
      <c r="C20106" s="6">
        <v>4128</v>
      </c>
      <c r="D20106" s="7">
        <v>2.54</v>
      </c>
    </row>
    <row r="20107" spans="1:4" x14ac:dyDescent="0.25">
      <c r="A20107" t="str">
        <f>HYPERLINK("https://www.773grp.com/globalSearch/BYV410-600127/page-1", "BYV410-600127")</f>
        <v>BYV410-600127</v>
      </c>
      <c r="B20107" s="3" t="s">
        <v>93</v>
      </c>
      <c r="C20107" s="6">
        <v>1579</v>
      </c>
      <c r="D20107" s="7">
        <v>2.54</v>
      </c>
    </row>
    <row r="20108" spans="1:4" x14ac:dyDescent="0.25">
      <c r="A20108" t="str">
        <f>HYPERLINK("https://www.773grp.com/globalSearch/BZA100118/page-1", "BZA100118")</f>
        <v>BZA100118</v>
      </c>
      <c r="B20108" s="3" t="s">
        <v>93</v>
      </c>
      <c r="C20108" s="6">
        <v>6000</v>
      </c>
      <c r="D20108" s="7">
        <v>2.54</v>
      </c>
    </row>
    <row r="20109" spans="1:4" x14ac:dyDescent="0.25">
      <c r="A20109" t="str">
        <f>HYPERLINK("https://www.773grp.com/globalSearch/HEF4555BP652/page-1", "HEF4555BP652")</f>
        <v>HEF4555BP652</v>
      </c>
      <c r="B20109" s="3" t="s">
        <v>93</v>
      </c>
      <c r="C20109" s="6">
        <v>6515</v>
      </c>
      <c r="D20109" s="7">
        <v>2.54</v>
      </c>
    </row>
    <row r="20110" spans="1:4" x14ac:dyDescent="0.25">
      <c r="A20110" t="str">
        <f>HYPERLINK("https://www.773grp.com/globalSearch/IP4853CX24-P135/page-1", "IP4853CX24-P135")</f>
        <v>IP4853CX24-P135</v>
      </c>
      <c r="B20110" s="3" t="s">
        <v>93</v>
      </c>
      <c r="C20110" s="6">
        <v>19</v>
      </c>
      <c r="D20110" s="7">
        <v>2.54</v>
      </c>
    </row>
    <row r="20111" spans="1:4" x14ac:dyDescent="0.25">
      <c r="A20111" t="str">
        <f>HYPERLINK("https://www.773grp.com/globalSearch/PCA8574AD518/page-1", "PCA8574AD518")</f>
        <v>PCA8574AD518</v>
      </c>
      <c r="B20111" s="3" t="s">
        <v>93</v>
      </c>
      <c r="C20111" s="6">
        <v>400</v>
      </c>
      <c r="D20111" s="7">
        <v>2.54</v>
      </c>
    </row>
    <row r="20112" spans="1:4" x14ac:dyDescent="0.25">
      <c r="A20112" t="str">
        <f>HYPERLINK("https://www.773grp.com/globalSearch/PCA8574ATS112/page-1", "PCA8574ATS112")</f>
        <v>PCA8574ATS112</v>
      </c>
      <c r="B20112" s="3" t="s">
        <v>93</v>
      </c>
      <c r="C20112" s="6">
        <v>1318</v>
      </c>
      <c r="D20112" s="7">
        <v>2.54</v>
      </c>
    </row>
    <row r="20113" spans="1:4" x14ac:dyDescent="0.25">
      <c r="A20113" t="str">
        <f>HYPERLINK("https://www.773grp.com/globalSearch/PCA8574TS112/page-1", "PCA8574TS112")</f>
        <v>PCA8574TS112</v>
      </c>
      <c r="B20113" s="3" t="s">
        <v>93</v>
      </c>
      <c r="C20113" s="6">
        <v>7</v>
      </c>
      <c r="D20113" s="7">
        <v>2.54</v>
      </c>
    </row>
    <row r="20114" spans="1:4" x14ac:dyDescent="0.25">
      <c r="A20114" t="str">
        <f>HYPERLINK("https://www.773grp.com/globalSearch/PCA9530D118/page-1", "PCA9530D118")</f>
        <v>PCA9530D118</v>
      </c>
      <c r="B20114" s="3" t="s">
        <v>93</v>
      </c>
      <c r="C20114" s="6">
        <v>2078</v>
      </c>
      <c r="D20114" s="7">
        <v>2.54</v>
      </c>
    </row>
    <row r="20115" spans="1:4" x14ac:dyDescent="0.25">
      <c r="A20115" t="str">
        <f>HYPERLINK("https://www.773grp.com/globalSearch/TJA1040T-VM112/page-1", "TJA1040T-VM112")</f>
        <v>TJA1040T-VM112</v>
      </c>
      <c r="B20115" s="3" t="s">
        <v>93</v>
      </c>
      <c r="C20115" s="6">
        <v>1</v>
      </c>
      <c r="D20115" s="7">
        <v>2.54</v>
      </c>
    </row>
    <row r="20116" spans="1:4" x14ac:dyDescent="0.25">
      <c r="A20116" t="str">
        <f>HYPERLINK("https://www.773grp.com/globalSearch/74HCT154PW112/page-1", "74HCT154PW112")</f>
        <v>74HCT154PW112</v>
      </c>
      <c r="B20116" s="3" t="s">
        <v>93</v>
      </c>
      <c r="C20116" s="6">
        <v>1260</v>
      </c>
      <c r="D20116" s="7">
        <v>2.59</v>
      </c>
    </row>
    <row r="20117" spans="1:4" x14ac:dyDescent="0.25">
      <c r="A20117" t="str">
        <f>HYPERLINK("https://www.773grp.com/globalSearch/BUK653R7-30C127/page-1", "BUK653R7-30C127")</f>
        <v>BUK653R7-30C127</v>
      </c>
      <c r="B20117" s="3" t="s">
        <v>93</v>
      </c>
      <c r="C20117" s="6">
        <v>193</v>
      </c>
      <c r="D20117" s="7">
        <v>2.59</v>
      </c>
    </row>
    <row r="20118" spans="1:4" x14ac:dyDescent="0.25">
      <c r="A20118" t="str">
        <f>HYPERLINK("https://www.773grp.com/globalSearch/BUK9611-80E118/page-1", "BUK9611-80E118")</f>
        <v>BUK9611-80E118</v>
      </c>
      <c r="B20118" s="3" t="s">
        <v>93</v>
      </c>
      <c r="C20118" s="6">
        <v>4937</v>
      </c>
      <c r="D20118" s="7">
        <v>2.59</v>
      </c>
    </row>
    <row r="20119" spans="1:4" x14ac:dyDescent="0.25">
      <c r="A20119" t="str">
        <f>HYPERLINK("https://www.773grp.com/globalSearch/N74F573N602/page-1", "N74F573N602")</f>
        <v>N74F573N602</v>
      </c>
      <c r="B20119" s="3" t="s">
        <v>93</v>
      </c>
      <c r="C20119" s="6">
        <v>4320</v>
      </c>
      <c r="D20119" s="7">
        <v>2.59</v>
      </c>
    </row>
    <row r="20120" spans="1:4" x14ac:dyDescent="0.25">
      <c r="A20120" t="str">
        <f>HYPERLINK("https://www.773grp.com/globalSearch/N74F574N602/page-1", "N74F574N602")</f>
        <v>N74F574N602</v>
      </c>
      <c r="B20120" s="3" t="s">
        <v>93</v>
      </c>
      <c r="C20120" s="6">
        <v>1440</v>
      </c>
      <c r="D20120" s="7">
        <v>2.59</v>
      </c>
    </row>
    <row r="20121" spans="1:4" x14ac:dyDescent="0.25">
      <c r="A20121" t="str">
        <f>HYPERLINK("https://www.773grp.com/globalSearch/PCA9507D118/page-1", "PCA9507D118")</f>
        <v>PCA9507D118</v>
      </c>
      <c r="B20121" s="3" t="s">
        <v>93</v>
      </c>
      <c r="C20121" s="6">
        <v>2500</v>
      </c>
      <c r="D20121" s="7">
        <v>2.59</v>
      </c>
    </row>
    <row r="20122" spans="1:4" x14ac:dyDescent="0.25">
      <c r="A20122" t="str">
        <f>HYPERLINK("https://www.773grp.com/globalSearch/PCA9507DP118/page-1", "PCA9507DP118")</f>
        <v>PCA9507DP118</v>
      </c>
      <c r="B20122" s="3" t="s">
        <v>93</v>
      </c>
      <c r="C20122" s="6">
        <v>2500</v>
      </c>
      <c r="D20122" s="7">
        <v>2.59</v>
      </c>
    </row>
    <row r="20123" spans="1:4" x14ac:dyDescent="0.25">
      <c r="A20123" t="str">
        <f>HYPERLINK("https://www.773grp.com/globalSearch/PCA9509DP-DG118/page-1", "PCA9509DP-DG118")</f>
        <v>PCA9509DP-DG118</v>
      </c>
      <c r="B20123" s="3" t="s">
        <v>93</v>
      </c>
      <c r="C20123" s="6">
        <v>100</v>
      </c>
      <c r="D20123" s="7">
        <v>2.59</v>
      </c>
    </row>
    <row r="20124" spans="1:4" x14ac:dyDescent="0.25">
      <c r="A20124" t="str">
        <f>HYPERLINK("https://www.773grp.com/globalSearch/PCA9517ADP-DG118/page-1", "PCA9517ADP-DG118")</f>
        <v>PCA9517ADP-DG118</v>
      </c>
      <c r="B20124" s="3" t="s">
        <v>93</v>
      </c>
      <c r="C20124" s="6">
        <v>5000</v>
      </c>
      <c r="D20124" s="7">
        <v>2.59</v>
      </c>
    </row>
    <row r="20125" spans="1:4" x14ac:dyDescent="0.25">
      <c r="A20125" t="str">
        <f>HYPERLINK("https://www.773grp.com/globalSearch/PCA9527DP118/page-1", "PCA9527DP118")</f>
        <v>PCA9527DP118</v>
      </c>
      <c r="B20125" s="3" t="s">
        <v>93</v>
      </c>
      <c r="C20125" s="6">
        <v>4335</v>
      </c>
      <c r="D20125" s="7">
        <v>2.59</v>
      </c>
    </row>
    <row r="20126" spans="1:4" x14ac:dyDescent="0.25">
      <c r="A20126" t="str">
        <f>HYPERLINK("https://www.773grp.com/globalSearch/PSMN130-200D118/page-1", "PSMN130-200D118")</f>
        <v>PSMN130-200D118</v>
      </c>
      <c r="B20126" s="3" t="s">
        <v>93</v>
      </c>
      <c r="C20126" s="6">
        <v>10000</v>
      </c>
      <c r="D20126" s="7">
        <v>2.59</v>
      </c>
    </row>
    <row r="20127" spans="1:4" x14ac:dyDescent="0.25">
      <c r="A20127" t="str">
        <f>HYPERLINK("https://www.773grp.com/globalSearch/TDA3629T-YM112/page-1", "TDA3629T-YM112")</f>
        <v>TDA3629T-YM112</v>
      </c>
      <c r="B20127" s="3" t="s">
        <v>93</v>
      </c>
      <c r="C20127" s="6">
        <v>946</v>
      </c>
      <c r="D20127" s="7">
        <v>2.59</v>
      </c>
    </row>
    <row r="20128" spans="1:4" x14ac:dyDescent="0.25">
      <c r="A20128" t="str">
        <f>HYPERLINK("https://www.773grp.com/globalSearch/74AVCH16T245DGV11/page-1", "74AVCH16T245DGV11")</f>
        <v>74AVCH16T245DGV11</v>
      </c>
      <c r="B20128" s="3" t="s">
        <v>93</v>
      </c>
      <c r="C20128" s="6">
        <v>1000</v>
      </c>
      <c r="D20128" s="7">
        <v>2.64</v>
      </c>
    </row>
    <row r="20129" spans="1:4" x14ac:dyDescent="0.25">
      <c r="A20129" t="str">
        <f>HYPERLINK("https://www.773grp.com/globalSearch/74HCT594D112/page-1", "74HCT594D112")</f>
        <v>74HCT594D112</v>
      </c>
      <c r="B20129" s="3" t="s">
        <v>93</v>
      </c>
      <c r="C20129" s="6">
        <v>1000</v>
      </c>
      <c r="D20129" s="7">
        <v>2.64</v>
      </c>
    </row>
    <row r="20130" spans="1:4" x14ac:dyDescent="0.25">
      <c r="A20130" t="str">
        <f>HYPERLINK("https://www.773grp.com/globalSearch/74HCT594D118/page-1", "74HCT594D118")</f>
        <v>74HCT594D118</v>
      </c>
      <c r="B20130" s="3" t="s">
        <v>93</v>
      </c>
      <c r="C20130" s="6">
        <v>7534</v>
      </c>
      <c r="D20130" s="7">
        <v>2.64</v>
      </c>
    </row>
    <row r="20131" spans="1:4" x14ac:dyDescent="0.25">
      <c r="A20131" t="str">
        <f>HYPERLINK("https://www.773grp.com/globalSearch/BYV34-500127/page-1", "BYV34-500127")</f>
        <v>BYV34-500127</v>
      </c>
      <c r="B20131" s="3" t="s">
        <v>93</v>
      </c>
      <c r="C20131" s="6">
        <v>6000</v>
      </c>
      <c r="D20131" s="7">
        <v>2.64</v>
      </c>
    </row>
    <row r="20132" spans="1:4" x14ac:dyDescent="0.25">
      <c r="A20132" t="str">
        <f>HYPERLINK("https://www.773grp.com/globalSearch/BYV34X-600127/page-1", "BYV34X-600127")</f>
        <v>BYV34X-600127</v>
      </c>
      <c r="B20132" s="3" t="s">
        <v>93</v>
      </c>
      <c r="C20132" s="6">
        <v>1600</v>
      </c>
      <c r="D20132" s="7">
        <v>2.64</v>
      </c>
    </row>
    <row r="20133" spans="1:4" x14ac:dyDescent="0.25">
      <c r="A20133" t="str">
        <f>HYPERLINK("https://www.773grp.com/globalSearch/GTL2107PW112/page-1", "GTL2107PW112")</f>
        <v>GTL2107PW112</v>
      </c>
      <c r="B20133" s="3" t="s">
        <v>93</v>
      </c>
      <c r="C20133" s="6">
        <v>15</v>
      </c>
      <c r="D20133" s="7">
        <v>2.64</v>
      </c>
    </row>
    <row r="20134" spans="1:4" x14ac:dyDescent="0.25">
      <c r="A20134" t="str">
        <f>HYPERLINK("https://www.773grp.com/globalSearch/GTL2107PW118/page-1", "GTL2107PW118")</f>
        <v>GTL2107PW118</v>
      </c>
      <c r="B20134" s="3" t="s">
        <v>93</v>
      </c>
      <c r="C20134" s="6">
        <v>5000</v>
      </c>
      <c r="D20134" s="7">
        <v>2.64</v>
      </c>
    </row>
    <row r="20135" spans="1:4" x14ac:dyDescent="0.25">
      <c r="A20135" t="str">
        <f>HYPERLINK("https://www.773grp.com/globalSearch/N74F540N602/page-1", "N74F540N602")</f>
        <v>N74F540N602</v>
      </c>
      <c r="B20135" s="3" t="s">
        <v>93</v>
      </c>
      <c r="C20135" s="6">
        <v>1271</v>
      </c>
      <c r="D20135" s="7">
        <v>2.64</v>
      </c>
    </row>
    <row r="20136" spans="1:4" x14ac:dyDescent="0.25">
      <c r="A20136" t="str">
        <f>HYPERLINK("https://www.773grp.com/globalSearch/PCA8565TS-1118/page-1", "PCA8565TS-1118")</f>
        <v>PCA8565TS-1118</v>
      </c>
      <c r="B20136" s="3" t="s">
        <v>93</v>
      </c>
      <c r="C20136" s="6">
        <v>7500</v>
      </c>
      <c r="D20136" s="7">
        <v>2.64</v>
      </c>
    </row>
    <row r="20137" spans="1:4" x14ac:dyDescent="0.25">
      <c r="A20137" t="str">
        <f>HYPERLINK("https://www.773grp.com/globalSearch/PCA9670D518/page-1", "PCA9670D518")</f>
        <v>PCA9670D518</v>
      </c>
      <c r="B20137" s="3" t="s">
        <v>93</v>
      </c>
      <c r="C20137" s="6">
        <v>223</v>
      </c>
      <c r="D20137" s="7">
        <v>2.64</v>
      </c>
    </row>
    <row r="20138" spans="1:4" x14ac:dyDescent="0.25">
      <c r="A20138" t="str">
        <f>HYPERLINK("https://www.773grp.com/globalSearch/PCA9670PW118/page-1", "PCA9670PW118")</f>
        <v>PCA9670PW118</v>
      </c>
      <c r="B20138" s="3" t="s">
        <v>93</v>
      </c>
      <c r="C20138" s="6">
        <v>34</v>
      </c>
      <c r="D20138" s="7">
        <v>2.64</v>
      </c>
    </row>
    <row r="20139" spans="1:4" x14ac:dyDescent="0.25">
      <c r="A20139" t="str">
        <f>HYPERLINK("https://www.773grp.com/globalSearch/PCA9672D518/page-1", "PCA9672D518")</f>
        <v>PCA9672D518</v>
      </c>
      <c r="B20139" s="3" t="s">
        <v>93</v>
      </c>
      <c r="C20139" s="6">
        <v>1000</v>
      </c>
      <c r="D20139" s="7">
        <v>2.64</v>
      </c>
    </row>
    <row r="20140" spans="1:4" x14ac:dyDescent="0.25">
      <c r="A20140" t="str">
        <f>HYPERLINK("https://www.773grp.com/globalSearch/PCA9672PW112/page-1", "PCA9672PW112")</f>
        <v>PCA9672PW112</v>
      </c>
      <c r="B20140" s="3" t="s">
        <v>93</v>
      </c>
      <c r="C20140" s="6">
        <v>3506</v>
      </c>
      <c r="D20140" s="7">
        <v>2.64</v>
      </c>
    </row>
    <row r="20141" spans="1:4" x14ac:dyDescent="0.25">
      <c r="A20141" t="str">
        <f>HYPERLINK("https://www.773grp.com/globalSearch/PCA9672PW118/page-1", "PCA9672PW118")</f>
        <v>PCA9672PW118</v>
      </c>
      <c r="B20141" s="3" t="s">
        <v>93</v>
      </c>
      <c r="C20141" s="6">
        <v>2500</v>
      </c>
      <c r="D20141" s="7">
        <v>2.64</v>
      </c>
    </row>
    <row r="20142" spans="1:4" x14ac:dyDescent="0.25">
      <c r="A20142" t="str">
        <f>HYPERLINK("https://www.773grp.com/globalSearch/PCA9674ABS118/page-1", "PCA9674ABS118")</f>
        <v>PCA9674ABS118</v>
      </c>
      <c r="B20142" s="3" t="s">
        <v>93</v>
      </c>
      <c r="C20142" s="6">
        <v>22</v>
      </c>
      <c r="D20142" s="7">
        <v>2.64</v>
      </c>
    </row>
    <row r="20143" spans="1:4" x14ac:dyDescent="0.25">
      <c r="A20143" t="str">
        <f>HYPERLINK("https://www.773grp.com/globalSearch/PCA9674AD518/page-1", "PCA9674AD518")</f>
        <v>PCA9674AD518</v>
      </c>
      <c r="B20143" s="3" t="s">
        <v>93</v>
      </c>
      <c r="C20143" s="6">
        <v>527</v>
      </c>
      <c r="D20143" s="7">
        <v>2.64</v>
      </c>
    </row>
    <row r="20144" spans="1:4" x14ac:dyDescent="0.25">
      <c r="A20144" t="str">
        <f>HYPERLINK("https://www.773grp.com/globalSearch/PCK2002PLPW118/page-1", "PCK2002PLPW118")</f>
        <v>PCK2002PLPW118</v>
      </c>
      <c r="B20144" s="3" t="s">
        <v>93</v>
      </c>
      <c r="C20144" s="6">
        <v>7420</v>
      </c>
      <c r="D20144" s="7">
        <v>2.64</v>
      </c>
    </row>
    <row r="20145" spans="1:4" x14ac:dyDescent="0.25">
      <c r="A20145" t="str">
        <f>HYPERLINK("https://www.773grp.com/globalSearch/PHK5NQ15T518/page-1", "PHK5NQ15T518")</f>
        <v>PHK5NQ15T518</v>
      </c>
      <c r="B20145" s="3" t="s">
        <v>93</v>
      </c>
      <c r="C20145" s="6">
        <v>2500</v>
      </c>
      <c r="D20145" s="7">
        <v>2.64</v>
      </c>
    </row>
    <row r="20146" spans="1:4" x14ac:dyDescent="0.25">
      <c r="A20146" t="str">
        <f>HYPERLINK("https://www.773grp.com/globalSearch/PHP45NQ11T127/page-1", "PHP45NQ11T127")</f>
        <v>PHP45NQ11T127</v>
      </c>
      <c r="B20146" s="3" t="s">
        <v>93</v>
      </c>
      <c r="C20146" s="6">
        <v>1000</v>
      </c>
      <c r="D20146" s="7">
        <v>2.64</v>
      </c>
    </row>
    <row r="20147" spans="1:4" x14ac:dyDescent="0.25">
      <c r="A20147" t="str">
        <f>HYPERLINK("https://www.773grp.com/globalSearch/TEA1523P-N2112/page-1", "TEA1523P-N2112")</f>
        <v>TEA1523P-N2112</v>
      </c>
      <c r="B20147" s="3" t="s">
        <v>93</v>
      </c>
      <c r="C20147" s="6">
        <v>2000</v>
      </c>
      <c r="D20147" s="7">
        <v>2.64</v>
      </c>
    </row>
    <row r="20148" spans="1:4" x14ac:dyDescent="0.25">
      <c r="A20148" t="str">
        <f>HYPERLINK("https://www.773grp.com/globalSearch/BUK6607-55C118/page-1", "BUK6607-55C118")</f>
        <v>BUK6607-55C118</v>
      </c>
      <c r="B20148" s="3" t="s">
        <v>93</v>
      </c>
      <c r="C20148" s="6">
        <v>3600</v>
      </c>
      <c r="D20148" s="7">
        <v>2.69</v>
      </c>
    </row>
    <row r="20149" spans="1:4" x14ac:dyDescent="0.25">
      <c r="A20149" t="str">
        <f>HYPERLINK("https://www.773grp.com/globalSearch/BUK663R5-30C118/page-1", "BUK663R5-30C118")</f>
        <v>BUK663R5-30C118</v>
      </c>
      <c r="B20149" s="3" t="s">
        <v>93</v>
      </c>
      <c r="C20149" s="6">
        <v>66</v>
      </c>
      <c r="D20149" s="7">
        <v>2.69</v>
      </c>
    </row>
    <row r="20150" spans="1:4" x14ac:dyDescent="0.25">
      <c r="A20150" t="str">
        <f>HYPERLINK("https://www.773grp.com/globalSearch/BUK664R6-40C118/page-1", "BUK664R6-40C118")</f>
        <v>BUK664R6-40C118</v>
      </c>
      <c r="B20150" s="3" t="s">
        <v>93</v>
      </c>
      <c r="C20150" s="6">
        <v>4000</v>
      </c>
      <c r="D20150" s="7">
        <v>2.69</v>
      </c>
    </row>
    <row r="20151" spans="1:4" x14ac:dyDescent="0.25">
      <c r="A20151" t="str">
        <f>HYPERLINK("https://www.773grp.com/globalSearch/PCA9543APW112/page-1", "PCA9543APW112")</f>
        <v>PCA9543APW112</v>
      </c>
      <c r="B20151" s="3" t="s">
        <v>93</v>
      </c>
      <c r="C20151" s="6">
        <v>4800</v>
      </c>
      <c r="D20151" s="7">
        <v>2.69</v>
      </c>
    </row>
    <row r="20152" spans="1:4" x14ac:dyDescent="0.25">
      <c r="A20152" t="str">
        <f>HYPERLINK("https://www.773grp.com/globalSearch/PCA9543CPW118/page-1", "PCA9543CPW118")</f>
        <v>PCA9543CPW118</v>
      </c>
      <c r="B20152" s="3" t="s">
        <v>93</v>
      </c>
      <c r="C20152" s="6">
        <v>2100</v>
      </c>
      <c r="D20152" s="7">
        <v>2.69</v>
      </c>
    </row>
    <row r="20153" spans="1:4" x14ac:dyDescent="0.25">
      <c r="A20153" t="str">
        <f>HYPERLINK("https://www.773grp.com/globalSearch/PCF85162T-1118/page-1", "PCF85162T-1118")</f>
        <v>PCF85162T-1118</v>
      </c>
      <c r="B20153" s="3" t="s">
        <v>93</v>
      </c>
      <c r="C20153" s="6">
        <v>2420</v>
      </c>
      <c r="D20153" s="7">
        <v>2.69</v>
      </c>
    </row>
    <row r="20154" spans="1:4" x14ac:dyDescent="0.25">
      <c r="A20154" t="str">
        <f>HYPERLINK("https://www.773grp.com/globalSearch/PHP79NQ08LT127/page-1", "PHP79NQ08LT127")</f>
        <v>PHP79NQ08LT127</v>
      </c>
      <c r="B20154" s="3" t="s">
        <v>93</v>
      </c>
      <c r="C20154" s="6">
        <v>135</v>
      </c>
      <c r="D20154" s="7">
        <v>2.69</v>
      </c>
    </row>
    <row r="20155" spans="1:4" x14ac:dyDescent="0.25">
      <c r="A20155" t="str">
        <f>HYPERLINK("https://www.773grp.com/globalSearch/PSMN013-100ES127/page-1", "PSMN013-100ES127")</f>
        <v>PSMN013-100ES127</v>
      </c>
      <c r="B20155" s="3" t="s">
        <v>93</v>
      </c>
      <c r="C20155" s="6">
        <v>3000</v>
      </c>
      <c r="D20155" s="7">
        <v>2.69</v>
      </c>
    </row>
    <row r="20156" spans="1:4" x14ac:dyDescent="0.25">
      <c r="A20156" t="str">
        <f>HYPERLINK("https://www.773grp.com/globalSearch/TJA1040T-N1118/page-1", "TJA1040T-N1118")</f>
        <v>TJA1040T-N1118</v>
      </c>
      <c r="B20156" s="3" t="s">
        <v>93</v>
      </c>
      <c r="C20156" s="6">
        <v>50861</v>
      </c>
      <c r="D20156" s="7">
        <v>2.69</v>
      </c>
    </row>
    <row r="20157" spans="1:4" x14ac:dyDescent="0.25">
      <c r="A20157" t="str">
        <f>HYPERLINK("https://www.773grp.com/globalSearch/74ABT541N602/page-1", "74ABT541N602")</f>
        <v>74ABT541N602</v>
      </c>
      <c r="B20157" s="3" t="s">
        <v>93</v>
      </c>
      <c r="C20157" s="6">
        <v>2556</v>
      </c>
      <c r="D20157" s="7">
        <v>2.75</v>
      </c>
    </row>
    <row r="20158" spans="1:4" x14ac:dyDescent="0.25">
      <c r="A20158" t="str">
        <f>HYPERLINK("https://www.773grp.com/globalSearch/74ABT573AN112/page-1", "74ABT573AN112")</f>
        <v>74ABT573AN112</v>
      </c>
      <c r="B20158" s="3" t="s">
        <v>93</v>
      </c>
      <c r="C20158" s="6">
        <v>1332</v>
      </c>
      <c r="D20158" s="7">
        <v>2.75</v>
      </c>
    </row>
    <row r="20159" spans="1:4" x14ac:dyDescent="0.25">
      <c r="A20159" t="str">
        <f>HYPERLINK("https://www.773grp.com/globalSearch/74HC42N652/page-1", "74HC42N652")</f>
        <v>74HC42N652</v>
      </c>
      <c r="B20159" s="3" t="s">
        <v>93</v>
      </c>
      <c r="C20159" s="6">
        <v>1500</v>
      </c>
      <c r="D20159" s="7">
        <v>2.75</v>
      </c>
    </row>
    <row r="20160" spans="1:4" x14ac:dyDescent="0.25">
      <c r="A20160" t="str">
        <f>HYPERLINK("https://www.773grp.com/globalSearch/74HC688N652/page-1", "74HC688N652")</f>
        <v>74HC688N652</v>
      </c>
      <c r="B20160" s="3" t="s">
        <v>93</v>
      </c>
      <c r="C20160" s="6">
        <v>144</v>
      </c>
      <c r="D20160" s="7">
        <v>2.75</v>
      </c>
    </row>
    <row r="20161" spans="1:4" x14ac:dyDescent="0.25">
      <c r="A20161" t="str">
        <f>HYPERLINK("https://www.773grp.com/globalSearch/74HCT42N652/page-1", "74HCT42N652")</f>
        <v>74HCT42N652</v>
      </c>
      <c r="B20161" s="3" t="s">
        <v>93</v>
      </c>
      <c r="C20161" s="6">
        <v>150</v>
      </c>
      <c r="D20161" s="7">
        <v>2.75</v>
      </c>
    </row>
    <row r="20162" spans="1:4" x14ac:dyDescent="0.25">
      <c r="A20162" t="str">
        <f>HYPERLINK("https://www.773grp.com/globalSearch/74HCT4520N112/page-1", "74HCT4520N112")</f>
        <v>74HCT4520N112</v>
      </c>
      <c r="B20162" s="3" t="s">
        <v>93</v>
      </c>
      <c r="C20162" s="6">
        <v>1000</v>
      </c>
      <c r="D20162" s="7">
        <v>2.75</v>
      </c>
    </row>
    <row r="20163" spans="1:4" x14ac:dyDescent="0.25">
      <c r="A20163" t="str">
        <f>HYPERLINK("https://www.773grp.com/globalSearch/74HCT688N652/page-1", "74HCT688N652")</f>
        <v>74HCT688N652</v>
      </c>
      <c r="B20163" s="3" t="s">
        <v>93</v>
      </c>
      <c r="C20163" s="6">
        <v>14457</v>
      </c>
      <c r="D20163" s="7">
        <v>2.75</v>
      </c>
    </row>
    <row r="20164" spans="1:4" x14ac:dyDescent="0.25">
      <c r="A20164" t="str">
        <f>HYPERLINK("https://www.773grp.com/globalSearch/BUK7526-100B127/page-1", "BUK7526-100B127")</f>
        <v>BUK7526-100B127</v>
      </c>
      <c r="B20164" s="3" t="s">
        <v>93</v>
      </c>
      <c r="C20164" s="6">
        <v>100</v>
      </c>
      <c r="D20164" s="7">
        <v>2.75</v>
      </c>
    </row>
    <row r="20165" spans="1:4" x14ac:dyDescent="0.25">
      <c r="A20165" t="str">
        <f>HYPERLINK("https://www.773grp.com/globalSearch/BUK7528-100A127/page-1", "BUK7528-100A127")</f>
        <v>BUK7528-100A127</v>
      </c>
      <c r="B20165" s="3" t="s">
        <v>93</v>
      </c>
      <c r="C20165" s="6">
        <v>1000</v>
      </c>
      <c r="D20165" s="7">
        <v>2.75</v>
      </c>
    </row>
    <row r="20166" spans="1:4" x14ac:dyDescent="0.25">
      <c r="A20166" t="str">
        <f>HYPERLINK("https://www.773grp.com/globalSearch/BYC20-600127/page-1", "BYC20-600127")</f>
        <v>BYC20-600127</v>
      </c>
      <c r="B20166" s="3" t="s">
        <v>93</v>
      </c>
      <c r="C20166" s="6">
        <v>1000</v>
      </c>
      <c r="D20166" s="7">
        <v>2.75</v>
      </c>
    </row>
    <row r="20167" spans="1:4" x14ac:dyDescent="0.25">
      <c r="A20167" t="str">
        <f>HYPERLINK("https://www.773grp.com/globalSearch/BYV410X-600127/page-1", "BYV410X-600127")</f>
        <v>BYV410X-600127</v>
      </c>
      <c r="B20167" s="3" t="s">
        <v>93</v>
      </c>
      <c r="C20167" s="6">
        <v>2000</v>
      </c>
      <c r="D20167" s="7">
        <v>2.75</v>
      </c>
    </row>
    <row r="20168" spans="1:4" x14ac:dyDescent="0.25">
      <c r="A20168" t="str">
        <f>HYPERLINK("https://www.773grp.com/globalSearch/PCA82C250T-YM118/page-1", "PCA82C250T-YM118")</f>
        <v>PCA82C250T-YM118</v>
      </c>
      <c r="B20168" s="3" t="s">
        <v>93</v>
      </c>
      <c r="C20168" s="6">
        <v>8852</v>
      </c>
      <c r="D20168" s="7">
        <v>2.75</v>
      </c>
    </row>
    <row r="20169" spans="1:4" x14ac:dyDescent="0.25">
      <c r="A20169" t="str">
        <f>HYPERLINK("https://www.773grp.com/globalSearch/PHP28NQ15T127/page-1", "PHP28NQ15T127")</f>
        <v>PHP28NQ15T127</v>
      </c>
      <c r="B20169" s="3" t="s">
        <v>93</v>
      </c>
      <c r="C20169" s="6">
        <v>4004</v>
      </c>
      <c r="D20169" s="7">
        <v>2.75</v>
      </c>
    </row>
    <row r="20170" spans="1:4" x14ac:dyDescent="0.25">
      <c r="A20170" t="str">
        <f>HYPERLINK("https://www.773grp.com/globalSearch/TJA1049T112/page-1", "TJA1049T112")</f>
        <v>TJA1049T112</v>
      </c>
      <c r="B20170" s="3" t="s">
        <v>93</v>
      </c>
      <c r="C20170" s="6">
        <v>5000</v>
      </c>
      <c r="D20170" s="7">
        <v>2.75</v>
      </c>
    </row>
    <row r="20171" spans="1:4" x14ac:dyDescent="0.25">
      <c r="A20171" t="str">
        <f>HYPERLINK("https://www.773grp.com/globalSearch/74ALVCH16841DGG11/page-1", "74ALVCH16841DGG11")</f>
        <v>74ALVCH16841DGG11</v>
      </c>
      <c r="B20171" s="3" t="s">
        <v>93</v>
      </c>
      <c r="C20171" s="6">
        <v>281</v>
      </c>
      <c r="D20171" s="7">
        <v>2.8</v>
      </c>
    </row>
    <row r="20172" spans="1:4" x14ac:dyDescent="0.25">
      <c r="A20172" t="str">
        <f>HYPERLINK("https://www.773grp.com/globalSearch/74HC9114D118/page-1", "74HC9114D118")</f>
        <v>74HC9114D118</v>
      </c>
      <c r="B20172" s="3" t="s">
        <v>93</v>
      </c>
      <c r="C20172" s="6">
        <v>1931</v>
      </c>
      <c r="D20172" s="7">
        <v>2.8</v>
      </c>
    </row>
    <row r="20173" spans="1:4" x14ac:dyDescent="0.25">
      <c r="A20173" t="str">
        <f>HYPERLINK("https://www.773grp.com/globalSearch/74HCT160N652/page-1", "74HCT160N652")</f>
        <v>74HCT160N652</v>
      </c>
      <c r="B20173" s="3" t="s">
        <v>93</v>
      </c>
      <c r="C20173" s="6">
        <v>4000</v>
      </c>
      <c r="D20173" s="7">
        <v>2.8</v>
      </c>
    </row>
    <row r="20174" spans="1:4" x14ac:dyDescent="0.25">
      <c r="A20174" t="str">
        <f>HYPERLINK("https://www.773grp.com/globalSearch/74HCT299DB112/page-1", "74HCT299DB112")</f>
        <v>74HCT299DB112</v>
      </c>
      <c r="B20174" s="3" t="s">
        <v>93</v>
      </c>
      <c r="C20174" s="6">
        <v>437</v>
      </c>
      <c r="D20174" s="7">
        <v>2.8</v>
      </c>
    </row>
    <row r="20175" spans="1:4" x14ac:dyDescent="0.25">
      <c r="A20175" t="str">
        <f>HYPERLINK("https://www.773grp.com/globalSearch/HEF40240BT652/page-1", "HEF40240BT652")</f>
        <v>HEF40240BT652</v>
      </c>
      <c r="B20175" s="3" t="s">
        <v>93</v>
      </c>
      <c r="C20175" s="6">
        <v>608</v>
      </c>
      <c r="D20175" s="7">
        <v>2.8</v>
      </c>
    </row>
    <row r="20176" spans="1:4" x14ac:dyDescent="0.25">
      <c r="A20176" t="str">
        <f>HYPERLINK("https://www.773grp.com/globalSearch/MAC223A8X127/page-1", "MAC223A8X127")</f>
        <v>MAC223A8X127</v>
      </c>
      <c r="B20176" s="3" t="s">
        <v>93</v>
      </c>
      <c r="C20176" s="6">
        <v>3000</v>
      </c>
      <c r="D20176" s="7">
        <v>2.8</v>
      </c>
    </row>
    <row r="20177" spans="1:4" x14ac:dyDescent="0.25">
      <c r="A20177" t="str">
        <f>HYPERLINK("https://www.773grp.com/globalSearch/PCA9701PW118/page-1", "PCA9701PW118")</f>
        <v>PCA9701PW118</v>
      </c>
      <c r="B20177" s="3" t="s">
        <v>93</v>
      </c>
      <c r="C20177" s="6">
        <v>1590</v>
      </c>
      <c r="D20177" s="7">
        <v>2.8</v>
      </c>
    </row>
    <row r="20178" spans="1:4" x14ac:dyDescent="0.25">
      <c r="A20178" t="str">
        <f>HYPERLINK("https://www.773grp.com/globalSearch/74ALVT16373DGG118/page-1", "74ALVT16373DGG118")</f>
        <v>74ALVT16373DGG118</v>
      </c>
      <c r="B20178" s="3" t="s">
        <v>93</v>
      </c>
      <c r="C20178" s="6">
        <v>4000</v>
      </c>
      <c r="D20178" s="7">
        <v>2.85</v>
      </c>
    </row>
    <row r="20179" spans="1:4" x14ac:dyDescent="0.25">
      <c r="A20179" t="str">
        <f>HYPERLINK("https://www.773grp.com/globalSearch/BUK9510-55A127/page-1", "BUK9510-55A127")</f>
        <v>BUK9510-55A127</v>
      </c>
      <c r="B20179" s="3" t="s">
        <v>93</v>
      </c>
      <c r="C20179" s="6">
        <v>2000</v>
      </c>
      <c r="D20179" s="7">
        <v>2.85</v>
      </c>
    </row>
    <row r="20180" spans="1:4" x14ac:dyDescent="0.25">
      <c r="A20180" t="str">
        <f>HYPERLINK("https://www.773grp.com/globalSearch/CBTL04083BBS518/page-1", "CBTL04083BBS518")</f>
        <v>CBTL04083BBS518</v>
      </c>
      <c r="B20180" s="3" t="s">
        <v>93</v>
      </c>
      <c r="C20180" s="6">
        <v>40</v>
      </c>
      <c r="D20180" s="7">
        <v>2.85</v>
      </c>
    </row>
    <row r="20181" spans="1:4" x14ac:dyDescent="0.25">
      <c r="A20181" t="str">
        <f>HYPERLINK("https://www.773grp.com/globalSearch/PSMN025-100D118/page-1", "PSMN025-100D118")</f>
        <v>PSMN025-100D118</v>
      </c>
      <c r="B20181" s="3" t="s">
        <v>93</v>
      </c>
      <c r="C20181" s="6">
        <v>17500</v>
      </c>
      <c r="D20181" s="7">
        <v>2.85</v>
      </c>
    </row>
    <row r="20182" spans="1:4" x14ac:dyDescent="0.25">
      <c r="A20182" t="str">
        <f>HYPERLINK("https://www.773grp.com/globalSearch/SA58670BS115/page-1", "SA58670BS115")</f>
        <v>SA58670BS115</v>
      </c>
      <c r="B20182" s="3" t="s">
        <v>93</v>
      </c>
      <c r="C20182" s="6">
        <v>3000</v>
      </c>
      <c r="D20182" s="7">
        <v>2.85</v>
      </c>
    </row>
    <row r="20183" spans="1:4" x14ac:dyDescent="0.25">
      <c r="A20183" t="str">
        <f>HYPERLINK("https://www.773grp.com/globalSearch/UBA2211AT-N1518/page-1", "UBA2211AT-N1518")</f>
        <v>UBA2211AT-N1518</v>
      </c>
      <c r="B20183" s="3" t="s">
        <v>93</v>
      </c>
      <c r="C20183" s="6">
        <v>25019</v>
      </c>
      <c r="D20183" s="7">
        <v>2.85</v>
      </c>
    </row>
    <row r="20184" spans="1:4" x14ac:dyDescent="0.25">
      <c r="A20184" t="str">
        <f>HYPERLINK("https://www.773grp.com/globalSearch/74AVC16T245DGG118/page-1", "74AVC16T245DGG118")</f>
        <v>74AVC16T245DGG118</v>
      </c>
      <c r="B20184" s="3" t="s">
        <v>93</v>
      </c>
      <c r="C20184" s="6">
        <v>2015</v>
      </c>
      <c r="D20184" s="7">
        <v>2.9</v>
      </c>
    </row>
    <row r="20185" spans="1:4" x14ac:dyDescent="0.25">
      <c r="A20185" t="str">
        <f>HYPERLINK("https://www.773grp.com/globalSearch/74HC147N652/page-1", "74HC147N652")</f>
        <v>74HC147N652</v>
      </c>
      <c r="B20185" s="3" t="s">
        <v>93</v>
      </c>
      <c r="C20185" s="6">
        <v>13112</v>
      </c>
      <c r="D20185" s="7">
        <v>2.9</v>
      </c>
    </row>
    <row r="20186" spans="1:4" x14ac:dyDescent="0.25">
      <c r="A20186" t="str">
        <f>HYPERLINK("https://www.773grp.com/globalSearch/74HC154DB112/page-1", "74HC154DB112")</f>
        <v>74HC154DB112</v>
      </c>
      <c r="B20186" s="3" t="s">
        <v>93</v>
      </c>
      <c r="C20186" s="6">
        <v>826</v>
      </c>
      <c r="D20186" s="7">
        <v>2.9</v>
      </c>
    </row>
    <row r="20187" spans="1:4" x14ac:dyDescent="0.25">
      <c r="A20187" t="str">
        <f>HYPERLINK("https://www.773grp.com/globalSearch/74HCT147N652/page-1", "74HCT147N652")</f>
        <v>74HCT147N652</v>
      </c>
      <c r="B20187" s="3" t="s">
        <v>93</v>
      </c>
      <c r="C20187" s="6">
        <v>4000</v>
      </c>
      <c r="D20187" s="7">
        <v>2.9</v>
      </c>
    </row>
    <row r="20188" spans="1:4" x14ac:dyDescent="0.25">
      <c r="A20188" t="str">
        <f>HYPERLINK("https://www.773grp.com/globalSearch/74LV244N112/page-1", "74LV244N112")</f>
        <v>74LV244N112</v>
      </c>
      <c r="B20188" s="3" t="s">
        <v>93</v>
      </c>
      <c r="C20188" s="6">
        <v>2295</v>
      </c>
      <c r="D20188" s="7">
        <v>2.9</v>
      </c>
    </row>
    <row r="20189" spans="1:4" x14ac:dyDescent="0.25">
      <c r="A20189" t="str">
        <f>HYPERLINK("https://www.773grp.com/globalSearch/74LV245N112/page-1", "74LV245N112")</f>
        <v>74LV245N112</v>
      </c>
      <c r="B20189" s="3" t="s">
        <v>93</v>
      </c>
      <c r="C20189" s="6">
        <v>720</v>
      </c>
      <c r="D20189" s="7">
        <v>2.9</v>
      </c>
    </row>
    <row r="20190" spans="1:4" x14ac:dyDescent="0.25">
      <c r="A20190" t="str">
        <f>HYPERLINK("https://www.773grp.com/globalSearch/74LV373N112/page-1", "74LV373N112")</f>
        <v>74LV373N112</v>
      </c>
      <c r="B20190" s="3" t="s">
        <v>93</v>
      </c>
      <c r="C20190" s="6">
        <v>2160</v>
      </c>
      <c r="D20190" s="7">
        <v>2.9</v>
      </c>
    </row>
    <row r="20191" spans="1:4" x14ac:dyDescent="0.25">
      <c r="A20191" t="str">
        <f>HYPERLINK("https://www.773grp.com/globalSearch/74LV374N112/page-1", "74LV374N112")</f>
        <v>74LV374N112</v>
      </c>
      <c r="B20191" s="3" t="s">
        <v>93</v>
      </c>
      <c r="C20191" s="6">
        <v>720</v>
      </c>
      <c r="D20191" s="7">
        <v>2.9</v>
      </c>
    </row>
    <row r="20192" spans="1:4" x14ac:dyDescent="0.25">
      <c r="A20192" t="str">
        <f>HYPERLINK("https://www.773grp.com/globalSearch/74LVT16543ADGG118/page-1", "74LVT16543ADGG118")</f>
        <v>74LVT16543ADGG118</v>
      </c>
      <c r="B20192" s="3" t="s">
        <v>93</v>
      </c>
      <c r="C20192" s="6">
        <v>2000</v>
      </c>
      <c r="D20192" s="7">
        <v>2.9</v>
      </c>
    </row>
    <row r="20193" spans="1:4" x14ac:dyDescent="0.25">
      <c r="A20193" t="str">
        <f>HYPERLINK("https://www.773grp.com/globalSearch/74LVT16543ADL518/page-1", "74LVT16543ADL518")</f>
        <v>74LVT16543ADL518</v>
      </c>
      <c r="B20193" s="3" t="s">
        <v>93</v>
      </c>
      <c r="C20193" s="6">
        <v>3000</v>
      </c>
      <c r="D20193" s="7">
        <v>2.9</v>
      </c>
    </row>
    <row r="20194" spans="1:4" x14ac:dyDescent="0.25">
      <c r="A20194" t="str">
        <f>HYPERLINK("https://www.773grp.com/globalSearch/BT145-800R127/page-1", "BT145-800R127")</f>
        <v>BT145-800R127</v>
      </c>
      <c r="B20194" s="3" t="s">
        <v>93</v>
      </c>
      <c r="C20194" s="6">
        <v>2000</v>
      </c>
      <c r="D20194" s="7">
        <v>2.9</v>
      </c>
    </row>
    <row r="20195" spans="1:4" x14ac:dyDescent="0.25">
      <c r="A20195" t="str">
        <f>HYPERLINK("https://www.773grp.com/globalSearch/BUK9628-100A118/page-1", "BUK9628-100A118")</f>
        <v>BUK9628-100A118</v>
      </c>
      <c r="B20195" s="3" t="s">
        <v>93</v>
      </c>
      <c r="C20195" s="6">
        <v>3867</v>
      </c>
      <c r="D20195" s="7">
        <v>2.9</v>
      </c>
    </row>
    <row r="20196" spans="1:4" x14ac:dyDescent="0.25">
      <c r="A20196" t="str">
        <f>HYPERLINK("https://www.773grp.com/globalSearch/BYV44-500127/page-1", "BYV44-500127")</f>
        <v>BYV44-500127</v>
      </c>
      <c r="B20196" s="3" t="s">
        <v>93</v>
      </c>
      <c r="C20196" s="6">
        <v>3000</v>
      </c>
      <c r="D20196" s="7">
        <v>2.9</v>
      </c>
    </row>
    <row r="20197" spans="1:4" x14ac:dyDescent="0.25">
      <c r="A20197" t="str">
        <f>HYPERLINK("https://www.773grp.com/globalSearch/HEF4526BP652/page-1", "HEF4526BP652")</f>
        <v>HEF4526BP652</v>
      </c>
      <c r="B20197" s="3" t="s">
        <v>93</v>
      </c>
      <c r="C20197" s="6">
        <v>4575</v>
      </c>
      <c r="D20197" s="7">
        <v>2.9</v>
      </c>
    </row>
    <row r="20198" spans="1:4" x14ac:dyDescent="0.25">
      <c r="A20198" t="str">
        <f>HYPERLINK("https://www.773grp.com/globalSearch/N74F240N602/page-1", "N74F240N602")</f>
        <v>N74F240N602</v>
      </c>
      <c r="B20198" s="3" t="s">
        <v>93</v>
      </c>
      <c r="C20198" s="6">
        <v>3600</v>
      </c>
      <c r="D20198" s="7">
        <v>2.9</v>
      </c>
    </row>
    <row r="20199" spans="1:4" x14ac:dyDescent="0.25">
      <c r="A20199" t="str">
        <f>HYPERLINK("https://www.773grp.com/globalSearch/PCA82C250T-N4118/page-1", "PCA82C250T-N4118")</f>
        <v>PCA82C250T-N4118</v>
      </c>
      <c r="B20199" s="3" t="s">
        <v>93</v>
      </c>
      <c r="C20199" s="6">
        <v>35331</v>
      </c>
      <c r="D20199" s="7">
        <v>2.9</v>
      </c>
    </row>
    <row r="20200" spans="1:4" x14ac:dyDescent="0.25">
      <c r="A20200" t="str">
        <f>HYPERLINK("https://www.773grp.com/globalSearch/PCA9542APW112/page-1", "PCA9542APW112")</f>
        <v>PCA9542APW112</v>
      </c>
      <c r="B20200" s="3" t="s">
        <v>93</v>
      </c>
      <c r="C20200" s="6">
        <v>3597</v>
      </c>
      <c r="D20200" s="7">
        <v>2.9</v>
      </c>
    </row>
    <row r="20201" spans="1:4" x14ac:dyDescent="0.25">
      <c r="A20201" t="str">
        <f>HYPERLINK("https://www.773grp.com/globalSearch/PCA9542APW118/page-1", "PCA9542APW118")</f>
        <v>PCA9542APW118</v>
      </c>
      <c r="B20201" s="3" t="s">
        <v>93</v>
      </c>
      <c r="C20201" s="6">
        <v>105</v>
      </c>
      <c r="D20201" s="7">
        <v>2.9</v>
      </c>
    </row>
    <row r="20202" spans="1:4" x14ac:dyDescent="0.25">
      <c r="A20202" t="str">
        <f>HYPERLINK("https://www.773grp.com/globalSearch/PCA9558PW112/page-1", "PCA9558PW112")</f>
        <v>PCA9558PW112</v>
      </c>
      <c r="B20202" s="3" t="s">
        <v>93</v>
      </c>
      <c r="C20202" s="6">
        <v>6</v>
      </c>
      <c r="D20202" s="7">
        <v>2.9</v>
      </c>
    </row>
    <row r="20203" spans="1:4" x14ac:dyDescent="0.25">
      <c r="A20203" t="str">
        <f>HYPERLINK("https://www.773grp.com/globalSearch/PCF2120TK-1118/page-1", "PCF2120TK-1118")</f>
        <v>PCF2120TK-1118</v>
      </c>
      <c r="B20203" s="3" t="s">
        <v>93</v>
      </c>
      <c r="C20203" s="6">
        <v>10000</v>
      </c>
      <c r="D20203" s="7">
        <v>2.9</v>
      </c>
    </row>
    <row r="20204" spans="1:4" x14ac:dyDescent="0.25">
      <c r="A20204" t="str">
        <f>HYPERLINK("https://www.773grp.com/globalSearch/74CBTLV3384BQ118/page-1", "74CBTLV3384BQ118")</f>
        <v>74CBTLV3384BQ118</v>
      </c>
      <c r="B20204" s="3" t="s">
        <v>93</v>
      </c>
      <c r="C20204" s="6">
        <v>300</v>
      </c>
      <c r="D20204" s="7">
        <v>2.95</v>
      </c>
    </row>
    <row r="20205" spans="1:4" x14ac:dyDescent="0.25">
      <c r="A20205" t="str">
        <f>HYPERLINK("https://www.773grp.com/globalSearch/74HC7046AD112/page-1", "74HC7046AD112")</f>
        <v>74HC7046AD112</v>
      </c>
      <c r="B20205" s="3" t="s">
        <v>93</v>
      </c>
      <c r="C20205" s="6">
        <v>4536</v>
      </c>
      <c r="D20205" s="7">
        <v>2.95</v>
      </c>
    </row>
    <row r="20206" spans="1:4" x14ac:dyDescent="0.25">
      <c r="A20206" t="str">
        <f>HYPERLINK("https://www.773grp.com/globalSearch/74LV164N112/page-1", "74LV164N112")</f>
        <v>74LV164N112</v>
      </c>
      <c r="B20206" s="3" t="s">
        <v>93</v>
      </c>
      <c r="C20206" s="6">
        <v>1941</v>
      </c>
      <c r="D20206" s="7">
        <v>2.95</v>
      </c>
    </row>
    <row r="20207" spans="1:4" x14ac:dyDescent="0.25">
      <c r="A20207" t="str">
        <f>HYPERLINK("https://www.773grp.com/globalSearch/74LV174N112/page-1", "74LV174N112")</f>
        <v>74LV174N112</v>
      </c>
      <c r="B20207" s="3" t="s">
        <v>93</v>
      </c>
      <c r="C20207" s="6">
        <v>3000</v>
      </c>
      <c r="D20207" s="7">
        <v>2.95</v>
      </c>
    </row>
    <row r="20208" spans="1:4" x14ac:dyDescent="0.25">
      <c r="A20208" t="str">
        <f>HYPERLINK("https://www.773grp.com/globalSearch/BLT81115/page-1", "BLT81115")</f>
        <v>BLT81115</v>
      </c>
      <c r="B20208" s="3" t="s">
        <v>93</v>
      </c>
      <c r="C20208" s="6">
        <v>9060</v>
      </c>
      <c r="D20208" s="7">
        <v>2.95</v>
      </c>
    </row>
    <row r="20209" spans="1:4" x14ac:dyDescent="0.25">
      <c r="A20209" t="str">
        <f>HYPERLINK("https://www.773grp.com/globalSearch/CBTL02042BBQ115/page-1", "CBTL02042BBQ115")</f>
        <v>CBTL02042BBQ115</v>
      </c>
      <c r="B20209" s="3" t="s">
        <v>93</v>
      </c>
      <c r="C20209" s="6">
        <v>6053</v>
      </c>
      <c r="D20209" s="7">
        <v>2.95</v>
      </c>
    </row>
    <row r="20210" spans="1:4" x14ac:dyDescent="0.25">
      <c r="A20210" t="str">
        <f>HYPERLINK("https://www.773grp.com/globalSearch/HEF4543BP652/page-1", "HEF4543BP652")</f>
        <v>HEF4543BP652</v>
      </c>
      <c r="B20210" s="3" t="s">
        <v>93</v>
      </c>
      <c r="C20210" s="6">
        <v>19000</v>
      </c>
      <c r="D20210" s="7">
        <v>2.95</v>
      </c>
    </row>
    <row r="20211" spans="1:4" x14ac:dyDescent="0.25">
      <c r="A20211" t="str">
        <f>HYPERLINK("https://www.773grp.com/globalSearch/PCA9533D-01112/page-1", "PCA9533D-01112")</f>
        <v>PCA9533D-01112</v>
      </c>
      <c r="B20211" s="3" t="s">
        <v>93</v>
      </c>
      <c r="C20211" s="6">
        <v>6740</v>
      </c>
      <c r="D20211" s="7">
        <v>2.95</v>
      </c>
    </row>
    <row r="20212" spans="1:4" x14ac:dyDescent="0.25">
      <c r="A20212" t="str">
        <f>HYPERLINK("https://www.773grp.com/globalSearch/PCA9553D-01112/page-1", "PCA9553D-01112")</f>
        <v>PCA9553D-01112</v>
      </c>
      <c r="B20212" s="3" t="s">
        <v>93</v>
      </c>
      <c r="C20212" s="6">
        <v>2133</v>
      </c>
      <c r="D20212" s="7">
        <v>2.95</v>
      </c>
    </row>
    <row r="20213" spans="1:4" x14ac:dyDescent="0.25">
      <c r="A20213" t="str">
        <f>HYPERLINK("https://www.773grp.com/globalSearch/PCA9553D-02112/page-1", "PCA9553D-02112")</f>
        <v>PCA9553D-02112</v>
      </c>
      <c r="B20213" s="3" t="s">
        <v>93</v>
      </c>
      <c r="C20213" s="6">
        <v>1735</v>
      </c>
      <c r="D20213" s="7">
        <v>2.95</v>
      </c>
    </row>
    <row r="20214" spans="1:4" x14ac:dyDescent="0.25">
      <c r="A20214" t="str">
        <f>HYPERLINK("https://www.773grp.com/globalSearch/PCA9553DP-01118/page-1", "PCA9553DP-01118")</f>
        <v>PCA9553DP-01118</v>
      </c>
      <c r="B20214" s="3" t="s">
        <v>93</v>
      </c>
      <c r="C20214" s="6">
        <v>6893</v>
      </c>
      <c r="D20214" s="7">
        <v>2.95</v>
      </c>
    </row>
    <row r="20215" spans="1:4" x14ac:dyDescent="0.25">
      <c r="A20215" t="str">
        <f>HYPERLINK("https://www.773grp.com/globalSearch/PCA9553DP-02118/page-1", "PCA9553DP-02118")</f>
        <v>PCA9553DP-02118</v>
      </c>
      <c r="B20215" s="3" t="s">
        <v>93</v>
      </c>
      <c r="C20215" s="6">
        <v>2266</v>
      </c>
      <c r="D20215" s="7">
        <v>2.95</v>
      </c>
    </row>
    <row r="20216" spans="1:4" x14ac:dyDescent="0.25">
      <c r="A20216" t="str">
        <f>HYPERLINK("https://www.773grp.com/globalSearch/PHB47NQ10T118/page-1", "PHB47NQ10T118")</f>
        <v>PHB47NQ10T118</v>
      </c>
      <c r="B20216" s="3" t="s">
        <v>93</v>
      </c>
      <c r="C20216" s="6">
        <v>90</v>
      </c>
      <c r="D20216" s="7">
        <v>2.95</v>
      </c>
    </row>
    <row r="20217" spans="1:4" x14ac:dyDescent="0.25">
      <c r="A20217" t="str">
        <f>HYPERLINK("https://www.773grp.com/globalSearch/PSMN4R6-60PS127/page-1", "PSMN4R6-60PS127")</f>
        <v>PSMN4R6-60PS127</v>
      </c>
      <c r="B20217" s="3" t="s">
        <v>93</v>
      </c>
      <c r="C20217" s="6">
        <v>5000</v>
      </c>
      <c r="D20217" s="7">
        <v>2.95</v>
      </c>
    </row>
    <row r="20218" spans="1:4" x14ac:dyDescent="0.25">
      <c r="A20218" t="str">
        <f>HYPERLINK("https://www.773grp.com/globalSearch/PSMN6R5-80PS127/page-1", "PSMN6R5-80PS127")</f>
        <v>PSMN6R5-80PS127</v>
      </c>
      <c r="B20218" s="3" t="s">
        <v>93</v>
      </c>
      <c r="C20218" s="6">
        <v>2000</v>
      </c>
      <c r="D20218" s="7">
        <v>2.95</v>
      </c>
    </row>
    <row r="20219" spans="1:4" x14ac:dyDescent="0.25">
      <c r="A20219" t="str">
        <f>HYPERLINK("https://www.773grp.com/globalSearch/SSL21081T-1118/page-1", "SSL21081T-1118")</f>
        <v>SSL21081T-1118</v>
      </c>
      <c r="B20219" s="3" t="s">
        <v>93</v>
      </c>
      <c r="C20219" s="6">
        <v>4488</v>
      </c>
      <c r="D20219" s="7">
        <v>2.95</v>
      </c>
    </row>
    <row r="20220" spans="1:4" x14ac:dyDescent="0.25">
      <c r="A20220" t="str">
        <f>HYPERLINK("https://www.773grp.com/globalSearch/SSL21083AT-1118/page-1", "SSL21083AT-1118")</f>
        <v>SSL21083AT-1118</v>
      </c>
      <c r="B20220" s="3" t="s">
        <v>93</v>
      </c>
      <c r="C20220" s="6">
        <v>2500</v>
      </c>
      <c r="D20220" s="7">
        <v>2.95</v>
      </c>
    </row>
    <row r="20221" spans="1:4" x14ac:dyDescent="0.25">
      <c r="A20221" t="str">
        <f>HYPERLINK("https://www.773grp.com/globalSearch/SSL21083T-1118/page-1", "SSL21083T-1118")</f>
        <v>SSL21083T-1118</v>
      </c>
      <c r="B20221" s="3" t="s">
        <v>93</v>
      </c>
      <c r="C20221" s="6">
        <v>2500</v>
      </c>
      <c r="D20221" s="7">
        <v>2.95</v>
      </c>
    </row>
    <row r="20222" spans="1:4" x14ac:dyDescent="0.25">
      <c r="A20222" t="str">
        <f>HYPERLINK("https://www.773grp.com/globalSearch/UBA2021T-N2518/page-1", "UBA2021T-N2518")</f>
        <v>UBA2021T-N2518</v>
      </c>
      <c r="B20222" s="3" t="s">
        <v>93</v>
      </c>
      <c r="C20222" s="6">
        <v>529</v>
      </c>
      <c r="D20222" s="7">
        <v>2.95</v>
      </c>
    </row>
    <row r="20223" spans="1:4" x14ac:dyDescent="0.25">
      <c r="A20223" t="str">
        <f>HYPERLINK("https://www.773grp.com/globalSearch/74HCT4015N112/page-1", "74HCT4015N112")</f>
        <v>74HCT4015N112</v>
      </c>
      <c r="B20223" s="3" t="s">
        <v>93</v>
      </c>
      <c r="C20223" s="6">
        <v>5000</v>
      </c>
      <c r="D20223" s="7">
        <v>3</v>
      </c>
    </row>
    <row r="20224" spans="1:4" x14ac:dyDescent="0.25">
      <c r="A20224" t="str">
        <f>HYPERLINK("https://www.773grp.com/globalSearch/74HCT4016N112/page-1", "74HCT4016N112")</f>
        <v>74HCT4016N112</v>
      </c>
      <c r="B20224" s="3" t="s">
        <v>93</v>
      </c>
      <c r="C20224" s="6">
        <v>2000</v>
      </c>
      <c r="D20224" s="7">
        <v>3</v>
      </c>
    </row>
    <row r="20225" spans="1:4" x14ac:dyDescent="0.25">
      <c r="A20225" t="str">
        <f>HYPERLINK("https://www.773grp.com/globalSearch/74LV4052N112/page-1", "74LV4052N112")</f>
        <v>74LV4052N112</v>
      </c>
      <c r="B20225" s="3" t="s">
        <v>93</v>
      </c>
      <c r="C20225" s="6">
        <v>1170</v>
      </c>
      <c r="D20225" s="7">
        <v>3</v>
      </c>
    </row>
    <row r="20226" spans="1:4" x14ac:dyDescent="0.25">
      <c r="A20226" t="str">
        <f>HYPERLINK("https://www.773grp.com/globalSearch/BUK755R2-40B127/page-1", "BUK755R2-40B127")</f>
        <v>BUK755R2-40B127</v>
      </c>
      <c r="B20226" s="3" t="s">
        <v>93</v>
      </c>
      <c r="C20226" s="6">
        <v>4000</v>
      </c>
      <c r="D20226" s="7">
        <v>3</v>
      </c>
    </row>
    <row r="20227" spans="1:4" x14ac:dyDescent="0.25">
      <c r="A20227" t="str">
        <f>HYPERLINK("https://www.773grp.com/globalSearch/BYC20X-600127/page-1", "BYC20X-600127")</f>
        <v>BYC20X-600127</v>
      </c>
      <c r="B20227" s="3" t="s">
        <v>93</v>
      </c>
      <c r="C20227" s="6">
        <v>351000</v>
      </c>
      <c r="D20227" s="7">
        <v>3</v>
      </c>
    </row>
    <row r="20228" spans="1:4" x14ac:dyDescent="0.25">
      <c r="A20228" t="str">
        <f>HYPERLINK("https://www.773grp.com/globalSearch/HEF40374BT652/page-1", "HEF40374BT652")</f>
        <v>HEF40374BT652</v>
      </c>
      <c r="B20228" s="3" t="s">
        <v>93</v>
      </c>
      <c r="C20228" s="6">
        <v>1520</v>
      </c>
      <c r="D20228" s="7">
        <v>3</v>
      </c>
    </row>
    <row r="20229" spans="1:4" x14ac:dyDescent="0.25">
      <c r="A20229" t="str">
        <f>HYPERLINK("https://www.773grp.com/globalSearch/PSMN9R5-100PS127/page-1", "PSMN9R5-100PS127")</f>
        <v>PSMN9R5-100PS127</v>
      </c>
      <c r="B20229" s="3" t="s">
        <v>93</v>
      </c>
      <c r="C20229" s="6">
        <v>8300</v>
      </c>
      <c r="D20229" s="7">
        <v>3</v>
      </c>
    </row>
    <row r="20230" spans="1:4" x14ac:dyDescent="0.25">
      <c r="A20230" t="str">
        <f>HYPERLINK("https://www.773grp.com/globalSearch/TJA1055T-3-C512/page-1", "TJA1055T-3-C512")</f>
        <v>TJA1055T-3-C512</v>
      </c>
      <c r="B20230" s="3" t="s">
        <v>93</v>
      </c>
      <c r="C20230" s="6">
        <v>90</v>
      </c>
      <c r="D20230" s="7">
        <v>3</v>
      </c>
    </row>
    <row r="20231" spans="1:4" x14ac:dyDescent="0.25">
      <c r="A20231" t="str">
        <f>HYPERLINK("https://www.773grp.com/globalSearch/UBA2024T-N1518/page-1", "UBA2024T-N1518")</f>
        <v>UBA2024T-N1518</v>
      </c>
      <c r="B20231" s="3" t="s">
        <v>93</v>
      </c>
      <c r="C20231" s="6">
        <v>2500</v>
      </c>
      <c r="D20231" s="7">
        <v>3</v>
      </c>
    </row>
    <row r="20232" spans="1:4" x14ac:dyDescent="0.25">
      <c r="A20232" t="str">
        <f>HYPERLINK("https://www.773grp.com/globalSearch/BGA6289135/page-1", "BGA6289135")</f>
        <v>BGA6289135</v>
      </c>
      <c r="B20232" s="3" t="s">
        <v>93</v>
      </c>
      <c r="C20232" s="6">
        <v>8040</v>
      </c>
      <c r="D20232" s="7">
        <v>3.05</v>
      </c>
    </row>
    <row r="20233" spans="1:4" x14ac:dyDescent="0.25">
      <c r="A20233" t="str">
        <f>HYPERLINK("https://www.773grp.com/globalSearch/BGA6589135/page-1", "BGA6589135")</f>
        <v>BGA6589135</v>
      </c>
      <c r="B20233" s="3" t="s">
        <v>93</v>
      </c>
      <c r="C20233" s="6">
        <v>8100</v>
      </c>
      <c r="D20233" s="7">
        <v>3.05</v>
      </c>
    </row>
    <row r="20234" spans="1:4" x14ac:dyDescent="0.25">
      <c r="A20234" t="str">
        <f>HYPERLINK("https://www.773grp.com/globalSearch/BTA225-800B127/page-1", "BTA225-800B127")</f>
        <v>BTA225-800B127</v>
      </c>
      <c r="B20234" s="3" t="s">
        <v>93</v>
      </c>
      <c r="C20234" s="6">
        <v>42000</v>
      </c>
      <c r="D20234" s="7">
        <v>3.05</v>
      </c>
    </row>
    <row r="20235" spans="1:4" x14ac:dyDescent="0.25">
      <c r="A20235" t="str">
        <f>HYPERLINK("https://www.773grp.com/globalSearch/BUK7507-55B127/page-1", "BUK7507-55B127")</f>
        <v>BUK7507-55B127</v>
      </c>
      <c r="B20235" s="3" t="s">
        <v>93</v>
      </c>
      <c r="C20235" s="6">
        <v>4200</v>
      </c>
      <c r="D20235" s="7">
        <v>3.05</v>
      </c>
    </row>
    <row r="20236" spans="1:4" x14ac:dyDescent="0.25">
      <c r="A20236" t="str">
        <f>HYPERLINK("https://www.773grp.com/globalSearch/CBTL04082BBS518/page-1", "CBTL04082BBS518")</f>
        <v>CBTL04082BBS518</v>
      </c>
      <c r="B20236" s="3" t="s">
        <v>93</v>
      </c>
      <c r="C20236" s="6">
        <v>120084</v>
      </c>
      <c r="D20236" s="7">
        <v>3.05</v>
      </c>
    </row>
    <row r="20237" spans="1:4" x14ac:dyDescent="0.25">
      <c r="A20237" t="str">
        <f>HYPERLINK("https://www.773grp.com/globalSearch/CBTU04082BS518/page-1", "CBTU04082BS518")</f>
        <v>CBTU04082BS518</v>
      </c>
      <c r="B20237" s="3" t="s">
        <v>93</v>
      </c>
      <c r="C20237" s="6">
        <v>4100</v>
      </c>
      <c r="D20237" s="7">
        <v>3.05</v>
      </c>
    </row>
    <row r="20238" spans="1:4" x14ac:dyDescent="0.25">
      <c r="A20238" t="str">
        <f>HYPERLINK("https://www.773grp.com/globalSearch/I74F3037D512/page-1", "I74F3037D512")</f>
        <v>I74F3037D512</v>
      </c>
      <c r="B20238" s="3" t="s">
        <v>93</v>
      </c>
      <c r="C20238" s="6">
        <v>30</v>
      </c>
      <c r="D20238" s="7">
        <v>3.05</v>
      </c>
    </row>
    <row r="20239" spans="1:4" x14ac:dyDescent="0.25">
      <c r="A20239" t="str">
        <f>HYPERLINK("https://www.773grp.com/globalSearch/I74F3037D518/page-1", "I74F3037D518")</f>
        <v>I74F3037D518</v>
      </c>
      <c r="B20239" s="3" t="s">
        <v>93</v>
      </c>
      <c r="C20239" s="6">
        <v>10000</v>
      </c>
      <c r="D20239" s="7">
        <v>3.05</v>
      </c>
    </row>
    <row r="20240" spans="1:4" x14ac:dyDescent="0.25">
      <c r="A20240" t="str">
        <f>HYPERLINK("https://www.773grp.com/globalSearch/N74F3037D518/page-1", "N74F3037D518")</f>
        <v>N74F3037D518</v>
      </c>
      <c r="B20240" s="3" t="s">
        <v>93</v>
      </c>
      <c r="C20240" s="6">
        <v>2000</v>
      </c>
      <c r="D20240" s="7">
        <v>3.05</v>
      </c>
    </row>
    <row r="20241" spans="1:4" x14ac:dyDescent="0.25">
      <c r="A20241" t="str">
        <f>HYPERLINK("https://www.773grp.com/globalSearch/PCA6416AEVJ/page-1", "PCA6416AEVJ")</f>
        <v>PCA6416AEVJ</v>
      </c>
      <c r="B20241" s="3" t="s">
        <v>93</v>
      </c>
      <c r="C20241" s="6">
        <v>298</v>
      </c>
      <c r="D20241" s="7">
        <v>3.05</v>
      </c>
    </row>
    <row r="20242" spans="1:4" x14ac:dyDescent="0.25">
      <c r="A20242" t="str">
        <f>HYPERLINK("https://www.773grp.com/globalSearch/PCA9550D112/page-1", "PCA9550D112")</f>
        <v>PCA9550D112</v>
      </c>
      <c r="B20242" s="3" t="s">
        <v>93</v>
      </c>
      <c r="C20242" s="6">
        <v>1126</v>
      </c>
      <c r="D20242" s="7">
        <v>3.05</v>
      </c>
    </row>
    <row r="20243" spans="1:4" x14ac:dyDescent="0.25">
      <c r="A20243" t="str">
        <f>HYPERLINK("https://www.773grp.com/globalSearch/PCA9550DP118/page-1", "PCA9550DP118")</f>
        <v>PCA9550DP118</v>
      </c>
      <c r="B20243" s="3" t="s">
        <v>93</v>
      </c>
      <c r="C20243" s="6">
        <v>16815</v>
      </c>
      <c r="D20243" s="7">
        <v>3.05</v>
      </c>
    </row>
    <row r="20244" spans="1:4" x14ac:dyDescent="0.25">
      <c r="A20244" t="str">
        <f>HYPERLINK("https://www.773grp.com/globalSearch/PCA9674AN112/page-1", "PCA9674AN112")</f>
        <v>PCA9674AN112</v>
      </c>
      <c r="B20244" s="3" t="s">
        <v>93</v>
      </c>
      <c r="C20244" s="6">
        <v>100</v>
      </c>
      <c r="D20244" s="7">
        <v>3.05</v>
      </c>
    </row>
    <row r="20245" spans="1:4" x14ac:dyDescent="0.25">
      <c r="A20245" t="str">
        <f>HYPERLINK("https://www.773grp.com/globalSearch/PCA9703PW118/page-1", "PCA9703PW118")</f>
        <v>PCA9703PW118</v>
      </c>
      <c r="B20245" s="3" t="s">
        <v>93</v>
      </c>
      <c r="C20245" s="6">
        <v>2500</v>
      </c>
      <c r="D20245" s="7">
        <v>3.05</v>
      </c>
    </row>
    <row r="20246" spans="1:4" x14ac:dyDescent="0.25">
      <c r="A20246" t="str">
        <f>HYPERLINK("https://www.773grp.com/globalSearch/PSMN2R0-30PL127/page-1", "PSMN2R0-30PL127")</f>
        <v>PSMN2R0-30PL127</v>
      </c>
      <c r="B20246" s="3" t="s">
        <v>93</v>
      </c>
      <c r="C20246" s="6">
        <v>6803</v>
      </c>
      <c r="D20246" s="7">
        <v>3.05</v>
      </c>
    </row>
    <row r="20247" spans="1:4" x14ac:dyDescent="0.25">
      <c r="A20247" t="str">
        <f>HYPERLINK("https://www.773grp.com/globalSearch/PSMN9R5-100BS118/page-1", "PSMN9R5-100BS118")</f>
        <v>PSMN9R5-100BS118</v>
      </c>
      <c r="B20247" s="3" t="s">
        <v>93</v>
      </c>
      <c r="C20247" s="6">
        <v>142</v>
      </c>
      <c r="D20247" s="7">
        <v>3.05</v>
      </c>
    </row>
    <row r="20248" spans="1:4" x14ac:dyDescent="0.25">
      <c r="A20248" t="str">
        <f>HYPERLINK("https://www.773grp.com/globalSearch/BUK7610-100B118/page-1", "BUK7610-100B118")</f>
        <v>BUK7610-100B118</v>
      </c>
      <c r="B20248" s="3" t="s">
        <v>93</v>
      </c>
      <c r="C20248" s="6">
        <v>3200</v>
      </c>
      <c r="D20248" s="7">
        <v>2.81</v>
      </c>
    </row>
    <row r="20249" spans="1:4" x14ac:dyDescent="0.25">
      <c r="A20249" t="str">
        <f>HYPERLINK("https://www.773grp.com/globalSearch/LPC1113FBD48-3031/page-1", "LPC1113FBD48-3031")</f>
        <v>LPC1113FBD48-3031</v>
      </c>
      <c r="B20249" s="3" t="s">
        <v>93</v>
      </c>
      <c r="C20249" s="6">
        <v>10</v>
      </c>
      <c r="D20249" s="7">
        <v>2.81</v>
      </c>
    </row>
    <row r="20250" spans="1:4" x14ac:dyDescent="0.25">
      <c r="A20250" t="str">
        <f>HYPERLINK("https://www.773grp.com/globalSearch/LPC1114FHN33-302:5/page-1", "LPC1114FHN33-302:5")</f>
        <v>LPC1114FHN33-302:5</v>
      </c>
      <c r="B20250" s="3" t="s">
        <v>93</v>
      </c>
      <c r="C20250" s="6">
        <v>250</v>
      </c>
      <c r="D20250" s="7">
        <v>2.81</v>
      </c>
    </row>
    <row r="20251" spans="1:4" x14ac:dyDescent="0.25">
      <c r="A20251" t="str">
        <f>HYPERLINK("https://www.773grp.com/globalSearch/P80C32X2FA512/page-1", "P80C32X2FA512")</f>
        <v>P80C32X2FA512</v>
      </c>
      <c r="B20251" s="3" t="s">
        <v>93</v>
      </c>
      <c r="C20251" s="6">
        <v>1003</v>
      </c>
      <c r="D20251" s="7">
        <v>2.81</v>
      </c>
    </row>
    <row r="20252" spans="1:4" x14ac:dyDescent="0.25">
      <c r="A20252" t="str">
        <f>HYPERLINK("https://www.773grp.com/globalSearch/PCA9952TW118/page-1", "PCA9952TW118")</f>
        <v>PCA9952TW118</v>
      </c>
      <c r="B20252" s="3" t="s">
        <v>93</v>
      </c>
      <c r="C20252" s="6">
        <v>5626</v>
      </c>
      <c r="D20252" s="7">
        <v>2.81</v>
      </c>
    </row>
    <row r="20253" spans="1:4" x14ac:dyDescent="0.25">
      <c r="A20253" t="str">
        <f>HYPERLINK("https://www.773grp.com/globalSearch/PCA9955TW118/page-1", "PCA9955TW118")</f>
        <v>PCA9955TW118</v>
      </c>
      <c r="B20253" s="3" t="s">
        <v>93</v>
      </c>
      <c r="C20253" s="6">
        <v>749</v>
      </c>
      <c r="D20253" s="7">
        <v>2.81</v>
      </c>
    </row>
    <row r="20254" spans="1:4" x14ac:dyDescent="0.25">
      <c r="A20254" t="str">
        <f>HYPERLINK("https://www.773grp.com/globalSearch/PCF8578HT-1518/page-1", "PCF8578HT-1518")</f>
        <v>PCF8578HT-1518</v>
      </c>
      <c r="B20254" s="3" t="s">
        <v>93</v>
      </c>
      <c r="C20254" s="6">
        <v>1000</v>
      </c>
      <c r="D20254" s="7">
        <v>2.81</v>
      </c>
    </row>
    <row r="20255" spans="1:4" x14ac:dyDescent="0.25">
      <c r="A20255" t="str">
        <f>HYPERLINK("https://www.773grp.com/globalSearch/PHB191NQ06LT118/page-1", "PHB191NQ06LT118")</f>
        <v>PHB191NQ06LT118</v>
      </c>
      <c r="B20255" s="3" t="s">
        <v>93</v>
      </c>
      <c r="C20255" s="6">
        <v>1600</v>
      </c>
      <c r="D20255" s="7">
        <v>2.81</v>
      </c>
    </row>
    <row r="20256" spans="1:4" x14ac:dyDescent="0.25">
      <c r="A20256" t="str">
        <f>HYPERLINK("https://www.773grp.com/globalSearch/SC18IM700IPW112/page-1", "SC18IM700IPW112")</f>
        <v>SC18IM700IPW112</v>
      </c>
      <c r="B20256" s="3" t="s">
        <v>93</v>
      </c>
      <c r="C20256" s="6">
        <v>3360</v>
      </c>
      <c r="D20256" s="7">
        <v>2.81</v>
      </c>
    </row>
    <row r="20257" spans="1:5" x14ac:dyDescent="0.25">
      <c r="A20257" t="str">
        <f>HYPERLINK("https://www.773grp.com/globalSearch/SC18IS600IPW112/page-1", "SC18IS600IPW112")</f>
        <v>SC18IS600IPW112</v>
      </c>
      <c r="B20257" s="3" t="s">
        <v>93</v>
      </c>
      <c r="C20257" s="6">
        <v>850</v>
      </c>
      <c r="D20257" s="7">
        <v>2.81</v>
      </c>
    </row>
    <row r="20258" spans="1:5" x14ac:dyDescent="0.25">
      <c r="A20258" t="str">
        <f>HYPERLINK("https://www.773grp.com/globalSearch/SC18IS602BIPW112/page-1", "SC18IS602BIPW112")</f>
        <v>SC18IS602BIPW112</v>
      </c>
      <c r="B20258" s="3" t="s">
        <v>93</v>
      </c>
      <c r="C20258" s="6">
        <v>2016</v>
      </c>
      <c r="D20258" s="7">
        <v>2.81</v>
      </c>
    </row>
    <row r="20259" spans="1:5" x14ac:dyDescent="0.25">
      <c r="A20259" t="str">
        <f>HYPERLINK("https://www.773grp.com/globalSearch/SN74ALVC164245DGGR/page-1", "SN74ALVC164245DGGR")</f>
        <v>SN74ALVC164245DGGR</v>
      </c>
      <c r="B20259" s="3" t="s">
        <v>93</v>
      </c>
      <c r="C20259" s="6">
        <v>2000</v>
      </c>
      <c r="D20259" s="7">
        <v>2.81</v>
      </c>
      <c r="E20259" t="s">
        <v>14</v>
      </c>
    </row>
    <row r="20260" spans="1:5" x14ac:dyDescent="0.25">
      <c r="A20260" t="str">
        <f>HYPERLINK("https://www.773grp.com/globalSearch/BUK9506-40B127/page-1", "BUK9506-40B127")</f>
        <v>BUK9506-40B127</v>
      </c>
      <c r="B20260" s="3" t="s">
        <v>93</v>
      </c>
      <c r="C20260" s="6">
        <v>4000</v>
      </c>
      <c r="D20260" s="7">
        <v>3.1</v>
      </c>
    </row>
    <row r="20261" spans="1:5" x14ac:dyDescent="0.25">
      <c r="A20261" t="str">
        <f>HYPERLINK("https://www.773grp.com/globalSearch/BUK9508-55B127/page-1", "BUK9508-55B127")</f>
        <v>BUK9508-55B127</v>
      </c>
      <c r="B20261" s="3" t="s">
        <v>93</v>
      </c>
      <c r="C20261" s="6">
        <v>6000</v>
      </c>
      <c r="D20261" s="7">
        <v>3.1</v>
      </c>
    </row>
    <row r="20262" spans="1:5" x14ac:dyDescent="0.25">
      <c r="A20262" t="str">
        <f>HYPERLINK("https://www.773grp.com/globalSearch/BUK9520-100B127/page-1", "BUK9520-100B127")</f>
        <v>BUK9520-100B127</v>
      </c>
      <c r="B20262" s="3" t="s">
        <v>93</v>
      </c>
      <c r="C20262" s="6">
        <v>4736</v>
      </c>
      <c r="D20262" s="7">
        <v>3.1</v>
      </c>
    </row>
    <row r="20263" spans="1:5" x14ac:dyDescent="0.25">
      <c r="A20263" t="str">
        <f>HYPERLINK("https://www.773grp.com/globalSearch/I74F133D118/page-1", "I74F133D118")</f>
        <v>I74F133D118</v>
      </c>
      <c r="B20263" s="3" t="s">
        <v>93</v>
      </c>
      <c r="C20263" s="6">
        <v>5000</v>
      </c>
      <c r="D20263" s="7">
        <v>3.1</v>
      </c>
    </row>
    <row r="20264" spans="1:5" x14ac:dyDescent="0.25">
      <c r="A20264" t="str">
        <f>HYPERLINK("https://www.773grp.com/globalSearch/NE57814DD518/page-1", "NE57814DD518")</f>
        <v>NE57814DD518</v>
      </c>
      <c r="B20264" s="3" t="s">
        <v>93</v>
      </c>
      <c r="C20264" s="6">
        <v>2330</v>
      </c>
      <c r="D20264" s="7">
        <v>3.1</v>
      </c>
    </row>
    <row r="20265" spans="1:5" x14ac:dyDescent="0.25">
      <c r="A20265" t="str">
        <f>HYPERLINK("https://www.773grp.com/globalSearch/PCA85162T-Q900-11/page-1", "PCA85162T-Q900-11")</f>
        <v>PCA85162T-Q900-11</v>
      </c>
      <c r="B20265" s="3" t="s">
        <v>93</v>
      </c>
      <c r="C20265" s="6">
        <v>18</v>
      </c>
      <c r="D20265" s="7">
        <v>3.1</v>
      </c>
    </row>
    <row r="20266" spans="1:5" x14ac:dyDescent="0.25">
      <c r="A20266" t="str">
        <f>HYPERLINK("https://www.773grp.com/globalSearch/PCA9535CPW118/page-1", "PCA9535CPW118")</f>
        <v>PCA9535CPW118</v>
      </c>
      <c r="B20266" s="3" t="s">
        <v>93</v>
      </c>
      <c r="C20266" s="6">
        <v>1799</v>
      </c>
      <c r="D20266" s="7">
        <v>3.1</v>
      </c>
    </row>
    <row r="20267" spans="1:5" x14ac:dyDescent="0.25">
      <c r="A20267" t="str">
        <f>HYPERLINK("https://www.773grp.com/globalSearch/PCA9535D118/page-1", "PCA9535D118")</f>
        <v>PCA9535D118</v>
      </c>
      <c r="B20267" s="3" t="s">
        <v>93</v>
      </c>
      <c r="C20267" s="6">
        <v>41000</v>
      </c>
      <c r="D20267" s="7">
        <v>3.1</v>
      </c>
    </row>
    <row r="20268" spans="1:5" x14ac:dyDescent="0.25">
      <c r="A20268" t="str">
        <f>HYPERLINK("https://www.773grp.com/globalSearch/SSL21153T-1118/page-1", "SSL21153T-1118")</f>
        <v>SSL21153T-1118</v>
      </c>
      <c r="B20268" s="3" t="s">
        <v>93</v>
      </c>
      <c r="C20268" s="6">
        <v>2500</v>
      </c>
      <c r="D20268" s="7">
        <v>3.1</v>
      </c>
    </row>
    <row r="20269" spans="1:5" x14ac:dyDescent="0.25">
      <c r="A20269" t="str">
        <f>HYPERLINK("https://www.773grp.com/globalSearch/TJA1041AT-CM118/page-1", "TJA1041AT-CM118")</f>
        <v>TJA1041AT-CM118</v>
      </c>
      <c r="B20269" s="3" t="s">
        <v>93</v>
      </c>
      <c r="C20269" s="6">
        <v>2500</v>
      </c>
      <c r="D20269" s="7">
        <v>3.1</v>
      </c>
    </row>
    <row r="20270" spans="1:5" x14ac:dyDescent="0.25">
      <c r="A20270" t="str">
        <f>HYPERLINK("https://www.773grp.com/globalSearch/UBA2211BP-N1112/page-1", "UBA2211BP-N1112")</f>
        <v>UBA2211BP-N1112</v>
      </c>
      <c r="B20270" s="3" t="s">
        <v>93</v>
      </c>
      <c r="C20270" s="6">
        <v>1438</v>
      </c>
      <c r="D20270" s="7">
        <v>3.1</v>
      </c>
    </row>
    <row r="20271" spans="1:5" x14ac:dyDescent="0.25">
      <c r="A20271" t="str">
        <f>HYPERLINK("https://www.773grp.com/globalSearch/BUK753R1-40B127/page-1", "BUK753R1-40B127")</f>
        <v>BUK753R1-40B127</v>
      </c>
      <c r="B20271" s="3" t="s">
        <v>93</v>
      </c>
      <c r="C20271" s="6">
        <v>294</v>
      </c>
      <c r="D20271" s="7">
        <v>2.84</v>
      </c>
    </row>
    <row r="20272" spans="1:5" x14ac:dyDescent="0.25">
      <c r="A20272" t="str">
        <f>HYPERLINK("https://www.773grp.com/globalSearch/BUK754R0-55B127/page-1", "BUK754R0-55B127")</f>
        <v>BUK754R0-55B127</v>
      </c>
      <c r="B20272" s="3" t="s">
        <v>93</v>
      </c>
      <c r="C20272" s="6">
        <v>2500</v>
      </c>
      <c r="D20272" s="7">
        <v>2.84</v>
      </c>
    </row>
    <row r="20273" spans="1:4" x14ac:dyDescent="0.25">
      <c r="A20273" t="str">
        <f>HYPERLINK("https://www.773grp.com/globalSearch/74AVC16T245BX518/page-1", "74AVC16T245BX518")</f>
        <v>74AVC16T245BX518</v>
      </c>
      <c r="B20273" s="3" t="s">
        <v>93</v>
      </c>
      <c r="C20273" s="6">
        <v>4750</v>
      </c>
      <c r="D20273" s="7">
        <v>3.18</v>
      </c>
    </row>
    <row r="20274" spans="1:4" x14ac:dyDescent="0.25">
      <c r="A20274" t="str">
        <f>HYPERLINK("https://www.773grp.com/globalSearch/74LV259N112/page-1", "74LV259N112")</f>
        <v>74LV259N112</v>
      </c>
      <c r="B20274" s="3" t="s">
        <v>93</v>
      </c>
      <c r="C20274" s="6">
        <v>1000</v>
      </c>
      <c r="D20274" s="7">
        <v>3.18</v>
      </c>
    </row>
    <row r="20275" spans="1:4" x14ac:dyDescent="0.25">
      <c r="A20275" t="str">
        <f>HYPERLINK("https://www.773grp.com/globalSearch/BTA225-600B127/page-1", "BTA225-600B127")</f>
        <v>BTA225-600B127</v>
      </c>
      <c r="B20275" s="3" t="s">
        <v>93</v>
      </c>
      <c r="C20275" s="6">
        <v>13100</v>
      </c>
      <c r="D20275" s="7">
        <v>3.18</v>
      </c>
    </row>
    <row r="20276" spans="1:4" x14ac:dyDescent="0.25">
      <c r="A20276" t="str">
        <f>HYPERLINK("https://www.773grp.com/globalSearch/BUK7607-55B118/page-1", "BUK7607-55B118")</f>
        <v>BUK7607-55B118</v>
      </c>
      <c r="B20276" s="3" t="s">
        <v>93</v>
      </c>
      <c r="C20276" s="6">
        <v>4584</v>
      </c>
      <c r="D20276" s="7">
        <v>3.18</v>
      </c>
    </row>
    <row r="20277" spans="1:4" x14ac:dyDescent="0.25">
      <c r="A20277" t="str">
        <f>HYPERLINK("https://www.773grp.com/globalSearch/BYV34G-600127/page-1", "BYV34G-600127")</f>
        <v>BYV34G-600127</v>
      </c>
      <c r="B20277" s="3" t="s">
        <v>93</v>
      </c>
      <c r="C20277" s="6">
        <v>2000</v>
      </c>
      <c r="D20277" s="7">
        <v>3.18</v>
      </c>
    </row>
    <row r="20278" spans="1:4" x14ac:dyDescent="0.25">
      <c r="A20278" t="str">
        <f>HYPERLINK("https://www.773grp.com/globalSearch/NE1617ADS118/page-1", "NE1617ADS118")</f>
        <v>NE1617ADS118</v>
      </c>
      <c r="B20278" s="3" t="s">
        <v>93</v>
      </c>
      <c r="C20278" s="6">
        <v>391</v>
      </c>
      <c r="D20278" s="7">
        <v>3.18</v>
      </c>
    </row>
    <row r="20279" spans="1:4" x14ac:dyDescent="0.25">
      <c r="A20279" t="str">
        <f>HYPERLINK("https://www.773grp.com/globalSearch/PCA9500BS118/page-1", "PCA9500BS118")</f>
        <v>PCA9500BS118</v>
      </c>
      <c r="B20279" s="3" t="s">
        <v>93</v>
      </c>
      <c r="C20279" s="6">
        <v>310</v>
      </c>
      <c r="D20279" s="7">
        <v>3.18</v>
      </c>
    </row>
    <row r="20280" spans="1:4" x14ac:dyDescent="0.25">
      <c r="A20280" t="str">
        <f>HYPERLINK("https://www.773grp.com/globalSearch/PCA9500D112/page-1", "PCA9500D112")</f>
        <v>PCA9500D112</v>
      </c>
      <c r="B20280" s="3" t="s">
        <v>93</v>
      </c>
      <c r="C20280" s="6">
        <v>1381</v>
      </c>
      <c r="D20280" s="7">
        <v>3.18</v>
      </c>
    </row>
    <row r="20281" spans="1:4" x14ac:dyDescent="0.25">
      <c r="A20281" t="str">
        <f>HYPERLINK("https://www.773grp.com/globalSearch/PCA9500D118/page-1", "PCA9500D118")</f>
        <v>PCA9500D118</v>
      </c>
      <c r="B20281" s="3" t="s">
        <v>93</v>
      </c>
      <c r="C20281" s="6">
        <v>474</v>
      </c>
      <c r="D20281" s="7">
        <v>3.18</v>
      </c>
    </row>
    <row r="20282" spans="1:4" x14ac:dyDescent="0.25">
      <c r="A20282" t="str">
        <f>HYPERLINK("https://www.773grp.com/globalSearch/PCA9500PW112/page-1", "PCA9500PW112")</f>
        <v>PCA9500PW112</v>
      </c>
      <c r="B20282" s="3" t="s">
        <v>93</v>
      </c>
      <c r="C20282" s="6">
        <v>4220</v>
      </c>
      <c r="D20282" s="7">
        <v>3.18</v>
      </c>
    </row>
    <row r="20283" spans="1:4" x14ac:dyDescent="0.25">
      <c r="A20283" t="str">
        <f>HYPERLINK("https://www.773grp.com/globalSearch/PCA9575HF118/page-1", "PCA9575HF118")</f>
        <v>PCA9575HF118</v>
      </c>
      <c r="B20283" s="3" t="s">
        <v>93</v>
      </c>
      <c r="C20283" s="6">
        <v>6075</v>
      </c>
      <c r="D20283" s="7">
        <v>3.18</v>
      </c>
    </row>
    <row r="20284" spans="1:4" x14ac:dyDescent="0.25">
      <c r="A20284" t="str">
        <f>HYPERLINK("https://www.773grp.com/globalSearch/PCA9575PW2118/page-1", "PCA9575PW2118")</f>
        <v>PCA9575PW2118</v>
      </c>
      <c r="B20284" s="3" t="s">
        <v>93</v>
      </c>
      <c r="C20284" s="6">
        <v>2518</v>
      </c>
      <c r="D20284" s="7">
        <v>3.18</v>
      </c>
    </row>
    <row r="20285" spans="1:4" x14ac:dyDescent="0.25">
      <c r="A20285" t="str">
        <f>HYPERLINK("https://www.773grp.com/globalSearch/PCA9624PW112/page-1", "PCA9624PW112")</f>
        <v>PCA9624PW112</v>
      </c>
      <c r="B20285" s="3" t="s">
        <v>93</v>
      </c>
      <c r="C20285" s="6">
        <v>3150</v>
      </c>
      <c r="D20285" s="7">
        <v>3.18</v>
      </c>
    </row>
    <row r="20286" spans="1:4" x14ac:dyDescent="0.25">
      <c r="A20286" t="str">
        <f>HYPERLINK("https://www.773grp.com/globalSearch/PCA9624PW118/page-1", "PCA9624PW118")</f>
        <v>PCA9624PW118</v>
      </c>
      <c r="B20286" s="3" t="s">
        <v>93</v>
      </c>
      <c r="C20286" s="6">
        <v>1848</v>
      </c>
      <c r="D20286" s="7">
        <v>3.18</v>
      </c>
    </row>
    <row r="20287" spans="1:4" x14ac:dyDescent="0.25">
      <c r="A20287" t="str">
        <f>HYPERLINK("https://www.773grp.com/globalSearch/PCF8563T-F4118/page-1", "PCF8563T-F4118")</f>
        <v>PCF8563T-F4118</v>
      </c>
      <c r="B20287" s="3" t="s">
        <v>93</v>
      </c>
      <c r="C20287" s="6">
        <v>53783</v>
      </c>
      <c r="D20287" s="7">
        <v>3.18</v>
      </c>
    </row>
    <row r="20288" spans="1:4" x14ac:dyDescent="0.25">
      <c r="A20288" t="str">
        <f>HYPERLINK("https://www.773grp.com/globalSearch/PCF8563TS-4118/page-1", "PCF8563TS-4118")</f>
        <v>PCF8563TS-4118</v>
      </c>
      <c r="B20288" s="3" t="s">
        <v>93</v>
      </c>
      <c r="C20288" s="6">
        <v>5000</v>
      </c>
      <c r="D20288" s="7">
        <v>3.18</v>
      </c>
    </row>
    <row r="20289" spans="1:4" x14ac:dyDescent="0.25">
      <c r="A20289" t="str">
        <f>HYPERLINK("https://www.773grp.com/globalSearch/PHP33NQ20T127/page-1", "PHP33NQ20T127")</f>
        <v>PHP33NQ20T127</v>
      </c>
      <c r="B20289" s="3" t="s">
        <v>93</v>
      </c>
      <c r="C20289" s="6">
        <v>7000</v>
      </c>
      <c r="D20289" s="7">
        <v>3.18</v>
      </c>
    </row>
    <row r="20290" spans="1:4" x14ac:dyDescent="0.25">
      <c r="A20290" t="str">
        <f>HYPERLINK("https://www.773grp.com/globalSearch/TEA1751AT-N1518/page-1", "TEA1751AT-N1518")</f>
        <v>TEA1751AT-N1518</v>
      </c>
      <c r="B20290" s="3" t="s">
        <v>93</v>
      </c>
      <c r="C20290" s="6">
        <v>300</v>
      </c>
      <c r="D20290" s="7">
        <v>3.18</v>
      </c>
    </row>
    <row r="20291" spans="1:4" x14ac:dyDescent="0.25">
      <c r="A20291" t="str">
        <f>HYPERLINK("https://www.773grp.com/globalSearch/TEA1751LT-N1518/page-1", "TEA1751LT-N1518")</f>
        <v>TEA1751LT-N1518</v>
      </c>
      <c r="B20291" s="3" t="s">
        <v>93</v>
      </c>
      <c r="C20291" s="6">
        <v>3394</v>
      </c>
      <c r="D20291" s="7">
        <v>3.18</v>
      </c>
    </row>
    <row r="20292" spans="1:4" x14ac:dyDescent="0.25">
      <c r="A20292" t="str">
        <f>HYPERLINK("https://www.773grp.com/globalSearch/TEA1751T-N1518/page-1", "TEA1751T-N1518")</f>
        <v>TEA1751T-N1518</v>
      </c>
      <c r="B20292" s="3" t="s">
        <v>93</v>
      </c>
      <c r="C20292" s="6">
        <v>2550</v>
      </c>
      <c r="D20292" s="7">
        <v>3.18</v>
      </c>
    </row>
    <row r="20293" spans="1:4" x14ac:dyDescent="0.25">
      <c r="A20293" t="str">
        <f>HYPERLINK("https://www.773grp.com/globalSearch/TEA1752LT-N1518/page-1", "TEA1752LT-N1518")</f>
        <v>TEA1752LT-N1518</v>
      </c>
      <c r="B20293" s="3" t="s">
        <v>93</v>
      </c>
      <c r="C20293" s="6">
        <v>142500</v>
      </c>
      <c r="D20293" s="7">
        <v>3.18</v>
      </c>
    </row>
    <row r="20294" spans="1:4" x14ac:dyDescent="0.25">
      <c r="A20294" t="str">
        <f>HYPERLINK("https://www.773grp.com/globalSearch/TEA1752T-N1518/page-1", "TEA1752T-N1518")</f>
        <v>TEA1752T-N1518</v>
      </c>
      <c r="B20294" s="3" t="s">
        <v>93</v>
      </c>
      <c r="C20294" s="6">
        <v>2084</v>
      </c>
      <c r="D20294" s="7">
        <v>3.18</v>
      </c>
    </row>
    <row r="20295" spans="1:4" x14ac:dyDescent="0.25">
      <c r="A20295" t="str">
        <f>HYPERLINK("https://www.773grp.com/globalSearch/BUK954R2-55B127/page-1", "BUK954R2-55B127")</f>
        <v>BUK954R2-55B127</v>
      </c>
      <c r="B20295" s="3" t="s">
        <v>93</v>
      </c>
      <c r="C20295" s="6">
        <v>6</v>
      </c>
      <c r="D20295" s="7">
        <v>2.88</v>
      </c>
    </row>
    <row r="20296" spans="1:4" x14ac:dyDescent="0.25">
      <c r="A20296" t="str">
        <f>HYPERLINK("https://www.773grp.com/globalSearch/PHP191NQ06LT127/page-1", "PHP191NQ06LT127")</f>
        <v>PHP191NQ06LT127</v>
      </c>
      <c r="B20296" s="3" t="s">
        <v>93</v>
      </c>
      <c r="C20296" s="6">
        <v>2000</v>
      </c>
      <c r="D20296" s="7">
        <v>2.88</v>
      </c>
    </row>
    <row r="20297" spans="1:4" x14ac:dyDescent="0.25">
      <c r="A20297" t="str">
        <f>HYPERLINK("https://www.773grp.com/globalSearch/BUK763R1-40B118/page-1", "BUK763R1-40B118")</f>
        <v>BUK763R1-40B118</v>
      </c>
      <c r="B20297" s="3" t="s">
        <v>93</v>
      </c>
      <c r="C20297" s="6">
        <v>7965</v>
      </c>
      <c r="D20297" s="7">
        <v>2.9</v>
      </c>
    </row>
    <row r="20298" spans="1:4" x14ac:dyDescent="0.25">
      <c r="A20298" t="str">
        <f>HYPERLINK("https://www.773grp.com/globalSearch/BUK764R0-55B118/page-1", "BUK764R0-55B118")</f>
        <v>BUK764R0-55B118</v>
      </c>
      <c r="B20298" s="3" t="s">
        <v>93</v>
      </c>
      <c r="C20298" s="6">
        <v>2400</v>
      </c>
      <c r="D20298" s="7">
        <v>2.9</v>
      </c>
    </row>
    <row r="20299" spans="1:4" x14ac:dyDescent="0.25">
      <c r="A20299" t="str">
        <f>HYPERLINK("https://www.773grp.com/globalSearch/PSMN009-100B118/page-1", "PSMN009-100B118")</f>
        <v>PSMN009-100B118</v>
      </c>
      <c r="B20299" s="3" t="s">
        <v>93</v>
      </c>
      <c r="C20299" s="6">
        <v>4850</v>
      </c>
      <c r="D20299" s="7">
        <v>2.9</v>
      </c>
    </row>
    <row r="20300" spans="1:4" x14ac:dyDescent="0.25">
      <c r="A20300" t="str">
        <f>HYPERLINK("https://www.773grp.com/globalSearch/74HC283N652/page-1", "74HC283N652")</f>
        <v>74HC283N652</v>
      </c>
      <c r="B20300" s="3" t="s">
        <v>93</v>
      </c>
      <c r="C20300" s="6">
        <v>3823</v>
      </c>
      <c r="D20300" s="7">
        <v>3.23</v>
      </c>
    </row>
    <row r="20301" spans="1:4" x14ac:dyDescent="0.25">
      <c r="A20301" t="str">
        <f>HYPERLINK("https://www.773grp.com/globalSearch/74HC4514DB112/page-1", "74HC4514DB112")</f>
        <v>74HC4514DB112</v>
      </c>
      <c r="B20301" s="3" t="s">
        <v>93</v>
      </c>
      <c r="C20301" s="6">
        <v>822</v>
      </c>
      <c r="D20301" s="7">
        <v>3.23</v>
      </c>
    </row>
    <row r="20302" spans="1:4" x14ac:dyDescent="0.25">
      <c r="A20302" t="str">
        <f>HYPERLINK("https://www.773grp.com/globalSearch/74HCT154DB118/page-1", "74HCT154DB118")</f>
        <v>74HCT154DB118</v>
      </c>
      <c r="B20302" s="3" t="s">
        <v>93</v>
      </c>
      <c r="C20302" s="6">
        <v>1000</v>
      </c>
      <c r="D20302" s="7">
        <v>3.23</v>
      </c>
    </row>
    <row r="20303" spans="1:4" x14ac:dyDescent="0.25">
      <c r="A20303" t="str">
        <f>HYPERLINK("https://www.773grp.com/globalSearch/74HCT4514D652/page-1", "74HCT4514D652")</f>
        <v>74HCT4514D652</v>
      </c>
      <c r="B20303" s="3" t="s">
        <v>93</v>
      </c>
      <c r="C20303" s="6">
        <v>466</v>
      </c>
      <c r="D20303" s="7">
        <v>3.23</v>
      </c>
    </row>
    <row r="20304" spans="1:4" x14ac:dyDescent="0.25">
      <c r="A20304" t="str">
        <f>HYPERLINK("https://www.773grp.com/globalSearch/74HCT4514D653/page-1", "74HCT4514D653")</f>
        <v>74HCT4514D653</v>
      </c>
      <c r="B20304" s="3" t="s">
        <v>93</v>
      </c>
      <c r="C20304" s="6">
        <v>1000</v>
      </c>
      <c r="D20304" s="7">
        <v>3.23</v>
      </c>
    </row>
    <row r="20305" spans="1:4" x14ac:dyDescent="0.25">
      <c r="A20305" t="str">
        <f>HYPERLINK("https://www.773grp.com/globalSearch/74HCT4514PW112/page-1", "74HCT4514PW112")</f>
        <v>74HCT4514PW112</v>
      </c>
      <c r="B20305" s="3" t="s">
        <v>93</v>
      </c>
      <c r="C20305" s="6">
        <v>878</v>
      </c>
      <c r="D20305" s="7">
        <v>3.23</v>
      </c>
    </row>
    <row r="20306" spans="1:4" x14ac:dyDescent="0.25">
      <c r="A20306" t="str">
        <f>HYPERLINK("https://www.773grp.com/globalSearch/BUK654R6-55C127/page-1", "BUK654R6-55C127")</f>
        <v>BUK654R6-55C127</v>
      </c>
      <c r="B20306" s="3" t="s">
        <v>93</v>
      </c>
      <c r="C20306" s="6">
        <v>1585</v>
      </c>
      <c r="D20306" s="7">
        <v>3.23</v>
      </c>
    </row>
    <row r="20307" spans="1:4" x14ac:dyDescent="0.25">
      <c r="A20307" t="str">
        <f>HYPERLINK("https://www.773grp.com/globalSearch/BUK654R8-40C127/page-1", "BUK654R8-40C127")</f>
        <v>BUK654R8-40C127</v>
      </c>
      <c r="B20307" s="3" t="s">
        <v>93</v>
      </c>
      <c r="C20307" s="6">
        <v>4938</v>
      </c>
      <c r="D20307" s="7">
        <v>3.23</v>
      </c>
    </row>
    <row r="20308" spans="1:4" x14ac:dyDescent="0.25">
      <c r="A20308" t="str">
        <f>HYPERLINK("https://www.773grp.com/globalSearch/BUK754R0-40C127/page-1", "BUK754R0-40C127")</f>
        <v>BUK754R0-40C127</v>
      </c>
      <c r="B20308" s="3" t="s">
        <v>93</v>
      </c>
      <c r="C20308" s="6">
        <v>989</v>
      </c>
      <c r="D20308" s="7">
        <v>3.23</v>
      </c>
    </row>
    <row r="20309" spans="1:4" x14ac:dyDescent="0.25">
      <c r="A20309" t="str">
        <f>HYPERLINK("https://www.773grp.com/globalSearch/PCA8575D118/page-1", "PCA8575D118")</f>
        <v>PCA8575D118</v>
      </c>
      <c r="B20309" s="3" t="s">
        <v>93</v>
      </c>
      <c r="C20309" s="6">
        <v>2433</v>
      </c>
      <c r="D20309" s="7">
        <v>3.23</v>
      </c>
    </row>
    <row r="20310" spans="1:4" x14ac:dyDescent="0.25">
      <c r="A20310" t="str">
        <f>HYPERLINK("https://www.773grp.com/globalSearch/PCA8575DB112/page-1", "PCA8575DB112")</f>
        <v>PCA8575DB112</v>
      </c>
      <c r="B20310" s="3" t="s">
        <v>93</v>
      </c>
      <c r="C20310" s="6">
        <v>1407</v>
      </c>
      <c r="D20310" s="7">
        <v>3.23</v>
      </c>
    </row>
    <row r="20311" spans="1:4" x14ac:dyDescent="0.25">
      <c r="A20311" t="str">
        <f>HYPERLINK("https://www.773grp.com/globalSearch/PCA8575DB118/page-1", "PCA8575DB118")</f>
        <v>PCA8575DB118</v>
      </c>
      <c r="B20311" s="3" t="s">
        <v>93</v>
      </c>
      <c r="C20311" s="6">
        <v>555</v>
      </c>
      <c r="D20311" s="7">
        <v>3.23</v>
      </c>
    </row>
    <row r="20312" spans="1:4" x14ac:dyDescent="0.25">
      <c r="A20312" t="str">
        <f>HYPERLINK("https://www.773grp.com/globalSearch/PCA8575PW112/page-1", "PCA8575PW112")</f>
        <v>PCA8575PW112</v>
      </c>
      <c r="B20312" s="3" t="s">
        <v>93</v>
      </c>
      <c r="C20312" s="6">
        <v>186</v>
      </c>
      <c r="D20312" s="7">
        <v>3.23</v>
      </c>
    </row>
    <row r="20313" spans="1:4" x14ac:dyDescent="0.25">
      <c r="A20313" t="str">
        <f>HYPERLINK("https://www.773grp.com/globalSearch/PCA9546ABS118/page-1", "PCA9546ABS118")</f>
        <v>PCA9546ABS118</v>
      </c>
      <c r="B20313" s="3" t="s">
        <v>93</v>
      </c>
      <c r="C20313" s="6">
        <v>6000</v>
      </c>
      <c r="D20313" s="7">
        <v>3.23</v>
      </c>
    </row>
    <row r="20314" spans="1:4" x14ac:dyDescent="0.25">
      <c r="A20314" t="str">
        <f>HYPERLINK("https://www.773grp.com/globalSearch/PCA9546AD112/page-1", "PCA9546AD112")</f>
        <v>PCA9546AD112</v>
      </c>
      <c r="B20314" s="3" t="s">
        <v>93</v>
      </c>
      <c r="C20314" s="6">
        <v>350</v>
      </c>
      <c r="D20314" s="7">
        <v>3.23</v>
      </c>
    </row>
    <row r="20315" spans="1:4" x14ac:dyDescent="0.25">
      <c r="A20315" t="str">
        <f>HYPERLINK("https://www.773grp.com/globalSearch/PCA9546AD118/page-1", "PCA9546AD118")</f>
        <v>PCA9546AD118</v>
      </c>
      <c r="B20315" s="3" t="s">
        <v>93</v>
      </c>
      <c r="C20315" s="6">
        <v>1195</v>
      </c>
      <c r="D20315" s="7">
        <v>3.23</v>
      </c>
    </row>
    <row r="20316" spans="1:4" x14ac:dyDescent="0.25">
      <c r="A20316" t="str">
        <f>HYPERLINK("https://www.773grp.com/globalSearch/PCA9546APW118/page-1", "PCA9546APW118")</f>
        <v>PCA9546APW118</v>
      </c>
      <c r="B20316" s="3" t="s">
        <v>93</v>
      </c>
      <c r="C20316" s="6">
        <v>5018</v>
      </c>
      <c r="D20316" s="7">
        <v>3.23</v>
      </c>
    </row>
    <row r="20317" spans="1:4" x14ac:dyDescent="0.25">
      <c r="A20317" t="str">
        <f>HYPERLINK("https://www.773grp.com/globalSearch/74HC7541N112/page-1", "74HC7541N112")</f>
        <v>74HC7541N112</v>
      </c>
      <c r="B20317" s="3" t="s">
        <v>93</v>
      </c>
      <c r="C20317" s="6">
        <v>92</v>
      </c>
      <c r="D20317" s="7">
        <v>2.93</v>
      </c>
    </row>
    <row r="20318" spans="1:4" x14ac:dyDescent="0.25">
      <c r="A20318" t="str">
        <f>HYPERLINK("https://www.773grp.com/globalSearch/74HCT7273N112/page-1", "74HCT7273N112")</f>
        <v>74HCT7273N112</v>
      </c>
      <c r="B20318" s="3" t="s">
        <v>93</v>
      </c>
      <c r="C20318" s="6">
        <v>1440</v>
      </c>
      <c r="D20318" s="7">
        <v>2.93</v>
      </c>
    </row>
    <row r="20319" spans="1:4" x14ac:dyDescent="0.25">
      <c r="A20319" t="str">
        <f>HYPERLINK("https://www.773grp.com/globalSearch/74HCT7541N112/page-1", "74HCT7541N112")</f>
        <v>74HCT7541N112</v>
      </c>
      <c r="B20319" s="3" t="s">
        <v>93</v>
      </c>
      <c r="C20319" s="6">
        <v>720</v>
      </c>
      <c r="D20319" s="7">
        <v>2.93</v>
      </c>
    </row>
    <row r="20320" spans="1:4" x14ac:dyDescent="0.25">
      <c r="A20320" t="str">
        <f>HYPERLINK("https://www.773grp.com/globalSearch/BUK9510-100B127/page-1", "BUK9510-100B127")</f>
        <v>BUK9510-100B127</v>
      </c>
      <c r="B20320" s="3" t="s">
        <v>93</v>
      </c>
      <c r="C20320" s="6">
        <v>5000</v>
      </c>
      <c r="D20320" s="7">
        <v>2.93</v>
      </c>
    </row>
    <row r="20321" spans="1:4" x14ac:dyDescent="0.25">
      <c r="A20321" t="str">
        <f>HYPERLINK("https://www.773grp.com/globalSearch/HTRC11001T-02EE11/page-1", "HTRC11001T-02EE11")</f>
        <v>HTRC11001T-02EE11</v>
      </c>
      <c r="B20321" s="3" t="s">
        <v>93</v>
      </c>
      <c r="C20321" s="6">
        <v>912</v>
      </c>
      <c r="D20321" s="7">
        <v>2.93</v>
      </c>
    </row>
    <row r="20322" spans="1:4" x14ac:dyDescent="0.25">
      <c r="A20322" t="str">
        <f>HYPERLINK("https://www.773grp.com/globalSearch/N74F07N602/page-1", "N74F07N602")</f>
        <v>N74F07N602</v>
      </c>
      <c r="B20322" s="3" t="s">
        <v>93</v>
      </c>
      <c r="C20322" s="6">
        <v>458</v>
      </c>
      <c r="D20322" s="7">
        <v>2.93</v>
      </c>
    </row>
    <row r="20323" spans="1:4" x14ac:dyDescent="0.25">
      <c r="A20323" t="str">
        <f>HYPERLINK("https://www.773grp.com/globalSearch/PCA9519BS118/page-1", "PCA9519BS118")</f>
        <v>PCA9519BS118</v>
      </c>
      <c r="B20323" s="3" t="s">
        <v>93</v>
      </c>
      <c r="C20323" s="6">
        <v>1472</v>
      </c>
      <c r="D20323" s="7">
        <v>2.93</v>
      </c>
    </row>
    <row r="20324" spans="1:4" x14ac:dyDescent="0.25">
      <c r="A20324" t="str">
        <f>HYPERLINK("https://www.773grp.com/globalSearch/PSMN1R5-40PS127/page-1", "PSMN1R5-40PS127")</f>
        <v>PSMN1R5-40PS127</v>
      </c>
      <c r="B20324" s="3" t="s">
        <v>93</v>
      </c>
      <c r="C20324" s="6">
        <v>4000</v>
      </c>
      <c r="D20324" s="7">
        <v>2.93</v>
      </c>
    </row>
    <row r="20325" spans="1:4" x14ac:dyDescent="0.25">
      <c r="A20325" t="str">
        <f>HYPERLINK("https://www.773grp.com/globalSearch/HEF4059BT652/page-1", "HEF4059BT652")</f>
        <v>HEF4059BT652</v>
      </c>
      <c r="B20325" s="3" t="s">
        <v>93</v>
      </c>
      <c r="C20325" s="6">
        <v>653</v>
      </c>
      <c r="D20325" s="7">
        <v>2.95</v>
      </c>
    </row>
    <row r="20326" spans="1:4" x14ac:dyDescent="0.25">
      <c r="A20326" t="str">
        <f>HYPERLINK("https://www.773grp.com/globalSearch/LPC1114LVFHI33-303/page-1", "LPC1114LVFHI33-303")</f>
        <v>LPC1114LVFHI33-303</v>
      </c>
      <c r="B20326" s="3" t="s">
        <v>93</v>
      </c>
      <c r="C20326" s="6">
        <v>465</v>
      </c>
      <c r="D20326" s="7">
        <v>2.95</v>
      </c>
    </row>
    <row r="20327" spans="1:4" x14ac:dyDescent="0.25">
      <c r="A20327" t="str">
        <f>HYPERLINK("https://www.773grp.com/globalSearch/SC16C550BIA44512/page-1", "SC16C550BIA44512")</f>
        <v>SC16C550BIA44512</v>
      </c>
      <c r="B20327" s="3" t="s">
        <v>93</v>
      </c>
      <c r="C20327" s="6">
        <v>2512</v>
      </c>
      <c r="D20327" s="7">
        <v>2.95</v>
      </c>
    </row>
    <row r="20328" spans="1:4" x14ac:dyDescent="0.25">
      <c r="A20328" t="str">
        <f>HYPERLINK("https://www.773grp.com/globalSearch/SC16C550BIA44529/page-1", "SC16C550BIA44529")</f>
        <v>SC16C550BIA44529</v>
      </c>
      <c r="B20328" s="3" t="s">
        <v>93</v>
      </c>
      <c r="C20328" s="6">
        <v>590</v>
      </c>
      <c r="D20328" s="7">
        <v>2.95</v>
      </c>
    </row>
    <row r="20329" spans="1:4" x14ac:dyDescent="0.25">
      <c r="A20329" t="str">
        <f>HYPERLINK("https://www.773grp.com/globalSearch/74ALVT16244DL112/page-1", "74ALVT16244DL112")</f>
        <v>74ALVT16244DL112</v>
      </c>
      <c r="B20329" s="3" t="s">
        <v>93</v>
      </c>
      <c r="C20329" s="6">
        <v>141</v>
      </c>
      <c r="D20329" s="7">
        <v>3.28</v>
      </c>
    </row>
    <row r="20330" spans="1:4" x14ac:dyDescent="0.25">
      <c r="A20330" t="str">
        <f>HYPERLINK("https://www.773grp.com/globalSearch/74HC40103N652/page-1", "74HC40103N652")</f>
        <v>74HC40103N652</v>
      </c>
      <c r="B20330" s="3" t="s">
        <v>93</v>
      </c>
      <c r="C20330" s="6">
        <v>6555</v>
      </c>
      <c r="D20330" s="7">
        <v>3.28</v>
      </c>
    </row>
    <row r="20331" spans="1:4" x14ac:dyDescent="0.25">
      <c r="A20331" t="str">
        <f>HYPERLINK("https://www.773grp.com/globalSearch/74HC4016N652/page-1", "74HC4016N652")</f>
        <v>74HC4016N652</v>
      </c>
      <c r="B20331" s="3" t="s">
        <v>93</v>
      </c>
      <c r="C20331" s="6">
        <v>4199</v>
      </c>
      <c r="D20331" s="7">
        <v>3.28</v>
      </c>
    </row>
    <row r="20332" spans="1:4" x14ac:dyDescent="0.25">
      <c r="A20332" t="str">
        <f>HYPERLINK("https://www.773grp.com/globalSearch/74HC4046AN652/page-1", "74HC4046AN652")</f>
        <v>74HC4046AN652</v>
      </c>
      <c r="B20332" s="3" t="s">
        <v>93</v>
      </c>
      <c r="C20332" s="6">
        <v>12000</v>
      </c>
      <c r="D20332" s="7">
        <v>3.28</v>
      </c>
    </row>
    <row r="20333" spans="1:4" x14ac:dyDescent="0.25">
      <c r="A20333" t="str">
        <f>HYPERLINK("https://www.773grp.com/globalSearch/74HC4316N652/page-1", "74HC4316N652")</f>
        <v>74HC4316N652</v>
      </c>
      <c r="B20333" s="3" t="s">
        <v>93</v>
      </c>
      <c r="C20333" s="6">
        <v>366</v>
      </c>
      <c r="D20333" s="7">
        <v>3.28</v>
      </c>
    </row>
    <row r="20334" spans="1:4" x14ac:dyDescent="0.25">
      <c r="A20334" t="str">
        <f>HYPERLINK("https://www.773grp.com/globalSearch/74HC4511N652/page-1", "74HC4511N652")</f>
        <v>74HC4511N652</v>
      </c>
      <c r="B20334" s="3" t="s">
        <v>93</v>
      </c>
      <c r="C20334" s="6">
        <v>6764</v>
      </c>
      <c r="D20334" s="7">
        <v>3.28</v>
      </c>
    </row>
    <row r="20335" spans="1:4" x14ac:dyDescent="0.25">
      <c r="A20335" t="str">
        <f>HYPERLINK("https://www.773grp.com/globalSearch/74HC93N112/page-1", "74HC93N112")</f>
        <v>74HC93N112</v>
      </c>
      <c r="B20335" s="3" t="s">
        <v>93</v>
      </c>
      <c r="C20335" s="6">
        <v>2000</v>
      </c>
      <c r="D20335" s="7">
        <v>3.28</v>
      </c>
    </row>
    <row r="20336" spans="1:4" x14ac:dyDescent="0.25">
      <c r="A20336" t="str">
        <f>HYPERLINK("https://www.773grp.com/globalSearch/74HCT423N112/page-1", "74HCT423N112")</f>
        <v>74HCT423N112</v>
      </c>
      <c r="B20336" s="3" t="s">
        <v>93</v>
      </c>
      <c r="C20336" s="6">
        <v>3790</v>
      </c>
      <c r="D20336" s="7">
        <v>3.28</v>
      </c>
    </row>
    <row r="20337" spans="1:4" x14ac:dyDescent="0.25">
      <c r="A20337" t="str">
        <f>HYPERLINK("https://www.773grp.com/globalSearch/74HCT4316N112/page-1", "74HCT4316N112")</f>
        <v>74HCT4316N112</v>
      </c>
      <c r="B20337" s="3" t="s">
        <v>93</v>
      </c>
      <c r="C20337" s="6">
        <v>2000</v>
      </c>
      <c r="D20337" s="7">
        <v>3.28</v>
      </c>
    </row>
    <row r="20338" spans="1:4" x14ac:dyDescent="0.25">
      <c r="A20338" t="str">
        <f>HYPERLINK("https://www.773grp.com/globalSearch/74HCT7046AD112/page-1", "74HCT7046AD112")</f>
        <v>74HCT7046AD112</v>
      </c>
      <c r="B20338" s="3" t="s">
        <v>93</v>
      </c>
      <c r="C20338" s="6">
        <v>425</v>
      </c>
      <c r="D20338" s="7">
        <v>3.28</v>
      </c>
    </row>
    <row r="20339" spans="1:4" x14ac:dyDescent="0.25">
      <c r="A20339" t="str">
        <f>HYPERLINK("https://www.773grp.com/globalSearch/74HCT7046AD118/page-1", "74HCT7046AD118")</f>
        <v>74HCT7046AD118</v>
      </c>
      <c r="B20339" s="3" t="s">
        <v>93</v>
      </c>
      <c r="C20339" s="6">
        <v>2500</v>
      </c>
      <c r="D20339" s="7">
        <v>3.28</v>
      </c>
    </row>
    <row r="20340" spans="1:4" x14ac:dyDescent="0.25">
      <c r="A20340" t="str">
        <f>HYPERLINK("https://www.773grp.com/globalSearch/74HCT93N112/page-1", "74HCT93N112")</f>
        <v>74HCT93N112</v>
      </c>
      <c r="B20340" s="3" t="s">
        <v>93</v>
      </c>
      <c r="C20340" s="6">
        <v>4000</v>
      </c>
      <c r="D20340" s="7">
        <v>3.28</v>
      </c>
    </row>
    <row r="20341" spans="1:4" x14ac:dyDescent="0.25">
      <c r="A20341" t="str">
        <f>HYPERLINK("https://www.773grp.com/globalSearch/74LV4053N112/page-1", "74LV4053N112")</f>
        <v>74LV4053N112</v>
      </c>
      <c r="B20341" s="3" t="s">
        <v>93</v>
      </c>
      <c r="C20341" s="6">
        <v>700</v>
      </c>
      <c r="D20341" s="7">
        <v>3.28</v>
      </c>
    </row>
    <row r="20342" spans="1:4" x14ac:dyDescent="0.25">
      <c r="A20342" t="str">
        <f>HYPERLINK("https://www.773grp.com/globalSearch/BTA225-600BT127/page-1", "BTA225-600BT127")</f>
        <v>BTA225-600BT127</v>
      </c>
      <c r="B20342" s="3" t="s">
        <v>93</v>
      </c>
      <c r="C20342" s="6">
        <v>44</v>
      </c>
      <c r="D20342" s="7">
        <v>3.28</v>
      </c>
    </row>
    <row r="20343" spans="1:4" x14ac:dyDescent="0.25">
      <c r="A20343" t="str">
        <f>HYPERLINK("https://www.773grp.com/globalSearch/BUK953R2-40E127/page-1", "BUK953R2-40E127")</f>
        <v>BUK953R2-40E127</v>
      </c>
      <c r="B20343" s="3" t="s">
        <v>93</v>
      </c>
      <c r="C20343" s="6">
        <v>259</v>
      </c>
      <c r="D20343" s="7">
        <v>3.28</v>
      </c>
    </row>
    <row r="20344" spans="1:4" x14ac:dyDescent="0.25">
      <c r="A20344" t="str">
        <f>HYPERLINK("https://www.773grp.com/globalSearch/BUK9608-55B118/page-1", "BUK9608-55B118")</f>
        <v>BUK9608-55B118</v>
      </c>
      <c r="B20344" s="3" t="s">
        <v>93</v>
      </c>
      <c r="C20344" s="6">
        <v>120</v>
      </c>
      <c r="D20344" s="7">
        <v>3.28</v>
      </c>
    </row>
    <row r="20345" spans="1:4" x14ac:dyDescent="0.25">
      <c r="A20345" t="str">
        <f>HYPERLINK("https://www.773grp.com/globalSearch/HEF4585BP652/page-1", "HEF4585BP652")</f>
        <v>HEF4585BP652</v>
      </c>
      <c r="B20345" s="3" t="s">
        <v>93</v>
      </c>
      <c r="C20345" s="6">
        <v>150</v>
      </c>
      <c r="D20345" s="7">
        <v>3.28</v>
      </c>
    </row>
    <row r="20346" spans="1:4" x14ac:dyDescent="0.25">
      <c r="A20346" t="str">
        <f>HYPERLINK("https://www.773grp.com/globalSearch/N74F827D623/page-1", "N74F827D623")</f>
        <v>N74F827D623</v>
      </c>
      <c r="B20346" s="3" t="s">
        <v>93</v>
      </c>
      <c r="C20346" s="6">
        <v>1000</v>
      </c>
      <c r="D20346" s="7">
        <v>3.28</v>
      </c>
    </row>
    <row r="20347" spans="1:4" x14ac:dyDescent="0.25">
      <c r="A20347" t="str">
        <f>HYPERLINK("https://www.773grp.com/globalSearch/PCF8533U-2-F2026/page-1", "PCF8533U-2-F2026")</f>
        <v>PCF8533U-2-F2026</v>
      </c>
      <c r="B20347" s="3" t="s">
        <v>93</v>
      </c>
      <c r="C20347" s="6">
        <v>128736</v>
      </c>
      <c r="D20347" s="7">
        <v>3.28</v>
      </c>
    </row>
    <row r="20348" spans="1:4" x14ac:dyDescent="0.25">
      <c r="A20348" t="str">
        <f>HYPERLINK("https://www.773grp.com/globalSearch/PSMN9R5-100XS127/page-1", "PSMN9R5-100XS127")</f>
        <v>PSMN9R5-100XS127</v>
      </c>
      <c r="B20348" s="3" t="s">
        <v>93</v>
      </c>
      <c r="C20348" s="6">
        <v>50</v>
      </c>
      <c r="D20348" s="7">
        <v>3.28</v>
      </c>
    </row>
    <row r="20349" spans="1:4" x14ac:dyDescent="0.25">
      <c r="A20349" t="str">
        <f>HYPERLINK("https://www.773grp.com/globalSearch/TEA1753T-N1518/page-1", "TEA1753T-N1518")</f>
        <v>TEA1753T-N1518</v>
      </c>
      <c r="B20349" s="3" t="s">
        <v>93</v>
      </c>
      <c r="C20349" s="6">
        <v>69990</v>
      </c>
      <c r="D20349" s="7">
        <v>3.28</v>
      </c>
    </row>
    <row r="20350" spans="1:4" x14ac:dyDescent="0.25">
      <c r="A20350" t="str">
        <f>HYPERLINK("https://www.773grp.com/globalSearch/74HCT40105N112/page-1", "74HCT40105N112")</f>
        <v>74HCT40105N112</v>
      </c>
      <c r="B20350" s="3" t="s">
        <v>93</v>
      </c>
      <c r="C20350" s="6">
        <v>1200</v>
      </c>
      <c r="D20350" s="7">
        <v>2.99</v>
      </c>
    </row>
    <row r="20351" spans="1:4" x14ac:dyDescent="0.25">
      <c r="A20351" t="str">
        <f>HYPERLINK("https://www.773grp.com/globalSearch/BUK9506-75B127/page-1", "BUK9506-75B127")</f>
        <v>BUK9506-75B127</v>
      </c>
      <c r="B20351" s="3" t="s">
        <v>93</v>
      </c>
      <c r="C20351" s="6">
        <v>74</v>
      </c>
      <c r="D20351" s="7">
        <v>2.99</v>
      </c>
    </row>
    <row r="20352" spans="1:4" x14ac:dyDescent="0.25">
      <c r="A20352" t="str">
        <f>HYPERLINK("https://www.773grp.com/globalSearch/BUK9610-100B118/page-1", "BUK9610-100B118")</f>
        <v>BUK9610-100B118</v>
      </c>
      <c r="B20352" s="3" t="s">
        <v>93</v>
      </c>
      <c r="C20352" s="6">
        <v>13682</v>
      </c>
      <c r="D20352" s="7">
        <v>2.99</v>
      </c>
    </row>
    <row r="20353" spans="1:4" x14ac:dyDescent="0.25">
      <c r="A20353" t="str">
        <f>HYPERLINK("https://www.773grp.com/globalSearch/BUK963R2-40B118/page-1", "BUK963R2-40B118")</f>
        <v>BUK963R2-40B118</v>
      </c>
      <c r="B20353" s="3" t="s">
        <v>93</v>
      </c>
      <c r="C20353" s="6">
        <v>1600</v>
      </c>
      <c r="D20353" s="7">
        <v>2.99</v>
      </c>
    </row>
    <row r="20354" spans="1:4" x14ac:dyDescent="0.25">
      <c r="A20354" t="str">
        <f>HYPERLINK("https://www.773grp.com/globalSearch/HEF4794BP112/page-1", "HEF4794BP112")</f>
        <v>HEF4794BP112</v>
      </c>
      <c r="B20354" s="3" t="s">
        <v>93</v>
      </c>
      <c r="C20354" s="6">
        <v>2000</v>
      </c>
      <c r="D20354" s="7">
        <v>2.99</v>
      </c>
    </row>
    <row r="20355" spans="1:4" x14ac:dyDescent="0.25">
      <c r="A20355" t="str">
        <f>HYPERLINK("https://www.773grp.com/globalSearch/LPC11U12FBD48-201/page-1", "LPC11U12FBD48-201")</f>
        <v>LPC11U12FBD48-201</v>
      </c>
      <c r="B20355" s="3" t="s">
        <v>93</v>
      </c>
      <c r="C20355" s="6">
        <v>206</v>
      </c>
      <c r="D20355" s="7">
        <v>2.99</v>
      </c>
    </row>
    <row r="20356" spans="1:4" x14ac:dyDescent="0.25">
      <c r="A20356" t="str">
        <f>HYPERLINK("https://www.773grp.com/globalSearch/UBA2035TS-N1118/page-1", "UBA2035TS-N1118")</f>
        <v>UBA2035TS-N1118</v>
      </c>
      <c r="B20356" s="3" t="s">
        <v>93</v>
      </c>
      <c r="C20356" s="6">
        <v>1000</v>
      </c>
      <c r="D20356" s="7">
        <v>2.99</v>
      </c>
    </row>
    <row r="20357" spans="1:4" x14ac:dyDescent="0.25">
      <c r="A20357" t="str">
        <f>HYPERLINK("https://www.773grp.com/globalSearch/74HCT4046ADB112/page-1", "74HCT4046ADB112")</f>
        <v>74HCT4046ADB112</v>
      </c>
      <c r="B20357" s="3" t="s">
        <v>93</v>
      </c>
      <c r="C20357" s="6">
        <v>589</v>
      </c>
      <c r="D20357" s="7">
        <v>3.33</v>
      </c>
    </row>
    <row r="20358" spans="1:4" x14ac:dyDescent="0.25">
      <c r="A20358" t="str">
        <f>HYPERLINK("https://www.773grp.com/globalSearch/74HCT4046ADB118/page-1", "74HCT4046ADB118")</f>
        <v>74HCT4046ADB118</v>
      </c>
      <c r="B20358" s="3" t="s">
        <v>93</v>
      </c>
      <c r="C20358" s="6">
        <v>2093</v>
      </c>
      <c r="D20358" s="7">
        <v>3.33</v>
      </c>
    </row>
    <row r="20359" spans="1:4" x14ac:dyDescent="0.25">
      <c r="A20359" t="str">
        <f>HYPERLINK("https://www.773grp.com/globalSearch/P89LPC913FDH129/page-1", "P89LPC913FDH129")</f>
        <v>P89LPC913FDH129</v>
      </c>
      <c r="B20359" s="3" t="s">
        <v>93</v>
      </c>
      <c r="C20359" s="6">
        <v>721</v>
      </c>
      <c r="D20359" s="7">
        <v>3.33</v>
      </c>
    </row>
    <row r="20360" spans="1:4" x14ac:dyDescent="0.25">
      <c r="A20360" t="str">
        <f>HYPERLINK("https://www.773grp.com/globalSearch/PCA9544AD112/page-1", "PCA9544AD112")</f>
        <v>PCA9544AD112</v>
      </c>
      <c r="B20360" s="3" t="s">
        <v>93</v>
      </c>
      <c r="C20360" s="6">
        <v>1574</v>
      </c>
      <c r="D20360" s="7">
        <v>3.33</v>
      </c>
    </row>
    <row r="20361" spans="1:4" x14ac:dyDescent="0.25">
      <c r="A20361" t="str">
        <f>HYPERLINK("https://www.773grp.com/globalSearch/PCA9544APW112/page-1", "PCA9544APW112")</f>
        <v>PCA9544APW112</v>
      </c>
      <c r="B20361" s="3" t="s">
        <v>93</v>
      </c>
      <c r="C20361" s="6">
        <v>3822</v>
      </c>
      <c r="D20361" s="7">
        <v>3.33</v>
      </c>
    </row>
    <row r="20362" spans="1:4" x14ac:dyDescent="0.25">
      <c r="A20362" t="str">
        <f>HYPERLINK("https://www.773grp.com/globalSearch/PCA9544APW118/page-1", "PCA9544APW118")</f>
        <v>PCA9544APW118</v>
      </c>
      <c r="B20362" s="3" t="s">
        <v>93</v>
      </c>
      <c r="C20362" s="6">
        <v>1946</v>
      </c>
      <c r="D20362" s="7">
        <v>3.33</v>
      </c>
    </row>
    <row r="20363" spans="1:4" x14ac:dyDescent="0.25">
      <c r="A20363" t="str">
        <f>HYPERLINK("https://www.773grp.com/globalSearch/PCA9545AD112/page-1", "PCA9545AD112")</f>
        <v>PCA9545AD112</v>
      </c>
      <c r="B20363" s="3" t="s">
        <v>93</v>
      </c>
      <c r="C20363" s="6">
        <v>760</v>
      </c>
      <c r="D20363" s="7">
        <v>3.33</v>
      </c>
    </row>
    <row r="20364" spans="1:4" x14ac:dyDescent="0.25">
      <c r="A20364" t="str">
        <f>HYPERLINK("https://www.773grp.com/globalSearch/PCA9545APW112/page-1", "PCA9545APW112")</f>
        <v>PCA9545APW112</v>
      </c>
      <c r="B20364" s="3" t="s">
        <v>93</v>
      </c>
      <c r="C20364" s="6">
        <v>300</v>
      </c>
      <c r="D20364" s="7">
        <v>3.33</v>
      </c>
    </row>
    <row r="20365" spans="1:4" x14ac:dyDescent="0.25">
      <c r="A20365" t="str">
        <f>HYPERLINK("https://www.773grp.com/globalSearch/PCA9545BPW118/page-1", "PCA9545BPW118")</f>
        <v>PCA9545BPW118</v>
      </c>
      <c r="B20365" s="3" t="s">
        <v>93</v>
      </c>
      <c r="C20365" s="6">
        <v>405</v>
      </c>
      <c r="D20365" s="7">
        <v>3.33</v>
      </c>
    </row>
    <row r="20366" spans="1:4" x14ac:dyDescent="0.25">
      <c r="A20366" t="str">
        <f>HYPERLINK("https://www.773grp.com/globalSearch/PCA9554PW-Q900118/page-1", "PCA9554PW-Q900118")</f>
        <v>PCA9554PW-Q900118</v>
      </c>
      <c r="B20366" s="3" t="s">
        <v>93</v>
      </c>
      <c r="C20366" s="6">
        <v>100</v>
      </c>
      <c r="D20366" s="7">
        <v>3.33</v>
      </c>
    </row>
    <row r="20367" spans="1:4" x14ac:dyDescent="0.25">
      <c r="A20367" t="str">
        <f>HYPERLINK("https://www.773grp.com/globalSearch/PCA9624BS118/page-1", "PCA9624BS118")</f>
        <v>PCA9624BS118</v>
      </c>
      <c r="B20367" s="3" t="s">
        <v>93</v>
      </c>
      <c r="C20367" s="6">
        <v>10365</v>
      </c>
      <c r="D20367" s="7">
        <v>3.33</v>
      </c>
    </row>
    <row r="20368" spans="1:4" x14ac:dyDescent="0.25">
      <c r="A20368" t="str">
        <f>HYPERLINK("https://www.773grp.com/globalSearch/PHB45NQ10T118/page-1", "PHB45NQ10T118")</f>
        <v>PHB45NQ10T118</v>
      </c>
      <c r="B20368" s="3" t="s">
        <v>93</v>
      </c>
      <c r="C20368" s="6">
        <v>5608</v>
      </c>
      <c r="D20368" s="7">
        <v>3.33</v>
      </c>
    </row>
    <row r="20369" spans="1:4" x14ac:dyDescent="0.25">
      <c r="A20369" t="str">
        <f>HYPERLINK("https://www.773grp.com/globalSearch/PSMN015-100P127/page-1", "PSMN015-100P127")</f>
        <v>PSMN015-100P127</v>
      </c>
      <c r="B20369" s="3" t="s">
        <v>93</v>
      </c>
      <c r="C20369" s="6">
        <v>10278</v>
      </c>
      <c r="D20369" s="7">
        <v>3.33</v>
      </c>
    </row>
    <row r="20370" spans="1:4" x14ac:dyDescent="0.25">
      <c r="A20370" t="str">
        <f>HYPERLINK("https://www.773grp.com/globalSearch/PCU9655PW1518/page-1", "PCU9655PW1518")</f>
        <v>PCU9655PW1518</v>
      </c>
      <c r="B20370" s="3" t="s">
        <v>93</v>
      </c>
      <c r="C20370" s="6">
        <v>4965</v>
      </c>
      <c r="D20370" s="7">
        <v>3</v>
      </c>
    </row>
    <row r="20371" spans="1:4" x14ac:dyDescent="0.25">
      <c r="A20371" t="str">
        <f>HYPERLINK("https://www.773grp.com/globalSearch/PCU9655PW518/page-1", "PCU9655PW518")</f>
        <v>PCU9655PW518</v>
      </c>
      <c r="B20371" s="3" t="s">
        <v>93</v>
      </c>
      <c r="C20371" s="6">
        <v>4784</v>
      </c>
      <c r="D20371" s="7">
        <v>3</v>
      </c>
    </row>
    <row r="20372" spans="1:4" x14ac:dyDescent="0.25">
      <c r="A20372" t="str">
        <f>HYPERLINK("https://www.773grp.com/globalSearch/PSMN1R1-30PL127/page-1", "PSMN1R1-30PL127")</f>
        <v>PSMN1R1-30PL127</v>
      </c>
      <c r="B20372" s="3" t="s">
        <v>93</v>
      </c>
      <c r="C20372" s="6">
        <v>4280</v>
      </c>
      <c r="D20372" s="7">
        <v>3</v>
      </c>
    </row>
    <row r="20373" spans="1:4" x14ac:dyDescent="0.25">
      <c r="A20373" t="str">
        <f>HYPERLINK("https://www.773grp.com/globalSearch/74HC154N652/page-1", "74HC154N652")</f>
        <v>74HC154N652</v>
      </c>
      <c r="B20373" s="3" t="s">
        <v>93</v>
      </c>
      <c r="C20373" s="6">
        <v>1610</v>
      </c>
      <c r="D20373" s="7">
        <v>3.04</v>
      </c>
    </row>
    <row r="20374" spans="1:4" x14ac:dyDescent="0.25">
      <c r="A20374" t="str">
        <f>HYPERLINK("https://www.773grp.com/globalSearch/P89LPC982FDH529/page-1", "P89LPC982FDH529")</f>
        <v>P89LPC982FDH529</v>
      </c>
      <c r="B20374" s="3" t="s">
        <v>93</v>
      </c>
      <c r="C20374" s="6">
        <v>222</v>
      </c>
      <c r="D20374" s="7">
        <v>3.04</v>
      </c>
    </row>
    <row r="20375" spans="1:4" x14ac:dyDescent="0.25">
      <c r="A20375" t="str">
        <f>HYPERLINK("https://www.773grp.com/globalSearch/PCA9621PW118/page-1", "PCA9621PW118")</f>
        <v>PCA9621PW118</v>
      </c>
      <c r="B20375" s="3" t="s">
        <v>93</v>
      </c>
      <c r="C20375" s="6">
        <v>2500</v>
      </c>
      <c r="D20375" s="7">
        <v>3.04</v>
      </c>
    </row>
    <row r="20376" spans="1:4" x14ac:dyDescent="0.25">
      <c r="A20376" t="str">
        <f>HYPERLINK("https://www.773grp.com/globalSearch/PSMN3R8-100BS118/page-1", "PSMN3R8-100BS118")</f>
        <v>PSMN3R8-100BS118</v>
      </c>
      <c r="B20376" s="3" t="s">
        <v>93</v>
      </c>
      <c r="C20376" s="6">
        <v>650</v>
      </c>
      <c r="D20376" s="7">
        <v>3.04</v>
      </c>
    </row>
    <row r="20377" spans="1:4" x14ac:dyDescent="0.25">
      <c r="A20377" t="str">
        <f>HYPERLINK("https://www.773grp.com/globalSearch/PSMN5R0-100PS127/page-1", "PSMN5R0-100PS127")</f>
        <v>PSMN5R0-100PS127</v>
      </c>
      <c r="B20377" s="3" t="s">
        <v>93</v>
      </c>
      <c r="C20377" s="6">
        <v>5000</v>
      </c>
      <c r="D20377" s="7">
        <v>3.04</v>
      </c>
    </row>
    <row r="20378" spans="1:4" x14ac:dyDescent="0.25">
      <c r="A20378" t="str">
        <f>HYPERLINK("https://www.773grp.com/globalSearch/74ABT827D602/page-1", "74ABT827D602")</f>
        <v>74ABT827D602</v>
      </c>
      <c r="B20378" s="3" t="s">
        <v>93</v>
      </c>
      <c r="C20378" s="6">
        <v>2220</v>
      </c>
      <c r="D20378" s="7">
        <v>3.38</v>
      </c>
    </row>
    <row r="20379" spans="1:4" x14ac:dyDescent="0.25">
      <c r="A20379" t="str">
        <f>HYPERLINK("https://www.773grp.com/globalSearch/74HC563N652/page-1", "74HC563N652")</f>
        <v>74HC563N652</v>
      </c>
      <c r="B20379" s="3" t="s">
        <v>93</v>
      </c>
      <c r="C20379" s="6">
        <v>3468</v>
      </c>
      <c r="D20379" s="7">
        <v>3.38</v>
      </c>
    </row>
    <row r="20380" spans="1:4" x14ac:dyDescent="0.25">
      <c r="A20380" t="str">
        <f>HYPERLINK("https://www.773grp.com/globalSearch/74HC564N652/page-1", "74HC564N652")</f>
        <v>74HC564N652</v>
      </c>
      <c r="B20380" s="3" t="s">
        <v>93</v>
      </c>
      <c r="C20380" s="6">
        <v>5947</v>
      </c>
      <c r="D20380" s="7">
        <v>3.38</v>
      </c>
    </row>
    <row r="20381" spans="1:4" x14ac:dyDescent="0.25">
      <c r="A20381" t="str">
        <f>HYPERLINK("https://www.773grp.com/globalSearch/74HCT563N652/page-1", "74HCT563N652")</f>
        <v>74HCT563N652</v>
      </c>
      <c r="B20381" s="3" t="s">
        <v>93</v>
      </c>
      <c r="C20381" s="6">
        <v>2754</v>
      </c>
      <c r="D20381" s="7">
        <v>3.38</v>
      </c>
    </row>
    <row r="20382" spans="1:4" x14ac:dyDescent="0.25">
      <c r="A20382" t="str">
        <f>HYPERLINK("https://www.773grp.com/globalSearch/74HCT595N112/page-1", "74HCT595N112")</f>
        <v>74HCT595N112</v>
      </c>
      <c r="B20382" s="3" t="s">
        <v>93</v>
      </c>
      <c r="C20382" s="6">
        <v>1057</v>
      </c>
      <c r="D20382" s="7">
        <v>3.38</v>
      </c>
    </row>
    <row r="20383" spans="1:4" x14ac:dyDescent="0.25">
      <c r="A20383" t="str">
        <f>HYPERLINK("https://www.773grp.com/globalSearch/74HCT7540D112/page-1", "74HCT7540D112")</f>
        <v>74HCT7540D112</v>
      </c>
      <c r="B20383" s="3" t="s">
        <v>93</v>
      </c>
      <c r="C20383" s="6">
        <v>1520</v>
      </c>
      <c r="D20383" s="7">
        <v>3.38</v>
      </c>
    </row>
    <row r="20384" spans="1:4" x14ac:dyDescent="0.25">
      <c r="A20384" t="str">
        <f>HYPERLINK("https://www.773grp.com/globalSearch/74HCT7541D118/page-1", "74HCT7541D118")</f>
        <v>74HCT7541D118</v>
      </c>
      <c r="B20384" s="3" t="s">
        <v>93</v>
      </c>
      <c r="C20384" s="6">
        <v>2000</v>
      </c>
      <c r="D20384" s="7">
        <v>3.38</v>
      </c>
    </row>
    <row r="20385" spans="1:4" x14ac:dyDescent="0.25">
      <c r="A20385" t="str">
        <f>HYPERLINK("https://www.773grp.com/globalSearch/BUK662R5-30C118/page-1", "BUK662R5-30C118")</f>
        <v>BUK662R5-30C118</v>
      </c>
      <c r="B20385" s="3" t="s">
        <v>93</v>
      </c>
      <c r="C20385" s="6">
        <v>879</v>
      </c>
      <c r="D20385" s="7">
        <v>3.38</v>
      </c>
    </row>
    <row r="20386" spans="1:4" x14ac:dyDescent="0.25">
      <c r="A20386" t="str">
        <f>HYPERLINK("https://www.773grp.com/globalSearch/BUK663R2-40C118/page-1", "BUK663R2-40C118")</f>
        <v>BUK663R2-40C118</v>
      </c>
      <c r="B20386" s="3" t="s">
        <v>93</v>
      </c>
      <c r="C20386" s="6">
        <v>74</v>
      </c>
      <c r="D20386" s="7">
        <v>3.38</v>
      </c>
    </row>
    <row r="20387" spans="1:4" x14ac:dyDescent="0.25">
      <c r="A20387" t="str">
        <f>HYPERLINK("https://www.773grp.com/globalSearch/BUK9E3R2-40E127/page-1", "BUK9E3R2-40E127")</f>
        <v>BUK9E3R2-40E127</v>
      </c>
      <c r="B20387" s="3" t="s">
        <v>93</v>
      </c>
      <c r="C20387" s="6">
        <v>300</v>
      </c>
      <c r="D20387" s="7">
        <v>3.38</v>
      </c>
    </row>
    <row r="20388" spans="1:4" x14ac:dyDescent="0.25">
      <c r="A20388" t="str">
        <f>HYPERLINK("https://www.773grp.com/globalSearch/BUK9E4R9-60E127/page-1", "BUK9E4R9-60E127")</f>
        <v>BUK9E4R9-60E127</v>
      </c>
      <c r="B20388" s="3" t="s">
        <v>93</v>
      </c>
      <c r="C20388" s="6">
        <v>286</v>
      </c>
      <c r="D20388" s="7">
        <v>3.38</v>
      </c>
    </row>
    <row r="20389" spans="1:4" x14ac:dyDescent="0.25">
      <c r="A20389" t="str">
        <f>HYPERLINK("https://www.773grp.com/globalSearch/PCA9501BS118/page-1", "PCA9501BS118")</f>
        <v>PCA9501BS118</v>
      </c>
      <c r="B20389" s="3" t="s">
        <v>93</v>
      </c>
      <c r="C20389" s="6">
        <v>2441</v>
      </c>
      <c r="D20389" s="7">
        <v>3.38</v>
      </c>
    </row>
    <row r="20390" spans="1:4" x14ac:dyDescent="0.25">
      <c r="A20390" t="str">
        <f>HYPERLINK("https://www.773grp.com/globalSearch/PCA9501D112/page-1", "PCA9501D112")</f>
        <v>PCA9501D112</v>
      </c>
      <c r="B20390" s="3" t="s">
        <v>93</v>
      </c>
      <c r="C20390" s="6">
        <v>135</v>
      </c>
      <c r="D20390" s="7">
        <v>3.38</v>
      </c>
    </row>
    <row r="20391" spans="1:4" x14ac:dyDescent="0.25">
      <c r="A20391" t="str">
        <f>HYPERLINK("https://www.773grp.com/globalSearch/PCA9501PW112/page-1", "PCA9501PW112")</f>
        <v>PCA9501PW112</v>
      </c>
      <c r="B20391" s="3" t="s">
        <v>93</v>
      </c>
      <c r="C20391" s="6">
        <v>2835</v>
      </c>
      <c r="D20391" s="7">
        <v>3.38</v>
      </c>
    </row>
    <row r="20392" spans="1:4" x14ac:dyDescent="0.25">
      <c r="A20392" t="str">
        <f>HYPERLINK("https://www.773grp.com/globalSearch/PCA9501PW118/page-1", "PCA9501PW118")</f>
        <v>PCA9501PW118</v>
      </c>
      <c r="B20392" s="3" t="s">
        <v>93</v>
      </c>
      <c r="C20392" s="6">
        <v>9488</v>
      </c>
      <c r="D20392" s="7">
        <v>3.38</v>
      </c>
    </row>
    <row r="20393" spans="1:4" x14ac:dyDescent="0.25">
      <c r="A20393" t="str">
        <f>HYPERLINK("https://www.773grp.com/globalSearch/PCA9508D112/page-1", "PCA9508D112")</f>
        <v>PCA9508D112</v>
      </c>
      <c r="B20393" s="3" t="s">
        <v>93</v>
      </c>
      <c r="C20393" s="6">
        <v>329</v>
      </c>
      <c r="D20393" s="7">
        <v>3.38</v>
      </c>
    </row>
    <row r="20394" spans="1:4" x14ac:dyDescent="0.25">
      <c r="A20394" t="str">
        <f>HYPERLINK("https://www.773grp.com/globalSearch/PCA9508DP118/page-1", "PCA9508DP118")</f>
        <v>PCA9508DP118</v>
      </c>
      <c r="B20394" s="3" t="s">
        <v>93</v>
      </c>
      <c r="C20394" s="6">
        <v>17634</v>
      </c>
      <c r="D20394" s="7">
        <v>3.38</v>
      </c>
    </row>
    <row r="20395" spans="1:4" x14ac:dyDescent="0.25">
      <c r="A20395" t="str">
        <f>HYPERLINK("https://www.773grp.com/globalSearch/PCA9555D118/page-1", "PCA9555D118")</f>
        <v>PCA9555D118</v>
      </c>
      <c r="B20395" s="3" t="s">
        <v>93</v>
      </c>
      <c r="C20395" s="6">
        <v>190</v>
      </c>
      <c r="D20395" s="7">
        <v>3.38</v>
      </c>
    </row>
    <row r="20396" spans="1:4" x14ac:dyDescent="0.25">
      <c r="A20396" t="str">
        <f>HYPERLINK("https://www.773grp.com/globalSearch/PCA9555DB112/page-1", "PCA9555DB112")</f>
        <v>PCA9555DB112</v>
      </c>
      <c r="B20396" s="3" t="s">
        <v>93</v>
      </c>
      <c r="C20396" s="6">
        <v>885</v>
      </c>
      <c r="D20396" s="7">
        <v>3.38</v>
      </c>
    </row>
    <row r="20397" spans="1:4" x14ac:dyDescent="0.25">
      <c r="A20397" t="str">
        <f>HYPERLINK("https://www.773grp.com/globalSearch/PCA9555DB118/page-1", "PCA9555DB118")</f>
        <v>PCA9555DB118</v>
      </c>
      <c r="B20397" s="3" t="s">
        <v>93</v>
      </c>
      <c r="C20397" s="6">
        <v>10000</v>
      </c>
      <c r="D20397" s="7">
        <v>3.38</v>
      </c>
    </row>
    <row r="20398" spans="1:4" x14ac:dyDescent="0.25">
      <c r="A20398" t="str">
        <f>HYPERLINK("https://www.773grp.com/globalSearch/PCA9555HF118/page-1", "PCA9555HF118")</f>
        <v>PCA9555HF118</v>
      </c>
      <c r="B20398" s="3" t="s">
        <v>93</v>
      </c>
      <c r="C20398" s="6">
        <v>5975</v>
      </c>
      <c r="D20398" s="7">
        <v>3.38</v>
      </c>
    </row>
    <row r="20399" spans="1:4" x14ac:dyDescent="0.25">
      <c r="A20399" t="str">
        <f>HYPERLINK("https://www.773grp.com/globalSearch/PHB45NQ15T118/page-1", "PHB45NQ15T118")</f>
        <v>PHB45NQ15T118</v>
      </c>
      <c r="B20399" s="3" t="s">
        <v>93</v>
      </c>
      <c r="C20399" s="6">
        <v>4800</v>
      </c>
      <c r="D20399" s="7">
        <v>3.38</v>
      </c>
    </row>
    <row r="20400" spans="1:4" x14ac:dyDescent="0.25">
      <c r="A20400" t="str">
        <f>HYPERLINK("https://www.773grp.com/globalSearch/PHP20NQ20T127/page-1", "PHP20NQ20T127")</f>
        <v>PHP20NQ20T127</v>
      </c>
      <c r="B20400" s="3" t="s">
        <v>93</v>
      </c>
      <c r="C20400" s="6">
        <v>4000</v>
      </c>
      <c r="D20400" s="7">
        <v>3.38</v>
      </c>
    </row>
    <row r="20401" spans="1:4" x14ac:dyDescent="0.25">
      <c r="A20401" t="str">
        <f>HYPERLINK("https://www.773grp.com/globalSearch/TJA1041AT-VM512/page-1", "TJA1041AT-VM512")</f>
        <v>TJA1041AT-VM512</v>
      </c>
      <c r="B20401" s="3" t="s">
        <v>93</v>
      </c>
      <c r="C20401" s="6">
        <v>14086</v>
      </c>
      <c r="D20401" s="7">
        <v>3.38</v>
      </c>
    </row>
    <row r="20402" spans="1:4" x14ac:dyDescent="0.25">
      <c r="A20402" t="str">
        <f>HYPERLINK("https://www.773grp.com/globalSearch/TJA1041AT-VM518/page-1", "TJA1041AT-VM518")</f>
        <v>TJA1041AT-VM518</v>
      </c>
      <c r="B20402" s="3" t="s">
        <v>93</v>
      </c>
      <c r="C20402" s="6">
        <v>8346</v>
      </c>
      <c r="D20402" s="7">
        <v>3.38</v>
      </c>
    </row>
    <row r="20403" spans="1:4" x14ac:dyDescent="0.25">
      <c r="A20403" t="str">
        <f>HYPERLINK("https://www.773grp.com/globalSearch/TJA1041T-VM512/page-1", "TJA1041T-VM512")</f>
        <v>TJA1041T-VM512</v>
      </c>
      <c r="B20403" s="3" t="s">
        <v>93</v>
      </c>
      <c r="C20403" s="6">
        <v>57</v>
      </c>
      <c r="D20403" s="7">
        <v>3.38</v>
      </c>
    </row>
    <row r="20404" spans="1:4" x14ac:dyDescent="0.25">
      <c r="A20404" t="str">
        <f>HYPERLINK("https://www.773grp.com/globalSearch/TJA1041T-VM518/page-1", "TJA1041T-VM518")</f>
        <v>TJA1041T-VM518</v>
      </c>
      <c r="B20404" s="3" t="s">
        <v>93</v>
      </c>
      <c r="C20404" s="6">
        <v>10000</v>
      </c>
      <c r="D20404" s="7">
        <v>3.38</v>
      </c>
    </row>
    <row r="20405" spans="1:4" x14ac:dyDescent="0.25">
      <c r="A20405" t="str">
        <f>HYPERLINK("https://www.773grp.com/globalSearch/BUK652R0-30C127/page-1", "BUK652R0-30C127")</f>
        <v>BUK652R0-30C127</v>
      </c>
      <c r="B20405" s="3" t="s">
        <v>93</v>
      </c>
      <c r="C20405" s="6">
        <v>2989</v>
      </c>
      <c r="D20405" s="7">
        <v>3.08</v>
      </c>
    </row>
    <row r="20406" spans="1:4" x14ac:dyDescent="0.25">
      <c r="A20406" t="str">
        <f>HYPERLINK("https://www.773grp.com/globalSearch/BUK652R3-40C127/page-1", "BUK652R3-40C127")</f>
        <v>BUK652R3-40C127</v>
      </c>
      <c r="B20406" s="3" t="s">
        <v>93</v>
      </c>
      <c r="C20406" s="6">
        <v>5000</v>
      </c>
      <c r="D20406" s="7">
        <v>3.08</v>
      </c>
    </row>
    <row r="20407" spans="1:4" x14ac:dyDescent="0.25">
      <c r="A20407" t="str">
        <f>HYPERLINK("https://www.773grp.com/globalSearch/BUK752R3-40C127/page-1", "BUK752R3-40C127")</f>
        <v>BUK752R3-40C127</v>
      </c>
      <c r="B20407" s="3" t="s">
        <v>93</v>
      </c>
      <c r="C20407" s="6">
        <v>1183</v>
      </c>
      <c r="D20407" s="7">
        <v>3.08</v>
      </c>
    </row>
    <row r="20408" spans="1:4" x14ac:dyDescent="0.25">
      <c r="A20408" t="str">
        <f>HYPERLINK("https://www.773grp.com/globalSearch/CBTL12131ET518/page-1", "CBTL12131ET518")</f>
        <v>CBTL12131ET518</v>
      </c>
      <c r="B20408" s="3" t="s">
        <v>93</v>
      </c>
      <c r="C20408" s="6">
        <v>100</v>
      </c>
      <c r="D20408" s="7">
        <v>3.08</v>
      </c>
    </row>
    <row r="20409" spans="1:4" x14ac:dyDescent="0.25">
      <c r="A20409" t="str">
        <f>HYPERLINK("https://www.773grp.com/globalSearch/PSMN1R1-30EL127/page-1", "PSMN1R1-30EL127")</f>
        <v>PSMN1R1-30EL127</v>
      </c>
      <c r="B20409" s="3" t="s">
        <v>93</v>
      </c>
      <c r="C20409" s="6">
        <v>4000</v>
      </c>
      <c r="D20409" s="7">
        <v>3.08</v>
      </c>
    </row>
    <row r="20410" spans="1:4" x14ac:dyDescent="0.25">
      <c r="A20410" t="str">
        <f>HYPERLINK("https://www.773grp.com/globalSearch/PSMN1R5-40ES127/page-1", "PSMN1R5-40ES127")</f>
        <v>PSMN1R5-40ES127</v>
      </c>
      <c r="B20410" s="3" t="s">
        <v>93</v>
      </c>
      <c r="C20410" s="6">
        <v>4001</v>
      </c>
      <c r="D20410" s="7">
        <v>3.08</v>
      </c>
    </row>
    <row r="20411" spans="1:4" x14ac:dyDescent="0.25">
      <c r="A20411" t="str">
        <f>HYPERLINK("https://www.773grp.com/globalSearch/74ALVT16244DGG112/page-1", "74ALVT16244DGG112")</f>
        <v>74ALVT16244DGG112</v>
      </c>
      <c r="B20411" s="3" t="s">
        <v>93</v>
      </c>
      <c r="C20411" s="6">
        <v>806</v>
      </c>
      <c r="D20411" s="7">
        <v>3.43</v>
      </c>
    </row>
    <row r="20412" spans="1:4" x14ac:dyDescent="0.25">
      <c r="A20412" t="str">
        <f>HYPERLINK("https://www.773grp.com/globalSearch/74ALVT16244DGG118/page-1", "74ALVT16244DGG118")</f>
        <v>74ALVT16244DGG118</v>
      </c>
      <c r="B20412" s="3" t="s">
        <v>93</v>
      </c>
      <c r="C20412" s="6">
        <v>4000</v>
      </c>
      <c r="D20412" s="7">
        <v>3.43</v>
      </c>
    </row>
    <row r="20413" spans="1:4" x14ac:dyDescent="0.25">
      <c r="A20413" t="str">
        <f>HYPERLINK("https://www.773grp.com/globalSearch/74AVC16834ADGV112/page-1", "74AVC16834ADGV112")</f>
        <v>74AVC16834ADGV112</v>
      </c>
      <c r="B20413" s="3" t="s">
        <v>93</v>
      </c>
      <c r="C20413" s="6">
        <v>1050</v>
      </c>
      <c r="D20413" s="7">
        <v>3.43</v>
      </c>
    </row>
    <row r="20414" spans="1:4" x14ac:dyDescent="0.25">
      <c r="A20414" t="str">
        <f>HYPERLINK("https://www.773grp.com/globalSearch/74AVC16835ADGV112/page-1", "74AVC16835ADGV112")</f>
        <v>74AVC16835ADGV112</v>
      </c>
      <c r="B20414" s="3" t="s">
        <v>93</v>
      </c>
      <c r="C20414" s="6">
        <v>450</v>
      </c>
      <c r="D20414" s="7">
        <v>3.43</v>
      </c>
    </row>
    <row r="20415" spans="1:4" x14ac:dyDescent="0.25">
      <c r="A20415" t="str">
        <f>HYPERLINK("https://www.773grp.com/globalSearch/74AVC16T245DGV112/page-1", "74AVC16T245DGV112")</f>
        <v>74AVC16T245DGV112</v>
      </c>
      <c r="B20415" s="3" t="s">
        <v>93</v>
      </c>
      <c r="C20415" s="6">
        <v>565</v>
      </c>
      <c r="D20415" s="7">
        <v>3.43</v>
      </c>
    </row>
    <row r="20416" spans="1:4" x14ac:dyDescent="0.25">
      <c r="A20416" t="str">
        <f>HYPERLINK("https://www.773grp.com/globalSearch/74HC646N652/page-1", "74HC646N652")</f>
        <v>74HC646N652</v>
      </c>
      <c r="B20416" s="3" t="s">
        <v>93</v>
      </c>
      <c r="C20416" s="6">
        <v>3600</v>
      </c>
      <c r="D20416" s="7">
        <v>3.43</v>
      </c>
    </row>
    <row r="20417" spans="1:4" x14ac:dyDescent="0.25">
      <c r="A20417" t="str">
        <f>HYPERLINK("https://www.773grp.com/globalSearch/74LV573N112/page-1", "74LV573N112")</f>
        <v>74LV573N112</v>
      </c>
      <c r="B20417" s="3" t="s">
        <v>93</v>
      </c>
      <c r="C20417" s="6">
        <v>1440</v>
      </c>
      <c r="D20417" s="7">
        <v>3.43</v>
      </c>
    </row>
    <row r="20418" spans="1:4" x14ac:dyDescent="0.25">
      <c r="A20418" t="str">
        <f>HYPERLINK("https://www.773grp.com/globalSearch/74LV574N112/page-1", "74LV574N112")</f>
        <v>74LV574N112</v>
      </c>
      <c r="B20418" s="3" t="s">
        <v>93</v>
      </c>
      <c r="C20418" s="6">
        <v>2160</v>
      </c>
      <c r="D20418" s="7">
        <v>3.43</v>
      </c>
    </row>
    <row r="20419" spans="1:4" x14ac:dyDescent="0.25">
      <c r="A20419" t="str">
        <f>HYPERLINK("https://www.773grp.com/globalSearch/HEF4514BP652/page-1", "HEF4514BP652")</f>
        <v>HEF4514BP652</v>
      </c>
      <c r="B20419" s="3" t="s">
        <v>93</v>
      </c>
      <c r="C20419" s="6">
        <v>2214</v>
      </c>
      <c r="D20419" s="7">
        <v>3.43</v>
      </c>
    </row>
    <row r="20420" spans="1:4" x14ac:dyDescent="0.25">
      <c r="A20420" t="str">
        <f>HYPERLINK("https://www.773grp.com/globalSearch/HEF4516BP652/page-1", "HEF4516BP652")</f>
        <v>HEF4516BP652</v>
      </c>
      <c r="B20420" s="3" t="s">
        <v>93</v>
      </c>
      <c r="C20420" s="6">
        <v>1445</v>
      </c>
      <c r="D20420" s="7">
        <v>3.43</v>
      </c>
    </row>
    <row r="20421" spans="1:4" x14ac:dyDescent="0.25">
      <c r="A20421" t="str">
        <f>HYPERLINK("https://www.773grp.com/globalSearch/HEF4557BP652/page-1", "HEF4557BP652")</f>
        <v>HEF4557BP652</v>
      </c>
      <c r="B20421" s="3" t="s">
        <v>93</v>
      </c>
      <c r="C20421" s="6">
        <v>2150</v>
      </c>
      <c r="D20421" s="7">
        <v>3.43</v>
      </c>
    </row>
    <row r="20422" spans="1:4" x14ac:dyDescent="0.25">
      <c r="A20422" t="str">
        <f>HYPERLINK("https://www.773grp.com/globalSearch/LPC1111FHN33-102551/page-1", "LPC1111FHN33-102551")</f>
        <v>LPC1111FHN33-102551</v>
      </c>
      <c r="B20422" s="3" t="s">
        <v>93</v>
      </c>
      <c r="C20422" s="6">
        <v>28750</v>
      </c>
      <c r="D20422" s="7">
        <v>3.43</v>
      </c>
    </row>
    <row r="20423" spans="1:4" x14ac:dyDescent="0.25">
      <c r="A20423" t="str">
        <f>HYPERLINK("https://www.773grp.com/globalSearch/LPC1112FHN33-202551/page-1", "LPC1112FHN33-202551")</f>
        <v>LPC1112FHN33-202551</v>
      </c>
      <c r="B20423" s="3" t="s">
        <v>93</v>
      </c>
      <c r="C20423" s="6">
        <v>2600</v>
      </c>
      <c r="D20423" s="7">
        <v>3.43</v>
      </c>
    </row>
    <row r="20424" spans="1:4" x14ac:dyDescent="0.25">
      <c r="A20424" t="str">
        <f>HYPERLINK("https://www.773grp.com/globalSearch/PH6325L115/page-1", "PH6325L115")</f>
        <v>PH6325L115</v>
      </c>
      <c r="B20424" s="3" t="s">
        <v>93</v>
      </c>
      <c r="C20424" s="6">
        <v>374</v>
      </c>
      <c r="D20424" s="7">
        <v>3.43</v>
      </c>
    </row>
    <row r="20425" spans="1:4" x14ac:dyDescent="0.25">
      <c r="A20425" t="str">
        <f>HYPERLINK("https://www.773grp.com/globalSearch/UBA2211CP-N1112/page-1", "UBA2211CP-N1112")</f>
        <v>UBA2211CP-N1112</v>
      </c>
      <c r="B20425" s="3" t="s">
        <v>93</v>
      </c>
      <c r="C20425" s="6">
        <v>2000</v>
      </c>
      <c r="D20425" s="7">
        <v>3.43</v>
      </c>
    </row>
    <row r="20426" spans="1:4" x14ac:dyDescent="0.25">
      <c r="A20426" t="str">
        <f>HYPERLINK("https://www.773grp.com/globalSearch/P87C52X2BBD157/page-1", "P87C52X2BBD157")</f>
        <v>P87C52X2BBD157</v>
      </c>
      <c r="B20426" s="3" t="s">
        <v>93</v>
      </c>
      <c r="C20426" s="6">
        <v>195</v>
      </c>
      <c r="D20426" s="7">
        <v>3.09</v>
      </c>
    </row>
    <row r="20427" spans="1:4" x14ac:dyDescent="0.25">
      <c r="A20427" t="str">
        <f>HYPERLINK("https://www.773grp.com/globalSearch/74HCT4059D118/page-1", "74HCT4059D118")</f>
        <v>74HCT4059D118</v>
      </c>
      <c r="B20427" s="3" t="s">
        <v>93</v>
      </c>
      <c r="C20427" s="6">
        <v>100</v>
      </c>
      <c r="D20427" s="7">
        <v>3.13</v>
      </c>
    </row>
    <row r="20428" spans="1:4" x14ac:dyDescent="0.25">
      <c r="A20428" t="str">
        <f>HYPERLINK("https://www.773grp.com/globalSearch/BUK7E04-40A127/page-1", "BUK7E04-40A127")</f>
        <v>BUK7E04-40A127</v>
      </c>
      <c r="B20428" s="3" t="s">
        <v>93</v>
      </c>
      <c r="C20428" s="6">
        <v>3000</v>
      </c>
      <c r="D20428" s="7">
        <v>3.13</v>
      </c>
    </row>
    <row r="20429" spans="1:4" x14ac:dyDescent="0.25">
      <c r="A20429" t="str">
        <f>HYPERLINK("https://www.773grp.com/globalSearch/BUK9E04-40A127/page-1", "BUK9E04-40A127")</f>
        <v>BUK9E04-40A127</v>
      </c>
      <c r="B20429" s="3" t="s">
        <v>93</v>
      </c>
      <c r="C20429" s="6">
        <v>84</v>
      </c>
      <c r="D20429" s="7">
        <v>3.13</v>
      </c>
    </row>
    <row r="20430" spans="1:4" x14ac:dyDescent="0.25">
      <c r="A20430" t="str">
        <f>HYPERLINK("https://www.773grp.com/globalSearch/IP4777CZ38-V118/page-1", "IP4777CZ38-V118")</f>
        <v>IP4777CZ38-V118</v>
      </c>
      <c r="B20430" s="3" t="s">
        <v>93</v>
      </c>
      <c r="C20430" s="6">
        <v>10000</v>
      </c>
      <c r="D20430" s="7">
        <v>3.13</v>
      </c>
    </row>
    <row r="20431" spans="1:4" x14ac:dyDescent="0.25">
      <c r="A20431" t="str">
        <f>HYPERLINK("https://www.773grp.com/globalSearch/LPC11E14FHN33-401/page-1", "LPC11E14FHN33-401")</f>
        <v>LPC11E14FHN33-401</v>
      </c>
      <c r="B20431" s="3" t="s">
        <v>93</v>
      </c>
      <c r="C20431" s="6">
        <v>160</v>
      </c>
      <c r="D20431" s="7">
        <v>3.13</v>
      </c>
    </row>
    <row r="20432" spans="1:4" x14ac:dyDescent="0.25">
      <c r="A20432" t="str">
        <f>HYPERLINK("https://www.773grp.com/globalSearch/P82B96TD118/page-1", "P82B96TD118")</f>
        <v>P82B96TD118</v>
      </c>
      <c r="B20432" s="3" t="s">
        <v>93</v>
      </c>
      <c r="C20432" s="6">
        <v>2500</v>
      </c>
      <c r="D20432" s="7">
        <v>3.13</v>
      </c>
    </row>
    <row r="20433" spans="1:4" x14ac:dyDescent="0.25">
      <c r="A20433" t="str">
        <f>HYPERLINK("https://www.773grp.com/globalSearch/PSMN2R0-60PS127/page-1", "PSMN2R0-60PS127")</f>
        <v>PSMN2R0-60PS127</v>
      </c>
      <c r="B20433" s="3" t="s">
        <v>93</v>
      </c>
      <c r="C20433" s="6">
        <v>4306</v>
      </c>
      <c r="D20433" s="7">
        <v>3.13</v>
      </c>
    </row>
    <row r="20434" spans="1:4" x14ac:dyDescent="0.25">
      <c r="A20434" t="str">
        <f>HYPERLINK("https://www.773grp.com/globalSearch/PTN3310D112/page-1", "PTN3310D112")</f>
        <v>PTN3310D112</v>
      </c>
      <c r="B20434" s="3" t="s">
        <v>93</v>
      </c>
      <c r="C20434" s="6">
        <v>3192</v>
      </c>
      <c r="D20434" s="7">
        <v>3.13</v>
      </c>
    </row>
    <row r="20435" spans="1:4" x14ac:dyDescent="0.25">
      <c r="A20435" t="str">
        <f>HYPERLINK("https://www.773grp.com/globalSearch/PTN3310D118/page-1", "PTN3310D118")</f>
        <v>PTN3310D118</v>
      </c>
      <c r="B20435" s="3" t="s">
        <v>93</v>
      </c>
      <c r="C20435" s="6">
        <v>9120</v>
      </c>
      <c r="D20435" s="7">
        <v>3.13</v>
      </c>
    </row>
    <row r="20436" spans="1:4" x14ac:dyDescent="0.25">
      <c r="A20436" t="str">
        <f>HYPERLINK("https://www.773grp.com/globalSearch/74LV377N112/page-1", "74LV377N112")</f>
        <v>74LV377N112</v>
      </c>
      <c r="B20436" s="3" t="s">
        <v>93</v>
      </c>
      <c r="C20436" s="6">
        <v>2160</v>
      </c>
      <c r="D20436" s="7">
        <v>3.48</v>
      </c>
    </row>
    <row r="20437" spans="1:4" x14ac:dyDescent="0.25">
      <c r="A20437" t="str">
        <f>HYPERLINK("https://www.773grp.com/globalSearch/BUK6507-75C127/page-1", "BUK6507-75C127")</f>
        <v>BUK6507-75C127</v>
      </c>
      <c r="B20437" s="3" t="s">
        <v>93</v>
      </c>
      <c r="C20437" s="6">
        <v>200</v>
      </c>
      <c r="D20437" s="7">
        <v>3.48</v>
      </c>
    </row>
    <row r="20438" spans="1:4" x14ac:dyDescent="0.25">
      <c r="A20438" t="str">
        <f>HYPERLINK("https://www.773grp.com/globalSearch/PCF8562TT-2118/page-1", "PCF8562TT-2118")</f>
        <v>PCF8562TT-2118</v>
      </c>
      <c r="B20438" s="3" t="s">
        <v>93</v>
      </c>
      <c r="C20438" s="6">
        <v>75200</v>
      </c>
      <c r="D20438" s="7">
        <v>3.48</v>
      </c>
    </row>
    <row r="20439" spans="1:4" x14ac:dyDescent="0.25">
      <c r="A20439" t="str">
        <f>HYPERLINK("https://www.773grp.com/globalSearch/PSMN7R0-100PS127/page-1", "PSMN7R0-100PS127")</f>
        <v>PSMN7R0-100PS127</v>
      </c>
      <c r="B20439" s="3" t="s">
        <v>93</v>
      </c>
      <c r="C20439" s="6">
        <v>4000</v>
      </c>
      <c r="D20439" s="7">
        <v>3.48</v>
      </c>
    </row>
    <row r="20440" spans="1:4" x14ac:dyDescent="0.25">
      <c r="A20440" t="str">
        <f>HYPERLINK("https://www.773grp.com/globalSearch/UBA2024AP-N1112/page-1", "UBA2024AP-N1112")</f>
        <v>UBA2024AP-N1112</v>
      </c>
      <c r="B20440" s="3" t="s">
        <v>93</v>
      </c>
      <c r="C20440" s="6">
        <v>1933</v>
      </c>
      <c r="D20440" s="7">
        <v>3.48</v>
      </c>
    </row>
    <row r="20441" spans="1:4" x14ac:dyDescent="0.25">
      <c r="A20441" t="str">
        <f>HYPERLINK("https://www.773grp.com/globalSearch/UBA2024AT-N1518/page-1", "UBA2024AT-N1518")</f>
        <v>UBA2024AT-N1518</v>
      </c>
      <c r="B20441" s="3" t="s">
        <v>93</v>
      </c>
      <c r="C20441" s="6">
        <v>50</v>
      </c>
      <c r="D20441" s="7">
        <v>3.48</v>
      </c>
    </row>
    <row r="20442" spans="1:4" x14ac:dyDescent="0.25">
      <c r="A20442" t="str">
        <f>HYPERLINK("https://www.773grp.com/globalSearch/UBA2024BP-N1112/page-1", "UBA2024BP-N1112")</f>
        <v>UBA2024BP-N1112</v>
      </c>
      <c r="B20442" s="3" t="s">
        <v>93</v>
      </c>
      <c r="C20442" s="6">
        <v>400</v>
      </c>
      <c r="D20442" s="7">
        <v>3.48</v>
      </c>
    </row>
    <row r="20443" spans="1:4" x14ac:dyDescent="0.25">
      <c r="A20443" t="str">
        <f>HYPERLINK("https://www.773grp.com/globalSearch/UBA2024BT-N1518/page-1", "UBA2024BT-N1518")</f>
        <v>UBA2024BT-N1518</v>
      </c>
      <c r="B20443" s="3" t="s">
        <v>93</v>
      </c>
      <c r="C20443" s="6">
        <v>315</v>
      </c>
      <c r="D20443" s="7">
        <v>3.48</v>
      </c>
    </row>
    <row r="20444" spans="1:4" x14ac:dyDescent="0.25">
      <c r="A20444" t="str">
        <f>HYPERLINK("https://www.773grp.com/globalSearch/74HC299N652/page-1", "74HC299N652")</f>
        <v>74HC299N652</v>
      </c>
      <c r="B20444" s="3" t="s">
        <v>93</v>
      </c>
      <c r="C20444" s="6">
        <v>620</v>
      </c>
      <c r="D20444" s="7">
        <v>3.15</v>
      </c>
    </row>
    <row r="20445" spans="1:4" x14ac:dyDescent="0.25">
      <c r="A20445" t="str">
        <f>HYPERLINK("https://www.773grp.com/globalSearch/BUK662R7-55C118/page-1", "BUK662R7-55C118")</f>
        <v>BUK662R7-55C118</v>
      </c>
      <c r="B20445" s="3" t="s">
        <v>93</v>
      </c>
      <c r="C20445" s="6">
        <v>4800</v>
      </c>
      <c r="D20445" s="7">
        <v>3.15</v>
      </c>
    </row>
    <row r="20446" spans="1:4" x14ac:dyDescent="0.25">
      <c r="A20446" t="str">
        <f>HYPERLINK("https://www.773grp.com/globalSearch/BUK761R8-30C118/page-1", "BUK761R8-30C118")</f>
        <v>BUK761R8-30C118</v>
      </c>
      <c r="B20446" s="3" t="s">
        <v>93</v>
      </c>
      <c r="C20446" s="6">
        <v>56</v>
      </c>
      <c r="D20446" s="7">
        <v>3.15</v>
      </c>
    </row>
    <row r="20447" spans="1:4" x14ac:dyDescent="0.25">
      <c r="A20447" t="str">
        <f>HYPERLINK("https://www.773grp.com/globalSearch/IP4777CZ38118/page-1", "IP4777CZ38118")</f>
        <v>IP4777CZ38118</v>
      </c>
      <c r="B20447" s="3" t="s">
        <v>93</v>
      </c>
      <c r="C20447" s="6">
        <v>1104</v>
      </c>
      <c r="D20447" s="7">
        <v>3.15</v>
      </c>
    </row>
    <row r="20448" spans="1:4" x14ac:dyDescent="0.25">
      <c r="A20448" t="str">
        <f>HYPERLINK("https://www.773grp.com/globalSearch/CBTU04083BS518/page-1", "CBTU04083BS518")</f>
        <v>CBTU04083BS518</v>
      </c>
      <c r="B20448" s="3" t="s">
        <v>93</v>
      </c>
      <c r="C20448" s="6">
        <v>79</v>
      </c>
      <c r="D20448" s="7">
        <v>3.53</v>
      </c>
    </row>
    <row r="20449" spans="1:4" x14ac:dyDescent="0.25">
      <c r="A20449" t="str">
        <f>HYPERLINK("https://www.773grp.com/globalSearch/PCA9539BS118/page-1", "PCA9539BS118")</f>
        <v>PCA9539BS118</v>
      </c>
      <c r="B20449" s="3" t="s">
        <v>93</v>
      </c>
      <c r="C20449" s="6">
        <v>13844</v>
      </c>
      <c r="D20449" s="7">
        <v>3.53</v>
      </c>
    </row>
    <row r="20450" spans="1:4" x14ac:dyDescent="0.25">
      <c r="A20450" t="str">
        <f>HYPERLINK("https://www.773grp.com/globalSearch/PCA9539D112/page-1", "PCA9539D112")</f>
        <v>PCA9539D112</v>
      </c>
      <c r="B20450" s="3" t="s">
        <v>93</v>
      </c>
      <c r="C20450" s="6">
        <v>3985</v>
      </c>
      <c r="D20450" s="7">
        <v>3.53</v>
      </c>
    </row>
    <row r="20451" spans="1:4" x14ac:dyDescent="0.25">
      <c r="A20451" t="str">
        <f>HYPERLINK("https://www.773grp.com/globalSearch/PCA9539PW118/page-1", "PCA9539PW118")</f>
        <v>PCA9539PW118</v>
      </c>
      <c r="B20451" s="3" t="s">
        <v>93</v>
      </c>
      <c r="C20451" s="6">
        <v>2190</v>
      </c>
      <c r="D20451" s="7">
        <v>3.53</v>
      </c>
    </row>
    <row r="20452" spans="1:4" x14ac:dyDescent="0.25">
      <c r="A20452" t="str">
        <f>HYPERLINK("https://www.773grp.com/globalSearch/PCA9544ABS118/page-1", "PCA9544ABS118")</f>
        <v>PCA9544ABS118</v>
      </c>
      <c r="B20452" s="3" t="s">
        <v>93</v>
      </c>
      <c r="C20452" s="6">
        <v>9956</v>
      </c>
      <c r="D20452" s="7">
        <v>3.53</v>
      </c>
    </row>
    <row r="20453" spans="1:4" x14ac:dyDescent="0.25">
      <c r="A20453" t="str">
        <f>HYPERLINK("https://www.773grp.com/globalSearch/PCA9548AD112/page-1", "PCA9548AD112")</f>
        <v>PCA9548AD112</v>
      </c>
      <c r="B20453" s="3" t="s">
        <v>93</v>
      </c>
      <c r="C20453" s="6">
        <v>4200</v>
      </c>
      <c r="D20453" s="7">
        <v>3.53</v>
      </c>
    </row>
    <row r="20454" spans="1:4" x14ac:dyDescent="0.25">
      <c r="A20454" t="str">
        <f>HYPERLINK("https://www.773grp.com/globalSearch/PCA9548AD118/page-1", "PCA9548AD118")</f>
        <v>PCA9548AD118</v>
      </c>
      <c r="B20454" s="3" t="s">
        <v>93</v>
      </c>
      <c r="C20454" s="6">
        <v>1000</v>
      </c>
      <c r="D20454" s="7">
        <v>3.53</v>
      </c>
    </row>
    <row r="20455" spans="1:4" x14ac:dyDescent="0.25">
      <c r="A20455" t="str">
        <f>HYPERLINK("https://www.773grp.com/globalSearch/PCA9548APW118/page-1", "PCA9548APW118")</f>
        <v>PCA9548APW118</v>
      </c>
      <c r="B20455" s="3" t="s">
        <v>93</v>
      </c>
      <c r="C20455" s="6">
        <v>2500</v>
      </c>
      <c r="D20455" s="7">
        <v>3.53</v>
      </c>
    </row>
    <row r="20456" spans="1:4" x14ac:dyDescent="0.25">
      <c r="A20456" t="str">
        <f>HYPERLINK("https://www.773grp.com/globalSearch/PCF2100CT-F1112/page-1", "PCF2100CT-F1112")</f>
        <v>PCF2100CT-F1112</v>
      </c>
      <c r="B20456" s="3" t="s">
        <v>93</v>
      </c>
      <c r="C20456" s="6">
        <v>35</v>
      </c>
      <c r="D20456" s="7">
        <v>3.53</v>
      </c>
    </row>
    <row r="20457" spans="1:4" x14ac:dyDescent="0.25">
      <c r="A20457" t="str">
        <f>HYPERLINK("https://www.773grp.com/globalSearch/PCF85176H-1518/page-1", "PCF85176H-1518")</f>
        <v>PCF85176H-1518</v>
      </c>
      <c r="B20457" s="3" t="s">
        <v>93</v>
      </c>
      <c r="C20457" s="6">
        <v>6049</v>
      </c>
      <c r="D20457" s="7">
        <v>3.53</v>
      </c>
    </row>
    <row r="20458" spans="1:4" x14ac:dyDescent="0.25">
      <c r="A20458" t="str">
        <f>HYPERLINK("https://www.773grp.com/globalSearch/PCU9654PW118/page-1", "PCU9654PW118")</f>
        <v>PCU9654PW118</v>
      </c>
      <c r="B20458" s="3" t="s">
        <v>93</v>
      </c>
      <c r="C20458" s="6">
        <v>4840</v>
      </c>
      <c r="D20458" s="7">
        <v>3.53</v>
      </c>
    </row>
    <row r="20459" spans="1:4" x14ac:dyDescent="0.25">
      <c r="A20459" t="str">
        <f>HYPERLINK("https://www.773grp.com/globalSearch/PSMN008-75B118/page-1", "PSMN008-75B118")</f>
        <v>PSMN008-75B118</v>
      </c>
      <c r="B20459" s="3" t="s">
        <v>93</v>
      </c>
      <c r="C20459" s="6">
        <v>3620</v>
      </c>
      <c r="D20459" s="7">
        <v>3.53</v>
      </c>
    </row>
    <row r="20460" spans="1:4" x14ac:dyDescent="0.25">
      <c r="A20460" t="str">
        <f>HYPERLINK("https://www.773grp.com/globalSearch/PSMN015-100B118/page-1", "PSMN015-100B118")</f>
        <v>PSMN015-100B118</v>
      </c>
      <c r="B20460" s="3" t="s">
        <v>93</v>
      </c>
      <c r="C20460" s="6">
        <v>9485</v>
      </c>
      <c r="D20460" s="7">
        <v>3.53</v>
      </c>
    </row>
    <row r="20461" spans="1:4" x14ac:dyDescent="0.25">
      <c r="A20461" t="str">
        <f>HYPERLINK("https://www.773grp.com/globalSearch/SSL1523P-N2112/page-1", "SSL1523P-N2112")</f>
        <v>SSL1523P-N2112</v>
      </c>
      <c r="B20461" s="3" t="s">
        <v>93</v>
      </c>
      <c r="C20461" s="6">
        <v>2000</v>
      </c>
      <c r="D20461" s="7">
        <v>3.53</v>
      </c>
    </row>
    <row r="20462" spans="1:4" x14ac:dyDescent="0.25">
      <c r="A20462" t="str">
        <f>HYPERLINK("https://www.773grp.com/globalSearch/PSMN2R0-60ES127/page-1", "PSMN2R0-60ES127")</f>
        <v>PSMN2R0-60ES127</v>
      </c>
      <c r="B20462" s="3" t="s">
        <v>93</v>
      </c>
      <c r="C20462" s="6">
        <v>5000</v>
      </c>
      <c r="D20462" s="7">
        <v>3.21</v>
      </c>
    </row>
    <row r="20463" spans="1:4" x14ac:dyDescent="0.25">
      <c r="A20463" t="str">
        <f>HYPERLINK("https://www.773grp.com/globalSearch/PSMN3R5-80ES127/page-1", "PSMN3R5-80ES127")</f>
        <v>PSMN3R5-80ES127</v>
      </c>
      <c r="B20463" s="3" t="s">
        <v>93</v>
      </c>
      <c r="C20463" s="6">
        <v>4200</v>
      </c>
      <c r="D20463" s="7">
        <v>3.21</v>
      </c>
    </row>
    <row r="20464" spans="1:4" x14ac:dyDescent="0.25">
      <c r="A20464" t="str">
        <f>HYPERLINK("https://www.773grp.com/globalSearch/PSMN5R0-100ES127/page-1", "PSMN5R0-100ES127")</f>
        <v>PSMN5R0-100ES127</v>
      </c>
      <c r="B20464" s="3" t="s">
        <v>93</v>
      </c>
      <c r="C20464" s="6">
        <v>8600</v>
      </c>
      <c r="D20464" s="7">
        <v>3.21</v>
      </c>
    </row>
    <row r="20465" spans="1:4" x14ac:dyDescent="0.25">
      <c r="A20465" t="str">
        <f>HYPERLINK("https://www.773grp.com/globalSearch/UBA2016AT-1118/page-1", "UBA2016AT-1118")</f>
        <v>UBA2016AT-1118</v>
      </c>
      <c r="B20465" s="3" t="s">
        <v>93</v>
      </c>
      <c r="C20465" s="6">
        <v>2018</v>
      </c>
      <c r="D20465" s="7">
        <v>3.21</v>
      </c>
    </row>
    <row r="20466" spans="1:4" x14ac:dyDescent="0.25">
      <c r="A20466" t="str">
        <f>HYPERLINK("https://www.773grp.com/globalSearch/UBA2037T-N1118/page-1", "UBA2037T-N1118")</f>
        <v>UBA2037T-N1118</v>
      </c>
      <c r="B20466" s="3" t="s">
        <v>93</v>
      </c>
      <c r="C20466" s="6">
        <v>50</v>
      </c>
      <c r="D20466" s="7">
        <v>3.21</v>
      </c>
    </row>
    <row r="20467" spans="1:4" x14ac:dyDescent="0.25">
      <c r="A20467" t="str">
        <f>HYPERLINK("https://www.773grp.com/globalSearch/UBA2037TS-N1118/page-1", "UBA2037TS-N1118")</f>
        <v>UBA2037TS-N1118</v>
      </c>
      <c r="B20467" s="3" t="s">
        <v>93</v>
      </c>
      <c r="C20467" s="6">
        <v>45</v>
      </c>
      <c r="D20467" s="7">
        <v>3.21</v>
      </c>
    </row>
    <row r="20468" spans="1:4" x14ac:dyDescent="0.25">
      <c r="A20468" t="str">
        <f>HYPERLINK("https://www.773grp.com/globalSearch/P87LPC762FD512/page-1", "P87LPC762FD512")</f>
        <v>P87LPC762FD512</v>
      </c>
      <c r="B20468" s="3" t="s">
        <v>93</v>
      </c>
      <c r="C20468" s="6">
        <v>7600</v>
      </c>
      <c r="D20468" s="7">
        <v>3.24</v>
      </c>
    </row>
    <row r="20469" spans="1:4" x14ac:dyDescent="0.25">
      <c r="A20469" t="str">
        <f>HYPERLINK("https://www.773grp.com/globalSearch/74LV541N112/page-1", "74LV541N112")</f>
        <v>74LV541N112</v>
      </c>
      <c r="B20469" s="3" t="s">
        <v>93</v>
      </c>
      <c r="C20469" s="6">
        <v>720</v>
      </c>
      <c r="D20469" s="7">
        <v>3.6</v>
      </c>
    </row>
    <row r="20470" spans="1:4" x14ac:dyDescent="0.25">
      <c r="A20470" t="str">
        <f>HYPERLINK("https://www.773grp.com/globalSearch/BUK763R9-60E118/page-1", "BUK763R9-60E118")</f>
        <v>BUK763R9-60E118</v>
      </c>
      <c r="B20470" s="3" t="s">
        <v>93</v>
      </c>
      <c r="C20470" s="6">
        <v>4900</v>
      </c>
      <c r="D20470" s="7">
        <v>3.6</v>
      </c>
    </row>
    <row r="20471" spans="1:4" x14ac:dyDescent="0.25">
      <c r="A20471" t="str">
        <f>HYPERLINK("https://www.773grp.com/globalSearch/BUK768R1-100E118/page-1", "BUK768R1-100E118")</f>
        <v>BUK768R1-100E118</v>
      </c>
      <c r="B20471" s="3" t="s">
        <v>93</v>
      </c>
      <c r="C20471" s="6">
        <v>3878</v>
      </c>
      <c r="D20471" s="7">
        <v>3.6</v>
      </c>
    </row>
    <row r="20472" spans="1:4" x14ac:dyDescent="0.25">
      <c r="A20472" t="str">
        <f>HYPERLINK("https://www.773grp.com/globalSearch/BUK969R3-100E118/page-1", "BUK969R3-100E118")</f>
        <v>BUK969R3-100E118</v>
      </c>
      <c r="B20472" s="3" t="s">
        <v>93</v>
      </c>
      <c r="C20472" s="6">
        <v>4479</v>
      </c>
      <c r="D20472" s="7">
        <v>3.6</v>
      </c>
    </row>
    <row r="20473" spans="1:4" x14ac:dyDescent="0.25">
      <c r="A20473" t="str">
        <f>HYPERLINK("https://www.773grp.com/globalSearch/CBTL04DP211BS518/page-1", "CBTL04DP211BS518")</f>
        <v>CBTL04DP211BS518</v>
      </c>
      <c r="B20473" s="3" t="s">
        <v>93</v>
      </c>
      <c r="C20473" s="6">
        <v>30500</v>
      </c>
      <c r="D20473" s="7">
        <v>3.6</v>
      </c>
    </row>
    <row r="20474" spans="1:4" x14ac:dyDescent="0.25">
      <c r="A20474" t="str">
        <f>HYPERLINK("https://www.773grp.com/globalSearch/HEF4515BP652/page-1", "HEF4515BP652")</f>
        <v>HEF4515BP652</v>
      </c>
      <c r="B20474" s="3" t="s">
        <v>93</v>
      </c>
      <c r="C20474" s="6">
        <v>360</v>
      </c>
      <c r="D20474" s="7">
        <v>3.6</v>
      </c>
    </row>
    <row r="20475" spans="1:4" x14ac:dyDescent="0.25">
      <c r="A20475" t="str">
        <f>HYPERLINK("https://www.773grp.com/globalSearch/HEF4521BP652/page-1", "HEF4521BP652")</f>
        <v>HEF4521BP652</v>
      </c>
      <c r="B20475" s="3" t="s">
        <v>93</v>
      </c>
      <c r="C20475" s="6">
        <v>1000</v>
      </c>
      <c r="D20475" s="7">
        <v>3.6</v>
      </c>
    </row>
    <row r="20476" spans="1:4" x14ac:dyDescent="0.25">
      <c r="A20476" t="str">
        <f>HYPERLINK("https://www.773grp.com/globalSearch/KMZ41118/page-1", "KMZ41118")</f>
        <v>KMZ41118</v>
      </c>
      <c r="B20476" s="3" t="s">
        <v>93</v>
      </c>
      <c r="C20476" s="6">
        <v>1412</v>
      </c>
      <c r="D20476" s="7">
        <v>3.6</v>
      </c>
    </row>
    <row r="20477" spans="1:4" x14ac:dyDescent="0.25">
      <c r="A20477" t="str">
        <f>HYPERLINK("https://www.773grp.com/globalSearch/P89LPC915FDH129/page-1", "P89LPC915FDH129")</f>
        <v>P89LPC915FDH129</v>
      </c>
      <c r="B20477" s="3" t="s">
        <v>93</v>
      </c>
      <c r="C20477" s="6">
        <v>114</v>
      </c>
      <c r="D20477" s="7">
        <v>3.6</v>
      </c>
    </row>
    <row r="20478" spans="1:4" x14ac:dyDescent="0.25">
      <c r="A20478" t="str">
        <f>HYPERLINK("https://www.773grp.com/globalSearch/PCA9551BS118/page-1", "PCA9551BS118")</f>
        <v>PCA9551BS118</v>
      </c>
      <c r="B20478" s="3" t="s">
        <v>93</v>
      </c>
      <c r="C20478" s="6">
        <v>18000</v>
      </c>
      <c r="D20478" s="7">
        <v>3.6</v>
      </c>
    </row>
    <row r="20479" spans="1:4" x14ac:dyDescent="0.25">
      <c r="A20479" t="str">
        <f>HYPERLINK("https://www.773grp.com/globalSearch/PCA9551PW112/page-1", "PCA9551PW112")</f>
        <v>PCA9551PW112</v>
      </c>
      <c r="B20479" s="3" t="s">
        <v>93</v>
      </c>
      <c r="C20479" s="6">
        <v>1569</v>
      </c>
      <c r="D20479" s="7">
        <v>3.6</v>
      </c>
    </row>
    <row r="20480" spans="1:4" x14ac:dyDescent="0.25">
      <c r="A20480" t="str">
        <f>HYPERLINK("https://www.773grp.com/globalSearch/PCA9551PW118/page-1", "PCA9551PW118")</f>
        <v>PCA9551PW118</v>
      </c>
      <c r="B20480" s="3" t="s">
        <v>93</v>
      </c>
      <c r="C20480" s="6">
        <v>7500</v>
      </c>
      <c r="D20480" s="7">
        <v>3.6</v>
      </c>
    </row>
    <row r="20481" spans="1:4" x14ac:dyDescent="0.25">
      <c r="A20481" t="str">
        <f>HYPERLINK("https://www.773grp.com/globalSearch/PCF7900VHN-C0L118/page-1", "PCF7900VHN-C0L118")</f>
        <v>PCF7900VHN-C0L118</v>
      </c>
      <c r="B20481" s="3" t="s">
        <v>93</v>
      </c>
      <c r="C20481" s="6">
        <v>23850</v>
      </c>
      <c r="D20481" s="7">
        <v>3.6</v>
      </c>
    </row>
    <row r="20482" spans="1:4" x14ac:dyDescent="0.25">
      <c r="A20482" t="str">
        <f>HYPERLINK("https://www.773grp.com/globalSearch/PCH7900NTT-C0K118/page-1", "PCH7900NTT-C0K118")</f>
        <v>PCH7900NTT-C0K118</v>
      </c>
      <c r="B20482" s="3" t="s">
        <v>93</v>
      </c>
      <c r="C20482" s="6">
        <v>2498</v>
      </c>
      <c r="D20482" s="7">
        <v>3.6</v>
      </c>
    </row>
    <row r="20483" spans="1:4" x14ac:dyDescent="0.25">
      <c r="A20483" t="str">
        <f>HYPERLINK("https://www.773grp.com/globalSearch/PH3330L115/page-1", "PH3330L115")</f>
        <v>PH3330L115</v>
      </c>
      <c r="B20483" s="3" t="s">
        <v>93</v>
      </c>
      <c r="C20483" s="6">
        <v>1532</v>
      </c>
      <c r="D20483" s="7">
        <v>3.6</v>
      </c>
    </row>
    <row r="20484" spans="1:4" x14ac:dyDescent="0.25">
      <c r="A20484" t="str">
        <f>HYPERLINK("https://www.773grp.com/globalSearch/74HC7046AN112/page-1", "74HC7046AN112")</f>
        <v>74HC7046AN112</v>
      </c>
      <c r="B20484" s="3" t="s">
        <v>93</v>
      </c>
      <c r="C20484" s="6">
        <v>1000</v>
      </c>
      <c r="D20484" s="7">
        <v>3.29</v>
      </c>
    </row>
    <row r="20485" spans="1:4" x14ac:dyDescent="0.25">
      <c r="A20485" t="str">
        <f>HYPERLINK("https://www.773grp.com/globalSearch/74HCT7540N112/page-1", "74HCT7540N112")</f>
        <v>74HCT7540N112</v>
      </c>
      <c r="B20485" s="3" t="s">
        <v>93</v>
      </c>
      <c r="C20485" s="6">
        <v>479</v>
      </c>
      <c r="D20485" s="7">
        <v>3.29</v>
      </c>
    </row>
    <row r="20486" spans="1:4" x14ac:dyDescent="0.25">
      <c r="A20486" t="str">
        <f>HYPERLINK("https://www.773grp.com/globalSearch/BUK754R3-75C127/page-1", "BUK754R3-75C127")</f>
        <v>BUK754R3-75C127</v>
      </c>
      <c r="B20486" s="3" t="s">
        <v>93</v>
      </c>
      <c r="C20486" s="6">
        <v>4929</v>
      </c>
      <c r="D20486" s="7">
        <v>3.29</v>
      </c>
    </row>
    <row r="20487" spans="1:4" x14ac:dyDescent="0.25">
      <c r="A20487" t="str">
        <f>HYPERLINK("https://www.773grp.com/globalSearch/HEF4517BP652/page-1", "HEF4517BP652")</f>
        <v>HEF4517BP652</v>
      </c>
      <c r="B20487" s="3" t="s">
        <v>93</v>
      </c>
      <c r="C20487" s="6">
        <v>142</v>
      </c>
      <c r="D20487" s="7">
        <v>3.29</v>
      </c>
    </row>
    <row r="20488" spans="1:4" x14ac:dyDescent="0.25">
      <c r="A20488" t="str">
        <f>HYPERLINK("https://www.773grp.com/globalSearch/TDA9950TT-C3518/page-1", "TDA9950TT-C3518")</f>
        <v>TDA9950TT-C3518</v>
      </c>
      <c r="B20488" s="3" t="s">
        <v>93</v>
      </c>
      <c r="C20488" s="6">
        <v>2500</v>
      </c>
      <c r="D20488" s="7">
        <v>3.29</v>
      </c>
    </row>
    <row r="20489" spans="1:4" x14ac:dyDescent="0.25">
      <c r="A20489" t="str">
        <f>HYPERLINK("https://www.773grp.com/globalSearch/UDA1352TS-N3112/page-1", "UDA1352TS-N3112")</f>
        <v>UDA1352TS-N3112</v>
      </c>
      <c r="B20489" s="3" t="s">
        <v>93</v>
      </c>
      <c r="C20489" s="6">
        <v>418</v>
      </c>
      <c r="D20489" s="7">
        <v>3.29</v>
      </c>
    </row>
    <row r="20490" spans="1:4" x14ac:dyDescent="0.25">
      <c r="A20490" t="str">
        <f>HYPERLINK("https://www.773grp.com/globalSearch/UDA1352TS-N3118/page-1", "UDA1352TS-N3118")</f>
        <v>UDA1352TS-N3118</v>
      </c>
      <c r="B20490" s="3" t="s">
        <v>93</v>
      </c>
      <c r="C20490" s="6">
        <v>195</v>
      </c>
      <c r="D20490" s="7">
        <v>3.29</v>
      </c>
    </row>
    <row r="20491" spans="1:4" x14ac:dyDescent="0.25">
      <c r="A20491" t="str">
        <f>HYPERLINK("https://www.773grp.com/globalSearch/74ABT00N112/page-1", "74ABT00N112")</f>
        <v>74ABT00N112</v>
      </c>
      <c r="B20491" s="3" t="s">
        <v>93</v>
      </c>
      <c r="C20491" s="6">
        <v>3000</v>
      </c>
      <c r="D20491" s="7">
        <v>3.65</v>
      </c>
    </row>
    <row r="20492" spans="1:4" x14ac:dyDescent="0.25">
      <c r="A20492" t="str">
        <f>HYPERLINK("https://www.773grp.com/globalSearch/74ABT08N112/page-1", "74ABT08N112")</f>
        <v>74ABT08N112</v>
      </c>
      <c r="B20492" s="3" t="s">
        <v>93</v>
      </c>
      <c r="C20492" s="6">
        <v>2386</v>
      </c>
      <c r="D20492" s="7">
        <v>3.65</v>
      </c>
    </row>
    <row r="20493" spans="1:4" x14ac:dyDescent="0.25">
      <c r="A20493" t="str">
        <f>HYPERLINK("https://www.773grp.com/globalSearch/74ABT20N112/page-1", "74ABT20N112")</f>
        <v>74ABT20N112</v>
      </c>
      <c r="B20493" s="3" t="s">
        <v>93</v>
      </c>
      <c r="C20493" s="6">
        <v>1000</v>
      </c>
      <c r="D20493" s="7">
        <v>3.65</v>
      </c>
    </row>
    <row r="20494" spans="1:4" x14ac:dyDescent="0.25">
      <c r="A20494" t="str">
        <f>HYPERLINK("https://www.773grp.com/globalSearch/74HCT5555D112/page-1", "74HCT5555D112")</f>
        <v>74HCT5555D112</v>
      </c>
      <c r="B20494" s="3" t="s">
        <v>93</v>
      </c>
      <c r="C20494" s="6">
        <v>1000</v>
      </c>
      <c r="D20494" s="7">
        <v>3.65</v>
      </c>
    </row>
    <row r="20495" spans="1:4" x14ac:dyDescent="0.25">
      <c r="A20495" t="str">
        <f>HYPERLINK("https://www.773grp.com/globalSearch/PCA9502BS151/page-1", "PCA9502BS151")</f>
        <v>PCA9502BS151</v>
      </c>
      <c r="B20495" s="3" t="s">
        <v>93</v>
      </c>
      <c r="C20495" s="6">
        <v>2</v>
      </c>
      <c r="D20495" s="7">
        <v>3.65</v>
      </c>
    </row>
    <row r="20496" spans="1:4" x14ac:dyDescent="0.25">
      <c r="A20496" t="str">
        <f>HYPERLINK("https://www.773grp.com/globalSearch/PCA9502BS157/page-1", "PCA9502BS157")</f>
        <v>PCA9502BS157</v>
      </c>
      <c r="B20496" s="3" t="s">
        <v>93</v>
      </c>
      <c r="C20496" s="6">
        <v>1681</v>
      </c>
      <c r="D20496" s="7">
        <v>3.65</v>
      </c>
    </row>
    <row r="20497" spans="1:4" x14ac:dyDescent="0.25">
      <c r="A20497" t="str">
        <f>HYPERLINK("https://www.773grp.com/globalSearch/PSMN015-110P127/page-1", "PSMN015-110P127")</f>
        <v>PSMN015-110P127</v>
      </c>
      <c r="B20497" s="3" t="s">
        <v>93</v>
      </c>
      <c r="C20497" s="6">
        <v>902</v>
      </c>
      <c r="D20497" s="7">
        <v>3.65</v>
      </c>
    </row>
    <row r="20498" spans="1:4" x14ac:dyDescent="0.25">
      <c r="A20498" t="str">
        <f>HYPERLINK("https://www.773grp.com/globalSearch/TDA9881TS-V5118/page-1", "TDA9881TS-V5118")</f>
        <v>TDA9881TS-V5118</v>
      </c>
      <c r="B20498" s="3" t="s">
        <v>93</v>
      </c>
      <c r="C20498" s="6">
        <v>54</v>
      </c>
      <c r="D20498" s="7">
        <v>3.65</v>
      </c>
    </row>
    <row r="20499" spans="1:4" x14ac:dyDescent="0.25">
      <c r="A20499" t="str">
        <f>HYPERLINK("https://www.773grp.com/globalSearch/UBA2014T-N1518/page-1", "UBA2014T-N1518")</f>
        <v>UBA2014T-N1518</v>
      </c>
      <c r="B20499" s="3" t="s">
        <v>93</v>
      </c>
      <c r="C20499" s="6">
        <v>3700</v>
      </c>
      <c r="D20499" s="7">
        <v>3.65</v>
      </c>
    </row>
    <row r="20500" spans="1:4" x14ac:dyDescent="0.25">
      <c r="A20500" t="str">
        <f>HYPERLINK("https://www.773grp.com/globalSearch/P87C52X2BA512/page-1", "P87C52X2BA512")</f>
        <v>P87C52X2BA512</v>
      </c>
      <c r="B20500" s="3" t="s">
        <v>93</v>
      </c>
      <c r="C20500" s="6">
        <v>54</v>
      </c>
      <c r="D20500" s="7">
        <v>3.33</v>
      </c>
    </row>
    <row r="20501" spans="1:4" x14ac:dyDescent="0.25">
      <c r="A20501" t="str">
        <f>HYPERLINK("https://www.773grp.com/globalSearch/P87C52X2BN112/page-1", "P87C52X2BN112")</f>
        <v>P87C52X2BN112</v>
      </c>
      <c r="B20501" s="3" t="s">
        <v>93</v>
      </c>
      <c r="C20501" s="6">
        <v>669</v>
      </c>
      <c r="D20501" s="7">
        <v>3.33</v>
      </c>
    </row>
    <row r="20502" spans="1:4" x14ac:dyDescent="0.25">
      <c r="A20502" t="str">
        <f>HYPERLINK("https://www.773grp.com/globalSearch/PCA9600D118/page-1", "PCA9600D118")</f>
        <v>PCA9600D118</v>
      </c>
      <c r="B20502" s="3" t="s">
        <v>93</v>
      </c>
      <c r="C20502" s="6">
        <v>1790</v>
      </c>
      <c r="D20502" s="7">
        <v>3.33</v>
      </c>
    </row>
    <row r="20503" spans="1:4" x14ac:dyDescent="0.25">
      <c r="A20503" t="str">
        <f>HYPERLINK("https://www.773grp.com/globalSearch/SSL4101T-1518/page-1", "SSL4101T-1518")</f>
        <v>SSL4101T-1518</v>
      </c>
      <c r="B20503" s="3" t="s">
        <v>93</v>
      </c>
      <c r="C20503" s="6">
        <v>2500</v>
      </c>
      <c r="D20503" s="7">
        <v>3.33</v>
      </c>
    </row>
    <row r="20504" spans="1:4" x14ac:dyDescent="0.25">
      <c r="A20504" t="str">
        <f>HYPERLINK("https://www.773grp.com/globalSearch/74LV241N112/page-1", "74LV241N112")</f>
        <v>74LV241N112</v>
      </c>
      <c r="B20504" s="3" t="s">
        <v>93</v>
      </c>
      <c r="C20504" s="6">
        <v>2823</v>
      </c>
      <c r="D20504" s="7">
        <v>3.7</v>
      </c>
    </row>
    <row r="20505" spans="1:4" x14ac:dyDescent="0.25">
      <c r="A20505" t="str">
        <f>HYPERLINK("https://www.773grp.com/globalSearch/74LV251N112/page-1", "74LV251N112")</f>
        <v>74LV251N112</v>
      </c>
      <c r="B20505" s="3" t="s">
        <v>93</v>
      </c>
      <c r="C20505" s="6">
        <v>500</v>
      </c>
      <c r="D20505" s="7">
        <v>3.7</v>
      </c>
    </row>
    <row r="20506" spans="1:4" x14ac:dyDescent="0.25">
      <c r="A20506" t="str">
        <f>HYPERLINK("https://www.773grp.com/globalSearch/74LV273N112/page-1", "74LV273N112")</f>
        <v>74LV273N112</v>
      </c>
      <c r="B20506" s="3" t="s">
        <v>93</v>
      </c>
      <c r="C20506" s="6">
        <v>2688</v>
      </c>
      <c r="D20506" s="7">
        <v>3.7</v>
      </c>
    </row>
    <row r="20507" spans="1:4" x14ac:dyDescent="0.25">
      <c r="A20507" t="str">
        <f>HYPERLINK("https://www.773grp.com/globalSearch/BGA3012115/page-1", "BGA3012115")</f>
        <v>BGA3012115</v>
      </c>
      <c r="B20507" s="3" t="s">
        <v>93</v>
      </c>
      <c r="C20507" s="6">
        <v>2882</v>
      </c>
      <c r="D20507" s="7">
        <v>3.7</v>
      </c>
    </row>
    <row r="20508" spans="1:4" x14ac:dyDescent="0.25">
      <c r="A20508" t="str">
        <f>HYPERLINK("https://www.773grp.com/globalSearch/CBTL02043BBQ115/page-1", "CBTL02043BBQ115")</f>
        <v>CBTL02043BBQ115</v>
      </c>
      <c r="B20508" s="3" t="s">
        <v>93</v>
      </c>
      <c r="C20508" s="6">
        <v>80</v>
      </c>
      <c r="D20508" s="7">
        <v>3.7</v>
      </c>
    </row>
    <row r="20509" spans="1:4" x14ac:dyDescent="0.25">
      <c r="A20509" t="str">
        <f>HYPERLINK("https://www.773grp.com/globalSearch/PCA9547D112/page-1", "PCA9547D112")</f>
        <v>PCA9547D112</v>
      </c>
      <c r="B20509" s="3" t="s">
        <v>93</v>
      </c>
      <c r="C20509" s="6">
        <v>692</v>
      </c>
      <c r="D20509" s="7">
        <v>3.7</v>
      </c>
    </row>
    <row r="20510" spans="1:4" x14ac:dyDescent="0.25">
      <c r="A20510" t="str">
        <f>HYPERLINK("https://www.773grp.com/globalSearch/PCA9547D118/page-1", "PCA9547D118")</f>
        <v>PCA9547D118</v>
      </c>
      <c r="B20510" s="3" t="s">
        <v>93</v>
      </c>
      <c r="C20510" s="6">
        <v>647</v>
      </c>
      <c r="D20510" s="7">
        <v>3.7</v>
      </c>
    </row>
    <row r="20511" spans="1:4" x14ac:dyDescent="0.25">
      <c r="A20511" t="str">
        <f>HYPERLINK("https://www.773grp.com/globalSearch/PCA9629PW118/page-1", "PCA9629PW118")</f>
        <v>PCA9629PW118</v>
      </c>
      <c r="B20511" s="3" t="s">
        <v>93</v>
      </c>
      <c r="C20511" s="6">
        <v>2500</v>
      </c>
      <c r="D20511" s="7">
        <v>3.7</v>
      </c>
    </row>
    <row r="20512" spans="1:4" x14ac:dyDescent="0.25">
      <c r="A20512" t="str">
        <f>HYPERLINK("https://www.773grp.com/globalSearch/PCF8570P-F5112/page-1", "PCF8570P-F5112")</f>
        <v>PCF8570P-F5112</v>
      </c>
      <c r="B20512" s="3" t="s">
        <v>93</v>
      </c>
      <c r="C20512" s="6">
        <v>1217</v>
      </c>
      <c r="D20512" s="7">
        <v>3.7</v>
      </c>
    </row>
    <row r="20513" spans="1:4" x14ac:dyDescent="0.25">
      <c r="A20513" t="str">
        <f>HYPERLINK("https://www.773grp.com/globalSearch/74HC9115N112/page-1", "74HC9115N112")</f>
        <v>74HC9115N112</v>
      </c>
      <c r="B20513" s="3" t="s">
        <v>93</v>
      </c>
      <c r="C20513" s="6">
        <v>1492</v>
      </c>
      <c r="D20513" s="7">
        <v>3.38</v>
      </c>
    </row>
    <row r="20514" spans="1:4" x14ac:dyDescent="0.25">
      <c r="A20514" t="str">
        <f>HYPERLINK("https://www.773grp.com/globalSearch/74HCT9115N112/page-1", "74HCT9115N112")</f>
        <v>74HCT9115N112</v>
      </c>
      <c r="B20514" s="3" t="s">
        <v>93</v>
      </c>
      <c r="C20514" s="6">
        <v>60</v>
      </c>
      <c r="D20514" s="7">
        <v>3.38</v>
      </c>
    </row>
    <row r="20515" spans="1:4" x14ac:dyDescent="0.25">
      <c r="A20515" t="str">
        <f>HYPERLINK("https://www.773grp.com/globalSearch/BUK7107-55AIE118/page-1", "BUK7107-55AIE118")</f>
        <v>BUK7107-55AIE118</v>
      </c>
      <c r="B20515" s="3" t="s">
        <v>93</v>
      </c>
      <c r="C20515" s="6">
        <v>3200</v>
      </c>
      <c r="D20515" s="7">
        <v>3.38</v>
      </c>
    </row>
    <row r="20516" spans="1:4" x14ac:dyDescent="0.25">
      <c r="A20516" t="str">
        <f>HYPERLINK("https://www.773grp.com/globalSearch/BUK7107-55ATE118/page-1", "BUK7107-55ATE118")</f>
        <v>BUK7107-55ATE118</v>
      </c>
      <c r="B20516" s="3" t="s">
        <v>93</v>
      </c>
      <c r="C20516" s="6">
        <v>3088</v>
      </c>
      <c r="D20516" s="7">
        <v>3.38</v>
      </c>
    </row>
    <row r="20517" spans="1:4" x14ac:dyDescent="0.25">
      <c r="A20517" t="str">
        <f>HYPERLINK("https://www.773grp.com/globalSearch/BUK7109-75AIE118/page-1", "BUK7109-75AIE118")</f>
        <v>BUK7109-75AIE118</v>
      </c>
      <c r="B20517" s="3" t="s">
        <v>93</v>
      </c>
      <c r="C20517" s="6">
        <v>2400</v>
      </c>
      <c r="D20517" s="7">
        <v>3.38</v>
      </c>
    </row>
    <row r="20518" spans="1:4" x14ac:dyDescent="0.25">
      <c r="A20518" t="str">
        <f>HYPERLINK("https://www.773grp.com/globalSearch/BUK7109-75ATE118/page-1", "BUK7109-75ATE118")</f>
        <v>BUK7109-75ATE118</v>
      </c>
      <c r="B20518" s="3" t="s">
        <v>93</v>
      </c>
      <c r="C20518" s="6">
        <v>2400</v>
      </c>
      <c r="D20518" s="7">
        <v>3.38</v>
      </c>
    </row>
    <row r="20519" spans="1:4" x14ac:dyDescent="0.25">
      <c r="A20519" t="str">
        <f>HYPERLINK("https://www.773grp.com/globalSearch/PCF8576CHL-1118/page-1", "PCF8576CHL-1118")</f>
        <v>PCF8576CHL-1118</v>
      </c>
      <c r="B20519" s="3" t="s">
        <v>93</v>
      </c>
      <c r="C20519" s="6">
        <v>82</v>
      </c>
      <c r="D20519" s="7">
        <v>3.38</v>
      </c>
    </row>
    <row r="20520" spans="1:4" x14ac:dyDescent="0.25">
      <c r="A20520" t="str">
        <f>HYPERLINK("https://www.773grp.com/globalSearch/PCF8576CHL-1157/page-1", "PCF8576CHL-1157")</f>
        <v>PCF8576CHL-1157</v>
      </c>
      <c r="B20520" s="3" t="s">
        <v>93</v>
      </c>
      <c r="C20520" s="6">
        <v>362</v>
      </c>
      <c r="D20520" s="7">
        <v>3.38</v>
      </c>
    </row>
    <row r="20521" spans="1:4" x14ac:dyDescent="0.25">
      <c r="A20521" t="str">
        <f>HYPERLINK("https://www.773grp.com/globalSearch/PSMN3R3-80ES127/page-1", "PSMN3R3-80ES127")</f>
        <v>PSMN3R3-80ES127</v>
      </c>
      <c r="B20521" s="3" t="s">
        <v>93</v>
      </c>
      <c r="C20521" s="6">
        <v>950</v>
      </c>
      <c r="D20521" s="7">
        <v>3.38</v>
      </c>
    </row>
    <row r="20522" spans="1:4" x14ac:dyDescent="0.25">
      <c r="A20522" t="str">
        <f>HYPERLINK("https://www.773grp.com/globalSearch/SC16IS750IPW112/page-1", "SC16IS750IPW112")</f>
        <v>SC16IS750IPW112</v>
      </c>
      <c r="B20522" s="3" t="s">
        <v>93</v>
      </c>
      <c r="C20522" s="6">
        <v>4809</v>
      </c>
      <c r="D20522" s="7">
        <v>3.38</v>
      </c>
    </row>
    <row r="20523" spans="1:4" x14ac:dyDescent="0.25">
      <c r="A20523" t="str">
        <f>HYPERLINK("https://www.773grp.com/globalSearch/SC16IS750IPW128/page-1", "SC16IS750IPW128")</f>
        <v>SC16IS750IPW128</v>
      </c>
      <c r="B20523" s="3" t="s">
        <v>93</v>
      </c>
      <c r="C20523" s="6">
        <v>2500</v>
      </c>
      <c r="D20523" s="7">
        <v>3.38</v>
      </c>
    </row>
    <row r="20524" spans="1:4" x14ac:dyDescent="0.25">
      <c r="A20524" t="str">
        <f>HYPERLINK("https://www.773grp.com/globalSearch/TDA8002CG-C1518/page-1", "TDA8002CG-C1518")</f>
        <v>TDA8002CG-C1518</v>
      </c>
      <c r="B20524" s="3" t="s">
        <v>93</v>
      </c>
      <c r="C20524" s="6">
        <v>26000</v>
      </c>
      <c r="D20524" s="7">
        <v>3.38</v>
      </c>
    </row>
    <row r="20525" spans="1:4" x14ac:dyDescent="0.25">
      <c r="A20525" t="str">
        <f>HYPERLINK("https://www.773grp.com/globalSearch/BUK7E11-55B127/page-1", "BUK7E11-55B127")</f>
        <v>BUK7E11-55B127</v>
      </c>
      <c r="B20525" s="3" t="s">
        <v>93</v>
      </c>
      <c r="C20525" s="6">
        <v>990</v>
      </c>
      <c r="D20525" s="7">
        <v>3.75</v>
      </c>
    </row>
    <row r="20526" spans="1:4" x14ac:dyDescent="0.25">
      <c r="A20526" t="str">
        <f>HYPERLINK("https://www.773grp.com/globalSearch/LPC1110FD20529/page-1", "LPC1110FD20529")</f>
        <v>LPC1110FD20529</v>
      </c>
      <c r="B20526" s="3" t="s">
        <v>93</v>
      </c>
      <c r="C20526" s="6">
        <v>77</v>
      </c>
      <c r="D20526" s="7">
        <v>3.75</v>
      </c>
    </row>
    <row r="20527" spans="1:4" x14ac:dyDescent="0.25">
      <c r="A20527" t="str">
        <f>HYPERLINK("https://www.773grp.com/globalSearch/PCA9555PW-DG118/page-1", "PCA9555PW-DG118")</f>
        <v>PCA9555PW-DG118</v>
      </c>
      <c r="B20527" s="3" t="s">
        <v>93</v>
      </c>
      <c r="C20527" s="6">
        <v>126</v>
      </c>
      <c r="D20527" s="7">
        <v>3.75</v>
      </c>
    </row>
    <row r="20528" spans="1:4" x14ac:dyDescent="0.25">
      <c r="A20528" t="str">
        <f>HYPERLINK("https://www.773grp.com/globalSearch/BUK7907-55AIE127/page-1", "BUK7907-55AIE127")</f>
        <v>BUK7907-55AIE127</v>
      </c>
      <c r="B20528" s="3" t="s">
        <v>93</v>
      </c>
      <c r="C20528" s="6">
        <v>9272</v>
      </c>
      <c r="D20528" s="7">
        <v>3.41</v>
      </c>
    </row>
    <row r="20529" spans="1:4" x14ac:dyDescent="0.25">
      <c r="A20529" t="str">
        <f>HYPERLINK("https://www.773grp.com/globalSearch/BUK7909-75AIE127/page-1", "BUK7909-75AIE127")</f>
        <v>BUK7909-75AIE127</v>
      </c>
      <c r="B20529" s="3" t="s">
        <v>93</v>
      </c>
      <c r="C20529" s="6">
        <v>6986</v>
      </c>
      <c r="D20529" s="7">
        <v>3.41</v>
      </c>
    </row>
    <row r="20530" spans="1:4" x14ac:dyDescent="0.25">
      <c r="A20530" t="str">
        <f>HYPERLINK("https://www.773grp.com/globalSearch/BUK9907-40ATC127/page-1", "BUK9907-40ATC127")</f>
        <v>BUK9907-40ATC127</v>
      </c>
      <c r="B20530" s="3" t="s">
        <v>93</v>
      </c>
      <c r="C20530" s="6">
        <v>1000</v>
      </c>
      <c r="D20530" s="7">
        <v>3.41</v>
      </c>
    </row>
    <row r="20531" spans="1:4" x14ac:dyDescent="0.25">
      <c r="A20531" t="str">
        <f>HYPERLINK("https://www.773grp.com/globalSearch/P87LPC762FN112/page-1", "P87LPC762FN112")</f>
        <v>P87LPC762FN112</v>
      </c>
      <c r="B20531" s="3" t="s">
        <v>93</v>
      </c>
      <c r="C20531" s="6">
        <v>447</v>
      </c>
      <c r="D20531" s="7">
        <v>3.41</v>
      </c>
    </row>
    <row r="20532" spans="1:4" x14ac:dyDescent="0.25">
      <c r="A20532" t="str">
        <f>HYPERLINK("https://www.773grp.com/globalSearch/P87LPC764BD512/page-1", "P87LPC764BD512")</f>
        <v>P87LPC764BD512</v>
      </c>
      <c r="B20532" s="3" t="s">
        <v>93</v>
      </c>
      <c r="C20532" s="6">
        <v>486</v>
      </c>
      <c r="D20532" s="7">
        <v>3.41</v>
      </c>
    </row>
    <row r="20533" spans="1:4" x14ac:dyDescent="0.25">
      <c r="A20533" t="str">
        <f>HYPERLINK("https://www.773grp.com/globalSearch/P87LPC764BDH512/page-1", "P87LPC764BDH512")</f>
        <v>P87LPC764BDH512</v>
      </c>
      <c r="B20533" s="3" t="s">
        <v>93</v>
      </c>
      <c r="C20533" s="6">
        <v>264</v>
      </c>
      <c r="D20533" s="7">
        <v>3.41</v>
      </c>
    </row>
    <row r="20534" spans="1:4" x14ac:dyDescent="0.25">
      <c r="A20534" t="str">
        <f>HYPERLINK("https://www.773grp.com/globalSearch/SSL2101T-N1518/page-1", "SSL2101T-N1518")</f>
        <v>SSL2101T-N1518</v>
      </c>
      <c r="B20534" s="3" t="s">
        <v>93</v>
      </c>
      <c r="C20534" s="6">
        <v>17500</v>
      </c>
      <c r="D20534" s="7">
        <v>3.41</v>
      </c>
    </row>
    <row r="20535" spans="1:4" x14ac:dyDescent="0.25">
      <c r="A20535" t="str">
        <f>HYPERLINK("https://www.773grp.com/globalSearch/TDA9886TS-V5118/page-1", "TDA9886TS-V5118")</f>
        <v>TDA9886TS-V5118</v>
      </c>
      <c r="B20535" s="3" t="s">
        <v>93</v>
      </c>
      <c r="C20535" s="6">
        <v>371</v>
      </c>
      <c r="D20535" s="7">
        <v>3.41</v>
      </c>
    </row>
    <row r="20536" spans="1:4" x14ac:dyDescent="0.25">
      <c r="A20536" t="str">
        <f>HYPERLINK("https://www.773grp.com/globalSearch/BUK7520-100A127/page-1", "BUK7520-100A127")</f>
        <v>BUK7520-100A127</v>
      </c>
      <c r="B20536" s="3" t="s">
        <v>93</v>
      </c>
      <c r="C20536" s="6">
        <v>81</v>
      </c>
      <c r="D20536" s="7">
        <v>3.8</v>
      </c>
    </row>
    <row r="20537" spans="1:4" x14ac:dyDescent="0.25">
      <c r="A20537" t="str">
        <f>HYPERLINK("https://www.773grp.com/globalSearch/PCF8575TS-1112/page-1", "PCF8575TS-1112")</f>
        <v>PCF8575TS-1112</v>
      </c>
      <c r="B20537" s="3" t="s">
        <v>93</v>
      </c>
      <c r="C20537" s="6">
        <v>81</v>
      </c>
      <c r="D20537" s="7">
        <v>3.8</v>
      </c>
    </row>
    <row r="20538" spans="1:4" x14ac:dyDescent="0.25">
      <c r="A20538" t="str">
        <f>HYPERLINK("https://www.773grp.com/globalSearch/PCF8575TS-1118/page-1", "PCF8575TS-1118")</f>
        <v>PCF8575TS-1118</v>
      </c>
      <c r="B20538" s="3" t="s">
        <v>93</v>
      </c>
      <c r="C20538" s="6">
        <v>16420</v>
      </c>
      <c r="D20538" s="7">
        <v>3.8</v>
      </c>
    </row>
    <row r="20539" spans="1:4" x14ac:dyDescent="0.25">
      <c r="A20539" t="str">
        <f>HYPERLINK("https://www.773grp.com/globalSearch/SC18IS600IBS151/page-1", "SC18IS600IBS151")</f>
        <v>SC18IS600IBS151</v>
      </c>
      <c r="B20539" s="3" t="s">
        <v>93</v>
      </c>
      <c r="C20539" s="6">
        <v>371</v>
      </c>
      <c r="D20539" s="7">
        <v>3.8</v>
      </c>
    </row>
    <row r="20540" spans="1:4" x14ac:dyDescent="0.25">
      <c r="A20540" t="str">
        <f>HYPERLINK("https://www.773grp.com/globalSearch/TDA18273HN-C1518/page-1", "TDA18273HN-C1518")</f>
        <v>TDA18273HN-C1518</v>
      </c>
      <c r="B20540" s="3" t="s">
        <v>93</v>
      </c>
      <c r="C20540" s="6">
        <v>52000</v>
      </c>
      <c r="D20540" s="7">
        <v>3.8</v>
      </c>
    </row>
    <row r="20541" spans="1:4" x14ac:dyDescent="0.25">
      <c r="A20541" t="str">
        <f>HYPERLINK("https://www.773grp.com/globalSearch/TDA18273HN-C1551/page-1", "TDA18273HN-C1551")</f>
        <v>TDA18273HN-C1551</v>
      </c>
      <c r="B20541" s="3" t="s">
        <v>93</v>
      </c>
      <c r="C20541" s="6">
        <v>120</v>
      </c>
      <c r="D20541" s="7">
        <v>3.8</v>
      </c>
    </row>
    <row r="20542" spans="1:4" x14ac:dyDescent="0.25">
      <c r="A20542" t="str">
        <f>HYPERLINK("https://www.773grp.com/globalSearch/TDA18212HN-M-C1557/page-1", "TDA18212HN-M-C1557")</f>
        <v>TDA18212HN-M-C1557</v>
      </c>
      <c r="B20542" s="3" t="s">
        <v>93</v>
      </c>
      <c r="C20542" s="6">
        <v>2335</v>
      </c>
      <c r="D20542" s="7">
        <v>3.46</v>
      </c>
    </row>
    <row r="20543" spans="1:4" x14ac:dyDescent="0.25">
      <c r="A20543" t="str">
        <f>HYPERLINK("https://www.773grp.com/globalSearch/74HC221N652/page-1", "74HC221N652")</f>
        <v>74HC221N652</v>
      </c>
      <c r="B20543" s="3" t="s">
        <v>93</v>
      </c>
      <c r="C20543" s="6">
        <v>2918</v>
      </c>
      <c r="D20543" s="7">
        <v>3.85</v>
      </c>
    </row>
    <row r="20544" spans="1:4" x14ac:dyDescent="0.25">
      <c r="A20544" t="str">
        <f>HYPERLINK("https://www.773grp.com/globalSearch/74HC7266N652/page-1", "74HC7266N652")</f>
        <v>74HC7266N652</v>
      </c>
      <c r="B20544" s="3" t="s">
        <v>93</v>
      </c>
      <c r="C20544" s="6">
        <v>4000</v>
      </c>
      <c r="D20544" s="7">
        <v>3.85</v>
      </c>
    </row>
    <row r="20545" spans="1:4" x14ac:dyDescent="0.25">
      <c r="A20545" t="str">
        <f>HYPERLINK("https://www.773grp.com/globalSearch/74HCT221N112/page-1", "74HCT221N112")</f>
        <v>74HCT221N112</v>
      </c>
      <c r="B20545" s="3" t="s">
        <v>93</v>
      </c>
      <c r="C20545" s="6">
        <v>5472</v>
      </c>
      <c r="D20545" s="7">
        <v>3.85</v>
      </c>
    </row>
    <row r="20546" spans="1:4" x14ac:dyDescent="0.25">
      <c r="A20546" t="str">
        <f>HYPERLINK("https://www.773grp.com/globalSearch/74HCT366N652/page-1", "74HCT366N652")</f>
        <v>74HCT366N652</v>
      </c>
      <c r="B20546" s="3" t="s">
        <v>93</v>
      </c>
      <c r="C20546" s="6">
        <v>1000</v>
      </c>
      <c r="D20546" s="7">
        <v>3.85</v>
      </c>
    </row>
    <row r="20547" spans="1:4" x14ac:dyDescent="0.25">
      <c r="A20547" t="str">
        <f>HYPERLINK("https://www.773grp.com/globalSearch/74HCT4067D112/page-1", "74HCT4067D112")</f>
        <v>74HCT4067D112</v>
      </c>
      <c r="B20547" s="3" t="s">
        <v>93</v>
      </c>
      <c r="C20547" s="6">
        <v>1870</v>
      </c>
      <c r="D20547" s="7">
        <v>3.85</v>
      </c>
    </row>
    <row r="20548" spans="1:4" x14ac:dyDescent="0.25">
      <c r="A20548" t="str">
        <f>HYPERLINK("https://www.773grp.com/globalSearch/74HCT597N652/page-1", "74HCT597N652")</f>
        <v>74HCT597N652</v>
      </c>
      <c r="B20548" s="3" t="s">
        <v>93</v>
      </c>
      <c r="C20548" s="6">
        <v>20084</v>
      </c>
      <c r="D20548" s="7">
        <v>3.85</v>
      </c>
    </row>
    <row r="20549" spans="1:4" x14ac:dyDescent="0.25">
      <c r="A20549" t="str">
        <f>HYPERLINK("https://www.773grp.com/globalSearch/74LV393N112/page-1", "74LV393N112")</f>
        <v>74LV393N112</v>
      </c>
      <c r="B20549" s="3" t="s">
        <v>93</v>
      </c>
      <c r="C20549" s="6">
        <v>1498</v>
      </c>
      <c r="D20549" s="7">
        <v>3.85</v>
      </c>
    </row>
    <row r="20550" spans="1:4" x14ac:dyDescent="0.25">
      <c r="A20550" t="str">
        <f>HYPERLINK("https://www.773grp.com/globalSearch/BUK9608-55A118/page-1", "BUK9608-55A118")</f>
        <v>BUK9608-55A118</v>
      </c>
      <c r="B20550" s="3" t="s">
        <v>93</v>
      </c>
      <c r="C20550" s="6">
        <v>6400</v>
      </c>
      <c r="D20550" s="7">
        <v>3.85</v>
      </c>
    </row>
    <row r="20551" spans="1:4" x14ac:dyDescent="0.25">
      <c r="A20551" t="str">
        <f>HYPERLINK("https://www.773grp.com/globalSearch/P89LPC920FDH529/page-1", "P89LPC920FDH529")</f>
        <v>P89LPC920FDH529</v>
      </c>
      <c r="B20551" s="3" t="s">
        <v>93</v>
      </c>
      <c r="C20551" s="6">
        <v>1275</v>
      </c>
      <c r="D20551" s="7">
        <v>3.85</v>
      </c>
    </row>
    <row r="20552" spans="1:4" x14ac:dyDescent="0.25">
      <c r="A20552" t="str">
        <f>HYPERLINK("https://www.773grp.com/globalSearch/PCA9516AD112/page-1", "PCA9516AD112")</f>
        <v>PCA9516AD112</v>
      </c>
      <c r="B20552" s="3" t="s">
        <v>93</v>
      </c>
      <c r="C20552" s="6">
        <v>3000</v>
      </c>
      <c r="D20552" s="7">
        <v>3.85</v>
      </c>
    </row>
    <row r="20553" spans="1:4" x14ac:dyDescent="0.25">
      <c r="A20553" t="str">
        <f>HYPERLINK("https://www.773grp.com/globalSearch/PCA9516APW112/page-1", "PCA9516APW112")</f>
        <v>PCA9516APW112</v>
      </c>
      <c r="B20553" s="3" t="s">
        <v>93</v>
      </c>
      <c r="C20553" s="6">
        <v>2112</v>
      </c>
      <c r="D20553" s="7">
        <v>3.85</v>
      </c>
    </row>
    <row r="20554" spans="1:4" x14ac:dyDescent="0.25">
      <c r="A20554" t="str">
        <f>HYPERLINK("https://www.773grp.com/globalSearch/PCA9516APW118/page-1", "PCA9516APW118")</f>
        <v>PCA9516APW118</v>
      </c>
      <c r="B20554" s="3" t="s">
        <v>93</v>
      </c>
      <c r="C20554" s="6">
        <v>2500</v>
      </c>
      <c r="D20554" s="7">
        <v>3.85</v>
      </c>
    </row>
    <row r="20555" spans="1:4" x14ac:dyDescent="0.25">
      <c r="A20555" t="str">
        <f>HYPERLINK("https://www.773grp.com/globalSearch/PH3830L115/page-1", "PH3830L115")</f>
        <v>PH3830L115</v>
      </c>
      <c r="B20555" s="3" t="s">
        <v>93</v>
      </c>
      <c r="C20555" s="6">
        <v>6000</v>
      </c>
      <c r="D20555" s="7">
        <v>3.85</v>
      </c>
    </row>
    <row r="20556" spans="1:4" x14ac:dyDescent="0.25">
      <c r="A20556" t="str">
        <f>HYPERLINK("https://www.773grp.com/globalSearch/PSMN1R8-30BL118/page-1", "PSMN1R8-30BL118")</f>
        <v>PSMN1R8-30BL118</v>
      </c>
      <c r="B20556" s="3" t="s">
        <v>93</v>
      </c>
      <c r="C20556" s="6">
        <v>100</v>
      </c>
      <c r="D20556" s="7">
        <v>3.85</v>
      </c>
    </row>
    <row r="20557" spans="1:4" x14ac:dyDescent="0.25">
      <c r="A20557" t="str">
        <f>HYPERLINK("https://www.773grp.com/globalSearch/SA58632BS118/page-1", "SA58632BS118")</f>
        <v>SA58632BS118</v>
      </c>
      <c r="B20557" s="3" t="s">
        <v>93</v>
      </c>
      <c r="C20557" s="6">
        <v>2500</v>
      </c>
      <c r="D20557" s="7">
        <v>3.85</v>
      </c>
    </row>
    <row r="20558" spans="1:4" x14ac:dyDescent="0.25">
      <c r="A20558" t="str">
        <f>HYPERLINK("https://www.773grp.com/globalSearch/SA58637BS118/page-1", "SA58637BS118")</f>
        <v>SA58637BS118</v>
      </c>
      <c r="B20558" s="3" t="s">
        <v>93</v>
      </c>
      <c r="C20558" s="6">
        <v>5017</v>
      </c>
      <c r="D20558" s="7">
        <v>3.85</v>
      </c>
    </row>
    <row r="20559" spans="1:4" x14ac:dyDescent="0.25">
      <c r="A20559" t="str">
        <f>HYPERLINK("https://www.773grp.com/globalSearch/HEF40240BP652/page-1", "HEF40240BP652")</f>
        <v>HEF40240BP652</v>
      </c>
      <c r="B20559" s="3" t="s">
        <v>93</v>
      </c>
      <c r="C20559" s="6">
        <v>1296</v>
      </c>
      <c r="D20559" s="7">
        <v>3.49</v>
      </c>
    </row>
    <row r="20560" spans="1:4" x14ac:dyDescent="0.25">
      <c r="A20560" t="str">
        <f>HYPERLINK("https://www.773grp.com/globalSearch/HEF40244BP652/page-1", "HEF40244BP652")</f>
        <v>HEF40244BP652</v>
      </c>
      <c r="B20560" s="3" t="s">
        <v>93</v>
      </c>
      <c r="C20560" s="6">
        <v>2016</v>
      </c>
      <c r="D20560" s="7">
        <v>3.49</v>
      </c>
    </row>
    <row r="20561" spans="1:4" x14ac:dyDescent="0.25">
      <c r="A20561" t="str">
        <f>HYPERLINK("https://www.773grp.com/globalSearch/HEF40373BP652/page-1", "HEF40373BP652")</f>
        <v>HEF40373BP652</v>
      </c>
      <c r="B20561" s="3" t="s">
        <v>93</v>
      </c>
      <c r="C20561" s="6">
        <v>429</v>
      </c>
      <c r="D20561" s="7">
        <v>3.49</v>
      </c>
    </row>
    <row r="20562" spans="1:4" x14ac:dyDescent="0.25">
      <c r="A20562" t="str">
        <f>HYPERLINK("https://www.773grp.com/globalSearch/P87C52X2FBD157/page-1", "P87C52X2FBD157")</f>
        <v>P87C52X2FBD157</v>
      </c>
      <c r="B20562" s="3" t="s">
        <v>93</v>
      </c>
      <c r="C20562" s="6">
        <v>1108</v>
      </c>
      <c r="D20562" s="7">
        <v>3.49</v>
      </c>
    </row>
    <row r="20563" spans="1:4" x14ac:dyDescent="0.25">
      <c r="A20563" t="str">
        <f>HYPERLINK("https://www.773grp.com/globalSearch/74HC40105N652/page-1", "74HC40105N652")</f>
        <v>74HC40105N652</v>
      </c>
      <c r="B20563" s="3" t="s">
        <v>93</v>
      </c>
      <c r="C20563" s="6">
        <v>3305</v>
      </c>
      <c r="D20563" s="7">
        <v>3.51</v>
      </c>
    </row>
    <row r="20564" spans="1:4" x14ac:dyDescent="0.25">
      <c r="A20564" t="str">
        <f>HYPERLINK("https://www.773grp.com/globalSearch/LPC1313FBD48-0115/page-1", "LPC1313FBD48-0115")</f>
        <v>LPC1313FBD48-0115</v>
      </c>
      <c r="B20564" s="3" t="s">
        <v>93</v>
      </c>
      <c r="C20564" s="6">
        <v>475</v>
      </c>
      <c r="D20564" s="7">
        <v>3.51</v>
      </c>
    </row>
    <row r="20565" spans="1:4" x14ac:dyDescent="0.25">
      <c r="A20565" t="str">
        <f>HYPERLINK("https://www.773grp.com/globalSearch/LPC1313FBD48151/page-1", "LPC1313FBD48151")</f>
        <v>LPC1313FBD48151</v>
      </c>
      <c r="B20565" s="3" t="s">
        <v>93</v>
      </c>
      <c r="C20565" s="6">
        <v>500</v>
      </c>
      <c r="D20565" s="7">
        <v>3.51</v>
      </c>
    </row>
    <row r="20566" spans="1:4" x14ac:dyDescent="0.25">
      <c r="A20566" t="str">
        <f>HYPERLINK("https://www.773grp.com/globalSearch/P80C32SBPN112/page-1", "P80C32SBPN112")</f>
        <v>P80C32SBPN112</v>
      </c>
      <c r="B20566" s="3" t="s">
        <v>93</v>
      </c>
      <c r="C20566" s="6">
        <v>1296</v>
      </c>
      <c r="D20566" s="7">
        <v>3.51</v>
      </c>
    </row>
    <row r="20567" spans="1:4" x14ac:dyDescent="0.25">
      <c r="A20567" t="str">
        <f>HYPERLINK("https://www.773grp.com/globalSearch/P87C54X2BBD157/page-1", "P87C54X2BBD157")</f>
        <v>P87C54X2BBD157</v>
      </c>
      <c r="B20567" s="3" t="s">
        <v>93</v>
      </c>
      <c r="C20567" s="6">
        <v>135</v>
      </c>
      <c r="D20567" s="7">
        <v>3.51</v>
      </c>
    </row>
    <row r="20568" spans="1:4" x14ac:dyDescent="0.25">
      <c r="A20568" t="str">
        <f>HYPERLINK("https://www.773grp.com/globalSearch/PCA8576CH-Q900-11/page-1", "PCA8576CH-Q900-11")</f>
        <v>PCA8576CH-Q900-11</v>
      </c>
      <c r="B20568" s="3" t="s">
        <v>93</v>
      </c>
      <c r="C20568" s="6">
        <v>100</v>
      </c>
      <c r="D20568" s="7">
        <v>3.51</v>
      </c>
    </row>
    <row r="20569" spans="1:4" x14ac:dyDescent="0.25">
      <c r="A20569" t="str">
        <f>HYPERLINK("https://www.773grp.com/globalSearch/74LVT534D112/page-1", "74LVT534D112")</f>
        <v>74LVT534D112</v>
      </c>
      <c r="B20569" s="3" t="s">
        <v>93</v>
      </c>
      <c r="C20569" s="6">
        <v>1520</v>
      </c>
      <c r="D20569" s="7">
        <v>3.9</v>
      </c>
    </row>
    <row r="20570" spans="1:4" x14ac:dyDescent="0.25">
      <c r="A20570" t="str">
        <f>HYPERLINK("https://www.773grp.com/globalSearch/74LVT534DB112/page-1", "74LVT534DB112")</f>
        <v>74LVT534DB112</v>
      </c>
      <c r="B20570" s="3" t="s">
        <v>93</v>
      </c>
      <c r="C20570" s="6">
        <v>924</v>
      </c>
      <c r="D20570" s="7">
        <v>3.9</v>
      </c>
    </row>
    <row r="20571" spans="1:4" x14ac:dyDescent="0.25">
      <c r="A20571" t="str">
        <f>HYPERLINK("https://www.773grp.com/globalSearch/74LVT534PW112/page-1", "74LVT534PW112")</f>
        <v>74LVT534PW112</v>
      </c>
      <c r="B20571" s="3" t="s">
        <v>93</v>
      </c>
      <c r="C20571" s="6">
        <v>1875</v>
      </c>
      <c r="D20571" s="7">
        <v>3.9</v>
      </c>
    </row>
    <row r="20572" spans="1:4" x14ac:dyDescent="0.25">
      <c r="A20572" t="str">
        <f>HYPERLINK("https://www.773grp.com/globalSearch/BGA7124118/page-1", "BGA7124118")</f>
        <v>BGA7124118</v>
      </c>
      <c r="B20572" s="3" t="s">
        <v>93</v>
      </c>
      <c r="C20572" s="6">
        <v>6090</v>
      </c>
      <c r="D20572" s="7">
        <v>3.9</v>
      </c>
    </row>
    <row r="20573" spans="1:4" x14ac:dyDescent="0.25">
      <c r="A20573" t="str">
        <f>HYPERLINK("https://www.773grp.com/globalSearch/P89LPC921FDH512/page-1", "P89LPC921FDH512")</f>
        <v>P89LPC921FDH512</v>
      </c>
      <c r="B20573" s="3" t="s">
        <v>93</v>
      </c>
      <c r="C20573" s="6">
        <v>2900</v>
      </c>
      <c r="D20573" s="7">
        <v>3.9</v>
      </c>
    </row>
    <row r="20574" spans="1:4" x14ac:dyDescent="0.25">
      <c r="A20574" t="str">
        <f>HYPERLINK("https://www.773grp.com/globalSearch/PCA9531BS118/page-1", "PCA9531BS118")</f>
        <v>PCA9531BS118</v>
      </c>
      <c r="B20574" s="3" t="s">
        <v>93</v>
      </c>
      <c r="C20574" s="6">
        <v>499</v>
      </c>
      <c r="D20574" s="7">
        <v>3.9</v>
      </c>
    </row>
    <row r="20575" spans="1:4" x14ac:dyDescent="0.25">
      <c r="A20575" t="str">
        <f>HYPERLINK("https://www.773grp.com/globalSearch/PCA9531D112/page-1", "PCA9531D112")</f>
        <v>PCA9531D112</v>
      </c>
      <c r="B20575" s="3" t="s">
        <v>93</v>
      </c>
      <c r="C20575" s="6">
        <v>895</v>
      </c>
      <c r="D20575" s="7">
        <v>3.9</v>
      </c>
    </row>
    <row r="20576" spans="1:4" x14ac:dyDescent="0.25">
      <c r="A20576" t="str">
        <f>HYPERLINK("https://www.773grp.com/globalSearch/PCA9531D118/page-1", "PCA9531D118")</f>
        <v>PCA9531D118</v>
      </c>
      <c r="B20576" s="3" t="s">
        <v>93</v>
      </c>
      <c r="C20576" s="6">
        <v>2500</v>
      </c>
      <c r="D20576" s="7">
        <v>3.9</v>
      </c>
    </row>
    <row r="20577" spans="1:4" x14ac:dyDescent="0.25">
      <c r="A20577" t="str">
        <f>HYPERLINK("https://www.773grp.com/globalSearch/PCA9556PW112/page-1", "PCA9556PW112")</f>
        <v>PCA9556PW112</v>
      </c>
      <c r="B20577" s="3" t="s">
        <v>93</v>
      </c>
      <c r="C20577" s="6">
        <v>458</v>
      </c>
      <c r="D20577" s="7">
        <v>3.9</v>
      </c>
    </row>
    <row r="20578" spans="1:4" x14ac:dyDescent="0.25">
      <c r="A20578" t="str">
        <f>HYPERLINK("https://www.773grp.com/globalSearch/PCA9556PW118/page-1", "PCA9556PW118")</f>
        <v>PCA9556PW118</v>
      </c>
      <c r="B20578" s="3" t="s">
        <v>93</v>
      </c>
      <c r="C20578" s="6">
        <v>518</v>
      </c>
      <c r="D20578" s="7">
        <v>3.9</v>
      </c>
    </row>
    <row r="20579" spans="1:4" x14ac:dyDescent="0.25">
      <c r="A20579" t="str">
        <f>HYPERLINK("https://www.773grp.com/globalSearch/PCA9671PW118/page-1", "PCA9671PW118")</f>
        <v>PCA9671PW118</v>
      </c>
      <c r="B20579" s="3" t="s">
        <v>93</v>
      </c>
      <c r="C20579" s="6">
        <v>669</v>
      </c>
      <c r="D20579" s="7">
        <v>3.9</v>
      </c>
    </row>
    <row r="20580" spans="1:4" x14ac:dyDescent="0.25">
      <c r="A20580" t="str">
        <f>HYPERLINK("https://www.773grp.com/globalSearch/PCA9675PW112/page-1", "PCA9675PW112")</f>
        <v>PCA9675PW112</v>
      </c>
      <c r="B20580" s="3" t="s">
        <v>93</v>
      </c>
      <c r="C20580" s="6">
        <v>1</v>
      </c>
      <c r="D20580" s="7">
        <v>3.9</v>
      </c>
    </row>
    <row r="20581" spans="1:4" x14ac:dyDescent="0.25">
      <c r="A20581" t="str">
        <f>HYPERLINK("https://www.773grp.com/globalSearch/PCA9675PW118/page-1", "PCA9675PW118")</f>
        <v>PCA9675PW118</v>
      </c>
      <c r="B20581" s="3" t="s">
        <v>93</v>
      </c>
      <c r="C20581" s="6">
        <v>79</v>
      </c>
      <c r="D20581" s="7">
        <v>3.9</v>
      </c>
    </row>
    <row r="20582" spans="1:4" x14ac:dyDescent="0.25">
      <c r="A20582" t="str">
        <f>HYPERLINK("https://www.773grp.com/globalSearch/PCF2119RU-2-F2026/page-1", "PCF2119RU-2-F2026")</f>
        <v>PCF2119RU-2-F2026</v>
      </c>
      <c r="B20582" s="3" t="s">
        <v>93</v>
      </c>
      <c r="C20582" s="6">
        <v>56000</v>
      </c>
      <c r="D20582" s="7">
        <v>3.9</v>
      </c>
    </row>
    <row r="20583" spans="1:4" x14ac:dyDescent="0.25">
      <c r="A20583" t="str">
        <f>HYPERLINK("https://www.773grp.com/globalSearch/BUK7C10-75AITE118/page-1", "BUK7C10-75AITE118")</f>
        <v>BUK7C10-75AITE118</v>
      </c>
      <c r="B20583" s="3" t="s">
        <v>93</v>
      </c>
      <c r="C20583" s="6">
        <v>2400</v>
      </c>
      <c r="D20583" s="7">
        <v>3.55</v>
      </c>
    </row>
    <row r="20584" spans="1:4" x14ac:dyDescent="0.25">
      <c r="A20584" t="str">
        <f>HYPERLINK("https://www.773grp.com/globalSearch/P87LPC764BN112/page-1", "P87LPC764BN112")</f>
        <v>P87LPC764BN112</v>
      </c>
      <c r="B20584" s="3" t="s">
        <v>93</v>
      </c>
      <c r="C20584" s="6">
        <v>536</v>
      </c>
      <c r="D20584" s="7">
        <v>3.58</v>
      </c>
    </row>
    <row r="20585" spans="1:4" x14ac:dyDescent="0.25">
      <c r="A20585" t="str">
        <f>HYPERLINK("https://www.773grp.com/globalSearch/PCA9525D118/page-1", "PCA9525D118")</f>
        <v>PCA9525D118</v>
      </c>
      <c r="B20585" s="3" t="s">
        <v>93</v>
      </c>
      <c r="C20585" s="6">
        <v>73</v>
      </c>
      <c r="D20585" s="7">
        <v>3.95</v>
      </c>
    </row>
    <row r="20586" spans="1:4" x14ac:dyDescent="0.25">
      <c r="A20586" t="str">
        <f>HYPERLINK("https://www.773grp.com/globalSearch/PSMN1R8-30PL127/page-1", "PSMN1R8-30PL127")</f>
        <v>PSMN1R8-30PL127</v>
      </c>
      <c r="B20586" s="3" t="s">
        <v>93</v>
      </c>
      <c r="C20586" s="6">
        <v>4000</v>
      </c>
      <c r="D20586" s="7">
        <v>3.95</v>
      </c>
    </row>
    <row r="20587" spans="1:4" x14ac:dyDescent="0.25">
      <c r="A20587" t="str">
        <f>HYPERLINK("https://www.773grp.com/globalSearch/TEA1611T-N2518/page-1", "TEA1611T-N2518")</f>
        <v>TEA1611T-N2518</v>
      </c>
      <c r="B20587" s="3" t="s">
        <v>93</v>
      </c>
      <c r="C20587" s="6">
        <v>10000</v>
      </c>
      <c r="D20587" s="7">
        <v>3.95</v>
      </c>
    </row>
    <row r="20588" spans="1:4" x14ac:dyDescent="0.25">
      <c r="A20588" t="str">
        <f>HYPERLINK("https://www.773grp.com/globalSearch/TEA1750T-N1-DG518/page-1", "TEA1750T-N1-DG518")</f>
        <v>TEA1750T-N1-DG518</v>
      </c>
      <c r="B20588" s="3" t="s">
        <v>93</v>
      </c>
      <c r="C20588" s="6">
        <v>27500</v>
      </c>
      <c r="D20588" s="7">
        <v>3.95</v>
      </c>
    </row>
    <row r="20589" spans="1:4" x14ac:dyDescent="0.25">
      <c r="A20589" t="str">
        <f>HYPERLINK("https://www.773grp.com/globalSearch/P87C52X2FA512/page-1", "P87C52X2FA512")</f>
        <v>P87C52X2FA512</v>
      </c>
      <c r="B20589" s="3" t="s">
        <v>93</v>
      </c>
      <c r="C20589" s="6">
        <v>2340</v>
      </c>
      <c r="D20589" s="7">
        <v>3.6</v>
      </c>
    </row>
    <row r="20590" spans="1:4" x14ac:dyDescent="0.25">
      <c r="A20590" t="str">
        <f>HYPERLINK("https://www.773grp.com/globalSearch/SC16IS850LIBS128/page-1", "SC16IS850LIBS128")</f>
        <v>SC16IS850LIBS128</v>
      </c>
      <c r="B20590" s="3" t="s">
        <v>93</v>
      </c>
      <c r="C20590" s="6">
        <v>1480</v>
      </c>
      <c r="D20590" s="7">
        <v>3.6</v>
      </c>
    </row>
    <row r="20591" spans="1:4" x14ac:dyDescent="0.25">
      <c r="A20591" t="str">
        <f>HYPERLINK("https://www.773grp.com/globalSearch/SC16IS850LIBS151/page-1", "SC16IS850LIBS151")</f>
        <v>SC16IS850LIBS151</v>
      </c>
      <c r="B20591" s="3" t="s">
        <v>93</v>
      </c>
      <c r="C20591" s="6">
        <v>66</v>
      </c>
      <c r="D20591" s="7">
        <v>3.6</v>
      </c>
    </row>
    <row r="20592" spans="1:4" x14ac:dyDescent="0.25">
      <c r="A20592" t="str">
        <f>HYPERLINK("https://www.773grp.com/globalSearch/P82B715TD112/page-1", "P82B715TD112")</f>
        <v>P82B715TD112</v>
      </c>
      <c r="B20592" s="3" t="s">
        <v>93</v>
      </c>
      <c r="C20592" s="6">
        <v>5110</v>
      </c>
      <c r="D20592" s="7">
        <v>3.63</v>
      </c>
    </row>
    <row r="20593" spans="1:4" x14ac:dyDescent="0.25">
      <c r="A20593" t="str">
        <f>HYPERLINK("https://www.773grp.com/globalSearch/74AVC16245DGG112/page-1", "74AVC16245DGG112")</f>
        <v>74AVC16245DGG112</v>
      </c>
      <c r="B20593" s="3" t="s">
        <v>93</v>
      </c>
      <c r="C20593" s="6">
        <v>975</v>
      </c>
      <c r="D20593" s="7">
        <v>4.01</v>
      </c>
    </row>
    <row r="20594" spans="1:4" x14ac:dyDescent="0.25">
      <c r="A20594" t="str">
        <f>HYPERLINK("https://www.773grp.com/globalSearch/74AVC16373DGG118/page-1", "74AVC16373DGG118")</f>
        <v>74AVC16373DGG118</v>
      </c>
      <c r="B20594" s="3" t="s">
        <v>93</v>
      </c>
      <c r="C20594" s="6">
        <v>1600</v>
      </c>
      <c r="D20594" s="7">
        <v>4.01</v>
      </c>
    </row>
    <row r="20595" spans="1:4" x14ac:dyDescent="0.25">
      <c r="A20595" t="str">
        <f>HYPERLINK("https://www.773grp.com/globalSearch/74HC7046ADB118/page-1", "74HC7046ADB118")</f>
        <v>74HC7046ADB118</v>
      </c>
      <c r="B20595" s="3" t="s">
        <v>93</v>
      </c>
      <c r="C20595" s="6">
        <v>1622</v>
      </c>
      <c r="D20595" s="7">
        <v>4.01</v>
      </c>
    </row>
    <row r="20596" spans="1:4" x14ac:dyDescent="0.25">
      <c r="A20596" t="str">
        <f>HYPERLINK("https://www.773grp.com/globalSearch/BLT50115/page-1", "BLT50115")</f>
        <v>BLT50115</v>
      </c>
      <c r="B20596" s="3" t="s">
        <v>93</v>
      </c>
      <c r="C20596" s="6">
        <v>1000</v>
      </c>
      <c r="D20596" s="7">
        <v>4.01</v>
      </c>
    </row>
    <row r="20597" spans="1:4" x14ac:dyDescent="0.25">
      <c r="A20597" t="str">
        <f>HYPERLINK("https://www.773grp.com/globalSearch/BUK963R3-60E118/page-1", "BUK963R3-60E118")</f>
        <v>BUK963R3-60E118</v>
      </c>
      <c r="B20597" s="3" t="s">
        <v>93</v>
      </c>
      <c r="C20597" s="6">
        <v>5115</v>
      </c>
      <c r="D20597" s="7">
        <v>4.01</v>
      </c>
    </row>
    <row r="20598" spans="1:4" x14ac:dyDescent="0.25">
      <c r="A20598" t="str">
        <f>HYPERLINK("https://www.773grp.com/globalSearch/KMZ60115/page-1", "KMZ60115")</f>
        <v>KMZ60115</v>
      </c>
      <c r="B20598" s="3" t="s">
        <v>93</v>
      </c>
      <c r="C20598" s="6">
        <v>434</v>
      </c>
      <c r="D20598" s="7">
        <v>4.01</v>
      </c>
    </row>
    <row r="20599" spans="1:4" x14ac:dyDescent="0.25">
      <c r="A20599" t="str">
        <f>HYPERLINK("https://www.773grp.com/globalSearch/PCA9518AD118/page-1", "PCA9518AD118")</f>
        <v>PCA9518AD118</v>
      </c>
      <c r="B20599" s="3" t="s">
        <v>93</v>
      </c>
      <c r="C20599" s="6">
        <v>1900</v>
      </c>
      <c r="D20599" s="7">
        <v>4.01</v>
      </c>
    </row>
    <row r="20600" spans="1:4" x14ac:dyDescent="0.25">
      <c r="A20600" t="str">
        <f>HYPERLINK("https://www.773grp.com/globalSearch/PCA9518APW512/page-1", "PCA9518APW512")</f>
        <v>PCA9518APW512</v>
      </c>
      <c r="B20600" s="3" t="s">
        <v>93</v>
      </c>
      <c r="C20600" s="6">
        <v>2280</v>
      </c>
      <c r="D20600" s="7">
        <v>4.01</v>
      </c>
    </row>
    <row r="20601" spans="1:4" x14ac:dyDescent="0.25">
      <c r="A20601" t="str">
        <f>HYPERLINK("https://www.773grp.com/globalSearch/PCA9518D112/page-1", "PCA9518D112")</f>
        <v>PCA9518D112</v>
      </c>
      <c r="B20601" s="3" t="s">
        <v>93</v>
      </c>
      <c r="C20601" s="6">
        <v>252</v>
      </c>
      <c r="D20601" s="7">
        <v>4.01</v>
      </c>
    </row>
    <row r="20602" spans="1:4" x14ac:dyDescent="0.25">
      <c r="A20602" t="str">
        <f>HYPERLINK("https://www.773grp.com/globalSearch/PCA9518PW112/page-1", "PCA9518PW112")</f>
        <v>PCA9518PW112</v>
      </c>
      <c r="B20602" s="3" t="s">
        <v>93</v>
      </c>
      <c r="C20602" s="6">
        <v>1577</v>
      </c>
      <c r="D20602" s="7">
        <v>4.01</v>
      </c>
    </row>
    <row r="20603" spans="1:4" x14ac:dyDescent="0.25">
      <c r="A20603" t="str">
        <f>HYPERLINK("https://www.773grp.com/globalSearch/PCA9541BS-01118/page-1", "PCA9541BS-01118")</f>
        <v>PCA9541BS-01118</v>
      </c>
      <c r="B20603" s="3" t="s">
        <v>93</v>
      </c>
      <c r="C20603" s="6">
        <v>5950</v>
      </c>
      <c r="D20603" s="7">
        <v>4.01</v>
      </c>
    </row>
    <row r="20604" spans="1:4" x14ac:dyDescent="0.25">
      <c r="A20604" t="str">
        <f>HYPERLINK("https://www.773grp.com/globalSearch/PCA9541BS-03118/page-1", "PCA9541BS-03118")</f>
        <v>PCA9541BS-03118</v>
      </c>
      <c r="B20604" s="3" t="s">
        <v>93</v>
      </c>
      <c r="C20604" s="6">
        <v>100</v>
      </c>
      <c r="D20604" s="7">
        <v>4.01</v>
      </c>
    </row>
    <row r="20605" spans="1:4" x14ac:dyDescent="0.25">
      <c r="A20605" t="str">
        <f>HYPERLINK("https://www.773grp.com/globalSearch/PCA9541D-01118/page-1", "PCA9541D-01118")</f>
        <v>PCA9541D-01118</v>
      </c>
      <c r="B20605" s="3" t="s">
        <v>93</v>
      </c>
      <c r="C20605" s="6">
        <v>2281</v>
      </c>
      <c r="D20605" s="7">
        <v>4.01</v>
      </c>
    </row>
    <row r="20606" spans="1:4" x14ac:dyDescent="0.25">
      <c r="A20606" t="str">
        <f>HYPERLINK("https://www.773grp.com/globalSearch/PCA9541D-03112/page-1", "PCA9541D-03112")</f>
        <v>PCA9541D-03112</v>
      </c>
      <c r="B20606" s="3" t="s">
        <v>93</v>
      </c>
      <c r="C20606" s="6">
        <v>610</v>
      </c>
      <c r="D20606" s="7">
        <v>4.01</v>
      </c>
    </row>
    <row r="20607" spans="1:4" x14ac:dyDescent="0.25">
      <c r="A20607" t="str">
        <f>HYPERLINK("https://www.773grp.com/globalSearch/PCA9541D-03118/page-1", "PCA9541D-03118")</f>
        <v>PCA9541D-03118</v>
      </c>
      <c r="B20607" s="3" t="s">
        <v>93</v>
      </c>
      <c r="C20607" s="6">
        <v>2500</v>
      </c>
      <c r="D20607" s="7">
        <v>4.01</v>
      </c>
    </row>
    <row r="20608" spans="1:4" x14ac:dyDescent="0.25">
      <c r="A20608" t="str">
        <f>HYPERLINK("https://www.773grp.com/globalSearch/PCA9541PW-01112/page-1", "PCA9541PW-01112")</f>
        <v>PCA9541PW-01112</v>
      </c>
      <c r="B20608" s="3" t="s">
        <v>93</v>
      </c>
      <c r="C20608" s="6">
        <v>949</v>
      </c>
      <c r="D20608" s="7">
        <v>4.01</v>
      </c>
    </row>
    <row r="20609" spans="1:4" x14ac:dyDescent="0.25">
      <c r="A20609" t="str">
        <f>HYPERLINK("https://www.773grp.com/globalSearch/PCA9541PW-01118/page-1", "PCA9541PW-01118")</f>
        <v>PCA9541PW-01118</v>
      </c>
      <c r="B20609" s="3" t="s">
        <v>93</v>
      </c>
      <c r="C20609" s="6">
        <v>6236</v>
      </c>
      <c r="D20609" s="7">
        <v>4.01</v>
      </c>
    </row>
    <row r="20610" spans="1:4" x14ac:dyDescent="0.25">
      <c r="A20610" t="str">
        <f>HYPERLINK("https://www.773grp.com/globalSearch/PCA9541PW-03112/page-1", "PCA9541PW-03112")</f>
        <v>PCA9541PW-03112</v>
      </c>
      <c r="B20610" s="3" t="s">
        <v>93</v>
      </c>
      <c r="C20610" s="6">
        <v>1247</v>
      </c>
      <c r="D20610" s="7">
        <v>4.01</v>
      </c>
    </row>
    <row r="20611" spans="1:4" x14ac:dyDescent="0.25">
      <c r="A20611" t="str">
        <f>HYPERLINK("https://www.773grp.com/globalSearch/PCA9541PW-03118/page-1", "PCA9541PW-03118")</f>
        <v>PCA9541PW-03118</v>
      </c>
      <c r="B20611" s="3" t="s">
        <v>93</v>
      </c>
      <c r="C20611" s="6">
        <v>4715</v>
      </c>
      <c r="D20611" s="7">
        <v>4.01</v>
      </c>
    </row>
    <row r="20612" spans="1:4" x14ac:dyDescent="0.25">
      <c r="A20612" t="str">
        <f>HYPERLINK("https://www.773grp.com/globalSearch/TFA9810T-N1112/page-1", "TFA9810T-N1112")</f>
        <v>TFA9810T-N1112</v>
      </c>
      <c r="B20612" s="3" t="s">
        <v>93</v>
      </c>
      <c r="C20612" s="6">
        <v>1020</v>
      </c>
      <c r="D20612" s="7">
        <v>4.01</v>
      </c>
    </row>
    <row r="20613" spans="1:4" x14ac:dyDescent="0.25">
      <c r="A20613" t="str">
        <f>HYPERLINK("https://www.773grp.com/globalSearch/UBA20260T-1518/page-1", "UBA20260T-1518")</f>
        <v>UBA20260T-1518</v>
      </c>
      <c r="B20613" s="3" t="s">
        <v>93</v>
      </c>
      <c r="C20613" s="6">
        <v>2500</v>
      </c>
      <c r="D20613" s="7">
        <v>4.01</v>
      </c>
    </row>
    <row r="20614" spans="1:4" x14ac:dyDescent="0.25">
      <c r="A20614" t="str">
        <f>HYPERLINK("https://www.773grp.com/globalSearch/PCF2127AT-1512/page-1", "PCF2127AT-1512")</f>
        <v>PCF2127AT-1512</v>
      </c>
      <c r="B20614" s="3" t="s">
        <v>93</v>
      </c>
      <c r="C20614" s="6">
        <v>76</v>
      </c>
      <c r="D20614" s="7">
        <v>3.66</v>
      </c>
    </row>
    <row r="20615" spans="1:4" x14ac:dyDescent="0.25">
      <c r="A20615" t="str">
        <f>HYPERLINK("https://www.773grp.com/globalSearch/PCF8593P112/page-1", "PCF8593P112")</f>
        <v>PCF8593P112</v>
      </c>
      <c r="B20615" s="3" t="s">
        <v>93</v>
      </c>
      <c r="C20615" s="6">
        <v>298</v>
      </c>
      <c r="D20615" s="7">
        <v>3.66</v>
      </c>
    </row>
    <row r="20616" spans="1:4" x14ac:dyDescent="0.25">
      <c r="A20616" t="str">
        <f>HYPERLINK("https://www.773grp.com/globalSearch/BUK952R3-40E127/page-1", "BUK952R3-40E127")</f>
        <v>BUK952R3-40E127</v>
      </c>
      <c r="B20616" s="3" t="s">
        <v>93</v>
      </c>
      <c r="C20616" s="6">
        <v>142</v>
      </c>
      <c r="D20616" s="7">
        <v>4.0599999999999996</v>
      </c>
    </row>
    <row r="20617" spans="1:4" x14ac:dyDescent="0.25">
      <c r="A20617" t="str">
        <f>HYPERLINK("https://www.773grp.com/globalSearch/LPC1111FHN33-2015/page-1", "LPC1111FHN33-2015")</f>
        <v>LPC1111FHN33-2015</v>
      </c>
      <c r="B20617" s="3" t="s">
        <v>93</v>
      </c>
      <c r="C20617" s="6">
        <v>260</v>
      </c>
      <c r="D20617" s="7">
        <v>4.0599999999999996</v>
      </c>
    </row>
    <row r="20618" spans="1:4" x14ac:dyDescent="0.25">
      <c r="A20618" t="str">
        <f>HYPERLINK("https://www.773grp.com/globalSearch/PH2625L115/page-1", "PH2625L115")</f>
        <v>PH2625L115</v>
      </c>
      <c r="B20618" s="3" t="s">
        <v>93</v>
      </c>
      <c r="C20618" s="6">
        <v>1594</v>
      </c>
      <c r="D20618" s="7">
        <v>4.0599999999999996</v>
      </c>
    </row>
    <row r="20619" spans="1:4" x14ac:dyDescent="0.25">
      <c r="A20619" t="str">
        <f>HYPERLINK("https://www.773grp.com/globalSearch/PH3230S115/page-1", "PH3230S115")</f>
        <v>PH3230S115</v>
      </c>
      <c r="B20619" s="3" t="s">
        <v>93</v>
      </c>
      <c r="C20619" s="6">
        <v>1201</v>
      </c>
      <c r="D20619" s="7">
        <v>4.0599999999999996</v>
      </c>
    </row>
    <row r="20620" spans="1:4" x14ac:dyDescent="0.25">
      <c r="A20620" t="str">
        <f>HYPERLINK("https://www.773grp.com/globalSearch/SSL21084T-1118/page-1", "SSL21084T-1118")</f>
        <v>SSL21084T-1118</v>
      </c>
      <c r="B20620" s="3" t="s">
        <v>93</v>
      </c>
      <c r="C20620" s="6">
        <v>2500</v>
      </c>
      <c r="D20620" s="7">
        <v>4.0599999999999996</v>
      </c>
    </row>
    <row r="20621" spans="1:4" x14ac:dyDescent="0.25">
      <c r="A20621" t="str">
        <f>HYPERLINK("https://www.773grp.com/globalSearch/BUK6E2R3-40C127/page-1", "BUK6E2R3-40C127")</f>
        <v>BUK6E2R3-40C127</v>
      </c>
      <c r="B20621" s="3" t="s">
        <v>93</v>
      </c>
      <c r="C20621" s="6">
        <v>2000</v>
      </c>
      <c r="D20621" s="7">
        <v>3.68</v>
      </c>
    </row>
    <row r="20622" spans="1:4" x14ac:dyDescent="0.25">
      <c r="A20622" t="str">
        <f>HYPERLINK("https://www.773grp.com/globalSearch/BUK6E3R2-55C127/page-1", "BUK6E3R2-55C127")</f>
        <v>BUK6E3R2-55C127</v>
      </c>
      <c r="B20622" s="3" t="s">
        <v>93</v>
      </c>
      <c r="C20622" s="6">
        <v>4000</v>
      </c>
      <c r="D20622" s="7">
        <v>3.68</v>
      </c>
    </row>
    <row r="20623" spans="1:4" x14ac:dyDescent="0.25">
      <c r="A20623" t="str">
        <f>HYPERLINK("https://www.773grp.com/globalSearch/BUK7E2R3-40C127/page-1", "BUK7E2R3-40C127")</f>
        <v>BUK7E2R3-40C127</v>
      </c>
      <c r="B20623" s="3" t="s">
        <v>93</v>
      </c>
      <c r="C20623" s="6">
        <v>4000</v>
      </c>
      <c r="D20623" s="7">
        <v>3.68</v>
      </c>
    </row>
    <row r="20624" spans="1:4" x14ac:dyDescent="0.25">
      <c r="A20624" t="str">
        <f>HYPERLINK("https://www.773grp.com/globalSearch/P87LPC764FN112/page-1", "P87LPC764FN112")</f>
        <v>P87LPC764FN112</v>
      </c>
      <c r="B20624" s="3" t="s">
        <v>93</v>
      </c>
      <c r="C20624" s="6">
        <v>284</v>
      </c>
      <c r="D20624" s="7">
        <v>3.71</v>
      </c>
    </row>
    <row r="20625" spans="1:4" x14ac:dyDescent="0.25">
      <c r="A20625" t="str">
        <f>HYPERLINK("https://www.773grp.com/globalSearch/74HC4351N652/page-1", "74HC4351N652")</f>
        <v>74HC4351N652</v>
      </c>
      <c r="B20625" s="3" t="s">
        <v>93</v>
      </c>
      <c r="C20625" s="6">
        <v>4754</v>
      </c>
      <c r="D20625" s="7">
        <v>4.1100000000000003</v>
      </c>
    </row>
    <row r="20626" spans="1:4" x14ac:dyDescent="0.25">
      <c r="A20626" t="str">
        <f>HYPERLINK("https://www.773grp.com/globalSearch/74HC4353N652/page-1", "74HC4353N652")</f>
        <v>74HC4353N652</v>
      </c>
      <c r="B20626" s="3" t="s">
        <v>93</v>
      </c>
      <c r="C20626" s="6">
        <v>2248</v>
      </c>
      <c r="D20626" s="7">
        <v>4.1100000000000003</v>
      </c>
    </row>
    <row r="20627" spans="1:4" x14ac:dyDescent="0.25">
      <c r="A20627" t="str">
        <f>HYPERLINK("https://www.773grp.com/globalSearch/74HC4514N652/page-1", "74HC4514N652")</f>
        <v>74HC4514N652</v>
      </c>
      <c r="B20627" s="3" t="s">
        <v>93</v>
      </c>
      <c r="C20627" s="6">
        <v>723</v>
      </c>
      <c r="D20627" s="7">
        <v>4.1100000000000003</v>
      </c>
    </row>
    <row r="20628" spans="1:4" x14ac:dyDescent="0.25">
      <c r="A20628" t="str">
        <f>HYPERLINK("https://www.773grp.com/globalSearch/74HC640N652/page-1", "74HC640N652")</f>
        <v>74HC640N652</v>
      </c>
      <c r="B20628" s="3" t="s">
        <v>93</v>
      </c>
      <c r="C20628" s="6">
        <v>7949</v>
      </c>
      <c r="D20628" s="7">
        <v>4.1100000000000003</v>
      </c>
    </row>
    <row r="20629" spans="1:4" x14ac:dyDescent="0.25">
      <c r="A20629" t="str">
        <f>HYPERLINK("https://www.773grp.com/globalSearch/74HCT154N652/page-1", "74HCT154N652")</f>
        <v>74HCT154N652</v>
      </c>
      <c r="B20629" s="3" t="s">
        <v>93</v>
      </c>
      <c r="C20629" s="6">
        <v>797</v>
      </c>
      <c r="D20629" s="7">
        <v>4.1100000000000003</v>
      </c>
    </row>
    <row r="20630" spans="1:4" x14ac:dyDescent="0.25">
      <c r="A20630" t="str">
        <f>HYPERLINK("https://www.773grp.com/globalSearch/74HCT4351N112/page-1", "74HCT4351N112")</f>
        <v>74HCT4351N112</v>
      </c>
      <c r="B20630" s="3" t="s">
        <v>93</v>
      </c>
      <c r="C20630" s="6">
        <v>269</v>
      </c>
      <c r="D20630" s="7">
        <v>4.1100000000000003</v>
      </c>
    </row>
    <row r="20631" spans="1:4" x14ac:dyDescent="0.25">
      <c r="A20631" t="str">
        <f>HYPERLINK("https://www.773grp.com/globalSearch/74HCT4515N652/page-1", "74HCT4515N652")</f>
        <v>74HCT4515N652</v>
      </c>
      <c r="B20631" s="3" t="s">
        <v>93</v>
      </c>
      <c r="C20631" s="6">
        <v>500</v>
      </c>
      <c r="D20631" s="7">
        <v>4.1100000000000003</v>
      </c>
    </row>
    <row r="20632" spans="1:4" x14ac:dyDescent="0.25">
      <c r="A20632" t="str">
        <f>HYPERLINK("https://www.773grp.com/globalSearch/74HCT534N652/page-1", "74HCT534N652")</f>
        <v>74HCT534N652</v>
      </c>
      <c r="B20632" s="3" t="s">
        <v>93</v>
      </c>
      <c r="C20632" s="6">
        <v>3110</v>
      </c>
      <c r="D20632" s="7">
        <v>4.1100000000000003</v>
      </c>
    </row>
    <row r="20633" spans="1:4" x14ac:dyDescent="0.25">
      <c r="A20633" t="str">
        <f>HYPERLINK("https://www.773grp.com/globalSearch/74HCT640N652/page-1", "74HCT640N652")</f>
        <v>74HCT640N652</v>
      </c>
      <c r="B20633" s="3" t="s">
        <v>93</v>
      </c>
      <c r="C20633" s="6">
        <v>4216</v>
      </c>
      <c r="D20633" s="7">
        <v>4.1100000000000003</v>
      </c>
    </row>
    <row r="20634" spans="1:4" x14ac:dyDescent="0.25">
      <c r="A20634" t="str">
        <f>HYPERLINK("https://www.773grp.com/globalSearch/74LV365N112/page-1", "74LV365N112")</f>
        <v>74LV365N112</v>
      </c>
      <c r="B20634" s="3" t="s">
        <v>93</v>
      </c>
      <c r="C20634" s="6">
        <v>1977</v>
      </c>
      <c r="D20634" s="7">
        <v>4.1100000000000003</v>
      </c>
    </row>
    <row r="20635" spans="1:4" x14ac:dyDescent="0.25">
      <c r="A20635" t="str">
        <f>HYPERLINK("https://www.773grp.com/globalSearch/74LV367N112/page-1", "74LV367N112")</f>
        <v>74LV367N112</v>
      </c>
      <c r="B20635" s="3" t="s">
        <v>93</v>
      </c>
      <c r="C20635" s="6">
        <v>1875</v>
      </c>
      <c r="D20635" s="7">
        <v>4.1100000000000003</v>
      </c>
    </row>
    <row r="20636" spans="1:4" x14ac:dyDescent="0.25">
      <c r="A20636" t="str">
        <f>HYPERLINK("https://www.773grp.com/globalSearch/BUK652R730C127/page-1", "BUK652R730C127")</f>
        <v>BUK652R730C127</v>
      </c>
      <c r="B20636" s="3" t="s">
        <v>93</v>
      </c>
      <c r="C20636" s="6">
        <v>8</v>
      </c>
      <c r="D20636" s="7">
        <v>4.1100000000000003</v>
      </c>
    </row>
    <row r="20637" spans="1:4" x14ac:dyDescent="0.25">
      <c r="A20637" t="str">
        <f>HYPERLINK("https://www.773grp.com/globalSearch/BUK652R7-30C127/page-1", "BUK652R7-30C127")</f>
        <v>BUK652R7-30C127</v>
      </c>
      <c r="B20637" s="3" t="s">
        <v>93</v>
      </c>
      <c r="C20637" s="6">
        <v>4000</v>
      </c>
      <c r="D20637" s="7">
        <v>4.1100000000000003</v>
      </c>
    </row>
    <row r="20638" spans="1:4" x14ac:dyDescent="0.25">
      <c r="A20638" t="str">
        <f>HYPERLINK("https://www.773grp.com/globalSearch/BUK7610-55AL118/page-1", "BUK7610-55AL118")</f>
        <v>BUK7610-55AL118</v>
      </c>
      <c r="B20638" s="3" t="s">
        <v>93</v>
      </c>
      <c r="C20638" s="6">
        <v>69</v>
      </c>
      <c r="D20638" s="7">
        <v>4.1100000000000003</v>
      </c>
    </row>
    <row r="20639" spans="1:4" x14ac:dyDescent="0.25">
      <c r="A20639" t="str">
        <f>HYPERLINK("https://www.773grp.com/globalSearch/BUK7E07-55B127/page-1", "BUK7E07-55B127")</f>
        <v>BUK7E07-55B127</v>
      </c>
      <c r="B20639" s="3" t="s">
        <v>93</v>
      </c>
      <c r="C20639" s="6">
        <v>194</v>
      </c>
      <c r="D20639" s="7">
        <v>4.1100000000000003</v>
      </c>
    </row>
    <row r="20640" spans="1:4" x14ac:dyDescent="0.25">
      <c r="A20640" t="str">
        <f>HYPERLINK("https://www.773grp.com/globalSearch/PCA9510AD112/page-1", "PCA9510AD112")</f>
        <v>PCA9510AD112</v>
      </c>
      <c r="B20640" s="3" t="s">
        <v>93</v>
      </c>
      <c r="C20640" s="6">
        <v>605</v>
      </c>
      <c r="D20640" s="7">
        <v>4.1100000000000003</v>
      </c>
    </row>
    <row r="20641" spans="1:4" x14ac:dyDescent="0.25">
      <c r="A20641" t="str">
        <f>HYPERLINK("https://www.773grp.com/globalSearch/PCA9511AD112/page-1", "PCA9511AD112")</f>
        <v>PCA9511AD112</v>
      </c>
      <c r="B20641" s="3" t="s">
        <v>93</v>
      </c>
      <c r="C20641" s="6">
        <v>10621</v>
      </c>
      <c r="D20641" s="7">
        <v>4.1100000000000003</v>
      </c>
    </row>
    <row r="20642" spans="1:4" x14ac:dyDescent="0.25">
      <c r="A20642" t="str">
        <f>HYPERLINK("https://www.773grp.com/globalSearch/PCA9511ADP118/page-1", "PCA9511ADP118")</f>
        <v>PCA9511ADP118</v>
      </c>
      <c r="B20642" s="3" t="s">
        <v>93</v>
      </c>
      <c r="C20642" s="6">
        <v>2500</v>
      </c>
      <c r="D20642" s="7">
        <v>4.1100000000000003</v>
      </c>
    </row>
    <row r="20643" spans="1:4" x14ac:dyDescent="0.25">
      <c r="A20643" t="str">
        <f>HYPERLINK("https://www.773grp.com/globalSearch/PCA9512AD112/page-1", "PCA9512AD112")</f>
        <v>PCA9512AD112</v>
      </c>
      <c r="B20643" s="3" t="s">
        <v>93</v>
      </c>
      <c r="C20643" s="6">
        <v>865</v>
      </c>
      <c r="D20643" s="7">
        <v>4.1100000000000003</v>
      </c>
    </row>
    <row r="20644" spans="1:4" x14ac:dyDescent="0.25">
      <c r="A20644" t="str">
        <f>HYPERLINK("https://www.773grp.com/globalSearch/PCA9512AD118/page-1", "PCA9512AD118")</f>
        <v>PCA9512AD118</v>
      </c>
      <c r="B20644" s="3" t="s">
        <v>93</v>
      </c>
      <c r="C20644" s="6">
        <v>2500</v>
      </c>
      <c r="D20644" s="7">
        <v>4.1100000000000003</v>
      </c>
    </row>
    <row r="20645" spans="1:4" x14ac:dyDescent="0.25">
      <c r="A20645" t="str">
        <f>HYPERLINK("https://www.773grp.com/globalSearch/PCA9512ADP118/page-1", "PCA9512ADP118")</f>
        <v>PCA9512ADP118</v>
      </c>
      <c r="B20645" s="3" t="s">
        <v>93</v>
      </c>
      <c r="C20645" s="6">
        <v>1718</v>
      </c>
      <c r="D20645" s="7">
        <v>4.1100000000000003</v>
      </c>
    </row>
    <row r="20646" spans="1:4" x14ac:dyDescent="0.25">
      <c r="A20646" t="str">
        <f>HYPERLINK("https://www.773grp.com/globalSearch/PCA9512BD118/page-1", "PCA9512BD118")</f>
        <v>PCA9512BD118</v>
      </c>
      <c r="B20646" s="3" t="s">
        <v>93</v>
      </c>
      <c r="C20646" s="6">
        <v>130</v>
      </c>
      <c r="D20646" s="7">
        <v>4.1100000000000003</v>
      </c>
    </row>
    <row r="20647" spans="1:4" x14ac:dyDescent="0.25">
      <c r="A20647" t="str">
        <f>HYPERLINK("https://www.773grp.com/globalSearch/PCA9512BDP118/page-1", "PCA9512BDP118")</f>
        <v>PCA9512BDP118</v>
      </c>
      <c r="B20647" s="3" t="s">
        <v>93</v>
      </c>
      <c r="C20647" s="6">
        <v>27</v>
      </c>
      <c r="D20647" s="7">
        <v>4.1100000000000003</v>
      </c>
    </row>
    <row r="20648" spans="1:4" x14ac:dyDescent="0.25">
      <c r="A20648" t="str">
        <f>HYPERLINK("https://www.773grp.com/globalSearch/PCA9513AD112/page-1", "PCA9513AD112")</f>
        <v>PCA9513AD112</v>
      </c>
      <c r="B20648" s="3" t="s">
        <v>93</v>
      </c>
      <c r="C20648" s="6">
        <v>2400</v>
      </c>
      <c r="D20648" s="7">
        <v>4.1100000000000003</v>
      </c>
    </row>
    <row r="20649" spans="1:4" x14ac:dyDescent="0.25">
      <c r="A20649" t="str">
        <f>HYPERLINK("https://www.773grp.com/globalSearch/PCA9513AD118/page-1", "PCA9513AD118")</f>
        <v>PCA9513AD118</v>
      </c>
      <c r="B20649" s="3" t="s">
        <v>93</v>
      </c>
      <c r="C20649" s="6">
        <v>2500</v>
      </c>
      <c r="D20649" s="7">
        <v>4.1100000000000003</v>
      </c>
    </row>
    <row r="20650" spans="1:4" x14ac:dyDescent="0.25">
      <c r="A20650" t="str">
        <f>HYPERLINK("https://www.773grp.com/globalSearch/PCA9513ADP118/page-1", "PCA9513ADP118")</f>
        <v>PCA9513ADP118</v>
      </c>
      <c r="B20650" s="3" t="s">
        <v>93</v>
      </c>
      <c r="C20650" s="6">
        <v>2500</v>
      </c>
      <c r="D20650" s="7">
        <v>4.1100000000000003</v>
      </c>
    </row>
    <row r="20651" spans="1:4" x14ac:dyDescent="0.25">
      <c r="A20651" t="str">
        <f>HYPERLINK("https://www.773grp.com/globalSearch/PCA9514AD112/page-1", "PCA9514AD112")</f>
        <v>PCA9514AD112</v>
      </c>
      <c r="B20651" s="3" t="s">
        <v>93</v>
      </c>
      <c r="C20651" s="6">
        <v>8368</v>
      </c>
      <c r="D20651" s="7">
        <v>4.1100000000000003</v>
      </c>
    </row>
    <row r="20652" spans="1:4" x14ac:dyDescent="0.25">
      <c r="A20652" t="str">
        <f>HYPERLINK("https://www.773grp.com/globalSearch/PCA9514ADP118/page-1", "PCA9514ADP118")</f>
        <v>PCA9514ADP118</v>
      </c>
      <c r="B20652" s="3" t="s">
        <v>93</v>
      </c>
      <c r="C20652" s="6">
        <v>5335</v>
      </c>
      <c r="D20652" s="7">
        <v>4.1100000000000003</v>
      </c>
    </row>
    <row r="20653" spans="1:4" x14ac:dyDescent="0.25">
      <c r="A20653" t="str">
        <f>HYPERLINK("https://www.773grp.com/globalSearch/PCF1252-4T-F4112/page-1", "PCF1252-4T-F4112")</f>
        <v>PCF1252-4T-F4112</v>
      </c>
      <c r="B20653" s="3" t="s">
        <v>93</v>
      </c>
      <c r="C20653" s="6">
        <v>225</v>
      </c>
      <c r="D20653" s="7">
        <v>4.1100000000000003</v>
      </c>
    </row>
    <row r="20654" spans="1:4" x14ac:dyDescent="0.25">
      <c r="A20654" t="str">
        <f>HYPERLINK("https://www.773grp.com/globalSearch/PCF8563P-F4112/page-1", "PCF8563P-F4112")</f>
        <v>PCF8563P-F4112</v>
      </c>
      <c r="B20654" s="3" t="s">
        <v>93</v>
      </c>
      <c r="C20654" s="6">
        <v>100</v>
      </c>
      <c r="D20654" s="7">
        <v>4.1100000000000003</v>
      </c>
    </row>
    <row r="20655" spans="1:4" x14ac:dyDescent="0.25">
      <c r="A20655" t="str">
        <f>HYPERLINK("https://www.773grp.com/globalSearch/74HC5555N112/page-1", "74HC5555N112")</f>
        <v>74HC5555N112</v>
      </c>
      <c r="B20655" s="3" t="s">
        <v>93</v>
      </c>
      <c r="C20655" s="6">
        <v>2075</v>
      </c>
      <c r="D20655" s="7">
        <v>3.75</v>
      </c>
    </row>
    <row r="20656" spans="1:4" x14ac:dyDescent="0.25">
      <c r="A20656" t="str">
        <f>HYPERLINK("https://www.773grp.com/globalSearch/74HCT5555N112/page-1", "74HCT5555N112")</f>
        <v>74HCT5555N112</v>
      </c>
      <c r="B20656" s="3" t="s">
        <v>93</v>
      </c>
      <c r="C20656" s="6">
        <v>1000</v>
      </c>
      <c r="D20656" s="7">
        <v>3.75</v>
      </c>
    </row>
    <row r="20657" spans="1:4" x14ac:dyDescent="0.25">
      <c r="A20657" t="str">
        <f>HYPERLINK("https://www.773grp.com/globalSearch/PCA9661B118/page-1", "PCA9661B118")</f>
        <v>PCA9661B118</v>
      </c>
      <c r="B20657" s="3" t="s">
        <v>93</v>
      </c>
      <c r="C20657" s="6">
        <v>2100</v>
      </c>
      <c r="D20657" s="7">
        <v>3.75</v>
      </c>
    </row>
    <row r="20658" spans="1:4" x14ac:dyDescent="0.25">
      <c r="A20658" t="str">
        <f>HYPERLINK("https://www.773grp.com/globalSearch/PCF8576T-1118/page-1", "PCF8576T-1118")</f>
        <v>PCF8576T-1118</v>
      </c>
      <c r="B20658" s="3" t="s">
        <v>93</v>
      </c>
      <c r="C20658" s="6">
        <v>40</v>
      </c>
      <c r="D20658" s="7">
        <v>3.75</v>
      </c>
    </row>
    <row r="20659" spans="1:4" x14ac:dyDescent="0.25">
      <c r="A20659" t="str">
        <f>HYPERLINK("https://www.773grp.com/globalSearch/TJA1081TS112/page-1", "TJA1081TS112")</f>
        <v>TJA1081TS112</v>
      </c>
      <c r="B20659" s="3" t="s">
        <v>93</v>
      </c>
      <c r="C20659" s="6">
        <v>19</v>
      </c>
      <c r="D20659" s="7">
        <v>3.75</v>
      </c>
    </row>
    <row r="20660" spans="1:4" x14ac:dyDescent="0.25">
      <c r="A20660" t="str">
        <f>HYPERLINK("https://www.773grp.com/globalSearch/BUK9E08-55B127/page-1", "BUK9E08-55B127")</f>
        <v>BUK9E08-55B127</v>
      </c>
      <c r="B20660" s="3" t="s">
        <v>93</v>
      </c>
      <c r="C20660" s="6">
        <v>4769</v>
      </c>
      <c r="D20660" s="7">
        <v>4.16</v>
      </c>
    </row>
    <row r="20661" spans="1:4" x14ac:dyDescent="0.25">
      <c r="A20661" t="str">
        <f>HYPERLINK("https://www.773grp.com/globalSearch/BUK9E2R3-40E127/page-1", "BUK9E2R3-40E127")</f>
        <v>BUK9E2R3-40E127</v>
      </c>
      <c r="B20661" s="3" t="s">
        <v>93</v>
      </c>
      <c r="C20661" s="6">
        <v>300</v>
      </c>
      <c r="D20661" s="7">
        <v>4.16</v>
      </c>
    </row>
    <row r="20662" spans="1:4" x14ac:dyDescent="0.25">
      <c r="A20662" t="str">
        <f>HYPERLINK("https://www.773grp.com/globalSearch/P89LPC921FN112/page-1", "P89LPC921FN112")</f>
        <v>P89LPC921FN112</v>
      </c>
      <c r="B20662" s="3" t="s">
        <v>93</v>
      </c>
      <c r="C20662" s="6">
        <v>585</v>
      </c>
      <c r="D20662" s="7">
        <v>4.16</v>
      </c>
    </row>
    <row r="20663" spans="1:4" x14ac:dyDescent="0.25">
      <c r="A20663" t="str">
        <f>HYPERLINK("https://www.773grp.com/globalSearch/PCF8536BT-1118/page-1", "PCF8536BT-1118")</f>
        <v>PCF8536BT-1118</v>
      </c>
      <c r="B20663" s="3" t="s">
        <v>93</v>
      </c>
      <c r="C20663" s="6">
        <v>40</v>
      </c>
      <c r="D20663" s="7">
        <v>4.16</v>
      </c>
    </row>
    <row r="20664" spans="1:4" x14ac:dyDescent="0.25">
      <c r="A20664" t="str">
        <f>HYPERLINK("https://www.773grp.com/globalSearch/TDA8542TS-N1112/page-1", "TDA8542TS-N1112")</f>
        <v>TDA8542TS-N1112</v>
      </c>
      <c r="B20664" s="3" t="s">
        <v>93</v>
      </c>
      <c r="C20664" s="6">
        <v>162</v>
      </c>
      <c r="D20664" s="7">
        <v>4.16</v>
      </c>
    </row>
    <row r="20665" spans="1:4" x14ac:dyDescent="0.25">
      <c r="A20665" t="str">
        <f>HYPERLINK("https://www.773grp.com/globalSearch/TJA1041AT518/page-1", "TJA1041AT518")</f>
        <v>TJA1041AT518</v>
      </c>
      <c r="B20665" s="3" t="s">
        <v>93</v>
      </c>
      <c r="C20665" s="6">
        <v>115000</v>
      </c>
      <c r="D20665" s="7">
        <v>4.16</v>
      </c>
    </row>
    <row r="20666" spans="1:4" x14ac:dyDescent="0.25">
      <c r="A20666" t="str">
        <f>HYPERLINK("https://www.773grp.com/globalSearch/TJA1041T-N1518/page-1", "TJA1041T-N1518")</f>
        <v>TJA1041T-N1518</v>
      </c>
      <c r="B20666" s="3" t="s">
        <v>93</v>
      </c>
      <c r="C20666" s="6">
        <v>20000</v>
      </c>
      <c r="D20666" s="7">
        <v>4.16</v>
      </c>
    </row>
    <row r="20667" spans="1:4" x14ac:dyDescent="0.25">
      <c r="A20667" t="str">
        <f>HYPERLINK("https://www.773grp.com/globalSearch/TJA1054AT-VM518/page-1", "TJA1054AT-VM518")</f>
        <v>TJA1054AT-VM518</v>
      </c>
      <c r="B20667" s="3" t="s">
        <v>93</v>
      </c>
      <c r="C20667" s="6">
        <v>7500</v>
      </c>
      <c r="D20667" s="7">
        <v>4.16</v>
      </c>
    </row>
    <row r="20668" spans="1:4" x14ac:dyDescent="0.25">
      <c r="A20668" t="str">
        <f>HYPERLINK("https://www.773grp.com/globalSearch/TJA1054AT518/page-1", "TJA1054AT518")</f>
        <v>TJA1054AT518</v>
      </c>
      <c r="B20668" s="3" t="s">
        <v>93</v>
      </c>
      <c r="C20668" s="6">
        <v>54750</v>
      </c>
      <c r="D20668" s="7">
        <v>4.16</v>
      </c>
    </row>
    <row r="20669" spans="1:4" x14ac:dyDescent="0.25">
      <c r="A20669" t="str">
        <f>HYPERLINK("https://www.773grp.com/globalSearch/TJA1054T-N1518/page-1", "TJA1054T-N1518")</f>
        <v>TJA1054T-N1518</v>
      </c>
      <c r="B20669" s="3" t="s">
        <v>93</v>
      </c>
      <c r="C20669" s="6">
        <v>51000</v>
      </c>
      <c r="D20669" s="7">
        <v>4.16</v>
      </c>
    </row>
    <row r="20670" spans="1:4" x14ac:dyDescent="0.25">
      <c r="A20670" t="str">
        <f>HYPERLINK("https://www.773grp.com/globalSearch/TJA1054T-N1M518/page-1", "TJA1054T-N1M518")</f>
        <v>TJA1054T-N1M518</v>
      </c>
      <c r="B20670" s="3" t="s">
        <v>93</v>
      </c>
      <c r="C20670" s="6">
        <v>92500</v>
      </c>
      <c r="D20670" s="7">
        <v>4.16</v>
      </c>
    </row>
    <row r="20671" spans="1:4" x14ac:dyDescent="0.25">
      <c r="A20671" t="str">
        <f>HYPERLINK("https://www.773grp.com/globalSearch/TJA1054T-VM512/page-1", "TJA1054T-VM512")</f>
        <v>TJA1054T-VM512</v>
      </c>
      <c r="B20671" s="3" t="s">
        <v>93</v>
      </c>
      <c r="C20671" s="6">
        <v>2280</v>
      </c>
      <c r="D20671" s="7">
        <v>4.16</v>
      </c>
    </row>
    <row r="20672" spans="1:4" x14ac:dyDescent="0.25">
      <c r="A20672" t="str">
        <f>HYPERLINK("https://www.773grp.com/globalSearch/74AVC20T245DGV118/page-1", "74AVC20T245DGV118")</f>
        <v>74AVC20T245DGV118</v>
      </c>
      <c r="B20672" s="3" t="s">
        <v>93</v>
      </c>
      <c r="C20672" s="6">
        <v>280</v>
      </c>
      <c r="D20672" s="7">
        <v>4.2300000000000004</v>
      </c>
    </row>
    <row r="20673" spans="1:4" x14ac:dyDescent="0.25">
      <c r="A20673" t="str">
        <f>HYPERLINK("https://www.773grp.com/globalSearch/BUK7506-55B127/page-1", "BUK7506-55B127")</f>
        <v>BUK7506-55B127</v>
      </c>
      <c r="B20673" s="3" t="s">
        <v>93</v>
      </c>
      <c r="C20673" s="6">
        <v>333</v>
      </c>
      <c r="D20673" s="7">
        <v>4.2300000000000004</v>
      </c>
    </row>
    <row r="20674" spans="1:4" x14ac:dyDescent="0.25">
      <c r="A20674" t="str">
        <f>HYPERLINK("https://www.773grp.com/globalSearch/NE5234D-01512/page-1", "NE5234D-01512")</f>
        <v>NE5234D-01512</v>
      </c>
      <c r="B20674" s="3" t="s">
        <v>93</v>
      </c>
      <c r="C20674" s="6">
        <v>640</v>
      </c>
      <c r="D20674" s="7">
        <v>4.2300000000000004</v>
      </c>
    </row>
    <row r="20675" spans="1:4" x14ac:dyDescent="0.25">
      <c r="A20675" t="str">
        <f>HYPERLINK("https://www.773grp.com/globalSearch/PCA9539PW-Q900118/page-1", "PCA9539PW-Q900118")</f>
        <v>PCA9539PW-Q900118</v>
      </c>
      <c r="B20675" s="3" t="s">
        <v>93</v>
      </c>
      <c r="C20675" s="6">
        <v>2790</v>
      </c>
      <c r="D20675" s="7">
        <v>4.2300000000000004</v>
      </c>
    </row>
    <row r="20676" spans="1:4" x14ac:dyDescent="0.25">
      <c r="A20676" t="str">
        <f>HYPERLINK("https://www.773grp.com/globalSearch/PCA9635PW-Q900118/page-1", "PCA9635PW-Q900118")</f>
        <v>PCA9635PW-Q900118</v>
      </c>
      <c r="B20676" s="3" t="s">
        <v>93</v>
      </c>
      <c r="C20676" s="6">
        <v>2500</v>
      </c>
      <c r="D20676" s="7">
        <v>4.2300000000000004</v>
      </c>
    </row>
    <row r="20677" spans="1:4" x14ac:dyDescent="0.25">
      <c r="A20677" t="str">
        <f>HYPERLINK("https://www.773grp.com/globalSearch/PCF8566TS-1118/page-1", "PCF8566TS-1118")</f>
        <v>PCF8566TS-1118</v>
      </c>
      <c r="B20677" s="3" t="s">
        <v>93</v>
      </c>
      <c r="C20677" s="6">
        <v>500</v>
      </c>
      <c r="D20677" s="7">
        <v>4.2300000000000004</v>
      </c>
    </row>
    <row r="20678" spans="1:4" x14ac:dyDescent="0.25">
      <c r="A20678" t="str">
        <f>HYPERLINK("https://www.773grp.com/globalSearch/TEA1610T-N6-DG518/page-1", "TEA1610T-N6-DG518")</f>
        <v>TEA1610T-N6-DG518</v>
      </c>
      <c r="B20678" s="3" t="s">
        <v>93</v>
      </c>
      <c r="C20678" s="6">
        <v>2219</v>
      </c>
      <c r="D20678" s="7">
        <v>4.2300000000000004</v>
      </c>
    </row>
    <row r="20679" spans="1:4" x14ac:dyDescent="0.25">
      <c r="A20679" t="str">
        <f>HYPERLINK("https://www.773grp.com/globalSearch/UBA2025T-N1518/page-1", "UBA2025T-N1518")</f>
        <v>UBA2025T-N1518</v>
      </c>
      <c r="B20679" s="3" t="s">
        <v>93</v>
      </c>
      <c r="C20679" s="6">
        <v>25</v>
      </c>
      <c r="D20679" s="7">
        <v>4.2300000000000004</v>
      </c>
    </row>
    <row r="20680" spans="1:4" x14ac:dyDescent="0.25">
      <c r="A20680" t="str">
        <f>HYPERLINK("https://www.773grp.com/globalSearch/UBA2071AT-N1118/page-1", "UBA2071AT-N1118")</f>
        <v>UBA2071AT-N1118</v>
      </c>
      <c r="B20680" s="3" t="s">
        <v>93</v>
      </c>
      <c r="C20680" s="6">
        <v>19000</v>
      </c>
      <c r="D20680" s="7">
        <v>4.2300000000000004</v>
      </c>
    </row>
    <row r="20681" spans="1:4" x14ac:dyDescent="0.25">
      <c r="A20681" t="str">
        <f>HYPERLINK("https://www.773grp.com/globalSearch/74LVCH32245AEC557/page-1", "74LVCH32245AEC557")</f>
        <v>74LVCH32245AEC557</v>
      </c>
      <c r="B20681" s="3" t="s">
        <v>93</v>
      </c>
      <c r="C20681" s="6">
        <v>1425</v>
      </c>
      <c r="D20681" s="7">
        <v>3.83</v>
      </c>
    </row>
    <row r="20682" spans="1:4" x14ac:dyDescent="0.25">
      <c r="A20682" t="str">
        <f>HYPERLINK("https://www.773grp.com/globalSearch/SC16IS760IPW112/page-1", "SC16IS760IPW112")</f>
        <v>SC16IS760IPW112</v>
      </c>
      <c r="B20682" s="3" t="s">
        <v>93</v>
      </c>
      <c r="C20682" s="6">
        <v>5723</v>
      </c>
      <c r="D20682" s="7">
        <v>3.85</v>
      </c>
    </row>
    <row r="20683" spans="1:4" x14ac:dyDescent="0.25">
      <c r="A20683" t="str">
        <f>HYPERLINK("https://www.773grp.com/globalSearch/AU5790D14512/page-1", "AU5790D14512")</f>
        <v>AU5790D14512</v>
      </c>
      <c r="B20683" s="3" t="s">
        <v>93</v>
      </c>
      <c r="C20683" s="6">
        <v>1140</v>
      </c>
      <c r="D20683" s="7">
        <v>4.28</v>
      </c>
    </row>
    <row r="20684" spans="1:4" x14ac:dyDescent="0.25">
      <c r="A20684" t="str">
        <f>HYPERLINK("https://www.773grp.com/globalSearch/AU5790D14518/page-1", "AU5790D14518")</f>
        <v>AU5790D14518</v>
      </c>
      <c r="B20684" s="3" t="s">
        <v>93</v>
      </c>
      <c r="C20684" s="6">
        <v>82500</v>
      </c>
      <c r="D20684" s="7">
        <v>4.28</v>
      </c>
    </row>
    <row r="20685" spans="1:4" x14ac:dyDescent="0.25">
      <c r="A20685" t="str">
        <f>HYPERLINK("https://www.773grp.com/globalSearch/BGA7027115/page-1", "BGA7027115")</f>
        <v>BGA7027115</v>
      </c>
      <c r="B20685" s="3" t="s">
        <v>93</v>
      </c>
      <c r="C20685" s="6">
        <v>19890</v>
      </c>
      <c r="D20685" s="7">
        <v>4.28</v>
      </c>
    </row>
    <row r="20686" spans="1:4" x14ac:dyDescent="0.25">
      <c r="A20686" t="str">
        <f>HYPERLINK("https://www.773grp.com/globalSearch/BUK9506-55B127/page-1", "BUK9506-55B127")</f>
        <v>BUK9506-55B127</v>
      </c>
      <c r="B20686" s="3" t="s">
        <v>93</v>
      </c>
      <c r="C20686" s="6">
        <v>1</v>
      </c>
      <c r="D20686" s="7">
        <v>4.28</v>
      </c>
    </row>
    <row r="20687" spans="1:4" x14ac:dyDescent="0.25">
      <c r="A20687" t="str">
        <f>HYPERLINK("https://www.773grp.com/globalSearch/P89LPC922FDH512/page-1", "P89LPC922FDH512")</f>
        <v>P89LPC922FDH512</v>
      </c>
      <c r="B20687" s="3" t="s">
        <v>93</v>
      </c>
      <c r="C20687" s="6">
        <v>7500</v>
      </c>
      <c r="D20687" s="7">
        <v>4.28</v>
      </c>
    </row>
    <row r="20688" spans="1:4" x14ac:dyDescent="0.25">
      <c r="A20688" t="str">
        <f>HYPERLINK("https://www.773grp.com/globalSearch/PSMN030-150P127/page-1", "PSMN030-150P127")</f>
        <v>PSMN030-150P127</v>
      </c>
      <c r="B20688" s="3" t="s">
        <v>93</v>
      </c>
      <c r="C20688" s="6">
        <v>3000</v>
      </c>
      <c r="D20688" s="7">
        <v>4.28</v>
      </c>
    </row>
    <row r="20689" spans="1:4" x14ac:dyDescent="0.25">
      <c r="A20689" t="str">
        <f>HYPERLINK("https://www.773grp.com/globalSearch/PSMN7R0-100ES127/page-1", "PSMN7R0-100ES127")</f>
        <v>PSMN7R0-100ES127</v>
      </c>
      <c r="B20689" s="3" t="s">
        <v>93</v>
      </c>
      <c r="C20689" s="6">
        <v>4000</v>
      </c>
      <c r="D20689" s="7">
        <v>4.28</v>
      </c>
    </row>
    <row r="20690" spans="1:4" x14ac:dyDescent="0.25">
      <c r="A20690" t="str">
        <f>HYPERLINK("https://www.773grp.com/globalSearch/TDA9885HN-V5118/page-1", "TDA9885HN-V5118")</f>
        <v>TDA9885HN-V5118</v>
      </c>
      <c r="B20690" s="3" t="s">
        <v>93</v>
      </c>
      <c r="C20690" s="6">
        <v>54000</v>
      </c>
      <c r="D20690" s="7">
        <v>4.28</v>
      </c>
    </row>
    <row r="20691" spans="1:4" x14ac:dyDescent="0.25">
      <c r="A20691" t="str">
        <f>HYPERLINK("https://www.773grp.com/globalSearch/TDA9885TS-V5118/page-1", "TDA9885TS-V5118")</f>
        <v>TDA9885TS-V5118</v>
      </c>
      <c r="B20691" s="3" t="s">
        <v>93</v>
      </c>
      <c r="C20691" s="6">
        <v>2000</v>
      </c>
      <c r="D20691" s="7">
        <v>4.28</v>
      </c>
    </row>
    <row r="20692" spans="1:4" x14ac:dyDescent="0.25">
      <c r="A20692" t="str">
        <f>HYPERLINK("https://www.773grp.com/globalSearch/JN5161-001515/page-1", "JN5161-001515")</f>
        <v>JN5161-001515</v>
      </c>
      <c r="B20692" s="3" t="s">
        <v>93</v>
      </c>
      <c r="C20692" s="6">
        <v>50</v>
      </c>
      <c r="D20692" s="7">
        <v>3.89</v>
      </c>
    </row>
    <row r="20693" spans="1:4" x14ac:dyDescent="0.25">
      <c r="A20693" t="str">
        <f>HYPERLINK("https://www.773grp.com/globalSearch/SC16C850LIET115/page-1", "SC16C850LIET115")</f>
        <v>SC16C850LIET115</v>
      </c>
      <c r="B20693" s="3" t="s">
        <v>93</v>
      </c>
      <c r="C20693" s="6">
        <v>83000</v>
      </c>
      <c r="D20693" s="7">
        <v>3.89</v>
      </c>
    </row>
    <row r="20694" spans="1:4" x14ac:dyDescent="0.25">
      <c r="A20694" t="str">
        <f>HYPERLINK("https://www.773grp.com/globalSearch/74ABT74N112/page-1", "74ABT74N112")</f>
        <v>74ABT74N112</v>
      </c>
      <c r="B20694" s="3" t="s">
        <v>93</v>
      </c>
      <c r="C20694" s="6">
        <v>900</v>
      </c>
      <c r="D20694" s="7">
        <v>4.33</v>
      </c>
    </row>
    <row r="20695" spans="1:4" x14ac:dyDescent="0.25">
      <c r="A20695" t="str">
        <f>HYPERLINK("https://www.773grp.com/globalSearch/74HC594DB112/page-1", "74HC594DB112")</f>
        <v>74HC594DB112</v>
      </c>
      <c r="B20695" s="3" t="s">
        <v>93</v>
      </c>
      <c r="C20695" s="6">
        <v>3283</v>
      </c>
      <c r="D20695" s="7">
        <v>4.33</v>
      </c>
    </row>
    <row r="20696" spans="1:4" x14ac:dyDescent="0.25">
      <c r="A20696" t="str">
        <f>HYPERLINK("https://www.773grp.com/globalSearch/BGA7024115/page-1", "BGA7024115")</f>
        <v>BGA7024115</v>
      </c>
      <c r="B20696" s="3" t="s">
        <v>93</v>
      </c>
      <c r="C20696" s="6">
        <v>31000</v>
      </c>
      <c r="D20696" s="7">
        <v>4.33</v>
      </c>
    </row>
    <row r="20697" spans="1:4" x14ac:dyDescent="0.25">
      <c r="A20697" t="str">
        <f>HYPERLINK("https://www.773grp.com/globalSearch/BGA7024135/page-1", "BGA7024135")</f>
        <v>BGA7024135</v>
      </c>
      <c r="B20697" s="3" t="s">
        <v>93</v>
      </c>
      <c r="C20697" s="6">
        <v>3566</v>
      </c>
      <c r="D20697" s="7">
        <v>4.33</v>
      </c>
    </row>
    <row r="20698" spans="1:4" x14ac:dyDescent="0.25">
      <c r="A20698" t="str">
        <f>HYPERLINK("https://www.773grp.com/globalSearch/BUK6E3R4-40C127/page-1", "BUK6E3R4-40C127")</f>
        <v>BUK6E3R4-40C127</v>
      </c>
      <c r="B20698" s="3" t="s">
        <v>93</v>
      </c>
      <c r="C20698" s="6">
        <v>3248</v>
      </c>
      <c r="D20698" s="7">
        <v>4.33</v>
      </c>
    </row>
    <row r="20699" spans="1:4" x14ac:dyDescent="0.25">
      <c r="A20699" t="str">
        <f>HYPERLINK("https://www.773grp.com/globalSearch/BUK7606-55B118/page-1", "BUK7606-55B118")</f>
        <v>BUK7606-55B118</v>
      </c>
      <c r="B20699" s="3" t="s">
        <v>93</v>
      </c>
      <c r="C20699" s="6">
        <v>50</v>
      </c>
      <c r="D20699" s="7">
        <v>4.33</v>
      </c>
    </row>
    <row r="20700" spans="1:4" x14ac:dyDescent="0.25">
      <c r="A20700" t="str">
        <f>HYPERLINK("https://www.773grp.com/globalSearch/PCF7991AT-1081-M1/page-1", "PCF7991AT-1081-M1")</f>
        <v>PCF7991AT-1081-M1</v>
      </c>
      <c r="B20700" s="3" t="s">
        <v>93</v>
      </c>
      <c r="C20700" s="6">
        <v>313</v>
      </c>
      <c r="D20700" s="7">
        <v>4.33</v>
      </c>
    </row>
    <row r="20701" spans="1:4" x14ac:dyDescent="0.25">
      <c r="A20701" t="str">
        <f>HYPERLINK("https://www.773grp.com/globalSearch/GTL1655DGG512/page-1", "GTL1655DGG512")</f>
        <v>GTL1655DGG512</v>
      </c>
      <c r="B20701" s="3" t="s">
        <v>93</v>
      </c>
      <c r="C20701" s="6">
        <v>92</v>
      </c>
      <c r="D20701" s="7">
        <v>3.94</v>
      </c>
    </row>
    <row r="20702" spans="1:4" x14ac:dyDescent="0.25">
      <c r="A20702" t="str">
        <f>HYPERLINK("https://www.773grp.com/globalSearch/HEF4894BP112/page-1", "HEF4894BP112")</f>
        <v>HEF4894BP112</v>
      </c>
      <c r="B20702" s="3" t="s">
        <v>93</v>
      </c>
      <c r="C20702" s="6">
        <v>1242</v>
      </c>
      <c r="D20702" s="7">
        <v>3.94</v>
      </c>
    </row>
    <row r="20703" spans="1:4" x14ac:dyDescent="0.25">
      <c r="A20703" t="str">
        <f>HYPERLINK("https://www.773grp.com/globalSearch/LPC11U34FBD48-311151/page-1", "LPC11U34FBD48-311151")</f>
        <v>LPC11U34FBD48-311151</v>
      </c>
      <c r="B20703" s="3" t="s">
        <v>93</v>
      </c>
      <c r="C20703" s="6">
        <v>250</v>
      </c>
      <c r="D20703" s="7">
        <v>3.94</v>
      </c>
    </row>
    <row r="20704" spans="1:4" x14ac:dyDescent="0.25">
      <c r="A20704" t="str">
        <f>HYPERLINK("https://www.773grp.com/globalSearch/OL2381AHN-C0B515/page-1", "OL2381AHN-C0B515")</f>
        <v>OL2381AHN-C0B515</v>
      </c>
      <c r="B20704" s="3" t="s">
        <v>93</v>
      </c>
      <c r="C20704" s="6">
        <v>350</v>
      </c>
      <c r="D20704" s="7">
        <v>3.94</v>
      </c>
    </row>
    <row r="20705" spans="1:4" x14ac:dyDescent="0.25">
      <c r="A20705" t="str">
        <f>HYPERLINK("https://www.773grp.com/globalSearch/P87C51SBPN112/page-1", "P87C51SBPN112")</f>
        <v>P87C51SBPN112</v>
      </c>
      <c r="B20705" s="3" t="s">
        <v>93</v>
      </c>
      <c r="C20705" s="6">
        <v>864</v>
      </c>
      <c r="D20705" s="7">
        <v>3.94</v>
      </c>
    </row>
    <row r="20706" spans="1:4" x14ac:dyDescent="0.25">
      <c r="A20706" t="str">
        <f>HYPERLINK("https://www.773grp.com/globalSearch/BUK6E4R0-75C127/page-1", "BUK6E4R0-75C127")</f>
        <v>BUK6E4R0-75C127</v>
      </c>
      <c r="B20706" s="3" t="s">
        <v>93</v>
      </c>
      <c r="C20706" s="6">
        <v>4000</v>
      </c>
      <c r="D20706" s="7">
        <v>3.96</v>
      </c>
    </row>
    <row r="20707" spans="1:4" x14ac:dyDescent="0.25">
      <c r="A20707" t="str">
        <f>HYPERLINK("https://www.773grp.com/globalSearch/BUK714R1-40BT118/page-1", "BUK714R1-40BT118")</f>
        <v>BUK714R1-40BT118</v>
      </c>
      <c r="B20707" s="3" t="s">
        <v>93</v>
      </c>
      <c r="C20707" s="6">
        <v>3200</v>
      </c>
      <c r="D20707" s="7">
        <v>3.96</v>
      </c>
    </row>
    <row r="20708" spans="1:4" x14ac:dyDescent="0.25">
      <c r="A20708" t="str">
        <f>HYPERLINK("https://www.773grp.com/globalSearch/SSL2102T-N1518/page-1", "SSL2102T-N1518")</f>
        <v>SSL2102T-N1518</v>
      </c>
      <c r="B20708" s="3" t="s">
        <v>93</v>
      </c>
      <c r="C20708" s="6">
        <v>8000</v>
      </c>
      <c r="D20708" s="7">
        <v>3.96</v>
      </c>
    </row>
    <row r="20709" spans="1:4" x14ac:dyDescent="0.25">
      <c r="A20709" t="str">
        <f>HYPERLINK("https://www.773grp.com/globalSearch/HEF4067BT652/page-1", "HEF4067BT652")</f>
        <v>HEF4067BT652</v>
      </c>
      <c r="B20709" s="3" t="s">
        <v>93</v>
      </c>
      <c r="C20709" s="6">
        <v>667</v>
      </c>
      <c r="D20709" s="7">
        <v>4.38</v>
      </c>
    </row>
    <row r="20710" spans="1:4" x14ac:dyDescent="0.25">
      <c r="A20710" t="str">
        <f>HYPERLINK("https://www.773grp.com/globalSearch/HEF4067BT653/page-1", "HEF4067BT653")</f>
        <v>HEF4067BT653</v>
      </c>
      <c r="B20710" s="3" t="s">
        <v>93</v>
      </c>
      <c r="C20710" s="6">
        <v>1052</v>
      </c>
      <c r="D20710" s="7">
        <v>4.38</v>
      </c>
    </row>
    <row r="20711" spans="1:4" x14ac:dyDescent="0.25">
      <c r="A20711" t="str">
        <f>HYPERLINK("https://www.773grp.com/globalSearch/N74F367N602/page-1", "N74F367N602")</f>
        <v>N74F367N602</v>
      </c>
      <c r="B20711" s="3" t="s">
        <v>93</v>
      </c>
      <c r="C20711" s="6">
        <v>400</v>
      </c>
      <c r="D20711" s="7">
        <v>4.38</v>
      </c>
    </row>
    <row r="20712" spans="1:4" x14ac:dyDescent="0.25">
      <c r="A20712" t="str">
        <f>HYPERLINK("https://www.773grp.com/globalSearch/OM4068H-2518/page-1", "OM4068H-2518")</f>
        <v>OM4068H-2518</v>
      </c>
      <c r="B20712" s="3" t="s">
        <v>93</v>
      </c>
      <c r="C20712" s="6">
        <v>1500</v>
      </c>
      <c r="D20712" s="7">
        <v>4.38</v>
      </c>
    </row>
    <row r="20713" spans="1:4" x14ac:dyDescent="0.25">
      <c r="A20713" t="str">
        <f>HYPERLINK("https://www.773grp.com/globalSearch/PCF8577CT-3112/page-1", "PCF8577CT-3112")</f>
        <v>PCF8577CT-3112</v>
      </c>
      <c r="B20713" s="3" t="s">
        <v>93</v>
      </c>
      <c r="C20713" s="6">
        <v>1244</v>
      </c>
      <c r="D20713" s="7">
        <v>4.38</v>
      </c>
    </row>
    <row r="20714" spans="1:4" x14ac:dyDescent="0.25">
      <c r="A20714" t="str">
        <f>HYPERLINK("https://www.773grp.com/globalSearch/PCF8577CT-3118/page-1", "PCF8577CT-3118")</f>
        <v>PCF8577CT-3118</v>
      </c>
      <c r="B20714" s="3" t="s">
        <v>93</v>
      </c>
      <c r="C20714" s="6">
        <v>500</v>
      </c>
      <c r="D20714" s="7">
        <v>4.38</v>
      </c>
    </row>
    <row r="20715" spans="1:4" x14ac:dyDescent="0.25">
      <c r="A20715" t="str">
        <f>HYPERLINK("https://www.773grp.com/globalSearch/74ALVT16245DGG112/page-1", "74ALVT16245DGG112")</f>
        <v>74ALVT16245DGG112</v>
      </c>
      <c r="B20715" s="3" t="s">
        <v>93</v>
      </c>
      <c r="C20715" s="6">
        <v>975</v>
      </c>
      <c r="D20715" s="7">
        <v>4</v>
      </c>
    </row>
    <row r="20716" spans="1:4" x14ac:dyDescent="0.25">
      <c r="A20716" t="str">
        <f>HYPERLINK("https://www.773grp.com/globalSearch/74ALVT16245DL112/page-1", "74ALVT16245DL112")</f>
        <v>74ALVT16245DL112</v>
      </c>
      <c r="B20716" s="3" t="s">
        <v>93</v>
      </c>
      <c r="C20716" s="6">
        <v>1581</v>
      </c>
      <c r="D20716" s="7">
        <v>4</v>
      </c>
    </row>
    <row r="20717" spans="1:4" x14ac:dyDescent="0.25">
      <c r="A20717" t="str">
        <f>HYPERLINK("https://www.773grp.com/globalSearch/74ALVT16245DL118/page-1", "74ALVT16245DL118")</f>
        <v>74ALVT16245DL118</v>
      </c>
      <c r="B20717" s="3" t="s">
        <v>93</v>
      </c>
      <c r="C20717" s="6">
        <v>9000</v>
      </c>
      <c r="D20717" s="7">
        <v>4</v>
      </c>
    </row>
    <row r="20718" spans="1:4" x14ac:dyDescent="0.25">
      <c r="A20718" t="str">
        <f>HYPERLINK("https://www.773grp.com/globalSearch/BUK794R1-40BT127/page-1", "BUK794R1-40BT127")</f>
        <v>BUK794R1-40BT127</v>
      </c>
      <c r="B20718" s="3" t="s">
        <v>93</v>
      </c>
      <c r="C20718" s="6">
        <v>2000</v>
      </c>
      <c r="D20718" s="7">
        <v>4</v>
      </c>
    </row>
    <row r="20719" spans="1:4" x14ac:dyDescent="0.25">
      <c r="A20719" t="str">
        <f>HYPERLINK("https://www.773grp.com/globalSearch/PCA9505DGG112/page-1", "PCA9505DGG112")</f>
        <v>PCA9505DGG112</v>
      </c>
      <c r="B20719" s="3" t="s">
        <v>93</v>
      </c>
      <c r="C20719" s="6">
        <v>2625</v>
      </c>
      <c r="D20719" s="7">
        <v>4</v>
      </c>
    </row>
    <row r="20720" spans="1:4" x14ac:dyDescent="0.25">
      <c r="A20720" t="str">
        <f>HYPERLINK("https://www.773grp.com/globalSearch/PCA9506DGG512/page-1", "PCA9506DGG512")</f>
        <v>PCA9506DGG512</v>
      </c>
      <c r="B20720" s="3" t="s">
        <v>93</v>
      </c>
      <c r="C20720" s="6">
        <v>515</v>
      </c>
      <c r="D20720" s="7">
        <v>4</v>
      </c>
    </row>
    <row r="20721" spans="1:4" x14ac:dyDescent="0.25">
      <c r="A20721" t="str">
        <f>HYPERLINK("https://www.773grp.com/globalSearch/PCA9506DGG518/page-1", "PCA9506DGG518")</f>
        <v>PCA9506DGG518</v>
      </c>
      <c r="B20721" s="3" t="s">
        <v>93</v>
      </c>
      <c r="C20721" s="6">
        <v>4035</v>
      </c>
      <c r="D20721" s="7">
        <v>4</v>
      </c>
    </row>
    <row r="20722" spans="1:4" x14ac:dyDescent="0.25">
      <c r="A20722" t="str">
        <f>HYPERLINK("https://www.773grp.com/globalSearch/TDA9981BHL-15-C1518/page-1", "TDA9981BHL-15-C1518")</f>
        <v>TDA9981BHL-15-C1518</v>
      </c>
      <c r="B20722" s="3" t="s">
        <v>93</v>
      </c>
      <c r="C20722" s="6">
        <v>16160</v>
      </c>
      <c r="D20722" s="7">
        <v>4</v>
      </c>
    </row>
    <row r="20723" spans="1:4" x14ac:dyDescent="0.25">
      <c r="A20723" t="str">
        <f>HYPERLINK("https://www.773grp.com/globalSearch/74ABT646ADB118/page-1", "74ABT646ADB118")</f>
        <v>74ABT646ADB118</v>
      </c>
      <c r="B20723" s="3" t="s">
        <v>93</v>
      </c>
      <c r="C20723" s="6">
        <v>6000</v>
      </c>
      <c r="D20723" s="7">
        <v>4.4400000000000004</v>
      </c>
    </row>
    <row r="20724" spans="1:4" x14ac:dyDescent="0.25">
      <c r="A20724" t="str">
        <f>HYPERLINK("https://www.773grp.com/globalSearch/74ABT823D602/page-1", "74ABT823D602")</f>
        <v>74ABT823D602</v>
      </c>
      <c r="B20724" s="3" t="s">
        <v>93</v>
      </c>
      <c r="C20724" s="6">
        <v>300</v>
      </c>
      <c r="D20724" s="7">
        <v>4.4400000000000004</v>
      </c>
    </row>
    <row r="20725" spans="1:4" x14ac:dyDescent="0.25">
      <c r="A20725" t="str">
        <f>HYPERLINK("https://www.773grp.com/globalSearch/BUK652R1-30C127/page-1", "BUK652R1-30C127")</f>
        <v>BUK652R1-30C127</v>
      </c>
      <c r="B20725" s="3" t="s">
        <v>93</v>
      </c>
      <c r="C20725" s="6">
        <v>3006</v>
      </c>
      <c r="D20725" s="7">
        <v>4.4400000000000004</v>
      </c>
    </row>
    <row r="20726" spans="1:4" x14ac:dyDescent="0.25">
      <c r="A20726" t="str">
        <f>HYPERLINK("https://www.773grp.com/globalSearch/BUK652R6-40C127/page-1", "BUK652R6-40C127")</f>
        <v>BUK652R6-40C127</v>
      </c>
      <c r="B20726" s="3" t="s">
        <v>93</v>
      </c>
      <c r="C20726" s="6">
        <v>3041</v>
      </c>
      <c r="D20726" s="7">
        <v>4.4400000000000004</v>
      </c>
    </row>
    <row r="20727" spans="1:4" x14ac:dyDescent="0.25">
      <c r="A20727" t="str">
        <f>HYPERLINK("https://www.773grp.com/globalSearch/BUK761R4-30E118/page-1", "BUK761R4-30E118")</f>
        <v>BUK761R4-30E118</v>
      </c>
      <c r="B20727" s="3" t="s">
        <v>93</v>
      </c>
      <c r="C20727" s="6">
        <v>5055</v>
      </c>
      <c r="D20727" s="7">
        <v>4.4400000000000004</v>
      </c>
    </row>
    <row r="20728" spans="1:4" x14ac:dyDescent="0.25">
      <c r="A20728" t="str">
        <f>HYPERLINK("https://www.773grp.com/globalSearch/BUK961R5-30E118/page-1", "BUK961R5-30E118")</f>
        <v>BUK961R5-30E118</v>
      </c>
      <c r="B20728" s="3" t="s">
        <v>93</v>
      </c>
      <c r="C20728" s="6">
        <v>4717</v>
      </c>
      <c r="D20728" s="7">
        <v>4.4400000000000004</v>
      </c>
    </row>
    <row r="20729" spans="1:4" x14ac:dyDescent="0.25">
      <c r="A20729" t="str">
        <f>HYPERLINK("https://www.773grp.com/globalSearch/BUK962R8-60E118/page-1", "BUK962R8-60E118")</f>
        <v>BUK962R8-60E118</v>
      </c>
      <c r="B20729" s="3" t="s">
        <v>93</v>
      </c>
      <c r="C20729" s="6">
        <v>5035</v>
      </c>
      <c r="D20729" s="7">
        <v>4.4400000000000004</v>
      </c>
    </row>
    <row r="20730" spans="1:4" x14ac:dyDescent="0.25">
      <c r="A20730" t="str">
        <f>HYPERLINK("https://www.773grp.com/globalSearch/BUK964R7-80E118/page-1", "BUK964R7-80E118")</f>
        <v>BUK964R7-80E118</v>
      </c>
      <c r="B20730" s="3" t="s">
        <v>93</v>
      </c>
      <c r="C20730" s="6">
        <v>5082</v>
      </c>
      <c r="D20730" s="7">
        <v>4.4400000000000004</v>
      </c>
    </row>
    <row r="20731" spans="1:4" x14ac:dyDescent="0.25">
      <c r="A20731" t="str">
        <f>HYPERLINK("https://www.773grp.com/globalSearch/HEF4894BT112/page-1", "HEF4894BT112")</f>
        <v>HEF4894BT112</v>
      </c>
      <c r="B20731" s="3" t="s">
        <v>93</v>
      </c>
      <c r="C20731" s="6">
        <v>3600</v>
      </c>
      <c r="D20731" s="7">
        <v>4.4400000000000004</v>
      </c>
    </row>
    <row r="20732" spans="1:4" x14ac:dyDescent="0.25">
      <c r="A20732" t="str">
        <f>HYPERLINK("https://www.773grp.com/globalSearch/HEF4894BT118/page-1", "HEF4894BT118")</f>
        <v>HEF4894BT118</v>
      </c>
      <c r="B20732" s="3" t="s">
        <v>93</v>
      </c>
      <c r="C20732" s="6">
        <v>450</v>
      </c>
      <c r="D20732" s="7">
        <v>4.4400000000000004</v>
      </c>
    </row>
    <row r="20733" spans="1:4" x14ac:dyDescent="0.25">
      <c r="A20733" t="str">
        <f>HYPERLINK("https://www.773grp.com/globalSearch/PCA9671DB112/page-1", "PCA9671DB112")</f>
        <v>PCA9671DB112</v>
      </c>
      <c r="B20733" s="3" t="s">
        <v>93</v>
      </c>
      <c r="C20733" s="6">
        <v>14</v>
      </c>
      <c r="D20733" s="7">
        <v>4.4400000000000004</v>
      </c>
    </row>
    <row r="20734" spans="1:4" x14ac:dyDescent="0.25">
      <c r="A20734" t="str">
        <f>HYPERLINK("https://www.773grp.com/globalSearch/PCF8566T-1112/page-1", "PCF8566T-1112")</f>
        <v>PCF8566T-1112</v>
      </c>
      <c r="B20734" s="3" t="s">
        <v>93</v>
      </c>
      <c r="C20734" s="6">
        <v>747</v>
      </c>
      <c r="D20734" s="7">
        <v>4.4400000000000004</v>
      </c>
    </row>
    <row r="20735" spans="1:4" x14ac:dyDescent="0.25">
      <c r="A20735" t="str">
        <f>HYPERLINK("https://www.773grp.com/globalSearch/PCF8566T-1118/page-1", "PCF8566T-1118")</f>
        <v>PCF8566T-1118</v>
      </c>
      <c r="B20735" s="3" t="s">
        <v>93</v>
      </c>
      <c r="C20735" s="6">
        <v>47</v>
      </c>
      <c r="D20735" s="7">
        <v>4.4400000000000004</v>
      </c>
    </row>
    <row r="20736" spans="1:4" x14ac:dyDescent="0.25">
      <c r="A20736" t="str">
        <f>HYPERLINK("https://www.773grp.com/globalSearch/LPC11U34FHN33-421551/page-1", "LPC11U34FHN33-421551")</f>
        <v>LPC11U34FHN33-421551</v>
      </c>
      <c r="B20736" s="3" t="s">
        <v>93</v>
      </c>
      <c r="C20736" s="6">
        <v>260</v>
      </c>
      <c r="D20736" s="7">
        <v>4.01</v>
      </c>
    </row>
    <row r="20737" spans="1:4" x14ac:dyDescent="0.25">
      <c r="A20737" t="str">
        <f>HYPERLINK("https://www.773grp.com/globalSearch/P87LPC767BN112/page-1", "P87LPC767BN112")</f>
        <v>P87LPC767BN112</v>
      </c>
      <c r="B20737" s="3" t="s">
        <v>93</v>
      </c>
      <c r="C20737" s="6">
        <v>30</v>
      </c>
      <c r="D20737" s="7">
        <v>4.01</v>
      </c>
    </row>
    <row r="20738" spans="1:4" x14ac:dyDescent="0.25">
      <c r="A20738" t="str">
        <f>HYPERLINK("https://www.773grp.com/globalSearch/P87LPC767FD512/page-1", "P87LPC767FD512")</f>
        <v>P87LPC767FD512</v>
      </c>
      <c r="B20738" s="3" t="s">
        <v>93</v>
      </c>
      <c r="C20738" s="6">
        <v>1000</v>
      </c>
      <c r="D20738" s="7">
        <v>4.01</v>
      </c>
    </row>
    <row r="20739" spans="1:4" x14ac:dyDescent="0.25">
      <c r="A20739" t="str">
        <f>HYPERLINK("https://www.773grp.com/globalSearch/BLT80115/page-1", "BLT80115")</f>
        <v>BLT80115</v>
      </c>
      <c r="B20739" s="3" t="s">
        <v>93</v>
      </c>
      <c r="C20739" s="6">
        <v>1000</v>
      </c>
      <c r="D20739" s="7">
        <v>4.49</v>
      </c>
    </row>
    <row r="20740" spans="1:4" x14ac:dyDescent="0.25">
      <c r="A20740" t="str">
        <f>HYPERLINK("https://www.773grp.com/globalSearch/LPC1113FHN33-2025/page-1", "LPC1113FHN33-2025")</f>
        <v>LPC1113FHN33-2025</v>
      </c>
      <c r="B20740" s="3" t="s">
        <v>93</v>
      </c>
      <c r="C20740" s="6">
        <v>160</v>
      </c>
      <c r="D20740" s="7">
        <v>4.49</v>
      </c>
    </row>
    <row r="20741" spans="1:4" x14ac:dyDescent="0.25">
      <c r="A20741" t="str">
        <f>HYPERLINK("https://www.773grp.com/globalSearch/LPC1113FHN33-2035/page-1", "LPC1113FHN33-2035")</f>
        <v>LPC1113FHN33-2035</v>
      </c>
      <c r="B20741" s="3" t="s">
        <v>93</v>
      </c>
      <c r="C20741" s="6">
        <v>1040</v>
      </c>
      <c r="D20741" s="7">
        <v>4.49</v>
      </c>
    </row>
    <row r="20742" spans="1:4" x14ac:dyDescent="0.25">
      <c r="A20742" t="str">
        <f>HYPERLINK("https://www.773grp.com/globalSearch/P87LPC760BDH112/page-1", "P87LPC760BDH112")</f>
        <v>P87LPC760BDH112</v>
      </c>
      <c r="B20742" s="3" t="s">
        <v>93</v>
      </c>
      <c r="C20742" s="6">
        <v>2025</v>
      </c>
      <c r="D20742" s="7">
        <v>4.49</v>
      </c>
    </row>
    <row r="20743" spans="1:4" x14ac:dyDescent="0.25">
      <c r="A20743" t="str">
        <f>HYPERLINK("https://www.773grp.com/globalSearch/P89LPC916FDH118/page-1", "P89LPC916FDH118")</f>
        <v>P89LPC916FDH118</v>
      </c>
      <c r="B20743" s="3" t="s">
        <v>93</v>
      </c>
      <c r="C20743" s="6">
        <v>2500</v>
      </c>
      <c r="D20743" s="7">
        <v>4.49</v>
      </c>
    </row>
    <row r="20744" spans="1:4" x14ac:dyDescent="0.25">
      <c r="A20744" t="str">
        <f>HYPERLINK("https://www.773grp.com/globalSearch/P89LPC917FDH129/page-1", "P89LPC917FDH129")</f>
        <v>P89LPC917FDH129</v>
      </c>
      <c r="B20744" s="3" t="s">
        <v>93</v>
      </c>
      <c r="C20744" s="6">
        <v>5844</v>
      </c>
      <c r="D20744" s="7">
        <v>4.49</v>
      </c>
    </row>
    <row r="20745" spans="1:4" x14ac:dyDescent="0.25">
      <c r="A20745" t="str">
        <f>HYPERLINK("https://www.773grp.com/globalSearch/P89LPC9301FDH512/page-1", "P89LPC9301FDH512")</f>
        <v>P89LPC9301FDH512</v>
      </c>
      <c r="B20745" s="3" t="s">
        <v>93</v>
      </c>
      <c r="C20745" s="6">
        <v>925</v>
      </c>
      <c r="D20745" s="7">
        <v>4.49</v>
      </c>
    </row>
    <row r="20746" spans="1:4" x14ac:dyDescent="0.25">
      <c r="A20746" t="str">
        <f>HYPERLINK("https://www.773grp.com/globalSearch/PSMN035-150P127/page-1", "PSMN035-150P127")</f>
        <v>PSMN035-150P127</v>
      </c>
      <c r="B20746" s="3" t="s">
        <v>93</v>
      </c>
      <c r="C20746" s="6">
        <v>11418</v>
      </c>
      <c r="D20746" s="7">
        <v>4.49</v>
      </c>
    </row>
    <row r="20747" spans="1:4" x14ac:dyDescent="0.25">
      <c r="A20747" t="str">
        <f>HYPERLINK("https://www.773grp.com/globalSearch/TDA8023TT-C1118/page-1", "TDA8023TT-C1118")</f>
        <v>TDA8023TT-C1118</v>
      </c>
      <c r="B20747" s="3" t="s">
        <v>93</v>
      </c>
      <c r="C20747" s="6">
        <v>7500</v>
      </c>
      <c r="D20747" s="7">
        <v>4.49</v>
      </c>
    </row>
    <row r="20748" spans="1:4" x14ac:dyDescent="0.25">
      <c r="A20748" t="str">
        <f>HYPERLINK("https://www.773grp.com/globalSearch/LMR12015XSD-NOPB/page-1", "LMR12015XSD-NOPB")</f>
        <v>LMR12015XSD-NOPB</v>
      </c>
      <c r="B20748" s="3" t="s">
        <v>93</v>
      </c>
      <c r="C20748" s="6">
        <v>1000</v>
      </c>
      <c r="D20748" s="7">
        <v>4.49</v>
      </c>
    </row>
    <row r="20749" spans="1:4" x14ac:dyDescent="0.25">
      <c r="A20749" t="str">
        <f>HYPERLINK("https://www.773grp.com/globalSearch/P80C31SFAA512/page-1", "P80C31SFAA512")</f>
        <v>P80C31SFAA512</v>
      </c>
      <c r="B20749" s="3" t="s">
        <v>93</v>
      </c>
      <c r="C20749" s="6">
        <v>1690</v>
      </c>
      <c r="D20749" s="7">
        <v>4.09</v>
      </c>
    </row>
    <row r="20750" spans="1:4" x14ac:dyDescent="0.25">
      <c r="A20750" t="str">
        <f>HYPERLINK("https://www.773grp.com/globalSearch/P89LPC9351FDH518/page-1", "P89LPC9351FDH518")</f>
        <v>P89LPC9351FDH518</v>
      </c>
      <c r="B20750" s="3" t="s">
        <v>93</v>
      </c>
      <c r="C20750" s="6">
        <v>5000</v>
      </c>
      <c r="D20750" s="7">
        <v>4.09</v>
      </c>
    </row>
    <row r="20751" spans="1:4" x14ac:dyDescent="0.25">
      <c r="A20751" t="str">
        <f>HYPERLINK("https://www.773grp.com/globalSearch/P89LPC935FDH529/page-1", "P89LPC935FDH529")</f>
        <v>P89LPC935FDH529</v>
      </c>
      <c r="B20751" s="3" t="s">
        <v>93</v>
      </c>
      <c r="C20751" s="6">
        <v>7650</v>
      </c>
      <c r="D20751" s="7">
        <v>4.09</v>
      </c>
    </row>
    <row r="20752" spans="1:4" x14ac:dyDescent="0.25">
      <c r="A20752" t="str">
        <f>HYPERLINK("https://www.773grp.com/globalSearch/74HC4059D112/page-1", "74HC4059D112")</f>
        <v>74HC4059D112</v>
      </c>
      <c r="B20752" s="3" t="s">
        <v>93</v>
      </c>
      <c r="C20752" s="6">
        <v>2815</v>
      </c>
      <c r="D20752" s="7">
        <v>4.54</v>
      </c>
    </row>
    <row r="20753" spans="1:4" x14ac:dyDescent="0.25">
      <c r="A20753" t="str">
        <f>HYPERLINK("https://www.773grp.com/globalSearch/74HC4059D118/page-1", "74HC4059D118")</f>
        <v>74HC4059D118</v>
      </c>
      <c r="B20753" s="3" t="s">
        <v>93</v>
      </c>
      <c r="C20753" s="6">
        <v>918</v>
      </c>
      <c r="D20753" s="7">
        <v>4.54</v>
      </c>
    </row>
    <row r="20754" spans="1:4" x14ac:dyDescent="0.25">
      <c r="A20754" t="str">
        <f>HYPERLINK("https://www.773grp.com/globalSearch/74LV4020N112/page-1", "74LV4020N112")</f>
        <v>74LV4020N112</v>
      </c>
      <c r="B20754" s="3" t="s">
        <v>93</v>
      </c>
      <c r="C20754" s="6">
        <v>822</v>
      </c>
      <c r="D20754" s="7">
        <v>4.54</v>
      </c>
    </row>
    <row r="20755" spans="1:4" x14ac:dyDescent="0.25">
      <c r="A20755" t="str">
        <f>HYPERLINK("https://www.773grp.com/globalSearch/PCA9532D118/page-1", "PCA9532D118")</f>
        <v>PCA9532D118</v>
      </c>
      <c r="B20755" s="3" t="s">
        <v>93</v>
      </c>
      <c r="C20755" s="6">
        <v>1900</v>
      </c>
      <c r="D20755" s="7">
        <v>4.54</v>
      </c>
    </row>
    <row r="20756" spans="1:4" x14ac:dyDescent="0.25">
      <c r="A20756" t="str">
        <f>HYPERLINK("https://www.773grp.com/globalSearch/PCA9552D112/page-1", "PCA9552D112")</f>
        <v>PCA9552D112</v>
      </c>
      <c r="B20756" s="3" t="s">
        <v>93</v>
      </c>
      <c r="C20756" s="6">
        <v>2000</v>
      </c>
      <c r="D20756" s="7">
        <v>4.54</v>
      </c>
    </row>
    <row r="20757" spans="1:4" x14ac:dyDescent="0.25">
      <c r="A20757" t="str">
        <f>HYPERLINK("https://www.773grp.com/globalSearch/PCA9552PW118/page-1", "PCA9552PW118")</f>
        <v>PCA9552PW118</v>
      </c>
      <c r="B20757" s="3" t="s">
        <v>93</v>
      </c>
      <c r="C20757" s="6">
        <v>12420</v>
      </c>
      <c r="D20757" s="7">
        <v>4.54</v>
      </c>
    </row>
    <row r="20758" spans="1:4" x14ac:dyDescent="0.25">
      <c r="A20758" t="str">
        <f>HYPERLINK("https://www.773grp.com/globalSearch/PSMN3R5-80PS127/page-1", "PSMN3R5-80PS127")</f>
        <v>PSMN3R5-80PS127</v>
      </c>
      <c r="B20758" s="3" t="s">
        <v>93</v>
      </c>
      <c r="C20758" s="6">
        <v>4000</v>
      </c>
      <c r="D20758" s="7">
        <v>4.54</v>
      </c>
    </row>
    <row r="20759" spans="1:4" x14ac:dyDescent="0.25">
      <c r="A20759" t="str">
        <f>HYPERLINK("https://www.773grp.com/globalSearch/LPC1342FBD48118/page-1", "LPC1342FBD48118")</f>
        <v>LPC1342FBD48118</v>
      </c>
      <c r="B20759" s="3" t="s">
        <v>93</v>
      </c>
      <c r="C20759" s="6">
        <v>2000</v>
      </c>
      <c r="D20759" s="7">
        <v>4.0999999999999996</v>
      </c>
    </row>
    <row r="20760" spans="1:4" x14ac:dyDescent="0.25">
      <c r="A20760" t="str">
        <f>HYPERLINK("https://www.773grp.com/globalSearch/P87C52SBAA512/page-1", "P87C52SBAA512")</f>
        <v>P87C52SBAA512</v>
      </c>
      <c r="B20760" s="3" t="s">
        <v>93</v>
      </c>
      <c r="C20760" s="6">
        <v>1820</v>
      </c>
      <c r="D20760" s="7">
        <v>4.0999999999999996</v>
      </c>
    </row>
    <row r="20761" spans="1:4" x14ac:dyDescent="0.25">
      <c r="A20761" t="str">
        <f>HYPERLINK("https://www.773grp.com/globalSearch/P87C52SBBB557/page-1", "P87C52SBBB557")</f>
        <v>P87C52SBBB557</v>
      </c>
      <c r="B20761" s="3" t="s">
        <v>93</v>
      </c>
      <c r="C20761" s="6">
        <v>734</v>
      </c>
      <c r="D20761" s="7">
        <v>4.0999999999999996</v>
      </c>
    </row>
    <row r="20762" spans="1:4" x14ac:dyDescent="0.25">
      <c r="A20762" t="str">
        <f>HYPERLINK("https://www.773grp.com/globalSearch/PQJ7911AHN-C0C515/page-1", "PQJ7911AHN-C0C515")</f>
        <v>PQJ7911AHN-C0C515</v>
      </c>
      <c r="B20762" s="3" t="s">
        <v>93</v>
      </c>
      <c r="C20762" s="6">
        <v>3000</v>
      </c>
      <c r="D20762" s="7">
        <v>4.0999999999999996</v>
      </c>
    </row>
    <row r="20763" spans="1:4" x14ac:dyDescent="0.25">
      <c r="A20763" t="str">
        <f>HYPERLINK("https://www.773grp.com/globalSearch/LPC2101FBD48151/page-1", "LPC2101FBD48151")</f>
        <v>LPC2101FBD48151</v>
      </c>
      <c r="B20763" s="3" t="s">
        <v>93</v>
      </c>
      <c r="C20763" s="6">
        <v>1000</v>
      </c>
      <c r="D20763" s="7">
        <v>4.1399999999999997</v>
      </c>
    </row>
    <row r="20764" spans="1:4" x14ac:dyDescent="0.25">
      <c r="A20764" t="str">
        <f>HYPERLINK("https://www.773grp.com/globalSearch/PCU9661B118/page-1", "PCU9661B118")</f>
        <v>PCU9661B118</v>
      </c>
      <c r="B20764" s="3" t="s">
        <v>93</v>
      </c>
      <c r="C20764" s="6">
        <v>2100</v>
      </c>
      <c r="D20764" s="7">
        <v>4.1399999999999997</v>
      </c>
    </row>
    <row r="20765" spans="1:4" x14ac:dyDescent="0.25">
      <c r="A20765" t="str">
        <f>HYPERLINK("https://www.773grp.com/globalSearch/BUK661R8-30C118/page-1", "BUK661R8-30C118")</f>
        <v>BUK661R8-30C118</v>
      </c>
      <c r="B20765" s="3" t="s">
        <v>93</v>
      </c>
      <c r="C20765" s="6">
        <v>1473</v>
      </c>
      <c r="D20765" s="7">
        <v>4.59</v>
      </c>
    </row>
    <row r="20766" spans="1:4" x14ac:dyDescent="0.25">
      <c r="A20766" t="str">
        <f>HYPERLINK("https://www.773grp.com/globalSearch/BUK663R5-55C118/page-1", "BUK663R5-55C118")</f>
        <v>BUK663R5-55C118</v>
      </c>
      <c r="B20766" s="3" t="s">
        <v>93</v>
      </c>
      <c r="C20766" s="6">
        <v>16</v>
      </c>
      <c r="D20766" s="7">
        <v>4.59</v>
      </c>
    </row>
    <row r="20767" spans="1:4" x14ac:dyDescent="0.25">
      <c r="A20767" t="str">
        <f>HYPERLINK("https://www.773grp.com/globalSearch/BUK9509-75A127/page-1", "BUK9509-75A127")</f>
        <v>BUK9509-75A127</v>
      </c>
      <c r="B20767" s="3" t="s">
        <v>93</v>
      </c>
      <c r="C20767" s="6">
        <v>4084</v>
      </c>
      <c r="D20767" s="7">
        <v>4.59</v>
      </c>
    </row>
    <row r="20768" spans="1:4" x14ac:dyDescent="0.25">
      <c r="A20768" t="str">
        <f>HYPERLINK("https://www.773grp.com/globalSearch/74ALVT16821DGG118/page-1", "74ALVT16821DGG118")</f>
        <v>74ALVT16821DGG118</v>
      </c>
      <c r="B20768" s="3" t="s">
        <v>93</v>
      </c>
      <c r="C20768" s="6">
        <v>100</v>
      </c>
      <c r="D20768" s="7">
        <v>4.16</v>
      </c>
    </row>
    <row r="20769" spans="1:4" x14ac:dyDescent="0.25">
      <c r="A20769" t="str">
        <f>HYPERLINK("https://www.773grp.com/globalSearch/LPC1225FBD48-3011/page-1", "LPC1225FBD48-3011")</f>
        <v>LPC1225FBD48-3011</v>
      </c>
      <c r="B20769" s="3" t="s">
        <v>93</v>
      </c>
      <c r="C20769" s="6">
        <v>176</v>
      </c>
      <c r="D20769" s="7">
        <v>4.1900000000000004</v>
      </c>
    </row>
    <row r="20770" spans="1:4" x14ac:dyDescent="0.25">
      <c r="A20770" t="str">
        <f>HYPERLINK("https://www.773grp.com/globalSearch/LPC1225FBD48-301151/page-1", "LPC1225FBD48-301151")</f>
        <v>LPC1225FBD48-301151</v>
      </c>
      <c r="B20770" s="3" t="s">
        <v>93</v>
      </c>
      <c r="C20770" s="6">
        <v>2500</v>
      </c>
      <c r="D20770" s="7">
        <v>4.1900000000000004</v>
      </c>
    </row>
    <row r="20771" spans="1:4" x14ac:dyDescent="0.25">
      <c r="A20771" t="str">
        <f>HYPERLINK("https://www.773grp.com/globalSearch/LPC1315FBD48551/page-1", "LPC1315FBD48551")</f>
        <v>LPC1315FBD48551</v>
      </c>
      <c r="B20771" s="3" t="s">
        <v>93</v>
      </c>
      <c r="C20771" s="6">
        <v>250</v>
      </c>
      <c r="D20771" s="7">
        <v>4.1900000000000004</v>
      </c>
    </row>
    <row r="20772" spans="1:4" x14ac:dyDescent="0.25">
      <c r="A20772" t="str">
        <f>HYPERLINK("https://www.773grp.com/globalSearch/P87LPC767FN112/page-1", "P87LPC767FN112")</f>
        <v>P87LPC767FN112</v>
      </c>
      <c r="B20772" s="3" t="s">
        <v>93</v>
      </c>
      <c r="C20772" s="6">
        <v>10</v>
      </c>
      <c r="D20772" s="7">
        <v>4.1900000000000004</v>
      </c>
    </row>
    <row r="20773" spans="1:4" x14ac:dyDescent="0.25">
      <c r="A20773" t="str">
        <f>HYPERLINK("https://www.773grp.com/globalSearch/74ABT16374BDL112/page-1", "74ABT16374BDL112")</f>
        <v>74ABT16374BDL112</v>
      </c>
      <c r="B20773" s="3" t="s">
        <v>93</v>
      </c>
      <c r="C20773" s="6">
        <v>581</v>
      </c>
      <c r="D20773" s="7">
        <v>4.6399999999999997</v>
      </c>
    </row>
    <row r="20774" spans="1:4" x14ac:dyDescent="0.25">
      <c r="A20774" t="str">
        <f>HYPERLINK("https://www.773grp.com/globalSearch/74ABT16374BDL118/page-1", "74ABT16374BDL118")</f>
        <v>74ABT16374BDL118</v>
      </c>
      <c r="B20774" s="3" t="s">
        <v>93</v>
      </c>
      <c r="C20774" s="6">
        <v>9000</v>
      </c>
      <c r="D20774" s="7">
        <v>4.6399999999999997</v>
      </c>
    </row>
    <row r="20775" spans="1:4" x14ac:dyDescent="0.25">
      <c r="A20775" t="str">
        <f>HYPERLINK("https://www.773grp.com/globalSearch/HEF4104BP652/page-1", "HEF4104BP652")</f>
        <v>HEF4104BP652</v>
      </c>
      <c r="B20775" s="3" t="s">
        <v>93</v>
      </c>
      <c r="C20775" s="6">
        <v>1800</v>
      </c>
      <c r="D20775" s="7">
        <v>4.6399999999999997</v>
      </c>
    </row>
    <row r="20776" spans="1:4" x14ac:dyDescent="0.25">
      <c r="A20776" t="str">
        <f>HYPERLINK("https://www.773grp.com/globalSearch/PCA9564D112/page-1", "PCA9564D112")</f>
        <v>PCA9564D112</v>
      </c>
      <c r="B20776" s="3" t="s">
        <v>93</v>
      </c>
      <c r="C20776" s="6">
        <v>187</v>
      </c>
      <c r="D20776" s="7">
        <v>4.6399999999999997</v>
      </c>
    </row>
    <row r="20777" spans="1:4" x14ac:dyDescent="0.25">
      <c r="A20777" t="str">
        <f>HYPERLINK("https://www.773grp.com/globalSearch/PCA9564PW118/page-1", "PCA9564PW118")</f>
        <v>PCA9564PW118</v>
      </c>
      <c r="B20777" s="3" t="s">
        <v>93</v>
      </c>
      <c r="C20777" s="6">
        <v>3023</v>
      </c>
      <c r="D20777" s="7">
        <v>4.6399999999999997</v>
      </c>
    </row>
    <row r="20778" spans="1:4" x14ac:dyDescent="0.25">
      <c r="A20778" t="str">
        <f>HYPERLINK("https://www.773grp.com/globalSearch/PCF85132U-2DA-1-102/page-1", "PCF85132U-2DA-1-102")</f>
        <v>PCF85132U-2DA-1-102</v>
      </c>
      <c r="B20778" s="3" t="s">
        <v>93</v>
      </c>
      <c r="C20778" s="6">
        <v>2400</v>
      </c>
      <c r="D20778" s="7">
        <v>4.6399999999999997</v>
      </c>
    </row>
    <row r="20779" spans="1:4" x14ac:dyDescent="0.25">
      <c r="A20779" t="str">
        <f>HYPERLINK("https://www.773grp.com/globalSearch/PCF85163T-1518/page-1", "PCF85163T-1518")</f>
        <v>PCF85163T-1518</v>
      </c>
      <c r="B20779" s="3" t="s">
        <v>93</v>
      </c>
      <c r="C20779" s="6">
        <v>2500</v>
      </c>
      <c r="D20779" s="7">
        <v>4.6399999999999997</v>
      </c>
    </row>
    <row r="20780" spans="1:4" x14ac:dyDescent="0.25">
      <c r="A20780" t="str">
        <f>HYPERLINK("https://www.773grp.com/globalSearch/PCF8533U-2-F2028/page-1", "PCF8533U-2-F2028")</f>
        <v>PCF8533U-2-F2028</v>
      </c>
      <c r="B20780" s="3" t="s">
        <v>93</v>
      </c>
      <c r="C20780" s="6">
        <v>2592</v>
      </c>
      <c r="D20780" s="7">
        <v>4.6399999999999997</v>
      </c>
    </row>
    <row r="20781" spans="1:4" x14ac:dyDescent="0.25">
      <c r="A20781" t="str">
        <f>HYPERLINK("https://www.773grp.com/globalSearch/PSMN1R6-30BL118/page-1", "PSMN1R6-30BL118")</f>
        <v>PSMN1R6-30BL118</v>
      </c>
      <c r="B20781" s="3" t="s">
        <v>93</v>
      </c>
      <c r="C20781" s="6">
        <v>937</v>
      </c>
      <c r="D20781" s="7">
        <v>4.6399999999999997</v>
      </c>
    </row>
    <row r="20782" spans="1:4" x14ac:dyDescent="0.25">
      <c r="A20782" t="str">
        <f>HYPERLINK("https://www.773grp.com/globalSearch/PSMN2R2-40BS118/page-1", "PSMN2R2-40BS118")</f>
        <v>PSMN2R2-40BS118</v>
      </c>
      <c r="B20782" s="3" t="s">
        <v>93</v>
      </c>
      <c r="C20782" s="6">
        <v>896</v>
      </c>
      <c r="D20782" s="7">
        <v>4.6399999999999997</v>
      </c>
    </row>
    <row r="20783" spans="1:4" x14ac:dyDescent="0.25">
      <c r="A20783" t="str">
        <f>HYPERLINK("https://www.773grp.com/globalSearch/PSMN5R0-80PS127/page-1", "PSMN5R0-80PS127")</f>
        <v>PSMN5R0-80PS127</v>
      </c>
      <c r="B20783" s="3" t="s">
        <v>93</v>
      </c>
      <c r="C20783" s="6">
        <v>6033</v>
      </c>
      <c r="D20783" s="7">
        <v>4.6399999999999997</v>
      </c>
    </row>
    <row r="20784" spans="1:4" x14ac:dyDescent="0.25">
      <c r="A20784" t="str">
        <f>HYPERLINK("https://www.773grp.com/globalSearch/TDA18218HN-C1551/page-1", "TDA18218HN-C1551")</f>
        <v>TDA18218HN-C1551</v>
      </c>
      <c r="B20784" s="3" t="s">
        <v>93</v>
      </c>
      <c r="C20784" s="6">
        <v>260</v>
      </c>
      <c r="D20784" s="7">
        <v>4.6399999999999997</v>
      </c>
    </row>
    <row r="20785" spans="1:4" x14ac:dyDescent="0.25">
      <c r="A20785" t="str">
        <f>HYPERLINK("https://www.773grp.com/globalSearch/74AVCH16T245DGG11/page-1", "74AVCH16T245DGG11")</f>
        <v>74AVCH16T245DGG11</v>
      </c>
      <c r="B20785" s="3" t="s">
        <v>93</v>
      </c>
      <c r="C20785" s="6">
        <v>145</v>
      </c>
      <c r="D20785" s="7">
        <v>4.2300000000000004</v>
      </c>
    </row>
    <row r="20786" spans="1:4" x14ac:dyDescent="0.25">
      <c r="A20786" t="str">
        <f>HYPERLINK("https://www.773grp.com/globalSearch/P87C54X2BN112/page-1", "P87C54X2BN112")</f>
        <v>P87C54X2BN112</v>
      </c>
      <c r="B20786" s="3" t="s">
        <v>93</v>
      </c>
      <c r="C20786" s="6">
        <v>643</v>
      </c>
      <c r="D20786" s="7">
        <v>4.2300000000000004</v>
      </c>
    </row>
    <row r="20787" spans="1:4" x14ac:dyDescent="0.25">
      <c r="A20787" t="str">
        <f>HYPERLINK("https://www.773grp.com/globalSearch/P87C58X2BBD157/page-1", "P87C58X2BBD157")</f>
        <v>P87C58X2BBD157</v>
      </c>
      <c r="B20787" s="3" t="s">
        <v>93</v>
      </c>
      <c r="C20787" s="6">
        <v>237</v>
      </c>
      <c r="D20787" s="7">
        <v>4.2300000000000004</v>
      </c>
    </row>
    <row r="20788" spans="1:4" x14ac:dyDescent="0.25">
      <c r="A20788" t="str">
        <f>HYPERLINK("https://www.773grp.com/globalSearch/PCF8570T-F5518/page-1", "PCF8570T-F5518")</f>
        <v>PCF8570T-F5518</v>
      </c>
      <c r="B20788" s="3" t="s">
        <v>93</v>
      </c>
      <c r="C20788" s="6">
        <v>2651</v>
      </c>
      <c r="D20788" s="7">
        <v>4.2300000000000004</v>
      </c>
    </row>
    <row r="20789" spans="1:4" x14ac:dyDescent="0.25">
      <c r="A20789" t="str">
        <f>HYPERLINK("https://www.773grp.com/globalSearch/SC16IS752IPW112/page-1", "SC16IS752IPW112")</f>
        <v>SC16IS752IPW112</v>
      </c>
      <c r="B20789" s="3" t="s">
        <v>93</v>
      </c>
      <c r="C20789" s="6">
        <v>1265</v>
      </c>
      <c r="D20789" s="7">
        <v>4.2300000000000004</v>
      </c>
    </row>
    <row r="20790" spans="1:4" x14ac:dyDescent="0.25">
      <c r="A20790" t="str">
        <f>HYPERLINK("https://www.773grp.com/globalSearch/TDA10025HN-C1551/page-1", "TDA10025HN-C1551")</f>
        <v>TDA10025HN-C1551</v>
      </c>
      <c r="B20790" s="3" t="s">
        <v>93</v>
      </c>
      <c r="C20790" s="6">
        <v>520</v>
      </c>
      <c r="D20790" s="7">
        <v>4.2300000000000004</v>
      </c>
    </row>
    <row r="20791" spans="1:4" x14ac:dyDescent="0.25">
      <c r="A20791" t="str">
        <f>HYPERLINK("https://www.773grp.com/globalSearch/TDA9989ET-C1518/page-1", "TDA9989ET-C1518")</f>
        <v>TDA9989ET-C1518</v>
      </c>
      <c r="B20791" s="3" t="s">
        <v>93</v>
      </c>
      <c r="C20791" s="6">
        <v>58000</v>
      </c>
      <c r="D20791" s="7">
        <v>4.2300000000000004</v>
      </c>
    </row>
    <row r="20792" spans="1:4" x14ac:dyDescent="0.25">
      <c r="A20792" t="str">
        <f>HYPERLINK("https://www.773grp.com/globalSearch/74ABT841DB118/page-1", "74ABT841DB118")</f>
        <v>74ABT841DB118</v>
      </c>
      <c r="B20792" s="3" t="s">
        <v>93</v>
      </c>
      <c r="C20792" s="6">
        <v>12000</v>
      </c>
      <c r="D20792" s="7">
        <v>4.6900000000000004</v>
      </c>
    </row>
    <row r="20793" spans="1:4" x14ac:dyDescent="0.25">
      <c r="A20793" t="str">
        <f>HYPERLINK("https://www.773grp.com/globalSearch/74HCT9046APW112/page-1", "74HCT9046APW112")</f>
        <v>74HCT9046APW112</v>
      </c>
      <c r="B20793" s="3" t="s">
        <v>93</v>
      </c>
      <c r="C20793" s="6">
        <v>1385</v>
      </c>
      <c r="D20793" s="7">
        <v>4.6900000000000004</v>
      </c>
    </row>
    <row r="20794" spans="1:4" x14ac:dyDescent="0.25">
      <c r="A20794" t="str">
        <f>HYPERLINK("https://www.773grp.com/globalSearch/P87C52SBPN112/page-1", "P87C52SBPN112")</f>
        <v>P87C52SBPN112</v>
      </c>
      <c r="B20794" s="3" t="s">
        <v>93</v>
      </c>
      <c r="C20794" s="6">
        <v>4320</v>
      </c>
      <c r="D20794" s="7">
        <v>4.25</v>
      </c>
    </row>
    <row r="20795" spans="1:4" x14ac:dyDescent="0.25">
      <c r="A20795" t="str">
        <f>HYPERLINK("https://www.773grp.com/globalSearch/BUK7504-40A127/page-1", "BUK7504-40A127")</f>
        <v>BUK7504-40A127</v>
      </c>
      <c r="B20795" s="3" t="s">
        <v>93</v>
      </c>
      <c r="C20795" s="6">
        <v>1000</v>
      </c>
      <c r="D20795" s="7">
        <v>4.74</v>
      </c>
    </row>
    <row r="20796" spans="1:4" x14ac:dyDescent="0.25">
      <c r="A20796" t="str">
        <f>HYPERLINK("https://www.773grp.com/globalSearch/BUK7515-100A127/page-1", "BUK7515-100A127")</f>
        <v>BUK7515-100A127</v>
      </c>
      <c r="B20796" s="3" t="s">
        <v>93</v>
      </c>
      <c r="C20796" s="6">
        <v>4200</v>
      </c>
      <c r="D20796" s="7">
        <v>4.74</v>
      </c>
    </row>
    <row r="20797" spans="1:4" x14ac:dyDescent="0.25">
      <c r="A20797" t="str">
        <f>HYPERLINK("https://www.773grp.com/globalSearch/BUK9504-40A127/page-1", "BUK9504-40A127")</f>
        <v>BUK9504-40A127</v>
      </c>
      <c r="B20797" s="3" t="s">
        <v>93</v>
      </c>
      <c r="C20797" s="6">
        <v>4000</v>
      </c>
      <c r="D20797" s="7">
        <v>4.74</v>
      </c>
    </row>
    <row r="20798" spans="1:4" x14ac:dyDescent="0.25">
      <c r="A20798" t="str">
        <f>HYPERLINK("https://www.773grp.com/globalSearch/BUK9505-30A127/page-1", "BUK9505-30A127")</f>
        <v>BUK9505-30A127</v>
      </c>
      <c r="B20798" s="3" t="s">
        <v>93</v>
      </c>
      <c r="C20798" s="6">
        <v>4012</v>
      </c>
      <c r="D20798" s="7">
        <v>4.74</v>
      </c>
    </row>
    <row r="20799" spans="1:4" x14ac:dyDescent="0.25">
      <c r="A20799" t="str">
        <f>HYPERLINK("https://www.773grp.com/globalSearch/BUK9606-55A118/page-1", "BUK9606-55A118")</f>
        <v>BUK9606-55A118</v>
      </c>
      <c r="B20799" s="3" t="s">
        <v>93</v>
      </c>
      <c r="C20799" s="6">
        <v>3200</v>
      </c>
      <c r="D20799" s="7">
        <v>4.74</v>
      </c>
    </row>
    <row r="20800" spans="1:4" x14ac:dyDescent="0.25">
      <c r="A20800" t="str">
        <f>HYPERLINK("https://www.773grp.com/globalSearch/LPC1113FHN33-3025/page-1", "LPC1113FHN33-3025")</f>
        <v>LPC1113FHN33-3025</v>
      </c>
      <c r="B20800" s="3" t="s">
        <v>93</v>
      </c>
      <c r="C20800" s="6">
        <v>47</v>
      </c>
      <c r="D20800" s="7">
        <v>4.74</v>
      </c>
    </row>
    <row r="20801" spans="1:4" x14ac:dyDescent="0.25">
      <c r="A20801" t="str">
        <f>HYPERLINK("https://www.773grp.com/globalSearch/P80C32X2BA512/page-1", "P80C32X2BA512")</f>
        <v>P80C32X2BA512</v>
      </c>
      <c r="B20801" s="3" t="s">
        <v>93</v>
      </c>
      <c r="C20801" s="6">
        <v>1196</v>
      </c>
      <c r="D20801" s="7">
        <v>4.74</v>
      </c>
    </row>
    <row r="20802" spans="1:4" x14ac:dyDescent="0.25">
      <c r="A20802" t="str">
        <f>HYPERLINK("https://www.773grp.com/globalSearch/PCF8576CT-1118/page-1", "PCF8576CT-1118")</f>
        <v>PCF8576CT-1118</v>
      </c>
      <c r="B20802" s="3" t="s">
        <v>93</v>
      </c>
      <c r="C20802" s="6">
        <v>500</v>
      </c>
      <c r="D20802" s="7">
        <v>4.74</v>
      </c>
    </row>
    <row r="20803" spans="1:4" x14ac:dyDescent="0.25">
      <c r="A20803" t="str">
        <f>HYPERLINK("https://www.773grp.com/globalSearch/PCK351DB112/page-1", "PCK351DB112")</f>
        <v>PCK351DB112</v>
      </c>
      <c r="B20803" s="3" t="s">
        <v>93</v>
      </c>
      <c r="C20803" s="6">
        <v>654</v>
      </c>
      <c r="D20803" s="7">
        <v>4.74</v>
      </c>
    </row>
    <row r="20804" spans="1:4" x14ac:dyDescent="0.25">
      <c r="A20804" t="str">
        <f>HYPERLINK("https://www.773grp.com/globalSearch/PH3120L115/page-1", "PH3120L115")</f>
        <v>PH3120L115</v>
      </c>
      <c r="B20804" s="3" t="s">
        <v>93</v>
      </c>
      <c r="C20804" s="6">
        <v>16773</v>
      </c>
      <c r="D20804" s="7">
        <v>4.74</v>
      </c>
    </row>
    <row r="20805" spans="1:4" x14ac:dyDescent="0.25">
      <c r="A20805" t="str">
        <f>HYPERLINK("https://www.773grp.com/globalSearch/PSMN009-100P127/page-1", "PSMN009-100P127")</f>
        <v>PSMN009-100P127</v>
      </c>
      <c r="B20805" s="3" t="s">
        <v>93</v>
      </c>
      <c r="C20805" s="6">
        <v>439</v>
      </c>
      <c r="D20805" s="7">
        <v>4.74</v>
      </c>
    </row>
    <row r="20806" spans="1:4" x14ac:dyDescent="0.25">
      <c r="A20806" t="str">
        <f>HYPERLINK("https://www.773grp.com/globalSearch/SC16C550BIB48151/page-1", "SC16C550BIB48151")</f>
        <v>SC16C550BIB48151</v>
      </c>
      <c r="B20806" s="3" t="s">
        <v>93</v>
      </c>
      <c r="C20806" s="6">
        <v>38</v>
      </c>
      <c r="D20806" s="7">
        <v>4.74</v>
      </c>
    </row>
    <row r="20807" spans="1:4" x14ac:dyDescent="0.25">
      <c r="A20807" t="str">
        <f>HYPERLINK("https://www.773grp.com/globalSearch/SC16C550BIB48157/page-1", "SC16C550BIB48157")</f>
        <v>SC16C550BIB48157</v>
      </c>
      <c r="B20807" s="3" t="s">
        <v>93</v>
      </c>
      <c r="C20807" s="6">
        <v>32</v>
      </c>
      <c r="D20807" s="7">
        <v>4.74</v>
      </c>
    </row>
    <row r="20808" spans="1:4" x14ac:dyDescent="0.25">
      <c r="A20808" t="str">
        <f>HYPERLINK("https://www.773grp.com/globalSearch/SC16IS750IBS128/page-1", "SC16IS750IBS128")</f>
        <v>SC16IS750IBS128</v>
      </c>
      <c r="B20808" s="3" t="s">
        <v>93</v>
      </c>
      <c r="C20808" s="6">
        <v>46500</v>
      </c>
      <c r="D20808" s="7">
        <v>4.74</v>
      </c>
    </row>
    <row r="20809" spans="1:4" x14ac:dyDescent="0.25">
      <c r="A20809" t="str">
        <f>HYPERLINK("https://www.773grp.com/globalSearch/TDA18219HN-C1518/page-1", "TDA18219HN-C1518")</f>
        <v>TDA18219HN-C1518</v>
      </c>
      <c r="B20809" s="3" t="s">
        <v>93</v>
      </c>
      <c r="C20809" s="6">
        <v>8000</v>
      </c>
      <c r="D20809" s="7">
        <v>4.74</v>
      </c>
    </row>
    <row r="20810" spans="1:4" x14ac:dyDescent="0.25">
      <c r="A20810" t="str">
        <f>HYPERLINK("https://www.773grp.com/globalSearch/TDF5140AP-C1112/page-1", "TDF5140AP-C1112")</f>
        <v>TDF5140AP-C1112</v>
      </c>
      <c r="B20810" s="3" t="s">
        <v>93</v>
      </c>
      <c r="C20810" s="6">
        <v>985</v>
      </c>
      <c r="D20810" s="7">
        <v>4.74</v>
      </c>
    </row>
    <row r="20811" spans="1:4" x14ac:dyDescent="0.25">
      <c r="A20811" t="str">
        <f>HYPERLINK("https://www.773grp.com/globalSearch/TDF5140AT-C1118/page-1", "TDF5140AT-C1118")</f>
        <v>TDF5140AT-C1118</v>
      </c>
      <c r="B20811" s="3" t="s">
        <v>93</v>
      </c>
      <c r="C20811" s="6">
        <v>40</v>
      </c>
      <c r="D20811" s="7">
        <v>4.74</v>
      </c>
    </row>
    <row r="20812" spans="1:4" x14ac:dyDescent="0.25">
      <c r="A20812" t="str">
        <f>HYPERLINK("https://www.773grp.com/globalSearch/LPC11D14FBD100-302/page-1", "LPC11D14FBD100-302")</f>
        <v>LPC11D14FBD100-302</v>
      </c>
      <c r="B20812" s="3" t="s">
        <v>93</v>
      </c>
      <c r="C20812" s="6">
        <v>89</v>
      </c>
      <c r="D20812" s="7">
        <v>4.3</v>
      </c>
    </row>
    <row r="20813" spans="1:4" x14ac:dyDescent="0.25">
      <c r="A20813" t="str">
        <f>HYPERLINK("https://www.773grp.com/globalSearch/LPC1343FHN33551/page-1", "LPC1343FHN33551")</f>
        <v>LPC1343FHN33551</v>
      </c>
      <c r="B20813" s="3" t="s">
        <v>93</v>
      </c>
      <c r="C20813" s="6">
        <v>277</v>
      </c>
      <c r="D20813" s="7">
        <v>4.34</v>
      </c>
    </row>
    <row r="20814" spans="1:4" x14ac:dyDescent="0.25">
      <c r="A20814" t="str">
        <f>HYPERLINK("https://www.773grp.com/globalSearch/PCA9698DGG518/page-1", "PCA9698DGG518")</f>
        <v>PCA9698DGG518</v>
      </c>
      <c r="B20814" s="3" t="s">
        <v>93</v>
      </c>
      <c r="C20814" s="6">
        <v>2000</v>
      </c>
      <c r="D20814" s="7">
        <v>4.34</v>
      </c>
    </row>
    <row r="20815" spans="1:4" x14ac:dyDescent="0.25">
      <c r="A20815" t="str">
        <f>HYPERLINK("https://www.773grp.com/globalSearch/PTN3392BS-F2518/page-1", "PTN3392BS-F2518")</f>
        <v>PTN3392BS-F2518</v>
      </c>
      <c r="B20815" s="3" t="s">
        <v>93</v>
      </c>
      <c r="C20815" s="6">
        <v>12000</v>
      </c>
      <c r="D20815" s="7">
        <v>4.34</v>
      </c>
    </row>
    <row r="20816" spans="1:4" x14ac:dyDescent="0.25">
      <c r="A20816" t="str">
        <f>HYPERLINK("https://www.773grp.com/globalSearch/74HCT670N652/page-1", "74HCT670N652")</f>
        <v>74HCT670N652</v>
      </c>
      <c r="B20816" s="3" t="s">
        <v>93</v>
      </c>
      <c r="C20816" s="6">
        <v>1897</v>
      </c>
      <c r="D20816" s="7">
        <v>4.79</v>
      </c>
    </row>
    <row r="20817" spans="1:4" x14ac:dyDescent="0.25">
      <c r="A20817" t="str">
        <f>HYPERLINK("https://www.773grp.com/globalSearch/74LV4094N112/page-1", "74LV4094N112")</f>
        <v>74LV4094N112</v>
      </c>
      <c r="B20817" s="3" t="s">
        <v>93</v>
      </c>
      <c r="C20817" s="6">
        <v>1000</v>
      </c>
      <c r="D20817" s="7">
        <v>4.79</v>
      </c>
    </row>
    <row r="20818" spans="1:4" x14ac:dyDescent="0.25">
      <c r="A20818" t="str">
        <f>HYPERLINK("https://www.773grp.com/globalSearch/BUK655R0-75C127/page-1", "BUK655R0-75C127")</f>
        <v>BUK655R0-75C127</v>
      </c>
      <c r="B20818" s="3" t="s">
        <v>93</v>
      </c>
      <c r="C20818" s="6">
        <v>1996</v>
      </c>
      <c r="D20818" s="7">
        <v>4.79</v>
      </c>
    </row>
    <row r="20819" spans="1:4" x14ac:dyDescent="0.25">
      <c r="A20819" t="str">
        <f>HYPERLINK("https://www.773grp.com/globalSearch/N74F541N602/page-1", "N74F541N602")</f>
        <v>N74F541N602</v>
      </c>
      <c r="B20819" s="3" t="s">
        <v>93</v>
      </c>
      <c r="C20819" s="6">
        <v>1790</v>
      </c>
      <c r="D20819" s="7">
        <v>4.79</v>
      </c>
    </row>
    <row r="20820" spans="1:4" x14ac:dyDescent="0.25">
      <c r="A20820" t="str">
        <f>HYPERLINK("https://www.773grp.com/globalSearch/P89LPC9241FDH112/page-1", "P89LPC9241FDH112")</f>
        <v>P89LPC9241FDH112</v>
      </c>
      <c r="B20820" s="3" t="s">
        <v>93</v>
      </c>
      <c r="C20820" s="6">
        <v>200</v>
      </c>
      <c r="D20820" s="7">
        <v>4.79</v>
      </c>
    </row>
    <row r="20821" spans="1:4" x14ac:dyDescent="0.25">
      <c r="A20821" t="str">
        <f>HYPERLINK("https://www.773grp.com/globalSearch/P89LPC972FDH129/page-1", "P89LPC972FDH129")</f>
        <v>P89LPC972FDH129</v>
      </c>
      <c r="B20821" s="3" t="s">
        <v>93</v>
      </c>
      <c r="C20821" s="6">
        <v>125</v>
      </c>
      <c r="D20821" s="7">
        <v>4.79</v>
      </c>
    </row>
    <row r="20822" spans="1:4" x14ac:dyDescent="0.25">
      <c r="A20822" t="str">
        <f>HYPERLINK("https://www.773grp.com/globalSearch/PSMN2R2-40PS127/page-1", "PSMN2R2-40PS127")</f>
        <v>PSMN2R2-40PS127</v>
      </c>
      <c r="B20822" s="3" t="s">
        <v>93</v>
      </c>
      <c r="C20822" s="6">
        <v>5000</v>
      </c>
      <c r="D20822" s="7">
        <v>4.79</v>
      </c>
    </row>
    <row r="20823" spans="1:4" x14ac:dyDescent="0.25">
      <c r="A20823" t="str">
        <f>HYPERLINK("https://www.773grp.com/globalSearch/PSMN4R3-80PS127/page-1", "PSMN4R3-80PS127")</f>
        <v>PSMN4R3-80PS127</v>
      </c>
      <c r="B20823" s="3" t="s">
        <v>93</v>
      </c>
      <c r="C20823" s="6">
        <v>4000</v>
      </c>
      <c r="D20823" s="7">
        <v>4.79</v>
      </c>
    </row>
    <row r="20824" spans="1:4" x14ac:dyDescent="0.25">
      <c r="A20824" t="str">
        <f>HYPERLINK("https://www.773grp.com/globalSearch/PSMN5R6-100PS127/page-1", "PSMN5R6-100PS127")</f>
        <v>PSMN5R6-100PS127</v>
      </c>
      <c r="B20824" s="3" t="s">
        <v>93</v>
      </c>
      <c r="C20824" s="6">
        <v>6000</v>
      </c>
      <c r="D20824" s="7">
        <v>4.79</v>
      </c>
    </row>
    <row r="20825" spans="1:4" x14ac:dyDescent="0.25">
      <c r="A20825" t="str">
        <f>HYPERLINK("https://www.773grp.com/globalSearch/P87C54X2FA512/page-1", "P87C54X2FA512")</f>
        <v>P87C54X2FA512</v>
      </c>
      <c r="B20825" s="3" t="s">
        <v>93</v>
      </c>
      <c r="C20825" s="6">
        <v>1400</v>
      </c>
      <c r="D20825" s="7">
        <v>4.3499999999999996</v>
      </c>
    </row>
    <row r="20826" spans="1:4" x14ac:dyDescent="0.25">
      <c r="A20826" t="str">
        <f>HYPERLINK("https://www.773grp.com/globalSearch/LPC1316FHN33551/page-1", "LPC1316FHN33551")</f>
        <v>LPC1316FHN33551</v>
      </c>
      <c r="B20826" s="3" t="s">
        <v>93</v>
      </c>
      <c r="C20826" s="6">
        <v>239</v>
      </c>
      <c r="D20826" s="7">
        <v>4.3899999999999997</v>
      </c>
    </row>
    <row r="20827" spans="1:4" x14ac:dyDescent="0.25">
      <c r="A20827" t="str">
        <f>HYPERLINK("https://www.773grp.com/globalSearch/BUK9605-30A118/page-1", "BUK9605-30A118")</f>
        <v>BUK9605-30A118</v>
      </c>
      <c r="B20827" s="3" t="s">
        <v>93</v>
      </c>
      <c r="C20827" s="6">
        <v>1600</v>
      </c>
      <c r="D20827" s="7">
        <v>4.8600000000000003</v>
      </c>
    </row>
    <row r="20828" spans="1:4" x14ac:dyDescent="0.25">
      <c r="A20828" t="str">
        <f>HYPERLINK("https://www.773grp.com/globalSearch/BUK9615-100A118/page-1", "BUK9615-100A118")</f>
        <v>BUK9615-100A118</v>
      </c>
      <c r="B20828" s="3" t="s">
        <v>93</v>
      </c>
      <c r="C20828" s="6">
        <v>5600</v>
      </c>
      <c r="D20828" s="7">
        <v>4.8600000000000003</v>
      </c>
    </row>
    <row r="20829" spans="1:4" x14ac:dyDescent="0.25">
      <c r="A20829" t="str">
        <f>HYPERLINK("https://www.773grp.com/globalSearch/CBTL05023BS118/page-1", "CBTL05023BS118")</f>
        <v>CBTL05023BS118</v>
      </c>
      <c r="B20829" s="3" t="s">
        <v>93</v>
      </c>
      <c r="C20829" s="6">
        <v>24380</v>
      </c>
      <c r="D20829" s="7">
        <v>4.8600000000000003</v>
      </c>
    </row>
    <row r="20830" spans="1:4" x14ac:dyDescent="0.25">
      <c r="A20830" t="str">
        <f>HYPERLINK("https://www.773grp.com/globalSearch/PSMN070-200P127/page-1", "PSMN070-200P127")</f>
        <v>PSMN070-200P127</v>
      </c>
      <c r="B20830" s="3" t="s">
        <v>93</v>
      </c>
      <c r="C20830" s="6">
        <v>4000</v>
      </c>
      <c r="D20830" s="7">
        <v>4.8600000000000003</v>
      </c>
    </row>
    <row r="20831" spans="1:4" x14ac:dyDescent="0.25">
      <c r="A20831" t="str">
        <f>HYPERLINK("https://www.773grp.com/globalSearch/LPC1225FBD64-3211/page-1", "LPC1225FBD64-3211")</f>
        <v>LPC1225FBD64-3211</v>
      </c>
      <c r="B20831" s="3" t="s">
        <v>93</v>
      </c>
      <c r="C20831" s="6">
        <v>5</v>
      </c>
      <c r="D20831" s="7">
        <v>4.43</v>
      </c>
    </row>
    <row r="20832" spans="1:4" x14ac:dyDescent="0.25">
      <c r="A20832" t="str">
        <f>HYPERLINK("https://www.773grp.com/globalSearch/74LVT640PW112/page-1", "74LVT640PW112")</f>
        <v>74LVT640PW112</v>
      </c>
      <c r="B20832" s="3" t="s">
        <v>93</v>
      </c>
      <c r="C20832" s="6">
        <v>15</v>
      </c>
      <c r="D20832" s="7">
        <v>4.91</v>
      </c>
    </row>
    <row r="20833" spans="1:4" x14ac:dyDescent="0.25">
      <c r="A20833" t="str">
        <f>HYPERLINK("https://www.773grp.com/globalSearch/BGA7127118/page-1", "BGA7127118")</f>
        <v>BGA7127118</v>
      </c>
      <c r="B20833" s="3" t="s">
        <v>93</v>
      </c>
      <c r="C20833" s="6">
        <v>12050</v>
      </c>
      <c r="D20833" s="7">
        <v>4.91</v>
      </c>
    </row>
    <row r="20834" spans="1:4" x14ac:dyDescent="0.25">
      <c r="A20834" t="str">
        <f>HYPERLINK("https://www.773grp.com/globalSearch/BUK7609-75A118/page-1", "BUK7609-75A118")</f>
        <v>BUK7609-75A118</v>
      </c>
      <c r="B20834" s="3" t="s">
        <v>93</v>
      </c>
      <c r="C20834" s="6">
        <v>2400</v>
      </c>
      <c r="D20834" s="7">
        <v>4.91</v>
      </c>
    </row>
    <row r="20835" spans="1:4" x14ac:dyDescent="0.25">
      <c r="A20835" t="str">
        <f>HYPERLINK("https://www.773grp.com/globalSearch/LPC1114LVFHN24-303/page-1", "LPC1114LVFHN24-303")</f>
        <v>LPC1114LVFHN24-303</v>
      </c>
      <c r="B20835" s="3" t="s">
        <v>93</v>
      </c>
      <c r="C20835" s="6">
        <v>459</v>
      </c>
      <c r="D20835" s="7">
        <v>4.91</v>
      </c>
    </row>
    <row r="20836" spans="1:4" x14ac:dyDescent="0.25">
      <c r="A20836" t="str">
        <f>HYPERLINK("https://www.773grp.com/globalSearch/PSMN3R3-80BS118/page-1", "PSMN3R3-80BS118")</f>
        <v>PSMN3R3-80BS118</v>
      </c>
      <c r="B20836" s="3" t="s">
        <v>93</v>
      </c>
      <c r="C20836" s="6">
        <v>800</v>
      </c>
      <c r="D20836" s="7">
        <v>4.91</v>
      </c>
    </row>
    <row r="20837" spans="1:4" x14ac:dyDescent="0.25">
      <c r="A20837" t="str">
        <f>HYPERLINK("https://www.773grp.com/globalSearch/SSL2103T-1518/page-1", "SSL2103T-1518")</f>
        <v>SSL2103T-1518</v>
      </c>
      <c r="B20837" s="3" t="s">
        <v>93</v>
      </c>
      <c r="C20837" s="6">
        <v>5249</v>
      </c>
      <c r="D20837" s="7">
        <v>4.91</v>
      </c>
    </row>
    <row r="20838" spans="1:4" x14ac:dyDescent="0.25">
      <c r="A20838" t="str">
        <f>HYPERLINK("https://www.773grp.com/globalSearch/BUK7105-40AIE118/page-1", "BUK7105-40AIE118")</f>
        <v>BUK7105-40AIE118</v>
      </c>
      <c r="B20838" s="3" t="s">
        <v>93</v>
      </c>
      <c r="C20838" s="6">
        <v>1600</v>
      </c>
      <c r="D20838" s="7">
        <v>4.4400000000000004</v>
      </c>
    </row>
    <row r="20839" spans="1:4" x14ac:dyDescent="0.25">
      <c r="A20839" t="str">
        <f>HYPERLINK("https://www.773grp.com/globalSearch/74ABT640N602/page-1", "74ABT640N602")</f>
        <v>74ABT640N602</v>
      </c>
      <c r="B20839" s="3" t="s">
        <v>93</v>
      </c>
      <c r="C20839" s="6">
        <v>8640</v>
      </c>
      <c r="D20839" s="7">
        <v>4.4800000000000004</v>
      </c>
    </row>
    <row r="20840" spans="1:4" x14ac:dyDescent="0.25">
      <c r="A20840" t="str">
        <f>HYPERLINK("https://www.773grp.com/globalSearch/BUK7905-40AIE127/page-1", "BUK7905-40AIE127")</f>
        <v>BUK7905-40AIE127</v>
      </c>
      <c r="B20840" s="3" t="s">
        <v>93</v>
      </c>
      <c r="C20840" s="6">
        <v>18573</v>
      </c>
      <c r="D20840" s="7">
        <v>4.4800000000000004</v>
      </c>
    </row>
    <row r="20841" spans="1:4" x14ac:dyDescent="0.25">
      <c r="A20841" t="str">
        <f>HYPERLINK("https://www.773grp.com/globalSearch/BUK664R8-75C118/page-1", "BUK664R8-75C118")</f>
        <v>BUK664R8-75C118</v>
      </c>
      <c r="B20841" s="3" t="s">
        <v>93</v>
      </c>
      <c r="C20841" s="6">
        <v>3200</v>
      </c>
      <c r="D20841" s="7">
        <v>4.96</v>
      </c>
    </row>
    <row r="20842" spans="1:4" x14ac:dyDescent="0.25">
      <c r="A20842" t="str">
        <f>HYPERLINK("https://www.773grp.com/globalSearch/PSMN1R6-30PL127/page-1", "PSMN1R6-30PL127")</f>
        <v>PSMN1R6-30PL127</v>
      </c>
      <c r="B20842" s="3" t="s">
        <v>93</v>
      </c>
      <c r="C20842" s="6">
        <v>5000</v>
      </c>
      <c r="D20842" s="7">
        <v>4.96</v>
      </c>
    </row>
    <row r="20843" spans="1:4" x14ac:dyDescent="0.25">
      <c r="A20843" t="str">
        <f>HYPERLINK("https://www.773grp.com/globalSearch/PSMN4R4-80PS127/page-1", "PSMN4R4-80PS127")</f>
        <v>PSMN4R4-80PS127</v>
      </c>
      <c r="B20843" s="3" t="s">
        <v>93</v>
      </c>
      <c r="C20843" s="6">
        <v>6600</v>
      </c>
      <c r="D20843" s="7">
        <v>4.96</v>
      </c>
    </row>
    <row r="20844" spans="1:4" x14ac:dyDescent="0.25">
      <c r="A20844" t="str">
        <f>HYPERLINK("https://www.773grp.com/globalSearch/P87LPC768FN112/page-1", "P87LPC768FN112")</f>
        <v>P87LPC768FN112</v>
      </c>
      <c r="B20844" s="3" t="s">
        <v>93</v>
      </c>
      <c r="C20844" s="6">
        <v>328</v>
      </c>
      <c r="D20844" s="7">
        <v>4.5</v>
      </c>
    </row>
    <row r="20845" spans="1:4" x14ac:dyDescent="0.25">
      <c r="A20845" t="str">
        <f>HYPERLINK("https://www.773grp.com/globalSearch/PCA9522D118/page-1", "PCA9522D118")</f>
        <v>PCA9522D118</v>
      </c>
      <c r="B20845" s="3" t="s">
        <v>93</v>
      </c>
      <c r="C20845" s="6">
        <v>3631</v>
      </c>
      <c r="D20845" s="7">
        <v>4.5</v>
      </c>
    </row>
    <row r="20846" spans="1:4" x14ac:dyDescent="0.25">
      <c r="A20846" t="str">
        <f>HYPERLINK("https://www.773grp.com/globalSearch/TDA18254AHN-C1551/page-1", "TDA18254AHN-C1551")</f>
        <v>TDA18254AHN-C1551</v>
      </c>
      <c r="B20846" s="3" t="s">
        <v>93</v>
      </c>
      <c r="C20846" s="6">
        <v>40</v>
      </c>
      <c r="D20846" s="7">
        <v>4.5</v>
      </c>
    </row>
    <row r="20847" spans="1:4" x14ac:dyDescent="0.25">
      <c r="A20847" t="str">
        <f>HYPERLINK("https://www.773grp.com/globalSearch/TDA19995HL-C1518/page-1", "TDA19995HL-C1518")</f>
        <v>TDA19995HL-C1518</v>
      </c>
      <c r="B20847" s="3" t="s">
        <v>93</v>
      </c>
      <c r="C20847" s="6">
        <v>1000</v>
      </c>
      <c r="D20847" s="7">
        <v>4.5</v>
      </c>
    </row>
    <row r="20848" spans="1:4" x14ac:dyDescent="0.25">
      <c r="A20848" t="str">
        <f>HYPERLINK("https://www.773grp.com/globalSearch/TDA19995HL-C1551/page-1", "TDA19995HL-C1551")</f>
        <v>TDA19995HL-C1551</v>
      </c>
      <c r="B20848" s="3" t="s">
        <v>93</v>
      </c>
      <c r="C20848" s="6">
        <v>125</v>
      </c>
      <c r="D20848" s="7">
        <v>4.5</v>
      </c>
    </row>
    <row r="20849" spans="1:4" x14ac:dyDescent="0.25">
      <c r="A20849" t="str">
        <f>HYPERLINK("https://www.773grp.com/globalSearch/TDA9981BHL-15-C1557/page-1", "TDA9981BHL-15-C1557")</f>
        <v>TDA9981BHL-15-C1557</v>
      </c>
      <c r="B20849" s="3" t="s">
        <v>93</v>
      </c>
      <c r="C20849" s="6">
        <v>5140</v>
      </c>
      <c r="D20849" s="7">
        <v>4.5</v>
      </c>
    </row>
    <row r="20850" spans="1:4" x14ac:dyDescent="0.25">
      <c r="A20850" t="str">
        <f>HYPERLINK("https://www.773grp.com/globalSearch/LPC1343FBD48151/page-1", "LPC1343FBD48151")</f>
        <v>LPC1343FBD48151</v>
      </c>
      <c r="B20850" s="3" t="s">
        <v>93</v>
      </c>
      <c r="C20850" s="6">
        <v>10000</v>
      </c>
      <c r="D20850" s="7">
        <v>4.53</v>
      </c>
    </row>
    <row r="20851" spans="1:4" x14ac:dyDescent="0.25">
      <c r="A20851" t="str">
        <f>HYPERLINK("https://www.773grp.com/globalSearch/74HC4067PW112/page-1", "74HC4067PW112")</f>
        <v>74HC4067PW112</v>
      </c>
      <c r="B20851" s="3" t="s">
        <v>93</v>
      </c>
      <c r="C20851" s="6">
        <v>2</v>
      </c>
      <c r="D20851" s="7">
        <v>5.01</v>
      </c>
    </row>
    <row r="20852" spans="1:4" x14ac:dyDescent="0.25">
      <c r="A20852" t="str">
        <f>HYPERLINK("https://www.773grp.com/globalSearch/74HCT4067PW112/page-1", "74HCT4067PW112")</f>
        <v>74HCT4067PW112</v>
      </c>
      <c r="B20852" s="3" t="s">
        <v>93</v>
      </c>
      <c r="C20852" s="6">
        <v>1575</v>
      </c>
      <c r="D20852" s="7">
        <v>5.01</v>
      </c>
    </row>
    <row r="20853" spans="1:4" x14ac:dyDescent="0.25">
      <c r="A20853" t="str">
        <f>HYPERLINK("https://www.773grp.com/globalSearch/BUK761R6-40E118/page-1", "BUK761R6-40E118")</f>
        <v>BUK761R6-40E118</v>
      </c>
      <c r="B20853" s="3" t="s">
        <v>93</v>
      </c>
      <c r="C20853" s="6">
        <v>4780</v>
      </c>
      <c r="D20853" s="7">
        <v>5.01</v>
      </c>
    </row>
    <row r="20854" spans="1:4" x14ac:dyDescent="0.25">
      <c r="A20854" t="str">
        <f>HYPERLINK("https://www.773grp.com/globalSearch/BUK765R0-100E118/page-1", "BUK765R0-100E118")</f>
        <v>BUK765R0-100E118</v>
      </c>
      <c r="B20854" s="3" t="s">
        <v>93</v>
      </c>
      <c r="C20854" s="6">
        <v>44</v>
      </c>
      <c r="D20854" s="7">
        <v>5.01</v>
      </c>
    </row>
    <row r="20855" spans="1:4" x14ac:dyDescent="0.25">
      <c r="A20855" t="str">
        <f>HYPERLINK("https://www.773grp.com/globalSearch/PCA21125T-Q900-1118/page-1", "PCA21125T-Q900-1118")</f>
        <v>PCA21125T-Q900-1118</v>
      </c>
      <c r="B20855" s="3" t="s">
        <v>93</v>
      </c>
      <c r="C20855" s="6">
        <v>99</v>
      </c>
      <c r="D20855" s="7">
        <v>5.01</v>
      </c>
    </row>
    <row r="20856" spans="1:4" x14ac:dyDescent="0.25">
      <c r="A20856" t="str">
        <f>HYPERLINK("https://www.773grp.com/globalSearch/PCF8576CT-1112/page-1", "PCF8576CT-1112")</f>
        <v>PCF8576CT-1112</v>
      </c>
      <c r="B20856" s="3" t="s">
        <v>93</v>
      </c>
      <c r="C20856" s="6">
        <v>522</v>
      </c>
      <c r="D20856" s="7">
        <v>5.01</v>
      </c>
    </row>
    <row r="20857" spans="1:4" x14ac:dyDescent="0.25">
      <c r="A20857" t="str">
        <f>HYPERLINK("https://www.773grp.com/globalSearch/SC16IS741IPW112/page-1", "SC16IS741IPW112")</f>
        <v>SC16IS741IPW112</v>
      </c>
      <c r="B20857" s="3" t="s">
        <v>93</v>
      </c>
      <c r="C20857" s="6">
        <v>182</v>
      </c>
      <c r="D20857" s="7">
        <v>5.01</v>
      </c>
    </row>
    <row r="20858" spans="1:4" x14ac:dyDescent="0.25">
      <c r="A20858" t="str">
        <f>HYPERLINK("https://www.773grp.com/globalSearch/TDA18274HD-C1518/page-1", "TDA18274HD-C1518")</f>
        <v>TDA18274HD-C1518</v>
      </c>
      <c r="B20858" s="3" t="s">
        <v>93</v>
      </c>
      <c r="C20858" s="6">
        <v>2000</v>
      </c>
      <c r="D20858" s="7">
        <v>5.01</v>
      </c>
    </row>
    <row r="20859" spans="1:4" x14ac:dyDescent="0.25">
      <c r="A20859" t="str">
        <f>HYPERLINK("https://www.773grp.com/globalSearch/74HC7403D512/page-1", "74HC7403D512")</f>
        <v>74HC7403D512</v>
      </c>
      <c r="B20859" s="3" t="s">
        <v>93</v>
      </c>
      <c r="C20859" s="6">
        <v>1920</v>
      </c>
      <c r="D20859" s="7">
        <v>5.0599999999999996</v>
      </c>
    </row>
    <row r="20860" spans="1:4" x14ac:dyDescent="0.25">
      <c r="A20860" t="str">
        <f>HYPERLINK("https://www.773grp.com/globalSearch/BUK751R6-30E127/page-1", "BUK751R6-30E127")</f>
        <v>BUK751R6-30E127</v>
      </c>
      <c r="B20860" s="3" t="s">
        <v>93</v>
      </c>
      <c r="C20860" s="6">
        <v>277</v>
      </c>
      <c r="D20860" s="7">
        <v>5.0599999999999996</v>
      </c>
    </row>
    <row r="20861" spans="1:4" x14ac:dyDescent="0.25">
      <c r="A20861" t="str">
        <f>HYPERLINK("https://www.773grp.com/globalSearch/BUK951R6-30E127/page-1", "BUK951R6-30E127")</f>
        <v>BUK951R6-30E127</v>
      </c>
      <c r="B20861" s="3" t="s">
        <v>93</v>
      </c>
      <c r="C20861" s="6">
        <v>29</v>
      </c>
      <c r="D20861" s="7">
        <v>5.0599999999999996</v>
      </c>
    </row>
    <row r="20862" spans="1:4" x14ac:dyDescent="0.25">
      <c r="A20862" t="str">
        <f>HYPERLINK("https://www.773grp.com/globalSearch/BUK951R9-40E127/page-1", "BUK951R9-40E127")</f>
        <v>BUK951R9-40E127</v>
      </c>
      <c r="B20862" s="3" t="s">
        <v>93</v>
      </c>
      <c r="C20862" s="6">
        <v>18</v>
      </c>
      <c r="D20862" s="7">
        <v>5.0599999999999996</v>
      </c>
    </row>
    <row r="20863" spans="1:4" x14ac:dyDescent="0.25">
      <c r="A20863" t="str">
        <f>HYPERLINK("https://www.773grp.com/globalSearch/BUK954R4-80E127/page-1", "BUK954R4-80E127")</f>
        <v>BUK954R4-80E127</v>
      </c>
      <c r="B20863" s="3" t="s">
        <v>93</v>
      </c>
      <c r="C20863" s="6">
        <v>81</v>
      </c>
      <c r="D20863" s="7">
        <v>5.0599999999999996</v>
      </c>
    </row>
    <row r="20864" spans="1:4" x14ac:dyDescent="0.25">
      <c r="A20864" t="str">
        <f>HYPERLINK("https://www.773grp.com/globalSearch/PCF8574P112/page-1", "PCF8574P112")</f>
        <v>PCF8574P112</v>
      </c>
      <c r="B20864" s="3" t="s">
        <v>93</v>
      </c>
      <c r="C20864" s="6">
        <v>147</v>
      </c>
      <c r="D20864" s="7">
        <v>5.0599999999999996</v>
      </c>
    </row>
    <row r="20865" spans="1:4" x14ac:dyDescent="0.25">
      <c r="A20865" t="str">
        <f>HYPERLINK("https://www.773grp.com/globalSearch/PCF8583T-5512/page-1", "PCF8583T-5512")</f>
        <v>PCF8583T-5512</v>
      </c>
      <c r="B20865" s="3" t="s">
        <v>93</v>
      </c>
      <c r="C20865" s="6">
        <v>10240</v>
      </c>
      <c r="D20865" s="7">
        <v>5.0599999999999996</v>
      </c>
    </row>
    <row r="20866" spans="1:4" x14ac:dyDescent="0.25">
      <c r="A20866" t="str">
        <f>HYPERLINK("https://www.773grp.com/globalSearch/PCF8583T-5518/page-1", "PCF8583T-5518")</f>
        <v>PCF8583T-5518</v>
      </c>
      <c r="B20866" s="3" t="s">
        <v>93</v>
      </c>
      <c r="C20866" s="6">
        <v>7132</v>
      </c>
      <c r="D20866" s="7">
        <v>5.0599999999999996</v>
      </c>
    </row>
    <row r="20867" spans="1:4" x14ac:dyDescent="0.25">
      <c r="A20867" t="str">
        <f>HYPERLINK("https://www.773grp.com/globalSearch/PSMN035-150B118/page-1", "PSMN035-150B118")</f>
        <v>PSMN035-150B118</v>
      </c>
      <c r="B20867" s="3" t="s">
        <v>93</v>
      </c>
      <c r="C20867" s="6">
        <v>219</v>
      </c>
      <c r="D20867" s="7">
        <v>5.0599999999999996</v>
      </c>
    </row>
    <row r="20868" spans="1:4" x14ac:dyDescent="0.25">
      <c r="A20868" t="str">
        <f>HYPERLINK("https://www.773grp.com/globalSearch/PSMN070-200B118/page-1", "PSMN070-200B118")</f>
        <v>PSMN070-200B118</v>
      </c>
      <c r="B20868" s="3" t="s">
        <v>93</v>
      </c>
      <c r="C20868" s="6">
        <v>14400</v>
      </c>
      <c r="D20868" s="7">
        <v>5.0599999999999996</v>
      </c>
    </row>
    <row r="20869" spans="1:4" x14ac:dyDescent="0.25">
      <c r="A20869" t="str">
        <f>HYPERLINK("https://www.773grp.com/globalSearch/74ALVT16241DL112/page-1", "74ALVT16241DL112")</f>
        <v>74ALVT16241DL112</v>
      </c>
      <c r="B20869" s="3" t="s">
        <v>93</v>
      </c>
      <c r="C20869" s="6">
        <v>1581</v>
      </c>
      <c r="D20869" s="7">
        <v>4.59</v>
      </c>
    </row>
    <row r="20870" spans="1:4" x14ac:dyDescent="0.25">
      <c r="A20870" t="str">
        <f>HYPERLINK("https://www.773grp.com/globalSearch/LPC11C22FBD48-301151/page-1", "LPC11C22FBD48-301151")</f>
        <v>LPC11C22FBD48-301151</v>
      </c>
      <c r="B20870" s="3" t="s">
        <v>93</v>
      </c>
      <c r="C20870" s="6">
        <v>1090</v>
      </c>
      <c r="D20870" s="7">
        <v>4.6100000000000003</v>
      </c>
    </row>
    <row r="20871" spans="1:4" x14ac:dyDescent="0.25">
      <c r="A20871" t="str">
        <f>HYPERLINK("https://www.773grp.com/globalSearch/BUK7506-75B127/page-1", "BUK7506-75B127")</f>
        <v>BUK7506-75B127</v>
      </c>
      <c r="B20871" s="3" t="s">
        <v>93</v>
      </c>
      <c r="C20871" s="6">
        <v>1000</v>
      </c>
      <c r="D20871" s="7">
        <v>5.1100000000000003</v>
      </c>
    </row>
    <row r="20872" spans="1:4" x14ac:dyDescent="0.25">
      <c r="A20872" t="str">
        <f>HYPERLINK("https://www.773grp.com/globalSearch/N74F298D623/page-1", "N74F298D623")</f>
        <v>N74F298D623</v>
      </c>
      <c r="B20872" s="3" t="s">
        <v>93</v>
      </c>
      <c r="C20872" s="6">
        <v>5000</v>
      </c>
      <c r="D20872" s="7">
        <v>5.1100000000000003</v>
      </c>
    </row>
    <row r="20873" spans="1:4" x14ac:dyDescent="0.25">
      <c r="A20873" t="str">
        <f>HYPERLINK("https://www.773grp.com/globalSearch/PCA9703PW-Q900118/page-1", "PCA9703PW-Q900118")</f>
        <v>PCA9703PW-Q900118</v>
      </c>
      <c r="B20873" s="3" t="s">
        <v>93</v>
      </c>
      <c r="C20873" s="6">
        <v>19</v>
      </c>
      <c r="D20873" s="7">
        <v>5.1100000000000003</v>
      </c>
    </row>
    <row r="20874" spans="1:4" x14ac:dyDescent="0.25">
      <c r="A20874" t="str">
        <f>HYPERLINK("https://www.773grp.com/globalSearch/PSMN4R3-80ES127/page-1", "PSMN4R3-80ES127")</f>
        <v>PSMN4R3-80ES127</v>
      </c>
      <c r="B20874" s="3" t="s">
        <v>93</v>
      </c>
      <c r="C20874" s="6">
        <v>45</v>
      </c>
      <c r="D20874" s="7">
        <v>5.1100000000000003</v>
      </c>
    </row>
    <row r="20875" spans="1:4" x14ac:dyDescent="0.25">
      <c r="A20875" t="str">
        <f>HYPERLINK("https://www.773grp.com/globalSearch/SA602AD-01112/page-1", "SA602AD-01112")</f>
        <v>SA602AD-01112</v>
      </c>
      <c r="B20875" s="3" t="s">
        <v>93</v>
      </c>
      <c r="C20875" s="6">
        <v>3071</v>
      </c>
      <c r="D20875" s="7">
        <v>5.1100000000000003</v>
      </c>
    </row>
    <row r="20876" spans="1:4" x14ac:dyDescent="0.25">
      <c r="A20876" t="str">
        <f>HYPERLINK("https://www.773grp.com/globalSearch/UDA1345TS-N2112/page-1", "UDA1345TS-N2112")</f>
        <v>UDA1345TS-N2112</v>
      </c>
      <c r="B20876" s="3" t="s">
        <v>93</v>
      </c>
      <c r="C20876" s="6">
        <v>124</v>
      </c>
      <c r="D20876" s="7">
        <v>5.1100000000000003</v>
      </c>
    </row>
    <row r="20877" spans="1:4" x14ac:dyDescent="0.25">
      <c r="A20877" t="str">
        <f>HYPERLINK("https://www.773grp.com/globalSearch/UDA1345TS-N2118/page-1", "UDA1345TS-N2118")</f>
        <v>UDA1345TS-N2118</v>
      </c>
      <c r="B20877" s="3" t="s">
        <v>93</v>
      </c>
      <c r="C20877" s="6">
        <v>3000</v>
      </c>
      <c r="D20877" s="7">
        <v>5.1100000000000003</v>
      </c>
    </row>
    <row r="20878" spans="1:4" x14ac:dyDescent="0.25">
      <c r="A20878" t="str">
        <f>HYPERLINK("https://www.773grp.com/globalSearch/LPC1224FBD64-1011/page-1", "LPC1224FBD64-1011")</f>
        <v>LPC1224FBD64-1011</v>
      </c>
      <c r="B20878" s="3" t="s">
        <v>93</v>
      </c>
      <c r="C20878" s="6">
        <v>23</v>
      </c>
      <c r="D20878" s="7">
        <v>4.68</v>
      </c>
    </row>
    <row r="20879" spans="1:4" x14ac:dyDescent="0.25">
      <c r="A20879" t="str">
        <f>HYPERLINK("https://www.773grp.com/globalSearch/P89LPC9321FN112/page-1", "P89LPC9321FN112")</f>
        <v>P89LPC9321FN112</v>
      </c>
      <c r="B20879" s="3" t="s">
        <v>93</v>
      </c>
      <c r="C20879" s="6">
        <v>397</v>
      </c>
      <c r="D20879" s="7">
        <v>4.68</v>
      </c>
    </row>
    <row r="20880" spans="1:4" x14ac:dyDescent="0.25">
      <c r="A20880" t="str">
        <f>HYPERLINK("https://www.773grp.com/globalSearch/BUK7510-100B127/page-1", "BUK7510-100B127")</f>
        <v>BUK7510-100B127</v>
      </c>
      <c r="B20880" s="3" t="s">
        <v>93</v>
      </c>
      <c r="C20880" s="6">
        <v>30</v>
      </c>
      <c r="D20880" s="7">
        <v>5.16</v>
      </c>
    </row>
    <row r="20881" spans="1:4" x14ac:dyDescent="0.25">
      <c r="A20881" t="str">
        <f>HYPERLINK("https://www.773grp.com/globalSearch/BUK7E1R6-30E127/page-1", "BUK7E1R6-30E127")</f>
        <v>BUK7E1R6-30E127</v>
      </c>
      <c r="B20881" s="3" t="str">
        <f>HYPERLINK("https://www.773grp.com/manufacturer/nxp-semiconductor?pageNo=1", "NXP Semiconductors")</f>
        <v>NXP Semiconductors</v>
      </c>
      <c r="C20881" s="6">
        <v>295</v>
      </c>
      <c r="D20881" s="7">
        <v>5.16</v>
      </c>
    </row>
    <row r="20882" spans="1:4" x14ac:dyDescent="0.25">
      <c r="A20882" t="str">
        <f>HYPERLINK("https://www.773grp.com/globalSearch/BUK7E4R0-80E127/page-1", "BUK7E4R0-80E127")</f>
        <v>BUK7E4R0-80E127</v>
      </c>
      <c r="B20882" s="3" t="str">
        <f>HYPERLINK("https://www.773grp.com/manufacturer/nxp-semiconductor?pageNo=2", "NXP Semiconductors")</f>
        <v>NXP Semiconductors</v>
      </c>
      <c r="C20882" s="6">
        <v>296</v>
      </c>
      <c r="D20882" s="7">
        <v>5.16</v>
      </c>
    </row>
    <row r="20883" spans="1:4" x14ac:dyDescent="0.25">
      <c r="A20883" t="str">
        <f>HYPERLINK("https://www.773grp.com/globalSearch/BUK9E1R6-30E127/page-1", "BUK9E1R6-30E127")</f>
        <v>BUK9E1R6-30E127</v>
      </c>
      <c r="B20883" s="3" t="str">
        <f>HYPERLINK("https://www.773grp.com/manufacturer/nxp-semiconductor?pageNo=3", "NXP Semiconductors")</f>
        <v>NXP Semiconductors</v>
      </c>
      <c r="C20883" s="6">
        <v>100</v>
      </c>
      <c r="D20883" s="7">
        <v>5.16</v>
      </c>
    </row>
    <row r="20884" spans="1:4" x14ac:dyDescent="0.25">
      <c r="A20884" t="str">
        <f>HYPERLINK("https://www.773grp.com/globalSearch/BUK9E1R9-40E127/page-1", "BUK9E1R9-40E127")</f>
        <v>BUK9E1R9-40E127</v>
      </c>
      <c r="B20884" s="3" t="str">
        <f>HYPERLINK("https://www.773grp.com/manufacturer/nxp-semiconductor?pageNo=4", "NXP Semiconductors")</f>
        <v>NXP Semiconductors</v>
      </c>
      <c r="C20884" s="6">
        <v>74</v>
      </c>
      <c r="D20884" s="7">
        <v>5.16</v>
      </c>
    </row>
    <row r="20885" spans="1:4" x14ac:dyDescent="0.25">
      <c r="A20885" t="str">
        <f>HYPERLINK("https://www.773grp.com/globalSearch/BUK9E2R8-60E127/page-1", "BUK9E2R8-60E127")</f>
        <v>BUK9E2R8-60E127</v>
      </c>
      <c r="B20885" s="3" t="str">
        <f>HYPERLINK("https://www.773grp.com/manufacturer/nxp-semiconductor?pageNo=5", "NXP Semiconductors")</f>
        <v>NXP Semiconductors</v>
      </c>
      <c r="C20885" s="6">
        <v>288</v>
      </c>
      <c r="D20885" s="7">
        <v>5.16</v>
      </c>
    </row>
    <row r="20886" spans="1:4" x14ac:dyDescent="0.25">
      <c r="A20886" t="str">
        <f>HYPERLINK("https://www.773grp.com/globalSearch/BUK9E4R4-80E127/page-1", "BUK9E4R4-80E127")</f>
        <v>BUK9E4R4-80E127</v>
      </c>
      <c r="B20886" s="3" t="str">
        <f>HYPERLINK("https://www.773grp.com/manufacturer/nxp-semiconductor?pageNo=6", "NXP Semiconductors")</f>
        <v>NXP Semiconductors</v>
      </c>
      <c r="C20886" s="6">
        <v>295</v>
      </c>
      <c r="D20886" s="7">
        <v>5.16</v>
      </c>
    </row>
    <row r="20887" spans="1:4" x14ac:dyDescent="0.25">
      <c r="A20887" t="str">
        <f>HYPERLINK("https://www.773grp.com/globalSearch/BUK9E6R1-100E127/page-1", "BUK9E6R1-100E127")</f>
        <v>BUK9E6R1-100E127</v>
      </c>
      <c r="B20887" s="3" t="str">
        <f>HYPERLINK("https://www.773grp.com/manufacturer/nxp-semiconductor?pageNo=7", "NXP Semiconductors")</f>
        <v>NXP Semiconductors</v>
      </c>
      <c r="C20887" s="6">
        <v>285</v>
      </c>
      <c r="D20887" s="7">
        <v>5.16</v>
      </c>
    </row>
    <row r="20888" spans="1:4" x14ac:dyDescent="0.25">
      <c r="A20888" t="str">
        <f>HYPERLINK("https://www.773grp.com/globalSearch/PCA9665D118/page-1", "PCA9665D118")</f>
        <v>PCA9665D118</v>
      </c>
      <c r="B20888" s="3" t="str">
        <f>HYPERLINK("https://www.773grp.com/manufacturer/nxp-semiconductor?pageNo=8", "NXP Semiconductors")</f>
        <v>NXP Semiconductors</v>
      </c>
      <c r="C20888" s="6">
        <v>994</v>
      </c>
      <c r="D20888" s="7">
        <v>5.16</v>
      </c>
    </row>
    <row r="20889" spans="1:4" x14ac:dyDescent="0.25">
      <c r="A20889" t="str">
        <f>HYPERLINK("https://www.773grp.com/globalSearch/PCA9665PW112/page-1", "PCA9665PW112")</f>
        <v>PCA9665PW112</v>
      </c>
      <c r="B20889" s="3" t="str">
        <f>HYPERLINK("https://www.773grp.com/manufacturer/nxp-semiconductor?pageNo=9", "NXP Semiconductors")</f>
        <v>NXP Semiconductors</v>
      </c>
      <c r="C20889" s="6">
        <v>1875</v>
      </c>
      <c r="D20889" s="7">
        <v>5.16</v>
      </c>
    </row>
    <row r="20890" spans="1:4" x14ac:dyDescent="0.25">
      <c r="A20890" t="str">
        <f>HYPERLINK("https://www.773grp.com/globalSearch/PCA9665PW118/page-1", "PCA9665PW118")</f>
        <v>PCA9665PW118</v>
      </c>
      <c r="B20890" s="3" t="str">
        <f>HYPERLINK("https://www.773grp.com/manufacturer/nxp-semiconductor?pageNo=10", "NXP Semiconductors")</f>
        <v>NXP Semiconductors</v>
      </c>
      <c r="C20890" s="6">
        <v>12500</v>
      </c>
      <c r="D20890" s="7">
        <v>5.16</v>
      </c>
    </row>
    <row r="20891" spans="1:4" x14ac:dyDescent="0.25">
      <c r="A20891" t="str">
        <f>HYPERLINK("https://www.773grp.com/globalSearch/SA58643DP118/page-1", "SA58643DP118")</f>
        <v>SA58643DP118</v>
      </c>
      <c r="B20891" s="3" t="str">
        <f>HYPERLINK("https://www.773grp.com/manufacturer/nxp-semiconductor?pageNo=11", "NXP Semiconductors")</f>
        <v>NXP Semiconductors</v>
      </c>
      <c r="C20891" s="6">
        <v>524</v>
      </c>
      <c r="D20891" s="7">
        <v>5.16</v>
      </c>
    </row>
    <row r="20892" spans="1:4" x14ac:dyDescent="0.25">
      <c r="A20892" t="str">
        <f>HYPERLINK("https://www.773grp.com/globalSearch/LPC1113FHN33-301551/page-1", "LPC1113FHN33-301551")</f>
        <v>LPC1113FHN33-301551</v>
      </c>
      <c r="B20892" s="3" t="str">
        <f>HYPERLINK("https://www.773grp.com/manufacturer/nxp-semiconductor?pageNo=12", "NXP Semiconductors")</f>
        <v>NXP Semiconductors</v>
      </c>
      <c r="C20892" s="6">
        <v>780</v>
      </c>
      <c r="D20892" s="7">
        <v>5.21</v>
      </c>
    </row>
    <row r="20893" spans="1:4" x14ac:dyDescent="0.25">
      <c r="A20893" t="str">
        <f>HYPERLINK("https://www.773grp.com/globalSearch/P87LPC761BN112/page-1", "P87LPC761BN112")</f>
        <v>P87LPC761BN112</v>
      </c>
      <c r="B20893" s="3" t="str">
        <f>HYPERLINK("https://www.773grp.com/manufacturer/nxp-semiconductor?pageNo=13", "NXP Semiconductors")</f>
        <v>NXP Semiconductors</v>
      </c>
      <c r="C20893" s="6">
        <v>83</v>
      </c>
      <c r="D20893" s="7">
        <v>5.21</v>
      </c>
    </row>
    <row r="20894" spans="1:4" x14ac:dyDescent="0.25">
      <c r="A20894" t="str">
        <f>HYPERLINK("https://www.773grp.com/globalSearch/P89LPC9331FDH512/page-1", "P89LPC9331FDH512")</f>
        <v>P89LPC9331FDH512</v>
      </c>
      <c r="B20894" s="3" t="str">
        <f>HYPERLINK("https://www.773grp.com/manufacturer/nxp-semiconductor?pageNo=14", "NXP Semiconductors")</f>
        <v>NXP Semiconductors</v>
      </c>
      <c r="C20894" s="6">
        <v>1224</v>
      </c>
      <c r="D20894" s="7">
        <v>5.21</v>
      </c>
    </row>
    <row r="20895" spans="1:4" x14ac:dyDescent="0.25">
      <c r="A20895" t="str">
        <f>HYPERLINK("https://www.773grp.com/globalSearch/PCF8591T-2512/page-1", "PCF8591T-2512")</f>
        <v>PCF8591T-2512</v>
      </c>
      <c r="B20895" s="3" t="str">
        <f>HYPERLINK("https://www.773grp.com/manufacturer/nxp-semiconductor?pageNo=15", "NXP Semiconductors")</f>
        <v>NXP Semiconductors</v>
      </c>
      <c r="C20895" s="6">
        <v>2780</v>
      </c>
      <c r="D20895" s="7">
        <v>5.21</v>
      </c>
    </row>
    <row r="20896" spans="1:4" x14ac:dyDescent="0.25">
      <c r="A20896" t="str">
        <f>HYPERLINK("https://www.773grp.com/globalSearch/PSMN057-200P127/page-1", "PSMN057-200P127")</f>
        <v>PSMN057-200P127</v>
      </c>
      <c r="B20896" s="3" t="str">
        <f>HYPERLINK("https://www.773grp.com/manufacturer/nxp-semiconductor?pageNo=16", "NXP Semiconductors")</f>
        <v>NXP Semiconductors</v>
      </c>
      <c r="C20896" s="6">
        <v>8189</v>
      </c>
      <c r="D20896" s="7">
        <v>5.21</v>
      </c>
    </row>
    <row r="20897" spans="1:4" x14ac:dyDescent="0.25">
      <c r="A20897" t="str">
        <f>HYPERLINK("https://www.773grp.com/globalSearch/UJA1079ATW-3V3118/page-1", "UJA1079ATW-3V3118")</f>
        <v>UJA1079ATW-3V3118</v>
      </c>
      <c r="B20897" s="3" t="str">
        <f>HYPERLINK("https://www.773grp.com/manufacturer/nxp-semiconductor?pageNo=17", "NXP Semiconductors")</f>
        <v>NXP Semiconductors</v>
      </c>
      <c r="C20897" s="6">
        <v>4000</v>
      </c>
      <c r="D20897" s="7">
        <v>5.21</v>
      </c>
    </row>
    <row r="20898" spans="1:4" x14ac:dyDescent="0.25">
      <c r="A20898" t="str">
        <f>HYPERLINK("https://www.773grp.com/globalSearch/UJA1079ATW-5V0118/page-1", "UJA1079ATW-5V0118")</f>
        <v>UJA1079ATW-5V0118</v>
      </c>
      <c r="B20898" s="3" t="str">
        <f>HYPERLINK("https://www.773grp.com/manufacturer/nxp-semiconductor?pageNo=18", "NXP Semiconductors")</f>
        <v>NXP Semiconductors</v>
      </c>
      <c r="C20898" s="6">
        <v>6000</v>
      </c>
      <c r="D20898" s="7">
        <v>5.21</v>
      </c>
    </row>
    <row r="20899" spans="1:4" x14ac:dyDescent="0.25">
      <c r="A20899" t="str">
        <f>HYPERLINK("https://www.773grp.com/globalSearch/BUK7C06-40AITE118/page-1", "BUK7C06-40AITE118")</f>
        <v>BUK7C06-40AITE118</v>
      </c>
      <c r="B20899" s="3" t="str">
        <f>HYPERLINK("https://www.773grp.com/manufacturer/nxp-semiconductor?pageNo=19", "NXP Semiconductors")</f>
        <v>NXP Semiconductors</v>
      </c>
      <c r="C20899" s="6">
        <v>87</v>
      </c>
      <c r="D20899" s="7">
        <v>4.78</v>
      </c>
    </row>
    <row r="20900" spans="1:4" x14ac:dyDescent="0.25">
      <c r="A20900" t="str">
        <f>HYPERLINK("https://www.773grp.com/globalSearch/74ALVT162240DL112/page-1", "74ALVT162240DL112")</f>
        <v>74ALVT162240DL112</v>
      </c>
      <c r="B20900" s="3" t="str">
        <f>HYPERLINK("https://www.773grp.com/manufacturer/nxp-semiconductor?pageNo=20", "NXP Semiconductors")</f>
        <v>NXP Semiconductors</v>
      </c>
      <c r="C20900" s="6">
        <v>1581</v>
      </c>
      <c r="D20900" s="7">
        <v>4.8099999999999996</v>
      </c>
    </row>
    <row r="20901" spans="1:4" x14ac:dyDescent="0.25">
      <c r="A20901" t="str">
        <f>HYPERLINK("https://www.773grp.com/globalSearch/74ALVT162241DGG512/page-1", "74ALVT162241DGG512")</f>
        <v>74ALVT162241DGG512</v>
      </c>
      <c r="B20901" s="3" t="str">
        <f>HYPERLINK("https://www.773grp.com/manufacturer/nxp-semiconductor?pageNo=21", "NXP Semiconductors")</f>
        <v>NXP Semiconductors</v>
      </c>
      <c r="C20901" s="6">
        <v>975</v>
      </c>
      <c r="D20901" s="7">
        <v>4.8099999999999996</v>
      </c>
    </row>
    <row r="20902" spans="1:4" x14ac:dyDescent="0.25">
      <c r="A20902" t="str">
        <f>HYPERLINK("https://www.773grp.com/globalSearch/74ALVT162241DL112/page-1", "74ALVT162241DL112")</f>
        <v>74ALVT162241DL112</v>
      </c>
      <c r="B20902" s="3" t="str">
        <f>HYPERLINK("https://www.773grp.com/manufacturer/nxp-semiconductor?pageNo=22", "NXP Semiconductors")</f>
        <v>NXP Semiconductors</v>
      </c>
      <c r="C20902" s="6">
        <v>1581</v>
      </c>
      <c r="D20902" s="7">
        <v>4.8099999999999996</v>
      </c>
    </row>
    <row r="20903" spans="1:4" x14ac:dyDescent="0.25">
      <c r="A20903" t="str">
        <f>HYPERLINK("https://www.773grp.com/globalSearch/74ALVT162245DGG11/page-1", "74ALVT162245DGG11")</f>
        <v>74ALVT162245DGG11</v>
      </c>
      <c r="B20903" s="3" t="str">
        <f>HYPERLINK("https://www.773grp.com/manufacturer/nxp-semiconductor?pageNo=23", "NXP Semiconductors")</f>
        <v>NXP Semiconductors</v>
      </c>
      <c r="C20903" s="6">
        <v>692</v>
      </c>
      <c r="D20903" s="7">
        <v>4.8099999999999996</v>
      </c>
    </row>
    <row r="20904" spans="1:4" x14ac:dyDescent="0.25">
      <c r="A20904" t="str">
        <f>HYPERLINK("https://www.773grp.com/globalSearch/P87C51RA2BA512/page-1", "P87C51RA2BA512")</f>
        <v>P87C51RA2BA512</v>
      </c>
      <c r="B20904" s="3" t="str">
        <f>HYPERLINK("https://www.773grp.com/manufacturer/nxp-semiconductor?pageNo=24", "NXP Semiconductors")</f>
        <v>NXP Semiconductors</v>
      </c>
      <c r="C20904" s="6">
        <v>775</v>
      </c>
      <c r="D20904" s="7">
        <v>4.8099999999999996</v>
      </c>
    </row>
    <row r="20905" spans="1:4" x14ac:dyDescent="0.25">
      <c r="A20905" t="str">
        <f>HYPERLINK("https://www.773grp.com/globalSearch/74HC7731D112/page-1", "74HC7731D112")</f>
        <v>74HC7731D112</v>
      </c>
      <c r="B20905" s="3" t="str">
        <f>HYPERLINK("https://www.773grp.com/manufacturer/nxp-semiconductor?pageNo=25", "NXP Semiconductors")</f>
        <v>NXP Semiconductors</v>
      </c>
      <c r="C20905" s="6">
        <v>207</v>
      </c>
      <c r="D20905" s="7">
        <v>4.84</v>
      </c>
    </row>
    <row r="20906" spans="1:4" x14ac:dyDescent="0.25">
      <c r="A20906" t="str">
        <f>HYPERLINK("https://www.773grp.com/globalSearch/PCU9656B118/page-1", "PCU9656B118")</f>
        <v>PCU9656B118</v>
      </c>
      <c r="B20906" s="3" t="str">
        <f>HYPERLINK("https://www.773grp.com/manufacturer/nxp-semiconductor?pageNo=26", "NXP Semiconductors")</f>
        <v>NXP Semiconductors</v>
      </c>
      <c r="C20906" s="6">
        <v>3642</v>
      </c>
      <c r="D20906" s="7">
        <v>4.8600000000000003</v>
      </c>
    </row>
    <row r="20907" spans="1:4" x14ac:dyDescent="0.25">
      <c r="A20907" t="str">
        <f>HYPERLINK("https://www.773grp.com/globalSearch/LPC1317FBD48551/page-1", "LPC1317FBD48551")</f>
        <v>LPC1317FBD48551</v>
      </c>
      <c r="B20907" s="3" t="str">
        <f>HYPERLINK("https://www.773grp.com/manufacturer/nxp-semiconductor?pageNo=27", "NXP Semiconductors")</f>
        <v>NXP Semiconductors</v>
      </c>
      <c r="C20907" s="6">
        <v>250</v>
      </c>
      <c r="D20907" s="7">
        <v>4.95</v>
      </c>
    </row>
    <row r="20908" spans="1:4" x14ac:dyDescent="0.25">
      <c r="A20908" t="str">
        <f>HYPERLINK("https://www.773grp.com/globalSearch/N74F166D602/page-1", "N74F166D602")</f>
        <v>N74F166D602</v>
      </c>
      <c r="B20908" s="3" t="str">
        <f>HYPERLINK("https://www.773grp.com/manufacturer/nxp-semiconductor?pageNo=28", "NXP Semiconductors")</f>
        <v>NXP Semiconductors</v>
      </c>
      <c r="C20908" s="6">
        <v>2874</v>
      </c>
      <c r="D20908" s="7">
        <v>5.01</v>
      </c>
    </row>
    <row r="20909" spans="1:4" x14ac:dyDescent="0.25">
      <c r="A20909" t="str">
        <f>HYPERLINK("https://www.773grp.com/globalSearch/EM773FHN33551/page-1", "EM773FHN33551")</f>
        <v>EM773FHN33551</v>
      </c>
      <c r="B20909" s="3" t="str">
        <f>HYPERLINK("https://www.773grp.com/manufacturer/nxp-semiconductor?pageNo=29", "NXP Semiconductors")</f>
        <v>NXP Semiconductors</v>
      </c>
      <c r="C20909" s="6">
        <v>194</v>
      </c>
      <c r="D20909" s="7">
        <v>5.0599999999999996</v>
      </c>
    </row>
    <row r="20910" spans="1:4" x14ac:dyDescent="0.25">
      <c r="A20910" t="str">
        <f>HYPERLINK("https://www.773grp.com/globalSearch/LPC11U36FBD48-401151/page-1", "LPC11U36FBD48-401151")</f>
        <v>LPC11U36FBD48-401151</v>
      </c>
      <c r="B20910" s="3" t="str">
        <f>HYPERLINK("https://www.773grp.com/manufacturer/nxp-semiconductor?pageNo=30", "NXP Semiconductors")</f>
        <v>NXP Semiconductors</v>
      </c>
      <c r="C20910" s="6">
        <v>150</v>
      </c>
      <c r="D20910" s="7">
        <v>5.0999999999999996</v>
      </c>
    </row>
    <row r="20911" spans="1:4" x14ac:dyDescent="0.25">
      <c r="A20911" t="str">
        <f>HYPERLINK("https://www.773grp.com/globalSearch/LPC11U36FBD64-401151/page-1", "LPC11U36FBD64-401151")</f>
        <v>LPC11U36FBD64-401151</v>
      </c>
      <c r="B20911" s="3" t="str">
        <f>HYPERLINK("https://www.773grp.com/manufacturer/nxp-semiconductor?pageNo=31", "NXP Semiconductors")</f>
        <v>NXP Semiconductors</v>
      </c>
      <c r="C20911" s="6">
        <v>160</v>
      </c>
      <c r="D20911" s="7">
        <v>5.0999999999999996</v>
      </c>
    </row>
    <row r="20912" spans="1:4" x14ac:dyDescent="0.25">
      <c r="A20912" t="str">
        <f>HYPERLINK("https://www.773grp.com/globalSearch/74HC4059N112/page-1", "74HC4059N112")</f>
        <v>74HC4059N112</v>
      </c>
      <c r="B20912" s="3" t="str">
        <f>HYPERLINK("https://www.773grp.com/manufacturer/nxp-semiconductor?pageNo=32", "NXP Semiconductors")</f>
        <v>NXP Semiconductors</v>
      </c>
      <c r="C20912" s="6">
        <v>1753</v>
      </c>
      <c r="D20912" s="7">
        <v>5.1100000000000003</v>
      </c>
    </row>
    <row r="20913" spans="1:4" x14ac:dyDescent="0.25">
      <c r="A20913" t="str">
        <f>HYPERLINK("https://www.773grp.com/globalSearch/P87C51RA2FA512/page-1", "P87C51RA2FA512")</f>
        <v>P87C51RA2FA512</v>
      </c>
      <c r="B20913" s="3" t="str">
        <f>HYPERLINK("https://www.773grp.com/manufacturer/nxp-semiconductor?pageNo=33", "NXP Semiconductors")</f>
        <v>NXP Semiconductors</v>
      </c>
      <c r="C20913" s="6">
        <v>3016</v>
      </c>
      <c r="D20913" s="7">
        <v>5.1100000000000003</v>
      </c>
    </row>
    <row r="20914" spans="1:4" x14ac:dyDescent="0.25">
      <c r="A20914" t="str">
        <f>HYPERLINK("https://www.773grp.com/globalSearch/TDA19998HL-C1557/page-1", "TDA19998HL-C1557")</f>
        <v>TDA19998HL-C1557</v>
      </c>
      <c r="B20914" s="3" t="str">
        <f>HYPERLINK("https://www.773grp.com/manufacturer/nxp-semiconductor?pageNo=34", "NXP Semiconductors")</f>
        <v>NXP Semiconductors</v>
      </c>
      <c r="C20914" s="6">
        <v>13494</v>
      </c>
      <c r="D20914" s="7">
        <v>5.1100000000000003</v>
      </c>
    </row>
    <row r="20915" spans="1:4" x14ac:dyDescent="0.25">
      <c r="A20915" t="str">
        <f>HYPERLINK("https://www.773grp.com/globalSearch/P89LPC936FDH518/page-1", "P89LPC936FDH518")</f>
        <v>P89LPC936FDH518</v>
      </c>
      <c r="B20915" s="3" t="str">
        <f>HYPERLINK("https://www.773grp.com/manufacturer/nxp-semiconductor?pageNo=35", "NXP Semiconductors")</f>
        <v>NXP Semiconductors</v>
      </c>
      <c r="C20915" s="6">
        <v>2500</v>
      </c>
      <c r="D20915" s="7">
        <v>5.2</v>
      </c>
    </row>
    <row r="20916" spans="1:4" x14ac:dyDescent="0.25">
      <c r="A20916" t="str">
        <f>HYPERLINK("https://www.773grp.com/globalSearch/P87C58X2BN112/page-1", "P87C58X2BN112")</f>
        <v>P87C58X2BN112</v>
      </c>
      <c r="B20916" s="3" t="str">
        <f>HYPERLINK("https://www.773grp.com/manufacturer/nxp-semiconductor?pageNo=36", "NXP Semiconductors")</f>
        <v>NXP Semiconductors</v>
      </c>
      <c r="C20916" s="6">
        <v>216</v>
      </c>
      <c r="D20916" s="7">
        <v>5.29</v>
      </c>
    </row>
    <row r="20917" spans="1:4" x14ac:dyDescent="0.25">
      <c r="A20917" t="str">
        <f>HYPERLINK("https://www.773grp.com/globalSearch/74ALVT16260DL512/page-1", "74ALVT16260DL512")</f>
        <v>74ALVT16260DL512</v>
      </c>
      <c r="B20917" s="3" t="str">
        <f>HYPERLINK("https://www.773grp.com/manufacturer/nxp-semiconductor?pageNo=37", "NXP Semiconductors")</f>
        <v>NXP Semiconductors</v>
      </c>
      <c r="C20917" s="6">
        <v>1326</v>
      </c>
      <c r="D20917" s="7">
        <v>5.31</v>
      </c>
    </row>
    <row r="20918" spans="1:4" x14ac:dyDescent="0.25">
      <c r="A20918" t="str">
        <f>HYPERLINK("https://www.773grp.com/globalSearch/LPC11U36FBD64-401/page-1", "LPC11U36FBD64-401")</f>
        <v>LPC11U36FBD64-401</v>
      </c>
      <c r="B20918" s="3" t="str">
        <f>HYPERLINK("https://www.773grp.com/manufacturer/nxp-semiconductor?pageNo=38", "NXP Semiconductors")</f>
        <v>NXP Semiconductors</v>
      </c>
      <c r="C20918" s="6">
        <v>30</v>
      </c>
      <c r="D20918" s="7">
        <v>5.31</v>
      </c>
    </row>
    <row r="20919" spans="1:4" x14ac:dyDescent="0.25">
      <c r="A20919" t="str">
        <f>HYPERLINK("https://www.773grp.com/globalSearch/SC16C650BIBS151/page-1", "SC16C650BIBS151")</f>
        <v>SC16C650BIBS151</v>
      </c>
      <c r="B20919" s="3" t="str">
        <f>HYPERLINK("https://www.773grp.com/manufacturer/nxp-semiconductor?pageNo=39", "NXP Semiconductors")</f>
        <v>NXP Semiconductors</v>
      </c>
      <c r="C20919" s="6">
        <v>53</v>
      </c>
      <c r="D20919" s="7">
        <v>5.31</v>
      </c>
    </row>
    <row r="20920" spans="1:4" x14ac:dyDescent="0.25">
      <c r="A20920" t="str">
        <f>HYPERLINK("https://www.773grp.com/globalSearch/LPC2102FHN48551/page-1", "LPC2102FHN48551")</f>
        <v>LPC2102FHN48551</v>
      </c>
      <c r="B20920" s="3" t="str">
        <f>HYPERLINK("https://www.773grp.com/manufacturer/nxp-semiconductor?pageNo=40", "NXP Semiconductors")</f>
        <v>NXP Semiconductors</v>
      </c>
      <c r="C20920" s="6">
        <v>50</v>
      </c>
      <c r="D20920" s="7">
        <v>5.35</v>
      </c>
    </row>
    <row r="20921" spans="1:4" x14ac:dyDescent="0.25">
      <c r="A20921" t="str">
        <f>HYPERLINK("https://www.773grp.com/globalSearch/P89LPC952FBD157/page-1", "P89LPC952FBD157")</f>
        <v>P89LPC952FBD157</v>
      </c>
      <c r="B20921" s="3" t="str">
        <f>HYPERLINK("https://www.773grp.com/manufacturer/nxp-semiconductor?pageNo=41", "NXP Semiconductors")</f>
        <v>NXP Semiconductors</v>
      </c>
      <c r="C20921" s="6">
        <v>800</v>
      </c>
      <c r="D20921" s="7">
        <v>5.35</v>
      </c>
    </row>
    <row r="20922" spans="1:4" x14ac:dyDescent="0.25">
      <c r="A20922" t="str">
        <f>HYPERLINK("https://www.773grp.com/globalSearch/SA636DK-01112/page-1", "SA636DK-01112")</f>
        <v>SA636DK-01112</v>
      </c>
      <c r="B20922" s="3" t="str">
        <f>HYPERLINK("https://www.773grp.com/manufacturer/nxp-semiconductor?pageNo=42", "NXP Semiconductors")</f>
        <v>NXP Semiconductors</v>
      </c>
      <c r="C20922" s="6">
        <v>1950</v>
      </c>
      <c r="D20922" s="7">
        <v>5.44</v>
      </c>
    </row>
    <row r="20923" spans="1:4" x14ac:dyDescent="0.25">
      <c r="A20923" t="str">
        <f>HYPERLINK("https://www.773grp.com/globalSearch/SA636DK-01118/page-1", "SA636DK-01118")</f>
        <v>SA636DK-01118</v>
      </c>
      <c r="B20923" s="3" t="str">
        <f>HYPERLINK("https://www.773grp.com/manufacturer/nxp-semiconductor?pageNo=43", "NXP Semiconductors")</f>
        <v>NXP Semiconductors</v>
      </c>
      <c r="C20923" s="6">
        <v>2225</v>
      </c>
      <c r="D20923" s="7">
        <v>5.44</v>
      </c>
    </row>
    <row r="20924" spans="1:4" x14ac:dyDescent="0.25">
      <c r="A20924" t="str">
        <f>HYPERLINK("https://www.773grp.com/globalSearch/HEF4067BP652/page-1", "HEF4067BP652")</f>
        <v>HEF4067BP652</v>
      </c>
      <c r="B20924" s="3" t="str">
        <f>HYPERLINK("https://www.773grp.com/manufacturer/nxp-semiconductor?pageNo=44", "NXP Semiconductors")</f>
        <v>NXP Semiconductors</v>
      </c>
      <c r="C20924" s="6">
        <v>19440</v>
      </c>
      <c r="D20924" s="7">
        <v>5.45</v>
      </c>
    </row>
    <row r="20925" spans="1:4" x14ac:dyDescent="0.25">
      <c r="A20925" t="str">
        <f>HYPERLINK("https://www.773grp.com/globalSearch/BGA7351115/page-1", "BGA7351115")</f>
        <v>BGA7351115</v>
      </c>
      <c r="B20925" s="3" t="str">
        <f>HYPERLINK("https://www.773grp.com/manufacturer/nxp-semiconductor?pageNo=45", "NXP Semiconductors")</f>
        <v>NXP Semiconductors</v>
      </c>
      <c r="C20925" s="6">
        <v>3000</v>
      </c>
      <c r="D20925" s="7">
        <v>5.49</v>
      </c>
    </row>
    <row r="20926" spans="1:4" x14ac:dyDescent="0.25">
      <c r="A20926" t="str">
        <f>HYPERLINK("https://www.773grp.com/globalSearch/BGA7351515/page-1", "BGA7351515")</f>
        <v>BGA7351515</v>
      </c>
      <c r="B20926" s="3" t="str">
        <f>HYPERLINK("https://www.773grp.com/manufacturer/nxp-semiconductor?pageNo=46", "NXP Semiconductors")</f>
        <v>NXP Semiconductors</v>
      </c>
      <c r="C20926" s="6">
        <v>50</v>
      </c>
      <c r="D20926" s="7">
        <v>5.49</v>
      </c>
    </row>
    <row r="20927" spans="1:4" x14ac:dyDescent="0.25">
      <c r="A20927" t="str">
        <f>HYPERLINK("https://www.773grp.com/globalSearch/LPC11U37FBD64-501/page-1", "LPC11U37FBD64-501")</f>
        <v>LPC11U37FBD64-501</v>
      </c>
      <c r="B20927" s="3" t="str">
        <f>HYPERLINK("https://www.773grp.com/manufacturer/nxp-semiconductor?pageNo=47", "NXP Semiconductors")</f>
        <v>NXP Semiconductors</v>
      </c>
      <c r="C20927" s="6">
        <v>75</v>
      </c>
      <c r="D20927" s="7">
        <v>5.51</v>
      </c>
    </row>
    <row r="20928" spans="1:4" x14ac:dyDescent="0.25">
      <c r="A20928" t="str">
        <f>HYPERLINK("https://www.773grp.com/globalSearch/UAA3220TS-V1S118/page-1", "UAA3220TS-V1S118")</f>
        <v>UAA3220TS-V1S118</v>
      </c>
      <c r="B20928" s="3" t="str">
        <f>HYPERLINK("https://www.773grp.com/manufacturer/nxp-semiconductor?pageNo=48", "NXP Semiconductors")</f>
        <v>NXP Semiconductors</v>
      </c>
      <c r="C20928" s="6">
        <v>4000</v>
      </c>
      <c r="D20928" s="7">
        <v>5.6</v>
      </c>
    </row>
    <row r="20929" spans="1:4" x14ac:dyDescent="0.25">
      <c r="A20929" t="str">
        <f>HYPERLINK("https://www.773grp.com/globalSearch/SC16C752BIB48128/page-1", "SC16C752BIB48128")</f>
        <v>SC16C752BIB48128</v>
      </c>
      <c r="B20929" s="3" t="str">
        <f>HYPERLINK("https://www.773grp.com/manufacturer/nxp-semiconductor?pageNo=1", "NXP Semiconductors")</f>
        <v>NXP Semiconductors</v>
      </c>
      <c r="C20929" s="6">
        <v>2000</v>
      </c>
      <c r="D20929" s="7">
        <v>5.63</v>
      </c>
    </row>
    <row r="20930" spans="1:4" x14ac:dyDescent="0.25">
      <c r="A20930" t="str">
        <f>HYPERLINK("https://www.773grp.com/globalSearch/SC16C752BIB48151/page-1", "SC16C752BIB48151")</f>
        <v>SC16C752BIB48151</v>
      </c>
      <c r="B20930" s="3" t="str">
        <f>HYPERLINK("https://www.773grp.com/manufacturer/nxp-semiconductor?pageNo=2", "NXP Semiconductors")</f>
        <v>NXP Semiconductors</v>
      </c>
      <c r="C20930" s="6">
        <v>198</v>
      </c>
      <c r="D20930" s="7">
        <v>5.63</v>
      </c>
    </row>
    <row r="20931" spans="1:4" x14ac:dyDescent="0.25">
      <c r="A20931" t="str">
        <f>HYPERLINK("https://www.773grp.com/globalSearch/SC16IS762IBS128/page-1", "SC16IS762IBS128")</f>
        <v>SC16IS762IBS128</v>
      </c>
      <c r="B20931" s="3" t="str">
        <f>HYPERLINK("https://www.773grp.com/manufacturer/nxp-semiconductor?pageNo=3", "NXP Semiconductors")</f>
        <v>NXP Semiconductors</v>
      </c>
      <c r="C20931" s="6">
        <v>4500</v>
      </c>
      <c r="D20931" s="7">
        <v>5.63</v>
      </c>
    </row>
    <row r="20932" spans="1:4" x14ac:dyDescent="0.25">
      <c r="A20932" t="str">
        <f>HYPERLINK("https://www.773grp.com/globalSearch/SC16IS762IBS151/page-1", "SC16IS762IBS151")</f>
        <v>SC16IS762IBS151</v>
      </c>
      <c r="B20932" s="3" t="str">
        <f>HYPERLINK("https://www.773grp.com/manufacturer/nxp-semiconductor?pageNo=4", "NXP Semiconductors")</f>
        <v>NXP Semiconductors</v>
      </c>
      <c r="C20932" s="6">
        <v>90</v>
      </c>
      <c r="D20932" s="7">
        <v>5.63</v>
      </c>
    </row>
    <row r="20933" spans="1:4" x14ac:dyDescent="0.25">
      <c r="A20933" t="str">
        <f>HYPERLINK("https://www.773grp.com/globalSearch/SC16IS762IPW112/page-1", "SC16IS762IPW112")</f>
        <v>SC16IS762IPW112</v>
      </c>
      <c r="B20933" s="3" t="str">
        <f>HYPERLINK("https://www.773grp.com/manufacturer/nxp-semiconductor?pageNo=5", "NXP Semiconductors")</f>
        <v>NXP Semiconductors</v>
      </c>
      <c r="C20933" s="6">
        <v>1121</v>
      </c>
      <c r="D20933" s="7">
        <v>5.63</v>
      </c>
    </row>
    <row r="20934" spans="1:4" x14ac:dyDescent="0.25">
      <c r="A20934" t="str">
        <f>HYPERLINK("https://www.773grp.com/globalSearch/TDA10027HN-C1518/page-1", "TDA10027HN-C1518")</f>
        <v>TDA10027HN-C1518</v>
      </c>
      <c r="B20934" s="3" t="str">
        <f>HYPERLINK("https://www.773grp.com/manufacturer/nxp-semiconductor?pageNo=6", "NXP Semiconductors")</f>
        <v>NXP Semiconductors</v>
      </c>
      <c r="C20934" s="6">
        <v>1000</v>
      </c>
      <c r="D20934" s="7">
        <v>5.63</v>
      </c>
    </row>
    <row r="20935" spans="1:4" x14ac:dyDescent="0.25">
      <c r="A20935" t="str">
        <f>HYPERLINK("https://www.773grp.com/globalSearch/TDA20137-1557/page-1", "TDA20137-1557")</f>
        <v>TDA20137-1557</v>
      </c>
      <c r="B20935" s="3" t="str">
        <f>HYPERLINK("https://www.773grp.com/manufacturer/nxp-semiconductor?pageNo=7", "NXP Semiconductors")</f>
        <v>NXP Semiconductors</v>
      </c>
      <c r="C20935" s="6">
        <v>1300</v>
      </c>
      <c r="D20935" s="7">
        <v>5.63</v>
      </c>
    </row>
    <row r="20936" spans="1:4" x14ac:dyDescent="0.25">
      <c r="A20936" t="str">
        <f>HYPERLINK("https://www.773grp.com/globalSearch/SA615D-01112/page-1", "SA615D-01112")</f>
        <v>SA615D-01112</v>
      </c>
      <c r="B20936" s="3" t="str">
        <f>HYPERLINK("https://www.773grp.com/manufacturer/nxp-semiconductor?pageNo=8", "NXP Semiconductors")</f>
        <v>NXP Semiconductors</v>
      </c>
      <c r="C20936" s="6">
        <v>55</v>
      </c>
      <c r="D20936" s="7">
        <v>5.74</v>
      </c>
    </row>
    <row r="20937" spans="1:4" x14ac:dyDescent="0.25">
      <c r="A20937" t="str">
        <f>HYPERLINK("https://www.773grp.com/globalSearch/TDA8007BHL-C3118/page-1", "TDA8007BHL-C3118")</f>
        <v>TDA8007BHL-C3118</v>
      </c>
      <c r="B20937" s="3" t="str">
        <f>HYPERLINK("https://www.773grp.com/manufacturer/nxp-semiconductor?pageNo=9", "NXP Semiconductors")</f>
        <v>NXP Semiconductors</v>
      </c>
      <c r="C20937" s="6">
        <v>18800</v>
      </c>
      <c r="D20937" s="7">
        <v>5.74</v>
      </c>
    </row>
    <row r="20938" spans="1:4" x14ac:dyDescent="0.25">
      <c r="A20938" t="str">
        <f>HYPERLINK("https://www.773grp.com/globalSearch/TDA8007BHL-C4118/page-1", "TDA8007BHL-C4118")</f>
        <v>TDA8007BHL-C4118</v>
      </c>
      <c r="B20938" s="3" t="str">
        <f>HYPERLINK("https://www.773grp.com/manufacturer/nxp-semiconductor?pageNo=10", "NXP Semiconductors")</f>
        <v>NXP Semiconductors</v>
      </c>
      <c r="C20938" s="6">
        <v>12000</v>
      </c>
      <c r="D20938" s="7">
        <v>5.74</v>
      </c>
    </row>
    <row r="20939" spans="1:4" x14ac:dyDescent="0.25">
      <c r="A20939" t="str">
        <f>HYPERLINK("https://www.773grp.com/globalSearch/TDA5051AT-C1518/page-1", "TDA5051AT-C1518")</f>
        <v>TDA5051AT-C1518</v>
      </c>
      <c r="B20939" s="3" t="str">
        <f>HYPERLINK("https://www.773grp.com/manufacturer/nxp-semiconductor?pageNo=11", "NXP Semiconductors")</f>
        <v>NXP Semiconductors</v>
      </c>
      <c r="C20939" s="6">
        <v>1285</v>
      </c>
      <c r="D20939" s="7">
        <v>5.78</v>
      </c>
    </row>
    <row r="20940" spans="1:4" x14ac:dyDescent="0.25">
      <c r="A20940" t="str">
        <f>HYPERLINK("https://www.773grp.com/globalSearch/N74F3037N602/page-1", "N74F3037N602")</f>
        <v>N74F3037N602</v>
      </c>
      <c r="B20940" s="3" t="str">
        <f>HYPERLINK("https://www.773grp.com/manufacturer/nxp-semiconductor?pageNo=12", "NXP Semiconductors")</f>
        <v>NXP Semiconductors</v>
      </c>
      <c r="C20940" s="6">
        <v>1034</v>
      </c>
      <c r="D20940" s="7">
        <v>5.85</v>
      </c>
    </row>
    <row r="20941" spans="1:4" x14ac:dyDescent="0.25">
      <c r="A20941" t="str">
        <f>HYPERLINK("https://www.773grp.com/globalSearch/SC16C752BIBS128/page-1", "SC16C752BIBS128")</f>
        <v>SC16C752BIBS128</v>
      </c>
      <c r="B20941" s="3" t="str">
        <f>HYPERLINK("https://www.773grp.com/manufacturer/nxp-semiconductor?pageNo=13", "NXP Semiconductors")</f>
        <v>NXP Semiconductors</v>
      </c>
      <c r="C20941" s="6">
        <v>6000</v>
      </c>
      <c r="D20941" s="7">
        <v>5.85</v>
      </c>
    </row>
    <row r="20942" spans="1:4" x14ac:dyDescent="0.25">
      <c r="A20942" t="str">
        <f>HYPERLINK("https://www.773grp.com/globalSearch/SC16C752BIBS151/page-1", "SC16C752BIBS151")</f>
        <v>SC16C752BIBS151</v>
      </c>
      <c r="B20942" s="3" t="str">
        <f>HYPERLINK("https://www.773grp.com/manufacturer/nxp-semiconductor?pageNo=14", "NXP Semiconductors")</f>
        <v>NXP Semiconductors</v>
      </c>
      <c r="C20942" s="6">
        <v>370</v>
      </c>
      <c r="D20942" s="7">
        <v>5.85</v>
      </c>
    </row>
    <row r="20943" spans="1:4" x14ac:dyDescent="0.25">
      <c r="A20943" t="str">
        <f>HYPERLINK("https://www.773grp.com/globalSearch/SC16C752BIBS157/page-1", "SC16C752BIBS157")</f>
        <v>SC16C752BIBS157</v>
      </c>
      <c r="B20943" s="3" t="str">
        <f>HYPERLINK("https://www.773grp.com/manufacturer/nxp-semiconductor?pageNo=15", "NXP Semiconductors")</f>
        <v>NXP Semiconductors</v>
      </c>
      <c r="C20943" s="6">
        <v>2000</v>
      </c>
      <c r="D20943" s="7">
        <v>5.85</v>
      </c>
    </row>
    <row r="20944" spans="1:4" x14ac:dyDescent="0.25">
      <c r="A20944" t="str">
        <f>HYPERLINK("https://www.773grp.com/globalSearch/P87C51RB2BN112/page-1", "P87C51RB2BN112")</f>
        <v>P87C51RB2BN112</v>
      </c>
      <c r="B20944" s="3" t="str">
        <f>HYPERLINK("https://www.773grp.com/manufacturer/nxp-semiconductor?pageNo=16", "NXP Semiconductors")</f>
        <v>NXP Semiconductors</v>
      </c>
      <c r="C20944" s="6">
        <v>142</v>
      </c>
      <c r="D20944" s="7">
        <v>5.88</v>
      </c>
    </row>
    <row r="20945" spans="1:4" x14ac:dyDescent="0.25">
      <c r="A20945" t="str">
        <f>HYPERLINK("https://www.773grp.com/globalSearch/SC16C2550BIBS151/page-1", "SC16C2550BIBS151")</f>
        <v>SC16C2550BIBS151</v>
      </c>
      <c r="B20945" s="3" t="str">
        <f>HYPERLINK("https://www.773grp.com/manufacturer/nxp-semiconductor?pageNo=17", "NXP Semiconductors")</f>
        <v>NXP Semiconductors</v>
      </c>
      <c r="C20945" s="6">
        <v>903</v>
      </c>
      <c r="D20945" s="7">
        <v>5.94</v>
      </c>
    </row>
    <row r="20946" spans="1:4" x14ac:dyDescent="0.25">
      <c r="A20946" t="str">
        <f>HYPERLINK("https://www.773grp.com/globalSearch/SC16C650BIB48151/page-1", "SC16C650BIB48151")</f>
        <v>SC16C650BIB48151</v>
      </c>
      <c r="B20946" s="3" t="str">
        <f>HYPERLINK("https://www.773grp.com/manufacturer/nxp-semiconductor?pageNo=18", "NXP Semiconductors")</f>
        <v>NXP Semiconductors</v>
      </c>
      <c r="C20946" s="6">
        <v>250</v>
      </c>
      <c r="D20946" s="7">
        <v>5.94</v>
      </c>
    </row>
    <row r="20947" spans="1:4" x14ac:dyDescent="0.25">
      <c r="A20947" t="str">
        <f>HYPERLINK("https://www.773grp.com/globalSearch/TDA8922CJ-N1112/page-1", "TDA8922CJ-N1112")</f>
        <v>TDA8922CJ-N1112</v>
      </c>
      <c r="B20947" s="3" t="str">
        <f>HYPERLINK("https://www.773grp.com/manufacturer/nxp-semiconductor?pageNo=19", "NXP Semiconductors")</f>
        <v>NXP Semiconductors</v>
      </c>
      <c r="C20947" s="6">
        <v>36</v>
      </c>
      <c r="D20947" s="7">
        <v>5.94</v>
      </c>
    </row>
    <row r="20948" spans="1:4" x14ac:dyDescent="0.25">
      <c r="A20948" t="str">
        <f>HYPERLINK("https://www.773grp.com/globalSearch/TDA19989BET-C1551/page-1", "TDA19989BET-C1551")</f>
        <v>TDA19989BET-C1551</v>
      </c>
      <c r="B20948" s="3" t="str">
        <f>HYPERLINK("https://www.773grp.com/manufacturer/nxp-semiconductor?pageNo=20", "NXP Semiconductors")</f>
        <v>NXP Semiconductors</v>
      </c>
      <c r="C20948" s="6">
        <v>200</v>
      </c>
      <c r="D20948" s="7">
        <v>5.99</v>
      </c>
    </row>
    <row r="20949" spans="1:4" x14ac:dyDescent="0.25">
      <c r="A20949" t="str">
        <f>HYPERLINK("https://www.773grp.com/globalSearch/TDA8922BJ-N2112/page-1", "TDA8922BJ-N2112")</f>
        <v>TDA8922BJ-N2112</v>
      </c>
      <c r="B20949" s="3" t="str">
        <f>HYPERLINK("https://www.773grp.com/manufacturer/nxp-semiconductor?pageNo=21", "NXP Semiconductors")</f>
        <v>NXP Semiconductors</v>
      </c>
      <c r="C20949" s="6">
        <v>5</v>
      </c>
      <c r="D20949" s="7">
        <v>6.08</v>
      </c>
    </row>
    <row r="20950" spans="1:4" x14ac:dyDescent="0.25">
      <c r="A20950" t="str">
        <f>HYPERLINK("https://www.773grp.com/globalSearch/SA605D-01112/page-1", "SA605D-01112")</f>
        <v>SA605D-01112</v>
      </c>
      <c r="B20950" s="3" t="str">
        <f>HYPERLINK("https://www.773grp.com/manufacturer/nxp-semiconductor?pageNo=22", "NXP Semiconductors")</f>
        <v>NXP Semiconductors</v>
      </c>
      <c r="C20950" s="6">
        <v>874</v>
      </c>
      <c r="D20950" s="7">
        <v>6.19</v>
      </c>
    </row>
    <row r="20951" spans="1:4" x14ac:dyDescent="0.25">
      <c r="A20951" t="str">
        <f>HYPERLINK("https://www.773grp.com/globalSearch/SA605D-01118/page-1", "SA605D-01118")</f>
        <v>SA605D-01118</v>
      </c>
      <c r="B20951" s="3" t="str">
        <f>HYPERLINK("https://www.773grp.com/manufacturer/nxp-semiconductor?pageNo=23", "NXP Semiconductors")</f>
        <v>NXP Semiconductors</v>
      </c>
      <c r="C20951" s="6">
        <v>118</v>
      </c>
      <c r="D20951" s="7">
        <v>6.19</v>
      </c>
    </row>
    <row r="20952" spans="1:4" x14ac:dyDescent="0.25">
      <c r="A20952" t="str">
        <f>HYPERLINK("https://www.773grp.com/globalSearch/SA605DK-01112/page-1", "SA605DK-01112")</f>
        <v>SA605DK-01112</v>
      </c>
      <c r="B20952" s="3" t="str">
        <f>HYPERLINK("https://www.773grp.com/manufacturer/nxp-semiconductor?pageNo=24", "NXP Semiconductors")</f>
        <v>NXP Semiconductors</v>
      </c>
      <c r="C20952" s="6">
        <v>1350</v>
      </c>
      <c r="D20952" s="7">
        <v>6.19</v>
      </c>
    </row>
    <row r="20953" spans="1:4" x14ac:dyDescent="0.25">
      <c r="A20953" t="str">
        <f>HYPERLINK("https://www.773grp.com/globalSearch/TDA9955HL-17-C155/page-1", "TDA9955HL-17-C155")</f>
        <v>TDA9955HL-17-C155</v>
      </c>
      <c r="B20953" s="3" t="str">
        <f>HYPERLINK("https://www.773grp.com/manufacturer/nxp-semiconductor?pageNo=25", "NXP Semiconductors")</f>
        <v>NXP Semiconductors</v>
      </c>
      <c r="C20953" s="6">
        <v>101</v>
      </c>
      <c r="D20953" s="7">
        <v>6.25</v>
      </c>
    </row>
    <row r="20954" spans="1:4" x14ac:dyDescent="0.25">
      <c r="A20954" t="str">
        <f>HYPERLINK("https://www.773grp.com/globalSearch/UDA1341TS-N1512/page-1", "UDA1341TS-N1512")</f>
        <v>UDA1341TS-N1512</v>
      </c>
      <c r="B20954" s="3" t="str">
        <f>HYPERLINK("https://www.773grp.com/manufacturer/nxp-semiconductor?pageNo=26", "NXP Semiconductors")</f>
        <v>NXP Semiconductors</v>
      </c>
      <c r="C20954" s="6">
        <v>1740</v>
      </c>
      <c r="D20954" s="7">
        <v>6.28</v>
      </c>
    </row>
    <row r="20955" spans="1:4" x14ac:dyDescent="0.25">
      <c r="A20955" t="str">
        <f>HYPERLINK("https://www.773grp.com/globalSearch/UDA1341TS-N1518/page-1", "UDA1341TS-N1518")</f>
        <v>UDA1341TS-N1518</v>
      </c>
      <c r="B20955" s="3" t="str">
        <f>HYPERLINK("https://www.773grp.com/manufacturer/nxp-semiconductor?pageNo=27", "NXP Semiconductors")</f>
        <v>NXP Semiconductors</v>
      </c>
      <c r="C20955" s="6">
        <v>33000</v>
      </c>
      <c r="D20955" s="7">
        <v>6.28</v>
      </c>
    </row>
    <row r="20956" spans="1:4" x14ac:dyDescent="0.25">
      <c r="A20956" t="str">
        <f>HYPERLINK("https://www.773grp.com/globalSearch/UDA1342TS-N1512/page-1", "UDA1342TS-N1512")</f>
        <v>UDA1342TS-N1512</v>
      </c>
      <c r="B20956" s="3" t="str">
        <f>HYPERLINK("https://www.773grp.com/manufacturer/nxp-semiconductor?pageNo=28", "NXP Semiconductors")</f>
        <v>NXP Semiconductors</v>
      </c>
      <c r="C20956" s="6">
        <v>37</v>
      </c>
      <c r="D20956" s="7">
        <v>6.28</v>
      </c>
    </row>
    <row r="20957" spans="1:4" x14ac:dyDescent="0.25">
      <c r="A20957" t="str">
        <f>HYPERLINK("https://www.773grp.com/globalSearch/LPC2103FHN48551/page-1", "LPC2103FHN48551")</f>
        <v>LPC2103FHN48551</v>
      </c>
      <c r="B20957" s="3" t="str">
        <f>HYPERLINK("https://www.773grp.com/manufacturer/nxp-semiconductor?pageNo=29", "NXP Semiconductors")</f>
        <v>NXP Semiconductors</v>
      </c>
      <c r="C20957" s="6">
        <v>204</v>
      </c>
      <c r="D20957" s="7">
        <v>6.33</v>
      </c>
    </row>
    <row r="20958" spans="1:4" x14ac:dyDescent="0.25">
      <c r="A20958" t="str">
        <f>HYPERLINK("https://www.773grp.com/globalSearch/SCC68681C1A44529/page-1", "SCC68681C1A44529")</f>
        <v>SCC68681C1A44529</v>
      </c>
      <c r="B20958" s="3" t="str">
        <f>HYPERLINK("https://www.773grp.com/manufacturer/nxp-semiconductor?pageNo=30", "NXP Semiconductors")</f>
        <v>NXP Semiconductors</v>
      </c>
      <c r="C20958" s="6">
        <v>156</v>
      </c>
      <c r="D20958" s="7">
        <v>6.33</v>
      </c>
    </row>
    <row r="20959" spans="1:4" x14ac:dyDescent="0.25">
      <c r="A20959" t="str">
        <f>HYPERLINK("https://www.773grp.com/globalSearch/TDA19988BET-C1118/page-1", "TDA19988BET-C1118")</f>
        <v>TDA19988BET-C1118</v>
      </c>
      <c r="B20959" s="3" t="str">
        <f>HYPERLINK("https://www.773grp.com/manufacturer/nxp-semiconductor?pageNo=31", "NXP Semiconductors")</f>
        <v>NXP Semiconductors</v>
      </c>
      <c r="C20959" s="6">
        <v>28000</v>
      </c>
      <c r="D20959" s="7">
        <v>6.33</v>
      </c>
    </row>
    <row r="20960" spans="1:4" x14ac:dyDescent="0.25">
      <c r="A20960" t="str">
        <f>HYPERLINK("https://www.773grp.com/globalSearch/TDA19988BET-C1151/page-1", "TDA19988BET-C1151")</f>
        <v>TDA19988BET-C1151</v>
      </c>
      <c r="B20960" s="3" t="str">
        <f>HYPERLINK("https://www.773grp.com/manufacturer/nxp-semiconductor?pageNo=32", "NXP Semiconductors")</f>
        <v>NXP Semiconductors</v>
      </c>
      <c r="C20960" s="6">
        <v>275</v>
      </c>
      <c r="D20960" s="7">
        <v>6.33</v>
      </c>
    </row>
    <row r="20961" spans="1:4" x14ac:dyDescent="0.25">
      <c r="A20961" t="str">
        <f>HYPERLINK("https://www.773grp.com/globalSearch/SA607DK-01112/page-1", "SA607DK-01112")</f>
        <v>SA607DK-01112</v>
      </c>
      <c r="B20961" s="3" t="str">
        <f>HYPERLINK("https://www.773grp.com/manufacturer/nxp-semiconductor?pageNo=33", "NXP Semiconductors")</f>
        <v>NXP Semiconductors</v>
      </c>
      <c r="C20961" s="6">
        <v>1125</v>
      </c>
      <c r="D20961" s="7">
        <v>6.36</v>
      </c>
    </row>
    <row r="20962" spans="1:4" x14ac:dyDescent="0.25">
      <c r="A20962" t="str">
        <f>HYPERLINK("https://www.773grp.com/globalSearch/P87C54SBAA512/page-1", "P87C54SBAA512")</f>
        <v>P87C54SBAA512</v>
      </c>
      <c r="B20962" s="3" t="str">
        <f>HYPERLINK("https://www.773grp.com/manufacturer/nxp-semiconductor?pageNo=34", "NXP Semiconductors")</f>
        <v>NXP Semiconductors</v>
      </c>
      <c r="C20962" s="6">
        <v>306</v>
      </c>
      <c r="D20962" s="7">
        <v>6.38</v>
      </c>
    </row>
    <row r="20963" spans="1:4" x14ac:dyDescent="0.25">
      <c r="A20963" t="str">
        <f>HYPERLINK("https://www.773grp.com/globalSearch/TDA8920CJ-N1112/page-1", "TDA8920CJ-N1112")</f>
        <v>TDA8920CJ-N1112</v>
      </c>
      <c r="B20963" s="3" t="str">
        <f>HYPERLINK("https://www.773grp.com/manufacturer/nxp-semiconductor?pageNo=35", "NXP Semiconductors")</f>
        <v>NXP Semiconductors</v>
      </c>
      <c r="C20963" s="6">
        <v>432</v>
      </c>
      <c r="D20963" s="7">
        <v>6.45</v>
      </c>
    </row>
    <row r="20964" spans="1:4" x14ac:dyDescent="0.25">
      <c r="A20964" t="str">
        <f>HYPERLINK("https://www.773grp.com/globalSearch/SC16C2552BIA44529/page-1", "SC16C2552BIA44529")</f>
        <v>SC16C2552BIA44529</v>
      </c>
      <c r="B20964" s="3" t="str">
        <f>HYPERLINK("https://www.773grp.com/manufacturer/nxp-semiconductor?pageNo=36", "NXP Semiconductors")</f>
        <v>NXP Semiconductors</v>
      </c>
      <c r="C20964" s="6">
        <v>156</v>
      </c>
      <c r="D20964" s="7">
        <v>6.46</v>
      </c>
    </row>
    <row r="20965" spans="1:4" x14ac:dyDescent="0.25">
      <c r="A20965" t="str">
        <f>HYPERLINK("https://www.773grp.com/globalSearch/SC16C2550BIA44518/page-1", "SC16C2550BIA44518")</f>
        <v>SC16C2550BIA44518</v>
      </c>
      <c r="B20965" s="3" t="str">
        <f>HYPERLINK("https://www.773grp.com/manufacturer/nxp-semiconductor?pageNo=37", "NXP Semiconductors")</f>
        <v>NXP Semiconductors</v>
      </c>
      <c r="C20965" s="6">
        <v>25</v>
      </c>
      <c r="D20965" s="7">
        <v>6.5</v>
      </c>
    </row>
    <row r="20966" spans="1:4" x14ac:dyDescent="0.25">
      <c r="A20966" t="str">
        <f>HYPERLINK("https://www.773grp.com/globalSearch/SC16C2550BIB48128/page-1", "SC16C2550BIB48128")</f>
        <v>SC16C2550BIB48128</v>
      </c>
      <c r="B20966" s="3" t="str">
        <f>HYPERLINK("https://www.773grp.com/manufacturer/nxp-semiconductor?pageNo=38", "NXP Semiconductors")</f>
        <v>NXP Semiconductors</v>
      </c>
      <c r="C20966" s="6">
        <v>6000</v>
      </c>
      <c r="D20966" s="7">
        <v>6.5</v>
      </c>
    </row>
    <row r="20967" spans="1:4" x14ac:dyDescent="0.25">
      <c r="A20967" t="str">
        <f>HYPERLINK("https://www.773grp.com/globalSearch/SC16C2550BIB48151/page-1", "SC16C2550BIB48151")</f>
        <v>SC16C2550BIB48151</v>
      </c>
      <c r="B20967" s="3" t="str">
        <f>HYPERLINK("https://www.773grp.com/manufacturer/nxp-semiconductor?pageNo=39", "NXP Semiconductors")</f>
        <v>NXP Semiconductors</v>
      </c>
      <c r="C20967" s="6">
        <v>1000</v>
      </c>
      <c r="D20967" s="7">
        <v>6.5</v>
      </c>
    </row>
    <row r="20968" spans="1:4" x14ac:dyDescent="0.25">
      <c r="A20968" t="str">
        <f>HYPERLINK("https://www.773grp.com/globalSearch/SC16C2550IB48151/page-1", "SC16C2550IB48151")</f>
        <v>SC16C2550IB48151</v>
      </c>
      <c r="B20968" s="3" t="str">
        <f>HYPERLINK("https://www.773grp.com/manufacturer/nxp-semiconductor?pageNo=40", "NXP Semiconductors")</f>
        <v>NXP Semiconductors</v>
      </c>
      <c r="C20968" s="6">
        <v>500</v>
      </c>
      <c r="D20968" s="7">
        <v>6.5</v>
      </c>
    </row>
    <row r="20969" spans="1:4" x14ac:dyDescent="0.25">
      <c r="A20969" t="str">
        <f>HYPERLINK("https://www.773grp.com/globalSearch/TDA19988BHN-C1551/page-1", "TDA19988BHN-C1551")</f>
        <v>TDA19988BHN-C1551</v>
      </c>
      <c r="B20969" s="3" t="str">
        <f>HYPERLINK("https://www.773grp.com/manufacturer/nxp-semiconductor?pageNo=41", "NXP Semiconductors")</f>
        <v>NXP Semiconductors</v>
      </c>
      <c r="C20969" s="6">
        <v>241</v>
      </c>
      <c r="D20969" s="7">
        <v>6.5</v>
      </c>
    </row>
    <row r="20970" spans="1:4" x14ac:dyDescent="0.25">
      <c r="A20970" t="str">
        <f>HYPERLINK("https://www.773grp.com/globalSearch/TDA19988BHN-C1557/page-1", "TDA19988BHN-C1557")</f>
        <v>TDA19988BHN-C1557</v>
      </c>
      <c r="B20970" s="3" t="str">
        <f>HYPERLINK("https://www.773grp.com/manufacturer/nxp-semiconductor?pageNo=42", "NXP Semiconductors")</f>
        <v>NXP Semiconductors</v>
      </c>
      <c r="C20970" s="6">
        <v>2646</v>
      </c>
      <c r="D20970" s="7">
        <v>6.5</v>
      </c>
    </row>
    <row r="20971" spans="1:4" x14ac:dyDescent="0.25">
      <c r="A20971" t="str">
        <f>HYPERLINK("https://www.773grp.com/globalSearch/PCA9663B118/page-1", "PCA9663B118")</f>
        <v>PCA9663B118</v>
      </c>
      <c r="B20971" s="3" t="str">
        <f>HYPERLINK("https://www.773grp.com/manufacturer/nxp-semiconductor?pageNo=43", "NXP Semiconductors")</f>
        <v>NXP Semiconductors</v>
      </c>
      <c r="C20971" s="6">
        <v>2090</v>
      </c>
      <c r="D20971" s="7">
        <v>6.55</v>
      </c>
    </row>
    <row r="20972" spans="1:4" x14ac:dyDescent="0.25">
      <c r="A20972" t="str">
        <f>HYPERLINK("https://www.773grp.com/globalSearch/TDA3681ATH-N1S518/page-1", "TDA3681ATH-N1S518")</f>
        <v>TDA3681ATH-N1S518</v>
      </c>
      <c r="B20972" s="3" t="str">
        <f>HYPERLINK("https://www.773grp.com/manufacturer/nxp-semiconductor?pageNo=44", "NXP Semiconductors")</f>
        <v>NXP Semiconductors</v>
      </c>
      <c r="C20972" s="6">
        <v>3072</v>
      </c>
      <c r="D20972" s="7">
        <v>6.55</v>
      </c>
    </row>
    <row r="20973" spans="1:4" x14ac:dyDescent="0.25">
      <c r="A20973" t="str">
        <f>HYPERLINK("https://www.773grp.com/globalSearch/SJA1000T-N1112/page-1", "SJA1000T-N1112")</f>
        <v>SJA1000T-N1112</v>
      </c>
      <c r="B20973" s="3" t="str">
        <f>HYPERLINK("https://www.773grp.com/manufacturer/nxp-semiconductor?pageNo=45", "NXP Semiconductors")</f>
        <v>NXP Semiconductors</v>
      </c>
      <c r="C20973" s="6">
        <v>351</v>
      </c>
      <c r="D20973" s="7">
        <v>6.59</v>
      </c>
    </row>
    <row r="20974" spans="1:4" x14ac:dyDescent="0.25">
      <c r="A20974" t="str">
        <f>HYPERLINK("https://www.773grp.com/globalSearch/SJA1000T-N1118/page-1", "SJA1000T-N1118")</f>
        <v>SJA1000T-N1118</v>
      </c>
      <c r="B20974" s="3" t="str">
        <f>HYPERLINK("https://www.773grp.com/manufacturer/nxp-semiconductor?pageNo=46", "NXP Semiconductors")</f>
        <v>NXP Semiconductors</v>
      </c>
      <c r="C20974" s="6">
        <v>15000</v>
      </c>
      <c r="D20974" s="7">
        <v>6.59</v>
      </c>
    </row>
    <row r="20975" spans="1:4" x14ac:dyDescent="0.25">
      <c r="A20975" t="str">
        <f>HYPERLINK("https://www.773grp.com/globalSearch/P87C54SBPN112/page-1", "P87C54SBPN112")</f>
        <v>P87C54SBPN112</v>
      </c>
      <c r="B20975" s="3" t="str">
        <f>HYPERLINK("https://www.773grp.com/manufacturer/nxp-semiconductor?pageNo=47", "NXP Semiconductors")</f>
        <v>NXP Semiconductors</v>
      </c>
      <c r="C20975" s="6">
        <v>1348</v>
      </c>
      <c r="D20975" s="7">
        <v>6.7</v>
      </c>
    </row>
    <row r="20976" spans="1:4" x14ac:dyDescent="0.25">
      <c r="A20976" t="str">
        <f>HYPERLINK("https://www.773grp.com/globalSearch/SC16C852LIBS115/page-1", "SC16C852LIBS115")</f>
        <v>SC16C852LIBS115</v>
      </c>
      <c r="B20976" s="3" t="str">
        <f>HYPERLINK("https://www.773grp.com/manufacturer/nxp-semiconductor?pageNo=48", "NXP Semiconductors")</f>
        <v>NXP Semiconductors</v>
      </c>
      <c r="C20976" s="6">
        <v>3000</v>
      </c>
      <c r="D20976" s="7">
        <v>6.71</v>
      </c>
    </row>
    <row r="20977" spans="1:4" x14ac:dyDescent="0.25">
      <c r="A20977" t="str">
        <f>HYPERLINK("https://www.773grp.com/globalSearch/SC16C852LIBS151/page-1", "SC16C852LIBS151")</f>
        <v>SC16C852LIBS151</v>
      </c>
      <c r="B20977" s="3" t="str">
        <f>HYPERLINK("https://www.773grp.com/manufacturer/nxp-semiconductor?pageNo=1", "NXP Semiconductors")</f>
        <v>NXP Semiconductors</v>
      </c>
      <c r="C20977" s="6">
        <v>455</v>
      </c>
      <c r="D20977" s="7">
        <v>6.71</v>
      </c>
    </row>
    <row r="20978" spans="1:4" x14ac:dyDescent="0.25">
      <c r="A20978" t="str">
        <f>HYPERLINK("https://www.773grp.com/globalSearch/TEF6621T-V1512/page-1", "TEF6621T-V1512")</f>
        <v>TEF6621T-V1512</v>
      </c>
      <c r="B20978" s="3" t="str">
        <f>HYPERLINK("https://www.773grp.com/manufacturer/nxp-semiconductor?pageNo=2", "NXP Semiconductors")</f>
        <v>NXP Semiconductors</v>
      </c>
      <c r="C20978" s="6">
        <v>950</v>
      </c>
      <c r="D20978" s="7">
        <v>6.71</v>
      </c>
    </row>
    <row r="20979" spans="1:4" x14ac:dyDescent="0.25">
      <c r="A20979" t="str">
        <f>HYPERLINK("https://www.773grp.com/globalSearch/74HC7030D652/page-1", "74HC7030D652")</f>
        <v>74HC7030D652</v>
      </c>
      <c r="B20979" s="3" t="str">
        <f>HYPERLINK("https://www.773grp.com/manufacturer/nxp-semiconductor?pageNo=3", "NXP Semiconductors")</f>
        <v>NXP Semiconductors</v>
      </c>
      <c r="C20979" s="6">
        <v>525</v>
      </c>
      <c r="D20979" s="7">
        <v>6.75</v>
      </c>
    </row>
    <row r="20980" spans="1:4" x14ac:dyDescent="0.25">
      <c r="A20980" t="str">
        <f>HYPERLINK("https://www.773grp.com/globalSearch/SC68C752BIBS151/page-1", "SC68C752BIBS151")</f>
        <v>SC68C752BIBS151</v>
      </c>
      <c r="B20980" s="3" t="str">
        <f>HYPERLINK("https://www.773grp.com/manufacturer/nxp-semiconductor?pageNo=4", "NXP Semiconductors")</f>
        <v>NXP Semiconductors</v>
      </c>
      <c r="C20980" s="6">
        <v>378</v>
      </c>
      <c r="D20980" s="7">
        <v>6.75</v>
      </c>
    </row>
    <row r="20981" spans="1:4" x14ac:dyDescent="0.25">
      <c r="A20981" t="str">
        <f>HYPERLINK("https://www.773grp.com/globalSearch/PN5120A0HN-C1518/page-1", "PN5120A0HN-C1518")</f>
        <v>PN5120A0HN-C1518</v>
      </c>
      <c r="B20981" s="3" t="str">
        <f>HYPERLINK("https://www.773grp.com/manufacturer/nxp-semiconductor?pageNo=5", "NXP Semiconductors")</f>
        <v>NXP Semiconductors</v>
      </c>
      <c r="C20981" s="6">
        <v>100000</v>
      </c>
      <c r="D20981" s="7">
        <v>7.04</v>
      </c>
    </row>
    <row r="20982" spans="1:4" x14ac:dyDescent="0.25">
      <c r="A20982" t="str">
        <f>HYPERLINK("https://www.773grp.com/globalSearch/PN5120A0HN1-C1118/page-1", "PN5120A0HN1-C1118")</f>
        <v>PN5120A0HN1-C1118</v>
      </c>
      <c r="B20982" s="3" t="str">
        <f>HYPERLINK("https://www.773grp.com/manufacturer/nxp-semiconductor?pageNo=6", "NXP Semiconductors")</f>
        <v>NXP Semiconductors</v>
      </c>
      <c r="C20982" s="6">
        <v>24000</v>
      </c>
      <c r="D20982" s="7">
        <v>7.04</v>
      </c>
    </row>
    <row r="20983" spans="1:4" x14ac:dyDescent="0.25">
      <c r="A20983" t="str">
        <f>HYPERLINK("https://www.773grp.com/globalSearch/PN5120A0HN1-C1151/page-1", "PN5120A0HN1-C1151")</f>
        <v>PN5120A0HN1-C1151</v>
      </c>
      <c r="B20983" s="3" t="str">
        <f>HYPERLINK("https://www.773grp.com/manufacturer/nxp-semiconductor?pageNo=7", "NXP Semiconductors")</f>
        <v>NXP Semiconductors</v>
      </c>
      <c r="C20983" s="6">
        <v>12250</v>
      </c>
      <c r="D20983" s="7">
        <v>7.04</v>
      </c>
    </row>
    <row r="20984" spans="1:4" x14ac:dyDescent="0.25">
      <c r="A20984" t="str">
        <f>HYPERLINK("https://www.773grp.com/globalSearch/PN5120A0HN1-C1157/page-1", "PN5120A0HN1-C1157")</f>
        <v>PN5120A0HN1-C1157</v>
      </c>
      <c r="B20984" s="3" t="str">
        <f>HYPERLINK("https://www.773grp.com/manufacturer/nxp-semiconductor?pageNo=8", "NXP Semiconductors")</f>
        <v>NXP Semiconductors</v>
      </c>
      <c r="C20984" s="6">
        <v>1032</v>
      </c>
      <c r="D20984" s="7">
        <v>7.04</v>
      </c>
    </row>
    <row r="20985" spans="1:4" x14ac:dyDescent="0.25">
      <c r="A20985" t="str">
        <f>HYPERLINK("https://www.773grp.com/globalSearch/PN5120A0HN1-C2151/page-1", "PN5120A0HN1-C2151")</f>
        <v>PN5120A0HN1-C2151</v>
      </c>
      <c r="B20985" s="3" t="str">
        <f>HYPERLINK("https://www.773grp.com/manufacturer/nxp-semiconductor?pageNo=9", "NXP Semiconductors")</f>
        <v>NXP Semiconductors</v>
      </c>
      <c r="C20985" s="6">
        <v>5580</v>
      </c>
      <c r="D20985" s="7">
        <v>7.04</v>
      </c>
    </row>
    <row r="20986" spans="1:4" x14ac:dyDescent="0.25">
      <c r="A20986" t="str">
        <f>HYPERLINK("https://www.773grp.com/globalSearch/SC68C752BIB48157/page-1", "SC68C752BIB48157")</f>
        <v>SC68C752BIB48157</v>
      </c>
      <c r="B20986" s="3" t="str">
        <f>HYPERLINK("https://www.773grp.com/manufacturer/nxp-semiconductor?pageNo=10", "NXP Semiconductors")</f>
        <v>NXP Semiconductors</v>
      </c>
      <c r="C20986" s="6">
        <v>750</v>
      </c>
      <c r="D20986" s="7">
        <v>7.04</v>
      </c>
    </row>
    <row r="20987" spans="1:4" x14ac:dyDescent="0.25">
      <c r="A20987" t="str">
        <f>HYPERLINK("https://www.773grp.com/globalSearch/74ALVT162823DL512/page-1", "74ALVT162823DL512")</f>
        <v>74ALVT162823DL512</v>
      </c>
      <c r="B20987" s="3" t="str">
        <f>HYPERLINK("https://www.773grp.com/manufacturer/nxp-semiconductor?pageNo=11", "NXP Semiconductors")</f>
        <v>NXP Semiconductors</v>
      </c>
      <c r="C20987" s="6">
        <v>1326</v>
      </c>
      <c r="D20987" s="7">
        <v>7.29</v>
      </c>
    </row>
    <row r="20988" spans="1:4" x14ac:dyDescent="0.25">
      <c r="A20988" t="str">
        <f>HYPERLINK("https://www.773grp.com/globalSearch/74ALVT16823DGG112/page-1", "74ALVT16823DGG112")</f>
        <v>74ALVT16823DGG112</v>
      </c>
      <c r="B20988" s="3" t="str">
        <f>HYPERLINK("https://www.773grp.com/manufacturer/nxp-semiconductor?pageNo=12", "NXP Semiconductors")</f>
        <v>NXP Semiconductors</v>
      </c>
      <c r="C20988" s="6">
        <v>875</v>
      </c>
      <c r="D20988" s="7">
        <v>7.29</v>
      </c>
    </row>
    <row r="20989" spans="1:4" x14ac:dyDescent="0.25">
      <c r="A20989" t="str">
        <f>HYPERLINK("https://www.773grp.com/globalSearch/74ALVT16823DL512/page-1", "74ALVT16823DL512")</f>
        <v>74ALVT16823DL512</v>
      </c>
      <c r="B20989" s="3" t="str">
        <f>HYPERLINK("https://www.773grp.com/manufacturer/nxp-semiconductor?pageNo=13", "NXP Semiconductors")</f>
        <v>NXP Semiconductors</v>
      </c>
      <c r="C20989" s="6">
        <v>1326</v>
      </c>
      <c r="D20989" s="7">
        <v>7.29</v>
      </c>
    </row>
    <row r="20990" spans="1:4" x14ac:dyDescent="0.25">
      <c r="A20990" t="str">
        <f>HYPERLINK("https://www.773grp.com/globalSearch/74HC4067N652/page-1", "74HC4067N652")</f>
        <v>74HC4067N652</v>
      </c>
      <c r="B20990" s="3" t="str">
        <f>HYPERLINK("https://www.773grp.com/manufacturer/nxp-semiconductor?pageNo=14", "NXP Semiconductors")</f>
        <v>NXP Semiconductors</v>
      </c>
      <c r="C20990" s="6">
        <v>420</v>
      </c>
      <c r="D20990" s="7">
        <v>7.31</v>
      </c>
    </row>
    <row r="20991" spans="1:4" x14ac:dyDescent="0.25">
      <c r="A20991" t="str">
        <f>HYPERLINK("https://www.773grp.com/globalSearch/PCU9669B118/page-1", "PCU9669B118")</f>
        <v>PCU9669B118</v>
      </c>
      <c r="B20991" s="3" t="str">
        <f>HYPERLINK("https://www.773grp.com/manufacturer/nxp-semiconductor?pageNo=15", "NXP Semiconductors")</f>
        <v>NXP Semiconductors</v>
      </c>
      <c r="C20991" s="6">
        <v>2086</v>
      </c>
      <c r="D20991" s="7">
        <v>7.51</v>
      </c>
    </row>
    <row r="20992" spans="1:4" x14ac:dyDescent="0.25">
      <c r="A20992" t="str">
        <f>HYPERLINK("https://www.773grp.com/globalSearch/SCC2691AC1N24129/page-1", "SCC2691AC1N24129")</f>
        <v>SCC2691AC1N24129</v>
      </c>
      <c r="B20992" s="3" t="str">
        <f>HYPERLINK("https://www.773grp.com/manufacturer/nxp-semiconductor?pageNo=16", "NXP Semiconductors")</f>
        <v>NXP Semiconductors</v>
      </c>
      <c r="C20992" s="6">
        <v>75</v>
      </c>
      <c r="D20992" s="7">
        <v>7.6</v>
      </c>
    </row>
    <row r="20993" spans="1:4" x14ac:dyDescent="0.25">
      <c r="A20993" t="str">
        <f>HYPERLINK("https://www.773grp.com/globalSearch/SC16C652BIB48151/page-1", "SC16C652BIB48151")</f>
        <v>SC16C652BIB48151</v>
      </c>
      <c r="B20993" s="3" t="str">
        <f>HYPERLINK("https://www.773grp.com/manufacturer/nxp-semiconductor?pageNo=17", "NXP Semiconductors")</f>
        <v>NXP Semiconductors</v>
      </c>
      <c r="C20993" s="6">
        <v>23</v>
      </c>
      <c r="D20993" s="7">
        <v>7.68</v>
      </c>
    </row>
    <row r="20994" spans="1:4" x14ac:dyDescent="0.25">
      <c r="A20994" t="str">
        <f>HYPERLINK("https://www.773grp.com/globalSearch/74LVC32245AEC557/page-1", "74LVC32245AEC557")</f>
        <v>74LVC32245AEC557</v>
      </c>
      <c r="B20994" s="3" t="str">
        <f>HYPERLINK("https://www.773grp.com/manufacturer/nxp-semiconductor?pageNo=18", "NXP Semiconductors")</f>
        <v>NXP Semiconductors</v>
      </c>
      <c r="C20994" s="6">
        <v>1425</v>
      </c>
      <c r="D20994" s="7">
        <v>7.73</v>
      </c>
    </row>
    <row r="20995" spans="1:4" x14ac:dyDescent="0.25">
      <c r="A20995" t="str">
        <f>HYPERLINK("https://www.773grp.com/globalSearch/P87C51RB+4A512/page-1", "P87C51RB+4A512")</f>
        <v>P87C51RB+4A512</v>
      </c>
      <c r="B20995" s="3" t="str">
        <f>HYPERLINK("https://www.773grp.com/manufacturer/nxp-semiconductor?pageNo=19", "NXP Semiconductors")</f>
        <v>NXP Semiconductors</v>
      </c>
      <c r="C20995" s="6">
        <v>468</v>
      </c>
      <c r="D20995" s="7">
        <v>7.73</v>
      </c>
    </row>
    <row r="20996" spans="1:4" x14ac:dyDescent="0.25">
      <c r="A20996" t="str">
        <f>HYPERLINK("https://www.773grp.com/globalSearch/SCC2681AC1A44512/page-1", "SCC2681AC1A44512")</f>
        <v>SCC2681AC1A44512</v>
      </c>
      <c r="B20996" s="3" t="str">
        <f>HYPERLINK("https://www.773grp.com/manufacturer/nxp-semiconductor?pageNo=20", "NXP Semiconductors")</f>
        <v>NXP Semiconductors</v>
      </c>
      <c r="C20996" s="6">
        <v>3068</v>
      </c>
      <c r="D20996" s="7">
        <v>7.73</v>
      </c>
    </row>
    <row r="20997" spans="1:4" x14ac:dyDescent="0.25">
      <c r="A20997" t="str">
        <f>HYPERLINK("https://www.773grp.com/globalSearch/SCC2691AC1A28602/page-1", "SCC2691AC1A28602")</f>
        <v>SCC2691AC1A28602</v>
      </c>
      <c r="B20997" s="3" t="str">
        <f>HYPERLINK("https://www.773grp.com/manufacturer/nxp-semiconductor?pageNo=21", "NXP Semiconductors")</f>
        <v>NXP Semiconductors</v>
      </c>
      <c r="C20997" s="6">
        <v>384</v>
      </c>
      <c r="D20997" s="7">
        <v>7.73</v>
      </c>
    </row>
    <row r="20998" spans="1:4" x14ac:dyDescent="0.25">
      <c r="A20998" t="str">
        <f>HYPERLINK("https://www.773grp.com/globalSearch/SCC2691AC1D24512/page-1", "SCC2691AC1D24512")</f>
        <v>SCC2691AC1D24512</v>
      </c>
      <c r="B20998" s="3" t="str">
        <f>HYPERLINK("https://www.773grp.com/manufacturer/nxp-semiconductor?pageNo=22", "NXP Semiconductors")</f>
        <v>NXP Semiconductors</v>
      </c>
      <c r="C20998" s="6">
        <v>144</v>
      </c>
      <c r="D20998" s="7">
        <v>7.73</v>
      </c>
    </row>
    <row r="20999" spans="1:4" x14ac:dyDescent="0.25">
      <c r="A20999" t="str">
        <f>HYPERLINK("https://www.773grp.com/globalSearch/SCC68681C1A44512/page-1", "SCC68681C1A44512")</f>
        <v>SCC68681C1A44512</v>
      </c>
      <c r="B20999" s="3" t="str">
        <f>HYPERLINK("https://www.773grp.com/manufacturer/nxp-semiconductor?pageNo=23", "NXP Semiconductors")</f>
        <v>NXP Semiconductors</v>
      </c>
      <c r="C20999" s="6">
        <v>1300</v>
      </c>
      <c r="D20999" s="7">
        <v>7.73</v>
      </c>
    </row>
    <row r="21000" spans="1:4" x14ac:dyDescent="0.25">
      <c r="A21000" t="str">
        <f>HYPERLINK("https://www.773grp.com/globalSearch/SCC68681C1A44518/page-1", "SCC68681C1A44518")</f>
        <v>SCC68681C1A44518</v>
      </c>
      <c r="B21000" s="3" t="str">
        <f>HYPERLINK("https://www.773grp.com/manufacturer/nxp-semiconductor?pageNo=24", "NXP Semiconductors")</f>
        <v>NXP Semiconductors</v>
      </c>
      <c r="C21000" s="6">
        <v>164</v>
      </c>
      <c r="D21000" s="7">
        <v>7.73</v>
      </c>
    </row>
    <row r="21001" spans="1:4" x14ac:dyDescent="0.25">
      <c r="A21001" t="str">
        <f>HYPERLINK("https://www.773grp.com/globalSearch/JN5148-J01515/page-1", "JN5148-J01515")</f>
        <v>JN5148-J01515</v>
      </c>
      <c r="B21001" s="3" t="str">
        <f>HYPERLINK("https://www.773grp.com/manufacturer/nxp-semiconductor?pageNo=25", "NXP Semiconductors")</f>
        <v>NXP Semiconductors</v>
      </c>
      <c r="C21001" s="6">
        <v>2953</v>
      </c>
      <c r="D21001" s="7">
        <v>7.85</v>
      </c>
    </row>
    <row r="21002" spans="1:4" x14ac:dyDescent="0.25">
      <c r="A21002" t="str">
        <f>HYPERLINK("https://www.773grp.com/globalSearch/LPC1548JBD100E/page-1", "LPC1548JBD100E")</f>
        <v>LPC1548JBD100E</v>
      </c>
      <c r="B21002" s="3" t="str">
        <f>HYPERLINK("https://www.773grp.com/manufacturer/nxp-semiconductor?pageNo=26", "NXP Semiconductors")</f>
        <v>NXP Semiconductors</v>
      </c>
      <c r="C21002" s="6">
        <v>78</v>
      </c>
      <c r="D21002" s="7">
        <v>8.2100000000000009</v>
      </c>
    </row>
    <row r="21003" spans="1:4" x14ac:dyDescent="0.25">
      <c r="A21003" t="str">
        <f>HYPERLINK("https://www.773grp.com/globalSearch/P87C51RD2BBD157/page-1", "P87C51RD2BBD157")</f>
        <v>P87C51RD2BBD157</v>
      </c>
      <c r="B21003" s="3" t="str">
        <f>HYPERLINK("https://www.773grp.com/manufacturer/nxp-semiconductor?pageNo=27", "NXP Semiconductors")</f>
        <v>NXP Semiconductors</v>
      </c>
      <c r="C21003" s="6">
        <v>491</v>
      </c>
      <c r="D21003" s="7">
        <v>8.2100000000000009</v>
      </c>
    </row>
    <row r="21004" spans="1:4" x14ac:dyDescent="0.25">
      <c r="A21004" t="str">
        <f>HYPERLINK("https://www.773grp.com/globalSearch/LPC1810FET100551/page-1", "LPC1810FET100551")</f>
        <v>LPC1810FET100551</v>
      </c>
      <c r="B21004" s="3" t="str">
        <f>HYPERLINK("https://www.773grp.com/manufacturer/nxp-semiconductor?pageNo=28", "NXP Semiconductors")</f>
        <v>NXP Semiconductors</v>
      </c>
      <c r="C21004" s="6">
        <v>255</v>
      </c>
      <c r="D21004" s="7">
        <v>8.3000000000000007</v>
      </c>
    </row>
    <row r="21005" spans="1:4" x14ac:dyDescent="0.25">
      <c r="A21005" t="str">
        <f>HYPERLINK("https://www.773grp.com/globalSearch/P87C51RD2BA512/page-1", "P87C51RD2BA512")</f>
        <v>P87C51RD2BA512</v>
      </c>
      <c r="B21005" s="3" t="str">
        <f>HYPERLINK("https://www.773grp.com/manufacturer/nxp-semiconductor?pageNo=29", "NXP Semiconductors")</f>
        <v>NXP Semiconductors</v>
      </c>
      <c r="C21005" s="6">
        <v>832</v>
      </c>
      <c r="D21005" s="7">
        <v>8.35</v>
      </c>
    </row>
    <row r="21006" spans="1:4" x14ac:dyDescent="0.25">
      <c r="A21006" t="str">
        <f>HYPERLINK("https://www.773grp.com/globalSearch/PIP213-12M518/page-1", "PIP213-12M518")</f>
        <v>PIP213-12M518</v>
      </c>
      <c r="B21006" s="3" t="str">
        <f>HYPERLINK("https://www.773grp.com/manufacturer/nxp-semiconductor?pageNo=30", "NXP Semiconductors")</f>
        <v>NXP Semiconductors</v>
      </c>
      <c r="C21006" s="6">
        <v>1085</v>
      </c>
      <c r="D21006" s="7">
        <v>8.44</v>
      </c>
    </row>
    <row r="21007" spans="1:4" x14ac:dyDescent="0.25">
      <c r="A21007" t="str">
        <f>HYPERLINK("https://www.773grp.com/globalSearch/SC26C92C1B557/page-1", "SC26C92C1B557")</f>
        <v>SC26C92C1B557</v>
      </c>
      <c r="B21007" s="3" t="str">
        <f>HYPERLINK("https://www.773grp.com/manufacturer/nxp-semiconductor?pageNo=31", "NXP Semiconductors")</f>
        <v>NXP Semiconductors</v>
      </c>
      <c r="C21007" s="6">
        <v>86</v>
      </c>
      <c r="D21007" s="7">
        <v>8.44</v>
      </c>
    </row>
    <row r="21008" spans="1:4" x14ac:dyDescent="0.25">
      <c r="A21008" t="str">
        <f>HYPERLINK("https://www.773grp.com/globalSearch/P80C51FA-4N112/page-1", "P80C51FA-4N112")</f>
        <v>P80C51FA-4N112</v>
      </c>
      <c r="B21008" s="3" t="str">
        <f>HYPERLINK("https://www.773grp.com/manufacturer/nxp-semiconductor?pageNo=32", "NXP Semiconductors")</f>
        <v>NXP Semiconductors</v>
      </c>
      <c r="C21008" s="6">
        <v>161</v>
      </c>
      <c r="D21008" s="7">
        <v>8.58</v>
      </c>
    </row>
    <row r="21009" spans="1:4" x14ac:dyDescent="0.25">
      <c r="A21009" t="str">
        <f>HYPERLINK("https://www.773grp.com/globalSearch/P87C51RD2FBD-0115/page-1", "P87C51RD2FBD-0115")</f>
        <v>P87C51RD2FBD-0115</v>
      </c>
      <c r="B21009" s="3" t="str">
        <f>HYPERLINK("https://www.773grp.com/manufacturer/nxp-semiconductor?pageNo=33", "NXP Semiconductors")</f>
        <v>NXP Semiconductors</v>
      </c>
      <c r="C21009" s="6">
        <v>39</v>
      </c>
      <c r="D21009" s="7">
        <v>8.66</v>
      </c>
    </row>
    <row r="21010" spans="1:4" x14ac:dyDescent="0.25">
      <c r="A21010" t="str">
        <f>HYPERLINK("https://www.773grp.com/globalSearch/74HCT4059N112/page-1", "74HCT4059N112")</f>
        <v>74HCT4059N112</v>
      </c>
      <c r="B21010" s="3" t="str">
        <f>HYPERLINK("https://www.773grp.com/manufacturer/nxp-semiconductor?pageNo=34", "NXP Semiconductors")</f>
        <v>NXP Semiconductors</v>
      </c>
      <c r="C21010" s="6">
        <v>305</v>
      </c>
      <c r="D21010" s="7">
        <v>8.69</v>
      </c>
    </row>
    <row r="21011" spans="1:4" x14ac:dyDescent="0.25">
      <c r="A21011" t="str">
        <f>HYPERLINK("https://www.773grp.com/globalSearch/SC28L91A1B551/page-1", "SC28L91A1B551")</f>
        <v>SC28L91A1B551</v>
      </c>
      <c r="B21011" s="3" t="str">
        <f>HYPERLINK("https://www.773grp.com/manufacturer/nxp-semiconductor?pageNo=35", "NXP Semiconductors")</f>
        <v>NXP Semiconductors</v>
      </c>
      <c r="C21011" s="6">
        <v>34</v>
      </c>
      <c r="D21011" s="7">
        <v>8.86</v>
      </c>
    </row>
    <row r="21012" spans="1:4" x14ac:dyDescent="0.25">
      <c r="A21012" t="str">
        <f>HYPERLINK("https://www.773grp.com/globalSearch/HEF4059BP652/page-1", "HEF4059BP652")</f>
        <v>HEF4059BP652</v>
      </c>
      <c r="B21012" s="3" t="str">
        <f>HYPERLINK("https://www.773grp.com/manufacturer/nxp-semiconductor?pageNo=36", "NXP Semiconductors")</f>
        <v>NXP Semiconductors</v>
      </c>
      <c r="C21012" s="6">
        <v>360</v>
      </c>
      <c r="D21012" s="7">
        <v>8.91</v>
      </c>
    </row>
    <row r="21013" spans="1:4" x14ac:dyDescent="0.25">
      <c r="A21013" t="str">
        <f>HYPERLINK("https://www.773grp.com/globalSearch/P87C51FA4A512/page-1", "P87C51FA4A512")</f>
        <v>P87C51FA4A512</v>
      </c>
      <c r="B21013" s="3" t="str">
        <f>HYPERLINK("https://www.773grp.com/manufacturer/nxp-semiconductor?pageNo=37", "NXP Semiconductors")</f>
        <v>NXP Semiconductors</v>
      </c>
      <c r="C21013" s="6">
        <v>608</v>
      </c>
      <c r="D21013" s="7">
        <v>9.06</v>
      </c>
    </row>
    <row r="21014" spans="1:4" x14ac:dyDescent="0.25">
      <c r="A21014" t="str">
        <f>HYPERLINK("https://www.773grp.com/globalSearch/P87C51FA-4A512/page-1", "P87C51FA-4A512")</f>
        <v>P87C51FA-4A512</v>
      </c>
      <c r="B21014" s="3" t="str">
        <f>HYPERLINK("https://www.773grp.com/manufacturer/nxp-semiconductor?pageNo=38", "NXP Semiconductors")</f>
        <v>NXP Semiconductors</v>
      </c>
      <c r="C21014" s="6">
        <v>520</v>
      </c>
      <c r="D21014" s="7">
        <v>9.06</v>
      </c>
    </row>
    <row r="21015" spans="1:4" x14ac:dyDescent="0.25">
      <c r="A21015" t="str">
        <f>HYPERLINK("https://www.773grp.com/globalSearch/TDA8560Q-N1C112/page-1", "TDA8560Q-N1C112")</f>
        <v>TDA8560Q-N1C112</v>
      </c>
      <c r="B21015" s="3" t="str">
        <f>HYPERLINK("https://www.773grp.com/manufacturer/nxp-semiconductor?pageNo=39", "NXP Semiconductors")</f>
        <v>NXP Semiconductors</v>
      </c>
      <c r="C21015" s="6">
        <v>152</v>
      </c>
      <c r="D21015" s="7">
        <v>9.08</v>
      </c>
    </row>
    <row r="21016" spans="1:4" x14ac:dyDescent="0.25">
      <c r="A21016" t="str">
        <f>HYPERLINK("https://www.773grp.com/globalSearch/LPC1764FBD100551/page-1", "LPC1764FBD100551")</f>
        <v>LPC1764FBD100551</v>
      </c>
      <c r="B21016" s="3" t="str">
        <f>HYPERLINK("https://www.773grp.com/manufacturer/nxp-semiconductor?pageNo=40", "NXP Semiconductors")</f>
        <v>NXP Semiconductors</v>
      </c>
      <c r="C21016" s="6">
        <v>6840</v>
      </c>
      <c r="D21016" s="7">
        <v>9.15</v>
      </c>
    </row>
    <row r="21017" spans="1:4" x14ac:dyDescent="0.25">
      <c r="A21017" t="str">
        <f>HYPERLINK("https://www.773grp.com/globalSearch/LPC4310FET100551/page-1", "LPC4310FET100551")</f>
        <v>LPC4310FET100551</v>
      </c>
      <c r="B21017" s="3" t="str">
        <f>HYPERLINK("https://www.773grp.com/manufacturer/nxp-semiconductor?pageNo=41", "NXP Semiconductors")</f>
        <v>NXP Semiconductors</v>
      </c>
      <c r="C21017" s="6">
        <v>534</v>
      </c>
      <c r="D21017" s="7">
        <v>9.15</v>
      </c>
    </row>
    <row r="21018" spans="1:4" x14ac:dyDescent="0.25">
      <c r="A21018" t="str">
        <f>HYPERLINK("https://www.773grp.com/globalSearch/LPC1754FBD80551/page-1", "LPC1754FBD80551")</f>
        <v>LPC1754FBD80551</v>
      </c>
      <c r="B21018" s="3" t="str">
        <f>HYPERLINK("https://www.773grp.com/manufacturer/nxp-semiconductor?pageNo=42", "NXP Semiconductors")</f>
        <v>NXP Semiconductors</v>
      </c>
      <c r="C21018" s="6">
        <v>119</v>
      </c>
      <c r="D21018" s="7">
        <v>9.2899999999999991</v>
      </c>
    </row>
    <row r="21019" spans="1:4" x14ac:dyDescent="0.25">
      <c r="A21019" t="str">
        <f>HYPERLINK("https://www.773grp.com/globalSearch/LPC1830FET100551/page-1", "LPC1830FET100551")</f>
        <v>LPC1830FET100551</v>
      </c>
      <c r="B21019" s="3" t="str">
        <f>HYPERLINK("https://www.773grp.com/manufacturer/nxp-semiconductor?pageNo=43", "NXP Semiconductors")</f>
        <v>NXP Semiconductors</v>
      </c>
      <c r="C21019" s="6">
        <v>200</v>
      </c>
      <c r="D21019" s="7">
        <v>9.2899999999999991</v>
      </c>
    </row>
    <row r="21020" spans="1:4" x14ac:dyDescent="0.25">
      <c r="A21020" t="str">
        <f>HYPERLINK("https://www.773grp.com/globalSearch/SCC2691AE1A28512/page-1", "SCC2691AE1A28512")</f>
        <v>SCC2691AE1A28512</v>
      </c>
      <c r="B21020" s="3" t="str">
        <f>HYPERLINK("https://www.773grp.com/manufacturer/nxp-semiconductor?pageNo=44", "NXP Semiconductors")</f>
        <v>NXP Semiconductors</v>
      </c>
      <c r="C21020" s="6">
        <v>1875</v>
      </c>
      <c r="D21020" s="7">
        <v>9.2899999999999991</v>
      </c>
    </row>
    <row r="21021" spans="1:4" x14ac:dyDescent="0.25">
      <c r="A21021" t="str">
        <f>HYPERLINK("https://www.773grp.com/globalSearch/SCC2691AE1A28518/page-1", "SCC2691AE1A28518")</f>
        <v>SCC2691AE1A28518</v>
      </c>
      <c r="B21021" s="3" t="str">
        <f>HYPERLINK("https://www.773grp.com/manufacturer/nxp-semiconductor?pageNo=45", "NXP Semiconductors")</f>
        <v>NXP Semiconductors</v>
      </c>
      <c r="C21021" s="6">
        <v>750</v>
      </c>
      <c r="D21021" s="7">
        <v>9.2899999999999991</v>
      </c>
    </row>
    <row r="21022" spans="1:4" x14ac:dyDescent="0.25">
      <c r="A21022" t="str">
        <f>HYPERLINK("https://www.773grp.com/globalSearch/SCC2691AE1N24602/page-1", "SCC2691AE1N24602")</f>
        <v>SCC2691AE1N24602</v>
      </c>
      <c r="B21022" s="3" t="str">
        <f>HYPERLINK("https://www.773grp.com/manufacturer/nxp-semiconductor?pageNo=46", "NXP Semiconductors")</f>
        <v>NXP Semiconductors</v>
      </c>
      <c r="C21022" s="6">
        <v>2031</v>
      </c>
      <c r="D21022" s="7">
        <v>9.2899999999999991</v>
      </c>
    </row>
    <row r="21023" spans="1:4" x14ac:dyDescent="0.25">
      <c r="A21023" t="str">
        <f>HYPERLINK("https://www.773grp.com/globalSearch/LPC1810FBD144551/page-1", "LPC1810FBD144551")</f>
        <v>LPC1810FBD144551</v>
      </c>
      <c r="B21023" s="3" t="str">
        <f>HYPERLINK("https://www.773grp.com/manufacturer/nxp-semiconductor?pageNo=47", "NXP Semiconductors")</f>
        <v>NXP Semiconductors</v>
      </c>
      <c r="C21023" s="6">
        <v>180</v>
      </c>
      <c r="D21023" s="7">
        <v>9.41</v>
      </c>
    </row>
    <row r="21024" spans="1:4" x14ac:dyDescent="0.25">
      <c r="A21024" t="str">
        <f>HYPERLINK("https://www.773grp.com/globalSearch/LPC1820FBD144551/page-1", "LPC1820FBD144551")</f>
        <v>LPC1820FBD144551</v>
      </c>
      <c r="B21024" s="3" t="str">
        <f>HYPERLINK("https://www.773grp.com/manufacturer/nxp-semiconductor?pageNo=48", "NXP Semiconductors")</f>
        <v>NXP Semiconductors</v>
      </c>
      <c r="C21024" s="6">
        <v>25</v>
      </c>
      <c r="D21024" s="7">
        <v>9.41</v>
      </c>
    </row>
    <row r="21025" spans="1:4" x14ac:dyDescent="0.25">
      <c r="A21025" t="str">
        <f>HYPERLINK("https://www.773grp.com/globalSearch/LPC4074FBD80551/page-1", "LPC4074FBD80551")</f>
        <v>LPC4074FBD80551</v>
      </c>
      <c r="B21025" s="3" t="str">
        <f>HYPERLINK("https://www.773grp.com/manufacturer/nxp-semiconductor?pageNo=1", "NXP Semiconductors")</f>
        <v>NXP Semiconductors</v>
      </c>
      <c r="C21025" s="6">
        <v>411</v>
      </c>
      <c r="D21025" s="7">
        <v>9.49</v>
      </c>
    </row>
    <row r="21026" spans="1:4" x14ac:dyDescent="0.25">
      <c r="A21026" t="str">
        <f>HYPERLINK("https://www.773grp.com/globalSearch/LPC4310FBD144551/page-1", "LPC4310FBD144551")</f>
        <v>LPC4310FBD144551</v>
      </c>
      <c r="B21026" s="3" t="str">
        <f>HYPERLINK("https://www.773grp.com/manufacturer/nxp-semiconductor?pageNo=2", "NXP Semiconductors")</f>
        <v>NXP Semiconductors</v>
      </c>
      <c r="C21026" s="6">
        <v>115</v>
      </c>
      <c r="D21026" s="7">
        <v>9.56</v>
      </c>
    </row>
    <row r="21027" spans="1:4" x14ac:dyDescent="0.25">
      <c r="A21027" t="str">
        <f>HYPERLINK("https://www.773grp.com/globalSearch/LPC4320FET100551/page-1", "LPC4320FET100551")</f>
        <v>LPC4320FET100551</v>
      </c>
      <c r="B21027" s="3" t="str">
        <f>HYPERLINK("https://www.773grp.com/manufacturer/nxp-semiconductor?pageNo=3", "NXP Semiconductors")</f>
        <v>NXP Semiconductors</v>
      </c>
      <c r="C21027" s="6">
        <v>19005</v>
      </c>
      <c r="D21027" s="7">
        <v>9.56</v>
      </c>
    </row>
    <row r="21028" spans="1:4" x14ac:dyDescent="0.25">
      <c r="A21028" t="str">
        <f>HYPERLINK("https://www.773grp.com/globalSearch/P87C51RC+4B557/page-1", "P87C51RC+4B557")</f>
        <v>P87C51RC+4B557</v>
      </c>
      <c r="B21028" s="3" t="str">
        <f>HYPERLINK("https://www.773grp.com/manufacturer/nxp-semiconductor?pageNo=4", "NXP Semiconductors")</f>
        <v>NXP Semiconductors</v>
      </c>
      <c r="C21028" s="6">
        <v>156</v>
      </c>
      <c r="D21028" s="7">
        <v>9.56</v>
      </c>
    </row>
    <row r="21029" spans="1:4" x14ac:dyDescent="0.25">
      <c r="A21029" t="str">
        <f>HYPERLINK("https://www.773grp.com/globalSearch/TDA8954J-N1112/page-1", "TDA8954J-N1112")</f>
        <v>TDA8954J-N1112</v>
      </c>
      <c r="B21029" s="3" t="str">
        <f>HYPERLINK("https://www.773grp.com/manufacturer/nxp-semiconductor?pageNo=5", "NXP Semiconductors")</f>
        <v>NXP Semiconductors</v>
      </c>
      <c r="C21029" s="6">
        <v>12</v>
      </c>
      <c r="D21029" s="7">
        <v>9.56</v>
      </c>
    </row>
    <row r="21030" spans="1:4" x14ac:dyDescent="0.25">
      <c r="A21030" t="str">
        <f>HYPERLINK("https://www.773grp.com/globalSearch/LPC1830FBD144551/page-1", "LPC1830FBD144551")</f>
        <v>LPC1830FBD144551</v>
      </c>
      <c r="B21030" s="3" t="str">
        <f>HYPERLINK("https://www.773grp.com/manufacturer/nxp-semiconductor?pageNo=6", "NXP Semiconductors")</f>
        <v>NXP Semiconductors</v>
      </c>
      <c r="C21030" s="6">
        <v>3720</v>
      </c>
      <c r="D21030" s="7">
        <v>9.6999999999999993</v>
      </c>
    </row>
    <row r="21031" spans="1:4" x14ac:dyDescent="0.25">
      <c r="A21031" t="str">
        <f>HYPERLINK("https://www.773grp.com/globalSearch/74LVTH322245EC551/page-1", "74LVTH322245EC551")</f>
        <v>74LVTH322245EC551</v>
      </c>
      <c r="B21031" s="3" t="str">
        <f>HYPERLINK("https://www.773grp.com/manufacturer/nxp-semiconductor?pageNo=7", "NXP Semiconductors")</f>
        <v>NXP Semiconductors</v>
      </c>
      <c r="C21031" s="6">
        <v>570</v>
      </c>
      <c r="D21031" s="7">
        <v>9.84</v>
      </c>
    </row>
    <row r="21032" spans="1:4" x14ac:dyDescent="0.25">
      <c r="A21032" t="str">
        <f>HYPERLINK("https://www.773grp.com/globalSearch/SCC2692AC1A44512/page-1", "SCC2692AC1A44512")</f>
        <v>SCC2692AC1A44512</v>
      </c>
      <c r="B21032" s="3" t="str">
        <f>HYPERLINK("https://www.773grp.com/manufacturer/nxp-semiconductor?pageNo=8", "NXP Semiconductors")</f>
        <v>NXP Semiconductors</v>
      </c>
      <c r="C21032" s="6">
        <v>1190</v>
      </c>
      <c r="D21032" s="7">
        <v>9.84</v>
      </c>
    </row>
    <row r="21033" spans="1:4" x14ac:dyDescent="0.25">
      <c r="A21033" t="str">
        <f>HYPERLINK("https://www.773grp.com/globalSearch/SCC2692AC1A44518/page-1", "SCC2692AC1A44518")</f>
        <v>SCC2692AC1A44518</v>
      </c>
      <c r="B21033" s="3" t="str">
        <f>HYPERLINK("https://www.773grp.com/manufacturer/nxp-semiconductor?pageNo=9", "NXP Semiconductors")</f>
        <v>NXP Semiconductors</v>
      </c>
      <c r="C21033" s="6">
        <v>2447</v>
      </c>
      <c r="D21033" s="7">
        <v>9.84</v>
      </c>
    </row>
    <row r="21034" spans="1:4" x14ac:dyDescent="0.25">
      <c r="A21034" t="str">
        <f>HYPERLINK("https://www.773grp.com/globalSearch/SCC68692C1A44529/page-1", "SCC68692C1A44529")</f>
        <v>SCC68692C1A44529</v>
      </c>
      <c r="B21034" s="3" t="str">
        <f>HYPERLINK("https://www.773grp.com/manufacturer/nxp-semiconductor?pageNo=10", "NXP Semiconductors")</f>
        <v>NXP Semiconductors</v>
      </c>
      <c r="C21034" s="6">
        <v>310</v>
      </c>
      <c r="D21034" s="7">
        <v>9.84</v>
      </c>
    </row>
    <row r="21035" spans="1:4" x14ac:dyDescent="0.25">
      <c r="A21035" t="str">
        <f>HYPERLINK("https://www.773grp.com/globalSearch/TEF6617T-V1518/page-1", "TEF6617T-V1518")</f>
        <v>TEF6617T-V1518</v>
      </c>
      <c r="B21035" s="3" t="str">
        <f>HYPERLINK("https://www.773grp.com/manufacturer/nxp-semiconductor?pageNo=11", "NXP Semiconductors")</f>
        <v>NXP Semiconductors</v>
      </c>
      <c r="C21035" s="6">
        <v>1000</v>
      </c>
      <c r="D21035" s="7">
        <v>9.93</v>
      </c>
    </row>
    <row r="21036" spans="1:4" x14ac:dyDescent="0.25">
      <c r="A21036" t="str">
        <f>HYPERLINK("https://www.773grp.com/globalSearch/LPC2141FBD64151/page-1", "LPC2141FBD64151")</f>
        <v>LPC2141FBD64151</v>
      </c>
      <c r="B21036" s="3" t="str">
        <f>HYPERLINK("https://www.773grp.com/manufacturer/nxp-semiconductor?pageNo=12", "NXP Semiconductors")</f>
        <v>NXP Semiconductors</v>
      </c>
      <c r="C21036" s="6">
        <v>160</v>
      </c>
      <c r="D21036" s="7">
        <v>9.99</v>
      </c>
    </row>
    <row r="21037" spans="1:4" x14ac:dyDescent="0.25">
      <c r="A21037" t="str">
        <f>HYPERLINK("https://www.773grp.com/globalSearch/TDA19977BHV-15-C1/page-1", "TDA19977BHV-15-C1")</f>
        <v>TDA19977BHV-15-C1</v>
      </c>
      <c r="B21037" s="3" t="str">
        <f>HYPERLINK("https://www.773grp.com/manufacturer/nxp-semiconductor?pageNo=13", "NXP Semiconductors")</f>
        <v>NXP Semiconductors</v>
      </c>
      <c r="C21037" s="6">
        <v>780</v>
      </c>
      <c r="D21037" s="7">
        <v>10.130000000000001</v>
      </c>
    </row>
    <row r="21038" spans="1:4" x14ac:dyDescent="0.25">
      <c r="A21038" t="str">
        <f>HYPERLINK("https://www.773grp.com/globalSearch/TDA19977AHV-15557/page-1", "TDA19977AHV-15557")</f>
        <v>TDA19977AHV-15557</v>
      </c>
      <c r="B21038" s="3" t="str">
        <f>HYPERLINK("https://www.773grp.com/manufacturer/nxp-semiconductor?pageNo=14", "NXP Semiconductors")</f>
        <v>NXP Semiconductors</v>
      </c>
      <c r="C21038" s="6">
        <v>283</v>
      </c>
      <c r="D21038" s="7">
        <v>10.24</v>
      </c>
    </row>
    <row r="21039" spans="1:4" x14ac:dyDescent="0.25">
      <c r="A21039" t="str">
        <f>HYPERLINK("https://www.773grp.com/globalSearch/LPC1765FET100551/page-1", "LPC1765FET100551")</f>
        <v>LPC1765FET100551</v>
      </c>
      <c r="B21039" s="3" t="str">
        <f>HYPERLINK("https://www.773grp.com/manufacturer/nxp-semiconductor?pageNo=15", "NXP Semiconductors")</f>
        <v>NXP Semiconductors</v>
      </c>
      <c r="C21039" s="6">
        <v>339</v>
      </c>
      <c r="D21039" s="7">
        <v>10.55</v>
      </c>
    </row>
    <row r="21040" spans="1:4" x14ac:dyDescent="0.25">
      <c r="A21040" t="str">
        <f>HYPERLINK("https://www.773grp.com/globalSearch/P89CV51RC2FA512/page-1", "P89CV51RC2FA512")</f>
        <v>P89CV51RC2FA512</v>
      </c>
      <c r="B21040" s="3" t="str">
        <f>HYPERLINK("https://www.773grp.com/manufacturer/nxp-semiconductor?pageNo=16", "NXP Semiconductors")</f>
        <v>NXP Semiconductors</v>
      </c>
      <c r="C21040" s="6">
        <v>162</v>
      </c>
      <c r="D21040" s="7">
        <v>10.55</v>
      </c>
    </row>
    <row r="21041" spans="1:4" x14ac:dyDescent="0.25">
      <c r="A21041" t="str">
        <f>HYPERLINK("https://www.773grp.com/globalSearch/SCC2681AE1A44512/page-1", "SCC2681AE1A44512")</f>
        <v>SCC2681AE1A44512</v>
      </c>
      <c r="B21041" s="3" t="str">
        <f>HYPERLINK("https://www.773grp.com/manufacturer/nxp-semiconductor?pageNo=17", "NXP Semiconductors")</f>
        <v>NXP Semiconductors</v>
      </c>
      <c r="C21041" s="6">
        <v>1894</v>
      </c>
      <c r="D21041" s="7">
        <v>10.55</v>
      </c>
    </row>
    <row r="21042" spans="1:4" x14ac:dyDescent="0.25">
      <c r="A21042" t="str">
        <f>HYPERLINK("https://www.773grp.com/globalSearch/SCC2681AE1A44518/page-1", "SCC2681AE1A44518")</f>
        <v>SCC2681AE1A44518</v>
      </c>
      <c r="B21042" s="3" t="str">
        <f>HYPERLINK("https://www.773grp.com/manufacturer/nxp-semiconductor?pageNo=18", "NXP Semiconductors")</f>
        <v>NXP Semiconductors</v>
      </c>
      <c r="C21042" s="6">
        <v>500</v>
      </c>
      <c r="D21042" s="7">
        <v>10.55</v>
      </c>
    </row>
    <row r="21043" spans="1:4" x14ac:dyDescent="0.25">
      <c r="A21043" t="str">
        <f>HYPERLINK("https://www.773grp.com/globalSearch/TDA8787AHL-C3151/page-1", "TDA8787AHL-C3151")</f>
        <v>TDA8787AHL-C3151</v>
      </c>
      <c r="B21043" s="3" t="str">
        <f>HYPERLINK("https://www.773grp.com/manufacturer/nxp-semiconductor?pageNo=19", "NXP Semiconductors")</f>
        <v>NXP Semiconductors</v>
      </c>
      <c r="C21043" s="6">
        <v>500</v>
      </c>
      <c r="D21043" s="7">
        <v>10.55</v>
      </c>
    </row>
    <row r="21044" spans="1:4" x14ac:dyDescent="0.25">
      <c r="A21044" t="str">
        <f>HYPERLINK("https://www.773grp.com/globalSearch/TEF6730HW-V1S518/page-1", "TEF6730HW-V1S518")</f>
        <v>TEF6730HW-V1S518</v>
      </c>
      <c r="B21044" s="3" t="str">
        <f>HYPERLINK("https://www.773grp.com/manufacturer/nxp-semiconductor?pageNo=20", "NXP Semiconductors")</f>
        <v>NXP Semiconductors</v>
      </c>
      <c r="C21044" s="6">
        <v>3000</v>
      </c>
      <c r="D21044" s="7">
        <v>10.64</v>
      </c>
    </row>
    <row r="21045" spans="1:4" x14ac:dyDescent="0.25">
      <c r="A21045" t="str">
        <f>HYPERLINK("https://www.773grp.com/globalSearch/LPC2109FBD64-0115/page-1", "LPC2109FBD64-0115")</f>
        <v>LPC2109FBD64-0115</v>
      </c>
      <c r="B21045" s="3" t="str">
        <f>HYPERLINK("https://www.773grp.com/manufacturer/nxp-semiconductor?pageNo=21", "NXP Semiconductors")</f>
        <v>NXP Semiconductors</v>
      </c>
      <c r="C21045" s="6">
        <v>93</v>
      </c>
      <c r="D21045" s="7">
        <v>10.66</v>
      </c>
    </row>
    <row r="21046" spans="1:4" x14ac:dyDescent="0.25">
      <c r="A21046" t="str">
        <f>HYPERLINK("https://www.773grp.com/globalSearch/LPC2132FBD64-01151/page-1", "LPC2132FBD64-01151")</f>
        <v>LPC2132FBD64-01151</v>
      </c>
      <c r="B21046" s="3" t="str">
        <f>HYPERLINK("https://www.773grp.com/manufacturer/nxp-semiconductor?pageNo=22", "NXP Semiconductors")</f>
        <v>NXP Semiconductors</v>
      </c>
      <c r="C21046" s="6">
        <v>20000</v>
      </c>
      <c r="D21046" s="7">
        <v>10.66</v>
      </c>
    </row>
    <row r="21047" spans="1:4" x14ac:dyDescent="0.25">
      <c r="A21047" t="str">
        <f>HYPERLINK("https://www.773grp.com/globalSearch/LPC2290FBD144015/page-1", "LPC2290FBD144015")</f>
        <v>LPC2290FBD144015</v>
      </c>
      <c r="B21047" s="3" t="str">
        <f>HYPERLINK("https://www.773grp.com/manufacturer/nxp-semiconductor?pageNo=23", "NXP Semiconductors")</f>
        <v>NXP Semiconductors</v>
      </c>
      <c r="C21047" s="6">
        <v>45</v>
      </c>
      <c r="D21047" s="7">
        <v>10.76</v>
      </c>
    </row>
    <row r="21048" spans="1:4" x14ac:dyDescent="0.25">
      <c r="A21048" t="str">
        <f>HYPERLINK("https://www.773grp.com/globalSearch/LPC1850FET180551/page-1", "LPC1850FET180551")</f>
        <v>LPC1850FET180551</v>
      </c>
      <c r="B21048" s="3" t="str">
        <f>HYPERLINK("https://www.773grp.com/manufacturer/nxp-semiconductor?pageNo=24", "NXP Semiconductors")</f>
        <v>NXP Semiconductors</v>
      </c>
      <c r="C21048" s="6">
        <v>10</v>
      </c>
      <c r="D21048" s="7">
        <v>10.84</v>
      </c>
    </row>
    <row r="21049" spans="1:4" x14ac:dyDescent="0.25">
      <c r="A21049" t="str">
        <f>HYPERLINK("https://www.773grp.com/globalSearch/TDA8953J-N1112/page-1", "TDA8953J-N1112")</f>
        <v>TDA8953J-N1112</v>
      </c>
      <c r="B21049" s="3" t="str">
        <f>HYPERLINK("https://www.773grp.com/manufacturer/nxp-semiconductor?pageNo=25", "NXP Semiconductors")</f>
        <v>NXP Semiconductors</v>
      </c>
      <c r="C21049" s="6">
        <v>249</v>
      </c>
      <c r="D21049" s="7">
        <v>10.84</v>
      </c>
    </row>
    <row r="21050" spans="1:4" x14ac:dyDescent="0.25">
      <c r="A21050" t="str">
        <f>HYPERLINK("https://www.773grp.com/globalSearch/74HCT7030D112/page-1", "74HCT7030D112")</f>
        <v>74HCT7030D112</v>
      </c>
      <c r="B21050" s="3" t="str">
        <f>HYPERLINK("https://www.773grp.com/manufacturer/nxp-semiconductor?pageNo=26", "NXP Semiconductors")</f>
        <v>NXP Semiconductors</v>
      </c>
      <c r="C21050" s="6">
        <v>665</v>
      </c>
      <c r="D21050" s="7">
        <v>11</v>
      </c>
    </row>
    <row r="21051" spans="1:4" x14ac:dyDescent="0.25">
      <c r="A21051" t="str">
        <f>HYPERLINK("https://www.773grp.com/globalSearch/JN5139-Z01531/page-1", "JN5139-Z01531")</f>
        <v>JN5139-Z01531</v>
      </c>
      <c r="B21051" s="3" t="str">
        <f>HYPERLINK("https://www.773grp.com/manufacturer/nxp-semiconductor?pageNo=27", "NXP Semiconductors")</f>
        <v>NXP Semiconductors</v>
      </c>
      <c r="C21051" s="6">
        <v>500</v>
      </c>
      <c r="D21051" s="7">
        <v>11.09</v>
      </c>
    </row>
    <row r="21052" spans="1:4" x14ac:dyDescent="0.25">
      <c r="A21052" t="str">
        <f>HYPERLINK("https://www.773grp.com/globalSearch/LPC2220FET144-G55/page-1", "LPC2220FET144-G55")</f>
        <v>LPC2220FET144-G55</v>
      </c>
      <c r="B21052" s="3" t="str">
        <f>HYPERLINK("https://www.773grp.com/manufacturer/nxp-semiconductor?pageNo=28", "NXP Semiconductors")</f>
        <v>NXP Semiconductors</v>
      </c>
      <c r="C21052" s="6">
        <v>192</v>
      </c>
      <c r="D21052" s="7">
        <v>11.1</v>
      </c>
    </row>
    <row r="21053" spans="1:4" x14ac:dyDescent="0.25">
      <c r="A21053" t="str">
        <f>HYPERLINK("https://www.773grp.com/globalSearch/LPC2364FBD100551/page-1", "LPC2364FBD100551")</f>
        <v>LPC2364FBD100551</v>
      </c>
      <c r="B21053" s="3" t="str">
        <f>HYPERLINK("https://www.773grp.com/manufacturer/nxp-semiconductor?pageNo=29", "NXP Semiconductors")</f>
        <v>NXP Semiconductors</v>
      </c>
      <c r="C21053" s="6">
        <v>69</v>
      </c>
      <c r="D21053" s="7">
        <v>11.23</v>
      </c>
    </row>
    <row r="21054" spans="1:4" x14ac:dyDescent="0.25">
      <c r="A21054" t="str">
        <f>HYPERLINK("https://www.773grp.com/globalSearch/LPC2364FET100518/page-1", "LPC2364FET100518")</f>
        <v>LPC2364FET100518</v>
      </c>
      <c r="B21054" s="3" t="str">
        <f>HYPERLINK("https://www.773grp.com/manufacturer/nxp-semiconductor?pageNo=30", "NXP Semiconductors")</f>
        <v>NXP Semiconductors</v>
      </c>
      <c r="C21054" s="6">
        <v>1055</v>
      </c>
      <c r="D21054" s="7">
        <v>11.23</v>
      </c>
    </row>
    <row r="21055" spans="1:4" x14ac:dyDescent="0.25">
      <c r="A21055" t="str">
        <f>HYPERLINK("https://www.773grp.com/globalSearch/SC16C554BIBS551/page-1", "SC16C554BIBS551")</f>
        <v>SC16C554BIBS551</v>
      </c>
      <c r="B21055" s="3" t="str">
        <f>HYPERLINK("https://www.773grp.com/manufacturer/nxp-semiconductor?pageNo=31", "NXP Semiconductors")</f>
        <v>NXP Semiconductors</v>
      </c>
      <c r="C21055" s="6">
        <v>23</v>
      </c>
      <c r="D21055" s="7">
        <v>11.23</v>
      </c>
    </row>
    <row r="21056" spans="1:4" x14ac:dyDescent="0.25">
      <c r="A21056" t="str">
        <f>HYPERLINK("https://www.773grp.com/globalSearch/LPC1766FBD100551/page-1", "LPC1766FBD100551")</f>
        <v>LPC1766FBD100551</v>
      </c>
      <c r="B21056" s="3" t="str">
        <f>HYPERLINK("https://www.773grp.com/manufacturer/nxp-semiconductor?pageNo=32", "NXP Semiconductors")</f>
        <v>NXP Semiconductors</v>
      </c>
      <c r="C21056" s="6">
        <v>90</v>
      </c>
      <c r="D21056" s="7">
        <v>11.25</v>
      </c>
    </row>
    <row r="21057" spans="1:4" x14ac:dyDescent="0.25">
      <c r="A21057" t="str">
        <f>HYPERLINK("https://www.773grp.com/globalSearch/LPC3220FET296-015/page-1", "LPC3220FET296-015")</f>
        <v>LPC3220FET296-015</v>
      </c>
      <c r="B21057" s="3" t="str">
        <f>HYPERLINK("https://www.773grp.com/manufacturer/nxp-semiconductor?pageNo=33", "NXP Semiconductors")</f>
        <v>NXP Semiconductors</v>
      </c>
      <c r="C21057" s="6">
        <v>50</v>
      </c>
      <c r="D21057" s="7">
        <v>11.25</v>
      </c>
    </row>
    <row r="21058" spans="1:4" x14ac:dyDescent="0.25">
      <c r="A21058" t="str">
        <f>HYPERLINK("https://www.773grp.com/globalSearch/LPC3220FET296-01551/page-1", "LPC3220FET296-01551")</f>
        <v>LPC3220FET296-01551</v>
      </c>
      <c r="B21058" s="3" t="str">
        <f>HYPERLINK("https://www.773grp.com/manufacturer/nxp-semiconductor?pageNo=34", "NXP Semiconductors")</f>
        <v>NXP Semiconductors</v>
      </c>
      <c r="C21058" s="6">
        <v>2394</v>
      </c>
      <c r="D21058" s="7">
        <v>11.25</v>
      </c>
    </row>
    <row r="21059" spans="1:4" x14ac:dyDescent="0.25">
      <c r="A21059" t="str">
        <f>HYPERLINK("https://www.773grp.com/globalSearch/P80C652EBA-04512/page-1", "P80C652EBA-04512")</f>
        <v>P80C652EBA-04512</v>
      </c>
      <c r="B21059" s="3" t="str">
        <f>HYPERLINK("https://www.773grp.com/manufacturer/nxp-semiconductor?pageNo=35", "NXP Semiconductors")</f>
        <v>NXP Semiconductors</v>
      </c>
      <c r="C21059" s="6">
        <v>120</v>
      </c>
      <c r="D21059" s="7">
        <v>11.25</v>
      </c>
    </row>
    <row r="21060" spans="1:4" x14ac:dyDescent="0.25">
      <c r="A21060" t="str">
        <f>HYPERLINK("https://www.773grp.com/globalSearch/P87C51FA-4N112/page-1", "P87C51FA-4N112")</f>
        <v>P87C51FA-4N112</v>
      </c>
      <c r="B21060" s="3" t="str">
        <f>HYPERLINK("https://www.773grp.com/manufacturer/nxp-semiconductor?pageNo=36", "NXP Semiconductors")</f>
        <v>NXP Semiconductors</v>
      </c>
      <c r="C21060" s="6">
        <v>245</v>
      </c>
      <c r="D21060" s="7">
        <v>11.25</v>
      </c>
    </row>
    <row r="21061" spans="1:4" x14ac:dyDescent="0.25">
      <c r="A21061" t="str">
        <f>HYPERLINK("https://www.773grp.com/globalSearch/SC28L92A1A512/page-1", "SC28L92A1A512")</f>
        <v>SC28L92A1A512</v>
      </c>
      <c r="B21061" s="3" t="str">
        <f>HYPERLINK("https://www.773grp.com/manufacturer/nxp-semiconductor?pageNo=37", "NXP Semiconductors")</f>
        <v>NXP Semiconductors</v>
      </c>
      <c r="C21061" s="6">
        <v>1236</v>
      </c>
      <c r="D21061" s="7">
        <v>11.25</v>
      </c>
    </row>
    <row r="21062" spans="1:4" x14ac:dyDescent="0.25">
      <c r="A21062" t="str">
        <f>HYPERLINK("https://www.773grp.com/globalSearch/SCC2692AE1A44518/page-1", "SCC2692AE1A44518")</f>
        <v>SCC2692AE1A44518</v>
      </c>
      <c r="B21062" s="3" t="str">
        <f>HYPERLINK("https://www.773grp.com/manufacturer/nxp-semiconductor?pageNo=38", "NXP Semiconductors")</f>
        <v>NXP Semiconductors</v>
      </c>
      <c r="C21062" s="6">
        <v>1000</v>
      </c>
      <c r="D21062" s="7">
        <v>11.25</v>
      </c>
    </row>
    <row r="21063" spans="1:4" x14ac:dyDescent="0.25">
      <c r="A21063" t="str">
        <f>HYPERLINK("https://www.773grp.com/globalSearch/TDA19977AHV-15-C185551/page-1", "TDA19977AHV-15-C185551")</f>
        <v>TDA19977AHV-15-C185551</v>
      </c>
      <c r="B21063" s="3" t="str">
        <f>HYPERLINK("https://www.773grp.com/manufacturer/nxp-semiconductor?pageNo=39", "NXP Semiconductors")</f>
        <v>NXP Semiconductors</v>
      </c>
      <c r="C21063" s="6">
        <v>106</v>
      </c>
      <c r="D21063" s="7">
        <v>11.53</v>
      </c>
    </row>
    <row r="21064" spans="1:4" x14ac:dyDescent="0.25">
      <c r="A21064" t="str">
        <f>HYPERLINK("https://www.773grp.com/globalSearch/LPC4076FET180551/page-1", "LPC4076FET180551")</f>
        <v>LPC4076FET180551</v>
      </c>
      <c r="B21064" s="3" t="str">
        <f>HYPERLINK("https://www.773grp.com/manufacturer/nxp-semiconductor?pageNo=40", "NXP Semiconductors")</f>
        <v>NXP Semiconductors</v>
      </c>
      <c r="C21064" s="6">
        <v>189</v>
      </c>
      <c r="D21064" s="7">
        <v>11.65</v>
      </c>
    </row>
    <row r="21065" spans="1:4" x14ac:dyDescent="0.25">
      <c r="A21065" t="str">
        <f>HYPERLINK("https://www.773grp.com/globalSearch/SC16C554BIB64151/page-1", "SC16C554BIB64151")</f>
        <v>SC16C554BIB64151</v>
      </c>
      <c r="B21065" s="3" t="str">
        <f>HYPERLINK("https://www.773grp.com/manufacturer/nxp-semiconductor?pageNo=41", "NXP Semiconductors")</f>
        <v>NXP Semiconductors</v>
      </c>
      <c r="C21065" s="6">
        <v>160</v>
      </c>
      <c r="D21065" s="7">
        <v>11.81</v>
      </c>
    </row>
    <row r="21066" spans="1:4" x14ac:dyDescent="0.25">
      <c r="A21066" t="str">
        <f>HYPERLINK("https://www.773grp.com/globalSearch/SC16C554BIB80557/page-1", "SC16C554BIB80557")</f>
        <v>SC16C554BIB80557</v>
      </c>
      <c r="B21066" s="3" t="str">
        <f>HYPERLINK("https://www.773grp.com/manufacturer/nxp-semiconductor?pageNo=42", "NXP Semiconductors")</f>
        <v>NXP Semiconductors</v>
      </c>
      <c r="C21066" s="6">
        <v>149</v>
      </c>
      <c r="D21066" s="7">
        <v>11.81</v>
      </c>
    </row>
    <row r="21067" spans="1:4" x14ac:dyDescent="0.25">
      <c r="A21067" t="str">
        <f>HYPERLINK("https://www.773grp.com/globalSearch/SC16C554DBIA68518/page-1", "SC16C554DBIA68518")</f>
        <v>SC16C554DBIA68518</v>
      </c>
      <c r="B21067" s="3" t="str">
        <f>HYPERLINK("https://www.773grp.com/manufacturer/nxp-semiconductor?pageNo=43", "NXP Semiconductors")</f>
        <v>NXP Semiconductors</v>
      </c>
      <c r="C21067" s="6">
        <v>3250</v>
      </c>
      <c r="D21067" s="7">
        <v>11.81</v>
      </c>
    </row>
    <row r="21068" spans="1:4" x14ac:dyDescent="0.25">
      <c r="A21068" t="str">
        <f>HYPERLINK("https://www.773grp.com/globalSearch/SC16C554DBIA68529/page-1", "SC16C554DBIA68529")</f>
        <v>SC16C554DBIA68529</v>
      </c>
      <c r="B21068" s="3" t="str">
        <f>HYPERLINK("https://www.773grp.com/manufacturer/nxp-semiconductor?pageNo=44", "NXP Semiconductors")</f>
        <v>NXP Semiconductors</v>
      </c>
      <c r="C21068" s="6">
        <v>552</v>
      </c>
      <c r="D21068" s="7">
        <v>11.81</v>
      </c>
    </row>
    <row r="21069" spans="1:4" x14ac:dyDescent="0.25">
      <c r="A21069" t="str">
        <f>HYPERLINK("https://www.773grp.com/globalSearch/SC16C554DBIB64151/page-1", "SC16C554DBIB64151")</f>
        <v>SC16C554DBIB64151</v>
      </c>
      <c r="B21069" s="3" t="str">
        <f>HYPERLINK("https://www.773grp.com/manufacturer/nxp-semiconductor?pageNo=45", "NXP Semiconductors")</f>
        <v>NXP Semiconductors</v>
      </c>
      <c r="C21069" s="6">
        <v>2</v>
      </c>
      <c r="D21069" s="7">
        <v>11.81</v>
      </c>
    </row>
    <row r="21070" spans="1:4" x14ac:dyDescent="0.25">
      <c r="A21070" t="str">
        <f>HYPERLINK("https://www.773grp.com/globalSearch/PR5331C3HN-C35055/page-1", "PR5331C3HN-C35055")</f>
        <v>PR5331C3HN-C35055</v>
      </c>
      <c r="B21070" s="3" t="str">
        <f>HYPERLINK("https://www.773grp.com/manufacturer/nxp-semiconductor?pageNo=46", "NXP Semiconductors")</f>
        <v>NXP Semiconductors</v>
      </c>
      <c r="C21070" s="6">
        <v>248</v>
      </c>
      <c r="D21070" s="7">
        <v>11.93</v>
      </c>
    </row>
    <row r="21071" spans="1:4" x14ac:dyDescent="0.25">
      <c r="A21071" t="str">
        <f>HYPERLINK("https://www.773grp.com/globalSearch/LPC1758FBD80551/page-1", "LPC1758FBD80551")</f>
        <v>LPC1758FBD80551</v>
      </c>
      <c r="B21071" s="3" t="str">
        <f>HYPERLINK("https://www.773grp.com/manufacturer/nxp-semiconductor?pageNo=47", "NXP Semiconductors")</f>
        <v>NXP Semiconductors</v>
      </c>
      <c r="C21071" s="6">
        <v>119</v>
      </c>
      <c r="D21071" s="7">
        <v>11.95</v>
      </c>
    </row>
    <row r="21072" spans="1:4" x14ac:dyDescent="0.25">
      <c r="A21072" t="str">
        <f>HYPERLINK("https://www.773grp.com/globalSearch/LPC1759FBD80551/page-1", "LPC1759FBD80551")</f>
        <v>LPC1759FBD80551</v>
      </c>
      <c r="B21072" s="3" t="str">
        <f>HYPERLINK("https://www.773grp.com/manufacturer/nxp-semiconductor?pageNo=48", "NXP Semiconductors")</f>
        <v>NXP Semiconductors</v>
      </c>
      <c r="C21072" s="6">
        <v>2380</v>
      </c>
      <c r="D21072" s="7">
        <v>11.95</v>
      </c>
    </row>
    <row r="21073" spans="1:4" x14ac:dyDescent="0.25">
      <c r="A21073" t="str">
        <f>HYPERLINK("https://www.773grp.com/globalSearch/LPC1767FBD100551/page-1", "LPC1767FBD100551")</f>
        <v>LPC1767FBD100551</v>
      </c>
      <c r="B21073" s="3" t="str">
        <f>HYPERLINK("https://www.773grp.com/manufacturer/nxp-semiconductor?pageNo=1", "NXP Semiconductors")</f>
        <v>NXP Semiconductors</v>
      </c>
      <c r="C21073" s="6">
        <v>1761</v>
      </c>
      <c r="D21073" s="7">
        <v>11.95</v>
      </c>
    </row>
    <row r="21074" spans="1:4" x14ac:dyDescent="0.25">
      <c r="A21074" t="str">
        <f>HYPERLINK("https://www.773grp.com/globalSearch/LPC2364HBD100551/page-1", "LPC2364HBD100551")</f>
        <v>LPC2364HBD100551</v>
      </c>
      <c r="B21074" s="3" t="str">
        <f>HYPERLINK("https://www.773grp.com/manufacturer/nxp-semiconductor?pageNo=2", "NXP Semiconductors")</f>
        <v>NXP Semiconductors</v>
      </c>
      <c r="C21074" s="6">
        <v>360</v>
      </c>
      <c r="D21074" s="7">
        <v>11.95</v>
      </c>
    </row>
    <row r="21075" spans="1:4" x14ac:dyDescent="0.25">
      <c r="A21075" t="str">
        <f>HYPERLINK("https://www.773grp.com/globalSearch/TFF11086HN-N1111/page-1", "TFF11086HN-N1111")</f>
        <v>TFF11086HN-N1111</v>
      </c>
      <c r="B21075" s="3" t="str">
        <f>HYPERLINK("https://www.773grp.com/manufacturer/nxp-semiconductor?pageNo=3", "NXP Semiconductors")</f>
        <v>NXP Semiconductors</v>
      </c>
      <c r="C21075" s="6">
        <v>490</v>
      </c>
      <c r="D21075" s="7">
        <v>11.95</v>
      </c>
    </row>
    <row r="21076" spans="1:4" x14ac:dyDescent="0.25">
      <c r="A21076" t="str">
        <f>HYPERLINK("https://www.773grp.com/globalSearch/LPC1776FET180551/page-1", "LPC1776FET180551")</f>
        <v>LPC1776FET180551</v>
      </c>
      <c r="B21076" s="3" t="str">
        <f>HYPERLINK("https://www.773grp.com/manufacturer/nxp-semiconductor?pageNo=4", "NXP Semiconductors")</f>
        <v>NXP Semiconductors</v>
      </c>
      <c r="C21076" s="6">
        <v>214</v>
      </c>
      <c r="D21076" s="7">
        <v>12.1</v>
      </c>
    </row>
    <row r="21077" spans="1:4" x14ac:dyDescent="0.25">
      <c r="A21077" t="str">
        <f>HYPERLINK("https://www.773grp.com/globalSearch/TEF6614T-V1512/page-1", "TEF6614T-V1512")</f>
        <v>TEF6614T-V1512</v>
      </c>
      <c r="B21077" s="3" t="str">
        <f>HYPERLINK("https://www.773grp.com/manufacturer/nxp-semiconductor?pageNo=5", "NXP Semiconductors")</f>
        <v>NXP Semiconductors</v>
      </c>
      <c r="C21077" s="6">
        <v>958</v>
      </c>
      <c r="D21077" s="7">
        <v>12.38</v>
      </c>
    </row>
    <row r="21078" spans="1:4" x14ac:dyDescent="0.25">
      <c r="A21078" t="str">
        <f>HYPERLINK("https://www.773grp.com/globalSearch/LPC2362FBD100551/page-1", "LPC2362FBD100551")</f>
        <v>LPC2362FBD100551</v>
      </c>
      <c r="B21078" s="3" t="str">
        <f>HYPERLINK("https://www.773grp.com/manufacturer/nxp-semiconductor?pageNo=6", "NXP Semiconductors")</f>
        <v>NXP Semiconductors</v>
      </c>
      <c r="C21078" s="6">
        <v>170</v>
      </c>
      <c r="D21078" s="7">
        <v>12.4</v>
      </c>
    </row>
    <row r="21079" spans="1:4" x14ac:dyDescent="0.25">
      <c r="A21079" t="str">
        <f>HYPERLINK("https://www.773grp.com/globalSearch/LPC2365FBD100551/page-1", "LPC2365FBD100551")</f>
        <v>LPC2365FBD100551</v>
      </c>
      <c r="B21079" s="3" t="str">
        <f>HYPERLINK("https://www.773grp.com/manufacturer/nxp-semiconductor?pageNo=7", "NXP Semiconductors")</f>
        <v>NXP Semiconductors</v>
      </c>
      <c r="C21079" s="6">
        <v>570</v>
      </c>
      <c r="D21079" s="7">
        <v>12.44</v>
      </c>
    </row>
    <row r="21080" spans="1:4" x14ac:dyDescent="0.25">
      <c r="A21080" t="str">
        <f>HYPERLINK("https://www.773grp.com/globalSearch/LPC2923FBD100551/page-1", "LPC2923FBD100551")</f>
        <v>LPC2923FBD100551</v>
      </c>
      <c r="B21080" s="3" t="str">
        <f>HYPERLINK("https://www.773grp.com/manufacturer/nxp-semiconductor?pageNo=8", "NXP Semiconductors")</f>
        <v>NXP Semiconductors</v>
      </c>
      <c r="C21080" s="6">
        <v>2</v>
      </c>
      <c r="D21080" s="7">
        <v>12.66</v>
      </c>
    </row>
    <row r="21081" spans="1:4" x14ac:dyDescent="0.25">
      <c r="A21081" t="str">
        <f>HYPERLINK("https://www.773grp.com/globalSearch/LPC3230FET296-015/page-1", "LPC3230FET296-015")</f>
        <v>LPC3230FET296-015</v>
      </c>
      <c r="B21081" s="3" t="str">
        <f>HYPERLINK("https://www.773grp.com/manufacturer/nxp-semiconductor?pageNo=9", "NXP Semiconductors")</f>
        <v>NXP Semiconductors</v>
      </c>
      <c r="C21081" s="6">
        <v>8</v>
      </c>
      <c r="D21081" s="7">
        <v>12.66</v>
      </c>
    </row>
    <row r="21082" spans="1:4" x14ac:dyDescent="0.25">
      <c r="A21082" t="str">
        <f>HYPERLINK("https://www.773grp.com/globalSearch/P87C51FB-4A512/page-1", "P87C51FB-4A512")</f>
        <v>P87C51FB-4A512</v>
      </c>
      <c r="B21082" s="3" t="str">
        <f>HYPERLINK("https://www.773grp.com/manufacturer/nxp-semiconductor?pageNo=10", "NXP Semiconductors")</f>
        <v>NXP Semiconductors</v>
      </c>
      <c r="C21082" s="6">
        <v>2046</v>
      </c>
      <c r="D21082" s="7">
        <v>12.66</v>
      </c>
    </row>
    <row r="21083" spans="1:4" x14ac:dyDescent="0.25">
      <c r="A21083" t="str">
        <f>HYPERLINK("https://www.773grp.com/globalSearch/PX1011B-EL1-G551/page-1", "PX1011B-EL1-G551")</f>
        <v>PX1011B-EL1-G551</v>
      </c>
      <c r="B21083" s="3" t="str">
        <f>HYPERLINK("https://www.773grp.com/manufacturer/nxp-semiconductor?pageNo=11", "NXP Semiconductors")</f>
        <v>NXP Semiconductors</v>
      </c>
      <c r="C21083" s="6">
        <v>1560</v>
      </c>
      <c r="D21083" s="7">
        <v>12.66</v>
      </c>
    </row>
    <row r="21084" spans="1:4" x14ac:dyDescent="0.25">
      <c r="A21084" t="str">
        <f>HYPERLINK("https://www.773grp.com/globalSearch/PX1011B-EL1-G557/page-1", "PX1011B-EL1-G557")</f>
        <v>PX1011B-EL1-G557</v>
      </c>
      <c r="B21084" s="3" t="str">
        <f>HYPERLINK("https://www.773grp.com/manufacturer/nxp-semiconductor?pageNo=12", "NXP Semiconductors")</f>
        <v>NXP Semiconductors</v>
      </c>
      <c r="C21084" s="6">
        <v>1069</v>
      </c>
      <c r="D21084" s="7">
        <v>12.66</v>
      </c>
    </row>
    <row r="21085" spans="1:4" x14ac:dyDescent="0.25">
      <c r="A21085" t="str">
        <f>HYPERLINK("https://www.773grp.com/globalSearch/SCC68692E1A44529/page-1", "SCC68692E1A44529")</f>
        <v>SCC68692E1A44529</v>
      </c>
      <c r="B21085" s="3" t="str">
        <f>HYPERLINK("https://www.773grp.com/manufacturer/nxp-semiconductor?pageNo=13", "NXP Semiconductors")</f>
        <v>NXP Semiconductors</v>
      </c>
      <c r="C21085" s="6">
        <v>156</v>
      </c>
      <c r="D21085" s="7">
        <v>12.66</v>
      </c>
    </row>
    <row r="21086" spans="1:4" x14ac:dyDescent="0.25">
      <c r="A21086" t="str">
        <f>HYPERLINK("https://www.773grp.com/globalSearch/P87C51RD+4A512/page-1", "P87C51RD+4A512")</f>
        <v>P87C51RD+4A512</v>
      </c>
      <c r="B21086" s="3" t="str">
        <f>HYPERLINK("https://www.773grp.com/manufacturer/nxp-semiconductor?pageNo=14", "NXP Semiconductors")</f>
        <v>NXP Semiconductors</v>
      </c>
      <c r="C21086" s="6">
        <v>1455</v>
      </c>
      <c r="D21086" s="7">
        <v>12.94</v>
      </c>
    </row>
    <row r="21087" spans="1:4" x14ac:dyDescent="0.25">
      <c r="A21087" t="str">
        <f>HYPERLINK("https://www.773grp.com/globalSearch/SC16C654BIBS551/page-1", "SC16C654BIBS551")</f>
        <v>SC16C654BIBS551</v>
      </c>
      <c r="B21087" s="3" t="str">
        <f>HYPERLINK("https://www.773grp.com/manufacturer/nxp-semiconductor?pageNo=15", "NXP Semiconductors")</f>
        <v>NXP Semiconductors</v>
      </c>
      <c r="C21087" s="6">
        <v>40</v>
      </c>
      <c r="D21087" s="7">
        <v>13</v>
      </c>
    </row>
    <row r="21088" spans="1:4" x14ac:dyDescent="0.25">
      <c r="A21088" t="str">
        <f>HYPERLINK("https://www.773grp.com/globalSearch/BGU7063518/page-1", "BGU7063518")</f>
        <v>BGU7063518</v>
      </c>
      <c r="B21088" s="3" t="str">
        <f>HYPERLINK("https://www.773grp.com/manufacturer/nxp-semiconductor?pageNo=16", "NXP Semiconductors")</f>
        <v>NXP Semiconductors</v>
      </c>
      <c r="C21088" s="6">
        <v>2500</v>
      </c>
      <c r="D21088" s="7">
        <v>13.13</v>
      </c>
    </row>
    <row r="21089" spans="1:4" x14ac:dyDescent="0.25">
      <c r="A21089" t="str">
        <f>HYPERLINK("https://www.773grp.com/globalSearch/SC16C654BIA68518/page-1", "SC16C654BIA68518")</f>
        <v>SC16C654BIA68518</v>
      </c>
      <c r="B21089" s="3" t="str">
        <f>HYPERLINK("https://www.773grp.com/manufacturer/nxp-semiconductor?pageNo=17", "NXP Semiconductors")</f>
        <v>NXP Semiconductors</v>
      </c>
      <c r="C21089" s="6">
        <v>106</v>
      </c>
      <c r="D21089" s="7">
        <v>13.3</v>
      </c>
    </row>
    <row r="21090" spans="1:4" x14ac:dyDescent="0.25">
      <c r="A21090" t="str">
        <f>HYPERLINK("https://www.773grp.com/globalSearch/SC16C654BIA68529/page-1", "SC16C654BIA68529")</f>
        <v>SC16C654BIA68529</v>
      </c>
      <c r="B21090" s="3" t="str">
        <f>HYPERLINK("https://www.773grp.com/manufacturer/nxp-semiconductor?pageNo=18", "NXP Semiconductors")</f>
        <v>NXP Semiconductors</v>
      </c>
      <c r="C21090" s="6">
        <v>72</v>
      </c>
      <c r="D21090" s="7">
        <v>13.3</v>
      </c>
    </row>
    <row r="21091" spans="1:4" x14ac:dyDescent="0.25">
      <c r="A21091" t="str">
        <f>HYPERLINK("https://www.773grp.com/globalSearch/SC16C654BIB64151/page-1", "SC16C654BIB64151")</f>
        <v>SC16C654BIB64151</v>
      </c>
      <c r="B21091" s="3" t="str">
        <f>HYPERLINK("https://www.773grp.com/manufacturer/nxp-semiconductor?pageNo=19", "NXP Semiconductors")</f>
        <v>NXP Semiconductors</v>
      </c>
      <c r="C21091" s="6">
        <v>43</v>
      </c>
      <c r="D21091" s="7">
        <v>13.3</v>
      </c>
    </row>
    <row r="21092" spans="1:4" x14ac:dyDescent="0.25">
      <c r="A21092" t="str">
        <f>HYPERLINK("https://www.773grp.com/globalSearch/SC16C654DBIB64151/page-1", "SC16C654DBIB64151")</f>
        <v>SC16C654DBIB64151</v>
      </c>
      <c r="B21092" s="3" t="str">
        <f>HYPERLINK("https://www.773grp.com/manufacturer/nxp-semiconductor?pageNo=20", "NXP Semiconductors")</f>
        <v>NXP Semiconductors</v>
      </c>
      <c r="C21092" s="6">
        <v>33</v>
      </c>
      <c r="D21092" s="7">
        <v>13.3</v>
      </c>
    </row>
    <row r="21093" spans="1:4" x14ac:dyDescent="0.25">
      <c r="A21093" t="str">
        <f>HYPERLINK("https://www.773grp.com/globalSearch/SC16C754BIA68518/page-1", "SC16C754BIA68518")</f>
        <v>SC16C754BIA68518</v>
      </c>
      <c r="B21093" s="3" t="str">
        <f>HYPERLINK("https://www.773grp.com/manufacturer/nxp-semiconductor?pageNo=21", "NXP Semiconductors")</f>
        <v>NXP Semiconductors</v>
      </c>
      <c r="C21093" s="6">
        <v>87</v>
      </c>
      <c r="D21093" s="7">
        <v>13.3</v>
      </c>
    </row>
    <row r="21094" spans="1:4" x14ac:dyDescent="0.25">
      <c r="A21094" t="str">
        <f>HYPERLINK("https://www.773grp.com/globalSearch/LPC1778FET180551/page-1", "LPC1778FET180551")</f>
        <v>LPC1778FET180551</v>
      </c>
      <c r="B21094" s="3" t="str">
        <f>HYPERLINK("https://www.773grp.com/manufacturer/nxp-semiconductor?pageNo=22", "NXP Semiconductors")</f>
        <v>NXP Semiconductors</v>
      </c>
      <c r="C21094" s="6">
        <v>373</v>
      </c>
      <c r="D21094" s="7">
        <v>13.36</v>
      </c>
    </row>
    <row r="21095" spans="1:4" x14ac:dyDescent="0.25">
      <c r="A21095" t="str">
        <f>HYPERLINK("https://www.773grp.com/globalSearch/LPC2366FBD100551/page-1", "LPC2366FBD100551")</f>
        <v>LPC2366FBD100551</v>
      </c>
      <c r="B21095" s="3" t="str">
        <f>HYPERLINK("https://www.773grp.com/manufacturer/nxp-semiconductor?pageNo=23", "NXP Semiconductors")</f>
        <v>NXP Semiconductors</v>
      </c>
      <c r="C21095" s="6">
        <v>540</v>
      </c>
      <c r="D21095" s="7">
        <v>13.36</v>
      </c>
    </row>
    <row r="21096" spans="1:4" x14ac:dyDescent="0.25">
      <c r="A21096" t="str">
        <f>HYPERLINK("https://www.773grp.com/globalSearch/SAF1761BE-V1518/page-1", "SAF1761BE-V1518")</f>
        <v>SAF1761BE-V1518</v>
      </c>
      <c r="B21096" s="3" t="str">
        <f>HYPERLINK("https://www.773grp.com/manufacturer/nxp-semiconductor?pageNo=24", "NXP Semiconductors")</f>
        <v>NXP Semiconductors</v>
      </c>
      <c r="C21096" s="6">
        <v>8820</v>
      </c>
      <c r="D21096" s="7">
        <v>13.46</v>
      </c>
    </row>
    <row r="21097" spans="1:4" x14ac:dyDescent="0.25">
      <c r="A21097" t="str">
        <f>HYPERLINK("https://www.773grp.com/globalSearch/P89V662FBC557/page-1", "P89V662FBC557")</f>
        <v>P89V662FBC557</v>
      </c>
      <c r="B21097" s="3" t="str">
        <f>HYPERLINK("https://www.773grp.com/manufacturer/nxp-semiconductor?pageNo=25", "NXP Semiconductors")</f>
        <v>NXP Semiconductors</v>
      </c>
      <c r="C21097" s="6">
        <v>5</v>
      </c>
      <c r="D21097" s="7">
        <v>13.68</v>
      </c>
    </row>
    <row r="21098" spans="1:4" x14ac:dyDescent="0.25">
      <c r="A21098" t="str">
        <f>HYPERLINK("https://www.773grp.com/globalSearch/SC26C92A1N112/page-1", "SC26C92A1N112")</f>
        <v>SC26C92A1N112</v>
      </c>
      <c r="B21098" s="3" t="str">
        <f>HYPERLINK("https://www.773grp.com/manufacturer/nxp-semiconductor?pageNo=26", "NXP Semiconductors")</f>
        <v>NXP Semiconductors</v>
      </c>
      <c r="C21098" s="6">
        <v>181</v>
      </c>
      <c r="D21098" s="7">
        <v>13.75</v>
      </c>
    </row>
    <row r="21099" spans="1:4" x14ac:dyDescent="0.25">
      <c r="A21099" t="str">
        <f>HYPERLINK("https://www.773grp.com/globalSearch/LPC2420FBD208551/page-1", "LPC2420FBD208551")</f>
        <v>LPC2420FBD208551</v>
      </c>
      <c r="B21099" s="3" t="str">
        <f>HYPERLINK("https://www.773grp.com/manufacturer/nxp-semiconductor?pageNo=27", "NXP Semiconductors")</f>
        <v>NXP Semiconductors</v>
      </c>
      <c r="C21099" s="6">
        <v>219</v>
      </c>
      <c r="D21099" s="7">
        <v>13.8</v>
      </c>
    </row>
    <row r="21100" spans="1:4" x14ac:dyDescent="0.25">
      <c r="A21100" t="str">
        <f>HYPERLINK("https://www.773grp.com/globalSearch/P87C51MC2BA-02529/page-1", "P87C51MC2BA-02529")</f>
        <v>P87C51MC2BA-02529</v>
      </c>
      <c r="B21100" s="3" t="str">
        <f>HYPERLINK("https://www.773grp.com/manufacturer/nxp-semiconductor?pageNo=28", "NXP Semiconductors")</f>
        <v>NXP Semiconductors</v>
      </c>
      <c r="C21100" s="6">
        <v>16</v>
      </c>
      <c r="D21100" s="7">
        <v>13.8</v>
      </c>
    </row>
    <row r="21101" spans="1:4" x14ac:dyDescent="0.25">
      <c r="A21101" t="str">
        <f>HYPERLINK("https://www.773grp.com/globalSearch/LH75401N0Q100C055/page-1", "LH75401N0Q100C055")</f>
        <v>LH75401N0Q100C055</v>
      </c>
      <c r="B21101" s="3" t="str">
        <f>HYPERLINK("https://www.773grp.com/manufacturer/nxp-semiconductor?pageNo=29", "NXP Semiconductors")</f>
        <v>NXP Semiconductors</v>
      </c>
      <c r="C21101" s="6">
        <v>22</v>
      </c>
      <c r="D21101" s="7">
        <v>13.93</v>
      </c>
    </row>
    <row r="21102" spans="1:4" x14ac:dyDescent="0.25">
      <c r="A21102" t="str">
        <f>HYPERLINK("https://www.773grp.com/globalSearch/LH75401N0Q100C0551/page-1", "LH75401N0Q100C0551")</f>
        <v>LH75401N0Q100C0551</v>
      </c>
      <c r="B21102" s="3" t="str">
        <f>HYPERLINK("https://www.773grp.com/manufacturer/nxp-semiconductor?pageNo=30", "NXP Semiconductors")</f>
        <v>NXP Semiconductors</v>
      </c>
      <c r="C21102" s="6">
        <v>60</v>
      </c>
      <c r="D21102" s="7">
        <v>13.93</v>
      </c>
    </row>
    <row r="21103" spans="1:4" x14ac:dyDescent="0.25">
      <c r="A21103" t="str">
        <f>HYPERLINK("https://www.773grp.com/globalSearch/LPC4350FET256551/page-1", "LPC4350FET256551")</f>
        <v>LPC4350FET256551</v>
      </c>
      <c r="B21103" s="3" t="str">
        <f>HYPERLINK("https://www.773grp.com/manufacturer/nxp-semiconductor?pageNo=31", "NXP Semiconductors")</f>
        <v>NXP Semiconductors</v>
      </c>
      <c r="C21103" s="6">
        <v>11</v>
      </c>
      <c r="D21103" s="7">
        <v>13.93</v>
      </c>
    </row>
    <row r="21104" spans="1:4" x14ac:dyDescent="0.25">
      <c r="A21104" t="str">
        <f>HYPERLINK("https://www.773grp.com/globalSearch/LPC3143FET180551/page-1", "LPC3143FET180551")</f>
        <v>LPC3143FET180551</v>
      </c>
      <c r="B21104" s="3" t="str">
        <f>HYPERLINK("https://www.773grp.com/manufacturer/nxp-semiconductor?pageNo=32", "NXP Semiconductors")</f>
        <v>NXP Semiconductors</v>
      </c>
      <c r="C21104" s="6">
        <v>7938</v>
      </c>
      <c r="D21104" s="7">
        <v>14.04</v>
      </c>
    </row>
    <row r="21105" spans="1:4" x14ac:dyDescent="0.25">
      <c r="A21105" t="str">
        <f>HYPERLINK("https://www.773grp.com/globalSearch/LPC3250FET296551/page-1", "LPC3250FET296551")</f>
        <v>LPC3250FET296551</v>
      </c>
      <c r="B21105" s="3" t="str">
        <f>HYPERLINK("https://www.773grp.com/manufacturer/nxp-semiconductor?pageNo=33", "NXP Semiconductors")</f>
        <v>NXP Semiconductors</v>
      </c>
      <c r="C21105" s="6">
        <v>1764</v>
      </c>
      <c r="D21105" s="7">
        <v>14.06</v>
      </c>
    </row>
    <row r="21106" spans="1:4" x14ac:dyDescent="0.25">
      <c r="A21106" t="str">
        <f>HYPERLINK("https://www.773grp.com/globalSearch/SC28L202A1DGG-G11/page-1", "SC28L202A1DGG-G11")</f>
        <v>SC28L202A1DGG-G11</v>
      </c>
      <c r="B21106" s="3" t="str">
        <f>HYPERLINK("https://www.773grp.com/manufacturer/nxp-semiconductor?pageNo=34", "NXP Semiconductors")</f>
        <v>NXP Semiconductors</v>
      </c>
      <c r="C21106" s="6">
        <v>90</v>
      </c>
      <c r="D21106" s="7">
        <v>14.06</v>
      </c>
    </row>
    <row r="21107" spans="1:4" x14ac:dyDescent="0.25">
      <c r="A21107" t="str">
        <f>HYPERLINK("https://www.773grp.com/globalSearch/TFF1003HN-N1115/page-1", "TFF1003HN-N1115")</f>
        <v>TFF1003HN-N1115</v>
      </c>
      <c r="B21107" s="3" t="str">
        <f>HYPERLINK("https://www.773grp.com/manufacturer/nxp-semiconductor?pageNo=35", "NXP Semiconductors")</f>
        <v>NXP Semiconductors</v>
      </c>
      <c r="C21107" s="6">
        <v>1450</v>
      </c>
      <c r="D21107" s="7">
        <v>14.06</v>
      </c>
    </row>
    <row r="21108" spans="1:4" x14ac:dyDescent="0.25">
      <c r="A21108" t="str">
        <f>HYPERLINK("https://www.773grp.com/globalSearch/LPC2144FBD64151/page-1", "LPC2144FBD64151")</f>
        <v>LPC2144FBD64151</v>
      </c>
      <c r="B21108" s="3" t="str">
        <f>HYPERLINK("https://www.773grp.com/manufacturer/nxp-semiconductor?pageNo=36", "NXP Semiconductors")</f>
        <v>NXP Semiconductors</v>
      </c>
      <c r="C21108" s="6">
        <v>800</v>
      </c>
      <c r="D21108" s="7">
        <v>14.21</v>
      </c>
    </row>
    <row r="21109" spans="1:4" x14ac:dyDescent="0.25">
      <c r="A21109" t="str">
        <f>HYPERLINK("https://www.773grp.com/globalSearch/LPC1774FBD208551/page-1", "LPC1774FBD208551")</f>
        <v>LPC1774FBD208551</v>
      </c>
      <c r="B21109" s="3" t="str">
        <f>HYPERLINK("https://www.773grp.com/manufacturer/nxp-semiconductor?pageNo=37", "NXP Semiconductors")</f>
        <v>NXP Semiconductors</v>
      </c>
      <c r="C21109" s="6">
        <v>551</v>
      </c>
      <c r="D21109" s="7">
        <v>14.26</v>
      </c>
    </row>
    <row r="21110" spans="1:4" x14ac:dyDescent="0.25">
      <c r="A21110" t="str">
        <f>HYPERLINK("https://www.773grp.com/globalSearch/LPC1785FBD208551/page-1", "LPC1785FBD208551")</f>
        <v>LPC1785FBD208551</v>
      </c>
      <c r="B21110" s="3" t="str">
        <f>HYPERLINK("https://www.773grp.com/manufacturer/nxp-semiconductor?pageNo=38", "NXP Semiconductors")</f>
        <v>NXP Semiconductors</v>
      </c>
      <c r="C21110" s="6">
        <v>286</v>
      </c>
      <c r="D21110" s="7">
        <v>14.48</v>
      </c>
    </row>
    <row r="21111" spans="1:4" x14ac:dyDescent="0.25">
      <c r="A21111" t="str">
        <f>HYPERLINK("https://www.773grp.com/globalSearch/LPC1786FBD208551/page-1", "LPC1786FBD208551")</f>
        <v>LPC1786FBD208551</v>
      </c>
      <c r="B21111" s="3" t="str">
        <f>HYPERLINK("https://www.773grp.com/manufacturer/nxp-semiconductor?pageNo=39", "NXP Semiconductors")</f>
        <v>NXP Semiconductors</v>
      </c>
      <c r="C21111" s="6">
        <v>108</v>
      </c>
      <c r="D21111" s="7">
        <v>14.48</v>
      </c>
    </row>
    <row r="21112" spans="1:4" x14ac:dyDescent="0.25">
      <c r="A21112" t="str">
        <f>HYPERLINK("https://www.773grp.com/globalSearch/LPC2367FBD100551/page-1", "LPC2367FBD100551")</f>
        <v>LPC2367FBD100551</v>
      </c>
      <c r="B21112" s="3" t="str">
        <f>HYPERLINK("https://www.773grp.com/manufacturer/nxp-semiconductor?pageNo=40", "NXP Semiconductors")</f>
        <v>NXP Semiconductors</v>
      </c>
      <c r="C21112" s="6">
        <v>68</v>
      </c>
      <c r="D21112" s="7">
        <v>14.51</v>
      </c>
    </row>
    <row r="21113" spans="1:4" x14ac:dyDescent="0.25">
      <c r="A21113" t="str">
        <f>HYPERLINK("https://www.773grp.com/globalSearch/N74F786N602/page-1", "N74F786N602")</f>
        <v>N74F786N602</v>
      </c>
      <c r="B21113" s="3" t="str">
        <f>HYPERLINK("https://www.773grp.com/manufacturer/nxp-semiconductor?pageNo=41", "NXP Semiconductors")</f>
        <v>NXP Semiconductors</v>
      </c>
      <c r="C21113" s="6">
        <v>163</v>
      </c>
      <c r="D21113" s="7">
        <v>14.76</v>
      </c>
    </row>
    <row r="21114" spans="1:4" x14ac:dyDescent="0.25">
      <c r="A21114" t="str">
        <f>HYPERLINK("https://www.773grp.com/globalSearch/SC28L92A1B551/page-1", "SC28L92A1B551")</f>
        <v>SC28L92A1B551</v>
      </c>
      <c r="B21114" s="3" t="str">
        <f>HYPERLINK("https://www.773grp.com/manufacturer/nxp-semiconductor?pageNo=42", "NXP Semiconductors")</f>
        <v>NXP Semiconductors</v>
      </c>
      <c r="C21114" s="6">
        <v>92</v>
      </c>
      <c r="D21114" s="7">
        <v>14.76</v>
      </c>
    </row>
    <row r="21115" spans="1:4" x14ac:dyDescent="0.25">
      <c r="A21115" t="str">
        <f>HYPERLINK("https://www.773grp.com/globalSearch/SC28L92A1B557/page-1", "SC28L92A1B557")</f>
        <v>SC28L92A1B557</v>
      </c>
      <c r="B21115" s="3" t="str">
        <f>HYPERLINK("https://www.773grp.com/manufacturer/nxp-semiconductor?pageNo=43", "NXP Semiconductors")</f>
        <v>NXP Semiconductors</v>
      </c>
      <c r="C21115" s="6">
        <v>2403</v>
      </c>
      <c r="D21115" s="7">
        <v>14.76</v>
      </c>
    </row>
    <row r="21116" spans="1:4" x14ac:dyDescent="0.25">
      <c r="A21116" t="str">
        <f>HYPERLINK("https://www.773grp.com/globalSearch/LPC1833FET256551/page-1", "LPC1833FET256551")</f>
        <v>LPC1833FET256551</v>
      </c>
      <c r="B21116" s="3" t="str">
        <f>HYPERLINK("https://www.773grp.com/manufacturer/nxp-semiconductor?pageNo=44", "NXP Semiconductors")</f>
        <v>NXP Semiconductors</v>
      </c>
      <c r="C21116" s="6">
        <v>180</v>
      </c>
      <c r="D21116" s="7">
        <v>14.89</v>
      </c>
    </row>
    <row r="21117" spans="1:4" x14ac:dyDescent="0.25">
      <c r="A21117" t="str">
        <f>HYPERLINK("https://www.773grp.com/globalSearch/TEA6848H-V1S518/page-1", "TEA6848H-V1S518")</f>
        <v>TEA6848H-V1S518</v>
      </c>
      <c r="B21117" s="3" t="str">
        <f>HYPERLINK("https://www.773grp.com/manufacturer/nxp-semiconductor?pageNo=45", "NXP Semiconductors")</f>
        <v>NXP Semiconductors</v>
      </c>
      <c r="C21117" s="6">
        <v>13</v>
      </c>
      <c r="D21117" s="7">
        <v>15.03</v>
      </c>
    </row>
    <row r="21118" spans="1:4" x14ac:dyDescent="0.25">
      <c r="A21118" t="str">
        <f>HYPERLINK("https://www.773grp.com/globalSearch/LPC2105FBD48-0115/page-1", "LPC2105FBD48-0115")</f>
        <v>LPC2105FBD48-0115</v>
      </c>
      <c r="B21118" s="3" t="str">
        <f>HYPERLINK("https://www.773grp.com/manufacturer/nxp-semiconductor?pageNo=46", "NXP Semiconductors")</f>
        <v>NXP Semiconductors</v>
      </c>
      <c r="C21118" s="6">
        <v>7</v>
      </c>
      <c r="D21118" s="7">
        <v>15.1</v>
      </c>
    </row>
    <row r="21119" spans="1:4" x14ac:dyDescent="0.25">
      <c r="A21119" t="str">
        <f>HYPERLINK("https://www.773grp.com/globalSearch/TEF6904AH-V5S518/page-1", "TEF6904AH-V5S518")</f>
        <v>TEF6904AH-V5S518</v>
      </c>
      <c r="B21119" s="3" t="str">
        <f>HYPERLINK("https://www.773grp.com/manufacturer/nxp-semiconductor?pageNo=47", "NXP Semiconductors")</f>
        <v>NXP Semiconductors</v>
      </c>
      <c r="C21119" s="6">
        <v>1200</v>
      </c>
      <c r="D21119" s="7">
        <v>15.24</v>
      </c>
    </row>
    <row r="21120" spans="1:4" x14ac:dyDescent="0.25">
      <c r="A21120" t="str">
        <f>HYPERLINK("https://www.773grp.com/globalSearch/LPC2470FET208551/page-1", "LPC2470FET208551")</f>
        <v>LPC2470FET208551</v>
      </c>
      <c r="B21120" s="3" t="str">
        <f>HYPERLINK("https://www.773grp.com/manufacturer/nxp-semiconductor?pageNo=48", "NXP Semiconductors")</f>
        <v>NXP Semiconductors</v>
      </c>
      <c r="C21120" s="6">
        <v>41</v>
      </c>
      <c r="D21120" s="7">
        <v>15.39</v>
      </c>
    </row>
    <row r="21121" spans="1:4" x14ac:dyDescent="0.25">
      <c r="A21121" t="str">
        <f>HYPERLINK("https://www.773grp.com/globalSearch/LPC3152FET208551/page-1", "LPC3152FET208551")</f>
        <v>LPC3152FET208551</v>
      </c>
      <c r="B21121" s="3" t="str">
        <f>HYPERLINK("https://www.773grp.com/manufacturer/nxp-semiconductor?pageNo=1", "NXP Semiconductors")</f>
        <v>NXP Semiconductors</v>
      </c>
      <c r="C21121" s="6">
        <v>2619</v>
      </c>
      <c r="D21121" s="7">
        <v>15.44</v>
      </c>
    </row>
    <row r="21122" spans="1:4" x14ac:dyDescent="0.25">
      <c r="A21122" t="str">
        <f>HYPERLINK("https://www.773grp.com/globalSearch/LPC2368FET100518/page-1", "LPC2368FET100518")</f>
        <v>LPC2368FET100518</v>
      </c>
      <c r="B21122" s="3" t="str">
        <f>HYPERLINK("https://www.773grp.com/manufacturer/nxp-semiconductor?pageNo=2", "NXP Semiconductors")</f>
        <v>NXP Semiconductors</v>
      </c>
      <c r="C21122" s="6">
        <v>2278</v>
      </c>
      <c r="D21122" s="7">
        <v>15.48</v>
      </c>
    </row>
    <row r="21123" spans="1:4" x14ac:dyDescent="0.25">
      <c r="A21123" t="str">
        <f>HYPERLINK("https://www.773grp.com/globalSearch/LPC2119FBD64-0115/page-1", "LPC2119FBD64-0115")</f>
        <v>LPC2119FBD64-0115</v>
      </c>
      <c r="B21123" s="3" t="str">
        <f>HYPERLINK("https://www.773grp.com/manufacturer/nxp-semiconductor?pageNo=3", "NXP Semiconductors")</f>
        <v>NXP Semiconductors</v>
      </c>
      <c r="C21123" s="6">
        <v>160</v>
      </c>
      <c r="D21123" s="7">
        <v>15.7</v>
      </c>
    </row>
    <row r="21124" spans="1:4" x14ac:dyDescent="0.25">
      <c r="A21124" t="str">
        <f>HYPERLINK("https://www.773grp.com/globalSearch/LPC2119FBD64-01151/page-1", "LPC2119FBD64-01151")</f>
        <v>LPC2119FBD64-01151</v>
      </c>
      <c r="B21124" s="3" t="str">
        <f>HYPERLINK("https://www.773grp.com/manufacturer/nxp-semiconductor?pageNo=4", "NXP Semiconductors")</f>
        <v>NXP Semiconductors</v>
      </c>
      <c r="C21124" s="6">
        <v>2400</v>
      </c>
      <c r="D21124" s="7">
        <v>15.7</v>
      </c>
    </row>
    <row r="21125" spans="1:4" x14ac:dyDescent="0.25">
      <c r="A21125" t="str">
        <f>HYPERLINK("https://www.773grp.com/globalSearch/P87C51FB-5A512/page-1", "P87C51FB-5A512")</f>
        <v>P87C51FB-5A512</v>
      </c>
      <c r="B21125" s="3" t="str">
        <f>HYPERLINK("https://www.773grp.com/manufacturer/nxp-semiconductor?pageNo=5", "NXP Semiconductors")</f>
        <v>NXP Semiconductors</v>
      </c>
      <c r="C21125" s="6">
        <v>1128</v>
      </c>
      <c r="D21125" s="7">
        <v>15.75</v>
      </c>
    </row>
    <row r="21126" spans="1:4" x14ac:dyDescent="0.25">
      <c r="A21126" t="str">
        <f>HYPERLINK("https://www.773grp.com/globalSearch/MFRC53001T-0FE112/page-1", "MFRC53001T-0FE112")</f>
        <v>MFRC53001T-0FE112</v>
      </c>
      <c r="B21126" s="3" t="str">
        <f>HYPERLINK("https://www.773grp.com/manufacturer/nxp-semiconductor?pageNo=6", "NXP Semiconductors")</f>
        <v>NXP Semiconductors</v>
      </c>
      <c r="C21126" s="6">
        <v>552</v>
      </c>
      <c r="D21126" s="7">
        <v>15.81</v>
      </c>
    </row>
    <row r="21127" spans="1:4" x14ac:dyDescent="0.25">
      <c r="A21127" t="str">
        <f>HYPERLINK("https://www.773grp.com/globalSearch/LPC2136FBD64-01151/page-1", "LPC2136FBD64-01151")</f>
        <v>LPC2136FBD64-01151</v>
      </c>
      <c r="B21127" s="3" t="str">
        <f>HYPERLINK("https://www.773grp.com/manufacturer/nxp-semiconductor?pageNo=7", "NXP Semiconductors")</f>
        <v>NXP Semiconductors</v>
      </c>
      <c r="C21127" s="6">
        <v>16136</v>
      </c>
      <c r="D21127" s="7">
        <v>15.83</v>
      </c>
    </row>
    <row r="21128" spans="1:4" x14ac:dyDescent="0.25">
      <c r="A21128" t="str">
        <f>HYPERLINK("https://www.773grp.com/globalSearch/LH79525N0Q100A155/page-1", "LH79525N0Q100A155")</f>
        <v>LH79525N0Q100A155</v>
      </c>
      <c r="B21128" s="3" t="str">
        <f>HYPERLINK("https://www.773grp.com/manufacturer/nxp-semiconductor?pageNo=8", "NXP Semiconductors")</f>
        <v>NXP Semiconductors</v>
      </c>
      <c r="C21128" s="6">
        <v>156</v>
      </c>
      <c r="D21128" s="7">
        <v>15.98</v>
      </c>
    </row>
    <row r="21129" spans="1:4" x14ac:dyDescent="0.25">
      <c r="A21129" t="str">
        <f>HYPERLINK("https://www.773grp.com/globalSearch/LH79525N0Q100A1557/page-1", "LH79525N0Q100A1557")</f>
        <v>LH79525N0Q100A1557</v>
      </c>
      <c r="B21129" s="3" t="str">
        <f>HYPERLINK("https://www.773grp.com/manufacturer/nxp-semiconductor?pageNo=9", "NXP Semiconductors")</f>
        <v>NXP Semiconductors</v>
      </c>
      <c r="C21129" s="6">
        <v>6235</v>
      </c>
      <c r="D21129" s="7">
        <v>15.98</v>
      </c>
    </row>
    <row r="21130" spans="1:4" x14ac:dyDescent="0.25">
      <c r="A21130" t="str">
        <f>HYPERLINK("https://www.773grp.com/globalSearch/LPC1853FET256551/page-1", "LPC1853FET256551")</f>
        <v>LPC1853FET256551</v>
      </c>
      <c r="B21130" s="3" t="str">
        <f>HYPERLINK("https://www.773grp.com/manufacturer/nxp-semiconductor?pageNo=10", "NXP Semiconductors")</f>
        <v>NXP Semiconductors</v>
      </c>
      <c r="C21130" s="6">
        <v>36</v>
      </c>
      <c r="D21130" s="7">
        <v>16.309999999999999</v>
      </c>
    </row>
    <row r="21131" spans="1:4" x14ac:dyDescent="0.25">
      <c r="A21131" t="str">
        <f>HYPERLINK("https://www.773grp.com/globalSearch/SAF3566HV-V1100557/page-1", "SAF3566HV-V1100557")</f>
        <v>SAF3566HV-V1100557</v>
      </c>
      <c r="B21131" s="3" t="str">
        <f>HYPERLINK("https://www.773grp.com/manufacturer/nxp-semiconductor?pageNo=11", "NXP Semiconductors")</f>
        <v>NXP Semiconductors</v>
      </c>
      <c r="C21131" s="6">
        <v>250</v>
      </c>
      <c r="D21131" s="7">
        <v>16.309999999999999</v>
      </c>
    </row>
    <row r="21132" spans="1:4" x14ac:dyDescent="0.25">
      <c r="A21132" t="str">
        <f>HYPERLINK("https://www.773grp.com/globalSearch/LPC1788FET180551/page-1", "LPC1788FET180551")</f>
        <v>LPC1788FET180551</v>
      </c>
      <c r="B21132" s="3" t="str">
        <f>HYPERLINK("https://www.773grp.com/manufacturer/nxp-semiconductor?pageNo=12", "NXP Semiconductors")</f>
        <v>NXP Semiconductors</v>
      </c>
      <c r="C21132" s="6">
        <v>189</v>
      </c>
      <c r="D21132" s="7">
        <v>16.45</v>
      </c>
    </row>
    <row r="21133" spans="1:4" x14ac:dyDescent="0.25">
      <c r="A21133" t="str">
        <f>HYPERLINK("https://www.773grp.com/globalSearch/TDF8541SD-N2112/page-1", "TDF8541SD-N2112")</f>
        <v>TDF8541SD-N2112</v>
      </c>
      <c r="B21133" s="3" t="str">
        <f>HYPERLINK("https://www.773grp.com/manufacturer/nxp-semiconductor?pageNo=13", "NXP Semiconductors")</f>
        <v>NXP Semiconductors</v>
      </c>
      <c r="C21133" s="6">
        <v>437</v>
      </c>
      <c r="D21133" s="7">
        <v>16.5</v>
      </c>
    </row>
    <row r="21134" spans="1:4" x14ac:dyDescent="0.25">
      <c r="A21134" t="str">
        <f>HYPERLINK("https://www.773grp.com/globalSearch/LPC2929FBD144551/page-1", "LPC2929FBD144551")</f>
        <v>LPC2929FBD144551</v>
      </c>
      <c r="B21134" s="3" t="str">
        <f>HYPERLINK("https://www.773grp.com/manufacturer/nxp-semiconductor?pageNo=14", "NXP Semiconductors")</f>
        <v>NXP Semiconductors</v>
      </c>
      <c r="C21134" s="6">
        <v>98</v>
      </c>
      <c r="D21134" s="7">
        <v>16.71</v>
      </c>
    </row>
    <row r="21135" spans="1:4" x14ac:dyDescent="0.25">
      <c r="A21135" t="str">
        <f>HYPERLINK("https://www.773grp.com/globalSearch/MFRC53101T-0FE112/page-1", "MFRC53101T-0FE112")</f>
        <v>MFRC53101T-0FE112</v>
      </c>
      <c r="B21135" s="3" t="str">
        <f>HYPERLINK("https://www.773grp.com/manufacturer/nxp-semiconductor?pageNo=15", "NXP Semiconductors")</f>
        <v>NXP Semiconductors</v>
      </c>
      <c r="C21135" s="6">
        <v>960</v>
      </c>
      <c r="D21135" s="7">
        <v>16.84</v>
      </c>
    </row>
    <row r="21136" spans="1:4" x14ac:dyDescent="0.25">
      <c r="A21136" t="str">
        <f>HYPERLINK("https://www.773grp.com/globalSearch/TFF11105HN-N1118/page-1", "TFF11105HN-N1118")</f>
        <v>TFF11105HN-N1118</v>
      </c>
      <c r="B21136" s="3" t="str">
        <f>HYPERLINK("https://www.773grp.com/manufacturer/nxp-semiconductor?pageNo=16", "NXP Semiconductors")</f>
        <v>NXP Semiconductors</v>
      </c>
      <c r="C21136" s="6">
        <v>5</v>
      </c>
      <c r="D21136" s="7">
        <v>16.88</v>
      </c>
    </row>
    <row r="21137" spans="1:4" x14ac:dyDescent="0.25">
      <c r="A21137" t="str">
        <f>HYPERLINK("https://www.773grp.com/globalSearch/LPC2146FBD64151/page-1", "LPC2146FBD64151")</f>
        <v>LPC2146FBD64151</v>
      </c>
      <c r="B21137" s="3" t="str">
        <f>HYPERLINK("https://www.773grp.com/manufacturer/nxp-semiconductor?pageNo=17", "NXP Semiconductors")</f>
        <v>NXP Semiconductors</v>
      </c>
      <c r="C21137" s="6">
        <v>5440</v>
      </c>
      <c r="D21137" s="7">
        <v>16.96</v>
      </c>
    </row>
    <row r="21138" spans="1:4" x14ac:dyDescent="0.25">
      <c r="A21138" t="str">
        <f>HYPERLINK("https://www.773grp.com/globalSearch/LPC2387FBD100551/page-1", "LPC2387FBD100551")</f>
        <v>LPC2387FBD100551</v>
      </c>
      <c r="B21138" s="3" t="str">
        <f>HYPERLINK("https://www.773grp.com/manufacturer/nxp-semiconductor?pageNo=18", "NXP Semiconductors")</f>
        <v>NXP Semiconductors</v>
      </c>
      <c r="C21138" s="6">
        <v>3</v>
      </c>
      <c r="D21138" s="7">
        <v>17.18</v>
      </c>
    </row>
    <row r="21139" spans="1:4" x14ac:dyDescent="0.25">
      <c r="A21139" t="str">
        <f>HYPERLINK("https://www.773grp.com/globalSearch/LPC2138FBD64-0115/page-1", "LPC2138FBD64-0115")</f>
        <v>LPC2138FBD64-0115</v>
      </c>
      <c r="B21139" s="3" t="str">
        <f>HYPERLINK("https://www.773grp.com/manufacturer/nxp-semiconductor?pageNo=19", "NXP Semiconductors")</f>
        <v>NXP Semiconductors</v>
      </c>
      <c r="C21139" s="6">
        <v>160</v>
      </c>
      <c r="D21139" s="7">
        <v>17.64</v>
      </c>
    </row>
    <row r="21140" spans="1:4" x14ac:dyDescent="0.25">
      <c r="A21140" t="str">
        <f>HYPERLINK("https://www.773grp.com/globalSearch/LPC2138FBD64-01151/page-1", "LPC2138FBD64-01151")</f>
        <v>LPC2138FBD64-01151</v>
      </c>
      <c r="B21140" s="3" t="str">
        <f>HYPERLINK("https://www.773grp.com/manufacturer/nxp-semiconductor?pageNo=20", "NXP Semiconductors")</f>
        <v>NXP Semiconductors</v>
      </c>
      <c r="C21140" s="6">
        <v>16551</v>
      </c>
      <c r="D21140" s="7">
        <v>17.64</v>
      </c>
    </row>
    <row r="21141" spans="1:4" x14ac:dyDescent="0.25">
      <c r="A21141" t="str">
        <f>HYPERLINK("https://www.773grp.com/globalSearch/LPC2212FBD144-015/page-1", "LPC2212FBD144-015")</f>
        <v>LPC2212FBD144-015</v>
      </c>
      <c r="B21141" s="3" t="str">
        <f>HYPERLINK("https://www.773grp.com/manufacturer/nxp-semiconductor?pageNo=21", "NXP Semiconductors")</f>
        <v>NXP Semiconductors</v>
      </c>
      <c r="C21141" s="6">
        <v>8</v>
      </c>
      <c r="D21141" s="7">
        <v>17.64</v>
      </c>
    </row>
    <row r="21142" spans="1:4" x14ac:dyDescent="0.25">
      <c r="A21142" t="str">
        <f>HYPERLINK("https://www.773grp.com/globalSearch/LPC2129FBD64-01151/page-1", "LPC2129FBD64-01151")</f>
        <v>LPC2129FBD64-01151</v>
      </c>
      <c r="B21142" s="3" t="str">
        <f>HYPERLINK("https://www.773grp.com/manufacturer/nxp-semiconductor?pageNo=22", "NXP Semiconductors")</f>
        <v>NXP Semiconductors</v>
      </c>
      <c r="C21142" s="6">
        <v>4955</v>
      </c>
      <c r="D21142" s="7">
        <v>18.03</v>
      </c>
    </row>
    <row r="21143" spans="1:4" x14ac:dyDescent="0.25">
      <c r="A21143" t="str">
        <f>HYPERLINK("https://www.773grp.com/globalSearch/P80C552EBA-08518/page-1", "P80C552EBA-08518")</f>
        <v>P80C552EBA-08518</v>
      </c>
      <c r="B21143" s="3" t="str">
        <f>HYPERLINK("https://www.773grp.com/manufacturer/nxp-semiconductor?pageNo=23", "NXP Semiconductors")</f>
        <v>NXP Semiconductors</v>
      </c>
      <c r="C21143" s="6">
        <v>250</v>
      </c>
      <c r="D21143" s="7">
        <v>18.43</v>
      </c>
    </row>
    <row r="21144" spans="1:4" x14ac:dyDescent="0.25">
      <c r="A21144" t="str">
        <f>HYPERLINK("https://www.773grp.com/globalSearch/P80C552EBB-08557/page-1", "P80C552EBB-08557")</f>
        <v>P80C552EBB-08557</v>
      </c>
      <c r="B21144" s="3" t="str">
        <f>HYPERLINK("https://www.773grp.com/manufacturer/nxp-semiconductor?pageNo=24", "NXP Semiconductors")</f>
        <v>NXP Semiconductors</v>
      </c>
      <c r="C21144" s="6">
        <v>330</v>
      </c>
      <c r="D21144" s="7">
        <v>18.43</v>
      </c>
    </row>
    <row r="21145" spans="1:4" x14ac:dyDescent="0.25">
      <c r="A21145" t="str">
        <f>HYPERLINK("https://www.773grp.com/globalSearch/LPC4337FET256551/page-1", "LPC4337FET256551")</f>
        <v>LPC4337FET256551</v>
      </c>
      <c r="B21145" s="3" t="str">
        <f>HYPERLINK("https://www.773grp.com/manufacturer/nxp-semiconductor?pageNo=25", "NXP Semiconductors")</f>
        <v>NXP Semiconductors</v>
      </c>
      <c r="C21145" s="6">
        <v>360</v>
      </c>
      <c r="D21145" s="7">
        <v>18.559999999999999</v>
      </c>
    </row>
    <row r="21146" spans="1:4" x14ac:dyDescent="0.25">
      <c r="A21146" t="str">
        <f>HYPERLINK("https://www.773grp.com/globalSearch/LPC4353FET256551/page-1", "LPC4353FET256551")</f>
        <v>LPC4353FET256551</v>
      </c>
      <c r="B21146" s="3" t="str">
        <f>HYPERLINK("https://www.773grp.com/manufacturer/nxp-semiconductor?pageNo=26", "NXP Semiconductors")</f>
        <v>NXP Semiconductors</v>
      </c>
      <c r="C21146" s="6">
        <v>34</v>
      </c>
      <c r="D21146" s="7">
        <v>18.559999999999999</v>
      </c>
    </row>
    <row r="21147" spans="1:4" x14ac:dyDescent="0.25">
      <c r="A21147" t="str">
        <f>HYPERLINK("https://www.773grp.com/globalSearch/LPC2148FBD64151/page-1", "LPC2148FBD64151")</f>
        <v>LPC2148FBD64151</v>
      </c>
      <c r="B21147" s="3" t="str">
        <f>HYPERLINK("https://www.773grp.com/manufacturer/nxp-semiconductor?pageNo=27", "NXP Semiconductors")</f>
        <v>NXP Semiconductors</v>
      </c>
      <c r="C21147" s="6">
        <v>326</v>
      </c>
      <c r="D21147" s="7">
        <v>18.899999999999999</v>
      </c>
    </row>
    <row r="21148" spans="1:4" x14ac:dyDescent="0.25">
      <c r="A21148" t="str">
        <f>HYPERLINK("https://www.773grp.com/globalSearch/TDF8546JS-N1512/page-1", "TDF8546JS-N1512")</f>
        <v>TDF8546JS-N1512</v>
      </c>
      <c r="B21148" s="3" t="str">
        <f>HYPERLINK("https://www.773grp.com/manufacturer/nxp-semiconductor?pageNo=28", "NXP Semiconductors")</f>
        <v>NXP Semiconductors</v>
      </c>
      <c r="C21148" s="6">
        <v>456</v>
      </c>
      <c r="D21148" s="7">
        <v>18.989999999999998</v>
      </c>
    </row>
    <row r="21149" spans="1:4" x14ac:dyDescent="0.25">
      <c r="A21149" t="str">
        <f>HYPERLINK("https://www.773grp.com/globalSearch/LPC2939FBD208551/page-1", "LPC2939FBD208551")</f>
        <v>LPC2939FBD208551</v>
      </c>
      <c r="B21149" s="3" t="str">
        <f>HYPERLINK("https://www.773grp.com/manufacturer/nxp-semiconductor?pageNo=29", "NXP Semiconductors")</f>
        <v>NXP Semiconductors</v>
      </c>
      <c r="C21149" s="6">
        <v>182</v>
      </c>
      <c r="D21149" s="7">
        <v>19.100000000000001</v>
      </c>
    </row>
    <row r="21150" spans="1:4" x14ac:dyDescent="0.25">
      <c r="A21150" t="str">
        <f>HYPERLINK("https://www.773grp.com/globalSearch/P80C552IBA-08512/page-1", "P80C552IBA-08512")</f>
        <v>P80C552IBA-08512</v>
      </c>
      <c r="B21150" s="3" t="str">
        <f>HYPERLINK("https://www.773grp.com/manufacturer/nxp-semiconductor?pageNo=30", "NXP Semiconductors")</f>
        <v>NXP Semiconductors</v>
      </c>
      <c r="C21150" s="6">
        <v>1482</v>
      </c>
      <c r="D21150" s="7">
        <v>19.13</v>
      </c>
    </row>
    <row r="21151" spans="1:4" x14ac:dyDescent="0.25">
      <c r="A21151" t="str">
        <f>HYPERLINK("https://www.773grp.com/globalSearch/P80C552IFA-08512/page-1", "P80C552IFA-08512")</f>
        <v>P80C552IFA-08512</v>
      </c>
      <c r="B21151" s="3" t="str">
        <f>HYPERLINK("https://www.773grp.com/manufacturer/nxp-semiconductor?pageNo=31", "NXP Semiconductors")</f>
        <v>NXP Semiconductors</v>
      </c>
      <c r="C21151" s="6">
        <v>31</v>
      </c>
      <c r="D21151" s="7">
        <v>19.13</v>
      </c>
    </row>
    <row r="21152" spans="1:4" x14ac:dyDescent="0.25">
      <c r="A21152" t="str">
        <f>HYPERLINK("https://www.773grp.com/globalSearch/PXAG30KBBD157/page-1", "PXAG30KBBD157")</f>
        <v>PXAG30KBBD157</v>
      </c>
      <c r="B21152" s="3" t="str">
        <f>HYPERLINK("https://www.773grp.com/manufacturer/nxp-semiconductor?pageNo=32", "NXP Semiconductors")</f>
        <v>NXP Semiconductors</v>
      </c>
      <c r="C21152" s="6">
        <v>276</v>
      </c>
      <c r="D21152" s="7">
        <v>19.329999999999998</v>
      </c>
    </row>
    <row r="21153" spans="1:4" x14ac:dyDescent="0.25">
      <c r="A21153" t="str">
        <f>HYPERLINK("https://www.773grp.com/globalSearch/TDF8544J-N2112/page-1", "TDF8544J-N2112")</f>
        <v>TDF8544J-N2112</v>
      </c>
      <c r="B21153" s="3" t="str">
        <f>HYPERLINK("https://www.773grp.com/manufacturer/nxp-semiconductor?pageNo=33", "NXP Semiconductors")</f>
        <v>NXP Semiconductors</v>
      </c>
      <c r="C21153" s="6">
        <v>456</v>
      </c>
      <c r="D21153" s="7">
        <v>19.8</v>
      </c>
    </row>
    <row r="21154" spans="1:4" x14ac:dyDescent="0.25">
      <c r="A21154" t="str">
        <f>HYPERLINK("https://www.773grp.com/globalSearch/LPC3180FEL320551/page-1", "LPC3180FEL320551")</f>
        <v>LPC3180FEL320551</v>
      </c>
      <c r="B21154" s="3" t="str">
        <f>HYPERLINK("https://www.773grp.com/manufacturer/nxp-semiconductor?pageNo=34", "NXP Semiconductors")</f>
        <v>NXP Semiconductors</v>
      </c>
      <c r="C21154" s="6">
        <v>50</v>
      </c>
      <c r="D21154" s="7">
        <v>19.96</v>
      </c>
    </row>
    <row r="21155" spans="1:4" x14ac:dyDescent="0.25">
      <c r="A21155" t="str">
        <f>HYPERLINK("https://www.773grp.com/globalSearch/LPC2194HBD64-0115/page-1", "LPC2194HBD64-0115")</f>
        <v>LPC2194HBD64-0115</v>
      </c>
      <c r="B21155" s="3" t="str">
        <f>HYPERLINK("https://www.773grp.com/manufacturer/nxp-semiconductor?pageNo=35", "NXP Semiconductors")</f>
        <v>NXP Semiconductors</v>
      </c>
      <c r="C21155" s="6">
        <v>356</v>
      </c>
      <c r="D21155" s="7">
        <v>20.59</v>
      </c>
    </row>
    <row r="21156" spans="1:4" x14ac:dyDescent="0.25">
      <c r="A21156" t="str">
        <f>HYPERLINK("https://www.773grp.com/globalSearch/LPC2194HBD64-01151/page-1", "LPC2194HBD64-01151")</f>
        <v>LPC2194HBD64-01151</v>
      </c>
      <c r="B21156" s="3" t="str">
        <f>HYPERLINK("https://www.773grp.com/manufacturer/nxp-semiconductor?pageNo=36", "NXP Semiconductors")</f>
        <v>NXP Semiconductors</v>
      </c>
      <c r="C21156" s="6">
        <v>1040</v>
      </c>
      <c r="D21156" s="7">
        <v>20.59</v>
      </c>
    </row>
    <row r="21157" spans="1:4" x14ac:dyDescent="0.25">
      <c r="A21157" t="str">
        <f>HYPERLINK("https://www.773grp.com/globalSearch/LPC2292FBD144-015/page-1", "LPC2292FBD144-015")</f>
        <v>LPC2292FBD144-015</v>
      </c>
      <c r="B21157" s="3" t="str">
        <f>HYPERLINK("https://www.773grp.com/manufacturer/nxp-semiconductor?pageNo=37", "NXP Semiconductors")</f>
        <v>NXP Semiconductors</v>
      </c>
      <c r="C21157" s="6">
        <v>7</v>
      </c>
      <c r="D21157" s="7">
        <v>21.38</v>
      </c>
    </row>
    <row r="21158" spans="1:4" x14ac:dyDescent="0.25">
      <c r="A21158" t="str">
        <f>HYPERLINK("https://www.773grp.com/globalSearch/LPC2292FET144-015/page-1", "LPC2292FET144-015")</f>
        <v>LPC2292FET144-015</v>
      </c>
      <c r="B21158" s="3" t="str">
        <f>HYPERLINK("https://www.773grp.com/manufacturer/nxp-semiconductor?pageNo=38", "NXP Semiconductors")</f>
        <v>NXP Semiconductors</v>
      </c>
      <c r="C21158" s="6">
        <v>109</v>
      </c>
      <c r="D21158" s="7">
        <v>21.8</v>
      </c>
    </row>
    <row r="21159" spans="1:4" x14ac:dyDescent="0.25">
      <c r="A21159" t="str">
        <f>HYPERLINK("https://www.773grp.com/globalSearch/TDF8599BTH-N1518/page-1", "TDF8599BTH-N1518")</f>
        <v>TDF8599BTH-N1518</v>
      </c>
      <c r="B21159" s="3" t="str">
        <f>HYPERLINK("https://www.773grp.com/manufacturer/nxp-semiconductor?pageNo=39", "NXP Semiconductors")</f>
        <v>NXP Semiconductors</v>
      </c>
      <c r="C21159" s="6">
        <v>51</v>
      </c>
      <c r="D21159" s="7">
        <v>21.94</v>
      </c>
    </row>
    <row r="21160" spans="1:4" x14ac:dyDescent="0.25">
      <c r="A21160" t="str">
        <f>HYPERLINK("https://www.773grp.com/globalSearch/74HCT7030N112/page-1", "74HCT7030N112")</f>
        <v>74HCT7030N112</v>
      </c>
      <c r="B21160" s="3" t="str">
        <f>HYPERLINK("https://www.773grp.com/manufacturer/nxp-semiconductor?pageNo=40", "NXP Semiconductors")</f>
        <v>NXP Semiconductors</v>
      </c>
      <c r="C21160" s="6">
        <v>34</v>
      </c>
      <c r="D21160" s="7">
        <v>22.39</v>
      </c>
    </row>
    <row r="21161" spans="1:4" x14ac:dyDescent="0.25">
      <c r="A21161" t="str">
        <f>HYPERLINK("https://www.773grp.com/globalSearch/TDF8599TH-N2512/page-1", "TDF8599TH-N2512")</f>
        <v>TDF8599TH-N2512</v>
      </c>
      <c r="B21161" s="3" t="str">
        <f>HYPERLINK("https://www.773grp.com/manufacturer/nxp-semiconductor?pageNo=41", "NXP Semiconductors")</f>
        <v>NXP Semiconductors</v>
      </c>
      <c r="C21161" s="6">
        <v>720</v>
      </c>
      <c r="D21161" s="7">
        <v>23.34</v>
      </c>
    </row>
    <row r="21162" spans="1:4" x14ac:dyDescent="0.25">
      <c r="A21162" t="str">
        <f>HYPERLINK("https://www.773grp.com/globalSearch/LPC2468FBD208551/page-1", "LPC2468FBD208551")</f>
        <v>LPC2468FBD208551</v>
      </c>
      <c r="B21162" s="3" t="str">
        <f>HYPERLINK("https://www.773grp.com/manufacturer/nxp-semiconductor?pageNo=42", "NXP Semiconductors")</f>
        <v>NXP Semiconductors</v>
      </c>
      <c r="C21162" s="6">
        <v>7</v>
      </c>
      <c r="D21162" s="7">
        <v>23.91</v>
      </c>
    </row>
    <row r="21163" spans="1:4" x14ac:dyDescent="0.25">
      <c r="A21163" t="str">
        <f>HYPERLINK("https://www.773grp.com/globalSearch/LPC2478FBD208551/page-1", "LPC2478FBD208551")</f>
        <v>LPC2478FBD208551</v>
      </c>
      <c r="B21163" s="3" t="str">
        <f>HYPERLINK("https://www.773grp.com/manufacturer/nxp-semiconductor?pageNo=43", "NXP Semiconductors")</f>
        <v>NXP Semiconductors</v>
      </c>
      <c r="C21163" s="6">
        <v>31</v>
      </c>
      <c r="D21163" s="7">
        <v>25.18</v>
      </c>
    </row>
    <row r="21164" spans="1:4" x14ac:dyDescent="0.25">
      <c r="A21164" t="str">
        <f>HYPERLINK("https://www.773grp.com/globalSearch/P87C554SBAA512/page-1", "P87C554SBAA512")</f>
        <v>P87C554SBAA512</v>
      </c>
      <c r="B21164" s="3" t="str">
        <f>HYPERLINK("https://www.773grp.com/manufacturer/nxp-semiconductor?pageNo=44", "NXP Semiconductors")</f>
        <v>NXP Semiconductors</v>
      </c>
      <c r="C21164" s="6">
        <v>450</v>
      </c>
      <c r="D21164" s="7">
        <v>27.85</v>
      </c>
    </row>
    <row r="21165" spans="1:4" x14ac:dyDescent="0.25">
      <c r="A21165" t="str">
        <f>HYPERLINK("https://www.773grp.com/globalSearch/TDF8599CTH-N1112/page-1", "TDF8599CTH-N1112")</f>
        <v>TDF8599CTH-N1112</v>
      </c>
      <c r="B21165" s="3" t="str">
        <f>HYPERLINK("https://www.773grp.com/manufacturer/nxp-semiconductor?pageNo=45", "NXP Semiconductors")</f>
        <v>NXP Semiconductors</v>
      </c>
      <c r="C21165" s="6">
        <v>720</v>
      </c>
      <c r="D21165" s="7">
        <v>30.26</v>
      </c>
    </row>
    <row r="21166" spans="1:4" x14ac:dyDescent="0.25">
      <c r="A21166" t="str">
        <f>HYPERLINK("https://www.773grp.com/globalSearch/TDF8599CTH-N1118/page-1", "TDF8599CTH-N1118")</f>
        <v>TDF8599CTH-N1118</v>
      </c>
      <c r="B21166" s="3" t="str">
        <f>HYPERLINK("https://www.773grp.com/manufacturer/nxp-semiconductor?pageNo=46", "NXP Semiconductors")</f>
        <v>NXP Semiconductors</v>
      </c>
      <c r="C21166" s="6">
        <v>5</v>
      </c>
      <c r="D21166" s="7">
        <v>30.26</v>
      </c>
    </row>
    <row r="21167" spans="1:4" x14ac:dyDescent="0.25">
      <c r="A21167" t="str">
        <f>HYPERLINK("https://www.773grp.com/globalSearch/PXAG37KFA512/page-1", "PXAG37KFA512")</f>
        <v>PXAG37KFA512</v>
      </c>
      <c r="B21167" s="3" t="str">
        <f>HYPERLINK("https://www.773grp.com/manufacturer/nxp-semiconductor?pageNo=47", "NXP Semiconductors")</f>
        <v>NXP Semiconductors</v>
      </c>
      <c r="C21167" s="6">
        <v>4292</v>
      </c>
      <c r="D21167" s="7">
        <v>30.38</v>
      </c>
    </row>
    <row r="21168" spans="1:4" x14ac:dyDescent="0.25">
      <c r="A21168" t="str">
        <f>HYPERLINK("https://www.773grp.com/globalSearch/ADC1410S080HN-C15/page-1", "ADC1410S080HN-C15")</f>
        <v>ADC1410S080HN-C15</v>
      </c>
      <c r="B21168" s="3" t="str">
        <f>HYPERLINK("https://www.773grp.com/manufacturer/nxp-semiconductor?pageNo=48", "NXP Semiconductors")</f>
        <v>NXP Semiconductors</v>
      </c>
      <c r="C21168" s="6">
        <v>114</v>
      </c>
      <c r="D21168" s="7">
        <v>31.76</v>
      </c>
    </row>
    <row r="21169" spans="1:4" x14ac:dyDescent="0.25">
      <c r="A21169" t="str">
        <f>HYPERLINK("https://www.773grp.com/globalSearch/P80C592FFA-00512/page-1", "P80C592FFA-00512")</f>
        <v>P80C592FFA-00512</v>
      </c>
      <c r="B21169" s="3" t="str">
        <f>HYPERLINK("https://www.773grp.com/manufacturer/nxp-semiconductor?pageNo=1", "NXP Semiconductors")</f>
        <v>NXP Semiconductors</v>
      </c>
      <c r="C21169" s="6">
        <v>468</v>
      </c>
      <c r="D21169" s="7">
        <v>32.35</v>
      </c>
    </row>
    <row r="21170" spans="1:4" x14ac:dyDescent="0.25">
      <c r="A21170" t="str">
        <f>HYPERLINK("https://www.773grp.com/globalSearch/BGY66B112/page-1", "BGY66B112")</f>
        <v>BGY66B112</v>
      </c>
      <c r="B21170" s="3" t="str">
        <f>HYPERLINK("https://www.773grp.com/manufacturer/nxp-semiconductor?pageNo=2", "NXP Semiconductors")</f>
        <v>NXP Semiconductors</v>
      </c>
      <c r="C21170" s="6">
        <v>150</v>
      </c>
      <c r="D21170" s="7">
        <v>33.71</v>
      </c>
    </row>
    <row r="21171" spans="1:4" x14ac:dyDescent="0.25">
      <c r="A21171" t="str">
        <f>HYPERLINK("https://www.773grp.com/globalSearch/PNX9535E-V1518/page-1", "PNX9535E-V1518")</f>
        <v>PNX9535E-V1518</v>
      </c>
      <c r="B21171" s="3" t="str">
        <f>HYPERLINK("https://www.773grp.com/manufacturer/nxp-semiconductor?pageNo=3", "NXP Semiconductors")</f>
        <v>NXP Semiconductors</v>
      </c>
      <c r="C21171" s="6">
        <v>400</v>
      </c>
      <c r="D21171" s="7">
        <v>34.31</v>
      </c>
    </row>
    <row r="21172" spans="1:4" x14ac:dyDescent="0.25">
      <c r="A21172" t="str">
        <f>HYPERLINK("https://www.773grp.com/globalSearch/SC28L194A1A518/page-1", "SC28L194A1A518")</f>
        <v>SC28L194A1A518</v>
      </c>
      <c r="B21172" s="3" t="str">
        <f>HYPERLINK("https://www.773grp.com/manufacturer/nxp-semiconductor?pageNo=4", "NXP Semiconductors")</f>
        <v>NXP Semiconductors</v>
      </c>
      <c r="C21172" s="6">
        <v>250</v>
      </c>
      <c r="D21172" s="7">
        <v>35.15</v>
      </c>
    </row>
    <row r="21173" spans="1:4" x14ac:dyDescent="0.25">
      <c r="A21173" t="str">
        <f>HYPERLINK("https://www.773grp.com/globalSearch/SC28L194A1A529/page-1", "SC28L194A1A529")</f>
        <v>SC28L194A1A529</v>
      </c>
      <c r="B21173" s="3" t="str">
        <f>HYPERLINK("https://www.773grp.com/manufacturer/nxp-semiconductor?pageNo=5", "NXP Semiconductors")</f>
        <v>NXP Semiconductors</v>
      </c>
      <c r="C21173" s="6">
        <v>67</v>
      </c>
      <c r="D21173" s="7">
        <v>35.15</v>
      </c>
    </row>
    <row r="21174" spans="1:4" x14ac:dyDescent="0.25">
      <c r="A21174" t="str">
        <f>HYPERLINK("https://www.773grp.com/globalSearch/SC28L194A1BE551/page-1", "SC28L194A1BE551")</f>
        <v>SC28L194A1BE551</v>
      </c>
      <c r="B21174" s="3" t="str">
        <f>HYPERLINK("https://www.773grp.com/manufacturer/nxp-semiconductor?pageNo=6", "NXP Semiconductors")</f>
        <v>NXP Semiconductors</v>
      </c>
      <c r="C21174" s="6">
        <v>52</v>
      </c>
      <c r="D21174" s="7">
        <v>35.15</v>
      </c>
    </row>
    <row r="21175" spans="1:4" x14ac:dyDescent="0.25">
      <c r="A21175" t="str">
        <f>HYPERLINK("https://www.773grp.com/globalSearch/SC28L194A1BE557/page-1", "SC28L194A1BE557")</f>
        <v>SC28L194A1BE557</v>
      </c>
      <c r="B21175" s="3" t="str">
        <f>HYPERLINK("https://www.773grp.com/manufacturer/nxp-semiconductor?pageNo=7", "NXP Semiconductors")</f>
        <v>NXP Semiconductors</v>
      </c>
      <c r="C21175" s="6">
        <v>266</v>
      </c>
      <c r="D21175" s="7">
        <v>35.15</v>
      </c>
    </row>
    <row r="21176" spans="1:4" x14ac:dyDescent="0.25">
      <c r="A21176" t="str">
        <f>HYPERLINK("https://www.773grp.com/globalSearch/BGR269112/page-1", "BGR269112")</f>
        <v>BGR269112</v>
      </c>
      <c r="B21176" s="3" t="str">
        <f>HYPERLINK("https://www.773grp.com/manufacturer/nxp-semiconductor?pageNo=8", "NXP Semiconductors")</f>
        <v>NXP Semiconductors</v>
      </c>
      <c r="C21176" s="6">
        <v>1920</v>
      </c>
      <c r="D21176" s="7">
        <v>37.130000000000003</v>
      </c>
    </row>
    <row r="21177" spans="1:4" x14ac:dyDescent="0.25">
      <c r="A21177" t="str">
        <f>HYPERLINK("https://www.773grp.com/globalSearch/BGY67A112/page-1", "BGY67A112")</f>
        <v>BGY67A112</v>
      </c>
      <c r="B21177" s="3" t="str">
        <f>HYPERLINK("https://www.773grp.com/manufacturer/nxp-semiconductor?pageNo=9", "NXP Semiconductors")</f>
        <v>NXP Semiconductors</v>
      </c>
      <c r="C21177" s="6">
        <v>498</v>
      </c>
      <c r="D21177" s="7">
        <v>38.1</v>
      </c>
    </row>
    <row r="21178" spans="1:4" x14ac:dyDescent="0.25">
      <c r="A21178" t="str">
        <f>HYPERLINK("https://www.773grp.com/globalSearch/BGY67112/page-1", "BGY67112")</f>
        <v>BGY67112</v>
      </c>
      <c r="B21178" s="3" t="str">
        <f>HYPERLINK("https://www.773grp.com/manufacturer/nxp-semiconductor?pageNo=10", "NXP Semiconductors")</f>
        <v>NXP Semiconductors</v>
      </c>
      <c r="C21178" s="6">
        <v>70</v>
      </c>
      <c r="D21178" s="7">
        <v>38.19</v>
      </c>
    </row>
    <row r="21179" spans="1:4" x14ac:dyDescent="0.25">
      <c r="A21179" t="str">
        <f>HYPERLINK("https://www.773grp.com/globalSearch/BGY588C112/page-1", "BGY588C112")</f>
        <v>BGY588C112</v>
      </c>
      <c r="B21179" s="3" t="str">
        <f>HYPERLINK("https://www.773grp.com/manufacturer/nxp-semiconductor?pageNo=11", "NXP Semiconductors")</f>
        <v>NXP Semiconductors</v>
      </c>
      <c r="C21179" s="6">
        <v>20</v>
      </c>
      <c r="D21179" s="7">
        <v>39.06</v>
      </c>
    </row>
    <row r="21180" spans="1:4" x14ac:dyDescent="0.25">
      <c r="A21180" t="str">
        <f>HYPERLINK("https://www.773grp.com/globalSearch/SC28C94A1A512/page-1", "SC28C94A1A512")</f>
        <v>SC28C94A1A512</v>
      </c>
      <c r="B21180" s="3" t="str">
        <f>HYPERLINK("https://www.773grp.com/manufacturer/nxp-semiconductor?pageNo=12", "NXP Semiconductors")</f>
        <v>NXP Semiconductors</v>
      </c>
      <c r="C21180" s="6">
        <v>4780</v>
      </c>
      <c r="D21180" s="7">
        <v>40.79</v>
      </c>
    </row>
    <row r="21181" spans="1:4" x14ac:dyDescent="0.25">
      <c r="A21181" t="str">
        <f>HYPERLINK("https://www.773grp.com/globalSearch/BGE788C112/page-1", "BGE788C112")</f>
        <v>BGE788C112</v>
      </c>
      <c r="B21181" s="3" t="str">
        <f>HYPERLINK("https://www.773grp.com/manufacturer/nxp-semiconductor?pageNo=13", "NXP Semiconductors")</f>
        <v>NXP Semiconductors</v>
      </c>
      <c r="C21181" s="6">
        <v>900</v>
      </c>
      <c r="D21181" s="7">
        <v>42.53</v>
      </c>
    </row>
    <row r="21182" spans="1:4" x14ac:dyDescent="0.25">
      <c r="A21182" t="str">
        <f>HYPERLINK("https://www.773grp.com/globalSearch/BLF202115/page-1", "BLF202115")</f>
        <v>BLF202115</v>
      </c>
      <c r="B21182" s="3" t="str">
        <f>HYPERLINK("https://www.773grp.com/manufacturer/nxp-semiconductor?pageNo=14", "NXP Semiconductors")</f>
        <v>NXP Semiconductors</v>
      </c>
      <c r="C21182" s="6">
        <v>500</v>
      </c>
      <c r="D21182" s="7">
        <v>44.59</v>
      </c>
    </row>
    <row r="21183" spans="1:4" x14ac:dyDescent="0.25">
      <c r="A21183" t="str">
        <f>HYPERLINK("https://www.773grp.com/globalSearch/BGY835C112/page-1", "BGY835C112")</f>
        <v>BGY835C112</v>
      </c>
      <c r="B21183" s="3" t="str">
        <f>HYPERLINK("https://www.773grp.com/manufacturer/nxp-semiconductor?pageNo=15", "NXP Semiconductors")</f>
        <v>NXP Semiconductors</v>
      </c>
      <c r="C21183" s="6">
        <v>5</v>
      </c>
      <c r="D21183" s="7">
        <v>44.66</v>
      </c>
    </row>
    <row r="21184" spans="1:4" x14ac:dyDescent="0.25">
      <c r="A21184" t="str">
        <f>HYPERLINK("https://www.773grp.com/globalSearch/PXAS37KBA512/page-1", "PXAS37KBA512")</f>
        <v>PXAS37KBA512</v>
      </c>
      <c r="B21184" s="3" t="str">
        <f>HYPERLINK("https://www.773grp.com/manufacturer/nxp-semiconductor?pageNo=16", "NXP Semiconductors")</f>
        <v>NXP Semiconductors</v>
      </c>
      <c r="C21184" s="6">
        <v>85</v>
      </c>
      <c r="D21184" s="7">
        <v>44.73</v>
      </c>
    </row>
    <row r="21185" spans="1:4" x14ac:dyDescent="0.25">
      <c r="A21185" t="str">
        <f>HYPERLINK("https://www.773grp.com/globalSearch/JN5139-001-M-01R1V/page-1", "JN5139-001-M-01R1V")</f>
        <v>JN5139-001-M-01R1V</v>
      </c>
      <c r="B21185" s="3" t="str">
        <f>HYPERLINK("https://www.773grp.com/manufacturer/nxp-semiconductor?pageNo=17", "NXP Semiconductors")</f>
        <v>NXP Semiconductors</v>
      </c>
      <c r="C21185" s="6">
        <v>48</v>
      </c>
      <c r="D21185" s="7">
        <v>45.34</v>
      </c>
    </row>
    <row r="21186" spans="1:4" x14ac:dyDescent="0.25">
      <c r="A21186" t="str">
        <f>HYPERLINK("https://www.773grp.com/globalSearch/JN5139-Z01-M-01R1V/page-1", "JN5139-Z01-M-01R1V")</f>
        <v>JN5139-Z01-M-01R1V</v>
      </c>
      <c r="B21186" s="3" t="str">
        <f>HYPERLINK("https://www.773grp.com/manufacturer/nxp-semiconductor?pageNo=18", "NXP Semiconductors")</f>
        <v>NXP Semiconductors</v>
      </c>
      <c r="C21186" s="6">
        <v>4</v>
      </c>
      <c r="D21186" s="7">
        <v>46.1</v>
      </c>
    </row>
    <row r="21187" spans="1:4" x14ac:dyDescent="0.25">
      <c r="A21187" t="str">
        <f>HYPERLINK("https://www.773grp.com/globalSearch/CGD1042H112/page-1", "CGD1042H112")</f>
        <v>CGD1042H112</v>
      </c>
      <c r="B21187" s="3" t="str">
        <f>HYPERLINK("https://www.773grp.com/manufacturer/nxp-semiconductor?pageNo=19", "NXP Semiconductors")</f>
        <v>NXP Semiconductors</v>
      </c>
      <c r="C21187" s="6">
        <v>2133</v>
      </c>
      <c r="D21187" s="7">
        <v>47.81</v>
      </c>
    </row>
    <row r="21188" spans="1:4" x14ac:dyDescent="0.25">
      <c r="A21188" t="str">
        <f>HYPERLINK("https://www.773grp.com/globalSearch/SCC2698BC1A84512/page-1", "SCC2698BC1A84512")</f>
        <v>SCC2698BC1A84512</v>
      </c>
      <c r="B21188" s="3" t="str">
        <f>HYPERLINK("https://www.773grp.com/manufacturer/nxp-semiconductor?pageNo=20", "NXP Semiconductors")</f>
        <v>NXP Semiconductors</v>
      </c>
      <c r="C21188" s="6">
        <v>627</v>
      </c>
      <c r="D21188" s="7">
        <v>50.63</v>
      </c>
    </row>
    <row r="21189" spans="1:4" x14ac:dyDescent="0.25">
      <c r="A21189" t="str">
        <f>HYPERLINK("https://www.773grp.com/globalSearch/BGY785A112/page-1", "BGY785A112")</f>
        <v>BGY785A112</v>
      </c>
      <c r="B21189" s="3" t="str">
        <f>HYPERLINK("https://www.773grp.com/manufacturer/nxp-semiconductor?pageNo=21", "NXP Semiconductors")</f>
        <v>NXP Semiconductors</v>
      </c>
      <c r="C21189" s="6">
        <v>175</v>
      </c>
      <c r="D21189" s="7">
        <v>52.94</v>
      </c>
    </row>
    <row r="21190" spans="1:4" x14ac:dyDescent="0.25">
      <c r="A21190" t="str">
        <f>HYPERLINK("https://www.773grp.com/globalSearch/BGY787112/page-1", "BGY787112")</f>
        <v>BGY787112</v>
      </c>
      <c r="B21190" s="3" t="str">
        <f>HYPERLINK("https://www.773grp.com/manufacturer/nxp-semiconductor?pageNo=22", "NXP Semiconductors")</f>
        <v>NXP Semiconductors</v>
      </c>
      <c r="C21190" s="6">
        <v>139</v>
      </c>
      <c r="D21190" s="7">
        <v>53.36</v>
      </c>
    </row>
    <row r="21191" spans="1:4" x14ac:dyDescent="0.25">
      <c r="A21191" t="str">
        <f>HYPERLINK("https://www.773grp.com/globalSearch/SC28L198A1BE528/page-1", "SC28L198A1BE528")</f>
        <v>SC28L198A1BE528</v>
      </c>
      <c r="B21191" s="3" t="str">
        <f>HYPERLINK("https://www.773grp.com/manufacturer/nxp-semiconductor?pageNo=23", "NXP Semiconductors")</f>
        <v>NXP Semiconductors</v>
      </c>
      <c r="C21191" s="6">
        <v>3000</v>
      </c>
      <c r="D21191" s="7">
        <v>53.44</v>
      </c>
    </row>
    <row r="21192" spans="1:4" x14ac:dyDescent="0.25">
      <c r="A21192" t="str">
        <f>HYPERLINK("https://www.773grp.com/globalSearch/SC28L198A1BE551/page-1", "SC28L198A1BE551")</f>
        <v>SC28L198A1BE551</v>
      </c>
      <c r="B21192" s="3" t="str">
        <f>HYPERLINK("https://www.773grp.com/manufacturer/nxp-semiconductor?pageNo=24", "NXP Semiconductors")</f>
        <v>NXP Semiconductors</v>
      </c>
      <c r="C21192" s="6">
        <v>90</v>
      </c>
      <c r="D21192" s="7">
        <v>53.44</v>
      </c>
    </row>
    <row r="21193" spans="1:4" x14ac:dyDescent="0.25">
      <c r="A21193" t="str">
        <f>HYPERLINK("https://www.773grp.com/globalSearch/PNX9530E-V140557/page-1", "PNX9530E-V140557")</f>
        <v>PNX9530E-V140557</v>
      </c>
      <c r="B21193" s="3" t="str">
        <f>HYPERLINK("https://www.773grp.com/manufacturer/nxp-semiconductor?pageNo=25", "NXP Semiconductors")</f>
        <v>NXP Semiconductors</v>
      </c>
      <c r="C21193" s="6">
        <v>1600</v>
      </c>
      <c r="D21193" s="7">
        <v>54</v>
      </c>
    </row>
    <row r="21194" spans="1:4" x14ac:dyDescent="0.25">
      <c r="A21194" t="str">
        <f>HYPERLINK("https://www.773grp.com/globalSearch/TDA9965HL-C3151/page-1", "TDA9965HL-C3151")</f>
        <v>TDA9965HL-C3151</v>
      </c>
      <c r="B21194" s="3" t="str">
        <f>HYPERLINK("https://www.773grp.com/manufacturer/nxp-semiconductor?pageNo=26", "NXP Semiconductors")</f>
        <v>NXP Semiconductors</v>
      </c>
      <c r="C21194" s="6">
        <v>22</v>
      </c>
      <c r="D21194" s="7">
        <v>55.39</v>
      </c>
    </row>
    <row r="21195" spans="1:4" x14ac:dyDescent="0.25">
      <c r="A21195" t="str">
        <f>HYPERLINK("https://www.773grp.com/globalSearch/BGY885A112/page-1", "BGY885A112")</f>
        <v>BGY885A112</v>
      </c>
      <c r="B21195" s="3" t="str">
        <f>HYPERLINK("https://www.773grp.com/manufacturer/nxp-semiconductor?pageNo=27", "NXP Semiconductors")</f>
        <v>NXP Semiconductors</v>
      </c>
      <c r="C21195" s="6">
        <v>342</v>
      </c>
      <c r="D21195" s="7">
        <v>56.28</v>
      </c>
    </row>
    <row r="21196" spans="1:4" x14ac:dyDescent="0.25">
      <c r="A21196" t="str">
        <f>HYPERLINK("https://www.773grp.com/globalSearch/BGY887B112/page-1", "BGY887B112")</f>
        <v>BGY887B112</v>
      </c>
      <c r="B21196" s="3" t="str">
        <f>HYPERLINK("https://www.773grp.com/manufacturer/nxp-semiconductor?pageNo=28", "NXP Semiconductors")</f>
        <v>NXP Semiconductors</v>
      </c>
      <c r="C21196" s="6">
        <v>628</v>
      </c>
      <c r="D21196" s="7">
        <v>56.65</v>
      </c>
    </row>
    <row r="21197" spans="1:4" x14ac:dyDescent="0.25">
      <c r="A21197" t="str">
        <f>HYPERLINK("https://www.773grp.com/globalSearch/BGY887112/page-1", "BGY887112")</f>
        <v>BGY887112</v>
      </c>
      <c r="B21197" s="3" t="str">
        <f>HYPERLINK("https://www.773grp.com/manufacturer/nxp-semiconductor?pageNo=29", "NXP Semiconductors")</f>
        <v>NXP Semiconductors</v>
      </c>
      <c r="C21197" s="6">
        <v>892</v>
      </c>
      <c r="D21197" s="7">
        <v>56.84</v>
      </c>
    </row>
    <row r="21198" spans="1:4" x14ac:dyDescent="0.25">
      <c r="A21198" t="str">
        <f>HYPERLINK("https://www.773grp.com/globalSearch/BLF3G21-6112/page-1", "BLF3G21-6112")</f>
        <v>BLF3G21-6112</v>
      </c>
      <c r="B21198" s="3" t="str">
        <f>HYPERLINK("https://www.773grp.com/manufacturer/nxp-semiconductor?pageNo=30", "NXP Semiconductors")</f>
        <v>NXP Semiconductors</v>
      </c>
      <c r="C21198" s="6">
        <v>160</v>
      </c>
      <c r="D21198" s="7">
        <v>57</v>
      </c>
    </row>
    <row r="21199" spans="1:4" x14ac:dyDescent="0.25">
      <c r="A21199" t="str">
        <f>HYPERLINK("https://www.773grp.com/globalSearch/BLF6G21-10G135/page-1", "BLF6G21-10G135")</f>
        <v>BLF6G21-10G135</v>
      </c>
      <c r="B21199" s="3" t="str">
        <f>HYPERLINK("https://www.773grp.com/manufacturer/nxp-semiconductor?pageNo=31", "NXP Semiconductors")</f>
        <v>NXP Semiconductors</v>
      </c>
      <c r="C21199" s="6">
        <v>205</v>
      </c>
      <c r="D21199" s="7">
        <v>57</v>
      </c>
    </row>
    <row r="21200" spans="1:4" x14ac:dyDescent="0.25">
      <c r="A21200" t="str">
        <f>HYPERLINK("https://www.773grp.com/globalSearch/ADC1415S105HN-C15/page-1", "ADC1415S105HN-C15")</f>
        <v>ADC1415S105HN-C15</v>
      </c>
      <c r="B21200" s="3" t="str">
        <f>HYPERLINK("https://www.773grp.com/manufacturer/nxp-semiconductor?pageNo=32", "NXP Semiconductors")</f>
        <v>NXP Semiconductors</v>
      </c>
      <c r="C21200" s="6">
        <v>119</v>
      </c>
      <c r="D21200" s="7">
        <v>57.63</v>
      </c>
    </row>
    <row r="21201" spans="1:4" x14ac:dyDescent="0.25">
      <c r="A21201" t="str">
        <f>HYPERLINK("https://www.773grp.com/globalSearch/BLF6G27-10G112/page-1", "BLF6G27-10G112")</f>
        <v>BLF6G27-10G112</v>
      </c>
      <c r="B21201" s="3" t="str">
        <f>HYPERLINK("https://www.773grp.com/manufacturer/nxp-semiconductor?pageNo=33", "NXP Semiconductors")</f>
        <v>NXP Semiconductors</v>
      </c>
      <c r="C21201" s="6">
        <v>136</v>
      </c>
      <c r="D21201" s="7">
        <v>58.34</v>
      </c>
    </row>
    <row r="21202" spans="1:4" x14ac:dyDescent="0.25">
      <c r="A21202" t="str">
        <f>HYPERLINK("https://www.773grp.com/globalSearch/BGE787B112/page-1", "BGE787B112")</f>
        <v>BGE787B112</v>
      </c>
      <c r="B21202" s="3" t="str">
        <f>HYPERLINK("https://www.773grp.com/manufacturer/nxp-semiconductor?pageNo=34", "NXP Semiconductors")</f>
        <v>NXP Semiconductors</v>
      </c>
      <c r="C21202" s="6">
        <v>198</v>
      </c>
      <c r="D21202" s="7">
        <v>59.01</v>
      </c>
    </row>
    <row r="21203" spans="1:4" x14ac:dyDescent="0.25">
      <c r="A21203" t="str">
        <f>HYPERLINK("https://www.773grp.com/globalSearch/BGD702N112/page-1", "BGD702N112")</f>
        <v>BGD702N112</v>
      </c>
      <c r="B21203" s="3" t="str">
        <f>HYPERLINK("https://www.773grp.com/manufacturer/nxp-semiconductor?pageNo=35", "NXP Semiconductors")</f>
        <v>NXP Semiconductors</v>
      </c>
      <c r="C21203" s="6">
        <v>100</v>
      </c>
      <c r="D21203" s="7">
        <v>59.06</v>
      </c>
    </row>
    <row r="21204" spans="1:4" x14ac:dyDescent="0.25">
      <c r="A21204" t="str">
        <f>HYPERLINK("https://www.773grp.com/globalSearch/BGD712112/page-1", "BGD712112")</f>
        <v>BGD712112</v>
      </c>
      <c r="B21204" s="3" t="str">
        <f>HYPERLINK("https://www.773grp.com/manufacturer/nxp-semiconductor?pageNo=36", "NXP Semiconductors")</f>
        <v>NXP Semiconductors</v>
      </c>
      <c r="C21204" s="6">
        <v>96</v>
      </c>
      <c r="D21204" s="7">
        <v>59.15</v>
      </c>
    </row>
    <row r="21205" spans="1:4" x14ac:dyDescent="0.25">
      <c r="A21205" t="str">
        <f>HYPERLINK("https://www.773grp.com/globalSearch/BGD714112/page-1", "BGD714112")</f>
        <v>BGD714112</v>
      </c>
      <c r="B21205" s="3" t="str">
        <f>HYPERLINK("https://www.773grp.com/manufacturer/nxp-semiconductor?pageNo=37", "NXP Semiconductors")</f>
        <v>NXP Semiconductors</v>
      </c>
      <c r="C21205" s="6">
        <v>22</v>
      </c>
      <c r="D21205" s="7">
        <v>59.15</v>
      </c>
    </row>
    <row r="21206" spans="1:4" x14ac:dyDescent="0.25">
      <c r="A21206" t="str">
        <f>HYPERLINK("https://www.773grp.com/globalSearch/JN5139-001-M-04R1T534/page-1", "JN5139-001-M-04R1T534")</f>
        <v>JN5139-001-M-04R1T534</v>
      </c>
      <c r="B21206" s="3" t="str">
        <f>HYPERLINK("https://www.773grp.com/manufacturer/nxp-semiconductor?pageNo=38", "NXP Semiconductors")</f>
        <v>NXP Semiconductors</v>
      </c>
      <c r="C21206" s="6">
        <v>2000</v>
      </c>
      <c r="D21206" s="7">
        <v>59.15</v>
      </c>
    </row>
    <row r="21207" spans="1:4" x14ac:dyDescent="0.25">
      <c r="A21207" t="str">
        <f>HYPERLINK("https://www.773grp.com/globalSearch/ADC1412D105HN-C15/page-1", "ADC1412D105HN-C15")</f>
        <v>ADC1412D105HN-C15</v>
      </c>
      <c r="B21207" s="3" t="str">
        <f>HYPERLINK("https://www.773grp.com/manufacturer/nxp-semiconductor?pageNo=39", "NXP Semiconductors")</f>
        <v>NXP Semiconductors</v>
      </c>
      <c r="C21207" s="6">
        <v>65</v>
      </c>
      <c r="D21207" s="7">
        <v>59.45</v>
      </c>
    </row>
    <row r="21208" spans="1:4" x14ac:dyDescent="0.25">
      <c r="A21208" t="str">
        <f>HYPERLINK("https://www.773grp.com/globalSearch/BGY888112/page-1", "BGY888112")</f>
        <v>BGY888112</v>
      </c>
      <c r="B21208" s="3" t="str">
        <f>HYPERLINK("https://www.773grp.com/manufacturer/nxp-semiconductor?pageNo=40", "NXP Semiconductors")</f>
        <v>NXP Semiconductors</v>
      </c>
      <c r="C21208" s="6">
        <v>700</v>
      </c>
      <c r="D21208" s="7">
        <v>62.53</v>
      </c>
    </row>
    <row r="21209" spans="1:4" x14ac:dyDescent="0.25">
      <c r="A21209" t="str">
        <f>HYPERLINK("https://www.773grp.com/globalSearch/BLF6G38-10G112/page-1", "BLF6G38-10G112")</f>
        <v>BLF6G38-10G112</v>
      </c>
      <c r="B21209" s="3" t="str">
        <f>HYPERLINK("https://www.773grp.com/manufacturer/nxp-semiconductor?pageNo=41", "NXP Semiconductors")</f>
        <v>NXP Semiconductors</v>
      </c>
      <c r="C21209" s="6">
        <v>136</v>
      </c>
      <c r="D21209" s="7">
        <v>63.16</v>
      </c>
    </row>
    <row r="21210" spans="1:4" x14ac:dyDescent="0.25">
      <c r="A21210" t="str">
        <f>HYPERLINK("https://www.773grp.com/globalSearch/ADC1213D125HN-C11/page-1", "ADC1213D125HN-C11")</f>
        <v>ADC1213D125HN-C11</v>
      </c>
      <c r="B21210" s="3" t="str">
        <f>HYPERLINK("https://www.773grp.com/manufacturer/nxp-semiconductor?pageNo=42", "NXP Semiconductors")</f>
        <v>NXP Semiconductors</v>
      </c>
      <c r="C21210" s="6">
        <v>44</v>
      </c>
      <c r="D21210" s="7">
        <v>64.55</v>
      </c>
    </row>
    <row r="21211" spans="1:4" x14ac:dyDescent="0.25">
      <c r="A21211" t="str">
        <f>HYPERLINK("https://www.773grp.com/globalSearch/BGD802112/page-1", "BGD802112")</f>
        <v>BGD802112</v>
      </c>
      <c r="B21211" s="3" t="str">
        <f>HYPERLINK("https://www.773grp.com/manufacturer/nxp-semiconductor?pageNo=43", "NXP Semiconductors")</f>
        <v>NXP Semiconductors</v>
      </c>
      <c r="C21211" s="6">
        <v>30</v>
      </c>
      <c r="D21211" s="7">
        <v>64.69</v>
      </c>
    </row>
    <row r="21212" spans="1:4" x14ac:dyDescent="0.25">
      <c r="A21212" t="str">
        <f>HYPERLINK("https://www.773grp.com/globalSearch/BGD804112/page-1", "BGD804112")</f>
        <v>BGD804112</v>
      </c>
      <c r="B21212" s="3" t="str">
        <f>HYPERLINK("https://www.773grp.com/manufacturer/nxp-semiconductor?pageNo=44", "NXP Semiconductors")</f>
        <v>NXP Semiconductors</v>
      </c>
      <c r="C21212" s="6">
        <v>375</v>
      </c>
      <c r="D21212" s="7">
        <v>64.69</v>
      </c>
    </row>
    <row r="21213" spans="1:4" x14ac:dyDescent="0.25">
      <c r="A21213" t="str">
        <f>HYPERLINK("https://www.773grp.com/globalSearch/BLM6G10-30G118/page-1", "BLM6G10-30G118")</f>
        <v>BLM6G10-30G118</v>
      </c>
      <c r="B21213" s="3" t="str">
        <f>HYPERLINK("https://www.773grp.com/manufacturer/nxp-semiconductor?pageNo=45", "NXP Semiconductors")</f>
        <v>NXP Semiconductors</v>
      </c>
      <c r="C21213" s="6">
        <v>8</v>
      </c>
      <c r="D21213" s="7">
        <v>65.81</v>
      </c>
    </row>
    <row r="21214" spans="1:4" x14ac:dyDescent="0.25">
      <c r="A21214" t="str">
        <f>HYPERLINK("https://www.773grp.com/globalSearch/BGD812112/page-1", "BGD812112")</f>
        <v>BGD812112</v>
      </c>
      <c r="B21214" s="3" t="str">
        <f>HYPERLINK("https://www.773grp.com/manufacturer/nxp-semiconductor?pageNo=46", "NXP Semiconductors")</f>
        <v>NXP Semiconductors</v>
      </c>
      <c r="C21214" s="6">
        <v>395</v>
      </c>
      <c r="D21214" s="7">
        <v>66.540000000000006</v>
      </c>
    </row>
    <row r="21215" spans="1:4" x14ac:dyDescent="0.25">
      <c r="A21215" t="str">
        <f>HYPERLINK("https://www.773grp.com/globalSearch/BGD814112/page-1", "BGD814112")</f>
        <v>BGD814112</v>
      </c>
      <c r="B21215" s="3" t="str">
        <f>HYPERLINK("https://www.773grp.com/manufacturer/nxp-semiconductor?pageNo=47", "NXP Semiconductors")</f>
        <v>NXP Semiconductors</v>
      </c>
      <c r="C21215" s="6">
        <v>652</v>
      </c>
      <c r="D21215" s="7">
        <v>66.540000000000006</v>
      </c>
    </row>
    <row r="21216" spans="1:4" x14ac:dyDescent="0.25">
      <c r="A21216" t="str">
        <f>HYPERLINK("https://www.773grp.com/globalSearch/BGD816L112/page-1", "BGD816L112")</f>
        <v>BGD816L112</v>
      </c>
      <c r="B21216" s="3" t="str">
        <f>HYPERLINK("https://www.773grp.com/manufacturer/nxp-semiconductor?pageNo=48", "NXP Semiconductors")</f>
        <v>NXP Semiconductors</v>
      </c>
      <c r="C21216" s="6">
        <v>50</v>
      </c>
      <c r="D21216" s="7">
        <v>66.540000000000006</v>
      </c>
    </row>
    <row r="21217" spans="1:4" x14ac:dyDescent="0.25">
      <c r="A21217" t="str">
        <f>HYPERLINK("https://www.773grp.com/globalSearch/CGY888C112/page-1", "CGY888C112")</f>
        <v>CGY888C112</v>
      </c>
      <c r="B21217" s="3" t="str">
        <f>HYPERLINK("https://www.773grp.com/manufacturer/nxp-semiconductor?pageNo=1", "NXP Semiconductors")</f>
        <v>NXP Semiconductors</v>
      </c>
      <c r="C21217" s="6">
        <v>31</v>
      </c>
      <c r="D21217" s="7">
        <v>70.31</v>
      </c>
    </row>
    <row r="21218" spans="1:4" x14ac:dyDescent="0.25">
      <c r="A21218" t="str">
        <f>HYPERLINK("https://www.773grp.com/globalSearch/CGD944C112/page-1", "CGD944C112")</f>
        <v>CGD944C112</v>
      </c>
      <c r="B21218" s="3" t="str">
        <f>HYPERLINK("https://www.773grp.com/manufacturer/nxp-semiconductor?pageNo=2", "NXP Semiconductors")</f>
        <v>NXP Semiconductors</v>
      </c>
      <c r="C21218" s="6">
        <v>2</v>
      </c>
      <c r="D21218" s="7">
        <v>71.73</v>
      </c>
    </row>
    <row r="21219" spans="1:4" x14ac:dyDescent="0.25">
      <c r="A21219" t="str">
        <f>HYPERLINK("https://www.773grp.com/globalSearch/CGY1032112/page-1", "CGY1032112")</f>
        <v>CGY1032112</v>
      </c>
      <c r="B21219" s="3" t="str">
        <f>HYPERLINK("https://www.773grp.com/manufacturer/nxp-semiconductor?pageNo=3", "NXP Semiconductors")</f>
        <v>NXP Semiconductors</v>
      </c>
      <c r="C21219" s="6">
        <v>25</v>
      </c>
      <c r="D21219" s="7">
        <v>72.19</v>
      </c>
    </row>
    <row r="21220" spans="1:4" x14ac:dyDescent="0.25">
      <c r="A21220" t="str">
        <f>HYPERLINK("https://www.773grp.com/globalSearch/CGY1043112/page-1", "CGY1043112")</f>
        <v>CGY1043112</v>
      </c>
      <c r="B21220" s="3" t="str">
        <f>HYPERLINK("https://www.773grp.com/manufacturer/nxp-semiconductor?pageNo=4", "NXP Semiconductors")</f>
        <v>NXP Semiconductors</v>
      </c>
      <c r="C21220" s="6">
        <v>19</v>
      </c>
      <c r="D21220" s="7">
        <v>72.19</v>
      </c>
    </row>
    <row r="21221" spans="1:4" x14ac:dyDescent="0.25">
      <c r="A21221" t="str">
        <f>HYPERLINK("https://www.773grp.com/globalSearch/CGD1044H112/page-1", "CGD1044H112")</f>
        <v>CGD1044H112</v>
      </c>
      <c r="B21221" s="3" t="str">
        <f>HYPERLINK("https://www.773grp.com/manufacturer/nxp-semiconductor?pageNo=5", "NXP Semiconductors")</f>
        <v>NXP Semiconductors</v>
      </c>
      <c r="C21221" s="6">
        <v>200</v>
      </c>
      <c r="D21221" s="7">
        <v>74.540000000000006</v>
      </c>
    </row>
    <row r="21222" spans="1:4" x14ac:dyDescent="0.25">
      <c r="A21222" t="str">
        <f>HYPERLINK("https://www.773grp.com/globalSearch/ADC1413D105HN-C15/page-1", "ADC1413D105HN-C15")</f>
        <v>ADC1413D105HN-C15</v>
      </c>
      <c r="B21222" s="3" t="str">
        <f>HYPERLINK("https://www.773grp.com/manufacturer/nxp-semiconductor?pageNo=6", "NXP Semiconductors")</f>
        <v>NXP Semiconductors</v>
      </c>
      <c r="C21222" s="6">
        <v>26</v>
      </c>
      <c r="D21222" s="7">
        <v>75.489999999999995</v>
      </c>
    </row>
    <row r="21223" spans="1:4" x14ac:dyDescent="0.25">
      <c r="A21223" t="str">
        <f>HYPERLINK("https://www.773grp.com/globalSearch/CGD1040HI112/page-1", "CGD1040HI112")</f>
        <v>CGD1040HI112</v>
      </c>
      <c r="B21223" s="3" t="str">
        <f>HYPERLINK("https://www.773grp.com/manufacturer/nxp-semiconductor?pageNo=7", "NXP Semiconductors")</f>
        <v>NXP Semiconductors</v>
      </c>
      <c r="C21223" s="6">
        <v>200</v>
      </c>
      <c r="D21223" s="7">
        <v>77.33</v>
      </c>
    </row>
    <row r="21224" spans="1:4" x14ac:dyDescent="0.25">
      <c r="A21224" t="str">
        <f>HYPERLINK("https://www.773grp.com/globalSearch/CGD1044HI112/page-1", "CGD1044HI112")</f>
        <v>CGD1044HI112</v>
      </c>
      <c r="B21224" s="3" t="str">
        <f>HYPERLINK("https://www.773grp.com/manufacturer/nxp-semiconductor?pageNo=8", "NXP Semiconductors")</f>
        <v>NXP Semiconductors</v>
      </c>
      <c r="C21224" s="6">
        <v>50</v>
      </c>
      <c r="D21224" s="7">
        <v>77.58</v>
      </c>
    </row>
    <row r="21225" spans="1:4" x14ac:dyDescent="0.25">
      <c r="A21225" t="str">
        <f>HYPERLINK("https://www.773grp.com/globalSearch/ADC1412D125HN-C15/page-1", "ADC1412D125HN-C15")</f>
        <v>ADC1412D125HN-C15</v>
      </c>
      <c r="B21225" s="3" t="str">
        <f>HYPERLINK("https://www.773grp.com/manufacturer/nxp-semiconductor?pageNo=9", "NXP Semiconductors")</f>
        <v>NXP Semiconductors</v>
      </c>
      <c r="C21225" s="6">
        <v>135</v>
      </c>
      <c r="D21225" s="7">
        <v>78.19</v>
      </c>
    </row>
    <row r="21226" spans="1:4" x14ac:dyDescent="0.25">
      <c r="A21226" t="str">
        <f>HYPERLINK("https://www.773grp.com/globalSearch/BLF542112/page-1", "BLF542112")</f>
        <v>BLF542112</v>
      </c>
      <c r="B21226" s="3" t="str">
        <f>HYPERLINK("https://www.773grp.com/manufacturer/nxp-semiconductor?pageNo=10", "NXP Semiconductors")</f>
        <v>NXP Semiconductors</v>
      </c>
      <c r="C21226" s="6">
        <v>473</v>
      </c>
      <c r="D21226" s="7">
        <v>90.74</v>
      </c>
    </row>
    <row r="21227" spans="1:4" x14ac:dyDescent="0.25">
      <c r="A21227" t="str">
        <f>HYPERLINK("https://www.773grp.com/globalSearch/BLF244112/page-1", "BLF244112")</f>
        <v>BLF244112</v>
      </c>
      <c r="B21227" s="3" t="str">
        <f>HYPERLINK("https://www.773grp.com/manufacturer/nxp-semiconductor?pageNo=11", "NXP Semiconductors")</f>
        <v>NXP Semiconductors</v>
      </c>
      <c r="C21227" s="6">
        <v>40</v>
      </c>
      <c r="D21227" s="7">
        <v>97.16</v>
      </c>
    </row>
    <row r="21228" spans="1:4" x14ac:dyDescent="0.25">
      <c r="A21228" t="str">
        <f>HYPERLINK("https://www.773grp.com/globalSearch/BLF242112/page-1", "BLF242112")</f>
        <v>BLF242112</v>
      </c>
      <c r="B21228" s="3" t="str">
        <f>HYPERLINK("https://www.773grp.com/manufacturer/nxp-semiconductor?pageNo=12", "NXP Semiconductors")</f>
        <v>NXP Semiconductors</v>
      </c>
      <c r="C21228" s="6">
        <v>200</v>
      </c>
      <c r="D21228" s="7">
        <v>97.79</v>
      </c>
    </row>
    <row r="21229" spans="1:4" x14ac:dyDescent="0.25">
      <c r="A21229" t="str">
        <f>HYPERLINK("https://www.773grp.com/globalSearch/BLF6G15L-40BRN112/page-1", "BLF6G15L-40BRN112")</f>
        <v>BLF6G15L-40BRN112</v>
      </c>
      <c r="B21229" s="3" t="str">
        <f>HYPERLINK("https://www.773grp.com/manufacturer/nxp-semiconductor?pageNo=13", "NXP Semiconductors")</f>
        <v>NXP Semiconductors</v>
      </c>
      <c r="C21229" s="6">
        <v>123</v>
      </c>
      <c r="D21229" s="7">
        <v>104.49</v>
      </c>
    </row>
    <row r="21230" spans="1:4" x14ac:dyDescent="0.25">
      <c r="A21230" t="str">
        <f>HYPERLINK("https://www.773grp.com/globalSearch/BLF6G20-45112/page-1", "BLF6G20-45112")</f>
        <v>BLF6G20-45112</v>
      </c>
      <c r="B21230" s="3" t="str">
        <f>HYPERLINK("https://www.773grp.com/manufacturer/nxp-semiconductor?pageNo=14", "NXP Semiconductors")</f>
        <v>NXP Semiconductors</v>
      </c>
      <c r="C21230" s="6">
        <v>40</v>
      </c>
      <c r="D21230" s="7">
        <v>104.49</v>
      </c>
    </row>
    <row r="21231" spans="1:4" x14ac:dyDescent="0.25">
      <c r="A21231" t="str">
        <f>HYPERLINK("https://www.773grp.com/globalSearch/BLF7G24L-100112/page-1", "BLF7G24L-100112")</f>
        <v>BLF7G24L-100112</v>
      </c>
      <c r="B21231" s="3" t="str">
        <f>HYPERLINK("https://www.773grp.com/manufacturer/nxp-semiconductor?pageNo=15", "NXP Semiconductors")</f>
        <v>NXP Semiconductors</v>
      </c>
      <c r="C21231" s="6">
        <v>53</v>
      </c>
      <c r="D21231" s="7">
        <v>112.5</v>
      </c>
    </row>
    <row r="21232" spans="1:4" x14ac:dyDescent="0.25">
      <c r="A21232" t="str">
        <f>HYPERLINK("https://www.773grp.com/globalSearch/BGO807CE112/page-1", "BGO807CE112")</f>
        <v>BGO807CE112</v>
      </c>
      <c r="B21232" s="3" t="str">
        <f>HYPERLINK("https://www.773grp.com/manufacturer/nxp-semiconductor?pageNo=16", "NXP Semiconductors")</f>
        <v>NXP Semiconductors</v>
      </c>
      <c r="C21232" s="6">
        <v>9</v>
      </c>
      <c r="D21232" s="7">
        <v>117.83</v>
      </c>
    </row>
    <row r="21233" spans="1:4" x14ac:dyDescent="0.25">
      <c r="A21233" t="str">
        <f>HYPERLINK("https://www.773grp.com/globalSearch/BLF7G24L-140112/page-1", "BLF7G24L-140112")</f>
        <v>BLF7G24L-140112</v>
      </c>
      <c r="B21233" s="3" t="str">
        <f>HYPERLINK("https://www.773grp.com/manufacturer/nxp-semiconductor?pageNo=17", "NXP Semiconductors")</f>
        <v>NXP Semiconductors</v>
      </c>
      <c r="C21233" s="6">
        <v>56</v>
      </c>
      <c r="D21233" s="7">
        <v>123.73</v>
      </c>
    </row>
    <row r="21234" spans="1:4" x14ac:dyDescent="0.25">
      <c r="A21234" t="str">
        <f>HYPERLINK("https://www.773grp.com/globalSearch/BGO807C112/page-1", "BGO807C112")</f>
        <v>BGO807C112</v>
      </c>
      <c r="B21234" s="3" t="str">
        <f>HYPERLINK("https://www.773grp.com/manufacturer/nxp-semiconductor?pageNo=18", "NXP Semiconductors")</f>
        <v>NXP Semiconductors</v>
      </c>
      <c r="C21234" s="6">
        <v>8</v>
      </c>
      <c r="D21234" s="7">
        <v>126.26</v>
      </c>
    </row>
    <row r="21235" spans="1:4" x14ac:dyDescent="0.25">
      <c r="A21235" t="str">
        <f>HYPERLINK("https://www.773grp.com/globalSearch/BLF6G38-25112/page-1", "BLF6G38-25112")</f>
        <v>BLF6G38-25112</v>
      </c>
      <c r="B21235" s="3" t="str">
        <f>HYPERLINK("https://www.773grp.com/manufacturer/nxp-semiconductor?pageNo=19", "NXP Semiconductors")</f>
        <v>NXP Semiconductors</v>
      </c>
      <c r="C21235" s="6">
        <v>60</v>
      </c>
      <c r="D21235" s="7">
        <v>128.69999999999999</v>
      </c>
    </row>
    <row r="21236" spans="1:4" x14ac:dyDescent="0.25">
      <c r="A21236" t="str">
        <f>HYPERLINK("https://www.773grp.com/globalSearch/BGO807CE-FC0112/page-1", "BGO807CE-FC0112")</f>
        <v>BGO807CE-FC0112</v>
      </c>
      <c r="B21236" s="3" t="str">
        <f>HYPERLINK("https://www.773grp.com/manufacturer/nxp-semiconductor?pageNo=20", "NXP Semiconductors")</f>
        <v>NXP Semiconductors</v>
      </c>
      <c r="C21236" s="6">
        <v>6</v>
      </c>
      <c r="D21236" s="7">
        <v>129.51</v>
      </c>
    </row>
    <row r="21237" spans="1:4" x14ac:dyDescent="0.25">
      <c r="A21237" t="str">
        <f>HYPERLINK("https://www.773grp.com/globalSearch/BLF6G27-45112/page-1", "BLF6G27-45112")</f>
        <v>BLF6G27-45112</v>
      </c>
      <c r="B21237" s="3" t="str">
        <f>HYPERLINK("https://www.773grp.com/manufacturer/nxp-semiconductor?pageNo=21", "NXP Semiconductors")</f>
        <v>NXP Semiconductors</v>
      </c>
      <c r="C21237" s="6">
        <v>31</v>
      </c>
      <c r="D21237" s="7">
        <v>135.05000000000001</v>
      </c>
    </row>
    <row r="21238" spans="1:4" x14ac:dyDescent="0.25">
      <c r="A21238" t="str">
        <f>HYPERLINK("https://www.773grp.com/globalSearch/BGO807CE-SC0112/page-1", "BGO807CE-SC0112")</f>
        <v>BGO807CE-SC0112</v>
      </c>
      <c r="B21238" s="3" t="str">
        <f>HYPERLINK("https://www.773grp.com/manufacturer/nxp-semiconductor?pageNo=22", "NXP Semiconductors")</f>
        <v>NXP Semiconductors</v>
      </c>
      <c r="C21238" s="6">
        <v>10</v>
      </c>
      <c r="D21238" s="7">
        <v>135.63999999999999</v>
      </c>
    </row>
    <row r="21239" spans="1:4" x14ac:dyDescent="0.25">
      <c r="A21239" t="str">
        <f>HYPERLINK("https://www.773grp.com/globalSearch/BGO807C-FC0112/page-1", "BGO807C-FC0112")</f>
        <v>BGO807C-FC0112</v>
      </c>
      <c r="B21239" s="3" t="str">
        <f>HYPERLINK("https://www.773grp.com/manufacturer/nxp-semiconductor?pageNo=23", "NXP Semiconductors")</f>
        <v>NXP Semiconductors</v>
      </c>
      <c r="C21239" s="6">
        <v>32</v>
      </c>
      <c r="D21239" s="7">
        <v>137.94999999999999</v>
      </c>
    </row>
    <row r="21240" spans="1:4" x14ac:dyDescent="0.25">
      <c r="A21240" t="str">
        <f>HYPERLINK("https://www.773grp.com/globalSearch/BLF2045112/page-1", "BLF2045112")</f>
        <v>BLF2045112</v>
      </c>
      <c r="B21240" s="3" t="str">
        <f>HYPERLINK("https://www.773grp.com/manufacturer/nxp-semiconductor?pageNo=24", "NXP Semiconductors")</f>
        <v>NXP Semiconductors</v>
      </c>
      <c r="C21240" s="6">
        <v>60</v>
      </c>
      <c r="D21240" s="7">
        <v>145.80000000000001</v>
      </c>
    </row>
    <row r="21241" spans="1:4" x14ac:dyDescent="0.25">
      <c r="A21241" t="str">
        <f>HYPERLINK("https://www.773grp.com/globalSearch/BLF6G20LS-110112/page-1", "BLF6G20LS-110112")</f>
        <v>BLF6G20LS-110112</v>
      </c>
      <c r="B21241" s="3" t="str">
        <f>HYPERLINK("https://www.773grp.com/manufacturer/nxp-semiconductor?pageNo=25", "NXP Semiconductors")</f>
        <v>NXP Semiconductors</v>
      </c>
      <c r="C21241" s="6">
        <v>60</v>
      </c>
      <c r="D21241" s="7">
        <v>150.66</v>
      </c>
    </row>
    <row r="21242" spans="1:4" x14ac:dyDescent="0.25">
      <c r="A21242" t="str">
        <f>HYPERLINK("https://www.773grp.com/globalSearch/BLF6G22LS-130112/page-1", "BLF6G22LS-130112")</f>
        <v>BLF6G22LS-130112</v>
      </c>
      <c r="B21242" s="3" t="str">
        <f>HYPERLINK("https://www.773grp.com/manufacturer/nxp-semiconductor?pageNo=26", "NXP Semiconductors")</f>
        <v>NXP Semiconductors</v>
      </c>
      <c r="C21242" s="6">
        <v>136</v>
      </c>
      <c r="D21242" s="7">
        <v>155.54</v>
      </c>
    </row>
    <row r="21243" spans="1:4" x14ac:dyDescent="0.25">
      <c r="A21243" t="str">
        <f>HYPERLINK("https://www.773grp.com/globalSearch/BLF7G20LS-140P112/page-1", "BLF7G20LS-140P112")</f>
        <v>BLF7G20LS-140P112</v>
      </c>
      <c r="B21243" s="3" t="str">
        <f>HYPERLINK("https://www.773grp.com/manufacturer/nxp-semiconductor?pageNo=27", "NXP Semiconductors")</f>
        <v>NXP Semiconductors</v>
      </c>
      <c r="C21243" s="6">
        <v>60</v>
      </c>
      <c r="D21243" s="7">
        <v>155.54</v>
      </c>
    </row>
    <row r="21244" spans="1:4" x14ac:dyDescent="0.25">
      <c r="A21244" t="str">
        <f>HYPERLINK("https://www.773grp.com/globalSearch/BLF7G27L-100112/page-1", "BLF7G27L-100112")</f>
        <v>BLF7G27L-100112</v>
      </c>
      <c r="B21244" s="3" t="str">
        <f>HYPERLINK("https://www.773grp.com/manufacturer/nxp-semiconductor?pageNo=28", "NXP Semiconductors")</f>
        <v>NXP Semiconductors</v>
      </c>
      <c r="C21244" s="6">
        <v>45</v>
      </c>
      <c r="D21244" s="7">
        <v>155.55000000000001</v>
      </c>
    </row>
    <row r="21245" spans="1:4" x14ac:dyDescent="0.25">
      <c r="A21245" t="str">
        <f>HYPERLINK("https://www.773grp.com/globalSearch/BLF8G10LS-160112/page-1", "BLF8G10LS-160112")</f>
        <v>BLF8G10LS-160112</v>
      </c>
      <c r="B21245" s="3" t="str">
        <f>HYPERLINK("https://www.773grp.com/manufacturer/nxp-semiconductor?pageNo=29", "NXP Semiconductors")</f>
        <v>NXP Semiconductors</v>
      </c>
      <c r="C21245" s="6">
        <v>10</v>
      </c>
      <c r="D21245" s="7">
        <v>160.61000000000001</v>
      </c>
    </row>
    <row r="21246" spans="1:4" x14ac:dyDescent="0.25">
      <c r="A21246" t="str">
        <f>HYPERLINK("https://www.773grp.com/globalSearch/BLF6G27-75112/page-1", "BLF6G27-75112")</f>
        <v>BLF6G27-75112</v>
      </c>
      <c r="B21246" s="3" t="str">
        <f>HYPERLINK("https://www.773grp.com/manufacturer/nxp-semiconductor?pageNo=30", "NXP Semiconductors")</f>
        <v>NXP Semiconductors</v>
      </c>
      <c r="C21246" s="6">
        <v>6</v>
      </c>
      <c r="D21246" s="7">
        <v>162.09</v>
      </c>
    </row>
    <row r="21247" spans="1:4" x14ac:dyDescent="0.25">
      <c r="A21247" t="str">
        <f>HYPERLINK("https://www.773grp.com/globalSearch/BLF6G27LS-75112/page-1", "BLF6G27LS-75112")</f>
        <v>BLF6G27LS-75112</v>
      </c>
      <c r="B21247" s="3" t="str">
        <f>HYPERLINK("https://www.773grp.com/manufacturer/nxp-semiconductor?pageNo=31", "NXP Semiconductors")</f>
        <v>NXP Semiconductors</v>
      </c>
      <c r="C21247" s="6">
        <v>55</v>
      </c>
      <c r="D21247" s="7">
        <v>162.09</v>
      </c>
    </row>
    <row r="21248" spans="1:4" x14ac:dyDescent="0.25">
      <c r="A21248" t="str">
        <f>HYPERLINK("https://www.773grp.com/globalSearch/BLF6G38LS-50112/page-1", "BLF6G38LS-50112")</f>
        <v>BLF6G38LS-50112</v>
      </c>
      <c r="B21248" s="3" t="str">
        <f>HYPERLINK("https://www.773grp.com/manufacturer/nxp-semiconductor?pageNo=32", "NXP Semiconductors")</f>
        <v>NXP Semiconductors</v>
      </c>
      <c r="C21248" s="6">
        <v>220</v>
      </c>
      <c r="D21248" s="7">
        <v>163.01</v>
      </c>
    </row>
    <row r="21249" spans="1:4" x14ac:dyDescent="0.25">
      <c r="A21249" t="str">
        <f>HYPERLINK("https://www.773grp.com/globalSearch/BLF245B112/page-1", "BLF245B112")</f>
        <v>BLF245B112</v>
      </c>
      <c r="B21249" s="3" t="str">
        <f>HYPERLINK("https://www.773grp.com/manufacturer/nxp-semiconductor?pageNo=33", "NXP Semiconductors")</f>
        <v>NXP Semiconductors</v>
      </c>
      <c r="C21249" s="6">
        <v>161</v>
      </c>
      <c r="D21249" s="7">
        <v>164.03</v>
      </c>
    </row>
    <row r="21250" spans="1:4" x14ac:dyDescent="0.25">
      <c r="A21250" t="str">
        <f>HYPERLINK("https://www.773grp.com/globalSearch/BLD6G22LS-50112/page-1", "BLD6G22LS-50112")</f>
        <v>BLD6G22LS-50112</v>
      </c>
      <c r="B21250" s="3" t="str">
        <f>HYPERLINK("https://www.773grp.com/manufacturer/nxp-semiconductor?pageNo=34", "NXP Semiconductors")</f>
        <v>NXP Semiconductors</v>
      </c>
      <c r="C21250" s="6">
        <v>30</v>
      </c>
      <c r="D21250" s="7">
        <v>165.24</v>
      </c>
    </row>
    <row r="21251" spans="1:4" x14ac:dyDescent="0.25">
      <c r="A21251" t="str">
        <f>HYPERLINK("https://www.773grp.com/globalSearch/BLF7G15LS-200112/page-1", "BLF7G15LS-200112")</f>
        <v>BLF7G15LS-200112</v>
      </c>
      <c r="B21251" s="3" t="str">
        <f>HYPERLINK("https://www.773grp.com/manufacturer/nxp-semiconductor?pageNo=35", "NXP Semiconductors")</f>
        <v>NXP Semiconductors</v>
      </c>
      <c r="C21251" s="6">
        <v>29</v>
      </c>
      <c r="D21251" s="7">
        <v>166.3</v>
      </c>
    </row>
    <row r="21252" spans="1:4" x14ac:dyDescent="0.25">
      <c r="A21252" t="str">
        <f>HYPERLINK("https://www.773grp.com/globalSearch/BLF7G22LS-160112/page-1", "BLF7G22LS-160112")</f>
        <v>BLF7G22LS-160112</v>
      </c>
      <c r="B21252" s="3" t="str">
        <f>HYPERLINK("https://www.773grp.com/manufacturer/nxp-semiconductor?pageNo=36", "NXP Semiconductors")</f>
        <v>NXP Semiconductors</v>
      </c>
      <c r="C21252" s="6">
        <v>90</v>
      </c>
      <c r="D21252" s="7">
        <v>167.69</v>
      </c>
    </row>
    <row r="21253" spans="1:4" x14ac:dyDescent="0.25">
      <c r="A21253" t="str">
        <f>HYPERLINK("https://www.773grp.com/globalSearch/BLF8G27LS-100V118/page-1", "BLF8G27LS-100V118")</f>
        <v>BLF8G27LS-100V118</v>
      </c>
      <c r="B21253" s="3" t="str">
        <f>HYPERLINK("https://www.773grp.com/manufacturer/nxp-semiconductor?pageNo=37", "NXP Semiconductors")</f>
        <v>NXP Semiconductors</v>
      </c>
      <c r="C21253" s="6">
        <v>100</v>
      </c>
      <c r="D21253" s="7">
        <v>167.69</v>
      </c>
    </row>
    <row r="21254" spans="1:4" x14ac:dyDescent="0.25">
      <c r="A21254" t="str">
        <f>HYPERLINK("https://www.773grp.com/globalSearch/BLF6G10LS-135R112/page-1", "BLF6G10LS-135R112")</f>
        <v>BLF6G10LS-135R112</v>
      </c>
      <c r="B21254" s="3" t="str">
        <f>HYPERLINK("https://www.773grp.com/manufacturer/nxp-semiconductor?pageNo=38", "NXP Semiconductors")</f>
        <v>NXP Semiconductors</v>
      </c>
      <c r="C21254" s="6">
        <v>39</v>
      </c>
      <c r="D21254" s="7">
        <v>170.78</v>
      </c>
    </row>
    <row r="21255" spans="1:4" x14ac:dyDescent="0.25">
      <c r="A21255" t="str">
        <f>HYPERLINK("https://www.773grp.com/globalSearch/BLF8G10LS-160V112/page-1", "BLF8G10LS-160V112")</f>
        <v>BLF8G10LS-160V112</v>
      </c>
      <c r="B21255" s="3" t="str">
        <f>HYPERLINK("https://www.773grp.com/manufacturer/nxp-semiconductor?pageNo=39", "NXP Semiconductors")</f>
        <v>NXP Semiconductors</v>
      </c>
      <c r="C21255" s="6">
        <v>5</v>
      </c>
      <c r="D21255" s="7">
        <v>172.76</v>
      </c>
    </row>
    <row r="21256" spans="1:4" x14ac:dyDescent="0.25">
      <c r="A21256" t="str">
        <f>HYPERLINK("https://www.773grp.com/globalSearch/BLF881S112/page-1", "BLF881S112")</f>
        <v>BLF881S112</v>
      </c>
      <c r="B21256" s="3" t="str">
        <f>HYPERLINK("https://www.773grp.com/manufacturer/nxp-semiconductor?pageNo=40", "NXP Semiconductors")</f>
        <v>NXP Semiconductors</v>
      </c>
      <c r="C21256" s="6">
        <v>60</v>
      </c>
      <c r="D21256" s="7">
        <v>179.84</v>
      </c>
    </row>
    <row r="21257" spans="1:4" x14ac:dyDescent="0.25">
      <c r="A21257" t="str">
        <f>HYPERLINK("https://www.773grp.com/globalSearch/BLA1011-10112/page-1", "BLA1011-10112")</f>
        <v>BLA1011-10112</v>
      </c>
      <c r="B21257" s="3" t="str">
        <f>HYPERLINK("https://www.773grp.com/manufacturer/nxp-semiconductor?pageNo=41", "NXP Semiconductors")</f>
        <v>NXP Semiconductors</v>
      </c>
      <c r="C21257" s="6">
        <v>16</v>
      </c>
      <c r="D21257" s="7">
        <v>190.53</v>
      </c>
    </row>
    <row r="21258" spans="1:4" x14ac:dyDescent="0.25">
      <c r="A21258" t="str">
        <f>HYPERLINK("https://www.773grp.com/globalSearch/BLF7G10L-250112/page-1", "BLF7G10L-250112")</f>
        <v>BLF7G10L-250112</v>
      </c>
      <c r="B21258" s="3" t="str">
        <f>HYPERLINK("https://www.773grp.com/manufacturer/nxp-semiconductor?pageNo=42", "NXP Semiconductors")</f>
        <v>NXP Semiconductors</v>
      </c>
      <c r="C21258" s="6">
        <v>78</v>
      </c>
      <c r="D21258" s="7">
        <v>199.26</v>
      </c>
    </row>
    <row r="21259" spans="1:4" x14ac:dyDescent="0.25">
      <c r="A21259" t="str">
        <f>HYPERLINK("https://www.773grp.com/globalSearch/BLF7G24L-160P112/page-1", "BLF7G24L-160P112")</f>
        <v>BLF7G24L-160P112</v>
      </c>
      <c r="B21259" s="3" t="str">
        <f>HYPERLINK("https://www.773grp.com/manufacturer/nxp-semiconductor?pageNo=43", "NXP Semiconductors")</f>
        <v>NXP Semiconductors</v>
      </c>
      <c r="C21259" s="6">
        <v>10</v>
      </c>
      <c r="D21259" s="7">
        <v>221.11</v>
      </c>
    </row>
    <row r="21260" spans="1:4" x14ac:dyDescent="0.25">
      <c r="A21260" t="str">
        <f>HYPERLINK("https://www.773grp.com/globalSearch/BLF7G24LS-160P112/page-1", "BLF7G24LS-160P112")</f>
        <v>BLF7G24LS-160P112</v>
      </c>
      <c r="B21260" s="3" t="str">
        <f>HYPERLINK("https://www.773grp.com/manufacturer/nxp-semiconductor?pageNo=44", "NXP Semiconductors")</f>
        <v>NXP Semiconductors</v>
      </c>
      <c r="C21260" s="6">
        <v>10</v>
      </c>
      <c r="D21260" s="7">
        <v>221.11</v>
      </c>
    </row>
    <row r="21261" spans="1:4" x14ac:dyDescent="0.25">
      <c r="A21261" t="str">
        <f>HYPERLINK("https://www.773grp.com/globalSearch/BLF6G38-100112/page-1", "BLF6G38-100112")</f>
        <v>BLF6G38-100112</v>
      </c>
      <c r="B21261" s="3" t="str">
        <f>HYPERLINK("https://www.773grp.com/manufacturer/nxp-semiconductor?pageNo=45", "NXP Semiconductors")</f>
        <v>NXP Semiconductors</v>
      </c>
      <c r="C21261" s="6">
        <v>60</v>
      </c>
      <c r="D21261" s="7">
        <v>223.38</v>
      </c>
    </row>
    <row r="21262" spans="1:4" x14ac:dyDescent="0.25">
      <c r="A21262" t="str">
        <f>HYPERLINK("https://www.773grp.com/globalSearch/BLF871S112/page-1", "BLF871S112")</f>
        <v>BLF871S112</v>
      </c>
      <c r="B21262" s="3" t="str">
        <f>HYPERLINK("https://www.773grp.com/manufacturer/nxp-semiconductor?pageNo=46", "NXP Semiconductors")</f>
        <v>NXP Semiconductors</v>
      </c>
      <c r="C21262" s="6">
        <v>17</v>
      </c>
      <c r="D21262" s="7">
        <v>238.14</v>
      </c>
    </row>
    <row r="21263" spans="1:4" x14ac:dyDescent="0.25">
      <c r="A21263" t="str">
        <f>HYPERLINK("https://www.773grp.com/globalSearch/BLF8G10LS-270112/page-1", "BLF8G10LS-270112")</f>
        <v>BLF8G10LS-270112</v>
      </c>
      <c r="B21263" s="3" t="str">
        <f>HYPERLINK("https://www.773grp.com/manufacturer/nxp-semiconductor?pageNo=47", "NXP Semiconductors")</f>
        <v>NXP Semiconductors</v>
      </c>
      <c r="C21263" s="6">
        <v>5</v>
      </c>
      <c r="D21263" s="7">
        <v>238.14</v>
      </c>
    </row>
    <row r="21264" spans="1:4" x14ac:dyDescent="0.25">
      <c r="A21264" t="str">
        <f>HYPERLINK("https://www.773grp.com/globalSearch/BLF2425M7L140112/page-1", "BLF2425M7L140112")</f>
        <v>BLF2425M7L140112</v>
      </c>
      <c r="B21264" s="3" t="str">
        <f>HYPERLINK("https://www.773grp.com/manufacturer/nxp-semiconductor?pageNo=48", "NXP Semiconductors")</f>
        <v>NXP Semiconductors</v>
      </c>
      <c r="C21264" s="6">
        <v>9</v>
      </c>
      <c r="D21264" s="7">
        <v>240.48</v>
      </c>
    </row>
    <row r="21265" spans="1:4" x14ac:dyDescent="0.25">
      <c r="A21265" t="str">
        <f>HYPERLINK("https://www.773grp.com/globalSearch/BLF2425M7LS140112/page-1", "BLF2425M7LS140112")</f>
        <v>BLF2425M7LS140112</v>
      </c>
      <c r="B21265" s="3" t="str">
        <f>HYPERLINK("https://www.773grp.com/manufacturer/nxp-semiconductor?pageNo=1", "NXP Semiconductors")</f>
        <v>NXP Semiconductors</v>
      </c>
      <c r="C21265" s="6">
        <v>5</v>
      </c>
      <c r="D21265" s="7">
        <v>240.48</v>
      </c>
    </row>
    <row r="21266" spans="1:4" x14ac:dyDescent="0.25">
      <c r="A21266" t="str">
        <f>HYPERLINK("https://www.773grp.com/globalSearch/BLF884P112/page-1", "BLF884P112")</f>
        <v>BLF884P112</v>
      </c>
      <c r="B21266" s="3" t="str">
        <f>HYPERLINK("https://www.773grp.com/manufacturer/nxp-semiconductor?pageNo=2", "NXP Semiconductors")</f>
        <v>NXP Semiconductors</v>
      </c>
      <c r="C21266" s="6">
        <v>25</v>
      </c>
      <c r="D21266" s="7">
        <v>243.34</v>
      </c>
    </row>
    <row r="21267" spans="1:4" x14ac:dyDescent="0.25">
      <c r="A21267" t="str">
        <f>HYPERLINK("https://www.773grp.com/globalSearch/BLF884PS112/page-1", "BLF884PS112")</f>
        <v>BLF884PS112</v>
      </c>
      <c r="B21267" s="3" t="str">
        <f>HYPERLINK("https://www.773grp.com/manufacturer/nxp-semiconductor?pageNo=3", "NXP Semiconductors")</f>
        <v>NXP Semiconductors</v>
      </c>
      <c r="C21267" s="6">
        <v>43</v>
      </c>
      <c r="D21267" s="7">
        <v>243.34</v>
      </c>
    </row>
    <row r="21268" spans="1:4" x14ac:dyDescent="0.25">
      <c r="A21268" t="str">
        <f>HYPERLINK("https://www.773grp.com/globalSearch/BLF861A112/page-1", "BLF861A112")</f>
        <v>BLF861A112</v>
      </c>
      <c r="B21268" s="3" t="str">
        <f>HYPERLINK("https://www.773grp.com/manufacturer/nxp-semiconductor?pageNo=4", "NXP Semiconductors")</f>
        <v>NXP Semiconductors</v>
      </c>
      <c r="C21268" s="6">
        <v>32</v>
      </c>
      <c r="D21268" s="7">
        <v>217.05</v>
      </c>
    </row>
    <row r="21269" spans="1:4" x14ac:dyDescent="0.25">
      <c r="A21269" t="str">
        <f>HYPERLINK("https://www.773grp.com/globalSearch/BLF246B112/page-1", "BLF246B112")</f>
        <v>BLF246B112</v>
      </c>
      <c r="B21269" s="3" t="str">
        <f>HYPERLINK("https://www.773grp.com/manufacturer/nxp-semiconductor?pageNo=5", "NXP Semiconductors")</f>
        <v>NXP Semiconductors</v>
      </c>
      <c r="C21269" s="6">
        <v>40</v>
      </c>
      <c r="D21269" s="7">
        <v>219.65</v>
      </c>
    </row>
    <row r="21270" spans="1:4" x14ac:dyDescent="0.25">
      <c r="A21270" t="str">
        <f>HYPERLINK("https://www.773grp.com/globalSearch/BLF6G15L-250PBRN1/page-1", "BLF6G15L-250PBRN1")</f>
        <v>BLF6G15L-250PBRN1</v>
      </c>
      <c r="B21270" s="3" t="str">
        <f>HYPERLINK("https://www.773grp.com/manufacturer/nxp-semiconductor?pageNo=6", "NXP Semiconductors")</f>
        <v>NXP Semiconductors</v>
      </c>
      <c r="C21270" s="6">
        <v>2</v>
      </c>
      <c r="D21270" s="7">
        <v>262.44</v>
      </c>
    </row>
    <row r="21271" spans="1:4" x14ac:dyDescent="0.25">
      <c r="A21271" t="str">
        <f>HYPERLINK("https://www.773grp.com/globalSearch/BLF278112/page-1", "BLF278112")</f>
        <v>BLF278112</v>
      </c>
      <c r="B21271" s="3" t="str">
        <f>HYPERLINK("https://www.773grp.com/manufacturer/nxp-semiconductor?pageNo=7", "NXP Semiconductors")</f>
        <v>NXP Semiconductors</v>
      </c>
      <c r="C21271" s="6">
        <v>227</v>
      </c>
      <c r="D21271" s="7">
        <v>237.15</v>
      </c>
    </row>
    <row r="21272" spans="1:4" x14ac:dyDescent="0.25">
      <c r="A21272" t="str">
        <f>HYPERLINK("https://www.773grp.com/globalSearch/BLF178P112/page-1", "BLF178P112")</f>
        <v>BLF178P112</v>
      </c>
      <c r="B21272" s="3" t="str">
        <f>HYPERLINK("https://www.773grp.com/manufacturer/nxp-semiconductor?pageNo=8", "NXP Semiconductors")</f>
        <v>NXP Semiconductors</v>
      </c>
      <c r="C21272" s="6">
        <v>100</v>
      </c>
      <c r="D21272" s="7">
        <v>307.58</v>
      </c>
    </row>
    <row r="21273" spans="1:4" x14ac:dyDescent="0.25">
      <c r="A21273" t="str">
        <f>HYPERLINK("https://www.773grp.com/globalSearch/BLF888A112/page-1", "BLF888A112")</f>
        <v>BLF888A112</v>
      </c>
      <c r="B21273" s="3" t="str">
        <f>HYPERLINK("https://www.773grp.com/manufacturer/nxp-semiconductor?pageNo=9", "NXP Semiconductors")</f>
        <v>NXP Semiconductors</v>
      </c>
      <c r="C21273" s="6">
        <v>230</v>
      </c>
      <c r="D21273" s="7">
        <v>307.58</v>
      </c>
    </row>
    <row r="21274" spans="1:4" x14ac:dyDescent="0.25">
      <c r="A21274" t="str">
        <f>HYPERLINK("https://www.773grp.com/globalSearch/BLF888AS112/page-1", "BLF888AS112")</f>
        <v>BLF888AS112</v>
      </c>
      <c r="B21274" s="3" t="str">
        <f>HYPERLINK("https://www.773grp.com/manufacturer/nxp-semiconductor?pageNo=10", "NXP Semiconductors")</f>
        <v>NXP Semiconductors</v>
      </c>
      <c r="C21274" s="6">
        <v>100</v>
      </c>
      <c r="D21274" s="7">
        <v>307.58</v>
      </c>
    </row>
    <row r="21275" spans="1:4" x14ac:dyDescent="0.25">
      <c r="A21275" t="str">
        <f>HYPERLINK("https://www.773grp.com/globalSearch/BLF878112/page-1", "BLF878112")</f>
        <v>BLF878112</v>
      </c>
      <c r="B21275" s="3" t="str">
        <f>HYPERLINK("https://www.773grp.com/manufacturer/nxp-semiconductor?pageNo=11", "NXP Semiconductors")</f>
        <v>NXP Semiconductors</v>
      </c>
      <c r="C21275" s="6">
        <v>1732</v>
      </c>
      <c r="D21275" s="7">
        <v>325.55</v>
      </c>
    </row>
    <row r="21276" spans="1:4" x14ac:dyDescent="0.25">
      <c r="A21276" t="str">
        <f>HYPERLINK("https://www.773grp.com/globalSearch/BLL1214-35112/page-1", "BLL1214-35112")</f>
        <v>BLL1214-35112</v>
      </c>
      <c r="B21276" s="3" t="str">
        <f>HYPERLINK("https://www.773grp.com/manufacturer/nxp-semiconductor?pageNo=12", "NXP Semiconductors")</f>
        <v>NXP Semiconductors</v>
      </c>
      <c r="C21276" s="6">
        <v>216</v>
      </c>
      <c r="D21276" s="7">
        <v>325.55</v>
      </c>
    </row>
    <row r="21277" spans="1:4" x14ac:dyDescent="0.25">
      <c r="A21277" t="str">
        <f>HYPERLINK("https://www.773grp.com/globalSearch/BLL6H0514L-130112/page-1", "BLL6H0514L-130112")</f>
        <v>BLL6H0514L-130112</v>
      </c>
      <c r="B21277" s="3" t="str">
        <f>HYPERLINK("https://www.773grp.com/manufacturer/nxp-semiconductor?pageNo=13", "NXP Semiconductors")</f>
        <v>NXP Semiconductors</v>
      </c>
      <c r="C21277" s="6">
        <v>46</v>
      </c>
      <c r="D21277" s="7">
        <v>369.11</v>
      </c>
    </row>
    <row r="21278" spans="1:4" x14ac:dyDescent="0.25">
      <c r="A21278" t="str">
        <f>HYPERLINK("https://www.773grp.com/globalSearch/BLL6H0514LS-130112/page-1", "BLL6H0514LS-130112")</f>
        <v>BLL6H0514LS-130112</v>
      </c>
      <c r="B21278" s="3" t="str">
        <f>HYPERLINK("https://www.773grp.com/manufacturer/nxp-semiconductor?pageNo=14", "NXP Semiconductors")</f>
        <v>NXP Semiconductors</v>
      </c>
      <c r="C21278" s="6">
        <v>3</v>
      </c>
      <c r="D21278" s="7">
        <v>369.11</v>
      </c>
    </row>
    <row r="21279" spans="1:4" x14ac:dyDescent="0.25">
      <c r="A21279" t="str">
        <f>HYPERLINK("https://www.773grp.com/globalSearch/BLS6G2735L30112/page-1", "BLS6G2735L30112")</f>
        <v>BLS6G2735L30112</v>
      </c>
      <c r="B21279" s="3" t="str">
        <f>HYPERLINK("https://www.773grp.com/manufacturer/nxp-semiconductor?pageNo=15", "NXP Semiconductors")</f>
        <v>NXP Semiconductors</v>
      </c>
      <c r="C21279" s="6">
        <v>5</v>
      </c>
      <c r="D21279" s="7">
        <v>387.56</v>
      </c>
    </row>
    <row r="21280" spans="1:4" x14ac:dyDescent="0.25">
      <c r="A21280" t="str">
        <f>HYPERLINK("https://www.773grp.com/globalSearch/BLS6G2735L-30112/page-1", "BLS6G2735L-30112")</f>
        <v>BLS6G2735L-30112</v>
      </c>
      <c r="B21280" s="3" t="str">
        <f>HYPERLINK("https://www.773grp.com/manufacturer/nxp-semiconductor?pageNo=16", "NXP Semiconductors")</f>
        <v>NXP Semiconductors</v>
      </c>
      <c r="C21280" s="6">
        <v>55</v>
      </c>
      <c r="D21280" s="7">
        <v>387.56</v>
      </c>
    </row>
    <row r="21281" spans="1:4" x14ac:dyDescent="0.25">
      <c r="A21281" t="str">
        <f>HYPERLINK("https://www.773grp.com/globalSearch/BLF888112/page-1", "BLF888112")</f>
        <v>BLF888112</v>
      </c>
      <c r="B21281" s="3" t="str">
        <f>HYPERLINK("https://www.773grp.com/manufacturer/nxp-semiconductor?pageNo=17", "NXP Semiconductors")</f>
        <v>NXP Semiconductors</v>
      </c>
      <c r="C21281" s="6">
        <v>138</v>
      </c>
      <c r="D21281" s="7">
        <v>397.91</v>
      </c>
    </row>
    <row r="21282" spans="1:4" x14ac:dyDescent="0.25">
      <c r="A21282" t="str">
        <f>HYPERLINK("https://www.773grp.com/globalSearch/BLS6G3135-20112/page-1", "BLS6G3135-20112")</f>
        <v>BLS6G3135-20112</v>
      </c>
      <c r="B21282" s="3" t="str">
        <f>HYPERLINK("https://www.773grp.com/manufacturer/nxp-semiconductor?pageNo=18", "NXP Semiconductors")</f>
        <v>NXP Semiconductors</v>
      </c>
      <c r="C21282" s="6">
        <v>7</v>
      </c>
      <c r="D21282" s="7">
        <v>397.91</v>
      </c>
    </row>
    <row r="21283" spans="1:4" x14ac:dyDescent="0.25">
      <c r="A21283" t="str">
        <f>HYPERLINK("https://www.773grp.com/globalSearch/BLS6G3135S-20112/page-1", "BLS6G3135S-20112")</f>
        <v>BLS6G3135S-20112</v>
      </c>
      <c r="B21283" s="3" t="str">
        <f>HYPERLINK("https://www.773grp.com/manufacturer/nxp-semiconductor?pageNo=19", "NXP Semiconductors")</f>
        <v>NXP Semiconductors</v>
      </c>
      <c r="C21283" s="6">
        <v>56</v>
      </c>
      <c r="D21283" s="7">
        <v>397.91</v>
      </c>
    </row>
    <row r="21284" spans="1:4" x14ac:dyDescent="0.25">
      <c r="A21284" t="str">
        <f>HYPERLINK("https://www.773grp.com/globalSearch/BLA1011S-200112/page-1", "BLA1011S-200112")</f>
        <v>BLA1011S-200112</v>
      </c>
      <c r="B21284" s="3" t="str">
        <f>HYPERLINK("https://www.773grp.com/manufacturer/nxp-semiconductor?pageNo=20", "NXP Semiconductors")</f>
        <v>NXP Semiconductors</v>
      </c>
      <c r="C21284" s="6">
        <v>48</v>
      </c>
      <c r="D21284" s="7">
        <v>524.51</v>
      </c>
    </row>
    <row r="21285" spans="1:4" x14ac:dyDescent="0.25">
      <c r="A21285" t="str">
        <f>HYPERLINK("https://www.773grp.com/globalSearch/BLA1011S-200R112/page-1", "BLA1011S-200R112")</f>
        <v>BLA1011S-200R112</v>
      </c>
      <c r="B21285" s="3" t="str">
        <f>HYPERLINK("https://www.773grp.com/manufacturer/nxp-semiconductor?pageNo=21", "NXP Semiconductors")</f>
        <v>NXP Semiconductors</v>
      </c>
      <c r="C21285" s="6">
        <v>20</v>
      </c>
      <c r="D21285" s="7">
        <v>524.51</v>
      </c>
    </row>
    <row r="21286" spans="1:4" x14ac:dyDescent="0.25">
      <c r="A21286" t="str">
        <f>HYPERLINK("https://www.773grp.com/globalSearch/BLA6G1011LS-200RG11/page-1", "BLA6G1011LS-200RG11")</f>
        <v>BLA6G1011LS-200RG11</v>
      </c>
      <c r="B21286" s="3" t="str">
        <f>HYPERLINK("https://www.773grp.com/manufacturer/nxp-semiconductor?pageNo=22", "NXP Semiconductors")</f>
        <v>NXP Semiconductors</v>
      </c>
      <c r="C21286" s="6">
        <v>1</v>
      </c>
      <c r="D21286" s="7">
        <v>524.51</v>
      </c>
    </row>
    <row r="21287" spans="1:4" x14ac:dyDescent="0.25">
      <c r="A21287" t="str">
        <f>HYPERLINK("https://www.773grp.com/globalSearch/BLF369112/page-1", "BLF369112")</f>
        <v>BLF369112</v>
      </c>
      <c r="B21287" s="3" t="str">
        <f>HYPERLINK("https://www.773grp.com/manufacturer/nxp-semiconductor?pageNo=23", "NXP Semiconductors")</f>
        <v>NXP Semiconductors</v>
      </c>
      <c r="C21287" s="6">
        <v>14</v>
      </c>
      <c r="D21287" s="7">
        <v>534.03</v>
      </c>
    </row>
    <row r="21288" spans="1:4" x14ac:dyDescent="0.25">
      <c r="A21288" t="str">
        <f>HYPERLINK("https://www.773grp.com/globalSearch/BLS6G2731S-130112/page-1", "BLS6G2731S-130112")</f>
        <v>BLS6G2731S-130112</v>
      </c>
      <c r="B21288" s="3" t="str">
        <f>HYPERLINK("https://www.773grp.com/manufacturer/nxp-semiconductor?pageNo=24", "NXP Semiconductors")</f>
        <v>NXP Semiconductors</v>
      </c>
      <c r="C21288" s="6">
        <v>1</v>
      </c>
      <c r="D21288" s="7">
        <v>553.67999999999995</v>
      </c>
    </row>
    <row r="21289" spans="1:4" x14ac:dyDescent="0.25">
      <c r="A21289" t="str">
        <f>HYPERLINK("https://www.773grp.com/globalSearch/BLA0912-250112/page-1", "BLA0912-250112")</f>
        <v>BLA0912-250112</v>
      </c>
      <c r="B21289" s="3" t="str">
        <f>HYPERLINK("https://www.773grp.com/manufacturer/nxp-semiconductor?pageNo=25", "NXP Semiconductors")</f>
        <v>NXP Semiconductors</v>
      </c>
      <c r="C21289" s="6">
        <v>8</v>
      </c>
      <c r="D21289" s="7">
        <v>633.04</v>
      </c>
    </row>
    <row r="21290" spans="1:4" x14ac:dyDescent="0.25">
      <c r="A21290" t="str">
        <f>HYPERLINK("https://www.773grp.com/globalSearch/BLL6H1214L-250112/page-1", "BLL6H1214L-250112")</f>
        <v>BLL6H1214L-250112</v>
      </c>
      <c r="B21290" s="3" t="str">
        <f>HYPERLINK("https://www.773grp.com/manufacturer/nxp-semiconductor?pageNo=26", "NXP Semiconductors")</f>
        <v>NXP Semiconductors</v>
      </c>
      <c r="C21290" s="6">
        <v>14</v>
      </c>
      <c r="D21290" s="7">
        <v>649.64</v>
      </c>
    </row>
    <row r="21291" spans="1:4" x14ac:dyDescent="0.25">
      <c r="A21291" t="str">
        <f>HYPERLINK("https://www.773grp.com/globalSearch/BLL1214-250112/page-1", "BLL1214-250112")</f>
        <v>BLL1214-250112</v>
      </c>
      <c r="B21291" s="3" t="str">
        <f>HYPERLINK("https://www.773grp.com/manufacturer/nxp-semiconductor?pageNo=27", "NXP Semiconductors")</f>
        <v>NXP Semiconductors</v>
      </c>
      <c r="C21291" s="6">
        <v>160</v>
      </c>
      <c r="D21291" s="7">
        <v>651.13</v>
      </c>
    </row>
    <row r="21292" spans="1:4" x14ac:dyDescent="0.25">
      <c r="A21292" t="str">
        <f>HYPERLINK("https://www.773grp.com/globalSearch/MFEV710599/page-1", "MFEV710599")</f>
        <v>MFEV710599</v>
      </c>
      <c r="B21292" s="3" t="str">
        <f>HYPERLINK("https://www.773grp.com/manufacturer/nxp-semiconductor?pageNo=28", "NXP Semiconductors")</f>
        <v>NXP Semiconductors</v>
      </c>
      <c r="C21292" s="6">
        <v>2</v>
      </c>
      <c r="D21292" s="7">
        <v>720.94</v>
      </c>
    </row>
    <row r="21293" spans="1:4" x14ac:dyDescent="0.25">
      <c r="A21293" t="str">
        <f>HYPERLINK("https://www.773grp.com/globalSearch/BLA6H0912-500112/page-1", "BLA6H0912-500112")</f>
        <v>BLA6H0912-500112</v>
      </c>
      <c r="B21293" s="3" t="str">
        <f>HYPERLINK("https://www.773grp.com/manufacturer/nxp-semiconductor?pageNo=29", "NXP Semiconductors")</f>
        <v>NXP Semiconductors</v>
      </c>
      <c r="C21293" s="6">
        <v>84</v>
      </c>
      <c r="D21293" s="7">
        <v>1098.1099999999999</v>
      </c>
    </row>
    <row r="21294" spans="1:4" x14ac:dyDescent="0.25">
      <c r="A21294" t="str">
        <f>HYPERLINK("https://www.773grp.com/globalSearch/MX0912B351Y114/page-1", "MX0912B351Y114")</f>
        <v>MX0912B351Y114</v>
      </c>
      <c r="B21294" s="3" t="str">
        <f>HYPERLINK("https://www.773grp.com/manufacturer/nxp-semiconductor?pageNo=30", "NXP Semiconductors")</f>
        <v>NXP Semiconductors</v>
      </c>
      <c r="C21294" s="6">
        <v>128</v>
      </c>
      <c r="D21294" s="7">
        <v>1129.33</v>
      </c>
    </row>
    <row r="21295" spans="1:4" x14ac:dyDescent="0.25">
      <c r="A21295" t="str">
        <f>HYPERLINK("https://www.773grp.com/globalSearch/BLA6H1011-600112/page-1", "BLA6H1011-600112")</f>
        <v>BLA6H1011-600112</v>
      </c>
      <c r="B21295" s="3" t="str">
        <f>HYPERLINK("https://www.773grp.com/manufacturer/nxp-semiconductor?pageNo=31", "NXP Semiconductors")</f>
        <v>NXP Semiconductors</v>
      </c>
      <c r="C21295" s="6">
        <v>23</v>
      </c>
      <c r="D21295" s="7">
        <v>1129.5</v>
      </c>
    </row>
    <row r="21296" spans="1:4" x14ac:dyDescent="0.25">
      <c r="A21296" t="str">
        <f>HYPERLINK("https://www.773grp.com/globalSearch/00XH7-009-XTP/page-1", "00XH7-009-XTP")</f>
        <v>00XH7-009-XTP</v>
      </c>
      <c r="B21296" s="3" t="str">
        <f>HYPERLINK("https://www.773grp.com/manufacturer/nxp-semiconductor?pageNo=32", "NXP Semiconductors")</f>
        <v>NXP Semiconductors</v>
      </c>
      <c r="C21296" s="6">
        <v>48000</v>
      </c>
      <c r="D21296" s="7">
        <v>0</v>
      </c>
    </row>
    <row r="21297" spans="1:5" x14ac:dyDescent="0.25">
      <c r="A21297" t="str">
        <f>HYPERLINK("https://www.773grp.com/globalSearch/051-1178-10-B-MPB-E/page-1", "051-1178-10-B-MPB-E")</f>
        <v>051-1178-10-B-MPB-E</v>
      </c>
      <c r="B21297" s="3" t="str">
        <f>HYPERLINK("https://www.773grp.com/manufacturer/nxp-semiconductor?pageNo=33", "NXP Semiconductors")</f>
        <v>NXP Semiconductors</v>
      </c>
      <c r="C21297" s="6">
        <v>300</v>
      </c>
      <c r="D21297" s="7">
        <v>0</v>
      </c>
    </row>
    <row r="21298" spans="1:5" x14ac:dyDescent="0.25">
      <c r="A21298" t="str">
        <f>HYPERLINK("https://www.773grp.com/globalSearch/051-4006-01-MPB-E/page-1", "051-4006-01-MPB-E")</f>
        <v>051-4006-01-MPB-E</v>
      </c>
      <c r="B21298" s="3" t="str">
        <f>HYPERLINK("https://www.773grp.com/manufacturer/nxp-semiconductor?pageNo=34", "NXP Semiconductors")</f>
        <v>NXP Semiconductors</v>
      </c>
      <c r="C21298" s="6">
        <v>3600</v>
      </c>
      <c r="D21298" s="7">
        <v>0</v>
      </c>
    </row>
    <row r="21299" spans="1:5" x14ac:dyDescent="0.25">
      <c r="A21299" t="str">
        <f>HYPERLINK("https://www.773grp.com/globalSearch/05346-014-XTD/page-1", "05346-014-XTD")</f>
        <v>05346-014-XTD</v>
      </c>
      <c r="B21299" s="3" t="str">
        <f>HYPERLINK("https://www.773grp.com/manufacturer/nxp-semiconductor?pageNo=35", "NXP Semiconductors")</f>
        <v>NXP Semiconductors</v>
      </c>
      <c r="C21299" s="6">
        <v>12</v>
      </c>
      <c r="D21299" s="7">
        <v>0</v>
      </c>
    </row>
    <row r="21300" spans="1:5" x14ac:dyDescent="0.25">
      <c r="A21300" t="str">
        <f>HYPERLINK("https://www.773grp.com/globalSearch/06805-523-XTD/page-1", "06805-523-XTD")</f>
        <v>06805-523-XTD</v>
      </c>
      <c r="B21300" s="3" t="str">
        <f>HYPERLINK("https://www.773grp.com/manufacturer/nxp-semiconductor?pageNo=36", "NXP Semiconductors")</f>
        <v>NXP Semiconductors</v>
      </c>
      <c r="C21300" s="6">
        <v>222</v>
      </c>
      <c r="D21300" s="7">
        <v>0</v>
      </c>
    </row>
    <row r="21301" spans="1:5" x14ac:dyDescent="0.25">
      <c r="A21301" t="str">
        <f>HYPERLINK("https://www.773grp.com/globalSearch/0C621-004-XTD/page-1", "0C621-004-XTD")</f>
        <v>0C621-004-XTD</v>
      </c>
      <c r="B21301" s="3" t="str">
        <f>HYPERLINK("https://www.773grp.com/manufacturer/nxp-semiconductor?pageNo=37", "NXP Semiconductors")</f>
        <v>NXP Semiconductors</v>
      </c>
      <c r="C21301" s="6">
        <v>528</v>
      </c>
      <c r="D21301" s="7">
        <v>0</v>
      </c>
    </row>
    <row r="21302" spans="1:5" x14ac:dyDescent="0.25">
      <c r="A21302" t="str">
        <f>HYPERLINK("https://www.773grp.com/globalSearch/0CBRA-001-XTD/page-1", "0CBRA-001-XTD")</f>
        <v>0CBRA-001-XTD</v>
      </c>
      <c r="B21302" s="3" t="str">
        <f>HYPERLINK("https://www.773grp.com/manufacturer/nxp-semiconductor?pageNo=38", "NXP Semiconductors")</f>
        <v>NXP Semiconductors</v>
      </c>
      <c r="C21302" s="6">
        <v>10</v>
      </c>
      <c r="D21302" s="7">
        <v>0</v>
      </c>
    </row>
    <row r="21303" spans="1:5" x14ac:dyDescent="0.25">
      <c r="A21303" t="str">
        <f>HYPERLINK("https://www.773grp.com/globalSearch/0CTSA-004-XTP/page-1", "0CTSA-004-XTP")</f>
        <v>0CTSA-004-XTP</v>
      </c>
      <c r="B21303" s="3" t="str">
        <f>HYPERLINK("https://www.773grp.com/manufacturer/nxp-semiconductor?pageNo=39", "NXP Semiconductors")</f>
        <v>NXP Semiconductors</v>
      </c>
      <c r="C21303" s="6">
        <v>19500</v>
      </c>
      <c r="D21303" s="7">
        <v>0</v>
      </c>
    </row>
    <row r="21304" spans="1:5" x14ac:dyDescent="0.25">
      <c r="A21304" t="str">
        <f>HYPERLINK("https://www.773grp.com/globalSearch/0INDA-001-XTD/page-1", "0INDA-001-XTD")</f>
        <v>0INDA-001-XTD</v>
      </c>
      <c r="B21304" s="3" t="str">
        <f>HYPERLINK("https://www.773grp.com/manufacturer/nxp-semiconductor?pageNo=40", "NXP Semiconductors")</f>
        <v>NXP Semiconductors</v>
      </c>
      <c r="C21304" s="6">
        <v>5000</v>
      </c>
      <c r="D21304" s="7">
        <v>0</v>
      </c>
    </row>
    <row r="21305" spans="1:5" x14ac:dyDescent="0.25">
      <c r="A21305" t="str">
        <f>HYPERLINK("https://www.773grp.com/globalSearch/0INDA-005-XTD/page-1", "0INDA-005-XTD")</f>
        <v>0INDA-005-XTD</v>
      </c>
      <c r="B21305" s="3" t="str">
        <f>HYPERLINK("https://www.773grp.com/manufacturer/nxp-semiconductor?pageNo=41", "NXP Semiconductors")</f>
        <v>NXP Semiconductors</v>
      </c>
      <c r="C21305" s="6">
        <v>14308</v>
      </c>
      <c r="D21305" s="7">
        <v>0</v>
      </c>
    </row>
    <row r="21306" spans="1:5" x14ac:dyDescent="0.25">
      <c r="A21306" t="str">
        <f>HYPERLINK("https://www.773grp.com/globalSearch/0REMQ-004-XTP/page-1", "0REMQ-004-XTP")</f>
        <v>0REMQ-004-XTP</v>
      </c>
      <c r="B21306" s="3" t="str">
        <f>HYPERLINK("https://www.773grp.com/manufacturer/nxp-semiconductor?pageNo=42", "NXP Semiconductors")</f>
        <v>NXP Semiconductors</v>
      </c>
      <c r="C21306" s="6">
        <v>3000</v>
      </c>
      <c r="D21306" s="7">
        <v>0</v>
      </c>
    </row>
    <row r="21307" spans="1:5" x14ac:dyDescent="0.25">
      <c r="A21307" t="str">
        <f>HYPERLINK("https://www.773grp.com/globalSearch/1.5KE200AG/page-1", "1.5KE200AG")</f>
        <v>1.5KE200AG</v>
      </c>
      <c r="B21307" s="3" t="str">
        <f>HYPERLINK("https://www.773grp.com/manufacturer/nxp-semiconductor?pageNo=43", "NXP Semiconductors")</f>
        <v>NXP Semiconductors</v>
      </c>
      <c r="C21307" s="6">
        <v>1754</v>
      </c>
      <c r="D21307" s="7">
        <v>0</v>
      </c>
      <c r="E21307" t="s">
        <v>96</v>
      </c>
    </row>
    <row r="21308" spans="1:5" x14ac:dyDescent="0.25">
      <c r="A21308" t="str">
        <f>HYPERLINK("https://www.773grp.com/globalSearch/1.5SMSC91AT3G  REEL/page-1", "1.5SMSC91AT3G  REEL")</f>
        <v>1.5SMSC91AT3G  REEL</v>
      </c>
      <c r="B21308" s="3" t="str">
        <f>HYPERLINK("https://www.773grp.com/manufacturer/nxp-semiconductor?pageNo=44", "NXP Semiconductors")</f>
        <v>NXP Semiconductors</v>
      </c>
      <c r="C21308" s="6">
        <v>2400</v>
      </c>
      <c r="D21308" s="7">
        <v>0</v>
      </c>
    </row>
    <row r="21309" spans="1:5" x14ac:dyDescent="0.25">
      <c r="A21309" t="str">
        <f>HYPERLINK("https://www.773grp.com/globalSearch/1.KE36AG/page-1", "1.KE36AG")</f>
        <v>1.KE36AG</v>
      </c>
      <c r="B21309" s="3" t="str">
        <f>HYPERLINK("https://www.773grp.com/manufacturer/nxp-semiconductor?pageNo=45", "NXP Semiconductors")</f>
        <v>NXP Semiconductors</v>
      </c>
      <c r="C21309" s="6">
        <v>520</v>
      </c>
      <c r="D21309" s="7">
        <v>0</v>
      </c>
    </row>
    <row r="21310" spans="1:5" x14ac:dyDescent="0.25">
      <c r="A21310" t="str">
        <f>HYPERLINK("https://www.773grp.com/globalSearch/11617-501-XTD/page-1", "11617-501-XTD")</f>
        <v>11617-501-XTD</v>
      </c>
      <c r="B21310" s="3" t="str">
        <f>HYPERLINK("https://www.773grp.com/manufacturer/nxp-semiconductor?pageNo=46", "NXP Semiconductors")</f>
        <v>NXP Semiconductors</v>
      </c>
      <c r="C21310" s="6">
        <v>6</v>
      </c>
      <c r="D21310" s="7">
        <v>0</v>
      </c>
    </row>
    <row r="21311" spans="1:5" x14ac:dyDescent="0.25">
      <c r="A21311" t="str">
        <f>HYPERLINK("https://www.773grp.com/globalSearch/1200P40CKRA/page-1", "1200P40CKRA")</f>
        <v>1200P40CKRA</v>
      </c>
      <c r="B21311" s="3" t="str">
        <f>HYPERLINK("https://www.773grp.com/manufacturer/nxp-semiconductor?pageNo=47", "NXP Semiconductors")</f>
        <v>NXP Semiconductors</v>
      </c>
      <c r="C21311" s="6">
        <v>90</v>
      </c>
      <c r="D21311" s="7">
        <v>0</v>
      </c>
    </row>
    <row r="21312" spans="1:5" x14ac:dyDescent="0.25">
      <c r="A21312" t="str">
        <f>HYPERLINK("https://www.773grp.com/globalSearch/1200P60CPEP/page-1", "1200P60CPEP")</f>
        <v>1200P60CPEP</v>
      </c>
      <c r="B21312" s="3" t="str">
        <f>HYPERLINK("https://www.773grp.com/manufacturer/nxp-semiconductor?pageNo=48", "NXP Semiconductors")</f>
        <v>NXP Semiconductors</v>
      </c>
      <c r="C21312" s="6">
        <v>550</v>
      </c>
      <c r="D21312" s="7">
        <v>0</v>
      </c>
    </row>
    <row r="21313" spans="1:5" x14ac:dyDescent="0.25">
      <c r="A21313" t="str">
        <f>HYPERLINK("https://www.773grp.com/globalSearch/1207PCKRC/page-1", "1207PCKRC")</f>
        <v>1207PCKRC</v>
      </c>
      <c r="B21313" s="3" t="str">
        <f>HYPERLINK("https://www.773grp.com/manufacturer/nxp-semiconductor?pageNo=1", "NXP Semiconductors")</f>
        <v>NXP Semiconductors</v>
      </c>
      <c r="C21313" s="6">
        <v>300</v>
      </c>
      <c r="D21313" s="7">
        <v>0</v>
      </c>
    </row>
    <row r="21314" spans="1:5" x14ac:dyDescent="0.25">
      <c r="A21314" t="str">
        <f>HYPERLINK("https://www.773grp.com/globalSearch/14056001R/page-1", "14056001R")</f>
        <v>14056001R</v>
      </c>
      <c r="B21314" s="3" t="str">
        <f>HYPERLINK("https://www.773grp.com/manufacturer/nxp-semiconductor?pageNo=2", "NXP Semiconductors")</f>
        <v>NXP Semiconductors</v>
      </c>
      <c r="C21314" s="6">
        <v>122500</v>
      </c>
      <c r="D21314" s="7">
        <v>0</v>
      </c>
    </row>
    <row r="21315" spans="1:5" x14ac:dyDescent="0.25">
      <c r="A21315" t="str">
        <f>HYPERLINK("https://www.773grp.com/globalSearch/19257-001-XTD/page-1", "19257-001-XTD")</f>
        <v>19257-001-XTD</v>
      </c>
      <c r="B21315" s="3" t="str">
        <f>HYPERLINK("https://www.773grp.com/manufacturer/nxp-semiconductor?pageNo=3", "NXP Semiconductors")</f>
        <v>NXP Semiconductors</v>
      </c>
      <c r="C21315" s="6">
        <v>14</v>
      </c>
      <c r="D21315" s="7">
        <v>0</v>
      </c>
    </row>
    <row r="21316" spans="1:5" x14ac:dyDescent="0.25">
      <c r="A21316" t="str">
        <f>HYPERLINK("https://www.773grp.com/globalSearch/1N5359BRL  REEL/page-1", "1N5359BRL  REEL")</f>
        <v>1N5359BRL  REEL</v>
      </c>
      <c r="B21316" s="3" t="str">
        <f>HYPERLINK("https://www.773grp.com/manufacturer/nxp-semiconductor?pageNo=4", "NXP Semiconductors")</f>
        <v>NXP Semiconductors</v>
      </c>
      <c r="C21316" s="6">
        <v>2202</v>
      </c>
      <c r="D21316" s="7">
        <v>0</v>
      </c>
    </row>
    <row r="21317" spans="1:5" x14ac:dyDescent="0.25">
      <c r="A21317" t="str">
        <f>HYPERLINK("https://www.773grp.com/globalSearch/1N582ORLG/page-1", "1N582ORLG")</f>
        <v>1N582ORLG</v>
      </c>
      <c r="B21317" s="3" t="str">
        <f>HYPERLINK("https://www.773grp.com/manufacturer/nxp-semiconductor?pageNo=5", "NXP Semiconductors")</f>
        <v>NXP Semiconductors</v>
      </c>
      <c r="C21317" s="6">
        <v>4500</v>
      </c>
      <c r="D21317" s="7">
        <v>0</v>
      </c>
    </row>
    <row r="21318" spans="1:5" x14ac:dyDescent="0.25">
      <c r="A21318" t="str">
        <f>HYPERLINK("https://www.773grp.com/globalSearch/1N6274DG/page-1", "1N6274DG")</f>
        <v>1N6274DG</v>
      </c>
      <c r="B21318" s="3" t="str">
        <f>HYPERLINK("https://www.773grp.com/manufacturer/nxp-semiconductor?pageNo=6", "NXP Semiconductors")</f>
        <v>NXP Semiconductors</v>
      </c>
      <c r="C21318" s="6">
        <v>500</v>
      </c>
      <c r="D21318" s="7">
        <v>0</v>
      </c>
    </row>
    <row r="21319" spans="1:5" x14ac:dyDescent="0.25">
      <c r="A21319" t="str">
        <f>HYPERLINK("https://www.773grp.com/globalSearch/1N6281/page-1", "1N6281")</f>
        <v>1N6281</v>
      </c>
      <c r="B21319" s="3" t="str">
        <f>HYPERLINK("https://www.773grp.com/manufacturer/nxp-semiconductor?pageNo=7", "NXP Semiconductors")</f>
        <v>NXP Semiconductors</v>
      </c>
      <c r="C21319" s="6">
        <v>512</v>
      </c>
      <c r="D21319" s="7">
        <v>0</v>
      </c>
      <c r="E21319" t="s">
        <v>96</v>
      </c>
    </row>
    <row r="21320" spans="1:5" x14ac:dyDescent="0.25">
      <c r="A21320" t="str">
        <f>HYPERLINK("https://www.773grp.com/globalSearch/1SMA7.5AT3/page-1", "1SMA7.5AT3")</f>
        <v>1SMA7.5AT3</v>
      </c>
      <c r="B21320" s="3" t="str">
        <f>HYPERLINK("https://www.773grp.com/manufacturer/nxp-semiconductor?pageNo=8", "NXP Semiconductors")</f>
        <v>NXP Semiconductors</v>
      </c>
      <c r="C21320" s="6">
        <v>5000</v>
      </c>
      <c r="D21320" s="7">
        <v>0</v>
      </c>
      <c r="E21320" t="s">
        <v>96</v>
      </c>
    </row>
    <row r="21321" spans="1:5" x14ac:dyDescent="0.25">
      <c r="A21321" t="str">
        <f>HYPERLINK("https://www.773grp.com/globalSearch/1SMB16AT/page-1", "1SMB16AT")</f>
        <v>1SMB16AT</v>
      </c>
      <c r="B21321" s="3" t="str">
        <f>HYPERLINK("https://www.773grp.com/manufacturer/nxp-semiconductor?pageNo=9", "NXP Semiconductors")</f>
        <v>NXP Semiconductors</v>
      </c>
      <c r="C21321" s="6">
        <v>10000</v>
      </c>
      <c r="D21321" s="7">
        <v>0</v>
      </c>
    </row>
    <row r="21322" spans="1:5" x14ac:dyDescent="0.25">
      <c r="A21322" t="str">
        <f>HYPERLINK("https://www.773grp.com/globalSearch/1SMSC6.0AT/page-1", "1SMSC6.0AT")</f>
        <v>1SMSC6.0AT</v>
      </c>
      <c r="B21322" s="3" t="str">
        <f>HYPERLINK("https://www.773grp.com/manufacturer/nxp-semiconductor?pageNo=10", "NXP Semiconductors")</f>
        <v>NXP Semiconductors</v>
      </c>
      <c r="C21322" s="6">
        <v>2500</v>
      </c>
      <c r="D21322" s="7">
        <v>0</v>
      </c>
    </row>
    <row r="21323" spans="1:5" x14ac:dyDescent="0.25">
      <c r="A21323" t="str">
        <f>HYPERLINK("https://www.773grp.com/globalSearch/1SV267-FRD-TB-E/page-1", "1SV267-FRD-TB-E")</f>
        <v>1SV267-FRD-TB-E</v>
      </c>
      <c r="B21323" s="3" t="str">
        <f>HYPERLINK("https://www.773grp.com/manufacturer/nxp-semiconductor?pageNo=11", "NXP Semiconductors")</f>
        <v>NXP Semiconductors</v>
      </c>
      <c r="C21323" s="6">
        <v>9000</v>
      </c>
      <c r="D21323" s="7">
        <v>0</v>
      </c>
    </row>
    <row r="21324" spans="1:5" x14ac:dyDescent="0.25">
      <c r="A21324" t="str">
        <f>HYPERLINK("https://www.773grp.com/globalSearch/1TDR0440216/page-1", "1TDR0440216")</f>
        <v>1TDR0440216</v>
      </c>
      <c r="B21324" s="3" t="str">
        <f>HYPERLINK("https://www.773grp.com/manufacturer/nxp-semiconductor?pageNo=12", "NXP Semiconductors")</f>
        <v>NXP Semiconductors</v>
      </c>
      <c r="C21324" s="6">
        <v>2000</v>
      </c>
      <c r="D21324" s="7">
        <v>0</v>
      </c>
    </row>
    <row r="21325" spans="1:5" x14ac:dyDescent="0.25">
      <c r="A21325" t="str">
        <f>HYPERLINK("https://www.773grp.com/globalSearch/1TNC139001I4/page-1", "1TNC139001I4")</f>
        <v>1TNC139001I4</v>
      </c>
      <c r="B21325" s="3" t="str">
        <f>HYPERLINK("https://www.773grp.com/manufacturer/nxp-semiconductor?pageNo=13", "NXP Semiconductors")</f>
        <v>NXP Semiconductors</v>
      </c>
      <c r="C21325" s="6">
        <v>100</v>
      </c>
      <c r="D21325" s="7">
        <v>0</v>
      </c>
    </row>
    <row r="21326" spans="1:5" x14ac:dyDescent="0.25">
      <c r="A21326" t="str">
        <f>HYPERLINK("https://www.773grp.com/globalSearch/1TQD936PZNZB/page-1", "1TQD936PZNZB")</f>
        <v>1TQD936PZNZB</v>
      </c>
      <c r="B21326" s="3" t="str">
        <f>HYPERLINK("https://www.773grp.com/manufacturer/nxp-semiconductor?pageNo=14", "NXP Semiconductors")</f>
        <v>NXP Semiconductors</v>
      </c>
      <c r="C21326" s="6">
        <v>34</v>
      </c>
      <c r="D21326" s="7">
        <v>0</v>
      </c>
    </row>
    <row r="21327" spans="1:5" x14ac:dyDescent="0.25">
      <c r="A21327" t="str">
        <f>HYPERLINK("https://www.773grp.com/globalSearch/20126-013-XTD/page-1", "20126-013-XTD")</f>
        <v>20126-013-XTD</v>
      </c>
      <c r="B21327" s="3" t="str">
        <f>HYPERLINK("https://www.773grp.com/manufacturer/nxp-semiconductor?pageNo=15", "NXP Semiconductors")</f>
        <v>NXP Semiconductors</v>
      </c>
      <c r="C21327" s="6">
        <v>1450</v>
      </c>
      <c r="D21327" s="7">
        <v>0</v>
      </c>
    </row>
    <row r="21328" spans="1:5" x14ac:dyDescent="0.25">
      <c r="A21328" t="str">
        <f>HYPERLINK("https://www.773grp.com/globalSearch/20126-016-XTD/page-1", "20126-016-XTD")</f>
        <v>20126-016-XTD</v>
      </c>
      <c r="B21328" s="3" t="str">
        <f>HYPERLINK("https://www.773grp.com/manufacturer/nxp-semiconductor?pageNo=16", "NXP Semiconductors")</f>
        <v>NXP Semiconductors</v>
      </c>
      <c r="C21328" s="6">
        <v>1339</v>
      </c>
      <c r="D21328" s="7">
        <v>0</v>
      </c>
    </row>
    <row r="21329" spans="1:4" x14ac:dyDescent="0.25">
      <c r="A21329" t="str">
        <f>HYPERLINK("https://www.773grp.com/globalSearch/20126-017-XTP/page-1", "20126-017-XTP")</f>
        <v>20126-017-XTP</v>
      </c>
      <c r="B21329" s="3" t="str">
        <f>HYPERLINK("https://www.773grp.com/manufacturer/nxp-semiconductor?pageNo=17", "NXP Semiconductors")</f>
        <v>NXP Semiconductors</v>
      </c>
      <c r="C21329" s="6">
        <v>8000</v>
      </c>
      <c r="D21329" s="7">
        <v>0</v>
      </c>
    </row>
    <row r="21330" spans="1:4" x14ac:dyDescent="0.25">
      <c r="A21330" t="str">
        <f>HYPERLINK("https://www.773grp.com/globalSearch/20126-019-XTD/page-1", "20126-019-XTD")</f>
        <v>20126-019-XTD</v>
      </c>
      <c r="B21330" s="3" t="str">
        <f>HYPERLINK("https://www.773grp.com/manufacturer/nxp-semiconductor?pageNo=18", "NXP Semiconductors")</f>
        <v>NXP Semiconductors</v>
      </c>
      <c r="C21330" s="6">
        <v>10785</v>
      </c>
      <c r="D21330" s="7">
        <v>0</v>
      </c>
    </row>
    <row r="21331" spans="1:4" x14ac:dyDescent="0.25">
      <c r="A21331" t="str">
        <f>HYPERLINK("https://www.773grp.com/globalSearch/20141-011-XTD/page-1", "20141-011-XTD")</f>
        <v>20141-011-XTD</v>
      </c>
      <c r="B21331" s="3" t="str">
        <f>HYPERLINK("https://www.773grp.com/manufacturer/nxp-semiconductor?pageNo=19", "NXP Semiconductors")</f>
        <v>NXP Semiconductors</v>
      </c>
      <c r="C21331" s="6">
        <v>3226</v>
      </c>
      <c r="D21331" s="7">
        <v>0</v>
      </c>
    </row>
    <row r="21332" spans="1:4" x14ac:dyDescent="0.25">
      <c r="A21332" t="str">
        <f>HYPERLINK("https://www.773grp.com/globalSearch/20141-012-XTD/page-1", "20141-012-XTD")</f>
        <v>20141-012-XTD</v>
      </c>
      <c r="B21332" s="3" t="str">
        <f>HYPERLINK("https://www.773grp.com/manufacturer/nxp-semiconductor?pageNo=20", "NXP Semiconductors")</f>
        <v>NXP Semiconductors</v>
      </c>
      <c r="C21332" s="6">
        <v>10862</v>
      </c>
      <c r="D21332" s="7">
        <v>0</v>
      </c>
    </row>
    <row r="21333" spans="1:4" x14ac:dyDescent="0.25">
      <c r="A21333" t="str">
        <f>HYPERLINK("https://www.773grp.com/globalSearch/20141-013-XTD/page-1", "20141-013-XTD")</f>
        <v>20141-013-XTD</v>
      </c>
      <c r="B21333" s="3" t="str">
        <f>HYPERLINK("https://www.773grp.com/manufacturer/nxp-semiconductor?pageNo=21", "NXP Semiconductors")</f>
        <v>NXP Semiconductors</v>
      </c>
      <c r="C21333" s="6">
        <v>17482</v>
      </c>
      <c r="D21333" s="7">
        <v>0</v>
      </c>
    </row>
    <row r="21334" spans="1:4" x14ac:dyDescent="0.25">
      <c r="A21334" t="str">
        <f>HYPERLINK("https://www.773grp.com/globalSearch/20141-014-XTD/page-1", "20141-014-XTD")</f>
        <v>20141-014-XTD</v>
      </c>
      <c r="B21334" s="3" t="str">
        <f>HYPERLINK("https://www.773grp.com/manufacturer/nxp-semiconductor?pageNo=22", "NXP Semiconductors")</f>
        <v>NXP Semiconductors</v>
      </c>
      <c r="C21334" s="6">
        <v>1597</v>
      </c>
      <c r="D21334" s="7">
        <v>0</v>
      </c>
    </row>
    <row r="21335" spans="1:4" x14ac:dyDescent="0.25">
      <c r="A21335" t="str">
        <f>HYPERLINK("https://www.773grp.com/globalSearch/20142-018-XTD/page-1", "20142-018-XTD")</f>
        <v>20142-018-XTD</v>
      </c>
      <c r="B21335" s="3" t="str">
        <f>HYPERLINK("https://www.773grp.com/manufacturer/nxp-semiconductor?pageNo=23", "NXP Semiconductors")</f>
        <v>NXP Semiconductors</v>
      </c>
      <c r="C21335" s="6">
        <v>25559</v>
      </c>
      <c r="D21335" s="7">
        <v>0</v>
      </c>
    </row>
    <row r="21336" spans="1:4" x14ac:dyDescent="0.25">
      <c r="A21336" t="str">
        <f>HYPERLINK("https://www.773grp.com/globalSearch/20142-019-XTP/page-1", "20142-019-XTP")</f>
        <v>20142-019-XTP</v>
      </c>
      <c r="B21336" s="3" t="str">
        <f>HYPERLINK("https://www.773grp.com/manufacturer/nxp-semiconductor?pageNo=24", "NXP Semiconductors")</f>
        <v>NXP Semiconductors</v>
      </c>
      <c r="C21336" s="6">
        <v>46</v>
      </c>
      <c r="D21336" s="7">
        <v>0</v>
      </c>
    </row>
    <row r="21337" spans="1:4" x14ac:dyDescent="0.25">
      <c r="A21337" t="str">
        <f>HYPERLINK("https://www.773grp.com/globalSearch/20142-020-XTD/page-1", "20142-020-XTD")</f>
        <v>20142-020-XTD</v>
      </c>
      <c r="B21337" s="3" t="str">
        <f>HYPERLINK("https://www.773grp.com/manufacturer/nxp-semiconductor?pageNo=25", "NXP Semiconductors")</f>
        <v>NXP Semiconductors</v>
      </c>
      <c r="C21337" s="6">
        <v>745</v>
      </c>
      <c r="D21337" s="7">
        <v>0</v>
      </c>
    </row>
    <row r="21338" spans="1:4" x14ac:dyDescent="0.25">
      <c r="A21338" t="str">
        <f>HYPERLINK("https://www.773grp.com/globalSearch/20512-006-XTD/page-1", "20512-006-XTD")</f>
        <v>20512-006-XTD</v>
      </c>
      <c r="B21338" s="3" t="str">
        <f>HYPERLINK("https://www.773grp.com/manufacturer/nxp-semiconductor?pageNo=26", "NXP Semiconductors")</f>
        <v>NXP Semiconductors</v>
      </c>
      <c r="C21338" s="6">
        <v>3</v>
      </c>
      <c r="D21338" s="7">
        <v>0</v>
      </c>
    </row>
    <row r="21339" spans="1:4" x14ac:dyDescent="0.25">
      <c r="A21339" t="str">
        <f>HYPERLINK("https://www.773grp.com/globalSearch/20513-003-XTD/page-1", "20513-003-XTD")</f>
        <v>20513-003-XTD</v>
      </c>
      <c r="B21339" s="3" t="str">
        <f>HYPERLINK("https://www.773grp.com/manufacturer/nxp-semiconductor?pageNo=27", "NXP Semiconductors")</f>
        <v>NXP Semiconductors</v>
      </c>
      <c r="C21339" s="6">
        <v>216</v>
      </c>
      <c r="D21339" s="7">
        <v>0</v>
      </c>
    </row>
    <row r="21340" spans="1:4" x14ac:dyDescent="0.25">
      <c r="A21340" t="str">
        <f>HYPERLINK("https://www.773grp.com/globalSearch/20595-001-XTD/page-1", "20595-001-XTD")</f>
        <v>20595-001-XTD</v>
      </c>
      <c r="B21340" s="3" t="str">
        <f>HYPERLINK("https://www.773grp.com/manufacturer/nxp-semiconductor?pageNo=28", "NXP Semiconductors")</f>
        <v>NXP Semiconductors</v>
      </c>
      <c r="C21340" s="6">
        <v>10544</v>
      </c>
      <c r="D21340" s="7">
        <v>0</v>
      </c>
    </row>
    <row r="21341" spans="1:4" x14ac:dyDescent="0.25">
      <c r="A21341" t="str">
        <f>HYPERLINK("https://www.773grp.com/globalSearch/20685-001-XTD/page-1", "20685-001-XTD")</f>
        <v>20685-001-XTD</v>
      </c>
      <c r="B21341" s="3" t="str">
        <f>HYPERLINK("https://www.773grp.com/manufacturer/nxp-semiconductor?pageNo=29", "NXP Semiconductors")</f>
        <v>NXP Semiconductors</v>
      </c>
      <c r="C21341" s="6">
        <v>24</v>
      </c>
      <c r="D21341" s="7">
        <v>0</v>
      </c>
    </row>
    <row r="21342" spans="1:4" x14ac:dyDescent="0.25">
      <c r="A21342" t="str">
        <f>HYPERLINK("https://www.773grp.com/globalSearch/20777-001-XTD/page-1", "20777-001-XTD")</f>
        <v>20777-001-XTD</v>
      </c>
      <c r="B21342" s="3" t="str">
        <f>HYPERLINK("https://www.773grp.com/manufacturer/nxp-semiconductor?pageNo=30", "NXP Semiconductors")</f>
        <v>NXP Semiconductors</v>
      </c>
      <c r="C21342" s="6">
        <v>4</v>
      </c>
      <c r="D21342" s="7">
        <v>0</v>
      </c>
    </row>
    <row r="21343" spans="1:4" x14ac:dyDescent="0.25">
      <c r="A21343" t="str">
        <f>HYPERLINK("https://www.773grp.com/globalSearch/21080-001-XTD/page-1", "21080-001-XTD")</f>
        <v>21080-001-XTD</v>
      </c>
      <c r="B21343" s="3" t="str">
        <f>HYPERLINK("https://www.773grp.com/manufacturer/nxp-semiconductor?pageNo=31", "NXP Semiconductors")</f>
        <v>NXP Semiconductors</v>
      </c>
      <c r="C21343" s="6">
        <v>60000</v>
      </c>
      <c r="D21343" s="7">
        <v>0</v>
      </c>
    </row>
    <row r="21344" spans="1:4" x14ac:dyDescent="0.25">
      <c r="A21344" t="str">
        <f>HYPERLINK("https://www.773grp.com/globalSearch/2N3904RLRAH/page-1", "2N3904RLRAH")</f>
        <v>2N3904RLRAH</v>
      </c>
      <c r="B21344" s="3" t="str">
        <f>HYPERLINK("https://www.773grp.com/manufacturer/nxp-semiconductor?pageNo=32", "NXP Semiconductors")</f>
        <v>NXP Semiconductors</v>
      </c>
      <c r="C21344" s="6">
        <v>52000</v>
      </c>
      <c r="D21344" s="7">
        <v>0</v>
      </c>
    </row>
    <row r="21345" spans="1:5" x14ac:dyDescent="0.25">
      <c r="A21345" t="str">
        <f>HYPERLINK("https://www.773grp.com/globalSearch/2N6041G/page-1", "2N6041G")</f>
        <v>2N6041G</v>
      </c>
      <c r="B21345" s="3" t="str">
        <f>HYPERLINK("https://www.773grp.com/manufacturer/nxp-semiconductor?pageNo=33", "NXP Semiconductors")</f>
        <v>NXP Semiconductors</v>
      </c>
      <c r="C21345" s="6">
        <v>1000</v>
      </c>
      <c r="D21345" s="7">
        <v>0</v>
      </c>
    </row>
    <row r="21346" spans="1:5" x14ac:dyDescent="0.25">
      <c r="A21346" t="str">
        <f>HYPERLINK("https://www.773grp.com/globalSearch/2N6285/page-1", "2N6285")</f>
        <v>2N6285</v>
      </c>
      <c r="B21346" s="3" t="str">
        <f>HYPERLINK("https://www.773grp.com/manufacturer/nxp-semiconductor?pageNo=34", "NXP Semiconductors")</f>
        <v>NXP Semiconductors</v>
      </c>
      <c r="C21346" s="6">
        <v>100</v>
      </c>
      <c r="D21346" s="7">
        <v>0</v>
      </c>
      <c r="E21346" t="s">
        <v>59</v>
      </c>
    </row>
    <row r="21347" spans="1:5" x14ac:dyDescent="0.25">
      <c r="A21347" t="str">
        <f>HYPERLINK("https://www.773grp.com/globalSearch/2N6404/page-1", "2N6404")</f>
        <v>2N6404</v>
      </c>
      <c r="B21347" s="3" t="str">
        <f>HYPERLINK("https://www.773grp.com/manufacturer/nxp-semiconductor?pageNo=35", "NXP Semiconductors")</f>
        <v>NXP Semiconductors</v>
      </c>
      <c r="C21347" s="6">
        <v>69</v>
      </c>
      <c r="D21347" s="7">
        <v>0</v>
      </c>
      <c r="E21347" t="s">
        <v>97</v>
      </c>
    </row>
    <row r="21348" spans="1:5" x14ac:dyDescent="0.25">
      <c r="A21348" t="str">
        <f>HYPERLINK("https://www.773grp.com/globalSearch/2N66397G/page-1", "2N66397G")</f>
        <v>2N66397G</v>
      </c>
      <c r="B21348" s="3" t="str">
        <f>HYPERLINK("https://www.773grp.com/manufacturer/nxp-semiconductor?pageNo=36", "NXP Semiconductors")</f>
        <v>NXP Semiconductors</v>
      </c>
      <c r="C21348" s="6">
        <v>445</v>
      </c>
      <c r="D21348" s="7">
        <v>0</v>
      </c>
    </row>
    <row r="21349" spans="1:5" x14ac:dyDescent="0.25">
      <c r="A21349" t="str">
        <f>HYPERLINK("https://www.773grp.com/globalSearch/2SA1317T-AC/page-1", "2SA1317T-AC")</f>
        <v>2SA1317T-AC</v>
      </c>
      <c r="B21349" s="3" t="str">
        <f>HYPERLINK("https://www.773grp.com/manufacturer/nxp-semiconductor?pageNo=37", "NXP Semiconductors")</f>
        <v>NXP Semiconductors</v>
      </c>
      <c r="C21349" s="6">
        <v>10000</v>
      </c>
      <c r="D21349" s="7">
        <v>0</v>
      </c>
    </row>
    <row r="21350" spans="1:5" x14ac:dyDescent="0.25">
      <c r="A21350" t="str">
        <f>HYPERLINK("https://www.773grp.com/globalSearch/2SA1331-4-TB-E/page-1", "2SA1331-4-TB-E")</f>
        <v>2SA1331-4-TB-E</v>
      </c>
      <c r="B21350" s="3" t="str">
        <f>HYPERLINK("https://www.773grp.com/manufacturer/nxp-semiconductor?pageNo=38", "NXP Semiconductors")</f>
        <v>NXP Semiconductors</v>
      </c>
      <c r="C21350" s="6">
        <v>6000</v>
      </c>
      <c r="D21350" s="7">
        <v>0</v>
      </c>
    </row>
    <row r="21351" spans="1:5" x14ac:dyDescent="0.25">
      <c r="A21351" t="str">
        <f>HYPERLINK("https://www.773grp.com/globalSearch/2SA1371D-AE/page-1", "2SA1371D-AE")</f>
        <v>2SA1371D-AE</v>
      </c>
      <c r="B21351" s="3" t="str">
        <f>HYPERLINK("https://www.773grp.com/manufacturer/nxp-semiconductor?pageNo=39", "NXP Semiconductors")</f>
        <v>NXP Semiconductors</v>
      </c>
      <c r="C21351" s="6">
        <v>160000</v>
      </c>
      <c r="D21351" s="7">
        <v>0</v>
      </c>
    </row>
    <row r="21352" spans="1:5" x14ac:dyDescent="0.25">
      <c r="A21352" t="str">
        <f>HYPERLINK("https://www.773grp.com/globalSearch/2SA2031/page-1", "2SA2031")</f>
        <v>2SA2031</v>
      </c>
      <c r="B21352" s="3" t="str">
        <f>HYPERLINK("https://www.773grp.com/manufacturer/nxp-semiconductor?pageNo=40", "NXP Semiconductors")</f>
        <v>NXP Semiconductors</v>
      </c>
      <c r="C21352" s="6">
        <v>1800</v>
      </c>
      <c r="D21352" s="7">
        <v>0</v>
      </c>
    </row>
    <row r="21353" spans="1:5" x14ac:dyDescent="0.25">
      <c r="A21353" t="str">
        <f>HYPERLINK("https://www.773grp.com/globalSearch/2SB1131S/page-1", "2SB1131S")</f>
        <v>2SB1131S</v>
      </c>
      <c r="B21353" s="3" t="str">
        <f>HYPERLINK("https://www.773grp.com/manufacturer/nxp-semiconductor?pageNo=41", "NXP Semiconductors")</f>
        <v>NXP Semiconductors</v>
      </c>
      <c r="C21353" s="6">
        <v>4000</v>
      </c>
      <c r="D21353" s="7">
        <v>0</v>
      </c>
    </row>
    <row r="21354" spans="1:5" x14ac:dyDescent="0.25">
      <c r="A21354" t="str">
        <f>HYPERLINK("https://www.773grp.com/globalSearch/2SB1268R-E/page-1", "2SB1268R-E")</f>
        <v>2SB1268R-E</v>
      </c>
      <c r="B21354" s="3" t="str">
        <f>HYPERLINK("https://www.773grp.com/manufacturer/nxp-semiconductor?pageNo=42", "NXP Semiconductors")</f>
        <v>NXP Semiconductors</v>
      </c>
      <c r="C21354" s="6">
        <v>1300</v>
      </c>
      <c r="D21354" s="7">
        <v>0</v>
      </c>
    </row>
    <row r="21355" spans="1:5" x14ac:dyDescent="0.25">
      <c r="A21355" t="str">
        <f>HYPERLINK("https://www.773grp.com/globalSearch/2SB817C/page-1", "2SB817C")</f>
        <v>2SB817C</v>
      </c>
      <c r="B21355" s="3" t="str">
        <f>HYPERLINK("https://www.773grp.com/manufacturer/nxp-semiconductor?pageNo=43", "NXP Semiconductors")</f>
        <v>NXP Semiconductors</v>
      </c>
      <c r="C21355" s="6">
        <v>90</v>
      </c>
      <c r="D21355" s="7">
        <v>0</v>
      </c>
    </row>
    <row r="21356" spans="1:5" x14ac:dyDescent="0.25">
      <c r="A21356" t="str">
        <f>HYPERLINK("https://www.773grp.com/globalSearch/2SB892T/page-1", "2SB892T")</f>
        <v>2SB892T</v>
      </c>
      <c r="B21356" s="3" t="str">
        <f>HYPERLINK("https://www.773grp.com/manufacturer/nxp-semiconductor?pageNo=44", "NXP Semiconductors")</f>
        <v>NXP Semiconductors</v>
      </c>
      <c r="C21356" s="6">
        <v>455</v>
      </c>
      <c r="D21356" s="7">
        <v>0</v>
      </c>
    </row>
    <row r="21357" spans="1:5" x14ac:dyDescent="0.25">
      <c r="A21357" t="str">
        <f>HYPERLINK("https://www.773grp.com/globalSearch/2SB926T-AA/page-1", "2SB926T-AA")</f>
        <v>2SB926T-AA</v>
      </c>
      <c r="B21357" s="3" t="str">
        <f>HYPERLINK("https://www.773grp.com/manufacturer/nxp-semiconductor?pageNo=45", "NXP Semiconductors")</f>
        <v>NXP Semiconductors</v>
      </c>
      <c r="C21357" s="6">
        <v>4500</v>
      </c>
      <c r="D21357" s="7">
        <v>0</v>
      </c>
    </row>
    <row r="21358" spans="1:5" x14ac:dyDescent="0.25">
      <c r="A21358" t="str">
        <f>HYPERLINK("https://www.773grp.com/globalSearch/2SC2909S/page-1", "2SC2909S")</f>
        <v>2SC2909S</v>
      </c>
      <c r="B21358" s="3" t="str">
        <f>HYPERLINK("https://www.773grp.com/manufacturer/nxp-semiconductor?pageNo=46", "NXP Semiconductors")</f>
        <v>NXP Semiconductors</v>
      </c>
      <c r="C21358" s="6">
        <v>6500</v>
      </c>
      <c r="D21358" s="7">
        <v>0</v>
      </c>
    </row>
    <row r="21359" spans="1:5" x14ac:dyDescent="0.25">
      <c r="A21359" t="str">
        <f>HYPERLINK("https://www.773grp.com/globalSearch/2SC3117S/page-1", "2SC3117S")</f>
        <v>2SC3117S</v>
      </c>
      <c r="B21359" s="3" t="str">
        <f>HYPERLINK("https://www.773grp.com/manufacturer/nxp-semiconductor?pageNo=47", "NXP Semiconductors")</f>
        <v>NXP Semiconductors</v>
      </c>
      <c r="C21359" s="6">
        <v>119</v>
      </c>
      <c r="D21359" s="7">
        <v>0</v>
      </c>
    </row>
    <row r="21360" spans="1:5" x14ac:dyDescent="0.25">
      <c r="A21360" t="str">
        <f>HYPERLINK("https://www.773grp.com/globalSearch/2SC3145/page-1", "2SC3145")</f>
        <v>2SC3145</v>
      </c>
      <c r="B21360" s="3" t="str">
        <f>HYPERLINK("https://www.773grp.com/manufacturer/nxp-semiconductor?pageNo=48", "NXP Semiconductors")</f>
        <v>NXP Semiconductors</v>
      </c>
      <c r="C21360" s="6">
        <v>100</v>
      </c>
      <c r="D21360" s="7">
        <v>0</v>
      </c>
    </row>
    <row r="21361" spans="1:4" x14ac:dyDescent="0.25">
      <c r="A21361" t="str">
        <f>HYPERLINK("https://www.773grp.com/globalSearch/2SC3331T-AA/page-1", "2SC3331T-AA")</f>
        <v>2SC3331T-AA</v>
      </c>
      <c r="B21361" s="3" t="str">
        <f>HYPERLINK("https://www.773grp.com/manufacturer/nxp-semiconductor?pageNo=1", "NXP Semiconductors")</f>
        <v>NXP Semiconductors</v>
      </c>
      <c r="C21361" s="6">
        <v>16500</v>
      </c>
      <c r="D21361" s="7">
        <v>0</v>
      </c>
    </row>
    <row r="21362" spans="1:4" x14ac:dyDescent="0.25">
      <c r="A21362" t="str">
        <f>HYPERLINK("https://www.773grp.com/globalSearch/2SC3459L/page-1", "2SC3459L")</f>
        <v>2SC3459L</v>
      </c>
      <c r="B21362" s="3" t="str">
        <f>HYPERLINK("https://www.773grp.com/manufacturer/nxp-semiconductor?pageNo=2", "NXP Semiconductors")</f>
        <v>NXP Semiconductors</v>
      </c>
      <c r="C21362" s="6">
        <v>500</v>
      </c>
      <c r="D21362" s="7">
        <v>0</v>
      </c>
    </row>
    <row r="21363" spans="1:4" x14ac:dyDescent="0.25">
      <c r="A21363" t="str">
        <f>HYPERLINK("https://www.773grp.com/globalSearch/2SC3600D/page-1", "2SC3600D")</f>
        <v>2SC3600D</v>
      </c>
      <c r="B21363" s="3" t="str">
        <f>HYPERLINK("https://www.773grp.com/manufacturer/nxp-semiconductor?pageNo=3", "NXP Semiconductors")</f>
        <v>NXP Semiconductors</v>
      </c>
      <c r="C21363" s="6">
        <v>200</v>
      </c>
      <c r="D21363" s="7">
        <v>0</v>
      </c>
    </row>
    <row r="21364" spans="1:4" x14ac:dyDescent="0.25">
      <c r="A21364" t="str">
        <f>HYPERLINK("https://www.773grp.com/globalSearch/2SC4224M-E/page-1", "2SC4224M-E")</f>
        <v>2SC4224M-E</v>
      </c>
      <c r="B21364" s="3" t="str">
        <f>HYPERLINK("https://www.773grp.com/manufacturer/nxp-semiconductor?pageNo=4", "NXP Semiconductors")</f>
        <v>NXP Semiconductors</v>
      </c>
      <c r="C21364" s="6">
        <v>3000</v>
      </c>
      <c r="D21364" s="7">
        <v>0</v>
      </c>
    </row>
    <row r="21365" spans="1:4" x14ac:dyDescent="0.25">
      <c r="A21365" t="str">
        <f>HYPERLINK("https://www.773grp.com/globalSearch/2SC4636LS-YAC11/page-1", "2SC4636LS-YAC11")</f>
        <v>2SC4636LS-YAC11</v>
      </c>
      <c r="B21365" s="3" t="str">
        <f>HYPERLINK("https://www.773grp.com/manufacturer/nxp-semiconductor?pageNo=5", "NXP Semiconductors")</f>
        <v>NXP Semiconductors</v>
      </c>
      <c r="C21365" s="6">
        <v>500</v>
      </c>
      <c r="D21365" s="7">
        <v>0</v>
      </c>
    </row>
    <row r="21366" spans="1:4" x14ac:dyDescent="0.25">
      <c r="A21366" t="str">
        <f>HYPERLINK("https://www.773grp.com/globalSearch/2SC5299/page-1", "2SC5299")</f>
        <v>2SC5299</v>
      </c>
      <c r="B21366" s="3" t="str">
        <f>HYPERLINK("https://www.773grp.com/manufacturer/nxp-semiconductor?pageNo=6", "NXP Semiconductors")</f>
        <v>NXP Semiconductors</v>
      </c>
      <c r="C21366" s="6">
        <v>16</v>
      </c>
      <c r="D21366" s="7">
        <v>0</v>
      </c>
    </row>
    <row r="21367" spans="1:4" x14ac:dyDescent="0.25">
      <c r="A21367" t="str">
        <f>HYPERLINK("https://www.773grp.com/globalSearch/2SC5302/page-1", "2SC5302")</f>
        <v>2SC5302</v>
      </c>
      <c r="B21367" s="3" t="str">
        <f>HYPERLINK("https://www.773grp.com/manufacturer/nxp-semiconductor?pageNo=7", "NXP Semiconductors")</f>
        <v>NXP Semiconductors</v>
      </c>
      <c r="C21367" s="6">
        <v>180</v>
      </c>
      <c r="D21367" s="7">
        <v>0</v>
      </c>
    </row>
    <row r="21368" spans="1:4" x14ac:dyDescent="0.25">
      <c r="A21368" t="str">
        <f>HYPERLINK("https://www.773grp.com/globalSearch/2SC5793-YD/page-1", "2SC5793-YD")</f>
        <v>2SC5793-YD</v>
      </c>
      <c r="B21368" s="3" t="str">
        <f>HYPERLINK("https://www.773grp.com/manufacturer/nxp-semiconductor?pageNo=8", "NXP Semiconductors")</f>
        <v>NXP Semiconductors</v>
      </c>
      <c r="C21368" s="6">
        <v>1900</v>
      </c>
      <c r="D21368" s="7">
        <v>0</v>
      </c>
    </row>
    <row r="21369" spans="1:4" x14ac:dyDescent="0.25">
      <c r="A21369" t="str">
        <f>HYPERLINK("https://www.773grp.com/globalSearch/2SC5900-MG32/page-1", "2SC5900-MG32")</f>
        <v>2SC5900-MG32</v>
      </c>
      <c r="B21369" s="3" t="str">
        <f>HYPERLINK("https://www.773grp.com/manufacturer/nxp-semiconductor?pageNo=9", "NXP Semiconductors")</f>
        <v>NXP Semiconductors</v>
      </c>
      <c r="C21369" s="6">
        <v>7</v>
      </c>
      <c r="D21369" s="7">
        <v>0</v>
      </c>
    </row>
    <row r="21370" spans="1:4" x14ac:dyDescent="0.25">
      <c r="A21370" t="str">
        <f>HYPERLINK("https://www.773grp.com/globalSearch/2SC5966-CA/page-1", "2SC5966-CA")</f>
        <v>2SC5966-CA</v>
      </c>
      <c r="B21370" s="3" t="str">
        <f>HYPERLINK("https://www.773grp.com/manufacturer/nxp-semiconductor?pageNo=10", "NXP Semiconductors")</f>
        <v>NXP Semiconductors</v>
      </c>
      <c r="C21370" s="6">
        <v>22</v>
      </c>
      <c r="D21370" s="7">
        <v>0</v>
      </c>
    </row>
    <row r="21371" spans="1:4" x14ac:dyDescent="0.25">
      <c r="A21371" t="str">
        <f>HYPERLINK("https://www.773grp.com/globalSearch/2SC6022-TL-E/page-1", "2SC6022-TL-E")</f>
        <v>2SC6022-TL-E</v>
      </c>
      <c r="B21371" s="3" t="str">
        <f>HYPERLINK("https://www.773grp.com/manufacturer/nxp-semiconductor?pageNo=11", "NXP Semiconductors")</f>
        <v>NXP Semiconductors</v>
      </c>
      <c r="C21371" s="6">
        <v>700</v>
      </c>
      <c r="D21371" s="7">
        <v>0</v>
      </c>
    </row>
    <row r="21372" spans="1:4" x14ac:dyDescent="0.25">
      <c r="A21372" t="str">
        <f>HYPERLINK("https://www.773grp.com/globalSearch/2SC6091/page-1", "2SC6091")</f>
        <v>2SC6091</v>
      </c>
      <c r="B21372" s="3" t="str">
        <f>HYPERLINK("https://www.773grp.com/manufacturer/nxp-semiconductor?pageNo=12", "NXP Semiconductors")</f>
        <v>NXP Semiconductors</v>
      </c>
      <c r="C21372" s="6">
        <v>90000</v>
      </c>
      <c r="D21372" s="7">
        <v>0</v>
      </c>
    </row>
    <row r="21373" spans="1:4" x14ac:dyDescent="0.25">
      <c r="A21373" t="str">
        <f>HYPERLINK("https://www.773grp.com/globalSearch/2SD1347S/page-1", "2SD1347S")</f>
        <v>2SD1347S</v>
      </c>
      <c r="B21373" s="3" t="str">
        <f>HYPERLINK("https://www.773grp.com/manufacturer/nxp-semiconductor?pageNo=13", "NXP Semiconductors")</f>
        <v>NXP Semiconductors</v>
      </c>
      <c r="C21373" s="6">
        <v>2480</v>
      </c>
      <c r="D21373" s="7">
        <v>0</v>
      </c>
    </row>
    <row r="21374" spans="1:4" x14ac:dyDescent="0.25">
      <c r="A21374" t="str">
        <f>HYPERLINK("https://www.773grp.com/globalSearch/2SD1651C-CTV-YB/page-1", "2SD1651C-CTV-YB")</f>
        <v>2SD1651C-CTV-YB</v>
      </c>
      <c r="B21374" s="3" t="str">
        <f>HYPERLINK("https://www.773grp.com/manufacturer/nxp-semiconductor?pageNo=14", "NXP Semiconductors")</f>
        <v>NXP Semiconductors</v>
      </c>
      <c r="C21374" s="6">
        <v>60216</v>
      </c>
      <c r="D21374" s="7">
        <v>0</v>
      </c>
    </row>
    <row r="21375" spans="1:4" x14ac:dyDescent="0.25">
      <c r="A21375" t="str">
        <f>HYPERLINK("https://www.773grp.com/globalSearch/2SD1682S/page-1", "2SD1682S")</f>
        <v>2SD1682S</v>
      </c>
      <c r="B21375" s="3" t="str">
        <f>HYPERLINK("https://www.773grp.com/manufacturer/nxp-semiconductor?pageNo=15", "NXP Semiconductors")</f>
        <v>NXP Semiconductors</v>
      </c>
      <c r="C21375" s="6">
        <v>200</v>
      </c>
      <c r="D21375" s="7">
        <v>0</v>
      </c>
    </row>
    <row r="21376" spans="1:4" x14ac:dyDescent="0.25">
      <c r="A21376" t="str">
        <f>HYPERLINK("https://www.773grp.com/globalSearch/2SD1799-TL-E/page-1", "2SD1799-TL-E")</f>
        <v>2SD1799-TL-E</v>
      </c>
      <c r="B21376" s="3" t="str">
        <f>HYPERLINK("https://www.773grp.com/manufacturer/nxp-semiconductor?pageNo=16", "NXP Semiconductors")</f>
        <v>NXP Semiconductors</v>
      </c>
      <c r="C21376" s="6">
        <v>700</v>
      </c>
      <c r="D21376" s="7">
        <v>0</v>
      </c>
    </row>
    <row r="21377" spans="1:4" x14ac:dyDescent="0.25">
      <c r="A21377" t="str">
        <f>HYPERLINK("https://www.773grp.com/globalSearch/2SD1936T-SSH/page-1", "2SD1936T-SSH")</f>
        <v>2SD1936T-SSH</v>
      </c>
      <c r="B21377" s="3" t="str">
        <f>HYPERLINK("https://www.773grp.com/manufacturer/nxp-semiconductor?pageNo=17", "NXP Semiconductors")</f>
        <v>NXP Semiconductors</v>
      </c>
      <c r="C21377" s="6">
        <v>6000</v>
      </c>
      <c r="D21377" s="7">
        <v>0</v>
      </c>
    </row>
    <row r="21378" spans="1:4" x14ac:dyDescent="0.25">
      <c r="A21378" t="str">
        <f>HYPERLINK("https://www.773grp.com/globalSearch/2SD2281R/page-1", "2SD2281R")</f>
        <v>2SD2281R</v>
      </c>
      <c r="B21378" s="3" t="str">
        <f>HYPERLINK("https://www.773grp.com/manufacturer/nxp-semiconductor?pageNo=18", "NXP Semiconductors")</f>
        <v>NXP Semiconductors</v>
      </c>
      <c r="C21378" s="6">
        <v>900</v>
      </c>
      <c r="D21378" s="7">
        <v>0</v>
      </c>
    </row>
    <row r="21379" spans="1:4" x14ac:dyDescent="0.25">
      <c r="A21379" t="str">
        <f>HYPERLINK("https://www.773grp.com/globalSearch/2SD2581-SHY-CA/page-1", "2SD2581-SHY-CA")</f>
        <v>2SD2581-SHY-CA</v>
      </c>
      <c r="B21379" s="3" t="str">
        <f>HYPERLINK("https://www.773grp.com/manufacturer/nxp-semiconductor?pageNo=19", "NXP Semiconductors")</f>
        <v>NXP Semiconductors</v>
      </c>
      <c r="C21379" s="6">
        <v>25</v>
      </c>
      <c r="D21379" s="7">
        <v>0</v>
      </c>
    </row>
    <row r="21380" spans="1:4" x14ac:dyDescent="0.25">
      <c r="A21380" t="str">
        <f>HYPERLINK("https://www.773grp.com/globalSearch/2SD2581-SHY-YD/page-1", "2SD2581-SHY-YD")</f>
        <v>2SD2581-SHY-YD</v>
      </c>
      <c r="B21380" s="3" t="str">
        <f>HYPERLINK("https://www.773grp.com/manufacturer/nxp-semiconductor?pageNo=20", "NXP Semiconductors")</f>
        <v>NXP Semiconductors</v>
      </c>
      <c r="C21380" s="6">
        <v>6</v>
      </c>
      <c r="D21380" s="7">
        <v>0</v>
      </c>
    </row>
    <row r="21381" spans="1:4" x14ac:dyDescent="0.25">
      <c r="A21381" t="str">
        <f>HYPERLINK("https://www.773grp.com/globalSearch/2SD2634-CA/page-1", "2SD2634-CA")</f>
        <v>2SD2634-CA</v>
      </c>
      <c r="B21381" s="3" t="str">
        <f>HYPERLINK("https://www.773grp.com/manufacturer/nxp-semiconductor?pageNo=21", "NXP Semiconductors")</f>
        <v>NXP Semiconductors</v>
      </c>
      <c r="C21381" s="6">
        <v>30</v>
      </c>
      <c r="D21381" s="7">
        <v>0</v>
      </c>
    </row>
    <row r="21382" spans="1:4" x14ac:dyDescent="0.25">
      <c r="A21382" t="str">
        <f>HYPERLINK("https://www.773grp.com/globalSearch/2SD2634-YB/page-1", "2SD2634-YB")</f>
        <v>2SD2634-YB</v>
      </c>
      <c r="B21382" s="3" t="str">
        <f>HYPERLINK("https://www.773grp.com/manufacturer/nxp-semiconductor?pageNo=22", "NXP Semiconductors")</f>
        <v>NXP Semiconductors</v>
      </c>
      <c r="C21382" s="6">
        <v>206</v>
      </c>
      <c r="D21382" s="7">
        <v>0</v>
      </c>
    </row>
    <row r="21383" spans="1:4" x14ac:dyDescent="0.25">
      <c r="A21383" t="str">
        <f>HYPERLINK("https://www.773grp.com/globalSearch/2SD2646-YD/page-1", "2SD2646-YD")</f>
        <v>2SD2646-YD</v>
      </c>
      <c r="B21383" s="3" t="str">
        <f>HYPERLINK("https://www.773grp.com/manufacturer/nxp-semiconductor?pageNo=23", "NXP Semiconductors")</f>
        <v>NXP Semiconductors</v>
      </c>
      <c r="C21383" s="6">
        <v>4180</v>
      </c>
      <c r="D21383" s="7">
        <v>0</v>
      </c>
    </row>
    <row r="21384" spans="1:4" x14ac:dyDescent="0.25">
      <c r="A21384" t="str">
        <f>HYPERLINK("https://www.773grp.com/globalSearch/2SJ263/page-1", "2SJ263")</f>
        <v>2SJ263</v>
      </c>
      <c r="B21384" s="3" t="str">
        <f>HYPERLINK("https://www.773grp.com/manufacturer/nxp-semiconductor?pageNo=24", "NXP Semiconductors")</f>
        <v>NXP Semiconductors</v>
      </c>
      <c r="C21384" s="6">
        <v>6780</v>
      </c>
      <c r="D21384" s="7">
        <v>0</v>
      </c>
    </row>
    <row r="21385" spans="1:4" x14ac:dyDescent="0.25">
      <c r="A21385" t="str">
        <f>HYPERLINK("https://www.773grp.com/globalSearch/2SJ580-TD-E/page-1", "2SJ580-TD-E")</f>
        <v>2SJ580-TD-E</v>
      </c>
      <c r="B21385" s="3" t="str">
        <f>HYPERLINK("https://www.773grp.com/manufacturer/nxp-semiconductor?pageNo=25", "NXP Semiconductors")</f>
        <v>NXP Semiconductors</v>
      </c>
      <c r="C21385" s="6">
        <v>4000</v>
      </c>
      <c r="D21385" s="7">
        <v>0</v>
      </c>
    </row>
    <row r="21386" spans="1:4" x14ac:dyDescent="0.25">
      <c r="A21386" t="str">
        <f>HYPERLINK("https://www.773grp.com/globalSearch/2SJ609/page-1", "2SJ609")</f>
        <v>2SJ609</v>
      </c>
      <c r="B21386" s="3" t="str">
        <f>HYPERLINK("https://www.773grp.com/manufacturer/nxp-semiconductor?pageNo=26", "NXP Semiconductors")</f>
        <v>NXP Semiconductors</v>
      </c>
      <c r="C21386" s="6">
        <v>5400</v>
      </c>
      <c r="D21386" s="7">
        <v>0</v>
      </c>
    </row>
    <row r="21387" spans="1:4" x14ac:dyDescent="0.25">
      <c r="A21387" t="str">
        <f>HYPERLINK("https://www.773grp.com/globalSearch/2SJ650/page-1", "2SJ650")</f>
        <v>2SJ650</v>
      </c>
      <c r="B21387" s="3" t="str">
        <f>HYPERLINK("https://www.773grp.com/manufacturer/nxp-semiconductor?pageNo=27", "NXP Semiconductors")</f>
        <v>NXP Semiconductors</v>
      </c>
      <c r="C21387" s="6">
        <v>200</v>
      </c>
      <c r="D21387" s="7">
        <v>0</v>
      </c>
    </row>
    <row r="21388" spans="1:4" x14ac:dyDescent="0.25">
      <c r="A21388" t="str">
        <f>HYPERLINK("https://www.773grp.com/globalSearch/2SJ651/page-1", "2SJ651")</f>
        <v>2SJ651</v>
      </c>
      <c r="B21388" s="3" t="str">
        <f>HYPERLINK("https://www.773grp.com/manufacturer/nxp-semiconductor?pageNo=28", "NXP Semiconductors")</f>
        <v>NXP Semiconductors</v>
      </c>
      <c r="C21388" s="6">
        <v>220</v>
      </c>
      <c r="D21388" s="7">
        <v>0</v>
      </c>
    </row>
    <row r="21389" spans="1:4" x14ac:dyDescent="0.25">
      <c r="A21389" t="str">
        <f>HYPERLINK("https://www.773grp.com/globalSearch/2SJ651-S/page-1", "2SJ651-S")</f>
        <v>2SJ651-S</v>
      </c>
      <c r="B21389" s="3" t="str">
        <f>HYPERLINK("https://www.773grp.com/manufacturer/nxp-semiconductor?pageNo=29", "NXP Semiconductors")</f>
        <v>NXP Semiconductors</v>
      </c>
      <c r="C21389" s="6">
        <v>1000</v>
      </c>
      <c r="D21389" s="7">
        <v>0</v>
      </c>
    </row>
    <row r="21390" spans="1:4" x14ac:dyDescent="0.25">
      <c r="A21390" t="str">
        <f>HYPERLINK("https://www.773grp.com/globalSearch/2SJ653/page-1", "2SJ653")</f>
        <v>2SJ653</v>
      </c>
      <c r="B21390" s="3" t="str">
        <f>HYPERLINK("https://www.773grp.com/manufacturer/nxp-semiconductor?pageNo=30", "NXP Semiconductors")</f>
        <v>NXP Semiconductors</v>
      </c>
      <c r="C21390" s="6">
        <v>20000</v>
      </c>
      <c r="D21390" s="7">
        <v>0</v>
      </c>
    </row>
    <row r="21391" spans="1:4" x14ac:dyDescent="0.25">
      <c r="A21391" t="str">
        <f>HYPERLINK("https://www.773grp.com/globalSearch/2SJ655-MG5/page-1", "2SJ655-MG5")</f>
        <v>2SJ655-MG5</v>
      </c>
      <c r="B21391" s="3" t="str">
        <f>HYPERLINK("https://www.773grp.com/manufacturer/nxp-semiconductor?pageNo=31", "NXP Semiconductors")</f>
        <v>NXP Semiconductors</v>
      </c>
      <c r="C21391" s="6">
        <v>1000</v>
      </c>
      <c r="D21391" s="7">
        <v>0</v>
      </c>
    </row>
    <row r="21392" spans="1:4" x14ac:dyDescent="0.25">
      <c r="A21392" t="str">
        <f>HYPERLINK("https://www.773grp.com/globalSearch/2SK2161/page-1", "2SK2161")</f>
        <v>2SK2161</v>
      </c>
      <c r="B21392" s="3" t="str">
        <f>HYPERLINK("https://www.773grp.com/manufacturer/nxp-semiconductor?pageNo=32", "NXP Semiconductors")</f>
        <v>NXP Semiconductors</v>
      </c>
      <c r="C21392" s="6">
        <v>47650</v>
      </c>
      <c r="D21392" s="7">
        <v>0</v>
      </c>
    </row>
    <row r="21393" spans="1:5" x14ac:dyDescent="0.25">
      <c r="A21393" t="str">
        <f>HYPERLINK("https://www.773grp.com/globalSearch/2SK303-3-TB-E/page-1", "2SK303-3-TB-E")</f>
        <v>2SK303-3-TB-E</v>
      </c>
      <c r="B21393" s="3" t="str">
        <f>HYPERLINK("https://www.773grp.com/manufacturer/nxp-semiconductor?pageNo=33", "NXP Semiconductors")</f>
        <v>NXP Semiconductors</v>
      </c>
      <c r="C21393" s="6">
        <v>24000</v>
      </c>
      <c r="D21393" s="7">
        <v>0</v>
      </c>
    </row>
    <row r="21394" spans="1:5" x14ac:dyDescent="0.25">
      <c r="A21394" t="str">
        <f>HYPERLINK("https://www.773grp.com/globalSearch/2SK3072-TB-E/page-1", "2SK3072-TB-E")</f>
        <v>2SK3072-TB-E</v>
      </c>
      <c r="B21394" s="3" t="str">
        <f>HYPERLINK("https://www.773grp.com/manufacturer/nxp-semiconductor?pageNo=34", "NXP Semiconductors")</f>
        <v>NXP Semiconductors</v>
      </c>
      <c r="C21394" s="6">
        <v>6000</v>
      </c>
      <c r="D21394" s="7">
        <v>0</v>
      </c>
    </row>
    <row r="21395" spans="1:5" x14ac:dyDescent="0.25">
      <c r="A21395" t="str">
        <f>HYPERLINK("https://www.773grp.com/globalSearch/2SK3492-TL-E/page-1", "2SK3492-TL-E")</f>
        <v>2SK3492-TL-E</v>
      </c>
      <c r="B21395" s="3" t="str">
        <f>HYPERLINK("https://www.773grp.com/manufacturer/nxp-semiconductor?pageNo=35", "NXP Semiconductors")</f>
        <v>NXP Semiconductors</v>
      </c>
      <c r="C21395" s="6">
        <v>700</v>
      </c>
      <c r="D21395" s="7">
        <v>0</v>
      </c>
    </row>
    <row r="21396" spans="1:5" x14ac:dyDescent="0.25">
      <c r="A21396" t="str">
        <f>HYPERLINK("https://www.773grp.com/globalSearch/2SK3706/page-1", "2SK3706")</f>
        <v>2SK3706</v>
      </c>
      <c r="B21396" s="3" t="str">
        <f>HYPERLINK("https://www.773grp.com/manufacturer/nxp-semiconductor?pageNo=36", "NXP Semiconductors")</f>
        <v>NXP Semiconductors</v>
      </c>
      <c r="C21396" s="6">
        <v>55000</v>
      </c>
      <c r="D21396" s="7">
        <v>0</v>
      </c>
    </row>
    <row r="21397" spans="1:5" x14ac:dyDescent="0.25">
      <c r="A21397" t="str">
        <f>HYPERLINK("https://www.773grp.com/globalSearch/2SK4097LS/page-1", "2SK4097LS")</f>
        <v>2SK4097LS</v>
      </c>
      <c r="B21397" s="3" t="str">
        <f>HYPERLINK("https://www.773grp.com/manufacturer/nxp-semiconductor?pageNo=37", "NXP Semiconductors")</f>
        <v>NXP Semiconductors</v>
      </c>
      <c r="C21397" s="6">
        <v>300</v>
      </c>
      <c r="D21397" s="7">
        <v>0</v>
      </c>
    </row>
    <row r="21398" spans="1:5" x14ac:dyDescent="0.25">
      <c r="A21398" t="str">
        <f>HYPERLINK("https://www.773grp.com/globalSearch/2SK4097LS-MG5/page-1", "2SK4097LS-MG5")</f>
        <v>2SK4097LS-MG5</v>
      </c>
      <c r="B21398" s="3" t="str">
        <f>HYPERLINK("https://www.773grp.com/manufacturer/nxp-semiconductor?pageNo=38", "NXP Semiconductors")</f>
        <v>NXP Semiconductors</v>
      </c>
      <c r="C21398" s="6">
        <v>600</v>
      </c>
      <c r="D21398" s="7">
        <v>0</v>
      </c>
    </row>
    <row r="21399" spans="1:5" x14ac:dyDescent="0.25">
      <c r="A21399" t="str">
        <f>HYPERLINK("https://www.773grp.com/globalSearch/2SK4098LS-YOC11/page-1", "2SK4098LS-YOC11")</f>
        <v>2SK4098LS-YOC11</v>
      </c>
      <c r="B21399" s="3" t="str">
        <f>HYPERLINK("https://www.773grp.com/manufacturer/nxp-semiconductor?pageNo=39", "NXP Semiconductors")</f>
        <v>NXP Semiconductors</v>
      </c>
      <c r="C21399" s="6">
        <v>23500</v>
      </c>
      <c r="D21399" s="7">
        <v>0</v>
      </c>
    </row>
    <row r="21400" spans="1:5" x14ac:dyDescent="0.25">
      <c r="A21400" t="str">
        <f>HYPERLINK("https://www.773grp.com/globalSearch/2SK932-23-N-TB-E/page-1", "2SK932-23-N-TB-E")</f>
        <v>2SK932-23-N-TB-E</v>
      </c>
      <c r="B21400" s="3" t="str">
        <f>HYPERLINK("https://www.773grp.com/manufacturer/nxp-semiconductor?pageNo=40", "NXP Semiconductors")</f>
        <v>NXP Semiconductors</v>
      </c>
      <c r="C21400" s="6">
        <v>15000</v>
      </c>
      <c r="D21400" s="7">
        <v>0</v>
      </c>
    </row>
    <row r="21401" spans="1:5" x14ac:dyDescent="0.25">
      <c r="A21401" t="str">
        <f>HYPERLINK("https://www.773grp.com/globalSearch/30507-001-XTD/page-1", "30507-001-XTD")</f>
        <v>30507-001-XTD</v>
      </c>
      <c r="B21401" s="3" t="str">
        <f>HYPERLINK("https://www.773grp.com/manufacturer/nxp-semiconductor?pageNo=41", "NXP Semiconductors")</f>
        <v>NXP Semiconductors</v>
      </c>
      <c r="C21401" s="6">
        <v>271897</v>
      </c>
      <c r="D21401" s="7">
        <v>0</v>
      </c>
    </row>
    <row r="21402" spans="1:5" x14ac:dyDescent="0.25">
      <c r="A21402" t="str">
        <f>HYPERLINK("https://www.773grp.com/globalSearch/3LN01CPA-TB-E/page-1", "3LN01CPA-TB-E")</f>
        <v>3LN01CPA-TB-E</v>
      </c>
      <c r="B21402" s="3" t="str">
        <f>HYPERLINK("https://www.773grp.com/manufacturer/nxp-semiconductor?pageNo=42", "NXP Semiconductors")</f>
        <v>NXP Semiconductors</v>
      </c>
      <c r="C21402" s="6">
        <v>6000</v>
      </c>
      <c r="D21402" s="7">
        <v>0</v>
      </c>
    </row>
    <row r="21403" spans="1:5" x14ac:dyDescent="0.25">
      <c r="A21403" t="str">
        <f>HYPERLINK("https://www.773grp.com/globalSearch/3LP03M-TL-E/page-1", "3LP03M-TL-E")</f>
        <v>3LP03M-TL-E</v>
      </c>
      <c r="B21403" s="3" t="str">
        <f>HYPERLINK("https://www.773grp.com/manufacturer/nxp-semiconductor?pageNo=43", "NXP Semiconductors")</f>
        <v>NXP Semiconductors</v>
      </c>
      <c r="C21403" s="6">
        <v>3000</v>
      </c>
      <c r="D21403" s="7">
        <v>0</v>
      </c>
    </row>
    <row r="21404" spans="1:5" x14ac:dyDescent="0.25">
      <c r="A21404" t="str">
        <f>HYPERLINK("https://www.773grp.com/globalSearch/3SK264-5-F-TG-E/page-1", "3SK264-5-F-TG-E")</f>
        <v>3SK264-5-F-TG-E</v>
      </c>
      <c r="B21404" s="3" t="str">
        <f>HYPERLINK("https://www.773grp.com/manufacturer/nxp-semiconductor?pageNo=44", "NXP Semiconductors")</f>
        <v>NXP Semiconductors</v>
      </c>
      <c r="C21404" s="6">
        <v>3000</v>
      </c>
      <c r="D21404" s="7">
        <v>0</v>
      </c>
    </row>
    <row r="21405" spans="1:5" x14ac:dyDescent="0.25">
      <c r="A21405" t="str">
        <f>HYPERLINK("https://www.773grp.com/globalSearch/61565-002-XTD/page-1", "61565-002-XTD")</f>
        <v>61565-002-XTD</v>
      </c>
      <c r="B21405" s="3" t="str">
        <f>HYPERLINK("https://www.773grp.com/manufacturer/nxp-semiconductor?pageNo=45", "NXP Semiconductors")</f>
        <v>NXP Semiconductors</v>
      </c>
      <c r="C21405" s="6">
        <v>78</v>
      </c>
      <c r="D21405" s="7">
        <v>0</v>
      </c>
    </row>
    <row r="21406" spans="1:5" x14ac:dyDescent="0.25">
      <c r="A21406" t="str">
        <f>HYPERLINK("https://www.773grp.com/globalSearch/A845ZTG510/page-1", "A845ZTG510")</f>
        <v>A845ZTG510</v>
      </c>
      <c r="B21406" s="3" t="str">
        <f>HYPERLINK("https://www.773grp.com/manufacturer/nxp-semiconductor?pageNo=46", "NXP Semiconductors")</f>
        <v>NXP Semiconductors</v>
      </c>
      <c r="C21406" s="6">
        <v>450</v>
      </c>
      <c r="D21406" s="7">
        <v>0</v>
      </c>
    </row>
    <row r="21407" spans="1:5" x14ac:dyDescent="0.25">
      <c r="A21407" t="str">
        <f>HYPERLINK("https://www.773grp.com/globalSearch/ADM1020AR/page-1", "ADM1020AR")</f>
        <v>ADM1020AR</v>
      </c>
      <c r="B21407" s="3" t="str">
        <f>HYPERLINK("https://www.773grp.com/manufacturer/nxp-semiconductor?pageNo=47", "NXP Semiconductors")</f>
        <v>NXP Semiconductors</v>
      </c>
      <c r="C21407" s="6">
        <v>1440</v>
      </c>
      <c r="D21407" s="7">
        <v>0</v>
      </c>
      <c r="E21407" t="s">
        <v>40</v>
      </c>
    </row>
    <row r="21408" spans="1:5" x14ac:dyDescent="0.25">
      <c r="A21408" t="str">
        <f>HYPERLINK("https://www.773grp.com/globalSearch/ADM1032AR-REEL7/page-1", "ADM1032AR-REEL7")</f>
        <v>ADM1032AR-REEL7</v>
      </c>
      <c r="B21408" s="3" t="str">
        <f>HYPERLINK("https://www.773grp.com/manufacturer/nxp-semiconductor?pageNo=48", "NXP Semiconductors")</f>
        <v>NXP Semiconductors</v>
      </c>
      <c r="C21408" s="6">
        <v>24295</v>
      </c>
      <c r="D21408" s="7">
        <v>0</v>
      </c>
      <c r="E21408" t="s">
        <v>40</v>
      </c>
    </row>
    <row r="21409" spans="1:5" x14ac:dyDescent="0.25">
      <c r="A21409" t="str">
        <f>HYPERLINK("https://www.773grp.com/globalSearch/ADM1034ARQH-REEL/page-1", "ADM1034ARQH-REEL")</f>
        <v>ADM1034ARQH-REEL</v>
      </c>
      <c r="B21409" s="3" t="str">
        <f>HYPERLINK("https://www.773grp.com/manufacturer/nxp-semiconductor?pageNo=1", "NXP Semiconductors")</f>
        <v>NXP Semiconductors</v>
      </c>
      <c r="C21409" s="6">
        <v>2398</v>
      </c>
      <c r="D21409" s="7">
        <v>0</v>
      </c>
    </row>
    <row r="21410" spans="1:5" x14ac:dyDescent="0.25">
      <c r="A21410" t="str">
        <f>HYPERLINK("https://www.773grp.com/globalSearch/ADM1041ARQ/page-1", "ADM1041ARQ")</f>
        <v>ADM1041ARQ</v>
      </c>
      <c r="B21410" s="3" t="str">
        <f>HYPERLINK("https://www.773grp.com/manufacturer/nxp-semiconductor?pageNo=2", "NXP Semiconductors")</f>
        <v>NXP Semiconductors</v>
      </c>
      <c r="C21410" s="6">
        <v>56</v>
      </c>
      <c r="D21410" s="7">
        <v>0</v>
      </c>
      <c r="E21410" t="s">
        <v>67</v>
      </c>
    </row>
    <row r="21411" spans="1:5" x14ac:dyDescent="0.25">
      <c r="A21411" t="str">
        <f>HYPERLINK("https://www.773grp.com/globalSearch/ADM1041ARQZ/page-1", "ADM1041ARQZ")</f>
        <v>ADM1041ARQZ</v>
      </c>
      <c r="B21411" s="3" t="str">
        <f>HYPERLINK("https://www.773grp.com/manufacturer/nxp-semiconductor?pageNo=3", "NXP Semiconductors")</f>
        <v>NXP Semiconductors</v>
      </c>
      <c r="C21411" s="6">
        <v>32</v>
      </c>
      <c r="D21411" s="7">
        <v>0</v>
      </c>
      <c r="E21411" t="s">
        <v>67</v>
      </c>
    </row>
    <row r="21412" spans="1:5" x14ac:dyDescent="0.25">
      <c r="A21412" t="str">
        <f>HYPERLINK("https://www.773grp.com/globalSearch/ADP31100001RZ/page-1", "ADP31100001RZ")</f>
        <v>ADP31100001RZ</v>
      </c>
      <c r="B21412" s="3" t="str">
        <f>HYPERLINK("https://www.773grp.com/manufacturer/nxp-semiconductor?pageNo=4", "NXP Semiconductors")</f>
        <v>NXP Semiconductors</v>
      </c>
      <c r="C21412" s="6">
        <v>2000</v>
      </c>
      <c r="D21412" s="7">
        <v>0</v>
      </c>
    </row>
    <row r="21413" spans="1:5" x14ac:dyDescent="0.25">
      <c r="A21413" t="str">
        <f>HYPERLINK("https://www.773grp.com/globalSearch/ADP3110A0001RZR/page-1", "ADP3110A0001RZR")</f>
        <v>ADP3110A0001RZR</v>
      </c>
      <c r="B21413" s="3" t="str">
        <f>HYPERLINK("https://www.773grp.com/manufacturer/nxp-semiconductor?pageNo=5", "NXP Semiconductors")</f>
        <v>NXP Semiconductors</v>
      </c>
      <c r="C21413" s="6">
        <v>7500</v>
      </c>
      <c r="D21413" s="7">
        <v>0</v>
      </c>
    </row>
    <row r="21414" spans="1:5" x14ac:dyDescent="0.25">
      <c r="A21414" t="str">
        <f>HYPERLINK("https://www.773grp.com/globalSearch/ADP3110KRZ/page-1", "ADP3110KRZ")</f>
        <v>ADP3110KRZ</v>
      </c>
      <c r="B21414" s="3" t="str">
        <f>HYPERLINK("https://www.773grp.com/manufacturer/nxp-semiconductor?pageNo=6", "NXP Semiconductors")</f>
        <v>NXP Semiconductors</v>
      </c>
      <c r="C21414" s="6">
        <v>1778</v>
      </c>
      <c r="D21414" s="7">
        <v>0</v>
      </c>
      <c r="E21414" t="s">
        <v>16</v>
      </c>
    </row>
    <row r="21415" spans="1:5" x14ac:dyDescent="0.25">
      <c r="A21415" t="str">
        <f>HYPERLINK("https://www.773grp.com/globalSearch/ADP3110KRZ/page-1", "ADP3110KRZ")</f>
        <v>ADP3110KRZ</v>
      </c>
      <c r="B21415" s="3" t="str">
        <f>HYPERLINK("https://www.773grp.com/manufacturer/nxp-semiconductor?pageNo=7", "NXP Semiconductors")</f>
        <v>NXP Semiconductors</v>
      </c>
      <c r="C21415" s="6">
        <v>1535</v>
      </c>
      <c r="D21415" s="7">
        <v>0</v>
      </c>
      <c r="E21415" t="s">
        <v>16</v>
      </c>
    </row>
    <row r="21416" spans="1:5" x14ac:dyDescent="0.25">
      <c r="A21416" t="str">
        <f>HYPERLINK("https://www.773grp.com/globalSearch/ADP3110KRZ-RL/page-1", "ADP3110KRZ-RL")</f>
        <v>ADP3110KRZ-RL</v>
      </c>
      <c r="B21416" s="3" t="str">
        <f>HYPERLINK("https://www.773grp.com/manufacturer/nxp-semiconductor?pageNo=8", "NXP Semiconductors")</f>
        <v>NXP Semiconductors</v>
      </c>
      <c r="C21416" s="6">
        <v>7500</v>
      </c>
      <c r="D21416" s="7">
        <v>0</v>
      </c>
      <c r="E21416" t="s">
        <v>16</v>
      </c>
    </row>
    <row r="21417" spans="1:5" x14ac:dyDescent="0.25">
      <c r="A21417" t="str">
        <f>HYPERLINK("https://www.773grp.com/globalSearch/ADP3164JRUZ-R7/page-1", "ADP3164JRUZ-R7")</f>
        <v>ADP3164JRUZ-R7</v>
      </c>
      <c r="B21417" s="3" t="str">
        <f>HYPERLINK("https://www.773grp.com/manufacturer/nxp-semiconductor?pageNo=9", "NXP Semiconductors")</f>
        <v>NXP Semiconductors</v>
      </c>
      <c r="C21417" s="6">
        <v>2304</v>
      </c>
      <c r="D21417" s="7">
        <v>0</v>
      </c>
    </row>
    <row r="21418" spans="1:5" x14ac:dyDescent="0.25">
      <c r="A21418" t="str">
        <f>HYPERLINK("https://www.773grp.com/globalSearch/ADP3171JR/page-1", "ADP3171JR")</f>
        <v>ADP3171JR</v>
      </c>
      <c r="B21418" s="3" t="str">
        <f>HYPERLINK("https://www.773grp.com/manufacturer/nxp-semiconductor?pageNo=10", "NXP Semiconductors")</f>
        <v>NXP Semiconductors</v>
      </c>
      <c r="C21418" s="6">
        <v>134</v>
      </c>
      <c r="D21418" s="7">
        <v>0</v>
      </c>
      <c r="E21418" t="s">
        <v>7</v>
      </c>
    </row>
    <row r="21419" spans="1:5" x14ac:dyDescent="0.25">
      <c r="A21419" t="str">
        <f>HYPERLINK("https://www.773grp.com/globalSearch/ADP3171JR/page-1", "ADP3171JR")</f>
        <v>ADP3171JR</v>
      </c>
      <c r="B21419" s="3" t="str">
        <f>HYPERLINK("https://www.773grp.com/manufacturer/nxp-semiconductor?pageNo=11", "NXP Semiconductors")</f>
        <v>NXP Semiconductors</v>
      </c>
      <c r="C21419" s="6">
        <v>6</v>
      </c>
      <c r="D21419" s="7">
        <v>0</v>
      </c>
      <c r="E21419" t="s">
        <v>7</v>
      </c>
    </row>
    <row r="21420" spans="1:5" x14ac:dyDescent="0.25">
      <c r="A21420" t="str">
        <f>HYPERLINK("https://www.773grp.com/globalSearch/ADP3189JCPZ-RL/page-1", "ADP3189JCPZ-RL")</f>
        <v>ADP3189JCPZ-RL</v>
      </c>
      <c r="B21420" s="3" t="str">
        <f>HYPERLINK("https://www.773grp.com/manufacturer/nxp-semiconductor?pageNo=12", "NXP Semiconductors")</f>
        <v>NXP Semiconductors</v>
      </c>
      <c r="C21420" s="6">
        <v>7500</v>
      </c>
      <c r="D21420" s="7">
        <v>0</v>
      </c>
      <c r="E21420" t="s">
        <v>7</v>
      </c>
    </row>
    <row r="21421" spans="1:5" x14ac:dyDescent="0.25">
      <c r="A21421" t="str">
        <f>HYPERLINK("https://www.773grp.com/globalSearch/ADP3198001CPZR/page-1", "ADP3198001CPZR")</f>
        <v>ADP3198001CPZR</v>
      </c>
      <c r="B21421" s="3" t="str">
        <f>HYPERLINK("https://www.773grp.com/manufacturer/nxp-semiconductor?pageNo=13", "NXP Semiconductors")</f>
        <v>NXP Semiconductors</v>
      </c>
      <c r="C21421" s="6">
        <v>5000</v>
      </c>
      <c r="D21421" s="7">
        <v>0</v>
      </c>
    </row>
    <row r="21422" spans="1:5" x14ac:dyDescent="0.25">
      <c r="A21422" t="str">
        <f>HYPERLINK("https://www.773grp.com/globalSearch/ADP32070091CPZR/page-1", "ADP32070091CPZR")</f>
        <v>ADP32070091CPZR</v>
      </c>
      <c r="B21422" s="3" t="str">
        <f>HYPERLINK("https://www.773grp.com/manufacturer/nxp-semiconductor?pageNo=14", "NXP Semiconductors")</f>
        <v>NXP Semiconductors</v>
      </c>
      <c r="C21422" s="6">
        <v>72500</v>
      </c>
      <c r="D21422" s="7">
        <v>0</v>
      </c>
    </row>
    <row r="21423" spans="1:5" x14ac:dyDescent="0.25">
      <c r="A21423" t="str">
        <f>HYPERLINK("https://www.773grp.com/globalSearch/ADP32070091CPZR/page-1", "ADP32070091CPZR")</f>
        <v>ADP32070091CPZR</v>
      </c>
      <c r="B21423" s="3" t="str">
        <f>HYPERLINK("https://www.773grp.com/manufacturer/nxp-semiconductor?pageNo=15", "NXP Semiconductors")</f>
        <v>NXP Semiconductors</v>
      </c>
      <c r="C21423" s="6">
        <v>67500</v>
      </c>
      <c r="D21423" s="7">
        <v>0</v>
      </c>
    </row>
    <row r="21424" spans="1:5" x14ac:dyDescent="0.25">
      <c r="A21424" t="str">
        <f>HYPERLINK("https://www.773grp.com/globalSearch/ADP32090091CPZR/page-1", "ADP32090091CPZR")</f>
        <v>ADP32090091CPZR</v>
      </c>
      <c r="B21424" s="3" t="str">
        <f>HYPERLINK("https://www.773grp.com/manufacturer/nxp-semiconductor?pageNo=16", "NXP Semiconductors")</f>
        <v>NXP Semiconductors</v>
      </c>
      <c r="C21424" s="6">
        <v>20000</v>
      </c>
      <c r="D21424" s="7">
        <v>0</v>
      </c>
    </row>
    <row r="21425" spans="1:5" x14ac:dyDescent="0.25">
      <c r="A21425" t="str">
        <f>HYPERLINK("https://www.773grp.com/globalSearch/ADP32110091MNR2G/page-1", "ADP32110091MNR2G")</f>
        <v>ADP32110091MNR2G</v>
      </c>
      <c r="B21425" s="3" t="str">
        <f>HYPERLINK("https://www.773grp.com/manufacturer/nxp-semiconductor?pageNo=17", "NXP Semiconductors")</f>
        <v>NXP Semiconductors</v>
      </c>
      <c r="C21425" s="6">
        <v>35000</v>
      </c>
      <c r="D21425" s="7">
        <v>0</v>
      </c>
    </row>
    <row r="21426" spans="1:5" x14ac:dyDescent="0.25">
      <c r="A21426" t="str">
        <f>HYPERLINK("https://www.773grp.com/globalSearch/ADP32120091MNR2G/page-1", "ADP32120091MNR2G")</f>
        <v>ADP32120091MNR2G</v>
      </c>
      <c r="B21426" s="3" t="str">
        <f>HYPERLINK("https://www.773grp.com/manufacturer/nxp-semiconductor?pageNo=18", "NXP Semiconductors")</f>
        <v>NXP Semiconductors</v>
      </c>
      <c r="C21426" s="6">
        <v>25000</v>
      </c>
      <c r="D21426" s="7">
        <v>0</v>
      </c>
    </row>
    <row r="21427" spans="1:5" x14ac:dyDescent="0.25">
      <c r="A21427" t="str">
        <f>HYPERLINK("https://www.773grp.com/globalSearch/ADP3414JRZ-REEL/page-1", "ADP3414JRZ-REEL")</f>
        <v>ADP3414JRZ-REEL</v>
      </c>
      <c r="B21427" s="3" t="str">
        <f>HYPERLINK("https://www.773grp.com/manufacturer/nxp-semiconductor?pageNo=19", "NXP Semiconductors")</f>
        <v>NXP Semiconductors</v>
      </c>
      <c r="C21427" s="6">
        <v>20000</v>
      </c>
      <c r="D21427" s="7">
        <v>0</v>
      </c>
      <c r="E21427" t="s">
        <v>16</v>
      </c>
    </row>
    <row r="21428" spans="1:5" x14ac:dyDescent="0.25">
      <c r="A21428" t="str">
        <f>HYPERLINK("https://www.773grp.com/globalSearch/ADP3415LRM-REEL/page-1", "ADP3415LRM-REEL")</f>
        <v>ADP3415LRM-REEL</v>
      </c>
      <c r="B21428" s="3" t="str">
        <f>HYPERLINK("https://www.773grp.com/manufacturer/nxp-semiconductor?pageNo=20", "NXP Semiconductors")</f>
        <v>NXP Semiconductors</v>
      </c>
      <c r="C21428" s="6">
        <v>3647</v>
      </c>
      <c r="D21428" s="7">
        <v>0</v>
      </c>
      <c r="E21428" t="s">
        <v>16</v>
      </c>
    </row>
    <row r="21429" spans="1:5" x14ac:dyDescent="0.25">
      <c r="A21429" t="str">
        <f>HYPERLINK("https://www.773grp.com/globalSearch/ADP3415LRMZ-REEL/page-1", "ADP3415LRMZ-REEL")</f>
        <v>ADP3415LRMZ-REEL</v>
      </c>
      <c r="B21429" s="3" t="str">
        <f>HYPERLINK("https://www.773grp.com/manufacturer/nxp-semiconductor?pageNo=21", "NXP Semiconductors")</f>
        <v>NXP Semiconductors</v>
      </c>
      <c r="C21429" s="6">
        <v>4819</v>
      </c>
      <c r="D21429" s="7">
        <v>0</v>
      </c>
      <c r="E21429" t="s">
        <v>16</v>
      </c>
    </row>
    <row r="21430" spans="1:5" x14ac:dyDescent="0.25">
      <c r="A21430" t="str">
        <f>HYPERLINK("https://www.773grp.com/globalSearch/ADP3421JRU-REEL7/page-1", "ADP3421JRU-REEL7")</f>
        <v>ADP3421JRU-REEL7</v>
      </c>
      <c r="B21430" s="3" t="str">
        <f>HYPERLINK("https://www.773grp.com/manufacturer/nxp-semiconductor?pageNo=22", "NXP Semiconductors")</f>
        <v>NXP Semiconductors</v>
      </c>
      <c r="C21430" s="6">
        <v>1000</v>
      </c>
      <c r="D21430" s="7">
        <v>0</v>
      </c>
      <c r="E21430" t="s">
        <v>7</v>
      </c>
    </row>
    <row r="21431" spans="1:5" x14ac:dyDescent="0.25">
      <c r="A21431" t="str">
        <f>HYPERLINK("https://www.773grp.com/globalSearch/ADP3430JCPZ-RL/page-1", "ADP3430JCPZ-RL")</f>
        <v>ADP3430JCPZ-RL</v>
      </c>
      <c r="B21431" s="3" t="str">
        <f>HYPERLINK("https://www.773grp.com/manufacturer/nxp-semiconductor?pageNo=23", "NXP Semiconductors")</f>
        <v>NXP Semiconductors</v>
      </c>
      <c r="C21431" s="6">
        <v>29790</v>
      </c>
      <c r="D21431" s="7">
        <v>0</v>
      </c>
    </row>
    <row r="21432" spans="1:5" x14ac:dyDescent="0.25">
      <c r="A21432" t="str">
        <f>HYPERLINK("https://www.773grp.com/globalSearch/ADP3808AJCPZ-RL/page-1", "ADP3808AJCPZ-RL")</f>
        <v>ADP3808AJCPZ-RL</v>
      </c>
      <c r="B21432" s="3" t="str">
        <f>HYPERLINK("https://www.773grp.com/manufacturer/nxp-semiconductor?pageNo=24", "NXP Semiconductors")</f>
        <v>NXP Semiconductors</v>
      </c>
      <c r="C21432" s="6">
        <v>4785</v>
      </c>
      <c r="D21432" s="7">
        <v>0</v>
      </c>
    </row>
    <row r="21433" spans="1:5" x14ac:dyDescent="0.25">
      <c r="A21433" t="str">
        <f>HYPERLINK("https://www.773grp.com/globalSearch/ADT7460ARQZ-REEL-0/page-1", "ADT7460ARQZ-REEL-0")</f>
        <v>ADT7460ARQZ-REEL-0</v>
      </c>
      <c r="B21433" s="3" t="str">
        <f>HYPERLINK("https://www.773grp.com/manufacturer/nxp-semiconductor?pageNo=25", "NXP Semiconductors")</f>
        <v>NXP Semiconductors</v>
      </c>
      <c r="C21433" s="6">
        <v>165</v>
      </c>
      <c r="D21433" s="7">
        <v>0</v>
      </c>
    </row>
    <row r="21434" spans="1:5" x14ac:dyDescent="0.25">
      <c r="A21434" t="str">
        <f>HYPERLINK("https://www.773grp.com/globalSearch/ALP301-MPB-E/page-1", "ALP301-MPB-E")</f>
        <v>ALP301-MPB-E</v>
      </c>
      <c r="B21434" s="3" t="str">
        <f>HYPERLINK("https://www.773grp.com/manufacturer/nxp-semiconductor?pageNo=26", "NXP Semiconductors")</f>
        <v>NXP Semiconductors</v>
      </c>
      <c r="C21434" s="6">
        <v>600</v>
      </c>
      <c r="D21434" s="7">
        <v>0</v>
      </c>
    </row>
    <row r="21435" spans="1:5" x14ac:dyDescent="0.25">
      <c r="A21435" t="str">
        <f>HYPERLINK("https://www.773grp.com/globalSearch/AM306238R1DBGEVB/page-1", "AM306238R1DBGEVB")</f>
        <v>AM306238R1DBGEVB</v>
      </c>
      <c r="B21435" s="3" t="str">
        <f>HYPERLINK("https://www.773grp.com/manufacturer/nxp-semiconductor?pageNo=27", "NXP Semiconductors")</f>
        <v>NXP Semiconductors</v>
      </c>
      <c r="C21435" s="6">
        <v>4</v>
      </c>
      <c r="D21435" s="7">
        <v>0</v>
      </c>
    </row>
    <row r="21436" spans="1:5" x14ac:dyDescent="0.25">
      <c r="A21436" t="str">
        <f>HYPERLINK("https://www.773grp.com/globalSearch/AM306245R2MMGEVB/page-1", "AM306245R2MMGEVB")</f>
        <v>AM306245R2MMGEVB</v>
      </c>
      <c r="B21436" s="3" t="str">
        <f>HYPERLINK("https://www.773grp.com/manufacturer/nxp-semiconductor?pageNo=28", "NXP Semiconductors")</f>
        <v>NXP Semiconductors</v>
      </c>
      <c r="C21436" s="6">
        <v>1</v>
      </c>
      <c r="D21436" s="7">
        <v>0</v>
      </c>
    </row>
    <row r="21437" spans="1:5" x14ac:dyDescent="0.25">
      <c r="A21437" t="str">
        <f>HYPERLINK("https://www.773grp.com/globalSearch/AMIS42675ICAAIG/page-1", "AMIS42675ICAAIG")</f>
        <v>AMIS42675ICAAIG</v>
      </c>
      <c r="B21437" s="3" t="str">
        <f>HYPERLINK("https://www.773grp.com/manufacturer/nxp-semiconductor?pageNo=29", "NXP Semiconductors")</f>
        <v>NXP Semiconductors</v>
      </c>
      <c r="C21437" s="6">
        <v>157</v>
      </c>
      <c r="D21437" s="7">
        <v>0</v>
      </c>
    </row>
    <row r="21438" spans="1:5" x14ac:dyDescent="0.25">
      <c r="A21438" t="str">
        <f>HYPERLINK("https://www.773grp.com/globalSearch/AMIS49587GEVK/page-1", "AMIS49587GEVK")</f>
        <v>AMIS49587GEVK</v>
      </c>
      <c r="B21438" s="3" t="str">
        <f>HYPERLINK("https://www.773grp.com/manufacturer/nxp-semiconductor?pageNo=30", "NXP Semiconductors")</f>
        <v>NXP Semiconductors</v>
      </c>
      <c r="C21438" s="6">
        <v>1</v>
      </c>
      <c r="D21438" s="7">
        <v>0</v>
      </c>
    </row>
    <row r="21439" spans="1:5" x14ac:dyDescent="0.25">
      <c r="A21439" t="str">
        <f>HYPERLINK("https://www.773grp.com/globalSearch/ASM1232LPS-2F-T/page-1", "ASM1232LPS-2F-T")</f>
        <v>ASM1232LPS-2F-T</v>
      </c>
      <c r="B21439" s="3" t="str">
        <f>HYPERLINK("https://www.773grp.com/manufacturer/nxp-semiconductor?pageNo=31", "NXP Semiconductors")</f>
        <v>NXP Semiconductors</v>
      </c>
      <c r="C21439" s="6">
        <v>2500</v>
      </c>
      <c r="D21439" s="7">
        <v>0</v>
      </c>
      <c r="E21439" t="s">
        <v>30</v>
      </c>
    </row>
    <row r="21440" spans="1:5" x14ac:dyDescent="0.25">
      <c r="A21440" t="str">
        <f>HYPERLINK("https://www.773grp.com/globalSearch/ASM1816R-20F-T/page-1", "ASM1816R-20F-T")</f>
        <v>ASM1816R-20F-T</v>
      </c>
      <c r="B21440" s="3" t="str">
        <f>HYPERLINK("https://www.773grp.com/manufacturer/nxp-semiconductor?pageNo=32", "NXP Semiconductors")</f>
        <v>NXP Semiconductors</v>
      </c>
      <c r="C21440" s="6">
        <v>30000</v>
      </c>
      <c r="D21440" s="7">
        <v>0</v>
      </c>
    </row>
    <row r="21441" spans="1:5" x14ac:dyDescent="0.25">
      <c r="A21441" t="str">
        <f>HYPERLINK("https://www.773grp.com/globalSearch/ASM219940LG-32LT/page-1", "ASM219940LG-32LT")</f>
        <v>ASM219940LG-32LT</v>
      </c>
      <c r="B21441" s="3" t="str">
        <f>HYPERLINK("https://www.773grp.com/manufacturer/nxp-semiconductor?pageNo=33", "NXP Semiconductors")</f>
        <v>NXP Semiconductors</v>
      </c>
      <c r="C21441" s="6">
        <v>250</v>
      </c>
      <c r="D21441" s="7">
        <v>0</v>
      </c>
    </row>
    <row r="21442" spans="1:5" x14ac:dyDescent="0.25">
      <c r="A21442" t="str">
        <f>HYPERLINK("https://www.773grp.com/globalSearch/ASM706TESAF-T/page-1", "ASM706TESAF-T")</f>
        <v>ASM706TESAF-T</v>
      </c>
      <c r="B21442" s="3" t="str">
        <f>HYPERLINK("https://www.773grp.com/manufacturer/nxp-semiconductor?pageNo=34", "NXP Semiconductors")</f>
        <v>NXP Semiconductors</v>
      </c>
      <c r="C21442" s="6">
        <v>15000</v>
      </c>
      <c r="D21442" s="7">
        <v>0</v>
      </c>
      <c r="E21442" t="s">
        <v>30</v>
      </c>
    </row>
    <row r="21443" spans="1:5" x14ac:dyDescent="0.25">
      <c r="A21443" t="str">
        <f>HYPERLINK("https://www.773grp.com/globalSearch/ASM708TESAF-T/page-1", "ASM708TESAF-T")</f>
        <v>ASM708TESAF-T</v>
      </c>
      <c r="B21443" s="3" t="str">
        <f>HYPERLINK("https://www.773grp.com/manufacturer/nxp-semiconductor?pageNo=35", "NXP Semiconductors")</f>
        <v>NXP Semiconductors</v>
      </c>
      <c r="C21443" s="6">
        <v>5000</v>
      </c>
      <c r="D21443" s="7">
        <v>0</v>
      </c>
      <c r="E21443" t="s">
        <v>30</v>
      </c>
    </row>
    <row r="21444" spans="1:5" x14ac:dyDescent="0.25">
      <c r="A21444" t="str">
        <f>HYPERLINK("https://www.773grp.com/globalSearch/ASP0800JCPZ-RL/page-1", "ASP0800JCPZ-RL")</f>
        <v>ASP0800JCPZ-RL</v>
      </c>
      <c r="B21444" s="3" t="str">
        <f>HYPERLINK("https://www.773grp.com/manufacturer/nxp-semiconductor?pageNo=36", "NXP Semiconductors")</f>
        <v>NXP Semiconductors</v>
      </c>
      <c r="C21444" s="6">
        <v>2850</v>
      </c>
      <c r="D21444" s="7">
        <v>0</v>
      </c>
    </row>
    <row r="21445" spans="1:5" x14ac:dyDescent="0.25">
      <c r="A21445" t="str">
        <f>HYPERLINK("https://www.773grp.com/globalSearch/BAS16HT1H/page-1", "BAS16HT1H")</f>
        <v>BAS16HT1H</v>
      </c>
      <c r="B21445" s="3" t="str">
        <f>HYPERLINK("https://www.773grp.com/manufacturer/nxp-semiconductor?pageNo=37", "NXP Semiconductors")</f>
        <v>NXP Semiconductors</v>
      </c>
      <c r="C21445" s="6">
        <v>303000</v>
      </c>
      <c r="D21445" s="7">
        <v>0</v>
      </c>
    </row>
    <row r="21446" spans="1:5" x14ac:dyDescent="0.25">
      <c r="A21446" t="str">
        <f>HYPERLINK("https://www.773grp.com/globalSearch/BAT54T1  REEL/page-1", "BAT54T1  REEL")</f>
        <v>BAT54T1  REEL</v>
      </c>
      <c r="B21446" s="3" t="str">
        <f>HYPERLINK("https://www.773grp.com/manufacturer/nxp-semiconductor?pageNo=38", "NXP Semiconductors")</f>
        <v>NXP Semiconductors</v>
      </c>
      <c r="C21446" s="6">
        <v>2750</v>
      </c>
      <c r="D21446" s="7">
        <v>0</v>
      </c>
    </row>
    <row r="21447" spans="1:5" x14ac:dyDescent="0.25">
      <c r="A21447" t="str">
        <f>HYPERLINK("https://www.773grp.com/globalSearch/BC807-25LT1H/page-1", "BC807-25LT1H")</f>
        <v>BC807-25LT1H</v>
      </c>
      <c r="B21447" s="3" t="str">
        <f>HYPERLINK("https://www.773grp.com/manufacturer/nxp-semiconductor?pageNo=39", "NXP Semiconductors")</f>
        <v>NXP Semiconductors</v>
      </c>
      <c r="C21447" s="6">
        <v>3000</v>
      </c>
      <c r="D21447" s="7">
        <v>0</v>
      </c>
    </row>
    <row r="21448" spans="1:5" x14ac:dyDescent="0.25">
      <c r="A21448" t="str">
        <f>HYPERLINK("https://www.773grp.com/globalSearch/BC817-25LT1H/page-1", "BC817-25LT1H")</f>
        <v>BC817-25LT1H</v>
      </c>
      <c r="B21448" s="3" t="str">
        <f>HYPERLINK("https://www.773grp.com/manufacturer/nxp-semiconductor?pageNo=40", "NXP Semiconductors")</f>
        <v>NXP Semiconductors</v>
      </c>
      <c r="C21448" s="6">
        <v>3000</v>
      </c>
      <c r="D21448" s="7">
        <v>0</v>
      </c>
    </row>
    <row r="21449" spans="1:5" x14ac:dyDescent="0.25">
      <c r="A21449" t="str">
        <f>HYPERLINK("https://www.773grp.com/globalSearch/BC817-40LTIG/page-1", "BC817-40LTIG")</f>
        <v>BC817-40LTIG</v>
      </c>
      <c r="B21449" s="3" t="str">
        <f>HYPERLINK("https://www.773grp.com/manufacturer/nxp-semiconductor?pageNo=41", "NXP Semiconductors")</f>
        <v>NXP Semiconductors</v>
      </c>
      <c r="C21449" s="6">
        <v>24000</v>
      </c>
      <c r="D21449" s="7">
        <v>0</v>
      </c>
    </row>
    <row r="21450" spans="1:5" x14ac:dyDescent="0.25">
      <c r="A21450" t="str">
        <f>HYPERLINK("https://www.773grp.com/globalSearch/BC846BM3T5H/page-1", "BC846BM3T5H")</f>
        <v>BC846BM3T5H</v>
      </c>
      <c r="B21450" s="3" t="str">
        <f>HYPERLINK("https://www.773grp.com/manufacturer/nxp-semiconductor?pageNo=42", "NXP Semiconductors")</f>
        <v>NXP Semiconductors</v>
      </c>
      <c r="C21450" s="6">
        <v>528000</v>
      </c>
      <c r="D21450" s="7">
        <v>0</v>
      </c>
    </row>
    <row r="21451" spans="1:5" x14ac:dyDescent="0.25">
      <c r="A21451" t="str">
        <f>HYPERLINK("https://www.773grp.com/globalSearch/BC847BT11G/page-1", "BC847BT11G")</f>
        <v>BC847BT11G</v>
      </c>
      <c r="B21451" s="3" t="str">
        <f>HYPERLINK("https://www.773grp.com/manufacturer/nxp-semiconductor?pageNo=43", "NXP Semiconductors")</f>
        <v>NXP Semiconductors</v>
      </c>
      <c r="C21451" s="6">
        <v>937</v>
      </c>
      <c r="D21451" s="7">
        <v>0</v>
      </c>
    </row>
    <row r="21452" spans="1:5" x14ac:dyDescent="0.25">
      <c r="A21452" t="str">
        <f>HYPERLINK("https://www.773grp.com/globalSearch/BC847CDW1T1H/page-1", "BC847CDW1T1H")</f>
        <v>BC847CDW1T1H</v>
      </c>
      <c r="B21452" s="3" t="str">
        <f>HYPERLINK("https://www.773grp.com/manufacturer/nxp-semiconductor?pageNo=44", "NXP Semiconductors")</f>
        <v>NXP Semiconductors</v>
      </c>
      <c r="C21452" s="6">
        <v>204000</v>
      </c>
      <c r="D21452" s="7">
        <v>0</v>
      </c>
    </row>
    <row r="21453" spans="1:5" x14ac:dyDescent="0.25">
      <c r="A21453" t="str">
        <f>HYPERLINK("https://www.773grp.com/globalSearch/BC856AM3T5G/page-1", "BC856AM3T5G")</f>
        <v>BC856AM3T5G</v>
      </c>
      <c r="B21453" s="3" t="str">
        <f>HYPERLINK("https://www.773grp.com/manufacturer/nxp-semiconductor?pageNo=45", "NXP Semiconductors")</f>
        <v>NXP Semiconductors</v>
      </c>
      <c r="C21453" s="6">
        <v>152000</v>
      </c>
      <c r="D21453" s="7">
        <v>0</v>
      </c>
    </row>
    <row r="21454" spans="1:5" x14ac:dyDescent="0.25">
      <c r="A21454" t="str">
        <f>HYPERLINK("https://www.773grp.com/globalSearch/BM6S2BFEL/page-1", "BM6S2BFEL")</f>
        <v>BM6S2BFEL</v>
      </c>
      <c r="B21454" s="3" t="str">
        <f>HYPERLINK("https://www.773grp.com/manufacturer/nxp-semiconductor?pageNo=46", "NXP Semiconductors")</f>
        <v>NXP Semiconductors</v>
      </c>
      <c r="C21454" s="6">
        <v>15000</v>
      </c>
      <c r="D21454" s="7">
        <v>0</v>
      </c>
    </row>
    <row r="21455" spans="1:5" x14ac:dyDescent="0.25">
      <c r="A21455" t="str">
        <f>HYPERLINK("https://www.773grp.com/globalSearch/BR261W26A101E1G/page-1", "BR261W26A101E1G")</f>
        <v>BR261W26A101E1G</v>
      </c>
      <c r="B21455" s="3" t="str">
        <f>HYPERLINK("https://www.773grp.com/manufacturer/nxp-semiconductor?pageNo=47", "NXP Semiconductors")</f>
        <v>NXP Semiconductors</v>
      </c>
      <c r="C21455" s="6">
        <v>2500</v>
      </c>
      <c r="D21455" s="7">
        <v>0</v>
      </c>
    </row>
    <row r="21456" spans="1:5" x14ac:dyDescent="0.25">
      <c r="A21456" t="str">
        <f>HYPERLINK("https://www.773grp.com/globalSearch/BSS123LT1  REEL/page-1", "BSS123LT1  REEL")</f>
        <v>BSS123LT1  REEL</v>
      </c>
      <c r="B21456" s="3" t="str">
        <f>HYPERLINK("https://www.773grp.com/manufacturer/nxp-semiconductor?pageNo=48", "NXP Semiconductors")</f>
        <v>NXP Semiconductors</v>
      </c>
      <c r="C21456" s="6">
        <v>2975</v>
      </c>
      <c r="D21456" s="7">
        <v>0</v>
      </c>
    </row>
    <row r="21457" spans="1:5" x14ac:dyDescent="0.25">
      <c r="A21457" t="str">
        <f>HYPERLINK("https://www.773grp.com/globalSearch/BZX84C27LT3/page-1", "BZX84C27LT3")</f>
        <v>BZX84C27LT3</v>
      </c>
      <c r="B21457" s="3" t="str">
        <f>HYPERLINK("https://www.773grp.com/manufacturer/nxp-semiconductor?pageNo=1", "NXP Semiconductors")</f>
        <v>NXP Semiconductors</v>
      </c>
      <c r="C21457" s="6">
        <v>50000</v>
      </c>
      <c r="D21457" s="7">
        <v>0</v>
      </c>
      <c r="E21457" t="s">
        <v>98</v>
      </c>
    </row>
    <row r="21458" spans="1:5" x14ac:dyDescent="0.25">
      <c r="A21458" t="str">
        <f>HYPERLINK("https://www.773grp.com/globalSearch/BZX84C3VOLT1G/page-1", "BZX84C3VOLT1G")</f>
        <v>BZX84C3VOLT1G</v>
      </c>
      <c r="B21458" s="3" t="str">
        <f>HYPERLINK("https://www.773grp.com/manufacturer/nxp-semiconductor?pageNo=2", "NXP Semiconductors")</f>
        <v>NXP Semiconductors</v>
      </c>
      <c r="C21458" s="6">
        <v>3000</v>
      </c>
      <c r="D21458" s="7">
        <v>0</v>
      </c>
    </row>
    <row r="21459" spans="1:5" x14ac:dyDescent="0.25">
      <c r="A21459" t="str">
        <f>HYPERLINK("https://www.773grp.com/globalSearch/BZX84C47LT3/page-1", "BZX84C47LT3")</f>
        <v>BZX84C47LT3</v>
      </c>
      <c r="B21459" s="3" t="str">
        <f>HYPERLINK("https://www.773grp.com/manufacturer/nxp-semiconductor?pageNo=3", "NXP Semiconductors")</f>
        <v>NXP Semiconductors</v>
      </c>
      <c r="C21459" s="6">
        <v>30000</v>
      </c>
      <c r="D21459" s="7">
        <v>0</v>
      </c>
      <c r="E21459" t="s">
        <v>98</v>
      </c>
    </row>
    <row r="21460" spans="1:5" x14ac:dyDescent="0.25">
      <c r="A21460" t="str">
        <f>HYPERLINK("https://www.773grp.com/globalSearch/BZX84C4V3LTIG/page-1", "BZX84C4V3LTIG")</f>
        <v>BZX84C4V3LTIG</v>
      </c>
      <c r="B21460" s="3" t="str">
        <f>HYPERLINK("https://www.773grp.com/manufacturer/nxp-semiconductor?pageNo=4", "NXP Semiconductors")</f>
        <v>NXP Semiconductors</v>
      </c>
      <c r="C21460" s="6">
        <v>6000</v>
      </c>
      <c r="D21460" s="7">
        <v>0</v>
      </c>
    </row>
    <row r="21461" spans="1:5" x14ac:dyDescent="0.25">
      <c r="A21461" t="str">
        <f>HYPERLINK("https://www.773grp.com/globalSearch/BZX84C6V8LT/page-1", "BZX84C6V8LT")</f>
        <v>BZX84C6V8LT</v>
      </c>
      <c r="B21461" s="3" t="str">
        <f>HYPERLINK("https://www.773grp.com/manufacturer/nxp-semiconductor?pageNo=5", "NXP Semiconductors")</f>
        <v>NXP Semiconductors</v>
      </c>
      <c r="C21461" s="6">
        <v>27000</v>
      </c>
      <c r="D21461" s="7">
        <v>0</v>
      </c>
    </row>
    <row r="21462" spans="1:5" x14ac:dyDescent="0.25">
      <c r="A21462" t="str">
        <f>HYPERLINK("https://www.773grp.com/globalSearch/C2S841BEDR14G/page-1", "C2S841BEDR14G")</f>
        <v>C2S841BEDR14G</v>
      </c>
      <c r="B21462" s="3" t="str">
        <f>HYPERLINK("https://www.773grp.com/manufacturer/nxp-semiconductor?pageNo=6", "NXP Semiconductors")</f>
        <v>NXP Semiconductors</v>
      </c>
      <c r="C21462" s="6">
        <v>2465</v>
      </c>
      <c r="D21462" s="7">
        <v>0</v>
      </c>
    </row>
    <row r="21463" spans="1:5" x14ac:dyDescent="0.25">
      <c r="A21463" t="str">
        <f>HYPERLINK("https://www.773grp.com/globalSearch/C65895PK161A/page-1", "C65895PK161A")</f>
        <v>C65895PK161A</v>
      </c>
      <c r="B21463" s="3" t="str">
        <f>HYPERLINK("https://www.773grp.com/manufacturer/nxp-semiconductor?pageNo=7", "NXP Semiconductors")</f>
        <v>NXP Semiconductors</v>
      </c>
      <c r="C21463" s="6">
        <v>2250</v>
      </c>
      <c r="D21463" s="7">
        <v>0</v>
      </c>
    </row>
    <row r="21464" spans="1:5" x14ac:dyDescent="0.25">
      <c r="A21464" t="str">
        <f>HYPERLINK("https://www.773grp.com/globalSearch/CAJ24C32WI-GT3/page-1", "CAJ24C32WI-GT3")</f>
        <v>CAJ24C32WI-GT3</v>
      </c>
      <c r="B21464" s="3" t="str">
        <f>HYPERLINK("https://www.773grp.com/manufacturer/nxp-semiconductor?pageNo=8", "NXP Semiconductors")</f>
        <v>NXP Semiconductors</v>
      </c>
      <c r="C21464" s="6">
        <v>12000</v>
      </c>
      <c r="D21464" s="7">
        <v>0</v>
      </c>
    </row>
    <row r="21465" spans="1:5" x14ac:dyDescent="0.25">
      <c r="A21465" t="str">
        <f>HYPERLINK("https://www.773grp.com/globalSearch/CAJ25160LI-G/page-1", "CAJ25160LI-G")</f>
        <v>CAJ25160LI-G</v>
      </c>
      <c r="B21465" s="3" t="str">
        <f>HYPERLINK("https://www.773grp.com/manufacturer/nxp-semiconductor?pageNo=9", "NXP Semiconductors")</f>
        <v>NXP Semiconductors</v>
      </c>
      <c r="C21465" s="6">
        <v>3150</v>
      </c>
      <c r="D21465" s="7">
        <v>0</v>
      </c>
    </row>
    <row r="21466" spans="1:5" x14ac:dyDescent="0.25">
      <c r="A21466" t="str">
        <f>HYPERLINK("https://www.773grp.com/globalSearch/CAS24C64WI-GT-CQ/page-1", "CAS24C64WI-GT-CQ")</f>
        <v>CAS24C64WI-GT-CQ</v>
      </c>
      <c r="B21466" s="3" t="str">
        <f>HYPERLINK("https://www.773grp.com/manufacturer/nxp-semiconductor?pageNo=10", "NXP Semiconductors")</f>
        <v>NXP Semiconductors</v>
      </c>
      <c r="C21466" s="6">
        <v>3000</v>
      </c>
      <c r="D21466" s="7">
        <v>0</v>
      </c>
    </row>
    <row r="21467" spans="1:5" x14ac:dyDescent="0.25">
      <c r="A21467" t="str">
        <f>HYPERLINK("https://www.773grp.com/globalSearch/CAT1161W28/page-1", "CAT1161W28")</f>
        <v>CAT1161W28</v>
      </c>
      <c r="B21467" s="3" t="str">
        <f>HYPERLINK("https://www.773grp.com/manufacturer/nxp-semiconductor?pageNo=11", "NXP Semiconductors")</f>
        <v>NXP Semiconductors</v>
      </c>
      <c r="C21467" s="6">
        <v>1400</v>
      </c>
      <c r="D21467" s="7">
        <v>0</v>
      </c>
      <c r="E21467" t="s">
        <v>30</v>
      </c>
    </row>
    <row r="21468" spans="1:5" x14ac:dyDescent="0.25">
      <c r="A21468" t="str">
        <f>HYPERLINK("https://www.773grp.com/globalSearch/CAT24C01TDI-GT3/page-1", "CAT24C01TDI-GT3")</f>
        <v>CAT24C01TDI-GT3</v>
      </c>
      <c r="B21468" s="3" t="str">
        <f>HYPERLINK("https://www.773grp.com/manufacturer/nxp-semiconductor?pageNo=12", "NXP Semiconductors")</f>
        <v>NXP Semiconductors</v>
      </c>
      <c r="C21468" s="6">
        <v>9000</v>
      </c>
      <c r="D21468" s="7">
        <v>0</v>
      </c>
      <c r="E21468" t="s">
        <v>64</v>
      </c>
    </row>
    <row r="21469" spans="1:5" x14ac:dyDescent="0.25">
      <c r="A21469" t="str">
        <f>HYPERLINK("https://www.773grp.com/globalSearch/CAT24C04WE-G/page-1", "CAT24C04WE-G")</f>
        <v>CAT24C04WE-G</v>
      </c>
      <c r="B21469" s="3" t="str">
        <f>HYPERLINK("https://www.773grp.com/manufacturer/nxp-semiconductor?pageNo=13", "NXP Semiconductors")</f>
        <v>NXP Semiconductors</v>
      </c>
      <c r="C21469" s="6">
        <v>1900</v>
      </c>
      <c r="D21469" s="7">
        <v>0</v>
      </c>
    </row>
    <row r="21470" spans="1:5" x14ac:dyDescent="0.25">
      <c r="A21470" t="str">
        <f>HYPERLINK("https://www.773grp.com/globalSearch/CAT24C04WE-GT3/page-1", "CAT24C04WE-GT3")</f>
        <v>CAT24C04WE-GT3</v>
      </c>
      <c r="B21470" s="3" t="str">
        <f>HYPERLINK("https://www.773grp.com/manufacturer/nxp-semiconductor?pageNo=14", "NXP Semiconductors")</f>
        <v>NXP Semiconductors</v>
      </c>
      <c r="C21470" s="6">
        <v>27000</v>
      </c>
      <c r="D21470" s="7">
        <v>0</v>
      </c>
      <c r="E21470" t="s">
        <v>64</v>
      </c>
    </row>
    <row r="21471" spans="1:5" x14ac:dyDescent="0.25">
      <c r="A21471" t="str">
        <f>HYPERLINK("https://www.773grp.com/globalSearch/CAT24C08WE-G/page-1", "CAT24C08WE-G")</f>
        <v>CAT24C08WE-G</v>
      </c>
      <c r="B21471" s="3" t="str">
        <f>HYPERLINK("https://www.773grp.com/manufacturer/nxp-semiconductor?pageNo=15", "NXP Semiconductors")</f>
        <v>NXP Semiconductors</v>
      </c>
      <c r="C21471" s="6">
        <v>900</v>
      </c>
      <c r="D21471" s="7">
        <v>0</v>
      </c>
    </row>
    <row r="21472" spans="1:5" x14ac:dyDescent="0.25">
      <c r="A21472" t="str">
        <f>HYPERLINK("https://www.773grp.com/globalSearch/CAT24C08WE-GT3/page-1", "CAT24C08WE-GT3")</f>
        <v>CAT24C08WE-GT3</v>
      </c>
      <c r="B21472" s="3" t="str">
        <f>HYPERLINK("https://www.773grp.com/manufacturer/nxp-semiconductor?pageNo=16", "NXP Semiconductors")</f>
        <v>NXP Semiconductors</v>
      </c>
      <c r="C21472" s="6">
        <v>9000</v>
      </c>
      <c r="D21472" s="7">
        <v>0</v>
      </c>
      <c r="E21472" t="s">
        <v>64</v>
      </c>
    </row>
    <row r="21473" spans="1:5" x14ac:dyDescent="0.25">
      <c r="A21473" t="str">
        <f>HYPERLINK("https://www.773grp.com/globalSearch/CAT24C128WIGT-QQ/page-1", "CAT24C128WIGT-QQ")</f>
        <v>CAT24C128WIGT-QQ</v>
      </c>
      <c r="B21473" s="3" t="str">
        <f>HYPERLINK("https://www.773grp.com/manufacturer/nxp-semiconductor?pageNo=17", "NXP Semiconductors")</f>
        <v>NXP Semiconductors</v>
      </c>
      <c r="C21473" s="6">
        <v>6000</v>
      </c>
      <c r="D21473" s="7">
        <v>0</v>
      </c>
    </row>
    <row r="21474" spans="1:5" x14ac:dyDescent="0.25">
      <c r="A21474" t="str">
        <f>HYPERLINK("https://www.773grp.com/globalSearch/CAT24C16YE-G/page-1", "CAT24C16YE-G")</f>
        <v>CAT24C16YE-G</v>
      </c>
      <c r="B21474" s="3" t="str">
        <f>HYPERLINK("https://www.773grp.com/manufacturer/nxp-semiconductor?pageNo=18", "NXP Semiconductors")</f>
        <v>NXP Semiconductors</v>
      </c>
      <c r="C21474" s="6">
        <v>2900</v>
      </c>
      <c r="D21474" s="7">
        <v>0</v>
      </c>
    </row>
    <row r="21475" spans="1:5" x14ac:dyDescent="0.25">
      <c r="A21475" t="str">
        <f>HYPERLINK("https://www.773grp.com/globalSearch/CAT24C256XE/page-1", "CAT24C256XE")</f>
        <v>CAT24C256XE</v>
      </c>
      <c r="B21475" s="3" t="str">
        <f>HYPERLINK("https://www.773grp.com/manufacturer/nxp-semiconductor?pageNo=19", "NXP Semiconductors")</f>
        <v>NXP Semiconductors</v>
      </c>
      <c r="C21475" s="6">
        <v>11280</v>
      </c>
      <c r="D21475" s="7">
        <v>0</v>
      </c>
    </row>
    <row r="21476" spans="1:5" x14ac:dyDescent="0.25">
      <c r="A21476" t="str">
        <f>HYPERLINK("https://www.773grp.com/globalSearch/CAT24C256XE-T2/page-1", "CAT24C256XE-T2")</f>
        <v>CAT24C256XE-T2</v>
      </c>
      <c r="B21476" s="3" t="str">
        <f>HYPERLINK("https://www.773grp.com/manufacturer/nxp-semiconductor?pageNo=20", "NXP Semiconductors")</f>
        <v>NXP Semiconductors</v>
      </c>
      <c r="C21476" s="6">
        <v>16000</v>
      </c>
      <c r="D21476" s="7">
        <v>0</v>
      </c>
      <c r="E21476" t="s">
        <v>64</v>
      </c>
    </row>
    <row r="21477" spans="1:5" x14ac:dyDescent="0.25">
      <c r="A21477" t="str">
        <f>HYPERLINK("https://www.773grp.com/globalSearch/CAT24C32WE-G/page-1", "CAT24C32WE-G")</f>
        <v>CAT24C32WE-G</v>
      </c>
      <c r="B21477" s="3" t="str">
        <f>HYPERLINK("https://www.773grp.com/manufacturer/nxp-semiconductor?pageNo=21", "NXP Semiconductors")</f>
        <v>NXP Semiconductors</v>
      </c>
      <c r="C21477" s="6">
        <v>2200</v>
      </c>
      <c r="D21477" s="7">
        <v>0</v>
      </c>
    </row>
    <row r="21478" spans="1:5" x14ac:dyDescent="0.25">
      <c r="A21478" t="str">
        <f>HYPERLINK("https://www.773grp.com/globalSearch/CAT24C64WI/page-1", "CAT24C64WI")</f>
        <v>CAT24C64WI</v>
      </c>
      <c r="B21478" s="3" t="str">
        <f>HYPERLINK("https://www.773grp.com/manufacturer/nxp-semiconductor?pageNo=22", "NXP Semiconductors")</f>
        <v>NXP Semiconductors</v>
      </c>
      <c r="C21478" s="6">
        <v>500</v>
      </c>
      <c r="D21478" s="7">
        <v>0</v>
      </c>
    </row>
    <row r="21479" spans="1:5" x14ac:dyDescent="0.25">
      <c r="A21479" t="str">
        <f>HYPERLINK("https://www.773grp.com/globalSearch/CAT24C64XI-T2/page-1", "CAT24C64XI-T2")</f>
        <v>CAT24C64XI-T2</v>
      </c>
      <c r="B21479" s="3" t="str">
        <f>HYPERLINK("https://www.773grp.com/manufacturer/nxp-semiconductor?pageNo=23", "NXP Semiconductors")</f>
        <v>NXP Semiconductors</v>
      </c>
      <c r="C21479" s="6">
        <v>42000</v>
      </c>
      <c r="D21479" s="7">
        <v>0</v>
      </c>
      <c r="E21479" t="s">
        <v>64</v>
      </c>
    </row>
    <row r="21480" spans="1:5" x14ac:dyDescent="0.25">
      <c r="A21480" t="str">
        <f>HYPERLINK("https://www.773grp.com/globalSearch/CAT25020ZI-G/page-1", "CAT25020ZI-G")</f>
        <v>CAT25020ZI-G</v>
      </c>
      <c r="B21480" s="3" t="str">
        <f>HYPERLINK("https://www.773grp.com/manufacturer/nxp-semiconductor?pageNo=24", "NXP Semiconductors")</f>
        <v>NXP Semiconductors</v>
      </c>
      <c r="C21480" s="6">
        <v>3494</v>
      </c>
      <c r="D21480" s="7">
        <v>0</v>
      </c>
    </row>
    <row r="21481" spans="1:5" x14ac:dyDescent="0.25">
      <c r="A21481" t="str">
        <f>HYPERLINK("https://www.773grp.com/globalSearch/CAT25040P/page-1", "CAT25040P")</f>
        <v>CAT25040P</v>
      </c>
      <c r="B21481" s="3" t="str">
        <f>HYPERLINK("https://www.773grp.com/manufacturer/nxp-semiconductor?pageNo=25", "NXP Semiconductors")</f>
        <v>NXP Semiconductors</v>
      </c>
      <c r="C21481" s="6">
        <v>6200</v>
      </c>
      <c r="D21481" s="7">
        <v>0</v>
      </c>
      <c r="E21481" t="s">
        <v>64</v>
      </c>
    </row>
    <row r="21482" spans="1:5" x14ac:dyDescent="0.25">
      <c r="A21482" t="str">
        <f>HYPERLINK("https://www.773grp.com/globalSearch/CAT25040VE-GT3/page-1", "CAT25040VE-GT3")</f>
        <v>CAT25040VE-GT3</v>
      </c>
      <c r="B21482" s="3" t="str">
        <f>HYPERLINK("https://www.773grp.com/manufacturer/nxp-semiconductor?pageNo=26", "NXP Semiconductors")</f>
        <v>NXP Semiconductors</v>
      </c>
      <c r="C21482" s="6">
        <v>6000</v>
      </c>
      <c r="D21482" s="7">
        <v>0</v>
      </c>
      <c r="E21482" t="s">
        <v>64</v>
      </c>
    </row>
    <row r="21483" spans="1:5" x14ac:dyDescent="0.25">
      <c r="A21483" t="str">
        <f>HYPERLINK("https://www.773grp.com/globalSearch/CAT25080HU2E-GT3/page-1", "CAT25080HU2E-GT3")</f>
        <v>CAT25080HU2E-GT3</v>
      </c>
      <c r="B21483" s="3" t="str">
        <f>HYPERLINK("https://www.773grp.com/manufacturer/nxp-semiconductor?pageNo=27", "NXP Semiconductors")</f>
        <v>NXP Semiconductors</v>
      </c>
      <c r="C21483" s="6">
        <v>579</v>
      </c>
      <c r="D21483" s="7">
        <v>0</v>
      </c>
    </row>
    <row r="21484" spans="1:5" x14ac:dyDescent="0.25">
      <c r="A21484" t="str">
        <f>HYPERLINK("https://www.773grp.com/globalSearch/CAT25080YE-G/page-1", "CAT25080YE-G")</f>
        <v>CAT25080YE-G</v>
      </c>
      <c r="B21484" s="3" t="str">
        <f>HYPERLINK("https://www.773grp.com/manufacturer/nxp-semiconductor?pageNo=28", "NXP Semiconductors")</f>
        <v>NXP Semiconductors</v>
      </c>
      <c r="C21484" s="6">
        <v>592</v>
      </c>
      <c r="D21484" s="7">
        <v>0</v>
      </c>
    </row>
    <row r="21485" spans="1:5" x14ac:dyDescent="0.25">
      <c r="A21485" t="str">
        <f>HYPERLINK("https://www.773grp.com/globalSearch/CAT25128VE-GD/page-1", "CAT25128VE-GD")</f>
        <v>CAT25128VE-GD</v>
      </c>
      <c r="B21485" s="3" t="str">
        <f>HYPERLINK("https://www.773grp.com/manufacturer/nxp-semiconductor?pageNo=29", "NXP Semiconductors")</f>
        <v>NXP Semiconductors</v>
      </c>
      <c r="C21485" s="6">
        <v>1100</v>
      </c>
      <c r="D21485" s="7">
        <v>0</v>
      </c>
    </row>
    <row r="21486" spans="1:5" x14ac:dyDescent="0.25">
      <c r="A21486" t="str">
        <f>HYPERLINK("https://www.773grp.com/globalSearch/CAT25128VE-GT3/page-1", "CAT25128VE-GT3")</f>
        <v>CAT25128VE-GT3</v>
      </c>
      <c r="B21486" s="3" t="str">
        <f>HYPERLINK("https://www.773grp.com/manufacturer/nxp-semiconductor?pageNo=30", "NXP Semiconductors")</f>
        <v>NXP Semiconductors</v>
      </c>
      <c r="C21486" s="6">
        <v>11000</v>
      </c>
      <c r="D21486" s="7">
        <v>0</v>
      </c>
      <c r="E21486" t="s">
        <v>64</v>
      </c>
    </row>
    <row r="21487" spans="1:5" x14ac:dyDescent="0.25">
      <c r="A21487" t="str">
        <f>HYPERLINK("https://www.773grp.com/globalSearch/CAT25128YE-GT3/page-1", "CAT25128YE-GT3")</f>
        <v>CAT25128YE-GT3</v>
      </c>
      <c r="B21487" s="3" t="str">
        <f>HYPERLINK("https://www.773grp.com/manufacturer/nxp-semiconductor?pageNo=31", "NXP Semiconductors")</f>
        <v>NXP Semiconductors</v>
      </c>
      <c r="C21487" s="6">
        <v>2400</v>
      </c>
      <c r="D21487" s="7">
        <v>0</v>
      </c>
      <c r="E21487" t="s">
        <v>64</v>
      </c>
    </row>
    <row r="21488" spans="1:5" x14ac:dyDescent="0.25">
      <c r="A21488" t="str">
        <f>HYPERLINK("https://www.773grp.com/globalSearch/CAT25160VE-GC/page-1", "CAT25160VE-GC")</f>
        <v>CAT25160VE-GC</v>
      </c>
      <c r="B21488" s="3" t="str">
        <f>HYPERLINK("https://www.773grp.com/manufacturer/nxp-semiconductor?pageNo=32", "NXP Semiconductors")</f>
        <v>NXP Semiconductors</v>
      </c>
      <c r="C21488" s="6">
        <v>1200</v>
      </c>
      <c r="D21488" s="7">
        <v>0</v>
      </c>
    </row>
    <row r="21489" spans="1:5" x14ac:dyDescent="0.25">
      <c r="A21489" t="str">
        <f>HYPERLINK("https://www.773grp.com/globalSearch/CAT25160YE-G/page-1", "CAT25160YE-G")</f>
        <v>CAT25160YE-G</v>
      </c>
      <c r="B21489" s="3" t="str">
        <f>HYPERLINK("https://www.773grp.com/manufacturer/nxp-semiconductor?pageNo=33", "NXP Semiconductors")</f>
        <v>NXP Semiconductors</v>
      </c>
      <c r="C21489" s="6">
        <v>1300</v>
      </c>
      <c r="D21489" s="7">
        <v>0</v>
      </c>
    </row>
    <row r="21490" spans="1:5" x14ac:dyDescent="0.25">
      <c r="A21490" t="str">
        <f>HYPERLINK("https://www.773grp.com/globalSearch/CAT25320HU3IGT3C/page-1", "CAT25320HU3IGT3C")</f>
        <v>CAT25320HU3IGT3C</v>
      </c>
      <c r="B21490" s="3" t="str">
        <f>HYPERLINK("https://www.773grp.com/manufacturer/nxp-semiconductor?pageNo=34", "NXP Semiconductors")</f>
        <v>NXP Semiconductors</v>
      </c>
      <c r="C21490" s="6">
        <v>45000</v>
      </c>
      <c r="D21490" s="7">
        <v>0</v>
      </c>
    </row>
    <row r="21491" spans="1:5" x14ac:dyDescent="0.25">
      <c r="A21491" t="str">
        <f>HYPERLINK("https://www.773grp.com/globalSearch/CAT25640HU3IGT3E/page-1", "CAT25640HU3IGT3E")</f>
        <v>CAT25640HU3IGT3E</v>
      </c>
      <c r="B21491" s="3" t="str">
        <f>HYPERLINK("https://www.773grp.com/manufacturer/nxp-semiconductor?pageNo=35", "NXP Semiconductors")</f>
        <v>NXP Semiconductors</v>
      </c>
      <c r="C21491" s="6">
        <v>66000</v>
      </c>
      <c r="D21491" s="7">
        <v>0</v>
      </c>
    </row>
    <row r="21492" spans="1:5" x14ac:dyDescent="0.25">
      <c r="A21492" t="str">
        <f>HYPERLINK("https://www.773grp.com/globalSearch/CAT25640YE-GE/page-1", "CAT25640YE-GE")</f>
        <v>CAT25640YE-GE</v>
      </c>
      <c r="B21492" s="3" t="str">
        <f>HYPERLINK("https://www.773grp.com/manufacturer/nxp-semiconductor?pageNo=36", "NXP Semiconductors")</f>
        <v>NXP Semiconductors</v>
      </c>
      <c r="C21492" s="6">
        <v>900</v>
      </c>
      <c r="D21492" s="7">
        <v>0</v>
      </c>
    </row>
    <row r="21493" spans="1:5" x14ac:dyDescent="0.25">
      <c r="A21493" t="str">
        <f>HYPERLINK("https://www.773grp.com/globalSearch/CAT28C17AWI20/page-1", "CAT28C17AWI20")</f>
        <v>CAT28C17AWI20</v>
      </c>
      <c r="B21493" s="3" t="str">
        <f>HYPERLINK("https://www.773grp.com/manufacturer/nxp-semiconductor?pageNo=37", "NXP Semiconductors")</f>
        <v>NXP Semiconductors</v>
      </c>
      <c r="C21493" s="6">
        <v>27</v>
      </c>
      <c r="D21493" s="7">
        <v>0</v>
      </c>
      <c r="E21493" t="s">
        <v>64</v>
      </c>
    </row>
    <row r="21494" spans="1:5" x14ac:dyDescent="0.25">
      <c r="A21494" t="str">
        <f>HYPERLINK("https://www.773grp.com/globalSearch/CAT28C17AWI-20T/page-1", "CAT28C17AWI-20T")</f>
        <v>CAT28C17AWI-20T</v>
      </c>
      <c r="B21494" s="3" t="str">
        <f>HYPERLINK("https://www.773grp.com/manufacturer/nxp-semiconductor?pageNo=38", "NXP Semiconductors")</f>
        <v>NXP Semiconductors</v>
      </c>
      <c r="C21494" s="6">
        <v>1000</v>
      </c>
      <c r="D21494" s="7">
        <v>0</v>
      </c>
    </row>
    <row r="21495" spans="1:5" x14ac:dyDescent="0.25">
      <c r="A21495" t="str">
        <f>HYPERLINK("https://www.773grp.com/globalSearch/CAT28C256H13I12/page-1", "CAT28C256H13I12")</f>
        <v>CAT28C256H13I12</v>
      </c>
      <c r="B21495" s="3" t="str">
        <f>HYPERLINK("https://www.773grp.com/manufacturer/nxp-semiconductor?pageNo=39", "NXP Semiconductors")</f>
        <v>NXP Semiconductors</v>
      </c>
      <c r="C21495" s="6">
        <v>17</v>
      </c>
      <c r="D21495" s="7">
        <v>0</v>
      </c>
      <c r="E21495" t="s">
        <v>64</v>
      </c>
    </row>
    <row r="21496" spans="1:5" x14ac:dyDescent="0.25">
      <c r="A21496" t="str">
        <f>HYPERLINK("https://www.773grp.com/globalSearch/CAT28C256H13I15/page-1", "CAT28C256H13I15")</f>
        <v>CAT28C256H13I15</v>
      </c>
      <c r="B21496" s="3" t="str">
        <f>HYPERLINK("https://www.773grp.com/manufacturer/nxp-semiconductor?pageNo=40", "NXP Semiconductors")</f>
        <v>NXP Semiconductors</v>
      </c>
      <c r="C21496" s="6">
        <v>1204</v>
      </c>
      <c r="D21496" s="7">
        <v>0</v>
      </c>
      <c r="E21496" t="s">
        <v>64</v>
      </c>
    </row>
    <row r="21497" spans="1:5" x14ac:dyDescent="0.25">
      <c r="A21497" t="str">
        <f>HYPERLINK("https://www.773grp.com/globalSearch/CAT28C256NI15/page-1", "CAT28C256NI15")</f>
        <v>CAT28C256NI15</v>
      </c>
      <c r="B21497" s="3" t="str">
        <f>HYPERLINK("https://www.773grp.com/manufacturer/nxp-semiconductor?pageNo=41", "NXP Semiconductors")</f>
        <v>NXP Semiconductors</v>
      </c>
      <c r="C21497" s="6">
        <v>632</v>
      </c>
      <c r="D21497" s="7">
        <v>0</v>
      </c>
      <c r="E21497" t="s">
        <v>64</v>
      </c>
    </row>
    <row r="21498" spans="1:5" x14ac:dyDescent="0.25">
      <c r="A21498" t="str">
        <f>HYPERLINK("https://www.773grp.com/globalSearch/CAT28C64BG15/page-1", "CAT28C64BG15")</f>
        <v>CAT28C64BG15</v>
      </c>
      <c r="B21498" s="3" t="str">
        <f>HYPERLINK("https://www.773grp.com/manufacturer/nxp-semiconductor?pageNo=42", "NXP Semiconductors")</f>
        <v>NXP Semiconductors</v>
      </c>
      <c r="C21498" s="6">
        <v>128</v>
      </c>
      <c r="D21498" s="7">
        <v>0</v>
      </c>
    </row>
    <row r="21499" spans="1:5" x14ac:dyDescent="0.25">
      <c r="A21499" t="str">
        <f>HYPERLINK("https://www.773grp.com/globalSearch/CAT28C64BH1312/page-1", "CAT28C64BH1312")</f>
        <v>CAT28C64BH1312</v>
      </c>
      <c r="B21499" s="3" t="str">
        <f>HYPERLINK("https://www.773grp.com/manufacturer/nxp-semiconductor?pageNo=43", "NXP Semiconductors")</f>
        <v>NXP Semiconductors</v>
      </c>
      <c r="C21499" s="6">
        <v>268</v>
      </c>
      <c r="D21499" s="7">
        <v>0</v>
      </c>
      <c r="E21499" t="s">
        <v>64</v>
      </c>
    </row>
    <row r="21500" spans="1:5" x14ac:dyDescent="0.25">
      <c r="A21500" t="str">
        <f>HYPERLINK("https://www.773grp.com/globalSearch/CAT28C64BH1390/page-1", "CAT28C64BH1390")</f>
        <v>CAT28C64BH1390</v>
      </c>
      <c r="B21500" s="3" t="str">
        <f>HYPERLINK("https://www.773grp.com/manufacturer/nxp-semiconductor?pageNo=44", "NXP Semiconductors")</f>
        <v>NXP Semiconductors</v>
      </c>
      <c r="C21500" s="6">
        <v>1082</v>
      </c>
      <c r="D21500" s="7">
        <v>0</v>
      </c>
      <c r="E21500" t="s">
        <v>64</v>
      </c>
    </row>
    <row r="21501" spans="1:5" x14ac:dyDescent="0.25">
      <c r="A21501" t="str">
        <f>HYPERLINK("https://www.773grp.com/globalSearch/CAT28C64BH13I12/page-1", "CAT28C64BH13I12")</f>
        <v>CAT28C64BH13I12</v>
      </c>
      <c r="B21501" s="3" t="str">
        <f>HYPERLINK("https://www.773grp.com/manufacturer/nxp-semiconductor?pageNo=45", "NXP Semiconductors")</f>
        <v>NXP Semiconductors</v>
      </c>
      <c r="C21501" s="6">
        <v>234</v>
      </c>
      <c r="D21501" s="7">
        <v>0</v>
      </c>
      <c r="E21501" t="s">
        <v>64</v>
      </c>
    </row>
    <row r="21502" spans="1:5" x14ac:dyDescent="0.25">
      <c r="A21502" t="str">
        <f>HYPERLINK("https://www.773grp.com/globalSearch/CAT28C64BNI12/page-1", "CAT28C64BNI12")</f>
        <v>CAT28C64BNI12</v>
      </c>
      <c r="B21502" s="3" t="str">
        <f>HYPERLINK("https://www.773grp.com/manufacturer/nxp-semiconductor?pageNo=46", "NXP Semiconductors")</f>
        <v>NXP Semiconductors</v>
      </c>
      <c r="C21502" s="6">
        <v>224</v>
      </c>
      <c r="D21502" s="7">
        <v>0</v>
      </c>
    </row>
    <row r="21503" spans="1:5" x14ac:dyDescent="0.25">
      <c r="A21503" t="str">
        <f>HYPERLINK("https://www.773grp.com/globalSearch/CAT28C65BL12/page-1", "CAT28C65BL12")</f>
        <v>CAT28C65BL12</v>
      </c>
      <c r="B21503" s="3" t="str">
        <f>HYPERLINK("https://www.773grp.com/manufacturer/nxp-semiconductor?pageNo=47", "NXP Semiconductors")</f>
        <v>NXP Semiconductors</v>
      </c>
      <c r="C21503" s="6">
        <v>65</v>
      </c>
      <c r="D21503" s="7">
        <v>0</v>
      </c>
      <c r="E21503" t="s">
        <v>64</v>
      </c>
    </row>
    <row r="21504" spans="1:5" x14ac:dyDescent="0.25">
      <c r="A21504" t="str">
        <f>HYPERLINK("https://www.773grp.com/globalSearch/CAT28C65BX12/page-1", "CAT28C65BX12")</f>
        <v>CAT28C65BX12</v>
      </c>
      <c r="B21504" s="3" t="str">
        <f>HYPERLINK("https://www.773grp.com/manufacturer/nxp-semiconductor?pageNo=48", "NXP Semiconductors")</f>
        <v>NXP Semiconductors</v>
      </c>
      <c r="C21504" s="6">
        <v>270</v>
      </c>
      <c r="D21504" s="7">
        <v>0</v>
      </c>
    </row>
    <row r="21505" spans="1:5" x14ac:dyDescent="0.25">
      <c r="A21505" t="str">
        <f>HYPERLINK("https://www.773grp.com/globalSearch/CAT28F001H-12T/page-1", "CAT28F001H-12T")</f>
        <v>CAT28F001H-12T</v>
      </c>
      <c r="B21505" s="3" t="str">
        <f>HYPERLINK("https://www.773grp.com/manufacturer/nxp-semiconductor?pageNo=1", "NXP Semiconductors")</f>
        <v>NXP Semiconductors</v>
      </c>
      <c r="C21505" s="6">
        <v>659</v>
      </c>
      <c r="D21505" s="7">
        <v>0</v>
      </c>
      <c r="E21505" t="s">
        <v>64</v>
      </c>
    </row>
    <row r="21506" spans="1:5" x14ac:dyDescent="0.25">
      <c r="A21506" t="str">
        <f>HYPERLINK("https://www.773grp.com/globalSearch/CAT28F001N-12T/page-1", "CAT28F001N-12T")</f>
        <v>CAT28F001N-12T</v>
      </c>
      <c r="B21506" s="3" t="str">
        <f>HYPERLINK("https://www.773grp.com/manufacturer/nxp-semiconductor?pageNo=2", "NXP Semiconductors")</f>
        <v>NXP Semiconductors</v>
      </c>
      <c r="C21506" s="6">
        <v>122</v>
      </c>
      <c r="D21506" s="7">
        <v>0</v>
      </c>
      <c r="E21506" t="s">
        <v>64</v>
      </c>
    </row>
    <row r="21507" spans="1:5" x14ac:dyDescent="0.25">
      <c r="A21507" t="str">
        <f>HYPERLINK("https://www.773grp.com/globalSearch/CAT28F010N12/page-1", "CAT28F010N12")</f>
        <v>CAT28F010N12</v>
      </c>
      <c r="B21507" s="3" t="str">
        <f>HYPERLINK("https://www.773grp.com/manufacturer/nxp-semiconductor?pageNo=3", "NXP Semiconductors")</f>
        <v>NXP Semiconductors</v>
      </c>
      <c r="C21507" s="6">
        <v>61</v>
      </c>
      <c r="D21507" s="7">
        <v>0</v>
      </c>
    </row>
    <row r="21508" spans="1:5" x14ac:dyDescent="0.25">
      <c r="A21508" t="str">
        <f>HYPERLINK("https://www.773grp.com/globalSearch/CAT28F512NI12/page-1", "CAT28F512NI12")</f>
        <v>CAT28F512NI12</v>
      </c>
      <c r="B21508" s="3" t="str">
        <f>HYPERLINK("https://www.773grp.com/manufacturer/nxp-semiconductor?pageNo=4", "NXP Semiconductors")</f>
        <v>NXP Semiconductors</v>
      </c>
      <c r="C21508" s="6">
        <v>151</v>
      </c>
      <c r="D21508" s="7">
        <v>0</v>
      </c>
      <c r="E21508" t="s">
        <v>64</v>
      </c>
    </row>
    <row r="21509" spans="1:5" x14ac:dyDescent="0.25">
      <c r="A21509" t="str">
        <f>HYPERLINK("https://www.773grp.com/globalSearch/CAT28LV256HI20/page-1", "CAT28LV256HI20")</f>
        <v>CAT28LV256HI20</v>
      </c>
      <c r="B21509" s="3" t="str">
        <f>HYPERLINK("https://www.773grp.com/manufacturer/nxp-semiconductor?pageNo=5", "NXP Semiconductors")</f>
        <v>NXP Semiconductors</v>
      </c>
      <c r="C21509" s="6">
        <v>751</v>
      </c>
      <c r="D21509" s="7">
        <v>0</v>
      </c>
    </row>
    <row r="21510" spans="1:5" x14ac:dyDescent="0.25">
      <c r="A21510" t="str">
        <f>HYPERLINK("https://www.773grp.com/globalSearch/CAT28LV256HI25/page-1", "CAT28LV256HI25")</f>
        <v>CAT28LV256HI25</v>
      </c>
      <c r="B21510" s="3" t="str">
        <f>HYPERLINK("https://www.773grp.com/manufacturer/nxp-semiconductor?pageNo=6", "NXP Semiconductors")</f>
        <v>NXP Semiconductors</v>
      </c>
      <c r="C21510" s="6">
        <v>104</v>
      </c>
      <c r="D21510" s="7">
        <v>0</v>
      </c>
    </row>
    <row r="21511" spans="1:5" x14ac:dyDescent="0.25">
      <c r="A21511" t="str">
        <f>HYPERLINK("https://www.773grp.com/globalSearch/CAT28LV64H1320/page-1", "CAT28LV64H1320")</f>
        <v>CAT28LV64H1320</v>
      </c>
      <c r="B21511" s="3" t="str">
        <f>HYPERLINK("https://www.773grp.com/manufacturer/nxp-semiconductor?pageNo=7", "NXP Semiconductors")</f>
        <v>NXP Semiconductors</v>
      </c>
      <c r="C21511" s="6">
        <v>1796</v>
      </c>
      <c r="D21511" s="7">
        <v>0</v>
      </c>
      <c r="E21511" t="s">
        <v>64</v>
      </c>
    </row>
    <row r="21512" spans="1:5" x14ac:dyDescent="0.25">
      <c r="A21512" t="str">
        <f>HYPERLINK("https://www.773grp.com/globalSearch/CAT28LV64H13I20/page-1", "CAT28LV64H13I20")</f>
        <v>CAT28LV64H13I20</v>
      </c>
      <c r="B21512" s="3" t="str">
        <f>HYPERLINK("https://www.773grp.com/manufacturer/nxp-semiconductor?pageNo=8", "NXP Semiconductors")</f>
        <v>NXP Semiconductors</v>
      </c>
      <c r="C21512" s="6">
        <v>2277</v>
      </c>
      <c r="D21512" s="7">
        <v>0</v>
      </c>
      <c r="E21512" t="s">
        <v>64</v>
      </c>
    </row>
    <row r="21513" spans="1:5" x14ac:dyDescent="0.25">
      <c r="A21513" t="str">
        <f>HYPERLINK("https://www.773grp.com/globalSearch/CAT28LV64H13I20T/page-1", "CAT28LV64H13I20T")</f>
        <v>CAT28LV64H13I20T</v>
      </c>
      <c r="B21513" s="3" t="str">
        <f>HYPERLINK("https://www.773grp.com/manufacturer/nxp-semiconductor?pageNo=9", "NXP Semiconductors")</f>
        <v>NXP Semiconductors</v>
      </c>
      <c r="C21513" s="6">
        <v>500</v>
      </c>
      <c r="D21513" s="7">
        <v>0</v>
      </c>
      <c r="E21513" t="s">
        <v>64</v>
      </c>
    </row>
    <row r="21514" spans="1:5" x14ac:dyDescent="0.25">
      <c r="A21514" t="str">
        <f>HYPERLINK("https://www.773grp.com/globalSearch/CAT28LV64LI20/page-1", "CAT28LV64LI20")</f>
        <v>CAT28LV64LI20</v>
      </c>
      <c r="B21514" s="3" t="str">
        <f>HYPERLINK("https://www.773grp.com/manufacturer/nxp-semiconductor?pageNo=10", "NXP Semiconductors")</f>
        <v>NXP Semiconductors</v>
      </c>
      <c r="C21514" s="6">
        <v>13</v>
      </c>
      <c r="D21514" s="7">
        <v>0</v>
      </c>
      <c r="E21514" t="s">
        <v>64</v>
      </c>
    </row>
    <row r="21515" spans="1:5" x14ac:dyDescent="0.25">
      <c r="A21515" t="str">
        <f>HYPERLINK("https://www.773grp.com/globalSearch/CAT28LV65GI15/page-1", "CAT28LV65GI15")</f>
        <v>CAT28LV65GI15</v>
      </c>
      <c r="B21515" s="3" t="str">
        <f>HYPERLINK("https://www.773grp.com/manufacturer/nxp-semiconductor?pageNo=11", "NXP Semiconductors")</f>
        <v>NXP Semiconductors</v>
      </c>
      <c r="C21515" s="6">
        <v>96</v>
      </c>
      <c r="D21515" s="7">
        <v>0</v>
      </c>
      <c r="E21515" t="s">
        <v>64</v>
      </c>
    </row>
    <row r="21516" spans="1:5" x14ac:dyDescent="0.25">
      <c r="A21516" t="str">
        <f>HYPERLINK("https://www.773grp.com/globalSearch/CAT3200EMS8-TE13/page-1", "CAT3200EMS8-TE13")</f>
        <v>CAT3200EMS8-TE13</v>
      </c>
      <c r="B21516" s="3" t="str">
        <f>HYPERLINK("https://www.773grp.com/manufacturer/nxp-semiconductor?pageNo=12", "NXP Semiconductors")</f>
        <v>NXP Semiconductors</v>
      </c>
      <c r="C21516" s="6">
        <v>27500</v>
      </c>
      <c r="D21516" s="7">
        <v>0</v>
      </c>
      <c r="E21516" t="s">
        <v>7</v>
      </c>
    </row>
    <row r="21517" spans="1:5" x14ac:dyDescent="0.25">
      <c r="A21517" t="str">
        <f>HYPERLINK("https://www.773grp.com/globalSearch/CAT3200H2-T3/page-1", "CAT3200H2-T3")</f>
        <v>CAT3200H2-T3</v>
      </c>
      <c r="B21517" s="3" t="str">
        <f>HYPERLINK("https://www.773grp.com/manufacturer/nxp-semiconductor?pageNo=13", "NXP Semiconductors")</f>
        <v>NXP Semiconductors</v>
      </c>
      <c r="C21517" s="6">
        <v>24000</v>
      </c>
      <c r="D21517" s="7">
        <v>0</v>
      </c>
    </row>
    <row r="21518" spans="1:5" x14ac:dyDescent="0.25">
      <c r="A21518" t="str">
        <f>HYPERLINK("https://www.773grp.com/globalSearch/CAT3643HV2-T2/page-1", "CAT3643HV2-T2")</f>
        <v>CAT3643HV2-T2</v>
      </c>
      <c r="B21518" s="3" t="str">
        <f>HYPERLINK("https://www.773grp.com/manufacturer/nxp-semiconductor?pageNo=14", "NXP Semiconductors")</f>
        <v>NXP Semiconductors</v>
      </c>
      <c r="C21518" s="6">
        <v>523</v>
      </c>
      <c r="D21518" s="7">
        <v>0</v>
      </c>
    </row>
    <row r="21519" spans="1:5" x14ac:dyDescent="0.25">
      <c r="A21519" t="str">
        <f>HYPERLINK("https://www.773grp.com/globalSearch/CAT4107HV4-GT2/page-1", "CAT4107HV4-GT2")</f>
        <v>CAT4107HV4-GT2</v>
      </c>
      <c r="B21519" s="3" t="str">
        <f>HYPERLINK("https://www.773grp.com/manufacturer/nxp-semiconductor?pageNo=15", "NXP Semiconductors")</f>
        <v>NXP Semiconductors</v>
      </c>
      <c r="C21519" s="6">
        <v>6000</v>
      </c>
      <c r="D21519" s="7">
        <v>0</v>
      </c>
    </row>
    <row r="21520" spans="1:5" x14ac:dyDescent="0.25">
      <c r="A21520" t="str">
        <f>HYPERLINK("https://www.773grp.com/globalSearch/CAT4236HTD-GT3/page-1", "CAT4236HTD-GT3")</f>
        <v>CAT4236HTD-GT3</v>
      </c>
      <c r="B21520" s="3" t="str">
        <f>HYPERLINK("https://www.773grp.com/manufacturer/nxp-semiconductor?pageNo=16", "NXP Semiconductors")</f>
        <v>NXP Semiconductors</v>
      </c>
      <c r="C21520" s="6">
        <v>2000</v>
      </c>
      <c r="D21520" s="7">
        <v>0</v>
      </c>
    </row>
    <row r="21521" spans="1:5" x14ac:dyDescent="0.25">
      <c r="A21521" t="str">
        <f>HYPERLINK("https://www.773grp.com/globalSearch/CAT4237TDT-MP/page-1", "CAT4237TDT-MP")</f>
        <v>CAT4237TDT-MP</v>
      </c>
      <c r="B21521" s="3" t="str">
        <f>HYPERLINK("https://www.773grp.com/manufacturer/nxp-semiconductor?pageNo=17", "NXP Semiconductors")</f>
        <v>NXP Semiconductors</v>
      </c>
      <c r="C21521" s="6">
        <v>6000</v>
      </c>
      <c r="D21521" s="7">
        <v>0</v>
      </c>
    </row>
    <row r="21522" spans="1:5" x14ac:dyDescent="0.25">
      <c r="A21522" t="str">
        <f>HYPERLINK("https://www.773grp.com/globalSearch/CAT4238TDGT-MJ/page-1", "CAT4238TDGT-MJ")</f>
        <v>CAT4238TDGT-MJ</v>
      </c>
      <c r="B21522" s="3" t="str">
        <f>HYPERLINK("https://www.773grp.com/manufacturer/nxp-semiconductor?pageNo=18", "NXP Semiconductors")</f>
        <v>NXP Semiconductors</v>
      </c>
      <c r="C21522" s="6">
        <v>3000</v>
      </c>
      <c r="D21522" s="7">
        <v>0</v>
      </c>
    </row>
    <row r="21523" spans="1:5" x14ac:dyDescent="0.25">
      <c r="A21523" t="str">
        <f>HYPERLINK("https://www.773grp.com/globalSearch/CAT4254VP2-GT3/page-1", "CAT4254VP2-GT3")</f>
        <v>CAT4254VP2-GT3</v>
      </c>
      <c r="B21523" s="3" t="str">
        <f>HYPERLINK("https://www.773grp.com/manufacturer/nxp-semiconductor?pageNo=19", "NXP Semiconductors")</f>
        <v>NXP Semiconductors</v>
      </c>
      <c r="C21523" s="6">
        <v>27000</v>
      </c>
      <c r="D21523" s="7">
        <v>0</v>
      </c>
    </row>
    <row r="21524" spans="1:5" x14ac:dyDescent="0.25">
      <c r="A21524" t="str">
        <f>HYPERLINK("https://www.773grp.com/globalSearch/CAT5111LI-10-G/page-1", "CAT5111LI-10-G")</f>
        <v>CAT5111LI-10-G</v>
      </c>
      <c r="B21524" s="3" t="str">
        <f>HYPERLINK("https://www.773grp.com/manufacturer/nxp-semiconductor?pageNo=20", "NXP Semiconductors")</f>
        <v>NXP Semiconductors</v>
      </c>
      <c r="C21524" s="6">
        <v>700</v>
      </c>
      <c r="D21524" s="7">
        <v>0</v>
      </c>
      <c r="E21524" t="s">
        <v>99</v>
      </c>
    </row>
    <row r="21525" spans="1:5" x14ac:dyDescent="0.25">
      <c r="A21525" t="str">
        <f>HYPERLINK("https://www.773grp.com/globalSearch/CAT5111LI-50-G/page-1", "CAT5111LI-50-G")</f>
        <v>CAT5111LI-50-G</v>
      </c>
      <c r="B21525" s="3" t="str">
        <f>HYPERLINK("https://www.773grp.com/manufacturer/nxp-semiconductor?pageNo=21", "NXP Semiconductors")</f>
        <v>NXP Semiconductors</v>
      </c>
      <c r="C21525" s="6">
        <v>1200</v>
      </c>
      <c r="D21525" s="7">
        <v>0</v>
      </c>
      <c r="E21525" t="s">
        <v>99</v>
      </c>
    </row>
    <row r="21526" spans="1:5" x14ac:dyDescent="0.25">
      <c r="A21526" t="str">
        <f>HYPERLINK("https://www.773grp.com/globalSearch/CAT5111ZI10/page-1", "CAT5111ZI10")</f>
        <v>CAT5111ZI10</v>
      </c>
      <c r="B21526" s="3" t="str">
        <f>HYPERLINK("https://www.773grp.com/manufacturer/nxp-semiconductor?pageNo=22", "NXP Semiconductors")</f>
        <v>NXP Semiconductors</v>
      </c>
      <c r="C21526" s="6">
        <v>3072</v>
      </c>
      <c r="D21526" s="7">
        <v>0</v>
      </c>
      <c r="E21526" t="s">
        <v>99</v>
      </c>
    </row>
    <row r="21527" spans="1:5" x14ac:dyDescent="0.25">
      <c r="A21527" t="str">
        <f>HYPERLINK("https://www.773grp.com/globalSearch/CAT5112LI00/page-1", "CAT5112LI00")</f>
        <v>CAT5112LI00</v>
      </c>
      <c r="B21527" s="3" t="str">
        <f>HYPERLINK("https://www.773grp.com/manufacturer/nxp-semiconductor?pageNo=23", "NXP Semiconductors")</f>
        <v>NXP Semiconductors</v>
      </c>
      <c r="C21527" s="6">
        <v>10000</v>
      </c>
      <c r="D21527" s="7">
        <v>0</v>
      </c>
      <c r="E21527" t="s">
        <v>99</v>
      </c>
    </row>
    <row r="21528" spans="1:5" x14ac:dyDescent="0.25">
      <c r="A21528" t="str">
        <f>HYPERLINK("https://www.773grp.com/globalSearch/CAT5112LI-50-G/page-1", "CAT5112LI-50-G")</f>
        <v>CAT5112LI-50-G</v>
      </c>
      <c r="B21528" s="3" t="str">
        <f>HYPERLINK("https://www.773grp.com/manufacturer/nxp-semiconductor?pageNo=24", "NXP Semiconductors")</f>
        <v>NXP Semiconductors</v>
      </c>
      <c r="C21528" s="6">
        <v>18650</v>
      </c>
      <c r="D21528" s="7">
        <v>0</v>
      </c>
      <c r="E21528" t="s">
        <v>99</v>
      </c>
    </row>
    <row r="21529" spans="1:5" x14ac:dyDescent="0.25">
      <c r="A21529" t="str">
        <f>HYPERLINK("https://www.773grp.com/globalSearch/CAT5113V150/page-1", "CAT5113V150")</f>
        <v>CAT5113V150</v>
      </c>
      <c r="B21529" s="3" t="str">
        <f>HYPERLINK("https://www.773grp.com/manufacturer/nxp-semiconductor?pageNo=25", "NXP Semiconductors")</f>
        <v>NXP Semiconductors</v>
      </c>
      <c r="C21529" s="6">
        <v>19</v>
      </c>
      <c r="D21529" s="7">
        <v>0</v>
      </c>
    </row>
    <row r="21530" spans="1:5" x14ac:dyDescent="0.25">
      <c r="A21530" t="str">
        <f>HYPERLINK("https://www.773grp.com/globalSearch/CAT5114ZI00/page-1", "CAT5114ZI00")</f>
        <v>CAT5114ZI00</v>
      </c>
      <c r="B21530" s="3" t="str">
        <f>HYPERLINK("https://www.773grp.com/manufacturer/nxp-semiconductor?pageNo=26", "NXP Semiconductors")</f>
        <v>NXP Semiconductors</v>
      </c>
      <c r="C21530" s="6">
        <v>192</v>
      </c>
      <c r="D21530" s="7">
        <v>0</v>
      </c>
      <c r="E21530" t="s">
        <v>99</v>
      </c>
    </row>
    <row r="21531" spans="1:5" x14ac:dyDescent="0.25">
      <c r="A21531" t="str">
        <f>HYPERLINK("https://www.773grp.com/globalSearch/CAT5115LI-00-G/page-1", "CAT5115LI-00-G")</f>
        <v>CAT5115LI-00-G</v>
      </c>
      <c r="B21531" s="3" t="str">
        <f>HYPERLINK("https://www.773grp.com/manufacturer/nxp-semiconductor?pageNo=27", "NXP Semiconductors")</f>
        <v>NXP Semiconductors</v>
      </c>
      <c r="C21531" s="6">
        <v>12350</v>
      </c>
      <c r="D21531" s="7">
        <v>0</v>
      </c>
      <c r="E21531" t="s">
        <v>99</v>
      </c>
    </row>
    <row r="21532" spans="1:5" x14ac:dyDescent="0.25">
      <c r="A21532" t="str">
        <f>HYPERLINK("https://www.773grp.com/globalSearch/CAT522WI-T2/page-1", "CAT522WI-T2")</f>
        <v>CAT522WI-T2</v>
      </c>
      <c r="B21532" s="3" t="str">
        <f>HYPERLINK("https://www.773grp.com/manufacturer/nxp-semiconductor?pageNo=28", "NXP Semiconductors")</f>
        <v>NXP Semiconductors</v>
      </c>
      <c r="C21532" s="6">
        <v>2000</v>
      </c>
      <c r="D21532" s="7">
        <v>0</v>
      </c>
      <c r="E21532" t="s">
        <v>99</v>
      </c>
    </row>
    <row r="21533" spans="1:5" x14ac:dyDescent="0.25">
      <c r="A21533" t="str">
        <f>HYPERLINK("https://www.773grp.com/globalSearch/CAT524WI-T2/page-1", "CAT524WI-T2")</f>
        <v>CAT524WI-T2</v>
      </c>
      <c r="B21533" s="3" t="str">
        <f>HYPERLINK("https://www.773grp.com/manufacturer/nxp-semiconductor?pageNo=29", "NXP Semiconductors")</f>
        <v>NXP Semiconductors</v>
      </c>
      <c r="C21533" s="6">
        <v>4000</v>
      </c>
      <c r="D21533" s="7">
        <v>0</v>
      </c>
      <c r="E21533" t="s">
        <v>99</v>
      </c>
    </row>
    <row r="21534" spans="1:5" x14ac:dyDescent="0.25">
      <c r="A21534" t="str">
        <f>HYPERLINK("https://www.773grp.com/globalSearch/CAT525LI/page-1", "CAT525LI")</f>
        <v>CAT525LI</v>
      </c>
      <c r="B21534" s="3" t="str">
        <f>HYPERLINK("https://www.773grp.com/manufacturer/nxp-semiconductor?pageNo=30", "NXP Semiconductors")</f>
        <v>NXP Semiconductors</v>
      </c>
      <c r="C21534" s="6">
        <v>1872</v>
      </c>
      <c r="D21534" s="7">
        <v>0</v>
      </c>
      <c r="E21534" t="s">
        <v>99</v>
      </c>
    </row>
    <row r="21535" spans="1:5" x14ac:dyDescent="0.25">
      <c r="A21535" t="str">
        <f>HYPERLINK("https://www.773grp.com/globalSearch/CAT64LC40WI-G/page-1", "CAT64LC40WI-G")</f>
        <v>CAT64LC40WI-G</v>
      </c>
      <c r="B21535" s="3" t="str">
        <f>HYPERLINK("https://www.773grp.com/manufacturer/nxp-semiconductor?pageNo=31", "NXP Semiconductors")</f>
        <v>NXP Semiconductors</v>
      </c>
      <c r="C21535" s="6">
        <v>7700</v>
      </c>
      <c r="D21535" s="7">
        <v>0</v>
      </c>
    </row>
    <row r="21536" spans="1:5" x14ac:dyDescent="0.25">
      <c r="A21536" t="str">
        <f>HYPERLINK("https://www.773grp.com/globalSearch/CAT64LC40YI-G/page-1", "CAT64LC40YI-G")</f>
        <v>CAT64LC40YI-G</v>
      </c>
      <c r="B21536" s="3" t="str">
        <f>HYPERLINK("https://www.773grp.com/manufacturer/nxp-semiconductor?pageNo=32", "NXP Semiconductors")</f>
        <v>NXP Semiconductors</v>
      </c>
      <c r="C21536" s="6">
        <v>8200</v>
      </c>
      <c r="D21536" s="7">
        <v>0</v>
      </c>
    </row>
    <row r="21537" spans="1:5" x14ac:dyDescent="0.25">
      <c r="A21537" t="str">
        <f>HYPERLINK("https://www.773grp.com/globalSearch/CAT660ELA/page-1", "CAT660ELA")</f>
        <v>CAT660ELA</v>
      </c>
      <c r="B21537" s="3" t="str">
        <f>HYPERLINK("https://www.773grp.com/manufacturer/nxp-semiconductor?pageNo=33", "NXP Semiconductors")</f>
        <v>NXP Semiconductors</v>
      </c>
      <c r="C21537" s="6">
        <v>26</v>
      </c>
      <c r="D21537" s="7">
        <v>0</v>
      </c>
    </row>
    <row r="21538" spans="1:5" x14ac:dyDescent="0.25">
      <c r="A21538" t="str">
        <f>HYPERLINK("https://www.773grp.com/globalSearch/CAT661EVA/page-1", "CAT661EVA")</f>
        <v>CAT661EVA</v>
      </c>
      <c r="B21538" s="3" t="str">
        <f>HYPERLINK("https://www.773grp.com/manufacturer/nxp-semiconductor?pageNo=34", "NXP Semiconductors")</f>
        <v>NXP Semiconductors</v>
      </c>
      <c r="C21538" s="6">
        <v>3800</v>
      </c>
      <c r="D21538" s="7">
        <v>0</v>
      </c>
    </row>
    <row r="21539" spans="1:5" x14ac:dyDescent="0.25">
      <c r="A21539" t="str">
        <f>HYPERLINK("https://www.773grp.com/globalSearch/CAT93C46KI-FC/page-1", "CAT93C46KI-FC")</f>
        <v>CAT93C46KI-FC</v>
      </c>
      <c r="B21539" s="3" t="str">
        <f>HYPERLINK("https://www.773grp.com/manufacturer/nxp-semiconductor?pageNo=35", "NXP Semiconductors")</f>
        <v>NXP Semiconductors</v>
      </c>
      <c r="C21539" s="6">
        <v>2726</v>
      </c>
      <c r="D21539" s="7">
        <v>0</v>
      </c>
    </row>
    <row r="21540" spans="1:5" x14ac:dyDescent="0.25">
      <c r="A21540" t="str">
        <f>HYPERLINK("https://www.773grp.com/globalSearch/CAT93C46PI-FF/page-1", "CAT93C46PI-FF")</f>
        <v>CAT93C46PI-FF</v>
      </c>
      <c r="B21540" s="3" t="str">
        <f>HYPERLINK("https://www.773grp.com/manufacturer/nxp-semiconductor?pageNo=36", "NXP Semiconductors")</f>
        <v>NXP Semiconductors</v>
      </c>
      <c r="C21540" s="6">
        <v>15350</v>
      </c>
      <c r="D21540" s="7">
        <v>0</v>
      </c>
    </row>
    <row r="21541" spans="1:5" x14ac:dyDescent="0.25">
      <c r="A21541" t="str">
        <f>HYPERLINK("https://www.773grp.com/globalSearch/CAT93C46SIT-QD/page-1", "CAT93C46SIT-QD")</f>
        <v>CAT93C46SIT-QD</v>
      </c>
      <c r="B21541" s="3" t="str">
        <f>HYPERLINK("https://www.773grp.com/manufacturer/nxp-semiconductor?pageNo=37", "NXP Semiconductors")</f>
        <v>NXP Semiconductors</v>
      </c>
      <c r="C21541" s="6">
        <v>12000</v>
      </c>
      <c r="D21541" s="7">
        <v>0</v>
      </c>
    </row>
    <row r="21542" spans="1:5" x14ac:dyDescent="0.25">
      <c r="A21542" t="str">
        <f>HYPERLINK("https://www.773grp.com/globalSearch/CAT93C46VIT-FC/page-1", "CAT93C46VIT-FC")</f>
        <v>CAT93C46VIT-FC</v>
      </c>
      <c r="B21542" s="3" t="str">
        <f>HYPERLINK("https://www.773grp.com/manufacturer/nxp-semiconductor?pageNo=38", "NXP Semiconductors")</f>
        <v>NXP Semiconductors</v>
      </c>
      <c r="C21542" s="6">
        <v>4000</v>
      </c>
      <c r="D21542" s="7">
        <v>0</v>
      </c>
    </row>
    <row r="21543" spans="1:5" x14ac:dyDescent="0.25">
      <c r="A21543" t="str">
        <f>HYPERLINK("https://www.773grp.com/globalSearch/CAT93C56PI-FB/page-1", "CAT93C56PI-FB")</f>
        <v>CAT93C56PI-FB</v>
      </c>
      <c r="B21543" s="3" t="str">
        <f>HYPERLINK("https://www.773grp.com/manufacturer/nxp-semiconductor?pageNo=39", "NXP Semiconductors")</f>
        <v>NXP Semiconductors</v>
      </c>
      <c r="C21543" s="6">
        <v>18250</v>
      </c>
      <c r="D21543" s="7">
        <v>0</v>
      </c>
    </row>
    <row r="21544" spans="1:5" x14ac:dyDescent="0.25">
      <c r="A21544" t="str">
        <f>HYPERLINK("https://www.773grp.com/globalSearch/CAT93C56SIT-FB/page-1", "CAT93C56SIT-FB")</f>
        <v>CAT93C56SIT-FB</v>
      </c>
      <c r="B21544" s="3" t="str">
        <f>HYPERLINK("https://www.773grp.com/manufacturer/nxp-semiconductor?pageNo=40", "NXP Semiconductors")</f>
        <v>NXP Semiconductors</v>
      </c>
      <c r="C21544" s="6">
        <v>4000</v>
      </c>
      <c r="D21544" s="7">
        <v>0</v>
      </c>
    </row>
    <row r="21545" spans="1:5" x14ac:dyDescent="0.25">
      <c r="A21545" t="str">
        <f>HYPERLINK("https://www.773grp.com/globalSearch/CAT93C56WI-G/page-1", "CAT93C56WI-G")</f>
        <v>CAT93C56WI-G</v>
      </c>
      <c r="B21545" s="3" t="str">
        <f>HYPERLINK("https://www.773grp.com/manufacturer/nxp-semiconductor?pageNo=41", "NXP Semiconductors")</f>
        <v>NXP Semiconductors</v>
      </c>
      <c r="C21545" s="6">
        <v>4400</v>
      </c>
      <c r="D21545" s="7">
        <v>0</v>
      </c>
    </row>
    <row r="21546" spans="1:5" x14ac:dyDescent="0.25">
      <c r="A21546" t="str">
        <f>HYPERLINK("https://www.773grp.com/globalSearch/CAT93C66SAT-FK/page-1", "CAT93C66SAT-FK")</f>
        <v>CAT93C66SAT-FK</v>
      </c>
      <c r="B21546" s="3" t="str">
        <f>HYPERLINK("https://www.773grp.com/manufacturer/nxp-semiconductor?pageNo=42", "NXP Semiconductors")</f>
        <v>NXP Semiconductors</v>
      </c>
      <c r="C21546" s="6">
        <v>14000</v>
      </c>
      <c r="D21546" s="7">
        <v>0</v>
      </c>
    </row>
    <row r="21547" spans="1:5" x14ac:dyDescent="0.25">
      <c r="A21547" t="str">
        <f>HYPERLINK("https://www.773grp.com/globalSearch/CAT93C66VE-G/page-1", "CAT93C66VE-G")</f>
        <v>CAT93C66VE-G</v>
      </c>
      <c r="B21547" s="3" t="str">
        <f>HYPERLINK("https://www.773grp.com/manufacturer/nxp-semiconductor?pageNo=43", "NXP Semiconductors")</f>
        <v>NXP Semiconductors</v>
      </c>
      <c r="C21547" s="6">
        <v>1020</v>
      </c>
      <c r="D21547" s="7">
        <v>0</v>
      </c>
    </row>
    <row r="21548" spans="1:5" x14ac:dyDescent="0.25">
      <c r="A21548" t="str">
        <f>HYPERLINK("https://www.773grp.com/globalSearch/CAT93C66VE-GT3/page-1", "CAT93C66VE-GT3")</f>
        <v>CAT93C66VE-GT3</v>
      </c>
      <c r="B21548" s="3" t="str">
        <f>HYPERLINK("https://www.773grp.com/manufacturer/nxp-semiconductor?pageNo=44", "NXP Semiconductors")</f>
        <v>NXP Semiconductors</v>
      </c>
      <c r="C21548" s="6">
        <v>9000</v>
      </c>
      <c r="D21548" s="7">
        <v>0</v>
      </c>
      <c r="E21548" t="s">
        <v>64</v>
      </c>
    </row>
    <row r="21549" spans="1:5" x14ac:dyDescent="0.25">
      <c r="A21549" t="str">
        <f>HYPERLINK("https://www.773grp.com/globalSearch/CAT93C86SIT-QC/page-1", "CAT93C86SIT-QC")</f>
        <v>CAT93C86SIT-QC</v>
      </c>
      <c r="B21549" s="3" t="str">
        <f>HYPERLINK("https://www.773grp.com/manufacturer/nxp-semiconductor?pageNo=45", "NXP Semiconductors")</f>
        <v>NXP Semiconductors</v>
      </c>
      <c r="C21549" s="6">
        <v>8000</v>
      </c>
      <c r="D21549" s="7">
        <v>0</v>
      </c>
    </row>
    <row r="21550" spans="1:5" x14ac:dyDescent="0.25">
      <c r="A21550" t="str">
        <f>HYPERLINK("https://www.773grp.com/globalSearch/CCRGEVB/page-1", "CCRGEVB")</f>
        <v>CCRGEVB</v>
      </c>
      <c r="B21550" s="3" t="str">
        <f>HYPERLINK("https://www.773grp.com/manufacturer/nxp-semiconductor?pageNo=46", "NXP Semiconductors")</f>
        <v>NXP Semiconductors</v>
      </c>
      <c r="C21550" s="6">
        <v>1</v>
      </c>
      <c r="D21550" s="7">
        <v>0</v>
      </c>
    </row>
    <row r="21551" spans="1:5" x14ac:dyDescent="0.25">
      <c r="A21551" t="str">
        <f>HYPERLINK("https://www.773grp.com/globalSearch/CD8375DR2/page-1", "CD8375DR2")</f>
        <v>CD8375DR2</v>
      </c>
      <c r="B21551" s="3" t="str">
        <f>HYPERLINK("https://www.773grp.com/manufacturer/nxp-semiconductor?pageNo=47", "NXP Semiconductors")</f>
        <v>NXP Semiconductors</v>
      </c>
      <c r="C21551" s="6">
        <v>10000</v>
      </c>
      <c r="D21551" s="7">
        <v>0</v>
      </c>
    </row>
    <row r="21552" spans="1:5" x14ac:dyDescent="0.25">
      <c r="A21552" t="str">
        <f>HYPERLINK("https://www.773grp.com/globalSearch/CD8375DR2G/page-1", "CD8375DR2G")</f>
        <v>CD8375DR2G</v>
      </c>
      <c r="B21552" s="3" t="str">
        <f>HYPERLINK("https://www.773grp.com/manufacturer/nxp-semiconductor?pageNo=48", "NXP Semiconductors")</f>
        <v>NXP Semiconductors</v>
      </c>
      <c r="C21552" s="6">
        <v>10000</v>
      </c>
      <c r="D21552" s="7">
        <v>0</v>
      </c>
    </row>
    <row r="21553" spans="1:5" x14ac:dyDescent="0.25">
      <c r="A21553" t="str">
        <f>HYPERLINK("https://www.773grp.com/globalSearch/CFJ28F020H-12T/page-1", "CFJ28F020H-12T")</f>
        <v>CFJ28F020H-12T</v>
      </c>
      <c r="B21553" s="3" t="str">
        <f>HYPERLINK("https://www.773grp.com/manufacturer/nxp-semiconductor?pageNo=1", "NXP Semiconductors")</f>
        <v>NXP Semiconductors</v>
      </c>
      <c r="C21553" s="6">
        <v>638</v>
      </c>
      <c r="D21553" s="7">
        <v>0</v>
      </c>
    </row>
    <row r="21554" spans="1:5" x14ac:dyDescent="0.25">
      <c r="A21554" t="str">
        <f>HYPERLINK("https://www.773grp.com/globalSearch/CFL28F020NI12/page-1", "CFL28F020NI12")</f>
        <v>CFL28F020NI12</v>
      </c>
      <c r="B21554" s="3" t="str">
        <f>HYPERLINK("https://www.773grp.com/manufacturer/nxp-semiconductor?pageNo=2", "NXP Semiconductors")</f>
        <v>NXP Semiconductors</v>
      </c>
      <c r="C21554" s="6">
        <v>320</v>
      </c>
      <c r="D21554" s="7">
        <v>0</v>
      </c>
    </row>
    <row r="21555" spans="1:5" x14ac:dyDescent="0.25">
      <c r="A21555" t="str">
        <f>HYPERLINK("https://www.773grp.com/globalSearch/CFL28F020NI-12T/page-1", "CFL28F020NI-12T")</f>
        <v>CFL28F020NI-12T</v>
      </c>
      <c r="B21555" s="3" t="str">
        <f>HYPERLINK("https://www.773grp.com/manufacturer/nxp-semiconductor?pageNo=3", "NXP Semiconductors")</f>
        <v>NXP Semiconductors</v>
      </c>
      <c r="C21555" s="6">
        <v>328</v>
      </c>
      <c r="D21555" s="7">
        <v>0</v>
      </c>
    </row>
    <row r="21556" spans="1:5" x14ac:dyDescent="0.25">
      <c r="A21556" t="str">
        <f>HYPERLINK("https://www.773grp.com/globalSearch/CFQ28F020NI12/page-1", "CFQ28F020NI12")</f>
        <v>CFQ28F020NI12</v>
      </c>
      <c r="B21556" s="3" t="str">
        <f>HYPERLINK("https://www.773grp.com/manufacturer/nxp-semiconductor?pageNo=4", "NXP Semiconductors")</f>
        <v>NXP Semiconductors</v>
      </c>
      <c r="C21556" s="6">
        <v>160</v>
      </c>
      <c r="D21556" s="7">
        <v>0</v>
      </c>
    </row>
    <row r="21557" spans="1:5" x14ac:dyDescent="0.25">
      <c r="A21557" t="str">
        <f>HYPERLINK("https://www.773grp.com/globalSearch/CJS8900D300TBGT3/page-1", "CJS8900D300TBGT3")</f>
        <v>CJS8900D300TBGT3</v>
      </c>
      <c r="B21557" s="3" t="str">
        <f>HYPERLINK("https://www.773grp.com/manufacturer/nxp-semiconductor?pageNo=5", "NXP Semiconductors")</f>
        <v>NXP Semiconductors</v>
      </c>
      <c r="C21557" s="6">
        <v>76876</v>
      </c>
      <c r="D21557" s="7">
        <v>0</v>
      </c>
    </row>
    <row r="21558" spans="1:5" x14ac:dyDescent="0.25">
      <c r="A21558" t="str">
        <f>HYPERLINK("https://www.773grp.com/globalSearch/CM1213A-01S0/page-1", "CM1213A-01S0")</f>
        <v>CM1213A-01S0</v>
      </c>
      <c r="B21558" s="3" t="str">
        <f>HYPERLINK("https://www.773grp.com/manufacturer/nxp-semiconductor?pageNo=6", "NXP Semiconductors")</f>
        <v>NXP Semiconductors</v>
      </c>
      <c r="C21558" s="6">
        <v>3000</v>
      </c>
      <c r="D21558" s="7">
        <v>0</v>
      </c>
    </row>
    <row r="21559" spans="1:5" x14ac:dyDescent="0.25">
      <c r="A21559" t="str">
        <f>HYPERLINK("https://www.773grp.com/globalSearch/CM1215-02SO/page-1", "CM1215-02SO")</f>
        <v>CM1215-02SO</v>
      </c>
      <c r="B21559" s="3" t="str">
        <f>HYPERLINK("https://www.773grp.com/manufacturer/nxp-semiconductor?pageNo=7", "NXP Semiconductors")</f>
        <v>NXP Semiconductors</v>
      </c>
      <c r="C21559" s="6">
        <v>2990</v>
      </c>
      <c r="D21559" s="7">
        <v>0</v>
      </c>
      <c r="E21559" t="s">
        <v>96</v>
      </c>
    </row>
    <row r="21560" spans="1:5" x14ac:dyDescent="0.25">
      <c r="A21560" t="str">
        <f>HYPERLINK("https://www.773grp.com/globalSearch/CM1215-02SR/page-1", "CM1215-02SR")</f>
        <v>CM1215-02SR</v>
      </c>
      <c r="B21560" s="3" t="str">
        <f>HYPERLINK("https://www.773grp.com/manufacturer/nxp-semiconductor?pageNo=8", "NXP Semiconductors")</f>
        <v>NXP Semiconductors</v>
      </c>
      <c r="C21560" s="6">
        <v>3000</v>
      </c>
      <c r="D21560" s="7">
        <v>0</v>
      </c>
      <c r="E21560" t="s">
        <v>96</v>
      </c>
    </row>
    <row r="21561" spans="1:5" x14ac:dyDescent="0.25">
      <c r="A21561" t="str">
        <f>HYPERLINK("https://www.773grp.com/globalSearch/CM1218-02S7/page-1", "CM1218-02S7")</f>
        <v>CM1218-02S7</v>
      </c>
      <c r="B21561" s="3" t="str">
        <f>HYPERLINK("https://www.773grp.com/manufacturer/nxp-semiconductor?pageNo=9", "NXP Semiconductors")</f>
        <v>NXP Semiconductors</v>
      </c>
      <c r="C21561" s="6">
        <v>24000</v>
      </c>
      <c r="D21561" s="7">
        <v>0</v>
      </c>
      <c r="E21561" t="s">
        <v>96</v>
      </c>
    </row>
    <row r="21562" spans="1:5" x14ac:dyDescent="0.25">
      <c r="A21562" t="str">
        <f>HYPERLINK("https://www.773grp.com/globalSearch/CM1218-04S7/page-1", "CM1218-04S7")</f>
        <v>CM1218-04S7</v>
      </c>
      <c r="B21562" s="3" t="str">
        <f>HYPERLINK("https://www.773grp.com/manufacturer/nxp-semiconductor?pageNo=10", "NXP Semiconductors")</f>
        <v>NXP Semiconductors</v>
      </c>
      <c r="C21562" s="6">
        <v>6000</v>
      </c>
      <c r="D21562" s="7">
        <v>0</v>
      </c>
      <c r="E21562" t="s">
        <v>96</v>
      </c>
    </row>
    <row r="21563" spans="1:5" x14ac:dyDescent="0.25">
      <c r="A21563" t="str">
        <f>HYPERLINK("https://www.773grp.com/globalSearch/CM1218-05S7/page-1", "CM1218-05S7")</f>
        <v>CM1218-05S7</v>
      </c>
      <c r="B21563" s="3" t="str">
        <f>HYPERLINK("https://www.773grp.com/manufacturer/nxp-semiconductor?pageNo=11", "NXP Semiconductors")</f>
        <v>NXP Semiconductors</v>
      </c>
      <c r="C21563" s="6">
        <v>3000</v>
      </c>
      <c r="D21563" s="7">
        <v>0</v>
      </c>
      <c r="E21563" t="s">
        <v>96</v>
      </c>
    </row>
    <row r="21564" spans="1:5" x14ac:dyDescent="0.25">
      <c r="A21564" t="str">
        <f>HYPERLINK("https://www.773grp.com/globalSearch/CM1218-05SE/page-1", "CM1218-05SE")</f>
        <v>CM1218-05SE</v>
      </c>
      <c r="B21564" s="3" t="str">
        <f>HYPERLINK("https://www.773grp.com/manufacturer/nxp-semiconductor?pageNo=12", "NXP Semiconductors")</f>
        <v>NXP Semiconductors</v>
      </c>
      <c r="C21564" s="6">
        <v>13000</v>
      </c>
      <c r="D21564" s="7">
        <v>0</v>
      </c>
    </row>
    <row r="21565" spans="1:5" x14ac:dyDescent="0.25">
      <c r="A21565" t="str">
        <f>HYPERLINK("https://www.773grp.com/globalSearch/CM1219-02S7/page-1", "CM1219-02S7")</f>
        <v>CM1219-02S7</v>
      </c>
      <c r="B21565" s="3" t="str">
        <f>HYPERLINK("https://www.773grp.com/manufacturer/nxp-semiconductor?pageNo=13", "NXP Semiconductors")</f>
        <v>NXP Semiconductors</v>
      </c>
      <c r="C21565" s="6">
        <v>2694</v>
      </c>
      <c r="D21565" s="7">
        <v>0</v>
      </c>
    </row>
    <row r="21566" spans="1:5" x14ac:dyDescent="0.25">
      <c r="A21566" t="str">
        <f>HYPERLINK("https://www.773grp.com/globalSearch/CM1219-05SE  REEL/page-1", "CM1219-05SE  REEL")</f>
        <v>CM1219-05SE  REEL</v>
      </c>
      <c r="B21566" s="3" t="str">
        <f>HYPERLINK("https://www.773grp.com/manufacturer/nxp-semiconductor?pageNo=14", "NXP Semiconductors")</f>
        <v>NXP Semiconductors</v>
      </c>
      <c r="C21566" s="6">
        <v>610</v>
      </c>
      <c r="D21566" s="7">
        <v>0</v>
      </c>
    </row>
    <row r="21567" spans="1:5" x14ac:dyDescent="0.25">
      <c r="A21567" t="str">
        <f>HYPERLINK("https://www.773grp.com/globalSearch/CM1220-08CP/page-1", "CM1220-08CP")</f>
        <v>CM1220-08CP</v>
      </c>
      <c r="B21567" s="3" t="str">
        <f>HYPERLINK("https://www.773grp.com/manufacturer/nxp-semiconductor?pageNo=15", "NXP Semiconductors")</f>
        <v>NXP Semiconductors</v>
      </c>
      <c r="C21567" s="6">
        <v>3475</v>
      </c>
      <c r="D21567" s="7">
        <v>0</v>
      </c>
      <c r="E21567" t="s">
        <v>96</v>
      </c>
    </row>
    <row r="21568" spans="1:5" x14ac:dyDescent="0.25">
      <c r="A21568" t="str">
        <f>HYPERLINK("https://www.773grp.com/globalSearch/CM1223-04MR/page-1", "CM1223-04MR")</f>
        <v>CM1223-04MR</v>
      </c>
      <c r="B21568" s="3" t="str">
        <f>HYPERLINK("https://www.773grp.com/manufacturer/nxp-semiconductor?pageNo=16", "NXP Semiconductors")</f>
        <v>NXP Semiconductors</v>
      </c>
      <c r="C21568" s="6">
        <v>16000</v>
      </c>
      <c r="D21568" s="7">
        <v>0</v>
      </c>
    </row>
    <row r="21569" spans="1:5" x14ac:dyDescent="0.25">
      <c r="A21569" t="str">
        <f>HYPERLINK("https://www.773grp.com/globalSearch/CM1293A-04MR/page-1", "CM1293A-04MR")</f>
        <v>CM1293A-04MR</v>
      </c>
      <c r="B21569" s="3" t="str">
        <f>HYPERLINK("https://www.773grp.com/manufacturer/nxp-semiconductor?pageNo=17", "NXP Semiconductors")</f>
        <v>NXP Semiconductors</v>
      </c>
      <c r="C21569" s="6">
        <v>8000</v>
      </c>
      <c r="D21569" s="7">
        <v>0</v>
      </c>
      <c r="E21569" t="s">
        <v>96</v>
      </c>
    </row>
    <row r="21570" spans="1:5" x14ac:dyDescent="0.25">
      <c r="A21570" t="str">
        <f>HYPERLINK("https://www.773grp.com/globalSearch/CM1401-03CP/page-1", "CM1401-03CP")</f>
        <v>CM1401-03CP</v>
      </c>
      <c r="B21570" s="3" t="str">
        <f>HYPERLINK("https://www.773grp.com/manufacturer/nxp-semiconductor?pageNo=18", "NXP Semiconductors")</f>
        <v>NXP Semiconductors</v>
      </c>
      <c r="C21570" s="6">
        <v>3500</v>
      </c>
      <c r="D21570" s="7">
        <v>0</v>
      </c>
      <c r="E21570" t="s">
        <v>100</v>
      </c>
    </row>
    <row r="21571" spans="1:5" x14ac:dyDescent="0.25">
      <c r="A21571" t="str">
        <f>HYPERLINK("https://www.773grp.com/globalSearch/CM1406-08DE-ON/page-1", "CM1406-08DE-ON")</f>
        <v>CM1406-08DE-ON</v>
      </c>
      <c r="B21571" s="3" t="str">
        <f>HYPERLINK("https://www.773grp.com/manufacturer/nxp-semiconductor?pageNo=19", "NXP Semiconductors")</f>
        <v>NXP Semiconductors</v>
      </c>
      <c r="C21571" s="6">
        <v>3000</v>
      </c>
      <c r="D21571" s="7">
        <v>0</v>
      </c>
    </row>
    <row r="21572" spans="1:5" x14ac:dyDescent="0.25">
      <c r="A21572" t="str">
        <f>HYPERLINK("https://www.773grp.com/globalSearch/CM1408-04DE/page-1", "CM1408-04DE")</f>
        <v>CM1408-04DE</v>
      </c>
      <c r="B21572" s="3" t="str">
        <f>HYPERLINK("https://www.773grp.com/manufacturer/nxp-semiconductor?pageNo=20", "NXP Semiconductors")</f>
        <v>NXP Semiconductors</v>
      </c>
      <c r="C21572" s="6">
        <v>60000</v>
      </c>
      <c r="D21572" s="7">
        <v>0</v>
      </c>
      <c r="E21572" t="s">
        <v>100</v>
      </c>
    </row>
    <row r="21573" spans="1:5" x14ac:dyDescent="0.25">
      <c r="A21573" t="str">
        <f>HYPERLINK("https://www.773grp.com/globalSearch/CM1408-08DE/page-1", "CM1408-08DE")</f>
        <v>CM1408-08DE</v>
      </c>
      <c r="B21573" s="3" t="str">
        <f>HYPERLINK("https://www.773grp.com/manufacturer/nxp-semiconductor?pageNo=21", "NXP Semiconductors")</f>
        <v>NXP Semiconductors</v>
      </c>
      <c r="C21573" s="6">
        <v>3000</v>
      </c>
      <c r="D21573" s="7">
        <v>0</v>
      </c>
      <c r="E21573" t="s">
        <v>100</v>
      </c>
    </row>
    <row r="21574" spans="1:5" x14ac:dyDescent="0.25">
      <c r="A21574" t="str">
        <f>HYPERLINK("https://www.773grp.com/globalSearch/CM1416-03CP/page-1", "CM1416-03CP")</f>
        <v>CM1416-03CP</v>
      </c>
      <c r="B21574" s="3" t="str">
        <f>HYPERLINK("https://www.773grp.com/manufacturer/nxp-semiconductor?pageNo=22", "NXP Semiconductors")</f>
        <v>NXP Semiconductors</v>
      </c>
      <c r="C21574" s="6">
        <v>3500</v>
      </c>
      <c r="D21574" s="7">
        <v>0</v>
      </c>
      <c r="E21574" t="s">
        <v>100</v>
      </c>
    </row>
    <row r="21575" spans="1:5" x14ac:dyDescent="0.25">
      <c r="A21575" t="str">
        <f>HYPERLINK("https://www.773grp.com/globalSearch/CM1423-03CP/page-1", "CM1423-03CP")</f>
        <v>CM1423-03CP</v>
      </c>
      <c r="B21575" s="3" t="str">
        <f>HYPERLINK("https://www.773grp.com/manufacturer/nxp-semiconductor?pageNo=23", "NXP Semiconductors")</f>
        <v>NXP Semiconductors</v>
      </c>
      <c r="C21575" s="6">
        <v>3500</v>
      </c>
      <c r="D21575" s="7">
        <v>0</v>
      </c>
      <c r="E21575" t="s">
        <v>100</v>
      </c>
    </row>
    <row r="21576" spans="1:5" x14ac:dyDescent="0.25">
      <c r="A21576" t="str">
        <f>HYPERLINK("https://www.773grp.com/globalSearch/CM1426-04CP/page-1", "CM1426-04CP")</f>
        <v>CM1426-04CP</v>
      </c>
      <c r="B21576" s="3" t="str">
        <f>HYPERLINK("https://www.773grp.com/manufacturer/nxp-semiconductor?pageNo=24", "NXP Semiconductors")</f>
        <v>NXP Semiconductors</v>
      </c>
      <c r="C21576" s="6">
        <v>3500</v>
      </c>
      <c r="D21576" s="7">
        <v>0</v>
      </c>
      <c r="E21576" t="s">
        <v>100</v>
      </c>
    </row>
    <row r="21577" spans="1:5" x14ac:dyDescent="0.25">
      <c r="A21577" t="str">
        <f>HYPERLINK("https://www.773grp.com/globalSearch/CM1430-04DE/page-1", "CM1430-04DE")</f>
        <v>CM1430-04DE</v>
      </c>
      <c r="B21577" s="3" t="str">
        <f>HYPERLINK("https://www.773grp.com/manufacturer/nxp-semiconductor?pageNo=25", "NXP Semiconductors")</f>
        <v>NXP Semiconductors</v>
      </c>
      <c r="C21577" s="6">
        <v>3000</v>
      </c>
      <c r="D21577" s="7">
        <v>0</v>
      </c>
      <c r="E21577" t="s">
        <v>100</v>
      </c>
    </row>
    <row r="21578" spans="1:5" x14ac:dyDescent="0.25">
      <c r="A21578" t="str">
        <f>HYPERLINK("https://www.773grp.com/globalSearch/CM1450-06CP/page-1", "CM1450-06CP")</f>
        <v>CM1450-06CP</v>
      </c>
      <c r="B21578" s="3" t="str">
        <f>HYPERLINK("https://www.773grp.com/manufacturer/nxp-semiconductor?pageNo=26", "NXP Semiconductors")</f>
        <v>NXP Semiconductors</v>
      </c>
      <c r="C21578" s="6">
        <v>24500</v>
      </c>
      <c r="D21578" s="7">
        <v>0</v>
      </c>
      <c r="E21578" t="s">
        <v>100</v>
      </c>
    </row>
    <row r="21579" spans="1:5" x14ac:dyDescent="0.25">
      <c r="A21579" t="str">
        <f>HYPERLINK("https://www.773grp.com/globalSearch/CM1450-08CP/page-1", "CM1450-08CP")</f>
        <v>CM1450-08CP</v>
      </c>
      <c r="B21579" s="3" t="str">
        <f>HYPERLINK("https://www.773grp.com/manufacturer/nxp-semiconductor?pageNo=27", "NXP Semiconductors")</f>
        <v>NXP Semiconductors</v>
      </c>
      <c r="C21579" s="6">
        <v>49000</v>
      </c>
      <c r="D21579" s="7">
        <v>0</v>
      </c>
      <c r="E21579" t="s">
        <v>100</v>
      </c>
    </row>
    <row r="21580" spans="1:5" x14ac:dyDescent="0.25">
      <c r="A21580" t="str">
        <f>HYPERLINK("https://www.773grp.com/globalSearch/CM1452-04CP/page-1", "CM1452-04CP")</f>
        <v>CM1452-04CP</v>
      </c>
      <c r="B21580" s="3" t="str">
        <f>HYPERLINK("https://www.773grp.com/manufacturer/nxp-semiconductor?pageNo=28", "NXP Semiconductors")</f>
        <v>NXP Semiconductors</v>
      </c>
      <c r="C21580" s="6">
        <v>3500</v>
      </c>
      <c r="D21580" s="7">
        <v>0</v>
      </c>
      <c r="E21580" t="s">
        <v>100</v>
      </c>
    </row>
    <row r="21581" spans="1:5" x14ac:dyDescent="0.25">
      <c r="A21581" t="str">
        <f>HYPERLINK("https://www.773grp.com/globalSearch/CM1454-08CP/page-1", "CM1454-08CP")</f>
        <v>CM1454-08CP</v>
      </c>
      <c r="B21581" s="3" t="str">
        <f>HYPERLINK("https://www.773grp.com/manufacturer/nxp-semiconductor?pageNo=29", "NXP Semiconductors")</f>
        <v>NXP Semiconductors</v>
      </c>
      <c r="C21581" s="6">
        <v>3500</v>
      </c>
      <c r="D21581" s="7">
        <v>0</v>
      </c>
      <c r="E21581" t="s">
        <v>100</v>
      </c>
    </row>
    <row r="21582" spans="1:5" x14ac:dyDescent="0.25">
      <c r="A21582" t="str">
        <f>HYPERLINK("https://www.773grp.com/globalSearch/CM1460-08DE/page-1", "CM1460-08DE")</f>
        <v>CM1460-08DE</v>
      </c>
      <c r="B21582" s="3" t="str">
        <f>HYPERLINK("https://www.773grp.com/manufacturer/nxp-semiconductor?pageNo=30", "NXP Semiconductors")</f>
        <v>NXP Semiconductors</v>
      </c>
      <c r="C21582" s="6">
        <v>75000</v>
      </c>
      <c r="D21582" s="7">
        <v>0</v>
      </c>
    </row>
    <row r="21583" spans="1:5" x14ac:dyDescent="0.25">
      <c r="A21583" t="str">
        <f>HYPERLINK("https://www.773grp.com/globalSearch/CM1484-02S7/page-1", "CM1484-02S7")</f>
        <v>CM1484-02S7</v>
      </c>
      <c r="B21583" s="3" t="str">
        <f>HYPERLINK("https://www.773grp.com/manufacturer/nxp-semiconductor?pageNo=31", "NXP Semiconductors")</f>
        <v>NXP Semiconductors</v>
      </c>
      <c r="C21583" s="6">
        <v>3000</v>
      </c>
      <c r="D21583" s="7">
        <v>0</v>
      </c>
      <c r="E21583" t="s">
        <v>100</v>
      </c>
    </row>
    <row r="21584" spans="1:5" x14ac:dyDescent="0.25">
      <c r="A21584" t="str">
        <f>HYPERLINK("https://www.773grp.com/globalSearch/CM1499-E6DE/page-1", "CM1499-E6DE")</f>
        <v>CM1499-E6DE</v>
      </c>
      <c r="B21584" s="3" t="str">
        <f>HYPERLINK("https://www.773grp.com/manufacturer/nxp-semiconductor?pageNo=32", "NXP Semiconductors")</f>
        <v>NXP Semiconductors</v>
      </c>
      <c r="C21584" s="6">
        <v>3000</v>
      </c>
      <c r="D21584" s="7">
        <v>0</v>
      </c>
      <c r="E21584" t="s">
        <v>100</v>
      </c>
    </row>
    <row r="21585" spans="1:5" x14ac:dyDescent="0.25">
      <c r="A21585" t="str">
        <f>HYPERLINK("https://www.773grp.com/globalSearch/CM1622-08DE/page-1", "CM1622-08DE")</f>
        <v>CM1622-08DE</v>
      </c>
      <c r="B21585" s="3" t="str">
        <f>HYPERLINK("https://www.773grp.com/manufacturer/nxp-semiconductor?pageNo=33", "NXP Semiconductors")</f>
        <v>NXP Semiconductors</v>
      </c>
      <c r="C21585" s="6">
        <v>3000</v>
      </c>
      <c r="D21585" s="7">
        <v>0</v>
      </c>
      <c r="E21585" t="s">
        <v>100</v>
      </c>
    </row>
    <row r="21586" spans="1:5" x14ac:dyDescent="0.25">
      <c r="A21586" t="str">
        <f>HYPERLINK("https://www.773grp.com/globalSearch/CM1623-04DE/page-1", "CM1623-04DE")</f>
        <v>CM1623-04DE</v>
      </c>
      <c r="B21586" s="3" t="str">
        <f>HYPERLINK("https://www.773grp.com/manufacturer/nxp-semiconductor?pageNo=34", "NXP Semiconductors")</f>
        <v>NXP Semiconductors</v>
      </c>
      <c r="C21586" s="6">
        <v>6000</v>
      </c>
      <c r="D21586" s="7">
        <v>0</v>
      </c>
      <c r="E21586" t="s">
        <v>96</v>
      </c>
    </row>
    <row r="21587" spans="1:5" x14ac:dyDescent="0.25">
      <c r="A21587" t="str">
        <f>HYPERLINK("https://www.773grp.com/globalSearch/CM1683-02DE/page-1", "CM1683-02DE")</f>
        <v>CM1683-02DE</v>
      </c>
      <c r="B21587" s="3" t="str">
        <f>HYPERLINK("https://www.773grp.com/manufacturer/nxp-semiconductor?pageNo=35", "NXP Semiconductors")</f>
        <v>NXP Semiconductors</v>
      </c>
      <c r="C21587" s="6">
        <v>89990</v>
      </c>
      <c r="D21587" s="7">
        <v>0</v>
      </c>
      <c r="E21587" t="s">
        <v>100</v>
      </c>
    </row>
    <row r="21588" spans="1:5" x14ac:dyDescent="0.25">
      <c r="A21588" t="str">
        <f>HYPERLINK("https://www.773grp.com/globalSearch/CM6126/page-1", "CM6126")</f>
        <v>CM6126</v>
      </c>
      <c r="B21588" s="3" t="str">
        <f>HYPERLINK("https://www.773grp.com/manufacturer/nxp-semiconductor?pageNo=36", "NXP Semiconductors")</f>
        <v>NXP Semiconductors</v>
      </c>
      <c r="C21588" s="6">
        <v>45000</v>
      </c>
      <c r="D21588" s="7">
        <v>0</v>
      </c>
    </row>
    <row r="21589" spans="1:5" x14ac:dyDescent="0.25">
      <c r="A21589" t="str">
        <f>HYPERLINK("https://www.773grp.com/globalSearch/CMP1230-04CP/page-1", "CMP1230-04CP")</f>
        <v>CMP1230-04CP</v>
      </c>
      <c r="B21589" s="3" t="str">
        <f>HYPERLINK("https://www.773grp.com/manufacturer/nxp-semiconductor?pageNo=37", "NXP Semiconductors")</f>
        <v>NXP Semiconductors</v>
      </c>
      <c r="C21589" s="6">
        <v>1800</v>
      </c>
      <c r="D21589" s="7">
        <v>0</v>
      </c>
    </row>
    <row r="21590" spans="1:5" x14ac:dyDescent="0.25">
      <c r="A21590" t="str">
        <f>HYPERLINK("https://www.773grp.com/globalSearch/CPH3148-TL-E/page-1", "CPH3148-TL-E")</f>
        <v>CPH3148-TL-E</v>
      </c>
      <c r="B21590" s="3" t="str">
        <f>HYPERLINK("https://www.773grp.com/manufacturer/nxp-semiconductor?pageNo=38", "NXP Semiconductors")</f>
        <v>NXP Semiconductors</v>
      </c>
      <c r="C21590" s="6">
        <v>3000</v>
      </c>
      <c r="D21590" s="7">
        <v>0</v>
      </c>
    </row>
    <row r="21591" spans="1:5" x14ac:dyDescent="0.25">
      <c r="A21591" t="str">
        <f>HYPERLINK("https://www.773grp.com/globalSearch/CPH3214-TL-E/page-1", "CPH3214-TL-E")</f>
        <v>CPH3214-TL-E</v>
      </c>
      <c r="B21591" s="3" t="str">
        <f>HYPERLINK("https://www.773grp.com/manufacturer/nxp-semiconductor?pageNo=39", "NXP Semiconductors")</f>
        <v>NXP Semiconductors</v>
      </c>
      <c r="C21591" s="6">
        <v>15000</v>
      </c>
      <c r="D21591" s="7">
        <v>0</v>
      </c>
    </row>
    <row r="21592" spans="1:5" x14ac:dyDescent="0.25">
      <c r="A21592" t="str">
        <f>HYPERLINK("https://www.773grp.com/globalSearch/CPH3248-TL-E/page-1", "CPH3248-TL-E")</f>
        <v>CPH3248-TL-E</v>
      </c>
      <c r="B21592" s="3" t="str">
        <f>HYPERLINK("https://www.773grp.com/manufacturer/nxp-semiconductor?pageNo=40", "NXP Semiconductors")</f>
        <v>NXP Semiconductors</v>
      </c>
      <c r="C21592" s="6">
        <v>9000</v>
      </c>
      <c r="D21592" s="7">
        <v>0</v>
      </c>
    </row>
    <row r="21593" spans="1:5" x14ac:dyDescent="0.25">
      <c r="A21593" t="str">
        <f>HYPERLINK("https://www.773grp.com/globalSearch/CPH3424-TL-E/page-1", "CPH3424-TL-E")</f>
        <v>CPH3424-TL-E</v>
      </c>
      <c r="B21593" s="3" t="str">
        <f>HYPERLINK("https://www.773grp.com/manufacturer/nxp-semiconductor?pageNo=41", "NXP Semiconductors")</f>
        <v>NXP Semiconductors</v>
      </c>
      <c r="C21593" s="6">
        <v>177000</v>
      </c>
      <c r="D21593" s="7">
        <v>0</v>
      </c>
    </row>
    <row r="21594" spans="1:5" x14ac:dyDescent="0.25">
      <c r="A21594" t="str">
        <f>HYPERLINK("https://www.773grp.com/globalSearch/CPH3441-TL-E/page-1", "CPH3441-TL-E")</f>
        <v>CPH3441-TL-E</v>
      </c>
      <c r="B21594" s="3" t="str">
        <f>HYPERLINK("https://www.773grp.com/manufacturer/nxp-semiconductor?pageNo=42", "NXP Semiconductors")</f>
        <v>NXP Semiconductors</v>
      </c>
      <c r="C21594" s="6">
        <v>6000</v>
      </c>
      <c r="D21594" s="7">
        <v>0</v>
      </c>
    </row>
    <row r="21595" spans="1:5" x14ac:dyDescent="0.25">
      <c r="A21595" t="str">
        <f>HYPERLINK("https://www.773grp.com/globalSearch/CPH5809-TL-E/page-1", "CPH5809-TL-E")</f>
        <v>CPH5809-TL-E</v>
      </c>
      <c r="B21595" s="3" t="str">
        <f>HYPERLINK("https://www.773grp.com/manufacturer/nxp-semiconductor?pageNo=43", "NXP Semiconductors")</f>
        <v>NXP Semiconductors</v>
      </c>
      <c r="C21595" s="6">
        <v>3000</v>
      </c>
      <c r="D21595" s="7">
        <v>0</v>
      </c>
    </row>
    <row r="21596" spans="1:5" x14ac:dyDescent="0.25">
      <c r="A21596" t="str">
        <f>HYPERLINK("https://www.773grp.com/globalSearch/CPH5846-TL-E/page-1", "CPH5846-TL-E")</f>
        <v>CPH5846-TL-E</v>
      </c>
      <c r="B21596" s="3" t="str">
        <f>HYPERLINK("https://www.773grp.com/manufacturer/nxp-semiconductor?pageNo=44", "NXP Semiconductors")</f>
        <v>NXP Semiconductors</v>
      </c>
      <c r="C21596" s="6">
        <v>15000</v>
      </c>
      <c r="D21596" s="7">
        <v>0</v>
      </c>
    </row>
    <row r="21597" spans="1:5" x14ac:dyDescent="0.25">
      <c r="A21597" t="str">
        <f>HYPERLINK("https://www.773grp.com/globalSearch/CPH5903K-F-TL-E/page-1", "CPH5903K-F-TL-E")</f>
        <v>CPH5903K-F-TL-E</v>
      </c>
      <c r="B21597" s="3" t="str">
        <f>HYPERLINK("https://www.773grp.com/manufacturer/nxp-semiconductor?pageNo=45", "NXP Semiconductors")</f>
        <v>NXP Semiconductors</v>
      </c>
      <c r="C21597" s="6">
        <v>3000</v>
      </c>
      <c r="D21597" s="7">
        <v>0</v>
      </c>
    </row>
    <row r="21598" spans="1:5" x14ac:dyDescent="0.25">
      <c r="A21598" t="str">
        <f>HYPERLINK("https://www.773grp.com/globalSearch/CPH6001-A-TL-E/page-1", "CPH6001-A-TL-E")</f>
        <v>CPH6001-A-TL-E</v>
      </c>
      <c r="B21598" s="3" t="str">
        <f>HYPERLINK("https://www.773grp.com/manufacturer/nxp-semiconductor?pageNo=46", "NXP Semiconductors")</f>
        <v>NXP Semiconductors</v>
      </c>
      <c r="C21598" s="6">
        <v>3000</v>
      </c>
      <c r="D21598" s="7">
        <v>0</v>
      </c>
    </row>
    <row r="21599" spans="1:5" x14ac:dyDescent="0.25">
      <c r="A21599" t="str">
        <f>HYPERLINK("https://www.773grp.com/globalSearch/CPH6311-TL-E/page-1", "CPH6311-TL-E")</f>
        <v>CPH6311-TL-E</v>
      </c>
      <c r="B21599" s="3" t="str">
        <f>HYPERLINK("https://www.773grp.com/manufacturer/nxp-semiconductor?pageNo=47", "NXP Semiconductors")</f>
        <v>NXP Semiconductors</v>
      </c>
      <c r="C21599" s="6">
        <v>3000</v>
      </c>
      <c r="D21599" s="7">
        <v>0</v>
      </c>
    </row>
    <row r="21600" spans="1:5" x14ac:dyDescent="0.25">
      <c r="A21600" t="str">
        <f>HYPERLINK("https://www.773grp.com/globalSearch/CPH6318-TL-E/page-1", "CPH6318-TL-E")</f>
        <v>CPH6318-TL-E</v>
      </c>
      <c r="B21600" s="3" t="str">
        <f>HYPERLINK("https://www.773grp.com/manufacturer/nxp-semiconductor?pageNo=48", "NXP Semiconductors")</f>
        <v>NXP Semiconductors</v>
      </c>
      <c r="C21600" s="6">
        <v>3000</v>
      </c>
      <c r="D21600" s="7">
        <v>0</v>
      </c>
    </row>
    <row r="21601" spans="1:5" x14ac:dyDescent="0.25">
      <c r="A21601" t="str">
        <f>HYPERLINK("https://www.773grp.com/globalSearch/CPH6414-TL-E/page-1", "CPH6414-TL-E")</f>
        <v>CPH6414-TL-E</v>
      </c>
      <c r="B21601" s="3" t="str">
        <f>HYPERLINK("https://www.773grp.com/manufacturer/nxp-semiconductor?pageNo=1", "NXP Semiconductors")</f>
        <v>NXP Semiconductors</v>
      </c>
      <c r="C21601" s="6">
        <v>3000</v>
      </c>
      <c r="D21601" s="7">
        <v>0</v>
      </c>
    </row>
    <row r="21602" spans="1:5" x14ac:dyDescent="0.25">
      <c r="A21602" t="str">
        <f>HYPERLINK("https://www.773grp.com/globalSearch/CPH6702-TL-E/page-1", "CPH6702-TL-E")</f>
        <v>CPH6702-TL-E</v>
      </c>
      <c r="B21602" s="3" t="str">
        <f>HYPERLINK("https://www.773grp.com/manufacturer/nxp-semiconductor?pageNo=2", "NXP Semiconductors")</f>
        <v>NXP Semiconductors</v>
      </c>
      <c r="C21602" s="6">
        <v>30000</v>
      </c>
      <c r="D21602" s="7">
        <v>0</v>
      </c>
    </row>
    <row r="21603" spans="1:5" x14ac:dyDescent="0.25">
      <c r="A21603" t="str">
        <f>HYPERLINK("https://www.773grp.com/globalSearch/CS209YDR14G/page-1", "CS209YDR14G")</f>
        <v>CS209YDR14G</v>
      </c>
      <c r="B21603" s="3" t="str">
        <f>HYPERLINK("https://www.773grp.com/manufacturer/nxp-semiconductor?pageNo=3", "NXP Semiconductors")</f>
        <v>NXP Semiconductors</v>
      </c>
      <c r="C21603" s="6">
        <v>22500</v>
      </c>
      <c r="D21603" s="7">
        <v>0</v>
      </c>
    </row>
    <row r="21604" spans="1:5" x14ac:dyDescent="0.25">
      <c r="A21604" t="str">
        <f>HYPERLINK("https://www.773grp.com/globalSearch/CS291YDW16/page-1", "CS291YDW16")</f>
        <v>CS291YDW16</v>
      </c>
      <c r="B21604" s="3" t="str">
        <f>HYPERLINK("https://www.773grp.com/manufacturer/nxp-semiconductor?pageNo=4", "NXP Semiconductors")</f>
        <v>NXP Semiconductors</v>
      </c>
      <c r="C21604" s="6">
        <v>2256</v>
      </c>
      <c r="D21604" s="7">
        <v>0</v>
      </c>
      <c r="E21604" t="s">
        <v>40</v>
      </c>
    </row>
    <row r="21605" spans="1:5" x14ac:dyDescent="0.25">
      <c r="A21605" t="str">
        <f>HYPERLINK("https://www.773grp.com/globalSearch/CS3404YDWR16/page-1", "CS3404YDWR16")</f>
        <v>CS3404YDWR16</v>
      </c>
      <c r="B21605" s="3" t="str">
        <f>HYPERLINK("https://www.773grp.com/manufacturer/nxp-semiconductor?pageNo=5", "NXP Semiconductors")</f>
        <v>NXP Semiconductors</v>
      </c>
      <c r="C21605" s="6">
        <v>6000</v>
      </c>
      <c r="D21605" s="7">
        <v>0</v>
      </c>
    </row>
    <row r="21606" spans="1:5" x14ac:dyDescent="0.25">
      <c r="A21606" t="str">
        <f>HYPERLINK("https://www.773grp.com/globalSearch/CS41022DPSR7/page-1", "CS41022DPSR7")</f>
        <v>CS41022DPSR7</v>
      </c>
      <c r="B21606" s="3" t="str">
        <f>HYPERLINK("https://www.773grp.com/manufacturer/nxp-semiconductor?pageNo=6", "NXP Semiconductors")</f>
        <v>NXP Semiconductors</v>
      </c>
      <c r="C21606" s="6">
        <v>8250</v>
      </c>
      <c r="D21606" s="7">
        <v>0</v>
      </c>
    </row>
    <row r="21607" spans="1:5" x14ac:dyDescent="0.25">
      <c r="A21607" t="str">
        <f>HYPERLINK("https://www.773grp.com/globalSearch/CS41077DWR16/page-1", "CS41077DWR16")</f>
        <v>CS41077DWR16</v>
      </c>
      <c r="B21607" s="3" t="str">
        <f>HYPERLINK("https://www.773grp.com/manufacturer/nxp-semiconductor?pageNo=7", "NXP Semiconductors")</f>
        <v>NXP Semiconductors</v>
      </c>
      <c r="C21607" s="6">
        <v>1000</v>
      </c>
      <c r="D21607" s="7">
        <v>0</v>
      </c>
    </row>
    <row r="21608" spans="1:5" x14ac:dyDescent="0.25">
      <c r="A21608" t="str">
        <f>HYPERLINK("https://www.773grp.com/globalSearch/CS41079DR8/page-1", "CS41079DR8")</f>
        <v>CS41079DR8</v>
      </c>
      <c r="B21608" s="3" t="str">
        <f>HYPERLINK("https://www.773grp.com/manufacturer/nxp-semiconductor?pageNo=8", "NXP Semiconductors")</f>
        <v>NXP Semiconductors</v>
      </c>
      <c r="C21608" s="6">
        <v>1870</v>
      </c>
      <c r="D21608" s="7">
        <v>0</v>
      </c>
    </row>
    <row r="21609" spans="1:5" x14ac:dyDescent="0.25">
      <c r="A21609" t="str">
        <f>HYPERLINK("https://www.773grp.com/globalSearch/CS41082T5/page-1", "CS41082T5")</f>
        <v>CS41082T5</v>
      </c>
      <c r="B21609" s="3" t="str">
        <f>HYPERLINK("https://www.773grp.com/manufacturer/nxp-semiconductor?pageNo=9", "NXP Semiconductors")</f>
        <v>NXP Semiconductors</v>
      </c>
      <c r="C21609" s="6">
        <v>550</v>
      </c>
      <c r="D21609" s="7">
        <v>0</v>
      </c>
    </row>
    <row r="21610" spans="1:5" x14ac:dyDescent="0.25">
      <c r="A21610" t="str">
        <f>HYPERLINK("https://www.773grp.com/globalSearch/CS41083T5/page-1", "CS41083T5")</f>
        <v>CS41083T5</v>
      </c>
      <c r="B21610" s="3" t="str">
        <f>HYPERLINK("https://www.773grp.com/manufacturer/nxp-semiconductor?pageNo=10", "NXP Semiconductors")</f>
        <v>NXP Semiconductors</v>
      </c>
      <c r="C21610" s="6">
        <v>800</v>
      </c>
      <c r="D21610" s="7">
        <v>0</v>
      </c>
    </row>
    <row r="21611" spans="1:5" x14ac:dyDescent="0.25">
      <c r="A21611" t="str">
        <f>HYPERLINK("https://www.773grp.com/globalSearch/CS41083TVA5/page-1", "CS41083TVA5")</f>
        <v>CS41083TVA5</v>
      </c>
      <c r="B21611" s="3" t="str">
        <f>HYPERLINK("https://www.773grp.com/manufacturer/nxp-semiconductor?pageNo=11", "NXP Semiconductors")</f>
        <v>NXP Semiconductors</v>
      </c>
      <c r="C21611" s="6">
        <v>900</v>
      </c>
      <c r="D21611" s="7">
        <v>0</v>
      </c>
    </row>
    <row r="21612" spans="1:5" x14ac:dyDescent="0.25">
      <c r="A21612" t="str">
        <f>HYPERLINK("https://www.773grp.com/globalSearch/CS41087T5/page-1", "CS41087T5")</f>
        <v>CS41087T5</v>
      </c>
      <c r="B21612" s="3" t="str">
        <f>HYPERLINK("https://www.773grp.com/manufacturer/nxp-semiconductor?pageNo=12", "NXP Semiconductors")</f>
        <v>NXP Semiconductors</v>
      </c>
      <c r="C21612" s="6">
        <v>4850</v>
      </c>
      <c r="D21612" s="7">
        <v>0</v>
      </c>
    </row>
    <row r="21613" spans="1:5" x14ac:dyDescent="0.25">
      <c r="A21613" t="str">
        <f>HYPERLINK("https://www.773grp.com/globalSearch/CS41090TVA7/page-1", "CS41090TVA7")</f>
        <v>CS41090TVA7</v>
      </c>
      <c r="B21613" s="3" t="str">
        <f>HYPERLINK("https://www.773grp.com/manufacturer/nxp-semiconductor?pageNo=13", "NXP Semiconductors")</f>
        <v>NXP Semiconductors</v>
      </c>
      <c r="C21613" s="6">
        <v>100</v>
      </c>
      <c r="D21613" s="7">
        <v>0</v>
      </c>
    </row>
    <row r="21614" spans="1:5" x14ac:dyDescent="0.25">
      <c r="A21614" t="str">
        <f>HYPERLINK("https://www.773grp.com/globalSearch/CS41091T5/page-1", "CS41091T5")</f>
        <v>CS41091T5</v>
      </c>
      <c r="B21614" s="3" t="str">
        <f>HYPERLINK("https://www.773grp.com/manufacturer/nxp-semiconductor?pageNo=14", "NXP Semiconductors")</f>
        <v>NXP Semiconductors</v>
      </c>
      <c r="C21614" s="6">
        <v>6450</v>
      </c>
      <c r="D21614" s="7">
        <v>0</v>
      </c>
    </row>
    <row r="21615" spans="1:5" x14ac:dyDescent="0.25">
      <c r="A21615" t="str">
        <f>HYPERLINK("https://www.773grp.com/globalSearch/CS41092DWF16/page-1", "CS41092DWF16")</f>
        <v>CS41092DWF16</v>
      </c>
      <c r="B21615" s="3" t="str">
        <f>HYPERLINK("https://www.773grp.com/manufacturer/nxp-semiconductor?pageNo=15", "NXP Semiconductors")</f>
        <v>NXP Semiconductors</v>
      </c>
      <c r="C21615" s="6">
        <v>1880</v>
      </c>
      <c r="D21615" s="7">
        <v>0</v>
      </c>
    </row>
    <row r="21616" spans="1:5" x14ac:dyDescent="0.25">
      <c r="A21616" t="str">
        <f>HYPERLINK("https://www.773grp.com/globalSearch/CS41099DPR3/page-1", "CS41099DPR3")</f>
        <v>CS41099DPR3</v>
      </c>
      <c r="B21616" s="3" t="str">
        <f>HYPERLINK("https://www.773grp.com/manufacturer/nxp-semiconductor?pageNo=16", "NXP Semiconductors")</f>
        <v>NXP Semiconductors</v>
      </c>
      <c r="C21616" s="6">
        <v>13500</v>
      </c>
      <c r="D21616" s="7">
        <v>0</v>
      </c>
    </row>
    <row r="21617" spans="1:5" x14ac:dyDescent="0.25">
      <c r="A21617" t="str">
        <f>HYPERLINK("https://www.773grp.com/globalSearch/CS41104DPSR7/page-1", "CS41104DPSR7")</f>
        <v>CS41104DPSR7</v>
      </c>
      <c r="B21617" s="3" t="str">
        <f>HYPERLINK("https://www.773grp.com/manufacturer/nxp-semiconductor?pageNo=17", "NXP Semiconductors")</f>
        <v>NXP Semiconductors</v>
      </c>
      <c r="C21617" s="6">
        <v>15000</v>
      </c>
      <c r="D21617" s="7">
        <v>0</v>
      </c>
    </row>
    <row r="21618" spans="1:5" x14ac:dyDescent="0.25">
      <c r="A21618" t="str">
        <f>HYPERLINK("https://www.773grp.com/globalSearch/CS41106DPR5/page-1", "CS41106DPR5")</f>
        <v>CS41106DPR5</v>
      </c>
      <c r="B21618" s="3" t="str">
        <f>HYPERLINK("https://www.773grp.com/manufacturer/nxp-semiconductor?pageNo=18", "NXP Semiconductors")</f>
        <v>NXP Semiconductors</v>
      </c>
      <c r="C21618" s="6">
        <v>1500</v>
      </c>
      <c r="D21618" s="7">
        <v>0</v>
      </c>
    </row>
    <row r="21619" spans="1:5" x14ac:dyDescent="0.25">
      <c r="A21619" t="str">
        <f>HYPERLINK("https://www.773grp.com/globalSearch/CS41117DPR5/page-1", "CS41117DPR5")</f>
        <v>CS41117DPR5</v>
      </c>
      <c r="B21619" s="3" t="str">
        <f>HYPERLINK("https://www.773grp.com/manufacturer/nxp-semiconductor?pageNo=19", "NXP Semiconductors")</f>
        <v>NXP Semiconductors</v>
      </c>
      <c r="C21619" s="6">
        <v>21000</v>
      </c>
      <c r="D21619" s="7">
        <v>0</v>
      </c>
    </row>
    <row r="21620" spans="1:5" x14ac:dyDescent="0.25">
      <c r="A21620" t="str">
        <f>HYPERLINK("https://www.773grp.com/globalSearch/CS4172XDWFR16/page-1", "CS4172XDWFR16")</f>
        <v>CS4172XDWFR16</v>
      </c>
      <c r="B21620" s="3" t="str">
        <f>HYPERLINK("https://www.773grp.com/manufacturer/nxp-semiconductor?pageNo=20", "NXP Semiconductors")</f>
        <v>NXP Semiconductors</v>
      </c>
      <c r="C21620" s="6">
        <v>2899</v>
      </c>
      <c r="D21620" s="7">
        <v>0</v>
      </c>
      <c r="E21620" t="s">
        <v>11</v>
      </c>
    </row>
    <row r="21621" spans="1:5" x14ac:dyDescent="0.25">
      <c r="A21621" t="str">
        <f>HYPERLINK("https://www.773grp.com/globalSearch/CS4172XN16/page-1", "CS4172XN16")</f>
        <v>CS4172XN16</v>
      </c>
      <c r="B21621" s="3" t="str">
        <f>HYPERLINK("https://www.773grp.com/manufacturer/nxp-semiconductor?pageNo=21", "NXP Semiconductors")</f>
        <v>NXP Semiconductors</v>
      </c>
      <c r="C21621" s="6">
        <v>25</v>
      </c>
      <c r="D21621" s="7">
        <v>0</v>
      </c>
      <c r="E21621" t="s">
        <v>11</v>
      </c>
    </row>
    <row r="21622" spans="1:5" x14ac:dyDescent="0.25">
      <c r="A21622" t="str">
        <f>HYPERLINK("https://www.773grp.com/globalSearch/CS42080DR8/page-1", "CS42080DR8")</f>
        <v>CS42080DR8</v>
      </c>
      <c r="B21622" s="3" t="str">
        <f>HYPERLINK("https://www.773grp.com/manufacturer/nxp-semiconductor?pageNo=22", "NXP Semiconductors")</f>
        <v>NXP Semiconductors</v>
      </c>
      <c r="C21622" s="6">
        <v>138871</v>
      </c>
      <c r="D21622" s="7">
        <v>0</v>
      </c>
    </row>
    <row r="21623" spans="1:5" x14ac:dyDescent="0.25">
      <c r="A21623" t="str">
        <f>HYPERLINK("https://www.773grp.com/globalSearch/CS43017N14/page-1", "CS43017N14")</f>
        <v>CS43017N14</v>
      </c>
      <c r="B21623" s="3" t="str">
        <f>HYPERLINK("https://www.773grp.com/manufacturer/nxp-semiconductor?pageNo=23", "NXP Semiconductors")</f>
        <v>NXP Semiconductors</v>
      </c>
      <c r="C21623" s="6">
        <v>2025</v>
      </c>
      <c r="D21623" s="7">
        <v>0</v>
      </c>
    </row>
    <row r="21624" spans="1:5" x14ac:dyDescent="0.25">
      <c r="A21624" t="str">
        <f>HYPERLINK("https://www.773grp.com/globalSearch/CS43044T5/page-1", "CS43044T5")</f>
        <v>CS43044T5</v>
      </c>
      <c r="B21624" s="3" t="str">
        <f>HYPERLINK("https://www.773grp.com/manufacturer/nxp-semiconductor?pageNo=24", "NXP Semiconductors")</f>
        <v>NXP Semiconductors</v>
      </c>
      <c r="C21624" s="6">
        <v>51600</v>
      </c>
      <c r="D21624" s="7">
        <v>0</v>
      </c>
    </row>
    <row r="21625" spans="1:5" x14ac:dyDescent="0.25">
      <c r="A21625" t="str">
        <f>HYPERLINK("https://www.773grp.com/globalSearch/CS43044TVA5/page-1", "CS43044TVA5")</f>
        <v>CS43044TVA5</v>
      </c>
      <c r="B21625" s="3" t="str">
        <f>HYPERLINK("https://www.773grp.com/manufacturer/nxp-semiconductor?pageNo=25", "NXP Semiconductors")</f>
        <v>NXP Semiconductors</v>
      </c>
      <c r="C21625" s="6">
        <v>3600</v>
      </c>
      <c r="D21625" s="7">
        <v>0</v>
      </c>
    </row>
    <row r="21626" spans="1:5" x14ac:dyDescent="0.25">
      <c r="A21626" t="str">
        <f>HYPERLINK("https://www.773grp.com/globalSearch/CS43057N8/page-1", "CS43057N8")</f>
        <v>CS43057N8</v>
      </c>
      <c r="B21626" s="3" t="str">
        <f>HYPERLINK("https://www.773grp.com/manufacturer/nxp-semiconductor?pageNo=26", "NXP Semiconductors")</f>
        <v>NXP Semiconductors</v>
      </c>
      <c r="C21626" s="6">
        <v>59819</v>
      </c>
      <c r="D21626" s="7">
        <v>0</v>
      </c>
    </row>
    <row r="21627" spans="1:5" x14ac:dyDescent="0.25">
      <c r="A21627" t="str">
        <f>HYPERLINK("https://www.773grp.com/globalSearch/CS43065TVA5/page-1", "CS43065TVA5")</f>
        <v>CS43065TVA5</v>
      </c>
      <c r="B21627" s="3" t="str">
        <f>HYPERLINK("https://www.773grp.com/manufacturer/nxp-semiconductor?pageNo=27", "NXP Semiconductors")</f>
        <v>NXP Semiconductors</v>
      </c>
      <c r="C21627" s="6">
        <v>650</v>
      </c>
      <c r="D21627" s="7">
        <v>0</v>
      </c>
    </row>
    <row r="21628" spans="1:5" x14ac:dyDescent="0.25">
      <c r="A21628" t="str">
        <f>HYPERLINK("https://www.773grp.com/globalSearch/CS43067THA5/page-1", "CS43067THA5")</f>
        <v>CS43067THA5</v>
      </c>
      <c r="B21628" s="3" t="str">
        <f>HYPERLINK("https://www.773grp.com/manufacturer/nxp-semiconductor?pageNo=28", "NXP Semiconductors")</f>
        <v>NXP Semiconductors</v>
      </c>
      <c r="C21628" s="6">
        <v>235</v>
      </c>
      <c r="D21628" s="7">
        <v>0</v>
      </c>
    </row>
    <row r="21629" spans="1:5" x14ac:dyDescent="0.25">
      <c r="A21629" t="str">
        <f>HYPERLINK("https://www.773grp.com/globalSearch/CS43081THD5/page-1", "CS43081THD5")</f>
        <v>CS43081THD5</v>
      </c>
      <c r="B21629" s="3" t="str">
        <f>HYPERLINK("https://www.773grp.com/manufacturer/nxp-semiconductor?pageNo=29", "NXP Semiconductors")</f>
        <v>NXP Semiconductors</v>
      </c>
      <c r="C21629" s="6">
        <v>18050</v>
      </c>
      <c r="D21629" s="7">
        <v>0</v>
      </c>
    </row>
    <row r="21630" spans="1:5" x14ac:dyDescent="0.25">
      <c r="A21630" t="str">
        <f>HYPERLINK("https://www.773grp.com/globalSearch/CS43102TQVA5/page-1", "CS43102TQVA5")</f>
        <v>CS43102TQVA5</v>
      </c>
      <c r="B21630" s="3" t="str">
        <f>HYPERLINK("https://www.773grp.com/manufacturer/nxp-semiconductor?pageNo=30", "NXP Semiconductors")</f>
        <v>NXP Semiconductors</v>
      </c>
      <c r="C21630" s="6">
        <v>361240</v>
      </c>
      <c r="D21630" s="7">
        <v>0</v>
      </c>
    </row>
    <row r="21631" spans="1:5" x14ac:dyDescent="0.25">
      <c r="A21631" t="str">
        <f>HYPERLINK("https://www.773grp.com/globalSearch/CS43102TVA5/page-1", "CS43102TVA5")</f>
        <v>CS43102TVA5</v>
      </c>
      <c r="B21631" s="3" t="str">
        <f>HYPERLINK("https://www.773grp.com/manufacturer/nxp-semiconductor?pageNo=31", "NXP Semiconductors")</f>
        <v>NXP Semiconductors</v>
      </c>
      <c r="C21631" s="6">
        <v>233800</v>
      </c>
      <c r="D21631" s="7">
        <v>0</v>
      </c>
    </row>
    <row r="21632" spans="1:5" x14ac:dyDescent="0.25">
      <c r="A21632" t="str">
        <f>HYPERLINK("https://www.773grp.com/globalSearch/CS43107DR8/page-1", "CS43107DR8")</f>
        <v>CS43107DR8</v>
      </c>
      <c r="B21632" s="3" t="str">
        <f>HYPERLINK("https://www.773grp.com/manufacturer/nxp-semiconductor?pageNo=32", "NXP Semiconductors")</f>
        <v>NXP Semiconductors</v>
      </c>
      <c r="C21632" s="6">
        <v>2500</v>
      </c>
      <c r="D21632" s="7">
        <v>0</v>
      </c>
    </row>
    <row r="21633" spans="1:4" x14ac:dyDescent="0.25">
      <c r="A21633" t="str">
        <f>HYPERLINK("https://www.773grp.com/globalSearch/CS43108DR8/page-1", "CS43108DR8")</f>
        <v>CS43108DR8</v>
      </c>
      <c r="B21633" s="3" t="str">
        <f>HYPERLINK("https://www.773grp.com/manufacturer/nxp-semiconductor?pageNo=33", "NXP Semiconductors")</f>
        <v>NXP Semiconductors</v>
      </c>
      <c r="C21633" s="6">
        <v>25000</v>
      </c>
      <c r="D21633" s="7">
        <v>0</v>
      </c>
    </row>
    <row r="21634" spans="1:4" x14ac:dyDescent="0.25">
      <c r="A21634" t="str">
        <f>HYPERLINK("https://www.773grp.com/globalSearch/CS43141DWFR24/page-1", "CS43141DWFR24")</f>
        <v>CS43141DWFR24</v>
      </c>
      <c r="B21634" s="3" t="str">
        <f>HYPERLINK("https://www.773grp.com/manufacturer/nxp-semiconductor?pageNo=34", "NXP Semiconductors")</f>
        <v>NXP Semiconductors</v>
      </c>
      <c r="C21634" s="6">
        <v>10000</v>
      </c>
      <c r="D21634" s="7">
        <v>0</v>
      </c>
    </row>
    <row r="21635" spans="1:4" x14ac:dyDescent="0.25">
      <c r="A21635" t="str">
        <f>HYPERLINK("https://www.773grp.com/globalSearch/CS43171DWFR16/page-1", "CS43171DWFR16")</f>
        <v>CS43171DWFR16</v>
      </c>
      <c r="B21635" s="3" t="str">
        <f>HYPERLINK("https://www.773grp.com/manufacturer/nxp-semiconductor?pageNo=35", "NXP Semiconductors")</f>
        <v>NXP Semiconductors</v>
      </c>
      <c r="C21635" s="6">
        <v>8000</v>
      </c>
      <c r="D21635" s="7">
        <v>0</v>
      </c>
    </row>
    <row r="21636" spans="1:4" x14ac:dyDescent="0.25">
      <c r="A21636" t="str">
        <f>HYPERLINK("https://www.773grp.com/globalSearch/CS43179DFR8/page-1", "CS43179DFR8")</f>
        <v>CS43179DFR8</v>
      </c>
      <c r="B21636" s="3" t="str">
        <f>HYPERLINK("https://www.773grp.com/manufacturer/nxp-semiconductor?pageNo=36", "NXP Semiconductors")</f>
        <v>NXP Semiconductors</v>
      </c>
      <c r="C21636" s="6">
        <v>9244</v>
      </c>
      <c r="D21636" s="7">
        <v>0</v>
      </c>
    </row>
    <row r="21637" spans="1:4" x14ac:dyDescent="0.25">
      <c r="A21637" t="str">
        <f>HYPERLINK("https://www.773grp.com/globalSearch/CS44006N40/page-1", "CS44006N40")</f>
        <v>CS44006N40</v>
      </c>
      <c r="B21637" s="3" t="str">
        <f>HYPERLINK("https://www.773grp.com/manufacturer/nxp-semiconductor?pageNo=37", "NXP Semiconductors")</f>
        <v>NXP Semiconductors</v>
      </c>
      <c r="C21637" s="6">
        <v>531</v>
      </c>
      <c r="D21637" s="7">
        <v>0</v>
      </c>
    </row>
    <row r="21638" spans="1:4" x14ac:dyDescent="0.25">
      <c r="A21638" t="str">
        <f>HYPERLINK("https://www.773grp.com/globalSearch/CS44007N40/page-1", "CS44007N40")</f>
        <v>CS44007N40</v>
      </c>
      <c r="B21638" s="3" t="str">
        <f>HYPERLINK("https://www.773grp.com/manufacturer/nxp-semiconductor?pageNo=38", "NXP Semiconductors")</f>
        <v>NXP Semiconductors</v>
      </c>
      <c r="C21638" s="6">
        <v>243</v>
      </c>
      <c r="D21638" s="7">
        <v>0</v>
      </c>
    </row>
    <row r="21639" spans="1:4" x14ac:dyDescent="0.25">
      <c r="A21639" t="str">
        <f>HYPERLINK("https://www.773grp.com/globalSearch/CS44027N14/page-1", "CS44027N14")</f>
        <v>CS44027N14</v>
      </c>
      <c r="B21639" s="3" t="str">
        <f>HYPERLINK("https://www.773grp.com/manufacturer/nxp-semiconductor?pageNo=39", "NXP Semiconductors")</f>
        <v>NXP Semiconductors</v>
      </c>
      <c r="C21639" s="6">
        <v>33425</v>
      </c>
      <c r="D21639" s="7">
        <v>0</v>
      </c>
    </row>
    <row r="21640" spans="1:4" x14ac:dyDescent="0.25">
      <c r="A21640" t="str">
        <f>HYPERLINK("https://www.773grp.com/globalSearch/CS44030N14/page-1", "CS44030N14")</f>
        <v>CS44030N14</v>
      </c>
      <c r="B21640" s="3" t="str">
        <f>HYPERLINK("https://www.773grp.com/manufacturer/nxp-semiconductor?pageNo=40", "NXP Semiconductors")</f>
        <v>NXP Semiconductors</v>
      </c>
      <c r="C21640" s="6">
        <v>4100</v>
      </c>
      <c r="D21640" s="7">
        <v>0</v>
      </c>
    </row>
    <row r="21641" spans="1:4" x14ac:dyDescent="0.25">
      <c r="A21641" t="str">
        <f>HYPERLINK("https://www.773grp.com/globalSearch/CS44042DWR16/page-1", "CS44042DWR16")</f>
        <v>CS44042DWR16</v>
      </c>
      <c r="B21641" s="3" t="str">
        <f>HYPERLINK("https://www.773grp.com/manufacturer/nxp-semiconductor?pageNo=41", "NXP Semiconductors")</f>
        <v>NXP Semiconductors</v>
      </c>
      <c r="C21641" s="6">
        <v>9000</v>
      </c>
      <c r="D21641" s="7">
        <v>0</v>
      </c>
    </row>
    <row r="21642" spans="1:4" x14ac:dyDescent="0.25">
      <c r="A21642" t="str">
        <f>HYPERLINK("https://www.773grp.com/globalSearch/CS44076N8G/page-1", "CS44076N8G")</f>
        <v>CS44076N8G</v>
      </c>
      <c r="B21642" s="3" t="str">
        <f>HYPERLINK("https://www.773grp.com/manufacturer/nxp-semiconductor?pageNo=42", "NXP Semiconductors")</f>
        <v>NXP Semiconductors</v>
      </c>
      <c r="C21642" s="6">
        <v>28650</v>
      </c>
      <c r="D21642" s="7">
        <v>0</v>
      </c>
    </row>
    <row r="21643" spans="1:4" x14ac:dyDescent="0.25">
      <c r="A21643" t="str">
        <f>HYPERLINK("https://www.773grp.com/globalSearch/CS44079DR8/page-1", "CS44079DR8")</f>
        <v>CS44079DR8</v>
      </c>
      <c r="B21643" s="3" t="str">
        <f>HYPERLINK("https://www.773grp.com/manufacturer/nxp-semiconductor?pageNo=43", "NXP Semiconductors")</f>
        <v>NXP Semiconductors</v>
      </c>
      <c r="C21643" s="6">
        <v>27500</v>
      </c>
      <c r="D21643" s="7">
        <v>0</v>
      </c>
    </row>
    <row r="21644" spans="1:4" x14ac:dyDescent="0.25">
      <c r="A21644" t="str">
        <f>HYPERLINK("https://www.773grp.com/globalSearch/CS44094T5/page-1", "CS44094T5")</f>
        <v>CS44094T5</v>
      </c>
      <c r="B21644" s="3" t="str">
        <f>HYPERLINK("https://www.773grp.com/manufacturer/nxp-semiconductor?pageNo=44", "NXP Semiconductors")</f>
        <v>NXP Semiconductors</v>
      </c>
      <c r="C21644" s="6">
        <v>9550</v>
      </c>
      <c r="D21644" s="7">
        <v>0</v>
      </c>
    </row>
    <row r="21645" spans="1:4" x14ac:dyDescent="0.25">
      <c r="A21645" t="str">
        <f>HYPERLINK("https://www.773grp.com/globalSearch/CS44094THB5/page-1", "CS44094THB5")</f>
        <v>CS44094THB5</v>
      </c>
      <c r="B21645" s="3" t="str">
        <f>HYPERLINK("https://www.773grp.com/manufacturer/nxp-semiconductor?pageNo=45", "NXP Semiconductors")</f>
        <v>NXP Semiconductors</v>
      </c>
      <c r="C21645" s="6">
        <v>16000</v>
      </c>
      <c r="D21645" s="7">
        <v>0</v>
      </c>
    </row>
    <row r="21646" spans="1:4" x14ac:dyDescent="0.25">
      <c r="A21646" t="str">
        <f>HYPERLINK("https://www.773grp.com/globalSearch/CS44114DWR16G/page-1", "CS44114DWR16G")</f>
        <v>CS44114DWR16G</v>
      </c>
      <c r="B21646" s="3" t="str">
        <f>HYPERLINK("https://www.773grp.com/manufacturer/nxp-semiconductor?pageNo=46", "NXP Semiconductors")</f>
        <v>NXP Semiconductors</v>
      </c>
      <c r="C21646" s="6">
        <v>1000</v>
      </c>
      <c r="D21646" s="7">
        <v>0</v>
      </c>
    </row>
    <row r="21647" spans="1:4" x14ac:dyDescent="0.25">
      <c r="A21647" t="str">
        <f>HYPERLINK("https://www.773grp.com/globalSearch/CS44129DPSR7G/page-1", "CS44129DPSR7G")</f>
        <v>CS44129DPSR7G</v>
      </c>
      <c r="B21647" s="3" t="str">
        <f>HYPERLINK("https://www.773grp.com/manufacturer/nxp-semiconductor?pageNo=47", "NXP Semiconductors")</f>
        <v>NXP Semiconductors</v>
      </c>
      <c r="C21647" s="6">
        <v>4500</v>
      </c>
      <c r="D21647" s="7">
        <v>0</v>
      </c>
    </row>
    <row r="21648" spans="1:4" x14ac:dyDescent="0.25">
      <c r="A21648" t="str">
        <f>HYPERLINK("https://www.773grp.com/globalSearch/CS44167T5/page-1", "CS44167T5")</f>
        <v>CS44167T5</v>
      </c>
      <c r="B21648" s="3" t="str">
        <f>HYPERLINK("https://www.773grp.com/manufacturer/nxp-semiconductor?pageNo=48", "NXP Semiconductors")</f>
        <v>NXP Semiconductors</v>
      </c>
      <c r="C21648" s="6">
        <v>5650</v>
      </c>
      <c r="D21648" s="7">
        <v>0</v>
      </c>
    </row>
    <row r="21649" spans="1:5" x14ac:dyDescent="0.25">
      <c r="A21649" t="str">
        <f>HYPERLINK("https://www.773grp.com/globalSearch/CS45001D14/page-1", "CS45001D14")</f>
        <v>CS45001D14</v>
      </c>
      <c r="B21649" s="3" t="str">
        <f>HYPERLINK("https://www.773grp.com/manufacturer/nxp-semiconductor?pageNo=1", "NXP Semiconductors")</f>
        <v>NXP Semiconductors</v>
      </c>
      <c r="C21649" s="6">
        <v>2585</v>
      </c>
      <c r="D21649" s="7">
        <v>0</v>
      </c>
    </row>
    <row r="21650" spans="1:5" x14ac:dyDescent="0.25">
      <c r="A21650" t="str">
        <f>HYPERLINK("https://www.773grp.com/globalSearch/CS45001DR14/page-1", "CS45001DR14")</f>
        <v>CS45001DR14</v>
      </c>
      <c r="B21650" s="3" t="str">
        <f>HYPERLINK("https://www.773grp.com/manufacturer/nxp-semiconductor?pageNo=2", "NXP Semiconductors")</f>
        <v>NXP Semiconductors</v>
      </c>
      <c r="C21650" s="6">
        <v>205000</v>
      </c>
      <c r="D21650" s="7">
        <v>0</v>
      </c>
    </row>
    <row r="21651" spans="1:5" x14ac:dyDescent="0.25">
      <c r="A21651" t="str">
        <f>HYPERLINK("https://www.773grp.com/globalSearch/CS45008D14/page-1", "CS45008D14")</f>
        <v>CS45008D14</v>
      </c>
      <c r="B21651" s="3" t="str">
        <f>HYPERLINK("https://www.773grp.com/manufacturer/nxp-semiconductor?pageNo=3", "NXP Semiconductors")</f>
        <v>NXP Semiconductors</v>
      </c>
      <c r="C21651" s="6">
        <v>10120</v>
      </c>
      <c r="D21651" s="7">
        <v>0</v>
      </c>
    </row>
    <row r="21652" spans="1:5" x14ac:dyDescent="0.25">
      <c r="A21652" t="str">
        <f>HYPERLINK("https://www.773grp.com/globalSearch/CS45011DWFR16/page-1", "CS45011DWFR16")</f>
        <v>CS45011DWFR16</v>
      </c>
      <c r="B21652" s="3" t="str">
        <f>HYPERLINK("https://www.773grp.com/manufacturer/nxp-semiconductor?pageNo=4", "NXP Semiconductors")</f>
        <v>NXP Semiconductors</v>
      </c>
      <c r="C21652" s="6">
        <v>5000</v>
      </c>
      <c r="D21652" s="7">
        <v>0</v>
      </c>
    </row>
    <row r="21653" spans="1:5" x14ac:dyDescent="0.25">
      <c r="A21653" t="str">
        <f>HYPERLINK("https://www.773grp.com/globalSearch/CS45041N8/page-1", "CS45041N8")</f>
        <v>CS45041N8</v>
      </c>
      <c r="B21653" s="3" t="str">
        <f>HYPERLINK("https://www.773grp.com/manufacturer/nxp-semiconductor?pageNo=5", "NXP Semiconductors")</f>
        <v>NXP Semiconductors</v>
      </c>
      <c r="C21653" s="6">
        <v>5700</v>
      </c>
      <c r="D21653" s="7">
        <v>0</v>
      </c>
    </row>
    <row r="21654" spans="1:5" x14ac:dyDescent="0.25">
      <c r="A21654" t="str">
        <f>HYPERLINK("https://www.773grp.com/globalSearch/CS45079DR8/page-1", "CS45079DR8")</f>
        <v>CS45079DR8</v>
      </c>
      <c r="B21654" s="3" t="str">
        <f>HYPERLINK("https://www.773grp.com/manufacturer/nxp-semiconductor?pageNo=6", "NXP Semiconductors")</f>
        <v>NXP Semiconductors</v>
      </c>
      <c r="C21654" s="6">
        <v>2140</v>
      </c>
      <c r="D21654" s="7">
        <v>0</v>
      </c>
    </row>
    <row r="21655" spans="1:5" x14ac:dyDescent="0.25">
      <c r="A21655" t="str">
        <f>HYPERLINK("https://www.773grp.com/globalSearch/CS45089DPSR7/page-1", "CS45089DPSR7")</f>
        <v>CS45089DPSR7</v>
      </c>
      <c r="B21655" s="3" t="str">
        <f>HYPERLINK("https://www.773grp.com/manufacturer/nxp-semiconductor?pageNo=7", "NXP Semiconductors")</f>
        <v>NXP Semiconductors</v>
      </c>
      <c r="C21655" s="6">
        <v>5250</v>
      </c>
      <c r="D21655" s="7">
        <v>0</v>
      </c>
    </row>
    <row r="21656" spans="1:5" x14ac:dyDescent="0.25">
      <c r="A21656" t="str">
        <f>HYPERLINK("https://www.773grp.com/globalSearch/CS45093DWF16/page-1", "CS45093DWF16")</f>
        <v>CS45093DWF16</v>
      </c>
      <c r="B21656" s="3" t="str">
        <f>HYPERLINK("https://www.773grp.com/manufacturer/nxp-semiconductor?pageNo=8", "NXP Semiconductors")</f>
        <v>NXP Semiconductors</v>
      </c>
      <c r="C21656" s="6">
        <v>940</v>
      </c>
      <c r="D21656" s="7">
        <v>0</v>
      </c>
    </row>
    <row r="21657" spans="1:5" x14ac:dyDescent="0.25">
      <c r="A21657" t="str">
        <f>HYPERLINK("https://www.773grp.com/globalSearch/CS45093DWFR16/page-1", "CS45093DWFR16")</f>
        <v>CS45093DWFR16</v>
      </c>
      <c r="B21657" s="3" t="str">
        <f>HYPERLINK("https://www.773grp.com/manufacturer/nxp-semiconductor?pageNo=9", "NXP Semiconductors")</f>
        <v>NXP Semiconductors</v>
      </c>
      <c r="C21657" s="6">
        <v>3000</v>
      </c>
      <c r="D21657" s="7">
        <v>0</v>
      </c>
    </row>
    <row r="21658" spans="1:5" x14ac:dyDescent="0.25">
      <c r="A21658" t="str">
        <f>HYPERLINK("https://www.773grp.com/globalSearch/CS46054N8/page-1", "CS46054N8")</f>
        <v>CS46054N8</v>
      </c>
      <c r="B21658" s="3" t="str">
        <f>HYPERLINK("https://www.773grp.com/manufacturer/nxp-semiconductor?pageNo=10", "NXP Semiconductors")</f>
        <v>NXP Semiconductors</v>
      </c>
      <c r="C21658" s="6">
        <v>3050</v>
      </c>
      <c r="D21658" s="7">
        <v>0</v>
      </c>
    </row>
    <row r="21659" spans="1:5" x14ac:dyDescent="0.25">
      <c r="A21659" t="str">
        <f>HYPERLINK("https://www.773grp.com/globalSearch/CS464YDW16/page-1", "CS464YDW16")</f>
        <v>CS464YDW16</v>
      </c>
      <c r="B21659" s="3" t="str">
        <f>HYPERLINK("https://www.773grp.com/manufacturer/nxp-semiconductor?pageNo=11", "NXP Semiconductors")</f>
        <v>NXP Semiconductors</v>
      </c>
      <c r="C21659" s="6">
        <v>113</v>
      </c>
      <c r="D21659" s="7">
        <v>0</v>
      </c>
      <c r="E21659" t="s">
        <v>11</v>
      </c>
    </row>
    <row r="21660" spans="1:5" x14ac:dyDescent="0.25">
      <c r="A21660" t="str">
        <f>HYPERLINK("https://www.773grp.com/globalSearch/CS47002THA7/page-1", "CS47002THA7")</f>
        <v>CS47002THA7</v>
      </c>
      <c r="B21660" s="3" t="str">
        <f>HYPERLINK("https://www.773grp.com/manufacturer/nxp-semiconductor?pageNo=12", "NXP Semiconductors")</f>
        <v>NXP Semiconductors</v>
      </c>
      <c r="C21660" s="6">
        <v>500</v>
      </c>
      <c r="D21660" s="7">
        <v>0</v>
      </c>
    </row>
    <row r="21661" spans="1:5" x14ac:dyDescent="0.25">
      <c r="A21661" t="str">
        <f>HYPERLINK("https://www.773grp.com/globalSearch/CS48112DWR16/page-1", "CS48112DWR16")</f>
        <v>CS48112DWR16</v>
      </c>
      <c r="B21661" s="3" t="str">
        <f>HYPERLINK("https://www.773grp.com/manufacturer/nxp-semiconductor?pageNo=13", "NXP Semiconductors")</f>
        <v>NXP Semiconductors</v>
      </c>
      <c r="C21661" s="6">
        <v>32985</v>
      </c>
      <c r="D21661" s="7">
        <v>0</v>
      </c>
    </row>
    <row r="21662" spans="1:5" x14ac:dyDescent="0.25">
      <c r="A21662" t="str">
        <f>HYPERLINK("https://www.773grp.com/globalSearch/CS49053DWR16/page-1", "CS49053DWR16")</f>
        <v>CS49053DWR16</v>
      </c>
      <c r="B21662" s="3" t="str">
        <f>HYPERLINK("https://www.773grp.com/manufacturer/nxp-semiconductor?pageNo=14", "NXP Semiconductors")</f>
        <v>NXP Semiconductors</v>
      </c>
      <c r="C21662" s="6">
        <v>1221</v>
      </c>
      <c r="D21662" s="7">
        <v>0</v>
      </c>
    </row>
    <row r="21663" spans="1:5" x14ac:dyDescent="0.25">
      <c r="A21663" t="str">
        <f>HYPERLINK("https://www.773grp.com/globalSearch/CS5112YDWF24G/page-1", "CS5112YDWF24G")</f>
        <v>CS5112YDWF24G</v>
      </c>
      <c r="B21663" s="3" t="str">
        <f>HYPERLINK("https://www.773grp.com/manufacturer/nxp-semiconductor?pageNo=15", "NXP Semiconductors")</f>
        <v>NXP Semiconductors</v>
      </c>
      <c r="C21663" s="6">
        <v>150</v>
      </c>
      <c r="D21663" s="7">
        <v>0</v>
      </c>
      <c r="E21663" t="s">
        <v>7</v>
      </c>
    </row>
    <row r="21664" spans="1:5" x14ac:dyDescent="0.25">
      <c r="A21664" t="str">
        <f>HYPERLINK("https://www.773grp.com/globalSearch/CS5112YDWFR24G/page-1", "CS5112YDWFR24G")</f>
        <v>CS5112YDWFR24G</v>
      </c>
      <c r="B21664" s="3" t="str">
        <f>HYPERLINK("https://www.773grp.com/manufacturer/nxp-semiconductor?pageNo=16", "NXP Semiconductors")</f>
        <v>NXP Semiconductors</v>
      </c>
      <c r="C21664" s="6">
        <v>942</v>
      </c>
      <c r="D21664" s="7">
        <v>0</v>
      </c>
      <c r="E21664" t="s">
        <v>7</v>
      </c>
    </row>
    <row r="21665" spans="1:5" x14ac:dyDescent="0.25">
      <c r="A21665" t="str">
        <f>HYPERLINK("https://www.773grp.com/globalSearch/CS5253B-1GDPR5G/page-1", "CS5253B-1GDPR5G")</f>
        <v>CS5253B-1GDPR5G</v>
      </c>
      <c r="B21665" s="3" t="str">
        <f>HYPERLINK("https://www.773grp.com/manufacturer/nxp-semiconductor?pageNo=17", "NXP Semiconductors")</f>
        <v>NXP Semiconductors</v>
      </c>
      <c r="C21665" s="6">
        <v>3000</v>
      </c>
      <c r="D21665" s="7">
        <v>0</v>
      </c>
      <c r="E21665" t="s">
        <v>25</v>
      </c>
    </row>
    <row r="21666" spans="1:5" x14ac:dyDescent="0.25">
      <c r="A21666" t="str">
        <f>HYPERLINK("https://www.773grp.com/globalSearch/CS60025DR14G/page-1", "CS60025DR14G")</f>
        <v>CS60025DR14G</v>
      </c>
      <c r="B21666" s="3" t="str">
        <f>HYPERLINK("https://www.773grp.com/manufacturer/nxp-semiconductor?pageNo=18", "NXP Semiconductors")</f>
        <v>NXP Semiconductors</v>
      </c>
      <c r="C21666" s="6">
        <v>12070</v>
      </c>
      <c r="D21666" s="7">
        <v>0</v>
      </c>
    </row>
    <row r="21667" spans="1:5" x14ac:dyDescent="0.25">
      <c r="A21667" t="str">
        <f>HYPERLINK("https://www.773grp.com/globalSearch/CS61133DWFR24/page-1", "CS61133DWFR24")</f>
        <v>CS61133DWFR24</v>
      </c>
      <c r="B21667" s="3" t="str">
        <f>HYPERLINK("https://www.773grp.com/manufacturer/nxp-semiconductor?pageNo=19", "NXP Semiconductors")</f>
        <v>NXP Semiconductors</v>
      </c>
      <c r="C21667" s="6">
        <v>16000</v>
      </c>
      <c r="D21667" s="7">
        <v>0</v>
      </c>
    </row>
    <row r="21668" spans="1:5" x14ac:dyDescent="0.25">
      <c r="A21668" t="str">
        <f>HYPERLINK("https://www.773grp.com/globalSearch/CS61178DWR20/page-1", "CS61178DWR20")</f>
        <v>CS61178DWR20</v>
      </c>
      <c r="B21668" s="3" t="str">
        <f>HYPERLINK("https://www.773grp.com/manufacturer/nxp-semiconductor?pageNo=20", "NXP Semiconductors")</f>
        <v>NXP Semiconductors</v>
      </c>
      <c r="C21668" s="6">
        <v>4000</v>
      </c>
      <c r="D21668" s="7">
        <v>0</v>
      </c>
    </row>
    <row r="21669" spans="1:5" x14ac:dyDescent="0.25">
      <c r="A21669" t="str">
        <f>HYPERLINK("https://www.773grp.com/globalSearch/CS68004DW16/page-1", "CS68004DW16")</f>
        <v>CS68004DW16</v>
      </c>
      <c r="B21669" s="3" t="str">
        <f>HYPERLINK("https://www.773grp.com/manufacturer/nxp-semiconductor?pageNo=21", "NXP Semiconductors")</f>
        <v>NXP Semiconductors</v>
      </c>
      <c r="C21669" s="6">
        <v>893</v>
      </c>
      <c r="D21669" s="7">
        <v>0</v>
      </c>
    </row>
    <row r="21670" spans="1:5" x14ac:dyDescent="0.25">
      <c r="A21670" t="str">
        <f>HYPERLINK("https://www.773grp.com/globalSearch/CS68050N14/page-1", "CS68050N14")</f>
        <v>CS68050N14</v>
      </c>
      <c r="B21670" s="3" t="str">
        <f>HYPERLINK("https://www.773grp.com/manufacturer/nxp-semiconductor?pageNo=22", "NXP Semiconductors")</f>
        <v>NXP Semiconductors</v>
      </c>
      <c r="C21670" s="6">
        <v>8600</v>
      </c>
      <c r="D21670" s="7">
        <v>0</v>
      </c>
    </row>
    <row r="21671" spans="1:5" x14ac:dyDescent="0.25">
      <c r="A21671" t="str">
        <f>HYPERLINK("https://www.773grp.com/globalSearch/CS68059NF16/page-1", "CS68059NF16")</f>
        <v>CS68059NF16</v>
      </c>
      <c r="B21671" s="3" t="str">
        <f>HYPERLINK("https://www.773grp.com/manufacturer/nxp-semiconductor?pageNo=23", "NXP Semiconductors")</f>
        <v>NXP Semiconductors</v>
      </c>
      <c r="C21671" s="6">
        <v>1575</v>
      </c>
      <c r="D21671" s="7">
        <v>0</v>
      </c>
    </row>
    <row r="21672" spans="1:5" x14ac:dyDescent="0.25">
      <c r="A21672" t="str">
        <f>HYPERLINK("https://www.773grp.com/globalSearch/CS68118N8/page-1", "CS68118N8")</f>
        <v>CS68118N8</v>
      </c>
      <c r="B21672" s="3" t="str">
        <f>HYPERLINK("https://www.773grp.com/manufacturer/nxp-semiconductor?pageNo=24", "NXP Semiconductors")</f>
        <v>NXP Semiconductors</v>
      </c>
      <c r="C21672" s="6">
        <v>12800</v>
      </c>
      <c r="D21672" s="7">
        <v>0</v>
      </c>
    </row>
    <row r="21673" spans="1:5" x14ac:dyDescent="0.25">
      <c r="A21673" t="str">
        <f>HYPERLINK("https://www.773grp.com/globalSearch/CS68122DWR24/page-1", "CS68122DWR24")</f>
        <v>CS68122DWR24</v>
      </c>
      <c r="B21673" s="3" t="str">
        <f>HYPERLINK("https://www.773grp.com/manufacturer/nxp-semiconductor?pageNo=25", "NXP Semiconductors")</f>
        <v>NXP Semiconductors</v>
      </c>
      <c r="C21673" s="6">
        <v>36000</v>
      </c>
      <c r="D21673" s="7">
        <v>0</v>
      </c>
    </row>
    <row r="21674" spans="1:5" x14ac:dyDescent="0.25">
      <c r="A21674" t="str">
        <f>HYPERLINK("https://www.773grp.com/globalSearch/CS68138DWR16/page-1", "CS68138DWR16")</f>
        <v>CS68138DWR16</v>
      </c>
      <c r="B21674" s="3" t="str">
        <f>HYPERLINK("https://www.773grp.com/manufacturer/nxp-semiconductor?pageNo=26", "NXP Semiconductors")</f>
        <v>NXP Semiconductors</v>
      </c>
      <c r="C21674" s="6">
        <v>10000</v>
      </c>
      <c r="D21674" s="7">
        <v>0</v>
      </c>
    </row>
    <row r="21675" spans="1:5" x14ac:dyDescent="0.25">
      <c r="A21675" t="str">
        <f>HYPERLINK("https://www.773grp.com/globalSearch/CS68140DWFR28/page-1", "CS68140DWFR28")</f>
        <v>CS68140DWFR28</v>
      </c>
      <c r="B21675" s="3" t="str">
        <f>HYPERLINK("https://www.773grp.com/manufacturer/nxp-semiconductor?pageNo=27", "NXP Semiconductors")</f>
        <v>NXP Semiconductors</v>
      </c>
      <c r="C21675" s="6">
        <v>66623</v>
      </c>
      <c r="D21675" s="7">
        <v>0</v>
      </c>
    </row>
    <row r="21676" spans="1:5" x14ac:dyDescent="0.25">
      <c r="A21676" t="str">
        <f>HYPERLINK("https://www.773grp.com/globalSearch/CS69062N16/page-1", "CS69062N16")</f>
        <v>CS69062N16</v>
      </c>
      <c r="B21676" s="3" t="str">
        <f>HYPERLINK("https://www.773grp.com/manufacturer/nxp-semiconductor?pageNo=28", "NXP Semiconductors")</f>
        <v>NXP Semiconductors</v>
      </c>
      <c r="C21676" s="6">
        <v>89425</v>
      </c>
      <c r="D21676" s="7">
        <v>0</v>
      </c>
    </row>
    <row r="21677" spans="1:5" x14ac:dyDescent="0.25">
      <c r="A21677" t="str">
        <f>HYPERLINK("https://www.773grp.com/globalSearch/CS69064DW16/page-1", "CS69064DW16")</f>
        <v>CS69064DW16</v>
      </c>
      <c r="B21677" s="3" t="str">
        <f>HYPERLINK("https://www.773grp.com/manufacturer/nxp-semiconductor?pageNo=29", "NXP Semiconductors")</f>
        <v>NXP Semiconductors</v>
      </c>
      <c r="C21677" s="6">
        <v>141</v>
      </c>
      <c r="D21677" s="7">
        <v>0</v>
      </c>
    </row>
    <row r="21678" spans="1:5" x14ac:dyDescent="0.25">
      <c r="A21678" t="str">
        <f>HYPERLINK("https://www.773grp.com/globalSearch/CS69098N14/page-1", "CS69098N14")</f>
        <v>CS69098N14</v>
      </c>
      <c r="B21678" s="3" t="str">
        <f>HYPERLINK("https://www.773grp.com/manufacturer/nxp-semiconductor?pageNo=30", "NXP Semiconductors")</f>
        <v>NXP Semiconductors</v>
      </c>
      <c r="C21678" s="6">
        <v>6700</v>
      </c>
      <c r="D21678" s="7">
        <v>0</v>
      </c>
    </row>
    <row r="21679" spans="1:5" x14ac:dyDescent="0.25">
      <c r="A21679" t="str">
        <f>HYPERLINK("https://www.773grp.com/globalSearch/CS69124DWR16/page-1", "CS69124DWR16")</f>
        <v>CS69124DWR16</v>
      </c>
      <c r="B21679" s="3" t="str">
        <f>HYPERLINK("https://www.773grp.com/manufacturer/nxp-semiconductor?pageNo=31", "NXP Semiconductors")</f>
        <v>NXP Semiconductors</v>
      </c>
      <c r="C21679" s="6">
        <v>14000</v>
      </c>
      <c r="D21679" s="7">
        <v>0</v>
      </c>
    </row>
    <row r="21680" spans="1:5" x14ac:dyDescent="0.25">
      <c r="A21680" t="str">
        <f>HYPERLINK("https://www.773grp.com/globalSearch/CS69132DWR28/page-1", "CS69132DWR28")</f>
        <v>CS69132DWR28</v>
      </c>
      <c r="B21680" s="3" t="str">
        <f>HYPERLINK("https://www.773grp.com/manufacturer/nxp-semiconductor?pageNo=32", "NXP Semiconductors")</f>
        <v>NXP Semiconductors</v>
      </c>
      <c r="C21680" s="6">
        <v>1000</v>
      </c>
      <c r="D21680" s="7">
        <v>0</v>
      </c>
    </row>
    <row r="21681" spans="1:5" x14ac:dyDescent="0.25">
      <c r="A21681" t="str">
        <f>HYPERLINK("https://www.773grp.com/globalSearch/CS69142DWR16/page-1", "CS69142DWR16")</f>
        <v>CS69142DWR16</v>
      </c>
      <c r="B21681" s="3" t="str">
        <f>HYPERLINK("https://www.773grp.com/manufacturer/nxp-semiconductor?pageNo=33", "NXP Semiconductors")</f>
        <v>NXP Semiconductors</v>
      </c>
      <c r="C21681" s="6">
        <v>18000</v>
      </c>
      <c r="D21681" s="7">
        <v>0</v>
      </c>
    </row>
    <row r="21682" spans="1:5" x14ac:dyDescent="0.25">
      <c r="A21682" t="str">
        <f>HYPERLINK("https://www.773grp.com/globalSearch/CS69153N16/page-1", "CS69153N16")</f>
        <v>CS69153N16</v>
      </c>
      <c r="B21682" s="3" t="str">
        <f>HYPERLINK("https://www.773grp.com/manufacturer/nxp-semiconductor?pageNo=34", "NXP Semiconductors")</f>
        <v>NXP Semiconductors</v>
      </c>
      <c r="C21682" s="6">
        <v>42200</v>
      </c>
      <c r="D21682" s="7">
        <v>0</v>
      </c>
    </row>
    <row r="21683" spans="1:5" x14ac:dyDescent="0.25">
      <c r="A21683" t="str">
        <f>HYPERLINK("https://www.773grp.com/globalSearch/CS8101YDWFR2/page-1", "CS8101YDWFR2")</f>
        <v>CS8101YDWFR2</v>
      </c>
      <c r="B21683" s="3" t="str">
        <f>HYPERLINK("https://www.773grp.com/manufacturer/nxp-semiconductor?pageNo=35", "NXP Semiconductors")</f>
        <v>NXP Semiconductors</v>
      </c>
      <c r="C21683" s="6">
        <v>1000</v>
      </c>
      <c r="D21683" s="7">
        <v>0</v>
      </c>
    </row>
    <row r="21684" spans="1:5" x14ac:dyDescent="0.25">
      <c r="A21684" t="str">
        <f>HYPERLINK("https://www.773grp.com/globalSearch/CS8101YT5G/page-1", "CS8101YT5G")</f>
        <v>CS8101YT5G</v>
      </c>
      <c r="B21684" s="3" t="str">
        <f>HYPERLINK("https://www.773grp.com/manufacturer/nxp-semiconductor?pageNo=36", "NXP Semiconductors")</f>
        <v>NXP Semiconductors</v>
      </c>
      <c r="C21684" s="6">
        <v>230</v>
      </c>
      <c r="D21684" s="7">
        <v>0</v>
      </c>
      <c r="E21684" t="s">
        <v>19</v>
      </c>
    </row>
    <row r="21685" spans="1:5" x14ac:dyDescent="0.25">
      <c r="A21685" t="str">
        <f>HYPERLINK("https://www.773grp.com/globalSearch/CS8129YT5G/page-1", "CS8129YT5G")</f>
        <v>CS8129YT5G</v>
      </c>
      <c r="B21685" s="3" t="str">
        <f>HYPERLINK("https://www.773grp.com/manufacturer/nxp-semiconductor?pageNo=37", "NXP Semiconductors")</f>
        <v>NXP Semiconductors</v>
      </c>
      <c r="C21685" s="6">
        <v>100</v>
      </c>
      <c r="D21685" s="7">
        <v>0</v>
      </c>
      <c r="E21685" t="s">
        <v>19</v>
      </c>
    </row>
    <row r="21686" spans="1:5" x14ac:dyDescent="0.25">
      <c r="A21686" t="str">
        <f>HYPERLINK("https://www.773grp.com/globalSearch/CS9021DR16G/page-1", "CS9021DR16G")</f>
        <v>CS9021DR16G</v>
      </c>
      <c r="B21686" s="3" t="str">
        <f>HYPERLINK("https://www.773grp.com/manufacturer/nxp-semiconductor?pageNo=38", "NXP Semiconductors")</f>
        <v>NXP Semiconductors</v>
      </c>
      <c r="C21686" s="6">
        <v>7200</v>
      </c>
      <c r="D21686" s="7">
        <v>0</v>
      </c>
    </row>
    <row r="21687" spans="1:5" x14ac:dyDescent="0.25">
      <c r="A21687" t="str">
        <f>HYPERLINK("https://www.773grp.com/globalSearch/CS9025DWR18G/page-1", "CS9025DWR18G")</f>
        <v>CS9025DWR18G</v>
      </c>
      <c r="B21687" s="3" t="str">
        <f>HYPERLINK("https://www.773grp.com/manufacturer/nxp-semiconductor?pageNo=39", "NXP Semiconductors")</f>
        <v>NXP Semiconductors</v>
      </c>
      <c r="C21687" s="6">
        <v>760</v>
      </c>
      <c r="D21687" s="7">
        <v>0</v>
      </c>
    </row>
    <row r="21688" spans="1:5" x14ac:dyDescent="0.25">
      <c r="A21688" t="str">
        <f>HYPERLINK("https://www.773grp.com/globalSearch/CS9027DR8/page-1", "CS9027DR8")</f>
        <v>CS9027DR8</v>
      </c>
      <c r="B21688" s="3" t="str">
        <f>HYPERLINK("https://www.773grp.com/manufacturer/nxp-semiconductor?pageNo=40", "NXP Semiconductors")</f>
        <v>NXP Semiconductors</v>
      </c>
      <c r="C21688" s="6">
        <v>1890</v>
      </c>
      <c r="D21688" s="7">
        <v>0</v>
      </c>
    </row>
    <row r="21689" spans="1:5" x14ac:dyDescent="0.25">
      <c r="A21689" t="str">
        <f>HYPERLINK("https://www.773grp.com/globalSearch/CS9160N16/page-1", "CS9160N16")</f>
        <v>CS9160N16</v>
      </c>
      <c r="B21689" s="3" t="str">
        <f>HYPERLINK("https://www.773grp.com/manufacturer/nxp-semiconductor?pageNo=41", "NXP Semiconductors")</f>
        <v>NXP Semiconductors</v>
      </c>
      <c r="C21689" s="6">
        <v>882</v>
      </c>
      <c r="D21689" s="7">
        <v>0</v>
      </c>
    </row>
    <row r="21690" spans="1:5" x14ac:dyDescent="0.25">
      <c r="A21690" t="str">
        <f>HYPERLINK("https://www.773grp.com/globalSearch/CS9226N8/page-1", "CS9226N8")</f>
        <v>CS9226N8</v>
      </c>
      <c r="B21690" s="3" t="str">
        <f>HYPERLINK("https://www.773grp.com/manufacturer/nxp-semiconductor?pageNo=42", "NXP Semiconductors")</f>
        <v>NXP Semiconductors</v>
      </c>
      <c r="C21690" s="6">
        <v>4350</v>
      </c>
      <c r="D21690" s="7">
        <v>0</v>
      </c>
    </row>
    <row r="21691" spans="1:5" x14ac:dyDescent="0.25">
      <c r="A21691" t="str">
        <f>HYPERLINK("https://www.773grp.com/globalSearch/CS92404BDW16/page-1", "CS92404BDW16")</f>
        <v>CS92404BDW16</v>
      </c>
      <c r="B21691" s="3" t="str">
        <f>HYPERLINK("https://www.773grp.com/manufacturer/nxp-semiconductor?pageNo=43", "NXP Semiconductors")</f>
        <v>NXP Semiconductors</v>
      </c>
      <c r="C21691" s="6">
        <v>799</v>
      </c>
      <c r="D21691" s="7">
        <v>0</v>
      </c>
    </row>
    <row r="21692" spans="1:5" x14ac:dyDescent="0.25">
      <c r="A21692" t="str">
        <f>HYPERLINK("https://www.773grp.com/globalSearch/CS92404BDWR16G/page-1", "CS92404BDWR16G")</f>
        <v>CS92404BDWR16G</v>
      </c>
      <c r="B21692" s="3" t="str">
        <f>HYPERLINK("https://www.773grp.com/manufacturer/nxp-semiconductor?pageNo=44", "NXP Semiconductors")</f>
        <v>NXP Semiconductors</v>
      </c>
      <c r="C21692" s="6">
        <v>5861</v>
      </c>
      <c r="D21692" s="7">
        <v>0</v>
      </c>
    </row>
    <row r="21693" spans="1:5" x14ac:dyDescent="0.25">
      <c r="A21693" t="str">
        <f>HYPERLINK("https://www.773grp.com/globalSearch/CS92512D8/page-1", "CS92512D8")</f>
        <v>CS92512D8</v>
      </c>
      <c r="B21693" s="3" t="str">
        <f>HYPERLINK("https://www.773grp.com/manufacturer/nxp-semiconductor?pageNo=45", "NXP Semiconductors")</f>
        <v>NXP Semiconductors</v>
      </c>
      <c r="C21693" s="6">
        <v>588</v>
      </c>
      <c r="D21693" s="7">
        <v>0</v>
      </c>
    </row>
    <row r="21694" spans="1:5" x14ac:dyDescent="0.25">
      <c r="A21694" t="str">
        <f>HYPERLINK("https://www.773grp.com/globalSearch/CS92512DR8/page-1", "CS92512DR8")</f>
        <v>CS92512DR8</v>
      </c>
      <c r="B21694" s="3" t="str">
        <f>HYPERLINK("https://www.773grp.com/manufacturer/nxp-semiconductor?pageNo=46", "NXP Semiconductors")</f>
        <v>NXP Semiconductors</v>
      </c>
      <c r="C21694" s="6">
        <v>45000</v>
      </c>
      <c r="D21694" s="7">
        <v>0</v>
      </c>
    </row>
    <row r="21695" spans="1:5" x14ac:dyDescent="0.25">
      <c r="A21695" t="str">
        <f>HYPERLINK("https://www.773grp.com/globalSearch/CS92528DR16/page-1", "CS92528DR16")</f>
        <v>CS92528DR16</v>
      </c>
      <c r="B21695" s="3" t="str">
        <f>HYPERLINK("https://www.773grp.com/manufacturer/nxp-semiconductor?pageNo=47", "NXP Semiconductors")</f>
        <v>NXP Semiconductors</v>
      </c>
      <c r="C21695" s="6">
        <v>1776</v>
      </c>
      <c r="D21695" s="7">
        <v>0</v>
      </c>
    </row>
    <row r="21696" spans="1:5" x14ac:dyDescent="0.25">
      <c r="A21696" t="str">
        <f>HYPERLINK("https://www.773grp.com/globalSearch/CS93109N18/page-1", "CS93109N18")</f>
        <v>CS93109N18</v>
      </c>
      <c r="B21696" s="3" t="str">
        <f>HYPERLINK("https://www.773grp.com/manufacturer/nxp-semiconductor?pageNo=48", "NXP Semiconductors")</f>
        <v>NXP Semiconductors</v>
      </c>
      <c r="C21696" s="6">
        <v>20</v>
      </c>
      <c r="D21696" s="7">
        <v>0</v>
      </c>
    </row>
    <row r="21697" spans="1:5" x14ac:dyDescent="0.25">
      <c r="A21697" t="str">
        <f>HYPERLINK("https://www.773grp.com/globalSearch/CS93801N16/page-1", "CS93801N16")</f>
        <v>CS93801N16</v>
      </c>
      <c r="B21697" s="3" t="str">
        <f>HYPERLINK("https://www.773grp.com/manufacturer/nxp-semiconductor?pageNo=1", "NXP Semiconductors")</f>
        <v>NXP Semiconductors</v>
      </c>
      <c r="C21697" s="6">
        <v>2875</v>
      </c>
      <c r="D21697" s="7">
        <v>0</v>
      </c>
    </row>
    <row r="21698" spans="1:5" x14ac:dyDescent="0.25">
      <c r="A21698" t="str">
        <f>HYPERLINK("https://www.773grp.com/globalSearch/CS93801N16G/page-1", "CS93801N16G")</f>
        <v>CS93801N16G</v>
      </c>
      <c r="B21698" s="3" t="str">
        <f>HYPERLINK("https://www.773grp.com/manufacturer/nxp-semiconductor?pageNo=2", "NXP Semiconductors")</f>
        <v>NXP Semiconductors</v>
      </c>
      <c r="C21698" s="6">
        <v>1000</v>
      </c>
      <c r="D21698" s="7">
        <v>0</v>
      </c>
    </row>
    <row r="21699" spans="1:5" x14ac:dyDescent="0.25">
      <c r="A21699" t="str">
        <f>HYPERLINK("https://www.773grp.com/globalSearch/CS94015FN28/page-1", "CS94015FN28")</f>
        <v>CS94015FN28</v>
      </c>
      <c r="B21699" s="3" t="str">
        <f>HYPERLINK("https://www.773grp.com/manufacturer/nxp-semiconductor?pageNo=3", "NXP Semiconductors")</f>
        <v>NXP Semiconductors</v>
      </c>
      <c r="C21699" s="6">
        <v>1591</v>
      </c>
      <c r="D21699" s="7">
        <v>0</v>
      </c>
    </row>
    <row r="21700" spans="1:5" x14ac:dyDescent="0.25">
      <c r="A21700" t="str">
        <f>HYPERLINK("https://www.773grp.com/globalSearch/CS9467DR8/page-1", "CS9467DR8")</f>
        <v>CS9467DR8</v>
      </c>
      <c r="B21700" s="3" t="str">
        <f>HYPERLINK("https://www.773grp.com/manufacturer/nxp-semiconductor?pageNo=4", "NXP Semiconductors")</f>
        <v>NXP Semiconductors</v>
      </c>
      <c r="C21700" s="6">
        <v>2128</v>
      </c>
      <c r="D21700" s="7">
        <v>0</v>
      </c>
    </row>
    <row r="21701" spans="1:5" x14ac:dyDescent="0.25">
      <c r="A21701" t="str">
        <f>HYPERLINK("https://www.773grp.com/globalSearch/CS95011N24/page-1", "CS95011N24")</f>
        <v>CS95011N24</v>
      </c>
      <c r="B21701" s="3" t="str">
        <f>HYPERLINK("https://www.773grp.com/manufacturer/nxp-semiconductor?pageNo=5", "NXP Semiconductors")</f>
        <v>NXP Semiconductors</v>
      </c>
      <c r="C21701" s="6">
        <v>105</v>
      </c>
      <c r="D21701" s="7">
        <v>0</v>
      </c>
    </row>
    <row r="21702" spans="1:5" x14ac:dyDescent="0.25">
      <c r="A21702" t="str">
        <f>HYPERLINK("https://www.773grp.com/globalSearch/CS95064DR16/page-1", "CS95064DR16")</f>
        <v>CS95064DR16</v>
      </c>
      <c r="B21702" s="3" t="str">
        <f>HYPERLINK("https://www.773grp.com/manufacturer/nxp-semiconductor?pageNo=6", "NXP Semiconductors")</f>
        <v>NXP Semiconductors</v>
      </c>
      <c r="C21702" s="6">
        <v>30000</v>
      </c>
      <c r="D21702" s="7">
        <v>0</v>
      </c>
    </row>
    <row r="21703" spans="1:5" x14ac:dyDescent="0.25">
      <c r="A21703" t="str">
        <f>HYPERLINK("https://www.773grp.com/globalSearch/CS95591DR8/page-1", "CS95591DR8")</f>
        <v>CS95591DR8</v>
      </c>
      <c r="B21703" s="3" t="str">
        <f>HYPERLINK("https://www.773grp.com/manufacturer/nxp-semiconductor?pageNo=7", "NXP Semiconductors")</f>
        <v>NXP Semiconductors</v>
      </c>
      <c r="C21703" s="6">
        <v>95968</v>
      </c>
      <c r="D21703" s="7">
        <v>0</v>
      </c>
    </row>
    <row r="21704" spans="1:5" x14ac:dyDescent="0.25">
      <c r="A21704" t="str">
        <f>HYPERLINK("https://www.773grp.com/globalSearch/CS98010DW20/page-1", "CS98010DW20")</f>
        <v>CS98010DW20</v>
      </c>
      <c r="B21704" s="3" t="str">
        <f>HYPERLINK("https://www.773grp.com/manufacturer/nxp-semiconductor?pageNo=8", "NXP Semiconductors")</f>
        <v>NXP Semiconductors</v>
      </c>
      <c r="C21704" s="6">
        <v>36214</v>
      </c>
      <c r="D21704" s="7">
        <v>0</v>
      </c>
    </row>
    <row r="21705" spans="1:5" x14ac:dyDescent="0.25">
      <c r="A21705" t="str">
        <f>HYPERLINK("https://www.773grp.com/globalSearch/CSPESD304G-HST/page-1", "CSPESD304G-HST")</f>
        <v>CSPESD304G-HST</v>
      </c>
      <c r="B21705" s="3" t="str">
        <f>HYPERLINK("https://www.773grp.com/manufacturer/nxp-semiconductor?pageNo=9", "NXP Semiconductors")</f>
        <v>NXP Semiconductors</v>
      </c>
      <c r="C21705" s="6">
        <v>14000</v>
      </c>
      <c r="D21705" s="7">
        <v>0</v>
      </c>
    </row>
    <row r="21706" spans="1:5" x14ac:dyDescent="0.25">
      <c r="A21706" t="str">
        <f>HYPERLINK("https://www.773grp.com/globalSearch/DA573S6-TL-H/page-1", "DA573S6-TL-H")</f>
        <v>DA573S6-TL-H</v>
      </c>
      <c r="B21706" s="3" t="str">
        <f>HYPERLINK("https://www.773grp.com/manufacturer/nxp-semiconductor?pageNo=10", "NXP Semiconductors")</f>
        <v>NXP Semiconductors</v>
      </c>
      <c r="C21706" s="6">
        <v>185000</v>
      </c>
      <c r="D21706" s="7">
        <v>0</v>
      </c>
    </row>
    <row r="21707" spans="1:5" x14ac:dyDescent="0.25">
      <c r="A21707" t="str">
        <f>HYPERLINK("https://www.773grp.com/globalSearch/DAC-08EDG/page-1", "DAC-08EDG")</f>
        <v>DAC-08EDG</v>
      </c>
      <c r="B21707" s="3" t="str">
        <f>HYPERLINK("https://www.773grp.com/manufacturer/nxp-semiconductor?pageNo=11", "NXP Semiconductors")</f>
        <v>NXP Semiconductors</v>
      </c>
      <c r="C21707" s="6">
        <v>288</v>
      </c>
      <c r="D21707" s="7">
        <v>0</v>
      </c>
      <c r="E21707" t="s">
        <v>33</v>
      </c>
    </row>
    <row r="21708" spans="1:5" x14ac:dyDescent="0.25">
      <c r="A21708" t="str">
        <f>HYPERLINK("https://www.773grp.com/globalSearch/DAC-08ENG/page-1", "DAC-08ENG")</f>
        <v>DAC-08ENG</v>
      </c>
      <c r="B21708" s="3" t="str">
        <f>HYPERLINK("https://www.773grp.com/manufacturer/nxp-semiconductor?pageNo=12", "NXP Semiconductors")</f>
        <v>NXP Semiconductors</v>
      </c>
      <c r="C21708" s="6">
        <v>1200</v>
      </c>
      <c r="D21708" s="7">
        <v>0</v>
      </c>
      <c r="E21708" t="s">
        <v>33</v>
      </c>
    </row>
    <row r="21709" spans="1:5" x14ac:dyDescent="0.25">
      <c r="A21709" t="str">
        <f>HYPERLINK("https://www.773grp.com/globalSearch/DF6A6.8FUT1  UT/page-1", "DF6A6.8FUT1  UT")</f>
        <v>DF6A6.8FUT1  UT</v>
      </c>
      <c r="B21709" s="3" t="str">
        <f>HYPERLINK("https://www.773grp.com/manufacturer/nxp-semiconductor?pageNo=13", "NXP Semiconductors")</f>
        <v>NXP Semiconductors</v>
      </c>
      <c r="C21709" s="6">
        <v>6000</v>
      </c>
      <c r="D21709" s="7">
        <v>0</v>
      </c>
    </row>
    <row r="21710" spans="1:5" x14ac:dyDescent="0.25">
      <c r="A21710" t="str">
        <f>HYPERLINK("https://www.773grp.com/globalSearch/DMCFBQ9W  QAF/page-1", "DMCFBQ9W  QAF")</f>
        <v>DMCFBQ9W  QAF</v>
      </c>
      <c r="B21710" s="3" t="str">
        <f>HYPERLINK("https://www.773grp.com/manufacturer/nxp-semiconductor?pageNo=14", "NXP Semiconductors")</f>
        <v>NXP Semiconductors</v>
      </c>
      <c r="C21710" s="6">
        <v>1356000</v>
      </c>
      <c r="D21710" s="7">
        <v>0</v>
      </c>
    </row>
    <row r="21711" spans="1:5" x14ac:dyDescent="0.25">
      <c r="A21711" t="str">
        <f>HYPERLINK("https://www.773grp.com/globalSearch/DTA114YXV3T1/page-1", "DTA114YXV3T1")</f>
        <v>DTA114YXV3T1</v>
      </c>
      <c r="B21711" s="3" t="str">
        <f>HYPERLINK("https://www.773grp.com/manufacturer/nxp-semiconductor?pageNo=15", "NXP Semiconductors")</f>
        <v>NXP Semiconductors</v>
      </c>
      <c r="C21711" s="6">
        <v>105000</v>
      </c>
      <c r="D21711" s="7">
        <v>0</v>
      </c>
      <c r="E21711" t="s">
        <v>69</v>
      </c>
    </row>
    <row r="21712" spans="1:5" x14ac:dyDescent="0.25">
      <c r="A21712" t="str">
        <f>HYPERLINK("https://www.773grp.com/globalSearch/DTA124EXV3T1/page-1", "DTA124EXV3T1")</f>
        <v>DTA124EXV3T1</v>
      </c>
      <c r="B21712" s="3" t="str">
        <f>HYPERLINK("https://www.773grp.com/manufacturer/nxp-semiconductor?pageNo=16", "NXP Semiconductors")</f>
        <v>NXP Semiconductors</v>
      </c>
      <c r="C21712" s="6">
        <v>99000</v>
      </c>
      <c r="D21712" s="7">
        <v>0</v>
      </c>
      <c r="E21712" t="s">
        <v>69</v>
      </c>
    </row>
    <row r="21713" spans="1:5" x14ac:dyDescent="0.25">
      <c r="A21713" t="str">
        <f>HYPERLINK("https://www.773grp.com/globalSearch/DZ2J100M0L/page-1", "DZ2J100M0L")</f>
        <v>DZ2J100M0L</v>
      </c>
      <c r="B21713" s="3" t="str">
        <f>HYPERLINK("https://www.773grp.com/manufacturer/nxp-semiconductor?pageNo=17", "NXP Semiconductors")</f>
        <v>NXP Semiconductors</v>
      </c>
      <c r="C21713" s="6">
        <v>3000</v>
      </c>
      <c r="D21713" s="7">
        <v>0</v>
      </c>
      <c r="E21713" t="s">
        <v>98</v>
      </c>
    </row>
    <row r="21714" spans="1:5" x14ac:dyDescent="0.25">
      <c r="A21714" t="str">
        <f>HYPERLINK("https://www.773grp.com/globalSearch/EC2C01C-TR/page-1", "EC2C01C-TR")</f>
        <v>EC2C01C-TR</v>
      </c>
      <c r="B21714" s="3" t="str">
        <f>HYPERLINK("https://www.773grp.com/manufacturer/nxp-semiconductor?pageNo=18", "NXP Semiconductors")</f>
        <v>NXP Semiconductors</v>
      </c>
      <c r="C21714" s="6">
        <v>2000</v>
      </c>
      <c r="D21714" s="7">
        <v>0</v>
      </c>
    </row>
    <row r="21715" spans="1:5" x14ac:dyDescent="0.25">
      <c r="A21715" t="str">
        <f>HYPERLINK("https://www.773grp.com/globalSearch/EC3H07B-TL/page-1", "EC3H07B-TL")</f>
        <v>EC3H07B-TL</v>
      </c>
      <c r="B21715" s="3" t="str">
        <f>HYPERLINK("https://www.773grp.com/manufacturer/nxp-semiconductor?pageNo=19", "NXP Semiconductors")</f>
        <v>NXP Semiconductors</v>
      </c>
      <c r="C21715" s="6">
        <v>16000</v>
      </c>
      <c r="D21715" s="7">
        <v>0</v>
      </c>
    </row>
    <row r="21716" spans="1:5" x14ac:dyDescent="0.25">
      <c r="A21716" t="str">
        <f>HYPERLINK("https://www.773grp.com/globalSearch/EC4404C-TL/page-1", "EC4404C-TL")</f>
        <v>EC4404C-TL</v>
      </c>
      <c r="B21716" s="3" t="str">
        <f>HYPERLINK("https://www.773grp.com/manufacturer/nxp-semiconductor?pageNo=20", "NXP Semiconductors")</f>
        <v>NXP Semiconductors</v>
      </c>
      <c r="C21716" s="6">
        <v>40000</v>
      </c>
      <c r="D21716" s="7">
        <v>0</v>
      </c>
    </row>
    <row r="21717" spans="1:5" x14ac:dyDescent="0.25">
      <c r="A21717" t="str">
        <f>HYPERLINK("https://www.773grp.com/globalSearch/ECH8402-TL-E/page-1", "ECH8402-TL-E")</f>
        <v>ECH8402-TL-E</v>
      </c>
      <c r="B21717" s="3" t="str">
        <f>HYPERLINK("https://www.773grp.com/manufacturer/nxp-semiconductor?pageNo=21", "NXP Semiconductors")</f>
        <v>NXP Semiconductors</v>
      </c>
      <c r="C21717" s="6">
        <v>3000</v>
      </c>
      <c r="D21717" s="7">
        <v>0</v>
      </c>
    </row>
    <row r="21718" spans="1:5" x14ac:dyDescent="0.25">
      <c r="A21718" t="str">
        <f>HYPERLINK("https://www.773grp.com/globalSearch/ECH8411-TL-E/page-1", "ECH8411-TL-E")</f>
        <v>ECH8411-TL-E</v>
      </c>
      <c r="B21718" s="3" t="str">
        <f>HYPERLINK("https://www.773grp.com/manufacturer/nxp-semiconductor?pageNo=22", "NXP Semiconductors")</f>
        <v>NXP Semiconductors</v>
      </c>
      <c r="C21718" s="6">
        <v>3000</v>
      </c>
      <c r="D21718" s="7">
        <v>0</v>
      </c>
    </row>
    <row r="21719" spans="1:5" x14ac:dyDescent="0.25">
      <c r="A21719" t="str">
        <f>HYPERLINK("https://www.773grp.com/globalSearch/ECH8606-TL-E/page-1", "ECH8606-TL-E")</f>
        <v>ECH8606-TL-E</v>
      </c>
      <c r="B21719" s="3" t="str">
        <f>HYPERLINK("https://www.773grp.com/manufacturer/nxp-semiconductor?pageNo=23", "NXP Semiconductors")</f>
        <v>NXP Semiconductors</v>
      </c>
      <c r="C21719" s="6">
        <v>3000</v>
      </c>
      <c r="D21719" s="7">
        <v>0</v>
      </c>
    </row>
    <row r="21720" spans="1:5" x14ac:dyDescent="0.25">
      <c r="A21720" t="str">
        <f>HYPERLINK("https://www.773grp.com/globalSearch/ECLLQFP32EVB/page-1", "ECLLQFP32EVB")</f>
        <v>ECLLQFP32EVB</v>
      </c>
      <c r="B21720" s="3" t="str">
        <f>HYPERLINK("https://www.773grp.com/manufacturer/nxp-semiconductor?pageNo=24", "NXP Semiconductors")</f>
        <v>NXP Semiconductors</v>
      </c>
      <c r="C21720" s="6">
        <v>2</v>
      </c>
      <c r="D21720" s="7">
        <v>0</v>
      </c>
    </row>
    <row r="21721" spans="1:5" x14ac:dyDescent="0.25">
      <c r="A21721" t="str">
        <f>HYPERLINK("https://www.773grp.com/globalSearch/EFC4601-M-TR/page-1", "EFC4601-M-TR")</f>
        <v>EFC4601-M-TR</v>
      </c>
      <c r="B21721" s="3" t="str">
        <f>HYPERLINK("https://www.773grp.com/manufacturer/nxp-semiconductor?pageNo=25", "NXP Semiconductors")</f>
        <v>NXP Semiconductors</v>
      </c>
      <c r="C21721" s="6">
        <v>1520000</v>
      </c>
      <c r="D21721" s="7">
        <v>0</v>
      </c>
    </row>
    <row r="21722" spans="1:5" x14ac:dyDescent="0.25">
      <c r="A21722" t="str">
        <f>HYPERLINK("https://www.773grp.com/globalSearch/EMF23XV6T5G/page-1", "EMF23XV6T5G")</f>
        <v>EMF23XV6T5G</v>
      </c>
      <c r="B21722" s="3" t="str">
        <f>HYPERLINK("https://www.773grp.com/manufacturer/nxp-semiconductor?pageNo=26", "NXP Semiconductors")</f>
        <v>NXP Semiconductors</v>
      </c>
      <c r="C21722" s="6">
        <v>88000</v>
      </c>
      <c r="D21722" s="7">
        <v>0</v>
      </c>
      <c r="E21722" t="s">
        <v>69</v>
      </c>
    </row>
    <row r="21723" spans="1:5" x14ac:dyDescent="0.25">
      <c r="A21723" t="str">
        <f>HYPERLINK("https://www.773grp.com/globalSearch/EMH2301-TL-E/page-1", "EMH2301-TL-E")</f>
        <v>EMH2301-TL-E</v>
      </c>
      <c r="B21723" s="3" t="str">
        <f>HYPERLINK("https://www.773grp.com/manufacturer/nxp-semiconductor?pageNo=27", "NXP Semiconductors")</f>
        <v>NXP Semiconductors</v>
      </c>
      <c r="C21723" s="6">
        <v>3000</v>
      </c>
      <c r="D21723" s="7">
        <v>0</v>
      </c>
    </row>
    <row r="21724" spans="1:5" x14ac:dyDescent="0.25">
      <c r="A21724" t="str">
        <f>HYPERLINK("https://www.773grp.com/globalSearch/EMH2603-TL-E/page-1", "EMH2603-TL-E")</f>
        <v>EMH2603-TL-E</v>
      </c>
      <c r="B21724" s="3" t="str">
        <f>HYPERLINK("https://www.773grp.com/manufacturer/nxp-semiconductor?pageNo=28", "NXP Semiconductors")</f>
        <v>NXP Semiconductors</v>
      </c>
      <c r="C21724" s="6">
        <v>9000</v>
      </c>
      <c r="D21724" s="7">
        <v>0</v>
      </c>
    </row>
    <row r="21725" spans="1:5" x14ac:dyDescent="0.25">
      <c r="A21725" t="str">
        <f>HYPERLINK("https://www.773grp.com/globalSearch/EMT2DXV6T5G/page-1", "EMT2DXV6T5G")</f>
        <v>EMT2DXV6T5G</v>
      </c>
      <c r="B21725" s="3" t="str">
        <f>HYPERLINK("https://www.773grp.com/manufacturer/nxp-semiconductor?pageNo=29", "NXP Semiconductors")</f>
        <v>NXP Semiconductors</v>
      </c>
      <c r="C21725" s="6">
        <v>72000</v>
      </c>
      <c r="D21725" s="7">
        <v>0</v>
      </c>
    </row>
    <row r="21726" spans="1:5" x14ac:dyDescent="0.25">
      <c r="A21726" t="str">
        <f>HYPERLINK("https://www.773grp.com/globalSearch/ESD11B5.0SMT5G/page-1", "ESD11B5.0SMT5G")</f>
        <v>ESD11B5.0SMT5G</v>
      </c>
      <c r="B21726" s="3" t="str">
        <f>HYPERLINK("https://www.773grp.com/manufacturer/nxp-semiconductor?pageNo=30", "NXP Semiconductors")</f>
        <v>NXP Semiconductors</v>
      </c>
      <c r="C21726" s="6">
        <v>10112</v>
      </c>
      <c r="D21726" s="7">
        <v>0</v>
      </c>
    </row>
    <row r="21727" spans="1:5" x14ac:dyDescent="0.25">
      <c r="A21727" t="str">
        <f>HYPERLINK("https://www.773grp.com/globalSearch/ESD5Z5.0T1H/page-1", "ESD5Z5.0T1H")</f>
        <v>ESD5Z5.0T1H</v>
      </c>
      <c r="B21727" s="3" t="str">
        <f>HYPERLINK("https://www.773grp.com/manufacturer/nxp-semiconductor?pageNo=31", "NXP Semiconductors")</f>
        <v>NXP Semiconductors</v>
      </c>
      <c r="C21727" s="6">
        <v>78000</v>
      </c>
      <c r="D21727" s="7">
        <v>0</v>
      </c>
    </row>
    <row r="21728" spans="1:5" x14ac:dyDescent="0.25">
      <c r="A21728" t="str">
        <f>HYPERLINK("https://www.773grp.com/globalSearch/ESD9X3.33ST5G/page-1", "ESD9X3.33ST5G")</f>
        <v>ESD9X3.33ST5G</v>
      </c>
      <c r="B21728" s="3" t="str">
        <f>HYPERLINK("https://www.773grp.com/manufacturer/nxp-semiconductor?pageNo=32", "NXP Semiconductors")</f>
        <v>NXP Semiconductors</v>
      </c>
      <c r="C21728" s="6">
        <v>6000</v>
      </c>
      <c r="D21728" s="7">
        <v>0</v>
      </c>
    </row>
    <row r="21729" spans="1:5" x14ac:dyDescent="0.25">
      <c r="A21729" t="str">
        <f>HYPERLINK("https://www.773grp.com/globalSearch/ESZ5Z6.0T1G/page-1", "ESZ5Z6.0T1G")</f>
        <v>ESZ5Z6.0T1G</v>
      </c>
      <c r="B21729" s="3" t="str">
        <f>HYPERLINK("https://www.773grp.com/manufacturer/nxp-semiconductor?pageNo=33", "NXP Semiconductors")</f>
        <v>NXP Semiconductors</v>
      </c>
      <c r="C21729" s="6">
        <v>2404</v>
      </c>
      <c r="D21729" s="7">
        <v>0</v>
      </c>
    </row>
    <row r="21730" spans="1:5" x14ac:dyDescent="0.25">
      <c r="A21730" t="str">
        <f>HYPERLINK("https://www.773grp.com/globalSearch/EVK-3052X/page-1", "EVK-3052X")</f>
        <v>EVK-3052X</v>
      </c>
      <c r="B21730" s="3" t="str">
        <f>HYPERLINK("https://www.773grp.com/manufacturer/nxp-semiconductor?pageNo=34", "NXP Semiconductors")</f>
        <v>NXP Semiconductors</v>
      </c>
      <c r="C21730" s="6">
        <v>1</v>
      </c>
      <c r="D21730" s="7">
        <v>0</v>
      </c>
    </row>
    <row r="21731" spans="1:5" x14ac:dyDescent="0.25">
      <c r="A21731" t="str">
        <f>HYPERLINK("https://www.773grp.com/globalSearch/FMC33202DR2/page-1", "FMC33202DR2")</f>
        <v>FMC33202DR2</v>
      </c>
      <c r="B21731" s="3" t="str">
        <f>HYPERLINK("https://www.773grp.com/manufacturer/nxp-semiconductor?pageNo=35", "NXP Semiconductors")</f>
        <v>NXP Semiconductors</v>
      </c>
      <c r="C21731" s="6">
        <v>392</v>
      </c>
      <c r="D21731" s="7">
        <v>0</v>
      </c>
    </row>
    <row r="21732" spans="1:5" x14ac:dyDescent="0.25">
      <c r="A21732" t="str">
        <f>HYPERLINK("https://www.773grp.com/globalSearch/FMC33202DR2G/page-1", "FMC33202DR2G")</f>
        <v>FMC33202DR2G</v>
      </c>
      <c r="B21732" s="3" t="str">
        <f>HYPERLINK("https://www.773grp.com/manufacturer/nxp-semiconductor?pageNo=36", "NXP Semiconductors")</f>
        <v>NXP Semiconductors</v>
      </c>
      <c r="C21732" s="6">
        <v>549</v>
      </c>
      <c r="D21732" s="7">
        <v>0</v>
      </c>
    </row>
    <row r="21733" spans="1:5" x14ac:dyDescent="0.25">
      <c r="A21733" t="str">
        <f>HYPERLINK("https://www.773grp.com/globalSearch/FSC2903DR2/page-1", "FSC2903DR2")</f>
        <v>FSC2903DR2</v>
      </c>
      <c r="B21733" s="3" t="str">
        <f>HYPERLINK("https://www.773grp.com/manufacturer/nxp-semiconductor?pageNo=37", "NXP Semiconductors")</f>
        <v>NXP Semiconductors</v>
      </c>
      <c r="C21733" s="6">
        <v>9184</v>
      </c>
      <c r="D21733" s="7">
        <v>0</v>
      </c>
    </row>
    <row r="21734" spans="1:5" x14ac:dyDescent="0.25">
      <c r="A21734" t="str">
        <f>HYPERLINK("https://www.773grp.com/globalSearch/FSC2904DR2/page-1", "FSC2904DR2")</f>
        <v>FSC2904DR2</v>
      </c>
      <c r="B21734" s="3" t="str">
        <f>HYPERLINK("https://www.773grp.com/manufacturer/nxp-semiconductor?pageNo=38", "NXP Semiconductors")</f>
        <v>NXP Semiconductors</v>
      </c>
      <c r="C21734" s="6">
        <v>2500</v>
      </c>
      <c r="D21734" s="7">
        <v>0</v>
      </c>
    </row>
    <row r="21735" spans="1:5" x14ac:dyDescent="0.25">
      <c r="A21735" t="str">
        <f>HYPERLINK("https://www.773grp.com/globalSearch/FW261-TL-E/page-1", "FW261-TL-E")</f>
        <v>FW261-TL-E</v>
      </c>
      <c r="B21735" s="3" t="str">
        <f>HYPERLINK("https://www.773grp.com/manufacturer/nxp-semiconductor?pageNo=39", "NXP Semiconductors")</f>
        <v>NXP Semiconductors</v>
      </c>
      <c r="C21735" s="6">
        <v>6000</v>
      </c>
      <c r="D21735" s="7">
        <v>0</v>
      </c>
    </row>
    <row r="21736" spans="1:5" x14ac:dyDescent="0.25">
      <c r="A21736" t="str">
        <f>HYPERLINK("https://www.773grp.com/globalSearch/FW342-T-TL-H/page-1", "FW342-T-TL-H")</f>
        <v>FW342-T-TL-H</v>
      </c>
      <c r="B21736" s="3" t="str">
        <f>HYPERLINK("https://www.773grp.com/manufacturer/nxp-semiconductor?pageNo=40", "NXP Semiconductors")</f>
        <v>NXP Semiconductors</v>
      </c>
      <c r="C21736" s="6">
        <v>1000</v>
      </c>
      <c r="D21736" s="7">
        <v>0</v>
      </c>
    </row>
    <row r="21737" spans="1:5" x14ac:dyDescent="0.25">
      <c r="A21737" t="str">
        <f>HYPERLINK("https://www.773grp.com/globalSearch/FW343-Q-TL-E/page-1", "FW343-Q-TL-E")</f>
        <v>FW343-Q-TL-E</v>
      </c>
      <c r="B21737" s="3" t="str">
        <f>HYPERLINK("https://www.773grp.com/manufacturer/nxp-semiconductor?pageNo=41", "NXP Semiconductors")</f>
        <v>NXP Semiconductors</v>
      </c>
      <c r="C21737" s="6">
        <v>2000</v>
      </c>
      <c r="D21737" s="7">
        <v>0</v>
      </c>
    </row>
    <row r="21738" spans="1:5" x14ac:dyDescent="0.25">
      <c r="A21738" t="str">
        <f>HYPERLINK("https://www.773grp.com/globalSearch/H0501288513/page-1", "H0501288513")</f>
        <v>H0501288513</v>
      </c>
      <c r="B21738" s="3" t="str">
        <f>HYPERLINK("https://www.773grp.com/manufacturer/nxp-semiconductor?pageNo=42", "NXP Semiconductors")</f>
        <v>NXP Semiconductors</v>
      </c>
      <c r="C21738" s="6">
        <v>39</v>
      </c>
      <c r="D21738" s="7">
        <v>0</v>
      </c>
    </row>
    <row r="21739" spans="1:5" x14ac:dyDescent="0.25">
      <c r="A21739" t="str">
        <f>HYPERLINK("https://www.773grp.com/globalSearch/HBMBR20200CTG/page-1", "HBMBR20200CTG")</f>
        <v>HBMBR20200CTG</v>
      </c>
      <c r="B21739" s="3" t="str">
        <f>HYPERLINK("https://www.773grp.com/manufacturer/nxp-semiconductor?pageNo=43", "NXP Semiconductors")</f>
        <v>NXP Semiconductors</v>
      </c>
      <c r="C21739" s="6">
        <v>8</v>
      </c>
      <c r="D21739" s="7">
        <v>0</v>
      </c>
    </row>
    <row r="21740" spans="1:5" x14ac:dyDescent="0.25">
      <c r="A21740" t="str">
        <f>HYPERLINK("https://www.773grp.com/globalSearch/HLNTR1P02T1G/page-1", "HLNTR1P02T1G")</f>
        <v>HLNTR1P02T1G</v>
      </c>
      <c r="B21740" s="3" t="str">
        <f>HYPERLINK("https://www.773grp.com/manufacturer/nxp-semiconductor?pageNo=44", "NXP Semiconductors")</f>
        <v>NXP Semiconductors</v>
      </c>
      <c r="C21740" s="6">
        <v>1590</v>
      </c>
      <c r="D21740" s="7">
        <v>0</v>
      </c>
    </row>
    <row r="21741" spans="1:5" x14ac:dyDescent="0.25">
      <c r="A21741" t="str">
        <f>HYPERLINK("https://www.773grp.com/globalSearch/ICTE-018/page-1", "ICTE-018")</f>
        <v>ICTE-018</v>
      </c>
      <c r="B21741" s="3" t="str">
        <f>HYPERLINK("https://www.773grp.com/manufacturer/nxp-semiconductor?pageNo=45", "NXP Semiconductors")</f>
        <v>NXP Semiconductors</v>
      </c>
      <c r="C21741" s="6">
        <v>2000</v>
      </c>
      <c r="D21741" s="7">
        <v>0</v>
      </c>
    </row>
    <row r="21742" spans="1:5" x14ac:dyDescent="0.25">
      <c r="A21742" t="str">
        <f>HYPERLINK("https://www.773grp.com/globalSearch/IR3638DR2G/page-1", "IR3638DR2G")</f>
        <v>IR3638DR2G</v>
      </c>
      <c r="B21742" s="3" t="str">
        <f>HYPERLINK("https://www.773grp.com/manufacturer/nxp-semiconductor?pageNo=46", "NXP Semiconductors")</f>
        <v>NXP Semiconductors</v>
      </c>
      <c r="C21742" s="6">
        <v>10000</v>
      </c>
      <c r="D21742" s="7">
        <v>0</v>
      </c>
      <c r="E21742" t="s">
        <v>7</v>
      </c>
    </row>
    <row r="21743" spans="1:5" x14ac:dyDescent="0.25">
      <c r="A21743" t="str">
        <f>HYPERLINK("https://www.773grp.com/globalSearch/JBD4116ZUR2/page-1", "JBD4116ZUR2")</f>
        <v>JBD4116ZUR2</v>
      </c>
      <c r="B21743" s="3" t="str">
        <f>HYPERLINK("https://www.773grp.com/manufacturer/nxp-semiconductor?pageNo=47", "NXP Semiconductors")</f>
        <v>NXP Semiconductors</v>
      </c>
      <c r="C21743" s="6">
        <v>2500</v>
      </c>
      <c r="D21743" s="7">
        <v>0</v>
      </c>
    </row>
    <row r="21744" spans="1:5" x14ac:dyDescent="0.25">
      <c r="A21744" t="str">
        <f>HYPERLINK("https://www.773grp.com/globalSearch/JCP78M05CDTRK/page-1", "JCP78M05CDTRK")</f>
        <v>JCP78M05CDTRK</v>
      </c>
      <c r="B21744" s="3" t="str">
        <f>HYPERLINK("https://www.773grp.com/manufacturer/nxp-semiconductor?pageNo=48", "NXP Semiconductors")</f>
        <v>NXP Semiconductors</v>
      </c>
      <c r="C21744" s="6">
        <v>2500</v>
      </c>
      <c r="D21744" s="7">
        <v>0</v>
      </c>
    </row>
    <row r="21745" spans="1:4" x14ac:dyDescent="0.25">
      <c r="A21745" t="str">
        <f>HYPERLINK("https://www.773grp.com/globalSearch/JCP78M05CDTRKG/page-1", "JCP78M05CDTRKG")</f>
        <v>JCP78M05CDTRKG</v>
      </c>
      <c r="B21745" s="3" t="str">
        <f>HYPERLINK("https://www.773grp.com/manufacturer/nxp-semiconductor?pageNo=1", "NXP Semiconductors")</f>
        <v>NXP Semiconductors</v>
      </c>
      <c r="C21745" s="6">
        <v>17500</v>
      </c>
      <c r="D21745" s="7">
        <v>0</v>
      </c>
    </row>
    <row r="21746" spans="1:4" x14ac:dyDescent="0.25">
      <c r="A21746" t="str">
        <f>HYPERLINK("https://www.773grp.com/globalSearch/JDX2002/page-1", "JDX2002")</f>
        <v>JDX2002</v>
      </c>
      <c r="B21746" s="3" t="str">
        <f>HYPERLINK("https://www.773grp.com/manufacturer/nxp-semiconductor?pageNo=2", "NXP Semiconductors")</f>
        <v>NXP Semiconductors</v>
      </c>
      <c r="C21746" s="6">
        <v>375</v>
      </c>
      <c r="D21746" s="7">
        <v>0</v>
      </c>
    </row>
    <row r="21747" spans="1:4" x14ac:dyDescent="0.25">
      <c r="A21747" t="str">
        <f>HYPERLINK("https://www.773grp.com/globalSearch/JDX5007/page-1", "JDX5007")</f>
        <v>JDX5007</v>
      </c>
      <c r="B21747" s="3" t="str">
        <f>HYPERLINK("https://www.773grp.com/manufacturer/nxp-semiconductor?pageNo=3", "NXP Semiconductors")</f>
        <v>NXP Semiconductors</v>
      </c>
      <c r="C21747" s="6">
        <v>262</v>
      </c>
      <c r="D21747" s="7">
        <v>0</v>
      </c>
    </row>
    <row r="21748" spans="1:4" x14ac:dyDescent="0.25">
      <c r="A21748" t="str">
        <f>HYPERLINK("https://www.773grp.com/globalSearch/JDX5009/page-1", "JDX5009")</f>
        <v>JDX5009</v>
      </c>
      <c r="B21748" s="3" t="str">
        <f>HYPERLINK("https://www.773grp.com/manufacturer/nxp-semiconductor?pageNo=4", "NXP Semiconductors")</f>
        <v>NXP Semiconductors</v>
      </c>
      <c r="C21748" s="6">
        <v>61</v>
      </c>
      <c r="D21748" s="7">
        <v>0</v>
      </c>
    </row>
    <row r="21749" spans="1:4" x14ac:dyDescent="0.25">
      <c r="A21749" t="str">
        <f>HYPERLINK("https://www.773grp.com/globalSearch/JDX7001/page-1", "JDX7001")</f>
        <v>JDX7001</v>
      </c>
      <c r="B21749" s="3" t="str">
        <f>HYPERLINK("https://www.773grp.com/manufacturer/nxp-semiconductor?pageNo=5", "NXP Semiconductors")</f>
        <v>NXP Semiconductors</v>
      </c>
      <c r="C21749" s="6">
        <v>15841</v>
      </c>
      <c r="D21749" s="7">
        <v>0</v>
      </c>
    </row>
    <row r="21750" spans="1:4" x14ac:dyDescent="0.25">
      <c r="A21750" t="str">
        <f>HYPERLINK("https://www.773grp.com/globalSearch/JLC15LV62BFEL/page-1", "JLC15LV62BFEL")</f>
        <v>JLC15LV62BFEL</v>
      </c>
      <c r="B21750" s="3" t="str">
        <f>HYPERLINK("https://www.773grp.com/manufacturer/nxp-semiconductor?pageNo=6", "NXP Semiconductors")</f>
        <v>NXP Semiconductors</v>
      </c>
      <c r="C21750" s="6">
        <v>14585</v>
      </c>
      <c r="D21750" s="7">
        <v>0</v>
      </c>
    </row>
    <row r="21751" spans="1:4" x14ac:dyDescent="0.25">
      <c r="A21751" t="str">
        <f>HYPERLINK("https://www.773grp.com/globalSearch/L78LR05EL-MA-E/page-1", "L78LR05EL-MA-E")</f>
        <v>L78LR05EL-MA-E</v>
      </c>
      <c r="B21751" s="3" t="str">
        <f>HYPERLINK("https://www.773grp.com/manufacturer/nxp-semiconductor?pageNo=7", "NXP Semiconductors")</f>
        <v>NXP Semiconductors</v>
      </c>
      <c r="C21751" s="6">
        <v>500</v>
      </c>
      <c r="D21751" s="7">
        <v>0</v>
      </c>
    </row>
    <row r="21752" spans="1:4" x14ac:dyDescent="0.25">
      <c r="A21752" t="str">
        <f>HYPERLINK("https://www.773grp.com/globalSearch/L78M05TL-TR-E/page-1", "L78M05TL-TR-E")</f>
        <v>L78M05TL-TR-E</v>
      </c>
      <c r="B21752" s="3" t="str">
        <f>HYPERLINK("https://www.773grp.com/manufacturer/nxp-semiconductor?pageNo=8", "NXP Semiconductors")</f>
        <v>NXP Semiconductors</v>
      </c>
      <c r="C21752" s="6">
        <v>700</v>
      </c>
      <c r="D21752" s="7">
        <v>0</v>
      </c>
    </row>
    <row r="21753" spans="1:4" x14ac:dyDescent="0.25">
      <c r="A21753" t="str">
        <f>HYPERLINK("https://www.773grp.com/globalSearch/L78M09T-TL-E/page-1", "L78M09T-TL-E")</f>
        <v>L78M09T-TL-E</v>
      </c>
      <c r="B21753" s="3" t="str">
        <f>HYPERLINK("https://www.773grp.com/manufacturer/nxp-semiconductor?pageNo=9", "NXP Semiconductors")</f>
        <v>NXP Semiconductors</v>
      </c>
      <c r="C21753" s="6">
        <v>700</v>
      </c>
      <c r="D21753" s="7">
        <v>0</v>
      </c>
    </row>
    <row r="21754" spans="1:4" x14ac:dyDescent="0.25">
      <c r="A21754" t="str">
        <f>HYPERLINK("https://www.773grp.com/globalSearch/L79M06T-E/page-1", "L79M06T-E")</f>
        <v>L79M06T-E</v>
      </c>
      <c r="B21754" s="3" t="str">
        <f>HYPERLINK("https://www.773grp.com/manufacturer/nxp-semiconductor?pageNo=10", "NXP Semiconductors")</f>
        <v>NXP Semiconductors</v>
      </c>
      <c r="C21754" s="6">
        <v>500</v>
      </c>
      <c r="D21754" s="7">
        <v>0</v>
      </c>
    </row>
    <row r="21755" spans="1:4" x14ac:dyDescent="0.25">
      <c r="A21755" t="str">
        <f>HYPERLINK("https://www.773grp.com/globalSearch/LA1175M-MPB-E/page-1", "LA1175M-MPB-E")</f>
        <v>LA1175M-MPB-E</v>
      </c>
      <c r="B21755" s="3" t="str">
        <f>HYPERLINK("https://www.773grp.com/manufacturer/nxp-semiconductor?pageNo=11", "NXP Semiconductors")</f>
        <v>NXP Semiconductors</v>
      </c>
      <c r="C21755" s="6">
        <v>1000</v>
      </c>
      <c r="D21755" s="7">
        <v>0</v>
      </c>
    </row>
    <row r="21756" spans="1:4" x14ac:dyDescent="0.25">
      <c r="A21756" t="str">
        <f>HYPERLINK("https://www.773grp.com/globalSearch/LA1656GB-TRM-E/page-1", "LA1656GB-TRM-E")</f>
        <v>LA1656GB-TRM-E</v>
      </c>
      <c r="B21756" s="3" t="str">
        <f>HYPERLINK("https://www.773grp.com/manufacturer/nxp-semiconductor?pageNo=12", "NXP Semiconductors")</f>
        <v>NXP Semiconductors</v>
      </c>
      <c r="C21756" s="6">
        <v>4000</v>
      </c>
      <c r="D21756" s="7">
        <v>0</v>
      </c>
    </row>
    <row r="21757" spans="1:4" x14ac:dyDescent="0.25">
      <c r="A21757" t="str">
        <f>HYPERLINK("https://www.773grp.com/globalSearch/LA1657BG-TRM-E/page-1", "LA1657BG-TRM-E")</f>
        <v>LA1657BG-TRM-E</v>
      </c>
      <c r="B21757" s="3" t="str">
        <f>HYPERLINK("https://www.773grp.com/manufacturer/nxp-semiconductor?pageNo=13", "NXP Semiconductors")</f>
        <v>NXP Semiconductors</v>
      </c>
      <c r="C21757" s="6">
        <v>2000</v>
      </c>
      <c r="D21757" s="7">
        <v>0</v>
      </c>
    </row>
    <row r="21758" spans="1:4" x14ac:dyDescent="0.25">
      <c r="A21758" t="str">
        <f>HYPERLINK("https://www.773grp.com/globalSearch/LA1867NM-MPB-E/page-1", "LA1867NM-MPB-E")</f>
        <v>LA1867NM-MPB-E</v>
      </c>
      <c r="B21758" s="3" t="str">
        <f>HYPERLINK("https://www.773grp.com/manufacturer/nxp-semiconductor?pageNo=14", "NXP Semiconductors")</f>
        <v>NXP Semiconductors</v>
      </c>
      <c r="C21758" s="6">
        <v>4750</v>
      </c>
      <c r="D21758" s="7">
        <v>0</v>
      </c>
    </row>
    <row r="21759" spans="1:4" x14ac:dyDescent="0.25">
      <c r="A21759" t="str">
        <f>HYPERLINK("https://www.773grp.com/globalSearch/LA47532-S-E/page-1", "LA47532-S-E")</f>
        <v>LA47532-S-E</v>
      </c>
      <c r="B21759" s="3" t="str">
        <f>HYPERLINK("https://www.773grp.com/manufacturer/nxp-semiconductor?pageNo=15", "NXP Semiconductors")</f>
        <v>NXP Semiconductors</v>
      </c>
      <c r="C21759" s="6">
        <v>1715</v>
      </c>
      <c r="D21759" s="7">
        <v>0</v>
      </c>
    </row>
    <row r="21760" spans="1:4" x14ac:dyDescent="0.25">
      <c r="A21760" t="str">
        <f>HYPERLINK("https://www.773grp.com/globalSearch/LA5587-E/page-1", "LA5587-E")</f>
        <v>LA5587-E</v>
      </c>
      <c r="B21760" s="3" t="str">
        <f>HYPERLINK("https://www.773grp.com/manufacturer/nxp-semiconductor?pageNo=16", "NXP Semiconductors")</f>
        <v>NXP Semiconductors</v>
      </c>
      <c r="C21760" s="6">
        <v>4000</v>
      </c>
      <c r="D21760" s="7">
        <v>0</v>
      </c>
    </row>
    <row r="21761" spans="1:5" x14ac:dyDescent="0.25">
      <c r="A21761" t="str">
        <f>HYPERLINK("https://www.773grp.com/globalSearch/LA6586CL-TLM-E/page-1", "LA6586CL-TLM-E")</f>
        <v>LA6586CL-TLM-E</v>
      </c>
      <c r="B21761" s="3" t="str">
        <f>HYPERLINK("https://www.773grp.com/manufacturer/nxp-semiconductor?pageNo=17", "NXP Semiconductors")</f>
        <v>NXP Semiconductors</v>
      </c>
      <c r="C21761" s="6">
        <v>18000</v>
      </c>
      <c r="D21761" s="7">
        <v>0</v>
      </c>
    </row>
    <row r="21762" spans="1:5" x14ac:dyDescent="0.25">
      <c r="A21762" t="str">
        <f>HYPERLINK("https://www.773grp.com/globalSearch/LA72670BM-MPB-E/page-1", "LA72670BM-MPB-E")</f>
        <v>LA72670BM-MPB-E</v>
      </c>
      <c r="B21762" s="3" t="str">
        <f>HYPERLINK("https://www.773grp.com/manufacturer/nxp-semiconductor?pageNo=18", "NXP Semiconductors")</f>
        <v>NXP Semiconductors</v>
      </c>
      <c r="C21762" s="6">
        <v>2107</v>
      </c>
      <c r="D21762" s="7">
        <v>0</v>
      </c>
    </row>
    <row r="21763" spans="1:5" x14ac:dyDescent="0.25">
      <c r="A21763" t="str">
        <f>HYPERLINK("https://www.773grp.com/globalSearch/LA72680M-MPB-E/page-1", "LA72680M-MPB-E")</f>
        <v>LA72680M-MPB-E</v>
      </c>
      <c r="B21763" s="3" t="str">
        <f>HYPERLINK("https://www.773grp.com/manufacturer/nxp-semiconductor?pageNo=19", "NXP Semiconductors")</f>
        <v>NXP Semiconductors</v>
      </c>
      <c r="C21763" s="6">
        <v>11880</v>
      </c>
      <c r="D21763" s="7">
        <v>0</v>
      </c>
    </row>
    <row r="21764" spans="1:5" x14ac:dyDescent="0.25">
      <c r="A21764" t="str">
        <f>HYPERLINK("https://www.773grp.com/globalSearch/LA733P/page-1", "LA733P")</f>
        <v>LA733P</v>
      </c>
      <c r="B21764" s="3" t="str">
        <f>HYPERLINK("https://www.773grp.com/manufacturer/nxp-semiconductor?pageNo=20", "NXP Semiconductors")</f>
        <v>NXP Semiconductors</v>
      </c>
      <c r="C21764" s="6">
        <v>95420</v>
      </c>
      <c r="D21764" s="7">
        <v>0</v>
      </c>
      <c r="E21764" t="s">
        <v>61</v>
      </c>
    </row>
    <row r="21765" spans="1:5" x14ac:dyDescent="0.25">
      <c r="A21765" t="str">
        <f>HYPERLINK("https://www.773grp.com/globalSearch/LA733PRLRP/page-1", "LA733PRLRP")</f>
        <v>LA733PRLRP</v>
      </c>
      <c r="B21765" s="3" t="str">
        <f>HYPERLINK("https://www.773grp.com/manufacturer/nxp-semiconductor?pageNo=21", "NXP Semiconductors")</f>
        <v>NXP Semiconductors</v>
      </c>
      <c r="C21765" s="6">
        <v>4000</v>
      </c>
      <c r="D21765" s="7">
        <v>0</v>
      </c>
    </row>
    <row r="21766" spans="1:5" x14ac:dyDescent="0.25">
      <c r="A21766" t="str">
        <f>HYPERLINK("https://www.773grp.com/globalSearch/LA7784FN-TLM-E/page-1", "LA7784FN-TLM-E")</f>
        <v>LA7784FN-TLM-E</v>
      </c>
      <c r="B21766" s="3" t="str">
        <f>HYPERLINK("https://www.773grp.com/manufacturer/nxp-semiconductor?pageNo=22", "NXP Semiconductors")</f>
        <v>NXP Semiconductors</v>
      </c>
      <c r="C21766" s="6">
        <v>8000</v>
      </c>
      <c r="D21766" s="7">
        <v>0</v>
      </c>
    </row>
    <row r="21767" spans="1:5" x14ac:dyDescent="0.25">
      <c r="A21767" t="str">
        <f>HYPERLINK("https://www.773grp.com/globalSearch/LB1234-E/page-1", "LB1234-E")</f>
        <v>LB1234-E</v>
      </c>
      <c r="B21767" s="3" t="str">
        <f>HYPERLINK("https://www.773grp.com/manufacturer/nxp-semiconductor?pageNo=23", "NXP Semiconductors")</f>
        <v>NXP Semiconductors</v>
      </c>
      <c r="C21767" s="6">
        <v>300</v>
      </c>
      <c r="D21767" s="7">
        <v>0</v>
      </c>
    </row>
    <row r="21768" spans="1:5" x14ac:dyDescent="0.25">
      <c r="A21768" t="str">
        <f>HYPERLINK("https://www.773grp.com/globalSearch/LB1948MC/page-1", "LB1948MC")</f>
        <v>LB1948MC</v>
      </c>
      <c r="B21768" s="3" t="str">
        <f>HYPERLINK("https://www.773grp.com/manufacturer/nxp-semiconductor?pageNo=24", "NXP Semiconductors")</f>
        <v>NXP Semiconductors</v>
      </c>
      <c r="C21768" s="6">
        <v>170</v>
      </c>
      <c r="D21768" s="7">
        <v>0</v>
      </c>
    </row>
    <row r="21769" spans="1:5" x14ac:dyDescent="0.25">
      <c r="A21769" t="str">
        <f>HYPERLINK("https://www.773grp.com/globalSearch/LB8732V-TLM-H/page-1", "LB8732V-TLM-H")</f>
        <v>LB8732V-TLM-H</v>
      </c>
      <c r="B21769" s="3" t="str">
        <f>HYPERLINK("https://www.773grp.com/manufacturer/nxp-semiconductor?pageNo=25", "NXP Semiconductors")</f>
        <v>NXP Semiconductors</v>
      </c>
      <c r="C21769" s="6">
        <v>5</v>
      </c>
      <c r="D21769" s="7">
        <v>0</v>
      </c>
    </row>
    <row r="21770" spans="1:5" x14ac:dyDescent="0.25">
      <c r="A21770" t="str">
        <f>HYPERLINK("https://www.773grp.com/globalSearch/LC08900PW-A-TLM-E/page-1", "LC08900PW-A-TLM-E")</f>
        <v>LC08900PW-A-TLM-E</v>
      </c>
      <c r="B21770" s="3" t="str">
        <f>HYPERLINK("https://www.773grp.com/manufacturer/nxp-semiconductor?pageNo=26", "NXP Semiconductors")</f>
        <v>NXP Semiconductors</v>
      </c>
      <c r="C21770" s="6">
        <v>1000</v>
      </c>
      <c r="D21770" s="7">
        <v>0</v>
      </c>
    </row>
    <row r="21771" spans="1:5" x14ac:dyDescent="0.25">
      <c r="A21771" t="str">
        <f>HYPERLINK("https://www.773grp.com/globalSearch/LC272G6BT-ZG2-E/page-1", "LC272G6BT-ZG2-E")</f>
        <v>LC272G6BT-ZG2-E</v>
      </c>
      <c r="B21771" s="3" t="str">
        <f>HYPERLINK("https://www.773grp.com/manufacturer/nxp-semiconductor?pageNo=27", "NXP Semiconductors")</f>
        <v>NXP Semiconductors</v>
      </c>
      <c r="C21771" s="6">
        <v>600</v>
      </c>
      <c r="D21771" s="7">
        <v>0</v>
      </c>
    </row>
    <row r="21772" spans="1:5" x14ac:dyDescent="0.25">
      <c r="A21772" t="str">
        <f>HYPERLINK("https://www.773grp.com/globalSearch/LC27360CST-01H-E/page-1", "LC27360CST-01H-E")</f>
        <v>LC27360CST-01H-E</v>
      </c>
      <c r="B21772" s="3" t="str">
        <f>HYPERLINK("https://www.773grp.com/manufacturer/nxp-semiconductor?pageNo=28", "NXP Semiconductors")</f>
        <v>NXP Semiconductors</v>
      </c>
      <c r="C21772" s="6">
        <v>400</v>
      </c>
      <c r="D21772" s="7">
        <v>0</v>
      </c>
    </row>
    <row r="21773" spans="1:5" x14ac:dyDescent="0.25">
      <c r="A21773" t="str">
        <f>HYPERLINK("https://www.773grp.com/globalSearch/LC41381NKBR-T1B/page-1", "LC41381NKBR-T1B")</f>
        <v>LC41381NKBR-T1B</v>
      </c>
      <c r="B21773" s="3" t="str">
        <f>HYPERLINK("https://www.773grp.com/manufacturer/nxp-semiconductor?pageNo=29", "NXP Semiconductors")</f>
        <v>NXP Semiconductors</v>
      </c>
      <c r="C21773" s="6">
        <v>6409</v>
      </c>
      <c r="D21773" s="7">
        <v>0</v>
      </c>
    </row>
    <row r="21774" spans="1:5" x14ac:dyDescent="0.25">
      <c r="A21774" t="str">
        <f>HYPERLINK("https://www.773grp.com/globalSearch/LC70310KBG-UAQ-TLM-H/page-1", "LC70310KBG-UAQ-TLM-H")</f>
        <v>LC70310KBG-UAQ-TLM-H</v>
      </c>
      <c r="B21774" s="3" t="str">
        <f>HYPERLINK("https://www.773grp.com/manufacturer/nxp-semiconductor?pageNo=30", "NXP Semiconductors")</f>
        <v>NXP Semiconductors</v>
      </c>
      <c r="C21774" s="6">
        <v>2000</v>
      </c>
      <c r="D21774" s="7">
        <v>0</v>
      </c>
    </row>
    <row r="21775" spans="1:5" x14ac:dyDescent="0.25">
      <c r="A21775" t="str">
        <f>HYPERLINK("https://www.773grp.com/globalSearch/LC72322-9271-E/page-1", "LC72322-9271-E")</f>
        <v>LC72322-9271-E</v>
      </c>
      <c r="B21775" s="3" t="str">
        <f>HYPERLINK("https://www.773grp.com/manufacturer/nxp-semiconductor?pageNo=31", "NXP Semiconductors")</f>
        <v>NXP Semiconductors</v>
      </c>
      <c r="C21775" s="6">
        <v>172</v>
      </c>
      <c r="D21775" s="7">
        <v>0</v>
      </c>
    </row>
    <row r="21776" spans="1:5" x14ac:dyDescent="0.25">
      <c r="A21776" t="str">
        <f>HYPERLINK("https://www.773grp.com/globalSearch/LC72362Y-9920N-E/page-1", "LC72362Y-9920N-E")</f>
        <v>LC72362Y-9920N-E</v>
      </c>
      <c r="B21776" s="3" t="str">
        <f>HYPERLINK("https://www.773grp.com/manufacturer/nxp-semiconductor?pageNo=32", "NXP Semiconductors")</f>
        <v>NXP Semiconductors</v>
      </c>
      <c r="C21776" s="6">
        <v>2500</v>
      </c>
      <c r="D21776" s="7">
        <v>0</v>
      </c>
    </row>
    <row r="21777" spans="1:4" x14ac:dyDescent="0.25">
      <c r="A21777" t="str">
        <f>HYPERLINK("https://www.773grp.com/globalSearch/LC72362Y-9C64N-E/page-1", "LC72362Y-9C64N-E")</f>
        <v>LC72362Y-9C64N-E</v>
      </c>
      <c r="B21777" s="3" t="str">
        <f>HYPERLINK("https://www.773grp.com/manufacturer/nxp-semiconductor?pageNo=33", "NXP Semiconductors")</f>
        <v>NXP Semiconductors</v>
      </c>
      <c r="C21777" s="6">
        <v>750</v>
      </c>
      <c r="D21777" s="7">
        <v>0</v>
      </c>
    </row>
    <row r="21778" spans="1:4" x14ac:dyDescent="0.25">
      <c r="A21778" t="str">
        <f>HYPERLINK("https://www.773grp.com/globalSearch/LC72366-9C35-E/page-1", "LC72366-9C35-E")</f>
        <v>LC72366-9C35-E</v>
      </c>
      <c r="B21778" s="3" t="str">
        <f>HYPERLINK("https://www.773grp.com/manufacturer/nxp-semiconductor?pageNo=34", "NXP Semiconductors")</f>
        <v>NXP Semiconductors</v>
      </c>
      <c r="C21778" s="6">
        <v>213</v>
      </c>
      <c r="D21778" s="7">
        <v>0</v>
      </c>
    </row>
    <row r="21779" spans="1:4" x14ac:dyDescent="0.25">
      <c r="A21779" t="str">
        <f>HYPERLINK("https://www.773grp.com/globalSearch/LC723782N-9D02-E/page-1", "LC723782N-9D02-E")</f>
        <v>LC723782N-9D02-E</v>
      </c>
      <c r="B21779" s="3" t="str">
        <f>HYPERLINK("https://www.773grp.com/manufacturer/nxp-semiconductor?pageNo=35", "NXP Semiconductors")</f>
        <v>NXP Semiconductors</v>
      </c>
      <c r="C21779" s="6">
        <v>287</v>
      </c>
      <c r="D21779" s="7">
        <v>0</v>
      </c>
    </row>
    <row r="21780" spans="1:4" x14ac:dyDescent="0.25">
      <c r="A21780" t="str">
        <f>HYPERLINK("https://www.773grp.com/globalSearch/LC723784-9D51-E/page-1", "LC723784-9D51-E")</f>
        <v>LC723784-9D51-E</v>
      </c>
      <c r="B21780" s="3" t="str">
        <f>HYPERLINK("https://www.773grp.com/manufacturer/nxp-semiconductor?pageNo=36", "NXP Semiconductors")</f>
        <v>NXP Semiconductors</v>
      </c>
      <c r="C21780" s="6">
        <v>50</v>
      </c>
      <c r="D21780" s="7">
        <v>0</v>
      </c>
    </row>
    <row r="21781" spans="1:4" x14ac:dyDescent="0.25">
      <c r="A21781" t="str">
        <f>HYPERLINK("https://www.773grp.com/globalSearch/LC74156PNB-SH-UD-E/page-1", "LC74156PNB-SH-UD-E")</f>
        <v>LC74156PNB-SH-UD-E</v>
      </c>
      <c r="B21781" s="3" t="str">
        <f>HYPERLINK("https://www.773grp.com/manufacturer/nxp-semiconductor?pageNo=37", "NXP Semiconductors")</f>
        <v>NXP Semiconductors</v>
      </c>
      <c r="C21781" s="6">
        <v>400</v>
      </c>
      <c r="D21781" s="7">
        <v>0</v>
      </c>
    </row>
    <row r="21782" spans="1:4" x14ac:dyDescent="0.25">
      <c r="A21782" t="str">
        <f>HYPERLINK("https://www.773grp.com/globalSearch/LC74735NWH-8A17-E/page-1", "LC74735NWH-8A17-E")</f>
        <v>LC74735NWH-8A17-E</v>
      </c>
      <c r="B21782" s="3" t="str">
        <f>HYPERLINK("https://www.773grp.com/manufacturer/nxp-semiconductor?pageNo=38", "NXP Semiconductors")</f>
        <v>NXP Semiconductors</v>
      </c>
      <c r="C21782" s="6">
        <v>200</v>
      </c>
      <c r="D21782" s="7">
        <v>0</v>
      </c>
    </row>
    <row r="21783" spans="1:4" x14ac:dyDescent="0.25">
      <c r="A21783" t="str">
        <f>HYPERLINK("https://www.773grp.com/globalSearch/LC74782M-8A13-E/page-1", "LC74782M-8A13-E")</f>
        <v>LC74782M-8A13-E</v>
      </c>
      <c r="B21783" s="3" t="str">
        <f>HYPERLINK("https://www.773grp.com/manufacturer/nxp-semiconductor?pageNo=39", "NXP Semiconductors")</f>
        <v>NXP Semiconductors</v>
      </c>
      <c r="C21783" s="6">
        <v>1166</v>
      </c>
      <c r="D21783" s="7">
        <v>0</v>
      </c>
    </row>
    <row r="21784" spans="1:4" x14ac:dyDescent="0.25">
      <c r="A21784" t="str">
        <f>HYPERLINK("https://www.773grp.com/globalSearch/LC749402PT-UDE-H/page-1", "LC749402PT-UDE-H")</f>
        <v>LC749402PT-UDE-H</v>
      </c>
      <c r="B21784" s="3" t="str">
        <f>HYPERLINK("https://www.773grp.com/manufacturer/nxp-semiconductor?pageNo=40", "NXP Semiconductors")</f>
        <v>NXP Semiconductors</v>
      </c>
      <c r="C21784" s="6">
        <v>8550</v>
      </c>
      <c r="D21784" s="7">
        <v>0</v>
      </c>
    </row>
    <row r="21785" spans="1:4" x14ac:dyDescent="0.25">
      <c r="A21785" t="str">
        <f>HYPERLINK("https://www.773grp.com/globalSearch/LC750512E-USH-E/page-1", "LC750512E-USH-E")</f>
        <v>LC750512E-USH-E</v>
      </c>
      <c r="B21785" s="3" t="str">
        <f>HYPERLINK("https://www.773grp.com/manufacturer/nxp-semiconductor?pageNo=41", "NXP Semiconductors")</f>
        <v>NXP Semiconductors</v>
      </c>
      <c r="C21785" s="6">
        <v>300</v>
      </c>
      <c r="D21785" s="7">
        <v>0</v>
      </c>
    </row>
    <row r="21786" spans="1:4" x14ac:dyDescent="0.25">
      <c r="A21786" t="str">
        <f>HYPERLINK("https://www.773grp.com/globalSearch/LC75385YEHS-E/page-1", "LC75385YEHS-E")</f>
        <v>LC75385YEHS-E</v>
      </c>
      <c r="B21786" s="3" t="str">
        <f>HYPERLINK("https://www.773grp.com/manufacturer/nxp-semiconductor?pageNo=42", "NXP Semiconductors")</f>
        <v>NXP Semiconductors</v>
      </c>
      <c r="C21786" s="6">
        <v>50</v>
      </c>
      <c r="D21786" s="7">
        <v>0</v>
      </c>
    </row>
    <row r="21787" spans="1:4" x14ac:dyDescent="0.25">
      <c r="A21787" t="str">
        <f>HYPERLINK("https://www.773grp.com/globalSearch/LC75386NE-R-E/page-1", "LC75386NE-R-E")</f>
        <v>LC75386NE-R-E</v>
      </c>
      <c r="B21787" s="3" t="str">
        <f>HYPERLINK("https://www.773grp.com/manufacturer/nxp-semiconductor?pageNo=43", "NXP Semiconductors")</f>
        <v>NXP Semiconductors</v>
      </c>
      <c r="C21787" s="6">
        <v>360</v>
      </c>
      <c r="D21787" s="7">
        <v>0</v>
      </c>
    </row>
    <row r="21788" spans="1:4" x14ac:dyDescent="0.25">
      <c r="A21788" t="str">
        <f>HYPERLINK("https://www.773grp.com/globalSearch/LC75826WH-US-E/page-1", "LC75826WH-US-E")</f>
        <v>LC75826WH-US-E</v>
      </c>
      <c r="B21788" s="3" t="str">
        <f>HYPERLINK("https://www.773grp.com/manufacturer/nxp-semiconductor?pageNo=44", "NXP Semiconductors")</f>
        <v>NXP Semiconductors</v>
      </c>
      <c r="C21788" s="6">
        <v>15458</v>
      </c>
      <c r="D21788" s="7">
        <v>0</v>
      </c>
    </row>
    <row r="21789" spans="1:4" x14ac:dyDescent="0.25">
      <c r="A21789" t="str">
        <f>HYPERLINK("https://www.773grp.com/globalSearch/LC75878W-UALP-E/page-1", "LC75878W-UALP-E")</f>
        <v>LC75878W-UALP-E</v>
      </c>
      <c r="B21789" s="3" t="str">
        <f>HYPERLINK("https://www.773grp.com/manufacturer/nxp-semiconductor?pageNo=45", "NXP Semiconductors")</f>
        <v>NXP Semiconductors</v>
      </c>
      <c r="C21789" s="6">
        <v>5169</v>
      </c>
      <c r="D21789" s="7">
        <v>0</v>
      </c>
    </row>
    <row r="21790" spans="1:4" x14ac:dyDescent="0.25">
      <c r="A21790" t="str">
        <f>HYPERLINK("https://www.773grp.com/globalSearch/LC78637E-E/page-1", "LC78637E-E")</f>
        <v>LC78637E-E</v>
      </c>
      <c r="B21790" s="3" t="str">
        <f>HYPERLINK("https://www.773grp.com/manufacturer/nxp-semiconductor?pageNo=46", "NXP Semiconductors")</f>
        <v>NXP Semiconductors</v>
      </c>
      <c r="C21790" s="6">
        <v>44200</v>
      </c>
      <c r="D21790" s="7">
        <v>0</v>
      </c>
    </row>
    <row r="21791" spans="1:4" x14ac:dyDescent="0.25">
      <c r="A21791" t="str">
        <f>HYPERLINK("https://www.773grp.com/globalSearch/LC78646ES-UM-E/page-1", "LC78646ES-UM-E")</f>
        <v>LC78646ES-UM-E</v>
      </c>
      <c r="B21791" s="3" t="str">
        <f>HYPERLINK("https://www.773grp.com/manufacturer/nxp-semiconductor?pageNo=47", "NXP Semiconductors")</f>
        <v>NXP Semiconductors</v>
      </c>
      <c r="C21791" s="6">
        <v>4134</v>
      </c>
      <c r="D21791" s="7">
        <v>0</v>
      </c>
    </row>
    <row r="21792" spans="1:4" x14ac:dyDescent="0.25">
      <c r="A21792" t="str">
        <f>HYPERLINK("https://www.773grp.com/globalSearch/LC786923W-02ST-LR-E/page-1", "LC786923W-02ST-LR-E")</f>
        <v>LC786923W-02ST-LR-E</v>
      </c>
      <c r="B21792" s="3" t="str">
        <f>HYPERLINK("https://www.773grp.com/manufacturer/nxp-semiconductor?pageNo=48", "NXP Semiconductors")</f>
        <v>NXP Semiconductors</v>
      </c>
      <c r="C21792" s="6">
        <v>600</v>
      </c>
      <c r="D21792" s="7">
        <v>0</v>
      </c>
    </row>
    <row r="21793" spans="1:4" x14ac:dyDescent="0.25">
      <c r="A21793" t="str">
        <f>HYPERLINK("https://www.773grp.com/globalSearch/LC786924T-US-H/page-1", "LC786924T-US-H")</f>
        <v>LC786924T-US-H</v>
      </c>
      <c r="B21793" s="3" t="str">
        <f>HYPERLINK("https://www.773grp.com/manufacturer/nxp-semiconductor?pageNo=1", "NXP Semiconductors")</f>
        <v>NXP Semiconductors</v>
      </c>
      <c r="C21793" s="6">
        <v>1190</v>
      </c>
      <c r="D21793" s="7">
        <v>0</v>
      </c>
    </row>
    <row r="21794" spans="1:4" x14ac:dyDescent="0.25">
      <c r="A21794" t="str">
        <f>HYPERLINK("https://www.773grp.com/globalSearch/LC786927W-04AP-LR-H/page-1", "LC786927W-04AP-LR-H")</f>
        <v>LC786927W-04AP-LR-H</v>
      </c>
      <c r="B21794" s="3" t="str">
        <f>HYPERLINK("https://www.773grp.com/manufacturer/nxp-semiconductor?pageNo=2", "NXP Semiconductors")</f>
        <v>NXP Semiconductors</v>
      </c>
      <c r="C21794" s="6">
        <v>5298</v>
      </c>
      <c r="D21794" s="7">
        <v>0</v>
      </c>
    </row>
    <row r="21795" spans="1:4" x14ac:dyDescent="0.25">
      <c r="A21795" t="str">
        <f>HYPERLINK("https://www.773grp.com/globalSearch/LC78692NW-E/page-1", "LC78692NW-E")</f>
        <v>LC78692NW-E</v>
      </c>
      <c r="B21795" s="3" t="str">
        <f>HYPERLINK("https://www.773grp.com/manufacturer/nxp-semiconductor?pageNo=3", "NXP Semiconductors")</f>
        <v>NXP Semiconductors</v>
      </c>
      <c r="C21795" s="6">
        <v>44047</v>
      </c>
      <c r="D21795" s="7">
        <v>0</v>
      </c>
    </row>
    <row r="21796" spans="1:4" x14ac:dyDescent="0.25">
      <c r="A21796" t="str">
        <f>HYPERLINK("https://www.773grp.com/globalSearch/LC78692NW-LR-UDA-E/page-1", "LC78692NW-LR-UDA-E")</f>
        <v>LC78692NW-LR-UDA-E</v>
      </c>
      <c r="B21796" s="3" t="str">
        <f>HYPERLINK("https://www.773grp.com/manufacturer/nxp-semiconductor?pageNo=4", "NXP Semiconductors")</f>
        <v>NXP Semiconductors</v>
      </c>
      <c r="C21796" s="6">
        <v>300</v>
      </c>
      <c r="D21796" s="7">
        <v>0</v>
      </c>
    </row>
    <row r="21797" spans="1:4" x14ac:dyDescent="0.25">
      <c r="A21797" t="str">
        <f>HYPERLINK("https://www.773grp.com/globalSearch/LC786930E-00UM-E/page-1", "LC786930E-00UM-E")</f>
        <v>LC786930E-00UM-E</v>
      </c>
      <c r="B21797" s="3" t="str">
        <f>HYPERLINK("https://www.773grp.com/manufacturer/nxp-semiconductor?pageNo=5", "NXP Semiconductors")</f>
        <v>NXP Semiconductors</v>
      </c>
      <c r="C21797" s="6">
        <v>1440</v>
      </c>
      <c r="D21797" s="7">
        <v>0</v>
      </c>
    </row>
    <row r="21798" spans="1:4" x14ac:dyDescent="0.25">
      <c r="A21798" t="str">
        <f>HYPERLINK("https://www.773grp.com/globalSearch/LC79401D-E/page-1", "LC79401D-E")</f>
        <v>LC79401D-E</v>
      </c>
      <c r="B21798" s="3" t="str">
        <f>HYPERLINK("https://www.773grp.com/manufacturer/nxp-semiconductor?pageNo=6", "NXP Semiconductors")</f>
        <v>NXP Semiconductors</v>
      </c>
      <c r="C21798" s="6">
        <v>37</v>
      </c>
      <c r="D21798" s="7">
        <v>0</v>
      </c>
    </row>
    <row r="21799" spans="1:4" x14ac:dyDescent="0.25">
      <c r="A21799" t="str">
        <f>HYPERLINK("https://www.773grp.com/globalSearch/LC7981-E/page-1", "LC7981-E")</f>
        <v>LC7981-E</v>
      </c>
      <c r="B21799" s="3" t="str">
        <f>HYPERLINK("https://www.773grp.com/manufacturer/nxp-semiconductor?pageNo=7", "NXP Semiconductors")</f>
        <v>NXP Semiconductors</v>
      </c>
      <c r="C21799" s="6">
        <v>4850</v>
      </c>
      <c r="D21799" s="7">
        <v>0</v>
      </c>
    </row>
    <row r="21800" spans="1:4" x14ac:dyDescent="0.25">
      <c r="A21800" t="str">
        <f>HYPERLINK("https://www.773grp.com/globalSearch/LC823231-YE6-E/page-1", "LC823231-YE6-E")</f>
        <v>LC823231-YE6-E</v>
      </c>
      <c r="B21800" s="3" t="str">
        <f>HYPERLINK("https://www.773grp.com/manufacturer/nxp-semiconductor?pageNo=8", "NXP Semiconductors")</f>
        <v>NXP Semiconductors</v>
      </c>
      <c r="C21800" s="6">
        <v>500</v>
      </c>
      <c r="D21800" s="7">
        <v>0</v>
      </c>
    </row>
    <row r="21801" spans="1:4" x14ac:dyDescent="0.25">
      <c r="A21801" t="str">
        <f>HYPERLINK("https://www.773grp.com/globalSearch/LC863232C-55M3-E/page-1", "LC863232C-55M3-E")</f>
        <v>LC863232C-55M3-E</v>
      </c>
      <c r="B21801" s="3" t="str">
        <f>HYPERLINK("https://www.773grp.com/manufacturer/nxp-semiconductor?pageNo=9", "NXP Semiconductors")</f>
        <v>NXP Semiconductors</v>
      </c>
      <c r="C21801" s="6">
        <v>9875</v>
      </c>
      <c r="D21801" s="7">
        <v>0</v>
      </c>
    </row>
    <row r="21802" spans="1:4" x14ac:dyDescent="0.25">
      <c r="A21802" t="str">
        <f>HYPERLINK("https://www.773grp.com/globalSearch/LC876B96A-59G8-E/page-1", "LC876B96A-59G8-E")</f>
        <v>LC876B96A-59G8-E</v>
      </c>
      <c r="B21802" s="3" t="str">
        <f>HYPERLINK("https://www.773grp.com/manufacturer/nxp-semiconductor?pageNo=10", "NXP Semiconductors")</f>
        <v>NXP Semiconductors</v>
      </c>
      <c r="C21802" s="6">
        <v>1000</v>
      </c>
      <c r="D21802" s="7">
        <v>0</v>
      </c>
    </row>
    <row r="21803" spans="1:4" x14ac:dyDescent="0.25">
      <c r="A21803" t="str">
        <f>HYPERLINK("https://www.773grp.com/globalSearch/LC878396PA-59K4-E/page-1", "LC878396PA-59K4-E")</f>
        <v>LC878396PA-59K4-E</v>
      </c>
      <c r="B21803" s="3" t="str">
        <f>HYPERLINK("https://www.773grp.com/manufacturer/nxp-semiconductor?pageNo=11", "NXP Semiconductors")</f>
        <v>NXP Semiconductors</v>
      </c>
      <c r="C21803" s="6">
        <v>1000</v>
      </c>
      <c r="D21803" s="7">
        <v>0</v>
      </c>
    </row>
    <row r="21804" spans="1:4" x14ac:dyDescent="0.25">
      <c r="A21804" t="str">
        <f>HYPERLINK("https://www.773grp.com/globalSearch/LC878396PA-5BP5-E/page-1", "LC878396PA-5BP5-E")</f>
        <v>LC878396PA-5BP5-E</v>
      </c>
      <c r="B21804" s="3" t="str">
        <f>HYPERLINK("https://www.773grp.com/manufacturer/nxp-semiconductor?pageNo=12", "NXP Semiconductors")</f>
        <v>NXP Semiconductors</v>
      </c>
      <c r="C21804" s="6">
        <v>19467</v>
      </c>
      <c r="D21804" s="7">
        <v>0</v>
      </c>
    </row>
    <row r="21805" spans="1:4" x14ac:dyDescent="0.25">
      <c r="A21805" t="str">
        <f>HYPERLINK("https://www.773grp.com/globalSearch/LC8783C8PA-5AA4-E/page-1", "LC8783C8PA-5AA4-E")</f>
        <v>LC8783C8PA-5AA4-E</v>
      </c>
      <c r="B21805" s="3" t="str">
        <f>HYPERLINK("https://www.773grp.com/manufacturer/nxp-semiconductor?pageNo=13", "NXP Semiconductors")</f>
        <v>NXP Semiconductors</v>
      </c>
      <c r="C21805" s="6">
        <v>2100</v>
      </c>
      <c r="D21805" s="7">
        <v>0</v>
      </c>
    </row>
    <row r="21806" spans="1:4" x14ac:dyDescent="0.25">
      <c r="A21806" t="str">
        <f>HYPERLINK("https://www.773grp.com/globalSearch/LC8783C8PA-5BS3-E/page-1", "LC8783C8PA-5BS3-E")</f>
        <v>LC8783C8PA-5BS3-E</v>
      </c>
      <c r="B21806" s="3" t="str">
        <f>HYPERLINK("https://www.773grp.com/manufacturer/nxp-semiconductor?pageNo=14", "NXP Semiconductors")</f>
        <v>NXP Semiconductors</v>
      </c>
      <c r="C21806" s="6">
        <v>600</v>
      </c>
      <c r="D21806" s="7">
        <v>0</v>
      </c>
    </row>
    <row r="21807" spans="1:4" x14ac:dyDescent="0.25">
      <c r="A21807" t="str">
        <f>HYPERLINK("https://www.773grp.com/globalSearch/LC8783J2PA-59L6-E/page-1", "LC8783J2PA-59L6-E")</f>
        <v>LC8783J2PA-59L6-E</v>
      </c>
      <c r="B21807" s="3" t="str">
        <f>HYPERLINK("https://www.773grp.com/manufacturer/nxp-semiconductor?pageNo=15", "NXP Semiconductors")</f>
        <v>NXP Semiconductors</v>
      </c>
      <c r="C21807" s="6">
        <v>40</v>
      </c>
      <c r="D21807" s="7">
        <v>0</v>
      </c>
    </row>
    <row r="21808" spans="1:4" x14ac:dyDescent="0.25">
      <c r="A21808" t="str">
        <f>HYPERLINK("https://www.773grp.com/globalSearch/LC8783M4PA-59R8-E/page-1", "LC8783M4PA-59R8-E")</f>
        <v>LC8783M4PA-59R8-E</v>
      </c>
      <c r="B21808" s="3" t="str">
        <f>HYPERLINK("https://www.773grp.com/manufacturer/nxp-semiconductor?pageNo=16", "NXP Semiconductors")</f>
        <v>NXP Semiconductors</v>
      </c>
      <c r="C21808" s="6">
        <v>1955</v>
      </c>
      <c r="D21808" s="7">
        <v>0</v>
      </c>
    </row>
    <row r="21809" spans="1:4" x14ac:dyDescent="0.25">
      <c r="A21809" t="str">
        <f>HYPERLINK("https://www.773grp.com/globalSearch/LC8783M4PA-5AE9-E/page-1", "LC8783M4PA-5AE9-E")</f>
        <v>LC8783M4PA-5AE9-E</v>
      </c>
      <c r="B21809" s="3" t="str">
        <f>HYPERLINK("https://www.773grp.com/manufacturer/nxp-semiconductor?pageNo=17", "NXP Semiconductors")</f>
        <v>NXP Semiconductors</v>
      </c>
      <c r="C21809" s="6">
        <v>549</v>
      </c>
      <c r="D21809" s="7">
        <v>0</v>
      </c>
    </row>
    <row r="21810" spans="1:4" x14ac:dyDescent="0.25">
      <c r="A21810" t="str">
        <f>HYPERLINK("https://www.773grp.com/globalSearch/LC87F05J2A-F59A0-E/page-1", "LC87F05J2A-F59A0-E")</f>
        <v>LC87F05J2A-F59A0-E</v>
      </c>
      <c r="B21810" s="3" t="str">
        <f>HYPERLINK("https://www.773grp.com/manufacturer/nxp-semiconductor?pageNo=18", "NXP Semiconductors")</f>
        <v>NXP Semiconductors</v>
      </c>
      <c r="C21810" s="6">
        <v>3500</v>
      </c>
      <c r="D21810" s="7">
        <v>0</v>
      </c>
    </row>
    <row r="21811" spans="1:4" x14ac:dyDescent="0.25">
      <c r="A21811" t="str">
        <f>HYPERLINK("https://www.773grp.com/globalSearch/LC87F06J2A-F59P6-E/page-1", "LC87F06J2A-F59P6-E")</f>
        <v>LC87F06J2A-F59P6-E</v>
      </c>
      <c r="B21811" s="3" t="str">
        <f>HYPERLINK("https://www.773grp.com/manufacturer/nxp-semiconductor?pageNo=19", "NXP Semiconductors")</f>
        <v>NXP Semiconductors</v>
      </c>
      <c r="C21811" s="6">
        <v>2000</v>
      </c>
      <c r="D21811" s="7">
        <v>0</v>
      </c>
    </row>
    <row r="21812" spans="1:4" x14ac:dyDescent="0.25">
      <c r="A21812" t="str">
        <f>HYPERLINK("https://www.773grp.com/globalSearch/LC87F14C8AVU-TQFP-E/page-1", "LC87F14C8AVU-TQFP-E")</f>
        <v>LC87F14C8AVU-TQFP-E</v>
      </c>
      <c r="B21812" s="3" t="str">
        <f>HYPERLINK("https://www.773grp.com/manufacturer/nxp-semiconductor?pageNo=20", "NXP Semiconductors")</f>
        <v>NXP Semiconductors</v>
      </c>
      <c r="C21812" s="6">
        <v>1000</v>
      </c>
      <c r="D21812" s="7">
        <v>0</v>
      </c>
    </row>
    <row r="21813" spans="1:4" x14ac:dyDescent="0.25">
      <c r="A21813" t="str">
        <f>HYPERLINK("https://www.773grp.com/globalSearch/LC87F1964A-F5BD2-E/page-1", "LC87F1964A-F5BD2-E")</f>
        <v>LC87F1964A-F5BD2-E</v>
      </c>
      <c r="B21813" s="3" t="str">
        <f>HYPERLINK("https://www.773grp.com/manufacturer/nxp-semiconductor?pageNo=21", "NXP Semiconductors")</f>
        <v>NXP Semiconductors</v>
      </c>
      <c r="C21813" s="6">
        <v>500</v>
      </c>
      <c r="D21813" s="7">
        <v>0</v>
      </c>
    </row>
    <row r="21814" spans="1:4" x14ac:dyDescent="0.25">
      <c r="A21814" t="str">
        <f>HYPERLINK("https://www.773grp.com/globalSearch/LC87F1964A-F5BF7-E/page-1", "LC87F1964A-F5BF7-E")</f>
        <v>LC87F1964A-F5BF7-E</v>
      </c>
      <c r="B21814" s="3" t="str">
        <f>HYPERLINK("https://www.773grp.com/manufacturer/nxp-semiconductor?pageNo=22", "NXP Semiconductors")</f>
        <v>NXP Semiconductors</v>
      </c>
      <c r="C21814" s="6">
        <v>2000</v>
      </c>
      <c r="D21814" s="7">
        <v>0</v>
      </c>
    </row>
    <row r="21815" spans="1:4" x14ac:dyDescent="0.25">
      <c r="A21815" t="str">
        <f>HYPERLINK("https://www.773grp.com/globalSearch/LC87F1HC4AVU-SQFP-E/page-1", "LC87F1HC4AVU-SQFP-E")</f>
        <v>LC87F1HC4AVU-SQFP-E</v>
      </c>
      <c r="B21815" s="3" t="str">
        <f>HYPERLINK("https://www.773grp.com/manufacturer/nxp-semiconductor?pageNo=23", "NXP Semiconductors")</f>
        <v>NXP Semiconductors</v>
      </c>
      <c r="C21815" s="6">
        <v>4204</v>
      </c>
      <c r="D21815" s="7">
        <v>0</v>
      </c>
    </row>
    <row r="21816" spans="1:4" x14ac:dyDescent="0.25">
      <c r="A21816" t="str">
        <f>HYPERLINK("https://www.773grp.com/globalSearch/LC87F1HC8A-F5AH7-E/page-1", "LC87F1HC8A-F5AH7-E")</f>
        <v>LC87F1HC8A-F5AH7-E</v>
      </c>
      <c r="B21816" s="3" t="str">
        <f>HYPERLINK("https://www.773grp.com/manufacturer/nxp-semiconductor?pageNo=24", "NXP Semiconductors")</f>
        <v>NXP Semiconductors</v>
      </c>
      <c r="C21816" s="6">
        <v>700</v>
      </c>
      <c r="D21816" s="7">
        <v>0</v>
      </c>
    </row>
    <row r="21817" spans="1:4" x14ac:dyDescent="0.25">
      <c r="A21817" t="str">
        <f>HYPERLINK("https://www.773grp.com/globalSearch/LC87F1HC8AU-SQFP-E/page-1", "LC87F1HC8AU-SQFP-E")</f>
        <v>LC87F1HC8AU-SQFP-E</v>
      </c>
      <c r="B21817" s="3" t="str">
        <f>HYPERLINK("https://www.773grp.com/manufacturer/nxp-semiconductor?pageNo=25", "NXP Semiconductors")</f>
        <v>NXP Semiconductors</v>
      </c>
      <c r="C21817" s="6">
        <v>200</v>
      </c>
      <c r="D21817" s="7">
        <v>0</v>
      </c>
    </row>
    <row r="21818" spans="1:4" x14ac:dyDescent="0.25">
      <c r="A21818" t="str">
        <f>HYPERLINK("https://www.773grp.com/globalSearch/LC87F5LP6AU-EG-E/page-1", "LC87F5LP6AU-EG-E")</f>
        <v>LC87F5LP6AU-EG-E</v>
      </c>
      <c r="B21818" s="3" t="str">
        <f>HYPERLINK("https://www.773grp.com/manufacturer/nxp-semiconductor?pageNo=26", "NXP Semiconductors")</f>
        <v>NXP Semiconductors</v>
      </c>
      <c r="C21818" s="6">
        <v>50</v>
      </c>
      <c r="D21818" s="7">
        <v>0</v>
      </c>
    </row>
    <row r="21819" spans="1:4" x14ac:dyDescent="0.25">
      <c r="A21819" t="str">
        <f>HYPERLINK("https://www.773grp.com/globalSearch/LC87F5M64AU-ED-E/page-1", "LC87F5M64AU-ED-E")</f>
        <v>LC87F5M64AU-ED-E</v>
      </c>
      <c r="B21819" s="3" t="str">
        <f>HYPERLINK("https://www.773grp.com/manufacturer/nxp-semiconductor?pageNo=27", "NXP Semiconductors")</f>
        <v>NXP Semiconductors</v>
      </c>
      <c r="C21819" s="6">
        <v>60</v>
      </c>
      <c r="D21819" s="7">
        <v>0</v>
      </c>
    </row>
    <row r="21820" spans="1:4" x14ac:dyDescent="0.25">
      <c r="A21820" t="str">
        <f>HYPERLINK("https://www.773grp.com/globalSearch/LC87F5NC8AU-EG-E/page-1", "LC87F5NC8AU-EG-E")</f>
        <v>LC87F5NC8AU-EG-E</v>
      </c>
      <c r="B21820" s="3" t="str">
        <f>HYPERLINK("https://www.773grp.com/manufacturer/nxp-semiconductor?pageNo=28", "NXP Semiconductors")</f>
        <v>NXP Semiconductors</v>
      </c>
      <c r="C21820" s="6">
        <v>50</v>
      </c>
      <c r="D21820" s="7">
        <v>0</v>
      </c>
    </row>
    <row r="21821" spans="1:4" x14ac:dyDescent="0.25">
      <c r="A21821" t="str">
        <f>HYPERLINK("https://www.773grp.com/globalSearch/LC87F6AC8AU-QIP-E/page-1", "LC87F6AC8AU-QIP-E")</f>
        <v>LC87F6AC8AU-QIP-E</v>
      </c>
      <c r="B21821" s="3" t="str">
        <f>HYPERLINK("https://www.773grp.com/manufacturer/nxp-semiconductor?pageNo=29", "NXP Semiconductors")</f>
        <v>NXP Semiconductors</v>
      </c>
      <c r="C21821" s="6">
        <v>30</v>
      </c>
      <c r="D21821" s="7">
        <v>0</v>
      </c>
    </row>
    <row r="21822" spans="1:4" x14ac:dyDescent="0.25">
      <c r="A21822" t="str">
        <f>HYPERLINK("https://www.773grp.com/globalSearch/LC87F7932BVU-SQFP-H/page-1", "LC87F7932BVU-SQFP-H")</f>
        <v>LC87F7932BVU-SQFP-H</v>
      </c>
      <c r="B21822" s="3" t="str">
        <f>HYPERLINK("https://www.773grp.com/manufacturer/nxp-semiconductor?pageNo=30", "NXP Semiconductors")</f>
        <v>NXP Semiconductors</v>
      </c>
      <c r="C21822" s="6">
        <v>19940</v>
      </c>
      <c r="D21822" s="7">
        <v>0</v>
      </c>
    </row>
    <row r="21823" spans="1:4" x14ac:dyDescent="0.25">
      <c r="A21823" t="str">
        <f>HYPERLINK("https://www.773grp.com/globalSearch/LC88F52H0AU-CH-H/page-1", "LC88F52H0AU-CH-H")</f>
        <v>LC88F52H0AU-CH-H</v>
      </c>
      <c r="B21823" s="3" t="str">
        <f>HYPERLINK("https://www.773grp.com/manufacturer/nxp-semiconductor?pageNo=31", "NXP Semiconductors")</f>
        <v>NXP Semiconductors</v>
      </c>
      <c r="C21823" s="6">
        <v>90</v>
      </c>
      <c r="D21823" s="7">
        <v>0</v>
      </c>
    </row>
    <row r="21824" spans="1:4" x14ac:dyDescent="0.25">
      <c r="A21824" t="str">
        <f>HYPERLINK("https://www.773grp.com/globalSearch/LC896443A-S2-16-E/page-1", "LC896443A-S2-16-E")</f>
        <v>LC896443A-S2-16-E</v>
      </c>
      <c r="B21824" s="3" t="str">
        <f>HYPERLINK("https://www.773grp.com/manufacturer/nxp-semiconductor?pageNo=32", "NXP Semiconductors")</f>
        <v>NXP Semiconductors</v>
      </c>
      <c r="C21824" s="6">
        <v>400</v>
      </c>
      <c r="D21824" s="7">
        <v>0</v>
      </c>
    </row>
    <row r="21825" spans="1:5" x14ac:dyDescent="0.25">
      <c r="A21825" t="str">
        <f>HYPERLINK("https://www.773grp.com/globalSearch/LC98500DT-04G-E/page-1", "LC98500DT-04G-E")</f>
        <v>LC98500DT-04G-E</v>
      </c>
      <c r="B21825" s="3" t="str">
        <f>HYPERLINK("https://www.773grp.com/manufacturer/nxp-semiconductor?pageNo=33", "NXP Semiconductors")</f>
        <v>NXP Semiconductors</v>
      </c>
      <c r="C21825" s="6">
        <v>189</v>
      </c>
      <c r="D21825" s="7">
        <v>0</v>
      </c>
    </row>
    <row r="21826" spans="1:5" x14ac:dyDescent="0.25">
      <c r="A21826" t="str">
        <f>HYPERLINK("https://www.773grp.com/globalSearch/LC98500DT-XJ7-E/page-1", "LC98500DT-XJ7-E")</f>
        <v>LC98500DT-XJ7-E</v>
      </c>
      <c r="B21826" s="3" t="str">
        <f>HYPERLINK("https://www.773grp.com/manufacturer/nxp-semiconductor?pageNo=34", "NXP Semiconductors")</f>
        <v>NXP Semiconductors</v>
      </c>
      <c r="C21826" s="6">
        <v>80</v>
      </c>
      <c r="D21826" s="7">
        <v>0</v>
      </c>
    </row>
    <row r="21827" spans="1:5" x14ac:dyDescent="0.25">
      <c r="A21827" t="str">
        <f>HYPERLINK("https://www.773grp.com/globalSearch/LE25LB642CT-SE/page-1", "LE25LB642CT-SE")</f>
        <v>LE25LB642CT-SE</v>
      </c>
      <c r="B21827" s="3" t="str">
        <f>HYPERLINK("https://www.773grp.com/manufacturer/nxp-semiconductor?pageNo=35", "NXP Semiconductors")</f>
        <v>NXP Semiconductors</v>
      </c>
      <c r="C21827" s="6">
        <v>5000</v>
      </c>
      <c r="D21827" s="7">
        <v>0</v>
      </c>
    </row>
    <row r="21828" spans="1:5" x14ac:dyDescent="0.25">
      <c r="A21828" t="str">
        <f>HYPERLINK("https://www.773grp.com/globalSearch/LM2595ADPBCKGEVB/page-1", "LM2595ADPBCKGEVB")</f>
        <v>LM2595ADPBCKGEVB</v>
      </c>
      <c r="B21828" s="3" t="str">
        <f>HYPERLINK("https://www.773grp.com/manufacturer/nxp-semiconductor?pageNo=36", "NXP Semiconductors")</f>
        <v>NXP Semiconductors</v>
      </c>
      <c r="C21828" s="6">
        <v>3</v>
      </c>
      <c r="D21828" s="7">
        <v>0</v>
      </c>
    </row>
    <row r="21829" spans="1:5" x14ac:dyDescent="0.25">
      <c r="A21829" t="str">
        <f>HYPERLINK("https://www.773grp.com/globalSearch/LM2595ATPBCKGEVB/page-1", "LM2595ATPBCKGEVB")</f>
        <v>LM2595ATPBCKGEVB</v>
      </c>
      <c r="B21829" s="3" t="str">
        <f>HYPERLINK("https://www.773grp.com/manufacturer/nxp-semiconductor?pageNo=37", "NXP Semiconductors")</f>
        <v>NXP Semiconductors</v>
      </c>
      <c r="C21829" s="6">
        <v>1</v>
      </c>
      <c r="D21829" s="7">
        <v>0</v>
      </c>
    </row>
    <row r="21830" spans="1:5" x14ac:dyDescent="0.25">
      <c r="A21830" t="str">
        <f>HYPERLINK("https://www.773grp.com/globalSearch/LM2903DVG/page-1", "LM2903DVG")</f>
        <v>LM2903DVG</v>
      </c>
      <c r="B21830" s="3" t="str">
        <f>HYPERLINK("https://www.773grp.com/manufacturer/nxp-semiconductor?pageNo=38", "NXP Semiconductors")</f>
        <v>NXP Semiconductors</v>
      </c>
      <c r="C21830" s="6">
        <v>1230</v>
      </c>
      <c r="D21830" s="7">
        <v>0</v>
      </c>
    </row>
    <row r="21831" spans="1:5" x14ac:dyDescent="0.25">
      <c r="A21831" t="str">
        <f>HYPERLINK("https://www.773grp.com/globalSearch/LM293DG9D1106/page-1", "LM293DG9D1106")</f>
        <v>LM293DG9D1106</v>
      </c>
      <c r="B21831" s="3" t="str">
        <f>HYPERLINK("https://www.773grp.com/manufacturer/nxp-semiconductor?pageNo=39", "NXP Semiconductors")</f>
        <v>NXP Semiconductors</v>
      </c>
      <c r="C21831" s="6">
        <v>49</v>
      </c>
      <c r="D21831" s="7">
        <v>0</v>
      </c>
    </row>
    <row r="21832" spans="1:5" x14ac:dyDescent="0.25">
      <c r="A21832" t="str">
        <f>HYPERLINK("https://www.773grp.com/globalSearch/LM3177MTG/page-1", "LM3177MTG")</f>
        <v>LM3177MTG</v>
      </c>
      <c r="B21832" s="3" t="str">
        <f>HYPERLINK("https://www.773grp.com/manufacturer/nxp-semiconductor?pageNo=40", "NXP Semiconductors")</f>
        <v>NXP Semiconductors</v>
      </c>
      <c r="C21832" s="6">
        <v>2850</v>
      </c>
      <c r="D21832" s="7">
        <v>0</v>
      </c>
    </row>
    <row r="21833" spans="1:5" x14ac:dyDescent="0.25">
      <c r="A21833" t="str">
        <f>HYPERLINK("https://www.773grp.com/globalSearch/LM385BM-1.2/page-1", "LM385BM-1.2")</f>
        <v>LM385BM-1.2</v>
      </c>
      <c r="B21833" s="3" t="str">
        <f>HYPERLINK("https://www.773grp.com/manufacturer/nxp-semiconductor?pageNo=41", "NXP Semiconductors")</f>
        <v>NXP Semiconductors</v>
      </c>
      <c r="C21833" s="6">
        <v>512</v>
      </c>
      <c r="D21833" s="7">
        <v>0</v>
      </c>
      <c r="E21833" t="s">
        <v>17</v>
      </c>
    </row>
    <row r="21834" spans="1:5" x14ac:dyDescent="0.25">
      <c r="A21834" t="str">
        <f>HYPERLINK("https://www.773grp.com/globalSearch/LM385D-5.2G/page-1", "LM385D-5.2G")</f>
        <v>LM385D-5.2G</v>
      </c>
      <c r="B21834" s="3" t="str">
        <f>HYPERLINK("https://www.773grp.com/manufacturer/nxp-semiconductor?pageNo=42", "NXP Semiconductors")</f>
        <v>NXP Semiconductors</v>
      </c>
      <c r="C21834" s="6">
        <v>294</v>
      </c>
      <c r="D21834" s="7">
        <v>0</v>
      </c>
    </row>
    <row r="21835" spans="1:5" x14ac:dyDescent="0.25">
      <c r="A21835" t="str">
        <f>HYPERLINK("https://www.773grp.com/globalSearch/LM393DR2GH/page-1", "LM393DR2GH")</f>
        <v>LM393DR2GH</v>
      </c>
      <c r="B21835" s="3" t="str">
        <f>HYPERLINK("https://www.773grp.com/manufacturer/nxp-semiconductor?pageNo=43", "NXP Semiconductors")</f>
        <v>NXP Semiconductors</v>
      </c>
      <c r="C21835" s="6">
        <v>1884</v>
      </c>
      <c r="D21835" s="7">
        <v>0</v>
      </c>
    </row>
    <row r="21836" spans="1:5" x14ac:dyDescent="0.25">
      <c r="A21836" t="str">
        <f>HYPERLINK("https://www.773grp.com/globalSearch/LM9013H/page-1", "LM9013H")</f>
        <v>LM9013H</v>
      </c>
      <c r="B21836" s="3" t="str">
        <f>HYPERLINK("https://www.773grp.com/manufacturer/nxp-semiconductor?pageNo=44", "NXP Semiconductors")</f>
        <v>NXP Semiconductors</v>
      </c>
      <c r="C21836" s="6">
        <v>16041</v>
      </c>
      <c r="D21836" s="7">
        <v>0</v>
      </c>
      <c r="E21836" t="s">
        <v>69</v>
      </c>
    </row>
    <row r="21837" spans="1:5" x14ac:dyDescent="0.25">
      <c r="A21837" t="str">
        <f>HYPERLINK("https://www.773grp.com/globalSearch/LM9014C/page-1", "LM9014C")</f>
        <v>LM9014C</v>
      </c>
      <c r="B21837" s="3" t="str">
        <f>HYPERLINK("https://www.773grp.com/manufacturer/nxp-semiconductor?pageNo=45", "NXP Semiconductors")</f>
        <v>NXP Semiconductors</v>
      </c>
      <c r="C21837" s="6">
        <v>5000</v>
      </c>
      <c r="D21837" s="7">
        <v>0</v>
      </c>
    </row>
    <row r="21838" spans="1:5" x14ac:dyDescent="0.25">
      <c r="A21838" t="str">
        <f>HYPERLINK("https://www.773grp.com/globalSearch/LM9014D/page-1", "LM9014D")</f>
        <v>LM9014D</v>
      </c>
      <c r="B21838" s="3" t="str">
        <f>HYPERLINK("https://www.773grp.com/manufacturer/nxp-semiconductor?pageNo=46", "NXP Semiconductors")</f>
        <v>NXP Semiconductors</v>
      </c>
      <c r="C21838" s="6">
        <v>5000</v>
      </c>
      <c r="D21838" s="7">
        <v>0</v>
      </c>
    </row>
    <row r="21839" spans="1:5" x14ac:dyDescent="0.25">
      <c r="A21839" t="str">
        <f>HYPERLINK("https://www.773grp.com/globalSearch/LM9018H/page-1", "LM9018H")</f>
        <v>LM9018H</v>
      </c>
      <c r="B21839" s="3" t="str">
        <f>HYPERLINK("https://www.773grp.com/manufacturer/nxp-semiconductor?pageNo=47", "NXP Semiconductors")</f>
        <v>NXP Semiconductors</v>
      </c>
      <c r="C21839" s="6">
        <v>20000</v>
      </c>
      <c r="D21839" s="7">
        <v>0</v>
      </c>
    </row>
    <row r="21840" spans="1:5" x14ac:dyDescent="0.25">
      <c r="A21840" t="str">
        <f>HYPERLINK("https://www.773grp.com/globalSearch/LMAC94A4/page-1", "LMAC94A4")</f>
        <v>LMAC94A4</v>
      </c>
      <c r="B21840" s="3" t="str">
        <f>HYPERLINK("https://www.773grp.com/manufacturer/nxp-semiconductor?pageNo=48", "NXP Semiconductors")</f>
        <v>NXP Semiconductors</v>
      </c>
      <c r="C21840" s="6">
        <v>10000</v>
      </c>
      <c r="D21840" s="7">
        <v>0</v>
      </c>
    </row>
    <row r="21841" spans="1:5" x14ac:dyDescent="0.25">
      <c r="A21841" t="str">
        <f>HYPERLINK("https://www.773grp.com/globalSearch/LMM39AD/page-1", "LMM39AD")</f>
        <v>LMM39AD</v>
      </c>
      <c r="B21841" s="3" t="str">
        <f>HYPERLINK("https://www.773grp.com/manufacturer/nxp-semiconductor?pageNo=1", "NXP Semiconductors")</f>
        <v>NXP Semiconductors</v>
      </c>
      <c r="C21841" s="6">
        <v>880</v>
      </c>
      <c r="D21841" s="7">
        <v>0</v>
      </c>
    </row>
    <row r="21842" spans="1:5" x14ac:dyDescent="0.25">
      <c r="A21842" t="str">
        <f>HYPERLINK("https://www.773grp.com/globalSearch/LSE2119/page-1", "LSE2119")</f>
        <v>LSE2119</v>
      </c>
      <c r="B21842" s="3" t="str">
        <f>HYPERLINK("https://www.773grp.com/manufacturer/nxp-semiconductor?pageNo=2", "NXP Semiconductors")</f>
        <v>NXP Semiconductors</v>
      </c>
      <c r="C21842" s="6">
        <v>1450</v>
      </c>
      <c r="D21842" s="7">
        <v>0</v>
      </c>
    </row>
    <row r="21843" spans="1:5" x14ac:dyDescent="0.25">
      <c r="A21843" t="str">
        <f>HYPERLINK("https://www.773grp.com/globalSearch/LV0309CV-TLM-H/page-1", "LV0309CV-TLM-H")</f>
        <v>LV0309CV-TLM-H</v>
      </c>
      <c r="B21843" s="3" t="str">
        <f>HYPERLINK("https://www.773grp.com/manufacturer/nxp-semiconductor?pageNo=3", "NXP Semiconductors")</f>
        <v>NXP Semiconductors</v>
      </c>
      <c r="C21843" s="6">
        <v>2416</v>
      </c>
      <c r="D21843" s="7">
        <v>0</v>
      </c>
    </row>
    <row r="21844" spans="1:5" x14ac:dyDescent="0.25">
      <c r="A21844" t="str">
        <f>HYPERLINK("https://www.773grp.com/globalSearch/LV2205/page-1", "LV2205")</f>
        <v>LV2205</v>
      </c>
      <c r="B21844" s="3" t="str">
        <f>HYPERLINK("https://www.773grp.com/manufacturer/nxp-semiconductor?pageNo=4", "NXP Semiconductors")</f>
        <v>NXP Semiconductors</v>
      </c>
      <c r="C21844" s="6">
        <v>2000</v>
      </c>
      <c r="D21844" s="7">
        <v>0</v>
      </c>
      <c r="E21844" t="s">
        <v>101</v>
      </c>
    </row>
    <row r="21845" spans="1:5" x14ac:dyDescent="0.25">
      <c r="A21845" t="str">
        <f>HYPERLINK("https://www.773grp.com/globalSearch/LV2209/page-1", "LV2209")</f>
        <v>LV2209</v>
      </c>
      <c r="B21845" s="3" t="str">
        <f>HYPERLINK("https://www.773grp.com/manufacturer/nxp-semiconductor?pageNo=5", "NXP Semiconductors")</f>
        <v>NXP Semiconductors</v>
      </c>
      <c r="C21845" s="6">
        <v>28000</v>
      </c>
      <c r="D21845" s="7">
        <v>0</v>
      </c>
      <c r="E21845" t="s">
        <v>101</v>
      </c>
    </row>
    <row r="21846" spans="1:5" x14ac:dyDescent="0.25">
      <c r="A21846" t="str">
        <f>HYPERLINK("https://www.773grp.com/globalSearch/LV2282VA-TLM-E/page-1", "LV2282VA-TLM-E")</f>
        <v>LV2282VA-TLM-E</v>
      </c>
      <c r="B21846" s="3" t="str">
        <f>HYPERLINK("https://www.773grp.com/manufacturer/nxp-semiconductor?pageNo=6", "NXP Semiconductors")</f>
        <v>NXP Semiconductors</v>
      </c>
      <c r="C21846" s="6">
        <v>20000</v>
      </c>
      <c r="D21846" s="7">
        <v>0</v>
      </c>
    </row>
    <row r="21847" spans="1:5" x14ac:dyDescent="0.25">
      <c r="A21847" t="str">
        <f>HYPERLINK("https://www.773grp.com/globalSearch/LV47006P-3/page-1", "LV47006P-3")</f>
        <v>LV47006P-3</v>
      </c>
      <c r="B21847" s="3" t="str">
        <f>HYPERLINK("https://www.773grp.com/manufacturer/nxp-semiconductor?pageNo=7", "NXP Semiconductors")</f>
        <v>NXP Semiconductors</v>
      </c>
      <c r="C21847" s="6">
        <v>35</v>
      </c>
      <c r="D21847" s="7">
        <v>0</v>
      </c>
    </row>
    <row r="21848" spans="1:5" x14ac:dyDescent="0.25">
      <c r="A21848" t="str">
        <f>HYPERLINK("https://www.773grp.com/globalSearch/LV5680PL-E/page-1", "LV5680PL-E")</f>
        <v>LV5680PL-E</v>
      </c>
      <c r="B21848" s="3" t="str">
        <f>HYPERLINK("https://www.773grp.com/manufacturer/nxp-semiconductor?pageNo=8", "NXP Semiconductors")</f>
        <v>NXP Semiconductors</v>
      </c>
      <c r="C21848" s="6">
        <v>62760</v>
      </c>
      <c r="D21848" s="7">
        <v>0</v>
      </c>
    </row>
    <row r="21849" spans="1:5" x14ac:dyDescent="0.25">
      <c r="A21849" t="str">
        <f>HYPERLINK("https://www.773grp.com/globalSearch/LV81630A-BH/page-1", "LV81630A-BH")</f>
        <v>LV81630A-BH</v>
      </c>
      <c r="B21849" s="3" t="str">
        <f>HYPERLINK("https://www.773grp.com/manufacturer/nxp-semiconductor?pageNo=9", "NXP Semiconductors")</f>
        <v>NXP Semiconductors</v>
      </c>
      <c r="C21849" s="6">
        <v>2950</v>
      </c>
      <c r="D21849" s="7">
        <v>0</v>
      </c>
    </row>
    <row r="21850" spans="1:5" x14ac:dyDescent="0.25">
      <c r="A21850" t="str">
        <f>HYPERLINK("https://www.773grp.com/globalSearch/LVX4245/page-1", "LVX4245")</f>
        <v>LVX4245</v>
      </c>
      <c r="B21850" s="3" t="str">
        <f>HYPERLINK("https://www.773grp.com/manufacturer/nxp-semiconductor?pageNo=10", "NXP Semiconductors")</f>
        <v>NXP Semiconductors</v>
      </c>
      <c r="C21850" s="6">
        <v>340</v>
      </c>
      <c r="D21850" s="7">
        <v>0</v>
      </c>
    </row>
    <row r="21851" spans="1:5" x14ac:dyDescent="0.25">
      <c r="A21851" t="str">
        <f>HYPERLINK("https://www.773grp.com/globalSearch/M1MA141WKT1G/page-1", "M1MA141WKT1G")</f>
        <v>M1MA141WKT1G</v>
      </c>
      <c r="B21851" s="3" t="str">
        <f>HYPERLINK("https://www.773grp.com/manufacturer/nxp-semiconductor?pageNo=11", "NXP Semiconductors")</f>
        <v>NXP Semiconductors</v>
      </c>
      <c r="C21851" s="6">
        <v>199300</v>
      </c>
      <c r="D21851" s="7">
        <v>0</v>
      </c>
      <c r="E21851" t="s">
        <v>94</v>
      </c>
    </row>
    <row r="21852" spans="1:5" x14ac:dyDescent="0.25">
      <c r="A21852" t="str">
        <f>HYPERLINK("https://www.773grp.com/globalSearch/M34166TVG/page-1", "M34166TVG")</f>
        <v>M34166TVG</v>
      </c>
      <c r="B21852" s="3" t="str">
        <f>HYPERLINK("https://www.773grp.com/manufacturer/nxp-semiconductor?pageNo=12", "NXP Semiconductors")</f>
        <v>NXP Semiconductors</v>
      </c>
      <c r="C21852" s="6">
        <v>350</v>
      </c>
      <c r="D21852" s="7">
        <v>0</v>
      </c>
    </row>
    <row r="21853" spans="1:5" x14ac:dyDescent="0.25">
      <c r="A21853" t="str">
        <f>HYPERLINK("https://www.773grp.com/globalSearch/M74VHC1GT04DFT/page-1", "M74VHC1GT04DFT")</f>
        <v>M74VHC1GT04DFT</v>
      </c>
      <c r="B21853" s="3" t="str">
        <f>HYPERLINK("https://www.773grp.com/manufacturer/nxp-semiconductor?pageNo=13", "NXP Semiconductors")</f>
        <v>NXP Semiconductors</v>
      </c>
      <c r="C21853" s="6">
        <v>3000</v>
      </c>
      <c r="D21853" s="7">
        <v>0</v>
      </c>
    </row>
    <row r="21854" spans="1:5" x14ac:dyDescent="0.25">
      <c r="A21854" t="str">
        <f>HYPERLINK("https://www.773grp.com/globalSearch/MAA330038/page-1", "MAA330038")</f>
        <v>MAA330038</v>
      </c>
      <c r="B21854" s="3" t="str">
        <f>HYPERLINK("https://www.773grp.com/manufacturer/nxp-semiconductor?pageNo=14", "NXP Semiconductors")</f>
        <v>NXP Semiconductors</v>
      </c>
      <c r="C21854" s="6">
        <v>100</v>
      </c>
      <c r="D21854" s="7">
        <v>0</v>
      </c>
    </row>
    <row r="21855" spans="1:5" x14ac:dyDescent="0.25">
      <c r="A21855" t="str">
        <f>HYPERLINK("https://www.773grp.com/globalSearch/MAC16HCD/page-1", "MAC16HCD")</f>
        <v>MAC16HCD</v>
      </c>
      <c r="B21855" s="3" t="str">
        <f>HYPERLINK("https://www.773grp.com/manufacturer/nxp-semiconductor?pageNo=15", "NXP Semiconductors")</f>
        <v>NXP Semiconductors</v>
      </c>
      <c r="C21855" s="6">
        <v>650</v>
      </c>
      <c r="D21855" s="7">
        <v>0</v>
      </c>
      <c r="E21855" t="s">
        <v>102</v>
      </c>
    </row>
    <row r="21856" spans="1:5" x14ac:dyDescent="0.25">
      <c r="A21856" t="str">
        <f>HYPERLINK("https://www.773grp.com/globalSearch/MAC212A8/page-1", "MAC212A8")</f>
        <v>MAC212A8</v>
      </c>
      <c r="B21856" s="3" t="str">
        <f>HYPERLINK("https://www.773grp.com/manufacturer/nxp-semiconductor?pageNo=16", "NXP Semiconductors")</f>
        <v>NXP Semiconductors</v>
      </c>
      <c r="C21856" s="6">
        <v>19650</v>
      </c>
      <c r="D21856" s="7">
        <v>0</v>
      </c>
      <c r="E21856" t="s">
        <v>102</v>
      </c>
    </row>
    <row r="21857" spans="1:5" x14ac:dyDescent="0.25">
      <c r="A21857" t="str">
        <f>HYPERLINK("https://www.773grp.com/globalSearch/MAC228A8T/page-1", "MAC228A8T")</f>
        <v>MAC228A8T</v>
      </c>
      <c r="B21857" s="3" t="str">
        <f>HYPERLINK("https://www.773grp.com/manufacturer/nxp-semiconductor?pageNo=17", "NXP Semiconductors")</f>
        <v>NXP Semiconductors</v>
      </c>
      <c r="C21857" s="6">
        <v>2490</v>
      </c>
      <c r="D21857" s="7">
        <v>0</v>
      </c>
      <c r="E21857" t="s">
        <v>102</v>
      </c>
    </row>
    <row r="21858" spans="1:5" x14ac:dyDescent="0.25">
      <c r="A21858" t="str">
        <f>HYPERLINK("https://www.773grp.com/globalSearch/MAX829EUKG/page-1", "MAX829EUKG")</f>
        <v>MAX829EUKG</v>
      </c>
      <c r="B21858" s="3" t="str">
        <f>HYPERLINK("https://www.773grp.com/manufacturer/nxp-semiconductor?pageNo=18", "NXP Semiconductors")</f>
        <v>NXP Semiconductors</v>
      </c>
      <c r="C21858" s="6">
        <v>6000</v>
      </c>
      <c r="D21858" s="7">
        <v>0</v>
      </c>
      <c r="E21858" t="s">
        <v>7</v>
      </c>
    </row>
    <row r="21859" spans="1:5" x14ac:dyDescent="0.25">
      <c r="A21859" t="str">
        <f>HYPERLINK("https://www.773grp.com/globalSearch/MBR0520LT1  REEL/page-1", "MBR0520LT1  REEL")</f>
        <v>MBR0520LT1  REEL</v>
      </c>
      <c r="B21859" s="3" t="str">
        <f>HYPERLINK("https://www.773grp.com/manufacturer/nxp-semiconductor?pageNo=19", "NXP Semiconductors")</f>
        <v>NXP Semiconductors</v>
      </c>
      <c r="C21859" s="6">
        <v>1896</v>
      </c>
      <c r="D21859" s="7">
        <v>0</v>
      </c>
    </row>
    <row r="21860" spans="1:5" x14ac:dyDescent="0.25">
      <c r="A21860" t="str">
        <f>HYPERLINK("https://www.773grp.com/globalSearch/MBR0530T1  REEL/page-1", "MBR0530T1  REEL")</f>
        <v>MBR0530T1  REEL</v>
      </c>
      <c r="B21860" s="3" t="str">
        <f>HYPERLINK("https://www.773grp.com/manufacturer/nxp-semiconductor?pageNo=20", "NXP Semiconductors")</f>
        <v>NXP Semiconductors</v>
      </c>
      <c r="C21860" s="6">
        <v>1600</v>
      </c>
      <c r="D21860" s="7">
        <v>0</v>
      </c>
    </row>
    <row r="21861" spans="1:5" x14ac:dyDescent="0.25">
      <c r="A21861" t="str">
        <f>HYPERLINK("https://www.773grp.com/globalSearch/MBR2545CTH/page-1", "MBR2545CTH")</f>
        <v>MBR2545CTH</v>
      </c>
      <c r="B21861" s="3" t="str">
        <f>HYPERLINK("https://www.773grp.com/manufacturer/nxp-semiconductor?pageNo=21", "NXP Semiconductors")</f>
        <v>NXP Semiconductors</v>
      </c>
      <c r="C21861" s="6">
        <v>1300</v>
      </c>
      <c r="D21861" s="7">
        <v>0</v>
      </c>
    </row>
    <row r="21862" spans="1:5" x14ac:dyDescent="0.25">
      <c r="A21862" t="str">
        <f>HYPERLINK("https://www.773grp.com/globalSearch/MBR30H150C7G/page-1", "MBR30H150C7G")</f>
        <v>MBR30H150C7G</v>
      </c>
      <c r="B21862" s="3" t="str">
        <f>HYPERLINK("https://www.773grp.com/manufacturer/nxp-semiconductor?pageNo=22", "NXP Semiconductors")</f>
        <v>NXP Semiconductors</v>
      </c>
      <c r="C21862" s="6">
        <v>250</v>
      </c>
      <c r="D21862" s="7">
        <v>0</v>
      </c>
    </row>
    <row r="21863" spans="1:5" x14ac:dyDescent="0.25">
      <c r="A21863" t="str">
        <f>HYPERLINK("https://www.773grp.com/globalSearch/MBRB303OCTG/page-1", "MBRB303OCTG")</f>
        <v>MBRB303OCTG</v>
      </c>
      <c r="B21863" s="3" t="str">
        <f>HYPERLINK("https://www.773grp.com/manufacturer/nxp-semiconductor?pageNo=23", "NXP Semiconductors")</f>
        <v>NXP Semiconductors</v>
      </c>
      <c r="C21863" s="6">
        <v>211</v>
      </c>
      <c r="D21863" s="7">
        <v>0</v>
      </c>
    </row>
    <row r="21864" spans="1:5" x14ac:dyDescent="0.25">
      <c r="A21864" t="str">
        <f>HYPERLINK("https://www.773grp.com/globalSearch/MBRB30H80CT-1G/page-1", "MBRB30H80CT-1G")</f>
        <v>MBRB30H80CT-1G</v>
      </c>
      <c r="B21864" s="3" t="str">
        <f>HYPERLINK("https://www.773grp.com/manufacturer/nxp-semiconductor?pageNo=24", "NXP Semiconductors")</f>
        <v>NXP Semiconductors</v>
      </c>
      <c r="C21864" s="6">
        <v>1200</v>
      </c>
      <c r="D21864" s="7">
        <v>0</v>
      </c>
      <c r="E21864" t="s">
        <v>103</v>
      </c>
    </row>
    <row r="21865" spans="1:5" x14ac:dyDescent="0.25">
      <c r="A21865" t="str">
        <f>HYPERLINK("https://www.773grp.com/globalSearch/MBRM120ETIG/page-1", "MBRM120ETIG")</f>
        <v>MBRM120ETIG</v>
      </c>
      <c r="B21865" s="3" t="str">
        <f>HYPERLINK("https://www.773grp.com/manufacturer/nxp-semiconductor?pageNo=25", "NXP Semiconductors")</f>
        <v>NXP Semiconductors</v>
      </c>
      <c r="C21865" s="6">
        <v>3000</v>
      </c>
      <c r="D21865" s="7">
        <v>0</v>
      </c>
    </row>
    <row r="21866" spans="1:5" x14ac:dyDescent="0.25">
      <c r="A21866" t="str">
        <f>HYPERLINK("https://www.773grp.com/globalSearch/MBRS360T3H/page-1", "MBRS360T3H")</f>
        <v>MBRS360T3H</v>
      </c>
      <c r="B21866" s="3" t="str">
        <f>HYPERLINK("https://www.773grp.com/manufacturer/nxp-semiconductor?pageNo=26", "NXP Semiconductors")</f>
        <v>NXP Semiconductors</v>
      </c>
      <c r="C21866" s="6">
        <v>7500</v>
      </c>
      <c r="D21866" s="7">
        <v>0</v>
      </c>
    </row>
    <row r="21867" spans="1:5" x14ac:dyDescent="0.25">
      <c r="A21867" t="str">
        <f>HYPERLINK("https://www.773grp.com/globalSearch/MC100EL20D/page-1", "MC100EL20D")</f>
        <v>MC100EL20D</v>
      </c>
      <c r="B21867" s="3" t="str">
        <f>HYPERLINK("https://www.773grp.com/manufacturer/nxp-semiconductor?pageNo=27", "NXP Semiconductors")</f>
        <v>NXP Semiconductors</v>
      </c>
      <c r="C21867" s="6">
        <v>1</v>
      </c>
      <c r="D21867" s="7">
        <v>0</v>
      </c>
    </row>
    <row r="21868" spans="1:5" x14ac:dyDescent="0.25">
      <c r="A21868" t="str">
        <f>HYPERLINK("https://www.773grp.com/globalSearch/MC100EL35DG  REEL/page-1", "MC100EL35DG  REEL")</f>
        <v>MC100EL35DG  REEL</v>
      </c>
      <c r="B21868" s="3" t="str">
        <f>HYPERLINK("https://www.773grp.com/manufacturer/nxp-semiconductor?pageNo=28", "NXP Semiconductors")</f>
        <v>NXP Semiconductors</v>
      </c>
      <c r="C21868" s="6">
        <v>100</v>
      </c>
      <c r="D21868" s="7">
        <v>0</v>
      </c>
    </row>
    <row r="21869" spans="1:5" x14ac:dyDescent="0.25">
      <c r="A21869" t="str">
        <f>HYPERLINK("https://www.773grp.com/globalSearch/MC100ELY8DR2/page-1", "MC100ELY8DR2")</f>
        <v>MC100ELY8DR2</v>
      </c>
      <c r="B21869" s="3" t="str">
        <f>HYPERLINK("https://www.773grp.com/manufacturer/nxp-semiconductor?pageNo=29", "NXP Semiconductors")</f>
        <v>NXP Semiconductors</v>
      </c>
      <c r="C21869" s="6">
        <v>2500</v>
      </c>
      <c r="D21869" s="7">
        <v>0</v>
      </c>
    </row>
    <row r="21870" spans="1:5" x14ac:dyDescent="0.25">
      <c r="A21870" t="str">
        <f>HYPERLINK("https://www.773grp.com/globalSearch/MC100EP05DR2  REEL/page-1", "MC100EP05DR2  REEL")</f>
        <v>MC100EP05DR2  REEL</v>
      </c>
      <c r="B21870" s="3" t="str">
        <f>HYPERLINK("https://www.773grp.com/manufacturer/nxp-semiconductor?pageNo=30", "NXP Semiconductors")</f>
        <v>NXP Semiconductors</v>
      </c>
      <c r="C21870" s="6">
        <v>2200</v>
      </c>
      <c r="D21870" s="7">
        <v>0</v>
      </c>
    </row>
    <row r="21871" spans="1:5" x14ac:dyDescent="0.25">
      <c r="A21871" t="str">
        <f>HYPERLINK("https://www.773grp.com/globalSearch/MC100EP101MNR4/page-1", "MC100EP101MNR4")</f>
        <v>MC100EP101MNR4</v>
      </c>
      <c r="B21871" s="3" t="str">
        <f>HYPERLINK("https://www.773grp.com/manufacturer/nxp-semiconductor?pageNo=31", "NXP Semiconductors")</f>
        <v>NXP Semiconductors</v>
      </c>
      <c r="C21871" s="6">
        <v>1000</v>
      </c>
      <c r="D21871" s="7">
        <v>0</v>
      </c>
    </row>
    <row r="21872" spans="1:5" x14ac:dyDescent="0.25">
      <c r="A21872" t="str">
        <f>HYPERLINK("https://www.773grp.com/globalSearch/MC100EP140D  REEL/page-1", "MC100EP140D  REEL")</f>
        <v>MC100EP140D  REEL</v>
      </c>
      <c r="B21872" s="3" t="str">
        <f>HYPERLINK("https://www.773grp.com/manufacturer/nxp-semiconductor?pageNo=32", "NXP Semiconductors")</f>
        <v>NXP Semiconductors</v>
      </c>
      <c r="C21872" s="6">
        <v>88</v>
      </c>
      <c r="D21872" s="7">
        <v>0</v>
      </c>
    </row>
    <row r="21873" spans="1:5" x14ac:dyDescent="0.25">
      <c r="A21873" t="str">
        <f>HYPERLINK("https://www.773grp.com/globalSearch/MC100EP210AFAG/page-1", "MC100EP210AFAG")</f>
        <v>MC100EP210AFAG</v>
      </c>
      <c r="B21873" s="3" t="str">
        <f>HYPERLINK("https://www.773grp.com/manufacturer/nxp-semiconductor?pageNo=33", "NXP Semiconductors")</f>
        <v>NXP Semiconductors</v>
      </c>
      <c r="C21873" s="6">
        <v>180</v>
      </c>
      <c r="D21873" s="7">
        <v>0</v>
      </c>
    </row>
    <row r="21874" spans="1:5" x14ac:dyDescent="0.25">
      <c r="A21874" t="str">
        <f>HYPERLINK("https://www.773grp.com/globalSearch/MC100EP32D  DPA SAMPLE/page-1", "MC100EP32D  DPA SAMPLE")</f>
        <v>MC100EP32D  DPA SAMPLE</v>
      </c>
      <c r="B21874" s="3" t="str">
        <f>HYPERLINK("https://www.773grp.com/manufacturer/nxp-semiconductor?pageNo=34", "NXP Semiconductors")</f>
        <v>NXP Semiconductors</v>
      </c>
      <c r="C21874" s="6">
        <v>5</v>
      </c>
      <c r="D21874" s="7">
        <v>0</v>
      </c>
    </row>
    <row r="21875" spans="1:5" x14ac:dyDescent="0.25">
      <c r="A21875" t="str">
        <f>HYPERLINK("https://www.773grp.com/globalSearch/MC100EPT20DTR2G  REEL/page-1", "MC100EPT20DTR2G  REEL")</f>
        <v>MC100EPT20DTR2G  REEL</v>
      </c>
      <c r="B21875" s="3" t="str">
        <f>HYPERLINK("https://www.773grp.com/manufacturer/nxp-semiconductor?pageNo=35", "NXP Semiconductors")</f>
        <v>NXP Semiconductors</v>
      </c>
      <c r="C21875" s="6">
        <v>2432</v>
      </c>
      <c r="D21875" s="7">
        <v>0</v>
      </c>
    </row>
    <row r="21876" spans="1:5" x14ac:dyDescent="0.25">
      <c r="A21876" t="str">
        <f>HYPERLINK("https://www.773grp.com/globalSearch/MC100EPT21MNR4G  REEL/page-1", "MC100EPT21MNR4G  REEL")</f>
        <v>MC100EPT21MNR4G  REEL</v>
      </c>
      <c r="B21876" s="3" t="str">
        <f>HYPERLINK("https://www.773grp.com/manufacturer/nxp-semiconductor?pageNo=36", "NXP Semiconductors")</f>
        <v>NXP Semiconductors</v>
      </c>
      <c r="C21876" s="6">
        <v>825</v>
      </c>
      <c r="D21876" s="7">
        <v>0</v>
      </c>
    </row>
    <row r="21877" spans="1:5" x14ac:dyDescent="0.25">
      <c r="A21877" t="str">
        <f>HYPERLINK("https://www.773grp.com/globalSearch/MC100LVEL92D/page-1", "MC100LVEL92D")</f>
        <v>MC100LVEL92D</v>
      </c>
      <c r="B21877" s="3" t="str">
        <f>HYPERLINK("https://www.773grp.com/manufacturer/nxp-semiconductor?pageNo=37", "NXP Semiconductors")</f>
        <v>NXP Semiconductors</v>
      </c>
      <c r="C21877" s="6">
        <v>152</v>
      </c>
      <c r="D21877" s="7">
        <v>0</v>
      </c>
    </row>
    <row r="21878" spans="1:5" x14ac:dyDescent="0.25">
      <c r="A21878" t="str">
        <f>HYPERLINK("https://www.773grp.com/globalSearch/MC100LVELT23DTR2  REEL/page-1", "MC100LVELT23DTR2  REEL")</f>
        <v>MC100LVELT23DTR2  REEL</v>
      </c>
      <c r="B21878" s="3" t="str">
        <f>HYPERLINK("https://www.773grp.com/manufacturer/nxp-semiconductor?pageNo=38", "NXP Semiconductors")</f>
        <v>NXP Semiconductors</v>
      </c>
      <c r="C21878" s="6">
        <v>1987</v>
      </c>
      <c r="D21878" s="7">
        <v>0</v>
      </c>
    </row>
    <row r="21879" spans="1:5" x14ac:dyDescent="0.25">
      <c r="A21879" t="str">
        <f>HYPERLINK("https://www.773grp.com/globalSearch/MC100PT622MNG/page-1", "MC100PT622MNG")</f>
        <v>MC100PT622MNG</v>
      </c>
      <c r="B21879" s="3" t="str">
        <f>HYPERLINK("https://www.773grp.com/manufacturer/nxp-semiconductor?pageNo=39", "NXP Semiconductors")</f>
        <v>NXP Semiconductors</v>
      </c>
      <c r="C21879" s="6">
        <v>20</v>
      </c>
      <c r="D21879" s="7">
        <v>0</v>
      </c>
    </row>
    <row r="21880" spans="1:5" x14ac:dyDescent="0.25">
      <c r="A21880" t="str">
        <f>HYPERLINK("https://www.773grp.com/globalSearch/MC100VEL92DWR2G/page-1", "MC100VEL92DWR2G")</f>
        <v>MC100VEL92DWR2G</v>
      </c>
      <c r="B21880" s="3" t="str">
        <f>HYPERLINK("https://www.773grp.com/manufacturer/nxp-semiconductor?pageNo=40", "NXP Semiconductors")</f>
        <v>NXP Semiconductors</v>
      </c>
      <c r="C21880" s="6">
        <v>430</v>
      </c>
      <c r="D21880" s="7">
        <v>0</v>
      </c>
    </row>
    <row r="21881" spans="1:5" x14ac:dyDescent="0.25">
      <c r="A21881" t="str">
        <f>HYPERLINK("https://www.773grp.com/globalSearch/MC10141P/page-1", "MC10141P")</f>
        <v>MC10141P</v>
      </c>
      <c r="B21881" s="3" t="str">
        <f>HYPERLINK("https://www.773grp.com/manufacturer/nxp-semiconductor?pageNo=41", "NXP Semiconductors")</f>
        <v>NXP Semiconductors</v>
      </c>
      <c r="C21881" s="6">
        <v>45</v>
      </c>
      <c r="D21881" s="7">
        <v>0</v>
      </c>
      <c r="E21881" t="s">
        <v>32</v>
      </c>
    </row>
    <row r="21882" spans="1:5" x14ac:dyDescent="0.25">
      <c r="A21882" t="str">
        <f>HYPERLINK("https://www.773grp.com/globalSearch/MC10197FNR2/page-1", "MC10197FNR2")</f>
        <v>MC10197FNR2</v>
      </c>
      <c r="B21882" s="3" t="str">
        <f>HYPERLINK("https://www.773grp.com/manufacturer/nxp-semiconductor?pageNo=42", "NXP Semiconductors")</f>
        <v>NXP Semiconductors</v>
      </c>
      <c r="C21882" s="6">
        <v>2000</v>
      </c>
      <c r="D21882" s="7">
        <v>0</v>
      </c>
      <c r="E21882" t="s">
        <v>31</v>
      </c>
    </row>
    <row r="21883" spans="1:5" x14ac:dyDescent="0.25">
      <c r="A21883" t="str">
        <f>HYPERLINK("https://www.773grp.com/globalSearch/MC105EP05D/page-1", "MC105EP05D")</f>
        <v>MC105EP05D</v>
      </c>
      <c r="B21883" s="3" t="str">
        <f>HYPERLINK("https://www.773grp.com/manufacturer/nxp-semiconductor?pageNo=43", "NXP Semiconductors")</f>
        <v>NXP Semiconductors</v>
      </c>
      <c r="C21883" s="6">
        <v>39</v>
      </c>
      <c r="D21883" s="7">
        <v>0</v>
      </c>
    </row>
    <row r="21884" spans="1:5" x14ac:dyDescent="0.25">
      <c r="A21884" t="str">
        <f>HYPERLINK("https://www.773grp.com/globalSearch/MC10E016FIN/page-1", "MC10E016FIN")</f>
        <v>MC10E016FIN</v>
      </c>
      <c r="B21884" s="3" t="str">
        <f>HYPERLINK("https://www.773grp.com/manufacturer/nxp-semiconductor?pageNo=44", "NXP Semiconductors")</f>
        <v>NXP Semiconductors</v>
      </c>
      <c r="C21884" s="6">
        <v>17</v>
      </c>
      <c r="D21884" s="7">
        <v>0</v>
      </c>
    </row>
    <row r="21885" spans="1:5" x14ac:dyDescent="0.25">
      <c r="A21885" t="str">
        <f>HYPERLINK("https://www.773grp.com/globalSearch/MC10E404FI/page-1", "MC10E404FI")</f>
        <v>MC10E404FI</v>
      </c>
      <c r="B21885" s="3" t="str">
        <f>HYPERLINK("https://www.773grp.com/manufacturer/nxp-semiconductor?pageNo=45", "NXP Semiconductors")</f>
        <v>NXP Semiconductors</v>
      </c>
      <c r="C21885" s="6">
        <v>10</v>
      </c>
      <c r="D21885" s="7">
        <v>0</v>
      </c>
    </row>
    <row r="21886" spans="1:5" x14ac:dyDescent="0.25">
      <c r="A21886" t="str">
        <f>HYPERLINK("https://www.773grp.com/globalSearch/MC10ELT24D  UM/page-1", "MC10ELT24D  UM")</f>
        <v>MC10ELT24D  UM</v>
      </c>
      <c r="B21886" s="3" t="str">
        <f>HYPERLINK("https://www.773grp.com/manufacturer/nxp-semiconductor?pageNo=46", "NXP Semiconductors")</f>
        <v>NXP Semiconductors</v>
      </c>
      <c r="C21886" s="6">
        <v>1078</v>
      </c>
      <c r="D21886" s="7">
        <v>0</v>
      </c>
    </row>
    <row r="21887" spans="1:5" x14ac:dyDescent="0.25">
      <c r="A21887" t="str">
        <f>HYPERLINK("https://www.773grp.com/globalSearch/MC10H117MG/page-1", "MC10H117MG")</f>
        <v>MC10H117MG</v>
      </c>
      <c r="B21887" s="3" t="str">
        <f>HYPERLINK("https://www.773grp.com/manufacturer/nxp-semiconductor?pageNo=47", "NXP Semiconductors")</f>
        <v>NXP Semiconductors</v>
      </c>
      <c r="C21887" s="6">
        <v>1050</v>
      </c>
      <c r="D21887" s="7">
        <v>0</v>
      </c>
      <c r="E21887" t="s">
        <v>31</v>
      </c>
    </row>
    <row r="21888" spans="1:5" x14ac:dyDescent="0.25">
      <c r="A21888" t="str">
        <f>HYPERLINK("https://www.773grp.com/globalSearch/MC10H173MEL/page-1", "MC10H173MEL")</f>
        <v>MC10H173MEL</v>
      </c>
      <c r="B21888" s="3" t="str">
        <f>HYPERLINK("https://www.773grp.com/manufacturer/nxp-semiconductor?pageNo=48", "NXP Semiconductors")</f>
        <v>NXP Semiconductors</v>
      </c>
      <c r="C21888" s="6">
        <v>1240</v>
      </c>
      <c r="D21888" s="7">
        <v>0</v>
      </c>
    </row>
    <row r="21889" spans="1:5" x14ac:dyDescent="0.25">
      <c r="A21889" t="str">
        <f>HYPERLINK("https://www.773grp.com/globalSearch/MC10H174FNR2G/page-1", "MC10H174FNR2G")</f>
        <v>MC10H174FNR2G</v>
      </c>
      <c r="B21889" s="3" t="str">
        <f>HYPERLINK("https://www.773grp.com/manufacturer/nxp-semiconductor?pageNo=1", "NXP Semiconductors")</f>
        <v>NXP Semiconductors</v>
      </c>
      <c r="C21889" s="6">
        <v>2500</v>
      </c>
      <c r="D21889" s="7">
        <v>0</v>
      </c>
      <c r="E21889" t="s">
        <v>20</v>
      </c>
    </row>
    <row r="21890" spans="1:5" x14ac:dyDescent="0.25">
      <c r="A21890" t="str">
        <f>HYPERLINK("https://www.773grp.com/globalSearch/MC10H175L/page-1", "MC10H175L")</f>
        <v>MC10H175L</v>
      </c>
      <c r="B21890" s="3" t="str">
        <f>HYPERLINK("https://www.773grp.com/manufacturer/nxp-semiconductor?pageNo=2", "NXP Semiconductors")</f>
        <v>NXP Semiconductors</v>
      </c>
      <c r="C21890" s="6">
        <v>88</v>
      </c>
      <c r="D21890" s="7">
        <v>0</v>
      </c>
      <c r="E21890" t="s">
        <v>35</v>
      </c>
    </row>
    <row r="21891" spans="1:5" x14ac:dyDescent="0.25">
      <c r="A21891" t="str">
        <f>HYPERLINK("https://www.773grp.com/globalSearch/MC10H332FNG/page-1", "MC10H332FNG")</f>
        <v>MC10H332FNG</v>
      </c>
      <c r="B21891" s="3" t="str">
        <f>HYPERLINK("https://www.773grp.com/manufacturer/nxp-semiconductor?pageNo=3", "NXP Semiconductors")</f>
        <v>NXP Semiconductors</v>
      </c>
      <c r="C21891" s="6">
        <v>2208</v>
      </c>
      <c r="D21891" s="7">
        <v>0</v>
      </c>
      <c r="E21891" t="s">
        <v>14</v>
      </c>
    </row>
    <row r="21892" spans="1:5" x14ac:dyDescent="0.25">
      <c r="A21892" t="str">
        <f>HYPERLINK("https://www.773grp.com/globalSearch/MC10H350FN  REEL/page-1", "MC10H350FN  REEL")</f>
        <v>MC10H350FN  REEL</v>
      </c>
      <c r="B21892" s="3" t="str">
        <f>HYPERLINK("https://www.773grp.com/manufacturer/nxp-semiconductor?pageNo=4", "NXP Semiconductors")</f>
        <v>NXP Semiconductors</v>
      </c>
      <c r="C21892" s="6">
        <v>9</v>
      </c>
      <c r="D21892" s="7">
        <v>0</v>
      </c>
    </row>
    <row r="21893" spans="1:5" x14ac:dyDescent="0.25">
      <c r="A21893" t="str">
        <f>HYPERLINK("https://www.773grp.com/globalSearch/MC10H605FNF2G/page-1", "MC10H605FNF2G")</f>
        <v>MC10H605FNF2G</v>
      </c>
      <c r="B21893" s="3" t="str">
        <f>HYPERLINK("https://www.773grp.com/manufacturer/nxp-semiconductor?pageNo=5", "NXP Semiconductors")</f>
        <v>NXP Semiconductors</v>
      </c>
      <c r="C21893" s="6">
        <v>454</v>
      </c>
      <c r="D21893" s="7">
        <v>0</v>
      </c>
    </row>
    <row r="21894" spans="1:5" x14ac:dyDescent="0.25">
      <c r="A21894" t="str">
        <f>HYPERLINK("https://www.773grp.com/globalSearch/MC14020BFEL/page-1", "MC14020BFEL")</f>
        <v>MC14020BFEL</v>
      </c>
      <c r="B21894" s="3" t="str">
        <f>HYPERLINK("https://www.773grp.com/manufacturer/nxp-semiconductor?pageNo=6", "NXP Semiconductors")</f>
        <v>NXP Semiconductors</v>
      </c>
      <c r="C21894" s="6">
        <v>2000</v>
      </c>
      <c r="D21894" s="7">
        <v>0</v>
      </c>
      <c r="E21894" t="s">
        <v>26</v>
      </c>
    </row>
    <row r="21895" spans="1:5" x14ac:dyDescent="0.25">
      <c r="A21895" t="str">
        <f>HYPERLINK("https://www.773grp.com/globalSearch/MC14027BFELG/page-1", "MC14027BFELG")</f>
        <v>MC14027BFELG</v>
      </c>
      <c r="B21895" s="3" t="str">
        <f>HYPERLINK("https://www.773grp.com/manufacturer/nxp-semiconductor?pageNo=7", "NXP Semiconductors")</f>
        <v>NXP Semiconductors</v>
      </c>
      <c r="C21895" s="6">
        <v>1240</v>
      </c>
      <c r="D21895" s="7">
        <v>0</v>
      </c>
      <c r="E21895" t="s">
        <v>35</v>
      </c>
    </row>
    <row r="21896" spans="1:5" x14ac:dyDescent="0.25">
      <c r="A21896" t="str">
        <f>HYPERLINK("https://www.773grp.com/globalSearch/MC14028DG/page-1", "MC14028DG")</f>
        <v>MC14028DG</v>
      </c>
      <c r="B21896" s="3" t="str">
        <f>HYPERLINK("https://www.773grp.com/manufacturer/nxp-semiconductor?pageNo=8", "NXP Semiconductors")</f>
        <v>NXP Semiconductors</v>
      </c>
      <c r="C21896" s="6">
        <v>1344</v>
      </c>
      <c r="D21896" s="7">
        <v>0</v>
      </c>
    </row>
    <row r="21897" spans="1:5" x14ac:dyDescent="0.25">
      <c r="A21897" t="str">
        <f>HYPERLINK("https://www.773grp.com/globalSearch/MC14068BDW/page-1", "MC14068BDW")</f>
        <v>MC14068BDW</v>
      </c>
      <c r="B21897" s="3" t="str">
        <f>HYPERLINK("https://www.773grp.com/manufacturer/nxp-semiconductor?pageNo=9", "NXP Semiconductors")</f>
        <v>NXP Semiconductors</v>
      </c>
      <c r="C21897" s="6">
        <v>100</v>
      </c>
      <c r="D21897" s="7">
        <v>0</v>
      </c>
    </row>
    <row r="21898" spans="1:5" x14ac:dyDescent="0.25">
      <c r="A21898" t="str">
        <f>HYPERLINK("https://www.773grp.com/globalSearch/MC14071BFEL/page-1", "MC14071BFEL")</f>
        <v>MC14071BFEL</v>
      </c>
      <c r="B21898" s="3" t="str">
        <f>HYPERLINK("https://www.773grp.com/manufacturer/nxp-semiconductor?pageNo=10", "NXP Semiconductors")</f>
        <v>NXP Semiconductors</v>
      </c>
      <c r="C21898" s="6">
        <v>2000</v>
      </c>
      <c r="D21898" s="7">
        <v>0</v>
      </c>
      <c r="E21898" t="s">
        <v>31</v>
      </c>
    </row>
    <row r="21899" spans="1:5" x14ac:dyDescent="0.25">
      <c r="A21899" t="str">
        <f>HYPERLINK("https://www.773grp.com/globalSearch/MC1408-8D/page-1", "MC1408-8D")</f>
        <v>MC1408-8D</v>
      </c>
      <c r="B21899" s="3" t="str">
        <f>HYPERLINK("https://www.773grp.com/manufacturer/nxp-semiconductor?pageNo=11", "NXP Semiconductors")</f>
        <v>NXP Semiconductors</v>
      </c>
      <c r="C21899" s="6">
        <v>1344</v>
      </c>
      <c r="D21899" s="7">
        <v>0</v>
      </c>
      <c r="E21899" t="s">
        <v>33</v>
      </c>
    </row>
    <row r="21900" spans="1:5" x14ac:dyDescent="0.25">
      <c r="A21900" t="str">
        <f>HYPERLINK("https://www.773grp.com/globalSearch/MC1409ABDG/page-1", "MC1409ABDG")</f>
        <v>MC1409ABDG</v>
      </c>
      <c r="B21900" s="3" t="str">
        <f>HYPERLINK("https://www.773grp.com/manufacturer/nxp-semiconductor?pageNo=12", "NXP Semiconductors")</f>
        <v>NXP Semiconductors</v>
      </c>
      <c r="C21900" s="6">
        <v>48</v>
      </c>
      <c r="D21900" s="7">
        <v>0</v>
      </c>
    </row>
    <row r="21901" spans="1:5" x14ac:dyDescent="0.25">
      <c r="A21901" t="str">
        <f>HYPERLINK("https://www.773grp.com/globalSearch/MC14520BDWR2G-BKN/page-1", "MC14520BDWR2G-BKN")</f>
        <v>MC14520BDWR2G-BKN</v>
      </c>
      <c r="B21901" s="3" t="str">
        <f>HYPERLINK("https://www.773grp.com/manufacturer/nxp-semiconductor?pageNo=13", "NXP Semiconductors")</f>
        <v>NXP Semiconductors</v>
      </c>
      <c r="C21901" s="6">
        <v>500</v>
      </c>
      <c r="D21901" s="7">
        <v>0</v>
      </c>
    </row>
    <row r="21902" spans="1:5" x14ac:dyDescent="0.25">
      <c r="A21902" t="str">
        <f>HYPERLINK("https://www.773grp.com/globalSearch/MC1452BCPG/page-1", "MC1452BCPG")</f>
        <v>MC1452BCPG</v>
      </c>
      <c r="B21902" s="3" t="str">
        <f>HYPERLINK("https://www.773grp.com/manufacturer/nxp-semiconductor?pageNo=14", "NXP Semiconductors")</f>
        <v>NXP Semiconductors</v>
      </c>
      <c r="C21902" s="6">
        <v>59</v>
      </c>
      <c r="D21902" s="7">
        <v>0</v>
      </c>
    </row>
    <row r="21903" spans="1:5" x14ac:dyDescent="0.25">
      <c r="A21903" t="str">
        <f>HYPERLINK("https://www.773grp.com/globalSearch/MC14557BFG/page-1", "MC14557BFG")</f>
        <v>MC14557BFG</v>
      </c>
      <c r="B21903" s="3" t="str">
        <f>HYPERLINK("https://www.773grp.com/manufacturer/nxp-semiconductor?pageNo=15", "NXP Semiconductors")</f>
        <v>NXP Semiconductors</v>
      </c>
      <c r="C21903" s="6">
        <v>1900</v>
      </c>
      <c r="D21903" s="7">
        <v>0</v>
      </c>
      <c r="E21903" t="s">
        <v>32</v>
      </c>
    </row>
    <row r="21904" spans="1:5" x14ac:dyDescent="0.25">
      <c r="A21904" t="str">
        <f>HYPERLINK("https://www.773grp.com/globalSearch/MC3074DR2/page-1", "MC3074DR2")</f>
        <v>MC3074DR2</v>
      </c>
      <c r="B21904" s="3" t="str">
        <f>HYPERLINK("https://www.773grp.com/manufacturer/nxp-semiconductor?pageNo=16", "NXP Semiconductors")</f>
        <v>NXP Semiconductors</v>
      </c>
      <c r="C21904" s="6">
        <v>270</v>
      </c>
      <c r="D21904" s="7">
        <v>0</v>
      </c>
    </row>
    <row r="21905" spans="1:5" x14ac:dyDescent="0.25">
      <c r="A21905" t="str">
        <f>HYPERLINK("https://www.773grp.com/globalSearch/MC3234P1/page-1", "MC3234P1")</f>
        <v>MC3234P1</v>
      </c>
      <c r="B21905" s="3" t="str">
        <f>HYPERLINK("https://www.773grp.com/manufacturer/nxp-semiconductor?pageNo=17", "NXP Semiconductors")</f>
        <v>NXP Semiconductors</v>
      </c>
      <c r="C21905" s="6">
        <v>1798</v>
      </c>
      <c r="D21905" s="7">
        <v>0</v>
      </c>
    </row>
    <row r="21906" spans="1:5" x14ac:dyDescent="0.25">
      <c r="A21906" t="str">
        <f>HYPERLINK("https://www.773grp.com/globalSearch/MC33063ADR2GH/page-1", "MC33063ADR2GH")</f>
        <v>MC33063ADR2GH</v>
      </c>
      <c r="B21906" s="3" t="str">
        <f>HYPERLINK("https://www.773grp.com/manufacturer/nxp-semiconductor?pageNo=18", "NXP Semiconductors")</f>
        <v>NXP Semiconductors</v>
      </c>
      <c r="C21906" s="6">
        <v>2308</v>
      </c>
      <c r="D21906" s="7">
        <v>0</v>
      </c>
    </row>
    <row r="21907" spans="1:5" x14ac:dyDescent="0.25">
      <c r="A21907" t="str">
        <f>HYPERLINK("https://www.773grp.com/globalSearch/MC33063DFBSTGEVB/page-1", "MC33063DFBSTGEVB")</f>
        <v>MC33063DFBSTGEVB</v>
      </c>
      <c r="B21907" s="3" t="str">
        <f>HYPERLINK("https://www.773grp.com/manufacturer/nxp-semiconductor?pageNo=19", "NXP Semiconductors")</f>
        <v>NXP Semiconductors</v>
      </c>
      <c r="C21907" s="6">
        <v>2</v>
      </c>
      <c r="D21907" s="7">
        <v>0</v>
      </c>
    </row>
    <row r="21908" spans="1:5" x14ac:dyDescent="0.25">
      <c r="A21908" t="str">
        <f>HYPERLINK("https://www.773grp.com/globalSearch/MC33171DR2GH/page-1", "MC33171DR2GH")</f>
        <v>MC33171DR2GH</v>
      </c>
      <c r="B21908" s="3" t="str">
        <f>HYPERLINK("https://www.773grp.com/manufacturer/nxp-semiconductor?pageNo=20", "NXP Semiconductors")</f>
        <v>NXP Semiconductors</v>
      </c>
      <c r="C21908" s="6">
        <v>367500</v>
      </c>
      <c r="D21908" s="7">
        <v>0</v>
      </c>
    </row>
    <row r="21909" spans="1:5" x14ac:dyDescent="0.25">
      <c r="A21909" t="str">
        <f>HYPERLINK("https://www.773grp.com/globalSearch/MC33172DR2GH/page-1", "MC33172DR2GH")</f>
        <v>MC33172DR2GH</v>
      </c>
      <c r="B21909" s="3" t="str">
        <f>HYPERLINK("https://www.773grp.com/manufacturer/nxp-semiconductor?pageNo=21", "NXP Semiconductors")</f>
        <v>NXP Semiconductors</v>
      </c>
      <c r="C21909" s="6">
        <v>2500</v>
      </c>
      <c r="D21909" s="7">
        <v>0</v>
      </c>
    </row>
    <row r="21910" spans="1:5" x14ac:dyDescent="0.25">
      <c r="A21910" t="str">
        <f>HYPERLINK("https://www.773grp.com/globalSearch/MC33269DTG  UM/page-1", "MC33269DTG  UM")</f>
        <v>MC33269DTG  UM</v>
      </c>
      <c r="B21910" s="3" t="str">
        <f>HYPERLINK("https://www.773grp.com/manufacturer/nxp-semiconductor?pageNo=22", "NXP Semiconductors")</f>
        <v>NXP Semiconductors</v>
      </c>
      <c r="C21910" s="6">
        <v>225</v>
      </c>
      <c r="D21910" s="7">
        <v>0</v>
      </c>
    </row>
    <row r="21911" spans="1:5" x14ac:dyDescent="0.25">
      <c r="A21911" t="str">
        <f>HYPERLINK("https://www.773grp.com/globalSearch/MC33269DTRK-012  REEL/page-1", "MC33269DTRK-012  REEL")</f>
        <v>MC33269DTRK-012  REEL</v>
      </c>
      <c r="B21911" s="3" t="str">
        <f>HYPERLINK("https://www.773grp.com/manufacturer/nxp-semiconductor?pageNo=23", "NXP Semiconductors")</f>
        <v>NXP Semiconductors</v>
      </c>
      <c r="C21911" s="6">
        <v>2206</v>
      </c>
      <c r="D21911" s="7">
        <v>0</v>
      </c>
    </row>
    <row r="21912" spans="1:5" x14ac:dyDescent="0.25">
      <c r="A21912" t="str">
        <f>HYPERLINK("https://www.773grp.com/globalSearch/MC33460SQ-27ATR  UM/page-1", "MC33460SQ-27ATR  UM")</f>
        <v>MC33460SQ-27ATR  UM</v>
      </c>
      <c r="B21912" s="3" t="str">
        <f>HYPERLINK("https://www.773grp.com/manufacturer/nxp-semiconductor?pageNo=24", "NXP Semiconductors")</f>
        <v>NXP Semiconductors</v>
      </c>
      <c r="C21912" s="6">
        <v>6000</v>
      </c>
      <c r="D21912" s="7">
        <v>0</v>
      </c>
    </row>
    <row r="21913" spans="1:5" x14ac:dyDescent="0.25">
      <c r="A21913" t="str">
        <f>HYPERLINK("https://www.773grp.com/globalSearch/MC33560ADW/page-1", "MC33560ADW")</f>
        <v>MC33560ADW</v>
      </c>
      <c r="B21913" s="3" t="str">
        <f>HYPERLINK("https://www.773grp.com/manufacturer/nxp-semiconductor?pageNo=25", "NXP Semiconductors")</f>
        <v>NXP Semiconductors</v>
      </c>
      <c r="C21913" s="6">
        <v>1140</v>
      </c>
      <c r="D21913" s="7">
        <v>0</v>
      </c>
      <c r="E21913" t="s">
        <v>40</v>
      </c>
    </row>
    <row r="21914" spans="1:5" x14ac:dyDescent="0.25">
      <c r="A21914" t="str">
        <f>HYPERLINK("https://www.773grp.com/globalSearch/MC33566D2T-001/page-1", "MC33566D2T-001")</f>
        <v>MC33566D2T-001</v>
      </c>
      <c r="B21914" s="3" t="str">
        <f>HYPERLINK("https://www.773grp.com/manufacturer/nxp-semiconductor?pageNo=26", "NXP Semiconductors")</f>
        <v>NXP Semiconductors</v>
      </c>
      <c r="C21914" s="6">
        <v>800</v>
      </c>
      <c r="D21914" s="7">
        <v>0</v>
      </c>
    </row>
    <row r="21915" spans="1:5" x14ac:dyDescent="0.25">
      <c r="A21915" t="str">
        <f>HYPERLINK("https://www.773grp.com/globalSearch/MC33566D2T-1RK/page-1", "MC33566D2T-1RK")</f>
        <v>MC33566D2T-1RK</v>
      </c>
      <c r="B21915" s="3" t="str">
        <f>HYPERLINK("https://www.773grp.com/manufacturer/nxp-semiconductor?pageNo=27", "NXP Semiconductors")</f>
        <v>NXP Semiconductors</v>
      </c>
      <c r="C21915" s="6">
        <v>800</v>
      </c>
      <c r="D21915" s="7">
        <v>0</v>
      </c>
      <c r="E21915" t="s">
        <v>19</v>
      </c>
    </row>
    <row r="21916" spans="1:5" x14ac:dyDescent="0.25">
      <c r="A21916" t="str">
        <f>HYPERLINK("https://www.773grp.com/globalSearch/MC3356SDG/page-1", "MC3356SDG")</f>
        <v>MC3356SDG</v>
      </c>
      <c r="B21916" s="3" t="str">
        <f>HYPERLINK("https://www.773grp.com/manufacturer/nxp-semiconductor?pageNo=28", "NXP Semiconductors")</f>
        <v>NXP Semiconductors</v>
      </c>
      <c r="C21916" s="6">
        <v>882</v>
      </c>
      <c r="D21916" s="7">
        <v>0</v>
      </c>
    </row>
    <row r="21917" spans="1:5" x14ac:dyDescent="0.25">
      <c r="A21917" t="str">
        <f>HYPERLINK("https://www.773grp.com/globalSearch/MC34063ADR2GH/page-1", "MC34063ADR2GH")</f>
        <v>MC34063ADR2GH</v>
      </c>
      <c r="B21917" s="3" t="str">
        <f>HYPERLINK("https://www.773grp.com/manufacturer/nxp-semiconductor?pageNo=29", "NXP Semiconductors")</f>
        <v>NXP Semiconductors</v>
      </c>
      <c r="C21917" s="6">
        <v>2122</v>
      </c>
      <c r="D21917" s="7">
        <v>0</v>
      </c>
    </row>
    <row r="21918" spans="1:5" x14ac:dyDescent="0.25">
      <c r="A21918" t="str">
        <f>HYPERLINK("https://www.773grp.com/globalSearch/MC34063AMELG/page-1", "MC34063AMELG")</f>
        <v>MC34063AMELG</v>
      </c>
      <c r="B21918" s="3" t="str">
        <f>HYPERLINK("https://www.773grp.com/manufacturer/nxp-semiconductor?pageNo=30", "NXP Semiconductors")</f>
        <v>NXP Semiconductors</v>
      </c>
      <c r="C21918" s="6">
        <v>33000</v>
      </c>
      <c r="D21918" s="7">
        <v>0</v>
      </c>
      <c r="E21918" t="s">
        <v>7</v>
      </c>
    </row>
    <row r="21919" spans="1:5" x14ac:dyDescent="0.25">
      <c r="A21919" t="str">
        <f>HYPERLINK("https://www.773grp.com/globalSearch/MC34063LBKEVB/page-1", "MC34063LBKEVB")</f>
        <v>MC34063LBKEVB</v>
      </c>
      <c r="B21919" s="3" t="str">
        <f>HYPERLINK("https://www.773grp.com/manufacturer/nxp-semiconductor?pageNo=31", "NXP Semiconductors")</f>
        <v>NXP Semiconductors</v>
      </c>
      <c r="C21919" s="6">
        <v>1</v>
      </c>
      <c r="D21919" s="7">
        <v>0</v>
      </c>
    </row>
    <row r="21920" spans="1:5" x14ac:dyDescent="0.25">
      <c r="A21920" t="str">
        <f>HYPERLINK("https://www.773grp.com/globalSearch/MC34063LINVEVB/page-1", "MC34063LINVEVB")</f>
        <v>MC34063LINVEVB</v>
      </c>
      <c r="B21920" s="3" t="str">
        <f>HYPERLINK("https://www.773grp.com/manufacturer/nxp-semiconductor?pageNo=32", "NXP Semiconductors")</f>
        <v>NXP Semiconductors</v>
      </c>
      <c r="C21920" s="6">
        <v>2</v>
      </c>
      <c r="D21920" s="7">
        <v>0</v>
      </c>
    </row>
    <row r="21921" spans="1:5" x14ac:dyDescent="0.25">
      <c r="A21921" t="str">
        <f>HYPERLINK("https://www.773grp.com/globalSearch/MC34063SMDBGEVB/page-1", "MC34063SMDBGEVB")</f>
        <v>MC34063SMDBGEVB</v>
      </c>
      <c r="B21921" s="3" t="str">
        <f>HYPERLINK("https://www.773grp.com/manufacturer/nxp-semiconductor?pageNo=33", "NXP Semiconductors")</f>
        <v>NXP Semiconductors</v>
      </c>
      <c r="C21921" s="6">
        <v>4</v>
      </c>
      <c r="D21921" s="7">
        <v>0</v>
      </c>
    </row>
    <row r="21922" spans="1:5" x14ac:dyDescent="0.25">
      <c r="A21922" t="str">
        <f>HYPERLINK("https://www.773grp.com/globalSearch/MC340727R2/page-1", "MC340727R2")</f>
        <v>MC340727R2</v>
      </c>
      <c r="B21922" s="3" t="str">
        <f>HYPERLINK("https://www.773grp.com/manufacturer/nxp-semiconductor?pageNo=34", "NXP Semiconductors")</f>
        <v>NXP Semiconductors</v>
      </c>
      <c r="C21922" s="6">
        <v>60</v>
      </c>
      <c r="D21922" s="7">
        <v>0</v>
      </c>
    </row>
    <row r="21923" spans="1:5" x14ac:dyDescent="0.25">
      <c r="A21923" t="str">
        <f>HYPERLINK("https://www.773grp.com/globalSearch/MC34160/page-1", "MC34160")</f>
        <v>MC34160</v>
      </c>
      <c r="B21923" s="3" t="str">
        <f>HYPERLINK("https://www.773grp.com/manufacturer/nxp-semiconductor?pageNo=35", "NXP Semiconductors")</f>
        <v>NXP Semiconductors</v>
      </c>
      <c r="C21923" s="6">
        <v>1750</v>
      </c>
      <c r="D21923" s="7">
        <v>0</v>
      </c>
    </row>
    <row r="21924" spans="1:5" x14ac:dyDescent="0.25">
      <c r="A21924" t="str">
        <f>HYPERLINK("https://www.773grp.com/globalSearch/MC3416AP-5G/page-1", "MC3416AP-5G")</f>
        <v>MC3416AP-5G</v>
      </c>
      <c r="B21924" s="3" t="str">
        <f>HYPERLINK("https://www.773grp.com/manufacturer/nxp-semiconductor?pageNo=36", "NXP Semiconductors")</f>
        <v>NXP Semiconductors</v>
      </c>
      <c r="C21924" s="6">
        <v>771</v>
      </c>
      <c r="D21924" s="7">
        <v>0</v>
      </c>
    </row>
    <row r="21925" spans="1:5" x14ac:dyDescent="0.25">
      <c r="A21925" t="str">
        <f>HYPERLINK("https://www.773grp.com/globalSearch/MC34280FTB/page-1", "MC34280FTB")</f>
        <v>MC34280FTB</v>
      </c>
      <c r="B21925" s="3" t="str">
        <f>HYPERLINK("https://www.773grp.com/manufacturer/nxp-semiconductor?pageNo=37", "NXP Semiconductors")</f>
        <v>NXP Semiconductors</v>
      </c>
      <c r="C21925" s="6">
        <v>1250</v>
      </c>
      <c r="D21925" s="7">
        <v>0</v>
      </c>
      <c r="E21925" t="s">
        <v>30</v>
      </c>
    </row>
    <row r="21926" spans="1:5" x14ac:dyDescent="0.25">
      <c r="A21926" t="str">
        <f>HYPERLINK("https://www.773grp.com/globalSearch/MC4100EL16DTG/page-1", "MC4100EL16DTG")</f>
        <v>MC4100EL16DTG</v>
      </c>
      <c r="B21926" s="3" t="str">
        <f>HYPERLINK("https://www.773grp.com/manufacturer/nxp-semiconductor?pageNo=38", "NXP Semiconductors")</f>
        <v>NXP Semiconductors</v>
      </c>
      <c r="C21926" s="6">
        <v>127</v>
      </c>
      <c r="D21926" s="7">
        <v>0</v>
      </c>
    </row>
    <row r="21927" spans="1:5" x14ac:dyDescent="0.25">
      <c r="A21927" t="str">
        <f>HYPERLINK("https://www.773grp.com/globalSearch/MC4VHCT157AMG/page-1", "MC4VHCT157AMG")</f>
        <v>MC4VHCT157AMG</v>
      </c>
      <c r="B21927" s="3" t="str">
        <f>HYPERLINK("https://www.773grp.com/manufacturer/nxp-semiconductor?pageNo=39", "NXP Semiconductors")</f>
        <v>NXP Semiconductors</v>
      </c>
      <c r="C21927" s="6">
        <v>850</v>
      </c>
      <c r="D21927" s="7">
        <v>0</v>
      </c>
    </row>
    <row r="21928" spans="1:5" x14ac:dyDescent="0.25">
      <c r="A21928" t="str">
        <f>HYPERLINK("https://www.773grp.com/globalSearch/MC74AC161MG/page-1", "MC74AC161MG")</f>
        <v>MC74AC161MG</v>
      </c>
      <c r="B21928" s="3" t="str">
        <f>HYPERLINK("https://www.773grp.com/manufacturer/nxp-semiconductor?pageNo=40", "NXP Semiconductors")</f>
        <v>NXP Semiconductors</v>
      </c>
      <c r="C21928" s="6">
        <v>4150</v>
      </c>
      <c r="D21928" s="7">
        <v>0</v>
      </c>
      <c r="E21928" t="s">
        <v>26</v>
      </c>
    </row>
    <row r="21929" spans="1:5" x14ac:dyDescent="0.25">
      <c r="A21929" t="str">
        <f>HYPERLINK("https://www.773grp.com/globalSearch/MC74AC2244DWG/page-1", "MC74AC2244DWG")</f>
        <v>MC74AC2244DWG</v>
      </c>
      <c r="B21929" s="3" t="str">
        <f>HYPERLINK("https://www.773grp.com/manufacturer/nxp-semiconductor?pageNo=41", "NXP Semiconductors")</f>
        <v>NXP Semiconductors</v>
      </c>
      <c r="C21929" s="6">
        <v>14</v>
      </c>
      <c r="D21929" s="7">
        <v>0</v>
      </c>
    </row>
    <row r="21930" spans="1:5" x14ac:dyDescent="0.25">
      <c r="A21930" t="str">
        <f>HYPERLINK("https://www.773grp.com/globalSearch/MC74AC273MEL/page-1", "MC74AC273MEL")</f>
        <v>MC74AC273MEL</v>
      </c>
      <c r="B21930" s="3" t="str">
        <f>HYPERLINK("https://www.773grp.com/manufacturer/nxp-semiconductor?pageNo=42", "NXP Semiconductors")</f>
        <v>NXP Semiconductors</v>
      </c>
      <c r="C21930" s="6">
        <v>1490</v>
      </c>
      <c r="D21930" s="7">
        <v>0</v>
      </c>
      <c r="E21930" t="s">
        <v>35</v>
      </c>
    </row>
    <row r="21931" spans="1:5" x14ac:dyDescent="0.25">
      <c r="A21931" t="str">
        <f>HYPERLINK("https://www.773grp.com/globalSearch/MC74AC373DT/page-1", "MC74AC373DT")</f>
        <v>MC74AC373DT</v>
      </c>
      <c r="B21931" s="3" t="str">
        <f>HYPERLINK("https://www.773grp.com/manufacturer/nxp-semiconductor?pageNo=43", "NXP Semiconductors")</f>
        <v>NXP Semiconductors</v>
      </c>
      <c r="C21931" s="6">
        <v>15000</v>
      </c>
      <c r="D21931" s="7">
        <v>0</v>
      </c>
      <c r="E21931" t="s">
        <v>14</v>
      </c>
    </row>
    <row r="21932" spans="1:5" x14ac:dyDescent="0.25">
      <c r="A21932" t="str">
        <f>HYPERLINK("https://www.773grp.com/globalSearch/MC74ACT08MEL/page-1", "MC74ACT08MEL")</f>
        <v>MC74ACT08MEL</v>
      </c>
      <c r="B21932" s="3" t="str">
        <f>HYPERLINK("https://www.773grp.com/manufacturer/nxp-semiconductor?pageNo=44", "NXP Semiconductors")</f>
        <v>NXP Semiconductors</v>
      </c>
      <c r="C21932" s="6">
        <v>1188</v>
      </c>
      <c r="D21932" s="7">
        <v>0</v>
      </c>
      <c r="E21932" t="s">
        <v>31</v>
      </c>
    </row>
    <row r="21933" spans="1:5" x14ac:dyDescent="0.25">
      <c r="A21933" t="str">
        <f>HYPERLINK("https://www.773grp.com/globalSearch/MC74ACT139G/page-1", "MC74ACT139G")</f>
        <v>MC74ACT139G</v>
      </c>
      <c r="B21933" s="3" t="str">
        <f>HYPERLINK("https://www.773grp.com/manufacturer/nxp-semiconductor?pageNo=45", "NXP Semiconductors")</f>
        <v>NXP Semiconductors</v>
      </c>
      <c r="C21933" s="6">
        <v>958</v>
      </c>
      <c r="D21933" s="7">
        <v>0</v>
      </c>
    </row>
    <row r="21934" spans="1:5" x14ac:dyDescent="0.25">
      <c r="A21934" t="str">
        <f>HYPERLINK("https://www.773grp.com/globalSearch/MC74ACT810N/page-1", "MC74ACT810N")</f>
        <v>MC74ACT810N</v>
      </c>
      <c r="B21934" s="3" t="str">
        <f>HYPERLINK("https://www.773grp.com/manufacturer/nxp-semiconductor?pageNo=46", "NXP Semiconductors")</f>
        <v>NXP Semiconductors</v>
      </c>
      <c r="C21934" s="6">
        <v>3975</v>
      </c>
      <c r="D21934" s="7">
        <v>0</v>
      </c>
      <c r="E21934" t="s">
        <v>31</v>
      </c>
    </row>
    <row r="21935" spans="1:5" x14ac:dyDescent="0.25">
      <c r="A21935" t="str">
        <f>HYPERLINK("https://www.773grp.com/globalSearch/MC74ACTO8DG/page-1", "MC74ACTO8DG")</f>
        <v>MC74ACTO8DG</v>
      </c>
      <c r="B21935" s="3" t="str">
        <f>HYPERLINK("https://www.773grp.com/manufacturer/nxp-semiconductor?pageNo=47", "NXP Semiconductors")</f>
        <v>NXP Semiconductors</v>
      </c>
      <c r="C21935" s="6">
        <v>1361</v>
      </c>
      <c r="D21935" s="7">
        <v>0</v>
      </c>
    </row>
    <row r="21936" spans="1:5" x14ac:dyDescent="0.25">
      <c r="A21936" t="str">
        <f>HYPERLINK("https://www.773grp.com/globalSearch/MC74HC03AFEL/page-1", "MC74HC03AFEL")</f>
        <v>MC74HC03AFEL</v>
      </c>
      <c r="B21936" s="3" t="str">
        <f>HYPERLINK("https://www.773grp.com/manufacturer/nxp-semiconductor?pageNo=48", "NXP Semiconductors")</f>
        <v>NXP Semiconductors</v>
      </c>
      <c r="C21936" s="6">
        <v>1669</v>
      </c>
      <c r="D21936" s="7">
        <v>0</v>
      </c>
      <c r="E21936" t="s">
        <v>31</v>
      </c>
    </row>
    <row r="21937" spans="1:5" x14ac:dyDescent="0.25">
      <c r="A21937" t="str">
        <f>HYPERLINK("https://www.773grp.com/globalSearch/MC74HC164AFEL/page-1", "MC74HC164AFEL")</f>
        <v>MC74HC164AFEL</v>
      </c>
      <c r="B21937" s="3" t="str">
        <f>HYPERLINK("https://www.773grp.com/manufacturer/nxp-semiconductor?pageNo=1", "NXP Semiconductors")</f>
        <v>NXP Semiconductors</v>
      </c>
      <c r="C21937" s="6">
        <v>4000</v>
      </c>
      <c r="D21937" s="7">
        <v>0</v>
      </c>
      <c r="E21937" t="s">
        <v>32</v>
      </c>
    </row>
    <row r="21938" spans="1:5" x14ac:dyDescent="0.25">
      <c r="A21938" t="str">
        <f>HYPERLINK("https://www.773grp.com/globalSearch/MC74HC1G08DFT1GH/page-1", "MC74HC1G08DFT1GH")</f>
        <v>MC74HC1G08DFT1GH</v>
      </c>
      <c r="B21938" s="3" t="str">
        <f>HYPERLINK("https://www.773grp.com/manufacturer/nxp-semiconductor?pageNo=2", "NXP Semiconductors")</f>
        <v>NXP Semiconductors</v>
      </c>
      <c r="C21938" s="6">
        <v>66000</v>
      </c>
      <c r="D21938" s="7">
        <v>0</v>
      </c>
    </row>
    <row r="21939" spans="1:5" x14ac:dyDescent="0.25">
      <c r="A21939" t="str">
        <f>HYPERLINK("https://www.773grp.com/globalSearch/MC74HC4528AN/page-1", "MC74HC4528AN")</f>
        <v>MC74HC4528AN</v>
      </c>
      <c r="B21939" s="3" t="str">
        <f>HYPERLINK("https://www.773grp.com/manufacturer/nxp-semiconductor?pageNo=3", "NXP Semiconductors")</f>
        <v>NXP Semiconductors</v>
      </c>
      <c r="C21939" s="6">
        <v>127</v>
      </c>
      <c r="D21939" s="7">
        <v>0</v>
      </c>
    </row>
    <row r="21940" spans="1:5" x14ac:dyDescent="0.25">
      <c r="A21940" t="str">
        <f>HYPERLINK("https://www.773grp.com/globalSearch/MC74HC540ADWR2/page-1", "MC74HC540ADWR2")</f>
        <v>MC74HC540ADWR2</v>
      </c>
      <c r="B21940" s="3" t="str">
        <f>HYPERLINK("https://www.773grp.com/manufacturer/nxp-semiconductor?pageNo=4", "NXP Semiconductors")</f>
        <v>NXP Semiconductors</v>
      </c>
      <c r="C21940" s="6">
        <v>1000</v>
      </c>
      <c r="D21940" s="7">
        <v>0</v>
      </c>
      <c r="E21940" t="s">
        <v>14</v>
      </c>
    </row>
    <row r="21941" spans="1:5" x14ac:dyDescent="0.25">
      <c r="A21941" t="str">
        <f>HYPERLINK("https://www.773grp.com/globalSearch/MC74HC573ADW/page-1", "MC74HC573ADW")</f>
        <v>MC74HC573ADW</v>
      </c>
      <c r="B21941" s="3" t="str">
        <f>HYPERLINK("https://www.773grp.com/manufacturer/nxp-semiconductor?pageNo=5", "NXP Semiconductors")</f>
        <v>NXP Semiconductors</v>
      </c>
      <c r="C21941" s="6">
        <v>502</v>
      </c>
      <c r="D21941" s="7">
        <v>0</v>
      </c>
      <c r="E21941" t="s">
        <v>14</v>
      </c>
    </row>
    <row r="21942" spans="1:5" x14ac:dyDescent="0.25">
      <c r="A21942" t="str">
        <f>HYPERLINK("https://www.773grp.com/globalSearch/MC74HVC1G50DTT1/page-1", "MC74HVC1G50DTT1")</f>
        <v>MC74HVC1G50DTT1</v>
      </c>
      <c r="B21942" s="3" t="str">
        <f>HYPERLINK("https://www.773grp.com/manufacturer/nxp-semiconductor?pageNo=6", "NXP Semiconductors")</f>
        <v>NXP Semiconductors</v>
      </c>
      <c r="C21942" s="6">
        <v>2729</v>
      </c>
      <c r="D21942" s="7">
        <v>0</v>
      </c>
    </row>
    <row r="21943" spans="1:5" x14ac:dyDescent="0.25">
      <c r="A21943" t="str">
        <f>HYPERLINK("https://www.773grp.com/globalSearch/MC74VHC1G00TT1G/page-1", "MC74VHC1G00TT1G")</f>
        <v>MC74VHC1G00TT1G</v>
      </c>
      <c r="B21943" s="3" t="str">
        <f>HYPERLINK("https://www.773grp.com/manufacturer/nxp-semiconductor?pageNo=7", "NXP Semiconductors")</f>
        <v>NXP Semiconductors</v>
      </c>
      <c r="C21943" s="6">
        <v>9000</v>
      </c>
      <c r="D21943" s="7">
        <v>0</v>
      </c>
    </row>
    <row r="21944" spans="1:5" x14ac:dyDescent="0.25">
      <c r="A21944" t="str">
        <f>HYPERLINK("https://www.773grp.com/globalSearch/MC74VHC1G08DTT1H/page-1", "MC74VHC1G08DTT1H")</f>
        <v>MC74VHC1G08DTT1H</v>
      </c>
      <c r="B21944" s="3" t="str">
        <f>HYPERLINK("https://www.773grp.com/manufacturer/nxp-semiconductor?pageNo=8", "NXP Semiconductors")</f>
        <v>NXP Semiconductors</v>
      </c>
      <c r="C21944" s="6">
        <v>24000</v>
      </c>
      <c r="D21944" s="7">
        <v>0</v>
      </c>
    </row>
    <row r="21945" spans="1:5" x14ac:dyDescent="0.25">
      <c r="A21945" t="str">
        <f>HYPERLINK("https://www.773grp.com/globalSearch/MC74VHC1G32DFT/page-1", "MC74VHC1G32DFT")</f>
        <v>MC74VHC1G32DFT</v>
      </c>
      <c r="B21945" s="3" t="str">
        <f>HYPERLINK("https://www.773grp.com/manufacturer/nxp-semiconductor?pageNo=9", "NXP Semiconductors")</f>
        <v>NXP Semiconductors</v>
      </c>
      <c r="C21945" s="6">
        <v>21000</v>
      </c>
      <c r="D21945" s="7">
        <v>0</v>
      </c>
    </row>
    <row r="21946" spans="1:5" x14ac:dyDescent="0.25">
      <c r="A21946" t="str">
        <f>HYPERLINK("https://www.773grp.com/globalSearch/MC74VHC1G50DTTIG/page-1", "MC74VHC1G50DTTIG")</f>
        <v>MC74VHC1G50DTTIG</v>
      </c>
      <c r="B21946" s="3" t="str">
        <f>HYPERLINK("https://www.773grp.com/manufacturer/nxp-semiconductor?pageNo=10", "NXP Semiconductors")</f>
        <v>NXP Semiconductors</v>
      </c>
      <c r="C21946" s="6">
        <v>6000</v>
      </c>
      <c r="D21946" s="7">
        <v>0</v>
      </c>
    </row>
    <row r="21947" spans="1:5" x14ac:dyDescent="0.25">
      <c r="A21947" t="str">
        <f>HYPERLINK("https://www.773grp.com/globalSearch/MC74VHC1GT04DFT1  REEL/page-1", "MC74VHC1GT04DFT1  REEL")</f>
        <v>MC74VHC1GT04DFT1  REEL</v>
      </c>
      <c r="B21947" s="3" t="str">
        <f>HYPERLINK("https://www.773grp.com/manufacturer/nxp-semiconductor?pageNo=11", "NXP Semiconductors")</f>
        <v>NXP Semiconductors</v>
      </c>
      <c r="C21947" s="6">
        <v>2000</v>
      </c>
      <c r="D21947" s="7">
        <v>0</v>
      </c>
    </row>
    <row r="21948" spans="1:5" x14ac:dyDescent="0.25">
      <c r="A21948" t="str">
        <f>HYPERLINK("https://www.773grp.com/globalSearch/MC74VHC1GT125DF2/page-1", "MC74VHC1GT125DF2")</f>
        <v>MC74VHC1GT125DF2</v>
      </c>
      <c r="B21948" s="3" t="str">
        <f>HYPERLINK("https://www.773grp.com/manufacturer/nxp-semiconductor?pageNo=12", "NXP Semiconductors")</f>
        <v>NXP Semiconductors</v>
      </c>
      <c r="C21948" s="6">
        <v>60000</v>
      </c>
      <c r="D21948" s="7">
        <v>0</v>
      </c>
      <c r="E21948" t="s">
        <v>14</v>
      </c>
    </row>
    <row r="21949" spans="1:5" x14ac:dyDescent="0.25">
      <c r="A21949" t="str">
        <f>HYPERLINK("https://www.773grp.com/globalSearch/MC74VHC1GT32DF1G/page-1", "MC74VHC1GT32DF1G")</f>
        <v>MC74VHC1GT32DF1G</v>
      </c>
      <c r="B21949" s="3" t="str">
        <f>HYPERLINK("https://www.773grp.com/manufacturer/nxp-semiconductor?pageNo=13", "NXP Semiconductors")</f>
        <v>NXP Semiconductors</v>
      </c>
      <c r="C21949" s="6">
        <v>15000</v>
      </c>
      <c r="D21949" s="7">
        <v>0</v>
      </c>
      <c r="E21949" t="s">
        <v>31</v>
      </c>
    </row>
    <row r="21950" spans="1:5" x14ac:dyDescent="0.25">
      <c r="A21950" t="str">
        <f>HYPERLINK("https://www.773grp.com/globalSearch/MC74VHCT04AMEL/page-1", "MC74VHCT04AMEL")</f>
        <v>MC74VHCT04AMEL</v>
      </c>
      <c r="B21950" s="3" t="str">
        <f>HYPERLINK("https://www.773grp.com/manufacturer/nxp-semiconductor?pageNo=14", "NXP Semiconductors")</f>
        <v>NXP Semiconductors</v>
      </c>
      <c r="C21950" s="6">
        <v>2000</v>
      </c>
      <c r="D21950" s="7">
        <v>0</v>
      </c>
    </row>
    <row r="21951" spans="1:5" x14ac:dyDescent="0.25">
      <c r="A21951" t="str">
        <f>HYPERLINK("https://www.773grp.com/globalSearch/MC74VHCT125ADTRH/page-1", "MC74VHCT125ADTRH")</f>
        <v>MC74VHCT125ADTRH</v>
      </c>
      <c r="B21951" s="3" t="str">
        <f>HYPERLINK("https://www.773grp.com/manufacturer/nxp-semiconductor?pageNo=15", "NXP Semiconductors")</f>
        <v>NXP Semiconductors</v>
      </c>
      <c r="C21951" s="6">
        <v>330100</v>
      </c>
      <c r="D21951" s="7">
        <v>0</v>
      </c>
    </row>
    <row r="21952" spans="1:5" x14ac:dyDescent="0.25">
      <c r="A21952" t="str">
        <f>HYPERLINK("https://www.773grp.com/globalSearch/MC7809ABTG/page-1", "MC7809ABTG")</f>
        <v>MC7809ABTG</v>
      </c>
      <c r="B21952" s="3" t="str">
        <f>HYPERLINK("https://www.773grp.com/manufacturer/nxp-semiconductor?pageNo=16", "NXP Semiconductors")</f>
        <v>NXP Semiconductors</v>
      </c>
      <c r="C21952" s="6">
        <v>9600</v>
      </c>
      <c r="D21952" s="7">
        <v>0</v>
      </c>
    </row>
    <row r="21953" spans="1:5" x14ac:dyDescent="0.25">
      <c r="A21953" t="str">
        <f>HYPERLINK("https://www.773grp.com/globalSearch/MC7815LTG/page-1", "MC7815LTG")</f>
        <v>MC7815LTG</v>
      </c>
      <c r="B21953" s="3" t="str">
        <f>HYPERLINK("https://www.773grp.com/manufacturer/nxp-semiconductor?pageNo=17", "NXP Semiconductors")</f>
        <v>NXP Semiconductors</v>
      </c>
      <c r="C21953" s="6">
        <v>900</v>
      </c>
      <c r="D21953" s="7">
        <v>0</v>
      </c>
    </row>
    <row r="21954" spans="1:5" x14ac:dyDescent="0.25">
      <c r="A21954" t="str">
        <f>HYPERLINK("https://www.773grp.com/globalSearch/MC7818ATCG/page-1", "MC7818ATCG")</f>
        <v>MC7818ATCG</v>
      </c>
      <c r="B21954" s="3" t="str">
        <f>HYPERLINK("https://www.773grp.com/manufacturer/nxp-semiconductor?pageNo=18", "NXP Semiconductors")</f>
        <v>NXP Semiconductors</v>
      </c>
      <c r="C21954" s="6">
        <v>1450</v>
      </c>
      <c r="D21954" s="7">
        <v>0</v>
      </c>
    </row>
    <row r="21955" spans="1:5" x14ac:dyDescent="0.25">
      <c r="A21955" t="str">
        <f>HYPERLINK("https://www.773grp.com/globalSearch/MC78BC45NTR/page-1", "MC78BC45NTR")</f>
        <v>MC78BC45NTR</v>
      </c>
      <c r="B21955" s="3" t="str">
        <f>HYPERLINK("https://www.773grp.com/manufacturer/nxp-semiconductor?pageNo=19", "NXP Semiconductors")</f>
        <v>NXP Semiconductors</v>
      </c>
      <c r="C21955" s="6">
        <v>3000</v>
      </c>
      <c r="D21955" s="7">
        <v>0</v>
      </c>
      <c r="E21955" t="s">
        <v>19</v>
      </c>
    </row>
    <row r="21956" spans="1:5" x14ac:dyDescent="0.25">
      <c r="A21956" t="str">
        <f>HYPERLINK("https://www.773grp.com/globalSearch/MC79M05CDTRKG  REEL/page-1", "MC79M05CDTRKG  REEL")</f>
        <v>MC79M05CDTRKG  REEL</v>
      </c>
      <c r="B21956" s="3" t="str">
        <f>HYPERLINK("https://www.773grp.com/manufacturer/nxp-semiconductor?pageNo=20", "NXP Semiconductors")</f>
        <v>NXP Semiconductors</v>
      </c>
      <c r="C21956" s="6">
        <v>2000</v>
      </c>
      <c r="D21956" s="7">
        <v>0</v>
      </c>
    </row>
    <row r="21957" spans="1:5" x14ac:dyDescent="0.25">
      <c r="A21957" t="str">
        <f>HYPERLINK("https://www.773grp.com/globalSearch/MC7ACT08DG/page-1", "MC7ACT08DG")</f>
        <v>MC7ACT08DG</v>
      </c>
      <c r="B21957" s="3" t="str">
        <f>HYPERLINK("https://www.773grp.com/manufacturer/nxp-semiconductor?pageNo=21", "NXP Semiconductors")</f>
        <v>NXP Semiconductors</v>
      </c>
      <c r="C21957" s="6">
        <v>1100</v>
      </c>
      <c r="D21957" s="7">
        <v>0</v>
      </c>
    </row>
    <row r="21958" spans="1:5" x14ac:dyDescent="0.25">
      <c r="A21958" t="str">
        <f>HYPERLINK("https://www.773grp.com/globalSearch/MCAC16N/page-1", "MCAC16N")</f>
        <v>MCAC16N</v>
      </c>
      <c r="B21958" s="3" t="str">
        <f>HYPERLINK("https://www.773grp.com/manufacturer/nxp-semiconductor?pageNo=22", "NXP Semiconductors")</f>
        <v>NXP Semiconductors</v>
      </c>
      <c r="C21958" s="6">
        <v>50</v>
      </c>
      <c r="D21958" s="7">
        <v>0</v>
      </c>
    </row>
    <row r="21959" spans="1:5" x14ac:dyDescent="0.25">
      <c r="A21959" t="str">
        <f>HYPERLINK("https://www.773grp.com/globalSearch/MCAC374DWG/page-1", "MCAC374DWG")</f>
        <v>MCAC374DWG</v>
      </c>
      <c r="B21959" s="3" t="str">
        <f>HYPERLINK("https://www.773grp.com/manufacturer/nxp-semiconductor?pageNo=23", "NXP Semiconductors")</f>
        <v>NXP Semiconductors</v>
      </c>
      <c r="C21959" s="6">
        <v>1368</v>
      </c>
      <c r="D21959" s="7">
        <v>0</v>
      </c>
    </row>
    <row r="21960" spans="1:5" x14ac:dyDescent="0.25">
      <c r="A21960" t="str">
        <f>HYPERLINK("https://www.773grp.com/globalSearch/MCH3306-TL-E/page-1", "MCH3306-TL-E")</f>
        <v>MCH3306-TL-E</v>
      </c>
      <c r="B21960" s="3" t="str">
        <f>HYPERLINK("https://www.773grp.com/manufacturer/nxp-semiconductor?pageNo=24", "NXP Semiconductors")</f>
        <v>NXP Semiconductors</v>
      </c>
      <c r="C21960" s="6">
        <v>3000</v>
      </c>
      <c r="D21960" s="7">
        <v>0</v>
      </c>
    </row>
    <row r="21961" spans="1:5" x14ac:dyDescent="0.25">
      <c r="A21961" t="str">
        <f>HYPERLINK("https://www.773grp.com/globalSearch/MCH3307-TL-E/page-1", "MCH3307-TL-E")</f>
        <v>MCH3307-TL-E</v>
      </c>
      <c r="B21961" s="3" t="str">
        <f>HYPERLINK("https://www.773grp.com/manufacturer/nxp-semiconductor?pageNo=25", "NXP Semiconductors")</f>
        <v>NXP Semiconductors</v>
      </c>
      <c r="C21961" s="6">
        <v>42000</v>
      </c>
      <c r="D21961" s="7">
        <v>0</v>
      </c>
    </row>
    <row r="21962" spans="1:5" x14ac:dyDescent="0.25">
      <c r="A21962" t="str">
        <f>HYPERLINK("https://www.773grp.com/globalSearch/MCH3322-EBM-TL-E/page-1", "MCH3322-EBM-TL-E")</f>
        <v>MCH3322-EBM-TL-E</v>
      </c>
      <c r="B21962" s="3" t="str">
        <f>HYPERLINK("https://www.773grp.com/manufacturer/nxp-semiconductor?pageNo=26", "NXP Semiconductors")</f>
        <v>NXP Semiconductors</v>
      </c>
      <c r="C21962" s="6">
        <v>158490</v>
      </c>
      <c r="D21962" s="7">
        <v>0</v>
      </c>
    </row>
    <row r="21963" spans="1:5" x14ac:dyDescent="0.25">
      <c r="A21963" t="str">
        <f>HYPERLINK("https://www.773grp.com/globalSearch/MCH3409-TL-E/page-1", "MCH3409-TL-E")</f>
        <v>MCH3409-TL-E</v>
      </c>
      <c r="B21963" s="3" t="str">
        <f>HYPERLINK("https://www.773grp.com/manufacturer/nxp-semiconductor?pageNo=27", "NXP Semiconductors")</f>
        <v>NXP Semiconductors</v>
      </c>
      <c r="C21963" s="6">
        <v>42000</v>
      </c>
      <c r="D21963" s="7">
        <v>0</v>
      </c>
    </row>
    <row r="21964" spans="1:5" x14ac:dyDescent="0.25">
      <c r="A21964" t="str">
        <f>HYPERLINK("https://www.773grp.com/globalSearch/MCH3414-TL-E/page-1", "MCH3414-TL-E")</f>
        <v>MCH3414-TL-E</v>
      </c>
      <c r="B21964" s="3" t="str">
        <f>HYPERLINK("https://www.773grp.com/manufacturer/nxp-semiconductor?pageNo=28", "NXP Semiconductors")</f>
        <v>NXP Semiconductors</v>
      </c>
      <c r="C21964" s="6">
        <v>27000</v>
      </c>
      <c r="D21964" s="7">
        <v>0</v>
      </c>
    </row>
    <row r="21965" spans="1:5" x14ac:dyDescent="0.25">
      <c r="A21965" t="str">
        <f>HYPERLINK("https://www.773grp.com/globalSearch/MCH3444-TL-E/page-1", "MCH3444-TL-E")</f>
        <v>MCH3444-TL-E</v>
      </c>
      <c r="B21965" s="3" t="str">
        <f>HYPERLINK("https://www.773grp.com/manufacturer/nxp-semiconductor?pageNo=29", "NXP Semiconductors")</f>
        <v>NXP Semiconductors</v>
      </c>
      <c r="C21965" s="6">
        <v>9000</v>
      </c>
      <c r="D21965" s="7">
        <v>0</v>
      </c>
    </row>
    <row r="21966" spans="1:5" x14ac:dyDescent="0.25">
      <c r="A21966" t="str">
        <f>HYPERLINK("https://www.773grp.com/globalSearch/MCH5815-TL-E/page-1", "MCH5815-TL-E")</f>
        <v>MCH5815-TL-E</v>
      </c>
      <c r="B21966" s="3" t="str">
        <f>HYPERLINK("https://www.773grp.com/manufacturer/nxp-semiconductor?pageNo=30", "NXP Semiconductors")</f>
        <v>NXP Semiconductors</v>
      </c>
      <c r="C21966" s="6">
        <v>87000</v>
      </c>
      <c r="D21966" s="7">
        <v>0</v>
      </c>
    </row>
    <row r="21967" spans="1:5" x14ac:dyDescent="0.25">
      <c r="A21967" t="str">
        <f>HYPERLINK("https://www.773grp.com/globalSearch/MCH6617-TL-E/page-1", "MCH6617-TL-E")</f>
        <v>MCH6617-TL-E</v>
      </c>
      <c r="B21967" s="3" t="str">
        <f>HYPERLINK("https://www.773grp.com/manufacturer/nxp-semiconductor?pageNo=31", "NXP Semiconductors")</f>
        <v>NXP Semiconductors</v>
      </c>
      <c r="C21967" s="6">
        <v>3000</v>
      </c>
      <c r="D21967" s="7">
        <v>0</v>
      </c>
    </row>
    <row r="21968" spans="1:5" x14ac:dyDescent="0.25">
      <c r="A21968" t="str">
        <f>HYPERLINK("https://www.773grp.com/globalSearch/MCR106-006/page-1", "MCR106-006")</f>
        <v>MCR106-006</v>
      </c>
      <c r="B21968" s="3" t="str">
        <f>HYPERLINK("https://www.773grp.com/manufacturer/nxp-semiconductor?pageNo=32", "NXP Semiconductors")</f>
        <v>NXP Semiconductors</v>
      </c>
      <c r="C21968" s="6">
        <v>5000</v>
      </c>
      <c r="D21968" s="7">
        <v>0</v>
      </c>
      <c r="E21968" t="s">
        <v>97</v>
      </c>
    </row>
    <row r="21969" spans="1:5" x14ac:dyDescent="0.25">
      <c r="A21969" t="str">
        <f>HYPERLINK("https://www.773grp.com/globalSearch/MCR22-4/page-1", "MCR22-4")</f>
        <v>MCR22-4</v>
      </c>
      <c r="B21969" s="3" t="str">
        <f>HYPERLINK("https://www.773grp.com/manufacturer/nxp-semiconductor?pageNo=33", "NXP Semiconductors")</f>
        <v>NXP Semiconductors</v>
      </c>
      <c r="C21969" s="6">
        <v>7</v>
      </c>
      <c r="D21969" s="7">
        <v>0</v>
      </c>
      <c r="E21969" t="s">
        <v>97</v>
      </c>
    </row>
    <row r="21970" spans="1:5" x14ac:dyDescent="0.25">
      <c r="A21970" t="str">
        <f>HYPERLINK("https://www.773grp.com/globalSearch/MCR85NG/page-1", "MCR85NG")</f>
        <v>MCR85NG</v>
      </c>
      <c r="B21970" s="3" t="str">
        <f>HYPERLINK("https://www.773grp.com/manufacturer/nxp-semiconductor?pageNo=34", "NXP Semiconductors")</f>
        <v>NXP Semiconductors</v>
      </c>
      <c r="C21970" s="6">
        <v>950</v>
      </c>
      <c r="D21970" s="7">
        <v>0</v>
      </c>
    </row>
    <row r="21971" spans="1:5" x14ac:dyDescent="0.25">
      <c r="A21971" t="str">
        <f>HYPERLINK("https://www.773grp.com/globalSearch/MCX33063ADR2G/page-1", "MCX33063ADR2G")</f>
        <v>MCX33063ADR2G</v>
      </c>
      <c r="B21971" s="3" t="str">
        <f>HYPERLINK("https://www.773grp.com/manufacturer/nxp-semiconductor?pageNo=35", "NXP Semiconductors")</f>
        <v>NXP Semiconductors</v>
      </c>
      <c r="C21971" s="6">
        <v>2500</v>
      </c>
      <c r="D21971" s="7">
        <v>0</v>
      </c>
    </row>
    <row r="21972" spans="1:5" x14ac:dyDescent="0.25">
      <c r="A21972" t="str">
        <f>HYPERLINK("https://www.773grp.com/globalSearch/MFS4945NTIG/page-1", "MFS4945NTIG")</f>
        <v>MFS4945NTIG</v>
      </c>
      <c r="B21972" s="3" t="str">
        <f>HYPERLINK("https://www.773grp.com/manufacturer/nxp-semiconductor?pageNo=36", "NXP Semiconductors")</f>
        <v>NXP Semiconductors</v>
      </c>
      <c r="C21972" s="6">
        <v>1250</v>
      </c>
      <c r="D21972" s="7">
        <v>0</v>
      </c>
    </row>
    <row r="21973" spans="1:5" x14ac:dyDescent="0.25">
      <c r="A21973" t="str">
        <f>HYPERLINK("https://www.773grp.com/globalSearch/MJ11029G/page-1", "MJ11029G")</f>
        <v>MJ11029G</v>
      </c>
      <c r="B21973" s="3" t="str">
        <f>HYPERLINK("https://www.773grp.com/manufacturer/nxp-semiconductor?pageNo=37", "NXP Semiconductors")</f>
        <v>NXP Semiconductors</v>
      </c>
      <c r="C21973" s="6">
        <v>350</v>
      </c>
      <c r="D21973" s="7">
        <v>0</v>
      </c>
      <c r="E21973" t="s">
        <v>59</v>
      </c>
    </row>
    <row r="21974" spans="1:5" x14ac:dyDescent="0.25">
      <c r="A21974" t="str">
        <f>HYPERLINK("https://www.773grp.com/globalSearch/MJ15020/page-1", "MJ15020")</f>
        <v>MJ15020</v>
      </c>
      <c r="B21974" s="3" t="str">
        <f>HYPERLINK("https://www.773grp.com/manufacturer/nxp-semiconductor?pageNo=38", "NXP Semiconductors")</f>
        <v>NXP Semiconductors</v>
      </c>
      <c r="C21974" s="6">
        <v>150</v>
      </c>
      <c r="D21974" s="7">
        <v>0</v>
      </c>
      <c r="E21974" t="s">
        <v>59</v>
      </c>
    </row>
    <row r="21975" spans="1:5" x14ac:dyDescent="0.25">
      <c r="A21975" t="str">
        <f>HYPERLINK("https://www.773grp.com/globalSearch/MJE5030/page-1", "MJE5030")</f>
        <v>MJE5030</v>
      </c>
      <c r="B21975" s="3" t="str">
        <f>HYPERLINK("https://www.773grp.com/manufacturer/nxp-semiconductor?pageNo=39", "NXP Semiconductors")</f>
        <v>NXP Semiconductors</v>
      </c>
      <c r="C21975" s="6">
        <v>748</v>
      </c>
      <c r="D21975" s="7">
        <v>0</v>
      </c>
    </row>
    <row r="21976" spans="1:5" x14ac:dyDescent="0.25">
      <c r="A21976" t="str">
        <f>HYPERLINK("https://www.773grp.com/globalSearch/MJE8035/page-1", "MJE8035")</f>
        <v>MJE8035</v>
      </c>
      <c r="B21976" s="3" t="str">
        <f>HYPERLINK("https://www.773grp.com/manufacturer/nxp-semiconductor?pageNo=40", "NXP Semiconductors")</f>
        <v>NXP Semiconductors</v>
      </c>
      <c r="C21976" s="6">
        <v>500</v>
      </c>
      <c r="D21976" s="7">
        <v>0</v>
      </c>
    </row>
    <row r="21977" spans="1:5" x14ac:dyDescent="0.25">
      <c r="A21977" t="str">
        <f>HYPERLINK("https://www.773grp.com/globalSearch/MJEC15033TR/page-1", "MJEC15033TR")</f>
        <v>MJEC15033TR</v>
      </c>
      <c r="B21977" s="3" t="str">
        <f>HYPERLINK("https://www.773grp.com/manufacturer/nxp-semiconductor?pageNo=41", "NXP Semiconductors")</f>
        <v>NXP Semiconductors</v>
      </c>
      <c r="C21977" s="6">
        <v>4988</v>
      </c>
      <c r="D21977" s="7">
        <v>0</v>
      </c>
    </row>
    <row r="21978" spans="1:5" x14ac:dyDescent="0.25">
      <c r="A21978" t="str">
        <f>HYPERLINK("https://www.773grp.com/globalSearch/MJH11018G/page-1", "MJH11018G")</f>
        <v>MJH11018G</v>
      </c>
      <c r="B21978" s="3" t="str">
        <f>HYPERLINK("https://www.773grp.com/manufacturer/nxp-semiconductor?pageNo=42", "NXP Semiconductors")</f>
        <v>NXP Semiconductors</v>
      </c>
      <c r="C21978" s="6">
        <v>550</v>
      </c>
      <c r="D21978" s="7">
        <v>0</v>
      </c>
      <c r="E21978" t="s">
        <v>59</v>
      </c>
    </row>
    <row r="21979" spans="1:5" x14ac:dyDescent="0.25">
      <c r="A21979" t="str">
        <f>HYPERLINK("https://www.773grp.com/globalSearch/MM3Z51VT1G/page-1", "MM3Z51VT1G")</f>
        <v>MM3Z51VT1G</v>
      </c>
      <c r="B21979" s="3" t="str">
        <f>HYPERLINK("https://www.773grp.com/manufacturer/nxp-semiconductor?pageNo=43", "NXP Semiconductors")</f>
        <v>NXP Semiconductors</v>
      </c>
      <c r="C21979" s="6">
        <v>18000</v>
      </c>
      <c r="D21979" s="7">
        <v>0</v>
      </c>
      <c r="E21979" t="s">
        <v>98</v>
      </c>
    </row>
    <row r="21980" spans="1:5" x14ac:dyDescent="0.25">
      <c r="A21980" t="str">
        <f>HYPERLINK("https://www.773grp.com/globalSearch/MMBD301LT3G  REEL/page-1", "MMBD301LT3G  REEL")</f>
        <v>MMBD301LT3G  REEL</v>
      </c>
      <c r="B21980" s="3" t="str">
        <f>HYPERLINK("https://www.773grp.com/manufacturer/nxp-semiconductor?pageNo=44", "NXP Semiconductors")</f>
        <v>NXP Semiconductors</v>
      </c>
      <c r="C21980" s="6">
        <v>9800</v>
      </c>
      <c r="D21980" s="7">
        <v>0</v>
      </c>
    </row>
    <row r="21981" spans="1:5" x14ac:dyDescent="0.25">
      <c r="A21981" t="str">
        <f>HYPERLINK("https://www.773grp.com/globalSearch/MMBF5484LT1G/page-1", "MMBF5484LT1G")</f>
        <v>MMBF5484LT1G</v>
      </c>
      <c r="B21981" s="3" t="str">
        <f>HYPERLINK("https://www.773grp.com/manufacturer/nxp-semiconductor?pageNo=45", "NXP Semiconductors")</f>
        <v>NXP Semiconductors</v>
      </c>
      <c r="C21981" s="6">
        <v>77750</v>
      </c>
      <c r="D21981" s="7">
        <v>0</v>
      </c>
      <c r="E21981" t="s">
        <v>104</v>
      </c>
    </row>
    <row r="21982" spans="1:5" x14ac:dyDescent="0.25">
      <c r="A21982" t="str">
        <f>HYPERLINK("https://www.773grp.com/globalSearch/MMBT2222ALT1G  REEL/page-1", "MMBT2222ALT1G  REEL")</f>
        <v>MMBT2222ALT1G  REEL</v>
      </c>
      <c r="B21982" s="3" t="str">
        <f>HYPERLINK("https://www.773grp.com/manufacturer/nxp-semiconductor?pageNo=46", "NXP Semiconductors")</f>
        <v>NXP Semiconductors</v>
      </c>
      <c r="C21982" s="6">
        <v>295</v>
      </c>
      <c r="D21982" s="7">
        <v>0</v>
      </c>
    </row>
    <row r="21983" spans="1:5" x14ac:dyDescent="0.25">
      <c r="A21983" t="str">
        <f>HYPERLINK("https://www.773grp.com/globalSearch/MMBT2222AWT1H/page-1", "MMBT2222AWT1H")</f>
        <v>MMBT2222AWT1H</v>
      </c>
      <c r="B21983" s="3" t="str">
        <f>HYPERLINK("https://www.773grp.com/manufacturer/nxp-semiconductor?pageNo=47", "NXP Semiconductors")</f>
        <v>NXP Semiconductors</v>
      </c>
      <c r="C21983" s="6">
        <v>114000</v>
      </c>
      <c r="D21983" s="7">
        <v>0</v>
      </c>
    </row>
    <row r="21984" spans="1:5" x14ac:dyDescent="0.25">
      <c r="A21984" t="str">
        <f>HYPERLINK("https://www.773grp.com/globalSearch/MMBT4403LT1  REEL/page-1", "MMBT4403LT1  REEL")</f>
        <v>MMBT4403LT1  REEL</v>
      </c>
      <c r="B21984" s="3" t="str">
        <f>HYPERLINK("https://www.773grp.com/manufacturer/nxp-semiconductor?pageNo=48", "NXP Semiconductors")</f>
        <v>NXP Semiconductors</v>
      </c>
      <c r="C21984" s="6">
        <v>2000</v>
      </c>
      <c r="D21984" s="7">
        <v>0</v>
      </c>
    </row>
    <row r="21985" spans="1:5" x14ac:dyDescent="0.25">
      <c r="A21985" t="str">
        <f>HYPERLINK("https://www.773grp.com/globalSearch/MMBT4403LT1H/page-1", "MMBT4403LT1H")</f>
        <v>MMBT4403LT1H</v>
      </c>
      <c r="B21985" s="3" t="str">
        <f>HYPERLINK("https://www.773grp.com/manufacturer/nxp-semiconductor?pageNo=1", "NXP Semiconductors")</f>
        <v>NXP Semiconductors</v>
      </c>
      <c r="C21985" s="6">
        <v>3000</v>
      </c>
      <c r="D21985" s="7">
        <v>0</v>
      </c>
    </row>
    <row r="21986" spans="1:5" x14ac:dyDescent="0.25">
      <c r="A21986" t="str">
        <f>HYPERLINK("https://www.773grp.com/globalSearch/MMBT5087LT1/page-1", "MMBT5087LT1")</f>
        <v>MMBT5087LT1</v>
      </c>
      <c r="B21986" s="3" t="str">
        <f>HYPERLINK("https://www.773grp.com/manufacturer/nxp-semiconductor?pageNo=2", "NXP Semiconductors")</f>
        <v>NXP Semiconductors</v>
      </c>
      <c r="C21986" s="6">
        <v>78000</v>
      </c>
      <c r="D21986" s="7">
        <v>0</v>
      </c>
      <c r="E21986" t="s">
        <v>69</v>
      </c>
    </row>
    <row r="21987" spans="1:5" x14ac:dyDescent="0.25">
      <c r="A21987" t="str">
        <f>HYPERLINK("https://www.773grp.com/globalSearch/MMBT5551LT1H/page-1", "MMBT5551LT1H")</f>
        <v>MMBT5551LT1H</v>
      </c>
      <c r="B21987" s="3" t="str">
        <f>HYPERLINK("https://www.773grp.com/manufacturer/nxp-semiconductor?pageNo=3", "NXP Semiconductors")</f>
        <v>NXP Semiconductors</v>
      </c>
      <c r="C21987" s="6">
        <v>39000</v>
      </c>
      <c r="D21987" s="7">
        <v>0</v>
      </c>
    </row>
    <row r="21988" spans="1:5" x14ac:dyDescent="0.25">
      <c r="A21988" t="str">
        <f>HYPERLINK("https://www.773grp.com/globalSearch/MMBV2105LT1G/page-1", "MMBV2105LT1G")</f>
        <v>MMBV2105LT1G</v>
      </c>
      <c r="B21988" s="3" t="str">
        <f>HYPERLINK("https://www.773grp.com/manufacturer/nxp-semiconductor?pageNo=4", "NXP Semiconductors")</f>
        <v>NXP Semiconductors</v>
      </c>
      <c r="C21988" s="6">
        <v>21000</v>
      </c>
      <c r="D21988" s="7">
        <v>0</v>
      </c>
    </row>
    <row r="21989" spans="1:5" x14ac:dyDescent="0.25">
      <c r="A21989" t="str">
        <f>HYPERLINK("https://www.773grp.com/globalSearch/MMBZ5224BLT1/page-1", "MMBZ5224BLT1")</f>
        <v>MMBZ5224BLT1</v>
      </c>
      <c r="B21989" s="3" t="str">
        <f>HYPERLINK("https://www.773grp.com/manufacturer/nxp-semiconductor?pageNo=5", "NXP Semiconductors")</f>
        <v>NXP Semiconductors</v>
      </c>
      <c r="C21989" s="6">
        <v>16000</v>
      </c>
      <c r="D21989" s="7">
        <v>0</v>
      </c>
      <c r="E21989" t="s">
        <v>98</v>
      </c>
    </row>
    <row r="21990" spans="1:5" x14ac:dyDescent="0.25">
      <c r="A21990" t="str">
        <f>HYPERLINK("https://www.773grp.com/globalSearch/MMBZ5228BLT1H/page-1", "MMBZ5228BLT1H")</f>
        <v>MMBZ5228BLT1H</v>
      </c>
      <c r="B21990" s="3" t="str">
        <f>HYPERLINK("https://www.773grp.com/manufacturer/nxp-semiconductor?pageNo=6", "NXP Semiconductors")</f>
        <v>NXP Semiconductors</v>
      </c>
      <c r="C21990" s="6">
        <v>603000</v>
      </c>
      <c r="D21990" s="7">
        <v>0</v>
      </c>
    </row>
    <row r="21991" spans="1:5" x14ac:dyDescent="0.25">
      <c r="A21991" t="str">
        <f>HYPERLINK("https://www.773grp.com/globalSearch/MMBZ5235BLT1G  REEL/page-1", "MMBZ5235BLT1G  REEL")</f>
        <v>MMBZ5235BLT1G  REEL</v>
      </c>
      <c r="B21991" s="3" t="str">
        <f>HYPERLINK("https://www.773grp.com/manufacturer/nxp-semiconductor?pageNo=7", "NXP Semiconductors")</f>
        <v>NXP Semiconductors</v>
      </c>
      <c r="C21991" s="6">
        <v>2800</v>
      </c>
      <c r="D21991" s="7">
        <v>0</v>
      </c>
    </row>
    <row r="21992" spans="1:5" x14ac:dyDescent="0.25">
      <c r="A21992" t="str">
        <f>HYPERLINK("https://www.773grp.com/globalSearch/MMBZ5237BLT1H/page-1", "MMBZ5237BLT1H")</f>
        <v>MMBZ5237BLT1H</v>
      </c>
      <c r="B21992" s="3" t="str">
        <f>HYPERLINK("https://www.773grp.com/manufacturer/nxp-semiconductor?pageNo=8", "NXP Semiconductors")</f>
        <v>NXP Semiconductors</v>
      </c>
      <c r="C21992" s="6">
        <v>66000</v>
      </c>
      <c r="D21992" s="7">
        <v>0</v>
      </c>
    </row>
    <row r="21993" spans="1:5" x14ac:dyDescent="0.25">
      <c r="A21993" t="str">
        <f>HYPERLINK("https://www.773grp.com/globalSearch/MMBZ5243BLT1H/page-1", "MMBZ5243BLT1H")</f>
        <v>MMBZ5243BLT1H</v>
      </c>
      <c r="B21993" s="3" t="str">
        <f>HYPERLINK("https://www.773grp.com/manufacturer/nxp-semiconductor?pageNo=9", "NXP Semiconductors")</f>
        <v>NXP Semiconductors</v>
      </c>
      <c r="C21993" s="6">
        <v>21000</v>
      </c>
      <c r="D21993" s="7">
        <v>0</v>
      </c>
    </row>
    <row r="21994" spans="1:5" x14ac:dyDescent="0.25">
      <c r="A21994" t="str">
        <f>HYPERLINK("https://www.773grp.com/globalSearch/MMBZ5248BL/page-1", "MMBZ5248BL")</f>
        <v>MMBZ5248BL</v>
      </c>
      <c r="B21994" s="3" t="str">
        <f>HYPERLINK("https://www.773grp.com/manufacturer/nxp-semiconductor?pageNo=10", "NXP Semiconductors")</f>
        <v>NXP Semiconductors</v>
      </c>
      <c r="C21994" s="6">
        <v>40000</v>
      </c>
      <c r="D21994" s="7">
        <v>0</v>
      </c>
    </row>
    <row r="21995" spans="1:5" x14ac:dyDescent="0.25">
      <c r="A21995" t="str">
        <f>HYPERLINK("https://www.773grp.com/globalSearch/MMBZ5256ELT1/page-1", "MMBZ5256ELT1")</f>
        <v>MMBZ5256ELT1</v>
      </c>
      <c r="B21995" s="3" t="str">
        <f>HYPERLINK("https://www.773grp.com/manufacturer/nxp-semiconductor?pageNo=11", "NXP Semiconductors")</f>
        <v>NXP Semiconductors</v>
      </c>
      <c r="C21995" s="6">
        <v>21000</v>
      </c>
      <c r="D21995" s="7">
        <v>0</v>
      </c>
      <c r="E21995" t="s">
        <v>98</v>
      </c>
    </row>
    <row r="21996" spans="1:5" x14ac:dyDescent="0.25">
      <c r="A21996" t="str">
        <f>HYPERLINK("https://www.773grp.com/globalSearch/MMBZ5266ELT1G/page-1", "MMBZ5266ELT1G")</f>
        <v>MMBZ5266ELT1G</v>
      </c>
      <c r="B21996" s="3" t="str">
        <f>HYPERLINK("https://www.773grp.com/manufacturer/nxp-semiconductor?pageNo=12", "NXP Semiconductors")</f>
        <v>NXP Semiconductors</v>
      </c>
      <c r="C21996" s="6">
        <v>48000</v>
      </c>
      <c r="D21996" s="7">
        <v>0</v>
      </c>
    </row>
    <row r="21997" spans="1:5" x14ac:dyDescent="0.25">
      <c r="A21997" t="str">
        <f>HYPERLINK("https://www.773grp.com/globalSearch/MMSD4148T1GH/page-1", "MMSD4148T1GH")</f>
        <v>MMSD4148T1GH</v>
      </c>
      <c r="B21997" s="3" t="str">
        <f>HYPERLINK("https://www.773grp.com/manufacturer/nxp-semiconductor?pageNo=13", "NXP Semiconductors")</f>
        <v>NXP Semiconductors</v>
      </c>
      <c r="C21997" s="6">
        <v>84000</v>
      </c>
      <c r="D21997" s="7">
        <v>0</v>
      </c>
    </row>
    <row r="21998" spans="1:5" x14ac:dyDescent="0.25">
      <c r="A21998" t="str">
        <f>HYPERLINK("https://www.773grp.com/globalSearch/MMSZ13T1H/page-1", "MMSZ13T1H")</f>
        <v>MMSZ13T1H</v>
      </c>
      <c r="B21998" s="3" t="str">
        <f>HYPERLINK("https://www.773grp.com/manufacturer/nxp-semiconductor?pageNo=14", "NXP Semiconductors")</f>
        <v>NXP Semiconductors</v>
      </c>
      <c r="C21998" s="6">
        <v>162000</v>
      </c>
      <c r="D21998" s="7">
        <v>0</v>
      </c>
    </row>
    <row r="21999" spans="1:5" x14ac:dyDescent="0.25">
      <c r="A21999" t="str">
        <f>HYPERLINK("https://www.773grp.com/globalSearch/MMSZ13TIG/page-1", "MMSZ13TIG")</f>
        <v>MMSZ13TIG</v>
      </c>
      <c r="B21999" s="3" t="str">
        <f>HYPERLINK("https://www.773grp.com/manufacturer/nxp-semiconductor?pageNo=15", "NXP Semiconductors")</f>
        <v>NXP Semiconductors</v>
      </c>
      <c r="C21999" s="6">
        <v>2600</v>
      </c>
      <c r="D21999" s="7">
        <v>0</v>
      </c>
    </row>
    <row r="22000" spans="1:5" x14ac:dyDescent="0.25">
      <c r="A22000" t="str">
        <f>HYPERLINK("https://www.773grp.com/globalSearch/MMSZ15T1H/page-1", "MMSZ15T1H")</f>
        <v>MMSZ15T1H</v>
      </c>
      <c r="B22000" s="3" t="str">
        <f>HYPERLINK("https://www.773grp.com/manufacturer/nxp-semiconductor?pageNo=16", "NXP Semiconductors")</f>
        <v>NXP Semiconductors</v>
      </c>
      <c r="C22000" s="6">
        <v>45000</v>
      </c>
      <c r="D22000" s="7">
        <v>0</v>
      </c>
    </row>
    <row r="22001" spans="1:5" x14ac:dyDescent="0.25">
      <c r="A22001" t="str">
        <f>HYPERLINK("https://www.773grp.com/globalSearch/MMSZ201T1G/page-1", "MMSZ201T1G")</f>
        <v>MMSZ201T1G</v>
      </c>
      <c r="B22001" s="3" t="str">
        <f>HYPERLINK("https://www.773grp.com/manufacturer/nxp-semiconductor?pageNo=17", "NXP Semiconductors")</f>
        <v>NXP Semiconductors</v>
      </c>
      <c r="C22001" s="6">
        <v>6000</v>
      </c>
      <c r="D22001" s="7">
        <v>0</v>
      </c>
    </row>
    <row r="22002" spans="1:5" x14ac:dyDescent="0.25">
      <c r="A22002" t="str">
        <f>HYPERLINK("https://www.773grp.com/globalSearch/MMSZ20ET1G/page-1", "MMSZ20ET1G")</f>
        <v>MMSZ20ET1G</v>
      </c>
      <c r="B22002" s="3" t="str">
        <f>HYPERLINK("https://www.773grp.com/manufacturer/nxp-semiconductor?pageNo=18", "NXP Semiconductors")</f>
        <v>NXP Semiconductors</v>
      </c>
      <c r="C22002" s="6">
        <v>21000</v>
      </c>
      <c r="D22002" s="7">
        <v>0</v>
      </c>
      <c r="E22002" t="s">
        <v>98</v>
      </c>
    </row>
    <row r="22003" spans="1:5" x14ac:dyDescent="0.25">
      <c r="A22003" t="str">
        <f>HYPERLINK("https://www.773grp.com/globalSearch/MMSZ22T1H/page-1", "MMSZ22T1H")</f>
        <v>MMSZ22T1H</v>
      </c>
      <c r="B22003" s="3" t="str">
        <f>HYPERLINK("https://www.773grp.com/manufacturer/nxp-semiconductor?pageNo=19", "NXP Semiconductors")</f>
        <v>NXP Semiconductors</v>
      </c>
      <c r="C22003" s="6">
        <v>177000</v>
      </c>
      <c r="D22003" s="7">
        <v>0</v>
      </c>
    </row>
    <row r="22004" spans="1:5" x14ac:dyDescent="0.25">
      <c r="A22004" t="str">
        <f>HYPERLINK("https://www.773grp.com/globalSearch/MMSZ2V7ET1G/page-1", "MMSZ2V7ET1G")</f>
        <v>MMSZ2V7ET1G</v>
      </c>
      <c r="B22004" s="3" t="str">
        <f>HYPERLINK("https://www.773grp.com/manufacturer/nxp-semiconductor?pageNo=20", "NXP Semiconductors")</f>
        <v>NXP Semiconductors</v>
      </c>
      <c r="C22004" s="6">
        <v>69000</v>
      </c>
      <c r="D22004" s="7">
        <v>0</v>
      </c>
      <c r="E22004" t="s">
        <v>98</v>
      </c>
    </row>
    <row r="22005" spans="1:5" x14ac:dyDescent="0.25">
      <c r="A22005" t="str">
        <f>HYPERLINK("https://www.773grp.com/globalSearch/MMSZ33T3G/page-1", "MMSZ33T3G")</f>
        <v>MMSZ33T3G</v>
      </c>
      <c r="B22005" s="3" t="str">
        <f>HYPERLINK("https://www.773grp.com/manufacturer/nxp-semiconductor?pageNo=21", "NXP Semiconductors")</f>
        <v>NXP Semiconductors</v>
      </c>
      <c r="C22005" s="6">
        <v>200000</v>
      </c>
      <c r="D22005" s="7">
        <v>0</v>
      </c>
      <c r="E22005" t="s">
        <v>98</v>
      </c>
    </row>
    <row r="22006" spans="1:5" x14ac:dyDescent="0.25">
      <c r="A22006" t="str">
        <f>HYPERLINK("https://www.773grp.com/globalSearch/MMSZ3V6T3G/page-1", "MMSZ3V6T3G")</f>
        <v>MMSZ3V6T3G</v>
      </c>
      <c r="B22006" s="3" t="str">
        <f>HYPERLINK("https://www.773grp.com/manufacturer/nxp-semiconductor?pageNo=22", "NXP Semiconductors")</f>
        <v>NXP Semiconductors</v>
      </c>
      <c r="C22006" s="6">
        <v>720000</v>
      </c>
      <c r="D22006" s="7">
        <v>0</v>
      </c>
      <c r="E22006" t="s">
        <v>98</v>
      </c>
    </row>
    <row r="22007" spans="1:5" x14ac:dyDescent="0.25">
      <c r="A22007" t="str">
        <f>HYPERLINK("https://www.773grp.com/globalSearch/MMSZ4681T1H/page-1", "MMSZ4681T1H")</f>
        <v>MMSZ4681T1H</v>
      </c>
      <c r="B22007" s="3" t="str">
        <f>HYPERLINK("https://www.773grp.com/manufacturer/nxp-semiconductor?pageNo=23", "NXP Semiconductors")</f>
        <v>NXP Semiconductors</v>
      </c>
      <c r="C22007" s="6">
        <v>33000</v>
      </c>
      <c r="D22007" s="7">
        <v>0</v>
      </c>
    </row>
    <row r="22008" spans="1:5" x14ac:dyDescent="0.25">
      <c r="A22008" t="str">
        <f>HYPERLINK("https://www.773grp.com/globalSearch/MMSZ5227BT1H/page-1", "MMSZ5227BT1H")</f>
        <v>MMSZ5227BT1H</v>
      </c>
      <c r="B22008" s="3" t="str">
        <f>HYPERLINK("https://www.773grp.com/manufacturer/nxp-semiconductor?pageNo=24", "NXP Semiconductors")</f>
        <v>NXP Semiconductors</v>
      </c>
      <c r="C22008" s="6">
        <v>6000</v>
      </c>
      <c r="D22008" s="7">
        <v>0</v>
      </c>
    </row>
    <row r="22009" spans="1:5" x14ac:dyDescent="0.25">
      <c r="A22009" t="str">
        <f>HYPERLINK("https://www.773grp.com/globalSearch/MMSZ5231ET1G/page-1", "MMSZ5231ET1G")</f>
        <v>MMSZ5231ET1G</v>
      </c>
      <c r="B22009" s="3" t="str">
        <f>HYPERLINK("https://www.773grp.com/manufacturer/nxp-semiconductor?pageNo=25", "NXP Semiconductors")</f>
        <v>NXP Semiconductors</v>
      </c>
      <c r="C22009" s="6">
        <v>16900</v>
      </c>
      <c r="D22009" s="7">
        <v>0</v>
      </c>
      <c r="E22009" t="s">
        <v>98</v>
      </c>
    </row>
    <row r="22010" spans="1:5" x14ac:dyDescent="0.25">
      <c r="A22010" t="str">
        <f>HYPERLINK("https://www.773grp.com/globalSearch/MMSZ5234BT1H/page-1", "MMSZ5234BT1H")</f>
        <v>MMSZ5234BT1H</v>
      </c>
      <c r="B22010" s="3" t="str">
        <f>HYPERLINK("https://www.773grp.com/manufacturer/nxp-semiconductor?pageNo=26", "NXP Semiconductors")</f>
        <v>NXP Semiconductors</v>
      </c>
      <c r="C22010" s="6">
        <v>201000</v>
      </c>
      <c r="D22010" s="7">
        <v>0</v>
      </c>
    </row>
    <row r="22011" spans="1:5" x14ac:dyDescent="0.25">
      <c r="A22011" t="str">
        <f>HYPERLINK("https://www.773grp.com/globalSearch/MMSZ5239ET1/page-1", "MMSZ5239ET1")</f>
        <v>MMSZ5239ET1</v>
      </c>
      <c r="B22011" s="3" t="str">
        <f>HYPERLINK("https://www.773grp.com/manufacturer/nxp-semiconductor?pageNo=27", "NXP Semiconductors")</f>
        <v>NXP Semiconductors</v>
      </c>
      <c r="C22011" s="6">
        <v>6000</v>
      </c>
      <c r="D22011" s="7">
        <v>0</v>
      </c>
    </row>
    <row r="22012" spans="1:5" x14ac:dyDescent="0.25">
      <c r="A22012" t="str">
        <f>HYPERLINK("https://www.773grp.com/globalSearch/MMSZ5240BT1H/page-1", "MMSZ5240BT1H")</f>
        <v>MMSZ5240BT1H</v>
      </c>
      <c r="B22012" s="3" t="str">
        <f>HYPERLINK("https://www.773grp.com/manufacturer/nxp-semiconductor?pageNo=28", "NXP Semiconductors")</f>
        <v>NXP Semiconductors</v>
      </c>
      <c r="C22012" s="6">
        <v>39000</v>
      </c>
      <c r="D22012" s="7">
        <v>0</v>
      </c>
    </row>
    <row r="22013" spans="1:5" x14ac:dyDescent="0.25">
      <c r="A22013" t="str">
        <f>HYPERLINK("https://www.773grp.com/globalSearch/MMSZ5243BT1H/page-1", "MMSZ5243BT1H")</f>
        <v>MMSZ5243BT1H</v>
      </c>
      <c r="B22013" s="3" t="str">
        <f>HYPERLINK("https://www.773grp.com/manufacturer/nxp-semiconductor?pageNo=29", "NXP Semiconductors")</f>
        <v>NXP Semiconductors</v>
      </c>
      <c r="C22013" s="6">
        <v>192000</v>
      </c>
      <c r="D22013" s="7">
        <v>0</v>
      </c>
    </row>
    <row r="22014" spans="1:5" x14ac:dyDescent="0.25">
      <c r="A22014" t="str">
        <f>HYPERLINK("https://www.773grp.com/globalSearch/MMSZ5244BT1H/page-1", "MMSZ5244BT1H")</f>
        <v>MMSZ5244BT1H</v>
      </c>
      <c r="B22014" s="3" t="str">
        <f>HYPERLINK("https://www.773grp.com/manufacturer/nxp-semiconductor?pageNo=30", "NXP Semiconductors")</f>
        <v>NXP Semiconductors</v>
      </c>
      <c r="C22014" s="6">
        <v>189000</v>
      </c>
      <c r="D22014" s="7">
        <v>0</v>
      </c>
    </row>
    <row r="22015" spans="1:5" x14ac:dyDescent="0.25">
      <c r="A22015" t="str">
        <f>HYPERLINK("https://www.773grp.com/globalSearch/MMSZ5245BT1H/page-1", "MMSZ5245BT1H")</f>
        <v>MMSZ5245BT1H</v>
      </c>
      <c r="B22015" s="3" t="str">
        <f>HYPERLINK("https://www.773grp.com/manufacturer/nxp-semiconductor?pageNo=31", "NXP Semiconductors")</f>
        <v>NXP Semiconductors</v>
      </c>
      <c r="C22015" s="6">
        <v>204000</v>
      </c>
      <c r="D22015" s="7">
        <v>0</v>
      </c>
    </row>
    <row r="22016" spans="1:5" x14ac:dyDescent="0.25">
      <c r="A22016" t="str">
        <f>HYPERLINK("https://www.773grp.com/globalSearch/MMSZ5248BT1H/page-1", "MMSZ5248BT1H")</f>
        <v>MMSZ5248BT1H</v>
      </c>
      <c r="B22016" s="3" t="str">
        <f>HYPERLINK("https://www.773grp.com/manufacturer/nxp-semiconductor?pageNo=32", "NXP Semiconductors")</f>
        <v>NXP Semiconductors</v>
      </c>
      <c r="C22016" s="6">
        <v>84000</v>
      </c>
      <c r="D22016" s="7">
        <v>0</v>
      </c>
    </row>
    <row r="22017" spans="1:5" x14ac:dyDescent="0.25">
      <c r="A22017" t="str">
        <f>HYPERLINK("https://www.773grp.com/globalSearch/MMSZ5250BT1H/page-1", "MMSZ5250BT1H")</f>
        <v>MMSZ5250BT1H</v>
      </c>
      <c r="B22017" s="3" t="str">
        <f>HYPERLINK("https://www.773grp.com/manufacturer/nxp-semiconductor?pageNo=33", "NXP Semiconductors")</f>
        <v>NXP Semiconductors</v>
      </c>
      <c r="C22017" s="6">
        <v>114000</v>
      </c>
      <c r="D22017" s="7">
        <v>0</v>
      </c>
    </row>
    <row r="22018" spans="1:5" x14ac:dyDescent="0.25">
      <c r="A22018" t="str">
        <f>HYPERLINK("https://www.773grp.com/globalSearch/MMSZ8V2ET1G/page-1", "MMSZ8V2ET1G")</f>
        <v>MMSZ8V2ET1G</v>
      </c>
      <c r="B22018" s="3" t="str">
        <f>HYPERLINK("https://www.773grp.com/manufacturer/nxp-semiconductor?pageNo=34", "NXP Semiconductors")</f>
        <v>NXP Semiconductors</v>
      </c>
      <c r="C22018" s="6">
        <v>54000</v>
      </c>
      <c r="D22018" s="7">
        <v>0</v>
      </c>
      <c r="E22018" t="s">
        <v>98</v>
      </c>
    </row>
    <row r="22019" spans="1:5" x14ac:dyDescent="0.25">
      <c r="A22019" t="str">
        <f>HYPERLINK("https://www.773grp.com/globalSearch/MMSZ8V2T1H/page-1", "MMSZ8V2T1H")</f>
        <v>MMSZ8V2T1H</v>
      </c>
      <c r="B22019" s="3" t="str">
        <f>HYPERLINK("https://www.773grp.com/manufacturer/nxp-semiconductor?pageNo=35", "NXP Semiconductors")</f>
        <v>NXP Semiconductors</v>
      </c>
      <c r="C22019" s="6">
        <v>237000</v>
      </c>
      <c r="D22019" s="7">
        <v>0</v>
      </c>
    </row>
    <row r="22020" spans="1:5" x14ac:dyDescent="0.25">
      <c r="A22020" t="str">
        <f>HYPERLINK("https://www.773grp.com/globalSearch/MP5W05G/page-1", "MP5W05G")</f>
        <v>MP5W05G</v>
      </c>
      <c r="B22020" s="3" t="str">
        <f>HYPERLINK("https://www.773grp.com/manufacturer/nxp-semiconductor?pageNo=36", "NXP Semiconductors")</f>
        <v>NXP Semiconductors</v>
      </c>
      <c r="C22020" s="6">
        <v>5000</v>
      </c>
      <c r="D22020" s="7">
        <v>0</v>
      </c>
    </row>
    <row r="22021" spans="1:5" x14ac:dyDescent="0.25">
      <c r="A22021" t="str">
        <f>HYPERLINK("https://www.773grp.com/globalSearch/MPSA06RLIG/page-1", "MPSA06RLIG")</f>
        <v>MPSA06RLIG</v>
      </c>
      <c r="B22021" s="3" t="str">
        <f>HYPERLINK("https://www.773grp.com/manufacturer/nxp-semiconductor?pageNo=37", "NXP Semiconductors")</f>
        <v>NXP Semiconductors</v>
      </c>
      <c r="C22021" s="6">
        <v>30000</v>
      </c>
      <c r="D22021" s="7">
        <v>0</v>
      </c>
    </row>
    <row r="22022" spans="1:5" x14ac:dyDescent="0.25">
      <c r="A22022" t="str">
        <f>HYPERLINK("https://www.773grp.com/globalSearch/MPSA56R6RAG/page-1", "MPSA56R6RAG")</f>
        <v>MPSA56R6RAG</v>
      </c>
      <c r="B22022" s="3" t="str">
        <f>HYPERLINK("https://www.773grp.com/manufacturer/nxp-semiconductor?pageNo=38", "NXP Semiconductors")</f>
        <v>NXP Semiconductors</v>
      </c>
      <c r="C22022" s="6">
        <v>11</v>
      </c>
      <c r="D22022" s="7">
        <v>0</v>
      </c>
    </row>
    <row r="22023" spans="1:5" x14ac:dyDescent="0.25">
      <c r="A22023" t="str">
        <f>HYPERLINK("https://www.773grp.com/globalSearch/MTP60N10E7L/page-1", "MTP60N10E7L")</f>
        <v>MTP60N10E7L</v>
      </c>
      <c r="B22023" s="3" t="str">
        <f>HYPERLINK("https://www.773grp.com/manufacturer/nxp-semiconductor?pageNo=39", "NXP Semiconductors")</f>
        <v>NXP Semiconductors</v>
      </c>
      <c r="C22023" s="6">
        <v>47035</v>
      </c>
      <c r="D22023" s="7">
        <v>0</v>
      </c>
      <c r="E22023" t="s">
        <v>105</v>
      </c>
    </row>
    <row r="22024" spans="1:5" x14ac:dyDescent="0.25">
      <c r="A22024" t="str">
        <f>HYPERLINK("https://www.773grp.com/globalSearch/MUN2111T3/page-1", "MUN2111T3")</f>
        <v>MUN2111T3</v>
      </c>
      <c r="B22024" s="3" t="str">
        <f>HYPERLINK("https://www.773grp.com/manufacturer/nxp-semiconductor?pageNo=40", "NXP Semiconductors")</f>
        <v>NXP Semiconductors</v>
      </c>
      <c r="C22024" s="6">
        <v>10000</v>
      </c>
      <c r="D22024" s="7">
        <v>0</v>
      </c>
      <c r="E22024" t="s">
        <v>69</v>
      </c>
    </row>
    <row r="22025" spans="1:5" x14ac:dyDescent="0.25">
      <c r="A22025" t="str">
        <f>HYPERLINK("https://www.773grp.com/globalSearch/MUN5137DW1T1/page-1", "MUN5137DW1T1")</f>
        <v>MUN5137DW1T1</v>
      </c>
      <c r="B22025" s="3" t="str">
        <f>HYPERLINK("https://www.773grp.com/manufacturer/nxp-semiconductor?pageNo=41", "NXP Semiconductors")</f>
        <v>NXP Semiconductors</v>
      </c>
      <c r="C22025" s="6">
        <v>5975</v>
      </c>
      <c r="D22025" s="7">
        <v>0</v>
      </c>
      <c r="E22025" t="s">
        <v>69</v>
      </c>
    </row>
    <row r="22026" spans="1:5" x14ac:dyDescent="0.25">
      <c r="A22026" t="str">
        <f>HYPERLINK("https://www.773grp.com/globalSearch/MUR460FFG/page-1", "MUR460FFG")</f>
        <v>MUR460FFG</v>
      </c>
      <c r="B22026" s="3" t="str">
        <f>HYPERLINK("https://www.773grp.com/manufacturer/nxp-semiconductor?pageNo=42", "NXP Semiconductors")</f>
        <v>NXP Semiconductors</v>
      </c>
      <c r="C22026" s="6">
        <v>39000</v>
      </c>
      <c r="D22026" s="7">
        <v>0</v>
      </c>
    </row>
    <row r="22027" spans="1:5" x14ac:dyDescent="0.25">
      <c r="A22027" t="str">
        <f>HYPERLINK("https://www.773grp.com/globalSearch/MUR4G0/page-1", "MUR4G0")</f>
        <v>MUR4G0</v>
      </c>
      <c r="B22027" s="3" t="str">
        <f>HYPERLINK("https://www.773grp.com/manufacturer/nxp-semiconductor?pageNo=43", "NXP Semiconductors")</f>
        <v>NXP Semiconductors</v>
      </c>
      <c r="C22027" s="6">
        <v>31</v>
      </c>
      <c r="D22027" s="7">
        <v>0</v>
      </c>
    </row>
    <row r="22028" spans="1:5" x14ac:dyDescent="0.25">
      <c r="A22028" t="str">
        <f>HYPERLINK("https://www.773grp.com/globalSearch/MURF550PFG/page-1", "MURF550PFG")</f>
        <v>MURF550PFG</v>
      </c>
      <c r="B22028" s="3" t="str">
        <f>HYPERLINK("https://www.773grp.com/manufacturer/nxp-semiconductor?pageNo=44", "NXP Semiconductors")</f>
        <v>NXP Semiconductors</v>
      </c>
      <c r="C22028" s="6">
        <v>15000</v>
      </c>
      <c r="D22028" s="7">
        <v>0</v>
      </c>
      <c r="E22028" t="s">
        <v>103</v>
      </c>
    </row>
    <row r="22029" spans="1:5" x14ac:dyDescent="0.25">
      <c r="A22029" t="str">
        <f>HYPERLINK("https://www.773grp.com/globalSearch/MURS480ET3/page-1", "MURS480ET3")</f>
        <v>MURS480ET3</v>
      </c>
      <c r="B22029" s="3" t="str">
        <f>HYPERLINK("https://www.773grp.com/manufacturer/nxp-semiconductor?pageNo=45", "NXP Semiconductors")</f>
        <v>NXP Semiconductors</v>
      </c>
      <c r="C22029" s="6">
        <v>2000</v>
      </c>
      <c r="D22029" s="7">
        <v>0</v>
      </c>
    </row>
    <row r="22030" spans="1:5" x14ac:dyDescent="0.25">
      <c r="A22030" t="str">
        <f>HYPERLINK("https://www.773grp.com/globalSearch/N01L63W2AT25I/page-1", "N01L63W2AT25I")</f>
        <v>N01L63W2AT25I</v>
      </c>
      <c r="B22030" s="3" t="str">
        <f>HYPERLINK("https://www.773grp.com/manufacturer/nxp-semiconductor?pageNo=46", "NXP Semiconductors")</f>
        <v>NXP Semiconductors</v>
      </c>
      <c r="C22030" s="6">
        <v>943</v>
      </c>
      <c r="D22030" s="7">
        <v>0</v>
      </c>
      <c r="E22030" t="s">
        <v>75</v>
      </c>
    </row>
    <row r="22031" spans="1:5" x14ac:dyDescent="0.25">
      <c r="A22031" t="str">
        <f>HYPERLINK("https://www.773grp.com/globalSearch/N02L6181AB28I/page-1", "N02L6181AB28I")</f>
        <v>N02L6181AB28I</v>
      </c>
      <c r="B22031" s="3" t="str">
        <f>HYPERLINK("https://www.773grp.com/manufacturer/nxp-semiconductor?pageNo=47", "NXP Semiconductors")</f>
        <v>NXP Semiconductors</v>
      </c>
      <c r="C22031" s="6">
        <v>3840</v>
      </c>
      <c r="D22031" s="7">
        <v>0</v>
      </c>
      <c r="E22031" t="s">
        <v>75</v>
      </c>
    </row>
    <row r="22032" spans="1:5" x14ac:dyDescent="0.25">
      <c r="A22032" t="str">
        <f>HYPERLINK("https://www.773grp.com/globalSearch/N02L63W2AT25I/page-1", "N02L63W2AT25I")</f>
        <v>N02L63W2AT25I</v>
      </c>
      <c r="B22032" s="3" t="str">
        <f>HYPERLINK("https://www.773grp.com/manufacturer/nxp-semiconductor?pageNo=48", "NXP Semiconductors")</f>
        <v>NXP Semiconductors</v>
      </c>
      <c r="C22032" s="6">
        <v>1324</v>
      </c>
      <c r="D22032" s="7">
        <v>0</v>
      </c>
      <c r="E22032" t="s">
        <v>75</v>
      </c>
    </row>
    <row r="22033" spans="1:5" x14ac:dyDescent="0.25">
      <c r="A22033" t="str">
        <f>HYPERLINK("https://www.773grp.com/globalSearch/N02L83W2AN25IT/page-1", "N02L83W2AN25IT")</f>
        <v>N02L83W2AN25IT</v>
      </c>
      <c r="B22033" s="3" t="str">
        <f>HYPERLINK("https://www.773grp.com/manufacturer/nxp-semiconductor?pageNo=1", "NXP Semiconductors")</f>
        <v>NXP Semiconductors</v>
      </c>
      <c r="C22033" s="6">
        <v>4000</v>
      </c>
      <c r="D22033" s="7">
        <v>0</v>
      </c>
      <c r="E22033" t="s">
        <v>75</v>
      </c>
    </row>
    <row r="22034" spans="1:5" x14ac:dyDescent="0.25">
      <c r="A22034" t="str">
        <f>HYPERLINK("https://www.773grp.com/globalSearch/N04L163WC1AT2-70I/page-1", "N04L163WC1AT2-70I")</f>
        <v>N04L163WC1AT2-70I</v>
      </c>
      <c r="B22034" s="3" t="str">
        <f>HYPERLINK("https://www.773grp.com/manufacturer/nxp-semiconductor?pageNo=2", "NXP Semiconductors")</f>
        <v>NXP Semiconductors</v>
      </c>
      <c r="C22034" s="6">
        <v>103</v>
      </c>
      <c r="D22034" s="7">
        <v>0</v>
      </c>
      <c r="E22034" t="s">
        <v>75</v>
      </c>
    </row>
    <row r="22035" spans="1:5" x14ac:dyDescent="0.25">
      <c r="A22035" t="str">
        <f>HYPERLINK("https://www.773grp.com/globalSearch/N04L63W2AB27I/page-1", "N04L63W2AB27I")</f>
        <v>N04L63W2AB27I</v>
      </c>
      <c r="B22035" s="3" t="str">
        <f>HYPERLINK("https://www.773grp.com/manufacturer/nxp-semiconductor?pageNo=3", "NXP Semiconductors")</f>
        <v>NXP Semiconductors</v>
      </c>
      <c r="C22035" s="6">
        <v>100</v>
      </c>
      <c r="D22035" s="7">
        <v>0</v>
      </c>
      <c r="E22035" t="s">
        <v>75</v>
      </c>
    </row>
    <row r="22036" spans="1:5" x14ac:dyDescent="0.25">
      <c r="A22036" t="str">
        <f>HYPERLINK("https://www.773grp.com/globalSearch/N04L63W2AT27IT/page-1", "N04L63W2AT27IT")</f>
        <v>N04L63W2AT27IT</v>
      </c>
      <c r="B22036" s="3" t="str">
        <f>HYPERLINK("https://www.773grp.com/manufacturer/nxp-semiconductor?pageNo=4", "NXP Semiconductors")</f>
        <v>NXP Semiconductors</v>
      </c>
      <c r="C22036" s="6">
        <v>1735</v>
      </c>
      <c r="D22036" s="7">
        <v>0</v>
      </c>
      <c r="E22036" t="s">
        <v>75</v>
      </c>
    </row>
    <row r="22037" spans="1:5" x14ac:dyDescent="0.25">
      <c r="A22037" t="str">
        <f>HYPERLINK("https://www.773grp.com/globalSearch/N08L6182AB27I/page-1", "N08L6182AB27I")</f>
        <v>N08L6182AB27I</v>
      </c>
      <c r="B22037" s="3" t="str">
        <f>HYPERLINK("https://www.773grp.com/manufacturer/nxp-semiconductor?pageNo=5", "NXP Semiconductors")</f>
        <v>NXP Semiconductors</v>
      </c>
      <c r="C22037" s="6">
        <v>10569</v>
      </c>
      <c r="D22037" s="7">
        <v>0</v>
      </c>
      <c r="E22037" t="s">
        <v>75</v>
      </c>
    </row>
    <row r="22038" spans="1:5" x14ac:dyDescent="0.25">
      <c r="A22038" t="str">
        <f>HYPERLINK("https://www.773grp.com/globalSearch/N08L6182AB7I/page-1", "N08L6182AB7I")</f>
        <v>N08L6182AB7I</v>
      </c>
      <c r="B22038" s="3" t="str">
        <f>HYPERLINK("https://www.773grp.com/manufacturer/nxp-semiconductor?pageNo=6", "NXP Semiconductors")</f>
        <v>NXP Semiconductors</v>
      </c>
      <c r="C22038" s="6">
        <v>750</v>
      </c>
      <c r="D22038" s="7">
        <v>0</v>
      </c>
      <c r="E22038" t="s">
        <v>75</v>
      </c>
    </row>
    <row r="22039" spans="1:5" x14ac:dyDescent="0.25">
      <c r="A22039" t="str">
        <f>HYPERLINK("https://www.773grp.com/globalSearch/N08L63W2AB7I/page-1", "N08L63W2AB7I")</f>
        <v>N08L63W2AB7I</v>
      </c>
      <c r="B22039" s="3" t="str">
        <f>HYPERLINK("https://www.773grp.com/manufacturer/nxp-semiconductor?pageNo=7", "NXP Semiconductors")</f>
        <v>NXP Semiconductors</v>
      </c>
      <c r="C22039" s="6">
        <v>7447</v>
      </c>
      <c r="D22039" s="7">
        <v>0</v>
      </c>
      <c r="E22039" t="s">
        <v>75</v>
      </c>
    </row>
    <row r="22040" spans="1:5" x14ac:dyDescent="0.25">
      <c r="A22040" t="str">
        <f>HYPERLINK("https://www.773grp.com/globalSearch/N256S0830HDAT2-20I/page-1", "N256S0830HDAT2-20I")</f>
        <v>N256S0830HDAT2-20I</v>
      </c>
      <c r="B22040" s="3" t="str">
        <f>HYPERLINK("https://www.773grp.com/manufacturer/nxp-semiconductor?pageNo=8", "NXP Semiconductors")</f>
        <v>NXP Semiconductors</v>
      </c>
      <c r="C22040" s="6">
        <v>750</v>
      </c>
      <c r="D22040" s="7">
        <v>0</v>
      </c>
      <c r="E22040" t="s">
        <v>75</v>
      </c>
    </row>
    <row r="22041" spans="1:5" x14ac:dyDescent="0.25">
      <c r="A22041" t="str">
        <f>HYPERLINK("https://www.773grp.com/globalSearch/N5410010FDCAHA/page-1", "N5410010FDCAHA")</f>
        <v>N5410010FDCAHA</v>
      </c>
      <c r="B22041" s="3" t="str">
        <f>HYPERLINK("https://www.773grp.com/manufacturer/nxp-semiconductor?pageNo=9", "NXP Semiconductors")</f>
        <v>NXP Semiconductors</v>
      </c>
      <c r="C22041" s="6">
        <v>614</v>
      </c>
      <c r="D22041" s="7">
        <v>0</v>
      </c>
    </row>
    <row r="22042" spans="1:5" x14ac:dyDescent="0.25">
      <c r="A22042" t="str">
        <f>HYPERLINK("https://www.773grp.com/globalSearch/N87L14MMNEVB/page-1", "N87L14MMNEVB")</f>
        <v>N87L14MMNEVB</v>
      </c>
      <c r="B22042" s="3" t="str">
        <f>HYPERLINK("https://www.773grp.com/manufacturer/nxp-semiconductor?pageNo=10", "NXP Semiconductors")</f>
        <v>NXP Semiconductors</v>
      </c>
      <c r="C22042" s="6">
        <v>1</v>
      </c>
      <c r="D22042" s="7">
        <v>0</v>
      </c>
    </row>
    <row r="22043" spans="1:5" x14ac:dyDescent="0.25">
      <c r="A22043" t="str">
        <f>HYPERLINK("https://www.773grp.com/globalSearch/NB100EP223FA/page-1", "NB100EP223FA")</f>
        <v>NB100EP223FA</v>
      </c>
      <c r="B22043" s="3" t="str">
        <f>HYPERLINK("https://www.773grp.com/manufacturer/nxp-semiconductor?pageNo=11", "NXP Semiconductors")</f>
        <v>NXP Semiconductors</v>
      </c>
      <c r="C22043" s="6">
        <v>160</v>
      </c>
      <c r="D22043" s="7">
        <v>0</v>
      </c>
      <c r="E22043" t="s">
        <v>34</v>
      </c>
    </row>
    <row r="22044" spans="1:5" x14ac:dyDescent="0.25">
      <c r="A22044" t="str">
        <f>HYPERLINK("https://www.773grp.com/globalSearch/NB100LVEP1MNG/page-1", "NB100LVEP1MNG")</f>
        <v>NB100LVEP1MNG</v>
      </c>
      <c r="B22044" s="3" t="str">
        <f>HYPERLINK("https://www.773grp.com/manufacturer/nxp-semiconductor?pageNo=12", "NXP Semiconductors")</f>
        <v>NXP Semiconductors</v>
      </c>
      <c r="C22044" s="6">
        <v>32</v>
      </c>
      <c r="D22044" s="7">
        <v>0</v>
      </c>
    </row>
    <row r="22045" spans="1:5" x14ac:dyDescent="0.25">
      <c r="A22045" t="str">
        <f>HYPERLINK("https://www.773grp.com/globalSearch/NB2308AI1DC/page-1", "NB2308AI1DC")</f>
        <v>NB2308AI1DC</v>
      </c>
      <c r="B22045" s="3" t="str">
        <f>HYPERLINK("https://www.773grp.com/manufacturer/nxp-semiconductor?pageNo=13", "NXP Semiconductors")</f>
        <v>NXP Semiconductors</v>
      </c>
      <c r="C22045" s="6">
        <v>184</v>
      </c>
      <c r="D22045" s="7">
        <v>0</v>
      </c>
    </row>
    <row r="22046" spans="1:5" x14ac:dyDescent="0.25">
      <c r="A22046" t="str">
        <f>HYPERLINK("https://www.773grp.com/globalSearch/NB4L16MMNEVB/page-1", "NB4L16MMNEVB")</f>
        <v>NB4L16MMNEVB</v>
      </c>
      <c r="B22046" s="3" t="str">
        <f>HYPERLINK("https://www.773grp.com/manufacturer/nxp-semiconductor?pageNo=14", "NXP Semiconductors")</f>
        <v>NXP Semiconductors</v>
      </c>
      <c r="C22046" s="6">
        <v>3</v>
      </c>
      <c r="D22046" s="7">
        <v>0</v>
      </c>
    </row>
    <row r="22047" spans="1:5" x14ac:dyDescent="0.25">
      <c r="A22047" t="str">
        <f>HYPERLINK("https://www.773grp.com/globalSearch/NB4N316MTG/page-1", "NB4N316MTG")</f>
        <v>NB4N316MTG</v>
      </c>
      <c r="B22047" s="3" t="str">
        <f>HYPERLINK("https://www.773grp.com/manufacturer/nxp-semiconductor?pageNo=15", "NXP Semiconductors")</f>
        <v>NXP Semiconductors</v>
      </c>
      <c r="C22047" s="6">
        <v>18</v>
      </c>
      <c r="D22047" s="7">
        <v>0</v>
      </c>
    </row>
    <row r="22048" spans="1:5" x14ac:dyDescent="0.25">
      <c r="A22048" t="str">
        <f>HYPERLINK("https://www.773grp.com/globalSearch/NB4N527SMNEVB/page-1", "NB4N527SMNEVB")</f>
        <v>NB4N527SMNEVB</v>
      </c>
      <c r="B22048" s="3" t="str">
        <f>HYPERLINK("https://www.773grp.com/manufacturer/nxp-semiconductor?pageNo=16", "NXP Semiconductors")</f>
        <v>NXP Semiconductors</v>
      </c>
      <c r="C22048" s="6">
        <v>1</v>
      </c>
      <c r="D22048" s="7">
        <v>0</v>
      </c>
    </row>
    <row r="22049" spans="1:5" x14ac:dyDescent="0.25">
      <c r="A22049" t="str">
        <f>HYPERLINK("https://www.773grp.com/globalSearch/NB4N855SMR4  REEL/page-1", "NB4N855SMR4  REEL")</f>
        <v>NB4N855SMR4  REEL</v>
      </c>
      <c r="B22049" s="3" t="str">
        <f>HYPERLINK("https://www.773grp.com/manufacturer/nxp-semiconductor?pageNo=17", "NXP Semiconductors")</f>
        <v>NXP Semiconductors</v>
      </c>
      <c r="C22049" s="6">
        <v>1433</v>
      </c>
      <c r="D22049" s="7">
        <v>0</v>
      </c>
    </row>
    <row r="22050" spans="1:5" x14ac:dyDescent="0.25">
      <c r="A22050" t="str">
        <f>HYPERLINK("https://www.773grp.com/globalSearch/NB6L239MNEVB/page-1", "NB6L239MNEVB")</f>
        <v>NB6L239MNEVB</v>
      </c>
      <c r="B22050" s="3" t="str">
        <f>HYPERLINK("https://www.773grp.com/manufacturer/nxp-semiconductor?pageNo=18", "NXP Semiconductors")</f>
        <v>NXP Semiconductors</v>
      </c>
      <c r="C22050" s="6">
        <v>1</v>
      </c>
      <c r="D22050" s="7">
        <v>0</v>
      </c>
    </row>
    <row r="22051" spans="1:5" x14ac:dyDescent="0.25">
      <c r="A22051" t="str">
        <f>HYPERLINK("https://www.773grp.com/globalSearch/NB7L216MNEVB/page-1", "NB7L216MNEVB")</f>
        <v>NB7L216MNEVB</v>
      </c>
      <c r="B22051" s="3" t="str">
        <f>HYPERLINK("https://www.773grp.com/manufacturer/nxp-semiconductor?pageNo=19", "NXP Semiconductors")</f>
        <v>NXP Semiconductors</v>
      </c>
      <c r="C22051" s="6">
        <v>1</v>
      </c>
      <c r="D22051" s="7">
        <v>0</v>
      </c>
    </row>
    <row r="22052" spans="1:5" x14ac:dyDescent="0.25">
      <c r="A22052" t="str">
        <f>HYPERLINK("https://www.773grp.com/globalSearch/NBC124XXEVB/page-1", "NBC124XXEVB")</f>
        <v>NBC124XXEVB</v>
      </c>
      <c r="B22052" s="3" t="str">
        <f>HYPERLINK("https://www.773grp.com/manufacturer/nxp-semiconductor?pageNo=20", "NXP Semiconductors")</f>
        <v>NXP Semiconductors</v>
      </c>
      <c r="C22052" s="6">
        <v>1</v>
      </c>
      <c r="D22052" s="7">
        <v>0</v>
      </c>
    </row>
    <row r="22053" spans="1:5" x14ac:dyDescent="0.25">
      <c r="A22053" t="str">
        <f>HYPERLINK("https://www.773grp.com/globalSearch/NBC3111-TLM-E/page-1", "NBC3111-TLM-E")</f>
        <v>NBC3111-TLM-E</v>
      </c>
      <c r="B22053" s="3" t="str">
        <f>HYPERLINK("https://www.773grp.com/manufacturer/nxp-semiconductor?pageNo=21", "NXP Semiconductors")</f>
        <v>NXP Semiconductors</v>
      </c>
      <c r="C22053" s="6">
        <v>1000</v>
      </c>
      <c r="D22053" s="7">
        <v>0</v>
      </c>
    </row>
    <row r="22054" spans="1:5" x14ac:dyDescent="0.25">
      <c r="A22054" t="str">
        <f>HYPERLINK("https://www.773grp.com/globalSearch/NBSG11BAEVB/page-1", "NBSG11BAEVB")</f>
        <v>NBSG11BAEVB</v>
      </c>
      <c r="B22054" s="3" t="str">
        <f>HYPERLINK("https://www.773grp.com/manufacturer/nxp-semiconductor?pageNo=22", "NXP Semiconductors")</f>
        <v>NXP Semiconductors</v>
      </c>
      <c r="C22054" s="6">
        <v>3</v>
      </c>
      <c r="D22054" s="7">
        <v>0</v>
      </c>
    </row>
    <row r="22055" spans="1:5" x14ac:dyDescent="0.25">
      <c r="A22055" t="str">
        <f>HYPERLINK("https://www.773grp.com/globalSearch/NBSG14BAEVB/page-1", "NBSG14BAEVB")</f>
        <v>NBSG14BAEVB</v>
      </c>
      <c r="B22055" s="3" t="str">
        <f>HYPERLINK("https://www.773grp.com/manufacturer/nxp-semiconductor?pageNo=23", "NXP Semiconductors")</f>
        <v>NXP Semiconductors</v>
      </c>
      <c r="C22055" s="6">
        <v>3</v>
      </c>
      <c r="D22055" s="7">
        <v>0</v>
      </c>
    </row>
    <row r="22056" spans="1:5" x14ac:dyDescent="0.25">
      <c r="A22056" t="str">
        <f>HYPERLINK("https://www.773grp.com/globalSearch/NBSG16BAR2  REEL/page-1", "NBSG16BAR2  REEL")</f>
        <v>NBSG16BAR2  REEL</v>
      </c>
      <c r="B22056" s="3" t="str">
        <f>HYPERLINK("https://www.773grp.com/manufacturer/nxp-semiconductor?pageNo=24", "NXP Semiconductors")</f>
        <v>NXP Semiconductors</v>
      </c>
      <c r="C22056" s="6">
        <v>300</v>
      </c>
      <c r="D22056" s="7">
        <v>0</v>
      </c>
    </row>
    <row r="22057" spans="1:5" x14ac:dyDescent="0.25">
      <c r="A22057" t="str">
        <f>HYPERLINK("https://www.773grp.com/globalSearch/NBSG16VSBAEVB/page-1", "NBSG16VSBAEVB")</f>
        <v>NBSG16VSBAEVB</v>
      </c>
      <c r="B22057" s="3" t="str">
        <f>HYPERLINK("https://www.773grp.com/manufacturer/nxp-semiconductor?pageNo=25", "NXP Semiconductors")</f>
        <v>NXP Semiconductors</v>
      </c>
      <c r="C22057" s="6">
        <v>3</v>
      </c>
      <c r="D22057" s="7">
        <v>0</v>
      </c>
    </row>
    <row r="22058" spans="1:5" x14ac:dyDescent="0.25">
      <c r="A22058" t="str">
        <f>HYPERLINK("https://www.773grp.com/globalSearch/NBSG53ABAEVB/page-1", "NBSG53ABAEVB")</f>
        <v>NBSG53ABAEVB</v>
      </c>
      <c r="B22058" s="3" t="str">
        <f>HYPERLINK("https://www.773grp.com/manufacturer/nxp-semiconductor?pageNo=26", "NXP Semiconductors")</f>
        <v>NXP Semiconductors</v>
      </c>
      <c r="C22058" s="6">
        <v>1</v>
      </c>
      <c r="D22058" s="7">
        <v>0</v>
      </c>
    </row>
    <row r="22059" spans="1:5" x14ac:dyDescent="0.25">
      <c r="A22059" t="str">
        <f>HYPERLINK("https://www.773grp.com/globalSearch/NBSG72AMNEVB/page-1", "NBSG72AMNEVB")</f>
        <v>NBSG72AMNEVB</v>
      </c>
      <c r="B22059" s="3" t="str">
        <f>HYPERLINK("https://www.773grp.com/manufacturer/nxp-semiconductor?pageNo=27", "NXP Semiconductors")</f>
        <v>NXP Semiconductors</v>
      </c>
      <c r="C22059" s="6">
        <v>3</v>
      </c>
      <c r="D22059" s="7">
        <v>0</v>
      </c>
    </row>
    <row r="22060" spans="1:5" x14ac:dyDescent="0.25">
      <c r="A22060" t="str">
        <f>HYPERLINK("https://www.773grp.com/globalSearch/NBSG86ABAEVB/page-1", "NBSG86ABAEVB")</f>
        <v>NBSG86ABAEVB</v>
      </c>
      <c r="B22060" s="3" t="str">
        <f>HYPERLINK("https://www.773grp.com/manufacturer/nxp-semiconductor?pageNo=28", "NXP Semiconductors")</f>
        <v>NXP Semiconductors</v>
      </c>
      <c r="C22060" s="6">
        <v>2</v>
      </c>
      <c r="D22060" s="7">
        <v>0</v>
      </c>
    </row>
    <row r="22061" spans="1:5" x14ac:dyDescent="0.25">
      <c r="A22061" t="str">
        <f>HYPERLINK("https://www.773grp.com/globalSearch/NCB12430FA/page-1", "NCB12430FA")</f>
        <v>NCB12430FA</v>
      </c>
      <c r="B22061" s="3" t="str">
        <f>HYPERLINK("https://www.773grp.com/manufacturer/nxp-semiconductor?pageNo=29", "NXP Semiconductors")</f>
        <v>NXP Semiconductors</v>
      </c>
      <c r="C22061" s="6">
        <v>2650</v>
      </c>
      <c r="D22061" s="7">
        <v>0</v>
      </c>
    </row>
    <row r="22062" spans="1:5" x14ac:dyDescent="0.25">
      <c r="A22062" t="str">
        <f>HYPERLINK("https://www.773grp.com/globalSearch/NCN6001DTBEVB/page-1", "NCN6001DTBEVB")</f>
        <v>NCN6001DTBEVB</v>
      </c>
      <c r="B22062" s="3" t="str">
        <f>HYPERLINK("https://www.773grp.com/manufacturer/nxp-semiconductor?pageNo=30", "NXP Semiconductors")</f>
        <v>NXP Semiconductors</v>
      </c>
      <c r="C22062" s="6">
        <v>6</v>
      </c>
      <c r="D22062" s="7">
        <v>0</v>
      </c>
    </row>
    <row r="22063" spans="1:5" x14ac:dyDescent="0.25">
      <c r="A22063" t="str">
        <f>HYPERLINK("https://www.773grp.com/globalSearch/NCN6024DTBR2G/page-1", "NCN6024DTBR2G")</f>
        <v>NCN6024DTBR2G</v>
      </c>
      <c r="B22063" s="3" t="str">
        <f>HYPERLINK("https://www.773grp.com/manufacturer/nxp-semiconductor?pageNo=31", "NXP Semiconductors")</f>
        <v>NXP Semiconductors</v>
      </c>
      <c r="C22063" s="6">
        <v>19087</v>
      </c>
      <c r="D22063" s="7">
        <v>0</v>
      </c>
      <c r="E22063" t="s">
        <v>74</v>
      </c>
    </row>
    <row r="22064" spans="1:5" x14ac:dyDescent="0.25">
      <c r="A22064" t="str">
        <f>HYPERLINK("https://www.773grp.com/globalSearch/NCN8024D/page-1", "NCN8024D")</f>
        <v>NCN8024D</v>
      </c>
      <c r="B22064" s="3" t="str">
        <f>HYPERLINK("https://www.773grp.com/manufacturer/nxp-semiconductor?pageNo=32", "NXP Semiconductors")</f>
        <v>NXP Semiconductors</v>
      </c>
      <c r="C22064" s="6">
        <v>2000</v>
      </c>
      <c r="D22064" s="7">
        <v>0</v>
      </c>
    </row>
    <row r="22065" spans="1:5" x14ac:dyDescent="0.25">
      <c r="A22065" t="str">
        <f>HYPERLINK("https://www.773grp.com/globalSearch/NCP1028LEDGEVB/page-1", "NCP1028LEDGEVB")</f>
        <v>NCP1028LEDGEVB</v>
      </c>
      <c r="B22065" s="3" t="str">
        <f>HYPERLINK("https://www.773grp.com/manufacturer/nxp-semiconductor?pageNo=33", "NXP Semiconductors")</f>
        <v>NXP Semiconductors</v>
      </c>
      <c r="C22065" s="6">
        <v>1</v>
      </c>
      <c r="D22065" s="7">
        <v>0</v>
      </c>
    </row>
    <row r="22066" spans="1:5" x14ac:dyDescent="0.25">
      <c r="A22066" t="str">
        <f>HYPERLINK("https://www.773grp.com/globalSearch/NCP102MBGEVB/page-1", "NCP102MBGEVB")</f>
        <v>NCP102MBGEVB</v>
      </c>
      <c r="B22066" s="3" t="str">
        <f>HYPERLINK("https://www.773grp.com/manufacturer/nxp-semiconductor?pageNo=34", "NXP Semiconductors")</f>
        <v>NXP Semiconductors</v>
      </c>
      <c r="C22066" s="6">
        <v>1</v>
      </c>
      <c r="D22066" s="7">
        <v>0</v>
      </c>
    </row>
    <row r="22067" spans="1:5" x14ac:dyDescent="0.25">
      <c r="A22067" t="str">
        <f>HYPERLINK("https://www.773grp.com/globalSearch/NCP1030EVB/page-1", "NCP1030EVB")</f>
        <v>NCP1030EVB</v>
      </c>
      <c r="B22067" s="3" t="str">
        <f>HYPERLINK("https://www.773grp.com/manufacturer/nxp-semiconductor?pageNo=35", "NXP Semiconductors")</f>
        <v>NXP Semiconductors</v>
      </c>
      <c r="C22067" s="6">
        <v>4</v>
      </c>
      <c r="D22067" s="7">
        <v>0</v>
      </c>
    </row>
    <row r="22068" spans="1:5" x14ac:dyDescent="0.25">
      <c r="A22068" t="str">
        <f>HYPERLINK("https://www.773grp.com/globalSearch/NCP1203GEVB/page-1", "NCP1203GEVB")</f>
        <v>NCP1203GEVB</v>
      </c>
      <c r="B22068" s="3" t="str">
        <f>HYPERLINK("https://www.773grp.com/manufacturer/nxp-semiconductor?pageNo=36", "NXP Semiconductors")</f>
        <v>NXP Semiconductors</v>
      </c>
      <c r="C22068" s="6">
        <v>2</v>
      </c>
      <c r="D22068" s="7">
        <v>0</v>
      </c>
    </row>
    <row r="22069" spans="1:5" x14ac:dyDescent="0.25">
      <c r="A22069" t="str">
        <f>HYPERLINK("https://www.773grp.com/globalSearch/NCP1207AADPGEVB/page-1", "NCP1207AADPGEVB")</f>
        <v>NCP1207AADPGEVB</v>
      </c>
      <c r="B22069" s="3" t="str">
        <f>HYPERLINK("https://www.773grp.com/manufacturer/nxp-semiconductor?pageNo=37", "NXP Semiconductors")</f>
        <v>NXP Semiconductors</v>
      </c>
      <c r="C22069" s="6">
        <v>1</v>
      </c>
      <c r="D22069" s="7">
        <v>0</v>
      </c>
    </row>
    <row r="22070" spans="1:5" x14ac:dyDescent="0.25">
      <c r="A22070" t="str">
        <f>HYPERLINK("https://www.773grp.com/globalSearch/NCP1216LEDGEVB/page-1", "NCP1216LEDGEVB")</f>
        <v>NCP1216LEDGEVB</v>
      </c>
      <c r="B22070" s="3" t="str">
        <f>HYPERLINK("https://www.773grp.com/manufacturer/nxp-semiconductor?pageNo=38", "NXP Semiconductors")</f>
        <v>NXP Semiconductors</v>
      </c>
      <c r="C22070" s="6">
        <v>1</v>
      </c>
      <c r="D22070" s="7">
        <v>0</v>
      </c>
    </row>
    <row r="22071" spans="1:5" x14ac:dyDescent="0.25">
      <c r="A22071" t="str">
        <f>HYPERLINK("https://www.773grp.com/globalSearch/NCP1216P33G/page-1", "NCP1216P33G")</f>
        <v>NCP1216P33G</v>
      </c>
      <c r="B22071" s="3" t="str">
        <f>HYPERLINK("https://www.773grp.com/manufacturer/nxp-semiconductor?pageNo=39", "NXP Semiconductors")</f>
        <v>NXP Semiconductors</v>
      </c>
      <c r="C22071" s="6">
        <v>800</v>
      </c>
      <c r="D22071" s="7">
        <v>0</v>
      </c>
    </row>
    <row r="22072" spans="1:5" x14ac:dyDescent="0.25">
      <c r="A22072" t="str">
        <f>HYPERLINK("https://www.773grp.com/globalSearch/NCP1230AD65R2G/page-1", "NCP1230AD65R2G")</f>
        <v>NCP1230AD65R2G</v>
      </c>
      <c r="B22072" s="3" t="str">
        <f>HYPERLINK("https://www.773grp.com/manufacturer/nxp-semiconductor?pageNo=40", "NXP Semiconductors")</f>
        <v>NXP Semiconductors</v>
      </c>
      <c r="C22072" s="6">
        <v>5000</v>
      </c>
      <c r="D22072" s="7">
        <v>0</v>
      </c>
      <c r="E22072" t="s">
        <v>7</v>
      </c>
    </row>
    <row r="22073" spans="1:5" x14ac:dyDescent="0.25">
      <c r="A22073" t="str">
        <f>HYPERLINK("https://www.773grp.com/globalSearch/NCP1230AP100/page-1", "NCP1230AP100")</f>
        <v>NCP1230AP100</v>
      </c>
      <c r="B22073" s="3" t="str">
        <f>HYPERLINK("https://www.773grp.com/manufacturer/nxp-semiconductor?pageNo=41", "NXP Semiconductors")</f>
        <v>NXP Semiconductors</v>
      </c>
      <c r="C22073" s="6">
        <v>100</v>
      </c>
      <c r="D22073" s="7">
        <v>0</v>
      </c>
      <c r="E22073" t="s">
        <v>7</v>
      </c>
    </row>
    <row r="22074" spans="1:5" x14ac:dyDescent="0.25">
      <c r="A22074" t="str">
        <f>HYPERLINK("https://www.773grp.com/globalSearch/NCP1230AP133/page-1", "NCP1230AP133")</f>
        <v>NCP1230AP133</v>
      </c>
      <c r="B22074" s="3" t="str">
        <f>HYPERLINK("https://www.773grp.com/manufacturer/nxp-semiconductor?pageNo=42", "NXP Semiconductors")</f>
        <v>NXP Semiconductors</v>
      </c>
      <c r="C22074" s="6">
        <v>1050</v>
      </c>
      <c r="D22074" s="7">
        <v>0</v>
      </c>
      <c r="E22074" t="s">
        <v>7</v>
      </c>
    </row>
    <row r="22075" spans="1:5" x14ac:dyDescent="0.25">
      <c r="A22075" t="str">
        <f>HYPERLINK("https://www.773grp.com/globalSearch/NCP1230AP65/page-1", "NCP1230AP65")</f>
        <v>NCP1230AP65</v>
      </c>
      <c r="B22075" s="3" t="str">
        <f>HYPERLINK("https://www.773grp.com/manufacturer/nxp-semiconductor?pageNo=43", "NXP Semiconductors")</f>
        <v>NXP Semiconductors</v>
      </c>
      <c r="C22075" s="6">
        <v>1000</v>
      </c>
      <c r="D22075" s="7">
        <v>0</v>
      </c>
      <c r="E22075" t="s">
        <v>7</v>
      </c>
    </row>
    <row r="22076" spans="1:5" x14ac:dyDescent="0.25">
      <c r="A22076" t="str">
        <f>HYPERLINK("https://www.773grp.com/globalSearch/NCP1231P100/page-1", "NCP1231P100")</f>
        <v>NCP1231P100</v>
      </c>
      <c r="B22076" s="3" t="str">
        <f>HYPERLINK("https://www.773grp.com/manufacturer/nxp-semiconductor?pageNo=44", "NXP Semiconductors")</f>
        <v>NXP Semiconductors</v>
      </c>
      <c r="C22076" s="6">
        <v>1000</v>
      </c>
      <c r="D22076" s="7">
        <v>0</v>
      </c>
      <c r="E22076" t="s">
        <v>7</v>
      </c>
    </row>
    <row r="22077" spans="1:5" x14ac:dyDescent="0.25">
      <c r="A22077" t="str">
        <f>HYPERLINK("https://www.773grp.com/globalSearch/NCP1231P133/page-1", "NCP1231P133")</f>
        <v>NCP1231P133</v>
      </c>
      <c r="B22077" s="3" t="str">
        <f>HYPERLINK("https://www.773grp.com/manufacturer/nxp-semiconductor?pageNo=45", "NXP Semiconductors")</f>
        <v>NXP Semiconductors</v>
      </c>
      <c r="C22077" s="6">
        <v>6</v>
      </c>
      <c r="D22077" s="7">
        <v>0</v>
      </c>
      <c r="E22077" t="s">
        <v>7</v>
      </c>
    </row>
    <row r="22078" spans="1:5" x14ac:dyDescent="0.25">
      <c r="A22078" t="str">
        <f>HYPERLINK("https://www.773grp.com/globalSearch/NCP1271ADAPGEVB/page-1", "NCP1271ADAPGEVB")</f>
        <v>NCP1271ADAPGEVB</v>
      </c>
      <c r="B22078" s="3" t="str">
        <f>HYPERLINK("https://www.773grp.com/manufacturer/nxp-semiconductor?pageNo=46", "NXP Semiconductors")</f>
        <v>NXP Semiconductors</v>
      </c>
      <c r="C22078" s="6">
        <v>3</v>
      </c>
      <c r="D22078" s="7">
        <v>0</v>
      </c>
    </row>
    <row r="22079" spans="1:5" x14ac:dyDescent="0.25">
      <c r="A22079" t="str">
        <f>HYPERLINK("https://www.773grp.com/globalSearch/NCP1351ADAPGEVB/page-1", "NCP1351ADAPGEVB")</f>
        <v>NCP1351ADAPGEVB</v>
      </c>
      <c r="B22079" s="3" t="str">
        <f>HYPERLINK("https://www.773grp.com/manufacturer/nxp-semiconductor?pageNo=47", "NXP Semiconductors")</f>
        <v>NXP Semiconductors</v>
      </c>
      <c r="C22079" s="6">
        <v>1</v>
      </c>
      <c r="D22079" s="7">
        <v>0</v>
      </c>
    </row>
    <row r="22080" spans="1:5" x14ac:dyDescent="0.25">
      <c r="A22080" t="str">
        <f>HYPERLINK("https://www.773grp.com/globalSearch/NCP1380BGEVB/page-1", "NCP1380BGEVB")</f>
        <v>NCP1380BGEVB</v>
      </c>
      <c r="B22080" s="3" t="str">
        <f>HYPERLINK("https://www.773grp.com/manufacturer/nxp-semiconductor?pageNo=48", "NXP Semiconductors")</f>
        <v>NXP Semiconductors</v>
      </c>
      <c r="C22080" s="6">
        <v>1</v>
      </c>
      <c r="D22080" s="7">
        <v>0</v>
      </c>
    </row>
    <row r="22081" spans="1:5" x14ac:dyDescent="0.25">
      <c r="A22081" t="str">
        <f>HYPERLINK("https://www.773grp.com/globalSearch/NCP1400AV50GEVB/page-1", "NCP1400AV50GEVB")</f>
        <v>NCP1400AV50GEVB</v>
      </c>
      <c r="B22081" s="3" t="str">
        <f>HYPERLINK("https://www.773grp.com/manufacturer/nxp-semiconductor?pageNo=1", "NXP Semiconductors")</f>
        <v>NXP Semiconductors</v>
      </c>
      <c r="C22081" s="6">
        <v>1</v>
      </c>
      <c r="D22081" s="7">
        <v>0</v>
      </c>
    </row>
    <row r="22082" spans="1:5" x14ac:dyDescent="0.25">
      <c r="A22082" t="str">
        <f>HYPERLINK("https://www.773grp.com/globalSearch/NCP1421LEDEVB/page-1", "NCP1421LEDEVB")</f>
        <v>NCP1421LEDEVB</v>
      </c>
      <c r="B22082" s="3" t="str">
        <f>HYPERLINK("https://www.773grp.com/manufacturer/nxp-semiconductor?pageNo=2", "NXP Semiconductors")</f>
        <v>NXP Semiconductors</v>
      </c>
      <c r="C22082" s="6">
        <v>1</v>
      </c>
      <c r="D22082" s="7">
        <v>0</v>
      </c>
    </row>
    <row r="22083" spans="1:5" x14ac:dyDescent="0.25">
      <c r="A22083" t="str">
        <f>HYPERLINK("https://www.773grp.com/globalSearch/NCP1422LEDGEVB/page-1", "NCP1422LEDGEVB")</f>
        <v>NCP1422LEDGEVB</v>
      </c>
      <c r="B22083" s="3" t="str">
        <f>HYPERLINK("https://www.773grp.com/manufacturer/nxp-semiconductor?pageNo=3", "NXP Semiconductors")</f>
        <v>NXP Semiconductors</v>
      </c>
      <c r="C22083" s="6">
        <v>1</v>
      </c>
      <c r="D22083" s="7">
        <v>0</v>
      </c>
    </row>
    <row r="22084" spans="1:5" x14ac:dyDescent="0.25">
      <c r="A22084" t="str">
        <f>HYPERLINK("https://www.773grp.com/globalSearch/NCP1523BGEVB/page-1", "NCP1523BGEVB")</f>
        <v>NCP1523BGEVB</v>
      </c>
      <c r="B22084" s="3" t="str">
        <f>HYPERLINK("https://www.773grp.com/manufacturer/nxp-semiconductor?pageNo=4", "NXP Semiconductors")</f>
        <v>NXP Semiconductors</v>
      </c>
      <c r="C22084" s="6">
        <v>1</v>
      </c>
      <c r="D22084" s="7">
        <v>0</v>
      </c>
    </row>
    <row r="22085" spans="1:5" x14ac:dyDescent="0.25">
      <c r="A22085" t="str">
        <f>HYPERLINK("https://www.773grp.com/globalSearch/NCP1562-100WEVBG/page-1", "NCP1562-100WEVBG")</f>
        <v>NCP1562-100WEVBG</v>
      </c>
      <c r="B22085" s="3" t="str">
        <f>HYPERLINK("https://www.773grp.com/manufacturer/nxp-semiconductor?pageNo=5", "NXP Semiconductors")</f>
        <v>NXP Semiconductors</v>
      </c>
      <c r="C22085" s="6">
        <v>1</v>
      </c>
      <c r="D22085" s="7">
        <v>0</v>
      </c>
    </row>
    <row r="22086" spans="1:5" x14ac:dyDescent="0.25">
      <c r="A22086" t="str">
        <f>HYPERLINK("https://www.773grp.com/globalSearch/NCP1586DR2GH/page-1", "NCP1586DR2GH")</f>
        <v>NCP1586DR2GH</v>
      </c>
      <c r="B22086" s="3" t="str">
        <f>HYPERLINK("https://www.773grp.com/manufacturer/nxp-semiconductor?pageNo=6", "NXP Semiconductors")</f>
        <v>NXP Semiconductors</v>
      </c>
      <c r="C22086" s="6">
        <v>2069</v>
      </c>
      <c r="D22086" s="7">
        <v>0</v>
      </c>
    </row>
    <row r="22087" spans="1:5" x14ac:dyDescent="0.25">
      <c r="A22087" t="str">
        <f>HYPERLINK("https://www.773grp.com/globalSearch/NCP1588MTR2G/page-1", "NCP1588MTR2G")</f>
        <v>NCP1588MTR2G</v>
      </c>
      <c r="B22087" s="3" t="str">
        <f>HYPERLINK("https://www.773grp.com/manufacturer/nxp-semiconductor?pageNo=7", "NXP Semiconductors")</f>
        <v>NXP Semiconductors</v>
      </c>
      <c r="C22087" s="6">
        <v>3000</v>
      </c>
      <c r="D22087" s="7">
        <v>0</v>
      </c>
      <c r="E22087" t="s">
        <v>7</v>
      </c>
    </row>
    <row r="22088" spans="1:5" x14ac:dyDescent="0.25">
      <c r="A22088" t="str">
        <f>HYPERLINK("https://www.773grp.com/globalSearch/NCP1606BOOSTGEVB/page-1", "NCP1606BOOSTGEVB")</f>
        <v>NCP1606BOOSTGEVB</v>
      </c>
      <c r="B22088" s="3" t="str">
        <f>HYPERLINK("https://www.773grp.com/manufacturer/nxp-semiconductor?pageNo=8", "NXP Semiconductors")</f>
        <v>NXP Semiconductors</v>
      </c>
      <c r="C22088" s="6">
        <v>1</v>
      </c>
      <c r="D22088" s="7">
        <v>0</v>
      </c>
    </row>
    <row r="22089" spans="1:5" x14ac:dyDescent="0.25">
      <c r="A22089" t="str">
        <f>HYPERLINK("https://www.773grp.com/globalSearch/NCP2809AEVB/page-1", "NCP2809AEVB")</f>
        <v>NCP2809AEVB</v>
      </c>
      <c r="B22089" s="3" t="str">
        <f>HYPERLINK("https://www.773grp.com/manufacturer/nxp-semiconductor?pageNo=9", "NXP Semiconductors")</f>
        <v>NXP Semiconductors</v>
      </c>
      <c r="C22089" s="6">
        <v>1</v>
      </c>
      <c r="D22089" s="7">
        <v>0</v>
      </c>
    </row>
    <row r="22090" spans="1:5" x14ac:dyDescent="0.25">
      <c r="A22090" t="str">
        <f>HYPERLINK("https://www.773grp.com/globalSearch/NCP2809BGEVB/page-1", "NCP2809BGEVB")</f>
        <v>NCP2809BGEVB</v>
      </c>
      <c r="B22090" s="3" t="str">
        <f>HYPERLINK("https://www.773grp.com/manufacturer/nxp-semiconductor?pageNo=10", "NXP Semiconductors")</f>
        <v>NXP Semiconductors</v>
      </c>
      <c r="C22090" s="6">
        <v>4</v>
      </c>
      <c r="D22090" s="7">
        <v>0</v>
      </c>
    </row>
    <row r="22091" spans="1:5" x14ac:dyDescent="0.25">
      <c r="A22091" t="str">
        <f>HYPERLINK("https://www.773grp.com/globalSearch/NCP2815BFCT2G/page-1", "NCP2815BFCT2G")</f>
        <v>NCP2815BFCT2G</v>
      </c>
      <c r="B22091" s="3" t="str">
        <f>HYPERLINK("https://www.773grp.com/manufacturer/nxp-semiconductor?pageNo=11", "NXP Semiconductors")</f>
        <v>NXP Semiconductors</v>
      </c>
      <c r="C22091" s="6">
        <v>36000</v>
      </c>
      <c r="D22091" s="7">
        <v>0</v>
      </c>
    </row>
    <row r="22092" spans="1:5" x14ac:dyDescent="0.25">
      <c r="A22092" t="str">
        <f>HYPERLINK("https://www.773grp.com/globalSearch/NCP2823AFCCT2G/page-1", "NCP2823AFCCT2G")</f>
        <v>NCP2823AFCCT2G</v>
      </c>
      <c r="B22092" s="3" t="str">
        <f>HYPERLINK("https://www.773grp.com/manufacturer/nxp-semiconductor?pageNo=12", "NXP Semiconductors")</f>
        <v>NXP Semiconductors</v>
      </c>
      <c r="C22092" s="6">
        <v>18000</v>
      </c>
      <c r="D22092" s="7">
        <v>0</v>
      </c>
    </row>
    <row r="22093" spans="1:5" x14ac:dyDescent="0.25">
      <c r="A22093" t="str">
        <f>HYPERLINK("https://www.773grp.com/globalSearch/NCP2823BFCT1G/page-1", "NCP2823BFCT1G")</f>
        <v>NCP2823BFCT1G</v>
      </c>
      <c r="B22093" s="3" t="str">
        <f>HYPERLINK("https://www.773grp.com/manufacturer/nxp-semiconductor?pageNo=13", "NXP Semiconductors")</f>
        <v>NXP Semiconductors</v>
      </c>
      <c r="C22093" s="6">
        <v>9000</v>
      </c>
      <c r="D22093" s="7">
        <v>0</v>
      </c>
    </row>
    <row r="22094" spans="1:5" x14ac:dyDescent="0.25">
      <c r="A22094" t="str">
        <f>HYPERLINK("https://www.773grp.com/globalSearch/NCP2890EVB/page-1", "NCP2890EVB")</f>
        <v>NCP2890EVB</v>
      </c>
      <c r="B22094" s="3" t="str">
        <f>HYPERLINK("https://www.773grp.com/manufacturer/nxp-semiconductor?pageNo=14", "NXP Semiconductors")</f>
        <v>NXP Semiconductors</v>
      </c>
      <c r="C22094" s="6">
        <v>2</v>
      </c>
      <c r="D22094" s="7">
        <v>0</v>
      </c>
    </row>
    <row r="22095" spans="1:5" x14ac:dyDescent="0.25">
      <c r="A22095" t="str">
        <f>HYPERLINK("https://www.773grp.com/globalSearch/NCP2990FCT2GEVB/page-1", "NCP2990FCT2GEVB")</f>
        <v>NCP2990FCT2GEVB</v>
      </c>
      <c r="B22095" s="3" t="str">
        <f>HYPERLINK("https://www.773grp.com/manufacturer/nxp-semiconductor?pageNo=15", "NXP Semiconductors")</f>
        <v>NXP Semiconductors</v>
      </c>
      <c r="C22095" s="6">
        <v>3</v>
      </c>
      <c r="D22095" s="7">
        <v>0</v>
      </c>
    </row>
    <row r="22096" spans="1:5" x14ac:dyDescent="0.25">
      <c r="A22096" t="str">
        <f>HYPERLINK("https://www.773grp.com/globalSearch/NCP300LSN27T/page-1", "NCP300LSN27T")</f>
        <v>NCP300LSN27T</v>
      </c>
      <c r="B22096" s="3" t="str">
        <f>HYPERLINK("https://www.773grp.com/manufacturer/nxp-semiconductor?pageNo=16", "NXP Semiconductors")</f>
        <v>NXP Semiconductors</v>
      </c>
      <c r="C22096" s="6">
        <v>6000</v>
      </c>
      <c r="D22096" s="7">
        <v>0</v>
      </c>
    </row>
    <row r="22097" spans="1:4" x14ac:dyDescent="0.25">
      <c r="A22097" t="str">
        <f>HYPERLINK("https://www.773grp.com/globalSearch/NCP3020BGEVB/page-1", "NCP3020BGEVB")</f>
        <v>NCP3020BGEVB</v>
      </c>
      <c r="B22097" s="3" t="str">
        <f>HYPERLINK("https://www.773grp.com/manufacturer/nxp-semiconductor?pageNo=17", "NXP Semiconductors")</f>
        <v>NXP Semiconductors</v>
      </c>
      <c r="C22097" s="6">
        <v>1</v>
      </c>
      <c r="D22097" s="7">
        <v>0</v>
      </c>
    </row>
    <row r="22098" spans="1:4" x14ac:dyDescent="0.25">
      <c r="A22098" t="str">
        <f>HYPERLINK("https://www.773grp.com/globalSearch/NCP3063BSTEXGEVB/page-1", "NCP3063BSTEXGEVB")</f>
        <v>NCP3063BSTEXGEVB</v>
      </c>
      <c r="B22098" s="3" t="str">
        <f>HYPERLINK("https://www.773grp.com/manufacturer/nxp-semiconductor?pageNo=18", "NXP Semiconductors")</f>
        <v>NXP Semiconductors</v>
      </c>
      <c r="C22098" s="6">
        <v>1</v>
      </c>
      <c r="D22098" s="7">
        <v>0</v>
      </c>
    </row>
    <row r="22099" spans="1:4" x14ac:dyDescent="0.25">
      <c r="A22099" t="str">
        <f>HYPERLINK("https://www.773grp.com/globalSearch/NCP3063DFBSTGEVB/page-1", "NCP3063DFBSTGEVB")</f>
        <v>NCP3063DFBSTGEVB</v>
      </c>
      <c r="B22099" s="3" t="str">
        <f>HYPERLINK("https://www.773grp.com/manufacturer/nxp-semiconductor?pageNo=19", "NXP Semiconductors")</f>
        <v>NXP Semiconductors</v>
      </c>
      <c r="C22099" s="6">
        <v>1</v>
      </c>
      <c r="D22099" s="7">
        <v>0</v>
      </c>
    </row>
    <row r="22100" spans="1:4" x14ac:dyDescent="0.25">
      <c r="A22100" t="str">
        <f>HYPERLINK("https://www.773grp.com/globalSearch/NCP3063DIPBCKEVB/page-1", "NCP3063DIPBCKEVB")</f>
        <v>NCP3063DIPBCKEVB</v>
      </c>
      <c r="B22100" s="3" t="str">
        <f>HYPERLINK("https://www.773grp.com/manufacturer/nxp-semiconductor?pageNo=20", "NXP Semiconductors")</f>
        <v>NXP Semiconductors</v>
      </c>
      <c r="C22100" s="6">
        <v>1</v>
      </c>
      <c r="D22100" s="7">
        <v>0</v>
      </c>
    </row>
    <row r="22101" spans="1:4" x14ac:dyDescent="0.25">
      <c r="A22101" t="str">
        <f>HYPERLINK("https://www.773grp.com/globalSearch/NCP3063SMDBCKEVB/page-1", "NCP3063SMDBCKEVB")</f>
        <v>NCP3063SMDBCKEVB</v>
      </c>
      <c r="B22101" s="3" t="str">
        <f>HYPERLINK("https://www.773grp.com/manufacturer/nxp-semiconductor?pageNo=21", "NXP Semiconductors")</f>
        <v>NXP Semiconductors</v>
      </c>
      <c r="C22101" s="6">
        <v>1</v>
      </c>
      <c r="D22101" s="7">
        <v>0</v>
      </c>
    </row>
    <row r="22102" spans="1:4" x14ac:dyDescent="0.25">
      <c r="A22102" t="str">
        <f>HYPERLINK("https://www.773grp.com/globalSearch/NCP3064DFBCKGEVB/page-1", "NCP3064DFBCKGEVB")</f>
        <v>NCP3064DFBCKGEVB</v>
      </c>
      <c r="B22102" s="3" t="str">
        <f>HYPERLINK("https://www.773grp.com/manufacturer/nxp-semiconductor?pageNo=22", "NXP Semiconductors")</f>
        <v>NXP Semiconductors</v>
      </c>
      <c r="C22102" s="6">
        <v>1</v>
      </c>
      <c r="D22102" s="7">
        <v>0</v>
      </c>
    </row>
    <row r="22103" spans="1:4" x14ac:dyDescent="0.25">
      <c r="A22103" t="str">
        <f>HYPERLINK("https://www.773grp.com/globalSearch/NCP3064PDBCKGEVB/page-1", "NCP3064PDBCKGEVB")</f>
        <v>NCP3064PDBCKGEVB</v>
      </c>
      <c r="B22103" s="3" t="str">
        <f>HYPERLINK("https://www.773grp.com/manufacturer/nxp-semiconductor?pageNo=23", "NXP Semiconductors")</f>
        <v>NXP Semiconductors</v>
      </c>
      <c r="C22103" s="6">
        <v>1</v>
      </c>
      <c r="D22103" s="7">
        <v>0</v>
      </c>
    </row>
    <row r="22104" spans="1:4" x14ac:dyDescent="0.25">
      <c r="A22104" t="str">
        <f>HYPERLINK("https://www.773grp.com/globalSearch/NCP3064S3BCKGEVB/page-1", "NCP3064S3BCKGEVB")</f>
        <v>NCP3064S3BCKGEVB</v>
      </c>
      <c r="B22104" s="3" t="str">
        <f>HYPERLINK("https://www.773grp.com/manufacturer/nxp-semiconductor?pageNo=24", "NXP Semiconductors")</f>
        <v>NXP Semiconductors</v>
      </c>
      <c r="C22104" s="6">
        <v>1</v>
      </c>
      <c r="D22104" s="7">
        <v>0</v>
      </c>
    </row>
    <row r="22105" spans="1:4" x14ac:dyDescent="0.25">
      <c r="A22105" t="str">
        <f>HYPERLINK("https://www.773grp.com/globalSearch/NCP3064SCBCKGEVB/page-1", "NCP3064SCBCKGEVB")</f>
        <v>NCP3064SCBCKGEVB</v>
      </c>
      <c r="B22105" s="3" t="str">
        <f>HYPERLINK("https://www.773grp.com/manufacturer/nxp-semiconductor?pageNo=25", "NXP Semiconductors")</f>
        <v>NXP Semiconductors</v>
      </c>
      <c r="C22105" s="6">
        <v>1</v>
      </c>
      <c r="D22105" s="7">
        <v>0</v>
      </c>
    </row>
    <row r="22106" spans="1:4" x14ac:dyDescent="0.25">
      <c r="A22106" t="str">
        <f>HYPERLINK("https://www.773grp.com/globalSearch/NCP3065D1SLDGEVB/page-1", "NCP3065D1SLDGEVB")</f>
        <v>NCP3065D1SLDGEVB</v>
      </c>
      <c r="B22106" s="3" t="str">
        <f>HYPERLINK("https://www.773grp.com/manufacturer/nxp-semiconductor?pageNo=26", "NXP Semiconductors")</f>
        <v>NXP Semiconductors</v>
      </c>
      <c r="C22106" s="6">
        <v>1</v>
      </c>
      <c r="D22106" s="7">
        <v>0</v>
      </c>
    </row>
    <row r="22107" spans="1:4" x14ac:dyDescent="0.25">
      <c r="A22107" t="str">
        <f>HYPERLINK("https://www.773grp.com/globalSearch/NCP3065SOBSTGEVB/page-1", "NCP3065SOBSTGEVB")</f>
        <v>NCP3065SOBSTGEVB</v>
      </c>
      <c r="B22107" s="3" t="str">
        <f>HYPERLINK("https://www.773grp.com/manufacturer/nxp-semiconductor?pageNo=27", "NXP Semiconductors")</f>
        <v>NXP Semiconductors</v>
      </c>
      <c r="C22107" s="6">
        <v>1</v>
      </c>
      <c r="D22107" s="7">
        <v>0</v>
      </c>
    </row>
    <row r="22108" spans="1:4" x14ac:dyDescent="0.25">
      <c r="A22108" t="str">
        <f>HYPERLINK("https://www.773grp.com/globalSearch/NCP3066DFSEPGEVB/page-1", "NCP3066DFSEPGEVB")</f>
        <v>NCP3066DFSEPGEVB</v>
      </c>
      <c r="B22108" s="3" t="str">
        <f>HYPERLINK("https://www.773grp.com/manufacturer/nxp-semiconductor?pageNo=28", "NXP Semiconductors")</f>
        <v>NXP Semiconductors</v>
      </c>
      <c r="C22108" s="6">
        <v>2</v>
      </c>
      <c r="D22108" s="7">
        <v>0</v>
      </c>
    </row>
    <row r="22109" spans="1:4" x14ac:dyDescent="0.25">
      <c r="A22109" t="str">
        <f>HYPERLINK("https://www.773grp.com/globalSearch/NCP3066S3BCKGEVB/page-1", "NCP3066S3BCKGEVB")</f>
        <v>NCP3066S3BCKGEVB</v>
      </c>
      <c r="B22109" s="3" t="str">
        <f>HYPERLINK("https://www.773grp.com/manufacturer/nxp-semiconductor?pageNo=29", "NXP Semiconductors")</f>
        <v>NXP Semiconductors</v>
      </c>
      <c r="C22109" s="6">
        <v>1</v>
      </c>
      <c r="D22109" s="7">
        <v>0</v>
      </c>
    </row>
    <row r="22110" spans="1:4" x14ac:dyDescent="0.25">
      <c r="A22110" t="str">
        <f>HYPERLINK("https://www.773grp.com/globalSearch/NCP3066SCBCKGEVB/page-1", "NCP3066SCBCKGEVB")</f>
        <v>NCP3066SCBCKGEVB</v>
      </c>
      <c r="B22110" s="3" t="str">
        <f>HYPERLINK("https://www.773grp.com/manufacturer/nxp-semiconductor?pageNo=30", "NXP Semiconductors")</f>
        <v>NXP Semiconductors</v>
      </c>
      <c r="C22110" s="6">
        <v>1</v>
      </c>
      <c r="D22110" s="7">
        <v>0</v>
      </c>
    </row>
    <row r="22111" spans="1:4" x14ac:dyDescent="0.25">
      <c r="A22111" t="str">
        <f>HYPERLINK("https://www.773grp.com/globalSearch/NCP3101BUCK1GEVB/page-1", "NCP3101BUCK1GEVB")</f>
        <v>NCP3101BUCK1GEVB</v>
      </c>
      <c r="B22111" s="3" t="str">
        <f>HYPERLINK("https://www.773grp.com/manufacturer/nxp-semiconductor?pageNo=31", "NXP Semiconductors")</f>
        <v>NXP Semiconductors</v>
      </c>
      <c r="C22111" s="6">
        <v>2</v>
      </c>
      <c r="D22111" s="7">
        <v>0</v>
      </c>
    </row>
    <row r="22112" spans="1:4" x14ac:dyDescent="0.25">
      <c r="A22112" t="str">
        <f>HYPERLINK("https://www.773grp.com/globalSearch/NCP3101BUCK2GEVB/page-1", "NCP3101BUCK2GEVB")</f>
        <v>NCP3101BUCK2GEVB</v>
      </c>
      <c r="B22112" s="3" t="str">
        <f>HYPERLINK("https://www.773grp.com/manufacturer/nxp-semiconductor?pageNo=32", "NXP Semiconductors")</f>
        <v>NXP Semiconductors</v>
      </c>
      <c r="C22112" s="6">
        <v>2</v>
      </c>
      <c r="D22112" s="7">
        <v>0</v>
      </c>
    </row>
    <row r="22113" spans="1:5" x14ac:dyDescent="0.25">
      <c r="A22113" t="str">
        <f>HYPERLINK("https://www.773grp.com/globalSearch/NCP3120QPBCKGEVB/page-1", "NCP3120QPBCKGEVB")</f>
        <v>NCP3120QPBCKGEVB</v>
      </c>
      <c r="B22113" s="3" t="str">
        <f>HYPERLINK("https://www.773grp.com/manufacturer/nxp-semiconductor?pageNo=33", "NXP Semiconductors")</f>
        <v>NXP Semiconductors</v>
      </c>
      <c r="C22113" s="6">
        <v>2</v>
      </c>
      <c r="D22113" s="7">
        <v>0</v>
      </c>
    </row>
    <row r="22114" spans="1:5" x14ac:dyDescent="0.25">
      <c r="A22114" t="str">
        <f>HYPERLINK("https://www.773grp.com/globalSearch/NCP3121QPBCKGEVB/page-1", "NCP3121QPBCKGEVB")</f>
        <v>NCP3121QPBCKGEVB</v>
      </c>
      <c r="B22114" s="3" t="str">
        <f>HYPERLINK("https://www.773grp.com/manufacturer/nxp-semiconductor?pageNo=34", "NXP Semiconductors")</f>
        <v>NXP Semiconductors</v>
      </c>
      <c r="C22114" s="6">
        <v>1</v>
      </c>
      <c r="D22114" s="7">
        <v>0</v>
      </c>
    </row>
    <row r="22115" spans="1:5" x14ac:dyDescent="0.25">
      <c r="A22115" t="str">
        <f>HYPERLINK("https://www.773grp.com/globalSearch/NCP3123QPBCKGEVB/page-1", "NCP3123QPBCKGEVB")</f>
        <v>NCP3123QPBCKGEVB</v>
      </c>
      <c r="B22115" s="3" t="str">
        <f>HYPERLINK("https://www.773grp.com/manufacturer/nxp-semiconductor?pageNo=35", "NXP Semiconductors")</f>
        <v>NXP Semiconductors</v>
      </c>
      <c r="C22115" s="6">
        <v>1</v>
      </c>
      <c r="D22115" s="7">
        <v>0</v>
      </c>
    </row>
    <row r="22116" spans="1:5" x14ac:dyDescent="0.25">
      <c r="A22116" t="str">
        <f>HYPERLINK("https://www.773grp.com/globalSearch/NCP3125AGEVB/page-1", "NCP3125AGEVB")</f>
        <v>NCP3125AGEVB</v>
      </c>
      <c r="B22116" s="3" t="str">
        <f>HYPERLINK("https://www.773grp.com/manufacturer/nxp-semiconductor?pageNo=36", "NXP Semiconductors")</f>
        <v>NXP Semiconductors</v>
      </c>
      <c r="C22116" s="6">
        <v>4</v>
      </c>
      <c r="D22116" s="7">
        <v>0</v>
      </c>
    </row>
    <row r="22117" spans="1:5" x14ac:dyDescent="0.25">
      <c r="A22117" t="str">
        <f>HYPERLINK("https://www.773grp.com/globalSearch/NCP3163BSTEVB/page-1", "NCP3163BSTEVB")</f>
        <v>NCP3163BSTEVB</v>
      </c>
      <c r="B22117" s="3" t="str">
        <f>HYPERLINK("https://www.773grp.com/manufacturer/nxp-semiconductor?pageNo=37", "NXP Semiconductors")</f>
        <v>NXP Semiconductors</v>
      </c>
      <c r="C22117" s="6">
        <v>1</v>
      </c>
      <c r="D22117" s="7">
        <v>0</v>
      </c>
    </row>
    <row r="22118" spans="1:5" x14ac:dyDescent="0.25">
      <c r="A22118" t="str">
        <f>HYPERLINK("https://www.773grp.com/globalSearch/NCP317MTG/page-1", "NCP317MTG")</f>
        <v>NCP317MTG</v>
      </c>
      <c r="B22118" s="3" t="str">
        <f>HYPERLINK("https://www.773grp.com/manufacturer/nxp-semiconductor?pageNo=38", "NXP Semiconductors")</f>
        <v>NXP Semiconductors</v>
      </c>
      <c r="C22118" s="6">
        <v>50</v>
      </c>
      <c r="D22118" s="7">
        <v>0</v>
      </c>
    </row>
    <row r="22119" spans="1:5" x14ac:dyDescent="0.25">
      <c r="A22119" t="str">
        <f>HYPERLINK("https://www.773grp.com/globalSearch/NCP3337MN330GEVB/page-1", "NCP3337MN330GEVB")</f>
        <v>NCP3337MN330GEVB</v>
      </c>
      <c r="B22119" s="3" t="str">
        <f>HYPERLINK("https://www.773grp.com/manufacturer/nxp-semiconductor?pageNo=39", "NXP Semiconductors")</f>
        <v>NXP Semiconductors</v>
      </c>
      <c r="C22119" s="6">
        <v>2</v>
      </c>
      <c r="D22119" s="7">
        <v>0</v>
      </c>
    </row>
    <row r="22120" spans="1:5" x14ac:dyDescent="0.25">
      <c r="A22120" t="str">
        <f>HYPERLINK("https://www.773grp.com/globalSearch/NCP345EVB/page-1", "NCP345EVB")</f>
        <v>NCP345EVB</v>
      </c>
      <c r="B22120" s="3" t="str">
        <f>HYPERLINK("https://www.773grp.com/manufacturer/nxp-semiconductor?pageNo=40", "NXP Semiconductors")</f>
        <v>NXP Semiconductors</v>
      </c>
      <c r="C22120" s="6">
        <v>3</v>
      </c>
      <c r="D22120" s="7">
        <v>0</v>
      </c>
    </row>
    <row r="22121" spans="1:5" x14ac:dyDescent="0.25">
      <c r="A22121" t="str">
        <f>HYPERLINK("https://www.773grp.com/globalSearch/NCP348GEVB/page-1", "NCP348GEVB")</f>
        <v>NCP348GEVB</v>
      </c>
      <c r="B22121" s="3" t="str">
        <f>HYPERLINK("https://www.773grp.com/manufacturer/nxp-semiconductor?pageNo=41", "NXP Semiconductors")</f>
        <v>NXP Semiconductors</v>
      </c>
      <c r="C22121" s="6">
        <v>7</v>
      </c>
      <c r="D22121" s="7">
        <v>0</v>
      </c>
    </row>
    <row r="22122" spans="1:5" x14ac:dyDescent="0.25">
      <c r="A22122" t="str">
        <f>HYPERLINK("https://www.773grp.com/globalSearch/NCP3520DMR2G/page-1", "NCP3520DMR2G")</f>
        <v>NCP3520DMR2G</v>
      </c>
      <c r="B22122" s="3" t="str">
        <f>HYPERLINK("https://www.773grp.com/manufacturer/nxp-semiconductor?pageNo=42", "NXP Semiconductors")</f>
        <v>NXP Semiconductors</v>
      </c>
      <c r="C22122" s="6">
        <v>19990</v>
      </c>
      <c r="D22122" s="7">
        <v>0</v>
      </c>
      <c r="E22122" t="s">
        <v>19</v>
      </c>
    </row>
    <row r="22123" spans="1:5" x14ac:dyDescent="0.25">
      <c r="A22123" t="str">
        <f>HYPERLINK("https://www.773grp.com/globalSearch/NCP3521DMR2G/page-1", "NCP3521DMR2G")</f>
        <v>NCP3521DMR2G</v>
      </c>
      <c r="B22123" s="3" t="str">
        <f>HYPERLINK("https://www.773grp.com/manufacturer/nxp-semiconductor?pageNo=43", "NXP Semiconductors")</f>
        <v>NXP Semiconductors</v>
      </c>
      <c r="C22123" s="6">
        <v>25957</v>
      </c>
      <c r="D22123" s="7">
        <v>0</v>
      </c>
      <c r="E22123" t="s">
        <v>19</v>
      </c>
    </row>
    <row r="22124" spans="1:5" x14ac:dyDescent="0.25">
      <c r="A22124" t="str">
        <f>HYPERLINK("https://www.773grp.com/globalSearch/NCP4530RDM28R2/page-1", "NCP4530RDM28R2")</f>
        <v>NCP4530RDM28R2</v>
      </c>
      <c r="B22124" s="3" t="str">
        <f>HYPERLINK("https://www.773grp.com/manufacturer/nxp-semiconductor?pageNo=44", "NXP Semiconductors")</f>
        <v>NXP Semiconductors</v>
      </c>
      <c r="C22124" s="6">
        <v>30000</v>
      </c>
      <c r="D22124" s="7">
        <v>0</v>
      </c>
    </row>
    <row r="22125" spans="1:5" x14ac:dyDescent="0.25">
      <c r="A22125" t="str">
        <f>HYPERLINK("https://www.773grp.com/globalSearch/NCP4530RDM33R2/page-1", "NCP4530RDM33R2")</f>
        <v>NCP4530RDM33R2</v>
      </c>
      <c r="B22125" s="3" t="str">
        <f>HYPERLINK("https://www.773grp.com/manufacturer/nxp-semiconductor?pageNo=45", "NXP Semiconductors")</f>
        <v>NXP Semiconductors</v>
      </c>
      <c r="C22125" s="6">
        <v>30000</v>
      </c>
      <c r="D22125" s="7">
        <v>0</v>
      </c>
    </row>
    <row r="22126" spans="1:5" x14ac:dyDescent="0.25">
      <c r="A22126" t="str">
        <f>HYPERLINK("https://www.773grp.com/globalSearch/NCP4680DSQ08TIG/page-1", "NCP4680DSQ08TIG")</f>
        <v>NCP4680DSQ08TIG</v>
      </c>
      <c r="B22126" s="3" t="str">
        <f>HYPERLINK("https://www.773grp.com/manufacturer/nxp-semiconductor?pageNo=46", "NXP Semiconductors")</f>
        <v>NXP Semiconductors</v>
      </c>
      <c r="C22126" s="6">
        <v>3000</v>
      </c>
      <c r="D22126" s="7">
        <v>0</v>
      </c>
    </row>
    <row r="22127" spans="1:5" x14ac:dyDescent="0.25">
      <c r="A22127" t="str">
        <f>HYPERLINK("https://www.773grp.com/globalSearch/NCP4894FCEVB/page-1", "NCP4894FCEVB")</f>
        <v>NCP4894FCEVB</v>
      </c>
      <c r="B22127" s="3" t="str">
        <f>HYPERLINK("https://www.773grp.com/manufacturer/nxp-semiconductor?pageNo=47", "NXP Semiconductors")</f>
        <v>NXP Semiconductors</v>
      </c>
      <c r="C22127" s="6">
        <v>1</v>
      </c>
      <c r="D22127" s="7">
        <v>0</v>
      </c>
    </row>
    <row r="22128" spans="1:5" x14ac:dyDescent="0.25">
      <c r="A22128" t="str">
        <f>HYPERLINK("https://www.773grp.com/globalSearch/NCP5005GEVB/page-1", "NCP5005GEVB")</f>
        <v>NCP5005GEVB</v>
      </c>
      <c r="B22128" s="3" t="str">
        <f>HYPERLINK("https://www.773grp.com/manufacturer/nxp-semiconductor?pageNo=48", "NXP Semiconductors")</f>
        <v>NXP Semiconductors</v>
      </c>
      <c r="C22128" s="6">
        <v>1</v>
      </c>
      <c r="D22128" s="7">
        <v>0</v>
      </c>
    </row>
    <row r="22129" spans="1:5" x14ac:dyDescent="0.25">
      <c r="A22129" t="str">
        <f>HYPERLINK("https://www.773grp.com/globalSearch/NCP5006EVB/page-1", "NCP5006EVB")</f>
        <v>NCP5006EVB</v>
      </c>
      <c r="B22129" s="3" t="str">
        <f>HYPERLINK("https://www.773grp.com/manufacturer/nxp-semiconductor?pageNo=1", "NXP Semiconductors")</f>
        <v>NXP Semiconductors</v>
      </c>
      <c r="C22129" s="6">
        <v>3</v>
      </c>
      <c r="D22129" s="7">
        <v>0</v>
      </c>
    </row>
    <row r="22130" spans="1:5" x14ac:dyDescent="0.25">
      <c r="A22130" t="str">
        <f>HYPERLINK("https://www.773grp.com/globalSearch/NCP5030MTTXGEVB/page-1", "NCP5030MTTXGEVB")</f>
        <v>NCP5030MTTXGEVB</v>
      </c>
      <c r="B22130" s="3" t="str">
        <f>HYPERLINK("https://www.773grp.com/manufacturer/nxp-semiconductor?pageNo=2", "NXP Semiconductors")</f>
        <v>NXP Semiconductors</v>
      </c>
      <c r="C22130" s="6">
        <v>1</v>
      </c>
      <c r="D22130" s="7">
        <v>0</v>
      </c>
    </row>
    <row r="22131" spans="1:5" x14ac:dyDescent="0.25">
      <c r="A22131" t="str">
        <f>HYPERLINK("https://www.773grp.com/globalSearch/NCP5104BA36WGEVB/page-1", "NCP5104BA36WGEVB")</f>
        <v>NCP5104BA36WGEVB</v>
      </c>
      <c r="B22131" s="3" t="str">
        <f>HYPERLINK("https://www.773grp.com/manufacturer/nxp-semiconductor?pageNo=3", "NXP Semiconductors")</f>
        <v>NXP Semiconductors</v>
      </c>
      <c r="C22131" s="6">
        <v>2</v>
      </c>
      <c r="D22131" s="7">
        <v>0</v>
      </c>
    </row>
    <row r="22132" spans="1:5" x14ac:dyDescent="0.25">
      <c r="A22132" t="str">
        <f>HYPERLINK("https://www.773grp.com/globalSearch/NCP5106BA36WGEVD/page-1", "NCP5106BA36WGEVD")</f>
        <v>NCP5106BA36WGEVD</v>
      </c>
      <c r="B22132" s="3" t="str">
        <f>HYPERLINK("https://www.773grp.com/manufacturer/nxp-semiconductor?pageNo=4", "NXP Semiconductors")</f>
        <v>NXP Semiconductors</v>
      </c>
      <c r="C22132" s="6">
        <v>2</v>
      </c>
      <c r="D22132" s="7">
        <v>0</v>
      </c>
    </row>
    <row r="22133" spans="1:5" x14ac:dyDescent="0.25">
      <c r="A22133" t="str">
        <f>HYPERLINK("https://www.773grp.com/globalSearch/NCP5201MNG/page-1", "NCP5201MNG")</f>
        <v>NCP5201MNG</v>
      </c>
      <c r="B22133" s="3" t="str">
        <f>HYPERLINK("https://www.773grp.com/manufacturer/nxp-semiconductor?pageNo=5", "NXP Semiconductors")</f>
        <v>NXP Semiconductors</v>
      </c>
      <c r="C22133" s="6">
        <v>155</v>
      </c>
      <c r="D22133" s="7">
        <v>0</v>
      </c>
      <c r="E22133" t="s">
        <v>30</v>
      </c>
    </row>
    <row r="22134" spans="1:5" x14ac:dyDescent="0.25">
      <c r="A22134" t="str">
        <f>HYPERLINK("https://www.773grp.com/globalSearch/NCP5316MNR2/page-1", "NCP5316MNR2")</f>
        <v>NCP5316MNR2</v>
      </c>
      <c r="B22134" s="3" t="str">
        <f>HYPERLINK("https://www.773grp.com/manufacturer/nxp-semiconductor?pageNo=6", "NXP Semiconductors")</f>
        <v>NXP Semiconductors</v>
      </c>
      <c r="C22134" s="6">
        <v>92171</v>
      </c>
      <c r="D22134" s="7">
        <v>0</v>
      </c>
      <c r="E22134" t="s">
        <v>7</v>
      </c>
    </row>
    <row r="22135" spans="1:5" x14ac:dyDescent="0.25">
      <c r="A22135" t="str">
        <f>HYPERLINK("https://www.773grp.com/globalSearch/NCP5332ADW/page-1", "NCP5332ADW")</f>
        <v>NCP5332ADW</v>
      </c>
      <c r="B22135" s="3" t="str">
        <f>HYPERLINK("https://www.773grp.com/manufacturer/nxp-semiconductor?pageNo=7", "NXP Semiconductors")</f>
        <v>NXP Semiconductors</v>
      </c>
      <c r="C22135" s="6">
        <v>416</v>
      </c>
      <c r="D22135" s="7">
        <v>0</v>
      </c>
      <c r="E22135" t="s">
        <v>7</v>
      </c>
    </row>
    <row r="22136" spans="1:5" x14ac:dyDescent="0.25">
      <c r="A22136" t="str">
        <f>HYPERLINK("https://www.773grp.com/globalSearch/NCP5372MNR2G/page-1", "NCP5372MNR2G")</f>
        <v>NCP5372MNR2G</v>
      </c>
      <c r="B22136" s="3" t="str">
        <f>HYPERLINK("https://www.773grp.com/manufacturer/nxp-semiconductor?pageNo=8", "NXP Semiconductors")</f>
        <v>NXP Semiconductors</v>
      </c>
      <c r="C22136" s="6">
        <v>7500</v>
      </c>
      <c r="D22136" s="7">
        <v>0</v>
      </c>
    </row>
    <row r="22137" spans="1:5" x14ac:dyDescent="0.25">
      <c r="A22137" t="str">
        <f>HYPERLINK("https://www.773grp.com/globalSearch/NCP5386SMNR2G/page-1", "NCP5386SMNR2G")</f>
        <v>NCP5386SMNR2G</v>
      </c>
      <c r="B22137" s="3" t="str">
        <f>HYPERLINK("https://www.773grp.com/manufacturer/nxp-semiconductor?pageNo=9", "NXP Semiconductors")</f>
        <v>NXP Semiconductors</v>
      </c>
      <c r="C22137" s="6">
        <v>22500</v>
      </c>
      <c r="D22137" s="7">
        <v>0</v>
      </c>
    </row>
    <row r="22138" spans="1:5" x14ac:dyDescent="0.25">
      <c r="A22138" t="str">
        <f>HYPERLINK("https://www.773grp.com/globalSearch/NCP5422EVB/page-1", "NCP5422EVB")</f>
        <v>NCP5422EVB</v>
      </c>
      <c r="B22138" s="3" t="str">
        <f>HYPERLINK("https://www.773grp.com/manufacturer/nxp-semiconductor?pageNo=10", "NXP Semiconductors")</f>
        <v>NXP Semiconductors</v>
      </c>
      <c r="C22138" s="6">
        <v>3</v>
      </c>
      <c r="D22138" s="7">
        <v>0</v>
      </c>
    </row>
    <row r="22139" spans="1:5" x14ac:dyDescent="0.25">
      <c r="A22139" t="str">
        <f>HYPERLINK("https://www.773grp.com/globalSearch/NCP5424EVB/page-1", "NCP5424EVB")</f>
        <v>NCP5424EVB</v>
      </c>
      <c r="B22139" s="3" t="str">
        <f>HYPERLINK("https://www.773grp.com/manufacturer/nxp-semiconductor?pageNo=11", "NXP Semiconductors")</f>
        <v>NXP Semiconductors</v>
      </c>
      <c r="C22139" s="6">
        <v>3</v>
      </c>
      <c r="D22139" s="7">
        <v>0</v>
      </c>
    </row>
    <row r="22140" spans="1:5" x14ac:dyDescent="0.25">
      <c r="A22140" t="str">
        <f>HYPERLINK("https://www.773grp.com/globalSearch/NCP5425DOEVB/page-1", "NCP5425DOEVB")</f>
        <v>NCP5425DOEVB</v>
      </c>
      <c r="B22140" s="3" t="str">
        <f>HYPERLINK("https://www.773grp.com/manufacturer/nxp-semiconductor?pageNo=12", "NXP Semiconductors")</f>
        <v>NXP Semiconductors</v>
      </c>
      <c r="C22140" s="6">
        <v>1</v>
      </c>
      <c r="D22140" s="7">
        <v>0</v>
      </c>
    </row>
    <row r="22141" spans="1:5" x14ac:dyDescent="0.25">
      <c r="A22141" t="str">
        <f>HYPERLINK("https://www.773grp.com/globalSearch/NCP5425S0EVB/page-1", "NCP5425S0EVB")</f>
        <v>NCP5425S0EVB</v>
      </c>
      <c r="B22141" s="3" t="str">
        <f>HYPERLINK("https://www.773grp.com/manufacturer/nxp-semiconductor?pageNo=13", "NXP Semiconductors")</f>
        <v>NXP Semiconductors</v>
      </c>
      <c r="C22141" s="6">
        <v>4</v>
      </c>
      <c r="D22141" s="7">
        <v>0</v>
      </c>
    </row>
    <row r="22142" spans="1:5" x14ac:dyDescent="0.25">
      <c r="A22142" t="str">
        <f>HYPERLINK("https://www.773grp.com/globalSearch/NCP5425SOEVB/page-1", "NCP5425SOEVB")</f>
        <v>NCP5425SOEVB</v>
      </c>
      <c r="B22142" s="3" t="str">
        <f>HYPERLINK("https://www.773grp.com/manufacturer/nxp-semiconductor?pageNo=14", "NXP Semiconductors")</f>
        <v>NXP Semiconductors</v>
      </c>
      <c r="C22142" s="6">
        <v>3</v>
      </c>
      <c r="D22142" s="7">
        <v>0</v>
      </c>
    </row>
    <row r="22143" spans="1:5" x14ac:dyDescent="0.25">
      <c r="A22143" t="str">
        <f>HYPERLINK("https://www.773grp.com/globalSearch/NCP552SQ33T1/page-1", "NCP552SQ33T1")</f>
        <v>NCP552SQ33T1</v>
      </c>
      <c r="B22143" s="3" t="str">
        <f>HYPERLINK("https://www.773grp.com/manufacturer/nxp-semiconductor?pageNo=15", "NXP Semiconductors")</f>
        <v>NXP Semiconductors</v>
      </c>
      <c r="C22143" s="6">
        <v>3000</v>
      </c>
      <c r="D22143" s="7">
        <v>0</v>
      </c>
      <c r="E22143" t="s">
        <v>19</v>
      </c>
    </row>
    <row r="22144" spans="1:5" x14ac:dyDescent="0.25">
      <c r="A22144" t="str">
        <f>HYPERLINK("https://www.773grp.com/globalSearch/NCP552SQ33T1G/page-1", "NCP552SQ33T1G")</f>
        <v>NCP552SQ33T1G</v>
      </c>
      <c r="B22144" s="3" t="str">
        <f>HYPERLINK("https://www.773grp.com/manufacturer/nxp-semiconductor?pageNo=16", "NXP Semiconductors")</f>
        <v>NXP Semiconductors</v>
      </c>
      <c r="C22144" s="6">
        <v>9000</v>
      </c>
      <c r="D22144" s="7">
        <v>0</v>
      </c>
    </row>
    <row r="22145" spans="1:5" x14ac:dyDescent="0.25">
      <c r="A22145" t="str">
        <f>HYPERLINK("https://www.773grp.com/globalSearch/NCP5603GEVB/page-1", "NCP5603GEVB")</f>
        <v>NCP5603GEVB</v>
      </c>
      <c r="B22145" s="3" t="str">
        <f>HYPERLINK("https://www.773grp.com/manufacturer/nxp-semiconductor?pageNo=17", "NXP Semiconductors")</f>
        <v>NXP Semiconductors</v>
      </c>
      <c r="C22145" s="6">
        <v>2</v>
      </c>
      <c r="D22145" s="7">
        <v>0</v>
      </c>
    </row>
    <row r="22146" spans="1:5" x14ac:dyDescent="0.25">
      <c r="A22146" t="str">
        <f>HYPERLINK("https://www.773grp.com/globalSearch/NCP5612GEVB/page-1", "NCP5612GEVB")</f>
        <v>NCP5612GEVB</v>
      </c>
      <c r="B22146" s="3" t="str">
        <f>HYPERLINK("https://www.773grp.com/manufacturer/nxp-semiconductor?pageNo=18", "NXP Semiconductors")</f>
        <v>NXP Semiconductors</v>
      </c>
      <c r="C22146" s="6">
        <v>1</v>
      </c>
      <c r="D22146" s="7">
        <v>0</v>
      </c>
    </row>
    <row r="22147" spans="1:5" x14ac:dyDescent="0.25">
      <c r="A22147" t="str">
        <f>HYPERLINK("https://www.773grp.com/globalSearch/NCP565V12EVB/page-1", "NCP565V12EVB")</f>
        <v>NCP565V12EVB</v>
      </c>
      <c r="B22147" s="3" t="str">
        <f>HYPERLINK("https://www.773grp.com/manufacturer/nxp-semiconductor?pageNo=19", "NXP Semiconductors")</f>
        <v>NXP Semiconductors</v>
      </c>
      <c r="C22147" s="6">
        <v>2</v>
      </c>
      <c r="D22147" s="7">
        <v>0</v>
      </c>
    </row>
    <row r="22148" spans="1:5" x14ac:dyDescent="0.25">
      <c r="A22148" t="str">
        <f>HYPERLINK("https://www.773grp.com/globalSearch/NCP582DXV33T1G/page-1", "NCP582DXV33T1G")</f>
        <v>NCP582DXV33T1G</v>
      </c>
      <c r="B22148" s="3" t="str">
        <f>HYPERLINK("https://www.773grp.com/manufacturer/nxp-semiconductor?pageNo=20", "NXP Semiconductors")</f>
        <v>NXP Semiconductors</v>
      </c>
      <c r="C22148" s="6">
        <v>3600</v>
      </c>
      <c r="D22148" s="7">
        <v>0</v>
      </c>
      <c r="E22148" t="s">
        <v>19</v>
      </c>
    </row>
    <row r="22149" spans="1:5" x14ac:dyDescent="0.25">
      <c r="A22149" t="str">
        <f>HYPERLINK("https://www.773grp.com/globalSearch/NCP583XV30T1G/page-1", "NCP583XV30T1G")</f>
        <v>NCP583XV30T1G</v>
      </c>
      <c r="B22149" s="3" t="str">
        <f>HYPERLINK("https://www.773grp.com/manufacturer/nxp-semiconductor?pageNo=21", "NXP Semiconductors")</f>
        <v>NXP Semiconductors</v>
      </c>
      <c r="C22149" s="6">
        <v>1</v>
      </c>
      <c r="D22149" s="7">
        <v>0</v>
      </c>
      <c r="E22149" t="s">
        <v>19</v>
      </c>
    </row>
    <row r="22150" spans="1:5" x14ac:dyDescent="0.25">
      <c r="A22150" t="str">
        <f>HYPERLINK("https://www.773grp.com/globalSearch/NCP61310091MNR2G/page-1", "NCP61310091MNR2G")</f>
        <v>NCP61310091MNR2G</v>
      </c>
      <c r="B22150" s="3" t="str">
        <f>HYPERLINK("https://www.773grp.com/manufacturer/nxp-semiconductor?pageNo=22", "NXP Semiconductors")</f>
        <v>NXP Semiconductors</v>
      </c>
      <c r="C22150" s="6">
        <v>27500</v>
      </c>
      <c r="D22150" s="7">
        <v>0</v>
      </c>
    </row>
    <row r="22151" spans="1:5" x14ac:dyDescent="0.25">
      <c r="A22151" t="str">
        <f>HYPERLINK("https://www.773grp.com/globalSearch/NCP692MN15T2GEVB/page-1", "NCP692MN15T2GEVB")</f>
        <v>NCP692MN15T2GEVB</v>
      </c>
      <c r="B22151" s="3" t="str">
        <f>HYPERLINK("https://www.773grp.com/manufacturer/nxp-semiconductor?pageNo=23", "NXP Semiconductors")</f>
        <v>NXP Semiconductors</v>
      </c>
      <c r="C22151" s="6">
        <v>2</v>
      </c>
      <c r="D22151" s="7">
        <v>0</v>
      </c>
    </row>
    <row r="22152" spans="1:5" x14ac:dyDescent="0.25">
      <c r="A22152" t="str">
        <f>HYPERLINK("https://www.773grp.com/globalSearch/NCP692MN18T2GEVB/page-1", "NCP692MN18T2GEVB")</f>
        <v>NCP692MN18T2GEVB</v>
      </c>
      <c r="B22152" s="3" t="str">
        <f>HYPERLINK("https://www.773grp.com/manufacturer/nxp-semiconductor?pageNo=24", "NXP Semiconductors")</f>
        <v>NXP Semiconductors</v>
      </c>
      <c r="C22152" s="6">
        <v>2</v>
      </c>
      <c r="D22152" s="7">
        <v>0</v>
      </c>
    </row>
    <row r="22153" spans="1:5" x14ac:dyDescent="0.25">
      <c r="A22153" t="str">
        <f>HYPERLINK("https://www.773grp.com/globalSearch/NCP692MN25T2GEVB/page-1", "NCP692MN25T2GEVB")</f>
        <v>NCP692MN25T2GEVB</v>
      </c>
      <c r="B22153" s="3" t="str">
        <f>HYPERLINK("https://www.773grp.com/manufacturer/nxp-semiconductor?pageNo=25", "NXP Semiconductors")</f>
        <v>NXP Semiconductors</v>
      </c>
      <c r="C22153" s="6">
        <v>2</v>
      </c>
      <c r="D22153" s="7">
        <v>0</v>
      </c>
    </row>
    <row r="22154" spans="1:5" x14ac:dyDescent="0.25">
      <c r="A22154" t="str">
        <f>HYPERLINK("https://www.773grp.com/globalSearch/NCP692MN50T2GEVB/page-1", "NCP692MN50T2GEVB")</f>
        <v>NCP692MN50T2GEVB</v>
      </c>
      <c r="B22154" s="3" t="str">
        <f>HYPERLINK("https://www.773grp.com/manufacturer/nxp-semiconductor?pageNo=26", "NXP Semiconductors")</f>
        <v>NXP Semiconductors</v>
      </c>
      <c r="C22154" s="6">
        <v>3</v>
      </c>
      <c r="D22154" s="7">
        <v>0</v>
      </c>
    </row>
    <row r="22155" spans="1:5" x14ac:dyDescent="0.25">
      <c r="A22155" t="str">
        <f>HYPERLINK("https://www.773grp.com/globalSearch/NCP694HSAN08TIG/page-1", "NCP694HSAN08TIG")</f>
        <v>NCP694HSAN08TIG</v>
      </c>
      <c r="B22155" s="3" t="str">
        <f>HYPERLINK("https://www.773grp.com/manufacturer/nxp-semiconductor?pageNo=27", "NXP Semiconductors")</f>
        <v>NXP Semiconductors</v>
      </c>
      <c r="C22155" s="6">
        <v>3000</v>
      </c>
      <c r="D22155" s="7">
        <v>0</v>
      </c>
    </row>
    <row r="22156" spans="1:5" x14ac:dyDescent="0.25">
      <c r="A22156" t="str">
        <f>HYPERLINK("https://www.773grp.com/globalSearch/NCP7815BTG/page-1", "NCP7815BTG")</f>
        <v>NCP7815BTG</v>
      </c>
      <c r="B22156" s="3" t="str">
        <f>HYPERLINK("https://www.773grp.com/manufacturer/nxp-semiconductor?pageNo=28", "NXP Semiconductors")</f>
        <v>NXP Semiconductors</v>
      </c>
      <c r="C22156" s="6">
        <v>2150</v>
      </c>
      <c r="D22156" s="7">
        <v>0</v>
      </c>
    </row>
    <row r="22157" spans="1:5" x14ac:dyDescent="0.25">
      <c r="A22157" t="str">
        <f>HYPERLINK("https://www.773grp.com/globalSearch/NCP78M15BTG/page-1", "NCP78M15BTG")</f>
        <v>NCP78M15BTG</v>
      </c>
      <c r="B22157" s="3" t="str">
        <f>HYPERLINK("https://www.773grp.com/manufacturer/nxp-semiconductor?pageNo=29", "NXP Semiconductors")</f>
        <v>NXP Semiconductors</v>
      </c>
      <c r="C22157" s="6">
        <v>20900</v>
      </c>
      <c r="D22157" s="7">
        <v>0</v>
      </c>
    </row>
    <row r="22158" spans="1:5" x14ac:dyDescent="0.25">
      <c r="A22158" t="str">
        <f>HYPERLINK("https://www.773grp.com/globalSearch/NCP79M05CTG/page-1", "NCP79M05CTG")</f>
        <v>NCP79M05CTG</v>
      </c>
      <c r="B22158" s="3" t="str">
        <f>HYPERLINK("https://www.773grp.com/manufacturer/nxp-semiconductor?pageNo=30", "NXP Semiconductors")</f>
        <v>NXP Semiconductors</v>
      </c>
      <c r="C22158" s="6">
        <v>3300</v>
      </c>
      <c r="D22158" s="7">
        <v>0</v>
      </c>
    </row>
    <row r="22159" spans="1:5" x14ac:dyDescent="0.25">
      <c r="A22159" t="str">
        <f>HYPERLINK("https://www.773grp.com/globalSearch/NCP802SAN5T1G/page-1", "NCP802SAN5T1G")</f>
        <v>NCP802SAN5T1G</v>
      </c>
      <c r="B22159" s="3" t="str">
        <f>HYPERLINK("https://www.773grp.com/manufacturer/nxp-semiconductor?pageNo=31", "NXP Semiconductors")</f>
        <v>NXP Semiconductors</v>
      </c>
      <c r="C22159" s="6">
        <v>9000</v>
      </c>
      <c r="D22159" s="7">
        <v>0</v>
      </c>
      <c r="E22159" t="s">
        <v>30</v>
      </c>
    </row>
    <row r="22160" spans="1:5" x14ac:dyDescent="0.25">
      <c r="A22160" t="str">
        <f>HYPERLINK("https://www.773grp.com/globalSearch/NCS2201SN2T1/page-1", "NCS2201SN2T1")</f>
        <v>NCS2201SN2T1</v>
      </c>
      <c r="B22160" s="3" t="str">
        <f>HYPERLINK("https://www.773grp.com/manufacturer/nxp-semiconductor?pageNo=32", "NXP Semiconductors")</f>
        <v>NXP Semiconductors</v>
      </c>
      <c r="C22160" s="6">
        <v>6000</v>
      </c>
      <c r="D22160" s="7">
        <v>0</v>
      </c>
      <c r="E22160" t="s">
        <v>9</v>
      </c>
    </row>
    <row r="22161" spans="1:5" x14ac:dyDescent="0.25">
      <c r="A22161" t="str">
        <f>HYPERLINK("https://www.773grp.com/globalSearch/NCS2220AGEVB/page-1", "NCS2220AGEVB")</f>
        <v>NCS2220AGEVB</v>
      </c>
      <c r="B22161" s="3" t="str">
        <f>HYPERLINK("https://www.773grp.com/manufacturer/nxp-semiconductor?pageNo=33", "NXP Semiconductors")</f>
        <v>NXP Semiconductors</v>
      </c>
      <c r="C22161" s="6">
        <v>1</v>
      </c>
      <c r="D22161" s="7">
        <v>0</v>
      </c>
    </row>
    <row r="22162" spans="1:5" x14ac:dyDescent="0.25">
      <c r="A22162" t="str">
        <f>HYPERLINK("https://www.773grp.com/globalSearch/NCS2253DG/page-1", "NCS2253DG")</f>
        <v>NCS2253DG</v>
      </c>
      <c r="B22162" s="3" t="str">
        <f>HYPERLINK("https://www.773grp.com/manufacturer/nxp-semiconductor?pageNo=34", "NXP Semiconductors")</f>
        <v>NXP Semiconductors</v>
      </c>
      <c r="C22162" s="6">
        <v>98</v>
      </c>
      <c r="D22162" s="7">
        <v>0</v>
      </c>
    </row>
    <row r="22163" spans="1:5" x14ac:dyDescent="0.25">
      <c r="A22163" t="str">
        <f>HYPERLINK("https://www.773grp.com/globalSearch/NCS2553DGEVB/page-1", "NCS2553DGEVB")</f>
        <v>NCS2553DGEVB</v>
      </c>
      <c r="B22163" s="3" t="str">
        <f>HYPERLINK("https://www.773grp.com/manufacturer/nxp-semiconductor?pageNo=35", "NXP Semiconductors")</f>
        <v>NXP Semiconductors</v>
      </c>
      <c r="C22163" s="6">
        <v>4</v>
      </c>
      <c r="D22163" s="7">
        <v>0</v>
      </c>
    </row>
    <row r="22164" spans="1:5" x14ac:dyDescent="0.25">
      <c r="A22164" t="str">
        <f>HYPERLINK("https://www.773grp.com/globalSearch/NCV1117DT20R/page-1", "NCV1117DT20R")</f>
        <v>NCV1117DT20R</v>
      </c>
      <c r="B22164" s="3" t="str">
        <f>HYPERLINK("https://www.773grp.com/manufacturer/nxp-semiconductor?pageNo=36", "NXP Semiconductors")</f>
        <v>NXP Semiconductors</v>
      </c>
      <c r="C22164" s="6">
        <v>2500</v>
      </c>
      <c r="D22164" s="7">
        <v>0</v>
      </c>
    </row>
    <row r="22165" spans="1:5" x14ac:dyDescent="0.25">
      <c r="A22165" t="str">
        <f>HYPERLINK("https://www.773grp.com/globalSearch/NCV3063DR2GH/page-1", "NCV3063DR2GH")</f>
        <v>NCV3063DR2GH</v>
      </c>
      <c r="B22165" s="3" t="str">
        <f>HYPERLINK("https://www.773grp.com/manufacturer/nxp-semiconductor?pageNo=37", "NXP Semiconductors")</f>
        <v>NXP Semiconductors</v>
      </c>
      <c r="C22165" s="6">
        <v>3281</v>
      </c>
      <c r="D22165" s="7">
        <v>0</v>
      </c>
    </row>
    <row r="22166" spans="1:5" x14ac:dyDescent="0.25">
      <c r="A22166" t="str">
        <f>HYPERLINK("https://www.773grp.com/globalSearch/NCV4264-2ST33T3G  REEL/page-1", "NCV4264-2ST33T3G  REEL")</f>
        <v>NCV4264-2ST33T3G  REEL</v>
      </c>
      <c r="B22166" s="3" t="str">
        <f>HYPERLINK("https://www.773grp.com/manufacturer/nxp-semiconductor?pageNo=38", "NXP Semiconductors")</f>
        <v>NXP Semiconductors</v>
      </c>
      <c r="C22166" s="6">
        <v>1022</v>
      </c>
      <c r="D22166" s="7">
        <v>0</v>
      </c>
    </row>
    <row r="22167" spans="1:5" x14ac:dyDescent="0.25">
      <c r="A22167" t="str">
        <f>HYPERLINK("https://www.773grp.com/globalSearch/NCV4275DSR4G/page-1", "NCV4275DSR4G")</f>
        <v>NCV4275DSR4G</v>
      </c>
      <c r="B22167" s="3" t="str">
        <f>HYPERLINK("https://www.773grp.com/manufacturer/nxp-semiconductor?pageNo=39", "NXP Semiconductors")</f>
        <v>NXP Semiconductors</v>
      </c>
      <c r="C22167" s="6">
        <v>4880</v>
      </c>
      <c r="D22167" s="7">
        <v>0</v>
      </c>
      <c r="E22167" t="s">
        <v>19</v>
      </c>
    </row>
    <row r="22168" spans="1:5" x14ac:dyDescent="0.25">
      <c r="A22168" t="str">
        <f>HYPERLINK("https://www.773grp.com/globalSearch/NCV7708AGEVB/page-1", "NCV7708AGEVB")</f>
        <v>NCV7708AGEVB</v>
      </c>
      <c r="B22168" s="3" t="str">
        <f>HYPERLINK("https://www.773grp.com/manufacturer/nxp-semiconductor?pageNo=40", "NXP Semiconductors")</f>
        <v>NXP Semiconductors</v>
      </c>
      <c r="C22168" s="6">
        <v>4</v>
      </c>
      <c r="D22168" s="7">
        <v>0</v>
      </c>
    </row>
    <row r="22169" spans="1:5" x14ac:dyDescent="0.25">
      <c r="A22169" t="str">
        <f>HYPERLINK("https://www.773grp.com/globalSearch/NCV8570MBN300R2G/page-1", "NCV8570MBN300R2G")</f>
        <v>NCV8570MBN300R2G</v>
      </c>
      <c r="B22169" s="3" t="str">
        <f>HYPERLINK("https://www.773grp.com/manufacturer/nxp-semiconductor?pageNo=41", "NXP Semiconductors")</f>
        <v>NXP Semiconductors</v>
      </c>
      <c r="C22169" s="6">
        <v>498</v>
      </c>
      <c r="D22169" s="7">
        <v>0</v>
      </c>
    </row>
    <row r="22170" spans="1:5" x14ac:dyDescent="0.25">
      <c r="A22170" t="str">
        <f>HYPERLINK("https://www.773grp.com/globalSearch/NCV8570SN18T1G/page-1", "NCV8570SN18T1G")</f>
        <v>NCV8570SN18T1G</v>
      </c>
      <c r="B22170" s="3" t="str">
        <f>HYPERLINK("https://www.773grp.com/manufacturer/nxp-semiconductor?pageNo=42", "NXP Semiconductors")</f>
        <v>NXP Semiconductors</v>
      </c>
      <c r="C22170" s="6">
        <v>6000</v>
      </c>
      <c r="D22170" s="7">
        <v>0</v>
      </c>
    </row>
    <row r="22171" spans="1:5" x14ac:dyDescent="0.25">
      <c r="A22171" t="str">
        <f>HYPERLINK("https://www.773grp.com/globalSearch/NCV8570SN28T1G/page-1", "NCV8570SN28T1G")</f>
        <v>NCV8570SN28T1G</v>
      </c>
      <c r="B22171" s="3" t="str">
        <f>HYPERLINK("https://www.773grp.com/manufacturer/nxp-semiconductor?pageNo=43", "NXP Semiconductors")</f>
        <v>NXP Semiconductors</v>
      </c>
      <c r="C22171" s="6">
        <v>6000</v>
      </c>
      <c r="D22171" s="7">
        <v>0</v>
      </c>
      <c r="E22171" t="s">
        <v>19</v>
      </c>
    </row>
    <row r="22172" spans="1:5" x14ac:dyDescent="0.25">
      <c r="A22172" t="str">
        <f>HYPERLINK("https://www.773grp.com/globalSearch/NCV8675DS50GEVB/page-1", "NCV8675DS50GEVB")</f>
        <v>NCV8675DS50GEVB</v>
      </c>
      <c r="B22172" s="3" t="str">
        <f>HYPERLINK("https://www.773grp.com/manufacturer/nxp-semiconductor?pageNo=44", "NXP Semiconductors")</f>
        <v>NXP Semiconductors</v>
      </c>
      <c r="C22172" s="6">
        <v>1</v>
      </c>
      <c r="D22172" s="7">
        <v>0</v>
      </c>
    </row>
    <row r="22173" spans="1:5" x14ac:dyDescent="0.25">
      <c r="A22173" t="str">
        <f>HYPERLINK("https://www.773grp.com/globalSearch/NCV8800HDW75R2G/page-1", "NCV8800HDW75R2G")</f>
        <v>NCV8800HDW75R2G</v>
      </c>
      <c r="B22173" s="3" t="str">
        <f>HYPERLINK("https://www.773grp.com/manufacturer/nxp-semiconductor?pageNo=45", "NXP Semiconductors")</f>
        <v>NXP Semiconductors</v>
      </c>
      <c r="C22173" s="6">
        <v>12000</v>
      </c>
      <c r="D22173" s="7">
        <v>0</v>
      </c>
      <c r="E22173" t="s">
        <v>7</v>
      </c>
    </row>
    <row r="22174" spans="1:5" x14ac:dyDescent="0.25">
      <c r="A22174" t="str">
        <f>HYPERLINK("https://www.773grp.com/globalSearch/NCV8842PWGEVB/page-1", "NCV8842PWGEVB")</f>
        <v>NCV8842PWGEVB</v>
      </c>
      <c r="B22174" s="3" t="str">
        <f>HYPERLINK("https://www.773grp.com/manufacturer/nxp-semiconductor?pageNo=46", "NXP Semiconductors")</f>
        <v>NXP Semiconductors</v>
      </c>
      <c r="C22174" s="6">
        <v>1</v>
      </c>
      <c r="D22174" s="7">
        <v>0</v>
      </c>
    </row>
    <row r="22175" spans="1:5" x14ac:dyDescent="0.25">
      <c r="A22175" t="str">
        <f>HYPERLINK("https://www.773grp.com/globalSearch/NCV8843MNR2GEVB/page-1", "NCV8843MNR2GEVB")</f>
        <v>NCV8843MNR2GEVB</v>
      </c>
      <c r="B22175" s="3" t="str">
        <f>HYPERLINK("https://www.773grp.com/manufacturer/nxp-semiconductor?pageNo=47", "NXP Semiconductors")</f>
        <v>NXP Semiconductors</v>
      </c>
      <c r="C22175" s="6">
        <v>1</v>
      </c>
      <c r="D22175" s="7">
        <v>0</v>
      </c>
    </row>
    <row r="22176" spans="1:5" x14ac:dyDescent="0.25">
      <c r="A22176" t="str">
        <f>HYPERLINK("https://www.773grp.com/globalSearch/NCV8925SNT1G/page-1", "NCV8925SNT1G")</f>
        <v>NCV8925SNT1G</v>
      </c>
      <c r="B22176" s="3" t="str">
        <f>HYPERLINK("https://www.773grp.com/manufacturer/nxp-semiconductor?pageNo=48", "NXP Semiconductors")</f>
        <v>NXP Semiconductors</v>
      </c>
      <c r="C22176" s="6">
        <v>6000</v>
      </c>
      <c r="D22176" s="7">
        <v>0</v>
      </c>
    </row>
    <row r="22177" spans="1:4" x14ac:dyDescent="0.25">
      <c r="A22177" t="str">
        <f>HYPERLINK("https://www.773grp.com/globalSearch/NCY9001DR2G/page-1", "NCY9001DR2G")</f>
        <v>NCY9001DR2G</v>
      </c>
      <c r="B22177" s="3" t="str">
        <f>HYPERLINK("https://www.773grp.com/manufacturer/onsemi?pageNo=1", "ON Semiconductor")</f>
        <v>ON Semiconductor</v>
      </c>
      <c r="C22177" s="6">
        <v>5000</v>
      </c>
      <c r="D22177" s="7">
        <v>0</v>
      </c>
    </row>
    <row r="22178" spans="1:4" x14ac:dyDescent="0.25">
      <c r="A22178" t="str">
        <f>HYPERLINK("https://www.773grp.com/globalSearch/NDD05N50Z-1G9/page-1", "NDD05N50Z-1G9")</f>
        <v>NDD05N50Z-1G9</v>
      </c>
      <c r="B22178" s="3" t="str">
        <f>HYPERLINK("https://www.773grp.com/manufacturer/onsemi?pageNo=2", "ON Semiconductor")</f>
        <v>ON Semiconductor</v>
      </c>
      <c r="C22178" s="6">
        <v>6000</v>
      </c>
      <c r="D22178" s="7">
        <v>0</v>
      </c>
    </row>
    <row r="22179" spans="1:4" x14ac:dyDescent="0.25">
      <c r="A22179" t="str">
        <f>HYPERLINK("https://www.773grp.com/globalSearch/NDT4863N-1G/page-1", "NDT4863N-1G")</f>
        <v>NDT4863N-1G</v>
      </c>
      <c r="B22179" s="3" t="str">
        <f>HYPERLINK("https://www.773grp.com/manufacturer/onsemi?pageNo=3", "ON Semiconductor")</f>
        <v>ON Semiconductor</v>
      </c>
      <c r="C22179" s="6">
        <v>15600</v>
      </c>
      <c r="D22179" s="7">
        <v>0</v>
      </c>
    </row>
    <row r="22180" spans="1:4" x14ac:dyDescent="0.25">
      <c r="A22180" t="str">
        <f>HYPERLINK("https://www.773grp.com/globalSearch/NDT60N02RT4/page-1", "NDT60N02RT4")</f>
        <v>NDT60N02RT4</v>
      </c>
      <c r="B22180" s="3" t="str">
        <f>HYPERLINK("https://www.773grp.com/manufacturer/onsemi?pageNo=4", "ON Semiconductor")</f>
        <v>ON Semiconductor</v>
      </c>
      <c r="C22180" s="6">
        <v>15000</v>
      </c>
      <c r="D22180" s="7">
        <v>0</v>
      </c>
    </row>
    <row r="22181" spans="1:4" x14ac:dyDescent="0.25">
      <c r="A22181" t="str">
        <f>HYPERLINK("https://www.773grp.com/globalSearch/NFA47B30L45G/page-1", "NFA47B30L45G")</f>
        <v>NFA47B30L45G</v>
      </c>
      <c r="B22181" s="3" t="str">
        <f>HYPERLINK("https://www.773grp.com/manufacturer/onsemi?pageNo=5", "ON Semiconductor")</f>
        <v>ON Semiconductor</v>
      </c>
      <c r="C22181" s="6">
        <v>2894</v>
      </c>
      <c r="D22181" s="7">
        <v>0</v>
      </c>
    </row>
    <row r="22182" spans="1:4" x14ac:dyDescent="0.25">
      <c r="A22182" t="str">
        <f>HYPERLINK("https://www.773grp.com/globalSearch/NJVBD139G/page-1", "NJVBD139G")</f>
        <v>NJVBD139G</v>
      </c>
      <c r="B22182" s="3" t="str">
        <f>HYPERLINK("https://www.773grp.com/manufacturer/onsemi?pageNo=6", "ON Semiconductor")</f>
        <v>ON Semiconductor</v>
      </c>
      <c r="C22182" s="6">
        <v>6000</v>
      </c>
      <c r="D22182" s="7">
        <v>0</v>
      </c>
    </row>
    <row r="22183" spans="1:4" x14ac:dyDescent="0.25">
      <c r="A22183" t="str">
        <f>HYPERLINK("https://www.773grp.com/globalSearch/NJVBD437TG/page-1", "NJVBD437TG")</f>
        <v>NJVBD437TG</v>
      </c>
      <c r="B22183" s="3" t="str">
        <f>HYPERLINK("https://www.773grp.com/manufacturer/onsemi?pageNo=7", "ON Semiconductor")</f>
        <v>ON Semiconductor</v>
      </c>
      <c r="C22183" s="6">
        <v>5800</v>
      </c>
      <c r="D22183" s="7">
        <v>0</v>
      </c>
    </row>
    <row r="22184" spans="1:4" x14ac:dyDescent="0.25">
      <c r="A22184" t="str">
        <f>HYPERLINK("https://www.773grp.com/globalSearch/NJVBDX33CG/page-1", "NJVBDX33CG")</f>
        <v>NJVBDX33CG</v>
      </c>
      <c r="B22184" s="3" t="str">
        <f>HYPERLINK("https://www.773grp.com/manufacturer/onsemi?pageNo=8", "ON Semiconductor")</f>
        <v>ON Semiconductor</v>
      </c>
      <c r="C22184" s="6">
        <v>29150</v>
      </c>
      <c r="D22184" s="7">
        <v>0</v>
      </c>
    </row>
    <row r="22185" spans="1:4" x14ac:dyDescent="0.25">
      <c r="A22185" t="str">
        <f>HYPERLINK("https://www.773grp.com/globalSearch/NJVD44H11G/page-1", "NJVD44H11G")</f>
        <v>NJVD44H11G</v>
      </c>
      <c r="B22185" s="3" t="str">
        <f>HYPERLINK("https://www.773grp.com/manufacturer/onsemi?pageNo=9", "ON Semiconductor")</f>
        <v>ON Semiconductor</v>
      </c>
      <c r="C22185" s="6">
        <v>350</v>
      </c>
      <c r="D22185" s="7">
        <v>0</v>
      </c>
    </row>
    <row r="22186" spans="1:4" x14ac:dyDescent="0.25">
      <c r="A22186" t="str">
        <f>HYPERLINK("https://www.773grp.com/globalSearch/NJVD45H11G/page-1", "NJVD45H11G")</f>
        <v>NJVD45H11G</v>
      </c>
      <c r="B22186" s="3" t="str">
        <f>HYPERLINK("https://www.773grp.com/manufacturer/onsemi?pageNo=10", "ON Semiconductor")</f>
        <v>ON Semiconductor</v>
      </c>
      <c r="C22186" s="6">
        <v>2193</v>
      </c>
      <c r="D22186" s="7">
        <v>0</v>
      </c>
    </row>
    <row r="22187" spans="1:4" x14ac:dyDescent="0.25">
      <c r="A22187" t="str">
        <f>HYPERLINK("https://www.773grp.com/globalSearch/NJVMJE15032G/page-1", "NJVMJE15032G")</f>
        <v>NJVMJE15032G</v>
      </c>
      <c r="B22187" s="3" t="str">
        <f>HYPERLINK("https://www.773grp.com/manufacturer/onsemi?pageNo=11", "ON Semiconductor")</f>
        <v>ON Semiconductor</v>
      </c>
      <c r="C22187" s="6">
        <v>45718</v>
      </c>
      <c r="D22187" s="7">
        <v>0</v>
      </c>
    </row>
    <row r="22188" spans="1:4" x14ac:dyDescent="0.25">
      <c r="A22188" t="str">
        <f>HYPERLINK("https://www.773grp.com/globalSearch/NJVTIP32BG/page-1", "NJVTIP32BG")</f>
        <v>NJVTIP32BG</v>
      </c>
      <c r="B22188" s="3" t="str">
        <f>HYPERLINK("https://www.773grp.com/manufacturer/onsemi?pageNo=12", "ON Semiconductor")</f>
        <v>ON Semiconductor</v>
      </c>
      <c r="C22188" s="6">
        <v>10300</v>
      </c>
      <c r="D22188" s="7">
        <v>0</v>
      </c>
    </row>
    <row r="22189" spans="1:4" x14ac:dyDescent="0.25">
      <c r="A22189" t="str">
        <f>HYPERLINK("https://www.773grp.com/globalSearch/NJVTIP42CG/page-1", "NJVTIP42CG")</f>
        <v>NJVTIP42CG</v>
      </c>
      <c r="B22189" s="3" t="str">
        <f>HYPERLINK("https://www.773grp.com/manufacturer/onsemi?pageNo=13", "ON Semiconductor")</f>
        <v>ON Semiconductor</v>
      </c>
      <c r="C22189" s="6">
        <v>2406</v>
      </c>
      <c r="D22189" s="7">
        <v>0</v>
      </c>
    </row>
    <row r="22190" spans="1:4" x14ac:dyDescent="0.25">
      <c r="A22190" t="str">
        <f>HYPERLINK("https://www.773grp.com/globalSearch/NL17SZ06DFT2GH/page-1", "NL17SZ06DFT2GH")</f>
        <v>NL17SZ06DFT2GH</v>
      </c>
      <c r="B22190" s="3" t="str">
        <f>HYPERLINK("https://www.773grp.com/manufacturer/onsemi?pageNo=14", "ON Semiconductor")</f>
        <v>ON Semiconductor</v>
      </c>
      <c r="C22190" s="6">
        <v>63000</v>
      </c>
      <c r="D22190" s="7">
        <v>0</v>
      </c>
    </row>
    <row r="22191" spans="1:4" x14ac:dyDescent="0.25">
      <c r="A22191" t="str">
        <f>HYPERLINK("https://www.773grp.com/globalSearch/NL27WZ32USGH/page-1", "NL27WZ32USGH")</f>
        <v>NL27WZ32USGH</v>
      </c>
      <c r="B22191" s="3" t="str">
        <f>HYPERLINK("https://www.773grp.com/manufacturer/onsemi?pageNo=15", "ON Semiconductor")</f>
        <v>ON Semiconductor</v>
      </c>
      <c r="C22191" s="6">
        <v>75000</v>
      </c>
      <c r="D22191" s="7">
        <v>0</v>
      </c>
    </row>
    <row r="22192" spans="1:4" x14ac:dyDescent="0.25">
      <c r="A22192" t="str">
        <f>HYPERLINK("https://www.773grp.com/globalSearch/NL37WZ06U/page-1", "NL37WZ06U")</f>
        <v>NL37WZ06U</v>
      </c>
      <c r="B22192" s="3" t="str">
        <f>HYPERLINK("https://www.773grp.com/manufacturer/onsemi?pageNo=16", "ON Semiconductor")</f>
        <v>ON Semiconductor</v>
      </c>
      <c r="C22192" s="6">
        <v>6000</v>
      </c>
      <c r="D22192" s="7">
        <v>0</v>
      </c>
    </row>
    <row r="22193" spans="1:5" x14ac:dyDescent="0.25">
      <c r="A22193" t="str">
        <f>HYPERLINK("https://www.773grp.com/globalSearch/NLAS9031DFT2G/page-1", "NLAS9031DFT2G")</f>
        <v>NLAS9031DFT2G</v>
      </c>
      <c r="B22193" s="3" t="str">
        <f>HYPERLINK("https://www.773grp.com/manufacturer/onsemi?pageNo=17", "ON Semiconductor")</f>
        <v>ON Semiconductor</v>
      </c>
      <c r="C22193" s="6">
        <v>24000</v>
      </c>
      <c r="D22193" s="7">
        <v>0</v>
      </c>
      <c r="E22193" t="s">
        <v>56</v>
      </c>
    </row>
    <row r="22194" spans="1:5" x14ac:dyDescent="0.25">
      <c r="A22194" t="str">
        <f>HYPERLINK("https://www.773grp.com/globalSearch/NLAS9031MTR2G/page-1", "NLAS9031MTR2G")</f>
        <v>NLAS9031MTR2G</v>
      </c>
      <c r="B22194" s="3" t="str">
        <f>HYPERLINK("https://www.773grp.com/manufacturer/onsemi?pageNo=18", "ON Semiconductor")</f>
        <v>ON Semiconductor</v>
      </c>
      <c r="C22194" s="6">
        <v>42000</v>
      </c>
      <c r="D22194" s="7">
        <v>0</v>
      </c>
      <c r="E22194" t="s">
        <v>56</v>
      </c>
    </row>
    <row r="22195" spans="1:5" x14ac:dyDescent="0.25">
      <c r="A22195" t="str">
        <f>HYPERLINK("https://www.773grp.com/globalSearch/NLAS9041DFT2G/page-1", "NLAS9041DFT2G")</f>
        <v>NLAS9041DFT2G</v>
      </c>
      <c r="B22195" s="3" t="str">
        <f>HYPERLINK("https://www.773grp.com/manufacturer/onsemi?pageNo=19", "ON Semiconductor")</f>
        <v>ON Semiconductor</v>
      </c>
      <c r="C22195" s="6">
        <v>24000</v>
      </c>
      <c r="D22195" s="7">
        <v>0</v>
      </c>
      <c r="E22195" t="s">
        <v>56</v>
      </c>
    </row>
    <row r="22196" spans="1:5" x14ac:dyDescent="0.25">
      <c r="A22196" t="str">
        <f>HYPERLINK("https://www.773grp.com/globalSearch/NLJ74HC00ADTR2G/page-1", "NLJ74HC00ADTR2G")</f>
        <v>NLJ74HC00ADTR2G</v>
      </c>
      <c r="B22196" s="3" t="str">
        <f>HYPERLINK("https://www.773grp.com/manufacturer/onsemi?pageNo=20", "ON Semiconductor")</f>
        <v>ON Semiconductor</v>
      </c>
      <c r="C22196" s="6">
        <v>5000</v>
      </c>
      <c r="D22196" s="7">
        <v>0</v>
      </c>
    </row>
    <row r="22197" spans="1:5" x14ac:dyDescent="0.25">
      <c r="A22197" t="str">
        <f>HYPERLINK("https://www.773grp.com/globalSearch/NLSF2500MN1R2G/page-1", "NLSF2500MN1R2G")</f>
        <v>NLSF2500MN1R2G</v>
      </c>
      <c r="B22197" s="3" t="str">
        <f>HYPERLINK("https://www.773grp.com/manufacturer/onsemi?pageNo=21", "ON Semiconductor")</f>
        <v>ON Semiconductor</v>
      </c>
      <c r="C22197" s="6">
        <v>975000</v>
      </c>
      <c r="D22197" s="7">
        <v>0</v>
      </c>
      <c r="E22197" t="s">
        <v>42</v>
      </c>
    </row>
    <row r="22198" spans="1:5" x14ac:dyDescent="0.25">
      <c r="A22198" t="str">
        <f>HYPERLINK("https://www.773grp.com/globalSearch/NLSFWT125MNR2G/page-1", "NLSFWT125MNR2G")</f>
        <v>NLSFWT125MNR2G</v>
      </c>
      <c r="B22198" s="3" t="str">
        <f>HYPERLINK("https://www.773grp.com/manufacturer/onsemi?pageNo=22", "ON Semiconductor")</f>
        <v>ON Semiconductor</v>
      </c>
      <c r="C22198" s="6">
        <v>6000</v>
      </c>
      <c r="D22198" s="7">
        <v>0</v>
      </c>
    </row>
    <row r="22199" spans="1:5" x14ac:dyDescent="0.25">
      <c r="A22199" t="str">
        <f>HYPERLINK("https://www.773grp.com/globalSearch/NLUG1G86MUTCG/page-1", "NLUG1G86MUTCG")</f>
        <v>NLUG1G86MUTCG</v>
      </c>
      <c r="B22199" s="3" t="str">
        <f>HYPERLINK("https://www.773grp.com/manufacturer/onsemi?pageNo=23", "ON Semiconductor")</f>
        <v>ON Semiconductor</v>
      </c>
      <c r="C22199" s="6">
        <v>3000</v>
      </c>
      <c r="D22199" s="7">
        <v>0</v>
      </c>
    </row>
    <row r="22200" spans="1:5" x14ac:dyDescent="0.25">
      <c r="A22200" t="str">
        <f>HYPERLINK("https://www.773grp.com/globalSearch/NLV14001BCP/page-1", "NLV14001BCP")</f>
        <v>NLV14001BCP</v>
      </c>
      <c r="B22200" s="3" t="str">
        <f>HYPERLINK("https://www.773grp.com/manufacturer/onsemi?pageNo=24", "ON Semiconductor")</f>
        <v>ON Semiconductor</v>
      </c>
      <c r="C22200" s="6">
        <v>4000</v>
      </c>
      <c r="D22200" s="7">
        <v>0</v>
      </c>
    </row>
    <row r="22201" spans="1:5" x14ac:dyDescent="0.25">
      <c r="A22201" t="str">
        <f>HYPERLINK("https://www.773grp.com/globalSearch/NLV14001BDR2/page-1", "NLV14001BDR2")</f>
        <v>NLV14001BDR2</v>
      </c>
      <c r="B22201" s="3" t="str">
        <f>HYPERLINK("https://www.773grp.com/manufacturer/onsemi?pageNo=25", "ON Semiconductor")</f>
        <v>ON Semiconductor</v>
      </c>
      <c r="C22201" s="6">
        <v>7500</v>
      </c>
      <c r="D22201" s="7">
        <v>0</v>
      </c>
    </row>
    <row r="22202" spans="1:5" x14ac:dyDescent="0.25">
      <c r="A22202" t="str">
        <f>HYPERLINK("https://www.773grp.com/globalSearch/NLV14012BDR2/page-1", "NLV14012BDR2")</f>
        <v>NLV14012BDR2</v>
      </c>
      <c r="B22202" s="3" t="str">
        <f>HYPERLINK("https://www.773grp.com/manufacturer/onsemi?pageNo=26", "ON Semiconductor")</f>
        <v>ON Semiconductor</v>
      </c>
      <c r="C22202" s="6">
        <v>20000</v>
      </c>
      <c r="D22202" s="7">
        <v>0</v>
      </c>
    </row>
    <row r="22203" spans="1:5" x14ac:dyDescent="0.25">
      <c r="A22203" t="str">
        <f>HYPERLINK("https://www.773grp.com/globalSearch/NLV14013BCPG/page-1", "NLV14013BCPG")</f>
        <v>NLV14013BCPG</v>
      </c>
      <c r="B22203" s="3" t="str">
        <f>HYPERLINK("https://www.773grp.com/manufacturer/onsemi?pageNo=27", "ON Semiconductor")</f>
        <v>ON Semiconductor</v>
      </c>
      <c r="C22203" s="6">
        <v>150</v>
      </c>
      <c r="D22203" s="7">
        <v>0</v>
      </c>
    </row>
    <row r="22204" spans="1:5" x14ac:dyDescent="0.25">
      <c r="A22204" t="str">
        <f>HYPERLINK("https://www.773grp.com/globalSearch/NLV14013BFELG/page-1", "NLV14013BFELG")</f>
        <v>NLV14013BFELG</v>
      </c>
      <c r="B22204" s="3" t="str">
        <f>HYPERLINK("https://www.773grp.com/manufacturer/onsemi?pageNo=28", "ON Semiconductor")</f>
        <v>ON Semiconductor</v>
      </c>
      <c r="C22204" s="6">
        <v>2326</v>
      </c>
      <c r="D22204" s="7">
        <v>0</v>
      </c>
    </row>
    <row r="22205" spans="1:5" x14ac:dyDescent="0.25">
      <c r="A22205" t="str">
        <f>HYPERLINK("https://www.773grp.com/globalSearch/NLV14014BFELG/page-1", "NLV14014BFELG")</f>
        <v>NLV14014BFELG</v>
      </c>
      <c r="B22205" s="3" t="str">
        <f>HYPERLINK("https://www.773grp.com/manufacturer/onsemi?pageNo=29", "ON Semiconductor")</f>
        <v>ON Semiconductor</v>
      </c>
      <c r="C22205" s="6">
        <v>2000</v>
      </c>
      <c r="D22205" s="7">
        <v>0</v>
      </c>
    </row>
    <row r="22206" spans="1:5" x14ac:dyDescent="0.25">
      <c r="A22206" t="str">
        <f>HYPERLINK("https://www.773grp.com/globalSearch/NLV14017BCPG/page-1", "NLV14017BCPG")</f>
        <v>NLV14017BCPG</v>
      </c>
      <c r="B22206" s="3" t="str">
        <f>HYPERLINK("https://www.773grp.com/manufacturer/onsemi?pageNo=30", "ON Semiconductor")</f>
        <v>ON Semiconductor</v>
      </c>
      <c r="C22206" s="6">
        <v>50</v>
      </c>
      <c r="D22206" s="7">
        <v>0</v>
      </c>
    </row>
    <row r="22207" spans="1:5" x14ac:dyDescent="0.25">
      <c r="A22207" t="str">
        <f>HYPERLINK("https://www.773grp.com/globalSearch/NLV14020BCPG/page-1", "NLV14020BCPG")</f>
        <v>NLV14020BCPG</v>
      </c>
      <c r="B22207" s="3" t="str">
        <f>HYPERLINK("https://www.773grp.com/manufacturer/onsemi?pageNo=31", "ON Semiconductor")</f>
        <v>ON Semiconductor</v>
      </c>
      <c r="C22207" s="6">
        <v>50</v>
      </c>
      <c r="D22207" s="7">
        <v>0</v>
      </c>
    </row>
    <row r="22208" spans="1:5" x14ac:dyDescent="0.25">
      <c r="A22208" t="str">
        <f>HYPERLINK("https://www.773grp.com/globalSearch/NLV14028BCPG/page-1", "NLV14028BCPG")</f>
        <v>NLV14028BCPG</v>
      </c>
      <c r="B22208" s="3" t="str">
        <f>HYPERLINK("https://www.773grp.com/manufacturer/onsemi?pageNo=32", "ON Semiconductor")</f>
        <v>ON Semiconductor</v>
      </c>
      <c r="C22208" s="6">
        <v>650</v>
      </c>
      <c r="D22208" s="7">
        <v>0</v>
      </c>
    </row>
    <row r="22209" spans="1:4" x14ac:dyDescent="0.25">
      <c r="A22209" t="str">
        <f>HYPERLINK("https://www.773grp.com/globalSearch/NLV14042BCP/page-1", "NLV14042BCP")</f>
        <v>NLV14042BCP</v>
      </c>
      <c r="B22209" s="3" t="str">
        <f>HYPERLINK("https://www.773grp.com/manufacturer/onsemi?pageNo=33", "ON Semiconductor")</f>
        <v>ON Semiconductor</v>
      </c>
      <c r="C22209" s="6">
        <v>1950</v>
      </c>
      <c r="D22209" s="7">
        <v>0</v>
      </c>
    </row>
    <row r="22210" spans="1:4" x14ac:dyDescent="0.25">
      <c r="A22210" t="str">
        <f>HYPERLINK("https://www.773grp.com/globalSearch/NLV14043BCPG/page-1", "NLV14043BCPG")</f>
        <v>NLV14043BCPG</v>
      </c>
      <c r="B22210" s="3" t="str">
        <f>HYPERLINK("https://www.773grp.com/manufacturer/onsemi?pageNo=34", "ON Semiconductor")</f>
        <v>ON Semiconductor</v>
      </c>
      <c r="C22210" s="6">
        <v>50</v>
      </c>
      <c r="D22210" s="7">
        <v>0</v>
      </c>
    </row>
    <row r="22211" spans="1:4" x14ac:dyDescent="0.25">
      <c r="A22211" t="str">
        <f>HYPERLINK("https://www.773grp.com/globalSearch/NLV14046BFELG/page-1", "NLV14046BFELG")</f>
        <v>NLV14046BFELG</v>
      </c>
      <c r="B22211" s="3" t="str">
        <f>HYPERLINK("https://www.773grp.com/manufacturer/onsemi?pageNo=35", "ON Semiconductor")</f>
        <v>ON Semiconductor</v>
      </c>
      <c r="C22211" s="6">
        <v>2000</v>
      </c>
      <c r="D22211" s="7">
        <v>0</v>
      </c>
    </row>
    <row r="22212" spans="1:4" x14ac:dyDescent="0.25">
      <c r="A22212" t="str">
        <f>HYPERLINK("https://www.773grp.com/globalSearch/NLV14049UBCP/page-1", "NLV14049UBCP")</f>
        <v>NLV14049UBCP</v>
      </c>
      <c r="B22212" s="3" t="str">
        <f>HYPERLINK("https://www.773grp.com/manufacturer/onsemi?pageNo=36", "ON Semiconductor")</f>
        <v>ON Semiconductor</v>
      </c>
      <c r="C22212" s="6">
        <v>2125</v>
      </c>
      <c r="D22212" s="7">
        <v>0</v>
      </c>
    </row>
    <row r="22213" spans="1:4" x14ac:dyDescent="0.25">
      <c r="A22213" t="str">
        <f>HYPERLINK("https://www.773grp.com/globalSearch/NLV14049UBCPG/page-1", "NLV14049UBCPG")</f>
        <v>NLV14049UBCPG</v>
      </c>
      <c r="B22213" s="3" t="str">
        <f>HYPERLINK("https://www.773grp.com/manufacturer/onsemi?pageNo=37", "ON Semiconductor")</f>
        <v>ON Semiconductor</v>
      </c>
      <c r="C22213" s="6">
        <v>6150</v>
      </c>
      <c r="D22213" s="7">
        <v>0</v>
      </c>
    </row>
    <row r="22214" spans="1:4" x14ac:dyDescent="0.25">
      <c r="A22214" t="str">
        <f>HYPERLINK("https://www.773grp.com/globalSearch/NLV14049UBDR2/page-1", "NLV14049UBDR2")</f>
        <v>NLV14049UBDR2</v>
      </c>
      <c r="B22214" s="3" t="str">
        <f>HYPERLINK("https://www.773grp.com/manufacturer/onsemi?pageNo=38", "ON Semiconductor")</f>
        <v>ON Semiconductor</v>
      </c>
      <c r="C22214" s="6">
        <v>2500</v>
      </c>
      <c r="D22214" s="7">
        <v>0</v>
      </c>
    </row>
    <row r="22215" spans="1:4" x14ac:dyDescent="0.25">
      <c r="A22215" t="str">
        <f>HYPERLINK("https://www.773grp.com/globalSearch/NLV14051BFELG/page-1", "NLV14051BFELG")</f>
        <v>NLV14051BFELG</v>
      </c>
      <c r="B22215" s="3" t="str">
        <f>HYPERLINK("https://www.773grp.com/manufacturer/onsemi?pageNo=39", "ON Semiconductor")</f>
        <v>ON Semiconductor</v>
      </c>
      <c r="C22215" s="6">
        <v>1830</v>
      </c>
      <c r="D22215" s="7">
        <v>0</v>
      </c>
    </row>
    <row r="22216" spans="1:4" x14ac:dyDescent="0.25">
      <c r="A22216" t="str">
        <f>HYPERLINK("https://www.773grp.com/globalSearch/NLV14052BFEL/page-1", "NLV14052BFEL")</f>
        <v>NLV14052BFEL</v>
      </c>
      <c r="B22216" s="3" t="str">
        <f>HYPERLINK("https://www.773grp.com/manufacturer/onsemi?pageNo=40", "ON Semiconductor")</f>
        <v>ON Semiconductor</v>
      </c>
      <c r="C22216" s="6">
        <v>182</v>
      </c>
      <c r="D22216" s="7">
        <v>0</v>
      </c>
    </row>
    <row r="22217" spans="1:4" x14ac:dyDescent="0.25">
      <c r="A22217" t="str">
        <f>HYPERLINK("https://www.773grp.com/globalSearch/NLV14053BFEL/page-1", "NLV14053BFEL")</f>
        <v>NLV14053BFEL</v>
      </c>
      <c r="B22217" s="3" t="str">
        <f>HYPERLINK("https://www.773grp.com/manufacturer/onsemi?pageNo=41", "ON Semiconductor")</f>
        <v>ON Semiconductor</v>
      </c>
      <c r="C22217" s="6">
        <v>1758</v>
      </c>
      <c r="D22217" s="7">
        <v>0</v>
      </c>
    </row>
    <row r="22218" spans="1:4" x14ac:dyDescent="0.25">
      <c r="A22218" t="str">
        <f>HYPERLINK("https://www.773grp.com/globalSearch/NLV14053BFELG/page-1", "NLV14053BFELG")</f>
        <v>NLV14053BFELG</v>
      </c>
      <c r="B22218" s="3" t="str">
        <f>HYPERLINK("https://www.773grp.com/manufacturer/onsemi?pageNo=42", "ON Semiconductor")</f>
        <v>ON Semiconductor</v>
      </c>
      <c r="C22218" s="6">
        <v>1982</v>
      </c>
      <c r="D22218" s="7">
        <v>0</v>
      </c>
    </row>
    <row r="22219" spans="1:4" x14ac:dyDescent="0.25">
      <c r="A22219" t="str">
        <f>HYPERLINK("https://www.773grp.com/globalSearch/NLV14060BCPG/page-1", "NLV14060BCPG")</f>
        <v>NLV14060BCPG</v>
      </c>
      <c r="B22219" s="3" t="str">
        <f>HYPERLINK("https://www.773grp.com/manufacturer/onsemi?pageNo=43", "ON Semiconductor")</f>
        <v>ON Semiconductor</v>
      </c>
      <c r="C22219" s="6">
        <v>51850</v>
      </c>
      <c r="D22219" s="7">
        <v>0</v>
      </c>
    </row>
    <row r="22220" spans="1:4" x14ac:dyDescent="0.25">
      <c r="A22220" t="str">
        <f>HYPERLINK("https://www.773grp.com/globalSearch/NLV14067BDWG/page-1", "NLV14067BDWG")</f>
        <v>NLV14067BDWG</v>
      </c>
      <c r="B22220" s="3" t="str">
        <f>HYPERLINK("https://www.773grp.com/manufacturer/onsemi?pageNo=44", "ON Semiconductor")</f>
        <v>ON Semiconductor</v>
      </c>
      <c r="C22220" s="6">
        <v>420</v>
      </c>
      <c r="D22220" s="7">
        <v>0</v>
      </c>
    </row>
    <row r="22221" spans="1:4" x14ac:dyDescent="0.25">
      <c r="A22221" t="str">
        <f>HYPERLINK("https://www.773grp.com/globalSearch/NLV14067BDWR2G/page-1", "NLV14067BDWR2G")</f>
        <v>NLV14067BDWR2G</v>
      </c>
      <c r="B22221" s="3" t="str">
        <f>HYPERLINK("https://www.773grp.com/manufacturer/onsemi?pageNo=45", "ON Semiconductor")</f>
        <v>ON Semiconductor</v>
      </c>
      <c r="C22221" s="6">
        <v>2000</v>
      </c>
      <c r="D22221" s="7">
        <v>0</v>
      </c>
    </row>
    <row r="22222" spans="1:4" x14ac:dyDescent="0.25">
      <c r="A22222" t="str">
        <f>HYPERLINK("https://www.773grp.com/globalSearch/NLV14069UBFEL/page-1", "NLV14069UBFEL")</f>
        <v>NLV14069UBFEL</v>
      </c>
      <c r="B22222" s="3" t="str">
        <f>HYPERLINK("https://www.773grp.com/manufacturer/onsemi?pageNo=46", "ON Semiconductor")</f>
        <v>ON Semiconductor</v>
      </c>
      <c r="C22222" s="6">
        <v>651</v>
      </c>
      <c r="D22222" s="7">
        <v>0</v>
      </c>
    </row>
    <row r="22223" spans="1:4" x14ac:dyDescent="0.25">
      <c r="A22223" t="str">
        <f>HYPERLINK("https://www.773grp.com/globalSearch/NLV14070BCP/page-1", "NLV14070BCP")</f>
        <v>NLV14070BCP</v>
      </c>
      <c r="B22223" s="3" t="str">
        <f>HYPERLINK("https://www.773grp.com/manufacturer/onsemi?pageNo=47", "ON Semiconductor")</f>
        <v>ON Semiconductor</v>
      </c>
      <c r="C22223" s="6">
        <v>2275</v>
      </c>
      <c r="D22223" s="7">
        <v>0</v>
      </c>
    </row>
    <row r="22224" spans="1:4" x14ac:dyDescent="0.25">
      <c r="A22224" t="str">
        <f>HYPERLINK("https://www.773grp.com/globalSearch/NLV14076BDR2G/page-1", "NLV14076BDR2G")</f>
        <v>NLV14076BDR2G</v>
      </c>
      <c r="B22224" s="3" t="str">
        <f>HYPERLINK("https://www.773grp.com/manufacturer/onsemi?pageNo=48", "ON Semiconductor")</f>
        <v>ON Semiconductor</v>
      </c>
      <c r="C22224" s="6">
        <v>2368</v>
      </c>
      <c r="D22224" s="7">
        <v>0</v>
      </c>
    </row>
    <row r="22225" spans="1:4" x14ac:dyDescent="0.25">
      <c r="A22225" t="str">
        <f>HYPERLINK("https://www.773grp.com/globalSearch/NLV14081BFEL/page-1", "NLV14081BFEL")</f>
        <v>NLV14081BFEL</v>
      </c>
      <c r="B22225" s="3" t="str">
        <f>HYPERLINK("https://www.773grp.com/manufacturer/onsemi?pageNo=49", "ON Semiconductor")</f>
        <v>ON Semiconductor</v>
      </c>
      <c r="C22225" s="6">
        <v>1236</v>
      </c>
      <c r="D22225" s="7">
        <v>0</v>
      </c>
    </row>
    <row r="22226" spans="1:4" x14ac:dyDescent="0.25">
      <c r="A22226" t="str">
        <f>HYPERLINK("https://www.773grp.com/globalSearch/NLV14106BDR2/page-1", "NLV14106BDR2")</f>
        <v>NLV14106BDR2</v>
      </c>
      <c r="B22226" s="3" t="str">
        <f>HYPERLINK("https://www.773grp.com/manufacturer/onsemi?pageNo=50", "ON Semiconductor")</f>
        <v>ON Semiconductor</v>
      </c>
      <c r="C22226" s="6">
        <v>2400</v>
      </c>
      <c r="D22226" s="7">
        <v>0</v>
      </c>
    </row>
    <row r="22227" spans="1:4" x14ac:dyDescent="0.25">
      <c r="A22227" t="str">
        <f>HYPERLINK("https://www.773grp.com/globalSearch/NLV14490PG/page-1", "NLV14490PG")</f>
        <v>NLV14490PG</v>
      </c>
      <c r="B22227" s="3" t="str">
        <f>HYPERLINK("https://www.773grp.com/manufacturer/onsemi?pageNo=51", "ON Semiconductor")</f>
        <v>ON Semiconductor</v>
      </c>
      <c r="C22227" s="6">
        <v>122</v>
      </c>
      <c r="D22227" s="7">
        <v>0</v>
      </c>
    </row>
    <row r="22228" spans="1:4" x14ac:dyDescent="0.25">
      <c r="A22228" t="str">
        <f>HYPERLINK("https://www.773grp.com/globalSearch/NLV14504BCPG/page-1", "NLV14504BCPG")</f>
        <v>NLV14504BCPG</v>
      </c>
      <c r="B22228" s="3" t="str">
        <f>HYPERLINK("https://www.773grp.com/manufacturer/onsemi?pageNo=52", "ON Semiconductor")</f>
        <v>ON Semiconductor</v>
      </c>
      <c r="C22228" s="6">
        <v>250</v>
      </c>
      <c r="D22228" s="7">
        <v>0</v>
      </c>
    </row>
    <row r="22229" spans="1:4" x14ac:dyDescent="0.25">
      <c r="A22229" t="str">
        <f>HYPERLINK("https://www.773grp.com/globalSearch/NLV14513BCPG/page-1", "NLV14513BCPG")</f>
        <v>NLV14513BCPG</v>
      </c>
      <c r="B22229" s="3" t="str">
        <f>HYPERLINK("https://www.773grp.com/manufacturer/onsemi?pageNo=53", "ON Semiconductor")</f>
        <v>ON Semiconductor</v>
      </c>
      <c r="C22229" s="6">
        <v>28540</v>
      </c>
      <c r="D22229" s="7">
        <v>0</v>
      </c>
    </row>
    <row r="22230" spans="1:4" x14ac:dyDescent="0.25">
      <c r="A22230" t="str">
        <f>HYPERLINK("https://www.773grp.com/globalSearch/NLV14514BDWR2G/page-1", "NLV14514BDWR2G")</f>
        <v>NLV14514BDWR2G</v>
      </c>
      <c r="B22230" s="3" t="str">
        <f>HYPERLINK("https://www.773grp.com/manufacturer/onsemi?pageNo=54", "ON Semiconductor")</f>
        <v>ON Semiconductor</v>
      </c>
      <c r="C22230" s="6">
        <v>950</v>
      </c>
      <c r="D22230" s="7">
        <v>0</v>
      </c>
    </row>
    <row r="22231" spans="1:4" x14ac:dyDescent="0.25">
      <c r="A22231" t="str">
        <f>HYPERLINK("https://www.773grp.com/globalSearch/NLV14516BCPG/page-1", "NLV14516BCPG")</f>
        <v>NLV14516BCPG</v>
      </c>
      <c r="B22231" s="3" t="str">
        <f>HYPERLINK("https://www.773grp.com/manufacturer/onsemi?pageNo=55", "ON Semiconductor")</f>
        <v>ON Semiconductor</v>
      </c>
      <c r="C22231" s="6">
        <v>37050</v>
      </c>
      <c r="D22231" s="7">
        <v>0</v>
      </c>
    </row>
    <row r="22232" spans="1:4" x14ac:dyDescent="0.25">
      <c r="A22232" t="str">
        <f>HYPERLINK("https://www.773grp.com/globalSearch/NLV14528BCPG/page-1", "NLV14528BCPG")</f>
        <v>NLV14528BCPG</v>
      </c>
      <c r="B22232" s="3" t="str">
        <f>HYPERLINK("https://www.773grp.com/manufacturer/onsemi?pageNo=56", "ON Semiconductor")</f>
        <v>ON Semiconductor</v>
      </c>
      <c r="C22232" s="6">
        <v>25</v>
      </c>
      <c r="D22232" s="7">
        <v>0</v>
      </c>
    </row>
    <row r="22233" spans="1:4" x14ac:dyDescent="0.25">
      <c r="A22233" t="str">
        <f>HYPERLINK("https://www.773grp.com/globalSearch/NLV14532BCPG/page-1", "NLV14532BCPG")</f>
        <v>NLV14532BCPG</v>
      </c>
      <c r="B22233" s="3" t="str">
        <f>HYPERLINK("https://www.773grp.com/manufacturer/onsemi?pageNo=57", "ON Semiconductor")</f>
        <v>ON Semiconductor</v>
      </c>
      <c r="C22233" s="6">
        <v>10850</v>
      </c>
      <c r="D22233" s="7">
        <v>0</v>
      </c>
    </row>
    <row r="22234" spans="1:4" x14ac:dyDescent="0.25">
      <c r="A22234" t="str">
        <f>HYPERLINK("https://www.773grp.com/globalSearch/NLV14536BCPG/page-1", "NLV14536BCPG")</f>
        <v>NLV14536BCPG</v>
      </c>
      <c r="B22234" s="3" t="str">
        <f>HYPERLINK("https://www.773grp.com/manufacturer/onsemi?pageNo=58", "ON Semiconductor")</f>
        <v>ON Semiconductor</v>
      </c>
      <c r="C22234" s="6">
        <v>25</v>
      </c>
      <c r="D22234" s="7">
        <v>0</v>
      </c>
    </row>
    <row r="22235" spans="1:4" x14ac:dyDescent="0.25">
      <c r="A22235" t="str">
        <f>HYPERLINK("https://www.773grp.com/globalSearch/NLV14536BDWG/page-1", "NLV14536BDWG")</f>
        <v>NLV14536BDWG</v>
      </c>
      <c r="B22235" s="3" t="str">
        <f>HYPERLINK("https://www.773grp.com/manufacturer/onsemi?pageNo=59", "ON Semiconductor")</f>
        <v>ON Semiconductor</v>
      </c>
      <c r="C22235" s="6">
        <v>6392</v>
      </c>
      <c r="D22235" s="7">
        <v>0</v>
      </c>
    </row>
    <row r="22236" spans="1:4" x14ac:dyDescent="0.25">
      <c r="A22236" t="str">
        <f>HYPERLINK("https://www.773grp.com/globalSearch/NLV14538BCPG/page-1", "NLV14538BCPG")</f>
        <v>NLV14538BCPG</v>
      </c>
      <c r="B22236" s="3" t="str">
        <f>HYPERLINK("https://www.773grp.com/manufacturer/onsemi?pageNo=60", "ON Semiconductor")</f>
        <v>ON Semiconductor</v>
      </c>
      <c r="C22236" s="6">
        <v>41050</v>
      </c>
      <c r="D22236" s="7">
        <v>0</v>
      </c>
    </row>
    <row r="22237" spans="1:4" x14ac:dyDescent="0.25">
      <c r="A22237" t="str">
        <f>HYPERLINK("https://www.773grp.com/globalSearch/NLV14538BDWR2G/page-1", "NLV14538BDWR2G")</f>
        <v>NLV14538BDWR2G</v>
      </c>
      <c r="B22237" s="3" t="str">
        <f>HYPERLINK("https://www.773grp.com/manufacturer/onsemi?pageNo=61", "ON Semiconductor")</f>
        <v>ON Semiconductor</v>
      </c>
      <c r="C22237" s="6">
        <v>685</v>
      </c>
      <c r="D22237" s="7">
        <v>0</v>
      </c>
    </row>
    <row r="22238" spans="1:4" x14ac:dyDescent="0.25">
      <c r="A22238" t="str">
        <f>HYPERLINK("https://www.773grp.com/globalSearch/NLV14538BFELG/page-1", "NLV14538BFELG")</f>
        <v>NLV14538BFELG</v>
      </c>
      <c r="B22238" s="3" t="str">
        <f>HYPERLINK("https://www.773grp.com/manufacturer/onsemi?pageNo=62", "ON Semiconductor")</f>
        <v>ON Semiconductor</v>
      </c>
      <c r="C22238" s="6">
        <v>6000</v>
      </c>
      <c r="D22238" s="7">
        <v>0</v>
      </c>
    </row>
    <row r="22239" spans="1:4" x14ac:dyDescent="0.25">
      <c r="A22239" t="str">
        <f>HYPERLINK("https://www.773grp.com/globalSearch/NLV14553BCPG/page-1", "NLV14553BCPG")</f>
        <v>NLV14553BCPG</v>
      </c>
      <c r="B22239" s="3" t="str">
        <f>HYPERLINK("https://www.773grp.com/manufacturer/onsemi?pageNo=63", "ON Semiconductor")</f>
        <v>ON Semiconductor</v>
      </c>
      <c r="C22239" s="6">
        <v>1050</v>
      </c>
      <c r="D22239" s="7">
        <v>0</v>
      </c>
    </row>
    <row r="22240" spans="1:4" x14ac:dyDescent="0.25">
      <c r="A22240" t="str">
        <f>HYPERLINK("https://www.773grp.com/globalSearch/NLV14584BCPG/page-1", "NLV14584BCPG")</f>
        <v>NLV14584BCPG</v>
      </c>
      <c r="B22240" s="3" t="str">
        <f>HYPERLINK("https://www.773grp.com/manufacturer/onsemi?pageNo=64", "ON Semiconductor")</f>
        <v>ON Semiconductor</v>
      </c>
      <c r="C22240" s="6">
        <v>8325</v>
      </c>
      <c r="D22240" s="7">
        <v>0</v>
      </c>
    </row>
    <row r="22241" spans="1:4" x14ac:dyDescent="0.25">
      <c r="A22241" t="str">
        <f>HYPERLINK("https://www.773grp.com/globalSearch/NLV14584BFELG/page-1", "NLV14584BFELG")</f>
        <v>NLV14584BFELG</v>
      </c>
      <c r="B22241" s="3" t="str">
        <f>HYPERLINK("https://www.773grp.com/manufacturer/onsemi?pageNo=65", "ON Semiconductor")</f>
        <v>ON Semiconductor</v>
      </c>
      <c r="C22241" s="6">
        <v>10000</v>
      </c>
      <c r="D22241" s="7">
        <v>0</v>
      </c>
    </row>
    <row r="22242" spans="1:4" x14ac:dyDescent="0.25">
      <c r="A22242" t="str">
        <f>HYPERLINK("https://www.773grp.com/globalSearch/NLV17SZ04DFT2G/page-1", "NLV17SZ04DFT2G")</f>
        <v>NLV17SZ04DFT2G</v>
      </c>
      <c r="B22242" s="3" t="str">
        <f>HYPERLINK("https://www.773grp.com/manufacturer/onsemi?pageNo=66", "ON Semiconductor")</f>
        <v>ON Semiconductor</v>
      </c>
      <c r="C22242" s="6">
        <v>12000</v>
      </c>
      <c r="D22242" s="7">
        <v>0</v>
      </c>
    </row>
    <row r="22243" spans="1:4" x14ac:dyDescent="0.25">
      <c r="A22243" t="str">
        <f>HYPERLINK("https://www.773grp.com/globalSearch/NLV74AC74DR2G/page-1", "NLV74AC74DR2G")</f>
        <v>NLV74AC74DR2G</v>
      </c>
      <c r="B22243" s="3" t="str">
        <f>HYPERLINK("https://www.773grp.com/manufacturer/onsemi?pageNo=67", "ON Semiconductor")</f>
        <v>ON Semiconductor</v>
      </c>
      <c r="C22243" s="6">
        <v>2500</v>
      </c>
      <c r="D22243" s="7">
        <v>0</v>
      </c>
    </row>
    <row r="22244" spans="1:4" x14ac:dyDescent="0.25">
      <c r="A22244" t="str">
        <f>HYPERLINK("https://www.773grp.com/globalSearch/NLV74HC03ADR2G/page-1", "NLV74HC03ADR2G")</f>
        <v>NLV74HC03ADR2G</v>
      </c>
      <c r="B22244" s="3" t="str">
        <f>HYPERLINK("https://www.773grp.com/manufacturer/onsemi?pageNo=68", "ON Semiconductor")</f>
        <v>ON Semiconductor</v>
      </c>
      <c r="C22244" s="6">
        <v>61826</v>
      </c>
      <c r="D22244" s="7">
        <v>0</v>
      </c>
    </row>
    <row r="22245" spans="1:4" x14ac:dyDescent="0.25">
      <c r="A22245" t="str">
        <f>HYPERLINK("https://www.773grp.com/globalSearch/NLV74HC03ADTR2G/page-1", "NLV74HC03ADTR2G")</f>
        <v>NLV74HC03ADTR2G</v>
      </c>
      <c r="B22245" s="3" t="str">
        <f>HYPERLINK("https://www.773grp.com/manufacturer/onsemi?pageNo=69", "ON Semiconductor")</f>
        <v>ON Semiconductor</v>
      </c>
      <c r="C22245" s="6">
        <v>34850</v>
      </c>
      <c r="D22245" s="7">
        <v>0</v>
      </c>
    </row>
    <row r="22246" spans="1:4" x14ac:dyDescent="0.25">
      <c r="A22246" t="str">
        <f>HYPERLINK("https://www.773grp.com/globalSearch/NLV74HC08ADR2/page-1", "NLV74HC08ADR2")</f>
        <v>NLV74HC08ADR2</v>
      </c>
      <c r="B22246" s="3" t="str">
        <f>HYPERLINK("https://www.773grp.com/manufacturer/onsemi?pageNo=70", "ON Semiconductor")</f>
        <v>ON Semiconductor</v>
      </c>
      <c r="C22246" s="6">
        <v>2500</v>
      </c>
      <c r="D22246" s="7">
        <v>0</v>
      </c>
    </row>
    <row r="22247" spans="1:4" x14ac:dyDescent="0.25">
      <c r="A22247" t="str">
        <f>HYPERLINK("https://www.773grp.com/globalSearch/NLV74HC08ADR2G/page-1", "NLV74HC08ADR2G")</f>
        <v>NLV74HC08ADR2G</v>
      </c>
      <c r="B22247" s="3" t="str">
        <f>HYPERLINK("https://www.773grp.com/manufacturer/onsemi?pageNo=71", "ON Semiconductor")</f>
        <v>ON Semiconductor</v>
      </c>
      <c r="C22247" s="6">
        <v>4716</v>
      </c>
      <c r="D22247" s="7">
        <v>0</v>
      </c>
    </row>
    <row r="22248" spans="1:4" x14ac:dyDescent="0.25">
      <c r="A22248" t="str">
        <f>HYPERLINK("https://www.773grp.com/globalSearch/NLV74HC08ADTR2G/page-1", "NLV74HC08ADTR2G")</f>
        <v>NLV74HC08ADTR2G</v>
      </c>
      <c r="B22248" s="3" t="str">
        <f>HYPERLINK("https://www.773grp.com/manufacturer/onsemi?pageNo=72", "ON Semiconductor")</f>
        <v>ON Semiconductor</v>
      </c>
      <c r="C22248" s="6">
        <v>2400</v>
      </c>
      <c r="D22248" s="7">
        <v>0</v>
      </c>
    </row>
    <row r="22249" spans="1:4" x14ac:dyDescent="0.25">
      <c r="A22249" t="str">
        <f>HYPERLINK("https://www.773grp.com/globalSearch/NLV74HC08ANG/page-1", "NLV74HC08ANG")</f>
        <v>NLV74HC08ANG</v>
      </c>
      <c r="B22249" s="3" t="str">
        <f>HYPERLINK("https://www.773grp.com/manufacturer/onsemi?pageNo=73", "ON Semiconductor")</f>
        <v>ON Semiconductor</v>
      </c>
      <c r="C22249" s="6">
        <v>8004</v>
      </c>
      <c r="D22249" s="7">
        <v>0</v>
      </c>
    </row>
    <row r="22250" spans="1:4" x14ac:dyDescent="0.25">
      <c r="A22250" t="str">
        <f>HYPERLINK("https://www.773grp.com/globalSearch/NLV74HC138ADR2G/page-1", "NLV74HC138ADR2G")</f>
        <v>NLV74HC138ADR2G</v>
      </c>
      <c r="B22250" s="3" t="str">
        <f>HYPERLINK("https://www.773grp.com/manufacturer/onsemi?pageNo=74", "ON Semiconductor")</f>
        <v>ON Semiconductor</v>
      </c>
      <c r="C22250" s="6">
        <v>6611</v>
      </c>
      <c r="D22250" s="7">
        <v>0</v>
      </c>
    </row>
    <row r="22251" spans="1:4" x14ac:dyDescent="0.25">
      <c r="A22251" t="str">
        <f>HYPERLINK("https://www.773grp.com/globalSearch/NLV74HC14ANG/page-1", "NLV74HC14ANG")</f>
        <v>NLV74HC14ANG</v>
      </c>
      <c r="B22251" s="3" t="str">
        <f>HYPERLINK("https://www.773grp.com/manufacturer/onsemi?pageNo=75", "ON Semiconductor")</f>
        <v>ON Semiconductor</v>
      </c>
      <c r="C22251" s="6">
        <v>8799</v>
      </c>
      <c r="D22251" s="7">
        <v>0</v>
      </c>
    </row>
    <row r="22252" spans="1:4" x14ac:dyDescent="0.25">
      <c r="A22252" t="str">
        <f>HYPERLINK("https://www.773grp.com/globalSearch/NLV74HC174ADG/page-1", "NLV74HC174ADG")</f>
        <v>NLV74HC174ADG</v>
      </c>
      <c r="B22252" s="3" t="str">
        <f>HYPERLINK("https://www.773grp.com/manufacturer/onsemi?pageNo=76", "ON Semiconductor")</f>
        <v>ON Semiconductor</v>
      </c>
      <c r="C22252" s="6">
        <v>1824</v>
      </c>
      <c r="D22252" s="7">
        <v>0</v>
      </c>
    </row>
    <row r="22253" spans="1:4" x14ac:dyDescent="0.25">
      <c r="A22253" t="str">
        <f>HYPERLINK("https://www.773grp.com/globalSearch/NLV74HC244ADTR2G/page-1", "NLV74HC244ADTR2G")</f>
        <v>NLV74HC244ADTR2G</v>
      </c>
      <c r="B22253" s="3" t="str">
        <f>HYPERLINK("https://www.773grp.com/manufacturer/onsemi?pageNo=77", "ON Semiconductor")</f>
        <v>ON Semiconductor</v>
      </c>
      <c r="C22253" s="6">
        <v>1618</v>
      </c>
      <c r="D22253" s="7">
        <v>0</v>
      </c>
    </row>
    <row r="22254" spans="1:4" x14ac:dyDescent="0.25">
      <c r="A22254" t="str">
        <f>HYPERLINK("https://www.773grp.com/globalSearch/NLV74HC245ADWR2G/page-1", "NLV74HC245ADWR2G")</f>
        <v>NLV74HC245ADWR2G</v>
      </c>
      <c r="B22254" s="3" t="str">
        <f>HYPERLINK("https://www.773grp.com/manufacturer/onsemi?pageNo=78", "ON Semiconductor")</f>
        <v>ON Semiconductor</v>
      </c>
      <c r="C22254" s="6">
        <v>663</v>
      </c>
      <c r="D22254" s="7">
        <v>0</v>
      </c>
    </row>
    <row r="22255" spans="1:4" x14ac:dyDescent="0.25">
      <c r="A22255" t="str">
        <f>HYPERLINK("https://www.773grp.com/globalSearch/NLV74HC373ADWR2/page-1", "NLV74HC373ADWR2")</f>
        <v>NLV74HC373ADWR2</v>
      </c>
      <c r="B22255" s="3" t="str">
        <f>HYPERLINK("https://www.773grp.com/manufacturer/onsemi?pageNo=79", "ON Semiconductor")</f>
        <v>ON Semiconductor</v>
      </c>
      <c r="C22255" s="6">
        <v>3210</v>
      </c>
      <c r="D22255" s="7">
        <v>0</v>
      </c>
    </row>
    <row r="22256" spans="1:4" x14ac:dyDescent="0.25">
      <c r="A22256" t="str">
        <f>HYPERLINK("https://www.773grp.com/globalSearch/NLV74HC373ANG/page-1", "NLV74HC373ANG")</f>
        <v>NLV74HC373ANG</v>
      </c>
      <c r="B22256" s="3" t="str">
        <f>HYPERLINK("https://www.773grp.com/manufacturer/onsemi?pageNo=80", "ON Semiconductor")</f>
        <v>ON Semiconductor</v>
      </c>
      <c r="C22256" s="6">
        <v>3673</v>
      </c>
      <c r="D22256" s="7">
        <v>0</v>
      </c>
    </row>
    <row r="22257" spans="1:4" x14ac:dyDescent="0.25">
      <c r="A22257" t="str">
        <f>HYPERLINK("https://www.773grp.com/globalSearch/NLV74HC4316ADR2G/page-1", "NLV74HC4316ADR2G")</f>
        <v>NLV74HC4316ADR2G</v>
      </c>
      <c r="B22257" s="3" t="str">
        <f>HYPERLINK("https://www.773grp.com/manufacturer/onsemi?pageNo=81", "ON Semiconductor")</f>
        <v>ON Semiconductor</v>
      </c>
      <c r="C22257" s="6">
        <v>16440</v>
      </c>
      <c r="D22257" s="7">
        <v>0</v>
      </c>
    </row>
    <row r="22258" spans="1:4" x14ac:dyDescent="0.25">
      <c r="A22258" t="str">
        <f>HYPERLINK("https://www.773grp.com/globalSearch/NLV74HC541ADWR2/page-1", "NLV74HC541ADWR2")</f>
        <v>NLV74HC541ADWR2</v>
      </c>
      <c r="B22258" s="3" t="str">
        <f>HYPERLINK("https://www.773grp.com/manufacturer/onsemi?pageNo=82", "ON Semiconductor")</f>
        <v>ON Semiconductor</v>
      </c>
      <c r="C22258" s="6">
        <v>12000</v>
      </c>
      <c r="D22258" s="7">
        <v>0</v>
      </c>
    </row>
    <row r="22259" spans="1:4" x14ac:dyDescent="0.25">
      <c r="A22259" t="str">
        <f>HYPERLINK("https://www.773grp.com/globalSearch/NLV74HC573ADWR2/page-1", "NLV74HC573ADWR2")</f>
        <v>NLV74HC573ADWR2</v>
      </c>
      <c r="B22259" s="3" t="str">
        <f>HYPERLINK("https://www.773grp.com/manufacturer/onsemi?pageNo=83", "ON Semiconductor")</f>
        <v>ON Semiconductor</v>
      </c>
      <c r="C22259" s="6">
        <v>7000</v>
      </c>
      <c r="D22259" s="7">
        <v>0</v>
      </c>
    </row>
    <row r="22260" spans="1:4" x14ac:dyDescent="0.25">
      <c r="A22260" t="str">
        <f>HYPERLINK("https://www.773grp.com/globalSearch/NLV74HC74ANG/page-1", "NLV74HC74ANG")</f>
        <v>NLV74HC74ANG</v>
      </c>
      <c r="B22260" s="3" t="str">
        <f>HYPERLINK("https://www.773grp.com/manufacturer/onsemi?pageNo=84", "ON Semiconductor")</f>
        <v>ON Semiconductor</v>
      </c>
      <c r="C22260" s="6">
        <v>3750</v>
      </c>
      <c r="D22260" s="7">
        <v>0</v>
      </c>
    </row>
    <row r="22261" spans="1:4" x14ac:dyDescent="0.25">
      <c r="A22261" t="str">
        <f>HYPERLINK("https://www.773grp.com/globalSearch/NLV74HC86ADR2G/page-1", "NLV74HC86ADR2G")</f>
        <v>NLV74HC86ADR2G</v>
      </c>
      <c r="B22261" s="3" t="str">
        <f>HYPERLINK("https://www.773grp.com/manufacturer/onsemi?pageNo=85", "ON Semiconductor")</f>
        <v>ON Semiconductor</v>
      </c>
      <c r="C22261" s="6">
        <v>10000</v>
      </c>
      <c r="D22261" s="7">
        <v>0</v>
      </c>
    </row>
    <row r="22262" spans="1:4" x14ac:dyDescent="0.25">
      <c r="A22262" t="str">
        <f>HYPERLINK("https://www.773grp.com/globalSearch/NLV74HC86ADTR2G/page-1", "NLV74HC86ADTR2G")</f>
        <v>NLV74HC86ADTR2G</v>
      </c>
      <c r="B22262" s="3" t="str">
        <f>HYPERLINK("https://www.773grp.com/manufacturer/onsemi?pageNo=86", "ON Semiconductor")</f>
        <v>ON Semiconductor</v>
      </c>
      <c r="C22262" s="6">
        <v>35000</v>
      </c>
      <c r="D22262" s="7">
        <v>0</v>
      </c>
    </row>
    <row r="22263" spans="1:4" x14ac:dyDescent="0.25">
      <c r="A22263" t="str">
        <f>HYPERLINK("https://www.773grp.com/globalSearch/NLV74HCT574ADWRG/page-1", "NLV74HCT574ADWRG")</f>
        <v>NLV74HCT574ADWRG</v>
      </c>
      <c r="B22263" s="3" t="str">
        <f>HYPERLINK("https://www.773grp.com/manufacturer/onsemi?pageNo=87", "ON Semiconductor")</f>
        <v>ON Semiconductor</v>
      </c>
      <c r="C22263" s="6">
        <v>24000</v>
      </c>
      <c r="D22263" s="7">
        <v>0</v>
      </c>
    </row>
    <row r="22264" spans="1:4" x14ac:dyDescent="0.25">
      <c r="A22264" t="str">
        <f>HYPERLINK("https://www.773grp.com/globalSearch/NLVHC4053ADWR2G/page-1", "NLVHC4053ADWR2G")</f>
        <v>NLVHC4053ADWR2G</v>
      </c>
      <c r="B22264" s="3" t="str">
        <f>HYPERLINK("https://www.773grp.com/manufacturer/onsemi?pageNo=88", "ON Semiconductor")</f>
        <v>ON Semiconductor</v>
      </c>
      <c r="C22264" s="6">
        <v>5000</v>
      </c>
      <c r="D22264" s="7">
        <v>0</v>
      </c>
    </row>
    <row r="22265" spans="1:4" x14ac:dyDescent="0.25">
      <c r="A22265" t="str">
        <f>HYPERLINK("https://www.773grp.com/globalSearch/NNM02A6-AM76G/page-1", "NNM02A6-AM76G")</f>
        <v>NNM02A6-AM76G</v>
      </c>
      <c r="B22265" s="3" t="str">
        <f>HYPERLINK("https://www.773grp.com/manufacturer/onsemi?pageNo=89", "ON Semiconductor")</f>
        <v>ON Semiconductor</v>
      </c>
      <c r="C22265" s="6">
        <v>160</v>
      </c>
      <c r="D22265" s="7">
        <v>0</v>
      </c>
    </row>
    <row r="22266" spans="1:4" x14ac:dyDescent="0.25">
      <c r="A22266" t="str">
        <f>HYPERLINK("https://www.773grp.com/globalSearch/NOICPSMPH3AA-GWC/page-1", "NOICPSMPH3AA-GWC")</f>
        <v>NOICPSMPH3AA-GWC</v>
      </c>
      <c r="B22266" s="3" t="str">
        <f>HYPERLINK("https://www.773grp.com/manufacturer/onsemi?pageNo=90", "ON Semiconductor")</f>
        <v>ON Semiconductor</v>
      </c>
      <c r="C22266" s="6">
        <v>10</v>
      </c>
      <c r="D22266" s="7">
        <v>0</v>
      </c>
    </row>
    <row r="22267" spans="1:4" x14ac:dyDescent="0.25">
      <c r="A22267" t="str">
        <f>HYPERLINK("https://www.773grp.com/globalSearch/NOIS1SM1000S-HHC/page-1", "NOIS1SM1000S-HHC")</f>
        <v>NOIS1SM1000S-HHC</v>
      </c>
      <c r="B22267" s="3" t="str">
        <f>HYPERLINK("https://www.773grp.com/manufacturer/onsemi?pageNo=91", "ON Semiconductor")</f>
        <v>ON Semiconductor</v>
      </c>
      <c r="C22267" s="6">
        <v>1</v>
      </c>
      <c r="D22267" s="7">
        <v>0</v>
      </c>
    </row>
    <row r="22268" spans="1:4" x14ac:dyDescent="0.25">
      <c r="A22268" t="str">
        <f>HYPERLINK("https://www.773grp.com/globalSearch/NOM02A6-AM76G/page-1", "NOM02A6-AM76G")</f>
        <v>NOM02A6-AM76G</v>
      </c>
      <c r="B22268" s="3" t="str">
        <f>HYPERLINK("https://www.773grp.com/manufacturer/onsemi?pageNo=92", "ON Semiconductor")</f>
        <v>ON Semiconductor</v>
      </c>
      <c r="C22268" s="6">
        <v>320</v>
      </c>
      <c r="D22268" s="7">
        <v>0</v>
      </c>
    </row>
    <row r="22269" spans="1:4" x14ac:dyDescent="0.25">
      <c r="A22269" t="str">
        <f>HYPERLINK("https://www.773grp.com/globalSearch/NRVB0540T1/page-1", "NRVB0540T1")</f>
        <v>NRVB0540T1</v>
      </c>
      <c r="B22269" s="3" t="str">
        <f>HYPERLINK("https://www.773grp.com/manufacturer/onsemi?pageNo=93", "ON Semiconductor")</f>
        <v>ON Semiconductor</v>
      </c>
      <c r="C22269" s="6">
        <v>6000</v>
      </c>
      <c r="D22269" s="7">
        <v>0</v>
      </c>
    </row>
    <row r="22270" spans="1:4" x14ac:dyDescent="0.25">
      <c r="A22270" t="str">
        <f>HYPERLINK("https://www.773grp.com/globalSearch/NRVB1N5817G/page-1", "NRVB1N5817G")</f>
        <v>NRVB1N5817G</v>
      </c>
      <c r="B22270" s="3" t="str">
        <f>HYPERLINK("https://www.773grp.com/manufacturer/onsemi?pageNo=94", "ON Semiconductor")</f>
        <v>ON Semiconductor</v>
      </c>
      <c r="C22270" s="6">
        <v>19000</v>
      </c>
      <c r="D22270" s="7">
        <v>0</v>
      </c>
    </row>
    <row r="22271" spans="1:4" x14ac:dyDescent="0.25">
      <c r="A22271" t="str">
        <f>HYPERLINK("https://www.773grp.com/globalSearch/NRVB1N5817RLG/page-1", "NRVB1N5817RLG")</f>
        <v>NRVB1N5817RLG</v>
      </c>
      <c r="B22271" s="3" t="str">
        <f>HYPERLINK("https://www.773grp.com/manufacturer/onsemi?pageNo=95", "ON Semiconductor")</f>
        <v>ON Semiconductor</v>
      </c>
      <c r="C22271" s="6">
        <v>20000</v>
      </c>
      <c r="D22271" s="7">
        <v>0</v>
      </c>
    </row>
    <row r="22272" spans="1:4" x14ac:dyDescent="0.25">
      <c r="A22272" t="str">
        <f>HYPERLINK("https://www.773grp.com/globalSearch/NRVB1N5818RLG/page-1", "NRVB1N5818RLG")</f>
        <v>NRVB1N5818RLG</v>
      </c>
      <c r="B22272" s="3" t="str">
        <f>HYPERLINK("https://www.773grp.com/manufacturer/onsemi?pageNo=96", "ON Semiconductor")</f>
        <v>ON Semiconductor</v>
      </c>
      <c r="C22272" s="6">
        <v>10000</v>
      </c>
      <c r="D22272" s="7">
        <v>0</v>
      </c>
    </row>
    <row r="22273" spans="1:5" x14ac:dyDescent="0.25">
      <c r="A22273" t="str">
        <f>HYPERLINK("https://www.773grp.com/globalSearch/NRVB1N5819G/page-1", "NRVB1N5819G")</f>
        <v>NRVB1N5819G</v>
      </c>
      <c r="B22273" s="3" t="str">
        <f>HYPERLINK("https://www.773grp.com/manufacturer/onsemi?pageNo=97", "ON Semiconductor")</f>
        <v>ON Semiconductor</v>
      </c>
      <c r="C22273" s="6">
        <v>4000</v>
      </c>
      <c r="D22273" s="7">
        <v>0</v>
      </c>
    </row>
    <row r="22274" spans="1:5" x14ac:dyDescent="0.25">
      <c r="A22274" t="str">
        <f>HYPERLINK("https://www.773grp.com/globalSearch/NRVB1N5819RLG/page-1", "NRVB1N5819RLG")</f>
        <v>NRVB1N5819RLG</v>
      </c>
      <c r="B22274" s="3" t="str">
        <f>HYPERLINK("https://www.773grp.com/manufacturer/onsemi?pageNo=98", "ON Semiconductor")</f>
        <v>ON Semiconductor</v>
      </c>
      <c r="C22274" s="6">
        <v>80000</v>
      </c>
      <c r="D22274" s="7">
        <v>0</v>
      </c>
    </row>
    <row r="22275" spans="1:5" x14ac:dyDescent="0.25">
      <c r="A22275" t="str">
        <f>HYPERLINK("https://www.773grp.com/globalSearch/NRVB1N5820G/page-1", "NRVB1N5820G")</f>
        <v>NRVB1N5820G</v>
      </c>
      <c r="B22275" s="3" t="str">
        <f>HYPERLINK("https://www.773grp.com/manufacturer/onsemi?pageNo=99", "ON Semiconductor")</f>
        <v>ON Semiconductor</v>
      </c>
      <c r="C22275" s="6">
        <v>3000</v>
      </c>
      <c r="D22275" s="7">
        <v>0</v>
      </c>
    </row>
    <row r="22276" spans="1:5" x14ac:dyDescent="0.25">
      <c r="A22276" t="str">
        <f>HYPERLINK("https://www.773grp.com/globalSearch/NRVB2545CTG/page-1", "NRVB2545CTG")</f>
        <v>NRVB2545CTG</v>
      </c>
      <c r="B22276" s="3" t="str">
        <f>HYPERLINK("https://www.773grp.com/manufacturer/onsemi?pageNo=100", "ON Semiconductor")</f>
        <v>ON Semiconductor</v>
      </c>
      <c r="C22276" s="6">
        <v>1450</v>
      </c>
      <c r="D22276" s="7">
        <v>0</v>
      </c>
    </row>
    <row r="22277" spans="1:5" x14ac:dyDescent="0.25">
      <c r="A22277" t="str">
        <f>HYPERLINK("https://www.773grp.com/globalSearch/NRVBM120ET1/page-1", "NRVBM120ET1")</f>
        <v>NRVBM120ET1</v>
      </c>
      <c r="B22277" s="3" t="str">
        <f>HYPERLINK("https://www.773grp.com/manufacturer/onsemi?pageNo=101", "ON Semiconductor")</f>
        <v>ON Semiconductor</v>
      </c>
      <c r="C22277" s="6">
        <v>60000</v>
      </c>
      <c r="D22277" s="7">
        <v>0</v>
      </c>
    </row>
    <row r="22278" spans="1:5" x14ac:dyDescent="0.25">
      <c r="A22278" t="str">
        <f>HYPERLINK("https://www.773grp.com/globalSearch/NRVBM130LTIG/page-1", "NRVBM130LTIG")</f>
        <v>NRVBM130LTIG</v>
      </c>
      <c r="B22278" s="3" t="str">
        <f>HYPERLINK("https://www.773grp.com/manufacturer/onsemi?pageNo=102", "ON Semiconductor")</f>
        <v>ON Semiconductor</v>
      </c>
      <c r="C22278" s="6">
        <v>3000</v>
      </c>
      <c r="D22278" s="7">
        <v>0</v>
      </c>
    </row>
    <row r="22279" spans="1:5" x14ac:dyDescent="0.25">
      <c r="A22279" t="str">
        <f>HYPERLINK("https://www.773grp.com/globalSearch/NRVBM140T1/page-1", "NRVBM140T1")</f>
        <v>NRVBM140T1</v>
      </c>
      <c r="B22279" s="3" t="str">
        <f>HYPERLINK("https://www.773grp.com/manufacturer/onsemi?pageNo=103", "ON Semiconductor")</f>
        <v>ON Semiconductor</v>
      </c>
      <c r="C22279" s="6">
        <v>42000</v>
      </c>
      <c r="D22279" s="7">
        <v>0</v>
      </c>
    </row>
    <row r="22280" spans="1:5" x14ac:dyDescent="0.25">
      <c r="A22280" t="str">
        <f>HYPERLINK("https://www.773grp.com/globalSearch/NRVUS240T3/page-1", "NRVUS240T3")</f>
        <v>NRVUS240T3</v>
      </c>
      <c r="B22280" s="3" t="str">
        <f>HYPERLINK("https://www.773grp.com/manufacturer/onsemi?pageNo=104", "ON Semiconductor")</f>
        <v>ON Semiconductor</v>
      </c>
      <c r="C22280" s="6">
        <v>2500</v>
      </c>
      <c r="D22280" s="7">
        <v>0</v>
      </c>
    </row>
    <row r="22281" spans="1:5" x14ac:dyDescent="0.25">
      <c r="A22281" t="str">
        <f>HYPERLINK("https://www.773grp.com/globalSearch/NS6A5.0AT3H/page-1", "NS6A5.0AT3H")</f>
        <v>NS6A5.0AT3H</v>
      </c>
      <c r="B22281" s="3" t="str">
        <f>HYPERLINK("https://www.773grp.com/manufacturer/onsemi?pageNo=105", "ON Semiconductor")</f>
        <v>ON Semiconductor</v>
      </c>
      <c r="C22281" s="6">
        <v>40000</v>
      </c>
      <c r="D22281" s="7">
        <v>0</v>
      </c>
    </row>
    <row r="22282" spans="1:5" x14ac:dyDescent="0.25">
      <c r="A22282" t="str">
        <f>HYPERLINK("https://www.773grp.com/globalSearch/NSB13ANT3H/page-1", "NSB13ANT3H")</f>
        <v>NSB13ANT3H</v>
      </c>
      <c r="B22282" s="3" t="str">
        <f>HYPERLINK("https://www.773grp.com/manufacturer/onsemi?pageNo=106", "ON Semiconductor")</f>
        <v>ON Semiconductor</v>
      </c>
      <c r="C22282" s="6">
        <v>25000</v>
      </c>
      <c r="D22282" s="7">
        <v>0</v>
      </c>
    </row>
    <row r="22283" spans="1:5" x14ac:dyDescent="0.25">
      <c r="A22283" t="str">
        <f>HYPERLINK("https://www.773grp.com/globalSearch/NSBC114EPDXVT1G/page-1", "NSBC114EPDXVT1G")</f>
        <v>NSBC114EPDXVT1G</v>
      </c>
      <c r="B22283" s="3" t="str">
        <f>HYPERLINK("https://www.773grp.com/manufacturer/onsemi?pageNo=107", "ON Semiconductor")</f>
        <v>ON Semiconductor</v>
      </c>
      <c r="C22283" s="6">
        <v>16000</v>
      </c>
      <c r="D22283" s="7">
        <v>0</v>
      </c>
    </row>
    <row r="22284" spans="1:5" x14ac:dyDescent="0.25">
      <c r="A22284" t="str">
        <f>HYPERLINK("https://www.773grp.com/globalSearch/NSBC143TPDXV/page-1", "NSBC143TPDXV")</f>
        <v>NSBC143TPDXV</v>
      </c>
      <c r="B22284" s="3" t="str">
        <f>HYPERLINK("https://www.773grp.com/manufacturer/onsemi?pageNo=108", "ON Semiconductor")</f>
        <v>ON Semiconductor</v>
      </c>
      <c r="C22284" s="6">
        <v>148000</v>
      </c>
      <c r="D22284" s="7">
        <v>0</v>
      </c>
    </row>
    <row r="22285" spans="1:5" x14ac:dyDescent="0.25">
      <c r="A22285" t="str">
        <f>HYPERLINK("https://www.773grp.com/globalSearch/NSBC143ZPDXV6T/page-1", "NSBC143ZPDXV6T")</f>
        <v>NSBC143ZPDXV6T</v>
      </c>
      <c r="B22285" s="3" t="str">
        <f>HYPERLINK("https://www.773grp.com/manufacturer/onsemi?pageNo=109", "ON Semiconductor")</f>
        <v>ON Semiconductor</v>
      </c>
      <c r="C22285" s="6">
        <v>16000</v>
      </c>
      <c r="D22285" s="7">
        <v>0</v>
      </c>
    </row>
    <row r="22286" spans="1:5" x14ac:dyDescent="0.25">
      <c r="A22286" t="str">
        <f>HYPERLINK("https://www.773grp.com/globalSearch/NSBG14MN/page-1", "NSBG14MN")</f>
        <v>NSBG14MN</v>
      </c>
      <c r="B22286" s="3" t="str">
        <f>HYPERLINK("https://www.773grp.com/manufacturer/onsemi?pageNo=110", "ON Semiconductor")</f>
        <v>ON Semiconductor</v>
      </c>
      <c r="C22286" s="6">
        <v>380</v>
      </c>
      <c r="D22286" s="7">
        <v>0</v>
      </c>
    </row>
    <row r="22287" spans="1:5" x14ac:dyDescent="0.25">
      <c r="A22287" t="str">
        <f>HYPERLINK("https://www.773grp.com/globalSearch/NSC7101SN1T1G/page-1", "NSC7101SN1T1G")</f>
        <v>NSC7101SN1T1G</v>
      </c>
      <c r="B22287" s="3" t="str">
        <f>HYPERLINK("https://www.773grp.com/manufacturer/onsemi?pageNo=111", "ON Semiconductor")</f>
        <v>ON Semiconductor</v>
      </c>
      <c r="C22287" s="6">
        <v>230</v>
      </c>
      <c r="D22287" s="7">
        <v>0</v>
      </c>
    </row>
    <row r="22288" spans="1:5" x14ac:dyDescent="0.25">
      <c r="A22288" t="str">
        <f>HYPERLINK("https://www.773grp.com/globalSearch/NSF2250WT1G/page-1", "NSF2250WT1G")</f>
        <v>NSF2250WT1G</v>
      </c>
      <c r="B22288" s="3" t="str">
        <f>HYPERLINK("https://www.773grp.com/manufacturer/onsemi?pageNo=112", "ON Semiconductor")</f>
        <v>ON Semiconductor</v>
      </c>
      <c r="C22288" s="6">
        <v>33000</v>
      </c>
      <c r="D22288" s="7">
        <v>0</v>
      </c>
      <c r="E22288" t="s">
        <v>61</v>
      </c>
    </row>
    <row r="22289" spans="1:5" x14ac:dyDescent="0.25">
      <c r="A22289" t="str">
        <f>HYPERLINK("https://www.773grp.com/globalSearch/NSR0130P2T5H/page-1", "NSR0130P2T5H")</f>
        <v>NSR0130P2T5H</v>
      </c>
      <c r="B22289" s="3" t="str">
        <f>HYPERLINK("https://www.773grp.com/manufacturer/onsemi?pageNo=113", "ON Semiconductor")</f>
        <v>ON Semiconductor</v>
      </c>
      <c r="C22289" s="6">
        <v>408000</v>
      </c>
      <c r="D22289" s="7">
        <v>0</v>
      </c>
    </row>
    <row r="22290" spans="1:5" x14ac:dyDescent="0.25">
      <c r="A22290" t="str">
        <f>HYPERLINK("https://www.773grp.com/globalSearch/NSR0140P2T5H/page-1", "NSR0140P2T5H")</f>
        <v>NSR0140P2T5H</v>
      </c>
      <c r="B22290" s="3" t="str">
        <f>HYPERLINK("https://www.773grp.com/manufacturer/onsemi?pageNo=114", "ON Semiconductor")</f>
        <v>ON Semiconductor</v>
      </c>
      <c r="C22290" s="6">
        <v>16000</v>
      </c>
      <c r="D22290" s="7">
        <v>0</v>
      </c>
    </row>
    <row r="22291" spans="1:5" x14ac:dyDescent="0.25">
      <c r="A22291" t="str">
        <f>HYPERLINK("https://www.773grp.com/globalSearch/NSTHS4101PT1G/page-1", "NSTHS4101PT1G")</f>
        <v>NSTHS4101PT1G</v>
      </c>
      <c r="B22291" s="3" t="str">
        <f>HYPERLINK("https://www.773grp.com/manufacturer/onsemi?pageNo=115", "ON Semiconductor")</f>
        <v>ON Semiconductor</v>
      </c>
      <c r="C22291" s="6">
        <v>9000</v>
      </c>
      <c r="D22291" s="7">
        <v>0</v>
      </c>
    </row>
    <row r="22292" spans="1:5" x14ac:dyDescent="0.25">
      <c r="A22292" t="str">
        <f>HYPERLINK("https://www.773grp.com/globalSearch/NSTHS5404T1G/page-1", "NSTHS5404T1G")</f>
        <v>NSTHS5404T1G</v>
      </c>
      <c r="B22292" s="3" t="str">
        <f>HYPERLINK("https://www.773grp.com/manufacturer/onsemi?pageNo=116", "ON Semiconductor")</f>
        <v>ON Semiconductor</v>
      </c>
      <c r="C22292" s="6">
        <v>222000</v>
      </c>
      <c r="D22292" s="7">
        <v>0</v>
      </c>
    </row>
    <row r="22293" spans="1:5" x14ac:dyDescent="0.25">
      <c r="A22293" t="str">
        <f>HYPERLINK("https://www.773grp.com/globalSearch/NSTR1P02T1G/page-1", "NSTR1P02T1G")</f>
        <v>NSTR1P02T1G</v>
      </c>
      <c r="B22293" s="3" t="str">
        <f>HYPERLINK("https://www.773grp.com/manufacturer/onsemi?pageNo=117", "ON Semiconductor")</f>
        <v>ON Semiconductor</v>
      </c>
      <c r="C22293" s="6">
        <v>9000</v>
      </c>
      <c r="D22293" s="7">
        <v>0</v>
      </c>
    </row>
    <row r="22294" spans="1:5" x14ac:dyDescent="0.25">
      <c r="A22294" t="str">
        <f>HYPERLINK("https://www.773grp.com/globalSearch/NSVBAS70LT1/page-1", "NSVBAS70LT1")</f>
        <v>NSVBAS70LT1</v>
      </c>
      <c r="B22294" s="3" t="str">
        <f>HYPERLINK("https://www.773grp.com/manufacturer/onsemi?pageNo=118", "ON Semiconductor")</f>
        <v>ON Semiconductor</v>
      </c>
      <c r="C22294" s="6">
        <v>48000</v>
      </c>
      <c r="D22294" s="7">
        <v>0</v>
      </c>
    </row>
    <row r="22295" spans="1:5" x14ac:dyDescent="0.25">
      <c r="A22295" t="str">
        <f>HYPERLINK("https://www.773grp.com/globalSearch/NSZ5V6V2T1G/page-1", "NSZ5V6V2T1G")</f>
        <v>NSZ5V6V2T1G</v>
      </c>
      <c r="B22295" s="3" t="str">
        <f>HYPERLINK("https://www.773grp.com/manufacturer/onsemi?pageNo=119", "ON Semiconductor")</f>
        <v>ON Semiconductor</v>
      </c>
      <c r="C22295" s="6">
        <v>21000</v>
      </c>
      <c r="D22295" s="7">
        <v>0</v>
      </c>
      <c r="E22295" t="s">
        <v>98</v>
      </c>
    </row>
    <row r="22296" spans="1:5" x14ac:dyDescent="0.25">
      <c r="A22296" t="str">
        <f>HYPERLINK("https://www.773grp.com/globalSearch/NTB125N02RT4G/page-1", "NTB125N02RT4G")</f>
        <v>NTB125N02RT4G</v>
      </c>
      <c r="B22296" s="3" t="str">
        <f>HYPERLINK("https://www.773grp.com/manufacturer/onsemi?pageNo=120", "ON Semiconductor")</f>
        <v>ON Semiconductor</v>
      </c>
      <c r="C22296" s="6">
        <v>2211</v>
      </c>
      <c r="D22296" s="7">
        <v>0</v>
      </c>
      <c r="E22296" t="s">
        <v>105</v>
      </c>
    </row>
    <row r="22297" spans="1:5" x14ac:dyDescent="0.25">
      <c r="A22297" t="str">
        <f>HYPERLINK("https://www.773grp.com/globalSearch/NTB75N03RT4G/page-1", "NTB75N03RT4G")</f>
        <v>NTB75N03RT4G</v>
      </c>
      <c r="B22297" s="3" t="str">
        <f>HYPERLINK("https://www.773grp.com/manufacturer/onsemi?pageNo=121", "ON Semiconductor")</f>
        <v>ON Semiconductor</v>
      </c>
      <c r="C22297" s="6">
        <v>550</v>
      </c>
      <c r="D22297" s="7">
        <v>0</v>
      </c>
      <c r="E22297" t="s">
        <v>105</v>
      </c>
    </row>
    <row r="22298" spans="1:5" x14ac:dyDescent="0.25">
      <c r="A22298" t="str">
        <f>HYPERLINK("https://www.773grp.com/globalSearch/NTD15N06L-001/page-1", "NTD15N06L-001")</f>
        <v>NTD15N06L-001</v>
      </c>
      <c r="B22298" s="3" t="str">
        <f>HYPERLINK("https://www.773grp.com/manufacturer/onsemi?pageNo=122", "ON Semiconductor")</f>
        <v>ON Semiconductor</v>
      </c>
      <c r="C22298" s="6">
        <v>1000</v>
      </c>
      <c r="D22298" s="7">
        <v>0</v>
      </c>
    </row>
    <row r="22299" spans="1:5" x14ac:dyDescent="0.25">
      <c r="A22299" t="str">
        <f>HYPERLINK("https://www.773grp.com/globalSearch/NTD3055L170T4H/page-1", "NTD3055L170T4H")</f>
        <v>NTD3055L170T4H</v>
      </c>
      <c r="B22299" s="3" t="str">
        <f>HYPERLINK("https://www.773grp.com/manufacturer/onsemi?pageNo=123", "ON Semiconductor")</f>
        <v>ON Semiconductor</v>
      </c>
      <c r="C22299" s="6">
        <v>2274</v>
      </c>
      <c r="D22299" s="7">
        <v>0</v>
      </c>
    </row>
    <row r="22300" spans="1:5" x14ac:dyDescent="0.25">
      <c r="A22300" t="str">
        <f>HYPERLINK("https://www.773grp.com/globalSearch/NTD4806N-1H/page-1", "NTD4806N-1H")</f>
        <v>NTD4806N-1H</v>
      </c>
      <c r="B22300" s="3" t="str">
        <f>HYPERLINK("https://www.773grp.com/manufacturer/onsemi?pageNo=124", "ON Semiconductor")</f>
        <v>ON Semiconductor</v>
      </c>
      <c r="C22300" s="6">
        <v>1200</v>
      </c>
      <c r="D22300" s="7">
        <v>0</v>
      </c>
    </row>
    <row r="22301" spans="1:5" x14ac:dyDescent="0.25">
      <c r="A22301" t="str">
        <f>HYPERLINK("https://www.773grp.com/globalSearch/NTD4809NH-35H/page-1", "NTD4809NH-35H")</f>
        <v>NTD4809NH-35H</v>
      </c>
      <c r="B22301" s="3" t="str">
        <f>HYPERLINK("https://www.773grp.com/manufacturer/onsemi?pageNo=125", "ON Semiconductor")</f>
        <v>ON Semiconductor</v>
      </c>
      <c r="C22301" s="6">
        <v>17100</v>
      </c>
      <c r="D22301" s="7">
        <v>0</v>
      </c>
    </row>
    <row r="22302" spans="1:5" x14ac:dyDescent="0.25">
      <c r="A22302" t="str">
        <f>HYPERLINK("https://www.773grp.com/globalSearch/NTD4854NT4H/page-1", "NTD4854NT4H")</f>
        <v>NTD4854NT4H</v>
      </c>
      <c r="B22302" s="3" t="str">
        <f>HYPERLINK("https://www.773grp.com/manufacturer/onsemi?pageNo=126", "ON Semiconductor")</f>
        <v>ON Semiconductor</v>
      </c>
      <c r="C22302" s="6">
        <v>2500</v>
      </c>
      <c r="D22302" s="7">
        <v>0</v>
      </c>
    </row>
    <row r="22303" spans="1:5" x14ac:dyDescent="0.25">
      <c r="A22303" t="str">
        <f>HYPERLINK("https://www.773grp.com/globalSearch/NTD4858NA-1G/page-1", "NTD4858NA-1G")</f>
        <v>NTD4858NA-1G</v>
      </c>
      <c r="B22303" s="3" t="str">
        <f>HYPERLINK("https://www.773grp.com/manufacturer/onsemi?pageNo=127", "ON Semiconductor")</f>
        <v>ON Semiconductor</v>
      </c>
      <c r="C22303" s="6">
        <v>7350</v>
      </c>
      <c r="D22303" s="7">
        <v>0</v>
      </c>
    </row>
    <row r="22304" spans="1:5" x14ac:dyDescent="0.25">
      <c r="A22304" t="str">
        <f>HYPERLINK("https://www.773grp.com/globalSearch/NTD4860NA-1G/page-1", "NTD4860NA-1G")</f>
        <v>NTD4860NA-1G</v>
      </c>
      <c r="B22304" s="3" t="str">
        <f>HYPERLINK("https://www.773grp.com/manufacturer/onsemi?pageNo=128", "ON Semiconductor")</f>
        <v>ON Semiconductor</v>
      </c>
      <c r="C22304" s="6">
        <v>8325</v>
      </c>
      <c r="D22304" s="7">
        <v>0</v>
      </c>
    </row>
    <row r="22305" spans="1:5" x14ac:dyDescent="0.25">
      <c r="A22305" t="str">
        <f>HYPERLINK("https://www.773grp.com/globalSearch/NTD4865N-35G/page-1", "NTD4865N-35G")</f>
        <v>NTD4865N-35G</v>
      </c>
      <c r="B22305" s="3" t="str">
        <f>HYPERLINK("https://www.773grp.com/manufacturer/onsemi?pageNo=129", "ON Semiconductor")</f>
        <v>ON Semiconductor</v>
      </c>
      <c r="C22305" s="6">
        <v>12975</v>
      </c>
      <c r="D22305" s="7">
        <v>0</v>
      </c>
      <c r="E22305" t="s">
        <v>105</v>
      </c>
    </row>
    <row r="22306" spans="1:5" x14ac:dyDescent="0.25">
      <c r="A22306" t="str">
        <f>HYPERLINK("https://www.773grp.com/globalSearch/NTD497ON-1G/page-1", "NTD497ON-1G")</f>
        <v>NTD497ON-1G</v>
      </c>
      <c r="B22306" s="3" t="str">
        <f>HYPERLINK("https://www.773grp.com/manufacturer/onsemi?pageNo=130", "ON Semiconductor")</f>
        <v>ON Semiconductor</v>
      </c>
      <c r="C22306" s="6">
        <v>59</v>
      </c>
      <c r="D22306" s="7">
        <v>0</v>
      </c>
    </row>
    <row r="22307" spans="1:5" x14ac:dyDescent="0.25">
      <c r="A22307" t="str">
        <f>HYPERLINK("https://www.773grp.com/globalSearch/NTD78N03R35G/page-1", "NTD78N03R35G")</f>
        <v>NTD78N03R35G</v>
      </c>
      <c r="B22307" s="3" t="str">
        <f>HYPERLINK("https://www.773grp.com/manufacturer/onsemi?pageNo=131", "ON Semiconductor")</f>
        <v>ON Semiconductor</v>
      </c>
      <c r="C22307" s="6">
        <v>750</v>
      </c>
      <c r="D22307" s="7">
        <v>0</v>
      </c>
    </row>
    <row r="22308" spans="1:5" x14ac:dyDescent="0.25">
      <c r="A22308" t="str">
        <f>HYPERLINK("https://www.773grp.com/globalSearch/NTD80N02T4G/page-1", "NTD80N02T4G")</f>
        <v>NTD80N02T4G</v>
      </c>
      <c r="B22308" s="3" t="str">
        <f>HYPERLINK("https://www.773grp.com/manufacturer/onsemi?pageNo=132", "ON Semiconductor")</f>
        <v>ON Semiconductor</v>
      </c>
      <c r="C22308" s="6">
        <v>500</v>
      </c>
      <c r="D22308" s="7">
        <v>0</v>
      </c>
      <c r="E22308" t="s">
        <v>105</v>
      </c>
    </row>
    <row r="22309" spans="1:5" x14ac:dyDescent="0.25">
      <c r="A22309" t="str">
        <f>HYPERLINK("https://www.773grp.com/globalSearch/NTJD3158CT1G/page-1", "NTJD3158CT1G")</f>
        <v>NTJD3158CT1G</v>
      </c>
      <c r="B22309" s="3" t="str">
        <f>HYPERLINK("https://www.773grp.com/manufacturer/onsemi?pageNo=133", "ON Semiconductor")</f>
        <v>ON Semiconductor</v>
      </c>
      <c r="C22309" s="6">
        <v>3000</v>
      </c>
      <c r="D22309" s="7">
        <v>0</v>
      </c>
      <c r="E22309" t="s">
        <v>106</v>
      </c>
    </row>
    <row r="22310" spans="1:5" x14ac:dyDescent="0.25">
      <c r="A22310" t="str">
        <f>HYPERLINK("https://www.773grp.com/globalSearch/NTLJD3181PZTAG/page-1", "NTLJD3181PZTAG")</f>
        <v>NTLJD3181PZTAG</v>
      </c>
      <c r="B22310" s="3" t="str">
        <f>HYPERLINK("https://www.773grp.com/manufacturer/onsemi?pageNo=134", "ON Semiconductor")</f>
        <v>ON Semiconductor</v>
      </c>
      <c r="C22310" s="6">
        <v>54000</v>
      </c>
      <c r="D22310" s="7">
        <v>0</v>
      </c>
      <c r="E22310" t="s">
        <v>106</v>
      </c>
    </row>
    <row r="22311" spans="1:5" x14ac:dyDescent="0.25">
      <c r="A22311" t="str">
        <f>HYPERLINK("https://www.773grp.com/globalSearch/NTLJD3181PZTBG/page-1", "NTLJD3181PZTBG")</f>
        <v>NTLJD3181PZTBG</v>
      </c>
      <c r="B22311" s="3" t="str">
        <f>HYPERLINK("https://www.773grp.com/manufacturer/onsemi?pageNo=135", "ON Semiconductor")</f>
        <v>ON Semiconductor</v>
      </c>
      <c r="C22311" s="6">
        <v>12000</v>
      </c>
      <c r="D22311" s="7">
        <v>0</v>
      </c>
      <c r="E22311" t="s">
        <v>106</v>
      </c>
    </row>
    <row r="22312" spans="1:5" x14ac:dyDescent="0.25">
      <c r="A22312" t="str">
        <f>HYPERLINK("https://www.773grp.com/globalSearch/NTLJD3182FZTAG/page-1", "NTLJD3182FZTAG")</f>
        <v>NTLJD3182FZTAG</v>
      </c>
      <c r="B22312" s="3" t="str">
        <f>HYPERLINK("https://www.773grp.com/manufacturer/onsemi?pageNo=136", "ON Semiconductor")</f>
        <v>ON Semiconductor</v>
      </c>
      <c r="C22312" s="6">
        <v>33000</v>
      </c>
      <c r="D22312" s="7">
        <v>0</v>
      </c>
      <c r="E22312" t="s">
        <v>106</v>
      </c>
    </row>
    <row r="22313" spans="1:5" x14ac:dyDescent="0.25">
      <c r="A22313" t="str">
        <f>HYPERLINK("https://www.773grp.com/globalSearch/NTLJD3183CZTAG/page-1", "NTLJD3183CZTAG")</f>
        <v>NTLJD3183CZTAG</v>
      </c>
      <c r="B22313" s="3" t="str">
        <f>HYPERLINK("https://www.773grp.com/manufacturer/onsemi?pageNo=137", "ON Semiconductor")</f>
        <v>ON Semiconductor</v>
      </c>
      <c r="C22313" s="6">
        <v>12000</v>
      </c>
      <c r="D22313" s="7">
        <v>0</v>
      </c>
      <c r="E22313" t="s">
        <v>106</v>
      </c>
    </row>
    <row r="22314" spans="1:5" x14ac:dyDescent="0.25">
      <c r="A22314" t="str">
        <f>HYPERLINK("https://www.773grp.com/globalSearch/NTLJD3183CZTBG/page-1", "NTLJD3183CZTBG")</f>
        <v>NTLJD3183CZTBG</v>
      </c>
      <c r="B22314" s="3" t="str">
        <f>HYPERLINK("https://www.773grp.com/manufacturer/onsemi?pageNo=138", "ON Semiconductor")</f>
        <v>ON Semiconductor</v>
      </c>
      <c r="C22314" s="6">
        <v>78000</v>
      </c>
      <c r="D22314" s="7">
        <v>0</v>
      </c>
      <c r="E22314" t="s">
        <v>106</v>
      </c>
    </row>
    <row r="22315" spans="1:5" x14ac:dyDescent="0.25">
      <c r="A22315" t="str">
        <f>HYPERLINK("https://www.773grp.com/globalSearch/NTLJF3117PTAG/page-1", "NTLJF3117PTAG")</f>
        <v>NTLJF3117PTAG</v>
      </c>
      <c r="B22315" s="3" t="str">
        <f>HYPERLINK("https://www.773grp.com/manufacturer/onsemi?pageNo=139", "ON Semiconductor")</f>
        <v>ON Semiconductor</v>
      </c>
      <c r="C22315" s="6">
        <v>43275</v>
      </c>
      <c r="D22315" s="7">
        <v>0</v>
      </c>
      <c r="E22315" t="s">
        <v>105</v>
      </c>
    </row>
    <row r="22316" spans="1:5" x14ac:dyDescent="0.25">
      <c r="A22316" t="str">
        <f>HYPERLINK("https://www.773grp.com/globalSearch/NTLJS1102PTAG/page-1", "NTLJS1102PTAG")</f>
        <v>NTLJS1102PTAG</v>
      </c>
      <c r="B22316" s="3" t="str">
        <f>HYPERLINK("https://www.773grp.com/manufacturer/onsemi?pageNo=140", "ON Semiconductor")</f>
        <v>ON Semiconductor</v>
      </c>
      <c r="C22316" s="6">
        <v>36000</v>
      </c>
      <c r="D22316" s="7">
        <v>0</v>
      </c>
      <c r="E22316" t="s">
        <v>106</v>
      </c>
    </row>
    <row r="22317" spans="1:5" x14ac:dyDescent="0.25">
      <c r="A22317" t="str">
        <f>HYPERLINK("https://www.773grp.com/globalSearch/NTLJS3180PZTAG/page-1", "NTLJS3180PZTAG")</f>
        <v>NTLJS3180PZTAG</v>
      </c>
      <c r="B22317" s="3" t="str">
        <f>HYPERLINK("https://www.773grp.com/manufacturer/onsemi?pageNo=141", "ON Semiconductor")</f>
        <v>ON Semiconductor</v>
      </c>
      <c r="C22317" s="6">
        <v>9000</v>
      </c>
      <c r="D22317" s="7">
        <v>0</v>
      </c>
      <c r="E22317" t="s">
        <v>106</v>
      </c>
    </row>
    <row r="22318" spans="1:5" x14ac:dyDescent="0.25">
      <c r="A22318" t="str">
        <f>HYPERLINK("https://www.773grp.com/globalSearch/NTLJS3180PZTBG/page-1", "NTLJS3180PZTBG")</f>
        <v>NTLJS3180PZTBG</v>
      </c>
      <c r="B22318" s="3" t="str">
        <f>HYPERLINK("https://www.773grp.com/manufacturer/onsemi?pageNo=142", "ON Semiconductor")</f>
        <v>ON Semiconductor</v>
      </c>
      <c r="C22318" s="6">
        <v>3000</v>
      </c>
      <c r="D22318" s="7">
        <v>0</v>
      </c>
      <c r="E22318" t="s">
        <v>106</v>
      </c>
    </row>
    <row r="22319" spans="1:5" x14ac:dyDescent="0.25">
      <c r="A22319" t="str">
        <f>HYPERLINK("https://www.773grp.com/globalSearch/NTLMS4502NR2G/page-1", "NTLMS4502NR2G")</f>
        <v>NTLMS4502NR2G</v>
      </c>
      <c r="B22319" s="3" t="str">
        <f>HYPERLINK("https://www.773grp.com/manufacturer/onsemi?pageNo=143", "ON Semiconductor")</f>
        <v>ON Semiconductor</v>
      </c>
      <c r="C22319" s="6">
        <v>2122</v>
      </c>
      <c r="D22319" s="7">
        <v>0</v>
      </c>
    </row>
    <row r="22320" spans="1:5" x14ac:dyDescent="0.25">
      <c r="A22320" t="str">
        <f>HYPERLINK("https://www.773grp.com/globalSearch/NTLMS4504NR2/page-1", "NTLMS4504NR2")</f>
        <v>NTLMS4504NR2</v>
      </c>
      <c r="B22320" s="3" t="str">
        <f>HYPERLINK("https://www.773grp.com/manufacturer/onsemi?pageNo=144", "ON Semiconductor")</f>
        <v>ON Semiconductor</v>
      </c>
      <c r="C22320" s="6">
        <v>21070</v>
      </c>
      <c r="D22320" s="7">
        <v>0</v>
      </c>
    </row>
    <row r="22321" spans="1:5" x14ac:dyDescent="0.25">
      <c r="A22321" t="str">
        <f>HYPERLINK("https://www.773grp.com/globalSearch/NTLUD3191PZTBG/page-1", "NTLUD3191PZTBG")</f>
        <v>NTLUD3191PZTBG</v>
      </c>
      <c r="B22321" s="3" t="str">
        <f>HYPERLINK("https://www.773grp.com/manufacturer/onsemi?pageNo=145", "ON Semiconductor")</f>
        <v>ON Semiconductor</v>
      </c>
      <c r="C22321" s="6">
        <v>21000</v>
      </c>
      <c r="D22321" s="7">
        <v>0</v>
      </c>
      <c r="E22321" t="s">
        <v>106</v>
      </c>
    </row>
    <row r="22322" spans="1:5" x14ac:dyDescent="0.25">
      <c r="A22322" t="str">
        <f>HYPERLINK("https://www.773grp.com/globalSearch/NTLUS3192PZTAG/page-1", "NTLUS3192PZTAG")</f>
        <v>NTLUS3192PZTAG</v>
      </c>
      <c r="B22322" s="3" t="str">
        <f>HYPERLINK("https://www.773grp.com/manufacturer/onsemi?pageNo=146", "ON Semiconductor")</f>
        <v>ON Semiconductor</v>
      </c>
      <c r="C22322" s="6">
        <v>54000</v>
      </c>
      <c r="D22322" s="7">
        <v>0</v>
      </c>
      <c r="E22322" t="s">
        <v>106</v>
      </c>
    </row>
    <row r="22323" spans="1:5" x14ac:dyDescent="0.25">
      <c r="A22323" t="str">
        <f>HYPERLINK("https://www.773grp.com/globalSearch/NTMFS4122NT1G/page-1", "NTMFS4122NT1G")</f>
        <v>NTMFS4122NT1G</v>
      </c>
      <c r="B22323" s="3" t="str">
        <f>HYPERLINK("https://www.773grp.com/manufacturer/onsemi?pageNo=147", "ON Semiconductor")</f>
        <v>ON Semiconductor</v>
      </c>
      <c r="C22323" s="6">
        <v>8850</v>
      </c>
      <c r="D22323" s="7">
        <v>0</v>
      </c>
      <c r="E22323" t="s">
        <v>106</v>
      </c>
    </row>
    <row r="22324" spans="1:5" x14ac:dyDescent="0.25">
      <c r="A22324" t="str">
        <f>HYPERLINK("https://www.773grp.com/globalSearch/NTMFS4741NT1G/page-1", "NTMFS4741NT1G")</f>
        <v>NTMFS4741NT1G</v>
      </c>
      <c r="B22324" s="3" t="str">
        <f>HYPERLINK("https://www.773grp.com/manufacturer/onsemi?pageNo=148", "ON Semiconductor")</f>
        <v>ON Semiconductor</v>
      </c>
      <c r="C22324" s="6">
        <v>1500</v>
      </c>
      <c r="D22324" s="7">
        <v>0</v>
      </c>
      <c r="E22324" t="s">
        <v>105</v>
      </c>
    </row>
    <row r="22325" spans="1:5" x14ac:dyDescent="0.25">
      <c r="A22325" t="str">
        <f>HYPERLINK("https://www.773grp.com/globalSearch/NTMKE4890NT1G/page-1", "NTMKE4890NT1G")</f>
        <v>NTMKE4890NT1G</v>
      </c>
      <c r="B22325" s="3" t="str">
        <f>HYPERLINK("https://www.773grp.com/manufacturer/onsemi?pageNo=149", "ON Semiconductor")</f>
        <v>ON Semiconductor</v>
      </c>
      <c r="C22325" s="6">
        <v>21000</v>
      </c>
      <c r="D22325" s="7">
        <v>0</v>
      </c>
      <c r="E22325" t="s">
        <v>105</v>
      </c>
    </row>
    <row r="22326" spans="1:5" x14ac:dyDescent="0.25">
      <c r="A22326" t="str">
        <f>HYPERLINK("https://www.773grp.com/globalSearch/NTP5411NG/page-1", "NTP5411NG")</f>
        <v>NTP5411NG</v>
      </c>
      <c r="B22326" s="3" t="str">
        <f>HYPERLINK("https://www.773grp.com/manufacturer/onsemi?pageNo=150", "ON Semiconductor")</f>
        <v>ON Semiconductor</v>
      </c>
      <c r="C22326" s="6">
        <v>2994</v>
      </c>
      <c r="D22326" s="7">
        <v>0</v>
      </c>
      <c r="E22326" t="s">
        <v>105</v>
      </c>
    </row>
    <row r="22327" spans="1:5" x14ac:dyDescent="0.25">
      <c r="A22327" t="str">
        <f>HYPERLINK("https://www.773grp.com/globalSearch/NTR1P02LT1H/page-1", "NTR1P02LT1H")</f>
        <v>NTR1P02LT1H</v>
      </c>
      <c r="B22327" s="3" t="str">
        <f>HYPERLINK("https://www.773grp.com/manufacturer/onsemi?pageNo=151", "ON Semiconductor")</f>
        <v>ON Semiconductor</v>
      </c>
      <c r="C22327" s="6">
        <v>12000</v>
      </c>
      <c r="D22327" s="7">
        <v>0</v>
      </c>
    </row>
    <row r="22328" spans="1:5" x14ac:dyDescent="0.25">
      <c r="A22328" t="str">
        <f>HYPERLINK("https://www.773grp.com/globalSearch/NTS4172NT1G/page-1", "NTS4172NT1G")</f>
        <v>NTS4172NT1G</v>
      </c>
      <c r="B22328" s="3" t="str">
        <f>HYPERLINK("https://www.773grp.com/manufacturer/onsemi?pageNo=152", "ON Semiconductor")</f>
        <v>ON Semiconductor</v>
      </c>
      <c r="C22328" s="6">
        <v>3000</v>
      </c>
      <c r="D22328" s="7">
        <v>0</v>
      </c>
      <c r="E22328" t="s">
        <v>106</v>
      </c>
    </row>
    <row r="22329" spans="1:5" x14ac:dyDescent="0.25">
      <c r="A22329" t="str">
        <f>HYPERLINK("https://www.773grp.com/globalSearch/NTST30100CTH/page-1", "NTST30100CTH")</f>
        <v>NTST30100CTH</v>
      </c>
      <c r="B22329" s="3" t="str">
        <f>HYPERLINK("https://www.773grp.com/manufacturer/onsemi?pageNo=153", "ON Semiconductor")</f>
        <v>ON Semiconductor</v>
      </c>
      <c r="C22329" s="6">
        <v>800</v>
      </c>
      <c r="D22329" s="7">
        <v>0</v>
      </c>
    </row>
    <row r="22330" spans="1:5" x14ac:dyDescent="0.25">
      <c r="A22330" t="str">
        <f>HYPERLINK("https://www.773grp.com/globalSearch/NTSV20100CTH/page-1", "NTSV20100CTH")</f>
        <v>NTSV20100CTH</v>
      </c>
      <c r="B22330" s="3" t="str">
        <f>HYPERLINK("https://www.773grp.com/manufacturer/onsemi?pageNo=154", "ON Semiconductor")</f>
        <v>ON Semiconductor</v>
      </c>
      <c r="C22330" s="6">
        <v>1400</v>
      </c>
      <c r="D22330" s="7">
        <v>0</v>
      </c>
    </row>
    <row r="22331" spans="1:5" x14ac:dyDescent="0.25">
      <c r="A22331" t="str">
        <f>HYPERLINK("https://www.773grp.com/globalSearch/NTSV30100CTH/page-1", "NTSV30100CTH")</f>
        <v>NTSV30100CTH</v>
      </c>
      <c r="B22331" s="3" t="str">
        <f>HYPERLINK("https://www.773grp.com/manufacturer/onsemi?pageNo=155", "ON Semiconductor")</f>
        <v>ON Semiconductor</v>
      </c>
      <c r="C22331" s="6">
        <v>72900</v>
      </c>
      <c r="D22331" s="7">
        <v>0</v>
      </c>
    </row>
    <row r="22332" spans="1:5" x14ac:dyDescent="0.25">
      <c r="A22332" t="str">
        <f>HYPERLINK("https://www.773grp.com/globalSearch/NTTFS4824NTWG/page-1", "NTTFS4824NTWG")</f>
        <v>NTTFS4824NTWG</v>
      </c>
      <c r="B22332" s="3" t="str">
        <f>HYPERLINK("https://www.773grp.com/manufacturer/onsemi?pageNo=156", "ON Semiconductor")</f>
        <v>ON Semiconductor</v>
      </c>
      <c r="C22332" s="6">
        <v>836</v>
      </c>
      <c r="D22332" s="7">
        <v>0</v>
      </c>
      <c r="E22332" t="s">
        <v>106</v>
      </c>
    </row>
    <row r="22333" spans="1:5" x14ac:dyDescent="0.25">
      <c r="A22333" t="str">
        <f>HYPERLINK("https://www.773grp.com/globalSearch/NUP4108W5T2G/page-1", "NUP4108W5T2G")</f>
        <v>NUP4108W5T2G</v>
      </c>
      <c r="B22333" s="3" t="str">
        <f>HYPERLINK("https://www.773grp.com/manufacturer/onsemi?pageNo=157", "ON Semiconductor")</f>
        <v>ON Semiconductor</v>
      </c>
      <c r="C22333" s="6">
        <v>90000</v>
      </c>
      <c r="D22333" s="7">
        <v>0</v>
      </c>
      <c r="E22333" t="s">
        <v>96</v>
      </c>
    </row>
    <row r="22334" spans="1:5" x14ac:dyDescent="0.25">
      <c r="A22334" t="str">
        <f>HYPERLINK("https://www.773grp.com/globalSearch/NUP8020X6T1G/page-1", "NUP8020X6T1G")</f>
        <v>NUP8020X6T1G</v>
      </c>
      <c r="B22334" s="3" t="str">
        <f>HYPERLINK("https://www.773grp.com/manufacturer/onsemi?pageNo=158", "ON Semiconductor")</f>
        <v>ON Semiconductor</v>
      </c>
      <c r="C22334" s="6">
        <v>44000</v>
      </c>
      <c r="D22334" s="7">
        <v>0</v>
      </c>
      <c r="E22334" t="s">
        <v>96</v>
      </c>
    </row>
    <row r="22335" spans="1:5" x14ac:dyDescent="0.25">
      <c r="A22335" t="str">
        <f>HYPERLINK("https://www.773grp.com/globalSearch/NV8664ST50T3GEVB/page-1", "NV8664ST50T3GEVB")</f>
        <v>NV8664ST50T3GEVB</v>
      </c>
      <c r="B22335" s="3" t="str">
        <f>HYPERLINK("https://www.773grp.com/manufacturer/onsemi?pageNo=159", "ON Semiconductor")</f>
        <v>ON Semiconductor</v>
      </c>
      <c r="C22335" s="6">
        <v>6</v>
      </c>
      <c r="D22335" s="7">
        <v>0</v>
      </c>
    </row>
    <row r="22336" spans="1:5" x14ac:dyDescent="0.25">
      <c r="A22336" t="str">
        <f>HYPERLINK("https://www.773grp.com/globalSearch/NVGS3441PT1G/page-1", "NVGS3441PT1G")</f>
        <v>NVGS3441PT1G</v>
      </c>
      <c r="B22336" s="3" t="str">
        <f>HYPERLINK("https://www.773grp.com/manufacturer/onsemi?pageNo=160", "ON Semiconductor")</f>
        <v>ON Semiconductor</v>
      </c>
      <c r="C22336" s="6">
        <v>9000</v>
      </c>
      <c r="D22336" s="7">
        <v>0</v>
      </c>
    </row>
    <row r="22337" spans="1:5" x14ac:dyDescent="0.25">
      <c r="A22337" t="str">
        <f>HYPERLINK("https://www.773grp.com/globalSearch/NZQA6V8AXV5T/page-1", "NZQA6V8AXV5T")</f>
        <v>NZQA6V8AXV5T</v>
      </c>
      <c r="B22337" s="3" t="str">
        <f>HYPERLINK("https://www.773grp.com/manufacturer/onsemi?pageNo=161", "ON Semiconductor")</f>
        <v>ON Semiconductor</v>
      </c>
      <c r="C22337" s="6">
        <v>40000</v>
      </c>
      <c r="D22337" s="7">
        <v>0</v>
      </c>
    </row>
    <row r="22338" spans="1:5" x14ac:dyDescent="0.25">
      <c r="A22338" t="str">
        <f>HYPERLINK("https://www.773grp.com/globalSearch/P16143633/page-1", "P16143633")</f>
        <v>P16143633</v>
      </c>
      <c r="B22338" s="3" t="str">
        <f>HYPERLINK("https://www.773grp.com/manufacturer/onsemi?pageNo=162", "ON Semiconductor")</f>
        <v>ON Semiconductor</v>
      </c>
      <c r="C22338" s="6">
        <v>6000</v>
      </c>
      <c r="D22338" s="7">
        <v>0</v>
      </c>
    </row>
    <row r="22339" spans="1:5" x14ac:dyDescent="0.25">
      <c r="A22339" t="str">
        <f>HYPERLINK("https://www.773grp.com/globalSearch/P1P8150AG-10CR/page-1", "P1P8150AG-10CR")</f>
        <v>P1P8150AG-10CR</v>
      </c>
      <c r="B22339" s="3" t="str">
        <f>HYPERLINK("https://www.773grp.com/manufacturer/onsemi?pageNo=163", "ON Semiconductor")</f>
        <v>ON Semiconductor</v>
      </c>
      <c r="C22339" s="6">
        <v>5000</v>
      </c>
      <c r="D22339" s="7">
        <v>0</v>
      </c>
    </row>
    <row r="22340" spans="1:5" x14ac:dyDescent="0.25">
      <c r="A22340" t="str">
        <f>HYPERLINK("https://www.773grp.com/globalSearch/P2010AF-08SR/page-1", "P2010AF-08SR")</f>
        <v>P2010AF-08SR</v>
      </c>
      <c r="B22340" s="3" t="str">
        <f>HYPERLINK("https://www.773grp.com/manufacturer/onsemi?pageNo=164", "ON Semiconductor")</f>
        <v>ON Semiconductor</v>
      </c>
      <c r="C22340" s="6">
        <v>37500</v>
      </c>
      <c r="D22340" s="7">
        <v>0</v>
      </c>
      <c r="E22340" t="s">
        <v>79</v>
      </c>
    </row>
    <row r="22341" spans="1:5" x14ac:dyDescent="0.25">
      <c r="A22341" t="str">
        <f>HYPERLINK("https://www.773grp.com/globalSearch/P2040CF-08TR/page-1", "P2040CF-08TR")</f>
        <v>P2040CF-08TR</v>
      </c>
      <c r="B22341" s="3" t="str">
        <f>HYPERLINK("https://www.773grp.com/manufacturer/onsemi?pageNo=165", "ON Semiconductor")</f>
        <v>ON Semiconductor</v>
      </c>
      <c r="C22341" s="6">
        <v>7500</v>
      </c>
      <c r="D22341" s="7">
        <v>0</v>
      </c>
      <c r="E22341" t="s">
        <v>34</v>
      </c>
    </row>
    <row r="22342" spans="1:5" x14ac:dyDescent="0.25">
      <c r="A22342" t="str">
        <f>HYPERLINK("https://www.773grp.com/globalSearch/P2041AF-08SR/page-1", "P2041AF-08SR")</f>
        <v>P2041AF-08SR</v>
      </c>
      <c r="B22342" s="3" t="str">
        <f>HYPERLINK("https://www.773grp.com/manufacturer/onsemi?pageNo=166", "ON Semiconductor")</f>
        <v>ON Semiconductor</v>
      </c>
      <c r="C22342" s="6">
        <v>37500</v>
      </c>
      <c r="D22342" s="7">
        <v>0</v>
      </c>
      <c r="E22342" t="s">
        <v>79</v>
      </c>
    </row>
    <row r="22343" spans="1:5" x14ac:dyDescent="0.25">
      <c r="A22343" t="str">
        <f>HYPERLINK("https://www.773grp.com/globalSearch/P3P8220AG-08CR/page-1", "P3P8220AG-08CR")</f>
        <v>P3P8220AG-08CR</v>
      </c>
      <c r="B22343" s="3" t="str">
        <f>HYPERLINK("https://www.773grp.com/manufacturer/onsemi?pageNo=167", "ON Semiconductor")</f>
        <v>ON Semiconductor</v>
      </c>
      <c r="C22343" s="6">
        <v>6000</v>
      </c>
      <c r="D22343" s="7">
        <v>0</v>
      </c>
      <c r="E22343" t="s">
        <v>79</v>
      </c>
    </row>
    <row r="22344" spans="1:5" x14ac:dyDescent="0.25">
      <c r="A22344" t="str">
        <f>HYPERLINK("https://www.773grp.com/globalSearch/P5P2305AF-1-08-ST/page-1", "P5P2305AF-1-08-ST")</f>
        <v>P5P2305AF-1-08-ST</v>
      </c>
      <c r="B22344" s="3" t="str">
        <f>HYPERLINK("https://www.773grp.com/manufacturer/onsemi?pageNo=168", "ON Semiconductor")</f>
        <v>ON Semiconductor</v>
      </c>
      <c r="C22344" s="6">
        <v>1750</v>
      </c>
      <c r="D22344" s="7">
        <v>0</v>
      </c>
    </row>
    <row r="22345" spans="1:5" x14ac:dyDescent="0.25">
      <c r="A22345" t="str">
        <f>HYPERLINK("https://www.773grp.com/globalSearch/P5P2308AF-1H16ST/page-1", "P5P2308AF-1H16ST")</f>
        <v>P5P2308AF-1H16ST</v>
      </c>
      <c r="B22345" s="3" t="str">
        <f>HYPERLINK("https://www.773grp.com/manufacturer/onsemi?pageNo=169", "ON Semiconductor")</f>
        <v>ON Semiconductor</v>
      </c>
      <c r="C22345" s="6">
        <v>2500</v>
      </c>
      <c r="D22345" s="7">
        <v>0</v>
      </c>
    </row>
    <row r="22346" spans="1:5" x14ac:dyDescent="0.25">
      <c r="A22346" t="str">
        <f>HYPERLINK("https://www.773grp.com/globalSearch/P6KE120ARLG/page-1", "P6KE120ARLG")</f>
        <v>P6KE120ARLG</v>
      </c>
      <c r="B22346" s="3" t="str">
        <f>HYPERLINK("https://www.773grp.com/manufacturer/onsemi?pageNo=170", "ON Semiconductor")</f>
        <v>ON Semiconductor</v>
      </c>
      <c r="C22346" s="6">
        <v>4000</v>
      </c>
      <c r="D22346" s="7">
        <v>0</v>
      </c>
      <c r="E22346" t="s">
        <v>96</v>
      </c>
    </row>
    <row r="22347" spans="1:5" x14ac:dyDescent="0.25">
      <c r="A22347" t="str">
        <f>HYPERLINK("https://www.773grp.com/globalSearch/P6KE170AG/page-1", "P6KE170AG")</f>
        <v>P6KE170AG</v>
      </c>
      <c r="B22347" s="3" t="str">
        <f>HYPERLINK("https://www.773grp.com/manufacturer/onsemi?pageNo=171", "ON Semiconductor")</f>
        <v>ON Semiconductor</v>
      </c>
      <c r="C22347" s="6">
        <v>10000</v>
      </c>
      <c r="D22347" s="7">
        <v>0</v>
      </c>
      <c r="E22347" t="s">
        <v>96</v>
      </c>
    </row>
    <row r="22348" spans="1:5" x14ac:dyDescent="0.25">
      <c r="A22348" t="str">
        <f>HYPERLINK("https://www.773grp.com/globalSearch/P6KE200BRLG/page-1", "P6KE200BRLG")</f>
        <v>P6KE200BRLG</v>
      </c>
      <c r="B22348" s="3" t="str">
        <f>HYPERLINK("https://www.773grp.com/manufacturer/onsemi?pageNo=172", "ON Semiconductor")</f>
        <v>ON Semiconductor</v>
      </c>
      <c r="C22348" s="6">
        <v>10000</v>
      </c>
      <c r="D22348" s="7">
        <v>0</v>
      </c>
      <c r="E22348" t="s">
        <v>96</v>
      </c>
    </row>
    <row r="22349" spans="1:5" x14ac:dyDescent="0.25">
      <c r="A22349" t="str">
        <f>HYPERLINK("https://www.773grp.com/globalSearch/P6KE2AG/page-1", "P6KE2AG")</f>
        <v>P6KE2AG</v>
      </c>
      <c r="B22349" s="3" t="str">
        <f>HYPERLINK("https://www.773grp.com/manufacturer/onsemi?pageNo=173", "ON Semiconductor")</f>
        <v>ON Semiconductor</v>
      </c>
      <c r="C22349" s="6">
        <v>359</v>
      </c>
      <c r="D22349" s="7">
        <v>0</v>
      </c>
    </row>
    <row r="22350" spans="1:5" x14ac:dyDescent="0.25">
      <c r="A22350" t="str">
        <f>HYPERLINK("https://www.773grp.com/globalSearch/PACDN042YB3R/page-1", "PACDN042YB3R")</f>
        <v>PACDN042YB3R</v>
      </c>
      <c r="B22350" s="3" t="str">
        <f>HYPERLINK("https://www.773grp.com/manufacturer/onsemi?pageNo=174", "ON Semiconductor")</f>
        <v>ON Semiconductor</v>
      </c>
      <c r="C22350" s="6">
        <v>2930</v>
      </c>
      <c r="D22350" s="7">
        <v>0</v>
      </c>
      <c r="E22350" t="s">
        <v>96</v>
      </c>
    </row>
    <row r="22351" spans="1:5" x14ac:dyDescent="0.25">
      <c r="A22351" t="str">
        <f>HYPERLINK("https://www.773grp.com/globalSearch/PACUSB-U1R/page-1", "PACUSB-U1R")</f>
        <v>PACUSB-U1R</v>
      </c>
      <c r="B22351" s="3" t="str">
        <f>HYPERLINK("https://www.773grp.com/manufacturer/onsemi?pageNo=175", "ON Semiconductor")</f>
        <v>ON Semiconductor</v>
      </c>
      <c r="C22351" s="6">
        <v>2700</v>
      </c>
      <c r="D22351" s="7">
        <v>0</v>
      </c>
      <c r="E22351" t="s">
        <v>100</v>
      </c>
    </row>
    <row r="22352" spans="1:5" x14ac:dyDescent="0.25">
      <c r="A22352" t="str">
        <f>HYPERLINK("https://www.773grp.com/globalSearch/PACUSBVB-D1Y6R/page-1", "PACUSBVB-D1Y6R")</f>
        <v>PACUSBVB-D1Y6R</v>
      </c>
      <c r="B22352" s="3" t="str">
        <f>HYPERLINK("https://www.773grp.com/manufacturer/onsemi?pageNo=176", "ON Semiconductor")</f>
        <v>ON Semiconductor</v>
      </c>
      <c r="C22352" s="6">
        <v>1945</v>
      </c>
      <c r="D22352" s="7">
        <v>0</v>
      </c>
      <c r="E22352" t="s">
        <v>100</v>
      </c>
    </row>
    <row r="22353" spans="1:4" x14ac:dyDescent="0.25">
      <c r="A22353" t="str">
        <f>HYPERLINK("https://www.773grp.com/globalSearch/PC100EP016FA/page-1", "PC100EP016FA")</f>
        <v>PC100EP016FA</v>
      </c>
      <c r="B22353" s="3" t="str">
        <f>HYPERLINK("https://www.773grp.com/manufacturer/onsemi?pageNo=177", "ON Semiconductor")</f>
        <v>ON Semiconductor</v>
      </c>
      <c r="C22353" s="6">
        <v>58</v>
      </c>
      <c r="D22353" s="7">
        <v>0</v>
      </c>
    </row>
    <row r="22354" spans="1:4" x14ac:dyDescent="0.25">
      <c r="A22354" t="str">
        <f>HYPERLINK("https://www.773grp.com/globalSearch/PC100EP16TD/page-1", "PC100EP16TD")</f>
        <v>PC100EP16TD</v>
      </c>
      <c r="B22354" s="3" t="str">
        <f>HYPERLINK("https://www.773grp.com/manufacturer/onsemi?pageNo=178", "ON Semiconductor")</f>
        <v>ON Semiconductor</v>
      </c>
      <c r="C22354" s="6">
        <v>283</v>
      </c>
      <c r="D22354" s="7">
        <v>0</v>
      </c>
    </row>
    <row r="22355" spans="1:4" x14ac:dyDescent="0.25">
      <c r="A22355" t="str">
        <f>HYPERLINK("https://www.773grp.com/globalSearch/PC100EP29DT/page-1", "PC100EP29DT")</f>
        <v>PC100EP29DT</v>
      </c>
      <c r="B22355" s="3" t="str">
        <f>HYPERLINK("https://www.773grp.com/manufacturer/onsemi?pageNo=179", "ON Semiconductor")</f>
        <v>ON Semiconductor</v>
      </c>
      <c r="C22355" s="6">
        <v>72</v>
      </c>
      <c r="D22355" s="7">
        <v>0</v>
      </c>
    </row>
    <row r="22356" spans="1:4" x14ac:dyDescent="0.25">
      <c r="A22356" t="str">
        <f>HYPERLINK("https://www.773grp.com/globalSearch/PC100EP446FA/page-1", "PC100EP446FA")</f>
        <v>PC100EP446FA</v>
      </c>
      <c r="B22356" s="3" t="str">
        <f>HYPERLINK("https://www.773grp.com/manufacturer/onsemi?pageNo=180", "ON Semiconductor")</f>
        <v>ON Semiconductor</v>
      </c>
      <c r="C22356" s="6">
        <v>220</v>
      </c>
      <c r="D22356" s="7">
        <v>0</v>
      </c>
    </row>
    <row r="22357" spans="1:4" x14ac:dyDescent="0.25">
      <c r="A22357" t="str">
        <f>HYPERLINK("https://www.773grp.com/globalSearch/PC100EP451FA/page-1", "PC100EP451FA")</f>
        <v>PC100EP451FA</v>
      </c>
      <c r="B22357" s="3" t="str">
        <f>HYPERLINK("https://www.773grp.com/manufacturer/onsemi?pageNo=181", "ON Semiconductor")</f>
        <v>ON Semiconductor</v>
      </c>
      <c r="C22357" s="6">
        <v>75</v>
      </c>
      <c r="D22357" s="7">
        <v>0</v>
      </c>
    </row>
    <row r="22358" spans="1:4" x14ac:dyDescent="0.25">
      <c r="A22358" t="str">
        <f>HYPERLINK("https://www.773grp.com/globalSearch/PC100EP56DT/page-1", "PC100EP56DT")</f>
        <v>PC100EP56DT</v>
      </c>
      <c r="B22358" s="3" t="str">
        <f>HYPERLINK("https://www.773grp.com/manufacturer/onsemi?pageNo=182", "ON Semiconductor")</f>
        <v>ON Semiconductor</v>
      </c>
      <c r="C22358" s="6">
        <v>51</v>
      </c>
      <c r="D22358" s="7">
        <v>0</v>
      </c>
    </row>
    <row r="22359" spans="1:4" x14ac:dyDescent="0.25">
      <c r="A22359" t="str">
        <f>HYPERLINK("https://www.773grp.com/globalSearch/PC100EP57DT/page-1", "PC100EP57DT")</f>
        <v>PC100EP57DT</v>
      </c>
      <c r="B22359" s="3" t="str">
        <f>HYPERLINK("https://www.773grp.com/manufacturer/onsemi?pageNo=183", "ON Semiconductor")</f>
        <v>ON Semiconductor</v>
      </c>
      <c r="C22359" s="6">
        <v>89</v>
      </c>
      <c r="D22359" s="7">
        <v>0</v>
      </c>
    </row>
    <row r="22360" spans="1:4" x14ac:dyDescent="0.25">
      <c r="A22360" t="str">
        <f>HYPERLINK("https://www.773grp.com/globalSearch/PC100LVEP14DT/page-1", "PC100LVEP14DT")</f>
        <v>PC100LVEP14DT</v>
      </c>
      <c r="B22360" s="3" t="str">
        <f>HYPERLINK("https://www.773grp.com/manufacturer/onsemi?pageNo=184", "ON Semiconductor")</f>
        <v>ON Semiconductor</v>
      </c>
      <c r="C22360" s="6">
        <v>83</v>
      </c>
      <c r="D22360" s="7">
        <v>0</v>
      </c>
    </row>
    <row r="22361" spans="1:4" x14ac:dyDescent="0.25">
      <c r="A22361" t="str">
        <f>HYPERLINK("https://www.773grp.com/globalSearch/PC10EP142FA/page-1", "PC10EP142FA")</f>
        <v>PC10EP142FA</v>
      </c>
      <c r="B22361" s="3" t="str">
        <f>HYPERLINK("https://www.773grp.com/manufacturer/onsemi?pageNo=185", "ON Semiconductor")</f>
        <v>ON Semiconductor</v>
      </c>
      <c r="C22361" s="6">
        <v>661</v>
      </c>
      <c r="D22361" s="7">
        <v>0</v>
      </c>
    </row>
    <row r="22362" spans="1:4" x14ac:dyDescent="0.25">
      <c r="A22362" t="str">
        <f>HYPERLINK("https://www.773grp.com/globalSearch/PC10EP16TD/page-1", "PC10EP16TD")</f>
        <v>PC10EP16TD</v>
      </c>
      <c r="B22362" s="3" t="str">
        <f>HYPERLINK("https://www.773grp.com/manufacturer/onsemi?pageNo=186", "ON Semiconductor")</f>
        <v>ON Semiconductor</v>
      </c>
      <c r="C22362" s="6">
        <v>84</v>
      </c>
      <c r="D22362" s="7">
        <v>0</v>
      </c>
    </row>
    <row r="22363" spans="1:4" x14ac:dyDescent="0.25">
      <c r="A22363" t="str">
        <f>HYPERLINK("https://www.773grp.com/globalSearch/PC10EP17DT/page-1", "PC10EP17DT")</f>
        <v>PC10EP17DT</v>
      </c>
      <c r="B22363" s="3" t="str">
        <f>HYPERLINK("https://www.773grp.com/manufacturer/onsemi?pageNo=187", "ON Semiconductor")</f>
        <v>ON Semiconductor</v>
      </c>
      <c r="C22363" s="6">
        <v>150</v>
      </c>
      <c r="D22363" s="7">
        <v>0</v>
      </c>
    </row>
    <row r="22364" spans="1:4" x14ac:dyDescent="0.25">
      <c r="A22364" t="str">
        <f>HYPERLINK("https://www.773grp.com/globalSearch/PC10EP446FA/page-1", "PC10EP446FA")</f>
        <v>PC10EP446FA</v>
      </c>
      <c r="B22364" s="3" t="str">
        <f>HYPERLINK("https://www.773grp.com/manufacturer/onsemi?pageNo=188", "ON Semiconductor")</f>
        <v>ON Semiconductor</v>
      </c>
      <c r="C22364" s="6">
        <v>240</v>
      </c>
      <c r="D22364" s="7">
        <v>0</v>
      </c>
    </row>
    <row r="22365" spans="1:4" x14ac:dyDescent="0.25">
      <c r="A22365" t="str">
        <f>HYPERLINK("https://www.773grp.com/globalSearch/PC10EP58D/page-1", "PC10EP58D")</f>
        <v>PC10EP58D</v>
      </c>
      <c r="B22365" s="3" t="str">
        <f>HYPERLINK("https://www.773grp.com/manufacturer/onsemi?pageNo=189", "ON Semiconductor")</f>
        <v>ON Semiconductor</v>
      </c>
      <c r="C22365" s="6">
        <v>10</v>
      </c>
      <c r="D22365" s="7">
        <v>0</v>
      </c>
    </row>
    <row r="22366" spans="1:4" x14ac:dyDescent="0.25">
      <c r="A22366" t="str">
        <f>HYPERLINK("https://www.773grp.com/globalSearch/PC10EPT20D/page-1", "PC10EPT20D")</f>
        <v>PC10EPT20D</v>
      </c>
      <c r="B22366" s="3" t="str">
        <f>HYPERLINK("https://www.773grp.com/manufacturer/onsemi?pageNo=190", "ON Semiconductor")</f>
        <v>ON Semiconductor</v>
      </c>
      <c r="C22366" s="6">
        <v>11</v>
      </c>
      <c r="D22366" s="7">
        <v>0</v>
      </c>
    </row>
    <row r="22367" spans="1:4" x14ac:dyDescent="0.25">
      <c r="A22367" t="str">
        <f>HYPERLINK("https://www.773grp.com/globalSearch/PCP6132AMNR2G/page-1", "PCP6132AMNR2G")</f>
        <v>PCP6132AMNR2G</v>
      </c>
      <c r="B22367" s="3" t="str">
        <f>HYPERLINK("https://www.773grp.com/manufacturer/onsemi?pageNo=191", "ON Semiconductor")</f>
        <v>ON Semiconductor</v>
      </c>
      <c r="C22367" s="6">
        <v>2500</v>
      </c>
      <c r="D22367" s="7">
        <v>0</v>
      </c>
    </row>
    <row r="22368" spans="1:4" x14ac:dyDescent="0.25">
      <c r="A22368" t="str">
        <f>HYPERLINK("https://www.773grp.com/globalSearch/PCP6132BMNR2G/page-1", "PCP6132BMNR2G")</f>
        <v>PCP6132BMNR2G</v>
      </c>
      <c r="B22368" s="3" t="str">
        <f>HYPERLINK("https://www.773grp.com/manufacturer/onsemi?pageNo=192", "ON Semiconductor")</f>
        <v>ON Semiconductor</v>
      </c>
      <c r="C22368" s="6">
        <v>4500</v>
      </c>
      <c r="D22368" s="7">
        <v>0</v>
      </c>
    </row>
    <row r="22369" spans="1:5" x14ac:dyDescent="0.25">
      <c r="A22369" t="str">
        <f>HYPERLINK("https://www.773grp.com/globalSearch/PCS2I2310ANZG-28-AR/page-1", "PCS2I2310ANZG-28-AR")</f>
        <v>PCS2I2310ANZG-28-AR</v>
      </c>
      <c r="B22369" s="3" t="str">
        <f>HYPERLINK("https://www.773grp.com/manufacturer/onsemi?pageNo=193", "ON Semiconductor")</f>
        <v>ON Semiconductor</v>
      </c>
      <c r="C22369" s="6">
        <v>322</v>
      </c>
      <c r="D22369" s="7">
        <v>0</v>
      </c>
      <c r="E22369" t="s">
        <v>107</v>
      </c>
    </row>
    <row r="22370" spans="1:5" x14ac:dyDescent="0.25">
      <c r="A22370" t="str">
        <f>HYPERLINK("https://www.773grp.com/globalSearch/PCS3P73Z21BWG-08-CR/page-1", "PCS3P73Z21BWG-08-CR")</f>
        <v>PCS3P73Z21BWG-08-CR</v>
      </c>
      <c r="B22370" s="3" t="str">
        <f>HYPERLINK("https://www.773grp.com/manufacturer/onsemi?pageNo=194", "ON Semiconductor")</f>
        <v>ON Semiconductor</v>
      </c>
      <c r="C22370" s="6">
        <v>60000</v>
      </c>
      <c r="D22370" s="7">
        <v>0</v>
      </c>
    </row>
    <row r="22371" spans="1:5" x14ac:dyDescent="0.25">
      <c r="A22371" t="str">
        <f>HYPERLINK("https://www.773grp.com/globalSearch/PK4RB595A1/page-1", "PK4RB595A1")</f>
        <v>PK4RB595A1</v>
      </c>
      <c r="B22371" s="3" t="str">
        <f>HYPERLINK("https://www.773grp.com/manufacturer/onsemi?pageNo=195", "ON Semiconductor")</f>
        <v>ON Semiconductor</v>
      </c>
      <c r="C22371" s="6">
        <v>2000</v>
      </c>
      <c r="D22371" s="7">
        <v>0</v>
      </c>
    </row>
    <row r="22372" spans="1:5" x14ac:dyDescent="0.25">
      <c r="A22372" t="str">
        <f>HYPERLINK("https://www.773grp.com/globalSearch/PN580004RFAEAAA/page-1", "PN580004RFAEAAA")</f>
        <v>PN580004RFAEAAA</v>
      </c>
      <c r="B22372" s="3" t="str">
        <f>HYPERLINK("https://www.773grp.com/manufacturer/onsemi?pageNo=196", "ON Semiconductor")</f>
        <v>ON Semiconductor</v>
      </c>
      <c r="C22372" s="6">
        <v>6000</v>
      </c>
      <c r="D22372" s="7">
        <v>0</v>
      </c>
    </row>
    <row r="22373" spans="1:5" x14ac:dyDescent="0.25">
      <c r="A22373" t="str">
        <f>HYPERLINK("https://www.773grp.com/globalSearch/RE0208M-TL-H/page-1", "RE0208M-TL-H")</f>
        <v>RE0208M-TL-H</v>
      </c>
      <c r="B22373" s="3" t="str">
        <f>HYPERLINK("https://www.773grp.com/manufacturer/onsemi?pageNo=197", "ON Semiconductor")</f>
        <v>ON Semiconductor</v>
      </c>
      <c r="C22373" s="6">
        <v>45000</v>
      </c>
      <c r="D22373" s="7">
        <v>0</v>
      </c>
    </row>
    <row r="22374" spans="1:5" x14ac:dyDescent="0.25">
      <c r="A22374" t="str">
        <f>HYPERLINK("https://www.773grp.com/globalSearch/RG2006JN/page-1", "RG2006JN")</f>
        <v>RG2006JN</v>
      </c>
      <c r="B22374" s="3" t="str">
        <f>HYPERLINK("https://www.773grp.com/manufacturer/onsemi?pageNo=198", "ON Semiconductor")</f>
        <v>ON Semiconductor</v>
      </c>
      <c r="C22374" s="6">
        <v>15359</v>
      </c>
      <c r="D22374" s="7">
        <v>0</v>
      </c>
    </row>
    <row r="22375" spans="1:5" x14ac:dyDescent="0.25">
      <c r="A22375" t="str">
        <f>HYPERLINK("https://www.773grp.com/globalSearch/S1Z1SMB36CAT3/page-1", "S1Z1SMB36CAT3")</f>
        <v>S1Z1SMB36CAT3</v>
      </c>
      <c r="B22375" s="3" t="str">
        <f>HYPERLINK("https://www.773grp.com/manufacturer/onsemi?pageNo=199", "ON Semiconductor")</f>
        <v>ON Semiconductor</v>
      </c>
      <c r="C22375" s="6">
        <v>7500</v>
      </c>
      <c r="D22375" s="7">
        <v>0</v>
      </c>
    </row>
    <row r="22376" spans="1:5" x14ac:dyDescent="0.25">
      <c r="A22376" t="str">
        <f>HYPERLINK("https://www.773grp.com/globalSearch/S1ZMBZ5234BLT1DG/page-1", "S1ZMBZ5234BLT1DG")</f>
        <v>S1ZMBZ5234BLT1DG</v>
      </c>
      <c r="B22376" s="3" t="str">
        <f>HYPERLINK("https://www.773grp.com/manufacturer/onsemi?pageNo=200", "ON Semiconductor")</f>
        <v>ON Semiconductor</v>
      </c>
      <c r="C22376" s="6">
        <v>39000</v>
      </c>
      <c r="D22376" s="7">
        <v>0</v>
      </c>
    </row>
    <row r="22377" spans="1:5" x14ac:dyDescent="0.25">
      <c r="A22377" t="str">
        <f>HYPERLINK("https://www.773grp.com/globalSearch/S1ZMMBZ27VALT1G/page-1", "S1ZMMBZ27VALT1G")</f>
        <v>S1ZMMBZ27VALT1G</v>
      </c>
      <c r="B22377" s="3" t="str">
        <f>HYPERLINK("https://www.773grp.com/manufacturer/onsemi?pageNo=201", "ON Semiconductor")</f>
        <v>ON Semiconductor</v>
      </c>
      <c r="C22377" s="6">
        <v>24000</v>
      </c>
      <c r="D22377" s="7">
        <v>0</v>
      </c>
    </row>
    <row r="22378" spans="1:5" x14ac:dyDescent="0.25">
      <c r="A22378" t="str">
        <f>HYPERLINK("https://www.773grp.com/globalSearch/S1ZMMBZ5225BLT1/page-1", "S1ZMMBZ5225BLT1")</f>
        <v>S1ZMMBZ5225BLT1</v>
      </c>
      <c r="B22378" s="3" t="str">
        <f>HYPERLINK("https://www.773grp.com/manufacturer/onsemi?pageNo=202", "ON Semiconductor")</f>
        <v>ON Semiconductor</v>
      </c>
      <c r="C22378" s="6">
        <v>48000</v>
      </c>
      <c r="D22378" s="7">
        <v>0</v>
      </c>
    </row>
    <row r="22379" spans="1:5" x14ac:dyDescent="0.25">
      <c r="A22379" t="str">
        <f>HYPERLINK("https://www.773grp.com/globalSearch/S1ZMMBZ5242BLT1G/page-1", "S1ZMMBZ5242BLT1G")</f>
        <v>S1ZMMBZ5242BLT1G</v>
      </c>
      <c r="B22379" s="3" t="str">
        <f>HYPERLINK("https://www.773grp.com/manufacturer/onsemi?pageNo=203", "ON Semiconductor")</f>
        <v>ON Semiconductor</v>
      </c>
      <c r="C22379" s="6">
        <v>51000</v>
      </c>
      <c r="D22379" s="7">
        <v>0</v>
      </c>
    </row>
    <row r="22380" spans="1:5" x14ac:dyDescent="0.25">
      <c r="A22380" t="str">
        <f>HYPERLINK("https://www.773grp.com/globalSearch/S1ZMMBZ5245BLT1D/page-1", "S1ZMMBZ5245BLT1D")</f>
        <v>S1ZMMBZ5245BLT1D</v>
      </c>
      <c r="B22380" s="3" t="str">
        <f>HYPERLINK("https://www.773grp.com/manufacturer/onsemi?pageNo=204", "ON Semiconductor")</f>
        <v>ON Semiconductor</v>
      </c>
      <c r="C22380" s="6">
        <v>120000</v>
      </c>
      <c r="D22380" s="7">
        <v>0</v>
      </c>
    </row>
    <row r="22381" spans="1:5" x14ac:dyDescent="0.25">
      <c r="A22381" t="str">
        <f>HYPERLINK("https://www.773grp.com/globalSearch/S1ZMMBZ5253BLT1/page-1", "S1ZMMBZ5253BLT1")</f>
        <v>S1ZMMBZ5253BLT1</v>
      </c>
      <c r="B22381" s="3" t="str">
        <f>HYPERLINK("https://www.773grp.com/manufacturer/onsemi?pageNo=205", "ON Semiconductor")</f>
        <v>ON Semiconductor</v>
      </c>
      <c r="C22381" s="6">
        <v>18000</v>
      </c>
      <c r="D22381" s="7">
        <v>0</v>
      </c>
    </row>
    <row r="22382" spans="1:5" x14ac:dyDescent="0.25">
      <c r="A22382" t="str">
        <f>HYPERLINK("https://www.773grp.com/globalSearch/S1ZMMSZ5V1T1/page-1", "S1ZMMSZ5V1T1")</f>
        <v>S1ZMMSZ5V1T1</v>
      </c>
      <c r="B22382" s="3" t="str">
        <f>HYPERLINK("https://www.773grp.com/manufacturer/onsemi?pageNo=206", "ON Semiconductor")</f>
        <v>ON Semiconductor</v>
      </c>
      <c r="C22382" s="6">
        <v>108000</v>
      </c>
      <c r="D22382" s="7">
        <v>0</v>
      </c>
    </row>
    <row r="22383" spans="1:5" x14ac:dyDescent="0.25">
      <c r="A22383" t="str">
        <f>HYPERLINK("https://www.773grp.com/globalSearch/S1ZP6SMB150AT3/page-1", "S1ZP6SMB150AT3")</f>
        <v>S1ZP6SMB150AT3</v>
      </c>
      <c r="B22383" s="3" t="str">
        <f>HYPERLINK("https://www.773grp.com/manufacturer/onsemi?pageNo=207", "ON Semiconductor")</f>
        <v>ON Semiconductor</v>
      </c>
      <c r="C22383" s="6">
        <v>2500</v>
      </c>
      <c r="D22383" s="7">
        <v>0</v>
      </c>
    </row>
    <row r="22384" spans="1:5" x14ac:dyDescent="0.25">
      <c r="A22384" t="str">
        <f>HYPERLINK("https://www.773grp.com/globalSearch/S1ZP6SMB36AT3/page-1", "S1ZP6SMB36AT3")</f>
        <v>S1ZP6SMB36AT3</v>
      </c>
      <c r="B22384" s="3" t="str">
        <f>HYPERLINK("https://www.773grp.com/manufacturer/onsemi?pageNo=208", "ON Semiconductor")</f>
        <v>ON Semiconductor</v>
      </c>
      <c r="C22384" s="6">
        <v>22500</v>
      </c>
      <c r="D22384" s="7">
        <v>0</v>
      </c>
    </row>
    <row r="22385" spans="1:5" x14ac:dyDescent="0.25">
      <c r="A22385" t="str">
        <f>HYPERLINK("https://www.773grp.com/globalSearch/S74LCX16245DTR2G/page-1", "S74LCX16245DTR2G")</f>
        <v>S74LCX16245DTR2G</v>
      </c>
      <c r="B22385" s="3" t="str">
        <f>HYPERLINK("https://www.773grp.com/manufacturer/onsemi?pageNo=209", "ON Semiconductor")</f>
        <v>ON Semiconductor</v>
      </c>
      <c r="C22385" s="6">
        <v>1820</v>
      </c>
      <c r="D22385" s="7">
        <v>0</v>
      </c>
    </row>
    <row r="22386" spans="1:5" x14ac:dyDescent="0.25">
      <c r="A22386" t="str">
        <f>HYPERLINK("https://www.773grp.com/globalSearch/SA100A/page-1", "SA100A")</f>
        <v>SA100A</v>
      </c>
      <c r="B22386" s="3" t="str">
        <f>HYPERLINK("https://www.773grp.com/manufacturer/onsemi?pageNo=210", "ON Semiconductor")</f>
        <v>ON Semiconductor</v>
      </c>
      <c r="C22386" s="6">
        <v>1000</v>
      </c>
      <c r="D22386" s="7">
        <v>0</v>
      </c>
      <c r="E22386" t="s">
        <v>96</v>
      </c>
    </row>
    <row r="22387" spans="1:5" x14ac:dyDescent="0.25">
      <c r="A22387" t="str">
        <f>HYPERLINK("https://www.773grp.com/globalSearch/SA317MDTRKG/page-1", "SA317MDTRKG")</f>
        <v>SA317MDTRKG</v>
      </c>
      <c r="B22387" s="3" t="str">
        <f>HYPERLINK("https://www.773grp.com/manufacturer/onsemi?pageNo=211", "ON Semiconductor")</f>
        <v>ON Semiconductor</v>
      </c>
      <c r="C22387" s="6">
        <v>2500</v>
      </c>
      <c r="D22387" s="7">
        <v>0</v>
      </c>
    </row>
    <row r="22388" spans="1:5" x14ac:dyDescent="0.25">
      <c r="A22388" t="str">
        <f>HYPERLINK("https://www.773grp.com/globalSearch/SA33072DR2G/page-1", "SA33072DR2G")</f>
        <v>SA33072DR2G</v>
      </c>
      <c r="B22388" s="3" t="str">
        <f>HYPERLINK("https://www.773grp.com/manufacturer/onsemi?pageNo=212", "ON Semiconductor")</f>
        <v>ON Semiconductor</v>
      </c>
      <c r="C22388" s="6">
        <v>5000</v>
      </c>
      <c r="D22388" s="7">
        <v>0</v>
      </c>
    </row>
    <row r="22389" spans="1:5" x14ac:dyDescent="0.25">
      <c r="A22389" t="str">
        <f>HYPERLINK("https://www.773grp.com/globalSearch/SA58AG/page-1", "SA58AG")</f>
        <v>SA58AG</v>
      </c>
      <c r="B22389" s="3" t="str">
        <f>HYPERLINK("https://www.773grp.com/manufacturer/onsemi?pageNo=213", "ON Semiconductor")</f>
        <v>ON Semiconductor</v>
      </c>
      <c r="C22389" s="6">
        <v>4000</v>
      </c>
      <c r="D22389" s="7">
        <v>0</v>
      </c>
      <c r="E22389" t="s">
        <v>96</v>
      </c>
    </row>
    <row r="22390" spans="1:5" x14ac:dyDescent="0.25">
      <c r="A22390" t="str">
        <f>HYPERLINK("https://www.773grp.com/globalSearch/SA78AG/page-1", "SA78AG")</f>
        <v>SA78AG</v>
      </c>
      <c r="B22390" s="3" t="str">
        <f>HYPERLINK("https://www.773grp.com/manufacturer/onsemi?pageNo=214", "ON Semiconductor")</f>
        <v>ON Semiconductor</v>
      </c>
      <c r="C22390" s="6">
        <v>3000</v>
      </c>
      <c r="D22390" s="7">
        <v>0</v>
      </c>
      <c r="E22390" t="s">
        <v>96</v>
      </c>
    </row>
    <row r="22391" spans="1:5" x14ac:dyDescent="0.25">
      <c r="A22391" t="str">
        <f>HYPERLINK("https://www.773grp.com/globalSearch/SA8.5AG/page-1", "SA8.5AG")</f>
        <v>SA8.5AG</v>
      </c>
      <c r="B22391" s="3" t="str">
        <f>HYPERLINK("https://www.773grp.com/manufacturer/onsemi?pageNo=215", "ON Semiconductor")</f>
        <v>ON Semiconductor</v>
      </c>
      <c r="C22391" s="6">
        <v>4000</v>
      </c>
      <c r="D22391" s="7">
        <v>0</v>
      </c>
      <c r="E22391" t="s">
        <v>96</v>
      </c>
    </row>
    <row r="22392" spans="1:5" x14ac:dyDescent="0.25">
      <c r="A22392" t="str">
        <f>HYPERLINK("https://www.773grp.com/globalSearch/SA901002DTRKG/page-1", "SA901002DTRKG")</f>
        <v>SA901002DTRKG</v>
      </c>
      <c r="B22392" s="3" t="str">
        <f>HYPERLINK("https://www.773grp.com/manufacturer/onsemi?pageNo=216", "ON Semiconductor")</f>
        <v>ON Semiconductor</v>
      </c>
      <c r="C22392" s="6">
        <v>5000</v>
      </c>
      <c r="D22392" s="7">
        <v>0</v>
      </c>
    </row>
    <row r="22393" spans="1:5" x14ac:dyDescent="0.25">
      <c r="A22393" t="str">
        <f>HYPERLINK("https://www.773grp.com/globalSearch/SAC187G/page-1", "SAC187G")</f>
        <v>SAC187G</v>
      </c>
      <c r="B22393" s="3" t="str">
        <f>HYPERLINK("https://www.773grp.com/manufacturer/onsemi?pageNo=217", "ON Semiconductor")</f>
        <v>ON Semiconductor</v>
      </c>
      <c r="C22393" s="6">
        <v>1500</v>
      </c>
      <c r="D22393" s="7">
        <v>0</v>
      </c>
    </row>
    <row r="22394" spans="1:5" x14ac:dyDescent="0.25">
      <c r="A22394" t="str">
        <f>HYPERLINK("https://www.773grp.com/globalSearch/SAC319MT/page-1", "SAC319MT")</f>
        <v>SAC319MT</v>
      </c>
      <c r="B22394" s="3" t="str">
        <f>HYPERLINK("https://www.773grp.com/manufacturer/onsemi?pageNo=218", "ON Semiconductor")</f>
        <v>ON Semiconductor</v>
      </c>
      <c r="C22394" s="6">
        <v>214</v>
      </c>
      <c r="D22394" s="7">
        <v>0</v>
      </c>
    </row>
    <row r="22395" spans="1:5" x14ac:dyDescent="0.25">
      <c r="A22395" t="str">
        <f>HYPERLINK("https://www.773grp.com/globalSearch/SAC396-007/page-1", "SAC396-007")</f>
        <v>SAC396-007</v>
      </c>
      <c r="B22395" s="3" t="str">
        <f>HYPERLINK("https://www.773grp.com/manufacturer/onsemi?pageNo=219", "ON Semiconductor")</f>
        <v>ON Semiconductor</v>
      </c>
      <c r="C22395" s="6">
        <v>1000</v>
      </c>
      <c r="D22395" s="7">
        <v>0</v>
      </c>
    </row>
    <row r="22396" spans="1:5" x14ac:dyDescent="0.25">
      <c r="A22396" t="str">
        <f>HYPERLINK("https://www.773grp.com/globalSearch/SAC396-7G/page-1", "SAC396-7G")</f>
        <v>SAC396-7G</v>
      </c>
      <c r="B22396" s="3" t="str">
        <f>HYPERLINK("https://www.773grp.com/manufacturer/onsemi?pageNo=220", "ON Semiconductor")</f>
        <v>ON Semiconductor</v>
      </c>
      <c r="C22396" s="6">
        <v>5500</v>
      </c>
      <c r="D22396" s="7">
        <v>0</v>
      </c>
    </row>
    <row r="22397" spans="1:5" x14ac:dyDescent="0.25">
      <c r="A22397" t="str">
        <f>HYPERLINK("https://www.773grp.com/globalSearch/SAC782LFVC/page-1", "SAC782LFVC")</f>
        <v>SAC782LFVC</v>
      </c>
      <c r="B22397" s="3" t="str">
        <f>HYPERLINK("https://www.773grp.com/manufacturer/onsemi?pageNo=221", "ON Semiconductor")</f>
        <v>ON Semiconductor</v>
      </c>
      <c r="C22397" s="6">
        <v>6950</v>
      </c>
      <c r="D22397" s="7">
        <v>0</v>
      </c>
    </row>
    <row r="22398" spans="1:5" x14ac:dyDescent="0.25">
      <c r="A22398" t="str">
        <f>HYPERLINK("https://www.773grp.com/globalSearch/SAC900RLG/page-1", "SAC900RLG")</f>
        <v>SAC900RLG</v>
      </c>
      <c r="B22398" s="3" t="str">
        <f>HYPERLINK("https://www.773grp.com/manufacturer/onsemi?pageNo=222", "ON Semiconductor")</f>
        <v>ON Semiconductor</v>
      </c>
      <c r="C22398" s="6">
        <v>10000</v>
      </c>
      <c r="D22398" s="7">
        <v>0</v>
      </c>
    </row>
    <row r="22399" spans="1:5" x14ac:dyDescent="0.25">
      <c r="A22399" t="str">
        <f>HYPERLINK("https://www.773grp.com/globalSearch/SAC907LFBV/page-1", "SAC907LFBV")</f>
        <v>SAC907LFBV</v>
      </c>
      <c r="B22399" s="3" t="str">
        <f>HYPERLINK("https://www.773grp.com/manufacturer/onsemi?pageNo=223", "ON Semiconductor")</f>
        <v>ON Semiconductor</v>
      </c>
      <c r="C22399" s="6">
        <v>800</v>
      </c>
      <c r="D22399" s="7">
        <v>0</v>
      </c>
    </row>
    <row r="22400" spans="1:5" x14ac:dyDescent="0.25">
      <c r="A22400" t="str">
        <f>HYPERLINK("https://www.773grp.com/globalSearch/SB07-015C-TB-E/page-1", "SB07-015C-TB-E")</f>
        <v>SB07-015C-TB-E</v>
      </c>
      <c r="B22400" s="3" t="str">
        <f>HYPERLINK("https://www.773grp.com/manufacturer/onsemi?pageNo=224", "ON Semiconductor")</f>
        <v>ON Semiconductor</v>
      </c>
      <c r="C22400" s="6">
        <v>3000</v>
      </c>
      <c r="D22400" s="7">
        <v>0</v>
      </c>
    </row>
    <row r="22401" spans="1:5" x14ac:dyDescent="0.25">
      <c r="A22401" t="str">
        <f>HYPERLINK("https://www.773grp.com/globalSearch/SB12079DG/page-1", "SB12079DG")</f>
        <v>SB12079DG</v>
      </c>
      <c r="B22401" s="3" t="str">
        <f>HYPERLINK("https://www.773grp.com/manufacturer/onsemi?pageNo=225", "ON Semiconductor")</f>
        <v>ON Semiconductor</v>
      </c>
      <c r="C22401" s="6">
        <v>2048</v>
      </c>
      <c r="D22401" s="7">
        <v>0</v>
      </c>
    </row>
    <row r="22402" spans="1:5" x14ac:dyDescent="0.25">
      <c r="A22402" t="str">
        <f>HYPERLINK("https://www.773grp.com/globalSearch/SB12079DR2G/page-1", "SB12079DR2G")</f>
        <v>SB12079DR2G</v>
      </c>
      <c r="B22402" s="3" t="str">
        <f>HYPERLINK("https://www.773grp.com/manufacturer/onsemi?pageNo=226", "ON Semiconductor")</f>
        <v>ON Semiconductor</v>
      </c>
      <c r="C22402" s="6">
        <v>10000</v>
      </c>
      <c r="D22402" s="7">
        <v>0</v>
      </c>
    </row>
    <row r="22403" spans="1:5" x14ac:dyDescent="0.25">
      <c r="A22403" t="str">
        <f>HYPERLINK("https://www.773grp.com/globalSearch/SB3229-E1/page-1", "SB3229-E1")</f>
        <v>SB3229-E1</v>
      </c>
      <c r="B22403" s="3" t="str">
        <f>HYPERLINK("https://www.773grp.com/manufacturer/onsemi?pageNo=227", "ON Semiconductor")</f>
        <v>ON Semiconductor</v>
      </c>
      <c r="C22403" s="6">
        <v>22</v>
      </c>
      <c r="D22403" s="7">
        <v>0</v>
      </c>
    </row>
    <row r="22404" spans="1:5" x14ac:dyDescent="0.25">
      <c r="A22404" t="str">
        <f>HYPERLINK("https://www.773grp.com/globalSearch/SB99026MN/page-1", "SB99026MN")</f>
        <v>SB99026MN</v>
      </c>
      <c r="B22404" s="3" t="str">
        <f>HYPERLINK("https://www.773grp.com/manufacturer/onsemi?pageNo=228", "ON Semiconductor")</f>
        <v>ON Semiconductor</v>
      </c>
      <c r="C22404" s="6">
        <v>276</v>
      </c>
      <c r="D22404" s="7">
        <v>0</v>
      </c>
    </row>
    <row r="22405" spans="1:5" x14ac:dyDescent="0.25">
      <c r="A22405" t="str">
        <f>HYPERLINK("https://www.773grp.com/globalSearch/SB99026MNG/page-1", "SB99026MNG")</f>
        <v>SB99026MNG</v>
      </c>
      <c r="B22405" s="3" t="str">
        <f>HYPERLINK("https://www.773grp.com/manufacturer/onsemi?pageNo=229", "ON Semiconductor")</f>
        <v>ON Semiconductor</v>
      </c>
      <c r="C22405" s="6">
        <v>145</v>
      </c>
      <c r="D22405" s="7">
        <v>0</v>
      </c>
    </row>
    <row r="22406" spans="1:5" x14ac:dyDescent="0.25">
      <c r="A22406" t="str">
        <f>HYPERLINK("https://www.773grp.com/globalSearch/SBAS21LT3/page-1", "SBAS21LT3")</f>
        <v>SBAS21LT3</v>
      </c>
      <c r="B22406" s="3" t="str">
        <f>HYPERLINK("https://www.773grp.com/manufacturer/onsemi?pageNo=230", "ON Semiconductor")</f>
        <v>ON Semiconductor</v>
      </c>
      <c r="C22406" s="6">
        <v>10000</v>
      </c>
      <c r="D22406" s="7">
        <v>0</v>
      </c>
    </row>
    <row r="22407" spans="1:5" x14ac:dyDescent="0.25">
      <c r="A22407" t="str">
        <f>HYPERLINK("https://www.773grp.com/globalSearch/SBAV70WT1/page-1", "SBAV70WT1")</f>
        <v>SBAV70WT1</v>
      </c>
      <c r="B22407" s="3" t="str">
        <f>HYPERLINK("https://www.773grp.com/manufacturer/onsemi?pageNo=231", "ON Semiconductor")</f>
        <v>ON Semiconductor</v>
      </c>
      <c r="C22407" s="6">
        <v>450000</v>
      </c>
      <c r="D22407" s="7">
        <v>0</v>
      </c>
    </row>
    <row r="22408" spans="1:5" x14ac:dyDescent="0.25">
      <c r="A22408" t="str">
        <f>HYPERLINK("https://www.773grp.com/globalSearch/SBAV99WT1/page-1", "SBAV99WT1")</f>
        <v>SBAV99WT1</v>
      </c>
      <c r="B22408" s="3" t="str">
        <f>HYPERLINK("https://www.773grp.com/manufacturer/onsemi?pageNo=232", "ON Semiconductor")</f>
        <v>ON Semiconductor</v>
      </c>
      <c r="C22408" s="6">
        <v>567000</v>
      </c>
      <c r="D22408" s="7">
        <v>0</v>
      </c>
    </row>
    <row r="22409" spans="1:5" x14ac:dyDescent="0.25">
      <c r="A22409" t="str">
        <f>HYPERLINK("https://www.773grp.com/globalSearch/SBC846BLT3/page-1", "SBC846BLT3")</f>
        <v>SBC846BLT3</v>
      </c>
      <c r="B22409" s="3" t="str">
        <f>HYPERLINK("https://www.773grp.com/manufacturer/onsemi?pageNo=233", "ON Semiconductor")</f>
        <v>ON Semiconductor</v>
      </c>
      <c r="C22409" s="6">
        <v>10000</v>
      </c>
      <c r="D22409" s="7">
        <v>0</v>
      </c>
      <c r="E22409" t="s">
        <v>69</v>
      </c>
    </row>
    <row r="22410" spans="1:5" x14ac:dyDescent="0.25">
      <c r="A22410" t="str">
        <f>HYPERLINK("https://www.773grp.com/globalSearch/SBC846BPDW1T1/page-1", "SBC846BPDW1T1")</f>
        <v>SBC846BPDW1T1</v>
      </c>
      <c r="B22410" s="3" t="str">
        <f>HYPERLINK("https://www.773grp.com/manufacturer/onsemi?pageNo=234", "ON Semiconductor")</f>
        <v>ON Semiconductor</v>
      </c>
      <c r="C22410" s="6">
        <v>45000</v>
      </c>
      <c r="D22410" s="7">
        <v>0</v>
      </c>
    </row>
    <row r="22411" spans="1:5" x14ac:dyDescent="0.25">
      <c r="A22411" t="str">
        <f>HYPERLINK("https://www.773grp.com/globalSearch/SBC848BLT1/page-1", "SBC848BLT1")</f>
        <v>SBC848BLT1</v>
      </c>
      <c r="B22411" s="3" t="str">
        <f>HYPERLINK("https://www.773grp.com/manufacturer/onsemi?pageNo=235", "ON Semiconductor")</f>
        <v>ON Semiconductor</v>
      </c>
      <c r="C22411" s="6">
        <v>6000</v>
      </c>
      <c r="D22411" s="7">
        <v>0</v>
      </c>
      <c r="E22411" t="s">
        <v>69</v>
      </c>
    </row>
    <row r="22412" spans="1:5" x14ac:dyDescent="0.25">
      <c r="A22412" t="str">
        <f>HYPERLINK("https://www.773grp.com/globalSearch/SBC856BLT3/page-1", "SBC856BLT3")</f>
        <v>SBC856BLT3</v>
      </c>
      <c r="B22412" s="3" t="str">
        <f>HYPERLINK("https://www.773grp.com/manufacturer/onsemi?pageNo=236", "ON Semiconductor")</f>
        <v>ON Semiconductor</v>
      </c>
      <c r="C22412" s="6">
        <v>110000</v>
      </c>
      <c r="D22412" s="7">
        <v>0</v>
      </c>
      <c r="E22412" t="s">
        <v>69</v>
      </c>
    </row>
    <row r="22413" spans="1:5" x14ac:dyDescent="0.25">
      <c r="A22413" t="str">
        <f>HYPERLINK("https://www.773grp.com/globalSearch/SBCP56T1/page-1", "SBCP56T1")</f>
        <v>SBCP56T1</v>
      </c>
      <c r="B22413" s="3" t="str">
        <f>HYPERLINK("https://www.773grp.com/manufacturer/onsemi?pageNo=237", "ON Semiconductor")</f>
        <v>ON Semiconductor</v>
      </c>
      <c r="C22413" s="6">
        <v>8000</v>
      </c>
      <c r="D22413" s="7">
        <v>0</v>
      </c>
    </row>
    <row r="22414" spans="1:5" x14ac:dyDescent="0.25">
      <c r="A22414" t="str">
        <f>HYPERLINK("https://www.773grp.com/globalSearch/SBR136CT1LF/page-1", "SBR136CT1LF")</f>
        <v>SBR136CT1LF</v>
      </c>
      <c r="B22414" s="3" t="str">
        <f>HYPERLINK("https://www.773grp.com/manufacturer/onsemi?pageNo=238", "ON Semiconductor")</f>
        <v>ON Semiconductor</v>
      </c>
      <c r="C22414" s="6">
        <v>2750</v>
      </c>
      <c r="D22414" s="7">
        <v>0</v>
      </c>
    </row>
    <row r="22415" spans="1:5" x14ac:dyDescent="0.25">
      <c r="A22415" t="str">
        <f>HYPERLINK("https://www.773grp.com/globalSearch/SBR182CT-1G/page-1", "SBR182CT-1G")</f>
        <v>SBR182CT-1G</v>
      </c>
      <c r="B22415" s="3" t="str">
        <f>HYPERLINK("https://www.773grp.com/manufacturer/onsemi?pageNo=239", "ON Semiconductor")</f>
        <v>ON Semiconductor</v>
      </c>
      <c r="C22415" s="6">
        <v>700</v>
      </c>
      <c r="D22415" s="7">
        <v>0</v>
      </c>
    </row>
    <row r="22416" spans="1:5" x14ac:dyDescent="0.25">
      <c r="A22416" t="str">
        <f>HYPERLINK("https://www.773grp.com/globalSearch/SBR194G/page-1", "SBR194G")</f>
        <v>SBR194G</v>
      </c>
      <c r="B22416" s="3" t="str">
        <f>HYPERLINK("https://www.773grp.com/manufacturer/onsemi?pageNo=240", "ON Semiconductor")</f>
        <v>ON Semiconductor</v>
      </c>
      <c r="C22416" s="6">
        <v>3050</v>
      </c>
      <c r="D22416" s="7">
        <v>0</v>
      </c>
    </row>
    <row r="22417" spans="1:4" x14ac:dyDescent="0.25">
      <c r="A22417" t="str">
        <f>HYPERLINK("https://www.773grp.com/globalSearch/SBR50-16JS/page-1", "SBR50-16JS")</f>
        <v>SBR50-16JS</v>
      </c>
      <c r="B22417" s="3" t="str">
        <f>HYPERLINK("https://www.773grp.com/manufacturer/onsemi?pageNo=241", "ON Semiconductor")</f>
        <v>ON Semiconductor</v>
      </c>
      <c r="C22417" s="6">
        <v>100</v>
      </c>
      <c r="D22417" s="7">
        <v>0</v>
      </c>
    </row>
    <row r="22418" spans="1:4" x14ac:dyDescent="0.25">
      <c r="A22418" t="str">
        <f>HYPERLINK("https://www.773grp.com/globalSearch/SBR5442RLCG/page-1", "SBR5442RLCG")</f>
        <v>SBR5442RLCG</v>
      </c>
      <c r="B22418" s="3" t="str">
        <f>HYPERLINK("https://www.773grp.com/manufacturer/onsemi?pageNo=242", "ON Semiconductor")</f>
        <v>ON Semiconductor</v>
      </c>
      <c r="C22418" s="6">
        <v>6000</v>
      </c>
      <c r="D22418" s="7">
        <v>0</v>
      </c>
    </row>
    <row r="22419" spans="1:4" x14ac:dyDescent="0.25">
      <c r="A22419" t="str">
        <f>HYPERLINK("https://www.773grp.com/globalSearch/SBR5495-1S/page-1", "SBR5495-1S")</f>
        <v>SBR5495-1S</v>
      </c>
      <c r="B22419" s="3" t="str">
        <f>HYPERLINK("https://www.773grp.com/manufacturer/onsemi?pageNo=243", "ON Semiconductor")</f>
        <v>ON Semiconductor</v>
      </c>
      <c r="C22419" s="6">
        <v>1100</v>
      </c>
      <c r="D22419" s="7">
        <v>0</v>
      </c>
    </row>
    <row r="22420" spans="1:4" x14ac:dyDescent="0.25">
      <c r="A22420" t="str">
        <f>HYPERLINK("https://www.773grp.com/globalSearch/SBR820100CT/page-1", "SBR820100CT")</f>
        <v>SBR820100CT</v>
      </c>
      <c r="B22420" s="3" t="str">
        <f>HYPERLINK("https://www.773grp.com/manufacturer/onsemi?pageNo=244", "ON Semiconductor")</f>
        <v>ON Semiconductor</v>
      </c>
      <c r="C22420" s="6">
        <v>18650</v>
      </c>
      <c r="D22420" s="7">
        <v>0</v>
      </c>
    </row>
    <row r="22421" spans="1:4" x14ac:dyDescent="0.25">
      <c r="A22421" t="str">
        <f>HYPERLINK("https://www.773grp.com/globalSearch/SBR820100CTG/page-1", "SBR820100CTG")</f>
        <v>SBR820100CTG</v>
      </c>
      <c r="B22421" s="3" t="str">
        <f>HYPERLINK("https://www.773grp.com/manufacturer/onsemi?pageNo=245", "ON Semiconductor")</f>
        <v>ON Semiconductor</v>
      </c>
      <c r="C22421" s="6">
        <v>2695</v>
      </c>
      <c r="D22421" s="7">
        <v>0</v>
      </c>
    </row>
    <row r="22422" spans="1:4" x14ac:dyDescent="0.25">
      <c r="A22422" t="str">
        <f>HYPERLINK("https://www.773grp.com/globalSearch/SBRA140T3G/page-1", "SBRA140T3G")</f>
        <v>SBRA140T3G</v>
      </c>
      <c r="B22422" s="3" t="str">
        <f>HYPERLINK("https://www.773grp.com/manufacturer/onsemi?pageNo=246", "ON Semiconductor")</f>
        <v>ON Semiconductor</v>
      </c>
      <c r="C22422" s="6">
        <v>180000</v>
      </c>
      <c r="D22422" s="7">
        <v>0</v>
      </c>
    </row>
    <row r="22423" spans="1:4" x14ac:dyDescent="0.25">
      <c r="A22423" t="str">
        <f>HYPERLINK("https://www.773grp.com/globalSearch/SBRA401T3/page-1", "SBRA401T3")</f>
        <v>SBRA401T3</v>
      </c>
      <c r="B22423" s="3" t="str">
        <f>HYPERLINK("https://www.773grp.com/manufacturer/onsemi?pageNo=247", "ON Semiconductor")</f>
        <v>ON Semiconductor</v>
      </c>
      <c r="C22423" s="6">
        <v>5000</v>
      </c>
      <c r="D22423" s="7">
        <v>0</v>
      </c>
    </row>
    <row r="22424" spans="1:4" x14ac:dyDescent="0.25">
      <c r="A22424" t="str">
        <f>HYPERLINK("https://www.773grp.com/globalSearch/SBRB108T4G/page-1", "SBRB108T4G")</f>
        <v>SBRB108T4G</v>
      </c>
      <c r="B22424" s="3" t="str">
        <f>HYPERLINK("https://www.773grp.com/manufacturer/onsemi?pageNo=248", "ON Semiconductor")</f>
        <v>ON Semiconductor</v>
      </c>
      <c r="C22424" s="6">
        <v>1600</v>
      </c>
      <c r="D22424" s="7">
        <v>0</v>
      </c>
    </row>
    <row r="22425" spans="1:4" x14ac:dyDescent="0.25">
      <c r="A22425" t="str">
        <f>HYPERLINK("https://www.773grp.com/globalSearch/SBRC929TR  UM/page-1", "SBRC929TR  UM")</f>
        <v>SBRC929TR  UM</v>
      </c>
      <c r="B22425" s="3" t="str">
        <f>HYPERLINK("https://www.773grp.com/manufacturer/onsemi?pageNo=249", "ON Semiconductor")</f>
        <v>ON Semiconductor</v>
      </c>
      <c r="C22425" s="6">
        <v>11031</v>
      </c>
      <c r="D22425" s="7">
        <v>0</v>
      </c>
    </row>
    <row r="22426" spans="1:4" x14ac:dyDescent="0.25">
      <c r="A22426" t="str">
        <f>HYPERLINK("https://www.773grp.com/globalSearch/SBRD110T4G/page-1", "SBRD110T4G")</f>
        <v>SBRD110T4G</v>
      </c>
      <c r="B22426" s="3" t="str">
        <f>HYPERLINK("https://www.773grp.com/manufacturer/onsemi?pageNo=250", "ON Semiconductor")</f>
        <v>ON Semiconductor</v>
      </c>
      <c r="C22426" s="6">
        <v>12500</v>
      </c>
      <c r="D22426" s="7">
        <v>0</v>
      </c>
    </row>
    <row r="22427" spans="1:4" x14ac:dyDescent="0.25">
      <c r="A22427" t="str">
        <f>HYPERLINK("https://www.773grp.com/globalSearch/SBRD114CTT4G/page-1", "SBRD114CTT4G")</f>
        <v>SBRD114CTT4G</v>
      </c>
      <c r="B22427" s="3" t="str">
        <f>HYPERLINK("https://www.773grp.com/manufacturer/onsemi?pageNo=251", "ON Semiconductor")</f>
        <v>ON Semiconductor</v>
      </c>
      <c r="C22427" s="6">
        <v>10000</v>
      </c>
      <c r="D22427" s="7">
        <v>0</v>
      </c>
    </row>
    <row r="22428" spans="1:4" x14ac:dyDescent="0.25">
      <c r="A22428" t="str">
        <f>HYPERLINK("https://www.773grp.com/globalSearch/SBRD115LT4/page-1", "SBRD115LT4")</f>
        <v>SBRD115LT4</v>
      </c>
      <c r="B22428" s="3" t="str">
        <f>HYPERLINK("https://www.773grp.com/manufacturer/onsemi?pageNo=252", "ON Semiconductor")</f>
        <v>ON Semiconductor</v>
      </c>
      <c r="C22428" s="6">
        <v>22500</v>
      </c>
      <c r="D22428" s="7">
        <v>0</v>
      </c>
    </row>
    <row r="22429" spans="1:4" x14ac:dyDescent="0.25">
      <c r="A22429" t="str">
        <f>HYPERLINK("https://www.773grp.com/globalSearch/SBRD116CTT4/page-1", "SBRD116CTT4")</f>
        <v>SBRD116CTT4</v>
      </c>
      <c r="B22429" s="3" t="str">
        <f>HYPERLINK("https://www.773grp.com/manufacturer/onsemi?pageNo=253", "ON Semiconductor")</f>
        <v>ON Semiconductor</v>
      </c>
      <c r="C22429" s="6">
        <v>47500</v>
      </c>
      <c r="D22429" s="7">
        <v>0</v>
      </c>
    </row>
    <row r="22430" spans="1:4" x14ac:dyDescent="0.25">
      <c r="A22430" t="str">
        <f>HYPERLINK("https://www.773grp.com/globalSearch/SBRD335LT4/page-1", "SBRD335LT4")</f>
        <v>SBRD335LT4</v>
      </c>
      <c r="B22430" s="3" t="str">
        <f>HYPERLINK("https://www.773grp.com/manufacturer/onsemi?pageNo=254", "ON Semiconductor")</f>
        <v>ON Semiconductor</v>
      </c>
      <c r="C22430" s="6">
        <v>22500</v>
      </c>
      <c r="D22430" s="7">
        <v>0</v>
      </c>
    </row>
    <row r="22431" spans="1:4" x14ac:dyDescent="0.25">
      <c r="A22431" t="str">
        <f>HYPERLINK("https://www.773grp.com/globalSearch/SBRD5644-5T4/page-1", "SBRD5644-5T4")</f>
        <v>SBRD5644-5T4</v>
      </c>
      <c r="B22431" s="3" t="str">
        <f>HYPERLINK("https://www.773grp.com/manufacturer/onsemi?pageNo=255", "ON Semiconductor")</f>
        <v>ON Semiconductor</v>
      </c>
      <c r="C22431" s="6">
        <v>25000</v>
      </c>
      <c r="D22431" s="7">
        <v>0</v>
      </c>
    </row>
    <row r="22432" spans="1:4" x14ac:dyDescent="0.25">
      <c r="A22432" t="str">
        <f>HYPERLINK("https://www.773grp.com/globalSearch/SBRD8835LT4/page-1", "SBRD8835LT4")</f>
        <v>SBRD8835LT4</v>
      </c>
      <c r="B22432" s="3" t="str">
        <f>HYPERLINK("https://www.773grp.com/manufacturer/onsemi?pageNo=256", "ON Semiconductor")</f>
        <v>ON Semiconductor</v>
      </c>
      <c r="C22432" s="6">
        <v>2500</v>
      </c>
      <c r="D22432" s="7">
        <v>0</v>
      </c>
    </row>
    <row r="22433" spans="1:4" x14ac:dyDescent="0.25">
      <c r="A22433" t="str">
        <f>HYPERLINK("https://www.773grp.com/globalSearch/SBRK360R2/page-1", "SBRK360R2")</f>
        <v>SBRK360R2</v>
      </c>
      <c r="B22433" s="3" t="str">
        <f>HYPERLINK("https://www.773grp.com/manufacturer/onsemi?pageNo=257", "ON Semiconductor")</f>
        <v>ON Semiconductor</v>
      </c>
      <c r="C22433" s="6">
        <v>2500</v>
      </c>
      <c r="D22433" s="7">
        <v>0</v>
      </c>
    </row>
    <row r="22434" spans="1:4" x14ac:dyDescent="0.25">
      <c r="A22434" t="str">
        <f>HYPERLINK("https://www.773grp.com/globalSearch/SBRK360R2G/page-1", "SBRK360R2G")</f>
        <v>SBRK360R2G</v>
      </c>
      <c r="B22434" s="3" t="str">
        <f>HYPERLINK("https://www.773grp.com/manufacturer/onsemi?pageNo=258", "ON Semiconductor")</f>
        <v>ON Semiconductor</v>
      </c>
      <c r="C22434" s="6">
        <v>7500</v>
      </c>
      <c r="D22434" s="7">
        <v>0</v>
      </c>
    </row>
    <row r="22435" spans="1:4" x14ac:dyDescent="0.25">
      <c r="A22435" t="str">
        <f>HYPERLINK("https://www.773grp.com/globalSearch/SBRS5130LT3/page-1", "SBRS5130LT3")</f>
        <v>SBRS5130LT3</v>
      </c>
      <c r="B22435" s="3" t="str">
        <f>HYPERLINK("https://www.773grp.com/manufacturer/onsemi?pageNo=259", "ON Semiconductor")</f>
        <v>ON Semiconductor</v>
      </c>
      <c r="C22435" s="6">
        <v>27500</v>
      </c>
      <c r="D22435" s="7">
        <v>0</v>
      </c>
    </row>
    <row r="22436" spans="1:4" x14ac:dyDescent="0.25">
      <c r="A22436" t="str">
        <f>HYPERLINK("https://www.773grp.com/globalSearch/SBRS5631T3G/page-1", "SBRS5631T3G")</f>
        <v>SBRS5631T3G</v>
      </c>
      <c r="B22436" s="3" t="str">
        <f>HYPERLINK("https://www.773grp.com/manufacturer/onsemi?pageNo=260", "ON Semiconductor")</f>
        <v>ON Semiconductor</v>
      </c>
      <c r="C22436" s="6">
        <v>12500</v>
      </c>
      <c r="D22436" s="7">
        <v>0</v>
      </c>
    </row>
    <row r="22437" spans="1:4" x14ac:dyDescent="0.25">
      <c r="A22437" t="str">
        <f>HYPERLINK("https://www.773grp.com/globalSearch/SBRS5632T3/page-1", "SBRS5632T3")</f>
        <v>SBRS5632T3</v>
      </c>
      <c r="B22437" s="3" t="str">
        <f>HYPERLINK("https://www.773grp.com/manufacturer/onsemi?pageNo=261", "ON Semiconductor")</f>
        <v>ON Semiconductor</v>
      </c>
      <c r="C22437" s="6">
        <v>5000</v>
      </c>
      <c r="D22437" s="7">
        <v>0</v>
      </c>
    </row>
    <row r="22438" spans="1:4" x14ac:dyDescent="0.25">
      <c r="A22438" t="str">
        <f>HYPERLINK("https://www.773grp.com/globalSearch/SBRS5656T3/page-1", "SBRS5656T3")</f>
        <v>SBRS5656T3</v>
      </c>
      <c r="B22438" s="3" t="str">
        <f>HYPERLINK("https://www.773grp.com/manufacturer/onsemi?pageNo=262", "ON Semiconductor")</f>
        <v>ON Semiconductor</v>
      </c>
      <c r="C22438" s="6">
        <v>2500</v>
      </c>
      <c r="D22438" s="7">
        <v>0</v>
      </c>
    </row>
    <row r="22439" spans="1:4" x14ac:dyDescent="0.25">
      <c r="A22439" t="str">
        <f>HYPERLINK("https://www.773grp.com/globalSearch/SBT150-10JS/page-1", "SBT150-10JS")</f>
        <v>SBT150-10JS</v>
      </c>
      <c r="B22439" s="3" t="str">
        <f>HYPERLINK("https://www.773grp.com/manufacturer/onsemi?pageNo=263", "ON Semiconductor")</f>
        <v>ON Semiconductor</v>
      </c>
      <c r="C22439" s="6">
        <v>100</v>
      </c>
      <c r="D22439" s="7">
        <v>0</v>
      </c>
    </row>
    <row r="22440" spans="1:4" x14ac:dyDescent="0.25">
      <c r="A22440" t="str">
        <f>HYPERLINK("https://www.773grp.com/globalSearch/SBT250-10J/page-1", "SBT250-10J")</f>
        <v>SBT250-10J</v>
      </c>
      <c r="B22440" s="3" t="str">
        <f>HYPERLINK("https://www.773grp.com/manufacturer/onsemi?pageNo=264", "ON Semiconductor")</f>
        <v>ON Semiconductor</v>
      </c>
      <c r="C22440" s="6">
        <v>100</v>
      </c>
      <c r="D22440" s="7">
        <v>0</v>
      </c>
    </row>
    <row r="22441" spans="1:4" x14ac:dyDescent="0.25">
      <c r="A22441" t="str">
        <f>HYPERLINK("https://www.773grp.com/globalSearch/SBT350-04L/page-1", "SBT350-04L")</f>
        <v>SBT350-04L</v>
      </c>
      <c r="B22441" s="3" t="str">
        <f>HYPERLINK("https://www.773grp.com/manufacturer/onsemi?pageNo=265", "ON Semiconductor")</f>
        <v>ON Semiconductor</v>
      </c>
      <c r="C22441" s="6">
        <v>100</v>
      </c>
      <c r="D22441" s="7">
        <v>0</v>
      </c>
    </row>
    <row r="22442" spans="1:4" x14ac:dyDescent="0.25">
      <c r="A22442" t="str">
        <f>HYPERLINK("https://www.773grp.com/globalSearch/SBT350-10L/page-1", "SBT350-10L")</f>
        <v>SBT350-10L</v>
      </c>
      <c r="B22442" s="3" t="str">
        <f>HYPERLINK("https://www.773grp.com/manufacturer/onsemi?pageNo=266", "ON Semiconductor")</f>
        <v>ON Semiconductor</v>
      </c>
      <c r="C22442" s="6">
        <v>100</v>
      </c>
      <c r="D22442" s="7">
        <v>0</v>
      </c>
    </row>
    <row r="22443" spans="1:4" x14ac:dyDescent="0.25">
      <c r="A22443" t="str">
        <f>HYPERLINK("https://www.773grp.com/globalSearch/SBZ1SMB5.0AT3/page-1", "SBZ1SMB5.0AT3")</f>
        <v>SBZ1SMB5.0AT3</v>
      </c>
      <c r="B22443" s="3" t="str">
        <f>HYPERLINK("https://www.773grp.com/manufacturer/onsemi?pageNo=267", "ON Semiconductor")</f>
        <v>ON Semiconductor</v>
      </c>
      <c r="C22443" s="6">
        <v>5000</v>
      </c>
      <c r="D22443" s="7">
        <v>0</v>
      </c>
    </row>
    <row r="22444" spans="1:4" x14ac:dyDescent="0.25">
      <c r="A22444" t="str">
        <f>HYPERLINK("https://www.773grp.com/globalSearch/SBZ1SMB5927BT3/page-1", "SBZ1SMB5927BT3")</f>
        <v>SBZ1SMB5927BT3</v>
      </c>
      <c r="B22444" s="3" t="str">
        <f>HYPERLINK("https://www.773grp.com/manufacturer/onsemi?pageNo=268", "ON Semiconductor")</f>
        <v>ON Semiconductor</v>
      </c>
      <c r="C22444" s="6">
        <v>50000</v>
      </c>
      <c r="D22444" s="7">
        <v>0</v>
      </c>
    </row>
    <row r="22445" spans="1:4" x14ac:dyDescent="0.25">
      <c r="A22445" t="str">
        <f>HYPERLINK("https://www.773grp.com/globalSearch/SBZ1SMB5934BT3/page-1", "SBZ1SMB5934BT3")</f>
        <v>SBZ1SMB5934BT3</v>
      </c>
      <c r="B22445" s="3" t="str">
        <f>HYPERLINK("https://www.773grp.com/manufacturer/onsemi?pageNo=269", "ON Semiconductor")</f>
        <v>ON Semiconductor</v>
      </c>
      <c r="C22445" s="6">
        <v>5000</v>
      </c>
      <c r="D22445" s="7">
        <v>0</v>
      </c>
    </row>
    <row r="22446" spans="1:4" x14ac:dyDescent="0.25">
      <c r="A22446" t="str">
        <f>HYPERLINK("https://www.773grp.com/globalSearch/SBZ1SMSC20AT3/page-1", "SBZ1SMSC20AT3")</f>
        <v>SBZ1SMSC20AT3</v>
      </c>
      <c r="B22446" s="3" t="str">
        <f>HYPERLINK("https://www.773grp.com/manufacturer/onsemi?pageNo=270", "ON Semiconductor")</f>
        <v>ON Semiconductor</v>
      </c>
      <c r="C22446" s="6">
        <v>2500</v>
      </c>
      <c r="D22446" s="7">
        <v>0</v>
      </c>
    </row>
    <row r="22447" spans="1:4" x14ac:dyDescent="0.25">
      <c r="A22447" t="str">
        <f>HYPERLINK("https://www.773grp.com/globalSearch/SBZBZX84C12LT1/page-1", "SBZBZX84C12LT1")</f>
        <v>SBZBZX84C12LT1</v>
      </c>
      <c r="B22447" s="3" t="str">
        <f>HYPERLINK("https://www.773grp.com/manufacturer/onsemi?pageNo=271", "ON Semiconductor")</f>
        <v>ON Semiconductor</v>
      </c>
      <c r="C22447" s="6">
        <v>42000</v>
      </c>
      <c r="D22447" s="7">
        <v>0</v>
      </c>
    </row>
    <row r="22448" spans="1:4" x14ac:dyDescent="0.25">
      <c r="A22448" t="str">
        <f>HYPERLINK("https://www.773grp.com/globalSearch/SBZBZX84C12LT3/page-1", "SBZBZX84C12LT3")</f>
        <v>SBZBZX84C12LT3</v>
      </c>
      <c r="B22448" s="3" t="str">
        <f>HYPERLINK("https://www.773grp.com/manufacturer/onsemi?pageNo=272", "ON Semiconductor")</f>
        <v>ON Semiconductor</v>
      </c>
      <c r="C22448" s="6">
        <v>350000</v>
      </c>
      <c r="D22448" s="7">
        <v>0</v>
      </c>
    </row>
    <row r="22449" spans="1:4" x14ac:dyDescent="0.25">
      <c r="A22449" t="str">
        <f>HYPERLINK("https://www.773grp.com/globalSearch/SBZBZX84C15LT1/page-1", "SBZBZX84C15LT1")</f>
        <v>SBZBZX84C15LT1</v>
      </c>
      <c r="B22449" s="3" t="str">
        <f>HYPERLINK("https://www.773grp.com/manufacturer/onsemi?pageNo=273", "ON Semiconductor")</f>
        <v>ON Semiconductor</v>
      </c>
      <c r="C22449" s="6">
        <v>6000</v>
      </c>
      <c r="D22449" s="7">
        <v>0</v>
      </c>
    </row>
    <row r="22450" spans="1:4" x14ac:dyDescent="0.25">
      <c r="A22450" t="str">
        <f>HYPERLINK("https://www.773grp.com/globalSearch/SBZBZX84C18LT1/page-1", "SBZBZX84C18LT1")</f>
        <v>SBZBZX84C18LT1</v>
      </c>
      <c r="B22450" s="3" t="str">
        <f>HYPERLINK("https://www.773grp.com/manufacturer/onsemi?pageNo=274", "ON Semiconductor")</f>
        <v>ON Semiconductor</v>
      </c>
      <c r="C22450" s="6">
        <v>24000</v>
      </c>
      <c r="D22450" s="7">
        <v>0</v>
      </c>
    </row>
    <row r="22451" spans="1:4" x14ac:dyDescent="0.25">
      <c r="A22451" t="str">
        <f>HYPERLINK("https://www.773grp.com/globalSearch/SBZBZX84C22LT1/page-1", "SBZBZX84C22LT1")</f>
        <v>SBZBZX84C22LT1</v>
      </c>
      <c r="B22451" s="3" t="str">
        <f>HYPERLINK("https://www.773grp.com/manufacturer/onsemi?pageNo=275", "ON Semiconductor")</f>
        <v>ON Semiconductor</v>
      </c>
      <c r="C22451" s="6">
        <v>27000</v>
      </c>
      <c r="D22451" s="7">
        <v>0</v>
      </c>
    </row>
    <row r="22452" spans="1:4" x14ac:dyDescent="0.25">
      <c r="A22452" t="str">
        <f>HYPERLINK("https://www.773grp.com/globalSearch/SBZBZX84C27LT1/page-1", "SBZBZX84C27LT1")</f>
        <v>SBZBZX84C27LT1</v>
      </c>
      <c r="B22452" s="3" t="str">
        <f>HYPERLINK("https://www.773grp.com/manufacturer/onsemi?pageNo=276", "ON Semiconductor")</f>
        <v>ON Semiconductor</v>
      </c>
      <c r="C22452" s="6">
        <v>66000</v>
      </c>
      <c r="D22452" s="7">
        <v>0</v>
      </c>
    </row>
    <row r="22453" spans="1:4" x14ac:dyDescent="0.25">
      <c r="A22453" t="str">
        <f>HYPERLINK("https://www.773grp.com/globalSearch/SBZBZX84C27LT3/page-1", "SBZBZX84C27LT3")</f>
        <v>SBZBZX84C27LT3</v>
      </c>
      <c r="B22453" s="3" t="str">
        <f>HYPERLINK("https://www.773grp.com/manufacturer/onsemi?pageNo=277", "ON Semiconductor")</f>
        <v>ON Semiconductor</v>
      </c>
      <c r="C22453" s="6">
        <v>80000</v>
      </c>
      <c r="D22453" s="7">
        <v>0</v>
      </c>
    </row>
    <row r="22454" spans="1:4" x14ac:dyDescent="0.25">
      <c r="A22454" t="str">
        <f>HYPERLINK("https://www.773grp.com/globalSearch/SBZBZX84C33LT1/page-1", "SBZBZX84C33LT1")</f>
        <v>SBZBZX84C33LT1</v>
      </c>
      <c r="B22454" s="3" t="str">
        <f>HYPERLINK("https://www.773grp.com/manufacturer/onsemi?pageNo=278", "ON Semiconductor")</f>
        <v>ON Semiconductor</v>
      </c>
      <c r="C22454" s="6">
        <v>21000</v>
      </c>
      <c r="D22454" s="7">
        <v>0</v>
      </c>
    </row>
    <row r="22455" spans="1:4" x14ac:dyDescent="0.25">
      <c r="A22455" t="str">
        <f>HYPERLINK("https://www.773grp.com/globalSearch/SBZBZX84C39LT1/page-1", "SBZBZX84C39LT1")</f>
        <v>SBZBZX84C39LT1</v>
      </c>
      <c r="B22455" s="3" t="str">
        <f>HYPERLINK("https://www.773grp.com/manufacturer/onsemi?pageNo=279", "ON Semiconductor")</f>
        <v>ON Semiconductor</v>
      </c>
      <c r="C22455" s="6">
        <v>12000</v>
      </c>
      <c r="D22455" s="7">
        <v>0</v>
      </c>
    </row>
    <row r="22456" spans="1:4" x14ac:dyDescent="0.25">
      <c r="A22456" t="str">
        <f>HYPERLINK("https://www.773grp.com/globalSearch/SBZBZX84C43LT1/page-1", "SBZBZX84C43LT1")</f>
        <v>SBZBZX84C43LT1</v>
      </c>
      <c r="B22456" s="3" t="str">
        <f>HYPERLINK("https://www.773grp.com/manufacturer/onsemi?pageNo=280", "ON Semiconductor")</f>
        <v>ON Semiconductor</v>
      </c>
      <c r="C22456" s="6">
        <v>18000</v>
      </c>
      <c r="D22456" s="7">
        <v>0</v>
      </c>
    </row>
    <row r="22457" spans="1:4" x14ac:dyDescent="0.25">
      <c r="A22457" t="str">
        <f>HYPERLINK("https://www.773grp.com/globalSearch/SBZBZX84C47LT1/page-1", "SBZBZX84C47LT1")</f>
        <v>SBZBZX84C47LT1</v>
      </c>
      <c r="B22457" s="3" t="str">
        <f>HYPERLINK("https://www.773grp.com/manufacturer/onsemi?pageNo=281", "ON Semiconductor")</f>
        <v>ON Semiconductor</v>
      </c>
      <c r="C22457" s="6">
        <v>3000</v>
      </c>
      <c r="D22457" s="7">
        <v>0</v>
      </c>
    </row>
    <row r="22458" spans="1:4" x14ac:dyDescent="0.25">
      <c r="A22458" t="str">
        <f>HYPERLINK("https://www.773grp.com/globalSearch/SBZBZX84C4V7LT1/page-1", "SBZBZX84C4V7LT1")</f>
        <v>SBZBZX84C4V7LT1</v>
      </c>
      <c r="B22458" s="3" t="str">
        <f>HYPERLINK("https://www.773grp.com/manufacturer/onsemi?pageNo=282", "ON Semiconductor")</f>
        <v>ON Semiconductor</v>
      </c>
      <c r="C22458" s="6">
        <v>45000</v>
      </c>
      <c r="D22458" s="7">
        <v>0</v>
      </c>
    </row>
    <row r="22459" spans="1:4" x14ac:dyDescent="0.25">
      <c r="A22459" t="str">
        <f>HYPERLINK("https://www.773grp.com/globalSearch/SBZBZX84C6V8LT1/page-1", "SBZBZX84C6V8LT1")</f>
        <v>SBZBZX84C6V8LT1</v>
      </c>
      <c r="B22459" s="3" t="str">
        <f>HYPERLINK("https://www.773grp.com/manufacturer/onsemi?pageNo=283", "ON Semiconductor")</f>
        <v>ON Semiconductor</v>
      </c>
      <c r="C22459" s="6">
        <v>9000</v>
      </c>
      <c r="D22459" s="7">
        <v>0</v>
      </c>
    </row>
    <row r="22460" spans="1:4" x14ac:dyDescent="0.25">
      <c r="A22460" t="str">
        <f>HYPERLINK("https://www.773grp.com/globalSearch/SBZBZX84C8V2LT3/page-1", "SBZBZX84C8V2LT3")</f>
        <v>SBZBZX84C8V2LT3</v>
      </c>
      <c r="B22460" s="3" t="str">
        <f>HYPERLINK("https://www.773grp.com/manufacturer/onsemi?pageNo=284", "ON Semiconductor")</f>
        <v>ON Semiconductor</v>
      </c>
      <c r="C22460" s="6">
        <v>40000</v>
      </c>
      <c r="D22460" s="7">
        <v>0</v>
      </c>
    </row>
    <row r="22461" spans="1:4" x14ac:dyDescent="0.25">
      <c r="A22461" t="str">
        <f>HYPERLINK("https://www.773grp.com/globalSearch/SBZMMBZ5234BLT3/page-1", "SBZMMBZ5234BLT3")</f>
        <v>SBZMMBZ5234BLT3</v>
      </c>
      <c r="B22461" s="3" t="str">
        <f>HYPERLINK("https://www.773grp.com/manufacturer/onsemi?pageNo=285", "ON Semiconductor")</f>
        <v>ON Semiconductor</v>
      </c>
      <c r="C22461" s="6">
        <v>20000</v>
      </c>
      <c r="D22461" s="7">
        <v>0</v>
      </c>
    </row>
    <row r="22462" spans="1:4" x14ac:dyDescent="0.25">
      <c r="A22462" t="str">
        <f>HYPERLINK("https://www.773grp.com/globalSearch/SBZMMSZ3V3T1/page-1", "SBZMMSZ3V3T1")</f>
        <v>SBZMMSZ3V3T1</v>
      </c>
      <c r="B22462" s="3" t="str">
        <f>HYPERLINK("https://www.773grp.com/manufacturer/onsemi?pageNo=286", "ON Semiconductor")</f>
        <v>ON Semiconductor</v>
      </c>
      <c r="C22462" s="6">
        <v>3000</v>
      </c>
      <c r="D22462" s="7">
        <v>0</v>
      </c>
    </row>
    <row r="22463" spans="1:4" x14ac:dyDescent="0.25">
      <c r="A22463" t="str">
        <f>HYPERLINK("https://www.773grp.com/globalSearch/SBZMMSZ7V5T1/page-1", "SBZMMSZ7V5T1")</f>
        <v>SBZMMSZ7V5T1</v>
      </c>
      <c r="B22463" s="3" t="str">
        <f>HYPERLINK("https://www.773grp.com/manufacturer/onsemi?pageNo=287", "ON Semiconductor")</f>
        <v>ON Semiconductor</v>
      </c>
      <c r="C22463" s="6">
        <v>6000</v>
      </c>
      <c r="D22463" s="7">
        <v>0</v>
      </c>
    </row>
    <row r="22464" spans="1:4" x14ac:dyDescent="0.25">
      <c r="A22464" t="str">
        <f>HYPERLINK("https://www.773grp.com/globalSearch/SBZP6SMB18AT3/page-1", "SBZP6SMB18AT3")</f>
        <v>SBZP6SMB18AT3</v>
      </c>
      <c r="B22464" s="3" t="str">
        <f>HYPERLINK("https://www.773grp.com/manufacturer/onsemi?pageNo=288", "ON Semiconductor")</f>
        <v>ON Semiconductor</v>
      </c>
      <c r="C22464" s="6">
        <v>67500</v>
      </c>
      <c r="D22464" s="7">
        <v>0</v>
      </c>
    </row>
    <row r="22465" spans="1:4" x14ac:dyDescent="0.25">
      <c r="A22465" t="str">
        <f>HYPERLINK("https://www.773grp.com/globalSearch/SBZP6SMB36AT3/page-1", "SBZP6SMB36AT3")</f>
        <v>SBZP6SMB36AT3</v>
      </c>
      <c r="B22465" s="3" t="str">
        <f>HYPERLINK("https://www.773grp.com/manufacturer/onsemi?pageNo=289", "ON Semiconductor")</f>
        <v>ON Semiconductor</v>
      </c>
      <c r="C22465" s="6">
        <v>5000</v>
      </c>
      <c r="D22465" s="7">
        <v>0</v>
      </c>
    </row>
    <row r="22466" spans="1:4" x14ac:dyDescent="0.25">
      <c r="A22466" t="str">
        <f>HYPERLINK("https://www.773grp.com/globalSearch/SC00214051BFL2/page-1", "SC00214051BFL2")</f>
        <v>SC00214051BFL2</v>
      </c>
      <c r="B22466" s="3" t="str">
        <f>HYPERLINK("https://www.773grp.com/manufacturer/onsemi?pageNo=290", "ON Semiconductor")</f>
        <v>ON Semiconductor</v>
      </c>
      <c r="C22466" s="6">
        <v>16000</v>
      </c>
      <c r="D22466" s="7">
        <v>0</v>
      </c>
    </row>
    <row r="22467" spans="1:4" x14ac:dyDescent="0.25">
      <c r="A22467" t="str">
        <f>HYPERLINK("https://www.773grp.com/globalSearch/SC022HC151N/page-1", "SC022HC151N")</f>
        <v>SC022HC151N</v>
      </c>
      <c r="B22467" s="3" t="str">
        <f>HYPERLINK("https://www.773grp.com/manufacturer/onsemi?pageNo=291", "ON Semiconductor")</f>
        <v>ON Semiconductor</v>
      </c>
      <c r="C22467" s="6">
        <v>2000</v>
      </c>
      <c r="D22467" s="7">
        <v>0</v>
      </c>
    </row>
    <row r="22468" spans="1:4" x14ac:dyDescent="0.25">
      <c r="A22468" t="str">
        <f>HYPERLINK("https://www.773grp.com/globalSearch/SC100LVEL14DWR2G/page-1", "SC100LVEL14DWR2G")</f>
        <v>SC100LVEL14DWR2G</v>
      </c>
      <c r="B22468" s="3" t="str">
        <f>HYPERLINK("https://www.773grp.com/manufacturer/onsemi?pageNo=292", "ON Semiconductor")</f>
        <v>ON Semiconductor</v>
      </c>
      <c r="C22468" s="6">
        <v>1000</v>
      </c>
      <c r="D22468" s="7">
        <v>0</v>
      </c>
    </row>
    <row r="22469" spans="1:4" x14ac:dyDescent="0.25">
      <c r="A22469" t="str">
        <f>HYPERLINK("https://www.773grp.com/globalSearch/SC111005AP1/page-1", "SC111005AP1")</f>
        <v>SC111005AP1</v>
      </c>
      <c r="B22469" s="3" t="str">
        <f>HYPERLINK("https://www.773grp.com/manufacturer/onsemi?pageNo=293", "ON Semiconductor")</f>
        <v>ON Semiconductor</v>
      </c>
      <c r="C22469" s="6">
        <v>44900</v>
      </c>
      <c r="D22469" s="7">
        <v>0</v>
      </c>
    </row>
    <row r="22470" spans="1:4" x14ac:dyDescent="0.25">
      <c r="A22470" t="str">
        <f>HYPERLINK("https://www.773grp.com/globalSearch/SC111021BVD1/page-1", "SC111021BVD1")</f>
        <v>SC111021BVD1</v>
      </c>
      <c r="B22470" s="3" t="str">
        <f>HYPERLINK("https://www.773grp.com/manufacturer/onsemi?pageNo=294", "ON Semiconductor")</f>
        <v>ON Semiconductor</v>
      </c>
      <c r="C22470" s="6">
        <v>1960</v>
      </c>
      <c r="D22470" s="7">
        <v>0</v>
      </c>
    </row>
    <row r="22471" spans="1:4" x14ac:dyDescent="0.25">
      <c r="A22471" t="str">
        <f>HYPERLINK("https://www.773grp.com/globalSearch/SC111400ADR2/page-1", "SC111400ADR2")</f>
        <v>SC111400ADR2</v>
      </c>
      <c r="B22471" s="3" t="str">
        <f>HYPERLINK("https://www.773grp.com/manufacturer/onsemi?pageNo=295", "ON Semiconductor")</f>
        <v>ON Semiconductor</v>
      </c>
      <c r="C22471" s="6">
        <v>17500</v>
      </c>
      <c r="D22471" s="7">
        <v>0</v>
      </c>
    </row>
    <row r="22472" spans="1:4" x14ac:dyDescent="0.25">
      <c r="A22472" t="str">
        <f>HYPERLINK("https://www.773grp.com/globalSearch/SC111613P/page-1", "SC111613P")</f>
        <v>SC111613P</v>
      </c>
      <c r="B22472" s="3" t="str">
        <f>HYPERLINK("https://www.773grp.com/manufacturer/onsemi?pageNo=296", "ON Semiconductor")</f>
        <v>ON Semiconductor</v>
      </c>
      <c r="C22472" s="6">
        <v>4325</v>
      </c>
      <c r="D22472" s="7">
        <v>0</v>
      </c>
    </row>
    <row r="22473" spans="1:4" x14ac:dyDescent="0.25">
      <c r="A22473" t="str">
        <f>HYPERLINK("https://www.773grp.com/globalSearch/SC111688PG/page-1", "SC111688PG")</f>
        <v>SC111688PG</v>
      </c>
      <c r="B22473" s="3" t="str">
        <f>HYPERLINK("https://www.773grp.com/manufacturer/onsemi?pageNo=297", "ON Semiconductor")</f>
        <v>ON Semiconductor</v>
      </c>
      <c r="C22473" s="6">
        <v>2250</v>
      </c>
      <c r="D22473" s="7">
        <v>0</v>
      </c>
    </row>
    <row r="22474" spans="1:4" x14ac:dyDescent="0.25">
      <c r="A22474" t="str">
        <f>HYPERLINK("https://www.773grp.com/globalSearch/SC111689AP/page-1", "SC111689AP")</f>
        <v>SC111689AP</v>
      </c>
      <c r="B22474" s="3" t="str">
        <f>HYPERLINK("https://www.773grp.com/manufacturer/onsemi?pageNo=298", "ON Semiconductor")</f>
        <v>ON Semiconductor</v>
      </c>
      <c r="C22474" s="6">
        <v>1076</v>
      </c>
      <c r="D22474" s="7">
        <v>0</v>
      </c>
    </row>
    <row r="22475" spans="1:4" x14ac:dyDescent="0.25">
      <c r="A22475" t="str">
        <f>HYPERLINK("https://www.773grp.com/globalSearch/SC111689P/page-1", "SC111689P")</f>
        <v>SC111689P</v>
      </c>
      <c r="B22475" s="3" t="str">
        <f>HYPERLINK("https://www.773grp.com/manufacturer/onsemi?pageNo=299", "ON Semiconductor")</f>
        <v>ON Semiconductor</v>
      </c>
      <c r="C22475" s="6">
        <v>6</v>
      </c>
      <c r="D22475" s="7">
        <v>0</v>
      </c>
    </row>
    <row r="22476" spans="1:4" x14ac:dyDescent="0.25">
      <c r="A22476" t="str">
        <f>HYPERLINK("https://www.773grp.com/globalSearch/SC1SMA5927BT3G/page-1", "SC1SMA5927BT3G")</f>
        <v>SC1SMA5927BT3G</v>
      </c>
      <c r="B22476" s="3" t="str">
        <f>HYPERLINK("https://www.773grp.com/manufacturer/onsemi?pageNo=300", "ON Semiconductor")</f>
        <v>ON Semiconductor</v>
      </c>
      <c r="C22476" s="6">
        <v>30000</v>
      </c>
      <c r="D22476" s="7">
        <v>0</v>
      </c>
    </row>
    <row r="22477" spans="1:4" x14ac:dyDescent="0.25">
      <c r="A22477" t="str">
        <f>HYPERLINK("https://www.773grp.com/globalSearch/SC27941P08/page-1", "SC27941P08")</f>
        <v>SC27941P08</v>
      </c>
      <c r="B22477" s="3" t="str">
        <f>HYPERLINK("https://www.773grp.com/manufacturer/onsemi?pageNo=301", "ON Semiconductor")</f>
        <v>ON Semiconductor</v>
      </c>
      <c r="C22477" s="6">
        <v>7225</v>
      </c>
      <c r="D22477" s="7">
        <v>0</v>
      </c>
    </row>
    <row r="22478" spans="1:4" x14ac:dyDescent="0.25">
      <c r="A22478" t="str">
        <f>HYPERLINK("https://www.773grp.com/globalSearch/SC27943PK161/page-1", "SC27943PK161")</f>
        <v>SC27943PK161</v>
      </c>
      <c r="B22478" s="3" t="str">
        <f>HYPERLINK("https://www.773grp.com/manufacturer/onsemi?pageNo=302", "ON Semiconductor")</f>
        <v>ON Semiconductor</v>
      </c>
      <c r="C22478" s="6">
        <v>500</v>
      </c>
      <c r="D22478" s="7">
        <v>0</v>
      </c>
    </row>
    <row r="22479" spans="1:4" x14ac:dyDescent="0.25">
      <c r="A22479" t="str">
        <f>HYPERLINK("https://www.773grp.com/globalSearch/SC27952PK157/page-1", "SC27952PK157")</f>
        <v>SC27952PK157</v>
      </c>
      <c r="B22479" s="3" t="str">
        <f>HYPERLINK("https://www.773grp.com/manufacturer/onsemi?pageNo=303", "ON Semiconductor")</f>
        <v>ON Semiconductor</v>
      </c>
      <c r="C22479" s="6">
        <v>1000</v>
      </c>
      <c r="D22479" s="7">
        <v>0</v>
      </c>
    </row>
    <row r="22480" spans="1:4" x14ac:dyDescent="0.25">
      <c r="A22480" t="str">
        <f>HYPERLINK("https://www.773grp.com/globalSearch/SC300023P/page-1", "SC300023P")</f>
        <v>SC300023P</v>
      </c>
      <c r="B22480" s="3" t="str">
        <f>HYPERLINK("https://www.773grp.com/manufacturer/onsemi?pageNo=304", "ON Semiconductor")</f>
        <v>ON Semiconductor</v>
      </c>
      <c r="C22480" s="6">
        <v>25600</v>
      </c>
      <c r="D22480" s="7">
        <v>0</v>
      </c>
    </row>
    <row r="22481" spans="1:4" x14ac:dyDescent="0.25">
      <c r="A22481" t="str">
        <f>HYPERLINK("https://www.773grp.com/globalSearch/SC300062D14ADR2/page-1", "SC300062D14ADR2")</f>
        <v>SC300062D14ADR2</v>
      </c>
      <c r="B22481" s="3" t="str">
        <f>HYPERLINK("https://www.773grp.com/manufacturer/onsemi?pageNo=305", "ON Semiconductor")</f>
        <v>ON Semiconductor</v>
      </c>
      <c r="C22481" s="6">
        <v>17500</v>
      </c>
      <c r="D22481" s="7">
        <v>0</v>
      </c>
    </row>
    <row r="22482" spans="1:4" x14ac:dyDescent="0.25">
      <c r="A22482" t="str">
        <f>HYPERLINK("https://www.773grp.com/globalSearch/SC30595ADR2/page-1", "SC30595ADR2")</f>
        <v>SC30595ADR2</v>
      </c>
      <c r="B22482" s="3" t="str">
        <f>HYPERLINK("https://www.773grp.com/manufacturer/onsemi?pageNo=306", "ON Semiconductor")</f>
        <v>ON Semiconductor</v>
      </c>
      <c r="C22482" s="6">
        <v>2500</v>
      </c>
      <c r="D22482" s="7">
        <v>0</v>
      </c>
    </row>
    <row r="22483" spans="1:4" x14ac:dyDescent="0.25">
      <c r="A22483" t="str">
        <f>HYPERLINK("https://www.773grp.com/globalSearch/SC310044D/page-1", "SC310044D")</f>
        <v>SC310044D</v>
      </c>
      <c r="B22483" s="3" t="str">
        <f>HYPERLINK("https://www.773grp.com/manufacturer/onsemi?pageNo=307", "ON Semiconductor")</f>
        <v>ON Semiconductor</v>
      </c>
      <c r="C22483" s="6">
        <v>3626</v>
      </c>
      <c r="D22483" s="7">
        <v>0</v>
      </c>
    </row>
    <row r="22484" spans="1:4" x14ac:dyDescent="0.25">
      <c r="A22484" t="str">
        <f>HYPERLINK("https://www.773grp.com/globalSearch/SC33071AP/page-1", "SC33071AP")</f>
        <v>SC33071AP</v>
      </c>
      <c r="B22484" s="3" t="str">
        <f>HYPERLINK("https://www.773grp.com/manufacturer/onsemi?pageNo=308", "ON Semiconductor")</f>
        <v>ON Semiconductor</v>
      </c>
      <c r="C22484" s="6">
        <v>1000</v>
      </c>
      <c r="D22484" s="7">
        <v>0</v>
      </c>
    </row>
    <row r="22485" spans="1:4" x14ac:dyDescent="0.25">
      <c r="A22485" t="str">
        <f>HYPERLINK("https://www.773grp.com/globalSearch/SC33071APG/page-1", "SC33071APG")</f>
        <v>SC33071APG</v>
      </c>
      <c r="B22485" s="3" t="str">
        <f>HYPERLINK("https://www.773grp.com/manufacturer/onsemi?pageNo=309", "ON Semiconductor")</f>
        <v>ON Semiconductor</v>
      </c>
      <c r="C22485" s="6">
        <v>2850</v>
      </c>
      <c r="D22485" s="7">
        <v>0</v>
      </c>
    </row>
    <row r="22486" spans="1:4" x14ac:dyDescent="0.25">
      <c r="A22486" t="str">
        <f>HYPERLINK("https://www.773grp.com/globalSearch/SC33074DR2/page-1", "SC33074DR2")</f>
        <v>SC33074DR2</v>
      </c>
      <c r="B22486" s="3" t="str">
        <f>HYPERLINK("https://www.773grp.com/manufacturer/onsemi?pageNo=310", "ON Semiconductor")</f>
        <v>ON Semiconductor</v>
      </c>
      <c r="C22486" s="6">
        <v>1007</v>
      </c>
      <c r="D22486" s="7">
        <v>0</v>
      </c>
    </row>
    <row r="22487" spans="1:4" x14ac:dyDescent="0.25">
      <c r="A22487" t="str">
        <f>HYPERLINK("https://www.773grp.com/globalSearch/SC33165ADWR2G/page-1", "SC33165ADWR2G")</f>
        <v>SC33165ADWR2G</v>
      </c>
      <c r="B22487" s="3" t="str">
        <f>HYPERLINK("https://www.773grp.com/manufacturer/onsemi?pageNo=311", "ON Semiconductor")</f>
        <v>ON Semiconductor</v>
      </c>
      <c r="C22487" s="6">
        <v>1000</v>
      </c>
      <c r="D22487" s="7">
        <v>0</v>
      </c>
    </row>
    <row r="22488" spans="1:4" x14ac:dyDescent="0.25">
      <c r="A22488" t="str">
        <f>HYPERLINK("https://www.773grp.com/globalSearch/SC33179DR2G/page-1", "SC33179DR2G")</f>
        <v>SC33179DR2G</v>
      </c>
      <c r="B22488" s="3" t="str">
        <f>HYPERLINK("https://www.773grp.com/manufacturer/onsemi?pageNo=312", "ON Semiconductor")</f>
        <v>ON Semiconductor</v>
      </c>
      <c r="C22488" s="6">
        <v>1292</v>
      </c>
      <c r="D22488" s="7">
        <v>0</v>
      </c>
    </row>
    <row r="22489" spans="1:4" x14ac:dyDescent="0.25">
      <c r="A22489" t="str">
        <f>HYPERLINK("https://www.773grp.com/globalSearch/SC34182D/page-1", "SC34182D")</f>
        <v>SC34182D</v>
      </c>
      <c r="B22489" s="3" t="str">
        <f>HYPERLINK("https://www.773grp.com/manufacturer/onsemi?pageNo=313", "ON Semiconductor")</f>
        <v>ON Semiconductor</v>
      </c>
      <c r="C22489" s="6">
        <v>2425</v>
      </c>
      <c r="D22489" s="7">
        <v>0</v>
      </c>
    </row>
    <row r="22490" spans="1:4" x14ac:dyDescent="0.25">
      <c r="A22490" t="str">
        <f>HYPERLINK("https://www.773grp.com/globalSearch/SC370182PH/page-1", "SC370182PH")</f>
        <v>SC370182PH</v>
      </c>
      <c r="B22490" s="3" t="str">
        <f>HYPERLINK("https://www.773grp.com/manufacturer/onsemi?pageNo=314", "ON Semiconductor")</f>
        <v>ON Semiconductor</v>
      </c>
      <c r="C22490" s="6">
        <v>3500</v>
      </c>
      <c r="D22490" s="7">
        <v>0</v>
      </c>
    </row>
    <row r="22491" spans="1:4" x14ac:dyDescent="0.25">
      <c r="A22491" t="str">
        <f>HYPERLINK("https://www.773grp.com/globalSearch/SC370402PH/page-1", "SC370402PH")</f>
        <v>SC370402PH</v>
      </c>
      <c r="B22491" s="3" t="str">
        <f>HYPERLINK("https://www.773grp.com/manufacturer/onsemi?pageNo=315", "ON Semiconductor")</f>
        <v>ON Semiconductor</v>
      </c>
      <c r="C22491" s="6">
        <v>600</v>
      </c>
      <c r="D22491" s="7">
        <v>0</v>
      </c>
    </row>
    <row r="22492" spans="1:4" x14ac:dyDescent="0.25">
      <c r="A22492" t="str">
        <f>HYPERLINK("https://www.773grp.com/globalSearch/SC45069PK/page-1", "SC45069PK")</f>
        <v>SC45069PK</v>
      </c>
      <c r="B22492" s="3" t="str">
        <f>HYPERLINK("https://www.773grp.com/manufacturer/onsemi?pageNo=316", "ON Semiconductor")</f>
        <v>ON Semiconductor</v>
      </c>
      <c r="C22492" s="6">
        <v>500</v>
      </c>
      <c r="D22492" s="7">
        <v>0</v>
      </c>
    </row>
    <row r="22493" spans="1:4" x14ac:dyDescent="0.25">
      <c r="A22493" t="str">
        <f>HYPERLINK("https://www.773grp.com/globalSearch/SC46336PH/page-1", "SC46336PH")</f>
        <v>SC46336PH</v>
      </c>
      <c r="B22493" s="3" t="str">
        <f>HYPERLINK("https://www.773grp.com/manufacturer/onsemi?pageNo=317", "ON Semiconductor")</f>
        <v>ON Semiconductor</v>
      </c>
      <c r="C22493" s="6">
        <v>200</v>
      </c>
      <c r="D22493" s="7">
        <v>0</v>
      </c>
    </row>
    <row r="22494" spans="1:4" x14ac:dyDescent="0.25">
      <c r="A22494" t="str">
        <f>HYPERLINK("https://www.773grp.com/globalSearch/SC54AC14DR2/page-1", "SC54AC14DR2")</f>
        <v>SC54AC14DR2</v>
      </c>
      <c r="B22494" s="3" t="str">
        <f>HYPERLINK("https://www.773grp.com/manufacturer/onsemi?pageNo=318", "ON Semiconductor")</f>
        <v>ON Semiconductor</v>
      </c>
      <c r="C22494" s="6">
        <v>10000</v>
      </c>
      <c r="D22494" s="7">
        <v>0</v>
      </c>
    </row>
    <row r="22495" spans="1:4" x14ac:dyDescent="0.25">
      <c r="A22495" t="str">
        <f>HYPERLINK("https://www.773grp.com/globalSearch/SC54AC240DWR2/page-1", "SC54AC240DWR2")</f>
        <v>SC54AC240DWR2</v>
      </c>
      <c r="B22495" s="3" t="str">
        <f>HYPERLINK("https://www.773grp.com/manufacturer/onsemi?pageNo=319", "ON Semiconductor")</f>
        <v>ON Semiconductor</v>
      </c>
      <c r="C22495" s="6">
        <v>16000</v>
      </c>
      <c r="D22495" s="7">
        <v>0</v>
      </c>
    </row>
    <row r="22496" spans="1:4" x14ac:dyDescent="0.25">
      <c r="A22496" t="str">
        <f>HYPERLINK("https://www.773grp.com/globalSearch/SC63470P102/page-1", "SC63470P102")</f>
        <v>SC63470P102</v>
      </c>
      <c r="B22496" s="3" t="str">
        <f>HYPERLINK("https://www.773grp.com/manufacturer/onsemi?pageNo=320", "ON Semiconductor")</f>
        <v>ON Semiconductor</v>
      </c>
      <c r="C22496" s="6">
        <v>3500</v>
      </c>
      <c r="D22496" s="7">
        <v>0</v>
      </c>
    </row>
    <row r="22497" spans="1:4" x14ac:dyDescent="0.25">
      <c r="A22497" t="str">
        <f>HYPERLINK("https://www.773grp.com/globalSearch/SC63610FN116HR2/page-1", "SC63610FN116HR2")</f>
        <v>SC63610FN116HR2</v>
      </c>
      <c r="B22497" s="3" t="str">
        <f>HYPERLINK("https://www.773grp.com/manufacturer/onsemi?pageNo=321", "ON Semiconductor")</f>
        <v>ON Semiconductor</v>
      </c>
      <c r="C22497" s="6">
        <v>20500</v>
      </c>
      <c r="D22497" s="7">
        <v>0</v>
      </c>
    </row>
    <row r="22498" spans="1:4" x14ac:dyDescent="0.25">
      <c r="A22498" t="str">
        <f>HYPERLINK("https://www.773grp.com/globalSearch/SC63610FN125HR/page-1", "SC63610FN125HR")</f>
        <v>SC63610FN125HR</v>
      </c>
      <c r="B22498" s="3" t="str">
        <f>HYPERLINK("https://www.773grp.com/manufacturer/onsemi?pageNo=322", "ON Semiconductor")</f>
        <v>ON Semiconductor</v>
      </c>
      <c r="C22498" s="6">
        <v>500</v>
      </c>
      <c r="D22498" s="7">
        <v>0</v>
      </c>
    </row>
    <row r="22499" spans="1:4" x14ac:dyDescent="0.25">
      <c r="A22499" t="str">
        <f>HYPERLINK("https://www.773grp.com/globalSearch/SC63610FN125HR2/page-1", "SC63610FN125HR2")</f>
        <v>SC63610FN125HR2</v>
      </c>
      <c r="B22499" s="3" t="str">
        <f>HYPERLINK("https://www.773grp.com/manufacturer/onsemi?pageNo=323", "ON Semiconductor")</f>
        <v>ON Semiconductor</v>
      </c>
      <c r="C22499" s="6">
        <v>2500</v>
      </c>
      <c r="D22499" s="7">
        <v>0</v>
      </c>
    </row>
    <row r="22500" spans="1:4" x14ac:dyDescent="0.25">
      <c r="A22500" t="str">
        <f>HYPERLINK("https://www.773grp.com/globalSearch/SC63610FN131HR2/page-1", "SC63610FN131HR2")</f>
        <v>SC63610FN131HR2</v>
      </c>
      <c r="B22500" s="3" t="str">
        <f>HYPERLINK("https://www.773grp.com/manufacturer/onsemi?pageNo=324", "ON Semiconductor")</f>
        <v>ON Semiconductor</v>
      </c>
      <c r="C22500" s="6">
        <v>3500</v>
      </c>
      <c r="D22500" s="7">
        <v>0</v>
      </c>
    </row>
    <row r="22501" spans="1:4" x14ac:dyDescent="0.25">
      <c r="A22501" t="str">
        <f>HYPERLINK("https://www.773grp.com/globalSearch/SC63610L115H/page-1", "SC63610L115H")</f>
        <v>SC63610L115H</v>
      </c>
      <c r="B22501" s="3" t="str">
        <f>HYPERLINK("https://www.773grp.com/manufacturer/onsemi?pageNo=325", "ON Semiconductor")</f>
        <v>ON Semiconductor</v>
      </c>
      <c r="C22501" s="6">
        <v>2350</v>
      </c>
      <c r="D22501" s="7">
        <v>0</v>
      </c>
    </row>
    <row r="22502" spans="1:4" x14ac:dyDescent="0.25">
      <c r="A22502" t="str">
        <f>HYPERLINK("https://www.773grp.com/globalSearch/SC63610L116/page-1", "SC63610L116")</f>
        <v>SC63610L116</v>
      </c>
      <c r="B22502" s="3" t="str">
        <f>HYPERLINK("https://www.773grp.com/manufacturer/onsemi?pageNo=326", "ON Semiconductor")</f>
        <v>ON Semiconductor</v>
      </c>
      <c r="C22502" s="6">
        <v>3175</v>
      </c>
      <c r="D22502" s="7">
        <v>0</v>
      </c>
    </row>
    <row r="22503" spans="1:4" x14ac:dyDescent="0.25">
      <c r="A22503" t="str">
        <f>HYPERLINK("https://www.773grp.com/globalSearch/SC63610L116H/page-1", "SC63610L116H")</f>
        <v>SC63610L116H</v>
      </c>
      <c r="B22503" s="3" t="str">
        <f>HYPERLINK("https://www.773grp.com/manufacturer/onsemi?pageNo=327", "ON Semiconductor")</f>
        <v>ON Semiconductor</v>
      </c>
      <c r="C22503" s="6">
        <v>8400</v>
      </c>
      <c r="D22503" s="7">
        <v>0</v>
      </c>
    </row>
    <row r="22504" spans="1:4" x14ac:dyDescent="0.25">
      <c r="A22504" t="str">
        <f>HYPERLINK("https://www.773grp.com/globalSearch/SC63610L125/page-1", "SC63610L125")</f>
        <v>SC63610L125</v>
      </c>
      <c r="B22504" s="3" t="str">
        <f>HYPERLINK("https://www.773grp.com/manufacturer/onsemi?pageNo=328", "ON Semiconductor")</f>
        <v>ON Semiconductor</v>
      </c>
      <c r="C22504" s="6">
        <v>475</v>
      </c>
      <c r="D22504" s="7">
        <v>0</v>
      </c>
    </row>
    <row r="22505" spans="1:4" x14ac:dyDescent="0.25">
      <c r="A22505" t="str">
        <f>HYPERLINK("https://www.773grp.com/globalSearch/SC63610L125H/page-1", "SC63610L125H")</f>
        <v>SC63610L125H</v>
      </c>
      <c r="B22505" s="3" t="str">
        <f>HYPERLINK("https://www.773grp.com/manufacturer/onsemi?pageNo=329", "ON Semiconductor")</f>
        <v>ON Semiconductor</v>
      </c>
      <c r="C22505" s="6">
        <v>925</v>
      </c>
      <c r="D22505" s="7">
        <v>0</v>
      </c>
    </row>
    <row r="22506" spans="1:4" x14ac:dyDescent="0.25">
      <c r="A22506" t="str">
        <f>HYPERLINK("https://www.773grp.com/globalSearch/SC64022L/page-1", "SC64022L")</f>
        <v>SC64022L</v>
      </c>
      <c r="B22506" s="3" t="str">
        <f>HYPERLINK("https://www.773grp.com/manufacturer/onsemi?pageNo=330", "ON Semiconductor")</f>
        <v>ON Semiconductor</v>
      </c>
      <c r="C22506" s="6">
        <v>1225</v>
      </c>
      <c r="D22506" s="7">
        <v>0</v>
      </c>
    </row>
    <row r="22507" spans="1:4" x14ac:dyDescent="0.25">
      <c r="A22507" t="str">
        <f>HYPERLINK("https://www.773grp.com/globalSearch/SC64029FN/page-1", "SC64029FN")</f>
        <v>SC64029FN</v>
      </c>
      <c r="B22507" s="3" t="str">
        <f>HYPERLINK("https://www.773grp.com/manufacturer/onsemi?pageNo=331", "ON Semiconductor")</f>
        <v>ON Semiconductor</v>
      </c>
      <c r="C22507" s="6">
        <v>1184</v>
      </c>
      <c r="D22507" s="7">
        <v>0</v>
      </c>
    </row>
    <row r="22508" spans="1:4" x14ac:dyDescent="0.25">
      <c r="A22508" t="str">
        <f>HYPERLINK("https://www.773grp.com/globalSearch/SC64029FNR2/page-1", "SC64029FNR2")</f>
        <v>SC64029FNR2</v>
      </c>
      <c r="B22508" s="3" t="str">
        <f>HYPERLINK("https://www.773grp.com/manufacturer/onsemi?pageNo=332", "ON Semiconductor")</f>
        <v>ON Semiconductor</v>
      </c>
      <c r="C22508" s="6">
        <v>1500</v>
      </c>
      <c r="D22508" s="7">
        <v>0</v>
      </c>
    </row>
    <row r="22509" spans="1:4" x14ac:dyDescent="0.25">
      <c r="A22509" t="str">
        <f>HYPERLINK("https://www.773grp.com/globalSearch/SC64029FNR2G/page-1", "SC64029FNR2G")</f>
        <v>SC64029FNR2G</v>
      </c>
      <c r="B22509" s="3" t="str">
        <f>HYPERLINK("https://www.773grp.com/manufacturer/onsemi?pageNo=333", "ON Semiconductor")</f>
        <v>ON Semiconductor</v>
      </c>
      <c r="C22509" s="6">
        <v>1000</v>
      </c>
      <c r="D22509" s="7">
        <v>0</v>
      </c>
    </row>
    <row r="22510" spans="1:4" x14ac:dyDescent="0.25">
      <c r="A22510" t="str">
        <f>HYPERLINK("https://www.773grp.com/globalSearch/SC64031FN/page-1", "SC64031FN")</f>
        <v>SC64031FN</v>
      </c>
      <c r="B22510" s="3" t="str">
        <f>HYPERLINK("https://www.773grp.com/manufacturer/onsemi?pageNo=334", "ON Semiconductor")</f>
        <v>ON Semiconductor</v>
      </c>
      <c r="C22510" s="6">
        <v>370</v>
      </c>
      <c r="D22510" s="7">
        <v>0</v>
      </c>
    </row>
    <row r="22511" spans="1:4" x14ac:dyDescent="0.25">
      <c r="A22511" t="str">
        <f>HYPERLINK("https://www.773grp.com/globalSearch/SC64046BFNG/page-1", "SC64046BFNG")</f>
        <v>SC64046BFNG</v>
      </c>
      <c r="B22511" s="3" t="str">
        <f>HYPERLINK("https://www.773grp.com/manufacturer/onsemi?pageNo=335", "ON Semiconductor")</f>
        <v>ON Semiconductor</v>
      </c>
      <c r="C22511" s="6">
        <v>1702</v>
      </c>
      <c r="D22511" s="7">
        <v>0</v>
      </c>
    </row>
    <row r="22512" spans="1:4" x14ac:dyDescent="0.25">
      <c r="A22512" t="str">
        <f>HYPERLINK("https://www.773grp.com/globalSearch/SC64046FNG/page-1", "SC64046FNG")</f>
        <v>SC64046FNG</v>
      </c>
      <c r="B22512" s="3" t="str">
        <f>HYPERLINK("https://www.773grp.com/manufacturer/onsemi?pageNo=336", "ON Semiconductor")</f>
        <v>ON Semiconductor</v>
      </c>
      <c r="C22512" s="6">
        <v>9</v>
      </c>
      <c r="D22512" s="7">
        <v>0</v>
      </c>
    </row>
    <row r="22513" spans="1:4" x14ac:dyDescent="0.25">
      <c r="A22513" t="str">
        <f>HYPERLINK("https://www.773grp.com/globalSearch/SC65200FN116/page-1", "SC65200FN116")</f>
        <v>SC65200FN116</v>
      </c>
      <c r="B22513" s="3" t="str">
        <f>HYPERLINK("https://www.773grp.com/manufacturer/onsemi?pageNo=337", "ON Semiconductor")</f>
        <v>ON Semiconductor</v>
      </c>
      <c r="C22513" s="6">
        <v>582</v>
      </c>
      <c r="D22513" s="7">
        <v>0</v>
      </c>
    </row>
    <row r="22514" spans="1:4" x14ac:dyDescent="0.25">
      <c r="A22514" t="str">
        <f>HYPERLINK("https://www.773grp.com/globalSearch/SC65200FN116R2/page-1", "SC65200FN116R2")</f>
        <v>SC65200FN116R2</v>
      </c>
      <c r="B22514" s="3" t="str">
        <f>HYPERLINK("https://www.773grp.com/manufacturer/onsemi?pageNo=338", "ON Semiconductor")</f>
        <v>ON Semiconductor</v>
      </c>
      <c r="C22514" s="6">
        <v>1000</v>
      </c>
      <c r="D22514" s="7">
        <v>0</v>
      </c>
    </row>
    <row r="22515" spans="1:4" x14ac:dyDescent="0.25">
      <c r="A22515" t="str">
        <f>HYPERLINK("https://www.773grp.com/globalSearch/SC65895D283R2/page-1", "SC65895D283R2")</f>
        <v>SC65895D283R2</v>
      </c>
      <c r="B22515" s="3" t="str">
        <f>HYPERLINK("https://www.773grp.com/manufacturer/onsemi?pageNo=339", "ON Semiconductor")</f>
        <v>ON Semiconductor</v>
      </c>
      <c r="C22515" s="6">
        <v>4756</v>
      </c>
      <c r="D22515" s="7">
        <v>0</v>
      </c>
    </row>
    <row r="22516" spans="1:4" x14ac:dyDescent="0.25">
      <c r="A22516" t="str">
        <f>HYPERLINK("https://www.773grp.com/globalSearch/SC65895DW299R2/page-1", "SC65895DW299R2")</f>
        <v>SC65895DW299R2</v>
      </c>
      <c r="B22516" s="3" t="str">
        <f>HYPERLINK("https://www.773grp.com/manufacturer/onsemi?pageNo=340", "ON Semiconductor")</f>
        <v>ON Semiconductor</v>
      </c>
      <c r="C22516" s="6">
        <v>15000</v>
      </c>
      <c r="D22516" s="7">
        <v>0</v>
      </c>
    </row>
    <row r="22517" spans="1:4" x14ac:dyDescent="0.25">
      <c r="A22517" t="str">
        <f>HYPERLINK("https://www.773grp.com/globalSearch/SC65895DW684R2/page-1", "SC65895DW684R2")</f>
        <v>SC65895DW684R2</v>
      </c>
      <c r="B22517" s="3" t="str">
        <f>HYPERLINK("https://www.773grp.com/manufacturer/onsemi?pageNo=341", "ON Semiconductor")</f>
        <v>ON Semiconductor</v>
      </c>
      <c r="C22517" s="6">
        <v>8000</v>
      </c>
      <c r="D22517" s="7">
        <v>0</v>
      </c>
    </row>
    <row r="22518" spans="1:4" x14ac:dyDescent="0.25">
      <c r="A22518" t="str">
        <f>HYPERLINK("https://www.773grp.com/globalSearch/SC65895LK153/page-1", "SC65895LK153")</f>
        <v>SC65895LK153</v>
      </c>
      <c r="B22518" s="3" t="str">
        <f>HYPERLINK("https://www.773grp.com/manufacturer/onsemi?pageNo=342", "ON Semiconductor")</f>
        <v>ON Semiconductor</v>
      </c>
      <c r="C22518" s="6">
        <v>1974</v>
      </c>
      <c r="D22518" s="7">
        <v>0</v>
      </c>
    </row>
    <row r="22519" spans="1:4" x14ac:dyDescent="0.25">
      <c r="A22519" t="str">
        <f>HYPERLINK("https://www.773grp.com/globalSearch/SC65895LK240/page-1", "SC65895LK240")</f>
        <v>SC65895LK240</v>
      </c>
      <c r="B22519" s="3" t="str">
        <f>HYPERLINK("https://www.773grp.com/manufacturer/onsemi?pageNo=343", "ON Semiconductor")</f>
        <v>ON Semiconductor</v>
      </c>
      <c r="C22519" s="6">
        <v>219</v>
      </c>
      <c r="D22519" s="7">
        <v>0</v>
      </c>
    </row>
    <row r="22520" spans="1:4" x14ac:dyDescent="0.25">
      <c r="A22520" t="str">
        <f>HYPERLINK("https://www.773grp.com/globalSearch/SC65895PK109A/page-1", "SC65895PK109A")</f>
        <v>SC65895PK109A</v>
      </c>
      <c r="B22520" s="3" t="str">
        <f>HYPERLINK("https://www.773grp.com/manufacturer/onsemi?pageNo=344", "ON Semiconductor")</f>
        <v>ON Semiconductor</v>
      </c>
      <c r="C22520" s="6">
        <v>13750</v>
      </c>
      <c r="D22520" s="7">
        <v>0</v>
      </c>
    </row>
    <row r="22521" spans="1:4" x14ac:dyDescent="0.25">
      <c r="A22521" t="str">
        <f>HYPERLINK("https://www.773grp.com/globalSearch/SC65895PK123/page-1", "SC65895PK123")</f>
        <v>SC65895PK123</v>
      </c>
      <c r="B22521" s="3" t="str">
        <f>HYPERLINK("https://www.773grp.com/manufacturer/onsemi?pageNo=345", "ON Semiconductor")</f>
        <v>ON Semiconductor</v>
      </c>
      <c r="C22521" s="6">
        <v>2875</v>
      </c>
      <c r="D22521" s="7">
        <v>0</v>
      </c>
    </row>
    <row r="22522" spans="1:4" x14ac:dyDescent="0.25">
      <c r="A22522" t="str">
        <f>HYPERLINK("https://www.773grp.com/globalSearch/SC65895PK138/page-1", "SC65895PK138")</f>
        <v>SC65895PK138</v>
      </c>
      <c r="B22522" s="3" t="str">
        <f>HYPERLINK("https://www.773grp.com/manufacturer/onsemi?pageNo=346", "ON Semiconductor")</f>
        <v>ON Semiconductor</v>
      </c>
      <c r="C22522" s="6">
        <v>8400</v>
      </c>
      <c r="D22522" s="7">
        <v>0</v>
      </c>
    </row>
    <row r="22523" spans="1:4" x14ac:dyDescent="0.25">
      <c r="A22523" t="str">
        <f>HYPERLINK("https://www.773grp.com/globalSearch/SC65895PK161A/page-1", "SC65895PK161A")</f>
        <v>SC65895PK161A</v>
      </c>
      <c r="B22523" s="3" t="str">
        <f>HYPERLINK("https://www.773grp.com/manufacturer/onsemi?pageNo=347", "ON Semiconductor")</f>
        <v>ON Semiconductor</v>
      </c>
      <c r="C22523" s="6">
        <v>5066</v>
      </c>
      <c r="D22523" s="7">
        <v>0</v>
      </c>
    </row>
    <row r="22524" spans="1:4" x14ac:dyDescent="0.25">
      <c r="A22524" t="str">
        <f>HYPERLINK("https://www.773grp.com/globalSearch/SC65895PK165/page-1", "SC65895PK165")</f>
        <v>SC65895PK165</v>
      </c>
      <c r="B22524" s="3" t="str">
        <f>HYPERLINK("https://www.773grp.com/manufacturer/onsemi?pageNo=348", "ON Semiconductor")</f>
        <v>ON Semiconductor</v>
      </c>
      <c r="C22524" s="6">
        <v>8100</v>
      </c>
      <c r="D22524" s="7">
        <v>0</v>
      </c>
    </row>
    <row r="22525" spans="1:4" x14ac:dyDescent="0.25">
      <c r="A22525" t="str">
        <f>HYPERLINK("https://www.773grp.com/globalSearch/SC65895PK259/page-1", "SC65895PK259")</f>
        <v>SC65895PK259</v>
      </c>
      <c r="B22525" s="3" t="str">
        <f>HYPERLINK("https://www.773grp.com/manufacturer/onsemi?pageNo=349", "ON Semiconductor")</f>
        <v>ON Semiconductor</v>
      </c>
      <c r="C22525" s="6">
        <v>216</v>
      </c>
      <c r="D22525" s="7">
        <v>0</v>
      </c>
    </row>
    <row r="22526" spans="1:4" x14ac:dyDescent="0.25">
      <c r="A22526" t="str">
        <f>HYPERLINK("https://www.773grp.com/globalSearch/SC65895PK298/page-1", "SC65895PK298")</f>
        <v>SC65895PK298</v>
      </c>
      <c r="B22526" s="3" t="str">
        <f>HYPERLINK("https://www.773grp.com/manufacturer/onsemi?pageNo=350", "ON Semiconductor")</f>
        <v>ON Semiconductor</v>
      </c>
      <c r="C22526" s="6">
        <v>125</v>
      </c>
      <c r="D22526" s="7">
        <v>0</v>
      </c>
    </row>
    <row r="22527" spans="1:4" x14ac:dyDescent="0.25">
      <c r="A22527" t="str">
        <f>HYPERLINK("https://www.773grp.com/globalSearch/SC65895PK373/page-1", "SC65895PK373")</f>
        <v>SC65895PK373</v>
      </c>
      <c r="B22527" s="3" t="str">
        <f>HYPERLINK("https://www.773grp.com/manufacturer/onsemi?pageNo=351", "ON Semiconductor")</f>
        <v>ON Semiconductor</v>
      </c>
      <c r="C22527" s="6">
        <v>2718</v>
      </c>
      <c r="D22527" s="7">
        <v>0</v>
      </c>
    </row>
    <row r="22528" spans="1:4" x14ac:dyDescent="0.25">
      <c r="A22528" t="str">
        <f>HYPERLINK("https://www.773grp.com/globalSearch/SC65895PK374/page-1", "SC65895PK374")</f>
        <v>SC65895PK374</v>
      </c>
      <c r="B22528" s="3" t="str">
        <f>HYPERLINK("https://www.773grp.com/manufacturer/onsemi?pageNo=352", "ON Semiconductor")</f>
        <v>ON Semiconductor</v>
      </c>
      <c r="C22528" s="6">
        <v>2520</v>
      </c>
      <c r="D22528" s="7">
        <v>0</v>
      </c>
    </row>
    <row r="22529" spans="1:4" x14ac:dyDescent="0.25">
      <c r="A22529" t="str">
        <f>HYPERLINK("https://www.773grp.com/globalSearch/SC65895PK399/page-1", "SC65895PK399")</f>
        <v>SC65895PK399</v>
      </c>
      <c r="B22529" s="3" t="str">
        <f>HYPERLINK("https://www.773grp.com/manufacturer/onsemi?pageNo=353", "ON Semiconductor")</f>
        <v>ON Semiconductor</v>
      </c>
      <c r="C22529" s="6">
        <v>20500</v>
      </c>
      <c r="D22529" s="7">
        <v>0</v>
      </c>
    </row>
    <row r="22530" spans="1:4" x14ac:dyDescent="0.25">
      <c r="A22530" t="str">
        <f>HYPERLINK("https://www.773grp.com/globalSearch/SC65895PK85/page-1", "SC65895PK85")</f>
        <v>SC65895PK85</v>
      </c>
      <c r="B22530" s="3" t="str">
        <f>HYPERLINK("https://www.773grp.com/manufacturer/onsemi?pageNo=354", "ON Semiconductor")</f>
        <v>ON Semiconductor</v>
      </c>
      <c r="C22530" s="6">
        <v>550</v>
      </c>
      <c r="D22530" s="7">
        <v>0</v>
      </c>
    </row>
    <row r="22531" spans="1:4" x14ac:dyDescent="0.25">
      <c r="A22531" t="str">
        <f>HYPERLINK("https://www.773grp.com/globalSearch/SC65896DW240R2/page-1", "SC65896DW240R2")</f>
        <v>SC65896DW240R2</v>
      </c>
      <c r="B22531" s="3" t="str">
        <f>HYPERLINK("https://www.773grp.com/manufacturer/onsemi?pageNo=355", "ON Semiconductor")</f>
        <v>ON Semiconductor</v>
      </c>
      <c r="C22531" s="6">
        <v>57000</v>
      </c>
      <c r="D22531" s="7">
        <v>0</v>
      </c>
    </row>
    <row r="22532" spans="1:4" x14ac:dyDescent="0.25">
      <c r="A22532" t="str">
        <f>HYPERLINK("https://www.773grp.com/globalSearch/SC65896DW244R2/page-1", "SC65896DW244R2")</f>
        <v>SC65896DW244R2</v>
      </c>
      <c r="B22532" s="3" t="str">
        <f>HYPERLINK("https://www.773grp.com/manufacturer/onsemi?pageNo=356", "ON Semiconductor")</f>
        <v>ON Semiconductor</v>
      </c>
      <c r="C22532" s="6">
        <v>1000</v>
      </c>
      <c r="D22532" s="7">
        <v>0</v>
      </c>
    </row>
    <row r="22533" spans="1:4" x14ac:dyDescent="0.25">
      <c r="A22533" t="str">
        <f>HYPERLINK("https://www.773grp.com/globalSearch/SC65899LK138/page-1", "SC65899LK138")</f>
        <v>SC65899LK138</v>
      </c>
      <c r="B22533" s="3" t="str">
        <f>HYPERLINK("https://www.773grp.com/manufacturer/onsemi?pageNo=357", "ON Semiconductor")</f>
        <v>ON Semiconductor</v>
      </c>
      <c r="C22533" s="6">
        <v>13120</v>
      </c>
      <c r="D22533" s="7">
        <v>0</v>
      </c>
    </row>
    <row r="22534" spans="1:4" x14ac:dyDescent="0.25">
      <c r="A22534" t="str">
        <f>HYPERLINK("https://www.773grp.com/globalSearch/SC65938FN640R2/page-1", "SC65938FN640R2")</f>
        <v>SC65938FN640R2</v>
      </c>
      <c r="B22534" s="3" t="str">
        <f>HYPERLINK("https://www.773grp.com/manufacturer/onsemi?pageNo=358", "ON Semiconductor")</f>
        <v>ON Semiconductor</v>
      </c>
      <c r="C22534" s="6">
        <v>11500</v>
      </c>
      <c r="D22534" s="7">
        <v>0</v>
      </c>
    </row>
    <row r="22535" spans="1:4" x14ac:dyDescent="0.25">
      <c r="A22535" t="str">
        <f>HYPERLINK("https://www.773grp.com/globalSearch/SC68253LK081/page-1", "SC68253LK081")</f>
        <v>SC68253LK081</v>
      </c>
      <c r="B22535" s="3" t="str">
        <f>HYPERLINK("https://www.773grp.com/manufacturer/onsemi?pageNo=359", "ON Semiconductor")</f>
        <v>ON Semiconductor</v>
      </c>
      <c r="C22535" s="6">
        <v>440</v>
      </c>
      <c r="D22535" s="7">
        <v>0</v>
      </c>
    </row>
    <row r="22536" spans="1:4" x14ac:dyDescent="0.25">
      <c r="A22536" t="str">
        <f>HYPERLINK("https://www.773grp.com/globalSearch/SC68254PK4538/page-1", "SC68254PK4538")</f>
        <v>SC68254PK4538</v>
      </c>
      <c r="B22536" s="3" t="str">
        <f>HYPERLINK("https://www.773grp.com/manufacturer/onsemi?pageNo=360", "ON Semiconductor")</f>
        <v>ON Semiconductor</v>
      </c>
      <c r="C22536" s="6">
        <v>3489</v>
      </c>
      <c r="D22536" s="7">
        <v>0</v>
      </c>
    </row>
    <row r="22537" spans="1:4" x14ac:dyDescent="0.25">
      <c r="A22537" t="str">
        <f>HYPERLINK("https://www.773grp.com/globalSearch/SC68255DWT373R2/page-1", "SC68255DWT373R2")</f>
        <v>SC68255DWT373R2</v>
      </c>
      <c r="B22537" s="3" t="str">
        <f>HYPERLINK("https://www.773grp.com/manufacturer/onsemi?pageNo=361", "ON Semiconductor")</f>
        <v>ON Semiconductor</v>
      </c>
      <c r="C22537" s="6">
        <v>16000</v>
      </c>
      <c r="D22537" s="7">
        <v>0</v>
      </c>
    </row>
    <row r="22538" spans="1:4" x14ac:dyDescent="0.25">
      <c r="A22538" t="str">
        <f>HYPERLINK("https://www.773grp.com/globalSearch/SC68285PK195A/page-1", "SC68285PK195A")</f>
        <v>SC68285PK195A</v>
      </c>
      <c r="B22538" s="3" t="str">
        <f>HYPERLINK("https://www.773grp.com/manufacturer/onsemi?pageNo=362", "ON Semiconductor")</f>
        <v>ON Semiconductor</v>
      </c>
      <c r="C22538" s="6">
        <v>13392</v>
      </c>
      <c r="D22538" s="7">
        <v>0</v>
      </c>
    </row>
    <row r="22539" spans="1:4" x14ac:dyDescent="0.25">
      <c r="A22539" t="str">
        <f>HYPERLINK("https://www.773grp.com/globalSearch/SC68285PK378/page-1", "SC68285PK378")</f>
        <v>SC68285PK378</v>
      </c>
      <c r="B22539" s="3" t="str">
        <f>HYPERLINK("https://www.773grp.com/manufacturer/onsemi?pageNo=363", "ON Semiconductor")</f>
        <v>ON Semiconductor</v>
      </c>
      <c r="C22539" s="6">
        <v>12000</v>
      </c>
      <c r="D22539" s="7">
        <v>0</v>
      </c>
    </row>
    <row r="22540" spans="1:4" x14ac:dyDescent="0.25">
      <c r="A22540" t="str">
        <f>HYPERLINK("https://www.773grp.com/globalSearch/SC74761D1R2/page-1", "SC74761D1R2")</f>
        <v>SC74761D1R2</v>
      </c>
      <c r="B22540" s="3" t="str">
        <f>HYPERLINK("https://www.773grp.com/manufacturer/onsemi?pageNo=364", "ON Semiconductor")</f>
        <v>ON Semiconductor</v>
      </c>
      <c r="C22540" s="6">
        <v>2500</v>
      </c>
      <c r="D22540" s="7">
        <v>0</v>
      </c>
    </row>
    <row r="22541" spans="1:4" x14ac:dyDescent="0.25">
      <c r="A22541" t="str">
        <f>HYPERLINK("https://www.773grp.com/globalSearch/SC74915DR2/page-1", "SC74915DR2")</f>
        <v>SC74915DR2</v>
      </c>
      <c r="B22541" s="3" t="str">
        <f>HYPERLINK("https://www.773grp.com/manufacturer/onsemi?pageNo=365", "ON Semiconductor")</f>
        <v>ON Semiconductor</v>
      </c>
      <c r="C22541" s="6">
        <v>5000</v>
      </c>
      <c r="D22541" s="7">
        <v>0</v>
      </c>
    </row>
    <row r="22542" spans="1:4" x14ac:dyDescent="0.25">
      <c r="A22542" t="str">
        <f>HYPERLINK("https://www.773grp.com/globalSearch/SC74LCX16245DTR2/page-1", "SC74LCX16245DTR2")</f>
        <v>SC74LCX16245DTR2</v>
      </c>
      <c r="B22542" s="3" t="str">
        <f>HYPERLINK("https://www.773grp.com/manufacturer/onsemi?pageNo=366", "ON Semiconductor")</f>
        <v>ON Semiconductor</v>
      </c>
      <c r="C22542" s="6">
        <v>1599</v>
      </c>
      <c r="D22542" s="7">
        <v>0</v>
      </c>
    </row>
    <row r="22543" spans="1:4" x14ac:dyDescent="0.25">
      <c r="A22543" t="str">
        <f>HYPERLINK("https://www.773grp.com/globalSearch/SC77699DR2/page-1", "SC77699DR2")</f>
        <v>SC77699DR2</v>
      </c>
      <c r="B22543" s="3" t="str">
        <f>HYPERLINK("https://www.773grp.com/manufacturer/onsemi?pageNo=367", "ON Semiconductor")</f>
        <v>ON Semiconductor</v>
      </c>
      <c r="C22543" s="6">
        <v>30000</v>
      </c>
      <c r="D22543" s="7">
        <v>0</v>
      </c>
    </row>
    <row r="22544" spans="1:4" x14ac:dyDescent="0.25">
      <c r="A22544" t="str">
        <f>HYPERLINK("https://www.773grp.com/globalSearch/SC78L12ABDR2/page-1", "SC78L12ABDR2")</f>
        <v>SC78L12ABDR2</v>
      </c>
      <c r="B22544" s="3" t="str">
        <f>HYPERLINK("https://www.773grp.com/manufacturer/onsemi?pageNo=368", "ON Semiconductor")</f>
        <v>ON Semiconductor</v>
      </c>
      <c r="C22544" s="6">
        <v>1141</v>
      </c>
      <c r="D22544" s="7">
        <v>0</v>
      </c>
    </row>
    <row r="22545" spans="1:4" x14ac:dyDescent="0.25">
      <c r="A22545" t="str">
        <f>HYPERLINK("https://www.773grp.com/globalSearch/SC79021P-001/page-1", "SC79021P-001")</f>
        <v>SC79021P-001</v>
      </c>
      <c r="B22545" s="3" t="str">
        <f>HYPERLINK("https://www.773grp.com/manufacturer/onsemi?pageNo=369", "ON Semiconductor")</f>
        <v>ON Semiconductor</v>
      </c>
      <c r="C22545" s="6">
        <v>4000</v>
      </c>
      <c r="D22545" s="7">
        <v>0</v>
      </c>
    </row>
    <row r="22546" spans="1:4" x14ac:dyDescent="0.25">
      <c r="A22546" t="str">
        <f>HYPERLINK("https://www.773grp.com/globalSearch/SC79055P/page-1", "SC79055P")</f>
        <v>SC79055P</v>
      </c>
      <c r="B22546" s="3" t="str">
        <f>HYPERLINK("https://www.773grp.com/manufacturer/onsemi?pageNo=370", "ON Semiconductor")</f>
        <v>ON Semiconductor</v>
      </c>
      <c r="C22546" s="6">
        <v>700</v>
      </c>
      <c r="D22546" s="7">
        <v>0</v>
      </c>
    </row>
    <row r="22547" spans="1:4" x14ac:dyDescent="0.25">
      <c r="A22547" t="str">
        <f>HYPERLINK("https://www.773grp.com/globalSearch/SC79128PK/page-1", "SC79128PK")</f>
        <v>SC79128PK</v>
      </c>
      <c r="B22547" s="3" t="str">
        <f>HYPERLINK("https://www.773grp.com/manufacturer/onsemi?pageNo=371", "ON Semiconductor")</f>
        <v>ON Semiconductor</v>
      </c>
      <c r="C22547" s="6">
        <v>1450</v>
      </c>
      <c r="D22547" s="7">
        <v>0</v>
      </c>
    </row>
    <row r="22548" spans="1:4" x14ac:dyDescent="0.25">
      <c r="A22548" t="str">
        <f>HYPERLINK("https://www.773grp.com/globalSearch/SC79147PK/page-1", "SC79147PK")</f>
        <v>SC79147PK</v>
      </c>
      <c r="B22548" s="3" t="str">
        <f>HYPERLINK("https://www.773grp.com/manufacturer/onsemi?pageNo=372", "ON Semiconductor")</f>
        <v>ON Semiconductor</v>
      </c>
      <c r="C22548" s="6">
        <v>52950</v>
      </c>
      <c r="D22548" s="7">
        <v>0</v>
      </c>
    </row>
    <row r="22549" spans="1:4" x14ac:dyDescent="0.25">
      <c r="A22549" t="str">
        <f>HYPERLINK("https://www.773grp.com/globalSearch/SC79173DR2/page-1", "SC79173DR2")</f>
        <v>SC79173DR2</v>
      </c>
      <c r="B22549" s="3" t="str">
        <f>HYPERLINK("https://www.773grp.com/manufacturer/onsemi?pageNo=373", "ON Semiconductor")</f>
        <v>ON Semiconductor</v>
      </c>
      <c r="C22549" s="6">
        <v>2500</v>
      </c>
      <c r="D22549" s="7">
        <v>0</v>
      </c>
    </row>
    <row r="22550" spans="1:4" x14ac:dyDescent="0.25">
      <c r="A22550" t="str">
        <f>HYPERLINK("https://www.773grp.com/globalSearch/SC79182DR2/page-1", "SC79182DR2")</f>
        <v>SC79182DR2</v>
      </c>
      <c r="B22550" s="3" t="str">
        <f>HYPERLINK("https://www.773grp.com/manufacturer/onsemi?pageNo=374", "ON Semiconductor")</f>
        <v>ON Semiconductor</v>
      </c>
      <c r="C22550" s="6">
        <v>5000</v>
      </c>
      <c r="D22550" s="7">
        <v>0</v>
      </c>
    </row>
    <row r="22551" spans="1:4" x14ac:dyDescent="0.25">
      <c r="A22551" t="str">
        <f>HYPERLINK("https://www.773grp.com/globalSearch/SC79192DWR2/page-1", "SC79192DWR2")</f>
        <v>SC79192DWR2</v>
      </c>
      <c r="B22551" s="3" t="str">
        <f>HYPERLINK("https://www.773grp.com/manufacturer/onsemi?pageNo=375", "ON Semiconductor")</f>
        <v>ON Semiconductor</v>
      </c>
      <c r="C22551" s="6">
        <v>1000</v>
      </c>
      <c r="D22551" s="7">
        <v>0</v>
      </c>
    </row>
    <row r="22552" spans="1:4" x14ac:dyDescent="0.25">
      <c r="A22552" t="str">
        <f>HYPERLINK("https://www.773grp.com/globalSearch/SC79975DR2/page-1", "SC79975DR2")</f>
        <v>SC79975DR2</v>
      </c>
      <c r="B22552" s="3" t="str">
        <f>HYPERLINK("https://www.773grp.com/manufacturer/onsemi?pageNo=376", "ON Semiconductor")</f>
        <v>ON Semiconductor</v>
      </c>
      <c r="C22552" s="6">
        <v>5000</v>
      </c>
      <c r="D22552" s="7">
        <v>0</v>
      </c>
    </row>
    <row r="22553" spans="1:4" x14ac:dyDescent="0.25">
      <c r="A22553" t="str">
        <f>HYPERLINK("https://www.773grp.com/globalSearch/SC901001DR2/page-1", "SC901001DR2")</f>
        <v>SC901001DR2</v>
      </c>
      <c r="B22553" s="3" t="str">
        <f>HYPERLINK("https://www.773grp.com/manufacturer/onsemi?pageNo=377", "ON Semiconductor")</f>
        <v>ON Semiconductor</v>
      </c>
      <c r="C22553" s="6">
        <v>15000</v>
      </c>
      <c r="D22553" s="7">
        <v>0</v>
      </c>
    </row>
    <row r="22554" spans="1:4" x14ac:dyDescent="0.25">
      <c r="A22554" t="str">
        <f>HYPERLINK("https://www.773grp.com/globalSearch/SC901013DR2G/page-1", "SC901013DR2G")</f>
        <v>SC901013DR2G</v>
      </c>
      <c r="B22554" s="3" t="str">
        <f>HYPERLINK("https://www.773grp.com/manufacturer/onsemi?pageNo=378", "ON Semiconductor")</f>
        <v>ON Semiconductor</v>
      </c>
      <c r="C22554" s="6">
        <v>25257</v>
      </c>
      <c r="D22554" s="7">
        <v>0</v>
      </c>
    </row>
    <row r="22555" spans="1:4" x14ac:dyDescent="0.25">
      <c r="A22555" t="str">
        <f>HYPERLINK("https://www.773grp.com/globalSearch/SC902103DMR2/page-1", "SC902103DMR2")</f>
        <v>SC902103DMR2</v>
      </c>
      <c r="B22555" s="3" t="str">
        <f>HYPERLINK("https://www.773grp.com/manufacturer/onsemi?pageNo=379", "ON Semiconductor")</f>
        <v>ON Semiconductor</v>
      </c>
      <c r="C22555" s="6">
        <v>212000</v>
      </c>
      <c r="D22555" s="7">
        <v>0</v>
      </c>
    </row>
    <row r="22556" spans="1:4" x14ac:dyDescent="0.25">
      <c r="A22556" t="str">
        <f>HYPERLINK("https://www.773grp.com/globalSearch/SC902106DMR2/page-1", "SC902106DMR2")</f>
        <v>SC902106DMR2</v>
      </c>
      <c r="B22556" s="3" t="str">
        <f>HYPERLINK("https://www.773grp.com/manufacturer/onsemi?pageNo=380", "ON Semiconductor")</f>
        <v>ON Semiconductor</v>
      </c>
      <c r="C22556" s="6">
        <v>124000</v>
      </c>
      <c r="D22556" s="7">
        <v>0</v>
      </c>
    </row>
    <row r="22557" spans="1:4" x14ac:dyDescent="0.25">
      <c r="A22557" t="str">
        <f>HYPERLINK("https://www.773grp.com/globalSearch/SCAS4684FCT1G/page-1", "SCAS4684FCT1G")</f>
        <v>SCAS4684FCT1G</v>
      </c>
      <c r="B22557" s="3" t="str">
        <f>HYPERLINK("https://www.773grp.com/manufacturer/onsemi?pageNo=381", "ON Semiconductor")</f>
        <v>ON Semiconductor</v>
      </c>
      <c r="C22557" s="6">
        <v>81000</v>
      </c>
      <c r="D22557" s="7">
        <v>0</v>
      </c>
    </row>
    <row r="22558" spans="1:4" x14ac:dyDescent="0.25">
      <c r="A22558" t="str">
        <f>HYPERLINK("https://www.773grp.com/globalSearch/SCD337BTG/page-1", "SCD337BTG")</f>
        <v>SCD337BTG</v>
      </c>
      <c r="B22558" s="3" t="str">
        <f>HYPERLINK("https://www.773grp.com/manufacturer/onsemi?pageNo=382", "ON Semiconductor")</f>
        <v>ON Semiconductor</v>
      </c>
      <c r="C22558" s="6">
        <v>3700</v>
      </c>
      <c r="D22558" s="7">
        <v>0</v>
      </c>
    </row>
    <row r="22559" spans="1:4" x14ac:dyDescent="0.25">
      <c r="A22559" t="str">
        <f>HYPERLINK("https://www.773grp.com/globalSearch/SCD7824BTG/page-1", "SCD7824BTG")</f>
        <v>SCD7824BTG</v>
      </c>
      <c r="B22559" s="3" t="str">
        <f>HYPERLINK("https://www.773grp.com/manufacturer/onsemi?pageNo=383", "ON Semiconductor")</f>
        <v>ON Semiconductor</v>
      </c>
      <c r="C22559" s="6">
        <v>2250</v>
      </c>
      <c r="D22559" s="7">
        <v>0</v>
      </c>
    </row>
    <row r="22560" spans="1:4" x14ac:dyDescent="0.25">
      <c r="A22560" t="str">
        <f>HYPERLINK("https://www.773grp.com/globalSearch/SCD7824CTG/page-1", "SCD7824CTG")</f>
        <v>SCD7824CTG</v>
      </c>
      <c r="B22560" s="3" t="str">
        <f>HYPERLINK("https://www.773grp.com/manufacturer/onsemi?pageNo=384", "ON Semiconductor")</f>
        <v>ON Semiconductor</v>
      </c>
      <c r="C22560" s="6">
        <v>9100</v>
      </c>
      <c r="D22560" s="7">
        <v>0</v>
      </c>
    </row>
    <row r="22561" spans="1:4" x14ac:dyDescent="0.25">
      <c r="A22561" t="str">
        <f>HYPERLINK("https://www.773grp.com/globalSearch/SCD7905ACTG/page-1", "SCD7905ACTG")</f>
        <v>SCD7905ACTG</v>
      </c>
      <c r="B22561" s="3" t="str">
        <f>HYPERLINK("https://www.773grp.com/manufacturer/onsemi?pageNo=385", "ON Semiconductor")</f>
        <v>ON Semiconductor</v>
      </c>
      <c r="C22561" s="6">
        <v>3700</v>
      </c>
      <c r="D22561" s="7">
        <v>0</v>
      </c>
    </row>
    <row r="22562" spans="1:4" x14ac:dyDescent="0.25">
      <c r="A22562" t="str">
        <f>HYPERLINK("https://www.773grp.com/globalSearch/SCD7912BTG/page-1", "SCD7912BTG")</f>
        <v>SCD7912BTG</v>
      </c>
      <c r="B22562" s="3" t="str">
        <f>HYPERLINK("https://www.773grp.com/manufacturer/onsemi?pageNo=386", "ON Semiconductor")</f>
        <v>ON Semiconductor</v>
      </c>
      <c r="C22562" s="6">
        <v>4850</v>
      </c>
      <c r="D22562" s="7">
        <v>0</v>
      </c>
    </row>
    <row r="22563" spans="1:4" x14ac:dyDescent="0.25">
      <c r="A22563" t="str">
        <f>HYPERLINK("https://www.773grp.com/globalSearch/SCH2819-TL-H/page-1", "SCH2819-TL-H")</f>
        <v>SCH2819-TL-H</v>
      </c>
      <c r="B22563" s="3" t="str">
        <f>HYPERLINK("https://www.773grp.com/manufacturer/onsemi?pageNo=387", "ON Semiconductor")</f>
        <v>ON Semiconductor</v>
      </c>
      <c r="C22563" s="6">
        <v>100000</v>
      </c>
      <c r="D22563" s="7">
        <v>0</v>
      </c>
    </row>
    <row r="22564" spans="1:4" x14ac:dyDescent="0.25">
      <c r="A22564" t="str">
        <f>HYPERLINK("https://www.773grp.com/globalSearch/SCH2830-TL-E/page-1", "SCH2830-TL-E")</f>
        <v>SCH2830-TL-E</v>
      </c>
      <c r="B22564" s="3" t="str">
        <f>HYPERLINK("https://www.773grp.com/manufacturer/onsemi?pageNo=388", "ON Semiconductor")</f>
        <v>ON Semiconductor</v>
      </c>
      <c r="C22564" s="6">
        <v>70000</v>
      </c>
      <c r="D22564" s="7">
        <v>0</v>
      </c>
    </row>
    <row r="22565" spans="1:4" x14ac:dyDescent="0.25">
      <c r="A22565" t="str">
        <f>HYPERLINK("https://www.773grp.com/globalSearch/SCP565MN330T2G/page-1", "SCP565MN330T2G")</f>
        <v>SCP565MN330T2G</v>
      </c>
      <c r="B22565" s="3" t="str">
        <f>HYPERLINK("https://www.773grp.com/manufacturer/onsemi?pageNo=389", "ON Semiconductor")</f>
        <v>ON Semiconductor</v>
      </c>
      <c r="C22565" s="6">
        <v>9000</v>
      </c>
      <c r="D22565" s="7">
        <v>0</v>
      </c>
    </row>
    <row r="22566" spans="1:4" x14ac:dyDescent="0.25">
      <c r="A22566" t="str">
        <f>HYPERLINK("https://www.773grp.com/globalSearch/SCR2167/page-1", "SCR2167")</f>
        <v>SCR2167</v>
      </c>
      <c r="B22566" s="3" t="str">
        <f>HYPERLINK("https://www.773grp.com/manufacturer/onsemi?pageNo=390", "ON Semiconductor")</f>
        <v>ON Semiconductor</v>
      </c>
      <c r="C22566" s="6">
        <v>46500</v>
      </c>
      <c r="D22566" s="7">
        <v>0</v>
      </c>
    </row>
    <row r="22567" spans="1:4" x14ac:dyDescent="0.25">
      <c r="A22567" t="str">
        <f>HYPERLINK("https://www.773grp.com/globalSearch/SCR22-6RLRP/page-1", "SCR22-6RLRP")</f>
        <v>SCR22-6RLRP</v>
      </c>
      <c r="B22567" s="3" t="str">
        <f>HYPERLINK("https://www.773grp.com/manufacturer/onsemi?pageNo=391", "ON Semiconductor")</f>
        <v>ON Semiconductor</v>
      </c>
      <c r="C22567" s="6">
        <v>66000</v>
      </c>
      <c r="D22567" s="7">
        <v>0</v>
      </c>
    </row>
    <row r="22568" spans="1:4" x14ac:dyDescent="0.25">
      <c r="A22568" t="str">
        <f>HYPERLINK("https://www.773grp.com/globalSearch/SCR5129G/page-1", "SCR5129G")</f>
        <v>SCR5129G</v>
      </c>
      <c r="B22568" s="3" t="str">
        <f>HYPERLINK("https://www.773grp.com/manufacturer/onsemi?pageNo=392", "ON Semiconductor")</f>
        <v>ON Semiconductor</v>
      </c>
      <c r="C22568" s="6">
        <v>32514</v>
      </c>
      <c r="D22568" s="7">
        <v>0</v>
      </c>
    </row>
    <row r="22569" spans="1:4" x14ac:dyDescent="0.25">
      <c r="A22569" t="str">
        <f>HYPERLINK("https://www.773grp.com/globalSearch/SCR5129SG/page-1", "SCR5129SG")</f>
        <v>SCR5129SG</v>
      </c>
      <c r="B22569" s="3" t="str">
        <f>HYPERLINK("https://www.773grp.com/manufacturer/onsemi?pageNo=393", "ON Semiconductor")</f>
        <v>ON Semiconductor</v>
      </c>
      <c r="C22569" s="6">
        <v>58000</v>
      </c>
      <c r="D22569" s="7">
        <v>0</v>
      </c>
    </row>
    <row r="22570" spans="1:4" x14ac:dyDescent="0.25">
      <c r="A22570" t="str">
        <f>HYPERLINK("https://www.773grp.com/globalSearch/SCR5290/page-1", "SCR5290")</f>
        <v>SCR5290</v>
      </c>
      <c r="B22570" s="3" t="str">
        <f>HYPERLINK("https://www.773grp.com/manufacturer/onsemi?pageNo=394", "ON Semiconductor")</f>
        <v>ON Semiconductor</v>
      </c>
      <c r="C22570" s="6">
        <v>65000</v>
      </c>
      <c r="D22570" s="7">
        <v>0</v>
      </c>
    </row>
    <row r="22571" spans="1:4" x14ac:dyDescent="0.25">
      <c r="A22571" t="str">
        <f>HYPERLINK("https://www.773grp.com/globalSearch/SCR888LFDZG/page-1", "SCR888LFDZG")</f>
        <v>SCR888LFDZG</v>
      </c>
      <c r="B22571" s="3" t="str">
        <f>HYPERLINK("https://www.773grp.com/manufacturer/onsemi?pageNo=395", "ON Semiconductor")</f>
        <v>ON Semiconductor</v>
      </c>
      <c r="C22571" s="6">
        <v>11550</v>
      </c>
      <c r="D22571" s="7">
        <v>0</v>
      </c>
    </row>
    <row r="22572" spans="1:4" x14ac:dyDescent="0.25">
      <c r="A22572" t="str">
        <f>HYPERLINK("https://www.773grp.com/globalSearch/SCT1008CMT3R2G/page-1", "SCT1008CMT3R2G")</f>
        <v>SCT1008CMT3R2G</v>
      </c>
      <c r="B22572" s="3" t="str">
        <f>HYPERLINK("https://www.773grp.com/manufacturer/onsemi?pageNo=396", "ON Semiconductor")</f>
        <v>ON Semiconductor</v>
      </c>
      <c r="C22572" s="6">
        <v>24000</v>
      </c>
      <c r="D22572" s="7">
        <v>0</v>
      </c>
    </row>
    <row r="22573" spans="1:4" x14ac:dyDescent="0.25">
      <c r="A22573" t="str">
        <f>HYPERLINK("https://www.773grp.com/globalSearch/SCV1117DT18T5G/page-1", "SCV1117DT18T5G")</f>
        <v>SCV1117DT18T5G</v>
      </c>
      <c r="B22573" s="3" t="str">
        <f>HYPERLINK("https://www.773grp.com/manufacturer/onsemi?pageNo=397", "ON Semiconductor")</f>
        <v>ON Semiconductor</v>
      </c>
      <c r="C22573" s="6">
        <v>2500</v>
      </c>
      <c r="D22573" s="7">
        <v>0</v>
      </c>
    </row>
    <row r="22574" spans="1:4" x14ac:dyDescent="0.25">
      <c r="A22574" t="str">
        <f>HYPERLINK("https://www.773grp.com/globalSearch/SCV303LSN36T1G/page-1", "SCV303LSN36T1G")</f>
        <v>SCV303LSN36T1G</v>
      </c>
      <c r="B22574" s="3" t="str">
        <f>HYPERLINK("https://www.773grp.com/manufacturer/onsemi?pageNo=398", "ON Semiconductor")</f>
        <v>ON Semiconductor</v>
      </c>
      <c r="C22574" s="6">
        <v>6000</v>
      </c>
      <c r="D22574" s="7">
        <v>0</v>
      </c>
    </row>
    <row r="22575" spans="1:4" x14ac:dyDescent="0.25">
      <c r="A22575" t="str">
        <f>HYPERLINK("https://www.773grp.com/globalSearch/SCY1009ZTR/page-1", "SCY1009ZTR")</f>
        <v>SCY1009ZTR</v>
      </c>
      <c r="B22575" s="3" t="str">
        <f>HYPERLINK("https://www.773grp.com/manufacturer/onsemi?pageNo=399", "ON Semiconductor")</f>
        <v>ON Semiconductor</v>
      </c>
      <c r="C22575" s="6">
        <v>224000</v>
      </c>
      <c r="D22575" s="7">
        <v>0</v>
      </c>
    </row>
    <row r="22576" spans="1:4" x14ac:dyDescent="0.25">
      <c r="A22576" t="str">
        <f>HYPERLINK("https://www.773grp.com/globalSearch/SCY99006AR2/page-1", "SCY99006AR2")</f>
        <v>SCY99006AR2</v>
      </c>
      <c r="B22576" s="3" t="str">
        <f>HYPERLINK("https://www.773grp.com/manufacturer/onsemi?pageNo=400", "ON Semiconductor")</f>
        <v>ON Semiconductor</v>
      </c>
      <c r="C22576" s="6">
        <v>10000</v>
      </c>
      <c r="D22576" s="7">
        <v>0</v>
      </c>
    </row>
    <row r="22577" spans="1:4" x14ac:dyDescent="0.25">
      <c r="A22577" t="str">
        <f>HYPERLINK("https://www.773grp.com/globalSearch/SCY99009PWP/page-1", "SCY99009PWP")</f>
        <v>SCY99009PWP</v>
      </c>
      <c r="B22577" s="3" t="str">
        <f>HYPERLINK("https://www.773grp.com/manufacturer/onsemi?pageNo=401", "ON Semiconductor")</f>
        <v>ON Semiconductor</v>
      </c>
      <c r="C22577" s="6">
        <v>2848</v>
      </c>
      <c r="D22577" s="7">
        <v>0</v>
      </c>
    </row>
    <row r="22578" spans="1:4" x14ac:dyDescent="0.25">
      <c r="A22578" t="str">
        <f>HYPERLINK("https://www.773grp.com/globalSearch/SCY99011DR2/page-1", "SCY99011DR2")</f>
        <v>SCY99011DR2</v>
      </c>
      <c r="B22578" s="3" t="str">
        <f>HYPERLINK("https://www.773grp.com/manufacturer/onsemi?pageNo=402", "ON Semiconductor")</f>
        <v>ON Semiconductor</v>
      </c>
      <c r="C22578" s="6">
        <v>2316</v>
      </c>
      <c r="D22578" s="7">
        <v>0</v>
      </c>
    </row>
    <row r="22579" spans="1:4" x14ac:dyDescent="0.25">
      <c r="A22579" t="str">
        <f>HYPERLINK("https://www.773grp.com/globalSearch/SCY99019AED16/page-1", "SCY99019AED16")</f>
        <v>SCY99019AED16</v>
      </c>
      <c r="B22579" s="3" t="str">
        <f>HYPERLINK("https://www.773grp.com/manufacturer/onsemi?pageNo=403", "ON Semiconductor")</f>
        <v>ON Semiconductor</v>
      </c>
      <c r="C22579" s="6">
        <v>2880</v>
      </c>
      <c r="D22579" s="7">
        <v>0</v>
      </c>
    </row>
    <row r="22580" spans="1:4" x14ac:dyDescent="0.25">
      <c r="A22580" t="str">
        <f>HYPERLINK("https://www.773grp.com/globalSearch/SCY99020ED16/page-1", "SCY99020ED16")</f>
        <v>SCY99020ED16</v>
      </c>
      <c r="B22580" s="3" t="str">
        <f>HYPERLINK("https://www.773grp.com/manufacturer/onsemi?pageNo=404", "ON Semiconductor")</f>
        <v>ON Semiconductor</v>
      </c>
      <c r="C22580" s="6">
        <v>1872</v>
      </c>
      <c r="D22580" s="7">
        <v>0</v>
      </c>
    </row>
    <row r="22581" spans="1:4" x14ac:dyDescent="0.25">
      <c r="A22581" t="str">
        <f>HYPERLINK("https://www.773grp.com/globalSearch/SCY99020ED16G/page-1", "SCY99020ED16G")</f>
        <v>SCY99020ED16G</v>
      </c>
      <c r="B22581" s="3" t="str">
        <f>HYPERLINK("https://www.773grp.com/manufacturer/onsemi?pageNo=405", "ON Semiconductor")</f>
        <v>ON Semiconductor</v>
      </c>
      <c r="C22581" s="6">
        <v>1872</v>
      </c>
      <c r="D22581" s="7">
        <v>0</v>
      </c>
    </row>
    <row r="22582" spans="1:4" x14ac:dyDescent="0.25">
      <c r="A22582" t="str">
        <f>HYPERLINK("https://www.773grp.com/globalSearch/SCY99020EDR16G/page-1", "SCY99020EDR16G")</f>
        <v>SCY99020EDR16G</v>
      </c>
      <c r="B22582" s="3" t="str">
        <f>HYPERLINK("https://www.773grp.com/manufacturer/onsemi?pageNo=406", "ON Semiconductor")</f>
        <v>ON Semiconductor</v>
      </c>
      <c r="C22582" s="6">
        <v>10000</v>
      </c>
      <c r="D22582" s="7">
        <v>0</v>
      </c>
    </row>
    <row r="22583" spans="1:4" x14ac:dyDescent="0.25">
      <c r="A22583" t="str">
        <f>HYPERLINK("https://www.773grp.com/globalSearch/SCY99022SNT1/page-1", "SCY99022SNT1")</f>
        <v>SCY99022SNT1</v>
      </c>
      <c r="B22583" s="3" t="str">
        <f>HYPERLINK("https://www.773grp.com/manufacturer/onsemi?pageNo=407", "ON Semiconductor")</f>
        <v>ON Semiconductor</v>
      </c>
      <c r="C22583" s="6">
        <v>3000</v>
      </c>
      <c r="D22583" s="7">
        <v>0</v>
      </c>
    </row>
    <row r="22584" spans="1:4" x14ac:dyDescent="0.25">
      <c r="A22584" t="str">
        <f>HYPERLINK("https://www.773grp.com/globalSearch/SCY99028DTBR2G/page-1", "SCY99028DTBR2G")</f>
        <v>SCY99028DTBR2G</v>
      </c>
      <c r="B22584" s="3" t="str">
        <f>HYPERLINK("https://www.773grp.com/manufacturer/onsemi?pageNo=408", "ON Semiconductor")</f>
        <v>ON Semiconductor</v>
      </c>
      <c r="C22584" s="6">
        <v>2179</v>
      </c>
      <c r="D22584" s="7">
        <v>0</v>
      </c>
    </row>
    <row r="22585" spans="1:4" x14ac:dyDescent="0.25">
      <c r="A22585" t="str">
        <f>HYPERLINK("https://www.773grp.com/globalSearch/SCY99028MUR2G/page-1", "SCY99028MUR2G")</f>
        <v>SCY99028MUR2G</v>
      </c>
      <c r="B22585" s="3" t="str">
        <f>HYPERLINK("https://www.773grp.com/manufacturer/onsemi?pageNo=409", "ON Semiconductor")</f>
        <v>ON Semiconductor</v>
      </c>
      <c r="C22585" s="6">
        <v>12167</v>
      </c>
      <c r="D22585" s="7">
        <v>0</v>
      </c>
    </row>
    <row r="22586" spans="1:4" x14ac:dyDescent="0.25">
      <c r="A22586" t="str">
        <f>HYPERLINK("https://www.773grp.com/globalSearch/SCY99030FN/page-1", "SCY99030FN")</f>
        <v>SCY99030FN</v>
      </c>
      <c r="B22586" s="3" t="str">
        <f>HYPERLINK("https://www.773grp.com/manufacturer/onsemi?pageNo=410", "ON Semiconductor")</f>
        <v>ON Semiconductor</v>
      </c>
      <c r="C22586" s="6">
        <v>1036</v>
      </c>
      <c r="D22586" s="7">
        <v>0</v>
      </c>
    </row>
    <row r="22587" spans="1:4" x14ac:dyDescent="0.25">
      <c r="A22587" t="str">
        <f>HYPERLINK("https://www.773grp.com/globalSearch/SCY99030FNR2/page-1", "SCY99030FNR2")</f>
        <v>SCY99030FNR2</v>
      </c>
      <c r="B22587" s="3" t="str">
        <f>HYPERLINK("https://www.773grp.com/manufacturer/onsemi?pageNo=411", "ON Semiconductor")</f>
        <v>ON Semiconductor</v>
      </c>
      <c r="C22587" s="6">
        <v>2000</v>
      </c>
      <c r="D22587" s="7">
        <v>0</v>
      </c>
    </row>
    <row r="22588" spans="1:4" x14ac:dyDescent="0.25">
      <c r="A22588" t="str">
        <f>HYPERLINK("https://www.773grp.com/globalSearch/SCY99035DWPR2G/page-1", "SCY99035DWPR2G")</f>
        <v>SCY99035DWPR2G</v>
      </c>
      <c r="B22588" s="3" t="str">
        <f>HYPERLINK("https://www.773grp.com/manufacturer/onsemi?pageNo=412", "ON Semiconductor")</f>
        <v>ON Semiconductor</v>
      </c>
      <c r="C22588" s="6">
        <v>146000</v>
      </c>
      <c r="D22588" s="7">
        <v>0</v>
      </c>
    </row>
    <row r="22589" spans="1:4" x14ac:dyDescent="0.25">
      <c r="A22589" t="str">
        <f>HYPERLINK("https://www.773grp.com/globalSearch/SCY99035PWPR2/page-1", "SCY99035PWPR2")</f>
        <v>SCY99035PWPR2</v>
      </c>
      <c r="B22589" s="3" t="str">
        <f>HYPERLINK("https://www.773grp.com/manufacturer/onsemi?pageNo=413", "ON Semiconductor")</f>
        <v>ON Semiconductor</v>
      </c>
      <c r="C22589" s="6">
        <v>1000</v>
      </c>
      <c r="D22589" s="7">
        <v>0</v>
      </c>
    </row>
    <row r="22590" spans="1:4" x14ac:dyDescent="0.25">
      <c r="A22590" t="str">
        <f>HYPERLINK("https://www.773grp.com/globalSearch/SCY99038BD1R2/page-1", "SCY99038BD1R2")</f>
        <v>SCY99038BD1R2</v>
      </c>
      <c r="B22590" s="3" t="str">
        <f>HYPERLINK("https://www.773grp.com/manufacturer/onsemi?pageNo=414", "ON Semiconductor")</f>
        <v>ON Semiconductor</v>
      </c>
      <c r="C22590" s="6">
        <v>2167</v>
      </c>
      <c r="D22590" s="7">
        <v>0</v>
      </c>
    </row>
    <row r="22591" spans="1:4" x14ac:dyDescent="0.25">
      <c r="A22591" t="str">
        <f>HYPERLINK("https://www.773grp.com/globalSearch/SCY99038BD1R2G/page-1", "SCY99038BD1R2G")</f>
        <v>SCY99038BD1R2G</v>
      </c>
      <c r="B22591" s="3" t="str">
        <f>HYPERLINK("https://www.773grp.com/manufacturer/onsemi?pageNo=415", "ON Semiconductor")</f>
        <v>ON Semiconductor</v>
      </c>
      <c r="C22591" s="6">
        <v>2500</v>
      </c>
      <c r="D22591" s="7">
        <v>0</v>
      </c>
    </row>
    <row r="22592" spans="1:4" x14ac:dyDescent="0.25">
      <c r="A22592" t="str">
        <f>HYPERLINK("https://www.773grp.com/globalSearch/SCY99039BVD/page-1", "SCY99039BVD")</f>
        <v>SCY99039BVD</v>
      </c>
      <c r="B22592" s="3" t="str">
        <f>HYPERLINK("https://www.773grp.com/manufacturer/onsemi?pageNo=416", "ON Semiconductor")</f>
        <v>ON Semiconductor</v>
      </c>
      <c r="C22592" s="6">
        <v>2585</v>
      </c>
      <c r="D22592" s="7">
        <v>0</v>
      </c>
    </row>
    <row r="22593" spans="1:4" x14ac:dyDescent="0.25">
      <c r="A22593" t="str">
        <f>HYPERLINK("https://www.773grp.com/globalSearch/SCY99040DTBR2/page-1", "SCY99040DTBR2")</f>
        <v>SCY99040DTBR2</v>
      </c>
      <c r="B22593" s="3" t="str">
        <f>HYPERLINK("https://www.773grp.com/manufacturer/onsemi?pageNo=417", "ON Semiconductor")</f>
        <v>ON Semiconductor</v>
      </c>
      <c r="C22593" s="6">
        <v>2500</v>
      </c>
      <c r="D22593" s="7">
        <v>0</v>
      </c>
    </row>
    <row r="22594" spans="1:4" x14ac:dyDescent="0.25">
      <c r="A22594" t="str">
        <f>HYPERLINK("https://www.773grp.com/globalSearch/SCY99041DWR2/page-1", "SCY99041DWR2")</f>
        <v>SCY99041DWR2</v>
      </c>
      <c r="B22594" s="3" t="str">
        <f>HYPERLINK("https://www.773grp.com/manufacturer/onsemi?pageNo=418", "ON Semiconductor")</f>
        <v>ON Semiconductor</v>
      </c>
      <c r="C22594" s="6">
        <v>251000</v>
      </c>
      <c r="D22594" s="7">
        <v>0</v>
      </c>
    </row>
    <row r="22595" spans="1:4" x14ac:dyDescent="0.25">
      <c r="A22595" t="str">
        <f>HYPERLINK("https://www.773grp.com/globalSearch/SCY99043DWPR2G/page-1", "SCY99043DWPR2G")</f>
        <v>SCY99043DWPR2G</v>
      </c>
      <c r="B22595" s="3" t="str">
        <f>HYPERLINK("https://www.773grp.com/manufacturer/onsemi?pageNo=419", "ON Semiconductor")</f>
        <v>ON Semiconductor</v>
      </c>
      <c r="C22595" s="6">
        <v>188492</v>
      </c>
      <c r="D22595" s="7">
        <v>0</v>
      </c>
    </row>
    <row r="22596" spans="1:4" x14ac:dyDescent="0.25">
      <c r="A22596" t="str">
        <f>HYPERLINK("https://www.773grp.com/globalSearch/SCY99051AP120EG/page-1", "SCY99051AP120EG")</f>
        <v>SCY99051AP120EG</v>
      </c>
      <c r="B22596" s="3" t="str">
        <f>HYPERLINK("https://www.773grp.com/manufacturer/onsemi?pageNo=420", "ON Semiconductor")</f>
        <v>ON Semiconductor</v>
      </c>
      <c r="C22596" s="6">
        <v>1000</v>
      </c>
      <c r="D22596" s="7">
        <v>0</v>
      </c>
    </row>
    <row r="22597" spans="1:4" x14ac:dyDescent="0.25">
      <c r="A22597" t="str">
        <f>HYPERLINK("https://www.773grp.com/globalSearch/SCY99052GD2TR4/page-1", "SCY99052GD2TR4")</f>
        <v>SCY99052GD2TR4</v>
      </c>
      <c r="B22597" s="3" t="str">
        <f>HYPERLINK("https://www.773grp.com/manufacturer/onsemi?pageNo=421", "ON Semiconductor")</f>
        <v>ON Semiconductor</v>
      </c>
      <c r="C22597" s="6">
        <v>29600</v>
      </c>
      <c r="D22597" s="7">
        <v>0</v>
      </c>
    </row>
    <row r="22598" spans="1:4" x14ac:dyDescent="0.25">
      <c r="A22598" t="str">
        <f>HYPERLINK("https://www.773grp.com/globalSearch/SCY99053DWPR2G/page-1", "SCY99053DWPR2G")</f>
        <v>SCY99053DWPR2G</v>
      </c>
      <c r="B22598" s="3" t="str">
        <f>HYPERLINK("https://www.773grp.com/manufacturer/onsemi?pageNo=422", "ON Semiconductor")</f>
        <v>ON Semiconductor</v>
      </c>
      <c r="C22598" s="6">
        <v>5800</v>
      </c>
      <c r="D22598" s="7">
        <v>0</v>
      </c>
    </row>
    <row r="22599" spans="1:4" x14ac:dyDescent="0.25">
      <c r="A22599" t="str">
        <f>HYPERLINK("https://www.773grp.com/globalSearch/SCY99054DR2G/page-1", "SCY99054DR2G")</f>
        <v>SCY99054DR2G</v>
      </c>
      <c r="B22599" s="3" t="str">
        <f>HYPERLINK("https://www.773grp.com/manufacturer/onsemi?pageNo=423", "ON Semiconductor")</f>
        <v>ON Semiconductor</v>
      </c>
      <c r="C22599" s="6">
        <v>2500</v>
      </c>
      <c r="D22599" s="7">
        <v>0</v>
      </c>
    </row>
    <row r="22600" spans="1:4" x14ac:dyDescent="0.25">
      <c r="A22600" t="str">
        <f>HYPERLINK("https://www.773grp.com/globalSearch/SCY99063D65R2G/page-1", "SCY99063D65R2G")</f>
        <v>SCY99063D65R2G</v>
      </c>
      <c r="B22600" s="3" t="str">
        <f>HYPERLINK("https://www.773grp.com/manufacturer/onsemi?pageNo=424", "ON Semiconductor")</f>
        <v>ON Semiconductor</v>
      </c>
      <c r="C22600" s="6">
        <v>2300</v>
      </c>
      <c r="D22600" s="7">
        <v>0</v>
      </c>
    </row>
    <row r="22601" spans="1:4" x14ac:dyDescent="0.25">
      <c r="A22601" t="str">
        <f>HYPERLINK("https://www.773grp.com/globalSearch/SCY99072D60R2G/page-1", "SCY99072D60R2G")</f>
        <v>SCY99072D60R2G</v>
      </c>
      <c r="B22601" s="3" t="str">
        <f>HYPERLINK("https://www.773grp.com/manufacturer/onsemi?pageNo=425", "ON Semiconductor")</f>
        <v>ON Semiconductor</v>
      </c>
      <c r="C22601" s="6">
        <v>3520</v>
      </c>
      <c r="D22601" s="7">
        <v>0</v>
      </c>
    </row>
    <row r="22602" spans="1:4" x14ac:dyDescent="0.25">
      <c r="A22602" t="str">
        <f>HYPERLINK("https://www.773grp.com/globalSearch/SCY99087BDR2G/page-1", "SCY99087BDR2G")</f>
        <v>SCY99087BDR2G</v>
      </c>
      <c r="B22602" s="3" t="str">
        <f>HYPERLINK("https://www.773grp.com/manufacturer/onsemi?pageNo=426", "ON Semiconductor")</f>
        <v>ON Semiconductor</v>
      </c>
      <c r="C22602" s="6">
        <v>151550</v>
      </c>
      <c r="D22602" s="7">
        <v>0</v>
      </c>
    </row>
    <row r="22603" spans="1:4" x14ac:dyDescent="0.25">
      <c r="A22603" t="str">
        <f>HYPERLINK("https://www.773grp.com/globalSearch/SCY99093DR2G/page-1", "SCY99093DR2G")</f>
        <v>SCY99093DR2G</v>
      </c>
      <c r="B22603" s="3" t="str">
        <f>HYPERLINK("https://www.773grp.com/manufacturer/onsemi?pageNo=427", "ON Semiconductor")</f>
        <v>ON Semiconductor</v>
      </c>
      <c r="C22603" s="6">
        <v>2300</v>
      </c>
      <c r="D22603" s="7">
        <v>0</v>
      </c>
    </row>
    <row r="22604" spans="1:4" x14ac:dyDescent="0.25">
      <c r="A22604" t="str">
        <f>HYPERLINK("https://www.773grp.com/globalSearch/SCY99094MUTB/page-1", "SCY99094MUTB")</f>
        <v>SCY99094MUTB</v>
      </c>
      <c r="B22604" s="3" t="str">
        <f>HYPERLINK("https://www.773grp.com/manufacturer/onsemi?pageNo=428", "ON Semiconductor")</f>
        <v>ON Semiconductor</v>
      </c>
      <c r="C22604" s="6">
        <v>6000</v>
      </c>
      <c r="D22604" s="7">
        <v>0</v>
      </c>
    </row>
    <row r="22605" spans="1:4" x14ac:dyDescent="0.25">
      <c r="A22605" t="str">
        <f>HYPERLINK("https://www.773grp.com/globalSearch/SCY99094MUTBG/page-1", "SCY99094MUTBG")</f>
        <v>SCY99094MUTBG</v>
      </c>
      <c r="B22605" s="3" t="str">
        <f>HYPERLINK("https://www.773grp.com/manufacturer/onsemi?pageNo=429", "ON Semiconductor")</f>
        <v>ON Semiconductor</v>
      </c>
      <c r="C22605" s="6">
        <v>162000</v>
      </c>
      <c r="D22605" s="7">
        <v>0</v>
      </c>
    </row>
    <row r="22606" spans="1:4" x14ac:dyDescent="0.25">
      <c r="A22606" t="str">
        <f>HYPERLINK("https://www.773grp.com/globalSearch/SCY991271D65R2G/page-1", "SCY991271D65R2G")</f>
        <v>SCY991271D65R2G</v>
      </c>
      <c r="B22606" s="3" t="str">
        <f>HYPERLINK("https://www.773grp.com/manufacturer/onsemi?pageNo=430", "ON Semiconductor")</f>
        <v>ON Semiconductor</v>
      </c>
      <c r="C22606" s="6">
        <v>17500</v>
      </c>
      <c r="D22606" s="7">
        <v>0</v>
      </c>
    </row>
    <row r="22607" spans="1:4" x14ac:dyDescent="0.25">
      <c r="A22607" t="str">
        <f>HYPERLINK("https://www.773grp.com/globalSearch/SCY991562CDR2G/page-1", "SCY991562CDR2G")</f>
        <v>SCY991562CDR2G</v>
      </c>
      <c r="B22607" s="3" t="str">
        <f>HYPERLINK("https://www.773grp.com/manufacturer/onsemi?pageNo=431", "ON Semiconductor")</f>
        <v>ON Semiconductor</v>
      </c>
      <c r="C22607" s="6">
        <v>2500</v>
      </c>
      <c r="D22607" s="7">
        <v>0</v>
      </c>
    </row>
    <row r="22608" spans="1:4" x14ac:dyDescent="0.25">
      <c r="A22608" t="str">
        <f>HYPERLINK("https://www.773grp.com/globalSearch/SCY994304DR2/page-1", "SCY994304DR2")</f>
        <v>SCY994304DR2</v>
      </c>
      <c r="B22608" s="3" t="str">
        <f>HYPERLINK("https://www.773grp.com/manufacturer/onsemi?pageNo=432", "ON Semiconductor")</f>
        <v>ON Semiconductor</v>
      </c>
      <c r="C22608" s="6">
        <v>2039</v>
      </c>
      <c r="D22608" s="7">
        <v>0</v>
      </c>
    </row>
    <row r="22609" spans="1:4" x14ac:dyDescent="0.25">
      <c r="A22609" t="str">
        <f>HYPERLINK("https://www.773grp.com/globalSearch/SCY994403DR2/page-1", "SCY994403DR2")</f>
        <v>SCY994403DR2</v>
      </c>
      <c r="B22609" s="3" t="str">
        <f>HYPERLINK("https://www.773grp.com/manufacturer/onsemi?pageNo=433", "ON Semiconductor")</f>
        <v>ON Semiconductor</v>
      </c>
      <c r="C22609" s="6">
        <v>27005</v>
      </c>
      <c r="D22609" s="7">
        <v>0</v>
      </c>
    </row>
    <row r="22610" spans="1:4" x14ac:dyDescent="0.25">
      <c r="A22610" t="str">
        <f>HYPERLINK("https://www.773grp.com/globalSearch/SCY994409DWR2/page-1", "SCY994409DWR2")</f>
        <v>SCY994409DWR2</v>
      </c>
      <c r="B22610" s="3" t="str">
        <f>HYPERLINK("https://www.773grp.com/manufacturer/onsemi?pageNo=434", "ON Semiconductor")</f>
        <v>ON Semiconductor</v>
      </c>
      <c r="C22610" s="6">
        <v>16000</v>
      </c>
      <c r="D22610" s="7">
        <v>0</v>
      </c>
    </row>
    <row r="22611" spans="1:4" x14ac:dyDescent="0.25">
      <c r="A22611" t="str">
        <f>HYPERLINK("https://www.773grp.com/globalSearch/SCY994409DWR2G/page-1", "SCY994409DWR2G")</f>
        <v>SCY994409DWR2G</v>
      </c>
      <c r="B22611" s="3" t="str">
        <f>HYPERLINK("https://www.773grp.com/manufacturer/onsemi?pageNo=435", "ON Semiconductor")</f>
        <v>ON Semiconductor</v>
      </c>
      <c r="C22611" s="6">
        <v>2000</v>
      </c>
      <c r="D22611" s="7">
        <v>0</v>
      </c>
    </row>
    <row r="22612" spans="1:4" x14ac:dyDescent="0.25">
      <c r="A22612" t="str">
        <f>HYPERLINK("https://www.773grp.com/globalSearch/SCY996805DWR2/page-1", "SCY996805DWR2")</f>
        <v>SCY996805DWR2</v>
      </c>
      <c r="B22612" s="3" t="str">
        <f>HYPERLINK("https://www.773grp.com/manufacturer/onsemi?pageNo=436", "ON Semiconductor")</f>
        <v>ON Semiconductor</v>
      </c>
      <c r="C22612" s="6">
        <v>328173</v>
      </c>
      <c r="D22612" s="7">
        <v>0</v>
      </c>
    </row>
    <row r="22613" spans="1:4" x14ac:dyDescent="0.25">
      <c r="A22613" t="str">
        <f>HYPERLINK("https://www.773grp.com/globalSearch/SCY996903AVDR2/page-1", "SCY996903AVDR2")</f>
        <v>SCY996903AVDR2</v>
      </c>
      <c r="B22613" s="3" t="str">
        <f>HYPERLINK("https://www.773grp.com/manufacturer/onsemi?pageNo=437", "ON Semiconductor")</f>
        <v>ON Semiconductor</v>
      </c>
      <c r="C22613" s="6">
        <v>2500</v>
      </c>
      <c r="D22613" s="7">
        <v>0</v>
      </c>
    </row>
    <row r="22614" spans="1:4" x14ac:dyDescent="0.25">
      <c r="A22614" t="str">
        <f>HYPERLINK("https://www.773grp.com/globalSearch/SCY996923DR2/page-1", "SCY996923DR2")</f>
        <v>SCY996923DR2</v>
      </c>
      <c r="B22614" s="3" t="str">
        <f>HYPERLINK("https://www.773grp.com/manufacturer/onsemi?pageNo=438", "ON Semiconductor")</f>
        <v>ON Semiconductor</v>
      </c>
      <c r="C22614" s="6">
        <v>5000</v>
      </c>
      <c r="D22614" s="7">
        <v>0</v>
      </c>
    </row>
    <row r="22615" spans="1:4" x14ac:dyDescent="0.25">
      <c r="A22615" t="str">
        <f>HYPERLINK("https://www.773grp.com/globalSearch/SCY996923DR2G/page-1", "SCY996923DR2G")</f>
        <v>SCY996923DR2G</v>
      </c>
      <c r="B22615" s="3" t="str">
        <f>HYPERLINK("https://www.773grp.com/manufacturer/onsemi?pageNo=439", "ON Semiconductor")</f>
        <v>ON Semiconductor</v>
      </c>
      <c r="C22615" s="6">
        <v>2146</v>
      </c>
      <c r="D22615" s="7">
        <v>0</v>
      </c>
    </row>
    <row r="22616" spans="1:4" x14ac:dyDescent="0.25">
      <c r="A22616" t="str">
        <f>HYPERLINK("https://www.773grp.com/globalSearch/SDAN222T1G/page-1", "SDAN222T1G")</f>
        <v>SDAN222T1G</v>
      </c>
      <c r="B22616" s="3" t="str">
        <f>HYPERLINK("https://www.773grp.com/manufacturer/onsemi?pageNo=440", "ON Semiconductor")</f>
        <v>ON Semiconductor</v>
      </c>
      <c r="C22616" s="6">
        <v>39000</v>
      </c>
      <c r="D22616" s="7">
        <v>0</v>
      </c>
    </row>
    <row r="22617" spans="1:4" x14ac:dyDescent="0.25">
      <c r="A22617" t="str">
        <f>HYPERLINK("https://www.773grp.com/globalSearch/SF05T1G/page-1", "SF05T1G")</f>
        <v>SF05T1G</v>
      </c>
      <c r="B22617" s="3" t="str">
        <f>HYPERLINK("https://www.773grp.com/manufacturer/onsemi?pageNo=441", "ON Semiconductor")</f>
        <v>ON Semiconductor</v>
      </c>
      <c r="C22617" s="6">
        <v>30000</v>
      </c>
      <c r="D22617" s="7">
        <v>0</v>
      </c>
    </row>
    <row r="22618" spans="1:4" x14ac:dyDescent="0.25">
      <c r="A22618" t="str">
        <f>HYPERLINK("https://www.773grp.com/globalSearch/SFT1305-TL-E/page-1", "SFT1305-TL-E")</f>
        <v>SFT1305-TL-E</v>
      </c>
      <c r="B22618" s="3" t="str">
        <f>HYPERLINK("https://www.773grp.com/manufacturer/onsemi?pageNo=442", "ON Semiconductor")</f>
        <v>ON Semiconductor</v>
      </c>
      <c r="C22618" s="6">
        <v>1400</v>
      </c>
      <c r="D22618" s="7">
        <v>0</v>
      </c>
    </row>
    <row r="22619" spans="1:4" x14ac:dyDescent="0.25">
      <c r="A22619" t="str">
        <f>HYPERLINK("https://www.773grp.com/globalSearch/SFX10R2/page-1", "SFX10R2")</f>
        <v>SFX10R2</v>
      </c>
      <c r="B22619" s="3" t="str">
        <f>HYPERLINK("https://www.773grp.com/manufacturer/onsemi?pageNo=443", "ON Semiconductor")</f>
        <v>ON Semiconductor</v>
      </c>
      <c r="C22619" s="6">
        <v>22500</v>
      </c>
      <c r="D22619" s="7">
        <v>0</v>
      </c>
    </row>
    <row r="22620" spans="1:4" x14ac:dyDescent="0.25">
      <c r="A22620" t="str">
        <f>HYPERLINK("https://www.773grp.com/globalSearch/SGD1062T4G/page-1", "SGD1062T4G")</f>
        <v>SGD1062T4G</v>
      </c>
      <c r="B22620" s="3" t="str">
        <f>HYPERLINK("https://www.773grp.com/manufacturer/onsemi?pageNo=444", "ON Semiconductor")</f>
        <v>ON Semiconductor</v>
      </c>
      <c r="C22620" s="6">
        <v>10000</v>
      </c>
      <c r="D22620" s="7">
        <v>0</v>
      </c>
    </row>
    <row r="22621" spans="1:4" x14ac:dyDescent="0.25">
      <c r="A22621" t="str">
        <f>HYPERLINK("https://www.773grp.com/globalSearch/SGF25-TR-E/page-1", "SGF25-TR-E")</f>
        <v>SGF25-TR-E</v>
      </c>
      <c r="B22621" s="3" t="str">
        <f>HYPERLINK("https://www.773grp.com/manufacturer/onsemi?pageNo=445", "ON Semiconductor")</f>
        <v>ON Semiconductor</v>
      </c>
      <c r="C22621" s="6">
        <v>12000</v>
      </c>
      <c r="D22621" s="7">
        <v>0</v>
      </c>
    </row>
    <row r="22622" spans="1:4" x14ac:dyDescent="0.25">
      <c r="A22622" t="str">
        <f>HYPERLINK("https://www.773grp.com/globalSearch/SGF34-TL-E/page-1", "SGF34-TL-E")</f>
        <v>SGF34-TL-E</v>
      </c>
      <c r="B22622" s="3" t="str">
        <f>HYPERLINK("https://www.773grp.com/manufacturer/onsemi?pageNo=446", "ON Semiconductor")</f>
        <v>ON Semiconductor</v>
      </c>
      <c r="C22622" s="6">
        <v>9000</v>
      </c>
      <c r="D22622" s="7">
        <v>0</v>
      </c>
    </row>
    <row r="22623" spans="1:4" x14ac:dyDescent="0.25">
      <c r="A22623" t="str">
        <f>HYPERLINK("https://www.773grp.com/globalSearch/SJ1824/page-1", "SJ1824")</f>
        <v>SJ1824</v>
      </c>
      <c r="B22623" s="3" t="str">
        <f>HYPERLINK("https://www.773grp.com/manufacturer/onsemi?pageNo=447", "ON Semiconductor")</f>
        <v>ON Semiconductor</v>
      </c>
      <c r="C22623" s="6">
        <v>360</v>
      </c>
      <c r="D22623" s="7">
        <v>0</v>
      </c>
    </row>
    <row r="22624" spans="1:4" x14ac:dyDescent="0.25">
      <c r="A22624" t="str">
        <f>HYPERLINK("https://www.773grp.com/globalSearch/SJ1825/page-1", "SJ1825")</f>
        <v>SJ1825</v>
      </c>
      <c r="B22624" s="3" t="str">
        <f>HYPERLINK("https://www.773grp.com/manufacturer/onsemi?pageNo=448", "ON Semiconductor")</f>
        <v>ON Semiconductor</v>
      </c>
      <c r="C22624" s="6">
        <v>484</v>
      </c>
      <c r="D22624" s="7">
        <v>0</v>
      </c>
    </row>
    <row r="22625" spans="1:4" x14ac:dyDescent="0.25">
      <c r="A22625" t="str">
        <f>HYPERLINK("https://www.773grp.com/globalSearch/SJ2657/page-1", "SJ2657")</f>
        <v>SJ2657</v>
      </c>
      <c r="B22625" s="3" t="str">
        <f>HYPERLINK("https://www.773grp.com/manufacturer/onsemi?pageNo=449", "ON Semiconductor")</f>
        <v>ON Semiconductor</v>
      </c>
      <c r="C22625" s="6">
        <v>100</v>
      </c>
      <c r="D22625" s="7">
        <v>0</v>
      </c>
    </row>
    <row r="22626" spans="1:4" x14ac:dyDescent="0.25">
      <c r="A22626" t="str">
        <f>HYPERLINK("https://www.773grp.com/globalSearch/SJ5842/page-1", "SJ5842")</f>
        <v>SJ5842</v>
      </c>
      <c r="B22626" s="3" t="str">
        <f>HYPERLINK("https://www.773grp.com/manufacturer/onsemi?pageNo=450", "ON Semiconductor")</f>
        <v>ON Semiconductor</v>
      </c>
      <c r="C22626" s="6">
        <v>300</v>
      </c>
      <c r="D22626" s="7">
        <v>0</v>
      </c>
    </row>
    <row r="22627" spans="1:4" x14ac:dyDescent="0.25">
      <c r="A22627" t="str">
        <f>HYPERLINK("https://www.773grp.com/globalSearch/SJ6425-001/page-1", "SJ6425-001")</f>
        <v>SJ6425-001</v>
      </c>
      <c r="B22627" s="3" t="str">
        <f>HYPERLINK("https://www.773grp.com/manufacturer/onsemi?pageNo=451", "ON Semiconductor")</f>
        <v>ON Semiconductor</v>
      </c>
      <c r="C22627" s="6">
        <v>200</v>
      </c>
      <c r="D22627" s="7">
        <v>0</v>
      </c>
    </row>
    <row r="22628" spans="1:4" x14ac:dyDescent="0.25">
      <c r="A22628" t="str">
        <f>HYPERLINK("https://www.773grp.com/globalSearch/SJ6521A/page-1", "SJ6521A")</f>
        <v>SJ6521A</v>
      </c>
      <c r="B22628" s="3" t="str">
        <f>HYPERLINK("https://www.773grp.com/manufacturer/onsemi?pageNo=452", "ON Semiconductor")</f>
        <v>ON Semiconductor</v>
      </c>
      <c r="C22628" s="6">
        <v>200</v>
      </c>
      <c r="D22628" s="7">
        <v>0</v>
      </c>
    </row>
    <row r="22629" spans="1:4" x14ac:dyDescent="0.25">
      <c r="A22629" t="str">
        <f>HYPERLINK("https://www.773grp.com/globalSearch/SJ6522AG/page-1", "SJ6522AG")</f>
        <v>SJ6522AG</v>
      </c>
      <c r="B22629" s="3" t="str">
        <f>HYPERLINK("https://www.773grp.com/manufacturer/onsemi?pageNo=453", "ON Semiconductor")</f>
        <v>ON Semiconductor</v>
      </c>
      <c r="C22629" s="6">
        <v>1550</v>
      </c>
      <c r="D22629" s="7">
        <v>0</v>
      </c>
    </row>
    <row r="22630" spans="1:4" x14ac:dyDescent="0.25">
      <c r="A22630" t="str">
        <f>HYPERLINK("https://www.773grp.com/globalSearch/SJ73180/page-1", "SJ73180")</f>
        <v>SJ73180</v>
      </c>
      <c r="B22630" s="3" t="str">
        <f>HYPERLINK("https://www.773grp.com/manufacturer/onsemi?pageNo=454", "ON Semiconductor")</f>
        <v>ON Semiconductor</v>
      </c>
      <c r="C22630" s="6">
        <v>600</v>
      </c>
      <c r="D22630" s="7">
        <v>0</v>
      </c>
    </row>
    <row r="22631" spans="1:4" x14ac:dyDescent="0.25">
      <c r="A22631" t="str">
        <f>HYPERLINK("https://www.773grp.com/globalSearch/SJB1001T4G/page-1", "SJB1001T4G")</f>
        <v>SJB1001T4G</v>
      </c>
      <c r="B22631" s="3" t="str">
        <f>HYPERLINK("https://www.773grp.com/manufacturer/onsemi?pageNo=455", "ON Semiconductor")</f>
        <v>ON Semiconductor</v>
      </c>
      <c r="C22631" s="6">
        <v>4800</v>
      </c>
      <c r="D22631" s="7">
        <v>0</v>
      </c>
    </row>
    <row r="22632" spans="1:4" x14ac:dyDescent="0.25">
      <c r="A22632" t="str">
        <f>HYPERLINK("https://www.773grp.com/globalSearch/SJB42C/page-1", "SJB42C")</f>
        <v>SJB42C</v>
      </c>
      <c r="B22632" s="3" t="str">
        <f>HYPERLINK("https://www.773grp.com/manufacturer/onsemi?pageNo=456", "ON Semiconductor")</f>
        <v>ON Semiconductor</v>
      </c>
      <c r="C22632" s="6">
        <v>1550</v>
      </c>
      <c r="D22632" s="7">
        <v>0</v>
      </c>
    </row>
    <row r="22633" spans="1:4" x14ac:dyDescent="0.25">
      <c r="A22633" t="str">
        <f>HYPERLINK("https://www.773grp.com/globalSearch/SJB42CT4/page-1", "SJB42CT4")</f>
        <v>SJB42CT4</v>
      </c>
      <c r="B22633" s="3" t="str">
        <f>HYPERLINK("https://www.773grp.com/manufacturer/onsemi?pageNo=457", "ON Semiconductor")</f>
        <v>ON Semiconductor</v>
      </c>
      <c r="C22633" s="6">
        <v>16000</v>
      </c>
      <c r="D22633" s="7">
        <v>0</v>
      </c>
    </row>
    <row r="22634" spans="1:4" x14ac:dyDescent="0.25">
      <c r="A22634" t="str">
        <f>HYPERLINK("https://www.773grp.com/globalSearch/SJC4196FP/page-1", "SJC4196FP")</f>
        <v>SJC4196FP</v>
      </c>
      <c r="B22634" s="3" t="str">
        <f>HYPERLINK("https://www.773grp.com/manufacturer/onsemi?pageNo=458", "ON Semiconductor")</f>
        <v>ON Semiconductor</v>
      </c>
      <c r="C22634" s="6">
        <v>69156</v>
      </c>
      <c r="D22634" s="7">
        <v>0</v>
      </c>
    </row>
    <row r="22635" spans="1:4" x14ac:dyDescent="0.25">
      <c r="A22635" t="str">
        <f>HYPERLINK("https://www.773grp.com/globalSearch/SJD1003T4/page-1", "SJD1003T4")</f>
        <v>SJD1003T4</v>
      </c>
      <c r="B22635" s="3" t="str">
        <f>HYPERLINK("https://www.773grp.com/manufacturer/onsemi?pageNo=459", "ON Semiconductor")</f>
        <v>ON Semiconductor</v>
      </c>
      <c r="C22635" s="6">
        <v>2500</v>
      </c>
      <c r="D22635" s="7">
        <v>0</v>
      </c>
    </row>
    <row r="22636" spans="1:4" x14ac:dyDescent="0.25">
      <c r="A22636" t="str">
        <f>HYPERLINK("https://www.773grp.com/globalSearch/SJD1006RL/page-1", "SJD1006RL")</f>
        <v>SJD1006RL</v>
      </c>
      <c r="B22636" s="3" t="str">
        <f>HYPERLINK("https://www.773grp.com/manufacturer/onsemi?pageNo=460", "ON Semiconductor")</f>
        <v>ON Semiconductor</v>
      </c>
      <c r="C22636" s="6">
        <v>3600</v>
      </c>
      <c r="D22636" s="7">
        <v>0</v>
      </c>
    </row>
    <row r="22637" spans="1:4" x14ac:dyDescent="0.25">
      <c r="A22637" t="str">
        <f>HYPERLINK("https://www.773grp.com/globalSearch/SJD1009T4/page-1", "SJD1009T4")</f>
        <v>SJD1009T4</v>
      </c>
      <c r="B22637" s="3" t="str">
        <f>HYPERLINK("https://www.773grp.com/manufacturer/onsemi?pageNo=461", "ON Semiconductor")</f>
        <v>ON Semiconductor</v>
      </c>
      <c r="C22637" s="6">
        <v>12500</v>
      </c>
      <c r="D22637" s="7">
        <v>0</v>
      </c>
    </row>
    <row r="22638" spans="1:4" x14ac:dyDescent="0.25">
      <c r="A22638" t="str">
        <f>HYPERLINK("https://www.773grp.com/globalSearch/SJD1018RL/page-1", "SJD1018RL")</f>
        <v>SJD1018RL</v>
      </c>
      <c r="B22638" s="3" t="str">
        <f>HYPERLINK("https://www.773grp.com/manufacturer/onsemi?pageNo=462", "ON Semiconductor")</f>
        <v>ON Semiconductor</v>
      </c>
      <c r="C22638" s="6">
        <v>3600</v>
      </c>
      <c r="D22638" s="7">
        <v>0</v>
      </c>
    </row>
    <row r="22639" spans="1:4" x14ac:dyDescent="0.25">
      <c r="A22639" t="str">
        <f>HYPERLINK("https://www.773grp.com/globalSearch/SJD1030-001/page-1", "SJD1030-001")</f>
        <v>SJD1030-001</v>
      </c>
      <c r="B22639" s="3" t="str">
        <f>HYPERLINK("https://www.773grp.com/manufacturer/onsemi?pageNo=463", "ON Semiconductor")</f>
        <v>ON Semiconductor</v>
      </c>
      <c r="C22639" s="6">
        <v>2250</v>
      </c>
      <c r="D22639" s="7">
        <v>0</v>
      </c>
    </row>
    <row r="22640" spans="1:4" x14ac:dyDescent="0.25">
      <c r="A22640" t="str">
        <f>HYPERLINK("https://www.773grp.com/globalSearch/SJD1031T4/page-1", "SJD1031T4")</f>
        <v>SJD1031T4</v>
      </c>
      <c r="B22640" s="3" t="str">
        <f>HYPERLINK("https://www.773grp.com/manufacturer/onsemi?pageNo=464", "ON Semiconductor")</f>
        <v>ON Semiconductor</v>
      </c>
      <c r="C22640" s="6">
        <v>12500</v>
      </c>
      <c r="D22640" s="7">
        <v>0</v>
      </c>
    </row>
    <row r="22641" spans="1:4" x14ac:dyDescent="0.25">
      <c r="A22641" t="str">
        <f>HYPERLINK("https://www.773grp.com/globalSearch/SJD1040T4/page-1", "SJD1040T4")</f>
        <v>SJD1040T4</v>
      </c>
      <c r="B22641" s="3" t="str">
        <f>HYPERLINK("https://www.773grp.com/manufacturer/onsemi?pageNo=465", "ON Semiconductor")</f>
        <v>ON Semiconductor</v>
      </c>
      <c r="C22641" s="6">
        <v>5000</v>
      </c>
      <c r="D22641" s="7">
        <v>0</v>
      </c>
    </row>
    <row r="22642" spans="1:4" x14ac:dyDescent="0.25">
      <c r="A22642" t="str">
        <f>HYPERLINK("https://www.773grp.com/globalSearch/SJD31CT4/page-1", "SJD31CT4")</f>
        <v>SJD31CT4</v>
      </c>
      <c r="B22642" s="3" t="str">
        <f>HYPERLINK("https://www.773grp.com/manufacturer/onsemi?pageNo=466", "ON Semiconductor")</f>
        <v>ON Semiconductor</v>
      </c>
      <c r="C22642" s="6">
        <v>12500</v>
      </c>
      <c r="D22642" s="7">
        <v>0</v>
      </c>
    </row>
    <row r="22643" spans="1:4" x14ac:dyDescent="0.25">
      <c r="A22643" t="str">
        <f>HYPERLINK("https://www.773grp.com/globalSearch/SJD4080RL/page-1", "SJD4080RL")</f>
        <v>SJD4080RL</v>
      </c>
      <c r="B22643" s="3" t="str">
        <f>HYPERLINK("https://www.773grp.com/manufacturer/onsemi?pageNo=467", "ON Semiconductor")</f>
        <v>ON Semiconductor</v>
      </c>
      <c r="C22643" s="6">
        <v>16200</v>
      </c>
      <c r="D22643" s="7">
        <v>0</v>
      </c>
    </row>
    <row r="22644" spans="1:4" x14ac:dyDescent="0.25">
      <c r="A22644" t="str">
        <f>HYPERLINK("https://www.773grp.com/globalSearch/SJD42CT4G/page-1", "SJD42CT4G")</f>
        <v>SJD42CT4G</v>
      </c>
      <c r="B22644" s="3" t="str">
        <f>HYPERLINK("https://www.773grp.com/manufacturer/onsemi?pageNo=468", "ON Semiconductor")</f>
        <v>ON Semiconductor</v>
      </c>
      <c r="C22644" s="6">
        <v>5000</v>
      </c>
      <c r="D22644" s="7">
        <v>0</v>
      </c>
    </row>
    <row r="22645" spans="1:4" x14ac:dyDescent="0.25">
      <c r="A22645" t="str">
        <f>HYPERLINK("https://www.773grp.com/globalSearch/SJE1331-005/page-1", "SJE1331-005")</f>
        <v>SJE1331-005</v>
      </c>
      <c r="B22645" s="3" t="str">
        <f>HYPERLINK("https://www.773grp.com/manufacturer/onsemi?pageNo=469", "ON Semiconductor")</f>
        <v>ON Semiconductor</v>
      </c>
      <c r="C22645" s="6">
        <v>4550</v>
      </c>
      <c r="D22645" s="7">
        <v>0</v>
      </c>
    </row>
    <row r="22646" spans="1:4" x14ac:dyDescent="0.25">
      <c r="A22646" t="str">
        <f>HYPERLINK("https://www.773grp.com/globalSearch/SJE1397/page-1", "SJE1397")</f>
        <v>SJE1397</v>
      </c>
      <c r="B22646" s="3" t="str">
        <f>HYPERLINK("https://www.773grp.com/manufacturer/onsemi?pageNo=470", "ON Semiconductor")</f>
        <v>ON Semiconductor</v>
      </c>
      <c r="C22646" s="6">
        <v>2250</v>
      </c>
      <c r="D22646" s="7">
        <v>0</v>
      </c>
    </row>
    <row r="22647" spans="1:4" x14ac:dyDescent="0.25">
      <c r="A22647" t="str">
        <f>HYPERLINK("https://www.773grp.com/globalSearch/SJE151/page-1", "SJE151")</f>
        <v>SJE151</v>
      </c>
      <c r="B22647" s="3" t="str">
        <f>HYPERLINK("https://www.773grp.com/manufacturer/onsemi?pageNo=471", "ON Semiconductor")</f>
        <v>ON Semiconductor</v>
      </c>
      <c r="C22647" s="6">
        <v>500</v>
      </c>
      <c r="D22647" s="7">
        <v>0</v>
      </c>
    </row>
    <row r="22648" spans="1:4" x14ac:dyDescent="0.25">
      <c r="A22648" t="str">
        <f>HYPERLINK("https://www.773grp.com/globalSearch/SJE1516LFDR/page-1", "SJE1516LFDR")</f>
        <v>SJE1516LFDR</v>
      </c>
      <c r="B22648" s="3" t="str">
        <f>HYPERLINK("https://www.773grp.com/manufacturer/onsemi?pageNo=472", "ON Semiconductor")</f>
        <v>ON Semiconductor</v>
      </c>
      <c r="C22648" s="6">
        <v>350</v>
      </c>
      <c r="D22648" s="7">
        <v>0</v>
      </c>
    </row>
    <row r="22649" spans="1:4" x14ac:dyDescent="0.25">
      <c r="A22649" t="str">
        <f>HYPERLINK("https://www.773grp.com/globalSearch/SJE1525LFCA/page-1", "SJE1525LFCA")</f>
        <v>SJE1525LFCA</v>
      </c>
      <c r="B22649" s="3" t="str">
        <f>HYPERLINK("https://www.773grp.com/manufacturer/onsemi?pageNo=473", "ON Semiconductor")</f>
        <v>ON Semiconductor</v>
      </c>
      <c r="C22649" s="6">
        <v>3107</v>
      </c>
      <c r="D22649" s="7">
        <v>0</v>
      </c>
    </row>
    <row r="22650" spans="1:4" x14ac:dyDescent="0.25">
      <c r="A22650" t="str">
        <f>HYPERLINK("https://www.773grp.com/globalSearch/SJE2865LF/page-1", "SJE2865LF")</f>
        <v>SJE2865LF</v>
      </c>
      <c r="B22650" s="3" t="str">
        <f>HYPERLINK("https://www.773grp.com/manufacturer/onsemi?pageNo=474", "ON Semiconductor")</f>
        <v>ON Semiconductor</v>
      </c>
      <c r="C22650" s="6">
        <v>1300</v>
      </c>
      <c r="D22650" s="7">
        <v>0</v>
      </c>
    </row>
    <row r="22651" spans="1:4" x14ac:dyDescent="0.25">
      <c r="A22651" t="str">
        <f>HYPERLINK("https://www.773grp.com/globalSearch/SJE2870LFDC/page-1", "SJE2870LFDC")</f>
        <v>SJE2870LFDC</v>
      </c>
      <c r="B22651" s="3" t="str">
        <f>HYPERLINK("https://www.773grp.com/manufacturer/onsemi?pageNo=475", "ON Semiconductor")</f>
        <v>ON Semiconductor</v>
      </c>
      <c r="C22651" s="6">
        <v>77</v>
      </c>
      <c r="D22651" s="7">
        <v>0</v>
      </c>
    </row>
    <row r="22652" spans="1:4" x14ac:dyDescent="0.25">
      <c r="A22652" t="str">
        <f>HYPERLINK("https://www.773grp.com/globalSearch/SJE2903FT/page-1", "SJE2903FT")</f>
        <v>SJE2903FT</v>
      </c>
      <c r="B22652" s="3" t="str">
        <f>HYPERLINK("https://www.773grp.com/manufacturer/onsemi?pageNo=476", "ON Semiconductor")</f>
        <v>ON Semiconductor</v>
      </c>
      <c r="C22652" s="6">
        <v>1850</v>
      </c>
      <c r="D22652" s="7">
        <v>0</v>
      </c>
    </row>
    <row r="22653" spans="1:4" x14ac:dyDescent="0.25">
      <c r="A22653" t="str">
        <f>HYPERLINK("https://www.773grp.com/globalSearch/SJE2904T/page-1", "SJE2904T")</f>
        <v>SJE2904T</v>
      </c>
      <c r="B22653" s="3" t="str">
        <f>HYPERLINK("https://www.773grp.com/manufacturer/onsemi?pageNo=477", "ON Semiconductor")</f>
        <v>ON Semiconductor</v>
      </c>
      <c r="C22653" s="6">
        <v>1850</v>
      </c>
      <c r="D22653" s="7">
        <v>0</v>
      </c>
    </row>
    <row r="22654" spans="1:4" x14ac:dyDescent="0.25">
      <c r="A22654" t="str">
        <f>HYPERLINK("https://www.773grp.com/globalSearch/SJE2906LFBG/page-1", "SJE2906LFBG")</f>
        <v>SJE2906LFBG</v>
      </c>
      <c r="B22654" s="3" t="str">
        <f>HYPERLINK("https://www.773grp.com/manufacturer/onsemi?pageNo=478", "ON Semiconductor")</f>
        <v>ON Semiconductor</v>
      </c>
      <c r="C22654" s="6">
        <v>2000</v>
      </c>
      <c r="D22654" s="7">
        <v>0</v>
      </c>
    </row>
    <row r="22655" spans="1:4" x14ac:dyDescent="0.25">
      <c r="A22655" t="str">
        <f>HYPERLINK("https://www.773grp.com/globalSearch/SJE2907/page-1", "SJE2907")</f>
        <v>SJE2907</v>
      </c>
      <c r="B22655" s="3" t="str">
        <f>HYPERLINK("https://www.773grp.com/manufacturer/onsemi?pageNo=479", "ON Semiconductor")</f>
        <v>ON Semiconductor</v>
      </c>
      <c r="C22655" s="6">
        <v>1050</v>
      </c>
      <c r="D22655" s="7">
        <v>0</v>
      </c>
    </row>
    <row r="22656" spans="1:4" x14ac:dyDescent="0.25">
      <c r="A22656" t="str">
        <f>HYPERLINK("https://www.773grp.com/globalSearch/SJE2929LFBL/page-1", "SJE2929LFBL")</f>
        <v>SJE2929LFBL</v>
      </c>
      <c r="B22656" s="3" t="str">
        <f>HYPERLINK("https://www.773grp.com/manufacturer/onsemi?pageNo=480", "ON Semiconductor")</f>
        <v>ON Semiconductor</v>
      </c>
      <c r="C22656" s="6">
        <v>800</v>
      </c>
      <c r="D22656" s="7">
        <v>0</v>
      </c>
    </row>
    <row r="22657" spans="1:4" x14ac:dyDescent="0.25">
      <c r="A22657" t="str">
        <f>HYPERLINK("https://www.773grp.com/globalSearch/SJE2938/page-1", "SJE2938")</f>
        <v>SJE2938</v>
      </c>
      <c r="B22657" s="3" t="str">
        <f>HYPERLINK("https://www.773grp.com/manufacturer/onsemi?pageNo=481", "ON Semiconductor")</f>
        <v>ON Semiconductor</v>
      </c>
      <c r="C22657" s="6">
        <v>1450</v>
      </c>
      <c r="D22657" s="7">
        <v>0</v>
      </c>
    </row>
    <row r="22658" spans="1:4" x14ac:dyDescent="0.25">
      <c r="A22658" t="str">
        <f>HYPERLINK("https://www.773grp.com/globalSearch/SJE2943/page-1", "SJE2943")</f>
        <v>SJE2943</v>
      </c>
      <c r="B22658" s="3" t="str">
        <f>HYPERLINK("https://www.773grp.com/manufacturer/onsemi?pageNo=482", "ON Semiconductor")</f>
        <v>ON Semiconductor</v>
      </c>
      <c r="C22658" s="6">
        <v>3200</v>
      </c>
      <c r="D22658" s="7">
        <v>0</v>
      </c>
    </row>
    <row r="22659" spans="1:4" x14ac:dyDescent="0.25">
      <c r="A22659" t="str">
        <f>HYPERLINK("https://www.773grp.com/globalSearch/SJE2968/page-1", "SJE2968")</f>
        <v>SJE2968</v>
      </c>
      <c r="B22659" s="3" t="str">
        <f>HYPERLINK("https://www.773grp.com/manufacturer/onsemi?pageNo=483", "ON Semiconductor")</f>
        <v>ON Semiconductor</v>
      </c>
      <c r="C22659" s="6">
        <v>300</v>
      </c>
      <c r="D22659" s="7">
        <v>0</v>
      </c>
    </row>
    <row r="22660" spans="1:4" x14ac:dyDescent="0.25">
      <c r="A22660" t="str">
        <f>HYPERLINK("https://www.773grp.com/globalSearch/SJE2970/page-1", "SJE2970")</f>
        <v>SJE2970</v>
      </c>
      <c r="B22660" s="3" t="str">
        <f>HYPERLINK("https://www.773grp.com/manufacturer/onsemi?pageNo=484", "ON Semiconductor")</f>
        <v>ON Semiconductor</v>
      </c>
      <c r="C22660" s="6">
        <v>70150</v>
      </c>
      <c r="D22660" s="7">
        <v>0</v>
      </c>
    </row>
    <row r="22661" spans="1:4" x14ac:dyDescent="0.25">
      <c r="A22661" t="str">
        <f>HYPERLINK("https://www.773grp.com/globalSearch/SJE2982/page-1", "SJE2982")</f>
        <v>SJE2982</v>
      </c>
      <c r="B22661" s="3" t="str">
        <f>HYPERLINK("https://www.773grp.com/manufacturer/onsemi?pageNo=485", "ON Semiconductor")</f>
        <v>ON Semiconductor</v>
      </c>
      <c r="C22661" s="6">
        <v>6120</v>
      </c>
      <c r="D22661" s="7">
        <v>0</v>
      </c>
    </row>
    <row r="22662" spans="1:4" x14ac:dyDescent="0.25">
      <c r="A22662" t="str">
        <f>HYPERLINK("https://www.773grp.com/globalSearch/SJE2988/page-1", "SJE2988")</f>
        <v>SJE2988</v>
      </c>
      <c r="B22662" s="3" t="str">
        <f>HYPERLINK("https://www.773grp.com/manufacturer/onsemi?pageNo=486", "ON Semiconductor")</f>
        <v>ON Semiconductor</v>
      </c>
      <c r="C22662" s="6">
        <v>300</v>
      </c>
      <c r="D22662" s="7">
        <v>0</v>
      </c>
    </row>
    <row r="22663" spans="1:4" x14ac:dyDescent="0.25">
      <c r="A22663" t="str">
        <f>HYPERLINK("https://www.773grp.com/globalSearch/SJE3010/page-1", "SJE3010")</f>
        <v>SJE3010</v>
      </c>
      <c r="B22663" s="3" t="str">
        <f>HYPERLINK("https://www.773grp.com/manufacturer/onsemi?pageNo=487", "ON Semiconductor")</f>
        <v>ON Semiconductor</v>
      </c>
      <c r="C22663" s="6">
        <v>400</v>
      </c>
      <c r="D22663" s="7">
        <v>0</v>
      </c>
    </row>
    <row r="22664" spans="1:4" x14ac:dyDescent="0.25">
      <c r="A22664" t="str">
        <f>HYPERLINK("https://www.773grp.com/globalSearch/SJE3011/page-1", "SJE3011")</f>
        <v>SJE3011</v>
      </c>
      <c r="B22664" s="3" t="str">
        <f>HYPERLINK("https://www.773grp.com/manufacturer/onsemi?pageNo=488", "ON Semiconductor")</f>
        <v>ON Semiconductor</v>
      </c>
      <c r="C22664" s="6">
        <v>17</v>
      </c>
      <c r="D22664" s="7">
        <v>0</v>
      </c>
    </row>
    <row r="22665" spans="1:4" x14ac:dyDescent="0.25">
      <c r="A22665" t="str">
        <f>HYPERLINK("https://www.773grp.com/globalSearch/SJE3015/page-1", "SJE3015")</f>
        <v>SJE3015</v>
      </c>
      <c r="B22665" s="3" t="str">
        <f>HYPERLINK("https://www.773grp.com/manufacturer/onsemi?pageNo=489", "ON Semiconductor")</f>
        <v>ON Semiconductor</v>
      </c>
      <c r="C22665" s="6">
        <v>2650</v>
      </c>
      <c r="D22665" s="7">
        <v>0</v>
      </c>
    </row>
    <row r="22666" spans="1:4" x14ac:dyDescent="0.25">
      <c r="A22666" t="str">
        <f>HYPERLINK("https://www.773grp.com/globalSearch/SJE3015G/page-1", "SJE3015G")</f>
        <v>SJE3015G</v>
      </c>
      <c r="B22666" s="3" t="str">
        <f>HYPERLINK("https://www.773grp.com/manufacturer/onsemi?pageNo=490", "ON Semiconductor")</f>
        <v>ON Semiconductor</v>
      </c>
      <c r="C22666" s="6">
        <v>44</v>
      </c>
      <c r="D22666" s="7">
        <v>0</v>
      </c>
    </row>
    <row r="22667" spans="1:4" x14ac:dyDescent="0.25">
      <c r="A22667" t="str">
        <f>HYPERLINK("https://www.773grp.com/globalSearch/SJE4073/page-1", "SJE4073")</f>
        <v>SJE4073</v>
      </c>
      <c r="B22667" s="3" t="str">
        <f>HYPERLINK("https://www.773grp.com/manufacturer/onsemi?pageNo=491", "ON Semiconductor")</f>
        <v>ON Semiconductor</v>
      </c>
      <c r="C22667" s="6">
        <v>300</v>
      </c>
      <c r="D22667" s="7">
        <v>0</v>
      </c>
    </row>
    <row r="22668" spans="1:4" x14ac:dyDescent="0.25">
      <c r="A22668" t="str">
        <f>HYPERLINK("https://www.773grp.com/globalSearch/SJE5384/page-1", "SJE5384")</f>
        <v>SJE5384</v>
      </c>
      <c r="B22668" s="3" t="str">
        <f>HYPERLINK("https://www.773grp.com/manufacturer/onsemi?pageNo=492", "ON Semiconductor")</f>
        <v>ON Semiconductor</v>
      </c>
      <c r="C22668" s="6">
        <v>2200</v>
      </c>
      <c r="D22668" s="7">
        <v>0</v>
      </c>
    </row>
    <row r="22669" spans="1:4" x14ac:dyDescent="0.25">
      <c r="A22669" t="str">
        <f>HYPERLINK("https://www.773grp.com/globalSearch/SJE5875/page-1", "SJE5875")</f>
        <v>SJE5875</v>
      </c>
      <c r="B22669" s="3" t="str">
        <f>HYPERLINK("https://www.773grp.com/manufacturer/onsemi?pageNo=493", "ON Semiconductor")</f>
        <v>ON Semiconductor</v>
      </c>
      <c r="C22669" s="6">
        <v>12250</v>
      </c>
      <c r="D22669" s="7">
        <v>0</v>
      </c>
    </row>
    <row r="22670" spans="1:4" x14ac:dyDescent="0.25">
      <c r="A22670" t="str">
        <f>HYPERLINK("https://www.773grp.com/globalSearch/SJE5907/page-1", "SJE5907")</f>
        <v>SJE5907</v>
      </c>
      <c r="B22670" s="3" t="str">
        <f>HYPERLINK("https://www.773grp.com/manufacturer/onsemi?pageNo=494", "ON Semiconductor")</f>
        <v>ON Semiconductor</v>
      </c>
      <c r="C22670" s="6">
        <v>4750</v>
      </c>
      <c r="D22670" s="7">
        <v>0</v>
      </c>
    </row>
    <row r="22671" spans="1:4" x14ac:dyDescent="0.25">
      <c r="A22671" t="str">
        <f>HYPERLINK("https://www.773grp.com/globalSearch/SJE5960/page-1", "SJE5960")</f>
        <v>SJE5960</v>
      </c>
      <c r="B22671" s="3" t="str">
        <f>HYPERLINK("https://www.773grp.com/manufacturer/onsemi?pageNo=495", "ON Semiconductor")</f>
        <v>ON Semiconductor</v>
      </c>
      <c r="C22671" s="6">
        <v>1050</v>
      </c>
      <c r="D22671" s="7">
        <v>0</v>
      </c>
    </row>
    <row r="22672" spans="1:4" x14ac:dyDescent="0.25">
      <c r="A22672" t="str">
        <f>HYPERLINK("https://www.773grp.com/globalSearch/SJE6370/page-1", "SJE6370")</f>
        <v>SJE6370</v>
      </c>
      <c r="B22672" s="3" t="str">
        <f>HYPERLINK("https://www.773grp.com/manufacturer/onsemi?pageNo=496", "ON Semiconductor")</f>
        <v>ON Semiconductor</v>
      </c>
      <c r="C22672" s="6">
        <v>698</v>
      </c>
      <c r="D22672" s="7">
        <v>0</v>
      </c>
    </row>
    <row r="22673" spans="1:4" x14ac:dyDescent="0.25">
      <c r="A22673" t="str">
        <f>HYPERLINK("https://www.773grp.com/globalSearch/SJE6406/page-1", "SJE6406")</f>
        <v>SJE6406</v>
      </c>
      <c r="B22673" s="3" t="str">
        <f>HYPERLINK("https://www.773grp.com/manufacturer/onsemi?pageNo=497", "ON Semiconductor")</f>
        <v>ON Semiconductor</v>
      </c>
      <c r="C22673" s="6">
        <v>1000</v>
      </c>
      <c r="D22673" s="7">
        <v>0</v>
      </c>
    </row>
    <row r="22674" spans="1:4" x14ac:dyDescent="0.25">
      <c r="A22674" t="str">
        <f>HYPERLINK("https://www.773grp.com/globalSearch/SJE6429/page-1", "SJE6429")</f>
        <v>SJE6429</v>
      </c>
      <c r="B22674" s="3" t="str">
        <f>HYPERLINK("https://www.773grp.com/manufacturer/onsemi?pageNo=498", "ON Semiconductor")</f>
        <v>ON Semiconductor</v>
      </c>
      <c r="C22674" s="6">
        <v>7850</v>
      </c>
      <c r="D22674" s="7">
        <v>0</v>
      </c>
    </row>
    <row r="22675" spans="1:4" x14ac:dyDescent="0.25">
      <c r="A22675" t="str">
        <f>HYPERLINK("https://www.773grp.com/globalSearch/SJE6429-001/page-1", "SJE6429-001")</f>
        <v>SJE6429-001</v>
      </c>
      <c r="B22675" s="3" t="str">
        <f>HYPERLINK("https://www.773grp.com/manufacturer/onsemi?pageNo=499", "ON Semiconductor")</f>
        <v>ON Semiconductor</v>
      </c>
      <c r="C22675" s="6">
        <v>8950</v>
      </c>
      <c r="D22675" s="7">
        <v>0</v>
      </c>
    </row>
    <row r="22676" spans="1:4" x14ac:dyDescent="0.25">
      <c r="A22676" t="str">
        <f>HYPERLINK("https://www.773grp.com/globalSearch/SJE6600G/page-1", "SJE6600G")</f>
        <v>SJE6600G</v>
      </c>
      <c r="B22676" s="3" t="str">
        <f>HYPERLINK("https://www.773grp.com/manufacturer/onsemi?pageNo=500", "ON Semiconductor")</f>
        <v>ON Semiconductor</v>
      </c>
      <c r="C22676" s="6">
        <v>15</v>
      </c>
      <c r="D22676" s="7">
        <v>0</v>
      </c>
    </row>
    <row r="22677" spans="1:4" x14ac:dyDescent="0.25">
      <c r="A22677" t="str">
        <f>HYPERLINK("https://www.773grp.com/globalSearch/SJE7030/page-1", "SJE7030")</f>
        <v>SJE7030</v>
      </c>
      <c r="B22677" s="3" t="str">
        <f>HYPERLINK("https://www.773grp.com/manufacturer/onsemi?pageNo=501", "ON Semiconductor")</f>
        <v>ON Semiconductor</v>
      </c>
      <c r="C22677" s="6">
        <v>2100</v>
      </c>
      <c r="D22677" s="7">
        <v>0</v>
      </c>
    </row>
    <row r="22678" spans="1:4" x14ac:dyDescent="0.25">
      <c r="A22678" t="str">
        <f>HYPERLINK("https://www.773grp.com/globalSearch/SJE7038/page-1", "SJE7038")</f>
        <v>SJE7038</v>
      </c>
      <c r="B22678" s="3" t="str">
        <f>HYPERLINK("https://www.773grp.com/manufacturer/onsemi?pageNo=502", "ON Semiconductor")</f>
        <v>ON Semiconductor</v>
      </c>
      <c r="C22678" s="6">
        <v>1600</v>
      </c>
      <c r="D22678" s="7">
        <v>0</v>
      </c>
    </row>
    <row r="22679" spans="1:4" x14ac:dyDescent="0.25">
      <c r="A22679" t="str">
        <f>HYPERLINK("https://www.773grp.com/globalSearch/SJE7081/page-1", "SJE7081")</f>
        <v>SJE7081</v>
      </c>
      <c r="B22679" s="3" t="str">
        <f>HYPERLINK("https://www.773grp.com/manufacturer/onsemi?pageNo=503", "ON Semiconductor")</f>
        <v>ON Semiconductor</v>
      </c>
      <c r="C22679" s="6">
        <v>1800</v>
      </c>
      <c r="D22679" s="7">
        <v>0</v>
      </c>
    </row>
    <row r="22680" spans="1:4" x14ac:dyDescent="0.25">
      <c r="A22680" t="str">
        <f>HYPERLINK("https://www.773grp.com/globalSearch/SJF1003/page-1", "SJF1003")</f>
        <v>SJF1003</v>
      </c>
      <c r="B22680" s="3" t="str">
        <f>HYPERLINK("https://www.773grp.com/manufacturer/onsemi?pageNo=504", "ON Semiconductor")</f>
        <v>ON Semiconductor</v>
      </c>
      <c r="C22680" s="6">
        <v>12</v>
      </c>
      <c r="D22680" s="7">
        <v>0</v>
      </c>
    </row>
    <row r="22681" spans="1:4" x14ac:dyDescent="0.25">
      <c r="A22681" t="str">
        <f>HYPERLINK("https://www.773grp.com/globalSearch/SJF2008LFRB/page-1", "SJF2008LFRB")</f>
        <v>SJF2008LFRB</v>
      </c>
      <c r="B22681" s="3" t="str">
        <f>HYPERLINK("https://www.773grp.com/manufacturer/onsemi?pageNo=505", "ON Semiconductor")</f>
        <v>ON Semiconductor</v>
      </c>
      <c r="C22681" s="6">
        <v>30</v>
      </c>
      <c r="D22681" s="7">
        <v>0</v>
      </c>
    </row>
    <row r="22682" spans="1:4" x14ac:dyDescent="0.25">
      <c r="A22682" t="str">
        <f>HYPERLINK("https://www.773grp.com/globalSearch/SJF2009G/page-1", "SJF2009G")</f>
        <v>SJF2009G</v>
      </c>
      <c r="B22682" s="3" t="str">
        <f>HYPERLINK("https://www.773grp.com/manufacturer/onsemi?pageNo=506", "ON Semiconductor")</f>
        <v>ON Semiconductor</v>
      </c>
      <c r="C22682" s="6">
        <v>22</v>
      </c>
      <c r="D22682" s="7">
        <v>0</v>
      </c>
    </row>
    <row r="22683" spans="1:4" x14ac:dyDescent="0.25">
      <c r="A22683" t="str">
        <f>HYPERLINK("https://www.773grp.com/globalSearch/SK2P102RLG/page-1", "SK2P102RLG")</f>
        <v>SK2P102RLG</v>
      </c>
      <c r="B22683" s="3" t="str">
        <f>HYPERLINK("https://www.773grp.com/manufacturer/onsemi?pageNo=507", "ON Semiconductor")</f>
        <v>ON Semiconductor</v>
      </c>
      <c r="C22683" s="6">
        <v>10000</v>
      </c>
      <c r="D22683" s="7">
        <v>0</v>
      </c>
    </row>
    <row r="22684" spans="1:4" x14ac:dyDescent="0.25">
      <c r="A22684" t="str">
        <f>HYPERLINK("https://www.773grp.com/globalSearch/SL000HC14AN/page-1", "SL000HC14AN")</f>
        <v>SL000HC14AN</v>
      </c>
      <c r="B22684" s="3" t="str">
        <f>HYPERLINK("https://www.773grp.com/manufacturer/onsemi?pageNo=508", "ON Semiconductor")</f>
        <v>ON Semiconductor</v>
      </c>
      <c r="C22684" s="6">
        <v>71025</v>
      </c>
      <c r="D22684" s="7">
        <v>0</v>
      </c>
    </row>
    <row r="22685" spans="1:4" x14ac:dyDescent="0.25">
      <c r="A22685" t="str">
        <f>HYPERLINK("https://www.773grp.com/globalSearch/SL000HC163AN/page-1", "SL000HC163AN")</f>
        <v>SL000HC163AN</v>
      </c>
      <c r="B22685" s="3" t="str">
        <f>HYPERLINK("https://www.773grp.com/manufacturer/onsemi?pageNo=509", "ON Semiconductor")</f>
        <v>ON Semiconductor</v>
      </c>
      <c r="C22685" s="6">
        <v>3825</v>
      </c>
      <c r="D22685" s="7">
        <v>0</v>
      </c>
    </row>
    <row r="22686" spans="1:4" x14ac:dyDescent="0.25">
      <c r="A22686" t="str">
        <f>HYPERLINK("https://www.773grp.com/globalSearch/SL000HC244AN/page-1", "SL000HC244AN")</f>
        <v>SL000HC244AN</v>
      </c>
      <c r="B22686" s="3" t="str">
        <f>HYPERLINK("https://www.773grp.com/manufacturer/onsemi?pageNo=510", "ON Semiconductor")</f>
        <v>ON Semiconductor</v>
      </c>
      <c r="C22686" s="6">
        <v>108</v>
      </c>
      <c r="D22686" s="7">
        <v>0</v>
      </c>
    </row>
    <row r="22687" spans="1:4" x14ac:dyDescent="0.25">
      <c r="A22687" t="str">
        <f>HYPERLINK("https://www.773grp.com/globalSearch/SL000HC273ADT/page-1", "SL000HC273ADT")</f>
        <v>SL000HC273ADT</v>
      </c>
      <c r="B22687" s="3" t="str">
        <f>HYPERLINK("https://www.773grp.com/manufacturer/onsemi?pageNo=511", "ON Semiconductor")</f>
        <v>ON Semiconductor</v>
      </c>
      <c r="C22687" s="6">
        <v>2250</v>
      </c>
      <c r="D22687" s="7">
        <v>0</v>
      </c>
    </row>
    <row r="22688" spans="1:4" x14ac:dyDescent="0.25">
      <c r="A22688" t="str">
        <f>HYPERLINK("https://www.773grp.com/globalSearch/SL000HC273AN/page-1", "SL000HC273AN")</f>
        <v>SL000HC273AN</v>
      </c>
      <c r="B22688" s="3" t="str">
        <f>HYPERLINK("https://www.773grp.com/manufacturer/onsemi?pageNo=512", "ON Semiconductor")</f>
        <v>ON Semiconductor</v>
      </c>
      <c r="C22688" s="6">
        <v>165806</v>
      </c>
      <c r="D22688" s="7">
        <v>0</v>
      </c>
    </row>
    <row r="22689" spans="1:4" x14ac:dyDescent="0.25">
      <c r="A22689" t="str">
        <f>HYPERLINK("https://www.773grp.com/globalSearch/SL000HC4020AN/page-1", "SL000HC4020AN")</f>
        <v>SL000HC4020AN</v>
      </c>
      <c r="B22689" s="3" t="str">
        <f>HYPERLINK("https://www.773grp.com/manufacturer/onsemi?pageNo=513", "ON Semiconductor")</f>
        <v>ON Semiconductor</v>
      </c>
      <c r="C22689" s="6">
        <v>385</v>
      </c>
      <c r="D22689" s="7">
        <v>0</v>
      </c>
    </row>
    <row r="22690" spans="1:4" x14ac:dyDescent="0.25">
      <c r="A22690" t="str">
        <f>HYPERLINK("https://www.773grp.com/globalSearch/SL000HC541AF/page-1", "SL000HC541AF")</f>
        <v>SL000HC541AF</v>
      </c>
      <c r="B22690" s="3" t="str">
        <f>HYPERLINK("https://www.773grp.com/manufacturer/onsemi?pageNo=514", "ON Semiconductor")</f>
        <v>ON Semiconductor</v>
      </c>
      <c r="C22690" s="6">
        <v>1520</v>
      </c>
      <c r="D22690" s="7">
        <v>0</v>
      </c>
    </row>
    <row r="22691" spans="1:4" x14ac:dyDescent="0.25">
      <c r="A22691" t="str">
        <f>HYPERLINK("https://www.773grp.com/globalSearch/SL000LCX244DTR2/page-1", "SL000LCX244DTR2")</f>
        <v>SL000LCX244DTR2</v>
      </c>
      <c r="B22691" s="3" t="str">
        <f>HYPERLINK("https://www.773grp.com/manufacturer/onsemi?pageNo=515", "ON Semiconductor")</f>
        <v>ON Semiconductor</v>
      </c>
      <c r="C22691" s="6">
        <v>409130</v>
      </c>
      <c r="D22691" s="7">
        <v>0</v>
      </c>
    </row>
    <row r="22692" spans="1:4" x14ac:dyDescent="0.25">
      <c r="A22692" t="str">
        <f>HYPERLINK("https://www.773grp.com/globalSearch/SL000LCX245DT/page-1", "SL000LCX245DT")</f>
        <v>SL000LCX245DT</v>
      </c>
      <c r="B22692" s="3" t="str">
        <f>HYPERLINK("https://www.773grp.com/manufacturer/onsemi?pageNo=516", "ON Semiconductor")</f>
        <v>ON Semiconductor</v>
      </c>
      <c r="C22692" s="6">
        <v>750</v>
      </c>
      <c r="D22692" s="7">
        <v>0</v>
      </c>
    </row>
    <row r="22693" spans="1:4" x14ac:dyDescent="0.25">
      <c r="A22693" t="str">
        <f>HYPERLINK("https://www.773grp.com/globalSearch/SL000LCX245DTR2/page-1", "SL000LCX245DTR2")</f>
        <v>SL000LCX245DTR2</v>
      </c>
      <c r="B22693" s="3" t="str">
        <f>HYPERLINK("https://www.773grp.com/manufacturer/onsemi?pageNo=517", "ON Semiconductor")</f>
        <v>ON Semiconductor</v>
      </c>
      <c r="C22693" s="6">
        <v>606</v>
      </c>
      <c r="D22693" s="7">
        <v>0</v>
      </c>
    </row>
    <row r="22694" spans="1:4" x14ac:dyDescent="0.25">
      <c r="A22694" t="str">
        <f>HYPERLINK("https://www.773grp.com/globalSearch/SL000LCX374DT/page-1", "SL000LCX374DT")</f>
        <v>SL000LCX374DT</v>
      </c>
      <c r="B22694" s="3" t="str">
        <f>HYPERLINK("https://www.773grp.com/manufacturer/onsemi?pageNo=518", "ON Semiconductor")</f>
        <v>ON Semiconductor</v>
      </c>
      <c r="C22694" s="6">
        <v>225</v>
      </c>
      <c r="D22694" s="7">
        <v>0</v>
      </c>
    </row>
    <row r="22695" spans="1:4" x14ac:dyDescent="0.25">
      <c r="A22695" t="str">
        <f>HYPERLINK("https://www.773grp.com/globalSearch/SL000LCX374DTR2/page-1", "SL000LCX374DTR2")</f>
        <v>SL000LCX374DTR2</v>
      </c>
      <c r="B22695" s="3" t="str">
        <f>HYPERLINK("https://www.773grp.com/manufacturer/onsemi?pageNo=519", "ON Semiconductor")</f>
        <v>ON Semiconductor</v>
      </c>
      <c r="C22695" s="6">
        <v>200000</v>
      </c>
      <c r="D22695" s="7">
        <v>0</v>
      </c>
    </row>
    <row r="22696" spans="1:4" x14ac:dyDescent="0.25">
      <c r="A22696" t="str">
        <f>HYPERLINK("https://www.773grp.com/globalSearch/SL000LCX74DT/page-1", "SL000LCX74DT")</f>
        <v>SL000LCX74DT</v>
      </c>
      <c r="B22696" s="3" t="str">
        <f>HYPERLINK("https://www.773grp.com/manufacturer/onsemi?pageNo=520", "ON Semiconductor")</f>
        <v>ON Semiconductor</v>
      </c>
      <c r="C22696" s="6">
        <v>12384</v>
      </c>
      <c r="D22696" s="7">
        <v>0</v>
      </c>
    </row>
    <row r="22697" spans="1:4" x14ac:dyDescent="0.25">
      <c r="A22697" t="str">
        <f>HYPERLINK("https://www.773grp.com/globalSearch/SL000LCX74DTR2/page-1", "SL000LCX74DTR2")</f>
        <v>SL000LCX74DTR2</v>
      </c>
      <c r="B22697" s="3" t="str">
        <f>HYPERLINK("https://www.773grp.com/manufacturer/onsemi?pageNo=521", "ON Semiconductor")</f>
        <v>ON Semiconductor</v>
      </c>
      <c r="C22697" s="6">
        <v>52500</v>
      </c>
      <c r="D22697" s="7">
        <v>0</v>
      </c>
    </row>
    <row r="22698" spans="1:4" x14ac:dyDescent="0.25">
      <c r="A22698" t="str">
        <f>HYPERLINK("https://www.773grp.com/globalSearch/SL000VHC14DT/page-1", "SL000VHC14DT")</f>
        <v>SL000VHC14DT</v>
      </c>
      <c r="B22698" s="3" t="str">
        <f>HYPERLINK("https://www.773grp.com/manufacturer/onsemi?pageNo=522", "ON Semiconductor")</f>
        <v>ON Semiconductor</v>
      </c>
      <c r="C22698" s="6">
        <v>6720</v>
      </c>
      <c r="D22698" s="7">
        <v>0</v>
      </c>
    </row>
    <row r="22699" spans="1:4" x14ac:dyDescent="0.25">
      <c r="A22699" t="str">
        <f>HYPERLINK("https://www.773grp.com/globalSearch/SL000VHC14DTR2/page-1", "SL000VHC14DTR2")</f>
        <v>SL000VHC14DTR2</v>
      </c>
      <c r="B22699" s="3" t="str">
        <f>HYPERLINK("https://www.773grp.com/manufacturer/onsemi?pageNo=523", "ON Semiconductor")</f>
        <v>ON Semiconductor</v>
      </c>
      <c r="C22699" s="6">
        <v>145856</v>
      </c>
      <c r="D22699" s="7">
        <v>0</v>
      </c>
    </row>
    <row r="22700" spans="1:4" x14ac:dyDescent="0.25">
      <c r="A22700" t="str">
        <f>HYPERLINK("https://www.773grp.com/globalSearch/SL000VHCT374ADT/page-1", "SL000VHCT374ADT")</f>
        <v>SL000VHCT374ADT</v>
      </c>
      <c r="B22700" s="3" t="str">
        <f>HYPERLINK("https://www.773grp.com/manufacturer/onsemi?pageNo=524", "ON Semiconductor")</f>
        <v>ON Semiconductor</v>
      </c>
      <c r="C22700" s="6">
        <v>825</v>
      </c>
      <c r="D22700" s="7">
        <v>0</v>
      </c>
    </row>
    <row r="22701" spans="1:4" x14ac:dyDescent="0.25">
      <c r="A22701" t="str">
        <f>HYPERLINK("https://www.773grp.com/globalSearch/SL14046BDWR2G/page-1", "SL14046BDWR2G")</f>
        <v>SL14046BDWR2G</v>
      </c>
      <c r="B22701" s="3" t="str">
        <f>HYPERLINK("https://www.773grp.com/manufacturer/onsemi?pageNo=525", "ON Semiconductor")</f>
        <v>ON Semiconductor</v>
      </c>
      <c r="C22701" s="6">
        <v>5000</v>
      </c>
      <c r="D22701" s="7">
        <v>0</v>
      </c>
    </row>
    <row r="22702" spans="1:4" x14ac:dyDescent="0.25">
      <c r="A22702" t="str">
        <f>HYPERLINK("https://www.773grp.com/globalSearch/SL17SZ16XV5T2G/page-1", "SL17SZ16XV5T2G")</f>
        <v>SL17SZ16XV5T2G</v>
      </c>
      <c r="B22702" s="3" t="str">
        <f>HYPERLINK("https://www.773grp.com/manufacturer/onsemi?pageNo=526", "ON Semiconductor")</f>
        <v>ON Semiconductor</v>
      </c>
      <c r="C22702" s="6">
        <v>65880</v>
      </c>
      <c r="D22702" s="7">
        <v>0</v>
      </c>
    </row>
    <row r="22703" spans="1:4" x14ac:dyDescent="0.25">
      <c r="A22703" t="str">
        <f>HYPERLINK("https://www.773grp.com/globalSearch/SLAS4684FCT1G/page-1", "SLAS4684FCT1G")</f>
        <v>SLAS4684FCT1G</v>
      </c>
      <c r="B22703" s="3" t="str">
        <f>HYPERLINK("https://www.773grp.com/manufacturer/onsemi?pageNo=527", "ON Semiconductor")</f>
        <v>ON Semiconductor</v>
      </c>
      <c r="C22703" s="6">
        <v>18000</v>
      </c>
      <c r="D22703" s="7">
        <v>0</v>
      </c>
    </row>
    <row r="22704" spans="1:4" x14ac:dyDescent="0.25">
      <c r="A22704" t="str">
        <f>HYPERLINK("https://www.773grp.com/globalSearch/SLP1001/page-1", "SLP1001")</f>
        <v>SLP1001</v>
      </c>
      <c r="B22704" s="3" t="str">
        <f>HYPERLINK("https://www.773grp.com/manufacturer/onsemi?pageNo=528", "ON Semiconductor")</f>
        <v>ON Semiconductor</v>
      </c>
      <c r="C22704" s="6">
        <v>5500</v>
      </c>
      <c r="D22704" s="7">
        <v>0</v>
      </c>
    </row>
    <row r="22705" spans="1:4" x14ac:dyDescent="0.25">
      <c r="A22705" t="str">
        <f>HYPERLINK("https://www.773grp.com/globalSearch/SLP1004/page-1", "SLP1004")</f>
        <v>SLP1004</v>
      </c>
      <c r="B22705" s="3" t="str">
        <f>HYPERLINK("https://www.773grp.com/manufacturer/onsemi?pageNo=529", "ON Semiconductor")</f>
        <v>ON Semiconductor</v>
      </c>
      <c r="C22705" s="6">
        <v>2500</v>
      </c>
      <c r="D22705" s="7">
        <v>0</v>
      </c>
    </row>
    <row r="22706" spans="1:4" x14ac:dyDescent="0.25">
      <c r="A22706" t="str">
        <f>HYPERLINK("https://www.773grp.com/globalSearch/SLVHC4851ADTR2G/page-1", "SLVHC4851ADTR2G")</f>
        <v>SLVHC4851ADTR2G</v>
      </c>
      <c r="B22706" s="3" t="str">
        <f>HYPERLINK("https://www.773grp.com/manufacturer/onsemi?pageNo=530", "ON Semiconductor")</f>
        <v>ON Semiconductor</v>
      </c>
      <c r="C22706" s="6">
        <v>4097</v>
      </c>
      <c r="D22706" s="7">
        <v>0</v>
      </c>
    </row>
    <row r="22707" spans="1:4" x14ac:dyDescent="0.25">
      <c r="A22707" t="str">
        <f>HYPERLINK("https://www.773grp.com/globalSearch/SM3Z1000T1/page-1", "SM3Z1000T1")</f>
        <v>SM3Z1000T1</v>
      </c>
      <c r="B22707" s="3" t="str">
        <f>HYPERLINK("https://www.773grp.com/manufacturer/onsemi?pageNo=531", "ON Semiconductor")</f>
        <v>ON Semiconductor</v>
      </c>
      <c r="C22707" s="6">
        <v>42000</v>
      </c>
      <c r="D22707" s="7">
        <v>0</v>
      </c>
    </row>
    <row r="22708" spans="1:4" x14ac:dyDescent="0.25">
      <c r="A22708" t="str">
        <f>HYPERLINK("https://www.773grp.com/globalSearch/SM3Z1006T1/page-1", "SM3Z1006T1")</f>
        <v>SM3Z1006T1</v>
      </c>
      <c r="B22708" s="3" t="str">
        <f>HYPERLINK("https://www.773grp.com/manufacturer/onsemi?pageNo=532", "ON Semiconductor")</f>
        <v>ON Semiconductor</v>
      </c>
      <c r="C22708" s="6">
        <v>15000</v>
      </c>
      <c r="D22708" s="7">
        <v>0</v>
      </c>
    </row>
    <row r="22709" spans="1:4" x14ac:dyDescent="0.25">
      <c r="A22709" t="str">
        <f>HYPERLINK("https://www.773grp.com/globalSearch/SM3Z1006T1G/page-1", "SM3Z1006T1G")</f>
        <v>SM3Z1006T1G</v>
      </c>
      <c r="B22709" s="3" t="str">
        <f>HYPERLINK("https://www.773grp.com/manufacturer/onsemi?pageNo=533", "ON Semiconductor")</f>
        <v>ON Semiconductor</v>
      </c>
      <c r="C22709" s="6">
        <v>21000</v>
      </c>
      <c r="D22709" s="7">
        <v>0</v>
      </c>
    </row>
    <row r="22710" spans="1:4" x14ac:dyDescent="0.25">
      <c r="A22710" t="str">
        <f>HYPERLINK("https://www.773grp.com/globalSearch/SMBD1013LT3/page-1", "SMBD1013LT3")</f>
        <v>SMBD1013LT3</v>
      </c>
      <c r="B22710" s="3" t="str">
        <f>HYPERLINK("https://www.773grp.com/manufacturer/onsemi?pageNo=534", "ON Semiconductor")</f>
        <v>ON Semiconductor</v>
      </c>
      <c r="C22710" s="6">
        <v>30000</v>
      </c>
      <c r="D22710" s="7">
        <v>0</v>
      </c>
    </row>
    <row r="22711" spans="1:4" x14ac:dyDescent="0.25">
      <c r="A22711" t="str">
        <f>HYPERLINK("https://www.773grp.com/globalSearch/SMBD1101LT1/page-1", "SMBD1101LT1")</f>
        <v>SMBD1101LT1</v>
      </c>
      <c r="B22711" s="3" t="str">
        <f>HYPERLINK("https://www.773grp.com/manufacturer/onsemi?pageNo=535", "ON Semiconductor")</f>
        <v>ON Semiconductor</v>
      </c>
      <c r="C22711" s="6">
        <v>255000</v>
      </c>
      <c r="D22711" s="7">
        <v>0</v>
      </c>
    </row>
    <row r="22712" spans="1:4" x14ac:dyDescent="0.25">
      <c r="A22712" t="str">
        <f>HYPERLINK("https://www.773grp.com/globalSearch/SMBD1122LT3/page-1", "SMBD1122LT3")</f>
        <v>SMBD1122LT3</v>
      </c>
      <c r="B22712" s="3" t="str">
        <f>HYPERLINK("https://www.773grp.com/manufacturer/onsemi?pageNo=536", "ON Semiconductor")</f>
        <v>ON Semiconductor</v>
      </c>
      <c r="C22712" s="6">
        <v>70000</v>
      </c>
      <c r="D22712" s="7">
        <v>0</v>
      </c>
    </row>
    <row r="22713" spans="1:4" x14ac:dyDescent="0.25">
      <c r="A22713" t="str">
        <f>HYPERLINK("https://www.773grp.com/globalSearch/SMBD1472LT3/page-1", "SMBD1472LT3")</f>
        <v>SMBD1472LT3</v>
      </c>
      <c r="B22713" s="3" t="str">
        <f>HYPERLINK("https://www.773grp.com/manufacturer/onsemi?pageNo=537", "ON Semiconductor")</f>
        <v>ON Semiconductor</v>
      </c>
      <c r="C22713" s="6">
        <v>130000</v>
      </c>
      <c r="D22713" s="7">
        <v>0</v>
      </c>
    </row>
    <row r="22714" spans="1:4" x14ac:dyDescent="0.25">
      <c r="A22714" t="str">
        <f>HYPERLINK("https://www.773grp.com/globalSearch/SMBD99LT1G/page-1", "SMBD99LT1G")</f>
        <v>SMBD99LT1G</v>
      </c>
      <c r="B22714" s="3" t="str">
        <f>HYPERLINK("https://www.773grp.com/manufacturer/onsemi?pageNo=538", "ON Semiconductor")</f>
        <v>ON Semiconductor</v>
      </c>
      <c r="C22714" s="6">
        <v>3000</v>
      </c>
      <c r="D22714" s="7">
        <v>0</v>
      </c>
    </row>
    <row r="22715" spans="1:4" x14ac:dyDescent="0.25">
      <c r="A22715" t="str">
        <f>HYPERLINK("https://www.773grp.com/globalSearch/SMBF1026LT1G/page-1", "SMBF1026LT1G")</f>
        <v>SMBF1026LT1G</v>
      </c>
      <c r="B22715" s="3" t="str">
        <f>HYPERLINK("https://www.773grp.com/manufacturer/onsemi?pageNo=539", "ON Semiconductor")</f>
        <v>ON Semiconductor</v>
      </c>
      <c r="C22715" s="6">
        <v>6000</v>
      </c>
      <c r="D22715" s="7">
        <v>0</v>
      </c>
    </row>
    <row r="22716" spans="1:4" x14ac:dyDescent="0.25">
      <c r="A22716" t="str">
        <f>HYPERLINK("https://www.773grp.com/globalSearch/SMBF1033LT1/page-1", "SMBF1033LT1")</f>
        <v>SMBF1033LT1</v>
      </c>
      <c r="B22716" s="3" t="str">
        <f>HYPERLINK("https://www.773grp.com/manufacturer/onsemi?pageNo=540", "ON Semiconductor")</f>
        <v>ON Semiconductor</v>
      </c>
      <c r="C22716" s="6">
        <v>27000</v>
      </c>
      <c r="D22716" s="7">
        <v>0</v>
      </c>
    </row>
    <row r="22717" spans="1:4" x14ac:dyDescent="0.25">
      <c r="A22717" t="str">
        <f>HYPERLINK("https://www.773grp.com/globalSearch/SMBF1035LT3G/page-1", "SMBF1035LT3G")</f>
        <v>SMBF1035LT3G</v>
      </c>
      <c r="B22717" s="3" t="str">
        <f>HYPERLINK("https://www.773grp.com/manufacturer/onsemi?pageNo=541", "ON Semiconductor")</f>
        <v>ON Semiconductor</v>
      </c>
      <c r="C22717" s="6">
        <v>10000</v>
      </c>
      <c r="D22717" s="7">
        <v>0</v>
      </c>
    </row>
    <row r="22718" spans="1:4" x14ac:dyDescent="0.25">
      <c r="A22718" t="str">
        <f>HYPERLINK("https://www.773grp.com/globalSearch/SMBF1040LT1/page-1", "SMBF1040LT1")</f>
        <v>SMBF1040LT1</v>
      </c>
      <c r="B22718" s="3" t="str">
        <f>HYPERLINK("https://www.773grp.com/manufacturer/onsemi?pageNo=542", "ON Semiconductor")</f>
        <v>ON Semiconductor</v>
      </c>
      <c r="C22718" s="6">
        <v>27000</v>
      </c>
      <c r="D22718" s="7">
        <v>0</v>
      </c>
    </row>
    <row r="22719" spans="1:4" x14ac:dyDescent="0.25">
      <c r="A22719" t="str">
        <f>HYPERLINK("https://www.773grp.com/globalSearch/SMBF1060LT1/page-1", "SMBF1060LT1")</f>
        <v>SMBF1060LT1</v>
      </c>
      <c r="B22719" s="3" t="str">
        <f>HYPERLINK("https://www.773grp.com/manufacturer/onsemi?pageNo=543", "ON Semiconductor")</f>
        <v>ON Semiconductor</v>
      </c>
      <c r="C22719" s="6">
        <v>3000</v>
      </c>
      <c r="D22719" s="7">
        <v>0</v>
      </c>
    </row>
    <row r="22720" spans="1:4" x14ac:dyDescent="0.25">
      <c r="A22720" t="str">
        <f>HYPERLINK("https://www.773grp.com/globalSearch/SMBT1108LT1G/page-1", "SMBT1108LT1G")</f>
        <v>SMBT1108LT1G</v>
      </c>
      <c r="B22720" s="3" t="str">
        <f>HYPERLINK("https://www.773grp.com/manufacturer/onsemi?pageNo=544", "ON Semiconductor")</f>
        <v>ON Semiconductor</v>
      </c>
      <c r="C22720" s="6">
        <v>117000</v>
      </c>
      <c r="D22720" s="7">
        <v>0</v>
      </c>
    </row>
    <row r="22721" spans="1:4" x14ac:dyDescent="0.25">
      <c r="A22721" t="str">
        <f>HYPERLINK("https://www.773grp.com/globalSearch/SMBT1201LT1G/page-1", "SMBT1201LT1G")</f>
        <v>SMBT1201LT1G</v>
      </c>
      <c r="B22721" s="3" t="str">
        <f>HYPERLINK("https://www.773grp.com/manufacturer/onsemi?pageNo=545", "ON Semiconductor")</f>
        <v>ON Semiconductor</v>
      </c>
      <c r="C22721" s="6">
        <v>147000</v>
      </c>
      <c r="D22721" s="7">
        <v>0</v>
      </c>
    </row>
    <row r="22722" spans="1:4" x14ac:dyDescent="0.25">
      <c r="A22722" t="str">
        <f>HYPERLINK("https://www.773grp.com/globalSearch/SMBT1229LT3G/page-1", "SMBT1229LT3G")</f>
        <v>SMBT1229LT3G</v>
      </c>
      <c r="B22722" s="3" t="str">
        <f>HYPERLINK("https://www.773grp.com/manufacturer/onsemi?pageNo=546", "ON Semiconductor")</f>
        <v>ON Semiconductor</v>
      </c>
      <c r="C22722" s="6">
        <v>180000</v>
      </c>
      <c r="D22722" s="7">
        <v>0</v>
      </c>
    </row>
    <row r="22723" spans="1:4" x14ac:dyDescent="0.25">
      <c r="A22723" t="str">
        <f>HYPERLINK("https://www.773grp.com/globalSearch/SMBT1232LT3G/page-1", "SMBT1232LT3G")</f>
        <v>SMBT1232LT3G</v>
      </c>
      <c r="B22723" s="3" t="str">
        <f>HYPERLINK("https://www.773grp.com/manufacturer/onsemi?pageNo=547", "ON Semiconductor")</f>
        <v>ON Semiconductor</v>
      </c>
      <c r="C22723" s="6">
        <v>100000</v>
      </c>
      <c r="D22723" s="7">
        <v>0</v>
      </c>
    </row>
    <row r="22724" spans="1:4" x14ac:dyDescent="0.25">
      <c r="A22724" t="str">
        <f>HYPERLINK("https://www.773grp.com/globalSearch/SMBT1352LT3/page-1", "SMBT1352LT3")</f>
        <v>SMBT1352LT3</v>
      </c>
      <c r="B22724" s="3" t="str">
        <f>HYPERLINK("https://www.773grp.com/manufacturer/onsemi?pageNo=548", "ON Semiconductor")</f>
        <v>ON Semiconductor</v>
      </c>
      <c r="C22724" s="6">
        <v>20000</v>
      </c>
      <c r="D22724" s="7">
        <v>0</v>
      </c>
    </row>
    <row r="22725" spans="1:4" x14ac:dyDescent="0.25">
      <c r="A22725" t="str">
        <f>HYPERLINK("https://www.773grp.com/globalSearch/SMBT1369LT1/page-1", "SMBT1369LT1")</f>
        <v>SMBT1369LT1</v>
      </c>
      <c r="B22725" s="3" t="str">
        <f>HYPERLINK("https://www.773grp.com/manufacturer/onsemi?pageNo=549", "ON Semiconductor")</f>
        <v>ON Semiconductor</v>
      </c>
      <c r="C22725" s="6">
        <v>159000</v>
      </c>
      <c r="D22725" s="7">
        <v>0</v>
      </c>
    </row>
    <row r="22726" spans="1:4" x14ac:dyDescent="0.25">
      <c r="A22726" t="str">
        <f>HYPERLINK("https://www.773grp.com/globalSearch/SMBT1372LT1/page-1", "SMBT1372LT1")</f>
        <v>SMBT1372LT1</v>
      </c>
      <c r="B22726" s="3" t="str">
        <f>HYPERLINK("https://www.773grp.com/manufacturer/onsemi?pageNo=550", "ON Semiconductor")</f>
        <v>ON Semiconductor</v>
      </c>
      <c r="C22726" s="6">
        <v>42000</v>
      </c>
      <c r="D22726" s="7">
        <v>0</v>
      </c>
    </row>
    <row r="22727" spans="1:4" x14ac:dyDescent="0.25">
      <c r="A22727" t="str">
        <f>HYPERLINK("https://www.773grp.com/globalSearch/SMBT1527LT3/page-1", "SMBT1527LT3")</f>
        <v>SMBT1527LT3</v>
      </c>
      <c r="B22727" s="3" t="str">
        <f>HYPERLINK("https://www.773grp.com/manufacturer/onsemi?pageNo=551", "ON Semiconductor")</f>
        <v>ON Semiconductor</v>
      </c>
      <c r="C22727" s="6">
        <v>50000</v>
      </c>
      <c r="D22727" s="7">
        <v>0</v>
      </c>
    </row>
    <row r="22728" spans="1:4" x14ac:dyDescent="0.25">
      <c r="A22728" t="str">
        <f>HYPERLINK("https://www.773grp.com/globalSearch/SMBT1565LT1G/page-1", "SMBT1565LT1G")</f>
        <v>SMBT1565LT1G</v>
      </c>
      <c r="B22728" s="3" t="str">
        <f>HYPERLINK("https://www.773grp.com/manufacturer/onsemi?pageNo=552", "ON Semiconductor")</f>
        <v>ON Semiconductor</v>
      </c>
      <c r="C22728" s="6">
        <v>63000</v>
      </c>
      <c r="D22728" s="7">
        <v>0</v>
      </c>
    </row>
    <row r="22729" spans="1:4" x14ac:dyDescent="0.25">
      <c r="A22729" t="str">
        <f>HYPERLINK("https://www.773grp.com/globalSearch/SMBT1572LT1G/page-1", "SMBT1572LT1G")</f>
        <v>SMBT1572LT1G</v>
      </c>
      <c r="B22729" s="3" t="str">
        <f>HYPERLINK("https://www.773grp.com/manufacturer/onsemi?pageNo=553", "ON Semiconductor")</f>
        <v>ON Semiconductor</v>
      </c>
      <c r="C22729" s="6">
        <v>87000</v>
      </c>
      <c r="D22729" s="7">
        <v>0</v>
      </c>
    </row>
    <row r="22730" spans="1:4" x14ac:dyDescent="0.25">
      <c r="A22730" t="str">
        <f>HYPERLINK("https://www.773grp.com/globalSearch/SMBT1583LT3G/page-1", "SMBT1583LT3G")</f>
        <v>SMBT1583LT3G</v>
      </c>
      <c r="B22730" s="3" t="str">
        <f>HYPERLINK("https://www.773grp.com/manufacturer/onsemi?pageNo=554", "ON Semiconductor")</f>
        <v>ON Semiconductor</v>
      </c>
      <c r="C22730" s="6">
        <v>50000</v>
      </c>
      <c r="D22730" s="7">
        <v>0</v>
      </c>
    </row>
    <row r="22731" spans="1:4" x14ac:dyDescent="0.25">
      <c r="A22731" t="str">
        <f>HYPERLINK("https://www.773grp.com/globalSearch/SMBT846BLT1/page-1", "SMBT846BLT1")</f>
        <v>SMBT846BLT1</v>
      </c>
      <c r="B22731" s="3" t="str">
        <f>HYPERLINK("https://www.773grp.com/manufacturer/onsemi?pageNo=555", "ON Semiconductor")</f>
        <v>ON Semiconductor</v>
      </c>
      <c r="C22731" s="6">
        <v>132000</v>
      </c>
      <c r="D22731" s="7">
        <v>0</v>
      </c>
    </row>
    <row r="22732" spans="1:4" x14ac:dyDescent="0.25">
      <c r="A22732" t="str">
        <f>HYPERLINK("https://www.773grp.com/globalSearch/SMBZ1024LT1/page-1", "SMBZ1024LT1")</f>
        <v>SMBZ1024LT1</v>
      </c>
      <c r="B22732" s="3" t="str">
        <f>HYPERLINK("https://www.773grp.com/manufacturer/onsemi?pageNo=556", "ON Semiconductor")</f>
        <v>ON Semiconductor</v>
      </c>
      <c r="C22732" s="6">
        <v>33000</v>
      </c>
      <c r="D22732" s="7">
        <v>0</v>
      </c>
    </row>
    <row r="22733" spans="1:4" x14ac:dyDescent="0.25">
      <c r="A22733" t="str">
        <f>HYPERLINK("https://www.773grp.com/globalSearch/SMBZ1093-1LT3/page-1", "SMBZ1093-1LT3")</f>
        <v>SMBZ1093-1LT3</v>
      </c>
      <c r="B22733" s="3" t="str">
        <f>HYPERLINK("https://www.773grp.com/manufacturer/onsemi?pageNo=557", "ON Semiconductor")</f>
        <v>ON Semiconductor</v>
      </c>
      <c r="C22733" s="6">
        <v>20000</v>
      </c>
      <c r="D22733" s="7">
        <v>0</v>
      </c>
    </row>
    <row r="22734" spans="1:4" x14ac:dyDescent="0.25">
      <c r="A22734" t="str">
        <f>HYPERLINK("https://www.773grp.com/globalSearch/SMBZ1093-2LT3/page-1", "SMBZ1093-2LT3")</f>
        <v>SMBZ1093-2LT3</v>
      </c>
      <c r="B22734" s="3" t="str">
        <f>HYPERLINK("https://www.773grp.com/manufacturer/onsemi?pageNo=558", "ON Semiconductor")</f>
        <v>ON Semiconductor</v>
      </c>
      <c r="C22734" s="6">
        <v>20000</v>
      </c>
      <c r="D22734" s="7">
        <v>0</v>
      </c>
    </row>
    <row r="22735" spans="1:4" x14ac:dyDescent="0.25">
      <c r="A22735" t="str">
        <f>HYPERLINK("https://www.773grp.com/globalSearch/SMBZ1443LT3/page-1", "SMBZ1443LT3")</f>
        <v>SMBZ1443LT3</v>
      </c>
      <c r="B22735" s="3" t="str">
        <f>HYPERLINK("https://www.773grp.com/manufacturer/onsemi?pageNo=559", "ON Semiconductor")</f>
        <v>ON Semiconductor</v>
      </c>
      <c r="C22735" s="6">
        <v>40000</v>
      </c>
      <c r="D22735" s="7">
        <v>0</v>
      </c>
    </row>
    <row r="22736" spans="1:4" x14ac:dyDescent="0.25">
      <c r="A22736" t="str">
        <f>HYPERLINK("https://www.773grp.com/globalSearch/SMBZ1443LT3DS/page-1", "SMBZ1443LT3DS")</f>
        <v>SMBZ1443LT3DS</v>
      </c>
      <c r="B22736" s="3" t="str">
        <f>HYPERLINK("https://www.773grp.com/manufacturer/onsemi?pageNo=560", "ON Semiconductor")</f>
        <v>ON Semiconductor</v>
      </c>
      <c r="C22736" s="6">
        <v>100000</v>
      </c>
      <c r="D22736" s="7">
        <v>0</v>
      </c>
    </row>
    <row r="22737" spans="1:4" x14ac:dyDescent="0.25">
      <c r="A22737" t="str">
        <f>HYPERLINK("https://www.773grp.com/globalSearch/SMBZ1444LT3/page-1", "SMBZ1444LT3")</f>
        <v>SMBZ1444LT3</v>
      </c>
      <c r="B22737" s="3" t="str">
        <f>HYPERLINK("https://www.773grp.com/manufacturer/onsemi?pageNo=561", "ON Semiconductor")</f>
        <v>ON Semiconductor</v>
      </c>
      <c r="C22737" s="6">
        <v>30000</v>
      </c>
      <c r="D22737" s="7">
        <v>0</v>
      </c>
    </row>
    <row r="22738" spans="1:4" x14ac:dyDescent="0.25">
      <c r="A22738" t="str">
        <f>HYPERLINK("https://www.773grp.com/globalSearch/SMBZ1444LT3G/page-1", "SMBZ1444LT3G")</f>
        <v>SMBZ1444LT3G</v>
      </c>
      <c r="B22738" s="3" t="str">
        <f>HYPERLINK("https://www.773grp.com/manufacturer/onsemi?pageNo=562", "ON Semiconductor")</f>
        <v>ON Semiconductor</v>
      </c>
      <c r="C22738" s="6">
        <v>20000</v>
      </c>
      <c r="D22738" s="7">
        <v>0</v>
      </c>
    </row>
    <row r="22739" spans="1:4" x14ac:dyDescent="0.25">
      <c r="A22739" t="str">
        <f>HYPERLINK("https://www.773grp.com/globalSearch/SMBZ1449-10LT3/page-1", "SMBZ1449-10LT3")</f>
        <v>SMBZ1449-10LT3</v>
      </c>
      <c r="B22739" s="3" t="str">
        <f>HYPERLINK("https://www.773grp.com/manufacturer/onsemi?pageNo=563", "ON Semiconductor")</f>
        <v>ON Semiconductor</v>
      </c>
      <c r="C22739" s="6">
        <v>60000</v>
      </c>
      <c r="D22739" s="7">
        <v>0</v>
      </c>
    </row>
    <row r="22740" spans="1:4" x14ac:dyDescent="0.25">
      <c r="A22740" t="str">
        <f>HYPERLINK("https://www.773grp.com/globalSearch/SMBZ1449-11LT3/page-1", "SMBZ1449-11LT3")</f>
        <v>SMBZ1449-11LT3</v>
      </c>
      <c r="B22740" s="3" t="str">
        <f>HYPERLINK("https://www.773grp.com/manufacturer/onsemi?pageNo=564", "ON Semiconductor")</f>
        <v>ON Semiconductor</v>
      </c>
      <c r="C22740" s="6">
        <v>90000</v>
      </c>
      <c r="D22740" s="7">
        <v>0</v>
      </c>
    </row>
    <row r="22741" spans="1:4" x14ac:dyDescent="0.25">
      <c r="A22741" t="str">
        <f>HYPERLINK("https://www.773grp.com/globalSearch/SMBZ1449-33LT3/page-1", "SMBZ1449-33LT3")</f>
        <v>SMBZ1449-33LT3</v>
      </c>
      <c r="B22741" s="3" t="str">
        <f>HYPERLINK("https://www.773grp.com/manufacturer/onsemi?pageNo=565", "ON Semiconductor")</f>
        <v>ON Semiconductor</v>
      </c>
      <c r="C22741" s="6">
        <v>30000</v>
      </c>
      <c r="D22741" s="7">
        <v>0</v>
      </c>
    </row>
    <row r="22742" spans="1:4" x14ac:dyDescent="0.25">
      <c r="A22742" t="str">
        <f>HYPERLINK("https://www.773grp.com/globalSearch/SMBZ1460LT1G/page-1", "SMBZ1460LT1G")</f>
        <v>SMBZ1460LT1G</v>
      </c>
      <c r="B22742" s="3" t="str">
        <f>HYPERLINK("https://www.773grp.com/manufacturer/onsemi?pageNo=566", "ON Semiconductor")</f>
        <v>ON Semiconductor</v>
      </c>
      <c r="C22742" s="6">
        <v>126000</v>
      </c>
      <c r="D22742" s="7">
        <v>0</v>
      </c>
    </row>
    <row r="22743" spans="1:4" x14ac:dyDescent="0.25">
      <c r="A22743" t="str">
        <f>HYPERLINK("https://www.773grp.com/globalSearch/SMBZ1477LT1G/page-1", "SMBZ1477LT1G")</f>
        <v>SMBZ1477LT1G</v>
      </c>
      <c r="B22743" s="3" t="str">
        <f>HYPERLINK("https://www.773grp.com/manufacturer/onsemi?pageNo=567", "ON Semiconductor")</f>
        <v>ON Semiconductor</v>
      </c>
      <c r="C22743" s="6">
        <v>78000</v>
      </c>
      <c r="D22743" s="7">
        <v>0</v>
      </c>
    </row>
    <row r="22744" spans="1:4" x14ac:dyDescent="0.25">
      <c r="A22744" t="str">
        <f>HYPERLINK("https://www.773grp.com/globalSearch/SMBZ1496LT1G/page-1", "SMBZ1496LT1G")</f>
        <v>SMBZ1496LT1G</v>
      </c>
      <c r="B22744" s="3" t="str">
        <f>HYPERLINK("https://www.773grp.com/manufacturer/onsemi?pageNo=568", "ON Semiconductor")</f>
        <v>ON Semiconductor</v>
      </c>
      <c r="C22744" s="6">
        <v>33000</v>
      </c>
      <c r="D22744" s="7">
        <v>0</v>
      </c>
    </row>
    <row r="22745" spans="1:4" x14ac:dyDescent="0.25">
      <c r="A22745" t="str">
        <f>HYPERLINK("https://www.773grp.com/globalSearch/SMBZ1509LT1/page-1", "SMBZ1509LT1")</f>
        <v>SMBZ1509LT1</v>
      </c>
      <c r="B22745" s="3" t="str">
        <f>HYPERLINK("https://www.773grp.com/manufacturer/onsemi?pageNo=569", "ON Semiconductor")</f>
        <v>ON Semiconductor</v>
      </c>
      <c r="C22745" s="6">
        <v>18000</v>
      </c>
      <c r="D22745" s="7">
        <v>0</v>
      </c>
    </row>
    <row r="22746" spans="1:4" x14ac:dyDescent="0.25">
      <c r="A22746" t="str">
        <f>HYPERLINK("https://www.773grp.com/globalSearch/SMBZ1612LT1/page-1", "SMBZ1612LT1")</f>
        <v>SMBZ1612LT1</v>
      </c>
      <c r="B22746" s="3" t="str">
        <f>HYPERLINK("https://www.773grp.com/manufacturer/onsemi?pageNo=570", "ON Semiconductor")</f>
        <v>ON Semiconductor</v>
      </c>
      <c r="C22746" s="6">
        <v>48000</v>
      </c>
      <c r="D22746" s="7">
        <v>0</v>
      </c>
    </row>
    <row r="22747" spans="1:4" x14ac:dyDescent="0.25">
      <c r="A22747" t="str">
        <f>HYPERLINK("https://www.773grp.com/globalSearch/SMBZ1659LT3/page-1", "SMBZ1659LT3")</f>
        <v>SMBZ1659LT3</v>
      </c>
      <c r="B22747" s="3" t="str">
        <f>HYPERLINK("https://www.773grp.com/manufacturer/onsemi?pageNo=571", "ON Semiconductor")</f>
        <v>ON Semiconductor</v>
      </c>
      <c r="C22747" s="6">
        <v>20000</v>
      </c>
      <c r="D22747" s="7">
        <v>0</v>
      </c>
    </row>
    <row r="22748" spans="1:4" x14ac:dyDescent="0.25">
      <c r="A22748" t="str">
        <f>HYPERLINK("https://www.773grp.com/globalSearch/SMBZ1660LT1/page-1", "SMBZ1660LT1")</f>
        <v>SMBZ1660LT1</v>
      </c>
      <c r="B22748" s="3" t="str">
        <f>HYPERLINK("https://www.773grp.com/manufacturer/onsemi?pageNo=572", "ON Semiconductor")</f>
        <v>ON Semiconductor</v>
      </c>
      <c r="C22748" s="6">
        <v>123000</v>
      </c>
      <c r="D22748" s="7">
        <v>0</v>
      </c>
    </row>
    <row r="22749" spans="1:4" x14ac:dyDescent="0.25">
      <c r="A22749" t="str">
        <f>HYPERLINK("https://www.773grp.com/globalSearch/SMBZ2606-15LT3/page-1", "SMBZ2606-15LT3")</f>
        <v>SMBZ2606-15LT3</v>
      </c>
      <c r="B22749" s="3" t="str">
        <f>HYPERLINK("https://www.773grp.com/manufacturer/onsemi?pageNo=573", "ON Semiconductor")</f>
        <v>ON Semiconductor</v>
      </c>
      <c r="C22749" s="6">
        <v>90000</v>
      </c>
      <c r="D22749" s="7">
        <v>0</v>
      </c>
    </row>
    <row r="22750" spans="1:4" x14ac:dyDescent="0.25">
      <c r="A22750" t="str">
        <f>HYPERLINK("https://www.773grp.com/globalSearch/SMBZ2606-16LT1G/page-1", "SMBZ2606-16LT1G")</f>
        <v>SMBZ2606-16LT1G</v>
      </c>
      <c r="B22750" s="3" t="str">
        <f>HYPERLINK("https://www.773grp.com/manufacturer/onsemi?pageNo=574", "ON Semiconductor")</f>
        <v>ON Semiconductor</v>
      </c>
      <c r="C22750" s="6">
        <v>117000</v>
      </c>
      <c r="D22750" s="7">
        <v>0</v>
      </c>
    </row>
    <row r="22751" spans="1:4" x14ac:dyDescent="0.25">
      <c r="A22751" t="str">
        <f>HYPERLINK("https://www.773grp.com/globalSearch/SMBZ2606-18LT1/page-1", "SMBZ2606-18LT1")</f>
        <v>SMBZ2606-18LT1</v>
      </c>
      <c r="B22751" s="3" t="str">
        <f>HYPERLINK("https://www.773grp.com/manufacturer/onsemi?pageNo=575", "ON Semiconductor")</f>
        <v>ON Semiconductor</v>
      </c>
      <c r="C22751" s="6">
        <v>48000</v>
      </c>
      <c r="D22751" s="7">
        <v>0</v>
      </c>
    </row>
    <row r="22752" spans="1:4" x14ac:dyDescent="0.25">
      <c r="A22752" t="str">
        <f>HYPERLINK("https://www.773grp.com/globalSearch/SMBZ2606-21LT1/page-1", "SMBZ2606-21LT1")</f>
        <v>SMBZ2606-21LT1</v>
      </c>
      <c r="B22752" s="3" t="str">
        <f>HYPERLINK("https://www.773grp.com/manufacturer/onsemi?pageNo=576", "ON Semiconductor")</f>
        <v>ON Semiconductor</v>
      </c>
      <c r="C22752" s="6">
        <v>267000</v>
      </c>
      <c r="D22752" s="7">
        <v>0</v>
      </c>
    </row>
    <row r="22753" spans="1:5" x14ac:dyDescent="0.25">
      <c r="A22753" t="str">
        <f>HYPERLINK("https://www.773grp.com/globalSearch/SMBZ2606-24LT1G/page-1", "SMBZ2606-24LT1G")</f>
        <v>SMBZ2606-24LT1G</v>
      </c>
      <c r="B22753" s="3" t="str">
        <f>HYPERLINK("https://www.773grp.com/manufacturer/onsemi?pageNo=577", "ON Semiconductor")</f>
        <v>ON Semiconductor</v>
      </c>
      <c r="C22753" s="6">
        <v>39000</v>
      </c>
      <c r="D22753" s="7">
        <v>0</v>
      </c>
    </row>
    <row r="22754" spans="1:5" x14ac:dyDescent="0.25">
      <c r="A22754" t="str">
        <f>HYPERLINK("https://www.773grp.com/globalSearch/SMBZ2606-38LT1/page-1", "SMBZ2606-38LT1")</f>
        <v>SMBZ2606-38LT1</v>
      </c>
      <c r="B22754" s="3" t="str">
        <f>HYPERLINK("https://www.773grp.com/manufacturer/onsemi?pageNo=578", "ON Semiconductor")</f>
        <v>ON Semiconductor</v>
      </c>
      <c r="C22754" s="6">
        <v>108000</v>
      </c>
      <c r="D22754" s="7">
        <v>0</v>
      </c>
    </row>
    <row r="22755" spans="1:5" x14ac:dyDescent="0.25">
      <c r="A22755" t="str">
        <f>HYPERLINK("https://www.773grp.com/globalSearch/SMBZ2606-41LT3G/page-1", "SMBZ2606-41LT3G")</f>
        <v>SMBZ2606-41LT3G</v>
      </c>
      <c r="B22755" s="3" t="str">
        <f>HYPERLINK("https://www.773grp.com/manufacturer/onsemi?pageNo=579", "ON Semiconductor")</f>
        <v>ON Semiconductor</v>
      </c>
      <c r="C22755" s="6">
        <v>60000</v>
      </c>
      <c r="D22755" s="7">
        <v>0</v>
      </c>
    </row>
    <row r="22756" spans="1:5" x14ac:dyDescent="0.25">
      <c r="A22756" t="str">
        <f>HYPERLINK("https://www.773grp.com/globalSearch/SMBZ2606-4LT3/page-1", "SMBZ2606-4LT3")</f>
        <v>SMBZ2606-4LT3</v>
      </c>
      <c r="B22756" s="3" t="str">
        <f>HYPERLINK("https://www.773grp.com/manufacturer/onsemi?pageNo=580", "ON Semiconductor")</f>
        <v>ON Semiconductor</v>
      </c>
      <c r="C22756" s="6">
        <v>10000</v>
      </c>
      <c r="D22756" s="7">
        <v>0</v>
      </c>
    </row>
    <row r="22757" spans="1:5" x14ac:dyDescent="0.25">
      <c r="A22757" t="str">
        <f>HYPERLINK("https://www.773grp.com/globalSearch/SMBZ2606-8LT3/page-1", "SMBZ2606-8LT3")</f>
        <v>SMBZ2606-8LT3</v>
      </c>
      <c r="B22757" s="3" t="str">
        <f>HYPERLINK("https://www.773grp.com/manufacturer/onsemi?pageNo=581", "ON Semiconductor")</f>
        <v>ON Semiconductor</v>
      </c>
      <c r="C22757" s="6">
        <v>60000</v>
      </c>
      <c r="D22757" s="7">
        <v>0</v>
      </c>
    </row>
    <row r="22758" spans="1:5" x14ac:dyDescent="0.25">
      <c r="A22758" t="str">
        <f>HYPERLINK("https://www.773grp.com/globalSearch/SMDF2C03HDR2/page-1", "SMDF2C03HDR2")</f>
        <v>SMDF2C03HDR2</v>
      </c>
      <c r="B22758" s="3" t="str">
        <f>HYPERLINK("https://www.773grp.com/manufacturer/onsemi?pageNo=582", "ON Semiconductor")</f>
        <v>ON Semiconductor</v>
      </c>
      <c r="C22758" s="6">
        <v>2679</v>
      </c>
      <c r="D22758" s="7">
        <v>0</v>
      </c>
    </row>
    <row r="22759" spans="1:5" x14ac:dyDescent="0.25">
      <c r="A22759" t="str">
        <f>HYPERLINK("https://www.773grp.com/globalSearch/SMF110AT1/page-1", "SMF110AT1")</f>
        <v>SMF110AT1</v>
      </c>
      <c r="B22759" s="3" t="str">
        <f>HYPERLINK("https://www.773grp.com/manufacturer/onsemi?pageNo=583", "ON Semiconductor")</f>
        <v>ON Semiconductor</v>
      </c>
      <c r="C22759" s="6">
        <v>3000</v>
      </c>
      <c r="D22759" s="7">
        <v>0</v>
      </c>
      <c r="E22759" t="s">
        <v>96</v>
      </c>
    </row>
    <row r="22760" spans="1:5" x14ac:dyDescent="0.25">
      <c r="A22760" t="str">
        <f>HYPERLINK("https://www.773grp.com/globalSearch/SMF11AT1/page-1", "SMF11AT1")</f>
        <v>SMF11AT1</v>
      </c>
      <c r="B22760" s="3" t="str">
        <f>HYPERLINK("https://www.773grp.com/manufacturer/onsemi?pageNo=584", "ON Semiconductor")</f>
        <v>ON Semiconductor</v>
      </c>
      <c r="C22760" s="6">
        <v>2925</v>
      </c>
      <c r="D22760" s="7">
        <v>0</v>
      </c>
      <c r="E22760" t="s">
        <v>96</v>
      </c>
    </row>
    <row r="22761" spans="1:5" x14ac:dyDescent="0.25">
      <c r="A22761" t="str">
        <f>HYPERLINK("https://www.773grp.com/globalSearch/SMF120AT1G/page-1", "SMF120AT1G")</f>
        <v>SMF120AT1G</v>
      </c>
      <c r="B22761" s="3" t="str">
        <f>HYPERLINK("https://www.773grp.com/manufacturer/onsemi?pageNo=585", "ON Semiconductor")</f>
        <v>ON Semiconductor</v>
      </c>
      <c r="C22761" s="6">
        <v>3000</v>
      </c>
      <c r="D22761" s="7">
        <v>0</v>
      </c>
      <c r="E22761" t="s">
        <v>96</v>
      </c>
    </row>
    <row r="22762" spans="1:5" x14ac:dyDescent="0.25">
      <c r="A22762" t="str">
        <f>HYPERLINK("https://www.773grp.com/globalSearch/SMF12AT1/page-1", "SMF12AT1")</f>
        <v>SMF12AT1</v>
      </c>
      <c r="B22762" s="3" t="str">
        <f>HYPERLINK("https://www.773grp.com/manufacturer/onsemi?pageNo=586", "ON Semiconductor")</f>
        <v>ON Semiconductor</v>
      </c>
      <c r="C22762" s="6">
        <v>2815</v>
      </c>
      <c r="D22762" s="7">
        <v>0</v>
      </c>
      <c r="E22762" t="s">
        <v>96</v>
      </c>
    </row>
    <row r="22763" spans="1:5" x14ac:dyDescent="0.25">
      <c r="A22763" t="str">
        <f>HYPERLINK("https://www.773grp.com/globalSearch/SMF12AT3G/page-1", "SMF12AT3G")</f>
        <v>SMF12AT3G</v>
      </c>
      <c r="B22763" s="3" t="str">
        <f>HYPERLINK("https://www.773grp.com/manufacturer/onsemi?pageNo=587", "ON Semiconductor")</f>
        <v>ON Semiconductor</v>
      </c>
      <c r="C22763" s="6">
        <v>10000</v>
      </c>
      <c r="D22763" s="7">
        <v>0</v>
      </c>
    </row>
    <row r="22764" spans="1:5" x14ac:dyDescent="0.25">
      <c r="A22764" t="str">
        <f>HYPERLINK("https://www.773grp.com/globalSearch/SMF150AT1G/page-1", "SMF150AT1G")</f>
        <v>SMF150AT1G</v>
      </c>
      <c r="B22764" s="3" t="str">
        <f>HYPERLINK("https://www.773grp.com/manufacturer/onsemi?pageNo=588", "ON Semiconductor")</f>
        <v>ON Semiconductor</v>
      </c>
      <c r="C22764" s="6">
        <v>3000</v>
      </c>
      <c r="D22764" s="7">
        <v>0</v>
      </c>
      <c r="E22764" t="s">
        <v>96</v>
      </c>
    </row>
    <row r="22765" spans="1:5" x14ac:dyDescent="0.25">
      <c r="A22765" t="str">
        <f>HYPERLINK("https://www.773grp.com/globalSearch/SMF24AT1/page-1", "SMF24AT1")</f>
        <v>SMF24AT1</v>
      </c>
      <c r="B22765" s="3" t="str">
        <f>HYPERLINK("https://www.773grp.com/manufacturer/onsemi?pageNo=589", "ON Semiconductor")</f>
        <v>ON Semiconductor</v>
      </c>
      <c r="C22765" s="6">
        <v>6000</v>
      </c>
      <c r="D22765" s="7">
        <v>0</v>
      </c>
      <c r="E22765" t="s">
        <v>96</v>
      </c>
    </row>
    <row r="22766" spans="1:5" x14ac:dyDescent="0.25">
      <c r="A22766" t="str">
        <f>HYPERLINK("https://www.773grp.com/globalSearch/SMF6.0AT1/page-1", "SMF6.0AT1")</f>
        <v>SMF6.0AT1</v>
      </c>
      <c r="B22766" s="3" t="str">
        <f>HYPERLINK("https://www.773grp.com/manufacturer/onsemi?pageNo=590", "ON Semiconductor")</f>
        <v>ON Semiconductor</v>
      </c>
      <c r="C22766" s="6">
        <v>2885</v>
      </c>
      <c r="D22766" s="7">
        <v>0</v>
      </c>
      <c r="E22766" t="s">
        <v>96</v>
      </c>
    </row>
    <row r="22767" spans="1:5" x14ac:dyDescent="0.25">
      <c r="A22767" t="str">
        <f>HYPERLINK("https://www.773grp.com/globalSearch/SMF60AT1/page-1", "SMF60AT1")</f>
        <v>SMF60AT1</v>
      </c>
      <c r="B22767" s="3" t="str">
        <f>HYPERLINK("https://www.773grp.com/manufacturer/onsemi?pageNo=591", "ON Semiconductor")</f>
        <v>ON Semiconductor</v>
      </c>
      <c r="C22767" s="6">
        <v>2964</v>
      </c>
      <c r="D22767" s="7">
        <v>0</v>
      </c>
      <c r="E22767" t="s">
        <v>96</v>
      </c>
    </row>
    <row r="22768" spans="1:5" x14ac:dyDescent="0.25">
      <c r="A22768" t="str">
        <f>HYPERLINK("https://www.773grp.com/globalSearch/SMF64AT1/page-1", "SMF64AT1")</f>
        <v>SMF64AT1</v>
      </c>
      <c r="B22768" s="3" t="str">
        <f>HYPERLINK("https://www.773grp.com/manufacturer/onsemi?pageNo=592", "ON Semiconductor")</f>
        <v>ON Semiconductor</v>
      </c>
      <c r="C22768" s="6">
        <v>5980</v>
      </c>
      <c r="D22768" s="7">
        <v>0</v>
      </c>
      <c r="E22768" t="s">
        <v>96</v>
      </c>
    </row>
    <row r="22769" spans="1:5" x14ac:dyDescent="0.25">
      <c r="A22769" t="str">
        <f>HYPERLINK("https://www.773grp.com/globalSearch/SMF85AT1/page-1", "SMF85AT1")</f>
        <v>SMF85AT1</v>
      </c>
      <c r="B22769" s="3" t="str">
        <f>HYPERLINK("https://www.773grp.com/manufacturer/onsemi?pageNo=593", "ON Semiconductor")</f>
        <v>ON Semiconductor</v>
      </c>
      <c r="C22769" s="6">
        <v>2984</v>
      </c>
      <c r="D22769" s="7">
        <v>0</v>
      </c>
      <c r="E22769" t="s">
        <v>96</v>
      </c>
    </row>
    <row r="22770" spans="1:5" x14ac:dyDescent="0.25">
      <c r="A22770" t="str">
        <f>HYPERLINK("https://www.773grp.com/globalSearch/SMFT3355VLT3/page-1", "SMFT3355VLT3")</f>
        <v>SMFT3355VLT3</v>
      </c>
      <c r="B22770" s="3" t="str">
        <f>HYPERLINK("https://www.773grp.com/manufacturer/onsemi?pageNo=594", "ON Semiconductor")</f>
        <v>ON Semiconductor</v>
      </c>
      <c r="C22770" s="6">
        <v>3892</v>
      </c>
      <c r="D22770" s="7">
        <v>0</v>
      </c>
    </row>
    <row r="22771" spans="1:5" x14ac:dyDescent="0.25">
      <c r="A22771" t="str">
        <f>HYPERLINK("https://www.773grp.com/globalSearch/SMJD200G/page-1", "SMJD200G")</f>
        <v>SMJD200G</v>
      </c>
      <c r="B22771" s="3" t="str">
        <f>HYPERLINK("https://www.773grp.com/manufacturer/onsemi?pageNo=595", "ON Semiconductor")</f>
        <v>ON Semiconductor</v>
      </c>
      <c r="C22771" s="6">
        <v>205</v>
      </c>
      <c r="D22771" s="7">
        <v>0</v>
      </c>
    </row>
    <row r="22772" spans="1:5" x14ac:dyDescent="0.25">
      <c r="A22772" t="str">
        <f>HYPERLINK("https://www.773grp.com/globalSearch/SMM3Z5V1RT1G/page-1", "SMM3Z5V1RT1G")</f>
        <v>SMM3Z5V1RT1G</v>
      </c>
      <c r="B22772" s="3" t="str">
        <f>HYPERLINK("https://www.773grp.com/manufacturer/onsemi?pageNo=596", "ON Semiconductor")</f>
        <v>ON Semiconductor</v>
      </c>
      <c r="C22772" s="6">
        <v>624000</v>
      </c>
      <c r="D22772" s="7">
        <v>0</v>
      </c>
    </row>
    <row r="22773" spans="1:5" x14ac:dyDescent="0.25">
      <c r="A22773" t="str">
        <f>HYPERLINK("https://www.773grp.com/globalSearch/SMM5Z5V1RT1G/page-1", "SMM5Z5V1RT1G")</f>
        <v>SMM5Z5V1RT1G</v>
      </c>
      <c r="B22773" s="3" t="str">
        <f>HYPERLINK("https://www.773grp.com/manufacturer/onsemi?pageNo=597", "ON Semiconductor")</f>
        <v>ON Semiconductor</v>
      </c>
      <c r="C22773" s="6">
        <v>21000</v>
      </c>
      <c r="D22773" s="7">
        <v>0</v>
      </c>
    </row>
    <row r="22774" spans="1:5" x14ac:dyDescent="0.25">
      <c r="A22774" t="str">
        <f>HYPERLINK("https://www.773grp.com/globalSearch/SMMBFJ310LT3/page-1", "SMMBFJ310LT3")</f>
        <v>SMMBFJ310LT3</v>
      </c>
      <c r="B22774" s="3" t="str">
        <f>HYPERLINK("https://www.773grp.com/manufacturer/onsemi?pageNo=598", "ON Semiconductor")</f>
        <v>ON Semiconductor</v>
      </c>
      <c r="C22774" s="6">
        <v>9868</v>
      </c>
      <c r="D22774" s="7">
        <v>0</v>
      </c>
      <c r="E22774" t="s">
        <v>104</v>
      </c>
    </row>
    <row r="22775" spans="1:5" x14ac:dyDescent="0.25">
      <c r="A22775" t="str">
        <f>HYPERLINK("https://www.773grp.com/globalSearch/SMMUN2213LT1/page-1", "SMMUN2213LT1")</f>
        <v>SMMUN2213LT1</v>
      </c>
      <c r="B22775" s="3" t="str">
        <f>HYPERLINK("https://www.773grp.com/manufacturer/onsemi?pageNo=599", "ON Semiconductor")</f>
        <v>ON Semiconductor</v>
      </c>
      <c r="C22775" s="6">
        <v>6000</v>
      </c>
      <c r="D22775" s="7">
        <v>0</v>
      </c>
      <c r="E22775" t="s">
        <v>69</v>
      </c>
    </row>
    <row r="22776" spans="1:5" x14ac:dyDescent="0.25">
      <c r="A22776" t="str">
        <f>HYPERLINK("https://www.773grp.com/globalSearch/SMQA5600T1/page-1", "SMQA5600T1")</f>
        <v>SMQA5600T1</v>
      </c>
      <c r="B22776" s="3" t="str">
        <f>HYPERLINK("https://www.773grp.com/manufacturer/onsemi?pageNo=600", "ON Semiconductor")</f>
        <v>ON Semiconductor</v>
      </c>
      <c r="C22776" s="6">
        <v>99000</v>
      </c>
      <c r="D22776" s="7">
        <v>0</v>
      </c>
    </row>
    <row r="22777" spans="1:5" x14ac:dyDescent="0.25">
      <c r="A22777" t="str">
        <f>HYPERLINK("https://www.773grp.com/globalSearch/SMQA5600T3/page-1", "SMQA5600T3")</f>
        <v>SMQA5600T3</v>
      </c>
      <c r="B22777" s="3" t="str">
        <f>HYPERLINK("https://www.773grp.com/manufacturer/onsemi?pageNo=601", "ON Semiconductor")</f>
        <v>ON Semiconductor</v>
      </c>
      <c r="C22777" s="6">
        <v>50000</v>
      </c>
      <c r="D22777" s="7">
        <v>0</v>
      </c>
    </row>
    <row r="22778" spans="1:5" x14ac:dyDescent="0.25">
      <c r="A22778" t="str">
        <f>HYPERLINK("https://www.773grp.com/globalSearch/SMQA5600T3G/page-1", "SMQA5600T3G")</f>
        <v>SMQA5600T3G</v>
      </c>
      <c r="B22778" s="3" t="str">
        <f>HYPERLINK("https://www.773grp.com/manufacturer/onsemi?pageNo=602", "ON Semiconductor")</f>
        <v>ON Semiconductor</v>
      </c>
      <c r="C22778" s="6">
        <v>10000</v>
      </c>
      <c r="D22778" s="7">
        <v>0</v>
      </c>
    </row>
    <row r="22779" spans="1:5" x14ac:dyDescent="0.25">
      <c r="A22779" t="str">
        <f>HYPERLINK("https://www.773grp.com/globalSearch/SMSZ1008T1G/page-1", "SMSZ1008T1G")</f>
        <v>SMSZ1008T1G</v>
      </c>
      <c r="B22779" s="3" t="str">
        <f>HYPERLINK("https://www.773grp.com/manufacturer/onsemi?pageNo=603", "ON Semiconductor")</f>
        <v>ON Semiconductor</v>
      </c>
      <c r="C22779" s="6">
        <v>30000</v>
      </c>
      <c r="D22779" s="7">
        <v>0</v>
      </c>
    </row>
    <row r="22780" spans="1:5" x14ac:dyDescent="0.25">
      <c r="A22780" t="str">
        <f>HYPERLINK("https://www.773grp.com/globalSearch/SMSZ1023T1G/page-1", "SMSZ1023T1G")</f>
        <v>SMSZ1023T1G</v>
      </c>
      <c r="B22780" s="3" t="str">
        <f>HYPERLINK("https://www.773grp.com/manufacturer/onsemi?pageNo=604", "ON Semiconductor")</f>
        <v>ON Semiconductor</v>
      </c>
      <c r="C22780" s="6">
        <v>30000</v>
      </c>
      <c r="D22780" s="7">
        <v>0</v>
      </c>
    </row>
    <row r="22781" spans="1:5" x14ac:dyDescent="0.25">
      <c r="A22781" t="str">
        <f>HYPERLINK("https://www.773grp.com/globalSearch/SMSZ1600-20T3/page-1", "SMSZ1600-20T3")</f>
        <v>SMSZ1600-20T3</v>
      </c>
      <c r="B22781" s="3" t="str">
        <f>HYPERLINK("https://www.773grp.com/manufacturer/onsemi?pageNo=605", "ON Semiconductor")</f>
        <v>ON Semiconductor</v>
      </c>
      <c r="C22781" s="6">
        <v>30000</v>
      </c>
      <c r="D22781" s="7">
        <v>0</v>
      </c>
    </row>
    <row r="22782" spans="1:5" x14ac:dyDescent="0.25">
      <c r="A22782" t="str">
        <f>HYPERLINK("https://www.773grp.com/globalSearch/SMSZ1603T3DS/page-1", "SMSZ1603T3DS")</f>
        <v>SMSZ1603T3DS</v>
      </c>
      <c r="B22782" s="3" t="str">
        <f>HYPERLINK("https://www.773grp.com/manufacturer/onsemi?pageNo=606", "ON Semiconductor")</f>
        <v>ON Semiconductor</v>
      </c>
      <c r="C22782" s="6">
        <v>90000</v>
      </c>
      <c r="D22782" s="7">
        <v>0</v>
      </c>
    </row>
    <row r="22783" spans="1:5" x14ac:dyDescent="0.25">
      <c r="A22783" t="str">
        <f>HYPERLINK("https://www.773grp.com/globalSearch/SMSZ1604-T3DS/page-1", "SMSZ1604-T3DS")</f>
        <v>SMSZ1604-T3DS</v>
      </c>
      <c r="B22783" s="3" t="str">
        <f>HYPERLINK("https://www.773grp.com/manufacturer/onsemi?pageNo=607", "ON Semiconductor")</f>
        <v>ON Semiconductor</v>
      </c>
      <c r="C22783" s="6">
        <v>100000</v>
      </c>
      <c r="D22783" s="7">
        <v>0</v>
      </c>
    </row>
    <row r="22784" spans="1:5" x14ac:dyDescent="0.25">
      <c r="A22784" t="str">
        <f>HYPERLINK("https://www.773grp.com/globalSearch/SMSZ1605-49T3G/page-1", "SMSZ1605-49T3G")</f>
        <v>SMSZ1605-49T3G</v>
      </c>
      <c r="B22784" s="3" t="str">
        <f>HYPERLINK("https://www.773grp.com/manufacturer/onsemi?pageNo=608", "ON Semiconductor")</f>
        <v>ON Semiconductor</v>
      </c>
      <c r="C22784" s="6">
        <v>60000</v>
      </c>
      <c r="D22784" s="7">
        <v>0</v>
      </c>
    </row>
    <row r="22785" spans="1:5" x14ac:dyDescent="0.25">
      <c r="A22785" t="str">
        <f>HYPERLINK("https://www.773grp.com/globalSearch/SMSZ3707T1/page-1", "SMSZ3707T1")</f>
        <v>SMSZ3707T1</v>
      </c>
      <c r="B22785" s="3" t="str">
        <f>HYPERLINK("https://www.773grp.com/manufacturer/onsemi?pageNo=609", "ON Semiconductor")</f>
        <v>ON Semiconductor</v>
      </c>
      <c r="C22785" s="6">
        <v>60000</v>
      </c>
      <c r="D22785" s="7">
        <v>0</v>
      </c>
    </row>
    <row r="22786" spans="1:5" x14ac:dyDescent="0.25">
      <c r="A22786" t="str">
        <f>HYPERLINK("https://www.773grp.com/globalSearch/SMT05B350T3G/page-1", "SMT05B350T3G")</f>
        <v>SMT05B350T3G</v>
      </c>
      <c r="B22786" s="3" t="str">
        <f>HYPERLINK("https://www.773grp.com/manufacturer/onsemi?pageNo=610", "ON Semiconductor")</f>
        <v>ON Semiconductor</v>
      </c>
      <c r="C22786" s="6">
        <v>50000</v>
      </c>
      <c r="D22786" s="7">
        <v>0</v>
      </c>
    </row>
    <row r="22787" spans="1:5" x14ac:dyDescent="0.25">
      <c r="A22787" t="str">
        <f>HYPERLINK("https://www.773grp.com/globalSearch/SMUN2112T1/page-1", "SMUN2112T1")</f>
        <v>SMUN2112T1</v>
      </c>
      <c r="B22787" s="3" t="str">
        <f>HYPERLINK("https://www.773grp.com/manufacturer/onsemi?pageNo=611", "ON Semiconductor")</f>
        <v>ON Semiconductor</v>
      </c>
      <c r="C22787" s="6">
        <v>66000</v>
      </c>
      <c r="D22787" s="7">
        <v>0</v>
      </c>
      <c r="E22787" t="s">
        <v>69</v>
      </c>
    </row>
    <row r="22788" spans="1:5" x14ac:dyDescent="0.25">
      <c r="A22788" t="str">
        <f>HYPERLINK("https://www.773grp.com/globalSearch/SMUN2232T1/page-1", "SMUN2232T1")</f>
        <v>SMUN2232T1</v>
      </c>
      <c r="B22788" s="3" t="str">
        <f>HYPERLINK("https://www.773grp.com/manufacturer/onsemi?pageNo=612", "ON Semiconductor")</f>
        <v>ON Semiconductor</v>
      </c>
      <c r="C22788" s="6">
        <v>54000</v>
      </c>
      <c r="D22788" s="7">
        <v>0</v>
      </c>
    </row>
    <row r="22789" spans="1:5" x14ac:dyDescent="0.25">
      <c r="A22789" t="str">
        <f>HYPERLINK("https://www.773grp.com/globalSearch/SMUN5114T1/page-1", "SMUN5114T1")</f>
        <v>SMUN5114T1</v>
      </c>
      <c r="B22789" s="3" t="str">
        <f>HYPERLINK("https://www.773grp.com/manufacturer/onsemi?pageNo=613", "ON Semiconductor")</f>
        <v>ON Semiconductor</v>
      </c>
      <c r="C22789" s="6">
        <v>276000</v>
      </c>
      <c r="D22789" s="7">
        <v>0</v>
      </c>
    </row>
    <row r="22790" spans="1:5" x14ac:dyDescent="0.25">
      <c r="A22790" t="str">
        <f>HYPERLINK("https://www.773grp.com/globalSearch/SMUN5211T3/page-1", "SMUN5211T3")</f>
        <v>SMUN5211T3</v>
      </c>
      <c r="B22790" s="3" t="str">
        <f>HYPERLINK("https://www.773grp.com/manufacturer/onsemi?pageNo=614", "ON Semiconductor")</f>
        <v>ON Semiconductor</v>
      </c>
      <c r="C22790" s="6">
        <v>80000</v>
      </c>
      <c r="D22790" s="7">
        <v>0</v>
      </c>
    </row>
    <row r="22791" spans="1:5" x14ac:dyDescent="0.25">
      <c r="A22791" t="str">
        <f>HYPERLINK("https://www.773grp.com/globalSearch/SN74L602MR1/page-1", "SN74L602MR1")</f>
        <v>SN74L602MR1</v>
      </c>
      <c r="B22791" s="3" t="str">
        <f>HYPERLINK("https://www.773grp.com/manufacturer/onsemi?pageNo=615", "ON Semiconductor")</f>
        <v>ON Semiconductor</v>
      </c>
      <c r="C22791" s="6">
        <v>1000</v>
      </c>
      <c r="D22791" s="7">
        <v>0</v>
      </c>
    </row>
    <row r="22792" spans="1:5" x14ac:dyDescent="0.25">
      <c r="A22792" t="str">
        <f>HYPERLINK("https://www.773grp.com/globalSearch/SNDB25N120S2WT1G/page-1", "SNDB25N120S2WT1G")</f>
        <v>SNDB25N120S2WT1G</v>
      </c>
      <c r="B22792" s="3" t="str">
        <f>HYPERLINK("https://www.773grp.com/manufacturer/onsemi?pageNo=616", "ON Semiconductor")</f>
        <v>ON Semiconductor</v>
      </c>
      <c r="C22792" s="6">
        <v>25800</v>
      </c>
      <c r="D22792" s="7">
        <v>0</v>
      </c>
    </row>
    <row r="22793" spans="1:5" x14ac:dyDescent="0.25">
      <c r="A22793" t="str">
        <f>HYPERLINK("https://www.773grp.com/globalSearch/SNP0900SAT3G/page-1", "SNP0900SAT3G")</f>
        <v>SNP0900SAT3G</v>
      </c>
      <c r="B22793" s="3" t="str">
        <f>HYPERLINK("https://www.773grp.com/manufacturer/onsemi?pageNo=617", "ON Semiconductor")</f>
        <v>ON Semiconductor</v>
      </c>
      <c r="C22793" s="6">
        <v>6800</v>
      </c>
      <c r="D22793" s="7">
        <v>0</v>
      </c>
    </row>
    <row r="22794" spans="1:5" x14ac:dyDescent="0.25">
      <c r="A22794" t="str">
        <f>HYPERLINK("https://www.773grp.com/globalSearch/SPM5001-TL-E/page-1", "SPM5001-TL-E")</f>
        <v>SPM5001-TL-E</v>
      </c>
      <c r="B22794" s="3" t="str">
        <f>HYPERLINK("https://www.773grp.com/manufacturer/onsemi?pageNo=618", "ON Semiconductor")</f>
        <v>ON Semiconductor</v>
      </c>
      <c r="C22794" s="6">
        <v>2970</v>
      </c>
      <c r="D22794" s="7">
        <v>0</v>
      </c>
    </row>
    <row r="22795" spans="1:5" x14ac:dyDescent="0.25">
      <c r="A22795" t="str">
        <f>HYPERLINK("https://www.773grp.com/globalSearch/SPP303LSN40T1G/page-1", "SPP303LSN40T1G")</f>
        <v>SPP303LSN40T1G</v>
      </c>
      <c r="B22795" s="3" t="str">
        <f>HYPERLINK("https://www.773grp.com/manufacturer/onsemi?pageNo=619", "ON Semiconductor")</f>
        <v>ON Semiconductor</v>
      </c>
      <c r="C22795" s="6">
        <v>9000</v>
      </c>
      <c r="D22795" s="7">
        <v>0</v>
      </c>
    </row>
    <row r="22796" spans="1:5" x14ac:dyDescent="0.25">
      <c r="A22796" t="str">
        <f>HYPERLINK("https://www.773grp.com/globalSearch/SPPD2030/page-1", "SPPD2030")</f>
        <v>SPPD2030</v>
      </c>
      <c r="B22796" s="3" t="str">
        <f>HYPERLINK("https://www.773grp.com/manufacturer/onsemi?pageNo=620", "ON Semiconductor")</f>
        <v>ON Semiconductor</v>
      </c>
      <c r="C22796" s="6">
        <v>21780</v>
      </c>
      <c r="D22796" s="7">
        <v>0</v>
      </c>
    </row>
    <row r="22797" spans="1:5" x14ac:dyDescent="0.25">
      <c r="A22797" t="str">
        <f>HYPERLINK("https://www.773grp.com/globalSearch/SPS5881RLRP/page-1", "SPS5881RLRP")</f>
        <v>SPS5881RLRP</v>
      </c>
      <c r="B22797" s="3" t="str">
        <f>HYPERLINK("https://www.773grp.com/manufacturer/onsemi?pageNo=621", "ON Semiconductor")</f>
        <v>ON Semiconductor</v>
      </c>
      <c r="C22797" s="6">
        <v>30000</v>
      </c>
      <c r="D22797" s="7">
        <v>0</v>
      </c>
    </row>
    <row r="22798" spans="1:5" x14ac:dyDescent="0.25">
      <c r="A22798" t="str">
        <f>HYPERLINK("https://www.773grp.com/globalSearch/SPS7429RLRE/page-1", "SPS7429RLRE")</f>
        <v>SPS7429RLRE</v>
      </c>
      <c r="B22798" s="3" t="str">
        <f>HYPERLINK("https://www.773grp.com/manufacturer/onsemi?pageNo=622", "ON Semiconductor")</f>
        <v>ON Semiconductor</v>
      </c>
      <c r="C22798" s="6">
        <v>20000</v>
      </c>
      <c r="D22798" s="7">
        <v>0</v>
      </c>
    </row>
    <row r="22799" spans="1:5" x14ac:dyDescent="0.25">
      <c r="A22799" t="str">
        <f>HYPERLINK("https://www.773grp.com/globalSearch/SPS8253RLRP/page-1", "SPS8253RLRP")</f>
        <v>SPS8253RLRP</v>
      </c>
      <c r="B22799" s="3" t="str">
        <f>HYPERLINK("https://www.773grp.com/manufacturer/onsemi?pageNo=623", "ON Semiconductor")</f>
        <v>ON Semiconductor</v>
      </c>
      <c r="C22799" s="6">
        <v>150000</v>
      </c>
      <c r="D22799" s="7">
        <v>0</v>
      </c>
    </row>
    <row r="22800" spans="1:5" x14ac:dyDescent="0.25">
      <c r="A22800" t="str">
        <f>HYPERLINK("https://www.773grp.com/globalSearch/SPS8295-1RLRA/page-1", "SPS8295-1RLRA")</f>
        <v>SPS8295-1RLRA</v>
      </c>
      <c r="B22800" s="3" t="str">
        <f>HYPERLINK("https://www.773grp.com/manufacturer/onsemi?pageNo=624", "ON Semiconductor")</f>
        <v>ON Semiconductor</v>
      </c>
      <c r="C22800" s="6">
        <v>16000</v>
      </c>
      <c r="D22800" s="7">
        <v>0</v>
      </c>
    </row>
    <row r="22801" spans="1:4" x14ac:dyDescent="0.25">
      <c r="A22801" t="str">
        <f>HYPERLINK("https://www.773grp.com/globalSearch/SPS8403/page-1", "SPS8403")</f>
        <v>SPS8403</v>
      </c>
      <c r="B22801" s="3" t="str">
        <f>HYPERLINK("https://www.773grp.com/manufacturer/onsemi?pageNo=625", "ON Semiconductor")</f>
        <v>ON Semiconductor</v>
      </c>
      <c r="C22801" s="6">
        <v>10000</v>
      </c>
      <c r="D22801" s="7">
        <v>0</v>
      </c>
    </row>
    <row r="22802" spans="1:4" x14ac:dyDescent="0.25">
      <c r="A22802" t="str">
        <f>HYPERLINK("https://www.773grp.com/globalSearch/SPS8549RLRP/page-1", "SPS8549RLRP")</f>
        <v>SPS8549RLRP</v>
      </c>
      <c r="B22802" s="3" t="str">
        <f>HYPERLINK("https://www.773grp.com/manufacturer/onsemi?pageNo=626", "ON Semiconductor")</f>
        <v>ON Semiconductor</v>
      </c>
      <c r="C22802" s="6">
        <v>8000</v>
      </c>
      <c r="D22802" s="7">
        <v>0</v>
      </c>
    </row>
    <row r="22803" spans="1:4" x14ac:dyDescent="0.25">
      <c r="A22803" t="str">
        <f>HYPERLINK("https://www.773grp.com/globalSearch/SPS8549RLRPG/page-1", "SPS8549RLRPG")</f>
        <v>SPS8549RLRPG</v>
      </c>
      <c r="B22803" s="3" t="str">
        <f>HYPERLINK("https://www.773grp.com/manufacturer/onsemi?pageNo=627", "ON Semiconductor")</f>
        <v>ON Semiconductor</v>
      </c>
      <c r="C22803" s="6">
        <v>20000</v>
      </c>
      <c r="D22803" s="7">
        <v>0</v>
      </c>
    </row>
    <row r="22804" spans="1:4" x14ac:dyDescent="0.25">
      <c r="A22804" t="str">
        <f>HYPERLINK("https://www.773grp.com/globalSearch/SPS8631RLRA/page-1", "SPS8631RLRA")</f>
        <v>SPS8631RLRA</v>
      </c>
      <c r="B22804" s="3" t="str">
        <f>HYPERLINK("https://www.773grp.com/manufacturer/onsemi?pageNo=628", "ON Semiconductor")</f>
        <v>ON Semiconductor</v>
      </c>
      <c r="C22804" s="6">
        <v>124000</v>
      </c>
      <c r="D22804" s="7">
        <v>0</v>
      </c>
    </row>
    <row r="22805" spans="1:4" x14ac:dyDescent="0.25">
      <c r="A22805" t="str">
        <f>HYPERLINK("https://www.773grp.com/globalSearch/SPS8701RLRB/page-1", "SPS8701RLRB")</f>
        <v>SPS8701RLRB</v>
      </c>
      <c r="B22805" s="3" t="str">
        <f>HYPERLINK("https://www.773grp.com/manufacturer/onsemi?pageNo=629", "ON Semiconductor")</f>
        <v>ON Semiconductor</v>
      </c>
      <c r="C22805" s="6">
        <v>4000</v>
      </c>
      <c r="D22805" s="7">
        <v>0</v>
      </c>
    </row>
    <row r="22806" spans="1:4" x14ac:dyDescent="0.25">
      <c r="A22806" t="str">
        <f>HYPERLINK("https://www.773grp.com/globalSearch/SPS8753QRLRM/page-1", "SPS8753QRLRM")</f>
        <v>SPS8753QRLRM</v>
      </c>
      <c r="B22806" s="3" t="str">
        <f>HYPERLINK("https://www.773grp.com/manufacturer/onsemi?pageNo=630", "ON Semiconductor")</f>
        <v>ON Semiconductor</v>
      </c>
      <c r="C22806" s="6">
        <v>6000</v>
      </c>
      <c r="D22806" s="7">
        <v>0</v>
      </c>
    </row>
    <row r="22807" spans="1:4" x14ac:dyDescent="0.25">
      <c r="A22807" t="str">
        <f>HYPERLINK("https://www.773grp.com/globalSearch/SPS8913QRLRMG/page-1", "SPS8913QRLRMG")</f>
        <v>SPS8913QRLRMG</v>
      </c>
      <c r="B22807" s="3" t="str">
        <f>HYPERLINK("https://www.773grp.com/manufacturer/onsemi?pageNo=631", "ON Semiconductor")</f>
        <v>ON Semiconductor</v>
      </c>
      <c r="C22807" s="6">
        <v>12000</v>
      </c>
      <c r="D22807" s="7">
        <v>0</v>
      </c>
    </row>
    <row r="22808" spans="1:4" x14ac:dyDescent="0.25">
      <c r="A22808" t="str">
        <f>HYPERLINK("https://www.773grp.com/globalSearch/SPS9001/page-1", "SPS9001")</f>
        <v>SPS9001</v>
      </c>
      <c r="B22808" s="3" t="str">
        <f>HYPERLINK("https://www.773grp.com/manufacturer/onsemi?pageNo=632", "ON Semiconductor")</f>
        <v>ON Semiconductor</v>
      </c>
      <c r="C22808" s="6">
        <v>196500</v>
      </c>
      <c r="D22808" s="7">
        <v>0</v>
      </c>
    </row>
    <row r="22809" spans="1:4" x14ac:dyDescent="0.25">
      <c r="A22809" t="str">
        <f>HYPERLINK("https://www.773grp.com/globalSearch/SPS9385QRLRA/page-1", "SPS9385QRLRA")</f>
        <v>SPS9385QRLRA</v>
      </c>
      <c r="B22809" s="3" t="str">
        <f>HYPERLINK("https://www.773grp.com/manufacturer/onsemi?pageNo=633", "ON Semiconductor")</f>
        <v>ON Semiconductor</v>
      </c>
      <c r="C22809" s="6">
        <v>6000</v>
      </c>
      <c r="D22809" s="7">
        <v>0</v>
      </c>
    </row>
    <row r="22810" spans="1:4" x14ac:dyDescent="0.25">
      <c r="A22810" t="str">
        <f>HYPERLINK("https://www.773grp.com/globalSearch/SPS9386QRLRA/page-1", "SPS9386QRLRA")</f>
        <v>SPS9386QRLRA</v>
      </c>
      <c r="B22810" s="3" t="str">
        <f>HYPERLINK("https://www.773grp.com/manufacturer/onsemi?pageNo=634", "ON Semiconductor")</f>
        <v>ON Semiconductor</v>
      </c>
      <c r="C22810" s="6">
        <v>2000</v>
      </c>
      <c r="D22810" s="7">
        <v>0</v>
      </c>
    </row>
    <row r="22811" spans="1:4" x14ac:dyDescent="0.25">
      <c r="A22811" t="str">
        <f>HYPERLINK("https://www.773grp.com/globalSearch/SPS9386QRLRP/page-1", "SPS9386QRLRP")</f>
        <v>SPS9386QRLRP</v>
      </c>
      <c r="B22811" s="3" t="str">
        <f>HYPERLINK("https://www.773grp.com/manufacturer/onsemi?pageNo=635", "ON Semiconductor")</f>
        <v>ON Semiconductor</v>
      </c>
      <c r="C22811" s="6">
        <v>20000</v>
      </c>
      <c r="D22811" s="7">
        <v>0</v>
      </c>
    </row>
    <row r="22812" spans="1:4" x14ac:dyDescent="0.25">
      <c r="A22812" t="str">
        <f>HYPERLINK("https://www.773grp.com/globalSearch/SPS9408RLRM/page-1", "SPS9408RLRM")</f>
        <v>SPS9408RLRM</v>
      </c>
      <c r="B22812" s="3" t="str">
        <f>HYPERLINK("https://www.773grp.com/manufacturer/onsemi?pageNo=636", "ON Semiconductor")</f>
        <v>ON Semiconductor</v>
      </c>
      <c r="C22812" s="6">
        <v>9696</v>
      </c>
      <c r="D22812" s="7">
        <v>0</v>
      </c>
    </row>
    <row r="22813" spans="1:4" x14ac:dyDescent="0.25">
      <c r="A22813" t="str">
        <f>HYPERLINK("https://www.773grp.com/globalSearch/SPS9457RLRM/page-1", "SPS9457RLRM")</f>
        <v>SPS9457RLRM</v>
      </c>
      <c r="B22813" s="3" t="str">
        <f>HYPERLINK("https://www.773grp.com/manufacturer/onsemi?pageNo=637", "ON Semiconductor")</f>
        <v>ON Semiconductor</v>
      </c>
      <c r="C22813" s="6">
        <v>10000</v>
      </c>
      <c r="D22813" s="7">
        <v>0</v>
      </c>
    </row>
    <row r="22814" spans="1:4" x14ac:dyDescent="0.25">
      <c r="A22814" t="str">
        <f>HYPERLINK("https://www.773grp.com/globalSearch/SPS9458RLRM/page-1", "SPS9458RLRM")</f>
        <v>SPS9458RLRM</v>
      </c>
      <c r="B22814" s="3" t="str">
        <f>HYPERLINK("https://www.773grp.com/manufacturer/onsemi?pageNo=638", "ON Semiconductor")</f>
        <v>ON Semiconductor</v>
      </c>
      <c r="C22814" s="6">
        <v>24000</v>
      </c>
      <c r="D22814" s="7">
        <v>0</v>
      </c>
    </row>
    <row r="22815" spans="1:4" x14ac:dyDescent="0.25">
      <c r="A22815" t="str">
        <f>HYPERLINK("https://www.773grp.com/globalSearch/SPS9499QRLRM/page-1", "SPS9499QRLRM")</f>
        <v>SPS9499QRLRM</v>
      </c>
      <c r="B22815" s="3" t="str">
        <f>HYPERLINK("https://www.773grp.com/manufacturer/onsemi?pageNo=639", "ON Semiconductor")</f>
        <v>ON Semiconductor</v>
      </c>
      <c r="C22815" s="6">
        <v>134000</v>
      </c>
      <c r="D22815" s="7">
        <v>0</v>
      </c>
    </row>
    <row r="22816" spans="1:4" x14ac:dyDescent="0.25">
      <c r="A22816" t="str">
        <f>HYPERLINK("https://www.773grp.com/globalSearch/SPS9506RLRM/page-1", "SPS9506RLRM")</f>
        <v>SPS9506RLRM</v>
      </c>
      <c r="B22816" s="3" t="str">
        <f>HYPERLINK("https://www.773grp.com/manufacturer/onsemi?pageNo=640", "ON Semiconductor")</f>
        <v>ON Semiconductor</v>
      </c>
      <c r="C22816" s="6">
        <v>2000</v>
      </c>
      <c r="D22816" s="7">
        <v>0</v>
      </c>
    </row>
    <row r="22817" spans="1:4" x14ac:dyDescent="0.25">
      <c r="A22817" t="str">
        <f>HYPERLINK("https://www.773grp.com/globalSearch/SPS9539QRLRM/page-1", "SPS9539QRLRM")</f>
        <v>SPS9539QRLRM</v>
      </c>
      <c r="B22817" s="3" t="str">
        <f>HYPERLINK("https://www.773grp.com/manufacturer/onsemi?pageNo=641", "ON Semiconductor")</f>
        <v>ON Semiconductor</v>
      </c>
      <c r="C22817" s="6">
        <v>336000</v>
      </c>
      <c r="D22817" s="7">
        <v>0</v>
      </c>
    </row>
    <row r="22818" spans="1:4" x14ac:dyDescent="0.25">
      <c r="A22818" t="str">
        <f>HYPERLINK("https://www.773grp.com/globalSearch/SPS9539QRLRP/page-1", "SPS9539QRLRP")</f>
        <v>SPS9539QRLRP</v>
      </c>
      <c r="B22818" s="3" t="str">
        <f>HYPERLINK("https://www.773grp.com/manufacturer/onsemi?pageNo=642", "ON Semiconductor")</f>
        <v>ON Semiconductor</v>
      </c>
      <c r="C22818" s="6">
        <v>36000</v>
      </c>
      <c r="D22818" s="7">
        <v>0</v>
      </c>
    </row>
    <row r="22819" spans="1:4" x14ac:dyDescent="0.25">
      <c r="A22819" t="str">
        <f>HYPERLINK("https://www.773grp.com/globalSearch/SPS9544QRLRP/page-1", "SPS9544QRLRP")</f>
        <v>SPS9544QRLRP</v>
      </c>
      <c r="B22819" s="3" t="str">
        <f>HYPERLINK("https://www.773grp.com/manufacturer/onsemi?pageNo=643", "ON Semiconductor")</f>
        <v>ON Semiconductor</v>
      </c>
      <c r="C22819" s="6">
        <v>18000</v>
      </c>
      <c r="D22819" s="7">
        <v>0</v>
      </c>
    </row>
    <row r="22820" spans="1:4" x14ac:dyDescent="0.25">
      <c r="A22820" t="str">
        <f>HYPERLINK("https://www.773grp.com/globalSearch/SPS9550RLRA/page-1", "SPS9550RLRA")</f>
        <v>SPS9550RLRA</v>
      </c>
      <c r="B22820" s="3" t="str">
        <f>HYPERLINK("https://www.773grp.com/manufacturer/onsemi?pageNo=644", "ON Semiconductor")</f>
        <v>ON Semiconductor</v>
      </c>
      <c r="C22820" s="6">
        <v>14000</v>
      </c>
      <c r="D22820" s="7">
        <v>0</v>
      </c>
    </row>
    <row r="22821" spans="1:4" x14ac:dyDescent="0.25">
      <c r="A22821" t="str">
        <f>HYPERLINK("https://www.773grp.com/globalSearch/SPS9550RLRAG/page-1", "SPS9550RLRAG")</f>
        <v>SPS9550RLRAG</v>
      </c>
      <c r="B22821" s="3" t="str">
        <f>HYPERLINK("https://www.773grp.com/manufacturer/onsemi?pageNo=645", "ON Semiconductor")</f>
        <v>ON Semiconductor</v>
      </c>
      <c r="C22821" s="6">
        <v>20000</v>
      </c>
      <c r="D22821" s="7">
        <v>0</v>
      </c>
    </row>
    <row r="22822" spans="1:4" x14ac:dyDescent="0.25">
      <c r="A22822" t="str">
        <f>HYPERLINK("https://www.773grp.com/globalSearch/SPS9565RLRA/page-1", "SPS9565RLRA")</f>
        <v>SPS9565RLRA</v>
      </c>
      <c r="B22822" s="3" t="str">
        <f>HYPERLINK("https://www.773grp.com/manufacturer/onsemi?pageNo=646", "ON Semiconductor")</f>
        <v>ON Semiconductor</v>
      </c>
      <c r="C22822" s="6">
        <v>8000</v>
      </c>
      <c r="D22822" s="7">
        <v>0</v>
      </c>
    </row>
    <row r="22823" spans="1:4" x14ac:dyDescent="0.25">
      <c r="A22823" t="str">
        <f>HYPERLINK("https://www.773grp.com/globalSearch/SPS9569RLRA/page-1", "SPS9569RLRA")</f>
        <v>SPS9569RLRA</v>
      </c>
      <c r="B22823" s="3" t="str">
        <f>HYPERLINK("https://www.773grp.com/manufacturer/onsemi?pageNo=647", "ON Semiconductor")</f>
        <v>ON Semiconductor</v>
      </c>
      <c r="C22823" s="6">
        <v>332000</v>
      </c>
      <c r="D22823" s="7">
        <v>0</v>
      </c>
    </row>
    <row r="22824" spans="1:4" x14ac:dyDescent="0.25">
      <c r="A22824" t="str">
        <f>HYPERLINK("https://www.773grp.com/globalSearch/SPS9587QRLRP/page-1", "SPS9587QRLRP")</f>
        <v>SPS9587QRLRP</v>
      </c>
      <c r="B22824" s="3" t="str">
        <f>HYPERLINK("https://www.773grp.com/manufacturer/onsemi?pageNo=648", "ON Semiconductor")</f>
        <v>ON Semiconductor</v>
      </c>
      <c r="C22824" s="6">
        <v>30000</v>
      </c>
      <c r="D22824" s="7">
        <v>0</v>
      </c>
    </row>
    <row r="22825" spans="1:4" x14ac:dyDescent="0.25">
      <c r="A22825" t="str">
        <f>HYPERLINK("https://www.773grp.com/globalSearch/SPS9590RLRE/page-1", "SPS9590RLRE")</f>
        <v>SPS9590RLRE</v>
      </c>
      <c r="B22825" s="3" t="str">
        <f>HYPERLINK("https://www.773grp.com/manufacturer/onsemi?pageNo=649", "ON Semiconductor")</f>
        <v>ON Semiconductor</v>
      </c>
      <c r="C22825" s="6">
        <v>16000</v>
      </c>
      <c r="D22825" s="7">
        <v>0</v>
      </c>
    </row>
    <row r="22826" spans="1:4" x14ac:dyDescent="0.25">
      <c r="A22826" t="str">
        <f>HYPERLINK("https://www.773grp.com/globalSearch/SPS9594-1RLRP/page-1", "SPS9594-1RLRP")</f>
        <v>SPS9594-1RLRP</v>
      </c>
      <c r="B22826" s="3" t="str">
        <f>HYPERLINK("https://www.773grp.com/manufacturer/onsemi?pageNo=650", "ON Semiconductor")</f>
        <v>ON Semiconductor</v>
      </c>
      <c r="C22826" s="6">
        <v>6000</v>
      </c>
      <c r="D22826" s="7">
        <v>0</v>
      </c>
    </row>
    <row r="22827" spans="1:4" x14ac:dyDescent="0.25">
      <c r="A22827" t="str">
        <f>HYPERLINK("https://www.773grp.com/globalSearch/SR3980/page-1", "SR3980")</f>
        <v>SR3980</v>
      </c>
      <c r="B22827" s="3" t="str">
        <f>HYPERLINK("https://www.773grp.com/manufacturer/onsemi?pageNo=651", "ON Semiconductor")</f>
        <v>ON Semiconductor</v>
      </c>
      <c r="C22827" s="6">
        <v>2200</v>
      </c>
      <c r="D22827" s="7">
        <v>0</v>
      </c>
    </row>
    <row r="22828" spans="1:4" x14ac:dyDescent="0.25">
      <c r="A22828" t="str">
        <f>HYPERLINK("https://www.773grp.com/globalSearch/SR4004ARLG/page-1", "SR4004ARLG")</f>
        <v>SR4004ARLG</v>
      </c>
      <c r="B22828" s="3" t="str">
        <f>HYPERLINK("https://www.773grp.com/manufacturer/onsemi?pageNo=652", "ON Semiconductor")</f>
        <v>ON Semiconductor</v>
      </c>
      <c r="C22828" s="6">
        <v>20000</v>
      </c>
      <c r="D22828" s="7">
        <v>0</v>
      </c>
    </row>
    <row r="22829" spans="1:4" x14ac:dyDescent="0.25">
      <c r="A22829" t="str">
        <f>HYPERLINK("https://www.773grp.com/globalSearch/SR4115LF/page-1", "SR4115LF")</f>
        <v>SR4115LF</v>
      </c>
      <c r="B22829" s="3" t="str">
        <f>HYPERLINK("https://www.773grp.com/manufacturer/onsemi?pageNo=653", "ON Semiconductor")</f>
        <v>ON Semiconductor</v>
      </c>
      <c r="C22829" s="6">
        <v>1100</v>
      </c>
      <c r="D22829" s="7">
        <v>0</v>
      </c>
    </row>
    <row r="22830" spans="1:4" x14ac:dyDescent="0.25">
      <c r="A22830" t="str">
        <f>HYPERLINK("https://www.773grp.com/globalSearch/SR4115LO/page-1", "SR4115LO")</f>
        <v>SR4115LO</v>
      </c>
      <c r="B22830" s="3" t="str">
        <f>HYPERLINK("https://www.773grp.com/manufacturer/onsemi?pageNo=654", "ON Semiconductor")</f>
        <v>ON Semiconductor</v>
      </c>
      <c r="C22830" s="6">
        <v>2000</v>
      </c>
      <c r="D22830" s="7">
        <v>0</v>
      </c>
    </row>
    <row r="22831" spans="1:4" x14ac:dyDescent="0.25">
      <c r="A22831" t="str">
        <f>HYPERLINK("https://www.773grp.com/globalSearch/SR4116LC/page-1", "SR4116LC")</f>
        <v>SR4116LC</v>
      </c>
      <c r="B22831" s="3" t="str">
        <f>HYPERLINK("https://www.773grp.com/manufacturer/onsemi?pageNo=655", "ON Semiconductor")</f>
        <v>ON Semiconductor</v>
      </c>
      <c r="C22831" s="6">
        <v>1550</v>
      </c>
      <c r="D22831" s="7">
        <v>0</v>
      </c>
    </row>
    <row r="22832" spans="1:4" x14ac:dyDescent="0.25">
      <c r="A22832" t="str">
        <f>HYPERLINK("https://www.773grp.com/globalSearch/SR4258LRL/page-1", "SR4258LRL")</f>
        <v>SR4258LRL</v>
      </c>
      <c r="B22832" s="3" t="str">
        <f>HYPERLINK("https://www.773grp.com/manufacturer/onsemi?pageNo=656", "ON Semiconductor")</f>
        <v>ON Semiconductor</v>
      </c>
      <c r="C22832" s="6">
        <v>21600</v>
      </c>
      <c r="D22832" s="7">
        <v>0</v>
      </c>
    </row>
    <row r="22833" spans="1:4" x14ac:dyDescent="0.25">
      <c r="A22833" t="str">
        <f>HYPERLINK("https://www.773grp.com/globalSearch/SR4389/page-1", "SR4389")</f>
        <v>SR4389</v>
      </c>
      <c r="B22833" s="3" t="str">
        <f>HYPERLINK("https://www.773grp.com/manufacturer/onsemi?pageNo=657", "ON Semiconductor")</f>
        <v>ON Semiconductor</v>
      </c>
      <c r="C22833" s="6">
        <v>5000</v>
      </c>
      <c r="D22833" s="7">
        <v>0</v>
      </c>
    </row>
    <row r="22834" spans="1:4" x14ac:dyDescent="0.25">
      <c r="A22834" t="str">
        <f>HYPERLINK("https://www.773grp.com/globalSearch/SR4410LRL/page-1", "SR4410LRL")</f>
        <v>SR4410LRL</v>
      </c>
      <c r="B22834" s="3" t="str">
        <f>HYPERLINK("https://www.773grp.com/manufacturer/onsemi?pageNo=658", "ON Semiconductor")</f>
        <v>ON Semiconductor</v>
      </c>
      <c r="C22834" s="6">
        <v>177600</v>
      </c>
      <c r="D22834" s="7">
        <v>0</v>
      </c>
    </row>
    <row r="22835" spans="1:4" x14ac:dyDescent="0.25">
      <c r="A22835" t="str">
        <f>HYPERLINK("https://www.773grp.com/globalSearch/SR4415-2LF/page-1", "SR4415-2LF")</f>
        <v>SR4415-2LF</v>
      </c>
      <c r="B22835" s="3" t="str">
        <f>HYPERLINK("https://www.773grp.com/manufacturer/onsemi?pageNo=659", "ON Semiconductor")</f>
        <v>ON Semiconductor</v>
      </c>
      <c r="C22835" s="6">
        <v>500</v>
      </c>
      <c r="D22835" s="7">
        <v>0</v>
      </c>
    </row>
    <row r="22836" spans="1:4" x14ac:dyDescent="0.25">
      <c r="A22836" t="str">
        <f>HYPERLINK("https://www.773grp.com/globalSearch/SR4434LF/page-1", "SR4434LF")</f>
        <v>SR4434LF</v>
      </c>
      <c r="B22836" s="3" t="str">
        <f>HYPERLINK("https://www.773grp.com/manufacturer/onsemi?pageNo=660", "ON Semiconductor")</f>
        <v>ON Semiconductor</v>
      </c>
      <c r="C22836" s="6">
        <v>500</v>
      </c>
      <c r="D22836" s="7">
        <v>0</v>
      </c>
    </row>
    <row r="22837" spans="1:4" x14ac:dyDescent="0.25">
      <c r="A22837" t="str">
        <f>HYPERLINK("https://www.773grp.com/globalSearch/SR4445/page-1", "SR4445")</f>
        <v>SR4445</v>
      </c>
      <c r="B22837" s="3" t="str">
        <f>HYPERLINK("https://www.773grp.com/manufacturer/onsemi?pageNo=661", "ON Semiconductor")</f>
        <v>ON Semiconductor</v>
      </c>
      <c r="C22837" s="6">
        <v>30000</v>
      </c>
      <c r="D22837" s="7">
        <v>0</v>
      </c>
    </row>
    <row r="22838" spans="1:4" x14ac:dyDescent="0.25">
      <c r="A22838" t="str">
        <f>HYPERLINK("https://www.773grp.com/globalSearch/SR4475S/page-1", "SR4475S")</f>
        <v>SR4475S</v>
      </c>
      <c r="B22838" s="3" t="str">
        <f>HYPERLINK("https://www.773grp.com/manufacturer/onsemi?pageNo=662", "ON Semiconductor")</f>
        <v>ON Semiconductor</v>
      </c>
      <c r="C22838" s="6">
        <v>4000</v>
      </c>
      <c r="D22838" s="7">
        <v>0</v>
      </c>
    </row>
    <row r="22839" spans="1:4" x14ac:dyDescent="0.25">
      <c r="A22839" t="str">
        <f>HYPERLINK("https://www.773grp.com/globalSearch/SR4488T3/page-1", "SR4488T3")</f>
        <v>SR4488T3</v>
      </c>
      <c r="B22839" s="3" t="str">
        <f>HYPERLINK("https://www.773grp.com/manufacturer/onsemi?pageNo=663", "ON Semiconductor")</f>
        <v>ON Semiconductor</v>
      </c>
      <c r="C22839" s="6">
        <v>220000</v>
      </c>
      <c r="D22839" s="7">
        <v>0</v>
      </c>
    </row>
    <row r="22840" spans="1:4" x14ac:dyDescent="0.25">
      <c r="A22840" t="str">
        <f>HYPERLINK("https://www.773grp.com/globalSearch/SR6133RLG/page-1", "SR6133RLG")</f>
        <v>SR6133RLG</v>
      </c>
      <c r="B22840" s="3" t="str">
        <f>HYPERLINK("https://www.773grp.com/manufacturer/onsemi?pageNo=664", "ON Semiconductor")</f>
        <v>ON Semiconductor</v>
      </c>
      <c r="C22840" s="6">
        <v>20000</v>
      </c>
      <c r="D22840" s="7">
        <v>0</v>
      </c>
    </row>
    <row r="22841" spans="1:4" x14ac:dyDescent="0.25">
      <c r="A22841" t="str">
        <f>HYPERLINK("https://www.773grp.com/globalSearch/SR752LF/page-1", "SR752LF")</f>
        <v>SR752LF</v>
      </c>
      <c r="B22841" s="3" t="str">
        <f>HYPERLINK("https://www.773grp.com/manufacturer/onsemi?pageNo=665", "ON Semiconductor")</f>
        <v>ON Semiconductor</v>
      </c>
      <c r="C22841" s="6">
        <v>2300</v>
      </c>
      <c r="D22841" s="7">
        <v>0</v>
      </c>
    </row>
    <row r="22842" spans="1:4" x14ac:dyDescent="0.25">
      <c r="A22842" t="str">
        <f>HYPERLINK("https://www.773grp.com/globalSearch/SRA5325T3/page-1", "SRA5325T3")</f>
        <v>SRA5325T3</v>
      </c>
      <c r="B22842" s="3" t="str">
        <f>HYPERLINK("https://www.773grp.com/manufacturer/onsemi?pageNo=666", "ON Semiconductor")</f>
        <v>ON Semiconductor</v>
      </c>
      <c r="C22842" s="6">
        <v>50000</v>
      </c>
      <c r="D22842" s="7">
        <v>0</v>
      </c>
    </row>
    <row r="22843" spans="1:4" x14ac:dyDescent="0.25">
      <c r="A22843" t="str">
        <f>HYPERLINK("https://www.773grp.com/globalSearch/SRJ4413LF/page-1", "SRJ4413LF")</f>
        <v>SRJ4413LF</v>
      </c>
      <c r="B22843" s="3" t="str">
        <f>HYPERLINK("https://www.773grp.com/manufacturer/onsemi?pageNo=667", "ON Semiconductor")</f>
        <v>ON Semiconductor</v>
      </c>
      <c r="C22843" s="6">
        <v>15000</v>
      </c>
      <c r="D22843" s="7">
        <v>0</v>
      </c>
    </row>
    <row r="22844" spans="1:4" x14ac:dyDescent="0.25">
      <c r="A22844" t="str">
        <f>HYPERLINK("https://www.773grp.com/globalSearch/SRJ4416LF/page-1", "SRJ4416LF")</f>
        <v>SRJ4416LF</v>
      </c>
      <c r="B22844" s="3" t="str">
        <f>HYPERLINK("https://www.773grp.com/manufacturer/onsemi?pageNo=668", "ON Semiconductor")</f>
        <v>ON Semiconductor</v>
      </c>
      <c r="C22844" s="6">
        <v>3800</v>
      </c>
      <c r="D22844" s="7">
        <v>0</v>
      </c>
    </row>
    <row r="22845" spans="1:4" x14ac:dyDescent="0.25">
      <c r="A22845" t="str">
        <f>HYPERLINK("https://www.773grp.com/globalSearch/SRJ4416LFG/page-1", "SRJ4416LFG")</f>
        <v>SRJ4416LFG</v>
      </c>
      <c r="B22845" s="3" t="str">
        <f>HYPERLINK("https://www.773grp.com/manufacturer/onsemi?pageNo=669", "ON Semiconductor")</f>
        <v>ON Semiconductor</v>
      </c>
      <c r="C22845" s="6">
        <v>157758</v>
      </c>
      <c r="D22845" s="7">
        <v>0</v>
      </c>
    </row>
    <row r="22846" spans="1:4" x14ac:dyDescent="0.25">
      <c r="A22846" t="str">
        <f>HYPERLINK("https://www.773grp.com/globalSearch/SRJ4418LF/page-1", "SRJ4418LF")</f>
        <v>SRJ4418LF</v>
      </c>
      <c r="B22846" s="3" t="str">
        <f>HYPERLINK("https://www.773grp.com/manufacturer/onsemi?pageNo=670", "ON Semiconductor")</f>
        <v>ON Semiconductor</v>
      </c>
      <c r="C22846" s="6">
        <v>8459</v>
      </c>
      <c r="D22846" s="7">
        <v>0</v>
      </c>
    </row>
    <row r="22847" spans="1:4" x14ac:dyDescent="0.25">
      <c r="A22847" t="str">
        <f>HYPERLINK("https://www.773grp.com/globalSearch/SRJ4434LF/page-1", "SRJ4434LF")</f>
        <v>SRJ4434LF</v>
      </c>
      <c r="B22847" s="3" t="str">
        <f>HYPERLINK("https://www.773grp.com/manufacturer/onsemi?pageNo=671", "ON Semiconductor")</f>
        <v>ON Semiconductor</v>
      </c>
      <c r="C22847" s="6">
        <v>57400</v>
      </c>
      <c r="D22847" s="7">
        <v>0</v>
      </c>
    </row>
    <row r="22848" spans="1:4" x14ac:dyDescent="0.25">
      <c r="A22848" t="str">
        <f>HYPERLINK("https://www.773grp.com/globalSearch/SRJ4434LFG/page-1", "SRJ4434LFG")</f>
        <v>SRJ4434LFG</v>
      </c>
      <c r="B22848" s="3" t="str">
        <f>HYPERLINK("https://www.773grp.com/manufacturer/onsemi?pageNo=672", "ON Semiconductor")</f>
        <v>ON Semiconductor</v>
      </c>
      <c r="C22848" s="6">
        <v>2200</v>
      </c>
      <c r="D22848" s="7">
        <v>0</v>
      </c>
    </row>
    <row r="22849" spans="1:4" x14ac:dyDescent="0.25">
      <c r="A22849" t="str">
        <f>HYPERLINK("https://www.773grp.com/globalSearch/SRJ4483LF/page-1", "SRJ4483LF")</f>
        <v>SRJ4483LF</v>
      </c>
      <c r="B22849" s="3" t="str">
        <f>HYPERLINK("https://www.773grp.com/manufacturer/onsemi?pageNo=673", "ON Semiconductor")</f>
        <v>ON Semiconductor</v>
      </c>
      <c r="C22849" s="6">
        <v>4450</v>
      </c>
      <c r="D22849" s="7">
        <v>0</v>
      </c>
    </row>
    <row r="22850" spans="1:4" x14ac:dyDescent="0.25">
      <c r="A22850" t="str">
        <f>HYPERLINK("https://www.773grp.com/globalSearch/SSTUMT1DMW6T1/page-1", "SSTUMT1DMW6T1")</f>
        <v>SSTUMT1DMW6T1</v>
      </c>
      <c r="B22850" s="3" t="str">
        <f>HYPERLINK("https://www.773grp.com/manufacturer/onsemi?pageNo=674", "ON Semiconductor")</f>
        <v>ON Semiconductor</v>
      </c>
      <c r="C22850" s="6">
        <v>78000</v>
      </c>
      <c r="D22850" s="7">
        <v>0</v>
      </c>
    </row>
    <row r="22851" spans="1:4" x14ac:dyDescent="0.25">
      <c r="A22851" t="str">
        <f>HYPERLINK("https://www.773grp.com/globalSearch/SSV1MPS2907A/page-1", "SSV1MPS2907A")</f>
        <v>SSV1MPS2907A</v>
      </c>
      <c r="B22851" s="3" t="str">
        <f>HYPERLINK("https://www.773grp.com/manufacturer/onsemi?pageNo=675", "ON Semiconductor")</f>
        <v>ON Semiconductor</v>
      </c>
      <c r="C22851" s="6">
        <v>95000</v>
      </c>
      <c r="D22851" s="7">
        <v>0</v>
      </c>
    </row>
    <row r="22852" spans="1:4" x14ac:dyDescent="0.25">
      <c r="A22852" t="str">
        <f>HYPERLINK("https://www.773grp.com/globalSearch/SSV1MUN2211T1/page-1", "SSV1MUN2211T1")</f>
        <v>SSV1MUN2211T1</v>
      </c>
      <c r="B22852" s="3" t="str">
        <f>HYPERLINK("https://www.773grp.com/manufacturer/onsemi?pageNo=676", "ON Semiconductor")</f>
        <v>ON Semiconductor</v>
      </c>
      <c r="C22852" s="6">
        <v>24000</v>
      </c>
      <c r="D22852" s="7">
        <v>0</v>
      </c>
    </row>
    <row r="22853" spans="1:4" x14ac:dyDescent="0.25">
      <c r="A22853" t="str">
        <f>HYPERLINK("https://www.773grp.com/globalSearch/STA1001/page-1", "STA1001")</f>
        <v>STA1001</v>
      </c>
      <c r="B22853" s="3" t="str">
        <f>HYPERLINK("https://www.773grp.com/manufacturer/onsemi?pageNo=677", "ON Semiconductor")</f>
        <v>ON Semiconductor</v>
      </c>
      <c r="C22853" s="6">
        <v>6600</v>
      </c>
      <c r="D22853" s="7">
        <v>0</v>
      </c>
    </row>
    <row r="22854" spans="1:4" x14ac:dyDescent="0.25">
      <c r="A22854" t="str">
        <f>HYPERLINK("https://www.773grp.com/globalSearch/STB1081L3/page-1", "STB1081L3")</f>
        <v>STB1081L3</v>
      </c>
      <c r="B22854" s="3" t="str">
        <f>HYPERLINK("https://www.773grp.com/manufacturer/onsemi?pageNo=678", "ON Semiconductor")</f>
        <v>ON Semiconductor</v>
      </c>
      <c r="C22854" s="6">
        <v>8900</v>
      </c>
      <c r="D22854" s="7">
        <v>0</v>
      </c>
    </row>
    <row r="22855" spans="1:4" x14ac:dyDescent="0.25">
      <c r="A22855" t="str">
        <f>HYPERLINK("https://www.773grp.com/globalSearch/STB1081SL3G/page-1", "STB1081SL3G")</f>
        <v>STB1081SL3G</v>
      </c>
      <c r="B22855" s="3" t="str">
        <f>HYPERLINK("https://www.773grp.com/manufacturer/onsemi?pageNo=679", "ON Semiconductor")</f>
        <v>ON Semiconductor</v>
      </c>
      <c r="C22855" s="6">
        <v>8000</v>
      </c>
      <c r="D22855" s="7">
        <v>0</v>
      </c>
    </row>
    <row r="22856" spans="1:4" x14ac:dyDescent="0.25">
      <c r="A22856" t="str">
        <f>HYPERLINK("https://www.773grp.com/globalSearch/STB1081TF4G/page-1", "STB1081TF4G")</f>
        <v>STB1081TF4G</v>
      </c>
      <c r="B22856" s="3" t="str">
        <f>HYPERLINK("https://www.773grp.com/manufacturer/onsemi?pageNo=680", "ON Semiconductor")</f>
        <v>ON Semiconductor</v>
      </c>
      <c r="C22856" s="6">
        <v>15450</v>
      </c>
      <c r="D22856" s="7">
        <v>0</v>
      </c>
    </row>
    <row r="22857" spans="1:4" x14ac:dyDescent="0.25">
      <c r="A22857" t="str">
        <f>HYPERLINK("https://www.773grp.com/globalSearch/STD1010ET4/page-1", "STD1010ET4")</f>
        <v>STD1010ET4</v>
      </c>
      <c r="B22857" s="3" t="str">
        <f>HYPERLINK("https://www.773grp.com/manufacturer/onsemi?pageNo=681", "ON Semiconductor")</f>
        <v>ON Semiconductor</v>
      </c>
      <c r="C22857" s="6">
        <v>40000</v>
      </c>
      <c r="D22857" s="7">
        <v>0</v>
      </c>
    </row>
    <row r="22858" spans="1:4" x14ac:dyDescent="0.25">
      <c r="A22858" t="str">
        <f>HYPERLINK("https://www.773grp.com/globalSearch/STD1010ET4/page-1", "STD1010ET4")</f>
        <v>STD1010ET4</v>
      </c>
      <c r="B22858" s="3" t="str">
        <f>HYPERLINK("https://www.773grp.com/manufacturer/onsemi?pageNo=682", "ON Semiconductor")</f>
        <v>ON Semiconductor</v>
      </c>
      <c r="C22858" s="6">
        <v>17500</v>
      </c>
      <c r="D22858" s="7">
        <v>0</v>
      </c>
    </row>
    <row r="22859" spans="1:4" x14ac:dyDescent="0.25">
      <c r="A22859" t="str">
        <f>HYPERLINK("https://www.773grp.com/globalSearch/STD1063T4/page-1", "STD1063T4")</f>
        <v>STD1063T4</v>
      </c>
      <c r="B22859" s="3" t="str">
        <f>HYPERLINK("https://www.773grp.com/manufacturer/onsemi?pageNo=683", "ON Semiconductor")</f>
        <v>ON Semiconductor</v>
      </c>
      <c r="C22859" s="6">
        <v>5000</v>
      </c>
      <c r="D22859" s="7">
        <v>0</v>
      </c>
    </row>
    <row r="22860" spans="1:4" x14ac:dyDescent="0.25">
      <c r="A22860" t="str">
        <f>HYPERLINK("https://www.773grp.com/globalSearch/STD1910LFKBT4/page-1", "STD1910LFKBT4")</f>
        <v>STD1910LFKBT4</v>
      </c>
      <c r="B22860" s="3" t="str">
        <f>HYPERLINK("https://www.773grp.com/manufacturer/onsemi?pageNo=684", "ON Semiconductor")</f>
        <v>ON Semiconductor</v>
      </c>
      <c r="C22860" s="6">
        <v>2500</v>
      </c>
      <c r="D22860" s="7">
        <v>0</v>
      </c>
    </row>
    <row r="22861" spans="1:4" x14ac:dyDescent="0.25">
      <c r="A22861" t="str">
        <f>HYPERLINK("https://www.773grp.com/globalSearch/STD2002T4/page-1", "STD2002T4")</f>
        <v>STD2002T4</v>
      </c>
      <c r="B22861" s="3" t="str">
        <f>HYPERLINK("https://www.773grp.com/manufacturer/onsemi?pageNo=685", "ON Semiconductor")</f>
        <v>ON Semiconductor</v>
      </c>
      <c r="C22861" s="6">
        <v>10000</v>
      </c>
      <c r="D22861" s="7">
        <v>0</v>
      </c>
    </row>
    <row r="22862" spans="1:4" x14ac:dyDescent="0.25">
      <c r="A22862" t="str">
        <f>HYPERLINK("https://www.773grp.com/globalSearch/STD60N02R-011/page-1", "STD60N02R-011")</f>
        <v>STD60N02R-011</v>
      </c>
      <c r="B22862" s="3" t="str">
        <f>HYPERLINK("https://www.773grp.com/manufacturer/onsemi?pageNo=686", "ON Semiconductor")</f>
        <v>ON Semiconductor</v>
      </c>
      <c r="C22862" s="6">
        <v>24300</v>
      </c>
      <c r="D22862" s="7">
        <v>0</v>
      </c>
    </row>
    <row r="22863" spans="1:4" x14ac:dyDescent="0.25">
      <c r="A22863" t="str">
        <f>HYPERLINK("https://www.773grp.com/globalSearch/STD80N02-011/page-1", "STD80N02-011")</f>
        <v>STD80N02-011</v>
      </c>
      <c r="B22863" s="3" t="str">
        <f>HYPERLINK("https://www.773grp.com/manufacturer/onsemi?pageNo=687", "ON Semiconductor")</f>
        <v>ON Semiconductor</v>
      </c>
      <c r="C22863" s="6">
        <v>49575</v>
      </c>
      <c r="D22863" s="7">
        <v>0</v>
      </c>
    </row>
    <row r="22864" spans="1:4" x14ac:dyDescent="0.25">
      <c r="A22864" t="str">
        <f>HYPERLINK("https://www.773grp.com/globalSearch/STD80N02-011G/page-1", "STD80N02-011G")</f>
        <v>STD80N02-011G</v>
      </c>
      <c r="B22864" s="3" t="str">
        <f>HYPERLINK("https://www.773grp.com/manufacturer/onsemi?pageNo=688", "ON Semiconductor")</f>
        <v>ON Semiconductor</v>
      </c>
      <c r="C22864" s="6">
        <v>141075</v>
      </c>
      <c r="D22864" s="7">
        <v>0</v>
      </c>
    </row>
    <row r="22865" spans="1:4" x14ac:dyDescent="0.25">
      <c r="A22865" t="str">
        <f>HYPERLINK("https://www.773grp.com/globalSearch/STK6712BMK3-E/page-1", "STK6712BMK3-E")</f>
        <v>STK6712BMK3-E</v>
      </c>
      <c r="B22865" s="3" t="str">
        <f>HYPERLINK("https://www.773grp.com/manufacturer/onsemi?pageNo=689", "ON Semiconductor")</f>
        <v>ON Semiconductor</v>
      </c>
      <c r="C22865" s="6">
        <v>108</v>
      </c>
      <c r="D22865" s="7">
        <v>0</v>
      </c>
    </row>
    <row r="22866" spans="1:4" x14ac:dyDescent="0.25">
      <c r="A22866" t="str">
        <f>HYPERLINK("https://www.773grp.com/globalSearch/STLJD3115PT1G/page-1", "STLJD3115PT1G")</f>
        <v>STLJD3115PT1G</v>
      </c>
      <c r="B22866" s="3" t="str">
        <f>HYPERLINK("https://www.773grp.com/manufacturer/onsemi?pageNo=690", "ON Semiconductor")</f>
        <v>ON Semiconductor</v>
      </c>
      <c r="C22866" s="6">
        <v>111000</v>
      </c>
      <c r="D22866" s="7">
        <v>0</v>
      </c>
    </row>
    <row r="22867" spans="1:4" x14ac:dyDescent="0.25">
      <c r="A22867" t="str">
        <f>HYPERLINK("https://www.773grp.com/globalSearch/STMFS4834NST/page-1", "STMFS4834NST")</f>
        <v>STMFS4834NST</v>
      </c>
      <c r="B22867" s="3" t="str">
        <f>HYPERLINK("https://www.773grp.com/manufacturer/onsemi?pageNo=691", "ON Semiconductor")</f>
        <v>ON Semiconductor</v>
      </c>
      <c r="C22867" s="6">
        <v>6000</v>
      </c>
      <c r="D22867" s="7">
        <v>0</v>
      </c>
    </row>
    <row r="22868" spans="1:4" x14ac:dyDescent="0.25">
      <c r="A22868" t="str">
        <f>HYPERLINK("https://www.773grp.com/globalSearch/STMFS4834NST1G/page-1", "STMFS4834NST1G")</f>
        <v>STMFS4834NST1G</v>
      </c>
      <c r="B22868" s="3" t="str">
        <f>HYPERLINK("https://www.773grp.com/manufacturer/onsemi?pageNo=692", "ON Semiconductor")</f>
        <v>ON Semiconductor</v>
      </c>
      <c r="C22868" s="6">
        <v>205500</v>
      </c>
      <c r="D22868" s="7">
        <v>0</v>
      </c>
    </row>
    <row r="22869" spans="1:4" x14ac:dyDescent="0.25">
      <c r="A22869" t="str">
        <f>HYPERLINK("https://www.773grp.com/globalSearch/STMFS4855NST1G/page-1", "STMFS4855NST1G")</f>
        <v>STMFS4855NST1G</v>
      </c>
      <c r="B22869" s="3" t="str">
        <f>HYPERLINK("https://www.773grp.com/manufacturer/onsemi?pageNo=693", "ON Semiconductor")</f>
        <v>ON Semiconductor</v>
      </c>
      <c r="C22869" s="6">
        <v>3000</v>
      </c>
      <c r="D22869" s="7">
        <v>0</v>
      </c>
    </row>
    <row r="22870" spans="1:4" x14ac:dyDescent="0.25">
      <c r="A22870" t="str">
        <f>HYPERLINK("https://www.773grp.com/globalSearch/STP30N06EL/page-1", "STP30N06EL")</f>
        <v>STP30N06EL</v>
      </c>
      <c r="B22870" s="3" t="str">
        <f>HYPERLINK("https://www.773grp.com/manufacturer/onsemi?pageNo=694", "ON Semiconductor")</f>
        <v>ON Semiconductor</v>
      </c>
      <c r="C22870" s="6">
        <v>2950</v>
      </c>
      <c r="D22870" s="7">
        <v>0</v>
      </c>
    </row>
    <row r="22871" spans="1:4" x14ac:dyDescent="0.25">
      <c r="A22871" t="str">
        <f>HYPERLINK("https://www.773grp.com/globalSearch/STP4257/page-1", "STP4257")</f>
        <v>STP4257</v>
      </c>
      <c r="B22871" s="3" t="str">
        <f>HYPERLINK("https://www.773grp.com/manufacturer/onsemi?pageNo=695", "ON Semiconductor")</f>
        <v>ON Semiconductor</v>
      </c>
      <c r="C22871" s="6">
        <v>1250</v>
      </c>
      <c r="D22871" s="7">
        <v>0</v>
      </c>
    </row>
    <row r="22872" spans="1:4" x14ac:dyDescent="0.25">
      <c r="A22872" t="str">
        <f>HYPERLINK("https://www.773grp.com/globalSearch/STP4348/page-1", "STP4348")</f>
        <v>STP4348</v>
      </c>
      <c r="B22872" s="3" t="str">
        <f>HYPERLINK("https://www.773grp.com/manufacturer/onsemi?pageNo=696", "ON Semiconductor")</f>
        <v>ON Semiconductor</v>
      </c>
      <c r="C22872" s="6">
        <v>100</v>
      </c>
      <c r="D22872" s="7">
        <v>0</v>
      </c>
    </row>
    <row r="22873" spans="1:4" x14ac:dyDescent="0.25">
      <c r="A22873" t="str">
        <f>HYPERLINK("https://www.773grp.com/globalSearch/STP4349/page-1", "STP4349")</f>
        <v>STP4349</v>
      </c>
      <c r="B22873" s="3" t="str">
        <f>HYPERLINK("https://www.773grp.com/manufacturer/onsemi?pageNo=697", "ON Semiconductor")</f>
        <v>ON Semiconductor</v>
      </c>
      <c r="C22873" s="6">
        <v>7550</v>
      </c>
      <c r="D22873" s="7">
        <v>0</v>
      </c>
    </row>
    <row r="22874" spans="1:4" x14ac:dyDescent="0.25">
      <c r="A22874" t="str">
        <f>HYPERLINK("https://www.773grp.com/globalSearch/STP7007/page-1", "STP7007")</f>
        <v>STP7007</v>
      </c>
      <c r="B22874" s="3" t="str">
        <f>HYPERLINK("https://www.773grp.com/manufacturer/onsemi?pageNo=698", "ON Semiconductor")</f>
        <v>ON Semiconductor</v>
      </c>
      <c r="C22874" s="6">
        <v>2300</v>
      </c>
      <c r="D22874" s="7">
        <v>0</v>
      </c>
    </row>
    <row r="22875" spans="1:4" x14ac:dyDescent="0.25">
      <c r="A22875" t="str">
        <f>HYPERLINK("https://www.773grp.com/globalSearch/STP7N20EG/page-1", "STP7N20EG")</f>
        <v>STP7N20EG</v>
      </c>
      <c r="B22875" s="3" t="str">
        <f>HYPERLINK("https://www.773grp.com/manufacturer/onsemi?pageNo=699", "ON Semiconductor")</f>
        <v>ON Semiconductor</v>
      </c>
      <c r="C22875" s="6">
        <v>4202</v>
      </c>
      <c r="D22875" s="7">
        <v>0</v>
      </c>
    </row>
    <row r="22876" spans="1:4" x14ac:dyDescent="0.25">
      <c r="A22876" t="str">
        <f>HYPERLINK("https://www.773grp.com/globalSearch/STP8040LFBL/page-1", "STP8040LFBL")</f>
        <v>STP8040LFBL</v>
      </c>
      <c r="B22876" s="3" t="str">
        <f>HYPERLINK("https://www.773grp.com/manufacturer/onsemi?pageNo=700", "ON Semiconductor")</f>
        <v>ON Semiconductor</v>
      </c>
      <c r="C22876" s="6">
        <v>1381</v>
      </c>
      <c r="D22876" s="7">
        <v>0</v>
      </c>
    </row>
    <row r="22877" spans="1:4" x14ac:dyDescent="0.25">
      <c r="A22877" t="str">
        <f>HYPERLINK("https://www.773grp.com/globalSearch/SUF1017MNTXG/page-1", "SUF1017MNTXG")</f>
        <v>SUF1017MNTXG</v>
      </c>
      <c r="B22877" s="3" t="str">
        <f>HYPERLINK("https://www.773grp.com/manufacturer/onsemi?pageNo=701", "ON Semiconductor")</f>
        <v>ON Semiconductor</v>
      </c>
      <c r="C22877" s="6">
        <v>208000</v>
      </c>
      <c r="D22877" s="7">
        <v>0</v>
      </c>
    </row>
    <row r="22878" spans="1:4" x14ac:dyDescent="0.25">
      <c r="A22878" t="str">
        <f>HYPERLINK("https://www.773grp.com/globalSearch/SUF1034MNTXG/page-1", "SUF1034MNTXG")</f>
        <v>SUF1034MNTXG</v>
      </c>
      <c r="B22878" s="3" t="str">
        <f>HYPERLINK("https://www.773grp.com/manufacturer/onsemi?pageNo=702", "ON Semiconductor")</f>
        <v>ON Semiconductor</v>
      </c>
      <c r="C22878" s="6">
        <v>224000</v>
      </c>
      <c r="D22878" s="7">
        <v>0</v>
      </c>
    </row>
    <row r="22879" spans="1:4" x14ac:dyDescent="0.25">
      <c r="A22879" t="str">
        <f>HYPERLINK("https://www.773grp.com/globalSearch/SUR114C/page-1", "SUR114C")</f>
        <v>SUR114C</v>
      </c>
      <c r="B22879" s="3" t="str">
        <f>HYPERLINK("https://www.773grp.com/manufacturer/onsemi?pageNo=703", "ON Semiconductor")</f>
        <v>ON Semiconductor</v>
      </c>
      <c r="C22879" s="6">
        <v>2300</v>
      </c>
      <c r="D22879" s="7">
        <v>0</v>
      </c>
    </row>
    <row r="22880" spans="1:4" x14ac:dyDescent="0.25">
      <c r="A22880" t="str">
        <f>HYPERLINK("https://www.773grp.com/globalSearch/SUR1640CT/page-1", "SUR1640CT")</f>
        <v>SUR1640CT</v>
      </c>
      <c r="B22880" s="3" t="str">
        <f>HYPERLINK("https://www.773grp.com/manufacturer/onsemi?pageNo=704", "ON Semiconductor")</f>
        <v>ON Semiconductor</v>
      </c>
      <c r="C22880" s="6">
        <v>17387</v>
      </c>
      <c r="D22880" s="7">
        <v>0</v>
      </c>
    </row>
    <row r="22881" spans="1:4" x14ac:dyDescent="0.25">
      <c r="A22881" t="str">
        <f>HYPERLINK("https://www.773grp.com/globalSearch/SUR1640CTG/page-1", "SUR1640CTG")</f>
        <v>SUR1640CTG</v>
      </c>
      <c r="B22881" s="3" t="str">
        <f>HYPERLINK("https://www.773grp.com/manufacturer/onsemi?pageNo=705", "ON Semiconductor")</f>
        <v>ON Semiconductor</v>
      </c>
      <c r="C22881" s="6">
        <v>2775</v>
      </c>
      <c r="D22881" s="7">
        <v>0</v>
      </c>
    </row>
    <row r="22882" spans="1:4" x14ac:dyDescent="0.25">
      <c r="A22882" t="str">
        <f>HYPERLINK("https://www.773grp.com/globalSearch/SUR187SG/page-1", "SUR187SG")</f>
        <v>SUR187SG</v>
      </c>
      <c r="B22882" s="3" t="str">
        <f>HYPERLINK("https://www.773grp.com/manufacturer/onsemi?pageNo=706", "ON Semiconductor")</f>
        <v>ON Semiconductor</v>
      </c>
      <c r="C22882" s="6">
        <v>550</v>
      </c>
      <c r="D22882" s="7">
        <v>0</v>
      </c>
    </row>
    <row r="22883" spans="1:4" x14ac:dyDescent="0.25">
      <c r="A22883" t="str">
        <f>HYPERLINK("https://www.773grp.com/globalSearch/SUR2020R/page-1", "SUR2020R")</f>
        <v>SUR2020R</v>
      </c>
      <c r="B22883" s="3" t="str">
        <f>HYPERLINK("https://www.773grp.com/manufacturer/onsemi?pageNo=707", "ON Semiconductor")</f>
        <v>ON Semiconductor</v>
      </c>
      <c r="C22883" s="6">
        <v>57400</v>
      </c>
      <c r="D22883" s="7">
        <v>0</v>
      </c>
    </row>
    <row r="22884" spans="1:4" x14ac:dyDescent="0.25">
      <c r="A22884" t="str">
        <f>HYPERLINK("https://www.773grp.com/globalSearch/SUR2020RG/page-1", "SUR2020RG")</f>
        <v>SUR2020RG</v>
      </c>
      <c r="B22884" s="3" t="str">
        <f>HYPERLINK("https://www.773grp.com/manufacturer/onsemi?pageNo=708", "ON Semiconductor")</f>
        <v>ON Semiconductor</v>
      </c>
      <c r="C22884" s="6">
        <v>11049</v>
      </c>
      <c r="D22884" s="7">
        <v>0</v>
      </c>
    </row>
    <row r="22885" spans="1:4" x14ac:dyDescent="0.25">
      <c r="A22885" t="str">
        <f>HYPERLINK("https://www.773grp.com/globalSearch/SUR204HS/page-1", "SUR204HS")</f>
        <v>SUR204HS</v>
      </c>
      <c r="B22885" s="3" t="str">
        <f>HYPERLINK("https://www.773grp.com/manufacturer/onsemi?pageNo=709", "ON Semiconductor")</f>
        <v>ON Semiconductor</v>
      </c>
      <c r="C22885" s="6">
        <v>550</v>
      </c>
      <c r="D22885" s="7">
        <v>0</v>
      </c>
    </row>
    <row r="22886" spans="1:4" x14ac:dyDescent="0.25">
      <c r="A22886" t="str">
        <f>HYPERLINK("https://www.773grp.com/globalSearch/SUR206CT2LF/page-1", "SUR206CT2LF")</f>
        <v>SUR206CT2LF</v>
      </c>
      <c r="B22886" s="3" t="str">
        <f>HYPERLINK("https://www.773grp.com/manufacturer/onsemi?pageNo=710", "ON Semiconductor")</f>
        <v>ON Semiconductor</v>
      </c>
      <c r="C22886" s="6">
        <v>2300</v>
      </c>
      <c r="D22886" s="7">
        <v>0</v>
      </c>
    </row>
    <row r="22887" spans="1:4" x14ac:dyDescent="0.25">
      <c r="A22887" t="str">
        <f>HYPERLINK("https://www.773grp.com/globalSearch/SUR245CTLFBNG/page-1", "SUR245CTLFBNG")</f>
        <v>SUR245CTLFBNG</v>
      </c>
      <c r="B22887" s="3" t="str">
        <f>HYPERLINK("https://www.773grp.com/manufacturer/onsemi?pageNo=711", "ON Semiconductor")</f>
        <v>ON Semiconductor</v>
      </c>
      <c r="C22887" s="6">
        <v>3650</v>
      </c>
      <c r="D22887" s="7">
        <v>0</v>
      </c>
    </row>
    <row r="22888" spans="1:4" x14ac:dyDescent="0.25">
      <c r="A22888" t="str">
        <f>HYPERLINK("https://www.773grp.com/globalSearch/SUR321CTR/page-1", "SUR321CTR")</f>
        <v>SUR321CTR</v>
      </c>
      <c r="B22888" s="3" t="str">
        <f>HYPERLINK("https://www.773grp.com/manufacturer/onsemi?pageNo=712", "ON Semiconductor")</f>
        <v>ON Semiconductor</v>
      </c>
      <c r="C22888" s="6">
        <v>473</v>
      </c>
      <c r="D22888" s="7">
        <v>0</v>
      </c>
    </row>
    <row r="22889" spans="1:4" x14ac:dyDescent="0.25">
      <c r="A22889" t="str">
        <f>HYPERLINK("https://www.773grp.com/globalSearch/SUR321CTRG/page-1", "SUR321CTRG")</f>
        <v>SUR321CTRG</v>
      </c>
      <c r="B22889" s="3" t="str">
        <f>HYPERLINK("https://www.773grp.com/manufacturer/onsemi?pageNo=713", "ON Semiconductor")</f>
        <v>ON Semiconductor</v>
      </c>
      <c r="C22889" s="6">
        <v>1840</v>
      </c>
      <c r="D22889" s="7">
        <v>0</v>
      </c>
    </row>
    <row r="22890" spans="1:4" x14ac:dyDescent="0.25">
      <c r="A22890" t="str">
        <f>HYPERLINK("https://www.773grp.com/globalSearch/SUR324CTRLFBG/page-1", "SUR324CTRLFBG")</f>
        <v>SUR324CTRLFBG</v>
      </c>
      <c r="B22890" s="3" t="str">
        <f>HYPERLINK("https://www.773grp.com/manufacturer/onsemi?pageNo=714", "ON Semiconductor")</f>
        <v>ON Semiconductor</v>
      </c>
      <c r="C22890" s="6">
        <v>15797</v>
      </c>
      <c r="D22890" s="7">
        <v>0</v>
      </c>
    </row>
    <row r="22891" spans="1:4" x14ac:dyDescent="0.25">
      <c r="A22891" t="str">
        <f>HYPERLINK("https://www.773grp.com/globalSearch/SUR3388LFG/page-1", "SUR3388LFG")</f>
        <v>SUR3388LFG</v>
      </c>
      <c r="B22891" s="3" t="str">
        <f>HYPERLINK("https://www.773grp.com/manufacturer/onsemi?pageNo=715", "ON Semiconductor")</f>
        <v>ON Semiconductor</v>
      </c>
      <c r="C22891" s="6">
        <v>14000</v>
      </c>
      <c r="D22891" s="7">
        <v>0</v>
      </c>
    </row>
    <row r="22892" spans="1:4" x14ac:dyDescent="0.25">
      <c r="A22892" t="str">
        <f>HYPERLINK("https://www.773grp.com/globalSearch/SUR456ERLG/page-1", "SUR456ERLG")</f>
        <v>SUR456ERLG</v>
      </c>
      <c r="B22892" s="3" t="str">
        <f>HYPERLINK("https://www.773grp.com/manufacturer/onsemi?pageNo=716", "ON Semiconductor")</f>
        <v>ON Semiconductor</v>
      </c>
      <c r="C22892" s="6">
        <v>5000</v>
      </c>
      <c r="D22892" s="7">
        <v>0</v>
      </c>
    </row>
    <row r="22893" spans="1:4" x14ac:dyDescent="0.25">
      <c r="A22893" t="str">
        <f>HYPERLINK("https://www.773grp.com/globalSearch/SUR460S1/page-1", "SUR460S1")</f>
        <v>SUR460S1</v>
      </c>
      <c r="B22893" s="3" t="str">
        <f>HYPERLINK("https://www.773grp.com/manufacturer/onsemi?pageNo=717", "ON Semiconductor")</f>
        <v>ON Semiconductor</v>
      </c>
      <c r="C22893" s="6">
        <v>1500</v>
      </c>
      <c r="D22893" s="7">
        <v>0</v>
      </c>
    </row>
    <row r="22894" spans="1:4" x14ac:dyDescent="0.25">
      <c r="A22894" t="str">
        <f>HYPERLINK("https://www.773grp.com/globalSearch/SUR555LF/page-1", "SUR555LF")</f>
        <v>SUR555LF</v>
      </c>
      <c r="B22894" s="3" t="str">
        <f>HYPERLINK("https://www.773grp.com/manufacturer/onsemi?pageNo=718", "ON Semiconductor")</f>
        <v>ON Semiconductor</v>
      </c>
      <c r="C22894" s="6">
        <v>33500</v>
      </c>
      <c r="D22894" s="7">
        <v>0</v>
      </c>
    </row>
    <row r="22895" spans="1:4" x14ac:dyDescent="0.25">
      <c r="A22895" t="str">
        <f>HYPERLINK("https://www.773grp.com/globalSearch/SUR620CTT4G/page-1", "SUR620CTT4G")</f>
        <v>SUR620CTT4G</v>
      </c>
      <c r="B22895" s="3" t="str">
        <f>HYPERLINK("https://www.773grp.com/manufacturer/onsemi?pageNo=719", "ON Semiconductor")</f>
        <v>ON Semiconductor</v>
      </c>
      <c r="C22895" s="6">
        <v>5000</v>
      </c>
      <c r="D22895" s="7">
        <v>0</v>
      </c>
    </row>
    <row r="22896" spans="1:4" x14ac:dyDescent="0.25">
      <c r="A22896" t="str">
        <f>HYPERLINK("https://www.773grp.com/globalSearch/SUR8120RLG/page-1", "SUR8120RLG")</f>
        <v>SUR8120RLG</v>
      </c>
      <c r="B22896" s="3" t="str">
        <f>HYPERLINK("https://www.773grp.com/manufacturer/onsemi?pageNo=720", "ON Semiconductor")</f>
        <v>ON Semiconductor</v>
      </c>
      <c r="C22896" s="6">
        <v>120000</v>
      </c>
      <c r="D22896" s="7">
        <v>0</v>
      </c>
    </row>
    <row r="22897" spans="1:4" x14ac:dyDescent="0.25">
      <c r="A22897" t="str">
        <f>HYPERLINK("https://www.773grp.com/globalSearch/SUR81520G/page-1", "SUR81520G")</f>
        <v>SUR81520G</v>
      </c>
      <c r="B22897" s="3" t="str">
        <f>HYPERLINK("https://www.773grp.com/manufacturer/onsemi?pageNo=721", "ON Semiconductor")</f>
        <v>ON Semiconductor</v>
      </c>
      <c r="C22897" s="6">
        <v>7735</v>
      </c>
      <c r="D22897" s="7">
        <v>0</v>
      </c>
    </row>
    <row r="22898" spans="1:4" x14ac:dyDescent="0.25">
      <c r="A22898" t="str">
        <f>HYPERLINK("https://www.773grp.com/globalSearch/SUR81560G/page-1", "SUR81560G")</f>
        <v>SUR81560G</v>
      </c>
      <c r="B22898" s="3" t="str">
        <f>HYPERLINK("https://www.773grp.com/manufacturer/onsemi?pageNo=722", "ON Semiconductor")</f>
        <v>ON Semiconductor</v>
      </c>
      <c r="C22898" s="6">
        <v>278</v>
      </c>
      <c r="D22898" s="7">
        <v>0</v>
      </c>
    </row>
    <row r="22899" spans="1:4" x14ac:dyDescent="0.25">
      <c r="A22899" t="str">
        <f>HYPERLINK("https://www.773grp.com/globalSearch/SUR81620CT/page-1", "SUR81620CT")</f>
        <v>SUR81620CT</v>
      </c>
      <c r="B22899" s="3" t="str">
        <f>HYPERLINK("https://www.773grp.com/manufacturer/onsemi?pageNo=723", "ON Semiconductor")</f>
        <v>ON Semiconductor</v>
      </c>
      <c r="C22899" s="6">
        <v>6550</v>
      </c>
      <c r="D22899" s="7">
        <v>0</v>
      </c>
    </row>
    <row r="22900" spans="1:4" x14ac:dyDescent="0.25">
      <c r="A22900" t="str">
        <f>HYPERLINK("https://www.773grp.com/globalSearch/SUR81620CTG/page-1", "SUR81620CTG")</f>
        <v>SUR81620CTG</v>
      </c>
      <c r="B22900" s="3" t="str">
        <f>HYPERLINK("https://www.773grp.com/manufacturer/onsemi?pageNo=724", "ON Semiconductor")</f>
        <v>ON Semiconductor</v>
      </c>
      <c r="C22900" s="6">
        <v>4350</v>
      </c>
      <c r="D22900" s="7">
        <v>0</v>
      </c>
    </row>
    <row r="22901" spans="1:4" x14ac:dyDescent="0.25">
      <c r="A22901" t="str">
        <f>HYPERLINK("https://www.773grp.com/globalSearch/SUR8420RL/page-1", "SUR8420RL")</f>
        <v>SUR8420RL</v>
      </c>
      <c r="B22901" s="3" t="str">
        <f>HYPERLINK("https://www.773grp.com/manufacturer/onsemi?pageNo=725", "ON Semiconductor")</f>
        <v>ON Semiconductor</v>
      </c>
      <c r="C22901" s="6">
        <v>37500</v>
      </c>
      <c r="D22901" s="7">
        <v>0</v>
      </c>
    </row>
    <row r="22902" spans="1:4" x14ac:dyDescent="0.25">
      <c r="A22902" t="str">
        <f>HYPERLINK("https://www.773grp.com/globalSearch/SUR8420RLG/page-1", "SUR8420RLG")</f>
        <v>SUR8420RLG</v>
      </c>
      <c r="B22902" s="3" t="str">
        <f>HYPERLINK("https://www.773grp.com/manufacturer/onsemi?pageNo=726", "ON Semiconductor")</f>
        <v>ON Semiconductor</v>
      </c>
      <c r="C22902" s="6">
        <v>6000</v>
      </c>
      <c r="D22902" s="7">
        <v>0</v>
      </c>
    </row>
    <row r="22903" spans="1:4" x14ac:dyDescent="0.25">
      <c r="A22903" t="str">
        <f>HYPERLINK("https://www.773grp.com/globalSearch/SUR88100E/page-1", "SUR88100E")</f>
        <v>SUR88100E</v>
      </c>
      <c r="B22903" s="3" t="str">
        <f>HYPERLINK("https://www.773grp.com/manufacturer/onsemi?pageNo=727", "ON Semiconductor")</f>
        <v>ON Semiconductor</v>
      </c>
      <c r="C22903" s="6">
        <v>45</v>
      </c>
      <c r="D22903" s="7">
        <v>0</v>
      </c>
    </row>
    <row r="22904" spans="1:4" x14ac:dyDescent="0.25">
      <c r="A22904" t="str">
        <f>HYPERLINK("https://www.773grp.com/globalSearch/SUR88100EG/page-1", "SUR88100EG")</f>
        <v>SUR88100EG</v>
      </c>
      <c r="B22904" s="3" t="str">
        <f>HYPERLINK("https://www.773grp.com/manufacturer/onsemi?pageNo=728", "ON Semiconductor")</f>
        <v>ON Semiconductor</v>
      </c>
      <c r="C22904" s="6">
        <v>1000</v>
      </c>
      <c r="D22904" s="7">
        <v>0</v>
      </c>
    </row>
    <row r="22905" spans="1:4" x14ac:dyDescent="0.25">
      <c r="A22905" t="str">
        <f>HYPERLINK("https://www.773grp.com/globalSearch/SUR8820/page-1", "SUR8820")</f>
        <v>SUR8820</v>
      </c>
      <c r="B22905" s="3" t="str">
        <f>HYPERLINK("https://www.773grp.com/manufacturer/onsemi?pageNo=729", "ON Semiconductor")</f>
        <v>ON Semiconductor</v>
      </c>
      <c r="C22905" s="6">
        <v>38950</v>
      </c>
      <c r="D22905" s="7">
        <v>0</v>
      </c>
    </row>
    <row r="22906" spans="1:4" x14ac:dyDescent="0.25">
      <c r="A22906" t="str">
        <f>HYPERLINK("https://www.773grp.com/globalSearch/SUR8820G/page-1", "SUR8820G")</f>
        <v>SUR8820G</v>
      </c>
      <c r="B22906" s="3" t="str">
        <f>HYPERLINK("https://www.773grp.com/manufacturer/onsemi?pageNo=730", "ON Semiconductor")</f>
        <v>ON Semiconductor</v>
      </c>
      <c r="C22906" s="6">
        <v>3157</v>
      </c>
      <c r="D22906" s="7">
        <v>0</v>
      </c>
    </row>
    <row r="22907" spans="1:4" x14ac:dyDescent="0.25">
      <c r="A22907" t="str">
        <f>HYPERLINK("https://www.773grp.com/globalSearch/SUR8840G/page-1", "SUR8840G")</f>
        <v>SUR8840G</v>
      </c>
      <c r="B22907" s="3" t="str">
        <f>HYPERLINK("https://www.773grp.com/manufacturer/onsemi?pageNo=731", "ON Semiconductor")</f>
        <v>ON Semiconductor</v>
      </c>
      <c r="C22907" s="6">
        <v>25641</v>
      </c>
      <c r="D22907" s="7">
        <v>0</v>
      </c>
    </row>
    <row r="22908" spans="1:4" x14ac:dyDescent="0.25">
      <c r="A22908" t="str">
        <f>HYPERLINK("https://www.773grp.com/globalSearch/SURD107T4/page-1", "SURD107T4")</f>
        <v>SURD107T4</v>
      </c>
      <c r="B22908" s="3" t="str">
        <f>HYPERLINK("https://www.773grp.com/manufacturer/onsemi?pageNo=732", "ON Semiconductor")</f>
        <v>ON Semiconductor</v>
      </c>
      <c r="C22908" s="6">
        <v>25000</v>
      </c>
      <c r="D22908" s="7">
        <v>0</v>
      </c>
    </row>
    <row r="22909" spans="1:4" x14ac:dyDescent="0.25">
      <c r="A22909" t="str">
        <f>HYPERLINK("https://www.773grp.com/globalSearch/SURD109-4T4/page-1", "SURD109-4T4")</f>
        <v>SURD109-4T4</v>
      </c>
      <c r="B22909" s="3" t="str">
        <f>HYPERLINK("https://www.773grp.com/manufacturer/onsemi?pageNo=733", "ON Semiconductor")</f>
        <v>ON Semiconductor</v>
      </c>
      <c r="C22909" s="6">
        <v>12500</v>
      </c>
      <c r="D22909" s="7">
        <v>0</v>
      </c>
    </row>
    <row r="22910" spans="1:4" x14ac:dyDescent="0.25">
      <c r="A22910" t="str">
        <f>HYPERLINK("https://www.773grp.com/globalSearch/SURD5525PFT4G/page-1", "SURD5525PFT4G")</f>
        <v>SURD5525PFT4G</v>
      </c>
      <c r="B22910" s="3" t="str">
        <f>HYPERLINK("https://www.773grp.com/manufacturer/onsemi?pageNo=734", "ON Semiconductor")</f>
        <v>ON Semiconductor</v>
      </c>
      <c r="C22910" s="6">
        <v>2500</v>
      </c>
      <c r="D22910" s="7">
        <v>0</v>
      </c>
    </row>
    <row r="22911" spans="1:4" x14ac:dyDescent="0.25">
      <c r="A22911" t="str">
        <f>HYPERLINK("https://www.773grp.com/globalSearch/SURF319LFRB/page-1", "SURF319LFRB")</f>
        <v>SURF319LFRB</v>
      </c>
      <c r="B22911" s="3" t="str">
        <f>HYPERLINK("https://www.773grp.com/manufacturer/onsemi?pageNo=735", "ON Semiconductor")</f>
        <v>ON Semiconductor</v>
      </c>
      <c r="C22911" s="6">
        <v>35914</v>
      </c>
      <c r="D22911" s="7">
        <v>0</v>
      </c>
    </row>
    <row r="22912" spans="1:4" x14ac:dyDescent="0.25">
      <c r="A22912" t="str">
        <f>HYPERLINK("https://www.773grp.com/globalSearch/SURHB8840CTT4G/page-1", "SURHB8840CTT4G")</f>
        <v>SURHB8840CTT4G</v>
      </c>
      <c r="B22912" s="3" t="str">
        <f>HYPERLINK("https://www.773grp.com/manufacturer/onsemi?pageNo=736", "ON Semiconductor")</f>
        <v>ON Semiconductor</v>
      </c>
      <c r="C22912" s="6">
        <v>8800</v>
      </c>
      <c r="D22912" s="7">
        <v>0</v>
      </c>
    </row>
    <row r="22913" spans="1:4" x14ac:dyDescent="0.25">
      <c r="A22913" t="str">
        <f>HYPERLINK("https://www.773grp.com/globalSearch/SURS283T3-003/page-1", "SURS283T3-003")</f>
        <v>SURS283T3-003</v>
      </c>
      <c r="B22913" s="3" t="str">
        <f>HYPERLINK("https://www.773grp.com/manufacturer/onsemi?pageNo=737", "ON Semiconductor")</f>
        <v>ON Semiconductor</v>
      </c>
      <c r="C22913" s="6">
        <v>37500</v>
      </c>
      <c r="D22913" s="7">
        <v>0</v>
      </c>
    </row>
    <row r="22914" spans="1:4" x14ac:dyDescent="0.25">
      <c r="A22914" t="str">
        <f>HYPERLINK("https://www.773grp.com/globalSearch/SURS5650T3G/page-1", "SURS5650T3G")</f>
        <v>SURS5650T3G</v>
      </c>
      <c r="B22914" s="3" t="str">
        <f>HYPERLINK("https://www.773grp.com/manufacturer/onsemi?pageNo=738", "ON Semiconductor")</f>
        <v>ON Semiconductor</v>
      </c>
      <c r="C22914" s="6">
        <v>7500</v>
      </c>
      <c r="D22914" s="7">
        <v>0</v>
      </c>
    </row>
    <row r="22915" spans="1:4" x14ac:dyDescent="0.25">
      <c r="A22915" t="str">
        <f>HYPERLINK("https://www.773grp.com/globalSearch/SURS5664T3/page-1", "SURS5664T3")</f>
        <v>SURS5664T3</v>
      </c>
      <c r="B22915" s="3" t="str">
        <f>HYPERLINK("https://www.773grp.com/manufacturer/onsemi?pageNo=739", "ON Semiconductor")</f>
        <v>ON Semiconductor</v>
      </c>
      <c r="C22915" s="6">
        <v>62500</v>
      </c>
      <c r="D22915" s="7">
        <v>0</v>
      </c>
    </row>
    <row r="22916" spans="1:4" x14ac:dyDescent="0.25">
      <c r="A22916" t="str">
        <f>HYPERLINK("https://www.773grp.com/globalSearch/SURS5666T3G/page-1", "SURS5666T3G")</f>
        <v>SURS5666T3G</v>
      </c>
      <c r="B22916" s="3" t="str">
        <f>HYPERLINK("https://www.773grp.com/manufacturer/onsemi?pageNo=740", "ON Semiconductor")</f>
        <v>ON Semiconductor</v>
      </c>
      <c r="C22916" s="6">
        <v>5000</v>
      </c>
      <c r="D22916" s="7">
        <v>0</v>
      </c>
    </row>
    <row r="22917" spans="1:4" x14ac:dyDescent="0.25">
      <c r="A22917" t="str">
        <f>HYPERLINK("https://www.773grp.com/globalSearch/SURS8140T3/page-1", "SURS8140T3")</f>
        <v>SURS8140T3</v>
      </c>
      <c r="B22917" s="3" t="str">
        <f>HYPERLINK("https://www.773grp.com/manufacturer/onsemi?pageNo=741", "ON Semiconductor")</f>
        <v>ON Semiconductor</v>
      </c>
      <c r="C22917" s="6">
        <v>22500</v>
      </c>
      <c r="D22917" s="7">
        <v>0</v>
      </c>
    </row>
    <row r="22918" spans="1:4" x14ac:dyDescent="0.25">
      <c r="A22918" t="str">
        <f>HYPERLINK("https://www.773grp.com/globalSearch/SURS8160T3/page-1", "SURS8160T3")</f>
        <v>SURS8160T3</v>
      </c>
      <c r="B22918" s="3" t="str">
        <f>HYPERLINK("https://www.773grp.com/manufacturer/onsemi?pageNo=742", "ON Semiconductor")</f>
        <v>ON Semiconductor</v>
      </c>
      <c r="C22918" s="6">
        <v>230000</v>
      </c>
      <c r="D22918" s="7">
        <v>0</v>
      </c>
    </row>
    <row r="22919" spans="1:4" x14ac:dyDescent="0.25">
      <c r="A22919" t="str">
        <f>HYPERLINK("https://www.773grp.com/globalSearch/SUS6160MNTWG/page-1", "SUS6160MNTWG")</f>
        <v>SUS6160MNTWG</v>
      </c>
      <c r="B22919" s="3" t="str">
        <f>HYPERLINK("https://www.773grp.com/manufacturer/onsemi?pageNo=743", "ON Semiconductor")</f>
        <v>ON Semiconductor</v>
      </c>
      <c r="C22919" s="6">
        <v>3000</v>
      </c>
      <c r="D22919" s="7">
        <v>0</v>
      </c>
    </row>
    <row r="22920" spans="1:4" x14ac:dyDescent="0.25">
      <c r="A22920" t="str">
        <f>HYPERLINK("https://www.773grp.com/globalSearch/SUY98005LT1/page-1", "SUY98005LT1")</f>
        <v>SUY98005LT1</v>
      </c>
      <c r="B22920" s="3" t="str">
        <f>HYPERLINK("https://www.773grp.com/manufacturer/onsemi?pageNo=744", "ON Semiconductor")</f>
        <v>ON Semiconductor</v>
      </c>
      <c r="C22920" s="6">
        <v>132000</v>
      </c>
      <c r="D22920" s="7">
        <v>0</v>
      </c>
    </row>
    <row r="22921" spans="1:4" x14ac:dyDescent="0.25">
      <c r="A22921" t="str">
        <f>HYPERLINK("https://www.773grp.com/globalSearch/SVC321SPA-A-3/page-1", "SVC321SPA-A-3")</f>
        <v>SVC321SPA-A-3</v>
      </c>
      <c r="B22921" s="3" t="str">
        <f>HYPERLINK("https://www.773grp.com/manufacturer/onsemi?pageNo=745", "ON Semiconductor")</f>
        <v>ON Semiconductor</v>
      </c>
      <c r="C22921" s="6">
        <v>5701</v>
      </c>
      <c r="D22921" s="7">
        <v>0</v>
      </c>
    </row>
    <row r="22922" spans="1:4" x14ac:dyDescent="0.25">
      <c r="A22922" t="str">
        <f>HYPERLINK("https://www.773grp.com/globalSearch/SVC321SPA-AW/page-1", "SVC321SPA-AW")</f>
        <v>SVC321SPA-AW</v>
      </c>
      <c r="B22922" s="3" t="str">
        <f>HYPERLINK("https://www.773grp.com/manufacturer/onsemi?pageNo=746", "ON Semiconductor")</f>
        <v>ON Semiconductor</v>
      </c>
      <c r="C22922" s="6">
        <v>300</v>
      </c>
      <c r="D22922" s="7">
        <v>0</v>
      </c>
    </row>
    <row r="22923" spans="1:4" x14ac:dyDescent="0.25">
      <c r="A22923" t="str">
        <f>HYPERLINK("https://www.773grp.com/globalSearch/SZ1.5SMSC39AT3/page-1", "SZ1.5SMSC39AT3")</f>
        <v>SZ1.5SMSC39AT3</v>
      </c>
      <c r="B22923" s="3" t="str">
        <f>HYPERLINK("https://www.773grp.com/manufacturer/onsemi?pageNo=747", "ON Semiconductor")</f>
        <v>ON Semiconductor</v>
      </c>
      <c r="C22923" s="6">
        <v>7500</v>
      </c>
      <c r="D22923" s="7">
        <v>0</v>
      </c>
    </row>
    <row r="22924" spans="1:4" x14ac:dyDescent="0.25">
      <c r="A22924" t="str">
        <f>HYPERLINK("https://www.773grp.com/globalSearch/SZ12990-203TAB/page-1", "SZ12990-203TAB")</f>
        <v>SZ12990-203TAB</v>
      </c>
      <c r="B22924" s="3" t="str">
        <f>HYPERLINK("https://www.773grp.com/manufacturer/onsemi?pageNo=748", "ON Semiconductor")</f>
        <v>ON Semiconductor</v>
      </c>
      <c r="C22924" s="6">
        <v>4000</v>
      </c>
      <c r="D22924" s="7">
        <v>0</v>
      </c>
    </row>
    <row r="22925" spans="1:4" x14ac:dyDescent="0.25">
      <c r="A22925" t="str">
        <f>HYPERLINK("https://www.773grp.com/globalSearch/SZ1N5919BRL/page-1", "SZ1N5919BRL")</f>
        <v>SZ1N5919BRL</v>
      </c>
      <c r="B22925" s="3" t="str">
        <f>HYPERLINK("https://www.773grp.com/manufacturer/onsemi?pageNo=749", "ON Semiconductor")</f>
        <v>ON Semiconductor</v>
      </c>
      <c r="C22925" s="6">
        <v>12000</v>
      </c>
      <c r="D22925" s="7">
        <v>0</v>
      </c>
    </row>
    <row r="22926" spans="1:4" x14ac:dyDescent="0.25">
      <c r="A22926" t="str">
        <f>HYPERLINK("https://www.773grp.com/globalSearch/SZ1SMA16CAT3/page-1", "SZ1SMA16CAT3")</f>
        <v>SZ1SMA16CAT3</v>
      </c>
      <c r="B22926" s="3" t="str">
        <f>HYPERLINK("https://www.773grp.com/manufacturer/onsemi?pageNo=750", "ON Semiconductor")</f>
        <v>ON Semiconductor</v>
      </c>
      <c r="C22926" s="6">
        <v>30000</v>
      </c>
      <c r="D22926" s="7">
        <v>0</v>
      </c>
    </row>
    <row r="22927" spans="1:4" x14ac:dyDescent="0.25">
      <c r="A22927" t="str">
        <f>HYPERLINK("https://www.773grp.com/globalSearch/SZ1SMB18AT3/page-1", "SZ1SMB18AT3")</f>
        <v>SZ1SMB18AT3</v>
      </c>
      <c r="B22927" s="3" t="str">
        <f>HYPERLINK("https://www.773grp.com/manufacturer/onsemi?pageNo=751", "ON Semiconductor")</f>
        <v>ON Semiconductor</v>
      </c>
      <c r="C22927" s="6">
        <v>7500</v>
      </c>
      <c r="D22927" s="7">
        <v>0</v>
      </c>
    </row>
    <row r="22928" spans="1:4" x14ac:dyDescent="0.25">
      <c r="A22928" t="str">
        <f>HYPERLINK("https://www.773grp.com/globalSearch/SZ1SMB26AT3/page-1", "SZ1SMB26AT3")</f>
        <v>SZ1SMB26AT3</v>
      </c>
      <c r="B22928" s="3" t="str">
        <f>HYPERLINK("https://www.773grp.com/manufacturer/onsemi?pageNo=752", "ON Semiconductor")</f>
        <v>ON Semiconductor</v>
      </c>
      <c r="C22928" s="6">
        <v>65000</v>
      </c>
      <c r="D22928" s="7">
        <v>0</v>
      </c>
    </row>
    <row r="22929" spans="1:4" x14ac:dyDescent="0.25">
      <c r="A22929" t="str">
        <f>HYPERLINK("https://www.773grp.com/globalSearch/SZ1SMB28AT3/page-1", "SZ1SMB28AT3")</f>
        <v>SZ1SMB28AT3</v>
      </c>
      <c r="B22929" s="3" t="str">
        <f>HYPERLINK("https://www.773grp.com/manufacturer/onsemi?pageNo=753", "ON Semiconductor")</f>
        <v>ON Semiconductor</v>
      </c>
      <c r="C22929" s="6">
        <v>5000</v>
      </c>
      <c r="D22929" s="7">
        <v>0</v>
      </c>
    </row>
    <row r="22930" spans="1:4" x14ac:dyDescent="0.25">
      <c r="A22930" t="str">
        <f>HYPERLINK("https://www.773grp.com/globalSearch/SZ1SMB5927BT3/page-1", "SZ1SMB5927BT3")</f>
        <v>SZ1SMB5927BT3</v>
      </c>
      <c r="B22930" s="3" t="str">
        <f>HYPERLINK("https://www.773grp.com/manufacturer/onsemi?pageNo=754", "ON Semiconductor")</f>
        <v>ON Semiconductor</v>
      </c>
      <c r="C22930" s="6">
        <v>5000</v>
      </c>
      <c r="D22930" s="7">
        <v>0</v>
      </c>
    </row>
    <row r="22931" spans="1:4" x14ac:dyDescent="0.25">
      <c r="A22931" t="str">
        <f>HYPERLINK("https://www.773grp.com/globalSearch/SZ1SMB5933BT3/page-1", "SZ1SMB5933BT3")</f>
        <v>SZ1SMB5933BT3</v>
      </c>
      <c r="B22931" s="3" t="str">
        <f>HYPERLINK("https://www.773grp.com/manufacturer/onsemi?pageNo=755", "ON Semiconductor")</f>
        <v>ON Semiconductor</v>
      </c>
      <c r="C22931" s="6">
        <v>25000</v>
      </c>
      <c r="D22931" s="7">
        <v>0</v>
      </c>
    </row>
    <row r="22932" spans="1:4" x14ac:dyDescent="0.25">
      <c r="A22932" t="str">
        <f>HYPERLINK("https://www.773grp.com/globalSearch/SZ1SMB5934BT3/page-1", "SZ1SMB5934BT3")</f>
        <v>SZ1SMB5934BT3</v>
      </c>
      <c r="B22932" s="3" t="str">
        <f>HYPERLINK("https://www.773grp.com/manufacturer/onsemi?pageNo=756", "ON Semiconductor")</f>
        <v>ON Semiconductor</v>
      </c>
      <c r="C22932" s="6">
        <v>57500</v>
      </c>
      <c r="D22932" s="7">
        <v>0</v>
      </c>
    </row>
    <row r="22933" spans="1:4" x14ac:dyDescent="0.25">
      <c r="A22933" t="str">
        <f>HYPERLINK("https://www.773grp.com/globalSearch/SZ1SMB5937BT3/page-1", "SZ1SMB5937BT3")</f>
        <v>SZ1SMB5937BT3</v>
      </c>
      <c r="B22933" s="3" t="str">
        <f>HYPERLINK("https://www.773grp.com/manufacturer/onsemi?pageNo=757", "ON Semiconductor")</f>
        <v>ON Semiconductor</v>
      </c>
      <c r="C22933" s="6">
        <v>5000</v>
      </c>
      <c r="D22933" s="7">
        <v>0</v>
      </c>
    </row>
    <row r="22934" spans="1:4" x14ac:dyDescent="0.25">
      <c r="A22934" t="str">
        <f>HYPERLINK("https://www.773grp.com/globalSearch/SZ1SMB5953BT3/page-1", "SZ1SMB5953BT3")</f>
        <v>SZ1SMB5953BT3</v>
      </c>
      <c r="B22934" s="3" t="str">
        <f>HYPERLINK("https://www.773grp.com/manufacturer/onsemi?pageNo=758", "ON Semiconductor")</f>
        <v>ON Semiconductor</v>
      </c>
      <c r="C22934" s="6">
        <v>7500</v>
      </c>
      <c r="D22934" s="7">
        <v>0</v>
      </c>
    </row>
    <row r="22935" spans="1:4" x14ac:dyDescent="0.25">
      <c r="A22935" t="str">
        <f>HYPERLINK("https://www.773grp.com/globalSearch/SZ2037RL4/page-1", "SZ2037RL4")</f>
        <v>SZ2037RL4</v>
      </c>
      <c r="B22935" s="3" t="str">
        <f>HYPERLINK("https://www.773grp.com/manufacturer/onsemi?pageNo=759", "ON Semiconductor")</f>
        <v>ON Semiconductor</v>
      </c>
      <c r="C22935" s="6">
        <v>13500</v>
      </c>
      <c r="D22935" s="7">
        <v>0</v>
      </c>
    </row>
    <row r="22936" spans="1:4" x14ac:dyDescent="0.25">
      <c r="A22936" t="str">
        <f>HYPERLINK("https://www.773grp.com/globalSearch/SZ2189RL/page-1", "SZ2189RL")</f>
        <v>SZ2189RL</v>
      </c>
      <c r="B22936" s="3" t="str">
        <f>HYPERLINK("https://www.773grp.com/manufacturer/onsemi?pageNo=760", "ON Semiconductor")</f>
        <v>ON Semiconductor</v>
      </c>
      <c r="C22936" s="6">
        <v>96000</v>
      </c>
      <c r="D22936" s="7">
        <v>0</v>
      </c>
    </row>
    <row r="22937" spans="1:4" x14ac:dyDescent="0.25">
      <c r="A22937" t="str">
        <f>HYPERLINK("https://www.773grp.com/globalSearch/SZ2229RL/page-1", "SZ2229RL")</f>
        <v>SZ2229RL</v>
      </c>
      <c r="B22937" s="3" t="str">
        <f>HYPERLINK("https://www.773grp.com/manufacturer/onsemi?pageNo=761", "ON Semiconductor")</f>
        <v>ON Semiconductor</v>
      </c>
      <c r="C22937" s="6">
        <v>6000</v>
      </c>
      <c r="D22937" s="7">
        <v>0</v>
      </c>
    </row>
    <row r="22938" spans="1:4" x14ac:dyDescent="0.25">
      <c r="A22938" t="str">
        <f>HYPERLINK("https://www.773grp.com/globalSearch/SZ2267RL/page-1", "SZ2267RL")</f>
        <v>SZ2267RL</v>
      </c>
      <c r="B22938" s="3" t="str">
        <f>HYPERLINK("https://www.773grp.com/manufacturer/onsemi?pageNo=762", "ON Semiconductor")</f>
        <v>ON Semiconductor</v>
      </c>
      <c r="C22938" s="6">
        <v>4000</v>
      </c>
      <c r="D22938" s="7">
        <v>0</v>
      </c>
    </row>
    <row r="22939" spans="1:4" x14ac:dyDescent="0.25">
      <c r="A22939" t="str">
        <f>HYPERLINK("https://www.773grp.com/globalSearch/SZ2341RL/page-1", "SZ2341RL")</f>
        <v>SZ2341RL</v>
      </c>
      <c r="B22939" s="3" t="str">
        <f>HYPERLINK("https://www.773grp.com/manufacturer/onsemi?pageNo=763", "ON Semiconductor")</f>
        <v>ON Semiconductor</v>
      </c>
      <c r="C22939" s="6">
        <v>18000</v>
      </c>
      <c r="D22939" s="7">
        <v>0</v>
      </c>
    </row>
    <row r="22940" spans="1:4" x14ac:dyDescent="0.25">
      <c r="A22940" t="str">
        <f>HYPERLINK("https://www.773grp.com/globalSearch/SZ2408RL/page-1", "SZ2408RL")</f>
        <v>SZ2408RL</v>
      </c>
      <c r="B22940" s="3" t="str">
        <f>HYPERLINK("https://www.773grp.com/manufacturer/onsemi?pageNo=764", "ON Semiconductor")</f>
        <v>ON Semiconductor</v>
      </c>
      <c r="C22940" s="6">
        <v>12000</v>
      </c>
      <c r="D22940" s="7">
        <v>0</v>
      </c>
    </row>
    <row r="22941" spans="1:4" x14ac:dyDescent="0.25">
      <c r="A22941" t="str">
        <f>HYPERLINK("https://www.773grp.com/globalSearch/SZ2570-10T3/page-1", "SZ2570-10T3")</f>
        <v>SZ2570-10T3</v>
      </c>
      <c r="B22941" s="3" t="str">
        <f>HYPERLINK("https://www.773grp.com/manufacturer/onsemi?pageNo=765", "ON Semiconductor")</f>
        <v>ON Semiconductor</v>
      </c>
      <c r="C22941" s="6">
        <v>10000</v>
      </c>
      <c r="D22941" s="7">
        <v>0</v>
      </c>
    </row>
    <row r="22942" spans="1:4" x14ac:dyDescent="0.25">
      <c r="A22942" t="str">
        <f>HYPERLINK("https://www.773grp.com/globalSearch/SZ2570-19T3/page-1", "SZ2570-19T3")</f>
        <v>SZ2570-19T3</v>
      </c>
      <c r="B22942" s="3" t="str">
        <f>HYPERLINK("https://www.773grp.com/manufacturer/onsemi?pageNo=766", "ON Semiconductor")</f>
        <v>ON Semiconductor</v>
      </c>
      <c r="C22942" s="6">
        <v>55000</v>
      </c>
      <c r="D22942" s="7">
        <v>0</v>
      </c>
    </row>
    <row r="22943" spans="1:4" x14ac:dyDescent="0.25">
      <c r="A22943" t="str">
        <f>HYPERLINK("https://www.773grp.com/globalSearch/SZ2570-20T3/page-1", "SZ2570-20T3")</f>
        <v>SZ2570-20T3</v>
      </c>
      <c r="B22943" s="3" t="str">
        <f>HYPERLINK("https://www.773grp.com/manufacturer/onsemi?pageNo=767", "ON Semiconductor")</f>
        <v>ON Semiconductor</v>
      </c>
      <c r="C22943" s="6">
        <v>7500</v>
      </c>
      <c r="D22943" s="7">
        <v>0</v>
      </c>
    </row>
    <row r="22944" spans="1:4" x14ac:dyDescent="0.25">
      <c r="A22944" t="str">
        <f>HYPERLINK("https://www.773grp.com/globalSearch/SZ2570-24T3G/page-1", "SZ2570-24T3G")</f>
        <v>SZ2570-24T3G</v>
      </c>
      <c r="B22944" s="3" t="str">
        <f>HYPERLINK("https://www.773grp.com/manufacturer/onsemi?pageNo=768", "ON Semiconductor")</f>
        <v>ON Semiconductor</v>
      </c>
      <c r="C22944" s="6">
        <v>7500</v>
      </c>
      <c r="D22944" s="7">
        <v>0</v>
      </c>
    </row>
    <row r="22945" spans="1:4" x14ac:dyDescent="0.25">
      <c r="A22945" t="str">
        <f>HYPERLINK("https://www.773grp.com/globalSearch/SZ2570-6T3/page-1", "SZ2570-6T3")</f>
        <v>SZ2570-6T3</v>
      </c>
      <c r="B22945" s="3" t="str">
        <f>HYPERLINK("https://www.773grp.com/manufacturer/onsemi?pageNo=769", "ON Semiconductor")</f>
        <v>ON Semiconductor</v>
      </c>
      <c r="C22945" s="6">
        <v>15000</v>
      </c>
      <c r="D22945" s="7">
        <v>0</v>
      </c>
    </row>
    <row r="22946" spans="1:4" x14ac:dyDescent="0.25">
      <c r="A22946" t="str">
        <f>HYPERLINK("https://www.773grp.com/globalSearch/SZ2583T3/page-1", "SZ2583T3")</f>
        <v>SZ2583T3</v>
      </c>
      <c r="B22946" s="3" t="str">
        <f>HYPERLINK("https://www.773grp.com/manufacturer/onsemi?pageNo=770", "ON Semiconductor")</f>
        <v>ON Semiconductor</v>
      </c>
      <c r="C22946" s="6">
        <v>25000</v>
      </c>
      <c r="D22946" s="7">
        <v>0</v>
      </c>
    </row>
    <row r="22947" spans="1:4" x14ac:dyDescent="0.25">
      <c r="A22947" t="str">
        <f>HYPERLINK("https://www.773grp.com/globalSearch/SZ2803T3/page-1", "SZ2803T3")</f>
        <v>SZ2803T3</v>
      </c>
      <c r="B22947" s="3" t="str">
        <f>HYPERLINK("https://www.773grp.com/manufacturer/onsemi?pageNo=771", "ON Semiconductor")</f>
        <v>ON Semiconductor</v>
      </c>
      <c r="C22947" s="6">
        <v>2500</v>
      </c>
      <c r="D22947" s="7">
        <v>0</v>
      </c>
    </row>
    <row r="22948" spans="1:4" x14ac:dyDescent="0.25">
      <c r="A22948" t="str">
        <f>HYPERLINK("https://www.773grp.com/globalSearch/SZ2804T3/page-1", "SZ2804T3")</f>
        <v>SZ2804T3</v>
      </c>
      <c r="B22948" s="3" t="str">
        <f>HYPERLINK("https://www.773grp.com/manufacturer/onsemi?pageNo=772", "ON Semiconductor")</f>
        <v>ON Semiconductor</v>
      </c>
      <c r="C22948" s="6">
        <v>27500</v>
      </c>
      <c r="D22948" s="7">
        <v>0</v>
      </c>
    </row>
    <row r="22949" spans="1:4" x14ac:dyDescent="0.25">
      <c r="A22949" t="str">
        <f>HYPERLINK("https://www.773grp.com/globalSearch/SZ2812-26T3/page-1", "SZ2812-26T3")</f>
        <v>SZ2812-26T3</v>
      </c>
      <c r="B22949" s="3" t="str">
        <f>HYPERLINK("https://www.773grp.com/manufacturer/onsemi?pageNo=773", "ON Semiconductor")</f>
        <v>ON Semiconductor</v>
      </c>
      <c r="C22949" s="6">
        <v>12500</v>
      </c>
      <c r="D22949" s="7">
        <v>0</v>
      </c>
    </row>
    <row r="22950" spans="1:4" x14ac:dyDescent="0.25">
      <c r="A22950" t="str">
        <f>HYPERLINK("https://www.773grp.com/globalSearch/SZ2816T3G/page-1", "SZ2816T3G")</f>
        <v>SZ2816T3G</v>
      </c>
      <c r="B22950" s="3" t="str">
        <f>HYPERLINK("https://www.773grp.com/manufacturer/onsemi?pageNo=774", "ON Semiconductor")</f>
        <v>ON Semiconductor</v>
      </c>
      <c r="C22950" s="6">
        <v>2500</v>
      </c>
      <c r="D22950" s="7">
        <v>0</v>
      </c>
    </row>
    <row r="22951" spans="1:4" x14ac:dyDescent="0.25">
      <c r="A22951" t="str">
        <f>HYPERLINK("https://www.773grp.com/globalSearch/SZ2841T3G/page-1", "SZ2841T3G")</f>
        <v>SZ2841T3G</v>
      </c>
      <c r="B22951" s="3" t="str">
        <f>HYPERLINK("https://www.773grp.com/manufacturer/onsemi?pageNo=775", "ON Semiconductor")</f>
        <v>ON Semiconductor</v>
      </c>
      <c r="C22951" s="6">
        <v>5000</v>
      </c>
      <c r="D22951" s="7">
        <v>0</v>
      </c>
    </row>
    <row r="22952" spans="1:4" x14ac:dyDescent="0.25">
      <c r="A22952" t="str">
        <f>HYPERLINK("https://www.773grp.com/globalSearch/SZ2852T3/page-1", "SZ2852T3")</f>
        <v>SZ2852T3</v>
      </c>
      <c r="B22952" s="3" t="str">
        <f>HYPERLINK("https://www.773grp.com/manufacturer/onsemi?pageNo=776", "ON Semiconductor")</f>
        <v>ON Semiconductor</v>
      </c>
      <c r="C22952" s="6">
        <v>10000</v>
      </c>
      <c r="D22952" s="7">
        <v>0</v>
      </c>
    </row>
    <row r="22953" spans="1:4" x14ac:dyDescent="0.25">
      <c r="A22953" t="str">
        <f>HYPERLINK("https://www.773grp.com/globalSearch/SZ2860-11T3/page-1", "SZ2860-11T3")</f>
        <v>SZ2860-11T3</v>
      </c>
      <c r="B22953" s="3" t="str">
        <f>HYPERLINK("https://www.773grp.com/manufacturer/onsemi?pageNo=777", "ON Semiconductor")</f>
        <v>ON Semiconductor</v>
      </c>
      <c r="C22953" s="6">
        <v>10000</v>
      </c>
      <c r="D22953" s="7">
        <v>0</v>
      </c>
    </row>
    <row r="22954" spans="1:4" x14ac:dyDescent="0.25">
      <c r="A22954" t="str">
        <f>HYPERLINK("https://www.773grp.com/globalSearch/SZ2860-1T3G/page-1", "SZ2860-1T3G")</f>
        <v>SZ2860-1T3G</v>
      </c>
      <c r="B22954" s="3" t="str">
        <f>HYPERLINK("https://www.773grp.com/manufacturer/onsemi?pageNo=778", "ON Semiconductor")</f>
        <v>ON Semiconductor</v>
      </c>
      <c r="C22954" s="6">
        <v>5000</v>
      </c>
      <c r="D22954" s="7">
        <v>0</v>
      </c>
    </row>
    <row r="22955" spans="1:4" x14ac:dyDescent="0.25">
      <c r="A22955" t="str">
        <f>HYPERLINK("https://www.773grp.com/globalSearch/SZ2888BT3/page-1", "SZ2888BT3")</f>
        <v>SZ2888BT3</v>
      </c>
      <c r="B22955" s="3" t="str">
        <f>HYPERLINK("https://www.773grp.com/manufacturer/onsemi?pageNo=779", "ON Semiconductor")</f>
        <v>ON Semiconductor</v>
      </c>
      <c r="C22955" s="6">
        <v>20000</v>
      </c>
      <c r="D22955" s="7">
        <v>0</v>
      </c>
    </row>
    <row r="22956" spans="1:4" x14ac:dyDescent="0.25">
      <c r="A22956" t="str">
        <f>HYPERLINK("https://www.773grp.com/globalSearch/SZ2890AT3/page-1", "SZ2890AT3")</f>
        <v>SZ2890AT3</v>
      </c>
      <c r="B22956" s="3" t="str">
        <f>HYPERLINK("https://www.773grp.com/manufacturer/onsemi?pageNo=780", "ON Semiconductor")</f>
        <v>ON Semiconductor</v>
      </c>
      <c r="C22956" s="6">
        <v>10000</v>
      </c>
      <c r="D22956" s="7">
        <v>0</v>
      </c>
    </row>
    <row r="22957" spans="1:4" x14ac:dyDescent="0.25">
      <c r="A22957" t="str">
        <f>HYPERLINK("https://www.773grp.com/globalSearch/SZ2892CAT3/page-1", "SZ2892CAT3")</f>
        <v>SZ2892CAT3</v>
      </c>
      <c r="B22957" s="3" t="str">
        <f>HYPERLINK("https://www.773grp.com/manufacturer/onsemi?pageNo=781", "ON Semiconductor")</f>
        <v>ON Semiconductor</v>
      </c>
      <c r="C22957" s="6">
        <v>2500</v>
      </c>
      <c r="D22957" s="7">
        <v>0</v>
      </c>
    </row>
    <row r="22958" spans="1:4" x14ac:dyDescent="0.25">
      <c r="A22958" t="str">
        <f>HYPERLINK("https://www.773grp.com/globalSearch/SZ3580RL/page-1", "SZ3580RL")</f>
        <v>SZ3580RL</v>
      </c>
      <c r="B22958" s="3" t="str">
        <f>HYPERLINK("https://www.773grp.com/manufacturer/onsemi?pageNo=782", "ON Semiconductor")</f>
        <v>ON Semiconductor</v>
      </c>
      <c r="C22958" s="6">
        <v>3570</v>
      </c>
      <c r="D22958" s="7">
        <v>0</v>
      </c>
    </row>
    <row r="22959" spans="1:4" x14ac:dyDescent="0.25">
      <c r="A22959" t="str">
        <f>HYPERLINK("https://www.773grp.com/globalSearch/SZBZX84C3V0LT3/page-1", "SZBZX84C3V0LT3")</f>
        <v>SZBZX84C3V0LT3</v>
      </c>
      <c r="B22959" s="3" t="str">
        <f>HYPERLINK("https://www.773grp.com/manufacturer/onsemi?pageNo=783", "ON Semiconductor")</f>
        <v>ON Semiconductor</v>
      </c>
      <c r="C22959" s="6">
        <v>10000</v>
      </c>
      <c r="D22959" s="7">
        <v>0</v>
      </c>
    </row>
    <row r="22960" spans="1:4" x14ac:dyDescent="0.25">
      <c r="A22960" t="str">
        <f>HYPERLINK("https://www.773grp.com/globalSearch/SZBZX84C51LT3/page-1", "SZBZX84C51LT3")</f>
        <v>SZBZX84C51LT3</v>
      </c>
      <c r="B22960" s="3" t="str">
        <f>HYPERLINK("https://www.773grp.com/manufacturer/onsemi?pageNo=784", "ON Semiconductor")</f>
        <v>ON Semiconductor</v>
      </c>
      <c r="C22960" s="6">
        <v>30000</v>
      </c>
      <c r="D22960" s="7">
        <v>0</v>
      </c>
    </row>
    <row r="22961" spans="1:5" x14ac:dyDescent="0.25">
      <c r="A22961" t="str">
        <f>HYPERLINK("https://www.773grp.com/globalSearch/SZBZX84C75LT3/page-1", "SZBZX84C75LT3")</f>
        <v>SZBZX84C75LT3</v>
      </c>
      <c r="B22961" s="3" t="str">
        <f>HYPERLINK("https://www.773grp.com/manufacturer/onsemi?pageNo=785", "ON Semiconductor")</f>
        <v>ON Semiconductor</v>
      </c>
      <c r="C22961" s="6">
        <v>40000</v>
      </c>
      <c r="D22961" s="7">
        <v>0</v>
      </c>
    </row>
    <row r="22962" spans="1:5" x14ac:dyDescent="0.25">
      <c r="A22962" t="str">
        <f>HYPERLINK("https://www.773grp.com/globalSearch/SZBZX84C7V5LT1/page-1", "SZBZX84C7V5LT1")</f>
        <v>SZBZX84C7V5LT1</v>
      </c>
      <c r="B22962" s="3" t="str">
        <f>HYPERLINK("https://www.773grp.com/manufacturer/onsemi?pageNo=786", "ON Semiconductor")</f>
        <v>ON Semiconductor</v>
      </c>
      <c r="C22962" s="6">
        <v>33000</v>
      </c>
      <c r="D22962" s="7">
        <v>0</v>
      </c>
      <c r="E22962" t="s">
        <v>98</v>
      </c>
    </row>
    <row r="22963" spans="1:5" x14ac:dyDescent="0.25">
      <c r="A22963" t="str">
        <f>HYPERLINK("https://www.773grp.com/globalSearch/SZBZX84C8V2LT1/page-1", "SZBZX84C8V2LT1")</f>
        <v>SZBZX84C8V2LT1</v>
      </c>
      <c r="B22963" s="3" t="str">
        <f>HYPERLINK("https://www.773grp.com/manufacturer/onsemi?pageNo=787", "ON Semiconductor")</f>
        <v>ON Semiconductor</v>
      </c>
      <c r="C22963" s="6">
        <v>39000</v>
      </c>
      <c r="D22963" s="7">
        <v>0</v>
      </c>
      <c r="E22963" t="s">
        <v>98</v>
      </c>
    </row>
    <row r="22964" spans="1:5" x14ac:dyDescent="0.25">
      <c r="A22964" t="str">
        <f>HYPERLINK("https://www.773grp.com/globalSearch/SZESD9X5.0ST5G/page-1", "SZESD9X5.0ST5G")</f>
        <v>SZESD9X5.0ST5G</v>
      </c>
      <c r="B22964" s="3" t="str">
        <f>HYPERLINK("https://www.773grp.com/manufacturer/onsemi?pageNo=788", "ON Semiconductor")</f>
        <v>ON Semiconductor</v>
      </c>
      <c r="C22964" s="6">
        <v>1099</v>
      </c>
      <c r="D22964" s="7">
        <v>0</v>
      </c>
    </row>
    <row r="22965" spans="1:5" x14ac:dyDescent="0.25">
      <c r="A22965" t="str">
        <f>HYPERLINK("https://www.773grp.com/globalSearch/SZMM3Z27VT1G/page-1", "SZMM3Z27VT1G")</f>
        <v>SZMM3Z27VT1G</v>
      </c>
      <c r="B22965" s="3" t="str">
        <f>HYPERLINK("https://www.773grp.com/manufacturer/onsemi?pageNo=789", "ON Semiconductor")</f>
        <v>ON Semiconductor</v>
      </c>
      <c r="C22965" s="6">
        <v>15000</v>
      </c>
      <c r="D22965" s="7">
        <v>0</v>
      </c>
    </row>
    <row r="22966" spans="1:5" x14ac:dyDescent="0.25">
      <c r="A22966" t="str">
        <f>HYPERLINK("https://www.773grp.com/globalSearch/SZMM3Z43V/page-1", "SZMM3Z43V")</f>
        <v>SZMM3Z43V</v>
      </c>
      <c r="B22966" s="3" t="str">
        <f>HYPERLINK("https://www.773grp.com/manufacturer/onsemi?pageNo=790", "ON Semiconductor")</f>
        <v>ON Semiconductor</v>
      </c>
      <c r="C22966" s="6">
        <v>15000</v>
      </c>
      <c r="D22966" s="7">
        <v>0</v>
      </c>
    </row>
    <row r="22967" spans="1:5" x14ac:dyDescent="0.25">
      <c r="A22967" t="str">
        <f>HYPERLINK("https://www.773grp.com/globalSearch/SZMM3Z4V3T1/page-1", "SZMM3Z4V3T1")</f>
        <v>SZMM3Z4V3T1</v>
      </c>
      <c r="B22967" s="3" t="str">
        <f>HYPERLINK("https://www.773grp.com/manufacturer/onsemi?pageNo=791", "ON Semiconductor")</f>
        <v>ON Semiconductor</v>
      </c>
      <c r="C22967" s="6">
        <v>30000</v>
      </c>
      <c r="D22967" s="7">
        <v>0</v>
      </c>
    </row>
    <row r="22968" spans="1:5" x14ac:dyDescent="0.25">
      <c r="A22968" t="str">
        <f>HYPERLINK("https://www.773grp.com/globalSearch/SZMMBZ15VALT1/page-1", "SZMMBZ15VALT1")</f>
        <v>SZMMBZ15VALT1</v>
      </c>
      <c r="B22968" s="3" t="str">
        <f>HYPERLINK("https://www.773grp.com/manufacturer/onsemi?pageNo=792", "ON Semiconductor")</f>
        <v>ON Semiconductor</v>
      </c>
      <c r="C22968" s="6">
        <v>6000</v>
      </c>
      <c r="D22968" s="7">
        <v>0</v>
      </c>
      <c r="E22968" t="s">
        <v>96</v>
      </c>
    </row>
    <row r="22969" spans="1:5" x14ac:dyDescent="0.25">
      <c r="A22969" t="str">
        <f>HYPERLINK("https://www.773grp.com/globalSearch/SZMMBZ5229BLT1/page-1", "SZMMBZ5229BLT1")</f>
        <v>SZMMBZ5229BLT1</v>
      </c>
      <c r="B22969" s="3" t="str">
        <f>HYPERLINK("https://www.773grp.com/manufacturer/onsemi?pageNo=793", "ON Semiconductor")</f>
        <v>ON Semiconductor</v>
      </c>
      <c r="C22969" s="6">
        <v>147000</v>
      </c>
      <c r="D22969" s="7">
        <v>0</v>
      </c>
    </row>
    <row r="22970" spans="1:5" x14ac:dyDescent="0.25">
      <c r="A22970" t="str">
        <f>HYPERLINK("https://www.773grp.com/globalSearch/SZMMBZ5230BLT1/page-1", "SZMMBZ5230BLT1")</f>
        <v>SZMMBZ5230BLT1</v>
      </c>
      <c r="B22970" s="3" t="str">
        <f>HYPERLINK("https://www.773grp.com/manufacturer/onsemi?pageNo=794", "ON Semiconductor")</f>
        <v>ON Semiconductor</v>
      </c>
      <c r="C22970" s="6">
        <v>21000</v>
      </c>
      <c r="D22970" s="7">
        <v>0</v>
      </c>
      <c r="E22970" t="s">
        <v>98</v>
      </c>
    </row>
    <row r="22971" spans="1:5" x14ac:dyDescent="0.25">
      <c r="A22971" t="str">
        <f>HYPERLINK("https://www.773grp.com/globalSearch/SZMMBZ5231BLT1/page-1", "SZMMBZ5231BLT1")</f>
        <v>SZMMBZ5231BLT1</v>
      </c>
      <c r="B22971" s="3" t="str">
        <f>HYPERLINK("https://www.773grp.com/manufacturer/onsemi?pageNo=795", "ON Semiconductor")</f>
        <v>ON Semiconductor</v>
      </c>
      <c r="C22971" s="6">
        <v>15000</v>
      </c>
      <c r="D22971" s="7">
        <v>0</v>
      </c>
      <c r="E22971" t="s">
        <v>98</v>
      </c>
    </row>
    <row r="22972" spans="1:5" x14ac:dyDescent="0.25">
      <c r="A22972" t="str">
        <f>HYPERLINK("https://www.773grp.com/globalSearch/SZMMBZ5232BLT1/page-1", "SZMMBZ5232BLT1")</f>
        <v>SZMMBZ5232BLT1</v>
      </c>
      <c r="B22972" s="3" t="str">
        <f>HYPERLINK("https://www.773grp.com/manufacturer/onsemi?pageNo=796", "ON Semiconductor")</f>
        <v>ON Semiconductor</v>
      </c>
      <c r="C22972" s="6">
        <v>51000</v>
      </c>
      <c r="D22972" s="7">
        <v>0</v>
      </c>
    </row>
    <row r="22973" spans="1:5" x14ac:dyDescent="0.25">
      <c r="A22973" t="str">
        <f>HYPERLINK("https://www.773grp.com/globalSearch/SZMMBZ5232BLT3/page-1", "SZMMBZ5232BLT3")</f>
        <v>SZMMBZ5232BLT3</v>
      </c>
      <c r="B22973" s="3" t="str">
        <f>HYPERLINK("https://www.773grp.com/manufacturer/onsemi?pageNo=797", "ON Semiconductor")</f>
        <v>ON Semiconductor</v>
      </c>
      <c r="C22973" s="6">
        <v>110000</v>
      </c>
      <c r="D22973" s="7">
        <v>0</v>
      </c>
      <c r="E22973" t="s">
        <v>98</v>
      </c>
    </row>
    <row r="22974" spans="1:5" x14ac:dyDescent="0.25">
      <c r="A22974" t="str">
        <f>HYPERLINK("https://www.773grp.com/globalSearch/SZMMBZ5234BLT1/page-1", "SZMMBZ5234BLT1")</f>
        <v>SZMMBZ5234BLT1</v>
      </c>
      <c r="B22974" s="3" t="str">
        <f>HYPERLINK("https://www.773grp.com/manufacturer/onsemi?pageNo=798", "ON Semiconductor")</f>
        <v>ON Semiconductor</v>
      </c>
      <c r="C22974" s="6">
        <v>9000</v>
      </c>
      <c r="D22974" s="7">
        <v>0</v>
      </c>
    </row>
    <row r="22975" spans="1:5" x14ac:dyDescent="0.25">
      <c r="A22975" t="str">
        <f>HYPERLINK("https://www.773grp.com/globalSearch/SZMMBZ5235BLT1/page-1", "SZMMBZ5235BLT1")</f>
        <v>SZMMBZ5235BLT1</v>
      </c>
      <c r="B22975" s="3" t="str">
        <f>HYPERLINK("https://www.773grp.com/manufacturer/onsemi?pageNo=799", "ON Semiconductor")</f>
        <v>ON Semiconductor</v>
      </c>
      <c r="C22975" s="6">
        <v>6000</v>
      </c>
      <c r="D22975" s="7">
        <v>0</v>
      </c>
    </row>
    <row r="22976" spans="1:5" x14ac:dyDescent="0.25">
      <c r="A22976" t="str">
        <f>HYPERLINK("https://www.773grp.com/globalSearch/SZMMBZ5236BLT1/page-1", "SZMMBZ5236BLT1")</f>
        <v>SZMMBZ5236BLT1</v>
      </c>
      <c r="B22976" s="3" t="str">
        <f>HYPERLINK("https://www.773grp.com/manufacturer/onsemi?pageNo=800", "ON Semiconductor")</f>
        <v>ON Semiconductor</v>
      </c>
      <c r="C22976" s="6">
        <v>21000</v>
      </c>
      <c r="D22976" s="7">
        <v>0</v>
      </c>
      <c r="E22976" t="s">
        <v>98</v>
      </c>
    </row>
    <row r="22977" spans="1:5" x14ac:dyDescent="0.25">
      <c r="A22977" t="str">
        <f>HYPERLINK("https://www.773grp.com/globalSearch/SZMMBZ5248BLT3/page-1", "SZMMBZ5248BLT3")</f>
        <v>SZMMBZ5248BLT3</v>
      </c>
      <c r="B22977" s="3" t="str">
        <f>HYPERLINK("https://www.773grp.com/manufacturer/onsemi?pageNo=801", "ON Semiconductor")</f>
        <v>ON Semiconductor</v>
      </c>
      <c r="C22977" s="6">
        <v>20000</v>
      </c>
      <c r="D22977" s="7">
        <v>0</v>
      </c>
    </row>
    <row r="22978" spans="1:5" x14ac:dyDescent="0.25">
      <c r="A22978" t="str">
        <f>HYPERLINK("https://www.773grp.com/globalSearch/SZMMBZ5263BLT1/page-1", "SZMMBZ5263BLT1")</f>
        <v>SZMMBZ5263BLT1</v>
      </c>
      <c r="B22978" s="3" t="str">
        <f>HYPERLINK("https://www.773grp.com/manufacturer/onsemi?pageNo=802", "ON Semiconductor")</f>
        <v>ON Semiconductor</v>
      </c>
      <c r="C22978" s="6">
        <v>87000</v>
      </c>
      <c r="D22978" s="7">
        <v>0</v>
      </c>
      <c r="E22978" t="s">
        <v>98</v>
      </c>
    </row>
    <row r="22979" spans="1:5" x14ac:dyDescent="0.25">
      <c r="A22979" t="str">
        <f>HYPERLINK("https://www.773grp.com/globalSearch/SZMMBZ526BLT1G/page-1", "SZMMBZ526BLT1G")</f>
        <v>SZMMBZ526BLT1G</v>
      </c>
      <c r="B22979" s="3" t="str">
        <f>HYPERLINK("https://www.773grp.com/manufacturer/onsemi?pageNo=803", "ON Semiconductor")</f>
        <v>ON Semiconductor</v>
      </c>
      <c r="C22979" s="6">
        <v>3000</v>
      </c>
      <c r="D22979" s="7">
        <v>0</v>
      </c>
    </row>
    <row r="22980" spans="1:5" x14ac:dyDescent="0.25">
      <c r="A22980" t="str">
        <f>HYPERLINK("https://www.773grp.com/globalSearch/SZMMQA6V8T1/page-1", "SZMMQA6V8T1")</f>
        <v>SZMMQA6V8T1</v>
      </c>
      <c r="B22980" s="3" t="str">
        <f>HYPERLINK("https://www.773grp.com/manufacturer/onsemi?pageNo=804", "ON Semiconductor")</f>
        <v>ON Semiconductor</v>
      </c>
      <c r="C22980" s="6">
        <v>18000</v>
      </c>
      <c r="D22980" s="7">
        <v>0</v>
      </c>
    </row>
    <row r="22981" spans="1:5" x14ac:dyDescent="0.25">
      <c r="A22981" t="str">
        <f>HYPERLINK("https://www.773grp.com/globalSearch/SZMMSZ10T1/page-1", "SZMMSZ10T1")</f>
        <v>SZMMSZ10T1</v>
      </c>
      <c r="B22981" s="3" t="str">
        <f>HYPERLINK("https://www.773grp.com/manufacturer/onsemi?pageNo=805", "ON Semiconductor")</f>
        <v>ON Semiconductor</v>
      </c>
      <c r="C22981" s="6">
        <v>21000</v>
      </c>
      <c r="D22981" s="7">
        <v>0</v>
      </c>
    </row>
    <row r="22982" spans="1:5" x14ac:dyDescent="0.25">
      <c r="A22982" t="str">
        <f>HYPERLINK("https://www.773grp.com/globalSearch/SZMMSZ3V3T1/page-1", "SZMMSZ3V3T1")</f>
        <v>SZMMSZ3V3T1</v>
      </c>
      <c r="B22982" s="3" t="str">
        <f>HYPERLINK("https://www.773grp.com/manufacturer/onsemi?pageNo=806", "ON Semiconductor")</f>
        <v>ON Semiconductor</v>
      </c>
      <c r="C22982" s="6">
        <v>15000</v>
      </c>
      <c r="D22982" s="7">
        <v>0</v>
      </c>
    </row>
    <row r="22983" spans="1:5" x14ac:dyDescent="0.25">
      <c r="A22983" t="str">
        <f>HYPERLINK("https://www.773grp.com/globalSearch/SZMMSZ5232BT1/page-1", "SZMMSZ5232BT1")</f>
        <v>SZMMSZ5232BT1</v>
      </c>
      <c r="B22983" s="3" t="str">
        <f>HYPERLINK("https://www.773grp.com/manufacturer/onsemi?pageNo=807", "ON Semiconductor")</f>
        <v>ON Semiconductor</v>
      </c>
      <c r="C22983" s="6">
        <v>54000</v>
      </c>
      <c r="D22983" s="7">
        <v>0</v>
      </c>
    </row>
    <row r="22984" spans="1:5" x14ac:dyDescent="0.25">
      <c r="A22984" t="str">
        <f>HYPERLINK("https://www.773grp.com/globalSearch/SZMMSZ5245BT1/page-1", "SZMMSZ5245BT1")</f>
        <v>SZMMSZ5245BT1</v>
      </c>
      <c r="B22984" s="3" t="str">
        <f>HYPERLINK("https://www.773grp.com/manufacturer/onsemi?pageNo=808", "ON Semiconductor")</f>
        <v>ON Semiconductor</v>
      </c>
      <c r="C22984" s="6">
        <v>3000</v>
      </c>
      <c r="D22984" s="7">
        <v>0</v>
      </c>
    </row>
    <row r="22985" spans="1:5" x14ac:dyDescent="0.25">
      <c r="A22985" t="str">
        <f>HYPERLINK("https://www.773grp.com/globalSearch/SZMMSZ5252BT1/page-1", "SZMMSZ5252BT1")</f>
        <v>SZMMSZ5252BT1</v>
      </c>
      <c r="B22985" s="3" t="str">
        <f>HYPERLINK("https://www.773grp.com/manufacturer/onsemi?pageNo=809", "ON Semiconductor")</f>
        <v>ON Semiconductor</v>
      </c>
      <c r="C22985" s="6">
        <v>21000</v>
      </c>
      <c r="D22985" s="7">
        <v>0</v>
      </c>
    </row>
    <row r="22986" spans="1:5" x14ac:dyDescent="0.25">
      <c r="A22986" t="str">
        <f>HYPERLINK("https://www.773grp.com/globalSearch/SZMMSZ5253BT1/page-1", "SZMMSZ5253BT1")</f>
        <v>SZMMSZ5253BT1</v>
      </c>
      <c r="B22986" s="3" t="str">
        <f>HYPERLINK("https://www.773grp.com/manufacturer/onsemi?pageNo=810", "ON Semiconductor")</f>
        <v>ON Semiconductor</v>
      </c>
      <c r="C22986" s="6">
        <v>18000</v>
      </c>
      <c r="D22986" s="7">
        <v>0</v>
      </c>
    </row>
    <row r="22987" spans="1:5" x14ac:dyDescent="0.25">
      <c r="A22987" t="str">
        <f>HYPERLINK("https://www.773grp.com/globalSearch/SZMMSZ5254ET1/page-1", "SZMMSZ5254ET1")</f>
        <v>SZMMSZ5254ET1</v>
      </c>
      <c r="B22987" s="3" t="str">
        <f>HYPERLINK("https://www.773grp.com/manufacturer/onsemi?pageNo=811", "ON Semiconductor")</f>
        <v>ON Semiconductor</v>
      </c>
      <c r="C22987" s="6">
        <v>36000</v>
      </c>
      <c r="D22987" s="7">
        <v>0</v>
      </c>
    </row>
    <row r="22988" spans="1:5" x14ac:dyDescent="0.25">
      <c r="A22988" t="str">
        <f>HYPERLINK("https://www.773grp.com/globalSearch/SZMMSZ5259BT1/page-1", "SZMMSZ5259BT1")</f>
        <v>SZMMSZ5259BT1</v>
      </c>
      <c r="B22988" s="3" t="str">
        <f>HYPERLINK("https://www.773grp.com/manufacturer/onsemi?pageNo=812", "ON Semiconductor")</f>
        <v>ON Semiconductor</v>
      </c>
      <c r="C22988" s="6">
        <v>57000</v>
      </c>
      <c r="D22988" s="7">
        <v>0</v>
      </c>
    </row>
    <row r="22989" spans="1:5" x14ac:dyDescent="0.25">
      <c r="A22989" t="str">
        <f>HYPERLINK("https://www.773grp.com/globalSearch/SZMMSZ5261BT1/page-1", "SZMMSZ5261BT1")</f>
        <v>SZMMSZ5261BT1</v>
      </c>
      <c r="B22989" s="3" t="str">
        <f>HYPERLINK("https://www.773grp.com/manufacturer/onsemi?pageNo=813", "ON Semiconductor")</f>
        <v>ON Semiconductor</v>
      </c>
      <c r="C22989" s="6">
        <v>78000</v>
      </c>
      <c r="D22989" s="7">
        <v>0</v>
      </c>
    </row>
    <row r="22990" spans="1:5" x14ac:dyDescent="0.25">
      <c r="A22990" t="str">
        <f>HYPERLINK("https://www.773grp.com/globalSearch/SZMMSZ5V1T1/page-1", "SZMMSZ5V1T1")</f>
        <v>SZMMSZ5V1T1</v>
      </c>
      <c r="B22990" s="3" t="str">
        <f>HYPERLINK("https://www.773grp.com/manufacturer/onsemi?pageNo=814", "ON Semiconductor")</f>
        <v>ON Semiconductor</v>
      </c>
      <c r="C22990" s="6">
        <v>6000</v>
      </c>
      <c r="D22990" s="7">
        <v>0</v>
      </c>
    </row>
    <row r="22991" spans="1:5" x14ac:dyDescent="0.25">
      <c r="A22991" t="str">
        <f>HYPERLINK("https://www.773grp.com/globalSearch/SZP30082RLG/page-1", "SZP30082RLG")</f>
        <v>SZP30082RLG</v>
      </c>
      <c r="B22991" s="3" t="str">
        <f>HYPERLINK("https://www.773grp.com/manufacturer/onsemi?pageNo=815", "ON Semiconductor")</f>
        <v>ON Semiconductor</v>
      </c>
      <c r="C22991" s="6">
        <v>370</v>
      </c>
      <c r="D22991" s="7">
        <v>0</v>
      </c>
    </row>
    <row r="22992" spans="1:5" x14ac:dyDescent="0.25">
      <c r="A22992" t="str">
        <f>HYPERLINK("https://www.773grp.com/globalSearch/SZP30106RL/page-1", "SZP30106RL")</f>
        <v>SZP30106RL</v>
      </c>
      <c r="B22992" s="3" t="str">
        <f>HYPERLINK("https://www.773grp.com/manufacturer/onsemi?pageNo=816", "ON Semiconductor")</f>
        <v>ON Semiconductor</v>
      </c>
      <c r="C22992" s="6">
        <v>840000</v>
      </c>
      <c r="D22992" s="7">
        <v>0</v>
      </c>
    </row>
    <row r="22993" spans="1:4" x14ac:dyDescent="0.25">
      <c r="A22993" t="str">
        <f>HYPERLINK("https://www.773grp.com/globalSearch/SZP30256RL/page-1", "SZP30256RL")</f>
        <v>SZP30256RL</v>
      </c>
      <c r="B22993" s="3" t="str">
        <f>HYPERLINK("https://www.773grp.com/manufacturer/onsemi?pageNo=817", "ON Semiconductor")</f>
        <v>ON Semiconductor</v>
      </c>
      <c r="C22993" s="6">
        <v>6000</v>
      </c>
      <c r="D22993" s="7">
        <v>0</v>
      </c>
    </row>
    <row r="22994" spans="1:4" x14ac:dyDescent="0.25">
      <c r="A22994" t="str">
        <f>HYPERLINK("https://www.773grp.com/globalSearch/SZP30268RL/page-1", "SZP30268RL")</f>
        <v>SZP30268RL</v>
      </c>
      <c r="B22994" s="3" t="str">
        <f>HYPERLINK("https://www.773grp.com/manufacturer/onsemi?pageNo=818", "ON Semiconductor")</f>
        <v>ON Semiconductor</v>
      </c>
      <c r="C22994" s="6">
        <v>36000</v>
      </c>
      <c r="D22994" s="7">
        <v>0</v>
      </c>
    </row>
    <row r="22995" spans="1:4" x14ac:dyDescent="0.25">
      <c r="A22995" t="str">
        <f>HYPERLINK("https://www.773grp.com/globalSearch/SZP30339RL/page-1", "SZP30339RL")</f>
        <v>SZP30339RL</v>
      </c>
      <c r="B22995" s="3" t="str">
        <f>HYPERLINK("https://www.773grp.com/manufacturer/onsemi?pageNo=819", "ON Semiconductor")</f>
        <v>ON Semiconductor</v>
      </c>
      <c r="C22995" s="6">
        <v>6000</v>
      </c>
      <c r="D22995" s="7">
        <v>0</v>
      </c>
    </row>
    <row r="22996" spans="1:4" x14ac:dyDescent="0.25">
      <c r="A22996" t="str">
        <f>HYPERLINK("https://www.773grp.com/globalSearch/SZP30342RL/page-1", "SZP30342RL")</f>
        <v>SZP30342RL</v>
      </c>
      <c r="B22996" s="3" t="str">
        <f>HYPERLINK("https://www.773grp.com/manufacturer/onsemi?pageNo=820", "ON Semiconductor")</f>
        <v>ON Semiconductor</v>
      </c>
      <c r="C22996" s="6">
        <v>6000</v>
      </c>
      <c r="D22996" s="7">
        <v>0</v>
      </c>
    </row>
    <row r="22997" spans="1:4" x14ac:dyDescent="0.25">
      <c r="A22997" t="str">
        <f>HYPERLINK("https://www.773grp.com/globalSearch/SZP30390-7RL/page-1", "SZP30390-7RL")</f>
        <v>SZP30390-7RL</v>
      </c>
      <c r="B22997" s="3" t="str">
        <f>HYPERLINK("https://www.773grp.com/manufacturer/onsemi?pageNo=821", "ON Semiconductor")</f>
        <v>ON Semiconductor</v>
      </c>
      <c r="C22997" s="6">
        <v>6000</v>
      </c>
      <c r="D22997" s="7">
        <v>0</v>
      </c>
    </row>
    <row r="22998" spans="1:4" x14ac:dyDescent="0.25">
      <c r="A22998" t="str">
        <f>HYPERLINK("https://www.773grp.com/globalSearch/SZP35112RL/page-1", "SZP35112RL")</f>
        <v>SZP35112RL</v>
      </c>
      <c r="B22998" s="3" t="str">
        <f>HYPERLINK("https://www.773grp.com/manufacturer/onsemi?pageNo=822", "ON Semiconductor")</f>
        <v>ON Semiconductor</v>
      </c>
      <c r="C22998" s="6">
        <v>4456</v>
      </c>
      <c r="D22998" s="7">
        <v>0</v>
      </c>
    </row>
    <row r="22999" spans="1:4" x14ac:dyDescent="0.25">
      <c r="A22999" t="str">
        <f>HYPERLINK("https://www.773grp.com/globalSearch/SZP35126-23RL/page-1", "SZP35126-23RL")</f>
        <v>SZP35126-23RL</v>
      </c>
      <c r="B22999" s="3" t="str">
        <f>HYPERLINK("https://www.773grp.com/manufacturer/onsemi?pageNo=823", "ON Semiconductor")</f>
        <v>ON Semiconductor</v>
      </c>
      <c r="C22999" s="6">
        <v>66000</v>
      </c>
      <c r="D22999" s="7">
        <v>0</v>
      </c>
    </row>
    <row r="23000" spans="1:4" x14ac:dyDescent="0.25">
      <c r="A23000" t="str">
        <f>HYPERLINK("https://www.773grp.com/globalSearch/SZP35126-24RL/page-1", "SZP35126-24RL")</f>
        <v>SZP35126-24RL</v>
      </c>
      <c r="B23000" s="3" t="str">
        <f>HYPERLINK("https://www.773grp.com/manufacturer/onsemi?pageNo=824", "ON Semiconductor")</f>
        <v>ON Semiconductor</v>
      </c>
      <c r="C23000" s="6">
        <v>108000</v>
      </c>
      <c r="D23000" s="7">
        <v>0</v>
      </c>
    </row>
    <row r="23001" spans="1:4" x14ac:dyDescent="0.25">
      <c r="A23001" t="str">
        <f>HYPERLINK("https://www.773grp.com/globalSearch/SZP35126-59RL/page-1", "SZP35126-59RL")</f>
        <v>SZP35126-59RL</v>
      </c>
      <c r="B23001" s="3" t="str">
        <f>HYPERLINK("https://www.773grp.com/manufacturer/onsemi?pageNo=825", "ON Semiconductor")</f>
        <v>ON Semiconductor</v>
      </c>
      <c r="C23001" s="6">
        <v>30000</v>
      </c>
      <c r="D23001" s="7">
        <v>0</v>
      </c>
    </row>
    <row r="23002" spans="1:4" x14ac:dyDescent="0.25">
      <c r="A23002" t="str">
        <f>HYPERLINK("https://www.773grp.com/globalSearch/SZP35126-60RL/page-1", "SZP35126-60RL")</f>
        <v>SZP35126-60RL</v>
      </c>
      <c r="B23002" s="3" t="str">
        <f>HYPERLINK("https://www.773grp.com/manufacturer/onsemi?pageNo=826", "ON Semiconductor")</f>
        <v>ON Semiconductor</v>
      </c>
      <c r="C23002" s="6">
        <v>30000</v>
      </c>
      <c r="D23002" s="7">
        <v>0</v>
      </c>
    </row>
    <row r="23003" spans="1:4" x14ac:dyDescent="0.25">
      <c r="A23003" t="str">
        <f>HYPERLINK("https://www.773grp.com/globalSearch/SZP50002RL4/page-1", "SZP50002RL4")</f>
        <v>SZP50002RL4</v>
      </c>
      <c r="B23003" s="3" t="str">
        <f>HYPERLINK("https://www.773grp.com/manufacturer/onsemi?pageNo=827", "ON Semiconductor")</f>
        <v>ON Semiconductor</v>
      </c>
      <c r="C23003" s="6">
        <v>10500</v>
      </c>
      <c r="D23003" s="7">
        <v>0</v>
      </c>
    </row>
    <row r="23004" spans="1:4" x14ac:dyDescent="0.25">
      <c r="A23004" t="str">
        <f>HYPERLINK("https://www.773grp.com/globalSearch/SZP50011RL4/page-1", "SZP50011RL4")</f>
        <v>SZP50011RL4</v>
      </c>
      <c r="B23004" s="3" t="str">
        <f>HYPERLINK("https://www.773grp.com/manufacturer/onsemi?pageNo=828", "ON Semiconductor")</f>
        <v>ON Semiconductor</v>
      </c>
      <c r="C23004" s="6">
        <v>4500</v>
      </c>
      <c r="D23004" s="7">
        <v>0</v>
      </c>
    </row>
    <row r="23005" spans="1:4" x14ac:dyDescent="0.25">
      <c r="A23005" t="str">
        <f>HYPERLINK("https://www.773grp.com/globalSearch/SZP6KE6.8AG/page-1", "SZP6KE6.8AG")</f>
        <v>SZP6KE6.8AG</v>
      </c>
      <c r="B23005" s="3" t="str">
        <f>HYPERLINK("https://www.773grp.com/manufacturer/onsemi?pageNo=829", "ON Semiconductor")</f>
        <v>ON Semiconductor</v>
      </c>
      <c r="C23005" s="6">
        <v>3000</v>
      </c>
      <c r="D23005" s="7">
        <v>0</v>
      </c>
    </row>
    <row r="23006" spans="1:4" x14ac:dyDescent="0.25">
      <c r="A23006" t="str">
        <f>HYPERLINK("https://www.773grp.com/globalSearch/SZT1002T1/page-1", "SZT1002T1")</f>
        <v>SZT1002T1</v>
      </c>
      <c r="B23006" s="3" t="str">
        <f>HYPERLINK("https://www.773grp.com/manufacturer/onsemi?pageNo=830", "ON Semiconductor")</f>
        <v>ON Semiconductor</v>
      </c>
      <c r="C23006" s="6">
        <v>99000</v>
      </c>
      <c r="D23006" s="7">
        <v>0</v>
      </c>
    </row>
    <row r="23007" spans="1:4" x14ac:dyDescent="0.25">
      <c r="A23007" t="str">
        <f>HYPERLINK("https://www.773grp.com/globalSearch/SZT1004T1G/page-1", "SZT1004T1G")</f>
        <v>SZT1004T1G</v>
      </c>
      <c r="B23007" s="3" t="str">
        <f>HYPERLINK("https://www.773grp.com/manufacturer/onsemi?pageNo=831", "ON Semiconductor")</f>
        <v>ON Semiconductor</v>
      </c>
      <c r="C23007" s="6">
        <v>47000</v>
      </c>
      <c r="D23007" s="7">
        <v>0</v>
      </c>
    </row>
    <row r="23008" spans="1:4" x14ac:dyDescent="0.25">
      <c r="A23008" t="str">
        <f>HYPERLINK("https://www.773grp.com/globalSearch/SZT1009T1/page-1", "SZT1009T1")</f>
        <v>SZT1009T1</v>
      </c>
      <c r="B23008" s="3" t="str">
        <f>HYPERLINK("https://www.773grp.com/manufacturer/onsemi?pageNo=832", "ON Semiconductor")</f>
        <v>ON Semiconductor</v>
      </c>
      <c r="C23008" s="6">
        <v>6000</v>
      </c>
      <c r="D23008" s="7">
        <v>0</v>
      </c>
    </row>
    <row r="23009" spans="1:4" x14ac:dyDescent="0.25">
      <c r="A23009" t="str">
        <f>HYPERLINK("https://www.773grp.com/globalSearch/SZT1010T1/page-1", "SZT1010T1")</f>
        <v>SZT1010T1</v>
      </c>
      <c r="B23009" s="3" t="str">
        <f>HYPERLINK("https://www.773grp.com/manufacturer/onsemi?pageNo=833", "ON Semiconductor")</f>
        <v>ON Semiconductor</v>
      </c>
      <c r="C23009" s="6">
        <v>6000</v>
      </c>
      <c r="D23009" s="7">
        <v>0</v>
      </c>
    </row>
    <row r="23010" spans="1:4" x14ac:dyDescent="0.25">
      <c r="A23010" t="str">
        <f>HYPERLINK("https://www.773grp.com/globalSearch/TC10H641FN/page-1", "TC10H641FN")</f>
        <v>TC10H641FN</v>
      </c>
      <c r="B23010" s="3" t="str">
        <f>HYPERLINK("https://www.773grp.com/manufacturer/onsemi?pageNo=834", "ON Semiconductor")</f>
        <v>ON Semiconductor</v>
      </c>
      <c r="C23010" s="6">
        <v>74</v>
      </c>
      <c r="D23010" s="7">
        <v>0</v>
      </c>
    </row>
    <row r="23011" spans="1:4" x14ac:dyDescent="0.25">
      <c r="A23011" t="str">
        <f>HYPERLINK("https://www.773grp.com/globalSearch/TCM2574-12.0VPA/page-1", "TCM2574-12.0VPA")</f>
        <v>TCM2574-12.0VPA</v>
      </c>
      <c r="B23011" s="3" t="str">
        <f>HYPERLINK("https://www.773grp.com/manufacturer/onsemi?pageNo=835", "ON Semiconductor")</f>
        <v>ON Semiconductor</v>
      </c>
      <c r="C23011" s="6">
        <v>5795</v>
      </c>
      <c r="D23011" s="7">
        <v>0</v>
      </c>
    </row>
    <row r="23012" spans="1:4" x14ac:dyDescent="0.25">
      <c r="A23012" t="str">
        <f>HYPERLINK("https://www.773grp.com/globalSearch/TCM2574-150VPA/page-1", "TCM2574-150VPA")</f>
        <v>TCM2574-150VPA</v>
      </c>
      <c r="B23012" s="3" t="str">
        <f>HYPERLINK("https://www.773grp.com/manufacturer/onsemi?pageNo=836", "ON Semiconductor")</f>
        <v>ON Semiconductor</v>
      </c>
      <c r="C23012" s="6">
        <v>3040</v>
      </c>
      <c r="D23012" s="7">
        <v>0</v>
      </c>
    </row>
    <row r="23013" spans="1:4" x14ac:dyDescent="0.25">
      <c r="A23013" t="str">
        <f>HYPERLINK("https://www.773grp.com/globalSearch/TCM2574-3.3VPA/page-1", "TCM2574-3.3VPA")</f>
        <v>TCM2574-3.3VPA</v>
      </c>
      <c r="B23013" s="3" t="str">
        <f>HYPERLINK("https://www.773grp.com/manufacturer/onsemi?pageNo=837", "ON Semiconductor")</f>
        <v>ON Semiconductor</v>
      </c>
      <c r="C23013" s="6">
        <v>8181</v>
      </c>
      <c r="D23013" s="7">
        <v>0</v>
      </c>
    </row>
    <row r="23014" spans="1:4" x14ac:dyDescent="0.25">
      <c r="A23014" t="str">
        <f>HYPERLINK("https://www.773grp.com/globalSearch/TCM2574-5.0VPA/page-1", "TCM2574-5.0VPA")</f>
        <v>TCM2574-5.0VPA</v>
      </c>
      <c r="B23014" s="3" t="str">
        <f>HYPERLINK("https://www.773grp.com/manufacturer/onsemi?pageNo=838", "ON Semiconductor")</f>
        <v>ON Semiconductor</v>
      </c>
      <c r="C23014" s="6">
        <v>5283</v>
      </c>
      <c r="D23014" s="7">
        <v>0</v>
      </c>
    </row>
    <row r="23015" spans="1:4" x14ac:dyDescent="0.25">
      <c r="A23015" t="str">
        <f>HYPERLINK("https://www.773grp.com/globalSearch/TCM2575-120VAT/page-1", "TCM2575-120VAT")</f>
        <v>TCM2575-120VAT</v>
      </c>
      <c r="B23015" s="3" t="str">
        <f>HYPERLINK("https://www.773grp.com/manufacturer/onsemi?pageNo=839", "ON Semiconductor")</f>
        <v>ON Semiconductor</v>
      </c>
      <c r="C23015" s="6">
        <v>6650</v>
      </c>
      <c r="D23015" s="7">
        <v>0</v>
      </c>
    </row>
    <row r="23016" spans="1:4" x14ac:dyDescent="0.25">
      <c r="A23016" t="str">
        <f>HYPERLINK("https://www.773grp.com/globalSearch/TCM2575-120VBV/page-1", "TCM2575-120VBV")</f>
        <v>TCM2575-120VBV</v>
      </c>
      <c r="B23016" s="3" t="str">
        <f>HYPERLINK("https://www.773grp.com/manufacturer/onsemi?pageNo=840", "ON Semiconductor")</f>
        <v>ON Semiconductor</v>
      </c>
      <c r="C23016" s="6">
        <v>1650</v>
      </c>
      <c r="D23016" s="7">
        <v>0</v>
      </c>
    </row>
    <row r="23017" spans="1:4" x14ac:dyDescent="0.25">
      <c r="A23017" t="str">
        <f>HYPERLINK("https://www.773grp.com/globalSearch/TCM2575-33VAT/page-1", "TCM2575-33VAT")</f>
        <v>TCM2575-33VAT</v>
      </c>
      <c r="B23017" s="3" t="str">
        <f>HYPERLINK("https://www.773grp.com/manufacturer/onsemi?pageNo=841", "ON Semiconductor")</f>
        <v>ON Semiconductor</v>
      </c>
      <c r="C23017" s="6">
        <v>6750</v>
      </c>
      <c r="D23017" s="7">
        <v>0</v>
      </c>
    </row>
    <row r="23018" spans="1:4" x14ac:dyDescent="0.25">
      <c r="A23018" t="str">
        <f>HYPERLINK("https://www.773grp.com/globalSearch/TCM2575-33VBV/page-1", "TCM2575-33VBV")</f>
        <v>TCM2575-33VBV</v>
      </c>
      <c r="B23018" s="3" t="str">
        <f>HYPERLINK("https://www.773grp.com/manufacturer/onsemi?pageNo=842", "ON Semiconductor")</f>
        <v>ON Semiconductor</v>
      </c>
      <c r="C23018" s="6">
        <v>2150</v>
      </c>
      <c r="D23018" s="7">
        <v>0</v>
      </c>
    </row>
    <row r="23019" spans="1:4" x14ac:dyDescent="0.25">
      <c r="A23019" t="str">
        <f>HYPERLINK("https://www.773grp.com/globalSearch/TCM2575-50VAT/page-1", "TCM2575-50VAT")</f>
        <v>TCM2575-50VAT</v>
      </c>
      <c r="B23019" s="3" t="str">
        <f>HYPERLINK("https://www.773grp.com/manufacturer/onsemi?pageNo=843", "ON Semiconductor")</f>
        <v>ON Semiconductor</v>
      </c>
      <c r="C23019" s="6">
        <v>6700</v>
      </c>
      <c r="D23019" s="7">
        <v>0</v>
      </c>
    </row>
    <row r="23020" spans="1:4" x14ac:dyDescent="0.25">
      <c r="A23020" t="str">
        <f>HYPERLINK("https://www.773grp.com/globalSearch/TCM2575-50VBV/page-1", "TCM2575-50VBV")</f>
        <v>TCM2575-50VBV</v>
      </c>
      <c r="B23020" s="3" t="str">
        <f>HYPERLINK("https://www.773grp.com/manufacturer/onsemi?pageNo=844", "ON Semiconductor")</f>
        <v>ON Semiconductor</v>
      </c>
      <c r="C23020" s="6">
        <v>2450</v>
      </c>
      <c r="D23020" s="7">
        <v>0</v>
      </c>
    </row>
    <row r="23021" spans="1:4" x14ac:dyDescent="0.25">
      <c r="A23021" t="str">
        <f>HYPERLINK("https://www.773grp.com/globalSearch/TCM2575VAT/page-1", "TCM2575VAT")</f>
        <v>TCM2575VAT</v>
      </c>
      <c r="B23021" s="3" t="str">
        <f>HYPERLINK("https://www.773grp.com/manufacturer/onsemi?pageNo=845", "ON Semiconductor")</f>
        <v>ON Semiconductor</v>
      </c>
      <c r="C23021" s="6">
        <v>5950</v>
      </c>
      <c r="D23021" s="7">
        <v>0</v>
      </c>
    </row>
    <row r="23022" spans="1:4" x14ac:dyDescent="0.25">
      <c r="A23022" t="str">
        <f>HYPERLINK("https://www.773grp.com/globalSearch/TCM2575VBV/page-1", "TCM2575VBV")</f>
        <v>TCM2575VBV</v>
      </c>
      <c r="B23022" s="3" t="str">
        <f>HYPERLINK("https://www.773grp.com/manufacturer/onsemi?pageNo=846", "ON Semiconductor")</f>
        <v>ON Semiconductor</v>
      </c>
      <c r="C23022" s="6">
        <v>4250</v>
      </c>
      <c r="D23022" s="7">
        <v>0</v>
      </c>
    </row>
    <row r="23023" spans="1:4" x14ac:dyDescent="0.25">
      <c r="A23023" t="str">
        <f>HYPERLINK("https://www.773grp.com/globalSearch/TCM2951-3.0VOA/page-1", "TCM2951-3.0VOA")</f>
        <v>TCM2951-3.0VOA</v>
      </c>
      <c r="B23023" s="3" t="str">
        <f>HYPERLINK("https://www.773grp.com/manufacturer/onsemi?pageNo=847", "ON Semiconductor")</f>
        <v>ON Semiconductor</v>
      </c>
      <c r="C23023" s="6">
        <v>7448</v>
      </c>
      <c r="D23023" s="7">
        <v>0</v>
      </c>
    </row>
    <row r="23024" spans="1:4" x14ac:dyDescent="0.25">
      <c r="A23024" t="str">
        <f>HYPERLINK("https://www.773grp.com/globalSearch/TCM2951-3.3VOA/page-1", "TCM2951-3.3VOA")</f>
        <v>TCM2951-3.3VOA</v>
      </c>
      <c r="B23024" s="3" t="str">
        <f>HYPERLINK("https://www.773grp.com/manufacturer/onsemi?pageNo=848", "ON Semiconductor")</f>
        <v>ON Semiconductor</v>
      </c>
      <c r="C23024" s="6">
        <v>15000</v>
      </c>
      <c r="D23024" s="7">
        <v>0</v>
      </c>
    </row>
    <row r="23025" spans="1:4" x14ac:dyDescent="0.25">
      <c r="A23025" t="str">
        <f>HYPERLINK("https://www.773grp.com/globalSearch/TCM323VBB/page-1", "TCM323VBB")</f>
        <v>TCM323VBB</v>
      </c>
      <c r="B23025" s="3" t="str">
        <f>HYPERLINK("https://www.773grp.com/manufacturer/onsemi?pageNo=849", "ON Semiconductor")</f>
        <v>ON Semiconductor</v>
      </c>
      <c r="C23025" s="6">
        <v>11400</v>
      </c>
      <c r="D23025" s="7">
        <v>0</v>
      </c>
    </row>
    <row r="23026" spans="1:4" x14ac:dyDescent="0.25">
      <c r="A23026" t="str">
        <f>HYPERLINK("https://www.773grp.com/globalSearch/TCM33025VOE/page-1", "TCM33025VOE")</f>
        <v>TCM33025VOE</v>
      </c>
      <c r="B23026" s="3" t="str">
        <f>HYPERLINK("https://www.773grp.com/manufacturer/onsemi?pageNo=850", "ON Semiconductor")</f>
        <v>ON Semiconductor</v>
      </c>
      <c r="C23026" s="6">
        <v>10000</v>
      </c>
      <c r="D23026" s="7">
        <v>0</v>
      </c>
    </row>
    <row r="23027" spans="1:4" x14ac:dyDescent="0.25">
      <c r="A23027" t="str">
        <f>HYPERLINK("https://www.773grp.com/globalSearch/TCM33025VPE/page-1", "TCM33025VPE")</f>
        <v>TCM33025VPE</v>
      </c>
      <c r="B23027" s="3" t="str">
        <f>HYPERLINK("https://www.773grp.com/manufacturer/onsemi?pageNo=851", "ON Semiconductor")</f>
        <v>ON Semiconductor</v>
      </c>
      <c r="C23027" s="6">
        <v>9825</v>
      </c>
      <c r="D23027" s="7">
        <v>0</v>
      </c>
    </row>
    <row r="23028" spans="1:4" x14ac:dyDescent="0.25">
      <c r="A23028" t="str">
        <f>HYPERLINK("https://www.773grp.com/globalSearch/TCM33067EOE/page-1", "TCM33067EOE")</f>
        <v>TCM33067EOE</v>
      </c>
      <c r="B23028" s="3" t="str">
        <f>HYPERLINK("https://www.773grp.com/manufacturer/onsemi?pageNo=852", "ON Semiconductor")</f>
        <v>ON Semiconductor</v>
      </c>
      <c r="C23028" s="6">
        <v>9823</v>
      </c>
      <c r="D23028" s="7">
        <v>0</v>
      </c>
    </row>
    <row r="23029" spans="1:4" x14ac:dyDescent="0.25">
      <c r="A23029" t="str">
        <f>HYPERLINK("https://www.773grp.com/globalSearch/TCM33067EPE/page-1", "TCM33067EPE")</f>
        <v>TCM33067EPE</v>
      </c>
      <c r="B23029" s="3" t="str">
        <f>HYPERLINK("https://www.773grp.com/manufacturer/onsemi?pageNo=853", "ON Semiconductor")</f>
        <v>ON Semiconductor</v>
      </c>
      <c r="C23029" s="6">
        <v>7875</v>
      </c>
      <c r="D23029" s="7">
        <v>0</v>
      </c>
    </row>
    <row r="23030" spans="1:4" x14ac:dyDescent="0.25">
      <c r="A23030" t="str">
        <f>HYPERLINK("https://www.773grp.com/globalSearch/TCM33151EOA/page-1", "TCM33151EOA")</f>
        <v>TCM33151EOA</v>
      </c>
      <c r="B23030" s="3" t="str">
        <f>HYPERLINK("https://www.773grp.com/manufacturer/onsemi?pageNo=854", "ON Semiconductor")</f>
        <v>ON Semiconductor</v>
      </c>
      <c r="C23030" s="6">
        <v>3136</v>
      </c>
      <c r="D23030" s="7">
        <v>0</v>
      </c>
    </row>
    <row r="23031" spans="1:4" x14ac:dyDescent="0.25">
      <c r="A23031" t="str">
        <f>HYPERLINK("https://www.773grp.com/globalSearch/TCM33161EOA/page-1", "TCM33161EOA")</f>
        <v>TCM33161EOA</v>
      </c>
      <c r="B23031" s="3" t="str">
        <f>HYPERLINK("https://www.773grp.com/manufacturer/onsemi?pageNo=855", "ON Semiconductor")</f>
        <v>ON Semiconductor</v>
      </c>
      <c r="C23031" s="6">
        <v>98</v>
      </c>
      <c r="D23031" s="7">
        <v>0</v>
      </c>
    </row>
    <row r="23032" spans="1:4" x14ac:dyDescent="0.25">
      <c r="A23032" t="str">
        <f>HYPERLINK("https://www.773grp.com/globalSearch/TCM33163EOE/page-1", "TCM33163EOE")</f>
        <v>TCM33163EOE</v>
      </c>
      <c r="B23032" s="3" t="str">
        <f>HYPERLINK("https://www.773grp.com/manufacturer/onsemi?pageNo=856", "ON Semiconductor")</f>
        <v>ON Semiconductor</v>
      </c>
      <c r="C23032" s="6">
        <v>10340</v>
      </c>
      <c r="D23032" s="7">
        <v>0</v>
      </c>
    </row>
    <row r="23033" spans="1:4" x14ac:dyDescent="0.25">
      <c r="A23033" t="str">
        <f>HYPERLINK("https://www.773grp.com/globalSearch/TCM33163EPE/page-1", "TCM33163EPE")</f>
        <v>TCM33163EPE</v>
      </c>
      <c r="B23033" s="3" t="str">
        <f>HYPERLINK("https://www.773grp.com/manufacturer/onsemi?pageNo=857", "ON Semiconductor")</f>
        <v>ON Semiconductor</v>
      </c>
      <c r="C23033" s="6">
        <v>11550</v>
      </c>
      <c r="D23033" s="7">
        <v>0</v>
      </c>
    </row>
    <row r="23034" spans="1:4" x14ac:dyDescent="0.25">
      <c r="A23034" t="str">
        <f>HYPERLINK("https://www.773grp.com/globalSearch/TCM33166EAT/page-1", "TCM33166EAT")</f>
        <v>TCM33166EAT</v>
      </c>
      <c r="B23034" s="3" t="str">
        <f>HYPERLINK("https://www.773grp.com/manufacturer/onsemi?pageNo=858", "ON Semiconductor")</f>
        <v>ON Semiconductor</v>
      </c>
      <c r="C23034" s="6">
        <v>9800</v>
      </c>
      <c r="D23034" s="7">
        <v>0</v>
      </c>
    </row>
    <row r="23035" spans="1:4" x14ac:dyDescent="0.25">
      <c r="A23035" t="str">
        <f>HYPERLINK("https://www.773grp.com/globalSearch/TCM33166EBV/page-1", "TCM33166EBV")</f>
        <v>TCM33166EBV</v>
      </c>
      <c r="B23035" s="3" t="str">
        <f>HYPERLINK("https://www.773grp.com/manufacturer/onsemi?pageNo=859", "ON Semiconductor")</f>
        <v>ON Semiconductor</v>
      </c>
      <c r="C23035" s="6">
        <v>9700</v>
      </c>
      <c r="D23035" s="7">
        <v>0</v>
      </c>
    </row>
    <row r="23036" spans="1:4" x14ac:dyDescent="0.25">
      <c r="A23036" t="str">
        <f>HYPERLINK("https://www.773grp.com/globalSearch/TCM33166ERT/page-1", "TCM33166ERT")</f>
        <v>TCM33166ERT</v>
      </c>
      <c r="B23036" s="3" t="str">
        <f>HYPERLINK("https://www.773grp.com/manufacturer/onsemi?pageNo=860", "ON Semiconductor")</f>
        <v>ON Semiconductor</v>
      </c>
      <c r="C23036" s="6">
        <v>1100</v>
      </c>
      <c r="D23036" s="7">
        <v>0</v>
      </c>
    </row>
    <row r="23037" spans="1:4" x14ac:dyDescent="0.25">
      <c r="A23037" t="str">
        <f>HYPERLINK("https://www.773grp.com/globalSearch/TCM33167EAT/page-1", "TCM33167EAT")</f>
        <v>TCM33167EAT</v>
      </c>
      <c r="B23037" s="3" t="str">
        <f>HYPERLINK("https://www.773grp.com/manufacturer/onsemi?pageNo=861", "ON Semiconductor")</f>
        <v>ON Semiconductor</v>
      </c>
      <c r="C23037" s="6">
        <v>6500</v>
      </c>
      <c r="D23037" s="7">
        <v>0</v>
      </c>
    </row>
    <row r="23038" spans="1:4" x14ac:dyDescent="0.25">
      <c r="A23038" t="str">
        <f>HYPERLINK("https://www.773grp.com/globalSearch/TCM33167EBV/page-1", "TCM33167EBV")</f>
        <v>TCM33167EBV</v>
      </c>
      <c r="B23038" s="3" t="str">
        <f>HYPERLINK("https://www.773grp.com/manufacturer/onsemi?pageNo=862", "ON Semiconductor")</f>
        <v>ON Semiconductor</v>
      </c>
      <c r="C23038" s="6">
        <v>15350</v>
      </c>
      <c r="D23038" s="7">
        <v>0</v>
      </c>
    </row>
    <row r="23039" spans="1:4" x14ac:dyDescent="0.25">
      <c r="A23039" t="str">
        <f>HYPERLINK("https://www.773grp.com/globalSearch/TCM33167ERT/page-1", "TCM33167ERT")</f>
        <v>TCM33167ERT</v>
      </c>
      <c r="B23039" s="3" t="str">
        <f>HYPERLINK("https://www.773grp.com/manufacturer/onsemi?pageNo=863", "ON Semiconductor")</f>
        <v>ON Semiconductor</v>
      </c>
      <c r="C23039" s="6">
        <v>700</v>
      </c>
      <c r="D23039" s="7">
        <v>0</v>
      </c>
    </row>
    <row r="23040" spans="1:4" x14ac:dyDescent="0.25">
      <c r="A23040" t="str">
        <f>HYPERLINK("https://www.773grp.com/globalSearch/TCM33260VPA/page-1", "TCM33260VPA")</f>
        <v>TCM33260VPA</v>
      </c>
      <c r="B23040" s="3" t="str">
        <f>HYPERLINK("https://www.773grp.com/manufacturer/onsemi?pageNo=864", "ON Semiconductor")</f>
        <v>ON Semiconductor</v>
      </c>
      <c r="C23040" s="6">
        <v>11000</v>
      </c>
      <c r="D23040" s="7">
        <v>0</v>
      </c>
    </row>
    <row r="23041" spans="1:5" x14ac:dyDescent="0.25">
      <c r="A23041" t="str">
        <f>HYPERLINK("https://www.773grp.com/globalSearch/TCM33269-33VOA/page-1", "TCM33269-33VOA")</f>
        <v>TCM33269-33VOA</v>
      </c>
      <c r="B23041" s="3" t="str">
        <f>HYPERLINK("https://www.773grp.com/manufacturer/onsemi?pageNo=865", "ON Semiconductor")</f>
        <v>ON Semiconductor</v>
      </c>
      <c r="C23041" s="6">
        <v>2548</v>
      </c>
      <c r="D23041" s="7">
        <v>0</v>
      </c>
    </row>
    <row r="23042" spans="1:5" x14ac:dyDescent="0.25">
      <c r="A23042" t="str">
        <f>HYPERLINK("https://www.773grp.com/globalSearch/TCM33269-33VVB/page-1", "TCM33269-33VVB")</f>
        <v>TCM33269-33VVB</v>
      </c>
      <c r="B23042" s="3" t="str">
        <f>HYPERLINK("https://www.773grp.com/manufacturer/onsemi?pageNo=866", "ON Semiconductor")</f>
        <v>ON Semiconductor</v>
      </c>
      <c r="C23042" s="6">
        <v>5925</v>
      </c>
      <c r="D23042" s="7">
        <v>0</v>
      </c>
    </row>
    <row r="23043" spans="1:5" x14ac:dyDescent="0.25">
      <c r="A23043" t="str">
        <f>HYPERLINK("https://www.773grp.com/globalSearch/TCM33368VPE/page-1", "TCM33368VPE")</f>
        <v>TCM33368VPE</v>
      </c>
      <c r="B23043" s="3" t="str">
        <f>HYPERLINK("https://www.773grp.com/manufacturer/onsemi?pageNo=867", "ON Semiconductor")</f>
        <v>ON Semiconductor</v>
      </c>
      <c r="C23043" s="6">
        <v>4300</v>
      </c>
      <c r="D23043" s="7">
        <v>0</v>
      </c>
    </row>
    <row r="23044" spans="1:5" x14ac:dyDescent="0.25">
      <c r="A23044" t="str">
        <f>HYPERLINK("https://www.773grp.com/globalSearch/TCM33765-28EZR/page-1", "TCM33765-28EZR")</f>
        <v>TCM33765-28EZR</v>
      </c>
      <c r="B23044" s="3" t="str">
        <f>HYPERLINK("https://www.773grp.com/manufacturer/onsemi?pageNo=868", "ON Semiconductor")</f>
        <v>ON Semiconductor</v>
      </c>
      <c r="C23044" s="6">
        <v>1056</v>
      </c>
      <c r="D23044" s="7">
        <v>0</v>
      </c>
    </row>
    <row r="23045" spans="1:5" x14ac:dyDescent="0.25">
      <c r="A23045" t="str">
        <f>HYPERLINK("https://www.773grp.com/globalSearch/TCM4949VPA/page-1", "TCM4949VPA")</f>
        <v>TCM4949VPA</v>
      </c>
      <c r="B23045" s="3" t="str">
        <f>HYPERLINK("https://www.773grp.com/manufacturer/onsemi?pageNo=869", "ON Semiconductor")</f>
        <v>ON Semiconductor</v>
      </c>
      <c r="C23045" s="6">
        <v>97</v>
      </c>
      <c r="D23045" s="7">
        <v>0</v>
      </c>
    </row>
    <row r="23046" spans="1:5" x14ac:dyDescent="0.25">
      <c r="A23046" t="str">
        <f>HYPERLINK("https://www.773grp.com/globalSearch/TCM7812A-12.OVBB/page-1", "TCM7812A-12.OVBB")</f>
        <v>TCM7812A-12.OVBB</v>
      </c>
      <c r="B23046" s="3" t="str">
        <f>HYPERLINK("https://www.773grp.com/manufacturer/onsemi?pageNo=870", "ON Semiconductor")</f>
        <v>ON Semiconductor</v>
      </c>
      <c r="C23046" s="6">
        <v>650</v>
      </c>
      <c r="D23046" s="7">
        <v>0</v>
      </c>
    </row>
    <row r="23047" spans="1:5" x14ac:dyDescent="0.25">
      <c r="A23047" t="str">
        <f>HYPERLINK("https://www.773grp.com/globalSearch/TCM78T15A-15VBB/page-1", "TCM78T15A-15VBB")</f>
        <v>TCM78T15A-15VBB</v>
      </c>
      <c r="B23047" s="3" t="str">
        <f>HYPERLINK("https://www.773grp.com/manufacturer/onsemi?pageNo=871", "ON Semiconductor")</f>
        <v>ON Semiconductor</v>
      </c>
      <c r="C23047" s="6">
        <v>950</v>
      </c>
      <c r="D23047" s="7">
        <v>0</v>
      </c>
    </row>
    <row r="23048" spans="1:5" x14ac:dyDescent="0.25">
      <c r="A23048" t="str">
        <f>HYPERLINK("https://www.773grp.com/globalSearch/TE02462TG/page-1", "TE02462TG")</f>
        <v>TE02462TG</v>
      </c>
      <c r="B23048" s="3" t="str">
        <f>HYPERLINK("https://www.773grp.com/manufacturer/onsemi?pageNo=872", "ON Semiconductor")</f>
        <v>ON Semiconductor</v>
      </c>
      <c r="C23048" s="6">
        <v>79</v>
      </c>
      <c r="D23048" s="7">
        <v>0</v>
      </c>
    </row>
    <row r="23049" spans="1:5" x14ac:dyDescent="0.25">
      <c r="A23049" t="str">
        <f>HYPERLINK("https://www.773grp.com/globalSearch/TECS8361D/page-1", "TECS8361D")</f>
        <v>TECS8361D</v>
      </c>
      <c r="B23049" s="3" t="str">
        <f>HYPERLINK("https://www.773grp.com/manufacturer/onsemi?pageNo=873", "ON Semiconductor")</f>
        <v>ON Semiconductor</v>
      </c>
      <c r="C23049" s="6">
        <v>4543</v>
      </c>
      <c r="D23049" s="7">
        <v>0</v>
      </c>
    </row>
    <row r="23050" spans="1:5" x14ac:dyDescent="0.25">
      <c r="A23050" t="str">
        <f>HYPERLINK("https://www.773grp.com/globalSearch/TF222B-B4-TL-E/page-1", "TF222B-B4-TL-E")</f>
        <v>TF222B-B4-TL-E</v>
      </c>
      <c r="B23050" s="3" t="str">
        <f>HYPERLINK("https://www.773grp.com/manufacturer/onsemi?pageNo=874", "ON Semiconductor")</f>
        <v>ON Semiconductor</v>
      </c>
      <c r="C23050" s="6">
        <v>6312000</v>
      </c>
      <c r="D23050" s="7">
        <v>0</v>
      </c>
    </row>
    <row r="23051" spans="1:5" x14ac:dyDescent="0.25">
      <c r="A23051" t="str">
        <f>HYPERLINK("https://www.773grp.com/globalSearch/TIP13AG/page-1", "TIP13AG")</f>
        <v>TIP13AG</v>
      </c>
      <c r="B23051" s="3" t="str">
        <f>HYPERLINK("https://www.773grp.com/manufacturer/onsemi?pageNo=875", "ON Semiconductor")</f>
        <v>ON Semiconductor</v>
      </c>
      <c r="C23051" s="6">
        <v>409</v>
      </c>
      <c r="D23051" s="7">
        <v>0</v>
      </c>
    </row>
    <row r="23052" spans="1:5" x14ac:dyDescent="0.25">
      <c r="A23052" t="str">
        <f>HYPERLINK("https://www.773grp.com/globalSearch/TL082ACP/page-1", "TL082ACP")</f>
        <v>TL082ACP</v>
      </c>
      <c r="B23052" s="3" t="str">
        <f>HYPERLINK("https://www.773grp.com/manufacturer/onsemi?pageNo=876", "ON Semiconductor")</f>
        <v>ON Semiconductor</v>
      </c>
      <c r="C23052" s="6">
        <v>11</v>
      </c>
      <c r="D23052" s="7">
        <v>0</v>
      </c>
      <c r="E23052" t="s">
        <v>13</v>
      </c>
    </row>
    <row r="23053" spans="1:5" x14ac:dyDescent="0.25">
      <c r="A23053" t="str">
        <f>HYPERLINK("https://www.773grp.com/globalSearch/TLV431ASN1T1/page-1", "TLV431ASN1T1")</f>
        <v>TLV431ASN1T1</v>
      </c>
      <c r="B23053" s="3" t="str">
        <f>HYPERLINK("https://www.773grp.com/manufacturer/onsemi?pageNo=877", "ON Semiconductor")</f>
        <v>ON Semiconductor</v>
      </c>
      <c r="C23053" s="6">
        <v>5547</v>
      </c>
      <c r="D23053" s="7">
        <v>0</v>
      </c>
      <c r="E23053" t="s">
        <v>17</v>
      </c>
    </row>
    <row r="23054" spans="1:5" x14ac:dyDescent="0.25">
      <c r="A23054" t="str">
        <f>HYPERLINK("https://www.773grp.com/globalSearch/TM3055-TL-E/page-1", "TM3055-TL-E")</f>
        <v>TM3055-TL-E</v>
      </c>
      <c r="B23054" s="3" t="str">
        <f>HYPERLINK("https://www.773grp.com/manufacturer/onsemi?pageNo=878", "ON Semiconductor")</f>
        <v>ON Semiconductor</v>
      </c>
      <c r="C23054" s="6">
        <v>53900</v>
      </c>
      <c r="D23054" s="7">
        <v>0</v>
      </c>
    </row>
    <row r="23055" spans="1:5" x14ac:dyDescent="0.25">
      <c r="A23055" t="str">
        <f>HYPERLINK("https://www.773grp.com/globalSearch/TMBT0104LT1/page-1", "TMBT0104LT1")</f>
        <v>TMBT0104LT1</v>
      </c>
      <c r="B23055" s="3" t="str">
        <f>HYPERLINK("https://www.773grp.com/manufacturer/onsemi?pageNo=879", "ON Semiconductor")</f>
        <v>ON Semiconductor</v>
      </c>
      <c r="C23055" s="6">
        <v>9000</v>
      </c>
      <c r="D23055" s="7">
        <v>0</v>
      </c>
    </row>
    <row r="23056" spans="1:5" x14ac:dyDescent="0.25">
      <c r="A23056" t="str">
        <f>HYPERLINK("https://www.773grp.com/globalSearch/TND508S-R-TL-E/page-1", "TND508S-R-TL-E")</f>
        <v>TND508S-R-TL-E</v>
      </c>
      <c r="B23056" s="3" t="str">
        <f>HYPERLINK("https://www.773grp.com/manufacturer/onsemi?pageNo=880", "ON Semiconductor")</f>
        <v>ON Semiconductor</v>
      </c>
      <c r="C23056" s="6">
        <v>5975</v>
      </c>
      <c r="D23056" s="7">
        <v>0</v>
      </c>
    </row>
    <row r="23057" spans="1:5" x14ac:dyDescent="0.25">
      <c r="A23057" t="str">
        <f>HYPERLINK("https://www.773grp.com/globalSearch/TNL17SZ74USG/page-1", "TNL17SZ74USG")</f>
        <v>TNL17SZ74USG</v>
      </c>
      <c r="B23057" s="3" t="str">
        <f>HYPERLINK("https://www.773grp.com/manufacturer/onsemi?pageNo=881", "ON Semiconductor")</f>
        <v>ON Semiconductor</v>
      </c>
      <c r="C23057" s="6">
        <v>30000</v>
      </c>
      <c r="D23057" s="7">
        <v>0</v>
      </c>
      <c r="E23057" t="s">
        <v>35</v>
      </c>
    </row>
    <row r="23058" spans="1:5" x14ac:dyDescent="0.25">
      <c r="A23058" t="str">
        <f>HYPERLINK("https://www.773grp.com/globalSearch/TP00117RL1/page-1", "TP00117RL1")</f>
        <v>TP00117RL1</v>
      </c>
      <c r="B23058" s="3" t="str">
        <f>HYPERLINK("https://www.773grp.com/manufacturer/onsemi?pageNo=882", "ON Semiconductor")</f>
        <v>ON Semiconductor</v>
      </c>
      <c r="C23058" s="6">
        <v>18000</v>
      </c>
      <c r="D23058" s="7">
        <v>0</v>
      </c>
    </row>
    <row r="23059" spans="1:5" x14ac:dyDescent="0.25">
      <c r="A23059" t="str">
        <f>HYPERLINK("https://www.773grp.com/globalSearch/TP00154T/page-1", "TP00154T")</f>
        <v>TP00154T</v>
      </c>
      <c r="B23059" s="3" t="str">
        <f>HYPERLINK("https://www.773grp.com/manufacturer/onsemi?pageNo=883", "ON Semiconductor")</f>
        <v>ON Semiconductor</v>
      </c>
      <c r="C23059" s="6">
        <v>13950</v>
      </c>
      <c r="D23059" s="7">
        <v>0</v>
      </c>
    </row>
    <row r="23060" spans="1:5" x14ac:dyDescent="0.25">
      <c r="A23060" t="str">
        <f>HYPERLINK("https://www.773grp.com/globalSearch/TP00182T/page-1", "TP00182T")</f>
        <v>TP00182T</v>
      </c>
      <c r="B23060" s="3" t="str">
        <f>HYPERLINK("https://www.773grp.com/manufacturer/onsemi?pageNo=884", "ON Semiconductor")</f>
        <v>ON Semiconductor</v>
      </c>
      <c r="C23060" s="6">
        <v>2000</v>
      </c>
      <c r="D23060" s="7">
        <v>0</v>
      </c>
    </row>
    <row r="23061" spans="1:5" x14ac:dyDescent="0.25">
      <c r="A23061" t="str">
        <f>HYPERLINK("https://www.773grp.com/globalSearch/TP00220T/page-1", "TP00220T")</f>
        <v>TP00220T</v>
      </c>
      <c r="B23061" s="3" t="str">
        <f>HYPERLINK("https://www.773grp.com/manufacturer/onsemi?pageNo=885", "ON Semiconductor")</f>
        <v>ON Semiconductor</v>
      </c>
      <c r="C23061" s="6">
        <v>12450</v>
      </c>
      <c r="D23061" s="7">
        <v>0</v>
      </c>
    </row>
    <row r="23062" spans="1:5" x14ac:dyDescent="0.25">
      <c r="A23062" t="str">
        <f>HYPERLINK("https://www.773grp.com/globalSearch/TP00247ZL1/page-1", "TP00247ZL1")</f>
        <v>TP00247ZL1</v>
      </c>
      <c r="B23062" s="3" t="str">
        <f>HYPERLINK("https://www.773grp.com/manufacturer/onsemi?pageNo=886", "ON Semiconductor")</f>
        <v>ON Semiconductor</v>
      </c>
      <c r="C23062" s="6">
        <v>320000</v>
      </c>
      <c r="D23062" s="7">
        <v>0</v>
      </c>
    </row>
    <row r="23063" spans="1:5" x14ac:dyDescent="0.25">
      <c r="A23063" t="str">
        <f>HYPERLINK("https://www.773grp.com/globalSearch/TP00247ZL1G/page-1", "TP00247ZL1G")</f>
        <v>TP00247ZL1G</v>
      </c>
      <c r="B23063" s="3" t="str">
        <f>HYPERLINK("https://www.773grp.com/manufacturer/onsemi?pageNo=887", "ON Semiconductor")</f>
        <v>ON Semiconductor</v>
      </c>
      <c r="C23063" s="6">
        <v>190000</v>
      </c>
      <c r="D23063" s="7">
        <v>0</v>
      </c>
    </row>
    <row r="23064" spans="1:5" x14ac:dyDescent="0.25">
      <c r="A23064" t="str">
        <f>HYPERLINK("https://www.773grp.com/globalSearch/TP00256/page-1", "TP00256")</f>
        <v>TP00256</v>
      </c>
      <c r="B23064" s="3" t="str">
        <f>HYPERLINK("https://www.773grp.com/manufacturer/onsemi?pageNo=888", "ON Semiconductor")</f>
        <v>ON Semiconductor</v>
      </c>
      <c r="C23064" s="6">
        <v>10393</v>
      </c>
      <c r="D23064" s="7">
        <v>0</v>
      </c>
    </row>
    <row r="23065" spans="1:5" x14ac:dyDescent="0.25">
      <c r="A23065" t="str">
        <f>HYPERLINK("https://www.773grp.com/globalSearch/TP154E/page-1", "TP154E")</f>
        <v>TP154E</v>
      </c>
      <c r="B23065" s="3" t="str">
        <f>HYPERLINK("https://www.773grp.com/manufacturer/onsemi?pageNo=889", "ON Semiconductor")</f>
        <v>ON Semiconductor</v>
      </c>
      <c r="C23065" s="6">
        <v>500</v>
      </c>
      <c r="D23065" s="7">
        <v>0</v>
      </c>
    </row>
    <row r="23066" spans="1:5" x14ac:dyDescent="0.25">
      <c r="A23066" t="str">
        <f>HYPERLINK("https://www.773grp.com/globalSearch/TPA0233G/page-1", "TPA0233G")</f>
        <v>TPA0233G</v>
      </c>
      <c r="B23066" s="3" t="str">
        <f>HYPERLINK("https://www.773grp.com/manufacturer/onsemi?pageNo=890", "ON Semiconductor")</f>
        <v>ON Semiconductor</v>
      </c>
      <c r="C23066" s="6">
        <v>6900</v>
      </c>
      <c r="D23066" s="7">
        <v>0</v>
      </c>
    </row>
    <row r="23067" spans="1:5" x14ac:dyDescent="0.25">
      <c r="A23067" t="str">
        <f>HYPERLINK("https://www.773grp.com/globalSearch/TR00290M/page-1", "TR00290M")</f>
        <v>TR00290M</v>
      </c>
      <c r="B23067" s="3" t="str">
        <f>HYPERLINK("https://www.773grp.com/manufacturer/onsemi?pageNo=891", "ON Semiconductor")</f>
        <v>ON Semiconductor</v>
      </c>
      <c r="C23067" s="6">
        <v>25000</v>
      </c>
      <c r="D23067" s="7">
        <v>0</v>
      </c>
    </row>
    <row r="23068" spans="1:5" x14ac:dyDescent="0.25">
      <c r="A23068" t="str">
        <f>HYPERLINK("https://www.773grp.com/globalSearch/TR00303/page-1", "TR00303")</f>
        <v>TR00303</v>
      </c>
      <c r="B23068" s="3" t="str">
        <f>HYPERLINK("https://www.773grp.com/manufacturer/onsemi?pageNo=892", "ON Semiconductor")</f>
        <v>ON Semiconductor</v>
      </c>
      <c r="C23068" s="6">
        <v>22500</v>
      </c>
      <c r="D23068" s="7">
        <v>0</v>
      </c>
    </row>
    <row r="23069" spans="1:5" x14ac:dyDescent="0.25">
      <c r="A23069" t="str">
        <f>HYPERLINK("https://www.773grp.com/globalSearch/TRA3225/page-1", "TRA3225")</f>
        <v>TRA3225</v>
      </c>
      <c r="B23069" s="3" t="str">
        <f>HYPERLINK("https://www.773grp.com/manufacturer/onsemi?pageNo=893", "ON Semiconductor")</f>
        <v>ON Semiconductor</v>
      </c>
      <c r="C23069" s="6">
        <v>5000</v>
      </c>
      <c r="D23069" s="7">
        <v>0</v>
      </c>
      <c r="E23069" t="s">
        <v>103</v>
      </c>
    </row>
    <row r="23070" spans="1:5" x14ac:dyDescent="0.25">
      <c r="A23070" t="str">
        <f>HYPERLINK("https://www.773grp.com/globalSearch/TRG79481G03/page-1", "TRG79481G03")</f>
        <v>TRG79481G03</v>
      </c>
      <c r="B23070" s="3" t="str">
        <f>HYPERLINK("https://www.773grp.com/manufacturer/onsemi?pageNo=894", "ON Semiconductor")</f>
        <v>ON Semiconductor</v>
      </c>
      <c r="C23070" s="6">
        <v>1920</v>
      </c>
      <c r="D23070" s="7">
        <v>0</v>
      </c>
    </row>
    <row r="23071" spans="1:5" x14ac:dyDescent="0.25">
      <c r="A23071" t="str">
        <f>HYPERLINK("https://www.773grp.com/globalSearch/TURC160TR/page-1", "TURC160TR")</f>
        <v>TURC160TR</v>
      </c>
      <c r="B23071" s="3" t="str">
        <f>HYPERLINK("https://www.773grp.com/manufacturer/onsemi?pageNo=895", "ON Semiconductor")</f>
        <v>ON Semiconductor</v>
      </c>
      <c r="C23071" s="6">
        <v>25462</v>
      </c>
      <c r="D23071" s="7">
        <v>0</v>
      </c>
    </row>
    <row r="23072" spans="1:5" x14ac:dyDescent="0.25">
      <c r="A23072" t="str">
        <f>HYPERLINK("https://www.773grp.com/globalSearch/TY30533R2/page-1", "TY30533R2")</f>
        <v>TY30533R2</v>
      </c>
      <c r="B23072" s="3" t="str">
        <f>HYPERLINK("https://www.773grp.com/manufacturer/onsemi?pageNo=896", "ON Semiconductor")</f>
        <v>ON Semiconductor</v>
      </c>
      <c r="C23072" s="6">
        <v>398905</v>
      </c>
      <c r="D23072" s="7">
        <v>0</v>
      </c>
    </row>
    <row r="23073" spans="1:5" x14ac:dyDescent="0.25">
      <c r="A23073" t="str">
        <f>HYPERLINK("https://www.773grp.com/globalSearch/TY30555R2/page-1", "TY30555R2")</f>
        <v>TY30555R2</v>
      </c>
      <c r="B23073" s="3" t="str">
        <f>HYPERLINK("https://www.773grp.com/manufacturer/onsemi?pageNo=897", "ON Semiconductor")</f>
        <v>ON Semiconductor</v>
      </c>
      <c r="C23073" s="6">
        <v>12500</v>
      </c>
      <c r="D23073" s="7">
        <v>0</v>
      </c>
    </row>
    <row r="23074" spans="1:5" x14ac:dyDescent="0.25">
      <c r="A23074" t="str">
        <f>HYPERLINK("https://www.773grp.com/globalSearch/TY30577DR2/page-1", "TY30577DR2")</f>
        <v>TY30577DR2</v>
      </c>
      <c r="B23074" s="3" t="str">
        <f>HYPERLINK("https://www.773grp.com/manufacturer/onsemi?pageNo=898", "ON Semiconductor")</f>
        <v>ON Semiconductor</v>
      </c>
      <c r="C23074" s="6">
        <v>39131</v>
      </c>
      <c r="D23074" s="7">
        <v>0</v>
      </c>
    </row>
    <row r="23075" spans="1:5" x14ac:dyDescent="0.25">
      <c r="A23075" t="str">
        <f>HYPERLINK("https://www.773grp.com/globalSearch/TY40497SDTBR2G/page-1", "TY40497SDTBR2G")</f>
        <v>TY40497SDTBR2G</v>
      </c>
      <c r="B23075" s="3" t="str">
        <f>HYPERLINK("https://www.773grp.com/manufacturer/onsemi?pageNo=899", "ON Semiconductor")</f>
        <v>ON Semiconductor</v>
      </c>
      <c r="C23075" s="6">
        <v>786</v>
      </c>
      <c r="D23075" s="7">
        <v>0</v>
      </c>
    </row>
    <row r="23076" spans="1:5" x14ac:dyDescent="0.25">
      <c r="A23076" t="str">
        <f>HYPERLINK("https://www.773grp.com/globalSearch/TY40497SDW/page-1", "TY40497SDW")</f>
        <v>TY40497SDW</v>
      </c>
      <c r="B23076" s="3" t="str">
        <f>HYPERLINK("https://www.773grp.com/manufacturer/onsemi?pageNo=900", "ON Semiconductor")</f>
        <v>ON Semiconductor</v>
      </c>
      <c r="C23076" s="6">
        <v>1500</v>
      </c>
      <c r="D23076" s="7">
        <v>0</v>
      </c>
    </row>
    <row r="23077" spans="1:5" x14ac:dyDescent="0.25">
      <c r="A23077" t="str">
        <f>HYPERLINK("https://www.773grp.com/globalSearch/TY40497SDWR2/page-1", "TY40497SDWR2")</f>
        <v>TY40497SDWR2</v>
      </c>
      <c r="B23077" s="3" t="str">
        <f>HYPERLINK("https://www.773grp.com/manufacturer/onsemi?pageNo=901", "ON Semiconductor")</f>
        <v>ON Semiconductor</v>
      </c>
      <c r="C23077" s="6">
        <v>13869</v>
      </c>
      <c r="D23077" s="7">
        <v>0</v>
      </c>
    </row>
    <row r="23078" spans="1:5" x14ac:dyDescent="0.25">
      <c r="A23078" t="str">
        <f>HYPERLINK("https://www.773grp.com/globalSearch/TY40497SDWR2G/page-1", "TY40497SDWR2G")</f>
        <v>TY40497SDWR2G</v>
      </c>
      <c r="B23078" s="3" t="str">
        <f>HYPERLINK("https://www.773grp.com/manufacturer/onsemi?pageNo=902", "ON Semiconductor")</f>
        <v>ON Semiconductor</v>
      </c>
      <c r="C23078" s="6">
        <v>1112</v>
      </c>
      <c r="D23078" s="7">
        <v>0</v>
      </c>
    </row>
    <row r="23079" spans="1:5" x14ac:dyDescent="0.25">
      <c r="A23079" t="str">
        <f>HYPERLINK("https://www.773grp.com/globalSearch/TY4090T/page-1", "TY4090T")</f>
        <v>TY4090T</v>
      </c>
      <c r="B23079" s="3" t="str">
        <f>HYPERLINK("https://www.773grp.com/manufacturer/onsemi?pageNo=903", "ON Semiconductor")</f>
        <v>ON Semiconductor</v>
      </c>
      <c r="C23079" s="6">
        <v>32850</v>
      </c>
      <c r="D23079" s="7">
        <v>0</v>
      </c>
    </row>
    <row r="23080" spans="1:5" x14ac:dyDescent="0.25">
      <c r="A23080" t="str">
        <f>HYPERLINK("https://www.773grp.com/globalSearch/TYA33164D-5R2G/page-1", "TYA33164D-5R2G")</f>
        <v>TYA33164D-5R2G</v>
      </c>
      <c r="B23080" s="3" t="str">
        <f>HYPERLINK("https://www.773grp.com/manufacturer/onsemi?pageNo=904", "ON Semiconductor")</f>
        <v>ON Semiconductor</v>
      </c>
      <c r="C23080" s="6">
        <v>15000</v>
      </c>
      <c r="D23080" s="7">
        <v>0</v>
      </c>
    </row>
    <row r="23081" spans="1:5" x14ac:dyDescent="0.25">
      <c r="A23081" t="str">
        <f>HYPERLINK("https://www.773grp.com/globalSearch/TYA33164P-5RPG/page-1", "TYA33164P-5RPG")</f>
        <v>TYA33164P-5RPG</v>
      </c>
      <c r="B23081" s="3" t="str">
        <f>HYPERLINK("https://www.773grp.com/manufacturer/onsemi?pageNo=905", "ON Semiconductor")</f>
        <v>ON Semiconductor</v>
      </c>
      <c r="C23081" s="6">
        <v>14763</v>
      </c>
      <c r="D23081" s="7">
        <v>0</v>
      </c>
    </row>
    <row r="23082" spans="1:5" x14ac:dyDescent="0.25">
      <c r="A23082" t="str">
        <f>HYPERLINK("https://www.773grp.com/globalSearch/TYA7809CTVG/page-1", "TYA7809CTVG")</f>
        <v>TYA7809CTVG</v>
      </c>
      <c r="B23082" s="3" t="str">
        <f>HYPERLINK("https://www.773grp.com/manufacturer/onsemi?pageNo=906", "ON Semiconductor")</f>
        <v>ON Semiconductor</v>
      </c>
      <c r="C23082" s="6">
        <v>36400</v>
      </c>
      <c r="D23082" s="7">
        <v>0</v>
      </c>
    </row>
    <row r="23083" spans="1:5" x14ac:dyDescent="0.25">
      <c r="A23083" t="str">
        <f>HYPERLINK("https://www.773grp.com/globalSearch/UC3842ANG/page-1", "UC3842ANG")</f>
        <v>UC3842ANG</v>
      </c>
      <c r="B23083" s="3" t="str">
        <f>HYPERLINK("https://www.773grp.com/manufacturer/onsemi?pageNo=907", "ON Semiconductor")</f>
        <v>ON Semiconductor</v>
      </c>
      <c r="C23083" s="6">
        <v>330</v>
      </c>
      <c r="D23083" s="7">
        <v>0</v>
      </c>
      <c r="E23083" t="s">
        <v>7</v>
      </c>
    </row>
    <row r="23084" spans="1:5" x14ac:dyDescent="0.25">
      <c r="A23084" t="str">
        <f>HYPERLINK("https://www.773grp.com/globalSearch/UC3842BNNLCKUE/page-1", "UC3842BNNLCKUE")</f>
        <v>UC3842BNNLCKUE</v>
      </c>
      <c r="B23084" s="3" t="str">
        <f>HYPERLINK("https://www.773grp.com/manufacturer/onsemi?pageNo=908", "ON Semiconductor")</f>
        <v>ON Semiconductor</v>
      </c>
      <c r="C23084" s="6">
        <v>50</v>
      </c>
      <c r="D23084" s="7">
        <v>0</v>
      </c>
    </row>
    <row r="23085" spans="1:5" x14ac:dyDescent="0.25">
      <c r="A23085" t="str">
        <f>HYPERLINK("https://www.773grp.com/globalSearch/UC3843AD1G/page-1", "UC3843AD1G")</f>
        <v>UC3843AD1G</v>
      </c>
      <c r="B23085" s="3" t="str">
        <f>HYPERLINK("https://www.773grp.com/manufacturer/onsemi?pageNo=909", "ON Semiconductor")</f>
        <v>ON Semiconductor</v>
      </c>
      <c r="C23085" s="6">
        <v>1242</v>
      </c>
      <c r="D23085" s="7">
        <v>0</v>
      </c>
      <c r="E23085" t="s">
        <v>7</v>
      </c>
    </row>
    <row r="23086" spans="1:5" x14ac:dyDescent="0.25">
      <c r="A23086" t="str">
        <f>HYPERLINK("https://www.773grp.com/globalSearch/UC3843BCD1G/page-1", "UC3843BCD1G")</f>
        <v>UC3843BCD1G</v>
      </c>
      <c r="B23086" s="3" t="str">
        <f>HYPERLINK("https://www.773grp.com/manufacturer/onsemi?pageNo=910", "ON Semiconductor")</f>
        <v>ON Semiconductor</v>
      </c>
      <c r="C23086" s="6">
        <v>98</v>
      </c>
      <c r="D23086" s="7">
        <v>0</v>
      </c>
    </row>
    <row r="23087" spans="1:5" x14ac:dyDescent="0.25">
      <c r="A23087" t="str">
        <f>HYPERLINK("https://www.773grp.com/globalSearch/UC3845BDIG/page-1", "UC3845BDIG")</f>
        <v>UC3845BDIG</v>
      </c>
      <c r="B23087" s="3" t="str">
        <f>HYPERLINK("https://www.773grp.com/manufacturer/onsemi?pageNo=911", "ON Semiconductor")</f>
        <v>ON Semiconductor</v>
      </c>
      <c r="C23087" s="6">
        <v>380</v>
      </c>
      <c r="D23087" s="7">
        <v>0</v>
      </c>
    </row>
    <row r="23088" spans="1:5" x14ac:dyDescent="0.25">
      <c r="A23088" t="str">
        <f>HYPERLINK("https://www.773grp.com/globalSearch/UMA6NT1/page-1", "UMA6NT1")</f>
        <v>UMA6NT1</v>
      </c>
      <c r="B23088" s="3" t="str">
        <f>HYPERLINK("https://www.773grp.com/manufacturer/onsemi?pageNo=912", "ON Semiconductor")</f>
        <v>ON Semiconductor</v>
      </c>
      <c r="C23088" s="6">
        <v>5886</v>
      </c>
      <c r="D23088" s="7">
        <v>0</v>
      </c>
      <c r="E23088" t="s">
        <v>69</v>
      </c>
    </row>
    <row r="23089" spans="1:5" x14ac:dyDescent="0.25">
      <c r="A23089" t="str">
        <f>HYPERLINK("https://www.773grp.com/globalSearch/XC6LQ572MNR4G/page-1", "XC6LQ572MNR4G")</f>
        <v>XC6LQ572MNR4G</v>
      </c>
      <c r="B23089" s="3" t="str">
        <f>HYPERLINK("https://www.773grp.com/manufacturer/onsemi?pageNo=913", "ON Semiconductor")</f>
        <v>ON Semiconductor</v>
      </c>
      <c r="C23089" s="6">
        <v>3000</v>
      </c>
      <c r="D23089" s="7">
        <v>0</v>
      </c>
    </row>
    <row r="23090" spans="1:5" x14ac:dyDescent="0.25">
      <c r="A23090" t="str">
        <f>HYPERLINK("https://www.773grp.com/globalSearch/XC6VQ572MMNR4G/page-1", "XC6VQ572MMNR4G")</f>
        <v>XC6VQ572MMNR4G</v>
      </c>
      <c r="B23090" s="3" t="str">
        <f>HYPERLINK("https://www.773grp.com/manufacturer/onsemi?pageNo=914", "ON Semiconductor")</f>
        <v>ON Semiconductor</v>
      </c>
      <c r="C23090" s="6">
        <v>2000</v>
      </c>
      <c r="D23090" s="7">
        <v>0</v>
      </c>
    </row>
    <row r="23091" spans="1:5" x14ac:dyDescent="0.25">
      <c r="A23091" t="str">
        <f>HYPERLINK("https://www.773grp.com/globalSearch/XC9027DR8/page-1", "XC9027DR8")</f>
        <v>XC9027DR8</v>
      </c>
      <c r="B23091" s="3" t="str">
        <f>HYPERLINK("https://www.773grp.com/manufacturer/onsemi?pageNo=915", "ON Semiconductor")</f>
        <v>ON Semiconductor</v>
      </c>
      <c r="C23091" s="6">
        <v>1615</v>
      </c>
      <c r="D23091" s="7">
        <v>0</v>
      </c>
    </row>
    <row r="23092" spans="1:5" x14ac:dyDescent="0.25">
      <c r="A23092" t="str">
        <f>HYPERLINK("https://www.773grp.com/globalSearch/XC9031SW16/page-1", "XC9031SW16")</f>
        <v>XC9031SW16</v>
      </c>
      <c r="B23092" s="3" t="str">
        <f>HYPERLINK("https://www.773grp.com/manufacturer/onsemi?pageNo=916", "ON Semiconductor")</f>
        <v>ON Semiconductor</v>
      </c>
      <c r="C23092" s="6">
        <v>386</v>
      </c>
      <c r="D23092" s="7">
        <v>0</v>
      </c>
    </row>
    <row r="23093" spans="1:5" x14ac:dyDescent="0.25">
      <c r="A23093" t="str">
        <f>HYPERLINK("https://www.773grp.com/globalSearch/XC9031SWR16/page-1", "XC9031SWR16")</f>
        <v>XC9031SWR16</v>
      </c>
      <c r="B23093" s="3" t="str">
        <f>HYPERLINK("https://www.773grp.com/manufacturer/onsemi?pageNo=917", "ON Semiconductor")</f>
        <v>ON Semiconductor</v>
      </c>
      <c r="C23093" s="6">
        <v>1000</v>
      </c>
      <c r="D23093" s="7">
        <v>0</v>
      </c>
    </row>
    <row r="23094" spans="1:5" x14ac:dyDescent="0.25">
      <c r="A23094" t="str">
        <f>HYPERLINK("https://www.773grp.com/globalSearch/XCKEP111FA/page-1", "XCKEP111FA")</f>
        <v>XCKEP111FA</v>
      </c>
      <c r="B23094" s="3" t="str">
        <f>HYPERLINK("https://www.773grp.com/manufacturer/onsemi?pageNo=918", "ON Semiconductor")</f>
        <v>ON Semiconductor</v>
      </c>
      <c r="C23094" s="6">
        <v>6250</v>
      </c>
      <c r="D23094" s="7">
        <v>0</v>
      </c>
    </row>
    <row r="23095" spans="1:5" x14ac:dyDescent="0.25">
      <c r="A23095" t="str">
        <f>HYPERLINK("https://www.773grp.com/globalSearch/XCP1600DR2/page-1", "XCP1600DR2")</f>
        <v>XCP1600DR2</v>
      </c>
      <c r="B23095" s="3" t="str">
        <f>HYPERLINK("https://www.773grp.com/manufacturer/onsemi?pageNo=919", "ON Semiconductor")</f>
        <v>ON Semiconductor</v>
      </c>
      <c r="C23095" s="6">
        <v>1880</v>
      </c>
      <c r="D23095" s="7">
        <v>0</v>
      </c>
    </row>
    <row r="23096" spans="1:5" x14ac:dyDescent="0.25">
      <c r="A23096" t="str">
        <f>HYPERLINK("https://www.773grp.com/globalSearch/XCP2890DMR2G/page-1", "XCP2890DMR2G")</f>
        <v>XCP2890DMR2G</v>
      </c>
      <c r="B23096" s="3" t="str">
        <f>HYPERLINK("https://www.773grp.com/manufacturer/onsemi?pageNo=920", "ON Semiconductor")</f>
        <v>ON Semiconductor</v>
      </c>
      <c r="C23096" s="6">
        <v>56000</v>
      </c>
      <c r="D23096" s="7">
        <v>0</v>
      </c>
    </row>
    <row r="23097" spans="1:5" x14ac:dyDescent="0.25">
      <c r="A23097" t="str">
        <f>HYPERLINK("https://www.773grp.com/globalSearch/XCP5007SNT1G/page-1", "XCP5007SNT1G")</f>
        <v>XCP5007SNT1G</v>
      </c>
      <c r="B23097" s="3" t="str">
        <f>HYPERLINK("https://www.773grp.com/manufacturer/onsemi?pageNo=921", "ON Semiconductor")</f>
        <v>ON Semiconductor</v>
      </c>
      <c r="C23097" s="6">
        <v>15000</v>
      </c>
      <c r="D23097" s="7">
        <v>0</v>
      </c>
    </row>
    <row r="23098" spans="1:5" x14ac:dyDescent="0.25">
      <c r="A23098" t="str">
        <f>HYPERLINK("https://www.773grp.com/globalSearch/XCP6151S52MNR2G/page-1", "XCP6151S52MNR2G")</f>
        <v>XCP6151S52MNR2G</v>
      </c>
      <c r="B23098" s="3" t="str">
        <f>HYPERLINK("https://www.773grp.com/manufacturer/onsemi?pageNo=922", "ON Semiconductor")</f>
        <v>ON Semiconductor</v>
      </c>
      <c r="C23098" s="6">
        <v>2500</v>
      </c>
      <c r="D23098" s="7">
        <v>0</v>
      </c>
    </row>
    <row r="23099" spans="1:5" x14ac:dyDescent="0.25">
      <c r="A23099" t="str">
        <f>HYPERLINK("https://www.773grp.com/globalSearch/XCS2200SQLT1/page-1", "XCS2200SQLT1")</f>
        <v>XCS2200SQLT1</v>
      </c>
      <c r="B23099" s="3" t="str">
        <f>HYPERLINK("https://www.773grp.com/manufacturer/onsemi?pageNo=923", "ON Semiconductor")</f>
        <v>ON Semiconductor</v>
      </c>
      <c r="C23099" s="6">
        <v>18000</v>
      </c>
      <c r="D23099" s="7">
        <v>0</v>
      </c>
    </row>
    <row r="23100" spans="1:5" x14ac:dyDescent="0.25">
      <c r="A23100" t="str">
        <f>HYPERLINK("https://www.773grp.com/globalSearch/XTTD4401FR2G/page-1", "XTTD4401FR2G")</f>
        <v>XTTD4401FR2G</v>
      </c>
      <c r="B23100" s="3" t="str">
        <f>HYPERLINK("https://www.773grp.com/manufacturer/onsemi?pageNo=924", "ON Semiconductor")</f>
        <v>ON Semiconductor</v>
      </c>
      <c r="C23100" s="6">
        <v>4000</v>
      </c>
      <c r="D23100" s="7">
        <v>0</v>
      </c>
    </row>
    <row r="23101" spans="1:5" x14ac:dyDescent="0.25">
      <c r="A23101" t="str">
        <f>HYPERLINK("https://www.773grp.com/globalSearch/XXT6500HVA-T2/page-1", "XXT6500HVA-T2")</f>
        <v>XXT6500HVA-T2</v>
      </c>
      <c r="B23101" s="3" t="str">
        <f>HYPERLINK("https://www.773grp.com/manufacturer/onsemi?pageNo=925", "ON Semiconductor")</f>
        <v>ON Semiconductor</v>
      </c>
      <c r="C23101" s="6">
        <v>112000</v>
      </c>
      <c r="D23101" s="7">
        <v>0</v>
      </c>
    </row>
    <row r="23102" spans="1:5" x14ac:dyDescent="0.25">
      <c r="A23102" t="str">
        <f>HYPERLINK("https://www.773grp.com/globalSearch/XY44608P75/page-1", "XY44608P75")</f>
        <v>XY44608P75</v>
      </c>
      <c r="B23102" s="3" t="str">
        <f>HYPERLINK("https://www.773grp.com/manufacturer/onsemi?pageNo=926", "ON Semiconductor")</f>
        <v>ON Semiconductor</v>
      </c>
      <c r="C23102" s="6">
        <v>814</v>
      </c>
      <c r="D23102" s="7">
        <v>0</v>
      </c>
    </row>
    <row r="23103" spans="1:5" x14ac:dyDescent="0.25">
      <c r="A23103" t="str">
        <f>HYPERLINK("https://www.773grp.com/globalSearch/1N5231DRL/page-1", "1N5231DRL")</f>
        <v>1N5231DRL</v>
      </c>
      <c r="B23103" s="3" t="str">
        <f>HYPERLINK("https://www.773grp.com/manufacturer/onsemi?pageNo=927", "ON Semiconductor")</f>
        <v>ON Semiconductor</v>
      </c>
      <c r="C23103" s="6">
        <v>114800</v>
      </c>
      <c r="D23103" s="7">
        <v>0.05</v>
      </c>
      <c r="E23103" t="s">
        <v>98</v>
      </c>
    </row>
    <row r="23104" spans="1:5" x14ac:dyDescent="0.25">
      <c r="A23104" t="str">
        <f>HYPERLINK("https://www.773grp.com/globalSearch/1N5998B/page-1", "1N5998B")</f>
        <v>1N5998B</v>
      </c>
      <c r="B23104" s="3" t="str">
        <f>HYPERLINK("https://www.773grp.com/manufacturer/onsemi?pageNo=928", "ON Semiconductor")</f>
        <v>ON Semiconductor</v>
      </c>
      <c r="C23104" s="6">
        <v>1750</v>
      </c>
      <c r="D23104" s="7">
        <v>0.05</v>
      </c>
      <c r="E23104" t="s">
        <v>98</v>
      </c>
    </row>
    <row r="23105" spans="1:5" x14ac:dyDescent="0.25">
      <c r="A23105" t="str">
        <f>HYPERLINK("https://www.773grp.com/globalSearch/1N5998BRL/page-1", "1N5998BRL")</f>
        <v>1N5998BRL</v>
      </c>
      <c r="B23105" s="3" t="str">
        <f>HYPERLINK("https://www.773grp.com/manufacturer/onsemi?pageNo=929", "ON Semiconductor")</f>
        <v>ON Semiconductor</v>
      </c>
      <c r="C23105" s="6">
        <v>5000</v>
      </c>
      <c r="D23105" s="7">
        <v>0.05</v>
      </c>
      <c r="E23105" t="s">
        <v>98</v>
      </c>
    </row>
    <row r="23106" spans="1:5" x14ac:dyDescent="0.25">
      <c r="A23106" t="str">
        <f>HYPERLINK("https://www.773grp.com/globalSearch/2N3903/page-1", "2N3903")</f>
        <v>2N3903</v>
      </c>
      <c r="B23106" s="3" t="str">
        <f>HYPERLINK("https://www.773grp.com/manufacturer/onsemi?pageNo=930", "ON Semiconductor")</f>
        <v>ON Semiconductor</v>
      </c>
      <c r="C23106" s="6">
        <v>11</v>
      </c>
      <c r="D23106" s="7">
        <v>0.05</v>
      </c>
      <c r="E23106" t="s">
        <v>69</v>
      </c>
    </row>
    <row r="23107" spans="1:5" x14ac:dyDescent="0.25">
      <c r="A23107" t="str">
        <f>HYPERLINK("https://www.773grp.com/globalSearch/2N3904/page-1", "2N3904")</f>
        <v>2N3904</v>
      </c>
      <c r="B23107" s="3" t="str">
        <f>HYPERLINK("https://www.773grp.com/manufacturer/onsemi?pageNo=931", "ON Semiconductor")</f>
        <v>ON Semiconductor</v>
      </c>
      <c r="C23107" s="6">
        <v>1</v>
      </c>
      <c r="D23107" s="7">
        <v>0.05</v>
      </c>
      <c r="E23107" t="s">
        <v>69</v>
      </c>
    </row>
    <row r="23108" spans="1:5" x14ac:dyDescent="0.25">
      <c r="A23108" t="str">
        <f>HYPERLINK("https://www.773grp.com/globalSearch/2N3904RLRE/page-1", "2N3904RLRE")</f>
        <v>2N3904RLRE</v>
      </c>
      <c r="B23108" s="3" t="str">
        <f>HYPERLINK("https://www.773grp.com/manufacturer/onsemi?pageNo=932", "ON Semiconductor")</f>
        <v>ON Semiconductor</v>
      </c>
      <c r="C23108" s="6">
        <v>7995</v>
      </c>
      <c r="D23108" s="7">
        <v>0.05</v>
      </c>
      <c r="E23108" t="s">
        <v>69</v>
      </c>
    </row>
    <row r="23109" spans="1:5" x14ac:dyDescent="0.25">
      <c r="A23109" t="str">
        <f>HYPERLINK("https://www.773grp.com/globalSearch/2N3905/page-1", "2N3905")</f>
        <v>2N3905</v>
      </c>
      <c r="B23109" s="3" t="str">
        <f>HYPERLINK("https://www.773grp.com/manufacturer/onsemi?pageNo=933", "ON Semiconductor")</f>
        <v>ON Semiconductor</v>
      </c>
      <c r="C23109" s="6">
        <v>10898</v>
      </c>
      <c r="D23109" s="7">
        <v>0.05</v>
      </c>
      <c r="E23109" t="s">
        <v>69</v>
      </c>
    </row>
    <row r="23110" spans="1:5" x14ac:dyDescent="0.25">
      <c r="A23110" t="str">
        <f>HYPERLINK("https://www.773grp.com/globalSearch/2N3906/page-1", "2N3906")</f>
        <v>2N3906</v>
      </c>
      <c r="B23110" s="3" t="str">
        <f>HYPERLINK("https://www.773grp.com/manufacturer/onsemi?pageNo=934", "ON Semiconductor")</f>
        <v>ON Semiconductor</v>
      </c>
      <c r="C23110" s="6">
        <v>215159</v>
      </c>
      <c r="D23110" s="7">
        <v>0.05</v>
      </c>
      <c r="E23110" t="s">
        <v>69</v>
      </c>
    </row>
    <row r="23111" spans="1:5" x14ac:dyDescent="0.25">
      <c r="A23111" t="str">
        <f>HYPERLINK("https://www.773grp.com/globalSearch/2N3906RL1/page-1", "2N3906RL1")</f>
        <v>2N3906RL1</v>
      </c>
      <c r="B23111" s="3" t="str">
        <f>HYPERLINK("https://www.773grp.com/manufacturer/onsemi?pageNo=935", "ON Semiconductor")</f>
        <v>ON Semiconductor</v>
      </c>
      <c r="C23111" s="6">
        <v>16000</v>
      </c>
      <c r="D23111" s="7">
        <v>0.05</v>
      </c>
      <c r="E23111" t="s">
        <v>69</v>
      </c>
    </row>
    <row r="23112" spans="1:5" x14ac:dyDescent="0.25">
      <c r="A23112" t="str">
        <f>HYPERLINK("https://www.773grp.com/globalSearch/2N3906RLRM/page-1", "2N3906RLRM")</f>
        <v>2N3906RLRM</v>
      </c>
      <c r="B23112" s="3" t="str">
        <f>HYPERLINK("https://www.773grp.com/manufacturer/onsemi?pageNo=936", "ON Semiconductor")</f>
        <v>ON Semiconductor</v>
      </c>
      <c r="C23112" s="6">
        <v>657000</v>
      </c>
      <c r="D23112" s="7">
        <v>0.05</v>
      </c>
      <c r="E23112" t="s">
        <v>69</v>
      </c>
    </row>
    <row r="23113" spans="1:5" x14ac:dyDescent="0.25">
      <c r="A23113" t="str">
        <f>HYPERLINK("https://www.773grp.com/globalSearch/2N3906RLRP/page-1", "2N3906RLRP")</f>
        <v>2N3906RLRP</v>
      </c>
      <c r="B23113" s="3" t="str">
        <f>HYPERLINK("https://www.773grp.com/manufacturer/onsemi?pageNo=937", "ON Semiconductor")</f>
        <v>ON Semiconductor</v>
      </c>
      <c r="C23113" s="6">
        <v>166000</v>
      </c>
      <c r="D23113" s="7">
        <v>0.05</v>
      </c>
      <c r="E23113" t="s">
        <v>69</v>
      </c>
    </row>
    <row r="23114" spans="1:5" x14ac:dyDescent="0.25">
      <c r="A23114" t="str">
        <f>HYPERLINK("https://www.773grp.com/globalSearch/2N3906ZL1/page-1", "2N3906ZL1")</f>
        <v>2N3906ZL1</v>
      </c>
      <c r="B23114" s="3" t="str">
        <f>HYPERLINK("https://www.773grp.com/manufacturer/onsemi?pageNo=938", "ON Semiconductor")</f>
        <v>ON Semiconductor</v>
      </c>
      <c r="C23114" s="6">
        <v>78000</v>
      </c>
      <c r="D23114" s="7">
        <v>0.05</v>
      </c>
      <c r="E23114" t="s">
        <v>69</v>
      </c>
    </row>
    <row r="23115" spans="1:5" x14ac:dyDescent="0.25">
      <c r="A23115" t="str">
        <f>HYPERLINK("https://www.773grp.com/globalSearch/2N4401RLRA/page-1", "2N4401RLRA")</f>
        <v>2N4401RLRA</v>
      </c>
      <c r="B23115" s="3" t="str">
        <f>HYPERLINK("https://www.773grp.com/manufacturer/onsemi?pageNo=939", "ON Semiconductor")</f>
        <v>ON Semiconductor</v>
      </c>
      <c r="C23115" s="6">
        <v>42277</v>
      </c>
      <c r="D23115" s="7">
        <v>0.05</v>
      </c>
      <c r="E23115" t="s">
        <v>69</v>
      </c>
    </row>
    <row r="23116" spans="1:5" x14ac:dyDescent="0.25">
      <c r="A23116" t="str">
        <f>HYPERLINK("https://www.773grp.com/globalSearch/2N4401RLRP/page-1", "2N4401RLRP")</f>
        <v>2N4401RLRP</v>
      </c>
      <c r="B23116" s="3" t="str">
        <f>HYPERLINK("https://www.773grp.com/manufacturer/onsemi?pageNo=940", "ON Semiconductor")</f>
        <v>ON Semiconductor</v>
      </c>
      <c r="C23116" s="6">
        <v>212000</v>
      </c>
      <c r="D23116" s="7">
        <v>0.05</v>
      </c>
      <c r="E23116" t="s">
        <v>69</v>
      </c>
    </row>
    <row r="23117" spans="1:5" x14ac:dyDescent="0.25">
      <c r="A23117" t="str">
        <f>HYPERLINK("https://www.773grp.com/globalSearch/2N4403RL/page-1", "2N4403RL")</f>
        <v>2N4403RL</v>
      </c>
      <c r="B23117" s="3" t="str">
        <f>HYPERLINK("https://www.773grp.com/manufacturer/onsemi?pageNo=941", "ON Semiconductor")</f>
        <v>ON Semiconductor</v>
      </c>
      <c r="C23117" s="6">
        <v>4000</v>
      </c>
      <c r="D23117" s="7">
        <v>0.05</v>
      </c>
      <c r="E23117" t="s">
        <v>69</v>
      </c>
    </row>
    <row r="23118" spans="1:5" x14ac:dyDescent="0.25">
      <c r="A23118" t="str">
        <f>HYPERLINK("https://www.773grp.com/globalSearch/2N4403RLG/page-1", "2N4403RLG")</f>
        <v>2N4403RLG</v>
      </c>
      <c r="B23118" s="3" t="str">
        <f>HYPERLINK("https://www.773grp.com/manufacturer/onsemi?pageNo=942", "ON Semiconductor")</f>
        <v>ON Semiconductor</v>
      </c>
      <c r="C23118" s="6">
        <v>6000</v>
      </c>
      <c r="D23118" s="7">
        <v>0.05</v>
      </c>
      <c r="E23118" t="s">
        <v>69</v>
      </c>
    </row>
    <row r="23119" spans="1:5" x14ac:dyDescent="0.25">
      <c r="A23119" t="str">
        <f>HYPERLINK("https://www.773grp.com/globalSearch/2N4403RLRA/page-1", "2N4403RLRA")</f>
        <v>2N4403RLRA</v>
      </c>
      <c r="B23119" s="3" t="str">
        <f>HYPERLINK("https://www.773grp.com/manufacturer/onsemi?pageNo=943", "ON Semiconductor")</f>
        <v>ON Semiconductor</v>
      </c>
      <c r="C23119" s="6">
        <v>248800</v>
      </c>
      <c r="D23119" s="7">
        <v>0.05</v>
      </c>
      <c r="E23119" t="s">
        <v>69</v>
      </c>
    </row>
    <row r="23120" spans="1:5" x14ac:dyDescent="0.25">
      <c r="A23120" t="str">
        <f>HYPERLINK("https://www.773grp.com/globalSearch/2N4403RLRM/page-1", "2N4403RLRM")</f>
        <v>2N4403RLRM</v>
      </c>
      <c r="B23120" s="3" t="str">
        <f>HYPERLINK("https://www.773grp.com/manufacturer/onsemi?pageNo=944", "ON Semiconductor")</f>
        <v>ON Semiconductor</v>
      </c>
      <c r="C23120" s="6">
        <v>144000</v>
      </c>
      <c r="D23120" s="7">
        <v>0.05</v>
      </c>
      <c r="E23120" t="s">
        <v>69</v>
      </c>
    </row>
    <row r="23121" spans="1:5" x14ac:dyDescent="0.25">
      <c r="A23121" t="str">
        <f>HYPERLINK("https://www.773grp.com/globalSearch/2N4403RLRP/page-1", "2N4403RLRP")</f>
        <v>2N4403RLRP</v>
      </c>
      <c r="B23121" s="3" t="str">
        <f>HYPERLINK("https://www.773grp.com/manufacturer/onsemi?pageNo=945", "ON Semiconductor")</f>
        <v>ON Semiconductor</v>
      </c>
      <c r="C23121" s="6">
        <v>116000</v>
      </c>
      <c r="D23121" s="7">
        <v>0.05</v>
      </c>
      <c r="E23121" t="s">
        <v>69</v>
      </c>
    </row>
    <row r="23122" spans="1:5" x14ac:dyDescent="0.25">
      <c r="A23122" t="str">
        <f>HYPERLINK("https://www.773grp.com/globalSearch/2N7002ET1G/page-1", "2N7002ET1G")</f>
        <v>2N7002ET1G</v>
      </c>
      <c r="B23122" s="3" t="str">
        <f>HYPERLINK("https://www.773grp.com/manufacturer/onsemi?pageNo=946", "ON Semiconductor")</f>
        <v>ON Semiconductor</v>
      </c>
      <c r="C23122" s="6">
        <v>442548</v>
      </c>
      <c r="D23122" s="7">
        <v>0.05</v>
      </c>
      <c r="E23122" t="s">
        <v>106</v>
      </c>
    </row>
    <row r="23123" spans="1:5" x14ac:dyDescent="0.25">
      <c r="A23123" t="str">
        <f>HYPERLINK("https://www.773grp.com/globalSearch/2N7002LT1G/page-1", "2N7002LT1G")</f>
        <v>2N7002LT1G</v>
      </c>
      <c r="B23123" s="3" t="str">
        <f>HYPERLINK("https://www.773grp.com/manufacturer/onsemi?pageNo=947", "ON Semiconductor")</f>
        <v>ON Semiconductor</v>
      </c>
      <c r="C23123" s="6">
        <v>75002</v>
      </c>
      <c r="D23123" s="7">
        <v>0.05</v>
      </c>
      <c r="E23123" t="s">
        <v>106</v>
      </c>
    </row>
    <row r="23124" spans="1:5" x14ac:dyDescent="0.25">
      <c r="A23124" t="str">
        <f>HYPERLINK("https://www.773grp.com/globalSearch/2SA1774/page-1", "2SA1774")</f>
        <v>2SA1774</v>
      </c>
      <c r="B23124" s="3" t="str">
        <f>HYPERLINK("https://www.773grp.com/manufacturer/onsemi?pageNo=948", "ON Semiconductor")</f>
        <v>ON Semiconductor</v>
      </c>
      <c r="C23124" s="6">
        <v>221200</v>
      </c>
      <c r="D23124" s="7">
        <v>0.05</v>
      </c>
      <c r="E23124" t="s">
        <v>69</v>
      </c>
    </row>
    <row r="23125" spans="1:5" x14ac:dyDescent="0.25">
      <c r="A23125" t="str">
        <f>HYPERLINK("https://www.773grp.com/globalSearch/2SC4617/page-1", "2SC4617")</f>
        <v>2SC4617</v>
      </c>
      <c r="B23125" s="3" t="str">
        <f>HYPERLINK("https://www.773grp.com/manufacturer/onsemi?pageNo=949", "ON Semiconductor")</f>
        <v>ON Semiconductor</v>
      </c>
      <c r="C23125" s="6">
        <v>561000</v>
      </c>
      <c r="D23125" s="7">
        <v>0.05</v>
      </c>
      <c r="E23125" t="s">
        <v>69</v>
      </c>
    </row>
    <row r="23126" spans="1:5" x14ac:dyDescent="0.25">
      <c r="A23126" t="str">
        <f>HYPERLINK("https://www.773grp.com/globalSearch/BAL99LT1G/page-1", "BAL99LT1G")</f>
        <v>BAL99LT1G</v>
      </c>
      <c r="B23126" s="3" t="str">
        <f>HYPERLINK("https://www.773grp.com/manufacturer/onsemi?pageNo=950", "ON Semiconductor")</f>
        <v>ON Semiconductor</v>
      </c>
      <c r="C23126" s="6">
        <v>254547</v>
      </c>
      <c r="D23126" s="7">
        <v>0.05</v>
      </c>
      <c r="E23126" t="s">
        <v>94</v>
      </c>
    </row>
    <row r="23127" spans="1:5" x14ac:dyDescent="0.25">
      <c r="A23127" t="str">
        <f>HYPERLINK("https://www.773grp.com/globalSearch/BAS16LT1/page-1", "BAS16LT1")</f>
        <v>BAS16LT1</v>
      </c>
      <c r="B23127" s="3" t="str">
        <f>HYPERLINK("https://www.773grp.com/manufacturer/onsemi?pageNo=951", "ON Semiconductor")</f>
        <v>ON Semiconductor</v>
      </c>
      <c r="C23127" s="6">
        <v>29752</v>
      </c>
      <c r="D23127" s="7">
        <v>0.05</v>
      </c>
      <c r="E23127" t="s">
        <v>94</v>
      </c>
    </row>
    <row r="23128" spans="1:5" x14ac:dyDescent="0.25">
      <c r="A23128" t="str">
        <f>HYPERLINK("https://www.773grp.com/globalSearch/BAS16LT3/page-1", "BAS16LT3")</f>
        <v>BAS16LT3</v>
      </c>
      <c r="B23128" s="3" t="str">
        <f>HYPERLINK("https://www.773grp.com/manufacturer/onsemi?pageNo=952", "ON Semiconductor")</f>
        <v>ON Semiconductor</v>
      </c>
      <c r="C23128" s="6">
        <v>360000</v>
      </c>
      <c r="D23128" s="7">
        <v>0.05</v>
      </c>
      <c r="E23128" t="s">
        <v>94</v>
      </c>
    </row>
    <row r="23129" spans="1:5" x14ac:dyDescent="0.25">
      <c r="A23129" t="str">
        <f>HYPERLINK("https://www.773grp.com/globalSearch/BAS16TT1G/page-1", "BAS16TT1G")</f>
        <v>BAS16TT1G</v>
      </c>
      <c r="B23129" s="3" t="str">
        <f>HYPERLINK("https://www.773grp.com/manufacturer/onsemi?pageNo=953", "ON Semiconductor")</f>
        <v>ON Semiconductor</v>
      </c>
      <c r="C23129" s="6">
        <v>256354</v>
      </c>
      <c r="D23129" s="7">
        <v>0.05</v>
      </c>
      <c r="E23129" t="s">
        <v>94</v>
      </c>
    </row>
    <row r="23130" spans="1:5" x14ac:dyDescent="0.25">
      <c r="A23130" t="str">
        <f>HYPERLINK("https://www.773grp.com/globalSearch/BAS19LT3G/page-1", "BAS19LT3G")</f>
        <v>BAS19LT3G</v>
      </c>
      <c r="B23130" s="3" t="str">
        <f>HYPERLINK("https://www.773grp.com/manufacturer/onsemi?pageNo=954", "ON Semiconductor")</f>
        <v>ON Semiconductor</v>
      </c>
      <c r="C23130" s="6">
        <v>40000</v>
      </c>
      <c r="D23130" s="7">
        <v>0.05</v>
      </c>
      <c r="E23130" t="s">
        <v>94</v>
      </c>
    </row>
    <row r="23131" spans="1:5" x14ac:dyDescent="0.25">
      <c r="A23131" t="str">
        <f>HYPERLINK("https://www.773grp.com/globalSearch/BAS20LT1/page-1", "BAS20LT1")</f>
        <v>BAS20LT1</v>
      </c>
      <c r="B23131" s="3" t="str">
        <f>HYPERLINK("https://www.773grp.com/manufacturer/onsemi?pageNo=955", "ON Semiconductor")</f>
        <v>ON Semiconductor</v>
      </c>
      <c r="C23131" s="6">
        <v>3969000</v>
      </c>
      <c r="D23131" s="7">
        <v>0.05</v>
      </c>
      <c r="E23131" t="s">
        <v>94</v>
      </c>
    </row>
    <row r="23132" spans="1:5" x14ac:dyDescent="0.25">
      <c r="A23132" t="str">
        <f>HYPERLINK("https://www.773grp.com/globalSearch/BAV70LT1/page-1", "BAV70LT1")</f>
        <v>BAV70LT1</v>
      </c>
      <c r="B23132" s="3" t="str">
        <f>HYPERLINK("https://www.773grp.com/manufacturer/onsemi?pageNo=956", "ON Semiconductor")</f>
        <v>ON Semiconductor</v>
      </c>
      <c r="C23132" s="6">
        <v>528885</v>
      </c>
      <c r="D23132" s="7">
        <v>0.05</v>
      </c>
      <c r="E23132" t="s">
        <v>94</v>
      </c>
    </row>
    <row r="23133" spans="1:5" x14ac:dyDescent="0.25">
      <c r="A23133" t="str">
        <f>HYPERLINK("https://www.773grp.com/globalSearch/BAV70LT3/page-1", "BAV70LT3")</f>
        <v>BAV70LT3</v>
      </c>
      <c r="B23133" s="3" t="str">
        <f>HYPERLINK("https://www.773grp.com/manufacturer/onsemi?pageNo=957", "ON Semiconductor")</f>
        <v>ON Semiconductor</v>
      </c>
      <c r="C23133" s="6">
        <v>640000</v>
      </c>
      <c r="D23133" s="7">
        <v>0.05</v>
      </c>
      <c r="E23133" t="s">
        <v>94</v>
      </c>
    </row>
    <row r="23134" spans="1:5" x14ac:dyDescent="0.25">
      <c r="A23134" t="str">
        <f>HYPERLINK("https://www.773grp.com/globalSearch/BAV70WT1/page-1", "BAV70WT1")</f>
        <v>BAV70WT1</v>
      </c>
      <c r="B23134" s="3" t="str">
        <f>HYPERLINK("https://www.773grp.com/manufacturer/onsemi?pageNo=958", "ON Semiconductor")</f>
        <v>ON Semiconductor</v>
      </c>
      <c r="C23134" s="6">
        <v>240000</v>
      </c>
      <c r="D23134" s="7">
        <v>0.05</v>
      </c>
      <c r="E23134" t="s">
        <v>94</v>
      </c>
    </row>
    <row r="23135" spans="1:5" x14ac:dyDescent="0.25">
      <c r="A23135" t="str">
        <f>HYPERLINK("https://www.773grp.com/globalSearch/BAV74LT1/page-1", "BAV74LT1")</f>
        <v>BAV74LT1</v>
      </c>
      <c r="B23135" s="3" t="str">
        <f>HYPERLINK("https://www.773grp.com/manufacturer/onsemi?pageNo=959", "ON Semiconductor")</f>
        <v>ON Semiconductor</v>
      </c>
      <c r="C23135" s="6">
        <v>145730</v>
      </c>
      <c r="D23135" s="7">
        <v>0.05</v>
      </c>
      <c r="E23135" t="s">
        <v>94</v>
      </c>
    </row>
    <row r="23136" spans="1:5" x14ac:dyDescent="0.25">
      <c r="A23136" t="str">
        <f>HYPERLINK("https://www.773grp.com/globalSearch/BAV74LT3/page-1", "BAV74LT3")</f>
        <v>BAV74LT3</v>
      </c>
      <c r="B23136" s="3" t="str">
        <f>HYPERLINK("https://www.773grp.com/manufacturer/onsemi?pageNo=960", "ON Semiconductor")</f>
        <v>ON Semiconductor</v>
      </c>
      <c r="C23136" s="6">
        <v>117000</v>
      </c>
      <c r="D23136" s="7">
        <v>0.05</v>
      </c>
      <c r="E23136" t="s">
        <v>94</v>
      </c>
    </row>
    <row r="23137" spans="1:5" x14ac:dyDescent="0.25">
      <c r="A23137" t="str">
        <f>HYPERLINK("https://www.773grp.com/globalSearch/BAV99RWT1/page-1", "BAV99RWT1")</f>
        <v>BAV99RWT1</v>
      </c>
      <c r="B23137" s="3" t="str">
        <f>HYPERLINK("https://www.773grp.com/manufacturer/onsemi?pageNo=961", "ON Semiconductor")</f>
        <v>ON Semiconductor</v>
      </c>
      <c r="C23137" s="6">
        <v>135000</v>
      </c>
      <c r="D23137" s="7">
        <v>0.05</v>
      </c>
      <c r="E23137" t="s">
        <v>94</v>
      </c>
    </row>
    <row r="23138" spans="1:5" x14ac:dyDescent="0.25">
      <c r="A23138" t="str">
        <f>HYPERLINK("https://www.773grp.com/globalSearch/BAV99RWT1G/page-1", "BAV99RWT1G")</f>
        <v>BAV99RWT1G</v>
      </c>
      <c r="B23138" s="3" t="str">
        <f>HYPERLINK("https://www.773grp.com/manufacturer/onsemi?pageNo=962", "ON Semiconductor")</f>
        <v>ON Semiconductor</v>
      </c>
      <c r="C23138" s="6">
        <v>182980</v>
      </c>
      <c r="D23138" s="7">
        <v>0.05</v>
      </c>
      <c r="E23138" t="s">
        <v>94</v>
      </c>
    </row>
    <row r="23139" spans="1:5" x14ac:dyDescent="0.25">
      <c r="A23139" t="str">
        <f>HYPERLINK("https://www.773grp.com/globalSearch/BAW56LT1/page-1", "BAW56LT1")</f>
        <v>BAW56LT1</v>
      </c>
      <c r="B23139" s="3" t="str">
        <f>HYPERLINK("https://www.773grp.com/manufacturer/onsemi?pageNo=963", "ON Semiconductor")</f>
        <v>ON Semiconductor</v>
      </c>
      <c r="C23139" s="6">
        <v>743710</v>
      </c>
      <c r="D23139" s="7">
        <v>0.05</v>
      </c>
      <c r="E23139" t="s">
        <v>94</v>
      </c>
    </row>
    <row r="23140" spans="1:5" x14ac:dyDescent="0.25">
      <c r="A23140" t="str">
        <f>HYPERLINK("https://www.773grp.com/globalSearch/BAW56WT1/page-1", "BAW56WT1")</f>
        <v>BAW56WT1</v>
      </c>
      <c r="B23140" s="3" t="str">
        <f>HYPERLINK("https://www.773grp.com/manufacturer/onsemi?pageNo=964", "ON Semiconductor")</f>
        <v>ON Semiconductor</v>
      </c>
      <c r="C23140" s="6">
        <v>387000</v>
      </c>
      <c r="D23140" s="7">
        <v>0.05</v>
      </c>
      <c r="E23140" t="s">
        <v>94</v>
      </c>
    </row>
    <row r="23141" spans="1:5" x14ac:dyDescent="0.25">
      <c r="A23141" t="str">
        <f>HYPERLINK("https://www.773grp.com/globalSearch/BAW56WT1H/page-1", "BAW56WT1H")</f>
        <v>BAW56WT1H</v>
      </c>
      <c r="B23141" s="3" t="str">
        <f>HYPERLINK("https://www.773grp.com/manufacturer/onsemi?pageNo=965", "ON Semiconductor")</f>
        <v>ON Semiconductor</v>
      </c>
      <c r="C23141" s="6">
        <v>396000</v>
      </c>
      <c r="D23141" s="7">
        <v>0.05</v>
      </c>
    </row>
    <row r="23142" spans="1:5" x14ac:dyDescent="0.25">
      <c r="A23142" t="str">
        <f>HYPERLINK("https://www.773grp.com/globalSearch/BC212/page-1", "BC212")</f>
        <v>BC212</v>
      </c>
      <c r="B23142" s="3" t="str">
        <f>HYPERLINK("https://www.773grp.com/manufacturer/onsemi?pageNo=966", "ON Semiconductor")</f>
        <v>ON Semiconductor</v>
      </c>
      <c r="C23142" s="6">
        <v>19980</v>
      </c>
      <c r="D23142" s="7">
        <v>0.05</v>
      </c>
      <c r="E23142" t="s">
        <v>69</v>
      </c>
    </row>
    <row r="23143" spans="1:5" x14ac:dyDescent="0.25">
      <c r="A23143" t="str">
        <f>HYPERLINK("https://www.773grp.com/globalSearch/BC212B/page-1", "BC212B")</f>
        <v>BC212B</v>
      </c>
      <c r="B23143" s="3" t="str">
        <f>HYPERLINK("https://www.773grp.com/manufacturer/onsemi?pageNo=967", "ON Semiconductor")</f>
        <v>ON Semiconductor</v>
      </c>
      <c r="C23143" s="6">
        <v>17</v>
      </c>
      <c r="D23143" s="7">
        <v>0.05</v>
      </c>
      <c r="E23143" t="s">
        <v>69</v>
      </c>
    </row>
    <row r="23144" spans="1:5" x14ac:dyDescent="0.25">
      <c r="A23144" t="str">
        <f>HYPERLINK("https://www.773grp.com/globalSearch/BC212BZL1/page-1", "BC212BZL1")</f>
        <v>BC212BZL1</v>
      </c>
      <c r="B23144" s="3" t="str">
        <f>HYPERLINK("https://www.773grp.com/manufacturer/onsemi?pageNo=968", "ON Semiconductor")</f>
        <v>ON Semiconductor</v>
      </c>
      <c r="C23144" s="6">
        <v>2000</v>
      </c>
      <c r="D23144" s="7">
        <v>0.05</v>
      </c>
      <c r="E23144" t="s">
        <v>69</v>
      </c>
    </row>
    <row r="23145" spans="1:5" x14ac:dyDescent="0.25">
      <c r="A23145" t="str">
        <f>HYPERLINK("https://www.773grp.com/globalSearch/BC213/page-1", "BC213")</f>
        <v>BC213</v>
      </c>
      <c r="B23145" s="3" t="str">
        <f>HYPERLINK("https://www.773grp.com/manufacturer/onsemi?pageNo=969", "ON Semiconductor")</f>
        <v>ON Semiconductor</v>
      </c>
      <c r="C23145" s="6">
        <v>75000</v>
      </c>
      <c r="D23145" s="7">
        <v>0.05</v>
      </c>
      <c r="E23145" t="s">
        <v>69</v>
      </c>
    </row>
    <row r="23146" spans="1:5" x14ac:dyDescent="0.25">
      <c r="A23146" t="str">
        <f>HYPERLINK("https://www.773grp.com/globalSearch/BC237A/page-1", "BC237A")</f>
        <v>BC237A</v>
      </c>
      <c r="B23146" s="3" t="str">
        <f>HYPERLINK("https://www.773grp.com/manufacturer/onsemi?pageNo=970", "ON Semiconductor")</f>
        <v>ON Semiconductor</v>
      </c>
      <c r="C23146" s="6">
        <v>15000</v>
      </c>
      <c r="D23146" s="7">
        <v>0.05</v>
      </c>
      <c r="E23146" t="s">
        <v>69</v>
      </c>
    </row>
    <row r="23147" spans="1:5" x14ac:dyDescent="0.25">
      <c r="A23147" t="str">
        <f>HYPERLINK("https://www.773grp.com/globalSearch/BC238BRL1/page-1", "BC238BRL1")</f>
        <v>BC238BRL1</v>
      </c>
      <c r="B23147" s="3" t="str">
        <f>HYPERLINK("https://www.773grp.com/manufacturer/onsemi?pageNo=971", "ON Semiconductor")</f>
        <v>ON Semiconductor</v>
      </c>
      <c r="C23147" s="6">
        <v>26000</v>
      </c>
      <c r="D23147" s="7">
        <v>0.05</v>
      </c>
      <c r="E23147" t="s">
        <v>69</v>
      </c>
    </row>
    <row r="23148" spans="1:5" x14ac:dyDescent="0.25">
      <c r="A23148" t="str">
        <f>HYPERLINK("https://www.773grp.com/globalSearch/BC238C/page-1", "BC238C")</f>
        <v>BC238C</v>
      </c>
      <c r="B23148" s="3" t="str">
        <f>HYPERLINK("https://www.773grp.com/manufacturer/onsemi?pageNo=972", "ON Semiconductor")</f>
        <v>ON Semiconductor</v>
      </c>
      <c r="C23148" s="6">
        <v>15000</v>
      </c>
      <c r="D23148" s="7">
        <v>0.05</v>
      </c>
      <c r="E23148" t="s">
        <v>69</v>
      </c>
    </row>
    <row r="23149" spans="1:5" x14ac:dyDescent="0.25">
      <c r="A23149" t="str">
        <f>HYPERLINK("https://www.773grp.com/globalSearch/BC546BRLRP/page-1", "BC546BRLRP")</f>
        <v>BC546BRLRP</v>
      </c>
      <c r="B23149" s="3" t="str">
        <f>HYPERLINK("https://www.773grp.com/manufacturer/onsemi?pageNo=973", "ON Semiconductor")</f>
        <v>ON Semiconductor</v>
      </c>
      <c r="C23149" s="6">
        <v>58000</v>
      </c>
      <c r="D23149" s="7">
        <v>0.05</v>
      </c>
      <c r="E23149" t="s">
        <v>69</v>
      </c>
    </row>
    <row r="23150" spans="1:5" x14ac:dyDescent="0.25">
      <c r="A23150" t="str">
        <f>HYPERLINK("https://www.773grp.com/globalSearch/BC547/page-1", "BC547")</f>
        <v>BC547</v>
      </c>
      <c r="B23150" s="3" t="str">
        <f>HYPERLINK("https://www.773grp.com/manufacturer/onsemi?pageNo=974", "ON Semiconductor")</f>
        <v>ON Semiconductor</v>
      </c>
      <c r="C23150" s="6">
        <v>14900</v>
      </c>
      <c r="D23150" s="7">
        <v>0.05</v>
      </c>
      <c r="E23150" t="s">
        <v>69</v>
      </c>
    </row>
    <row r="23151" spans="1:5" x14ac:dyDescent="0.25">
      <c r="A23151" t="str">
        <f>HYPERLINK("https://www.773grp.com/globalSearch/BC550CZL1/page-1", "BC550CZL1")</f>
        <v>BC550CZL1</v>
      </c>
      <c r="B23151" s="3" t="str">
        <f>HYPERLINK("https://www.773grp.com/manufacturer/onsemi?pageNo=975", "ON Semiconductor")</f>
        <v>ON Semiconductor</v>
      </c>
      <c r="C23151" s="6">
        <v>33000</v>
      </c>
      <c r="D23151" s="7">
        <v>0.05</v>
      </c>
      <c r="E23151" t="s">
        <v>69</v>
      </c>
    </row>
    <row r="23152" spans="1:5" x14ac:dyDescent="0.25">
      <c r="A23152" t="str">
        <f>HYPERLINK("https://www.773grp.com/globalSearch/BC556BRL1/page-1", "BC556BRL1")</f>
        <v>BC556BRL1</v>
      </c>
      <c r="B23152" s="3" t="str">
        <f>HYPERLINK("https://www.773grp.com/manufacturer/onsemi?pageNo=976", "ON Semiconductor")</f>
        <v>ON Semiconductor</v>
      </c>
      <c r="C23152" s="6">
        <v>2000</v>
      </c>
      <c r="D23152" s="7">
        <v>0.05</v>
      </c>
      <c r="E23152" t="s">
        <v>69</v>
      </c>
    </row>
    <row r="23153" spans="1:5" x14ac:dyDescent="0.25">
      <c r="A23153" t="str">
        <f>HYPERLINK("https://www.773grp.com/globalSearch/BC557A/page-1", "BC557A")</f>
        <v>BC557A</v>
      </c>
      <c r="B23153" s="3" t="str">
        <f>HYPERLINK("https://www.773grp.com/manufacturer/onsemi?pageNo=977", "ON Semiconductor")</f>
        <v>ON Semiconductor</v>
      </c>
      <c r="C23153" s="6">
        <v>95000</v>
      </c>
      <c r="D23153" s="7">
        <v>0.05</v>
      </c>
      <c r="E23153" t="s">
        <v>69</v>
      </c>
    </row>
    <row r="23154" spans="1:5" x14ac:dyDescent="0.25">
      <c r="A23154" t="str">
        <f>HYPERLINK("https://www.773grp.com/globalSearch/BC557ZL1/page-1", "BC557ZL1")</f>
        <v>BC557ZL1</v>
      </c>
      <c r="B23154" s="3" t="str">
        <f>HYPERLINK("https://www.773grp.com/manufacturer/onsemi?pageNo=978", "ON Semiconductor")</f>
        <v>ON Semiconductor</v>
      </c>
      <c r="C23154" s="6">
        <v>50000</v>
      </c>
      <c r="D23154" s="7">
        <v>0.05</v>
      </c>
      <c r="E23154" t="s">
        <v>69</v>
      </c>
    </row>
    <row r="23155" spans="1:5" x14ac:dyDescent="0.25">
      <c r="A23155" t="str">
        <f>HYPERLINK("https://www.773grp.com/globalSearch/BC558C/page-1", "BC558C")</f>
        <v>BC558C</v>
      </c>
      <c r="B23155" s="3" t="str">
        <f>HYPERLINK("https://www.773grp.com/manufacturer/onsemi?pageNo=979", "ON Semiconductor")</f>
        <v>ON Semiconductor</v>
      </c>
      <c r="C23155" s="6">
        <v>30000</v>
      </c>
      <c r="D23155" s="7">
        <v>0.05</v>
      </c>
      <c r="E23155" t="s">
        <v>69</v>
      </c>
    </row>
    <row r="23156" spans="1:5" x14ac:dyDescent="0.25">
      <c r="A23156" t="str">
        <f>HYPERLINK("https://www.773grp.com/globalSearch/BC558CRL1/page-1", "BC558CRL1")</f>
        <v>BC558CRL1</v>
      </c>
      <c r="B23156" s="3" t="str">
        <f>HYPERLINK("https://www.773grp.com/manufacturer/onsemi?pageNo=980", "ON Semiconductor")</f>
        <v>ON Semiconductor</v>
      </c>
      <c r="C23156" s="6">
        <v>44000</v>
      </c>
      <c r="D23156" s="7">
        <v>0.05</v>
      </c>
      <c r="E23156" t="s">
        <v>69</v>
      </c>
    </row>
    <row r="23157" spans="1:5" x14ac:dyDescent="0.25">
      <c r="A23157" t="str">
        <f>HYPERLINK("https://www.773grp.com/globalSearch/BC559BZL1/page-1", "BC559BZL1")</f>
        <v>BC559BZL1</v>
      </c>
      <c r="B23157" s="3" t="str">
        <f>HYPERLINK("https://www.773grp.com/manufacturer/onsemi?pageNo=981", "ON Semiconductor")</f>
        <v>ON Semiconductor</v>
      </c>
      <c r="C23157" s="6">
        <v>16000</v>
      </c>
      <c r="D23157" s="7">
        <v>0.05</v>
      </c>
      <c r="E23157" t="s">
        <v>69</v>
      </c>
    </row>
    <row r="23158" spans="1:5" x14ac:dyDescent="0.25">
      <c r="A23158" t="str">
        <f>HYPERLINK("https://www.773grp.com/globalSearch/BC559C/page-1", "BC559C")</f>
        <v>BC559C</v>
      </c>
      <c r="B23158" s="3" t="str">
        <f>HYPERLINK("https://www.773grp.com/manufacturer/onsemi?pageNo=982", "ON Semiconductor")</f>
        <v>ON Semiconductor</v>
      </c>
      <c r="C23158" s="6">
        <v>25000</v>
      </c>
      <c r="D23158" s="7">
        <v>0.05</v>
      </c>
      <c r="E23158" t="s">
        <v>69</v>
      </c>
    </row>
    <row r="23159" spans="1:5" x14ac:dyDescent="0.25">
      <c r="A23159" t="str">
        <f>HYPERLINK("https://www.773grp.com/globalSearch/BC847BWT1/page-1", "BC847BWT1")</f>
        <v>BC847BWT1</v>
      </c>
      <c r="B23159" s="3" t="str">
        <f>HYPERLINK("https://www.773grp.com/manufacturer/onsemi?pageNo=983", "ON Semiconductor")</f>
        <v>ON Semiconductor</v>
      </c>
      <c r="C23159" s="6">
        <v>465000</v>
      </c>
      <c r="D23159" s="7">
        <v>0.05</v>
      </c>
      <c r="E23159" t="s">
        <v>69</v>
      </c>
    </row>
    <row r="23160" spans="1:5" x14ac:dyDescent="0.25">
      <c r="A23160" t="str">
        <f>HYPERLINK("https://www.773grp.com/globalSearch/BC848ALT1/page-1", "BC848ALT1")</f>
        <v>BC848ALT1</v>
      </c>
      <c r="B23160" s="3" t="str">
        <f>HYPERLINK("https://www.773grp.com/manufacturer/onsemi?pageNo=984", "ON Semiconductor")</f>
        <v>ON Semiconductor</v>
      </c>
      <c r="C23160" s="6">
        <v>6000</v>
      </c>
      <c r="D23160" s="7">
        <v>0.05</v>
      </c>
      <c r="E23160" t="s">
        <v>69</v>
      </c>
    </row>
    <row r="23161" spans="1:5" x14ac:dyDescent="0.25">
      <c r="A23161" t="str">
        <f>HYPERLINK("https://www.773grp.com/globalSearch/BC848BLT1/page-1", "BC848BLT1")</f>
        <v>BC848BLT1</v>
      </c>
      <c r="B23161" s="3" t="str">
        <f>HYPERLINK("https://www.773grp.com/manufacturer/onsemi?pageNo=985", "ON Semiconductor")</f>
        <v>ON Semiconductor</v>
      </c>
      <c r="C23161" s="6">
        <v>1861565</v>
      </c>
      <c r="D23161" s="7">
        <v>0.05</v>
      </c>
      <c r="E23161" t="s">
        <v>69</v>
      </c>
    </row>
    <row r="23162" spans="1:5" x14ac:dyDescent="0.25">
      <c r="A23162" t="str">
        <f>HYPERLINK("https://www.773grp.com/globalSearch/BC848BLT3/page-1", "BC848BLT3")</f>
        <v>BC848BLT3</v>
      </c>
      <c r="B23162" s="3" t="str">
        <f>HYPERLINK("https://www.773grp.com/manufacturer/onsemi?pageNo=986", "ON Semiconductor")</f>
        <v>ON Semiconductor</v>
      </c>
      <c r="C23162" s="6">
        <v>9270000</v>
      </c>
      <c r="D23162" s="7">
        <v>0.05</v>
      </c>
      <c r="E23162" t="s">
        <v>69</v>
      </c>
    </row>
    <row r="23163" spans="1:5" x14ac:dyDescent="0.25">
      <c r="A23163" t="str">
        <f>HYPERLINK("https://www.773grp.com/globalSearch/BC848CDXV6T1/page-1", "BC848CDXV6T1")</f>
        <v>BC848CDXV6T1</v>
      </c>
      <c r="B23163" s="3" t="str">
        <f>HYPERLINK("https://www.773grp.com/manufacturer/onsemi?pageNo=987", "ON Semiconductor")</f>
        <v>ON Semiconductor</v>
      </c>
      <c r="C23163" s="6">
        <v>28000</v>
      </c>
      <c r="D23163" s="7">
        <v>0.05</v>
      </c>
      <c r="E23163" t="s">
        <v>69</v>
      </c>
    </row>
    <row r="23164" spans="1:5" x14ac:dyDescent="0.25">
      <c r="A23164" t="str">
        <f>HYPERLINK("https://www.773grp.com/globalSearch/BC848CLT1/page-1", "BC848CLT1")</f>
        <v>BC848CLT1</v>
      </c>
      <c r="B23164" s="3" t="str">
        <f>HYPERLINK("https://www.773grp.com/manufacturer/onsemi?pageNo=988", "ON Semiconductor")</f>
        <v>ON Semiconductor</v>
      </c>
      <c r="C23164" s="6">
        <v>598500</v>
      </c>
      <c r="D23164" s="7">
        <v>0.05</v>
      </c>
      <c r="E23164" t="s">
        <v>69</v>
      </c>
    </row>
    <row r="23165" spans="1:5" x14ac:dyDescent="0.25">
      <c r="A23165" t="str">
        <f>HYPERLINK("https://www.773grp.com/globalSearch/BC849BLT1/page-1", "BC849BLT1")</f>
        <v>BC849BLT1</v>
      </c>
      <c r="B23165" s="3" t="str">
        <f>HYPERLINK("https://www.773grp.com/manufacturer/onsemi?pageNo=989", "ON Semiconductor")</f>
        <v>ON Semiconductor</v>
      </c>
      <c r="C23165" s="6">
        <v>6015</v>
      </c>
      <c r="D23165" s="7">
        <v>0.05</v>
      </c>
      <c r="E23165" t="s">
        <v>69</v>
      </c>
    </row>
    <row r="23166" spans="1:5" x14ac:dyDescent="0.25">
      <c r="A23166" t="str">
        <f>HYPERLINK("https://www.773grp.com/globalSearch/BC850BLT1/page-1", "BC850BLT1")</f>
        <v>BC850BLT1</v>
      </c>
      <c r="B23166" s="3" t="str">
        <f>HYPERLINK("https://www.773grp.com/manufacturer/onsemi?pageNo=990", "ON Semiconductor")</f>
        <v>ON Semiconductor</v>
      </c>
      <c r="C23166" s="6">
        <v>39000</v>
      </c>
      <c r="D23166" s="7">
        <v>0.05</v>
      </c>
      <c r="E23166" t="s">
        <v>69</v>
      </c>
    </row>
    <row r="23167" spans="1:5" x14ac:dyDescent="0.25">
      <c r="A23167" t="str">
        <f>HYPERLINK("https://www.773grp.com/globalSearch/BC856ALT1/page-1", "BC856ALT1")</f>
        <v>BC856ALT1</v>
      </c>
      <c r="B23167" s="3" t="str">
        <f>HYPERLINK("https://www.773grp.com/manufacturer/onsemi?pageNo=991", "ON Semiconductor")</f>
        <v>ON Semiconductor</v>
      </c>
      <c r="C23167" s="6">
        <v>281080</v>
      </c>
      <c r="D23167" s="7">
        <v>0.05</v>
      </c>
      <c r="E23167" t="s">
        <v>69</v>
      </c>
    </row>
    <row r="23168" spans="1:5" x14ac:dyDescent="0.25">
      <c r="A23168" t="str">
        <f>HYPERLINK("https://www.773grp.com/globalSearch/BC856ALT3G/page-1", "BC856ALT3G")</f>
        <v>BC856ALT3G</v>
      </c>
      <c r="B23168" s="3" t="str">
        <f>HYPERLINK("https://www.773grp.com/manufacturer/onsemi?pageNo=992", "ON Semiconductor")</f>
        <v>ON Semiconductor</v>
      </c>
      <c r="C23168" s="6">
        <v>280000</v>
      </c>
      <c r="D23168" s="7">
        <v>0.05</v>
      </c>
      <c r="E23168" t="s">
        <v>69</v>
      </c>
    </row>
    <row r="23169" spans="1:5" x14ac:dyDescent="0.25">
      <c r="A23169" t="str">
        <f>HYPERLINK("https://www.773grp.com/globalSearch/BC857ALT1/page-1", "BC857ALT1")</f>
        <v>BC857ALT1</v>
      </c>
      <c r="B23169" s="3" t="str">
        <f>HYPERLINK("https://www.773grp.com/manufacturer/onsemi?pageNo=993", "ON Semiconductor")</f>
        <v>ON Semiconductor</v>
      </c>
      <c r="C23169" s="6">
        <v>72000</v>
      </c>
      <c r="D23169" s="7">
        <v>0.05</v>
      </c>
      <c r="E23169" t="s">
        <v>69</v>
      </c>
    </row>
    <row r="23170" spans="1:5" x14ac:dyDescent="0.25">
      <c r="A23170" t="str">
        <f>HYPERLINK("https://www.773grp.com/globalSearch/BC857BLT1/page-1", "BC857BLT1")</f>
        <v>BC857BLT1</v>
      </c>
      <c r="B23170" s="3" t="str">
        <f>HYPERLINK("https://www.773grp.com/manufacturer/onsemi?pageNo=994", "ON Semiconductor")</f>
        <v>ON Semiconductor</v>
      </c>
      <c r="C23170" s="6">
        <v>731468</v>
      </c>
      <c r="D23170" s="7">
        <v>0.05</v>
      </c>
      <c r="E23170" t="s">
        <v>69</v>
      </c>
    </row>
    <row r="23171" spans="1:5" x14ac:dyDescent="0.25">
      <c r="A23171" t="str">
        <f>HYPERLINK("https://www.773grp.com/globalSearch/BC858ALT1/page-1", "BC858ALT1")</f>
        <v>BC858ALT1</v>
      </c>
      <c r="B23171" s="3" t="str">
        <f>HYPERLINK("https://www.773grp.com/manufacturer/onsemi?pageNo=995", "ON Semiconductor")</f>
        <v>ON Semiconductor</v>
      </c>
      <c r="C23171" s="6">
        <v>65820</v>
      </c>
      <c r="D23171" s="7">
        <v>0.05</v>
      </c>
      <c r="E23171" t="s">
        <v>69</v>
      </c>
    </row>
    <row r="23172" spans="1:5" x14ac:dyDescent="0.25">
      <c r="A23172" t="str">
        <f>HYPERLINK("https://www.773grp.com/globalSearch/BC858BLT1/page-1", "BC858BLT1")</f>
        <v>BC858BLT1</v>
      </c>
      <c r="B23172" s="3" t="str">
        <f>HYPERLINK("https://www.773grp.com/manufacturer/onsemi?pageNo=996", "ON Semiconductor")</f>
        <v>ON Semiconductor</v>
      </c>
      <c r="C23172" s="6">
        <v>492447</v>
      </c>
      <c r="D23172" s="7">
        <v>0.05</v>
      </c>
      <c r="E23172" t="s">
        <v>69</v>
      </c>
    </row>
    <row r="23173" spans="1:5" x14ac:dyDescent="0.25">
      <c r="A23173" t="str">
        <f>HYPERLINK("https://www.773grp.com/globalSearch/BC858BLT3/page-1", "BC858BLT3")</f>
        <v>BC858BLT3</v>
      </c>
      <c r="B23173" s="3" t="str">
        <f>HYPERLINK("https://www.773grp.com/manufacturer/onsemi?pageNo=997", "ON Semiconductor")</f>
        <v>ON Semiconductor</v>
      </c>
      <c r="C23173" s="6">
        <v>4670000</v>
      </c>
      <c r="D23173" s="7">
        <v>0.05</v>
      </c>
      <c r="E23173" t="s">
        <v>69</v>
      </c>
    </row>
    <row r="23174" spans="1:5" x14ac:dyDescent="0.25">
      <c r="A23174" t="str">
        <f>HYPERLINK("https://www.773grp.com/globalSearch/BC859BLT1G/page-1", "BC859BLT1G")</f>
        <v>BC859BLT1G</v>
      </c>
      <c r="B23174" s="3" t="str">
        <f>HYPERLINK("https://www.773grp.com/manufacturer/onsemi?pageNo=998", "ON Semiconductor")</f>
        <v>ON Semiconductor</v>
      </c>
      <c r="C23174" s="6">
        <v>24000</v>
      </c>
      <c r="D23174" s="7">
        <v>0.05</v>
      </c>
      <c r="E23174" t="s">
        <v>69</v>
      </c>
    </row>
    <row r="23175" spans="1:5" x14ac:dyDescent="0.25">
      <c r="A23175" t="str">
        <f>HYPERLINK("https://www.773grp.com/globalSearch/BC859BLT3/page-1", "BC859BLT3")</f>
        <v>BC859BLT3</v>
      </c>
      <c r="B23175" s="3" t="str">
        <f>HYPERLINK("https://www.773grp.com/manufacturer/onsemi?pageNo=999", "ON Semiconductor")</f>
        <v>ON Semiconductor</v>
      </c>
      <c r="C23175" s="6">
        <v>100000</v>
      </c>
      <c r="D23175" s="7">
        <v>0.05</v>
      </c>
      <c r="E23175" t="s">
        <v>69</v>
      </c>
    </row>
    <row r="23176" spans="1:5" x14ac:dyDescent="0.25">
      <c r="A23176" t="str">
        <f>HYPERLINK("https://www.773grp.com/globalSearch/BCW30LT3/page-1", "BCW30LT3")</f>
        <v>BCW30LT3</v>
      </c>
      <c r="B23176" s="3" t="str">
        <f>HYPERLINK("https://www.773grp.com/manufacturer/onsemi?pageNo=1000", "ON Semiconductor")</f>
        <v>ON Semiconductor</v>
      </c>
      <c r="C23176" s="6">
        <v>90000</v>
      </c>
      <c r="D23176" s="7">
        <v>0.05</v>
      </c>
      <c r="E23176" t="s">
        <v>69</v>
      </c>
    </row>
    <row r="23177" spans="1:5" x14ac:dyDescent="0.25">
      <c r="A23177" t="str">
        <f>HYPERLINK("https://www.773grp.com/globalSearch/BZX79C6V2RL/page-1", "BZX79C6V2RL")</f>
        <v>BZX79C6V2RL</v>
      </c>
      <c r="B23177" s="3" t="str">
        <f>HYPERLINK("https://www.773grp.com/manufacturer/onsemi?pageNo=1001", "ON Semiconductor")</f>
        <v>ON Semiconductor</v>
      </c>
      <c r="C23177" s="6">
        <v>10000</v>
      </c>
      <c r="D23177" s="7">
        <v>0.05</v>
      </c>
      <c r="E23177" t="s">
        <v>98</v>
      </c>
    </row>
    <row r="23178" spans="1:5" x14ac:dyDescent="0.25">
      <c r="A23178" t="str">
        <f>HYPERLINK("https://www.773grp.com/globalSearch/DA121TT1G/page-1", "DA121TT1G")</f>
        <v>DA121TT1G</v>
      </c>
      <c r="B23178" s="3" t="str">
        <f>HYPERLINK("https://www.773grp.com/manufacturer/onsemi?pageNo=1002", "ON Semiconductor")</f>
        <v>ON Semiconductor</v>
      </c>
      <c r="C23178" s="6">
        <v>489000</v>
      </c>
      <c r="D23178" s="7">
        <v>0.05</v>
      </c>
      <c r="E23178" t="s">
        <v>94</v>
      </c>
    </row>
    <row r="23179" spans="1:5" x14ac:dyDescent="0.25">
      <c r="A23179" t="str">
        <f>HYPERLINK("https://www.773grp.com/globalSearch/DAP202UG/page-1", "DAP202UG")</f>
        <v>DAP202UG</v>
      </c>
      <c r="B23179" s="3" t="str">
        <f>HYPERLINK("https://www.773grp.com/manufacturer/onsemi?pageNo=1003", "ON Semiconductor")</f>
        <v>ON Semiconductor</v>
      </c>
      <c r="C23179" s="6">
        <v>419400</v>
      </c>
      <c r="D23179" s="7">
        <v>0.05</v>
      </c>
      <c r="E23179" t="s">
        <v>94</v>
      </c>
    </row>
    <row r="23180" spans="1:5" x14ac:dyDescent="0.25">
      <c r="A23180" t="str">
        <f>HYPERLINK("https://www.773grp.com/globalSearch/DTC114TE/page-1", "DTC114TE")</f>
        <v>DTC114TE</v>
      </c>
      <c r="B23180" s="3" t="str">
        <f>HYPERLINK("https://www.773grp.com/manufacturer/onsemi?pageNo=1004", "ON Semiconductor")</f>
        <v>ON Semiconductor</v>
      </c>
      <c r="C23180" s="6">
        <v>792000</v>
      </c>
      <c r="D23180" s="7">
        <v>0.05</v>
      </c>
      <c r="E23180" t="s">
        <v>69</v>
      </c>
    </row>
    <row r="23181" spans="1:5" x14ac:dyDescent="0.25">
      <c r="A23181" t="str">
        <f>HYPERLINK("https://www.773grp.com/globalSearch/DTC114YE/page-1", "DTC114YE")</f>
        <v>DTC114YE</v>
      </c>
      <c r="B23181" s="3" t="str">
        <f>HYPERLINK("https://www.773grp.com/manufacturer/onsemi?pageNo=1005", "ON Semiconductor")</f>
        <v>ON Semiconductor</v>
      </c>
      <c r="C23181" s="6">
        <v>5000</v>
      </c>
      <c r="D23181" s="7">
        <v>0.05</v>
      </c>
      <c r="E23181" t="s">
        <v>69</v>
      </c>
    </row>
    <row r="23182" spans="1:5" x14ac:dyDescent="0.25">
      <c r="A23182" t="str">
        <f>HYPERLINK("https://www.773grp.com/globalSearch/LM9014B/page-1", "LM9014B")</f>
        <v>LM9014B</v>
      </c>
      <c r="B23182" s="3" t="str">
        <f>HYPERLINK("https://www.773grp.com/manufacturer/onsemi?pageNo=1006", "ON Semiconductor")</f>
        <v>ON Semiconductor</v>
      </c>
      <c r="C23182" s="6">
        <v>30000</v>
      </c>
      <c r="D23182" s="7">
        <v>0.05</v>
      </c>
    </row>
    <row r="23183" spans="1:5" x14ac:dyDescent="0.25">
      <c r="A23183" t="str">
        <f>HYPERLINK("https://www.773grp.com/globalSearch/M1MA141KT1G/page-1", "M1MA141KT1G")</f>
        <v>M1MA141KT1G</v>
      </c>
      <c r="B23183" s="3" t="str">
        <f>HYPERLINK("https://www.773grp.com/manufacturer/onsemi?pageNo=1007", "ON Semiconductor")</f>
        <v>ON Semiconductor</v>
      </c>
      <c r="C23183" s="6">
        <v>306000</v>
      </c>
      <c r="D23183" s="7">
        <v>0.05</v>
      </c>
      <c r="E23183" t="s">
        <v>94</v>
      </c>
    </row>
    <row r="23184" spans="1:5" x14ac:dyDescent="0.25">
      <c r="A23184" t="str">
        <f>HYPERLINK("https://www.773grp.com/globalSearch/M1MA141WAT1/page-1", "M1MA141WAT1")</f>
        <v>M1MA141WAT1</v>
      </c>
      <c r="B23184" s="3" t="str">
        <f>HYPERLINK("https://www.773grp.com/manufacturer/onsemi?pageNo=1008", "ON Semiconductor")</f>
        <v>ON Semiconductor</v>
      </c>
      <c r="C23184" s="6">
        <v>68000</v>
      </c>
      <c r="D23184" s="7">
        <v>0.05</v>
      </c>
      <c r="E23184" t="s">
        <v>94</v>
      </c>
    </row>
    <row r="23185" spans="1:5" x14ac:dyDescent="0.25">
      <c r="A23185" t="str">
        <f>HYPERLINK("https://www.773grp.com/globalSearch/M1MA141WKT1/page-1", "M1MA141WKT1")</f>
        <v>M1MA141WKT1</v>
      </c>
      <c r="B23185" s="3" t="str">
        <f>HYPERLINK("https://www.773grp.com/manufacturer/onsemi?pageNo=1009", "ON Semiconductor")</f>
        <v>ON Semiconductor</v>
      </c>
      <c r="C23185" s="6">
        <v>12000</v>
      </c>
      <c r="D23185" s="7">
        <v>0.05</v>
      </c>
      <c r="E23185" t="s">
        <v>94</v>
      </c>
    </row>
    <row r="23186" spans="1:5" x14ac:dyDescent="0.25">
      <c r="A23186" t="str">
        <f>HYPERLINK("https://www.773grp.com/globalSearch/M1MA142WAT1/page-1", "M1MA142WAT1")</f>
        <v>M1MA142WAT1</v>
      </c>
      <c r="B23186" s="3" t="str">
        <f>HYPERLINK("https://www.773grp.com/manufacturer/onsemi?pageNo=1010", "ON Semiconductor")</f>
        <v>ON Semiconductor</v>
      </c>
      <c r="C23186" s="6">
        <v>96000</v>
      </c>
      <c r="D23186" s="7">
        <v>0.05</v>
      </c>
      <c r="E23186" t="s">
        <v>94</v>
      </c>
    </row>
    <row r="23187" spans="1:5" x14ac:dyDescent="0.25">
      <c r="A23187" t="str">
        <f>HYPERLINK("https://www.773grp.com/globalSearch/M1MA142WKT1/page-1", "M1MA142WKT1")</f>
        <v>M1MA142WKT1</v>
      </c>
      <c r="B23187" s="3" t="str">
        <f>HYPERLINK("https://www.773grp.com/manufacturer/onsemi?pageNo=1011", "ON Semiconductor")</f>
        <v>ON Semiconductor</v>
      </c>
      <c r="C23187" s="6">
        <v>21000</v>
      </c>
      <c r="D23187" s="7">
        <v>0.05</v>
      </c>
      <c r="E23187" t="s">
        <v>94</v>
      </c>
    </row>
    <row r="23188" spans="1:5" x14ac:dyDescent="0.25">
      <c r="A23188" t="str">
        <f>HYPERLINK("https://www.773grp.com/globalSearch/M1MA151KT1G/page-1", "M1MA151KT1G")</f>
        <v>M1MA151KT1G</v>
      </c>
      <c r="B23188" s="3" t="str">
        <f>HYPERLINK("https://www.773grp.com/manufacturer/onsemi?pageNo=1012", "ON Semiconductor")</f>
        <v>ON Semiconductor</v>
      </c>
      <c r="C23188" s="6">
        <v>396000</v>
      </c>
      <c r="D23188" s="7">
        <v>0.05</v>
      </c>
      <c r="E23188" t="s">
        <v>94</v>
      </c>
    </row>
    <row r="23189" spans="1:5" x14ac:dyDescent="0.25">
      <c r="A23189" t="str">
        <f>HYPERLINK("https://www.773grp.com/globalSearch/M1MA151WAT1G/page-1", "M1MA151WAT1G")</f>
        <v>M1MA151WAT1G</v>
      </c>
      <c r="B23189" s="3" t="str">
        <f>HYPERLINK("https://www.773grp.com/manufacturer/onsemi?pageNo=1013", "ON Semiconductor")</f>
        <v>ON Semiconductor</v>
      </c>
      <c r="C23189" s="6">
        <v>224940</v>
      </c>
      <c r="D23189" s="7">
        <v>0.05</v>
      </c>
      <c r="E23189" t="s">
        <v>94</v>
      </c>
    </row>
    <row r="23190" spans="1:5" x14ac:dyDescent="0.25">
      <c r="A23190" t="str">
        <f>HYPERLINK("https://www.773grp.com/globalSearch/M1MA152KT1G/page-1", "M1MA152KT1G")</f>
        <v>M1MA152KT1G</v>
      </c>
      <c r="B23190" s="3" t="str">
        <f>HYPERLINK("https://www.773grp.com/manufacturer/onsemi?pageNo=1014", "ON Semiconductor")</f>
        <v>ON Semiconductor</v>
      </c>
      <c r="C23190" s="6">
        <v>231000</v>
      </c>
      <c r="D23190" s="7">
        <v>0.05</v>
      </c>
      <c r="E23190" t="s">
        <v>94</v>
      </c>
    </row>
    <row r="23191" spans="1:5" x14ac:dyDescent="0.25">
      <c r="A23191" t="str">
        <f>HYPERLINK("https://www.773grp.com/globalSearch/MM3Z12VT1/page-1", "MM3Z12VT1")</f>
        <v>MM3Z12VT1</v>
      </c>
      <c r="B23191" s="3" t="str">
        <f>HYPERLINK("https://www.773grp.com/manufacturer/onsemi?pageNo=1015", "ON Semiconductor")</f>
        <v>ON Semiconductor</v>
      </c>
      <c r="C23191" s="6">
        <v>84629</v>
      </c>
      <c r="D23191" s="7">
        <v>0.05</v>
      </c>
      <c r="E23191" t="s">
        <v>98</v>
      </c>
    </row>
    <row r="23192" spans="1:5" x14ac:dyDescent="0.25">
      <c r="A23192" t="str">
        <f>HYPERLINK("https://www.773grp.com/globalSearch/MM3Z13VT1/page-1", "MM3Z13VT1")</f>
        <v>MM3Z13VT1</v>
      </c>
      <c r="B23192" s="3" t="str">
        <f>HYPERLINK("https://www.773grp.com/manufacturer/onsemi?pageNo=1016", "ON Semiconductor")</f>
        <v>ON Semiconductor</v>
      </c>
      <c r="C23192" s="6">
        <v>39000</v>
      </c>
      <c r="D23192" s="7">
        <v>0.05</v>
      </c>
      <c r="E23192" t="s">
        <v>98</v>
      </c>
    </row>
    <row r="23193" spans="1:5" x14ac:dyDescent="0.25">
      <c r="A23193" t="str">
        <f>HYPERLINK("https://www.773grp.com/globalSearch/MM3Z15VT1/page-1", "MM3Z15VT1")</f>
        <v>MM3Z15VT1</v>
      </c>
      <c r="B23193" s="3" t="str">
        <f>HYPERLINK("https://www.773grp.com/manufacturer/onsemi?pageNo=1017", "ON Semiconductor")</f>
        <v>ON Semiconductor</v>
      </c>
      <c r="C23193" s="6">
        <v>1140000</v>
      </c>
      <c r="D23193" s="7">
        <v>0.05</v>
      </c>
      <c r="E23193" t="s">
        <v>98</v>
      </c>
    </row>
    <row r="23194" spans="1:5" x14ac:dyDescent="0.25">
      <c r="A23194" t="str">
        <f>HYPERLINK("https://www.773grp.com/globalSearch/MM3Z18VT1/page-1", "MM3Z18VT1")</f>
        <v>MM3Z18VT1</v>
      </c>
      <c r="B23194" s="3" t="str">
        <f>HYPERLINK("https://www.773grp.com/manufacturer/onsemi?pageNo=1018", "ON Semiconductor")</f>
        <v>ON Semiconductor</v>
      </c>
      <c r="C23194" s="6">
        <v>4704000</v>
      </c>
      <c r="D23194" s="7">
        <v>0.05</v>
      </c>
      <c r="E23194" t="s">
        <v>98</v>
      </c>
    </row>
    <row r="23195" spans="1:5" x14ac:dyDescent="0.25">
      <c r="A23195" t="str">
        <f>HYPERLINK("https://www.773grp.com/globalSearch/MM3Z2V4ST1G/page-1", "MM3Z2V4ST1G")</f>
        <v>MM3Z2V4ST1G</v>
      </c>
      <c r="B23195" s="3" t="str">
        <f>HYPERLINK("https://www.773grp.com/manufacturer/onsemi?pageNo=1019", "ON Semiconductor")</f>
        <v>ON Semiconductor</v>
      </c>
      <c r="C23195" s="6">
        <v>30000</v>
      </c>
      <c r="D23195" s="7">
        <v>0.05</v>
      </c>
      <c r="E23195" t="s">
        <v>98</v>
      </c>
    </row>
    <row r="23196" spans="1:5" x14ac:dyDescent="0.25">
      <c r="A23196" t="str">
        <f>HYPERLINK("https://www.773grp.com/globalSearch/MM3Z2V7T1/page-1", "MM3Z2V7T1")</f>
        <v>MM3Z2V7T1</v>
      </c>
      <c r="B23196" s="3" t="str">
        <f>HYPERLINK("https://www.773grp.com/manufacturer/onsemi?pageNo=1020", "ON Semiconductor")</f>
        <v>ON Semiconductor</v>
      </c>
      <c r="C23196" s="6">
        <v>27000</v>
      </c>
      <c r="D23196" s="7">
        <v>0.05</v>
      </c>
      <c r="E23196" t="s">
        <v>98</v>
      </c>
    </row>
    <row r="23197" spans="1:5" x14ac:dyDescent="0.25">
      <c r="A23197" t="str">
        <f>HYPERLINK("https://www.773grp.com/globalSearch/MM3Z3V0T1/page-1", "MM3Z3V0T1")</f>
        <v>MM3Z3V0T1</v>
      </c>
      <c r="B23197" s="3" t="str">
        <f>HYPERLINK("https://www.773grp.com/manufacturer/onsemi?pageNo=1021", "ON Semiconductor")</f>
        <v>ON Semiconductor</v>
      </c>
      <c r="C23197" s="6">
        <v>335500</v>
      </c>
      <c r="D23197" s="7">
        <v>0.05</v>
      </c>
      <c r="E23197" t="s">
        <v>98</v>
      </c>
    </row>
    <row r="23198" spans="1:5" x14ac:dyDescent="0.25">
      <c r="A23198" t="str">
        <f>HYPERLINK("https://www.773grp.com/globalSearch/MM3Z3V6T1/page-1", "MM3Z3V6T1")</f>
        <v>MM3Z3V6T1</v>
      </c>
      <c r="B23198" s="3" t="str">
        <f>HYPERLINK("https://www.773grp.com/manufacturer/onsemi?pageNo=1022", "ON Semiconductor")</f>
        <v>ON Semiconductor</v>
      </c>
      <c r="C23198" s="6">
        <v>93000</v>
      </c>
      <c r="D23198" s="7">
        <v>0.05</v>
      </c>
      <c r="E23198" t="s">
        <v>98</v>
      </c>
    </row>
    <row r="23199" spans="1:5" x14ac:dyDescent="0.25">
      <c r="A23199" t="str">
        <f>HYPERLINK("https://www.773grp.com/globalSearch/MM3Z4V7T1/page-1", "MM3Z4V7T1")</f>
        <v>MM3Z4V7T1</v>
      </c>
      <c r="B23199" s="3" t="str">
        <f>HYPERLINK("https://www.773grp.com/manufacturer/onsemi?pageNo=1023", "ON Semiconductor")</f>
        <v>ON Semiconductor</v>
      </c>
      <c r="C23199" s="6">
        <v>83800</v>
      </c>
      <c r="D23199" s="7">
        <v>0.05</v>
      </c>
      <c r="E23199" t="s">
        <v>98</v>
      </c>
    </row>
    <row r="23200" spans="1:5" x14ac:dyDescent="0.25">
      <c r="A23200" t="str">
        <f>HYPERLINK("https://www.773grp.com/globalSearch/MM3Z5V6T1/page-1", "MM3Z5V6T1")</f>
        <v>MM3Z5V6T1</v>
      </c>
      <c r="B23200" s="3" t="str">
        <f>HYPERLINK("https://www.773grp.com/manufacturer/onsemi?pageNo=1024", "ON Semiconductor")</f>
        <v>ON Semiconductor</v>
      </c>
      <c r="C23200" s="6">
        <v>83993</v>
      </c>
      <c r="D23200" s="7">
        <v>0.05</v>
      </c>
      <c r="E23200" t="s">
        <v>98</v>
      </c>
    </row>
    <row r="23201" spans="1:5" x14ac:dyDescent="0.25">
      <c r="A23201" t="str">
        <f>HYPERLINK("https://www.773grp.com/globalSearch/MM3Z6V2T1/page-1", "MM3Z6V2T1")</f>
        <v>MM3Z6V2T1</v>
      </c>
      <c r="B23201" s="3" t="str">
        <f>HYPERLINK("https://www.773grp.com/manufacturer/onsemi?pageNo=1025", "ON Semiconductor")</f>
        <v>ON Semiconductor</v>
      </c>
      <c r="C23201" s="6">
        <v>114000</v>
      </c>
      <c r="D23201" s="7">
        <v>0.05</v>
      </c>
      <c r="E23201" t="s">
        <v>98</v>
      </c>
    </row>
    <row r="23202" spans="1:5" x14ac:dyDescent="0.25">
      <c r="A23202" t="str">
        <f>HYPERLINK("https://www.773grp.com/globalSearch/MM3Z6V8T1/page-1", "MM3Z6V8T1")</f>
        <v>MM3Z6V8T1</v>
      </c>
      <c r="B23202" s="3" t="str">
        <f>HYPERLINK("https://www.773grp.com/manufacturer/onsemi?pageNo=1026", "ON Semiconductor")</f>
        <v>ON Semiconductor</v>
      </c>
      <c r="C23202" s="6">
        <v>113300</v>
      </c>
      <c r="D23202" s="7">
        <v>0.05</v>
      </c>
      <c r="E23202" t="s">
        <v>98</v>
      </c>
    </row>
    <row r="23203" spans="1:5" x14ac:dyDescent="0.25">
      <c r="A23203" t="str">
        <f>HYPERLINK("https://www.773grp.com/globalSearch/MM3Z9V1T1/page-1", "MM3Z9V1T1")</f>
        <v>MM3Z9V1T1</v>
      </c>
      <c r="B23203" s="3" t="str">
        <f>HYPERLINK("https://www.773grp.com/manufacturer/onsemi?pageNo=1027", "ON Semiconductor")</f>
        <v>ON Semiconductor</v>
      </c>
      <c r="C23203" s="6">
        <v>18000</v>
      </c>
      <c r="D23203" s="7">
        <v>0.05</v>
      </c>
      <c r="E23203" t="s">
        <v>98</v>
      </c>
    </row>
    <row r="23204" spans="1:5" x14ac:dyDescent="0.25">
      <c r="A23204" t="str">
        <f>HYPERLINK("https://www.773grp.com/globalSearch/MMBD6050LT3/page-1", "MMBD6050LT3")</f>
        <v>MMBD6050LT3</v>
      </c>
      <c r="B23204" s="3" t="str">
        <f>HYPERLINK("https://www.773grp.com/manufacturer/onsemi?pageNo=1028", "ON Semiconductor")</f>
        <v>ON Semiconductor</v>
      </c>
      <c r="C23204" s="6">
        <v>40000</v>
      </c>
      <c r="D23204" s="7">
        <v>0.05</v>
      </c>
      <c r="E23204" t="s">
        <v>94</v>
      </c>
    </row>
    <row r="23205" spans="1:5" x14ac:dyDescent="0.25">
      <c r="A23205" t="str">
        <f>HYPERLINK("https://www.773grp.com/globalSearch/MMBT3416LT3/page-1", "MMBT3416LT3")</f>
        <v>MMBT3416LT3</v>
      </c>
      <c r="B23205" s="3" t="str">
        <f>HYPERLINK("https://www.773grp.com/manufacturer/onsemi?pageNo=1029", "ON Semiconductor")</f>
        <v>ON Semiconductor</v>
      </c>
      <c r="C23205" s="6">
        <v>80000</v>
      </c>
      <c r="D23205" s="7">
        <v>0.05</v>
      </c>
      <c r="E23205" t="s">
        <v>69</v>
      </c>
    </row>
    <row r="23206" spans="1:5" x14ac:dyDescent="0.25">
      <c r="A23206" t="str">
        <f>HYPERLINK("https://www.773grp.com/globalSearch/MMBT3904TT1/page-1", "MMBT3904TT1")</f>
        <v>MMBT3904TT1</v>
      </c>
      <c r="B23206" s="3" t="str">
        <f>HYPERLINK("https://www.773grp.com/manufacturer/onsemi?pageNo=1030", "ON Semiconductor")</f>
        <v>ON Semiconductor</v>
      </c>
      <c r="C23206" s="6">
        <v>318345</v>
      </c>
      <c r="D23206" s="7">
        <v>0.05</v>
      </c>
      <c r="E23206" t="s">
        <v>69</v>
      </c>
    </row>
    <row r="23207" spans="1:5" x14ac:dyDescent="0.25">
      <c r="A23207" t="str">
        <f>HYPERLINK("https://www.773grp.com/globalSearch/MMBT3906TT1/page-1", "MMBT3906TT1")</f>
        <v>MMBT3906TT1</v>
      </c>
      <c r="B23207" s="3" t="str">
        <f>HYPERLINK("https://www.773grp.com/manufacturer/onsemi?pageNo=1031", "ON Semiconductor")</f>
        <v>ON Semiconductor</v>
      </c>
      <c r="C23207" s="6">
        <v>198000</v>
      </c>
      <c r="D23207" s="7">
        <v>0.05</v>
      </c>
      <c r="E23207" t="s">
        <v>69</v>
      </c>
    </row>
    <row r="23208" spans="1:5" x14ac:dyDescent="0.25">
      <c r="A23208" t="str">
        <f>HYPERLINK("https://www.773grp.com/globalSearch/MMBT4124LT1/page-1", "MMBT4124LT1")</f>
        <v>MMBT4124LT1</v>
      </c>
      <c r="B23208" s="3" t="str">
        <f>HYPERLINK("https://www.773grp.com/manufacturer/onsemi?pageNo=1032", "ON Semiconductor")</f>
        <v>ON Semiconductor</v>
      </c>
      <c r="C23208" s="6">
        <v>42000</v>
      </c>
      <c r="D23208" s="7">
        <v>0.05</v>
      </c>
      <c r="E23208" t="s">
        <v>69</v>
      </c>
    </row>
    <row r="23209" spans="1:5" x14ac:dyDescent="0.25">
      <c r="A23209" t="str">
        <f>HYPERLINK("https://www.773grp.com/globalSearch/MMBT4126LT1/page-1", "MMBT4126LT1")</f>
        <v>MMBT4126LT1</v>
      </c>
      <c r="B23209" s="3" t="str">
        <f>HYPERLINK("https://www.773grp.com/manufacturer/onsemi?pageNo=1033", "ON Semiconductor")</f>
        <v>ON Semiconductor</v>
      </c>
      <c r="C23209" s="6">
        <v>3000</v>
      </c>
      <c r="D23209" s="7">
        <v>0.05</v>
      </c>
      <c r="E23209" t="s">
        <v>69</v>
      </c>
    </row>
    <row r="23210" spans="1:5" x14ac:dyDescent="0.25">
      <c r="A23210" t="str">
        <f>HYPERLINK("https://www.773grp.com/globalSearch/MMBZ5228BLT3/page-1", "MMBZ5228BLT3")</f>
        <v>MMBZ5228BLT3</v>
      </c>
      <c r="B23210" s="3" t="str">
        <f>HYPERLINK("https://www.773grp.com/manufacturer/onsemi?pageNo=1034", "ON Semiconductor")</f>
        <v>ON Semiconductor</v>
      </c>
      <c r="C23210" s="6">
        <v>170000</v>
      </c>
      <c r="D23210" s="7">
        <v>0.05</v>
      </c>
      <c r="E23210" t="s">
        <v>98</v>
      </c>
    </row>
    <row r="23211" spans="1:5" x14ac:dyDescent="0.25">
      <c r="A23211" t="str">
        <f>HYPERLINK("https://www.773grp.com/globalSearch/MMSZ10T1/page-1", "MMSZ10T1")</f>
        <v>MMSZ10T1</v>
      </c>
      <c r="B23211" s="3" t="str">
        <f>HYPERLINK("https://www.773grp.com/manufacturer/onsemi?pageNo=1035", "ON Semiconductor")</f>
        <v>ON Semiconductor</v>
      </c>
      <c r="C23211" s="6">
        <v>58000</v>
      </c>
      <c r="D23211" s="7">
        <v>0.05</v>
      </c>
      <c r="E23211" t="s">
        <v>98</v>
      </c>
    </row>
    <row r="23212" spans="1:5" x14ac:dyDescent="0.25">
      <c r="A23212" t="str">
        <f>HYPERLINK("https://www.773grp.com/globalSearch/MMSZ11T1/page-1", "MMSZ11T1")</f>
        <v>MMSZ11T1</v>
      </c>
      <c r="B23212" s="3" t="str">
        <f>HYPERLINK("https://www.773grp.com/manufacturer/onsemi?pageNo=1036", "ON Semiconductor")</f>
        <v>ON Semiconductor</v>
      </c>
      <c r="C23212" s="6">
        <v>3000</v>
      </c>
      <c r="D23212" s="7">
        <v>0.05</v>
      </c>
      <c r="E23212" t="s">
        <v>98</v>
      </c>
    </row>
    <row r="23213" spans="1:5" x14ac:dyDescent="0.25">
      <c r="A23213" t="str">
        <f>HYPERLINK("https://www.773grp.com/globalSearch/MMSZ13T1/page-1", "MMSZ13T1")</f>
        <v>MMSZ13T1</v>
      </c>
      <c r="B23213" s="3" t="str">
        <f>HYPERLINK("https://www.773grp.com/manufacturer/onsemi?pageNo=1037", "ON Semiconductor")</f>
        <v>ON Semiconductor</v>
      </c>
      <c r="C23213" s="6">
        <v>390000</v>
      </c>
      <c r="D23213" s="7">
        <v>0.05</v>
      </c>
      <c r="E23213" t="s">
        <v>98</v>
      </c>
    </row>
    <row r="23214" spans="1:5" x14ac:dyDescent="0.25">
      <c r="A23214" t="str">
        <f>HYPERLINK("https://www.773grp.com/globalSearch/MMSZ15T1/page-1", "MMSZ15T1")</f>
        <v>MMSZ15T1</v>
      </c>
      <c r="B23214" s="3" t="str">
        <f>HYPERLINK("https://www.773grp.com/manufacturer/onsemi?pageNo=1038", "ON Semiconductor")</f>
        <v>ON Semiconductor</v>
      </c>
      <c r="C23214" s="6">
        <v>715500</v>
      </c>
      <c r="D23214" s="7">
        <v>0.05</v>
      </c>
      <c r="E23214" t="s">
        <v>98</v>
      </c>
    </row>
    <row r="23215" spans="1:5" x14ac:dyDescent="0.25">
      <c r="A23215" t="str">
        <f>HYPERLINK("https://www.773grp.com/globalSearch/MMSZ18T1/page-1", "MMSZ18T1")</f>
        <v>MMSZ18T1</v>
      </c>
      <c r="B23215" s="3" t="str">
        <f>HYPERLINK("https://www.773grp.com/manufacturer/onsemi?pageNo=1039", "ON Semiconductor")</f>
        <v>ON Semiconductor</v>
      </c>
      <c r="C23215" s="6">
        <v>162030</v>
      </c>
      <c r="D23215" s="7">
        <v>0.05</v>
      </c>
      <c r="E23215" t="s">
        <v>98</v>
      </c>
    </row>
    <row r="23216" spans="1:5" x14ac:dyDescent="0.25">
      <c r="A23216" t="str">
        <f>HYPERLINK("https://www.773grp.com/globalSearch/MMSZ22T1/page-1", "MMSZ22T1")</f>
        <v>MMSZ22T1</v>
      </c>
      <c r="B23216" s="3" t="str">
        <f>HYPERLINK("https://www.773grp.com/manufacturer/onsemi?pageNo=1040", "ON Semiconductor")</f>
        <v>ON Semiconductor</v>
      </c>
      <c r="C23216" s="6">
        <v>165000</v>
      </c>
      <c r="D23216" s="7">
        <v>0.05</v>
      </c>
      <c r="E23216" t="s">
        <v>98</v>
      </c>
    </row>
    <row r="23217" spans="1:5" x14ac:dyDescent="0.25">
      <c r="A23217" t="str">
        <f>HYPERLINK("https://www.773grp.com/globalSearch/MMSZ24T1/page-1", "MMSZ24T1")</f>
        <v>MMSZ24T1</v>
      </c>
      <c r="B23217" s="3" t="str">
        <f>HYPERLINK("https://www.773grp.com/manufacturer/onsemi?pageNo=1041", "ON Semiconductor")</f>
        <v>ON Semiconductor</v>
      </c>
      <c r="C23217" s="6">
        <v>45000</v>
      </c>
      <c r="D23217" s="7">
        <v>0.05</v>
      </c>
      <c r="E23217" t="s">
        <v>98</v>
      </c>
    </row>
    <row r="23218" spans="1:5" x14ac:dyDescent="0.25">
      <c r="A23218" t="str">
        <f>HYPERLINK("https://www.773grp.com/globalSearch/MMSZ27T1/page-1", "MMSZ27T1")</f>
        <v>MMSZ27T1</v>
      </c>
      <c r="B23218" s="3" t="str">
        <f>HYPERLINK("https://www.773grp.com/manufacturer/onsemi?pageNo=1042", "ON Semiconductor")</f>
        <v>ON Semiconductor</v>
      </c>
      <c r="C23218" s="6">
        <v>159000</v>
      </c>
      <c r="D23218" s="7">
        <v>0.05</v>
      </c>
      <c r="E23218" t="s">
        <v>98</v>
      </c>
    </row>
    <row r="23219" spans="1:5" x14ac:dyDescent="0.25">
      <c r="A23219" t="str">
        <f>HYPERLINK("https://www.773grp.com/globalSearch/MMSZ2V4T1/page-1", "MMSZ2V4T1")</f>
        <v>MMSZ2V4T1</v>
      </c>
      <c r="B23219" s="3" t="str">
        <f>HYPERLINK("https://www.773grp.com/manufacturer/onsemi?pageNo=1043", "ON Semiconductor")</f>
        <v>ON Semiconductor</v>
      </c>
      <c r="C23219" s="6">
        <v>39000</v>
      </c>
      <c r="D23219" s="7">
        <v>0.05</v>
      </c>
      <c r="E23219" t="s">
        <v>98</v>
      </c>
    </row>
    <row r="23220" spans="1:5" x14ac:dyDescent="0.25">
      <c r="A23220" t="str">
        <f>HYPERLINK("https://www.773grp.com/globalSearch/MMSZ30T1/page-1", "MMSZ30T1")</f>
        <v>MMSZ30T1</v>
      </c>
      <c r="B23220" s="3" t="str">
        <f>HYPERLINK("https://www.773grp.com/manufacturer/onsemi?pageNo=1044", "ON Semiconductor")</f>
        <v>ON Semiconductor</v>
      </c>
      <c r="C23220" s="6">
        <v>93000</v>
      </c>
      <c r="D23220" s="7">
        <v>0.05</v>
      </c>
      <c r="E23220" t="s">
        <v>98</v>
      </c>
    </row>
    <row r="23221" spans="1:5" x14ac:dyDescent="0.25">
      <c r="A23221" t="str">
        <f>HYPERLINK("https://www.773grp.com/globalSearch/MMSZ33T1/page-1", "MMSZ33T1")</f>
        <v>MMSZ33T1</v>
      </c>
      <c r="B23221" s="3" t="str">
        <f>HYPERLINK("https://www.773grp.com/manufacturer/onsemi?pageNo=1045", "ON Semiconductor")</f>
        <v>ON Semiconductor</v>
      </c>
      <c r="C23221" s="6">
        <v>18000</v>
      </c>
      <c r="D23221" s="7">
        <v>0.05</v>
      </c>
      <c r="E23221" t="s">
        <v>98</v>
      </c>
    </row>
    <row r="23222" spans="1:5" x14ac:dyDescent="0.25">
      <c r="A23222" t="str">
        <f>HYPERLINK("https://www.773grp.com/globalSearch/MMSZ3V0T1/page-1", "MMSZ3V0T1")</f>
        <v>MMSZ3V0T1</v>
      </c>
      <c r="B23222" s="3" t="str">
        <f>HYPERLINK("https://www.773grp.com/manufacturer/onsemi?pageNo=1046", "ON Semiconductor")</f>
        <v>ON Semiconductor</v>
      </c>
      <c r="C23222" s="6">
        <v>15000</v>
      </c>
      <c r="D23222" s="7">
        <v>0.05</v>
      </c>
      <c r="E23222" t="s">
        <v>98</v>
      </c>
    </row>
    <row r="23223" spans="1:5" x14ac:dyDescent="0.25">
      <c r="A23223" t="str">
        <f>HYPERLINK("https://www.773grp.com/globalSearch/MMSZ3V3T3/page-1", "MMSZ3V3T3")</f>
        <v>MMSZ3V3T3</v>
      </c>
      <c r="B23223" s="3" t="str">
        <f>HYPERLINK("https://www.773grp.com/manufacturer/onsemi?pageNo=1047", "ON Semiconductor")</f>
        <v>ON Semiconductor</v>
      </c>
      <c r="C23223" s="6">
        <v>20000</v>
      </c>
      <c r="D23223" s="7">
        <v>0.05</v>
      </c>
      <c r="E23223" t="s">
        <v>98</v>
      </c>
    </row>
    <row r="23224" spans="1:5" x14ac:dyDescent="0.25">
      <c r="A23224" t="str">
        <f>HYPERLINK("https://www.773grp.com/globalSearch/MMSZ5221BT1/page-1", "MMSZ5221BT1")</f>
        <v>MMSZ5221BT1</v>
      </c>
      <c r="B23224" s="3" t="str">
        <f>HYPERLINK("https://www.773grp.com/manufacturer/onsemi?pageNo=1048", "ON Semiconductor")</f>
        <v>ON Semiconductor</v>
      </c>
      <c r="C23224" s="6">
        <v>361999</v>
      </c>
      <c r="D23224" s="7">
        <v>0.05</v>
      </c>
      <c r="E23224" t="s">
        <v>98</v>
      </c>
    </row>
    <row r="23225" spans="1:5" x14ac:dyDescent="0.25">
      <c r="A23225" t="str">
        <f>HYPERLINK("https://www.773grp.com/globalSearch/MMSZ5223BT1/page-1", "MMSZ5223BT1")</f>
        <v>MMSZ5223BT1</v>
      </c>
      <c r="B23225" s="3" t="str">
        <f>HYPERLINK("https://www.773grp.com/manufacturer/onsemi?pageNo=1049", "ON Semiconductor")</f>
        <v>ON Semiconductor</v>
      </c>
      <c r="C23225" s="6">
        <v>59970</v>
      </c>
      <c r="D23225" s="7">
        <v>0.05</v>
      </c>
      <c r="E23225" t="s">
        <v>98</v>
      </c>
    </row>
    <row r="23226" spans="1:5" x14ac:dyDescent="0.25">
      <c r="A23226" t="str">
        <f>HYPERLINK("https://www.773grp.com/globalSearch/MMSZ5224BT1/page-1", "MMSZ5224BT1")</f>
        <v>MMSZ5224BT1</v>
      </c>
      <c r="B23226" s="3" t="str">
        <f>HYPERLINK("https://www.773grp.com/manufacturer/onsemi?pageNo=1050", "ON Semiconductor")</f>
        <v>ON Semiconductor</v>
      </c>
      <c r="C23226" s="6">
        <v>18000</v>
      </c>
      <c r="D23226" s="7">
        <v>0.05</v>
      </c>
      <c r="E23226" t="s">
        <v>98</v>
      </c>
    </row>
    <row r="23227" spans="1:5" x14ac:dyDescent="0.25">
      <c r="A23227" t="str">
        <f>HYPERLINK("https://www.773grp.com/globalSearch/MMSZ5225BT1/page-1", "MMSZ5225BT1")</f>
        <v>MMSZ5225BT1</v>
      </c>
      <c r="B23227" s="3" t="str">
        <f>HYPERLINK("https://www.773grp.com/manufacturer/onsemi?pageNo=1051", "ON Semiconductor")</f>
        <v>ON Semiconductor</v>
      </c>
      <c r="C23227" s="6">
        <v>24000</v>
      </c>
      <c r="D23227" s="7">
        <v>0.05</v>
      </c>
      <c r="E23227" t="s">
        <v>98</v>
      </c>
    </row>
    <row r="23228" spans="1:5" x14ac:dyDescent="0.25">
      <c r="A23228" t="str">
        <f>HYPERLINK("https://www.773grp.com/globalSearch/MMSZ5227BT1/page-1", "MMSZ5227BT1")</f>
        <v>MMSZ5227BT1</v>
      </c>
      <c r="B23228" s="3" t="str">
        <f>HYPERLINK("https://www.773grp.com/manufacturer/onsemi?pageNo=1052", "ON Semiconductor")</f>
        <v>ON Semiconductor</v>
      </c>
      <c r="C23228" s="6">
        <v>50000</v>
      </c>
      <c r="D23228" s="7">
        <v>0.05</v>
      </c>
      <c r="E23228" t="s">
        <v>98</v>
      </c>
    </row>
    <row r="23229" spans="1:5" x14ac:dyDescent="0.25">
      <c r="A23229" t="str">
        <f>HYPERLINK("https://www.773grp.com/globalSearch/MMSZ5228BT1/page-1", "MMSZ5228BT1")</f>
        <v>MMSZ5228BT1</v>
      </c>
      <c r="B23229" s="3" t="str">
        <f>HYPERLINK("https://www.773grp.com/manufacturer/onsemi?pageNo=1053", "ON Semiconductor")</f>
        <v>ON Semiconductor</v>
      </c>
      <c r="C23229" s="6">
        <v>36000</v>
      </c>
      <c r="D23229" s="7">
        <v>0.05</v>
      </c>
      <c r="E23229" t="s">
        <v>98</v>
      </c>
    </row>
    <row r="23230" spans="1:5" x14ac:dyDescent="0.25">
      <c r="A23230" t="str">
        <f>HYPERLINK("https://www.773grp.com/globalSearch/MMSZ5233BT1/page-1", "MMSZ5233BT1")</f>
        <v>MMSZ5233BT1</v>
      </c>
      <c r="B23230" s="3" t="str">
        <f>HYPERLINK("https://www.773grp.com/manufacturer/onsemi?pageNo=1054", "ON Semiconductor")</f>
        <v>ON Semiconductor</v>
      </c>
      <c r="C23230" s="6">
        <v>168000</v>
      </c>
      <c r="D23230" s="7">
        <v>0.05</v>
      </c>
      <c r="E23230" t="s">
        <v>98</v>
      </c>
    </row>
    <row r="23231" spans="1:5" x14ac:dyDescent="0.25">
      <c r="A23231" t="str">
        <f>HYPERLINK("https://www.773grp.com/globalSearch/MMSZ5236BT1/page-1", "MMSZ5236BT1")</f>
        <v>MMSZ5236BT1</v>
      </c>
      <c r="B23231" s="3" t="str">
        <f>HYPERLINK("https://www.773grp.com/manufacturer/onsemi?pageNo=1055", "ON Semiconductor")</f>
        <v>ON Semiconductor</v>
      </c>
      <c r="C23231" s="6">
        <v>705000</v>
      </c>
      <c r="D23231" s="7">
        <v>0.05</v>
      </c>
      <c r="E23231" t="s">
        <v>98</v>
      </c>
    </row>
    <row r="23232" spans="1:5" x14ac:dyDescent="0.25">
      <c r="A23232" t="str">
        <f>HYPERLINK("https://www.773grp.com/globalSearch/MMSZ5237BT1/page-1", "MMSZ5237BT1")</f>
        <v>MMSZ5237BT1</v>
      </c>
      <c r="B23232" s="3" t="str">
        <f>HYPERLINK("https://www.773grp.com/manufacturer/onsemi?pageNo=1056", "ON Semiconductor")</f>
        <v>ON Semiconductor</v>
      </c>
      <c r="C23232" s="6">
        <v>41995</v>
      </c>
      <c r="D23232" s="7">
        <v>0.05</v>
      </c>
      <c r="E23232" t="s">
        <v>98</v>
      </c>
    </row>
    <row r="23233" spans="1:5" x14ac:dyDescent="0.25">
      <c r="A23233" t="str">
        <f>HYPERLINK("https://www.773grp.com/globalSearch/MMSZ5242BT1/page-1", "MMSZ5242BT1")</f>
        <v>MMSZ5242BT1</v>
      </c>
      <c r="B23233" s="3" t="str">
        <f>HYPERLINK("https://www.773grp.com/manufacturer/onsemi?pageNo=1057", "ON Semiconductor")</f>
        <v>ON Semiconductor</v>
      </c>
      <c r="C23233" s="6">
        <v>33018</v>
      </c>
      <c r="D23233" s="7">
        <v>0.05</v>
      </c>
      <c r="E23233" t="s">
        <v>98</v>
      </c>
    </row>
    <row r="23234" spans="1:5" x14ac:dyDescent="0.25">
      <c r="A23234" t="str">
        <f>HYPERLINK("https://www.773grp.com/globalSearch/MMSZ5243BT1/page-1", "MMSZ5243BT1")</f>
        <v>MMSZ5243BT1</v>
      </c>
      <c r="B23234" s="3" t="str">
        <f>HYPERLINK("https://www.773grp.com/manufacturer/onsemi?pageNo=1058", "ON Semiconductor")</f>
        <v>ON Semiconductor</v>
      </c>
      <c r="C23234" s="6">
        <v>44000</v>
      </c>
      <c r="D23234" s="7">
        <v>0.05</v>
      </c>
      <c r="E23234" t="s">
        <v>98</v>
      </c>
    </row>
    <row r="23235" spans="1:5" x14ac:dyDescent="0.25">
      <c r="A23235" t="str">
        <f>HYPERLINK("https://www.773grp.com/globalSearch/MMSZ5250BT1/page-1", "MMSZ5250BT1")</f>
        <v>MMSZ5250BT1</v>
      </c>
      <c r="B23235" s="3" t="str">
        <f>HYPERLINK("https://www.773grp.com/manufacturer/onsemi?pageNo=1059", "ON Semiconductor")</f>
        <v>ON Semiconductor</v>
      </c>
      <c r="C23235" s="6">
        <v>231000</v>
      </c>
      <c r="D23235" s="7">
        <v>0.05</v>
      </c>
      <c r="E23235" t="s">
        <v>98</v>
      </c>
    </row>
    <row r="23236" spans="1:5" x14ac:dyDescent="0.25">
      <c r="A23236" t="str">
        <f>HYPERLINK("https://www.773grp.com/globalSearch/MMSZ5252BT1/page-1", "MMSZ5252BT1")</f>
        <v>MMSZ5252BT1</v>
      </c>
      <c r="B23236" s="3" t="str">
        <f>HYPERLINK("https://www.773grp.com/manufacturer/onsemi?pageNo=1060", "ON Semiconductor")</f>
        <v>ON Semiconductor</v>
      </c>
      <c r="C23236" s="6">
        <v>212000</v>
      </c>
      <c r="D23236" s="7">
        <v>0.05</v>
      </c>
      <c r="E23236" t="s">
        <v>98</v>
      </c>
    </row>
    <row r="23237" spans="1:5" x14ac:dyDescent="0.25">
      <c r="A23237" t="str">
        <f>HYPERLINK("https://www.773grp.com/globalSearch/MMSZ5255BT1/page-1", "MMSZ5255BT1")</f>
        <v>MMSZ5255BT1</v>
      </c>
      <c r="B23237" s="3" t="str">
        <f>HYPERLINK("https://www.773grp.com/manufacturer/onsemi?pageNo=1061", "ON Semiconductor")</f>
        <v>ON Semiconductor</v>
      </c>
      <c r="C23237" s="6">
        <v>720000</v>
      </c>
      <c r="D23237" s="7">
        <v>0.05</v>
      </c>
      <c r="E23237" t="s">
        <v>98</v>
      </c>
    </row>
    <row r="23238" spans="1:5" x14ac:dyDescent="0.25">
      <c r="A23238" t="str">
        <f>HYPERLINK("https://www.773grp.com/globalSearch/MMSZ5256BT1/page-1", "MMSZ5256BT1")</f>
        <v>MMSZ5256BT1</v>
      </c>
      <c r="B23238" s="3" t="str">
        <f>HYPERLINK("https://www.773grp.com/manufacturer/onsemi?pageNo=1062", "ON Semiconductor")</f>
        <v>ON Semiconductor</v>
      </c>
      <c r="C23238" s="6">
        <v>588000</v>
      </c>
      <c r="D23238" s="7">
        <v>0.05</v>
      </c>
      <c r="E23238" t="s">
        <v>98</v>
      </c>
    </row>
    <row r="23239" spans="1:5" x14ac:dyDescent="0.25">
      <c r="A23239" t="str">
        <f>HYPERLINK("https://www.773grp.com/globalSearch/MMSZ5259BT1/page-1", "MMSZ5259BT1")</f>
        <v>MMSZ5259BT1</v>
      </c>
      <c r="B23239" s="3" t="str">
        <f>HYPERLINK("https://www.773grp.com/manufacturer/onsemi?pageNo=1063", "ON Semiconductor")</f>
        <v>ON Semiconductor</v>
      </c>
      <c r="C23239" s="6">
        <v>51000</v>
      </c>
      <c r="D23239" s="7">
        <v>0.05</v>
      </c>
      <c r="E23239" t="s">
        <v>98</v>
      </c>
    </row>
    <row r="23240" spans="1:5" x14ac:dyDescent="0.25">
      <c r="A23240" t="str">
        <f>HYPERLINK("https://www.773grp.com/globalSearch/MMSZ5261BT1/page-1", "MMSZ5261BT1")</f>
        <v>MMSZ5261BT1</v>
      </c>
      <c r="B23240" s="3" t="str">
        <f>HYPERLINK("https://www.773grp.com/manufacturer/onsemi?pageNo=1064", "ON Semiconductor")</f>
        <v>ON Semiconductor</v>
      </c>
      <c r="C23240" s="6">
        <v>5026</v>
      </c>
      <c r="D23240" s="7">
        <v>0.05</v>
      </c>
      <c r="E23240" t="s">
        <v>98</v>
      </c>
    </row>
    <row r="23241" spans="1:5" x14ac:dyDescent="0.25">
      <c r="A23241" t="str">
        <f>HYPERLINK("https://www.773grp.com/globalSearch/MMSZ5263BT1/page-1", "MMSZ5263BT1")</f>
        <v>MMSZ5263BT1</v>
      </c>
      <c r="B23241" s="3" t="str">
        <f>HYPERLINK("https://www.773grp.com/manufacturer/onsemi?pageNo=1065", "ON Semiconductor")</f>
        <v>ON Semiconductor</v>
      </c>
      <c r="C23241" s="6">
        <v>63000</v>
      </c>
      <c r="D23241" s="7">
        <v>0.05</v>
      </c>
      <c r="E23241" t="s">
        <v>98</v>
      </c>
    </row>
    <row r="23242" spans="1:5" x14ac:dyDescent="0.25">
      <c r="A23242" t="str">
        <f>HYPERLINK("https://www.773grp.com/globalSearch/MMSZ5266BT1/page-1", "MMSZ5266BT1")</f>
        <v>MMSZ5266BT1</v>
      </c>
      <c r="B23242" s="3" t="str">
        <f>HYPERLINK("https://www.773grp.com/manufacturer/onsemi?pageNo=1066", "ON Semiconductor")</f>
        <v>ON Semiconductor</v>
      </c>
      <c r="C23242" s="6">
        <v>15000</v>
      </c>
      <c r="D23242" s="7">
        <v>0.05</v>
      </c>
      <c r="E23242" t="s">
        <v>98</v>
      </c>
    </row>
    <row r="23243" spans="1:5" x14ac:dyDescent="0.25">
      <c r="A23243" t="str">
        <f>HYPERLINK("https://www.773grp.com/globalSearch/MMSZ5V1T1/page-1", "MMSZ5V1T1")</f>
        <v>MMSZ5V1T1</v>
      </c>
      <c r="B23243" s="3" t="str">
        <f>HYPERLINK("https://www.773grp.com/manufacturer/onsemi?pageNo=1067", "ON Semiconductor")</f>
        <v>ON Semiconductor</v>
      </c>
      <c r="C23243" s="6">
        <v>94994</v>
      </c>
      <c r="D23243" s="7">
        <v>0.05</v>
      </c>
      <c r="E23243" t="s">
        <v>98</v>
      </c>
    </row>
    <row r="23244" spans="1:5" x14ac:dyDescent="0.25">
      <c r="A23244" t="str">
        <f>HYPERLINK("https://www.773grp.com/globalSearch/MMSZ7V5T1/page-1", "MMSZ7V5T1")</f>
        <v>MMSZ7V5T1</v>
      </c>
      <c r="B23244" s="3" t="str">
        <f>HYPERLINK("https://www.773grp.com/manufacturer/onsemi?pageNo=1068", "ON Semiconductor")</f>
        <v>ON Semiconductor</v>
      </c>
      <c r="C23244" s="6">
        <v>36000</v>
      </c>
      <c r="D23244" s="7">
        <v>0.05</v>
      </c>
      <c r="E23244" t="s">
        <v>98</v>
      </c>
    </row>
    <row r="23245" spans="1:5" x14ac:dyDescent="0.25">
      <c r="A23245" t="str">
        <f>HYPERLINK("https://www.773grp.com/globalSearch/MMSZ8V2T1/page-1", "MMSZ8V2T1")</f>
        <v>MMSZ8V2T1</v>
      </c>
      <c r="B23245" s="3" t="str">
        <f>HYPERLINK("https://www.773grp.com/manufacturer/onsemi?pageNo=1069", "ON Semiconductor")</f>
        <v>ON Semiconductor</v>
      </c>
      <c r="C23245" s="6">
        <v>84000</v>
      </c>
      <c r="D23245" s="7">
        <v>0.05</v>
      </c>
      <c r="E23245" t="s">
        <v>98</v>
      </c>
    </row>
    <row r="23246" spans="1:5" x14ac:dyDescent="0.25">
      <c r="A23246" t="str">
        <f>HYPERLINK("https://www.773grp.com/globalSearch/MMSZ9V1T1/page-1", "MMSZ9V1T1")</f>
        <v>MMSZ9V1T1</v>
      </c>
      <c r="B23246" s="3" t="str">
        <f>HYPERLINK("https://www.773grp.com/manufacturer/onsemi?pageNo=1070", "ON Semiconductor")</f>
        <v>ON Semiconductor</v>
      </c>
      <c r="C23246" s="6">
        <v>51000</v>
      </c>
      <c r="D23246" s="7">
        <v>0.05</v>
      </c>
      <c r="E23246" t="s">
        <v>98</v>
      </c>
    </row>
    <row r="23247" spans="1:5" x14ac:dyDescent="0.25">
      <c r="A23247" t="str">
        <f>HYPERLINK("https://www.773grp.com/globalSearch/MPS2222ARLRM/page-1", "MPS2222ARLRM")</f>
        <v>MPS2222ARLRM</v>
      </c>
      <c r="B23247" s="3" t="str">
        <f>HYPERLINK("https://www.773grp.com/manufacturer/onsemi?pageNo=1071", "ON Semiconductor")</f>
        <v>ON Semiconductor</v>
      </c>
      <c r="C23247" s="6">
        <v>182000</v>
      </c>
      <c r="D23247" s="7">
        <v>0.05</v>
      </c>
      <c r="E23247" t="s">
        <v>69</v>
      </c>
    </row>
    <row r="23248" spans="1:5" x14ac:dyDescent="0.25">
      <c r="A23248" t="str">
        <f>HYPERLINK("https://www.773grp.com/globalSearch/MPS2907ARLREG/page-1", "MPS2907ARLREG")</f>
        <v>MPS2907ARLREG</v>
      </c>
      <c r="B23248" s="3" t="str">
        <f>HYPERLINK("https://www.773grp.com/manufacturer/onsemi?pageNo=1072", "ON Semiconductor")</f>
        <v>ON Semiconductor</v>
      </c>
      <c r="C23248" s="6">
        <v>12000</v>
      </c>
      <c r="D23248" s="7">
        <v>0.05</v>
      </c>
      <c r="E23248" t="s">
        <v>69</v>
      </c>
    </row>
    <row r="23249" spans="1:5" x14ac:dyDescent="0.25">
      <c r="A23249" t="str">
        <f>HYPERLINK("https://www.773grp.com/globalSearch/MSB1218A-RT1G/page-1", "MSB1218A-RT1G")</f>
        <v>MSB1218A-RT1G</v>
      </c>
      <c r="B23249" s="3" t="str">
        <f>HYPERLINK("https://www.773grp.com/manufacturer/onsemi?pageNo=1073", "ON Semiconductor")</f>
        <v>ON Semiconductor</v>
      </c>
      <c r="C23249" s="6">
        <v>78000</v>
      </c>
      <c r="D23249" s="7">
        <v>0.05</v>
      </c>
      <c r="E23249" t="s">
        <v>69</v>
      </c>
    </row>
    <row r="23250" spans="1:5" x14ac:dyDescent="0.25">
      <c r="A23250" t="str">
        <f>HYPERLINK("https://www.773grp.com/globalSearch/MSD1819A-RT1G/page-1", "MSD1819A-RT1G")</f>
        <v>MSD1819A-RT1G</v>
      </c>
      <c r="B23250" s="3" t="str">
        <f>HYPERLINK("https://www.773grp.com/manufacturer/onsemi?pageNo=1074", "ON Semiconductor")</f>
        <v>ON Semiconductor</v>
      </c>
      <c r="C23250" s="6">
        <v>162000</v>
      </c>
      <c r="D23250" s="7">
        <v>0.05</v>
      </c>
      <c r="E23250" t="s">
        <v>69</v>
      </c>
    </row>
    <row r="23251" spans="1:5" x14ac:dyDescent="0.25">
      <c r="A23251" t="str">
        <f>HYPERLINK("https://www.773grp.com/globalSearch/MUR415RL/page-1", "MUR415RL")</f>
        <v>MUR415RL</v>
      </c>
      <c r="B23251" s="3" t="str">
        <f>HYPERLINK("https://www.773grp.com/manufacturer/onsemi?pageNo=1075", "ON Semiconductor")</f>
        <v>ON Semiconductor</v>
      </c>
      <c r="C23251" s="6">
        <v>3000</v>
      </c>
      <c r="D23251" s="7">
        <v>0.05</v>
      </c>
      <c r="E23251" t="s">
        <v>103</v>
      </c>
    </row>
    <row r="23252" spans="1:5" x14ac:dyDescent="0.25">
      <c r="A23252" t="str">
        <f>HYPERLINK("https://www.773grp.com/globalSearch/MZ4626RL/page-1", "MZ4626RL")</f>
        <v>MZ4626RL</v>
      </c>
      <c r="B23252" s="3" t="str">
        <f>HYPERLINK("https://www.773grp.com/manufacturer/onsemi?pageNo=1076", "ON Semiconductor")</f>
        <v>ON Semiconductor</v>
      </c>
      <c r="C23252" s="6">
        <v>45000</v>
      </c>
      <c r="D23252" s="7">
        <v>0.05</v>
      </c>
      <c r="E23252" t="s">
        <v>98</v>
      </c>
    </row>
    <row r="23253" spans="1:5" x14ac:dyDescent="0.25">
      <c r="A23253" t="str">
        <f>HYPERLINK("https://www.773grp.com/globalSearch/NSB13211DW6T1G/page-1", "NSB13211DW6T1G")</f>
        <v>NSB13211DW6T1G</v>
      </c>
      <c r="B23253" s="3" t="str">
        <f>HYPERLINK("https://www.773grp.com/manufacturer/onsemi?pageNo=1077", "ON Semiconductor")</f>
        <v>ON Semiconductor</v>
      </c>
      <c r="C23253" s="6">
        <v>383930</v>
      </c>
      <c r="D23253" s="7">
        <v>0.05</v>
      </c>
      <c r="E23253" t="s">
        <v>69</v>
      </c>
    </row>
    <row r="23254" spans="1:5" x14ac:dyDescent="0.25">
      <c r="A23254" t="str">
        <f>HYPERLINK("https://www.773grp.com/globalSearch/NSCT3904LT1G/page-1", "NSCT3904LT1G")</f>
        <v>NSCT3904LT1G</v>
      </c>
      <c r="B23254" s="3" t="str">
        <f>HYPERLINK("https://www.773grp.com/manufacturer/onsemi?pageNo=1078", "ON Semiconductor")</f>
        <v>ON Semiconductor</v>
      </c>
      <c r="C23254" s="6">
        <v>12000</v>
      </c>
      <c r="D23254" s="7">
        <v>0.05</v>
      </c>
    </row>
    <row r="23255" spans="1:5" x14ac:dyDescent="0.25">
      <c r="A23255" t="str">
        <f>HYPERLINK("https://www.773grp.com/globalSearch/NSCT3906LT1G/page-1", "NSCT3906LT1G")</f>
        <v>NSCT3906LT1G</v>
      </c>
      <c r="B23255" s="3" t="str">
        <f>HYPERLINK("https://www.773grp.com/manufacturer/onsemi?pageNo=1079", "ON Semiconductor")</f>
        <v>ON Semiconductor</v>
      </c>
      <c r="C23255" s="6">
        <v>1146000</v>
      </c>
      <c r="D23255" s="7">
        <v>0.05</v>
      </c>
    </row>
    <row r="23256" spans="1:5" x14ac:dyDescent="0.25">
      <c r="A23256" t="str">
        <f>HYPERLINK("https://www.773grp.com/globalSearch/NSCT3906LT3G/page-1", "NSCT3906LT3G")</f>
        <v>NSCT3906LT3G</v>
      </c>
      <c r="B23256" s="3" t="str">
        <f>HYPERLINK("https://www.773grp.com/manufacturer/onsemi?pageNo=1080", "ON Semiconductor")</f>
        <v>ON Semiconductor</v>
      </c>
      <c r="C23256" s="6">
        <v>130000</v>
      </c>
      <c r="D23256" s="7">
        <v>0.05</v>
      </c>
    </row>
    <row r="23257" spans="1:5" x14ac:dyDescent="0.25">
      <c r="A23257" t="str">
        <f>HYPERLINK("https://www.773grp.com/globalSearch/NSM11156DW6T1G/page-1", "NSM11156DW6T1G")</f>
        <v>NSM11156DW6T1G</v>
      </c>
      <c r="B23257" s="3" t="str">
        <f>HYPERLINK("https://www.773grp.com/manufacturer/onsemi?pageNo=1081", "ON Semiconductor")</f>
        <v>ON Semiconductor</v>
      </c>
      <c r="C23257" s="6">
        <v>330000</v>
      </c>
      <c r="D23257" s="7">
        <v>0.05</v>
      </c>
      <c r="E23257" t="s">
        <v>69</v>
      </c>
    </row>
    <row r="23258" spans="1:5" x14ac:dyDescent="0.25">
      <c r="A23258" t="str">
        <f>HYPERLINK("https://www.773grp.com/globalSearch/NSM21156DW6T1G/page-1", "NSM21156DW6T1G")</f>
        <v>NSM21156DW6T1G</v>
      </c>
      <c r="B23258" s="3" t="str">
        <f>HYPERLINK("https://www.773grp.com/manufacturer/onsemi?pageNo=1082", "ON Semiconductor")</f>
        <v>ON Semiconductor</v>
      </c>
      <c r="C23258" s="6">
        <v>165000</v>
      </c>
      <c r="D23258" s="7">
        <v>0.05</v>
      </c>
      <c r="E23258" t="s">
        <v>69</v>
      </c>
    </row>
    <row r="23259" spans="1:5" x14ac:dyDescent="0.25">
      <c r="A23259" t="str">
        <f>HYPERLINK("https://www.773grp.com/globalSearch/NSM21356DW6T1G/page-1", "NSM21356DW6T1G")</f>
        <v>NSM21356DW6T1G</v>
      </c>
      <c r="B23259" s="3" t="str">
        <f>HYPERLINK("https://www.773grp.com/manufacturer/onsemi?pageNo=1083", "ON Semiconductor")</f>
        <v>ON Semiconductor</v>
      </c>
      <c r="C23259" s="6">
        <v>321000</v>
      </c>
      <c r="D23259" s="7">
        <v>0.05</v>
      </c>
      <c r="E23259" t="s">
        <v>69</v>
      </c>
    </row>
    <row r="23260" spans="1:5" x14ac:dyDescent="0.25">
      <c r="A23260" t="str">
        <f>HYPERLINK("https://www.773grp.com/globalSearch/NSM46211DW6T1G/page-1", "NSM46211DW6T1G")</f>
        <v>NSM46211DW6T1G</v>
      </c>
      <c r="B23260" s="3" t="str">
        <f>HYPERLINK("https://www.773grp.com/manufacturer/onsemi?pageNo=1084", "ON Semiconductor")</f>
        <v>ON Semiconductor</v>
      </c>
      <c r="C23260" s="6">
        <v>78000</v>
      </c>
      <c r="D23260" s="7">
        <v>0.05</v>
      </c>
      <c r="E23260" t="s">
        <v>69</v>
      </c>
    </row>
    <row r="23261" spans="1:5" x14ac:dyDescent="0.25">
      <c r="A23261" t="str">
        <f>HYPERLINK("https://www.773grp.com/globalSearch/NTA7002NT1/page-1", "NTA7002NT1")</f>
        <v>NTA7002NT1</v>
      </c>
      <c r="B23261" s="3" t="str">
        <f>HYPERLINK("https://www.773grp.com/manufacturer/onsemi?pageNo=1085", "ON Semiconductor")</f>
        <v>ON Semiconductor</v>
      </c>
      <c r="C23261" s="6">
        <v>27000</v>
      </c>
      <c r="D23261" s="7">
        <v>0.05</v>
      </c>
      <c r="E23261" t="s">
        <v>106</v>
      </c>
    </row>
    <row r="23262" spans="1:5" x14ac:dyDescent="0.25">
      <c r="A23262" t="str">
        <f>HYPERLINK("https://www.773grp.com/globalSearch/SMBD1493LT1/page-1", "SMBD1493LT1")</f>
        <v>SMBD1493LT1</v>
      </c>
      <c r="B23262" s="3" t="str">
        <f>HYPERLINK("https://www.773grp.com/manufacturer/onsemi?pageNo=1086", "ON Semiconductor")</f>
        <v>ON Semiconductor</v>
      </c>
      <c r="C23262" s="6">
        <v>48000</v>
      </c>
      <c r="D23262" s="7">
        <v>0.05</v>
      </c>
    </row>
    <row r="23263" spans="1:5" x14ac:dyDescent="0.25">
      <c r="A23263" t="str">
        <f>HYPERLINK("https://www.773grp.com/globalSearch/SMBT1000LT1/page-1", "SMBT1000LT1")</f>
        <v>SMBT1000LT1</v>
      </c>
      <c r="B23263" s="3" t="str">
        <f>HYPERLINK("https://www.773grp.com/manufacturer/onsemi?pageNo=1087", "ON Semiconductor")</f>
        <v>ON Semiconductor</v>
      </c>
      <c r="C23263" s="6">
        <v>279000</v>
      </c>
      <c r="D23263" s="7">
        <v>0.05</v>
      </c>
    </row>
    <row r="23264" spans="1:5" x14ac:dyDescent="0.25">
      <c r="A23264" t="str">
        <f>HYPERLINK("https://www.773grp.com/globalSearch/SMBT1001LT1/page-1", "SMBT1001LT1")</f>
        <v>SMBT1001LT1</v>
      </c>
      <c r="B23264" s="3" t="str">
        <f>HYPERLINK("https://www.773grp.com/manufacturer/onsemi?pageNo=1088", "ON Semiconductor")</f>
        <v>ON Semiconductor</v>
      </c>
      <c r="C23264" s="6">
        <v>150000</v>
      </c>
      <c r="D23264" s="7">
        <v>0.05</v>
      </c>
    </row>
    <row r="23265" spans="1:4" x14ac:dyDescent="0.25">
      <c r="A23265" t="str">
        <f>HYPERLINK("https://www.773grp.com/globalSearch/SMBT1106LT1/page-1", "SMBT1106LT1")</f>
        <v>SMBT1106LT1</v>
      </c>
      <c r="B23265" s="3" t="str">
        <f>HYPERLINK("https://www.773grp.com/manufacturer/onsemi?pageNo=1089", "ON Semiconductor")</f>
        <v>ON Semiconductor</v>
      </c>
      <c r="C23265" s="6">
        <v>3000</v>
      </c>
      <c r="D23265" s="7">
        <v>0.05</v>
      </c>
    </row>
    <row r="23266" spans="1:4" x14ac:dyDescent="0.25">
      <c r="A23266" t="str">
        <f>HYPERLINK("https://www.773grp.com/globalSearch/SMBT1109-1LT1/page-1", "SMBT1109-1LT1")</f>
        <v>SMBT1109-1LT1</v>
      </c>
      <c r="B23266" s="3" t="str">
        <f>HYPERLINK("https://www.773grp.com/manufacturer/onsemi?pageNo=1090", "ON Semiconductor")</f>
        <v>ON Semiconductor</v>
      </c>
      <c r="C23266" s="6">
        <v>1005000</v>
      </c>
      <c r="D23266" s="7">
        <v>0.05</v>
      </c>
    </row>
    <row r="23267" spans="1:4" x14ac:dyDescent="0.25">
      <c r="A23267" t="str">
        <f>HYPERLINK("https://www.773grp.com/globalSearch/SMBT1109-1LT3/page-1", "SMBT1109-1LT3")</f>
        <v>SMBT1109-1LT3</v>
      </c>
      <c r="B23267" s="3" t="str">
        <f>HYPERLINK("https://www.773grp.com/manufacturer/onsemi?pageNo=1091", "ON Semiconductor")</f>
        <v>ON Semiconductor</v>
      </c>
      <c r="C23267" s="6">
        <v>50000</v>
      </c>
      <c r="D23267" s="7">
        <v>0.05</v>
      </c>
    </row>
    <row r="23268" spans="1:4" x14ac:dyDescent="0.25">
      <c r="A23268" t="str">
        <f>HYPERLINK("https://www.773grp.com/globalSearch/SMBT1109LT1/page-1", "SMBT1109LT1")</f>
        <v>SMBT1109LT1</v>
      </c>
      <c r="B23268" s="3" t="str">
        <f>HYPERLINK("https://www.773grp.com/manufacturer/onsemi?pageNo=1092", "ON Semiconductor")</f>
        <v>ON Semiconductor</v>
      </c>
      <c r="C23268" s="6">
        <v>78000</v>
      </c>
      <c r="D23268" s="7">
        <v>0.05</v>
      </c>
    </row>
    <row r="23269" spans="1:4" x14ac:dyDescent="0.25">
      <c r="A23269" t="str">
        <f>HYPERLINK("https://www.773grp.com/globalSearch/SMBT1124LT1/page-1", "SMBT1124LT1")</f>
        <v>SMBT1124LT1</v>
      </c>
      <c r="B23269" s="3" t="str">
        <f>HYPERLINK("https://www.773grp.com/manufacturer/onsemi?pageNo=1093", "ON Semiconductor")</f>
        <v>ON Semiconductor</v>
      </c>
      <c r="C23269" s="6">
        <v>3000</v>
      </c>
      <c r="D23269" s="7">
        <v>0.05</v>
      </c>
    </row>
    <row r="23270" spans="1:4" x14ac:dyDescent="0.25">
      <c r="A23270" t="str">
        <f>HYPERLINK("https://www.773grp.com/globalSearch/SMBT1168LT1/page-1", "SMBT1168LT1")</f>
        <v>SMBT1168LT1</v>
      </c>
      <c r="B23270" s="3" t="str">
        <f>HYPERLINK("https://www.773grp.com/manufacturer/onsemi?pageNo=1094", "ON Semiconductor")</f>
        <v>ON Semiconductor</v>
      </c>
      <c r="C23270" s="6">
        <v>39000</v>
      </c>
      <c r="D23270" s="7">
        <v>0.05</v>
      </c>
    </row>
    <row r="23271" spans="1:4" x14ac:dyDescent="0.25">
      <c r="A23271" t="str">
        <f>HYPERLINK("https://www.773grp.com/globalSearch/SMBT1170LT1/page-1", "SMBT1170LT1")</f>
        <v>SMBT1170LT1</v>
      </c>
      <c r="B23271" s="3" t="str">
        <f>HYPERLINK("https://www.773grp.com/manufacturer/onsemi?pageNo=1095", "ON Semiconductor")</f>
        <v>ON Semiconductor</v>
      </c>
      <c r="C23271" s="6">
        <v>636000</v>
      </c>
      <c r="D23271" s="7">
        <v>0.05</v>
      </c>
    </row>
    <row r="23272" spans="1:4" x14ac:dyDescent="0.25">
      <c r="A23272" t="str">
        <f>HYPERLINK("https://www.773grp.com/globalSearch/SMBT1190LT1/page-1", "SMBT1190LT1")</f>
        <v>SMBT1190LT1</v>
      </c>
      <c r="B23272" s="3" t="str">
        <f>HYPERLINK("https://www.773grp.com/manufacturer/onsemi?pageNo=1096", "ON Semiconductor")</f>
        <v>ON Semiconductor</v>
      </c>
      <c r="C23272" s="6">
        <v>114000</v>
      </c>
      <c r="D23272" s="7">
        <v>0.05</v>
      </c>
    </row>
    <row r="23273" spans="1:4" x14ac:dyDescent="0.25">
      <c r="A23273" t="str">
        <f>HYPERLINK("https://www.773grp.com/globalSearch/SMBT1191LT1/page-1", "SMBT1191LT1")</f>
        <v>SMBT1191LT1</v>
      </c>
      <c r="B23273" s="3" t="str">
        <f>HYPERLINK("https://www.773grp.com/manufacturer/onsemi?pageNo=1097", "ON Semiconductor")</f>
        <v>ON Semiconductor</v>
      </c>
      <c r="C23273" s="6">
        <v>525000</v>
      </c>
      <c r="D23273" s="7">
        <v>0.05</v>
      </c>
    </row>
    <row r="23274" spans="1:4" x14ac:dyDescent="0.25">
      <c r="A23274" t="str">
        <f>HYPERLINK("https://www.773grp.com/globalSearch/SMBT1199RLT1/page-1", "SMBT1199RLT1")</f>
        <v>SMBT1199RLT1</v>
      </c>
      <c r="B23274" s="3" t="str">
        <f>HYPERLINK("https://www.773grp.com/manufacturer/onsemi?pageNo=1098", "ON Semiconductor")</f>
        <v>ON Semiconductor</v>
      </c>
      <c r="C23274" s="6">
        <v>195000</v>
      </c>
      <c r="D23274" s="7">
        <v>0.05</v>
      </c>
    </row>
    <row r="23275" spans="1:4" x14ac:dyDescent="0.25">
      <c r="A23275" t="str">
        <f>HYPERLINK("https://www.773grp.com/globalSearch/SMBT1215LT1/page-1", "SMBT1215LT1")</f>
        <v>SMBT1215LT1</v>
      </c>
      <c r="B23275" s="3" t="str">
        <f>HYPERLINK("https://www.773grp.com/manufacturer/onsemi?pageNo=1099", "ON Semiconductor")</f>
        <v>ON Semiconductor</v>
      </c>
      <c r="C23275" s="6">
        <v>63000</v>
      </c>
      <c r="D23275" s="7">
        <v>0.05</v>
      </c>
    </row>
    <row r="23276" spans="1:4" x14ac:dyDescent="0.25">
      <c r="A23276" t="str">
        <f>HYPERLINK("https://www.773grp.com/globalSearch/SMBT1232LT1G/page-1", "SMBT1232LT1G")</f>
        <v>SMBT1232LT1G</v>
      </c>
      <c r="B23276" s="3" t="str">
        <f>HYPERLINK("https://www.773grp.com/manufacturer/onsemi?pageNo=1100", "ON Semiconductor")</f>
        <v>ON Semiconductor</v>
      </c>
      <c r="C23276" s="6">
        <v>123000</v>
      </c>
      <c r="D23276" s="7">
        <v>0.05</v>
      </c>
    </row>
    <row r="23277" spans="1:4" x14ac:dyDescent="0.25">
      <c r="A23277" t="str">
        <f>HYPERLINK("https://www.773grp.com/globalSearch/SMBT1234LT1/page-1", "SMBT1234LT1")</f>
        <v>SMBT1234LT1</v>
      </c>
      <c r="B23277" s="3" t="str">
        <f>HYPERLINK("https://www.773grp.com/manufacturer/onsemi?pageNo=1101", "ON Semiconductor")</f>
        <v>ON Semiconductor</v>
      </c>
      <c r="C23277" s="6">
        <v>210000</v>
      </c>
      <c r="D23277" s="7">
        <v>0.05</v>
      </c>
    </row>
    <row r="23278" spans="1:4" x14ac:dyDescent="0.25">
      <c r="A23278" t="str">
        <f>HYPERLINK("https://www.773grp.com/globalSearch/SMBT1234LT3/page-1", "SMBT1234LT3")</f>
        <v>SMBT1234LT3</v>
      </c>
      <c r="B23278" s="3" t="str">
        <f>HYPERLINK("https://www.773grp.com/manufacturer/onsemi?pageNo=1102", "ON Semiconductor")</f>
        <v>ON Semiconductor</v>
      </c>
      <c r="C23278" s="6">
        <v>290000</v>
      </c>
      <c r="D23278" s="7">
        <v>0.05</v>
      </c>
    </row>
    <row r="23279" spans="1:4" x14ac:dyDescent="0.25">
      <c r="A23279" t="str">
        <f>HYPERLINK("https://www.773grp.com/globalSearch/SMBT1248LT3/page-1", "SMBT1248LT3")</f>
        <v>SMBT1248LT3</v>
      </c>
      <c r="B23279" s="3" t="str">
        <f>HYPERLINK("https://www.773grp.com/manufacturer/onsemi?pageNo=1103", "ON Semiconductor")</f>
        <v>ON Semiconductor</v>
      </c>
      <c r="C23279" s="6">
        <v>410000</v>
      </c>
      <c r="D23279" s="7">
        <v>0.05</v>
      </c>
    </row>
    <row r="23280" spans="1:4" x14ac:dyDescent="0.25">
      <c r="A23280" t="str">
        <f>HYPERLINK("https://www.773grp.com/globalSearch/SMBT1263LT3/page-1", "SMBT1263LT3")</f>
        <v>SMBT1263LT3</v>
      </c>
      <c r="B23280" s="3" t="str">
        <f>HYPERLINK("https://www.773grp.com/manufacturer/onsemi?pageNo=1104", "ON Semiconductor")</f>
        <v>ON Semiconductor</v>
      </c>
      <c r="C23280" s="6">
        <v>280000</v>
      </c>
      <c r="D23280" s="7">
        <v>0.05</v>
      </c>
    </row>
    <row r="23281" spans="1:4" x14ac:dyDescent="0.25">
      <c r="A23281" t="str">
        <f>HYPERLINK("https://www.773grp.com/globalSearch/SMBT1265LT3/page-1", "SMBT1265LT3")</f>
        <v>SMBT1265LT3</v>
      </c>
      <c r="B23281" s="3" t="str">
        <f>HYPERLINK("https://www.773grp.com/manufacturer/onsemi?pageNo=1105", "ON Semiconductor")</f>
        <v>ON Semiconductor</v>
      </c>
      <c r="C23281" s="6">
        <v>1030000</v>
      </c>
      <c r="D23281" s="7">
        <v>0.05</v>
      </c>
    </row>
    <row r="23282" spans="1:4" x14ac:dyDescent="0.25">
      <c r="A23282" t="str">
        <f>HYPERLINK("https://www.773grp.com/globalSearch/SMBT1282LT1/page-1", "SMBT1282LT1")</f>
        <v>SMBT1282LT1</v>
      </c>
      <c r="B23282" s="3" t="str">
        <f>HYPERLINK("https://www.773grp.com/manufacturer/onsemi?pageNo=1106", "ON Semiconductor")</f>
        <v>ON Semiconductor</v>
      </c>
      <c r="C23282" s="6">
        <v>249000</v>
      </c>
      <c r="D23282" s="7">
        <v>0.05</v>
      </c>
    </row>
    <row r="23283" spans="1:4" x14ac:dyDescent="0.25">
      <c r="A23283" t="str">
        <f>HYPERLINK("https://www.773grp.com/globalSearch/SMBT1335LT1/page-1", "SMBT1335LT1")</f>
        <v>SMBT1335LT1</v>
      </c>
      <c r="B23283" s="3" t="str">
        <f>HYPERLINK("https://www.773grp.com/manufacturer/onsemi?pageNo=1107", "ON Semiconductor")</f>
        <v>ON Semiconductor</v>
      </c>
      <c r="C23283" s="6">
        <v>249000</v>
      </c>
      <c r="D23283" s="7">
        <v>0.05</v>
      </c>
    </row>
    <row r="23284" spans="1:4" x14ac:dyDescent="0.25">
      <c r="A23284" t="str">
        <f>HYPERLINK("https://www.773grp.com/globalSearch/SMBT1345LT1/page-1", "SMBT1345LT1")</f>
        <v>SMBT1345LT1</v>
      </c>
      <c r="B23284" s="3" t="str">
        <f>HYPERLINK("https://www.773grp.com/manufacturer/onsemi?pageNo=1108", "ON Semiconductor")</f>
        <v>ON Semiconductor</v>
      </c>
      <c r="C23284" s="6">
        <v>579000</v>
      </c>
      <c r="D23284" s="7">
        <v>0.05</v>
      </c>
    </row>
    <row r="23285" spans="1:4" x14ac:dyDescent="0.25">
      <c r="A23285" t="str">
        <f>HYPERLINK("https://www.773grp.com/globalSearch/SMBT1348LT1/page-1", "SMBT1348LT1")</f>
        <v>SMBT1348LT1</v>
      </c>
      <c r="B23285" s="3" t="str">
        <f>HYPERLINK("https://www.773grp.com/manufacturer/onsemi?pageNo=1109", "ON Semiconductor")</f>
        <v>ON Semiconductor</v>
      </c>
      <c r="C23285" s="6">
        <v>29710</v>
      </c>
      <c r="D23285" s="7">
        <v>0.05</v>
      </c>
    </row>
    <row r="23286" spans="1:4" x14ac:dyDescent="0.25">
      <c r="A23286" t="str">
        <f>HYPERLINK("https://www.773grp.com/globalSearch/SMBT1348LT1G/page-1", "SMBT1348LT1G")</f>
        <v>SMBT1348LT1G</v>
      </c>
      <c r="B23286" s="3" t="str">
        <f>HYPERLINK("https://www.773grp.com/manufacturer/onsemi?pageNo=1110", "ON Semiconductor")</f>
        <v>ON Semiconductor</v>
      </c>
      <c r="C23286" s="6">
        <v>9000</v>
      </c>
      <c r="D23286" s="7">
        <v>0.05</v>
      </c>
    </row>
    <row r="23287" spans="1:4" x14ac:dyDescent="0.25">
      <c r="A23287" t="str">
        <f>HYPERLINK("https://www.773grp.com/globalSearch/SMBT1357LT1/page-1", "SMBT1357LT1")</f>
        <v>SMBT1357LT1</v>
      </c>
      <c r="B23287" s="3" t="str">
        <f>HYPERLINK("https://www.773grp.com/manufacturer/onsemi?pageNo=1111", "ON Semiconductor")</f>
        <v>ON Semiconductor</v>
      </c>
      <c r="C23287" s="6">
        <v>267000</v>
      </c>
      <c r="D23287" s="7">
        <v>0.05</v>
      </c>
    </row>
    <row r="23288" spans="1:4" x14ac:dyDescent="0.25">
      <c r="A23288" t="str">
        <f>HYPERLINK("https://www.773grp.com/globalSearch/SMBT1361LT1/page-1", "SMBT1361LT1")</f>
        <v>SMBT1361LT1</v>
      </c>
      <c r="B23288" s="3" t="str">
        <f>HYPERLINK("https://www.773grp.com/manufacturer/onsemi?pageNo=1112", "ON Semiconductor")</f>
        <v>ON Semiconductor</v>
      </c>
      <c r="C23288" s="6">
        <v>258000</v>
      </c>
      <c r="D23288" s="7">
        <v>0.05</v>
      </c>
    </row>
    <row r="23289" spans="1:4" x14ac:dyDescent="0.25">
      <c r="A23289" t="str">
        <f>HYPERLINK("https://www.773grp.com/globalSearch/SMBT1368LT1/page-1", "SMBT1368LT1")</f>
        <v>SMBT1368LT1</v>
      </c>
      <c r="B23289" s="3" t="str">
        <f>HYPERLINK("https://www.773grp.com/manufacturer/onsemi?pageNo=1113", "ON Semiconductor")</f>
        <v>ON Semiconductor</v>
      </c>
      <c r="C23289" s="6">
        <v>93000</v>
      </c>
      <c r="D23289" s="7">
        <v>0.05</v>
      </c>
    </row>
    <row r="23290" spans="1:4" x14ac:dyDescent="0.25">
      <c r="A23290" t="str">
        <f>HYPERLINK("https://www.773grp.com/globalSearch/SMBT1368LT3/page-1", "SMBT1368LT3")</f>
        <v>SMBT1368LT3</v>
      </c>
      <c r="B23290" s="3" t="str">
        <f>HYPERLINK("https://www.773grp.com/manufacturer/onsemi?pageNo=1114", "ON Semiconductor")</f>
        <v>ON Semiconductor</v>
      </c>
      <c r="C23290" s="6">
        <v>50000</v>
      </c>
      <c r="D23290" s="7">
        <v>0.05</v>
      </c>
    </row>
    <row r="23291" spans="1:4" x14ac:dyDescent="0.25">
      <c r="A23291" t="str">
        <f>HYPERLINK("https://www.773grp.com/globalSearch/SMBT1370LT1/page-1", "SMBT1370LT1")</f>
        <v>SMBT1370LT1</v>
      </c>
      <c r="B23291" s="3" t="str">
        <f>HYPERLINK("https://www.773grp.com/manufacturer/onsemi?pageNo=1115", "ON Semiconductor")</f>
        <v>ON Semiconductor</v>
      </c>
      <c r="C23291" s="6">
        <v>87000</v>
      </c>
      <c r="D23291" s="7">
        <v>0.05</v>
      </c>
    </row>
    <row r="23292" spans="1:4" x14ac:dyDescent="0.25">
      <c r="A23292" t="str">
        <f>HYPERLINK("https://www.773grp.com/globalSearch/SMBT1371LT1/page-1", "SMBT1371LT1")</f>
        <v>SMBT1371LT1</v>
      </c>
      <c r="B23292" s="3" t="str">
        <f>HYPERLINK("https://www.773grp.com/manufacturer/onsemi?pageNo=1116", "ON Semiconductor")</f>
        <v>ON Semiconductor</v>
      </c>
      <c r="C23292" s="6">
        <v>252000</v>
      </c>
      <c r="D23292" s="7">
        <v>0.05</v>
      </c>
    </row>
    <row r="23293" spans="1:4" x14ac:dyDescent="0.25">
      <c r="A23293" t="str">
        <f>HYPERLINK("https://www.773grp.com/globalSearch/SMBT1415LT1/page-1", "SMBT1415LT1")</f>
        <v>SMBT1415LT1</v>
      </c>
      <c r="B23293" s="3" t="str">
        <f>HYPERLINK("https://www.773grp.com/manufacturer/onsemi?pageNo=1117", "ON Semiconductor")</f>
        <v>ON Semiconductor</v>
      </c>
      <c r="C23293" s="6">
        <v>222000</v>
      </c>
      <c r="D23293" s="7">
        <v>0.05</v>
      </c>
    </row>
    <row r="23294" spans="1:4" x14ac:dyDescent="0.25">
      <c r="A23294" t="str">
        <f>HYPERLINK("https://www.773grp.com/globalSearch/SMBT1416LT1/page-1", "SMBT1416LT1")</f>
        <v>SMBT1416LT1</v>
      </c>
      <c r="B23294" s="3" t="str">
        <f>HYPERLINK("https://www.773grp.com/manufacturer/onsemi?pageNo=1118", "ON Semiconductor")</f>
        <v>ON Semiconductor</v>
      </c>
      <c r="C23294" s="6">
        <v>336000</v>
      </c>
      <c r="D23294" s="7">
        <v>0.05</v>
      </c>
    </row>
    <row r="23295" spans="1:4" x14ac:dyDescent="0.25">
      <c r="A23295" t="str">
        <f>HYPERLINK("https://www.773grp.com/globalSearch/SMBT1493LT1/page-1", "SMBT1493LT1")</f>
        <v>SMBT1493LT1</v>
      </c>
      <c r="B23295" s="3" t="str">
        <f>HYPERLINK("https://www.773grp.com/manufacturer/onsemi?pageNo=1119", "ON Semiconductor")</f>
        <v>ON Semiconductor</v>
      </c>
      <c r="C23295" s="6">
        <v>300000</v>
      </c>
      <c r="D23295" s="7">
        <v>0.05</v>
      </c>
    </row>
    <row r="23296" spans="1:4" x14ac:dyDescent="0.25">
      <c r="A23296" t="str">
        <f>HYPERLINK("https://www.773grp.com/globalSearch/SMBT1531LT1/page-1", "SMBT1531LT1")</f>
        <v>SMBT1531LT1</v>
      </c>
      <c r="B23296" s="3" t="str">
        <f>HYPERLINK("https://www.773grp.com/manufacturer/onsemi?pageNo=1120", "ON Semiconductor")</f>
        <v>ON Semiconductor</v>
      </c>
      <c r="C23296" s="6">
        <v>171000</v>
      </c>
      <c r="D23296" s="7">
        <v>0.05</v>
      </c>
    </row>
    <row r="23297" spans="1:4" x14ac:dyDescent="0.25">
      <c r="A23297" t="str">
        <f>HYPERLINK("https://www.773grp.com/globalSearch/SMBT1539T/page-1", "SMBT1539T")</f>
        <v>SMBT1539T</v>
      </c>
      <c r="B23297" s="3" t="str">
        <f>HYPERLINK("https://www.773grp.com/manufacturer/onsemi?pageNo=1121", "ON Semiconductor")</f>
        <v>ON Semiconductor</v>
      </c>
      <c r="C23297" s="6">
        <v>225000</v>
      </c>
      <c r="D23297" s="7">
        <v>0.05</v>
      </c>
    </row>
    <row r="23298" spans="1:4" x14ac:dyDescent="0.25">
      <c r="A23298" t="str">
        <f>HYPERLINK("https://www.773grp.com/globalSearch/SMBT1581LT3/page-1", "SMBT1581LT3")</f>
        <v>SMBT1581LT3</v>
      </c>
      <c r="B23298" s="3" t="str">
        <f>HYPERLINK("https://www.773grp.com/manufacturer/onsemi?pageNo=1122", "ON Semiconductor")</f>
        <v>ON Semiconductor</v>
      </c>
      <c r="C23298" s="6">
        <v>24000</v>
      </c>
      <c r="D23298" s="7">
        <v>0.05</v>
      </c>
    </row>
    <row r="23299" spans="1:4" x14ac:dyDescent="0.25">
      <c r="A23299" t="str">
        <f>HYPERLINK("https://www.773grp.com/globalSearch/SMBT1583LT3/page-1", "SMBT1583LT3")</f>
        <v>SMBT1583LT3</v>
      </c>
      <c r="B23299" s="3" t="str">
        <f>HYPERLINK("https://www.773grp.com/manufacturer/onsemi?pageNo=1123", "ON Semiconductor")</f>
        <v>ON Semiconductor</v>
      </c>
      <c r="C23299" s="6">
        <v>70000</v>
      </c>
      <c r="D23299" s="7">
        <v>0.05</v>
      </c>
    </row>
    <row r="23300" spans="1:4" x14ac:dyDescent="0.25">
      <c r="A23300" t="str">
        <f>HYPERLINK("https://www.773grp.com/globalSearch/SMBT856BLT1/page-1", "SMBT856BLT1")</f>
        <v>SMBT856BLT1</v>
      </c>
      <c r="B23300" s="3" t="str">
        <f>HYPERLINK("https://www.773grp.com/manufacturer/onsemi?pageNo=1124", "ON Semiconductor")</f>
        <v>ON Semiconductor</v>
      </c>
      <c r="C23300" s="6">
        <v>195000</v>
      </c>
      <c r="D23300" s="7">
        <v>0.05</v>
      </c>
    </row>
    <row r="23301" spans="1:4" x14ac:dyDescent="0.25">
      <c r="A23301" t="str">
        <f>HYPERLINK("https://www.773grp.com/globalSearch/SMBV1032LT1/page-1", "SMBV1032LT1")</f>
        <v>SMBV1032LT1</v>
      </c>
      <c r="B23301" s="3" t="str">
        <f>HYPERLINK("https://www.773grp.com/manufacturer/onsemi?pageNo=1125", "ON Semiconductor")</f>
        <v>ON Semiconductor</v>
      </c>
      <c r="C23301" s="6">
        <v>42000</v>
      </c>
      <c r="D23301" s="7">
        <v>0.05</v>
      </c>
    </row>
    <row r="23302" spans="1:4" x14ac:dyDescent="0.25">
      <c r="A23302" t="str">
        <f>HYPERLINK("https://www.773grp.com/globalSearch/SMBZ1001-1LT1/page-1", "SMBZ1001-1LT1")</f>
        <v>SMBZ1001-1LT1</v>
      </c>
      <c r="B23302" s="3" t="str">
        <f>HYPERLINK("https://www.773grp.com/manufacturer/onsemi?pageNo=1126", "ON Semiconductor")</f>
        <v>ON Semiconductor</v>
      </c>
      <c r="C23302" s="6">
        <v>21000</v>
      </c>
      <c r="D23302" s="7">
        <v>0.05</v>
      </c>
    </row>
    <row r="23303" spans="1:4" x14ac:dyDescent="0.25">
      <c r="A23303" t="str">
        <f>HYPERLINK("https://www.773grp.com/globalSearch/SMBZ1001-1LT3/page-1", "SMBZ1001-1LT3")</f>
        <v>SMBZ1001-1LT3</v>
      </c>
      <c r="B23303" s="3" t="str">
        <f>HYPERLINK("https://www.773grp.com/manufacturer/onsemi?pageNo=1127", "ON Semiconductor")</f>
        <v>ON Semiconductor</v>
      </c>
      <c r="C23303" s="6">
        <v>10000</v>
      </c>
      <c r="D23303" s="7">
        <v>0.05</v>
      </c>
    </row>
    <row r="23304" spans="1:4" x14ac:dyDescent="0.25">
      <c r="A23304" t="str">
        <f>HYPERLINK("https://www.773grp.com/globalSearch/SMBZ10-10LT1/page-1", "SMBZ10-10LT1")</f>
        <v>SMBZ10-10LT1</v>
      </c>
      <c r="B23304" s="3" t="str">
        <f>HYPERLINK("https://www.773grp.com/manufacturer/onsemi?pageNo=1128", "ON Semiconductor")</f>
        <v>ON Semiconductor</v>
      </c>
      <c r="C23304" s="6">
        <v>81000</v>
      </c>
      <c r="D23304" s="7">
        <v>0.05</v>
      </c>
    </row>
    <row r="23305" spans="1:4" x14ac:dyDescent="0.25">
      <c r="A23305" t="str">
        <f>HYPERLINK("https://www.773grp.com/globalSearch/SMBZ10-11LT1/page-1", "SMBZ10-11LT1")</f>
        <v>SMBZ10-11LT1</v>
      </c>
      <c r="B23305" s="3" t="str">
        <f>HYPERLINK("https://www.773grp.com/manufacturer/onsemi?pageNo=1129", "ON Semiconductor")</f>
        <v>ON Semiconductor</v>
      </c>
      <c r="C23305" s="6">
        <v>21000</v>
      </c>
      <c r="D23305" s="7">
        <v>0.05</v>
      </c>
    </row>
    <row r="23306" spans="1:4" x14ac:dyDescent="0.25">
      <c r="A23306" t="str">
        <f>HYPERLINK("https://www.773grp.com/globalSearch/SMBZ10-12LT1/page-1", "SMBZ10-12LT1")</f>
        <v>SMBZ10-12LT1</v>
      </c>
      <c r="B23306" s="3" t="str">
        <f>HYPERLINK("https://www.773grp.com/manufacturer/onsemi?pageNo=1130", "ON Semiconductor")</f>
        <v>ON Semiconductor</v>
      </c>
      <c r="C23306" s="6">
        <v>6000</v>
      </c>
      <c r="D23306" s="7">
        <v>0.05</v>
      </c>
    </row>
    <row r="23307" spans="1:4" x14ac:dyDescent="0.25">
      <c r="A23307" t="str">
        <f>HYPERLINK("https://www.773grp.com/globalSearch/SMBZ10-15LT1/page-1", "SMBZ10-15LT1")</f>
        <v>SMBZ10-15LT1</v>
      </c>
      <c r="B23307" s="3" t="str">
        <f>HYPERLINK("https://www.773grp.com/manufacturer/onsemi?pageNo=1131", "ON Semiconductor")</f>
        <v>ON Semiconductor</v>
      </c>
      <c r="C23307" s="6">
        <v>135000</v>
      </c>
      <c r="D23307" s="7">
        <v>0.05</v>
      </c>
    </row>
    <row r="23308" spans="1:4" x14ac:dyDescent="0.25">
      <c r="A23308" t="str">
        <f>HYPERLINK("https://www.773grp.com/globalSearch/SMBZ10-16LT3/page-1", "SMBZ10-16LT3")</f>
        <v>SMBZ10-16LT3</v>
      </c>
      <c r="B23308" s="3" t="str">
        <f>HYPERLINK("https://www.773grp.com/manufacturer/onsemi?pageNo=1132", "ON Semiconductor")</f>
        <v>ON Semiconductor</v>
      </c>
      <c r="C23308" s="6">
        <v>220000</v>
      </c>
      <c r="D23308" s="7">
        <v>0.05</v>
      </c>
    </row>
    <row r="23309" spans="1:4" x14ac:dyDescent="0.25">
      <c r="A23309" t="str">
        <f>HYPERLINK("https://www.773grp.com/globalSearch/SMBZ10-18LT1/page-1", "SMBZ10-18LT1")</f>
        <v>SMBZ10-18LT1</v>
      </c>
      <c r="B23309" s="3" t="str">
        <f>HYPERLINK("https://www.773grp.com/manufacturer/onsemi?pageNo=1133", "ON Semiconductor")</f>
        <v>ON Semiconductor</v>
      </c>
      <c r="C23309" s="6">
        <v>516000</v>
      </c>
      <c r="D23309" s="7">
        <v>0.05</v>
      </c>
    </row>
    <row r="23310" spans="1:4" x14ac:dyDescent="0.25">
      <c r="A23310" t="str">
        <f>HYPERLINK("https://www.773grp.com/globalSearch/SMBZ10-19LT1/page-1", "SMBZ10-19LT1")</f>
        <v>SMBZ10-19LT1</v>
      </c>
      <c r="B23310" s="3" t="str">
        <f>HYPERLINK("https://www.773grp.com/manufacturer/onsemi?pageNo=1134", "ON Semiconductor")</f>
        <v>ON Semiconductor</v>
      </c>
      <c r="C23310" s="6">
        <v>21000</v>
      </c>
      <c r="D23310" s="7">
        <v>0.05</v>
      </c>
    </row>
    <row r="23311" spans="1:4" x14ac:dyDescent="0.25">
      <c r="A23311" t="str">
        <f>HYPERLINK("https://www.773grp.com/globalSearch/SMBZ10-1LT1/page-1", "SMBZ10-1LT1")</f>
        <v>SMBZ10-1LT1</v>
      </c>
      <c r="B23311" s="3" t="str">
        <f>HYPERLINK("https://www.773grp.com/manufacturer/onsemi?pageNo=1135", "ON Semiconductor")</f>
        <v>ON Semiconductor</v>
      </c>
      <c r="C23311" s="6">
        <v>909000</v>
      </c>
      <c r="D23311" s="7">
        <v>0.05</v>
      </c>
    </row>
    <row r="23312" spans="1:4" x14ac:dyDescent="0.25">
      <c r="A23312" t="str">
        <f>HYPERLINK("https://www.773grp.com/globalSearch/SMBZ10-20LT1/page-1", "SMBZ10-20LT1")</f>
        <v>SMBZ10-20LT1</v>
      </c>
      <c r="B23312" s="3" t="str">
        <f>HYPERLINK("https://www.773grp.com/manufacturer/onsemi?pageNo=1136", "ON Semiconductor")</f>
        <v>ON Semiconductor</v>
      </c>
      <c r="C23312" s="6">
        <v>27000</v>
      </c>
      <c r="D23312" s="7">
        <v>0.05</v>
      </c>
    </row>
    <row r="23313" spans="1:4" x14ac:dyDescent="0.25">
      <c r="A23313" t="str">
        <f>HYPERLINK("https://www.773grp.com/globalSearch/SMBZ10-21LT1/page-1", "SMBZ10-21LT1")</f>
        <v>SMBZ10-21LT1</v>
      </c>
      <c r="B23313" s="3" t="str">
        <f>HYPERLINK("https://www.773grp.com/manufacturer/onsemi?pageNo=1137", "ON Semiconductor")</f>
        <v>ON Semiconductor</v>
      </c>
      <c r="C23313" s="6">
        <v>69000</v>
      </c>
      <c r="D23313" s="7">
        <v>0.05</v>
      </c>
    </row>
    <row r="23314" spans="1:4" x14ac:dyDescent="0.25">
      <c r="A23314" t="str">
        <f>HYPERLINK("https://www.773grp.com/globalSearch/SMBZ10-22LT1/page-1", "SMBZ10-22LT1")</f>
        <v>SMBZ10-22LT1</v>
      </c>
      <c r="B23314" s="3" t="str">
        <f>HYPERLINK("https://www.773grp.com/manufacturer/onsemi?pageNo=1138", "ON Semiconductor")</f>
        <v>ON Semiconductor</v>
      </c>
      <c r="C23314" s="6">
        <v>27000</v>
      </c>
      <c r="D23314" s="7">
        <v>0.05</v>
      </c>
    </row>
    <row r="23315" spans="1:4" x14ac:dyDescent="0.25">
      <c r="A23315" t="str">
        <f>HYPERLINK("https://www.773grp.com/globalSearch/SMBZ10-29LT1/page-1", "SMBZ10-29LT1")</f>
        <v>SMBZ10-29LT1</v>
      </c>
      <c r="B23315" s="3" t="str">
        <f>HYPERLINK("https://www.773grp.com/manufacturer/onsemi?pageNo=1139", "ON Semiconductor")</f>
        <v>ON Semiconductor</v>
      </c>
      <c r="C23315" s="6">
        <v>15000</v>
      </c>
      <c r="D23315" s="7">
        <v>0.05</v>
      </c>
    </row>
    <row r="23316" spans="1:4" x14ac:dyDescent="0.25">
      <c r="A23316" t="str">
        <f>HYPERLINK("https://www.773grp.com/globalSearch/SMBZ10-2LT1/page-1", "SMBZ10-2LT1")</f>
        <v>SMBZ10-2LT1</v>
      </c>
      <c r="B23316" s="3" t="str">
        <f>HYPERLINK("https://www.773grp.com/manufacturer/onsemi?pageNo=1140", "ON Semiconductor")</f>
        <v>ON Semiconductor</v>
      </c>
      <c r="C23316" s="6">
        <v>18000</v>
      </c>
      <c r="D23316" s="7">
        <v>0.05</v>
      </c>
    </row>
    <row r="23317" spans="1:4" x14ac:dyDescent="0.25">
      <c r="A23317" t="str">
        <f>HYPERLINK("https://www.773grp.com/globalSearch/SMBZ10-4LT1/page-1", "SMBZ10-4LT1")</f>
        <v>SMBZ10-4LT1</v>
      </c>
      <c r="B23317" s="3" t="str">
        <f>HYPERLINK("https://www.773grp.com/manufacturer/onsemi?pageNo=1141", "ON Semiconductor")</f>
        <v>ON Semiconductor</v>
      </c>
      <c r="C23317" s="6">
        <v>39000</v>
      </c>
      <c r="D23317" s="7">
        <v>0.05</v>
      </c>
    </row>
    <row r="23318" spans="1:4" x14ac:dyDescent="0.25">
      <c r="A23318" t="str">
        <f>HYPERLINK("https://www.773grp.com/globalSearch/SMBZ10-6LT1/page-1", "SMBZ10-6LT1")</f>
        <v>SMBZ10-6LT1</v>
      </c>
      <c r="B23318" s="3" t="str">
        <f>HYPERLINK("https://www.773grp.com/manufacturer/onsemi?pageNo=1142", "ON Semiconductor")</f>
        <v>ON Semiconductor</v>
      </c>
      <c r="C23318" s="6">
        <v>186000</v>
      </c>
      <c r="D23318" s="7">
        <v>0.05</v>
      </c>
    </row>
    <row r="23319" spans="1:4" x14ac:dyDescent="0.25">
      <c r="A23319" t="str">
        <f>HYPERLINK("https://www.773grp.com/globalSearch/SMBZ10-6LT3/page-1", "SMBZ10-6LT3")</f>
        <v>SMBZ10-6LT3</v>
      </c>
      <c r="B23319" s="3" t="str">
        <f>HYPERLINK("https://www.773grp.com/manufacturer/onsemi?pageNo=1143", "ON Semiconductor")</f>
        <v>ON Semiconductor</v>
      </c>
      <c r="C23319" s="6">
        <v>10000</v>
      </c>
      <c r="D23319" s="7">
        <v>0.05</v>
      </c>
    </row>
    <row r="23320" spans="1:4" x14ac:dyDescent="0.25">
      <c r="A23320" t="str">
        <f>HYPERLINK("https://www.773grp.com/globalSearch/SMBZ1477-1LT3/page-1", "SMBZ1477-1LT3")</f>
        <v>SMBZ1477-1LT3</v>
      </c>
      <c r="B23320" s="3" t="str">
        <f>HYPERLINK("https://www.773grp.com/manufacturer/onsemi?pageNo=1144", "ON Semiconductor")</f>
        <v>ON Semiconductor</v>
      </c>
      <c r="C23320" s="6">
        <v>20000</v>
      </c>
      <c r="D23320" s="7">
        <v>0.05</v>
      </c>
    </row>
    <row r="23321" spans="1:4" x14ac:dyDescent="0.25">
      <c r="A23321" t="str">
        <f>HYPERLINK("https://www.773grp.com/globalSearch/SMMBT3906LT3/page-1", "SMMBT3906LT3")</f>
        <v>SMMBT3906LT3</v>
      </c>
      <c r="B23321" s="3" t="str">
        <f>HYPERLINK("https://www.773grp.com/manufacturer/onsemi?pageNo=1145", "ON Semiconductor")</f>
        <v>ON Semiconductor</v>
      </c>
      <c r="C23321" s="6">
        <v>120000</v>
      </c>
      <c r="D23321" s="7">
        <v>0.05</v>
      </c>
    </row>
    <row r="23322" spans="1:4" x14ac:dyDescent="0.25">
      <c r="A23322" t="str">
        <f>HYPERLINK("https://www.773grp.com/globalSearch/SMSZ1600-15T1DS/page-1", "SMSZ1600-15T1DS")</f>
        <v>SMSZ1600-15T1DS</v>
      </c>
      <c r="B23322" s="3" t="str">
        <f>HYPERLINK("https://www.773grp.com/manufacturer/onsemi?pageNo=1146", "ON Semiconductor")</f>
        <v>ON Semiconductor</v>
      </c>
      <c r="C23322" s="6">
        <v>42000</v>
      </c>
      <c r="D23322" s="7">
        <v>0.05</v>
      </c>
    </row>
    <row r="23323" spans="1:4" x14ac:dyDescent="0.25">
      <c r="A23323" t="str">
        <f>HYPERLINK("https://www.773grp.com/globalSearch/SMSZ1600-17T1/page-1", "SMSZ1600-17T1")</f>
        <v>SMSZ1600-17T1</v>
      </c>
      <c r="B23323" s="3" t="str">
        <f>HYPERLINK("https://www.773grp.com/manufacturer/onsemi?pageNo=1147", "ON Semiconductor")</f>
        <v>ON Semiconductor</v>
      </c>
      <c r="C23323" s="6">
        <v>3000</v>
      </c>
      <c r="D23323" s="7">
        <v>0.05</v>
      </c>
    </row>
    <row r="23324" spans="1:4" x14ac:dyDescent="0.25">
      <c r="A23324" t="str">
        <f>HYPERLINK("https://www.773grp.com/globalSearch/SMSZ1600-19T3/page-1", "SMSZ1600-19T3")</f>
        <v>SMSZ1600-19T3</v>
      </c>
      <c r="B23324" s="3" t="str">
        <f>HYPERLINK("https://www.773grp.com/manufacturer/onsemi?pageNo=1148", "ON Semiconductor")</f>
        <v>ON Semiconductor</v>
      </c>
      <c r="C23324" s="6">
        <v>60000</v>
      </c>
      <c r="D23324" s="7">
        <v>0.05</v>
      </c>
    </row>
    <row r="23325" spans="1:4" x14ac:dyDescent="0.25">
      <c r="A23325" t="str">
        <f>HYPERLINK("https://www.773grp.com/globalSearch/SMSZ1600-25T3DS/page-1", "SMSZ1600-25T3DS")</f>
        <v>SMSZ1600-25T3DS</v>
      </c>
      <c r="B23325" s="3" t="str">
        <f>HYPERLINK("https://www.773grp.com/manufacturer/onsemi?pageNo=1149", "ON Semiconductor")</f>
        <v>ON Semiconductor</v>
      </c>
      <c r="C23325" s="6">
        <v>80000</v>
      </c>
      <c r="D23325" s="7">
        <v>0.05</v>
      </c>
    </row>
    <row r="23326" spans="1:4" x14ac:dyDescent="0.25">
      <c r="A23326" t="str">
        <f>HYPERLINK("https://www.773grp.com/globalSearch/SMSZ1600-31T3DS/page-1", "SMSZ1600-31T3DS")</f>
        <v>SMSZ1600-31T3DS</v>
      </c>
      <c r="B23326" s="3" t="str">
        <f>HYPERLINK("https://www.773grp.com/manufacturer/onsemi?pageNo=1150", "ON Semiconductor")</f>
        <v>ON Semiconductor</v>
      </c>
      <c r="C23326" s="6">
        <v>100000</v>
      </c>
      <c r="D23326" s="7">
        <v>0.05</v>
      </c>
    </row>
    <row r="23327" spans="1:4" x14ac:dyDescent="0.25">
      <c r="A23327" t="str">
        <f>HYPERLINK("https://www.773grp.com/globalSearch/SMSZ1600-32T1/page-1", "SMSZ1600-32T1")</f>
        <v>SMSZ1600-32T1</v>
      </c>
      <c r="B23327" s="3" t="str">
        <f>HYPERLINK("https://www.773grp.com/manufacturer/onsemi?pageNo=1151", "ON Semiconductor")</f>
        <v>ON Semiconductor</v>
      </c>
      <c r="C23327" s="6">
        <v>96000</v>
      </c>
      <c r="D23327" s="7">
        <v>0.05</v>
      </c>
    </row>
    <row r="23328" spans="1:4" x14ac:dyDescent="0.25">
      <c r="A23328" t="str">
        <f>HYPERLINK("https://www.773grp.com/globalSearch/SMSZ1600-35T3/page-1", "SMSZ1600-35T3")</f>
        <v>SMSZ1600-35T3</v>
      </c>
      <c r="B23328" s="3" t="str">
        <f>HYPERLINK("https://www.773grp.com/manufacturer/onsemi?pageNo=1152", "ON Semiconductor")</f>
        <v>ON Semiconductor</v>
      </c>
      <c r="C23328" s="6">
        <v>20000</v>
      </c>
      <c r="D23328" s="7">
        <v>0.05</v>
      </c>
    </row>
    <row r="23329" spans="1:5" x14ac:dyDescent="0.25">
      <c r="A23329" t="str">
        <f>HYPERLINK("https://www.773grp.com/globalSearch/SMSZ1600-35T3DS/page-1", "SMSZ1600-35T3DS")</f>
        <v>SMSZ1600-35T3DS</v>
      </c>
      <c r="B23329" s="3" t="str">
        <f>HYPERLINK("https://www.773grp.com/manufacturer/onsemi?pageNo=1153", "ON Semiconductor")</f>
        <v>ON Semiconductor</v>
      </c>
      <c r="C23329" s="6">
        <v>100000</v>
      </c>
      <c r="D23329" s="7">
        <v>0.05</v>
      </c>
    </row>
    <row r="23330" spans="1:5" x14ac:dyDescent="0.25">
      <c r="A23330" t="str">
        <f>HYPERLINK("https://www.773grp.com/globalSearch/SMSZ1604-T3/page-1", "SMSZ1604-T3")</f>
        <v>SMSZ1604-T3</v>
      </c>
      <c r="B23330" s="3" t="str">
        <f>HYPERLINK("https://www.773grp.com/manufacturer/onsemi?pageNo=1154", "ON Semiconductor")</f>
        <v>ON Semiconductor</v>
      </c>
      <c r="C23330" s="6">
        <v>10000</v>
      </c>
      <c r="D23330" s="7">
        <v>0.05</v>
      </c>
    </row>
    <row r="23331" spans="1:5" x14ac:dyDescent="0.25">
      <c r="A23331" t="str">
        <f>HYPERLINK("https://www.773grp.com/globalSearch/SMSZ2620T1DS/page-1", "SMSZ2620T1DS")</f>
        <v>SMSZ2620T1DS</v>
      </c>
      <c r="B23331" s="3" t="str">
        <f>HYPERLINK("https://www.773grp.com/manufacturer/onsemi?pageNo=1155", "ON Semiconductor")</f>
        <v>ON Semiconductor</v>
      </c>
      <c r="C23331" s="6">
        <v>78000</v>
      </c>
      <c r="D23331" s="7">
        <v>0.05</v>
      </c>
    </row>
    <row r="23332" spans="1:5" x14ac:dyDescent="0.25">
      <c r="A23332" t="str">
        <f>HYPERLINK("https://www.773grp.com/globalSearch/SMT10001T3/page-1", "SMT10001T3")</f>
        <v>SMT10001T3</v>
      </c>
      <c r="B23332" s="3" t="str">
        <f>HYPERLINK("https://www.773grp.com/manufacturer/onsemi?pageNo=1156", "ON Semiconductor")</f>
        <v>ON Semiconductor</v>
      </c>
      <c r="C23332" s="6">
        <v>30000</v>
      </c>
      <c r="D23332" s="7">
        <v>0.05</v>
      </c>
    </row>
    <row r="23333" spans="1:5" x14ac:dyDescent="0.25">
      <c r="A23333" t="str">
        <f>HYPERLINK("https://www.773grp.com/globalSearch/SMT10002T3/page-1", "SMT10002T3")</f>
        <v>SMT10002T3</v>
      </c>
      <c r="B23333" s="3" t="str">
        <f>HYPERLINK("https://www.773grp.com/manufacturer/onsemi?pageNo=1157", "ON Semiconductor")</f>
        <v>ON Semiconductor</v>
      </c>
      <c r="C23333" s="6">
        <v>262500</v>
      </c>
      <c r="D23333" s="7">
        <v>0.05</v>
      </c>
    </row>
    <row r="23334" spans="1:5" x14ac:dyDescent="0.25">
      <c r="A23334" t="str">
        <f>HYPERLINK("https://www.773grp.com/globalSearch/SMT10B230T3/page-1", "SMT10B230T3")</f>
        <v>SMT10B230T3</v>
      </c>
      <c r="B23334" s="3" t="str">
        <f>HYPERLINK("https://www.773grp.com/manufacturer/onsemi?pageNo=1158", "ON Semiconductor")</f>
        <v>ON Semiconductor</v>
      </c>
      <c r="C23334" s="6">
        <v>30000</v>
      </c>
      <c r="D23334" s="7">
        <v>0.05</v>
      </c>
    </row>
    <row r="23335" spans="1:5" x14ac:dyDescent="0.25">
      <c r="A23335" t="str">
        <f>HYPERLINK("https://www.773grp.com/globalSearch/SMT10B260T3/page-1", "SMT10B260T3")</f>
        <v>SMT10B260T3</v>
      </c>
      <c r="B23335" s="3" t="str">
        <f>HYPERLINK("https://www.773grp.com/manufacturer/onsemi?pageNo=1159", "ON Semiconductor")</f>
        <v>ON Semiconductor</v>
      </c>
      <c r="C23335" s="6">
        <v>100000</v>
      </c>
      <c r="D23335" s="7">
        <v>0.05</v>
      </c>
    </row>
    <row r="23336" spans="1:5" x14ac:dyDescent="0.25">
      <c r="A23336" t="str">
        <f>HYPERLINK("https://www.773grp.com/globalSearch/SPS8606E3RLRE/page-1", "SPS8606E3RLRE")</f>
        <v>SPS8606E3RLRE</v>
      </c>
      <c r="B23336" s="3" t="str">
        <f>HYPERLINK("https://www.773grp.com/manufacturer/onsemi?pageNo=1160", "ON Semiconductor")</f>
        <v>ON Semiconductor</v>
      </c>
      <c r="C23336" s="6">
        <v>20000</v>
      </c>
      <c r="D23336" s="7">
        <v>0.05</v>
      </c>
    </row>
    <row r="23337" spans="1:5" x14ac:dyDescent="0.25">
      <c r="A23337" t="str">
        <f>HYPERLINK("https://www.773grp.com/globalSearch/SR4255RL/page-1", "SR4255RL")</f>
        <v>SR4255RL</v>
      </c>
      <c r="B23337" s="3" t="str">
        <f>HYPERLINK("https://www.773grp.com/manufacturer/onsemi?pageNo=1161", "ON Semiconductor")</f>
        <v>ON Semiconductor</v>
      </c>
      <c r="C23337" s="6">
        <v>2570000</v>
      </c>
      <c r="D23337" s="7">
        <v>0.05</v>
      </c>
    </row>
    <row r="23338" spans="1:5" x14ac:dyDescent="0.25">
      <c r="A23338" t="str">
        <f>HYPERLINK("https://www.773grp.com/globalSearch/SR4260RL/page-1", "SR4260RL")</f>
        <v>SR4260RL</v>
      </c>
      <c r="B23338" s="3" t="str">
        <f>HYPERLINK("https://www.773grp.com/manufacturer/onsemi?pageNo=1162", "ON Semiconductor")</f>
        <v>ON Semiconductor</v>
      </c>
      <c r="C23338" s="6">
        <v>615000</v>
      </c>
      <c r="D23338" s="7">
        <v>0.05</v>
      </c>
    </row>
    <row r="23339" spans="1:5" x14ac:dyDescent="0.25">
      <c r="A23339" t="str">
        <f>HYPERLINK("https://www.773grp.com/globalSearch/SSV1BAW56LT1/page-1", "SSV1BAW56LT1")</f>
        <v>SSV1BAW56LT1</v>
      </c>
      <c r="B23339" s="3" t="str">
        <f>HYPERLINK("https://www.773grp.com/manufacturer/onsemi?pageNo=1163", "ON Semiconductor")</f>
        <v>ON Semiconductor</v>
      </c>
      <c r="C23339" s="6">
        <v>192000</v>
      </c>
      <c r="D23339" s="7">
        <v>0.05</v>
      </c>
    </row>
    <row r="23340" spans="1:5" x14ac:dyDescent="0.25">
      <c r="A23340" t="str">
        <f>HYPERLINK("https://www.773grp.com/globalSearch/SZBZX84C33ET1G/page-1", "SZBZX84C33ET1G")</f>
        <v>SZBZX84C33ET1G</v>
      </c>
      <c r="B23340" s="3" t="str">
        <f>HYPERLINK("https://www.773grp.com/manufacturer/onsemi?pageNo=1164", "ON Semiconductor")</f>
        <v>ON Semiconductor</v>
      </c>
      <c r="C23340" s="6">
        <v>21000</v>
      </c>
      <c r="D23340" s="7">
        <v>0.05</v>
      </c>
    </row>
    <row r="23341" spans="1:5" x14ac:dyDescent="0.25">
      <c r="A23341" t="str">
        <f>HYPERLINK("https://www.773grp.com/globalSearch/1N4001G/page-1", "1N4001G")</f>
        <v>1N4001G</v>
      </c>
      <c r="B23341" s="3" t="str">
        <f>HYPERLINK("https://www.773grp.com/manufacturer/onsemi?pageNo=1165", "ON Semiconductor")</f>
        <v>ON Semiconductor</v>
      </c>
      <c r="C23341" s="6">
        <v>162393</v>
      </c>
      <c r="D23341" s="7">
        <v>0.1</v>
      </c>
      <c r="E23341" t="s">
        <v>94</v>
      </c>
    </row>
    <row r="23342" spans="1:5" x14ac:dyDescent="0.25">
      <c r="A23342" t="str">
        <f>HYPERLINK("https://www.773grp.com/globalSearch/1N4001RLG/page-1", "1N4001RLG")</f>
        <v>1N4001RLG</v>
      </c>
      <c r="B23342" s="3" t="str">
        <f>HYPERLINK("https://www.773grp.com/manufacturer/onsemi?pageNo=1166", "ON Semiconductor")</f>
        <v>ON Semiconductor</v>
      </c>
      <c r="C23342" s="6">
        <v>239800</v>
      </c>
      <c r="D23342" s="7">
        <v>0.1</v>
      </c>
      <c r="E23342" t="s">
        <v>94</v>
      </c>
    </row>
    <row r="23343" spans="1:5" x14ac:dyDescent="0.25">
      <c r="A23343" t="str">
        <f>HYPERLINK("https://www.773grp.com/globalSearch/1N4002G/page-1", "1N4002G")</f>
        <v>1N4002G</v>
      </c>
      <c r="B23343" s="3" t="str">
        <f>HYPERLINK("https://www.773grp.com/manufacturer/onsemi?pageNo=1167", "ON Semiconductor")</f>
        <v>ON Semiconductor</v>
      </c>
      <c r="C23343" s="6">
        <v>114000</v>
      </c>
      <c r="D23343" s="7">
        <v>0.1</v>
      </c>
      <c r="E23343" t="s">
        <v>94</v>
      </c>
    </row>
    <row r="23344" spans="1:5" x14ac:dyDescent="0.25">
      <c r="A23344" t="str">
        <f>HYPERLINK("https://www.773grp.com/globalSearch/1N4002RL/page-1", "1N4002RL")</f>
        <v>1N4002RL</v>
      </c>
      <c r="B23344" s="3" t="str">
        <f>HYPERLINK("https://www.773grp.com/manufacturer/onsemi?pageNo=1168", "ON Semiconductor")</f>
        <v>ON Semiconductor</v>
      </c>
      <c r="C23344" s="6">
        <v>30000</v>
      </c>
      <c r="D23344" s="7">
        <v>0.1</v>
      </c>
      <c r="E23344" t="s">
        <v>94</v>
      </c>
    </row>
    <row r="23345" spans="1:5" x14ac:dyDescent="0.25">
      <c r="A23345" t="str">
        <f>HYPERLINK("https://www.773grp.com/globalSearch/1N4002RLG/page-1", "1N4002RLG")</f>
        <v>1N4002RLG</v>
      </c>
      <c r="B23345" s="3" t="str">
        <f>HYPERLINK("https://www.773grp.com/manufacturer/onsemi?pageNo=1169", "ON Semiconductor")</f>
        <v>ON Semiconductor</v>
      </c>
      <c r="C23345" s="6">
        <v>5600000</v>
      </c>
      <c r="D23345" s="7">
        <v>0.1</v>
      </c>
      <c r="E23345" t="s">
        <v>94</v>
      </c>
    </row>
    <row r="23346" spans="1:5" x14ac:dyDescent="0.25">
      <c r="A23346" t="str">
        <f>HYPERLINK("https://www.773grp.com/globalSearch/1N4003/page-1", "1N4003")</f>
        <v>1N4003</v>
      </c>
      <c r="B23346" s="3" t="str">
        <f>HYPERLINK("https://www.773grp.com/manufacturer/onsemi?pageNo=1170", "ON Semiconductor")</f>
        <v>ON Semiconductor</v>
      </c>
      <c r="C23346" s="6">
        <v>333500</v>
      </c>
      <c r="D23346" s="7">
        <v>0.1</v>
      </c>
      <c r="E23346" t="s">
        <v>94</v>
      </c>
    </row>
    <row r="23347" spans="1:5" x14ac:dyDescent="0.25">
      <c r="A23347" t="str">
        <f>HYPERLINK("https://www.773grp.com/globalSearch/1N4003G/page-1", "1N4003G")</f>
        <v>1N4003G</v>
      </c>
      <c r="B23347" s="3" t="str">
        <f>HYPERLINK("https://www.773grp.com/manufacturer/onsemi?pageNo=1171", "ON Semiconductor")</f>
        <v>ON Semiconductor</v>
      </c>
      <c r="C23347" s="6">
        <v>103000</v>
      </c>
      <c r="D23347" s="7">
        <v>0.1</v>
      </c>
      <c r="E23347" t="s">
        <v>94</v>
      </c>
    </row>
    <row r="23348" spans="1:5" x14ac:dyDescent="0.25">
      <c r="A23348" t="str">
        <f>HYPERLINK("https://www.773grp.com/globalSearch/1N4003RL/page-1", "1N4003RL")</f>
        <v>1N4003RL</v>
      </c>
      <c r="B23348" s="3" t="str">
        <f>HYPERLINK("https://www.773grp.com/manufacturer/onsemi?pageNo=1172", "ON Semiconductor")</f>
        <v>ON Semiconductor</v>
      </c>
      <c r="C23348" s="6">
        <v>10000</v>
      </c>
      <c r="D23348" s="7">
        <v>0.1</v>
      </c>
      <c r="E23348" t="s">
        <v>94</v>
      </c>
    </row>
    <row r="23349" spans="1:5" x14ac:dyDescent="0.25">
      <c r="A23349" t="str">
        <f>HYPERLINK("https://www.773grp.com/globalSearch/1N4003RLG/page-1", "1N4003RLG")</f>
        <v>1N4003RLG</v>
      </c>
      <c r="B23349" s="3" t="str">
        <f>HYPERLINK("https://www.773grp.com/manufacturer/onsemi?pageNo=1173", "ON Semiconductor")</f>
        <v>ON Semiconductor</v>
      </c>
      <c r="C23349" s="6">
        <v>140000</v>
      </c>
      <c r="D23349" s="7">
        <v>0.1</v>
      </c>
      <c r="E23349" t="s">
        <v>94</v>
      </c>
    </row>
    <row r="23350" spans="1:5" x14ac:dyDescent="0.25">
      <c r="A23350" t="str">
        <f>HYPERLINK("https://www.773grp.com/globalSearch/1N4004/page-1", "1N4004")</f>
        <v>1N4004</v>
      </c>
      <c r="B23350" s="3" t="str">
        <f>HYPERLINK("https://www.773grp.com/manufacturer/onsemi?pageNo=1174", "ON Semiconductor")</f>
        <v>ON Semiconductor</v>
      </c>
      <c r="C23350" s="6">
        <v>22852</v>
      </c>
      <c r="D23350" s="7">
        <v>0.1</v>
      </c>
      <c r="E23350" t="s">
        <v>94</v>
      </c>
    </row>
    <row r="23351" spans="1:5" x14ac:dyDescent="0.25">
      <c r="A23351" t="str">
        <f>HYPERLINK("https://www.773grp.com/globalSearch/1N4004G/page-1", "1N4004G")</f>
        <v>1N4004G</v>
      </c>
      <c r="B23351" s="3" t="str">
        <f>HYPERLINK("https://www.773grp.com/manufacturer/onsemi?pageNo=1175", "ON Semiconductor")</f>
        <v>ON Semiconductor</v>
      </c>
      <c r="C23351" s="6">
        <v>118683</v>
      </c>
      <c r="D23351" s="7">
        <v>0.1</v>
      </c>
      <c r="E23351" t="s">
        <v>94</v>
      </c>
    </row>
    <row r="23352" spans="1:5" x14ac:dyDescent="0.25">
      <c r="A23352" t="str">
        <f>HYPERLINK("https://www.773grp.com/globalSearch/1N4004RL/page-1", "1N4004RL")</f>
        <v>1N4004RL</v>
      </c>
      <c r="B23352" s="3" t="str">
        <f>HYPERLINK("https://www.773grp.com/manufacturer/onsemi?pageNo=1176", "ON Semiconductor")</f>
        <v>ON Semiconductor</v>
      </c>
      <c r="C23352" s="6">
        <v>7500</v>
      </c>
      <c r="D23352" s="7">
        <v>0.1</v>
      </c>
      <c r="E23352" t="s">
        <v>94</v>
      </c>
    </row>
    <row r="23353" spans="1:5" x14ac:dyDescent="0.25">
      <c r="A23353" t="str">
        <f>HYPERLINK("https://www.773grp.com/globalSearch/1N4004RLG/page-1", "1N4004RLG")</f>
        <v>1N4004RLG</v>
      </c>
      <c r="B23353" s="3" t="str">
        <f>HYPERLINK("https://www.773grp.com/manufacturer/onsemi?pageNo=1177", "ON Semiconductor")</f>
        <v>ON Semiconductor</v>
      </c>
      <c r="C23353" s="6">
        <v>143898</v>
      </c>
      <c r="D23353" s="7">
        <v>0.1</v>
      </c>
      <c r="E23353" t="s">
        <v>94</v>
      </c>
    </row>
    <row r="23354" spans="1:5" x14ac:dyDescent="0.25">
      <c r="A23354" t="str">
        <f>HYPERLINK("https://www.773grp.com/globalSearch/1N4005/page-1", "1N4005")</f>
        <v>1N4005</v>
      </c>
      <c r="B23354" s="3" t="str">
        <f>HYPERLINK("https://www.773grp.com/manufacturer/onsemi?pageNo=1178", "ON Semiconductor")</f>
        <v>ON Semiconductor</v>
      </c>
      <c r="C23354" s="6">
        <v>23241</v>
      </c>
      <c r="D23354" s="7">
        <v>0.1</v>
      </c>
      <c r="E23354" t="s">
        <v>94</v>
      </c>
    </row>
    <row r="23355" spans="1:5" x14ac:dyDescent="0.25">
      <c r="A23355" t="str">
        <f>HYPERLINK("https://www.773grp.com/globalSearch/1N4005FF/page-1", "1N4005FF")</f>
        <v>1N4005FF</v>
      </c>
      <c r="B23355" s="3" t="str">
        <f>HYPERLINK("https://www.773grp.com/manufacturer/onsemi?pageNo=1179", "ON Semiconductor")</f>
        <v>ON Semiconductor</v>
      </c>
      <c r="C23355" s="6">
        <v>3000</v>
      </c>
      <c r="D23355" s="7">
        <v>0.1</v>
      </c>
      <c r="E23355" t="s">
        <v>94</v>
      </c>
    </row>
    <row r="23356" spans="1:5" x14ac:dyDescent="0.25">
      <c r="A23356" t="str">
        <f>HYPERLINK("https://www.773grp.com/globalSearch/1N4005FFG/page-1", "1N4005FFG")</f>
        <v>1N4005FFG</v>
      </c>
      <c r="B23356" s="3" t="str">
        <f>HYPERLINK("https://www.773grp.com/manufacturer/onsemi?pageNo=1180", "ON Semiconductor")</f>
        <v>ON Semiconductor</v>
      </c>
      <c r="C23356" s="6">
        <v>18000</v>
      </c>
      <c r="D23356" s="7">
        <v>0.1</v>
      </c>
      <c r="E23356" t="s">
        <v>94</v>
      </c>
    </row>
    <row r="23357" spans="1:5" x14ac:dyDescent="0.25">
      <c r="A23357" t="str">
        <f>HYPERLINK("https://www.773grp.com/globalSearch/1N4005G/page-1", "1N4005G")</f>
        <v>1N4005G</v>
      </c>
      <c r="B23357" s="3" t="str">
        <f>HYPERLINK("https://www.773grp.com/manufacturer/onsemi?pageNo=1181", "ON Semiconductor")</f>
        <v>ON Semiconductor</v>
      </c>
      <c r="C23357" s="6">
        <v>88000</v>
      </c>
      <c r="D23357" s="7">
        <v>0.1</v>
      </c>
      <c r="E23357" t="s">
        <v>94</v>
      </c>
    </row>
    <row r="23358" spans="1:5" x14ac:dyDescent="0.25">
      <c r="A23358" t="str">
        <f>HYPERLINK("https://www.773grp.com/globalSearch/1N4005RL/page-1", "1N4005RL")</f>
        <v>1N4005RL</v>
      </c>
      <c r="B23358" s="3" t="str">
        <f>HYPERLINK("https://www.773grp.com/manufacturer/onsemi?pageNo=1182", "ON Semiconductor")</f>
        <v>ON Semiconductor</v>
      </c>
      <c r="C23358" s="6">
        <v>395000</v>
      </c>
      <c r="D23358" s="7">
        <v>0.1</v>
      </c>
      <c r="E23358" t="s">
        <v>94</v>
      </c>
    </row>
    <row r="23359" spans="1:5" x14ac:dyDescent="0.25">
      <c r="A23359" t="str">
        <f>HYPERLINK("https://www.773grp.com/globalSearch/1N4005RLG/page-1", "1N4005RLG")</f>
        <v>1N4005RLG</v>
      </c>
      <c r="B23359" s="3" t="str">
        <f>HYPERLINK("https://www.773grp.com/manufacturer/onsemi?pageNo=1183", "ON Semiconductor")</f>
        <v>ON Semiconductor</v>
      </c>
      <c r="C23359" s="6">
        <v>20000</v>
      </c>
      <c r="D23359" s="7">
        <v>0.1</v>
      </c>
      <c r="E23359" t="s">
        <v>94</v>
      </c>
    </row>
    <row r="23360" spans="1:5" x14ac:dyDescent="0.25">
      <c r="A23360" t="str">
        <f>HYPERLINK("https://www.773grp.com/globalSearch/1N4006/page-1", "1N4006")</f>
        <v>1N4006</v>
      </c>
      <c r="B23360" s="3" t="str">
        <f>HYPERLINK("https://www.773grp.com/manufacturer/onsemi?pageNo=1184", "ON Semiconductor")</f>
        <v>ON Semiconductor</v>
      </c>
      <c r="C23360" s="6">
        <v>1000</v>
      </c>
      <c r="D23360" s="7">
        <v>0.1</v>
      </c>
      <c r="E23360" t="s">
        <v>94</v>
      </c>
    </row>
    <row r="23361" spans="1:5" x14ac:dyDescent="0.25">
      <c r="A23361" t="str">
        <f>HYPERLINK("https://www.773grp.com/globalSearch/1N4006G/page-1", "1N4006G")</f>
        <v>1N4006G</v>
      </c>
      <c r="B23361" s="3" t="str">
        <f>HYPERLINK("https://www.773grp.com/manufacturer/onsemi?pageNo=1185", "ON Semiconductor")</f>
        <v>ON Semiconductor</v>
      </c>
      <c r="C23361" s="6">
        <v>17816</v>
      </c>
      <c r="D23361" s="7">
        <v>0.1</v>
      </c>
    </row>
    <row r="23362" spans="1:5" x14ac:dyDescent="0.25">
      <c r="A23362" t="str">
        <f>HYPERLINK("https://www.773grp.com/globalSearch/1N4006RLG/page-1", "1N4006RLG")</f>
        <v>1N4006RLG</v>
      </c>
      <c r="B23362" s="3" t="str">
        <f>HYPERLINK("https://www.773grp.com/manufacturer/onsemi?pageNo=1186", "ON Semiconductor")</f>
        <v>ON Semiconductor</v>
      </c>
      <c r="C23362" s="6">
        <v>2692584</v>
      </c>
      <c r="D23362" s="7">
        <v>0.1</v>
      </c>
      <c r="E23362" t="s">
        <v>94</v>
      </c>
    </row>
    <row r="23363" spans="1:5" x14ac:dyDescent="0.25">
      <c r="A23363" t="str">
        <f>HYPERLINK("https://www.773grp.com/globalSearch/1N4007FF/page-1", "1N4007FF")</f>
        <v>1N4007FF</v>
      </c>
      <c r="B23363" s="3" t="str">
        <f>HYPERLINK("https://www.773grp.com/manufacturer/onsemi?pageNo=1187", "ON Semiconductor")</f>
        <v>ON Semiconductor</v>
      </c>
      <c r="C23363" s="6">
        <v>29850</v>
      </c>
      <c r="D23363" s="7">
        <v>0.1</v>
      </c>
      <c r="E23363" t="s">
        <v>94</v>
      </c>
    </row>
    <row r="23364" spans="1:5" x14ac:dyDescent="0.25">
      <c r="A23364" t="str">
        <f>HYPERLINK("https://www.773grp.com/globalSearch/1N4007G/page-1", "1N4007G")</f>
        <v>1N4007G</v>
      </c>
      <c r="B23364" s="3" t="str">
        <f>HYPERLINK("https://www.773grp.com/manufacturer/onsemi?pageNo=1188", "ON Semiconductor")</f>
        <v>ON Semiconductor</v>
      </c>
      <c r="C23364" s="6">
        <v>105000</v>
      </c>
      <c r="D23364" s="7">
        <v>0.1</v>
      </c>
      <c r="E23364" t="s">
        <v>94</v>
      </c>
    </row>
    <row r="23365" spans="1:5" x14ac:dyDescent="0.25">
      <c r="A23365" t="str">
        <f>HYPERLINK("https://www.773grp.com/globalSearch/1N4007RLG/page-1", "1N4007RLG")</f>
        <v>1N4007RLG</v>
      </c>
      <c r="B23365" s="3" t="str">
        <f>HYPERLINK("https://www.773grp.com/manufacturer/onsemi?pageNo=1189", "ON Semiconductor")</f>
        <v>ON Semiconductor</v>
      </c>
      <c r="C23365" s="6">
        <v>2010911</v>
      </c>
      <c r="D23365" s="7">
        <v>0.1</v>
      </c>
      <c r="E23365" t="s">
        <v>94</v>
      </c>
    </row>
    <row r="23366" spans="1:5" x14ac:dyDescent="0.25">
      <c r="A23366" t="str">
        <f>HYPERLINK("https://www.773grp.com/globalSearch/1N4372ARL/page-1", "1N4372ARL")</f>
        <v>1N4372ARL</v>
      </c>
      <c r="B23366" s="3" t="str">
        <f>HYPERLINK("https://www.773grp.com/manufacturer/onsemi?pageNo=1190", "ON Semiconductor")</f>
        <v>ON Semiconductor</v>
      </c>
      <c r="C23366" s="6">
        <v>71490</v>
      </c>
      <c r="D23366" s="7">
        <v>0.1</v>
      </c>
      <c r="E23366" t="s">
        <v>98</v>
      </c>
    </row>
    <row r="23367" spans="1:5" x14ac:dyDescent="0.25">
      <c r="A23367" t="str">
        <f>HYPERLINK("https://www.773grp.com/globalSearch/1N4686/page-1", "1N4686")</f>
        <v>1N4686</v>
      </c>
      <c r="B23367" s="3" t="str">
        <f>HYPERLINK("https://www.773grp.com/manufacturer/onsemi?pageNo=1191", "ON Semiconductor")</f>
        <v>ON Semiconductor</v>
      </c>
      <c r="C23367" s="6">
        <v>72566</v>
      </c>
      <c r="D23367" s="7">
        <v>0.1</v>
      </c>
      <c r="E23367" t="s">
        <v>98</v>
      </c>
    </row>
    <row r="23368" spans="1:5" x14ac:dyDescent="0.25">
      <c r="A23368" t="str">
        <f>HYPERLINK("https://www.773grp.com/globalSearch/1N4689TA/page-1", "1N4689TA")</f>
        <v>1N4689TA</v>
      </c>
      <c r="B23368" s="3" t="str">
        <f>HYPERLINK("https://www.773grp.com/manufacturer/onsemi?pageNo=1192", "ON Semiconductor")</f>
        <v>ON Semiconductor</v>
      </c>
      <c r="C23368" s="6">
        <v>314165</v>
      </c>
      <c r="D23368" s="7">
        <v>0.1</v>
      </c>
      <c r="E23368" t="s">
        <v>98</v>
      </c>
    </row>
    <row r="23369" spans="1:5" x14ac:dyDescent="0.25">
      <c r="A23369" t="str">
        <f>HYPERLINK("https://www.773grp.com/globalSearch/1N4729ARL/page-1", "1N4729ARL")</f>
        <v>1N4729ARL</v>
      </c>
      <c r="B23369" s="3" t="str">
        <f>HYPERLINK("https://www.773grp.com/manufacturer/onsemi?pageNo=1193", "ON Semiconductor")</f>
        <v>ON Semiconductor</v>
      </c>
      <c r="C23369" s="6">
        <v>6014</v>
      </c>
      <c r="D23369" s="7">
        <v>0.1</v>
      </c>
      <c r="E23369" t="s">
        <v>98</v>
      </c>
    </row>
    <row r="23370" spans="1:5" x14ac:dyDescent="0.25">
      <c r="A23370" t="str">
        <f>HYPERLINK("https://www.773grp.com/globalSearch/1N4731ARL/page-1", "1N4731ARL")</f>
        <v>1N4731ARL</v>
      </c>
      <c r="B23370" s="3" t="str">
        <f>HYPERLINK("https://www.773grp.com/manufacturer/onsemi?pageNo=1194", "ON Semiconductor")</f>
        <v>ON Semiconductor</v>
      </c>
      <c r="C23370" s="6">
        <v>32500</v>
      </c>
      <c r="D23370" s="7">
        <v>0.1</v>
      </c>
      <c r="E23370" t="s">
        <v>98</v>
      </c>
    </row>
    <row r="23371" spans="1:5" x14ac:dyDescent="0.25">
      <c r="A23371" t="str">
        <f>HYPERLINK("https://www.773grp.com/globalSearch/1N4736ATA/page-1", "1N4736ATA")</f>
        <v>1N4736ATA</v>
      </c>
      <c r="B23371" s="3" t="str">
        <f>HYPERLINK("https://www.773grp.com/manufacturer/onsemi?pageNo=1195", "ON Semiconductor")</f>
        <v>ON Semiconductor</v>
      </c>
      <c r="C23371" s="6">
        <v>4431</v>
      </c>
      <c r="D23371" s="7">
        <v>0.1</v>
      </c>
      <c r="E23371" t="s">
        <v>98</v>
      </c>
    </row>
    <row r="23372" spans="1:5" x14ac:dyDescent="0.25">
      <c r="A23372" t="str">
        <f>HYPERLINK("https://www.773grp.com/globalSearch/1N4737A/page-1", "1N4737A")</f>
        <v>1N4737A</v>
      </c>
      <c r="B23372" s="3" t="str">
        <f>HYPERLINK("https://www.773grp.com/manufacturer/onsemi?pageNo=1196", "ON Semiconductor")</f>
        <v>ON Semiconductor</v>
      </c>
      <c r="C23372" s="6">
        <v>3203</v>
      </c>
      <c r="D23372" s="7">
        <v>0.1</v>
      </c>
      <c r="E23372" t="s">
        <v>98</v>
      </c>
    </row>
    <row r="23373" spans="1:5" x14ac:dyDescent="0.25">
      <c r="A23373" t="str">
        <f>HYPERLINK("https://www.773grp.com/globalSearch/1N4737ARL/page-1", "1N4737ARL")</f>
        <v>1N4737ARL</v>
      </c>
      <c r="B23373" s="3" t="str">
        <f>HYPERLINK("https://www.773grp.com/manufacturer/onsemi?pageNo=1197", "ON Semiconductor")</f>
        <v>ON Semiconductor</v>
      </c>
      <c r="C23373" s="6">
        <v>65</v>
      </c>
      <c r="D23373" s="7">
        <v>0.1</v>
      </c>
      <c r="E23373" t="s">
        <v>98</v>
      </c>
    </row>
    <row r="23374" spans="1:5" x14ac:dyDescent="0.25">
      <c r="A23374" t="str">
        <f>HYPERLINK("https://www.773grp.com/globalSearch/1N4737ATA/page-1", "1N4737ATA")</f>
        <v>1N4737ATA</v>
      </c>
      <c r="B23374" s="3" t="str">
        <f>HYPERLINK("https://www.773grp.com/manufacturer/onsemi?pageNo=1198", "ON Semiconductor")</f>
        <v>ON Semiconductor</v>
      </c>
      <c r="C23374" s="6">
        <v>19</v>
      </c>
      <c r="D23374" s="7">
        <v>0.1</v>
      </c>
      <c r="E23374" t="s">
        <v>98</v>
      </c>
    </row>
    <row r="23375" spans="1:5" x14ac:dyDescent="0.25">
      <c r="A23375" t="str">
        <f>HYPERLINK("https://www.773grp.com/globalSearch/1N4738ARL/page-1", "1N4738ARL")</f>
        <v>1N4738ARL</v>
      </c>
      <c r="B23375" s="3" t="str">
        <f>HYPERLINK("https://www.773grp.com/manufacturer/onsemi?pageNo=1199", "ON Semiconductor")</f>
        <v>ON Semiconductor</v>
      </c>
      <c r="C23375" s="6">
        <v>66000</v>
      </c>
      <c r="D23375" s="7">
        <v>0.1</v>
      </c>
      <c r="E23375" t="s">
        <v>98</v>
      </c>
    </row>
    <row r="23376" spans="1:5" x14ac:dyDescent="0.25">
      <c r="A23376" t="str">
        <f>HYPERLINK("https://www.773grp.com/globalSearch/1N4738ATA/page-1", "1N4738ATA")</f>
        <v>1N4738ATA</v>
      </c>
      <c r="B23376" s="3" t="str">
        <f>HYPERLINK("https://www.773grp.com/manufacturer/onsemi?pageNo=1200", "ON Semiconductor")</f>
        <v>ON Semiconductor</v>
      </c>
      <c r="C23376" s="6">
        <v>44000</v>
      </c>
      <c r="D23376" s="7">
        <v>0.1</v>
      </c>
      <c r="E23376" t="s">
        <v>98</v>
      </c>
    </row>
    <row r="23377" spans="1:5" x14ac:dyDescent="0.25">
      <c r="A23377" t="str">
        <f>HYPERLINK("https://www.773grp.com/globalSearch/1N4741ARL/page-1", "1N4741ARL")</f>
        <v>1N4741ARL</v>
      </c>
      <c r="B23377" s="3" t="str">
        <f>HYPERLINK("https://www.773grp.com/manufacturer/onsemi?pageNo=1201", "ON Semiconductor")</f>
        <v>ON Semiconductor</v>
      </c>
      <c r="C23377" s="6">
        <v>4750</v>
      </c>
      <c r="D23377" s="7">
        <v>0.1</v>
      </c>
      <c r="E23377" t="s">
        <v>98</v>
      </c>
    </row>
    <row r="23378" spans="1:5" x14ac:dyDescent="0.25">
      <c r="A23378" t="str">
        <f>HYPERLINK("https://www.773grp.com/globalSearch/1N4743ARL/page-1", "1N4743ARL")</f>
        <v>1N4743ARL</v>
      </c>
      <c r="B23378" s="3" t="str">
        <f>HYPERLINK("https://www.773grp.com/manufacturer/onsemi?pageNo=1202", "ON Semiconductor")</f>
        <v>ON Semiconductor</v>
      </c>
      <c r="C23378" s="6">
        <v>468950</v>
      </c>
      <c r="D23378" s="7">
        <v>0.1</v>
      </c>
      <c r="E23378" t="s">
        <v>98</v>
      </c>
    </row>
    <row r="23379" spans="1:5" x14ac:dyDescent="0.25">
      <c r="A23379" t="str">
        <f>HYPERLINK("https://www.773grp.com/globalSearch/1N4746ATA/page-1", "1N4746ATA")</f>
        <v>1N4746ATA</v>
      </c>
      <c r="B23379" s="3" t="str">
        <f>HYPERLINK("https://www.773grp.com/manufacturer/onsemi?pageNo=1203", "ON Semiconductor")</f>
        <v>ON Semiconductor</v>
      </c>
      <c r="C23379" s="6">
        <v>3603</v>
      </c>
      <c r="D23379" s="7">
        <v>0.1</v>
      </c>
      <c r="E23379" t="s">
        <v>98</v>
      </c>
    </row>
    <row r="23380" spans="1:5" x14ac:dyDescent="0.25">
      <c r="A23380" t="str">
        <f>HYPERLINK("https://www.773grp.com/globalSearch/1N4747ARL/page-1", "1N4747ARL")</f>
        <v>1N4747ARL</v>
      </c>
      <c r="B23380" s="3" t="str">
        <f>HYPERLINK("https://www.773grp.com/manufacturer/onsemi?pageNo=1204", "ON Semiconductor")</f>
        <v>ON Semiconductor</v>
      </c>
      <c r="C23380" s="6">
        <v>36000</v>
      </c>
      <c r="D23380" s="7">
        <v>0.1</v>
      </c>
      <c r="E23380" t="s">
        <v>98</v>
      </c>
    </row>
    <row r="23381" spans="1:5" x14ac:dyDescent="0.25">
      <c r="A23381" t="str">
        <f>HYPERLINK("https://www.773grp.com/globalSearch/1N4749A/page-1", "1N4749A")</f>
        <v>1N4749A</v>
      </c>
      <c r="B23381" s="3" t="str">
        <f>HYPERLINK("https://www.773grp.com/manufacturer/onsemi?pageNo=1205", "ON Semiconductor")</f>
        <v>ON Semiconductor</v>
      </c>
      <c r="C23381" s="6">
        <v>1437026</v>
      </c>
      <c r="D23381" s="7">
        <v>0.1</v>
      </c>
      <c r="E23381" t="s">
        <v>98</v>
      </c>
    </row>
    <row r="23382" spans="1:5" x14ac:dyDescent="0.25">
      <c r="A23382" t="str">
        <f>HYPERLINK("https://www.773grp.com/globalSearch/1N4749ARL/page-1", "1N4749ARL")</f>
        <v>1N4749ARL</v>
      </c>
      <c r="B23382" s="3" t="str">
        <f>HYPERLINK("https://www.773grp.com/manufacturer/onsemi?pageNo=1206", "ON Semiconductor")</f>
        <v>ON Semiconductor</v>
      </c>
      <c r="C23382" s="6">
        <v>38896</v>
      </c>
      <c r="D23382" s="7">
        <v>0.1</v>
      </c>
      <c r="E23382" t="s">
        <v>98</v>
      </c>
    </row>
    <row r="23383" spans="1:5" x14ac:dyDescent="0.25">
      <c r="A23383" t="str">
        <f>HYPERLINK("https://www.773grp.com/globalSearch/1N4749ATA/page-1", "1N4749ATA")</f>
        <v>1N4749ATA</v>
      </c>
      <c r="B23383" s="3" t="str">
        <f>HYPERLINK("https://www.773grp.com/manufacturer/onsemi?pageNo=1207", "ON Semiconductor")</f>
        <v>ON Semiconductor</v>
      </c>
      <c r="C23383" s="6">
        <v>600</v>
      </c>
      <c r="D23383" s="7">
        <v>0.1</v>
      </c>
      <c r="E23383" t="s">
        <v>98</v>
      </c>
    </row>
    <row r="23384" spans="1:5" x14ac:dyDescent="0.25">
      <c r="A23384" t="str">
        <f>HYPERLINK("https://www.773grp.com/globalSearch/1N4750A/page-1", "1N4750A")</f>
        <v>1N4750A</v>
      </c>
      <c r="B23384" s="3" t="str">
        <f>HYPERLINK("https://www.773grp.com/manufacturer/onsemi?pageNo=1208", "ON Semiconductor")</f>
        <v>ON Semiconductor</v>
      </c>
      <c r="C23384" s="6">
        <v>18233</v>
      </c>
      <c r="D23384" s="7">
        <v>0.1</v>
      </c>
      <c r="E23384" t="s">
        <v>98</v>
      </c>
    </row>
    <row r="23385" spans="1:5" x14ac:dyDescent="0.25">
      <c r="A23385" t="str">
        <f>HYPERLINK("https://www.773grp.com/globalSearch/1N4750ARL/page-1", "1N4750ARL")</f>
        <v>1N4750ARL</v>
      </c>
      <c r="B23385" s="3" t="str">
        <f>HYPERLINK("https://www.773grp.com/manufacturer/onsemi?pageNo=1209", "ON Semiconductor")</f>
        <v>ON Semiconductor</v>
      </c>
      <c r="C23385" s="6">
        <v>126000</v>
      </c>
      <c r="D23385" s="7">
        <v>0.1</v>
      </c>
      <c r="E23385" t="s">
        <v>98</v>
      </c>
    </row>
    <row r="23386" spans="1:5" x14ac:dyDescent="0.25">
      <c r="A23386" t="str">
        <f>HYPERLINK("https://www.773grp.com/globalSearch/1N4756ARL/page-1", "1N4756ARL")</f>
        <v>1N4756ARL</v>
      </c>
      <c r="B23386" s="3" t="str">
        <f>HYPERLINK("https://www.773grp.com/manufacturer/onsemi?pageNo=1210", "ON Semiconductor")</f>
        <v>ON Semiconductor</v>
      </c>
      <c r="C23386" s="6">
        <v>12000</v>
      </c>
      <c r="D23386" s="7">
        <v>0.1</v>
      </c>
      <c r="E23386" t="s">
        <v>98</v>
      </c>
    </row>
    <row r="23387" spans="1:5" x14ac:dyDescent="0.25">
      <c r="A23387" t="str">
        <f>HYPERLINK("https://www.773grp.com/globalSearch/1N4933/page-1", "1N4933")</f>
        <v>1N4933</v>
      </c>
      <c r="B23387" s="3" t="str">
        <f>HYPERLINK("https://www.773grp.com/manufacturer/onsemi?pageNo=1211", "ON Semiconductor")</f>
        <v>ON Semiconductor</v>
      </c>
      <c r="C23387" s="6">
        <v>5000</v>
      </c>
      <c r="D23387" s="7">
        <v>0.1</v>
      </c>
      <c r="E23387" t="s">
        <v>94</v>
      </c>
    </row>
    <row r="23388" spans="1:5" x14ac:dyDescent="0.25">
      <c r="A23388" t="str">
        <f>HYPERLINK("https://www.773grp.com/globalSearch/1N4934/page-1", "1N4934")</f>
        <v>1N4934</v>
      </c>
      <c r="B23388" s="3" t="str">
        <f>HYPERLINK("https://www.773grp.com/manufacturer/onsemi?pageNo=1212", "ON Semiconductor")</f>
        <v>ON Semiconductor</v>
      </c>
      <c r="C23388" s="6">
        <v>17990</v>
      </c>
      <c r="D23388" s="7">
        <v>0.1</v>
      </c>
      <c r="E23388" t="s">
        <v>94</v>
      </c>
    </row>
    <row r="23389" spans="1:5" x14ac:dyDescent="0.25">
      <c r="A23389" t="str">
        <f>HYPERLINK("https://www.773grp.com/globalSearch/1N4934RL/page-1", "1N4934RL")</f>
        <v>1N4934RL</v>
      </c>
      <c r="B23389" s="3" t="str">
        <f>HYPERLINK("https://www.773grp.com/manufacturer/onsemi?pageNo=1213", "ON Semiconductor")</f>
        <v>ON Semiconductor</v>
      </c>
      <c r="C23389" s="6">
        <v>10000</v>
      </c>
      <c r="D23389" s="7">
        <v>0.1</v>
      </c>
      <c r="E23389" t="s">
        <v>94</v>
      </c>
    </row>
    <row r="23390" spans="1:5" x14ac:dyDescent="0.25">
      <c r="A23390" t="str">
        <f>HYPERLINK("https://www.773grp.com/globalSearch/1N4937/page-1", "1N4937")</f>
        <v>1N4937</v>
      </c>
      <c r="B23390" s="3" t="str">
        <f>HYPERLINK("https://www.773grp.com/manufacturer/onsemi?pageNo=1214", "ON Semiconductor")</f>
        <v>ON Semiconductor</v>
      </c>
      <c r="C23390" s="6">
        <v>2000</v>
      </c>
      <c r="D23390" s="7">
        <v>0.1</v>
      </c>
      <c r="E23390" t="s">
        <v>94</v>
      </c>
    </row>
    <row r="23391" spans="1:5" x14ac:dyDescent="0.25">
      <c r="A23391" t="str">
        <f>HYPERLINK("https://www.773grp.com/globalSearch/1N4937RL/page-1", "1N4937RL")</f>
        <v>1N4937RL</v>
      </c>
      <c r="B23391" s="3" t="str">
        <f>HYPERLINK("https://www.773grp.com/manufacturer/onsemi?pageNo=1215", "ON Semiconductor")</f>
        <v>ON Semiconductor</v>
      </c>
      <c r="C23391" s="6">
        <v>3730</v>
      </c>
      <c r="D23391" s="7">
        <v>0.1</v>
      </c>
      <c r="E23391" t="s">
        <v>94</v>
      </c>
    </row>
    <row r="23392" spans="1:5" x14ac:dyDescent="0.25">
      <c r="A23392" t="str">
        <f>HYPERLINK("https://www.773grp.com/globalSearch/1N5223BRL/page-1", "1N5223BRL")</f>
        <v>1N5223BRL</v>
      </c>
      <c r="B23392" s="3" t="str">
        <f>HYPERLINK("https://www.773grp.com/manufacturer/onsemi?pageNo=1216", "ON Semiconductor")</f>
        <v>ON Semiconductor</v>
      </c>
      <c r="C23392" s="6">
        <v>17200</v>
      </c>
      <c r="D23392" s="7">
        <v>0.1</v>
      </c>
      <c r="E23392" t="s">
        <v>98</v>
      </c>
    </row>
    <row r="23393" spans="1:5" x14ac:dyDescent="0.25">
      <c r="A23393" t="str">
        <f>HYPERLINK("https://www.773grp.com/globalSearch/1N5225B/page-1", "1N5225B")</f>
        <v>1N5225B</v>
      </c>
      <c r="B23393" s="3" t="str">
        <f>HYPERLINK("https://www.773grp.com/manufacturer/onsemi?pageNo=1217", "ON Semiconductor")</f>
        <v>ON Semiconductor</v>
      </c>
      <c r="C23393" s="6">
        <v>30350</v>
      </c>
      <c r="D23393" s="7">
        <v>0.1</v>
      </c>
      <c r="E23393" t="s">
        <v>98</v>
      </c>
    </row>
    <row r="23394" spans="1:5" x14ac:dyDescent="0.25">
      <c r="A23394" t="str">
        <f>HYPERLINK("https://www.773grp.com/globalSearch/1N5225BRL/page-1", "1N5225BRL")</f>
        <v>1N5225BRL</v>
      </c>
      <c r="B23394" s="3" t="str">
        <f>HYPERLINK("https://www.773grp.com/manufacturer/onsemi?pageNo=1218", "ON Semiconductor")</f>
        <v>ON Semiconductor</v>
      </c>
      <c r="C23394" s="6">
        <v>135000</v>
      </c>
      <c r="D23394" s="7">
        <v>0.1</v>
      </c>
      <c r="E23394" t="s">
        <v>98</v>
      </c>
    </row>
    <row r="23395" spans="1:5" x14ac:dyDescent="0.25">
      <c r="A23395" t="str">
        <f>HYPERLINK("https://www.773grp.com/globalSearch/1N5228BRL/page-1", "1N5228BRL")</f>
        <v>1N5228BRL</v>
      </c>
      <c r="B23395" s="3" t="str">
        <f>HYPERLINK("https://www.773grp.com/manufacturer/onsemi?pageNo=1219", "ON Semiconductor")</f>
        <v>ON Semiconductor</v>
      </c>
      <c r="C23395" s="6">
        <v>675000</v>
      </c>
      <c r="D23395" s="7">
        <v>0.1</v>
      </c>
      <c r="E23395" t="s">
        <v>98</v>
      </c>
    </row>
    <row r="23396" spans="1:5" x14ac:dyDescent="0.25">
      <c r="A23396" t="str">
        <f>HYPERLINK("https://www.773grp.com/globalSearch/1N5232BTA/page-1", "1N5232BTA")</f>
        <v>1N5232BTA</v>
      </c>
      <c r="B23396" s="3" t="str">
        <f>HYPERLINK("https://www.773grp.com/manufacturer/onsemi?pageNo=1220", "ON Semiconductor")</f>
        <v>ON Semiconductor</v>
      </c>
      <c r="C23396" s="6">
        <v>17000</v>
      </c>
      <c r="D23396" s="7">
        <v>0.1</v>
      </c>
      <c r="E23396" t="s">
        <v>98</v>
      </c>
    </row>
    <row r="23397" spans="1:5" x14ac:dyDescent="0.25">
      <c r="A23397" t="str">
        <f>HYPERLINK("https://www.773grp.com/globalSearch/1N5235BRL/page-1", "1N5235BRL")</f>
        <v>1N5235BRL</v>
      </c>
      <c r="B23397" s="3" t="str">
        <f>HYPERLINK("https://www.773grp.com/manufacturer/onsemi?pageNo=1221", "ON Semiconductor")</f>
        <v>ON Semiconductor</v>
      </c>
      <c r="C23397" s="6">
        <v>4900</v>
      </c>
      <c r="D23397" s="7">
        <v>0.1</v>
      </c>
      <c r="E23397" t="s">
        <v>98</v>
      </c>
    </row>
    <row r="23398" spans="1:5" x14ac:dyDescent="0.25">
      <c r="A23398" t="str">
        <f>HYPERLINK("https://www.773grp.com/globalSearch/1N5237B/page-1", "1N5237B")</f>
        <v>1N5237B</v>
      </c>
      <c r="B23398" s="3" t="str">
        <f>HYPERLINK("https://www.773grp.com/manufacturer/onsemi?pageNo=1222", "ON Semiconductor")</f>
        <v>ON Semiconductor</v>
      </c>
      <c r="C23398" s="6">
        <v>4650</v>
      </c>
      <c r="D23398" s="7">
        <v>0.1</v>
      </c>
      <c r="E23398" t="s">
        <v>98</v>
      </c>
    </row>
    <row r="23399" spans="1:5" x14ac:dyDescent="0.25">
      <c r="A23399" t="str">
        <f>HYPERLINK("https://www.773grp.com/globalSearch/1N5237BRL/page-1", "1N5237BRL")</f>
        <v>1N5237BRL</v>
      </c>
      <c r="B23399" s="3" t="str">
        <f>HYPERLINK("https://www.773grp.com/manufacturer/onsemi?pageNo=1223", "ON Semiconductor")</f>
        <v>ON Semiconductor</v>
      </c>
      <c r="C23399" s="6">
        <v>10000</v>
      </c>
      <c r="D23399" s="7">
        <v>0.1</v>
      </c>
      <c r="E23399" t="s">
        <v>98</v>
      </c>
    </row>
    <row r="23400" spans="1:5" x14ac:dyDescent="0.25">
      <c r="A23400" t="str">
        <f>HYPERLINK("https://www.773grp.com/globalSearch/1N5240BRL/page-1", "1N5240BRL")</f>
        <v>1N5240BRL</v>
      </c>
      <c r="B23400" s="3" t="str">
        <f>HYPERLINK("https://www.773grp.com/manufacturer/onsemi?pageNo=1224", "ON Semiconductor")</f>
        <v>ON Semiconductor</v>
      </c>
      <c r="C23400" s="6">
        <v>58500</v>
      </c>
      <c r="D23400" s="7">
        <v>0.1</v>
      </c>
      <c r="E23400" t="s">
        <v>98</v>
      </c>
    </row>
    <row r="23401" spans="1:5" x14ac:dyDescent="0.25">
      <c r="A23401" t="str">
        <f>HYPERLINK("https://www.773grp.com/globalSearch/1N5241BRL/page-1", "1N5241BRL")</f>
        <v>1N5241BRL</v>
      </c>
      <c r="B23401" s="3" t="str">
        <f>HYPERLINK("https://www.773grp.com/manufacturer/onsemi?pageNo=1225", "ON Semiconductor")</f>
        <v>ON Semiconductor</v>
      </c>
      <c r="C23401" s="6">
        <v>15000</v>
      </c>
      <c r="D23401" s="7">
        <v>0.1</v>
      </c>
      <c r="E23401" t="s">
        <v>98</v>
      </c>
    </row>
    <row r="23402" spans="1:5" x14ac:dyDescent="0.25">
      <c r="A23402" t="str">
        <f>HYPERLINK("https://www.773grp.com/globalSearch/1N5244B/page-1", "1N5244B")</f>
        <v>1N5244B</v>
      </c>
      <c r="B23402" s="3" t="str">
        <f>HYPERLINK("https://www.773grp.com/manufacturer/onsemi?pageNo=1226", "ON Semiconductor")</f>
        <v>ON Semiconductor</v>
      </c>
      <c r="C23402" s="6">
        <v>20639</v>
      </c>
      <c r="D23402" s="7">
        <v>0.1</v>
      </c>
      <c r="E23402" t="s">
        <v>98</v>
      </c>
    </row>
    <row r="23403" spans="1:5" x14ac:dyDescent="0.25">
      <c r="A23403" t="str">
        <f>HYPERLINK("https://www.773grp.com/globalSearch/1N5250BRL/page-1", "1N5250BRL")</f>
        <v>1N5250BRL</v>
      </c>
      <c r="B23403" s="3" t="str">
        <f>HYPERLINK("https://www.773grp.com/manufacturer/onsemi?pageNo=1227", "ON Semiconductor")</f>
        <v>ON Semiconductor</v>
      </c>
      <c r="C23403" s="6">
        <v>182500</v>
      </c>
      <c r="D23403" s="7">
        <v>0.1</v>
      </c>
      <c r="E23403" t="s">
        <v>98</v>
      </c>
    </row>
    <row r="23404" spans="1:5" x14ac:dyDescent="0.25">
      <c r="A23404" t="str">
        <f>HYPERLINK("https://www.773grp.com/globalSearch/1N5253BRL/page-1", "1N5253BRL")</f>
        <v>1N5253BRL</v>
      </c>
      <c r="B23404" s="3" t="str">
        <f>HYPERLINK("https://www.773grp.com/manufacturer/onsemi?pageNo=1228", "ON Semiconductor")</f>
        <v>ON Semiconductor</v>
      </c>
      <c r="C23404" s="6">
        <v>35000</v>
      </c>
      <c r="D23404" s="7">
        <v>0.1</v>
      </c>
      <c r="E23404" t="s">
        <v>98</v>
      </c>
    </row>
    <row r="23405" spans="1:5" x14ac:dyDescent="0.25">
      <c r="A23405" t="str">
        <f>HYPERLINK("https://www.773grp.com/globalSearch/1N5258B/page-1", "1N5258B")</f>
        <v>1N5258B</v>
      </c>
      <c r="B23405" s="3" t="str">
        <f>HYPERLINK("https://www.773grp.com/manufacturer/onsemi?pageNo=1229", "ON Semiconductor")</f>
        <v>ON Semiconductor</v>
      </c>
      <c r="C23405" s="6">
        <v>15000</v>
      </c>
      <c r="D23405" s="7">
        <v>0.1</v>
      </c>
      <c r="E23405" t="s">
        <v>98</v>
      </c>
    </row>
    <row r="23406" spans="1:5" x14ac:dyDescent="0.25">
      <c r="A23406" t="str">
        <f>HYPERLINK("https://www.773grp.com/globalSearch/1N5262BRL/page-1", "1N5262BRL")</f>
        <v>1N5262BRL</v>
      </c>
      <c r="B23406" s="3" t="str">
        <f>HYPERLINK("https://www.773grp.com/manufacturer/onsemi?pageNo=1230", "ON Semiconductor")</f>
        <v>ON Semiconductor</v>
      </c>
      <c r="C23406" s="6">
        <v>120</v>
      </c>
      <c r="D23406" s="7">
        <v>0.1</v>
      </c>
      <c r="E23406" t="s">
        <v>98</v>
      </c>
    </row>
    <row r="23407" spans="1:5" x14ac:dyDescent="0.25">
      <c r="A23407" t="str">
        <f>HYPERLINK("https://www.773grp.com/globalSearch/1N5993BRL/page-1", "1N5993BRL")</f>
        <v>1N5993BRL</v>
      </c>
      <c r="B23407" s="3" t="str">
        <f>HYPERLINK("https://www.773grp.com/manufacturer/onsemi?pageNo=1231", "ON Semiconductor")</f>
        <v>ON Semiconductor</v>
      </c>
      <c r="C23407" s="6">
        <v>25000</v>
      </c>
      <c r="D23407" s="7">
        <v>0.1</v>
      </c>
      <c r="E23407" t="s">
        <v>98</v>
      </c>
    </row>
    <row r="23408" spans="1:5" x14ac:dyDescent="0.25">
      <c r="A23408" t="str">
        <f>HYPERLINK("https://www.773grp.com/globalSearch/1N5995B/page-1", "1N5995B")</f>
        <v>1N5995B</v>
      </c>
      <c r="B23408" s="3" t="str">
        <f>HYPERLINK("https://www.773grp.com/manufacturer/onsemi?pageNo=1232", "ON Semiconductor")</f>
        <v>ON Semiconductor</v>
      </c>
      <c r="C23408" s="6">
        <v>1918</v>
      </c>
      <c r="D23408" s="7">
        <v>0.1</v>
      </c>
      <c r="E23408" t="s">
        <v>98</v>
      </c>
    </row>
    <row r="23409" spans="1:5" x14ac:dyDescent="0.25">
      <c r="A23409" t="str">
        <f>HYPERLINK("https://www.773grp.com/globalSearch/1N5995BRL/page-1", "1N5995BRL")</f>
        <v>1N5995BRL</v>
      </c>
      <c r="B23409" s="3" t="str">
        <f>HYPERLINK("https://www.773grp.com/manufacturer/onsemi?pageNo=1233", "ON Semiconductor")</f>
        <v>ON Semiconductor</v>
      </c>
      <c r="C23409" s="6">
        <v>650000</v>
      </c>
      <c r="D23409" s="7">
        <v>0.1</v>
      </c>
      <c r="E23409" t="s">
        <v>98</v>
      </c>
    </row>
    <row r="23410" spans="1:5" x14ac:dyDescent="0.25">
      <c r="A23410" t="str">
        <f>HYPERLINK("https://www.773grp.com/globalSearch/1N6004B/page-1", "1N6004B")</f>
        <v>1N6004B</v>
      </c>
      <c r="B23410" s="3" t="str">
        <f>HYPERLINK("https://www.773grp.com/manufacturer/onsemi?pageNo=1234", "ON Semiconductor")</f>
        <v>ON Semiconductor</v>
      </c>
      <c r="C23410" s="6">
        <v>439483</v>
      </c>
      <c r="D23410" s="7">
        <v>0.1</v>
      </c>
      <c r="E23410" t="s">
        <v>98</v>
      </c>
    </row>
    <row r="23411" spans="1:5" x14ac:dyDescent="0.25">
      <c r="A23411" t="str">
        <f>HYPERLINK("https://www.773grp.com/globalSearch/1N6007BRL/page-1", "1N6007BRL")</f>
        <v>1N6007BRL</v>
      </c>
      <c r="B23411" s="3" t="str">
        <f>HYPERLINK("https://www.773grp.com/manufacturer/onsemi?pageNo=1235", "ON Semiconductor")</f>
        <v>ON Semiconductor</v>
      </c>
      <c r="C23411" s="6">
        <v>5000</v>
      </c>
      <c r="D23411" s="7">
        <v>0.1</v>
      </c>
      <c r="E23411" t="s">
        <v>98</v>
      </c>
    </row>
    <row r="23412" spans="1:5" x14ac:dyDescent="0.25">
      <c r="A23412" t="str">
        <f>HYPERLINK("https://www.773grp.com/globalSearch/1N965B/page-1", "1N965B")</f>
        <v>1N965B</v>
      </c>
      <c r="B23412" s="3" t="str">
        <f>HYPERLINK("https://www.773grp.com/manufacturer/onsemi?pageNo=1236", "ON Semiconductor")</f>
        <v>ON Semiconductor</v>
      </c>
      <c r="C23412" s="6">
        <v>925</v>
      </c>
      <c r="D23412" s="7">
        <v>0.1</v>
      </c>
      <c r="E23412" t="s">
        <v>98</v>
      </c>
    </row>
    <row r="23413" spans="1:5" x14ac:dyDescent="0.25">
      <c r="A23413" t="str">
        <f>HYPERLINK("https://www.773grp.com/globalSearch/1N966BRL/page-1", "1N966BRL")</f>
        <v>1N966BRL</v>
      </c>
      <c r="B23413" s="3" t="str">
        <f>HYPERLINK("https://www.773grp.com/manufacturer/onsemi?pageNo=1237", "ON Semiconductor")</f>
        <v>ON Semiconductor</v>
      </c>
      <c r="C23413" s="6">
        <v>437</v>
      </c>
      <c r="D23413" s="7">
        <v>0.1</v>
      </c>
      <c r="E23413" t="s">
        <v>98</v>
      </c>
    </row>
    <row r="23414" spans="1:5" x14ac:dyDescent="0.25">
      <c r="A23414" t="str">
        <f>HYPERLINK("https://www.773grp.com/globalSearch/1N968B/page-1", "1N968B")</f>
        <v>1N968B</v>
      </c>
      <c r="B23414" s="3" t="str">
        <f>HYPERLINK("https://www.773grp.com/manufacturer/onsemi?pageNo=1238", "ON Semiconductor")</f>
        <v>ON Semiconductor</v>
      </c>
      <c r="C23414" s="6">
        <v>27260</v>
      </c>
      <c r="D23414" s="7">
        <v>0.1</v>
      </c>
      <c r="E23414" t="s">
        <v>98</v>
      </c>
    </row>
    <row r="23415" spans="1:5" x14ac:dyDescent="0.25">
      <c r="A23415" t="str">
        <f>HYPERLINK("https://www.773grp.com/globalSearch/1SS400T1/page-1", "1SS400T1")</f>
        <v>1SS400T1</v>
      </c>
      <c r="B23415" s="3" t="str">
        <f>HYPERLINK("https://www.773grp.com/manufacturer/onsemi?pageNo=1239", "ON Semiconductor")</f>
        <v>ON Semiconductor</v>
      </c>
      <c r="C23415" s="6">
        <v>223001</v>
      </c>
      <c r="D23415" s="7">
        <v>0.1</v>
      </c>
      <c r="E23415" t="s">
        <v>94</v>
      </c>
    </row>
    <row r="23416" spans="1:5" x14ac:dyDescent="0.25">
      <c r="A23416" t="str">
        <f>HYPERLINK("https://www.773grp.com/globalSearch/2N3904RLRMG/page-1", "2N3904RLRMG")</f>
        <v>2N3904RLRMG</v>
      </c>
      <c r="B23416" s="3" t="str">
        <f>HYPERLINK("https://www.773grp.com/manufacturer/onsemi?pageNo=1240", "ON Semiconductor")</f>
        <v>ON Semiconductor</v>
      </c>
      <c r="C23416" s="6">
        <v>50396</v>
      </c>
      <c r="D23416" s="7">
        <v>0.1</v>
      </c>
      <c r="E23416" t="s">
        <v>69</v>
      </c>
    </row>
    <row r="23417" spans="1:5" x14ac:dyDescent="0.25">
      <c r="A23417" t="str">
        <f>HYPERLINK("https://www.773grp.com/globalSearch/2N3904RLRPG/page-1", "2N3904RLRPG")</f>
        <v>2N3904RLRPG</v>
      </c>
      <c r="B23417" s="3" t="str">
        <f>HYPERLINK("https://www.773grp.com/manufacturer/onsemi?pageNo=1241", "ON Semiconductor")</f>
        <v>ON Semiconductor</v>
      </c>
      <c r="C23417" s="6">
        <v>19796</v>
      </c>
      <c r="D23417" s="7">
        <v>0.1</v>
      </c>
      <c r="E23417" t="s">
        <v>69</v>
      </c>
    </row>
    <row r="23418" spans="1:5" x14ac:dyDescent="0.25">
      <c r="A23418" t="str">
        <f>HYPERLINK("https://www.773grp.com/globalSearch/2N3904ZL1G/page-1", "2N3904ZL1G")</f>
        <v>2N3904ZL1G</v>
      </c>
      <c r="B23418" s="3" t="str">
        <f>HYPERLINK("https://www.773grp.com/manufacturer/onsemi?pageNo=1242", "ON Semiconductor")</f>
        <v>ON Semiconductor</v>
      </c>
      <c r="C23418" s="6">
        <v>49000</v>
      </c>
      <c r="D23418" s="7">
        <v>0.1</v>
      </c>
      <c r="E23418" t="s">
        <v>69</v>
      </c>
    </row>
    <row r="23419" spans="1:5" x14ac:dyDescent="0.25">
      <c r="A23419" t="str">
        <f>HYPERLINK("https://www.773grp.com/globalSearch/2N3906RL1G/page-1", "2N3906RL1G")</f>
        <v>2N3906RL1G</v>
      </c>
      <c r="B23419" s="3" t="str">
        <f>HYPERLINK("https://www.773grp.com/manufacturer/onsemi?pageNo=1243", "ON Semiconductor")</f>
        <v>ON Semiconductor</v>
      </c>
      <c r="C23419" s="6">
        <v>140000</v>
      </c>
      <c r="D23419" s="7">
        <v>0.1</v>
      </c>
      <c r="E23419" t="s">
        <v>69</v>
      </c>
    </row>
    <row r="23420" spans="1:5" x14ac:dyDescent="0.25">
      <c r="A23420" t="str">
        <f>HYPERLINK("https://www.773grp.com/globalSearch/2N3906RLRAG/page-1", "2N3906RLRAG")</f>
        <v>2N3906RLRAG</v>
      </c>
      <c r="B23420" s="3" t="str">
        <f>HYPERLINK("https://www.773grp.com/manufacturer/onsemi?pageNo=1244", "ON Semiconductor")</f>
        <v>ON Semiconductor</v>
      </c>
      <c r="C23420" s="6">
        <v>1868770</v>
      </c>
      <c r="D23420" s="7">
        <v>0.1</v>
      </c>
      <c r="E23420" t="s">
        <v>69</v>
      </c>
    </row>
    <row r="23421" spans="1:5" x14ac:dyDescent="0.25">
      <c r="A23421" t="str">
        <f>HYPERLINK("https://www.773grp.com/globalSearch/2N3906RLRMG/page-1", "2N3906RLRMG")</f>
        <v>2N3906RLRMG</v>
      </c>
      <c r="B23421" s="3" t="str">
        <f>HYPERLINK("https://www.773grp.com/manufacturer/onsemi?pageNo=1245", "ON Semiconductor")</f>
        <v>ON Semiconductor</v>
      </c>
      <c r="C23421" s="6">
        <v>93331</v>
      </c>
      <c r="D23421" s="7">
        <v>0.1</v>
      </c>
      <c r="E23421" t="s">
        <v>69</v>
      </c>
    </row>
    <row r="23422" spans="1:5" x14ac:dyDescent="0.25">
      <c r="A23422" t="str">
        <f>HYPERLINK("https://www.773grp.com/globalSearch/2N4123/page-1", "2N4123")</f>
        <v>2N4123</v>
      </c>
      <c r="B23422" s="3" t="str">
        <f>HYPERLINK("https://www.773grp.com/manufacturer/onsemi?pageNo=1246", "ON Semiconductor")</f>
        <v>ON Semiconductor</v>
      </c>
      <c r="C23422" s="6">
        <v>163</v>
      </c>
      <c r="D23422" s="7">
        <v>0.1</v>
      </c>
      <c r="E23422" t="s">
        <v>69</v>
      </c>
    </row>
    <row r="23423" spans="1:5" x14ac:dyDescent="0.25">
      <c r="A23423" t="str">
        <f>HYPERLINK("https://www.773grp.com/globalSearch/2N4400RLRB/page-1", "2N4400RLRB")</f>
        <v>2N4400RLRB</v>
      </c>
      <c r="B23423" s="3" t="str">
        <f>HYPERLINK("https://www.773grp.com/manufacturer/onsemi?pageNo=1247", "ON Semiconductor")</f>
        <v>ON Semiconductor</v>
      </c>
      <c r="C23423" s="6">
        <v>4000</v>
      </c>
      <c r="D23423" s="7">
        <v>0.1</v>
      </c>
      <c r="E23423" t="s">
        <v>69</v>
      </c>
    </row>
    <row r="23424" spans="1:5" x14ac:dyDescent="0.25">
      <c r="A23424" t="str">
        <f>HYPERLINK("https://www.773grp.com/globalSearch/2N4401RLRPG/page-1", "2N4401RLRPG")</f>
        <v>2N4401RLRPG</v>
      </c>
      <c r="B23424" s="3" t="str">
        <f>HYPERLINK("https://www.773grp.com/manufacturer/onsemi?pageNo=1248", "ON Semiconductor")</f>
        <v>ON Semiconductor</v>
      </c>
      <c r="C23424" s="6">
        <v>14000</v>
      </c>
      <c r="D23424" s="7">
        <v>0.1</v>
      </c>
      <c r="E23424" t="s">
        <v>69</v>
      </c>
    </row>
    <row r="23425" spans="1:5" x14ac:dyDescent="0.25">
      <c r="A23425" t="str">
        <f>HYPERLINK("https://www.773grp.com/globalSearch/2N4402RLRA/page-1", "2N4402RLRA")</f>
        <v>2N4402RLRA</v>
      </c>
      <c r="B23425" s="3" t="str">
        <f>HYPERLINK("https://www.773grp.com/manufacturer/onsemi?pageNo=1249", "ON Semiconductor")</f>
        <v>ON Semiconductor</v>
      </c>
      <c r="C23425" s="6">
        <v>14000</v>
      </c>
      <c r="D23425" s="7">
        <v>0.1</v>
      </c>
      <c r="E23425" t="s">
        <v>69</v>
      </c>
    </row>
    <row r="23426" spans="1:5" x14ac:dyDescent="0.25">
      <c r="A23426" t="str">
        <f>HYPERLINK("https://www.773grp.com/globalSearch/2N4403RLRAG/page-1", "2N4403RLRAG")</f>
        <v>2N4403RLRAG</v>
      </c>
      <c r="B23426" s="3" t="str">
        <f>HYPERLINK("https://www.773grp.com/manufacturer/onsemi?pageNo=1250", "ON Semiconductor")</f>
        <v>ON Semiconductor</v>
      </c>
      <c r="C23426" s="6">
        <v>68000</v>
      </c>
      <c r="D23426" s="7">
        <v>0.1</v>
      </c>
      <c r="E23426" t="s">
        <v>69</v>
      </c>
    </row>
    <row r="23427" spans="1:5" x14ac:dyDescent="0.25">
      <c r="A23427" t="str">
        <f>HYPERLINK("https://www.773grp.com/globalSearch/2N4403RLRPG/page-1", "2N4403RLRPG")</f>
        <v>2N4403RLRPG</v>
      </c>
      <c r="B23427" s="3" t="str">
        <f>HYPERLINK("https://www.773grp.com/manufacturer/onsemi?pageNo=1251", "ON Semiconductor")</f>
        <v>ON Semiconductor</v>
      </c>
      <c r="C23427" s="6">
        <v>34000</v>
      </c>
      <c r="D23427" s="7">
        <v>0.1</v>
      </c>
      <c r="E23427" t="s">
        <v>69</v>
      </c>
    </row>
    <row r="23428" spans="1:5" x14ac:dyDescent="0.25">
      <c r="A23428" t="str">
        <f>HYPERLINK("https://www.773grp.com/globalSearch/2N4403ZL1/page-1", "2N4403ZL1")</f>
        <v>2N4403ZL1</v>
      </c>
      <c r="B23428" s="3" t="str">
        <f>HYPERLINK("https://www.773grp.com/manufacturer/onsemi?pageNo=1252", "ON Semiconductor")</f>
        <v>ON Semiconductor</v>
      </c>
      <c r="C23428" s="6">
        <v>12000</v>
      </c>
      <c r="D23428" s="7">
        <v>0.1</v>
      </c>
      <c r="E23428" t="s">
        <v>69</v>
      </c>
    </row>
    <row r="23429" spans="1:5" x14ac:dyDescent="0.25">
      <c r="A23429" t="str">
        <f>HYPERLINK("https://www.773grp.com/globalSearch/2N5401/page-1", "2N5401")</f>
        <v>2N5401</v>
      </c>
      <c r="B23429" s="3" t="str">
        <f>HYPERLINK("https://www.773grp.com/manufacturer/onsemi?pageNo=1253", "ON Semiconductor")</f>
        <v>ON Semiconductor</v>
      </c>
      <c r="C23429" s="6">
        <v>1417</v>
      </c>
      <c r="D23429" s="7">
        <v>0.1</v>
      </c>
      <c r="E23429" t="s">
        <v>69</v>
      </c>
    </row>
    <row r="23430" spans="1:5" x14ac:dyDescent="0.25">
      <c r="A23430" t="str">
        <f>HYPERLINK("https://www.773grp.com/globalSearch/2N5401RLRP/page-1", "2N5401RLRP")</f>
        <v>2N5401RLRP</v>
      </c>
      <c r="B23430" s="3" t="str">
        <f>HYPERLINK("https://www.773grp.com/manufacturer/onsemi?pageNo=1254", "ON Semiconductor")</f>
        <v>ON Semiconductor</v>
      </c>
      <c r="C23430" s="6">
        <v>2000</v>
      </c>
      <c r="D23430" s="7">
        <v>0.1</v>
      </c>
      <c r="E23430" t="s">
        <v>69</v>
      </c>
    </row>
    <row r="23431" spans="1:5" x14ac:dyDescent="0.25">
      <c r="A23431" t="str">
        <f>HYPERLINK("https://www.773grp.com/globalSearch/2N7002KT1G/page-1", "2N7002KT1G")</f>
        <v>2N7002KT1G</v>
      </c>
      <c r="B23431" s="3" t="str">
        <f>HYPERLINK("https://www.773grp.com/manufacturer/onsemi?pageNo=1255", "ON Semiconductor")</f>
        <v>ON Semiconductor</v>
      </c>
      <c r="C23431" s="6">
        <v>30237</v>
      </c>
      <c r="D23431" s="7">
        <v>0.1</v>
      </c>
      <c r="E23431" t="s">
        <v>106</v>
      </c>
    </row>
    <row r="23432" spans="1:5" x14ac:dyDescent="0.25">
      <c r="A23432" t="str">
        <f>HYPERLINK("https://www.773grp.com/globalSearch/2N7002LT1H/page-1", "2N7002LT1H")</f>
        <v>2N7002LT1H</v>
      </c>
      <c r="B23432" s="3" t="str">
        <f>HYPERLINK("https://www.773grp.com/manufacturer/onsemi?pageNo=1256", "ON Semiconductor")</f>
        <v>ON Semiconductor</v>
      </c>
      <c r="C23432" s="6">
        <v>436500</v>
      </c>
      <c r="D23432" s="7">
        <v>0.1</v>
      </c>
      <c r="E23432" t="s">
        <v>106</v>
      </c>
    </row>
    <row r="23433" spans="1:5" x14ac:dyDescent="0.25">
      <c r="A23433" t="str">
        <f>HYPERLINK("https://www.773grp.com/globalSearch/2SA1162GT1/page-1", "2SA1162GT1")</f>
        <v>2SA1162GT1</v>
      </c>
      <c r="B23433" s="3" t="str">
        <f>HYPERLINK("https://www.773grp.com/manufacturer/onsemi?pageNo=1257", "ON Semiconductor")</f>
        <v>ON Semiconductor</v>
      </c>
      <c r="C23433" s="6">
        <v>168000</v>
      </c>
      <c r="D23433" s="7">
        <v>0.1</v>
      </c>
      <c r="E23433" t="s">
        <v>69</v>
      </c>
    </row>
    <row r="23434" spans="1:5" x14ac:dyDescent="0.25">
      <c r="A23434" t="str">
        <f>HYPERLINK("https://www.773grp.com/globalSearch/2SA1162YT1/page-1", "2SA1162YT1")</f>
        <v>2SA1162YT1</v>
      </c>
      <c r="B23434" s="3" t="str">
        <f>HYPERLINK("https://www.773grp.com/manufacturer/onsemi?pageNo=1258", "ON Semiconductor")</f>
        <v>ON Semiconductor</v>
      </c>
      <c r="C23434" s="6">
        <v>168000</v>
      </c>
      <c r="D23434" s="7">
        <v>0.1</v>
      </c>
      <c r="E23434" t="s">
        <v>69</v>
      </c>
    </row>
    <row r="23435" spans="1:5" x14ac:dyDescent="0.25">
      <c r="A23435" t="str">
        <f>HYPERLINK("https://www.773grp.com/globalSearch/2SA1576ART1/page-1", "2SA1576ART1")</f>
        <v>2SA1576ART1</v>
      </c>
      <c r="B23435" s="3" t="str">
        <f>HYPERLINK("https://www.773grp.com/manufacturer/onsemi?pageNo=1259", "ON Semiconductor")</f>
        <v>ON Semiconductor</v>
      </c>
      <c r="C23435" s="6">
        <v>156000</v>
      </c>
      <c r="D23435" s="7">
        <v>0.1</v>
      </c>
      <c r="E23435" t="s">
        <v>69</v>
      </c>
    </row>
    <row r="23436" spans="1:5" x14ac:dyDescent="0.25">
      <c r="A23436" t="str">
        <f>HYPERLINK("https://www.773grp.com/globalSearch/2SA1576ART1G/page-1", "2SA1576ART1G")</f>
        <v>2SA1576ART1G</v>
      </c>
      <c r="B23436" s="3" t="str">
        <f>HYPERLINK("https://www.773grp.com/manufacturer/onsemi?pageNo=1260", "ON Semiconductor")</f>
        <v>ON Semiconductor</v>
      </c>
      <c r="C23436" s="6">
        <v>132000</v>
      </c>
      <c r="D23436" s="7">
        <v>0.1</v>
      </c>
      <c r="E23436" t="s">
        <v>69</v>
      </c>
    </row>
    <row r="23437" spans="1:5" x14ac:dyDescent="0.25">
      <c r="A23437" t="str">
        <f>HYPERLINK("https://www.773grp.com/globalSearch/2SA1774T1/page-1", "2SA1774T1")</f>
        <v>2SA1774T1</v>
      </c>
      <c r="B23437" s="3" t="str">
        <f>HYPERLINK("https://www.773grp.com/manufacturer/onsemi?pageNo=1261", "ON Semiconductor")</f>
        <v>ON Semiconductor</v>
      </c>
      <c r="C23437" s="6">
        <v>58900</v>
      </c>
      <c r="D23437" s="7">
        <v>0.1</v>
      </c>
      <c r="E23437" t="s">
        <v>69</v>
      </c>
    </row>
    <row r="23438" spans="1:5" x14ac:dyDescent="0.25">
      <c r="A23438" t="str">
        <f>HYPERLINK("https://www.773grp.com/globalSearch/2SC2712GT1G/page-1", "2SC2712GT1G")</f>
        <v>2SC2712GT1G</v>
      </c>
      <c r="B23438" s="3" t="str">
        <f>HYPERLINK("https://www.773grp.com/manufacturer/onsemi?pageNo=1262", "ON Semiconductor")</f>
        <v>ON Semiconductor</v>
      </c>
      <c r="C23438" s="6">
        <v>222000</v>
      </c>
      <c r="D23438" s="7">
        <v>0.1</v>
      </c>
      <c r="E23438" t="s">
        <v>69</v>
      </c>
    </row>
    <row r="23439" spans="1:5" x14ac:dyDescent="0.25">
      <c r="A23439" t="str">
        <f>HYPERLINK("https://www.773grp.com/globalSearch/2SC4081RT1/page-1", "2SC4081RT1")</f>
        <v>2SC4081RT1</v>
      </c>
      <c r="B23439" s="3" t="str">
        <f>HYPERLINK("https://www.773grp.com/manufacturer/onsemi?pageNo=1263", "ON Semiconductor")</f>
        <v>ON Semiconductor</v>
      </c>
      <c r="C23439" s="6">
        <v>135500</v>
      </c>
      <c r="D23439" s="7">
        <v>0.1</v>
      </c>
      <c r="E23439" t="s">
        <v>69</v>
      </c>
    </row>
    <row r="23440" spans="1:5" x14ac:dyDescent="0.25">
      <c r="A23440" t="str">
        <f>HYPERLINK("https://www.773grp.com/globalSearch/2SC4081RT1G/page-1", "2SC4081RT1G")</f>
        <v>2SC4081RT1G</v>
      </c>
      <c r="B23440" s="3" t="str">
        <f>HYPERLINK("https://www.773grp.com/manufacturer/onsemi?pageNo=1264", "ON Semiconductor")</f>
        <v>ON Semiconductor</v>
      </c>
      <c r="C23440" s="6">
        <v>91500</v>
      </c>
      <c r="D23440" s="7">
        <v>0.1</v>
      </c>
      <c r="E23440" t="s">
        <v>69</v>
      </c>
    </row>
    <row r="23441" spans="1:5" x14ac:dyDescent="0.25">
      <c r="A23441" t="str">
        <f>HYPERLINK("https://www.773grp.com/globalSearch/2SC4617T1/page-1", "2SC4617T1")</f>
        <v>2SC4617T1</v>
      </c>
      <c r="B23441" s="3" t="str">
        <f>HYPERLINK("https://www.773grp.com/manufacturer/onsemi?pageNo=1265", "ON Semiconductor")</f>
        <v>ON Semiconductor</v>
      </c>
      <c r="C23441" s="6">
        <v>171000</v>
      </c>
      <c r="D23441" s="7">
        <v>0.1</v>
      </c>
      <c r="E23441" t="s">
        <v>69</v>
      </c>
    </row>
    <row r="23442" spans="1:5" x14ac:dyDescent="0.25">
      <c r="A23442" t="str">
        <f>HYPERLINK("https://www.773grp.com/globalSearch/2V7002KT1G/page-1", "2V7002KT1G")</f>
        <v>2V7002KT1G</v>
      </c>
      <c r="B23442" s="3" t="str">
        <f>HYPERLINK("https://www.773grp.com/manufacturer/onsemi?pageNo=1266", "ON Semiconductor")</f>
        <v>ON Semiconductor</v>
      </c>
      <c r="C23442" s="6">
        <v>3000</v>
      </c>
      <c r="D23442" s="7">
        <v>0.1</v>
      </c>
    </row>
    <row r="23443" spans="1:5" x14ac:dyDescent="0.25">
      <c r="A23443" t="str">
        <f>HYPERLINK("https://www.773grp.com/globalSearch/BAS116LT1/page-1", "BAS116LT1")</f>
        <v>BAS116LT1</v>
      </c>
      <c r="B23443" s="3" t="str">
        <f>HYPERLINK("https://www.773grp.com/manufacturer/onsemi?pageNo=1267", "ON Semiconductor")</f>
        <v>ON Semiconductor</v>
      </c>
      <c r="C23443" s="6">
        <v>236500</v>
      </c>
      <c r="D23443" s="7">
        <v>0.1</v>
      </c>
      <c r="E23443" t="s">
        <v>94</v>
      </c>
    </row>
    <row r="23444" spans="1:5" x14ac:dyDescent="0.25">
      <c r="A23444" t="str">
        <f>HYPERLINK("https://www.773grp.com/globalSearch/BAS16HT1/page-1", "BAS16HT1")</f>
        <v>BAS16HT1</v>
      </c>
      <c r="B23444" s="3" t="str">
        <f>HYPERLINK("https://www.773grp.com/manufacturer/onsemi?pageNo=1268", "ON Semiconductor")</f>
        <v>ON Semiconductor</v>
      </c>
      <c r="C23444" s="6">
        <v>422567</v>
      </c>
      <c r="D23444" s="7">
        <v>0.1</v>
      </c>
      <c r="E23444" t="s">
        <v>94</v>
      </c>
    </row>
    <row r="23445" spans="1:5" x14ac:dyDescent="0.25">
      <c r="A23445" t="str">
        <f>HYPERLINK("https://www.773grp.com/globalSearch/BAS16P2T5G/page-1", "BAS16P2T5G")</f>
        <v>BAS16P2T5G</v>
      </c>
      <c r="B23445" s="3" t="str">
        <f>HYPERLINK("https://www.773grp.com/manufacturer/onsemi?pageNo=1269", "ON Semiconductor")</f>
        <v>ON Semiconductor</v>
      </c>
      <c r="C23445" s="6">
        <v>16000</v>
      </c>
      <c r="D23445" s="7">
        <v>0.1</v>
      </c>
    </row>
    <row r="23446" spans="1:5" x14ac:dyDescent="0.25">
      <c r="A23446" t="str">
        <f>HYPERLINK("https://www.773grp.com/globalSearch/BAS16WT1/page-1", "BAS16WT1")</f>
        <v>BAS16WT1</v>
      </c>
      <c r="B23446" s="3" t="str">
        <f>HYPERLINK("https://www.773grp.com/manufacturer/onsemi?pageNo=1270", "ON Semiconductor")</f>
        <v>ON Semiconductor</v>
      </c>
      <c r="C23446" s="6">
        <v>435500</v>
      </c>
      <c r="D23446" s="7">
        <v>0.1</v>
      </c>
      <c r="E23446" t="s">
        <v>94</v>
      </c>
    </row>
    <row r="23447" spans="1:5" x14ac:dyDescent="0.25">
      <c r="A23447" t="str">
        <f>HYPERLINK("https://www.773grp.com/globalSearch/BAS16XV2T1/page-1", "BAS16XV2T1")</f>
        <v>BAS16XV2T1</v>
      </c>
      <c r="B23447" s="3" t="str">
        <f>HYPERLINK("https://www.773grp.com/manufacturer/onsemi?pageNo=1271", "ON Semiconductor")</f>
        <v>ON Semiconductor</v>
      </c>
      <c r="C23447" s="6">
        <v>446260</v>
      </c>
      <c r="D23447" s="7">
        <v>0.1</v>
      </c>
      <c r="E23447" t="s">
        <v>94</v>
      </c>
    </row>
    <row r="23448" spans="1:5" x14ac:dyDescent="0.25">
      <c r="A23448" t="str">
        <f>HYPERLINK("https://www.773grp.com/globalSearch/BAS19LT1/page-1", "BAS19LT1")</f>
        <v>BAS19LT1</v>
      </c>
      <c r="B23448" s="3" t="str">
        <f>HYPERLINK("https://www.773grp.com/manufacturer/onsemi?pageNo=1272", "ON Semiconductor")</f>
        <v>ON Semiconductor</v>
      </c>
      <c r="C23448" s="6">
        <v>30000</v>
      </c>
      <c r="D23448" s="7">
        <v>0.1</v>
      </c>
      <c r="E23448" t="s">
        <v>94</v>
      </c>
    </row>
    <row r="23449" spans="1:5" x14ac:dyDescent="0.25">
      <c r="A23449" t="str">
        <f>HYPERLINK("https://www.773grp.com/globalSearch/BAS20HT1/page-1", "BAS20HT1")</f>
        <v>BAS20HT1</v>
      </c>
      <c r="B23449" s="3" t="str">
        <f>HYPERLINK("https://www.773grp.com/manufacturer/onsemi?pageNo=1273", "ON Semiconductor")</f>
        <v>ON Semiconductor</v>
      </c>
      <c r="C23449" s="6">
        <v>570000</v>
      </c>
      <c r="D23449" s="7">
        <v>0.1</v>
      </c>
      <c r="E23449" t="s">
        <v>94</v>
      </c>
    </row>
    <row r="23450" spans="1:5" x14ac:dyDescent="0.25">
      <c r="A23450" t="str">
        <f>HYPERLINK("https://www.773grp.com/globalSearch/BAS21LT1/page-1", "BAS21LT1")</f>
        <v>BAS21LT1</v>
      </c>
      <c r="B23450" s="3" t="str">
        <f>HYPERLINK("https://www.773grp.com/manufacturer/onsemi?pageNo=1274", "ON Semiconductor")</f>
        <v>ON Semiconductor</v>
      </c>
      <c r="C23450" s="6">
        <v>51000</v>
      </c>
      <c r="D23450" s="7">
        <v>0.1</v>
      </c>
    </row>
    <row r="23451" spans="1:5" x14ac:dyDescent="0.25">
      <c r="A23451" t="str">
        <f>HYPERLINK("https://www.773grp.com/globalSearch/BAS21LT1G/page-1", "BAS21LT1G")</f>
        <v>BAS21LT1G</v>
      </c>
      <c r="B23451" s="3" t="str">
        <f>HYPERLINK("https://www.773grp.com/manufacturer/onsemi?pageNo=1275", "ON Semiconductor")</f>
        <v>ON Semiconductor</v>
      </c>
      <c r="C23451" s="6">
        <v>1184827</v>
      </c>
      <c r="D23451" s="7">
        <v>0.1</v>
      </c>
      <c r="E23451" t="s">
        <v>94</v>
      </c>
    </row>
    <row r="23452" spans="1:5" x14ac:dyDescent="0.25">
      <c r="A23452" t="str">
        <f>HYPERLINK("https://www.773grp.com/globalSearch/BAS21LT3G/page-1", "BAS21LT3G")</f>
        <v>BAS21LT3G</v>
      </c>
      <c r="B23452" s="3" t="str">
        <f>HYPERLINK("https://www.773grp.com/manufacturer/onsemi?pageNo=1276", "ON Semiconductor")</f>
        <v>ON Semiconductor</v>
      </c>
      <c r="C23452" s="6">
        <v>10000</v>
      </c>
      <c r="D23452" s="7">
        <v>0.1</v>
      </c>
    </row>
    <row r="23453" spans="1:5" x14ac:dyDescent="0.25">
      <c r="A23453" t="str">
        <f>HYPERLINK("https://www.773grp.com/globalSearch/BAS21M3T5G/page-1", "BAS21M3T5G")</f>
        <v>BAS21M3T5G</v>
      </c>
      <c r="B23453" s="3" t="str">
        <f>HYPERLINK("https://www.773grp.com/manufacturer/onsemi?pageNo=1277", "ON Semiconductor")</f>
        <v>ON Semiconductor</v>
      </c>
      <c r="C23453" s="6">
        <v>8000</v>
      </c>
      <c r="D23453" s="7">
        <v>0.1</v>
      </c>
    </row>
    <row r="23454" spans="1:5" x14ac:dyDescent="0.25">
      <c r="A23454" t="str">
        <f>HYPERLINK("https://www.773grp.com/globalSearch/BAT54ALT1H/page-1", "BAT54ALT1H")</f>
        <v>BAT54ALT1H</v>
      </c>
      <c r="B23454" s="3" t="str">
        <f>HYPERLINK("https://www.773grp.com/manufacturer/onsemi?pageNo=1278", "ON Semiconductor")</f>
        <v>ON Semiconductor</v>
      </c>
      <c r="C23454" s="6">
        <v>69000</v>
      </c>
      <c r="D23454" s="7">
        <v>0.1</v>
      </c>
    </row>
    <row r="23455" spans="1:5" x14ac:dyDescent="0.25">
      <c r="A23455" t="str">
        <f>HYPERLINK("https://www.773grp.com/globalSearch/BAT54M3T5G/page-1", "BAT54M3T5G")</f>
        <v>BAT54M3T5G</v>
      </c>
      <c r="B23455" s="3" t="str">
        <f>HYPERLINK("https://www.773grp.com/manufacturer/onsemi?pageNo=1279", "ON Semiconductor")</f>
        <v>ON Semiconductor</v>
      </c>
      <c r="C23455" s="6">
        <v>152000</v>
      </c>
      <c r="D23455" s="7">
        <v>0.1</v>
      </c>
      <c r="E23455" t="s">
        <v>94</v>
      </c>
    </row>
    <row r="23456" spans="1:5" x14ac:dyDescent="0.25">
      <c r="A23456" t="str">
        <f>HYPERLINK("https://www.773grp.com/globalSearch/BAV70LT1G/page-1", "BAV70LT1G")</f>
        <v>BAV70LT1G</v>
      </c>
      <c r="B23456" s="3" t="str">
        <f>HYPERLINK("https://www.773grp.com/manufacturer/onsemi?pageNo=1280", "ON Semiconductor")</f>
        <v>ON Semiconductor</v>
      </c>
      <c r="C23456" s="6">
        <v>1706022</v>
      </c>
      <c r="D23456" s="7">
        <v>0.1</v>
      </c>
      <c r="E23456" t="s">
        <v>94</v>
      </c>
    </row>
    <row r="23457" spans="1:5" x14ac:dyDescent="0.25">
      <c r="A23457" t="str">
        <f>HYPERLINK("https://www.773grp.com/globalSearch/BAV70LT3G/page-1", "BAV70LT3G")</f>
        <v>BAV70LT3G</v>
      </c>
      <c r="B23457" s="3" t="str">
        <f>HYPERLINK("https://www.773grp.com/manufacturer/onsemi?pageNo=1281", "ON Semiconductor")</f>
        <v>ON Semiconductor</v>
      </c>
      <c r="C23457" s="6">
        <v>75534</v>
      </c>
      <c r="D23457" s="7">
        <v>0.1</v>
      </c>
    </row>
    <row r="23458" spans="1:5" x14ac:dyDescent="0.25">
      <c r="A23458" t="str">
        <f>HYPERLINK("https://www.773grp.com/globalSearch/BAV70M3T5G/page-1", "BAV70M3T5G")</f>
        <v>BAV70M3T5G</v>
      </c>
      <c r="B23458" s="3" t="str">
        <f>HYPERLINK("https://www.773grp.com/manufacturer/onsemi?pageNo=1282", "ON Semiconductor")</f>
        <v>ON Semiconductor</v>
      </c>
      <c r="C23458" s="6">
        <v>16000</v>
      </c>
      <c r="D23458" s="7">
        <v>0.1</v>
      </c>
    </row>
    <row r="23459" spans="1:5" x14ac:dyDescent="0.25">
      <c r="A23459" t="str">
        <f>HYPERLINK("https://www.773grp.com/globalSearch/BAV70WT1G/page-1", "BAV70WT1G")</f>
        <v>BAV70WT1G</v>
      </c>
      <c r="B23459" s="3" t="str">
        <f>HYPERLINK("https://www.773grp.com/manufacturer/onsemi?pageNo=1283", "ON Semiconductor")</f>
        <v>ON Semiconductor</v>
      </c>
      <c r="C23459" s="6">
        <v>1610147</v>
      </c>
      <c r="D23459" s="7">
        <v>0.1</v>
      </c>
      <c r="E23459" t="s">
        <v>94</v>
      </c>
    </row>
    <row r="23460" spans="1:5" x14ac:dyDescent="0.25">
      <c r="A23460" t="str">
        <f>HYPERLINK("https://www.773grp.com/globalSearch/BAV74LT1G/page-1", "BAV74LT1G")</f>
        <v>BAV74LT1G</v>
      </c>
      <c r="B23460" s="3" t="str">
        <f>HYPERLINK("https://www.773grp.com/manufacturer/onsemi?pageNo=1284", "ON Semiconductor")</f>
        <v>ON Semiconductor</v>
      </c>
      <c r="C23460" s="6">
        <v>103858</v>
      </c>
      <c r="D23460" s="7">
        <v>0.1</v>
      </c>
      <c r="E23460" t="s">
        <v>94</v>
      </c>
    </row>
    <row r="23461" spans="1:5" x14ac:dyDescent="0.25">
      <c r="A23461" t="str">
        <f>HYPERLINK("https://www.773grp.com/globalSearch/BAV99LT1/page-1", "BAV99LT1")</f>
        <v>BAV99LT1</v>
      </c>
      <c r="B23461" s="3" t="str">
        <f>HYPERLINK("https://www.773grp.com/manufacturer/onsemi?pageNo=1285", "ON Semiconductor")</f>
        <v>ON Semiconductor</v>
      </c>
      <c r="C23461" s="6">
        <v>47000</v>
      </c>
      <c r="D23461" s="7">
        <v>0.1</v>
      </c>
    </row>
    <row r="23462" spans="1:5" x14ac:dyDescent="0.25">
      <c r="A23462" t="str">
        <f>HYPERLINK("https://www.773grp.com/globalSearch/BAV99LT1G/page-1", "BAV99LT1G")</f>
        <v>BAV99LT1G</v>
      </c>
      <c r="B23462" s="3" t="str">
        <f>HYPERLINK("https://www.773grp.com/manufacturer/onsemi?pageNo=1286", "ON Semiconductor")</f>
        <v>ON Semiconductor</v>
      </c>
      <c r="C23462" s="6">
        <v>3162661</v>
      </c>
      <c r="D23462" s="7">
        <v>0.1</v>
      </c>
      <c r="E23462" t="s">
        <v>94</v>
      </c>
    </row>
    <row r="23463" spans="1:5" x14ac:dyDescent="0.25">
      <c r="A23463" t="str">
        <f>HYPERLINK("https://www.773grp.com/globalSearch/BAV99LT1H/page-1", "BAV99LT1H")</f>
        <v>BAV99LT1H</v>
      </c>
      <c r="B23463" s="3" t="str">
        <f>HYPERLINK("https://www.773grp.com/manufacturer/onsemi?pageNo=1287", "ON Semiconductor")</f>
        <v>ON Semiconductor</v>
      </c>
      <c r="C23463" s="6">
        <v>219000</v>
      </c>
      <c r="D23463" s="7">
        <v>0.1</v>
      </c>
    </row>
    <row r="23464" spans="1:5" x14ac:dyDescent="0.25">
      <c r="A23464" t="str">
        <f>HYPERLINK("https://www.773grp.com/globalSearch/BAV99LT3G/page-1", "BAV99LT3G")</f>
        <v>BAV99LT3G</v>
      </c>
      <c r="B23464" s="3" t="str">
        <f>HYPERLINK("https://www.773grp.com/manufacturer/onsemi?pageNo=1288", "ON Semiconductor")</f>
        <v>ON Semiconductor</v>
      </c>
      <c r="C23464" s="6">
        <v>20000</v>
      </c>
      <c r="D23464" s="7">
        <v>0.1</v>
      </c>
    </row>
    <row r="23465" spans="1:5" x14ac:dyDescent="0.25">
      <c r="A23465" t="str">
        <f>HYPERLINK("https://www.773grp.com/globalSearch/BAV99WT1G/page-1", "BAV99WT1G")</f>
        <v>BAV99WT1G</v>
      </c>
      <c r="B23465" s="3" t="str">
        <f>HYPERLINK("https://www.773grp.com/manufacturer/onsemi?pageNo=1289", "ON Semiconductor")</f>
        <v>ON Semiconductor</v>
      </c>
      <c r="C23465" s="6">
        <v>1288015</v>
      </c>
      <c r="D23465" s="7">
        <v>0.1</v>
      </c>
      <c r="E23465" t="s">
        <v>94</v>
      </c>
    </row>
    <row r="23466" spans="1:5" x14ac:dyDescent="0.25">
      <c r="A23466" t="str">
        <f>HYPERLINK("https://www.773grp.com/globalSearch/BAW56LT1G/page-1", "BAW56LT1G")</f>
        <v>BAW56LT1G</v>
      </c>
      <c r="B23466" s="3" t="str">
        <f>HYPERLINK("https://www.773grp.com/manufacturer/onsemi?pageNo=1290", "ON Semiconductor")</f>
        <v>ON Semiconductor</v>
      </c>
      <c r="C23466" s="6">
        <v>11560895</v>
      </c>
      <c r="D23466" s="7">
        <v>0.1</v>
      </c>
      <c r="E23466" t="s">
        <v>94</v>
      </c>
    </row>
    <row r="23467" spans="1:5" x14ac:dyDescent="0.25">
      <c r="A23467" t="str">
        <f>HYPERLINK("https://www.773grp.com/globalSearch/BAW56LT3/page-1", "BAW56LT3")</f>
        <v>BAW56LT3</v>
      </c>
      <c r="B23467" s="3" t="str">
        <f>HYPERLINK("https://www.773grp.com/manufacturer/onsemi?pageNo=1291", "ON Semiconductor")</f>
        <v>ON Semiconductor</v>
      </c>
      <c r="C23467" s="6">
        <v>1590000</v>
      </c>
      <c r="D23467" s="7">
        <v>0.1</v>
      </c>
      <c r="E23467" t="s">
        <v>94</v>
      </c>
    </row>
    <row r="23468" spans="1:5" x14ac:dyDescent="0.25">
      <c r="A23468" t="str">
        <f>HYPERLINK("https://www.773grp.com/globalSearch/BAW56LT3G/page-1", "BAW56LT3G")</f>
        <v>BAW56LT3G</v>
      </c>
      <c r="B23468" s="3" t="str">
        <f>HYPERLINK("https://www.773grp.com/manufacturer/onsemi?pageNo=1292", "ON Semiconductor")</f>
        <v>ON Semiconductor</v>
      </c>
      <c r="C23468" s="6">
        <v>89520</v>
      </c>
      <c r="D23468" s="7">
        <v>0.1</v>
      </c>
      <c r="E23468" t="s">
        <v>94</v>
      </c>
    </row>
    <row r="23469" spans="1:5" x14ac:dyDescent="0.25">
      <c r="A23469" t="str">
        <f>HYPERLINK("https://www.773grp.com/globalSearch/BC214/page-1", "BC214")</f>
        <v>BC214</v>
      </c>
      <c r="B23469" s="3" t="str">
        <f>HYPERLINK("https://www.773grp.com/manufacturer/onsemi?pageNo=1293", "ON Semiconductor")</f>
        <v>ON Semiconductor</v>
      </c>
      <c r="C23469" s="6">
        <v>12000</v>
      </c>
      <c r="D23469" s="7">
        <v>0.1</v>
      </c>
      <c r="E23469" t="s">
        <v>69</v>
      </c>
    </row>
    <row r="23470" spans="1:5" x14ac:dyDescent="0.25">
      <c r="A23470" t="str">
        <f>HYPERLINK("https://www.773grp.com/globalSearch/BC237BG/page-1", "BC237BG")</f>
        <v>BC237BG</v>
      </c>
      <c r="B23470" s="3" t="str">
        <f>HYPERLINK("https://www.773grp.com/manufacturer/onsemi?pageNo=1294", "ON Semiconductor")</f>
        <v>ON Semiconductor</v>
      </c>
      <c r="C23470" s="6">
        <v>21055</v>
      </c>
      <c r="D23470" s="7">
        <v>0.1</v>
      </c>
      <c r="E23470" t="s">
        <v>69</v>
      </c>
    </row>
    <row r="23471" spans="1:5" x14ac:dyDescent="0.25">
      <c r="A23471" t="str">
        <f>HYPERLINK("https://www.773grp.com/globalSearch/BC237BRL1G/page-1", "BC237BRL1G")</f>
        <v>BC237BRL1G</v>
      </c>
      <c r="B23471" s="3" t="str">
        <f>HYPERLINK("https://www.773grp.com/manufacturer/onsemi?pageNo=1295", "ON Semiconductor")</f>
        <v>ON Semiconductor</v>
      </c>
      <c r="C23471" s="6">
        <v>40000</v>
      </c>
      <c r="D23471" s="7">
        <v>0.1</v>
      </c>
      <c r="E23471" t="s">
        <v>69</v>
      </c>
    </row>
    <row r="23472" spans="1:5" x14ac:dyDescent="0.25">
      <c r="A23472" t="str">
        <f>HYPERLINK("https://www.773grp.com/globalSearch/BC307C/page-1", "BC307C")</f>
        <v>BC307C</v>
      </c>
      <c r="B23472" s="3" t="str">
        <f>HYPERLINK("https://www.773grp.com/manufacturer/onsemi?pageNo=1296", "ON Semiconductor")</f>
        <v>ON Semiconductor</v>
      </c>
      <c r="C23472" s="6">
        <v>35000</v>
      </c>
      <c r="D23472" s="7">
        <v>0.1</v>
      </c>
      <c r="E23472" t="s">
        <v>69</v>
      </c>
    </row>
    <row r="23473" spans="1:5" x14ac:dyDescent="0.25">
      <c r="A23473" t="str">
        <f>HYPERLINK("https://www.773grp.com/globalSearch/BC307CZL1/page-1", "BC307CZL1")</f>
        <v>BC307CZL1</v>
      </c>
      <c r="B23473" s="3" t="str">
        <f>HYPERLINK("https://www.773grp.com/manufacturer/onsemi?pageNo=1297", "ON Semiconductor")</f>
        <v>ON Semiconductor</v>
      </c>
      <c r="C23473" s="6">
        <v>28000</v>
      </c>
      <c r="D23473" s="7">
        <v>0.1</v>
      </c>
      <c r="E23473" t="s">
        <v>69</v>
      </c>
    </row>
    <row r="23474" spans="1:5" x14ac:dyDescent="0.25">
      <c r="A23474" t="str">
        <f>HYPERLINK("https://www.773grp.com/globalSearch/BC308C/page-1", "BC308C")</f>
        <v>BC308C</v>
      </c>
      <c r="B23474" s="3" t="str">
        <f>HYPERLINK("https://www.773grp.com/manufacturer/onsemi?pageNo=1298", "ON Semiconductor")</f>
        <v>ON Semiconductor</v>
      </c>
      <c r="C23474" s="6">
        <v>5000</v>
      </c>
      <c r="D23474" s="7">
        <v>0.1</v>
      </c>
      <c r="E23474" t="s">
        <v>69</v>
      </c>
    </row>
    <row r="23475" spans="1:5" x14ac:dyDescent="0.25">
      <c r="A23475" t="str">
        <f>HYPERLINK("https://www.773grp.com/globalSearch/BC328-40ZL1/page-1", "BC328-40ZL1")</f>
        <v>BC328-40ZL1</v>
      </c>
      <c r="B23475" s="3" t="str">
        <f>HYPERLINK("https://www.773grp.com/manufacturer/onsemi?pageNo=1299", "ON Semiconductor")</f>
        <v>ON Semiconductor</v>
      </c>
      <c r="C23475" s="6">
        <v>20000</v>
      </c>
      <c r="D23475" s="7">
        <v>0.1</v>
      </c>
    </row>
    <row r="23476" spans="1:5" x14ac:dyDescent="0.25">
      <c r="A23476" t="str">
        <f>HYPERLINK("https://www.773grp.com/globalSearch/BC548BG/page-1", "BC548BG")</f>
        <v>BC548BG</v>
      </c>
      <c r="B23476" s="3" t="str">
        <f>HYPERLINK("https://www.773grp.com/manufacturer/onsemi?pageNo=1300", "ON Semiconductor")</f>
        <v>ON Semiconductor</v>
      </c>
      <c r="C23476" s="6">
        <v>88838</v>
      </c>
      <c r="D23476" s="7">
        <v>0.1</v>
      </c>
      <c r="E23476" t="s">
        <v>69</v>
      </c>
    </row>
    <row r="23477" spans="1:5" x14ac:dyDescent="0.25">
      <c r="A23477" t="str">
        <f>HYPERLINK("https://www.773grp.com/globalSearch/BC548BRL1G/page-1", "BC548BRL1G")</f>
        <v>BC548BRL1G</v>
      </c>
      <c r="B23477" s="3" t="str">
        <f>HYPERLINK("https://www.773grp.com/manufacturer/onsemi?pageNo=1301", "ON Semiconductor")</f>
        <v>ON Semiconductor</v>
      </c>
      <c r="C23477" s="6">
        <v>128000</v>
      </c>
      <c r="D23477" s="7">
        <v>0.1</v>
      </c>
      <c r="E23477" t="s">
        <v>69</v>
      </c>
    </row>
    <row r="23478" spans="1:5" x14ac:dyDescent="0.25">
      <c r="A23478" t="str">
        <f>HYPERLINK("https://www.773grp.com/globalSearch/BC548BZL1G/page-1", "BC548BZL1G")</f>
        <v>BC548BZL1G</v>
      </c>
      <c r="B23478" s="3" t="str">
        <f>HYPERLINK("https://www.773grp.com/manufacturer/onsemi?pageNo=1302", "ON Semiconductor")</f>
        <v>ON Semiconductor</v>
      </c>
      <c r="C23478" s="6">
        <v>65995</v>
      </c>
      <c r="D23478" s="7">
        <v>0.1</v>
      </c>
      <c r="E23478" t="s">
        <v>69</v>
      </c>
    </row>
    <row r="23479" spans="1:5" x14ac:dyDescent="0.25">
      <c r="A23479" t="str">
        <f>HYPERLINK("https://www.773grp.com/globalSearch/BC548CG/page-1", "BC548CG")</f>
        <v>BC548CG</v>
      </c>
      <c r="B23479" s="3" t="str">
        <f>HYPERLINK("https://www.773grp.com/manufacturer/onsemi?pageNo=1303", "ON Semiconductor")</f>
        <v>ON Semiconductor</v>
      </c>
      <c r="C23479" s="6">
        <v>82432</v>
      </c>
      <c r="D23479" s="7">
        <v>0.1</v>
      </c>
      <c r="E23479" t="s">
        <v>69</v>
      </c>
    </row>
    <row r="23480" spans="1:5" x14ac:dyDescent="0.25">
      <c r="A23480" t="str">
        <f>HYPERLINK("https://www.773grp.com/globalSearch/BC807-16LT1/page-1", "BC807-16LT1")</f>
        <v>BC807-16LT1</v>
      </c>
      <c r="B23480" s="3" t="str">
        <f>HYPERLINK("https://www.773grp.com/manufacturer/onsemi?pageNo=1304", "ON Semiconductor")</f>
        <v>ON Semiconductor</v>
      </c>
      <c r="C23480" s="6">
        <v>383630</v>
      </c>
      <c r="D23480" s="7">
        <v>0.1</v>
      </c>
      <c r="E23480" t="s">
        <v>69</v>
      </c>
    </row>
    <row r="23481" spans="1:5" x14ac:dyDescent="0.25">
      <c r="A23481" t="str">
        <f>HYPERLINK("https://www.773grp.com/globalSearch/BC807-25LT1/page-1", "BC807-25LT1")</f>
        <v>BC807-25LT1</v>
      </c>
      <c r="B23481" s="3" t="str">
        <f>HYPERLINK("https://www.773grp.com/manufacturer/onsemi?pageNo=1305", "ON Semiconductor")</f>
        <v>ON Semiconductor</v>
      </c>
      <c r="C23481" s="6">
        <v>1305395</v>
      </c>
      <c r="D23481" s="7">
        <v>0.1</v>
      </c>
      <c r="E23481" t="s">
        <v>69</v>
      </c>
    </row>
    <row r="23482" spans="1:5" x14ac:dyDescent="0.25">
      <c r="A23482" t="str">
        <f>HYPERLINK("https://www.773grp.com/globalSearch/BC807-25LT3/page-1", "BC807-25LT3")</f>
        <v>BC807-25LT3</v>
      </c>
      <c r="B23482" s="3" t="str">
        <f>HYPERLINK("https://www.773grp.com/manufacturer/onsemi?pageNo=1306", "ON Semiconductor")</f>
        <v>ON Semiconductor</v>
      </c>
      <c r="C23482" s="6">
        <v>10000</v>
      </c>
      <c r="D23482" s="7">
        <v>0.1</v>
      </c>
      <c r="E23482" t="s">
        <v>69</v>
      </c>
    </row>
    <row r="23483" spans="1:5" x14ac:dyDescent="0.25">
      <c r="A23483" t="str">
        <f>HYPERLINK("https://www.773grp.com/globalSearch/BC808-25LT1/page-1", "BC808-25LT1")</f>
        <v>BC808-25LT1</v>
      </c>
      <c r="B23483" s="3" t="str">
        <f>HYPERLINK("https://www.773grp.com/manufacturer/onsemi?pageNo=1307", "ON Semiconductor")</f>
        <v>ON Semiconductor</v>
      </c>
      <c r="C23483" s="6">
        <v>36000</v>
      </c>
      <c r="D23483" s="7">
        <v>0.1</v>
      </c>
      <c r="E23483" t="s">
        <v>69</v>
      </c>
    </row>
    <row r="23484" spans="1:5" x14ac:dyDescent="0.25">
      <c r="A23484" t="str">
        <f>HYPERLINK("https://www.773grp.com/globalSearch/BC817-16LT1/page-1", "BC817-16LT1")</f>
        <v>BC817-16LT1</v>
      </c>
      <c r="B23484" s="3" t="str">
        <f>HYPERLINK("https://www.773grp.com/manufacturer/onsemi?pageNo=1308", "ON Semiconductor")</f>
        <v>ON Semiconductor</v>
      </c>
      <c r="C23484" s="6">
        <v>138000</v>
      </c>
      <c r="D23484" s="7">
        <v>0.1</v>
      </c>
      <c r="E23484" t="s">
        <v>69</v>
      </c>
    </row>
    <row r="23485" spans="1:5" x14ac:dyDescent="0.25">
      <c r="A23485" t="str">
        <f>HYPERLINK("https://www.773grp.com/globalSearch/BC817-25LT1/page-1", "BC817-25LT1")</f>
        <v>BC817-25LT1</v>
      </c>
      <c r="B23485" s="3" t="str">
        <f>HYPERLINK("https://www.773grp.com/manufacturer/onsemi?pageNo=1309", "ON Semiconductor")</f>
        <v>ON Semiconductor</v>
      </c>
      <c r="C23485" s="6">
        <v>671457</v>
      </c>
      <c r="D23485" s="7">
        <v>0.1</v>
      </c>
      <c r="E23485" t="s">
        <v>69</v>
      </c>
    </row>
    <row r="23486" spans="1:5" x14ac:dyDescent="0.25">
      <c r="A23486" t="str">
        <f>HYPERLINK("https://www.773grp.com/globalSearch/BC817-25LT1G/page-1", "BC817-25LT1G")</f>
        <v>BC817-25LT1G</v>
      </c>
      <c r="B23486" s="3" t="str">
        <f>HYPERLINK("https://www.773grp.com/manufacturer/onsemi?pageNo=1310", "ON Semiconductor")</f>
        <v>ON Semiconductor</v>
      </c>
      <c r="C23486" s="6">
        <v>734000</v>
      </c>
      <c r="D23486" s="7">
        <v>0.1</v>
      </c>
      <c r="E23486" t="s">
        <v>69</v>
      </c>
    </row>
    <row r="23487" spans="1:5" x14ac:dyDescent="0.25">
      <c r="A23487" t="str">
        <f>HYPERLINK("https://www.773grp.com/globalSearch/BC817-25LT3/page-1", "BC817-25LT3")</f>
        <v>BC817-25LT3</v>
      </c>
      <c r="B23487" s="3" t="str">
        <f>HYPERLINK("https://www.773grp.com/manufacturer/onsemi?pageNo=1311", "ON Semiconductor")</f>
        <v>ON Semiconductor</v>
      </c>
      <c r="C23487" s="6">
        <v>110000</v>
      </c>
      <c r="D23487" s="7">
        <v>0.1</v>
      </c>
      <c r="E23487" t="s">
        <v>69</v>
      </c>
    </row>
    <row r="23488" spans="1:5" x14ac:dyDescent="0.25">
      <c r="A23488" t="str">
        <f>HYPERLINK("https://www.773grp.com/globalSearch/BC817-25LT3G/page-1", "BC817-25LT3G")</f>
        <v>BC817-25LT3G</v>
      </c>
      <c r="B23488" s="3" t="str">
        <f>HYPERLINK("https://www.773grp.com/manufacturer/onsemi?pageNo=1312", "ON Semiconductor")</f>
        <v>ON Semiconductor</v>
      </c>
      <c r="C23488" s="6">
        <v>10895428</v>
      </c>
      <c r="D23488" s="7">
        <v>0.1</v>
      </c>
      <c r="E23488" t="s">
        <v>69</v>
      </c>
    </row>
    <row r="23489" spans="1:5" x14ac:dyDescent="0.25">
      <c r="A23489" t="str">
        <f>HYPERLINK("https://www.773grp.com/globalSearch/BC817-40LT1G/page-1", "BC817-40LT1G")</f>
        <v>BC817-40LT1G</v>
      </c>
      <c r="B23489" s="3" t="str">
        <f>HYPERLINK("https://www.773grp.com/manufacturer/onsemi?pageNo=1313", "ON Semiconductor")</f>
        <v>ON Semiconductor</v>
      </c>
      <c r="C23489" s="6">
        <v>1216666</v>
      </c>
      <c r="D23489" s="7">
        <v>0.1</v>
      </c>
      <c r="E23489" t="s">
        <v>69</v>
      </c>
    </row>
    <row r="23490" spans="1:5" x14ac:dyDescent="0.25">
      <c r="A23490" t="str">
        <f>HYPERLINK("https://www.773grp.com/globalSearch/BC817-40LT3G/page-1", "BC817-40LT3G")</f>
        <v>BC817-40LT3G</v>
      </c>
      <c r="B23490" s="3" t="str">
        <f>HYPERLINK("https://www.773grp.com/manufacturer/onsemi?pageNo=1314", "ON Semiconductor")</f>
        <v>ON Semiconductor</v>
      </c>
      <c r="C23490" s="6">
        <v>10000</v>
      </c>
      <c r="D23490" s="7">
        <v>0.1</v>
      </c>
    </row>
    <row r="23491" spans="1:5" x14ac:dyDescent="0.25">
      <c r="A23491" t="str">
        <f>HYPERLINK("https://www.773grp.com/globalSearch/BC846ALT1G/page-1", "BC846ALT1G")</f>
        <v>BC846ALT1G</v>
      </c>
      <c r="B23491" s="3" t="str">
        <f>HYPERLINK("https://www.773grp.com/manufacturer/onsemi?pageNo=1315", "ON Semiconductor")</f>
        <v>ON Semiconductor</v>
      </c>
      <c r="C23491" s="6">
        <v>39777</v>
      </c>
      <c r="D23491" s="7">
        <v>0.1</v>
      </c>
      <c r="E23491" t="s">
        <v>69</v>
      </c>
    </row>
    <row r="23492" spans="1:5" x14ac:dyDescent="0.25">
      <c r="A23492" t="str">
        <f>HYPERLINK("https://www.773grp.com/globalSearch/BC846ALT3G/page-1", "BC846ALT3G")</f>
        <v>BC846ALT3G</v>
      </c>
      <c r="B23492" s="3" t="str">
        <f>HYPERLINK("https://www.773grp.com/manufacturer/onsemi?pageNo=1316", "ON Semiconductor")</f>
        <v>ON Semiconductor</v>
      </c>
      <c r="C23492" s="6">
        <v>410000</v>
      </c>
      <c r="D23492" s="7">
        <v>0.1</v>
      </c>
      <c r="E23492" t="s">
        <v>69</v>
      </c>
    </row>
    <row r="23493" spans="1:5" x14ac:dyDescent="0.25">
      <c r="A23493" t="str">
        <f>HYPERLINK("https://www.773grp.com/globalSearch/BC846AWT1/page-1", "BC846AWT1")</f>
        <v>BC846AWT1</v>
      </c>
      <c r="B23493" s="3" t="str">
        <f>HYPERLINK("https://www.773grp.com/manufacturer/onsemi?pageNo=1317", "ON Semiconductor")</f>
        <v>ON Semiconductor</v>
      </c>
      <c r="C23493" s="6">
        <v>140500</v>
      </c>
      <c r="D23493" s="7">
        <v>0.1</v>
      </c>
      <c r="E23493" t="s">
        <v>69</v>
      </c>
    </row>
    <row r="23494" spans="1:5" x14ac:dyDescent="0.25">
      <c r="A23494" t="str">
        <f>HYPERLINK("https://www.773grp.com/globalSearch/BC846AWT1G/page-1", "BC846AWT1G")</f>
        <v>BC846AWT1G</v>
      </c>
      <c r="B23494" s="3" t="str">
        <f>HYPERLINK("https://www.773grp.com/manufacturer/onsemi?pageNo=1318", "ON Semiconductor")</f>
        <v>ON Semiconductor</v>
      </c>
      <c r="C23494" s="6">
        <v>96000</v>
      </c>
      <c r="D23494" s="7">
        <v>0.1</v>
      </c>
      <c r="E23494" t="s">
        <v>69</v>
      </c>
    </row>
    <row r="23495" spans="1:5" x14ac:dyDescent="0.25">
      <c r="A23495" t="str">
        <f>HYPERLINK("https://www.773grp.com/globalSearch/BC846BDW1T1/page-1", "BC846BDW1T1")</f>
        <v>BC846BDW1T1</v>
      </c>
      <c r="B23495" s="3" t="str">
        <f>HYPERLINK("https://www.773grp.com/manufacturer/onsemi?pageNo=1319", "ON Semiconductor")</f>
        <v>ON Semiconductor</v>
      </c>
      <c r="C23495" s="6">
        <v>6000</v>
      </c>
      <c r="D23495" s="7">
        <v>0.1</v>
      </c>
      <c r="E23495" t="s">
        <v>69</v>
      </c>
    </row>
    <row r="23496" spans="1:5" x14ac:dyDescent="0.25">
      <c r="A23496" t="str">
        <f>HYPERLINK("https://www.773grp.com/globalSearch/BC846BLT1G/page-1", "BC846BLT1G")</f>
        <v>BC846BLT1G</v>
      </c>
      <c r="B23496" s="3" t="str">
        <f>HYPERLINK("https://www.773grp.com/manufacturer/onsemi?pageNo=1320", "ON Semiconductor")</f>
        <v>ON Semiconductor</v>
      </c>
      <c r="C23496" s="6">
        <v>693000</v>
      </c>
      <c r="D23496" s="7">
        <v>0.1</v>
      </c>
      <c r="E23496" t="s">
        <v>69</v>
      </c>
    </row>
    <row r="23497" spans="1:5" x14ac:dyDescent="0.25">
      <c r="A23497" t="str">
        <f>HYPERLINK("https://www.773grp.com/globalSearch/BC846BLT3G/page-1", "BC846BLT3G")</f>
        <v>BC846BLT3G</v>
      </c>
      <c r="B23497" s="3" t="str">
        <f>HYPERLINK("https://www.773grp.com/manufacturer/onsemi?pageNo=1321", "ON Semiconductor")</f>
        <v>ON Semiconductor</v>
      </c>
      <c r="C23497" s="6">
        <v>200000</v>
      </c>
      <c r="D23497" s="7">
        <v>0.1</v>
      </c>
      <c r="E23497" t="s">
        <v>69</v>
      </c>
    </row>
    <row r="23498" spans="1:5" x14ac:dyDescent="0.25">
      <c r="A23498" t="str">
        <f>HYPERLINK("https://www.773grp.com/globalSearch/BC846BPDW1T1/page-1", "BC846BPDW1T1")</f>
        <v>BC846BPDW1T1</v>
      </c>
      <c r="B23498" s="3" t="str">
        <f>HYPERLINK("https://www.773grp.com/manufacturer/onsemi?pageNo=1322", "ON Semiconductor")</f>
        <v>ON Semiconductor</v>
      </c>
      <c r="C23498" s="6">
        <v>9000</v>
      </c>
      <c r="D23498" s="7">
        <v>0.1</v>
      </c>
      <c r="E23498" t="s">
        <v>69</v>
      </c>
    </row>
    <row r="23499" spans="1:5" x14ac:dyDescent="0.25">
      <c r="A23499" t="str">
        <f>HYPERLINK("https://www.773grp.com/globalSearch/BC846BWT1G/page-1", "BC846BWT1G")</f>
        <v>BC846BWT1G</v>
      </c>
      <c r="B23499" s="3" t="str">
        <f>HYPERLINK("https://www.773grp.com/manufacturer/onsemi?pageNo=1323", "ON Semiconductor")</f>
        <v>ON Semiconductor</v>
      </c>
      <c r="C23499" s="6">
        <v>1287000</v>
      </c>
      <c r="D23499" s="7">
        <v>0.1</v>
      </c>
      <c r="E23499" t="s">
        <v>69</v>
      </c>
    </row>
    <row r="23500" spans="1:5" x14ac:dyDescent="0.25">
      <c r="A23500" t="str">
        <f>HYPERLINK("https://www.773grp.com/globalSearch/BC847ALT1G/page-1", "BC847ALT1G")</f>
        <v>BC847ALT1G</v>
      </c>
      <c r="B23500" s="3" t="str">
        <f>HYPERLINK("https://www.773grp.com/manufacturer/onsemi?pageNo=1324", "ON Semiconductor")</f>
        <v>ON Semiconductor</v>
      </c>
      <c r="C23500" s="6">
        <v>335885</v>
      </c>
      <c r="D23500" s="7">
        <v>0.1</v>
      </c>
      <c r="E23500" t="s">
        <v>69</v>
      </c>
    </row>
    <row r="23501" spans="1:5" x14ac:dyDescent="0.25">
      <c r="A23501" t="str">
        <f>HYPERLINK("https://www.773grp.com/globalSearch/BC847AWT1G/page-1", "BC847AWT1G")</f>
        <v>BC847AWT1G</v>
      </c>
      <c r="B23501" s="3" t="str">
        <f>HYPERLINK("https://www.773grp.com/manufacturer/onsemi?pageNo=1325", "ON Semiconductor")</f>
        <v>ON Semiconductor</v>
      </c>
      <c r="C23501" s="6">
        <v>393000</v>
      </c>
      <c r="D23501" s="7">
        <v>0.1</v>
      </c>
      <c r="E23501" t="s">
        <v>69</v>
      </c>
    </row>
    <row r="23502" spans="1:5" x14ac:dyDescent="0.25">
      <c r="A23502" t="str">
        <f>HYPERLINK("https://www.773grp.com/globalSearch/BC847BLT1G/page-1", "BC847BLT1G")</f>
        <v>BC847BLT1G</v>
      </c>
      <c r="B23502" s="3" t="str">
        <f>HYPERLINK("https://www.773grp.com/manufacturer/onsemi?pageNo=1326", "ON Semiconductor")</f>
        <v>ON Semiconductor</v>
      </c>
      <c r="C23502" s="6">
        <v>1856720</v>
      </c>
      <c r="D23502" s="7">
        <v>0.1</v>
      </c>
      <c r="E23502" t="s">
        <v>69</v>
      </c>
    </row>
    <row r="23503" spans="1:5" x14ac:dyDescent="0.25">
      <c r="A23503" t="str">
        <f>HYPERLINK("https://www.773grp.com/globalSearch/BC847BLT3G/page-1", "BC847BLT3G")</f>
        <v>BC847BLT3G</v>
      </c>
      <c r="B23503" s="3" t="str">
        <f>HYPERLINK("https://www.773grp.com/manufacturer/onsemi?pageNo=1327", "ON Semiconductor")</f>
        <v>ON Semiconductor</v>
      </c>
      <c r="C23503" s="6">
        <v>800000</v>
      </c>
      <c r="D23503" s="7">
        <v>0.1</v>
      </c>
      <c r="E23503" t="s">
        <v>69</v>
      </c>
    </row>
    <row r="23504" spans="1:5" x14ac:dyDescent="0.25">
      <c r="A23504" t="str">
        <f>HYPERLINK("https://www.773grp.com/globalSearch/BC847BWT1G/page-1", "BC847BWT1G")</f>
        <v>BC847BWT1G</v>
      </c>
      <c r="B23504" s="3" t="str">
        <f>HYPERLINK("https://www.773grp.com/manufacturer/onsemi?pageNo=1328", "ON Semiconductor")</f>
        <v>ON Semiconductor</v>
      </c>
      <c r="C23504" s="6">
        <v>1746990</v>
      </c>
      <c r="D23504" s="7">
        <v>0.1</v>
      </c>
      <c r="E23504" t="s">
        <v>69</v>
      </c>
    </row>
    <row r="23505" spans="1:5" x14ac:dyDescent="0.25">
      <c r="A23505" t="str">
        <f>HYPERLINK("https://www.773grp.com/globalSearch/BC848ALT1G/page-1", "BC848ALT1G")</f>
        <v>BC848ALT1G</v>
      </c>
      <c r="B23505" s="3" t="str">
        <f>HYPERLINK("https://www.773grp.com/manufacturer/onsemi?pageNo=1329", "ON Semiconductor")</f>
        <v>ON Semiconductor</v>
      </c>
      <c r="C23505" s="6">
        <v>276000</v>
      </c>
      <c r="D23505" s="7">
        <v>0.1</v>
      </c>
      <c r="E23505" t="s">
        <v>69</v>
      </c>
    </row>
    <row r="23506" spans="1:5" x14ac:dyDescent="0.25">
      <c r="A23506" t="str">
        <f>HYPERLINK("https://www.773grp.com/globalSearch/BC848AWT1/page-1", "BC848AWT1")</f>
        <v>BC848AWT1</v>
      </c>
      <c r="B23506" s="3" t="str">
        <f>HYPERLINK("https://www.773grp.com/manufacturer/onsemi?pageNo=1330", "ON Semiconductor")</f>
        <v>ON Semiconductor</v>
      </c>
      <c r="C23506" s="6">
        <v>45000</v>
      </c>
      <c r="D23506" s="7">
        <v>0.1</v>
      </c>
      <c r="E23506" t="s">
        <v>69</v>
      </c>
    </row>
    <row r="23507" spans="1:5" x14ac:dyDescent="0.25">
      <c r="A23507" t="str">
        <f>HYPERLINK("https://www.773grp.com/globalSearch/BC848AWT1G/page-1", "BC848AWT1G")</f>
        <v>BC848AWT1G</v>
      </c>
      <c r="B23507" s="3" t="str">
        <f>HYPERLINK("https://www.773grp.com/manufacturer/onsemi?pageNo=1331", "ON Semiconductor")</f>
        <v>ON Semiconductor</v>
      </c>
      <c r="C23507" s="6">
        <v>129000</v>
      </c>
      <c r="D23507" s="7">
        <v>0.1</v>
      </c>
      <c r="E23507" t="s">
        <v>69</v>
      </c>
    </row>
    <row r="23508" spans="1:5" x14ac:dyDescent="0.25">
      <c r="A23508" t="str">
        <f>HYPERLINK("https://www.773grp.com/globalSearch/BC848BDW1T1/page-1", "BC848BDW1T1")</f>
        <v>BC848BDW1T1</v>
      </c>
      <c r="B23508" s="3" t="str">
        <f>HYPERLINK("https://www.773grp.com/manufacturer/onsemi?pageNo=1332", "ON Semiconductor")</f>
        <v>ON Semiconductor</v>
      </c>
      <c r="C23508" s="6">
        <v>108500</v>
      </c>
      <c r="D23508" s="7">
        <v>0.1</v>
      </c>
      <c r="E23508" t="s">
        <v>69</v>
      </c>
    </row>
    <row r="23509" spans="1:5" x14ac:dyDescent="0.25">
      <c r="A23509" t="str">
        <f>HYPERLINK("https://www.773grp.com/globalSearch/BC848BLT1G/page-1", "BC848BLT1G")</f>
        <v>BC848BLT1G</v>
      </c>
      <c r="B23509" s="3" t="str">
        <f>HYPERLINK("https://www.773grp.com/manufacturer/onsemi?pageNo=1333", "ON Semiconductor")</f>
        <v>ON Semiconductor</v>
      </c>
      <c r="C23509" s="6">
        <v>842830</v>
      </c>
      <c r="D23509" s="7">
        <v>0.1</v>
      </c>
      <c r="E23509" t="s">
        <v>69</v>
      </c>
    </row>
    <row r="23510" spans="1:5" x14ac:dyDescent="0.25">
      <c r="A23510" t="str">
        <f>HYPERLINK("https://www.773grp.com/globalSearch/BC848BLT3G/page-1", "BC848BLT3G")</f>
        <v>BC848BLT3G</v>
      </c>
      <c r="B23510" s="3" t="str">
        <f>HYPERLINK("https://www.773grp.com/manufacturer/onsemi?pageNo=1334", "ON Semiconductor")</f>
        <v>ON Semiconductor</v>
      </c>
      <c r="C23510" s="6">
        <v>1270000</v>
      </c>
      <c r="D23510" s="7">
        <v>0.1</v>
      </c>
    </row>
    <row r="23511" spans="1:5" x14ac:dyDescent="0.25">
      <c r="A23511" t="str">
        <f>HYPERLINK("https://www.773grp.com/globalSearch/BC848BPDW1T1/page-1", "BC848BPDW1T1")</f>
        <v>BC848BPDW1T1</v>
      </c>
      <c r="B23511" s="3" t="str">
        <f>HYPERLINK("https://www.773grp.com/manufacturer/onsemi?pageNo=1335", "ON Semiconductor")</f>
        <v>ON Semiconductor</v>
      </c>
      <c r="C23511" s="6">
        <v>33000</v>
      </c>
      <c r="D23511" s="7">
        <v>0.1</v>
      </c>
      <c r="E23511" t="s">
        <v>69</v>
      </c>
    </row>
    <row r="23512" spans="1:5" x14ac:dyDescent="0.25">
      <c r="A23512" t="str">
        <f>HYPERLINK("https://www.773grp.com/globalSearch/BC848BWT1/page-1", "BC848BWT1")</f>
        <v>BC848BWT1</v>
      </c>
      <c r="B23512" s="3" t="str">
        <f>HYPERLINK("https://www.773grp.com/manufacturer/onsemi?pageNo=1336", "ON Semiconductor")</f>
        <v>ON Semiconductor</v>
      </c>
      <c r="C23512" s="6">
        <v>300000</v>
      </c>
      <c r="D23512" s="7">
        <v>0.1</v>
      </c>
      <c r="E23512" t="s">
        <v>69</v>
      </c>
    </row>
    <row r="23513" spans="1:5" x14ac:dyDescent="0.25">
      <c r="A23513" t="str">
        <f>HYPERLINK("https://www.773grp.com/globalSearch/BC848BWT1G/page-1", "BC848BWT1G")</f>
        <v>BC848BWT1G</v>
      </c>
      <c r="B23513" s="3" t="str">
        <f>HYPERLINK("https://www.773grp.com/manufacturer/onsemi?pageNo=1337", "ON Semiconductor")</f>
        <v>ON Semiconductor</v>
      </c>
      <c r="C23513" s="6">
        <v>201000</v>
      </c>
      <c r="D23513" s="7">
        <v>0.1</v>
      </c>
      <c r="E23513" t="s">
        <v>69</v>
      </c>
    </row>
    <row r="23514" spans="1:5" x14ac:dyDescent="0.25">
      <c r="A23514" t="str">
        <f>HYPERLINK("https://www.773grp.com/globalSearch/BC848CDW1T1/page-1", "BC848CDW1T1")</f>
        <v>BC848CDW1T1</v>
      </c>
      <c r="B23514" s="3" t="str">
        <f>HYPERLINK("https://www.773grp.com/manufacturer/onsemi?pageNo=1338", "ON Semiconductor")</f>
        <v>ON Semiconductor</v>
      </c>
      <c r="C23514" s="6">
        <v>15000</v>
      </c>
      <c r="D23514" s="7">
        <v>0.1</v>
      </c>
      <c r="E23514" t="s">
        <v>69</v>
      </c>
    </row>
    <row r="23515" spans="1:5" x14ac:dyDescent="0.25">
      <c r="A23515" t="str">
        <f>HYPERLINK("https://www.773grp.com/globalSearch/BC848CPDW1T1/page-1", "BC848CPDW1T1")</f>
        <v>BC848CPDW1T1</v>
      </c>
      <c r="B23515" s="3" t="str">
        <f>HYPERLINK("https://www.773grp.com/manufacturer/onsemi?pageNo=1339", "ON Semiconductor")</f>
        <v>ON Semiconductor</v>
      </c>
      <c r="C23515" s="6">
        <v>6000</v>
      </c>
      <c r="D23515" s="7">
        <v>0.1</v>
      </c>
      <c r="E23515" t="s">
        <v>69</v>
      </c>
    </row>
    <row r="23516" spans="1:5" x14ac:dyDescent="0.25">
      <c r="A23516" t="str">
        <f>HYPERLINK("https://www.773grp.com/globalSearch/BC848CWT1/page-1", "BC848CWT1")</f>
        <v>BC848CWT1</v>
      </c>
      <c r="B23516" s="3" t="str">
        <f>HYPERLINK("https://www.773grp.com/manufacturer/onsemi?pageNo=1340", "ON Semiconductor")</f>
        <v>ON Semiconductor</v>
      </c>
      <c r="C23516" s="6">
        <v>604000</v>
      </c>
      <c r="D23516" s="7">
        <v>0.1</v>
      </c>
      <c r="E23516" t="s">
        <v>69</v>
      </c>
    </row>
    <row r="23517" spans="1:5" x14ac:dyDescent="0.25">
      <c r="A23517" t="str">
        <f>HYPERLINK("https://www.773grp.com/globalSearch/BC849BLT1G/page-1", "BC849BLT1G")</f>
        <v>BC849BLT1G</v>
      </c>
      <c r="B23517" s="3" t="str">
        <f>HYPERLINK("https://www.773grp.com/manufacturer/onsemi?pageNo=1341", "ON Semiconductor")</f>
        <v>ON Semiconductor</v>
      </c>
      <c r="C23517" s="6">
        <v>233567</v>
      </c>
      <c r="D23517" s="7">
        <v>0.1</v>
      </c>
      <c r="E23517" t="s">
        <v>69</v>
      </c>
    </row>
    <row r="23518" spans="1:5" x14ac:dyDescent="0.25">
      <c r="A23518" t="str">
        <f>HYPERLINK("https://www.773grp.com/globalSearch/BC850BLT1G/page-1", "BC850BLT1G")</f>
        <v>BC850BLT1G</v>
      </c>
      <c r="B23518" s="3" t="str">
        <f>HYPERLINK("https://www.773grp.com/manufacturer/onsemi?pageNo=1342", "ON Semiconductor")</f>
        <v>ON Semiconductor</v>
      </c>
      <c r="C23518" s="6">
        <v>180000</v>
      </c>
      <c r="D23518" s="7">
        <v>0.1</v>
      </c>
      <c r="E23518" t="s">
        <v>69</v>
      </c>
    </row>
    <row r="23519" spans="1:5" x14ac:dyDescent="0.25">
      <c r="A23519" t="str">
        <f>HYPERLINK("https://www.773grp.com/globalSearch/BC850CLT1G/page-1", "BC850CLT1G")</f>
        <v>BC850CLT1G</v>
      </c>
      <c r="B23519" s="3" t="str">
        <f>HYPERLINK("https://www.773grp.com/manufacturer/onsemi?pageNo=1343", "ON Semiconductor")</f>
        <v>ON Semiconductor</v>
      </c>
      <c r="C23519" s="6">
        <v>27000</v>
      </c>
      <c r="D23519" s="7">
        <v>0.1</v>
      </c>
      <c r="E23519" t="s">
        <v>69</v>
      </c>
    </row>
    <row r="23520" spans="1:5" x14ac:dyDescent="0.25">
      <c r="A23520" t="str">
        <f>HYPERLINK("https://www.773grp.com/globalSearch/BC856ALT1G/page-1", "BC856ALT1G")</f>
        <v>BC856ALT1G</v>
      </c>
      <c r="B23520" s="3" t="str">
        <f>HYPERLINK("https://www.773grp.com/manufacturer/onsemi?pageNo=1344", "ON Semiconductor")</f>
        <v>ON Semiconductor</v>
      </c>
      <c r="C23520" s="6">
        <v>368939</v>
      </c>
      <c r="D23520" s="7">
        <v>0.1</v>
      </c>
      <c r="E23520" t="s">
        <v>69</v>
      </c>
    </row>
    <row r="23521" spans="1:5" x14ac:dyDescent="0.25">
      <c r="A23521" t="str">
        <f>HYPERLINK("https://www.773grp.com/globalSearch/BC856BLT1G/page-1", "BC856BLT1G")</f>
        <v>BC856BLT1G</v>
      </c>
      <c r="B23521" s="3" t="str">
        <f>HYPERLINK("https://www.773grp.com/manufacturer/onsemi?pageNo=1345", "ON Semiconductor")</f>
        <v>ON Semiconductor</v>
      </c>
      <c r="C23521" s="6">
        <v>45000</v>
      </c>
      <c r="D23521" s="7">
        <v>0.1</v>
      </c>
      <c r="E23521" t="s">
        <v>69</v>
      </c>
    </row>
    <row r="23522" spans="1:5" x14ac:dyDescent="0.25">
      <c r="A23522" t="str">
        <f>HYPERLINK("https://www.773grp.com/globalSearch/BC856BLT3G/page-1", "BC856BLT3G")</f>
        <v>BC856BLT3G</v>
      </c>
      <c r="B23522" s="3" t="str">
        <f>HYPERLINK("https://www.773grp.com/manufacturer/onsemi?pageNo=1346", "ON Semiconductor")</f>
        <v>ON Semiconductor</v>
      </c>
      <c r="C23522" s="6">
        <v>1320000</v>
      </c>
      <c r="D23522" s="7">
        <v>0.1</v>
      </c>
    </row>
    <row r="23523" spans="1:5" x14ac:dyDescent="0.25">
      <c r="A23523" t="str">
        <f>HYPERLINK("https://www.773grp.com/globalSearch/BC856BWT1G/page-1", "BC856BWT1G")</f>
        <v>BC856BWT1G</v>
      </c>
      <c r="B23523" s="3" t="str">
        <f>HYPERLINK("https://www.773grp.com/manufacturer/onsemi?pageNo=1347", "ON Semiconductor")</f>
        <v>ON Semiconductor</v>
      </c>
      <c r="C23523" s="6">
        <v>261000</v>
      </c>
      <c r="D23523" s="7">
        <v>0.1</v>
      </c>
      <c r="E23523" t="s">
        <v>69</v>
      </c>
    </row>
    <row r="23524" spans="1:5" x14ac:dyDescent="0.25">
      <c r="A23524" t="str">
        <f>HYPERLINK("https://www.773grp.com/globalSearch/BC857ALT1G/page-1", "BC857ALT1G")</f>
        <v>BC857ALT1G</v>
      </c>
      <c r="B23524" s="3" t="str">
        <f>HYPERLINK("https://www.773grp.com/manufacturer/onsemi?pageNo=1348", "ON Semiconductor")</f>
        <v>ON Semiconductor</v>
      </c>
      <c r="C23524" s="6">
        <v>231000</v>
      </c>
      <c r="D23524" s="7">
        <v>0.1</v>
      </c>
      <c r="E23524" t="s">
        <v>69</v>
      </c>
    </row>
    <row r="23525" spans="1:5" x14ac:dyDescent="0.25">
      <c r="A23525" t="str">
        <f>HYPERLINK("https://www.773grp.com/globalSearch/BC857BDW1T1/page-1", "BC857BDW1T1")</f>
        <v>BC857BDW1T1</v>
      </c>
      <c r="B23525" s="3" t="str">
        <f>HYPERLINK("https://www.773grp.com/manufacturer/onsemi?pageNo=1", "ON Semiconductor")</f>
        <v>ON Semiconductor</v>
      </c>
      <c r="C23525" s="6">
        <v>24500</v>
      </c>
      <c r="D23525" s="7">
        <v>0.1</v>
      </c>
      <c r="E23525" t="s">
        <v>69</v>
      </c>
    </row>
    <row r="23526" spans="1:5" x14ac:dyDescent="0.25">
      <c r="A23526" t="str">
        <f>HYPERLINK("https://www.773grp.com/globalSearch/BC857BLT1G/page-1", "BC857BLT1G")</f>
        <v>BC857BLT1G</v>
      </c>
      <c r="B23526" s="3" t="str">
        <f>HYPERLINK("https://www.773grp.com/manufacturer/onsemi?pageNo=2", "ON Semiconductor")</f>
        <v>ON Semiconductor</v>
      </c>
      <c r="C23526" s="6">
        <v>2798669</v>
      </c>
      <c r="D23526" s="7">
        <v>0.1</v>
      </c>
      <c r="E23526" t="s">
        <v>69</v>
      </c>
    </row>
    <row r="23527" spans="1:5" x14ac:dyDescent="0.25">
      <c r="A23527" t="str">
        <f>HYPERLINK("https://www.773grp.com/globalSearch/BC857BLT3G/page-1", "BC857BLT3G")</f>
        <v>BC857BLT3G</v>
      </c>
      <c r="B23527" s="3" t="str">
        <f>HYPERLINK("https://www.773grp.com/manufacturer/onsemi?pageNo=3", "ON Semiconductor")</f>
        <v>ON Semiconductor</v>
      </c>
      <c r="C23527" s="6">
        <v>10000</v>
      </c>
      <c r="D23527" s="7">
        <v>0.1</v>
      </c>
      <c r="E23527" t="s">
        <v>69</v>
      </c>
    </row>
    <row r="23528" spans="1:5" x14ac:dyDescent="0.25">
      <c r="A23528" t="str">
        <f>HYPERLINK("https://www.773grp.com/globalSearch/BC857BWT1/page-1", "BC857BWT1")</f>
        <v>BC857BWT1</v>
      </c>
      <c r="B23528" s="3" t="str">
        <f>HYPERLINK("https://www.773grp.com/manufacturer/onsemi?pageNo=4", "ON Semiconductor")</f>
        <v>ON Semiconductor</v>
      </c>
      <c r="C23528" s="6">
        <v>24000</v>
      </c>
      <c r="D23528" s="7">
        <v>0.1</v>
      </c>
      <c r="E23528" t="s">
        <v>69</v>
      </c>
    </row>
    <row r="23529" spans="1:5" x14ac:dyDescent="0.25">
      <c r="A23529" t="str">
        <f>HYPERLINK("https://www.773grp.com/globalSearch/BC857BWT1G/page-1", "BC857BWT1G")</f>
        <v>BC857BWT1G</v>
      </c>
      <c r="B23529" s="3" t="str">
        <f>HYPERLINK("https://www.773grp.com/manufacturer/onsemi?pageNo=5", "ON Semiconductor")</f>
        <v>ON Semiconductor</v>
      </c>
      <c r="C23529" s="6">
        <v>108000</v>
      </c>
      <c r="D23529" s="7">
        <v>0.1</v>
      </c>
      <c r="E23529" t="s">
        <v>69</v>
      </c>
    </row>
    <row r="23530" spans="1:5" x14ac:dyDescent="0.25">
      <c r="A23530" t="str">
        <f>HYPERLINK("https://www.773grp.com/globalSearch/BC857CDW1T1/page-1", "BC857CDW1T1")</f>
        <v>BC857CDW1T1</v>
      </c>
      <c r="B23530" s="3" t="str">
        <f>HYPERLINK("https://www.773grp.com/manufacturer/onsemi?pageNo=6", "ON Semiconductor")</f>
        <v>ON Semiconductor</v>
      </c>
      <c r="C23530" s="6">
        <v>18000</v>
      </c>
      <c r="D23530" s="7">
        <v>0.1</v>
      </c>
      <c r="E23530" t="s">
        <v>69</v>
      </c>
    </row>
    <row r="23531" spans="1:5" x14ac:dyDescent="0.25">
      <c r="A23531" t="str">
        <f>HYPERLINK("https://www.773grp.com/globalSearch/BC857CLT1G/page-1", "BC857CLT1G")</f>
        <v>BC857CLT1G</v>
      </c>
      <c r="B23531" s="3" t="str">
        <f>HYPERLINK("https://www.773grp.com/manufacturer/onsemi?pageNo=7", "ON Semiconductor")</f>
        <v>ON Semiconductor</v>
      </c>
      <c r="C23531" s="6">
        <v>198000</v>
      </c>
      <c r="D23531" s="7">
        <v>0.1</v>
      </c>
      <c r="E23531" t="s">
        <v>69</v>
      </c>
    </row>
    <row r="23532" spans="1:5" x14ac:dyDescent="0.25">
      <c r="A23532" t="str">
        <f>HYPERLINK("https://www.773grp.com/globalSearch/BC857CWT1/page-1", "BC857CWT1")</f>
        <v>BC857CWT1</v>
      </c>
      <c r="B23532" s="3" t="str">
        <f>HYPERLINK("https://www.773grp.com/manufacturer/onsemi?pageNo=8", "ON Semiconductor")</f>
        <v>ON Semiconductor</v>
      </c>
      <c r="C23532" s="6">
        <v>467885</v>
      </c>
      <c r="D23532" s="7">
        <v>0.1</v>
      </c>
      <c r="E23532" t="s">
        <v>69</v>
      </c>
    </row>
    <row r="23533" spans="1:5" x14ac:dyDescent="0.25">
      <c r="A23533" t="str">
        <f>HYPERLINK("https://www.773grp.com/globalSearch/BC858ALT1G/page-1", "BC858ALT1G")</f>
        <v>BC858ALT1G</v>
      </c>
      <c r="B23533" s="3" t="str">
        <f>HYPERLINK("https://www.773grp.com/manufacturer/onsemi?pageNo=9", "ON Semiconductor")</f>
        <v>ON Semiconductor</v>
      </c>
      <c r="C23533" s="6">
        <v>501000</v>
      </c>
      <c r="D23533" s="7">
        <v>0.1</v>
      </c>
      <c r="E23533" t="s">
        <v>69</v>
      </c>
    </row>
    <row r="23534" spans="1:5" x14ac:dyDescent="0.25">
      <c r="A23534" t="str">
        <f>HYPERLINK("https://www.773grp.com/globalSearch/BC858AWT1/page-1", "BC858AWT1")</f>
        <v>BC858AWT1</v>
      </c>
      <c r="B23534" s="3" t="str">
        <f>HYPERLINK("https://www.773grp.com/manufacturer/onsemi?pageNo=10", "ON Semiconductor")</f>
        <v>ON Semiconductor</v>
      </c>
      <c r="C23534" s="6">
        <v>57000</v>
      </c>
      <c r="D23534" s="7">
        <v>0.1</v>
      </c>
      <c r="E23534" t="s">
        <v>69</v>
      </c>
    </row>
    <row r="23535" spans="1:5" x14ac:dyDescent="0.25">
      <c r="A23535" t="str">
        <f>HYPERLINK("https://www.773grp.com/globalSearch/BC858BDW1T1/page-1", "BC858BDW1T1")</f>
        <v>BC858BDW1T1</v>
      </c>
      <c r="B23535" s="3" t="str">
        <f>HYPERLINK("https://www.773grp.com/manufacturer/onsemi?pageNo=11", "ON Semiconductor")</f>
        <v>ON Semiconductor</v>
      </c>
      <c r="C23535" s="6">
        <v>90000</v>
      </c>
      <c r="D23535" s="7">
        <v>0.1</v>
      </c>
      <c r="E23535" t="s">
        <v>69</v>
      </c>
    </row>
    <row r="23536" spans="1:5" x14ac:dyDescent="0.25">
      <c r="A23536" t="str">
        <f>HYPERLINK("https://www.773grp.com/globalSearch/BC858BLT1G/page-1", "BC858BLT1G")</f>
        <v>BC858BLT1G</v>
      </c>
      <c r="B23536" s="3" t="str">
        <f>HYPERLINK("https://www.773grp.com/manufacturer/onsemi?pageNo=12", "ON Semiconductor")</f>
        <v>ON Semiconductor</v>
      </c>
      <c r="C23536" s="6">
        <v>3610978</v>
      </c>
      <c r="D23536" s="7">
        <v>0.1</v>
      </c>
      <c r="E23536" t="s">
        <v>69</v>
      </c>
    </row>
    <row r="23537" spans="1:5" x14ac:dyDescent="0.25">
      <c r="A23537" t="str">
        <f>HYPERLINK("https://www.773grp.com/globalSearch/BC858BLT3G/page-1", "BC858BLT3G")</f>
        <v>BC858BLT3G</v>
      </c>
      <c r="B23537" s="3" t="str">
        <f>HYPERLINK("https://www.773grp.com/manufacturer/onsemi?pageNo=13", "ON Semiconductor")</f>
        <v>ON Semiconductor</v>
      </c>
      <c r="C23537" s="6">
        <v>10000</v>
      </c>
      <c r="D23537" s="7">
        <v>0.1</v>
      </c>
    </row>
    <row r="23538" spans="1:5" x14ac:dyDescent="0.25">
      <c r="A23538" t="str">
        <f>HYPERLINK("https://www.773grp.com/globalSearch/BC858BWT1/page-1", "BC858BWT1")</f>
        <v>BC858BWT1</v>
      </c>
      <c r="B23538" s="3" t="str">
        <f>HYPERLINK("https://www.773grp.com/manufacturer/onsemi?pageNo=14", "ON Semiconductor")</f>
        <v>ON Semiconductor</v>
      </c>
      <c r="C23538" s="6">
        <v>51000</v>
      </c>
      <c r="D23538" s="7">
        <v>0.1</v>
      </c>
      <c r="E23538" t="s">
        <v>69</v>
      </c>
    </row>
    <row r="23539" spans="1:5" x14ac:dyDescent="0.25">
      <c r="A23539" t="str">
        <f>HYPERLINK("https://www.773grp.com/globalSearch/BC858BWT1G/page-1", "BC858BWT1G")</f>
        <v>BC858BWT1G</v>
      </c>
      <c r="B23539" s="3" t="str">
        <f>HYPERLINK("https://www.773grp.com/manufacturer/onsemi?pageNo=15", "ON Semiconductor")</f>
        <v>ON Semiconductor</v>
      </c>
      <c r="C23539" s="6">
        <v>114000</v>
      </c>
      <c r="D23539" s="7">
        <v>0.1</v>
      </c>
      <c r="E23539" t="s">
        <v>69</v>
      </c>
    </row>
    <row r="23540" spans="1:5" x14ac:dyDescent="0.25">
      <c r="A23540" t="str">
        <f>HYPERLINK("https://www.773grp.com/globalSearch/BC858CDW1T1/page-1", "BC858CDW1T1")</f>
        <v>BC858CDW1T1</v>
      </c>
      <c r="B23540" s="3" t="str">
        <f>HYPERLINK("https://www.773grp.com/manufacturer/onsemi?pageNo=16", "ON Semiconductor")</f>
        <v>ON Semiconductor</v>
      </c>
      <c r="C23540" s="6">
        <v>786000</v>
      </c>
      <c r="D23540" s="7">
        <v>0.1</v>
      </c>
      <c r="E23540" t="s">
        <v>69</v>
      </c>
    </row>
    <row r="23541" spans="1:5" x14ac:dyDescent="0.25">
      <c r="A23541" t="str">
        <f>HYPERLINK("https://www.773grp.com/globalSearch/BC858CDW1T1G/page-1", "BC858CDW1T1G")</f>
        <v>BC858CDW1T1G</v>
      </c>
      <c r="B23541" s="3" t="str">
        <f>HYPERLINK("https://www.773grp.com/manufacturer/onsemi?pageNo=17", "ON Semiconductor")</f>
        <v>ON Semiconductor</v>
      </c>
      <c r="C23541" s="6">
        <v>12000</v>
      </c>
      <c r="D23541" s="7">
        <v>0.1</v>
      </c>
      <c r="E23541" t="s">
        <v>69</v>
      </c>
    </row>
    <row r="23542" spans="1:5" x14ac:dyDescent="0.25">
      <c r="A23542" t="str">
        <f>HYPERLINK("https://www.773grp.com/globalSearch/BC858CLT1G/page-1", "BC858CLT1G")</f>
        <v>BC858CLT1G</v>
      </c>
      <c r="B23542" s="3" t="str">
        <f>HYPERLINK("https://www.773grp.com/manufacturer/onsemi?pageNo=18", "ON Semiconductor")</f>
        <v>ON Semiconductor</v>
      </c>
      <c r="C23542" s="6">
        <v>117000</v>
      </c>
      <c r="D23542" s="7">
        <v>0.1</v>
      </c>
      <c r="E23542" t="s">
        <v>69</v>
      </c>
    </row>
    <row r="23543" spans="1:5" x14ac:dyDescent="0.25">
      <c r="A23543" t="str">
        <f>HYPERLINK("https://www.773grp.com/globalSearch/BC858CLT3G/page-1", "BC858CLT3G")</f>
        <v>BC858CLT3G</v>
      </c>
      <c r="B23543" s="3" t="str">
        <f>HYPERLINK("https://www.773grp.com/manufacturer/onsemi?pageNo=19", "ON Semiconductor")</f>
        <v>ON Semiconductor</v>
      </c>
      <c r="C23543" s="6">
        <v>30000</v>
      </c>
      <c r="D23543" s="7">
        <v>0.1</v>
      </c>
      <c r="E23543" t="s">
        <v>69</v>
      </c>
    </row>
    <row r="23544" spans="1:5" x14ac:dyDescent="0.25">
      <c r="A23544" t="str">
        <f>HYPERLINK("https://www.773grp.com/globalSearch/BC859BLT3G/page-1", "BC859BLT3G")</f>
        <v>BC859BLT3G</v>
      </c>
      <c r="B23544" s="3" t="str">
        <f>HYPERLINK("https://www.773grp.com/manufacturer/onsemi?pageNo=20", "ON Semiconductor")</f>
        <v>ON Semiconductor</v>
      </c>
      <c r="C23544" s="6">
        <v>59672</v>
      </c>
      <c r="D23544" s="7">
        <v>0.1</v>
      </c>
      <c r="E23544" t="s">
        <v>69</v>
      </c>
    </row>
    <row r="23545" spans="1:5" x14ac:dyDescent="0.25">
      <c r="A23545" t="str">
        <f>HYPERLINK("https://www.773grp.com/globalSearch/BCW30LT1/page-1", "BCW30LT1")</f>
        <v>BCW30LT1</v>
      </c>
      <c r="B23545" s="3" t="str">
        <f>HYPERLINK("https://www.773grp.com/manufacturer/onsemi?pageNo=21", "ON Semiconductor")</f>
        <v>ON Semiconductor</v>
      </c>
      <c r="C23545" s="6">
        <v>126000</v>
      </c>
      <c r="D23545" s="7">
        <v>0.1</v>
      </c>
      <c r="E23545" t="s">
        <v>69</v>
      </c>
    </row>
    <row r="23546" spans="1:5" x14ac:dyDescent="0.25">
      <c r="A23546" t="str">
        <f>HYPERLINK("https://www.773grp.com/globalSearch/BCW32LT1/page-1", "BCW32LT1")</f>
        <v>BCW32LT1</v>
      </c>
      <c r="B23546" s="3" t="str">
        <f>HYPERLINK("https://www.773grp.com/manufacturer/onsemi?pageNo=22", "ON Semiconductor")</f>
        <v>ON Semiconductor</v>
      </c>
      <c r="C23546" s="6">
        <v>423000</v>
      </c>
      <c r="D23546" s="7">
        <v>0.1</v>
      </c>
      <c r="E23546" t="s">
        <v>69</v>
      </c>
    </row>
    <row r="23547" spans="1:5" x14ac:dyDescent="0.25">
      <c r="A23547" t="str">
        <f>HYPERLINK("https://www.773grp.com/globalSearch/BCW33LT1/page-1", "BCW33LT1")</f>
        <v>BCW33LT1</v>
      </c>
      <c r="B23547" s="3" t="str">
        <f>HYPERLINK("https://www.773grp.com/manufacturer/onsemi?pageNo=23", "ON Semiconductor")</f>
        <v>ON Semiconductor</v>
      </c>
      <c r="C23547" s="6">
        <v>15000</v>
      </c>
      <c r="D23547" s="7">
        <v>0.1</v>
      </c>
      <c r="E23547" t="s">
        <v>69</v>
      </c>
    </row>
    <row r="23548" spans="1:5" x14ac:dyDescent="0.25">
      <c r="A23548" t="str">
        <f>HYPERLINK("https://www.773grp.com/globalSearch/BCW61BLT1/page-1", "BCW61BLT1")</f>
        <v>BCW61BLT1</v>
      </c>
      <c r="B23548" s="3" t="str">
        <f>HYPERLINK("https://www.773grp.com/manufacturer/onsemi?pageNo=24", "ON Semiconductor")</f>
        <v>ON Semiconductor</v>
      </c>
      <c r="C23548" s="6">
        <v>747000</v>
      </c>
      <c r="D23548" s="7">
        <v>0.1</v>
      </c>
      <c r="E23548" t="s">
        <v>69</v>
      </c>
    </row>
    <row r="23549" spans="1:5" x14ac:dyDescent="0.25">
      <c r="A23549" t="str">
        <f>HYPERLINK("https://www.773grp.com/globalSearch/BCW61BLT3/page-1", "BCW61BLT3")</f>
        <v>BCW61BLT3</v>
      </c>
      <c r="B23549" s="3" t="str">
        <f>HYPERLINK("https://www.773grp.com/manufacturer/onsemi?pageNo=25", "ON Semiconductor")</f>
        <v>ON Semiconductor</v>
      </c>
      <c r="C23549" s="6">
        <v>39500</v>
      </c>
      <c r="D23549" s="7">
        <v>0.1</v>
      </c>
      <c r="E23549" t="s">
        <v>69</v>
      </c>
    </row>
    <row r="23550" spans="1:5" x14ac:dyDescent="0.25">
      <c r="A23550" t="str">
        <f>HYPERLINK("https://www.773grp.com/globalSearch/BCW65ALT1/page-1", "BCW65ALT1")</f>
        <v>BCW65ALT1</v>
      </c>
      <c r="B23550" s="3" t="str">
        <f>HYPERLINK("https://www.773grp.com/manufacturer/onsemi?pageNo=26", "ON Semiconductor")</f>
        <v>ON Semiconductor</v>
      </c>
      <c r="C23550" s="6">
        <v>3000</v>
      </c>
      <c r="D23550" s="7">
        <v>0.1</v>
      </c>
      <c r="E23550" t="s">
        <v>69</v>
      </c>
    </row>
    <row r="23551" spans="1:5" x14ac:dyDescent="0.25">
      <c r="A23551" t="str">
        <f>HYPERLINK("https://www.773grp.com/globalSearch/BCW68GLT1/page-1", "BCW68GLT1")</f>
        <v>BCW68GLT1</v>
      </c>
      <c r="B23551" s="3" t="str">
        <f>HYPERLINK("https://www.773grp.com/manufacturer/onsemi?pageNo=27", "ON Semiconductor")</f>
        <v>ON Semiconductor</v>
      </c>
      <c r="C23551" s="6">
        <v>138000</v>
      </c>
      <c r="D23551" s="7">
        <v>0.1</v>
      </c>
      <c r="E23551" t="s">
        <v>69</v>
      </c>
    </row>
    <row r="23552" spans="1:5" x14ac:dyDescent="0.25">
      <c r="A23552" t="str">
        <f>HYPERLINK("https://www.773grp.com/globalSearch/BCW70LT1/page-1", "BCW70LT1")</f>
        <v>BCW70LT1</v>
      </c>
      <c r="B23552" s="3" t="str">
        <f>HYPERLINK("https://www.773grp.com/manufacturer/onsemi?pageNo=28", "ON Semiconductor")</f>
        <v>ON Semiconductor</v>
      </c>
      <c r="C23552" s="6">
        <v>5886</v>
      </c>
      <c r="D23552" s="7">
        <v>0.1</v>
      </c>
      <c r="E23552" t="s">
        <v>69</v>
      </c>
    </row>
    <row r="23553" spans="1:5" x14ac:dyDescent="0.25">
      <c r="A23553" t="str">
        <f>HYPERLINK("https://www.773grp.com/globalSearch/BCW72LT1/page-1", "BCW72LT1")</f>
        <v>BCW72LT1</v>
      </c>
      <c r="B23553" s="3" t="str">
        <f>HYPERLINK("https://www.773grp.com/manufacturer/onsemi?pageNo=29", "ON Semiconductor")</f>
        <v>ON Semiconductor</v>
      </c>
      <c r="C23553" s="6">
        <v>30000</v>
      </c>
      <c r="D23553" s="7">
        <v>0.1</v>
      </c>
      <c r="E23553" t="s">
        <v>69</v>
      </c>
    </row>
    <row r="23554" spans="1:5" x14ac:dyDescent="0.25">
      <c r="A23554" t="str">
        <f>HYPERLINK("https://www.773grp.com/globalSearch/BCX17LT1/page-1", "BCX17LT1")</f>
        <v>BCX17LT1</v>
      </c>
      <c r="B23554" s="3" t="str">
        <f>HYPERLINK("https://www.773grp.com/manufacturer/onsemi?pageNo=30", "ON Semiconductor")</f>
        <v>ON Semiconductor</v>
      </c>
      <c r="C23554" s="6">
        <v>369000</v>
      </c>
      <c r="D23554" s="7">
        <v>0.1</v>
      </c>
      <c r="E23554" t="s">
        <v>69</v>
      </c>
    </row>
    <row r="23555" spans="1:5" x14ac:dyDescent="0.25">
      <c r="A23555" t="str">
        <f>HYPERLINK("https://www.773grp.com/globalSearch/BCX18LT1/page-1", "BCX18LT1")</f>
        <v>BCX18LT1</v>
      </c>
      <c r="B23555" s="3" t="str">
        <f>HYPERLINK("https://www.773grp.com/manufacturer/onsemi?pageNo=31", "ON Semiconductor")</f>
        <v>ON Semiconductor</v>
      </c>
      <c r="C23555" s="6">
        <v>39000</v>
      </c>
      <c r="D23555" s="7">
        <v>0.1</v>
      </c>
      <c r="E23555" t="s">
        <v>69</v>
      </c>
    </row>
    <row r="23556" spans="1:5" x14ac:dyDescent="0.25">
      <c r="A23556" t="str">
        <f>HYPERLINK("https://www.773grp.com/globalSearch/BCX18LT1G/page-1", "BCX18LT1G")</f>
        <v>BCX18LT1G</v>
      </c>
      <c r="B23556" s="3" t="str">
        <f>HYPERLINK("https://www.773grp.com/manufacturer/onsemi?pageNo=32", "ON Semiconductor")</f>
        <v>ON Semiconductor</v>
      </c>
      <c r="C23556" s="6">
        <v>33000</v>
      </c>
      <c r="D23556" s="7">
        <v>0.1</v>
      </c>
      <c r="E23556" t="s">
        <v>69</v>
      </c>
    </row>
    <row r="23557" spans="1:5" x14ac:dyDescent="0.25">
      <c r="A23557" t="str">
        <f>HYPERLINK("https://www.773grp.com/globalSearch/BCX19LT1/page-1", "BCX19LT1")</f>
        <v>BCX19LT1</v>
      </c>
      <c r="B23557" s="3" t="str">
        <f>HYPERLINK("https://www.773grp.com/manufacturer/onsemi?pageNo=33", "ON Semiconductor")</f>
        <v>ON Semiconductor</v>
      </c>
      <c r="C23557" s="6">
        <v>78000</v>
      </c>
      <c r="D23557" s="7">
        <v>0.1</v>
      </c>
      <c r="E23557" t="s">
        <v>69</v>
      </c>
    </row>
    <row r="23558" spans="1:5" x14ac:dyDescent="0.25">
      <c r="A23558" t="str">
        <f>HYPERLINK("https://www.773grp.com/globalSearch/BCX71JLT1G/page-1", "BCX71JLT1G")</f>
        <v>BCX71JLT1G</v>
      </c>
      <c r="B23558" s="3" t="str">
        <f>HYPERLINK("https://www.773grp.com/manufacturer/onsemi?pageNo=34", "ON Semiconductor")</f>
        <v>ON Semiconductor</v>
      </c>
      <c r="C23558" s="6">
        <v>87950</v>
      </c>
      <c r="D23558" s="7">
        <v>0.1</v>
      </c>
      <c r="E23558" t="s">
        <v>69</v>
      </c>
    </row>
    <row r="23559" spans="1:5" x14ac:dyDescent="0.25">
      <c r="A23559" t="str">
        <f>HYPERLINK("https://www.773grp.com/globalSearch/BF422RL1G/page-1", "BF422RL1G")</f>
        <v>BF422RL1G</v>
      </c>
      <c r="B23559" s="3" t="str">
        <f>HYPERLINK("https://www.773grp.com/manufacturer/onsemi?pageNo=35", "ON Semiconductor")</f>
        <v>ON Semiconductor</v>
      </c>
      <c r="C23559" s="6">
        <v>200</v>
      </c>
      <c r="D23559" s="7">
        <v>0.1</v>
      </c>
      <c r="E23559" t="s">
        <v>69</v>
      </c>
    </row>
    <row r="23560" spans="1:5" x14ac:dyDescent="0.25">
      <c r="A23560" t="str">
        <f>HYPERLINK("https://www.773grp.com/globalSearch/BF422ZL1/page-1", "BF422ZL1")</f>
        <v>BF422ZL1</v>
      </c>
      <c r="B23560" s="3" t="str">
        <f>HYPERLINK("https://www.773grp.com/manufacturer/onsemi?pageNo=36", "ON Semiconductor")</f>
        <v>ON Semiconductor</v>
      </c>
      <c r="C23560" s="6">
        <v>2650</v>
      </c>
      <c r="D23560" s="7">
        <v>0.1</v>
      </c>
      <c r="E23560" t="s">
        <v>69</v>
      </c>
    </row>
    <row r="23561" spans="1:5" x14ac:dyDescent="0.25">
      <c r="A23561" t="str">
        <f>HYPERLINK("https://www.773grp.com/globalSearch/BSS138LT1G/page-1", "BSS138LT1G")</f>
        <v>BSS138LT1G</v>
      </c>
      <c r="B23561" s="3" t="str">
        <f>HYPERLINK("https://www.773grp.com/manufacturer/onsemi?pageNo=37", "ON Semiconductor")</f>
        <v>ON Semiconductor</v>
      </c>
      <c r="C23561" s="6">
        <v>31012</v>
      </c>
      <c r="D23561" s="7">
        <v>0.1</v>
      </c>
      <c r="E23561" t="s">
        <v>106</v>
      </c>
    </row>
    <row r="23562" spans="1:5" x14ac:dyDescent="0.25">
      <c r="A23562" t="str">
        <f>HYPERLINK("https://www.773grp.com/globalSearch/BSS63LT1/page-1", "BSS63LT1")</f>
        <v>BSS63LT1</v>
      </c>
      <c r="B23562" s="3" t="str">
        <f>HYPERLINK("https://www.773grp.com/manufacturer/onsemi?pageNo=38", "ON Semiconductor")</f>
        <v>ON Semiconductor</v>
      </c>
      <c r="C23562" s="6">
        <v>30000</v>
      </c>
      <c r="D23562" s="7">
        <v>0.1</v>
      </c>
      <c r="E23562" t="s">
        <v>69</v>
      </c>
    </row>
    <row r="23563" spans="1:5" x14ac:dyDescent="0.25">
      <c r="A23563" t="str">
        <f>HYPERLINK("https://www.773grp.com/globalSearch/BSS64LT1/page-1", "BSS64LT1")</f>
        <v>BSS64LT1</v>
      </c>
      <c r="B23563" s="3" t="str">
        <f>HYPERLINK("https://www.773grp.com/manufacturer/onsemi?pageNo=39", "ON Semiconductor")</f>
        <v>ON Semiconductor</v>
      </c>
      <c r="C23563" s="6">
        <v>69000</v>
      </c>
      <c r="D23563" s="7">
        <v>0.1</v>
      </c>
      <c r="E23563" t="s">
        <v>69</v>
      </c>
    </row>
    <row r="23564" spans="1:5" x14ac:dyDescent="0.25">
      <c r="A23564" t="str">
        <f>HYPERLINK("https://www.773grp.com/globalSearch/BZX55C4V3RL/page-1", "BZX55C4V3RL")</f>
        <v>BZX55C4V3RL</v>
      </c>
      <c r="B23564" s="3" t="str">
        <f>HYPERLINK("https://www.773grp.com/manufacturer/onsemi?pageNo=40", "ON Semiconductor")</f>
        <v>ON Semiconductor</v>
      </c>
      <c r="C23564" s="6">
        <v>10000</v>
      </c>
      <c r="D23564" s="7">
        <v>0.1</v>
      </c>
      <c r="E23564" t="s">
        <v>98</v>
      </c>
    </row>
    <row r="23565" spans="1:5" x14ac:dyDescent="0.25">
      <c r="A23565" t="str">
        <f>HYPERLINK("https://www.773grp.com/globalSearch/BZX55C5V1RL/page-1", "BZX55C5V1RL")</f>
        <v>BZX55C5V1RL</v>
      </c>
      <c r="B23565" s="3" t="str">
        <f>HYPERLINK("https://www.773grp.com/manufacturer/onsemi?pageNo=41", "ON Semiconductor")</f>
        <v>ON Semiconductor</v>
      </c>
      <c r="C23565" s="6">
        <v>43750</v>
      </c>
      <c r="D23565" s="7">
        <v>0.1</v>
      </c>
      <c r="E23565" t="s">
        <v>98</v>
      </c>
    </row>
    <row r="23566" spans="1:5" x14ac:dyDescent="0.25">
      <c r="A23566" t="str">
        <f>HYPERLINK("https://www.773grp.com/globalSearch/BZX79B6V2RL/page-1", "BZX79B6V2RL")</f>
        <v>BZX79B6V2RL</v>
      </c>
      <c r="B23566" s="3" t="str">
        <f>HYPERLINK("https://www.773grp.com/manufacturer/onsemi?pageNo=42", "ON Semiconductor")</f>
        <v>ON Semiconductor</v>
      </c>
      <c r="C23566" s="6">
        <v>10000</v>
      </c>
      <c r="D23566" s="7">
        <v>0.1</v>
      </c>
      <c r="E23566" t="s">
        <v>98</v>
      </c>
    </row>
    <row r="23567" spans="1:5" x14ac:dyDescent="0.25">
      <c r="A23567" t="str">
        <f>HYPERLINK("https://www.773grp.com/globalSearch/BZX79C27RL/page-1", "BZX79C27RL")</f>
        <v>BZX79C27RL</v>
      </c>
      <c r="B23567" s="3" t="str">
        <f>HYPERLINK("https://www.773grp.com/manufacturer/onsemi?pageNo=43", "ON Semiconductor")</f>
        <v>ON Semiconductor</v>
      </c>
      <c r="C23567" s="6">
        <v>3333</v>
      </c>
      <c r="D23567" s="7">
        <v>0.1</v>
      </c>
      <c r="E23567" t="s">
        <v>98</v>
      </c>
    </row>
    <row r="23568" spans="1:5" x14ac:dyDescent="0.25">
      <c r="A23568" t="str">
        <f>HYPERLINK("https://www.773grp.com/globalSearch/BZX84B16LT1/page-1", "BZX84B16LT1")</f>
        <v>BZX84B16LT1</v>
      </c>
      <c r="B23568" s="3" t="str">
        <f>HYPERLINK("https://www.773grp.com/manufacturer/onsemi?pageNo=44", "ON Semiconductor")</f>
        <v>ON Semiconductor</v>
      </c>
      <c r="C23568" s="6">
        <v>15000</v>
      </c>
      <c r="D23568" s="7">
        <v>0.1</v>
      </c>
      <c r="E23568" t="s">
        <v>98</v>
      </c>
    </row>
    <row r="23569" spans="1:5" x14ac:dyDescent="0.25">
      <c r="A23569" t="str">
        <f>HYPERLINK("https://www.773grp.com/globalSearch/BZX84B18LT1/page-1", "BZX84B18LT1")</f>
        <v>BZX84B18LT1</v>
      </c>
      <c r="B23569" s="3" t="str">
        <f>HYPERLINK("https://www.773grp.com/manufacturer/onsemi?pageNo=45", "ON Semiconductor")</f>
        <v>ON Semiconductor</v>
      </c>
      <c r="C23569" s="6">
        <v>17889</v>
      </c>
      <c r="D23569" s="7">
        <v>0.1</v>
      </c>
      <c r="E23569" t="s">
        <v>98</v>
      </c>
    </row>
    <row r="23570" spans="1:5" x14ac:dyDescent="0.25">
      <c r="A23570" t="str">
        <f>HYPERLINK("https://www.773grp.com/globalSearch/BZX84B18LT3/page-1", "BZX84B18LT3")</f>
        <v>BZX84B18LT3</v>
      </c>
      <c r="B23570" s="3" t="str">
        <f>HYPERLINK("https://www.773grp.com/manufacturer/onsemi?pageNo=46", "ON Semiconductor")</f>
        <v>ON Semiconductor</v>
      </c>
      <c r="C23570" s="6">
        <v>30000</v>
      </c>
      <c r="D23570" s="7">
        <v>0.1</v>
      </c>
      <c r="E23570" t="s">
        <v>98</v>
      </c>
    </row>
    <row r="23571" spans="1:5" x14ac:dyDescent="0.25">
      <c r="A23571" t="str">
        <f>HYPERLINK("https://www.773grp.com/globalSearch/BZX84B6V8LT1/page-1", "BZX84B6V8LT1")</f>
        <v>BZX84B6V8LT1</v>
      </c>
      <c r="B23571" s="3" t="str">
        <f>HYPERLINK("https://www.773grp.com/manufacturer/onsemi?pageNo=47", "ON Semiconductor")</f>
        <v>ON Semiconductor</v>
      </c>
      <c r="C23571" s="6">
        <v>5940</v>
      </c>
      <c r="D23571" s="7">
        <v>0.1</v>
      </c>
      <c r="E23571" t="s">
        <v>98</v>
      </c>
    </row>
    <row r="23572" spans="1:5" x14ac:dyDescent="0.25">
      <c r="A23572" t="str">
        <f>HYPERLINK("https://www.773grp.com/globalSearch/BZX84B7V5LT1/page-1", "BZX84B7V5LT1")</f>
        <v>BZX84B7V5LT1</v>
      </c>
      <c r="B23572" s="3" t="str">
        <f>HYPERLINK("https://www.773grp.com/manufacturer/onsemi?pageNo=48", "ON Semiconductor")</f>
        <v>ON Semiconductor</v>
      </c>
      <c r="C23572" s="6">
        <v>8705</v>
      </c>
      <c r="D23572" s="7">
        <v>0.1</v>
      </c>
      <c r="E23572" t="s">
        <v>98</v>
      </c>
    </row>
    <row r="23573" spans="1:5" x14ac:dyDescent="0.25">
      <c r="A23573" t="str">
        <f>HYPERLINK("https://www.773grp.com/globalSearch/BZX84B9V1LT1/page-1", "BZX84B9V1LT1")</f>
        <v>BZX84B9V1LT1</v>
      </c>
      <c r="B23573" s="3" t="str">
        <f>HYPERLINK("https://www.773grp.com/manufacturer/onsemi?pageNo=49", "ON Semiconductor")</f>
        <v>ON Semiconductor</v>
      </c>
      <c r="C23573" s="6">
        <v>2655</v>
      </c>
      <c r="D23573" s="7">
        <v>0.1</v>
      </c>
      <c r="E23573" t="s">
        <v>98</v>
      </c>
    </row>
    <row r="23574" spans="1:5" x14ac:dyDescent="0.25">
      <c r="A23574" t="str">
        <f>HYPERLINK("https://www.773grp.com/globalSearch/BZX84C10ET1/page-1", "BZX84C10ET1")</f>
        <v>BZX84C10ET1</v>
      </c>
      <c r="B23574" s="3" t="str">
        <f>HYPERLINK("https://www.773grp.com/manufacturer/onsemi?pageNo=50", "ON Semiconductor")</f>
        <v>ON Semiconductor</v>
      </c>
      <c r="C23574" s="6">
        <v>2499</v>
      </c>
      <c r="D23574" s="7">
        <v>0.1</v>
      </c>
      <c r="E23574" t="s">
        <v>98</v>
      </c>
    </row>
    <row r="23575" spans="1:5" x14ac:dyDescent="0.25">
      <c r="A23575" t="str">
        <f>HYPERLINK("https://www.773grp.com/globalSearch/BZX84C10LT1/page-1", "BZX84C10LT1")</f>
        <v>BZX84C10LT1</v>
      </c>
      <c r="B23575" s="3" t="str">
        <f>HYPERLINK("https://www.773grp.com/manufacturer/onsemi?pageNo=51", "ON Semiconductor")</f>
        <v>ON Semiconductor</v>
      </c>
      <c r="C23575" s="6">
        <v>1041000</v>
      </c>
      <c r="D23575" s="7">
        <v>0.1</v>
      </c>
      <c r="E23575" t="s">
        <v>98</v>
      </c>
    </row>
    <row r="23576" spans="1:5" x14ac:dyDescent="0.25">
      <c r="A23576" t="str">
        <f>HYPERLINK("https://www.773grp.com/globalSearch/BZX84C11LT1/page-1", "BZX84C11LT1")</f>
        <v>BZX84C11LT1</v>
      </c>
      <c r="B23576" s="3" t="str">
        <f>HYPERLINK("https://www.773grp.com/manufacturer/onsemi?pageNo=52", "ON Semiconductor")</f>
        <v>ON Semiconductor</v>
      </c>
      <c r="C23576" s="6">
        <v>81000</v>
      </c>
      <c r="D23576" s="7">
        <v>0.1</v>
      </c>
      <c r="E23576" t="s">
        <v>98</v>
      </c>
    </row>
    <row r="23577" spans="1:5" x14ac:dyDescent="0.25">
      <c r="A23577" t="str">
        <f>HYPERLINK("https://www.773grp.com/globalSearch/BZX84C12LT1/page-1", "BZX84C12LT1")</f>
        <v>BZX84C12LT1</v>
      </c>
      <c r="B23577" s="3" t="str">
        <f>HYPERLINK("https://www.773grp.com/manufacturer/onsemi?pageNo=53", "ON Semiconductor")</f>
        <v>ON Semiconductor</v>
      </c>
      <c r="C23577" s="6">
        <v>264000</v>
      </c>
      <c r="D23577" s="7">
        <v>0.1</v>
      </c>
      <c r="E23577" t="s">
        <v>98</v>
      </c>
    </row>
    <row r="23578" spans="1:5" x14ac:dyDescent="0.25">
      <c r="A23578" t="str">
        <f>HYPERLINK("https://www.773grp.com/globalSearch/BZX84C13ET1/page-1", "BZX84C13ET1")</f>
        <v>BZX84C13ET1</v>
      </c>
      <c r="B23578" s="3" t="str">
        <f>HYPERLINK("https://www.773grp.com/manufacturer/onsemi?pageNo=54", "ON Semiconductor")</f>
        <v>ON Semiconductor</v>
      </c>
      <c r="C23578" s="6">
        <v>24000</v>
      </c>
      <c r="D23578" s="7">
        <v>0.1</v>
      </c>
      <c r="E23578" t="s">
        <v>98</v>
      </c>
    </row>
    <row r="23579" spans="1:5" x14ac:dyDescent="0.25">
      <c r="A23579" t="str">
        <f>HYPERLINK("https://www.773grp.com/globalSearch/BZX84C13LT1/page-1", "BZX84C13LT1")</f>
        <v>BZX84C13LT1</v>
      </c>
      <c r="B23579" s="3" t="str">
        <f>HYPERLINK("https://www.773grp.com/manufacturer/onsemi?pageNo=55", "ON Semiconductor")</f>
        <v>ON Semiconductor</v>
      </c>
      <c r="C23579" s="6">
        <v>417000</v>
      </c>
      <c r="D23579" s="7">
        <v>0.1</v>
      </c>
      <c r="E23579" t="s">
        <v>98</v>
      </c>
    </row>
    <row r="23580" spans="1:5" x14ac:dyDescent="0.25">
      <c r="A23580" t="str">
        <f>HYPERLINK("https://www.773grp.com/globalSearch/BZX84C13LT3/page-1", "BZX84C13LT3")</f>
        <v>BZX84C13LT3</v>
      </c>
      <c r="B23580" s="3" t="str">
        <f>HYPERLINK("https://www.773grp.com/manufacturer/onsemi?pageNo=56", "ON Semiconductor")</f>
        <v>ON Semiconductor</v>
      </c>
      <c r="C23580" s="6">
        <v>80000</v>
      </c>
      <c r="D23580" s="7">
        <v>0.1</v>
      </c>
      <c r="E23580" t="s">
        <v>98</v>
      </c>
    </row>
    <row r="23581" spans="1:5" x14ac:dyDescent="0.25">
      <c r="A23581" t="str">
        <f>HYPERLINK("https://www.773grp.com/globalSearch/BZX84C15ET1/page-1", "BZX84C15ET1")</f>
        <v>BZX84C15ET1</v>
      </c>
      <c r="B23581" s="3" t="str">
        <f>HYPERLINK("https://www.773grp.com/manufacturer/onsemi?pageNo=57", "ON Semiconductor")</f>
        <v>ON Semiconductor</v>
      </c>
      <c r="C23581" s="6">
        <v>38950</v>
      </c>
      <c r="D23581" s="7">
        <v>0.1</v>
      </c>
      <c r="E23581" t="s">
        <v>98</v>
      </c>
    </row>
    <row r="23582" spans="1:5" x14ac:dyDescent="0.25">
      <c r="A23582" t="str">
        <f>HYPERLINK("https://www.773grp.com/globalSearch/BZX84C15LT1/page-1", "BZX84C15LT1")</f>
        <v>BZX84C15LT1</v>
      </c>
      <c r="B23582" s="3" t="str">
        <f>HYPERLINK("https://www.773grp.com/manufacturer/onsemi?pageNo=58", "ON Semiconductor")</f>
        <v>ON Semiconductor</v>
      </c>
      <c r="C23582" s="6">
        <v>87860</v>
      </c>
      <c r="D23582" s="7">
        <v>0.1</v>
      </c>
      <c r="E23582" t="s">
        <v>98</v>
      </c>
    </row>
    <row r="23583" spans="1:5" x14ac:dyDescent="0.25">
      <c r="A23583" t="str">
        <f>HYPERLINK("https://www.773grp.com/globalSearch/BZX84C18LT1/page-1", "BZX84C18LT1")</f>
        <v>BZX84C18LT1</v>
      </c>
      <c r="B23583" s="3" t="str">
        <f>HYPERLINK("https://www.773grp.com/manufacturer/onsemi?pageNo=59", "ON Semiconductor")</f>
        <v>ON Semiconductor</v>
      </c>
      <c r="C23583" s="6">
        <v>527317</v>
      </c>
      <c r="D23583" s="7">
        <v>0.1</v>
      </c>
      <c r="E23583" t="s">
        <v>98</v>
      </c>
    </row>
    <row r="23584" spans="1:5" x14ac:dyDescent="0.25">
      <c r="A23584" t="str">
        <f>HYPERLINK("https://www.773grp.com/globalSearch/BZX84C18LT3/page-1", "BZX84C18LT3")</f>
        <v>BZX84C18LT3</v>
      </c>
      <c r="B23584" s="3" t="str">
        <f>HYPERLINK("https://www.773grp.com/manufacturer/onsemi?pageNo=60", "ON Semiconductor")</f>
        <v>ON Semiconductor</v>
      </c>
      <c r="C23584" s="6">
        <v>10000</v>
      </c>
      <c r="D23584" s="7">
        <v>0.1</v>
      </c>
      <c r="E23584" t="s">
        <v>98</v>
      </c>
    </row>
    <row r="23585" spans="1:5" x14ac:dyDescent="0.25">
      <c r="A23585" t="str">
        <f>HYPERLINK("https://www.773grp.com/globalSearch/BZX84C20LT1/page-1", "BZX84C20LT1")</f>
        <v>BZX84C20LT1</v>
      </c>
      <c r="B23585" s="3" t="str">
        <f>HYPERLINK("https://www.773grp.com/manufacturer/onsemi?pageNo=61", "ON Semiconductor")</f>
        <v>ON Semiconductor</v>
      </c>
      <c r="C23585" s="6">
        <v>195987</v>
      </c>
      <c r="D23585" s="7">
        <v>0.1</v>
      </c>
      <c r="E23585" t="s">
        <v>98</v>
      </c>
    </row>
    <row r="23586" spans="1:5" x14ac:dyDescent="0.25">
      <c r="A23586" t="str">
        <f>HYPERLINK("https://www.773grp.com/globalSearch/BZX84C20LT3/page-1", "BZX84C20LT3")</f>
        <v>BZX84C20LT3</v>
      </c>
      <c r="B23586" s="3" t="str">
        <f>HYPERLINK("https://www.773grp.com/manufacturer/onsemi?pageNo=62", "ON Semiconductor")</f>
        <v>ON Semiconductor</v>
      </c>
      <c r="C23586" s="6">
        <v>10000</v>
      </c>
      <c r="D23586" s="7">
        <v>0.1</v>
      </c>
      <c r="E23586" t="s">
        <v>98</v>
      </c>
    </row>
    <row r="23587" spans="1:5" x14ac:dyDescent="0.25">
      <c r="A23587" t="str">
        <f>HYPERLINK("https://www.773grp.com/globalSearch/BZX84C22LT1/page-1", "BZX84C22LT1")</f>
        <v>BZX84C22LT1</v>
      </c>
      <c r="B23587" s="3" t="str">
        <f>HYPERLINK("https://www.773grp.com/manufacturer/onsemi?pageNo=63", "ON Semiconductor")</f>
        <v>ON Semiconductor</v>
      </c>
      <c r="C23587" s="6">
        <v>13000</v>
      </c>
      <c r="D23587" s="7">
        <v>0.1</v>
      </c>
      <c r="E23587" t="s">
        <v>98</v>
      </c>
    </row>
    <row r="23588" spans="1:5" x14ac:dyDescent="0.25">
      <c r="A23588" t="str">
        <f>HYPERLINK("https://www.773grp.com/globalSearch/BZX84C24LT1/page-1", "BZX84C24LT1")</f>
        <v>BZX84C24LT1</v>
      </c>
      <c r="B23588" s="3" t="str">
        <f>HYPERLINK("https://www.773grp.com/manufacturer/onsemi?pageNo=64", "ON Semiconductor")</f>
        <v>ON Semiconductor</v>
      </c>
      <c r="C23588" s="6">
        <v>9000</v>
      </c>
      <c r="D23588" s="7">
        <v>0.1</v>
      </c>
      <c r="E23588" t="s">
        <v>98</v>
      </c>
    </row>
    <row r="23589" spans="1:5" x14ac:dyDescent="0.25">
      <c r="A23589" t="str">
        <f>HYPERLINK("https://www.773grp.com/globalSearch/BZX84C27ET1/page-1", "BZX84C27ET1")</f>
        <v>BZX84C27ET1</v>
      </c>
      <c r="B23589" s="3" t="str">
        <f>HYPERLINK("https://www.773grp.com/manufacturer/onsemi?pageNo=65", "ON Semiconductor")</f>
        <v>ON Semiconductor</v>
      </c>
      <c r="C23589" s="6">
        <v>17995</v>
      </c>
      <c r="D23589" s="7">
        <v>0.1</v>
      </c>
      <c r="E23589" t="s">
        <v>98</v>
      </c>
    </row>
    <row r="23590" spans="1:5" x14ac:dyDescent="0.25">
      <c r="A23590" t="str">
        <f>HYPERLINK("https://www.773grp.com/globalSearch/BZX84C27LT1/page-1", "BZX84C27LT1")</f>
        <v>BZX84C27LT1</v>
      </c>
      <c r="B23590" s="3" t="str">
        <f>HYPERLINK("https://www.773grp.com/manufacturer/onsemi?pageNo=66", "ON Semiconductor")</f>
        <v>ON Semiconductor</v>
      </c>
      <c r="C23590" s="6">
        <v>294000</v>
      </c>
      <c r="D23590" s="7">
        <v>0.1</v>
      </c>
      <c r="E23590" t="s">
        <v>98</v>
      </c>
    </row>
    <row r="23591" spans="1:5" x14ac:dyDescent="0.25">
      <c r="A23591" t="str">
        <f>HYPERLINK("https://www.773grp.com/globalSearch/BZX84C2V4LT1/page-1", "BZX84C2V4LT1")</f>
        <v>BZX84C2V4LT1</v>
      </c>
      <c r="B23591" s="3" t="str">
        <f>HYPERLINK("https://www.773grp.com/manufacturer/onsemi?pageNo=67", "ON Semiconductor")</f>
        <v>ON Semiconductor</v>
      </c>
      <c r="C23591" s="6">
        <v>156000</v>
      </c>
      <c r="D23591" s="7">
        <v>0.1</v>
      </c>
      <c r="E23591" t="s">
        <v>98</v>
      </c>
    </row>
    <row r="23592" spans="1:5" x14ac:dyDescent="0.25">
      <c r="A23592" t="str">
        <f>HYPERLINK("https://www.773grp.com/globalSearch/BZX84C2V7LT1/page-1", "BZX84C2V7LT1")</f>
        <v>BZX84C2V7LT1</v>
      </c>
      <c r="B23592" s="3" t="str">
        <f>HYPERLINK("https://www.773grp.com/manufacturer/onsemi?pageNo=68", "ON Semiconductor")</f>
        <v>ON Semiconductor</v>
      </c>
      <c r="C23592" s="6">
        <v>411024</v>
      </c>
      <c r="D23592" s="7">
        <v>0.1</v>
      </c>
      <c r="E23592" t="s">
        <v>98</v>
      </c>
    </row>
    <row r="23593" spans="1:5" x14ac:dyDescent="0.25">
      <c r="A23593" t="str">
        <f>HYPERLINK("https://www.773grp.com/globalSearch/BZX84C33LT1/page-1", "BZX84C33LT1")</f>
        <v>BZX84C33LT1</v>
      </c>
      <c r="B23593" s="3" t="str">
        <f>HYPERLINK("https://www.773grp.com/manufacturer/onsemi?pageNo=69", "ON Semiconductor")</f>
        <v>ON Semiconductor</v>
      </c>
      <c r="C23593" s="6">
        <v>258000</v>
      </c>
      <c r="D23593" s="7">
        <v>0.1</v>
      </c>
      <c r="E23593" t="s">
        <v>98</v>
      </c>
    </row>
    <row r="23594" spans="1:5" x14ac:dyDescent="0.25">
      <c r="A23594" t="str">
        <f>HYPERLINK("https://www.773grp.com/globalSearch/BZX84C36LT1/page-1", "BZX84C36LT1")</f>
        <v>BZX84C36LT1</v>
      </c>
      <c r="B23594" s="3" t="str">
        <f>HYPERLINK("https://www.773grp.com/manufacturer/onsemi?pageNo=70", "ON Semiconductor")</f>
        <v>ON Semiconductor</v>
      </c>
      <c r="C23594" s="6">
        <v>87000</v>
      </c>
      <c r="D23594" s="7">
        <v>0.1</v>
      </c>
      <c r="E23594" t="s">
        <v>98</v>
      </c>
    </row>
    <row r="23595" spans="1:5" x14ac:dyDescent="0.25">
      <c r="A23595" t="str">
        <f>HYPERLINK("https://www.773grp.com/globalSearch/BZX84C36LT3/page-1", "BZX84C36LT3")</f>
        <v>BZX84C36LT3</v>
      </c>
      <c r="B23595" s="3" t="str">
        <f>HYPERLINK("https://www.773grp.com/manufacturer/onsemi?pageNo=71", "ON Semiconductor")</f>
        <v>ON Semiconductor</v>
      </c>
      <c r="C23595" s="6">
        <v>20000</v>
      </c>
      <c r="D23595" s="7">
        <v>0.1</v>
      </c>
      <c r="E23595" t="s">
        <v>98</v>
      </c>
    </row>
    <row r="23596" spans="1:5" x14ac:dyDescent="0.25">
      <c r="A23596" t="str">
        <f>HYPERLINK("https://www.773grp.com/globalSearch/BZX84C36LT3G/page-1", "BZX84C36LT3G")</f>
        <v>BZX84C36LT3G</v>
      </c>
      <c r="B23596" s="3" t="str">
        <f>HYPERLINK("https://www.773grp.com/manufacturer/onsemi?pageNo=72", "ON Semiconductor")</f>
        <v>ON Semiconductor</v>
      </c>
      <c r="C23596" s="6">
        <v>140000</v>
      </c>
      <c r="D23596" s="7">
        <v>0.1</v>
      </c>
      <c r="E23596" t="s">
        <v>98</v>
      </c>
    </row>
    <row r="23597" spans="1:5" x14ac:dyDescent="0.25">
      <c r="A23597" t="str">
        <f>HYPERLINK("https://www.773grp.com/globalSearch/BZX84C39LT1/page-1", "BZX84C39LT1")</f>
        <v>BZX84C39LT1</v>
      </c>
      <c r="B23597" s="3" t="str">
        <f>HYPERLINK("https://www.773grp.com/manufacturer/onsemi?pageNo=73", "ON Semiconductor")</f>
        <v>ON Semiconductor</v>
      </c>
      <c r="C23597" s="6">
        <v>3000</v>
      </c>
      <c r="D23597" s="7">
        <v>0.1</v>
      </c>
      <c r="E23597" t="s">
        <v>98</v>
      </c>
    </row>
    <row r="23598" spans="1:5" x14ac:dyDescent="0.25">
      <c r="A23598" t="str">
        <f>HYPERLINK("https://www.773grp.com/globalSearch/BZX84C39LT3G/page-1", "BZX84C39LT3G")</f>
        <v>BZX84C39LT3G</v>
      </c>
      <c r="B23598" s="3" t="str">
        <f>HYPERLINK("https://www.773grp.com/manufacturer/onsemi?pageNo=74", "ON Semiconductor")</f>
        <v>ON Semiconductor</v>
      </c>
      <c r="C23598" s="6">
        <v>70000</v>
      </c>
      <c r="D23598" s="7">
        <v>0.1</v>
      </c>
      <c r="E23598" t="s">
        <v>98</v>
      </c>
    </row>
    <row r="23599" spans="1:5" x14ac:dyDescent="0.25">
      <c r="A23599" t="str">
        <f>HYPERLINK("https://www.773grp.com/globalSearch/BZX84C3V0LT1/page-1", "BZX84C3V0LT1")</f>
        <v>BZX84C3V0LT1</v>
      </c>
      <c r="B23599" s="3" t="str">
        <f>HYPERLINK("https://www.773grp.com/manufacturer/onsemi?pageNo=75", "ON Semiconductor")</f>
        <v>ON Semiconductor</v>
      </c>
      <c r="C23599" s="6">
        <v>111042</v>
      </c>
      <c r="D23599" s="7">
        <v>0.1</v>
      </c>
      <c r="E23599" t="s">
        <v>98</v>
      </c>
    </row>
    <row r="23600" spans="1:5" x14ac:dyDescent="0.25">
      <c r="A23600" t="str">
        <f>HYPERLINK("https://www.773grp.com/globalSearch/BZX84C3V3LT1/page-1", "BZX84C3V3LT1")</f>
        <v>BZX84C3V3LT1</v>
      </c>
      <c r="B23600" s="3" t="str">
        <f>HYPERLINK("https://www.773grp.com/manufacturer/onsemi?pageNo=76", "ON Semiconductor")</f>
        <v>ON Semiconductor</v>
      </c>
      <c r="C23600" s="6">
        <v>320975</v>
      </c>
      <c r="D23600" s="7">
        <v>0.1</v>
      </c>
      <c r="E23600" t="s">
        <v>98</v>
      </c>
    </row>
    <row r="23601" spans="1:5" x14ac:dyDescent="0.25">
      <c r="A23601" t="str">
        <f>HYPERLINK("https://www.773grp.com/globalSearch/BZX84C3V3LT3/page-1", "BZX84C3V3LT3")</f>
        <v>BZX84C3V3LT3</v>
      </c>
      <c r="B23601" s="3" t="str">
        <f>HYPERLINK("https://www.773grp.com/manufacturer/onsemi?pageNo=77", "ON Semiconductor")</f>
        <v>ON Semiconductor</v>
      </c>
      <c r="C23601" s="6">
        <v>10000</v>
      </c>
      <c r="D23601" s="7">
        <v>0.1</v>
      </c>
      <c r="E23601" t="s">
        <v>98</v>
      </c>
    </row>
    <row r="23602" spans="1:5" x14ac:dyDescent="0.25">
      <c r="A23602" t="str">
        <f>HYPERLINK("https://www.773grp.com/globalSearch/BZX84C3V3LT3G/page-1", "BZX84C3V3LT3G")</f>
        <v>BZX84C3V3LT3G</v>
      </c>
      <c r="B23602" s="3" t="str">
        <f>HYPERLINK("https://www.773grp.com/manufacturer/onsemi?pageNo=78", "ON Semiconductor")</f>
        <v>ON Semiconductor</v>
      </c>
      <c r="C23602" s="6">
        <v>70000</v>
      </c>
      <c r="D23602" s="7">
        <v>0.1</v>
      </c>
      <c r="E23602" t="s">
        <v>98</v>
      </c>
    </row>
    <row r="23603" spans="1:5" x14ac:dyDescent="0.25">
      <c r="A23603" t="str">
        <f>HYPERLINK("https://www.773grp.com/globalSearch/BZX84C3V6LT1/page-1", "BZX84C3V6LT1")</f>
        <v>BZX84C3V6LT1</v>
      </c>
      <c r="B23603" s="3" t="str">
        <f>HYPERLINK("https://www.773grp.com/manufacturer/onsemi?pageNo=79", "ON Semiconductor")</f>
        <v>ON Semiconductor</v>
      </c>
      <c r="C23603" s="6">
        <v>50818</v>
      </c>
      <c r="D23603" s="7">
        <v>0.1</v>
      </c>
      <c r="E23603" t="s">
        <v>98</v>
      </c>
    </row>
    <row r="23604" spans="1:5" x14ac:dyDescent="0.25">
      <c r="A23604" t="str">
        <f>HYPERLINK("https://www.773grp.com/globalSearch/BZX84C3V9LT1/page-1", "BZX84C3V9LT1")</f>
        <v>BZX84C3V9LT1</v>
      </c>
      <c r="B23604" s="3" t="str">
        <f>HYPERLINK("https://www.773grp.com/manufacturer/onsemi?pageNo=80", "ON Semiconductor")</f>
        <v>ON Semiconductor</v>
      </c>
      <c r="C23604" s="6">
        <v>335950</v>
      </c>
      <c r="D23604" s="7">
        <v>0.1</v>
      </c>
      <c r="E23604" t="s">
        <v>98</v>
      </c>
    </row>
    <row r="23605" spans="1:5" x14ac:dyDescent="0.25">
      <c r="A23605" t="str">
        <f>HYPERLINK("https://www.773grp.com/globalSearch/BZX84C43LT1/page-1", "BZX84C43LT1")</f>
        <v>BZX84C43LT1</v>
      </c>
      <c r="B23605" s="3" t="str">
        <f>HYPERLINK("https://www.773grp.com/manufacturer/onsemi?pageNo=81", "ON Semiconductor")</f>
        <v>ON Semiconductor</v>
      </c>
      <c r="C23605" s="6">
        <v>231000</v>
      </c>
      <c r="D23605" s="7">
        <v>0.1</v>
      </c>
      <c r="E23605" t="s">
        <v>98</v>
      </c>
    </row>
    <row r="23606" spans="1:5" x14ac:dyDescent="0.25">
      <c r="A23606" t="str">
        <f>HYPERLINK("https://www.773grp.com/globalSearch/BZX84C47LT1/page-1", "BZX84C47LT1")</f>
        <v>BZX84C47LT1</v>
      </c>
      <c r="B23606" s="3" t="str">
        <f>HYPERLINK("https://www.773grp.com/manufacturer/onsemi?pageNo=82", "ON Semiconductor")</f>
        <v>ON Semiconductor</v>
      </c>
      <c r="C23606" s="6">
        <v>72000</v>
      </c>
      <c r="D23606" s="7">
        <v>0.1</v>
      </c>
      <c r="E23606" t="s">
        <v>98</v>
      </c>
    </row>
    <row r="23607" spans="1:5" x14ac:dyDescent="0.25">
      <c r="A23607" t="str">
        <f>HYPERLINK("https://www.773grp.com/globalSearch/BZX84C4V3LT1/page-1", "BZX84C4V3LT1")</f>
        <v>BZX84C4V3LT1</v>
      </c>
      <c r="B23607" s="3" t="str">
        <f>HYPERLINK("https://www.773grp.com/manufacturer/onsemi?pageNo=83", "ON Semiconductor")</f>
        <v>ON Semiconductor</v>
      </c>
      <c r="C23607" s="6">
        <v>243000</v>
      </c>
      <c r="D23607" s="7">
        <v>0.1</v>
      </c>
      <c r="E23607" t="s">
        <v>98</v>
      </c>
    </row>
    <row r="23608" spans="1:5" x14ac:dyDescent="0.25">
      <c r="A23608" t="str">
        <f>HYPERLINK("https://www.773grp.com/globalSearch/BZX84C4V7LT1/page-1", "BZX84C4V7LT1")</f>
        <v>BZX84C4V7LT1</v>
      </c>
      <c r="B23608" s="3" t="str">
        <f>HYPERLINK("https://www.773grp.com/manufacturer/onsemi?pageNo=84", "ON Semiconductor")</f>
        <v>ON Semiconductor</v>
      </c>
      <c r="C23608" s="6">
        <v>297000</v>
      </c>
      <c r="D23608" s="7">
        <v>0.1</v>
      </c>
      <c r="E23608" t="s">
        <v>98</v>
      </c>
    </row>
    <row r="23609" spans="1:5" x14ac:dyDescent="0.25">
      <c r="A23609" t="str">
        <f>HYPERLINK("https://www.773grp.com/globalSearch/BZX84C4V7LT3/page-1", "BZX84C4V7LT3")</f>
        <v>BZX84C4V7LT3</v>
      </c>
      <c r="B23609" s="3" t="str">
        <f>HYPERLINK("https://www.773grp.com/manufacturer/onsemi?pageNo=85", "ON Semiconductor")</f>
        <v>ON Semiconductor</v>
      </c>
      <c r="C23609" s="6">
        <v>81000</v>
      </c>
      <c r="D23609" s="7">
        <v>0.1</v>
      </c>
      <c r="E23609" t="s">
        <v>98</v>
      </c>
    </row>
    <row r="23610" spans="1:5" x14ac:dyDescent="0.25">
      <c r="A23610" t="str">
        <f>HYPERLINK("https://www.773grp.com/globalSearch/BZX84C51LT1/page-1", "BZX84C51LT1")</f>
        <v>BZX84C51LT1</v>
      </c>
      <c r="B23610" s="3" t="str">
        <f>HYPERLINK("https://www.773grp.com/manufacturer/onsemi?pageNo=86", "ON Semiconductor")</f>
        <v>ON Semiconductor</v>
      </c>
      <c r="C23610" s="6">
        <v>84000</v>
      </c>
      <c r="D23610" s="7">
        <v>0.1</v>
      </c>
      <c r="E23610" t="s">
        <v>98</v>
      </c>
    </row>
    <row r="23611" spans="1:5" x14ac:dyDescent="0.25">
      <c r="A23611" t="str">
        <f>HYPERLINK("https://www.773grp.com/globalSearch/BZX84C56LT1/page-1", "BZX84C56LT1")</f>
        <v>BZX84C56LT1</v>
      </c>
      <c r="B23611" s="3" t="str">
        <f>HYPERLINK("https://www.773grp.com/manufacturer/onsemi?pageNo=87", "ON Semiconductor")</f>
        <v>ON Semiconductor</v>
      </c>
      <c r="C23611" s="6">
        <v>21000</v>
      </c>
      <c r="D23611" s="7">
        <v>0.1</v>
      </c>
      <c r="E23611" t="s">
        <v>98</v>
      </c>
    </row>
    <row r="23612" spans="1:5" x14ac:dyDescent="0.25">
      <c r="A23612" t="str">
        <f>HYPERLINK("https://www.773grp.com/globalSearch/BZX84C5V6LT3/page-1", "BZX84C5V6LT3")</f>
        <v>BZX84C5V6LT3</v>
      </c>
      <c r="B23612" s="3" t="str">
        <f>HYPERLINK("https://www.773grp.com/manufacturer/onsemi?pageNo=88", "ON Semiconductor")</f>
        <v>ON Semiconductor</v>
      </c>
      <c r="C23612" s="6">
        <v>10000</v>
      </c>
      <c r="D23612" s="7">
        <v>0.1</v>
      </c>
      <c r="E23612" t="s">
        <v>98</v>
      </c>
    </row>
    <row r="23613" spans="1:5" x14ac:dyDescent="0.25">
      <c r="A23613" t="str">
        <f>HYPERLINK("https://www.773grp.com/globalSearch/BZX84C62ET3/page-1", "BZX84C62ET3")</f>
        <v>BZX84C62ET3</v>
      </c>
      <c r="B23613" s="3" t="str">
        <f>HYPERLINK("https://www.773grp.com/manufacturer/onsemi?pageNo=89", "ON Semiconductor")</f>
        <v>ON Semiconductor</v>
      </c>
      <c r="C23613" s="6">
        <v>10000</v>
      </c>
      <c r="D23613" s="7">
        <v>0.1</v>
      </c>
      <c r="E23613" t="s">
        <v>98</v>
      </c>
    </row>
    <row r="23614" spans="1:5" x14ac:dyDescent="0.25">
      <c r="A23614" t="str">
        <f>HYPERLINK("https://www.773grp.com/globalSearch/BZX84C62LT1/page-1", "BZX84C62LT1")</f>
        <v>BZX84C62LT1</v>
      </c>
      <c r="B23614" s="3" t="str">
        <f>HYPERLINK("https://www.773grp.com/manufacturer/onsemi?pageNo=90", "ON Semiconductor")</f>
        <v>ON Semiconductor</v>
      </c>
      <c r="C23614" s="6">
        <v>6000</v>
      </c>
      <c r="D23614" s="7">
        <v>0.1</v>
      </c>
      <c r="E23614" t="s">
        <v>98</v>
      </c>
    </row>
    <row r="23615" spans="1:5" x14ac:dyDescent="0.25">
      <c r="A23615" t="str">
        <f>HYPERLINK("https://www.773grp.com/globalSearch/BZX84C68LT3/page-1", "BZX84C68LT3")</f>
        <v>BZX84C68LT3</v>
      </c>
      <c r="B23615" s="3" t="str">
        <f>HYPERLINK("https://www.773grp.com/manufacturer/onsemi?pageNo=91", "ON Semiconductor")</f>
        <v>ON Semiconductor</v>
      </c>
      <c r="C23615" s="6">
        <v>20000</v>
      </c>
      <c r="D23615" s="7">
        <v>0.1</v>
      </c>
      <c r="E23615" t="s">
        <v>98</v>
      </c>
    </row>
    <row r="23616" spans="1:5" x14ac:dyDescent="0.25">
      <c r="A23616" t="str">
        <f>HYPERLINK("https://www.773grp.com/globalSearch/BZX84C6V2ET1/page-1", "BZX84C6V2ET1")</f>
        <v>BZX84C6V2ET1</v>
      </c>
      <c r="B23616" s="3" t="str">
        <f>HYPERLINK("https://www.773grp.com/manufacturer/onsemi?pageNo=92", "ON Semiconductor")</f>
        <v>ON Semiconductor</v>
      </c>
      <c r="C23616" s="6">
        <v>233555</v>
      </c>
      <c r="D23616" s="7">
        <v>0.1</v>
      </c>
      <c r="E23616" t="s">
        <v>98</v>
      </c>
    </row>
    <row r="23617" spans="1:5" x14ac:dyDescent="0.25">
      <c r="A23617" t="str">
        <f>HYPERLINK("https://www.773grp.com/globalSearch/BZX84C6V2LT1/page-1", "BZX84C6V2LT1")</f>
        <v>BZX84C6V2LT1</v>
      </c>
      <c r="B23617" s="3" t="str">
        <f>HYPERLINK("https://www.773grp.com/manufacturer/onsemi?pageNo=93", "ON Semiconductor")</f>
        <v>ON Semiconductor</v>
      </c>
      <c r="C23617" s="6">
        <v>305139</v>
      </c>
      <c r="D23617" s="7">
        <v>0.1</v>
      </c>
      <c r="E23617" t="s">
        <v>98</v>
      </c>
    </row>
    <row r="23618" spans="1:5" x14ac:dyDescent="0.25">
      <c r="A23618" t="str">
        <f>HYPERLINK("https://www.773grp.com/globalSearch/BZX84C6V2LT3/page-1", "BZX84C6V2LT3")</f>
        <v>BZX84C6V2LT3</v>
      </c>
      <c r="B23618" s="3" t="str">
        <f>HYPERLINK("https://www.773grp.com/manufacturer/onsemi?pageNo=94", "ON Semiconductor")</f>
        <v>ON Semiconductor</v>
      </c>
      <c r="C23618" s="6">
        <v>70000</v>
      </c>
      <c r="D23618" s="7">
        <v>0.1</v>
      </c>
      <c r="E23618" t="s">
        <v>98</v>
      </c>
    </row>
    <row r="23619" spans="1:5" x14ac:dyDescent="0.25">
      <c r="A23619" t="str">
        <f>HYPERLINK("https://www.773grp.com/globalSearch/BZX84C6V8ET1/page-1", "BZX84C6V8ET1")</f>
        <v>BZX84C6V8ET1</v>
      </c>
      <c r="B23619" s="3" t="str">
        <f>HYPERLINK("https://www.773grp.com/manufacturer/onsemi?pageNo=95", "ON Semiconductor")</f>
        <v>ON Semiconductor</v>
      </c>
      <c r="C23619" s="6">
        <v>23980</v>
      </c>
      <c r="D23619" s="7">
        <v>0.1</v>
      </c>
      <c r="E23619" t="s">
        <v>98</v>
      </c>
    </row>
    <row r="23620" spans="1:5" x14ac:dyDescent="0.25">
      <c r="A23620" t="str">
        <f>HYPERLINK("https://www.773grp.com/globalSearch/BZX84C6V8LT1/page-1", "BZX84C6V8LT1")</f>
        <v>BZX84C6V8LT1</v>
      </c>
      <c r="B23620" s="3" t="str">
        <f>HYPERLINK("https://www.773grp.com/manufacturer/onsemi?pageNo=96", "ON Semiconductor")</f>
        <v>ON Semiconductor</v>
      </c>
      <c r="C23620" s="6">
        <v>156000</v>
      </c>
      <c r="D23620" s="7">
        <v>0.1</v>
      </c>
      <c r="E23620" t="s">
        <v>98</v>
      </c>
    </row>
    <row r="23621" spans="1:5" x14ac:dyDescent="0.25">
      <c r="A23621" t="str">
        <f>HYPERLINK("https://www.773grp.com/globalSearch/BZX84C7V5LT1/page-1", "BZX84C7V5LT1")</f>
        <v>BZX84C7V5LT1</v>
      </c>
      <c r="B23621" s="3" t="str">
        <f>HYPERLINK("https://www.773grp.com/manufacturer/onsemi?pageNo=97", "ON Semiconductor")</f>
        <v>ON Semiconductor</v>
      </c>
      <c r="C23621" s="6">
        <v>100000</v>
      </c>
      <c r="D23621" s="7">
        <v>0.1</v>
      </c>
      <c r="E23621" t="s">
        <v>98</v>
      </c>
    </row>
    <row r="23622" spans="1:5" x14ac:dyDescent="0.25">
      <c r="A23622" t="str">
        <f>HYPERLINK("https://www.773grp.com/globalSearch/BZX84C8V2LT1/page-1", "BZX84C8V2LT1")</f>
        <v>BZX84C8V2LT1</v>
      </c>
      <c r="B23622" s="3" t="str">
        <f>HYPERLINK("https://www.773grp.com/manufacturer/onsemi?pageNo=98", "ON Semiconductor")</f>
        <v>ON Semiconductor</v>
      </c>
      <c r="C23622" s="6">
        <v>6000</v>
      </c>
      <c r="D23622" s="7">
        <v>0.1</v>
      </c>
      <c r="E23622" t="s">
        <v>98</v>
      </c>
    </row>
    <row r="23623" spans="1:5" x14ac:dyDescent="0.25">
      <c r="A23623" t="str">
        <f>HYPERLINK("https://www.773grp.com/globalSearch/DAP222M3T5G/page-1", "DAP222M3T5G")</f>
        <v>DAP222M3T5G</v>
      </c>
      <c r="B23623" s="3" t="str">
        <f>HYPERLINK("https://www.773grp.com/manufacturer/onsemi?pageNo=99", "ON Semiconductor")</f>
        <v>ON Semiconductor</v>
      </c>
      <c r="C23623" s="6">
        <v>256000</v>
      </c>
      <c r="D23623" s="7">
        <v>0.1</v>
      </c>
      <c r="E23623" t="s">
        <v>108</v>
      </c>
    </row>
    <row r="23624" spans="1:5" x14ac:dyDescent="0.25">
      <c r="A23624" t="str">
        <f>HYPERLINK("https://www.773grp.com/globalSearch/DTA114E/page-1", "DTA114E")</f>
        <v>DTA114E</v>
      </c>
      <c r="B23624" s="3" t="str">
        <f>HYPERLINK("https://www.773grp.com/manufacturer/onsemi?pageNo=100", "ON Semiconductor")</f>
        <v>ON Semiconductor</v>
      </c>
      <c r="C23624" s="6">
        <v>68000</v>
      </c>
      <c r="D23624" s="7">
        <v>0.1</v>
      </c>
      <c r="E23624" t="s">
        <v>69</v>
      </c>
    </row>
    <row r="23625" spans="1:5" x14ac:dyDescent="0.25">
      <c r="A23625" t="str">
        <f>HYPERLINK("https://www.773grp.com/globalSearch/DTA114EM3T5G/page-1", "DTA114EM3T5G")</f>
        <v>DTA114EM3T5G</v>
      </c>
      <c r="B23625" s="3" t="str">
        <f>HYPERLINK("https://www.773grp.com/manufacturer/onsemi?pageNo=101", "ON Semiconductor")</f>
        <v>ON Semiconductor</v>
      </c>
      <c r="C23625" s="6">
        <v>1286053</v>
      </c>
      <c r="D23625" s="7">
        <v>0.1</v>
      </c>
      <c r="E23625" t="s">
        <v>69</v>
      </c>
    </row>
    <row r="23626" spans="1:5" x14ac:dyDescent="0.25">
      <c r="A23626" t="str">
        <f>HYPERLINK("https://www.773grp.com/globalSearch/DTA114T/page-1", "DTA114T")</f>
        <v>DTA114T</v>
      </c>
      <c r="B23626" s="3" t="str">
        <f>HYPERLINK("https://www.773grp.com/manufacturer/onsemi?pageNo=102", "ON Semiconductor")</f>
        <v>ON Semiconductor</v>
      </c>
      <c r="C23626" s="6">
        <v>115000</v>
      </c>
      <c r="D23626" s="7">
        <v>0.1</v>
      </c>
      <c r="E23626" t="s">
        <v>69</v>
      </c>
    </row>
    <row r="23627" spans="1:5" x14ac:dyDescent="0.25">
      <c r="A23627" t="str">
        <f>HYPERLINK("https://www.773grp.com/globalSearch/DTA114TM3T5G/page-1", "DTA114TM3T5G")</f>
        <v>DTA114TM3T5G</v>
      </c>
      <c r="B23627" s="3" t="str">
        <f>HYPERLINK("https://www.773grp.com/manufacturer/onsemi?pageNo=103", "ON Semiconductor")</f>
        <v>ON Semiconductor</v>
      </c>
      <c r="C23627" s="6">
        <v>157783</v>
      </c>
      <c r="D23627" s="7">
        <v>0.1</v>
      </c>
      <c r="E23627" t="s">
        <v>69</v>
      </c>
    </row>
    <row r="23628" spans="1:5" x14ac:dyDescent="0.25">
      <c r="A23628" t="str">
        <f>HYPERLINK("https://www.773grp.com/globalSearch/DTA114Y/page-1", "DTA114Y")</f>
        <v>DTA114Y</v>
      </c>
      <c r="B23628" s="3" t="str">
        <f>HYPERLINK("https://www.773grp.com/manufacturer/onsemi?pageNo=104", "ON Semiconductor")</f>
        <v>ON Semiconductor</v>
      </c>
      <c r="C23628" s="6">
        <v>121450</v>
      </c>
      <c r="D23628" s="7">
        <v>0.1</v>
      </c>
      <c r="E23628" t="s">
        <v>69</v>
      </c>
    </row>
    <row r="23629" spans="1:5" x14ac:dyDescent="0.25">
      <c r="A23629" t="str">
        <f>HYPERLINK("https://www.773grp.com/globalSearch/DTA114YM3T5G/page-1", "DTA114YM3T5G")</f>
        <v>DTA114YM3T5G</v>
      </c>
      <c r="B23629" s="3" t="str">
        <f>HYPERLINK("https://www.773grp.com/manufacturer/onsemi?pageNo=105", "ON Semiconductor")</f>
        <v>ON Semiconductor</v>
      </c>
      <c r="C23629" s="6">
        <v>633000</v>
      </c>
      <c r="D23629" s="7">
        <v>0.1</v>
      </c>
      <c r="E23629" t="s">
        <v>69</v>
      </c>
    </row>
    <row r="23630" spans="1:5" x14ac:dyDescent="0.25">
      <c r="A23630" t="str">
        <f>HYPERLINK("https://www.773grp.com/globalSearch/DTA115EM3T5G/page-1", "DTA115EM3T5G")</f>
        <v>DTA115EM3T5G</v>
      </c>
      <c r="B23630" s="3" t="str">
        <f>HYPERLINK("https://www.773grp.com/manufacturer/onsemi?pageNo=106", "ON Semiconductor")</f>
        <v>ON Semiconductor</v>
      </c>
      <c r="C23630" s="6">
        <v>359000</v>
      </c>
      <c r="D23630" s="7">
        <v>0.1</v>
      </c>
      <c r="E23630" t="s">
        <v>69</v>
      </c>
    </row>
    <row r="23631" spans="1:5" x14ac:dyDescent="0.25">
      <c r="A23631" t="str">
        <f>HYPERLINK("https://www.773grp.com/globalSearch/DTA123E/page-1", "DTA123E")</f>
        <v>DTA123E</v>
      </c>
      <c r="B23631" s="3" t="str">
        <f>HYPERLINK("https://www.773grp.com/manufacturer/onsemi?pageNo=107", "ON Semiconductor")</f>
        <v>ON Semiconductor</v>
      </c>
      <c r="C23631" s="6">
        <v>110000</v>
      </c>
      <c r="D23631" s="7">
        <v>0.1</v>
      </c>
      <c r="E23631" t="s">
        <v>69</v>
      </c>
    </row>
    <row r="23632" spans="1:5" x14ac:dyDescent="0.25">
      <c r="A23632" t="str">
        <f>HYPERLINK("https://www.773grp.com/globalSearch/DTA123EM3T5G/page-1", "DTA123EM3T5G")</f>
        <v>DTA123EM3T5G</v>
      </c>
      <c r="B23632" s="3" t="str">
        <f>HYPERLINK("https://www.773grp.com/manufacturer/onsemi?pageNo=108", "ON Semiconductor")</f>
        <v>ON Semiconductor</v>
      </c>
      <c r="C23632" s="6">
        <v>301877</v>
      </c>
      <c r="D23632" s="7">
        <v>0.1</v>
      </c>
      <c r="E23632" t="s">
        <v>69</v>
      </c>
    </row>
    <row r="23633" spans="1:5" x14ac:dyDescent="0.25">
      <c r="A23633" t="str">
        <f>HYPERLINK("https://www.773grp.com/globalSearch/DTA123JM3T5G/page-1", "DTA123JM3T5G")</f>
        <v>DTA123JM3T5G</v>
      </c>
      <c r="B23633" s="3" t="str">
        <f>HYPERLINK("https://www.773grp.com/manufacturer/onsemi?pageNo=109", "ON Semiconductor")</f>
        <v>ON Semiconductor</v>
      </c>
      <c r="C23633" s="6">
        <v>128000</v>
      </c>
      <c r="D23633" s="7">
        <v>0.1</v>
      </c>
      <c r="E23633" t="s">
        <v>69</v>
      </c>
    </row>
    <row r="23634" spans="1:5" x14ac:dyDescent="0.25">
      <c r="A23634" t="str">
        <f>HYPERLINK("https://www.773grp.com/globalSearch/DTA124E/page-1", "DTA124E")</f>
        <v>DTA124E</v>
      </c>
      <c r="B23634" s="3" t="str">
        <f>HYPERLINK("https://www.773grp.com/manufacturer/onsemi?pageNo=110", "ON Semiconductor")</f>
        <v>ON Semiconductor</v>
      </c>
      <c r="C23634" s="6">
        <v>110000</v>
      </c>
      <c r="D23634" s="7">
        <v>0.1</v>
      </c>
      <c r="E23634" t="s">
        <v>69</v>
      </c>
    </row>
    <row r="23635" spans="1:5" x14ac:dyDescent="0.25">
      <c r="A23635" t="str">
        <f>HYPERLINK("https://www.773grp.com/globalSearch/DTA124EM3T5G/page-1", "DTA124EM3T5G")</f>
        <v>DTA124EM3T5G</v>
      </c>
      <c r="B23635" s="3" t="str">
        <f>HYPERLINK("https://www.773grp.com/manufacturer/onsemi?pageNo=111", "ON Semiconductor")</f>
        <v>ON Semiconductor</v>
      </c>
      <c r="C23635" s="6">
        <v>224000</v>
      </c>
      <c r="D23635" s="7">
        <v>0.1</v>
      </c>
      <c r="E23635" t="s">
        <v>69</v>
      </c>
    </row>
    <row r="23636" spans="1:5" x14ac:dyDescent="0.25">
      <c r="A23636" t="str">
        <f>HYPERLINK("https://www.773grp.com/globalSearch/DTA124XM3T5G/page-1", "DTA124XM3T5G")</f>
        <v>DTA124XM3T5G</v>
      </c>
      <c r="B23636" s="3" t="str">
        <f>HYPERLINK("https://www.773grp.com/manufacturer/onsemi?pageNo=112", "ON Semiconductor")</f>
        <v>ON Semiconductor</v>
      </c>
      <c r="C23636" s="6">
        <v>496000</v>
      </c>
      <c r="D23636" s="7">
        <v>0.1</v>
      </c>
      <c r="E23636" t="s">
        <v>69</v>
      </c>
    </row>
    <row r="23637" spans="1:5" x14ac:dyDescent="0.25">
      <c r="A23637" t="str">
        <f>HYPERLINK("https://www.773grp.com/globalSearch/DTA143E/page-1", "DTA143E")</f>
        <v>DTA143E</v>
      </c>
      <c r="B23637" s="3" t="str">
        <f>HYPERLINK("https://www.773grp.com/manufacturer/onsemi?pageNo=113", "ON Semiconductor")</f>
        <v>ON Semiconductor</v>
      </c>
      <c r="C23637" s="6">
        <v>115000</v>
      </c>
      <c r="D23637" s="7">
        <v>0.1</v>
      </c>
      <c r="E23637" t="s">
        <v>69</v>
      </c>
    </row>
    <row r="23638" spans="1:5" x14ac:dyDescent="0.25">
      <c r="A23638" t="str">
        <f>HYPERLINK("https://www.773grp.com/globalSearch/DTA143EM3T5G/page-1", "DTA143EM3T5G")</f>
        <v>DTA143EM3T5G</v>
      </c>
      <c r="B23638" s="3" t="str">
        <f>HYPERLINK("https://www.773grp.com/manufacturer/onsemi?pageNo=114", "ON Semiconductor")</f>
        <v>ON Semiconductor</v>
      </c>
      <c r="C23638" s="6">
        <v>288000</v>
      </c>
      <c r="D23638" s="7">
        <v>0.1</v>
      </c>
      <c r="E23638" t="s">
        <v>69</v>
      </c>
    </row>
    <row r="23639" spans="1:5" x14ac:dyDescent="0.25">
      <c r="A23639" t="str">
        <f>HYPERLINK("https://www.773grp.com/globalSearch/DTA143T/page-1", "DTA143T")</f>
        <v>DTA143T</v>
      </c>
      <c r="B23639" s="3" t="str">
        <f>HYPERLINK("https://www.773grp.com/manufacturer/onsemi?pageNo=115", "ON Semiconductor")</f>
        <v>ON Semiconductor</v>
      </c>
      <c r="C23639" s="6">
        <v>115000</v>
      </c>
      <c r="D23639" s="7">
        <v>0.1</v>
      </c>
      <c r="E23639" t="s">
        <v>69</v>
      </c>
    </row>
    <row r="23640" spans="1:5" x14ac:dyDescent="0.25">
      <c r="A23640" t="str">
        <f>HYPERLINK("https://www.773grp.com/globalSearch/DTA143TM3T5G/page-1", "DTA143TM3T5G")</f>
        <v>DTA143TM3T5G</v>
      </c>
      <c r="B23640" s="3" t="str">
        <f>HYPERLINK("https://www.773grp.com/manufacturer/onsemi?pageNo=116", "ON Semiconductor")</f>
        <v>ON Semiconductor</v>
      </c>
      <c r="C23640" s="6">
        <v>1400000</v>
      </c>
      <c r="D23640" s="7">
        <v>0.1</v>
      </c>
      <c r="E23640" t="s">
        <v>69</v>
      </c>
    </row>
    <row r="23641" spans="1:5" x14ac:dyDescent="0.25">
      <c r="A23641" t="str">
        <f>HYPERLINK("https://www.773grp.com/globalSearch/DTA143XXV3T1/page-1", "DTA143XXV3T1")</f>
        <v>DTA143XXV3T1</v>
      </c>
      <c r="B23641" s="3" t="str">
        <f>HYPERLINK("https://www.773grp.com/manufacturer/onsemi?pageNo=117", "ON Semiconductor")</f>
        <v>ON Semiconductor</v>
      </c>
      <c r="C23641" s="6">
        <v>108000</v>
      </c>
      <c r="D23641" s="7">
        <v>0.1</v>
      </c>
      <c r="E23641" t="s">
        <v>69</v>
      </c>
    </row>
    <row r="23642" spans="1:5" x14ac:dyDescent="0.25">
      <c r="A23642" t="str">
        <f>HYPERLINK("https://www.773grp.com/globalSearch/DTA143Z/page-1", "DTA143Z")</f>
        <v>DTA143Z</v>
      </c>
      <c r="B23642" s="3" t="str">
        <f>HYPERLINK("https://www.773grp.com/manufacturer/onsemi?pageNo=118", "ON Semiconductor")</f>
        <v>ON Semiconductor</v>
      </c>
      <c r="C23642" s="6">
        <v>91333</v>
      </c>
      <c r="D23642" s="7">
        <v>0.1</v>
      </c>
      <c r="E23642" t="s">
        <v>69</v>
      </c>
    </row>
    <row r="23643" spans="1:5" x14ac:dyDescent="0.25">
      <c r="A23643" t="str">
        <f>HYPERLINK("https://www.773grp.com/globalSearch/DTA143ZM3T5G/page-1", "DTA143ZM3T5G")</f>
        <v>DTA143ZM3T5G</v>
      </c>
      <c r="B23643" s="3" t="str">
        <f>HYPERLINK("https://www.773grp.com/manufacturer/onsemi?pageNo=119", "ON Semiconductor")</f>
        <v>ON Semiconductor</v>
      </c>
      <c r="C23643" s="6">
        <v>159975</v>
      </c>
      <c r="D23643" s="7">
        <v>0.1</v>
      </c>
      <c r="E23643" t="s">
        <v>69</v>
      </c>
    </row>
    <row r="23644" spans="1:5" x14ac:dyDescent="0.25">
      <c r="A23644" t="str">
        <f>HYPERLINK("https://www.773grp.com/globalSearch/DTA144E/page-1", "DTA144E")</f>
        <v>DTA144E</v>
      </c>
      <c r="B23644" s="3" t="str">
        <f>HYPERLINK("https://www.773grp.com/manufacturer/onsemi?pageNo=120", "ON Semiconductor")</f>
        <v>ON Semiconductor</v>
      </c>
      <c r="C23644" s="6">
        <v>110000</v>
      </c>
      <c r="D23644" s="7">
        <v>0.1</v>
      </c>
      <c r="E23644" t="s">
        <v>69</v>
      </c>
    </row>
    <row r="23645" spans="1:5" x14ac:dyDescent="0.25">
      <c r="A23645" t="str">
        <f>HYPERLINK("https://www.773grp.com/globalSearch/DTA144EM3T5G/page-1", "DTA144EM3T5G")</f>
        <v>DTA144EM3T5G</v>
      </c>
      <c r="B23645" s="3" t="str">
        <f>HYPERLINK("https://www.773grp.com/manufacturer/onsemi?pageNo=121", "ON Semiconductor")</f>
        <v>ON Semiconductor</v>
      </c>
      <c r="C23645" s="6">
        <v>678845</v>
      </c>
      <c r="D23645" s="7">
        <v>0.1</v>
      </c>
      <c r="E23645" t="s">
        <v>69</v>
      </c>
    </row>
    <row r="23646" spans="1:5" x14ac:dyDescent="0.25">
      <c r="A23646" t="str">
        <f>HYPERLINK("https://www.773grp.com/globalSearch/DTA144TM3T5G/page-1", "DTA144TM3T5G")</f>
        <v>DTA144TM3T5G</v>
      </c>
      <c r="B23646" s="3" t="str">
        <f>HYPERLINK("https://www.773grp.com/manufacturer/onsemi?pageNo=122", "ON Semiconductor")</f>
        <v>ON Semiconductor</v>
      </c>
      <c r="C23646" s="6">
        <v>200000</v>
      </c>
      <c r="D23646" s="7">
        <v>0.1</v>
      </c>
      <c r="E23646" t="s">
        <v>69</v>
      </c>
    </row>
    <row r="23647" spans="1:5" x14ac:dyDescent="0.25">
      <c r="A23647" t="str">
        <f>HYPERLINK("https://www.773grp.com/globalSearch/DTA144WM3T5G/page-1", "DTA144WM3T5G")</f>
        <v>DTA144WM3T5G</v>
      </c>
      <c r="B23647" s="3" t="str">
        <f>HYPERLINK("https://www.773grp.com/manufacturer/onsemi?pageNo=123", "ON Semiconductor")</f>
        <v>ON Semiconductor</v>
      </c>
      <c r="C23647" s="6">
        <v>93473</v>
      </c>
      <c r="D23647" s="7">
        <v>0.1</v>
      </c>
      <c r="E23647" t="s">
        <v>69</v>
      </c>
    </row>
    <row r="23648" spans="1:5" x14ac:dyDescent="0.25">
      <c r="A23648" t="str">
        <f>HYPERLINK("https://www.773grp.com/globalSearch/DTB113E/page-1", "DTB113E")</f>
        <v>DTB113E</v>
      </c>
      <c r="B23648" s="3" t="str">
        <f>HYPERLINK("https://www.773grp.com/manufacturer/onsemi?pageNo=124", "ON Semiconductor")</f>
        <v>ON Semiconductor</v>
      </c>
      <c r="C23648" s="6">
        <v>115000</v>
      </c>
      <c r="D23648" s="7">
        <v>0.1</v>
      </c>
      <c r="E23648" t="s">
        <v>69</v>
      </c>
    </row>
    <row r="23649" spans="1:5" x14ac:dyDescent="0.25">
      <c r="A23649" t="str">
        <f>HYPERLINK("https://www.773grp.com/globalSearch/DTC114E/page-1", "DTC114E")</f>
        <v>DTC114E</v>
      </c>
      <c r="B23649" s="3" t="str">
        <f>HYPERLINK("https://www.773grp.com/manufacturer/onsemi?pageNo=125", "ON Semiconductor")</f>
        <v>ON Semiconductor</v>
      </c>
      <c r="C23649" s="6">
        <v>65000</v>
      </c>
      <c r="D23649" s="7">
        <v>0.1</v>
      </c>
      <c r="E23649" t="s">
        <v>69</v>
      </c>
    </row>
    <row r="23650" spans="1:5" x14ac:dyDescent="0.25">
      <c r="A23650" t="str">
        <f>HYPERLINK("https://www.773grp.com/globalSearch/DTC114EM3T5G/page-1", "DTC114EM3T5G")</f>
        <v>DTC114EM3T5G</v>
      </c>
      <c r="B23650" s="3" t="str">
        <f>HYPERLINK("https://www.773grp.com/manufacturer/onsemi?pageNo=126", "ON Semiconductor")</f>
        <v>ON Semiconductor</v>
      </c>
      <c r="C23650" s="6">
        <v>1070164</v>
      </c>
      <c r="D23650" s="7">
        <v>0.1</v>
      </c>
      <c r="E23650" t="s">
        <v>69</v>
      </c>
    </row>
    <row r="23651" spans="1:5" x14ac:dyDescent="0.25">
      <c r="A23651" t="str">
        <f>HYPERLINK("https://www.773grp.com/globalSearch/DTC114T/page-1", "DTC114T")</f>
        <v>DTC114T</v>
      </c>
      <c r="B23651" s="3" t="str">
        <f>HYPERLINK("https://www.773grp.com/manufacturer/onsemi?pageNo=127", "ON Semiconductor")</f>
        <v>ON Semiconductor</v>
      </c>
      <c r="C23651" s="6">
        <v>115000</v>
      </c>
      <c r="D23651" s="7">
        <v>0.1</v>
      </c>
      <c r="E23651" t="s">
        <v>69</v>
      </c>
    </row>
    <row r="23652" spans="1:5" x14ac:dyDescent="0.25">
      <c r="A23652" t="str">
        <f>HYPERLINK("https://www.773grp.com/globalSearch/DTC114TM3T5G/page-1", "DTC114TM3T5G")</f>
        <v>DTC114TM3T5G</v>
      </c>
      <c r="B23652" s="3" t="str">
        <f>HYPERLINK("https://www.773grp.com/manufacturer/onsemi?pageNo=128", "ON Semiconductor")</f>
        <v>ON Semiconductor</v>
      </c>
      <c r="C23652" s="6">
        <v>1092973</v>
      </c>
      <c r="D23652" s="7">
        <v>0.1</v>
      </c>
      <c r="E23652" t="s">
        <v>69</v>
      </c>
    </row>
    <row r="23653" spans="1:5" x14ac:dyDescent="0.25">
      <c r="A23653" t="str">
        <f>HYPERLINK("https://www.773grp.com/globalSearch/DTC114TXV3T1/page-1", "DTC114TXV3T1")</f>
        <v>DTC114TXV3T1</v>
      </c>
      <c r="B23653" s="3" t="str">
        <f>HYPERLINK("https://www.773grp.com/manufacturer/onsemi?pageNo=129", "ON Semiconductor")</f>
        <v>ON Semiconductor</v>
      </c>
      <c r="C23653" s="6">
        <v>105000</v>
      </c>
      <c r="D23653" s="7">
        <v>0.1</v>
      </c>
      <c r="E23653" t="s">
        <v>69</v>
      </c>
    </row>
    <row r="23654" spans="1:5" x14ac:dyDescent="0.25">
      <c r="A23654" t="str">
        <f>HYPERLINK("https://www.773grp.com/globalSearch/DTC114Y/page-1", "DTC114Y")</f>
        <v>DTC114Y</v>
      </c>
      <c r="B23654" s="3" t="str">
        <f>HYPERLINK("https://www.773grp.com/manufacturer/onsemi?pageNo=130", "ON Semiconductor")</f>
        <v>ON Semiconductor</v>
      </c>
      <c r="C23654" s="6">
        <v>100000</v>
      </c>
      <c r="D23654" s="7">
        <v>0.1</v>
      </c>
      <c r="E23654" t="s">
        <v>69</v>
      </c>
    </row>
    <row r="23655" spans="1:5" x14ac:dyDescent="0.25">
      <c r="A23655" t="str">
        <f>HYPERLINK("https://www.773grp.com/globalSearch/DTC114YM3T5G/page-1", "DTC114YM3T5G")</f>
        <v>DTC114YM3T5G</v>
      </c>
      <c r="B23655" s="3" t="str">
        <f>HYPERLINK("https://www.773grp.com/manufacturer/onsemi?pageNo=131", "ON Semiconductor")</f>
        <v>ON Semiconductor</v>
      </c>
      <c r="C23655" s="6">
        <v>2026442</v>
      </c>
      <c r="D23655" s="7">
        <v>0.1</v>
      </c>
      <c r="E23655" t="s">
        <v>69</v>
      </c>
    </row>
    <row r="23656" spans="1:5" x14ac:dyDescent="0.25">
      <c r="A23656" t="str">
        <f>HYPERLINK("https://www.773grp.com/globalSearch/DTC115EM3T5G/page-1", "DTC115EM3T5G")</f>
        <v>DTC115EM3T5G</v>
      </c>
      <c r="B23656" s="3" t="str">
        <f>HYPERLINK("https://www.773grp.com/manufacturer/onsemi?pageNo=132", "ON Semiconductor")</f>
        <v>ON Semiconductor</v>
      </c>
      <c r="C23656" s="6">
        <v>183950</v>
      </c>
      <c r="D23656" s="7">
        <v>0.1</v>
      </c>
      <c r="E23656" t="s">
        <v>69</v>
      </c>
    </row>
    <row r="23657" spans="1:5" x14ac:dyDescent="0.25">
      <c r="A23657" t="str">
        <f>HYPERLINK("https://www.773grp.com/globalSearch/DTC123E/page-1", "DTC123E")</f>
        <v>DTC123E</v>
      </c>
      <c r="B23657" s="3" t="str">
        <f>HYPERLINK("https://www.773grp.com/manufacturer/onsemi?pageNo=133", "ON Semiconductor")</f>
        <v>ON Semiconductor</v>
      </c>
      <c r="C23657" s="6">
        <v>73320</v>
      </c>
      <c r="D23657" s="7">
        <v>0.1</v>
      </c>
      <c r="E23657" t="s">
        <v>69</v>
      </c>
    </row>
    <row r="23658" spans="1:5" x14ac:dyDescent="0.25">
      <c r="A23658" t="str">
        <f>HYPERLINK("https://www.773grp.com/globalSearch/DTC123EM3T5G/page-1", "DTC123EM3T5G")</f>
        <v>DTC123EM3T5G</v>
      </c>
      <c r="B23658" s="3" t="str">
        <f>HYPERLINK("https://www.773grp.com/manufacturer/onsemi?pageNo=134", "ON Semiconductor")</f>
        <v>ON Semiconductor</v>
      </c>
      <c r="C23658" s="6">
        <v>200000</v>
      </c>
      <c r="D23658" s="7">
        <v>0.1</v>
      </c>
      <c r="E23658" t="s">
        <v>69</v>
      </c>
    </row>
    <row r="23659" spans="1:5" x14ac:dyDescent="0.25">
      <c r="A23659" t="str">
        <f>HYPERLINK("https://www.773grp.com/globalSearch/DTC123JM3T5G/page-1", "DTC123JM3T5G")</f>
        <v>DTC123JM3T5G</v>
      </c>
      <c r="B23659" s="3" t="str">
        <f>HYPERLINK("https://www.773grp.com/manufacturer/onsemi?pageNo=135", "ON Semiconductor")</f>
        <v>ON Semiconductor</v>
      </c>
      <c r="C23659" s="6">
        <v>5174981</v>
      </c>
      <c r="D23659" s="7">
        <v>0.1</v>
      </c>
      <c r="E23659" t="s">
        <v>69</v>
      </c>
    </row>
    <row r="23660" spans="1:5" x14ac:dyDescent="0.25">
      <c r="A23660" t="str">
        <f>HYPERLINK("https://www.773grp.com/globalSearch/DTC124E/page-1", "DTC124E")</f>
        <v>DTC124E</v>
      </c>
      <c r="B23660" s="3" t="str">
        <f>HYPERLINK("https://www.773grp.com/manufacturer/onsemi?pageNo=136", "ON Semiconductor")</f>
        <v>ON Semiconductor</v>
      </c>
      <c r="C23660" s="6">
        <v>35830</v>
      </c>
      <c r="D23660" s="7">
        <v>0.1</v>
      </c>
      <c r="E23660" t="s">
        <v>69</v>
      </c>
    </row>
    <row r="23661" spans="1:5" x14ac:dyDescent="0.25">
      <c r="A23661" t="str">
        <f>HYPERLINK("https://www.773grp.com/globalSearch/DTC124EET1/page-1", "DTC124EET1")</f>
        <v>DTC124EET1</v>
      </c>
      <c r="B23661" s="3" t="str">
        <f>HYPERLINK("https://www.773grp.com/manufacturer/onsemi?pageNo=137", "ON Semiconductor")</f>
        <v>ON Semiconductor</v>
      </c>
      <c r="C23661" s="6">
        <v>27000</v>
      </c>
      <c r="D23661" s="7">
        <v>0.1</v>
      </c>
      <c r="E23661" t="s">
        <v>69</v>
      </c>
    </row>
    <row r="23662" spans="1:5" x14ac:dyDescent="0.25">
      <c r="A23662" t="str">
        <f>HYPERLINK("https://www.773grp.com/globalSearch/DTC124EM3T5G/page-1", "DTC124EM3T5G")</f>
        <v>DTC124EM3T5G</v>
      </c>
      <c r="B23662" s="3" t="str">
        <f>HYPERLINK("https://www.773grp.com/manufacturer/onsemi?pageNo=138", "ON Semiconductor")</f>
        <v>ON Semiconductor</v>
      </c>
      <c r="C23662" s="6">
        <v>3498721</v>
      </c>
      <c r="D23662" s="7">
        <v>0.1</v>
      </c>
      <c r="E23662" t="s">
        <v>69</v>
      </c>
    </row>
    <row r="23663" spans="1:5" x14ac:dyDescent="0.25">
      <c r="A23663" t="str">
        <f>HYPERLINK("https://www.773grp.com/globalSearch/DTC124XM3T5G/page-1", "DTC124XM3T5G")</f>
        <v>DTC124XM3T5G</v>
      </c>
      <c r="B23663" s="3" t="str">
        <f>HYPERLINK("https://www.773grp.com/manufacturer/onsemi?pageNo=139", "ON Semiconductor")</f>
        <v>ON Semiconductor</v>
      </c>
      <c r="C23663" s="6">
        <v>159650</v>
      </c>
      <c r="D23663" s="7">
        <v>0.1</v>
      </c>
      <c r="E23663" t="s">
        <v>69</v>
      </c>
    </row>
    <row r="23664" spans="1:5" x14ac:dyDescent="0.25">
      <c r="A23664" t="str">
        <f>HYPERLINK("https://www.773grp.com/globalSearch/DTC143E/page-1", "DTC143E")</f>
        <v>DTC143E</v>
      </c>
      <c r="B23664" s="3" t="str">
        <f>HYPERLINK("https://www.773grp.com/manufacturer/onsemi?pageNo=140", "ON Semiconductor")</f>
        <v>ON Semiconductor</v>
      </c>
      <c r="C23664" s="6">
        <v>117750</v>
      </c>
      <c r="D23664" s="7">
        <v>0.1</v>
      </c>
      <c r="E23664" t="s">
        <v>69</v>
      </c>
    </row>
    <row r="23665" spans="1:5" x14ac:dyDescent="0.25">
      <c r="A23665" t="str">
        <f>HYPERLINK("https://www.773grp.com/globalSearch/DTC143EM3T5G/page-1", "DTC143EM3T5G")</f>
        <v>DTC143EM3T5G</v>
      </c>
      <c r="B23665" s="3" t="str">
        <f>HYPERLINK("https://www.773grp.com/manufacturer/onsemi?pageNo=141", "ON Semiconductor")</f>
        <v>ON Semiconductor</v>
      </c>
      <c r="C23665" s="6">
        <v>744000</v>
      </c>
      <c r="D23665" s="7">
        <v>0.1</v>
      </c>
      <c r="E23665" t="s">
        <v>69</v>
      </c>
    </row>
    <row r="23666" spans="1:5" x14ac:dyDescent="0.25">
      <c r="A23666" t="str">
        <f>HYPERLINK("https://www.773grp.com/globalSearch/DTC143T/page-1", "DTC143T")</f>
        <v>DTC143T</v>
      </c>
      <c r="B23666" s="3" t="str">
        <f>HYPERLINK("https://www.773grp.com/manufacturer/onsemi?pageNo=142", "ON Semiconductor")</f>
        <v>ON Semiconductor</v>
      </c>
      <c r="C23666" s="6">
        <v>110000</v>
      </c>
      <c r="D23666" s="7">
        <v>0.1</v>
      </c>
      <c r="E23666" t="s">
        <v>69</v>
      </c>
    </row>
    <row r="23667" spans="1:5" x14ac:dyDescent="0.25">
      <c r="A23667" t="str">
        <f>HYPERLINK("https://www.773grp.com/globalSearch/DTC143TM3T5G/page-1", "DTC143TM3T5G")</f>
        <v>DTC143TM3T5G</v>
      </c>
      <c r="B23667" s="3" t="str">
        <f>HYPERLINK("https://www.773grp.com/manufacturer/onsemi?pageNo=143", "ON Semiconductor")</f>
        <v>ON Semiconductor</v>
      </c>
      <c r="C23667" s="6">
        <v>557454</v>
      </c>
      <c r="D23667" s="7">
        <v>0.1</v>
      </c>
      <c r="E23667" t="s">
        <v>69</v>
      </c>
    </row>
    <row r="23668" spans="1:5" x14ac:dyDescent="0.25">
      <c r="A23668" t="str">
        <f>HYPERLINK("https://www.773grp.com/globalSearch/DTC143Z/page-1", "DTC143Z")</f>
        <v>DTC143Z</v>
      </c>
      <c r="B23668" s="3" t="str">
        <f>HYPERLINK("https://www.773grp.com/manufacturer/onsemi?pageNo=144", "ON Semiconductor")</f>
        <v>ON Semiconductor</v>
      </c>
      <c r="C23668" s="6">
        <v>66000</v>
      </c>
      <c r="D23668" s="7">
        <v>0.1</v>
      </c>
      <c r="E23668" t="s">
        <v>69</v>
      </c>
    </row>
    <row r="23669" spans="1:5" x14ac:dyDescent="0.25">
      <c r="A23669" t="str">
        <f>HYPERLINK("https://www.773grp.com/globalSearch/DTC143ZM3T5G/page-1", "DTC143ZM3T5G")</f>
        <v>DTC143ZM3T5G</v>
      </c>
      <c r="B23669" s="3" t="str">
        <f>HYPERLINK("https://www.773grp.com/manufacturer/onsemi?pageNo=145", "ON Semiconductor")</f>
        <v>ON Semiconductor</v>
      </c>
      <c r="C23669" s="6">
        <v>2646288</v>
      </c>
      <c r="D23669" s="7">
        <v>0.1</v>
      </c>
      <c r="E23669" t="s">
        <v>69</v>
      </c>
    </row>
    <row r="23670" spans="1:5" x14ac:dyDescent="0.25">
      <c r="A23670" t="str">
        <f>HYPERLINK("https://www.773grp.com/globalSearch/DTC144EM3T5G/page-1", "DTC144EM3T5G")</f>
        <v>DTC144EM3T5G</v>
      </c>
      <c r="B23670" s="3" t="str">
        <f>HYPERLINK("https://www.773grp.com/manufacturer/onsemi?pageNo=146", "ON Semiconductor")</f>
        <v>ON Semiconductor</v>
      </c>
      <c r="C23670" s="6">
        <v>2568258</v>
      </c>
      <c r="D23670" s="7">
        <v>0.1</v>
      </c>
      <c r="E23670" t="s">
        <v>69</v>
      </c>
    </row>
    <row r="23671" spans="1:5" x14ac:dyDescent="0.25">
      <c r="A23671" t="str">
        <f>HYPERLINK("https://www.773grp.com/globalSearch/DTC144TM3T5G/page-1", "DTC144TM3T5G")</f>
        <v>DTC144TM3T5G</v>
      </c>
      <c r="B23671" s="3" t="str">
        <f>HYPERLINK("https://www.773grp.com/manufacturer/onsemi?pageNo=147", "ON Semiconductor")</f>
        <v>ON Semiconductor</v>
      </c>
      <c r="C23671" s="6">
        <v>190981</v>
      </c>
      <c r="D23671" s="7">
        <v>0.1</v>
      </c>
      <c r="E23671" t="s">
        <v>69</v>
      </c>
    </row>
    <row r="23672" spans="1:5" x14ac:dyDescent="0.25">
      <c r="A23672" t="str">
        <f>HYPERLINK("https://www.773grp.com/globalSearch/DTC144TT1/page-1", "DTC144TT1")</f>
        <v>DTC144TT1</v>
      </c>
      <c r="B23672" s="3" t="str">
        <f>HYPERLINK("https://www.773grp.com/manufacturer/onsemi?pageNo=148", "ON Semiconductor")</f>
        <v>ON Semiconductor</v>
      </c>
      <c r="C23672" s="6">
        <v>14980</v>
      </c>
      <c r="D23672" s="7">
        <v>0.1</v>
      </c>
      <c r="E23672" t="s">
        <v>69</v>
      </c>
    </row>
    <row r="23673" spans="1:5" x14ac:dyDescent="0.25">
      <c r="A23673" t="str">
        <f>HYPERLINK("https://www.773grp.com/globalSearch/DTC144TT1G/page-1", "DTC144TT1G")</f>
        <v>DTC144TT1G</v>
      </c>
      <c r="B23673" s="3" t="str">
        <f>HYPERLINK("https://www.773grp.com/manufacturer/onsemi?pageNo=149", "ON Semiconductor")</f>
        <v>ON Semiconductor</v>
      </c>
      <c r="C23673" s="6">
        <v>105000</v>
      </c>
      <c r="D23673" s="7">
        <v>0.1</v>
      </c>
      <c r="E23673" t="s">
        <v>69</v>
      </c>
    </row>
    <row r="23674" spans="1:5" x14ac:dyDescent="0.25">
      <c r="A23674" t="str">
        <f>HYPERLINK("https://www.773grp.com/globalSearch/DTC144WET1/page-1", "DTC144WET1")</f>
        <v>DTC144WET1</v>
      </c>
      <c r="B23674" s="3" t="str">
        <f>HYPERLINK("https://www.773grp.com/manufacturer/onsemi?pageNo=150", "ON Semiconductor")</f>
        <v>ON Semiconductor</v>
      </c>
      <c r="C23674" s="6">
        <v>3000</v>
      </c>
      <c r="D23674" s="7">
        <v>0.1</v>
      </c>
      <c r="E23674" t="s">
        <v>69</v>
      </c>
    </row>
    <row r="23675" spans="1:5" x14ac:dyDescent="0.25">
      <c r="A23675" t="str">
        <f>HYPERLINK("https://www.773grp.com/globalSearch/DTC144WM3T5G/page-1", "DTC144WM3T5G")</f>
        <v>DTC144WM3T5G</v>
      </c>
      <c r="B23675" s="3" t="str">
        <f>HYPERLINK("https://www.773grp.com/manufacturer/onsemi?pageNo=151", "ON Semiconductor")</f>
        <v>ON Semiconductor</v>
      </c>
      <c r="C23675" s="6">
        <v>549683</v>
      </c>
      <c r="D23675" s="7">
        <v>0.1</v>
      </c>
      <c r="E23675" t="s">
        <v>69</v>
      </c>
    </row>
    <row r="23676" spans="1:5" x14ac:dyDescent="0.25">
      <c r="A23676" t="str">
        <f>HYPERLINK("https://www.773grp.com/globalSearch/DTD113E/page-1", "DTD113E")</f>
        <v>DTD113E</v>
      </c>
      <c r="B23676" s="3" t="str">
        <f>HYPERLINK("https://www.773grp.com/manufacturer/onsemi?pageNo=152", "ON Semiconductor")</f>
        <v>ON Semiconductor</v>
      </c>
      <c r="C23676" s="6">
        <v>25000</v>
      </c>
      <c r="D23676" s="7">
        <v>0.1</v>
      </c>
      <c r="E23676" t="s">
        <v>69</v>
      </c>
    </row>
    <row r="23677" spans="1:5" x14ac:dyDescent="0.25">
      <c r="A23677" t="str">
        <f>HYPERLINK("https://www.773grp.com/globalSearch/HN1B01FDW1T1/page-1", "HN1B01FDW1T1")</f>
        <v>HN1B01FDW1T1</v>
      </c>
      <c r="B23677" s="3" t="str">
        <f>HYPERLINK("https://www.773grp.com/manufacturer/onsemi?pageNo=153", "ON Semiconductor")</f>
        <v>ON Semiconductor</v>
      </c>
      <c r="C23677" s="6">
        <v>17980</v>
      </c>
      <c r="D23677" s="7">
        <v>0.1</v>
      </c>
      <c r="E23677" t="s">
        <v>69</v>
      </c>
    </row>
    <row r="23678" spans="1:5" x14ac:dyDescent="0.25">
      <c r="A23678" t="str">
        <f>HYPERLINK("https://www.773grp.com/globalSearch/HN1B01FDW1T1G/page-1", "HN1B01FDW1T1G")</f>
        <v>HN1B01FDW1T1G</v>
      </c>
      <c r="B23678" s="3" t="str">
        <f>HYPERLINK("https://www.773grp.com/manufacturer/onsemi?pageNo=154", "ON Semiconductor")</f>
        <v>ON Semiconductor</v>
      </c>
      <c r="C23678" s="6">
        <v>221000</v>
      </c>
      <c r="D23678" s="7">
        <v>0.1</v>
      </c>
      <c r="E23678" t="s">
        <v>69</v>
      </c>
    </row>
    <row r="23679" spans="1:5" x14ac:dyDescent="0.25">
      <c r="A23679" t="str">
        <f>HYPERLINK("https://www.773grp.com/globalSearch/ICTE-012/page-1", "ICTE-012")</f>
        <v>ICTE-012</v>
      </c>
      <c r="B23679" s="3" t="str">
        <f>HYPERLINK("https://www.773grp.com/manufacturer/onsemi?pageNo=155", "ON Semiconductor")</f>
        <v>ON Semiconductor</v>
      </c>
      <c r="C23679" s="6">
        <v>2500</v>
      </c>
      <c r="D23679" s="7">
        <v>0.1</v>
      </c>
    </row>
    <row r="23680" spans="1:5" x14ac:dyDescent="0.25">
      <c r="A23680" t="str">
        <f>HYPERLINK("https://www.773grp.com/globalSearch/ICTE-36RL4/page-1", "ICTE-36RL4")</f>
        <v>ICTE-36RL4</v>
      </c>
      <c r="B23680" s="3" t="str">
        <f>HYPERLINK("https://www.773grp.com/manufacturer/onsemi?pageNo=156", "ON Semiconductor")</f>
        <v>ON Semiconductor</v>
      </c>
      <c r="C23680" s="6">
        <v>3000</v>
      </c>
      <c r="D23680" s="7">
        <v>0.1</v>
      </c>
      <c r="E23680" t="s">
        <v>96</v>
      </c>
    </row>
    <row r="23681" spans="1:5" x14ac:dyDescent="0.25">
      <c r="A23681" t="str">
        <f>HYPERLINK("https://www.773grp.com/globalSearch/LM8550I/page-1", "LM8550I")</f>
        <v>LM8550I</v>
      </c>
      <c r="B23681" s="3" t="str">
        <f>HYPERLINK("https://www.773grp.com/manufacturer/onsemi?pageNo=157", "ON Semiconductor")</f>
        <v>ON Semiconductor</v>
      </c>
      <c r="C23681" s="6">
        <v>69900</v>
      </c>
      <c r="D23681" s="7">
        <v>0.1</v>
      </c>
    </row>
    <row r="23682" spans="1:5" x14ac:dyDescent="0.25">
      <c r="A23682" t="str">
        <f>HYPERLINK("https://www.773grp.com/globalSearch/M1MA141KT1/page-1", "M1MA141KT1")</f>
        <v>M1MA141KT1</v>
      </c>
      <c r="B23682" s="3" t="str">
        <f>HYPERLINK("https://www.773grp.com/manufacturer/onsemi?pageNo=158", "ON Semiconductor")</f>
        <v>ON Semiconductor</v>
      </c>
      <c r="C23682" s="6">
        <v>6000</v>
      </c>
      <c r="D23682" s="7">
        <v>0.1</v>
      </c>
      <c r="E23682" t="s">
        <v>94</v>
      </c>
    </row>
    <row r="23683" spans="1:5" x14ac:dyDescent="0.25">
      <c r="A23683" t="str">
        <f>HYPERLINK("https://www.773grp.com/globalSearch/M1MA141WAT1G/page-1", "M1MA141WAT1G")</f>
        <v>M1MA141WAT1G</v>
      </c>
      <c r="B23683" s="3" t="str">
        <f>HYPERLINK("https://www.773grp.com/manufacturer/onsemi?pageNo=159", "ON Semiconductor")</f>
        <v>ON Semiconductor</v>
      </c>
      <c r="C23683" s="6">
        <v>51000</v>
      </c>
      <c r="D23683" s="7">
        <v>0.1</v>
      </c>
      <c r="E23683" t="s">
        <v>94</v>
      </c>
    </row>
    <row r="23684" spans="1:5" x14ac:dyDescent="0.25">
      <c r="A23684" t="str">
        <f>HYPERLINK("https://www.773grp.com/globalSearch/M1MA142KT1/page-1", "M1MA142KT1")</f>
        <v>M1MA142KT1</v>
      </c>
      <c r="B23684" s="3" t="str">
        <f>HYPERLINK("https://www.773grp.com/manufacturer/onsemi?pageNo=160", "ON Semiconductor")</f>
        <v>ON Semiconductor</v>
      </c>
      <c r="C23684" s="6">
        <v>138000</v>
      </c>
      <c r="D23684" s="7">
        <v>0.1</v>
      </c>
      <c r="E23684" t="s">
        <v>94</v>
      </c>
    </row>
    <row r="23685" spans="1:5" x14ac:dyDescent="0.25">
      <c r="A23685" t="str">
        <f>HYPERLINK("https://www.773grp.com/globalSearch/M1MA142WAT1G/page-1", "M1MA142WAT1G")</f>
        <v>M1MA142WAT1G</v>
      </c>
      <c r="B23685" s="3" t="str">
        <f>HYPERLINK("https://www.773grp.com/manufacturer/onsemi?pageNo=161", "ON Semiconductor")</f>
        <v>ON Semiconductor</v>
      </c>
      <c r="C23685" s="6">
        <v>79859</v>
      </c>
      <c r="D23685" s="7">
        <v>0.1</v>
      </c>
      <c r="E23685" t="s">
        <v>94</v>
      </c>
    </row>
    <row r="23686" spans="1:5" x14ac:dyDescent="0.25">
      <c r="A23686" t="str">
        <f>HYPERLINK("https://www.773grp.com/globalSearch/M1MA142WKT1G/page-1", "M1MA142WKT1G")</f>
        <v>M1MA142WKT1G</v>
      </c>
      <c r="B23686" s="3" t="str">
        <f>HYPERLINK("https://www.773grp.com/manufacturer/onsemi?pageNo=162", "ON Semiconductor")</f>
        <v>ON Semiconductor</v>
      </c>
      <c r="C23686" s="6">
        <v>491662</v>
      </c>
      <c r="D23686" s="7">
        <v>0.1</v>
      </c>
      <c r="E23686" t="s">
        <v>94</v>
      </c>
    </row>
    <row r="23687" spans="1:5" x14ac:dyDescent="0.25">
      <c r="A23687" t="str">
        <f>HYPERLINK("https://www.773grp.com/globalSearch/M1MA151AT1G/page-1", "M1MA151AT1G")</f>
        <v>M1MA151AT1G</v>
      </c>
      <c r="B23687" s="3" t="str">
        <f>HYPERLINK("https://www.773grp.com/manufacturer/onsemi?pageNo=163", "ON Semiconductor")</f>
        <v>ON Semiconductor</v>
      </c>
      <c r="C23687" s="6">
        <v>713752</v>
      </c>
      <c r="D23687" s="7">
        <v>0.1</v>
      </c>
      <c r="E23687" t="s">
        <v>94</v>
      </c>
    </row>
    <row r="23688" spans="1:5" x14ac:dyDescent="0.25">
      <c r="A23688" t="str">
        <f>HYPERLINK("https://www.773grp.com/globalSearch/M1MA151KT1/page-1", "M1MA151KT1")</f>
        <v>M1MA151KT1</v>
      </c>
      <c r="B23688" s="3" t="str">
        <f>HYPERLINK("https://www.773grp.com/manufacturer/onsemi?pageNo=164", "ON Semiconductor")</f>
        <v>ON Semiconductor</v>
      </c>
      <c r="C23688" s="6">
        <v>63000</v>
      </c>
      <c r="D23688" s="7">
        <v>0.1</v>
      </c>
      <c r="E23688" t="s">
        <v>94</v>
      </c>
    </row>
    <row r="23689" spans="1:5" x14ac:dyDescent="0.25">
      <c r="A23689" t="str">
        <f>HYPERLINK("https://www.773grp.com/globalSearch/M1MA151KT2/page-1", "M1MA151KT2")</f>
        <v>M1MA151KT2</v>
      </c>
      <c r="B23689" s="3" t="str">
        <f>HYPERLINK("https://www.773grp.com/manufacturer/onsemi?pageNo=165", "ON Semiconductor")</f>
        <v>ON Semiconductor</v>
      </c>
      <c r="C23689" s="6">
        <v>153000</v>
      </c>
      <c r="D23689" s="7">
        <v>0.1</v>
      </c>
      <c r="E23689" t="s">
        <v>94</v>
      </c>
    </row>
    <row r="23690" spans="1:5" x14ac:dyDescent="0.25">
      <c r="A23690" t="str">
        <f>HYPERLINK("https://www.773grp.com/globalSearch/M1MA151WAT1/page-1", "M1MA151WAT1")</f>
        <v>M1MA151WAT1</v>
      </c>
      <c r="B23690" s="3" t="str">
        <f>HYPERLINK("https://www.773grp.com/manufacturer/onsemi?pageNo=166", "ON Semiconductor")</f>
        <v>ON Semiconductor</v>
      </c>
      <c r="C23690" s="6">
        <v>177000</v>
      </c>
      <c r="D23690" s="7">
        <v>0.1</v>
      </c>
      <c r="E23690" t="s">
        <v>94</v>
      </c>
    </row>
    <row r="23691" spans="1:5" x14ac:dyDescent="0.25">
      <c r="A23691" t="str">
        <f>HYPERLINK("https://www.773grp.com/globalSearch/M1MA151WAT2/page-1", "M1MA151WAT2")</f>
        <v>M1MA151WAT2</v>
      </c>
      <c r="B23691" s="3" t="str">
        <f>HYPERLINK("https://www.773grp.com/manufacturer/onsemi?pageNo=167", "ON Semiconductor")</f>
        <v>ON Semiconductor</v>
      </c>
      <c r="C23691" s="6">
        <v>96000</v>
      </c>
      <c r="D23691" s="7">
        <v>0.1</v>
      </c>
    </row>
    <row r="23692" spans="1:5" x14ac:dyDescent="0.25">
      <c r="A23692" t="str">
        <f>HYPERLINK("https://www.773grp.com/globalSearch/M1MA151WKT2/page-1", "M1MA151WKT2")</f>
        <v>M1MA151WKT2</v>
      </c>
      <c r="B23692" s="3" t="str">
        <f>HYPERLINK("https://www.773grp.com/manufacturer/onsemi?pageNo=168", "ON Semiconductor")</f>
        <v>ON Semiconductor</v>
      </c>
      <c r="C23692" s="6">
        <v>93000</v>
      </c>
      <c r="D23692" s="7">
        <v>0.1</v>
      </c>
      <c r="E23692" t="s">
        <v>94</v>
      </c>
    </row>
    <row r="23693" spans="1:5" x14ac:dyDescent="0.25">
      <c r="A23693" t="str">
        <f>HYPERLINK("https://www.773grp.com/globalSearch/M1MA152AT1G/page-1", "M1MA152AT1G")</f>
        <v>M1MA152AT1G</v>
      </c>
      <c r="B23693" s="3" t="str">
        <f>HYPERLINK("https://www.773grp.com/manufacturer/onsemi?pageNo=169", "ON Semiconductor")</f>
        <v>ON Semiconductor</v>
      </c>
      <c r="C23693" s="6">
        <v>147000</v>
      </c>
      <c r="D23693" s="7">
        <v>0.1</v>
      </c>
      <c r="E23693" t="s">
        <v>94</v>
      </c>
    </row>
    <row r="23694" spans="1:5" x14ac:dyDescent="0.25">
      <c r="A23694" t="str">
        <f>HYPERLINK("https://www.773grp.com/globalSearch/M1MA152KT1/page-1", "M1MA152KT1")</f>
        <v>M1MA152KT1</v>
      </c>
      <c r="B23694" s="3" t="str">
        <f>HYPERLINK("https://www.773grp.com/manufacturer/onsemi?pageNo=170", "ON Semiconductor")</f>
        <v>ON Semiconductor</v>
      </c>
      <c r="C23694" s="6">
        <v>27000</v>
      </c>
      <c r="D23694" s="7">
        <v>0.1</v>
      </c>
      <c r="E23694" t="s">
        <v>94</v>
      </c>
    </row>
    <row r="23695" spans="1:5" x14ac:dyDescent="0.25">
      <c r="A23695" t="str">
        <f>HYPERLINK("https://www.773grp.com/globalSearch/M1MA152WAT1/page-1", "M1MA152WAT1")</f>
        <v>M1MA152WAT1</v>
      </c>
      <c r="B23695" s="3" t="str">
        <f>HYPERLINK("https://www.773grp.com/manufacturer/onsemi?pageNo=171", "ON Semiconductor")</f>
        <v>ON Semiconductor</v>
      </c>
      <c r="C23695" s="6">
        <v>69000</v>
      </c>
      <c r="D23695" s="7">
        <v>0.1</v>
      </c>
      <c r="E23695" t="s">
        <v>94</v>
      </c>
    </row>
    <row r="23696" spans="1:5" x14ac:dyDescent="0.25">
      <c r="A23696" t="str">
        <f>HYPERLINK("https://www.773grp.com/globalSearch/M1MA152WKT1/page-1", "M1MA152WKT1")</f>
        <v>M1MA152WKT1</v>
      </c>
      <c r="B23696" s="3" t="str">
        <f>HYPERLINK("https://www.773grp.com/manufacturer/onsemi?pageNo=172", "ON Semiconductor")</f>
        <v>ON Semiconductor</v>
      </c>
      <c r="C23696" s="6">
        <v>88000</v>
      </c>
      <c r="D23696" s="7">
        <v>0.1</v>
      </c>
      <c r="E23696" t="s">
        <v>94</v>
      </c>
    </row>
    <row r="23697" spans="1:5" x14ac:dyDescent="0.25">
      <c r="A23697" t="str">
        <f>HYPERLINK("https://www.773grp.com/globalSearch/M1MA174T1G/page-1", "M1MA174T1G")</f>
        <v>M1MA174T1G</v>
      </c>
      <c r="B23697" s="3" t="str">
        <f>HYPERLINK("https://www.773grp.com/manufacturer/onsemi?pageNo=173", "ON Semiconductor")</f>
        <v>ON Semiconductor</v>
      </c>
      <c r="C23697" s="6">
        <v>209500</v>
      </c>
      <c r="D23697" s="7">
        <v>0.1</v>
      </c>
      <c r="E23697" t="s">
        <v>94</v>
      </c>
    </row>
    <row r="23698" spans="1:5" x14ac:dyDescent="0.25">
      <c r="A23698" t="str">
        <f>HYPERLINK("https://www.773grp.com/globalSearch/MBT2222ADW1T/page-1", "MBT2222ADW1T")</f>
        <v>MBT2222ADW1T</v>
      </c>
      <c r="B23698" s="3" t="str">
        <f>HYPERLINK("https://www.773grp.com/manufacturer/onsemi?pageNo=174", "ON Semiconductor")</f>
        <v>ON Semiconductor</v>
      </c>
      <c r="C23698" s="6">
        <v>30000</v>
      </c>
      <c r="D23698" s="7">
        <v>0.1</v>
      </c>
    </row>
    <row r="23699" spans="1:5" x14ac:dyDescent="0.25">
      <c r="A23699" t="str">
        <f>HYPERLINK("https://www.773grp.com/globalSearch/MBT2222ADW1T1/page-1", "MBT2222ADW1T1")</f>
        <v>MBT2222ADW1T1</v>
      </c>
      <c r="B23699" s="3" t="str">
        <f>HYPERLINK("https://www.773grp.com/manufacturer/onsemi?pageNo=175", "ON Semiconductor")</f>
        <v>ON Semiconductor</v>
      </c>
      <c r="C23699" s="6">
        <v>65819</v>
      </c>
      <c r="D23699" s="7">
        <v>0.1</v>
      </c>
      <c r="E23699" t="s">
        <v>69</v>
      </c>
    </row>
    <row r="23700" spans="1:5" x14ac:dyDescent="0.25">
      <c r="A23700" t="str">
        <f>HYPERLINK("https://www.773grp.com/globalSearch/MBT3906DW1T3/page-1", "MBT3906DW1T3")</f>
        <v>MBT3906DW1T3</v>
      </c>
      <c r="B23700" s="3" t="str">
        <f>HYPERLINK("https://www.773grp.com/manufacturer/onsemi?pageNo=176", "ON Semiconductor")</f>
        <v>ON Semiconductor</v>
      </c>
      <c r="C23700" s="6">
        <v>50000</v>
      </c>
      <c r="D23700" s="7">
        <v>0.1</v>
      </c>
      <c r="E23700" t="s">
        <v>69</v>
      </c>
    </row>
    <row r="23701" spans="1:5" x14ac:dyDescent="0.25">
      <c r="A23701" t="str">
        <f>HYPERLINK("https://www.773grp.com/globalSearch/MBT6429DW1T1/page-1", "MBT6429DW1T1")</f>
        <v>MBT6429DW1T1</v>
      </c>
      <c r="B23701" s="3" t="str">
        <f>HYPERLINK("https://www.773grp.com/manufacturer/onsemi?pageNo=177", "ON Semiconductor")</f>
        <v>ON Semiconductor</v>
      </c>
      <c r="C23701" s="6">
        <v>116970</v>
      </c>
      <c r="D23701" s="7">
        <v>0.1</v>
      </c>
      <c r="E23701" t="s">
        <v>69</v>
      </c>
    </row>
    <row r="23702" spans="1:5" x14ac:dyDescent="0.25">
      <c r="A23702" t="str">
        <f>HYPERLINK("https://www.773grp.com/globalSearch/MM3Z10VST1/page-1", "MM3Z10VST1")</f>
        <v>MM3Z10VST1</v>
      </c>
      <c r="B23702" s="3" t="str">
        <f>HYPERLINK("https://www.773grp.com/manufacturer/onsemi?pageNo=178", "ON Semiconductor")</f>
        <v>ON Semiconductor</v>
      </c>
      <c r="C23702" s="6">
        <v>3000</v>
      </c>
      <c r="D23702" s="7">
        <v>0.1</v>
      </c>
      <c r="E23702" t="s">
        <v>98</v>
      </c>
    </row>
    <row r="23703" spans="1:5" x14ac:dyDescent="0.25">
      <c r="A23703" t="str">
        <f>HYPERLINK("https://www.773grp.com/globalSearch/MM3Z10VT1G/page-1", "MM3Z10VT1G")</f>
        <v>MM3Z10VT1G</v>
      </c>
      <c r="B23703" s="3" t="str">
        <f>HYPERLINK("https://www.773grp.com/manufacturer/onsemi?pageNo=179", "ON Semiconductor")</f>
        <v>ON Semiconductor</v>
      </c>
      <c r="C23703" s="6">
        <v>403755</v>
      </c>
      <c r="D23703" s="7">
        <v>0.1</v>
      </c>
      <c r="E23703" t="s">
        <v>98</v>
      </c>
    </row>
    <row r="23704" spans="1:5" x14ac:dyDescent="0.25">
      <c r="A23704" t="str">
        <f>HYPERLINK("https://www.773grp.com/globalSearch/MM3Z11VST1/page-1", "MM3Z11VST1")</f>
        <v>MM3Z11VST1</v>
      </c>
      <c r="B23704" s="3" t="str">
        <f>HYPERLINK("https://www.773grp.com/manufacturer/onsemi?pageNo=180", "ON Semiconductor")</f>
        <v>ON Semiconductor</v>
      </c>
      <c r="C23704" s="6">
        <v>3000</v>
      </c>
      <c r="D23704" s="7">
        <v>0.1</v>
      </c>
      <c r="E23704" t="s">
        <v>98</v>
      </c>
    </row>
    <row r="23705" spans="1:5" x14ac:dyDescent="0.25">
      <c r="A23705" t="str">
        <f>HYPERLINK("https://www.773grp.com/globalSearch/MM3Z12VST1/page-1", "MM3Z12VST1")</f>
        <v>MM3Z12VST1</v>
      </c>
      <c r="B23705" s="3" t="str">
        <f>HYPERLINK("https://www.773grp.com/manufacturer/onsemi?pageNo=181", "ON Semiconductor")</f>
        <v>ON Semiconductor</v>
      </c>
      <c r="C23705" s="6">
        <v>30000</v>
      </c>
      <c r="D23705" s="7">
        <v>0.1</v>
      </c>
      <c r="E23705" t="s">
        <v>98</v>
      </c>
    </row>
    <row r="23706" spans="1:5" x14ac:dyDescent="0.25">
      <c r="A23706" t="str">
        <f>HYPERLINK("https://www.773grp.com/globalSearch/MM3Z12VT1G/page-1", "MM3Z12VT1G")</f>
        <v>MM3Z12VT1G</v>
      </c>
      <c r="B23706" s="3" t="str">
        <f>HYPERLINK("https://www.773grp.com/manufacturer/onsemi?pageNo=182", "ON Semiconductor")</f>
        <v>ON Semiconductor</v>
      </c>
      <c r="C23706" s="6">
        <v>350470</v>
      </c>
      <c r="D23706" s="7">
        <v>0.1</v>
      </c>
      <c r="E23706" t="s">
        <v>98</v>
      </c>
    </row>
    <row r="23707" spans="1:5" x14ac:dyDescent="0.25">
      <c r="A23707" t="str">
        <f>HYPERLINK("https://www.773grp.com/globalSearch/MM3Z15VT1G/page-1", "MM3Z15VT1G")</f>
        <v>MM3Z15VT1G</v>
      </c>
      <c r="B23707" s="3" t="str">
        <f>HYPERLINK("https://www.773grp.com/manufacturer/onsemi?pageNo=183", "ON Semiconductor")</f>
        <v>ON Semiconductor</v>
      </c>
      <c r="C23707" s="6">
        <v>270000</v>
      </c>
      <c r="D23707" s="7">
        <v>0.1</v>
      </c>
      <c r="E23707" t="s">
        <v>98</v>
      </c>
    </row>
    <row r="23708" spans="1:5" x14ac:dyDescent="0.25">
      <c r="A23708" t="str">
        <f>HYPERLINK("https://www.773grp.com/globalSearch/MM3Z16VST1/page-1", "MM3Z16VST1")</f>
        <v>MM3Z16VST1</v>
      </c>
      <c r="B23708" s="3" t="str">
        <f>HYPERLINK("https://www.773grp.com/manufacturer/onsemi?pageNo=184", "ON Semiconductor")</f>
        <v>ON Semiconductor</v>
      </c>
      <c r="C23708" s="6">
        <v>12000</v>
      </c>
      <c r="D23708" s="7">
        <v>0.1</v>
      </c>
      <c r="E23708" t="s">
        <v>98</v>
      </c>
    </row>
    <row r="23709" spans="1:5" x14ac:dyDescent="0.25">
      <c r="A23709" t="str">
        <f>HYPERLINK("https://www.773grp.com/globalSearch/MM3Z16VT1G/page-1", "MM3Z16VT1G")</f>
        <v>MM3Z16VT1G</v>
      </c>
      <c r="B23709" s="3" t="str">
        <f>HYPERLINK("https://www.773grp.com/manufacturer/onsemi?pageNo=185", "ON Semiconductor")</f>
        <v>ON Semiconductor</v>
      </c>
      <c r="C23709" s="6">
        <v>860500</v>
      </c>
      <c r="D23709" s="7">
        <v>0.1</v>
      </c>
      <c r="E23709" t="s">
        <v>98</v>
      </c>
    </row>
    <row r="23710" spans="1:5" x14ac:dyDescent="0.25">
      <c r="A23710" t="str">
        <f>HYPERLINK("https://www.773grp.com/globalSearch/MM3Z20VT1/page-1", "MM3Z20VT1")</f>
        <v>MM3Z20VT1</v>
      </c>
      <c r="B23710" s="3" t="str">
        <f>HYPERLINK("https://www.773grp.com/manufacturer/onsemi?pageNo=186", "ON Semiconductor")</f>
        <v>ON Semiconductor</v>
      </c>
      <c r="C23710" s="6">
        <v>9000</v>
      </c>
      <c r="D23710" s="7">
        <v>0.1</v>
      </c>
      <c r="E23710" t="s">
        <v>98</v>
      </c>
    </row>
    <row r="23711" spans="1:5" x14ac:dyDescent="0.25">
      <c r="A23711" t="str">
        <f>HYPERLINK("https://www.773grp.com/globalSearch/MM3Z20VT1G/page-1", "MM3Z20VT1G")</f>
        <v>MM3Z20VT1G</v>
      </c>
      <c r="B23711" s="3" t="str">
        <f>HYPERLINK("https://www.773grp.com/manufacturer/onsemi?pageNo=187", "ON Semiconductor")</f>
        <v>ON Semiconductor</v>
      </c>
      <c r="C23711" s="6">
        <v>261000</v>
      </c>
      <c r="D23711" s="7">
        <v>0.1</v>
      </c>
      <c r="E23711" t="s">
        <v>98</v>
      </c>
    </row>
    <row r="23712" spans="1:5" x14ac:dyDescent="0.25">
      <c r="A23712" t="str">
        <f>HYPERLINK("https://www.773grp.com/globalSearch/MM3Z22VT1/page-1", "MM3Z22VT1")</f>
        <v>MM3Z22VT1</v>
      </c>
      <c r="B23712" s="3" t="str">
        <f>HYPERLINK("https://www.773grp.com/manufacturer/onsemi?pageNo=188", "ON Semiconductor")</f>
        <v>ON Semiconductor</v>
      </c>
      <c r="C23712" s="6">
        <v>30000</v>
      </c>
      <c r="D23712" s="7">
        <v>0.1</v>
      </c>
      <c r="E23712" t="s">
        <v>98</v>
      </c>
    </row>
    <row r="23713" spans="1:5" x14ac:dyDescent="0.25">
      <c r="A23713" t="str">
        <f>HYPERLINK("https://www.773grp.com/globalSearch/MM3Z22VT1G/page-1", "MM3Z22VT1G")</f>
        <v>MM3Z22VT1G</v>
      </c>
      <c r="B23713" s="3" t="str">
        <f>HYPERLINK("https://www.773grp.com/manufacturer/onsemi?pageNo=189", "ON Semiconductor")</f>
        <v>ON Semiconductor</v>
      </c>
      <c r="C23713" s="6">
        <v>977885</v>
      </c>
      <c r="D23713" s="7">
        <v>0.1</v>
      </c>
      <c r="E23713" t="s">
        <v>98</v>
      </c>
    </row>
    <row r="23714" spans="1:5" x14ac:dyDescent="0.25">
      <c r="A23714" t="str">
        <f>HYPERLINK("https://www.773grp.com/globalSearch/MM3Z24VT1G/page-1", "MM3Z24VT1G")</f>
        <v>MM3Z24VT1G</v>
      </c>
      <c r="B23714" s="3" t="str">
        <f>HYPERLINK("https://www.773grp.com/manufacturer/onsemi?pageNo=190", "ON Semiconductor")</f>
        <v>ON Semiconductor</v>
      </c>
      <c r="C23714" s="6">
        <v>239725</v>
      </c>
      <c r="D23714" s="7">
        <v>0.1</v>
      </c>
      <c r="E23714" t="s">
        <v>98</v>
      </c>
    </row>
    <row r="23715" spans="1:5" x14ac:dyDescent="0.25">
      <c r="A23715" t="str">
        <f>HYPERLINK("https://www.773grp.com/globalSearch/MM3Z27VT1G/page-1", "MM3Z27VT1G")</f>
        <v>MM3Z27VT1G</v>
      </c>
      <c r="B23715" s="3" t="str">
        <f>HYPERLINK("https://www.773grp.com/manufacturer/onsemi?pageNo=191", "ON Semiconductor")</f>
        <v>ON Semiconductor</v>
      </c>
      <c r="C23715" s="6">
        <v>757202</v>
      </c>
      <c r="D23715" s="7">
        <v>0.1</v>
      </c>
      <c r="E23715" t="s">
        <v>98</v>
      </c>
    </row>
    <row r="23716" spans="1:5" x14ac:dyDescent="0.25">
      <c r="A23716" t="str">
        <f>HYPERLINK("https://www.773grp.com/globalSearch/MM3Z2V7ST1/page-1", "MM3Z2V7ST1")</f>
        <v>MM3Z2V7ST1</v>
      </c>
      <c r="B23716" s="3" t="str">
        <f>HYPERLINK("https://www.773grp.com/manufacturer/onsemi?pageNo=192", "ON Semiconductor")</f>
        <v>ON Semiconductor</v>
      </c>
      <c r="C23716" s="6">
        <v>32762</v>
      </c>
      <c r="D23716" s="7">
        <v>0.1</v>
      </c>
      <c r="E23716" t="s">
        <v>98</v>
      </c>
    </row>
    <row r="23717" spans="1:5" x14ac:dyDescent="0.25">
      <c r="A23717" t="str">
        <f>HYPERLINK("https://www.773grp.com/globalSearch/MM3Z30VT1G/page-1", "MM3Z30VT1G")</f>
        <v>MM3Z30VT1G</v>
      </c>
      <c r="B23717" s="3" t="str">
        <f>HYPERLINK("https://www.773grp.com/manufacturer/onsemi?pageNo=193", "ON Semiconductor")</f>
        <v>ON Semiconductor</v>
      </c>
      <c r="C23717" s="6">
        <v>63000</v>
      </c>
      <c r="D23717" s="7">
        <v>0.1</v>
      </c>
      <c r="E23717" t="s">
        <v>98</v>
      </c>
    </row>
    <row r="23718" spans="1:5" x14ac:dyDescent="0.25">
      <c r="A23718" t="str">
        <f>HYPERLINK("https://www.773grp.com/globalSearch/MM3Z33VT1G/page-1", "MM3Z33VT1G")</f>
        <v>MM3Z33VT1G</v>
      </c>
      <c r="B23718" s="3" t="str">
        <f>HYPERLINK("https://www.773grp.com/manufacturer/onsemi?pageNo=194", "ON Semiconductor")</f>
        <v>ON Semiconductor</v>
      </c>
      <c r="C23718" s="6">
        <v>175233</v>
      </c>
      <c r="D23718" s="7">
        <v>0.1</v>
      </c>
      <c r="E23718" t="s">
        <v>98</v>
      </c>
    </row>
    <row r="23719" spans="1:5" x14ac:dyDescent="0.25">
      <c r="A23719" t="str">
        <f>HYPERLINK("https://www.773grp.com/globalSearch/MM3Z3V0T1G/page-1", "MM3Z3V0T1G")</f>
        <v>MM3Z3V0T1G</v>
      </c>
      <c r="B23719" s="3" t="str">
        <f>HYPERLINK("https://www.773grp.com/manufacturer/onsemi?pageNo=195", "ON Semiconductor")</f>
        <v>ON Semiconductor</v>
      </c>
      <c r="C23719" s="6">
        <v>593860</v>
      </c>
      <c r="D23719" s="7">
        <v>0.1</v>
      </c>
      <c r="E23719" t="s">
        <v>98</v>
      </c>
    </row>
    <row r="23720" spans="1:5" x14ac:dyDescent="0.25">
      <c r="A23720" t="str">
        <f>HYPERLINK("https://www.773grp.com/globalSearch/MM3Z3V3ST1/page-1", "MM3Z3V3ST1")</f>
        <v>MM3Z3V3ST1</v>
      </c>
      <c r="B23720" s="3" t="str">
        <f>HYPERLINK("https://www.773grp.com/manufacturer/onsemi?pageNo=196", "ON Semiconductor")</f>
        <v>ON Semiconductor</v>
      </c>
      <c r="C23720" s="6">
        <v>2662</v>
      </c>
      <c r="D23720" s="7">
        <v>0.1</v>
      </c>
      <c r="E23720" t="s">
        <v>98</v>
      </c>
    </row>
    <row r="23721" spans="1:5" x14ac:dyDescent="0.25">
      <c r="A23721" t="str">
        <f>HYPERLINK("https://www.773grp.com/globalSearch/MM3Z3V3T1/page-1", "MM3Z3V3T1")</f>
        <v>MM3Z3V3T1</v>
      </c>
      <c r="B23721" s="3" t="str">
        <f>HYPERLINK("https://www.773grp.com/manufacturer/onsemi?pageNo=197", "ON Semiconductor")</f>
        <v>ON Semiconductor</v>
      </c>
      <c r="C23721" s="6">
        <v>15000</v>
      </c>
      <c r="D23721" s="7">
        <v>0.1</v>
      </c>
      <c r="E23721" t="s">
        <v>98</v>
      </c>
    </row>
    <row r="23722" spans="1:5" x14ac:dyDescent="0.25">
      <c r="A23722" t="str">
        <f>HYPERLINK("https://www.773grp.com/globalSearch/MM3Z3V3TT1/page-1", "MM3Z3V3TT1")</f>
        <v>MM3Z3V3TT1</v>
      </c>
      <c r="B23722" s="3" t="str">
        <f>HYPERLINK("https://www.773grp.com/manufacturer/onsemi?pageNo=198", "ON Semiconductor")</f>
        <v>ON Semiconductor</v>
      </c>
      <c r="C23722" s="6">
        <v>90000</v>
      </c>
      <c r="D23722" s="7">
        <v>0.1</v>
      </c>
      <c r="E23722" t="s">
        <v>98</v>
      </c>
    </row>
    <row r="23723" spans="1:5" x14ac:dyDescent="0.25">
      <c r="A23723" t="str">
        <f>HYPERLINK("https://www.773grp.com/globalSearch/MM3Z3V3TT1G/page-1", "MM3Z3V3TT1G")</f>
        <v>MM3Z3V3TT1G</v>
      </c>
      <c r="B23723" s="3" t="str">
        <f>HYPERLINK("https://www.773grp.com/manufacturer/onsemi?pageNo=199", "ON Semiconductor")</f>
        <v>ON Semiconductor</v>
      </c>
      <c r="C23723" s="6">
        <v>687000</v>
      </c>
      <c r="D23723" s="7">
        <v>0.1</v>
      </c>
      <c r="E23723" t="s">
        <v>98</v>
      </c>
    </row>
    <row r="23724" spans="1:5" x14ac:dyDescent="0.25">
      <c r="A23724" t="str">
        <f>HYPERLINK("https://www.773grp.com/globalSearch/MM3Z3V6ST1/page-1", "MM3Z3V6ST1")</f>
        <v>MM3Z3V6ST1</v>
      </c>
      <c r="B23724" s="3" t="str">
        <f>HYPERLINK("https://www.773grp.com/manufacturer/onsemi?pageNo=200", "ON Semiconductor")</f>
        <v>ON Semiconductor</v>
      </c>
      <c r="C23724" s="6">
        <v>41737</v>
      </c>
      <c r="D23724" s="7">
        <v>0.1</v>
      </c>
      <c r="E23724" t="s">
        <v>98</v>
      </c>
    </row>
    <row r="23725" spans="1:5" x14ac:dyDescent="0.25">
      <c r="A23725" t="str">
        <f>HYPERLINK("https://www.773grp.com/globalSearch/MM3Z3V6ST1G/page-1", "MM3Z3V6ST1G")</f>
        <v>MM3Z3V6ST1G</v>
      </c>
      <c r="B23725" s="3" t="str">
        <f>HYPERLINK("https://www.773grp.com/manufacturer/onsemi?pageNo=201", "ON Semiconductor")</f>
        <v>ON Semiconductor</v>
      </c>
      <c r="C23725" s="6">
        <v>198000</v>
      </c>
      <c r="D23725" s="7">
        <v>0.1</v>
      </c>
      <c r="E23725" t="s">
        <v>98</v>
      </c>
    </row>
    <row r="23726" spans="1:5" x14ac:dyDescent="0.25">
      <c r="A23726" t="str">
        <f>HYPERLINK("https://www.773grp.com/globalSearch/MM3Z3V9ST1/page-1", "MM3Z3V9ST1")</f>
        <v>MM3Z3V9ST1</v>
      </c>
      <c r="B23726" s="3" t="str">
        <f>HYPERLINK("https://www.773grp.com/manufacturer/onsemi?pageNo=202", "ON Semiconductor")</f>
        <v>ON Semiconductor</v>
      </c>
      <c r="C23726" s="6">
        <v>131728</v>
      </c>
      <c r="D23726" s="7">
        <v>0.1</v>
      </c>
      <c r="E23726" t="s">
        <v>98</v>
      </c>
    </row>
    <row r="23727" spans="1:5" x14ac:dyDescent="0.25">
      <c r="A23727" t="str">
        <f>HYPERLINK("https://www.773grp.com/globalSearch/MM3Z3V9T1G/page-1", "MM3Z3V9T1G")</f>
        <v>MM3Z3V9T1G</v>
      </c>
      <c r="B23727" s="3" t="str">
        <f>HYPERLINK("https://www.773grp.com/manufacturer/onsemi?pageNo=203", "ON Semiconductor")</f>
        <v>ON Semiconductor</v>
      </c>
      <c r="C23727" s="6">
        <v>583200</v>
      </c>
      <c r="D23727" s="7">
        <v>0.1</v>
      </c>
      <c r="E23727" t="s">
        <v>98</v>
      </c>
    </row>
    <row r="23728" spans="1:5" x14ac:dyDescent="0.25">
      <c r="A23728" t="str">
        <f>HYPERLINK("https://www.773grp.com/globalSearch/MM3Z4V3ST1/page-1", "MM3Z4V3ST1")</f>
        <v>MM3Z4V3ST1</v>
      </c>
      <c r="B23728" s="3" t="str">
        <f>HYPERLINK("https://www.773grp.com/manufacturer/onsemi?pageNo=204", "ON Semiconductor")</f>
        <v>ON Semiconductor</v>
      </c>
      <c r="C23728" s="6">
        <v>32727</v>
      </c>
      <c r="D23728" s="7">
        <v>0.1</v>
      </c>
      <c r="E23728" t="s">
        <v>98</v>
      </c>
    </row>
    <row r="23729" spans="1:5" x14ac:dyDescent="0.25">
      <c r="A23729" t="str">
        <f>HYPERLINK("https://www.773grp.com/globalSearch/MM3Z4V3T1/page-1", "MM3Z4V3T1")</f>
        <v>MM3Z4V3T1</v>
      </c>
      <c r="B23729" s="3" t="str">
        <f>HYPERLINK("https://www.773grp.com/manufacturer/onsemi?pageNo=205", "ON Semiconductor")</f>
        <v>ON Semiconductor</v>
      </c>
      <c r="C23729" s="6">
        <v>2640</v>
      </c>
      <c r="D23729" s="7">
        <v>0.1</v>
      </c>
      <c r="E23729" t="s">
        <v>98</v>
      </c>
    </row>
    <row r="23730" spans="1:5" x14ac:dyDescent="0.25">
      <c r="A23730" t="str">
        <f>HYPERLINK("https://www.773grp.com/globalSearch/MM3Z4V3T1G/page-1", "MM3Z4V3T1G")</f>
        <v>MM3Z4V3T1G</v>
      </c>
      <c r="B23730" s="3" t="str">
        <f>HYPERLINK("https://www.773grp.com/manufacturer/onsemi?pageNo=206", "ON Semiconductor")</f>
        <v>ON Semiconductor</v>
      </c>
      <c r="C23730" s="6">
        <v>230940</v>
      </c>
      <c r="D23730" s="7">
        <v>0.1</v>
      </c>
      <c r="E23730" t="s">
        <v>98</v>
      </c>
    </row>
    <row r="23731" spans="1:5" x14ac:dyDescent="0.25">
      <c r="A23731" t="str">
        <f>HYPERLINK("https://www.773grp.com/globalSearch/MM3Z4V7ST1/page-1", "MM3Z4V7ST1")</f>
        <v>MM3Z4V7ST1</v>
      </c>
      <c r="B23731" s="3" t="str">
        <f>HYPERLINK("https://www.773grp.com/manufacturer/onsemi?pageNo=207", "ON Semiconductor")</f>
        <v>ON Semiconductor</v>
      </c>
      <c r="C23731" s="6">
        <v>11696</v>
      </c>
      <c r="D23731" s="7">
        <v>0.1</v>
      </c>
      <c r="E23731" t="s">
        <v>98</v>
      </c>
    </row>
    <row r="23732" spans="1:5" x14ac:dyDescent="0.25">
      <c r="A23732" t="str">
        <f>HYPERLINK("https://www.773grp.com/globalSearch/MM3Z4V7T1G/page-1", "MM3Z4V7T1G")</f>
        <v>MM3Z4V7T1G</v>
      </c>
      <c r="B23732" s="3" t="str">
        <f>HYPERLINK("https://www.773grp.com/manufacturer/onsemi?pageNo=208", "ON Semiconductor")</f>
        <v>ON Semiconductor</v>
      </c>
      <c r="C23732" s="6">
        <v>242017</v>
      </c>
      <c r="D23732" s="7">
        <v>0.1</v>
      </c>
      <c r="E23732" t="s">
        <v>98</v>
      </c>
    </row>
    <row r="23733" spans="1:5" x14ac:dyDescent="0.25">
      <c r="A23733" t="str">
        <f>HYPERLINK("https://www.773grp.com/globalSearch/MM3Z51VT1/page-1", "MM3Z51VT1")</f>
        <v>MM3Z51VT1</v>
      </c>
      <c r="B23733" s="3" t="str">
        <f>HYPERLINK("https://www.773grp.com/manufacturer/onsemi?pageNo=209", "ON Semiconductor")</f>
        <v>ON Semiconductor</v>
      </c>
      <c r="C23733" s="6">
        <v>15000</v>
      </c>
      <c r="D23733" s="7">
        <v>0.1</v>
      </c>
      <c r="E23733" t="s">
        <v>98</v>
      </c>
    </row>
    <row r="23734" spans="1:5" x14ac:dyDescent="0.25">
      <c r="A23734" t="str">
        <f>HYPERLINK("https://www.773grp.com/globalSearch/MM3Z56VT1/page-1", "MM3Z56VT1")</f>
        <v>MM3Z56VT1</v>
      </c>
      <c r="B23734" s="3" t="str">
        <f>HYPERLINK("https://www.773grp.com/manufacturer/onsemi?pageNo=210", "ON Semiconductor")</f>
        <v>ON Semiconductor</v>
      </c>
      <c r="C23734" s="6">
        <v>57000</v>
      </c>
      <c r="D23734" s="7">
        <v>0.1</v>
      </c>
      <c r="E23734" t="s">
        <v>98</v>
      </c>
    </row>
    <row r="23735" spans="1:5" x14ac:dyDescent="0.25">
      <c r="A23735" t="str">
        <f>HYPERLINK("https://www.773grp.com/globalSearch/MM3Z5V1ST1/page-1", "MM3Z5V1ST1")</f>
        <v>MM3Z5V1ST1</v>
      </c>
      <c r="B23735" s="3" t="str">
        <f>HYPERLINK("https://www.773grp.com/manufacturer/onsemi?pageNo=211", "ON Semiconductor")</f>
        <v>ON Semiconductor</v>
      </c>
      <c r="C23735" s="6">
        <v>50447</v>
      </c>
      <c r="D23735" s="7">
        <v>0.1</v>
      </c>
      <c r="E23735" t="s">
        <v>98</v>
      </c>
    </row>
    <row r="23736" spans="1:5" x14ac:dyDescent="0.25">
      <c r="A23736" t="str">
        <f>HYPERLINK("https://www.773grp.com/globalSearch/MM3Z5V1T1/page-1", "MM3Z5V1T1")</f>
        <v>MM3Z5V1T1</v>
      </c>
      <c r="B23736" s="3" t="str">
        <f>HYPERLINK("https://www.773grp.com/manufacturer/onsemi?pageNo=212", "ON Semiconductor")</f>
        <v>ON Semiconductor</v>
      </c>
      <c r="C23736" s="6">
        <v>32401</v>
      </c>
      <c r="D23736" s="7">
        <v>0.1</v>
      </c>
      <c r="E23736" t="s">
        <v>98</v>
      </c>
    </row>
    <row r="23737" spans="1:5" x14ac:dyDescent="0.25">
      <c r="A23737" t="str">
        <f>HYPERLINK("https://www.773grp.com/globalSearch/MM3Z5V1T1G/page-1", "MM3Z5V1T1G")</f>
        <v>MM3Z5V1T1G</v>
      </c>
      <c r="B23737" s="3" t="str">
        <f>HYPERLINK("https://www.773grp.com/manufacturer/onsemi?pageNo=213", "ON Semiconductor")</f>
        <v>ON Semiconductor</v>
      </c>
      <c r="C23737" s="6">
        <v>264589</v>
      </c>
      <c r="D23737" s="7">
        <v>0.1</v>
      </c>
      <c r="E23737" t="s">
        <v>98</v>
      </c>
    </row>
    <row r="23738" spans="1:5" x14ac:dyDescent="0.25">
      <c r="A23738" t="str">
        <f>HYPERLINK("https://www.773grp.com/globalSearch/MM3Z5V6ST1/page-1", "MM3Z5V6ST1")</f>
        <v>MM3Z5V6ST1</v>
      </c>
      <c r="B23738" s="3" t="str">
        <f>HYPERLINK("https://www.773grp.com/manufacturer/onsemi?pageNo=214", "ON Semiconductor")</f>
        <v>ON Semiconductor</v>
      </c>
      <c r="C23738" s="6">
        <v>2654327</v>
      </c>
      <c r="D23738" s="7">
        <v>0.1</v>
      </c>
      <c r="E23738" t="s">
        <v>98</v>
      </c>
    </row>
    <row r="23739" spans="1:5" x14ac:dyDescent="0.25">
      <c r="A23739" t="str">
        <f>HYPERLINK("https://www.773grp.com/globalSearch/MM3Z5V6T1G/page-1", "MM3Z5V6T1G")</f>
        <v>MM3Z5V6T1G</v>
      </c>
      <c r="B23739" s="3" t="str">
        <f>HYPERLINK("https://www.773grp.com/manufacturer/onsemi?pageNo=215", "ON Semiconductor")</f>
        <v>ON Semiconductor</v>
      </c>
      <c r="C23739" s="6">
        <v>1111666</v>
      </c>
      <c r="D23739" s="7">
        <v>0.1</v>
      </c>
      <c r="E23739" t="s">
        <v>98</v>
      </c>
    </row>
    <row r="23740" spans="1:5" x14ac:dyDescent="0.25">
      <c r="A23740" t="str">
        <f>HYPERLINK("https://www.773grp.com/globalSearch/MM3Z62VT1/page-1", "MM3Z62VT1")</f>
        <v>MM3Z62VT1</v>
      </c>
      <c r="B23740" s="3" t="str">
        <f>HYPERLINK("https://www.773grp.com/manufacturer/onsemi?pageNo=216", "ON Semiconductor")</f>
        <v>ON Semiconductor</v>
      </c>
      <c r="C23740" s="6">
        <v>18000</v>
      </c>
      <c r="D23740" s="7">
        <v>0.1</v>
      </c>
      <c r="E23740" t="s">
        <v>98</v>
      </c>
    </row>
    <row r="23741" spans="1:5" x14ac:dyDescent="0.25">
      <c r="A23741" t="str">
        <f>HYPERLINK("https://www.773grp.com/globalSearch/MM3Z62VT1G/page-1", "MM3Z62VT1G")</f>
        <v>MM3Z62VT1G</v>
      </c>
      <c r="B23741" s="3" t="str">
        <f>HYPERLINK("https://www.773grp.com/manufacturer/onsemi?pageNo=217", "ON Semiconductor")</f>
        <v>ON Semiconductor</v>
      </c>
      <c r="C23741" s="6">
        <v>21000</v>
      </c>
      <c r="D23741" s="7">
        <v>0.1</v>
      </c>
      <c r="E23741" t="s">
        <v>98</v>
      </c>
    </row>
    <row r="23742" spans="1:5" x14ac:dyDescent="0.25">
      <c r="A23742" t="str">
        <f>HYPERLINK("https://www.773grp.com/globalSearch/MM3Z68VT1/page-1", "MM3Z68VT1")</f>
        <v>MM3Z68VT1</v>
      </c>
      <c r="B23742" s="3" t="str">
        <f>HYPERLINK("https://www.773grp.com/manufacturer/onsemi?pageNo=218", "ON Semiconductor")</f>
        <v>ON Semiconductor</v>
      </c>
      <c r="C23742" s="6">
        <v>18000</v>
      </c>
      <c r="D23742" s="7">
        <v>0.1</v>
      </c>
      <c r="E23742" t="s">
        <v>98</v>
      </c>
    </row>
    <row r="23743" spans="1:5" x14ac:dyDescent="0.25">
      <c r="A23743" t="str">
        <f>HYPERLINK("https://www.773grp.com/globalSearch/MM3Z68VT1G/page-1", "MM3Z68VT1G")</f>
        <v>MM3Z68VT1G</v>
      </c>
      <c r="B23743" s="3" t="str">
        <f>HYPERLINK("https://www.773grp.com/manufacturer/onsemi?pageNo=219", "ON Semiconductor")</f>
        <v>ON Semiconductor</v>
      </c>
      <c r="C23743" s="6">
        <v>12000</v>
      </c>
      <c r="D23743" s="7">
        <v>0.1</v>
      </c>
      <c r="E23743" t="s">
        <v>98</v>
      </c>
    </row>
    <row r="23744" spans="1:5" x14ac:dyDescent="0.25">
      <c r="A23744" t="str">
        <f>HYPERLINK("https://www.773grp.com/globalSearch/MM3Z6V2ST1/page-1", "MM3Z6V2ST1")</f>
        <v>MM3Z6V2ST1</v>
      </c>
      <c r="B23744" s="3" t="str">
        <f>HYPERLINK("https://www.773grp.com/manufacturer/onsemi?pageNo=220", "ON Semiconductor")</f>
        <v>ON Semiconductor</v>
      </c>
      <c r="C23744" s="6">
        <v>224647</v>
      </c>
      <c r="D23744" s="7">
        <v>0.1</v>
      </c>
      <c r="E23744" t="s">
        <v>98</v>
      </c>
    </row>
    <row r="23745" spans="1:5" x14ac:dyDescent="0.25">
      <c r="A23745" t="str">
        <f>HYPERLINK("https://www.773grp.com/globalSearch/MM3Z6V2T1G/page-1", "MM3Z6V2T1G")</f>
        <v>MM3Z6V2T1G</v>
      </c>
      <c r="B23745" s="3" t="str">
        <f>HYPERLINK("https://www.773grp.com/manufacturer/onsemi?pageNo=221", "ON Semiconductor")</f>
        <v>ON Semiconductor</v>
      </c>
      <c r="C23745" s="6">
        <v>632000</v>
      </c>
      <c r="D23745" s="7">
        <v>0.1</v>
      </c>
      <c r="E23745" t="s">
        <v>98</v>
      </c>
    </row>
    <row r="23746" spans="1:5" x14ac:dyDescent="0.25">
      <c r="A23746" t="str">
        <f>HYPERLINK("https://www.773grp.com/globalSearch/MM3Z6V8T1G/page-1", "MM3Z6V8T1G")</f>
        <v>MM3Z6V8T1G</v>
      </c>
      <c r="B23746" s="3" t="str">
        <f>HYPERLINK("https://www.773grp.com/manufacturer/onsemi?pageNo=222", "ON Semiconductor")</f>
        <v>ON Semiconductor</v>
      </c>
      <c r="C23746" s="6">
        <v>363000</v>
      </c>
      <c r="D23746" s="7">
        <v>0.1</v>
      </c>
      <c r="E23746" t="s">
        <v>98</v>
      </c>
    </row>
    <row r="23747" spans="1:5" x14ac:dyDescent="0.25">
      <c r="A23747" t="str">
        <f>HYPERLINK("https://www.773grp.com/globalSearch/MM3Z75VT1/page-1", "MM3Z75VT1")</f>
        <v>MM3Z75VT1</v>
      </c>
      <c r="B23747" s="3" t="str">
        <f>HYPERLINK("https://www.773grp.com/manufacturer/onsemi?pageNo=223", "ON Semiconductor")</f>
        <v>ON Semiconductor</v>
      </c>
      <c r="C23747" s="6">
        <v>21000</v>
      </c>
      <c r="D23747" s="7">
        <v>0.1</v>
      </c>
      <c r="E23747" t="s">
        <v>98</v>
      </c>
    </row>
    <row r="23748" spans="1:5" x14ac:dyDescent="0.25">
      <c r="A23748" t="str">
        <f>HYPERLINK("https://www.773grp.com/globalSearch/MM3Z75VT1G/page-1", "MM3Z75VT1G")</f>
        <v>MM3Z75VT1G</v>
      </c>
      <c r="B23748" s="3" t="str">
        <f>HYPERLINK("https://www.773grp.com/manufacturer/onsemi?pageNo=224", "ON Semiconductor")</f>
        <v>ON Semiconductor</v>
      </c>
      <c r="C23748" s="6">
        <v>27000</v>
      </c>
      <c r="D23748" s="7">
        <v>0.1</v>
      </c>
      <c r="E23748" t="s">
        <v>98</v>
      </c>
    </row>
    <row r="23749" spans="1:5" x14ac:dyDescent="0.25">
      <c r="A23749" t="str">
        <f>HYPERLINK("https://www.773grp.com/globalSearch/MM3Z7V5ST1/page-1", "MM3Z7V5ST1")</f>
        <v>MM3Z7V5ST1</v>
      </c>
      <c r="B23749" s="3" t="str">
        <f>HYPERLINK("https://www.773grp.com/manufacturer/onsemi?pageNo=225", "ON Semiconductor")</f>
        <v>ON Semiconductor</v>
      </c>
      <c r="C23749" s="6">
        <v>164678</v>
      </c>
      <c r="D23749" s="7">
        <v>0.1</v>
      </c>
      <c r="E23749" t="s">
        <v>98</v>
      </c>
    </row>
    <row r="23750" spans="1:5" x14ac:dyDescent="0.25">
      <c r="A23750" t="str">
        <f>HYPERLINK("https://www.773grp.com/globalSearch/MM3Z7V5T1G/page-1", "MM3Z7V5T1G")</f>
        <v>MM3Z7V5T1G</v>
      </c>
      <c r="B23750" s="3" t="str">
        <f>HYPERLINK("https://www.773grp.com/manufacturer/onsemi?pageNo=226", "ON Semiconductor")</f>
        <v>ON Semiconductor</v>
      </c>
      <c r="C23750" s="6">
        <v>482049</v>
      </c>
      <c r="D23750" s="7">
        <v>0.1</v>
      </c>
      <c r="E23750" t="s">
        <v>98</v>
      </c>
    </row>
    <row r="23751" spans="1:5" x14ac:dyDescent="0.25">
      <c r="A23751" t="str">
        <f>HYPERLINK("https://www.773grp.com/globalSearch/MM3Z8V2ST1/page-1", "MM3Z8V2ST1")</f>
        <v>MM3Z8V2ST1</v>
      </c>
      <c r="B23751" s="3" t="str">
        <f>HYPERLINK("https://www.773grp.com/manufacturer/onsemi?pageNo=227", "ON Semiconductor")</f>
        <v>ON Semiconductor</v>
      </c>
      <c r="C23751" s="6">
        <v>89718</v>
      </c>
      <c r="D23751" s="7">
        <v>0.1</v>
      </c>
      <c r="E23751" t="s">
        <v>98</v>
      </c>
    </row>
    <row r="23752" spans="1:5" x14ac:dyDescent="0.25">
      <c r="A23752" t="str">
        <f>HYPERLINK("https://www.773grp.com/globalSearch/MM3Z8V2T1/page-1", "MM3Z8V2T1")</f>
        <v>MM3Z8V2T1</v>
      </c>
      <c r="B23752" s="3" t="str">
        <f>HYPERLINK("https://www.773grp.com/manufacturer/onsemi?pageNo=228", "ON Semiconductor")</f>
        <v>ON Semiconductor</v>
      </c>
      <c r="C23752" s="6">
        <v>15000</v>
      </c>
      <c r="D23752" s="7">
        <v>0.1</v>
      </c>
      <c r="E23752" t="s">
        <v>98</v>
      </c>
    </row>
    <row r="23753" spans="1:5" x14ac:dyDescent="0.25">
      <c r="A23753" t="str">
        <f>HYPERLINK("https://www.773grp.com/globalSearch/MM3Z8V2T1G/page-1", "MM3Z8V2T1G")</f>
        <v>MM3Z8V2T1G</v>
      </c>
      <c r="B23753" s="3" t="str">
        <f>HYPERLINK("https://www.773grp.com/manufacturer/onsemi?pageNo=229", "ON Semiconductor")</f>
        <v>ON Semiconductor</v>
      </c>
      <c r="C23753" s="6">
        <v>604882</v>
      </c>
      <c r="D23753" s="7">
        <v>0.1</v>
      </c>
      <c r="E23753" t="s">
        <v>98</v>
      </c>
    </row>
    <row r="23754" spans="1:5" x14ac:dyDescent="0.25">
      <c r="A23754" t="str">
        <f>HYPERLINK("https://www.773grp.com/globalSearch/MM3Z9V1ST1/page-1", "MM3Z9V1ST1")</f>
        <v>MM3Z9V1ST1</v>
      </c>
      <c r="B23754" s="3" t="str">
        <f>HYPERLINK("https://www.773grp.com/manufacturer/onsemi?pageNo=230", "ON Semiconductor")</f>
        <v>ON Semiconductor</v>
      </c>
      <c r="C23754" s="6">
        <v>266761</v>
      </c>
      <c r="D23754" s="7">
        <v>0.1</v>
      </c>
      <c r="E23754" t="s">
        <v>98</v>
      </c>
    </row>
    <row r="23755" spans="1:5" x14ac:dyDescent="0.25">
      <c r="A23755" t="str">
        <f>HYPERLINK("https://www.773grp.com/globalSearch/MM5Z11VT1/page-1", "MM5Z11VT1")</f>
        <v>MM5Z11VT1</v>
      </c>
      <c r="B23755" s="3" t="str">
        <f>HYPERLINK("https://www.773grp.com/manufacturer/onsemi?pageNo=231", "ON Semiconductor")</f>
        <v>ON Semiconductor</v>
      </c>
      <c r="C23755" s="6">
        <v>14993</v>
      </c>
      <c r="D23755" s="7">
        <v>0.1</v>
      </c>
      <c r="E23755" t="s">
        <v>98</v>
      </c>
    </row>
    <row r="23756" spans="1:5" x14ac:dyDescent="0.25">
      <c r="A23756" t="str">
        <f>HYPERLINK("https://www.773grp.com/globalSearch/MM5Z11VT1G/page-1", "MM5Z11VT1G")</f>
        <v>MM5Z11VT1G</v>
      </c>
      <c r="B23756" s="3" t="str">
        <f>HYPERLINK("https://www.773grp.com/manufacturer/onsemi?pageNo=232", "ON Semiconductor")</f>
        <v>ON Semiconductor</v>
      </c>
      <c r="C23756" s="6">
        <v>114000</v>
      </c>
      <c r="D23756" s="7">
        <v>0.1</v>
      </c>
      <c r="E23756" t="s">
        <v>98</v>
      </c>
    </row>
    <row r="23757" spans="1:5" x14ac:dyDescent="0.25">
      <c r="A23757" t="str">
        <f>HYPERLINK("https://www.773grp.com/globalSearch/MM5Z12VST1G/page-1", "MM5Z12VST1G")</f>
        <v>MM5Z12VST1G</v>
      </c>
      <c r="B23757" s="3" t="str">
        <f>HYPERLINK("https://www.773grp.com/manufacturer/onsemi?pageNo=233", "ON Semiconductor")</f>
        <v>ON Semiconductor</v>
      </c>
      <c r="C23757" s="6">
        <v>30000</v>
      </c>
      <c r="D23757" s="7">
        <v>0.1</v>
      </c>
      <c r="E23757" t="s">
        <v>98</v>
      </c>
    </row>
    <row r="23758" spans="1:5" x14ac:dyDescent="0.25">
      <c r="A23758" t="str">
        <f>HYPERLINK("https://www.773grp.com/globalSearch/MM5Z12VT1/page-1", "MM5Z12VT1")</f>
        <v>MM5Z12VT1</v>
      </c>
      <c r="B23758" s="3" t="str">
        <f>HYPERLINK("https://www.773grp.com/manufacturer/onsemi?pageNo=234", "ON Semiconductor")</f>
        <v>ON Semiconductor</v>
      </c>
      <c r="C23758" s="6">
        <v>4783</v>
      </c>
      <c r="D23758" s="7">
        <v>0.1</v>
      </c>
      <c r="E23758" t="s">
        <v>98</v>
      </c>
    </row>
    <row r="23759" spans="1:5" x14ac:dyDescent="0.25">
      <c r="A23759" t="str">
        <f>HYPERLINK("https://www.773grp.com/globalSearch/MM5Z13VT1/page-1", "MM5Z13VT1")</f>
        <v>MM5Z13VT1</v>
      </c>
      <c r="B23759" s="3" t="str">
        <f>HYPERLINK("https://www.773grp.com/manufacturer/onsemi?pageNo=235", "ON Semiconductor")</f>
        <v>ON Semiconductor</v>
      </c>
      <c r="C23759" s="6">
        <v>465</v>
      </c>
      <c r="D23759" s="7">
        <v>0.1</v>
      </c>
      <c r="E23759" t="s">
        <v>98</v>
      </c>
    </row>
    <row r="23760" spans="1:5" x14ac:dyDescent="0.25">
      <c r="A23760" t="str">
        <f>HYPERLINK("https://www.773grp.com/globalSearch/MM5Z15VT1/page-1", "MM5Z15VT1")</f>
        <v>MM5Z15VT1</v>
      </c>
      <c r="B23760" s="3" t="str">
        <f>HYPERLINK("https://www.773grp.com/manufacturer/onsemi?pageNo=236", "ON Semiconductor")</f>
        <v>ON Semiconductor</v>
      </c>
      <c r="C23760" s="6">
        <v>406955</v>
      </c>
      <c r="D23760" s="7">
        <v>0.1</v>
      </c>
      <c r="E23760" t="s">
        <v>98</v>
      </c>
    </row>
    <row r="23761" spans="1:5" x14ac:dyDescent="0.25">
      <c r="A23761" t="str">
        <f>HYPERLINK("https://www.773grp.com/globalSearch/MM5Z15VT5G/page-1", "MM5Z15VT5G")</f>
        <v>MM5Z15VT5G</v>
      </c>
      <c r="B23761" s="3" t="str">
        <f>HYPERLINK("https://www.773grp.com/manufacturer/onsemi?pageNo=237", "ON Semiconductor")</f>
        <v>ON Semiconductor</v>
      </c>
      <c r="C23761" s="6">
        <v>72000</v>
      </c>
      <c r="D23761" s="7">
        <v>0.1</v>
      </c>
    </row>
    <row r="23762" spans="1:5" x14ac:dyDescent="0.25">
      <c r="A23762" t="str">
        <f>HYPERLINK("https://www.773grp.com/globalSearch/MM5Z16VT1/page-1", "MM5Z16VT1")</f>
        <v>MM5Z16VT1</v>
      </c>
      <c r="B23762" s="3" t="str">
        <f>HYPERLINK("https://www.773grp.com/manufacturer/onsemi?pageNo=238", "ON Semiconductor")</f>
        <v>ON Semiconductor</v>
      </c>
      <c r="C23762" s="6">
        <v>8228</v>
      </c>
      <c r="D23762" s="7">
        <v>0.1</v>
      </c>
      <c r="E23762" t="s">
        <v>98</v>
      </c>
    </row>
    <row r="23763" spans="1:5" x14ac:dyDescent="0.25">
      <c r="A23763" t="str">
        <f>HYPERLINK("https://www.773grp.com/globalSearch/MM5Z18VT1/page-1", "MM5Z18VT1")</f>
        <v>MM5Z18VT1</v>
      </c>
      <c r="B23763" s="3" t="str">
        <f>HYPERLINK("https://www.773grp.com/manufacturer/onsemi?pageNo=239", "ON Semiconductor")</f>
        <v>ON Semiconductor</v>
      </c>
      <c r="C23763" s="6">
        <v>5894</v>
      </c>
      <c r="D23763" s="7">
        <v>0.1</v>
      </c>
      <c r="E23763" t="s">
        <v>98</v>
      </c>
    </row>
    <row r="23764" spans="1:5" x14ac:dyDescent="0.25">
      <c r="A23764" t="str">
        <f>HYPERLINK("https://www.773grp.com/globalSearch/MM5Z20VT1/page-1", "MM5Z20VT1")</f>
        <v>MM5Z20VT1</v>
      </c>
      <c r="B23764" s="3" t="str">
        <f>HYPERLINK("https://www.773grp.com/manufacturer/onsemi?pageNo=240", "ON Semiconductor")</f>
        <v>ON Semiconductor</v>
      </c>
      <c r="C23764" s="6">
        <v>29849</v>
      </c>
      <c r="D23764" s="7">
        <v>0.1</v>
      </c>
      <c r="E23764" t="s">
        <v>98</v>
      </c>
    </row>
    <row r="23765" spans="1:5" x14ac:dyDescent="0.25">
      <c r="A23765" t="str">
        <f>HYPERLINK("https://www.773grp.com/globalSearch/MM5Z22VT1/page-1", "MM5Z22VT1")</f>
        <v>MM5Z22VT1</v>
      </c>
      <c r="B23765" s="3" t="str">
        <f>HYPERLINK("https://www.773grp.com/manufacturer/onsemi?pageNo=241", "ON Semiconductor")</f>
        <v>ON Semiconductor</v>
      </c>
      <c r="C23765" s="6">
        <v>2973</v>
      </c>
      <c r="D23765" s="7">
        <v>0.1</v>
      </c>
      <c r="E23765" t="s">
        <v>98</v>
      </c>
    </row>
    <row r="23766" spans="1:5" x14ac:dyDescent="0.25">
      <c r="A23766" t="str">
        <f>HYPERLINK("https://www.773grp.com/globalSearch/MM5Z22VT1G/page-1", "MM5Z22VT1G")</f>
        <v>MM5Z22VT1G</v>
      </c>
      <c r="B23766" s="3" t="str">
        <f>HYPERLINK("https://www.773grp.com/manufacturer/onsemi?pageNo=242", "ON Semiconductor")</f>
        <v>ON Semiconductor</v>
      </c>
      <c r="C23766" s="6">
        <v>33000</v>
      </c>
      <c r="D23766" s="7">
        <v>0.1</v>
      </c>
      <c r="E23766" t="s">
        <v>98</v>
      </c>
    </row>
    <row r="23767" spans="1:5" x14ac:dyDescent="0.25">
      <c r="A23767" t="str">
        <f>HYPERLINK("https://www.773grp.com/globalSearch/MM5Z24VT1/page-1", "MM5Z24VT1")</f>
        <v>MM5Z24VT1</v>
      </c>
      <c r="B23767" s="3" t="str">
        <f>HYPERLINK("https://www.773grp.com/manufacturer/onsemi?pageNo=243", "ON Semiconductor")</f>
        <v>ON Semiconductor</v>
      </c>
      <c r="C23767" s="6">
        <v>219000</v>
      </c>
      <c r="D23767" s="7">
        <v>0.1</v>
      </c>
      <c r="E23767" t="s">
        <v>98</v>
      </c>
    </row>
    <row r="23768" spans="1:5" x14ac:dyDescent="0.25">
      <c r="A23768" t="str">
        <f>HYPERLINK("https://www.773grp.com/globalSearch/MM5Z27VT1/page-1", "MM5Z27VT1")</f>
        <v>MM5Z27VT1</v>
      </c>
      <c r="B23768" s="3" t="str">
        <f>HYPERLINK("https://www.773grp.com/manufacturer/onsemi?pageNo=244", "ON Semiconductor")</f>
        <v>ON Semiconductor</v>
      </c>
      <c r="C23768" s="6">
        <v>11973</v>
      </c>
      <c r="D23768" s="7">
        <v>0.1</v>
      </c>
      <c r="E23768" t="s">
        <v>98</v>
      </c>
    </row>
    <row r="23769" spans="1:5" x14ac:dyDescent="0.25">
      <c r="A23769" t="str">
        <f>HYPERLINK("https://www.773grp.com/globalSearch/MM5Z2V4ST1/page-1", "MM5Z2V4ST1")</f>
        <v>MM5Z2V4ST1</v>
      </c>
      <c r="B23769" s="3" t="str">
        <f>HYPERLINK("https://www.773grp.com/manufacturer/onsemi?pageNo=245", "ON Semiconductor")</f>
        <v>ON Semiconductor</v>
      </c>
      <c r="C23769" s="6">
        <v>5165</v>
      </c>
      <c r="D23769" s="7">
        <v>0.1</v>
      </c>
      <c r="E23769" t="s">
        <v>98</v>
      </c>
    </row>
    <row r="23770" spans="1:5" x14ac:dyDescent="0.25">
      <c r="A23770" t="str">
        <f>HYPERLINK("https://www.773grp.com/globalSearch/MM5Z2V4T1/page-1", "MM5Z2V4T1")</f>
        <v>MM5Z2V4T1</v>
      </c>
      <c r="B23770" s="3" t="str">
        <f>HYPERLINK("https://www.773grp.com/manufacturer/onsemi?pageNo=246", "ON Semiconductor")</f>
        <v>ON Semiconductor</v>
      </c>
      <c r="C23770" s="6">
        <v>65541</v>
      </c>
      <c r="D23770" s="7">
        <v>0.1</v>
      </c>
      <c r="E23770" t="s">
        <v>98</v>
      </c>
    </row>
    <row r="23771" spans="1:5" x14ac:dyDescent="0.25">
      <c r="A23771" t="str">
        <f>HYPERLINK("https://www.773grp.com/globalSearch/MM5Z2V7ST1/page-1", "MM5Z2V7ST1")</f>
        <v>MM5Z2V7ST1</v>
      </c>
      <c r="B23771" s="3" t="str">
        <f>HYPERLINK("https://www.773grp.com/manufacturer/onsemi?pageNo=247", "ON Semiconductor")</f>
        <v>ON Semiconductor</v>
      </c>
      <c r="C23771" s="6">
        <v>18000</v>
      </c>
      <c r="D23771" s="7">
        <v>0.1</v>
      </c>
      <c r="E23771" t="s">
        <v>98</v>
      </c>
    </row>
    <row r="23772" spans="1:5" x14ac:dyDescent="0.25">
      <c r="A23772" t="str">
        <f>HYPERLINK("https://www.773grp.com/globalSearch/MM5Z2V7ST1G/page-1", "MM5Z2V7ST1G")</f>
        <v>MM5Z2V7ST1G</v>
      </c>
      <c r="B23772" s="3" t="str">
        <f>HYPERLINK("https://www.773grp.com/manufacturer/onsemi?pageNo=248", "ON Semiconductor")</f>
        <v>ON Semiconductor</v>
      </c>
      <c r="C23772" s="6">
        <v>57000</v>
      </c>
      <c r="D23772" s="7">
        <v>0.1</v>
      </c>
      <c r="E23772" t="s">
        <v>98</v>
      </c>
    </row>
    <row r="23773" spans="1:5" x14ac:dyDescent="0.25">
      <c r="A23773" t="str">
        <f>HYPERLINK("https://www.773grp.com/globalSearch/MM5Z2V7T1/page-1", "MM5Z2V7T1")</f>
        <v>MM5Z2V7T1</v>
      </c>
      <c r="B23773" s="3" t="str">
        <f>HYPERLINK("https://www.773grp.com/manufacturer/onsemi?pageNo=249", "ON Semiconductor")</f>
        <v>ON Semiconductor</v>
      </c>
      <c r="C23773" s="6">
        <v>5506</v>
      </c>
      <c r="D23773" s="7">
        <v>0.1</v>
      </c>
      <c r="E23773" t="s">
        <v>98</v>
      </c>
    </row>
    <row r="23774" spans="1:5" x14ac:dyDescent="0.25">
      <c r="A23774" t="str">
        <f>HYPERLINK("https://www.773grp.com/globalSearch/MM5Z33VT1/page-1", "MM5Z33VT1")</f>
        <v>MM5Z33VT1</v>
      </c>
      <c r="B23774" s="3" t="str">
        <f>HYPERLINK("https://www.773grp.com/manufacturer/onsemi?pageNo=250", "ON Semiconductor")</f>
        <v>ON Semiconductor</v>
      </c>
      <c r="C23774" s="6">
        <v>32872</v>
      </c>
      <c r="D23774" s="7">
        <v>0.1</v>
      </c>
      <c r="E23774" t="s">
        <v>98</v>
      </c>
    </row>
    <row r="23775" spans="1:5" x14ac:dyDescent="0.25">
      <c r="A23775" t="str">
        <f>HYPERLINK("https://www.773grp.com/globalSearch/MM5Z36VT1/page-1", "MM5Z36VT1")</f>
        <v>MM5Z36VT1</v>
      </c>
      <c r="B23775" s="3" t="str">
        <f>HYPERLINK("https://www.773grp.com/manufacturer/onsemi?pageNo=251", "ON Semiconductor")</f>
        <v>ON Semiconductor</v>
      </c>
      <c r="C23775" s="6">
        <v>8960</v>
      </c>
      <c r="D23775" s="7">
        <v>0.1</v>
      </c>
      <c r="E23775" t="s">
        <v>98</v>
      </c>
    </row>
    <row r="23776" spans="1:5" x14ac:dyDescent="0.25">
      <c r="A23776" t="str">
        <f>HYPERLINK("https://www.773grp.com/globalSearch/MM5Z39VT1/page-1", "MM5Z39VT1")</f>
        <v>MM5Z39VT1</v>
      </c>
      <c r="B23776" s="3" t="str">
        <f>HYPERLINK("https://www.773grp.com/manufacturer/onsemi?pageNo=252", "ON Semiconductor")</f>
        <v>ON Semiconductor</v>
      </c>
      <c r="C23776" s="6">
        <v>5675</v>
      </c>
      <c r="D23776" s="7">
        <v>0.1</v>
      </c>
      <c r="E23776" t="s">
        <v>98</v>
      </c>
    </row>
    <row r="23777" spans="1:5" x14ac:dyDescent="0.25">
      <c r="A23777" t="str">
        <f>HYPERLINK("https://www.773grp.com/globalSearch/MM5Z3V0T1/page-1", "MM5Z3V0T1")</f>
        <v>MM5Z3V0T1</v>
      </c>
      <c r="B23777" s="3" t="str">
        <f>HYPERLINK("https://www.773grp.com/manufacturer/onsemi?pageNo=253", "ON Semiconductor")</f>
        <v>ON Semiconductor</v>
      </c>
      <c r="C23777" s="6">
        <v>8570</v>
      </c>
      <c r="D23777" s="7">
        <v>0.1</v>
      </c>
      <c r="E23777" t="s">
        <v>98</v>
      </c>
    </row>
    <row r="23778" spans="1:5" x14ac:dyDescent="0.25">
      <c r="A23778" t="str">
        <f>HYPERLINK("https://www.773grp.com/globalSearch/MM5Z3V3ST1/page-1", "MM5Z3V3ST1")</f>
        <v>MM5Z3V3ST1</v>
      </c>
      <c r="B23778" s="3" t="str">
        <f>HYPERLINK("https://www.773grp.com/manufacturer/onsemi?pageNo=254", "ON Semiconductor")</f>
        <v>ON Semiconductor</v>
      </c>
      <c r="C23778" s="6">
        <v>35470</v>
      </c>
      <c r="D23778" s="7">
        <v>0.1</v>
      </c>
      <c r="E23778" t="s">
        <v>98</v>
      </c>
    </row>
    <row r="23779" spans="1:5" x14ac:dyDescent="0.25">
      <c r="A23779" t="str">
        <f>HYPERLINK("https://www.773grp.com/globalSearch/MM5Z3V3ST1G/page-1", "MM5Z3V3ST1G")</f>
        <v>MM5Z3V3ST1G</v>
      </c>
      <c r="B23779" s="3" t="str">
        <f>HYPERLINK("https://www.773grp.com/manufacturer/onsemi?pageNo=255", "ON Semiconductor")</f>
        <v>ON Semiconductor</v>
      </c>
      <c r="C23779" s="6">
        <v>30000</v>
      </c>
      <c r="D23779" s="7">
        <v>0.1</v>
      </c>
      <c r="E23779" t="s">
        <v>98</v>
      </c>
    </row>
    <row r="23780" spans="1:5" x14ac:dyDescent="0.25">
      <c r="A23780" t="str">
        <f>HYPERLINK("https://www.773grp.com/globalSearch/MM5Z3V3T1/page-1", "MM5Z3V3T1")</f>
        <v>MM5Z3V3T1</v>
      </c>
      <c r="B23780" s="3" t="str">
        <f>HYPERLINK("https://www.773grp.com/manufacturer/onsemi?pageNo=256", "ON Semiconductor")</f>
        <v>ON Semiconductor</v>
      </c>
      <c r="C23780" s="6">
        <v>2565</v>
      </c>
      <c r="D23780" s="7">
        <v>0.1</v>
      </c>
      <c r="E23780" t="s">
        <v>98</v>
      </c>
    </row>
    <row r="23781" spans="1:5" x14ac:dyDescent="0.25">
      <c r="A23781" t="str">
        <f>HYPERLINK("https://www.773grp.com/globalSearch/MM5Z3V6ST1/page-1", "MM5Z3V6ST1")</f>
        <v>MM5Z3V6ST1</v>
      </c>
      <c r="B23781" s="3" t="str">
        <f>HYPERLINK("https://www.773grp.com/manufacturer/onsemi?pageNo=257", "ON Semiconductor")</f>
        <v>ON Semiconductor</v>
      </c>
      <c r="C23781" s="6">
        <v>51725</v>
      </c>
      <c r="D23781" s="7">
        <v>0.1</v>
      </c>
      <c r="E23781" t="s">
        <v>98</v>
      </c>
    </row>
    <row r="23782" spans="1:5" x14ac:dyDescent="0.25">
      <c r="A23782" t="str">
        <f>HYPERLINK("https://www.773grp.com/globalSearch/MM5Z3V6ST1G/page-1", "MM5Z3V6ST1G")</f>
        <v>MM5Z3V6ST1G</v>
      </c>
      <c r="B23782" s="3" t="str">
        <f>HYPERLINK("https://www.773grp.com/manufacturer/onsemi?pageNo=258", "ON Semiconductor")</f>
        <v>ON Semiconductor</v>
      </c>
      <c r="C23782" s="6">
        <v>5500</v>
      </c>
      <c r="D23782" s="7">
        <v>0.1</v>
      </c>
      <c r="E23782" t="s">
        <v>98</v>
      </c>
    </row>
    <row r="23783" spans="1:5" x14ac:dyDescent="0.25">
      <c r="A23783" t="str">
        <f>HYPERLINK("https://www.773grp.com/globalSearch/MM5Z3V6T1/page-1", "MM5Z3V6T1")</f>
        <v>MM5Z3V6T1</v>
      </c>
      <c r="B23783" s="3" t="str">
        <f>HYPERLINK("https://www.773grp.com/manufacturer/onsemi?pageNo=259", "ON Semiconductor")</f>
        <v>ON Semiconductor</v>
      </c>
      <c r="C23783" s="6">
        <v>7915</v>
      </c>
      <c r="D23783" s="7">
        <v>0.1</v>
      </c>
      <c r="E23783" t="s">
        <v>98</v>
      </c>
    </row>
    <row r="23784" spans="1:5" x14ac:dyDescent="0.25">
      <c r="A23784" t="str">
        <f>HYPERLINK("https://www.773grp.com/globalSearch/MM5Z3V9ST1/page-1", "MM5Z3V9ST1")</f>
        <v>MM5Z3V9ST1</v>
      </c>
      <c r="B23784" s="3" t="str">
        <f>HYPERLINK("https://www.773grp.com/manufacturer/onsemi?pageNo=260", "ON Semiconductor")</f>
        <v>ON Semiconductor</v>
      </c>
      <c r="C23784" s="6">
        <v>29930</v>
      </c>
      <c r="D23784" s="7">
        <v>0.1</v>
      </c>
      <c r="E23784" t="s">
        <v>98</v>
      </c>
    </row>
    <row r="23785" spans="1:5" x14ac:dyDescent="0.25">
      <c r="A23785" t="str">
        <f>HYPERLINK("https://www.773grp.com/globalSearch/MM5Z3V9ST1G/page-1", "MM5Z3V9ST1G")</f>
        <v>MM5Z3V9ST1G</v>
      </c>
      <c r="B23785" s="3" t="str">
        <f>HYPERLINK("https://www.773grp.com/manufacturer/onsemi?pageNo=261", "ON Semiconductor")</f>
        <v>ON Semiconductor</v>
      </c>
      <c r="C23785" s="6">
        <v>36000</v>
      </c>
      <c r="D23785" s="7">
        <v>0.1</v>
      </c>
      <c r="E23785" t="s">
        <v>98</v>
      </c>
    </row>
    <row r="23786" spans="1:5" x14ac:dyDescent="0.25">
      <c r="A23786" t="str">
        <f>HYPERLINK("https://www.773grp.com/globalSearch/MM5Z3V9T1/page-1", "MM5Z3V9T1")</f>
        <v>MM5Z3V9T1</v>
      </c>
      <c r="B23786" s="3" t="str">
        <f>HYPERLINK("https://www.773grp.com/manufacturer/onsemi?pageNo=262", "ON Semiconductor")</f>
        <v>ON Semiconductor</v>
      </c>
      <c r="C23786" s="6">
        <v>11945</v>
      </c>
      <c r="D23786" s="7">
        <v>0.1</v>
      </c>
      <c r="E23786" t="s">
        <v>98</v>
      </c>
    </row>
    <row r="23787" spans="1:5" x14ac:dyDescent="0.25">
      <c r="A23787" t="str">
        <f>HYPERLINK("https://www.773grp.com/globalSearch/MM5Z3V9T1G/page-1", "MM5Z3V9T1G")</f>
        <v>MM5Z3V9T1G</v>
      </c>
      <c r="B23787" s="3" t="str">
        <f>HYPERLINK("https://www.773grp.com/manufacturer/onsemi?pageNo=263", "ON Semiconductor")</f>
        <v>ON Semiconductor</v>
      </c>
      <c r="C23787" s="6">
        <v>3000</v>
      </c>
      <c r="D23787" s="7">
        <v>0.1</v>
      </c>
      <c r="E23787" t="s">
        <v>98</v>
      </c>
    </row>
    <row r="23788" spans="1:5" x14ac:dyDescent="0.25">
      <c r="A23788" t="str">
        <f>HYPERLINK("https://www.773grp.com/globalSearch/MM5Z43VT1/page-1", "MM5Z43VT1")</f>
        <v>MM5Z43VT1</v>
      </c>
      <c r="B23788" s="3" t="str">
        <f>HYPERLINK("https://www.773grp.com/manufacturer/onsemi?pageNo=264", "ON Semiconductor")</f>
        <v>ON Semiconductor</v>
      </c>
      <c r="C23788" s="6">
        <v>30000</v>
      </c>
      <c r="D23788" s="7">
        <v>0.1</v>
      </c>
      <c r="E23788" t="s">
        <v>98</v>
      </c>
    </row>
    <row r="23789" spans="1:5" x14ac:dyDescent="0.25">
      <c r="A23789" t="str">
        <f>HYPERLINK("https://www.773grp.com/globalSearch/MM5Z47VT1/page-1", "MM5Z47VT1")</f>
        <v>MM5Z47VT1</v>
      </c>
      <c r="B23789" s="3" t="str">
        <f>HYPERLINK("https://www.773grp.com/manufacturer/onsemi?pageNo=265", "ON Semiconductor")</f>
        <v>ON Semiconductor</v>
      </c>
      <c r="C23789" s="6">
        <v>12000</v>
      </c>
      <c r="D23789" s="7">
        <v>0.1</v>
      </c>
      <c r="E23789" t="s">
        <v>98</v>
      </c>
    </row>
    <row r="23790" spans="1:5" x14ac:dyDescent="0.25">
      <c r="A23790" t="str">
        <f>HYPERLINK("https://www.773grp.com/globalSearch/MM5Z4V3ST1/page-1", "MM5Z4V3ST1")</f>
        <v>MM5Z4V3ST1</v>
      </c>
      <c r="B23790" s="3" t="str">
        <f>HYPERLINK("https://www.773grp.com/manufacturer/onsemi?pageNo=266", "ON Semiconductor")</f>
        <v>ON Semiconductor</v>
      </c>
      <c r="C23790" s="6">
        <v>20830</v>
      </c>
      <c r="D23790" s="7">
        <v>0.1</v>
      </c>
      <c r="E23790" t="s">
        <v>98</v>
      </c>
    </row>
    <row r="23791" spans="1:5" x14ac:dyDescent="0.25">
      <c r="A23791" t="str">
        <f>HYPERLINK("https://www.773grp.com/globalSearch/MM5Z4V3ST1G/page-1", "MM5Z4V3ST1G")</f>
        <v>MM5Z4V3ST1G</v>
      </c>
      <c r="B23791" s="3" t="str">
        <f>HYPERLINK("https://www.773grp.com/manufacturer/onsemi?pageNo=267", "ON Semiconductor")</f>
        <v>ON Semiconductor</v>
      </c>
      <c r="C23791" s="6">
        <v>18000</v>
      </c>
      <c r="D23791" s="7">
        <v>0.1</v>
      </c>
      <c r="E23791" t="s">
        <v>98</v>
      </c>
    </row>
    <row r="23792" spans="1:5" x14ac:dyDescent="0.25">
      <c r="A23792" t="str">
        <f>HYPERLINK("https://www.773grp.com/globalSearch/MM5Z4V3T1/page-1", "MM5Z4V3T1")</f>
        <v>MM5Z4V3T1</v>
      </c>
      <c r="B23792" s="3" t="str">
        <f>HYPERLINK("https://www.773grp.com/manufacturer/onsemi?pageNo=268", "ON Semiconductor")</f>
        <v>ON Semiconductor</v>
      </c>
      <c r="C23792" s="6">
        <v>47980</v>
      </c>
      <c r="D23792" s="7">
        <v>0.1</v>
      </c>
      <c r="E23792" t="s">
        <v>98</v>
      </c>
    </row>
    <row r="23793" spans="1:5" x14ac:dyDescent="0.25">
      <c r="A23793" t="str">
        <f>HYPERLINK("https://www.773grp.com/globalSearch/MM5Z4V3T1G/page-1", "MM5Z4V3T1G")</f>
        <v>MM5Z4V3T1G</v>
      </c>
      <c r="B23793" s="3" t="str">
        <f>HYPERLINK("https://www.773grp.com/manufacturer/onsemi?pageNo=269", "ON Semiconductor")</f>
        <v>ON Semiconductor</v>
      </c>
      <c r="C23793" s="6">
        <v>39500</v>
      </c>
      <c r="D23793" s="7">
        <v>0.1</v>
      </c>
      <c r="E23793" t="s">
        <v>98</v>
      </c>
    </row>
    <row r="23794" spans="1:5" x14ac:dyDescent="0.25">
      <c r="A23794" t="str">
        <f>HYPERLINK("https://www.773grp.com/globalSearch/MM5Z4V7T1/page-1", "MM5Z4V7T1")</f>
        <v>MM5Z4V7T1</v>
      </c>
      <c r="B23794" s="3" t="str">
        <f>HYPERLINK("https://www.773grp.com/manufacturer/onsemi?pageNo=270", "ON Semiconductor")</f>
        <v>ON Semiconductor</v>
      </c>
      <c r="C23794" s="6">
        <v>5040</v>
      </c>
      <c r="D23794" s="7">
        <v>0.1</v>
      </c>
      <c r="E23794" t="s">
        <v>98</v>
      </c>
    </row>
    <row r="23795" spans="1:5" x14ac:dyDescent="0.25">
      <c r="A23795" t="str">
        <f>HYPERLINK("https://www.773grp.com/globalSearch/MM5Z51VT1/page-1", "MM5Z51VT1")</f>
        <v>MM5Z51VT1</v>
      </c>
      <c r="B23795" s="3" t="str">
        <f>HYPERLINK("https://www.773grp.com/manufacturer/onsemi?pageNo=271", "ON Semiconductor")</f>
        <v>ON Semiconductor</v>
      </c>
      <c r="C23795" s="6">
        <v>36000</v>
      </c>
      <c r="D23795" s="7">
        <v>0.1</v>
      </c>
      <c r="E23795" t="s">
        <v>98</v>
      </c>
    </row>
    <row r="23796" spans="1:5" x14ac:dyDescent="0.25">
      <c r="A23796" t="str">
        <f>HYPERLINK("https://www.773grp.com/globalSearch/MM5Z56VT1/page-1", "MM5Z56VT1")</f>
        <v>MM5Z56VT1</v>
      </c>
      <c r="B23796" s="3" t="str">
        <f>HYPERLINK("https://www.773grp.com/manufacturer/onsemi?pageNo=272", "ON Semiconductor")</f>
        <v>ON Semiconductor</v>
      </c>
      <c r="C23796" s="6">
        <v>29950</v>
      </c>
      <c r="D23796" s="7">
        <v>0.1</v>
      </c>
      <c r="E23796" t="s">
        <v>98</v>
      </c>
    </row>
    <row r="23797" spans="1:5" x14ac:dyDescent="0.25">
      <c r="A23797" t="str">
        <f>HYPERLINK("https://www.773grp.com/globalSearch/MM5Z5V1ST1/page-1", "MM5Z5V1ST1")</f>
        <v>MM5Z5V1ST1</v>
      </c>
      <c r="B23797" s="3" t="str">
        <f>HYPERLINK("https://www.773grp.com/manufacturer/onsemi?pageNo=273", "ON Semiconductor")</f>
        <v>ON Semiconductor</v>
      </c>
      <c r="C23797" s="6">
        <v>590440</v>
      </c>
      <c r="D23797" s="7">
        <v>0.1</v>
      </c>
      <c r="E23797" t="s">
        <v>98</v>
      </c>
    </row>
    <row r="23798" spans="1:5" x14ac:dyDescent="0.25">
      <c r="A23798" t="str">
        <f>HYPERLINK("https://www.773grp.com/globalSearch/MM5Z5V1T1/page-1", "MM5Z5V1T1")</f>
        <v>MM5Z5V1T1</v>
      </c>
      <c r="B23798" s="3" t="str">
        <f>HYPERLINK("https://www.773grp.com/manufacturer/onsemi?pageNo=274", "ON Semiconductor")</f>
        <v>ON Semiconductor</v>
      </c>
      <c r="C23798" s="6">
        <v>290768</v>
      </c>
      <c r="D23798" s="7">
        <v>0.1</v>
      </c>
      <c r="E23798" t="s">
        <v>98</v>
      </c>
    </row>
    <row r="23799" spans="1:5" x14ac:dyDescent="0.25">
      <c r="A23799" t="str">
        <f>HYPERLINK("https://www.773grp.com/globalSearch/MM5Z5V6ST1/page-1", "MM5Z5V6ST1")</f>
        <v>MM5Z5V6ST1</v>
      </c>
      <c r="B23799" s="3" t="str">
        <f>HYPERLINK("https://www.773grp.com/manufacturer/onsemi?pageNo=275", "ON Semiconductor")</f>
        <v>ON Semiconductor</v>
      </c>
      <c r="C23799" s="6">
        <v>2905</v>
      </c>
      <c r="D23799" s="7">
        <v>0.1</v>
      </c>
      <c r="E23799" t="s">
        <v>98</v>
      </c>
    </row>
    <row r="23800" spans="1:5" x14ac:dyDescent="0.25">
      <c r="A23800" t="str">
        <f>HYPERLINK("https://www.773grp.com/globalSearch/MM5Z5V6T1/page-1", "MM5Z5V6T1")</f>
        <v>MM5Z5V6T1</v>
      </c>
      <c r="B23800" s="3" t="str">
        <f>HYPERLINK("https://www.773grp.com/manufacturer/onsemi?pageNo=276", "ON Semiconductor")</f>
        <v>ON Semiconductor</v>
      </c>
      <c r="C23800" s="6">
        <v>2825</v>
      </c>
      <c r="D23800" s="7">
        <v>0.1</v>
      </c>
      <c r="E23800" t="s">
        <v>98</v>
      </c>
    </row>
    <row r="23801" spans="1:5" x14ac:dyDescent="0.25">
      <c r="A23801" t="str">
        <f>HYPERLINK("https://www.773grp.com/globalSearch/MM5Z62VT1/page-1", "MM5Z62VT1")</f>
        <v>MM5Z62VT1</v>
      </c>
      <c r="B23801" s="3" t="str">
        <f>HYPERLINK("https://www.773grp.com/manufacturer/onsemi?pageNo=277", "ON Semiconductor")</f>
        <v>ON Semiconductor</v>
      </c>
      <c r="C23801" s="6">
        <v>29950</v>
      </c>
      <c r="D23801" s="7">
        <v>0.1</v>
      </c>
      <c r="E23801" t="s">
        <v>98</v>
      </c>
    </row>
    <row r="23802" spans="1:5" x14ac:dyDescent="0.25">
      <c r="A23802" t="str">
        <f>HYPERLINK("https://www.773grp.com/globalSearch/MM5Z68VT1/page-1", "MM5Z68VT1")</f>
        <v>MM5Z68VT1</v>
      </c>
      <c r="B23802" s="3" t="str">
        <f>HYPERLINK("https://www.773grp.com/manufacturer/onsemi?pageNo=278", "ON Semiconductor")</f>
        <v>ON Semiconductor</v>
      </c>
      <c r="C23802" s="6">
        <v>36000</v>
      </c>
      <c r="D23802" s="7">
        <v>0.1</v>
      </c>
      <c r="E23802" t="s">
        <v>98</v>
      </c>
    </row>
    <row r="23803" spans="1:5" x14ac:dyDescent="0.25">
      <c r="A23803" t="str">
        <f>HYPERLINK("https://www.773grp.com/globalSearch/MM5Z6V2ST1/page-1", "MM5Z6V2ST1")</f>
        <v>MM5Z6V2ST1</v>
      </c>
      <c r="B23803" s="3" t="str">
        <f>HYPERLINK("https://www.773grp.com/manufacturer/onsemi?pageNo=279", "ON Semiconductor")</f>
        <v>ON Semiconductor</v>
      </c>
      <c r="C23803" s="6">
        <v>206794</v>
      </c>
      <c r="D23803" s="7">
        <v>0.1</v>
      </c>
      <c r="E23803" t="s">
        <v>98</v>
      </c>
    </row>
    <row r="23804" spans="1:5" x14ac:dyDescent="0.25">
      <c r="A23804" t="str">
        <f>HYPERLINK("https://www.773grp.com/globalSearch/MM5Z6V2T1/page-1", "MM5Z6V2T1")</f>
        <v>MM5Z6V2T1</v>
      </c>
      <c r="B23804" s="3" t="str">
        <f>HYPERLINK("https://www.773grp.com/manufacturer/onsemi?pageNo=280", "ON Semiconductor")</f>
        <v>ON Semiconductor</v>
      </c>
      <c r="C23804" s="6">
        <v>5387</v>
      </c>
      <c r="D23804" s="7">
        <v>0.1</v>
      </c>
      <c r="E23804" t="s">
        <v>98</v>
      </c>
    </row>
    <row r="23805" spans="1:5" x14ac:dyDescent="0.25">
      <c r="A23805" t="str">
        <f>HYPERLINK("https://www.773grp.com/globalSearch/MM5Z6V2T1G/page-1", "MM5Z6V2T1G")</f>
        <v>MM5Z6V2T1G</v>
      </c>
      <c r="B23805" s="3" t="str">
        <f>HYPERLINK("https://www.773grp.com/manufacturer/onsemi?pageNo=281", "ON Semiconductor")</f>
        <v>ON Semiconductor</v>
      </c>
      <c r="C23805" s="6">
        <v>33500</v>
      </c>
      <c r="D23805" s="7">
        <v>0.1</v>
      </c>
      <c r="E23805" t="s">
        <v>98</v>
      </c>
    </row>
    <row r="23806" spans="1:5" x14ac:dyDescent="0.25">
      <c r="A23806" t="str">
        <f>HYPERLINK("https://www.773grp.com/globalSearch/MM5Z6V8ST1/page-1", "MM5Z6V8ST1")</f>
        <v>MM5Z6V8ST1</v>
      </c>
      <c r="B23806" s="3" t="str">
        <f>HYPERLINK("https://www.773grp.com/manufacturer/onsemi?pageNo=282", "ON Semiconductor")</f>
        <v>ON Semiconductor</v>
      </c>
      <c r="C23806" s="6">
        <v>5028000</v>
      </c>
      <c r="D23806" s="7">
        <v>0.1</v>
      </c>
      <c r="E23806" t="s">
        <v>98</v>
      </c>
    </row>
    <row r="23807" spans="1:5" x14ac:dyDescent="0.25">
      <c r="A23807" t="str">
        <f>HYPERLINK("https://www.773grp.com/globalSearch/MM5Z6V8T1/page-1", "MM5Z6V8T1")</f>
        <v>MM5Z6V8T1</v>
      </c>
      <c r="B23807" s="3" t="str">
        <f>HYPERLINK("https://www.773grp.com/manufacturer/onsemi?pageNo=283", "ON Semiconductor")</f>
        <v>ON Semiconductor</v>
      </c>
      <c r="C23807" s="6">
        <v>5842</v>
      </c>
      <c r="D23807" s="7">
        <v>0.1</v>
      </c>
      <c r="E23807" t="s">
        <v>98</v>
      </c>
    </row>
    <row r="23808" spans="1:5" x14ac:dyDescent="0.25">
      <c r="A23808" t="str">
        <f>HYPERLINK("https://www.773grp.com/globalSearch/MM5Z75VT1/page-1", "MM5Z75VT1")</f>
        <v>MM5Z75VT1</v>
      </c>
      <c r="B23808" s="3" t="str">
        <f>HYPERLINK("https://www.773grp.com/manufacturer/onsemi?pageNo=284", "ON Semiconductor")</f>
        <v>ON Semiconductor</v>
      </c>
      <c r="C23808" s="6">
        <v>8475</v>
      </c>
      <c r="D23808" s="7">
        <v>0.1</v>
      </c>
      <c r="E23808" t="s">
        <v>98</v>
      </c>
    </row>
    <row r="23809" spans="1:5" x14ac:dyDescent="0.25">
      <c r="A23809" t="str">
        <f>HYPERLINK("https://www.773grp.com/globalSearch/MM5Z7V5ST1/page-1", "MM5Z7V5ST1")</f>
        <v>MM5Z7V5ST1</v>
      </c>
      <c r="B23809" s="3" t="str">
        <f>HYPERLINK("https://www.773grp.com/manufacturer/onsemi?pageNo=285", "ON Semiconductor")</f>
        <v>ON Semiconductor</v>
      </c>
      <c r="C23809" s="6">
        <v>8163</v>
      </c>
      <c r="D23809" s="7">
        <v>0.1</v>
      </c>
      <c r="E23809" t="s">
        <v>98</v>
      </c>
    </row>
    <row r="23810" spans="1:5" x14ac:dyDescent="0.25">
      <c r="A23810" t="str">
        <f>HYPERLINK("https://www.773grp.com/globalSearch/MM5Z7V5T1/page-1", "MM5Z7V5T1")</f>
        <v>MM5Z7V5T1</v>
      </c>
      <c r="B23810" s="3" t="str">
        <f>HYPERLINK("https://www.773grp.com/manufacturer/onsemi?pageNo=286", "ON Semiconductor")</f>
        <v>ON Semiconductor</v>
      </c>
      <c r="C23810" s="6">
        <v>2703</v>
      </c>
      <c r="D23810" s="7">
        <v>0.1</v>
      </c>
      <c r="E23810" t="s">
        <v>98</v>
      </c>
    </row>
    <row r="23811" spans="1:5" x14ac:dyDescent="0.25">
      <c r="A23811" t="str">
        <f>HYPERLINK("https://www.773grp.com/globalSearch/MM5Z8V2ST1/page-1", "MM5Z8V2ST1")</f>
        <v>MM5Z8V2ST1</v>
      </c>
      <c r="B23811" s="3" t="str">
        <f>HYPERLINK("https://www.773grp.com/manufacturer/onsemi?pageNo=287", "ON Semiconductor")</f>
        <v>ON Semiconductor</v>
      </c>
      <c r="C23811" s="6">
        <v>2795</v>
      </c>
      <c r="D23811" s="7">
        <v>0.1</v>
      </c>
      <c r="E23811" t="s">
        <v>98</v>
      </c>
    </row>
    <row r="23812" spans="1:5" x14ac:dyDescent="0.25">
      <c r="A23812" t="str">
        <f>HYPERLINK("https://www.773grp.com/globalSearch/MM5Z8V2T1/page-1", "MM5Z8V2T1")</f>
        <v>MM5Z8V2T1</v>
      </c>
      <c r="B23812" s="3" t="str">
        <f>HYPERLINK("https://www.773grp.com/manufacturer/onsemi?pageNo=288", "ON Semiconductor")</f>
        <v>ON Semiconductor</v>
      </c>
      <c r="C23812" s="6">
        <v>5854</v>
      </c>
      <c r="D23812" s="7">
        <v>0.1</v>
      </c>
      <c r="E23812" t="s">
        <v>98</v>
      </c>
    </row>
    <row r="23813" spans="1:5" x14ac:dyDescent="0.25">
      <c r="A23813" t="str">
        <f>HYPERLINK("https://www.773grp.com/globalSearch/MM5Z9V1ST1/page-1", "MM5Z9V1ST1")</f>
        <v>MM5Z9V1ST1</v>
      </c>
      <c r="B23813" s="3" t="str">
        <f>HYPERLINK("https://www.773grp.com/manufacturer/onsemi?pageNo=289", "ON Semiconductor")</f>
        <v>ON Semiconductor</v>
      </c>
      <c r="C23813" s="6">
        <v>5970</v>
      </c>
      <c r="D23813" s="7">
        <v>0.1</v>
      </c>
      <c r="E23813" t="s">
        <v>98</v>
      </c>
    </row>
    <row r="23814" spans="1:5" x14ac:dyDescent="0.25">
      <c r="A23814" t="str">
        <f>HYPERLINK("https://www.773grp.com/globalSearch/MM5Z9V1T1/page-1", "MM5Z9V1T1")</f>
        <v>MM5Z9V1T1</v>
      </c>
      <c r="B23814" s="3" t="str">
        <f>HYPERLINK("https://www.773grp.com/manufacturer/onsemi?pageNo=290", "ON Semiconductor")</f>
        <v>ON Semiconductor</v>
      </c>
      <c r="C23814" s="6">
        <v>5734</v>
      </c>
      <c r="D23814" s="7">
        <v>0.1</v>
      </c>
      <c r="E23814" t="s">
        <v>98</v>
      </c>
    </row>
    <row r="23815" spans="1:5" x14ac:dyDescent="0.25">
      <c r="A23815" t="str">
        <f>HYPERLINK("https://www.773grp.com/globalSearch/MMBD1010LT1/page-1", "MMBD1010LT1")</f>
        <v>MMBD1010LT1</v>
      </c>
      <c r="B23815" s="3" t="str">
        <f>HYPERLINK("https://www.773grp.com/manufacturer/onsemi?pageNo=291", "ON Semiconductor")</f>
        <v>ON Semiconductor</v>
      </c>
      <c r="C23815" s="6">
        <v>167500</v>
      </c>
      <c r="D23815" s="7">
        <v>0.1</v>
      </c>
      <c r="E23815" t="s">
        <v>94</v>
      </c>
    </row>
    <row r="23816" spans="1:5" x14ac:dyDescent="0.25">
      <c r="A23816" t="str">
        <f>HYPERLINK("https://www.773grp.com/globalSearch/MMBD101LT1/page-1", "MMBD101LT1")</f>
        <v>MMBD101LT1</v>
      </c>
      <c r="B23816" s="3" t="str">
        <f>HYPERLINK("https://www.773grp.com/manufacturer/onsemi?pageNo=292", "ON Semiconductor")</f>
        <v>ON Semiconductor</v>
      </c>
      <c r="C23816" s="6">
        <v>255000</v>
      </c>
      <c r="D23816" s="7">
        <v>0.1</v>
      </c>
      <c r="E23816" t="s">
        <v>108</v>
      </c>
    </row>
    <row r="23817" spans="1:5" x14ac:dyDescent="0.25">
      <c r="A23817" t="str">
        <f>HYPERLINK("https://www.773grp.com/globalSearch/MMBD2835LT1/page-1", "MMBD2835LT1")</f>
        <v>MMBD2835LT1</v>
      </c>
      <c r="B23817" s="3" t="str">
        <f>HYPERLINK("https://www.773grp.com/manufacturer/onsemi?pageNo=293", "ON Semiconductor")</f>
        <v>ON Semiconductor</v>
      </c>
      <c r="C23817" s="6">
        <v>121000</v>
      </c>
      <c r="D23817" s="7">
        <v>0.1</v>
      </c>
      <c r="E23817" t="s">
        <v>94</v>
      </c>
    </row>
    <row r="23818" spans="1:5" x14ac:dyDescent="0.25">
      <c r="A23818" t="str">
        <f>HYPERLINK("https://www.773grp.com/globalSearch/MMBD2836LT1/page-1", "MMBD2836LT1")</f>
        <v>MMBD2836LT1</v>
      </c>
      <c r="B23818" s="3" t="str">
        <f>HYPERLINK("https://www.773grp.com/manufacturer/onsemi?pageNo=294", "ON Semiconductor")</f>
        <v>ON Semiconductor</v>
      </c>
      <c r="C23818" s="6">
        <v>476655</v>
      </c>
      <c r="D23818" s="7">
        <v>0.1</v>
      </c>
      <c r="E23818" t="s">
        <v>94</v>
      </c>
    </row>
    <row r="23819" spans="1:5" x14ac:dyDescent="0.25">
      <c r="A23819" t="str">
        <f>HYPERLINK("https://www.773grp.com/globalSearch/MMBD2837LT1/page-1", "MMBD2837LT1")</f>
        <v>MMBD2837LT1</v>
      </c>
      <c r="B23819" s="3" t="str">
        <f>HYPERLINK("https://www.773grp.com/manufacturer/onsemi?pageNo=295", "ON Semiconductor")</f>
        <v>ON Semiconductor</v>
      </c>
      <c r="C23819" s="6">
        <v>66000</v>
      </c>
      <c r="D23819" s="7">
        <v>0.1</v>
      </c>
      <c r="E23819" t="s">
        <v>94</v>
      </c>
    </row>
    <row r="23820" spans="1:5" x14ac:dyDescent="0.25">
      <c r="A23820" t="str">
        <f>HYPERLINK("https://www.773grp.com/globalSearch/MMBD2838LT1/page-1", "MMBD2838LT1")</f>
        <v>MMBD2838LT1</v>
      </c>
      <c r="B23820" s="3" t="str">
        <f>HYPERLINK("https://www.773grp.com/manufacturer/onsemi?pageNo=296", "ON Semiconductor")</f>
        <v>ON Semiconductor</v>
      </c>
      <c r="C23820" s="6">
        <v>42000</v>
      </c>
      <c r="D23820" s="7">
        <v>0.1</v>
      </c>
      <c r="E23820" t="s">
        <v>94</v>
      </c>
    </row>
    <row r="23821" spans="1:5" x14ac:dyDescent="0.25">
      <c r="A23821" t="str">
        <f>HYPERLINK("https://www.773grp.com/globalSearch/MMBD301M3T5G/page-1", "MMBD301M3T5G")</f>
        <v>MMBD301M3T5G</v>
      </c>
      <c r="B23821" s="3" t="str">
        <f>HYPERLINK("https://www.773grp.com/manufacturer/onsemi?pageNo=297", "ON Semiconductor")</f>
        <v>ON Semiconductor</v>
      </c>
      <c r="C23821" s="6">
        <v>80000</v>
      </c>
      <c r="D23821" s="7">
        <v>0.1</v>
      </c>
      <c r="E23821" t="s">
        <v>108</v>
      </c>
    </row>
    <row r="23822" spans="1:5" x14ac:dyDescent="0.25">
      <c r="A23822" t="str">
        <f>HYPERLINK("https://www.773grp.com/globalSearch/MMBD330T1G/page-1", "MMBD330T1G")</f>
        <v>MMBD330T1G</v>
      </c>
      <c r="B23822" s="3" t="str">
        <f>HYPERLINK("https://www.773grp.com/manufacturer/onsemi?pageNo=298", "ON Semiconductor")</f>
        <v>ON Semiconductor</v>
      </c>
      <c r="C23822" s="6">
        <v>105000</v>
      </c>
      <c r="D23822" s="7">
        <v>0.1</v>
      </c>
      <c r="E23822" t="s">
        <v>108</v>
      </c>
    </row>
    <row r="23823" spans="1:5" x14ac:dyDescent="0.25">
      <c r="A23823" t="str">
        <f>HYPERLINK("https://www.773grp.com/globalSearch/MMBD7000LT1G/page-1", "MMBD7000LT1G")</f>
        <v>MMBD7000LT1G</v>
      </c>
      <c r="B23823" s="3" t="str">
        <f>HYPERLINK("https://www.773grp.com/manufacturer/onsemi?pageNo=299", "ON Semiconductor")</f>
        <v>ON Semiconductor</v>
      </c>
      <c r="C23823" s="6">
        <v>1216000</v>
      </c>
      <c r="D23823" s="7">
        <v>0.1</v>
      </c>
      <c r="E23823" t="s">
        <v>94</v>
      </c>
    </row>
    <row r="23824" spans="1:5" x14ac:dyDescent="0.25">
      <c r="A23824" t="str">
        <f>HYPERLINK("https://www.773grp.com/globalSearch/MMBD7000LT3G/page-1", "MMBD7000LT3G")</f>
        <v>MMBD7000LT3G</v>
      </c>
      <c r="B23824" s="3" t="str">
        <f>HYPERLINK("https://www.773grp.com/manufacturer/onsemi?pageNo=300", "ON Semiconductor")</f>
        <v>ON Semiconductor</v>
      </c>
      <c r="C23824" s="6">
        <v>520000</v>
      </c>
      <c r="D23824" s="7">
        <v>0.1</v>
      </c>
      <c r="E23824" t="s">
        <v>94</v>
      </c>
    </row>
    <row r="23825" spans="1:5" x14ac:dyDescent="0.25">
      <c r="A23825" t="str">
        <f>HYPERLINK("https://www.773grp.com/globalSearch/MMBD770T1/page-1", "MMBD770T1")</f>
        <v>MMBD770T1</v>
      </c>
      <c r="B23825" s="3" t="str">
        <f>HYPERLINK("https://www.773grp.com/manufacturer/onsemi?pageNo=301", "ON Semiconductor")</f>
        <v>ON Semiconductor</v>
      </c>
      <c r="C23825" s="6">
        <v>3000</v>
      </c>
      <c r="D23825" s="7">
        <v>0.1</v>
      </c>
      <c r="E23825" t="s">
        <v>108</v>
      </c>
    </row>
    <row r="23826" spans="1:5" x14ac:dyDescent="0.25">
      <c r="A23826" t="str">
        <f>HYPERLINK("https://www.773grp.com/globalSearch/MMBD770T1G/page-1", "MMBD770T1G")</f>
        <v>MMBD770T1G</v>
      </c>
      <c r="B23826" s="3" t="str">
        <f>HYPERLINK("https://www.773grp.com/manufacturer/onsemi?pageNo=302", "ON Semiconductor")</f>
        <v>ON Semiconductor</v>
      </c>
      <c r="C23826" s="6">
        <v>140355</v>
      </c>
      <c r="D23826" s="7">
        <v>0.1</v>
      </c>
      <c r="E23826" t="s">
        <v>108</v>
      </c>
    </row>
    <row r="23827" spans="1:5" x14ac:dyDescent="0.25">
      <c r="A23827" t="str">
        <f>HYPERLINK("https://www.773grp.com/globalSearch/MMBD914L1G/page-1", "MMBD914L1G")</f>
        <v>MMBD914L1G</v>
      </c>
      <c r="B23827" s="3" t="str">
        <f>HYPERLINK("https://www.773grp.com/manufacturer/onsemi?pageNo=303", "ON Semiconductor")</f>
        <v>ON Semiconductor</v>
      </c>
      <c r="C23827" s="6">
        <v>80</v>
      </c>
      <c r="D23827" s="7">
        <v>0.1</v>
      </c>
    </row>
    <row r="23828" spans="1:5" x14ac:dyDescent="0.25">
      <c r="A23828" t="str">
        <f>HYPERLINK("https://www.773grp.com/globalSearch/MMBD914LT1G/page-1", "MMBD914LT1G")</f>
        <v>MMBD914LT1G</v>
      </c>
      <c r="B23828" s="3" t="str">
        <f>HYPERLINK("https://www.773grp.com/manufacturer/onsemi?pageNo=304", "ON Semiconductor")</f>
        <v>ON Semiconductor</v>
      </c>
      <c r="C23828" s="6">
        <v>9000</v>
      </c>
      <c r="D23828" s="7">
        <v>0.1</v>
      </c>
      <c r="E23828" t="s">
        <v>94</v>
      </c>
    </row>
    <row r="23829" spans="1:5" x14ac:dyDescent="0.25">
      <c r="A23829" t="str">
        <f>HYPERLINK("https://www.773grp.com/globalSearch/MMBD914LT3G/page-1", "MMBD914LT3G")</f>
        <v>MMBD914LT3G</v>
      </c>
      <c r="B23829" s="3" t="str">
        <f>HYPERLINK("https://www.773grp.com/manufacturer/onsemi?pageNo=305", "ON Semiconductor")</f>
        <v>ON Semiconductor</v>
      </c>
      <c r="C23829" s="6">
        <v>450000</v>
      </c>
      <c r="D23829" s="7">
        <v>0.1</v>
      </c>
      <c r="E23829" t="s">
        <v>94</v>
      </c>
    </row>
    <row r="23830" spans="1:5" x14ac:dyDescent="0.25">
      <c r="A23830" t="str">
        <f>HYPERLINK("https://www.773grp.com/globalSearch/MMBF170LT1/page-1", "MMBF170LT1")</f>
        <v>MMBF170LT1</v>
      </c>
      <c r="B23830" s="3" t="str">
        <f>HYPERLINK("https://www.773grp.com/manufacturer/onsemi?pageNo=306", "ON Semiconductor")</f>
        <v>ON Semiconductor</v>
      </c>
      <c r="C23830" s="6">
        <v>2880</v>
      </c>
      <c r="D23830" s="7">
        <v>0.1</v>
      </c>
      <c r="E23830" t="s">
        <v>106</v>
      </c>
    </row>
    <row r="23831" spans="1:5" x14ac:dyDescent="0.25">
      <c r="A23831" t="str">
        <f>HYPERLINK("https://www.773grp.com/globalSearch/MMBT2222ALT1G/page-1", "MMBT2222ALT1G")</f>
        <v>MMBT2222ALT1G</v>
      </c>
      <c r="B23831" s="3" t="str">
        <f>HYPERLINK("https://www.773grp.com/manufacturer/onsemi?pageNo=307", "ON Semiconductor")</f>
        <v>ON Semiconductor</v>
      </c>
      <c r="C23831" s="6">
        <v>1094060</v>
      </c>
      <c r="D23831" s="7">
        <v>0.1</v>
      </c>
      <c r="E23831" t="s">
        <v>69</v>
      </c>
    </row>
    <row r="23832" spans="1:5" x14ac:dyDescent="0.25">
      <c r="A23832" t="str">
        <f>HYPERLINK("https://www.773grp.com/globalSearch/MMBT2222ALT1H/page-1", "MMBT2222ALT1H")</f>
        <v>MMBT2222ALT1H</v>
      </c>
      <c r="B23832" s="3" t="str">
        <f>HYPERLINK("https://www.773grp.com/manufacturer/onsemi?pageNo=308", "ON Semiconductor")</f>
        <v>ON Semiconductor</v>
      </c>
      <c r="C23832" s="6">
        <v>105000</v>
      </c>
      <c r="D23832" s="7">
        <v>0.1</v>
      </c>
    </row>
    <row r="23833" spans="1:5" x14ac:dyDescent="0.25">
      <c r="A23833" t="str">
        <f>HYPERLINK("https://www.773grp.com/globalSearch/MMBT2222ALT3G/page-1", "MMBT2222ALT3G")</f>
        <v>MMBT2222ALT3G</v>
      </c>
      <c r="B23833" s="3" t="str">
        <f>HYPERLINK("https://www.773grp.com/manufacturer/onsemi?pageNo=309", "ON Semiconductor")</f>
        <v>ON Semiconductor</v>
      </c>
      <c r="C23833" s="6">
        <v>2610000</v>
      </c>
      <c r="D23833" s="7">
        <v>0.1</v>
      </c>
      <c r="E23833" t="s">
        <v>69</v>
      </c>
    </row>
    <row r="23834" spans="1:5" x14ac:dyDescent="0.25">
      <c r="A23834" t="str">
        <f>HYPERLINK("https://www.773grp.com/globalSearch/MMBT2222ATT1/page-1", "MMBT2222ATT1")</f>
        <v>MMBT2222ATT1</v>
      </c>
      <c r="B23834" s="3" t="str">
        <f>HYPERLINK("https://www.773grp.com/manufacturer/onsemi?pageNo=310", "ON Semiconductor")</f>
        <v>ON Semiconductor</v>
      </c>
      <c r="C23834" s="6">
        <v>262333</v>
      </c>
      <c r="D23834" s="7">
        <v>0.1</v>
      </c>
      <c r="E23834" t="s">
        <v>69</v>
      </c>
    </row>
    <row r="23835" spans="1:5" x14ac:dyDescent="0.25">
      <c r="A23835" t="str">
        <f>HYPERLINK("https://www.773grp.com/globalSearch/MMBT2222AWT1/page-1", "MMBT2222AWT1")</f>
        <v>MMBT2222AWT1</v>
      </c>
      <c r="B23835" s="3" t="str">
        <f>HYPERLINK("https://www.773grp.com/manufacturer/onsemi?pageNo=311", "ON Semiconductor")</f>
        <v>ON Semiconductor</v>
      </c>
      <c r="C23835" s="6">
        <v>59500</v>
      </c>
      <c r="D23835" s="7">
        <v>0.1</v>
      </c>
      <c r="E23835" t="s">
        <v>69</v>
      </c>
    </row>
    <row r="23836" spans="1:5" x14ac:dyDescent="0.25">
      <c r="A23836" t="str">
        <f>HYPERLINK("https://www.773grp.com/globalSearch/MMBT2222LT1/page-1", "MMBT2222LT1")</f>
        <v>MMBT2222LT1</v>
      </c>
      <c r="B23836" s="3" t="str">
        <f>HYPERLINK("https://www.773grp.com/manufacturer/onsemi?pageNo=312", "ON Semiconductor")</f>
        <v>ON Semiconductor</v>
      </c>
      <c r="C23836" s="6">
        <v>50600</v>
      </c>
      <c r="D23836" s="7">
        <v>0.1</v>
      </c>
      <c r="E23836" t="s">
        <v>69</v>
      </c>
    </row>
    <row r="23837" spans="1:5" x14ac:dyDescent="0.25">
      <c r="A23837" t="str">
        <f>HYPERLINK("https://www.773grp.com/globalSearch/MMBT2222LT1G/page-1", "MMBT2222LT1G")</f>
        <v>MMBT2222LT1G</v>
      </c>
      <c r="B23837" s="3" t="str">
        <f>HYPERLINK("https://www.773grp.com/manufacturer/onsemi?pageNo=313", "ON Semiconductor")</f>
        <v>ON Semiconductor</v>
      </c>
      <c r="C23837" s="6">
        <v>120000</v>
      </c>
      <c r="D23837" s="7">
        <v>0.1</v>
      </c>
      <c r="E23837" t="s">
        <v>69</v>
      </c>
    </row>
    <row r="23838" spans="1:5" x14ac:dyDescent="0.25">
      <c r="A23838" t="str">
        <f>HYPERLINK("https://www.773grp.com/globalSearch/MMBT2222LT3/page-1", "MMBT2222LT3")</f>
        <v>MMBT2222LT3</v>
      </c>
      <c r="B23838" s="3" t="str">
        <f>HYPERLINK("https://www.773grp.com/manufacturer/onsemi?pageNo=314", "ON Semiconductor")</f>
        <v>ON Semiconductor</v>
      </c>
      <c r="C23838" s="6">
        <v>183300</v>
      </c>
      <c r="D23838" s="7">
        <v>0.1</v>
      </c>
      <c r="E23838" t="s">
        <v>69</v>
      </c>
    </row>
    <row r="23839" spans="1:5" x14ac:dyDescent="0.25">
      <c r="A23839" t="str">
        <f>HYPERLINK("https://www.773grp.com/globalSearch/MMBT2222LT3G/page-1", "MMBT2222LT3G")</f>
        <v>MMBT2222LT3G</v>
      </c>
      <c r="B23839" s="3" t="str">
        <f>HYPERLINK("https://www.773grp.com/manufacturer/onsemi?pageNo=315", "ON Semiconductor")</f>
        <v>ON Semiconductor</v>
      </c>
      <c r="C23839" s="6">
        <v>200000</v>
      </c>
      <c r="D23839" s="7">
        <v>0.1</v>
      </c>
      <c r="E23839" t="s">
        <v>69</v>
      </c>
    </row>
    <row r="23840" spans="1:5" x14ac:dyDescent="0.25">
      <c r="A23840" t="str">
        <f>HYPERLINK("https://www.773grp.com/globalSearch/MMBT2484LT1/page-1", "MMBT2484LT1")</f>
        <v>MMBT2484LT1</v>
      </c>
      <c r="B23840" s="3" t="str">
        <f>HYPERLINK("https://www.773grp.com/manufacturer/onsemi?pageNo=316", "ON Semiconductor")</f>
        <v>ON Semiconductor</v>
      </c>
      <c r="C23840" s="6">
        <v>259997</v>
      </c>
      <c r="D23840" s="7">
        <v>0.1</v>
      </c>
      <c r="E23840" t="s">
        <v>69</v>
      </c>
    </row>
    <row r="23841" spans="1:5" x14ac:dyDescent="0.25">
      <c r="A23841" t="str">
        <f>HYPERLINK("https://www.773grp.com/globalSearch/MMBT2907ALT1/page-1", "MMBT2907ALT1")</f>
        <v>MMBT2907ALT1</v>
      </c>
      <c r="B23841" s="3" t="str">
        <f>HYPERLINK("https://www.773grp.com/manufacturer/onsemi?pageNo=317", "ON Semiconductor")</f>
        <v>ON Semiconductor</v>
      </c>
      <c r="C23841" s="6">
        <v>45758</v>
      </c>
      <c r="D23841" s="7">
        <v>0.1</v>
      </c>
      <c r="E23841" t="s">
        <v>69</v>
      </c>
    </row>
    <row r="23842" spans="1:5" x14ac:dyDescent="0.25">
      <c r="A23842" t="str">
        <f>HYPERLINK("https://www.773grp.com/globalSearch/MMBT2907ALT1G/page-1", "MMBT2907ALT1G")</f>
        <v>MMBT2907ALT1G</v>
      </c>
      <c r="B23842" s="3" t="str">
        <f>HYPERLINK("https://www.773grp.com/manufacturer/onsemi?pageNo=318", "ON Semiconductor")</f>
        <v>ON Semiconductor</v>
      </c>
      <c r="C23842" s="6">
        <v>1629706</v>
      </c>
      <c r="D23842" s="7">
        <v>0.1</v>
      </c>
      <c r="E23842" t="s">
        <v>69</v>
      </c>
    </row>
    <row r="23843" spans="1:5" x14ac:dyDescent="0.25">
      <c r="A23843" t="str">
        <f>HYPERLINK("https://www.773grp.com/globalSearch/MMBT2907ALT3/page-1", "MMBT2907ALT3")</f>
        <v>MMBT2907ALT3</v>
      </c>
      <c r="B23843" s="3" t="str">
        <f>HYPERLINK("https://www.773grp.com/manufacturer/onsemi?pageNo=319", "ON Semiconductor")</f>
        <v>ON Semiconductor</v>
      </c>
      <c r="C23843" s="6">
        <v>10000</v>
      </c>
      <c r="D23843" s="7">
        <v>0.1</v>
      </c>
      <c r="E23843" t="s">
        <v>69</v>
      </c>
    </row>
    <row r="23844" spans="1:5" x14ac:dyDescent="0.25">
      <c r="A23844" t="str">
        <f>HYPERLINK("https://www.773grp.com/globalSearch/MMBT2907ALT3G/page-1", "MMBT2907ALT3G")</f>
        <v>MMBT2907ALT3G</v>
      </c>
      <c r="B23844" s="3" t="str">
        <f>HYPERLINK("https://www.773grp.com/manufacturer/onsemi?pageNo=320", "ON Semiconductor")</f>
        <v>ON Semiconductor</v>
      </c>
      <c r="C23844" s="6">
        <v>163189</v>
      </c>
      <c r="D23844" s="7">
        <v>0.1</v>
      </c>
      <c r="E23844" t="s">
        <v>69</v>
      </c>
    </row>
    <row r="23845" spans="1:5" x14ac:dyDescent="0.25">
      <c r="A23845" t="str">
        <f>HYPERLINK("https://www.773grp.com/globalSearch/MMBT2907AWT1/page-1", "MMBT2907AWT1")</f>
        <v>MMBT2907AWT1</v>
      </c>
      <c r="B23845" s="3" t="str">
        <f>HYPERLINK("https://www.773grp.com/manufacturer/onsemi?pageNo=321", "ON Semiconductor")</f>
        <v>ON Semiconductor</v>
      </c>
      <c r="C23845" s="6">
        <v>83500</v>
      </c>
      <c r="D23845" s="7">
        <v>0.1</v>
      </c>
      <c r="E23845" t="s">
        <v>69</v>
      </c>
    </row>
    <row r="23846" spans="1:5" x14ac:dyDescent="0.25">
      <c r="A23846" t="str">
        <f>HYPERLINK("https://www.773grp.com/globalSearch/MMBT3904LT1G/page-1", "MMBT3904LT1G")</f>
        <v>MMBT3904LT1G</v>
      </c>
      <c r="B23846" s="3" t="str">
        <f>HYPERLINK("https://www.773grp.com/manufacturer/onsemi?pageNo=322", "ON Semiconductor")</f>
        <v>ON Semiconductor</v>
      </c>
      <c r="C23846" s="6">
        <v>1023091</v>
      </c>
      <c r="D23846" s="7">
        <v>0.1</v>
      </c>
      <c r="E23846" t="s">
        <v>69</v>
      </c>
    </row>
    <row r="23847" spans="1:5" x14ac:dyDescent="0.25">
      <c r="A23847" t="str">
        <f>HYPERLINK("https://www.773grp.com/globalSearch/MMBT3904LT3/page-1", "MMBT3904LT3")</f>
        <v>MMBT3904LT3</v>
      </c>
      <c r="B23847" s="3" t="str">
        <f>HYPERLINK("https://www.773grp.com/manufacturer/onsemi?pageNo=323", "ON Semiconductor")</f>
        <v>ON Semiconductor</v>
      </c>
      <c r="C23847" s="6">
        <v>220000</v>
      </c>
      <c r="D23847" s="7">
        <v>0.1</v>
      </c>
    </row>
    <row r="23848" spans="1:5" x14ac:dyDescent="0.25">
      <c r="A23848" t="str">
        <f>HYPERLINK("https://www.773grp.com/globalSearch/MMBT3904LT3G/page-1", "MMBT3904LT3G")</f>
        <v>MMBT3904LT3G</v>
      </c>
      <c r="B23848" s="3" t="str">
        <f>HYPERLINK("https://www.773grp.com/manufacturer/onsemi?pageNo=324", "ON Semiconductor")</f>
        <v>ON Semiconductor</v>
      </c>
      <c r="C23848" s="6">
        <v>230000</v>
      </c>
      <c r="D23848" s="7">
        <v>0.1</v>
      </c>
      <c r="E23848" t="s">
        <v>69</v>
      </c>
    </row>
    <row r="23849" spans="1:5" x14ac:dyDescent="0.25">
      <c r="A23849" t="str">
        <f>HYPERLINK("https://www.773grp.com/globalSearch/MMBT3904WT1/page-1", "MMBT3904WT1")</f>
        <v>MMBT3904WT1</v>
      </c>
      <c r="B23849" s="3" t="str">
        <f>HYPERLINK("https://www.773grp.com/manufacturer/onsemi?pageNo=325", "ON Semiconductor")</f>
        <v>ON Semiconductor</v>
      </c>
      <c r="C23849" s="6">
        <v>456000</v>
      </c>
      <c r="D23849" s="7">
        <v>0.1</v>
      </c>
      <c r="E23849" t="s">
        <v>69</v>
      </c>
    </row>
    <row r="23850" spans="1:5" x14ac:dyDescent="0.25">
      <c r="A23850" t="str">
        <f>HYPERLINK("https://www.773grp.com/globalSearch/MMBT3904WT1G/page-1", "MMBT3904WT1G")</f>
        <v>MMBT3904WT1G</v>
      </c>
      <c r="B23850" s="3" t="str">
        <f>HYPERLINK("https://www.773grp.com/manufacturer/onsemi?pageNo=326", "ON Semiconductor")</f>
        <v>ON Semiconductor</v>
      </c>
      <c r="C23850" s="6">
        <v>360200</v>
      </c>
      <c r="D23850" s="7">
        <v>0.1</v>
      </c>
      <c r="E23850" t="s">
        <v>69</v>
      </c>
    </row>
    <row r="23851" spans="1:5" x14ac:dyDescent="0.25">
      <c r="A23851" t="str">
        <f>HYPERLINK("https://www.773grp.com/globalSearch/MMBT3904WT1H/page-1", "MMBT3904WT1H")</f>
        <v>MMBT3904WT1H</v>
      </c>
      <c r="B23851" s="3" t="str">
        <f>HYPERLINK("https://www.773grp.com/manufacturer/onsemi?pageNo=327", "ON Semiconductor")</f>
        <v>ON Semiconductor</v>
      </c>
      <c r="C23851" s="6">
        <v>261000</v>
      </c>
      <c r="D23851" s="7">
        <v>0.1</v>
      </c>
    </row>
    <row r="23852" spans="1:5" x14ac:dyDescent="0.25">
      <c r="A23852" t="str">
        <f>HYPERLINK("https://www.773grp.com/globalSearch/MMBT3906LT1G/page-1", "MMBT3906LT1G")</f>
        <v>MMBT3906LT1G</v>
      </c>
      <c r="B23852" s="3" t="str">
        <f>HYPERLINK("https://www.773grp.com/manufacturer/onsemi?pageNo=328", "ON Semiconductor")</f>
        <v>ON Semiconductor</v>
      </c>
      <c r="C23852" s="6">
        <v>3934485</v>
      </c>
      <c r="D23852" s="7">
        <v>0.1</v>
      </c>
      <c r="E23852" t="s">
        <v>69</v>
      </c>
    </row>
    <row r="23853" spans="1:5" x14ac:dyDescent="0.25">
      <c r="A23853" t="str">
        <f>HYPERLINK("https://www.773grp.com/globalSearch/MMBT3906LT1H/page-1", "MMBT3906LT1H")</f>
        <v>MMBT3906LT1H</v>
      </c>
      <c r="B23853" s="3" t="str">
        <f>HYPERLINK("https://www.773grp.com/manufacturer/onsemi?pageNo=329", "ON Semiconductor")</f>
        <v>ON Semiconductor</v>
      </c>
      <c r="C23853" s="6">
        <v>39000</v>
      </c>
      <c r="D23853" s="7">
        <v>0.1</v>
      </c>
    </row>
    <row r="23854" spans="1:5" x14ac:dyDescent="0.25">
      <c r="A23854" t="str">
        <f>HYPERLINK("https://www.773grp.com/globalSearch/MMBT3906LT3G/page-1", "MMBT3906LT3G")</f>
        <v>MMBT3906LT3G</v>
      </c>
      <c r="B23854" s="3" t="str">
        <f>HYPERLINK("https://www.773grp.com/manufacturer/onsemi?pageNo=330", "ON Semiconductor")</f>
        <v>ON Semiconductor</v>
      </c>
      <c r="C23854" s="6">
        <v>183732</v>
      </c>
      <c r="D23854" s="7">
        <v>0.1</v>
      </c>
      <c r="E23854" t="s">
        <v>69</v>
      </c>
    </row>
    <row r="23855" spans="1:5" x14ac:dyDescent="0.25">
      <c r="A23855" t="str">
        <f>HYPERLINK("https://www.773grp.com/globalSearch/MMBT3906WT1/page-1", "MMBT3906WT1")</f>
        <v>MMBT3906WT1</v>
      </c>
      <c r="B23855" s="3" t="str">
        <f>HYPERLINK("https://www.773grp.com/manufacturer/onsemi?pageNo=331", "ON Semiconductor")</f>
        <v>ON Semiconductor</v>
      </c>
      <c r="C23855" s="6">
        <v>362750</v>
      </c>
      <c r="D23855" s="7">
        <v>0.1</v>
      </c>
      <c r="E23855" t="s">
        <v>69</v>
      </c>
    </row>
    <row r="23856" spans="1:5" x14ac:dyDescent="0.25">
      <c r="A23856" t="str">
        <f>HYPERLINK("https://www.773grp.com/globalSearch/MMBT3906WT1G/page-1", "MMBT3906WT1G")</f>
        <v>MMBT3906WT1G</v>
      </c>
      <c r="B23856" s="3" t="str">
        <f>HYPERLINK("https://www.773grp.com/manufacturer/onsemi?pageNo=332", "ON Semiconductor")</f>
        <v>ON Semiconductor</v>
      </c>
      <c r="C23856" s="6">
        <v>844019</v>
      </c>
      <c r="D23856" s="7">
        <v>0.1</v>
      </c>
      <c r="E23856" t="s">
        <v>69</v>
      </c>
    </row>
    <row r="23857" spans="1:5" x14ac:dyDescent="0.25">
      <c r="A23857" t="str">
        <f>HYPERLINK("https://www.773grp.com/globalSearch/MMBT4124LT1G/page-1", "MMBT4124LT1G")</f>
        <v>MMBT4124LT1G</v>
      </c>
      <c r="B23857" s="3" t="str">
        <f>HYPERLINK("https://www.773grp.com/manufacturer/onsemi?pageNo=333", "ON Semiconductor")</f>
        <v>ON Semiconductor</v>
      </c>
      <c r="C23857" s="6">
        <v>48000</v>
      </c>
      <c r="D23857" s="7">
        <v>0.1</v>
      </c>
      <c r="E23857" t="s">
        <v>69</v>
      </c>
    </row>
    <row r="23858" spans="1:5" x14ac:dyDescent="0.25">
      <c r="A23858" t="str">
        <f>HYPERLINK("https://www.773grp.com/globalSearch/MMBT4126LT1G/page-1", "MMBT4126LT1G")</f>
        <v>MMBT4126LT1G</v>
      </c>
      <c r="B23858" s="3" t="str">
        <f>HYPERLINK("https://www.773grp.com/manufacturer/onsemi?pageNo=334", "ON Semiconductor")</f>
        <v>ON Semiconductor</v>
      </c>
      <c r="C23858" s="6">
        <v>63000</v>
      </c>
      <c r="D23858" s="7">
        <v>0.1</v>
      </c>
      <c r="E23858" t="s">
        <v>69</v>
      </c>
    </row>
    <row r="23859" spans="1:5" x14ac:dyDescent="0.25">
      <c r="A23859" t="str">
        <f>HYPERLINK("https://www.773grp.com/globalSearch/MMBT4401LT1/page-1", "MMBT4401LT1")</f>
        <v>MMBT4401LT1</v>
      </c>
      <c r="B23859" s="3" t="str">
        <f>HYPERLINK("https://www.773grp.com/manufacturer/onsemi?pageNo=335", "ON Semiconductor")</f>
        <v>ON Semiconductor</v>
      </c>
      <c r="C23859" s="6">
        <v>487411</v>
      </c>
      <c r="D23859" s="7">
        <v>0.1</v>
      </c>
      <c r="E23859" t="s">
        <v>69</v>
      </c>
    </row>
    <row r="23860" spans="1:5" x14ac:dyDescent="0.25">
      <c r="A23860" t="str">
        <f>HYPERLINK("https://www.773grp.com/globalSearch/MMBT4401LT1G/page-1", "MMBT4401LT1G")</f>
        <v>MMBT4401LT1G</v>
      </c>
      <c r="B23860" s="3" t="str">
        <f>HYPERLINK("https://www.773grp.com/manufacturer/onsemi?pageNo=336", "ON Semiconductor")</f>
        <v>ON Semiconductor</v>
      </c>
      <c r="C23860" s="6">
        <v>453160</v>
      </c>
      <c r="D23860" s="7">
        <v>0.1</v>
      </c>
      <c r="E23860" t="s">
        <v>69</v>
      </c>
    </row>
    <row r="23861" spans="1:5" x14ac:dyDescent="0.25">
      <c r="A23861" t="str">
        <f>HYPERLINK("https://www.773grp.com/globalSearch/MMBT4401LT1H/page-1", "MMBT4401LT1H")</f>
        <v>MMBT4401LT1H</v>
      </c>
      <c r="B23861" s="3" t="str">
        <f>HYPERLINK("https://www.773grp.com/manufacturer/onsemi?pageNo=337", "ON Semiconductor")</f>
        <v>ON Semiconductor</v>
      </c>
      <c r="C23861" s="6">
        <v>99000</v>
      </c>
      <c r="D23861" s="7">
        <v>0.1</v>
      </c>
    </row>
    <row r="23862" spans="1:5" x14ac:dyDescent="0.25">
      <c r="A23862" t="str">
        <f>HYPERLINK("https://www.773grp.com/globalSearch/MMBT4401LT3/page-1", "MMBT4401LT3")</f>
        <v>MMBT4401LT3</v>
      </c>
      <c r="B23862" s="3" t="str">
        <f>HYPERLINK("https://www.773grp.com/manufacturer/onsemi?pageNo=338", "ON Semiconductor")</f>
        <v>ON Semiconductor</v>
      </c>
      <c r="C23862" s="6">
        <v>50000</v>
      </c>
      <c r="D23862" s="7">
        <v>0.1</v>
      </c>
      <c r="E23862" t="s">
        <v>69</v>
      </c>
    </row>
    <row r="23863" spans="1:5" x14ac:dyDescent="0.25">
      <c r="A23863" t="str">
        <f>HYPERLINK("https://www.773grp.com/globalSearch/MMBT4401LT3G/page-1", "MMBT4401LT3G")</f>
        <v>MMBT4401LT3G</v>
      </c>
      <c r="B23863" s="3" t="str">
        <f>HYPERLINK("https://www.773grp.com/manufacturer/onsemi?pageNo=339", "ON Semiconductor")</f>
        <v>ON Semiconductor</v>
      </c>
      <c r="C23863" s="6">
        <v>230000</v>
      </c>
      <c r="D23863" s="7">
        <v>0.1</v>
      </c>
      <c r="E23863" t="s">
        <v>69</v>
      </c>
    </row>
    <row r="23864" spans="1:5" x14ac:dyDescent="0.25">
      <c r="A23864" t="str">
        <f>HYPERLINK("https://www.773grp.com/globalSearch/MMBT4401WT1/page-1", "MMBT4401WT1")</f>
        <v>MMBT4401WT1</v>
      </c>
      <c r="B23864" s="3" t="str">
        <f>HYPERLINK("https://www.773grp.com/manufacturer/onsemi?pageNo=340", "ON Semiconductor")</f>
        <v>ON Semiconductor</v>
      </c>
      <c r="C23864" s="6">
        <v>11876</v>
      </c>
      <c r="D23864" s="7">
        <v>0.1</v>
      </c>
      <c r="E23864" t="s">
        <v>69</v>
      </c>
    </row>
    <row r="23865" spans="1:5" x14ac:dyDescent="0.25">
      <c r="A23865" t="str">
        <f>HYPERLINK("https://www.773grp.com/globalSearch/MMBT4403LT1/page-1", "MMBT4403LT1")</f>
        <v>MMBT4403LT1</v>
      </c>
      <c r="B23865" s="3" t="str">
        <f>HYPERLINK("https://www.773grp.com/manufacturer/onsemi?pageNo=341", "ON Semiconductor")</f>
        <v>ON Semiconductor</v>
      </c>
      <c r="C23865" s="6">
        <v>27260</v>
      </c>
      <c r="D23865" s="7">
        <v>0.1</v>
      </c>
      <c r="E23865" t="s">
        <v>69</v>
      </c>
    </row>
    <row r="23866" spans="1:5" x14ac:dyDescent="0.25">
      <c r="A23866" t="str">
        <f>HYPERLINK("https://www.773grp.com/globalSearch/MMBT4403LT1G/page-1", "MMBT4403LT1G")</f>
        <v>MMBT4403LT1G</v>
      </c>
      <c r="B23866" s="3" t="str">
        <f>HYPERLINK("https://www.773grp.com/manufacturer/onsemi?pageNo=342", "ON Semiconductor")</f>
        <v>ON Semiconductor</v>
      </c>
      <c r="C23866" s="6">
        <v>4773677</v>
      </c>
      <c r="D23866" s="7">
        <v>0.1</v>
      </c>
      <c r="E23866" t="s">
        <v>69</v>
      </c>
    </row>
    <row r="23867" spans="1:5" x14ac:dyDescent="0.25">
      <c r="A23867" t="str">
        <f>HYPERLINK("https://www.773grp.com/globalSearch/MMBT4403LT3G/page-1", "MMBT4403LT3G")</f>
        <v>MMBT4403LT3G</v>
      </c>
      <c r="B23867" s="3" t="str">
        <f>HYPERLINK("https://www.773grp.com/manufacturer/onsemi?pageNo=343", "ON Semiconductor")</f>
        <v>ON Semiconductor</v>
      </c>
      <c r="C23867" s="6">
        <v>213364</v>
      </c>
      <c r="D23867" s="7">
        <v>0.1</v>
      </c>
      <c r="E23867" t="s">
        <v>69</v>
      </c>
    </row>
    <row r="23868" spans="1:5" x14ac:dyDescent="0.25">
      <c r="A23868" t="str">
        <f>HYPERLINK("https://www.773grp.com/globalSearch/MMBT4403T1/page-1", "MMBT4403T1")</f>
        <v>MMBT4403T1</v>
      </c>
      <c r="B23868" s="3" t="str">
        <f>HYPERLINK("https://www.773grp.com/manufacturer/onsemi?pageNo=344", "ON Semiconductor")</f>
        <v>ON Semiconductor</v>
      </c>
      <c r="C23868" s="6">
        <v>9000</v>
      </c>
      <c r="D23868" s="7">
        <v>0.1</v>
      </c>
    </row>
    <row r="23869" spans="1:5" x14ac:dyDescent="0.25">
      <c r="A23869" t="str">
        <f>HYPERLINK("https://www.773grp.com/globalSearch/MMBT4403WT1/page-1", "MMBT4403WT1")</f>
        <v>MMBT4403WT1</v>
      </c>
      <c r="B23869" s="3" t="str">
        <f>HYPERLINK("https://www.773grp.com/manufacturer/onsemi?pageNo=345", "ON Semiconductor")</f>
        <v>ON Semiconductor</v>
      </c>
      <c r="C23869" s="6">
        <v>32345</v>
      </c>
      <c r="D23869" s="7">
        <v>0.1</v>
      </c>
      <c r="E23869" t="s">
        <v>69</v>
      </c>
    </row>
    <row r="23870" spans="1:5" x14ac:dyDescent="0.25">
      <c r="A23870" t="str">
        <f>HYPERLINK("https://www.773grp.com/globalSearch/MMBT5088LT1/page-1", "MMBT5088LT1")</f>
        <v>MMBT5088LT1</v>
      </c>
      <c r="B23870" s="3" t="str">
        <f>HYPERLINK("https://www.773grp.com/manufacturer/onsemi?pageNo=346", "ON Semiconductor")</f>
        <v>ON Semiconductor</v>
      </c>
      <c r="C23870" s="6">
        <v>378000</v>
      </c>
      <c r="D23870" s="7">
        <v>0.1</v>
      </c>
      <c r="E23870" t="s">
        <v>69</v>
      </c>
    </row>
    <row r="23871" spans="1:5" x14ac:dyDescent="0.25">
      <c r="A23871" t="str">
        <f>HYPERLINK("https://www.773grp.com/globalSearch/MMBT5089LT1/page-1", "MMBT5089LT1")</f>
        <v>MMBT5089LT1</v>
      </c>
      <c r="B23871" s="3" t="str">
        <f>HYPERLINK("https://www.773grp.com/manufacturer/onsemi?pageNo=347", "ON Semiconductor")</f>
        <v>ON Semiconductor</v>
      </c>
      <c r="C23871" s="6">
        <v>366000</v>
      </c>
      <c r="D23871" s="7">
        <v>0.1</v>
      </c>
      <c r="E23871" t="s">
        <v>69</v>
      </c>
    </row>
    <row r="23872" spans="1:5" x14ac:dyDescent="0.25">
      <c r="A23872" t="str">
        <f>HYPERLINK("https://www.773grp.com/globalSearch/MMBT5550LT1/page-1", "MMBT5550LT1")</f>
        <v>MMBT5550LT1</v>
      </c>
      <c r="B23872" s="3" t="str">
        <f>HYPERLINK("https://www.773grp.com/manufacturer/onsemi?pageNo=348", "ON Semiconductor")</f>
        <v>ON Semiconductor</v>
      </c>
      <c r="C23872" s="6">
        <v>242450</v>
      </c>
      <c r="D23872" s="7">
        <v>0.1</v>
      </c>
      <c r="E23872" t="s">
        <v>69</v>
      </c>
    </row>
    <row r="23873" spans="1:5" x14ac:dyDescent="0.25">
      <c r="A23873" t="str">
        <f>HYPERLINK("https://www.773grp.com/globalSearch/MMBT6427LT1/page-1", "MMBT6427LT1")</f>
        <v>MMBT6427LT1</v>
      </c>
      <c r="B23873" s="3" t="str">
        <f>HYPERLINK("https://www.773grp.com/manufacturer/onsemi?pageNo=349", "ON Semiconductor")</f>
        <v>ON Semiconductor</v>
      </c>
      <c r="C23873" s="6">
        <v>7000</v>
      </c>
      <c r="D23873" s="7">
        <v>0.1</v>
      </c>
      <c r="E23873" t="s">
        <v>69</v>
      </c>
    </row>
    <row r="23874" spans="1:5" x14ac:dyDescent="0.25">
      <c r="A23874" t="str">
        <f>HYPERLINK("https://www.773grp.com/globalSearch/MMBT6428LT1/page-1", "MMBT6428LT1")</f>
        <v>MMBT6428LT1</v>
      </c>
      <c r="B23874" s="3" t="str">
        <f>HYPERLINK("https://www.773grp.com/manufacturer/onsemi?pageNo=350", "ON Semiconductor")</f>
        <v>ON Semiconductor</v>
      </c>
      <c r="C23874" s="6">
        <v>47900</v>
      </c>
      <c r="D23874" s="7">
        <v>0.1</v>
      </c>
      <c r="E23874" t="s">
        <v>69</v>
      </c>
    </row>
    <row r="23875" spans="1:5" x14ac:dyDescent="0.25">
      <c r="A23875" t="str">
        <f>HYPERLINK("https://www.773grp.com/globalSearch/MMBT6429LT1/page-1", "MMBT6429LT1")</f>
        <v>MMBT6429LT1</v>
      </c>
      <c r="B23875" s="3" t="str">
        <f>HYPERLINK("https://www.773grp.com/manufacturer/onsemi?pageNo=351", "ON Semiconductor")</f>
        <v>ON Semiconductor</v>
      </c>
      <c r="C23875" s="6">
        <v>168000</v>
      </c>
      <c r="D23875" s="7">
        <v>0.1</v>
      </c>
      <c r="E23875" t="s">
        <v>69</v>
      </c>
    </row>
    <row r="23876" spans="1:5" x14ac:dyDescent="0.25">
      <c r="A23876" t="str">
        <f>HYPERLINK("https://www.773grp.com/globalSearch/MMBT6521LT1/page-1", "MMBT6521LT1")</f>
        <v>MMBT6521LT1</v>
      </c>
      <c r="B23876" s="3" t="str">
        <f>HYPERLINK("https://www.773grp.com/manufacturer/onsemi?pageNo=352", "ON Semiconductor")</f>
        <v>ON Semiconductor</v>
      </c>
      <c r="C23876" s="6">
        <v>2975</v>
      </c>
      <c r="D23876" s="7">
        <v>0.1</v>
      </c>
      <c r="E23876" t="s">
        <v>69</v>
      </c>
    </row>
    <row r="23877" spans="1:5" x14ac:dyDescent="0.25">
      <c r="A23877" t="str">
        <f>HYPERLINK("https://www.773grp.com/globalSearch/MMBT8099LT1/page-1", "MMBT8099LT1")</f>
        <v>MMBT8099LT1</v>
      </c>
      <c r="B23877" s="3" t="str">
        <f>HYPERLINK("https://www.773grp.com/manufacturer/onsemi?pageNo=353", "ON Semiconductor")</f>
        <v>ON Semiconductor</v>
      </c>
      <c r="C23877" s="6">
        <v>3000</v>
      </c>
      <c r="D23877" s="7">
        <v>0.1</v>
      </c>
      <c r="E23877" t="s">
        <v>69</v>
      </c>
    </row>
    <row r="23878" spans="1:5" x14ac:dyDescent="0.25">
      <c r="A23878" t="str">
        <f>HYPERLINK("https://www.773grp.com/globalSearch/MMBTA05LT1/page-1", "MMBTA05LT1")</f>
        <v>MMBTA05LT1</v>
      </c>
      <c r="B23878" s="3" t="str">
        <f>HYPERLINK("https://www.773grp.com/manufacturer/onsemi?pageNo=354", "ON Semiconductor")</f>
        <v>ON Semiconductor</v>
      </c>
      <c r="C23878" s="6">
        <v>269355</v>
      </c>
      <c r="D23878" s="7">
        <v>0.1</v>
      </c>
      <c r="E23878" t="s">
        <v>69</v>
      </c>
    </row>
    <row r="23879" spans="1:5" x14ac:dyDescent="0.25">
      <c r="A23879" t="str">
        <f>HYPERLINK("https://www.773grp.com/globalSearch/MMBTA05LT3/page-1", "MMBTA05LT3")</f>
        <v>MMBTA05LT3</v>
      </c>
      <c r="B23879" s="3" t="str">
        <f>HYPERLINK("https://www.773grp.com/manufacturer/onsemi?pageNo=355", "ON Semiconductor")</f>
        <v>ON Semiconductor</v>
      </c>
      <c r="C23879" s="6">
        <v>10000</v>
      </c>
      <c r="D23879" s="7">
        <v>0.1</v>
      </c>
      <c r="E23879" t="s">
        <v>69</v>
      </c>
    </row>
    <row r="23880" spans="1:5" x14ac:dyDescent="0.25">
      <c r="A23880" t="str">
        <f>HYPERLINK("https://www.773grp.com/globalSearch/MMBTA06LT1/page-1", "MMBTA06LT1")</f>
        <v>MMBTA06LT1</v>
      </c>
      <c r="B23880" s="3" t="str">
        <f>HYPERLINK("https://www.773grp.com/manufacturer/onsemi?pageNo=356", "ON Semiconductor")</f>
        <v>ON Semiconductor</v>
      </c>
      <c r="C23880" s="6">
        <v>14665</v>
      </c>
      <c r="D23880" s="7">
        <v>0.1</v>
      </c>
      <c r="E23880" t="s">
        <v>69</v>
      </c>
    </row>
    <row r="23881" spans="1:5" x14ac:dyDescent="0.25">
      <c r="A23881" t="str">
        <f>HYPERLINK("https://www.773grp.com/globalSearch/MMBTA06WT1/page-1", "MMBTA06WT1")</f>
        <v>MMBTA06WT1</v>
      </c>
      <c r="B23881" s="3" t="str">
        <f>HYPERLINK("https://www.773grp.com/manufacturer/onsemi?pageNo=357", "ON Semiconductor")</f>
        <v>ON Semiconductor</v>
      </c>
      <c r="C23881" s="6">
        <v>2740</v>
      </c>
      <c r="D23881" s="7">
        <v>0.1</v>
      </c>
      <c r="E23881" t="s">
        <v>69</v>
      </c>
    </row>
    <row r="23882" spans="1:5" x14ac:dyDescent="0.25">
      <c r="A23882" t="str">
        <f>HYPERLINK("https://www.773grp.com/globalSearch/MMBTA13LT1/page-1", "MMBTA13LT1")</f>
        <v>MMBTA13LT1</v>
      </c>
      <c r="B23882" s="3" t="str">
        <f>HYPERLINK("https://www.773grp.com/manufacturer/onsemi?pageNo=358", "ON Semiconductor")</f>
        <v>ON Semiconductor</v>
      </c>
      <c r="C23882" s="6">
        <v>65765</v>
      </c>
      <c r="D23882" s="7">
        <v>0.1</v>
      </c>
      <c r="E23882" t="s">
        <v>69</v>
      </c>
    </row>
    <row r="23883" spans="1:5" x14ac:dyDescent="0.25">
      <c r="A23883" t="str">
        <f>HYPERLINK("https://www.773grp.com/globalSearch/MMBTA14LT1/page-1", "MMBTA14LT1")</f>
        <v>MMBTA14LT1</v>
      </c>
      <c r="B23883" s="3" t="str">
        <f>HYPERLINK("https://www.773grp.com/manufacturer/onsemi?pageNo=359", "ON Semiconductor")</f>
        <v>ON Semiconductor</v>
      </c>
      <c r="C23883" s="6">
        <v>42000</v>
      </c>
      <c r="D23883" s="7">
        <v>0.1</v>
      </c>
      <c r="E23883" t="s">
        <v>69</v>
      </c>
    </row>
    <row r="23884" spans="1:5" x14ac:dyDescent="0.25">
      <c r="A23884" t="str">
        <f>HYPERLINK("https://www.773grp.com/globalSearch/MMBTA20LT1/page-1", "MMBTA20LT1")</f>
        <v>MMBTA20LT1</v>
      </c>
      <c r="B23884" s="3" t="str">
        <f>HYPERLINK("https://www.773grp.com/manufacturer/onsemi?pageNo=360", "ON Semiconductor")</f>
        <v>ON Semiconductor</v>
      </c>
      <c r="C23884" s="6">
        <v>117000</v>
      </c>
      <c r="D23884" s="7">
        <v>0.1</v>
      </c>
      <c r="E23884" t="s">
        <v>69</v>
      </c>
    </row>
    <row r="23885" spans="1:5" x14ac:dyDescent="0.25">
      <c r="A23885" t="str">
        <f>HYPERLINK("https://www.773grp.com/globalSearch/MMBTA20LT1G/page-1", "MMBTA20LT1G")</f>
        <v>MMBTA20LT1G</v>
      </c>
      <c r="B23885" s="3" t="str">
        <f>HYPERLINK("https://www.773grp.com/manufacturer/onsemi?pageNo=361", "ON Semiconductor")</f>
        <v>ON Semiconductor</v>
      </c>
      <c r="C23885" s="6">
        <v>59500</v>
      </c>
      <c r="D23885" s="7">
        <v>0.1</v>
      </c>
      <c r="E23885" t="s">
        <v>69</v>
      </c>
    </row>
    <row r="23886" spans="1:5" x14ac:dyDescent="0.25">
      <c r="A23886" t="str">
        <f>HYPERLINK("https://www.773grp.com/globalSearch/MMBTA55LT1/page-1", "MMBTA55LT1")</f>
        <v>MMBTA55LT1</v>
      </c>
      <c r="B23886" s="3" t="str">
        <f>HYPERLINK("https://www.773grp.com/manufacturer/onsemi?pageNo=362", "ON Semiconductor")</f>
        <v>ON Semiconductor</v>
      </c>
      <c r="C23886" s="6">
        <v>2850</v>
      </c>
      <c r="D23886" s="7">
        <v>0.1</v>
      </c>
      <c r="E23886" t="s">
        <v>69</v>
      </c>
    </row>
    <row r="23887" spans="1:5" x14ac:dyDescent="0.25">
      <c r="A23887" t="str">
        <f>HYPERLINK("https://www.773grp.com/globalSearch/MMBTA55LT3/page-1", "MMBTA55LT3")</f>
        <v>MMBTA55LT3</v>
      </c>
      <c r="B23887" s="3" t="str">
        <f>HYPERLINK("https://www.773grp.com/manufacturer/onsemi?pageNo=363", "ON Semiconductor")</f>
        <v>ON Semiconductor</v>
      </c>
      <c r="C23887" s="6">
        <v>90000</v>
      </c>
      <c r="D23887" s="7">
        <v>0.1</v>
      </c>
      <c r="E23887" t="s">
        <v>69</v>
      </c>
    </row>
    <row r="23888" spans="1:5" x14ac:dyDescent="0.25">
      <c r="A23888" t="str">
        <f>HYPERLINK("https://www.773grp.com/globalSearch/MMBTA56WT1/page-1", "MMBTA56WT1")</f>
        <v>MMBTA56WT1</v>
      </c>
      <c r="B23888" s="3" t="str">
        <f>HYPERLINK("https://www.773grp.com/manufacturer/onsemi?pageNo=364", "ON Semiconductor")</f>
        <v>ON Semiconductor</v>
      </c>
      <c r="C23888" s="6">
        <v>2750</v>
      </c>
      <c r="D23888" s="7">
        <v>0.1</v>
      </c>
      <c r="E23888" t="s">
        <v>69</v>
      </c>
    </row>
    <row r="23889" spans="1:5" x14ac:dyDescent="0.25">
      <c r="A23889" t="str">
        <f>HYPERLINK("https://www.773grp.com/globalSearch/MMBTA92LT1/page-1", "MMBTA92LT1")</f>
        <v>MMBTA92LT1</v>
      </c>
      <c r="B23889" s="3" t="str">
        <f>HYPERLINK("https://www.773grp.com/manufacturer/onsemi?pageNo=365", "ON Semiconductor")</f>
        <v>ON Semiconductor</v>
      </c>
      <c r="C23889" s="6">
        <v>3268774</v>
      </c>
      <c r="D23889" s="7">
        <v>0.1</v>
      </c>
      <c r="E23889" t="s">
        <v>69</v>
      </c>
    </row>
    <row r="23890" spans="1:5" x14ac:dyDescent="0.25">
      <c r="A23890" t="str">
        <f>HYPERLINK("https://www.773grp.com/globalSearch/MMBTH10M3T5G/page-1", "MMBTH10M3T5G")</f>
        <v>MMBTH10M3T5G</v>
      </c>
      <c r="B23890" s="3" t="str">
        <f>HYPERLINK("https://www.773grp.com/manufacturer/onsemi?pageNo=366", "ON Semiconductor")</f>
        <v>ON Semiconductor</v>
      </c>
      <c r="C23890" s="6">
        <v>280000</v>
      </c>
      <c r="D23890" s="7">
        <v>0.1</v>
      </c>
      <c r="E23890" t="s">
        <v>61</v>
      </c>
    </row>
    <row r="23891" spans="1:5" x14ac:dyDescent="0.25">
      <c r="A23891" t="str">
        <f>HYPERLINK("https://www.773grp.com/globalSearch/MMBZ5221BLT1/page-1", "MMBZ5221BLT1")</f>
        <v>MMBZ5221BLT1</v>
      </c>
      <c r="B23891" s="3" t="str">
        <f>HYPERLINK("https://www.773grp.com/manufacturer/onsemi?pageNo=367", "ON Semiconductor")</f>
        <v>ON Semiconductor</v>
      </c>
      <c r="C23891" s="6">
        <v>34000</v>
      </c>
      <c r="D23891" s="7">
        <v>0.1</v>
      </c>
      <c r="E23891" t="s">
        <v>98</v>
      </c>
    </row>
    <row r="23892" spans="1:5" x14ac:dyDescent="0.25">
      <c r="A23892" t="str">
        <f>HYPERLINK("https://www.773grp.com/globalSearch/MMBZ5222BLT1/page-1", "MMBZ5222BLT1")</f>
        <v>MMBZ5222BLT1</v>
      </c>
      <c r="B23892" s="3" t="str">
        <f>HYPERLINK("https://www.773grp.com/manufacturer/onsemi?pageNo=368", "ON Semiconductor")</f>
        <v>ON Semiconductor</v>
      </c>
      <c r="C23892" s="6">
        <v>89200</v>
      </c>
      <c r="D23892" s="7">
        <v>0.1</v>
      </c>
      <c r="E23892" t="s">
        <v>98</v>
      </c>
    </row>
    <row r="23893" spans="1:5" x14ac:dyDescent="0.25">
      <c r="A23893" t="str">
        <f>HYPERLINK("https://www.773grp.com/globalSearch/MMBZ5224BLT1G/page-1", "MMBZ5224BLT1G")</f>
        <v>MMBZ5224BLT1G</v>
      </c>
      <c r="B23893" s="3" t="str">
        <f>HYPERLINK("https://www.773grp.com/manufacturer/onsemi?pageNo=369", "ON Semiconductor")</f>
        <v>ON Semiconductor</v>
      </c>
      <c r="C23893" s="6">
        <v>28000</v>
      </c>
      <c r="D23893" s="7">
        <v>0.1</v>
      </c>
      <c r="E23893" t="s">
        <v>98</v>
      </c>
    </row>
    <row r="23894" spans="1:5" x14ac:dyDescent="0.25">
      <c r="A23894" t="str">
        <f>HYPERLINK("https://www.773grp.com/globalSearch/MMBZ5225BLT1/page-1", "MMBZ5225BLT1")</f>
        <v>MMBZ5225BLT1</v>
      </c>
      <c r="B23894" s="3" t="str">
        <f>HYPERLINK("https://www.773grp.com/manufacturer/onsemi?pageNo=370", "ON Semiconductor")</f>
        <v>ON Semiconductor</v>
      </c>
      <c r="C23894" s="6">
        <v>208000</v>
      </c>
      <c r="D23894" s="7">
        <v>0.1</v>
      </c>
      <c r="E23894" t="s">
        <v>98</v>
      </c>
    </row>
    <row r="23895" spans="1:5" x14ac:dyDescent="0.25">
      <c r="A23895" t="str">
        <f>HYPERLINK("https://www.773grp.com/globalSearch/MMBZ5226BLT1/page-1", "MMBZ5226BLT1")</f>
        <v>MMBZ5226BLT1</v>
      </c>
      <c r="B23895" s="3" t="str">
        <f>HYPERLINK("https://www.773grp.com/manufacturer/onsemi?pageNo=371", "ON Semiconductor")</f>
        <v>ON Semiconductor</v>
      </c>
      <c r="C23895" s="6">
        <v>210595</v>
      </c>
      <c r="D23895" s="7">
        <v>0.1</v>
      </c>
      <c r="E23895" t="s">
        <v>98</v>
      </c>
    </row>
    <row r="23896" spans="1:5" x14ac:dyDescent="0.25">
      <c r="A23896" t="str">
        <f>HYPERLINK("https://www.773grp.com/globalSearch/MMBZ5226BLT3G/page-1", "MMBZ5226BLT3G")</f>
        <v>MMBZ5226BLT3G</v>
      </c>
      <c r="B23896" s="3" t="str">
        <f>HYPERLINK("https://www.773grp.com/manufacturer/onsemi?pageNo=372", "ON Semiconductor")</f>
        <v>ON Semiconductor</v>
      </c>
      <c r="C23896" s="6">
        <v>120000</v>
      </c>
      <c r="D23896" s="7">
        <v>0.1</v>
      </c>
      <c r="E23896" t="s">
        <v>98</v>
      </c>
    </row>
    <row r="23897" spans="1:5" x14ac:dyDescent="0.25">
      <c r="A23897" t="str">
        <f>HYPERLINK("https://www.773grp.com/globalSearch/MMBZ5228BLT1/page-1", "MMBZ5228BLT1")</f>
        <v>MMBZ5228BLT1</v>
      </c>
      <c r="B23897" s="3" t="str">
        <f>HYPERLINK("https://www.773grp.com/manufacturer/onsemi?pageNo=373", "ON Semiconductor")</f>
        <v>ON Semiconductor</v>
      </c>
      <c r="C23897" s="6">
        <v>24000</v>
      </c>
      <c r="D23897" s="7">
        <v>0.1</v>
      </c>
      <c r="E23897" t="s">
        <v>98</v>
      </c>
    </row>
    <row r="23898" spans="1:5" x14ac:dyDescent="0.25">
      <c r="A23898" t="str">
        <f>HYPERLINK("https://www.773grp.com/globalSearch/MMBZ5229BLT1/page-1", "MMBZ5229BLT1")</f>
        <v>MMBZ5229BLT1</v>
      </c>
      <c r="B23898" s="3" t="str">
        <f>HYPERLINK("https://www.773grp.com/manufacturer/onsemi?pageNo=374", "ON Semiconductor")</f>
        <v>ON Semiconductor</v>
      </c>
      <c r="C23898" s="6">
        <v>49000</v>
      </c>
      <c r="D23898" s="7">
        <v>0.1</v>
      </c>
      <c r="E23898" t="s">
        <v>98</v>
      </c>
    </row>
    <row r="23899" spans="1:5" x14ac:dyDescent="0.25">
      <c r="A23899" t="str">
        <f>HYPERLINK("https://www.773grp.com/globalSearch/MMBZ5229BLT3/page-1", "MMBZ5229BLT3")</f>
        <v>MMBZ5229BLT3</v>
      </c>
      <c r="B23899" s="3" t="str">
        <f>HYPERLINK("https://www.773grp.com/manufacturer/onsemi?pageNo=375", "ON Semiconductor")</f>
        <v>ON Semiconductor</v>
      </c>
      <c r="C23899" s="6">
        <v>60000</v>
      </c>
      <c r="D23899" s="7">
        <v>0.1</v>
      </c>
      <c r="E23899" t="s">
        <v>98</v>
      </c>
    </row>
    <row r="23900" spans="1:5" x14ac:dyDescent="0.25">
      <c r="A23900" t="str">
        <f>HYPERLINK("https://www.773grp.com/globalSearch/MMBZ5231BLT3/page-1", "MMBZ5231BLT3")</f>
        <v>MMBZ5231BLT3</v>
      </c>
      <c r="B23900" s="3" t="str">
        <f>HYPERLINK("https://www.773grp.com/manufacturer/onsemi?pageNo=376", "ON Semiconductor")</f>
        <v>ON Semiconductor</v>
      </c>
      <c r="C23900" s="6">
        <v>80000</v>
      </c>
      <c r="D23900" s="7">
        <v>0.1</v>
      </c>
      <c r="E23900" t="s">
        <v>98</v>
      </c>
    </row>
    <row r="23901" spans="1:5" x14ac:dyDescent="0.25">
      <c r="A23901" t="str">
        <f>HYPERLINK("https://www.773grp.com/globalSearch/MMBZ5232BLT3/page-1", "MMBZ5232BLT3")</f>
        <v>MMBZ5232BLT3</v>
      </c>
      <c r="B23901" s="3" t="str">
        <f>HYPERLINK("https://www.773grp.com/manufacturer/onsemi?pageNo=377", "ON Semiconductor")</f>
        <v>ON Semiconductor</v>
      </c>
      <c r="C23901" s="6">
        <v>27500</v>
      </c>
      <c r="D23901" s="7">
        <v>0.1</v>
      </c>
      <c r="E23901" t="s">
        <v>98</v>
      </c>
    </row>
    <row r="23902" spans="1:5" x14ac:dyDescent="0.25">
      <c r="A23902" t="str">
        <f>HYPERLINK("https://www.773grp.com/globalSearch/MMBZ5232ELT1/page-1", "MMBZ5232ELT1")</f>
        <v>MMBZ5232ELT1</v>
      </c>
      <c r="B23902" s="3" t="str">
        <f>HYPERLINK("https://www.773grp.com/manufacturer/onsemi?pageNo=378", "ON Semiconductor")</f>
        <v>ON Semiconductor</v>
      </c>
      <c r="C23902" s="6">
        <v>17565</v>
      </c>
      <c r="D23902" s="7">
        <v>0.1</v>
      </c>
      <c r="E23902" t="s">
        <v>98</v>
      </c>
    </row>
    <row r="23903" spans="1:5" x14ac:dyDescent="0.25">
      <c r="A23903" t="str">
        <f>HYPERLINK("https://www.773grp.com/globalSearch/MMBZ5233BLT1/page-1", "MMBZ5233BLT1")</f>
        <v>MMBZ5233BLT1</v>
      </c>
      <c r="B23903" s="3" t="str">
        <f>HYPERLINK("https://www.773grp.com/manufacturer/onsemi?pageNo=379", "ON Semiconductor")</f>
        <v>ON Semiconductor</v>
      </c>
      <c r="C23903" s="6">
        <v>219000</v>
      </c>
      <c r="D23903" s="7">
        <v>0.1</v>
      </c>
      <c r="E23903" t="s">
        <v>98</v>
      </c>
    </row>
    <row r="23904" spans="1:5" x14ac:dyDescent="0.25">
      <c r="A23904" t="str">
        <f>HYPERLINK("https://www.773grp.com/globalSearch/MMBZ5234BLT1/page-1", "MMBZ5234BLT1")</f>
        <v>MMBZ5234BLT1</v>
      </c>
      <c r="B23904" s="3" t="str">
        <f>HYPERLINK("https://www.773grp.com/manufacturer/onsemi?pageNo=380", "ON Semiconductor")</f>
        <v>ON Semiconductor</v>
      </c>
      <c r="C23904" s="6">
        <v>163450</v>
      </c>
      <c r="D23904" s="7">
        <v>0.1</v>
      </c>
      <c r="E23904" t="s">
        <v>98</v>
      </c>
    </row>
    <row r="23905" spans="1:5" x14ac:dyDescent="0.25">
      <c r="A23905" t="str">
        <f>HYPERLINK("https://www.773grp.com/globalSearch/MMBZ5234BLT3G/page-1", "MMBZ5234BLT3G")</f>
        <v>MMBZ5234BLT3G</v>
      </c>
      <c r="B23905" s="3" t="str">
        <f>HYPERLINK("https://www.773grp.com/manufacturer/onsemi?pageNo=381", "ON Semiconductor")</f>
        <v>ON Semiconductor</v>
      </c>
      <c r="C23905" s="6">
        <v>9830</v>
      </c>
      <c r="D23905" s="7">
        <v>0.1</v>
      </c>
      <c r="E23905" t="s">
        <v>98</v>
      </c>
    </row>
    <row r="23906" spans="1:5" x14ac:dyDescent="0.25">
      <c r="A23906" t="str">
        <f>HYPERLINK("https://www.773grp.com/globalSearch/MMBZ5235BLT3/page-1", "MMBZ5235BLT3")</f>
        <v>MMBZ5235BLT3</v>
      </c>
      <c r="B23906" s="3" t="str">
        <f>HYPERLINK("https://www.773grp.com/manufacturer/onsemi?pageNo=382", "ON Semiconductor")</f>
        <v>ON Semiconductor</v>
      </c>
      <c r="C23906" s="6">
        <v>10000</v>
      </c>
      <c r="D23906" s="7">
        <v>0.1</v>
      </c>
      <c r="E23906" t="s">
        <v>98</v>
      </c>
    </row>
    <row r="23907" spans="1:5" x14ac:dyDescent="0.25">
      <c r="A23907" t="str">
        <f>HYPERLINK("https://www.773grp.com/globalSearch/MMBZ5235ELT1/page-1", "MMBZ5235ELT1")</f>
        <v>MMBZ5235ELT1</v>
      </c>
      <c r="B23907" s="3" t="str">
        <f>HYPERLINK("https://www.773grp.com/manufacturer/onsemi?pageNo=383", "ON Semiconductor")</f>
        <v>ON Semiconductor</v>
      </c>
      <c r="C23907" s="6">
        <v>23889</v>
      </c>
      <c r="D23907" s="7">
        <v>0.1</v>
      </c>
      <c r="E23907" t="s">
        <v>98</v>
      </c>
    </row>
    <row r="23908" spans="1:5" x14ac:dyDescent="0.25">
      <c r="A23908" t="str">
        <f>HYPERLINK("https://www.773grp.com/globalSearch/MMBZ5235ELT1G/page-1", "MMBZ5235ELT1G")</f>
        <v>MMBZ5235ELT1G</v>
      </c>
      <c r="B23908" s="3" t="str">
        <f>HYPERLINK("https://www.773grp.com/manufacturer/onsemi?pageNo=384", "ON Semiconductor")</f>
        <v>ON Semiconductor</v>
      </c>
      <c r="C23908" s="6">
        <v>72000</v>
      </c>
      <c r="D23908" s="7">
        <v>0.1</v>
      </c>
      <c r="E23908" t="s">
        <v>98</v>
      </c>
    </row>
    <row r="23909" spans="1:5" x14ac:dyDescent="0.25">
      <c r="A23909" t="str">
        <f>HYPERLINK("https://www.773grp.com/globalSearch/MMBZ5236ELT1G/page-1", "MMBZ5236ELT1G")</f>
        <v>MMBZ5236ELT1G</v>
      </c>
      <c r="B23909" s="3" t="str">
        <f>HYPERLINK("https://www.773grp.com/manufacturer/onsemi?pageNo=385", "ON Semiconductor")</f>
        <v>ON Semiconductor</v>
      </c>
      <c r="C23909" s="6">
        <v>9000</v>
      </c>
      <c r="D23909" s="7">
        <v>0.1</v>
      </c>
      <c r="E23909" t="s">
        <v>98</v>
      </c>
    </row>
    <row r="23910" spans="1:5" x14ac:dyDescent="0.25">
      <c r="A23910" t="str">
        <f>HYPERLINK("https://www.773grp.com/globalSearch/MMBZ5237BLT1/page-1", "MMBZ5237BLT1")</f>
        <v>MMBZ5237BLT1</v>
      </c>
      <c r="B23910" s="3" t="str">
        <f>HYPERLINK("https://www.773grp.com/manufacturer/onsemi?pageNo=386", "ON Semiconductor")</f>
        <v>ON Semiconductor</v>
      </c>
      <c r="C23910" s="6">
        <v>84263</v>
      </c>
      <c r="D23910" s="7">
        <v>0.1</v>
      </c>
      <c r="E23910" t="s">
        <v>98</v>
      </c>
    </row>
    <row r="23911" spans="1:5" x14ac:dyDescent="0.25">
      <c r="A23911" t="str">
        <f>HYPERLINK("https://www.773grp.com/globalSearch/MMBZ5237BLT3/page-1", "MMBZ5237BLT3")</f>
        <v>MMBZ5237BLT3</v>
      </c>
      <c r="B23911" s="3" t="str">
        <f>HYPERLINK("https://www.773grp.com/manufacturer/onsemi?pageNo=387", "ON Semiconductor")</f>
        <v>ON Semiconductor</v>
      </c>
      <c r="C23911" s="6">
        <v>40000</v>
      </c>
      <c r="D23911" s="7">
        <v>0.1</v>
      </c>
      <c r="E23911" t="s">
        <v>98</v>
      </c>
    </row>
    <row r="23912" spans="1:5" x14ac:dyDescent="0.25">
      <c r="A23912" t="str">
        <f>HYPERLINK("https://www.773grp.com/globalSearch/MMBZ5238BLT1/page-1", "MMBZ5238BLT1")</f>
        <v>MMBZ5238BLT1</v>
      </c>
      <c r="B23912" s="3" t="str">
        <f>HYPERLINK("https://www.773grp.com/manufacturer/onsemi?pageNo=388", "ON Semiconductor")</f>
        <v>ON Semiconductor</v>
      </c>
      <c r="C23912" s="6">
        <v>51000</v>
      </c>
      <c r="D23912" s="7">
        <v>0.1</v>
      </c>
      <c r="E23912" t="s">
        <v>98</v>
      </c>
    </row>
    <row r="23913" spans="1:5" x14ac:dyDescent="0.25">
      <c r="A23913" t="str">
        <f>HYPERLINK("https://www.773grp.com/globalSearch/MMBZ5239BLT1/page-1", "MMBZ5239BLT1")</f>
        <v>MMBZ5239BLT1</v>
      </c>
      <c r="B23913" s="3" t="str">
        <f>HYPERLINK("https://www.773grp.com/manufacturer/onsemi?pageNo=389", "ON Semiconductor")</f>
        <v>ON Semiconductor</v>
      </c>
      <c r="C23913" s="6">
        <v>76000</v>
      </c>
      <c r="D23913" s="7">
        <v>0.1</v>
      </c>
      <c r="E23913" t="s">
        <v>98</v>
      </c>
    </row>
    <row r="23914" spans="1:5" x14ac:dyDescent="0.25">
      <c r="A23914" t="str">
        <f>HYPERLINK("https://www.773grp.com/globalSearch/MMBZ5239BLT3/page-1", "MMBZ5239BLT3")</f>
        <v>MMBZ5239BLT3</v>
      </c>
      <c r="B23914" s="3" t="str">
        <f>HYPERLINK("https://www.773grp.com/manufacturer/onsemi?pageNo=390", "ON Semiconductor")</f>
        <v>ON Semiconductor</v>
      </c>
      <c r="C23914" s="6">
        <v>40000</v>
      </c>
      <c r="D23914" s="7">
        <v>0.1</v>
      </c>
      <c r="E23914" t="s">
        <v>98</v>
      </c>
    </row>
    <row r="23915" spans="1:5" x14ac:dyDescent="0.25">
      <c r="A23915" t="str">
        <f>HYPERLINK("https://www.773grp.com/globalSearch/MMBZ5240BLT1/page-1", "MMBZ5240BLT1")</f>
        <v>MMBZ5240BLT1</v>
      </c>
      <c r="B23915" s="3" t="str">
        <f>HYPERLINK("https://www.773grp.com/manufacturer/onsemi?pageNo=391", "ON Semiconductor")</f>
        <v>ON Semiconductor</v>
      </c>
      <c r="C23915" s="6">
        <v>198000</v>
      </c>
      <c r="D23915" s="7">
        <v>0.1</v>
      </c>
      <c r="E23915" t="s">
        <v>98</v>
      </c>
    </row>
    <row r="23916" spans="1:5" x14ac:dyDescent="0.25">
      <c r="A23916" t="str">
        <f>HYPERLINK("https://www.773grp.com/globalSearch/MMBZ5240BLT3/page-1", "MMBZ5240BLT3")</f>
        <v>MMBZ5240BLT3</v>
      </c>
      <c r="B23916" s="3" t="str">
        <f>HYPERLINK("https://www.773grp.com/manufacturer/onsemi?pageNo=392", "ON Semiconductor")</f>
        <v>ON Semiconductor</v>
      </c>
      <c r="C23916" s="6">
        <v>460000</v>
      </c>
      <c r="D23916" s="7">
        <v>0.1</v>
      </c>
      <c r="E23916" t="s">
        <v>98</v>
      </c>
    </row>
    <row r="23917" spans="1:5" x14ac:dyDescent="0.25">
      <c r="A23917" t="str">
        <f>HYPERLINK("https://www.773grp.com/globalSearch/MMBZ5243BLT1/page-1", "MMBZ5243BLT1")</f>
        <v>MMBZ5243BLT1</v>
      </c>
      <c r="B23917" s="3" t="str">
        <f>HYPERLINK("https://www.773grp.com/manufacturer/onsemi?pageNo=393", "ON Semiconductor")</f>
        <v>ON Semiconductor</v>
      </c>
      <c r="C23917" s="6">
        <v>375000</v>
      </c>
      <c r="D23917" s="7">
        <v>0.1</v>
      </c>
      <c r="E23917" t="s">
        <v>98</v>
      </c>
    </row>
    <row r="23918" spans="1:5" x14ac:dyDescent="0.25">
      <c r="A23918" t="str">
        <f>HYPERLINK("https://www.773grp.com/globalSearch/MMBZ5244BLT1/page-1", "MMBZ5244BLT1")</f>
        <v>MMBZ5244BLT1</v>
      </c>
      <c r="B23918" s="3" t="str">
        <f>HYPERLINK("https://www.773grp.com/manufacturer/onsemi?pageNo=394", "ON Semiconductor")</f>
        <v>ON Semiconductor</v>
      </c>
      <c r="C23918" s="6">
        <v>340000</v>
      </c>
      <c r="D23918" s="7">
        <v>0.1</v>
      </c>
      <c r="E23918" t="s">
        <v>98</v>
      </c>
    </row>
    <row r="23919" spans="1:5" x14ac:dyDescent="0.25">
      <c r="A23919" t="str">
        <f>HYPERLINK("https://www.773grp.com/globalSearch/MMBZ5246BLT1/page-1", "MMBZ5246BLT1")</f>
        <v>MMBZ5246BLT1</v>
      </c>
      <c r="B23919" s="3" t="str">
        <f>HYPERLINK("https://www.773grp.com/manufacturer/onsemi?pageNo=395", "ON Semiconductor")</f>
        <v>ON Semiconductor</v>
      </c>
      <c r="C23919" s="6">
        <v>8960</v>
      </c>
      <c r="D23919" s="7">
        <v>0.1</v>
      </c>
      <c r="E23919" t="s">
        <v>98</v>
      </c>
    </row>
    <row r="23920" spans="1:5" x14ac:dyDescent="0.25">
      <c r="A23920" t="str">
        <f>HYPERLINK("https://www.773grp.com/globalSearch/MMBZ5247BLT1/page-1", "MMBZ5247BLT1")</f>
        <v>MMBZ5247BLT1</v>
      </c>
      <c r="B23920" s="3" t="str">
        <f>HYPERLINK("https://www.773grp.com/manufacturer/onsemi?pageNo=396", "ON Semiconductor")</f>
        <v>ON Semiconductor</v>
      </c>
      <c r="C23920" s="6">
        <v>75000</v>
      </c>
      <c r="D23920" s="7">
        <v>0.1</v>
      </c>
      <c r="E23920" t="s">
        <v>98</v>
      </c>
    </row>
    <row r="23921" spans="1:5" x14ac:dyDescent="0.25">
      <c r="A23921" t="str">
        <f>HYPERLINK("https://www.773grp.com/globalSearch/MMBZ5247BLT3/page-1", "MMBZ5247BLT3")</f>
        <v>MMBZ5247BLT3</v>
      </c>
      <c r="B23921" s="3" t="str">
        <f>HYPERLINK("https://www.773grp.com/manufacturer/onsemi?pageNo=397", "ON Semiconductor")</f>
        <v>ON Semiconductor</v>
      </c>
      <c r="C23921" s="6">
        <v>70000</v>
      </c>
      <c r="D23921" s="7">
        <v>0.1</v>
      </c>
      <c r="E23921" t="s">
        <v>98</v>
      </c>
    </row>
    <row r="23922" spans="1:5" x14ac:dyDescent="0.25">
      <c r="A23922" t="str">
        <f>HYPERLINK("https://www.773grp.com/globalSearch/MMBZ5247BLT3G/page-1", "MMBZ5247BLT3G")</f>
        <v>MMBZ5247BLT3G</v>
      </c>
      <c r="B23922" s="3" t="str">
        <f>HYPERLINK("https://www.773grp.com/manufacturer/onsemi?pageNo=398", "ON Semiconductor")</f>
        <v>ON Semiconductor</v>
      </c>
      <c r="C23922" s="6">
        <v>50000</v>
      </c>
      <c r="D23922" s="7">
        <v>0.1</v>
      </c>
      <c r="E23922" t="s">
        <v>98</v>
      </c>
    </row>
    <row r="23923" spans="1:5" x14ac:dyDescent="0.25">
      <c r="A23923" t="str">
        <f>HYPERLINK("https://www.773grp.com/globalSearch/MMBZ5248BLT1/page-1", "MMBZ5248BLT1")</f>
        <v>MMBZ5248BLT1</v>
      </c>
      <c r="B23923" s="3" t="str">
        <f>HYPERLINK("https://www.773grp.com/manufacturer/onsemi?pageNo=399", "ON Semiconductor")</f>
        <v>ON Semiconductor</v>
      </c>
      <c r="C23923" s="6">
        <v>75000</v>
      </c>
      <c r="D23923" s="7">
        <v>0.1</v>
      </c>
      <c r="E23923" t="s">
        <v>98</v>
      </c>
    </row>
    <row r="23924" spans="1:5" x14ac:dyDescent="0.25">
      <c r="A23924" t="str">
        <f>HYPERLINK("https://www.773grp.com/globalSearch/MMBZ5249BLT1/page-1", "MMBZ5249BLT1")</f>
        <v>MMBZ5249BLT1</v>
      </c>
      <c r="B23924" s="3" t="str">
        <f>HYPERLINK("https://www.773grp.com/manufacturer/onsemi?pageNo=400", "ON Semiconductor")</f>
        <v>ON Semiconductor</v>
      </c>
      <c r="C23924" s="6">
        <v>126000</v>
      </c>
      <c r="D23924" s="7">
        <v>0.1</v>
      </c>
      <c r="E23924" t="s">
        <v>98</v>
      </c>
    </row>
    <row r="23925" spans="1:5" x14ac:dyDescent="0.25">
      <c r="A23925" t="str">
        <f>HYPERLINK("https://www.773grp.com/globalSearch/MMBZ5250BLT1/page-1", "MMBZ5250BLT1")</f>
        <v>MMBZ5250BLT1</v>
      </c>
      <c r="B23925" s="3" t="str">
        <f>HYPERLINK("https://www.773grp.com/manufacturer/onsemi?pageNo=401", "ON Semiconductor")</f>
        <v>ON Semiconductor</v>
      </c>
      <c r="C23925" s="6">
        <v>31853</v>
      </c>
      <c r="D23925" s="7">
        <v>0.1</v>
      </c>
      <c r="E23925" t="s">
        <v>98</v>
      </c>
    </row>
    <row r="23926" spans="1:5" x14ac:dyDescent="0.25">
      <c r="A23926" t="str">
        <f>HYPERLINK("https://www.773grp.com/globalSearch/MMBZ5250BLT3/page-1", "MMBZ5250BLT3")</f>
        <v>MMBZ5250BLT3</v>
      </c>
      <c r="B23926" s="3" t="str">
        <f>HYPERLINK("https://www.773grp.com/manufacturer/onsemi?pageNo=402", "ON Semiconductor")</f>
        <v>ON Semiconductor</v>
      </c>
      <c r="C23926" s="6">
        <v>130000</v>
      </c>
      <c r="D23926" s="7">
        <v>0.1</v>
      </c>
      <c r="E23926" t="s">
        <v>98</v>
      </c>
    </row>
    <row r="23927" spans="1:5" x14ac:dyDescent="0.25">
      <c r="A23927" t="str">
        <f>HYPERLINK("https://www.773grp.com/globalSearch/MMBZ5250BLT3G/page-1", "MMBZ5250BLT3G")</f>
        <v>MMBZ5250BLT3G</v>
      </c>
      <c r="B23927" s="3" t="str">
        <f>HYPERLINK("https://www.773grp.com/manufacturer/onsemi?pageNo=403", "ON Semiconductor")</f>
        <v>ON Semiconductor</v>
      </c>
      <c r="C23927" s="6">
        <v>50000</v>
      </c>
      <c r="D23927" s="7">
        <v>0.1</v>
      </c>
      <c r="E23927" t="s">
        <v>98</v>
      </c>
    </row>
    <row r="23928" spans="1:5" x14ac:dyDescent="0.25">
      <c r="A23928" t="str">
        <f>HYPERLINK("https://www.773grp.com/globalSearch/MMBZ5251BLT1/page-1", "MMBZ5251BLT1")</f>
        <v>MMBZ5251BLT1</v>
      </c>
      <c r="B23928" s="3" t="str">
        <f>HYPERLINK("https://www.773grp.com/manufacturer/onsemi?pageNo=404", "ON Semiconductor")</f>
        <v>ON Semiconductor</v>
      </c>
      <c r="C23928" s="6">
        <v>24000</v>
      </c>
      <c r="D23928" s="7">
        <v>0.1</v>
      </c>
      <c r="E23928" t="s">
        <v>98</v>
      </c>
    </row>
    <row r="23929" spans="1:5" x14ac:dyDescent="0.25">
      <c r="A23929" t="str">
        <f>HYPERLINK("https://www.773grp.com/globalSearch/MMBZ5252BLT1/page-1", "MMBZ5252BLT1")</f>
        <v>MMBZ5252BLT1</v>
      </c>
      <c r="B23929" s="3" t="str">
        <f>HYPERLINK("https://www.773grp.com/manufacturer/onsemi?pageNo=405", "ON Semiconductor")</f>
        <v>ON Semiconductor</v>
      </c>
      <c r="C23929" s="6">
        <v>186000</v>
      </c>
      <c r="D23929" s="7">
        <v>0.1</v>
      </c>
      <c r="E23929" t="s">
        <v>98</v>
      </c>
    </row>
    <row r="23930" spans="1:5" x14ac:dyDescent="0.25">
      <c r="A23930" t="str">
        <f>HYPERLINK("https://www.773grp.com/globalSearch/MMBZ5253BLT1/page-1", "MMBZ5253BLT1")</f>
        <v>MMBZ5253BLT1</v>
      </c>
      <c r="B23930" s="3" t="str">
        <f>HYPERLINK("https://www.773grp.com/manufacturer/onsemi?pageNo=406", "ON Semiconductor")</f>
        <v>ON Semiconductor</v>
      </c>
      <c r="C23930" s="6">
        <v>234000</v>
      </c>
      <c r="D23930" s="7">
        <v>0.1</v>
      </c>
      <c r="E23930" t="s">
        <v>98</v>
      </c>
    </row>
    <row r="23931" spans="1:5" x14ac:dyDescent="0.25">
      <c r="A23931" t="str">
        <f>HYPERLINK("https://www.773grp.com/globalSearch/MMBZ5254BLT1/page-1", "MMBZ5254BLT1")</f>
        <v>MMBZ5254BLT1</v>
      </c>
      <c r="B23931" s="3" t="str">
        <f>HYPERLINK("https://www.773grp.com/manufacturer/onsemi?pageNo=407", "ON Semiconductor")</f>
        <v>ON Semiconductor</v>
      </c>
      <c r="C23931" s="6">
        <v>207000</v>
      </c>
      <c r="D23931" s="7">
        <v>0.1</v>
      </c>
      <c r="E23931" t="s">
        <v>98</v>
      </c>
    </row>
    <row r="23932" spans="1:5" x14ac:dyDescent="0.25">
      <c r="A23932" t="str">
        <f>HYPERLINK("https://www.773grp.com/globalSearch/MMBZ5255BLT1/page-1", "MMBZ5255BLT1")</f>
        <v>MMBZ5255BLT1</v>
      </c>
      <c r="B23932" s="3" t="str">
        <f>HYPERLINK("https://www.773grp.com/manufacturer/onsemi?pageNo=408", "ON Semiconductor")</f>
        <v>ON Semiconductor</v>
      </c>
      <c r="C23932" s="6">
        <v>105000</v>
      </c>
      <c r="D23932" s="7">
        <v>0.1</v>
      </c>
      <c r="E23932" t="s">
        <v>98</v>
      </c>
    </row>
    <row r="23933" spans="1:5" x14ac:dyDescent="0.25">
      <c r="A23933" t="str">
        <f>HYPERLINK("https://www.773grp.com/globalSearch/MMBZ5255ELT1/page-1", "MMBZ5255ELT1")</f>
        <v>MMBZ5255ELT1</v>
      </c>
      <c r="B23933" s="3" t="str">
        <f>HYPERLINK("https://www.773grp.com/manufacturer/onsemi?pageNo=409", "ON Semiconductor")</f>
        <v>ON Semiconductor</v>
      </c>
      <c r="C23933" s="6">
        <v>18000</v>
      </c>
      <c r="D23933" s="7">
        <v>0.1</v>
      </c>
      <c r="E23933" t="s">
        <v>98</v>
      </c>
    </row>
    <row r="23934" spans="1:5" x14ac:dyDescent="0.25">
      <c r="A23934" t="str">
        <f>HYPERLINK("https://www.773grp.com/globalSearch/MMBZ5256BLT1/page-1", "MMBZ5256BLT1")</f>
        <v>MMBZ5256BLT1</v>
      </c>
      <c r="B23934" s="3" t="str">
        <f>HYPERLINK("https://www.773grp.com/manufacturer/onsemi?pageNo=410", "ON Semiconductor")</f>
        <v>ON Semiconductor</v>
      </c>
      <c r="C23934" s="6">
        <v>69000</v>
      </c>
      <c r="D23934" s="7">
        <v>0.1</v>
      </c>
      <c r="E23934" t="s">
        <v>98</v>
      </c>
    </row>
    <row r="23935" spans="1:5" x14ac:dyDescent="0.25">
      <c r="A23935" t="str">
        <f>HYPERLINK("https://www.773grp.com/globalSearch/MMBZ5257BLT1/page-1", "MMBZ5257BLT1")</f>
        <v>MMBZ5257BLT1</v>
      </c>
      <c r="B23935" s="3" t="str">
        <f>HYPERLINK("https://www.773grp.com/manufacturer/onsemi?pageNo=411", "ON Semiconductor")</f>
        <v>ON Semiconductor</v>
      </c>
      <c r="C23935" s="6">
        <v>1551000</v>
      </c>
      <c r="D23935" s="7">
        <v>0.1</v>
      </c>
      <c r="E23935" t="s">
        <v>98</v>
      </c>
    </row>
    <row r="23936" spans="1:5" x14ac:dyDescent="0.25">
      <c r="A23936" t="str">
        <f>HYPERLINK("https://www.773grp.com/globalSearch/MMBZ5258BLT1/page-1", "MMBZ5258BLT1")</f>
        <v>MMBZ5258BLT1</v>
      </c>
      <c r="B23936" s="3" t="str">
        <f>HYPERLINK("https://www.773grp.com/manufacturer/onsemi?pageNo=412", "ON Semiconductor")</f>
        <v>ON Semiconductor</v>
      </c>
      <c r="C23936" s="6">
        <v>15000</v>
      </c>
      <c r="D23936" s="7">
        <v>0.1</v>
      </c>
      <c r="E23936" t="s">
        <v>98</v>
      </c>
    </row>
    <row r="23937" spans="1:5" x14ac:dyDescent="0.25">
      <c r="A23937" t="str">
        <f>HYPERLINK("https://www.773grp.com/globalSearch/MMBZ5259BLT1/page-1", "MMBZ5259BLT1")</f>
        <v>MMBZ5259BLT1</v>
      </c>
      <c r="B23937" s="3" t="str">
        <f>HYPERLINK("https://www.773grp.com/manufacturer/onsemi?pageNo=413", "ON Semiconductor")</f>
        <v>ON Semiconductor</v>
      </c>
      <c r="C23937" s="6">
        <v>3000</v>
      </c>
      <c r="D23937" s="7">
        <v>0.1</v>
      </c>
      <c r="E23937" t="s">
        <v>98</v>
      </c>
    </row>
    <row r="23938" spans="1:5" x14ac:dyDescent="0.25">
      <c r="A23938" t="str">
        <f>HYPERLINK("https://www.773grp.com/globalSearch/MMBZ5260BLT1/page-1", "MMBZ5260BLT1")</f>
        <v>MMBZ5260BLT1</v>
      </c>
      <c r="B23938" s="3" t="str">
        <f>HYPERLINK("https://www.773grp.com/manufacturer/onsemi?pageNo=414", "ON Semiconductor")</f>
        <v>ON Semiconductor</v>
      </c>
      <c r="C23938" s="6">
        <v>30000</v>
      </c>
      <c r="D23938" s="7">
        <v>0.1</v>
      </c>
      <c r="E23938" t="s">
        <v>98</v>
      </c>
    </row>
    <row r="23939" spans="1:5" x14ac:dyDescent="0.25">
      <c r="A23939" t="str">
        <f>HYPERLINK("https://www.773grp.com/globalSearch/MMBZ5262BLT1/page-1", "MMBZ5262BLT1")</f>
        <v>MMBZ5262BLT1</v>
      </c>
      <c r="B23939" s="3" t="str">
        <f>HYPERLINK("https://www.773grp.com/manufacturer/onsemi?pageNo=415", "ON Semiconductor")</f>
        <v>ON Semiconductor</v>
      </c>
      <c r="C23939" s="6">
        <v>1700</v>
      </c>
      <c r="D23939" s="7">
        <v>0.1</v>
      </c>
      <c r="E23939" t="s">
        <v>98</v>
      </c>
    </row>
    <row r="23940" spans="1:5" x14ac:dyDescent="0.25">
      <c r="A23940" t="str">
        <f>HYPERLINK("https://www.773grp.com/globalSearch/MMBZ5262BLT1G/page-1", "MMBZ5262BLT1G")</f>
        <v>MMBZ5262BLT1G</v>
      </c>
      <c r="B23940" s="3" t="str">
        <f>HYPERLINK("https://www.773grp.com/manufacturer/onsemi?pageNo=416", "ON Semiconductor")</f>
        <v>ON Semiconductor</v>
      </c>
      <c r="C23940" s="6">
        <v>39000</v>
      </c>
      <c r="D23940" s="7">
        <v>0.1</v>
      </c>
      <c r="E23940" t="s">
        <v>98</v>
      </c>
    </row>
    <row r="23941" spans="1:5" x14ac:dyDescent="0.25">
      <c r="A23941" t="str">
        <f>HYPERLINK("https://www.773grp.com/globalSearch/MMBZ5263BLT1/page-1", "MMBZ5263BLT1")</f>
        <v>MMBZ5263BLT1</v>
      </c>
      <c r="B23941" s="3" t="str">
        <f>HYPERLINK("https://www.773grp.com/manufacturer/onsemi?pageNo=417", "ON Semiconductor")</f>
        <v>ON Semiconductor</v>
      </c>
      <c r="C23941" s="6">
        <v>165000</v>
      </c>
      <c r="D23941" s="7">
        <v>0.1</v>
      </c>
      <c r="E23941" t="s">
        <v>98</v>
      </c>
    </row>
    <row r="23942" spans="1:5" x14ac:dyDescent="0.25">
      <c r="A23942" t="str">
        <f>HYPERLINK("https://www.773grp.com/globalSearch/MMBZ5263ELT1/page-1", "MMBZ5263ELT1")</f>
        <v>MMBZ5263ELT1</v>
      </c>
      <c r="B23942" s="3" t="str">
        <f>HYPERLINK("https://www.773grp.com/manufacturer/onsemi?pageNo=418", "ON Semiconductor")</f>
        <v>ON Semiconductor</v>
      </c>
      <c r="C23942" s="6">
        <v>20895</v>
      </c>
      <c r="D23942" s="7">
        <v>0.1</v>
      </c>
      <c r="E23942" t="s">
        <v>98</v>
      </c>
    </row>
    <row r="23943" spans="1:5" x14ac:dyDescent="0.25">
      <c r="A23943" t="str">
        <f>HYPERLINK("https://www.773grp.com/globalSearch/MMBZ5263ELT1G/page-1", "MMBZ5263ELT1G")</f>
        <v>MMBZ5263ELT1G</v>
      </c>
      <c r="B23943" s="3" t="str">
        <f>HYPERLINK("https://www.773grp.com/manufacturer/onsemi?pageNo=419", "ON Semiconductor")</f>
        <v>ON Semiconductor</v>
      </c>
      <c r="C23943" s="6">
        <v>75000</v>
      </c>
      <c r="D23943" s="7">
        <v>0.1</v>
      </c>
      <c r="E23943" t="s">
        <v>98</v>
      </c>
    </row>
    <row r="23944" spans="1:5" x14ac:dyDescent="0.25">
      <c r="A23944" t="str">
        <f>HYPERLINK("https://www.773grp.com/globalSearch/MMBZ5267BLT1G/page-1", "MMBZ5267BLT1G")</f>
        <v>MMBZ5267BLT1G</v>
      </c>
      <c r="B23944" s="3" t="str">
        <f>HYPERLINK("https://www.773grp.com/manufacturer/onsemi?pageNo=420", "ON Semiconductor")</f>
        <v>ON Semiconductor</v>
      </c>
      <c r="C23944" s="6">
        <v>33000</v>
      </c>
      <c r="D23944" s="7">
        <v>0.1</v>
      </c>
      <c r="E23944" t="s">
        <v>98</v>
      </c>
    </row>
    <row r="23945" spans="1:5" x14ac:dyDescent="0.25">
      <c r="A23945" t="str">
        <f>HYPERLINK("https://www.773grp.com/globalSearch/MMBZ5268BLT1/page-1", "MMBZ5268BLT1")</f>
        <v>MMBZ5268BLT1</v>
      </c>
      <c r="B23945" s="3" t="str">
        <f>HYPERLINK("https://www.773grp.com/manufacturer/onsemi?pageNo=421", "ON Semiconductor")</f>
        <v>ON Semiconductor</v>
      </c>
      <c r="C23945" s="6">
        <v>120000</v>
      </c>
      <c r="D23945" s="7">
        <v>0.1</v>
      </c>
      <c r="E23945" t="s">
        <v>98</v>
      </c>
    </row>
    <row r="23946" spans="1:5" x14ac:dyDescent="0.25">
      <c r="A23946" t="str">
        <f>HYPERLINK("https://www.773grp.com/globalSearch/MMDL101T1G/page-1", "MMDL101T1G")</f>
        <v>MMDL101T1G</v>
      </c>
      <c r="B23946" s="3" t="str">
        <f>HYPERLINK("https://www.773grp.com/manufacturer/onsemi?pageNo=422", "ON Semiconductor")</f>
        <v>ON Semiconductor</v>
      </c>
      <c r="C23946" s="6">
        <v>15000</v>
      </c>
      <c r="D23946" s="7">
        <v>0.1</v>
      </c>
      <c r="E23946" t="s">
        <v>108</v>
      </c>
    </row>
    <row r="23947" spans="1:5" x14ac:dyDescent="0.25">
      <c r="A23947" t="str">
        <f>HYPERLINK("https://www.773grp.com/globalSearch/MMDL6050T1/page-1", "MMDL6050T1")</f>
        <v>MMDL6050T1</v>
      </c>
      <c r="B23947" s="3" t="str">
        <f>HYPERLINK("https://www.773grp.com/manufacturer/onsemi?pageNo=423", "ON Semiconductor")</f>
        <v>ON Semiconductor</v>
      </c>
      <c r="C23947" s="6">
        <v>534000</v>
      </c>
      <c r="D23947" s="7">
        <v>0.1</v>
      </c>
      <c r="E23947" t="s">
        <v>94</v>
      </c>
    </row>
    <row r="23948" spans="1:5" x14ac:dyDescent="0.25">
      <c r="A23948" t="str">
        <f>HYPERLINK("https://www.773grp.com/globalSearch/MMDL914T1/page-1", "MMDL914T1")</f>
        <v>MMDL914T1</v>
      </c>
      <c r="B23948" s="3" t="str">
        <f>HYPERLINK("https://www.773grp.com/manufacturer/onsemi?pageNo=424", "ON Semiconductor")</f>
        <v>ON Semiconductor</v>
      </c>
      <c r="C23948" s="6">
        <v>204455</v>
      </c>
      <c r="D23948" s="7">
        <v>0.1</v>
      </c>
      <c r="E23948" t="s">
        <v>94</v>
      </c>
    </row>
    <row r="23949" spans="1:5" x14ac:dyDescent="0.25">
      <c r="A23949" t="str">
        <f>HYPERLINK("https://www.773grp.com/globalSearch/MMSZ12T3G/page-1", "MMSZ12T3G")</f>
        <v>MMSZ12T3G</v>
      </c>
      <c r="B23949" s="3" t="str">
        <f>HYPERLINK("https://www.773grp.com/manufacturer/onsemi?pageNo=425", "ON Semiconductor")</f>
        <v>ON Semiconductor</v>
      </c>
      <c r="C23949" s="6">
        <v>309691</v>
      </c>
      <c r="D23949" s="7">
        <v>0.1</v>
      </c>
      <c r="E23949" t="s">
        <v>98</v>
      </c>
    </row>
    <row r="23950" spans="1:5" x14ac:dyDescent="0.25">
      <c r="A23950" t="str">
        <f>HYPERLINK("https://www.773grp.com/globalSearch/MMSZ20T1/page-1", "MMSZ20T1")</f>
        <v>MMSZ20T1</v>
      </c>
      <c r="B23950" s="3" t="str">
        <f>HYPERLINK("https://www.773grp.com/manufacturer/onsemi?pageNo=426", "ON Semiconductor")</f>
        <v>ON Semiconductor</v>
      </c>
      <c r="C23950" s="6">
        <v>111000</v>
      </c>
      <c r="D23950" s="7">
        <v>0.1</v>
      </c>
      <c r="E23950" t="s">
        <v>98</v>
      </c>
    </row>
    <row r="23951" spans="1:5" x14ac:dyDescent="0.25">
      <c r="A23951" t="str">
        <f>HYPERLINK("https://www.773grp.com/globalSearch/MMSZ24ET1/page-1", "MMSZ24ET1")</f>
        <v>MMSZ24ET1</v>
      </c>
      <c r="B23951" s="3" t="str">
        <f>HYPERLINK("https://www.773grp.com/manufacturer/onsemi?pageNo=427", "ON Semiconductor")</f>
        <v>ON Semiconductor</v>
      </c>
      <c r="C23951" s="6">
        <v>17974</v>
      </c>
      <c r="D23951" s="7">
        <v>0.1</v>
      </c>
      <c r="E23951" t="s">
        <v>98</v>
      </c>
    </row>
    <row r="23952" spans="1:5" x14ac:dyDescent="0.25">
      <c r="A23952" t="str">
        <f>HYPERLINK("https://www.773grp.com/globalSearch/MMSZ27ET1/page-1", "MMSZ27ET1")</f>
        <v>MMSZ27ET1</v>
      </c>
      <c r="B23952" s="3" t="str">
        <f>HYPERLINK("https://www.773grp.com/manufacturer/onsemi?pageNo=428", "ON Semiconductor")</f>
        <v>ON Semiconductor</v>
      </c>
      <c r="C23952" s="6">
        <v>24000</v>
      </c>
      <c r="D23952" s="7">
        <v>0.1</v>
      </c>
      <c r="E23952" t="s">
        <v>98</v>
      </c>
    </row>
    <row r="23953" spans="1:5" x14ac:dyDescent="0.25">
      <c r="A23953" t="str">
        <f>HYPERLINK("https://www.773grp.com/globalSearch/MMSZ27ET1G/page-1", "MMSZ27ET1G")</f>
        <v>MMSZ27ET1G</v>
      </c>
      <c r="B23953" s="3" t="str">
        <f>HYPERLINK("https://www.773grp.com/manufacturer/onsemi?pageNo=429", "ON Semiconductor")</f>
        <v>ON Semiconductor</v>
      </c>
      <c r="C23953" s="6">
        <v>39000</v>
      </c>
      <c r="D23953" s="7">
        <v>0.1</v>
      </c>
      <c r="E23953" t="s">
        <v>98</v>
      </c>
    </row>
    <row r="23954" spans="1:5" x14ac:dyDescent="0.25">
      <c r="A23954" t="str">
        <f>HYPERLINK("https://www.773grp.com/globalSearch/MMSZ2V4ET1G/page-1", "MMSZ2V4ET1G")</f>
        <v>MMSZ2V4ET1G</v>
      </c>
      <c r="B23954" s="3" t="str">
        <f>HYPERLINK("https://www.773grp.com/manufacturer/onsemi?pageNo=430", "ON Semiconductor")</f>
        <v>ON Semiconductor</v>
      </c>
      <c r="C23954" s="6">
        <v>48000</v>
      </c>
      <c r="D23954" s="7">
        <v>0.1</v>
      </c>
      <c r="E23954" t="s">
        <v>98</v>
      </c>
    </row>
    <row r="23955" spans="1:5" x14ac:dyDescent="0.25">
      <c r="A23955" t="str">
        <f>HYPERLINK("https://www.773grp.com/globalSearch/MMSZ2V7ET1/page-1", "MMSZ2V7ET1")</f>
        <v>MMSZ2V7ET1</v>
      </c>
      <c r="B23955" s="3" t="str">
        <f>HYPERLINK("https://www.773grp.com/manufacturer/onsemi?pageNo=431", "ON Semiconductor")</f>
        <v>ON Semiconductor</v>
      </c>
      <c r="C23955" s="6">
        <v>9000</v>
      </c>
      <c r="D23955" s="7">
        <v>0.1</v>
      </c>
      <c r="E23955" t="s">
        <v>98</v>
      </c>
    </row>
    <row r="23956" spans="1:5" x14ac:dyDescent="0.25">
      <c r="A23956" t="str">
        <f>HYPERLINK("https://www.773grp.com/globalSearch/MMSZ30ET1/page-1", "MMSZ30ET1")</f>
        <v>MMSZ30ET1</v>
      </c>
      <c r="B23956" s="3" t="str">
        <f>HYPERLINK("https://www.773grp.com/manufacturer/onsemi?pageNo=432", "ON Semiconductor")</f>
        <v>ON Semiconductor</v>
      </c>
      <c r="C23956" s="6">
        <v>10308</v>
      </c>
      <c r="D23956" s="7">
        <v>0.1</v>
      </c>
      <c r="E23956" t="s">
        <v>98</v>
      </c>
    </row>
    <row r="23957" spans="1:5" x14ac:dyDescent="0.25">
      <c r="A23957" t="str">
        <f>HYPERLINK("https://www.773grp.com/globalSearch/MMSZ33ET1/page-1", "MMSZ33ET1")</f>
        <v>MMSZ33ET1</v>
      </c>
      <c r="B23957" s="3" t="str">
        <f>HYPERLINK("https://www.773grp.com/manufacturer/onsemi?pageNo=433", "ON Semiconductor")</f>
        <v>ON Semiconductor</v>
      </c>
      <c r="C23957" s="6">
        <v>19000</v>
      </c>
      <c r="D23957" s="7">
        <v>0.1</v>
      </c>
      <c r="E23957" t="s">
        <v>98</v>
      </c>
    </row>
    <row r="23958" spans="1:5" x14ac:dyDescent="0.25">
      <c r="A23958" t="str">
        <f>HYPERLINK("https://www.773grp.com/globalSearch/MMSZ3V3ET1/page-1", "MMSZ3V3ET1")</f>
        <v>MMSZ3V3ET1</v>
      </c>
      <c r="B23958" s="3" t="str">
        <f>HYPERLINK("https://www.773grp.com/manufacturer/onsemi?pageNo=434", "ON Semiconductor")</f>
        <v>ON Semiconductor</v>
      </c>
      <c r="C23958" s="6">
        <v>17950</v>
      </c>
      <c r="D23958" s="7">
        <v>0.1</v>
      </c>
      <c r="E23958" t="s">
        <v>98</v>
      </c>
    </row>
    <row r="23959" spans="1:5" x14ac:dyDescent="0.25">
      <c r="A23959" t="str">
        <f>HYPERLINK("https://www.773grp.com/globalSearch/MMSZ3V3ET1G/page-1", "MMSZ3V3ET1G")</f>
        <v>MMSZ3V3ET1G</v>
      </c>
      <c r="B23959" s="3" t="str">
        <f>HYPERLINK("https://www.773grp.com/manufacturer/onsemi?pageNo=435", "ON Semiconductor")</f>
        <v>ON Semiconductor</v>
      </c>
      <c r="C23959" s="6">
        <v>54000</v>
      </c>
      <c r="D23959" s="7">
        <v>0.1</v>
      </c>
      <c r="E23959" t="s">
        <v>98</v>
      </c>
    </row>
    <row r="23960" spans="1:5" x14ac:dyDescent="0.25">
      <c r="A23960" t="str">
        <f>HYPERLINK("https://www.773grp.com/globalSearch/MMSZ4678T1/page-1", "MMSZ4678T1")</f>
        <v>MMSZ4678T1</v>
      </c>
      <c r="B23960" s="3" t="str">
        <f>HYPERLINK("https://www.773grp.com/manufacturer/onsemi?pageNo=436", "ON Semiconductor")</f>
        <v>ON Semiconductor</v>
      </c>
      <c r="C23960" s="6">
        <v>24000</v>
      </c>
      <c r="D23960" s="7">
        <v>0.1</v>
      </c>
      <c r="E23960" t="s">
        <v>98</v>
      </c>
    </row>
    <row r="23961" spans="1:5" x14ac:dyDescent="0.25">
      <c r="A23961" t="str">
        <f>HYPERLINK("https://www.773grp.com/globalSearch/MMSZ4679T1/page-1", "MMSZ4679T1")</f>
        <v>MMSZ4679T1</v>
      </c>
      <c r="B23961" s="3" t="str">
        <f>HYPERLINK("https://www.773grp.com/manufacturer/onsemi?pageNo=437", "ON Semiconductor")</f>
        <v>ON Semiconductor</v>
      </c>
      <c r="C23961" s="6">
        <v>57000</v>
      </c>
      <c r="D23961" s="7">
        <v>0.1</v>
      </c>
      <c r="E23961" t="s">
        <v>98</v>
      </c>
    </row>
    <row r="23962" spans="1:5" x14ac:dyDescent="0.25">
      <c r="A23962" t="str">
        <f>HYPERLINK("https://www.773grp.com/globalSearch/MMSZ4682T1/page-1", "MMSZ4682T1")</f>
        <v>MMSZ4682T1</v>
      </c>
      <c r="B23962" s="3" t="str">
        <f>HYPERLINK("https://www.773grp.com/manufacturer/onsemi?pageNo=438", "ON Semiconductor")</f>
        <v>ON Semiconductor</v>
      </c>
      <c r="C23962" s="6">
        <v>23605</v>
      </c>
      <c r="D23962" s="7">
        <v>0.1</v>
      </c>
      <c r="E23962" t="s">
        <v>98</v>
      </c>
    </row>
    <row r="23963" spans="1:5" x14ac:dyDescent="0.25">
      <c r="A23963" t="str">
        <f>HYPERLINK("https://www.773grp.com/globalSearch/MMSZ4684T1/page-1", "MMSZ4684T1")</f>
        <v>MMSZ4684T1</v>
      </c>
      <c r="B23963" s="3" t="str">
        <f>HYPERLINK("https://www.773grp.com/manufacturer/onsemi?pageNo=439", "ON Semiconductor")</f>
        <v>ON Semiconductor</v>
      </c>
      <c r="C23963" s="6">
        <v>74790</v>
      </c>
      <c r="D23963" s="7">
        <v>0.1</v>
      </c>
      <c r="E23963" t="s">
        <v>98</v>
      </c>
    </row>
    <row r="23964" spans="1:5" x14ac:dyDescent="0.25">
      <c r="A23964" t="str">
        <f>HYPERLINK("https://www.773grp.com/globalSearch/MMSZ4686T1/page-1", "MMSZ4686T1")</f>
        <v>MMSZ4686T1</v>
      </c>
      <c r="B23964" s="3" t="str">
        <f>HYPERLINK("https://www.773grp.com/manufacturer/onsemi?pageNo=440", "ON Semiconductor")</f>
        <v>ON Semiconductor</v>
      </c>
      <c r="C23964" s="6">
        <v>33000</v>
      </c>
      <c r="D23964" s="7">
        <v>0.1</v>
      </c>
      <c r="E23964" t="s">
        <v>98</v>
      </c>
    </row>
    <row r="23965" spans="1:5" x14ac:dyDescent="0.25">
      <c r="A23965" t="str">
        <f>HYPERLINK("https://www.773grp.com/globalSearch/MMSZ4687T1/page-1", "MMSZ4687T1")</f>
        <v>MMSZ4687T1</v>
      </c>
      <c r="B23965" s="3" t="str">
        <f>HYPERLINK("https://www.773grp.com/manufacturer/onsemi?pageNo=441", "ON Semiconductor")</f>
        <v>ON Semiconductor</v>
      </c>
      <c r="C23965" s="6">
        <v>43800</v>
      </c>
      <c r="D23965" s="7">
        <v>0.1</v>
      </c>
      <c r="E23965" t="s">
        <v>98</v>
      </c>
    </row>
    <row r="23966" spans="1:5" x14ac:dyDescent="0.25">
      <c r="A23966" t="str">
        <f>HYPERLINK("https://www.773grp.com/globalSearch/MMSZ4691ET1/page-1", "MMSZ4691ET1")</f>
        <v>MMSZ4691ET1</v>
      </c>
      <c r="B23966" s="3" t="str">
        <f>HYPERLINK("https://www.773grp.com/manufacturer/onsemi?pageNo=442", "ON Semiconductor")</f>
        <v>ON Semiconductor</v>
      </c>
      <c r="C23966" s="6">
        <v>6000</v>
      </c>
      <c r="D23966" s="7">
        <v>0.1</v>
      </c>
      <c r="E23966" t="s">
        <v>98</v>
      </c>
    </row>
    <row r="23967" spans="1:5" x14ac:dyDescent="0.25">
      <c r="A23967" t="str">
        <f>HYPERLINK("https://www.773grp.com/globalSearch/MMSZ4692ET1/page-1", "MMSZ4692ET1")</f>
        <v>MMSZ4692ET1</v>
      </c>
      <c r="B23967" s="3" t="str">
        <f>HYPERLINK("https://www.773grp.com/manufacturer/onsemi?pageNo=443", "ON Semiconductor")</f>
        <v>ON Semiconductor</v>
      </c>
      <c r="C23967" s="6">
        <v>18000</v>
      </c>
      <c r="D23967" s="7">
        <v>0.1</v>
      </c>
      <c r="E23967" t="s">
        <v>98</v>
      </c>
    </row>
    <row r="23968" spans="1:5" x14ac:dyDescent="0.25">
      <c r="A23968" t="str">
        <f>HYPERLINK("https://www.773grp.com/globalSearch/MMSZ4692T1/page-1", "MMSZ4692T1")</f>
        <v>MMSZ4692T1</v>
      </c>
      <c r="B23968" s="3" t="str">
        <f>HYPERLINK("https://www.773grp.com/manufacturer/onsemi?pageNo=444", "ON Semiconductor")</f>
        <v>ON Semiconductor</v>
      </c>
      <c r="C23968" s="6">
        <v>180000</v>
      </c>
      <c r="D23968" s="7">
        <v>0.1</v>
      </c>
      <c r="E23968" t="s">
        <v>98</v>
      </c>
    </row>
    <row r="23969" spans="1:5" x14ac:dyDescent="0.25">
      <c r="A23969" t="str">
        <f>HYPERLINK("https://www.773grp.com/globalSearch/MMSZ4693T1/page-1", "MMSZ4693T1")</f>
        <v>MMSZ4693T1</v>
      </c>
      <c r="B23969" s="3" t="str">
        <f>HYPERLINK("https://www.773grp.com/manufacturer/onsemi?pageNo=445", "ON Semiconductor")</f>
        <v>ON Semiconductor</v>
      </c>
      <c r="C23969" s="6">
        <v>84000</v>
      </c>
      <c r="D23969" s="7">
        <v>0.1</v>
      </c>
      <c r="E23969" t="s">
        <v>98</v>
      </c>
    </row>
    <row r="23970" spans="1:5" x14ac:dyDescent="0.25">
      <c r="A23970" t="str">
        <f>HYPERLINK("https://www.773grp.com/globalSearch/MMSZ4695T1/page-1", "MMSZ4695T1")</f>
        <v>MMSZ4695T1</v>
      </c>
      <c r="B23970" s="3" t="str">
        <f>HYPERLINK("https://www.773grp.com/manufacturer/onsemi?pageNo=446", "ON Semiconductor")</f>
        <v>ON Semiconductor</v>
      </c>
      <c r="C23970" s="6">
        <v>81000</v>
      </c>
      <c r="D23970" s="7">
        <v>0.1</v>
      </c>
      <c r="E23970" t="s">
        <v>98</v>
      </c>
    </row>
    <row r="23971" spans="1:5" x14ac:dyDescent="0.25">
      <c r="A23971" t="str">
        <f>HYPERLINK("https://www.773grp.com/globalSearch/MMSZ4696T1/page-1", "MMSZ4696T1")</f>
        <v>MMSZ4696T1</v>
      </c>
      <c r="B23971" s="3" t="str">
        <f>HYPERLINK("https://www.773grp.com/manufacturer/onsemi?pageNo=447", "ON Semiconductor")</f>
        <v>ON Semiconductor</v>
      </c>
      <c r="C23971" s="6">
        <v>6000</v>
      </c>
      <c r="D23971" s="7">
        <v>0.1</v>
      </c>
      <c r="E23971" t="s">
        <v>98</v>
      </c>
    </row>
    <row r="23972" spans="1:5" x14ac:dyDescent="0.25">
      <c r="A23972" t="str">
        <f>HYPERLINK("https://www.773grp.com/globalSearch/MMSZ4700T1/page-1", "MMSZ4700T1")</f>
        <v>MMSZ4700T1</v>
      </c>
      <c r="B23972" s="3" t="str">
        <f>HYPERLINK("https://www.773grp.com/manufacturer/onsemi?pageNo=448", "ON Semiconductor")</f>
        <v>ON Semiconductor</v>
      </c>
      <c r="C23972" s="6">
        <v>3000</v>
      </c>
      <c r="D23972" s="7">
        <v>0.1</v>
      </c>
      <c r="E23972" t="s">
        <v>98</v>
      </c>
    </row>
    <row r="23973" spans="1:5" x14ac:dyDescent="0.25">
      <c r="A23973" t="str">
        <f>HYPERLINK("https://www.773grp.com/globalSearch/MMSZ4703T1/page-1", "MMSZ4703T1")</f>
        <v>MMSZ4703T1</v>
      </c>
      <c r="B23973" s="3" t="str">
        <f>HYPERLINK("https://www.773grp.com/manufacturer/onsemi?pageNo=449", "ON Semiconductor")</f>
        <v>ON Semiconductor</v>
      </c>
      <c r="C23973" s="6">
        <v>60000</v>
      </c>
      <c r="D23973" s="7">
        <v>0.1</v>
      </c>
      <c r="E23973" t="s">
        <v>98</v>
      </c>
    </row>
    <row r="23974" spans="1:5" x14ac:dyDescent="0.25">
      <c r="A23974" t="str">
        <f>HYPERLINK("https://www.773grp.com/globalSearch/MMSZ4706T1/page-1", "MMSZ4706T1")</f>
        <v>MMSZ4706T1</v>
      </c>
      <c r="B23974" s="3" t="str">
        <f>HYPERLINK("https://www.773grp.com/manufacturer/onsemi?pageNo=450", "ON Semiconductor")</f>
        <v>ON Semiconductor</v>
      </c>
      <c r="C23974" s="6">
        <v>69000</v>
      </c>
      <c r="D23974" s="7">
        <v>0.1</v>
      </c>
      <c r="E23974" t="s">
        <v>98</v>
      </c>
    </row>
    <row r="23975" spans="1:5" x14ac:dyDescent="0.25">
      <c r="A23975" t="str">
        <f>HYPERLINK("https://www.773grp.com/globalSearch/MMSZ4707T1/page-1", "MMSZ4707T1")</f>
        <v>MMSZ4707T1</v>
      </c>
      <c r="B23975" s="3" t="str">
        <f>HYPERLINK("https://www.773grp.com/manufacturer/onsemi?pageNo=451", "ON Semiconductor")</f>
        <v>ON Semiconductor</v>
      </c>
      <c r="C23975" s="6">
        <v>60000</v>
      </c>
      <c r="D23975" s="7">
        <v>0.1</v>
      </c>
      <c r="E23975" t="s">
        <v>98</v>
      </c>
    </row>
    <row r="23976" spans="1:5" x14ac:dyDescent="0.25">
      <c r="A23976" t="str">
        <f>HYPERLINK("https://www.773grp.com/globalSearch/MMSZ4709ET1/page-1", "MMSZ4709ET1")</f>
        <v>MMSZ4709ET1</v>
      </c>
      <c r="B23976" s="3" t="str">
        <f>HYPERLINK("https://www.773grp.com/manufacturer/onsemi?pageNo=452", "ON Semiconductor")</f>
        <v>ON Semiconductor</v>
      </c>
      <c r="C23976" s="6">
        <v>20995</v>
      </c>
      <c r="D23976" s="7">
        <v>0.1</v>
      </c>
      <c r="E23976" t="s">
        <v>98</v>
      </c>
    </row>
    <row r="23977" spans="1:5" x14ac:dyDescent="0.25">
      <c r="A23977" t="str">
        <f>HYPERLINK("https://www.773grp.com/globalSearch/MMSZ4711T1/page-1", "MMSZ4711T1")</f>
        <v>MMSZ4711T1</v>
      </c>
      <c r="B23977" s="3" t="str">
        <f>HYPERLINK("https://www.773grp.com/manufacturer/onsemi?pageNo=453", "ON Semiconductor")</f>
        <v>ON Semiconductor</v>
      </c>
      <c r="C23977" s="6">
        <v>249000</v>
      </c>
      <c r="D23977" s="7">
        <v>0.1</v>
      </c>
      <c r="E23977" t="s">
        <v>98</v>
      </c>
    </row>
    <row r="23978" spans="1:5" x14ac:dyDescent="0.25">
      <c r="A23978" t="str">
        <f>HYPERLINK("https://www.773grp.com/globalSearch/MMSZ4712ET1/page-1", "MMSZ4712ET1")</f>
        <v>MMSZ4712ET1</v>
      </c>
      <c r="B23978" s="3" t="str">
        <f>HYPERLINK("https://www.773grp.com/manufacturer/onsemi?pageNo=454", "ON Semiconductor")</f>
        <v>ON Semiconductor</v>
      </c>
      <c r="C23978" s="6">
        <v>18000</v>
      </c>
      <c r="D23978" s="7">
        <v>0.1</v>
      </c>
    </row>
    <row r="23979" spans="1:5" x14ac:dyDescent="0.25">
      <c r="A23979" t="str">
        <f>HYPERLINK("https://www.773grp.com/globalSearch/MMSZ4713T1/page-1", "MMSZ4713T1")</f>
        <v>MMSZ4713T1</v>
      </c>
      <c r="B23979" s="3" t="str">
        <f>HYPERLINK("https://www.773grp.com/manufacturer/onsemi?pageNo=455", "ON Semiconductor")</f>
        <v>ON Semiconductor</v>
      </c>
      <c r="C23979" s="6">
        <v>139900</v>
      </c>
      <c r="D23979" s="7">
        <v>0.1</v>
      </c>
      <c r="E23979" t="s">
        <v>98</v>
      </c>
    </row>
    <row r="23980" spans="1:5" x14ac:dyDescent="0.25">
      <c r="A23980" t="str">
        <f>HYPERLINK("https://www.773grp.com/globalSearch/MMSZ4716T1G/page-1", "MMSZ4716T1G")</f>
        <v>MMSZ4716T1G</v>
      </c>
      <c r="B23980" s="3" t="str">
        <f>HYPERLINK("https://www.773grp.com/manufacturer/onsemi?pageNo=456", "ON Semiconductor")</f>
        <v>ON Semiconductor</v>
      </c>
      <c r="C23980" s="6">
        <v>72000</v>
      </c>
      <c r="D23980" s="7">
        <v>0.1</v>
      </c>
      <c r="E23980" t="s">
        <v>98</v>
      </c>
    </row>
    <row r="23981" spans="1:5" x14ac:dyDescent="0.25">
      <c r="A23981" t="str">
        <f>HYPERLINK("https://www.773grp.com/globalSearch/MMSZ4717ET1/page-1", "MMSZ4717ET1")</f>
        <v>MMSZ4717ET1</v>
      </c>
      <c r="B23981" s="3" t="str">
        <f>HYPERLINK("https://www.773grp.com/manufacturer/onsemi?pageNo=457", "ON Semiconductor")</f>
        <v>ON Semiconductor</v>
      </c>
      <c r="C23981" s="6">
        <v>22000</v>
      </c>
      <c r="D23981" s="7">
        <v>0.1</v>
      </c>
      <c r="E23981" t="s">
        <v>98</v>
      </c>
    </row>
    <row r="23982" spans="1:5" x14ac:dyDescent="0.25">
      <c r="A23982" t="str">
        <f>HYPERLINK("https://www.773grp.com/globalSearch/MMSZ47T1/page-1", "MMSZ47T1")</f>
        <v>MMSZ47T1</v>
      </c>
      <c r="B23982" s="3" t="str">
        <f>HYPERLINK("https://www.773grp.com/manufacturer/onsemi?pageNo=458", "ON Semiconductor")</f>
        <v>ON Semiconductor</v>
      </c>
      <c r="C23982" s="6">
        <v>15000</v>
      </c>
      <c r="D23982" s="7">
        <v>0.1</v>
      </c>
      <c r="E23982" t="s">
        <v>98</v>
      </c>
    </row>
    <row r="23983" spans="1:5" x14ac:dyDescent="0.25">
      <c r="A23983" t="str">
        <f>HYPERLINK("https://www.773grp.com/globalSearch/MMSZ4V7ET1/page-1", "MMSZ4V7ET1")</f>
        <v>MMSZ4V7ET1</v>
      </c>
      <c r="B23983" s="3" t="str">
        <f>HYPERLINK("https://www.773grp.com/manufacturer/onsemi?pageNo=459", "ON Semiconductor")</f>
        <v>ON Semiconductor</v>
      </c>
      <c r="C23983" s="6">
        <v>5775</v>
      </c>
      <c r="D23983" s="7">
        <v>0.1</v>
      </c>
      <c r="E23983" t="s">
        <v>98</v>
      </c>
    </row>
    <row r="23984" spans="1:5" x14ac:dyDescent="0.25">
      <c r="A23984" t="str">
        <f>HYPERLINK("https://www.773grp.com/globalSearch/MMSZ4V7T1/page-1", "MMSZ4V7T1")</f>
        <v>MMSZ4V7T1</v>
      </c>
      <c r="B23984" s="3" t="str">
        <f>HYPERLINK("https://www.773grp.com/manufacturer/onsemi?pageNo=460", "ON Semiconductor")</f>
        <v>ON Semiconductor</v>
      </c>
      <c r="C23984" s="6">
        <v>65500</v>
      </c>
      <c r="D23984" s="7">
        <v>0.1</v>
      </c>
      <c r="E23984" t="s">
        <v>98</v>
      </c>
    </row>
    <row r="23985" spans="1:5" x14ac:dyDescent="0.25">
      <c r="A23985" t="str">
        <f>HYPERLINK("https://www.773grp.com/globalSearch/MMSZ4V7T3G/page-1", "MMSZ4V7T3G")</f>
        <v>MMSZ4V7T3G</v>
      </c>
      <c r="B23985" s="3" t="str">
        <f>HYPERLINK("https://www.773grp.com/manufacturer/onsemi?pageNo=461", "ON Semiconductor")</f>
        <v>ON Semiconductor</v>
      </c>
      <c r="C23985" s="6">
        <v>190000</v>
      </c>
      <c r="D23985" s="7">
        <v>0.1</v>
      </c>
      <c r="E23985" t="s">
        <v>98</v>
      </c>
    </row>
    <row r="23986" spans="1:5" x14ac:dyDescent="0.25">
      <c r="A23986" t="str">
        <f>HYPERLINK("https://www.773grp.com/globalSearch/MMSZ51T1/page-1", "MMSZ51T1")</f>
        <v>MMSZ51T1</v>
      </c>
      <c r="B23986" s="3" t="str">
        <f>HYPERLINK("https://www.773grp.com/manufacturer/onsemi?pageNo=462", "ON Semiconductor")</f>
        <v>ON Semiconductor</v>
      </c>
      <c r="C23986" s="6">
        <v>33000</v>
      </c>
      <c r="D23986" s="7">
        <v>0.1</v>
      </c>
      <c r="E23986" t="s">
        <v>98</v>
      </c>
    </row>
    <row r="23987" spans="1:5" x14ac:dyDescent="0.25">
      <c r="A23987" t="str">
        <f>HYPERLINK("https://www.773grp.com/globalSearch/MMSZ5222BT1/page-1", "MMSZ5222BT1")</f>
        <v>MMSZ5222BT1</v>
      </c>
      <c r="B23987" s="3" t="str">
        <f>HYPERLINK("https://www.773grp.com/manufacturer/onsemi?pageNo=463", "ON Semiconductor")</f>
        <v>ON Semiconductor</v>
      </c>
      <c r="C23987" s="6">
        <v>16000</v>
      </c>
      <c r="D23987" s="7">
        <v>0.1</v>
      </c>
      <c r="E23987" t="s">
        <v>98</v>
      </c>
    </row>
    <row r="23988" spans="1:5" x14ac:dyDescent="0.25">
      <c r="A23988" t="str">
        <f>HYPERLINK("https://www.773grp.com/globalSearch/MMSZ5224BT1G/page-1", "MMSZ5224BT1G")</f>
        <v>MMSZ5224BT1G</v>
      </c>
      <c r="B23988" s="3" t="str">
        <f>HYPERLINK("https://www.773grp.com/manufacturer/onsemi?pageNo=464", "ON Semiconductor")</f>
        <v>ON Semiconductor</v>
      </c>
      <c r="C23988" s="6">
        <v>42000</v>
      </c>
      <c r="D23988" s="7">
        <v>0.1</v>
      </c>
      <c r="E23988" t="s">
        <v>98</v>
      </c>
    </row>
    <row r="23989" spans="1:5" x14ac:dyDescent="0.25">
      <c r="A23989" t="str">
        <f>HYPERLINK("https://www.773grp.com/globalSearch/MMSZ5226BT3/page-1", "MMSZ5226BT3")</f>
        <v>MMSZ5226BT3</v>
      </c>
      <c r="B23989" s="3" t="str">
        <f>HYPERLINK("https://www.773grp.com/manufacturer/onsemi?pageNo=465", "ON Semiconductor")</f>
        <v>ON Semiconductor</v>
      </c>
      <c r="C23989" s="6">
        <v>10000</v>
      </c>
      <c r="D23989" s="7">
        <v>0.1</v>
      </c>
      <c r="E23989" t="s">
        <v>98</v>
      </c>
    </row>
    <row r="23990" spans="1:5" x14ac:dyDescent="0.25">
      <c r="A23990" t="str">
        <f>HYPERLINK("https://www.773grp.com/globalSearch/MMSZ5226BT3G/page-1", "MMSZ5226BT3G")</f>
        <v>MMSZ5226BT3G</v>
      </c>
      <c r="B23990" s="3" t="str">
        <f>HYPERLINK("https://www.773grp.com/manufacturer/onsemi?pageNo=466", "ON Semiconductor")</f>
        <v>ON Semiconductor</v>
      </c>
      <c r="C23990" s="6">
        <v>30000</v>
      </c>
      <c r="D23990" s="7">
        <v>0.1</v>
      </c>
      <c r="E23990" t="s">
        <v>98</v>
      </c>
    </row>
    <row r="23991" spans="1:5" x14ac:dyDescent="0.25">
      <c r="A23991" t="str">
        <f>HYPERLINK("https://www.773grp.com/globalSearch/MMSZ5233ET1/page-1", "MMSZ5233ET1")</f>
        <v>MMSZ5233ET1</v>
      </c>
      <c r="B23991" s="3" t="str">
        <f>HYPERLINK("https://www.773grp.com/manufacturer/onsemi?pageNo=467", "ON Semiconductor")</f>
        <v>ON Semiconductor</v>
      </c>
      <c r="C23991" s="6">
        <v>25000</v>
      </c>
      <c r="D23991" s="7">
        <v>0.1</v>
      </c>
      <c r="E23991" t="s">
        <v>98</v>
      </c>
    </row>
    <row r="23992" spans="1:5" x14ac:dyDescent="0.25">
      <c r="A23992" t="str">
        <f>HYPERLINK("https://www.773grp.com/globalSearch/MMSZ5234ET1/page-1", "MMSZ5234ET1")</f>
        <v>MMSZ5234ET1</v>
      </c>
      <c r="B23992" s="3" t="str">
        <f>HYPERLINK("https://www.773grp.com/manufacturer/onsemi?pageNo=468", "ON Semiconductor")</f>
        <v>ON Semiconductor</v>
      </c>
      <c r="C23992" s="6">
        <v>11920</v>
      </c>
      <c r="D23992" s="7">
        <v>0.1</v>
      </c>
      <c r="E23992" t="s">
        <v>98</v>
      </c>
    </row>
    <row r="23993" spans="1:5" x14ac:dyDescent="0.25">
      <c r="A23993" t="str">
        <f>HYPERLINK("https://www.773grp.com/globalSearch/MMSZ5246BT3/page-1", "MMSZ5246BT3")</f>
        <v>MMSZ5246BT3</v>
      </c>
      <c r="B23993" s="3" t="str">
        <f>HYPERLINK("https://www.773grp.com/manufacturer/onsemi?pageNo=469", "ON Semiconductor")</f>
        <v>ON Semiconductor</v>
      </c>
      <c r="C23993" s="6">
        <v>20000</v>
      </c>
      <c r="D23993" s="7">
        <v>0.1</v>
      </c>
      <c r="E23993" t="s">
        <v>98</v>
      </c>
    </row>
    <row r="23994" spans="1:5" x14ac:dyDescent="0.25">
      <c r="A23994" t="str">
        <f>HYPERLINK("https://www.773grp.com/globalSearch/MMSZ5246ET1/page-1", "MMSZ5246ET1")</f>
        <v>MMSZ5246ET1</v>
      </c>
      <c r="B23994" s="3" t="str">
        <f>HYPERLINK("https://www.773grp.com/manufacturer/onsemi?pageNo=470", "ON Semiconductor")</f>
        <v>ON Semiconductor</v>
      </c>
      <c r="C23994" s="6">
        <v>3000</v>
      </c>
      <c r="D23994" s="7">
        <v>0.1</v>
      </c>
      <c r="E23994" t="s">
        <v>98</v>
      </c>
    </row>
    <row r="23995" spans="1:5" x14ac:dyDescent="0.25">
      <c r="A23995" t="str">
        <f>HYPERLINK("https://www.773grp.com/globalSearch/MMSZ5247BT1/page-1", "MMSZ5247BT1")</f>
        <v>MMSZ5247BT1</v>
      </c>
      <c r="B23995" s="3" t="str">
        <f>HYPERLINK("https://www.773grp.com/manufacturer/onsemi?pageNo=471", "ON Semiconductor")</f>
        <v>ON Semiconductor</v>
      </c>
      <c r="C23995" s="6">
        <v>15000</v>
      </c>
      <c r="D23995" s="7">
        <v>0.1</v>
      </c>
      <c r="E23995" t="s">
        <v>98</v>
      </c>
    </row>
    <row r="23996" spans="1:5" x14ac:dyDescent="0.25">
      <c r="A23996" t="str">
        <f>HYPERLINK("https://www.773grp.com/globalSearch/MMSZ5249ET1/page-1", "MMSZ5249ET1")</f>
        <v>MMSZ5249ET1</v>
      </c>
      <c r="B23996" s="3" t="str">
        <f>HYPERLINK("https://www.773grp.com/manufacturer/onsemi?pageNo=472", "ON Semiconductor")</f>
        <v>ON Semiconductor</v>
      </c>
      <c r="C23996" s="6">
        <v>9000</v>
      </c>
      <c r="D23996" s="7">
        <v>0.1</v>
      </c>
    </row>
    <row r="23997" spans="1:5" x14ac:dyDescent="0.25">
      <c r="A23997" t="str">
        <f>HYPERLINK("https://www.773grp.com/globalSearch/MMSZ5253BT1/page-1", "MMSZ5253BT1")</f>
        <v>MMSZ5253BT1</v>
      </c>
      <c r="B23997" s="3" t="str">
        <f>HYPERLINK("https://www.773grp.com/manufacturer/onsemi?pageNo=473", "ON Semiconductor")</f>
        <v>ON Semiconductor</v>
      </c>
      <c r="C23997" s="6">
        <v>12000</v>
      </c>
      <c r="D23997" s="7">
        <v>0.1</v>
      </c>
      <c r="E23997" t="s">
        <v>98</v>
      </c>
    </row>
    <row r="23998" spans="1:5" x14ac:dyDescent="0.25">
      <c r="A23998" t="str">
        <f>HYPERLINK("https://www.773grp.com/globalSearch/MMSZ5269BT1/page-1", "MMSZ5269BT1")</f>
        <v>MMSZ5269BT1</v>
      </c>
      <c r="B23998" s="3" t="str">
        <f>HYPERLINK("https://www.773grp.com/manufacturer/onsemi?pageNo=474", "ON Semiconductor")</f>
        <v>ON Semiconductor</v>
      </c>
      <c r="C23998" s="6">
        <v>48000</v>
      </c>
      <c r="D23998" s="7">
        <v>0.1</v>
      </c>
      <c r="E23998" t="s">
        <v>98</v>
      </c>
    </row>
    <row r="23999" spans="1:5" x14ac:dyDescent="0.25">
      <c r="A23999" t="str">
        <f>HYPERLINK("https://www.773grp.com/globalSearch/MMSZ5V1ET1G/page-1", "MMSZ5V1ET1G")</f>
        <v>MMSZ5V1ET1G</v>
      </c>
      <c r="B23999" s="3" t="str">
        <f>HYPERLINK("https://www.773grp.com/manufacturer/onsemi?pageNo=475", "ON Semiconductor")</f>
        <v>ON Semiconductor</v>
      </c>
      <c r="C23999" s="6">
        <v>48000</v>
      </c>
      <c r="D23999" s="7">
        <v>0.1</v>
      </c>
      <c r="E23999" t="s">
        <v>98</v>
      </c>
    </row>
    <row r="24000" spans="1:5" x14ac:dyDescent="0.25">
      <c r="A24000" t="str">
        <f>HYPERLINK("https://www.773grp.com/globalSearch/MMSZ6V2ET1G/page-1", "MMSZ6V2ET1G")</f>
        <v>MMSZ6V2ET1G</v>
      </c>
      <c r="B24000" s="3" t="str">
        <f>HYPERLINK("https://www.773grp.com/manufacturer/onsemi?pageNo=476", "ON Semiconductor")</f>
        <v>ON Semiconductor</v>
      </c>
      <c r="C24000" s="6">
        <v>31000</v>
      </c>
      <c r="D24000" s="7">
        <v>0.1</v>
      </c>
      <c r="E24000" t="s">
        <v>98</v>
      </c>
    </row>
    <row r="24001" spans="1:5" x14ac:dyDescent="0.25">
      <c r="A24001" t="str">
        <f>HYPERLINK("https://www.773grp.com/globalSearch/MMSZ8V2T3G/page-1", "MMSZ8V2T3G")</f>
        <v>MMSZ8V2T3G</v>
      </c>
      <c r="B24001" s="3" t="str">
        <f>HYPERLINK("https://www.773grp.com/manufacturer/onsemi?pageNo=477", "ON Semiconductor")</f>
        <v>ON Semiconductor</v>
      </c>
      <c r="C24001" s="6">
        <v>780000</v>
      </c>
      <c r="D24001" s="7">
        <v>0.1</v>
      </c>
      <c r="E24001" t="s">
        <v>98</v>
      </c>
    </row>
    <row r="24002" spans="1:5" x14ac:dyDescent="0.25">
      <c r="A24002" t="str">
        <f>HYPERLINK("https://www.773grp.com/globalSearch/MMUN2111LT1/page-1", "MMUN2111LT1")</f>
        <v>MMUN2111LT1</v>
      </c>
      <c r="B24002" s="3" t="str">
        <f>HYPERLINK("https://www.773grp.com/manufacturer/onsemi?pageNo=478", "ON Semiconductor")</f>
        <v>ON Semiconductor</v>
      </c>
      <c r="C24002" s="6">
        <v>161810</v>
      </c>
      <c r="D24002" s="7">
        <v>0.1</v>
      </c>
      <c r="E24002" t="s">
        <v>69</v>
      </c>
    </row>
    <row r="24003" spans="1:5" x14ac:dyDescent="0.25">
      <c r="A24003" t="str">
        <f>HYPERLINK("https://www.773grp.com/globalSearch/MMUN2112LT1/page-1", "MMUN2112LT1")</f>
        <v>MMUN2112LT1</v>
      </c>
      <c r="B24003" s="3" t="str">
        <f>HYPERLINK("https://www.773grp.com/manufacturer/onsemi?pageNo=479", "ON Semiconductor")</f>
        <v>ON Semiconductor</v>
      </c>
      <c r="C24003" s="6">
        <v>111000</v>
      </c>
      <c r="D24003" s="7">
        <v>0.1</v>
      </c>
      <c r="E24003" t="s">
        <v>69</v>
      </c>
    </row>
    <row r="24004" spans="1:5" x14ac:dyDescent="0.25">
      <c r="A24004" t="str">
        <f>HYPERLINK("https://www.773grp.com/globalSearch/MMUN2113LT1/page-1", "MMUN2113LT1")</f>
        <v>MMUN2113LT1</v>
      </c>
      <c r="B24004" s="3" t="str">
        <f>HYPERLINK("https://www.773grp.com/manufacturer/onsemi?pageNo=480", "ON Semiconductor")</f>
        <v>ON Semiconductor</v>
      </c>
      <c r="C24004" s="6">
        <v>5500</v>
      </c>
      <c r="D24004" s="7">
        <v>0.1</v>
      </c>
      <c r="E24004" t="s">
        <v>69</v>
      </c>
    </row>
    <row r="24005" spans="1:5" x14ac:dyDescent="0.25">
      <c r="A24005" t="str">
        <f>HYPERLINK("https://www.773grp.com/globalSearch/MMUN2113LT3/page-1", "MMUN2113LT3")</f>
        <v>MMUN2113LT3</v>
      </c>
      <c r="B24005" s="3" t="str">
        <f>HYPERLINK("https://www.773grp.com/manufacturer/onsemi?pageNo=481", "ON Semiconductor")</f>
        <v>ON Semiconductor</v>
      </c>
      <c r="C24005" s="6">
        <v>10000</v>
      </c>
      <c r="D24005" s="7">
        <v>0.1</v>
      </c>
      <c r="E24005" t="s">
        <v>69</v>
      </c>
    </row>
    <row r="24006" spans="1:5" x14ac:dyDescent="0.25">
      <c r="A24006" t="str">
        <f>HYPERLINK("https://www.773grp.com/globalSearch/MMUN2114LT1/page-1", "MMUN2114LT1")</f>
        <v>MMUN2114LT1</v>
      </c>
      <c r="B24006" s="3" t="str">
        <f>HYPERLINK("https://www.773grp.com/manufacturer/onsemi?pageNo=482", "ON Semiconductor")</f>
        <v>ON Semiconductor</v>
      </c>
      <c r="C24006" s="6">
        <v>63000</v>
      </c>
      <c r="D24006" s="7">
        <v>0.1</v>
      </c>
      <c r="E24006" t="s">
        <v>69</v>
      </c>
    </row>
    <row r="24007" spans="1:5" x14ac:dyDescent="0.25">
      <c r="A24007" t="str">
        <f>HYPERLINK("https://www.773grp.com/globalSearch/MMUN2116LT1/page-1", "MMUN2116LT1")</f>
        <v>MMUN2116LT1</v>
      </c>
      <c r="B24007" s="3" t="str">
        <f>HYPERLINK("https://www.773grp.com/manufacturer/onsemi?pageNo=483", "ON Semiconductor")</f>
        <v>ON Semiconductor</v>
      </c>
      <c r="C24007" s="6">
        <v>51000</v>
      </c>
      <c r="D24007" s="7">
        <v>0.1</v>
      </c>
      <c r="E24007" t="s">
        <v>69</v>
      </c>
    </row>
    <row r="24008" spans="1:5" x14ac:dyDescent="0.25">
      <c r="A24008" t="str">
        <f>HYPERLINK("https://www.773grp.com/globalSearch/MMUN2131LT1/page-1", "MMUN2131LT1")</f>
        <v>MMUN2131LT1</v>
      </c>
      <c r="B24008" s="3" t="str">
        <f>HYPERLINK("https://www.773grp.com/manufacturer/onsemi?pageNo=484", "ON Semiconductor")</f>
        <v>ON Semiconductor</v>
      </c>
      <c r="C24008" s="6">
        <v>78000</v>
      </c>
      <c r="D24008" s="7">
        <v>0.1</v>
      </c>
      <c r="E24008" t="s">
        <v>69</v>
      </c>
    </row>
    <row r="24009" spans="1:5" x14ac:dyDescent="0.25">
      <c r="A24009" t="str">
        <f>HYPERLINK("https://www.773grp.com/globalSearch/MMUN2132LT1/page-1", "MMUN2132LT1")</f>
        <v>MMUN2132LT1</v>
      </c>
      <c r="B24009" s="3" t="str">
        <f>HYPERLINK("https://www.773grp.com/manufacturer/onsemi?pageNo=485", "ON Semiconductor")</f>
        <v>ON Semiconductor</v>
      </c>
      <c r="C24009" s="6">
        <v>225000</v>
      </c>
      <c r="D24009" s="7">
        <v>0.1</v>
      </c>
      <c r="E24009" t="s">
        <v>69</v>
      </c>
    </row>
    <row r="24010" spans="1:5" x14ac:dyDescent="0.25">
      <c r="A24010" t="str">
        <f>HYPERLINK("https://www.773grp.com/globalSearch/MMUN2133LT1/page-1", "MMUN2133LT1")</f>
        <v>MMUN2133LT1</v>
      </c>
      <c r="B24010" s="3" t="str">
        <f>HYPERLINK("https://www.773grp.com/manufacturer/onsemi?pageNo=486", "ON Semiconductor")</f>
        <v>ON Semiconductor</v>
      </c>
      <c r="C24010" s="6">
        <v>36000</v>
      </c>
      <c r="D24010" s="7">
        <v>0.1</v>
      </c>
      <c r="E24010" t="s">
        <v>69</v>
      </c>
    </row>
    <row r="24011" spans="1:5" x14ac:dyDescent="0.25">
      <c r="A24011" t="str">
        <f>HYPERLINK("https://www.773grp.com/globalSearch/MMUN2211LT1/page-1", "MMUN2211LT1")</f>
        <v>MMUN2211LT1</v>
      </c>
      <c r="B24011" s="3" t="str">
        <f>HYPERLINK("https://www.773grp.com/manufacturer/onsemi?pageNo=487", "ON Semiconductor")</f>
        <v>ON Semiconductor</v>
      </c>
      <c r="C24011" s="6">
        <v>99400</v>
      </c>
      <c r="D24011" s="7">
        <v>0.1</v>
      </c>
      <c r="E24011" t="s">
        <v>69</v>
      </c>
    </row>
    <row r="24012" spans="1:5" x14ac:dyDescent="0.25">
      <c r="A24012" t="str">
        <f>HYPERLINK("https://www.773grp.com/globalSearch/MMUN2211LT3/page-1", "MMUN2211LT3")</f>
        <v>MMUN2211LT3</v>
      </c>
      <c r="B24012" s="3" t="str">
        <f>HYPERLINK("https://www.773grp.com/manufacturer/onsemi?pageNo=488", "ON Semiconductor")</f>
        <v>ON Semiconductor</v>
      </c>
      <c r="C24012" s="6">
        <v>520000</v>
      </c>
      <c r="D24012" s="7">
        <v>0.1</v>
      </c>
      <c r="E24012" t="s">
        <v>69</v>
      </c>
    </row>
    <row r="24013" spans="1:5" x14ac:dyDescent="0.25">
      <c r="A24013" t="str">
        <f>HYPERLINK("https://www.773grp.com/globalSearch/MMUN2213LT1/page-1", "MMUN2213LT1")</f>
        <v>MMUN2213LT1</v>
      </c>
      <c r="B24013" s="3" t="str">
        <f>HYPERLINK("https://www.773grp.com/manufacturer/onsemi?pageNo=489", "ON Semiconductor")</f>
        <v>ON Semiconductor</v>
      </c>
      <c r="C24013" s="6">
        <v>585000</v>
      </c>
      <c r="D24013" s="7">
        <v>0.1</v>
      </c>
      <c r="E24013" t="s">
        <v>69</v>
      </c>
    </row>
    <row r="24014" spans="1:5" x14ac:dyDescent="0.25">
      <c r="A24014" t="str">
        <f>HYPERLINK("https://www.773grp.com/globalSearch/MMUN2214LT1/page-1", "MMUN2214LT1")</f>
        <v>MMUN2214LT1</v>
      </c>
      <c r="B24014" s="3" t="str">
        <f>HYPERLINK("https://www.773grp.com/manufacturer/onsemi?pageNo=490", "ON Semiconductor")</f>
        <v>ON Semiconductor</v>
      </c>
      <c r="C24014" s="6">
        <v>9000</v>
      </c>
      <c r="D24014" s="7">
        <v>0.1</v>
      </c>
      <c r="E24014" t="s">
        <v>69</v>
      </c>
    </row>
    <row r="24015" spans="1:5" x14ac:dyDescent="0.25">
      <c r="A24015" t="str">
        <f>HYPERLINK("https://www.773grp.com/globalSearch/MMUN2215LT1/page-1", "MMUN2215LT1")</f>
        <v>MMUN2215LT1</v>
      </c>
      <c r="B24015" s="3" t="str">
        <f>HYPERLINK("https://www.773grp.com/manufacturer/onsemi?pageNo=491", "ON Semiconductor")</f>
        <v>ON Semiconductor</v>
      </c>
      <c r="C24015" s="6">
        <v>30000</v>
      </c>
      <c r="D24015" s="7">
        <v>0.1</v>
      </c>
      <c r="E24015" t="s">
        <v>69</v>
      </c>
    </row>
    <row r="24016" spans="1:5" x14ac:dyDescent="0.25">
      <c r="A24016" t="str">
        <f>HYPERLINK("https://www.773grp.com/globalSearch/MMUN2216LT1/page-1", "MMUN2216LT1")</f>
        <v>MMUN2216LT1</v>
      </c>
      <c r="B24016" s="3" t="str">
        <f>HYPERLINK("https://www.773grp.com/manufacturer/onsemi?pageNo=492", "ON Semiconductor")</f>
        <v>ON Semiconductor</v>
      </c>
      <c r="C24016" s="6">
        <v>178000</v>
      </c>
      <c r="D24016" s="7">
        <v>0.1</v>
      </c>
      <c r="E24016" t="s">
        <v>69</v>
      </c>
    </row>
    <row r="24017" spans="1:5" x14ac:dyDescent="0.25">
      <c r="A24017" t="str">
        <f>HYPERLINK("https://www.773grp.com/globalSearch/MMUN2231LT1/page-1", "MMUN2231LT1")</f>
        <v>MMUN2231LT1</v>
      </c>
      <c r="B24017" s="3" t="str">
        <f>HYPERLINK("https://www.773grp.com/manufacturer/onsemi?pageNo=493", "ON Semiconductor")</f>
        <v>ON Semiconductor</v>
      </c>
      <c r="C24017" s="6">
        <v>189000</v>
      </c>
      <c r="D24017" s="7">
        <v>0.1</v>
      </c>
      <c r="E24017" t="s">
        <v>69</v>
      </c>
    </row>
    <row r="24018" spans="1:5" x14ac:dyDescent="0.25">
      <c r="A24018" t="str">
        <f>HYPERLINK("https://www.773grp.com/globalSearch/MMUN2235LT1/page-1", "MMUN2235LT1")</f>
        <v>MMUN2235LT1</v>
      </c>
      <c r="B24018" s="3" t="str">
        <f>HYPERLINK("https://www.773grp.com/manufacturer/onsemi?pageNo=494", "ON Semiconductor")</f>
        <v>ON Semiconductor</v>
      </c>
      <c r="C24018" s="6">
        <v>2493</v>
      </c>
      <c r="D24018" s="7">
        <v>0.1</v>
      </c>
      <c r="E24018" t="s">
        <v>69</v>
      </c>
    </row>
    <row r="24019" spans="1:5" x14ac:dyDescent="0.25">
      <c r="A24019" t="str">
        <f>HYPERLINK("https://www.773grp.com/globalSearch/MMUN2241LT1/page-1", "MMUN2241LT1")</f>
        <v>MMUN2241LT1</v>
      </c>
      <c r="B24019" s="3" t="str">
        <f>HYPERLINK("https://www.773grp.com/manufacturer/onsemi?pageNo=495", "ON Semiconductor")</f>
        <v>ON Semiconductor</v>
      </c>
      <c r="C24019" s="6">
        <v>53985</v>
      </c>
      <c r="D24019" s="7">
        <v>0.1</v>
      </c>
      <c r="E24019" t="s">
        <v>69</v>
      </c>
    </row>
    <row r="24020" spans="1:5" x14ac:dyDescent="0.25">
      <c r="A24020" t="str">
        <f>HYPERLINK("https://www.773grp.com/globalSearch/MMXZ5252BT1/page-1", "MMXZ5252BT1")</f>
        <v>MMXZ5252BT1</v>
      </c>
      <c r="B24020" s="3" t="str">
        <f>HYPERLINK("https://www.773grp.com/manufacturer/onsemi?pageNo=496", "ON Semiconductor")</f>
        <v>ON Semiconductor</v>
      </c>
      <c r="C24020" s="6">
        <v>519000</v>
      </c>
      <c r="D24020" s="7">
        <v>0.1</v>
      </c>
    </row>
    <row r="24021" spans="1:5" x14ac:dyDescent="0.25">
      <c r="A24021" t="str">
        <f>HYPERLINK("https://www.773grp.com/globalSearch/MPS2222A/page-1", "MPS2222A")</f>
        <v>MPS2222A</v>
      </c>
      <c r="B24021" s="3" t="str">
        <f>HYPERLINK("https://www.773grp.com/manufacturer/onsemi?pageNo=497", "ON Semiconductor")</f>
        <v>ON Semiconductor</v>
      </c>
      <c r="C24021" s="6">
        <v>199235</v>
      </c>
      <c r="D24021" s="7">
        <v>0.1</v>
      </c>
      <c r="E24021" t="s">
        <v>69</v>
      </c>
    </row>
    <row r="24022" spans="1:5" x14ac:dyDescent="0.25">
      <c r="A24022" t="str">
        <f>HYPERLINK("https://www.773grp.com/globalSearch/MPS2222AZL1G/page-1", "MPS2222AZL1G")</f>
        <v>MPS2222AZL1G</v>
      </c>
      <c r="B24022" s="3" t="str">
        <f>HYPERLINK("https://www.773grp.com/manufacturer/onsemi?pageNo=498", "ON Semiconductor")</f>
        <v>ON Semiconductor</v>
      </c>
      <c r="C24022" s="6">
        <v>7500</v>
      </c>
      <c r="D24022" s="7">
        <v>0.1</v>
      </c>
      <c r="E24022" t="s">
        <v>69</v>
      </c>
    </row>
    <row r="24023" spans="1:5" x14ac:dyDescent="0.25">
      <c r="A24023" t="str">
        <f>HYPERLINK("https://www.773grp.com/globalSearch/MPS2907ARL1G/page-1", "MPS2907ARL1G")</f>
        <v>MPS2907ARL1G</v>
      </c>
      <c r="B24023" s="3" t="str">
        <f>HYPERLINK("https://www.773grp.com/manufacturer/onsemi?pageNo=499", "ON Semiconductor")</f>
        <v>ON Semiconductor</v>
      </c>
      <c r="C24023" s="6">
        <v>16000</v>
      </c>
      <c r="D24023" s="7">
        <v>0.1</v>
      </c>
      <c r="E24023" t="s">
        <v>69</v>
      </c>
    </row>
    <row r="24024" spans="1:5" x14ac:dyDescent="0.25">
      <c r="A24024" t="str">
        <f>HYPERLINK("https://www.773grp.com/globalSearch/MPS2907ARLRA/page-1", "MPS2907ARLRA")</f>
        <v>MPS2907ARLRA</v>
      </c>
      <c r="B24024" s="3" t="str">
        <f>HYPERLINK("https://www.773grp.com/manufacturer/onsemi?pageNo=500", "ON Semiconductor")</f>
        <v>ON Semiconductor</v>
      </c>
      <c r="C24024" s="6">
        <v>19829</v>
      </c>
      <c r="D24024" s="7">
        <v>0.1</v>
      </c>
      <c r="E24024" t="s">
        <v>69</v>
      </c>
    </row>
    <row r="24025" spans="1:5" x14ac:dyDescent="0.25">
      <c r="A24025" t="str">
        <f>HYPERLINK("https://www.773grp.com/globalSearch/MPS2907ARLRE/page-1", "MPS2907ARLRE")</f>
        <v>MPS2907ARLRE</v>
      </c>
      <c r="B24025" s="3" t="str">
        <f>HYPERLINK("https://www.773grp.com/manufacturer/onsemi?pageNo=501", "ON Semiconductor")</f>
        <v>ON Semiconductor</v>
      </c>
      <c r="C24025" s="6">
        <v>2000</v>
      </c>
      <c r="D24025" s="7">
        <v>0.1</v>
      </c>
      <c r="E24025" t="s">
        <v>69</v>
      </c>
    </row>
    <row r="24026" spans="1:5" x14ac:dyDescent="0.25">
      <c r="A24026" t="str">
        <f>HYPERLINK("https://www.773grp.com/globalSearch/MPS2907ARLRP/page-1", "MPS2907ARLRP")</f>
        <v>MPS2907ARLRP</v>
      </c>
      <c r="B24026" s="3" t="str">
        <f>HYPERLINK("https://www.773grp.com/manufacturer/onsemi?pageNo=502", "ON Semiconductor")</f>
        <v>ON Semiconductor</v>
      </c>
      <c r="C24026" s="6">
        <v>16499</v>
      </c>
      <c r="D24026" s="7">
        <v>0.1</v>
      </c>
      <c r="E24026" t="s">
        <v>69</v>
      </c>
    </row>
    <row r="24027" spans="1:5" x14ac:dyDescent="0.25">
      <c r="A24027" t="str">
        <f>HYPERLINK("https://www.773grp.com/globalSearch/MPS2907RLRM/page-1", "MPS2907RLRM")</f>
        <v>MPS2907RLRM</v>
      </c>
      <c r="B24027" s="3" t="str">
        <f>HYPERLINK("https://www.773grp.com/manufacturer/onsemi?pageNo=503", "ON Semiconductor")</f>
        <v>ON Semiconductor</v>
      </c>
      <c r="C24027" s="6">
        <v>1334000</v>
      </c>
      <c r="D24027" s="7">
        <v>0.1</v>
      </c>
      <c r="E24027" t="s">
        <v>69</v>
      </c>
    </row>
    <row r="24028" spans="1:5" x14ac:dyDescent="0.25">
      <c r="A24028" t="str">
        <f>HYPERLINK("https://www.773grp.com/globalSearch/MPS2907RLRP/page-1", "MPS2907RLRP")</f>
        <v>MPS2907RLRP</v>
      </c>
      <c r="B24028" s="3" t="str">
        <f>HYPERLINK("https://www.773grp.com/manufacturer/onsemi?pageNo=504", "ON Semiconductor")</f>
        <v>ON Semiconductor</v>
      </c>
      <c r="C24028" s="6">
        <v>394000</v>
      </c>
      <c r="D24028" s="7">
        <v>0.1</v>
      </c>
      <c r="E24028" t="s">
        <v>69</v>
      </c>
    </row>
    <row r="24029" spans="1:5" x14ac:dyDescent="0.25">
      <c r="A24029" t="str">
        <f>HYPERLINK("https://www.773grp.com/globalSearch/MPS3646RLRA/page-1", "MPS3646RLRA")</f>
        <v>MPS3646RLRA</v>
      </c>
      <c r="B24029" s="3" t="str">
        <f>HYPERLINK("https://www.773grp.com/manufacturer/onsemi?pageNo=505", "ON Semiconductor")</f>
        <v>ON Semiconductor</v>
      </c>
      <c r="C24029" s="6">
        <v>15400</v>
      </c>
      <c r="D24029" s="7">
        <v>0.1</v>
      </c>
      <c r="E24029" t="s">
        <v>69</v>
      </c>
    </row>
    <row r="24030" spans="1:5" x14ac:dyDescent="0.25">
      <c r="A24030" t="str">
        <f>HYPERLINK("https://www.773grp.com/globalSearch/MPS3904/page-1", "MPS3904")</f>
        <v>MPS3904</v>
      </c>
      <c r="B24030" s="3" t="str">
        <f>HYPERLINK("https://www.773grp.com/manufacturer/onsemi?pageNo=506", "ON Semiconductor")</f>
        <v>ON Semiconductor</v>
      </c>
      <c r="C24030" s="6">
        <v>25000</v>
      </c>
      <c r="D24030" s="7">
        <v>0.1</v>
      </c>
      <c r="E24030" t="s">
        <v>69</v>
      </c>
    </row>
    <row r="24031" spans="1:5" x14ac:dyDescent="0.25">
      <c r="A24031" t="str">
        <f>HYPERLINK("https://www.773grp.com/globalSearch/MPS6428RLRA/page-1", "MPS6428RLRA")</f>
        <v>MPS6428RLRA</v>
      </c>
      <c r="B24031" s="3" t="str">
        <f>HYPERLINK("https://www.773grp.com/manufacturer/onsemi?pageNo=507", "ON Semiconductor")</f>
        <v>ON Semiconductor</v>
      </c>
      <c r="C24031" s="6">
        <v>157800</v>
      </c>
      <c r="D24031" s="7">
        <v>0.1</v>
      </c>
      <c r="E24031" t="s">
        <v>69</v>
      </c>
    </row>
    <row r="24032" spans="1:5" x14ac:dyDescent="0.25">
      <c r="A24032" t="str">
        <f>HYPERLINK("https://www.773grp.com/globalSearch/MPSA06/page-1", "MPSA06")</f>
        <v>MPSA06</v>
      </c>
      <c r="B24032" s="3" t="str">
        <f>HYPERLINK("https://www.773grp.com/manufacturer/onsemi?pageNo=508", "ON Semiconductor")</f>
        <v>ON Semiconductor</v>
      </c>
      <c r="C24032" s="6">
        <v>7730</v>
      </c>
      <c r="D24032" s="7">
        <v>0.1</v>
      </c>
      <c r="E24032" t="s">
        <v>69</v>
      </c>
    </row>
    <row r="24033" spans="1:5" x14ac:dyDescent="0.25">
      <c r="A24033" t="str">
        <f>HYPERLINK("https://www.773grp.com/globalSearch/MPSA06ZL1/page-1", "MPSA06ZL1")</f>
        <v>MPSA06ZL1</v>
      </c>
      <c r="B24033" s="3" t="str">
        <f>HYPERLINK("https://www.773grp.com/manufacturer/onsemi?pageNo=509", "ON Semiconductor")</f>
        <v>ON Semiconductor</v>
      </c>
      <c r="C24033" s="6">
        <v>8000</v>
      </c>
      <c r="D24033" s="7">
        <v>0.1</v>
      </c>
      <c r="E24033" t="s">
        <v>69</v>
      </c>
    </row>
    <row r="24034" spans="1:5" x14ac:dyDescent="0.25">
      <c r="A24034" t="str">
        <f>HYPERLINK("https://www.773grp.com/globalSearch/MPSA14/page-1", "MPSA14")</f>
        <v>MPSA14</v>
      </c>
      <c r="B24034" s="3" t="str">
        <f>HYPERLINK("https://www.773grp.com/manufacturer/onsemi?pageNo=510", "ON Semiconductor")</f>
        <v>ON Semiconductor</v>
      </c>
      <c r="C24034" s="6">
        <v>716</v>
      </c>
      <c r="D24034" s="7">
        <v>0.1</v>
      </c>
      <c r="E24034" t="s">
        <v>69</v>
      </c>
    </row>
    <row r="24035" spans="1:5" x14ac:dyDescent="0.25">
      <c r="A24035" t="str">
        <f>HYPERLINK("https://www.773grp.com/globalSearch/MPSA14RLRM/page-1", "MPSA14RLRM")</f>
        <v>MPSA14RLRM</v>
      </c>
      <c r="B24035" s="3" t="str">
        <f>HYPERLINK("https://www.773grp.com/manufacturer/onsemi?pageNo=511", "ON Semiconductor")</f>
        <v>ON Semiconductor</v>
      </c>
      <c r="C24035" s="6">
        <v>30000</v>
      </c>
      <c r="D24035" s="7">
        <v>0.1</v>
      </c>
      <c r="E24035" t="s">
        <v>69</v>
      </c>
    </row>
    <row r="24036" spans="1:5" x14ac:dyDescent="0.25">
      <c r="A24036" t="str">
        <f>HYPERLINK("https://www.773grp.com/globalSearch/MPSA42/page-1", "MPSA42")</f>
        <v>MPSA42</v>
      </c>
      <c r="B24036" s="3" t="str">
        <f>HYPERLINK("https://www.773grp.com/manufacturer/onsemi?pageNo=512", "ON Semiconductor")</f>
        <v>ON Semiconductor</v>
      </c>
      <c r="C24036" s="6">
        <v>355</v>
      </c>
      <c r="D24036" s="7">
        <v>0.1</v>
      </c>
      <c r="E24036" t="s">
        <v>69</v>
      </c>
    </row>
    <row r="24037" spans="1:5" x14ac:dyDescent="0.25">
      <c r="A24037" t="str">
        <f>HYPERLINK("https://www.773grp.com/globalSearch/MPSA43/page-1", "MPSA43")</f>
        <v>MPSA43</v>
      </c>
      <c r="B24037" s="3" t="str">
        <f>HYPERLINK("https://www.773grp.com/manufacturer/onsemi?pageNo=513", "ON Semiconductor")</f>
        <v>ON Semiconductor</v>
      </c>
      <c r="C24037" s="6">
        <v>17500</v>
      </c>
      <c r="D24037" s="7">
        <v>0.1</v>
      </c>
      <c r="E24037" t="s">
        <v>69</v>
      </c>
    </row>
    <row r="24038" spans="1:5" x14ac:dyDescent="0.25">
      <c r="A24038" t="str">
        <f>HYPERLINK("https://www.773grp.com/globalSearch/MPSA56RLRM/page-1", "MPSA56RLRM")</f>
        <v>MPSA56RLRM</v>
      </c>
      <c r="B24038" s="3" t="str">
        <f>HYPERLINK("https://www.773grp.com/manufacturer/onsemi?pageNo=514", "ON Semiconductor")</f>
        <v>ON Semiconductor</v>
      </c>
      <c r="C24038" s="6">
        <v>2000</v>
      </c>
      <c r="D24038" s="7">
        <v>0.1</v>
      </c>
      <c r="E24038" t="s">
        <v>69</v>
      </c>
    </row>
    <row r="24039" spans="1:5" x14ac:dyDescent="0.25">
      <c r="A24039" t="str">
        <f>HYPERLINK("https://www.773grp.com/globalSearch/MPSA62/page-1", "MPSA62")</f>
        <v>MPSA62</v>
      </c>
      <c r="B24039" s="3" t="str">
        <f>HYPERLINK("https://www.773grp.com/manufacturer/onsemi?pageNo=515", "ON Semiconductor")</f>
        <v>ON Semiconductor</v>
      </c>
      <c r="C24039" s="6">
        <v>10100</v>
      </c>
      <c r="D24039" s="7">
        <v>0.1</v>
      </c>
      <c r="E24039" t="s">
        <v>69</v>
      </c>
    </row>
    <row r="24040" spans="1:5" x14ac:dyDescent="0.25">
      <c r="A24040" t="str">
        <f>HYPERLINK("https://www.773grp.com/globalSearch/MPSA70RLRMG/page-1", "MPSA70RLRMG")</f>
        <v>MPSA70RLRMG</v>
      </c>
      <c r="B24040" s="3" t="str">
        <f>HYPERLINK("https://www.773grp.com/manufacturer/onsemi?pageNo=516", "ON Semiconductor")</f>
        <v>ON Semiconductor</v>
      </c>
      <c r="C24040" s="6">
        <v>12000</v>
      </c>
      <c r="D24040" s="7">
        <v>0.1</v>
      </c>
      <c r="E24040" t="s">
        <v>69</v>
      </c>
    </row>
    <row r="24041" spans="1:5" x14ac:dyDescent="0.25">
      <c r="A24041" t="str">
        <f>HYPERLINK("https://www.773grp.com/globalSearch/MPSA92RLRM/page-1", "MPSA92RLRM")</f>
        <v>MPSA92RLRM</v>
      </c>
      <c r="B24041" s="3" t="str">
        <f>HYPERLINK("https://www.773grp.com/manufacturer/onsemi?pageNo=517", "ON Semiconductor")</f>
        <v>ON Semiconductor</v>
      </c>
      <c r="C24041" s="6">
        <v>600</v>
      </c>
      <c r="D24041" s="7">
        <v>0.1</v>
      </c>
      <c r="E24041" t="s">
        <v>69</v>
      </c>
    </row>
    <row r="24042" spans="1:5" x14ac:dyDescent="0.25">
      <c r="A24042" t="str">
        <f>HYPERLINK("https://www.773grp.com/globalSearch/MPSA93/page-1", "MPSA93")</f>
        <v>MPSA93</v>
      </c>
      <c r="B24042" s="3" t="str">
        <f>HYPERLINK("https://www.773grp.com/manufacturer/onsemi?pageNo=518", "ON Semiconductor")</f>
        <v>ON Semiconductor</v>
      </c>
      <c r="C24042" s="6">
        <v>112500</v>
      </c>
      <c r="D24042" s="7">
        <v>0.1</v>
      </c>
      <c r="E24042" t="s">
        <v>69</v>
      </c>
    </row>
    <row r="24043" spans="1:5" x14ac:dyDescent="0.25">
      <c r="A24043" t="str">
        <f>HYPERLINK("https://www.773grp.com/globalSearch/MPSA93RLRM/page-1", "MPSA93RLRM")</f>
        <v>MPSA93RLRM</v>
      </c>
      <c r="B24043" s="3" t="str">
        <f>HYPERLINK("https://www.773grp.com/manufacturer/onsemi?pageNo=519", "ON Semiconductor")</f>
        <v>ON Semiconductor</v>
      </c>
      <c r="C24043" s="6">
        <v>12000</v>
      </c>
      <c r="D24043" s="7">
        <v>0.1</v>
      </c>
      <c r="E24043" t="s">
        <v>69</v>
      </c>
    </row>
    <row r="24044" spans="1:5" x14ac:dyDescent="0.25">
      <c r="A24044" t="str">
        <f>HYPERLINK("https://www.773grp.com/globalSearch/MSA1162GT1/page-1", "MSA1162GT1")</f>
        <v>MSA1162GT1</v>
      </c>
      <c r="B24044" s="3" t="str">
        <f>HYPERLINK("https://www.773grp.com/manufacturer/onsemi?pageNo=520", "ON Semiconductor")</f>
        <v>ON Semiconductor</v>
      </c>
      <c r="C24044" s="6">
        <v>296925</v>
      </c>
      <c r="D24044" s="7">
        <v>0.1</v>
      </c>
      <c r="E24044" t="s">
        <v>69</v>
      </c>
    </row>
    <row r="24045" spans="1:5" x14ac:dyDescent="0.25">
      <c r="A24045" t="str">
        <f>HYPERLINK("https://www.773grp.com/globalSearch/MSA1162YT1/page-1", "MSA1162YT1")</f>
        <v>MSA1162YT1</v>
      </c>
      <c r="B24045" s="3" t="str">
        <f>HYPERLINK("https://www.773grp.com/manufacturer/onsemi?pageNo=521", "ON Semiconductor")</f>
        <v>ON Semiconductor</v>
      </c>
      <c r="C24045" s="6">
        <v>24830</v>
      </c>
      <c r="D24045" s="7">
        <v>0.1</v>
      </c>
      <c r="E24045" t="s">
        <v>69</v>
      </c>
    </row>
    <row r="24046" spans="1:5" x14ac:dyDescent="0.25">
      <c r="A24046" t="str">
        <f>HYPERLINK("https://www.773grp.com/globalSearch/MSB709/page-1", "MSB709")</f>
        <v>MSB709</v>
      </c>
      <c r="B24046" s="3" t="str">
        <f>HYPERLINK("https://www.773grp.com/manufacturer/onsemi?pageNo=522", "ON Semiconductor")</f>
        <v>ON Semiconductor</v>
      </c>
      <c r="C24046" s="6">
        <v>12000</v>
      </c>
      <c r="D24046" s="7">
        <v>0.1</v>
      </c>
    </row>
    <row r="24047" spans="1:5" x14ac:dyDescent="0.25">
      <c r="A24047" t="str">
        <f>HYPERLINK("https://www.773grp.com/globalSearch/MSB709-RT1/page-1", "MSB709-RT1")</f>
        <v>MSB709-RT1</v>
      </c>
      <c r="B24047" s="3" t="str">
        <f>HYPERLINK("https://www.773grp.com/manufacturer/onsemi?pageNo=523", "ON Semiconductor")</f>
        <v>ON Semiconductor</v>
      </c>
      <c r="C24047" s="6">
        <v>131900</v>
      </c>
      <c r="D24047" s="7">
        <v>0.1</v>
      </c>
      <c r="E24047" t="s">
        <v>69</v>
      </c>
    </row>
    <row r="24048" spans="1:5" x14ac:dyDescent="0.25">
      <c r="A24048" t="str">
        <f>HYPERLINK("https://www.773grp.com/globalSearch/MSB709-RT2/page-1", "MSB709-RT2")</f>
        <v>MSB709-RT2</v>
      </c>
      <c r="B24048" s="3" t="str">
        <f>HYPERLINK("https://www.773grp.com/manufacturer/onsemi?pageNo=524", "ON Semiconductor")</f>
        <v>ON Semiconductor</v>
      </c>
      <c r="C24048" s="6">
        <v>153000</v>
      </c>
      <c r="D24048" s="7">
        <v>0.1</v>
      </c>
    </row>
    <row r="24049" spans="1:5" x14ac:dyDescent="0.25">
      <c r="A24049" t="str">
        <f>HYPERLINK("https://www.773grp.com/globalSearch/MSB710-RT1/page-1", "MSB710-RT1")</f>
        <v>MSB710-RT1</v>
      </c>
      <c r="B24049" s="3" t="str">
        <f>HYPERLINK("https://www.773grp.com/manufacturer/onsemi?pageNo=525", "ON Semiconductor")</f>
        <v>ON Semiconductor</v>
      </c>
      <c r="C24049" s="6">
        <v>42000</v>
      </c>
      <c r="D24049" s="7">
        <v>0.1</v>
      </c>
      <c r="E24049" t="s">
        <v>69</v>
      </c>
    </row>
    <row r="24050" spans="1:5" x14ac:dyDescent="0.25">
      <c r="A24050" t="str">
        <f>HYPERLINK("https://www.773grp.com/globalSearch/MSB710-RT1G/page-1", "MSB710-RT1G")</f>
        <v>MSB710-RT1G</v>
      </c>
      <c r="B24050" s="3" t="str">
        <f>HYPERLINK("https://www.773grp.com/manufacturer/onsemi?pageNo=526", "ON Semiconductor")</f>
        <v>ON Semiconductor</v>
      </c>
      <c r="C24050" s="6">
        <v>69000</v>
      </c>
      <c r="D24050" s="7">
        <v>0.1</v>
      </c>
      <c r="E24050" t="s">
        <v>69</v>
      </c>
    </row>
    <row r="24051" spans="1:5" x14ac:dyDescent="0.25">
      <c r="A24051" t="str">
        <f>HYPERLINK("https://www.773grp.com/globalSearch/MSB92WT1/page-1", "MSB92WT1")</f>
        <v>MSB92WT1</v>
      </c>
      <c r="B24051" s="3" t="str">
        <f>HYPERLINK("https://www.773grp.com/manufacturer/onsemi?pageNo=527", "ON Semiconductor")</f>
        <v>ON Semiconductor</v>
      </c>
      <c r="C24051" s="6">
        <v>255000</v>
      </c>
      <c r="D24051" s="7">
        <v>0.1</v>
      </c>
      <c r="E24051" t="s">
        <v>69</v>
      </c>
    </row>
    <row r="24052" spans="1:5" x14ac:dyDescent="0.25">
      <c r="A24052" t="str">
        <f>HYPERLINK("https://www.773grp.com/globalSearch/MSC2712GT1/page-1", "MSC2712GT1")</f>
        <v>MSC2712GT1</v>
      </c>
      <c r="B24052" s="3" t="str">
        <f>HYPERLINK("https://www.773grp.com/manufacturer/onsemi?pageNo=528", "ON Semiconductor")</f>
        <v>ON Semiconductor</v>
      </c>
      <c r="C24052" s="6">
        <v>1190800</v>
      </c>
      <c r="D24052" s="7">
        <v>0.1</v>
      </c>
      <c r="E24052" t="s">
        <v>69</v>
      </c>
    </row>
    <row r="24053" spans="1:5" x14ac:dyDescent="0.25">
      <c r="A24053" t="str">
        <f>HYPERLINK("https://www.773grp.com/globalSearch/MSC2712YT1/page-1", "MSC2712YT1")</f>
        <v>MSC2712YT1</v>
      </c>
      <c r="B24053" s="3" t="str">
        <f>HYPERLINK("https://www.773grp.com/manufacturer/onsemi?pageNo=529", "ON Semiconductor")</f>
        <v>ON Semiconductor</v>
      </c>
      <c r="C24053" s="6">
        <v>607683</v>
      </c>
      <c r="D24053" s="7">
        <v>0.1</v>
      </c>
      <c r="E24053" t="s">
        <v>69</v>
      </c>
    </row>
    <row r="24054" spans="1:5" x14ac:dyDescent="0.25">
      <c r="A24054" t="str">
        <f>HYPERLINK("https://www.773grp.com/globalSearch/MSC2712YT1G/page-1", "MSC2712YT1G")</f>
        <v>MSC2712YT1G</v>
      </c>
      <c r="B24054" s="3" t="str">
        <f>HYPERLINK("https://www.773grp.com/manufacturer/onsemi?pageNo=530", "ON Semiconductor")</f>
        <v>ON Semiconductor</v>
      </c>
      <c r="C24054" s="6">
        <v>975000</v>
      </c>
      <c r="D24054" s="7">
        <v>0.1</v>
      </c>
      <c r="E24054" t="s">
        <v>69</v>
      </c>
    </row>
    <row r="24055" spans="1:5" x14ac:dyDescent="0.25">
      <c r="A24055" t="str">
        <f>HYPERLINK("https://www.773grp.com/globalSearch/MSC3130T1/page-1", "MSC3130T1")</f>
        <v>MSC3130T1</v>
      </c>
      <c r="B24055" s="3" t="str">
        <f>HYPERLINK("https://www.773grp.com/manufacturer/onsemi?pageNo=531", "ON Semiconductor")</f>
        <v>ON Semiconductor</v>
      </c>
      <c r="C24055" s="6">
        <v>15000</v>
      </c>
      <c r="D24055" s="7">
        <v>0.1</v>
      </c>
      <c r="E24055" t="s">
        <v>61</v>
      </c>
    </row>
    <row r="24056" spans="1:5" x14ac:dyDescent="0.25">
      <c r="A24056" t="str">
        <f>HYPERLINK("https://www.773grp.com/globalSearch/MSD1328-RT1/page-1", "MSD1328-RT1")</f>
        <v>MSD1328-RT1</v>
      </c>
      <c r="B24056" s="3" t="str">
        <f>HYPERLINK("https://www.773grp.com/manufacturer/onsemi?pageNo=532", "ON Semiconductor")</f>
        <v>ON Semiconductor</v>
      </c>
      <c r="C24056" s="6">
        <v>9000</v>
      </c>
      <c r="D24056" s="7">
        <v>0.1</v>
      </c>
      <c r="E24056" t="s">
        <v>69</v>
      </c>
    </row>
    <row r="24057" spans="1:5" x14ac:dyDescent="0.25">
      <c r="A24057" t="str">
        <f>HYPERLINK("https://www.773grp.com/globalSearch/MSD1328-ST1/page-1", "MSD1328-ST1")</f>
        <v>MSD1328-ST1</v>
      </c>
      <c r="B24057" s="3" t="str">
        <f>HYPERLINK("https://www.773grp.com/manufacturer/onsemi?pageNo=533", "ON Semiconductor")</f>
        <v>ON Semiconductor</v>
      </c>
      <c r="C24057" s="6">
        <v>519000</v>
      </c>
      <c r="D24057" s="7">
        <v>0.1</v>
      </c>
      <c r="E24057" t="s">
        <v>69</v>
      </c>
    </row>
    <row r="24058" spans="1:5" x14ac:dyDescent="0.25">
      <c r="A24058" t="str">
        <f>HYPERLINK("https://www.773grp.com/globalSearch/MSD1328-ST1G/page-1", "MSD1328-ST1G")</f>
        <v>MSD1328-ST1G</v>
      </c>
      <c r="B24058" s="3" t="str">
        <f>HYPERLINK("https://www.773grp.com/manufacturer/onsemi?pageNo=534", "ON Semiconductor")</f>
        <v>ON Semiconductor</v>
      </c>
      <c r="C24058" s="6">
        <v>1920000</v>
      </c>
      <c r="D24058" s="7">
        <v>0.1</v>
      </c>
      <c r="E24058" t="s">
        <v>69</v>
      </c>
    </row>
    <row r="24059" spans="1:5" x14ac:dyDescent="0.25">
      <c r="A24059" t="str">
        <f>HYPERLINK("https://www.773grp.com/globalSearch/MSD1819A-RT1/page-1", "MSD1819A-RT1")</f>
        <v>MSD1819A-RT1</v>
      </c>
      <c r="B24059" s="3" t="str">
        <f>HYPERLINK("https://www.773grp.com/manufacturer/onsemi?pageNo=535", "ON Semiconductor")</f>
        <v>ON Semiconductor</v>
      </c>
      <c r="C24059" s="6">
        <v>9000</v>
      </c>
      <c r="D24059" s="7">
        <v>0.1</v>
      </c>
      <c r="E24059" t="s">
        <v>69</v>
      </c>
    </row>
    <row r="24060" spans="1:5" x14ac:dyDescent="0.25">
      <c r="A24060" t="str">
        <f>HYPERLINK("https://www.773grp.com/globalSearch/MSD601-RT1/page-1", "MSD601-RT1")</f>
        <v>MSD601-RT1</v>
      </c>
      <c r="B24060" s="3" t="str">
        <f>HYPERLINK("https://www.773grp.com/manufacturer/onsemi?pageNo=536", "ON Semiconductor")</f>
        <v>ON Semiconductor</v>
      </c>
      <c r="C24060" s="6">
        <v>30580</v>
      </c>
      <c r="D24060" s="7">
        <v>0.1</v>
      </c>
      <c r="E24060" t="s">
        <v>69</v>
      </c>
    </row>
    <row r="24061" spans="1:5" x14ac:dyDescent="0.25">
      <c r="A24061" t="str">
        <f>HYPERLINK("https://www.773grp.com/globalSearch/MSD601-RT2/page-1", "MSD601-RT2")</f>
        <v>MSD601-RT2</v>
      </c>
      <c r="B24061" s="3" t="str">
        <f>HYPERLINK("https://www.773grp.com/manufacturer/onsemi?pageNo=537", "ON Semiconductor")</f>
        <v>ON Semiconductor</v>
      </c>
      <c r="C24061" s="6">
        <v>21000</v>
      </c>
      <c r="D24061" s="7">
        <v>0.1</v>
      </c>
      <c r="E24061" t="s">
        <v>69</v>
      </c>
    </row>
    <row r="24062" spans="1:5" x14ac:dyDescent="0.25">
      <c r="A24062" t="str">
        <f>HYPERLINK("https://www.773grp.com/globalSearch/MSD601-ST1/page-1", "MSD601-ST1")</f>
        <v>MSD601-ST1</v>
      </c>
      <c r="B24062" s="3" t="str">
        <f>HYPERLINK("https://www.773grp.com/manufacturer/onsemi?pageNo=538", "ON Semiconductor")</f>
        <v>ON Semiconductor</v>
      </c>
      <c r="C24062" s="6">
        <v>5975</v>
      </c>
      <c r="D24062" s="7">
        <v>0.1</v>
      </c>
      <c r="E24062" t="s">
        <v>69</v>
      </c>
    </row>
    <row r="24063" spans="1:5" x14ac:dyDescent="0.25">
      <c r="A24063" t="str">
        <f>HYPERLINK("https://www.773grp.com/globalSearch/MSD602-RT1/page-1", "MSD602-RT1")</f>
        <v>MSD602-RT1</v>
      </c>
      <c r="B24063" s="3" t="str">
        <f>HYPERLINK("https://www.773grp.com/manufacturer/onsemi?pageNo=539", "ON Semiconductor")</f>
        <v>ON Semiconductor</v>
      </c>
      <c r="C24063" s="6">
        <v>291000</v>
      </c>
      <c r="D24063" s="7">
        <v>0.1</v>
      </c>
      <c r="E24063" t="s">
        <v>69</v>
      </c>
    </row>
    <row r="24064" spans="1:5" x14ac:dyDescent="0.25">
      <c r="A24064" t="str">
        <f>HYPERLINK("https://www.773grp.com/globalSearch/MUN2111T1/page-1", "MUN2111T1")</f>
        <v>MUN2111T1</v>
      </c>
      <c r="B24064" s="3" t="str">
        <f>HYPERLINK("https://www.773grp.com/manufacturer/onsemi?pageNo=540", "ON Semiconductor")</f>
        <v>ON Semiconductor</v>
      </c>
      <c r="C24064" s="6">
        <v>143230</v>
      </c>
      <c r="D24064" s="7">
        <v>0.1</v>
      </c>
      <c r="E24064" t="s">
        <v>69</v>
      </c>
    </row>
    <row r="24065" spans="1:5" x14ac:dyDescent="0.25">
      <c r="A24065" t="str">
        <f>HYPERLINK("https://www.773grp.com/globalSearch/MUN2112T3/page-1", "MUN2112T3")</f>
        <v>MUN2112T3</v>
      </c>
      <c r="B24065" s="3" t="str">
        <f>HYPERLINK("https://www.773grp.com/manufacturer/onsemi?pageNo=541", "ON Semiconductor")</f>
        <v>ON Semiconductor</v>
      </c>
      <c r="C24065" s="6">
        <v>4000</v>
      </c>
      <c r="D24065" s="7">
        <v>0.1</v>
      </c>
      <c r="E24065" t="s">
        <v>69</v>
      </c>
    </row>
    <row r="24066" spans="1:5" x14ac:dyDescent="0.25">
      <c r="A24066" t="str">
        <f>HYPERLINK("https://www.773grp.com/globalSearch/MUN2113T1/page-1", "MUN2113T1")</f>
        <v>MUN2113T1</v>
      </c>
      <c r="B24066" s="3" t="str">
        <f>HYPERLINK("https://www.773grp.com/manufacturer/onsemi?pageNo=542", "ON Semiconductor")</f>
        <v>ON Semiconductor</v>
      </c>
      <c r="C24066" s="6">
        <v>108500</v>
      </c>
      <c r="D24066" s="7">
        <v>0.1</v>
      </c>
      <c r="E24066" t="s">
        <v>69</v>
      </c>
    </row>
    <row r="24067" spans="1:5" x14ac:dyDescent="0.25">
      <c r="A24067" t="str">
        <f>HYPERLINK("https://www.773grp.com/globalSearch/MUN2114T1/page-1", "MUN2114T1")</f>
        <v>MUN2114T1</v>
      </c>
      <c r="B24067" s="3" t="str">
        <f>HYPERLINK("https://www.773grp.com/manufacturer/onsemi?pageNo=543", "ON Semiconductor")</f>
        <v>ON Semiconductor</v>
      </c>
      <c r="C24067" s="6">
        <v>78000</v>
      </c>
      <c r="D24067" s="7">
        <v>0.1</v>
      </c>
      <c r="E24067" t="s">
        <v>69</v>
      </c>
    </row>
    <row r="24068" spans="1:5" x14ac:dyDescent="0.25">
      <c r="A24068" t="str">
        <f>HYPERLINK("https://www.773grp.com/globalSearch/MUN2130T1/page-1", "MUN2130T1")</f>
        <v>MUN2130T1</v>
      </c>
      <c r="B24068" s="3" t="str">
        <f>HYPERLINK("https://www.773grp.com/manufacturer/onsemi?pageNo=544", "ON Semiconductor")</f>
        <v>ON Semiconductor</v>
      </c>
      <c r="C24068" s="6">
        <v>39000</v>
      </c>
      <c r="D24068" s="7">
        <v>0.1</v>
      </c>
      <c r="E24068" t="s">
        <v>69</v>
      </c>
    </row>
    <row r="24069" spans="1:5" x14ac:dyDescent="0.25">
      <c r="A24069" t="str">
        <f>HYPERLINK("https://www.773grp.com/globalSearch/MUN2132T1/page-1", "MUN2132T1")</f>
        <v>MUN2132T1</v>
      </c>
      <c r="B24069" s="3" t="str">
        <f>HYPERLINK("https://www.773grp.com/manufacturer/onsemi?pageNo=545", "ON Semiconductor")</f>
        <v>ON Semiconductor</v>
      </c>
      <c r="C24069" s="6">
        <v>30000</v>
      </c>
      <c r="D24069" s="7">
        <v>0.1</v>
      </c>
      <c r="E24069" t="s">
        <v>69</v>
      </c>
    </row>
    <row r="24070" spans="1:5" x14ac:dyDescent="0.25">
      <c r="A24070" t="str">
        <f>HYPERLINK("https://www.773grp.com/globalSearch/MUN2133T1/page-1", "MUN2133T1")</f>
        <v>MUN2133T1</v>
      </c>
      <c r="B24070" s="3" t="str">
        <f>HYPERLINK("https://www.773grp.com/manufacturer/onsemi?pageNo=546", "ON Semiconductor")</f>
        <v>ON Semiconductor</v>
      </c>
      <c r="C24070" s="6">
        <v>237000</v>
      </c>
      <c r="D24070" s="7">
        <v>0.1</v>
      </c>
      <c r="E24070" t="s">
        <v>69</v>
      </c>
    </row>
    <row r="24071" spans="1:5" x14ac:dyDescent="0.25">
      <c r="A24071" t="str">
        <f>HYPERLINK("https://www.773grp.com/globalSearch/MUN2136T1/page-1", "MUN2136T1")</f>
        <v>MUN2136T1</v>
      </c>
      <c r="B24071" s="3" t="str">
        <f>HYPERLINK("https://www.773grp.com/manufacturer/onsemi?pageNo=547", "ON Semiconductor")</f>
        <v>ON Semiconductor</v>
      </c>
      <c r="C24071" s="6">
        <v>6000</v>
      </c>
      <c r="D24071" s="7">
        <v>0.1</v>
      </c>
      <c r="E24071" t="s">
        <v>69</v>
      </c>
    </row>
    <row r="24072" spans="1:5" x14ac:dyDescent="0.25">
      <c r="A24072" t="str">
        <f>HYPERLINK("https://www.773grp.com/globalSearch/MUN2137T1/page-1", "MUN2137T1")</f>
        <v>MUN2137T1</v>
      </c>
      <c r="B24072" s="3" t="str">
        <f>HYPERLINK("https://www.773grp.com/manufacturer/onsemi?pageNo=548", "ON Semiconductor")</f>
        <v>ON Semiconductor</v>
      </c>
      <c r="C24072" s="6">
        <v>693000</v>
      </c>
      <c r="D24072" s="7">
        <v>0.1</v>
      </c>
      <c r="E24072" t="s">
        <v>69</v>
      </c>
    </row>
    <row r="24073" spans="1:5" x14ac:dyDescent="0.25">
      <c r="A24073" t="str">
        <f>HYPERLINK("https://www.773grp.com/globalSearch/MUN2211JT1/page-1", "MUN2211JT1")</f>
        <v>MUN2211JT1</v>
      </c>
      <c r="B24073" s="3" t="str">
        <f>HYPERLINK("https://www.773grp.com/manufacturer/onsemi?pageNo=549", "ON Semiconductor")</f>
        <v>ON Semiconductor</v>
      </c>
      <c r="C24073" s="6">
        <v>36000</v>
      </c>
      <c r="D24073" s="7">
        <v>0.1</v>
      </c>
    </row>
    <row r="24074" spans="1:5" x14ac:dyDescent="0.25">
      <c r="A24074" t="str">
        <f>HYPERLINK("https://www.773grp.com/globalSearch/MUN2211T3/page-1", "MUN2211T3")</f>
        <v>MUN2211T3</v>
      </c>
      <c r="B24074" s="3" t="str">
        <f>HYPERLINK("https://www.773grp.com/manufacturer/onsemi?pageNo=550", "ON Semiconductor")</f>
        <v>ON Semiconductor</v>
      </c>
      <c r="C24074" s="6">
        <v>40000</v>
      </c>
      <c r="D24074" s="7">
        <v>0.1</v>
      </c>
      <c r="E24074" t="s">
        <v>69</v>
      </c>
    </row>
    <row r="24075" spans="1:5" x14ac:dyDescent="0.25">
      <c r="A24075" t="str">
        <f>HYPERLINK("https://www.773grp.com/globalSearch/MUN2212T3/page-1", "MUN2212T3")</f>
        <v>MUN2212T3</v>
      </c>
      <c r="B24075" s="3" t="str">
        <f>HYPERLINK("https://www.773grp.com/manufacturer/onsemi?pageNo=551", "ON Semiconductor")</f>
        <v>ON Semiconductor</v>
      </c>
      <c r="C24075" s="6">
        <v>1000</v>
      </c>
      <c r="D24075" s="7">
        <v>0.1</v>
      </c>
      <c r="E24075" t="s">
        <v>69</v>
      </c>
    </row>
    <row r="24076" spans="1:5" x14ac:dyDescent="0.25">
      <c r="A24076" t="str">
        <f>HYPERLINK("https://www.773grp.com/globalSearch/MUN2213JT1G/page-1", "MUN2213JT1G")</f>
        <v>MUN2213JT1G</v>
      </c>
      <c r="B24076" s="3" t="str">
        <f>HYPERLINK("https://www.773grp.com/manufacturer/onsemi?pageNo=552", "ON Semiconductor")</f>
        <v>ON Semiconductor</v>
      </c>
      <c r="C24076" s="6">
        <v>96000</v>
      </c>
      <c r="D24076" s="7">
        <v>0.1</v>
      </c>
    </row>
    <row r="24077" spans="1:5" x14ac:dyDescent="0.25">
      <c r="A24077" t="str">
        <f>HYPERLINK("https://www.773grp.com/globalSearch/MUN2213T1/page-1", "MUN2213T1")</f>
        <v>MUN2213T1</v>
      </c>
      <c r="B24077" s="3" t="str">
        <f>HYPERLINK("https://www.773grp.com/manufacturer/onsemi?pageNo=553", "ON Semiconductor")</f>
        <v>ON Semiconductor</v>
      </c>
      <c r="C24077" s="6">
        <v>545350</v>
      </c>
      <c r="D24077" s="7">
        <v>0.1</v>
      </c>
      <c r="E24077" t="s">
        <v>69</v>
      </c>
    </row>
    <row r="24078" spans="1:5" x14ac:dyDescent="0.25">
      <c r="A24078" t="str">
        <f>HYPERLINK("https://www.773grp.com/globalSearch/MUN2214T1/page-1", "MUN2214T1")</f>
        <v>MUN2214T1</v>
      </c>
      <c r="B24078" s="3" t="str">
        <f>HYPERLINK("https://www.773grp.com/manufacturer/onsemi?pageNo=554", "ON Semiconductor")</f>
        <v>ON Semiconductor</v>
      </c>
      <c r="C24078" s="6">
        <v>117000</v>
      </c>
      <c r="D24078" s="7">
        <v>0.1</v>
      </c>
      <c r="E24078" t="s">
        <v>69</v>
      </c>
    </row>
    <row r="24079" spans="1:5" x14ac:dyDescent="0.25">
      <c r="A24079" t="str">
        <f>HYPERLINK("https://www.773grp.com/globalSearch/MUN2215T1/page-1", "MUN2215T1")</f>
        <v>MUN2215T1</v>
      </c>
      <c r="B24079" s="3" t="str">
        <f>HYPERLINK("https://www.773grp.com/manufacturer/onsemi?pageNo=555", "ON Semiconductor")</f>
        <v>ON Semiconductor</v>
      </c>
      <c r="C24079" s="6">
        <v>312000</v>
      </c>
      <c r="D24079" s="7">
        <v>0.1</v>
      </c>
      <c r="E24079" t="s">
        <v>69</v>
      </c>
    </row>
    <row r="24080" spans="1:5" x14ac:dyDescent="0.25">
      <c r="A24080" t="str">
        <f>HYPERLINK("https://www.773grp.com/globalSearch/MUN2216T1/page-1", "MUN2216T1")</f>
        <v>MUN2216T1</v>
      </c>
      <c r="B24080" s="3" t="str">
        <f>HYPERLINK("https://www.773grp.com/manufacturer/onsemi?pageNo=556", "ON Semiconductor")</f>
        <v>ON Semiconductor</v>
      </c>
      <c r="C24080" s="6">
        <v>228000</v>
      </c>
      <c r="D24080" s="7">
        <v>0.1</v>
      </c>
      <c r="E24080" t="s">
        <v>69</v>
      </c>
    </row>
    <row r="24081" spans="1:5" x14ac:dyDescent="0.25">
      <c r="A24081" t="str">
        <f>HYPERLINK("https://www.773grp.com/globalSearch/MUN2231T1/page-1", "MUN2231T1")</f>
        <v>MUN2231T1</v>
      </c>
      <c r="B24081" s="3" t="str">
        <f>HYPERLINK("https://www.773grp.com/manufacturer/onsemi?pageNo=557", "ON Semiconductor")</f>
        <v>ON Semiconductor</v>
      </c>
      <c r="C24081" s="6">
        <v>93000</v>
      </c>
      <c r="D24081" s="7">
        <v>0.1</v>
      </c>
      <c r="E24081" t="s">
        <v>69</v>
      </c>
    </row>
    <row r="24082" spans="1:5" x14ac:dyDescent="0.25">
      <c r="A24082" t="str">
        <f>HYPERLINK("https://www.773grp.com/globalSearch/MUN2232T1/page-1", "MUN2232T1")</f>
        <v>MUN2232T1</v>
      </c>
      <c r="B24082" s="3" t="str">
        <f>HYPERLINK("https://www.773grp.com/manufacturer/onsemi?pageNo=558", "ON Semiconductor")</f>
        <v>ON Semiconductor</v>
      </c>
      <c r="C24082" s="6">
        <v>132000</v>
      </c>
      <c r="D24082" s="7">
        <v>0.1</v>
      </c>
      <c r="E24082" t="s">
        <v>69</v>
      </c>
    </row>
    <row r="24083" spans="1:5" x14ac:dyDescent="0.25">
      <c r="A24083" t="str">
        <f>HYPERLINK("https://www.773grp.com/globalSearch/MUN2233T1/page-1", "MUN2233T1")</f>
        <v>MUN2233T1</v>
      </c>
      <c r="B24083" s="3" t="str">
        <f>HYPERLINK("https://www.773grp.com/manufacturer/onsemi?pageNo=559", "ON Semiconductor")</f>
        <v>ON Semiconductor</v>
      </c>
      <c r="C24083" s="6">
        <v>15000</v>
      </c>
      <c r="D24083" s="7">
        <v>0.1</v>
      </c>
      <c r="E24083" t="s">
        <v>69</v>
      </c>
    </row>
    <row r="24084" spans="1:5" x14ac:dyDescent="0.25">
      <c r="A24084" t="str">
        <f>HYPERLINK("https://www.773grp.com/globalSearch/MUN2234T1/page-1", "MUN2234T1")</f>
        <v>MUN2234T1</v>
      </c>
      <c r="B24084" s="3" t="str">
        <f>HYPERLINK("https://www.773grp.com/manufacturer/onsemi?pageNo=560", "ON Semiconductor")</f>
        <v>ON Semiconductor</v>
      </c>
      <c r="C24084" s="6">
        <v>258000</v>
      </c>
      <c r="D24084" s="7">
        <v>0.1</v>
      </c>
      <c r="E24084" t="s">
        <v>69</v>
      </c>
    </row>
    <row r="24085" spans="1:5" x14ac:dyDescent="0.25">
      <c r="A24085" t="str">
        <f>HYPERLINK("https://www.773grp.com/globalSearch/MUN2236T1/page-1", "MUN2236T1")</f>
        <v>MUN2236T1</v>
      </c>
      <c r="B24085" s="3" t="str">
        <f>HYPERLINK("https://www.773grp.com/manufacturer/onsemi?pageNo=561", "ON Semiconductor")</f>
        <v>ON Semiconductor</v>
      </c>
      <c r="C24085" s="6">
        <v>99000</v>
      </c>
      <c r="D24085" s="7">
        <v>0.1</v>
      </c>
      <c r="E24085" t="s">
        <v>69</v>
      </c>
    </row>
    <row r="24086" spans="1:5" x14ac:dyDescent="0.25">
      <c r="A24086" t="str">
        <f>HYPERLINK("https://www.773grp.com/globalSearch/MUN2237T1/page-1", "MUN2237T1")</f>
        <v>MUN2237T1</v>
      </c>
      <c r="B24086" s="3" t="str">
        <f>HYPERLINK("https://www.773grp.com/manufacturer/onsemi?pageNo=562", "ON Semiconductor")</f>
        <v>ON Semiconductor</v>
      </c>
      <c r="C24086" s="6">
        <v>920995</v>
      </c>
      <c r="D24086" s="7">
        <v>0.1</v>
      </c>
      <c r="E24086" t="s">
        <v>69</v>
      </c>
    </row>
    <row r="24087" spans="1:5" x14ac:dyDescent="0.25">
      <c r="A24087" t="str">
        <f>HYPERLINK("https://www.773grp.com/globalSearch/MUN2240T1/page-1", "MUN2240T1")</f>
        <v>MUN2240T1</v>
      </c>
      <c r="B24087" s="3" t="str">
        <f>HYPERLINK("https://www.773grp.com/manufacturer/onsemi?pageNo=563", "ON Semiconductor")</f>
        <v>ON Semiconductor</v>
      </c>
      <c r="C24087" s="6">
        <v>1415500</v>
      </c>
      <c r="D24087" s="7">
        <v>0.1</v>
      </c>
      <c r="E24087" t="s">
        <v>69</v>
      </c>
    </row>
    <row r="24088" spans="1:5" x14ac:dyDescent="0.25">
      <c r="A24088" t="str">
        <f>HYPERLINK("https://www.773grp.com/globalSearch/MUN2241T1/page-1", "MUN2241T1")</f>
        <v>MUN2241T1</v>
      </c>
      <c r="B24088" s="3" t="str">
        <f>HYPERLINK("https://www.773grp.com/manufacturer/onsemi?pageNo=564", "ON Semiconductor")</f>
        <v>ON Semiconductor</v>
      </c>
      <c r="C24088" s="6">
        <v>80975</v>
      </c>
      <c r="D24088" s="7">
        <v>0.1</v>
      </c>
      <c r="E24088" t="s">
        <v>69</v>
      </c>
    </row>
    <row r="24089" spans="1:5" x14ac:dyDescent="0.25">
      <c r="A24089" t="str">
        <f>HYPERLINK("https://www.773grp.com/globalSearch/MZMA3030HT1/page-1", "MZMA3030HT1")</f>
        <v>MZMA3030HT1</v>
      </c>
      <c r="B24089" s="3" t="str">
        <f>HYPERLINK("https://www.773grp.com/manufacturer/onsemi?pageNo=565", "ON Semiconductor")</f>
        <v>ON Semiconductor</v>
      </c>
      <c r="C24089" s="6">
        <v>15000</v>
      </c>
      <c r="D24089" s="7">
        <v>0.1</v>
      </c>
    </row>
    <row r="24090" spans="1:5" x14ac:dyDescent="0.25">
      <c r="A24090" t="str">
        <f>HYPERLINK("https://www.773grp.com/globalSearch/MZMA3056T1/page-1", "MZMA3056T1")</f>
        <v>MZMA3056T1</v>
      </c>
      <c r="B24090" s="3" t="str">
        <f>HYPERLINK("https://www.773grp.com/manufacturer/onsemi?pageNo=566", "ON Semiconductor")</f>
        <v>ON Semiconductor</v>
      </c>
      <c r="C24090" s="6">
        <v>9000</v>
      </c>
      <c r="D24090" s="7">
        <v>0.1</v>
      </c>
    </row>
    <row r="24091" spans="1:5" x14ac:dyDescent="0.25">
      <c r="A24091" t="str">
        <f>HYPERLINK("https://www.773grp.com/globalSearch/MZMA3075MT1/page-1", "MZMA3075MT1")</f>
        <v>MZMA3075MT1</v>
      </c>
      <c r="B24091" s="3" t="str">
        <f>HYPERLINK("https://www.773grp.com/manufacturer/onsemi?pageNo=567", "ON Semiconductor")</f>
        <v>ON Semiconductor</v>
      </c>
      <c r="C24091" s="6">
        <v>15000</v>
      </c>
      <c r="D24091" s="7">
        <v>0.1</v>
      </c>
    </row>
    <row r="24092" spans="1:5" x14ac:dyDescent="0.25">
      <c r="A24092" t="str">
        <f>HYPERLINK("https://www.773grp.com/globalSearch/NSBA113EDXV6T1/page-1", "NSBA113EDXV6T1")</f>
        <v>NSBA113EDXV6T1</v>
      </c>
      <c r="B24092" s="3" t="str">
        <f>HYPERLINK("https://www.773grp.com/manufacturer/onsemi?pageNo=568", "ON Semiconductor")</f>
        <v>ON Semiconductor</v>
      </c>
      <c r="C24092" s="6">
        <v>44000</v>
      </c>
      <c r="D24092" s="7">
        <v>0.1</v>
      </c>
      <c r="E24092" t="s">
        <v>69</v>
      </c>
    </row>
    <row r="24093" spans="1:5" x14ac:dyDescent="0.25">
      <c r="A24093" t="str">
        <f>HYPERLINK("https://www.773grp.com/globalSearch/NSCT2222ALT1G/page-1", "NSCT2222ALT1G")</f>
        <v>NSCT2222ALT1G</v>
      </c>
      <c r="B24093" s="3" t="str">
        <f>HYPERLINK("https://www.773grp.com/manufacturer/onsemi?pageNo=569", "ON Semiconductor")</f>
        <v>ON Semiconductor</v>
      </c>
      <c r="C24093" s="6">
        <v>2259000</v>
      </c>
      <c r="D24093" s="7">
        <v>0.1</v>
      </c>
    </row>
    <row r="24094" spans="1:5" x14ac:dyDescent="0.25">
      <c r="A24094" t="str">
        <f>HYPERLINK("https://www.773grp.com/globalSearch/NSCT2222ALT3G/page-1", "NSCT2222ALT3G")</f>
        <v>NSCT2222ALT3G</v>
      </c>
      <c r="B24094" s="3" t="str">
        <f>HYPERLINK("https://www.773grp.com/manufacturer/onsemi?pageNo=570", "ON Semiconductor")</f>
        <v>ON Semiconductor</v>
      </c>
      <c r="C24094" s="6">
        <v>60000</v>
      </c>
      <c r="D24094" s="7">
        <v>0.1</v>
      </c>
    </row>
    <row r="24095" spans="1:5" x14ac:dyDescent="0.25">
      <c r="A24095" t="str">
        <f>HYPERLINK("https://www.773grp.com/globalSearch/NSCT2907ALT1G/page-1", "NSCT2907ALT1G")</f>
        <v>NSCT2907ALT1G</v>
      </c>
      <c r="B24095" s="3" t="str">
        <f>HYPERLINK("https://www.773grp.com/manufacturer/onsemi?pageNo=571", "ON Semiconductor")</f>
        <v>ON Semiconductor</v>
      </c>
      <c r="C24095" s="6">
        <v>1503000</v>
      </c>
      <c r="D24095" s="7">
        <v>0.1</v>
      </c>
    </row>
    <row r="24096" spans="1:5" x14ac:dyDescent="0.25">
      <c r="A24096" t="str">
        <f>HYPERLINK("https://www.773grp.com/globalSearch/NSCT2907ALT3G/page-1", "NSCT2907ALT3G")</f>
        <v>NSCT2907ALT3G</v>
      </c>
      <c r="B24096" s="3" t="str">
        <f>HYPERLINK("https://www.773grp.com/manufacturer/onsemi?pageNo=572", "ON Semiconductor")</f>
        <v>ON Semiconductor</v>
      </c>
      <c r="C24096" s="6">
        <v>90000</v>
      </c>
      <c r="D24096" s="7">
        <v>0.1</v>
      </c>
    </row>
    <row r="24097" spans="1:5" x14ac:dyDescent="0.25">
      <c r="A24097" t="str">
        <f>HYPERLINK("https://www.773grp.com/globalSearch/NSCT817-25LT1G/page-1", "NSCT817-25LT1G")</f>
        <v>NSCT817-25LT1G</v>
      </c>
      <c r="B24097" s="3" t="str">
        <f>HYPERLINK("https://www.773grp.com/manufacturer/onsemi?pageNo=573", "ON Semiconductor")</f>
        <v>ON Semiconductor</v>
      </c>
      <c r="C24097" s="6">
        <v>18000</v>
      </c>
      <c r="D24097" s="7">
        <v>0.1</v>
      </c>
    </row>
    <row r="24098" spans="1:5" x14ac:dyDescent="0.25">
      <c r="A24098" t="str">
        <f>HYPERLINK("https://www.773grp.com/globalSearch/NSCT817-25LT3G/page-1", "NSCT817-25LT3G")</f>
        <v>NSCT817-25LT3G</v>
      </c>
      <c r="B24098" s="3" t="str">
        <f>HYPERLINK("https://www.773grp.com/manufacturer/onsemi?pageNo=574", "ON Semiconductor")</f>
        <v>ON Semiconductor</v>
      </c>
      <c r="C24098" s="6">
        <v>60000</v>
      </c>
      <c r="D24098" s="7">
        <v>0.1</v>
      </c>
    </row>
    <row r="24099" spans="1:5" x14ac:dyDescent="0.25">
      <c r="A24099" t="str">
        <f>HYPERLINK("https://www.773grp.com/globalSearch/NSD914XV2T1/page-1", "NSD914XV2T1")</f>
        <v>NSD914XV2T1</v>
      </c>
      <c r="B24099" s="3" t="str">
        <f>HYPERLINK("https://www.773grp.com/manufacturer/onsemi?pageNo=575", "ON Semiconductor")</f>
        <v>ON Semiconductor</v>
      </c>
      <c r="C24099" s="6">
        <v>158190</v>
      </c>
      <c r="D24099" s="7">
        <v>0.1</v>
      </c>
      <c r="E24099" t="s">
        <v>94</v>
      </c>
    </row>
    <row r="24100" spans="1:5" x14ac:dyDescent="0.25">
      <c r="A24100" t="str">
        <f>HYPERLINK("https://www.773grp.com/globalSearch/NSR0130M2T5G/page-1", "NSR0130M2T5G")</f>
        <v>NSR0130M2T5G</v>
      </c>
      <c r="B24100" s="3" t="str">
        <f>HYPERLINK("https://www.773grp.com/manufacturer/onsemi?pageNo=576", "ON Semiconductor")</f>
        <v>ON Semiconductor</v>
      </c>
      <c r="C24100" s="6">
        <v>2822000</v>
      </c>
      <c r="D24100" s="7">
        <v>0.1</v>
      </c>
      <c r="E24100" t="s">
        <v>94</v>
      </c>
    </row>
    <row r="24101" spans="1:5" x14ac:dyDescent="0.25">
      <c r="A24101" t="str">
        <f>HYPERLINK("https://www.773grp.com/globalSearch/NSR0140M2T5G/page-1", "NSR0140M2T5G")</f>
        <v>NSR0140M2T5G</v>
      </c>
      <c r="B24101" s="3" t="str">
        <f>HYPERLINK("https://www.773grp.com/manufacturer/onsemi?pageNo=577", "ON Semiconductor")</f>
        <v>ON Semiconductor</v>
      </c>
      <c r="C24101" s="6">
        <v>2696000</v>
      </c>
      <c r="D24101" s="7">
        <v>0.1</v>
      </c>
      <c r="E24101" t="s">
        <v>94</v>
      </c>
    </row>
    <row r="24102" spans="1:5" x14ac:dyDescent="0.25">
      <c r="A24102" t="str">
        <f>HYPERLINK("https://www.773grp.com/globalSearch/NSRLL30XV2T1G/page-1", "NSRLL30XV2T1G")</f>
        <v>NSRLL30XV2T1G</v>
      </c>
      <c r="B24102" s="3" t="str">
        <f>HYPERLINK("https://www.773grp.com/manufacturer/onsemi?pageNo=578", "ON Semiconductor")</f>
        <v>ON Semiconductor</v>
      </c>
      <c r="C24102" s="6">
        <v>240000</v>
      </c>
      <c r="D24102" s="7">
        <v>0.1</v>
      </c>
      <c r="E24102" t="s">
        <v>94</v>
      </c>
    </row>
    <row r="24103" spans="1:5" x14ac:dyDescent="0.25">
      <c r="A24103" t="str">
        <f>HYPERLINK("https://www.773grp.com/globalSearch/NZL5V6AUA3/page-1", "NZL5V6AUA3")</f>
        <v>NZL5V6AUA3</v>
      </c>
      <c r="B24103" s="3" t="str">
        <f>HYPERLINK("https://www.773grp.com/manufacturer/onsemi?pageNo=579", "ON Semiconductor")</f>
        <v>ON Semiconductor</v>
      </c>
      <c r="C24103" s="6">
        <v>701975</v>
      </c>
      <c r="D24103" s="7">
        <v>0.1</v>
      </c>
      <c r="E24103" t="s">
        <v>96</v>
      </c>
    </row>
    <row r="24104" spans="1:5" x14ac:dyDescent="0.25">
      <c r="A24104" t="str">
        <f>HYPERLINK("https://www.773grp.com/globalSearch/NZL5V6AXV3T1/page-1", "NZL5V6AXV3T1")</f>
        <v>NZL5V6AXV3T1</v>
      </c>
      <c r="B24104" s="3" t="str">
        <f>HYPERLINK("https://www.773grp.com/manufacturer/onsemi?pageNo=580", "ON Semiconductor")</f>
        <v>ON Semiconductor</v>
      </c>
      <c r="C24104" s="6">
        <v>2460</v>
      </c>
      <c r="D24104" s="7">
        <v>0.1</v>
      </c>
      <c r="E24104" t="s">
        <v>96</v>
      </c>
    </row>
    <row r="24105" spans="1:5" x14ac:dyDescent="0.25">
      <c r="A24105" t="str">
        <f>HYPERLINK("https://www.773grp.com/globalSearch/NZL6V2AXV3T1/page-1", "NZL6V2AXV3T1")</f>
        <v>NZL6V2AXV3T1</v>
      </c>
      <c r="B24105" s="3" t="str">
        <f>HYPERLINK("https://www.773grp.com/manufacturer/onsemi?pageNo=581", "ON Semiconductor")</f>
        <v>ON Semiconductor</v>
      </c>
      <c r="C24105" s="6">
        <v>3000</v>
      </c>
      <c r="D24105" s="7">
        <v>0.1</v>
      </c>
    </row>
    <row r="24106" spans="1:5" x14ac:dyDescent="0.25">
      <c r="A24106" t="str">
        <f>HYPERLINK("https://www.773grp.com/globalSearch/NZL6V8AXV3T1/page-1", "NZL6V8AXV3T1")</f>
        <v>NZL6V8AXV3T1</v>
      </c>
      <c r="B24106" s="3" t="str">
        <f>HYPERLINK("https://www.773grp.com/manufacturer/onsemi?pageNo=582", "ON Semiconductor")</f>
        <v>ON Semiconductor</v>
      </c>
      <c r="C24106" s="6">
        <v>5798</v>
      </c>
      <c r="D24106" s="7">
        <v>0.1</v>
      </c>
      <c r="E24106" t="s">
        <v>96</v>
      </c>
    </row>
    <row r="24107" spans="1:5" x14ac:dyDescent="0.25">
      <c r="A24107" t="str">
        <f>HYPERLINK("https://www.773grp.com/globalSearch/RB521S30T1/page-1", "RB521S30T1")</f>
        <v>RB521S30T1</v>
      </c>
      <c r="B24107" s="3" t="str">
        <f>HYPERLINK("https://www.773grp.com/manufacturer/onsemi?pageNo=583", "ON Semiconductor")</f>
        <v>ON Semiconductor</v>
      </c>
      <c r="C24107" s="6">
        <v>185530</v>
      </c>
      <c r="D24107" s="7">
        <v>0.1</v>
      </c>
      <c r="E24107" t="s">
        <v>94</v>
      </c>
    </row>
    <row r="24108" spans="1:5" x14ac:dyDescent="0.25">
      <c r="A24108" t="str">
        <f>HYPERLINK("https://www.773grp.com/globalSearch/RB751S40T1/page-1", "RB751S40T1")</f>
        <v>RB751S40T1</v>
      </c>
      <c r="B24108" s="3" t="str">
        <f>HYPERLINK("https://www.773grp.com/manufacturer/onsemi?pageNo=584", "ON Semiconductor")</f>
        <v>ON Semiconductor</v>
      </c>
      <c r="C24108" s="6">
        <v>16577</v>
      </c>
      <c r="D24108" s="7">
        <v>0.1</v>
      </c>
      <c r="E24108" t="s">
        <v>94</v>
      </c>
    </row>
    <row r="24109" spans="1:5" x14ac:dyDescent="0.25">
      <c r="A24109" t="str">
        <f>HYPERLINK("https://www.773grp.com/globalSearch/SBAV70WT1G/page-1", "SBAV70WT1G")</f>
        <v>SBAV70WT1G</v>
      </c>
      <c r="B24109" s="3" t="str">
        <f>HYPERLINK("https://www.773grp.com/manufacturer/onsemi?pageNo=585", "ON Semiconductor")</f>
        <v>ON Semiconductor</v>
      </c>
      <c r="C24109" s="6">
        <v>228000</v>
      </c>
      <c r="D24109" s="7">
        <v>0.1</v>
      </c>
    </row>
    <row r="24110" spans="1:5" x14ac:dyDescent="0.25">
      <c r="A24110" t="str">
        <f>HYPERLINK("https://www.773grp.com/globalSearch/SBAV99WT1G/page-1", "SBAV99WT1G")</f>
        <v>SBAV99WT1G</v>
      </c>
      <c r="B24110" s="3" t="str">
        <f>HYPERLINK("https://www.773grp.com/manufacturer/onsemi?pageNo=586", "ON Semiconductor")</f>
        <v>ON Semiconductor</v>
      </c>
      <c r="C24110" s="6">
        <v>111000</v>
      </c>
      <c r="D24110" s="7">
        <v>0.1</v>
      </c>
    </row>
    <row r="24111" spans="1:5" x14ac:dyDescent="0.25">
      <c r="A24111" t="str">
        <f>HYPERLINK("https://www.773grp.com/globalSearch/SBC807-16LT1/page-1", "SBC807-16LT1")</f>
        <v>SBC807-16LT1</v>
      </c>
      <c r="B24111" s="3" t="str">
        <f>HYPERLINK("https://www.773grp.com/manufacturer/onsemi?pageNo=587", "ON Semiconductor")</f>
        <v>ON Semiconductor</v>
      </c>
      <c r="C24111" s="6">
        <v>12000</v>
      </c>
      <c r="D24111" s="7">
        <v>0.1</v>
      </c>
      <c r="E24111" t="s">
        <v>69</v>
      </c>
    </row>
    <row r="24112" spans="1:5" x14ac:dyDescent="0.25">
      <c r="A24112" t="str">
        <f>HYPERLINK("https://www.773grp.com/globalSearch/SBC807-16LT1G/page-1", "SBC807-16LT1G")</f>
        <v>SBC807-16LT1G</v>
      </c>
      <c r="B24112" s="3" t="str">
        <f>HYPERLINK("https://www.773grp.com/manufacturer/onsemi?pageNo=588", "ON Semiconductor")</f>
        <v>ON Semiconductor</v>
      </c>
      <c r="C24112" s="6">
        <v>6000</v>
      </c>
      <c r="D24112" s="7">
        <v>0.1</v>
      </c>
    </row>
    <row r="24113" spans="1:5" x14ac:dyDescent="0.25">
      <c r="A24113" t="str">
        <f>HYPERLINK("https://www.773grp.com/globalSearch/SBC807-16LT3/page-1", "SBC807-16LT3")</f>
        <v>SBC807-16LT3</v>
      </c>
      <c r="B24113" s="3" t="str">
        <f>HYPERLINK("https://www.773grp.com/manufacturer/onsemi?pageNo=589", "ON Semiconductor")</f>
        <v>ON Semiconductor</v>
      </c>
      <c r="C24113" s="6">
        <v>90000</v>
      </c>
      <c r="D24113" s="7">
        <v>0.1</v>
      </c>
      <c r="E24113" t="s">
        <v>69</v>
      </c>
    </row>
    <row r="24114" spans="1:5" x14ac:dyDescent="0.25">
      <c r="A24114" t="str">
        <f>HYPERLINK("https://www.773grp.com/globalSearch/SBC807-25LT1/page-1", "SBC807-25LT1")</f>
        <v>SBC807-25LT1</v>
      </c>
      <c r="B24114" s="3" t="str">
        <f>HYPERLINK("https://www.773grp.com/manufacturer/onsemi?pageNo=590", "ON Semiconductor")</f>
        <v>ON Semiconductor</v>
      </c>
      <c r="C24114" s="6">
        <v>33000</v>
      </c>
      <c r="D24114" s="7">
        <v>0.1</v>
      </c>
      <c r="E24114" t="s">
        <v>69</v>
      </c>
    </row>
    <row r="24115" spans="1:5" x14ac:dyDescent="0.25">
      <c r="A24115" t="str">
        <f>HYPERLINK("https://www.773grp.com/globalSearch/SBC817-16LT1/page-1", "SBC817-16LT1")</f>
        <v>SBC817-16LT1</v>
      </c>
      <c r="B24115" s="3" t="str">
        <f>HYPERLINK("https://www.773grp.com/manufacturer/onsemi?pageNo=591", "ON Semiconductor")</f>
        <v>ON Semiconductor</v>
      </c>
      <c r="C24115" s="6">
        <v>60000</v>
      </c>
      <c r="D24115" s="7">
        <v>0.1</v>
      </c>
    </row>
    <row r="24116" spans="1:5" x14ac:dyDescent="0.25">
      <c r="A24116" t="str">
        <f>HYPERLINK("https://www.773grp.com/globalSearch/SBC817-16LT3/page-1", "SBC817-16LT3")</f>
        <v>SBC817-16LT3</v>
      </c>
      <c r="B24116" s="3" t="str">
        <f>HYPERLINK("https://www.773grp.com/manufacturer/onsemi?pageNo=592", "ON Semiconductor")</f>
        <v>ON Semiconductor</v>
      </c>
      <c r="C24116" s="6">
        <v>10000</v>
      </c>
      <c r="D24116" s="7">
        <v>0.1</v>
      </c>
      <c r="E24116" t="s">
        <v>69</v>
      </c>
    </row>
    <row r="24117" spans="1:5" x14ac:dyDescent="0.25">
      <c r="A24117" t="str">
        <f>HYPERLINK("https://www.773grp.com/globalSearch/SBCW72LT1/page-1", "SBCW72LT1")</f>
        <v>SBCW72LT1</v>
      </c>
      <c r="B24117" s="3" t="str">
        <f>HYPERLINK("https://www.773grp.com/manufacturer/onsemi?pageNo=593", "ON Semiconductor")</f>
        <v>ON Semiconductor</v>
      </c>
      <c r="C24117" s="6">
        <v>72000</v>
      </c>
      <c r="D24117" s="7">
        <v>0.1</v>
      </c>
      <c r="E24117" t="s">
        <v>69</v>
      </c>
    </row>
    <row r="24118" spans="1:5" x14ac:dyDescent="0.25">
      <c r="A24118" t="str">
        <f>HYPERLINK("https://www.773grp.com/globalSearch/SBCX19LT1/page-1", "SBCX19LT1")</f>
        <v>SBCX19LT1</v>
      </c>
      <c r="B24118" s="3" t="str">
        <f>HYPERLINK("https://www.773grp.com/manufacturer/onsemi?pageNo=594", "ON Semiconductor")</f>
        <v>ON Semiconductor</v>
      </c>
      <c r="C24118" s="6">
        <v>51000</v>
      </c>
      <c r="D24118" s="7">
        <v>0.1</v>
      </c>
      <c r="E24118" t="s">
        <v>69</v>
      </c>
    </row>
    <row r="24119" spans="1:5" x14ac:dyDescent="0.25">
      <c r="A24119" t="str">
        <f>HYPERLINK("https://www.773grp.com/globalSearch/SBZBZX84C10LT3/page-1", "SBZBZX84C10LT3")</f>
        <v>SBZBZX84C10LT3</v>
      </c>
      <c r="B24119" s="3" t="str">
        <f>HYPERLINK("https://www.773grp.com/manufacturer/onsemi?pageNo=595", "ON Semiconductor")</f>
        <v>ON Semiconductor</v>
      </c>
      <c r="C24119" s="6">
        <v>650000</v>
      </c>
      <c r="D24119" s="7">
        <v>0.1</v>
      </c>
    </row>
    <row r="24120" spans="1:5" x14ac:dyDescent="0.25">
      <c r="A24120" t="str">
        <f>HYPERLINK("https://www.773grp.com/globalSearch/SCY99006R2/page-1", "SCY99006R2")</f>
        <v>SCY99006R2</v>
      </c>
      <c r="B24120" s="3" t="str">
        <f>HYPERLINK("https://www.773grp.com/manufacturer/onsemi?pageNo=596", "ON Semiconductor")</f>
        <v>ON Semiconductor</v>
      </c>
      <c r="C24120" s="6">
        <v>75000</v>
      </c>
      <c r="D24120" s="7">
        <v>0.1</v>
      </c>
    </row>
    <row r="24121" spans="1:5" x14ac:dyDescent="0.25">
      <c r="A24121" t="str">
        <f>HYPERLINK("https://www.773grp.com/globalSearch/SMBD1002T/page-1", "SMBD1002T")</f>
        <v>SMBD1002T</v>
      </c>
      <c r="B24121" s="3" t="str">
        <f>HYPERLINK("https://www.773grp.com/manufacturer/onsemi?pageNo=597", "ON Semiconductor")</f>
        <v>ON Semiconductor</v>
      </c>
      <c r="C24121" s="6">
        <v>465000</v>
      </c>
      <c r="D24121" s="7">
        <v>0.1</v>
      </c>
    </row>
    <row r="24122" spans="1:5" x14ac:dyDescent="0.25">
      <c r="A24122" t="str">
        <f>HYPERLINK("https://www.773grp.com/globalSearch/SMBD1014LT1/page-1", "SMBD1014LT1")</f>
        <v>SMBD1014LT1</v>
      </c>
      <c r="B24122" s="3" t="str">
        <f>HYPERLINK("https://www.773grp.com/manufacturer/onsemi?pageNo=598", "ON Semiconductor")</f>
        <v>ON Semiconductor</v>
      </c>
      <c r="C24122" s="6">
        <v>87000</v>
      </c>
      <c r="D24122" s="7">
        <v>0.1</v>
      </c>
    </row>
    <row r="24123" spans="1:5" x14ac:dyDescent="0.25">
      <c r="A24123" t="str">
        <f>HYPERLINK("https://www.773grp.com/globalSearch/SMBD1015LT1/page-1", "SMBD1015LT1")</f>
        <v>SMBD1015LT1</v>
      </c>
      <c r="B24123" s="3" t="str">
        <f>HYPERLINK("https://www.773grp.com/manufacturer/onsemi?pageNo=599", "ON Semiconductor")</f>
        <v>ON Semiconductor</v>
      </c>
      <c r="C24123" s="6">
        <v>27000</v>
      </c>
      <c r="D24123" s="7">
        <v>0.1</v>
      </c>
    </row>
    <row r="24124" spans="1:5" x14ac:dyDescent="0.25">
      <c r="A24124" t="str">
        <f>HYPERLINK("https://www.773grp.com/globalSearch/SMBD1023T/page-1", "SMBD1023T")</f>
        <v>SMBD1023T</v>
      </c>
      <c r="B24124" s="3" t="str">
        <f>HYPERLINK("https://www.773grp.com/manufacturer/onsemi?pageNo=600", "ON Semiconductor")</f>
        <v>ON Semiconductor</v>
      </c>
      <c r="C24124" s="6">
        <v>450000</v>
      </c>
      <c r="D24124" s="7">
        <v>0.1</v>
      </c>
    </row>
    <row r="24125" spans="1:5" x14ac:dyDescent="0.25">
      <c r="A24125" t="str">
        <f>HYPERLINK("https://www.773grp.com/globalSearch/SMBD1031T/page-1", "SMBD1031T")</f>
        <v>SMBD1031T</v>
      </c>
      <c r="B24125" s="3" t="str">
        <f>HYPERLINK("https://www.773grp.com/manufacturer/onsemi?pageNo=601", "ON Semiconductor")</f>
        <v>ON Semiconductor</v>
      </c>
      <c r="C24125" s="6">
        <v>216000</v>
      </c>
      <c r="D24125" s="7">
        <v>0.1</v>
      </c>
    </row>
    <row r="24126" spans="1:5" x14ac:dyDescent="0.25">
      <c r="A24126" t="str">
        <f>HYPERLINK("https://www.773grp.com/globalSearch/SMBD1042LT1/page-1", "SMBD1042LT1")</f>
        <v>SMBD1042LT1</v>
      </c>
      <c r="B24126" s="3" t="str">
        <f>HYPERLINK("https://www.773grp.com/manufacturer/onsemi?pageNo=602", "ON Semiconductor")</f>
        <v>ON Semiconductor</v>
      </c>
      <c r="C24126" s="6">
        <v>15000</v>
      </c>
      <c r="D24126" s="7">
        <v>0.1</v>
      </c>
    </row>
    <row r="24127" spans="1:5" x14ac:dyDescent="0.25">
      <c r="A24127" t="str">
        <f>HYPERLINK("https://www.773grp.com/globalSearch/SMBD1058T/page-1", "SMBD1058T")</f>
        <v>SMBD1058T</v>
      </c>
      <c r="B24127" s="3" t="str">
        <f>HYPERLINK("https://www.773grp.com/manufacturer/onsemi?pageNo=603", "ON Semiconductor")</f>
        <v>ON Semiconductor</v>
      </c>
      <c r="C24127" s="6">
        <v>213000</v>
      </c>
      <c r="D24127" s="7">
        <v>0.1</v>
      </c>
    </row>
    <row r="24128" spans="1:5" x14ac:dyDescent="0.25">
      <c r="A24128" t="str">
        <f>HYPERLINK("https://www.773grp.com/globalSearch/SMBD1064LT3/page-1", "SMBD1064LT3")</f>
        <v>SMBD1064LT3</v>
      </c>
      <c r="B24128" s="3" t="str">
        <f>HYPERLINK("https://www.773grp.com/manufacturer/onsemi?pageNo=604", "ON Semiconductor")</f>
        <v>ON Semiconductor</v>
      </c>
      <c r="C24128" s="6">
        <v>210000</v>
      </c>
      <c r="D24128" s="7">
        <v>0.1</v>
      </c>
    </row>
    <row r="24129" spans="1:4" x14ac:dyDescent="0.25">
      <c r="A24129" t="str">
        <f>HYPERLINK("https://www.773grp.com/globalSearch/SMBD1073LT1/page-1", "SMBD1073LT1")</f>
        <v>SMBD1073LT1</v>
      </c>
      <c r="B24129" s="3" t="str">
        <f>HYPERLINK("https://www.773grp.com/manufacturer/onsemi?pageNo=605", "ON Semiconductor")</f>
        <v>ON Semiconductor</v>
      </c>
      <c r="C24129" s="6">
        <v>420000</v>
      </c>
      <c r="D24129" s="7">
        <v>0.1</v>
      </c>
    </row>
    <row r="24130" spans="1:4" x14ac:dyDescent="0.25">
      <c r="A24130" t="str">
        <f>HYPERLINK("https://www.773grp.com/globalSearch/SMBD1078LT1/page-1", "SMBD1078LT1")</f>
        <v>SMBD1078LT1</v>
      </c>
      <c r="B24130" s="3" t="str">
        <f>HYPERLINK("https://www.773grp.com/manufacturer/onsemi?pageNo=606", "ON Semiconductor")</f>
        <v>ON Semiconductor</v>
      </c>
      <c r="C24130" s="6">
        <v>135000</v>
      </c>
      <c r="D24130" s="7">
        <v>0.1</v>
      </c>
    </row>
    <row r="24131" spans="1:4" x14ac:dyDescent="0.25">
      <c r="A24131" t="str">
        <f>HYPERLINK("https://www.773grp.com/globalSearch/SMBD1083LT1/page-1", "SMBD1083LT1")</f>
        <v>SMBD1083LT1</v>
      </c>
      <c r="B24131" s="3" t="str">
        <f>HYPERLINK("https://www.773grp.com/manufacturer/onsemi?pageNo=607", "ON Semiconductor")</f>
        <v>ON Semiconductor</v>
      </c>
      <c r="C24131" s="6">
        <v>312000</v>
      </c>
      <c r="D24131" s="7">
        <v>0.1</v>
      </c>
    </row>
    <row r="24132" spans="1:4" x14ac:dyDescent="0.25">
      <c r="A24132" t="str">
        <f>HYPERLINK("https://www.773grp.com/globalSearch/SMBD1086LT1/page-1", "SMBD1086LT1")</f>
        <v>SMBD1086LT1</v>
      </c>
      <c r="B24132" s="3" t="str">
        <f>HYPERLINK("https://www.773grp.com/manufacturer/onsemi?pageNo=608", "ON Semiconductor")</f>
        <v>ON Semiconductor</v>
      </c>
      <c r="C24132" s="6">
        <v>297000</v>
      </c>
      <c r="D24132" s="7">
        <v>0.1</v>
      </c>
    </row>
    <row r="24133" spans="1:4" x14ac:dyDescent="0.25">
      <c r="A24133" t="str">
        <f>HYPERLINK("https://www.773grp.com/globalSearch/SMBD1087LT1/page-1", "SMBD1087LT1")</f>
        <v>SMBD1087LT1</v>
      </c>
      <c r="B24133" s="3" t="str">
        <f>HYPERLINK("https://www.773grp.com/manufacturer/onsemi?pageNo=609", "ON Semiconductor")</f>
        <v>ON Semiconductor</v>
      </c>
      <c r="C24133" s="6">
        <v>1167000</v>
      </c>
      <c r="D24133" s="7">
        <v>0.1</v>
      </c>
    </row>
    <row r="24134" spans="1:4" x14ac:dyDescent="0.25">
      <c r="A24134" t="str">
        <f>HYPERLINK("https://www.773grp.com/globalSearch/SMBD1087LT3/page-1", "SMBD1087LT3")</f>
        <v>SMBD1087LT3</v>
      </c>
      <c r="B24134" s="3" t="str">
        <f>HYPERLINK("https://www.773grp.com/manufacturer/onsemi?pageNo=610", "ON Semiconductor")</f>
        <v>ON Semiconductor</v>
      </c>
      <c r="C24134" s="6">
        <v>140000</v>
      </c>
      <c r="D24134" s="7">
        <v>0.1</v>
      </c>
    </row>
    <row r="24135" spans="1:4" x14ac:dyDescent="0.25">
      <c r="A24135" t="str">
        <f>HYPERLINK("https://www.773grp.com/globalSearch/SMBD1099T/page-1", "SMBD1099T")</f>
        <v>SMBD1099T</v>
      </c>
      <c r="B24135" s="3" t="str">
        <f>HYPERLINK("https://www.773grp.com/manufacturer/onsemi?pageNo=611", "ON Semiconductor")</f>
        <v>ON Semiconductor</v>
      </c>
      <c r="C24135" s="6">
        <v>327000</v>
      </c>
      <c r="D24135" s="7">
        <v>0.1</v>
      </c>
    </row>
    <row r="24136" spans="1:4" x14ac:dyDescent="0.25">
      <c r="A24136" t="str">
        <f>HYPERLINK("https://www.773grp.com/globalSearch/SMBD1099T3/page-1", "SMBD1099T3")</f>
        <v>SMBD1099T3</v>
      </c>
      <c r="B24136" s="3" t="str">
        <f>HYPERLINK("https://www.773grp.com/manufacturer/onsemi?pageNo=612", "ON Semiconductor")</f>
        <v>ON Semiconductor</v>
      </c>
      <c r="C24136" s="6">
        <v>340000</v>
      </c>
      <c r="D24136" s="7">
        <v>0.1</v>
      </c>
    </row>
    <row r="24137" spans="1:4" x14ac:dyDescent="0.25">
      <c r="A24137" t="str">
        <f>HYPERLINK("https://www.773grp.com/globalSearch/SMBD1102LT1/page-1", "SMBD1102LT1")</f>
        <v>SMBD1102LT1</v>
      </c>
      <c r="B24137" s="3" t="str">
        <f>HYPERLINK("https://www.773grp.com/manufacturer/onsemi?pageNo=613", "ON Semiconductor")</f>
        <v>ON Semiconductor</v>
      </c>
      <c r="C24137" s="6">
        <v>114000</v>
      </c>
      <c r="D24137" s="7">
        <v>0.1</v>
      </c>
    </row>
    <row r="24138" spans="1:4" x14ac:dyDescent="0.25">
      <c r="A24138" t="str">
        <f>HYPERLINK("https://www.773grp.com/globalSearch/SMBD1102LT3/page-1", "SMBD1102LT3")</f>
        <v>SMBD1102LT3</v>
      </c>
      <c r="B24138" s="3" t="str">
        <f>HYPERLINK("https://www.773grp.com/manufacturer/onsemi?pageNo=614", "ON Semiconductor")</f>
        <v>ON Semiconductor</v>
      </c>
      <c r="C24138" s="6">
        <v>3050000</v>
      </c>
      <c r="D24138" s="7">
        <v>0.1</v>
      </c>
    </row>
    <row r="24139" spans="1:4" x14ac:dyDescent="0.25">
      <c r="A24139" t="str">
        <f>HYPERLINK("https://www.773grp.com/globalSearch/SMBD1106LT1/page-1", "SMBD1106LT1")</f>
        <v>SMBD1106LT1</v>
      </c>
      <c r="B24139" s="3" t="str">
        <f>HYPERLINK("https://www.773grp.com/manufacturer/onsemi?pageNo=615", "ON Semiconductor")</f>
        <v>ON Semiconductor</v>
      </c>
      <c r="C24139" s="6">
        <v>153000</v>
      </c>
      <c r="D24139" s="7">
        <v>0.1</v>
      </c>
    </row>
    <row r="24140" spans="1:4" x14ac:dyDescent="0.25">
      <c r="A24140" t="str">
        <f>HYPERLINK("https://www.773grp.com/globalSearch/SMBD1106LT3/page-1", "SMBD1106LT3")</f>
        <v>SMBD1106LT3</v>
      </c>
      <c r="B24140" s="3" t="str">
        <f>HYPERLINK("https://www.773grp.com/manufacturer/onsemi?pageNo=616", "ON Semiconductor")</f>
        <v>ON Semiconductor</v>
      </c>
      <c r="C24140" s="6">
        <v>410000</v>
      </c>
      <c r="D24140" s="7">
        <v>0.1</v>
      </c>
    </row>
    <row r="24141" spans="1:4" x14ac:dyDescent="0.25">
      <c r="A24141" t="str">
        <f>HYPERLINK("https://www.773grp.com/globalSearch/SMBD1107LT1/page-1", "SMBD1107LT1")</f>
        <v>SMBD1107LT1</v>
      </c>
      <c r="B24141" s="3" t="str">
        <f>HYPERLINK("https://www.773grp.com/manufacturer/onsemi?pageNo=617", "ON Semiconductor")</f>
        <v>ON Semiconductor</v>
      </c>
      <c r="C24141" s="6">
        <v>195000</v>
      </c>
      <c r="D24141" s="7">
        <v>0.1</v>
      </c>
    </row>
    <row r="24142" spans="1:4" x14ac:dyDescent="0.25">
      <c r="A24142" t="str">
        <f>HYPERLINK("https://www.773grp.com/globalSearch/SMBD1107LT3/page-1", "SMBD1107LT3")</f>
        <v>SMBD1107LT3</v>
      </c>
      <c r="B24142" s="3" t="str">
        <f>HYPERLINK("https://www.773grp.com/manufacturer/onsemi?pageNo=618", "ON Semiconductor")</f>
        <v>ON Semiconductor</v>
      </c>
      <c r="C24142" s="6">
        <v>70000</v>
      </c>
      <c r="D24142" s="7">
        <v>0.1</v>
      </c>
    </row>
    <row r="24143" spans="1:4" x14ac:dyDescent="0.25">
      <c r="A24143" t="str">
        <f>HYPERLINK("https://www.773grp.com/globalSearch/SMBD1119LT1/page-1", "SMBD1119LT1")</f>
        <v>SMBD1119LT1</v>
      </c>
      <c r="B24143" s="3" t="str">
        <f>HYPERLINK("https://www.773grp.com/manufacturer/onsemi?pageNo=619", "ON Semiconductor")</f>
        <v>ON Semiconductor</v>
      </c>
      <c r="C24143" s="6">
        <v>270000</v>
      </c>
      <c r="D24143" s="7">
        <v>0.1</v>
      </c>
    </row>
    <row r="24144" spans="1:4" x14ac:dyDescent="0.25">
      <c r="A24144" t="str">
        <f>HYPERLINK("https://www.773grp.com/globalSearch/SMBD1120T3/page-1", "SMBD1120T3")</f>
        <v>SMBD1120T3</v>
      </c>
      <c r="B24144" s="3" t="str">
        <f>HYPERLINK("https://www.773grp.com/manufacturer/onsemi?pageNo=620", "ON Semiconductor")</f>
        <v>ON Semiconductor</v>
      </c>
      <c r="C24144" s="6">
        <v>410000</v>
      </c>
      <c r="D24144" s="7">
        <v>0.1</v>
      </c>
    </row>
    <row r="24145" spans="1:4" x14ac:dyDescent="0.25">
      <c r="A24145" t="str">
        <f>HYPERLINK("https://www.773grp.com/globalSearch/SMBD1466LT1/page-1", "SMBD1466LT1")</f>
        <v>SMBD1466LT1</v>
      </c>
      <c r="B24145" s="3" t="str">
        <f>HYPERLINK("https://www.773grp.com/manufacturer/onsemi?pageNo=621", "ON Semiconductor")</f>
        <v>ON Semiconductor</v>
      </c>
      <c r="C24145" s="6">
        <v>234000</v>
      </c>
      <c r="D24145" s="7">
        <v>0.1</v>
      </c>
    </row>
    <row r="24146" spans="1:4" x14ac:dyDescent="0.25">
      <c r="A24146" t="str">
        <f>HYPERLINK("https://www.773grp.com/globalSearch/SMBD1472LT1G/page-1", "SMBD1472LT1G")</f>
        <v>SMBD1472LT1G</v>
      </c>
      <c r="B24146" s="3" t="str">
        <f>HYPERLINK("https://www.773grp.com/manufacturer/onsemi?pageNo=622", "ON Semiconductor")</f>
        <v>ON Semiconductor</v>
      </c>
      <c r="C24146" s="6">
        <v>54000</v>
      </c>
      <c r="D24146" s="7">
        <v>0.1</v>
      </c>
    </row>
    <row r="24147" spans="1:4" x14ac:dyDescent="0.25">
      <c r="A24147" t="str">
        <f>HYPERLINK("https://www.773grp.com/globalSearch/SMBD1490LT3/page-1", "SMBD1490LT3")</f>
        <v>SMBD1490LT3</v>
      </c>
      <c r="B24147" s="3" t="str">
        <f>HYPERLINK("https://www.773grp.com/manufacturer/onsemi?pageNo=623", "ON Semiconductor")</f>
        <v>ON Semiconductor</v>
      </c>
      <c r="C24147" s="6">
        <v>80000</v>
      </c>
      <c r="D24147" s="7">
        <v>0.1</v>
      </c>
    </row>
    <row r="24148" spans="1:4" x14ac:dyDescent="0.25">
      <c r="A24148" t="str">
        <f>HYPERLINK("https://www.773grp.com/globalSearch/SMBD1494LT1/page-1", "SMBD1494LT1")</f>
        <v>SMBD1494LT1</v>
      </c>
      <c r="B24148" s="3" t="str">
        <f>HYPERLINK("https://www.773grp.com/manufacturer/onsemi?pageNo=624", "ON Semiconductor")</f>
        <v>ON Semiconductor</v>
      </c>
      <c r="C24148" s="6">
        <v>159000</v>
      </c>
      <c r="D24148" s="7">
        <v>0.1</v>
      </c>
    </row>
    <row r="24149" spans="1:4" x14ac:dyDescent="0.25">
      <c r="A24149" t="str">
        <f>HYPERLINK("https://www.773grp.com/globalSearch/SMBD1499LT1/page-1", "SMBD1499LT1")</f>
        <v>SMBD1499LT1</v>
      </c>
      <c r="B24149" s="3" t="str">
        <f>HYPERLINK("https://www.773grp.com/manufacturer/onsemi?pageNo=625", "ON Semiconductor")</f>
        <v>ON Semiconductor</v>
      </c>
      <c r="C24149" s="6">
        <v>12000</v>
      </c>
      <c r="D24149" s="7">
        <v>0.1</v>
      </c>
    </row>
    <row r="24150" spans="1:4" x14ac:dyDescent="0.25">
      <c r="A24150" t="str">
        <f>HYPERLINK("https://www.773grp.com/globalSearch/SMBD1499LT3/page-1", "SMBD1499LT3")</f>
        <v>SMBD1499LT3</v>
      </c>
      <c r="B24150" s="3" t="str">
        <f>HYPERLINK("https://www.773grp.com/manufacturer/onsemi?pageNo=626", "ON Semiconductor")</f>
        <v>ON Semiconductor</v>
      </c>
      <c r="C24150" s="6">
        <v>50000</v>
      </c>
      <c r="D24150" s="7">
        <v>0.1</v>
      </c>
    </row>
    <row r="24151" spans="1:4" x14ac:dyDescent="0.25">
      <c r="A24151" t="str">
        <f>HYPERLINK("https://www.773grp.com/globalSearch/SMBD1500LT1/page-1", "SMBD1500LT1")</f>
        <v>SMBD1500LT1</v>
      </c>
      <c r="B24151" s="3" t="str">
        <f>HYPERLINK("https://www.773grp.com/manufacturer/onsemi?pageNo=627", "ON Semiconductor")</f>
        <v>ON Semiconductor</v>
      </c>
      <c r="C24151" s="6">
        <v>258000</v>
      </c>
      <c r="D24151" s="7">
        <v>0.1</v>
      </c>
    </row>
    <row r="24152" spans="1:4" x14ac:dyDescent="0.25">
      <c r="A24152" t="str">
        <f>HYPERLINK("https://www.773grp.com/globalSearch/SMBD1500LT3/page-1", "SMBD1500LT3")</f>
        <v>SMBD1500LT3</v>
      </c>
      <c r="B24152" s="3" t="str">
        <f>HYPERLINK("https://www.773grp.com/manufacturer/onsemi?pageNo=628", "ON Semiconductor")</f>
        <v>ON Semiconductor</v>
      </c>
      <c r="C24152" s="6">
        <v>200000</v>
      </c>
      <c r="D24152" s="7">
        <v>0.1</v>
      </c>
    </row>
    <row r="24153" spans="1:4" x14ac:dyDescent="0.25">
      <c r="A24153" t="str">
        <f>HYPERLINK("https://www.773grp.com/globalSearch/SMBD1511LT3/page-1", "SMBD1511LT3")</f>
        <v>SMBD1511LT3</v>
      </c>
      <c r="B24153" s="3" t="str">
        <f>HYPERLINK("https://www.773grp.com/manufacturer/onsemi?pageNo=629", "ON Semiconductor")</f>
        <v>ON Semiconductor</v>
      </c>
      <c r="C24153" s="6">
        <v>220000</v>
      </c>
      <c r="D24153" s="7">
        <v>0.1</v>
      </c>
    </row>
    <row r="24154" spans="1:4" x14ac:dyDescent="0.25">
      <c r="A24154" t="str">
        <f>HYPERLINK("https://www.773grp.com/globalSearch/SMBD70LT1/page-1", "SMBD70LT1")</f>
        <v>SMBD70LT1</v>
      </c>
      <c r="B24154" s="3" t="str">
        <f>HYPERLINK("https://www.773grp.com/manufacturer/onsemi?pageNo=630", "ON Semiconductor")</f>
        <v>ON Semiconductor</v>
      </c>
      <c r="C24154" s="6">
        <v>15000</v>
      </c>
      <c r="D24154" s="7">
        <v>0.1</v>
      </c>
    </row>
    <row r="24155" spans="1:4" x14ac:dyDescent="0.25">
      <c r="A24155" t="str">
        <f>HYPERLINK("https://www.773grp.com/globalSearch/SMBD70LT1G/page-1", "SMBD70LT1G")</f>
        <v>SMBD70LT1G</v>
      </c>
      <c r="B24155" s="3" t="str">
        <f>HYPERLINK("https://www.773grp.com/manufacturer/onsemi?pageNo=631", "ON Semiconductor")</f>
        <v>ON Semiconductor</v>
      </c>
      <c r="C24155" s="6">
        <v>120000</v>
      </c>
      <c r="D24155" s="7">
        <v>0.1</v>
      </c>
    </row>
    <row r="24156" spans="1:4" x14ac:dyDescent="0.25">
      <c r="A24156" t="str">
        <f>HYPERLINK("https://www.773grp.com/globalSearch/SMBF1006LT1/page-1", "SMBF1006LT1")</f>
        <v>SMBF1006LT1</v>
      </c>
      <c r="B24156" s="3" t="str">
        <f>HYPERLINK("https://www.773grp.com/manufacturer/onsemi?pageNo=632", "ON Semiconductor")</f>
        <v>ON Semiconductor</v>
      </c>
      <c r="C24156" s="6">
        <v>54000</v>
      </c>
      <c r="D24156" s="7">
        <v>0.1</v>
      </c>
    </row>
    <row r="24157" spans="1:4" x14ac:dyDescent="0.25">
      <c r="A24157" t="str">
        <f>HYPERLINK("https://www.773grp.com/globalSearch/SMBF1046LT1/page-1", "SMBF1046LT1")</f>
        <v>SMBF1046LT1</v>
      </c>
      <c r="B24157" s="3" t="str">
        <f>HYPERLINK("https://www.773grp.com/manufacturer/onsemi?pageNo=633", "ON Semiconductor")</f>
        <v>ON Semiconductor</v>
      </c>
      <c r="C24157" s="6">
        <v>18000</v>
      </c>
      <c r="D24157" s="7">
        <v>0.1</v>
      </c>
    </row>
    <row r="24158" spans="1:4" x14ac:dyDescent="0.25">
      <c r="A24158" t="str">
        <f>HYPERLINK("https://www.773grp.com/globalSearch/SMBF1053LT3/page-1", "SMBF1053LT3")</f>
        <v>SMBF1053LT3</v>
      </c>
      <c r="B24158" s="3" t="str">
        <f>HYPERLINK("https://www.773grp.com/manufacturer/onsemi?pageNo=634", "ON Semiconductor")</f>
        <v>ON Semiconductor</v>
      </c>
      <c r="C24158" s="6">
        <v>50000</v>
      </c>
      <c r="D24158" s="7">
        <v>0.1</v>
      </c>
    </row>
    <row r="24159" spans="1:4" x14ac:dyDescent="0.25">
      <c r="A24159" t="str">
        <f>HYPERLINK("https://www.773grp.com/globalSearch/SMBT1570LT3/page-1", "SMBT1570LT3")</f>
        <v>SMBT1570LT3</v>
      </c>
      <c r="B24159" s="3" t="str">
        <f>HYPERLINK("https://www.773grp.com/manufacturer/onsemi?pageNo=635", "ON Semiconductor")</f>
        <v>ON Semiconductor</v>
      </c>
      <c r="C24159" s="6">
        <v>12000</v>
      </c>
      <c r="D24159" s="7">
        <v>0.1</v>
      </c>
    </row>
    <row r="24160" spans="1:4" x14ac:dyDescent="0.25">
      <c r="A24160" t="str">
        <f>HYPERLINK("https://www.773grp.com/globalSearch/SMBT1574LT1/page-1", "SMBT1574LT1")</f>
        <v>SMBT1574LT1</v>
      </c>
      <c r="B24160" s="3" t="str">
        <f>HYPERLINK("https://www.773grp.com/manufacturer/onsemi?pageNo=636", "ON Semiconductor")</f>
        <v>ON Semiconductor</v>
      </c>
      <c r="C24160" s="6">
        <v>177000</v>
      </c>
      <c r="D24160" s="7">
        <v>0.1</v>
      </c>
    </row>
    <row r="24161" spans="1:4" x14ac:dyDescent="0.25">
      <c r="A24161" t="str">
        <f>HYPERLINK("https://www.773grp.com/globalSearch/SMBT1580LT3/page-1", "SMBT1580LT3")</f>
        <v>SMBT1580LT3</v>
      </c>
      <c r="B24161" s="3" t="str">
        <f>HYPERLINK("https://www.773grp.com/manufacturer/onsemi?pageNo=637", "ON Semiconductor")</f>
        <v>ON Semiconductor</v>
      </c>
      <c r="C24161" s="6">
        <v>40000</v>
      </c>
      <c r="D24161" s="7">
        <v>0.1</v>
      </c>
    </row>
    <row r="24162" spans="1:4" x14ac:dyDescent="0.25">
      <c r="A24162" t="str">
        <f>HYPERLINK("https://www.773grp.com/globalSearch/SMBT1588LT3/page-1", "SMBT1588LT3")</f>
        <v>SMBT1588LT3</v>
      </c>
      <c r="B24162" s="3" t="str">
        <f>HYPERLINK("https://www.773grp.com/manufacturer/onsemi?pageNo=638", "ON Semiconductor")</f>
        <v>ON Semiconductor</v>
      </c>
      <c r="C24162" s="6">
        <v>870000</v>
      </c>
      <c r="D24162" s="7">
        <v>0.1</v>
      </c>
    </row>
    <row r="24163" spans="1:4" x14ac:dyDescent="0.25">
      <c r="A24163" t="str">
        <f>HYPERLINK("https://www.773grp.com/globalSearch/SMBV1008LT1/page-1", "SMBV1008LT1")</f>
        <v>SMBV1008LT1</v>
      </c>
      <c r="B24163" s="3" t="str">
        <f>HYPERLINK("https://www.773grp.com/manufacturer/onsemi?pageNo=639", "ON Semiconductor")</f>
        <v>ON Semiconductor</v>
      </c>
      <c r="C24163" s="6">
        <v>60000</v>
      </c>
      <c r="D24163" s="7">
        <v>0.1</v>
      </c>
    </row>
    <row r="24164" spans="1:4" x14ac:dyDescent="0.25">
      <c r="A24164" t="str">
        <f>HYPERLINK("https://www.773grp.com/globalSearch/SMBV1009LT1/page-1", "SMBV1009LT1")</f>
        <v>SMBV1009LT1</v>
      </c>
      <c r="B24164" s="3" t="str">
        <f>HYPERLINK("https://www.773grp.com/manufacturer/onsemi?pageNo=640", "ON Semiconductor")</f>
        <v>ON Semiconductor</v>
      </c>
      <c r="C24164" s="6">
        <v>21000</v>
      </c>
      <c r="D24164" s="7">
        <v>0.1</v>
      </c>
    </row>
    <row r="24165" spans="1:4" x14ac:dyDescent="0.25">
      <c r="A24165" t="str">
        <f>HYPERLINK("https://www.773grp.com/globalSearch/SMBV1057LT1/page-1", "SMBV1057LT1")</f>
        <v>SMBV1057LT1</v>
      </c>
      <c r="B24165" s="3" t="str">
        <f>HYPERLINK("https://www.773grp.com/manufacturer/onsemi?pageNo=641", "ON Semiconductor")</f>
        <v>ON Semiconductor</v>
      </c>
      <c r="C24165" s="6">
        <v>6000</v>
      </c>
      <c r="D24165" s="7">
        <v>0.1</v>
      </c>
    </row>
    <row r="24166" spans="1:4" x14ac:dyDescent="0.25">
      <c r="A24166" t="str">
        <f>HYPERLINK("https://www.773grp.com/globalSearch/SMBV1077LT1/page-1", "SMBV1077LT1")</f>
        <v>SMBV1077LT1</v>
      </c>
      <c r="B24166" s="3" t="str">
        <f>HYPERLINK("https://www.773grp.com/manufacturer/onsemi?pageNo=642", "ON Semiconductor")</f>
        <v>ON Semiconductor</v>
      </c>
      <c r="C24166" s="6">
        <v>9000</v>
      </c>
      <c r="D24166" s="7">
        <v>0.1</v>
      </c>
    </row>
    <row r="24167" spans="1:4" x14ac:dyDescent="0.25">
      <c r="A24167" t="str">
        <f>HYPERLINK("https://www.773grp.com/globalSearch/SMBV1094LT1/page-1", "SMBV1094LT1")</f>
        <v>SMBV1094LT1</v>
      </c>
      <c r="B24167" s="3" t="str">
        <f>HYPERLINK("https://www.773grp.com/manufacturer/onsemi?pageNo=643", "ON Semiconductor")</f>
        <v>ON Semiconductor</v>
      </c>
      <c r="C24167" s="6">
        <v>15000</v>
      </c>
      <c r="D24167" s="7">
        <v>0.1</v>
      </c>
    </row>
    <row r="24168" spans="1:4" x14ac:dyDescent="0.25">
      <c r="A24168" t="str">
        <f>HYPERLINK("https://www.773grp.com/globalSearch/SMBZ10-7LT1/page-1", "SMBZ10-7LT1")</f>
        <v>SMBZ10-7LT1</v>
      </c>
      <c r="B24168" s="3" t="str">
        <f>HYPERLINK("https://www.773grp.com/manufacturer/onsemi?pageNo=644", "ON Semiconductor")</f>
        <v>ON Semiconductor</v>
      </c>
      <c r="C24168" s="6">
        <v>72000</v>
      </c>
      <c r="D24168" s="7">
        <v>0.1</v>
      </c>
    </row>
    <row r="24169" spans="1:4" x14ac:dyDescent="0.25">
      <c r="A24169" t="str">
        <f>HYPERLINK("https://www.773grp.com/globalSearch/SMBZ1091LT1/page-1", "SMBZ1091LT1")</f>
        <v>SMBZ1091LT1</v>
      </c>
      <c r="B24169" s="3" t="str">
        <f>HYPERLINK("https://www.773grp.com/manufacturer/onsemi?pageNo=645", "ON Semiconductor")</f>
        <v>ON Semiconductor</v>
      </c>
      <c r="C24169" s="6">
        <v>36000</v>
      </c>
      <c r="D24169" s="7">
        <v>0.1</v>
      </c>
    </row>
    <row r="24170" spans="1:4" x14ac:dyDescent="0.25">
      <c r="A24170" t="str">
        <f>HYPERLINK("https://www.773grp.com/globalSearch/SMBZ1431LT3/page-1", "SMBZ1431LT3")</f>
        <v>SMBZ1431LT3</v>
      </c>
      <c r="B24170" s="3" t="str">
        <f>HYPERLINK("https://www.773grp.com/manufacturer/onsemi?pageNo=646", "ON Semiconductor")</f>
        <v>ON Semiconductor</v>
      </c>
      <c r="C24170" s="6">
        <v>10000</v>
      </c>
      <c r="D24170" s="7">
        <v>0.1</v>
      </c>
    </row>
    <row r="24171" spans="1:4" x14ac:dyDescent="0.25">
      <c r="A24171" t="str">
        <f>HYPERLINK("https://www.773grp.com/globalSearch/SMBZ1437LT3/page-1", "SMBZ1437LT3")</f>
        <v>SMBZ1437LT3</v>
      </c>
      <c r="B24171" s="3" t="str">
        <f>HYPERLINK("https://www.773grp.com/manufacturer/onsemi?pageNo=647", "ON Semiconductor")</f>
        <v>ON Semiconductor</v>
      </c>
      <c r="C24171" s="6">
        <v>40000</v>
      </c>
      <c r="D24171" s="7">
        <v>0.1</v>
      </c>
    </row>
    <row r="24172" spans="1:4" x14ac:dyDescent="0.25">
      <c r="A24172" t="str">
        <f>HYPERLINK("https://www.773grp.com/globalSearch/SMBZ1441LT1/page-1", "SMBZ1441LT1")</f>
        <v>SMBZ1441LT1</v>
      </c>
      <c r="B24172" s="3" t="str">
        <f>HYPERLINK("https://www.773grp.com/manufacturer/onsemi?pageNo=648", "ON Semiconductor")</f>
        <v>ON Semiconductor</v>
      </c>
      <c r="C24172" s="6">
        <v>93000</v>
      </c>
      <c r="D24172" s="7">
        <v>0.1</v>
      </c>
    </row>
    <row r="24173" spans="1:4" x14ac:dyDescent="0.25">
      <c r="A24173" t="str">
        <f>HYPERLINK("https://www.773grp.com/globalSearch/SMBZ1461LT1/page-1", "SMBZ1461LT1")</f>
        <v>SMBZ1461LT1</v>
      </c>
      <c r="B24173" s="3" t="str">
        <f>HYPERLINK("https://www.773grp.com/manufacturer/onsemi?pageNo=649", "ON Semiconductor")</f>
        <v>ON Semiconductor</v>
      </c>
      <c r="C24173" s="6">
        <v>12000</v>
      </c>
      <c r="D24173" s="7">
        <v>0.1</v>
      </c>
    </row>
    <row r="24174" spans="1:4" x14ac:dyDescent="0.25">
      <c r="A24174" t="str">
        <f>HYPERLINK("https://www.773grp.com/globalSearch/SMBZ1463LT1/page-1", "SMBZ1463LT1")</f>
        <v>SMBZ1463LT1</v>
      </c>
      <c r="B24174" s="3" t="str">
        <f>HYPERLINK("https://www.773grp.com/manufacturer/onsemi?pageNo=650", "ON Semiconductor")</f>
        <v>ON Semiconductor</v>
      </c>
      <c r="C24174" s="6">
        <v>90000</v>
      </c>
      <c r="D24174" s="7">
        <v>0.1</v>
      </c>
    </row>
    <row r="24175" spans="1:4" x14ac:dyDescent="0.25">
      <c r="A24175" t="str">
        <f>HYPERLINK("https://www.773grp.com/globalSearch/SMBZ1488LT3/page-1", "SMBZ1488LT3")</f>
        <v>SMBZ1488LT3</v>
      </c>
      <c r="B24175" s="3" t="str">
        <f>HYPERLINK("https://www.773grp.com/manufacturer/onsemi?pageNo=651", "ON Semiconductor")</f>
        <v>ON Semiconductor</v>
      </c>
      <c r="C24175" s="6">
        <v>30000</v>
      </c>
      <c r="D24175" s="7">
        <v>0.1</v>
      </c>
    </row>
    <row r="24176" spans="1:4" x14ac:dyDescent="0.25">
      <c r="A24176" t="str">
        <f>HYPERLINK("https://www.773grp.com/globalSearch/SMBZ1493LT3/page-1", "SMBZ1493LT3")</f>
        <v>SMBZ1493LT3</v>
      </c>
      <c r="B24176" s="3" t="str">
        <f>HYPERLINK("https://www.773grp.com/manufacturer/onsemi?pageNo=652", "ON Semiconductor")</f>
        <v>ON Semiconductor</v>
      </c>
      <c r="C24176" s="6">
        <v>40000</v>
      </c>
      <c r="D24176" s="7">
        <v>0.1</v>
      </c>
    </row>
    <row r="24177" spans="1:5" x14ac:dyDescent="0.25">
      <c r="A24177" t="str">
        <f>HYPERLINK("https://www.773grp.com/globalSearch/SMBZ1504LT1/page-1", "SMBZ1504LT1")</f>
        <v>SMBZ1504LT1</v>
      </c>
      <c r="B24177" s="3" t="str">
        <f>HYPERLINK("https://www.773grp.com/manufacturer/onsemi?pageNo=653", "ON Semiconductor")</f>
        <v>ON Semiconductor</v>
      </c>
      <c r="C24177" s="6">
        <v>12000</v>
      </c>
      <c r="D24177" s="7">
        <v>0.1</v>
      </c>
    </row>
    <row r="24178" spans="1:5" x14ac:dyDescent="0.25">
      <c r="A24178" t="str">
        <f>HYPERLINK("https://www.773grp.com/globalSearch/SMBZ1514LT3/page-1", "SMBZ1514LT3")</f>
        <v>SMBZ1514LT3</v>
      </c>
      <c r="B24178" s="3" t="str">
        <f>HYPERLINK("https://www.773grp.com/manufacturer/onsemi?pageNo=654", "ON Semiconductor")</f>
        <v>ON Semiconductor</v>
      </c>
      <c r="C24178" s="6">
        <v>70000</v>
      </c>
      <c r="D24178" s="7">
        <v>0.1</v>
      </c>
    </row>
    <row r="24179" spans="1:5" x14ac:dyDescent="0.25">
      <c r="A24179" t="str">
        <f>HYPERLINK("https://www.773grp.com/globalSearch/SMBZ1516LT1G/page-1", "SMBZ1516LT1G")</f>
        <v>SMBZ1516LT1G</v>
      </c>
      <c r="B24179" s="3" t="str">
        <f>HYPERLINK("https://www.773grp.com/manufacturer/onsemi?pageNo=655", "ON Semiconductor")</f>
        <v>ON Semiconductor</v>
      </c>
      <c r="C24179" s="6">
        <v>6000</v>
      </c>
      <c r="D24179" s="7">
        <v>0.1</v>
      </c>
    </row>
    <row r="24180" spans="1:5" x14ac:dyDescent="0.25">
      <c r="A24180" t="str">
        <f>HYPERLINK("https://www.773grp.com/globalSearch/SMBZ1599LT1/page-1", "SMBZ1599LT1")</f>
        <v>SMBZ1599LT1</v>
      </c>
      <c r="B24180" s="3" t="str">
        <f>HYPERLINK("https://www.773grp.com/manufacturer/onsemi?pageNo=656", "ON Semiconductor")</f>
        <v>ON Semiconductor</v>
      </c>
      <c r="C24180" s="6">
        <v>141000</v>
      </c>
      <c r="D24180" s="7">
        <v>0.1</v>
      </c>
    </row>
    <row r="24181" spans="1:5" x14ac:dyDescent="0.25">
      <c r="A24181" t="str">
        <f>HYPERLINK("https://www.773grp.com/globalSearch/SMBZ1605LT1/page-1", "SMBZ1605LT1")</f>
        <v>SMBZ1605LT1</v>
      </c>
      <c r="B24181" s="3" t="str">
        <f>HYPERLINK("https://www.773grp.com/manufacturer/onsemi?pageNo=657", "ON Semiconductor")</f>
        <v>ON Semiconductor</v>
      </c>
      <c r="C24181" s="6">
        <v>12000</v>
      </c>
      <c r="D24181" s="7">
        <v>0.1</v>
      </c>
    </row>
    <row r="24182" spans="1:5" x14ac:dyDescent="0.25">
      <c r="A24182" t="str">
        <f>HYPERLINK("https://www.773grp.com/globalSearch/SMBZ1608LT1/page-1", "SMBZ1608LT1")</f>
        <v>SMBZ1608LT1</v>
      </c>
      <c r="B24182" s="3" t="str">
        <f>HYPERLINK("https://www.773grp.com/manufacturer/onsemi?pageNo=658", "ON Semiconductor")</f>
        <v>ON Semiconductor</v>
      </c>
      <c r="C24182" s="6">
        <v>81000</v>
      </c>
      <c r="D24182" s="7">
        <v>0.1</v>
      </c>
    </row>
    <row r="24183" spans="1:5" x14ac:dyDescent="0.25">
      <c r="A24183" t="str">
        <f>HYPERLINK("https://www.773grp.com/globalSearch/SMBZ1613LT3/page-1", "SMBZ1613LT3")</f>
        <v>SMBZ1613LT3</v>
      </c>
      <c r="B24183" s="3" t="str">
        <f>HYPERLINK("https://www.773grp.com/manufacturer/onsemi?pageNo=659", "ON Semiconductor")</f>
        <v>ON Semiconductor</v>
      </c>
      <c r="C24183" s="6">
        <v>30000</v>
      </c>
      <c r="D24183" s="7">
        <v>0.1</v>
      </c>
    </row>
    <row r="24184" spans="1:5" x14ac:dyDescent="0.25">
      <c r="A24184" t="str">
        <f>HYPERLINK("https://www.773grp.com/globalSearch/SMBZ1659LT3DS/page-1", "SMBZ1659LT3DS")</f>
        <v>SMBZ1659LT3DS</v>
      </c>
      <c r="B24184" s="3" t="str">
        <f>HYPERLINK("https://www.773grp.com/manufacturer/onsemi?pageNo=660", "ON Semiconductor")</f>
        <v>ON Semiconductor</v>
      </c>
      <c r="C24184" s="6">
        <v>20000</v>
      </c>
      <c r="D24184" s="7">
        <v>0.1</v>
      </c>
    </row>
    <row r="24185" spans="1:5" x14ac:dyDescent="0.25">
      <c r="A24185" t="str">
        <f>HYPERLINK("https://www.773grp.com/globalSearch/SMBZ2606-21LT3/page-1", "SMBZ2606-21LT3")</f>
        <v>SMBZ2606-21LT3</v>
      </c>
      <c r="B24185" s="3" t="str">
        <f>HYPERLINK("https://www.773grp.com/manufacturer/onsemi?pageNo=661", "ON Semiconductor")</f>
        <v>ON Semiconductor</v>
      </c>
      <c r="C24185" s="6">
        <v>50000</v>
      </c>
      <c r="D24185" s="7">
        <v>0.1</v>
      </c>
    </row>
    <row r="24186" spans="1:5" x14ac:dyDescent="0.25">
      <c r="A24186" t="str">
        <f>HYPERLINK("https://www.773grp.com/globalSearch/SMBZ2606-5LT3/page-1", "SMBZ2606-5LT3")</f>
        <v>SMBZ2606-5LT3</v>
      </c>
      <c r="B24186" s="3" t="str">
        <f>HYPERLINK("https://www.773grp.com/manufacturer/onsemi?pageNo=662", "ON Semiconductor")</f>
        <v>ON Semiconductor</v>
      </c>
      <c r="C24186" s="6">
        <v>10000</v>
      </c>
      <c r="D24186" s="7">
        <v>0.1</v>
      </c>
    </row>
    <row r="24187" spans="1:5" x14ac:dyDescent="0.25">
      <c r="A24187" t="str">
        <f>HYPERLINK("https://www.773grp.com/globalSearch/SMMBD2837LT1/page-1", "SMMBD2837LT1")</f>
        <v>SMMBD2837LT1</v>
      </c>
      <c r="B24187" s="3" t="str">
        <f>HYPERLINK("https://www.773grp.com/manufacturer/onsemi?pageNo=663", "ON Semiconductor")</f>
        <v>ON Semiconductor</v>
      </c>
      <c r="C24187" s="6">
        <v>36000</v>
      </c>
      <c r="D24187" s="7">
        <v>0.1</v>
      </c>
      <c r="E24187" t="s">
        <v>94</v>
      </c>
    </row>
    <row r="24188" spans="1:5" x14ac:dyDescent="0.25">
      <c r="A24188" t="str">
        <f>HYPERLINK("https://www.773grp.com/globalSearch/SMMBT2222ALT1/page-1", "SMMBT2222ALT1")</f>
        <v>SMMBT2222ALT1</v>
      </c>
      <c r="B24188" s="3" t="str">
        <f>HYPERLINK("https://www.773grp.com/manufacturer/onsemi?pageNo=664", "ON Semiconductor")</f>
        <v>ON Semiconductor</v>
      </c>
      <c r="C24188" s="6">
        <v>3772</v>
      </c>
      <c r="D24188" s="7">
        <v>0.1</v>
      </c>
      <c r="E24188" t="s">
        <v>69</v>
      </c>
    </row>
    <row r="24189" spans="1:5" x14ac:dyDescent="0.25">
      <c r="A24189" t="str">
        <f>HYPERLINK("https://www.773grp.com/globalSearch/SMMBT3904LT1G/page-1", "SMMBT3904LT1G")</f>
        <v>SMMBT3904LT1G</v>
      </c>
      <c r="B24189" s="3" t="str">
        <f>HYPERLINK("https://www.773grp.com/manufacturer/onsemi?pageNo=665", "ON Semiconductor")</f>
        <v>ON Semiconductor</v>
      </c>
      <c r="C24189" s="6">
        <v>15000</v>
      </c>
      <c r="D24189" s="7">
        <v>0.1</v>
      </c>
    </row>
    <row r="24190" spans="1:5" x14ac:dyDescent="0.25">
      <c r="A24190" t="str">
        <f>HYPERLINK("https://www.773grp.com/globalSearch/SMMBT4403LT1G/page-1", "SMMBT4403LT1G")</f>
        <v>SMMBT4403LT1G</v>
      </c>
      <c r="B24190" s="3" t="str">
        <f>HYPERLINK("https://www.773grp.com/manufacturer/onsemi?pageNo=666", "ON Semiconductor")</f>
        <v>ON Semiconductor</v>
      </c>
      <c r="C24190" s="6">
        <v>15000</v>
      </c>
      <c r="D24190" s="7">
        <v>0.1</v>
      </c>
    </row>
    <row r="24191" spans="1:5" x14ac:dyDescent="0.25">
      <c r="A24191" t="str">
        <f>HYPERLINK("https://www.773grp.com/globalSearch/SMMBT5401LT1/page-1", "SMMBT5401LT1")</f>
        <v>SMMBT5401LT1</v>
      </c>
      <c r="B24191" s="3" t="str">
        <f>HYPERLINK("https://www.773grp.com/manufacturer/onsemi?pageNo=667", "ON Semiconductor")</f>
        <v>ON Semiconductor</v>
      </c>
      <c r="C24191" s="6">
        <v>189000</v>
      </c>
      <c r="D24191" s="7">
        <v>0.1</v>
      </c>
      <c r="E24191" t="s">
        <v>69</v>
      </c>
    </row>
    <row r="24192" spans="1:5" x14ac:dyDescent="0.25">
      <c r="A24192" t="str">
        <f>HYPERLINK("https://www.773grp.com/globalSearch/SMMBTA13LT1/page-1", "SMMBTA13LT1")</f>
        <v>SMMBTA13LT1</v>
      </c>
      <c r="B24192" s="3" t="str">
        <f>HYPERLINK("https://www.773grp.com/manufacturer/onsemi?pageNo=668", "ON Semiconductor")</f>
        <v>ON Semiconductor</v>
      </c>
      <c r="C24192" s="6">
        <v>48000</v>
      </c>
      <c r="D24192" s="7">
        <v>0.1</v>
      </c>
    </row>
    <row r="24193" spans="1:5" x14ac:dyDescent="0.25">
      <c r="A24193" t="str">
        <f>HYPERLINK("https://www.773grp.com/globalSearch/SMMUN2233LT1/page-1", "SMMUN2233LT1")</f>
        <v>SMMUN2233LT1</v>
      </c>
      <c r="B24193" s="3" t="str">
        <f>HYPERLINK("https://www.773grp.com/manufacturer/onsemi?pageNo=669", "ON Semiconductor")</f>
        <v>ON Semiconductor</v>
      </c>
      <c r="C24193" s="6">
        <v>30000</v>
      </c>
      <c r="D24193" s="7">
        <v>0.1</v>
      </c>
      <c r="E24193" t="s">
        <v>69</v>
      </c>
    </row>
    <row r="24194" spans="1:5" x14ac:dyDescent="0.25">
      <c r="A24194" t="str">
        <f>HYPERLINK("https://www.773grp.com/globalSearch/SMSD1001T1/page-1", "SMSD1001T1")</f>
        <v>SMSD1001T1</v>
      </c>
      <c r="B24194" s="3" t="str">
        <f>HYPERLINK("https://www.773grp.com/manufacturer/onsemi?pageNo=670", "ON Semiconductor")</f>
        <v>ON Semiconductor</v>
      </c>
      <c r="C24194" s="6">
        <v>15000</v>
      </c>
      <c r="D24194" s="7">
        <v>0.1</v>
      </c>
    </row>
    <row r="24195" spans="1:5" x14ac:dyDescent="0.25">
      <c r="A24195" t="str">
        <f>HYPERLINK("https://www.773grp.com/globalSearch/SMSD1001T3/page-1", "SMSD1001T3")</f>
        <v>SMSD1001T3</v>
      </c>
      <c r="B24195" s="3" t="str">
        <f>HYPERLINK("https://www.773grp.com/manufacturer/onsemi?pageNo=671", "ON Semiconductor")</f>
        <v>ON Semiconductor</v>
      </c>
      <c r="C24195" s="6">
        <v>300000</v>
      </c>
      <c r="D24195" s="7">
        <v>0.1</v>
      </c>
    </row>
    <row r="24196" spans="1:5" x14ac:dyDescent="0.25">
      <c r="A24196" t="str">
        <f>HYPERLINK("https://www.773grp.com/globalSearch/SMSZ1000T1G/page-1", "SMSZ1000T1G")</f>
        <v>SMSZ1000T1G</v>
      </c>
      <c r="B24196" s="3" t="str">
        <f>HYPERLINK("https://www.773grp.com/manufacturer/onsemi?pageNo=672", "ON Semiconductor")</f>
        <v>ON Semiconductor</v>
      </c>
      <c r="C24196" s="6">
        <v>10000</v>
      </c>
      <c r="D24196" s="7">
        <v>0.1</v>
      </c>
    </row>
    <row r="24197" spans="1:5" x14ac:dyDescent="0.25">
      <c r="A24197" t="str">
        <f>HYPERLINK("https://www.773grp.com/globalSearch/SMSZ1009T1G/page-1", "SMSZ1009T1G")</f>
        <v>SMSZ1009T1G</v>
      </c>
      <c r="B24197" s="3" t="str">
        <f>HYPERLINK("https://www.773grp.com/manufacturer/onsemi?pageNo=673", "ON Semiconductor")</f>
        <v>ON Semiconductor</v>
      </c>
      <c r="C24197" s="6">
        <v>48000</v>
      </c>
      <c r="D24197" s="7">
        <v>0.1</v>
      </c>
    </row>
    <row r="24198" spans="1:5" x14ac:dyDescent="0.25">
      <c r="A24198" t="str">
        <f>HYPERLINK("https://www.773grp.com/globalSearch/SMSZ1010T1/page-1", "SMSZ1010T1")</f>
        <v>SMSZ1010T1</v>
      </c>
      <c r="B24198" s="3" t="str">
        <f>HYPERLINK("https://www.773grp.com/manufacturer/onsemi?pageNo=674", "ON Semiconductor")</f>
        <v>ON Semiconductor</v>
      </c>
      <c r="C24198" s="6">
        <v>3000</v>
      </c>
      <c r="D24198" s="7">
        <v>0.1</v>
      </c>
    </row>
    <row r="24199" spans="1:5" x14ac:dyDescent="0.25">
      <c r="A24199" t="str">
        <f>HYPERLINK("https://www.773grp.com/globalSearch/SMSZ1012T1/page-1", "SMSZ1012T1")</f>
        <v>SMSZ1012T1</v>
      </c>
      <c r="B24199" s="3" t="str">
        <f>HYPERLINK("https://www.773grp.com/manufacturer/onsemi?pageNo=675", "ON Semiconductor")</f>
        <v>ON Semiconductor</v>
      </c>
      <c r="C24199" s="6">
        <v>3000</v>
      </c>
      <c r="D24199" s="7">
        <v>0.1</v>
      </c>
    </row>
    <row r="24200" spans="1:5" x14ac:dyDescent="0.25">
      <c r="A24200" t="str">
        <f>HYPERLINK("https://www.773grp.com/globalSearch/SMUN101T1G/page-1", "SMUN101T1G")</f>
        <v>SMUN101T1G</v>
      </c>
      <c r="B24200" s="3" t="str">
        <f>HYPERLINK("https://www.773grp.com/manufacturer/onsemi?pageNo=676", "ON Semiconductor")</f>
        <v>ON Semiconductor</v>
      </c>
      <c r="C24200" s="6">
        <v>54000</v>
      </c>
      <c r="D24200" s="7">
        <v>0.1</v>
      </c>
    </row>
    <row r="24201" spans="1:5" x14ac:dyDescent="0.25">
      <c r="A24201" t="str">
        <f>HYPERLINK("https://www.773grp.com/globalSearch/SMUN2111T1/page-1", "SMUN2111T1")</f>
        <v>SMUN2111T1</v>
      </c>
      <c r="B24201" s="3" t="str">
        <f>HYPERLINK("https://www.773grp.com/manufacturer/onsemi?pageNo=677", "ON Semiconductor")</f>
        <v>ON Semiconductor</v>
      </c>
      <c r="C24201" s="6">
        <v>138000</v>
      </c>
      <c r="D24201" s="7">
        <v>0.1</v>
      </c>
      <c r="E24201" t="s">
        <v>69</v>
      </c>
    </row>
    <row r="24202" spans="1:5" x14ac:dyDescent="0.25">
      <c r="A24202" t="str">
        <f>HYPERLINK("https://www.773grp.com/globalSearch/SMUN2113T1/page-1", "SMUN2113T1")</f>
        <v>SMUN2113T1</v>
      </c>
      <c r="B24202" s="3" t="str">
        <f>HYPERLINK("https://www.773grp.com/manufacturer/onsemi?pageNo=678", "ON Semiconductor")</f>
        <v>ON Semiconductor</v>
      </c>
      <c r="C24202" s="6">
        <v>60000</v>
      </c>
      <c r="D24202" s="7">
        <v>0.1</v>
      </c>
      <c r="E24202" t="s">
        <v>69</v>
      </c>
    </row>
    <row r="24203" spans="1:5" x14ac:dyDescent="0.25">
      <c r="A24203" t="str">
        <f>HYPERLINK("https://www.773grp.com/globalSearch/SMUN2130T1/page-1", "SMUN2130T1")</f>
        <v>SMUN2130T1</v>
      </c>
      <c r="B24203" s="3" t="str">
        <f>HYPERLINK("https://www.773grp.com/manufacturer/onsemi?pageNo=679", "ON Semiconductor")</f>
        <v>ON Semiconductor</v>
      </c>
      <c r="C24203" s="6">
        <v>87000</v>
      </c>
      <c r="D24203" s="7">
        <v>0.1</v>
      </c>
      <c r="E24203" t="s">
        <v>69</v>
      </c>
    </row>
    <row r="24204" spans="1:5" x14ac:dyDescent="0.25">
      <c r="A24204" t="str">
        <f>HYPERLINK("https://www.773grp.com/globalSearch/SMUN2212T1/page-1", "SMUN2212T1")</f>
        <v>SMUN2212T1</v>
      </c>
      <c r="B24204" s="3" t="str">
        <f>HYPERLINK("https://www.773grp.com/manufacturer/onsemi?pageNo=680", "ON Semiconductor")</f>
        <v>ON Semiconductor</v>
      </c>
      <c r="C24204" s="6">
        <v>156000</v>
      </c>
      <c r="D24204" s="7">
        <v>0.1</v>
      </c>
    </row>
    <row r="24205" spans="1:5" x14ac:dyDescent="0.25">
      <c r="A24205" t="str">
        <f>HYPERLINK("https://www.773grp.com/globalSearch/SMUN2216T1/page-1", "SMUN2216T1")</f>
        <v>SMUN2216T1</v>
      </c>
      <c r="B24205" s="3" t="str">
        <f>HYPERLINK("https://www.773grp.com/manufacturer/onsemi?pageNo=681", "ON Semiconductor")</f>
        <v>ON Semiconductor</v>
      </c>
      <c r="C24205" s="6">
        <v>135000</v>
      </c>
      <c r="D24205" s="7">
        <v>0.1</v>
      </c>
      <c r="E24205" t="s">
        <v>69</v>
      </c>
    </row>
    <row r="24206" spans="1:5" x14ac:dyDescent="0.25">
      <c r="A24206" t="str">
        <f>HYPERLINK("https://www.773grp.com/globalSearch/SMUN2233T1/page-1", "SMUN2233T1")</f>
        <v>SMUN2233T1</v>
      </c>
      <c r="B24206" s="3" t="str">
        <f>HYPERLINK("https://www.773grp.com/manufacturer/onsemi?pageNo=682", "ON Semiconductor")</f>
        <v>ON Semiconductor</v>
      </c>
      <c r="C24206" s="6">
        <v>201000</v>
      </c>
      <c r="D24206" s="7">
        <v>0.1</v>
      </c>
    </row>
    <row r="24207" spans="1:5" x14ac:dyDescent="0.25">
      <c r="A24207" t="str">
        <f>HYPERLINK("https://www.773grp.com/globalSearch/SPS8631RLRM/page-1", "SPS8631RLRM")</f>
        <v>SPS8631RLRM</v>
      </c>
      <c r="B24207" s="3" t="str">
        <f>HYPERLINK("https://www.773grp.com/manufacturer/onsemi?pageNo=683", "ON Semiconductor")</f>
        <v>ON Semiconductor</v>
      </c>
      <c r="C24207" s="6">
        <v>150000</v>
      </c>
      <c r="D24207" s="7">
        <v>0.1</v>
      </c>
    </row>
    <row r="24208" spans="1:5" x14ac:dyDescent="0.25">
      <c r="A24208" t="str">
        <f>HYPERLINK("https://www.773grp.com/globalSearch/SPS8874QRLRM/page-1", "SPS8874QRLRM")</f>
        <v>SPS8874QRLRM</v>
      </c>
      <c r="B24208" s="3" t="str">
        <f>HYPERLINK("https://www.773grp.com/manufacturer/onsemi?pageNo=684", "ON Semiconductor")</f>
        <v>ON Semiconductor</v>
      </c>
      <c r="C24208" s="6">
        <v>25000</v>
      </c>
      <c r="D24208" s="7">
        <v>0.1</v>
      </c>
    </row>
    <row r="24209" spans="1:4" x14ac:dyDescent="0.25">
      <c r="A24209" t="str">
        <f>HYPERLINK("https://www.773grp.com/globalSearch/SPS9285/page-1", "SPS9285")</f>
        <v>SPS9285</v>
      </c>
      <c r="B24209" s="3" t="str">
        <f>HYPERLINK("https://www.773grp.com/manufacturer/onsemi?pageNo=685", "ON Semiconductor")</f>
        <v>ON Semiconductor</v>
      </c>
      <c r="C24209" s="6">
        <v>10000</v>
      </c>
      <c r="D24209" s="7">
        <v>0.1</v>
      </c>
    </row>
    <row r="24210" spans="1:4" x14ac:dyDescent="0.25">
      <c r="A24210" t="str">
        <f>HYPERLINK("https://www.773grp.com/globalSearch/SPS9384RLRM/page-1", "SPS9384RLRM")</f>
        <v>SPS9384RLRM</v>
      </c>
      <c r="B24210" s="3" t="str">
        <f>HYPERLINK("https://www.773grp.com/manufacturer/onsemi?pageNo=686", "ON Semiconductor")</f>
        <v>ON Semiconductor</v>
      </c>
      <c r="C24210" s="6">
        <v>524000</v>
      </c>
      <c r="D24210" s="7">
        <v>0.1</v>
      </c>
    </row>
    <row r="24211" spans="1:4" x14ac:dyDescent="0.25">
      <c r="A24211" t="str">
        <f>HYPERLINK("https://www.773grp.com/globalSearch/SPS9401QRLRM/page-1", "SPS9401QRLRM")</f>
        <v>SPS9401QRLRM</v>
      </c>
      <c r="B24211" s="3" t="str">
        <f>HYPERLINK("https://www.773grp.com/manufacturer/onsemi?pageNo=687", "ON Semiconductor")</f>
        <v>ON Semiconductor</v>
      </c>
      <c r="C24211" s="6">
        <v>18000</v>
      </c>
      <c r="D24211" s="7">
        <v>0.1</v>
      </c>
    </row>
    <row r="24212" spans="1:4" x14ac:dyDescent="0.25">
      <c r="A24212" t="str">
        <f>HYPERLINK("https://www.773grp.com/globalSearch/SPS9418RLRM/page-1", "SPS9418RLRM")</f>
        <v>SPS9418RLRM</v>
      </c>
      <c r="B24212" s="3" t="str">
        <f>HYPERLINK("https://www.773grp.com/manufacturer/onsemi?pageNo=688", "ON Semiconductor")</f>
        <v>ON Semiconductor</v>
      </c>
      <c r="C24212" s="6">
        <v>20000</v>
      </c>
      <c r="D24212" s="7">
        <v>0.1</v>
      </c>
    </row>
    <row r="24213" spans="1:4" x14ac:dyDescent="0.25">
      <c r="A24213" t="str">
        <f>HYPERLINK("https://www.773grp.com/globalSearch/SPS9499QRLRP/page-1", "SPS9499QRLRP")</f>
        <v>SPS9499QRLRP</v>
      </c>
      <c r="B24213" s="3" t="str">
        <f>HYPERLINK("https://www.773grp.com/manufacturer/onsemi?pageNo=689", "ON Semiconductor")</f>
        <v>ON Semiconductor</v>
      </c>
      <c r="C24213" s="6">
        <v>72000</v>
      </c>
      <c r="D24213" s="7">
        <v>0.1</v>
      </c>
    </row>
    <row r="24214" spans="1:4" x14ac:dyDescent="0.25">
      <c r="A24214" t="str">
        <f>HYPERLINK("https://www.773grp.com/globalSearch/SPS9558RLRA/page-1", "SPS9558RLRA")</f>
        <v>SPS9558RLRA</v>
      </c>
      <c r="B24214" s="3" t="str">
        <f>HYPERLINK("https://www.773grp.com/manufacturer/onsemi?pageNo=690", "ON Semiconductor")</f>
        <v>ON Semiconductor</v>
      </c>
      <c r="C24214" s="6">
        <v>6000</v>
      </c>
      <c r="D24214" s="7">
        <v>0.1</v>
      </c>
    </row>
    <row r="24215" spans="1:4" x14ac:dyDescent="0.25">
      <c r="A24215" t="str">
        <f>HYPERLINK("https://www.773grp.com/globalSearch/SPS9567RLRM/page-1", "SPS9567RLRM")</f>
        <v>SPS9567RLRM</v>
      </c>
      <c r="B24215" s="3" t="str">
        <f>HYPERLINK("https://www.773grp.com/manufacturer/onsemi?pageNo=691", "ON Semiconductor")</f>
        <v>ON Semiconductor</v>
      </c>
      <c r="C24215" s="6">
        <v>20000</v>
      </c>
      <c r="D24215" s="7">
        <v>0.1</v>
      </c>
    </row>
    <row r="24216" spans="1:4" x14ac:dyDescent="0.25">
      <c r="A24216" t="str">
        <f>HYPERLINK("https://www.773grp.com/globalSearch/SPS9575RLRM/page-1", "SPS9575RLRM")</f>
        <v>SPS9575RLRM</v>
      </c>
      <c r="B24216" s="3" t="str">
        <f>HYPERLINK("https://www.773grp.com/manufacturer/onsemi?pageNo=692", "ON Semiconductor")</f>
        <v>ON Semiconductor</v>
      </c>
      <c r="C24216" s="6">
        <v>6000</v>
      </c>
      <c r="D24216" s="7">
        <v>0.1</v>
      </c>
    </row>
    <row r="24217" spans="1:4" x14ac:dyDescent="0.25">
      <c r="A24217" t="str">
        <f>HYPERLINK("https://www.773grp.com/globalSearch/SPS9600RLRE/page-1", "SPS9600RLRE")</f>
        <v>SPS9600RLRE</v>
      </c>
      <c r="B24217" s="3" t="str">
        <f>HYPERLINK("https://www.773grp.com/manufacturer/onsemi?pageNo=693", "ON Semiconductor")</f>
        <v>ON Semiconductor</v>
      </c>
      <c r="C24217" s="6">
        <v>24000</v>
      </c>
      <c r="D24217" s="7">
        <v>0.1</v>
      </c>
    </row>
    <row r="24218" spans="1:4" x14ac:dyDescent="0.25">
      <c r="A24218" t="str">
        <f>HYPERLINK("https://www.773grp.com/globalSearch/SPS9607RLRM/page-1", "SPS9607RLRM")</f>
        <v>SPS9607RLRM</v>
      </c>
      <c r="B24218" s="3" t="str">
        <f>HYPERLINK("https://www.773grp.com/manufacturer/onsemi?pageNo=694", "ON Semiconductor")</f>
        <v>ON Semiconductor</v>
      </c>
      <c r="C24218" s="6">
        <v>42000</v>
      </c>
      <c r="D24218" s="7">
        <v>0.1</v>
      </c>
    </row>
    <row r="24219" spans="1:4" x14ac:dyDescent="0.25">
      <c r="A24219" t="str">
        <f>HYPERLINK("https://www.773grp.com/globalSearch/SSV1BAW56LT1G/page-1", "SSV1BAW56LT1G")</f>
        <v>SSV1BAW56LT1G</v>
      </c>
      <c r="B24219" s="3" t="str">
        <f>HYPERLINK("https://www.773grp.com/manufacturer/onsemi?pageNo=695", "ON Semiconductor")</f>
        <v>ON Semiconductor</v>
      </c>
      <c r="C24219" s="6">
        <v>6000</v>
      </c>
      <c r="D24219" s="7">
        <v>0.1</v>
      </c>
    </row>
    <row r="24220" spans="1:4" x14ac:dyDescent="0.25">
      <c r="A24220" t="str">
        <f>HYPERLINK("https://www.773grp.com/globalSearch/SSV1MPSA06/page-1", "SSV1MPSA06")</f>
        <v>SSV1MPSA06</v>
      </c>
      <c r="B24220" s="3" t="str">
        <f>HYPERLINK("https://www.773grp.com/manufacturer/onsemi?pageNo=696", "ON Semiconductor")</f>
        <v>ON Semiconductor</v>
      </c>
      <c r="C24220" s="6">
        <v>317000</v>
      </c>
      <c r="D24220" s="7">
        <v>0.1</v>
      </c>
    </row>
    <row r="24221" spans="1:4" x14ac:dyDescent="0.25">
      <c r="A24221" t="str">
        <f>HYPERLINK("https://www.773grp.com/globalSearch/SSV1MPSA06RLRA/page-1", "SSV1MPSA06RLRA")</f>
        <v>SSV1MPSA06RLRA</v>
      </c>
      <c r="B24221" s="3" t="str">
        <f>HYPERLINK("https://www.773grp.com/manufacturer/onsemi?pageNo=697", "ON Semiconductor")</f>
        <v>ON Semiconductor</v>
      </c>
      <c r="C24221" s="6">
        <v>4000</v>
      </c>
      <c r="D24221" s="7">
        <v>0.1</v>
      </c>
    </row>
    <row r="24222" spans="1:4" x14ac:dyDescent="0.25">
      <c r="A24222" t="str">
        <f>HYPERLINK("https://www.773grp.com/globalSearch/SUY98001FCT1/page-1", "SUY98001FCT1")</f>
        <v>SUY98001FCT1</v>
      </c>
      <c r="B24222" s="3" t="str">
        <f>HYPERLINK("https://www.773grp.com/manufacturer/onsemi?pageNo=698", "ON Semiconductor")</f>
        <v>ON Semiconductor</v>
      </c>
      <c r="C24222" s="6">
        <v>497509</v>
      </c>
      <c r="D24222" s="7">
        <v>0.1</v>
      </c>
    </row>
    <row r="24223" spans="1:4" x14ac:dyDescent="0.25">
      <c r="A24223" t="str">
        <f>HYPERLINK("https://www.773grp.com/globalSearch/SZ1SMB5926BT3/page-1", "SZ1SMB5926BT3")</f>
        <v>SZ1SMB5926BT3</v>
      </c>
      <c r="B24223" s="3" t="str">
        <f>HYPERLINK("https://www.773grp.com/manufacturer/onsemi?pageNo=699", "ON Semiconductor")</f>
        <v>ON Semiconductor</v>
      </c>
      <c r="C24223" s="6">
        <v>15000</v>
      </c>
      <c r="D24223" s="7">
        <v>0.1</v>
      </c>
    </row>
    <row r="24224" spans="1:4" x14ac:dyDescent="0.25">
      <c r="A24224" t="str">
        <f>HYPERLINK("https://www.773grp.com/globalSearch/SZ1SMB5931BT3/page-1", "SZ1SMB5931BT3")</f>
        <v>SZ1SMB5931BT3</v>
      </c>
      <c r="B24224" s="3" t="str">
        <f>HYPERLINK("https://www.773grp.com/manufacturer/onsemi?pageNo=700", "ON Semiconductor")</f>
        <v>ON Semiconductor</v>
      </c>
      <c r="C24224" s="6">
        <v>22500</v>
      </c>
      <c r="D24224" s="7">
        <v>0.1</v>
      </c>
    </row>
    <row r="24225" spans="1:5" x14ac:dyDescent="0.25">
      <c r="A24225" t="str">
        <f>HYPERLINK("https://www.773grp.com/globalSearch/SZ1SMB5952BT3/page-1", "SZ1SMB5952BT3")</f>
        <v>SZ1SMB5952BT3</v>
      </c>
      <c r="B24225" s="3" t="str">
        <f>HYPERLINK("https://www.773grp.com/manufacturer/onsemi?pageNo=701", "ON Semiconductor")</f>
        <v>ON Semiconductor</v>
      </c>
      <c r="C24225" s="6">
        <v>10000</v>
      </c>
      <c r="D24225" s="7">
        <v>0.1</v>
      </c>
    </row>
    <row r="24226" spans="1:5" x14ac:dyDescent="0.25">
      <c r="A24226" t="str">
        <f>HYPERLINK("https://www.773grp.com/globalSearch/SZ2570-18T3/page-1", "SZ2570-18T3")</f>
        <v>SZ2570-18T3</v>
      </c>
      <c r="B24226" s="3" t="str">
        <f>HYPERLINK("https://www.773grp.com/manufacturer/onsemi?pageNo=702", "ON Semiconductor")</f>
        <v>ON Semiconductor</v>
      </c>
      <c r="C24226" s="6">
        <v>17500</v>
      </c>
      <c r="D24226" s="7">
        <v>0.1</v>
      </c>
    </row>
    <row r="24227" spans="1:5" x14ac:dyDescent="0.25">
      <c r="A24227" t="str">
        <f>HYPERLINK("https://www.773grp.com/globalSearch/SZ2640-48T3/page-1", "SZ2640-48T3")</f>
        <v>SZ2640-48T3</v>
      </c>
      <c r="B24227" s="3" t="str">
        <f>HYPERLINK("https://www.773grp.com/manufacturer/onsemi?pageNo=703", "ON Semiconductor")</f>
        <v>ON Semiconductor</v>
      </c>
      <c r="C24227" s="6">
        <v>2500</v>
      </c>
      <c r="D24227" s="7">
        <v>0.1</v>
      </c>
    </row>
    <row r="24228" spans="1:5" x14ac:dyDescent="0.25">
      <c r="A24228" t="str">
        <f>HYPERLINK("https://www.773grp.com/globalSearch/SZ2721T3/page-1", "SZ2721T3")</f>
        <v>SZ2721T3</v>
      </c>
      <c r="B24228" s="3" t="str">
        <f>HYPERLINK("https://www.773grp.com/manufacturer/onsemi?pageNo=704", "ON Semiconductor")</f>
        <v>ON Semiconductor</v>
      </c>
      <c r="C24228" s="6">
        <v>22500</v>
      </c>
      <c r="D24228" s="7">
        <v>0.1</v>
      </c>
    </row>
    <row r="24229" spans="1:5" x14ac:dyDescent="0.25">
      <c r="A24229" t="str">
        <f>HYPERLINK("https://www.773grp.com/globalSearch/SZ2889AT3/page-1", "SZ2889AT3")</f>
        <v>SZ2889AT3</v>
      </c>
      <c r="B24229" s="3" t="str">
        <f>HYPERLINK("https://www.773grp.com/manufacturer/onsemi?pageNo=705", "ON Semiconductor")</f>
        <v>ON Semiconductor</v>
      </c>
      <c r="C24229" s="6">
        <v>37500</v>
      </c>
      <c r="D24229" s="7">
        <v>0.1</v>
      </c>
    </row>
    <row r="24230" spans="1:5" x14ac:dyDescent="0.25">
      <c r="A24230" t="str">
        <f>HYPERLINK("https://www.773grp.com/globalSearch/SZ30035-27RL/page-1", "SZ30035-27RL")</f>
        <v>SZ30035-27RL</v>
      </c>
      <c r="B24230" s="3" t="str">
        <f>HYPERLINK("https://www.773grp.com/manufacturer/onsemi?pageNo=706", "ON Semiconductor")</f>
        <v>ON Semiconductor</v>
      </c>
      <c r="C24230" s="6">
        <v>5000</v>
      </c>
      <c r="D24230" s="7">
        <v>0.1</v>
      </c>
    </row>
    <row r="24231" spans="1:5" x14ac:dyDescent="0.25">
      <c r="A24231" t="str">
        <f>HYPERLINK("https://www.773grp.com/globalSearch/SZBZX84C22ET1G/page-1", "SZBZX84C22ET1G")</f>
        <v>SZBZX84C22ET1G</v>
      </c>
      <c r="B24231" s="3" t="str">
        <f>HYPERLINK("https://www.773grp.com/manufacturer/onsemi?pageNo=707", "ON Semiconductor")</f>
        <v>ON Semiconductor</v>
      </c>
      <c r="C24231" s="6">
        <v>33000</v>
      </c>
      <c r="D24231" s="7">
        <v>0.1</v>
      </c>
    </row>
    <row r="24232" spans="1:5" x14ac:dyDescent="0.25">
      <c r="A24232" t="str">
        <f>HYPERLINK("https://www.773grp.com/globalSearch/SZBZX84C24LT1/page-1", "SZBZX84C24LT1")</f>
        <v>SZBZX84C24LT1</v>
      </c>
      <c r="B24232" s="3" t="str">
        <f>HYPERLINK("https://www.773grp.com/manufacturer/onsemi?pageNo=708", "ON Semiconductor")</f>
        <v>ON Semiconductor</v>
      </c>
      <c r="C24232" s="6">
        <v>48000</v>
      </c>
      <c r="D24232" s="7">
        <v>0.1</v>
      </c>
      <c r="E24232" t="s">
        <v>98</v>
      </c>
    </row>
    <row r="24233" spans="1:5" x14ac:dyDescent="0.25">
      <c r="A24233" t="str">
        <f>HYPERLINK("https://www.773grp.com/globalSearch/SZBZX84C7V5ET1G/page-1", "SZBZX84C7V5ET1G")</f>
        <v>SZBZX84C7V5ET1G</v>
      </c>
      <c r="B24233" s="3" t="str">
        <f>HYPERLINK("https://www.773grp.com/manufacturer/onsemi?pageNo=709", "ON Semiconductor")</f>
        <v>ON Semiconductor</v>
      </c>
      <c r="C24233" s="6">
        <v>3000</v>
      </c>
      <c r="D24233" s="7">
        <v>0.1</v>
      </c>
    </row>
    <row r="24234" spans="1:5" x14ac:dyDescent="0.25">
      <c r="A24234" t="str">
        <f>HYPERLINK("https://www.773grp.com/globalSearch/SZMM3Z22VT1/page-1", "SZMM3Z22VT1")</f>
        <v>SZMM3Z22VT1</v>
      </c>
      <c r="B24234" s="3" t="str">
        <f>HYPERLINK("https://www.773grp.com/manufacturer/onsemi?pageNo=710", "ON Semiconductor")</f>
        <v>ON Semiconductor</v>
      </c>
      <c r="C24234" s="6">
        <v>15000</v>
      </c>
      <c r="D24234" s="7">
        <v>0.1</v>
      </c>
    </row>
    <row r="24235" spans="1:5" x14ac:dyDescent="0.25">
      <c r="A24235" t="str">
        <f>HYPERLINK("https://www.773grp.com/globalSearch/SZMM3Z4V7T1G/page-1", "SZMM3Z4V7T1G")</f>
        <v>SZMM3Z4V7T1G</v>
      </c>
      <c r="B24235" s="3" t="str">
        <f>HYPERLINK("https://www.773grp.com/manufacturer/onsemi?pageNo=711", "ON Semiconductor")</f>
        <v>ON Semiconductor</v>
      </c>
      <c r="C24235" s="6">
        <v>24000</v>
      </c>
      <c r="D24235" s="7">
        <v>0.1</v>
      </c>
    </row>
    <row r="24236" spans="1:5" x14ac:dyDescent="0.25">
      <c r="A24236" t="str">
        <f>HYPERLINK("https://www.773grp.com/globalSearch/SZMM3Z8V2T1G/page-1", "SZMM3Z8V2T1G")</f>
        <v>SZMM3Z8V2T1G</v>
      </c>
      <c r="B24236" s="3" t="str">
        <f>HYPERLINK("https://www.773grp.com/manufacturer/onsemi?pageNo=712", "ON Semiconductor")</f>
        <v>ON Semiconductor</v>
      </c>
      <c r="C24236" s="6">
        <v>15000</v>
      </c>
      <c r="D24236" s="7">
        <v>0.1</v>
      </c>
    </row>
    <row r="24237" spans="1:5" x14ac:dyDescent="0.25">
      <c r="A24237" t="str">
        <f>HYPERLINK("https://www.773grp.com/globalSearch/SZMMBZ5240BLT1/page-1", "SZMMBZ5240BLT1")</f>
        <v>SZMMBZ5240BLT1</v>
      </c>
      <c r="B24237" s="3" t="str">
        <f>HYPERLINK("https://www.773grp.com/manufacturer/onsemi?pageNo=713", "ON Semiconductor")</f>
        <v>ON Semiconductor</v>
      </c>
      <c r="C24237" s="6">
        <v>45000</v>
      </c>
      <c r="D24237" s="7">
        <v>0.1</v>
      </c>
      <c r="E24237" t="s">
        <v>98</v>
      </c>
    </row>
    <row r="24238" spans="1:5" x14ac:dyDescent="0.25">
      <c r="A24238" t="str">
        <f>HYPERLINK("https://www.773grp.com/globalSearch/SZMMSZ13T1/page-1", "SZMMSZ13T1")</f>
        <v>SZMMSZ13T1</v>
      </c>
      <c r="B24238" s="3" t="str">
        <f>HYPERLINK("https://www.773grp.com/manufacturer/onsemi?pageNo=714", "ON Semiconductor")</f>
        <v>ON Semiconductor</v>
      </c>
      <c r="C24238" s="6">
        <v>441000</v>
      </c>
      <c r="D24238" s="7">
        <v>0.1</v>
      </c>
    </row>
    <row r="24239" spans="1:5" x14ac:dyDescent="0.25">
      <c r="A24239" t="str">
        <f>HYPERLINK("https://www.773grp.com/globalSearch/SZMMSZ18T1/page-1", "SZMMSZ18T1")</f>
        <v>SZMMSZ18T1</v>
      </c>
      <c r="B24239" s="3" t="str">
        <f>HYPERLINK("https://www.773grp.com/manufacturer/onsemi?pageNo=715", "ON Semiconductor")</f>
        <v>ON Semiconductor</v>
      </c>
      <c r="C24239" s="6">
        <v>18000</v>
      </c>
      <c r="D24239" s="7">
        <v>0.1</v>
      </c>
    </row>
    <row r="24240" spans="1:5" x14ac:dyDescent="0.25">
      <c r="A24240" t="str">
        <f>HYPERLINK("https://www.773grp.com/globalSearch/SZMMSZ33T1/page-1", "SZMMSZ33T1")</f>
        <v>SZMMSZ33T1</v>
      </c>
      <c r="B24240" s="3" t="str">
        <f>HYPERLINK("https://www.773grp.com/manufacturer/onsemi?pageNo=716", "ON Semiconductor")</f>
        <v>ON Semiconductor</v>
      </c>
      <c r="C24240" s="6">
        <v>9000</v>
      </c>
      <c r="D24240" s="7">
        <v>0.1</v>
      </c>
    </row>
    <row r="24241" spans="1:5" x14ac:dyDescent="0.25">
      <c r="A24241" t="str">
        <f>HYPERLINK("https://www.773grp.com/globalSearch/SZMMSZ36T1/page-1", "SZMMSZ36T1")</f>
        <v>SZMMSZ36T1</v>
      </c>
      <c r="B24241" s="3" t="str">
        <f>HYPERLINK("https://www.773grp.com/manufacturer/onsemi?pageNo=717", "ON Semiconductor")</f>
        <v>ON Semiconductor</v>
      </c>
      <c r="C24241" s="6">
        <v>18000</v>
      </c>
      <c r="D24241" s="7">
        <v>0.1</v>
      </c>
    </row>
    <row r="24242" spans="1:5" x14ac:dyDescent="0.25">
      <c r="A24242" t="str">
        <f>HYPERLINK("https://www.773grp.com/globalSearch/SZMMSZ5234BT1/page-1", "SZMMSZ5234BT1")</f>
        <v>SZMMSZ5234BT1</v>
      </c>
      <c r="B24242" s="3" t="str">
        <f>HYPERLINK("https://www.773grp.com/manufacturer/onsemi?pageNo=718", "ON Semiconductor")</f>
        <v>ON Semiconductor</v>
      </c>
      <c r="C24242" s="6">
        <v>9000</v>
      </c>
      <c r="D24242" s="7">
        <v>0.1</v>
      </c>
    </row>
    <row r="24243" spans="1:5" x14ac:dyDescent="0.25">
      <c r="A24243" t="str">
        <f>HYPERLINK("https://www.773grp.com/globalSearch/SZMMSZ5V6T1/page-1", "SZMMSZ5V6T1")</f>
        <v>SZMMSZ5V6T1</v>
      </c>
      <c r="B24243" s="3" t="str">
        <f>HYPERLINK("https://www.773grp.com/manufacturer/onsemi?pageNo=719", "ON Semiconductor")</f>
        <v>ON Semiconductor</v>
      </c>
      <c r="C24243" s="6">
        <v>9000</v>
      </c>
      <c r="D24243" s="7">
        <v>0.1</v>
      </c>
    </row>
    <row r="24244" spans="1:5" x14ac:dyDescent="0.25">
      <c r="A24244" t="str">
        <f>HYPERLINK("https://www.773grp.com/globalSearch/SZMMSZ7V5T1/page-1", "SZMMSZ7V5T1")</f>
        <v>SZMMSZ7V5T1</v>
      </c>
      <c r="B24244" s="3" t="str">
        <f>HYPERLINK("https://www.773grp.com/manufacturer/onsemi?pageNo=720", "ON Semiconductor")</f>
        <v>ON Semiconductor</v>
      </c>
      <c r="C24244" s="6">
        <v>9000</v>
      </c>
      <c r="D24244" s="7">
        <v>0.1</v>
      </c>
    </row>
    <row r="24245" spans="1:5" x14ac:dyDescent="0.25">
      <c r="A24245" t="str">
        <f>HYPERLINK("https://www.773grp.com/globalSearch/SZP6SMB160AT3/page-1", "SZP6SMB160AT3")</f>
        <v>SZP6SMB160AT3</v>
      </c>
      <c r="B24245" s="3" t="str">
        <f>HYPERLINK("https://www.773grp.com/manufacturer/onsemi?pageNo=721", "ON Semiconductor")</f>
        <v>ON Semiconductor</v>
      </c>
      <c r="C24245" s="6">
        <v>50500</v>
      </c>
      <c r="D24245" s="7">
        <v>0.1</v>
      </c>
    </row>
    <row r="24246" spans="1:5" x14ac:dyDescent="0.25">
      <c r="A24246" t="str">
        <f>HYPERLINK("https://www.773grp.com/globalSearch/SZP6SMB18AT3/page-1", "SZP6SMB18AT3")</f>
        <v>SZP6SMB18AT3</v>
      </c>
      <c r="B24246" s="3" t="str">
        <f>HYPERLINK("https://www.773grp.com/manufacturer/onsemi?pageNo=722", "ON Semiconductor")</f>
        <v>ON Semiconductor</v>
      </c>
      <c r="C24246" s="6">
        <v>150000</v>
      </c>
      <c r="D24246" s="7">
        <v>0.1</v>
      </c>
    </row>
    <row r="24247" spans="1:5" x14ac:dyDescent="0.25">
      <c r="A24247" t="str">
        <f>HYPERLINK("https://www.773grp.com/globalSearch/SZP6SMB200AT3/page-1", "SZP6SMB200AT3")</f>
        <v>SZP6SMB200AT3</v>
      </c>
      <c r="B24247" s="3" t="str">
        <f>HYPERLINK("https://www.773grp.com/manufacturer/onsemi?pageNo=723", "ON Semiconductor")</f>
        <v>ON Semiconductor</v>
      </c>
      <c r="C24247" s="6">
        <v>2500</v>
      </c>
      <c r="D24247" s="7">
        <v>0.1</v>
      </c>
    </row>
    <row r="24248" spans="1:5" x14ac:dyDescent="0.25">
      <c r="A24248" t="str">
        <f>HYPERLINK("https://www.773grp.com/globalSearch/UESD3.3ST5G/page-1", "UESD3.3ST5G")</f>
        <v>UESD3.3ST5G</v>
      </c>
      <c r="B24248" s="3" t="str">
        <f>HYPERLINK("https://www.773grp.com/manufacturer/onsemi?pageNo=724", "ON Semiconductor")</f>
        <v>ON Semiconductor</v>
      </c>
      <c r="C24248" s="6">
        <v>27930</v>
      </c>
      <c r="D24248" s="7">
        <v>0.1</v>
      </c>
      <c r="E24248" t="s">
        <v>96</v>
      </c>
    </row>
    <row r="24249" spans="1:5" x14ac:dyDescent="0.25">
      <c r="A24249" t="str">
        <f>HYPERLINK("https://www.773grp.com/globalSearch/UMZ1NT1/page-1", "UMZ1NT1")</f>
        <v>UMZ1NT1</v>
      </c>
      <c r="B24249" s="3" t="str">
        <f>HYPERLINK("https://www.773grp.com/manufacturer/onsemi?pageNo=725", "ON Semiconductor")</f>
        <v>ON Semiconductor</v>
      </c>
      <c r="C24249" s="6">
        <v>83960</v>
      </c>
      <c r="D24249" s="7">
        <v>0.1</v>
      </c>
      <c r="E24249" t="s">
        <v>69</v>
      </c>
    </row>
    <row r="24250" spans="1:5" x14ac:dyDescent="0.25">
      <c r="A24250" t="str">
        <f>HYPERLINK("https://www.773grp.com/globalSearch/1N4751ARL/page-1", "1N4751ARL")</f>
        <v>1N4751ARL</v>
      </c>
      <c r="B24250" s="3" t="str">
        <f>HYPERLINK("https://www.773grp.com/manufacturer/onsemi?pageNo=726", "ON Semiconductor")</f>
        <v>ON Semiconductor</v>
      </c>
      <c r="C24250" s="6">
        <v>6000</v>
      </c>
      <c r="D24250" s="7">
        <v>0.15</v>
      </c>
      <c r="E24250" t="s">
        <v>98</v>
      </c>
    </row>
    <row r="24251" spans="1:5" x14ac:dyDescent="0.25">
      <c r="A24251" t="str">
        <f>HYPERLINK("https://www.773grp.com/globalSearch/1N4933G/page-1", "1N4933G")</f>
        <v>1N4933G</v>
      </c>
      <c r="B24251" s="3" t="str">
        <f>HYPERLINK("https://www.773grp.com/manufacturer/onsemi?pageNo=727", "ON Semiconductor")</f>
        <v>ON Semiconductor</v>
      </c>
      <c r="C24251" s="6">
        <v>78000</v>
      </c>
      <c r="D24251" s="7">
        <v>0.15</v>
      </c>
      <c r="E24251" t="s">
        <v>94</v>
      </c>
    </row>
    <row r="24252" spans="1:5" x14ac:dyDescent="0.25">
      <c r="A24252" t="str">
        <f>HYPERLINK("https://www.773grp.com/globalSearch/1N4933RLG/page-1", "1N4933RLG")</f>
        <v>1N4933RLG</v>
      </c>
      <c r="B24252" s="3" t="str">
        <f>HYPERLINK("https://www.773grp.com/manufacturer/onsemi?pageNo=728", "ON Semiconductor")</f>
        <v>ON Semiconductor</v>
      </c>
      <c r="C24252" s="6">
        <v>20000</v>
      </c>
      <c r="D24252" s="7">
        <v>0.15</v>
      </c>
      <c r="E24252" t="s">
        <v>94</v>
      </c>
    </row>
    <row r="24253" spans="1:5" x14ac:dyDescent="0.25">
      <c r="A24253" t="str">
        <f>HYPERLINK("https://www.773grp.com/globalSearch/1N4934G/page-1", "1N4934G")</f>
        <v>1N4934G</v>
      </c>
      <c r="B24253" s="3" t="str">
        <f>HYPERLINK("https://www.773grp.com/manufacturer/onsemi?pageNo=729", "ON Semiconductor")</f>
        <v>ON Semiconductor</v>
      </c>
      <c r="C24253" s="6">
        <v>41072</v>
      </c>
      <c r="D24253" s="7">
        <v>0.15</v>
      </c>
      <c r="E24253" t="s">
        <v>94</v>
      </c>
    </row>
    <row r="24254" spans="1:5" x14ac:dyDescent="0.25">
      <c r="A24254" t="str">
        <f>HYPERLINK("https://www.773grp.com/globalSearch/1N4934RLG/page-1", "1N4934RLG")</f>
        <v>1N4934RLG</v>
      </c>
      <c r="B24254" s="3" t="str">
        <f>HYPERLINK("https://www.773grp.com/manufacturer/onsemi?pageNo=730", "ON Semiconductor")</f>
        <v>ON Semiconductor</v>
      </c>
      <c r="C24254" s="6">
        <v>45000</v>
      </c>
      <c r="D24254" s="7">
        <v>0.15</v>
      </c>
      <c r="E24254" t="s">
        <v>94</v>
      </c>
    </row>
    <row r="24255" spans="1:5" x14ac:dyDescent="0.25">
      <c r="A24255" t="str">
        <f>HYPERLINK("https://www.773grp.com/globalSearch/1N4935G/page-1", "1N4935G")</f>
        <v>1N4935G</v>
      </c>
      <c r="B24255" s="3" t="str">
        <f>HYPERLINK("https://www.773grp.com/manufacturer/onsemi?pageNo=731", "ON Semiconductor")</f>
        <v>ON Semiconductor</v>
      </c>
      <c r="C24255" s="6">
        <v>93541</v>
      </c>
      <c r="D24255" s="7">
        <v>0.15</v>
      </c>
      <c r="E24255" t="s">
        <v>94</v>
      </c>
    </row>
    <row r="24256" spans="1:5" x14ac:dyDescent="0.25">
      <c r="A24256" t="str">
        <f>HYPERLINK("https://www.773grp.com/globalSearch/1N4935RLG/page-1", "1N4935RLG")</f>
        <v>1N4935RLG</v>
      </c>
      <c r="B24256" s="3" t="str">
        <f>HYPERLINK("https://www.773grp.com/manufacturer/onsemi?pageNo=732", "ON Semiconductor")</f>
        <v>ON Semiconductor</v>
      </c>
      <c r="C24256" s="6">
        <v>70000</v>
      </c>
      <c r="D24256" s="7">
        <v>0.15</v>
      </c>
      <c r="E24256" t="s">
        <v>94</v>
      </c>
    </row>
    <row r="24257" spans="1:5" x14ac:dyDescent="0.25">
      <c r="A24257" t="str">
        <f>HYPERLINK("https://www.773grp.com/globalSearch/1N4936G/page-1", "1N4936G")</f>
        <v>1N4936G</v>
      </c>
      <c r="B24257" s="3" t="str">
        <f>HYPERLINK("https://www.773grp.com/manufacturer/onsemi?pageNo=733", "ON Semiconductor")</f>
        <v>ON Semiconductor</v>
      </c>
      <c r="C24257" s="6">
        <v>14000</v>
      </c>
      <c r="D24257" s="7">
        <v>0.15</v>
      </c>
      <c r="E24257" t="s">
        <v>94</v>
      </c>
    </row>
    <row r="24258" spans="1:5" x14ac:dyDescent="0.25">
      <c r="A24258" t="str">
        <f>HYPERLINK("https://www.773grp.com/globalSearch/1N4936RLG/page-1", "1N4936RLG")</f>
        <v>1N4936RLG</v>
      </c>
      <c r="B24258" s="3" t="str">
        <f>HYPERLINK("https://www.773grp.com/manufacturer/onsemi?pageNo=734", "ON Semiconductor")</f>
        <v>ON Semiconductor</v>
      </c>
      <c r="C24258" s="6">
        <v>79310</v>
      </c>
      <c r="D24258" s="7">
        <v>0.15</v>
      </c>
      <c r="E24258" t="s">
        <v>94</v>
      </c>
    </row>
    <row r="24259" spans="1:5" x14ac:dyDescent="0.25">
      <c r="A24259" t="str">
        <f>HYPERLINK("https://www.773grp.com/globalSearch/1N4937G/page-1", "1N4937G")</f>
        <v>1N4937G</v>
      </c>
      <c r="B24259" s="3" t="str">
        <f>HYPERLINK("https://www.773grp.com/manufacturer/onsemi?pageNo=735", "ON Semiconductor")</f>
        <v>ON Semiconductor</v>
      </c>
      <c r="C24259" s="6">
        <v>60635</v>
      </c>
      <c r="D24259" s="7">
        <v>0.15</v>
      </c>
      <c r="E24259" t="s">
        <v>94</v>
      </c>
    </row>
    <row r="24260" spans="1:5" x14ac:dyDescent="0.25">
      <c r="A24260" t="str">
        <f>HYPERLINK("https://www.773grp.com/globalSearch/1N4937RLG/page-1", "1N4937RLG")</f>
        <v>1N4937RLG</v>
      </c>
      <c r="B24260" s="3" t="str">
        <f>HYPERLINK("https://www.773grp.com/manufacturer/onsemi?pageNo=736", "ON Semiconductor")</f>
        <v>ON Semiconductor</v>
      </c>
      <c r="C24260" s="6">
        <v>233001</v>
      </c>
      <c r="D24260" s="7">
        <v>0.15</v>
      </c>
      <c r="E24260" t="s">
        <v>94</v>
      </c>
    </row>
    <row r="24261" spans="1:5" x14ac:dyDescent="0.25">
      <c r="A24261" t="str">
        <f>HYPERLINK("https://www.773grp.com/globalSearch/1N5400/page-1", "1N5400")</f>
        <v>1N5400</v>
      </c>
      <c r="B24261" s="3" t="str">
        <f>HYPERLINK("https://www.773grp.com/manufacturer/onsemi?pageNo=737", "ON Semiconductor")</f>
        <v>ON Semiconductor</v>
      </c>
      <c r="C24261" s="6">
        <v>2000</v>
      </c>
      <c r="D24261" s="7">
        <v>0.15</v>
      </c>
      <c r="E24261" t="s">
        <v>103</v>
      </c>
    </row>
    <row r="24262" spans="1:5" x14ac:dyDescent="0.25">
      <c r="A24262" t="str">
        <f>HYPERLINK("https://www.773grp.com/globalSearch/1N5400RL/page-1", "1N5400RL")</f>
        <v>1N5400RL</v>
      </c>
      <c r="B24262" s="3" t="str">
        <f>HYPERLINK("https://www.773grp.com/manufacturer/onsemi?pageNo=738", "ON Semiconductor")</f>
        <v>ON Semiconductor</v>
      </c>
      <c r="C24262" s="6">
        <v>1200</v>
      </c>
      <c r="D24262" s="7">
        <v>0.15</v>
      </c>
      <c r="E24262" t="s">
        <v>103</v>
      </c>
    </row>
    <row r="24263" spans="1:5" x14ac:dyDescent="0.25">
      <c r="A24263" t="str">
        <f>HYPERLINK("https://www.773grp.com/globalSearch/1N5401/page-1", "1N5401")</f>
        <v>1N5401</v>
      </c>
      <c r="B24263" s="3" t="str">
        <f>HYPERLINK("https://www.773grp.com/manufacturer/onsemi?pageNo=739", "ON Semiconductor")</f>
        <v>ON Semiconductor</v>
      </c>
      <c r="C24263" s="6">
        <v>77</v>
      </c>
      <c r="D24263" s="7">
        <v>0.15</v>
      </c>
      <c r="E24263" t="s">
        <v>103</v>
      </c>
    </row>
    <row r="24264" spans="1:5" x14ac:dyDescent="0.25">
      <c r="A24264" t="str">
        <f>HYPERLINK("https://www.773grp.com/globalSearch/1N5401RL/page-1", "1N5401RL")</f>
        <v>1N5401RL</v>
      </c>
      <c r="B24264" s="3" t="str">
        <f>HYPERLINK("https://www.773grp.com/manufacturer/onsemi?pageNo=740", "ON Semiconductor")</f>
        <v>ON Semiconductor</v>
      </c>
      <c r="C24264" s="6">
        <v>7600</v>
      </c>
      <c r="D24264" s="7">
        <v>0.15</v>
      </c>
      <c r="E24264" t="s">
        <v>103</v>
      </c>
    </row>
    <row r="24265" spans="1:5" x14ac:dyDescent="0.25">
      <c r="A24265" t="str">
        <f>HYPERLINK("https://www.773grp.com/globalSearch/1N5402RL/page-1", "1N5402RL")</f>
        <v>1N5402RL</v>
      </c>
      <c r="B24265" s="3" t="str">
        <f>HYPERLINK("https://www.773grp.com/manufacturer/onsemi?pageNo=741", "ON Semiconductor")</f>
        <v>ON Semiconductor</v>
      </c>
      <c r="C24265" s="6">
        <v>6000</v>
      </c>
      <c r="D24265" s="7">
        <v>0.15</v>
      </c>
      <c r="E24265" t="s">
        <v>103</v>
      </c>
    </row>
    <row r="24266" spans="1:5" x14ac:dyDescent="0.25">
      <c r="A24266" t="str">
        <f>HYPERLINK("https://www.773grp.com/globalSearch/1N5404/page-1", "1N5404")</f>
        <v>1N5404</v>
      </c>
      <c r="B24266" s="3" t="str">
        <f>HYPERLINK("https://www.773grp.com/manufacturer/onsemi?pageNo=742", "ON Semiconductor")</f>
        <v>ON Semiconductor</v>
      </c>
      <c r="C24266" s="6">
        <v>50000</v>
      </c>
      <c r="D24266" s="7">
        <v>0.15</v>
      </c>
      <c r="E24266" t="s">
        <v>103</v>
      </c>
    </row>
    <row r="24267" spans="1:5" x14ac:dyDescent="0.25">
      <c r="A24267" t="str">
        <f>HYPERLINK("https://www.773grp.com/globalSearch/1N5406/page-1", "1N5406")</f>
        <v>1N5406</v>
      </c>
      <c r="B24267" s="3" t="str">
        <f>HYPERLINK("https://www.773grp.com/manufacturer/onsemi?pageNo=743", "ON Semiconductor")</f>
        <v>ON Semiconductor</v>
      </c>
      <c r="C24267" s="6">
        <v>1847</v>
      </c>
      <c r="D24267" s="7">
        <v>0.15</v>
      </c>
      <c r="E24267" t="s">
        <v>103</v>
      </c>
    </row>
    <row r="24268" spans="1:5" x14ac:dyDescent="0.25">
      <c r="A24268" t="str">
        <f>HYPERLINK("https://www.773grp.com/globalSearch/1N5406RL/page-1", "1N5406RL")</f>
        <v>1N5406RL</v>
      </c>
      <c r="B24268" s="3" t="str">
        <f>HYPERLINK("https://www.773grp.com/manufacturer/onsemi?pageNo=744", "ON Semiconductor")</f>
        <v>ON Semiconductor</v>
      </c>
      <c r="C24268" s="6">
        <v>1070</v>
      </c>
      <c r="D24268" s="7">
        <v>0.15</v>
      </c>
      <c r="E24268" t="s">
        <v>103</v>
      </c>
    </row>
    <row r="24269" spans="1:5" x14ac:dyDescent="0.25">
      <c r="A24269" t="str">
        <f>HYPERLINK("https://www.773grp.com/globalSearch/1N5407RL/page-1", "1N5407RL")</f>
        <v>1N5407RL</v>
      </c>
      <c r="B24269" s="3" t="str">
        <f>HYPERLINK("https://www.773grp.com/manufacturer/onsemi?pageNo=745", "ON Semiconductor")</f>
        <v>ON Semiconductor</v>
      </c>
      <c r="C24269" s="6">
        <v>15600</v>
      </c>
      <c r="D24269" s="7">
        <v>0.15</v>
      </c>
      <c r="E24269" t="s">
        <v>103</v>
      </c>
    </row>
    <row r="24270" spans="1:5" x14ac:dyDescent="0.25">
      <c r="A24270" t="str">
        <f>HYPERLINK("https://www.773grp.com/globalSearch/1N957B/page-1", "1N957B")</f>
        <v>1N957B</v>
      </c>
      <c r="B24270" s="3" t="str">
        <f>HYPERLINK("https://www.773grp.com/manufacturer/onsemi?pageNo=746", "ON Semiconductor")</f>
        <v>ON Semiconductor</v>
      </c>
      <c r="C24270" s="6">
        <v>40438</v>
      </c>
      <c r="D24270" s="7">
        <v>0.15</v>
      </c>
      <c r="E24270" t="s">
        <v>98</v>
      </c>
    </row>
    <row r="24271" spans="1:5" x14ac:dyDescent="0.25">
      <c r="A24271" t="str">
        <f>HYPERLINK("https://www.773grp.com/globalSearch/1N967B/page-1", "1N967B")</f>
        <v>1N967B</v>
      </c>
      <c r="B24271" s="3" t="str">
        <f>HYPERLINK("https://www.773grp.com/manufacturer/onsemi?pageNo=747", "ON Semiconductor")</f>
        <v>ON Semiconductor</v>
      </c>
      <c r="C24271" s="6">
        <v>55025</v>
      </c>
      <c r="D24271" s="7">
        <v>0.15</v>
      </c>
      <c r="E24271" t="s">
        <v>98</v>
      </c>
    </row>
    <row r="24272" spans="1:5" x14ac:dyDescent="0.25">
      <c r="A24272" t="str">
        <f>HYPERLINK("https://www.773grp.com/globalSearch/2N4123RLRM/page-1", "2N4123RLRM")</f>
        <v>2N4123RLRM</v>
      </c>
      <c r="B24272" s="3" t="str">
        <f>HYPERLINK("https://www.773grp.com/manufacturer/onsemi?pageNo=748", "ON Semiconductor")</f>
        <v>ON Semiconductor</v>
      </c>
      <c r="C24272" s="6">
        <v>180331</v>
      </c>
      <c r="D24272" s="7">
        <v>0.15</v>
      </c>
      <c r="E24272" t="s">
        <v>69</v>
      </c>
    </row>
    <row r="24273" spans="1:5" x14ac:dyDescent="0.25">
      <c r="A24273" t="str">
        <f>HYPERLINK("https://www.773grp.com/globalSearch/2N4125RLRA/page-1", "2N4125RLRA")</f>
        <v>2N4125RLRA</v>
      </c>
      <c r="B24273" s="3" t="str">
        <f>HYPERLINK("https://www.773grp.com/manufacturer/onsemi?pageNo=749", "ON Semiconductor")</f>
        <v>ON Semiconductor</v>
      </c>
      <c r="C24273" s="6">
        <v>10000</v>
      </c>
      <c r="D24273" s="7">
        <v>0.15</v>
      </c>
      <c r="E24273" t="s">
        <v>69</v>
      </c>
    </row>
    <row r="24274" spans="1:5" x14ac:dyDescent="0.25">
      <c r="A24274" t="str">
        <f>HYPERLINK("https://www.773grp.com/globalSearch/2N4125RLRM/page-1", "2N4125RLRM")</f>
        <v>2N4125RLRM</v>
      </c>
      <c r="B24274" s="3" t="str">
        <f>HYPERLINK("https://www.773grp.com/manufacturer/onsemi?pageNo=750", "ON Semiconductor")</f>
        <v>ON Semiconductor</v>
      </c>
      <c r="C24274" s="6">
        <v>26000</v>
      </c>
      <c r="D24274" s="7">
        <v>0.15</v>
      </c>
      <c r="E24274" t="s">
        <v>69</v>
      </c>
    </row>
    <row r="24275" spans="1:5" x14ac:dyDescent="0.25">
      <c r="A24275" t="str">
        <f>HYPERLINK("https://www.773grp.com/globalSearch/2N5087G/page-1", "2N5087G")</f>
        <v>2N5087G</v>
      </c>
      <c r="B24275" s="3" t="str">
        <f>HYPERLINK("https://www.773grp.com/manufacturer/onsemi?pageNo=751", "ON Semiconductor")</f>
        <v>ON Semiconductor</v>
      </c>
      <c r="C24275" s="6">
        <v>123799</v>
      </c>
      <c r="D24275" s="7">
        <v>0.15</v>
      </c>
      <c r="E24275" t="s">
        <v>69</v>
      </c>
    </row>
    <row r="24276" spans="1:5" x14ac:dyDescent="0.25">
      <c r="A24276" t="str">
        <f>HYPERLINK("https://www.773grp.com/globalSearch/2N5087RLRA/page-1", "2N5087RLRA")</f>
        <v>2N5087RLRA</v>
      </c>
      <c r="B24276" s="3" t="str">
        <f>HYPERLINK("https://www.773grp.com/manufacturer/onsemi?pageNo=752", "ON Semiconductor")</f>
        <v>ON Semiconductor</v>
      </c>
      <c r="C24276" s="6">
        <v>10000</v>
      </c>
      <c r="D24276" s="7">
        <v>0.15</v>
      </c>
      <c r="E24276" t="s">
        <v>69</v>
      </c>
    </row>
    <row r="24277" spans="1:5" x14ac:dyDescent="0.25">
      <c r="A24277" t="str">
        <f>HYPERLINK("https://www.773grp.com/globalSearch/2N5087RLRAG/page-1", "2N5087RLRAG")</f>
        <v>2N5087RLRAG</v>
      </c>
      <c r="B24277" s="3" t="str">
        <f>HYPERLINK("https://www.773grp.com/manufacturer/onsemi?pageNo=753", "ON Semiconductor")</f>
        <v>ON Semiconductor</v>
      </c>
      <c r="C24277" s="6">
        <v>1413945</v>
      </c>
      <c r="D24277" s="7">
        <v>0.15</v>
      </c>
      <c r="E24277" t="s">
        <v>69</v>
      </c>
    </row>
    <row r="24278" spans="1:5" x14ac:dyDescent="0.25">
      <c r="A24278" t="str">
        <f>HYPERLINK("https://www.773grp.com/globalSearch/2N5088/page-1", "2N5088")</f>
        <v>2N5088</v>
      </c>
      <c r="B24278" s="3" t="str">
        <f>HYPERLINK("https://www.773grp.com/manufacturer/onsemi?pageNo=754", "ON Semiconductor")</f>
        <v>ON Semiconductor</v>
      </c>
      <c r="C24278" s="6">
        <v>10768</v>
      </c>
      <c r="D24278" s="7">
        <v>0.15</v>
      </c>
      <c r="E24278" t="s">
        <v>69</v>
      </c>
    </row>
    <row r="24279" spans="1:5" x14ac:dyDescent="0.25">
      <c r="A24279" t="str">
        <f>HYPERLINK("https://www.773grp.com/globalSearch/2N5088G/page-1", "2N5088G")</f>
        <v>2N5088G</v>
      </c>
      <c r="B24279" s="3" t="str">
        <f>HYPERLINK("https://www.773grp.com/manufacturer/onsemi?pageNo=755", "ON Semiconductor")</f>
        <v>ON Semiconductor</v>
      </c>
      <c r="C24279" s="6">
        <v>74007</v>
      </c>
      <c r="D24279" s="7">
        <v>0.15</v>
      </c>
      <c r="E24279" t="s">
        <v>69</v>
      </c>
    </row>
    <row r="24280" spans="1:5" x14ac:dyDescent="0.25">
      <c r="A24280" t="str">
        <f>HYPERLINK("https://www.773grp.com/globalSearch/2N5088RLRAG/page-1", "2N5088RLRAG")</f>
        <v>2N5088RLRAG</v>
      </c>
      <c r="B24280" s="3" t="str">
        <f>HYPERLINK("https://www.773grp.com/manufacturer/onsemi?pageNo=756", "ON Semiconductor")</f>
        <v>ON Semiconductor</v>
      </c>
      <c r="C24280" s="6">
        <v>42000</v>
      </c>
      <c r="D24280" s="7">
        <v>0.15</v>
      </c>
      <c r="E24280" t="s">
        <v>69</v>
      </c>
    </row>
    <row r="24281" spans="1:5" x14ac:dyDescent="0.25">
      <c r="A24281" t="str">
        <f>HYPERLINK("https://www.773grp.com/globalSearch/2N5089G/page-1", "2N5089G")</f>
        <v>2N5089G</v>
      </c>
      <c r="B24281" s="3" t="str">
        <f>HYPERLINK("https://www.773grp.com/manufacturer/onsemi?pageNo=757", "ON Semiconductor")</f>
        <v>ON Semiconductor</v>
      </c>
      <c r="C24281" s="6">
        <v>61600</v>
      </c>
      <c r="D24281" s="7">
        <v>0.15</v>
      </c>
      <c r="E24281" t="s">
        <v>69</v>
      </c>
    </row>
    <row r="24282" spans="1:5" x14ac:dyDescent="0.25">
      <c r="A24282" t="str">
        <f>HYPERLINK("https://www.773grp.com/globalSearch/2N5089RLRAG/page-1", "2N5089RLRAG")</f>
        <v>2N5089RLRAG</v>
      </c>
      <c r="B24282" s="3" t="str">
        <f>HYPERLINK("https://www.773grp.com/manufacturer/onsemi?pageNo=758", "ON Semiconductor")</f>
        <v>ON Semiconductor</v>
      </c>
      <c r="C24282" s="6">
        <v>62000</v>
      </c>
      <c r="D24282" s="7">
        <v>0.15</v>
      </c>
      <c r="E24282" t="s">
        <v>69</v>
      </c>
    </row>
    <row r="24283" spans="1:5" x14ac:dyDescent="0.25">
      <c r="A24283" t="str">
        <f>HYPERLINK("https://www.773grp.com/globalSearch/2N5089RLRE/page-1", "2N5089RLRE")</f>
        <v>2N5089RLRE</v>
      </c>
      <c r="B24283" s="3" t="str">
        <f>HYPERLINK("https://www.773grp.com/manufacturer/onsemi?pageNo=759", "ON Semiconductor")</f>
        <v>ON Semiconductor</v>
      </c>
      <c r="C24283" s="6">
        <v>4000</v>
      </c>
      <c r="D24283" s="7">
        <v>0.15</v>
      </c>
      <c r="E24283" t="s">
        <v>69</v>
      </c>
    </row>
    <row r="24284" spans="1:5" x14ac:dyDescent="0.25">
      <c r="A24284" t="str">
        <f>HYPERLINK("https://www.773grp.com/globalSearch/2N5210RLRA/page-1", "2N5210RLRA")</f>
        <v>2N5210RLRA</v>
      </c>
      <c r="B24284" s="3" t="str">
        <f>HYPERLINK("https://www.773grp.com/manufacturer/onsemi?pageNo=760", "ON Semiconductor")</f>
        <v>ON Semiconductor</v>
      </c>
      <c r="C24284" s="6">
        <v>36000</v>
      </c>
      <c r="D24284" s="7">
        <v>0.15</v>
      </c>
      <c r="E24284" t="s">
        <v>69</v>
      </c>
    </row>
    <row r="24285" spans="1:5" x14ac:dyDescent="0.25">
      <c r="A24285" t="str">
        <f>HYPERLINK("https://www.773grp.com/globalSearch/2N5400G/page-1", "2N5400G")</f>
        <v>2N5400G</v>
      </c>
      <c r="B24285" s="3" t="str">
        <f>HYPERLINK("https://www.773grp.com/manufacturer/onsemi?pageNo=761", "ON Semiconductor")</f>
        <v>ON Semiconductor</v>
      </c>
      <c r="C24285" s="6">
        <v>43800</v>
      </c>
      <c r="D24285" s="7">
        <v>0.15</v>
      </c>
      <c r="E24285" t="s">
        <v>69</v>
      </c>
    </row>
    <row r="24286" spans="1:5" x14ac:dyDescent="0.25">
      <c r="A24286" t="str">
        <f>HYPERLINK("https://www.773grp.com/globalSearch/2N5401RL1/page-1", "2N5401RL1")</f>
        <v>2N5401RL1</v>
      </c>
      <c r="B24286" s="3" t="str">
        <f>HYPERLINK("https://www.773grp.com/manufacturer/onsemi?pageNo=762", "ON Semiconductor")</f>
        <v>ON Semiconductor</v>
      </c>
      <c r="C24286" s="6">
        <v>6000</v>
      </c>
      <c r="D24286" s="7">
        <v>0.15</v>
      </c>
      <c r="E24286" t="s">
        <v>69</v>
      </c>
    </row>
    <row r="24287" spans="1:5" x14ac:dyDescent="0.25">
      <c r="A24287" t="str">
        <f>HYPERLINK("https://www.773grp.com/globalSearch/2N5401RL1G/page-1", "2N5401RL1G")</f>
        <v>2N5401RL1G</v>
      </c>
      <c r="B24287" s="3" t="str">
        <f>HYPERLINK("https://www.773grp.com/manufacturer/onsemi?pageNo=763", "ON Semiconductor")</f>
        <v>ON Semiconductor</v>
      </c>
      <c r="C24287" s="6">
        <v>16000</v>
      </c>
      <c r="D24287" s="7">
        <v>0.15</v>
      </c>
      <c r="E24287" t="s">
        <v>69</v>
      </c>
    </row>
    <row r="24288" spans="1:5" x14ac:dyDescent="0.25">
      <c r="A24288" t="str">
        <f>HYPERLINK("https://www.773grp.com/globalSearch/2N5401RLRA/page-1", "2N5401RLRA")</f>
        <v>2N5401RLRA</v>
      </c>
      <c r="B24288" s="3" t="str">
        <f>HYPERLINK("https://www.773grp.com/manufacturer/onsemi?pageNo=764", "ON Semiconductor")</f>
        <v>ON Semiconductor</v>
      </c>
      <c r="C24288" s="6">
        <v>1900</v>
      </c>
      <c r="D24288" s="7">
        <v>0.15</v>
      </c>
      <c r="E24288" t="s">
        <v>69</v>
      </c>
    </row>
    <row r="24289" spans="1:5" x14ac:dyDescent="0.25">
      <c r="A24289" t="str">
        <f>HYPERLINK("https://www.773grp.com/globalSearch/2N5401RLRMG/page-1", "2N5401RLRMG")</f>
        <v>2N5401RLRMG</v>
      </c>
      <c r="B24289" s="3" t="str">
        <f>HYPERLINK("https://www.773grp.com/manufacturer/onsemi?pageNo=765", "ON Semiconductor")</f>
        <v>ON Semiconductor</v>
      </c>
      <c r="C24289" s="6">
        <v>56000</v>
      </c>
      <c r="D24289" s="7">
        <v>0.15</v>
      </c>
      <c r="E24289" t="s">
        <v>69</v>
      </c>
    </row>
    <row r="24290" spans="1:5" x14ac:dyDescent="0.25">
      <c r="A24290" t="str">
        <f>HYPERLINK("https://www.773grp.com/globalSearch/2N5401ZL1/page-1", "2N5401ZL1")</f>
        <v>2N5401ZL1</v>
      </c>
      <c r="B24290" s="3" t="str">
        <f>HYPERLINK("https://www.773grp.com/manufacturer/onsemi?pageNo=766", "ON Semiconductor")</f>
        <v>ON Semiconductor</v>
      </c>
      <c r="C24290" s="6">
        <v>2000</v>
      </c>
      <c r="D24290" s="7">
        <v>0.15</v>
      </c>
      <c r="E24290" t="s">
        <v>69</v>
      </c>
    </row>
    <row r="24291" spans="1:5" x14ac:dyDescent="0.25">
      <c r="A24291" t="str">
        <f>HYPERLINK("https://www.773grp.com/globalSearch/2N5401ZL1G/page-1", "2N5401ZL1G")</f>
        <v>2N5401ZL1G</v>
      </c>
      <c r="B24291" s="3" t="str">
        <f>HYPERLINK("https://www.773grp.com/manufacturer/onsemi?pageNo=767", "ON Semiconductor")</f>
        <v>ON Semiconductor</v>
      </c>
      <c r="C24291" s="6">
        <v>2000</v>
      </c>
      <c r="D24291" s="7">
        <v>0.15</v>
      </c>
      <c r="E24291" t="s">
        <v>69</v>
      </c>
    </row>
    <row r="24292" spans="1:5" x14ac:dyDescent="0.25">
      <c r="A24292" t="str">
        <f>HYPERLINK("https://www.773grp.com/globalSearch/2N5550/page-1", "2N5550")</f>
        <v>2N5550</v>
      </c>
      <c r="B24292" s="3" t="str">
        <f>HYPERLINK("https://www.773grp.com/manufacturer/onsemi?pageNo=768", "ON Semiconductor")</f>
        <v>ON Semiconductor</v>
      </c>
      <c r="C24292" s="6">
        <v>15844</v>
      </c>
      <c r="D24292" s="7">
        <v>0.15</v>
      </c>
      <c r="E24292" t="s">
        <v>69</v>
      </c>
    </row>
    <row r="24293" spans="1:5" x14ac:dyDescent="0.25">
      <c r="A24293" t="str">
        <f>HYPERLINK("https://www.773grp.com/globalSearch/2N5550RLRA/page-1", "2N5550RLRA")</f>
        <v>2N5550RLRA</v>
      </c>
      <c r="B24293" s="3" t="str">
        <f>HYPERLINK("https://www.773grp.com/manufacturer/onsemi?pageNo=769", "ON Semiconductor")</f>
        <v>ON Semiconductor</v>
      </c>
      <c r="C24293" s="6">
        <v>18000</v>
      </c>
      <c r="D24293" s="7">
        <v>0.15</v>
      </c>
      <c r="E24293" t="s">
        <v>69</v>
      </c>
    </row>
    <row r="24294" spans="1:5" x14ac:dyDescent="0.25">
      <c r="A24294" t="str">
        <f>HYPERLINK("https://www.773grp.com/globalSearch/2N5550RLRAG/page-1", "2N5550RLRAG")</f>
        <v>2N5550RLRAG</v>
      </c>
      <c r="B24294" s="3" t="str">
        <f>HYPERLINK("https://www.773grp.com/manufacturer/onsemi?pageNo=770", "ON Semiconductor")</f>
        <v>ON Semiconductor</v>
      </c>
      <c r="C24294" s="6">
        <v>16000</v>
      </c>
      <c r="D24294" s="7">
        <v>0.15</v>
      </c>
      <c r="E24294" t="s">
        <v>69</v>
      </c>
    </row>
    <row r="24295" spans="1:5" x14ac:dyDescent="0.25">
      <c r="A24295" t="str">
        <f>HYPERLINK("https://www.773grp.com/globalSearch/2N5550RLRP/page-1", "2N5550RLRP")</f>
        <v>2N5550RLRP</v>
      </c>
      <c r="B24295" s="3" t="str">
        <f>HYPERLINK("https://www.773grp.com/manufacturer/onsemi?pageNo=771", "ON Semiconductor")</f>
        <v>ON Semiconductor</v>
      </c>
      <c r="C24295" s="6">
        <v>204000</v>
      </c>
      <c r="D24295" s="7">
        <v>0.15</v>
      </c>
      <c r="E24295" t="s">
        <v>69</v>
      </c>
    </row>
    <row r="24296" spans="1:5" x14ac:dyDescent="0.25">
      <c r="A24296" t="str">
        <f>HYPERLINK("https://www.773grp.com/globalSearch/2N5551RL1/page-1", "2N5551RL1")</f>
        <v>2N5551RL1</v>
      </c>
      <c r="B24296" s="3" t="str">
        <f>HYPERLINK("https://www.773grp.com/manufacturer/onsemi?pageNo=772", "ON Semiconductor")</f>
        <v>ON Semiconductor</v>
      </c>
      <c r="C24296" s="6">
        <v>40000</v>
      </c>
      <c r="D24296" s="7">
        <v>0.15</v>
      </c>
      <c r="E24296" t="s">
        <v>69</v>
      </c>
    </row>
    <row r="24297" spans="1:5" x14ac:dyDescent="0.25">
      <c r="A24297" t="str">
        <f>HYPERLINK("https://www.773grp.com/globalSearch/2N5551RLRA/page-1", "2N5551RLRA")</f>
        <v>2N5551RLRA</v>
      </c>
      <c r="B24297" s="3" t="str">
        <f>HYPERLINK("https://www.773grp.com/manufacturer/onsemi?pageNo=773", "ON Semiconductor")</f>
        <v>ON Semiconductor</v>
      </c>
      <c r="C24297" s="6">
        <v>7900</v>
      </c>
      <c r="D24297" s="7">
        <v>0.15</v>
      </c>
      <c r="E24297" t="s">
        <v>69</v>
      </c>
    </row>
    <row r="24298" spans="1:5" x14ac:dyDescent="0.25">
      <c r="A24298" t="str">
        <f>HYPERLINK("https://www.773grp.com/globalSearch/2N5551RLRM/page-1", "2N5551RLRM")</f>
        <v>2N5551RLRM</v>
      </c>
      <c r="B24298" s="3" t="str">
        <f>HYPERLINK("https://www.773grp.com/manufacturer/onsemi?pageNo=774", "ON Semiconductor")</f>
        <v>ON Semiconductor</v>
      </c>
      <c r="C24298" s="6">
        <v>166000</v>
      </c>
      <c r="D24298" s="7">
        <v>0.15</v>
      </c>
      <c r="E24298" t="s">
        <v>69</v>
      </c>
    </row>
    <row r="24299" spans="1:5" x14ac:dyDescent="0.25">
      <c r="A24299" t="str">
        <f>HYPERLINK("https://www.773grp.com/globalSearch/2N5551RLRMG/page-1", "2N5551RLRMG")</f>
        <v>2N5551RLRMG</v>
      </c>
      <c r="B24299" s="3" t="str">
        <f>HYPERLINK("https://www.773grp.com/manufacturer/onsemi?pageNo=775", "ON Semiconductor")</f>
        <v>ON Semiconductor</v>
      </c>
      <c r="C24299" s="6">
        <v>20000</v>
      </c>
      <c r="D24299" s="7">
        <v>0.15</v>
      </c>
      <c r="E24299" t="s">
        <v>69</v>
      </c>
    </row>
    <row r="24300" spans="1:5" x14ac:dyDescent="0.25">
      <c r="A24300" t="str">
        <f>HYPERLINK("https://www.773grp.com/globalSearch/2N5551ZL1/page-1", "2N5551ZL1")</f>
        <v>2N5551ZL1</v>
      </c>
      <c r="B24300" s="3" t="str">
        <f>HYPERLINK("https://www.773grp.com/manufacturer/onsemi?pageNo=776", "ON Semiconductor")</f>
        <v>ON Semiconductor</v>
      </c>
      <c r="C24300" s="6">
        <v>50000</v>
      </c>
      <c r="D24300" s="7">
        <v>0.15</v>
      </c>
      <c r="E24300" t="s">
        <v>69</v>
      </c>
    </row>
    <row r="24301" spans="1:5" x14ac:dyDescent="0.25">
      <c r="A24301" t="str">
        <f>HYPERLINK("https://www.773grp.com/globalSearch/2N7000RLRM/page-1", "2N7000RLRM")</f>
        <v>2N7000RLRM</v>
      </c>
      <c r="B24301" s="3" t="str">
        <f>HYPERLINK("https://www.773grp.com/manufacturer/onsemi?pageNo=777", "ON Semiconductor")</f>
        <v>ON Semiconductor</v>
      </c>
      <c r="C24301" s="6">
        <v>16000</v>
      </c>
      <c r="D24301" s="7">
        <v>0.15</v>
      </c>
      <c r="E24301" t="s">
        <v>106</v>
      </c>
    </row>
    <row r="24302" spans="1:5" x14ac:dyDescent="0.25">
      <c r="A24302" t="str">
        <f>HYPERLINK("https://www.773grp.com/globalSearch/2N7000RLRP/page-1", "2N7000RLRP")</f>
        <v>2N7000RLRP</v>
      </c>
      <c r="B24302" s="3" t="str">
        <f>HYPERLINK("https://www.773grp.com/manufacturer/onsemi?pageNo=778", "ON Semiconductor")</f>
        <v>ON Semiconductor</v>
      </c>
      <c r="C24302" s="6">
        <v>26000</v>
      </c>
      <c r="D24302" s="7">
        <v>0.15</v>
      </c>
      <c r="E24302" t="s">
        <v>106</v>
      </c>
    </row>
    <row r="24303" spans="1:5" x14ac:dyDescent="0.25">
      <c r="A24303" t="str">
        <f>HYPERLINK("https://www.773grp.com/globalSearch/2SA1179N6-CPA-TB-E/page-1", "2SA1179N6-CPA-TB-E")</f>
        <v>2SA1179N6-CPA-TB-E</v>
      </c>
      <c r="B24303" s="3" t="str">
        <f>HYPERLINK("https://www.773grp.com/manufacturer/onsemi?pageNo=779", "ON Semiconductor")</f>
        <v>ON Semiconductor</v>
      </c>
      <c r="C24303" s="6">
        <v>12000</v>
      </c>
      <c r="D24303" s="7">
        <v>0.15</v>
      </c>
    </row>
    <row r="24304" spans="1:5" x14ac:dyDescent="0.25">
      <c r="A24304" t="str">
        <f>HYPERLINK("https://www.773grp.com/globalSearch/2SA1774G/page-1", "2SA1774G")</f>
        <v>2SA1774G</v>
      </c>
      <c r="B24304" s="3" t="str">
        <f>HYPERLINK("https://www.773grp.com/manufacturer/onsemi?pageNo=780", "ON Semiconductor")</f>
        <v>ON Semiconductor</v>
      </c>
      <c r="C24304" s="6">
        <v>469328</v>
      </c>
      <c r="D24304" s="7">
        <v>0.15</v>
      </c>
      <c r="E24304" t="s">
        <v>69</v>
      </c>
    </row>
    <row r="24305" spans="1:5" x14ac:dyDescent="0.25">
      <c r="A24305" t="str">
        <f>HYPERLINK("https://www.773grp.com/globalSearch/2SA1774T1G/page-1", "2SA1774T1G")</f>
        <v>2SA1774T1G</v>
      </c>
      <c r="B24305" s="3" t="str">
        <f>HYPERLINK("https://www.773grp.com/manufacturer/onsemi?pageNo=781", "ON Semiconductor")</f>
        <v>ON Semiconductor</v>
      </c>
      <c r="C24305" s="6">
        <v>520690</v>
      </c>
      <c r="D24305" s="7">
        <v>0.15</v>
      </c>
      <c r="E24305" t="s">
        <v>69</v>
      </c>
    </row>
    <row r="24306" spans="1:5" x14ac:dyDescent="0.25">
      <c r="A24306" t="str">
        <f>HYPERLINK("https://www.773grp.com/globalSearch/2SA2029M3T5G/page-1", "2SA2029M3T5G")</f>
        <v>2SA2029M3T5G</v>
      </c>
      <c r="B24306" s="3" t="str">
        <f>HYPERLINK("https://www.773grp.com/manufacturer/onsemi?pageNo=782", "ON Semiconductor")</f>
        <v>ON Semiconductor</v>
      </c>
      <c r="C24306" s="6">
        <v>103658</v>
      </c>
      <c r="D24306" s="7">
        <v>0.15</v>
      </c>
      <c r="E24306" t="s">
        <v>69</v>
      </c>
    </row>
    <row r="24307" spans="1:5" x14ac:dyDescent="0.25">
      <c r="A24307" t="str">
        <f>HYPERLINK("https://www.773grp.com/globalSearch/2SC4617G/page-1", "2SC4617G")</f>
        <v>2SC4617G</v>
      </c>
      <c r="B24307" s="3" t="str">
        <f>HYPERLINK("https://www.773grp.com/manufacturer/onsemi?pageNo=783", "ON Semiconductor")</f>
        <v>ON Semiconductor</v>
      </c>
      <c r="C24307" s="6">
        <v>98002</v>
      </c>
      <c r="D24307" s="7">
        <v>0.15</v>
      </c>
      <c r="E24307" t="s">
        <v>69</v>
      </c>
    </row>
    <row r="24308" spans="1:5" x14ac:dyDescent="0.25">
      <c r="A24308" t="str">
        <f>HYPERLINK("https://www.773grp.com/globalSearch/2SC4617T1G/page-1", "2SC4617T1G")</f>
        <v>2SC4617T1G</v>
      </c>
      <c r="B24308" s="3" t="str">
        <f>HYPERLINK("https://www.773grp.com/manufacturer/onsemi?pageNo=784", "ON Semiconductor")</f>
        <v>ON Semiconductor</v>
      </c>
      <c r="C24308" s="6">
        <v>191277</v>
      </c>
      <c r="D24308" s="7">
        <v>0.15</v>
      </c>
      <c r="E24308" t="s">
        <v>69</v>
      </c>
    </row>
    <row r="24309" spans="1:5" x14ac:dyDescent="0.25">
      <c r="A24309" t="str">
        <f>HYPERLINK("https://www.773grp.com/globalSearch/2SC5658M3T5G/page-1", "2SC5658M3T5G")</f>
        <v>2SC5658M3T5G</v>
      </c>
      <c r="B24309" s="3" t="str">
        <f>HYPERLINK("https://www.773grp.com/manufacturer/onsemi?pageNo=785", "ON Semiconductor")</f>
        <v>ON Semiconductor</v>
      </c>
      <c r="C24309" s="6">
        <v>111167</v>
      </c>
      <c r="D24309" s="7">
        <v>0.15</v>
      </c>
      <c r="E24309" t="s">
        <v>69</v>
      </c>
    </row>
    <row r="24310" spans="1:5" x14ac:dyDescent="0.25">
      <c r="A24310" t="str">
        <f>HYPERLINK("https://www.773grp.com/globalSearch/2SK596S-C/page-1", "2SK596S-C")</f>
        <v>2SK596S-C</v>
      </c>
      <c r="B24310" s="3" t="str">
        <f>HYPERLINK("https://www.773grp.com/manufacturer/onsemi?pageNo=786", "ON Semiconductor")</f>
        <v>ON Semiconductor</v>
      </c>
      <c r="C24310" s="6">
        <v>220090</v>
      </c>
      <c r="D24310" s="7">
        <v>0.15</v>
      </c>
    </row>
    <row r="24311" spans="1:5" x14ac:dyDescent="0.25">
      <c r="A24311" t="str">
        <f>HYPERLINK("https://www.773grp.com/globalSearch/BAL99LT1/page-1", "BAL99LT1")</f>
        <v>BAL99LT1</v>
      </c>
      <c r="B24311" s="3" t="str">
        <f>HYPERLINK("https://www.773grp.com/manufacturer/onsemi?pageNo=787", "ON Semiconductor")</f>
        <v>ON Semiconductor</v>
      </c>
      <c r="C24311" s="6">
        <v>117000</v>
      </c>
      <c r="D24311" s="7">
        <v>0.15</v>
      </c>
      <c r="E24311" t="s">
        <v>94</v>
      </c>
    </row>
    <row r="24312" spans="1:5" x14ac:dyDescent="0.25">
      <c r="A24312" t="str">
        <f>HYPERLINK("https://www.773grp.com/globalSearch/BAS16DXV6T1/page-1", "BAS16DXV6T1")</f>
        <v>BAS16DXV6T1</v>
      </c>
      <c r="B24312" s="3" t="str">
        <f>HYPERLINK("https://www.773grp.com/manufacturer/onsemi?pageNo=788", "ON Semiconductor")</f>
        <v>ON Semiconductor</v>
      </c>
      <c r="C24312" s="6">
        <v>4000</v>
      </c>
      <c r="D24312" s="7">
        <v>0.15</v>
      </c>
      <c r="E24312" t="s">
        <v>94</v>
      </c>
    </row>
    <row r="24313" spans="1:5" x14ac:dyDescent="0.25">
      <c r="A24313" t="str">
        <f>HYPERLINK("https://www.773grp.com/globalSearch/BAS16DXV6T5/page-1", "BAS16DXV6T5")</f>
        <v>BAS16DXV6T5</v>
      </c>
      <c r="B24313" s="3" t="str">
        <f>HYPERLINK("https://www.773grp.com/manufacturer/onsemi?pageNo=789", "ON Semiconductor")</f>
        <v>ON Semiconductor</v>
      </c>
      <c r="C24313" s="6">
        <v>15758</v>
      </c>
      <c r="D24313" s="7">
        <v>0.15</v>
      </c>
      <c r="E24313" t="s">
        <v>94</v>
      </c>
    </row>
    <row r="24314" spans="1:5" x14ac:dyDescent="0.25">
      <c r="A24314" t="str">
        <f>HYPERLINK("https://www.773grp.com/globalSearch/BAS16HT1G/page-1", "BAS16HT1G")</f>
        <v>BAS16HT1G</v>
      </c>
      <c r="B24314" s="3" t="str">
        <f>HYPERLINK("https://www.773grp.com/manufacturer/onsemi?pageNo=790", "ON Semiconductor")</f>
        <v>ON Semiconductor</v>
      </c>
      <c r="C24314" s="6">
        <v>528037</v>
      </c>
      <c r="D24314" s="7">
        <v>0.15</v>
      </c>
      <c r="E24314" t="s">
        <v>94</v>
      </c>
    </row>
    <row r="24315" spans="1:5" x14ac:dyDescent="0.25">
      <c r="A24315" t="str">
        <f>HYPERLINK("https://www.773grp.com/globalSearch/BAS16LT1G/page-1", "BAS16LT1G")</f>
        <v>BAS16LT1G</v>
      </c>
      <c r="B24315" s="3" t="str">
        <f>HYPERLINK("https://www.773grp.com/manufacturer/onsemi?pageNo=791", "ON Semiconductor")</f>
        <v>ON Semiconductor</v>
      </c>
      <c r="C24315" s="6">
        <v>689820</v>
      </c>
      <c r="D24315" s="7">
        <v>0.15</v>
      </c>
      <c r="E24315" t="s">
        <v>94</v>
      </c>
    </row>
    <row r="24316" spans="1:5" x14ac:dyDescent="0.25">
      <c r="A24316" t="str">
        <f>HYPERLINK("https://www.773grp.com/globalSearch/BAS16LT3G/page-1", "BAS16LT3G")</f>
        <v>BAS16LT3G</v>
      </c>
      <c r="B24316" s="3" t="str">
        <f>HYPERLINK("https://www.773grp.com/manufacturer/onsemi?pageNo=792", "ON Semiconductor")</f>
        <v>ON Semiconductor</v>
      </c>
      <c r="C24316" s="6">
        <v>185000</v>
      </c>
      <c r="D24316" s="7">
        <v>0.15</v>
      </c>
      <c r="E24316" t="s">
        <v>94</v>
      </c>
    </row>
    <row r="24317" spans="1:5" x14ac:dyDescent="0.25">
      <c r="A24317" t="str">
        <f>HYPERLINK("https://www.773grp.com/globalSearch/BAS16WT1G/page-1", "BAS16WT1G")</f>
        <v>BAS16WT1G</v>
      </c>
      <c r="B24317" s="3" t="str">
        <f>HYPERLINK("https://www.773grp.com/manufacturer/onsemi?pageNo=793", "ON Semiconductor")</f>
        <v>ON Semiconductor</v>
      </c>
      <c r="C24317" s="6">
        <v>237000</v>
      </c>
      <c r="D24317" s="7">
        <v>0.15</v>
      </c>
      <c r="E24317" t="s">
        <v>94</v>
      </c>
    </row>
    <row r="24318" spans="1:5" x14ac:dyDescent="0.25">
      <c r="A24318" t="str">
        <f>HYPERLINK("https://www.773grp.com/globalSearch/BAS19LT1G/page-1", "BAS19LT1G")</f>
        <v>BAS19LT1G</v>
      </c>
      <c r="B24318" s="3" t="str">
        <f>HYPERLINK("https://www.773grp.com/manufacturer/onsemi?pageNo=794", "ON Semiconductor")</f>
        <v>ON Semiconductor</v>
      </c>
      <c r="C24318" s="6">
        <v>234089</v>
      </c>
      <c r="D24318" s="7">
        <v>0.15</v>
      </c>
      <c r="E24318" t="s">
        <v>94</v>
      </c>
    </row>
    <row r="24319" spans="1:5" x14ac:dyDescent="0.25">
      <c r="A24319" t="str">
        <f>HYPERLINK("https://www.773grp.com/globalSearch/BAS20LT1G/page-1", "BAS20LT1G")</f>
        <v>BAS20LT1G</v>
      </c>
      <c r="B24319" s="3" t="str">
        <f>HYPERLINK("https://www.773grp.com/manufacturer/onsemi?pageNo=795", "ON Semiconductor")</f>
        <v>ON Semiconductor</v>
      </c>
      <c r="C24319" s="6">
        <v>911699</v>
      </c>
      <c r="D24319" s="7">
        <v>0.15</v>
      </c>
      <c r="E24319" t="s">
        <v>94</v>
      </c>
    </row>
    <row r="24320" spans="1:5" x14ac:dyDescent="0.25">
      <c r="A24320" t="str">
        <f>HYPERLINK("https://www.773grp.com/globalSearch/BAS21HT1G/page-1", "BAS21HT1G")</f>
        <v>BAS21HT1G</v>
      </c>
      <c r="B24320" s="3" t="str">
        <f>HYPERLINK("https://www.773grp.com/manufacturer/onsemi?pageNo=796", "ON Semiconductor")</f>
        <v>ON Semiconductor</v>
      </c>
      <c r="C24320" s="6">
        <v>2618</v>
      </c>
      <c r="D24320" s="7">
        <v>0.15</v>
      </c>
      <c r="E24320" t="s">
        <v>94</v>
      </c>
    </row>
    <row r="24321" spans="1:5" x14ac:dyDescent="0.25">
      <c r="A24321" t="str">
        <f>HYPERLINK("https://www.773grp.com/globalSearch/BAS21SLT1/page-1", "BAS21SLT1")</f>
        <v>BAS21SLT1</v>
      </c>
      <c r="B24321" s="3" t="str">
        <f>HYPERLINK("https://www.773grp.com/manufacturer/onsemi?pageNo=797", "ON Semiconductor")</f>
        <v>ON Semiconductor</v>
      </c>
      <c r="C24321" s="6">
        <v>2945</v>
      </c>
      <c r="D24321" s="7">
        <v>0.15</v>
      </c>
      <c r="E24321" t="s">
        <v>94</v>
      </c>
    </row>
    <row r="24322" spans="1:5" x14ac:dyDescent="0.25">
      <c r="A24322" t="str">
        <f>HYPERLINK("https://www.773grp.com/globalSearch/BAS21SLT1G/page-1", "BAS21SLT1G")</f>
        <v>BAS21SLT1G</v>
      </c>
      <c r="B24322" s="3" t="str">
        <f>HYPERLINK("https://www.773grp.com/manufacturer/onsemi?pageNo=798", "ON Semiconductor")</f>
        <v>ON Semiconductor</v>
      </c>
      <c r="C24322" s="6">
        <v>6016</v>
      </c>
      <c r="D24322" s="7">
        <v>0.15</v>
      </c>
      <c r="E24322" t="s">
        <v>94</v>
      </c>
    </row>
    <row r="24323" spans="1:5" x14ac:dyDescent="0.25">
      <c r="A24323" t="str">
        <f>HYPERLINK("https://www.773grp.com/globalSearch/BAT54ALT1G/page-1", "BAT54ALT1G")</f>
        <v>BAT54ALT1G</v>
      </c>
      <c r="B24323" s="3" t="str">
        <f>HYPERLINK("https://www.773grp.com/manufacturer/onsemi?pageNo=799", "ON Semiconductor")</f>
        <v>ON Semiconductor</v>
      </c>
      <c r="C24323" s="6">
        <v>431755</v>
      </c>
      <c r="D24323" s="7">
        <v>0.15</v>
      </c>
      <c r="E24323" t="s">
        <v>94</v>
      </c>
    </row>
    <row r="24324" spans="1:5" x14ac:dyDescent="0.25">
      <c r="A24324" t="str">
        <f>HYPERLINK("https://www.773grp.com/globalSearch/BAT54CLT1G/page-1", "BAT54CLT1G")</f>
        <v>BAT54CLT1G</v>
      </c>
      <c r="B24324" s="3" t="str">
        <f>HYPERLINK("https://www.773grp.com/manufacturer/onsemi?pageNo=800", "ON Semiconductor")</f>
        <v>ON Semiconductor</v>
      </c>
      <c r="C24324" s="6">
        <v>3375049</v>
      </c>
      <c r="D24324" s="7">
        <v>0.15</v>
      </c>
      <c r="E24324" t="s">
        <v>94</v>
      </c>
    </row>
    <row r="24325" spans="1:5" x14ac:dyDescent="0.25">
      <c r="A24325" t="str">
        <f>HYPERLINK("https://www.773grp.com/globalSearch/BAT54CLT3G/page-1", "BAT54CLT3G")</f>
        <v>BAT54CLT3G</v>
      </c>
      <c r="B24325" s="3" t="str">
        <f>HYPERLINK("https://www.773grp.com/manufacturer/onsemi?pageNo=801", "ON Semiconductor")</f>
        <v>ON Semiconductor</v>
      </c>
      <c r="C24325" s="6">
        <v>90000</v>
      </c>
      <c r="D24325" s="7">
        <v>0.15</v>
      </c>
      <c r="E24325" t="s">
        <v>94</v>
      </c>
    </row>
    <row r="24326" spans="1:5" x14ac:dyDescent="0.25">
      <c r="A24326" t="str">
        <f>HYPERLINK("https://www.773grp.com/globalSearch/BAT54LT1G/page-1", "BAT54LT1G")</f>
        <v>BAT54LT1G</v>
      </c>
      <c r="B24326" s="3" t="str">
        <f>HYPERLINK("https://www.773grp.com/manufacturer/onsemi?pageNo=802", "ON Semiconductor")</f>
        <v>ON Semiconductor</v>
      </c>
      <c r="C24326" s="6">
        <v>652738</v>
      </c>
      <c r="D24326" s="7">
        <v>0.15</v>
      </c>
      <c r="E24326" t="s">
        <v>94</v>
      </c>
    </row>
    <row r="24327" spans="1:5" x14ac:dyDescent="0.25">
      <c r="A24327" t="str">
        <f>HYPERLINK("https://www.773grp.com/globalSearch/BAT54SLT1G/page-1", "BAT54SLT1G")</f>
        <v>BAT54SLT1G</v>
      </c>
      <c r="B24327" s="3" t="str">
        <f>HYPERLINK("https://www.773grp.com/manufacturer/onsemi?pageNo=803", "ON Semiconductor")</f>
        <v>ON Semiconductor</v>
      </c>
      <c r="C24327" s="6">
        <v>12000</v>
      </c>
      <c r="D24327" s="7">
        <v>0.15</v>
      </c>
      <c r="E24327" t="s">
        <v>94</v>
      </c>
    </row>
    <row r="24328" spans="1:5" x14ac:dyDescent="0.25">
      <c r="A24328" t="str">
        <f>HYPERLINK("https://www.773grp.com/globalSearch/BAV70DXV6T5/page-1", "BAV70DXV6T5")</f>
        <v>BAV70DXV6T5</v>
      </c>
      <c r="B24328" s="3" t="str">
        <f>HYPERLINK("https://www.773grp.com/manufacturer/onsemi?pageNo=804", "ON Semiconductor")</f>
        <v>ON Semiconductor</v>
      </c>
      <c r="C24328" s="6">
        <v>15989</v>
      </c>
      <c r="D24328" s="7">
        <v>0.15</v>
      </c>
      <c r="E24328" t="s">
        <v>94</v>
      </c>
    </row>
    <row r="24329" spans="1:5" x14ac:dyDescent="0.25">
      <c r="A24329" t="str">
        <f>HYPERLINK("https://www.773grp.com/globalSearch/BAV70TT1G/page-1", "BAV70TT1G")</f>
        <v>BAV70TT1G</v>
      </c>
      <c r="B24329" s="3" t="str">
        <f>HYPERLINK("https://www.773grp.com/manufacturer/onsemi?pageNo=805", "ON Semiconductor")</f>
        <v>ON Semiconductor</v>
      </c>
      <c r="C24329" s="6">
        <v>905455</v>
      </c>
      <c r="D24329" s="7">
        <v>0.15</v>
      </c>
      <c r="E24329" t="s">
        <v>94</v>
      </c>
    </row>
    <row r="24330" spans="1:5" x14ac:dyDescent="0.25">
      <c r="A24330" t="str">
        <f>HYPERLINK("https://www.773grp.com/globalSearch/BAV99WT1/page-1", "BAV99WT1")</f>
        <v>BAV99WT1</v>
      </c>
      <c r="B24330" s="3" t="str">
        <f>HYPERLINK("https://www.773grp.com/manufacturer/onsemi?pageNo=806", "ON Semiconductor")</f>
        <v>ON Semiconductor</v>
      </c>
      <c r="C24330" s="6">
        <v>9000</v>
      </c>
      <c r="D24330" s="7">
        <v>0.15</v>
      </c>
    </row>
    <row r="24331" spans="1:5" x14ac:dyDescent="0.25">
      <c r="A24331" t="str">
        <f>HYPERLINK("https://www.773grp.com/globalSearch/BAV99WT1H/page-1", "BAV99WT1H")</f>
        <v>BAV99WT1H</v>
      </c>
      <c r="B24331" s="3" t="str">
        <f>HYPERLINK("https://www.773grp.com/manufacturer/onsemi?pageNo=807", "ON Semiconductor")</f>
        <v>ON Semiconductor</v>
      </c>
      <c r="C24331" s="6">
        <v>108000</v>
      </c>
      <c r="D24331" s="7">
        <v>0.15</v>
      </c>
    </row>
    <row r="24332" spans="1:5" x14ac:dyDescent="0.25">
      <c r="A24332" t="str">
        <f>HYPERLINK("https://www.773grp.com/globalSearch/BAW56TT1G/page-1", "BAW56TT1G")</f>
        <v>BAW56TT1G</v>
      </c>
      <c r="B24332" s="3" t="str">
        <f>HYPERLINK("https://www.773grp.com/manufacturer/onsemi?pageNo=808", "ON Semiconductor")</f>
        <v>ON Semiconductor</v>
      </c>
      <c r="C24332" s="6">
        <v>82735</v>
      </c>
      <c r="D24332" s="7">
        <v>0.15</v>
      </c>
      <c r="E24332" t="s">
        <v>94</v>
      </c>
    </row>
    <row r="24333" spans="1:5" x14ac:dyDescent="0.25">
      <c r="A24333" t="str">
        <f>HYPERLINK("https://www.773grp.com/globalSearch/BAW56WT1G/page-1", "BAW56WT1G")</f>
        <v>BAW56WT1G</v>
      </c>
      <c r="B24333" s="3" t="str">
        <f>HYPERLINK("https://www.773grp.com/manufacturer/onsemi?pageNo=809", "ON Semiconductor")</f>
        <v>ON Semiconductor</v>
      </c>
      <c r="C24333" s="6">
        <v>1137000</v>
      </c>
      <c r="D24333" s="7">
        <v>0.15</v>
      </c>
      <c r="E24333" t="s">
        <v>94</v>
      </c>
    </row>
    <row r="24334" spans="1:5" x14ac:dyDescent="0.25">
      <c r="A24334" t="str">
        <f>HYPERLINK("https://www.773grp.com/globalSearch/BC182A/page-1", "BC182A")</f>
        <v>BC182A</v>
      </c>
      <c r="B24334" s="3" t="str">
        <f>HYPERLINK("https://www.773grp.com/manufacturer/onsemi?pageNo=810", "ON Semiconductor")</f>
        <v>ON Semiconductor</v>
      </c>
      <c r="C24334" s="6">
        <v>300000</v>
      </c>
      <c r="D24334" s="7">
        <v>0.15</v>
      </c>
      <c r="E24334" t="s">
        <v>69</v>
      </c>
    </row>
    <row r="24335" spans="1:5" x14ac:dyDescent="0.25">
      <c r="A24335" t="str">
        <f>HYPERLINK("https://www.773grp.com/globalSearch/BC182AG/page-1", "BC182AG")</f>
        <v>BC182AG</v>
      </c>
      <c r="B24335" s="3" t="str">
        <f>HYPERLINK("https://www.773grp.com/manufacturer/onsemi?pageNo=811", "ON Semiconductor")</f>
        <v>ON Semiconductor</v>
      </c>
      <c r="C24335" s="6">
        <v>35000</v>
      </c>
      <c r="D24335" s="7">
        <v>0.15</v>
      </c>
      <c r="E24335" t="s">
        <v>69</v>
      </c>
    </row>
    <row r="24336" spans="1:5" x14ac:dyDescent="0.25">
      <c r="A24336" t="str">
        <f>HYPERLINK("https://www.773grp.com/globalSearch/BC182BRL1/page-1", "BC182BRL1")</f>
        <v>BC182BRL1</v>
      </c>
      <c r="B24336" s="3" t="str">
        <f>HYPERLINK("https://www.773grp.com/manufacturer/onsemi?pageNo=812", "ON Semiconductor")</f>
        <v>ON Semiconductor</v>
      </c>
      <c r="C24336" s="6">
        <v>13003</v>
      </c>
      <c r="D24336" s="7">
        <v>0.15</v>
      </c>
      <c r="E24336" t="s">
        <v>69</v>
      </c>
    </row>
    <row r="24337" spans="1:5" x14ac:dyDescent="0.25">
      <c r="A24337" t="str">
        <f>HYPERLINK("https://www.773grp.com/globalSearch/BC182BRL1G/page-1", "BC182BRL1G")</f>
        <v>BC182BRL1G</v>
      </c>
      <c r="B24337" s="3" t="str">
        <f>HYPERLINK("https://www.773grp.com/manufacturer/onsemi?pageNo=813", "ON Semiconductor")</f>
        <v>ON Semiconductor</v>
      </c>
      <c r="C24337" s="6">
        <v>1</v>
      </c>
      <c r="D24337" s="7">
        <v>0.15</v>
      </c>
      <c r="E24337" t="s">
        <v>69</v>
      </c>
    </row>
    <row r="24338" spans="1:5" x14ac:dyDescent="0.25">
      <c r="A24338" t="str">
        <f>HYPERLINK("https://www.773grp.com/globalSearch/BC237B/page-1", "BC237B")</f>
        <v>BC237B</v>
      </c>
      <c r="B24338" s="3" t="str">
        <f>HYPERLINK("https://www.773grp.com/manufacturer/onsemi?pageNo=814", "ON Semiconductor")</f>
        <v>ON Semiconductor</v>
      </c>
      <c r="C24338" s="6">
        <v>31666</v>
      </c>
      <c r="D24338" s="7">
        <v>0.15</v>
      </c>
      <c r="E24338" t="s">
        <v>69</v>
      </c>
    </row>
    <row r="24339" spans="1:5" x14ac:dyDescent="0.25">
      <c r="A24339" t="str">
        <f>HYPERLINK("https://www.773grp.com/globalSearch/BC237BZL1/page-1", "BC237BZL1")</f>
        <v>BC237BZL1</v>
      </c>
      <c r="B24339" s="3" t="str">
        <f>HYPERLINK("https://www.773grp.com/manufacturer/onsemi?pageNo=815", "ON Semiconductor")</f>
        <v>ON Semiconductor</v>
      </c>
      <c r="C24339" s="6">
        <v>124000</v>
      </c>
      <c r="D24339" s="7">
        <v>0.15</v>
      </c>
      <c r="E24339" t="s">
        <v>69</v>
      </c>
    </row>
    <row r="24340" spans="1:5" x14ac:dyDescent="0.25">
      <c r="A24340" t="str">
        <f>HYPERLINK("https://www.773grp.com/globalSearch/BC237BZL1G/page-1", "BC237BZL1G")</f>
        <v>BC237BZL1G</v>
      </c>
      <c r="B24340" s="3" t="str">
        <f>HYPERLINK("https://www.773grp.com/manufacturer/onsemi?pageNo=816", "ON Semiconductor")</f>
        <v>ON Semiconductor</v>
      </c>
      <c r="C24340" s="6">
        <v>2000</v>
      </c>
      <c r="D24340" s="7">
        <v>0.15</v>
      </c>
      <c r="E24340" t="s">
        <v>69</v>
      </c>
    </row>
    <row r="24341" spans="1:5" x14ac:dyDescent="0.25">
      <c r="A24341" t="str">
        <f>HYPERLINK("https://www.773grp.com/globalSearch/BC239C/page-1", "BC239C")</f>
        <v>BC239C</v>
      </c>
      <c r="B24341" s="3" t="str">
        <f>HYPERLINK("https://www.773grp.com/manufacturer/onsemi?pageNo=817", "ON Semiconductor")</f>
        <v>ON Semiconductor</v>
      </c>
      <c r="C24341" s="6">
        <v>22750</v>
      </c>
      <c r="D24341" s="7">
        <v>0.15</v>
      </c>
      <c r="E24341" t="s">
        <v>69</v>
      </c>
    </row>
    <row r="24342" spans="1:5" x14ac:dyDescent="0.25">
      <c r="A24342" t="str">
        <f>HYPERLINK("https://www.773grp.com/globalSearch/BC239CG/page-1", "BC239CG")</f>
        <v>BC239CG</v>
      </c>
      <c r="B24342" s="3" t="str">
        <f>HYPERLINK("https://www.773grp.com/manufacturer/onsemi?pageNo=818", "ON Semiconductor")</f>
        <v>ON Semiconductor</v>
      </c>
      <c r="C24342" s="6">
        <v>10000</v>
      </c>
      <c r="D24342" s="7">
        <v>0.15</v>
      </c>
      <c r="E24342" t="s">
        <v>69</v>
      </c>
    </row>
    <row r="24343" spans="1:5" x14ac:dyDescent="0.25">
      <c r="A24343" t="str">
        <f>HYPERLINK("https://www.773grp.com/globalSearch/BC307B/page-1", "BC307B")</f>
        <v>BC307B</v>
      </c>
      <c r="B24343" s="3" t="str">
        <f>HYPERLINK("https://www.773grp.com/manufacturer/onsemi?pageNo=819", "ON Semiconductor")</f>
        <v>ON Semiconductor</v>
      </c>
      <c r="C24343" s="6">
        <v>25000</v>
      </c>
      <c r="D24343" s="7">
        <v>0.15</v>
      </c>
      <c r="E24343" t="s">
        <v>69</v>
      </c>
    </row>
    <row r="24344" spans="1:5" x14ac:dyDescent="0.25">
      <c r="A24344" t="str">
        <f>HYPERLINK("https://www.773grp.com/globalSearch/BC307BG/page-1", "BC307BG")</f>
        <v>BC307BG</v>
      </c>
      <c r="B24344" s="3" t="str">
        <f>HYPERLINK("https://www.773grp.com/manufacturer/onsemi?pageNo=820", "ON Semiconductor")</f>
        <v>ON Semiconductor</v>
      </c>
      <c r="C24344" s="6">
        <v>25700</v>
      </c>
      <c r="D24344" s="7">
        <v>0.15</v>
      </c>
      <c r="E24344" t="s">
        <v>69</v>
      </c>
    </row>
    <row r="24345" spans="1:5" x14ac:dyDescent="0.25">
      <c r="A24345" t="str">
        <f>HYPERLINK("https://www.773grp.com/globalSearch/BC307BZL1G/page-1", "BC307BZL1G")</f>
        <v>BC307BZL1G</v>
      </c>
      <c r="B24345" s="3" t="str">
        <f>HYPERLINK("https://www.773grp.com/manufacturer/onsemi?pageNo=821", "ON Semiconductor")</f>
        <v>ON Semiconductor</v>
      </c>
      <c r="C24345" s="6">
        <v>14000</v>
      </c>
      <c r="D24345" s="7">
        <v>0.15</v>
      </c>
      <c r="E24345" t="s">
        <v>69</v>
      </c>
    </row>
    <row r="24346" spans="1:5" x14ac:dyDescent="0.25">
      <c r="A24346" t="str">
        <f>HYPERLINK("https://www.773grp.com/globalSearch/BC327-016G/page-1", "BC327-016G")</f>
        <v>BC327-016G</v>
      </c>
      <c r="B24346" s="3" t="str">
        <f>HYPERLINK("https://www.773grp.com/manufacturer/onsemi?pageNo=822", "ON Semiconductor")</f>
        <v>ON Semiconductor</v>
      </c>
      <c r="C24346" s="6">
        <v>25000</v>
      </c>
      <c r="D24346" s="7">
        <v>0.15</v>
      </c>
      <c r="E24346" t="s">
        <v>69</v>
      </c>
    </row>
    <row r="24347" spans="1:5" x14ac:dyDescent="0.25">
      <c r="A24347" t="str">
        <f>HYPERLINK("https://www.773grp.com/globalSearch/BC327-025/page-1", "BC327-025")</f>
        <v>BC327-025</v>
      </c>
      <c r="B24347" s="3" t="str">
        <f>HYPERLINK("https://www.773grp.com/manufacturer/onsemi?pageNo=823", "ON Semiconductor")</f>
        <v>ON Semiconductor</v>
      </c>
      <c r="C24347" s="6">
        <v>19000</v>
      </c>
      <c r="D24347" s="7">
        <v>0.15</v>
      </c>
    </row>
    <row r="24348" spans="1:5" x14ac:dyDescent="0.25">
      <c r="A24348" t="str">
        <f>HYPERLINK("https://www.773grp.com/globalSearch/BC327-040G/page-1", "BC327-040G")</f>
        <v>BC327-040G</v>
      </c>
      <c r="B24348" s="3" t="str">
        <f>HYPERLINK("https://www.773grp.com/manufacturer/onsemi?pageNo=824", "ON Semiconductor")</f>
        <v>ON Semiconductor</v>
      </c>
      <c r="C24348" s="6">
        <v>19000</v>
      </c>
      <c r="D24348" s="7">
        <v>0.15</v>
      </c>
      <c r="E24348" t="s">
        <v>69</v>
      </c>
    </row>
    <row r="24349" spans="1:5" x14ac:dyDescent="0.25">
      <c r="A24349" t="str">
        <f>HYPERLINK("https://www.773grp.com/globalSearch/BC327-16ZL1/page-1", "BC327-16ZL1")</f>
        <v>BC327-16ZL1</v>
      </c>
      <c r="B24349" s="3" t="str">
        <f>HYPERLINK("https://www.773grp.com/manufacturer/onsemi?pageNo=825", "ON Semiconductor")</f>
        <v>ON Semiconductor</v>
      </c>
      <c r="C24349" s="6">
        <v>37000</v>
      </c>
      <c r="D24349" s="7">
        <v>0.15</v>
      </c>
      <c r="E24349" t="s">
        <v>69</v>
      </c>
    </row>
    <row r="24350" spans="1:5" x14ac:dyDescent="0.25">
      <c r="A24350" t="str">
        <f>HYPERLINK("https://www.773grp.com/globalSearch/BC327-40ZL1/page-1", "BC327-40ZL1")</f>
        <v>BC327-40ZL1</v>
      </c>
      <c r="B24350" s="3" t="str">
        <f>HYPERLINK("https://www.773grp.com/manufacturer/onsemi?pageNo=826", "ON Semiconductor")</f>
        <v>ON Semiconductor</v>
      </c>
      <c r="C24350" s="6">
        <v>33000</v>
      </c>
      <c r="D24350" s="7">
        <v>0.15</v>
      </c>
      <c r="E24350" t="s">
        <v>69</v>
      </c>
    </row>
    <row r="24351" spans="1:5" x14ac:dyDescent="0.25">
      <c r="A24351" t="str">
        <f>HYPERLINK("https://www.773grp.com/globalSearch/BC327G/page-1", "BC327G")</f>
        <v>BC327G</v>
      </c>
      <c r="B24351" s="3" t="str">
        <f>HYPERLINK("https://www.773grp.com/manufacturer/onsemi?pageNo=827", "ON Semiconductor")</f>
        <v>ON Semiconductor</v>
      </c>
      <c r="C24351" s="6">
        <v>16770</v>
      </c>
      <c r="D24351" s="7">
        <v>0.15</v>
      </c>
      <c r="E24351" t="s">
        <v>69</v>
      </c>
    </row>
    <row r="24352" spans="1:5" x14ac:dyDescent="0.25">
      <c r="A24352" t="str">
        <f>HYPERLINK("https://www.773grp.com/globalSearch/BC327ZL1/page-1", "BC327ZL1")</f>
        <v>BC327ZL1</v>
      </c>
      <c r="B24352" s="3" t="str">
        <f>HYPERLINK("https://www.773grp.com/manufacturer/onsemi?pageNo=828", "ON Semiconductor")</f>
        <v>ON Semiconductor</v>
      </c>
      <c r="C24352" s="6">
        <v>30000</v>
      </c>
      <c r="D24352" s="7">
        <v>0.15</v>
      </c>
      <c r="E24352" t="s">
        <v>69</v>
      </c>
    </row>
    <row r="24353" spans="1:5" x14ac:dyDescent="0.25">
      <c r="A24353" t="str">
        <f>HYPERLINK("https://www.773grp.com/globalSearch/BC327ZL1G/page-1", "BC327ZL1G")</f>
        <v>BC327ZL1G</v>
      </c>
      <c r="B24353" s="3" t="str">
        <f>HYPERLINK("https://www.773grp.com/manufacturer/onsemi?pageNo=829", "ON Semiconductor")</f>
        <v>ON Semiconductor</v>
      </c>
      <c r="C24353" s="6">
        <v>58000</v>
      </c>
      <c r="D24353" s="7">
        <v>0.15</v>
      </c>
      <c r="E24353" t="s">
        <v>69</v>
      </c>
    </row>
    <row r="24354" spans="1:5" x14ac:dyDescent="0.25">
      <c r="A24354" t="str">
        <f>HYPERLINK("https://www.773grp.com/globalSearch/BC337/page-1", "BC337")</f>
        <v>BC337</v>
      </c>
      <c r="B24354" s="3" t="str">
        <f>HYPERLINK("https://www.773grp.com/manufacturer/onsemi?pageNo=830", "ON Semiconductor")</f>
        <v>ON Semiconductor</v>
      </c>
      <c r="C24354" s="6">
        <v>23469</v>
      </c>
      <c r="D24354" s="7">
        <v>0.15</v>
      </c>
      <c r="E24354" t="s">
        <v>69</v>
      </c>
    </row>
    <row r="24355" spans="1:5" x14ac:dyDescent="0.25">
      <c r="A24355" t="str">
        <f>HYPERLINK("https://www.773grp.com/globalSearch/BC337-016/page-1", "BC337-016")</f>
        <v>BC337-016</v>
      </c>
      <c r="B24355" s="3" t="str">
        <f>HYPERLINK("https://www.773grp.com/manufacturer/onsemi?pageNo=831", "ON Semiconductor")</f>
        <v>ON Semiconductor</v>
      </c>
      <c r="C24355" s="6">
        <v>40000</v>
      </c>
      <c r="D24355" s="7">
        <v>0.15</v>
      </c>
    </row>
    <row r="24356" spans="1:5" x14ac:dyDescent="0.25">
      <c r="A24356" t="str">
        <f>HYPERLINK("https://www.773grp.com/globalSearch/BC337-016G/page-1", "BC337-016G")</f>
        <v>BC337-016G</v>
      </c>
      <c r="B24356" s="3" t="str">
        <f>HYPERLINK("https://www.773grp.com/manufacturer/onsemi?pageNo=832", "ON Semiconductor")</f>
        <v>ON Semiconductor</v>
      </c>
      <c r="C24356" s="6">
        <v>15000</v>
      </c>
      <c r="D24356" s="7">
        <v>0.15</v>
      </c>
    </row>
    <row r="24357" spans="1:5" x14ac:dyDescent="0.25">
      <c r="A24357" t="str">
        <f>HYPERLINK("https://www.773grp.com/globalSearch/BC337-16RL1/page-1", "BC337-16RL1")</f>
        <v>BC337-16RL1</v>
      </c>
      <c r="B24357" s="3" t="str">
        <f>HYPERLINK("https://www.773grp.com/manufacturer/onsemi?pageNo=833", "ON Semiconductor")</f>
        <v>ON Semiconductor</v>
      </c>
      <c r="C24357" s="6">
        <v>34000</v>
      </c>
      <c r="D24357" s="7">
        <v>0.15</v>
      </c>
      <c r="E24357" t="s">
        <v>69</v>
      </c>
    </row>
    <row r="24358" spans="1:5" x14ac:dyDescent="0.25">
      <c r="A24358" t="str">
        <f>HYPERLINK("https://www.773grp.com/globalSearch/BC337-16RL1G/page-1", "BC337-16RL1G")</f>
        <v>BC337-16RL1G</v>
      </c>
      <c r="B24358" s="3" t="str">
        <f>HYPERLINK("https://www.773grp.com/manufacturer/onsemi?pageNo=834", "ON Semiconductor")</f>
        <v>ON Semiconductor</v>
      </c>
      <c r="C24358" s="6">
        <v>2000</v>
      </c>
      <c r="D24358" s="7">
        <v>0.15</v>
      </c>
      <c r="E24358" t="s">
        <v>69</v>
      </c>
    </row>
    <row r="24359" spans="1:5" x14ac:dyDescent="0.25">
      <c r="A24359" t="str">
        <f>HYPERLINK("https://www.773grp.com/globalSearch/BC337-16ZL1/page-1", "BC337-16ZL1")</f>
        <v>BC337-16ZL1</v>
      </c>
      <c r="B24359" s="3" t="str">
        <f>HYPERLINK("https://www.773grp.com/manufacturer/onsemi?pageNo=835", "ON Semiconductor")</f>
        <v>ON Semiconductor</v>
      </c>
      <c r="C24359" s="6">
        <v>40000</v>
      </c>
      <c r="D24359" s="7">
        <v>0.15</v>
      </c>
      <c r="E24359" t="s">
        <v>69</v>
      </c>
    </row>
    <row r="24360" spans="1:5" x14ac:dyDescent="0.25">
      <c r="A24360" t="str">
        <f>HYPERLINK("https://www.773grp.com/globalSearch/BC337-16ZL1G/page-1", "BC337-16ZL1G")</f>
        <v>BC337-16ZL1G</v>
      </c>
      <c r="B24360" s="3" t="str">
        <f>HYPERLINK("https://www.773grp.com/manufacturer/onsemi?pageNo=836", "ON Semiconductor")</f>
        <v>ON Semiconductor</v>
      </c>
      <c r="C24360" s="6">
        <v>25033</v>
      </c>
      <c r="D24360" s="7">
        <v>0.15</v>
      </c>
      <c r="E24360" t="s">
        <v>69</v>
      </c>
    </row>
    <row r="24361" spans="1:5" x14ac:dyDescent="0.25">
      <c r="A24361" t="str">
        <f>HYPERLINK("https://www.773grp.com/globalSearch/BC337-25RL1/page-1", "BC337-25RL1")</f>
        <v>BC337-25RL1</v>
      </c>
      <c r="B24361" s="3" t="str">
        <f>HYPERLINK("https://www.773grp.com/manufacturer/onsemi?pageNo=837", "ON Semiconductor")</f>
        <v>ON Semiconductor</v>
      </c>
      <c r="C24361" s="6">
        <v>42000</v>
      </c>
      <c r="D24361" s="7">
        <v>0.15</v>
      </c>
      <c r="E24361" t="s">
        <v>69</v>
      </c>
    </row>
    <row r="24362" spans="1:5" x14ac:dyDescent="0.25">
      <c r="A24362" t="str">
        <f>HYPERLINK("https://www.773grp.com/globalSearch/BC337RL1/page-1", "BC337RL1")</f>
        <v>BC337RL1</v>
      </c>
      <c r="B24362" s="3" t="str">
        <f>HYPERLINK("https://www.773grp.com/manufacturer/onsemi?pageNo=838", "ON Semiconductor")</f>
        <v>ON Semiconductor</v>
      </c>
      <c r="C24362" s="6">
        <v>10000</v>
      </c>
      <c r="D24362" s="7">
        <v>0.15</v>
      </c>
      <c r="E24362" t="s">
        <v>69</v>
      </c>
    </row>
    <row r="24363" spans="1:5" x14ac:dyDescent="0.25">
      <c r="A24363" t="str">
        <f>HYPERLINK("https://www.773grp.com/globalSearch/BC337ZL1G/page-1", "BC337ZL1G")</f>
        <v>BC337ZL1G</v>
      </c>
      <c r="B24363" s="3" t="str">
        <f>HYPERLINK("https://www.773grp.com/manufacturer/onsemi?pageNo=839", "ON Semiconductor")</f>
        <v>ON Semiconductor</v>
      </c>
      <c r="C24363" s="6">
        <v>30000</v>
      </c>
      <c r="D24363" s="7">
        <v>0.15</v>
      </c>
      <c r="E24363" t="s">
        <v>69</v>
      </c>
    </row>
    <row r="24364" spans="1:5" x14ac:dyDescent="0.25">
      <c r="A24364" t="str">
        <f>HYPERLINK("https://www.773grp.com/globalSearch/BC338-25ZL1/page-1", "BC338-25ZL1")</f>
        <v>BC338-25ZL1</v>
      </c>
      <c r="B24364" s="3" t="str">
        <f>HYPERLINK("https://www.773grp.com/manufacturer/onsemi?pageNo=840", "ON Semiconductor")</f>
        <v>ON Semiconductor</v>
      </c>
      <c r="C24364" s="6">
        <v>2000</v>
      </c>
      <c r="D24364" s="7">
        <v>0.15</v>
      </c>
      <c r="E24364" t="s">
        <v>69</v>
      </c>
    </row>
    <row r="24365" spans="1:5" x14ac:dyDescent="0.25">
      <c r="A24365" t="str">
        <f>HYPERLINK("https://www.773grp.com/globalSearch/BC338-25ZL1G/page-1", "BC338-25ZL1G")</f>
        <v>BC338-25ZL1G</v>
      </c>
      <c r="B24365" s="3" t="str">
        <f>HYPERLINK("https://www.773grp.com/manufacturer/onsemi?pageNo=841", "ON Semiconductor")</f>
        <v>ON Semiconductor</v>
      </c>
      <c r="C24365" s="6">
        <v>14000</v>
      </c>
      <c r="D24365" s="7">
        <v>0.15</v>
      </c>
      <c r="E24365" t="s">
        <v>69</v>
      </c>
    </row>
    <row r="24366" spans="1:5" x14ac:dyDescent="0.25">
      <c r="A24366" t="str">
        <f>HYPERLINK("https://www.773grp.com/globalSearch/BC368-25ZL1/page-1", "BC368-25ZL1")</f>
        <v>BC368-25ZL1</v>
      </c>
      <c r="B24366" s="3" t="str">
        <f>HYPERLINK("https://www.773grp.com/manufacturer/onsemi?pageNo=842", "ON Semiconductor")</f>
        <v>ON Semiconductor</v>
      </c>
      <c r="C24366" s="6">
        <v>42000</v>
      </c>
      <c r="D24366" s="7">
        <v>0.15</v>
      </c>
      <c r="E24366" t="s">
        <v>69</v>
      </c>
    </row>
    <row r="24367" spans="1:5" x14ac:dyDescent="0.25">
      <c r="A24367" t="str">
        <f>HYPERLINK("https://www.773grp.com/globalSearch/BC546B/page-1", "BC546B")</f>
        <v>BC546B</v>
      </c>
      <c r="B24367" s="3" t="str">
        <f>HYPERLINK("https://www.773grp.com/manufacturer/onsemi?pageNo=843", "ON Semiconductor")</f>
        <v>ON Semiconductor</v>
      </c>
      <c r="C24367" s="6">
        <v>39000</v>
      </c>
      <c r="D24367" s="7">
        <v>0.15</v>
      </c>
      <c r="E24367" t="s">
        <v>69</v>
      </c>
    </row>
    <row r="24368" spans="1:5" x14ac:dyDescent="0.25">
      <c r="A24368" t="str">
        <f>HYPERLINK("https://www.773grp.com/globalSearch/BC547ARL/page-1", "BC547ARL")</f>
        <v>BC547ARL</v>
      </c>
      <c r="B24368" s="3" t="str">
        <f>HYPERLINK("https://www.773grp.com/manufacturer/onsemi?pageNo=844", "ON Semiconductor")</f>
        <v>ON Semiconductor</v>
      </c>
      <c r="C24368" s="6">
        <v>12000</v>
      </c>
      <c r="D24368" s="7">
        <v>0.15</v>
      </c>
      <c r="E24368" t="s">
        <v>69</v>
      </c>
    </row>
    <row r="24369" spans="1:5" x14ac:dyDescent="0.25">
      <c r="A24369" t="str">
        <f>HYPERLINK("https://www.773grp.com/globalSearch/BC547ARL1/page-1", "BC547ARL1")</f>
        <v>BC547ARL1</v>
      </c>
      <c r="B24369" s="3" t="str">
        <f>HYPERLINK("https://www.773grp.com/manufacturer/onsemi?pageNo=845", "ON Semiconductor")</f>
        <v>ON Semiconductor</v>
      </c>
      <c r="C24369" s="6">
        <v>12000</v>
      </c>
      <c r="D24369" s="7">
        <v>0.15</v>
      </c>
      <c r="E24369" t="s">
        <v>69</v>
      </c>
    </row>
    <row r="24370" spans="1:5" x14ac:dyDescent="0.25">
      <c r="A24370" t="str">
        <f>HYPERLINK("https://www.773grp.com/globalSearch/BC547ARLG/page-1", "BC547ARLG")</f>
        <v>BC547ARLG</v>
      </c>
      <c r="B24370" s="3" t="str">
        <f>HYPERLINK("https://www.773grp.com/manufacturer/onsemi?pageNo=846", "ON Semiconductor")</f>
        <v>ON Semiconductor</v>
      </c>
      <c r="C24370" s="6">
        <v>16000</v>
      </c>
      <c r="D24370" s="7">
        <v>0.15</v>
      </c>
      <c r="E24370" t="s">
        <v>69</v>
      </c>
    </row>
    <row r="24371" spans="1:5" x14ac:dyDescent="0.25">
      <c r="A24371" t="str">
        <f>HYPERLINK("https://www.773grp.com/globalSearch/BC547AZL1/page-1", "BC547AZL1")</f>
        <v>BC547AZL1</v>
      </c>
      <c r="B24371" s="3" t="str">
        <f>HYPERLINK("https://www.773grp.com/manufacturer/onsemi?pageNo=847", "ON Semiconductor")</f>
        <v>ON Semiconductor</v>
      </c>
      <c r="C24371" s="6">
        <v>220000</v>
      </c>
      <c r="D24371" s="7">
        <v>0.15</v>
      </c>
      <c r="E24371" t="s">
        <v>69</v>
      </c>
    </row>
    <row r="24372" spans="1:5" x14ac:dyDescent="0.25">
      <c r="A24372" t="str">
        <f>HYPERLINK("https://www.773grp.com/globalSearch/BC547BZL1/page-1", "BC547BZL1")</f>
        <v>BC547BZL1</v>
      </c>
      <c r="B24372" s="3" t="str">
        <f>HYPERLINK("https://www.773grp.com/manufacturer/onsemi?pageNo=848", "ON Semiconductor")</f>
        <v>ON Semiconductor</v>
      </c>
      <c r="C24372" s="6">
        <v>6000</v>
      </c>
      <c r="D24372" s="7">
        <v>0.15</v>
      </c>
      <c r="E24372" t="s">
        <v>69</v>
      </c>
    </row>
    <row r="24373" spans="1:5" x14ac:dyDescent="0.25">
      <c r="A24373" t="str">
        <f>HYPERLINK("https://www.773grp.com/globalSearch/BC547C/page-1", "BC547C")</f>
        <v>BC547C</v>
      </c>
      <c r="B24373" s="3" t="str">
        <f>HYPERLINK("https://www.773grp.com/manufacturer/onsemi?pageNo=849", "ON Semiconductor")</f>
        <v>ON Semiconductor</v>
      </c>
      <c r="C24373" s="6">
        <v>5000</v>
      </c>
      <c r="D24373" s="7">
        <v>0.15</v>
      </c>
      <c r="E24373" t="s">
        <v>69</v>
      </c>
    </row>
    <row r="24374" spans="1:5" x14ac:dyDescent="0.25">
      <c r="A24374" t="str">
        <f>HYPERLINK("https://www.773grp.com/globalSearch/BC548B/page-1", "BC548B")</f>
        <v>BC548B</v>
      </c>
      <c r="B24374" s="3" t="str">
        <f>HYPERLINK("https://www.773grp.com/manufacturer/onsemi?pageNo=850", "ON Semiconductor")</f>
        <v>ON Semiconductor</v>
      </c>
      <c r="C24374" s="6">
        <v>25000</v>
      </c>
      <c r="D24374" s="7">
        <v>0.15</v>
      </c>
      <c r="E24374" t="s">
        <v>69</v>
      </c>
    </row>
    <row r="24375" spans="1:5" x14ac:dyDescent="0.25">
      <c r="A24375" t="str">
        <f>HYPERLINK("https://www.773grp.com/globalSearch/BC548BRL1/page-1", "BC548BRL1")</f>
        <v>BC548BRL1</v>
      </c>
      <c r="B24375" s="3" t="str">
        <f>HYPERLINK("https://www.773grp.com/manufacturer/onsemi?pageNo=851", "ON Semiconductor")</f>
        <v>ON Semiconductor</v>
      </c>
      <c r="C24375" s="6">
        <v>2000</v>
      </c>
      <c r="D24375" s="7">
        <v>0.15</v>
      </c>
      <c r="E24375" t="s">
        <v>69</v>
      </c>
    </row>
    <row r="24376" spans="1:5" x14ac:dyDescent="0.25">
      <c r="A24376" t="str">
        <f>HYPERLINK("https://www.773grp.com/globalSearch/BC548C/page-1", "BC548C")</f>
        <v>BC548C</v>
      </c>
      <c r="B24376" s="3" t="str">
        <f>HYPERLINK("https://www.773grp.com/manufacturer/onsemi?pageNo=852", "ON Semiconductor")</f>
        <v>ON Semiconductor</v>
      </c>
      <c r="C24376" s="6">
        <v>5000</v>
      </c>
      <c r="D24376" s="7">
        <v>0.15</v>
      </c>
      <c r="E24376" t="s">
        <v>69</v>
      </c>
    </row>
    <row r="24377" spans="1:5" x14ac:dyDescent="0.25">
      <c r="A24377" t="str">
        <f>HYPERLINK("https://www.773grp.com/globalSearch/BC556B/page-1", "BC556B")</f>
        <v>BC556B</v>
      </c>
      <c r="B24377" s="3" t="str">
        <f>HYPERLINK("https://www.773grp.com/manufacturer/onsemi?pageNo=853", "ON Semiconductor")</f>
        <v>ON Semiconductor</v>
      </c>
      <c r="C24377" s="6">
        <v>37900</v>
      </c>
      <c r="D24377" s="7">
        <v>0.15</v>
      </c>
      <c r="E24377" t="s">
        <v>69</v>
      </c>
    </row>
    <row r="24378" spans="1:5" x14ac:dyDescent="0.25">
      <c r="A24378" t="str">
        <f>HYPERLINK("https://www.773grp.com/globalSearch/BC557BRL1/page-1", "BC557BRL1")</f>
        <v>BC557BRL1</v>
      </c>
      <c r="B24378" s="3" t="str">
        <f>HYPERLINK("https://www.773grp.com/manufacturer/onsemi?pageNo=854", "ON Semiconductor")</f>
        <v>ON Semiconductor</v>
      </c>
      <c r="C24378" s="6">
        <v>42000</v>
      </c>
      <c r="D24378" s="7">
        <v>0.15</v>
      </c>
      <c r="E24378" t="s">
        <v>69</v>
      </c>
    </row>
    <row r="24379" spans="1:5" x14ac:dyDescent="0.25">
      <c r="A24379" t="str">
        <f>HYPERLINK("https://www.773grp.com/globalSearch/BC557BZL1/page-1", "BC557BZL1")</f>
        <v>BC557BZL1</v>
      </c>
      <c r="B24379" s="3" t="str">
        <f>HYPERLINK("https://www.773grp.com/manufacturer/onsemi?pageNo=855", "ON Semiconductor")</f>
        <v>ON Semiconductor</v>
      </c>
      <c r="C24379" s="6">
        <v>26000</v>
      </c>
      <c r="D24379" s="7">
        <v>0.15</v>
      </c>
      <c r="E24379" t="s">
        <v>69</v>
      </c>
    </row>
    <row r="24380" spans="1:5" x14ac:dyDescent="0.25">
      <c r="A24380" t="str">
        <f>HYPERLINK("https://www.773grp.com/globalSearch/BC557CZL1/page-1", "BC557CZL1")</f>
        <v>BC557CZL1</v>
      </c>
      <c r="B24380" s="3" t="str">
        <f>HYPERLINK("https://www.773grp.com/manufacturer/onsemi?pageNo=856", "ON Semiconductor")</f>
        <v>ON Semiconductor</v>
      </c>
      <c r="C24380" s="6">
        <v>60000</v>
      </c>
      <c r="D24380" s="7">
        <v>0.15</v>
      </c>
      <c r="E24380" t="s">
        <v>69</v>
      </c>
    </row>
    <row r="24381" spans="1:5" x14ac:dyDescent="0.25">
      <c r="A24381" t="str">
        <f>HYPERLINK("https://www.773grp.com/globalSearch/BC558BRL/page-1", "BC558BRL")</f>
        <v>BC558BRL</v>
      </c>
      <c r="B24381" s="3" t="str">
        <f>HYPERLINK("https://www.773grp.com/manufacturer/onsemi?pageNo=857", "ON Semiconductor")</f>
        <v>ON Semiconductor</v>
      </c>
      <c r="C24381" s="6">
        <v>130000</v>
      </c>
      <c r="D24381" s="7">
        <v>0.15</v>
      </c>
      <c r="E24381" t="s">
        <v>69</v>
      </c>
    </row>
    <row r="24382" spans="1:5" x14ac:dyDescent="0.25">
      <c r="A24382" t="str">
        <f>HYPERLINK("https://www.773grp.com/globalSearch/BC558BRL1/page-1", "BC558BRL1")</f>
        <v>BC558BRL1</v>
      </c>
      <c r="B24382" s="3" t="str">
        <f>HYPERLINK("https://www.773grp.com/manufacturer/onsemi?pageNo=858", "ON Semiconductor")</f>
        <v>ON Semiconductor</v>
      </c>
      <c r="C24382" s="6">
        <v>4000</v>
      </c>
      <c r="D24382" s="7">
        <v>0.15</v>
      </c>
      <c r="E24382" t="s">
        <v>69</v>
      </c>
    </row>
    <row r="24383" spans="1:5" x14ac:dyDescent="0.25">
      <c r="A24383" t="str">
        <f>HYPERLINK("https://www.773grp.com/globalSearch/BC558BZL1/page-1", "BC558BZL1")</f>
        <v>BC558BZL1</v>
      </c>
      <c r="B24383" s="3" t="str">
        <f>HYPERLINK("https://www.773grp.com/manufacturer/onsemi?pageNo=859", "ON Semiconductor")</f>
        <v>ON Semiconductor</v>
      </c>
      <c r="C24383" s="6">
        <v>12000</v>
      </c>
      <c r="D24383" s="7">
        <v>0.15</v>
      </c>
      <c r="E24383" t="s">
        <v>69</v>
      </c>
    </row>
    <row r="24384" spans="1:5" x14ac:dyDescent="0.25">
      <c r="A24384" t="str">
        <f>HYPERLINK("https://www.773grp.com/globalSearch/BC558CZL1/page-1", "BC558CZL1")</f>
        <v>BC558CZL1</v>
      </c>
      <c r="B24384" s="3" t="str">
        <f>HYPERLINK("https://www.773grp.com/manufacturer/onsemi?pageNo=860", "ON Semiconductor")</f>
        <v>ON Semiconductor</v>
      </c>
      <c r="C24384" s="6">
        <v>86000</v>
      </c>
      <c r="D24384" s="7">
        <v>0.15</v>
      </c>
      <c r="E24384" t="s">
        <v>69</v>
      </c>
    </row>
    <row r="24385" spans="1:5" x14ac:dyDescent="0.25">
      <c r="A24385" t="str">
        <f>HYPERLINK("https://www.773grp.com/globalSearch/BC635ZL1G/page-1", "BC635ZL1G")</f>
        <v>BC635ZL1G</v>
      </c>
      <c r="B24385" s="3" t="str">
        <f>HYPERLINK("https://www.773grp.com/manufacturer/onsemi?pageNo=861", "ON Semiconductor")</f>
        <v>ON Semiconductor</v>
      </c>
      <c r="C24385" s="6">
        <v>6000</v>
      </c>
      <c r="D24385" s="7">
        <v>0.15</v>
      </c>
      <c r="E24385" t="s">
        <v>69</v>
      </c>
    </row>
    <row r="24386" spans="1:5" x14ac:dyDescent="0.25">
      <c r="A24386" t="str">
        <f>HYPERLINK("https://www.773grp.com/globalSearch/BC636/page-1", "BC636")</f>
        <v>BC636</v>
      </c>
      <c r="B24386" s="3" t="str">
        <f>HYPERLINK("https://www.773grp.com/manufacturer/onsemi?pageNo=862", "ON Semiconductor")</f>
        <v>ON Semiconductor</v>
      </c>
      <c r="C24386" s="6">
        <v>10000</v>
      </c>
      <c r="D24386" s="7">
        <v>0.15</v>
      </c>
      <c r="E24386" t="s">
        <v>69</v>
      </c>
    </row>
    <row r="24387" spans="1:5" x14ac:dyDescent="0.25">
      <c r="A24387" t="str">
        <f>HYPERLINK("https://www.773grp.com/globalSearch/BC636-16ZL1/page-1", "BC636-16ZL1")</f>
        <v>BC636-16ZL1</v>
      </c>
      <c r="B24387" s="3" t="str">
        <f>HYPERLINK("https://www.773grp.com/manufacturer/onsemi?pageNo=863", "ON Semiconductor")</f>
        <v>ON Semiconductor</v>
      </c>
      <c r="C24387" s="6">
        <v>24000</v>
      </c>
      <c r="D24387" s="7">
        <v>0.15</v>
      </c>
      <c r="E24387" t="s">
        <v>69</v>
      </c>
    </row>
    <row r="24388" spans="1:5" x14ac:dyDescent="0.25">
      <c r="A24388" t="str">
        <f>HYPERLINK("https://www.773grp.com/globalSearch/BC636ZL1/page-1", "BC636ZL1")</f>
        <v>BC636ZL1</v>
      </c>
      <c r="B24388" s="3" t="str">
        <f>HYPERLINK("https://www.773grp.com/manufacturer/onsemi?pageNo=864", "ON Semiconductor")</f>
        <v>ON Semiconductor</v>
      </c>
      <c r="C24388" s="6">
        <v>40000</v>
      </c>
      <c r="D24388" s="7">
        <v>0.15</v>
      </c>
      <c r="E24388" t="s">
        <v>69</v>
      </c>
    </row>
    <row r="24389" spans="1:5" x14ac:dyDescent="0.25">
      <c r="A24389" t="str">
        <f>HYPERLINK("https://www.773grp.com/globalSearch/BC807-16LT1G/page-1", "BC807-16LT1G")</f>
        <v>BC807-16LT1G</v>
      </c>
      <c r="B24389" s="3" t="str">
        <f>HYPERLINK("https://www.773grp.com/manufacturer/onsemi?pageNo=865", "ON Semiconductor")</f>
        <v>ON Semiconductor</v>
      </c>
      <c r="C24389" s="6">
        <v>330000</v>
      </c>
      <c r="D24389" s="7">
        <v>0.15</v>
      </c>
      <c r="E24389" t="s">
        <v>69</v>
      </c>
    </row>
    <row r="24390" spans="1:5" x14ac:dyDescent="0.25">
      <c r="A24390" t="str">
        <f>HYPERLINK("https://www.773grp.com/globalSearch/BC807-16LT3G/page-1", "BC807-16LT3G")</f>
        <v>BC807-16LT3G</v>
      </c>
      <c r="B24390" s="3" t="str">
        <f>HYPERLINK("https://www.773grp.com/manufacturer/onsemi?pageNo=866", "ON Semiconductor")</f>
        <v>ON Semiconductor</v>
      </c>
      <c r="C24390" s="6">
        <v>200000</v>
      </c>
      <c r="D24390" s="7">
        <v>0.15</v>
      </c>
      <c r="E24390" t="s">
        <v>69</v>
      </c>
    </row>
    <row r="24391" spans="1:5" x14ac:dyDescent="0.25">
      <c r="A24391" t="str">
        <f>HYPERLINK("https://www.773grp.com/globalSearch/BC807-25LT1G/page-1", "BC807-25LT1G")</f>
        <v>BC807-25LT1G</v>
      </c>
      <c r="B24391" s="3" t="str">
        <f>HYPERLINK("https://www.773grp.com/manufacturer/onsemi?pageNo=867", "ON Semiconductor")</f>
        <v>ON Semiconductor</v>
      </c>
      <c r="C24391" s="6">
        <v>1563000</v>
      </c>
      <c r="D24391" s="7">
        <v>0.15</v>
      </c>
      <c r="E24391" t="s">
        <v>69</v>
      </c>
    </row>
    <row r="24392" spans="1:5" x14ac:dyDescent="0.25">
      <c r="A24392" t="str">
        <f>HYPERLINK("https://www.773grp.com/globalSearch/BC807-25LT3G/page-1", "BC807-25LT3G")</f>
        <v>BC807-25LT3G</v>
      </c>
      <c r="B24392" s="3" t="str">
        <f>HYPERLINK("https://www.773grp.com/manufacturer/onsemi?pageNo=868", "ON Semiconductor")</f>
        <v>ON Semiconductor</v>
      </c>
      <c r="C24392" s="6">
        <v>2130000</v>
      </c>
      <c r="D24392" s="7">
        <v>0.15</v>
      </c>
      <c r="E24392" t="s">
        <v>69</v>
      </c>
    </row>
    <row r="24393" spans="1:5" x14ac:dyDescent="0.25">
      <c r="A24393" t="str">
        <f>HYPERLINK("https://www.773grp.com/globalSearch/BC807-40LT1/page-1", "BC807-40LT1")</f>
        <v>BC807-40LT1</v>
      </c>
      <c r="B24393" s="3" t="str">
        <f>HYPERLINK("https://www.773grp.com/manufacturer/onsemi?pageNo=869", "ON Semiconductor")</f>
        <v>ON Semiconductor</v>
      </c>
      <c r="C24393" s="6">
        <v>870000</v>
      </c>
      <c r="D24393" s="7">
        <v>0.15</v>
      </c>
      <c r="E24393" t="s">
        <v>69</v>
      </c>
    </row>
    <row r="24394" spans="1:5" x14ac:dyDescent="0.25">
      <c r="A24394" t="str">
        <f>HYPERLINK("https://www.773grp.com/globalSearch/BC807-40LT1G/page-1", "BC807-40LT1G")</f>
        <v>BC807-40LT1G</v>
      </c>
      <c r="B24394" s="3" t="str">
        <f>HYPERLINK("https://www.773grp.com/manufacturer/onsemi?pageNo=870", "ON Semiconductor")</f>
        <v>ON Semiconductor</v>
      </c>
      <c r="C24394" s="6">
        <v>7476000</v>
      </c>
      <c r="D24394" s="7">
        <v>0.15</v>
      </c>
      <c r="E24394" t="s">
        <v>69</v>
      </c>
    </row>
    <row r="24395" spans="1:5" x14ac:dyDescent="0.25">
      <c r="A24395" t="str">
        <f>HYPERLINK("https://www.773grp.com/globalSearch/BC807-40LT3G/page-1", "BC807-40LT3G")</f>
        <v>BC807-40LT3G</v>
      </c>
      <c r="B24395" s="3" t="str">
        <f>HYPERLINK("https://www.773grp.com/manufacturer/onsemi?pageNo=871", "ON Semiconductor")</f>
        <v>ON Semiconductor</v>
      </c>
      <c r="C24395" s="6">
        <v>1140000</v>
      </c>
      <c r="D24395" s="7">
        <v>0.15</v>
      </c>
    </row>
    <row r="24396" spans="1:5" x14ac:dyDescent="0.25">
      <c r="A24396" t="str">
        <f>HYPERLINK("https://www.773grp.com/globalSearch/BC807-40WT1G/page-1", "BC807-40WT1G")</f>
        <v>BC807-40WT1G</v>
      </c>
      <c r="B24396" s="3" t="str">
        <f>HYPERLINK("https://www.773grp.com/manufacturer/onsemi?pageNo=872", "ON Semiconductor")</f>
        <v>ON Semiconductor</v>
      </c>
      <c r="C24396" s="6">
        <v>615000</v>
      </c>
      <c r="D24396" s="7">
        <v>0.15</v>
      </c>
    </row>
    <row r="24397" spans="1:5" x14ac:dyDescent="0.25">
      <c r="A24397" t="str">
        <f>HYPERLINK("https://www.773grp.com/globalSearch/BC808-25LT1G/page-1", "BC808-25LT1G")</f>
        <v>BC808-25LT1G</v>
      </c>
      <c r="B24397" s="3" t="str">
        <f>HYPERLINK("https://www.773grp.com/manufacturer/onsemi?pageNo=873", "ON Semiconductor")</f>
        <v>ON Semiconductor</v>
      </c>
      <c r="C24397" s="6">
        <v>366000</v>
      </c>
      <c r="D24397" s="7">
        <v>0.15</v>
      </c>
      <c r="E24397" t="s">
        <v>69</v>
      </c>
    </row>
    <row r="24398" spans="1:5" x14ac:dyDescent="0.25">
      <c r="A24398" t="str">
        <f>HYPERLINK("https://www.773grp.com/globalSearch/BC808-40LT1/page-1", "BC808-40LT1")</f>
        <v>BC808-40LT1</v>
      </c>
      <c r="B24398" s="3" t="str">
        <f>HYPERLINK("https://www.773grp.com/manufacturer/onsemi?pageNo=874", "ON Semiconductor")</f>
        <v>ON Semiconductor</v>
      </c>
      <c r="C24398" s="6">
        <v>402000</v>
      </c>
      <c r="D24398" s="7">
        <v>0.15</v>
      </c>
      <c r="E24398" t="s">
        <v>69</v>
      </c>
    </row>
    <row r="24399" spans="1:5" x14ac:dyDescent="0.25">
      <c r="A24399" t="str">
        <f>HYPERLINK("https://www.773grp.com/globalSearch/BC808-40LT1G/page-1", "BC808-40LT1G")</f>
        <v>BC808-40LT1G</v>
      </c>
      <c r="B24399" s="3" t="str">
        <f>HYPERLINK("https://www.773grp.com/manufacturer/onsemi?pageNo=875", "ON Semiconductor")</f>
        <v>ON Semiconductor</v>
      </c>
      <c r="C24399" s="6">
        <v>54000</v>
      </c>
      <c r="D24399" s="7">
        <v>0.15</v>
      </c>
      <c r="E24399" t="s">
        <v>69</v>
      </c>
    </row>
    <row r="24400" spans="1:5" x14ac:dyDescent="0.25">
      <c r="A24400" t="str">
        <f>HYPERLINK("https://www.773grp.com/globalSearch/BC817-16LT1G/page-1", "BC817-16LT1G")</f>
        <v>BC817-16LT1G</v>
      </c>
      <c r="B24400" s="3" t="str">
        <f>HYPERLINK("https://www.773grp.com/manufacturer/onsemi?pageNo=876", "ON Semiconductor")</f>
        <v>ON Semiconductor</v>
      </c>
      <c r="C24400" s="6">
        <v>518647</v>
      </c>
      <c r="D24400" s="7">
        <v>0.15</v>
      </c>
      <c r="E24400" t="s">
        <v>69</v>
      </c>
    </row>
    <row r="24401" spans="1:5" x14ac:dyDescent="0.25">
      <c r="A24401" t="str">
        <f>HYPERLINK("https://www.773grp.com/globalSearch/BC817-16LT3G/page-1", "BC817-16LT3G")</f>
        <v>BC817-16LT3G</v>
      </c>
      <c r="B24401" s="3" t="str">
        <f>HYPERLINK("https://www.773grp.com/manufacturer/onsemi?pageNo=877", "ON Semiconductor")</f>
        <v>ON Semiconductor</v>
      </c>
      <c r="C24401" s="6">
        <v>30000</v>
      </c>
      <c r="D24401" s="7">
        <v>0.15</v>
      </c>
    </row>
    <row r="24402" spans="1:5" x14ac:dyDescent="0.25">
      <c r="A24402" t="str">
        <f>HYPERLINK("https://www.773grp.com/globalSearch/BC817-40LT1/page-1", "BC817-40LT1")</f>
        <v>BC817-40LT1</v>
      </c>
      <c r="B24402" s="3" t="str">
        <f>HYPERLINK("https://www.773grp.com/manufacturer/onsemi?pageNo=878", "ON Semiconductor")</f>
        <v>ON Semiconductor</v>
      </c>
      <c r="C24402" s="6">
        <v>480818</v>
      </c>
      <c r="D24402" s="7">
        <v>0.15</v>
      </c>
      <c r="E24402" t="s">
        <v>69</v>
      </c>
    </row>
    <row r="24403" spans="1:5" x14ac:dyDescent="0.25">
      <c r="A24403" t="str">
        <f>HYPERLINK("https://www.773grp.com/globalSearch/BC817-40LT3/page-1", "BC817-40LT3")</f>
        <v>BC817-40LT3</v>
      </c>
      <c r="B24403" s="3" t="str">
        <f>HYPERLINK("https://www.773grp.com/manufacturer/onsemi?pageNo=879", "ON Semiconductor")</f>
        <v>ON Semiconductor</v>
      </c>
      <c r="C24403" s="6">
        <v>930000</v>
      </c>
      <c r="D24403" s="7">
        <v>0.15</v>
      </c>
      <c r="E24403" t="s">
        <v>69</v>
      </c>
    </row>
    <row r="24404" spans="1:5" x14ac:dyDescent="0.25">
      <c r="A24404" t="str">
        <f>HYPERLINK("https://www.773grp.com/globalSearch/BC846BM3T5G/page-1", "BC846BM3T5G")</f>
        <v>BC846BM3T5G</v>
      </c>
      <c r="B24404" s="3" t="str">
        <f>HYPERLINK("https://www.773grp.com/manufacturer/onsemi?pageNo=880", "ON Semiconductor")</f>
        <v>ON Semiconductor</v>
      </c>
      <c r="C24404" s="6">
        <v>182333</v>
      </c>
      <c r="D24404" s="7">
        <v>0.15</v>
      </c>
      <c r="E24404" t="s">
        <v>69</v>
      </c>
    </row>
    <row r="24405" spans="1:5" x14ac:dyDescent="0.25">
      <c r="A24405" t="str">
        <f>HYPERLINK("https://www.773grp.com/globalSearch/BC847ALT1/page-1", "BC847ALT1")</f>
        <v>BC847ALT1</v>
      </c>
      <c r="B24405" s="3" t="str">
        <f>HYPERLINK("https://www.773grp.com/manufacturer/onsemi?pageNo=881", "ON Semiconductor")</f>
        <v>ON Semiconductor</v>
      </c>
      <c r="C24405" s="6">
        <v>23905</v>
      </c>
      <c r="D24405" s="7">
        <v>0.15</v>
      </c>
      <c r="E24405" t="s">
        <v>69</v>
      </c>
    </row>
    <row r="24406" spans="1:5" x14ac:dyDescent="0.25">
      <c r="A24406" t="str">
        <f>HYPERLINK("https://www.773grp.com/globalSearch/BC847BLT1/page-1", "BC847BLT1")</f>
        <v>BC847BLT1</v>
      </c>
      <c r="B24406" s="3" t="str">
        <f>HYPERLINK("https://www.773grp.com/manufacturer/onsemi?pageNo=882", "ON Semiconductor")</f>
        <v>ON Semiconductor</v>
      </c>
      <c r="C24406" s="6">
        <v>7267842</v>
      </c>
      <c r="D24406" s="7">
        <v>0.15</v>
      </c>
      <c r="E24406" t="s">
        <v>69</v>
      </c>
    </row>
    <row r="24407" spans="1:5" x14ac:dyDescent="0.25">
      <c r="A24407" t="str">
        <f>HYPERLINK("https://www.773grp.com/globalSearch/BC847BLT3/page-1", "BC847BLT3")</f>
        <v>BC847BLT3</v>
      </c>
      <c r="B24407" s="3" t="str">
        <f>HYPERLINK("https://www.773grp.com/manufacturer/onsemi?pageNo=883", "ON Semiconductor")</f>
        <v>ON Semiconductor</v>
      </c>
      <c r="C24407" s="6">
        <v>1220000</v>
      </c>
      <c r="D24407" s="7">
        <v>0.15</v>
      </c>
      <c r="E24407" t="s">
        <v>69</v>
      </c>
    </row>
    <row r="24408" spans="1:5" x14ac:dyDescent="0.25">
      <c r="A24408" t="str">
        <f>HYPERLINK("https://www.773grp.com/globalSearch/BC847BM3T5G/page-1", "BC847BM3T5G")</f>
        <v>BC847BM3T5G</v>
      </c>
      <c r="B24408" s="3" t="str">
        <f>HYPERLINK("https://www.773grp.com/manufacturer/onsemi?pageNo=884", "ON Semiconductor")</f>
        <v>ON Semiconductor</v>
      </c>
      <c r="C24408" s="6">
        <v>280000</v>
      </c>
      <c r="D24408" s="7">
        <v>0.15</v>
      </c>
      <c r="E24408" t="s">
        <v>69</v>
      </c>
    </row>
    <row r="24409" spans="1:5" x14ac:dyDescent="0.25">
      <c r="A24409" t="str">
        <f>HYPERLINK("https://www.773grp.com/globalSearch/BC847BTT1G/page-1", "BC847BTT1G")</f>
        <v>BC847BTT1G</v>
      </c>
      <c r="B24409" s="3" t="str">
        <f>HYPERLINK("https://www.773grp.com/manufacturer/onsemi?pageNo=885", "ON Semiconductor")</f>
        <v>ON Semiconductor</v>
      </c>
      <c r="C24409" s="6">
        <v>2486859</v>
      </c>
      <c r="D24409" s="7">
        <v>0.15</v>
      </c>
      <c r="E24409" t="s">
        <v>69</v>
      </c>
    </row>
    <row r="24410" spans="1:5" x14ac:dyDescent="0.25">
      <c r="A24410" t="str">
        <f>HYPERLINK("https://www.773grp.com/globalSearch/BC847CLT1/page-1", "BC847CLT1")</f>
        <v>BC847CLT1</v>
      </c>
      <c r="B24410" s="3" t="str">
        <f>HYPERLINK("https://www.773grp.com/manufacturer/onsemi?pageNo=886", "ON Semiconductor")</f>
        <v>ON Semiconductor</v>
      </c>
      <c r="C24410" s="6">
        <v>308975</v>
      </c>
      <c r="D24410" s="7">
        <v>0.15</v>
      </c>
      <c r="E24410" t="s">
        <v>69</v>
      </c>
    </row>
    <row r="24411" spans="1:5" x14ac:dyDescent="0.25">
      <c r="A24411" t="str">
        <f>HYPERLINK("https://www.773grp.com/globalSearch/BC847CLT1G/page-1", "BC847CLT1G")</f>
        <v>BC847CLT1G</v>
      </c>
      <c r="B24411" s="3" t="str">
        <f>HYPERLINK("https://www.773grp.com/manufacturer/onsemi?pageNo=887", "ON Semiconductor")</f>
        <v>ON Semiconductor</v>
      </c>
      <c r="C24411" s="6">
        <v>983900</v>
      </c>
      <c r="D24411" s="7">
        <v>0.15</v>
      </c>
      <c r="E24411" t="s">
        <v>69</v>
      </c>
    </row>
    <row r="24412" spans="1:5" x14ac:dyDescent="0.25">
      <c r="A24412" t="str">
        <f>HYPERLINK("https://www.773grp.com/globalSearch/BC847CLT3G/page-1", "BC847CLT3G")</f>
        <v>BC847CLT3G</v>
      </c>
      <c r="B24412" s="3" t="str">
        <f>HYPERLINK("https://www.773grp.com/manufacturer/onsemi?pageNo=888", "ON Semiconductor")</f>
        <v>ON Semiconductor</v>
      </c>
      <c r="C24412" s="6">
        <v>30000</v>
      </c>
      <c r="D24412" s="7">
        <v>0.15</v>
      </c>
    </row>
    <row r="24413" spans="1:5" x14ac:dyDescent="0.25">
      <c r="A24413" t="str">
        <f>HYPERLINK("https://www.773grp.com/globalSearch/BC847CWT1/page-1", "BC847CWT1")</f>
        <v>BC847CWT1</v>
      </c>
      <c r="B24413" s="3" t="str">
        <f>HYPERLINK("https://www.773grp.com/manufacturer/onsemi?pageNo=889", "ON Semiconductor")</f>
        <v>ON Semiconductor</v>
      </c>
      <c r="C24413" s="6">
        <v>105000</v>
      </c>
      <c r="D24413" s="7">
        <v>0.15</v>
      </c>
      <c r="E24413" t="s">
        <v>69</v>
      </c>
    </row>
    <row r="24414" spans="1:5" x14ac:dyDescent="0.25">
      <c r="A24414" t="str">
        <f>HYPERLINK("https://www.773grp.com/globalSearch/BC847CWT1G/page-1", "BC847CWT1G")</f>
        <v>BC847CWT1G</v>
      </c>
      <c r="B24414" s="3" t="str">
        <f>HYPERLINK("https://www.773grp.com/manufacturer/onsemi?pageNo=890", "ON Semiconductor")</f>
        <v>ON Semiconductor</v>
      </c>
      <c r="C24414" s="6">
        <v>51000</v>
      </c>
      <c r="D24414" s="7">
        <v>0.15</v>
      </c>
    </row>
    <row r="24415" spans="1:5" x14ac:dyDescent="0.25">
      <c r="A24415" t="str">
        <f>HYPERLINK("https://www.773grp.com/globalSearch/BC847CWT3G/page-1", "BC847CWT3G")</f>
        <v>BC847CWT3G</v>
      </c>
      <c r="B24415" s="3" t="str">
        <f>HYPERLINK("https://www.773grp.com/manufacturer/onsemi?pageNo=891", "ON Semiconductor")</f>
        <v>ON Semiconductor</v>
      </c>
      <c r="C24415" s="6">
        <v>80000</v>
      </c>
      <c r="D24415" s="7">
        <v>0.15</v>
      </c>
    </row>
    <row r="24416" spans="1:5" x14ac:dyDescent="0.25">
      <c r="A24416" t="str">
        <f>HYPERLINK("https://www.773grp.com/globalSearch/BC848CDXV6T1G/page-1", "BC848CDXV6T1G")</f>
        <v>BC848CDXV6T1G</v>
      </c>
      <c r="B24416" s="3" t="str">
        <f>HYPERLINK("https://www.773grp.com/manufacturer/onsemi?pageNo=892", "ON Semiconductor")</f>
        <v>ON Semiconductor</v>
      </c>
      <c r="C24416" s="6">
        <v>100000</v>
      </c>
      <c r="D24416" s="7">
        <v>0.15</v>
      </c>
      <c r="E24416" t="s">
        <v>69</v>
      </c>
    </row>
    <row r="24417" spans="1:5" x14ac:dyDescent="0.25">
      <c r="A24417" t="str">
        <f>HYPERLINK("https://www.773grp.com/globalSearch/BC848CLT1G/page-1", "BC848CLT1G")</f>
        <v>BC848CLT1G</v>
      </c>
      <c r="B24417" s="3" t="str">
        <f>HYPERLINK("https://www.773grp.com/manufacturer/onsemi?pageNo=893", "ON Semiconductor")</f>
        <v>ON Semiconductor</v>
      </c>
      <c r="C24417" s="6">
        <v>1100935</v>
      </c>
      <c r="D24417" s="7">
        <v>0.15</v>
      </c>
      <c r="E24417" t="s">
        <v>69</v>
      </c>
    </row>
    <row r="24418" spans="1:5" x14ac:dyDescent="0.25">
      <c r="A24418" t="str">
        <f>HYPERLINK("https://www.773grp.com/globalSearch/BC848CWT1G/page-1", "BC848CWT1G")</f>
        <v>BC848CWT1G</v>
      </c>
      <c r="B24418" s="3" t="str">
        <f>HYPERLINK("https://www.773grp.com/manufacturer/onsemi?pageNo=894", "ON Semiconductor")</f>
        <v>ON Semiconductor</v>
      </c>
      <c r="C24418" s="6">
        <v>78000</v>
      </c>
      <c r="D24418" s="7">
        <v>0.15</v>
      </c>
      <c r="E24418" t="s">
        <v>69</v>
      </c>
    </row>
    <row r="24419" spans="1:5" x14ac:dyDescent="0.25">
      <c r="A24419" t="str">
        <f>HYPERLINK("https://www.773grp.com/globalSearch/BC849CLT1G/page-1", "BC849CLT1G")</f>
        <v>BC849CLT1G</v>
      </c>
      <c r="B24419" s="3" t="str">
        <f>HYPERLINK("https://www.773grp.com/manufacturer/onsemi?pageNo=895", "ON Semiconductor")</f>
        <v>ON Semiconductor</v>
      </c>
      <c r="C24419" s="6">
        <v>45000</v>
      </c>
      <c r="D24419" s="7">
        <v>0.15</v>
      </c>
      <c r="E24419" t="s">
        <v>69</v>
      </c>
    </row>
    <row r="24420" spans="1:5" x14ac:dyDescent="0.25">
      <c r="A24420" t="str">
        <f>HYPERLINK("https://www.773grp.com/globalSearch/BC856BLT1/page-1", "BC856BLT1")</f>
        <v>BC856BLT1</v>
      </c>
      <c r="B24420" s="3" t="str">
        <f>HYPERLINK("https://www.773grp.com/manufacturer/onsemi?pageNo=896", "ON Semiconductor")</f>
        <v>ON Semiconductor</v>
      </c>
      <c r="C24420" s="6">
        <v>576725</v>
      </c>
      <c r="D24420" s="7">
        <v>0.15</v>
      </c>
      <c r="E24420" t="s">
        <v>69</v>
      </c>
    </row>
    <row r="24421" spans="1:5" x14ac:dyDescent="0.25">
      <c r="A24421" t="str">
        <f>HYPERLINK("https://www.773grp.com/globalSearch/BC857BTT1G/page-1", "BC857BTT1G")</f>
        <v>BC857BTT1G</v>
      </c>
      <c r="B24421" s="3" t="str">
        <f>HYPERLINK("https://www.773grp.com/manufacturer/onsemi?pageNo=897", "ON Semiconductor")</f>
        <v>ON Semiconductor</v>
      </c>
      <c r="C24421" s="6">
        <v>139587</v>
      </c>
      <c r="D24421" s="7">
        <v>0.15</v>
      </c>
      <c r="E24421" t="s">
        <v>69</v>
      </c>
    </row>
    <row r="24422" spans="1:5" x14ac:dyDescent="0.25">
      <c r="A24422" t="str">
        <f>HYPERLINK("https://www.773grp.com/globalSearch/BC857CLT1/page-1", "BC857CLT1")</f>
        <v>BC857CLT1</v>
      </c>
      <c r="B24422" s="3" t="str">
        <f>HYPERLINK("https://www.773grp.com/manufacturer/onsemi?pageNo=898", "ON Semiconductor")</f>
        <v>ON Semiconductor</v>
      </c>
      <c r="C24422" s="6">
        <v>2320</v>
      </c>
      <c r="D24422" s="7">
        <v>0.15</v>
      </c>
      <c r="E24422" t="s">
        <v>69</v>
      </c>
    </row>
    <row r="24423" spans="1:5" x14ac:dyDescent="0.25">
      <c r="A24423" t="str">
        <f>HYPERLINK("https://www.773grp.com/globalSearch/BC857CWT1G/page-1", "BC857CWT1G")</f>
        <v>BC857CWT1G</v>
      </c>
      <c r="B24423" s="3" t="str">
        <f>HYPERLINK("https://www.773grp.com/manufacturer/onsemi?pageNo=899", "ON Semiconductor")</f>
        <v>ON Semiconductor</v>
      </c>
      <c r="C24423" s="6">
        <v>56895</v>
      </c>
      <c r="D24423" s="7">
        <v>0.15</v>
      </c>
      <c r="E24423" t="s">
        <v>69</v>
      </c>
    </row>
    <row r="24424" spans="1:5" x14ac:dyDescent="0.25">
      <c r="A24424" t="str">
        <f>HYPERLINK("https://www.773grp.com/globalSearch/BC858CLT1/page-1", "BC858CLT1")</f>
        <v>BC858CLT1</v>
      </c>
      <c r="B24424" s="3" t="str">
        <f>HYPERLINK("https://www.773grp.com/manufacturer/onsemi?pageNo=900", "ON Semiconductor")</f>
        <v>ON Semiconductor</v>
      </c>
      <c r="C24424" s="6">
        <v>136000</v>
      </c>
      <c r="D24424" s="7">
        <v>0.15</v>
      </c>
      <c r="E24424" t="s">
        <v>69</v>
      </c>
    </row>
    <row r="24425" spans="1:5" x14ac:dyDescent="0.25">
      <c r="A24425" t="str">
        <f>HYPERLINK("https://www.773grp.com/globalSearch/BC858CLT3/page-1", "BC858CLT3")</f>
        <v>BC858CLT3</v>
      </c>
      <c r="B24425" s="3" t="str">
        <f>HYPERLINK("https://www.773grp.com/manufacturer/onsemi?pageNo=901", "ON Semiconductor")</f>
        <v>ON Semiconductor</v>
      </c>
      <c r="C24425" s="6">
        <v>1290000</v>
      </c>
      <c r="D24425" s="7">
        <v>0.15</v>
      </c>
      <c r="E24425" t="s">
        <v>69</v>
      </c>
    </row>
    <row r="24426" spans="1:5" x14ac:dyDescent="0.25">
      <c r="A24426" t="str">
        <f>HYPERLINK("https://www.773grp.com/globalSearch/BCW30LT1G/page-1", "BCW30LT1G")</f>
        <v>BCW30LT1G</v>
      </c>
      <c r="B24426" s="3" t="str">
        <f>HYPERLINK("https://www.773grp.com/manufacturer/onsemi?pageNo=902", "ON Semiconductor")</f>
        <v>ON Semiconductor</v>
      </c>
      <c r="C24426" s="6">
        <v>87858</v>
      </c>
      <c r="D24426" s="7">
        <v>0.15</v>
      </c>
      <c r="E24426" t="s">
        <v>69</v>
      </c>
    </row>
    <row r="24427" spans="1:5" x14ac:dyDescent="0.25">
      <c r="A24427" t="str">
        <f>HYPERLINK("https://www.773grp.com/globalSearch/BCW32LT1G/page-1", "BCW32LT1G")</f>
        <v>BCW32LT1G</v>
      </c>
      <c r="B24427" s="3" t="str">
        <f>HYPERLINK("https://www.773grp.com/manufacturer/onsemi?pageNo=903", "ON Semiconductor")</f>
        <v>ON Semiconductor</v>
      </c>
      <c r="C24427" s="6">
        <v>165000</v>
      </c>
      <c r="D24427" s="7">
        <v>0.15</v>
      </c>
      <c r="E24427" t="s">
        <v>69</v>
      </c>
    </row>
    <row r="24428" spans="1:5" x14ac:dyDescent="0.25">
      <c r="A24428" t="str">
        <f>HYPERLINK("https://www.773grp.com/globalSearch/BCW33LT1G/page-1", "BCW33LT1G")</f>
        <v>BCW33LT1G</v>
      </c>
      <c r="B24428" s="3" t="str">
        <f>HYPERLINK("https://www.773grp.com/manufacturer/onsemi?pageNo=904", "ON Semiconductor")</f>
        <v>ON Semiconductor</v>
      </c>
      <c r="C24428" s="6">
        <v>75408</v>
      </c>
      <c r="D24428" s="7">
        <v>0.15</v>
      </c>
      <c r="E24428" t="s">
        <v>69</v>
      </c>
    </row>
    <row r="24429" spans="1:5" x14ac:dyDescent="0.25">
      <c r="A24429" t="str">
        <f>HYPERLINK("https://www.773grp.com/globalSearch/BCW33LT3G/page-1", "BCW33LT3G")</f>
        <v>BCW33LT3G</v>
      </c>
      <c r="B24429" s="3" t="str">
        <f>HYPERLINK("https://www.773grp.com/manufacturer/onsemi?pageNo=905", "ON Semiconductor")</f>
        <v>ON Semiconductor</v>
      </c>
      <c r="C24429" s="6">
        <v>1010000</v>
      </c>
      <c r="D24429" s="7">
        <v>0.15</v>
      </c>
    </row>
    <row r="24430" spans="1:5" x14ac:dyDescent="0.25">
      <c r="A24430" t="str">
        <f>HYPERLINK("https://www.773grp.com/globalSearch/BCX56-10R1/page-1", "BCX56-10R1")</f>
        <v>BCX56-10R1</v>
      </c>
      <c r="B24430" s="3" t="str">
        <f>HYPERLINK("https://www.773grp.com/manufacturer/onsemi?pageNo=906", "ON Semiconductor")</f>
        <v>ON Semiconductor</v>
      </c>
      <c r="C24430" s="6">
        <v>68000</v>
      </c>
      <c r="D24430" s="7">
        <v>0.15</v>
      </c>
      <c r="E24430" t="s">
        <v>69</v>
      </c>
    </row>
    <row r="24431" spans="1:5" x14ac:dyDescent="0.25">
      <c r="A24431" t="str">
        <f>HYPERLINK("https://www.773grp.com/globalSearch/BF423ZL1G/page-1", "BF423ZL1G")</f>
        <v>BF423ZL1G</v>
      </c>
      <c r="B24431" s="3" t="str">
        <f>HYPERLINK("https://www.773grp.com/manufacturer/onsemi?pageNo=907", "ON Semiconductor")</f>
        <v>ON Semiconductor</v>
      </c>
      <c r="C24431" s="6">
        <v>3900</v>
      </c>
      <c r="D24431" s="7">
        <v>0.15</v>
      </c>
      <c r="E24431" t="s">
        <v>69</v>
      </c>
    </row>
    <row r="24432" spans="1:5" x14ac:dyDescent="0.25">
      <c r="A24432" t="str">
        <f>HYPERLINK("https://www.773grp.com/globalSearch/BF493SZL1/page-1", "BF493SZL1")</f>
        <v>BF493SZL1</v>
      </c>
      <c r="B24432" s="3" t="str">
        <f>HYPERLINK("https://www.773grp.com/manufacturer/onsemi?pageNo=908", "ON Semiconductor")</f>
        <v>ON Semiconductor</v>
      </c>
      <c r="C24432" s="6">
        <v>3990</v>
      </c>
      <c r="D24432" s="7">
        <v>0.15</v>
      </c>
      <c r="E24432" t="s">
        <v>69</v>
      </c>
    </row>
    <row r="24433" spans="1:5" x14ac:dyDescent="0.25">
      <c r="A24433" t="str">
        <f>HYPERLINK("https://www.773grp.com/globalSearch/BSS123LT1/page-1", "BSS123LT1")</f>
        <v>BSS123LT1</v>
      </c>
      <c r="B24433" s="3" t="str">
        <f>HYPERLINK("https://www.773grp.com/manufacturer/onsemi?pageNo=909", "ON Semiconductor")</f>
        <v>ON Semiconductor</v>
      </c>
      <c r="C24433" s="6">
        <v>21000</v>
      </c>
      <c r="D24433" s="7">
        <v>0.15</v>
      </c>
      <c r="E24433" t="s">
        <v>106</v>
      </c>
    </row>
    <row r="24434" spans="1:5" x14ac:dyDescent="0.25">
      <c r="A24434" t="str">
        <f>HYPERLINK("https://www.773grp.com/globalSearch/BSS123LT1G/page-1", "BSS123LT1G")</f>
        <v>BSS123LT1G</v>
      </c>
      <c r="B24434" s="3" t="str">
        <f>HYPERLINK("https://www.773grp.com/manufacturer/onsemi?pageNo=910", "ON Semiconductor")</f>
        <v>ON Semiconductor</v>
      </c>
      <c r="C24434" s="6">
        <v>42000</v>
      </c>
      <c r="D24434" s="7">
        <v>0.15</v>
      </c>
      <c r="E24434" t="s">
        <v>106</v>
      </c>
    </row>
    <row r="24435" spans="1:5" x14ac:dyDescent="0.25">
      <c r="A24435" t="str">
        <f>HYPERLINK("https://www.773grp.com/globalSearch/BSS84LT1G/page-1", "BSS84LT1G")</f>
        <v>BSS84LT1G</v>
      </c>
      <c r="B24435" s="3" t="str">
        <f>HYPERLINK("https://www.773grp.com/manufacturer/onsemi?pageNo=911", "ON Semiconductor")</f>
        <v>ON Semiconductor</v>
      </c>
      <c r="C24435" s="6">
        <v>3000</v>
      </c>
      <c r="D24435" s="7">
        <v>0.15</v>
      </c>
      <c r="E24435" t="s">
        <v>106</v>
      </c>
    </row>
    <row r="24436" spans="1:5" x14ac:dyDescent="0.25">
      <c r="A24436" t="str">
        <f>HYPERLINK("https://www.773grp.com/globalSearch/BSV52LT1/page-1", "BSV52LT1")</f>
        <v>BSV52LT1</v>
      </c>
      <c r="B24436" s="3" t="str">
        <f>HYPERLINK("https://www.773grp.com/manufacturer/onsemi?pageNo=912", "ON Semiconductor")</f>
        <v>ON Semiconductor</v>
      </c>
      <c r="C24436" s="6">
        <v>14940</v>
      </c>
      <c r="D24436" s="7">
        <v>0.15</v>
      </c>
      <c r="E24436" t="s">
        <v>69</v>
      </c>
    </row>
    <row r="24437" spans="1:5" x14ac:dyDescent="0.25">
      <c r="A24437" t="str">
        <f>HYPERLINK("https://www.773grp.com/globalSearch/BZX84B8V2LT1/page-1", "BZX84B8V2LT1")</f>
        <v>BZX84B8V2LT1</v>
      </c>
      <c r="B24437" s="3" t="str">
        <f>HYPERLINK("https://www.773grp.com/manufacturer/onsemi?pageNo=913", "ON Semiconductor")</f>
        <v>ON Semiconductor</v>
      </c>
      <c r="C24437" s="6">
        <v>14935</v>
      </c>
      <c r="D24437" s="7">
        <v>0.15</v>
      </c>
      <c r="E24437" t="s">
        <v>98</v>
      </c>
    </row>
    <row r="24438" spans="1:5" x14ac:dyDescent="0.25">
      <c r="A24438" t="str">
        <f>HYPERLINK("https://www.773grp.com/globalSearch/BZX84C10LT1G/page-1", "BZX84C10LT1G")</f>
        <v>BZX84C10LT1G</v>
      </c>
      <c r="B24438" s="3" t="str">
        <f>HYPERLINK("https://www.773grp.com/manufacturer/onsemi?pageNo=914", "ON Semiconductor")</f>
        <v>ON Semiconductor</v>
      </c>
      <c r="C24438" s="6">
        <v>735013</v>
      </c>
      <c r="D24438" s="7">
        <v>0.15</v>
      </c>
      <c r="E24438" t="s">
        <v>98</v>
      </c>
    </row>
    <row r="24439" spans="1:5" x14ac:dyDescent="0.25">
      <c r="A24439" t="str">
        <f>HYPERLINK("https://www.773grp.com/globalSearch/BZX84C11LT1G/page-1", "BZX84C11LT1G")</f>
        <v>BZX84C11LT1G</v>
      </c>
      <c r="B24439" s="3" t="str">
        <f>HYPERLINK("https://www.773grp.com/manufacturer/onsemi?pageNo=915", "ON Semiconductor")</f>
        <v>ON Semiconductor</v>
      </c>
      <c r="C24439" s="6">
        <v>299338</v>
      </c>
      <c r="D24439" s="7">
        <v>0.15</v>
      </c>
      <c r="E24439" t="s">
        <v>98</v>
      </c>
    </row>
    <row r="24440" spans="1:5" x14ac:dyDescent="0.25">
      <c r="A24440" t="str">
        <f>HYPERLINK("https://www.773grp.com/globalSearch/BZX84C12ET1/page-1", "BZX84C12ET1")</f>
        <v>BZX84C12ET1</v>
      </c>
      <c r="B24440" s="3" t="str">
        <f>HYPERLINK("https://www.773grp.com/manufacturer/onsemi?pageNo=916", "ON Semiconductor")</f>
        <v>ON Semiconductor</v>
      </c>
      <c r="C24440" s="6">
        <v>2820</v>
      </c>
      <c r="D24440" s="7">
        <v>0.15</v>
      </c>
      <c r="E24440" t="s">
        <v>98</v>
      </c>
    </row>
    <row r="24441" spans="1:5" x14ac:dyDescent="0.25">
      <c r="A24441" t="str">
        <f>HYPERLINK("https://www.773grp.com/globalSearch/BZX84C12LT1G/page-1", "BZX84C12LT1G")</f>
        <v>BZX84C12LT1G</v>
      </c>
      <c r="B24441" s="3" t="str">
        <f>HYPERLINK("https://www.773grp.com/manufacturer/onsemi?pageNo=917", "ON Semiconductor")</f>
        <v>ON Semiconductor</v>
      </c>
      <c r="C24441" s="6">
        <v>830800</v>
      </c>
      <c r="D24441" s="7">
        <v>0.15</v>
      </c>
      <c r="E24441" t="s">
        <v>98</v>
      </c>
    </row>
    <row r="24442" spans="1:5" x14ac:dyDescent="0.25">
      <c r="A24442" t="str">
        <f>HYPERLINK("https://www.773grp.com/globalSearch/BZX84C13LT1G/page-1", "BZX84C13LT1G")</f>
        <v>BZX84C13LT1G</v>
      </c>
      <c r="B24442" s="3" t="str">
        <f>HYPERLINK("https://www.773grp.com/manufacturer/onsemi?pageNo=918", "ON Semiconductor")</f>
        <v>ON Semiconductor</v>
      </c>
      <c r="C24442" s="6">
        <v>912000</v>
      </c>
      <c r="D24442" s="7">
        <v>0.15</v>
      </c>
      <c r="E24442" t="s">
        <v>98</v>
      </c>
    </row>
    <row r="24443" spans="1:5" x14ac:dyDescent="0.25">
      <c r="A24443" t="str">
        <f>HYPERLINK("https://www.773grp.com/globalSearch/BZX84C15LT1G/page-1", "BZX84C15LT1G")</f>
        <v>BZX84C15LT1G</v>
      </c>
      <c r="B24443" s="3" t="str">
        <f>HYPERLINK("https://www.773grp.com/manufacturer/onsemi?pageNo=919", "ON Semiconductor")</f>
        <v>ON Semiconductor</v>
      </c>
      <c r="C24443" s="6">
        <v>1485000</v>
      </c>
      <c r="D24443" s="7">
        <v>0.15</v>
      </c>
      <c r="E24443" t="s">
        <v>98</v>
      </c>
    </row>
    <row r="24444" spans="1:5" x14ac:dyDescent="0.25">
      <c r="A24444" t="str">
        <f>HYPERLINK("https://www.773grp.com/globalSearch/BZX84C15LT3G/page-1", "BZX84C15LT3G")</f>
        <v>BZX84C15LT3G</v>
      </c>
      <c r="B24444" s="3" t="str">
        <f>HYPERLINK("https://www.773grp.com/manufacturer/onsemi?pageNo=920", "ON Semiconductor")</f>
        <v>ON Semiconductor</v>
      </c>
      <c r="C24444" s="6">
        <v>110000</v>
      </c>
      <c r="D24444" s="7">
        <v>0.15</v>
      </c>
      <c r="E24444" t="s">
        <v>98</v>
      </c>
    </row>
    <row r="24445" spans="1:5" x14ac:dyDescent="0.25">
      <c r="A24445" t="str">
        <f>HYPERLINK("https://www.773grp.com/globalSearch/BZX84C16ET1/page-1", "BZX84C16ET1")</f>
        <v>BZX84C16ET1</v>
      </c>
      <c r="B24445" s="3" t="str">
        <f>HYPERLINK("https://www.773grp.com/manufacturer/onsemi?pageNo=921", "ON Semiconductor")</f>
        <v>ON Semiconductor</v>
      </c>
      <c r="C24445" s="6">
        <v>56000</v>
      </c>
      <c r="D24445" s="7">
        <v>0.15</v>
      </c>
      <c r="E24445" t="s">
        <v>98</v>
      </c>
    </row>
    <row r="24446" spans="1:5" x14ac:dyDescent="0.25">
      <c r="A24446" t="str">
        <f>HYPERLINK("https://www.773grp.com/globalSearch/BZX84C16LT1G/page-1", "BZX84C16LT1G")</f>
        <v>BZX84C16LT1G</v>
      </c>
      <c r="B24446" s="3" t="str">
        <f>HYPERLINK("https://www.773grp.com/manufacturer/onsemi?pageNo=922", "ON Semiconductor")</f>
        <v>ON Semiconductor</v>
      </c>
      <c r="C24446" s="6">
        <v>891000</v>
      </c>
      <c r="D24446" s="7">
        <v>0.15</v>
      </c>
      <c r="E24446" t="s">
        <v>98</v>
      </c>
    </row>
    <row r="24447" spans="1:5" x14ac:dyDescent="0.25">
      <c r="A24447" t="str">
        <f>HYPERLINK("https://www.773grp.com/globalSearch/BZX84C18ET1/page-1", "BZX84C18ET1")</f>
        <v>BZX84C18ET1</v>
      </c>
      <c r="B24447" s="3" t="str">
        <f>HYPERLINK("https://www.773grp.com/manufacturer/onsemi?pageNo=923", "ON Semiconductor")</f>
        <v>ON Semiconductor</v>
      </c>
      <c r="C24447" s="6">
        <v>2265</v>
      </c>
      <c r="D24447" s="7">
        <v>0.15</v>
      </c>
      <c r="E24447" t="s">
        <v>98</v>
      </c>
    </row>
    <row r="24448" spans="1:5" x14ac:dyDescent="0.25">
      <c r="A24448" t="str">
        <f>HYPERLINK("https://www.773grp.com/globalSearch/BZX84C18ET3G/page-1", "BZX84C18ET3G")</f>
        <v>BZX84C18ET3G</v>
      </c>
      <c r="B24448" s="3" t="str">
        <f>HYPERLINK("https://www.773grp.com/manufacturer/onsemi?pageNo=924", "ON Semiconductor")</f>
        <v>ON Semiconductor</v>
      </c>
      <c r="C24448" s="6">
        <v>20000</v>
      </c>
      <c r="D24448" s="7">
        <v>0.15</v>
      </c>
      <c r="E24448" t="s">
        <v>98</v>
      </c>
    </row>
    <row r="24449" spans="1:5" x14ac:dyDescent="0.25">
      <c r="A24449" t="str">
        <f>HYPERLINK("https://www.773grp.com/globalSearch/BZX84C18LT1G/page-1", "BZX84C18LT1G")</f>
        <v>BZX84C18LT1G</v>
      </c>
      <c r="B24449" s="3" t="str">
        <f>HYPERLINK("https://www.773grp.com/manufacturer/onsemi?pageNo=925", "ON Semiconductor")</f>
        <v>ON Semiconductor</v>
      </c>
      <c r="C24449" s="6">
        <v>3178591</v>
      </c>
      <c r="D24449" s="7">
        <v>0.15</v>
      </c>
      <c r="E24449" t="s">
        <v>98</v>
      </c>
    </row>
    <row r="24450" spans="1:5" x14ac:dyDescent="0.25">
      <c r="A24450" t="str">
        <f>HYPERLINK("https://www.773grp.com/globalSearch/BZX84C18LT3G/page-1", "BZX84C18LT3G")</f>
        <v>BZX84C18LT3G</v>
      </c>
      <c r="B24450" s="3" t="str">
        <f>HYPERLINK("https://www.773grp.com/manufacturer/onsemi?pageNo=926", "ON Semiconductor")</f>
        <v>ON Semiconductor</v>
      </c>
      <c r="C24450" s="6">
        <v>60000</v>
      </c>
      <c r="D24450" s="7">
        <v>0.15</v>
      </c>
      <c r="E24450" t="s">
        <v>98</v>
      </c>
    </row>
    <row r="24451" spans="1:5" x14ac:dyDescent="0.25">
      <c r="A24451" t="str">
        <f>HYPERLINK("https://www.773grp.com/globalSearch/BZX84C20LT1G/page-1", "BZX84C20LT1G")</f>
        <v>BZX84C20LT1G</v>
      </c>
      <c r="B24451" s="3" t="str">
        <f>HYPERLINK("https://www.773grp.com/manufacturer/onsemi?pageNo=927", "ON Semiconductor")</f>
        <v>ON Semiconductor</v>
      </c>
      <c r="C24451" s="6">
        <v>744000</v>
      </c>
      <c r="D24451" s="7">
        <v>0.15</v>
      </c>
      <c r="E24451" t="s">
        <v>98</v>
      </c>
    </row>
    <row r="24452" spans="1:5" x14ac:dyDescent="0.25">
      <c r="A24452" t="str">
        <f>HYPERLINK("https://www.773grp.com/globalSearch/BZX84C22ET1/page-1", "BZX84C22ET1")</f>
        <v>BZX84C22ET1</v>
      </c>
      <c r="B24452" s="3" t="str">
        <f>HYPERLINK("https://www.773grp.com/manufacturer/onsemi?pageNo=928", "ON Semiconductor")</f>
        <v>ON Semiconductor</v>
      </c>
      <c r="C24452" s="6">
        <v>15000</v>
      </c>
      <c r="D24452" s="7">
        <v>0.15</v>
      </c>
      <c r="E24452" t="s">
        <v>98</v>
      </c>
    </row>
    <row r="24453" spans="1:5" x14ac:dyDescent="0.25">
      <c r="A24453" t="str">
        <f>HYPERLINK("https://www.773grp.com/globalSearch/BZX84C22LT1G/page-1", "BZX84C22LT1G")</f>
        <v>BZX84C22LT1G</v>
      </c>
      <c r="B24453" s="3" t="str">
        <f>HYPERLINK("https://www.773grp.com/manufacturer/onsemi?pageNo=929", "ON Semiconductor")</f>
        <v>ON Semiconductor</v>
      </c>
      <c r="C24453" s="6">
        <v>385320</v>
      </c>
      <c r="D24453" s="7">
        <v>0.15</v>
      </c>
      <c r="E24453" t="s">
        <v>98</v>
      </c>
    </row>
    <row r="24454" spans="1:5" x14ac:dyDescent="0.25">
      <c r="A24454" t="str">
        <f>HYPERLINK("https://www.773grp.com/globalSearch/BZX84C24ET1/page-1", "BZX84C24ET1")</f>
        <v>BZX84C24ET1</v>
      </c>
      <c r="B24454" s="3" t="str">
        <f>HYPERLINK("https://www.773grp.com/manufacturer/onsemi?pageNo=930", "ON Semiconductor")</f>
        <v>ON Semiconductor</v>
      </c>
      <c r="C24454" s="6">
        <v>2925</v>
      </c>
      <c r="D24454" s="7">
        <v>0.15</v>
      </c>
      <c r="E24454" t="s">
        <v>98</v>
      </c>
    </row>
    <row r="24455" spans="1:5" x14ac:dyDescent="0.25">
      <c r="A24455" t="str">
        <f>HYPERLINK("https://www.773grp.com/globalSearch/BZX84C24ET1G/page-1", "BZX84C24ET1G")</f>
        <v>BZX84C24ET1G</v>
      </c>
      <c r="B24455" s="3" t="str">
        <f>HYPERLINK("https://www.773grp.com/manufacturer/onsemi?pageNo=931", "ON Semiconductor")</f>
        <v>ON Semiconductor</v>
      </c>
      <c r="C24455" s="6">
        <v>54000</v>
      </c>
      <c r="D24455" s="7">
        <v>0.15</v>
      </c>
      <c r="E24455" t="s">
        <v>98</v>
      </c>
    </row>
    <row r="24456" spans="1:5" x14ac:dyDescent="0.25">
      <c r="A24456" t="str">
        <f>HYPERLINK("https://www.773grp.com/globalSearch/BZX84C24ET3/page-1", "BZX84C24ET3")</f>
        <v>BZX84C24ET3</v>
      </c>
      <c r="B24456" s="3" t="str">
        <f>HYPERLINK("https://www.773grp.com/manufacturer/onsemi?pageNo=932", "ON Semiconductor")</f>
        <v>ON Semiconductor</v>
      </c>
      <c r="C24456" s="6">
        <v>10000</v>
      </c>
      <c r="D24456" s="7">
        <v>0.15</v>
      </c>
      <c r="E24456" t="s">
        <v>98</v>
      </c>
    </row>
    <row r="24457" spans="1:5" x14ac:dyDescent="0.25">
      <c r="A24457" t="str">
        <f>HYPERLINK("https://www.773grp.com/globalSearch/BZX84C24LT1G/page-1", "BZX84C24LT1G")</f>
        <v>BZX84C24LT1G</v>
      </c>
      <c r="B24457" s="3" t="str">
        <f>HYPERLINK("https://www.773grp.com/manufacturer/onsemi?pageNo=933", "ON Semiconductor")</f>
        <v>ON Semiconductor</v>
      </c>
      <c r="C24457" s="6">
        <v>378000</v>
      </c>
      <c r="D24457" s="7">
        <v>0.15</v>
      </c>
      <c r="E24457" t="s">
        <v>98</v>
      </c>
    </row>
    <row r="24458" spans="1:5" x14ac:dyDescent="0.25">
      <c r="A24458" t="str">
        <f>HYPERLINK("https://www.773grp.com/globalSearch/BZX84C27ET3/page-1", "BZX84C27ET3")</f>
        <v>BZX84C27ET3</v>
      </c>
      <c r="B24458" s="3" t="str">
        <f>HYPERLINK("https://www.773grp.com/manufacturer/onsemi?pageNo=934", "ON Semiconductor")</f>
        <v>ON Semiconductor</v>
      </c>
      <c r="C24458" s="6">
        <v>10000</v>
      </c>
      <c r="D24458" s="7">
        <v>0.15</v>
      </c>
      <c r="E24458" t="s">
        <v>98</v>
      </c>
    </row>
    <row r="24459" spans="1:5" x14ac:dyDescent="0.25">
      <c r="A24459" t="str">
        <f>HYPERLINK("https://www.773grp.com/globalSearch/BZX84C27LT1G/page-1", "BZX84C27LT1G")</f>
        <v>BZX84C27LT1G</v>
      </c>
      <c r="B24459" s="3" t="str">
        <f>HYPERLINK("https://www.773grp.com/manufacturer/onsemi?pageNo=935", "ON Semiconductor")</f>
        <v>ON Semiconductor</v>
      </c>
      <c r="C24459" s="6">
        <v>608755</v>
      </c>
      <c r="D24459" s="7">
        <v>0.15</v>
      </c>
      <c r="E24459" t="s">
        <v>98</v>
      </c>
    </row>
    <row r="24460" spans="1:5" x14ac:dyDescent="0.25">
      <c r="A24460" t="str">
        <f>HYPERLINK("https://www.773grp.com/globalSearch/BZX84C2V4LT1G/page-1", "BZX84C2V4LT1G")</f>
        <v>BZX84C2V4LT1G</v>
      </c>
      <c r="B24460" s="3" t="str">
        <f>HYPERLINK("https://www.773grp.com/manufacturer/onsemi?pageNo=936", "ON Semiconductor")</f>
        <v>ON Semiconductor</v>
      </c>
      <c r="C24460" s="6">
        <v>533204</v>
      </c>
      <c r="D24460" s="7">
        <v>0.15</v>
      </c>
      <c r="E24460" t="s">
        <v>98</v>
      </c>
    </row>
    <row r="24461" spans="1:5" x14ac:dyDescent="0.25">
      <c r="A24461" t="str">
        <f>HYPERLINK("https://www.773grp.com/globalSearch/BZX84C2V7LT1G/page-1", "BZX84C2V7LT1G")</f>
        <v>BZX84C2V7LT1G</v>
      </c>
      <c r="B24461" s="3" t="str">
        <f>HYPERLINK("https://www.773grp.com/manufacturer/onsemi?pageNo=937", "ON Semiconductor")</f>
        <v>ON Semiconductor</v>
      </c>
      <c r="C24461" s="6">
        <v>344706</v>
      </c>
      <c r="D24461" s="7">
        <v>0.15</v>
      </c>
      <c r="E24461" t="s">
        <v>98</v>
      </c>
    </row>
    <row r="24462" spans="1:5" x14ac:dyDescent="0.25">
      <c r="A24462" t="str">
        <f>HYPERLINK("https://www.773grp.com/globalSearch/BZX84C30LT1G/page-1", "BZX84C30LT1G")</f>
        <v>BZX84C30LT1G</v>
      </c>
      <c r="B24462" s="3" t="str">
        <f>HYPERLINK("https://www.773grp.com/manufacturer/onsemi?pageNo=938", "ON Semiconductor")</f>
        <v>ON Semiconductor</v>
      </c>
      <c r="C24462" s="6">
        <v>292995</v>
      </c>
      <c r="D24462" s="7">
        <v>0.15</v>
      </c>
      <c r="E24462" t="s">
        <v>98</v>
      </c>
    </row>
    <row r="24463" spans="1:5" x14ac:dyDescent="0.25">
      <c r="A24463" t="str">
        <f>HYPERLINK("https://www.773grp.com/globalSearch/BZX84C33LT1G/page-1", "BZX84C33LT1G")</f>
        <v>BZX84C33LT1G</v>
      </c>
      <c r="B24463" s="3" t="str">
        <f>HYPERLINK("https://www.773grp.com/manufacturer/onsemi?pageNo=939", "ON Semiconductor")</f>
        <v>ON Semiconductor</v>
      </c>
      <c r="C24463" s="6">
        <v>338900</v>
      </c>
      <c r="D24463" s="7">
        <v>0.15</v>
      </c>
      <c r="E24463" t="s">
        <v>98</v>
      </c>
    </row>
    <row r="24464" spans="1:5" x14ac:dyDescent="0.25">
      <c r="A24464" t="str">
        <f>HYPERLINK("https://www.773grp.com/globalSearch/BZX84C33LT3G/page-1", "BZX84C33LT3G")</f>
        <v>BZX84C33LT3G</v>
      </c>
      <c r="B24464" s="3" t="str">
        <f>HYPERLINK("https://www.773grp.com/manufacturer/onsemi?pageNo=940", "ON Semiconductor")</f>
        <v>ON Semiconductor</v>
      </c>
      <c r="C24464" s="6">
        <v>40000</v>
      </c>
      <c r="D24464" s="7">
        <v>0.15</v>
      </c>
      <c r="E24464" t="s">
        <v>98</v>
      </c>
    </row>
    <row r="24465" spans="1:5" x14ac:dyDescent="0.25">
      <c r="A24465" t="str">
        <f>HYPERLINK("https://www.773grp.com/globalSearch/BZX84C36ET3G/page-1", "BZX84C36ET3G")</f>
        <v>BZX84C36ET3G</v>
      </c>
      <c r="B24465" s="3" t="str">
        <f>HYPERLINK("https://www.773grp.com/manufacturer/onsemi?pageNo=941", "ON Semiconductor")</f>
        <v>ON Semiconductor</v>
      </c>
      <c r="C24465" s="6">
        <v>60000</v>
      </c>
      <c r="D24465" s="7">
        <v>0.15</v>
      </c>
      <c r="E24465" t="s">
        <v>98</v>
      </c>
    </row>
    <row r="24466" spans="1:5" x14ac:dyDescent="0.25">
      <c r="A24466" t="str">
        <f>HYPERLINK("https://www.773grp.com/globalSearch/BZX84C36LT1G/page-1", "BZX84C36LT1G")</f>
        <v>BZX84C36LT1G</v>
      </c>
      <c r="B24466" s="3" t="str">
        <f>HYPERLINK("https://www.773grp.com/manufacturer/onsemi?pageNo=942", "ON Semiconductor")</f>
        <v>ON Semiconductor</v>
      </c>
      <c r="C24466" s="6">
        <v>195000</v>
      </c>
      <c r="D24466" s="7">
        <v>0.15</v>
      </c>
      <c r="E24466" t="s">
        <v>98</v>
      </c>
    </row>
    <row r="24467" spans="1:5" x14ac:dyDescent="0.25">
      <c r="A24467" t="str">
        <f>HYPERLINK("https://www.773grp.com/globalSearch/BZX84C39LT1G/page-1", "BZX84C39LT1G")</f>
        <v>BZX84C39LT1G</v>
      </c>
      <c r="B24467" s="3" t="str">
        <f>HYPERLINK("https://www.773grp.com/manufacturer/onsemi?pageNo=943", "ON Semiconductor")</f>
        <v>ON Semiconductor</v>
      </c>
      <c r="C24467" s="6">
        <v>381000</v>
      </c>
      <c r="D24467" s="7">
        <v>0.15</v>
      </c>
      <c r="E24467" t="s">
        <v>98</v>
      </c>
    </row>
    <row r="24468" spans="1:5" x14ac:dyDescent="0.25">
      <c r="A24468" t="str">
        <f>HYPERLINK("https://www.773grp.com/globalSearch/BZX84C3V0LT1G/page-1", "BZX84C3V0LT1G")</f>
        <v>BZX84C3V0LT1G</v>
      </c>
      <c r="B24468" s="3" t="str">
        <f>HYPERLINK("https://www.773grp.com/manufacturer/onsemi?pageNo=944", "ON Semiconductor")</f>
        <v>ON Semiconductor</v>
      </c>
      <c r="C24468" s="6">
        <v>123000</v>
      </c>
      <c r="D24468" s="7">
        <v>0.15</v>
      </c>
      <c r="E24468" t="s">
        <v>98</v>
      </c>
    </row>
    <row r="24469" spans="1:5" x14ac:dyDescent="0.25">
      <c r="A24469" t="str">
        <f>HYPERLINK("https://www.773grp.com/globalSearch/BZX84C3V3ET3G/page-1", "BZX84C3V3ET3G")</f>
        <v>BZX84C3V3ET3G</v>
      </c>
      <c r="B24469" s="3" t="str">
        <f>HYPERLINK("https://www.773grp.com/manufacturer/onsemi?pageNo=945", "ON Semiconductor")</f>
        <v>ON Semiconductor</v>
      </c>
      <c r="C24469" s="6">
        <v>10000</v>
      </c>
      <c r="D24469" s="7">
        <v>0.15</v>
      </c>
      <c r="E24469" t="s">
        <v>98</v>
      </c>
    </row>
    <row r="24470" spans="1:5" x14ac:dyDescent="0.25">
      <c r="A24470" t="str">
        <f>HYPERLINK("https://www.773grp.com/globalSearch/BZX84C3V3LT1G/page-1", "BZX84C3V3LT1G")</f>
        <v>BZX84C3V3LT1G</v>
      </c>
      <c r="B24470" s="3" t="str">
        <f>HYPERLINK("https://www.773grp.com/manufacturer/onsemi?pageNo=946", "ON Semiconductor")</f>
        <v>ON Semiconductor</v>
      </c>
      <c r="C24470" s="6">
        <v>744000</v>
      </c>
      <c r="D24470" s="7">
        <v>0.15</v>
      </c>
      <c r="E24470" t="s">
        <v>98</v>
      </c>
    </row>
    <row r="24471" spans="1:5" x14ac:dyDescent="0.25">
      <c r="A24471" t="str">
        <f>HYPERLINK("https://www.773grp.com/globalSearch/BZX84C3V6LT1G/page-1", "BZX84C3V6LT1G")</f>
        <v>BZX84C3V6LT1G</v>
      </c>
      <c r="B24471" s="3" t="str">
        <f>HYPERLINK("https://www.773grp.com/manufacturer/onsemi?pageNo=947", "ON Semiconductor")</f>
        <v>ON Semiconductor</v>
      </c>
      <c r="C24471" s="6">
        <v>601617</v>
      </c>
      <c r="D24471" s="7">
        <v>0.15</v>
      </c>
      <c r="E24471" t="s">
        <v>98</v>
      </c>
    </row>
    <row r="24472" spans="1:5" x14ac:dyDescent="0.25">
      <c r="A24472" t="str">
        <f>HYPERLINK("https://www.773grp.com/globalSearch/BZX84C3V9LT1G/page-1", "BZX84C3V9LT1G")</f>
        <v>BZX84C3V9LT1G</v>
      </c>
      <c r="B24472" s="3" t="str">
        <f>HYPERLINK("https://www.773grp.com/manufacturer/onsemi?pageNo=948", "ON Semiconductor")</f>
        <v>ON Semiconductor</v>
      </c>
      <c r="C24472" s="6">
        <v>489000</v>
      </c>
      <c r="D24472" s="7">
        <v>0.15</v>
      </c>
      <c r="E24472" t="s">
        <v>98</v>
      </c>
    </row>
    <row r="24473" spans="1:5" x14ac:dyDescent="0.25">
      <c r="A24473" t="str">
        <f>HYPERLINK("https://www.773grp.com/globalSearch/BZX84C43LT1G/page-1", "BZX84C43LT1G")</f>
        <v>BZX84C43LT1G</v>
      </c>
      <c r="B24473" s="3" t="str">
        <f>HYPERLINK("https://www.773grp.com/manufacturer/onsemi?pageNo=949", "ON Semiconductor")</f>
        <v>ON Semiconductor</v>
      </c>
      <c r="C24473" s="6">
        <v>144000</v>
      </c>
      <c r="D24473" s="7">
        <v>0.15</v>
      </c>
      <c r="E24473" t="s">
        <v>98</v>
      </c>
    </row>
    <row r="24474" spans="1:5" x14ac:dyDescent="0.25">
      <c r="A24474" t="str">
        <f>HYPERLINK("https://www.773grp.com/globalSearch/BZX84C47ET1/page-1", "BZX84C47ET1")</f>
        <v>BZX84C47ET1</v>
      </c>
      <c r="B24474" s="3" t="str">
        <f>HYPERLINK("https://www.773grp.com/manufacturer/onsemi?pageNo=950", "ON Semiconductor")</f>
        <v>ON Semiconductor</v>
      </c>
      <c r="C24474" s="6">
        <v>9000</v>
      </c>
      <c r="D24474" s="7">
        <v>0.15</v>
      </c>
      <c r="E24474" t="s">
        <v>98</v>
      </c>
    </row>
    <row r="24475" spans="1:5" x14ac:dyDescent="0.25">
      <c r="A24475" t="str">
        <f>HYPERLINK("https://www.773grp.com/globalSearch/BZX84C47LT1G/page-1", "BZX84C47LT1G")</f>
        <v>BZX84C47LT1G</v>
      </c>
      <c r="B24475" s="3" t="str">
        <f>HYPERLINK("https://www.773grp.com/manufacturer/onsemi?pageNo=951", "ON Semiconductor")</f>
        <v>ON Semiconductor</v>
      </c>
      <c r="C24475" s="6">
        <v>211954</v>
      </c>
      <c r="D24475" s="7">
        <v>0.15</v>
      </c>
      <c r="E24475" t="s">
        <v>98</v>
      </c>
    </row>
    <row r="24476" spans="1:5" x14ac:dyDescent="0.25">
      <c r="A24476" t="str">
        <f>HYPERLINK("https://www.773grp.com/globalSearch/BZX84C4V3LT1G/page-1", "BZX84C4V3LT1G")</f>
        <v>BZX84C4V3LT1G</v>
      </c>
      <c r="B24476" s="3" t="str">
        <f>HYPERLINK("https://www.773grp.com/manufacturer/onsemi?pageNo=952", "ON Semiconductor")</f>
        <v>ON Semiconductor</v>
      </c>
      <c r="C24476" s="6">
        <v>336000</v>
      </c>
      <c r="D24476" s="7">
        <v>0.15</v>
      </c>
      <c r="E24476" t="s">
        <v>98</v>
      </c>
    </row>
    <row r="24477" spans="1:5" x14ac:dyDescent="0.25">
      <c r="A24477" t="str">
        <f>HYPERLINK("https://www.773grp.com/globalSearch/BZX84C4V3LT3G/page-1", "BZX84C4V3LT3G")</f>
        <v>BZX84C4V3LT3G</v>
      </c>
      <c r="B24477" s="3" t="str">
        <f>HYPERLINK("https://www.773grp.com/manufacturer/onsemi?pageNo=953", "ON Semiconductor")</f>
        <v>ON Semiconductor</v>
      </c>
      <c r="C24477" s="6">
        <v>690000</v>
      </c>
      <c r="D24477" s="7">
        <v>0.15</v>
      </c>
    </row>
    <row r="24478" spans="1:5" x14ac:dyDescent="0.25">
      <c r="A24478" t="str">
        <f>HYPERLINK("https://www.773grp.com/globalSearch/BZX84C4V7ET1/page-1", "BZX84C4V7ET1")</f>
        <v>BZX84C4V7ET1</v>
      </c>
      <c r="B24478" s="3" t="str">
        <f>HYPERLINK("https://www.773grp.com/manufacturer/onsemi?pageNo=954", "ON Semiconductor")</f>
        <v>ON Semiconductor</v>
      </c>
      <c r="C24478" s="6">
        <v>5920</v>
      </c>
      <c r="D24478" s="7">
        <v>0.15</v>
      </c>
      <c r="E24478" t="s">
        <v>98</v>
      </c>
    </row>
    <row r="24479" spans="1:5" x14ac:dyDescent="0.25">
      <c r="A24479" t="str">
        <f>HYPERLINK("https://www.773grp.com/globalSearch/BZX84C4V7ET1G/page-1", "BZX84C4V7ET1G")</f>
        <v>BZX84C4V7ET1G</v>
      </c>
      <c r="B24479" s="3" t="str">
        <f>HYPERLINK("https://www.773grp.com/manufacturer/onsemi?pageNo=955", "ON Semiconductor")</f>
        <v>ON Semiconductor</v>
      </c>
      <c r="C24479" s="6">
        <v>45000</v>
      </c>
      <c r="D24479" s="7">
        <v>0.15</v>
      </c>
      <c r="E24479" t="s">
        <v>98</v>
      </c>
    </row>
    <row r="24480" spans="1:5" x14ac:dyDescent="0.25">
      <c r="A24480" t="str">
        <f>HYPERLINK("https://www.773grp.com/globalSearch/BZX84C4V7LT1G/page-1", "BZX84C4V7LT1G")</f>
        <v>BZX84C4V7LT1G</v>
      </c>
      <c r="B24480" s="3" t="str">
        <f>HYPERLINK("https://www.773grp.com/manufacturer/onsemi?pageNo=956", "ON Semiconductor")</f>
        <v>ON Semiconductor</v>
      </c>
      <c r="C24480" s="6">
        <v>120000</v>
      </c>
      <c r="D24480" s="7">
        <v>0.15</v>
      </c>
    </row>
    <row r="24481" spans="1:5" x14ac:dyDescent="0.25">
      <c r="A24481" t="str">
        <f>HYPERLINK("https://www.773grp.com/globalSearch/BZX84C51LT1G/page-1", "BZX84C51LT1G")</f>
        <v>BZX84C51LT1G</v>
      </c>
      <c r="B24481" s="3" t="str">
        <f>HYPERLINK("https://www.773grp.com/manufacturer/onsemi?pageNo=957", "ON Semiconductor")</f>
        <v>ON Semiconductor</v>
      </c>
      <c r="C24481" s="6">
        <v>398755</v>
      </c>
      <c r="D24481" s="7">
        <v>0.15</v>
      </c>
      <c r="E24481" t="s">
        <v>98</v>
      </c>
    </row>
    <row r="24482" spans="1:5" x14ac:dyDescent="0.25">
      <c r="A24482" t="str">
        <f>HYPERLINK("https://www.773grp.com/globalSearch/BZX84C56LT1G/page-1", "BZX84C56LT1G")</f>
        <v>BZX84C56LT1G</v>
      </c>
      <c r="B24482" s="3" t="str">
        <f>HYPERLINK("https://www.773grp.com/manufacturer/onsemi?pageNo=958", "ON Semiconductor")</f>
        <v>ON Semiconductor</v>
      </c>
      <c r="C24482" s="6">
        <v>62990</v>
      </c>
      <c r="D24482" s="7">
        <v>0.15</v>
      </c>
      <c r="E24482" t="s">
        <v>98</v>
      </c>
    </row>
    <row r="24483" spans="1:5" x14ac:dyDescent="0.25">
      <c r="A24483" t="str">
        <f>HYPERLINK("https://www.773grp.com/globalSearch/BZX84C5V1ET1Z2K/page-1", "BZX84C5V1ET1Z2K")</f>
        <v>BZX84C5V1ET1Z2K</v>
      </c>
      <c r="B24483" s="3" t="str">
        <f>HYPERLINK("https://www.773grp.com/manufacturer/onsemi?pageNo=959", "ON Semiconductor")</f>
        <v>ON Semiconductor</v>
      </c>
      <c r="C24483" s="6">
        <v>2795</v>
      </c>
      <c r="D24483" s="7">
        <v>0.15</v>
      </c>
    </row>
    <row r="24484" spans="1:5" x14ac:dyDescent="0.25">
      <c r="A24484" t="str">
        <f>HYPERLINK("https://www.773grp.com/globalSearch/BZX84C5V1ET3G/page-1", "BZX84C5V1ET3G")</f>
        <v>BZX84C5V1ET3G</v>
      </c>
      <c r="B24484" s="3" t="str">
        <f>HYPERLINK("https://www.773grp.com/manufacturer/onsemi?pageNo=960", "ON Semiconductor")</f>
        <v>ON Semiconductor</v>
      </c>
      <c r="C24484" s="6">
        <v>50000</v>
      </c>
      <c r="D24484" s="7">
        <v>0.15</v>
      </c>
      <c r="E24484" t="s">
        <v>98</v>
      </c>
    </row>
    <row r="24485" spans="1:5" x14ac:dyDescent="0.25">
      <c r="A24485" t="str">
        <f>HYPERLINK("https://www.773grp.com/globalSearch/BZX84C5V1LT1G/page-1", "BZX84C5V1LT1G")</f>
        <v>BZX84C5V1LT1G</v>
      </c>
      <c r="B24485" s="3" t="str">
        <f>HYPERLINK("https://www.773grp.com/manufacturer/onsemi?pageNo=961", "ON Semiconductor")</f>
        <v>ON Semiconductor</v>
      </c>
      <c r="C24485" s="6">
        <v>66000</v>
      </c>
      <c r="D24485" s="7">
        <v>0.15</v>
      </c>
      <c r="E24485" t="s">
        <v>98</v>
      </c>
    </row>
    <row r="24486" spans="1:5" x14ac:dyDescent="0.25">
      <c r="A24486" t="str">
        <f>HYPERLINK("https://www.773grp.com/globalSearch/BZX84C5V1LT3G/page-1", "BZX84C5V1LT3G")</f>
        <v>BZX84C5V1LT3G</v>
      </c>
      <c r="B24486" s="3" t="str">
        <f>HYPERLINK("https://www.773grp.com/manufacturer/onsemi?pageNo=962", "ON Semiconductor")</f>
        <v>ON Semiconductor</v>
      </c>
      <c r="C24486" s="6">
        <v>110000</v>
      </c>
      <c r="D24486" s="7">
        <v>0.15</v>
      </c>
    </row>
    <row r="24487" spans="1:5" x14ac:dyDescent="0.25">
      <c r="A24487" t="str">
        <f>HYPERLINK("https://www.773grp.com/globalSearch/BZX84C5V6ET1G/page-1", "BZX84C5V6ET1G")</f>
        <v>BZX84C5V6ET1G</v>
      </c>
      <c r="B24487" s="3" t="str">
        <f>HYPERLINK("https://www.773grp.com/manufacturer/onsemi?pageNo=963", "ON Semiconductor")</f>
        <v>ON Semiconductor</v>
      </c>
      <c r="C24487" s="6">
        <v>12000</v>
      </c>
      <c r="D24487" s="7">
        <v>0.15</v>
      </c>
      <c r="E24487" t="s">
        <v>98</v>
      </c>
    </row>
    <row r="24488" spans="1:5" x14ac:dyDescent="0.25">
      <c r="A24488" t="str">
        <f>HYPERLINK("https://www.773grp.com/globalSearch/BZX84C5V6LT1G/page-1", "BZX84C5V6LT1G")</f>
        <v>BZX84C5V6LT1G</v>
      </c>
      <c r="B24488" s="3" t="str">
        <f>HYPERLINK("https://www.773grp.com/manufacturer/onsemi?pageNo=964", "ON Semiconductor")</f>
        <v>ON Semiconductor</v>
      </c>
      <c r="C24488" s="6">
        <v>770366</v>
      </c>
      <c r="D24488" s="7">
        <v>0.15</v>
      </c>
      <c r="E24488" t="s">
        <v>98</v>
      </c>
    </row>
    <row r="24489" spans="1:5" x14ac:dyDescent="0.25">
      <c r="A24489" t="str">
        <f>HYPERLINK("https://www.773grp.com/globalSearch/BZX84C5V6LT3G/page-1", "BZX84C5V6LT3G")</f>
        <v>BZX84C5V6LT3G</v>
      </c>
      <c r="B24489" s="3" t="str">
        <f>HYPERLINK("https://www.773grp.com/manufacturer/onsemi?pageNo=965", "ON Semiconductor")</f>
        <v>ON Semiconductor</v>
      </c>
      <c r="C24489" s="6">
        <v>90000</v>
      </c>
      <c r="D24489" s="7">
        <v>0.15</v>
      </c>
      <c r="E24489" t="s">
        <v>98</v>
      </c>
    </row>
    <row r="24490" spans="1:5" x14ac:dyDescent="0.25">
      <c r="A24490" t="str">
        <f>HYPERLINK("https://www.773grp.com/globalSearch/BZX84C62LT1G/page-1", "BZX84C62LT1G")</f>
        <v>BZX84C62LT1G</v>
      </c>
      <c r="B24490" s="3" t="str">
        <f>HYPERLINK("https://www.773grp.com/manufacturer/onsemi?pageNo=966", "ON Semiconductor")</f>
        <v>ON Semiconductor</v>
      </c>
      <c r="C24490" s="6">
        <v>36712</v>
      </c>
      <c r="D24490" s="7">
        <v>0.15</v>
      </c>
      <c r="E24490" t="s">
        <v>98</v>
      </c>
    </row>
    <row r="24491" spans="1:5" x14ac:dyDescent="0.25">
      <c r="A24491" t="str">
        <f>HYPERLINK("https://www.773grp.com/globalSearch/BZX84C68LT1G/page-1", "BZX84C68LT1G")</f>
        <v>BZX84C68LT1G</v>
      </c>
      <c r="B24491" s="3" t="str">
        <f>HYPERLINK("https://www.773grp.com/manufacturer/onsemi?pageNo=967", "ON Semiconductor")</f>
        <v>ON Semiconductor</v>
      </c>
      <c r="C24491" s="6">
        <v>61724</v>
      </c>
      <c r="D24491" s="7">
        <v>0.15</v>
      </c>
      <c r="E24491" t="s">
        <v>98</v>
      </c>
    </row>
    <row r="24492" spans="1:5" x14ac:dyDescent="0.25">
      <c r="A24492" t="str">
        <f>HYPERLINK("https://www.773grp.com/globalSearch/BZX84C6V2ET3G/page-1", "BZX84C6V2ET3G")</f>
        <v>BZX84C6V2ET3G</v>
      </c>
      <c r="B24492" s="3" t="str">
        <f>HYPERLINK("https://www.773grp.com/manufacturer/onsemi?pageNo=968", "ON Semiconductor")</f>
        <v>ON Semiconductor</v>
      </c>
      <c r="C24492" s="6">
        <v>10000</v>
      </c>
      <c r="D24492" s="7">
        <v>0.15</v>
      </c>
      <c r="E24492" t="s">
        <v>98</v>
      </c>
    </row>
    <row r="24493" spans="1:5" x14ac:dyDescent="0.25">
      <c r="A24493" t="str">
        <f>HYPERLINK("https://www.773grp.com/globalSearch/BZX84C6V2LT1G/page-1", "BZX84C6V2LT1G")</f>
        <v>BZX84C6V2LT1G</v>
      </c>
      <c r="B24493" s="3" t="str">
        <f>HYPERLINK("https://www.773grp.com/manufacturer/onsemi?pageNo=969", "ON Semiconductor")</f>
        <v>ON Semiconductor</v>
      </c>
      <c r="C24493" s="6">
        <v>733905</v>
      </c>
      <c r="D24493" s="7">
        <v>0.15</v>
      </c>
      <c r="E24493" t="s">
        <v>98</v>
      </c>
    </row>
    <row r="24494" spans="1:5" x14ac:dyDescent="0.25">
      <c r="A24494" t="str">
        <f>HYPERLINK("https://www.773grp.com/globalSearch/BZX84C6V2LT3G/page-1", "BZX84C6V2LT3G")</f>
        <v>BZX84C6V2LT3G</v>
      </c>
      <c r="B24494" s="3" t="str">
        <f>HYPERLINK("https://www.773grp.com/manufacturer/onsemi?pageNo=970", "ON Semiconductor")</f>
        <v>ON Semiconductor</v>
      </c>
      <c r="C24494" s="6">
        <v>450000</v>
      </c>
      <c r="D24494" s="7">
        <v>0.15</v>
      </c>
    </row>
    <row r="24495" spans="1:5" x14ac:dyDescent="0.25">
      <c r="A24495" t="str">
        <f>HYPERLINK("https://www.773grp.com/globalSearch/BZX84C6V8LT1G/page-1", "BZX84C6V8LT1G")</f>
        <v>BZX84C6V8LT1G</v>
      </c>
      <c r="B24495" s="3" t="str">
        <f>HYPERLINK("https://www.773grp.com/manufacturer/onsemi?pageNo=971", "ON Semiconductor")</f>
        <v>ON Semiconductor</v>
      </c>
      <c r="C24495" s="6">
        <v>562895</v>
      </c>
      <c r="D24495" s="7">
        <v>0.15</v>
      </c>
      <c r="E24495" t="s">
        <v>98</v>
      </c>
    </row>
    <row r="24496" spans="1:5" x14ac:dyDescent="0.25">
      <c r="A24496" t="str">
        <f>HYPERLINK("https://www.773grp.com/globalSearch/BZX84C6V8LT3G/page-1", "BZX84C6V8LT3G")</f>
        <v>BZX84C6V8LT3G</v>
      </c>
      <c r="B24496" s="3" t="str">
        <f>HYPERLINK("https://www.773grp.com/manufacturer/onsemi?pageNo=972", "ON Semiconductor")</f>
        <v>ON Semiconductor</v>
      </c>
      <c r="C24496" s="6">
        <v>10000</v>
      </c>
      <c r="D24496" s="7">
        <v>0.15</v>
      </c>
      <c r="E24496" t="s">
        <v>98</v>
      </c>
    </row>
    <row r="24497" spans="1:5" x14ac:dyDescent="0.25">
      <c r="A24497" t="str">
        <f>HYPERLINK("https://www.773grp.com/globalSearch/BZX84C75ET1/page-1", "BZX84C75ET1")</f>
        <v>BZX84C75ET1</v>
      </c>
      <c r="B24497" s="3" t="str">
        <f>HYPERLINK("https://www.773grp.com/manufacturer/onsemi?pageNo=973", "ON Semiconductor")</f>
        <v>ON Semiconductor</v>
      </c>
      <c r="C24497" s="6">
        <v>9000</v>
      </c>
      <c r="D24497" s="7">
        <v>0.15</v>
      </c>
      <c r="E24497" t="s">
        <v>98</v>
      </c>
    </row>
    <row r="24498" spans="1:5" x14ac:dyDescent="0.25">
      <c r="A24498" t="str">
        <f>HYPERLINK("https://www.773grp.com/globalSearch/BZX84C75LT1G/page-1", "BZX84C75LT1G")</f>
        <v>BZX84C75LT1G</v>
      </c>
      <c r="B24498" s="3" t="str">
        <f>HYPERLINK("https://www.773grp.com/manufacturer/onsemi?pageNo=974", "ON Semiconductor")</f>
        <v>ON Semiconductor</v>
      </c>
      <c r="C24498" s="6">
        <v>105000</v>
      </c>
      <c r="D24498" s="7">
        <v>0.15</v>
      </c>
      <c r="E24498" t="s">
        <v>98</v>
      </c>
    </row>
    <row r="24499" spans="1:5" x14ac:dyDescent="0.25">
      <c r="A24499" t="str">
        <f>HYPERLINK("https://www.773grp.com/globalSearch/BZX84C7V5ET1/page-1", "BZX84C7V5ET1")</f>
        <v>BZX84C7V5ET1</v>
      </c>
      <c r="B24499" s="3" t="str">
        <f>HYPERLINK("https://www.773grp.com/manufacturer/onsemi?pageNo=975", "ON Semiconductor")</f>
        <v>ON Semiconductor</v>
      </c>
      <c r="C24499" s="6">
        <v>2905</v>
      </c>
      <c r="D24499" s="7">
        <v>0.15</v>
      </c>
      <c r="E24499" t="s">
        <v>98</v>
      </c>
    </row>
    <row r="24500" spans="1:5" x14ac:dyDescent="0.25">
      <c r="A24500" t="str">
        <f>HYPERLINK("https://www.773grp.com/globalSearch/BZX84C7V5LT1G/page-1", "BZX84C7V5LT1G")</f>
        <v>BZX84C7V5LT1G</v>
      </c>
      <c r="B24500" s="3" t="str">
        <f>HYPERLINK("https://www.773grp.com/manufacturer/onsemi?pageNo=976", "ON Semiconductor")</f>
        <v>ON Semiconductor</v>
      </c>
      <c r="C24500" s="6">
        <v>1071000</v>
      </c>
      <c r="D24500" s="7">
        <v>0.15</v>
      </c>
      <c r="E24500" t="s">
        <v>98</v>
      </c>
    </row>
    <row r="24501" spans="1:5" x14ac:dyDescent="0.25">
      <c r="A24501" t="str">
        <f>HYPERLINK("https://www.773grp.com/globalSearch/BZX84C8V2LT1G/page-1", "BZX84C8V2LT1G")</f>
        <v>BZX84C8V2LT1G</v>
      </c>
      <c r="B24501" s="3" t="str">
        <f>HYPERLINK("https://www.773grp.com/manufacturer/onsemi?pageNo=977", "ON Semiconductor")</f>
        <v>ON Semiconductor</v>
      </c>
      <c r="C24501" s="6">
        <v>1022725</v>
      </c>
      <c r="D24501" s="7">
        <v>0.15</v>
      </c>
      <c r="E24501" t="s">
        <v>98</v>
      </c>
    </row>
    <row r="24502" spans="1:5" x14ac:dyDescent="0.25">
      <c r="A24502" t="str">
        <f>HYPERLINK("https://www.773grp.com/globalSearch/BZX84C9V1ET1/page-1", "BZX84C9V1ET1")</f>
        <v>BZX84C9V1ET1</v>
      </c>
      <c r="B24502" s="3" t="str">
        <f>HYPERLINK("https://www.773grp.com/manufacturer/onsemi?pageNo=978", "ON Semiconductor")</f>
        <v>ON Semiconductor</v>
      </c>
      <c r="C24502" s="6">
        <v>12000</v>
      </c>
      <c r="D24502" s="7">
        <v>0.15</v>
      </c>
      <c r="E24502" t="s">
        <v>98</v>
      </c>
    </row>
    <row r="24503" spans="1:5" x14ac:dyDescent="0.25">
      <c r="A24503" t="str">
        <f>HYPERLINK("https://www.773grp.com/globalSearch/BZX84C9V1ET1G/page-1", "BZX84C9V1ET1G")</f>
        <v>BZX84C9V1ET1G</v>
      </c>
      <c r="B24503" s="3" t="str">
        <f>HYPERLINK("https://www.773grp.com/manufacturer/onsemi?pageNo=979", "ON Semiconductor")</f>
        <v>ON Semiconductor</v>
      </c>
      <c r="C24503" s="6">
        <v>18000</v>
      </c>
      <c r="D24503" s="7">
        <v>0.15</v>
      </c>
      <c r="E24503" t="s">
        <v>98</v>
      </c>
    </row>
    <row r="24504" spans="1:5" x14ac:dyDescent="0.25">
      <c r="A24504" t="str">
        <f>HYPERLINK("https://www.773grp.com/globalSearch/BZX84C9V1LT1G/page-1", "BZX84C9V1LT1G")</f>
        <v>BZX84C9V1LT1G</v>
      </c>
      <c r="B24504" s="3" t="str">
        <f>HYPERLINK("https://www.773grp.com/manufacturer/onsemi?pageNo=980", "ON Semiconductor")</f>
        <v>ON Semiconductor</v>
      </c>
      <c r="C24504" s="6">
        <v>638238</v>
      </c>
      <c r="D24504" s="7">
        <v>0.15</v>
      </c>
      <c r="E24504" t="s">
        <v>98</v>
      </c>
    </row>
    <row r="24505" spans="1:5" x14ac:dyDescent="0.25">
      <c r="A24505" t="str">
        <f>HYPERLINK("https://www.773grp.com/globalSearch/BZX84C9V1LT3G/page-1", "BZX84C9V1LT3G")</f>
        <v>BZX84C9V1LT3G</v>
      </c>
      <c r="B24505" s="3" t="str">
        <f>HYPERLINK("https://www.773grp.com/manufacturer/onsemi?pageNo=981", "ON Semiconductor")</f>
        <v>ON Semiconductor</v>
      </c>
      <c r="C24505" s="6">
        <v>80000</v>
      </c>
      <c r="D24505" s="7">
        <v>0.15</v>
      </c>
    </row>
    <row r="24506" spans="1:5" x14ac:dyDescent="0.25">
      <c r="A24506" t="str">
        <f>HYPERLINK("https://www.773grp.com/globalSearch/BZX85C16RL/page-1", "BZX85C16RL")</f>
        <v>BZX85C16RL</v>
      </c>
      <c r="B24506" s="3" t="str">
        <f>HYPERLINK("https://www.773grp.com/manufacturer/onsemi?pageNo=982", "ON Semiconductor")</f>
        <v>ON Semiconductor</v>
      </c>
      <c r="C24506" s="6">
        <v>6000</v>
      </c>
      <c r="D24506" s="7">
        <v>0.15</v>
      </c>
      <c r="E24506" t="s">
        <v>98</v>
      </c>
    </row>
    <row r="24507" spans="1:5" x14ac:dyDescent="0.25">
      <c r="A24507" t="str">
        <f>HYPERLINK("https://www.773grp.com/globalSearch/BZX85C27RL/page-1", "BZX85C27RL")</f>
        <v>BZX85C27RL</v>
      </c>
      <c r="B24507" s="3" t="str">
        <f>HYPERLINK("https://www.773grp.com/manufacturer/onsemi?pageNo=983", "ON Semiconductor")</f>
        <v>ON Semiconductor</v>
      </c>
      <c r="C24507" s="6">
        <v>18000</v>
      </c>
      <c r="D24507" s="7">
        <v>0.15</v>
      </c>
      <c r="E24507" t="s">
        <v>98</v>
      </c>
    </row>
    <row r="24508" spans="1:5" x14ac:dyDescent="0.25">
      <c r="A24508" t="str">
        <f>HYPERLINK("https://www.773grp.com/globalSearch/BZX85C30RL/page-1", "BZX85C30RL")</f>
        <v>BZX85C30RL</v>
      </c>
      <c r="B24508" s="3" t="str">
        <f>HYPERLINK("https://www.773grp.com/manufacturer/onsemi?pageNo=984", "ON Semiconductor")</f>
        <v>ON Semiconductor</v>
      </c>
      <c r="C24508" s="6">
        <v>6000</v>
      </c>
      <c r="D24508" s="7">
        <v>0.15</v>
      </c>
      <c r="E24508" t="s">
        <v>98</v>
      </c>
    </row>
    <row r="24509" spans="1:5" x14ac:dyDescent="0.25">
      <c r="A24509" t="str">
        <f>HYPERLINK("https://www.773grp.com/globalSearch/BZX85C5V6RL/page-1", "BZX85C5V6RL")</f>
        <v>BZX85C5V6RL</v>
      </c>
      <c r="B24509" s="3" t="str">
        <f>HYPERLINK("https://www.773grp.com/manufacturer/onsemi?pageNo=985", "ON Semiconductor")</f>
        <v>ON Semiconductor</v>
      </c>
      <c r="C24509" s="6">
        <v>12000</v>
      </c>
      <c r="D24509" s="7">
        <v>0.15</v>
      </c>
      <c r="E24509" t="s">
        <v>98</v>
      </c>
    </row>
    <row r="24510" spans="1:5" x14ac:dyDescent="0.25">
      <c r="A24510" t="str">
        <f>HYPERLINK("https://www.773grp.com/globalSearch/DAN222G/page-1", "DAN222G")</f>
        <v>DAN222G</v>
      </c>
      <c r="B24510" s="3" t="str">
        <f>HYPERLINK("https://www.773grp.com/manufacturer/onsemi?pageNo=986", "ON Semiconductor")</f>
        <v>ON Semiconductor</v>
      </c>
      <c r="C24510" s="6">
        <v>261000</v>
      </c>
      <c r="D24510" s="7">
        <v>0.15</v>
      </c>
      <c r="E24510" t="s">
        <v>94</v>
      </c>
    </row>
    <row r="24511" spans="1:5" x14ac:dyDescent="0.25">
      <c r="A24511" t="str">
        <f>HYPERLINK("https://www.773grp.com/globalSearch/DAN222T1G/page-1", "DAN222T1G")</f>
        <v>DAN222T1G</v>
      </c>
      <c r="B24511" s="3" t="str">
        <f>HYPERLINK("https://www.773grp.com/manufacturer/onsemi?pageNo=987", "ON Semiconductor")</f>
        <v>ON Semiconductor</v>
      </c>
      <c r="C24511" s="6">
        <v>563878</v>
      </c>
      <c r="D24511" s="7">
        <v>0.15</v>
      </c>
      <c r="E24511" t="s">
        <v>94</v>
      </c>
    </row>
    <row r="24512" spans="1:5" x14ac:dyDescent="0.25">
      <c r="A24512" t="str">
        <f>HYPERLINK("https://www.773grp.com/globalSearch/DAP202U/page-1", "DAP202U")</f>
        <v>DAP202U</v>
      </c>
      <c r="B24512" s="3" t="str">
        <f>HYPERLINK("https://www.773grp.com/manufacturer/onsemi?pageNo=988", "ON Semiconductor")</f>
        <v>ON Semiconductor</v>
      </c>
      <c r="C24512" s="6">
        <v>86000</v>
      </c>
      <c r="D24512" s="7">
        <v>0.15</v>
      </c>
      <c r="E24512" t="s">
        <v>94</v>
      </c>
    </row>
    <row r="24513" spans="1:5" x14ac:dyDescent="0.25">
      <c r="A24513" t="str">
        <f>HYPERLINK("https://www.773grp.com/globalSearch/DAP222G/page-1", "DAP222G")</f>
        <v>DAP222G</v>
      </c>
      <c r="B24513" s="3" t="str">
        <f>HYPERLINK("https://www.773grp.com/manufacturer/onsemi?pageNo=989", "ON Semiconductor")</f>
        <v>ON Semiconductor</v>
      </c>
      <c r="C24513" s="6">
        <v>72000</v>
      </c>
      <c r="D24513" s="7">
        <v>0.15</v>
      </c>
      <c r="E24513" t="s">
        <v>94</v>
      </c>
    </row>
    <row r="24514" spans="1:5" x14ac:dyDescent="0.25">
      <c r="A24514" t="str">
        <f>HYPERLINK("https://www.773grp.com/globalSearch/DAP222T1G/page-1", "DAP222T1G")</f>
        <v>DAP222T1G</v>
      </c>
      <c r="B24514" s="3" t="str">
        <f>HYPERLINK("https://www.773grp.com/manufacturer/onsemi?pageNo=990", "ON Semiconductor")</f>
        <v>ON Semiconductor</v>
      </c>
      <c r="C24514" s="6">
        <v>218875</v>
      </c>
      <c r="D24514" s="7">
        <v>0.15</v>
      </c>
      <c r="E24514" t="s">
        <v>94</v>
      </c>
    </row>
    <row r="24515" spans="1:5" x14ac:dyDescent="0.25">
      <c r="A24515" t="str">
        <f>HYPERLINK("https://www.773grp.com/globalSearch/DF6A6.8FUT1/page-1", "DF6A6.8FUT1")</f>
        <v>DF6A6.8FUT1</v>
      </c>
      <c r="B24515" s="3" t="str">
        <f>HYPERLINK("https://www.773grp.com/manufacturer/onsemi?pageNo=991", "ON Semiconductor")</f>
        <v>ON Semiconductor</v>
      </c>
      <c r="C24515" s="6">
        <v>26890</v>
      </c>
      <c r="D24515" s="7">
        <v>0.15</v>
      </c>
      <c r="E24515" t="s">
        <v>96</v>
      </c>
    </row>
    <row r="24516" spans="1:5" x14ac:dyDescent="0.25">
      <c r="A24516" t="str">
        <f>HYPERLINK("https://www.773grp.com/globalSearch/DTA114EET1/page-1", "DTA114EET1")</f>
        <v>DTA114EET1</v>
      </c>
      <c r="B24516" s="3" t="str">
        <f>HYPERLINK("https://www.773grp.com/manufacturer/onsemi?pageNo=992", "ON Semiconductor")</f>
        <v>ON Semiconductor</v>
      </c>
      <c r="C24516" s="6">
        <v>69320</v>
      </c>
      <c r="D24516" s="7">
        <v>0.15</v>
      </c>
      <c r="E24516" t="s">
        <v>69</v>
      </c>
    </row>
    <row r="24517" spans="1:5" x14ac:dyDescent="0.25">
      <c r="A24517" t="str">
        <f>HYPERLINK("https://www.773grp.com/globalSearch/DTA114EET1G/page-1", "DTA114EET1G")</f>
        <v>DTA114EET1G</v>
      </c>
      <c r="B24517" s="3" t="str">
        <f>HYPERLINK("https://www.773grp.com/manufacturer/onsemi?pageNo=993", "ON Semiconductor")</f>
        <v>ON Semiconductor</v>
      </c>
      <c r="C24517" s="6">
        <v>1129447</v>
      </c>
      <c r="D24517" s="7">
        <v>0.15</v>
      </c>
      <c r="E24517" t="s">
        <v>69</v>
      </c>
    </row>
    <row r="24518" spans="1:5" x14ac:dyDescent="0.25">
      <c r="A24518" t="str">
        <f>HYPERLINK("https://www.773grp.com/globalSearch/DTA114TET1/page-1", "DTA114TET1")</f>
        <v>DTA114TET1</v>
      </c>
      <c r="B24518" s="3" t="str">
        <f>HYPERLINK("https://www.773grp.com/manufacturer/onsemi?pageNo=994", "ON Semiconductor")</f>
        <v>ON Semiconductor</v>
      </c>
      <c r="C24518" s="6">
        <v>105000</v>
      </c>
      <c r="D24518" s="7">
        <v>0.15</v>
      </c>
      <c r="E24518" t="s">
        <v>69</v>
      </c>
    </row>
    <row r="24519" spans="1:5" x14ac:dyDescent="0.25">
      <c r="A24519" t="str">
        <f>HYPERLINK("https://www.773grp.com/globalSearch/DTA114TET1G/page-1", "DTA114TET1G")</f>
        <v>DTA114TET1G</v>
      </c>
      <c r="B24519" s="3" t="str">
        <f>HYPERLINK("https://www.773grp.com/manufacturer/onsemi?pageNo=995", "ON Semiconductor")</f>
        <v>ON Semiconductor</v>
      </c>
      <c r="C24519" s="6">
        <v>318000</v>
      </c>
      <c r="D24519" s="7">
        <v>0.15</v>
      </c>
      <c r="E24519" t="s">
        <v>69</v>
      </c>
    </row>
    <row r="24520" spans="1:5" x14ac:dyDescent="0.25">
      <c r="A24520" t="str">
        <f>HYPERLINK("https://www.773grp.com/globalSearch/DTA114YET1/page-1", "DTA114YET1")</f>
        <v>DTA114YET1</v>
      </c>
      <c r="B24520" s="3" t="str">
        <f>HYPERLINK("https://www.773grp.com/manufacturer/onsemi?pageNo=996", "ON Semiconductor")</f>
        <v>ON Semiconductor</v>
      </c>
      <c r="C24520" s="6">
        <v>2750</v>
      </c>
      <c r="D24520" s="7">
        <v>0.15</v>
      </c>
      <c r="E24520" t="s">
        <v>69</v>
      </c>
    </row>
    <row r="24521" spans="1:5" x14ac:dyDescent="0.25">
      <c r="A24521" t="str">
        <f>HYPERLINK("https://www.773grp.com/globalSearch/DTA115EET1/page-1", "DTA115EET1")</f>
        <v>DTA115EET1</v>
      </c>
      <c r="B24521" s="3" t="str">
        <f>HYPERLINK("https://www.773grp.com/manufacturer/onsemi?pageNo=997", "ON Semiconductor")</f>
        <v>ON Semiconductor</v>
      </c>
      <c r="C24521" s="6">
        <v>5660</v>
      </c>
      <c r="D24521" s="7">
        <v>0.15</v>
      </c>
      <c r="E24521" t="s">
        <v>69</v>
      </c>
    </row>
    <row r="24522" spans="1:5" x14ac:dyDescent="0.25">
      <c r="A24522" t="str">
        <f>HYPERLINK("https://www.773grp.com/globalSearch/DTA115EET1G/page-1", "DTA115EET1G")</f>
        <v>DTA115EET1G</v>
      </c>
      <c r="B24522" s="3" t="str">
        <f>HYPERLINK("https://www.773grp.com/manufacturer/onsemi?pageNo=998", "ON Semiconductor")</f>
        <v>ON Semiconductor</v>
      </c>
      <c r="C24522" s="6">
        <v>768000</v>
      </c>
      <c r="D24522" s="7">
        <v>0.15</v>
      </c>
      <c r="E24522" t="s">
        <v>69</v>
      </c>
    </row>
    <row r="24523" spans="1:5" x14ac:dyDescent="0.25">
      <c r="A24523" t="str">
        <f>HYPERLINK("https://www.773grp.com/globalSearch/DTA123EET1/page-1", "DTA123EET1")</f>
        <v>DTA123EET1</v>
      </c>
      <c r="B24523" s="3" t="str">
        <f>HYPERLINK("https://www.773grp.com/manufacturer/onsemi?pageNo=999", "ON Semiconductor")</f>
        <v>ON Semiconductor</v>
      </c>
      <c r="C24523" s="6">
        <v>75000</v>
      </c>
      <c r="D24523" s="7">
        <v>0.15</v>
      </c>
      <c r="E24523" t="s">
        <v>69</v>
      </c>
    </row>
    <row r="24524" spans="1:5" x14ac:dyDescent="0.25">
      <c r="A24524" t="str">
        <f>HYPERLINK("https://www.773grp.com/globalSearch/DTA123EET1G/page-1", "DTA123EET1G")</f>
        <v>DTA123EET1G</v>
      </c>
      <c r="B24524" s="3" t="str">
        <f>HYPERLINK("https://www.773grp.com/manufacturer/onsemi?pageNo=1000", "ON Semiconductor")</f>
        <v>ON Semiconductor</v>
      </c>
      <c r="C24524" s="6">
        <v>156000</v>
      </c>
      <c r="D24524" s="7">
        <v>0.15</v>
      </c>
      <c r="E24524" t="s">
        <v>69</v>
      </c>
    </row>
    <row r="24525" spans="1:5" x14ac:dyDescent="0.25">
      <c r="A24525" t="str">
        <f>HYPERLINK("https://www.773grp.com/globalSearch/DTA123JET1/page-1", "DTA123JET1")</f>
        <v>DTA123JET1</v>
      </c>
      <c r="B24525" s="3" t="str">
        <f>HYPERLINK("https://www.773grp.com/manufacturer/onsemi?pageNo=1001", "ON Semiconductor")</f>
        <v>ON Semiconductor</v>
      </c>
      <c r="C24525" s="6">
        <v>303000</v>
      </c>
      <c r="D24525" s="7">
        <v>0.15</v>
      </c>
      <c r="E24525" t="s">
        <v>69</v>
      </c>
    </row>
    <row r="24526" spans="1:5" x14ac:dyDescent="0.25">
      <c r="A24526" t="str">
        <f>HYPERLINK("https://www.773grp.com/globalSearch/DTA123JET1G/page-1", "DTA123JET1G")</f>
        <v>DTA123JET1G</v>
      </c>
      <c r="B24526" s="3" t="str">
        <f>HYPERLINK("https://www.773grp.com/manufacturer/onsemi?pageNo=1002", "ON Semiconductor")</f>
        <v>ON Semiconductor</v>
      </c>
      <c r="C24526" s="6">
        <v>27000</v>
      </c>
      <c r="D24526" s="7">
        <v>0.15</v>
      </c>
      <c r="E24526" t="s">
        <v>69</v>
      </c>
    </row>
    <row r="24527" spans="1:5" x14ac:dyDescent="0.25">
      <c r="A24527" t="str">
        <f>HYPERLINK("https://www.773grp.com/globalSearch/DTA124EET1G/page-1", "DTA124EET1G")</f>
        <v>DTA124EET1G</v>
      </c>
      <c r="B24527" s="3" t="str">
        <f>HYPERLINK("https://www.773grp.com/manufacturer/onsemi?pageNo=1003", "ON Semiconductor")</f>
        <v>ON Semiconductor</v>
      </c>
      <c r="C24527" s="6">
        <v>90000</v>
      </c>
      <c r="D24527" s="7">
        <v>0.15</v>
      </c>
      <c r="E24527" t="s">
        <v>69</v>
      </c>
    </row>
    <row r="24528" spans="1:5" x14ac:dyDescent="0.25">
      <c r="A24528" t="str">
        <f>HYPERLINK("https://www.773grp.com/globalSearch/DTA124ERLRA/page-1", "DTA124ERLRA")</f>
        <v>DTA124ERLRA</v>
      </c>
      <c r="B24528" s="3" t="str">
        <f>HYPERLINK("https://www.773grp.com/manufacturer/onsemi?pageNo=1004", "ON Semiconductor")</f>
        <v>ON Semiconductor</v>
      </c>
      <c r="C24528" s="6">
        <v>6000</v>
      </c>
      <c r="D24528" s="7">
        <v>0.15</v>
      </c>
      <c r="E24528" t="s">
        <v>69</v>
      </c>
    </row>
    <row r="24529" spans="1:5" x14ac:dyDescent="0.25">
      <c r="A24529" t="str">
        <f>HYPERLINK("https://www.773grp.com/globalSearch/DTA143EET1/page-1", "DTA143EET1")</f>
        <v>DTA143EET1</v>
      </c>
      <c r="B24529" s="3" t="str">
        <f>HYPERLINK("https://www.773grp.com/manufacturer/onsemi?pageNo=1005", "ON Semiconductor")</f>
        <v>ON Semiconductor</v>
      </c>
      <c r="C24529" s="6">
        <v>378000</v>
      </c>
      <c r="D24529" s="7">
        <v>0.15</v>
      </c>
      <c r="E24529" t="s">
        <v>69</v>
      </c>
    </row>
    <row r="24530" spans="1:5" x14ac:dyDescent="0.25">
      <c r="A24530" t="str">
        <f>HYPERLINK("https://www.773grp.com/globalSearch/DTA143EET1G/page-1", "DTA143EET1G")</f>
        <v>DTA143EET1G</v>
      </c>
      <c r="B24530" s="3" t="str">
        <f>HYPERLINK("https://www.773grp.com/manufacturer/onsemi?pageNo=1006", "ON Semiconductor")</f>
        <v>ON Semiconductor</v>
      </c>
      <c r="C24530" s="6">
        <v>159000</v>
      </c>
      <c r="D24530" s="7">
        <v>0.15</v>
      </c>
      <c r="E24530" t="s">
        <v>69</v>
      </c>
    </row>
    <row r="24531" spans="1:5" x14ac:dyDescent="0.25">
      <c r="A24531" t="str">
        <f>HYPERLINK("https://www.773grp.com/globalSearch/DTA143TET1/page-1", "DTA143TET1")</f>
        <v>DTA143TET1</v>
      </c>
      <c r="B24531" s="3" t="str">
        <f>HYPERLINK("https://www.773grp.com/manufacturer/onsemi?pageNo=1007", "ON Semiconductor")</f>
        <v>ON Semiconductor</v>
      </c>
      <c r="C24531" s="6">
        <v>75000</v>
      </c>
      <c r="D24531" s="7">
        <v>0.15</v>
      </c>
      <c r="E24531" t="s">
        <v>69</v>
      </c>
    </row>
    <row r="24532" spans="1:5" x14ac:dyDescent="0.25">
      <c r="A24532" t="str">
        <f>HYPERLINK("https://www.773grp.com/globalSearch/DTA143TET1G/page-1", "DTA143TET1G")</f>
        <v>DTA143TET1G</v>
      </c>
      <c r="B24532" s="3" t="str">
        <f>HYPERLINK("https://www.773grp.com/manufacturer/onsemi?pageNo=1008", "ON Semiconductor")</f>
        <v>ON Semiconductor</v>
      </c>
      <c r="C24532" s="6">
        <v>114000</v>
      </c>
      <c r="D24532" s="7">
        <v>0.15</v>
      </c>
      <c r="E24532" t="s">
        <v>69</v>
      </c>
    </row>
    <row r="24533" spans="1:5" x14ac:dyDescent="0.25">
      <c r="A24533" t="str">
        <f>HYPERLINK("https://www.773grp.com/globalSearch/DTA143TXV3T1/page-1", "DTA143TXV3T1")</f>
        <v>DTA143TXV3T1</v>
      </c>
      <c r="B24533" s="3" t="str">
        <f>HYPERLINK("https://www.773grp.com/manufacturer/onsemi?pageNo=1009", "ON Semiconductor")</f>
        <v>ON Semiconductor</v>
      </c>
      <c r="C24533" s="6">
        <v>96000</v>
      </c>
      <c r="D24533" s="7">
        <v>0.15</v>
      </c>
      <c r="E24533" t="s">
        <v>69</v>
      </c>
    </row>
    <row r="24534" spans="1:5" x14ac:dyDescent="0.25">
      <c r="A24534" t="str">
        <f>HYPERLINK("https://www.773grp.com/globalSearch/DTA143ZET1/page-1", "DTA143ZET1")</f>
        <v>DTA143ZET1</v>
      </c>
      <c r="B24534" s="3" t="str">
        <f>HYPERLINK("https://www.773grp.com/manufacturer/onsemi?pageNo=1010", "ON Semiconductor")</f>
        <v>ON Semiconductor</v>
      </c>
      <c r="C24534" s="6">
        <v>69000</v>
      </c>
      <c r="D24534" s="7">
        <v>0.15</v>
      </c>
      <c r="E24534" t="s">
        <v>69</v>
      </c>
    </row>
    <row r="24535" spans="1:5" x14ac:dyDescent="0.25">
      <c r="A24535" t="str">
        <f>HYPERLINK("https://www.773grp.com/globalSearch/DTA143ZET1G/page-1", "DTA143ZET1G")</f>
        <v>DTA143ZET1G</v>
      </c>
      <c r="B24535" s="3" t="str">
        <f>HYPERLINK("https://www.773grp.com/manufacturer/onsemi?pageNo=1011", "ON Semiconductor")</f>
        <v>ON Semiconductor</v>
      </c>
      <c r="C24535" s="6">
        <v>108000</v>
      </c>
      <c r="D24535" s="7">
        <v>0.15</v>
      </c>
      <c r="E24535" t="s">
        <v>69</v>
      </c>
    </row>
    <row r="24536" spans="1:5" x14ac:dyDescent="0.25">
      <c r="A24536" t="str">
        <f>HYPERLINK("https://www.773grp.com/globalSearch/DTA144EET1/page-1", "DTA144EET1")</f>
        <v>DTA144EET1</v>
      </c>
      <c r="B24536" s="3" t="str">
        <f>HYPERLINK("https://www.773grp.com/manufacturer/onsemi?pageNo=1012", "ON Semiconductor")</f>
        <v>ON Semiconductor</v>
      </c>
      <c r="C24536" s="6">
        <v>66000</v>
      </c>
      <c r="D24536" s="7">
        <v>0.15</v>
      </c>
      <c r="E24536" t="s">
        <v>69</v>
      </c>
    </row>
    <row r="24537" spans="1:5" x14ac:dyDescent="0.25">
      <c r="A24537" t="str">
        <f>HYPERLINK("https://www.773grp.com/globalSearch/DTA144EET1G/page-1", "DTA144EET1G")</f>
        <v>DTA144EET1G</v>
      </c>
      <c r="B24537" s="3" t="str">
        <f>HYPERLINK("https://www.773grp.com/manufacturer/onsemi?pageNo=1013", "ON Semiconductor")</f>
        <v>ON Semiconductor</v>
      </c>
      <c r="C24537" s="6">
        <v>240000</v>
      </c>
      <c r="D24537" s="7">
        <v>0.15</v>
      </c>
      <c r="E24537" t="s">
        <v>69</v>
      </c>
    </row>
    <row r="24538" spans="1:5" x14ac:dyDescent="0.25">
      <c r="A24538" t="str">
        <f>HYPERLINK("https://www.773grp.com/globalSearch/DTA144TT1/page-1", "DTA144TT1")</f>
        <v>DTA144TT1</v>
      </c>
      <c r="B24538" s="3" t="str">
        <f>HYPERLINK("https://www.773grp.com/manufacturer/onsemi?pageNo=1014", "ON Semiconductor")</f>
        <v>ON Semiconductor</v>
      </c>
      <c r="C24538" s="6">
        <v>6000</v>
      </c>
      <c r="D24538" s="7">
        <v>0.15</v>
      </c>
      <c r="E24538" t="s">
        <v>69</v>
      </c>
    </row>
    <row r="24539" spans="1:5" x14ac:dyDescent="0.25">
      <c r="A24539" t="str">
        <f>HYPERLINK("https://www.773grp.com/globalSearch/DTA144WET1/page-1", "DTA144WET1")</f>
        <v>DTA144WET1</v>
      </c>
      <c r="B24539" s="3" t="str">
        <f>HYPERLINK("https://www.773grp.com/manufacturer/onsemi?pageNo=1015", "ON Semiconductor")</f>
        <v>ON Semiconductor</v>
      </c>
      <c r="C24539" s="6">
        <v>5980</v>
      </c>
      <c r="D24539" s="7">
        <v>0.15</v>
      </c>
      <c r="E24539" t="s">
        <v>69</v>
      </c>
    </row>
    <row r="24540" spans="1:5" x14ac:dyDescent="0.25">
      <c r="A24540" t="str">
        <f>HYPERLINK("https://www.773grp.com/globalSearch/DTA144WET1G/page-1", "DTA144WET1G")</f>
        <v>DTA144WET1G</v>
      </c>
      <c r="B24540" s="3" t="str">
        <f>HYPERLINK("https://www.773grp.com/manufacturer/onsemi?pageNo=1016", "ON Semiconductor")</f>
        <v>ON Semiconductor</v>
      </c>
      <c r="C24540" s="6">
        <v>33000</v>
      </c>
      <c r="D24540" s="7">
        <v>0.15</v>
      </c>
      <c r="E24540" t="s">
        <v>69</v>
      </c>
    </row>
    <row r="24541" spans="1:5" x14ac:dyDescent="0.25">
      <c r="A24541" t="str">
        <f>HYPERLINK("https://www.773grp.com/globalSearch/DTC114EET1/page-1", "DTC114EET1")</f>
        <v>DTC114EET1</v>
      </c>
      <c r="B24541" s="3" t="str">
        <f>HYPERLINK("https://www.773grp.com/manufacturer/onsemi?pageNo=1017", "ON Semiconductor")</f>
        <v>ON Semiconductor</v>
      </c>
      <c r="C24541" s="6">
        <v>423000</v>
      </c>
      <c r="D24541" s="7">
        <v>0.15</v>
      </c>
      <c r="E24541" t="s">
        <v>69</v>
      </c>
    </row>
    <row r="24542" spans="1:5" x14ac:dyDescent="0.25">
      <c r="A24542" t="str">
        <f>HYPERLINK("https://www.773grp.com/globalSearch/DTC114EET1G/page-1", "DTC114EET1G")</f>
        <v>DTC114EET1G</v>
      </c>
      <c r="B24542" s="3" t="str">
        <f>HYPERLINK("https://www.773grp.com/manufacturer/onsemi?pageNo=1018", "ON Semiconductor")</f>
        <v>ON Semiconductor</v>
      </c>
      <c r="C24542" s="6">
        <v>1442499</v>
      </c>
      <c r="D24542" s="7">
        <v>0.15</v>
      </c>
      <c r="E24542" t="s">
        <v>69</v>
      </c>
    </row>
    <row r="24543" spans="1:5" x14ac:dyDescent="0.25">
      <c r="A24543" t="str">
        <f>HYPERLINK("https://www.773grp.com/globalSearch/DTC114TET1/page-1", "DTC114TET1")</f>
        <v>DTC114TET1</v>
      </c>
      <c r="B24543" s="3" t="str">
        <f>HYPERLINK("https://www.773grp.com/manufacturer/onsemi?pageNo=1019", "ON Semiconductor")</f>
        <v>ON Semiconductor</v>
      </c>
      <c r="C24543" s="6">
        <v>54000</v>
      </c>
      <c r="D24543" s="7">
        <v>0.15</v>
      </c>
      <c r="E24543" t="s">
        <v>69</v>
      </c>
    </row>
    <row r="24544" spans="1:5" x14ac:dyDescent="0.25">
      <c r="A24544" t="str">
        <f>HYPERLINK("https://www.773grp.com/globalSearch/DTC114TET1G/page-1", "DTC114TET1G")</f>
        <v>DTC114TET1G</v>
      </c>
      <c r="B24544" s="3" t="str">
        <f>HYPERLINK("https://www.773grp.com/manufacturer/onsemi?pageNo=1020", "ON Semiconductor")</f>
        <v>ON Semiconductor</v>
      </c>
      <c r="C24544" s="6">
        <v>444000</v>
      </c>
      <c r="D24544" s="7">
        <v>0.15</v>
      </c>
      <c r="E24544" t="s">
        <v>69</v>
      </c>
    </row>
    <row r="24545" spans="1:5" x14ac:dyDescent="0.25">
      <c r="A24545" t="str">
        <f>HYPERLINK("https://www.773grp.com/globalSearch/DTC114YET1/page-1", "DTC114YET1")</f>
        <v>DTC114YET1</v>
      </c>
      <c r="B24545" s="3" t="str">
        <f>HYPERLINK("https://www.773grp.com/manufacturer/onsemi?pageNo=1021", "ON Semiconductor")</f>
        <v>ON Semiconductor</v>
      </c>
      <c r="C24545" s="6">
        <v>20895</v>
      </c>
      <c r="D24545" s="7">
        <v>0.15</v>
      </c>
      <c r="E24545" t="s">
        <v>69</v>
      </c>
    </row>
    <row r="24546" spans="1:5" x14ac:dyDescent="0.25">
      <c r="A24546" t="str">
        <f>HYPERLINK("https://www.773grp.com/globalSearch/DTC114YET1G/page-1", "DTC114YET1G")</f>
        <v>DTC114YET1G</v>
      </c>
      <c r="B24546" s="3" t="str">
        <f>HYPERLINK("https://www.773grp.com/manufacturer/onsemi?pageNo=1022", "ON Semiconductor")</f>
        <v>ON Semiconductor</v>
      </c>
      <c r="C24546" s="6">
        <v>2020395</v>
      </c>
      <c r="D24546" s="7">
        <v>0.15</v>
      </c>
      <c r="E24546" t="s">
        <v>69</v>
      </c>
    </row>
    <row r="24547" spans="1:5" x14ac:dyDescent="0.25">
      <c r="A24547" t="str">
        <f>HYPERLINK("https://www.773grp.com/globalSearch/DTC115EET1/page-1", "DTC115EET1")</f>
        <v>DTC115EET1</v>
      </c>
      <c r="B24547" s="3" t="str">
        <f>HYPERLINK("https://www.773grp.com/manufacturer/onsemi?pageNo=1023", "ON Semiconductor")</f>
        <v>ON Semiconductor</v>
      </c>
      <c r="C24547" s="6">
        <v>4293459</v>
      </c>
      <c r="D24547" s="7">
        <v>0.15</v>
      </c>
      <c r="E24547" t="s">
        <v>69</v>
      </c>
    </row>
    <row r="24548" spans="1:5" x14ac:dyDescent="0.25">
      <c r="A24548" t="str">
        <f>HYPERLINK("https://www.773grp.com/globalSearch/DTC115EET1G/page-1", "DTC115EET1G")</f>
        <v>DTC115EET1G</v>
      </c>
      <c r="B24548" s="3" t="str">
        <f>HYPERLINK("https://www.773grp.com/manufacturer/onsemi?pageNo=1024", "ON Semiconductor")</f>
        <v>ON Semiconductor</v>
      </c>
      <c r="C24548" s="6">
        <v>2276990</v>
      </c>
      <c r="D24548" s="7">
        <v>0.15</v>
      </c>
      <c r="E24548" t="s">
        <v>69</v>
      </c>
    </row>
    <row r="24549" spans="1:5" x14ac:dyDescent="0.25">
      <c r="A24549" t="str">
        <f>HYPERLINK("https://www.773grp.com/globalSearch/DTC123EET1G/page-1", "DTC123EET1G")</f>
        <v>DTC123EET1G</v>
      </c>
      <c r="B24549" s="3" t="str">
        <f>HYPERLINK("https://www.773grp.com/manufacturer/onsemi?pageNo=1025", "ON Semiconductor")</f>
        <v>ON Semiconductor</v>
      </c>
      <c r="C24549" s="6">
        <v>21000</v>
      </c>
      <c r="D24549" s="7">
        <v>0.15</v>
      </c>
      <c r="E24549" t="s">
        <v>69</v>
      </c>
    </row>
    <row r="24550" spans="1:5" x14ac:dyDescent="0.25">
      <c r="A24550" t="str">
        <f>HYPERLINK("https://www.773grp.com/globalSearch/DTC123JET1/page-1", "DTC123JET1")</f>
        <v>DTC123JET1</v>
      </c>
      <c r="B24550" s="3" t="str">
        <f>HYPERLINK("https://www.773grp.com/manufacturer/onsemi?pageNo=1026", "ON Semiconductor")</f>
        <v>ON Semiconductor</v>
      </c>
      <c r="C24550" s="6">
        <v>183220</v>
      </c>
      <c r="D24550" s="7">
        <v>0.15</v>
      </c>
      <c r="E24550" t="s">
        <v>69</v>
      </c>
    </row>
    <row r="24551" spans="1:5" x14ac:dyDescent="0.25">
      <c r="A24551" t="str">
        <f>HYPERLINK("https://www.773grp.com/globalSearch/DTC123JET1G/page-1", "DTC123JET1G")</f>
        <v>DTC123JET1G</v>
      </c>
      <c r="B24551" s="3" t="str">
        <f>HYPERLINK("https://www.773grp.com/manufacturer/onsemi?pageNo=1027", "ON Semiconductor")</f>
        <v>ON Semiconductor</v>
      </c>
      <c r="C24551" s="6">
        <v>768900</v>
      </c>
      <c r="D24551" s="7">
        <v>0.15</v>
      </c>
      <c r="E24551" t="s">
        <v>69</v>
      </c>
    </row>
    <row r="24552" spans="1:5" x14ac:dyDescent="0.25">
      <c r="A24552" t="str">
        <f>HYPERLINK("https://www.773grp.com/globalSearch/DTC124EET1G/page-1", "DTC124EET1G")</f>
        <v>DTC124EET1G</v>
      </c>
      <c r="B24552" s="3" t="str">
        <f>HYPERLINK("https://www.773grp.com/manufacturer/onsemi?pageNo=1028", "ON Semiconductor")</f>
        <v>ON Semiconductor</v>
      </c>
      <c r="C24552" s="6">
        <v>302317</v>
      </c>
      <c r="D24552" s="7">
        <v>0.15</v>
      </c>
      <c r="E24552" t="s">
        <v>69</v>
      </c>
    </row>
    <row r="24553" spans="1:5" x14ac:dyDescent="0.25">
      <c r="A24553" t="str">
        <f>HYPERLINK("https://www.773grp.com/globalSearch/DTC124ERLRA/page-1", "DTC124ERLRA")</f>
        <v>DTC124ERLRA</v>
      </c>
      <c r="B24553" s="3" t="str">
        <f>HYPERLINK("https://www.773grp.com/manufacturer/onsemi?pageNo=1029", "ON Semiconductor")</f>
        <v>ON Semiconductor</v>
      </c>
      <c r="C24553" s="6">
        <v>8000</v>
      </c>
      <c r="D24553" s="7">
        <v>0.15</v>
      </c>
      <c r="E24553" t="s">
        <v>69</v>
      </c>
    </row>
    <row r="24554" spans="1:5" x14ac:dyDescent="0.25">
      <c r="A24554" t="str">
        <f>HYPERLINK("https://www.773grp.com/globalSearch/DTC124XET1/page-1", "DTC124XET1")</f>
        <v>DTC124XET1</v>
      </c>
      <c r="B24554" s="3" t="str">
        <f>HYPERLINK("https://www.773grp.com/manufacturer/onsemi?pageNo=1030", "ON Semiconductor")</f>
        <v>ON Semiconductor</v>
      </c>
      <c r="C24554" s="6">
        <v>60000</v>
      </c>
      <c r="D24554" s="7">
        <v>0.15</v>
      </c>
      <c r="E24554" t="s">
        <v>69</v>
      </c>
    </row>
    <row r="24555" spans="1:5" x14ac:dyDescent="0.25">
      <c r="A24555" t="str">
        <f>HYPERLINK("https://www.773grp.com/globalSearch/DTC124XET1G/page-1", "DTC124XET1G")</f>
        <v>DTC124XET1G</v>
      </c>
      <c r="B24555" s="3" t="str">
        <f>HYPERLINK("https://www.773grp.com/manufacturer/onsemi?pageNo=1031", "ON Semiconductor")</f>
        <v>ON Semiconductor</v>
      </c>
      <c r="C24555" s="6">
        <v>771000</v>
      </c>
      <c r="D24555" s="7">
        <v>0.15</v>
      </c>
      <c r="E24555" t="s">
        <v>69</v>
      </c>
    </row>
    <row r="24556" spans="1:5" x14ac:dyDescent="0.25">
      <c r="A24556" t="str">
        <f>HYPERLINK("https://www.773grp.com/globalSearch/DTC143EET1/page-1", "DTC143EET1")</f>
        <v>DTC143EET1</v>
      </c>
      <c r="B24556" s="3" t="str">
        <f>HYPERLINK("https://www.773grp.com/manufacturer/onsemi?pageNo=1032", "ON Semiconductor")</f>
        <v>ON Semiconductor</v>
      </c>
      <c r="C24556" s="6">
        <v>768000</v>
      </c>
      <c r="D24556" s="7">
        <v>0.15</v>
      </c>
      <c r="E24556" t="s">
        <v>69</v>
      </c>
    </row>
    <row r="24557" spans="1:5" x14ac:dyDescent="0.25">
      <c r="A24557" t="str">
        <f>HYPERLINK("https://www.773grp.com/globalSearch/DTC143EET1G/page-1", "DTC143EET1G")</f>
        <v>DTC143EET1G</v>
      </c>
      <c r="B24557" s="3" t="str">
        <f>HYPERLINK("https://www.773grp.com/manufacturer/onsemi?pageNo=1033", "ON Semiconductor")</f>
        <v>ON Semiconductor</v>
      </c>
      <c r="C24557" s="6">
        <v>336000</v>
      </c>
      <c r="D24557" s="7">
        <v>0.15</v>
      </c>
      <c r="E24557" t="s">
        <v>69</v>
      </c>
    </row>
    <row r="24558" spans="1:5" x14ac:dyDescent="0.25">
      <c r="A24558" t="str">
        <f>HYPERLINK("https://www.773grp.com/globalSearch/DTC143TET1/page-1", "DTC143TET1")</f>
        <v>DTC143TET1</v>
      </c>
      <c r="B24558" s="3" t="str">
        <f>HYPERLINK("https://www.773grp.com/manufacturer/onsemi?pageNo=1034", "ON Semiconductor")</f>
        <v>ON Semiconductor</v>
      </c>
      <c r="C24558" s="6">
        <v>513000</v>
      </c>
      <c r="D24558" s="7">
        <v>0.15</v>
      </c>
      <c r="E24558" t="s">
        <v>69</v>
      </c>
    </row>
    <row r="24559" spans="1:5" x14ac:dyDescent="0.25">
      <c r="A24559" t="str">
        <f>HYPERLINK("https://www.773grp.com/globalSearch/DTC143ZET1/page-1", "DTC143ZET1")</f>
        <v>DTC143ZET1</v>
      </c>
      <c r="B24559" s="3" t="str">
        <f>HYPERLINK("https://www.773grp.com/manufacturer/onsemi?pageNo=1035", "ON Semiconductor")</f>
        <v>ON Semiconductor</v>
      </c>
      <c r="C24559" s="6">
        <v>45000</v>
      </c>
      <c r="D24559" s="7">
        <v>0.15</v>
      </c>
      <c r="E24559" t="s">
        <v>69</v>
      </c>
    </row>
    <row r="24560" spans="1:5" x14ac:dyDescent="0.25">
      <c r="A24560" t="str">
        <f>HYPERLINK("https://www.773grp.com/globalSearch/DTC143ZET1G/page-1", "DTC143ZET1G")</f>
        <v>DTC143ZET1G</v>
      </c>
      <c r="B24560" s="3" t="str">
        <f>HYPERLINK("https://www.773grp.com/manufacturer/onsemi?pageNo=1036", "ON Semiconductor")</f>
        <v>ON Semiconductor</v>
      </c>
      <c r="C24560" s="6">
        <v>2288450</v>
      </c>
      <c r="D24560" s="7">
        <v>0.15</v>
      </c>
      <c r="E24560" t="s">
        <v>69</v>
      </c>
    </row>
    <row r="24561" spans="1:5" x14ac:dyDescent="0.25">
      <c r="A24561" t="str">
        <f>HYPERLINK("https://www.773grp.com/globalSearch/DTC144EET1/page-1", "DTC144EET1")</f>
        <v>DTC144EET1</v>
      </c>
      <c r="B24561" s="3" t="str">
        <f>HYPERLINK("https://www.773grp.com/manufacturer/onsemi?pageNo=1037", "ON Semiconductor")</f>
        <v>ON Semiconductor</v>
      </c>
      <c r="C24561" s="6">
        <v>242165</v>
      </c>
      <c r="D24561" s="7">
        <v>0.15</v>
      </c>
      <c r="E24561" t="s">
        <v>69</v>
      </c>
    </row>
    <row r="24562" spans="1:5" x14ac:dyDescent="0.25">
      <c r="A24562" t="str">
        <f>HYPERLINK("https://www.773grp.com/globalSearch/DTC144EET1G/page-1", "DTC144EET1G")</f>
        <v>DTC144EET1G</v>
      </c>
      <c r="B24562" s="3" t="str">
        <f>HYPERLINK("https://www.773grp.com/manufacturer/onsemi?pageNo=1038", "ON Semiconductor")</f>
        <v>ON Semiconductor</v>
      </c>
      <c r="C24562" s="6">
        <v>3449150</v>
      </c>
      <c r="D24562" s="7">
        <v>0.15</v>
      </c>
      <c r="E24562" t="s">
        <v>69</v>
      </c>
    </row>
    <row r="24563" spans="1:5" x14ac:dyDescent="0.25">
      <c r="A24563" t="str">
        <f>HYPERLINK("https://www.773grp.com/globalSearch/EMA6DXV5T1/page-1", "EMA6DXV5T1")</f>
        <v>EMA6DXV5T1</v>
      </c>
      <c r="B24563" s="3" t="str">
        <f>HYPERLINK("https://www.773grp.com/manufacturer/onsemi?pageNo=1039", "ON Semiconductor")</f>
        <v>ON Semiconductor</v>
      </c>
      <c r="C24563" s="6">
        <v>76000</v>
      </c>
      <c r="D24563" s="7">
        <v>0.15</v>
      </c>
      <c r="E24563" t="s">
        <v>69</v>
      </c>
    </row>
    <row r="24564" spans="1:5" x14ac:dyDescent="0.25">
      <c r="A24564" t="str">
        <f>HYPERLINK("https://www.773grp.com/globalSearch/EMA6DXV5T1G/page-1", "EMA6DXV5T1G")</f>
        <v>EMA6DXV5T1G</v>
      </c>
      <c r="B24564" s="3" t="str">
        <f>HYPERLINK("https://www.773grp.com/manufacturer/onsemi?pageNo=1040", "ON Semiconductor")</f>
        <v>ON Semiconductor</v>
      </c>
      <c r="C24564" s="6">
        <v>68000</v>
      </c>
      <c r="D24564" s="7">
        <v>0.15</v>
      </c>
      <c r="E24564" t="s">
        <v>69</v>
      </c>
    </row>
    <row r="24565" spans="1:5" x14ac:dyDescent="0.25">
      <c r="A24565" t="str">
        <f>HYPERLINK("https://www.773grp.com/globalSearch/EMA6DXV5T5G/page-1", "EMA6DXV5T5G")</f>
        <v>EMA6DXV5T5G</v>
      </c>
      <c r="B24565" s="3" t="str">
        <f>HYPERLINK("https://www.773grp.com/manufacturer/onsemi?pageNo=1041", "ON Semiconductor")</f>
        <v>ON Semiconductor</v>
      </c>
      <c r="C24565" s="6">
        <v>40000</v>
      </c>
      <c r="D24565" s="7">
        <v>0.15</v>
      </c>
    </row>
    <row r="24566" spans="1:5" x14ac:dyDescent="0.25">
      <c r="A24566" t="str">
        <f>HYPERLINK("https://www.773grp.com/globalSearch/EMC2DXV5T1/page-1", "EMC2DXV5T1")</f>
        <v>EMC2DXV5T1</v>
      </c>
      <c r="B24566" s="3" t="str">
        <f>HYPERLINK("https://www.773grp.com/manufacturer/onsemi?pageNo=1042", "ON Semiconductor")</f>
        <v>ON Semiconductor</v>
      </c>
      <c r="C24566" s="6">
        <v>603950</v>
      </c>
      <c r="D24566" s="7">
        <v>0.15</v>
      </c>
      <c r="E24566" t="s">
        <v>69</v>
      </c>
    </row>
    <row r="24567" spans="1:5" x14ac:dyDescent="0.25">
      <c r="A24567" t="str">
        <f>HYPERLINK("https://www.773grp.com/globalSearch/EMC3DXV5T1/page-1", "EMC3DXV5T1")</f>
        <v>EMC3DXV5T1</v>
      </c>
      <c r="B24567" s="3" t="str">
        <f>HYPERLINK("https://www.773grp.com/manufacturer/onsemi?pageNo=1043", "ON Semiconductor")</f>
        <v>ON Semiconductor</v>
      </c>
      <c r="C24567" s="6">
        <v>4000</v>
      </c>
      <c r="D24567" s="7">
        <v>0.15</v>
      </c>
      <c r="E24567" t="s">
        <v>69</v>
      </c>
    </row>
    <row r="24568" spans="1:5" x14ac:dyDescent="0.25">
      <c r="A24568" t="str">
        <f>HYPERLINK("https://www.773grp.com/globalSearch/EMC3DXV5T5/page-1", "EMC3DXV5T5")</f>
        <v>EMC3DXV5T5</v>
      </c>
      <c r="B24568" s="3" t="str">
        <f>HYPERLINK("https://www.773grp.com/manufacturer/onsemi?pageNo=1044", "ON Semiconductor")</f>
        <v>ON Semiconductor</v>
      </c>
      <c r="C24568" s="6">
        <v>56000</v>
      </c>
      <c r="D24568" s="7">
        <v>0.15</v>
      </c>
      <c r="E24568" t="s">
        <v>69</v>
      </c>
    </row>
    <row r="24569" spans="1:5" x14ac:dyDescent="0.25">
      <c r="A24569" t="str">
        <f>HYPERLINK("https://www.773grp.com/globalSearch/EMC5DXV5T1/page-1", "EMC5DXV5T1")</f>
        <v>EMC5DXV5T1</v>
      </c>
      <c r="B24569" s="3" t="str">
        <f>HYPERLINK("https://www.773grp.com/manufacturer/onsemi?pageNo=1045", "ON Semiconductor")</f>
        <v>ON Semiconductor</v>
      </c>
      <c r="C24569" s="6">
        <v>131530</v>
      </c>
      <c r="D24569" s="7">
        <v>0.15</v>
      </c>
      <c r="E24569" t="s">
        <v>69</v>
      </c>
    </row>
    <row r="24570" spans="1:5" x14ac:dyDescent="0.25">
      <c r="A24570" t="str">
        <f>HYPERLINK("https://www.773grp.com/globalSearch/EMD4DXV6T5/page-1", "EMD4DXV6T5")</f>
        <v>EMD4DXV6T5</v>
      </c>
      <c r="B24570" s="3" t="str">
        <f>HYPERLINK("https://www.773grp.com/manufacturer/onsemi?pageNo=1046", "ON Semiconductor")</f>
        <v>ON Semiconductor</v>
      </c>
      <c r="C24570" s="6">
        <v>1880000</v>
      </c>
      <c r="D24570" s="7">
        <v>0.15</v>
      </c>
      <c r="E24570" t="s">
        <v>69</v>
      </c>
    </row>
    <row r="24571" spans="1:5" x14ac:dyDescent="0.25">
      <c r="A24571" t="str">
        <f>HYPERLINK("https://www.773grp.com/globalSearch/EMD5DXV6T1/page-1", "EMD5DXV6T1")</f>
        <v>EMD5DXV6T1</v>
      </c>
      <c r="B24571" s="3" t="str">
        <f>HYPERLINK("https://www.773grp.com/manufacturer/onsemi?pageNo=1047", "ON Semiconductor")</f>
        <v>ON Semiconductor</v>
      </c>
      <c r="C24571" s="6">
        <v>7885</v>
      </c>
      <c r="D24571" s="7">
        <v>0.15</v>
      </c>
      <c r="E24571" t="s">
        <v>69</v>
      </c>
    </row>
    <row r="24572" spans="1:5" x14ac:dyDescent="0.25">
      <c r="A24572" t="str">
        <f>HYPERLINK("https://www.773grp.com/globalSearch/EMG2DXV5T1/page-1", "EMG2DXV5T1")</f>
        <v>EMG2DXV5T1</v>
      </c>
      <c r="B24572" s="3" t="str">
        <f>HYPERLINK("https://www.773grp.com/manufacturer/onsemi?pageNo=1048", "ON Semiconductor")</f>
        <v>ON Semiconductor</v>
      </c>
      <c r="C24572" s="6">
        <v>592000</v>
      </c>
      <c r="D24572" s="7">
        <v>0.15</v>
      </c>
      <c r="E24572" t="s">
        <v>69</v>
      </c>
    </row>
    <row r="24573" spans="1:5" x14ac:dyDescent="0.25">
      <c r="A24573" t="str">
        <f>HYPERLINK("https://www.773grp.com/globalSearch/EMG2DXV5T1G/page-1", "EMG2DXV5T1G")</f>
        <v>EMG2DXV5T1G</v>
      </c>
      <c r="B24573" s="3" t="str">
        <f>HYPERLINK("https://www.773grp.com/manufacturer/onsemi?pageNo=1049", "ON Semiconductor")</f>
        <v>ON Semiconductor</v>
      </c>
      <c r="C24573" s="6">
        <v>12000</v>
      </c>
      <c r="D24573" s="7">
        <v>0.15</v>
      </c>
      <c r="E24573" t="s">
        <v>69</v>
      </c>
    </row>
    <row r="24574" spans="1:5" x14ac:dyDescent="0.25">
      <c r="A24574" t="str">
        <f>HYPERLINK("https://www.773grp.com/globalSearch/EMG2DXV5T5/page-1", "EMG2DXV5T5")</f>
        <v>EMG2DXV5T5</v>
      </c>
      <c r="B24574" s="3" t="str">
        <f>HYPERLINK("https://www.773grp.com/manufacturer/onsemi?pageNo=1050", "ON Semiconductor")</f>
        <v>ON Semiconductor</v>
      </c>
      <c r="C24574" s="6">
        <v>64000</v>
      </c>
      <c r="D24574" s="7">
        <v>0.15</v>
      </c>
      <c r="E24574" t="s">
        <v>69</v>
      </c>
    </row>
    <row r="24575" spans="1:5" x14ac:dyDescent="0.25">
      <c r="A24575" t="str">
        <f>HYPERLINK("https://www.773grp.com/globalSearch/EMG5DXV5T1/page-1", "EMG5DXV5T1")</f>
        <v>EMG5DXV5T1</v>
      </c>
      <c r="B24575" s="3" t="str">
        <f>HYPERLINK("https://www.773grp.com/manufacturer/onsemi?pageNo=1051", "ON Semiconductor")</f>
        <v>ON Semiconductor</v>
      </c>
      <c r="C24575" s="6">
        <v>52000</v>
      </c>
      <c r="D24575" s="7">
        <v>0.15</v>
      </c>
      <c r="E24575" t="s">
        <v>69</v>
      </c>
    </row>
    <row r="24576" spans="1:5" x14ac:dyDescent="0.25">
      <c r="A24576" t="str">
        <f>HYPERLINK("https://www.773grp.com/globalSearch/EMT1DXV6T1/page-1", "EMT1DXV6T1")</f>
        <v>EMT1DXV6T1</v>
      </c>
      <c r="B24576" s="3" t="str">
        <f>HYPERLINK("https://www.773grp.com/manufacturer/onsemi?pageNo=1052", "ON Semiconductor")</f>
        <v>ON Semiconductor</v>
      </c>
      <c r="C24576" s="6">
        <v>8000</v>
      </c>
      <c r="D24576" s="7">
        <v>0.15</v>
      </c>
      <c r="E24576" t="s">
        <v>69</v>
      </c>
    </row>
    <row r="24577" spans="1:5" x14ac:dyDescent="0.25">
      <c r="A24577" t="str">
        <f>HYPERLINK("https://www.773grp.com/globalSearch/EMT1DXV6T5/page-1", "EMT1DXV6T5")</f>
        <v>EMT1DXV6T5</v>
      </c>
      <c r="B24577" s="3" t="str">
        <f>HYPERLINK("https://www.773grp.com/manufacturer/onsemi?pageNo=1053", "ON Semiconductor")</f>
        <v>ON Semiconductor</v>
      </c>
      <c r="C24577" s="6">
        <v>160000</v>
      </c>
      <c r="D24577" s="7">
        <v>0.15</v>
      </c>
      <c r="E24577" t="s">
        <v>69</v>
      </c>
    </row>
    <row r="24578" spans="1:5" x14ac:dyDescent="0.25">
      <c r="A24578" t="str">
        <f>HYPERLINK("https://www.773grp.com/globalSearch/EMT2DXV6T5/page-1", "EMT2DXV6T5")</f>
        <v>EMT2DXV6T5</v>
      </c>
      <c r="B24578" s="3" t="str">
        <f>HYPERLINK("https://www.773grp.com/manufacturer/onsemi?pageNo=1054", "ON Semiconductor")</f>
        <v>ON Semiconductor</v>
      </c>
      <c r="C24578" s="6">
        <v>96000</v>
      </c>
      <c r="D24578" s="7">
        <v>0.15</v>
      </c>
      <c r="E24578" t="s">
        <v>69</v>
      </c>
    </row>
    <row r="24579" spans="1:5" x14ac:dyDescent="0.25">
      <c r="A24579" t="str">
        <f>HYPERLINK("https://www.773grp.com/globalSearch/EMX1DXV6T1/page-1", "EMX1DXV6T1")</f>
        <v>EMX1DXV6T1</v>
      </c>
      <c r="B24579" s="3" t="str">
        <f>HYPERLINK("https://www.773grp.com/manufacturer/onsemi?pageNo=1055", "ON Semiconductor")</f>
        <v>ON Semiconductor</v>
      </c>
      <c r="C24579" s="6">
        <v>424000</v>
      </c>
      <c r="D24579" s="7">
        <v>0.15</v>
      </c>
      <c r="E24579" t="s">
        <v>69</v>
      </c>
    </row>
    <row r="24580" spans="1:5" x14ac:dyDescent="0.25">
      <c r="A24580" t="str">
        <f>HYPERLINK("https://www.773grp.com/globalSearch/EMX1DXV6T5/page-1", "EMX1DXV6T5")</f>
        <v>EMX1DXV6T5</v>
      </c>
      <c r="B24580" s="3" t="str">
        <f>HYPERLINK("https://www.773grp.com/manufacturer/onsemi?pageNo=1056", "ON Semiconductor")</f>
        <v>ON Semiconductor</v>
      </c>
      <c r="C24580" s="6">
        <v>435950</v>
      </c>
      <c r="D24580" s="7">
        <v>0.15</v>
      </c>
      <c r="E24580" t="s">
        <v>69</v>
      </c>
    </row>
    <row r="24581" spans="1:5" x14ac:dyDescent="0.25">
      <c r="A24581" t="str">
        <f>HYPERLINK("https://www.773grp.com/globalSearch/EMZ1DXV6T1/page-1", "EMZ1DXV6T1")</f>
        <v>EMZ1DXV6T1</v>
      </c>
      <c r="B24581" s="3" t="str">
        <f>HYPERLINK("https://www.773grp.com/manufacturer/onsemi?pageNo=1057", "ON Semiconductor")</f>
        <v>ON Semiconductor</v>
      </c>
      <c r="C24581" s="6">
        <v>128000</v>
      </c>
      <c r="D24581" s="7">
        <v>0.15</v>
      </c>
      <c r="E24581" t="s">
        <v>69</v>
      </c>
    </row>
    <row r="24582" spans="1:5" x14ac:dyDescent="0.25">
      <c r="A24582" t="str">
        <f>HYPERLINK("https://www.773grp.com/globalSearch/EMZ1DXV6T1G/page-1", "EMZ1DXV6T1G")</f>
        <v>EMZ1DXV6T1G</v>
      </c>
      <c r="B24582" s="3" t="str">
        <f>HYPERLINK("https://www.773grp.com/manufacturer/onsemi?pageNo=1058", "ON Semiconductor")</f>
        <v>ON Semiconductor</v>
      </c>
      <c r="C24582" s="6">
        <v>136000</v>
      </c>
      <c r="D24582" s="7">
        <v>0.15</v>
      </c>
      <c r="E24582" t="s">
        <v>69</v>
      </c>
    </row>
    <row r="24583" spans="1:5" x14ac:dyDescent="0.25">
      <c r="A24583" t="str">
        <f>HYPERLINK("https://www.773grp.com/globalSearch/EMZ1DXV6T5/page-1", "EMZ1DXV6T5")</f>
        <v>EMZ1DXV6T5</v>
      </c>
      <c r="B24583" s="3" t="str">
        <f>HYPERLINK("https://www.773grp.com/manufacturer/onsemi?pageNo=1059", "ON Semiconductor")</f>
        <v>ON Semiconductor</v>
      </c>
      <c r="C24583" s="6">
        <v>272000</v>
      </c>
      <c r="D24583" s="7">
        <v>0.15</v>
      </c>
      <c r="E24583" t="s">
        <v>69</v>
      </c>
    </row>
    <row r="24584" spans="1:5" x14ac:dyDescent="0.25">
      <c r="A24584" t="str">
        <f>HYPERLINK("https://www.773grp.com/globalSearch/ESD5Z7.0T1G/page-1", "ESD5Z7.0T1G")</f>
        <v>ESD5Z7.0T1G</v>
      </c>
      <c r="B24584" s="3" t="str">
        <f>HYPERLINK("https://www.773grp.com/manufacturer/onsemi?pageNo=1060", "ON Semiconductor")</f>
        <v>ON Semiconductor</v>
      </c>
      <c r="C24584" s="6">
        <v>1200357</v>
      </c>
      <c r="D24584" s="7">
        <v>0.15</v>
      </c>
      <c r="E24584" t="s">
        <v>96</v>
      </c>
    </row>
    <row r="24585" spans="1:5" x14ac:dyDescent="0.25">
      <c r="A24585" t="str">
        <f>HYPERLINK("https://www.773grp.com/globalSearch/ESD9B5.0ST5G/page-1", "ESD9B5.0ST5G")</f>
        <v>ESD9B5.0ST5G</v>
      </c>
      <c r="B24585" s="3" t="str">
        <f>HYPERLINK("https://www.773grp.com/manufacturer/onsemi?pageNo=1061", "ON Semiconductor")</f>
        <v>ON Semiconductor</v>
      </c>
      <c r="C24585" s="6">
        <v>196400</v>
      </c>
      <c r="D24585" s="7">
        <v>0.15</v>
      </c>
      <c r="E24585" t="s">
        <v>96</v>
      </c>
    </row>
    <row r="24586" spans="1:5" x14ac:dyDescent="0.25">
      <c r="A24586" t="str">
        <f>HYPERLINK("https://www.773grp.com/globalSearch/ESD9M5.0ST5G/page-1", "ESD9M5.0ST5G")</f>
        <v>ESD9M5.0ST5G</v>
      </c>
      <c r="B24586" s="3" t="str">
        <f>HYPERLINK("https://www.773grp.com/manufacturer/onsemi?pageNo=1062", "ON Semiconductor")</f>
        <v>ON Semiconductor</v>
      </c>
      <c r="C24586" s="6">
        <v>4950700</v>
      </c>
      <c r="D24586" s="7">
        <v>0.15</v>
      </c>
      <c r="E24586" t="s">
        <v>96</v>
      </c>
    </row>
    <row r="24587" spans="1:5" x14ac:dyDescent="0.25">
      <c r="A24587" t="str">
        <f>HYPERLINK("https://www.773grp.com/globalSearch/ESD9X3.3ST5G/page-1", "ESD9X3.3ST5G")</f>
        <v>ESD9X3.3ST5G</v>
      </c>
      <c r="B24587" s="3" t="str">
        <f>HYPERLINK("https://www.773grp.com/manufacturer/onsemi?pageNo=1063", "ON Semiconductor")</f>
        <v>ON Semiconductor</v>
      </c>
      <c r="C24587" s="6">
        <v>1196982</v>
      </c>
      <c r="D24587" s="7">
        <v>0.15</v>
      </c>
      <c r="E24587" t="s">
        <v>96</v>
      </c>
    </row>
    <row r="24588" spans="1:5" x14ac:dyDescent="0.25">
      <c r="A24588" t="str">
        <f>HYPERLINK("https://www.773grp.com/globalSearch/ESD9X7.0ST5G/page-1", "ESD9X7.0ST5G")</f>
        <v>ESD9X7.0ST5G</v>
      </c>
      <c r="B24588" s="3" t="str">
        <f>HYPERLINK("https://www.773grp.com/manufacturer/onsemi?pageNo=1064", "ON Semiconductor")</f>
        <v>ON Semiconductor</v>
      </c>
      <c r="C24588" s="6">
        <v>432000</v>
      </c>
      <c r="D24588" s="7">
        <v>0.15</v>
      </c>
      <c r="E24588" t="s">
        <v>96</v>
      </c>
    </row>
    <row r="24589" spans="1:5" x14ac:dyDescent="0.25">
      <c r="A24589" t="str">
        <f>HYPERLINK("https://www.773grp.com/globalSearch/HN2D02FUTW1T1/page-1", "HN2D02FUTW1T1")</f>
        <v>HN2D02FUTW1T1</v>
      </c>
      <c r="B24589" s="3" t="str">
        <f>HYPERLINK("https://www.773grp.com/manufacturer/onsemi?pageNo=1065", "ON Semiconductor")</f>
        <v>ON Semiconductor</v>
      </c>
      <c r="C24589" s="6">
        <v>8895</v>
      </c>
      <c r="D24589" s="7">
        <v>0.15</v>
      </c>
      <c r="E24589" t="s">
        <v>94</v>
      </c>
    </row>
    <row r="24590" spans="1:5" x14ac:dyDescent="0.25">
      <c r="A24590" t="str">
        <f>HYPERLINK("https://www.773grp.com/globalSearch/LC1675L/page-1", "LC1675L")</f>
        <v>LC1675L</v>
      </c>
      <c r="B24590" s="3" t="str">
        <f>HYPERLINK("https://www.773grp.com/manufacturer/onsemi?pageNo=1066", "ON Semiconductor")</f>
        <v>ON Semiconductor</v>
      </c>
      <c r="C24590" s="6">
        <v>19980</v>
      </c>
      <c r="D24590" s="7">
        <v>0.15</v>
      </c>
    </row>
    <row r="24591" spans="1:5" x14ac:dyDescent="0.25">
      <c r="A24591" t="str">
        <f>HYPERLINK("https://www.773grp.com/globalSearch/M1MA142KT1G/page-1", "M1MA142KT1G")</f>
        <v>M1MA142KT1G</v>
      </c>
      <c r="B24591" s="3" t="str">
        <f>HYPERLINK("https://www.773grp.com/manufacturer/onsemi?pageNo=1067", "ON Semiconductor")</f>
        <v>ON Semiconductor</v>
      </c>
      <c r="C24591" s="6">
        <v>87000</v>
      </c>
      <c r="D24591" s="7">
        <v>0.15</v>
      </c>
      <c r="E24591" t="s">
        <v>94</v>
      </c>
    </row>
    <row r="24592" spans="1:5" x14ac:dyDescent="0.25">
      <c r="A24592" t="str">
        <f>HYPERLINK("https://www.773grp.com/globalSearch/M1MA151WKT1G/page-1", "M1MA151WKT1G")</f>
        <v>M1MA151WKT1G</v>
      </c>
      <c r="B24592" s="3" t="str">
        <f>HYPERLINK("https://www.773grp.com/manufacturer/onsemi?pageNo=1068", "ON Semiconductor")</f>
        <v>ON Semiconductor</v>
      </c>
      <c r="C24592" s="6">
        <v>6000</v>
      </c>
      <c r="D24592" s="7">
        <v>0.15</v>
      </c>
    </row>
    <row r="24593" spans="1:5" x14ac:dyDescent="0.25">
      <c r="A24593" t="str">
        <f>HYPERLINK("https://www.773grp.com/globalSearch/M74VHC1GT66DFT1G/page-1", "M74VHC1GT66DFT1G")</f>
        <v>M74VHC1GT66DFT1G</v>
      </c>
      <c r="B24593" s="3" t="str">
        <f>HYPERLINK("https://www.773grp.com/manufacturer/onsemi?pageNo=1069", "ON Semiconductor")</f>
        <v>ON Semiconductor</v>
      </c>
      <c r="C24593" s="6">
        <v>111000</v>
      </c>
      <c r="D24593" s="7">
        <v>0.15</v>
      </c>
      <c r="E24593" t="s">
        <v>56</v>
      </c>
    </row>
    <row r="24594" spans="1:5" x14ac:dyDescent="0.25">
      <c r="A24594" t="str">
        <f>HYPERLINK("https://www.773grp.com/globalSearch/M74VHC1GT66DFT2G/page-1", "M74VHC1GT66DFT2G")</f>
        <v>M74VHC1GT66DFT2G</v>
      </c>
      <c r="B24594" s="3" t="str">
        <f>HYPERLINK("https://www.773grp.com/manufacturer/onsemi?pageNo=1070", "ON Semiconductor")</f>
        <v>ON Semiconductor</v>
      </c>
      <c r="C24594" s="6">
        <v>42000</v>
      </c>
      <c r="D24594" s="7">
        <v>0.15</v>
      </c>
      <c r="E24594" t="s">
        <v>56</v>
      </c>
    </row>
    <row r="24595" spans="1:5" x14ac:dyDescent="0.25">
      <c r="A24595" t="str">
        <f>HYPERLINK("https://www.773grp.com/globalSearch/M74VHC1GT66DTT1G/page-1", "M74VHC1GT66DTT1G")</f>
        <v>M74VHC1GT66DTT1G</v>
      </c>
      <c r="B24595" s="3" t="str">
        <f>HYPERLINK("https://www.773grp.com/manufacturer/onsemi?pageNo=1071", "ON Semiconductor")</f>
        <v>ON Semiconductor</v>
      </c>
      <c r="C24595" s="6">
        <v>22982</v>
      </c>
      <c r="D24595" s="7">
        <v>0.15</v>
      </c>
      <c r="E24595" t="s">
        <v>56</v>
      </c>
    </row>
    <row r="24596" spans="1:5" x14ac:dyDescent="0.25">
      <c r="A24596" t="str">
        <f>HYPERLINK("https://www.773grp.com/globalSearch/MA3075WALT1/page-1", "MA3075WALT1")</f>
        <v>MA3075WALT1</v>
      </c>
      <c r="B24596" s="3" t="str">
        <f>HYPERLINK("https://www.773grp.com/manufacturer/onsemi?pageNo=1072", "ON Semiconductor")</f>
        <v>ON Semiconductor</v>
      </c>
      <c r="C24596" s="6">
        <v>26790</v>
      </c>
      <c r="D24596" s="7">
        <v>0.15</v>
      </c>
      <c r="E24596" t="s">
        <v>96</v>
      </c>
    </row>
    <row r="24597" spans="1:5" x14ac:dyDescent="0.25">
      <c r="A24597" t="str">
        <f>HYPERLINK("https://www.773grp.com/globalSearch/MBT3904DW1T1/page-1", "MBT3904DW1T1")</f>
        <v>MBT3904DW1T1</v>
      </c>
      <c r="B24597" s="3" t="str">
        <f>HYPERLINK("https://www.773grp.com/manufacturer/onsemi?pageNo=1073", "ON Semiconductor")</f>
        <v>ON Semiconductor</v>
      </c>
      <c r="C24597" s="6">
        <v>604140</v>
      </c>
      <c r="D24597" s="7">
        <v>0.15</v>
      </c>
      <c r="E24597" t="s">
        <v>69</v>
      </c>
    </row>
    <row r="24598" spans="1:5" x14ac:dyDescent="0.25">
      <c r="A24598" t="str">
        <f>HYPERLINK("https://www.773grp.com/globalSearch/MBT3904DW2T1/page-1", "MBT3904DW2T1")</f>
        <v>MBT3904DW2T1</v>
      </c>
      <c r="B24598" s="3" t="str">
        <f>HYPERLINK("https://www.773grp.com/manufacturer/onsemi?pageNo=1074", "ON Semiconductor")</f>
        <v>ON Semiconductor</v>
      </c>
      <c r="C24598" s="6">
        <v>26950</v>
      </c>
      <c r="D24598" s="7">
        <v>0.15</v>
      </c>
      <c r="E24598" t="s">
        <v>69</v>
      </c>
    </row>
    <row r="24599" spans="1:5" x14ac:dyDescent="0.25">
      <c r="A24599" t="str">
        <f>HYPERLINK("https://www.773grp.com/globalSearch/MBT3904DW2T1G/page-1", "MBT3904DW2T1G")</f>
        <v>MBT3904DW2T1G</v>
      </c>
      <c r="B24599" s="3" t="str">
        <f>HYPERLINK("https://www.773grp.com/manufacturer/onsemi?pageNo=1075", "ON Semiconductor")</f>
        <v>ON Semiconductor</v>
      </c>
      <c r="C24599" s="6">
        <v>65500</v>
      </c>
      <c r="D24599" s="7">
        <v>0.15</v>
      </c>
      <c r="E24599" t="s">
        <v>69</v>
      </c>
    </row>
    <row r="24600" spans="1:5" x14ac:dyDescent="0.25">
      <c r="A24600" t="str">
        <f>HYPERLINK("https://www.773grp.com/globalSearch/MBT3906DW1T1/page-1", "MBT3906DW1T1")</f>
        <v>MBT3906DW1T1</v>
      </c>
      <c r="B24600" s="3" t="str">
        <f>HYPERLINK("https://www.773grp.com/manufacturer/onsemi?pageNo=1076", "ON Semiconductor")</f>
        <v>ON Semiconductor</v>
      </c>
      <c r="C24600" s="6">
        <v>53190</v>
      </c>
      <c r="D24600" s="7">
        <v>0.15</v>
      </c>
      <c r="E24600" t="s">
        <v>69</v>
      </c>
    </row>
    <row r="24601" spans="1:5" x14ac:dyDescent="0.25">
      <c r="A24601" t="str">
        <f>HYPERLINK("https://www.773grp.com/globalSearch/MBT3946DW1T1/page-1", "MBT3946DW1T1")</f>
        <v>MBT3946DW1T1</v>
      </c>
      <c r="B24601" s="3" t="str">
        <f>HYPERLINK("https://www.773grp.com/manufacturer/onsemi?pageNo=1077", "ON Semiconductor")</f>
        <v>ON Semiconductor</v>
      </c>
      <c r="C24601" s="6">
        <v>760980</v>
      </c>
      <c r="D24601" s="7">
        <v>0.15</v>
      </c>
      <c r="E24601" t="s">
        <v>69</v>
      </c>
    </row>
    <row r="24602" spans="1:5" x14ac:dyDescent="0.25">
      <c r="A24602" t="str">
        <f>HYPERLINK("https://www.773grp.com/globalSearch/MM3Z10VST1G/page-1", "MM3Z10VST1G")</f>
        <v>MM3Z10VST1G</v>
      </c>
      <c r="B24602" s="3" t="str">
        <f>HYPERLINK("https://www.773grp.com/manufacturer/onsemi?pageNo=1078", "ON Semiconductor")</f>
        <v>ON Semiconductor</v>
      </c>
      <c r="C24602" s="6">
        <v>706950</v>
      </c>
      <c r="D24602" s="7">
        <v>0.15</v>
      </c>
      <c r="E24602" t="s">
        <v>98</v>
      </c>
    </row>
    <row r="24603" spans="1:5" x14ac:dyDescent="0.25">
      <c r="A24603" t="str">
        <f>HYPERLINK("https://www.773grp.com/globalSearch/MM3Z10VT1/page-1", "MM3Z10VT1")</f>
        <v>MM3Z10VT1</v>
      </c>
      <c r="B24603" s="3" t="str">
        <f>HYPERLINK("https://www.773grp.com/manufacturer/onsemi?pageNo=1079", "ON Semiconductor")</f>
        <v>ON Semiconductor</v>
      </c>
      <c r="C24603" s="6">
        <v>32012</v>
      </c>
      <c r="D24603" s="7">
        <v>0.15</v>
      </c>
    </row>
    <row r="24604" spans="1:5" x14ac:dyDescent="0.25">
      <c r="A24604" t="str">
        <f>HYPERLINK("https://www.773grp.com/globalSearch/MM3Z11VT1G/page-1", "MM3Z11VT1G")</f>
        <v>MM3Z11VT1G</v>
      </c>
      <c r="B24604" s="3" t="str">
        <f>HYPERLINK("https://www.773grp.com/manufacturer/onsemi?pageNo=1080", "ON Semiconductor")</f>
        <v>ON Semiconductor</v>
      </c>
      <c r="C24604" s="6">
        <v>283498</v>
      </c>
      <c r="D24604" s="7">
        <v>0.15</v>
      </c>
      <c r="E24604" t="s">
        <v>98</v>
      </c>
    </row>
    <row r="24605" spans="1:5" x14ac:dyDescent="0.25">
      <c r="A24605" t="str">
        <f>HYPERLINK("https://www.773grp.com/globalSearch/MM3Z12VST1G/page-1", "MM3Z12VST1G")</f>
        <v>MM3Z12VST1G</v>
      </c>
      <c r="B24605" s="3" t="str">
        <f>HYPERLINK("https://www.773grp.com/manufacturer/onsemi?pageNo=1081", "ON Semiconductor")</f>
        <v>ON Semiconductor</v>
      </c>
      <c r="C24605" s="6">
        <v>153000</v>
      </c>
      <c r="D24605" s="7">
        <v>0.15</v>
      </c>
      <c r="E24605" t="s">
        <v>98</v>
      </c>
    </row>
    <row r="24606" spans="1:5" x14ac:dyDescent="0.25">
      <c r="A24606" t="str">
        <f>HYPERLINK("https://www.773grp.com/globalSearch/MM3Z13VT1G/page-1", "MM3Z13VT1G")</f>
        <v>MM3Z13VT1G</v>
      </c>
      <c r="B24606" s="3" t="str">
        <f>HYPERLINK("https://www.773grp.com/manufacturer/onsemi?pageNo=1082", "ON Semiconductor")</f>
        <v>ON Semiconductor</v>
      </c>
      <c r="C24606" s="6">
        <v>347019</v>
      </c>
      <c r="D24606" s="7">
        <v>0.15</v>
      </c>
      <c r="E24606" t="s">
        <v>98</v>
      </c>
    </row>
    <row r="24607" spans="1:5" x14ac:dyDescent="0.25">
      <c r="A24607" t="str">
        <f>HYPERLINK("https://www.773grp.com/globalSearch/MM3Z15VST1G/page-1", "MM3Z15VST1G")</f>
        <v>MM3Z15VST1G</v>
      </c>
      <c r="B24607" s="3" t="str">
        <f>HYPERLINK("https://www.773grp.com/manufacturer/onsemi?pageNo=1083", "ON Semiconductor")</f>
        <v>ON Semiconductor</v>
      </c>
      <c r="C24607" s="6">
        <v>1224000</v>
      </c>
      <c r="D24607" s="7">
        <v>0.15</v>
      </c>
      <c r="E24607" t="s">
        <v>98</v>
      </c>
    </row>
    <row r="24608" spans="1:5" x14ac:dyDescent="0.25">
      <c r="A24608" t="str">
        <f>HYPERLINK("https://www.773grp.com/globalSearch/MM3Z16VST1G/page-1", "MM3Z16VST1G")</f>
        <v>MM3Z16VST1G</v>
      </c>
      <c r="B24608" s="3" t="str">
        <f>HYPERLINK("https://www.773grp.com/manufacturer/onsemi?pageNo=1084", "ON Semiconductor")</f>
        <v>ON Semiconductor</v>
      </c>
      <c r="C24608" s="6">
        <v>78000</v>
      </c>
      <c r="D24608" s="7">
        <v>0.15</v>
      </c>
      <c r="E24608" t="s">
        <v>98</v>
      </c>
    </row>
    <row r="24609" spans="1:5" x14ac:dyDescent="0.25">
      <c r="A24609" t="str">
        <f>HYPERLINK("https://www.773grp.com/globalSearch/MM3Z18VST1G/page-1", "MM3Z18VST1G")</f>
        <v>MM3Z18VST1G</v>
      </c>
      <c r="B24609" s="3" t="str">
        <f>HYPERLINK("https://www.773grp.com/manufacturer/onsemi?pageNo=1085", "ON Semiconductor")</f>
        <v>ON Semiconductor</v>
      </c>
      <c r="C24609" s="6">
        <v>303000</v>
      </c>
      <c r="D24609" s="7">
        <v>0.15</v>
      </c>
      <c r="E24609" t="s">
        <v>98</v>
      </c>
    </row>
    <row r="24610" spans="1:5" x14ac:dyDescent="0.25">
      <c r="A24610" t="str">
        <f>HYPERLINK("https://www.773grp.com/globalSearch/MM3Z18VT1G/page-1", "MM3Z18VT1G")</f>
        <v>MM3Z18VT1G</v>
      </c>
      <c r="B24610" s="3" t="str">
        <f>HYPERLINK("https://www.773grp.com/manufacturer/onsemi?pageNo=1086", "ON Semiconductor")</f>
        <v>ON Semiconductor</v>
      </c>
      <c r="C24610" s="6">
        <v>559208</v>
      </c>
      <c r="D24610" s="7">
        <v>0.15</v>
      </c>
      <c r="E24610" t="s">
        <v>98</v>
      </c>
    </row>
    <row r="24611" spans="1:5" x14ac:dyDescent="0.25">
      <c r="A24611" t="str">
        <f>HYPERLINK("https://www.773grp.com/globalSearch/MM3Z22VST1G/page-1", "MM3Z22VST1G")</f>
        <v>MM3Z22VST1G</v>
      </c>
      <c r="B24611" s="3" t="str">
        <f>HYPERLINK("https://www.773grp.com/manufacturer/onsemi?pageNo=1087", "ON Semiconductor")</f>
        <v>ON Semiconductor</v>
      </c>
      <c r="C24611" s="6">
        <v>156000</v>
      </c>
      <c r="D24611" s="7">
        <v>0.15</v>
      </c>
    </row>
    <row r="24612" spans="1:5" x14ac:dyDescent="0.25">
      <c r="A24612" t="str">
        <f>HYPERLINK("https://www.773grp.com/globalSearch/MM3Z24VST1G/page-1", "MM3Z24VST1G")</f>
        <v>MM3Z24VST1G</v>
      </c>
      <c r="B24612" s="3" t="str">
        <f>HYPERLINK("https://www.773grp.com/manufacturer/onsemi?pageNo=1088", "ON Semiconductor")</f>
        <v>ON Semiconductor</v>
      </c>
      <c r="C24612" s="6">
        <v>255000</v>
      </c>
      <c r="D24612" s="7">
        <v>0.15</v>
      </c>
      <c r="E24612" t="s">
        <v>98</v>
      </c>
    </row>
    <row r="24613" spans="1:5" x14ac:dyDescent="0.25">
      <c r="A24613" t="str">
        <f>HYPERLINK("https://www.773grp.com/globalSearch/MM3Z27VST1G/page-1", "MM3Z27VST1G")</f>
        <v>MM3Z27VST1G</v>
      </c>
      <c r="B24613" s="3" t="str">
        <f>HYPERLINK("https://www.773grp.com/manufacturer/onsemi?pageNo=1089", "ON Semiconductor")</f>
        <v>ON Semiconductor</v>
      </c>
      <c r="C24613" s="6">
        <v>210000</v>
      </c>
      <c r="D24613" s="7">
        <v>0.15</v>
      </c>
      <c r="E24613" t="s">
        <v>98</v>
      </c>
    </row>
    <row r="24614" spans="1:5" x14ac:dyDescent="0.25">
      <c r="A24614" t="str">
        <f>HYPERLINK("https://www.773grp.com/globalSearch/MM3Z2V4T1G/page-1", "MM3Z2V4T1G")</f>
        <v>MM3Z2V4T1G</v>
      </c>
      <c r="B24614" s="3" t="str">
        <f>HYPERLINK("https://www.773grp.com/manufacturer/onsemi?pageNo=1090", "ON Semiconductor")</f>
        <v>ON Semiconductor</v>
      </c>
      <c r="C24614" s="6">
        <v>276870</v>
      </c>
      <c r="D24614" s="7">
        <v>0.15</v>
      </c>
      <c r="E24614" t="s">
        <v>98</v>
      </c>
    </row>
    <row r="24615" spans="1:5" x14ac:dyDescent="0.25">
      <c r="A24615" t="str">
        <f>HYPERLINK("https://www.773grp.com/globalSearch/MM3Z2V7T1G/page-1", "MM3Z2V7T1G")</f>
        <v>MM3Z2V7T1G</v>
      </c>
      <c r="B24615" s="3" t="str">
        <f>HYPERLINK("https://www.773grp.com/manufacturer/onsemi?pageNo=1091", "ON Semiconductor")</f>
        <v>ON Semiconductor</v>
      </c>
      <c r="C24615" s="6">
        <v>201000</v>
      </c>
      <c r="D24615" s="7">
        <v>0.15</v>
      </c>
      <c r="E24615" t="s">
        <v>98</v>
      </c>
    </row>
    <row r="24616" spans="1:5" x14ac:dyDescent="0.25">
      <c r="A24616" t="str">
        <f>HYPERLINK("https://www.773grp.com/globalSearch/MM3Z33VST1G/page-1", "MM3Z33VST1G")</f>
        <v>MM3Z33VST1G</v>
      </c>
      <c r="B24616" s="3" t="str">
        <f>HYPERLINK("https://www.773grp.com/manufacturer/onsemi?pageNo=1092", "ON Semiconductor")</f>
        <v>ON Semiconductor</v>
      </c>
      <c r="C24616" s="6">
        <v>27000</v>
      </c>
      <c r="D24616" s="7">
        <v>0.15</v>
      </c>
    </row>
    <row r="24617" spans="1:5" x14ac:dyDescent="0.25">
      <c r="A24617" t="str">
        <f>HYPERLINK("https://www.773grp.com/globalSearch/MM3Z36VST1G/page-1", "MM3Z36VST1G")</f>
        <v>MM3Z36VST1G</v>
      </c>
      <c r="B24617" s="3" t="str">
        <f>HYPERLINK("https://www.773grp.com/manufacturer/onsemi?pageNo=1093", "ON Semiconductor")</f>
        <v>ON Semiconductor</v>
      </c>
      <c r="C24617" s="6">
        <v>231000</v>
      </c>
      <c r="D24617" s="7">
        <v>0.15</v>
      </c>
    </row>
    <row r="24618" spans="1:5" x14ac:dyDescent="0.25">
      <c r="A24618" t="str">
        <f>HYPERLINK("https://www.773grp.com/globalSearch/MM3Z36VT1G/page-1", "MM3Z36VT1G")</f>
        <v>MM3Z36VT1G</v>
      </c>
      <c r="B24618" s="3" t="str">
        <f>HYPERLINK("https://www.773grp.com/manufacturer/onsemi?pageNo=1094", "ON Semiconductor")</f>
        <v>ON Semiconductor</v>
      </c>
      <c r="C24618" s="6">
        <v>108000</v>
      </c>
      <c r="D24618" s="7">
        <v>0.15</v>
      </c>
      <c r="E24618" t="s">
        <v>98</v>
      </c>
    </row>
    <row r="24619" spans="1:5" x14ac:dyDescent="0.25">
      <c r="A24619" t="str">
        <f>HYPERLINK("https://www.773grp.com/globalSearch/MM3Z39VT1G/page-1", "MM3Z39VT1G")</f>
        <v>MM3Z39VT1G</v>
      </c>
      <c r="B24619" s="3" t="str">
        <f>HYPERLINK("https://www.773grp.com/manufacturer/onsemi?pageNo=1095", "ON Semiconductor")</f>
        <v>ON Semiconductor</v>
      </c>
      <c r="C24619" s="6">
        <v>1026000</v>
      </c>
      <c r="D24619" s="7">
        <v>0.15</v>
      </c>
      <c r="E24619" t="s">
        <v>98</v>
      </c>
    </row>
    <row r="24620" spans="1:5" x14ac:dyDescent="0.25">
      <c r="A24620" t="str">
        <f>HYPERLINK("https://www.773grp.com/globalSearch/MM3Z3V3T1G/page-1", "MM3Z3V3T1G")</f>
        <v>MM3Z3V3T1G</v>
      </c>
      <c r="B24620" s="3" t="str">
        <f>HYPERLINK("https://www.773grp.com/manufacturer/onsemi?pageNo=1096", "ON Semiconductor")</f>
        <v>ON Semiconductor</v>
      </c>
      <c r="C24620" s="6">
        <v>95300</v>
      </c>
      <c r="D24620" s="7">
        <v>0.15</v>
      </c>
      <c r="E24620" t="s">
        <v>98</v>
      </c>
    </row>
    <row r="24621" spans="1:5" x14ac:dyDescent="0.25">
      <c r="A24621" t="str">
        <f>HYPERLINK("https://www.773grp.com/globalSearch/MM3Z3V6T1G/page-1", "MM3Z3V6T1G")</f>
        <v>MM3Z3V6T1G</v>
      </c>
      <c r="B24621" s="3" t="str">
        <f>HYPERLINK("https://www.773grp.com/manufacturer/onsemi?pageNo=1097", "ON Semiconductor")</f>
        <v>ON Semiconductor</v>
      </c>
      <c r="C24621" s="6">
        <v>440750</v>
      </c>
      <c r="D24621" s="7">
        <v>0.15</v>
      </c>
      <c r="E24621" t="s">
        <v>98</v>
      </c>
    </row>
    <row r="24622" spans="1:5" x14ac:dyDescent="0.25">
      <c r="A24622" t="str">
        <f>HYPERLINK("https://www.773grp.com/globalSearch/MM3Z3V9ST1G/page-1", "MM3Z3V9ST1G")</f>
        <v>MM3Z3V9ST1G</v>
      </c>
      <c r="B24622" s="3" t="str">
        <f>HYPERLINK("https://www.773grp.com/manufacturer/onsemi?pageNo=1098", "ON Semiconductor")</f>
        <v>ON Semiconductor</v>
      </c>
      <c r="C24622" s="6">
        <v>128743</v>
      </c>
      <c r="D24622" s="7">
        <v>0.15</v>
      </c>
      <c r="E24622" t="s">
        <v>98</v>
      </c>
    </row>
    <row r="24623" spans="1:5" x14ac:dyDescent="0.25">
      <c r="A24623" t="str">
        <f>HYPERLINK("https://www.773grp.com/globalSearch/MM3Z3V9T1/page-1", "MM3Z3V9T1")</f>
        <v>MM3Z3V9T1</v>
      </c>
      <c r="B24623" s="3" t="str">
        <f>HYPERLINK("https://www.773grp.com/manufacturer/onsemi?pageNo=1099", "ON Semiconductor")</f>
        <v>ON Semiconductor</v>
      </c>
      <c r="C24623" s="6">
        <v>18000</v>
      </c>
      <c r="D24623" s="7">
        <v>0.15</v>
      </c>
      <c r="E24623" t="s">
        <v>98</v>
      </c>
    </row>
    <row r="24624" spans="1:5" x14ac:dyDescent="0.25">
      <c r="A24624" t="str">
        <f>HYPERLINK("https://www.773grp.com/globalSearch/MM3Z43VT1G/page-1", "MM3Z43VT1G")</f>
        <v>MM3Z43VT1G</v>
      </c>
      <c r="B24624" s="3" t="str">
        <f>HYPERLINK("https://www.773grp.com/manufacturer/onsemi?pageNo=1100", "ON Semiconductor")</f>
        <v>ON Semiconductor</v>
      </c>
      <c r="C24624" s="6">
        <v>2895000</v>
      </c>
      <c r="D24624" s="7">
        <v>0.15</v>
      </c>
      <c r="E24624" t="s">
        <v>98</v>
      </c>
    </row>
    <row r="24625" spans="1:5" x14ac:dyDescent="0.25">
      <c r="A24625" t="str">
        <f>HYPERLINK("https://www.773grp.com/globalSearch/MM3Z4V3ST1G/page-1", "MM3Z4V3ST1G")</f>
        <v>MM3Z4V3ST1G</v>
      </c>
      <c r="B24625" s="3" t="str">
        <f>HYPERLINK("https://www.773grp.com/manufacturer/onsemi?pageNo=1101", "ON Semiconductor")</f>
        <v>ON Semiconductor</v>
      </c>
      <c r="C24625" s="6">
        <v>66000</v>
      </c>
      <c r="D24625" s="7">
        <v>0.15</v>
      </c>
      <c r="E24625" t="s">
        <v>98</v>
      </c>
    </row>
    <row r="24626" spans="1:5" x14ac:dyDescent="0.25">
      <c r="A24626" t="str">
        <f>HYPERLINK("https://www.773grp.com/globalSearch/MM3Z4V7ST1G/page-1", "MM3Z4V7ST1G")</f>
        <v>MM3Z4V7ST1G</v>
      </c>
      <c r="B24626" s="3" t="str">
        <f>HYPERLINK("https://www.773grp.com/manufacturer/onsemi?pageNo=1102", "ON Semiconductor")</f>
        <v>ON Semiconductor</v>
      </c>
      <c r="C24626" s="6">
        <v>455285</v>
      </c>
      <c r="D24626" s="7">
        <v>0.15</v>
      </c>
      <c r="E24626" t="s">
        <v>98</v>
      </c>
    </row>
    <row r="24627" spans="1:5" x14ac:dyDescent="0.25">
      <c r="A24627" t="str">
        <f>HYPERLINK("https://www.773grp.com/globalSearch/MM3Z5V1ST1G/page-1", "MM3Z5V1ST1G")</f>
        <v>MM3Z5V1ST1G</v>
      </c>
      <c r="B24627" s="3" t="str">
        <f>HYPERLINK("https://www.773grp.com/manufacturer/onsemi?pageNo=1103", "ON Semiconductor")</f>
        <v>ON Semiconductor</v>
      </c>
      <c r="C24627" s="6">
        <v>346416</v>
      </c>
      <c r="D24627" s="7">
        <v>0.15</v>
      </c>
      <c r="E24627" t="s">
        <v>98</v>
      </c>
    </row>
    <row r="24628" spans="1:5" x14ac:dyDescent="0.25">
      <c r="A24628" t="str">
        <f>HYPERLINK("https://www.773grp.com/globalSearch/MM3Z5V6ST1G/page-1", "MM3Z5V6ST1G")</f>
        <v>MM3Z5V6ST1G</v>
      </c>
      <c r="B24628" s="3" t="str">
        <f>HYPERLINK("https://www.773grp.com/manufacturer/onsemi?pageNo=1104", "ON Semiconductor")</f>
        <v>ON Semiconductor</v>
      </c>
      <c r="C24628" s="6">
        <v>1360919</v>
      </c>
      <c r="D24628" s="7">
        <v>0.15</v>
      </c>
      <c r="E24628" t="s">
        <v>98</v>
      </c>
    </row>
    <row r="24629" spans="1:5" x14ac:dyDescent="0.25">
      <c r="A24629" t="str">
        <f>HYPERLINK("https://www.773grp.com/globalSearch/MM3Z6V2ST1G/page-1", "MM3Z6V2ST1G")</f>
        <v>MM3Z6V2ST1G</v>
      </c>
      <c r="B24629" s="3" t="str">
        <f>HYPERLINK("https://www.773grp.com/manufacturer/onsemi?pageNo=1105", "ON Semiconductor")</f>
        <v>ON Semiconductor</v>
      </c>
      <c r="C24629" s="6">
        <v>761702</v>
      </c>
      <c r="D24629" s="7">
        <v>0.15</v>
      </c>
      <c r="E24629" t="s">
        <v>98</v>
      </c>
    </row>
    <row r="24630" spans="1:5" x14ac:dyDescent="0.25">
      <c r="A24630" t="str">
        <f>HYPERLINK("https://www.773grp.com/globalSearch/MM3Z6V8ST1G/page-1", "MM3Z6V8ST1G")</f>
        <v>MM3Z6V8ST1G</v>
      </c>
      <c r="B24630" s="3" t="str">
        <f>HYPERLINK("https://www.773grp.com/manufacturer/onsemi?pageNo=1106", "ON Semiconductor")</f>
        <v>ON Semiconductor</v>
      </c>
      <c r="C24630" s="6">
        <v>242299</v>
      </c>
      <c r="D24630" s="7">
        <v>0.15</v>
      </c>
      <c r="E24630" t="s">
        <v>98</v>
      </c>
    </row>
    <row r="24631" spans="1:5" x14ac:dyDescent="0.25">
      <c r="A24631" t="str">
        <f>HYPERLINK("https://www.773grp.com/globalSearch/MM3Z6V8ST1H/page-1", "MM3Z6V8ST1H")</f>
        <v>MM3Z6V8ST1H</v>
      </c>
      <c r="B24631" s="3" t="str">
        <f>HYPERLINK("https://www.773grp.com/manufacturer/onsemi?pageNo=1107", "ON Semiconductor")</f>
        <v>ON Semiconductor</v>
      </c>
      <c r="C24631" s="6">
        <v>102000</v>
      </c>
      <c r="D24631" s="7">
        <v>0.15</v>
      </c>
    </row>
    <row r="24632" spans="1:5" x14ac:dyDescent="0.25">
      <c r="A24632" t="str">
        <f>HYPERLINK("https://www.773grp.com/globalSearch/MM3Z7V5ST1G/page-1", "MM3Z7V5ST1G")</f>
        <v>MM3Z7V5ST1G</v>
      </c>
      <c r="B24632" s="3" t="str">
        <f>HYPERLINK("https://www.773grp.com/manufacturer/onsemi?pageNo=1108", "ON Semiconductor")</f>
        <v>ON Semiconductor</v>
      </c>
      <c r="C24632" s="6">
        <v>204000</v>
      </c>
      <c r="D24632" s="7">
        <v>0.15</v>
      </c>
      <c r="E24632" t="s">
        <v>98</v>
      </c>
    </row>
    <row r="24633" spans="1:5" x14ac:dyDescent="0.25">
      <c r="A24633" t="str">
        <f>HYPERLINK("https://www.773grp.com/globalSearch/MM3Z8V2ST1G/page-1", "MM3Z8V2ST1G")</f>
        <v>MM3Z8V2ST1G</v>
      </c>
      <c r="B24633" s="3" t="str">
        <f>HYPERLINK("https://www.773grp.com/manufacturer/onsemi?pageNo=1109", "ON Semiconductor")</f>
        <v>ON Semiconductor</v>
      </c>
      <c r="C24633" s="6">
        <v>998380</v>
      </c>
      <c r="D24633" s="7">
        <v>0.15</v>
      </c>
      <c r="E24633" t="s">
        <v>98</v>
      </c>
    </row>
    <row r="24634" spans="1:5" x14ac:dyDescent="0.25">
      <c r="A24634" t="str">
        <f>HYPERLINK("https://www.773grp.com/globalSearch/MM3Z9V1ST1G/page-1", "MM3Z9V1ST1G")</f>
        <v>MM3Z9V1ST1G</v>
      </c>
      <c r="B24634" s="3" t="str">
        <f>HYPERLINK("https://www.773grp.com/manufacturer/onsemi?pageNo=1110", "ON Semiconductor")</f>
        <v>ON Semiconductor</v>
      </c>
      <c r="C24634" s="6">
        <v>449625</v>
      </c>
      <c r="D24634" s="7">
        <v>0.15</v>
      </c>
      <c r="E24634" t="s">
        <v>98</v>
      </c>
    </row>
    <row r="24635" spans="1:5" x14ac:dyDescent="0.25">
      <c r="A24635" t="str">
        <f>HYPERLINK("https://www.773grp.com/globalSearch/MM3Z9V1T1G/page-1", "MM3Z9V1T1G")</f>
        <v>MM3Z9V1T1G</v>
      </c>
      <c r="B24635" s="3" t="str">
        <f>HYPERLINK("https://www.773grp.com/manufacturer/onsemi?pageNo=1111", "ON Semiconductor")</f>
        <v>ON Semiconductor</v>
      </c>
      <c r="C24635" s="6">
        <v>185500</v>
      </c>
      <c r="D24635" s="7">
        <v>0.15</v>
      </c>
      <c r="E24635" t="s">
        <v>98</v>
      </c>
    </row>
    <row r="24636" spans="1:5" x14ac:dyDescent="0.25">
      <c r="A24636" t="str">
        <f>HYPERLINK("https://www.773grp.com/globalSearch/MMBD6050LT1/page-1", "MMBD6050LT1")</f>
        <v>MMBD6050LT1</v>
      </c>
      <c r="B24636" s="3" t="str">
        <f>HYPERLINK("https://www.773grp.com/manufacturer/onsemi?pageNo=1112", "ON Semiconductor")</f>
        <v>ON Semiconductor</v>
      </c>
      <c r="C24636" s="6">
        <v>204000</v>
      </c>
      <c r="D24636" s="7">
        <v>0.15</v>
      </c>
    </row>
    <row r="24637" spans="1:5" x14ac:dyDescent="0.25">
      <c r="A24637" t="str">
        <f>HYPERLINK("https://www.773grp.com/globalSearch/MMBD6050LT1G/page-1", "MMBD6050LT1G")</f>
        <v>MMBD6050LT1G</v>
      </c>
      <c r="B24637" s="3" t="str">
        <f>HYPERLINK("https://www.773grp.com/manufacturer/onsemi?pageNo=1113", "ON Semiconductor")</f>
        <v>ON Semiconductor</v>
      </c>
      <c r="C24637" s="6">
        <v>117000</v>
      </c>
      <c r="D24637" s="7">
        <v>0.15</v>
      </c>
      <c r="E24637" t="s">
        <v>94</v>
      </c>
    </row>
    <row r="24638" spans="1:5" x14ac:dyDescent="0.25">
      <c r="A24638" t="str">
        <f>HYPERLINK("https://www.773grp.com/globalSearch/MMBD6050LT3G/page-1", "MMBD6050LT3G")</f>
        <v>MMBD6050LT3G</v>
      </c>
      <c r="B24638" s="3" t="str">
        <f>HYPERLINK("https://www.773grp.com/manufacturer/onsemi?pageNo=1114", "ON Semiconductor")</f>
        <v>ON Semiconductor</v>
      </c>
      <c r="C24638" s="6">
        <v>1200000</v>
      </c>
      <c r="D24638" s="7">
        <v>0.15</v>
      </c>
      <c r="E24638" t="s">
        <v>94</v>
      </c>
    </row>
    <row r="24639" spans="1:5" x14ac:dyDescent="0.25">
      <c r="A24639" t="str">
        <f>HYPERLINK("https://www.773grp.com/globalSearch/MMBD914LT1H/page-1", "MMBD914LT1H")</f>
        <v>MMBD914LT1H</v>
      </c>
      <c r="B24639" s="3" t="str">
        <f>HYPERLINK("https://www.773grp.com/manufacturer/onsemi?pageNo=1115", "ON Semiconductor")</f>
        <v>ON Semiconductor</v>
      </c>
      <c r="C24639" s="6">
        <v>240000</v>
      </c>
      <c r="D24639" s="7">
        <v>0.15</v>
      </c>
    </row>
    <row r="24640" spans="1:5" x14ac:dyDescent="0.25">
      <c r="A24640" t="str">
        <f>HYPERLINK("https://www.773grp.com/globalSearch/MMBF170LT1G/page-1", "MMBF170LT1G")</f>
        <v>MMBF170LT1G</v>
      </c>
      <c r="B24640" s="3" t="str">
        <f>HYPERLINK("https://www.773grp.com/manufacturer/onsemi?pageNo=1116", "ON Semiconductor")</f>
        <v>ON Semiconductor</v>
      </c>
      <c r="C24640" s="6">
        <v>324000</v>
      </c>
      <c r="D24640" s="7">
        <v>0.15</v>
      </c>
      <c r="E24640" t="s">
        <v>106</v>
      </c>
    </row>
    <row r="24641" spans="1:5" x14ac:dyDescent="0.25">
      <c r="A24641" t="str">
        <f>HYPERLINK("https://www.773grp.com/globalSearch/MMBF170LT3G/page-1", "MMBF170LT3G")</f>
        <v>MMBF170LT3G</v>
      </c>
      <c r="B24641" s="3" t="str">
        <f>HYPERLINK("https://www.773grp.com/manufacturer/onsemi?pageNo=1117", "ON Semiconductor")</f>
        <v>ON Semiconductor</v>
      </c>
      <c r="C24641" s="6">
        <v>126706</v>
      </c>
      <c r="D24641" s="7">
        <v>0.15</v>
      </c>
      <c r="E24641" t="s">
        <v>106</v>
      </c>
    </row>
    <row r="24642" spans="1:5" x14ac:dyDescent="0.25">
      <c r="A24642" t="str">
        <f>HYPERLINK("https://www.773grp.com/globalSearch/MMBT2222AM3T5G/page-1", "MMBT2222AM3T5G")</f>
        <v>MMBT2222AM3T5G</v>
      </c>
      <c r="B24642" s="3" t="str">
        <f>HYPERLINK("https://www.773grp.com/manufacturer/onsemi?pageNo=1118", "ON Semiconductor")</f>
        <v>ON Semiconductor</v>
      </c>
      <c r="C24642" s="6">
        <v>560000</v>
      </c>
      <c r="D24642" s="7">
        <v>0.15</v>
      </c>
      <c r="E24642" t="s">
        <v>69</v>
      </c>
    </row>
    <row r="24643" spans="1:5" x14ac:dyDescent="0.25">
      <c r="A24643" t="str">
        <f>HYPERLINK("https://www.773grp.com/globalSearch/MMBT2222ATT1G/page-1", "MMBT2222ATT1G")</f>
        <v>MMBT2222ATT1G</v>
      </c>
      <c r="B24643" s="3" t="str">
        <f>HYPERLINK("https://www.773grp.com/manufacturer/onsemi?pageNo=1119", "ON Semiconductor")</f>
        <v>ON Semiconductor</v>
      </c>
      <c r="C24643" s="6">
        <v>4492140</v>
      </c>
      <c r="D24643" s="7">
        <v>0.15</v>
      </c>
      <c r="E24643" t="s">
        <v>69</v>
      </c>
    </row>
    <row r="24644" spans="1:5" x14ac:dyDescent="0.25">
      <c r="A24644" t="str">
        <f>HYPERLINK("https://www.773grp.com/globalSearch/MMBT2222AWT1G/page-1", "MMBT2222AWT1G")</f>
        <v>MMBT2222AWT1G</v>
      </c>
      <c r="B24644" s="3" t="str">
        <f>HYPERLINK("https://www.773grp.com/manufacturer/onsemi?pageNo=1120", "ON Semiconductor")</f>
        <v>ON Semiconductor</v>
      </c>
      <c r="C24644" s="6">
        <v>3269300</v>
      </c>
      <c r="D24644" s="7">
        <v>0.15</v>
      </c>
      <c r="E24644" t="s">
        <v>69</v>
      </c>
    </row>
    <row r="24645" spans="1:5" x14ac:dyDescent="0.25">
      <c r="A24645" t="str">
        <f>HYPERLINK("https://www.773grp.com/globalSearch/MMBT2369ALT1G/page-1", "MMBT2369ALT1G")</f>
        <v>MMBT2369ALT1G</v>
      </c>
      <c r="B24645" s="3" t="str">
        <f>HYPERLINK("https://www.773grp.com/manufacturer/onsemi?pageNo=1121", "ON Semiconductor")</f>
        <v>ON Semiconductor</v>
      </c>
      <c r="C24645" s="6">
        <v>72000</v>
      </c>
      <c r="D24645" s="7">
        <v>0.15</v>
      </c>
      <c r="E24645" t="s">
        <v>69</v>
      </c>
    </row>
    <row r="24646" spans="1:5" x14ac:dyDescent="0.25">
      <c r="A24646" t="str">
        <f>HYPERLINK("https://www.773grp.com/globalSearch/MMBT2369LT1G/page-1", "MMBT2369LT1G")</f>
        <v>MMBT2369LT1G</v>
      </c>
      <c r="B24646" s="3" t="str">
        <f>HYPERLINK("https://www.773grp.com/manufacturer/onsemi?pageNo=1122", "ON Semiconductor")</f>
        <v>ON Semiconductor</v>
      </c>
      <c r="C24646" s="6">
        <v>459650</v>
      </c>
      <c r="D24646" s="7">
        <v>0.15</v>
      </c>
      <c r="E24646" t="s">
        <v>69</v>
      </c>
    </row>
    <row r="24647" spans="1:5" x14ac:dyDescent="0.25">
      <c r="A24647" t="str">
        <f>HYPERLINK("https://www.773grp.com/globalSearch/MMBT2369LT3G/page-1", "MMBT2369LT3G")</f>
        <v>MMBT2369LT3G</v>
      </c>
      <c r="B24647" s="3" t="str">
        <f>HYPERLINK("https://www.773grp.com/manufacturer/onsemi?pageNo=1123", "ON Semiconductor")</f>
        <v>ON Semiconductor</v>
      </c>
      <c r="C24647" s="6">
        <v>120000</v>
      </c>
      <c r="D24647" s="7">
        <v>0.15</v>
      </c>
      <c r="E24647" t="s">
        <v>69</v>
      </c>
    </row>
    <row r="24648" spans="1:5" x14ac:dyDescent="0.25">
      <c r="A24648" t="str">
        <f>HYPERLINK("https://www.773grp.com/globalSearch/MMBT2907AWT1G/page-1", "MMBT2907AWT1G")</f>
        <v>MMBT2907AWT1G</v>
      </c>
      <c r="B24648" s="3" t="str">
        <f>HYPERLINK("https://www.773grp.com/manufacturer/onsemi?pageNo=1124", "ON Semiconductor")</f>
        <v>ON Semiconductor</v>
      </c>
      <c r="C24648" s="6">
        <v>4605645</v>
      </c>
      <c r="D24648" s="7">
        <v>0.15</v>
      </c>
      <c r="E24648" t="s">
        <v>69</v>
      </c>
    </row>
    <row r="24649" spans="1:5" x14ac:dyDescent="0.25">
      <c r="A24649" t="str">
        <f>HYPERLINK("https://www.773grp.com/globalSearch/MMBT2907LTI/page-1", "MMBT2907LTI")</f>
        <v>MMBT2907LTI</v>
      </c>
      <c r="B24649" s="3" t="str">
        <f>HYPERLINK("https://www.773grp.com/manufacturer/onsemi?pageNo=1125", "ON Semiconductor")</f>
        <v>ON Semiconductor</v>
      </c>
      <c r="C24649" s="6">
        <v>3000</v>
      </c>
      <c r="D24649" s="7">
        <v>0.15</v>
      </c>
    </row>
    <row r="24650" spans="1:5" x14ac:dyDescent="0.25">
      <c r="A24650" t="str">
        <f>HYPERLINK("https://www.773grp.com/globalSearch/MMBT3904TT1G/page-1", "MMBT3904TT1G")</f>
        <v>MMBT3904TT1G</v>
      </c>
      <c r="B24650" s="3" t="str">
        <f>HYPERLINK("https://www.773grp.com/manufacturer/onsemi?pageNo=1126", "ON Semiconductor")</f>
        <v>ON Semiconductor</v>
      </c>
      <c r="C24650" s="6">
        <v>210000</v>
      </c>
      <c r="D24650" s="7">
        <v>0.15</v>
      </c>
      <c r="E24650" t="s">
        <v>69</v>
      </c>
    </row>
    <row r="24651" spans="1:5" x14ac:dyDescent="0.25">
      <c r="A24651" t="str">
        <f>HYPERLINK("https://www.773grp.com/globalSearch/MMBT3904TT1H/page-1", "MMBT3904TT1H")</f>
        <v>MMBT3904TT1H</v>
      </c>
      <c r="B24651" s="3" t="str">
        <f>HYPERLINK("https://www.773grp.com/manufacturer/onsemi?pageNo=1127", "ON Semiconductor")</f>
        <v>ON Semiconductor</v>
      </c>
      <c r="C24651" s="6">
        <v>477000</v>
      </c>
      <c r="D24651" s="7">
        <v>0.15</v>
      </c>
    </row>
    <row r="24652" spans="1:5" x14ac:dyDescent="0.25">
      <c r="A24652" t="str">
        <f>HYPERLINK("https://www.773grp.com/globalSearch/MMBT3906TT1G/page-1", "MMBT3906TT1G")</f>
        <v>MMBT3906TT1G</v>
      </c>
      <c r="B24652" s="3" t="str">
        <f>HYPERLINK("https://www.773grp.com/manufacturer/onsemi?pageNo=1128", "ON Semiconductor")</f>
        <v>ON Semiconductor</v>
      </c>
      <c r="C24652" s="6">
        <v>353387</v>
      </c>
      <c r="D24652" s="7">
        <v>0.15</v>
      </c>
      <c r="E24652" t="s">
        <v>69</v>
      </c>
    </row>
    <row r="24653" spans="1:5" x14ac:dyDescent="0.25">
      <c r="A24653" t="str">
        <f>HYPERLINK("https://www.773grp.com/globalSearch/MMBT3906TT1H/page-1", "MMBT3906TT1H")</f>
        <v>MMBT3906TT1H</v>
      </c>
      <c r="B24653" s="3" t="str">
        <f>HYPERLINK("https://www.773grp.com/manufacturer/onsemi?pageNo=1129", "ON Semiconductor")</f>
        <v>ON Semiconductor</v>
      </c>
      <c r="C24653" s="6">
        <v>117000</v>
      </c>
      <c r="D24653" s="7">
        <v>0.15</v>
      </c>
    </row>
    <row r="24654" spans="1:5" x14ac:dyDescent="0.25">
      <c r="A24654" t="str">
        <f>HYPERLINK("https://www.773grp.com/globalSearch/MMBT4401M3T5G/page-1", "MMBT4401M3T5G")</f>
        <v>MMBT4401M3T5G</v>
      </c>
      <c r="B24654" s="3" t="str">
        <f>HYPERLINK("https://www.773grp.com/manufacturer/onsemi?pageNo=1130", "ON Semiconductor")</f>
        <v>ON Semiconductor</v>
      </c>
      <c r="C24654" s="6">
        <v>48000</v>
      </c>
      <c r="D24654" s="7">
        <v>0.15</v>
      </c>
      <c r="E24654" t="s">
        <v>69</v>
      </c>
    </row>
    <row r="24655" spans="1:5" x14ac:dyDescent="0.25">
      <c r="A24655" t="str">
        <f>HYPERLINK("https://www.773grp.com/globalSearch/MMBT4401WT1G/page-1", "MMBT4401WT1G")</f>
        <v>MMBT4401WT1G</v>
      </c>
      <c r="B24655" s="3" t="str">
        <f>HYPERLINK("https://www.773grp.com/manufacturer/onsemi?pageNo=1131", "ON Semiconductor")</f>
        <v>ON Semiconductor</v>
      </c>
      <c r="C24655" s="6">
        <v>24000</v>
      </c>
      <c r="D24655" s="7">
        <v>0.15</v>
      </c>
      <c r="E24655" t="s">
        <v>69</v>
      </c>
    </row>
    <row r="24656" spans="1:5" x14ac:dyDescent="0.25">
      <c r="A24656" t="str">
        <f>HYPERLINK("https://www.773grp.com/globalSearch/MMBT4403WT1G/page-1", "MMBT4403WT1G")</f>
        <v>MMBT4403WT1G</v>
      </c>
      <c r="B24656" s="3" t="str">
        <f>HYPERLINK("https://www.773grp.com/manufacturer/onsemi?pageNo=1132", "ON Semiconductor")</f>
        <v>ON Semiconductor</v>
      </c>
      <c r="C24656" s="6">
        <v>12000</v>
      </c>
      <c r="D24656" s="7">
        <v>0.15</v>
      </c>
      <c r="E24656" t="s">
        <v>69</v>
      </c>
    </row>
    <row r="24657" spans="1:5" x14ac:dyDescent="0.25">
      <c r="A24657" t="str">
        <f>HYPERLINK("https://www.773grp.com/globalSearch/MMBT5087LT1G/page-1", "MMBT5087LT1G")</f>
        <v>MMBT5087LT1G</v>
      </c>
      <c r="B24657" s="3" t="str">
        <f>HYPERLINK("https://www.773grp.com/manufacturer/onsemi?pageNo=1133", "ON Semiconductor")</f>
        <v>ON Semiconductor</v>
      </c>
      <c r="C24657" s="6">
        <v>217668</v>
      </c>
      <c r="D24657" s="7">
        <v>0.15</v>
      </c>
      <c r="E24657" t="s">
        <v>69</v>
      </c>
    </row>
    <row r="24658" spans="1:5" x14ac:dyDescent="0.25">
      <c r="A24658" t="str">
        <f>HYPERLINK("https://www.773grp.com/globalSearch/MMBT5087LT3G/page-1", "MMBT5087LT3G")</f>
        <v>MMBT5087LT3G</v>
      </c>
      <c r="B24658" s="3" t="str">
        <f>HYPERLINK("https://www.773grp.com/manufacturer/onsemi?pageNo=1134", "ON Semiconductor")</f>
        <v>ON Semiconductor</v>
      </c>
      <c r="C24658" s="6">
        <v>530000</v>
      </c>
      <c r="D24658" s="7">
        <v>0.15</v>
      </c>
      <c r="E24658" t="s">
        <v>69</v>
      </c>
    </row>
    <row r="24659" spans="1:5" x14ac:dyDescent="0.25">
      <c r="A24659" t="str">
        <f>HYPERLINK("https://www.773grp.com/globalSearch/MMBT5401LT1G/page-1", "MMBT5401LT1G")</f>
        <v>MMBT5401LT1G</v>
      </c>
      <c r="B24659" s="3" t="str">
        <f>HYPERLINK("https://www.773grp.com/manufacturer/onsemi?pageNo=1135", "ON Semiconductor")</f>
        <v>ON Semiconductor</v>
      </c>
      <c r="C24659" s="6">
        <v>726964</v>
      </c>
      <c r="D24659" s="7">
        <v>0.15</v>
      </c>
      <c r="E24659" t="s">
        <v>69</v>
      </c>
    </row>
    <row r="24660" spans="1:5" x14ac:dyDescent="0.25">
      <c r="A24660" t="str">
        <f>HYPERLINK("https://www.773grp.com/globalSearch/MMBT5401LT3G/page-1", "MMBT5401LT3G")</f>
        <v>MMBT5401LT3G</v>
      </c>
      <c r="B24660" s="3" t="str">
        <f>HYPERLINK("https://www.773grp.com/manufacturer/onsemi?pageNo=1136", "ON Semiconductor")</f>
        <v>ON Semiconductor</v>
      </c>
      <c r="C24660" s="6">
        <v>30000</v>
      </c>
      <c r="D24660" s="7">
        <v>0.15</v>
      </c>
      <c r="E24660" t="s">
        <v>69</v>
      </c>
    </row>
    <row r="24661" spans="1:5" x14ac:dyDescent="0.25">
      <c r="A24661" t="str">
        <f>HYPERLINK("https://www.773grp.com/globalSearch/MMBT5551LT1G/page-1", "MMBT5551LT1G")</f>
        <v>MMBT5551LT1G</v>
      </c>
      <c r="B24661" s="3" t="str">
        <f>HYPERLINK("https://www.773grp.com/manufacturer/onsemi?pageNo=1137", "ON Semiconductor")</f>
        <v>ON Semiconductor</v>
      </c>
      <c r="C24661" s="6">
        <v>68660</v>
      </c>
      <c r="D24661" s="7">
        <v>0.15</v>
      </c>
      <c r="E24661" t="s">
        <v>69</v>
      </c>
    </row>
    <row r="24662" spans="1:5" x14ac:dyDescent="0.25">
      <c r="A24662" t="str">
        <f>HYPERLINK("https://www.773grp.com/globalSearch/MMBT5551M3T5G/page-1", "MMBT5551M3T5G")</f>
        <v>MMBT5551M3T5G</v>
      </c>
      <c r="B24662" s="3" t="str">
        <f>HYPERLINK("https://www.773grp.com/manufacturer/onsemi?pageNo=1138", "ON Semiconductor")</f>
        <v>ON Semiconductor</v>
      </c>
      <c r="C24662" s="6">
        <v>16000</v>
      </c>
      <c r="D24662" s="7">
        <v>0.15</v>
      </c>
    </row>
    <row r="24663" spans="1:5" x14ac:dyDescent="0.25">
      <c r="A24663" t="str">
        <f>HYPERLINK("https://www.773grp.com/globalSearch/MMBTA06WT1G/page-1", "MMBTA06WT1G")</f>
        <v>MMBTA06WT1G</v>
      </c>
      <c r="B24663" s="3" t="str">
        <f>HYPERLINK("https://www.773grp.com/manufacturer/onsemi?pageNo=1139", "ON Semiconductor")</f>
        <v>ON Semiconductor</v>
      </c>
      <c r="C24663" s="6">
        <v>69000</v>
      </c>
      <c r="D24663" s="7">
        <v>0.15</v>
      </c>
      <c r="E24663" t="s">
        <v>69</v>
      </c>
    </row>
    <row r="24664" spans="1:5" x14ac:dyDescent="0.25">
      <c r="A24664" t="str">
        <f>HYPERLINK("https://www.773grp.com/globalSearch/MMBTA56WT1G/page-1", "MMBTA56WT1G")</f>
        <v>MMBTA56WT1G</v>
      </c>
      <c r="B24664" s="3" t="str">
        <f>HYPERLINK("https://www.773grp.com/manufacturer/onsemi?pageNo=1140", "ON Semiconductor")</f>
        <v>ON Semiconductor</v>
      </c>
      <c r="C24664" s="6">
        <v>156000</v>
      </c>
      <c r="D24664" s="7">
        <v>0.15</v>
      </c>
      <c r="E24664" t="s">
        <v>69</v>
      </c>
    </row>
    <row r="24665" spans="1:5" x14ac:dyDescent="0.25">
      <c r="A24665" t="str">
        <f>HYPERLINK("https://www.773grp.com/globalSearch/MMBTA93LT1G/page-1", "MMBTA93LT1G")</f>
        <v>MMBTA93LT1G</v>
      </c>
      <c r="B24665" s="3" t="str">
        <f>HYPERLINK("https://www.773grp.com/manufacturer/onsemi?pageNo=1141", "ON Semiconductor")</f>
        <v>ON Semiconductor</v>
      </c>
      <c r="C24665" s="6">
        <v>84000</v>
      </c>
      <c r="D24665" s="7">
        <v>0.15</v>
      </c>
      <c r="E24665" t="s">
        <v>69</v>
      </c>
    </row>
    <row r="24666" spans="1:5" x14ac:dyDescent="0.25">
      <c r="A24666" t="str">
        <f>HYPERLINK("https://www.773grp.com/globalSearch/MMBTH10LT1/page-1", "MMBTH10LT1")</f>
        <v>MMBTH10LT1</v>
      </c>
      <c r="B24666" s="3" t="str">
        <f>HYPERLINK("https://www.773grp.com/manufacturer/onsemi?pageNo=1142", "ON Semiconductor")</f>
        <v>ON Semiconductor</v>
      </c>
      <c r="C24666" s="6">
        <v>9431048</v>
      </c>
      <c r="D24666" s="7">
        <v>0.15</v>
      </c>
      <c r="E24666" t="s">
        <v>61</v>
      </c>
    </row>
    <row r="24667" spans="1:5" x14ac:dyDescent="0.25">
      <c r="A24667" t="str">
        <f>HYPERLINK("https://www.773grp.com/globalSearch/MMBZ18VALT1/page-1", "MMBZ18VALT1")</f>
        <v>MMBZ18VALT1</v>
      </c>
      <c r="B24667" s="3" t="str">
        <f>HYPERLINK("https://www.773grp.com/manufacturer/onsemi?pageNo=1143", "ON Semiconductor")</f>
        <v>ON Semiconductor</v>
      </c>
      <c r="C24667" s="6">
        <v>1533</v>
      </c>
      <c r="D24667" s="7">
        <v>0.15</v>
      </c>
      <c r="E24667" t="s">
        <v>96</v>
      </c>
    </row>
    <row r="24668" spans="1:5" x14ac:dyDescent="0.25">
      <c r="A24668" t="str">
        <f>HYPERLINK("https://www.773grp.com/globalSearch/MMBZ5221BLT1G/page-1", "MMBZ5221BLT1G")</f>
        <v>MMBZ5221BLT1G</v>
      </c>
      <c r="B24668" s="3" t="str">
        <f>HYPERLINK("https://www.773grp.com/manufacturer/onsemi?pageNo=1144", "ON Semiconductor")</f>
        <v>ON Semiconductor</v>
      </c>
      <c r="C24668" s="6">
        <v>225000</v>
      </c>
      <c r="D24668" s="7">
        <v>0.15</v>
      </c>
      <c r="E24668" t="s">
        <v>98</v>
      </c>
    </row>
    <row r="24669" spans="1:5" x14ac:dyDescent="0.25">
      <c r="A24669" t="str">
        <f>HYPERLINK("https://www.773grp.com/globalSearch/MMBZ5221ELT1/page-1", "MMBZ5221ELT1")</f>
        <v>MMBZ5221ELT1</v>
      </c>
      <c r="B24669" s="3" t="str">
        <f>HYPERLINK("https://www.773grp.com/manufacturer/onsemi?pageNo=1145", "ON Semiconductor")</f>
        <v>ON Semiconductor</v>
      </c>
      <c r="C24669" s="6">
        <v>20830</v>
      </c>
      <c r="D24669" s="7">
        <v>0.15</v>
      </c>
      <c r="E24669" t="s">
        <v>98</v>
      </c>
    </row>
    <row r="24670" spans="1:5" x14ac:dyDescent="0.25">
      <c r="A24670" t="str">
        <f>HYPERLINK("https://www.773grp.com/globalSearch/MMBZ5222BLT1G/page-1", "MMBZ5222BLT1G")</f>
        <v>MMBZ5222BLT1G</v>
      </c>
      <c r="B24670" s="3" t="str">
        <f>HYPERLINK("https://www.773grp.com/manufacturer/onsemi?pageNo=1146", "ON Semiconductor")</f>
        <v>ON Semiconductor</v>
      </c>
      <c r="C24670" s="6">
        <v>669000</v>
      </c>
      <c r="D24670" s="7">
        <v>0.15</v>
      </c>
      <c r="E24670" t="s">
        <v>98</v>
      </c>
    </row>
    <row r="24671" spans="1:5" x14ac:dyDescent="0.25">
      <c r="A24671" t="str">
        <f>HYPERLINK("https://www.773grp.com/globalSearch/MMBZ5223BLT1G/page-1", "MMBZ5223BLT1G")</f>
        <v>MMBZ5223BLT1G</v>
      </c>
      <c r="B24671" s="3" t="str">
        <f>HYPERLINK("https://www.773grp.com/manufacturer/onsemi?pageNo=1147", "ON Semiconductor")</f>
        <v>ON Semiconductor</v>
      </c>
      <c r="C24671" s="6">
        <v>522000</v>
      </c>
      <c r="D24671" s="7">
        <v>0.15</v>
      </c>
      <c r="E24671" t="s">
        <v>98</v>
      </c>
    </row>
    <row r="24672" spans="1:5" x14ac:dyDescent="0.25">
      <c r="A24672" t="str">
        <f>HYPERLINK("https://www.773grp.com/globalSearch/MMBZ5225BLT1G/page-1", "MMBZ5225BLT1G")</f>
        <v>MMBZ5225BLT1G</v>
      </c>
      <c r="B24672" s="3" t="str">
        <f>HYPERLINK("https://www.773grp.com/manufacturer/onsemi?pageNo=1148", "ON Semiconductor")</f>
        <v>ON Semiconductor</v>
      </c>
      <c r="C24672" s="6">
        <v>359119</v>
      </c>
      <c r="D24672" s="7">
        <v>0.15</v>
      </c>
      <c r="E24672" t="s">
        <v>98</v>
      </c>
    </row>
    <row r="24673" spans="1:5" x14ac:dyDescent="0.25">
      <c r="A24673" t="str">
        <f>HYPERLINK("https://www.773grp.com/globalSearch/MMBZ5226BLT1G/page-1", "MMBZ5226BLT1G")</f>
        <v>MMBZ5226BLT1G</v>
      </c>
      <c r="B24673" s="3" t="str">
        <f>HYPERLINK("https://www.773grp.com/manufacturer/onsemi?pageNo=1149", "ON Semiconductor")</f>
        <v>ON Semiconductor</v>
      </c>
      <c r="C24673" s="6">
        <v>270225</v>
      </c>
      <c r="D24673" s="7">
        <v>0.15</v>
      </c>
      <c r="E24673" t="s">
        <v>98</v>
      </c>
    </row>
    <row r="24674" spans="1:5" x14ac:dyDescent="0.25">
      <c r="A24674" t="str">
        <f>HYPERLINK("https://www.773grp.com/globalSearch/MMBZ5226ELT1/page-1", "MMBZ5226ELT1")</f>
        <v>MMBZ5226ELT1</v>
      </c>
      <c r="B24674" s="3" t="str">
        <f>HYPERLINK("https://www.773grp.com/manufacturer/onsemi?pageNo=1150", "ON Semiconductor")</f>
        <v>ON Semiconductor</v>
      </c>
      <c r="C24674" s="6">
        <v>62950</v>
      </c>
      <c r="D24674" s="7">
        <v>0.15</v>
      </c>
      <c r="E24674" t="s">
        <v>98</v>
      </c>
    </row>
    <row r="24675" spans="1:5" x14ac:dyDescent="0.25">
      <c r="A24675" t="str">
        <f>HYPERLINK("https://www.773grp.com/globalSearch/MMBZ5226ELT1G/page-1", "MMBZ5226ELT1G")</f>
        <v>MMBZ5226ELT1G</v>
      </c>
      <c r="B24675" s="3" t="str">
        <f>HYPERLINK("https://www.773grp.com/manufacturer/onsemi?pageNo=1151", "ON Semiconductor")</f>
        <v>ON Semiconductor</v>
      </c>
      <c r="C24675" s="6">
        <v>24000</v>
      </c>
      <c r="D24675" s="7">
        <v>0.15</v>
      </c>
      <c r="E24675" t="s">
        <v>98</v>
      </c>
    </row>
    <row r="24676" spans="1:5" x14ac:dyDescent="0.25">
      <c r="A24676" t="str">
        <f>HYPERLINK("https://www.773grp.com/globalSearch/MMBZ5227BLT1G/page-1", "MMBZ5227BLT1G")</f>
        <v>MMBZ5227BLT1G</v>
      </c>
      <c r="B24676" s="3" t="str">
        <f>HYPERLINK("https://www.773grp.com/manufacturer/onsemi?pageNo=1152", "ON Semiconductor")</f>
        <v>ON Semiconductor</v>
      </c>
      <c r="C24676" s="6">
        <v>529457</v>
      </c>
      <c r="D24676" s="7">
        <v>0.15</v>
      </c>
      <c r="E24676" t="s">
        <v>98</v>
      </c>
    </row>
    <row r="24677" spans="1:5" x14ac:dyDescent="0.25">
      <c r="A24677" t="str">
        <f>HYPERLINK("https://www.773grp.com/globalSearch/MMBZ5228BLT1G/page-1", "MMBZ5228BLT1G")</f>
        <v>MMBZ5228BLT1G</v>
      </c>
      <c r="B24677" s="3" t="str">
        <f>HYPERLINK("https://www.773grp.com/manufacturer/onsemi?pageNo=1153", "ON Semiconductor")</f>
        <v>ON Semiconductor</v>
      </c>
      <c r="C24677" s="6">
        <v>166000</v>
      </c>
      <c r="D24677" s="7">
        <v>0.15</v>
      </c>
      <c r="E24677" t="s">
        <v>98</v>
      </c>
    </row>
    <row r="24678" spans="1:5" x14ac:dyDescent="0.25">
      <c r="A24678" t="str">
        <f>HYPERLINK("https://www.773grp.com/globalSearch/MMBZ5228ELT1/page-1", "MMBZ5228ELT1")</f>
        <v>MMBZ5228ELT1</v>
      </c>
      <c r="B24678" s="3" t="str">
        <f>HYPERLINK("https://www.773grp.com/manufacturer/onsemi?pageNo=1154", "ON Semiconductor")</f>
        <v>ON Semiconductor</v>
      </c>
      <c r="C24678" s="6">
        <v>51000</v>
      </c>
      <c r="D24678" s="7">
        <v>0.15</v>
      </c>
      <c r="E24678" t="s">
        <v>98</v>
      </c>
    </row>
    <row r="24679" spans="1:5" x14ac:dyDescent="0.25">
      <c r="A24679" t="str">
        <f>HYPERLINK("https://www.773grp.com/globalSearch/MMBZ5229BLT1G/page-1", "MMBZ5229BLT1G")</f>
        <v>MMBZ5229BLT1G</v>
      </c>
      <c r="B24679" s="3" t="str">
        <f>HYPERLINK("https://www.773grp.com/manufacturer/onsemi?pageNo=1155", "ON Semiconductor")</f>
        <v>ON Semiconductor</v>
      </c>
      <c r="C24679" s="6">
        <v>321000</v>
      </c>
      <c r="D24679" s="7">
        <v>0.15</v>
      </c>
      <c r="E24679" t="s">
        <v>98</v>
      </c>
    </row>
    <row r="24680" spans="1:5" x14ac:dyDescent="0.25">
      <c r="A24680" t="str">
        <f>HYPERLINK("https://www.773grp.com/globalSearch/MMBZ5229ELT1/page-1", "MMBZ5229ELT1")</f>
        <v>MMBZ5229ELT1</v>
      </c>
      <c r="B24680" s="3" t="str">
        <f>HYPERLINK("https://www.773grp.com/manufacturer/onsemi?pageNo=1156", "ON Semiconductor")</f>
        <v>ON Semiconductor</v>
      </c>
      <c r="C24680" s="6">
        <v>8860</v>
      </c>
      <c r="D24680" s="7">
        <v>0.15</v>
      </c>
      <c r="E24680" t="s">
        <v>98</v>
      </c>
    </row>
    <row r="24681" spans="1:5" x14ac:dyDescent="0.25">
      <c r="A24681" t="str">
        <f>HYPERLINK("https://www.773grp.com/globalSearch/MMBZ5229ELT1G/page-1", "MMBZ5229ELT1G")</f>
        <v>MMBZ5229ELT1G</v>
      </c>
      <c r="B24681" s="3" t="str">
        <f>HYPERLINK("https://www.773grp.com/manufacturer/onsemi?pageNo=1157", "ON Semiconductor")</f>
        <v>ON Semiconductor</v>
      </c>
      <c r="C24681" s="6">
        <v>54000</v>
      </c>
      <c r="D24681" s="7">
        <v>0.15</v>
      </c>
      <c r="E24681" t="s">
        <v>98</v>
      </c>
    </row>
    <row r="24682" spans="1:5" x14ac:dyDescent="0.25">
      <c r="A24682" t="str">
        <f>HYPERLINK("https://www.773grp.com/globalSearch/MMBZ5230BLT1G/page-1", "MMBZ5230BLT1G")</f>
        <v>MMBZ5230BLT1G</v>
      </c>
      <c r="B24682" s="3" t="str">
        <f>HYPERLINK("https://www.773grp.com/manufacturer/onsemi?pageNo=1158", "ON Semiconductor")</f>
        <v>ON Semiconductor</v>
      </c>
      <c r="C24682" s="6">
        <v>183000</v>
      </c>
      <c r="D24682" s="7">
        <v>0.15</v>
      </c>
      <c r="E24682" t="s">
        <v>98</v>
      </c>
    </row>
    <row r="24683" spans="1:5" x14ac:dyDescent="0.25">
      <c r="A24683" t="str">
        <f>HYPERLINK("https://www.773grp.com/globalSearch/MMBZ5230ELT1/page-1", "MMBZ5230ELT1")</f>
        <v>MMBZ5230ELT1</v>
      </c>
      <c r="B24683" s="3" t="str">
        <f>HYPERLINK("https://www.773grp.com/manufacturer/onsemi?pageNo=1159", "ON Semiconductor")</f>
        <v>ON Semiconductor</v>
      </c>
      <c r="C24683" s="6">
        <v>2485</v>
      </c>
      <c r="D24683" s="7">
        <v>0.15</v>
      </c>
      <c r="E24683" t="s">
        <v>98</v>
      </c>
    </row>
    <row r="24684" spans="1:5" x14ac:dyDescent="0.25">
      <c r="A24684" t="str">
        <f>HYPERLINK("https://www.773grp.com/globalSearch/MMBZ5230ELT1G/page-1", "MMBZ5230ELT1G")</f>
        <v>MMBZ5230ELT1G</v>
      </c>
      <c r="B24684" s="3" t="str">
        <f>HYPERLINK("https://www.773grp.com/manufacturer/onsemi?pageNo=1160", "ON Semiconductor")</f>
        <v>ON Semiconductor</v>
      </c>
      <c r="C24684" s="6">
        <v>23950</v>
      </c>
      <c r="D24684" s="7">
        <v>0.15</v>
      </c>
      <c r="E24684" t="s">
        <v>98</v>
      </c>
    </row>
    <row r="24685" spans="1:5" x14ac:dyDescent="0.25">
      <c r="A24685" t="str">
        <f>HYPERLINK("https://www.773grp.com/globalSearch/MMBZ5230ELT3G/page-1", "MMBZ5230ELT3G")</f>
        <v>MMBZ5230ELT3G</v>
      </c>
      <c r="B24685" s="3" t="str">
        <f>HYPERLINK("https://www.773grp.com/manufacturer/onsemi?pageNo=1161", "ON Semiconductor")</f>
        <v>ON Semiconductor</v>
      </c>
      <c r="C24685" s="6">
        <v>60000</v>
      </c>
      <c r="D24685" s="7">
        <v>0.15</v>
      </c>
      <c r="E24685" t="s">
        <v>98</v>
      </c>
    </row>
    <row r="24686" spans="1:5" x14ac:dyDescent="0.25">
      <c r="A24686" t="str">
        <f>HYPERLINK("https://www.773grp.com/globalSearch/MMBZ5231BLT1G/page-1", "MMBZ5231BLT1G")</f>
        <v>MMBZ5231BLT1G</v>
      </c>
      <c r="B24686" s="3" t="str">
        <f>HYPERLINK("https://www.773grp.com/manufacturer/onsemi?pageNo=1162", "ON Semiconductor")</f>
        <v>ON Semiconductor</v>
      </c>
      <c r="C24686" s="6">
        <v>402000</v>
      </c>
      <c r="D24686" s="7">
        <v>0.15</v>
      </c>
      <c r="E24686" t="s">
        <v>98</v>
      </c>
    </row>
    <row r="24687" spans="1:5" x14ac:dyDescent="0.25">
      <c r="A24687" t="str">
        <f>HYPERLINK("https://www.773grp.com/globalSearch/MMBZ5231BLT3G/page-1", "MMBZ5231BLT3G")</f>
        <v>MMBZ5231BLT3G</v>
      </c>
      <c r="B24687" s="3" t="str">
        <f>HYPERLINK("https://www.773grp.com/manufacturer/onsemi?pageNo=1163", "ON Semiconductor")</f>
        <v>ON Semiconductor</v>
      </c>
      <c r="C24687" s="6">
        <v>290000</v>
      </c>
      <c r="D24687" s="7">
        <v>0.15</v>
      </c>
      <c r="E24687" t="s">
        <v>98</v>
      </c>
    </row>
    <row r="24688" spans="1:5" x14ac:dyDescent="0.25">
      <c r="A24688" t="str">
        <f>HYPERLINK("https://www.773grp.com/globalSearch/MMBZ5231ELT1/page-1", "MMBZ5231ELT1")</f>
        <v>MMBZ5231ELT1</v>
      </c>
      <c r="B24688" s="3" t="str">
        <f>HYPERLINK("https://www.773grp.com/manufacturer/onsemi?pageNo=1164", "ON Semiconductor")</f>
        <v>ON Semiconductor</v>
      </c>
      <c r="C24688" s="6">
        <v>2610</v>
      </c>
      <c r="D24688" s="7">
        <v>0.15</v>
      </c>
      <c r="E24688" t="s">
        <v>98</v>
      </c>
    </row>
    <row r="24689" spans="1:5" x14ac:dyDescent="0.25">
      <c r="A24689" t="str">
        <f>HYPERLINK("https://www.773grp.com/globalSearch/MMBZ5232BLT1G/page-1", "MMBZ5232BLT1G")</f>
        <v>MMBZ5232BLT1G</v>
      </c>
      <c r="B24689" s="3" t="str">
        <f>HYPERLINK("https://www.773grp.com/manufacturer/onsemi?pageNo=1165", "ON Semiconductor")</f>
        <v>ON Semiconductor</v>
      </c>
      <c r="C24689" s="6">
        <v>237000</v>
      </c>
      <c r="D24689" s="7">
        <v>0.15</v>
      </c>
      <c r="E24689" t="s">
        <v>98</v>
      </c>
    </row>
    <row r="24690" spans="1:5" x14ac:dyDescent="0.25">
      <c r="A24690" t="str">
        <f>HYPERLINK("https://www.773grp.com/globalSearch/MMBZ5233BLT1G/page-1", "MMBZ5233BLT1G")</f>
        <v>MMBZ5233BLT1G</v>
      </c>
      <c r="B24690" s="3" t="str">
        <f>HYPERLINK("https://www.773grp.com/manufacturer/onsemi?pageNo=1166", "ON Semiconductor")</f>
        <v>ON Semiconductor</v>
      </c>
      <c r="C24690" s="6">
        <v>251870</v>
      </c>
      <c r="D24690" s="7">
        <v>0.15</v>
      </c>
      <c r="E24690" t="s">
        <v>98</v>
      </c>
    </row>
    <row r="24691" spans="1:5" x14ac:dyDescent="0.25">
      <c r="A24691" t="str">
        <f>HYPERLINK("https://www.773grp.com/globalSearch/MMBZ5234BLT1G/page-1", "MMBZ5234BLT1G")</f>
        <v>MMBZ5234BLT1G</v>
      </c>
      <c r="B24691" s="3" t="str">
        <f>HYPERLINK("https://www.773grp.com/manufacturer/onsemi?pageNo=1167", "ON Semiconductor")</f>
        <v>ON Semiconductor</v>
      </c>
      <c r="C24691" s="6">
        <v>309000</v>
      </c>
      <c r="D24691" s="7">
        <v>0.15</v>
      </c>
      <c r="E24691" t="s">
        <v>98</v>
      </c>
    </row>
    <row r="24692" spans="1:5" x14ac:dyDescent="0.25">
      <c r="A24692" t="str">
        <f>HYPERLINK("https://www.773grp.com/globalSearch/MMBZ5234ELT1/page-1", "MMBZ5234ELT1")</f>
        <v>MMBZ5234ELT1</v>
      </c>
      <c r="B24692" s="3" t="str">
        <f>HYPERLINK("https://www.773grp.com/manufacturer/onsemi?pageNo=1168", "ON Semiconductor")</f>
        <v>ON Semiconductor</v>
      </c>
      <c r="C24692" s="6">
        <v>17800</v>
      </c>
      <c r="D24692" s="7">
        <v>0.15</v>
      </c>
      <c r="E24692" t="s">
        <v>98</v>
      </c>
    </row>
    <row r="24693" spans="1:5" x14ac:dyDescent="0.25">
      <c r="A24693" t="str">
        <f>HYPERLINK("https://www.773grp.com/globalSearch/MMBZ5234ELT1G/page-1", "MMBZ5234ELT1G")</f>
        <v>MMBZ5234ELT1G</v>
      </c>
      <c r="B24693" s="3" t="str">
        <f>HYPERLINK("https://www.773grp.com/manufacturer/onsemi?pageNo=1169", "ON Semiconductor")</f>
        <v>ON Semiconductor</v>
      </c>
      <c r="C24693" s="6">
        <v>150000</v>
      </c>
      <c r="D24693" s="7">
        <v>0.15</v>
      </c>
      <c r="E24693" t="s">
        <v>98</v>
      </c>
    </row>
    <row r="24694" spans="1:5" x14ac:dyDescent="0.25">
      <c r="A24694" t="str">
        <f>HYPERLINK("https://www.773grp.com/globalSearch/MMBZ5235BLT1G/page-1", "MMBZ5235BLT1G")</f>
        <v>MMBZ5235BLT1G</v>
      </c>
      <c r="B24694" s="3" t="str">
        <f>HYPERLINK("https://www.773grp.com/manufacturer/onsemi?pageNo=1170", "ON Semiconductor")</f>
        <v>ON Semiconductor</v>
      </c>
      <c r="C24694" s="6">
        <v>438000</v>
      </c>
      <c r="D24694" s="7">
        <v>0.15</v>
      </c>
      <c r="E24694" t="s">
        <v>98</v>
      </c>
    </row>
    <row r="24695" spans="1:5" x14ac:dyDescent="0.25">
      <c r="A24695" t="str">
        <f>HYPERLINK("https://www.773grp.com/globalSearch/MMBZ5236BLT1G/page-1", "MMBZ5236BLT1G")</f>
        <v>MMBZ5236BLT1G</v>
      </c>
      <c r="B24695" s="3" t="str">
        <f>HYPERLINK("https://www.773grp.com/manufacturer/onsemi?pageNo=1171", "ON Semiconductor")</f>
        <v>ON Semiconductor</v>
      </c>
      <c r="C24695" s="6">
        <v>83010</v>
      </c>
      <c r="D24695" s="7">
        <v>0.15</v>
      </c>
      <c r="E24695" t="s">
        <v>98</v>
      </c>
    </row>
    <row r="24696" spans="1:5" x14ac:dyDescent="0.25">
      <c r="A24696" t="str">
        <f>HYPERLINK("https://www.773grp.com/globalSearch/MMBZ5236ELT1/page-1", "MMBZ5236ELT1")</f>
        <v>MMBZ5236ELT1</v>
      </c>
      <c r="B24696" s="3" t="str">
        <f>HYPERLINK("https://www.773grp.com/manufacturer/onsemi?pageNo=1172", "ON Semiconductor")</f>
        <v>ON Semiconductor</v>
      </c>
      <c r="C24696" s="6">
        <v>19930</v>
      </c>
      <c r="D24696" s="7">
        <v>0.15</v>
      </c>
      <c r="E24696" t="s">
        <v>98</v>
      </c>
    </row>
    <row r="24697" spans="1:5" x14ac:dyDescent="0.25">
      <c r="A24697" t="str">
        <f>HYPERLINK("https://www.773grp.com/globalSearch/MMBZ5237BLT1G/page-1", "MMBZ5237BLT1G")</f>
        <v>MMBZ5237BLT1G</v>
      </c>
      <c r="B24697" s="3" t="str">
        <f>HYPERLINK("https://www.773grp.com/manufacturer/onsemi?pageNo=1173", "ON Semiconductor")</f>
        <v>ON Semiconductor</v>
      </c>
      <c r="C24697" s="6">
        <v>129000</v>
      </c>
      <c r="D24697" s="7">
        <v>0.15</v>
      </c>
      <c r="E24697" t="s">
        <v>98</v>
      </c>
    </row>
    <row r="24698" spans="1:5" x14ac:dyDescent="0.25">
      <c r="A24698" t="str">
        <f>HYPERLINK("https://www.773grp.com/globalSearch/MMBZ5238BLT1G/page-1", "MMBZ5238BLT1G")</f>
        <v>MMBZ5238BLT1G</v>
      </c>
      <c r="B24698" s="3" t="str">
        <f>HYPERLINK("https://www.773grp.com/manufacturer/onsemi?pageNo=1174", "ON Semiconductor")</f>
        <v>ON Semiconductor</v>
      </c>
      <c r="C24698" s="6">
        <v>57000</v>
      </c>
      <c r="D24698" s="7">
        <v>0.15</v>
      </c>
      <c r="E24698" t="s">
        <v>98</v>
      </c>
    </row>
    <row r="24699" spans="1:5" x14ac:dyDescent="0.25">
      <c r="A24699" t="str">
        <f>HYPERLINK("https://www.773grp.com/globalSearch/MMBZ5239BLT1G/page-1", "MMBZ5239BLT1G")</f>
        <v>MMBZ5239BLT1G</v>
      </c>
      <c r="B24699" s="3" t="str">
        <f>HYPERLINK("https://www.773grp.com/manufacturer/onsemi?pageNo=1175", "ON Semiconductor")</f>
        <v>ON Semiconductor</v>
      </c>
      <c r="C24699" s="6">
        <v>65442</v>
      </c>
      <c r="D24699" s="7">
        <v>0.15</v>
      </c>
      <c r="E24699" t="s">
        <v>98</v>
      </c>
    </row>
    <row r="24700" spans="1:5" x14ac:dyDescent="0.25">
      <c r="A24700" t="str">
        <f>HYPERLINK("https://www.773grp.com/globalSearch/MMBZ5239ELT1G/page-1", "MMBZ5239ELT1G")</f>
        <v>MMBZ5239ELT1G</v>
      </c>
      <c r="B24700" s="3" t="str">
        <f>HYPERLINK("https://www.773grp.com/manufacturer/onsemi?pageNo=1176", "ON Semiconductor")</f>
        <v>ON Semiconductor</v>
      </c>
      <c r="C24700" s="6">
        <v>27000</v>
      </c>
      <c r="D24700" s="7">
        <v>0.15</v>
      </c>
      <c r="E24700" t="s">
        <v>98</v>
      </c>
    </row>
    <row r="24701" spans="1:5" x14ac:dyDescent="0.25">
      <c r="A24701" t="str">
        <f>HYPERLINK("https://www.773grp.com/globalSearch/MMBZ5240BLT1G/page-1", "MMBZ5240BLT1G")</f>
        <v>MMBZ5240BLT1G</v>
      </c>
      <c r="B24701" s="3" t="str">
        <f>HYPERLINK("https://www.773grp.com/manufacturer/onsemi?pageNo=1177", "ON Semiconductor")</f>
        <v>ON Semiconductor</v>
      </c>
      <c r="C24701" s="6">
        <v>933303</v>
      </c>
      <c r="D24701" s="7">
        <v>0.15</v>
      </c>
      <c r="E24701" t="s">
        <v>98</v>
      </c>
    </row>
    <row r="24702" spans="1:5" x14ac:dyDescent="0.25">
      <c r="A24702" t="str">
        <f>HYPERLINK("https://www.773grp.com/globalSearch/MMBZ5240ELT1/page-1", "MMBZ5240ELT1")</f>
        <v>MMBZ5240ELT1</v>
      </c>
      <c r="B24702" s="3" t="str">
        <f>HYPERLINK("https://www.773grp.com/manufacturer/onsemi?pageNo=1178", "ON Semiconductor")</f>
        <v>ON Semiconductor</v>
      </c>
      <c r="C24702" s="6">
        <v>20980</v>
      </c>
      <c r="D24702" s="7">
        <v>0.15</v>
      </c>
      <c r="E24702" t="s">
        <v>98</v>
      </c>
    </row>
    <row r="24703" spans="1:5" x14ac:dyDescent="0.25">
      <c r="A24703" t="str">
        <f>HYPERLINK("https://www.773grp.com/globalSearch/MMBZ5240ELT1G/page-1", "MMBZ5240ELT1G")</f>
        <v>MMBZ5240ELT1G</v>
      </c>
      <c r="B24703" s="3" t="str">
        <f>HYPERLINK("https://www.773grp.com/manufacturer/onsemi?pageNo=1179", "ON Semiconductor")</f>
        <v>ON Semiconductor</v>
      </c>
      <c r="C24703" s="6">
        <v>54000</v>
      </c>
      <c r="D24703" s="7">
        <v>0.15</v>
      </c>
      <c r="E24703" t="s">
        <v>98</v>
      </c>
    </row>
    <row r="24704" spans="1:5" x14ac:dyDescent="0.25">
      <c r="A24704" t="str">
        <f>HYPERLINK("https://www.773grp.com/globalSearch/MMBZ5241BLT1G/page-1", "MMBZ5241BLT1G")</f>
        <v>MMBZ5241BLT1G</v>
      </c>
      <c r="B24704" s="3" t="str">
        <f>HYPERLINK("https://www.773grp.com/manufacturer/onsemi?pageNo=1180", "ON Semiconductor")</f>
        <v>ON Semiconductor</v>
      </c>
      <c r="C24704" s="6">
        <v>60000</v>
      </c>
      <c r="D24704" s="7">
        <v>0.15</v>
      </c>
      <c r="E24704" t="s">
        <v>98</v>
      </c>
    </row>
    <row r="24705" spans="1:5" x14ac:dyDescent="0.25">
      <c r="A24705" t="str">
        <f>HYPERLINK("https://www.773grp.com/globalSearch/MMBZ5242BLT1G/page-1", "MMBZ5242BLT1G")</f>
        <v>MMBZ5242BLT1G</v>
      </c>
      <c r="B24705" s="3" t="str">
        <f>HYPERLINK("https://www.773grp.com/manufacturer/onsemi?pageNo=1181", "ON Semiconductor")</f>
        <v>ON Semiconductor</v>
      </c>
      <c r="C24705" s="6">
        <v>201000</v>
      </c>
      <c r="D24705" s="7">
        <v>0.15</v>
      </c>
      <c r="E24705" t="s">
        <v>98</v>
      </c>
    </row>
    <row r="24706" spans="1:5" x14ac:dyDescent="0.25">
      <c r="A24706" t="str">
        <f>HYPERLINK("https://www.773grp.com/globalSearch/MMBZ5243BLT1G/page-1", "MMBZ5243BLT1G")</f>
        <v>MMBZ5243BLT1G</v>
      </c>
      <c r="B24706" s="3" t="str">
        <f>HYPERLINK("https://www.773grp.com/manufacturer/onsemi?pageNo=1182", "ON Semiconductor")</f>
        <v>ON Semiconductor</v>
      </c>
      <c r="C24706" s="6">
        <v>77331</v>
      </c>
      <c r="D24706" s="7">
        <v>0.15</v>
      </c>
      <c r="E24706" t="s">
        <v>98</v>
      </c>
    </row>
    <row r="24707" spans="1:5" x14ac:dyDescent="0.25">
      <c r="A24707" t="str">
        <f>HYPERLINK("https://www.773grp.com/globalSearch/MMBZ5243ELT1/page-1", "MMBZ5243ELT1")</f>
        <v>MMBZ5243ELT1</v>
      </c>
      <c r="B24707" s="3" t="str">
        <f>HYPERLINK("https://www.773grp.com/manufacturer/onsemi?pageNo=1183", "ON Semiconductor")</f>
        <v>ON Semiconductor</v>
      </c>
      <c r="C24707" s="6">
        <v>62980</v>
      </c>
      <c r="D24707" s="7">
        <v>0.15</v>
      </c>
      <c r="E24707" t="s">
        <v>98</v>
      </c>
    </row>
    <row r="24708" spans="1:5" x14ac:dyDescent="0.25">
      <c r="A24708" t="str">
        <f>HYPERLINK("https://www.773grp.com/globalSearch/MMBZ5243ELT1G/page-1", "MMBZ5243ELT1G")</f>
        <v>MMBZ5243ELT1G</v>
      </c>
      <c r="B24708" s="3" t="str">
        <f>HYPERLINK("https://www.773grp.com/manufacturer/onsemi?pageNo=1184", "ON Semiconductor")</f>
        <v>ON Semiconductor</v>
      </c>
      <c r="C24708" s="6">
        <v>12000</v>
      </c>
      <c r="D24708" s="7">
        <v>0.15</v>
      </c>
      <c r="E24708" t="s">
        <v>98</v>
      </c>
    </row>
    <row r="24709" spans="1:5" x14ac:dyDescent="0.25">
      <c r="A24709" t="str">
        <f>HYPERLINK("https://www.773grp.com/globalSearch/MMBZ5244ELT1/page-1", "MMBZ5244ELT1")</f>
        <v>MMBZ5244ELT1</v>
      </c>
      <c r="B24709" s="3" t="str">
        <f>HYPERLINK("https://www.773grp.com/manufacturer/onsemi?pageNo=1185", "ON Semiconductor")</f>
        <v>ON Semiconductor</v>
      </c>
      <c r="C24709" s="6">
        <v>24000</v>
      </c>
      <c r="D24709" s="7">
        <v>0.15</v>
      </c>
      <c r="E24709" t="s">
        <v>98</v>
      </c>
    </row>
    <row r="24710" spans="1:5" x14ac:dyDescent="0.25">
      <c r="A24710" t="str">
        <f>HYPERLINK("https://www.773grp.com/globalSearch/MMBZ5245ELT1/page-1", "MMBZ5245ELT1")</f>
        <v>MMBZ5245ELT1</v>
      </c>
      <c r="B24710" s="3" t="str">
        <f>HYPERLINK("https://www.773grp.com/manufacturer/onsemi?pageNo=1186", "ON Semiconductor")</f>
        <v>ON Semiconductor</v>
      </c>
      <c r="C24710" s="6">
        <v>2540</v>
      </c>
      <c r="D24710" s="7">
        <v>0.15</v>
      </c>
      <c r="E24710" t="s">
        <v>98</v>
      </c>
    </row>
    <row r="24711" spans="1:5" x14ac:dyDescent="0.25">
      <c r="A24711" t="str">
        <f>HYPERLINK("https://www.773grp.com/globalSearch/MMBZ5245ELT3G/page-1", "MMBZ5245ELT3G")</f>
        <v>MMBZ5245ELT3G</v>
      </c>
      <c r="B24711" s="3" t="str">
        <f>HYPERLINK("https://www.773grp.com/manufacturer/onsemi?pageNo=1187", "ON Semiconductor")</f>
        <v>ON Semiconductor</v>
      </c>
      <c r="C24711" s="6">
        <v>60000</v>
      </c>
      <c r="D24711" s="7">
        <v>0.15</v>
      </c>
      <c r="E24711" t="s">
        <v>98</v>
      </c>
    </row>
    <row r="24712" spans="1:5" x14ac:dyDescent="0.25">
      <c r="A24712" t="str">
        <f>HYPERLINK("https://www.773grp.com/globalSearch/MMBZ5246BLT1G/page-1", "MMBZ5246BLT1G")</f>
        <v>MMBZ5246BLT1G</v>
      </c>
      <c r="B24712" s="3" t="str">
        <f>HYPERLINK("https://www.773grp.com/manufacturer/onsemi?pageNo=1188", "ON Semiconductor")</f>
        <v>ON Semiconductor</v>
      </c>
      <c r="C24712" s="6">
        <v>567000</v>
      </c>
      <c r="D24712" s="7">
        <v>0.15</v>
      </c>
      <c r="E24712" t="s">
        <v>98</v>
      </c>
    </row>
    <row r="24713" spans="1:5" x14ac:dyDescent="0.25">
      <c r="A24713" t="str">
        <f>HYPERLINK("https://www.773grp.com/globalSearch/MMBZ5246ELT1/page-1", "MMBZ5246ELT1")</f>
        <v>MMBZ5246ELT1</v>
      </c>
      <c r="B24713" s="3" t="str">
        <f>HYPERLINK("https://www.773grp.com/manufacturer/onsemi?pageNo=1189", "ON Semiconductor")</f>
        <v>ON Semiconductor</v>
      </c>
      <c r="C24713" s="6">
        <v>57000</v>
      </c>
      <c r="D24713" s="7">
        <v>0.15</v>
      </c>
      <c r="E24713" t="s">
        <v>98</v>
      </c>
    </row>
    <row r="24714" spans="1:5" x14ac:dyDescent="0.25">
      <c r="A24714" t="str">
        <f>HYPERLINK("https://www.773grp.com/globalSearch/MMBZ5247BLT1G/page-1", "MMBZ5247BLT1G")</f>
        <v>MMBZ5247BLT1G</v>
      </c>
      <c r="B24714" s="3" t="str">
        <f>HYPERLINK("https://www.773grp.com/manufacturer/onsemi?pageNo=1190", "ON Semiconductor")</f>
        <v>ON Semiconductor</v>
      </c>
      <c r="C24714" s="6">
        <v>44497</v>
      </c>
      <c r="D24714" s="7">
        <v>0.15</v>
      </c>
      <c r="E24714" t="s">
        <v>98</v>
      </c>
    </row>
    <row r="24715" spans="1:5" x14ac:dyDescent="0.25">
      <c r="A24715" t="str">
        <f>HYPERLINK("https://www.773grp.com/globalSearch/MMBZ5248BLT1G/page-1", "MMBZ5248BLT1G")</f>
        <v>MMBZ5248BLT1G</v>
      </c>
      <c r="B24715" s="3" t="str">
        <f>HYPERLINK("https://www.773grp.com/manufacturer/onsemi?pageNo=1191", "ON Semiconductor")</f>
        <v>ON Semiconductor</v>
      </c>
      <c r="C24715" s="6">
        <v>24000</v>
      </c>
      <c r="D24715" s="7">
        <v>0.15</v>
      </c>
    </row>
    <row r="24716" spans="1:5" x14ac:dyDescent="0.25">
      <c r="A24716" t="str">
        <f>HYPERLINK("https://www.773grp.com/globalSearch/MMBZ5248BLT3G/page-1", "MMBZ5248BLT3G")</f>
        <v>MMBZ5248BLT3G</v>
      </c>
      <c r="B24716" s="3" t="str">
        <f>HYPERLINK("https://www.773grp.com/manufacturer/onsemi?pageNo=1192", "ON Semiconductor")</f>
        <v>ON Semiconductor</v>
      </c>
      <c r="C24716" s="6">
        <v>250000</v>
      </c>
      <c r="D24716" s="7">
        <v>0.15</v>
      </c>
      <c r="E24716" t="s">
        <v>98</v>
      </c>
    </row>
    <row r="24717" spans="1:5" x14ac:dyDescent="0.25">
      <c r="A24717" t="str">
        <f>HYPERLINK("https://www.773grp.com/globalSearch/MMBZ5249BLT1G/page-1", "MMBZ5249BLT1G")</f>
        <v>MMBZ5249BLT1G</v>
      </c>
      <c r="B24717" s="3" t="str">
        <f>HYPERLINK("https://www.773grp.com/manufacturer/onsemi?pageNo=1193", "ON Semiconductor")</f>
        <v>ON Semiconductor</v>
      </c>
      <c r="C24717" s="6">
        <v>143350</v>
      </c>
      <c r="D24717" s="7">
        <v>0.15</v>
      </c>
      <c r="E24717" t="s">
        <v>98</v>
      </c>
    </row>
    <row r="24718" spans="1:5" x14ac:dyDescent="0.25">
      <c r="A24718" t="str">
        <f>HYPERLINK("https://www.773grp.com/globalSearch/MMBZ5250BLT1G/page-1", "MMBZ5250BLT1G")</f>
        <v>MMBZ5250BLT1G</v>
      </c>
      <c r="B24718" s="3" t="str">
        <f>HYPERLINK("https://www.773grp.com/manufacturer/onsemi?pageNo=1194", "ON Semiconductor")</f>
        <v>ON Semiconductor</v>
      </c>
      <c r="C24718" s="6">
        <v>183000</v>
      </c>
      <c r="D24718" s="7">
        <v>0.15</v>
      </c>
      <c r="E24718" t="s">
        <v>98</v>
      </c>
    </row>
    <row r="24719" spans="1:5" x14ac:dyDescent="0.25">
      <c r="A24719" t="str">
        <f>HYPERLINK("https://www.773grp.com/globalSearch/MMBZ5250ELT1G/page-1", "MMBZ5250ELT1G")</f>
        <v>MMBZ5250ELT1G</v>
      </c>
      <c r="B24719" s="3" t="str">
        <f>HYPERLINK("https://www.773grp.com/manufacturer/onsemi?pageNo=1195", "ON Semiconductor")</f>
        <v>ON Semiconductor</v>
      </c>
      <c r="C24719" s="6">
        <v>94420</v>
      </c>
      <c r="D24719" s="7">
        <v>0.15</v>
      </c>
      <c r="E24719" t="s">
        <v>98</v>
      </c>
    </row>
    <row r="24720" spans="1:5" x14ac:dyDescent="0.25">
      <c r="A24720" t="str">
        <f>HYPERLINK("https://www.773grp.com/globalSearch/MMBZ5251BLT1G/page-1", "MMBZ5251BLT1G")</f>
        <v>MMBZ5251BLT1G</v>
      </c>
      <c r="B24720" s="3" t="str">
        <f>HYPERLINK("https://www.773grp.com/manufacturer/onsemi?pageNo=1196", "ON Semiconductor")</f>
        <v>ON Semiconductor</v>
      </c>
      <c r="C24720" s="6">
        <v>33000</v>
      </c>
      <c r="D24720" s="7">
        <v>0.15</v>
      </c>
      <c r="E24720" t="s">
        <v>98</v>
      </c>
    </row>
    <row r="24721" spans="1:5" x14ac:dyDescent="0.25">
      <c r="A24721" t="str">
        <f>HYPERLINK("https://www.773grp.com/globalSearch/MMBZ5252BLT1G/page-1", "MMBZ5252BLT1G")</f>
        <v>MMBZ5252BLT1G</v>
      </c>
      <c r="B24721" s="3" t="str">
        <f>HYPERLINK("https://www.773grp.com/manufacturer/onsemi?pageNo=1197", "ON Semiconductor")</f>
        <v>ON Semiconductor</v>
      </c>
      <c r="C24721" s="6">
        <v>156000</v>
      </c>
      <c r="D24721" s="7">
        <v>0.15</v>
      </c>
      <c r="E24721" t="s">
        <v>98</v>
      </c>
    </row>
    <row r="24722" spans="1:5" x14ac:dyDescent="0.25">
      <c r="A24722" t="str">
        <f>HYPERLINK("https://www.773grp.com/globalSearch/MMBZ5252ELT1/page-1", "MMBZ5252ELT1")</f>
        <v>MMBZ5252ELT1</v>
      </c>
      <c r="B24722" s="3" t="str">
        <f>HYPERLINK("https://www.773grp.com/manufacturer/onsemi?pageNo=1198", "ON Semiconductor")</f>
        <v>ON Semiconductor</v>
      </c>
      <c r="C24722" s="6">
        <v>11740</v>
      </c>
      <c r="D24722" s="7">
        <v>0.15</v>
      </c>
      <c r="E24722" t="s">
        <v>98</v>
      </c>
    </row>
    <row r="24723" spans="1:5" x14ac:dyDescent="0.25">
      <c r="A24723" t="str">
        <f>HYPERLINK("https://www.773grp.com/globalSearch/MMBZ5252ELT1G/page-1", "MMBZ5252ELT1G")</f>
        <v>MMBZ5252ELT1G</v>
      </c>
      <c r="B24723" s="3" t="str">
        <f>HYPERLINK("https://www.773grp.com/manufacturer/onsemi?pageNo=1199", "ON Semiconductor")</f>
        <v>ON Semiconductor</v>
      </c>
      <c r="C24723" s="6">
        <v>67085</v>
      </c>
      <c r="D24723" s="7">
        <v>0.15</v>
      </c>
      <c r="E24723" t="s">
        <v>98</v>
      </c>
    </row>
    <row r="24724" spans="1:5" x14ac:dyDescent="0.25">
      <c r="A24724" t="str">
        <f>HYPERLINK("https://www.773grp.com/globalSearch/MMBZ5253BLT1G/page-1", "MMBZ5253BLT1G")</f>
        <v>MMBZ5253BLT1G</v>
      </c>
      <c r="B24724" s="3" t="str">
        <f>HYPERLINK("https://www.773grp.com/manufacturer/onsemi?pageNo=1200", "ON Semiconductor")</f>
        <v>ON Semiconductor</v>
      </c>
      <c r="C24724" s="6">
        <v>153000</v>
      </c>
      <c r="D24724" s="7">
        <v>0.15</v>
      </c>
      <c r="E24724" t="s">
        <v>98</v>
      </c>
    </row>
    <row r="24725" spans="1:5" x14ac:dyDescent="0.25">
      <c r="A24725" t="str">
        <f>HYPERLINK("https://www.773grp.com/globalSearch/MMBZ5254BLT1G/page-1", "MMBZ5254BLT1G")</f>
        <v>MMBZ5254BLT1G</v>
      </c>
      <c r="B24725" s="3" t="str">
        <f>HYPERLINK("https://www.773grp.com/manufacturer/onsemi?pageNo=1201", "ON Semiconductor")</f>
        <v>ON Semiconductor</v>
      </c>
      <c r="C24725" s="6">
        <v>444843</v>
      </c>
      <c r="D24725" s="7">
        <v>0.15</v>
      </c>
      <c r="E24725" t="s">
        <v>98</v>
      </c>
    </row>
    <row r="24726" spans="1:5" x14ac:dyDescent="0.25">
      <c r="A24726" t="str">
        <f>HYPERLINK("https://www.773grp.com/globalSearch/MMBZ5254ELT1/page-1", "MMBZ5254ELT1")</f>
        <v>MMBZ5254ELT1</v>
      </c>
      <c r="B24726" s="3" t="str">
        <f>HYPERLINK("https://www.773grp.com/manufacturer/onsemi?pageNo=1202", "ON Semiconductor")</f>
        <v>ON Semiconductor</v>
      </c>
      <c r="C24726" s="6">
        <v>32875</v>
      </c>
      <c r="D24726" s="7">
        <v>0.15</v>
      </c>
      <c r="E24726" t="s">
        <v>98</v>
      </c>
    </row>
    <row r="24727" spans="1:5" x14ac:dyDescent="0.25">
      <c r="A24727" t="str">
        <f>HYPERLINK("https://www.773grp.com/globalSearch/MMBZ5254ELT1G/page-1", "MMBZ5254ELT1G")</f>
        <v>MMBZ5254ELT1G</v>
      </c>
      <c r="B24727" s="3" t="str">
        <f>HYPERLINK("https://www.773grp.com/manufacturer/onsemi?pageNo=1203", "ON Semiconductor")</f>
        <v>ON Semiconductor</v>
      </c>
      <c r="C24727" s="6">
        <v>54000</v>
      </c>
      <c r="D24727" s="7">
        <v>0.15</v>
      </c>
      <c r="E24727" t="s">
        <v>98</v>
      </c>
    </row>
    <row r="24728" spans="1:5" x14ac:dyDescent="0.25">
      <c r="A24728" t="str">
        <f>HYPERLINK("https://www.773grp.com/globalSearch/MMBZ5255BLT1G/page-1", "MMBZ5255BLT1G")</f>
        <v>MMBZ5255BLT1G</v>
      </c>
      <c r="B24728" s="3" t="str">
        <f>HYPERLINK("https://www.773grp.com/manufacturer/onsemi?pageNo=1204", "ON Semiconductor")</f>
        <v>ON Semiconductor</v>
      </c>
      <c r="C24728" s="6">
        <v>114000</v>
      </c>
      <c r="D24728" s="7">
        <v>0.15</v>
      </c>
      <c r="E24728" t="s">
        <v>98</v>
      </c>
    </row>
    <row r="24729" spans="1:5" x14ac:dyDescent="0.25">
      <c r="A24729" t="str">
        <f>HYPERLINK("https://www.773grp.com/globalSearch/MMBZ5256BLT1G/page-1", "MMBZ5256BLT1G")</f>
        <v>MMBZ5256BLT1G</v>
      </c>
      <c r="B24729" s="3" t="str">
        <f>HYPERLINK("https://www.773grp.com/manufacturer/onsemi?pageNo=1205", "ON Semiconductor")</f>
        <v>ON Semiconductor</v>
      </c>
      <c r="C24729" s="6">
        <v>184128</v>
      </c>
      <c r="D24729" s="7">
        <v>0.15</v>
      </c>
      <c r="E24729" t="s">
        <v>98</v>
      </c>
    </row>
    <row r="24730" spans="1:5" x14ac:dyDescent="0.25">
      <c r="A24730" t="str">
        <f>HYPERLINK("https://www.773grp.com/globalSearch/MMBZ5257BLT1G/page-1", "MMBZ5257BLT1G")</f>
        <v>MMBZ5257BLT1G</v>
      </c>
      <c r="B24730" s="3" t="str">
        <f>HYPERLINK("https://www.773grp.com/manufacturer/onsemi?pageNo=1206", "ON Semiconductor")</f>
        <v>ON Semiconductor</v>
      </c>
      <c r="C24730" s="6">
        <v>393000</v>
      </c>
      <c r="D24730" s="7">
        <v>0.15</v>
      </c>
      <c r="E24730" t="s">
        <v>98</v>
      </c>
    </row>
    <row r="24731" spans="1:5" x14ac:dyDescent="0.25">
      <c r="A24731" t="str">
        <f>HYPERLINK("https://www.773grp.com/globalSearch/MMBZ5257ELT1G/page-1", "MMBZ5257ELT1G")</f>
        <v>MMBZ5257ELT1G</v>
      </c>
      <c r="B24731" s="3" t="str">
        <f>HYPERLINK("https://www.773grp.com/manufacturer/onsemi?pageNo=1207", "ON Semiconductor")</f>
        <v>ON Semiconductor</v>
      </c>
      <c r="C24731" s="6">
        <v>99416</v>
      </c>
      <c r="D24731" s="7">
        <v>0.15</v>
      </c>
      <c r="E24731" t="s">
        <v>98</v>
      </c>
    </row>
    <row r="24732" spans="1:5" x14ac:dyDescent="0.25">
      <c r="A24732" t="str">
        <f>HYPERLINK("https://www.773grp.com/globalSearch/MMBZ5258BLT1G/page-1", "MMBZ5258BLT1G")</f>
        <v>MMBZ5258BLT1G</v>
      </c>
      <c r="B24732" s="3" t="str">
        <f>HYPERLINK("https://www.773grp.com/manufacturer/onsemi?pageNo=1208", "ON Semiconductor")</f>
        <v>ON Semiconductor</v>
      </c>
      <c r="C24732" s="6">
        <v>78000</v>
      </c>
      <c r="D24732" s="7">
        <v>0.15</v>
      </c>
      <c r="E24732" t="s">
        <v>98</v>
      </c>
    </row>
    <row r="24733" spans="1:5" x14ac:dyDescent="0.25">
      <c r="A24733" t="str">
        <f>HYPERLINK("https://www.773grp.com/globalSearch/MMBZ5259BLT1G/page-1", "MMBZ5259BLT1G")</f>
        <v>MMBZ5259BLT1G</v>
      </c>
      <c r="B24733" s="3" t="str">
        <f>HYPERLINK("https://www.773grp.com/manufacturer/onsemi?pageNo=1209", "ON Semiconductor")</f>
        <v>ON Semiconductor</v>
      </c>
      <c r="C24733" s="6">
        <v>506077</v>
      </c>
      <c r="D24733" s="7">
        <v>0.15</v>
      </c>
      <c r="E24733" t="s">
        <v>98</v>
      </c>
    </row>
    <row r="24734" spans="1:5" x14ac:dyDescent="0.25">
      <c r="A24734" t="str">
        <f>HYPERLINK("https://www.773grp.com/globalSearch/MMBZ5260BLT1G/page-1", "MMBZ5260BLT1G")</f>
        <v>MMBZ5260BLT1G</v>
      </c>
      <c r="B24734" s="3" t="str">
        <f>HYPERLINK("https://www.773grp.com/manufacturer/onsemi?pageNo=1210", "ON Semiconductor")</f>
        <v>ON Semiconductor</v>
      </c>
      <c r="C24734" s="6">
        <v>1472995</v>
      </c>
      <c r="D24734" s="7">
        <v>0.15</v>
      </c>
      <c r="E24734" t="s">
        <v>98</v>
      </c>
    </row>
    <row r="24735" spans="1:5" x14ac:dyDescent="0.25">
      <c r="A24735" t="str">
        <f>HYPERLINK("https://www.773grp.com/globalSearch/MMBZ5261BLT1G/page-1", "MMBZ5261BLT1G")</f>
        <v>MMBZ5261BLT1G</v>
      </c>
      <c r="B24735" s="3" t="str">
        <f>HYPERLINK("https://www.773grp.com/manufacturer/onsemi?pageNo=1211", "ON Semiconductor")</f>
        <v>ON Semiconductor</v>
      </c>
      <c r="C24735" s="6">
        <v>141000</v>
      </c>
      <c r="D24735" s="7">
        <v>0.15</v>
      </c>
      <c r="E24735" t="s">
        <v>98</v>
      </c>
    </row>
    <row r="24736" spans="1:5" x14ac:dyDescent="0.25">
      <c r="A24736" t="str">
        <f>HYPERLINK("https://www.773grp.com/globalSearch/MMBZ5263BLT1G/page-1", "MMBZ5263BLT1G")</f>
        <v>MMBZ5263BLT1G</v>
      </c>
      <c r="B24736" s="3" t="str">
        <f>HYPERLINK("https://www.773grp.com/manufacturer/onsemi?pageNo=1212", "ON Semiconductor")</f>
        <v>ON Semiconductor</v>
      </c>
      <c r="C24736" s="6">
        <v>317000</v>
      </c>
      <c r="D24736" s="7">
        <v>0.15</v>
      </c>
      <c r="E24736" t="s">
        <v>98</v>
      </c>
    </row>
    <row r="24737" spans="1:5" x14ac:dyDescent="0.25">
      <c r="A24737" t="str">
        <f>HYPERLINK("https://www.773grp.com/globalSearch/MMBZ5264BLT1G/page-1", "MMBZ5264BLT1G")</f>
        <v>MMBZ5264BLT1G</v>
      </c>
      <c r="B24737" s="3" t="str">
        <f>HYPERLINK("https://www.773grp.com/manufacturer/onsemi?pageNo=1213", "ON Semiconductor")</f>
        <v>ON Semiconductor</v>
      </c>
      <c r="C24737" s="6">
        <v>210000</v>
      </c>
      <c r="D24737" s="7">
        <v>0.15</v>
      </c>
      <c r="E24737" t="s">
        <v>98</v>
      </c>
    </row>
    <row r="24738" spans="1:5" x14ac:dyDescent="0.25">
      <c r="A24738" t="str">
        <f>HYPERLINK("https://www.773grp.com/globalSearch/MMBZ5265ELT1/page-1", "MMBZ5265ELT1")</f>
        <v>MMBZ5265ELT1</v>
      </c>
      <c r="B24738" s="3" t="str">
        <f>HYPERLINK("https://www.773grp.com/manufacturer/onsemi?pageNo=1214", "ON Semiconductor")</f>
        <v>ON Semiconductor</v>
      </c>
      <c r="C24738" s="6">
        <v>24000</v>
      </c>
      <c r="D24738" s="7">
        <v>0.15</v>
      </c>
      <c r="E24738" t="s">
        <v>98</v>
      </c>
    </row>
    <row r="24739" spans="1:5" x14ac:dyDescent="0.25">
      <c r="A24739" t="str">
        <f>HYPERLINK("https://www.773grp.com/globalSearch/MMBZ5268BLT1G/page-1", "MMBZ5268BLT1G")</f>
        <v>MMBZ5268BLT1G</v>
      </c>
      <c r="B24739" s="3" t="str">
        <f>HYPERLINK("https://www.773grp.com/manufacturer/onsemi?pageNo=1215", "ON Semiconductor")</f>
        <v>ON Semiconductor</v>
      </c>
      <c r="C24739" s="6">
        <v>72000</v>
      </c>
      <c r="D24739" s="7">
        <v>0.15</v>
      </c>
      <c r="E24739" t="s">
        <v>98</v>
      </c>
    </row>
    <row r="24740" spans="1:5" x14ac:dyDescent="0.25">
      <c r="A24740" t="str">
        <f>HYPERLINK("https://www.773grp.com/globalSearch/MMBZ5270BLT1G/page-1", "MMBZ5270BLT1G")</f>
        <v>MMBZ5270BLT1G</v>
      </c>
      <c r="B24740" s="3" t="str">
        <f>HYPERLINK("https://www.773grp.com/manufacturer/onsemi?pageNo=1216", "ON Semiconductor")</f>
        <v>ON Semiconductor</v>
      </c>
      <c r="C24740" s="6">
        <v>227695</v>
      </c>
      <c r="D24740" s="7">
        <v>0.15</v>
      </c>
      <c r="E24740" t="s">
        <v>98</v>
      </c>
    </row>
    <row r="24741" spans="1:5" x14ac:dyDescent="0.25">
      <c r="A24741" t="str">
        <f>HYPERLINK("https://www.773grp.com/globalSearch/MMBZ6V2ALT3G/page-1", "MMBZ6V2ALT3G")</f>
        <v>MMBZ6V2ALT3G</v>
      </c>
      <c r="B24741" s="3" t="str">
        <f>HYPERLINK("https://www.773grp.com/manufacturer/onsemi?pageNo=1217", "ON Semiconductor")</f>
        <v>ON Semiconductor</v>
      </c>
      <c r="C24741" s="6">
        <v>2000</v>
      </c>
      <c r="D24741" s="7">
        <v>0.15</v>
      </c>
      <c r="E24741" t="s">
        <v>96</v>
      </c>
    </row>
    <row r="24742" spans="1:5" x14ac:dyDescent="0.25">
      <c r="A24742" t="str">
        <f>HYPERLINK("https://www.773grp.com/globalSearch/MMDL101T1/page-1", "MMDL101T1")</f>
        <v>MMDL101T1</v>
      </c>
      <c r="B24742" s="3" t="str">
        <f>HYPERLINK("https://www.773grp.com/manufacturer/onsemi?pageNo=1218", "ON Semiconductor")</f>
        <v>ON Semiconductor</v>
      </c>
      <c r="C24742" s="6">
        <v>3000</v>
      </c>
      <c r="D24742" s="7">
        <v>0.15</v>
      </c>
      <c r="E24742" t="s">
        <v>108</v>
      </c>
    </row>
    <row r="24743" spans="1:5" x14ac:dyDescent="0.25">
      <c r="A24743" t="str">
        <f>HYPERLINK("https://www.773grp.com/globalSearch/MMDL301T1/page-1", "MMDL301T1")</f>
        <v>MMDL301T1</v>
      </c>
      <c r="B24743" s="3" t="str">
        <f>HYPERLINK("https://www.773grp.com/manufacturer/onsemi?pageNo=1219", "ON Semiconductor")</f>
        <v>ON Semiconductor</v>
      </c>
      <c r="C24743" s="6">
        <v>36000</v>
      </c>
      <c r="D24743" s="7">
        <v>0.15</v>
      </c>
      <c r="E24743" t="s">
        <v>108</v>
      </c>
    </row>
    <row r="24744" spans="1:5" x14ac:dyDescent="0.25">
      <c r="A24744" t="str">
        <f>HYPERLINK("https://www.773grp.com/globalSearch/MMDL770T1/page-1", "MMDL770T1")</f>
        <v>MMDL770T1</v>
      </c>
      <c r="B24744" s="3" t="str">
        <f>HYPERLINK("https://www.773grp.com/manufacturer/onsemi?pageNo=1220", "ON Semiconductor")</f>
        <v>ON Semiconductor</v>
      </c>
      <c r="C24744" s="6">
        <v>3000</v>
      </c>
      <c r="D24744" s="7">
        <v>0.15</v>
      </c>
      <c r="E24744" t="s">
        <v>108</v>
      </c>
    </row>
    <row r="24745" spans="1:5" x14ac:dyDescent="0.25">
      <c r="A24745" t="str">
        <f>HYPERLINK("https://www.773grp.com/globalSearch/MMDL914T1G/page-1", "MMDL914T1G")</f>
        <v>MMDL914T1G</v>
      </c>
      <c r="B24745" s="3" t="str">
        <f>HYPERLINK("https://www.773grp.com/manufacturer/onsemi?pageNo=1221", "ON Semiconductor")</f>
        <v>ON Semiconductor</v>
      </c>
      <c r="C24745" s="6">
        <v>263300</v>
      </c>
      <c r="D24745" s="7">
        <v>0.15</v>
      </c>
      <c r="E24745" t="s">
        <v>94</v>
      </c>
    </row>
    <row r="24746" spans="1:5" x14ac:dyDescent="0.25">
      <c r="A24746" t="str">
        <f>HYPERLINK("https://www.773grp.com/globalSearch/MMQA13VT1G/page-1", "MMQA13VT1G")</f>
        <v>MMQA13VT1G</v>
      </c>
      <c r="B24746" s="3" t="str">
        <f>HYPERLINK("https://www.773grp.com/manufacturer/onsemi?pageNo=1222", "ON Semiconductor")</f>
        <v>ON Semiconductor</v>
      </c>
      <c r="C24746" s="6">
        <v>9000</v>
      </c>
      <c r="D24746" s="7">
        <v>0.15</v>
      </c>
      <c r="E24746" t="s">
        <v>96</v>
      </c>
    </row>
    <row r="24747" spans="1:5" x14ac:dyDescent="0.25">
      <c r="A24747" t="str">
        <f>HYPERLINK("https://www.773grp.com/globalSearch/MMQA18VT1/page-1", "MMQA18VT1")</f>
        <v>MMQA18VT1</v>
      </c>
      <c r="B24747" s="3" t="str">
        <f>HYPERLINK("https://www.773grp.com/manufacturer/onsemi?pageNo=1223", "ON Semiconductor")</f>
        <v>ON Semiconductor</v>
      </c>
      <c r="C24747" s="6">
        <v>536741</v>
      </c>
      <c r="D24747" s="7">
        <v>0.15</v>
      </c>
      <c r="E24747" t="s">
        <v>96</v>
      </c>
    </row>
    <row r="24748" spans="1:5" x14ac:dyDescent="0.25">
      <c r="A24748" t="str">
        <f>HYPERLINK("https://www.773grp.com/globalSearch/MMQA6V2T1/page-1", "MMQA6V2T1")</f>
        <v>MMQA6V2T1</v>
      </c>
      <c r="B24748" s="3" t="str">
        <f>HYPERLINK("https://www.773grp.com/manufacturer/onsemi?pageNo=1224", "ON Semiconductor")</f>
        <v>ON Semiconductor</v>
      </c>
      <c r="C24748" s="6">
        <v>9000</v>
      </c>
      <c r="D24748" s="7">
        <v>0.15</v>
      </c>
      <c r="E24748" t="s">
        <v>96</v>
      </c>
    </row>
    <row r="24749" spans="1:5" x14ac:dyDescent="0.25">
      <c r="A24749" t="str">
        <f>HYPERLINK("https://www.773grp.com/globalSearch/MMSD4148T1/page-1", "MMSD4148T1")</f>
        <v>MMSD4148T1</v>
      </c>
      <c r="B24749" s="3" t="str">
        <f>HYPERLINK("https://www.773grp.com/manufacturer/onsemi?pageNo=1225", "ON Semiconductor")</f>
        <v>ON Semiconductor</v>
      </c>
      <c r="C24749" s="6">
        <v>139150</v>
      </c>
      <c r="D24749" s="7">
        <v>0.15</v>
      </c>
    </row>
    <row r="24750" spans="1:5" x14ac:dyDescent="0.25">
      <c r="A24750" t="str">
        <f>HYPERLINK("https://www.773grp.com/globalSearch/MMSD4148T1G/page-1", "MMSD4148T1G")</f>
        <v>MMSD4148T1G</v>
      </c>
      <c r="B24750" s="3" t="str">
        <f>HYPERLINK("https://www.773grp.com/manufacturer/onsemi?pageNo=1226", "ON Semiconductor")</f>
        <v>ON Semiconductor</v>
      </c>
      <c r="C24750" s="6">
        <v>1461621</v>
      </c>
      <c r="D24750" s="7">
        <v>0.15</v>
      </c>
      <c r="E24750" t="s">
        <v>94</v>
      </c>
    </row>
    <row r="24751" spans="1:5" x14ac:dyDescent="0.25">
      <c r="A24751" t="str">
        <f>HYPERLINK("https://www.773grp.com/globalSearch/MMSD4148T3G/page-1", "MMSD4148T3G")</f>
        <v>MMSD4148T3G</v>
      </c>
      <c r="B24751" s="3" t="str">
        <f>HYPERLINK("https://www.773grp.com/manufacturer/onsemi?pageNo=1227", "ON Semiconductor")</f>
        <v>ON Semiconductor</v>
      </c>
      <c r="C24751" s="6">
        <v>20000</v>
      </c>
      <c r="D24751" s="7">
        <v>0.15</v>
      </c>
      <c r="E24751" t="s">
        <v>94</v>
      </c>
    </row>
    <row r="24752" spans="1:5" x14ac:dyDescent="0.25">
      <c r="A24752" t="str">
        <f>HYPERLINK("https://www.773grp.com/globalSearch/MMSD914T1/page-1", "MMSD914T1")</f>
        <v>MMSD914T1</v>
      </c>
      <c r="B24752" s="3" t="str">
        <f>HYPERLINK("https://www.773grp.com/manufacturer/onsemi?pageNo=1228", "ON Semiconductor")</f>
        <v>ON Semiconductor</v>
      </c>
      <c r="C24752" s="6">
        <v>138000</v>
      </c>
      <c r="D24752" s="7">
        <v>0.15</v>
      </c>
    </row>
    <row r="24753" spans="1:5" x14ac:dyDescent="0.25">
      <c r="A24753" t="str">
        <f>HYPERLINK("https://www.773grp.com/globalSearch/MMSD914T1G/page-1", "MMSD914T1G")</f>
        <v>MMSD914T1G</v>
      </c>
      <c r="B24753" s="3" t="str">
        <f>HYPERLINK("https://www.773grp.com/manufacturer/onsemi?pageNo=1229", "ON Semiconductor")</f>
        <v>ON Semiconductor</v>
      </c>
      <c r="C24753" s="6">
        <v>57100</v>
      </c>
      <c r="D24753" s="7">
        <v>0.15</v>
      </c>
      <c r="E24753" t="s">
        <v>94</v>
      </c>
    </row>
    <row r="24754" spans="1:5" x14ac:dyDescent="0.25">
      <c r="A24754" t="str">
        <f>HYPERLINK("https://www.773grp.com/globalSearch/MMSD914T3G/page-1", "MMSD914T3G")</f>
        <v>MMSD914T3G</v>
      </c>
      <c r="B24754" s="3" t="str">
        <f>HYPERLINK("https://www.773grp.com/manufacturer/onsemi?pageNo=1230", "ON Semiconductor")</f>
        <v>ON Semiconductor</v>
      </c>
      <c r="C24754" s="6">
        <v>270000</v>
      </c>
      <c r="D24754" s="7">
        <v>0.15</v>
      </c>
      <c r="E24754" t="s">
        <v>94</v>
      </c>
    </row>
    <row r="24755" spans="1:5" x14ac:dyDescent="0.25">
      <c r="A24755" t="str">
        <f>HYPERLINK("https://www.773grp.com/globalSearch/MMSZ10T1G/page-1", "MMSZ10T1G")</f>
        <v>MMSZ10T1G</v>
      </c>
      <c r="B24755" s="3" t="str">
        <f>HYPERLINK("https://www.773grp.com/manufacturer/onsemi?pageNo=1231", "ON Semiconductor")</f>
        <v>ON Semiconductor</v>
      </c>
      <c r="C24755" s="6">
        <v>360000</v>
      </c>
      <c r="D24755" s="7">
        <v>0.15</v>
      </c>
      <c r="E24755" t="s">
        <v>98</v>
      </c>
    </row>
    <row r="24756" spans="1:5" x14ac:dyDescent="0.25">
      <c r="A24756" t="str">
        <f>HYPERLINK("https://www.773grp.com/globalSearch/MMSZ10T3G/page-1", "MMSZ10T3G")</f>
        <v>MMSZ10T3G</v>
      </c>
      <c r="B24756" s="3" t="str">
        <f>HYPERLINK("https://www.773grp.com/manufacturer/onsemi?pageNo=1232", "ON Semiconductor")</f>
        <v>ON Semiconductor</v>
      </c>
      <c r="C24756" s="6">
        <v>680000</v>
      </c>
      <c r="D24756" s="7">
        <v>0.15</v>
      </c>
      <c r="E24756" t="s">
        <v>98</v>
      </c>
    </row>
    <row r="24757" spans="1:5" x14ac:dyDescent="0.25">
      <c r="A24757" t="str">
        <f>HYPERLINK("https://www.773grp.com/globalSearch/MMSZ11ET1/page-1", "MMSZ11ET1")</f>
        <v>MMSZ11ET1</v>
      </c>
      <c r="B24757" s="3" t="str">
        <f>HYPERLINK("https://www.773grp.com/manufacturer/onsemi?pageNo=1233", "ON Semiconductor")</f>
        <v>ON Semiconductor</v>
      </c>
      <c r="C24757" s="6">
        <v>20975</v>
      </c>
      <c r="D24757" s="7">
        <v>0.15</v>
      </c>
      <c r="E24757" t="s">
        <v>98</v>
      </c>
    </row>
    <row r="24758" spans="1:5" x14ac:dyDescent="0.25">
      <c r="A24758" t="str">
        <f>HYPERLINK("https://www.773grp.com/globalSearch/MMSZ11T1G/page-1", "MMSZ11T1G")</f>
        <v>MMSZ11T1G</v>
      </c>
      <c r="B24758" s="3" t="str">
        <f>HYPERLINK("https://www.773grp.com/manufacturer/onsemi?pageNo=1234", "ON Semiconductor")</f>
        <v>ON Semiconductor</v>
      </c>
      <c r="C24758" s="6">
        <v>482500</v>
      </c>
      <c r="D24758" s="7">
        <v>0.15</v>
      </c>
      <c r="E24758" t="s">
        <v>98</v>
      </c>
    </row>
    <row r="24759" spans="1:5" x14ac:dyDescent="0.25">
      <c r="A24759" t="str">
        <f>HYPERLINK("https://www.773grp.com/globalSearch/MMSZ12ET1/page-1", "MMSZ12ET1")</f>
        <v>MMSZ12ET1</v>
      </c>
      <c r="B24759" s="3" t="str">
        <f>HYPERLINK("https://www.773grp.com/manufacturer/onsemi?pageNo=1235", "ON Semiconductor")</f>
        <v>ON Semiconductor</v>
      </c>
      <c r="C24759" s="6">
        <v>2915</v>
      </c>
      <c r="D24759" s="7">
        <v>0.15</v>
      </c>
      <c r="E24759" t="s">
        <v>98</v>
      </c>
    </row>
    <row r="24760" spans="1:5" x14ac:dyDescent="0.25">
      <c r="A24760" t="str">
        <f>HYPERLINK("https://www.773grp.com/globalSearch/MMSZ12T1/page-1", "MMSZ12T1")</f>
        <v>MMSZ12T1</v>
      </c>
      <c r="B24760" s="3" t="str">
        <f>HYPERLINK("https://www.773grp.com/manufacturer/onsemi?pageNo=1236", "ON Semiconductor")</f>
        <v>ON Semiconductor</v>
      </c>
      <c r="C24760" s="6">
        <v>108000</v>
      </c>
      <c r="D24760" s="7">
        <v>0.15</v>
      </c>
      <c r="E24760" t="s">
        <v>98</v>
      </c>
    </row>
    <row r="24761" spans="1:5" x14ac:dyDescent="0.25">
      <c r="A24761" t="str">
        <f>HYPERLINK("https://www.773grp.com/globalSearch/MMSZ12T1G/page-1", "MMSZ12T1G")</f>
        <v>MMSZ12T1G</v>
      </c>
      <c r="B24761" s="3" t="str">
        <f>HYPERLINK("https://www.773grp.com/manufacturer/onsemi?pageNo=1237", "ON Semiconductor")</f>
        <v>ON Semiconductor</v>
      </c>
      <c r="C24761" s="6">
        <v>108000</v>
      </c>
      <c r="D24761" s="7">
        <v>0.15</v>
      </c>
      <c r="E24761" t="s">
        <v>98</v>
      </c>
    </row>
    <row r="24762" spans="1:5" x14ac:dyDescent="0.25">
      <c r="A24762" t="str">
        <f>HYPERLINK("https://www.773grp.com/globalSearch/MMSZ13T1G/page-1", "MMSZ13T1G")</f>
        <v>MMSZ13T1G</v>
      </c>
      <c r="B24762" s="3" t="str">
        <f>HYPERLINK("https://www.773grp.com/manufacturer/onsemi?pageNo=1238", "ON Semiconductor")</f>
        <v>ON Semiconductor</v>
      </c>
      <c r="C24762" s="6">
        <v>381000</v>
      </c>
      <c r="D24762" s="7">
        <v>0.15</v>
      </c>
      <c r="E24762" t="s">
        <v>98</v>
      </c>
    </row>
    <row r="24763" spans="1:5" x14ac:dyDescent="0.25">
      <c r="A24763" t="str">
        <f>HYPERLINK("https://www.773grp.com/globalSearch/MMSZ15ET1/page-1", "MMSZ15ET1")</f>
        <v>MMSZ15ET1</v>
      </c>
      <c r="B24763" s="3" t="str">
        <f>HYPERLINK("https://www.773grp.com/manufacturer/onsemi?pageNo=1239", "ON Semiconductor")</f>
        <v>ON Semiconductor</v>
      </c>
      <c r="C24763" s="6">
        <v>33000</v>
      </c>
      <c r="D24763" s="7">
        <v>0.15</v>
      </c>
      <c r="E24763" t="s">
        <v>98</v>
      </c>
    </row>
    <row r="24764" spans="1:5" x14ac:dyDescent="0.25">
      <c r="A24764" t="str">
        <f>HYPERLINK("https://www.773grp.com/globalSearch/MMSZ15T1G/page-1", "MMSZ15T1G")</f>
        <v>MMSZ15T1G</v>
      </c>
      <c r="B24764" s="3" t="str">
        <f>HYPERLINK("https://www.773grp.com/manufacturer/onsemi?pageNo=1240", "ON Semiconductor")</f>
        <v>ON Semiconductor</v>
      </c>
      <c r="C24764" s="6">
        <v>1350000</v>
      </c>
      <c r="D24764" s="7">
        <v>0.15</v>
      </c>
      <c r="E24764" t="s">
        <v>98</v>
      </c>
    </row>
    <row r="24765" spans="1:5" x14ac:dyDescent="0.25">
      <c r="A24765" t="str">
        <f>HYPERLINK("https://www.773grp.com/globalSearch/MMSZ16ET1/page-1", "MMSZ16ET1")</f>
        <v>MMSZ16ET1</v>
      </c>
      <c r="B24765" s="3" t="str">
        <f>HYPERLINK("https://www.773grp.com/manufacturer/onsemi?pageNo=1241", "ON Semiconductor")</f>
        <v>ON Semiconductor</v>
      </c>
      <c r="C24765" s="6">
        <v>20935</v>
      </c>
      <c r="D24765" s="7">
        <v>0.15</v>
      </c>
      <c r="E24765" t="s">
        <v>98</v>
      </c>
    </row>
    <row r="24766" spans="1:5" x14ac:dyDescent="0.25">
      <c r="A24766" t="str">
        <f>HYPERLINK("https://www.773grp.com/globalSearch/MMSZ16T1G/page-1", "MMSZ16T1G")</f>
        <v>MMSZ16T1G</v>
      </c>
      <c r="B24766" s="3" t="str">
        <f>HYPERLINK("https://www.773grp.com/manufacturer/onsemi?pageNo=1242", "ON Semiconductor")</f>
        <v>ON Semiconductor</v>
      </c>
      <c r="C24766" s="6">
        <v>161315</v>
      </c>
      <c r="D24766" s="7">
        <v>0.15</v>
      </c>
      <c r="E24766" t="s">
        <v>98</v>
      </c>
    </row>
    <row r="24767" spans="1:5" x14ac:dyDescent="0.25">
      <c r="A24767" t="str">
        <f>HYPERLINK("https://www.773grp.com/globalSearch/MMSZ18ET1/page-1", "MMSZ18ET1")</f>
        <v>MMSZ18ET1</v>
      </c>
      <c r="B24767" s="3" t="str">
        <f>HYPERLINK("https://www.773grp.com/manufacturer/onsemi?pageNo=1243", "ON Semiconductor")</f>
        <v>ON Semiconductor</v>
      </c>
      <c r="C24767" s="6">
        <v>14860</v>
      </c>
      <c r="D24767" s="7">
        <v>0.15</v>
      </c>
      <c r="E24767" t="s">
        <v>98</v>
      </c>
    </row>
    <row r="24768" spans="1:5" x14ac:dyDescent="0.25">
      <c r="A24768" t="str">
        <f>HYPERLINK("https://www.773grp.com/globalSearch/MMSZ18T1G/page-1", "MMSZ18T1G")</f>
        <v>MMSZ18T1G</v>
      </c>
      <c r="B24768" s="3" t="str">
        <f>HYPERLINK("https://www.773grp.com/manufacturer/onsemi?pageNo=1244", "ON Semiconductor")</f>
        <v>ON Semiconductor</v>
      </c>
      <c r="C24768" s="6">
        <v>105000</v>
      </c>
      <c r="D24768" s="7">
        <v>0.15</v>
      </c>
      <c r="E24768" t="s">
        <v>98</v>
      </c>
    </row>
    <row r="24769" spans="1:5" x14ac:dyDescent="0.25">
      <c r="A24769" t="str">
        <f>HYPERLINK("https://www.773grp.com/globalSearch/MMSZ20ET1/page-1", "MMSZ20ET1")</f>
        <v>MMSZ20ET1</v>
      </c>
      <c r="B24769" s="3" t="str">
        <f>HYPERLINK("https://www.773grp.com/manufacturer/onsemi?pageNo=1245", "ON Semiconductor")</f>
        <v>ON Semiconductor</v>
      </c>
      <c r="C24769" s="6">
        <v>18000</v>
      </c>
      <c r="D24769" s="7">
        <v>0.15</v>
      </c>
      <c r="E24769" t="s">
        <v>98</v>
      </c>
    </row>
    <row r="24770" spans="1:5" x14ac:dyDescent="0.25">
      <c r="A24770" t="str">
        <f>HYPERLINK("https://www.773grp.com/globalSearch/MMSZ20T1G/page-1", "MMSZ20T1G")</f>
        <v>MMSZ20T1G</v>
      </c>
      <c r="B24770" s="3" t="str">
        <f>HYPERLINK("https://www.773grp.com/manufacturer/onsemi?pageNo=1246", "ON Semiconductor")</f>
        <v>ON Semiconductor</v>
      </c>
      <c r="C24770" s="6">
        <v>108000</v>
      </c>
      <c r="D24770" s="7">
        <v>0.15</v>
      </c>
      <c r="E24770" t="s">
        <v>98</v>
      </c>
    </row>
    <row r="24771" spans="1:5" x14ac:dyDescent="0.25">
      <c r="A24771" t="str">
        <f>HYPERLINK("https://www.773grp.com/globalSearch/MMSZ22ET1/page-1", "MMSZ22ET1")</f>
        <v>MMSZ22ET1</v>
      </c>
      <c r="B24771" s="3" t="str">
        <f>HYPERLINK("https://www.773grp.com/manufacturer/onsemi?pageNo=1247", "ON Semiconductor")</f>
        <v>ON Semiconductor</v>
      </c>
      <c r="C24771" s="6">
        <v>6000</v>
      </c>
      <c r="D24771" s="7">
        <v>0.15</v>
      </c>
      <c r="E24771" t="s">
        <v>98</v>
      </c>
    </row>
    <row r="24772" spans="1:5" x14ac:dyDescent="0.25">
      <c r="A24772" t="str">
        <f>HYPERLINK("https://www.773grp.com/globalSearch/MMSZ22T1G/page-1", "MMSZ22T1G")</f>
        <v>MMSZ22T1G</v>
      </c>
      <c r="B24772" s="3" t="str">
        <f>HYPERLINK("https://www.773grp.com/manufacturer/onsemi?pageNo=1248", "ON Semiconductor")</f>
        <v>ON Semiconductor</v>
      </c>
      <c r="C24772" s="6">
        <v>140840</v>
      </c>
      <c r="D24772" s="7">
        <v>0.15</v>
      </c>
      <c r="E24772" t="s">
        <v>98</v>
      </c>
    </row>
    <row r="24773" spans="1:5" x14ac:dyDescent="0.25">
      <c r="A24773" t="str">
        <f>HYPERLINK("https://www.773grp.com/globalSearch/MMSZ24T1G/page-1", "MMSZ24T1G")</f>
        <v>MMSZ24T1G</v>
      </c>
      <c r="B24773" s="3" t="str">
        <f>HYPERLINK("https://www.773grp.com/manufacturer/onsemi?pageNo=1249", "ON Semiconductor")</f>
        <v>ON Semiconductor</v>
      </c>
      <c r="C24773" s="6">
        <v>202995</v>
      </c>
      <c r="D24773" s="7">
        <v>0.15</v>
      </c>
      <c r="E24773" t="s">
        <v>98</v>
      </c>
    </row>
    <row r="24774" spans="1:5" x14ac:dyDescent="0.25">
      <c r="A24774" t="str">
        <f>HYPERLINK("https://www.773grp.com/globalSearch/MMSZ27T1G/page-1", "MMSZ27T1G")</f>
        <v>MMSZ27T1G</v>
      </c>
      <c r="B24774" s="3" t="str">
        <f>HYPERLINK("https://www.773grp.com/manufacturer/onsemi?pageNo=1250", "ON Semiconductor")</f>
        <v>ON Semiconductor</v>
      </c>
      <c r="C24774" s="6">
        <v>129000</v>
      </c>
      <c r="D24774" s="7">
        <v>0.15</v>
      </c>
      <c r="E24774" t="s">
        <v>98</v>
      </c>
    </row>
    <row r="24775" spans="1:5" x14ac:dyDescent="0.25">
      <c r="A24775" t="str">
        <f>HYPERLINK("https://www.773grp.com/globalSearch/MMSZ27T3/page-1", "MMSZ27T3")</f>
        <v>MMSZ27T3</v>
      </c>
      <c r="B24775" s="3" t="str">
        <f>HYPERLINK("https://www.773grp.com/manufacturer/onsemi?pageNo=1251", "ON Semiconductor")</f>
        <v>ON Semiconductor</v>
      </c>
      <c r="C24775" s="6">
        <v>50000</v>
      </c>
      <c r="D24775" s="7">
        <v>0.15</v>
      </c>
      <c r="E24775" t="s">
        <v>98</v>
      </c>
    </row>
    <row r="24776" spans="1:5" x14ac:dyDescent="0.25">
      <c r="A24776" t="str">
        <f>HYPERLINK("https://www.773grp.com/globalSearch/MMSZ27T3G/page-1", "MMSZ27T3G")</f>
        <v>MMSZ27T3G</v>
      </c>
      <c r="B24776" s="3" t="str">
        <f>HYPERLINK("https://www.773grp.com/manufacturer/onsemi?pageNo=1252", "ON Semiconductor")</f>
        <v>ON Semiconductor</v>
      </c>
      <c r="C24776" s="6">
        <v>40000</v>
      </c>
      <c r="D24776" s="7">
        <v>0.15</v>
      </c>
      <c r="E24776" t="s">
        <v>98</v>
      </c>
    </row>
    <row r="24777" spans="1:5" x14ac:dyDescent="0.25">
      <c r="A24777" t="str">
        <f>HYPERLINK("https://www.773grp.com/globalSearch/MMSZ2V4ET1/page-1", "MMSZ2V4ET1")</f>
        <v>MMSZ2V4ET1</v>
      </c>
      <c r="B24777" s="3" t="str">
        <f>HYPERLINK("https://www.773grp.com/manufacturer/onsemi?pageNo=1253", "ON Semiconductor")</f>
        <v>ON Semiconductor</v>
      </c>
      <c r="C24777" s="6">
        <v>9000</v>
      </c>
      <c r="D24777" s="7">
        <v>0.15</v>
      </c>
      <c r="E24777" t="s">
        <v>98</v>
      </c>
    </row>
    <row r="24778" spans="1:5" x14ac:dyDescent="0.25">
      <c r="A24778" t="str">
        <f>HYPERLINK("https://www.773grp.com/globalSearch/MMSZ2V4T1G/page-1", "MMSZ2V4T1G")</f>
        <v>MMSZ2V4T1G</v>
      </c>
      <c r="B24778" s="3" t="str">
        <f>HYPERLINK("https://www.773grp.com/manufacturer/onsemi?pageNo=1254", "ON Semiconductor")</f>
        <v>ON Semiconductor</v>
      </c>
      <c r="C24778" s="6">
        <v>176512</v>
      </c>
      <c r="D24778" s="7">
        <v>0.15</v>
      </c>
      <c r="E24778" t="s">
        <v>98</v>
      </c>
    </row>
    <row r="24779" spans="1:5" x14ac:dyDescent="0.25">
      <c r="A24779" t="str">
        <f>HYPERLINK("https://www.773grp.com/globalSearch/MMSZ2V4T3G/page-1", "MMSZ2V4T3G")</f>
        <v>MMSZ2V4T3G</v>
      </c>
      <c r="B24779" s="3" t="str">
        <f>HYPERLINK("https://www.773grp.com/manufacturer/onsemi?pageNo=1255", "ON Semiconductor")</f>
        <v>ON Semiconductor</v>
      </c>
      <c r="C24779" s="6">
        <v>330000</v>
      </c>
      <c r="D24779" s="7">
        <v>0.15</v>
      </c>
      <c r="E24779" t="s">
        <v>98</v>
      </c>
    </row>
    <row r="24780" spans="1:5" x14ac:dyDescent="0.25">
      <c r="A24780" t="str">
        <f>HYPERLINK("https://www.773grp.com/globalSearch/MMSZ2V7T1G/page-1", "MMSZ2V7T1G")</f>
        <v>MMSZ2V7T1G</v>
      </c>
      <c r="B24780" s="3" t="str">
        <f>HYPERLINK("https://www.773grp.com/manufacturer/onsemi?pageNo=1256", "ON Semiconductor")</f>
        <v>ON Semiconductor</v>
      </c>
      <c r="C24780" s="6">
        <v>111000</v>
      </c>
      <c r="D24780" s="7">
        <v>0.15</v>
      </c>
      <c r="E24780" t="s">
        <v>98</v>
      </c>
    </row>
    <row r="24781" spans="1:5" x14ac:dyDescent="0.25">
      <c r="A24781" t="str">
        <f>HYPERLINK("https://www.773grp.com/globalSearch/MMSZ30T1G/page-1", "MMSZ30T1G")</f>
        <v>MMSZ30T1G</v>
      </c>
      <c r="B24781" s="3" t="str">
        <f>HYPERLINK("https://www.773grp.com/manufacturer/onsemi?pageNo=1257", "ON Semiconductor")</f>
        <v>ON Semiconductor</v>
      </c>
      <c r="C24781" s="6">
        <v>1433509</v>
      </c>
      <c r="D24781" s="7">
        <v>0.15</v>
      </c>
      <c r="E24781" t="s">
        <v>98</v>
      </c>
    </row>
    <row r="24782" spans="1:5" x14ac:dyDescent="0.25">
      <c r="A24782" t="str">
        <f>HYPERLINK("https://www.773grp.com/globalSearch/MMSZ33T1G/page-1", "MMSZ33T1G")</f>
        <v>MMSZ33T1G</v>
      </c>
      <c r="B24782" s="3" t="str">
        <f>HYPERLINK("https://www.773grp.com/manufacturer/onsemi?pageNo=1258", "ON Semiconductor")</f>
        <v>ON Semiconductor</v>
      </c>
      <c r="C24782" s="6">
        <v>65347</v>
      </c>
      <c r="D24782" s="7">
        <v>0.15</v>
      </c>
      <c r="E24782" t="s">
        <v>98</v>
      </c>
    </row>
    <row r="24783" spans="1:5" x14ac:dyDescent="0.25">
      <c r="A24783" t="str">
        <f>HYPERLINK("https://www.773grp.com/globalSearch/MMSZ36ET1/page-1", "MMSZ36ET1")</f>
        <v>MMSZ36ET1</v>
      </c>
      <c r="B24783" s="3" t="str">
        <f>HYPERLINK("https://www.773grp.com/manufacturer/onsemi?pageNo=1259", "ON Semiconductor")</f>
        <v>ON Semiconductor</v>
      </c>
      <c r="C24783" s="6">
        <v>15000</v>
      </c>
      <c r="D24783" s="7">
        <v>0.15</v>
      </c>
      <c r="E24783" t="s">
        <v>98</v>
      </c>
    </row>
    <row r="24784" spans="1:5" x14ac:dyDescent="0.25">
      <c r="A24784" t="str">
        <f>HYPERLINK("https://www.773grp.com/globalSearch/MMSZ36T1G/page-1", "MMSZ36T1G")</f>
        <v>MMSZ36T1G</v>
      </c>
      <c r="B24784" s="3" t="str">
        <f>HYPERLINK("https://www.773grp.com/manufacturer/onsemi?pageNo=1260", "ON Semiconductor")</f>
        <v>ON Semiconductor</v>
      </c>
      <c r="C24784" s="6">
        <v>369000</v>
      </c>
      <c r="D24784" s="7">
        <v>0.15</v>
      </c>
      <c r="E24784" t="s">
        <v>98</v>
      </c>
    </row>
    <row r="24785" spans="1:5" x14ac:dyDescent="0.25">
      <c r="A24785" t="str">
        <f>HYPERLINK("https://www.773grp.com/globalSearch/MMSZ39ET1/page-1", "MMSZ39ET1")</f>
        <v>MMSZ39ET1</v>
      </c>
      <c r="B24785" s="3" t="str">
        <f>HYPERLINK("https://www.773grp.com/manufacturer/onsemi?pageNo=1261", "ON Semiconductor")</f>
        <v>ON Semiconductor</v>
      </c>
      <c r="C24785" s="6">
        <v>2975</v>
      </c>
      <c r="D24785" s="7">
        <v>0.15</v>
      </c>
      <c r="E24785" t="s">
        <v>98</v>
      </c>
    </row>
    <row r="24786" spans="1:5" x14ac:dyDescent="0.25">
      <c r="A24786" t="str">
        <f>HYPERLINK("https://www.773grp.com/globalSearch/MMSZ39T1G/page-1", "MMSZ39T1G")</f>
        <v>MMSZ39T1G</v>
      </c>
      <c r="B24786" s="3" t="str">
        <f>HYPERLINK("https://www.773grp.com/manufacturer/onsemi?pageNo=1262", "ON Semiconductor")</f>
        <v>ON Semiconductor</v>
      </c>
      <c r="C24786" s="6">
        <v>107435</v>
      </c>
      <c r="D24786" s="7">
        <v>0.15</v>
      </c>
      <c r="E24786" t="s">
        <v>98</v>
      </c>
    </row>
    <row r="24787" spans="1:5" x14ac:dyDescent="0.25">
      <c r="A24787" t="str">
        <f>HYPERLINK("https://www.773grp.com/globalSearch/MMSZ3V0ET1/page-1", "MMSZ3V0ET1")</f>
        <v>MMSZ3V0ET1</v>
      </c>
      <c r="B24787" s="3" t="str">
        <f>HYPERLINK("https://www.773grp.com/manufacturer/onsemi?pageNo=1263", "ON Semiconductor")</f>
        <v>ON Semiconductor</v>
      </c>
      <c r="C24787" s="6">
        <v>23970</v>
      </c>
      <c r="D24787" s="7">
        <v>0.15</v>
      </c>
      <c r="E24787" t="s">
        <v>98</v>
      </c>
    </row>
    <row r="24788" spans="1:5" x14ac:dyDescent="0.25">
      <c r="A24788" t="str">
        <f>HYPERLINK("https://www.773grp.com/globalSearch/MMSZ3V0T1G/page-1", "MMSZ3V0T1G")</f>
        <v>MMSZ3V0T1G</v>
      </c>
      <c r="B24788" s="3" t="str">
        <f>HYPERLINK("https://www.773grp.com/manufacturer/onsemi?pageNo=1264", "ON Semiconductor")</f>
        <v>ON Semiconductor</v>
      </c>
      <c r="C24788" s="6">
        <v>15000</v>
      </c>
      <c r="D24788" s="7">
        <v>0.15</v>
      </c>
      <c r="E24788" t="s">
        <v>98</v>
      </c>
    </row>
    <row r="24789" spans="1:5" x14ac:dyDescent="0.25">
      <c r="A24789" t="str">
        <f>HYPERLINK("https://www.773grp.com/globalSearch/MMSZ3V3T1G/page-1", "MMSZ3V3T1G")</f>
        <v>MMSZ3V3T1G</v>
      </c>
      <c r="B24789" s="3" t="str">
        <f>HYPERLINK("https://www.773grp.com/manufacturer/onsemi?pageNo=1265", "ON Semiconductor")</f>
        <v>ON Semiconductor</v>
      </c>
      <c r="C24789" s="6">
        <v>63000</v>
      </c>
      <c r="D24789" s="7">
        <v>0.15</v>
      </c>
      <c r="E24789" t="s">
        <v>98</v>
      </c>
    </row>
    <row r="24790" spans="1:5" x14ac:dyDescent="0.25">
      <c r="A24790" t="str">
        <f>HYPERLINK("https://www.773grp.com/globalSearch/MMSZ3V3T1H/page-1", "MMSZ3V3T1H")</f>
        <v>MMSZ3V3T1H</v>
      </c>
      <c r="B24790" s="3" t="str">
        <f>HYPERLINK("https://www.773grp.com/manufacturer/onsemi?pageNo=1266", "ON Semiconductor")</f>
        <v>ON Semiconductor</v>
      </c>
      <c r="C24790" s="6">
        <v>3000</v>
      </c>
      <c r="D24790" s="7">
        <v>0.15</v>
      </c>
    </row>
    <row r="24791" spans="1:5" x14ac:dyDescent="0.25">
      <c r="A24791" t="str">
        <f>HYPERLINK("https://www.773grp.com/globalSearch/MMSZ3V6ET1/page-1", "MMSZ3V6ET1")</f>
        <v>MMSZ3V6ET1</v>
      </c>
      <c r="B24791" s="3" t="str">
        <f>HYPERLINK("https://www.773grp.com/manufacturer/onsemi?pageNo=1267", "ON Semiconductor")</f>
        <v>ON Semiconductor</v>
      </c>
      <c r="C24791" s="6">
        <v>3000</v>
      </c>
      <c r="D24791" s="7">
        <v>0.15</v>
      </c>
      <c r="E24791" t="s">
        <v>98</v>
      </c>
    </row>
    <row r="24792" spans="1:5" x14ac:dyDescent="0.25">
      <c r="A24792" t="str">
        <f>HYPERLINK("https://www.773grp.com/globalSearch/MMSZ3V6T1G/page-1", "MMSZ3V6T1G")</f>
        <v>MMSZ3V6T1G</v>
      </c>
      <c r="B24792" s="3" t="str">
        <f>HYPERLINK("https://www.773grp.com/manufacturer/onsemi?pageNo=1268", "ON Semiconductor")</f>
        <v>ON Semiconductor</v>
      </c>
      <c r="C24792" s="6">
        <v>68181</v>
      </c>
      <c r="D24792" s="7">
        <v>0.15</v>
      </c>
      <c r="E24792" t="s">
        <v>98</v>
      </c>
    </row>
    <row r="24793" spans="1:5" x14ac:dyDescent="0.25">
      <c r="A24793" t="str">
        <f>HYPERLINK("https://www.773grp.com/globalSearch/MMSZ3V9T1G/page-1", "MMSZ3V9T1G")</f>
        <v>MMSZ3V9T1G</v>
      </c>
      <c r="B24793" s="3" t="str">
        <f>HYPERLINK("https://www.773grp.com/manufacturer/onsemi?pageNo=1269", "ON Semiconductor")</f>
        <v>ON Semiconductor</v>
      </c>
      <c r="C24793" s="6">
        <v>136565</v>
      </c>
      <c r="D24793" s="7">
        <v>0.15</v>
      </c>
      <c r="E24793" t="s">
        <v>98</v>
      </c>
    </row>
    <row r="24794" spans="1:5" x14ac:dyDescent="0.25">
      <c r="A24794" t="str">
        <f>HYPERLINK("https://www.773grp.com/globalSearch/MMSZ3V9T3G/page-1", "MMSZ3V9T3G")</f>
        <v>MMSZ3V9T3G</v>
      </c>
      <c r="B24794" s="3" t="str">
        <f>HYPERLINK("https://www.773grp.com/manufacturer/onsemi?pageNo=1270", "ON Semiconductor")</f>
        <v>ON Semiconductor</v>
      </c>
      <c r="C24794" s="6">
        <v>99948</v>
      </c>
      <c r="D24794" s="7">
        <v>0.15</v>
      </c>
    </row>
    <row r="24795" spans="1:5" x14ac:dyDescent="0.25">
      <c r="A24795" t="str">
        <f>HYPERLINK("https://www.773grp.com/globalSearch/MMSZ43ET1/page-1", "MMSZ43ET1")</f>
        <v>MMSZ43ET1</v>
      </c>
      <c r="B24795" s="3" t="str">
        <f>HYPERLINK("https://www.773grp.com/manufacturer/onsemi?pageNo=1271", "ON Semiconductor")</f>
        <v>ON Semiconductor</v>
      </c>
      <c r="C24795" s="6">
        <v>12000</v>
      </c>
      <c r="D24795" s="7">
        <v>0.15</v>
      </c>
      <c r="E24795" t="s">
        <v>98</v>
      </c>
    </row>
    <row r="24796" spans="1:5" x14ac:dyDescent="0.25">
      <c r="A24796" t="str">
        <f>HYPERLINK("https://www.773grp.com/globalSearch/MMSZ43T1G/page-1", "MMSZ43T1G")</f>
        <v>MMSZ43T1G</v>
      </c>
      <c r="B24796" s="3" t="str">
        <f>HYPERLINK("https://www.773grp.com/manufacturer/onsemi?pageNo=1272", "ON Semiconductor")</f>
        <v>ON Semiconductor</v>
      </c>
      <c r="C24796" s="6">
        <v>293930</v>
      </c>
      <c r="D24796" s="7">
        <v>0.15</v>
      </c>
      <c r="E24796" t="s">
        <v>98</v>
      </c>
    </row>
    <row r="24797" spans="1:5" x14ac:dyDescent="0.25">
      <c r="A24797" t="str">
        <f>HYPERLINK("https://www.773grp.com/globalSearch/MMSZ4678T1G/page-1", "MMSZ4678T1G")</f>
        <v>MMSZ4678T1G</v>
      </c>
      <c r="B24797" s="3" t="str">
        <f>HYPERLINK("https://www.773grp.com/manufacturer/onsemi?pageNo=1273", "ON Semiconductor")</f>
        <v>ON Semiconductor</v>
      </c>
      <c r="C24797" s="6">
        <v>235300</v>
      </c>
      <c r="D24797" s="7">
        <v>0.15</v>
      </c>
      <c r="E24797" t="s">
        <v>98</v>
      </c>
    </row>
    <row r="24798" spans="1:5" x14ac:dyDescent="0.25">
      <c r="A24798" t="str">
        <f>HYPERLINK("https://www.773grp.com/globalSearch/MMSZ4679T1G/page-1", "MMSZ4679T1G")</f>
        <v>MMSZ4679T1G</v>
      </c>
      <c r="B24798" s="3" t="str">
        <f>HYPERLINK("https://www.773grp.com/manufacturer/onsemi?pageNo=1274", "ON Semiconductor")</f>
        <v>ON Semiconductor</v>
      </c>
      <c r="C24798" s="6">
        <v>95717</v>
      </c>
      <c r="D24798" s="7">
        <v>0.15</v>
      </c>
      <c r="E24798" t="s">
        <v>98</v>
      </c>
    </row>
    <row r="24799" spans="1:5" x14ac:dyDescent="0.25">
      <c r="A24799" t="str">
        <f>HYPERLINK("https://www.773grp.com/globalSearch/MMSZ4680ET1/page-1", "MMSZ4680ET1")</f>
        <v>MMSZ4680ET1</v>
      </c>
      <c r="B24799" s="3" t="str">
        <f>HYPERLINK("https://www.773grp.com/manufacturer/onsemi?pageNo=1275", "ON Semiconductor")</f>
        <v>ON Semiconductor</v>
      </c>
      <c r="C24799" s="6">
        <v>33000</v>
      </c>
      <c r="D24799" s="7">
        <v>0.15</v>
      </c>
      <c r="E24799" t="s">
        <v>98</v>
      </c>
    </row>
    <row r="24800" spans="1:5" x14ac:dyDescent="0.25">
      <c r="A24800" t="str">
        <f>HYPERLINK("https://www.773grp.com/globalSearch/MMSZ4681T1G/page-1", "MMSZ4681T1G")</f>
        <v>MMSZ4681T1G</v>
      </c>
      <c r="B24800" s="3" t="str">
        <f>HYPERLINK("https://www.773grp.com/manufacturer/onsemi?pageNo=1276", "ON Semiconductor")</f>
        <v>ON Semiconductor</v>
      </c>
      <c r="C24800" s="6">
        <v>36000</v>
      </c>
      <c r="D24800" s="7">
        <v>0.15</v>
      </c>
      <c r="E24800" t="s">
        <v>98</v>
      </c>
    </row>
    <row r="24801" spans="1:5" x14ac:dyDescent="0.25">
      <c r="A24801" t="str">
        <f>HYPERLINK("https://www.773grp.com/globalSearch/MMSZ4683T1G/page-1", "MMSZ4683T1G")</f>
        <v>MMSZ4683T1G</v>
      </c>
      <c r="B24801" s="3" t="str">
        <f>HYPERLINK("https://www.773grp.com/manufacturer/onsemi?pageNo=1277", "ON Semiconductor")</f>
        <v>ON Semiconductor</v>
      </c>
      <c r="C24801" s="6">
        <v>168000</v>
      </c>
      <c r="D24801" s="7">
        <v>0.15</v>
      </c>
      <c r="E24801" t="s">
        <v>98</v>
      </c>
    </row>
    <row r="24802" spans="1:5" x14ac:dyDescent="0.25">
      <c r="A24802" t="str">
        <f>HYPERLINK("https://www.773grp.com/globalSearch/MMSZ4684T1G/page-1", "MMSZ4684T1G")</f>
        <v>MMSZ4684T1G</v>
      </c>
      <c r="B24802" s="3" t="str">
        <f>HYPERLINK("https://www.773grp.com/manufacturer/onsemi?pageNo=1278", "ON Semiconductor")</f>
        <v>ON Semiconductor</v>
      </c>
      <c r="C24802" s="6">
        <v>10441</v>
      </c>
      <c r="D24802" s="7">
        <v>0.15</v>
      </c>
      <c r="E24802" t="s">
        <v>98</v>
      </c>
    </row>
    <row r="24803" spans="1:5" x14ac:dyDescent="0.25">
      <c r="A24803" t="str">
        <f>HYPERLINK("https://www.773grp.com/globalSearch/MMSZ4685T1G/page-1", "MMSZ4685T1G")</f>
        <v>MMSZ4685T1G</v>
      </c>
      <c r="B24803" s="3" t="str">
        <f>HYPERLINK("https://www.773grp.com/manufacturer/onsemi?pageNo=1279", "ON Semiconductor")</f>
        <v>ON Semiconductor</v>
      </c>
      <c r="C24803" s="6">
        <v>180980</v>
      </c>
      <c r="D24803" s="7">
        <v>0.15</v>
      </c>
      <c r="E24803" t="s">
        <v>98</v>
      </c>
    </row>
    <row r="24804" spans="1:5" x14ac:dyDescent="0.25">
      <c r="A24804" t="str">
        <f>HYPERLINK("https://www.773grp.com/globalSearch/MMSZ4686T1G/page-1", "MMSZ4686T1G")</f>
        <v>MMSZ4686T1G</v>
      </c>
      <c r="B24804" s="3" t="str">
        <f>HYPERLINK("https://www.773grp.com/manufacturer/onsemi?pageNo=1280", "ON Semiconductor")</f>
        <v>ON Semiconductor</v>
      </c>
      <c r="C24804" s="6">
        <v>246000</v>
      </c>
      <c r="D24804" s="7">
        <v>0.15</v>
      </c>
      <c r="E24804" t="s">
        <v>98</v>
      </c>
    </row>
    <row r="24805" spans="1:5" x14ac:dyDescent="0.25">
      <c r="A24805" t="str">
        <f>HYPERLINK("https://www.773grp.com/globalSearch/MMSZ4687T1G/page-1", "MMSZ4687T1G")</f>
        <v>MMSZ4687T1G</v>
      </c>
      <c r="B24805" s="3" t="str">
        <f>HYPERLINK("https://www.773grp.com/manufacturer/onsemi?pageNo=1281", "ON Semiconductor")</f>
        <v>ON Semiconductor</v>
      </c>
      <c r="C24805" s="6">
        <v>21000</v>
      </c>
      <c r="D24805" s="7">
        <v>0.15</v>
      </c>
      <c r="E24805" t="s">
        <v>98</v>
      </c>
    </row>
    <row r="24806" spans="1:5" x14ac:dyDescent="0.25">
      <c r="A24806" t="str">
        <f>HYPERLINK("https://www.773grp.com/globalSearch/MMSZ4688T1G/page-1", "MMSZ4688T1G")</f>
        <v>MMSZ4688T1G</v>
      </c>
      <c r="B24806" s="3" t="str">
        <f>HYPERLINK("https://www.773grp.com/manufacturer/onsemi?pageNo=1282", "ON Semiconductor")</f>
        <v>ON Semiconductor</v>
      </c>
      <c r="C24806" s="6">
        <v>585000</v>
      </c>
      <c r="D24806" s="7">
        <v>0.15</v>
      </c>
      <c r="E24806" t="s">
        <v>98</v>
      </c>
    </row>
    <row r="24807" spans="1:5" x14ac:dyDescent="0.25">
      <c r="A24807" t="str">
        <f>HYPERLINK("https://www.773grp.com/globalSearch/MMSZ4689T1G/page-1", "MMSZ4689T1G")</f>
        <v>MMSZ4689T1G</v>
      </c>
      <c r="B24807" s="3" t="str">
        <f>HYPERLINK("https://www.773grp.com/manufacturer/onsemi?pageNo=1283", "ON Semiconductor")</f>
        <v>ON Semiconductor</v>
      </c>
      <c r="C24807" s="6">
        <v>135000</v>
      </c>
      <c r="D24807" s="7">
        <v>0.15</v>
      </c>
      <c r="E24807" t="s">
        <v>98</v>
      </c>
    </row>
    <row r="24808" spans="1:5" x14ac:dyDescent="0.25">
      <c r="A24808" t="str">
        <f>HYPERLINK("https://www.773grp.com/globalSearch/MMSZ4690T1G/page-1", "MMSZ4690T1G")</f>
        <v>MMSZ4690T1G</v>
      </c>
      <c r="B24808" s="3" t="str">
        <f>HYPERLINK("https://www.773grp.com/manufacturer/onsemi?pageNo=1284", "ON Semiconductor")</f>
        <v>ON Semiconductor</v>
      </c>
      <c r="C24808" s="6">
        <v>177000</v>
      </c>
      <c r="D24808" s="7">
        <v>0.15</v>
      </c>
      <c r="E24808" t="s">
        <v>98</v>
      </c>
    </row>
    <row r="24809" spans="1:5" x14ac:dyDescent="0.25">
      <c r="A24809" t="str">
        <f>HYPERLINK("https://www.773grp.com/globalSearch/MMSZ4690T3G/page-1", "MMSZ4690T3G")</f>
        <v>MMSZ4690T3G</v>
      </c>
      <c r="B24809" s="3" t="str">
        <f>HYPERLINK("https://www.773grp.com/manufacturer/onsemi?pageNo=1285", "ON Semiconductor")</f>
        <v>ON Semiconductor</v>
      </c>
      <c r="C24809" s="6">
        <v>30000</v>
      </c>
      <c r="D24809" s="7">
        <v>0.15</v>
      </c>
      <c r="E24809" t="s">
        <v>98</v>
      </c>
    </row>
    <row r="24810" spans="1:5" x14ac:dyDescent="0.25">
      <c r="A24810" t="str">
        <f>HYPERLINK("https://www.773grp.com/globalSearch/MMSZ4691T1G/page-1", "MMSZ4691T1G")</f>
        <v>MMSZ4691T1G</v>
      </c>
      <c r="B24810" s="3" t="str">
        <f>HYPERLINK("https://www.773grp.com/manufacturer/onsemi?pageNo=1286", "ON Semiconductor")</f>
        <v>ON Semiconductor</v>
      </c>
      <c r="C24810" s="6">
        <v>528000</v>
      </c>
      <c r="D24810" s="7">
        <v>0.15</v>
      </c>
      <c r="E24810" t="s">
        <v>98</v>
      </c>
    </row>
    <row r="24811" spans="1:5" x14ac:dyDescent="0.25">
      <c r="A24811" t="str">
        <f>HYPERLINK("https://www.773grp.com/globalSearch/MMSZ4692T1G/page-1", "MMSZ4692T1G")</f>
        <v>MMSZ4692T1G</v>
      </c>
      <c r="B24811" s="3" t="str">
        <f>HYPERLINK("https://www.773grp.com/manufacturer/onsemi?pageNo=1287", "ON Semiconductor")</f>
        <v>ON Semiconductor</v>
      </c>
      <c r="C24811" s="6">
        <v>765562</v>
      </c>
      <c r="D24811" s="7">
        <v>0.15</v>
      </c>
      <c r="E24811" t="s">
        <v>98</v>
      </c>
    </row>
    <row r="24812" spans="1:5" x14ac:dyDescent="0.25">
      <c r="A24812" t="str">
        <f>HYPERLINK("https://www.773grp.com/globalSearch/MMSZ4693T1G/page-1", "MMSZ4693T1G")</f>
        <v>MMSZ4693T1G</v>
      </c>
      <c r="B24812" s="3" t="str">
        <f>HYPERLINK("https://www.773grp.com/manufacturer/onsemi?pageNo=1288", "ON Semiconductor")</f>
        <v>ON Semiconductor</v>
      </c>
      <c r="C24812" s="6">
        <v>349978</v>
      </c>
      <c r="D24812" s="7">
        <v>0.15</v>
      </c>
      <c r="E24812" t="s">
        <v>98</v>
      </c>
    </row>
    <row r="24813" spans="1:5" x14ac:dyDescent="0.25">
      <c r="A24813" t="str">
        <f>HYPERLINK("https://www.773grp.com/globalSearch/MMSZ4694T1G/page-1", "MMSZ4694T1G")</f>
        <v>MMSZ4694T1G</v>
      </c>
      <c r="B24813" s="3" t="str">
        <f>HYPERLINK("https://www.773grp.com/manufacturer/onsemi?pageNo=1289", "ON Semiconductor")</f>
        <v>ON Semiconductor</v>
      </c>
      <c r="C24813" s="6">
        <v>15000</v>
      </c>
      <c r="D24813" s="7">
        <v>0.15</v>
      </c>
    </row>
    <row r="24814" spans="1:5" x14ac:dyDescent="0.25">
      <c r="A24814" t="str">
        <f>HYPERLINK("https://www.773grp.com/globalSearch/MMSZ4696T1G/page-1", "MMSZ4696T1G")</f>
        <v>MMSZ4696T1G</v>
      </c>
      <c r="B24814" s="3" t="str">
        <f>HYPERLINK("https://www.773grp.com/manufacturer/onsemi?pageNo=1290", "ON Semiconductor")</f>
        <v>ON Semiconductor</v>
      </c>
      <c r="C24814" s="6">
        <v>288921</v>
      </c>
      <c r="D24814" s="7">
        <v>0.15</v>
      </c>
      <c r="E24814" t="s">
        <v>98</v>
      </c>
    </row>
    <row r="24815" spans="1:5" x14ac:dyDescent="0.25">
      <c r="A24815" t="str">
        <f>HYPERLINK("https://www.773grp.com/globalSearch/MMSZ4697T1G/page-1", "MMSZ4697T1G")</f>
        <v>MMSZ4697T1G</v>
      </c>
      <c r="B24815" s="3" t="str">
        <f>HYPERLINK("https://www.773grp.com/manufacturer/onsemi?pageNo=1291", "ON Semiconductor")</f>
        <v>ON Semiconductor</v>
      </c>
      <c r="C24815" s="6">
        <v>3000</v>
      </c>
      <c r="D24815" s="7">
        <v>0.15</v>
      </c>
      <c r="E24815" t="s">
        <v>98</v>
      </c>
    </row>
    <row r="24816" spans="1:5" x14ac:dyDescent="0.25">
      <c r="A24816" t="str">
        <f>HYPERLINK("https://www.773grp.com/globalSearch/MMSZ4698T1G/page-1", "MMSZ4698T1G")</f>
        <v>MMSZ4698T1G</v>
      </c>
      <c r="B24816" s="3" t="str">
        <f>HYPERLINK("https://www.773grp.com/manufacturer/onsemi?pageNo=1292", "ON Semiconductor")</f>
        <v>ON Semiconductor</v>
      </c>
      <c r="C24816" s="6">
        <v>2900</v>
      </c>
      <c r="D24816" s="7">
        <v>0.15</v>
      </c>
      <c r="E24816" t="s">
        <v>98</v>
      </c>
    </row>
    <row r="24817" spans="1:5" x14ac:dyDescent="0.25">
      <c r="A24817" t="str">
        <f>HYPERLINK("https://www.773grp.com/globalSearch/MMSZ4699T1G/page-1", "MMSZ4699T1G")</f>
        <v>MMSZ4699T1G</v>
      </c>
      <c r="B24817" s="3" t="str">
        <f>HYPERLINK("https://www.773grp.com/manufacturer/onsemi?pageNo=1293", "ON Semiconductor")</f>
        <v>ON Semiconductor</v>
      </c>
      <c r="C24817" s="6">
        <v>60000</v>
      </c>
      <c r="D24817" s="7">
        <v>0.15</v>
      </c>
      <c r="E24817" t="s">
        <v>98</v>
      </c>
    </row>
    <row r="24818" spans="1:5" x14ac:dyDescent="0.25">
      <c r="A24818" t="str">
        <f>HYPERLINK("https://www.773grp.com/globalSearch/MMSZ4701T1G/page-1", "MMSZ4701T1G")</f>
        <v>MMSZ4701T1G</v>
      </c>
      <c r="B24818" s="3" t="str">
        <f>HYPERLINK("https://www.773grp.com/manufacturer/onsemi?pageNo=1294", "ON Semiconductor")</f>
        <v>ON Semiconductor</v>
      </c>
      <c r="C24818" s="6">
        <v>492452</v>
      </c>
      <c r="D24818" s="7">
        <v>0.15</v>
      </c>
      <c r="E24818" t="s">
        <v>98</v>
      </c>
    </row>
    <row r="24819" spans="1:5" x14ac:dyDescent="0.25">
      <c r="A24819" t="str">
        <f>HYPERLINK("https://www.773grp.com/globalSearch/MMSZ4702ET3G/page-1", "MMSZ4702ET3G")</f>
        <v>MMSZ4702ET3G</v>
      </c>
      <c r="B24819" s="3" t="str">
        <f>HYPERLINK("https://www.773grp.com/manufacturer/onsemi?pageNo=1295", "ON Semiconductor")</f>
        <v>ON Semiconductor</v>
      </c>
      <c r="C24819" s="6">
        <v>10000</v>
      </c>
      <c r="D24819" s="7">
        <v>0.15</v>
      </c>
      <c r="E24819" t="s">
        <v>98</v>
      </c>
    </row>
    <row r="24820" spans="1:5" x14ac:dyDescent="0.25">
      <c r="A24820" t="str">
        <f>HYPERLINK("https://www.773grp.com/globalSearch/MMSZ4702T1G/page-1", "MMSZ4702T1G")</f>
        <v>MMSZ4702T1G</v>
      </c>
      <c r="B24820" s="3" t="str">
        <f>HYPERLINK("https://www.773grp.com/manufacturer/onsemi?pageNo=1296", "ON Semiconductor")</f>
        <v>ON Semiconductor</v>
      </c>
      <c r="C24820" s="6">
        <v>90000</v>
      </c>
      <c r="D24820" s="7">
        <v>0.15</v>
      </c>
      <c r="E24820" t="s">
        <v>98</v>
      </c>
    </row>
    <row r="24821" spans="1:5" x14ac:dyDescent="0.25">
      <c r="A24821" t="str">
        <f>HYPERLINK("https://www.773grp.com/globalSearch/MMSZ4703ET1/page-1", "MMSZ4703ET1")</f>
        <v>MMSZ4703ET1</v>
      </c>
      <c r="B24821" s="3" t="str">
        <f>HYPERLINK("https://www.773grp.com/manufacturer/onsemi?pageNo=1297", "ON Semiconductor")</f>
        <v>ON Semiconductor</v>
      </c>
      <c r="C24821" s="6">
        <v>23945</v>
      </c>
      <c r="D24821" s="7">
        <v>0.15</v>
      </c>
      <c r="E24821" t="s">
        <v>98</v>
      </c>
    </row>
    <row r="24822" spans="1:5" x14ac:dyDescent="0.25">
      <c r="A24822" t="str">
        <f>HYPERLINK("https://www.773grp.com/globalSearch/MMSZ4704ET1/page-1", "MMSZ4704ET1")</f>
        <v>MMSZ4704ET1</v>
      </c>
      <c r="B24822" s="3" t="str">
        <f>HYPERLINK("https://www.773grp.com/manufacturer/onsemi?pageNo=1298", "ON Semiconductor")</f>
        <v>ON Semiconductor</v>
      </c>
      <c r="C24822" s="6">
        <v>12000</v>
      </c>
      <c r="D24822" s="7">
        <v>0.15</v>
      </c>
      <c r="E24822" t="s">
        <v>98</v>
      </c>
    </row>
    <row r="24823" spans="1:5" x14ac:dyDescent="0.25">
      <c r="A24823" t="str">
        <f>HYPERLINK("https://www.773grp.com/globalSearch/MMSZ4704T1G/page-1", "MMSZ4704T1G")</f>
        <v>MMSZ4704T1G</v>
      </c>
      <c r="B24823" s="3" t="str">
        <f>HYPERLINK("https://www.773grp.com/manufacturer/onsemi?pageNo=1299", "ON Semiconductor")</f>
        <v>ON Semiconductor</v>
      </c>
      <c r="C24823" s="6">
        <v>468762</v>
      </c>
      <c r="D24823" s="7">
        <v>0.15</v>
      </c>
      <c r="E24823" t="s">
        <v>98</v>
      </c>
    </row>
    <row r="24824" spans="1:5" x14ac:dyDescent="0.25">
      <c r="A24824" t="str">
        <f>HYPERLINK("https://www.773grp.com/globalSearch/MMSZ4705ET1/page-1", "MMSZ4705ET1")</f>
        <v>MMSZ4705ET1</v>
      </c>
      <c r="B24824" s="3" t="str">
        <f>HYPERLINK("https://www.773grp.com/manufacturer/onsemi?pageNo=1300", "ON Semiconductor")</f>
        <v>ON Semiconductor</v>
      </c>
      <c r="C24824" s="6">
        <v>3000</v>
      </c>
      <c r="D24824" s="7">
        <v>0.15</v>
      </c>
      <c r="E24824" t="s">
        <v>98</v>
      </c>
    </row>
    <row r="24825" spans="1:5" x14ac:dyDescent="0.25">
      <c r="A24825" t="str">
        <f>HYPERLINK("https://www.773grp.com/globalSearch/MMSZ4705T1G/page-1", "MMSZ4705T1G")</f>
        <v>MMSZ4705T1G</v>
      </c>
      <c r="B24825" s="3" t="str">
        <f>HYPERLINK("https://www.773grp.com/manufacturer/onsemi?pageNo=1301", "ON Semiconductor")</f>
        <v>ON Semiconductor</v>
      </c>
      <c r="C24825" s="6">
        <v>255000</v>
      </c>
      <c r="D24825" s="7">
        <v>0.15</v>
      </c>
      <c r="E24825" t="s">
        <v>98</v>
      </c>
    </row>
    <row r="24826" spans="1:5" x14ac:dyDescent="0.25">
      <c r="A24826" t="str">
        <f>HYPERLINK("https://www.773grp.com/globalSearch/MMSZ4706T1G/page-1", "MMSZ4706T1G")</f>
        <v>MMSZ4706T1G</v>
      </c>
      <c r="B24826" s="3" t="str">
        <f>HYPERLINK("https://www.773grp.com/manufacturer/onsemi?pageNo=1302", "ON Semiconductor")</f>
        <v>ON Semiconductor</v>
      </c>
      <c r="C24826" s="6">
        <v>10350</v>
      </c>
      <c r="D24826" s="7">
        <v>0.15</v>
      </c>
    </row>
    <row r="24827" spans="1:5" x14ac:dyDescent="0.25">
      <c r="A24827" t="str">
        <f>HYPERLINK("https://www.773grp.com/globalSearch/MMSZ4709T1G/page-1", "MMSZ4709T1G")</f>
        <v>MMSZ4709T1G</v>
      </c>
      <c r="B24827" s="3" t="str">
        <f>HYPERLINK("https://www.773grp.com/manufacturer/onsemi?pageNo=1303", "ON Semiconductor")</f>
        <v>ON Semiconductor</v>
      </c>
      <c r="C24827" s="6">
        <v>32455</v>
      </c>
      <c r="D24827" s="7">
        <v>0.15</v>
      </c>
      <c r="E24827" t="s">
        <v>98</v>
      </c>
    </row>
    <row r="24828" spans="1:5" x14ac:dyDescent="0.25">
      <c r="A24828" t="str">
        <f>HYPERLINK("https://www.773grp.com/globalSearch/MMSZ4711ET1/page-1", "MMSZ4711ET1")</f>
        <v>MMSZ4711ET1</v>
      </c>
      <c r="B24828" s="3" t="str">
        <f>HYPERLINK("https://www.773grp.com/manufacturer/onsemi?pageNo=1304", "ON Semiconductor")</f>
        <v>ON Semiconductor</v>
      </c>
      <c r="C24828" s="6">
        <v>2990</v>
      </c>
      <c r="D24828" s="7">
        <v>0.15</v>
      </c>
      <c r="E24828" t="s">
        <v>98</v>
      </c>
    </row>
    <row r="24829" spans="1:5" x14ac:dyDescent="0.25">
      <c r="A24829" t="str">
        <f>HYPERLINK("https://www.773grp.com/globalSearch/MMSZ4715T1G/page-1", "MMSZ4715T1G")</f>
        <v>MMSZ4715T1G</v>
      </c>
      <c r="B24829" s="3" t="str">
        <f>HYPERLINK("https://www.773grp.com/manufacturer/onsemi?pageNo=1305", "ON Semiconductor")</f>
        <v>ON Semiconductor</v>
      </c>
      <c r="C24829" s="6">
        <v>18000</v>
      </c>
      <c r="D24829" s="7">
        <v>0.15</v>
      </c>
      <c r="E24829" t="s">
        <v>98</v>
      </c>
    </row>
    <row r="24830" spans="1:5" x14ac:dyDescent="0.25">
      <c r="A24830" t="str">
        <f>HYPERLINK("https://www.773grp.com/globalSearch/MMSZ47T3G/page-1", "MMSZ47T3G")</f>
        <v>MMSZ47T3G</v>
      </c>
      <c r="B24830" s="3" t="str">
        <f>HYPERLINK("https://www.773grp.com/manufacturer/onsemi?pageNo=1306", "ON Semiconductor")</f>
        <v>ON Semiconductor</v>
      </c>
      <c r="C24830" s="6">
        <v>10000</v>
      </c>
      <c r="D24830" s="7">
        <v>0.15</v>
      </c>
      <c r="E24830" t="s">
        <v>98</v>
      </c>
    </row>
    <row r="24831" spans="1:5" x14ac:dyDescent="0.25">
      <c r="A24831" t="str">
        <f>HYPERLINK("https://www.773grp.com/globalSearch/MMSZ4V3ET1/page-1", "MMSZ4V3ET1")</f>
        <v>MMSZ4V3ET1</v>
      </c>
      <c r="B24831" s="3" t="str">
        <f>HYPERLINK("https://www.773grp.com/manufacturer/onsemi?pageNo=1307", "ON Semiconductor")</f>
        <v>ON Semiconductor</v>
      </c>
      <c r="C24831" s="6">
        <v>21000</v>
      </c>
      <c r="D24831" s="7">
        <v>0.15</v>
      </c>
      <c r="E24831" t="s">
        <v>98</v>
      </c>
    </row>
    <row r="24832" spans="1:5" x14ac:dyDescent="0.25">
      <c r="A24832" t="str">
        <f>HYPERLINK("https://www.773grp.com/globalSearch/MMSZ4V3T1G/page-1", "MMSZ4V3T1G")</f>
        <v>MMSZ4V3T1G</v>
      </c>
      <c r="B24832" s="3" t="str">
        <f>HYPERLINK("https://www.773grp.com/manufacturer/onsemi?pageNo=1308", "ON Semiconductor")</f>
        <v>ON Semiconductor</v>
      </c>
      <c r="C24832" s="6">
        <v>27995</v>
      </c>
      <c r="D24832" s="7">
        <v>0.15</v>
      </c>
      <c r="E24832" t="s">
        <v>98</v>
      </c>
    </row>
    <row r="24833" spans="1:5" x14ac:dyDescent="0.25">
      <c r="A24833" t="str">
        <f>HYPERLINK("https://www.773grp.com/globalSearch/MMSZ4V7T1G/page-1", "MMSZ4V7T1G")</f>
        <v>MMSZ4V7T1G</v>
      </c>
      <c r="B24833" s="3" t="str">
        <f>HYPERLINK("https://www.773grp.com/manufacturer/onsemi?pageNo=1309", "ON Semiconductor")</f>
        <v>ON Semiconductor</v>
      </c>
      <c r="C24833" s="6">
        <v>314356</v>
      </c>
      <c r="D24833" s="7">
        <v>0.15</v>
      </c>
      <c r="E24833" t="s">
        <v>98</v>
      </c>
    </row>
    <row r="24834" spans="1:5" x14ac:dyDescent="0.25">
      <c r="A24834" t="str">
        <f>HYPERLINK("https://www.773grp.com/globalSearch/MMSZ51ET1/page-1", "MMSZ51ET1")</f>
        <v>MMSZ51ET1</v>
      </c>
      <c r="B24834" s="3" t="str">
        <f>HYPERLINK("https://www.773grp.com/manufacturer/onsemi?pageNo=1310", "ON Semiconductor")</f>
        <v>ON Semiconductor</v>
      </c>
      <c r="C24834" s="6">
        <v>24000</v>
      </c>
      <c r="D24834" s="7">
        <v>0.15</v>
      </c>
      <c r="E24834" t="s">
        <v>98</v>
      </c>
    </row>
    <row r="24835" spans="1:5" x14ac:dyDescent="0.25">
      <c r="A24835" t="str">
        <f>HYPERLINK("https://www.773grp.com/globalSearch/MMSZ51T1G/page-1", "MMSZ51T1G")</f>
        <v>MMSZ51T1G</v>
      </c>
      <c r="B24835" s="3" t="str">
        <f>HYPERLINK("https://www.773grp.com/manufacturer/onsemi?pageNo=1311", "ON Semiconductor")</f>
        <v>ON Semiconductor</v>
      </c>
      <c r="C24835" s="6">
        <v>11062</v>
      </c>
      <c r="D24835" s="7">
        <v>0.15</v>
      </c>
      <c r="E24835" t="s">
        <v>98</v>
      </c>
    </row>
    <row r="24836" spans="1:5" x14ac:dyDescent="0.25">
      <c r="A24836" t="str">
        <f>HYPERLINK("https://www.773grp.com/globalSearch/MMSZ5221BT1G/page-1", "MMSZ5221BT1G")</f>
        <v>MMSZ5221BT1G</v>
      </c>
      <c r="B24836" s="3" t="str">
        <f>HYPERLINK("https://www.773grp.com/manufacturer/onsemi?pageNo=1312", "ON Semiconductor")</f>
        <v>ON Semiconductor</v>
      </c>
      <c r="C24836" s="6">
        <v>251203</v>
      </c>
      <c r="D24836" s="7">
        <v>0.15</v>
      </c>
      <c r="E24836" t="s">
        <v>98</v>
      </c>
    </row>
    <row r="24837" spans="1:5" x14ac:dyDescent="0.25">
      <c r="A24837" t="str">
        <f>HYPERLINK("https://www.773grp.com/globalSearch/MMSZ5221ET1G/page-1", "MMSZ5221ET1G")</f>
        <v>MMSZ5221ET1G</v>
      </c>
      <c r="B24837" s="3" t="str">
        <f>HYPERLINK("https://www.773grp.com/manufacturer/onsemi?pageNo=1313", "ON Semiconductor")</f>
        <v>ON Semiconductor</v>
      </c>
      <c r="C24837" s="6">
        <v>297000</v>
      </c>
      <c r="D24837" s="7">
        <v>0.15</v>
      </c>
      <c r="E24837" t="s">
        <v>98</v>
      </c>
    </row>
    <row r="24838" spans="1:5" x14ac:dyDescent="0.25">
      <c r="A24838" t="str">
        <f>HYPERLINK("https://www.773grp.com/globalSearch/MMSZ5222BT1G/page-1", "MMSZ5222BT1G")</f>
        <v>MMSZ5222BT1G</v>
      </c>
      <c r="B24838" s="3" t="str">
        <f>HYPERLINK("https://www.773grp.com/manufacturer/onsemi?pageNo=1314", "ON Semiconductor")</f>
        <v>ON Semiconductor</v>
      </c>
      <c r="C24838" s="6">
        <v>225000</v>
      </c>
      <c r="D24838" s="7">
        <v>0.15</v>
      </c>
      <c r="E24838" t="s">
        <v>98</v>
      </c>
    </row>
    <row r="24839" spans="1:5" x14ac:dyDescent="0.25">
      <c r="A24839" t="str">
        <f>HYPERLINK("https://www.773grp.com/globalSearch/MMSZ5222ET1/page-1", "MMSZ5222ET1")</f>
        <v>MMSZ5222ET1</v>
      </c>
      <c r="B24839" s="3" t="str">
        <f>HYPERLINK("https://www.773grp.com/manufacturer/onsemi?pageNo=1315", "ON Semiconductor")</f>
        <v>ON Semiconductor</v>
      </c>
      <c r="C24839" s="6">
        <v>3000</v>
      </c>
      <c r="D24839" s="7">
        <v>0.15</v>
      </c>
    </row>
    <row r="24840" spans="1:5" x14ac:dyDescent="0.25">
      <c r="A24840" t="str">
        <f>HYPERLINK("https://www.773grp.com/globalSearch/MMSZ5223BT1G/page-1", "MMSZ5223BT1G")</f>
        <v>MMSZ5223BT1G</v>
      </c>
      <c r="B24840" s="3" t="str">
        <f>HYPERLINK("https://www.773grp.com/manufacturer/onsemi?pageNo=1316", "ON Semiconductor")</f>
        <v>ON Semiconductor</v>
      </c>
      <c r="C24840" s="6">
        <v>255000</v>
      </c>
      <c r="D24840" s="7">
        <v>0.15</v>
      </c>
      <c r="E24840" t="s">
        <v>98</v>
      </c>
    </row>
    <row r="24841" spans="1:5" x14ac:dyDescent="0.25">
      <c r="A24841" t="str">
        <f>HYPERLINK("https://www.773grp.com/globalSearch/MMSZ5223ET1/page-1", "MMSZ5223ET1")</f>
        <v>MMSZ5223ET1</v>
      </c>
      <c r="B24841" s="3" t="str">
        <f>HYPERLINK("https://www.773grp.com/manufacturer/onsemi?pageNo=1317", "ON Semiconductor")</f>
        <v>ON Semiconductor</v>
      </c>
      <c r="C24841" s="6">
        <v>1333</v>
      </c>
      <c r="D24841" s="7">
        <v>0.15</v>
      </c>
      <c r="E24841" t="s">
        <v>98</v>
      </c>
    </row>
    <row r="24842" spans="1:5" x14ac:dyDescent="0.25">
      <c r="A24842" t="str">
        <f>HYPERLINK("https://www.773grp.com/globalSearch/MMSZ5225BT1G/page-1", "MMSZ5225BT1G")</f>
        <v>MMSZ5225BT1G</v>
      </c>
      <c r="B24842" s="3" t="str">
        <f>HYPERLINK("https://www.773grp.com/manufacturer/onsemi?pageNo=1318", "ON Semiconductor")</f>
        <v>ON Semiconductor</v>
      </c>
      <c r="C24842" s="6">
        <v>12000</v>
      </c>
      <c r="D24842" s="7">
        <v>0.15</v>
      </c>
      <c r="E24842" t="s">
        <v>98</v>
      </c>
    </row>
    <row r="24843" spans="1:5" x14ac:dyDescent="0.25">
      <c r="A24843" t="str">
        <f>HYPERLINK("https://www.773grp.com/globalSearch/MMSZ5226BT1G/page-1", "MMSZ5226BT1G")</f>
        <v>MMSZ5226BT1G</v>
      </c>
      <c r="B24843" s="3" t="str">
        <f>HYPERLINK("https://www.773grp.com/manufacturer/onsemi?pageNo=1319", "ON Semiconductor")</f>
        <v>ON Semiconductor</v>
      </c>
      <c r="C24843" s="6">
        <v>309000</v>
      </c>
      <c r="D24843" s="7">
        <v>0.15</v>
      </c>
      <c r="E24843" t="s">
        <v>98</v>
      </c>
    </row>
    <row r="24844" spans="1:5" x14ac:dyDescent="0.25">
      <c r="A24844" t="str">
        <f>HYPERLINK("https://www.773grp.com/globalSearch/MMSZ5226ET1G/page-1", "MMSZ5226ET1G")</f>
        <v>MMSZ5226ET1G</v>
      </c>
      <c r="B24844" s="3" t="str">
        <f>HYPERLINK("https://www.773grp.com/manufacturer/onsemi?pageNo=1320", "ON Semiconductor")</f>
        <v>ON Semiconductor</v>
      </c>
      <c r="C24844" s="6">
        <v>33000</v>
      </c>
      <c r="D24844" s="7">
        <v>0.15</v>
      </c>
      <c r="E24844" t="s">
        <v>98</v>
      </c>
    </row>
    <row r="24845" spans="1:5" x14ac:dyDescent="0.25">
      <c r="A24845" t="str">
        <f>HYPERLINK("https://www.773grp.com/globalSearch/MMSZ5227BT1G/page-1", "MMSZ5227BT1G")</f>
        <v>MMSZ5227BT1G</v>
      </c>
      <c r="B24845" s="3" t="str">
        <f>HYPERLINK("https://www.773grp.com/manufacturer/onsemi?pageNo=1321", "ON Semiconductor")</f>
        <v>ON Semiconductor</v>
      </c>
      <c r="C24845" s="6">
        <v>2046000</v>
      </c>
      <c r="D24845" s="7">
        <v>0.15</v>
      </c>
      <c r="E24845" t="s">
        <v>98</v>
      </c>
    </row>
    <row r="24846" spans="1:5" x14ac:dyDescent="0.25">
      <c r="A24846" t="str">
        <f>HYPERLINK("https://www.773grp.com/globalSearch/MMSZ5228BT1G/page-1", "MMSZ5228BT1G")</f>
        <v>MMSZ5228BT1G</v>
      </c>
      <c r="B24846" s="3" t="str">
        <f>HYPERLINK("https://www.773grp.com/manufacturer/onsemi?pageNo=1322", "ON Semiconductor")</f>
        <v>ON Semiconductor</v>
      </c>
      <c r="C24846" s="6">
        <v>270000</v>
      </c>
      <c r="D24846" s="7">
        <v>0.15</v>
      </c>
      <c r="E24846" t="s">
        <v>98</v>
      </c>
    </row>
    <row r="24847" spans="1:5" x14ac:dyDescent="0.25">
      <c r="A24847" t="str">
        <f>HYPERLINK("https://www.773grp.com/globalSearch/MMSZ5228ET1/page-1", "MMSZ5228ET1")</f>
        <v>MMSZ5228ET1</v>
      </c>
      <c r="B24847" s="3" t="str">
        <f>HYPERLINK("https://www.773grp.com/manufacturer/onsemi?pageNo=1323", "ON Semiconductor")</f>
        <v>ON Semiconductor</v>
      </c>
      <c r="C24847" s="6">
        <v>24000</v>
      </c>
      <c r="D24847" s="7">
        <v>0.15</v>
      </c>
      <c r="E24847" t="s">
        <v>98</v>
      </c>
    </row>
    <row r="24848" spans="1:5" x14ac:dyDescent="0.25">
      <c r="A24848" t="str">
        <f>HYPERLINK("https://www.773grp.com/globalSearch/MMSZ5229BT1G/page-1", "MMSZ5229BT1G")</f>
        <v>MMSZ5229BT1G</v>
      </c>
      <c r="B24848" s="3" t="str">
        <f>HYPERLINK("https://www.773grp.com/manufacturer/onsemi?pageNo=1324", "ON Semiconductor")</f>
        <v>ON Semiconductor</v>
      </c>
      <c r="C24848" s="6">
        <v>359055</v>
      </c>
      <c r="D24848" s="7">
        <v>0.15</v>
      </c>
      <c r="E24848" t="s">
        <v>98</v>
      </c>
    </row>
    <row r="24849" spans="1:5" x14ac:dyDescent="0.25">
      <c r="A24849" t="str">
        <f>HYPERLINK("https://www.773grp.com/globalSearch/MMSZ5229ET1/page-1", "MMSZ5229ET1")</f>
        <v>MMSZ5229ET1</v>
      </c>
      <c r="B24849" s="3" t="str">
        <f>HYPERLINK("https://www.773grp.com/manufacturer/onsemi?pageNo=1325", "ON Semiconductor")</f>
        <v>ON Semiconductor</v>
      </c>
      <c r="C24849" s="6">
        <v>24000</v>
      </c>
      <c r="D24849" s="7">
        <v>0.15</v>
      </c>
      <c r="E24849" t="s">
        <v>98</v>
      </c>
    </row>
    <row r="24850" spans="1:5" x14ac:dyDescent="0.25">
      <c r="A24850" t="str">
        <f>HYPERLINK("https://www.773grp.com/globalSearch/MMSZ5230BT1/page-1", "MMSZ5230BT1")</f>
        <v>MMSZ5230BT1</v>
      </c>
      <c r="B24850" s="3" t="str">
        <f>HYPERLINK("https://www.773grp.com/manufacturer/onsemi?pageNo=1326", "ON Semiconductor")</f>
        <v>ON Semiconductor</v>
      </c>
      <c r="C24850" s="6">
        <v>78000</v>
      </c>
      <c r="D24850" s="7">
        <v>0.15</v>
      </c>
    </row>
    <row r="24851" spans="1:5" x14ac:dyDescent="0.25">
      <c r="A24851" t="str">
        <f>HYPERLINK("https://www.773grp.com/globalSearch/MMSZ5230BT1G/page-1", "MMSZ5230BT1G")</f>
        <v>MMSZ5230BT1G</v>
      </c>
      <c r="B24851" s="3" t="str">
        <f>HYPERLINK("https://www.773grp.com/manufacturer/onsemi?pageNo=1327", "ON Semiconductor")</f>
        <v>ON Semiconductor</v>
      </c>
      <c r="C24851" s="6">
        <v>131060</v>
      </c>
      <c r="D24851" s="7">
        <v>0.15</v>
      </c>
      <c r="E24851" t="s">
        <v>98</v>
      </c>
    </row>
    <row r="24852" spans="1:5" x14ac:dyDescent="0.25">
      <c r="A24852" t="str">
        <f>HYPERLINK("https://www.773grp.com/globalSearch/MMSZ5230ET1/page-1", "MMSZ5230ET1")</f>
        <v>MMSZ5230ET1</v>
      </c>
      <c r="B24852" s="3" t="str">
        <f>HYPERLINK("https://www.773grp.com/manufacturer/onsemi?pageNo=1328", "ON Semiconductor")</f>
        <v>ON Semiconductor</v>
      </c>
      <c r="C24852" s="6">
        <v>2390</v>
      </c>
      <c r="D24852" s="7">
        <v>0.15</v>
      </c>
      <c r="E24852" t="s">
        <v>98</v>
      </c>
    </row>
    <row r="24853" spans="1:5" x14ac:dyDescent="0.25">
      <c r="A24853" t="str">
        <f>HYPERLINK("https://www.773grp.com/globalSearch/MMSZ5231BT1G/page-1", "MMSZ5231BT1G")</f>
        <v>MMSZ5231BT1G</v>
      </c>
      <c r="B24853" s="3" t="str">
        <f>HYPERLINK("https://www.773grp.com/manufacturer/onsemi?pageNo=1329", "ON Semiconductor")</f>
        <v>ON Semiconductor</v>
      </c>
      <c r="C24853" s="6">
        <v>474000</v>
      </c>
      <c r="D24853" s="7">
        <v>0.15</v>
      </c>
      <c r="E24853" t="s">
        <v>98</v>
      </c>
    </row>
    <row r="24854" spans="1:5" x14ac:dyDescent="0.25">
      <c r="A24854" t="str">
        <f>HYPERLINK("https://www.773grp.com/globalSearch/MMSZ5231ET1/page-1", "MMSZ5231ET1")</f>
        <v>MMSZ5231ET1</v>
      </c>
      <c r="B24854" s="3" t="str">
        <f>HYPERLINK("https://www.773grp.com/manufacturer/onsemi?pageNo=1330", "ON Semiconductor")</f>
        <v>ON Semiconductor</v>
      </c>
      <c r="C24854" s="6">
        <v>2845</v>
      </c>
      <c r="D24854" s="7">
        <v>0.15</v>
      </c>
      <c r="E24854" t="s">
        <v>98</v>
      </c>
    </row>
    <row r="24855" spans="1:5" x14ac:dyDescent="0.25">
      <c r="A24855" t="str">
        <f>HYPERLINK("https://www.773grp.com/globalSearch/MMSZ5232BT1/page-1", "MMSZ5232BT1")</f>
        <v>MMSZ5232BT1</v>
      </c>
      <c r="B24855" s="3" t="str">
        <f>HYPERLINK("https://www.773grp.com/manufacturer/onsemi?pageNo=1331", "ON Semiconductor")</f>
        <v>ON Semiconductor</v>
      </c>
      <c r="C24855" s="6">
        <v>138000</v>
      </c>
      <c r="D24855" s="7">
        <v>0.15</v>
      </c>
    </row>
    <row r="24856" spans="1:5" x14ac:dyDescent="0.25">
      <c r="A24856" t="str">
        <f>HYPERLINK("https://www.773grp.com/globalSearch/MMSZ5232BT1G/page-1", "MMSZ5232BT1G")</f>
        <v>MMSZ5232BT1G</v>
      </c>
      <c r="B24856" s="3" t="str">
        <f>HYPERLINK("https://www.773grp.com/manufacturer/onsemi?pageNo=1332", "ON Semiconductor")</f>
        <v>ON Semiconductor</v>
      </c>
      <c r="C24856" s="6">
        <v>174367</v>
      </c>
      <c r="D24856" s="7">
        <v>0.15</v>
      </c>
      <c r="E24856" t="s">
        <v>98</v>
      </c>
    </row>
    <row r="24857" spans="1:5" x14ac:dyDescent="0.25">
      <c r="A24857" t="str">
        <f>HYPERLINK("https://www.773grp.com/globalSearch/MMSZ5232ET1G/page-1", "MMSZ5232ET1G")</f>
        <v>MMSZ5232ET1G</v>
      </c>
      <c r="B24857" s="3" t="str">
        <f>HYPERLINK("https://www.773grp.com/manufacturer/onsemi?pageNo=1333", "ON Semiconductor")</f>
        <v>ON Semiconductor</v>
      </c>
      <c r="C24857" s="6">
        <v>32919</v>
      </c>
      <c r="D24857" s="7">
        <v>0.15</v>
      </c>
      <c r="E24857" t="s">
        <v>98</v>
      </c>
    </row>
    <row r="24858" spans="1:5" x14ac:dyDescent="0.25">
      <c r="A24858" t="str">
        <f>HYPERLINK("https://www.773grp.com/globalSearch/MMSZ5233BT1G/page-1", "MMSZ5233BT1G")</f>
        <v>MMSZ5233BT1G</v>
      </c>
      <c r="B24858" s="3" t="str">
        <f>HYPERLINK("https://www.773grp.com/manufacturer/onsemi?pageNo=1334", "ON Semiconductor")</f>
        <v>ON Semiconductor</v>
      </c>
      <c r="C24858" s="6">
        <v>93000</v>
      </c>
      <c r="D24858" s="7">
        <v>0.15</v>
      </c>
      <c r="E24858" t="s">
        <v>98</v>
      </c>
    </row>
    <row r="24859" spans="1:5" x14ac:dyDescent="0.25">
      <c r="A24859" t="str">
        <f>HYPERLINK("https://www.773grp.com/globalSearch/MMSZ5234BT1/page-1", "MMSZ5234BT1")</f>
        <v>MMSZ5234BT1</v>
      </c>
      <c r="B24859" s="3" t="str">
        <f>HYPERLINK("https://www.773grp.com/manufacturer/onsemi?pageNo=1335", "ON Semiconductor")</f>
        <v>ON Semiconductor</v>
      </c>
      <c r="C24859" s="6">
        <v>81000</v>
      </c>
      <c r="D24859" s="7">
        <v>0.15</v>
      </c>
    </row>
    <row r="24860" spans="1:5" x14ac:dyDescent="0.25">
      <c r="A24860" t="str">
        <f>HYPERLINK("https://www.773grp.com/globalSearch/MMSZ5234BT1G/page-1", "MMSZ5234BT1G")</f>
        <v>MMSZ5234BT1G</v>
      </c>
      <c r="B24860" s="3" t="str">
        <f>HYPERLINK("https://www.773grp.com/manufacturer/onsemi?pageNo=1336", "ON Semiconductor")</f>
        <v>ON Semiconductor</v>
      </c>
      <c r="C24860" s="6">
        <v>1264780</v>
      </c>
      <c r="D24860" s="7">
        <v>0.15</v>
      </c>
      <c r="E24860" t="s">
        <v>98</v>
      </c>
    </row>
    <row r="24861" spans="1:5" x14ac:dyDescent="0.25">
      <c r="A24861" t="str">
        <f>HYPERLINK("https://www.773grp.com/globalSearch/MMSZ5235BT1/page-1", "MMSZ5235BT1")</f>
        <v>MMSZ5235BT1</v>
      </c>
      <c r="B24861" s="3" t="str">
        <f>HYPERLINK("https://www.773grp.com/manufacturer/onsemi?pageNo=1337", "ON Semiconductor")</f>
        <v>ON Semiconductor</v>
      </c>
      <c r="C24861" s="6">
        <v>177000</v>
      </c>
      <c r="D24861" s="7">
        <v>0.15</v>
      </c>
    </row>
    <row r="24862" spans="1:5" x14ac:dyDescent="0.25">
      <c r="A24862" t="str">
        <f>HYPERLINK("https://www.773grp.com/globalSearch/MMSZ5235BT1G/page-1", "MMSZ5235BT1G")</f>
        <v>MMSZ5235BT1G</v>
      </c>
      <c r="B24862" s="3" t="str">
        <f>HYPERLINK("https://www.773grp.com/manufacturer/onsemi?pageNo=1338", "ON Semiconductor")</f>
        <v>ON Semiconductor</v>
      </c>
      <c r="C24862" s="6">
        <v>732000</v>
      </c>
      <c r="D24862" s="7">
        <v>0.15</v>
      </c>
      <c r="E24862" t="s">
        <v>98</v>
      </c>
    </row>
    <row r="24863" spans="1:5" x14ac:dyDescent="0.25">
      <c r="A24863" t="str">
        <f>HYPERLINK("https://www.773grp.com/globalSearch/MMSZ5236BT1G/page-1", "MMSZ5236BT1G")</f>
        <v>MMSZ5236BT1G</v>
      </c>
      <c r="B24863" s="3" t="str">
        <f>HYPERLINK("https://www.773grp.com/manufacturer/onsemi?pageNo=1339", "ON Semiconductor")</f>
        <v>ON Semiconductor</v>
      </c>
      <c r="C24863" s="6">
        <v>444853</v>
      </c>
      <c r="D24863" s="7">
        <v>0.15</v>
      </c>
      <c r="E24863" t="s">
        <v>98</v>
      </c>
    </row>
    <row r="24864" spans="1:5" x14ac:dyDescent="0.25">
      <c r="A24864" t="str">
        <f>HYPERLINK("https://www.773grp.com/globalSearch/MMSZ5236ET1/page-1", "MMSZ5236ET1")</f>
        <v>MMSZ5236ET1</v>
      </c>
      <c r="B24864" s="3" t="str">
        <f>HYPERLINK("https://www.773grp.com/manufacturer/onsemi?pageNo=1340", "ON Semiconductor")</f>
        <v>ON Semiconductor</v>
      </c>
      <c r="C24864" s="6">
        <v>39000</v>
      </c>
      <c r="D24864" s="7">
        <v>0.15</v>
      </c>
      <c r="E24864" t="s">
        <v>98</v>
      </c>
    </row>
    <row r="24865" spans="1:5" x14ac:dyDescent="0.25">
      <c r="A24865" t="str">
        <f>HYPERLINK("https://www.773grp.com/globalSearch/MMSZ5236ET1G/page-1", "MMSZ5236ET1G")</f>
        <v>MMSZ5236ET1G</v>
      </c>
      <c r="B24865" s="3" t="str">
        <f>HYPERLINK("https://www.773grp.com/manufacturer/onsemi?pageNo=1341", "ON Semiconductor")</f>
        <v>ON Semiconductor</v>
      </c>
      <c r="C24865" s="6">
        <v>15000</v>
      </c>
      <c r="D24865" s="7">
        <v>0.15</v>
      </c>
      <c r="E24865" t="s">
        <v>98</v>
      </c>
    </row>
    <row r="24866" spans="1:5" x14ac:dyDescent="0.25">
      <c r="A24866" t="str">
        <f>HYPERLINK("https://www.773grp.com/globalSearch/MMSZ5237BT1G/page-1", "MMSZ5237BT1G")</f>
        <v>MMSZ5237BT1G</v>
      </c>
      <c r="B24866" s="3" t="str">
        <f>HYPERLINK("https://www.773grp.com/manufacturer/onsemi?pageNo=1342", "ON Semiconductor")</f>
        <v>ON Semiconductor</v>
      </c>
      <c r="C24866" s="6">
        <v>141000</v>
      </c>
      <c r="D24866" s="7">
        <v>0.15</v>
      </c>
      <c r="E24866" t="s">
        <v>98</v>
      </c>
    </row>
    <row r="24867" spans="1:5" x14ac:dyDescent="0.25">
      <c r="A24867" t="str">
        <f>HYPERLINK("https://www.773grp.com/globalSearch/MMSZ5237ET1/page-1", "MMSZ5237ET1")</f>
        <v>MMSZ5237ET1</v>
      </c>
      <c r="B24867" s="3" t="str">
        <f>HYPERLINK("https://www.773grp.com/manufacturer/onsemi?pageNo=1343", "ON Semiconductor")</f>
        <v>ON Semiconductor</v>
      </c>
      <c r="C24867" s="6">
        <v>3000</v>
      </c>
      <c r="D24867" s="7">
        <v>0.15</v>
      </c>
      <c r="E24867" t="s">
        <v>98</v>
      </c>
    </row>
    <row r="24868" spans="1:5" x14ac:dyDescent="0.25">
      <c r="A24868" t="str">
        <f>HYPERLINK("https://www.773grp.com/globalSearch/MMSZ5238BT1G/page-1", "MMSZ5238BT1G")</f>
        <v>MMSZ5238BT1G</v>
      </c>
      <c r="B24868" s="3" t="str">
        <f>HYPERLINK("https://www.773grp.com/manufacturer/onsemi?pageNo=1344", "ON Semiconductor")</f>
        <v>ON Semiconductor</v>
      </c>
      <c r="C24868" s="6">
        <v>5442</v>
      </c>
      <c r="D24868" s="7">
        <v>0.15</v>
      </c>
      <c r="E24868" t="s">
        <v>98</v>
      </c>
    </row>
    <row r="24869" spans="1:5" x14ac:dyDescent="0.25">
      <c r="A24869" t="str">
        <f>HYPERLINK("https://www.773grp.com/globalSearch/MMSZ5239BT1G/page-1", "MMSZ5239BT1G")</f>
        <v>MMSZ5239BT1G</v>
      </c>
      <c r="B24869" s="3" t="str">
        <f>HYPERLINK("https://www.773grp.com/manufacturer/onsemi?pageNo=1345", "ON Semiconductor")</f>
        <v>ON Semiconductor</v>
      </c>
      <c r="C24869" s="6">
        <v>362733</v>
      </c>
      <c r="D24869" s="7">
        <v>0.15</v>
      </c>
      <c r="E24869" t="s">
        <v>98</v>
      </c>
    </row>
    <row r="24870" spans="1:5" x14ac:dyDescent="0.25">
      <c r="A24870" t="str">
        <f>HYPERLINK("https://www.773grp.com/globalSearch/MMSZ5240BT1G/page-1", "MMSZ5240BT1G")</f>
        <v>MMSZ5240BT1G</v>
      </c>
      <c r="B24870" s="3" t="str">
        <f>HYPERLINK("https://www.773grp.com/manufacturer/onsemi?pageNo=1346", "ON Semiconductor")</f>
        <v>ON Semiconductor</v>
      </c>
      <c r="C24870" s="6">
        <v>150000</v>
      </c>
      <c r="D24870" s="7">
        <v>0.15</v>
      </c>
      <c r="E24870" t="s">
        <v>98</v>
      </c>
    </row>
    <row r="24871" spans="1:5" x14ac:dyDescent="0.25">
      <c r="A24871" t="str">
        <f>HYPERLINK("https://www.773grp.com/globalSearch/MMSZ5241BT1/page-1", "MMSZ5241BT1")</f>
        <v>MMSZ5241BT1</v>
      </c>
      <c r="B24871" s="3" t="str">
        <f>HYPERLINK("https://www.773grp.com/manufacturer/onsemi?pageNo=1347", "ON Semiconductor")</f>
        <v>ON Semiconductor</v>
      </c>
      <c r="C24871" s="6">
        <v>117000</v>
      </c>
      <c r="D24871" s="7">
        <v>0.15</v>
      </c>
      <c r="E24871" t="s">
        <v>98</v>
      </c>
    </row>
    <row r="24872" spans="1:5" x14ac:dyDescent="0.25">
      <c r="A24872" t="str">
        <f>HYPERLINK("https://www.773grp.com/globalSearch/MMSZ5241BT1G/page-1", "MMSZ5241BT1G")</f>
        <v>MMSZ5241BT1G</v>
      </c>
      <c r="B24872" s="3" t="str">
        <f>HYPERLINK("https://www.773grp.com/manufacturer/onsemi?pageNo=1348", "ON Semiconductor")</f>
        <v>ON Semiconductor</v>
      </c>
      <c r="C24872" s="6">
        <v>429000</v>
      </c>
      <c r="D24872" s="7">
        <v>0.15</v>
      </c>
      <c r="E24872" t="s">
        <v>98</v>
      </c>
    </row>
    <row r="24873" spans="1:5" x14ac:dyDescent="0.25">
      <c r="A24873" t="str">
        <f>HYPERLINK("https://www.773grp.com/globalSearch/MMSZ5242BT1G/page-1", "MMSZ5242BT1G")</f>
        <v>MMSZ5242BT1G</v>
      </c>
      <c r="B24873" s="3" t="str">
        <f>HYPERLINK("https://www.773grp.com/manufacturer/onsemi?pageNo=1", "ON Semiconductor")</f>
        <v>ON Semiconductor</v>
      </c>
      <c r="C24873" s="6">
        <v>36000</v>
      </c>
      <c r="D24873" s="7">
        <v>0.15</v>
      </c>
      <c r="E24873" t="s">
        <v>98</v>
      </c>
    </row>
    <row r="24874" spans="1:5" x14ac:dyDescent="0.25">
      <c r="A24874" t="str">
        <f>HYPERLINK("https://www.773grp.com/globalSearch/MMSZ5242BT3G/page-1", "MMSZ5242BT3G")</f>
        <v>MMSZ5242BT3G</v>
      </c>
      <c r="B24874" s="3" t="str">
        <f>HYPERLINK("https://www.773grp.com/manufacturer/onsemi?pageNo=2", "ON Semiconductor")</f>
        <v>ON Semiconductor</v>
      </c>
      <c r="C24874" s="6">
        <v>60000</v>
      </c>
      <c r="D24874" s="7">
        <v>0.15</v>
      </c>
      <c r="E24874" t="s">
        <v>98</v>
      </c>
    </row>
    <row r="24875" spans="1:5" x14ac:dyDescent="0.25">
      <c r="A24875" t="str">
        <f>HYPERLINK("https://www.773grp.com/globalSearch/MMSZ5243BT1G/page-1", "MMSZ5243BT1G")</f>
        <v>MMSZ5243BT1G</v>
      </c>
      <c r="B24875" s="3" t="str">
        <f>HYPERLINK("https://www.773grp.com/manufacturer/onsemi?pageNo=3", "ON Semiconductor")</f>
        <v>ON Semiconductor</v>
      </c>
      <c r="C24875" s="6">
        <v>141000</v>
      </c>
      <c r="D24875" s="7">
        <v>0.15</v>
      </c>
      <c r="E24875" t="s">
        <v>98</v>
      </c>
    </row>
    <row r="24876" spans="1:5" x14ac:dyDescent="0.25">
      <c r="A24876" t="str">
        <f>HYPERLINK("https://www.773grp.com/globalSearch/MMSZ5243ET1/page-1", "MMSZ5243ET1")</f>
        <v>MMSZ5243ET1</v>
      </c>
      <c r="B24876" s="3" t="str">
        <f>HYPERLINK("https://www.773grp.com/manufacturer/onsemi?pageNo=4", "ON Semiconductor")</f>
        <v>ON Semiconductor</v>
      </c>
      <c r="C24876" s="6">
        <v>6000</v>
      </c>
      <c r="D24876" s="7">
        <v>0.15</v>
      </c>
      <c r="E24876" t="s">
        <v>98</v>
      </c>
    </row>
    <row r="24877" spans="1:5" x14ac:dyDescent="0.25">
      <c r="A24877" t="str">
        <f>HYPERLINK("https://www.773grp.com/globalSearch/MMSZ5244BT1/page-1", "MMSZ5244BT1")</f>
        <v>MMSZ5244BT1</v>
      </c>
      <c r="B24877" s="3" t="str">
        <f>HYPERLINK("https://www.773grp.com/manufacturer/onsemi?pageNo=5", "ON Semiconductor")</f>
        <v>ON Semiconductor</v>
      </c>
      <c r="C24877" s="6">
        <v>93000</v>
      </c>
      <c r="D24877" s="7">
        <v>0.15</v>
      </c>
    </row>
    <row r="24878" spans="1:5" x14ac:dyDescent="0.25">
      <c r="A24878" t="str">
        <f>HYPERLINK("https://www.773grp.com/globalSearch/MMSZ5244BT1G/page-1", "MMSZ5244BT1G")</f>
        <v>MMSZ5244BT1G</v>
      </c>
      <c r="B24878" s="3" t="str">
        <f>HYPERLINK("https://www.773grp.com/manufacturer/onsemi?pageNo=6", "ON Semiconductor")</f>
        <v>ON Semiconductor</v>
      </c>
      <c r="C24878" s="6">
        <v>45000</v>
      </c>
      <c r="D24878" s="7">
        <v>0.15</v>
      </c>
      <c r="E24878" t="s">
        <v>98</v>
      </c>
    </row>
    <row r="24879" spans="1:5" x14ac:dyDescent="0.25">
      <c r="A24879" t="str">
        <f>HYPERLINK("https://www.773grp.com/globalSearch/MMSZ5245BT1/page-1", "MMSZ5245BT1")</f>
        <v>MMSZ5245BT1</v>
      </c>
      <c r="B24879" s="3" t="str">
        <f>HYPERLINK("https://www.773grp.com/manufacturer/onsemi?pageNo=7", "ON Semiconductor")</f>
        <v>ON Semiconductor</v>
      </c>
      <c r="C24879" s="6">
        <v>101666</v>
      </c>
      <c r="D24879" s="7">
        <v>0.15</v>
      </c>
      <c r="E24879" t="s">
        <v>98</v>
      </c>
    </row>
    <row r="24880" spans="1:5" x14ac:dyDescent="0.25">
      <c r="A24880" t="str">
        <f>HYPERLINK("https://www.773grp.com/globalSearch/MMSZ5245BT1G/page-1", "MMSZ5245BT1G")</f>
        <v>MMSZ5245BT1G</v>
      </c>
      <c r="B24880" s="3" t="str">
        <f>HYPERLINK("https://www.773grp.com/manufacturer/onsemi?pageNo=8", "ON Semiconductor")</f>
        <v>ON Semiconductor</v>
      </c>
      <c r="C24880" s="6">
        <v>1130158</v>
      </c>
      <c r="D24880" s="7">
        <v>0.15</v>
      </c>
      <c r="E24880" t="s">
        <v>98</v>
      </c>
    </row>
    <row r="24881" spans="1:5" x14ac:dyDescent="0.25">
      <c r="A24881" t="str">
        <f>HYPERLINK("https://www.773grp.com/globalSearch/MMSZ5245BT3/page-1", "MMSZ5245BT3")</f>
        <v>MMSZ5245BT3</v>
      </c>
      <c r="B24881" s="3" t="str">
        <f>HYPERLINK("https://www.773grp.com/manufacturer/onsemi?pageNo=9", "ON Semiconductor")</f>
        <v>ON Semiconductor</v>
      </c>
      <c r="C24881" s="6">
        <v>90000</v>
      </c>
      <c r="D24881" s="7">
        <v>0.15</v>
      </c>
      <c r="E24881" t="s">
        <v>98</v>
      </c>
    </row>
    <row r="24882" spans="1:5" x14ac:dyDescent="0.25">
      <c r="A24882" t="str">
        <f>HYPERLINK("https://www.773grp.com/globalSearch/MMSZ5245ET1/page-1", "MMSZ5245ET1")</f>
        <v>MMSZ5245ET1</v>
      </c>
      <c r="B24882" s="3" t="str">
        <f>HYPERLINK("https://www.773grp.com/manufacturer/onsemi?pageNo=10", "ON Semiconductor")</f>
        <v>ON Semiconductor</v>
      </c>
      <c r="C24882" s="6">
        <v>21000</v>
      </c>
      <c r="D24882" s="7">
        <v>0.15</v>
      </c>
      <c r="E24882" t="s">
        <v>98</v>
      </c>
    </row>
    <row r="24883" spans="1:5" x14ac:dyDescent="0.25">
      <c r="A24883" t="str">
        <f>HYPERLINK("https://www.773grp.com/globalSearch/MMSZ5246BT1/page-1", "MMSZ5246BT1")</f>
        <v>MMSZ5246BT1</v>
      </c>
      <c r="B24883" s="3" t="str">
        <f>HYPERLINK("https://www.773grp.com/manufacturer/onsemi?pageNo=11", "ON Semiconductor")</f>
        <v>ON Semiconductor</v>
      </c>
      <c r="C24883" s="6">
        <v>150000</v>
      </c>
      <c r="D24883" s="7">
        <v>0.15</v>
      </c>
    </row>
    <row r="24884" spans="1:5" x14ac:dyDescent="0.25">
      <c r="A24884" t="str">
        <f>HYPERLINK("https://www.773grp.com/globalSearch/MMSZ5246BT1G/page-1", "MMSZ5246BT1G")</f>
        <v>MMSZ5246BT1G</v>
      </c>
      <c r="B24884" s="3" t="str">
        <f>HYPERLINK("https://www.773grp.com/manufacturer/onsemi?pageNo=12", "ON Semiconductor")</f>
        <v>ON Semiconductor</v>
      </c>
      <c r="C24884" s="6">
        <v>195000</v>
      </c>
      <c r="D24884" s="7">
        <v>0.15</v>
      </c>
      <c r="E24884" t="s">
        <v>98</v>
      </c>
    </row>
    <row r="24885" spans="1:5" x14ac:dyDescent="0.25">
      <c r="A24885" t="str">
        <f>HYPERLINK("https://www.773grp.com/globalSearch/MMSZ5247BT1G/page-1", "MMSZ5247BT1G")</f>
        <v>MMSZ5247BT1G</v>
      </c>
      <c r="B24885" s="3" t="str">
        <f>HYPERLINK("https://www.773grp.com/manufacturer/onsemi?pageNo=13", "ON Semiconductor")</f>
        <v>ON Semiconductor</v>
      </c>
      <c r="C24885" s="6">
        <v>68730</v>
      </c>
      <c r="D24885" s="7">
        <v>0.15</v>
      </c>
      <c r="E24885" t="s">
        <v>98</v>
      </c>
    </row>
    <row r="24886" spans="1:5" x14ac:dyDescent="0.25">
      <c r="A24886" t="str">
        <f>HYPERLINK("https://www.773grp.com/globalSearch/MMSZ5248BT1/page-1", "MMSZ5248BT1")</f>
        <v>MMSZ5248BT1</v>
      </c>
      <c r="B24886" s="3" t="str">
        <f>HYPERLINK("https://www.773grp.com/manufacturer/onsemi?pageNo=14", "ON Semiconductor")</f>
        <v>ON Semiconductor</v>
      </c>
      <c r="C24886" s="6">
        <v>45000</v>
      </c>
      <c r="D24886" s="7">
        <v>0.15</v>
      </c>
    </row>
    <row r="24887" spans="1:5" x14ac:dyDescent="0.25">
      <c r="A24887" t="str">
        <f>HYPERLINK("https://www.773grp.com/globalSearch/MMSZ5248BT1G/page-1", "MMSZ5248BT1G")</f>
        <v>MMSZ5248BT1G</v>
      </c>
      <c r="B24887" s="3" t="str">
        <f>HYPERLINK("https://www.773grp.com/manufacturer/onsemi?pageNo=15", "ON Semiconductor")</f>
        <v>ON Semiconductor</v>
      </c>
      <c r="C24887" s="6">
        <v>690000</v>
      </c>
      <c r="D24887" s="7">
        <v>0.15</v>
      </c>
      <c r="E24887" t="s">
        <v>98</v>
      </c>
    </row>
    <row r="24888" spans="1:5" x14ac:dyDescent="0.25">
      <c r="A24888" t="str">
        <f>HYPERLINK("https://www.773grp.com/globalSearch/MMSZ5249BT1G/page-1", "MMSZ5249BT1G")</f>
        <v>MMSZ5249BT1G</v>
      </c>
      <c r="B24888" s="3" t="str">
        <f>HYPERLINK("https://www.773grp.com/manufacturer/onsemi?pageNo=16", "ON Semiconductor")</f>
        <v>ON Semiconductor</v>
      </c>
      <c r="C24888" s="6">
        <v>102000</v>
      </c>
      <c r="D24888" s="7">
        <v>0.15</v>
      </c>
      <c r="E24888" t="s">
        <v>98</v>
      </c>
    </row>
    <row r="24889" spans="1:5" x14ac:dyDescent="0.25">
      <c r="A24889" t="str">
        <f>HYPERLINK("https://www.773grp.com/globalSearch/MMSZ5250BT1G/page-1", "MMSZ5250BT1G")</f>
        <v>MMSZ5250BT1G</v>
      </c>
      <c r="B24889" s="3" t="str">
        <f>HYPERLINK("https://www.773grp.com/manufacturer/onsemi?pageNo=17", "ON Semiconductor")</f>
        <v>ON Semiconductor</v>
      </c>
      <c r="C24889" s="6">
        <v>753000</v>
      </c>
      <c r="D24889" s="7">
        <v>0.15</v>
      </c>
      <c r="E24889" t="s">
        <v>98</v>
      </c>
    </row>
    <row r="24890" spans="1:5" x14ac:dyDescent="0.25">
      <c r="A24890" t="str">
        <f>HYPERLINK("https://www.773grp.com/globalSearch/MMSZ5251BT1G/page-1", "MMSZ5251BT1G")</f>
        <v>MMSZ5251BT1G</v>
      </c>
      <c r="B24890" s="3" t="str">
        <f>HYPERLINK("https://www.773grp.com/manufacturer/onsemi?pageNo=18", "ON Semiconductor")</f>
        <v>ON Semiconductor</v>
      </c>
      <c r="C24890" s="6">
        <v>231000</v>
      </c>
      <c r="D24890" s="7">
        <v>0.15</v>
      </c>
      <c r="E24890" t="s">
        <v>98</v>
      </c>
    </row>
    <row r="24891" spans="1:5" x14ac:dyDescent="0.25">
      <c r="A24891" t="str">
        <f>HYPERLINK("https://www.773grp.com/globalSearch/MMSZ5251ET1G/page-1", "MMSZ5251ET1G")</f>
        <v>MMSZ5251ET1G</v>
      </c>
      <c r="B24891" s="3" t="str">
        <f>HYPERLINK("https://www.773grp.com/manufacturer/onsemi?pageNo=19", "ON Semiconductor")</f>
        <v>ON Semiconductor</v>
      </c>
      <c r="C24891" s="6">
        <v>45000</v>
      </c>
      <c r="D24891" s="7">
        <v>0.15</v>
      </c>
      <c r="E24891" t="s">
        <v>98</v>
      </c>
    </row>
    <row r="24892" spans="1:5" x14ac:dyDescent="0.25">
      <c r="A24892" t="str">
        <f>HYPERLINK("https://www.773grp.com/globalSearch/MMSZ5252BT1G/page-1", "MMSZ5252BT1G")</f>
        <v>MMSZ5252BT1G</v>
      </c>
      <c r="B24892" s="3" t="str">
        <f>HYPERLINK("https://www.773grp.com/manufacturer/onsemi?pageNo=20", "ON Semiconductor")</f>
        <v>ON Semiconductor</v>
      </c>
      <c r="C24892" s="6">
        <v>470250</v>
      </c>
      <c r="D24892" s="7">
        <v>0.15</v>
      </c>
      <c r="E24892" t="s">
        <v>98</v>
      </c>
    </row>
    <row r="24893" spans="1:5" x14ac:dyDescent="0.25">
      <c r="A24893" t="str">
        <f>HYPERLINK("https://www.773grp.com/globalSearch/MMSZ5253BT1G/page-1", "MMSZ5253BT1G")</f>
        <v>MMSZ5253BT1G</v>
      </c>
      <c r="B24893" s="3" t="str">
        <f>HYPERLINK("https://www.773grp.com/manufacturer/onsemi?pageNo=21", "ON Semiconductor")</f>
        <v>ON Semiconductor</v>
      </c>
      <c r="C24893" s="6">
        <v>66000</v>
      </c>
      <c r="D24893" s="7">
        <v>0.15</v>
      </c>
      <c r="E24893" t="s">
        <v>98</v>
      </c>
    </row>
    <row r="24894" spans="1:5" x14ac:dyDescent="0.25">
      <c r="A24894" t="str">
        <f>HYPERLINK("https://www.773grp.com/globalSearch/MMSZ5254BT1G/page-1", "MMSZ5254BT1G")</f>
        <v>MMSZ5254BT1G</v>
      </c>
      <c r="B24894" s="3" t="str">
        <f>HYPERLINK("https://www.773grp.com/manufacturer/onsemi?pageNo=22", "ON Semiconductor")</f>
        <v>ON Semiconductor</v>
      </c>
      <c r="C24894" s="6">
        <v>703112</v>
      </c>
      <c r="D24894" s="7">
        <v>0.15</v>
      </c>
      <c r="E24894" t="s">
        <v>98</v>
      </c>
    </row>
    <row r="24895" spans="1:5" x14ac:dyDescent="0.25">
      <c r="A24895" t="str">
        <f>HYPERLINK("https://www.773grp.com/globalSearch/MMSZ5255BT1G/page-1", "MMSZ5255BT1G")</f>
        <v>MMSZ5255BT1G</v>
      </c>
      <c r="B24895" s="3" t="str">
        <f>HYPERLINK("https://www.773grp.com/manufacturer/onsemi?pageNo=23", "ON Semiconductor")</f>
        <v>ON Semiconductor</v>
      </c>
      <c r="C24895" s="6">
        <v>345000</v>
      </c>
      <c r="D24895" s="7">
        <v>0.15</v>
      </c>
      <c r="E24895" t="s">
        <v>98</v>
      </c>
    </row>
    <row r="24896" spans="1:5" x14ac:dyDescent="0.25">
      <c r="A24896" t="str">
        <f>HYPERLINK("https://www.773grp.com/globalSearch/MMSZ5256BT1G/page-1", "MMSZ5256BT1G")</f>
        <v>MMSZ5256BT1G</v>
      </c>
      <c r="B24896" s="3" t="str">
        <f>HYPERLINK("https://www.773grp.com/manufacturer/onsemi?pageNo=24", "ON Semiconductor")</f>
        <v>ON Semiconductor</v>
      </c>
      <c r="C24896" s="6">
        <v>137410</v>
      </c>
      <c r="D24896" s="7">
        <v>0.15</v>
      </c>
      <c r="E24896" t="s">
        <v>98</v>
      </c>
    </row>
    <row r="24897" spans="1:5" x14ac:dyDescent="0.25">
      <c r="A24897" t="str">
        <f>HYPERLINK("https://www.773grp.com/globalSearch/MMSZ5257BT1G/page-1", "MMSZ5257BT1G")</f>
        <v>MMSZ5257BT1G</v>
      </c>
      <c r="B24897" s="3" t="str">
        <f>HYPERLINK("https://www.773grp.com/manufacturer/onsemi?pageNo=25", "ON Semiconductor")</f>
        <v>ON Semiconductor</v>
      </c>
      <c r="C24897" s="6">
        <v>123000</v>
      </c>
      <c r="D24897" s="7">
        <v>0.15</v>
      </c>
      <c r="E24897" t="s">
        <v>98</v>
      </c>
    </row>
    <row r="24898" spans="1:5" x14ac:dyDescent="0.25">
      <c r="A24898" t="str">
        <f>HYPERLINK("https://www.773grp.com/globalSearch/MMSZ5258BT1/page-1", "MMSZ5258BT1")</f>
        <v>MMSZ5258BT1</v>
      </c>
      <c r="B24898" s="3" t="str">
        <f>HYPERLINK("https://www.773grp.com/manufacturer/onsemi?pageNo=26", "ON Semiconductor")</f>
        <v>ON Semiconductor</v>
      </c>
      <c r="C24898" s="6">
        <v>96000</v>
      </c>
      <c r="D24898" s="7">
        <v>0.15</v>
      </c>
    </row>
    <row r="24899" spans="1:5" x14ac:dyDescent="0.25">
      <c r="A24899" t="str">
        <f>HYPERLINK("https://www.773grp.com/globalSearch/MMSZ5258BT1G/page-1", "MMSZ5258BT1G")</f>
        <v>MMSZ5258BT1G</v>
      </c>
      <c r="B24899" s="3" t="str">
        <f>HYPERLINK("https://www.773grp.com/manufacturer/onsemi?pageNo=27", "ON Semiconductor")</f>
        <v>ON Semiconductor</v>
      </c>
      <c r="C24899" s="6">
        <v>180000</v>
      </c>
      <c r="D24899" s="7">
        <v>0.15</v>
      </c>
      <c r="E24899" t="s">
        <v>98</v>
      </c>
    </row>
    <row r="24900" spans="1:5" x14ac:dyDescent="0.25">
      <c r="A24900" t="str">
        <f>HYPERLINK("https://www.773grp.com/globalSearch/MMSZ5259BT1G/page-1", "MMSZ5259BT1G")</f>
        <v>MMSZ5259BT1G</v>
      </c>
      <c r="B24900" s="3" t="str">
        <f>HYPERLINK("https://www.773grp.com/manufacturer/onsemi?pageNo=28", "ON Semiconductor")</f>
        <v>ON Semiconductor</v>
      </c>
      <c r="C24900" s="6">
        <v>488860</v>
      </c>
      <c r="D24900" s="7">
        <v>0.15</v>
      </c>
      <c r="E24900" t="s">
        <v>98</v>
      </c>
    </row>
    <row r="24901" spans="1:5" x14ac:dyDescent="0.25">
      <c r="A24901" t="str">
        <f>HYPERLINK("https://www.773grp.com/globalSearch/MMSZ5259ET1/page-1", "MMSZ5259ET1")</f>
        <v>MMSZ5259ET1</v>
      </c>
      <c r="B24901" s="3" t="str">
        <f>HYPERLINK("https://www.773grp.com/manufacturer/onsemi?pageNo=29", "ON Semiconductor")</f>
        <v>ON Semiconductor</v>
      </c>
      <c r="C24901" s="6">
        <v>182750</v>
      </c>
      <c r="D24901" s="7">
        <v>0.15</v>
      </c>
      <c r="E24901" t="s">
        <v>98</v>
      </c>
    </row>
    <row r="24902" spans="1:5" x14ac:dyDescent="0.25">
      <c r="A24902" t="str">
        <f>HYPERLINK("https://www.773grp.com/globalSearch/MMSZ5260BT1G/page-1", "MMSZ5260BT1G")</f>
        <v>MMSZ5260BT1G</v>
      </c>
      <c r="B24902" s="3" t="str">
        <f>HYPERLINK("https://www.773grp.com/manufacturer/onsemi?pageNo=30", "ON Semiconductor")</f>
        <v>ON Semiconductor</v>
      </c>
      <c r="C24902" s="6">
        <v>309000</v>
      </c>
      <c r="D24902" s="7">
        <v>0.15</v>
      </c>
      <c r="E24902" t="s">
        <v>98</v>
      </c>
    </row>
    <row r="24903" spans="1:5" x14ac:dyDescent="0.25">
      <c r="A24903" t="str">
        <f>HYPERLINK("https://www.773grp.com/globalSearch/MMSZ5260ET1/page-1", "MMSZ5260ET1")</f>
        <v>MMSZ5260ET1</v>
      </c>
      <c r="B24903" s="3" t="str">
        <f>HYPERLINK("https://www.773grp.com/manufacturer/onsemi?pageNo=31", "ON Semiconductor")</f>
        <v>ON Semiconductor</v>
      </c>
      <c r="C24903" s="6">
        <v>24000</v>
      </c>
      <c r="D24903" s="7">
        <v>0.15</v>
      </c>
      <c r="E24903" t="s">
        <v>98</v>
      </c>
    </row>
    <row r="24904" spans="1:5" x14ac:dyDescent="0.25">
      <c r="A24904" t="str">
        <f>HYPERLINK("https://www.773grp.com/globalSearch/MMSZ5261BT1G/page-1", "MMSZ5261BT1G")</f>
        <v>MMSZ5261BT1G</v>
      </c>
      <c r="B24904" s="3" t="str">
        <f>HYPERLINK("https://www.773grp.com/manufacturer/onsemi?pageNo=32", "ON Semiconductor")</f>
        <v>ON Semiconductor</v>
      </c>
      <c r="C24904" s="6">
        <v>20990</v>
      </c>
      <c r="D24904" s="7">
        <v>0.15</v>
      </c>
      <c r="E24904" t="s">
        <v>98</v>
      </c>
    </row>
    <row r="24905" spans="1:5" x14ac:dyDescent="0.25">
      <c r="A24905" t="str">
        <f>HYPERLINK("https://www.773grp.com/globalSearch/MMSZ5262BT1G/page-1", "MMSZ5262BT1G")</f>
        <v>MMSZ5262BT1G</v>
      </c>
      <c r="B24905" s="3" t="str">
        <f>HYPERLINK("https://www.773grp.com/manufacturer/onsemi?pageNo=33", "ON Semiconductor")</f>
        <v>ON Semiconductor</v>
      </c>
      <c r="C24905" s="6">
        <v>198000</v>
      </c>
      <c r="D24905" s="7">
        <v>0.15</v>
      </c>
      <c r="E24905" t="s">
        <v>98</v>
      </c>
    </row>
    <row r="24906" spans="1:5" x14ac:dyDescent="0.25">
      <c r="A24906" t="str">
        <f>HYPERLINK("https://www.773grp.com/globalSearch/MMSZ5263BT1G/page-1", "MMSZ5263BT1G")</f>
        <v>MMSZ5263BT1G</v>
      </c>
      <c r="B24906" s="3" t="str">
        <f>HYPERLINK("https://www.773grp.com/manufacturer/onsemi?pageNo=34", "ON Semiconductor")</f>
        <v>ON Semiconductor</v>
      </c>
      <c r="C24906" s="6">
        <v>36000</v>
      </c>
      <c r="D24906" s="7">
        <v>0.15</v>
      </c>
      <c r="E24906" t="s">
        <v>98</v>
      </c>
    </row>
    <row r="24907" spans="1:5" x14ac:dyDescent="0.25">
      <c r="A24907" t="str">
        <f>HYPERLINK("https://www.773grp.com/globalSearch/MMSZ5263ET1/page-1", "MMSZ5263ET1")</f>
        <v>MMSZ5263ET1</v>
      </c>
      <c r="B24907" s="3" t="str">
        <f>HYPERLINK("https://www.773grp.com/manufacturer/onsemi?pageNo=35", "ON Semiconductor")</f>
        <v>ON Semiconductor</v>
      </c>
      <c r="C24907" s="6">
        <v>24000</v>
      </c>
      <c r="D24907" s="7">
        <v>0.15</v>
      </c>
      <c r="E24907" t="s">
        <v>98</v>
      </c>
    </row>
    <row r="24908" spans="1:5" x14ac:dyDescent="0.25">
      <c r="A24908" t="str">
        <f>HYPERLINK("https://www.773grp.com/globalSearch/MMSZ5264BT1G/page-1", "MMSZ5264BT1G")</f>
        <v>MMSZ5264BT1G</v>
      </c>
      <c r="B24908" s="3" t="str">
        <f>HYPERLINK("https://www.773grp.com/manufacturer/onsemi?pageNo=36", "ON Semiconductor")</f>
        <v>ON Semiconductor</v>
      </c>
      <c r="C24908" s="6">
        <v>123000</v>
      </c>
      <c r="D24908" s="7">
        <v>0.15</v>
      </c>
      <c r="E24908" t="s">
        <v>98</v>
      </c>
    </row>
    <row r="24909" spans="1:5" x14ac:dyDescent="0.25">
      <c r="A24909" t="str">
        <f>HYPERLINK("https://www.773grp.com/globalSearch/MMSZ5265BT1G/page-1", "MMSZ5265BT1G")</f>
        <v>MMSZ5265BT1G</v>
      </c>
      <c r="B24909" s="3" t="str">
        <f>HYPERLINK("https://www.773grp.com/manufacturer/onsemi?pageNo=37", "ON Semiconductor")</f>
        <v>ON Semiconductor</v>
      </c>
      <c r="C24909" s="6">
        <v>276000</v>
      </c>
      <c r="D24909" s="7">
        <v>0.15</v>
      </c>
      <c r="E24909" t="s">
        <v>98</v>
      </c>
    </row>
    <row r="24910" spans="1:5" x14ac:dyDescent="0.25">
      <c r="A24910" t="str">
        <f>HYPERLINK("https://www.773grp.com/globalSearch/MMSZ5266BT1G/page-1", "MMSZ5266BT1G")</f>
        <v>MMSZ5266BT1G</v>
      </c>
      <c r="B24910" s="3" t="str">
        <f>HYPERLINK("https://www.773grp.com/manufacturer/onsemi?pageNo=38", "ON Semiconductor")</f>
        <v>ON Semiconductor</v>
      </c>
      <c r="C24910" s="6">
        <v>149290</v>
      </c>
      <c r="D24910" s="7">
        <v>0.15</v>
      </c>
      <c r="E24910" t="s">
        <v>98</v>
      </c>
    </row>
    <row r="24911" spans="1:5" x14ac:dyDescent="0.25">
      <c r="A24911" t="str">
        <f>HYPERLINK("https://www.773grp.com/globalSearch/MMSZ5267BT1G/page-1", "MMSZ5267BT1G")</f>
        <v>MMSZ5267BT1G</v>
      </c>
      <c r="B24911" s="3" t="str">
        <f>HYPERLINK("https://www.773grp.com/manufacturer/onsemi?pageNo=39", "ON Semiconductor")</f>
        <v>ON Semiconductor</v>
      </c>
      <c r="C24911" s="6">
        <v>86184</v>
      </c>
      <c r="D24911" s="7">
        <v>0.15</v>
      </c>
      <c r="E24911" t="s">
        <v>98</v>
      </c>
    </row>
    <row r="24912" spans="1:5" x14ac:dyDescent="0.25">
      <c r="A24912" t="str">
        <f>HYPERLINK("https://www.773grp.com/globalSearch/MMSZ5268BT1G/page-1", "MMSZ5268BT1G")</f>
        <v>MMSZ5268BT1G</v>
      </c>
      <c r="B24912" s="3" t="str">
        <f>HYPERLINK("https://www.773grp.com/manufacturer/onsemi?pageNo=40", "ON Semiconductor")</f>
        <v>ON Semiconductor</v>
      </c>
      <c r="C24912" s="6">
        <v>27000</v>
      </c>
      <c r="D24912" s="7">
        <v>0.15</v>
      </c>
      <c r="E24912" t="s">
        <v>98</v>
      </c>
    </row>
    <row r="24913" spans="1:5" x14ac:dyDescent="0.25">
      <c r="A24913" t="str">
        <f>HYPERLINK("https://www.773grp.com/globalSearch/MMSZ5270BT1G/page-1", "MMSZ5270BT1G")</f>
        <v>MMSZ5270BT1G</v>
      </c>
      <c r="B24913" s="3" t="str">
        <f>HYPERLINK("https://www.773grp.com/manufacturer/onsemi?pageNo=41", "ON Semiconductor")</f>
        <v>ON Semiconductor</v>
      </c>
      <c r="C24913" s="6">
        <v>126000</v>
      </c>
      <c r="D24913" s="7">
        <v>0.15</v>
      </c>
      <c r="E24913" t="s">
        <v>98</v>
      </c>
    </row>
    <row r="24914" spans="1:5" x14ac:dyDescent="0.25">
      <c r="A24914" t="str">
        <f>HYPERLINK("https://www.773grp.com/globalSearch/MMSZ56ET1/page-1", "MMSZ56ET1")</f>
        <v>MMSZ56ET1</v>
      </c>
      <c r="B24914" s="3" t="str">
        <f>HYPERLINK("https://www.773grp.com/manufacturer/onsemi?pageNo=42", "ON Semiconductor")</f>
        <v>ON Semiconductor</v>
      </c>
      <c r="C24914" s="6">
        <v>24000</v>
      </c>
      <c r="D24914" s="7">
        <v>0.15</v>
      </c>
      <c r="E24914" t="s">
        <v>98</v>
      </c>
    </row>
    <row r="24915" spans="1:5" x14ac:dyDescent="0.25">
      <c r="A24915" t="str">
        <f>HYPERLINK("https://www.773grp.com/globalSearch/MMSZ56T1G/page-1", "MMSZ56T1G")</f>
        <v>MMSZ56T1G</v>
      </c>
      <c r="B24915" s="3" t="str">
        <f>HYPERLINK("https://www.773grp.com/manufacturer/onsemi?pageNo=43", "ON Semiconductor")</f>
        <v>ON Semiconductor</v>
      </c>
      <c r="C24915" s="6">
        <v>134700</v>
      </c>
      <c r="D24915" s="7">
        <v>0.15</v>
      </c>
      <c r="E24915" t="s">
        <v>98</v>
      </c>
    </row>
    <row r="24916" spans="1:5" x14ac:dyDescent="0.25">
      <c r="A24916" t="str">
        <f>HYPERLINK("https://www.773grp.com/globalSearch/MMSZ5V1ET1/page-1", "MMSZ5V1ET1")</f>
        <v>MMSZ5V1ET1</v>
      </c>
      <c r="B24916" s="3" t="str">
        <f>HYPERLINK("https://www.773grp.com/manufacturer/onsemi?pageNo=44", "ON Semiconductor")</f>
        <v>ON Semiconductor</v>
      </c>
      <c r="C24916" s="6">
        <v>5975</v>
      </c>
      <c r="D24916" s="7">
        <v>0.15</v>
      </c>
      <c r="E24916" t="s">
        <v>98</v>
      </c>
    </row>
    <row r="24917" spans="1:5" x14ac:dyDescent="0.25">
      <c r="A24917" t="str">
        <f>HYPERLINK("https://www.773grp.com/globalSearch/MMSZ5V1T1G/page-1", "MMSZ5V1T1G")</f>
        <v>MMSZ5V1T1G</v>
      </c>
      <c r="B24917" s="3" t="str">
        <f>HYPERLINK("https://www.773grp.com/manufacturer/onsemi?pageNo=45", "ON Semiconductor")</f>
        <v>ON Semiconductor</v>
      </c>
      <c r="C24917" s="6">
        <v>167500</v>
      </c>
      <c r="D24917" s="7">
        <v>0.15</v>
      </c>
      <c r="E24917" t="s">
        <v>98</v>
      </c>
    </row>
    <row r="24918" spans="1:5" x14ac:dyDescent="0.25">
      <c r="A24918" t="str">
        <f>HYPERLINK("https://www.773grp.com/globalSearch/MMSZ5V1T3G/page-1", "MMSZ5V1T3G")</f>
        <v>MMSZ5V1T3G</v>
      </c>
      <c r="B24918" s="3" t="str">
        <f>HYPERLINK("https://www.773grp.com/manufacturer/onsemi?pageNo=46", "ON Semiconductor")</f>
        <v>ON Semiconductor</v>
      </c>
      <c r="C24918" s="6">
        <v>560000</v>
      </c>
      <c r="D24918" s="7">
        <v>0.15</v>
      </c>
      <c r="E24918" t="s">
        <v>98</v>
      </c>
    </row>
    <row r="24919" spans="1:5" x14ac:dyDescent="0.25">
      <c r="A24919" t="str">
        <f>HYPERLINK("https://www.773grp.com/globalSearch/MMSZ5V6T1G/page-1", "MMSZ5V6T1G")</f>
        <v>MMSZ5V6T1G</v>
      </c>
      <c r="B24919" s="3" t="str">
        <f>HYPERLINK("https://www.773grp.com/manufacturer/onsemi?pageNo=47", "ON Semiconductor")</f>
        <v>ON Semiconductor</v>
      </c>
      <c r="C24919" s="6">
        <v>546000</v>
      </c>
      <c r="D24919" s="7">
        <v>0.15</v>
      </c>
      <c r="E24919" t="s">
        <v>98</v>
      </c>
    </row>
    <row r="24920" spans="1:5" x14ac:dyDescent="0.25">
      <c r="A24920" t="str">
        <f>HYPERLINK("https://www.773grp.com/globalSearch/MMSZ6V2ET1/page-1", "MMSZ6V2ET1")</f>
        <v>MMSZ6V2ET1</v>
      </c>
      <c r="B24920" s="3" t="str">
        <f>HYPERLINK("https://www.773grp.com/manufacturer/onsemi?pageNo=48", "ON Semiconductor")</f>
        <v>ON Semiconductor</v>
      </c>
      <c r="C24920" s="6">
        <v>2890</v>
      </c>
      <c r="D24920" s="7">
        <v>0.15</v>
      </c>
      <c r="E24920" t="s">
        <v>98</v>
      </c>
    </row>
    <row r="24921" spans="1:5" x14ac:dyDescent="0.25">
      <c r="A24921" t="str">
        <f>HYPERLINK("https://www.773grp.com/globalSearch/MMSZ6V2T1G/page-1", "MMSZ6V2T1G")</f>
        <v>MMSZ6V2T1G</v>
      </c>
      <c r="B24921" s="3" t="str">
        <f>HYPERLINK("https://www.773grp.com/manufacturer/onsemi?pageNo=49", "ON Semiconductor")</f>
        <v>ON Semiconductor</v>
      </c>
      <c r="C24921" s="6">
        <v>98375</v>
      </c>
      <c r="D24921" s="7">
        <v>0.15</v>
      </c>
      <c r="E24921" t="s">
        <v>98</v>
      </c>
    </row>
    <row r="24922" spans="1:5" x14ac:dyDescent="0.25">
      <c r="A24922" t="str">
        <f>HYPERLINK("https://www.773grp.com/globalSearch/MMSZ6V8ET1/page-1", "MMSZ6V8ET1")</f>
        <v>MMSZ6V8ET1</v>
      </c>
      <c r="B24922" s="3" t="str">
        <f>HYPERLINK("https://www.773grp.com/manufacturer/onsemi?pageNo=50", "ON Semiconductor")</f>
        <v>ON Semiconductor</v>
      </c>
      <c r="C24922" s="6">
        <v>10000</v>
      </c>
      <c r="D24922" s="7">
        <v>0.15</v>
      </c>
      <c r="E24922" t="s">
        <v>98</v>
      </c>
    </row>
    <row r="24923" spans="1:5" x14ac:dyDescent="0.25">
      <c r="A24923" t="str">
        <f>HYPERLINK("https://www.773grp.com/globalSearch/MMSZ6V8T1G/page-1", "MMSZ6V8T1G")</f>
        <v>MMSZ6V8T1G</v>
      </c>
      <c r="B24923" s="3" t="str">
        <f>HYPERLINK("https://www.773grp.com/manufacturer/onsemi?pageNo=51", "ON Semiconductor")</f>
        <v>ON Semiconductor</v>
      </c>
      <c r="C24923" s="6">
        <v>90000</v>
      </c>
      <c r="D24923" s="7">
        <v>0.15</v>
      </c>
      <c r="E24923" t="s">
        <v>98</v>
      </c>
    </row>
    <row r="24924" spans="1:5" x14ac:dyDescent="0.25">
      <c r="A24924" t="str">
        <f>HYPERLINK("https://www.773grp.com/globalSearch/MMSZ7V5T1G/page-1", "MMSZ7V5T1G")</f>
        <v>MMSZ7V5T1G</v>
      </c>
      <c r="B24924" s="3" t="str">
        <f>HYPERLINK("https://www.773grp.com/manufacturer/onsemi?pageNo=52", "ON Semiconductor")</f>
        <v>ON Semiconductor</v>
      </c>
      <c r="C24924" s="6">
        <v>120168</v>
      </c>
      <c r="D24924" s="7">
        <v>0.15</v>
      </c>
      <c r="E24924" t="s">
        <v>98</v>
      </c>
    </row>
    <row r="24925" spans="1:5" x14ac:dyDescent="0.25">
      <c r="A24925" t="str">
        <f>HYPERLINK("https://www.773grp.com/globalSearch/MMSZ8V2ET1/page-1", "MMSZ8V2ET1")</f>
        <v>MMSZ8V2ET1</v>
      </c>
      <c r="B24925" s="3" t="str">
        <f>HYPERLINK("https://www.773grp.com/manufacturer/onsemi?pageNo=53", "ON Semiconductor")</f>
        <v>ON Semiconductor</v>
      </c>
      <c r="C24925" s="6">
        <v>2785</v>
      </c>
      <c r="D24925" s="7">
        <v>0.15</v>
      </c>
      <c r="E24925" t="s">
        <v>98</v>
      </c>
    </row>
    <row r="24926" spans="1:5" x14ac:dyDescent="0.25">
      <c r="A24926" t="str">
        <f>HYPERLINK("https://www.773grp.com/globalSearch/MMSZ8V2T1G/page-1", "MMSZ8V2T1G")</f>
        <v>MMSZ8V2T1G</v>
      </c>
      <c r="B24926" s="3" t="str">
        <f>HYPERLINK("https://www.773grp.com/manufacturer/onsemi?pageNo=54", "ON Semiconductor")</f>
        <v>ON Semiconductor</v>
      </c>
      <c r="C24926" s="6">
        <v>390000</v>
      </c>
      <c r="D24926" s="7">
        <v>0.15</v>
      </c>
      <c r="E24926" t="s">
        <v>98</v>
      </c>
    </row>
    <row r="24927" spans="1:5" x14ac:dyDescent="0.25">
      <c r="A24927" t="str">
        <f>HYPERLINK("https://www.773grp.com/globalSearch/MMSZ9V1ET1/page-1", "MMSZ9V1ET1")</f>
        <v>MMSZ9V1ET1</v>
      </c>
      <c r="B24927" s="3" t="str">
        <f>HYPERLINK("https://www.773grp.com/manufacturer/onsemi?pageNo=55", "ON Semiconductor")</f>
        <v>ON Semiconductor</v>
      </c>
      <c r="C24927" s="6">
        <v>12000</v>
      </c>
      <c r="D24927" s="7">
        <v>0.15</v>
      </c>
      <c r="E24927" t="s">
        <v>98</v>
      </c>
    </row>
    <row r="24928" spans="1:5" x14ac:dyDescent="0.25">
      <c r="A24928" t="str">
        <f>HYPERLINK("https://www.773grp.com/globalSearch/MMSZ9V1T1G/page-1", "MMSZ9V1T1G")</f>
        <v>MMSZ9V1T1G</v>
      </c>
      <c r="B24928" s="3" t="str">
        <f>HYPERLINK("https://www.773grp.com/manufacturer/onsemi?pageNo=56", "ON Semiconductor")</f>
        <v>ON Semiconductor</v>
      </c>
      <c r="C24928" s="6">
        <v>369000</v>
      </c>
      <c r="D24928" s="7">
        <v>0.15</v>
      </c>
      <c r="E24928" t="s">
        <v>98</v>
      </c>
    </row>
    <row r="24929" spans="1:5" x14ac:dyDescent="0.25">
      <c r="A24929" t="str">
        <f>HYPERLINK("https://www.773grp.com/globalSearch/MMUN2111LT1G/page-1", "MMUN2111LT1G")</f>
        <v>MMUN2111LT1G</v>
      </c>
      <c r="B24929" s="3" t="str">
        <f>HYPERLINK("https://www.773grp.com/manufacturer/onsemi?pageNo=57", "ON Semiconductor")</f>
        <v>ON Semiconductor</v>
      </c>
      <c r="C24929" s="6">
        <v>411675</v>
      </c>
      <c r="D24929" s="7">
        <v>0.15</v>
      </c>
      <c r="E24929" t="s">
        <v>69</v>
      </c>
    </row>
    <row r="24930" spans="1:5" x14ac:dyDescent="0.25">
      <c r="A24930" t="str">
        <f>HYPERLINK("https://www.773grp.com/globalSearch/MMUN2111LT3G/page-1", "MMUN2111LT3G")</f>
        <v>MMUN2111LT3G</v>
      </c>
      <c r="B24930" s="3" t="str">
        <f>HYPERLINK("https://www.773grp.com/manufacturer/onsemi?pageNo=58", "ON Semiconductor")</f>
        <v>ON Semiconductor</v>
      </c>
      <c r="C24930" s="6">
        <v>140000</v>
      </c>
      <c r="D24930" s="7">
        <v>0.15</v>
      </c>
    </row>
    <row r="24931" spans="1:5" x14ac:dyDescent="0.25">
      <c r="A24931" t="str">
        <f>HYPERLINK("https://www.773grp.com/globalSearch/MMUN2112LT1G/page-1", "MMUN2112LT1G")</f>
        <v>MMUN2112LT1G</v>
      </c>
      <c r="B24931" s="3" t="str">
        <f>HYPERLINK("https://www.773grp.com/manufacturer/onsemi?pageNo=59", "ON Semiconductor")</f>
        <v>ON Semiconductor</v>
      </c>
      <c r="C24931" s="6">
        <v>93000</v>
      </c>
      <c r="D24931" s="7">
        <v>0.15</v>
      </c>
      <c r="E24931" t="s">
        <v>69</v>
      </c>
    </row>
    <row r="24932" spans="1:5" x14ac:dyDescent="0.25">
      <c r="A24932" t="str">
        <f>HYPERLINK("https://www.773grp.com/globalSearch/MMUN2113LT1G/page-1", "MMUN2113LT1G")</f>
        <v>MMUN2113LT1G</v>
      </c>
      <c r="B24932" s="3" t="str">
        <f>HYPERLINK("https://www.773grp.com/manufacturer/onsemi?pageNo=60", "ON Semiconductor")</f>
        <v>ON Semiconductor</v>
      </c>
      <c r="C24932" s="6">
        <v>876000</v>
      </c>
      <c r="D24932" s="7">
        <v>0.15</v>
      </c>
      <c r="E24932" t="s">
        <v>69</v>
      </c>
    </row>
    <row r="24933" spans="1:5" x14ac:dyDescent="0.25">
      <c r="A24933" t="str">
        <f>HYPERLINK("https://www.773grp.com/globalSearch/MMUN2113LT3G/page-1", "MMUN2113LT3G")</f>
        <v>MMUN2113LT3G</v>
      </c>
      <c r="B24933" s="3" t="str">
        <f>HYPERLINK("https://www.773grp.com/manufacturer/onsemi?pageNo=61", "ON Semiconductor")</f>
        <v>ON Semiconductor</v>
      </c>
      <c r="C24933" s="6">
        <v>40000</v>
      </c>
      <c r="D24933" s="7">
        <v>0.15</v>
      </c>
      <c r="E24933" t="s">
        <v>69</v>
      </c>
    </row>
    <row r="24934" spans="1:5" x14ac:dyDescent="0.25">
      <c r="A24934" t="str">
        <f>HYPERLINK("https://www.773grp.com/globalSearch/MMUN2114LT1G/page-1", "MMUN2114LT1G")</f>
        <v>MMUN2114LT1G</v>
      </c>
      <c r="B24934" s="3" t="str">
        <f>HYPERLINK("https://www.773grp.com/manufacturer/onsemi?pageNo=62", "ON Semiconductor")</f>
        <v>ON Semiconductor</v>
      </c>
      <c r="C24934" s="6">
        <v>423000</v>
      </c>
      <c r="D24934" s="7">
        <v>0.15</v>
      </c>
      <c r="E24934" t="s">
        <v>69</v>
      </c>
    </row>
    <row r="24935" spans="1:5" x14ac:dyDescent="0.25">
      <c r="A24935" t="str">
        <f>HYPERLINK("https://www.773grp.com/globalSearch/MMUN2114LT3G/page-1", "MMUN2114LT3G")</f>
        <v>MMUN2114LT3G</v>
      </c>
      <c r="B24935" s="3" t="str">
        <f>HYPERLINK("https://www.773grp.com/manufacturer/onsemi?pageNo=63", "ON Semiconductor")</f>
        <v>ON Semiconductor</v>
      </c>
      <c r="C24935" s="6">
        <v>80000</v>
      </c>
      <c r="D24935" s="7">
        <v>0.15</v>
      </c>
    </row>
    <row r="24936" spans="1:5" x14ac:dyDescent="0.25">
      <c r="A24936" t="str">
        <f>HYPERLINK("https://www.773grp.com/globalSearch/MMUN2115LT1G/page-1", "MMUN2115LT1G")</f>
        <v>MMUN2115LT1G</v>
      </c>
      <c r="B24936" s="3" t="str">
        <f>HYPERLINK("https://www.773grp.com/manufacturer/onsemi?pageNo=64", "ON Semiconductor")</f>
        <v>ON Semiconductor</v>
      </c>
      <c r="C24936" s="6">
        <v>122727</v>
      </c>
      <c r="D24936" s="7">
        <v>0.15</v>
      </c>
      <c r="E24936" t="s">
        <v>69</v>
      </c>
    </row>
    <row r="24937" spans="1:5" x14ac:dyDescent="0.25">
      <c r="A24937" t="str">
        <f>HYPERLINK("https://www.773grp.com/globalSearch/MMUN2116LT1G/page-1", "MMUN2116LT1G")</f>
        <v>MMUN2116LT1G</v>
      </c>
      <c r="B24937" s="3" t="str">
        <f>HYPERLINK("https://www.773grp.com/manufacturer/onsemi?pageNo=65", "ON Semiconductor")</f>
        <v>ON Semiconductor</v>
      </c>
      <c r="C24937" s="6">
        <v>90000</v>
      </c>
      <c r="D24937" s="7">
        <v>0.15</v>
      </c>
      <c r="E24937" t="s">
        <v>69</v>
      </c>
    </row>
    <row r="24938" spans="1:5" x14ac:dyDescent="0.25">
      <c r="A24938" t="str">
        <f>HYPERLINK("https://www.773grp.com/globalSearch/MMUN2131LT1G/page-1", "MMUN2131LT1G")</f>
        <v>MMUN2131LT1G</v>
      </c>
      <c r="B24938" s="3" t="str">
        <f>HYPERLINK("https://www.773grp.com/manufacturer/onsemi?pageNo=66", "ON Semiconductor")</f>
        <v>ON Semiconductor</v>
      </c>
      <c r="C24938" s="6">
        <v>69000</v>
      </c>
      <c r="D24938" s="7">
        <v>0.15</v>
      </c>
      <c r="E24938" t="s">
        <v>69</v>
      </c>
    </row>
    <row r="24939" spans="1:5" x14ac:dyDescent="0.25">
      <c r="A24939" t="str">
        <f>HYPERLINK("https://www.773grp.com/globalSearch/MMUN2132LT1G/page-1", "MMUN2132LT1G")</f>
        <v>MMUN2132LT1G</v>
      </c>
      <c r="B24939" s="3" t="str">
        <f>HYPERLINK("https://www.773grp.com/manufacturer/onsemi?pageNo=67", "ON Semiconductor")</f>
        <v>ON Semiconductor</v>
      </c>
      <c r="C24939" s="6">
        <v>3858000</v>
      </c>
      <c r="D24939" s="7">
        <v>0.15</v>
      </c>
      <c r="E24939" t="s">
        <v>69</v>
      </c>
    </row>
    <row r="24940" spans="1:5" x14ac:dyDescent="0.25">
      <c r="A24940" t="str">
        <f>HYPERLINK("https://www.773grp.com/globalSearch/MMUN2133LT1G/page-1", "MMUN2133LT1G")</f>
        <v>MMUN2133LT1G</v>
      </c>
      <c r="B24940" s="3" t="str">
        <f>HYPERLINK("https://www.773grp.com/manufacturer/onsemi?pageNo=68", "ON Semiconductor")</f>
        <v>ON Semiconductor</v>
      </c>
      <c r="C24940" s="6">
        <v>147000</v>
      </c>
      <c r="D24940" s="7">
        <v>0.15</v>
      </c>
      <c r="E24940" t="s">
        <v>69</v>
      </c>
    </row>
    <row r="24941" spans="1:5" x14ac:dyDescent="0.25">
      <c r="A24941" t="str">
        <f>HYPERLINK("https://www.773grp.com/globalSearch/MMUN2134LT1G/page-1", "MMUN2134LT1G")</f>
        <v>MMUN2134LT1G</v>
      </c>
      <c r="B24941" s="3" t="str">
        <f>HYPERLINK("https://www.773grp.com/manufacturer/onsemi?pageNo=69", "ON Semiconductor")</f>
        <v>ON Semiconductor</v>
      </c>
      <c r="C24941" s="6">
        <v>41970</v>
      </c>
      <c r="D24941" s="7">
        <v>0.15</v>
      </c>
    </row>
    <row r="24942" spans="1:5" x14ac:dyDescent="0.25">
      <c r="A24942" t="str">
        <f>HYPERLINK("https://www.773grp.com/globalSearch/MMUN2211LT1G/page-1", "MMUN2211LT1G")</f>
        <v>MMUN2211LT1G</v>
      </c>
      <c r="B24942" s="3" t="str">
        <f>HYPERLINK("https://www.773grp.com/manufacturer/onsemi?pageNo=70", "ON Semiconductor")</f>
        <v>ON Semiconductor</v>
      </c>
      <c r="C24942" s="6">
        <v>266748</v>
      </c>
      <c r="D24942" s="7">
        <v>0.15</v>
      </c>
      <c r="E24942" t="s">
        <v>69</v>
      </c>
    </row>
    <row r="24943" spans="1:5" x14ac:dyDescent="0.25">
      <c r="A24943" t="str">
        <f>HYPERLINK("https://www.773grp.com/globalSearch/MMUN2211LT3G/page-1", "MMUN2211LT3G")</f>
        <v>MMUN2211LT3G</v>
      </c>
      <c r="B24943" s="3" t="str">
        <f>HYPERLINK("https://www.773grp.com/manufacturer/onsemi?pageNo=71", "ON Semiconductor")</f>
        <v>ON Semiconductor</v>
      </c>
      <c r="C24943" s="6">
        <v>913471</v>
      </c>
      <c r="D24943" s="7">
        <v>0.15</v>
      </c>
    </row>
    <row r="24944" spans="1:5" x14ac:dyDescent="0.25">
      <c r="A24944" t="str">
        <f>HYPERLINK("https://www.773grp.com/globalSearch/MMUN2212LT1G/page-1", "MMUN2212LT1G")</f>
        <v>MMUN2212LT1G</v>
      </c>
      <c r="B24944" s="3" t="str">
        <f>HYPERLINK("https://www.773grp.com/manufacturer/onsemi?pageNo=72", "ON Semiconductor")</f>
        <v>ON Semiconductor</v>
      </c>
      <c r="C24944" s="6">
        <v>18000</v>
      </c>
      <c r="D24944" s="7">
        <v>0.15</v>
      </c>
      <c r="E24944" t="s">
        <v>69</v>
      </c>
    </row>
    <row r="24945" spans="1:5" x14ac:dyDescent="0.25">
      <c r="A24945" t="str">
        <f>HYPERLINK("https://www.773grp.com/globalSearch/MMUN2213LT1G/page-1", "MMUN2213LT1G")</f>
        <v>MMUN2213LT1G</v>
      </c>
      <c r="B24945" s="3" t="str">
        <f>HYPERLINK("https://www.773grp.com/manufacturer/onsemi?pageNo=73", "ON Semiconductor")</f>
        <v>ON Semiconductor</v>
      </c>
      <c r="C24945" s="6">
        <v>206890</v>
      </c>
      <c r="D24945" s="7">
        <v>0.15</v>
      </c>
      <c r="E24945" t="s">
        <v>69</v>
      </c>
    </row>
    <row r="24946" spans="1:5" x14ac:dyDescent="0.25">
      <c r="A24946" t="str">
        <f>HYPERLINK("https://www.773grp.com/globalSearch/MMUN2214LT1G/page-1", "MMUN2214LT1G")</f>
        <v>MMUN2214LT1G</v>
      </c>
      <c r="B24946" s="3" t="str">
        <f>HYPERLINK("https://www.773grp.com/manufacturer/onsemi?pageNo=74", "ON Semiconductor")</f>
        <v>ON Semiconductor</v>
      </c>
      <c r="C24946" s="6">
        <v>858000</v>
      </c>
      <c r="D24946" s="7">
        <v>0.15</v>
      </c>
      <c r="E24946" t="s">
        <v>69</v>
      </c>
    </row>
    <row r="24947" spans="1:5" x14ac:dyDescent="0.25">
      <c r="A24947" t="str">
        <f>HYPERLINK("https://www.773grp.com/globalSearch/MMUN2215LT1G/page-1", "MMUN2215LT1G")</f>
        <v>MMUN2215LT1G</v>
      </c>
      <c r="B24947" s="3" t="str">
        <f>HYPERLINK("https://www.773grp.com/manufacturer/onsemi?pageNo=75", "ON Semiconductor")</f>
        <v>ON Semiconductor</v>
      </c>
      <c r="C24947" s="6">
        <v>2790000</v>
      </c>
      <c r="D24947" s="7">
        <v>0.15</v>
      </c>
      <c r="E24947" t="s">
        <v>69</v>
      </c>
    </row>
    <row r="24948" spans="1:5" x14ac:dyDescent="0.25">
      <c r="A24948" t="str">
        <f>HYPERLINK("https://www.773grp.com/globalSearch/MMUN2216LT1G/page-1", "MMUN2216LT1G")</f>
        <v>MMUN2216LT1G</v>
      </c>
      <c r="B24948" s="3" t="str">
        <f>HYPERLINK("https://www.773grp.com/manufacturer/onsemi?pageNo=76", "ON Semiconductor")</f>
        <v>ON Semiconductor</v>
      </c>
      <c r="C24948" s="6">
        <v>3000</v>
      </c>
      <c r="D24948" s="7">
        <v>0.15</v>
      </c>
      <c r="E24948" t="s">
        <v>69</v>
      </c>
    </row>
    <row r="24949" spans="1:5" x14ac:dyDescent="0.25">
      <c r="A24949" t="str">
        <f>HYPERLINK("https://www.773grp.com/globalSearch/MMUN2231LT1G/page-1", "MMUN2231LT1G")</f>
        <v>MMUN2231LT1G</v>
      </c>
      <c r="B24949" s="3" t="str">
        <f>HYPERLINK("https://www.773grp.com/manufacturer/onsemi?pageNo=77", "ON Semiconductor")</f>
        <v>ON Semiconductor</v>
      </c>
      <c r="C24949" s="6">
        <v>345000</v>
      </c>
      <c r="D24949" s="7">
        <v>0.15</v>
      </c>
      <c r="E24949" t="s">
        <v>69</v>
      </c>
    </row>
    <row r="24950" spans="1:5" x14ac:dyDescent="0.25">
      <c r="A24950" t="str">
        <f>HYPERLINK("https://www.773grp.com/globalSearch/MMUN2232LT1G/page-1", "MMUN2232LT1G")</f>
        <v>MMUN2232LT1G</v>
      </c>
      <c r="B24950" s="3" t="str">
        <f>HYPERLINK("https://www.773grp.com/manufacturer/onsemi?pageNo=78", "ON Semiconductor")</f>
        <v>ON Semiconductor</v>
      </c>
      <c r="C24950" s="6">
        <v>611400</v>
      </c>
      <c r="D24950" s="7">
        <v>0.15</v>
      </c>
      <c r="E24950" t="s">
        <v>69</v>
      </c>
    </row>
    <row r="24951" spans="1:5" x14ac:dyDescent="0.25">
      <c r="A24951" t="str">
        <f>HYPERLINK("https://www.773grp.com/globalSearch/MMUN2233LT1G/page-1", "MMUN2233LT1G")</f>
        <v>MMUN2233LT1G</v>
      </c>
      <c r="B24951" s="3" t="str">
        <f>HYPERLINK("https://www.773grp.com/manufacturer/onsemi?pageNo=79", "ON Semiconductor")</f>
        <v>ON Semiconductor</v>
      </c>
      <c r="C24951" s="6">
        <v>271284</v>
      </c>
      <c r="D24951" s="7">
        <v>0.15</v>
      </c>
      <c r="E24951" t="s">
        <v>69</v>
      </c>
    </row>
    <row r="24952" spans="1:5" x14ac:dyDescent="0.25">
      <c r="A24952" t="str">
        <f>HYPERLINK("https://www.773grp.com/globalSearch/MMUN2234LT1G/page-1", "MMUN2234LT1G")</f>
        <v>MMUN2234LT1G</v>
      </c>
      <c r="B24952" s="3" t="str">
        <f>HYPERLINK("https://www.773grp.com/manufacturer/onsemi?pageNo=80", "ON Semiconductor")</f>
        <v>ON Semiconductor</v>
      </c>
      <c r="C24952" s="6">
        <v>66000</v>
      </c>
      <c r="D24952" s="7">
        <v>0.15</v>
      </c>
      <c r="E24952" t="s">
        <v>69</v>
      </c>
    </row>
    <row r="24953" spans="1:5" x14ac:dyDescent="0.25">
      <c r="A24953" t="str">
        <f>HYPERLINK("https://www.773grp.com/globalSearch/MMUN2238LT1G/page-1", "MMUN2238LT1G")</f>
        <v>MMUN2238LT1G</v>
      </c>
      <c r="B24953" s="3" t="str">
        <f>HYPERLINK("https://www.773grp.com/manufacturer/onsemi?pageNo=81", "ON Semiconductor")</f>
        <v>ON Semiconductor</v>
      </c>
      <c r="C24953" s="6">
        <v>1311402</v>
      </c>
      <c r="D24953" s="7">
        <v>0.15</v>
      </c>
      <c r="E24953" t="s">
        <v>69</v>
      </c>
    </row>
    <row r="24954" spans="1:5" x14ac:dyDescent="0.25">
      <c r="A24954" t="str">
        <f>HYPERLINK("https://www.773grp.com/globalSearch/MMUN2241LT1G/page-1", "MMUN2241LT1G")</f>
        <v>MMUN2241LT1G</v>
      </c>
      <c r="B24954" s="3" t="str">
        <f>HYPERLINK("https://www.773grp.com/manufacturer/onsemi?pageNo=82", "ON Semiconductor")</f>
        <v>ON Semiconductor</v>
      </c>
      <c r="C24954" s="6">
        <v>30000</v>
      </c>
      <c r="D24954" s="7">
        <v>0.15</v>
      </c>
      <c r="E24954" t="s">
        <v>69</v>
      </c>
    </row>
    <row r="24955" spans="1:5" x14ac:dyDescent="0.25">
      <c r="A24955" t="str">
        <f>HYPERLINK("https://www.773grp.com/globalSearch/MPS2222ARL/page-1", "MPS2222ARL")</f>
        <v>MPS2222ARL</v>
      </c>
      <c r="B24955" s="3" t="str">
        <f>HYPERLINK("https://www.773grp.com/manufacturer/onsemi?pageNo=83", "ON Semiconductor")</f>
        <v>ON Semiconductor</v>
      </c>
      <c r="C24955" s="6">
        <v>8000</v>
      </c>
      <c r="D24955" s="7">
        <v>0.15</v>
      </c>
      <c r="E24955" t="s">
        <v>69</v>
      </c>
    </row>
    <row r="24956" spans="1:5" x14ac:dyDescent="0.25">
      <c r="A24956" t="str">
        <f>HYPERLINK("https://www.773grp.com/globalSearch/MPS2222ARLRPG/page-1", "MPS2222ARLRPG")</f>
        <v>MPS2222ARLRPG</v>
      </c>
      <c r="B24956" s="3" t="str">
        <f>HYPERLINK("https://www.773grp.com/manufacturer/onsemi?pageNo=84", "ON Semiconductor")</f>
        <v>ON Semiconductor</v>
      </c>
      <c r="C24956" s="6">
        <v>114000</v>
      </c>
      <c r="D24956" s="7">
        <v>0.15</v>
      </c>
      <c r="E24956" t="s">
        <v>69</v>
      </c>
    </row>
    <row r="24957" spans="1:5" x14ac:dyDescent="0.25">
      <c r="A24957" t="str">
        <f>HYPERLINK("https://www.773grp.com/globalSearch/MPS2222RLRA/page-1", "MPS2222RLRA")</f>
        <v>MPS2222RLRA</v>
      </c>
      <c r="B24957" s="3" t="str">
        <f>HYPERLINK("https://www.773grp.com/manufacturer/onsemi?pageNo=85", "ON Semiconductor")</f>
        <v>ON Semiconductor</v>
      </c>
      <c r="C24957" s="6">
        <v>122000</v>
      </c>
      <c r="D24957" s="7">
        <v>0.15</v>
      </c>
      <c r="E24957" t="s">
        <v>69</v>
      </c>
    </row>
    <row r="24958" spans="1:5" x14ac:dyDescent="0.25">
      <c r="A24958" t="str">
        <f>HYPERLINK("https://www.773grp.com/globalSearch/MPS2222RLRAG/page-1", "MPS2222RLRAG")</f>
        <v>MPS2222RLRAG</v>
      </c>
      <c r="B24958" s="3" t="str">
        <f>HYPERLINK("https://www.773grp.com/manufacturer/onsemi?pageNo=86", "ON Semiconductor")</f>
        <v>ON Semiconductor</v>
      </c>
      <c r="C24958" s="6">
        <v>32000</v>
      </c>
      <c r="D24958" s="7">
        <v>0.15</v>
      </c>
      <c r="E24958" t="s">
        <v>69</v>
      </c>
    </row>
    <row r="24959" spans="1:5" x14ac:dyDescent="0.25">
      <c r="A24959" t="str">
        <f>HYPERLINK("https://www.773grp.com/globalSearch/MPS2222RLRM/page-1", "MPS2222RLRM")</f>
        <v>MPS2222RLRM</v>
      </c>
      <c r="B24959" s="3" t="str">
        <f>HYPERLINK("https://www.773grp.com/manufacturer/onsemi?pageNo=87", "ON Semiconductor")</f>
        <v>ON Semiconductor</v>
      </c>
      <c r="C24959" s="6">
        <v>228000</v>
      </c>
      <c r="D24959" s="7">
        <v>0.15</v>
      </c>
      <c r="E24959" t="s">
        <v>69</v>
      </c>
    </row>
    <row r="24960" spans="1:5" x14ac:dyDescent="0.25">
      <c r="A24960" t="str">
        <f>HYPERLINK("https://www.773grp.com/globalSearch/MPS2222RLRMG/page-1", "MPS2222RLRMG")</f>
        <v>MPS2222RLRMG</v>
      </c>
      <c r="B24960" s="3" t="str">
        <f>HYPERLINK("https://www.773grp.com/manufacturer/onsemi?pageNo=88", "ON Semiconductor")</f>
        <v>ON Semiconductor</v>
      </c>
      <c r="C24960" s="6">
        <v>16000</v>
      </c>
      <c r="D24960" s="7">
        <v>0.15</v>
      </c>
      <c r="E24960" t="s">
        <v>69</v>
      </c>
    </row>
    <row r="24961" spans="1:5" x14ac:dyDescent="0.25">
      <c r="A24961" t="str">
        <f>HYPERLINK("https://www.773grp.com/globalSearch/MPS2369ARLRP/page-1", "MPS2369ARLRP")</f>
        <v>MPS2369ARLRP</v>
      </c>
      <c r="B24961" s="3" t="str">
        <f>HYPERLINK("https://www.773grp.com/manufacturer/onsemi?pageNo=89", "ON Semiconductor")</f>
        <v>ON Semiconductor</v>
      </c>
      <c r="C24961" s="6">
        <v>1</v>
      </c>
      <c r="D24961" s="7">
        <v>0.15</v>
      </c>
      <c r="E24961" t="s">
        <v>69</v>
      </c>
    </row>
    <row r="24962" spans="1:5" x14ac:dyDescent="0.25">
      <c r="A24962" t="str">
        <f>HYPERLINK("https://www.773grp.com/globalSearch/MPS2369RLRA/page-1", "MPS2369RLRA")</f>
        <v>MPS2369RLRA</v>
      </c>
      <c r="B24962" s="3" t="str">
        <f>HYPERLINK("https://www.773grp.com/manufacturer/onsemi?pageNo=90", "ON Semiconductor")</f>
        <v>ON Semiconductor</v>
      </c>
      <c r="C24962" s="6">
        <v>40750</v>
      </c>
      <c r="D24962" s="7">
        <v>0.15</v>
      </c>
      <c r="E24962" t="s">
        <v>69</v>
      </c>
    </row>
    <row r="24963" spans="1:5" x14ac:dyDescent="0.25">
      <c r="A24963" t="str">
        <f>HYPERLINK("https://www.773grp.com/globalSearch/MPS2369RLRAG/page-1", "MPS2369RLRAG")</f>
        <v>MPS2369RLRAG</v>
      </c>
      <c r="B24963" s="3" t="str">
        <f>HYPERLINK("https://www.773grp.com/manufacturer/onsemi?pageNo=91", "ON Semiconductor")</f>
        <v>ON Semiconductor</v>
      </c>
      <c r="C24963" s="6">
        <v>16350</v>
      </c>
      <c r="D24963" s="7">
        <v>0.15</v>
      </c>
      <c r="E24963" t="s">
        <v>69</v>
      </c>
    </row>
    <row r="24964" spans="1:5" x14ac:dyDescent="0.25">
      <c r="A24964" t="str">
        <f>HYPERLINK("https://www.773grp.com/globalSearch/MPS2907ARLRM/page-1", "MPS2907ARLRM")</f>
        <v>MPS2907ARLRM</v>
      </c>
      <c r="B24964" s="3" t="str">
        <f>HYPERLINK("https://www.773grp.com/manufacturer/onsemi?pageNo=92", "ON Semiconductor")</f>
        <v>ON Semiconductor</v>
      </c>
      <c r="C24964" s="6">
        <v>280000</v>
      </c>
      <c r="D24964" s="7">
        <v>0.15</v>
      </c>
      <c r="E24964" t="s">
        <v>69</v>
      </c>
    </row>
    <row r="24965" spans="1:5" x14ac:dyDescent="0.25">
      <c r="A24965" t="str">
        <f>HYPERLINK("https://www.773grp.com/globalSearch/MPS2907AZL1/page-1", "MPS2907AZL1")</f>
        <v>MPS2907AZL1</v>
      </c>
      <c r="B24965" s="3" t="str">
        <f>HYPERLINK("https://www.773grp.com/manufacturer/onsemi?pageNo=93", "ON Semiconductor")</f>
        <v>ON Semiconductor</v>
      </c>
      <c r="C24965" s="6">
        <v>10000</v>
      </c>
      <c r="D24965" s="7">
        <v>0.15</v>
      </c>
      <c r="E24965" t="s">
        <v>69</v>
      </c>
    </row>
    <row r="24966" spans="1:5" x14ac:dyDescent="0.25">
      <c r="A24966" t="str">
        <f>HYPERLINK("https://www.773grp.com/globalSearch/MPS3563/page-1", "MPS3563")</f>
        <v>MPS3563</v>
      </c>
      <c r="B24966" s="3" t="str">
        <f>HYPERLINK("https://www.773grp.com/manufacturer/onsemi?pageNo=94", "ON Semiconductor")</f>
        <v>ON Semiconductor</v>
      </c>
      <c r="C24966" s="6">
        <v>8000</v>
      </c>
      <c r="D24966" s="7">
        <v>0.15</v>
      </c>
      <c r="E24966" t="s">
        <v>61</v>
      </c>
    </row>
    <row r="24967" spans="1:5" x14ac:dyDescent="0.25">
      <c r="A24967" t="str">
        <f>HYPERLINK("https://www.773grp.com/globalSearch/MPS3563G/page-1", "MPS3563G")</f>
        <v>MPS3563G</v>
      </c>
      <c r="B24967" s="3" t="str">
        <f>HYPERLINK("https://www.773grp.com/manufacturer/onsemi?pageNo=95", "ON Semiconductor")</f>
        <v>ON Semiconductor</v>
      </c>
      <c r="C24967" s="6">
        <v>8750</v>
      </c>
      <c r="D24967" s="7">
        <v>0.15</v>
      </c>
      <c r="E24967" t="s">
        <v>61</v>
      </c>
    </row>
    <row r="24968" spans="1:5" x14ac:dyDescent="0.25">
      <c r="A24968" t="str">
        <f>HYPERLINK("https://www.773grp.com/globalSearch/MPS3563RLRA/page-1", "MPS3563RLRA")</f>
        <v>MPS3563RLRA</v>
      </c>
      <c r="B24968" s="3" t="str">
        <f>HYPERLINK("https://www.773grp.com/manufacturer/onsemi?pageNo=96", "ON Semiconductor")</f>
        <v>ON Semiconductor</v>
      </c>
      <c r="C24968" s="6">
        <v>6000</v>
      </c>
      <c r="D24968" s="7">
        <v>0.15</v>
      </c>
      <c r="E24968" t="s">
        <v>61</v>
      </c>
    </row>
    <row r="24969" spans="1:5" x14ac:dyDescent="0.25">
      <c r="A24969" t="str">
        <f>HYPERLINK("https://www.773grp.com/globalSearch/MPS4124/page-1", "MPS4124")</f>
        <v>MPS4124</v>
      </c>
      <c r="B24969" s="3" t="str">
        <f>HYPERLINK("https://www.773grp.com/manufacturer/onsemi?pageNo=97", "ON Semiconductor")</f>
        <v>ON Semiconductor</v>
      </c>
      <c r="C24969" s="6">
        <v>14000</v>
      </c>
      <c r="D24969" s="7">
        <v>0.15</v>
      </c>
      <c r="E24969" t="s">
        <v>69</v>
      </c>
    </row>
    <row r="24970" spans="1:5" x14ac:dyDescent="0.25">
      <c r="A24970" t="str">
        <f>HYPERLINK("https://www.773grp.com/globalSearch/MPS4124G/page-1", "MPS4124G")</f>
        <v>MPS4124G</v>
      </c>
      <c r="B24970" s="3" t="str">
        <f>HYPERLINK("https://www.773grp.com/manufacturer/onsemi?pageNo=98", "ON Semiconductor")</f>
        <v>ON Semiconductor</v>
      </c>
      <c r="C24970" s="6">
        <v>49800</v>
      </c>
      <c r="D24970" s="7">
        <v>0.15</v>
      </c>
      <c r="E24970" t="s">
        <v>69</v>
      </c>
    </row>
    <row r="24971" spans="1:5" x14ac:dyDescent="0.25">
      <c r="A24971" t="str">
        <f>HYPERLINK("https://www.773grp.com/globalSearch/MPS4124RLRA/page-1", "MPS4124RLRA")</f>
        <v>MPS4124RLRA</v>
      </c>
      <c r="B24971" s="3" t="str">
        <f>HYPERLINK("https://www.773grp.com/manufacturer/onsemi?pageNo=99", "ON Semiconductor")</f>
        <v>ON Semiconductor</v>
      </c>
      <c r="C24971" s="6">
        <v>4000</v>
      </c>
      <c r="D24971" s="7">
        <v>0.15</v>
      </c>
      <c r="E24971" t="s">
        <v>69</v>
      </c>
    </row>
    <row r="24972" spans="1:5" x14ac:dyDescent="0.25">
      <c r="A24972" t="str">
        <f>HYPERLINK("https://www.773grp.com/globalSearch/MPS4126RLRA/page-1", "MPS4126RLRA")</f>
        <v>MPS4126RLRA</v>
      </c>
      <c r="B24972" s="3" t="str">
        <f>HYPERLINK("https://www.773grp.com/manufacturer/onsemi?pageNo=100", "ON Semiconductor")</f>
        <v>ON Semiconductor</v>
      </c>
      <c r="C24972" s="6">
        <v>6000</v>
      </c>
      <c r="D24972" s="7">
        <v>0.15</v>
      </c>
      <c r="E24972" t="s">
        <v>69</v>
      </c>
    </row>
    <row r="24973" spans="1:5" x14ac:dyDescent="0.25">
      <c r="A24973" t="str">
        <f>HYPERLINK("https://www.773grp.com/globalSearch/MPS4250/page-1", "MPS4250")</f>
        <v>MPS4250</v>
      </c>
      <c r="B24973" s="3" t="str">
        <f>HYPERLINK("https://www.773grp.com/manufacturer/onsemi?pageNo=101", "ON Semiconductor")</f>
        <v>ON Semiconductor</v>
      </c>
      <c r="C24973" s="6">
        <v>25000</v>
      </c>
      <c r="D24973" s="7">
        <v>0.15</v>
      </c>
      <c r="E24973" t="s">
        <v>69</v>
      </c>
    </row>
    <row r="24974" spans="1:5" x14ac:dyDescent="0.25">
      <c r="A24974" t="str">
        <f>HYPERLINK("https://www.773grp.com/globalSearch/MPS4250ARLRM/page-1", "MPS4250ARLRM")</f>
        <v>MPS4250ARLRM</v>
      </c>
      <c r="B24974" s="3" t="str">
        <f>HYPERLINK("https://www.773grp.com/manufacturer/onsemi?pageNo=102", "ON Semiconductor")</f>
        <v>ON Semiconductor</v>
      </c>
      <c r="C24974" s="6">
        <v>32000</v>
      </c>
      <c r="D24974" s="7">
        <v>0.15</v>
      </c>
      <c r="E24974" t="s">
        <v>69</v>
      </c>
    </row>
    <row r="24975" spans="1:5" x14ac:dyDescent="0.25">
      <c r="A24975" t="str">
        <f>HYPERLINK("https://www.773grp.com/globalSearch/MPS4250ARLRMG/page-1", "MPS4250ARLRMG")</f>
        <v>MPS4250ARLRMG</v>
      </c>
      <c r="B24975" s="3" t="str">
        <f>HYPERLINK("https://www.773grp.com/manufacturer/onsemi?pageNo=103", "ON Semiconductor")</f>
        <v>ON Semiconductor</v>
      </c>
      <c r="C24975" s="6">
        <v>29900</v>
      </c>
      <c r="D24975" s="7">
        <v>0.15</v>
      </c>
      <c r="E24975" t="s">
        <v>69</v>
      </c>
    </row>
    <row r="24976" spans="1:5" x14ac:dyDescent="0.25">
      <c r="A24976" t="str">
        <f>HYPERLINK("https://www.773grp.com/globalSearch/MPS4250G/page-1", "MPS4250G")</f>
        <v>MPS4250G</v>
      </c>
      <c r="B24976" s="3" t="str">
        <f>HYPERLINK("https://www.773grp.com/manufacturer/onsemi?pageNo=104", "ON Semiconductor")</f>
        <v>ON Semiconductor</v>
      </c>
      <c r="C24976" s="6">
        <v>30010</v>
      </c>
      <c r="D24976" s="7">
        <v>0.15</v>
      </c>
      <c r="E24976" t="s">
        <v>69</v>
      </c>
    </row>
    <row r="24977" spans="1:5" x14ac:dyDescent="0.25">
      <c r="A24977" t="str">
        <f>HYPERLINK("https://www.773grp.com/globalSearch/MPS5172G/page-1", "MPS5172G")</f>
        <v>MPS5172G</v>
      </c>
      <c r="B24977" s="3" t="str">
        <f>HYPERLINK("https://www.773grp.com/manufacturer/onsemi?pageNo=105", "ON Semiconductor")</f>
        <v>ON Semiconductor</v>
      </c>
      <c r="C24977" s="6">
        <v>1555</v>
      </c>
      <c r="D24977" s="7">
        <v>0.15</v>
      </c>
      <c r="E24977" t="s">
        <v>69</v>
      </c>
    </row>
    <row r="24978" spans="1:5" x14ac:dyDescent="0.25">
      <c r="A24978" t="str">
        <f>HYPERLINK("https://www.773grp.com/globalSearch/MPS5179RLRP/page-1", "MPS5179RLRP")</f>
        <v>MPS5179RLRP</v>
      </c>
      <c r="B24978" s="3" t="str">
        <f>HYPERLINK("https://www.773grp.com/manufacturer/onsemi?pageNo=106", "ON Semiconductor")</f>
        <v>ON Semiconductor</v>
      </c>
      <c r="C24978" s="6">
        <v>4000</v>
      </c>
      <c r="D24978" s="7">
        <v>0.15</v>
      </c>
      <c r="E24978" t="s">
        <v>61</v>
      </c>
    </row>
    <row r="24979" spans="1:5" x14ac:dyDescent="0.25">
      <c r="A24979" t="str">
        <f>HYPERLINK("https://www.773grp.com/globalSearch/MPS9418AT/page-1", "MPS9418AT")</f>
        <v>MPS9418AT</v>
      </c>
      <c r="B24979" s="3" t="str">
        <f>HYPERLINK("https://www.773grp.com/manufacturer/onsemi?pageNo=107", "ON Semiconductor")</f>
        <v>ON Semiconductor</v>
      </c>
      <c r="C24979" s="6">
        <v>10000</v>
      </c>
      <c r="D24979" s="7">
        <v>0.15</v>
      </c>
    </row>
    <row r="24980" spans="1:5" x14ac:dyDescent="0.25">
      <c r="A24980" t="str">
        <f>HYPERLINK("https://www.773grp.com/globalSearch/MPS9426C/page-1", "MPS9426C")</f>
        <v>MPS9426C</v>
      </c>
      <c r="B24980" s="3" t="str">
        <f>HYPERLINK("https://www.773grp.com/manufacturer/onsemi?pageNo=108", "ON Semiconductor")</f>
        <v>ON Semiconductor</v>
      </c>
      <c r="C24980" s="6">
        <v>5000</v>
      </c>
      <c r="D24980" s="7">
        <v>0.15</v>
      </c>
      <c r="E24980" t="s">
        <v>69</v>
      </c>
    </row>
    <row r="24981" spans="1:5" x14ac:dyDescent="0.25">
      <c r="A24981" t="str">
        <f>HYPERLINK("https://www.773grp.com/globalSearch/MPSA05/page-1", "MPSA05")</f>
        <v>MPSA05</v>
      </c>
      <c r="B24981" s="3" t="str">
        <f>HYPERLINK("https://www.773grp.com/manufacturer/onsemi?pageNo=109", "ON Semiconductor")</f>
        <v>ON Semiconductor</v>
      </c>
      <c r="C24981" s="6">
        <v>36900</v>
      </c>
      <c r="D24981" s="7">
        <v>0.15</v>
      </c>
      <c r="E24981" t="s">
        <v>69</v>
      </c>
    </row>
    <row r="24982" spans="1:5" x14ac:dyDescent="0.25">
      <c r="A24982" t="str">
        <f>HYPERLINK("https://www.773grp.com/globalSearch/MPSA12G/page-1", "MPSA12G")</f>
        <v>MPSA12G</v>
      </c>
      <c r="B24982" s="3" t="str">
        <f>HYPERLINK("https://www.773grp.com/manufacturer/onsemi?pageNo=110", "ON Semiconductor")</f>
        <v>ON Semiconductor</v>
      </c>
      <c r="C24982" s="6">
        <v>10475</v>
      </c>
      <c r="D24982" s="7">
        <v>0.15</v>
      </c>
      <c r="E24982" t="s">
        <v>69</v>
      </c>
    </row>
    <row r="24983" spans="1:5" x14ac:dyDescent="0.25">
      <c r="A24983" t="str">
        <f>HYPERLINK("https://www.773grp.com/globalSearch/MPSA12RLRA/page-1", "MPSA12RLRA")</f>
        <v>MPSA12RLRA</v>
      </c>
      <c r="B24983" s="3" t="str">
        <f>HYPERLINK("https://www.773grp.com/manufacturer/onsemi?pageNo=111", "ON Semiconductor")</f>
        <v>ON Semiconductor</v>
      </c>
      <c r="C24983" s="6">
        <v>9660</v>
      </c>
      <c r="D24983" s="7">
        <v>0.15</v>
      </c>
      <c r="E24983" t="s">
        <v>69</v>
      </c>
    </row>
    <row r="24984" spans="1:5" x14ac:dyDescent="0.25">
      <c r="A24984" t="str">
        <f>HYPERLINK("https://www.773grp.com/globalSearch/MPSA13/page-1", "MPSA13")</f>
        <v>MPSA13</v>
      </c>
      <c r="B24984" s="3" t="str">
        <f>HYPERLINK("https://www.773grp.com/manufacturer/onsemi?pageNo=112", "ON Semiconductor")</f>
        <v>ON Semiconductor</v>
      </c>
      <c r="C24984" s="6">
        <v>23000</v>
      </c>
      <c r="D24984" s="7">
        <v>0.15</v>
      </c>
      <c r="E24984" t="s">
        <v>69</v>
      </c>
    </row>
    <row r="24985" spans="1:5" x14ac:dyDescent="0.25">
      <c r="A24985" t="str">
        <f>HYPERLINK("https://www.773grp.com/globalSearch/MPSA13RLRP/page-1", "MPSA13RLRP")</f>
        <v>MPSA13RLRP</v>
      </c>
      <c r="B24985" s="3" t="str">
        <f>HYPERLINK("https://www.773grp.com/manufacturer/onsemi?pageNo=113", "ON Semiconductor")</f>
        <v>ON Semiconductor</v>
      </c>
      <c r="C24985" s="6">
        <v>32000</v>
      </c>
      <c r="D24985" s="7">
        <v>0.15</v>
      </c>
      <c r="E24985" t="s">
        <v>69</v>
      </c>
    </row>
    <row r="24986" spans="1:5" x14ac:dyDescent="0.25">
      <c r="A24986" t="str">
        <f>HYPERLINK("https://www.773grp.com/globalSearch/MPSA14RLRA/page-1", "MPSA14RLRA")</f>
        <v>MPSA14RLRA</v>
      </c>
      <c r="B24986" s="3" t="str">
        <f>HYPERLINK("https://www.773grp.com/manufacturer/onsemi?pageNo=114", "ON Semiconductor")</f>
        <v>ON Semiconductor</v>
      </c>
      <c r="C24986" s="6">
        <v>100000</v>
      </c>
      <c r="D24986" s="7">
        <v>0.15</v>
      </c>
      <c r="E24986" t="s">
        <v>69</v>
      </c>
    </row>
    <row r="24987" spans="1:5" x14ac:dyDescent="0.25">
      <c r="A24987" t="str">
        <f>HYPERLINK("https://www.773grp.com/globalSearch/MPSA18RLRA/page-1", "MPSA18RLRA")</f>
        <v>MPSA18RLRA</v>
      </c>
      <c r="B24987" s="3" t="str">
        <f>HYPERLINK("https://www.773grp.com/manufacturer/onsemi?pageNo=115", "ON Semiconductor")</f>
        <v>ON Semiconductor</v>
      </c>
      <c r="C24987" s="6">
        <v>50000</v>
      </c>
      <c r="D24987" s="7">
        <v>0.15</v>
      </c>
      <c r="E24987" t="s">
        <v>69</v>
      </c>
    </row>
    <row r="24988" spans="1:5" x14ac:dyDescent="0.25">
      <c r="A24988" t="str">
        <f>HYPERLINK("https://www.773grp.com/globalSearch/MPSA18RLRP/page-1", "MPSA18RLRP")</f>
        <v>MPSA18RLRP</v>
      </c>
      <c r="B24988" s="3" t="str">
        <f>HYPERLINK("https://www.773grp.com/manufacturer/onsemi?pageNo=116", "ON Semiconductor")</f>
        <v>ON Semiconductor</v>
      </c>
      <c r="C24988" s="6">
        <v>61000</v>
      </c>
      <c r="D24988" s="7">
        <v>0.15</v>
      </c>
      <c r="E24988" t="s">
        <v>69</v>
      </c>
    </row>
    <row r="24989" spans="1:5" x14ac:dyDescent="0.25">
      <c r="A24989" t="str">
        <f>HYPERLINK("https://www.773grp.com/globalSearch/MPSA27/page-1", "MPSA27")</f>
        <v>MPSA27</v>
      </c>
      <c r="B24989" s="3" t="str">
        <f>HYPERLINK("https://www.773grp.com/manufacturer/onsemi?pageNo=117", "ON Semiconductor")</f>
        <v>ON Semiconductor</v>
      </c>
      <c r="C24989" s="6">
        <v>1049</v>
      </c>
      <c r="D24989" s="7">
        <v>0.15</v>
      </c>
      <c r="E24989" t="s">
        <v>69</v>
      </c>
    </row>
    <row r="24990" spans="1:5" x14ac:dyDescent="0.25">
      <c r="A24990" t="str">
        <f>HYPERLINK("https://www.773grp.com/globalSearch/MPSA28/page-1", "MPSA28")</f>
        <v>MPSA28</v>
      </c>
      <c r="B24990" s="3" t="str">
        <f>HYPERLINK("https://www.773grp.com/manufacturer/onsemi?pageNo=118", "ON Semiconductor")</f>
        <v>ON Semiconductor</v>
      </c>
      <c r="C24990" s="6">
        <v>14000</v>
      </c>
      <c r="D24990" s="7">
        <v>0.15</v>
      </c>
      <c r="E24990" t="s">
        <v>69</v>
      </c>
    </row>
    <row r="24991" spans="1:5" x14ac:dyDescent="0.25">
      <c r="A24991" t="str">
        <f>HYPERLINK("https://www.773grp.com/globalSearch/MPSA28G/page-1", "MPSA28G")</f>
        <v>MPSA28G</v>
      </c>
      <c r="B24991" s="3" t="str">
        <f>HYPERLINK("https://www.773grp.com/manufacturer/onsemi?pageNo=119", "ON Semiconductor")</f>
        <v>ON Semiconductor</v>
      </c>
      <c r="C24991" s="6">
        <v>59966</v>
      </c>
      <c r="D24991" s="7">
        <v>0.15</v>
      </c>
      <c r="E24991" t="s">
        <v>69</v>
      </c>
    </row>
    <row r="24992" spans="1:5" x14ac:dyDescent="0.25">
      <c r="A24992" t="str">
        <f>HYPERLINK("https://www.773grp.com/globalSearch/MPSA28RLRP/page-1", "MPSA28RLRP")</f>
        <v>MPSA28RLRP</v>
      </c>
      <c r="B24992" s="3" t="str">
        <f>HYPERLINK("https://www.773grp.com/manufacturer/onsemi?pageNo=120", "ON Semiconductor")</f>
        <v>ON Semiconductor</v>
      </c>
      <c r="C24992" s="6">
        <v>2000</v>
      </c>
      <c r="D24992" s="7">
        <v>0.15</v>
      </c>
      <c r="E24992" t="s">
        <v>69</v>
      </c>
    </row>
    <row r="24993" spans="1:5" x14ac:dyDescent="0.25">
      <c r="A24993" t="str">
        <f>HYPERLINK("https://www.773grp.com/globalSearch/MPSA42ZL1G/page-1", "MPSA42ZL1G")</f>
        <v>MPSA42ZL1G</v>
      </c>
      <c r="B24993" s="3" t="str">
        <f>HYPERLINK("https://www.773grp.com/manufacturer/onsemi?pageNo=121", "ON Semiconductor")</f>
        <v>ON Semiconductor</v>
      </c>
      <c r="C24993" s="6">
        <v>11812</v>
      </c>
      <c r="D24993" s="7">
        <v>0.15</v>
      </c>
      <c r="E24993" t="s">
        <v>69</v>
      </c>
    </row>
    <row r="24994" spans="1:5" x14ac:dyDescent="0.25">
      <c r="A24994" t="str">
        <f>HYPERLINK("https://www.773grp.com/globalSearch/MPSA56RL1/page-1", "MPSA56RL1")</f>
        <v>MPSA56RL1</v>
      </c>
      <c r="B24994" s="3" t="str">
        <f>HYPERLINK("https://www.773grp.com/manufacturer/onsemi?pageNo=122", "ON Semiconductor")</f>
        <v>ON Semiconductor</v>
      </c>
      <c r="C24994" s="6">
        <v>17975</v>
      </c>
      <c r="D24994" s="7">
        <v>0.15</v>
      </c>
      <c r="E24994" t="s">
        <v>69</v>
      </c>
    </row>
    <row r="24995" spans="1:5" x14ac:dyDescent="0.25">
      <c r="A24995" t="str">
        <f>HYPERLINK("https://www.773grp.com/globalSearch/MPSA63RLRP/page-1", "MPSA63RLRP")</f>
        <v>MPSA63RLRP</v>
      </c>
      <c r="B24995" s="3" t="str">
        <f>HYPERLINK("https://www.773grp.com/manufacturer/onsemi?pageNo=123", "ON Semiconductor")</f>
        <v>ON Semiconductor</v>
      </c>
      <c r="C24995" s="6">
        <v>6000</v>
      </c>
      <c r="D24995" s="7">
        <v>0.15</v>
      </c>
      <c r="E24995" t="s">
        <v>69</v>
      </c>
    </row>
    <row r="24996" spans="1:5" x14ac:dyDescent="0.25">
      <c r="A24996" t="str">
        <f>HYPERLINK("https://www.773grp.com/globalSearch/MPSA70RLRM/page-1", "MPSA70RLRM")</f>
        <v>MPSA70RLRM</v>
      </c>
      <c r="B24996" s="3" t="str">
        <f>HYPERLINK("https://www.773grp.com/manufacturer/onsemi?pageNo=124", "ON Semiconductor")</f>
        <v>ON Semiconductor</v>
      </c>
      <c r="C24996" s="6">
        <v>28000</v>
      </c>
      <c r="D24996" s="7">
        <v>0.15</v>
      </c>
      <c r="E24996" t="s">
        <v>69</v>
      </c>
    </row>
    <row r="24997" spans="1:5" x14ac:dyDescent="0.25">
      <c r="A24997" t="str">
        <f>HYPERLINK("https://www.773grp.com/globalSearch/MPSA92ZL1G/page-1", "MPSA92ZL1G")</f>
        <v>MPSA92ZL1G</v>
      </c>
      <c r="B24997" s="3" t="str">
        <f>HYPERLINK("https://www.773grp.com/manufacturer/onsemi?pageNo=125", "ON Semiconductor")</f>
        <v>ON Semiconductor</v>
      </c>
      <c r="C24997" s="6">
        <v>12000</v>
      </c>
      <c r="D24997" s="7">
        <v>0.15</v>
      </c>
    </row>
    <row r="24998" spans="1:5" x14ac:dyDescent="0.25">
      <c r="A24998" t="str">
        <f>HYPERLINK("https://www.773grp.com/globalSearch/MPSH10RLRA/page-1", "MPSH10RLRA")</f>
        <v>MPSH10RLRA</v>
      </c>
      <c r="B24998" s="3" t="str">
        <f>HYPERLINK("https://www.773grp.com/manufacturer/onsemi?pageNo=126", "ON Semiconductor")</f>
        <v>ON Semiconductor</v>
      </c>
      <c r="C24998" s="6">
        <v>1000</v>
      </c>
      <c r="D24998" s="7">
        <v>0.15</v>
      </c>
      <c r="E24998" t="s">
        <v>61</v>
      </c>
    </row>
    <row r="24999" spans="1:5" x14ac:dyDescent="0.25">
      <c r="A24999" t="str">
        <f>HYPERLINK("https://www.773grp.com/globalSearch/MPSH10RLRPG/page-1", "MPSH10RLRPG")</f>
        <v>MPSH10RLRPG</v>
      </c>
      <c r="B24999" s="3" t="str">
        <f>HYPERLINK("https://www.773grp.com/manufacturer/onsemi?pageNo=127", "ON Semiconductor")</f>
        <v>ON Semiconductor</v>
      </c>
      <c r="C24999" s="6">
        <v>16000</v>
      </c>
      <c r="D24999" s="7">
        <v>0.15</v>
      </c>
      <c r="E24999" t="s">
        <v>61</v>
      </c>
    </row>
    <row r="25000" spans="1:5" x14ac:dyDescent="0.25">
      <c r="A25000" t="str">
        <f>HYPERLINK("https://www.773grp.com/globalSearch/MPSH17/page-1", "MPSH17")</f>
        <v>MPSH17</v>
      </c>
      <c r="B25000" s="3" t="str">
        <f>HYPERLINK("https://www.773grp.com/manufacturer/onsemi?pageNo=128", "ON Semiconductor")</f>
        <v>ON Semiconductor</v>
      </c>
      <c r="C25000" s="6">
        <v>5000</v>
      </c>
      <c r="D25000" s="7">
        <v>0.15</v>
      </c>
      <c r="E25000" t="s">
        <v>61</v>
      </c>
    </row>
    <row r="25001" spans="1:5" x14ac:dyDescent="0.25">
      <c r="A25001" t="str">
        <f>HYPERLINK("https://www.773grp.com/globalSearch/MPSH17G/page-1", "MPSH17G")</f>
        <v>MPSH17G</v>
      </c>
      <c r="B25001" s="3" t="str">
        <f>HYPERLINK("https://www.773grp.com/manufacturer/onsemi?pageNo=129", "ON Semiconductor")</f>
        <v>ON Semiconductor</v>
      </c>
      <c r="C25001" s="6">
        <v>25000</v>
      </c>
      <c r="D25001" s="7">
        <v>0.15</v>
      </c>
      <c r="E25001" t="s">
        <v>61</v>
      </c>
    </row>
    <row r="25002" spans="1:5" x14ac:dyDescent="0.25">
      <c r="A25002" t="str">
        <f>HYPERLINK("https://www.773grp.com/globalSearch/MPSH17RLRA/page-1", "MPSH17RLRA")</f>
        <v>MPSH17RLRA</v>
      </c>
      <c r="B25002" s="3" t="str">
        <f>HYPERLINK("https://www.773grp.com/manufacturer/onsemi?pageNo=130", "ON Semiconductor")</f>
        <v>ON Semiconductor</v>
      </c>
      <c r="C25002" s="6">
        <v>8000</v>
      </c>
      <c r="D25002" s="7">
        <v>0.15</v>
      </c>
      <c r="E25002" t="s">
        <v>61</v>
      </c>
    </row>
    <row r="25003" spans="1:5" x14ac:dyDescent="0.25">
      <c r="A25003" t="str">
        <f>HYPERLINK("https://www.773grp.com/globalSearch/MPSH17RLRAG/page-1", "MPSH17RLRAG")</f>
        <v>MPSH17RLRAG</v>
      </c>
      <c r="B25003" s="3" t="str">
        <f>HYPERLINK("https://www.773grp.com/manufacturer/onsemi?pageNo=131", "ON Semiconductor")</f>
        <v>ON Semiconductor</v>
      </c>
      <c r="C25003" s="6">
        <v>28810</v>
      </c>
      <c r="D25003" s="7">
        <v>0.15</v>
      </c>
      <c r="E25003" t="s">
        <v>61</v>
      </c>
    </row>
    <row r="25004" spans="1:5" x14ac:dyDescent="0.25">
      <c r="A25004" t="str">
        <f>HYPERLINK("https://www.773grp.com/globalSearch/MR851/page-1", "MR851")</f>
        <v>MR851</v>
      </c>
      <c r="B25004" s="3" t="str">
        <f>HYPERLINK("https://www.773grp.com/manufacturer/onsemi?pageNo=132", "ON Semiconductor")</f>
        <v>ON Semiconductor</v>
      </c>
      <c r="C25004" s="6">
        <v>4750</v>
      </c>
      <c r="D25004" s="7">
        <v>0.15</v>
      </c>
      <c r="E25004" t="s">
        <v>103</v>
      </c>
    </row>
    <row r="25005" spans="1:5" x14ac:dyDescent="0.25">
      <c r="A25005" t="str">
        <f>HYPERLINK("https://www.773grp.com/globalSearch/MR851RL/page-1", "MR851RL")</f>
        <v>MR851RL</v>
      </c>
      <c r="B25005" s="3" t="str">
        <f>HYPERLINK("https://www.773grp.com/manufacturer/onsemi?pageNo=133", "ON Semiconductor")</f>
        <v>ON Semiconductor</v>
      </c>
      <c r="C25005" s="6">
        <v>7933</v>
      </c>
      <c r="D25005" s="7">
        <v>0.15</v>
      </c>
      <c r="E25005" t="s">
        <v>103</v>
      </c>
    </row>
    <row r="25006" spans="1:5" x14ac:dyDescent="0.25">
      <c r="A25006" t="str">
        <f>HYPERLINK("https://www.773grp.com/globalSearch/MR854/page-1", "MR854")</f>
        <v>MR854</v>
      </c>
      <c r="B25006" s="3" t="str">
        <f>HYPERLINK("https://www.773grp.com/manufacturer/onsemi?pageNo=134", "ON Semiconductor")</f>
        <v>ON Semiconductor</v>
      </c>
      <c r="C25006" s="6">
        <v>148</v>
      </c>
      <c r="D25006" s="7">
        <v>0.15</v>
      </c>
      <c r="E25006" t="s">
        <v>103</v>
      </c>
    </row>
    <row r="25007" spans="1:5" x14ac:dyDescent="0.25">
      <c r="A25007" t="str">
        <f>HYPERLINK("https://www.773grp.com/globalSearch/MR856/page-1", "MR856")</f>
        <v>MR856</v>
      </c>
      <c r="B25007" s="3" t="str">
        <f>HYPERLINK("https://www.773grp.com/manufacturer/onsemi?pageNo=135", "ON Semiconductor")</f>
        <v>ON Semiconductor</v>
      </c>
      <c r="C25007" s="6">
        <v>3233</v>
      </c>
      <c r="D25007" s="7">
        <v>0.15</v>
      </c>
      <c r="E25007" t="s">
        <v>103</v>
      </c>
    </row>
    <row r="25008" spans="1:5" x14ac:dyDescent="0.25">
      <c r="A25008" t="str">
        <f>HYPERLINK("https://www.773grp.com/globalSearch/MSA1162GT1G/page-1", "MSA1162GT1G")</f>
        <v>MSA1162GT1G</v>
      </c>
      <c r="B25008" s="3" t="str">
        <f>HYPERLINK("https://www.773grp.com/manufacturer/onsemi?pageNo=136", "ON Semiconductor")</f>
        <v>ON Semiconductor</v>
      </c>
      <c r="C25008" s="6">
        <v>5899</v>
      </c>
      <c r="D25008" s="7">
        <v>0.15</v>
      </c>
      <c r="E25008" t="s">
        <v>69</v>
      </c>
    </row>
    <row r="25009" spans="1:5" x14ac:dyDescent="0.25">
      <c r="A25009" t="str">
        <f>HYPERLINK("https://www.773grp.com/globalSearch/MSB92ASWT1/page-1", "MSB92ASWT1")</f>
        <v>MSB92ASWT1</v>
      </c>
      <c r="B25009" s="3" t="str">
        <f>HYPERLINK("https://www.773grp.com/manufacturer/onsemi?pageNo=137", "ON Semiconductor")</f>
        <v>ON Semiconductor</v>
      </c>
      <c r="C25009" s="6">
        <v>36133</v>
      </c>
      <c r="D25009" s="7">
        <v>0.15</v>
      </c>
      <c r="E25009" t="s">
        <v>69</v>
      </c>
    </row>
    <row r="25010" spans="1:5" x14ac:dyDescent="0.25">
      <c r="A25010" t="str">
        <f>HYPERLINK("https://www.773grp.com/globalSearch/MSB92AWT1/page-1", "MSB92AWT1")</f>
        <v>MSB92AWT1</v>
      </c>
      <c r="B25010" s="3" t="str">
        <f>HYPERLINK("https://www.773grp.com/manufacturer/onsemi?pageNo=138", "ON Semiconductor")</f>
        <v>ON Semiconductor</v>
      </c>
      <c r="C25010" s="6">
        <v>1098000</v>
      </c>
      <c r="D25010" s="7">
        <v>0.15</v>
      </c>
      <c r="E25010" t="s">
        <v>69</v>
      </c>
    </row>
    <row r="25011" spans="1:5" x14ac:dyDescent="0.25">
      <c r="A25011" t="str">
        <f>HYPERLINK("https://www.773grp.com/globalSearch/MSC2295-BT1/page-1", "MSC2295-BT1")</f>
        <v>MSC2295-BT1</v>
      </c>
      <c r="B25011" s="3" t="str">
        <f>HYPERLINK("https://www.773grp.com/manufacturer/onsemi?pageNo=139", "ON Semiconductor")</f>
        <v>ON Semiconductor</v>
      </c>
      <c r="C25011" s="6">
        <v>36000</v>
      </c>
      <c r="D25011" s="7">
        <v>0.15</v>
      </c>
      <c r="E25011" t="s">
        <v>61</v>
      </c>
    </row>
    <row r="25012" spans="1:5" x14ac:dyDescent="0.25">
      <c r="A25012" t="str">
        <f>HYPERLINK("https://www.773grp.com/globalSearch/MSC2295-BT1G/page-1", "MSC2295-BT1G")</f>
        <v>MSC2295-BT1G</v>
      </c>
      <c r="B25012" s="3" t="str">
        <f>HYPERLINK("https://www.773grp.com/manufacturer/onsemi?pageNo=140", "ON Semiconductor")</f>
        <v>ON Semiconductor</v>
      </c>
      <c r="C25012" s="6">
        <v>21000</v>
      </c>
      <c r="D25012" s="7">
        <v>0.15</v>
      </c>
      <c r="E25012" t="s">
        <v>61</v>
      </c>
    </row>
    <row r="25013" spans="1:5" x14ac:dyDescent="0.25">
      <c r="A25013" t="str">
        <f>HYPERLINK("https://www.773grp.com/globalSearch/MSC2295-CT1/page-1", "MSC2295-CT1")</f>
        <v>MSC2295-CT1</v>
      </c>
      <c r="B25013" s="3" t="str">
        <f>HYPERLINK("https://www.773grp.com/manufacturer/onsemi?pageNo=141", "ON Semiconductor")</f>
        <v>ON Semiconductor</v>
      </c>
      <c r="C25013" s="6">
        <v>42000</v>
      </c>
      <c r="D25013" s="7">
        <v>0.15</v>
      </c>
      <c r="E25013" t="s">
        <v>61</v>
      </c>
    </row>
    <row r="25014" spans="1:5" x14ac:dyDescent="0.25">
      <c r="A25014" t="str">
        <f>HYPERLINK("https://www.773grp.com/globalSearch/MSC2295-CT1G/page-1", "MSC2295-CT1G")</f>
        <v>MSC2295-CT1G</v>
      </c>
      <c r="B25014" s="3" t="str">
        <f>HYPERLINK("https://www.773grp.com/manufacturer/onsemi?pageNo=142", "ON Semiconductor")</f>
        <v>ON Semiconductor</v>
      </c>
      <c r="C25014" s="6">
        <v>27000</v>
      </c>
      <c r="D25014" s="7">
        <v>0.15</v>
      </c>
      <c r="E25014" t="s">
        <v>61</v>
      </c>
    </row>
    <row r="25015" spans="1:5" x14ac:dyDescent="0.25">
      <c r="A25015" t="str">
        <f>HYPERLINK("https://www.773grp.com/globalSearch/MSC2712GT1G/page-1", "MSC2712GT1G")</f>
        <v>MSC2712GT1G</v>
      </c>
      <c r="B25015" s="3" t="str">
        <f>HYPERLINK("https://www.773grp.com/manufacturer/onsemi?pageNo=143", "ON Semiconductor")</f>
        <v>ON Semiconductor</v>
      </c>
      <c r="C25015" s="6">
        <v>106995</v>
      </c>
      <c r="D25015" s="7">
        <v>0.15</v>
      </c>
      <c r="E25015" t="s">
        <v>69</v>
      </c>
    </row>
    <row r="25016" spans="1:5" x14ac:dyDescent="0.25">
      <c r="A25016" t="str">
        <f>HYPERLINK("https://www.773grp.com/globalSearch/MSC3930-BT1/page-1", "MSC3930-BT1")</f>
        <v>MSC3930-BT1</v>
      </c>
      <c r="B25016" s="3" t="str">
        <f>HYPERLINK("https://www.773grp.com/manufacturer/onsemi?pageNo=144", "ON Semiconductor")</f>
        <v>ON Semiconductor</v>
      </c>
      <c r="C25016" s="6">
        <v>3000</v>
      </c>
      <c r="D25016" s="7">
        <v>0.15</v>
      </c>
      <c r="E25016" t="s">
        <v>69</v>
      </c>
    </row>
    <row r="25017" spans="1:5" x14ac:dyDescent="0.25">
      <c r="A25017" t="str">
        <f>HYPERLINK("https://www.773grp.com/globalSearch/MSD42SWT1/page-1", "MSD42SWT1")</f>
        <v>MSD42SWT1</v>
      </c>
      <c r="B25017" s="3" t="str">
        <f>HYPERLINK("https://www.773grp.com/manufacturer/onsemi?pageNo=145", "ON Semiconductor")</f>
        <v>ON Semiconductor</v>
      </c>
      <c r="C25017" s="6">
        <v>7323</v>
      </c>
      <c r="D25017" s="7">
        <v>0.15</v>
      </c>
      <c r="E25017" t="s">
        <v>69</v>
      </c>
    </row>
    <row r="25018" spans="1:5" x14ac:dyDescent="0.25">
      <c r="A25018" t="str">
        <f>HYPERLINK("https://www.773grp.com/globalSearch/MSD42WT1/page-1", "MSD42WT1")</f>
        <v>MSD42WT1</v>
      </c>
      <c r="B25018" s="3" t="str">
        <f>HYPERLINK("https://www.773grp.com/manufacturer/onsemi?pageNo=146", "ON Semiconductor")</f>
        <v>ON Semiconductor</v>
      </c>
      <c r="C25018" s="6">
        <v>106333</v>
      </c>
      <c r="D25018" s="7">
        <v>0.15</v>
      </c>
      <c r="E25018" t="s">
        <v>69</v>
      </c>
    </row>
    <row r="25019" spans="1:5" x14ac:dyDescent="0.25">
      <c r="A25019" t="str">
        <f>HYPERLINK("https://www.773grp.com/globalSearch/MSD601-RT1G/page-1", "MSD601-RT1G")</f>
        <v>MSD601-RT1G</v>
      </c>
      <c r="B25019" s="3" t="str">
        <f>HYPERLINK("https://www.773grp.com/manufacturer/onsemi?pageNo=147", "ON Semiconductor")</f>
        <v>ON Semiconductor</v>
      </c>
      <c r="C25019" s="6">
        <v>3170759</v>
      </c>
      <c r="D25019" s="7">
        <v>0.15</v>
      </c>
      <c r="E25019" t="s">
        <v>69</v>
      </c>
    </row>
    <row r="25020" spans="1:5" x14ac:dyDescent="0.25">
      <c r="A25020" t="str">
        <f>HYPERLINK("https://www.773grp.com/globalSearch/MSD6100RLRA/page-1", "MSD6100RLRA")</f>
        <v>MSD6100RLRA</v>
      </c>
      <c r="B25020" s="3" t="str">
        <f>HYPERLINK("https://www.773grp.com/manufacturer/onsemi?pageNo=148", "ON Semiconductor")</f>
        <v>ON Semiconductor</v>
      </c>
      <c r="C25020" s="6">
        <v>82000</v>
      </c>
      <c r="D25020" s="7">
        <v>0.15</v>
      </c>
      <c r="E25020" t="s">
        <v>94</v>
      </c>
    </row>
    <row r="25021" spans="1:5" x14ac:dyDescent="0.25">
      <c r="A25021" t="str">
        <f>HYPERLINK("https://www.773grp.com/globalSearch/MSD6100RLRAG/page-1", "MSD6100RLRAG")</f>
        <v>MSD6100RLRAG</v>
      </c>
      <c r="B25021" s="3" t="str">
        <f>HYPERLINK("https://www.773grp.com/manufacturer/onsemi?pageNo=149", "ON Semiconductor")</f>
        <v>ON Semiconductor</v>
      </c>
      <c r="C25021" s="6">
        <v>58000</v>
      </c>
      <c r="D25021" s="7">
        <v>0.15</v>
      </c>
      <c r="E25021" t="s">
        <v>94</v>
      </c>
    </row>
    <row r="25022" spans="1:5" x14ac:dyDescent="0.25">
      <c r="A25022" t="str">
        <f>HYPERLINK("https://www.773grp.com/globalSearch/MSD6150/page-1", "MSD6150")</f>
        <v>MSD6150</v>
      </c>
      <c r="B25022" s="3" t="str">
        <f>HYPERLINK("https://www.773grp.com/manufacturer/onsemi?pageNo=150", "ON Semiconductor")</f>
        <v>ON Semiconductor</v>
      </c>
      <c r="C25022" s="6">
        <v>106985</v>
      </c>
      <c r="D25022" s="7">
        <v>0.15</v>
      </c>
      <c r="E25022" t="s">
        <v>94</v>
      </c>
    </row>
    <row r="25023" spans="1:5" x14ac:dyDescent="0.25">
      <c r="A25023" t="str">
        <f>HYPERLINK("https://www.773grp.com/globalSearch/MSQA6V1W5T2/page-1", "MSQA6V1W5T2")</f>
        <v>MSQA6V1W5T2</v>
      </c>
      <c r="B25023" s="3" t="str">
        <f>HYPERLINK("https://www.773grp.com/manufacturer/onsemi?pageNo=151", "ON Semiconductor")</f>
        <v>ON Semiconductor</v>
      </c>
      <c r="C25023" s="6">
        <v>101800</v>
      </c>
      <c r="D25023" s="7">
        <v>0.15</v>
      </c>
      <c r="E25023" t="s">
        <v>96</v>
      </c>
    </row>
    <row r="25024" spans="1:5" x14ac:dyDescent="0.25">
      <c r="A25024" t="str">
        <f>HYPERLINK("https://www.773grp.com/globalSearch/MUN2111T1G/page-1", "MUN2111T1G")</f>
        <v>MUN2111T1G</v>
      </c>
      <c r="B25024" s="3" t="str">
        <f>HYPERLINK("https://www.773grp.com/manufacturer/onsemi?pageNo=152", "ON Semiconductor")</f>
        <v>ON Semiconductor</v>
      </c>
      <c r="C25024" s="6">
        <v>887846</v>
      </c>
      <c r="D25024" s="7">
        <v>0.15</v>
      </c>
      <c r="E25024" t="s">
        <v>69</v>
      </c>
    </row>
    <row r="25025" spans="1:5" x14ac:dyDescent="0.25">
      <c r="A25025" t="str">
        <f>HYPERLINK("https://www.773grp.com/globalSearch/MUN2112T1G/page-1", "MUN2112T1G")</f>
        <v>MUN2112T1G</v>
      </c>
      <c r="B25025" s="3" t="str">
        <f>HYPERLINK("https://www.773grp.com/manufacturer/onsemi?pageNo=153", "ON Semiconductor")</f>
        <v>ON Semiconductor</v>
      </c>
      <c r="C25025" s="6">
        <v>170189</v>
      </c>
      <c r="D25025" s="7">
        <v>0.15</v>
      </c>
      <c r="E25025" t="s">
        <v>69</v>
      </c>
    </row>
    <row r="25026" spans="1:5" x14ac:dyDescent="0.25">
      <c r="A25026" t="str">
        <f>HYPERLINK("https://www.773grp.com/globalSearch/MUN2113T1G/page-1", "MUN2113T1G")</f>
        <v>MUN2113T1G</v>
      </c>
      <c r="B25026" s="3" t="str">
        <f>HYPERLINK("https://www.773grp.com/manufacturer/onsemi?pageNo=154", "ON Semiconductor")</f>
        <v>ON Semiconductor</v>
      </c>
      <c r="C25026" s="6">
        <v>87000</v>
      </c>
      <c r="D25026" s="7">
        <v>0.15</v>
      </c>
      <c r="E25026" t="s">
        <v>69</v>
      </c>
    </row>
    <row r="25027" spans="1:5" x14ac:dyDescent="0.25">
      <c r="A25027" t="str">
        <f>HYPERLINK("https://www.773grp.com/globalSearch/MUN2114T1G/page-1", "MUN2114T1G")</f>
        <v>MUN2114T1G</v>
      </c>
      <c r="B25027" s="3" t="str">
        <f>HYPERLINK("https://www.773grp.com/manufacturer/onsemi?pageNo=155", "ON Semiconductor")</f>
        <v>ON Semiconductor</v>
      </c>
      <c r="C25027" s="6">
        <v>347511</v>
      </c>
      <c r="D25027" s="7">
        <v>0.15</v>
      </c>
      <c r="E25027" t="s">
        <v>69</v>
      </c>
    </row>
    <row r="25028" spans="1:5" x14ac:dyDescent="0.25">
      <c r="A25028" t="str">
        <f>HYPERLINK("https://www.773grp.com/globalSearch/MUN2115T1G/page-1", "MUN2115T1G")</f>
        <v>MUN2115T1G</v>
      </c>
      <c r="B25028" s="3" t="str">
        <f>HYPERLINK("https://www.773grp.com/manufacturer/onsemi?pageNo=156", "ON Semiconductor")</f>
        <v>ON Semiconductor</v>
      </c>
      <c r="C25028" s="6">
        <v>384000</v>
      </c>
      <c r="D25028" s="7">
        <v>0.15</v>
      </c>
      <c r="E25028" t="s">
        <v>69</v>
      </c>
    </row>
    <row r="25029" spans="1:5" x14ac:dyDescent="0.25">
      <c r="A25029" t="str">
        <f>HYPERLINK("https://www.773grp.com/globalSearch/MUN2116T1G/page-1", "MUN2116T1G")</f>
        <v>MUN2116T1G</v>
      </c>
      <c r="B25029" s="3" t="str">
        <f>HYPERLINK("https://www.773grp.com/manufacturer/onsemi?pageNo=157", "ON Semiconductor")</f>
        <v>ON Semiconductor</v>
      </c>
      <c r="C25029" s="6">
        <v>177000</v>
      </c>
      <c r="D25029" s="7">
        <v>0.15</v>
      </c>
      <c r="E25029" t="s">
        <v>69</v>
      </c>
    </row>
    <row r="25030" spans="1:5" x14ac:dyDescent="0.25">
      <c r="A25030" t="str">
        <f>HYPERLINK("https://www.773grp.com/globalSearch/MUN2131T1G/page-1", "MUN2131T1G")</f>
        <v>MUN2131T1G</v>
      </c>
      <c r="B25030" s="3" t="str">
        <f>HYPERLINK("https://www.773grp.com/manufacturer/onsemi?pageNo=158", "ON Semiconductor")</f>
        <v>ON Semiconductor</v>
      </c>
      <c r="C25030" s="6">
        <v>96000</v>
      </c>
      <c r="D25030" s="7">
        <v>0.15</v>
      </c>
      <c r="E25030" t="s">
        <v>69</v>
      </c>
    </row>
    <row r="25031" spans="1:5" x14ac:dyDescent="0.25">
      <c r="A25031" t="str">
        <f>HYPERLINK("https://www.773grp.com/globalSearch/MUN2132T1G/page-1", "MUN2132T1G")</f>
        <v>MUN2132T1G</v>
      </c>
      <c r="B25031" s="3" t="str">
        <f>HYPERLINK("https://www.773grp.com/manufacturer/onsemi?pageNo=159", "ON Semiconductor")</f>
        <v>ON Semiconductor</v>
      </c>
      <c r="C25031" s="6">
        <v>90000</v>
      </c>
      <c r="D25031" s="7">
        <v>0.15</v>
      </c>
      <c r="E25031" t="s">
        <v>69</v>
      </c>
    </row>
    <row r="25032" spans="1:5" x14ac:dyDescent="0.25">
      <c r="A25032" t="str">
        <f>HYPERLINK("https://www.773grp.com/globalSearch/MUN2133T1G/page-1", "MUN2133T1G")</f>
        <v>MUN2133T1G</v>
      </c>
      <c r="B25032" s="3" t="str">
        <f>HYPERLINK("https://www.773grp.com/manufacturer/onsemi?pageNo=160", "ON Semiconductor")</f>
        <v>ON Semiconductor</v>
      </c>
      <c r="C25032" s="6">
        <v>108000</v>
      </c>
      <c r="D25032" s="7">
        <v>0.15</v>
      </c>
      <c r="E25032" t="s">
        <v>69</v>
      </c>
    </row>
    <row r="25033" spans="1:5" x14ac:dyDescent="0.25">
      <c r="A25033" t="str">
        <f>HYPERLINK("https://www.773grp.com/globalSearch/MUN2211JT1G/page-1", "MUN2211JT1G")</f>
        <v>MUN2211JT1G</v>
      </c>
      <c r="B25033" s="3" t="str">
        <f>HYPERLINK("https://www.773grp.com/manufacturer/onsemi?pageNo=161", "ON Semiconductor")</f>
        <v>ON Semiconductor</v>
      </c>
      <c r="C25033" s="6">
        <v>114000</v>
      </c>
      <c r="D25033" s="7">
        <v>0.15</v>
      </c>
    </row>
    <row r="25034" spans="1:5" x14ac:dyDescent="0.25">
      <c r="A25034" t="str">
        <f>HYPERLINK("https://www.773grp.com/globalSearch/MUN2211T1G/page-1", "MUN2211T1G")</f>
        <v>MUN2211T1G</v>
      </c>
      <c r="B25034" s="3" t="str">
        <f>HYPERLINK("https://www.773grp.com/manufacturer/onsemi?pageNo=162", "ON Semiconductor")</f>
        <v>ON Semiconductor</v>
      </c>
      <c r="C25034" s="6">
        <v>135500</v>
      </c>
      <c r="D25034" s="7">
        <v>0.15</v>
      </c>
      <c r="E25034" t="s">
        <v>69</v>
      </c>
    </row>
    <row r="25035" spans="1:5" x14ac:dyDescent="0.25">
      <c r="A25035" t="str">
        <f>HYPERLINK("https://www.773grp.com/globalSearch/MUN2211T3G/page-1", "MUN2211T3G")</f>
        <v>MUN2211T3G</v>
      </c>
      <c r="B25035" s="3" t="str">
        <f>HYPERLINK("https://www.773grp.com/manufacturer/onsemi?pageNo=163", "ON Semiconductor")</f>
        <v>ON Semiconductor</v>
      </c>
      <c r="C25035" s="6">
        <v>10000</v>
      </c>
      <c r="D25035" s="7">
        <v>0.15</v>
      </c>
    </row>
    <row r="25036" spans="1:5" x14ac:dyDescent="0.25">
      <c r="A25036" t="str">
        <f>HYPERLINK("https://www.773grp.com/globalSearch/MUN2212T1G/page-1", "MUN2212T1G")</f>
        <v>MUN2212T1G</v>
      </c>
      <c r="B25036" s="3" t="str">
        <f>HYPERLINK("https://www.773grp.com/manufacturer/onsemi?pageNo=164", "ON Semiconductor")</f>
        <v>ON Semiconductor</v>
      </c>
      <c r="C25036" s="6">
        <v>66000</v>
      </c>
      <c r="D25036" s="7">
        <v>0.15</v>
      </c>
      <c r="E25036" t="s">
        <v>69</v>
      </c>
    </row>
    <row r="25037" spans="1:5" x14ac:dyDescent="0.25">
      <c r="A25037" t="str">
        <f>HYPERLINK("https://www.773grp.com/globalSearch/MUN2213T1G/page-1", "MUN2213T1G")</f>
        <v>MUN2213T1G</v>
      </c>
      <c r="B25037" s="3" t="str">
        <f>HYPERLINK("https://www.773grp.com/manufacturer/onsemi?pageNo=165", "ON Semiconductor")</f>
        <v>ON Semiconductor</v>
      </c>
      <c r="C25037" s="6">
        <v>341975</v>
      </c>
      <c r="D25037" s="7">
        <v>0.15</v>
      </c>
      <c r="E25037" t="s">
        <v>69</v>
      </c>
    </row>
    <row r="25038" spans="1:5" x14ac:dyDescent="0.25">
      <c r="A25038" t="str">
        <f>HYPERLINK("https://www.773grp.com/globalSearch/MUN2214T1G/page-1", "MUN2214T1G")</f>
        <v>MUN2214T1G</v>
      </c>
      <c r="B25038" s="3" t="str">
        <f>HYPERLINK("https://www.773grp.com/manufacturer/onsemi?pageNo=166", "ON Semiconductor")</f>
        <v>ON Semiconductor</v>
      </c>
      <c r="C25038" s="6">
        <v>251150</v>
      </c>
      <c r="D25038" s="7">
        <v>0.15</v>
      </c>
      <c r="E25038" t="s">
        <v>69</v>
      </c>
    </row>
    <row r="25039" spans="1:5" x14ac:dyDescent="0.25">
      <c r="A25039" t="str">
        <f>HYPERLINK("https://www.773grp.com/globalSearch/MUN2215T1G/page-1", "MUN2215T1G")</f>
        <v>MUN2215T1G</v>
      </c>
      <c r="B25039" s="3" t="str">
        <f>HYPERLINK("https://www.773grp.com/manufacturer/onsemi?pageNo=167", "ON Semiconductor")</f>
        <v>ON Semiconductor</v>
      </c>
      <c r="C25039" s="6">
        <v>186000</v>
      </c>
      <c r="D25039" s="7">
        <v>0.15</v>
      </c>
      <c r="E25039" t="s">
        <v>69</v>
      </c>
    </row>
    <row r="25040" spans="1:5" x14ac:dyDescent="0.25">
      <c r="A25040" t="str">
        <f>HYPERLINK("https://www.773grp.com/globalSearch/MUN2216T1G/page-1", "MUN2216T1G")</f>
        <v>MUN2216T1G</v>
      </c>
      <c r="B25040" s="3" t="str">
        <f>HYPERLINK("https://www.773grp.com/manufacturer/onsemi?pageNo=168", "ON Semiconductor")</f>
        <v>ON Semiconductor</v>
      </c>
      <c r="C25040" s="6">
        <v>99000</v>
      </c>
      <c r="D25040" s="7">
        <v>0.15</v>
      </c>
      <c r="E25040" t="s">
        <v>69</v>
      </c>
    </row>
    <row r="25041" spans="1:5" x14ac:dyDescent="0.25">
      <c r="A25041" t="str">
        <f>HYPERLINK("https://www.773grp.com/globalSearch/MUN2230T1G/page-1", "MUN2230T1G")</f>
        <v>MUN2230T1G</v>
      </c>
      <c r="B25041" s="3" t="str">
        <f>HYPERLINK("https://www.773grp.com/manufacturer/onsemi?pageNo=169", "ON Semiconductor")</f>
        <v>ON Semiconductor</v>
      </c>
      <c r="C25041" s="6">
        <v>87000</v>
      </c>
      <c r="D25041" s="7">
        <v>0.15</v>
      </c>
      <c r="E25041" t="s">
        <v>69</v>
      </c>
    </row>
    <row r="25042" spans="1:5" x14ac:dyDescent="0.25">
      <c r="A25042" t="str">
        <f>HYPERLINK("https://www.773grp.com/globalSearch/MUN2231T1G/page-1", "MUN2231T1G")</f>
        <v>MUN2231T1G</v>
      </c>
      <c r="B25042" s="3" t="str">
        <f>HYPERLINK("https://www.773grp.com/manufacturer/onsemi?pageNo=170", "ON Semiconductor")</f>
        <v>ON Semiconductor</v>
      </c>
      <c r="C25042" s="6">
        <v>93000</v>
      </c>
      <c r="D25042" s="7">
        <v>0.15</v>
      </c>
      <c r="E25042" t="s">
        <v>69</v>
      </c>
    </row>
    <row r="25043" spans="1:5" x14ac:dyDescent="0.25">
      <c r="A25043" t="str">
        <f>HYPERLINK("https://www.773grp.com/globalSearch/MUN2232T1G/page-1", "MUN2232T1G")</f>
        <v>MUN2232T1G</v>
      </c>
      <c r="B25043" s="3" t="str">
        <f>HYPERLINK("https://www.773grp.com/manufacturer/onsemi?pageNo=171", "ON Semiconductor")</f>
        <v>ON Semiconductor</v>
      </c>
      <c r="C25043" s="6">
        <v>258000</v>
      </c>
      <c r="D25043" s="7">
        <v>0.15</v>
      </c>
      <c r="E25043" t="s">
        <v>69</v>
      </c>
    </row>
    <row r="25044" spans="1:5" x14ac:dyDescent="0.25">
      <c r="A25044" t="str">
        <f>HYPERLINK("https://www.773grp.com/globalSearch/MUN2233T1G/page-1", "MUN2233T1G")</f>
        <v>MUN2233T1G</v>
      </c>
      <c r="B25044" s="3" t="str">
        <f>HYPERLINK("https://www.773grp.com/manufacturer/onsemi?pageNo=172", "ON Semiconductor")</f>
        <v>ON Semiconductor</v>
      </c>
      <c r="C25044" s="6">
        <v>405000</v>
      </c>
      <c r="D25044" s="7">
        <v>0.15</v>
      </c>
      <c r="E25044" t="s">
        <v>69</v>
      </c>
    </row>
    <row r="25045" spans="1:5" x14ac:dyDescent="0.25">
      <c r="A25045" t="str">
        <f>HYPERLINK("https://www.773grp.com/globalSearch/MUN2234T1G/page-1", "MUN2234T1G")</f>
        <v>MUN2234T1G</v>
      </c>
      <c r="B25045" s="3" t="str">
        <f>HYPERLINK("https://www.773grp.com/manufacturer/onsemi?pageNo=173", "ON Semiconductor")</f>
        <v>ON Semiconductor</v>
      </c>
      <c r="C25045" s="6">
        <v>93000</v>
      </c>
      <c r="D25045" s="7">
        <v>0.15</v>
      </c>
      <c r="E25045" t="s">
        <v>69</v>
      </c>
    </row>
    <row r="25046" spans="1:5" x14ac:dyDescent="0.25">
      <c r="A25046" t="str">
        <f>HYPERLINK("https://www.773grp.com/globalSearch/MUN2236T1G/page-1", "MUN2236T1G")</f>
        <v>MUN2236T1G</v>
      </c>
      <c r="B25046" s="3" t="str">
        <f>HYPERLINK("https://www.773grp.com/manufacturer/onsemi?pageNo=174", "ON Semiconductor")</f>
        <v>ON Semiconductor</v>
      </c>
      <c r="C25046" s="6">
        <v>126000</v>
      </c>
      <c r="D25046" s="7">
        <v>0.15</v>
      </c>
      <c r="E25046" t="s">
        <v>69</v>
      </c>
    </row>
    <row r="25047" spans="1:5" x14ac:dyDescent="0.25">
      <c r="A25047" t="str">
        <f>HYPERLINK("https://www.773grp.com/globalSearch/MUN2237T1G/page-1", "MUN2237T1G")</f>
        <v>MUN2237T1G</v>
      </c>
      <c r="B25047" s="3" t="str">
        <f>HYPERLINK("https://www.773grp.com/manufacturer/onsemi?pageNo=175", "ON Semiconductor")</f>
        <v>ON Semiconductor</v>
      </c>
      <c r="C25047" s="6">
        <v>119700</v>
      </c>
      <c r="D25047" s="7">
        <v>0.15</v>
      </c>
      <c r="E25047" t="s">
        <v>69</v>
      </c>
    </row>
    <row r="25048" spans="1:5" x14ac:dyDescent="0.25">
      <c r="A25048" t="str">
        <f>HYPERLINK("https://www.773grp.com/globalSearch/MUN2240T1G/page-1", "MUN2240T1G")</f>
        <v>MUN2240T1G</v>
      </c>
      <c r="B25048" s="3" t="str">
        <f>HYPERLINK("https://www.773grp.com/manufacturer/onsemi?pageNo=176", "ON Semiconductor")</f>
        <v>ON Semiconductor</v>
      </c>
      <c r="C25048" s="6">
        <v>130000</v>
      </c>
      <c r="D25048" s="7">
        <v>0.15</v>
      </c>
      <c r="E25048" t="s">
        <v>69</v>
      </c>
    </row>
    <row r="25049" spans="1:5" x14ac:dyDescent="0.25">
      <c r="A25049" t="str">
        <f>HYPERLINK("https://www.773grp.com/globalSearch/MUN2241T1G/page-1", "MUN2241T1G")</f>
        <v>MUN2241T1G</v>
      </c>
      <c r="B25049" s="3" t="str">
        <f>HYPERLINK("https://www.773grp.com/manufacturer/onsemi?pageNo=177", "ON Semiconductor")</f>
        <v>ON Semiconductor</v>
      </c>
      <c r="C25049" s="6">
        <v>39000</v>
      </c>
      <c r="D25049" s="7">
        <v>0.15</v>
      </c>
      <c r="E25049" t="s">
        <v>69</v>
      </c>
    </row>
    <row r="25050" spans="1:5" x14ac:dyDescent="0.25">
      <c r="A25050" t="str">
        <f>HYPERLINK("https://www.773grp.com/globalSearch/MUN5111T1/page-1", "MUN5111T1")</f>
        <v>MUN5111T1</v>
      </c>
      <c r="B25050" s="3" t="str">
        <f>HYPERLINK("https://www.773grp.com/manufacturer/onsemi?pageNo=178", "ON Semiconductor")</f>
        <v>ON Semiconductor</v>
      </c>
      <c r="C25050" s="6">
        <v>69000</v>
      </c>
      <c r="D25050" s="7">
        <v>0.15</v>
      </c>
      <c r="E25050" t="s">
        <v>69</v>
      </c>
    </row>
    <row r="25051" spans="1:5" x14ac:dyDescent="0.25">
      <c r="A25051" t="str">
        <f>HYPERLINK("https://www.773grp.com/globalSearch/MUN5111T1G/page-1", "MUN5111T1G")</f>
        <v>MUN5111T1G</v>
      </c>
      <c r="B25051" s="3" t="str">
        <f>HYPERLINK("https://www.773grp.com/manufacturer/onsemi?pageNo=179", "ON Semiconductor")</f>
        <v>ON Semiconductor</v>
      </c>
      <c r="C25051" s="6">
        <v>561000</v>
      </c>
      <c r="D25051" s="7">
        <v>0.15</v>
      </c>
      <c r="E25051" t="s">
        <v>69</v>
      </c>
    </row>
    <row r="25052" spans="1:5" x14ac:dyDescent="0.25">
      <c r="A25052" t="str">
        <f>HYPERLINK("https://www.773grp.com/globalSearch/MUN5112T1/page-1", "MUN5112T1")</f>
        <v>MUN5112T1</v>
      </c>
      <c r="B25052" s="3" t="str">
        <f>HYPERLINK("https://www.773grp.com/manufacturer/onsemi?pageNo=180", "ON Semiconductor")</f>
        <v>ON Semiconductor</v>
      </c>
      <c r="C25052" s="6">
        <v>774000</v>
      </c>
      <c r="D25052" s="7">
        <v>0.15</v>
      </c>
      <c r="E25052" t="s">
        <v>69</v>
      </c>
    </row>
    <row r="25053" spans="1:5" x14ac:dyDescent="0.25">
      <c r="A25053" t="str">
        <f>HYPERLINK("https://www.773grp.com/globalSearch/MUN5112T1G/page-1", "MUN5112T1G")</f>
        <v>MUN5112T1G</v>
      </c>
      <c r="B25053" s="3" t="str">
        <f>HYPERLINK("https://www.773grp.com/manufacturer/onsemi?pageNo=181", "ON Semiconductor")</f>
        <v>ON Semiconductor</v>
      </c>
      <c r="C25053" s="6">
        <v>417000</v>
      </c>
      <c r="D25053" s="7">
        <v>0.15</v>
      </c>
      <c r="E25053" t="s">
        <v>69</v>
      </c>
    </row>
    <row r="25054" spans="1:5" x14ac:dyDescent="0.25">
      <c r="A25054" t="str">
        <f>HYPERLINK("https://www.773grp.com/globalSearch/MUN5113DW1T1/page-1", "MUN5113DW1T1")</f>
        <v>MUN5113DW1T1</v>
      </c>
      <c r="B25054" s="3" t="str">
        <f>HYPERLINK("https://www.773grp.com/manufacturer/onsemi?pageNo=182", "ON Semiconductor")</f>
        <v>ON Semiconductor</v>
      </c>
      <c r="C25054" s="6">
        <v>15000</v>
      </c>
      <c r="D25054" s="7">
        <v>0.15</v>
      </c>
      <c r="E25054" t="s">
        <v>69</v>
      </c>
    </row>
    <row r="25055" spans="1:5" x14ac:dyDescent="0.25">
      <c r="A25055" t="str">
        <f>HYPERLINK("https://www.773grp.com/globalSearch/MUN5113T1G/page-1", "MUN5113T1G")</f>
        <v>MUN5113T1G</v>
      </c>
      <c r="B25055" s="3" t="str">
        <f>HYPERLINK("https://www.773grp.com/manufacturer/onsemi?pageNo=183", "ON Semiconductor")</f>
        <v>ON Semiconductor</v>
      </c>
      <c r="C25055" s="6">
        <v>252000</v>
      </c>
      <c r="D25055" s="7">
        <v>0.15</v>
      </c>
      <c r="E25055" t="s">
        <v>69</v>
      </c>
    </row>
    <row r="25056" spans="1:5" x14ac:dyDescent="0.25">
      <c r="A25056" t="str">
        <f>HYPERLINK("https://www.773grp.com/globalSearch/MUN5114T1G/page-1", "MUN5114T1G")</f>
        <v>MUN5114T1G</v>
      </c>
      <c r="B25056" s="3" t="str">
        <f>HYPERLINK("https://www.773grp.com/manufacturer/onsemi?pageNo=184", "ON Semiconductor")</f>
        <v>ON Semiconductor</v>
      </c>
      <c r="C25056" s="6">
        <v>208750</v>
      </c>
      <c r="D25056" s="7">
        <v>0.15</v>
      </c>
      <c r="E25056" t="s">
        <v>69</v>
      </c>
    </row>
    <row r="25057" spans="1:5" x14ac:dyDescent="0.25">
      <c r="A25057" t="str">
        <f>HYPERLINK("https://www.773grp.com/globalSearch/MUN5115T1/page-1", "MUN5115T1")</f>
        <v>MUN5115T1</v>
      </c>
      <c r="B25057" s="3" t="str">
        <f>HYPERLINK("https://www.773grp.com/manufacturer/onsemi?pageNo=185", "ON Semiconductor")</f>
        <v>ON Semiconductor</v>
      </c>
      <c r="C25057" s="6">
        <v>9000</v>
      </c>
      <c r="D25057" s="7">
        <v>0.15</v>
      </c>
      <c r="E25057" t="s">
        <v>69</v>
      </c>
    </row>
    <row r="25058" spans="1:5" x14ac:dyDescent="0.25">
      <c r="A25058" t="str">
        <f>HYPERLINK("https://www.773grp.com/globalSearch/MUN5115T1G/page-1", "MUN5115T1G")</f>
        <v>MUN5115T1G</v>
      </c>
      <c r="B25058" s="3" t="str">
        <f>HYPERLINK("https://www.773grp.com/manufacturer/onsemi?pageNo=186", "ON Semiconductor")</f>
        <v>ON Semiconductor</v>
      </c>
      <c r="C25058" s="6">
        <v>96000</v>
      </c>
      <c r="D25058" s="7">
        <v>0.15</v>
      </c>
      <c r="E25058" t="s">
        <v>69</v>
      </c>
    </row>
    <row r="25059" spans="1:5" x14ac:dyDescent="0.25">
      <c r="A25059" t="str">
        <f>HYPERLINK("https://www.773grp.com/globalSearch/MUN5116T1/page-1", "MUN5116T1")</f>
        <v>MUN5116T1</v>
      </c>
      <c r="B25059" s="3" t="str">
        <f>HYPERLINK("https://www.773grp.com/manufacturer/onsemi?pageNo=187", "ON Semiconductor")</f>
        <v>ON Semiconductor</v>
      </c>
      <c r="C25059" s="6">
        <v>39000</v>
      </c>
      <c r="D25059" s="7">
        <v>0.15</v>
      </c>
      <c r="E25059" t="s">
        <v>69</v>
      </c>
    </row>
    <row r="25060" spans="1:5" x14ac:dyDescent="0.25">
      <c r="A25060" t="str">
        <f>HYPERLINK("https://www.773grp.com/globalSearch/MUN5116T1G/page-1", "MUN5116T1G")</f>
        <v>MUN5116T1G</v>
      </c>
      <c r="B25060" s="3" t="str">
        <f>HYPERLINK("https://www.773grp.com/manufacturer/onsemi?pageNo=188", "ON Semiconductor")</f>
        <v>ON Semiconductor</v>
      </c>
      <c r="C25060" s="6">
        <v>54000</v>
      </c>
      <c r="D25060" s="7">
        <v>0.15</v>
      </c>
      <c r="E25060" t="s">
        <v>69</v>
      </c>
    </row>
    <row r="25061" spans="1:5" x14ac:dyDescent="0.25">
      <c r="A25061" t="str">
        <f>HYPERLINK("https://www.773grp.com/globalSearch/MUN5130T1G/page-1", "MUN5130T1G")</f>
        <v>MUN5130T1G</v>
      </c>
      <c r="B25061" s="3" t="str">
        <f>HYPERLINK("https://www.773grp.com/manufacturer/onsemi?pageNo=189", "ON Semiconductor")</f>
        <v>ON Semiconductor</v>
      </c>
      <c r="C25061" s="6">
        <v>195000</v>
      </c>
      <c r="D25061" s="7">
        <v>0.15</v>
      </c>
      <c r="E25061" t="s">
        <v>69</v>
      </c>
    </row>
    <row r="25062" spans="1:5" x14ac:dyDescent="0.25">
      <c r="A25062" t="str">
        <f>HYPERLINK("https://www.773grp.com/globalSearch/MUN5131T1/page-1", "MUN5131T1")</f>
        <v>MUN5131T1</v>
      </c>
      <c r="B25062" s="3" t="str">
        <f>HYPERLINK("https://www.773grp.com/manufacturer/onsemi?pageNo=190", "ON Semiconductor")</f>
        <v>ON Semiconductor</v>
      </c>
      <c r="C25062" s="6">
        <v>66000</v>
      </c>
      <c r="D25062" s="7">
        <v>0.15</v>
      </c>
      <c r="E25062" t="s">
        <v>69</v>
      </c>
    </row>
    <row r="25063" spans="1:5" x14ac:dyDescent="0.25">
      <c r="A25063" t="str">
        <f>HYPERLINK("https://www.773grp.com/globalSearch/MUN5131T1G/page-1", "MUN5131T1G")</f>
        <v>MUN5131T1G</v>
      </c>
      <c r="B25063" s="3" t="str">
        <f>HYPERLINK("https://www.773grp.com/manufacturer/onsemi?pageNo=191", "ON Semiconductor")</f>
        <v>ON Semiconductor</v>
      </c>
      <c r="C25063" s="6">
        <v>475000</v>
      </c>
      <c r="D25063" s="7">
        <v>0.15</v>
      </c>
      <c r="E25063" t="s">
        <v>69</v>
      </c>
    </row>
    <row r="25064" spans="1:5" x14ac:dyDescent="0.25">
      <c r="A25064" t="str">
        <f>HYPERLINK("https://www.773grp.com/globalSearch/MUN5132T1/page-1", "MUN5132T1")</f>
        <v>MUN5132T1</v>
      </c>
      <c r="B25064" s="3" t="str">
        <f>HYPERLINK("https://www.773grp.com/manufacturer/onsemi?pageNo=192", "ON Semiconductor")</f>
        <v>ON Semiconductor</v>
      </c>
      <c r="C25064" s="6">
        <v>204000</v>
      </c>
      <c r="D25064" s="7">
        <v>0.15</v>
      </c>
      <c r="E25064" t="s">
        <v>69</v>
      </c>
    </row>
    <row r="25065" spans="1:5" x14ac:dyDescent="0.25">
      <c r="A25065" t="str">
        <f>HYPERLINK("https://www.773grp.com/globalSearch/MUN5132T1G/page-1", "MUN5132T1G")</f>
        <v>MUN5132T1G</v>
      </c>
      <c r="B25065" s="3" t="str">
        <f>HYPERLINK("https://www.773grp.com/manufacturer/onsemi?pageNo=193", "ON Semiconductor")</f>
        <v>ON Semiconductor</v>
      </c>
      <c r="C25065" s="6">
        <v>227500</v>
      </c>
      <c r="D25065" s="7">
        <v>0.15</v>
      </c>
      <c r="E25065" t="s">
        <v>69</v>
      </c>
    </row>
    <row r="25066" spans="1:5" x14ac:dyDescent="0.25">
      <c r="A25066" t="str">
        <f>HYPERLINK("https://www.773grp.com/globalSearch/MUN5133T1/page-1", "MUN5133T1")</f>
        <v>MUN5133T1</v>
      </c>
      <c r="B25066" s="3" t="str">
        <f>HYPERLINK("https://www.773grp.com/manufacturer/onsemi?pageNo=194", "ON Semiconductor")</f>
        <v>ON Semiconductor</v>
      </c>
      <c r="C25066" s="6">
        <v>162000</v>
      </c>
      <c r="D25066" s="7">
        <v>0.15</v>
      </c>
      <c r="E25066" t="s">
        <v>69</v>
      </c>
    </row>
    <row r="25067" spans="1:5" x14ac:dyDescent="0.25">
      <c r="A25067" t="str">
        <f>HYPERLINK("https://www.773grp.com/globalSearch/MUN5133T1G/page-1", "MUN5133T1G")</f>
        <v>MUN5133T1G</v>
      </c>
      <c r="B25067" s="3" t="str">
        <f>HYPERLINK("https://www.773grp.com/manufacturer/onsemi?pageNo=195", "ON Semiconductor")</f>
        <v>ON Semiconductor</v>
      </c>
      <c r="C25067" s="6">
        <v>84000</v>
      </c>
      <c r="D25067" s="7">
        <v>0.15</v>
      </c>
      <c r="E25067" t="s">
        <v>69</v>
      </c>
    </row>
    <row r="25068" spans="1:5" x14ac:dyDescent="0.25">
      <c r="A25068" t="str">
        <f>HYPERLINK("https://www.773grp.com/globalSearch/MUN5134T1G/page-1", "MUN5134T1G")</f>
        <v>MUN5134T1G</v>
      </c>
      <c r="B25068" s="3" t="str">
        <f>HYPERLINK("https://www.773grp.com/manufacturer/onsemi?pageNo=196", "ON Semiconductor")</f>
        <v>ON Semiconductor</v>
      </c>
      <c r="C25068" s="6">
        <v>69000</v>
      </c>
      <c r="D25068" s="7">
        <v>0.15</v>
      </c>
      <c r="E25068" t="s">
        <v>69</v>
      </c>
    </row>
    <row r="25069" spans="1:5" x14ac:dyDescent="0.25">
      <c r="A25069" t="str">
        <f>HYPERLINK("https://www.773grp.com/globalSearch/MUN5135T1/page-1", "MUN5135T1")</f>
        <v>MUN5135T1</v>
      </c>
      <c r="B25069" s="3" t="str">
        <f>HYPERLINK("https://www.773grp.com/manufacturer/onsemi?pageNo=197", "ON Semiconductor")</f>
        <v>ON Semiconductor</v>
      </c>
      <c r="C25069" s="6">
        <v>6000</v>
      </c>
      <c r="D25069" s="7">
        <v>0.15</v>
      </c>
      <c r="E25069" t="s">
        <v>69</v>
      </c>
    </row>
    <row r="25070" spans="1:5" x14ac:dyDescent="0.25">
      <c r="A25070" t="str">
        <f>HYPERLINK("https://www.773grp.com/globalSearch/MUN5135T1G/page-1", "MUN5135T1G")</f>
        <v>MUN5135T1G</v>
      </c>
      <c r="B25070" s="3" t="str">
        <f>HYPERLINK("https://www.773grp.com/manufacturer/onsemi?pageNo=198", "ON Semiconductor")</f>
        <v>ON Semiconductor</v>
      </c>
      <c r="C25070" s="6">
        <v>237000</v>
      </c>
      <c r="D25070" s="7">
        <v>0.15</v>
      </c>
      <c r="E25070" t="s">
        <v>69</v>
      </c>
    </row>
    <row r="25071" spans="1:5" x14ac:dyDescent="0.25">
      <c r="A25071" t="str">
        <f>HYPERLINK("https://www.773grp.com/globalSearch/MUN5136T1/page-1", "MUN5136T1")</f>
        <v>MUN5136T1</v>
      </c>
      <c r="B25071" s="3" t="str">
        <f>HYPERLINK("https://www.773grp.com/manufacturer/onsemi?pageNo=199", "ON Semiconductor")</f>
        <v>ON Semiconductor</v>
      </c>
      <c r="C25071" s="6">
        <v>111000</v>
      </c>
      <c r="D25071" s="7">
        <v>0.15</v>
      </c>
      <c r="E25071" t="s">
        <v>69</v>
      </c>
    </row>
    <row r="25072" spans="1:5" x14ac:dyDescent="0.25">
      <c r="A25072" t="str">
        <f>HYPERLINK("https://www.773grp.com/globalSearch/MUN5137T1/page-1", "MUN5137T1")</f>
        <v>MUN5137T1</v>
      </c>
      <c r="B25072" s="3" t="str">
        <f>HYPERLINK("https://www.773grp.com/manufacturer/onsemi?pageNo=200", "ON Semiconductor")</f>
        <v>ON Semiconductor</v>
      </c>
      <c r="C25072" s="6">
        <v>66000</v>
      </c>
      <c r="D25072" s="7">
        <v>0.15</v>
      </c>
      <c r="E25072" t="s">
        <v>69</v>
      </c>
    </row>
    <row r="25073" spans="1:5" x14ac:dyDescent="0.25">
      <c r="A25073" t="str">
        <f>HYPERLINK("https://www.773grp.com/globalSearch/MUN5137T1G/page-1", "MUN5137T1G")</f>
        <v>MUN5137T1G</v>
      </c>
      <c r="B25073" s="3" t="str">
        <f>HYPERLINK("https://www.773grp.com/manufacturer/onsemi?pageNo=201", "ON Semiconductor")</f>
        <v>ON Semiconductor</v>
      </c>
      <c r="C25073" s="6">
        <v>6000</v>
      </c>
      <c r="D25073" s="7">
        <v>0.15</v>
      </c>
      <c r="E25073" t="s">
        <v>69</v>
      </c>
    </row>
    <row r="25074" spans="1:5" x14ac:dyDescent="0.25">
      <c r="A25074" t="str">
        <f>HYPERLINK("https://www.773grp.com/globalSearch/MUN5211T1/page-1", "MUN5211T1")</f>
        <v>MUN5211T1</v>
      </c>
      <c r="B25074" s="3" t="str">
        <f>HYPERLINK("https://www.773grp.com/manufacturer/onsemi?pageNo=202", "ON Semiconductor")</f>
        <v>ON Semiconductor</v>
      </c>
      <c r="C25074" s="6">
        <v>135000</v>
      </c>
      <c r="D25074" s="7">
        <v>0.15</v>
      </c>
      <c r="E25074" t="s">
        <v>69</v>
      </c>
    </row>
    <row r="25075" spans="1:5" x14ac:dyDescent="0.25">
      <c r="A25075" t="str">
        <f>HYPERLINK("https://www.773grp.com/globalSearch/MUN5211T1G/page-1", "MUN5211T1G")</f>
        <v>MUN5211T1G</v>
      </c>
      <c r="B25075" s="3" t="str">
        <f>HYPERLINK("https://www.773grp.com/manufacturer/onsemi?pageNo=203", "ON Semiconductor")</f>
        <v>ON Semiconductor</v>
      </c>
      <c r="C25075" s="6">
        <v>576000</v>
      </c>
      <c r="D25075" s="7">
        <v>0.15</v>
      </c>
      <c r="E25075" t="s">
        <v>69</v>
      </c>
    </row>
    <row r="25076" spans="1:5" x14ac:dyDescent="0.25">
      <c r="A25076" t="str">
        <f>HYPERLINK("https://www.773grp.com/globalSearch/MUN5212T1/page-1", "MUN5212T1")</f>
        <v>MUN5212T1</v>
      </c>
      <c r="B25076" s="3" t="str">
        <f>HYPERLINK("https://www.773grp.com/manufacturer/onsemi?pageNo=204", "ON Semiconductor")</f>
        <v>ON Semiconductor</v>
      </c>
      <c r="C25076" s="6">
        <v>110724</v>
      </c>
      <c r="D25076" s="7">
        <v>0.15</v>
      </c>
      <c r="E25076" t="s">
        <v>69</v>
      </c>
    </row>
    <row r="25077" spans="1:5" x14ac:dyDescent="0.25">
      <c r="A25077" t="str">
        <f>HYPERLINK("https://www.773grp.com/globalSearch/MUN5212T1G/page-1", "MUN5212T1G")</f>
        <v>MUN5212T1G</v>
      </c>
      <c r="B25077" s="3" t="str">
        <f>HYPERLINK("https://www.773grp.com/manufacturer/onsemi?pageNo=205", "ON Semiconductor")</f>
        <v>ON Semiconductor</v>
      </c>
      <c r="C25077" s="6">
        <v>259850</v>
      </c>
      <c r="D25077" s="7">
        <v>0.15</v>
      </c>
      <c r="E25077" t="s">
        <v>69</v>
      </c>
    </row>
    <row r="25078" spans="1:5" x14ac:dyDescent="0.25">
      <c r="A25078" t="str">
        <f>HYPERLINK("https://www.773grp.com/globalSearch/MUN5213T1/page-1", "MUN5213T1")</f>
        <v>MUN5213T1</v>
      </c>
      <c r="B25078" s="3" t="str">
        <f>HYPERLINK("https://www.773grp.com/manufacturer/onsemi?pageNo=206", "ON Semiconductor")</f>
        <v>ON Semiconductor</v>
      </c>
      <c r="C25078" s="6">
        <v>288000</v>
      </c>
      <c r="D25078" s="7">
        <v>0.15</v>
      </c>
      <c r="E25078" t="s">
        <v>69</v>
      </c>
    </row>
    <row r="25079" spans="1:5" x14ac:dyDescent="0.25">
      <c r="A25079" t="str">
        <f>HYPERLINK("https://www.773grp.com/globalSearch/MUN5213T1G/page-1", "MUN5213T1G")</f>
        <v>MUN5213T1G</v>
      </c>
      <c r="B25079" s="3" t="str">
        <f>HYPERLINK("https://www.773grp.com/manufacturer/onsemi?pageNo=207", "ON Semiconductor")</f>
        <v>ON Semiconductor</v>
      </c>
      <c r="C25079" s="6">
        <v>2169496</v>
      </c>
      <c r="D25079" s="7">
        <v>0.15</v>
      </c>
      <c r="E25079" t="s">
        <v>69</v>
      </c>
    </row>
    <row r="25080" spans="1:5" x14ac:dyDescent="0.25">
      <c r="A25080" t="str">
        <f>HYPERLINK("https://www.773grp.com/globalSearch/MUN5214T1/page-1", "MUN5214T1")</f>
        <v>MUN5214T1</v>
      </c>
      <c r="B25080" s="3" t="str">
        <f>HYPERLINK("https://www.773grp.com/manufacturer/onsemi?pageNo=208", "ON Semiconductor")</f>
        <v>ON Semiconductor</v>
      </c>
      <c r="C25080" s="6">
        <v>39000</v>
      </c>
      <c r="D25080" s="7">
        <v>0.15</v>
      </c>
      <c r="E25080" t="s">
        <v>69</v>
      </c>
    </row>
    <row r="25081" spans="1:5" x14ac:dyDescent="0.25">
      <c r="A25081" t="str">
        <f>HYPERLINK("https://www.773grp.com/globalSearch/MUN5214T1G/page-1", "MUN5214T1G")</f>
        <v>MUN5214T1G</v>
      </c>
      <c r="B25081" s="3" t="str">
        <f>HYPERLINK("https://www.773grp.com/manufacturer/onsemi?pageNo=209", "ON Semiconductor")</f>
        <v>ON Semiconductor</v>
      </c>
      <c r="C25081" s="6">
        <v>672000</v>
      </c>
      <c r="D25081" s="7">
        <v>0.15</v>
      </c>
      <c r="E25081" t="s">
        <v>69</v>
      </c>
    </row>
    <row r="25082" spans="1:5" x14ac:dyDescent="0.25">
      <c r="A25082" t="str">
        <f>HYPERLINK("https://www.773grp.com/globalSearch/MUN5215T1/page-1", "MUN5215T1")</f>
        <v>MUN5215T1</v>
      </c>
      <c r="B25082" s="3" t="str">
        <f>HYPERLINK("https://www.773grp.com/manufacturer/onsemi?pageNo=210", "ON Semiconductor")</f>
        <v>ON Semiconductor</v>
      </c>
      <c r="C25082" s="6">
        <v>39000</v>
      </c>
      <c r="D25082" s="7">
        <v>0.15</v>
      </c>
      <c r="E25082" t="s">
        <v>69</v>
      </c>
    </row>
    <row r="25083" spans="1:5" x14ac:dyDescent="0.25">
      <c r="A25083" t="str">
        <f>HYPERLINK("https://www.773grp.com/globalSearch/MUN5215T1G/page-1", "MUN5215T1G")</f>
        <v>MUN5215T1G</v>
      </c>
      <c r="B25083" s="3" t="str">
        <f>HYPERLINK("https://www.773grp.com/manufacturer/onsemi?pageNo=211", "ON Semiconductor")</f>
        <v>ON Semiconductor</v>
      </c>
      <c r="C25083" s="6">
        <v>90000</v>
      </c>
      <c r="D25083" s="7">
        <v>0.15</v>
      </c>
      <c r="E25083" t="s">
        <v>69</v>
      </c>
    </row>
    <row r="25084" spans="1:5" x14ac:dyDescent="0.25">
      <c r="A25084" t="str">
        <f>HYPERLINK("https://www.773grp.com/globalSearch/MUN5216T1/page-1", "MUN5216T1")</f>
        <v>MUN5216T1</v>
      </c>
      <c r="B25084" s="3" t="str">
        <f>HYPERLINK("https://www.773grp.com/manufacturer/onsemi?pageNo=212", "ON Semiconductor")</f>
        <v>ON Semiconductor</v>
      </c>
      <c r="C25084" s="6">
        <v>495000</v>
      </c>
      <c r="D25084" s="7">
        <v>0.15</v>
      </c>
      <c r="E25084" t="s">
        <v>69</v>
      </c>
    </row>
    <row r="25085" spans="1:5" x14ac:dyDescent="0.25">
      <c r="A25085" t="str">
        <f>HYPERLINK("https://www.773grp.com/globalSearch/MUN5216T1G/page-1", "MUN5216T1G")</f>
        <v>MUN5216T1G</v>
      </c>
      <c r="B25085" s="3" t="str">
        <f>HYPERLINK("https://www.773grp.com/manufacturer/onsemi?pageNo=213", "ON Semiconductor")</f>
        <v>ON Semiconductor</v>
      </c>
      <c r="C25085" s="6">
        <v>123000</v>
      </c>
      <c r="D25085" s="7">
        <v>0.15</v>
      </c>
      <c r="E25085" t="s">
        <v>69</v>
      </c>
    </row>
    <row r="25086" spans="1:5" x14ac:dyDescent="0.25">
      <c r="A25086" t="str">
        <f>HYPERLINK("https://www.773grp.com/globalSearch/MUN5230T1G/page-1", "MUN5230T1G")</f>
        <v>MUN5230T1G</v>
      </c>
      <c r="B25086" s="3" t="str">
        <f>HYPERLINK("https://www.773grp.com/manufacturer/onsemi?pageNo=214", "ON Semiconductor")</f>
        <v>ON Semiconductor</v>
      </c>
      <c r="C25086" s="6">
        <v>231100</v>
      </c>
      <c r="D25086" s="7">
        <v>0.15</v>
      </c>
      <c r="E25086" t="s">
        <v>69</v>
      </c>
    </row>
    <row r="25087" spans="1:5" x14ac:dyDescent="0.25">
      <c r="A25087" t="str">
        <f>HYPERLINK("https://www.773grp.com/globalSearch/MUN5231T1/page-1", "MUN5231T1")</f>
        <v>MUN5231T1</v>
      </c>
      <c r="B25087" s="3" t="str">
        <f>HYPERLINK("https://www.773grp.com/manufacturer/onsemi?pageNo=215", "ON Semiconductor")</f>
        <v>ON Semiconductor</v>
      </c>
      <c r="C25087" s="6">
        <v>15000</v>
      </c>
      <c r="D25087" s="7">
        <v>0.15</v>
      </c>
      <c r="E25087" t="s">
        <v>69</v>
      </c>
    </row>
    <row r="25088" spans="1:5" x14ac:dyDescent="0.25">
      <c r="A25088" t="str">
        <f>HYPERLINK("https://www.773grp.com/globalSearch/MUN5231T1G/page-1", "MUN5231T1G")</f>
        <v>MUN5231T1G</v>
      </c>
      <c r="B25088" s="3" t="str">
        <f>HYPERLINK("https://www.773grp.com/manufacturer/onsemi?pageNo=216", "ON Semiconductor")</f>
        <v>ON Semiconductor</v>
      </c>
      <c r="C25088" s="6">
        <v>120000</v>
      </c>
      <c r="D25088" s="7">
        <v>0.15</v>
      </c>
      <c r="E25088" t="s">
        <v>69</v>
      </c>
    </row>
    <row r="25089" spans="1:5" x14ac:dyDescent="0.25">
      <c r="A25089" t="str">
        <f>HYPERLINK("https://www.773grp.com/globalSearch/MUN5232T1/page-1", "MUN5232T1")</f>
        <v>MUN5232T1</v>
      </c>
      <c r="B25089" s="3" t="str">
        <f>HYPERLINK("https://www.773grp.com/manufacturer/onsemi?pageNo=217", "ON Semiconductor")</f>
        <v>ON Semiconductor</v>
      </c>
      <c r="C25089" s="6">
        <v>30000</v>
      </c>
      <c r="D25089" s="7">
        <v>0.15</v>
      </c>
      <c r="E25089" t="s">
        <v>69</v>
      </c>
    </row>
    <row r="25090" spans="1:5" x14ac:dyDescent="0.25">
      <c r="A25090" t="str">
        <f>HYPERLINK("https://www.773grp.com/globalSearch/MUN5232T1G/page-1", "MUN5232T1G")</f>
        <v>MUN5232T1G</v>
      </c>
      <c r="B25090" s="3" t="str">
        <f>HYPERLINK("https://www.773grp.com/manufacturer/onsemi?pageNo=218", "ON Semiconductor")</f>
        <v>ON Semiconductor</v>
      </c>
      <c r="C25090" s="6">
        <v>48000</v>
      </c>
      <c r="D25090" s="7">
        <v>0.15</v>
      </c>
      <c r="E25090" t="s">
        <v>69</v>
      </c>
    </row>
    <row r="25091" spans="1:5" x14ac:dyDescent="0.25">
      <c r="A25091" t="str">
        <f>HYPERLINK("https://www.773grp.com/globalSearch/MUN5233T1/page-1", "MUN5233T1")</f>
        <v>MUN5233T1</v>
      </c>
      <c r="B25091" s="3" t="str">
        <f>HYPERLINK("https://www.773grp.com/manufacturer/onsemi?pageNo=219", "ON Semiconductor")</f>
        <v>ON Semiconductor</v>
      </c>
      <c r="C25091" s="6">
        <v>146750</v>
      </c>
      <c r="D25091" s="7">
        <v>0.15</v>
      </c>
      <c r="E25091" t="s">
        <v>69</v>
      </c>
    </row>
    <row r="25092" spans="1:5" x14ac:dyDescent="0.25">
      <c r="A25092" t="str">
        <f>HYPERLINK("https://www.773grp.com/globalSearch/MUN5233T1G/page-1", "MUN5233T1G")</f>
        <v>MUN5233T1G</v>
      </c>
      <c r="B25092" s="3" t="str">
        <f>HYPERLINK("https://www.773grp.com/manufacturer/onsemi?pageNo=220", "ON Semiconductor")</f>
        <v>ON Semiconductor</v>
      </c>
      <c r="C25092" s="6">
        <v>456000</v>
      </c>
      <c r="D25092" s="7">
        <v>0.15</v>
      </c>
      <c r="E25092" t="s">
        <v>69</v>
      </c>
    </row>
    <row r="25093" spans="1:5" x14ac:dyDescent="0.25">
      <c r="A25093" t="str">
        <f>HYPERLINK("https://www.773grp.com/globalSearch/MUN5234T1/page-1", "MUN5234T1")</f>
        <v>MUN5234T1</v>
      </c>
      <c r="B25093" s="3" t="str">
        <f>HYPERLINK("https://www.773grp.com/manufacturer/onsemi?pageNo=221", "ON Semiconductor")</f>
        <v>ON Semiconductor</v>
      </c>
      <c r="C25093" s="6">
        <v>72000</v>
      </c>
      <c r="D25093" s="7">
        <v>0.15</v>
      </c>
      <c r="E25093" t="s">
        <v>69</v>
      </c>
    </row>
    <row r="25094" spans="1:5" x14ac:dyDescent="0.25">
      <c r="A25094" t="str">
        <f>HYPERLINK("https://www.773grp.com/globalSearch/MUN5235T1G/page-1", "MUN5235T1G")</f>
        <v>MUN5235T1G</v>
      </c>
      <c r="B25094" s="3" t="str">
        <f>HYPERLINK("https://www.773grp.com/manufacturer/onsemi?pageNo=222", "ON Semiconductor")</f>
        <v>ON Semiconductor</v>
      </c>
      <c r="C25094" s="6">
        <v>135000</v>
      </c>
      <c r="D25094" s="7">
        <v>0.15</v>
      </c>
      <c r="E25094" t="s">
        <v>69</v>
      </c>
    </row>
    <row r="25095" spans="1:5" x14ac:dyDescent="0.25">
      <c r="A25095" t="str">
        <f>HYPERLINK("https://www.773grp.com/globalSearch/MUN5236T1/page-1", "MUN5236T1")</f>
        <v>MUN5236T1</v>
      </c>
      <c r="B25095" s="3" t="str">
        <f>HYPERLINK("https://www.773grp.com/manufacturer/onsemi?pageNo=223", "ON Semiconductor")</f>
        <v>ON Semiconductor</v>
      </c>
      <c r="C25095" s="6">
        <v>111000</v>
      </c>
      <c r="D25095" s="7">
        <v>0.15</v>
      </c>
      <c r="E25095" t="s">
        <v>69</v>
      </c>
    </row>
    <row r="25096" spans="1:5" x14ac:dyDescent="0.25">
      <c r="A25096" t="str">
        <f>HYPERLINK("https://www.773grp.com/globalSearch/MUN5237T1/page-1", "MUN5237T1")</f>
        <v>MUN5237T1</v>
      </c>
      <c r="B25096" s="3" t="str">
        <f>HYPERLINK("https://www.773grp.com/manufacturer/onsemi?pageNo=224", "ON Semiconductor")</f>
        <v>ON Semiconductor</v>
      </c>
      <c r="C25096" s="6">
        <v>68985</v>
      </c>
      <c r="D25096" s="7">
        <v>0.15</v>
      </c>
      <c r="E25096" t="s">
        <v>69</v>
      </c>
    </row>
    <row r="25097" spans="1:5" x14ac:dyDescent="0.25">
      <c r="A25097" t="str">
        <f>HYPERLINK("https://www.773grp.com/globalSearch/MUN5237T1G/page-1", "MUN5237T1G")</f>
        <v>MUN5237T1G</v>
      </c>
      <c r="B25097" s="3" t="str">
        <f>HYPERLINK("https://www.773grp.com/manufacturer/onsemi?pageNo=225", "ON Semiconductor")</f>
        <v>ON Semiconductor</v>
      </c>
      <c r="C25097" s="6">
        <v>12000</v>
      </c>
      <c r="D25097" s="7">
        <v>0.15</v>
      </c>
      <c r="E25097" t="s">
        <v>69</v>
      </c>
    </row>
    <row r="25098" spans="1:5" x14ac:dyDescent="0.25">
      <c r="A25098" t="str">
        <f>HYPERLINK("https://www.773grp.com/globalSearch/NS2029M3T5G/page-1", "NS2029M3T5G")</f>
        <v>NS2029M3T5G</v>
      </c>
      <c r="B25098" s="3" t="str">
        <f>HYPERLINK("https://www.773grp.com/manufacturer/onsemi?pageNo=226", "ON Semiconductor")</f>
        <v>ON Semiconductor</v>
      </c>
      <c r="C25098" s="6">
        <v>44000</v>
      </c>
      <c r="D25098" s="7">
        <v>0.15</v>
      </c>
      <c r="E25098" t="s">
        <v>69</v>
      </c>
    </row>
    <row r="25099" spans="1:5" x14ac:dyDescent="0.25">
      <c r="A25099" t="str">
        <f>HYPERLINK("https://www.773grp.com/globalSearch/NSB1010XV5T5/page-1", "NSB1010XV5T5")</f>
        <v>NSB1010XV5T5</v>
      </c>
      <c r="B25099" s="3" t="str">
        <f>HYPERLINK("https://www.773grp.com/manufacturer/onsemi?pageNo=227", "ON Semiconductor")</f>
        <v>ON Semiconductor</v>
      </c>
      <c r="C25099" s="6">
        <v>168000</v>
      </c>
      <c r="D25099" s="7">
        <v>0.15</v>
      </c>
      <c r="E25099" t="s">
        <v>69</v>
      </c>
    </row>
    <row r="25100" spans="1:5" x14ac:dyDescent="0.25">
      <c r="A25100" t="str">
        <f>HYPERLINK("https://www.773grp.com/globalSearch/NSB1011XV6T5/page-1", "NSB1011XV6T5")</f>
        <v>NSB1011XV6T5</v>
      </c>
      <c r="B25100" s="3" t="str">
        <f>HYPERLINK("https://www.773grp.com/manufacturer/onsemi?pageNo=228", "ON Semiconductor")</f>
        <v>ON Semiconductor</v>
      </c>
      <c r="C25100" s="6">
        <v>88000</v>
      </c>
      <c r="D25100" s="7">
        <v>0.15</v>
      </c>
      <c r="E25100" t="s">
        <v>69</v>
      </c>
    </row>
    <row r="25101" spans="1:5" x14ac:dyDescent="0.25">
      <c r="A25101" t="str">
        <f>HYPERLINK("https://www.773grp.com/globalSearch/NSBA114EDXV6T5/page-1", "NSBA114EDXV6T5")</f>
        <v>NSBA114EDXV6T5</v>
      </c>
      <c r="B25101" s="3" t="str">
        <f>HYPERLINK("https://www.773grp.com/manufacturer/onsemi?pageNo=229", "ON Semiconductor")</f>
        <v>ON Semiconductor</v>
      </c>
      <c r="C25101" s="6">
        <v>8000</v>
      </c>
      <c r="D25101" s="7">
        <v>0.15</v>
      </c>
      <c r="E25101" t="s">
        <v>69</v>
      </c>
    </row>
    <row r="25102" spans="1:5" x14ac:dyDescent="0.25">
      <c r="A25102" t="str">
        <f>HYPERLINK("https://www.773grp.com/globalSearch/NSBA114EDXV6T5G/page-1", "NSBA114EDXV6T5G")</f>
        <v>NSBA114EDXV6T5G</v>
      </c>
      <c r="B25102" s="3" t="str">
        <f>HYPERLINK("https://www.773grp.com/manufacturer/onsemi?pageNo=230", "ON Semiconductor")</f>
        <v>ON Semiconductor</v>
      </c>
      <c r="C25102" s="6">
        <v>48000</v>
      </c>
      <c r="D25102" s="7">
        <v>0.15</v>
      </c>
      <c r="E25102" t="s">
        <v>69</v>
      </c>
    </row>
    <row r="25103" spans="1:5" x14ac:dyDescent="0.25">
      <c r="A25103" t="str">
        <f>HYPERLINK("https://www.773grp.com/globalSearch/NSBA114TDXV6T1/page-1", "NSBA114TDXV6T1")</f>
        <v>NSBA114TDXV6T1</v>
      </c>
      <c r="B25103" s="3" t="str">
        <f>HYPERLINK("https://www.773grp.com/manufacturer/onsemi?pageNo=231", "ON Semiconductor")</f>
        <v>ON Semiconductor</v>
      </c>
      <c r="C25103" s="6">
        <v>48000</v>
      </c>
      <c r="D25103" s="7">
        <v>0.15</v>
      </c>
      <c r="E25103" t="s">
        <v>69</v>
      </c>
    </row>
    <row r="25104" spans="1:5" x14ac:dyDescent="0.25">
      <c r="A25104" t="str">
        <f>HYPERLINK("https://www.773grp.com/globalSearch/NSBA114TDXV6T5/page-1", "NSBA114TDXV6T5")</f>
        <v>NSBA114TDXV6T5</v>
      </c>
      <c r="B25104" s="3" t="str">
        <f>HYPERLINK("https://www.773grp.com/manufacturer/onsemi?pageNo=232", "ON Semiconductor")</f>
        <v>ON Semiconductor</v>
      </c>
      <c r="C25104" s="6">
        <v>15999</v>
      </c>
      <c r="D25104" s="7">
        <v>0.15</v>
      </c>
      <c r="E25104" t="s">
        <v>69</v>
      </c>
    </row>
    <row r="25105" spans="1:5" x14ac:dyDescent="0.25">
      <c r="A25105" t="str">
        <f>HYPERLINK("https://www.773grp.com/globalSearch/NSBA114YDXV6T1/page-1", "NSBA114YDXV6T1")</f>
        <v>NSBA114YDXV6T1</v>
      </c>
      <c r="B25105" s="3" t="str">
        <f>HYPERLINK("https://www.773grp.com/manufacturer/onsemi?pageNo=233", "ON Semiconductor")</f>
        <v>ON Semiconductor</v>
      </c>
      <c r="C25105" s="6">
        <v>144000</v>
      </c>
      <c r="D25105" s="7">
        <v>0.15</v>
      </c>
      <c r="E25105" t="s">
        <v>69</v>
      </c>
    </row>
    <row r="25106" spans="1:5" x14ac:dyDescent="0.25">
      <c r="A25106" t="str">
        <f>HYPERLINK("https://www.773grp.com/globalSearch/NSBA115EDXV6T1/page-1", "NSBA115EDXV6T1")</f>
        <v>NSBA115EDXV6T1</v>
      </c>
      <c r="B25106" s="3" t="str">
        <f>HYPERLINK("https://www.773grp.com/manufacturer/onsemi?pageNo=234", "ON Semiconductor")</f>
        <v>ON Semiconductor</v>
      </c>
      <c r="C25106" s="6">
        <v>15975</v>
      </c>
      <c r="D25106" s="7">
        <v>0.15</v>
      </c>
      <c r="E25106" t="s">
        <v>69</v>
      </c>
    </row>
    <row r="25107" spans="1:5" x14ac:dyDescent="0.25">
      <c r="A25107" t="str">
        <f>HYPERLINK("https://www.773grp.com/globalSearch/NSBA123EDXV6T1/page-1", "NSBA123EDXV6T1")</f>
        <v>NSBA123EDXV6T1</v>
      </c>
      <c r="B25107" s="3" t="str">
        <f>HYPERLINK("https://www.773grp.com/manufacturer/onsemi?pageNo=235", "ON Semiconductor")</f>
        <v>ON Semiconductor</v>
      </c>
      <c r="C25107" s="6">
        <v>120000</v>
      </c>
      <c r="D25107" s="7">
        <v>0.15</v>
      </c>
      <c r="E25107" t="s">
        <v>69</v>
      </c>
    </row>
    <row r="25108" spans="1:5" x14ac:dyDescent="0.25">
      <c r="A25108" t="str">
        <f>HYPERLINK("https://www.773grp.com/globalSearch/NSBA123JDXV6/page-1", "NSBA123JDXV6")</f>
        <v>NSBA123JDXV6</v>
      </c>
      <c r="B25108" s="3" t="str">
        <f>HYPERLINK("https://www.773grp.com/manufacturer/onsemi?pageNo=236", "ON Semiconductor")</f>
        <v>ON Semiconductor</v>
      </c>
      <c r="C25108" s="6">
        <v>4000</v>
      </c>
      <c r="D25108" s="7">
        <v>0.15</v>
      </c>
    </row>
    <row r="25109" spans="1:5" x14ac:dyDescent="0.25">
      <c r="A25109" t="str">
        <f>HYPERLINK("https://www.773grp.com/globalSearch/NSBA123JDXV6T1/page-1", "NSBA123JDXV6T1")</f>
        <v>NSBA123JDXV6T1</v>
      </c>
      <c r="B25109" s="3" t="str">
        <f>HYPERLINK("https://www.773grp.com/manufacturer/onsemi?pageNo=237", "ON Semiconductor")</f>
        <v>ON Semiconductor</v>
      </c>
      <c r="C25109" s="6">
        <v>171949</v>
      </c>
      <c r="D25109" s="7">
        <v>0.15</v>
      </c>
      <c r="E25109" t="s">
        <v>69</v>
      </c>
    </row>
    <row r="25110" spans="1:5" x14ac:dyDescent="0.25">
      <c r="A25110" t="str">
        <f>HYPERLINK("https://www.773grp.com/globalSearch/NSBA123JDXV6T1G/page-1", "NSBA123JDXV6T1G")</f>
        <v>NSBA123JDXV6T1G</v>
      </c>
      <c r="B25110" s="3" t="str">
        <f>HYPERLINK("https://www.773grp.com/manufacturer/onsemi?pageNo=238", "ON Semiconductor")</f>
        <v>ON Semiconductor</v>
      </c>
      <c r="C25110" s="6">
        <v>283000</v>
      </c>
      <c r="D25110" s="7">
        <v>0.15</v>
      </c>
      <c r="E25110" t="s">
        <v>69</v>
      </c>
    </row>
    <row r="25111" spans="1:5" x14ac:dyDescent="0.25">
      <c r="A25111" t="str">
        <f>HYPERLINK("https://www.773grp.com/globalSearch/NSBA123JDXV6T5/page-1", "NSBA123JDXV6T5")</f>
        <v>NSBA123JDXV6T5</v>
      </c>
      <c r="B25111" s="3" t="str">
        <f>HYPERLINK("https://www.773grp.com/manufacturer/onsemi?pageNo=239", "ON Semiconductor")</f>
        <v>ON Semiconductor</v>
      </c>
      <c r="C25111" s="6">
        <v>943800</v>
      </c>
      <c r="D25111" s="7">
        <v>0.15</v>
      </c>
      <c r="E25111" t="s">
        <v>69</v>
      </c>
    </row>
    <row r="25112" spans="1:5" x14ac:dyDescent="0.25">
      <c r="A25112" t="str">
        <f>HYPERLINK("https://www.773grp.com/globalSearch/NSBA124EDXV6T1/page-1", "NSBA124EDXV6T1")</f>
        <v>NSBA124EDXV6T1</v>
      </c>
      <c r="B25112" s="3" t="str">
        <f>HYPERLINK("https://www.773grp.com/manufacturer/onsemi?pageNo=240", "ON Semiconductor")</f>
        <v>ON Semiconductor</v>
      </c>
      <c r="C25112" s="6">
        <v>100000</v>
      </c>
      <c r="D25112" s="7">
        <v>0.15</v>
      </c>
      <c r="E25112" t="s">
        <v>69</v>
      </c>
    </row>
    <row r="25113" spans="1:5" x14ac:dyDescent="0.25">
      <c r="A25113" t="str">
        <f>HYPERLINK("https://www.773grp.com/globalSearch/NSBA124EDXV6T5/page-1", "NSBA124EDXV6T5")</f>
        <v>NSBA124EDXV6T5</v>
      </c>
      <c r="B25113" s="3" t="str">
        <f>HYPERLINK("https://www.773grp.com/manufacturer/onsemi?pageNo=241", "ON Semiconductor")</f>
        <v>ON Semiconductor</v>
      </c>
      <c r="C25113" s="6">
        <v>24000</v>
      </c>
      <c r="D25113" s="7">
        <v>0.15</v>
      </c>
      <c r="E25113" t="s">
        <v>69</v>
      </c>
    </row>
    <row r="25114" spans="1:5" x14ac:dyDescent="0.25">
      <c r="A25114" t="str">
        <f>HYPERLINK("https://www.773grp.com/globalSearch/NSBA124XDXV6T1/page-1", "NSBA124XDXV6T1")</f>
        <v>NSBA124XDXV6T1</v>
      </c>
      <c r="B25114" s="3" t="str">
        <f>HYPERLINK("https://www.773grp.com/manufacturer/onsemi?pageNo=242", "ON Semiconductor")</f>
        <v>ON Semiconductor</v>
      </c>
      <c r="C25114" s="6">
        <v>76000</v>
      </c>
      <c r="D25114" s="7">
        <v>0.15</v>
      </c>
      <c r="E25114" t="s">
        <v>69</v>
      </c>
    </row>
    <row r="25115" spans="1:5" x14ac:dyDescent="0.25">
      <c r="A25115" t="str">
        <f>HYPERLINK("https://www.773grp.com/globalSearch/NSBA143EDXV6T1/page-1", "NSBA143EDXV6T1")</f>
        <v>NSBA143EDXV6T1</v>
      </c>
      <c r="B25115" s="3" t="str">
        <f>HYPERLINK("https://www.773grp.com/manufacturer/onsemi?pageNo=243", "ON Semiconductor")</f>
        <v>ON Semiconductor</v>
      </c>
      <c r="C25115" s="6">
        <v>44000</v>
      </c>
      <c r="D25115" s="7">
        <v>0.15</v>
      </c>
      <c r="E25115" t="s">
        <v>69</v>
      </c>
    </row>
    <row r="25116" spans="1:5" x14ac:dyDescent="0.25">
      <c r="A25116" t="str">
        <f>HYPERLINK("https://www.773grp.com/globalSearch/NSBA143TDXV6T1/page-1", "NSBA143TDXV6T1")</f>
        <v>NSBA143TDXV6T1</v>
      </c>
      <c r="B25116" s="3" t="str">
        <f>HYPERLINK("https://www.773grp.com/manufacturer/onsemi?pageNo=244", "ON Semiconductor")</f>
        <v>ON Semiconductor</v>
      </c>
      <c r="C25116" s="6">
        <v>36000</v>
      </c>
      <c r="D25116" s="7">
        <v>0.15</v>
      </c>
      <c r="E25116" t="s">
        <v>69</v>
      </c>
    </row>
    <row r="25117" spans="1:5" x14ac:dyDescent="0.25">
      <c r="A25117" t="str">
        <f>HYPERLINK("https://www.773grp.com/globalSearch/NSBA143TDXV6T5/page-1", "NSBA143TDXV6T5")</f>
        <v>NSBA143TDXV6T5</v>
      </c>
      <c r="B25117" s="3" t="str">
        <f>HYPERLINK("https://www.773grp.com/manufacturer/onsemi?pageNo=245", "ON Semiconductor")</f>
        <v>ON Semiconductor</v>
      </c>
      <c r="C25117" s="6">
        <v>56000</v>
      </c>
      <c r="D25117" s="7">
        <v>0.15</v>
      </c>
      <c r="E25117" t="s">
        <v>69</v>
      </c>
    </row>
    <row r="25118" spans="1:5" x14ac:dyDescent="0.25">
      <c r="A25118" t="str">
        <f>HYPERLINK("https://www.773grp.com/globalSearch/NSBA143ZDXV6/page-1", "NSBA143ZDXV6")</f>
        <v>NSBA143ZDXV6</v>
      </c>
      <c r="B25118" s="3" t="str">
        <f>HYPERLINK("https://www.773grp.com/manufacturer/onsemi?pageNo=246", "ON Semiconductor")</f>
        <v>ON Semiconductor</v>
      </c>
      <c r="C25118" s="6">
        <v>4000</v>
      </c>
      <c r="D25118" s="7">
        <v>0.15</v>
      </c>
    </row>
    <row r="25119" spans="1:5" x14ac:dyDescent="0.25">
      <c r="A25119" t="str">
        <f>HYPERLINK("https://www.773grp.com/globalSearch/NSBA143ZDXV6T1/page-1", "NSBA143ZDXV6T1")</f>
        <v>NSBA143ZDXV6T1</v>
      </c>
      <c r="B25119" s="3" t="str">
        <f>HYPERLINK("https://www.773grp.com/manufacturer/onsemi?pageNo=247", "ON Semiconductor")</f>
        <v>ON Semiconductor</v>
      </c>
      <c r="C25119" s="6">
        <v>43990</v>
      </c>
      <c r="D25119" s="7">
        <v>0.15</v>
      </c>
      <c r="E25119" t="s">
        <v>69</v>
      </c>
    </row>
    <row r="25120" spans="1:5" x14ac:dyDescent="0.25">
      <c r="A25120" t="str">
        <f>HYPERLINK("https://www.773grp.com/globalSearch/NSBA144EDXV6T1/page-1", "NSBA144EDXV6T1")</f>
        <v>NSBA144EDXV6T1</v>
      </c>
      <c r="B25120" s="3" t="str">
        <f>HYPERLINK("https://www.773grp.com/manufacturer/onsemi?pageNo=248", "ON Semiconductor")</f>
        <v>ON Semiconductor</v>
      </c>
      <c r="C25120" s="6">
        <v>32000</v>
      </c>
      <c r="D25120" s="7">
        <v>0.15</v>
      </c>
      <c r="E25120" t="s">
        <v>69</v>
      </c>
    </row>
    <row r="25121" spans="1:5" x14ac:dyDescent="0.25">
      <c r="A25121" t="str">
        <f>HYPERLINK("https://www.773grp.com/globalSearch/NSBA144EDXV6T5/page-1", "NSBA144EDXV6T5")</f>
        <v>NSBA144EDXV6T5</v>
      </c>
      <c r="B25121" s="3" t="str">
        <f>HYPERLINK("https://www.773grp.com/manufacturer/onsemi?pageNo=249", "ON Semiconductor")</f>
        <v>ON Semiconductor</v>
      </c>
      <c r="C25121" s="6">
        <v>8000</v>
      </c>
      <c r="D25121" s="7">
        <v>0.15</v>
      </c>
      <c r="E25121" t="s">
        <v>69</v>
      </c>
    </row>
    <row r="25122" spans="1:5" x14ac:dyDescent="0.25">
      <c r="A25122" t="str">
        <f>HYPERLINK("https://www.773grp.com/globalSearch/NSBC113EDXV6T1/page-1", "NSBC113EDXV6T1")</f>
        <v>NSBC113EDXV6T1</v>
      </c>
      <c r="B25122" s="3" t="str">
        <f>HYPERLINK("https://www.773grp.com/manufacturer/onsemi?pageNo=250", "ON Semiconductor")</f>
        <v>ON Semiconductor</v>
      </c>
      <c r="C25122" s="6">
        <v>36000</v>
      </c>
      <c r="D25122" s="7">
        <v>0.15</v>
      </c>
      <c r="E25122" t="s">
        <v>69</v>
      </c>
    </row>
    <row r="25123" spans="1:5" x14ac:dyDescent="0.25">
      <c r="A25123" t="str">
        <f>HYPERLINK("https://www.773grp.com/globalSearch/NSBC113EDXV6T5/page-1", "NSBC113EDXV6T5")</f>
        <v>NSBC113EDXV6T5</v>
      </c>
      <c r="B25123" s="3" t="str">
        <f>HYPERLINK("https://www.773grp.com/manufacturer/onsemi?pageNo=251", "ON Semiconductor")</f>
        <v>ON Semiconductor</v>
      </c>
      <c r="C25123" s="6">
        <v>8000</v>
      </c>
      <c r="D25123" s="7">
        <v>0.15</v>
      </c>
      <c r="E25123" t="s">
        <v>69</v>
      </c>
    </row>
    <row r="25124" spans="1:5" x14ac:dyDescent="0.25">
      <c r="A25124" t="str">
        <f>HYPERLINK("https://www.773grp.com/globalSearch/NSBC113EPDXV6T1/page-1", "NSBC113EPDXV6T1")</f>
        <v>NSBC113EPDXV6T1</v>
      </c>
      <c r="B25124" s="3" t="str">
        <f>HYPERLINK("https://www.773grp.com/manufacturer/onsemi?pageNo=252", "ON Semiconductor")</f>
        <v>ON Semiconductor</v>
      </c>
      <c r="C25124" s="6">
        <v>56500</v>
      </c>
      <c r="D25124" s="7">
        <v>0.15</v>
      </c>
      <c r="E25124" t="s">
        <v>69</v>
      </c>
    </row>
    <row r="25125" spans="1:5" x14ac:dyDescent="0.25">
      <c r="A25125" t="str">
        <f>HYPERLINK("https://www.773grp.com/globalSearch/NSBC113EPDXV6T5/page-1", "NSBC113EPDXV6T5")</f>
        <v>NSBC113EPDXV6T5</v>
      </c>
      <c r="B25125" s="3" t="str">
        <f>HYPERLINK("https://www.773grp.com/manufacturer/onsemi?pageNo=253", "ON Semiconductor")</f>
        <v>ON Semiconductor</v>
      </c>
      <c r="C25125" s="6">
        <v>16000</v>
      </c>
      <c r="D25125" s="7">
        <v>0.15</v>
      </c>
      <c r="E25125" t="s">
        <v>69</v>
      </c>
    </row>
    <row r="25126" spans="1:5" x14ac:dyDescent="0.25">
      <c r="A25126" t="str">
        <f>HYPERLINK("https://www.773grp.com/globalSearch/NSBC114EPDXV6T1/page-1", "NSBC114EPDXV6T1")</f>
        <v>NSBC114EPDXV6T1</v>
      </c>
      <c r="B25126" s="3" t="str">
        <f>HYPERLINK("https://www.773grp.com/manufacturer/onsemi?pageNo=254", "ON Semiconductor")</f>
        <v>ON Semiconductor</v>
      </c>
      <c r="C25126" s="6">
        <v>121830</v>
      </c>
      <c r="D25126" s="7">
        <v>0.15</v>
      </c>
      <c r="E25126" t="s">
        <v>69</v>
      </c>
    </row>
    <row r="25127" spans="1:5" x14ac:dyDescent="0.25">
      <c r="A25127" t="str">
        <f>HYPERLINK("https://www.773grp.com/globalSearch/NSBC114TDXV6/page-1", "NSBC114TDXV6")</f>
        <v>NSBC114TDXV6</v>
      </c>
      <c r="B25127" s="3" t="str">
        <f>HYPERLINK("https://www.773grp.com/manufacturer/onsemi?pageNo=255", "ON Semiconductor")</f>
        <v>ON Semiconductor</v>
      </c>
      <c r="C25127" s="6">
        <v>80000</v>
      </c>
      <c r="D25127" s="7">
        <v>0.15</v>
      </c>
    </row>
    <row r="25128" spans="1:5" x14ac:dyDescent="0.25">
      <c r="A25128" t="str">
        <f>HYPERLINK("https://www.773grp.com/globalSearch/NSBC114TDXV6T1/page-1", "NSBC114TDXV6T1")</f>
        <v>NSBC114TDXV6T1</v>
      </c>
      <c r="B25128" s="3" t="str">
        <f>HYPERLINK("https://www.773grp.com/manufacturer/onsemi?pageNo=256", "ON Semiconductor")</f>
        <v>ON Semiconductor</v>
      </c>
      <c r="C25128" s="6">
        <v>728000</v>
      </c>
      <c r="D25128" s="7">
        <v>0.15</v>
      </c>
      <c r="E25128" t="s">
        <v>69</v>
      </c>
    </row>
    <row r="25129" spans="1:5" x14ac:dyDescent="0.25">
      <c r="A25129" t="str">
        <f>HYPERLINK("https://www.773grp.com/globalSearch/NSBC114TDXV6T5/page-1", "NSBC114TDXV6T5")</f>
        <v>NSBC114TDXV6T5</v>
      </c>
      <c r="B25129" s="3" t="str">
        <f>HYPERLINK("https://www.773grp.com/manufacturer/onsemi?pageNo=257", "ON Semiconductor")</f>
        <v>ON Semiconductor</v>
      </c>
      <c r="C25129" s="6">
        <v>215600</v>
      </c>
      <c r="D25129" s="7">
        <v>0.15</v>
      </c>
      <c r="E25129" t="s">
        <v>69</v>
      </c>
    </row>
    <row r="25130" spans="1:5" x14ac:dyDescent="0.25">
      <c r="A25130" t="str">
        <f>HYPERLINK("https://www.773grp.com/globalSearch/NSBC114TPDXV6T1/page-1", "NSBC114TPDXV6T1")</f>
        <v>NSBC114TPDXV6T1</v>
      </c>
      <c r="B25130" s="3" t="str">
        <f>HYPERLINK("https://www.773grp.com/manufacturer/onsemi?pageNo=258", "ON Semiconductor")</f>
        <v>ON Semiconductor</v>
      </c>
      <c r="C25130" s="6">
        <v>83930</v>
      </c>
      <c r="D25130" s="7">
        <v>0.15</v>
      </c>
      <c r="E25130" t="s">
        <v>69</v>
      </c>
    </row>
    <row r="25131" spans="1:5" x14ac:dyDescent="0.25">
      <c r="A25131" t="str">
        <f>HYPERLINK("https://www.773grp.com/globalSearch/NSBC114YPDXV6T1/page-1", "NSBC114YPDXV6T1")</f>
        <v>NSBC114YPDXV6T1</v>
      </c>
      <c r="B25131" s="3" t="str">
        <f>HYPERLINK("https://www.773grp.com/manufacturer/onsemi?pageNo=259", "ON Semiconductor")</f>
        <v>ON Semiconductor</v>
      </c>
      <c r="C25131" s="6">
        <v>379710</v>
      </c>
      <c r="D25131" s="7">
        <v>0.15</v>
      </c>
      <c r="E25131" t="s">
        <v>69</v>
      </c>
    </row>
    <row r="25132" spans="1:5" x14ac:dyDescent="0.25">
      <c r="A25132" t="str">
        <f>HYPERLINK("https://www.773grp.com/globalSearch/NSBC115EDXV6T1/page-1", "NSBC115EDXV6T1")</f>
        <v>NSBC115EDXV6T1</v>
      </c>
      <c r="B25132" s="3" t="str">
        <f>HYPERLINK("https://www.773grp.com/manufacturer/onsemi?pageNo=260", "ON Semiconductor")</f>
        <v>ON Semiconductor</v>
      </c>
      <c r="C25132" s="6">
        <v>2000</v>
      </c>
      <c r="D25132" s="7">
        <v>0.15</v>
      </c>
      <c r="E25132" t="s">
        <v>69</v>
      </c>
    </row>
    <row r="25133" spans="1:5" x14ac:dyDescent="0.25">
      <c r="A25133" t="str">
        <f>HYPERLINK("https://www.773grp.com/globalSearch/NSBC123EDXV6T1/page-1", "NSBC123EDXV6T1")</f>
        <v>NSBC123EDXV6T1</v>
      </c>
      <c r="B25133" s="3" t="str">
        <f>HYPERLINK("https://www.773grp.com/manufacturer/onsemi?pageNo=261", "ON Semiconductor")</f>
        <v>ON Semiconductor</v>
      </c>
      <c r="C25133" s="6">
        <v>36000</v>
      </c>
      <c r="D25133" s="7">
        <v>0.15</v>
      </c>
      <c r="E25133" t="s">
        <v>69</v>
      </c>
    </row>
    <row r="25134" spans="1:5" x14ac:dyDescent="0.25">
      <c r="A25134" t="str">
        <f>HYPERLINK("https://www.773grp.com/globalSearch/NSBC123EPDXV6T1/page-1", "NSBC123EPDXV6T1")</f>
        <v>NSBC123EPDXV6T1</v>
      </c>
      <c r="B25134" s="3" t="str">
        <f>HYPERLINK("https://www.773grp.com/manufacturer/onsemi?pageNo=262", "ON Semiconductor")</f>
        <v>ON Semiconductor</v>
      </c>
      <c r="C25134" s="6">
        <v>96000</v>
      </c>
      <c r="D25134" s="7">
        <v>0.15</v>
      </c>
      <c r="E25134" t="s">
        <v>69</v>
      </c>
    </row>
    <row r="25135" spans="1:5" x14ac:dyDescent="0.25">
      <c r="A25135" t="str">
        <f>HYPERLINK("https://www.773grp.com/globalSearch/NSBC123JDXV6T1/page-1", "NSBC123JDXV6T1")</f>
        <v>NSBC123JDXV6T1</v>
      </c>
      <c r="B25135" s="3" t="str">
        <f>HYPERLINK("https://www.773grp.com/manufacturer/onsemi?pageNo=263", "ON Semiconductor")</f>
        <v>ON Semiconductor</v>
      </c>
      <c r="C25135" s="6">
        <v>128000</v>
      </c>
      <c r="D25135" s="7">
        <v>0.15</v>
      </c>
      <c r="E25135" t="s">
        <v>69</v>
      </c>
    </row>
    <row r="25136" spans="1:5" x14ac:dyDescent="0.25">
      <c r="A25136" t="str">
        <f>HYPERLINK("https://www.773grp.com/globalSearch/NSBC123JPDXV6T5/page-1", "NSBC123JPDXV6T5")</f>
        <v>NSBC123JPDXV6T5</v>
      </c>
      <c r="B25136" s="3" t="str">
        <f>HYPERLINK("https://www.773grp.com/manufacturer/onsemi?pageNo=264", "ON Semiconductor")</f>
        <v>ON Semiconductor</v>
      </c>
      <c r="C25136" s="6">
        <v>7955</v>
      </c>
      <c r="D25136" s="7">
        <v>0.15</v>
      </c>
      <c r="E25136" t="s">
        <v>69</v>
      </c>
    </row>
    <row r="25137" spans="1:5" x14ac:dyDescent="0.25">
      <c r="A25137" t="str">
        <f>HYPERLINK("https://www.773grp.com/globalSearch/NSBC124EPDXV6T1/page-1", "NSBC124EPDXV6T1")</f>
        <v>NSBC124EPDXV6T1</v>
      </c>
      <c r="B25137" s="3" t="str">
        <f>HYPERLINK("https://www.773grp.com/manufacturer/onsemi?pageNo=265", "ON Semiconductor")</f>
        <v>ON Semiconductor</v>
      </c>
      <c r="C25137" s="6">
        <v>211695</v>
      </c>
      <c r="D25137" s="7">
        <v>0.15</v>
      </c>
      <c r="E25137" t="s">
        <v>69</v>
      </c>
    </row>
    <row r="25138" spans="1:5" x14ac:dyDescent="0.25">
      <c r="A25138" t="str">
        <f>HYPERLINK("https://www.773grp.com/globalSearch/NSBC124XDXV6T1/page-1", "NSBC124XDXV6T1")</f>
        <v>NSBC124XDXV6T1</v>
      </c>
      <c r="B25138" s="3" t="str">
        <f>HYPERLINK("https://www.773grp.com/manufacturer/onsemi?pageNo=266", "ON Semiconductor")</f>
        <v>ON Semiconductor</v>
      </c>
      <c r="C25138" s="6">
        <v>91950</v>
      </c>
      <c r="D25138" s="7">
        <v>0.15</v>
      </c>
      <c r="E25138" t="s">
        <v>69</v>
      </c>
    </row>
    <row r="25139" spans="1:5" x14ac:dyDescent="0.25">
      <c r="A25139" t="str">
        <f>HYPERLINK("https://www.773grp.com/globalSearch/NSBC124XPDXV6T1/page-1", "NSBC124XPDXV6T1")</f>
        <v>NSBC124XPDXV6T1</v>
      </c>
      <c r="B25139" s="3" t="str">
        <f>HYPERLINK("https://www.773grp.com/manufacturer/onsemi?pageNo=267", "ON Semiconductor")</f>
        <v>ON Semiconductor</v>
      </c>
      <c r="C25139" s="6">
        <v>8000</v>
      </c>
      <c r="D25139" s="7">
        <v>0.15</v>
      </c>
      <c r="E25139" t="s">
        <v>69</v>
      </c>
    </row>
    <row r="25140" spans="1:5" x14ac:dyDescent="0.25">
      <c r="A25140" t="str">
        <f>HYPERLINK("https://www.773grp.com/globalSearch/NSBC143EDXV6T1/page-1", "NSBC143EDXV6T1")</f>
        <v>NSBC143EDXV6T1</v>
      </c>
      <c r="B25140" s="3" t="str">
        <f>HYPERLINK("https://www.773grp.com/manufacturer/onsemi?pageNo=268", "ON Semiconductor")</f>
        <v>ON Semiconductor</v>
      </c>
      <c r="C25140" s="6">
        <v>39975</v>
      </c>
      <c r="D25140" s="7">
        <v>0.15</v>
      </c>
      <c r="E25140" t="s">
        <v>69</v>
      </c>
    </row>
    <row r="25141" spans="1:5" x14ac:dyDescent="0.25">
      <c r="A25141" t="str">
        <f>HYPERLINK("https://www.773grp.com/globalSearch/NSBC143EPDXV6T1/page-1", "NSBC143EPDXV6T1")</f>
        <v>NSBC143EPDXV6T1</v>
      </c>
      <c r="B25141" s="3" t="str">
        <f>HYPERLINK("https://www.773grp.com/manufacturer/onsemi?pageNo=269", "ON Semiconductor")</f>
        <v>ON Semiconductor</v>
      </c>
      <c r="C25141" s="6">
        <v>631985</v>
      </c>
      <c r="D25141" s="7">
        <v>0.15</v>
      </c>
      <c r="E25141" t="s">
        <v>69</v>
      </c>
    </row>
    <row r="25142" spans="1:5" x14ac:dyDescent="0.25">
      <c r="A25142" t="str">
        <f>HYPERLINK("https://www.773grp.com/globalSearch/NSBC143TDXV6T1/page-1", "NSBC143TDXV6T1")</f>
        <v>NSBC143TDXV6T1</v>
      </c>
      <c r="B25142" s="3" t="str">
        <f>HYPERLINK("https://www.773grp.com/manufacturer/onsemi?pageNo=270", "ON Semiconductor")</f>
        <v>ON Semiconductor</v>
      </c>
      <c r="C25142" s="6">
        <v>31986</v>
      </c>
      <c r="D25142" s="7">
        <v>0.15</v>
      </c>
      <c r="E25142" t="s">
        <v>69</v>
      </c>
    </row>
    <row r="25143" spans="1:5" x14ac:dyDescent="0.25">
      <c r="A25143" t="str">
        <f>HYPERLINK("https://www.773grp.com/globalSearch/NSBC143TDXV6T5/page-1", "NSBC143TDXV6T5")</f>
        <v>NSBC143TDXV6T5</v>
      </c>
      <c r="B25143" s="3" t="str">
        <f>HYPERLINK("https://www.773grp.com/manufacturer/onsemi?pageNo=271", "ON Semiconductor")</f>
        <v>ON Semiconductor</v>
      </c>
      <c r="C25143" s="6">
        <v>400000</v>
      </c>
      <c r="D25143" s="7">
        <v>0.15</v>
      </c>
      <c r="E25143" t="s">
        <v>69</v>
      </c>
    </row>
    <row r="25144" spans="1:5" x14ac:dyDescent="0.25">
      <c r="A25144" t="str">
        <f>HYPERLINK("https://www.773grp.com/globalSearch/NSBC143TPDXV6T5/page-1", "NSBC143TPDXV6T5")</f>
        <v>NSBC143TPDXV6T5</v>
      </c>
      <c r="B25144" s="3" t="str">
        <f>HYPERLINK("https://www.773grp.com/manufacturer/onsemi?pageNo=272", "ON Semiconductor")</f>
        <v>ON Semiconductor</v>
      </c>
      <c r="C25144" s="6">
        <v>104000</v>
      </c>
      <c r="D25144" s="7">
        <v>0.15</v>
      </c>
      <c r="E25144" t="s">
        <v>69</v>
      </c>
    </row>
    <row r="25145" spans="1:5" x14ac:dyDescent="0.25">
      <c r="A25145" t="str">
        <f>HYPERLINK("https://www.773grp.com/globalSearch/NSBC143ZDXV6T1/page-1", "NSBC143ZDXV6T1")</f>
        <v>NSBC143ZDXV6T1</v>
      </c>
      <c r="B25145" s="3" t="str">
        <f>HYPERLINK("https://www.773grp.com/manufacturer/onsemi?pageNo=273", "ON Semiconductor")</f>
        <v>ON Semiconductor</v>
      </c>
      <c r="C25145" s="6">
        <v>55960</v>
      </c>
      <c r="D25145" s="7">
        <v>0.15</v>
      </c>
      <c r="E25145" t="s">
        <v>69</v>
      </c>
    </row>
    <row r="25146" spans="1:5" x14ac:dyDescent="0.25">
      <c r="A25146" t="str">
        <f>HYPERLINK("https://www.773grp.com/globalSearch/NSBC143ZPDXV6T5/page-1", "NSBC143ZPDXV6T5")</f>
        <v>NSBC143ZPDXV6T5</v>
      </c>
      <c r="B25146" s="3" t="str">
        <f>HYPERLINK("https://www.773grp.com/manufacturer/onsemi?pageNo=274", "ON Semiconductor")</f>
        <v>ON Semiconductor</v>
      </c>
      <c r="C25146" s="6">
        <v>7950</v>
      </c>
      <c r="D25146" s="7">
        <v>0.15</v>
      </c>
      <c r="E25146" t="s">
        <v>69</v>
      </c>
    </row>
    <row r="25147" spans="1:5" x14ac:dyDescent="0.25">
      <c r="A25147" t="str">
        <f>HYPERLINK("https://www.773grp.com/globalSearch/NSBC143ZPDXV6T5G/page-1", "NSBC143ZPDXV6T5G")</f>
        <v>NSBC143ZPDXV6T5G</v>
      </c>
      <c r="B25147" s="3" t="str">
        <f>HYPERLINK("https://www.773grp.com/manufacturer/onsemi?pageNo=275", "ON Semiconductor")</f>
        <v>ON Semiconductor</v>
      </c>
      <c r="C25147" s="6">
        <v>80000</v>
      </c>
      <c r="D25147" s="7">
        <v>0.15</v>
      </c>
      <c r="E25147" t="s">
        <v>69</v>
      </c>
    </row>
    <row r="25148" spans="1:5" x14ac:dyDescent="0.25">
      <c r="A25148" t="str">
        <f>HYPERLINK("https://www.773grp.com/globalSearch/NSBC144EDXV6T5/page-1", "NSBC144EDXV6T5")</f>
        <v>NSBC144EDXV6T5</v>
      </c>
      <c r="B25148" s="3" t="str">
        <f>HYPERLINK("https://www.773grp.com/manufacturer/onsemi?pageNo=276", "ON Semiconductor")</f>
        <v>ON Semiconductor</v>
      </c>
      <c r="C25148" s="6">
        <v>7995</v>
      </c>
      <c r="D25148" s="7">
        <v>0.15</v>
      </c>
      <c r="E25148" t="s">
        <v>69</v>
      </c>
    </row>
    <row r="25149" spans="1:5" x14ac:dyDescent="0.25">
      <c r="A25149" t="str">
        <f>HYPERLINK("https://www.773grp.com/globalSearch/NSBC144EPDXV6T5/page-1", "NSBC144EPDXV6T5")</f>
        <v>NSBC144EPDXV6T5</v>
      </c>
      <c r="B25149" s="3" t="str">
        <f>HYPERLINK("https://www.773grp.com/manufacturer/onsemi?pageNo=277", "ON Semiconductor")</f>
        <v>ON Semiconductor</v>
      </c>
      <c r="C25149" s="6">
        <v>264000</v>
      </c>
      <c r="D25149" s="7">
        <v>0.15</v>
      </c>
      <c r="E25149" t="s">
        <v>69</v>
      </c>
    </row>
    <row r="25150" spans="1:5" x14ac:dyDescent="0.25">
      <c r="A25150" t="str">
        <f>HYPERLINK("https://www.773grp.com/globalSearch/NSCT817-40LT3G/page-1", "NSCT817-40LT3G")</f>
        <v>NSCT817-40LT3G</v>
      </c>
      <c r="B25150" s="3" t="str">
        <f>HYPERLINK("https://www.773grp.com/manufacturer/onsemi?pageNo=278", "ON Semiconductor")</f>
        <v>ON Semiconductor</v>
      </c>
      <c r="C25150" s="6">
        <v>60000</v>
      </c>
      <c r="D25150" s="7">
        <v>0.15</v>
      </c>
    </row>
    <row r="25151" spans="1:5" x14ac:dyDescent="0.25">
      <c r="A25151" t="str">
        <f>HYPERLINK("https://www.773grp.com/globalSearch/NSDEMN11XV6T1G/page-1", "NSDEMN11XV6T1G")</f>
        <v>NSDEMN11XV6T1G</v>
      </c>
      <c r="B25151" s="3" t="str">
        <f>HYPERLINK("https://www.773grp.com/manufacturer/onsemi?pageNo=279", "ON Semiconductor")</f>
        <v>ON Semiconductor</v>
      </c>
      <c r="C25151" s="6">
        <v>28000</v>
      </c>
      <c r="D25151" s="7">
        <v>0.15</v>
      </c>
      <c r="E25151" t="s">
        <v>94</v>
      </c>
    </row>
    <row r="25152" spans="1:5" x14ac:dyDescent="0.25">
      <c r="A25152" t="str">
        <f>HYPERLINK("https://www.773grp.com/globalSearch/NSDEMP11XV6T1/page-1", "NSDEMP11XV6T1")</f>
        <v>NSDEMP11XV6T1</v>
      </c>
      <c r="B25152" s="3" t="str">
        <f>HYPERLINK("https://www.773grp.com/manufacturer/onsemi?pageNo=280", "ON Semiconductor")</f>
        <v>ON Semiconductor</v>
      </c>
      <c r="C25152" s="6">
        <v>16049</v>
      </c>
      <c r="D25152" s="7">
        <v>0.15</v>
      </c>
      <c r="E25152" t="s">
        <v>94</v>
      </c>
    </row>
    <row r="25153" spans="1:5" x14ac:dyDescent="0.25">
      <c r="A25153" t="str">
        <f>HYPERLINK("https://www.773grp.com/globalSearch/NSDEMP11XV6T5/page-1", "NSDEMP11XV6T5")</f>
        <v>NSDEMP11XV6T5</v>
      </c>
      <c r="B25153" s="3" t="str">
        <f>HYPERLINK("https://www.773grp.com/manufacturer/onsemi?pageNo=281", "ON Semiconductor")</f>
        <v>ON Semiconductor</v>
      </c>
      <c r="C25153" s="6">
        <v>1771000</v>
      </c>
      <c r="D25153" s="7">
        <v>0.15</v>
      </c>
      <c r="E25153" t="s">
        <v>94</v>
      </c>
    </row>
    <row r="25154" spans="1:5" x14ac:dyDescent="0.25">
      <c r="A25154" t="str">
        <f>HYPERLINK("https://www.773grp.com/globalSearch/NSR0170P2T5G/page-1", "NSR0170P2T5G")</f>
        <v>NSR0170P2T5G</v>
      </c>
      <c r="B25154" s="3" t="str">
        <f>HYPERLINK("https://www.773grp.com/manufacturer/onsemi?pageNo=282", "ON Semiconductor")</f>
        <v>ON Semiconductor</v>
      </c>
      <c r="C25154" s="6">
        <v>8000</v>
      </c>
      <c r="D25154" s="7">
        <v>0.15</v>
      </c>
    </row>
    <row r="25155" spans="1:5" x14ac:dyDescent="0.25">
      <c r="A25155" t="str">
        <f>HYPERLINK("https://www.773grp.com/globalSearch/NST3904DXV6T/page-1", "NST3904DXV6T")</f>
        <v>NST3904DXV6T</v>
      </c>
      <c r="B25155" s="3" t="str">
        <f>HYPERLINK("https://www.773grp.com/manufacturer/onsemi?pageNo=283", "ON Semiconductor")</f>
        <v>ON Semiconductor</v>
      </c>
      <c r="C25155" s="6">
        <v>4000</v>
      </c>
      <c r="D25155" s="7">
        <v>0.15</v>
      </c>
    </row>
    <row r="25156" spans="1:5" x14ac:dyDescent="0.25">
      <c r="A25156" t="str">
        <f>HYPERLINK("https://www.773grp.com/globalSearch/NST3904DXV6T1/page-1", "NST3904DXV6T1")</f>
        <v>NST3904DXV6T1</v>
      </c>
      <c r="B25156" s="3" t="str">
        <f>HYPERLINK("https://www.773grp.com/manufacturer/onsemi?pageNo=284", "ON Semiconductor")</f>
        <v>ON Semiconductor</v>
      </c>
      <c r="C25156" s="6">
        <v>892000</v>
      </c>
      <c r="D25156" s="7">
        <v>0.15</v>
      </c>
      <c r="E25156" t="s">
        <v>69</v>
      </c>
    </row>
    <row r="25157" spans="1:5" x14ac:dyDescent="0.25">
      <c r="A25157" t="str">
        <f>HYPERLINK("https://www.773grp.com/globalSearch/NST3904DXV6T5/page-1", "NST3904DXV6T5")</f>
        <v>NST3904DXV6T5</v>
      </c>
      <c r="B25157" s="3" t="str">
        <f>HYPERLINK("https://www.773grp.com/manufacturer/onsemi?pageNo=285", "ON Semiconductor")</f>
        <v>ON Semiconductor</v>
      </c>
      <c r="C25157" s="6">
        <v>7541</v>
      </c>
      <c r="D25157" s="7">
        <v>0.15</v>
      </c>
      <c r="E25157" t="s">
        <v>69</v>
      </c>
    </row>
    <row r="25158" spans="1:5" x14ac:dyDescent="0.25">
      <c r="A25158" t="str">
        <f>HYPERLINK("https://www.773grp.com/globalSearch/NST3906DXV6T1/page-1", "NST3906DXV6T1")</f>
        <v>NST3906DXV6T1</v>
      </c>
      <c r="B25158" s="3" t="str">
        <f>HYPERLINK("https://www.773grp.com/manufacturer/onsemi?pageNo=286", "ON Semiconductor")</f>
        <v>ON Semiconductor</v>
      </c>
      <c r="C25158" s="6">
        <v>91925</v>
      </c>
      <c r="D25158" s="7">
        <v>0.15</v>
      </c>
      <c r="E25158" t="s">
        <v>69</v>
      </c>
    </row>
    <row r="25159" spans="1:5" x14ac:dyDescent="0.25">
      <c r="A25159" t="str">
        <f>HYPERLINK("https://www.773grp.com/globalSearch/NST3946DXV6T5/page-1", "NST3946DXV6T5")</f>
        <v>NST3946DXV6T5</v>
      </c>
      <c r="B25159" s="3" t="str">
        <f>HYPERLINK("https://www.773grp.com/manufacturer/onsemi?pageNo=287", "ON Semiconductor")</f>
        <v>ON Semiconductor</v>
      </c>
      <c r="C25159" s="6">
        <v>14520</v>
      </c>
      <c r="D25159" s="7">
        <v>0.15</v>
      </c>
      <c r="E25159" t="s">
        <v>69</v>
      </c>
    </row>
    <row r="25160" spans="1:5" x14ac:dyDescent="0.25">
      <c r="A25160" t="str">
        <f>HYPERLINK("https://www.773grp.com/globalSearch/NSTB1003DXV5T1/page-1", "NSTB1003DXV5T1")</f>
        <v>NSTB1003DXV5T1</v>
      </c>
      <c r="B25160" s="3" t="str">
        <f>HYPERLINK("https://www.773grp.com/manufacturer/onsemi?pageNo=288", "ON Semiconductor")</f>
        <v>ON Semiconductor</v>
      </c>
      <c r="C25160" s="6">
        <v>100000</v>
      </c>
      <c r="D25160" s="7">
        <v>0.15</v>
      </c>
    </row>
    <row r="25161" spans="1:5" x14ac:dyDescent="0.25">
      <c r="A25161" t="str">
        <f>HYPERLINK("https://www.773grp.com/globalSearch/NSTB1004DXV5T1/page-1", "NSTB1004DXV5T1")</f>
        <v>NSTB1004DXV5T1</v>
      </c>
      <c r="B25161" s="3" t="str">
        <f>HYPERLINK("https://www.773grp.com/manufacturer/onsemi?pageNo=289", "ON Semiconductor")</f>
        <v>ON Semiconductor</v>
      </c>
      <c r="C25161" s="6">
        <v>300000</v>
      </c>
      <c r="D25161" s="7">
        <v>0.15</v>
      </c>
    </row>
    <row r="25162" spans="1:5" x14ac:dyDescent="0.25">
      <c r="A25162" t="str">
        <f>HYPERLINK("https://www.773grp.com/globalSearch/NSVBAS21HT1/page-1", "NSVBAS21HT1")</f>
        <v>NSVBAS21HT1</v>
      </c>
      <c r="B25162" s="3" t="str">
        <f>HYPERLINK("https://www.773grp.com/manufacturer/onsemi?pageNo=290", "ON Semiconductor")</f>
        <v>ON Semiconductor</v>
      </c>
      <c r="C25162" s="6">
        <v>75000</v>
      </c>
      <c r="D25162" s="7">
        <v>0.15</v>
      </c>
    </row>
    <row r="25163" spans="1:5" x14ac:dyDescent="0.25">
      <c r="A25163" t="str">
        <f>HYPERLINK("https://www.773grp.com/globalSearch/NSVBAT54LT1G/page-1", "NSVBAT54LT1G")</f>
        <v>NSVBAT54LT1G</v>
      </c>
      <c r="B25163" s="3" t="str">
        <f>HYPERLINK("https://www.773grp.com/manufacturer/onsemi?pageNo=291", "ON Semiconductor")</f>
        <v>ON Semiconductor</v>
      </c>
      <c r="C25163" s="6">
        <v>45000</v>
      </c>
      <c r="D25163" s="7">
        <v>0.15</v>
      </c>
    </row>
    <row r="25164" spans="1:5" x14ac:dyDescent="0.25">
      <c r="A25164" t="str">
        <f>HYPERLINK("https://www.773grp.com/globalSearch/NSVBC114YPDXV65G/page-1", "NSVBC114YPDXV65G")</f>
        <v>NSVBC114YPDXV65G</v>
      </c>
      <c r="B25164" s="3" t="str">
        <f>HYPERLINK("https://www.773grp.com/manufacturer/onsemi?pageNo=292", "ON Semiconductor")</f>
        <v>ON Semiconductor</v>
      </c>
      <c r="C25164" s="6">
        <v>104000</v>
      </c>
      <c r="D25164" s="7">
        <v>0.15</v>
      </c>
    </row>
    <row r="25165" spans="1:5" x14ac:dyDescent="0.25">
      <c r="A25165" t="str">
        <f>HYPERLINK("https://www.773grp.com/globalSearch/NSVBC848CLT1G/page-1", "NSVBC848CLT1G")</f>
        <v>NSVBC848CLT1G</v>
      </c>
      <c r="B25165" s="3" t="str">
        <f>HYPERLINK("https://www.773grp.com/manufacturer/onsemi?pageNo=293", "ON Semiconductor")</f>
        <v>ON Semiconductor</v>
      </c>
      <c r="C25165" s="6">
        <v>6000</v>
      </c>
      <c r="D25165" s="7">
        <v>0.15</v>
      </c>
    </row>
    <row r="25166" spans="1:5" x14ac:dyDescent="0.25">
      <c r="A25166" t="str">
        <f>HYPERLINK("https://www.773grp.com/globalSearch/NTJD5121NT1G/page-1", "NTJD5121NT1G")</f>
        <v>NTJD5121NT1G</v>
      </c>
      <c r="B25166" s="3" t="str">
        <f>HYPERLINK("https://www.773grp.com/manufacturer/onsemi?pageNo=294", "ON Semiconductor")</f>
        <v>ON Semiconductor</v>
      </c>
      <c r="C25166" s="6">
        <v>124700</v>
      </c>
      <c r="D25166" s="7">
        <v>0.15</v>
      </c>
      <c r="E25166" t="s">
        <v>106</v>
      </c>
    </row>
    <row r="25167" spans="1:5" x14ac:dyDescent="0.25">
      <c r="A25167" t="str">
        <f>HYPERLINK("https://www.773grp.com/globalSearch/NTR0202PLT3G/page-1", "NTR0202PLT3G")</f>
        <v>NTR0202PLT3G</v>
      </c>
      <c r="B25167" s="3" t="str">
        <f>HYPERLINK("https://www.773grp.com/manufacturer/onsemi?pageNo=295", "ON Semiconductor")</f>
        <v>ON Semiconductor</v>
      </c>
      <c r="C25167" s="6">
        <v>10000</v>
      </c>
      <c r="D25167" s="7">
        <v>0.15</v>
      </c>
      <c r="E25167" t="s">
        <v>106</v>
      </c>
    </row>
    <row r="25168" spans="1:5" x14ac:dyDescent="0.25">
      <c r="A25168" t="str">
        <f>HYPERLINK("https://www.773grp.com/globalSearch/NTR4003NT3G/page-1", "NTR4003NT3G")</f>
        <v>NTR4003NT3G</v>
      </c>
      <c r="B25168" s="3" t="str">
        <f>HYPERLINK("https://www.773grp.com/manufacturer/onsemi?pageNo=296", "ON Semiconductor")</f>
        <v>ON Semiconductor</v>
      </c>
      <c r="C25168" s="6">
        <v>10000</v>
      </c>
      <c r="D25168" s="7">
        <v>0.15</v>
      </c>
    </row>
    <row r="25169" spans="1:5" x14ac:dyDescent="0.25">
      <c r="A25169" t="str">
        <f>HYPERLINK("https://www.773grp.com/globalSearch/NTS4001NT1G/page-1", "NTS4001NT1G")</f>
        <v>NTS4001NT1G</v>
      </c>
      <c r="B25169" s="3" t="str">
        <f>HYPERLINK("https://www.773grp.com/manufacturer/onsemi?pageNo=297", "ON Semiconductor")</f>
        <v>ON Semiconductor</v>
      </c>
      <c r="C25169" s="6">
        <v>116699</v>
      </c>
      <c r="D25169" s="7">
        <v>0.15</v>
      </c>
      <c r="E25169" t="s">
        <v>106</v>
      </c>
    </row>
    <row r="25170" spans="1:5" x14ac:dyDescent="0.25">
      <c r="A25170" t="str">
        <f>HYPERLINK("https://www.773grp.com/globalSearch/P2N2222A/page-1", "P2N2222A")</f>
        <v>P2N2222A</v>
      </c>
      <c r="B25170" s="3" t="str">
        <f>HYPERLINK("https://www.773grp.com/manufacturer/onsemi?pageNo=298", "ON Semiconductor")</f>
        <v>ON Semiconductor</v>
      </c>
      <c r="C25170" s="6">
        <v>13200</v>
      </c>
      <c r="D25170" s="7">
        <v>0.15</v>
      </c>
      <c r="E25170" t="s">
        <v>69</v>
      </c>
    </row>
    <row r="25171" spans="1:5" x14ac:dyDescent="0.25">
      <c r="A25171" t="str">
        <f>HYPERLINK("https://www.773grp.com/globalSearch/P2N2222ARL1/page-1", "P2N2222ARL1")</f>
        <v>P2N2222ARL1</v>
      </c>
      <c r="B25171" s="3" t="str">
        <f>HYPERLINK("https://www.773grp.com/manufacturer/onsemi?pageNo=299", "ON Semiconductor")</f>
        <v>ON Semiconductor</v>
      </c>
      <c r="C25171" s="6">
        <v>10000</v>
      </c>
      <c r="D25171" s="7">
        <v>0.15</v>
      </c>
      <c r="E25171" t="s">
        <v>69</v>
      </c>
    </row>
    <row r="25172" spans="1:5" x14ac:dyDescent="0.25">
      <c r="A25172" t="str">
        <f>HYPERLINK("https://www.773grp.com/globalSearch/P2N2369ZL1/page-1", "P2N2369ZL1")</f>
        <v>P2N2369ZL1</v>
      </c>
      <c r="B25172" s="3" t="str">
        <f>HYPERLINK("https://www.773grp.com/manufacturer/onsemi?pageNo=300", "ON Semiconductor")</f>
        <v>ON Semiconductor</v>
      </c>
      <c r="C25172" s="6">
        <v>3030</v>
      </c>
      <c r="D25172" s="7">
        <v>0.15</v>
      </c>
    </row>
    <row r="25173" spans="1:5" x14ac:dyDescent="0.25">
      <c r="A25173" t="str">
        <f>HYPERLINK("https://www.773grp.com/globalSearch/P2N2369ZL1G/page-1", "P2N2369ZL1G")</f>
        <v>P2N2369ZL1G</v>
      </c>
      <c r="B25173" s="3" t="str">
        <f>HYPERLINK("https://www.773grp.com/manufacturer/onsemi?pageNo=301", "ON Semiconductor")</f>
        <v>ON Semiconductor</v>
      </c>
      <c r="C25173" s="6">
        <v>40000</v>
      </c>
      <c r="D25173" s="7">
        <v>0.15</v>
      </c>
    </row>
    <row r="25174" spans="1:5" x14ac:dyDescent="0.25">
      <c r="A25174" t="str">
        <f>HYPERLINK("https://www.773grp.com/globalSearch/P2N2907AZL1/page-1", "P2N2907AZL1")</f>
        <v>P2N2907AZL1</v>
      </c>
      <c r="B25174" s="3" t="str">
        <f>HYPERLINK("https://www.773grp.com/manufacturer/onsemi?pageNo=302", "ON Semiconductor")</f>
        <v>ON Semiconductor</v>
      </c>
      <c r="C25174" s="6">
        <v>14000</v>
      </c>
      <c r="D25174" s="7">
        <v>0.15</v>
      </c>
      <c r="E25174" t="s">
        <v>69</v>
      </c>
    </row>
    <row r="25175" spans="1:5" x14ac:dyDescent="0.25">
      <c r="A25175" t="str">
        <f>HYPERLINK("https://www.773grp.com/globalSearch/P2N2907AZL1G/page-1", "P2N2907AZL1G")</f>
        <v>P2N2907AZL1G</v>
      </c>
      <c r="B25175" s="3" t="str">
        <f>HYPERLINK("https://www.773grp.com/manufacturer/onsemi?pageNo=303", "ON Semiconductor")</f>
        <v>ON Semiconductor</v>
      </c>
      <c r="C25175" s="6">
        <v>14000</v>
      </c>
      <c r="D25175" s="7">
        <v>0.15</v>
      </c>
      <c r="E25175" t="s">
        <v>69</v>
      </c>
    </row>
    <row r="25176" spans="1:5" x14ac:dyDescent="0.25">
      <c r="A25176" t="str">
        <f>HYPERLINK("https://www.773grp.com/globalSearch/PN2222A/page-1", "PN2222A")</f>
        <v>PN2222A</v>
      </c>
      <c r="B25176" s="3" t="str">
        <f>HYPERLINK("https://www.773grp.com/manufacturer/onsemi?pageNo=304", "ON Semiconductor")</f>
        <v>ON Semiconductor</v>
      </c>
      <c r="C25176" s="6">
        <v>30000</v>
      </c>
      <c r="D25176" s="7">
        <v>0.15</v>
      </c>
      <c r="E25176" t="s">
        <v>69</v>
      </c>
    </row>
    <row r="25177" spans="1:5" x14ac:dyDescent="0.25">
      <c r="A25177" t="str">
        <f>HYPERLINK("https://www.773grp.com/globalSearch/PN2222ARLRA/page-1", "PN2222ARLRA")</f>
        <v>PN2222ARLRA</v>
      </c>
      <c r="B25177" s="3" t="str">
        <f>HYPERLINK("https://www.773grp.com/manufacturer/onsemi?pageNo=305", "ON Semiconductor")</f>
        <v>ON Semiconductor</v>
      </c>
      <c r="C25177" s="6">
        <v>4000</v>
      </c>
      <c r="D25177" s="7">
        <v>0.15</v>
      </c>
      <c r="E25177" t="s">
        <v>69</v>
      </c>
    </row>
    <row r="25178" spans="1:5" x14ac:dyDescent="0.25">
      <c r="A25178" t="str">
        <f>HYPERLINK("https://www.773grp.com/globalSearch/PN2222ARLRP/page-1", "PN2222ARLRP")</f>
        <v>PN2222ARLRP</v>
      </c>
      <c r="B25178" s="3" t="str">
        <f>HYPERLINK("https://www.773grp.com/manufacturer/onsemi?pageNo=306", "ON Semiconductor")</f>
        <v>ON Semiconductor</v>
      </c>
      <c r="C25178" s="6">
        <v>50000</v>
      </c>
      <c r="D25178" s="7">
        <v>0.15</v>
      </c>
      <c r="E25178" t="s">
        <v>69</v>
      </c>
    </row>
    <row r="25179" spans="1:5" x14ac:dyDescent="0.25">
      <c r="A25179" t="str">
        <f>HYPERLINK("https://www.773grp.com/globalSearch/PN2907A/page-1", "PN2907A")</f>
        <v>PN2907A</v>
      </c>
      <c r="B25179" s="3" t="str">
        <f>HYPERLINK("https://www.773grp.com/manufacturer/onsemi?pageNo=307", "ON Semiconductor")</f>
        <v>ON Semiconductor</v>
      </c>
      <c r="C25179" s="6">
        <v>1250</v>
      </c>
      <c r="D25179" s="7">
        <v>0.15</v>
      </c>
      <c r="E25179" t="s">
        <v>69</v>
      </c>
    </row>
    <row r="25180" spans="1:5" x14ac:dyDescent="0.25">
      <c r="A25180" t="str">
        <f>HYPERLINK("https://www.773grp.com/globalSearch/RB520S30T1G/page-1", "RB520S30T1G")</f>
        <v>RB520S30T1G</v>
      </c>
      <c r="B25180" s="3" t="str">
        <f>HYPERLINK("https://www.773grp.com/manufacturer/onsemi?pageNo=308", "ON Semiconductor")</f>
        <v>ON Semiconductor</v>
      </c>
      <c r="C25180" s="6">
        <v>855000</v>
      </c>
      <c r="D25180" s="7">
        <v>0.15</v>
      </c>
      <c r="E25180" t="s">
        <v>94</v>
      </c>
    </row>
    <row r="25181" spans="1:5" x14ac:dyDescent="0.25">
      <c r="A25181" t="str">
        <f>HYPERLINK("https://www.773grp.com/globalSearch/RB520S30T1G/page-1", "RB520S30T1G")</f>
        <v>RB520S30T1G</v>
      </c>
      <c r="B25181" s="3" t="str">
        <f>HYPERLINK("https://www.773grp.com/manufacturer/onsemi?pageNo=309", "ON Semiconductor")</f>
        <v>ON Semiconductor</v>
      </c>
      <c r="C25181" s="6">
        <v>1353300</v>
      </c>
      <c r="D25181" s="7">
        <v>0.15</v>
      </c>
      <c r="E25181" t="s">
        <v>94</v>
      </c>
    </row>
    <row r="25182" spans="1:5" x14ac:dyDescent="0.25">
      <c r="A25182" t="str">
        <f>HYPERLINK("https://www.773grp.com/globalSearch/RB521S30T1G/page-1", "RB521S30T1G")</f>
        <v>RB521S30T1G</v>
      </c>
      <c r="B25182" s="3" t="str">
        <f>HYPERLINK("https://www.773grp.com/manufacturer/onsemi?pageNo=310", "ON Semiconductor")</f>
        <v>ON Semiconductor</v>
      </c>
      <c r="C25182" s="6">
        <v>2272135</v>
      </c>
      <c r="D25182" s="7">
        <v>0.15</v>
      </c>
      <c r="E25182" t="s">
        <v>94</v>
      </c>
    </row>
    <row r="25183" spans="1:5" x14ac:dyDescent="0.25">
      <c r="A25183" t="str">
        <f>HYPERLINK("https://www.773grp.com/globalSearch/RB751V40T1/page-1", "RB751V40T1")</f>
        <v>RB751V40T1</v>
      </c>
      <c r="B25183" s="3" t="str">
        <f>HYPERLINK("https://www.773grp.com/manufacturer/onsemi?pageNo=311", "ON Semiconductor")</f>
        <v>ON Semiconductor</v>
      </c>
      <c r="C25183" s="6">
        <v>1592098</v>
      </c>
      <c r="D25183" s="7">
        <v>0.15</v>
      </c>
      <c r="E25183" t="s">
        <v>94</v>
      </c>
    </row>
    <row r="25184" spans="1:5" x14ac:dyDescent="0.25">
      <c r="A25184" t="str">
        <f>HYPERLINK("https://www.773grp.com/globalSearch/SBAS16LT1G/page-1", "SBAS16LT1G")</f>
        <v>SBAS16LT1G</v>
      </c>
      <c r="B25184" s="3" t="str">
        <f>HYPERLINK("https://www.773grp.com/manufacturer/onsemi?pageNo=312", "ON Semiconductor")</f>
        <v>ON Semiconductor</v>
      </c>
      <c r="C25184" s="6">
        <v>104795</v>
      </c>
      <c r="D25184" s="7">
        <v>0.15</v>
      </c>
    </row>
    <row r="25185" spans="1:5" x14ac:dyDescent="0.25">
      <c r="A25185" t="str">
        <f>HYPERLINK("https://www.773grp.com/globalSearch/SBAS21LT1G/page-1", "SBAS21LT1G")</f>
        <v>SBAS21LT1G</v>
      </c>
      <c r="B25185" s="3" t="str">
        <f>HYPERLINK("https://www.773grp.com/manufacturer/onsemi?pageNo=313", "ON Semiconductor")</f>
        <v>ON Semiconductor</v>
      </c>
      <c r="C25185" s="6">
        <v>3000</v>
      </c>
      <c r="D25185" s="7">
        <v>0.15</v>
      </c>
    </row>
    <row r="25186" spans="1:5" x14ac:dyDescent="0.25">
      <c r="A25186" t="str">
        <f>HYPERLINK("https://www.773grp.com/globalSearch/SBAS21LT3G/page-1", "SBAS21LT3G")</f>
        <v>SBAS21LT3G</v>
      </c>
      <c r="B25186" s="3" t="str">
        <f>HYPERLINK("https://www.773grp.com/manufacturer/onsemi?pageNo=314", "ON Semiconductor")</f>
        <v>ON Semiconductor</v>
      </c>
      <c r="C25186" s="6">
        <v>10000</v>
      </c>
      <c r="D25186" s="7">
        <v>0.15</v>
      </c>
    </row>
    <row r="25187" spans="1:5" x14ac:dyDescent="0.25">
      <c r="A25187" t="str">
        <f>HYPERLINK("https://www.773grp.com/globalSearch/SBAV70LT3G/page-1", "SBAV70LT3G")</f>
        <v>SBAV70LT3G</v>
      </c>
      <c r="B25187" s="3" t="str">
        <f>HYPERLINK("https://www.773grp.com/manufacturer/onsemi?pageNo=315", "ON Semiconductor")</f>
        <v>ON Semiconductor</v>
      </c>
      <c r="C25187" s="6">
        <v>1589900</v>
      </c>
      <c r="D25187" s="7">
        <v>0.15</v>
      </c>
    </row>
    <row r="25188" spans="1:5" x14ac:dyDescent="0.25">
      <c r="A25188" t="str">
        <f>HYPERLINK("https://www.773grp.com/globalSearch/SBAW56LT1G/page-1", "SBAW56LT1G")</f>
        <v>SBAW56LT1G</v>
      </c>
      <c r="B25188" s="3" t="str">
        <f>HYPERLINK("https://www.773grp.com/manufacturer/onsemi?pageNo=316", "ON Semiconductor")</f>
        <v>ON Semiconductor</v>
      </c>
      <c r="C25188" s="6">
        <v>180000</v>
      </c>
      <c r="D25188" s="7">
        <v>0.15</v>
      </c>
    </row>
    <row r="25189" spans="1:5" x14ac:dyDescent="0.25">
      <c r="A25189" t="str">
        <f>HYPERLINK("https://www.773grp.com/globalSearch/SBC807-40LT3/page-1", "SBC807-40LT3")</f>
        <v>SBC807-40LT3</v>
      </c>
      <c r="B25189" s="3" t="str">
        <f>HYPERLINK("https://www.773grp.com/manufacturer/onsemi?pageNo=317", "ON Semiconductor")</f>
        <v>ON Semiconductor</v>
      </c>
      <c r="C25189" s="6">
        <v>70000</v>
      </c>
      <c r="D25189" s="7">
        <v>0.15</v>
      </c>
      <c r="E25189" t="s">
        <v>69</v>
      </c>
    </row>
    <row r="25190" spans="1:5" x14ac:dyDescent="0.25">
      <c r="A25190" t="str">
        <f>HYPERLINK("https://www.773grp.com/globalSearch/SBC817-16LT3G/page-1", "SBC817-16LT3G")</f>
        <v>SBC817-16LT3G</v>
      </c>
      <c r="B25190" s="3" t="str">
        <f>HYPERLINK("https://www.773grp.com/manufacturer/onsemi?pageNo=318", "ON Semiconductor")</f>
        <v>ON Semiconductor</v>
      </c>
      <c r="C25190" s="6">
        <v>200000</v>
      </c>
      <c r="D25190" s="7">
        <v>0.15</v>
      </c>
    </row>
    <row r="25191" spans="1:5" x14ac:dyDescent="0.25">
      <c r="A25191" t="str">
        <f>HYPERLINK("https://www.773grp.com/globalSearch/SBC847BLT1G/page-1", "SBC847BLT1G")</f>
        <v>SBC847BLT1G</v>
      </c>
      <c r="B25191" s="3" t="str">
        <f>HYPERLINK("https://www.773grp.com/manufacturer/onsemi?pageNo=319", "ON Semiconductor")</f>
        <v>ON Semiconductor</v>
      </c>
      <c r="C25191" s="6">
        <v>207000</v>
      </c>
      <c r="D25191" s="7">
        <v>0.15</v>
      </c>
    </row>
    <row r="25192" spans="1:5" x14ac:dyDescent="0.25">
      <c r="A25192" t="str">
        <f>HYPERLINK("https://www.773grp.com/globalSearch/SBC847CLT1G/page-1", "SBC847CLT1G")</f>
        <v>SBC847CLT1G</v>
      </c>
      <c r="B25192" s="3" t="str">
        <f>HYPERLINK("https://www.773grp.com/manufacturer/onsemi?pageNo=320", "ON Semiconductor")</f>
        <v>ON Semiconductor</v>
      </c>
      <c r="C25192" s="6">
        <v>6000</v>
      </c>
      <c r="D25192" s="7">
        <v>0.15</v>
      </c>
    </row>
    <row r="25193" spans="1:5" x14ac:dyDescent="0.25">
      <c r="A25193" t="str">
        <f>HYPERLINK("https://www.773grp.com/globalSearch/SBC848BLT1G/page-1", "SBC848BLT1G")</f>
        <v>SBC848BLT1G</v>
      </c>
      <c r="B25193" s="3" t="str">
        <f>HYPERLINK("https://www.773grp.com/manufacturer/onsemi?pageNo=321", "ON Semiconductor")</f>
        <v>ON Semiconductor</v>
      </c>
      <c r="C25193" s="6">
        <v>321000</v>
      </c>
      <c r="D25193" s="7">
        <v>0.15</v>
      </c>
    </row>
    <row r="25194" spans="1:5" x14ac:dyDescent="0.25">
      <c r="A25194" t="str">
        <f>HYPERLINK("https://www.773grp.com/globalSearch/SBC856ALT1G/page-1", "SBC856ALT1G")</f>
        <v>SBC856ALT1G</v>
      </c>
      <c r="B25194" s="3" t="str">
        <f>HYPERLINK("https://www.773grp.com/manufacturer/onsemi?pageNo=322", "ON Semiconductor")</f>
        <v>ON Semiconductor</v>
      </c>
      <c r="C25194" s="6">
        <v>18000</v>
      </c>
      <c r="D25194" s="7">
        <v>0.15</v>
      </c>
    </row>
    <row r="25195" spans="1:5" x14ac:dyDescent="0.25">
      <c r="A25195" t="str">
        <f>HYPERLINK("https://www.773grp.com/globalSearch/SBC857ALT1G/page-1", "SBC857ALT1G")</f>
        <v>SBC857ALT1G</v>
      </c>
      <c r="B25195" s="3" t="str">
        <f>HYPERLINK("https://www.773grp.com/manufacturer/onsemi?pageNo=323", "ON Semiconductor")</f>
        <v>ON Semiconductor</v>
      </c>
      <c r="C25195" s="6">
        <v>105000</v>
      </c>
      <c r="D25195" s="7">
        <v>0.15</v>
      </c>
    </row>
    <row r="25196" spans="1:5" x14ac:dyDescent="0.25">
      <c r="A25196" t="str">
        <f>HYPERLINK("https://www.773grp.com/globalSearch/SBVS138LT1G/page-1", "SBVS138LT1G")</f>
        <v>SBVS138LT1G</v>
      </c>
      <c r="B25196" s="3" t="str">
        <f>HYPERLINK("https://www.773grp.com/manufacturer/onsemi?pageNo=324", "ON Semiconductor")</f>
        <v>ON Semiconductor</v>
      </c>
      <c r="C25196" s="6">
        <v>6000</v>
      </c>
      <c r="D25196" s="7">
        <v>0.15</v>
      </c>
    </row>
    <row r="25197" spans="1:5" x14ac:dyDescent="0.25">
      <c r="A25197" t="str">
        <f>HYPERLINK("https://www.773grp.com/globalSearch/SD05T1/page-1", "SD05T1")</f>
        <v>SD05T1</v>
      </c>
      <c r="B25197" s="3" t="str">
        <f>HYPERLINK("https://www.773grp.com/manufacturer/onsemi?pageNo=325", "ON Semiconductor")</f>
        <v>ON Semiconductor</v>
      </c>
      <c r="C25197" s="6">
        <v>245801</v>
      </c>
      <c r="D25197" s="7">
        <v>0.15</v>
      </c>
      <c r="E25197" t="s">
        <v>96</v>
      </c>
    </row>
    <row r="25198" spans="1:5" x14ac:dyDescent="0.25">
      <c r="A25198" t="str">
        <f>HYPERLINK("https://www.773grp.com/globalSearch/SDTC114EET1G/page-1", "SDTC114EET1G")</f>
        <v>SDTC114EET1G</v>
      </c>
      <c r="B25198" s="3" t="str">
        <f>HYPERLINK("https://www.773grp.com/manufacturer/onsemi?pageNo=326", "ON Semiconductor")</f>
        <v>ON Semiconductor</v>
      </c>
      <c r="C25198" s="6">
        <v>6000</v>
      </c>
      <c r="D25198" s="7">
        <v>0.15</v>
      </c>
    </row>
    <row r="25199" spans="1:5" x14ac:dyDescent="0.25">
      <c r="A25199" t="str">
        <f>HYPERLINK("https://www.773grp.com/globalSearch/SDTC114YET1G/page-1", "SDTC114YET1G")</f>
        <v>SDTC114YET1G</v>
      </c>
      <c r="B25199" s="3" t="str">
        <f>HYPERLINK("https://www.773grp.com/manufacturer/onsemi?pageNo=327", "ON Semiconductor")</f>
        <v>ON Semiconductor</v>
      </c>
      <c r="C25199" s="6">
        <v>3000</v>
      </c>
      <c r="D25199" s="7">
        <v>0.15</v>
      </c>
    </row>
    <row r="25200" spans="1:5" x14ac:dyDescent="0.25">
      <c r="A25200" t="str">
        <f>HYPERLINK("https://www.773grp.com/globalSearch/SM1MA142WKT1G/page-1", "SM1MA142WKT1G")</f>
        <v>SM1MA142WKT1G</v>
      </c>
      <c r="B25200" s="3" t="str">
        <f>HYPERLINK("https://www.773grp.com/manufacturer/onsemi?pageNo=328", "ON Semiconductor")</f>
        <v>ON Semiconductor</v>
      </c>
      <c r="C25200" s="6">
        <v>30000</v>
      </c>
      <c r="D25200" s="7">
        <v>0.15</v>
      </c>
    </row>
    <row r="25201" spans="1:5" x14ac:dyDescent="0.25">
      <c r="A25201" t="str">
        <f>HYPERLINK("https://www.773grp.com/globalSearch/SMBT1504T3G/page-1", "SMBT1504T3G")</f>
        <v>SMBT1504T3G</v>
      </c>
      <c r="B25201" s="3" t="str">
        <f>HYPERLINK("https://www.773grp.com/manufacturer/onsemi?pageNo=329", "ON Semiconductor")</f>
        <v>ON Semiconductor</v>
      </c>
      <c r="C25201" s="6">
        <v>67850</v>
      </c>
      <c r="D25201" s="7">
        <v>0.15</v>
      </c>
    </row>
    <row r="25202" spans="1:5" x14ac:dyDescent="0.25">
      <c r="A25202" t="str">
        <f>HYPERLINK("https://www.773grp.com/globalSearch/SMBT1505T3G/page-1", "SMBT1505T3G")</f>
        <v>SMBT1505T3G</v>
      </c>
      <c r="B25202" s="3" t="str">
        <f>HYPERLINK("https://www.773grp.com/manufacturer/onsemi?pageNo=330", "ON Semiconductor")</f>
        <v>ON Semiconductor</v>
      </c>
      <c r="C25202" s="6">
        <v>50000</v>
      </c>
      <c r="D25202" s="7">
        <v>0.15</v>
      </c>
    </row>
    <row r="25203" spans="1:5" x14ac:dyDescent="0.25">
      <c r="A25203" t="str">
        <f>HYPERLINK("https://www.773grp.com/globalSearch/SMBT2000T1G/page-1", "SMBT2000T1G")</f>
        <v>SMBT2000T1G</v>
      </c>
      <c r="B25203" s="3" t="str">
        <f>HYPERLINK("https://www.773grp.com/manufacturer/onsemi?pageNo=331", "ON Semiconductor")</f>
        <v>ON Semiconductor</v>
      </c>
      <c r="C25203" s="6">
        <v>15000</v>
      </c>
      <c r="D25203" s="7">
        <v>0.15</v>
      </c>
    </row>
    <row r="25204" spans="1:5" x14ac:dyDescent="0.25">
      <c r="A25204" t="str">
        <f>HYPERLINK("https://www.773grp.com/globalSearch/SMBT2001T1G/page-1", "SMBT2001T1G")</f>
        <v>SMBT2001T1G</v>
      </c>
      <c r="B25204" s="3" t="str">
        <f>HYPERLINK("https://www.773grp.com/manufacturer/onsemi?pageNo=332", "ON Semiconductor")</f>
        <v>ON Semiconductor</v>
      </c>
      <c r="C25204" s="6">
        <v>19500</v>
      </c>
      <c r="D25204" s="7">
        <v>0.15</v>
      </c>
    </row>
    <row r="25205" spans="1:5" x14ac:dyDescent="0.25">
      <c r="A25205" t="str">
        <f>HYPERLINK("https://www.773grp.com/globalSearch/SMBT2002T1/page-1", "SMBT2002T1")</f>
        <v>SMBT2002T1</v>
      </c>
      <c r="B25205" s="3" t="str">
        <f>HYPERLINK("https://www.773grp.com/manufacturer/onsemi?pageNo=333", "ON Semiconductor")</f>
        <v>ON Semiconductor</v>
      </c>
      <c r="C25205" s="6">
        <v>6000</v>
      </c>
      <c r="D25205" s="7">
        <v>0.15</v>
      </c>
    </row>
    <row r="25206" spans="1:5" x14ac:dyDescent="0.25">
      <c r="A25206" t="str">
        <f>HYPERLINK("https://www.773grp.com/globalSearch/SMBT2002T1G/page-1", "SMBT2002T1G")</f>
        <v>SMBT2002T1G</v>
      </c>
      <c r="B25206" s="3" t="str">
        <f>HYPERLINK("https://www.773grp.com/manufacturer/onsemi?pageNo=334", "ON Semiconductor")</f>
        <v>ON Semiconductor</v>
      </c>
      <c r="C25206" s="6">
        <v>2000</v>
      </c>
      <c r="D25206" s="7">
        <v>0.15</v>
      </c>
    </row>
    <row r="25207" spans="1:5" x14ac:dyDescent="0.25">
      <c r="A25207" t="str">
        <f>HYPERLINK("https://www.773grp.com/globalSearch/SMMBD914LT1G/page-1", "SMMBD914LT1G")</f>
        <v>SMMBD914LT1G</v>
      </c>
      <c r="B25207" s="3" t="str">
        <f>HYPERLINK("https://www.773grp.com/manufacturer/onsemi?pageNo=335", "ON Semiconductor")</f>
        <v>ON Semiconductor</v>
      </c>
      <c r="C25207" s="6">
        <v>48000</v>
      </c>
      <c r="D25207" s="7">
        <v>0.15</v>
      </c>
      <c r="E25207" t="s">
        <v>94</v>
      </c>
    </row>
    <row r="25208" spans="1:5" x14ac:dyDescent="0.25">
      <c r="A25208" t="str">
        <f>HYPERLINK("https://www.773grp.com/globalSearch/SMMBTH10LT1/page-1", "SMMBTH10LT1")</f>
        <v>SMMBTH10LT1</v>
      </c>
      <c r="B25208" s="3" t="str">
        <f>HYPERLINK("https://www.773grp.com/manufacturer/onsemi?pageNo=336", "ON Semiconductor")</f>
        <v>ON Semiconductor</v>
      </c>
      <c r="C25208" s="6">
        <v>69000</v>
      </c>
      <c r="D25208" s="7">
        <v>0.15</v>
      </c>
      <c r="E25208" t="s">
        <v>61</v>
      </c>
    </row>
    <row r="25209" spans="1:5" x14ac:dyDescent="0.25">
      <c r="A25209" t="str">
        <f>HYPERLINK("https://www.773grp.com/globalSearch/SMMUN2111LT1G/page-1", "SMMUN2111LT1G")</f>
        <v>SMMUN2111LT1G</v>
      </c>
      <c r="B25209" s="3" t="str">
        <f>HYPERLINK("https://www.773grp.com/manufacturer/onsemi?pageNo=337", "ON Semiconductor")</f>
        <v>ON Semiconductor</v>
      </c>
      <c r="C25209" s="6">
        <v>63000</v>
      </c>
      <c r="D25209" s="7">
        <v>0.15</v>
      </c>
    </row>
    <row r="25210" spans="1:5" x14ac:dyDescent="0.25">
      <c r="A25210" t="str">
        <f>HYPERLINK("https://www.773grp.com/globalSearch/SMMUN2111LT3G/page-1", "SMMUN2111LT3G")</f>
        <v>SMMUN2111LT3G</v>
      </c>
      <c r="B25210" s="3" t="str">
        <f>HYPERLINK("https://www.773grp.com/manufacturer/onsemi?pageNo=338", "ON Semiconductor")</f>
        <v>ON Semiconductor</v>
      </c>
      <c r="C25210" s="6">
        <v>50000</v>
      </c>
      <c r="D25210" s="7">
        <v>0.15</v>
      </c>
    </row>
    <row r="25211" spans="1:5" x14ac:dyDescent="0.25">
      <c r="A25211" t="str">
        <f>HYPERLINK("https://www.773grp.com/globalSearch/SMMUN2113LT1G/page-1", "SMMUN2113LT1G")</f>
        <v>SMMUN2113LT1G</v>
      </c>
      <c r="B25211" s="3" t="str">
        <f>HYPERLINK("https://www.773grp.com/manufacturer/onsemi?pageNo=339", "ON Semiconductor")</f>
        <v>ON Semiconductor</v>
      </c>
      <c r="C25211" s="6">
        <v>30000</v>
      </c>
      <c r="D25211" s="7">
        <v>0.15</v>
      </c>
    </row>
    <row r="25212" spans="1:5" x14ac:dyDescent="0.25">
      <c r="A25212" t="str">
        <f>HYPERLINK("https://www.773grp.com/globalSearch/SMMUN2116LT1G/page-1", "SMMUN2116LT1G")</f>
        <v>SMMUN2116LT1G</v>
      </c>
      <c r="B25212" s="3" t="str">
        <f>HYPERLINK("https://www.773grp.com/manufacturer/onsemi?pageNo=340", "ON Semiconductor")</f>
        <v>ON Semiconductor</v>
      </c>
      <c r="C25212" s="6">
        <v>96000</v>
      </c>
      <c r="D25212" s="7">
        <v>0.15</v>
      </c>
    </row>
    <row r="25213" spans="1:5" x14ac:dyDescent="0.25">
      <c r="A25213" t="str">
        <f>HYPERLINK("https://www.773grp.com/globalSearch/SMMUN2211LT1G/page-1", "SMMUN2211LT1G")</f>
        <v>SMMUN2211LT1G</v>
      </c>
      <c r="B25213" s="3" t="str">
        <f>HYPERLINK("https://www.773grp.com/manufacturer/onsemi?pageNo=341", "ON Semiconductor")</f>
        <v>ON Semiconductor</v>
      </c>
      <c r="C25213" s="6">
        <v>12000</v>
      </c>
      <c r="D25213" s="7">
        <v>0.15</v>
      </c>
    </row>
    <row r="25214" spans="1:5" x14ac:dyDescent="0.25">
      <c r="A25214" t="str">
        <f>HYPERLINK("https://www.773grp.com/globalSearch/SMMUN2213LT1G/page-1", "SMMUN2213LT1G")</f>
        <v>SMMUN2213LT1G</v>
      </c>
      <c r="B25214" s="3" t="str">
        <f>HYPERLINK("https://www.773grp.com/manufacturer/onsemi?pageNo=342", "ON Semiconductor")</f>
        <v>ON Semiconductor</v>
      </c>
      <c r="C25214" s="6">
        <v>78000</v>
      </c>
      <c r="D25214" s="7">
        <v>0.15</v>
      </c>
    </row>
    <row r="25215" spans="1:5" x14ac:dyDescent="0.25">
      <c r="A25215" t="str">
        <f>HYPERLINK("https://www.773grp.com/globalSearch/SMMUN2213LT3G/page-1", "SMMUN2213LT3G")</f>
        <v>SMMUN2213LT3G</v>
      </c>
      <c r="B25215" s="3" t="str">
        <f>HYPERLINK("https://www.773grp.com/manufacturer/onsemi?pageNo=343", "ON Semiconductor")</f>
        <v>ON Semiconductor</v>
      </c>
      <c r="C25215" s="6">
        <v>70000</v>
      </c>
      <c r="D25215" s="7">
        <v>0.15</v>
      </c>
    </row>
    <row r="25216" spans="1:5" x14ac:dyDescent="0.25">
      <c r="A25216" t="str">
        <f>HYPERLINK("https://www.773grp.com/globalSearch/SMMUN2216LT1G/page-1", "SMMUN2216LT1G")</f>
        <v>SMMUN2216LT1G</v>
      </c>
      <c r="B25216" s="3" t="str">
        <f>HYPERLINK("https://www.773grp.com/manufacturer/onsemi?pageNo=344", "ON Semiconductor")</f>
        <v>ON Semiconductor</v>
      </c>
      <c r="C25216" s="6">
        <v>186000</v>
      </c>
      <c r="D25216" s="7">
        <v>0.15</v>
      </c>
    </row>
    <row r="25217" spans="1:4" x14ac:dyDescent="0.25">
      <c r="A25217" t="str">
        <f>HYPERLINK("https://www.773grp.com/globalSearch/SMSD1002T1G/page-1", "SMSD1002T1G")</f>
        <v>SMSD1002T1G</v>
      </c>
      <c r="B25217" s="3" t="str">
        <f>HYPERLINK("https://www.773grp.com/manufacturer/onsemi?pageNo=345", "ON Semiconductor")</f>
        <v>ON Semiconductor</v>
      </c>
      <c r="C25217" s="6">
        <v>369000</v>
      </c>
      <c r="D25217" s="7">
        <v>0.15</v>
      </c>
    </row>
    <row r="25218" spans="1:4" x14ac:dyDescent="0.25">
      <c r="A25218" t="str">
        <f>HYPERLINK("https://www.773grp.com/globalSearch/SMSD602-RT1G/page-1", "SMSD602-RT1G")</f>
        <v>SMSD602-RT1G</v>
      </c>
      <c r="B25218" s="3" t="str">
        <f>HYPERLINK("https://www.773grp.com/manufacturer/onsemi?pageNo=346", "ON Semiconductor")</f>
        <v>ON Semiconductor</v>
      </c>
      <c r="C25218" s="6">
        <v>198000</v>
      </c>
      <c r="D25218" s="7">
        <v>0.15</v>
      </c>
    </row>
    <row r="25219" spans="1:4" x14ac:dyDescent="0.25">
      <c r="A25219" t="str">
        <f>HYPERLINK("https://www.773grp.com/globalSearch/SMUN2113T1G/page-1", "SMUN2113T1G")</f>
        <v>SMUN2113T1G</v>
      </c>
      <c r="B25219" s="3" t="str">
        <f>HYPERLINK("https://www.773grp.com/manufacturer/onsemi?pageNo=347", "ON Semiconductor")</f>
        <v>ON Semiconductor</v>
      </c>
      <c r="C25219" s="6">
        <v>144000</v>
      </c>
      <c r="D25219" s="7">
        <v>0.15</v>
      </c>
    </row>
    <row r="25220" spans="1:4" x14ac:dyDescent="0.25">
      <c r="A25220" t="str">
        <f>HYPERLINK("https://www.773grp.com/globalSearch/SMUN2211T1G/page-1", "SMUN2211T1G")</f>
        <v>SMUN2211T1G</v>
      </c>
      <c r="B25220" s="3" t="str">
        <f>HYPERLINK("https://www.773grp.com/manufacturer/onsemi?pageNo=348", "ON Semiconductor")</f>
        <v>ON Semiconductor</v>
      </c>
      <c r="C25220" s="6">
        <v>45000</v>
      </c>
      <c r="D25220" s="7">
        <v>0.15</v>
      </c>
    </row>
    <row r="25221" spans="1:4" x14ac:dyDescent="0.25">
      <c r="A25221" t="str">
        <f>HYPERLINK("https://www.773grp.com/globalSearch/SMUN2214T3G/page-1", "SMUN2214T3G")</f>
        <v>SMUN2214T3G</v>
      </c>
      <c r="B25221" s="3" t="str">
        <f>HYPERLINK("https://www.773grp.com/manufacturer/onsemi?pageNo=349", "ON Semiconductor")</f>
        <v>ON Semiconductor</v>
      </c>
      <c r="C25221" s="6">
        <v>40000</v>
      </c>
      <c r="D25221" s="7">
        <v>0.15</v>
      </c>
    </row>
    <row r="25222" spans="1:4" x14ac:dyDescent="0.25">
      <c r="A25222" t="str">
        <f>HYPERLINK("https://www.773grp.com/globalSearch/SMUN2232T1G/page-1", "SMUN2232T1G")</f>
        <v>SMUN2232T1G</v>
      </c>
      <c r="B25222" s="3" t="str">
        <f>HYPERLINK("https://www.773grp.com/manufacturer/onsemi?pageNo=350", "ON Semiconductor")</f>
        <v>ON Semiconductor</v>
      </c>
      <c r="C25222" s="6">
        <v>72000</v>
      </c>
      <c r="D25222" s="7">
        <v>0.15</v>
      </c>
    </row>
    <row r="25223" spans="1:4" x14ac:dyDescent="0.25">
      <c r="A25223" t="str">
        <f>HYPERLINK("https://www.773grp.com/globalSearch/SMUN5111T1G/page-1", "SMUN5111T1G")</f>
        <v>SMUN5111T1G</v>
      </c>
      <c r="B25223" s="3" t="str">
        <f>HYPERLINK("https://www.773grp.com/manufacturer/onsemi?pageNo=351", "ON Semiconductor")</f>
        <v>ON Semiconductor</v>
      </c>
      <c r="C25223" s="6">
        <v>28750</v>
      </c>
      <c r="D25223" s="7">
        <v>0.15</v>
      </c>
    </row>
    <row r="25224" spans="1:4" x14ac:dyDescent="0.25">
      <c r="A25224" t="str">
        <f>HYPERLINK("https://www.773grp.com/globalSearch/SMUN5113T1G/page-1", "SMUN5113T1G")</f>
        <v>SMUN5113T1G</v>
      </c>
      <c r="B25224" s="3" t="str">
        <f>HYPERLINK("https://www.773grp.com/manufacturer/onsemi?pageNo=352", "ON Semiconductor")</f>
        <v>ON Semiconductor</v>
      </c>
      <c r="C25224" s="6">
        <v>81000</v>
      </c>
      <c r="D25224" s="7">
        <v>0.15</v>
      </c>
    </row>
    <row r="25225" spans="1:4" x14ac:dyDescent="0.25">
      <c r="A25225" t="str">
        <f>HYPERLINK("https://www.773grp.com/globalSearch/SMUN5133T1G/page-1", "SMUN5133T1G")</f>
        <v>SMUN5133T1G</v>
      </c>
      <c r="B25225" s="3" t="str">
        <f>HYPERLINK("https://www.773grp.com/manufacturer/onsemi?pageNo=353", "ON Semiconductor")</f>
        <v>ON Semiconductor</v>
      </c>
      <c r="C25225" s="6">
        <v>96000</v>
      </c>
      <c r="D25225" s="7">
        <v>0.15</v>
      </c>
    </row>
    <row r="25226" spans="1:4" x14ac:dyDescent="0.25">
      <c r="A25226" t="str">
        <f>HYPERLINK("https://www.773grp.com/globalSearch/SMUN5211T1/page-1", "SMUN5211T1")</f>
        <v>SMUN5211T1</v>
      </c>
      <c r="B25226" s="3" t="str">
        <f>HYPERLINK("https://www.773grp.com/manufacturer/onsemi?pageNo=354", "ON Semiconductor")</f>
        <v>ON Semiconductor</v>
      </c>
      <c r="C25226" s="6">
        <v>42000</v>
      </c>
      <c r="D25226" s="7">
        <v>0.15</v>
      </c>
    </row>
    <row r="25227" spans="1:4" x14ac:dyDescent="0.25">
      <c r="A25227" t="str">
        <f>HYPERLINK("https://www.773grp.com/globalSearch/SMUN5211T1G/page-1", "SMUN5211T1G")</f>
        <v>SMUN5211T1G</v>
      </c>
      <c r="B25227" s="3" t="str">
        <f>HYPERLINK("https://www.773grp.com/manufacturer/onsemi?pageNo=355", "ON Semiconductor")</f>
        <v>ON Semiconductor</v>
      </c>
      <c r="C25227" s="6">
        <v>126000</v>
      </c>
      <c r="D25227" s="7">
        <v>0.15</v>
      </c>
    </row>
    <row r="25228" spans="1:4" x14ac:dyDescent="0.25">
      <c r="A25228" t="str">
        <f>HYPERLINK("https://www.773grp.com/globalSearch/SMUN5211T3G/page-1", "SMUN5211T3G")</f>
        <v>SMUN5211T3G</v>
      </c>
      <c r="B25228" s="3" t="str">
        <f>HYPERLINK("https://www.773grp.com/manufacturer/onsemi?pageNo=356", "ON Semiconductor")</f>
        <v>ON Semiconductor</v>
      </c>
      <c r="C25228" s="6">
        <v>50000</v>
      </c>
      <c r="D25228" s="7">
        <v>0.15</v>
      </c>
    </row>
    <row r="25229" spans="1:4" x14ac:dyDescent="0.25">
      <c r="A25229" t="str">
        <f>HYPERLINK("https://www.773grp.com/globalSearch/SMUN5212T1G/page-1", "SMUN5212T1G")</f>
        <v>SMUN5212T1G</v>
      </c>
      <c r="B25229" s="3" t="str">
        <f>HYPERLINK("https://www.773grp.com/manufacturer/onsemi?pageNo=357", "ON Semiconductor")</f>
        <v>ON Semiconductor</v>
      </c>
      <c r="C25229" s="6">
        <v>99000</v>
      </c>
      <c r="D25229" s="7">
        <v>0.15</v>
      </c>
    </row>
    <row r="25230" spans="1:4" x14ac:dyDescent="0.25">
      <c r="A25230" t="str">
        <f>HYPERLINK("https://www.773grp.com/globalSearch/SMUN5233T1G/page-1", "SMUN5233T1G")</f>
        <v>SMUN5233T1G</v>
      </c>
      <c r="B25230" s="3" t="str">
        <f>HYPERLINK("https://www.773grp.com/manufacturer/onsemi?pageNo=358", "ON Semiconductor")</f>
        <v>ON Semiconductor</v>
      </c>
      <c r="C25230" s="6">
        <v>57000</v>
      </c>
      <c r="D25230" s="7">
        <v>0.15</v>
      </c>
    </row>
    <row r="25231" spans="1:4" x14ac:dyDescent="0.25">
      <c r="A25231" t="str">
        <f>HYPERLINK("https://www.773grp.com/globalSearch/SPS5800/page-1", "SPS5800")</f>
        <v>SPS5800</v>
      </c>
      <c r="B25231" s="3" t="str">
        <f>HYPERLINK("https://www.773grp.com/manufacturer/onsemi?pageNo=359", "ON Semiconductor")</f>
        <v>ON Semiconductor</v>
      </c>
      <c r="C25231" s="6">
        <v>5000</v>
      </c>
      <c r="D25231" s="7">
        <v>0.15</v>
      </c>
    </row>
    <row r="25232" spans="1:4" x14ac:dyDescent="0.25">
      <c r="A25232" t="str">
        <f>HYPERLINK("https://www.773grp.com/globalSearch/SSV1BC847CWT1/page-1", "SSV1BC847CWT1")</f>
        <v>SSV1BC847CWT1</v>
      </c>
      <c r="B25232" s="3" t="str">
        <f>HYPERLINK("https://www.773grp.com/manufacturer/onsemi?pageNo=360", "ON Semiconductor")</f>
        <v>ON Semiconductor</v>
      </c>
      <c r="C25232" s="6">
        <v>210000</v>
      </c>
      <c r="D25232" s="7">
        <v>0.15</v>
      </c>
    </row>
    <row r="25233" spans="1:4" x14ac:dyDescent="0.25">
      <c r="A25233" t="str">
        <f>HYPERLINK("https://www.773grp.com/globalSearch/SZBZX84C10LT1G/page-1", "SZBZX84C10LT1G")</f>
        <v>SZBZX84C10LT1G</v>
      </c>
      <c r="B25233" s="3" t="str">
        <f>HYPERLINK("https://www.773grp.com/manufacturer/onsemi?pageNo=361", "ON Semiconductor")</f>
        <v>ON Semiconductor</v>
      </c>
      <c r="C25233" s="6">
        <v>21000</v>
      </c>
      <c r="D25233" s="7">
        <v>0.15</v>
      </c>
    </row>
    <row r="25234" spans="1:4" x14ac:dyDescent="0.25">
      <c r="A25234" t="str">
        <f>HYPERLINK("https://www.773grp.com/globalSearch/SZBZX84C16LT1G/page-1", "SZBZX84C16LT1G")</f>
        <v>SZBZX84C16LT1G</v>
      </c>
      <c r="B25234" s="3" t="str">
        <f>HYPERLINK("https://www.773grp.com/manufacturer/onsemi?pageNo=362", "ON Semiconductor")</f>
        <v>ON Semiconductor</v>
      </c>
      <c r="C25234" s="6">
        <v>21000</v>
      </c>
      <c r="D25234" s="7">
        <v>0.15</v>
      </c>
    </row>
    <row r="25235" spans="1:4" x14ac:dyDescent="0.25">
      <c r="A25235" t="str">
        <f>HYPERLINK("https://www.773grp.com/globalSearch/SZBZX84C18LT1G/page-1", "SZBZX84C18LT1G")</f>
        <v>SZBZX84C18LT1G</v>
      </c>
      <c r="B25235" s="3" t="str">
        <f>HYPERLINK("https://www.773grp.com/manufacturer/onsemi?pageNo=363", "ON Semiconductor")</f>
        <v>ON Semiconductor</v>
      </c>
      <c r="C25235" s="6">
        <v>3000</v>
      </c>
      <c r="D25235" s="7">
        <v>0.15</v>
      </c>
    </row>
    <row r="25236" spans="1:4" x14ac:dyDescent="0.25">
      <c r="A25236" t="str">
        <f>HYPERLINK("https://www.773grp.com/globalSearch/SZBZX84C20LT1G/page-1", "SZBZX84C20LT1G")</f>
        <v>SZBZX84C20LT1G</v>
      </c>
      <c r="B25236" s="3" t="str">
        <f>HYPERLINK("https://www.773grp.com/manufacturer/onsemi?pageNo=364", "ON Semiconductor")</f>
        <v>ON Semiconductor</v>
      </c>
      <c r="C25236" s="6">
        <v>54000</v>
      </c>
      <c r="D25236" s="7">
        <v>0.15</v>
      </c>
    </row>
    <row r="25237" spans="1:4" x14ac:dyDescent="0.25">
      <c r="A25237" t="str">
        <f>HYPERLINK("https://www.773grp.com/globalSearch/SZBZX84C22LT1G/page-1", "SZBZX84C22LT1G")</f>
        <v>SZBZX84C22LT1G</v>
      </c>
      <c r="B25237" s="3" t="str">
        <f>HYPERLINK("https://www.773grp.com/manufacturer/onsemi?pageNo=365", "ON Semiconductor")</f>
        <v>ON Semiconductor</v>
      </c>
      <c r="C25237" s="6">
        <v>9000</v>
      </c>
      <c r="D25237" s="7">
        <v>0.15</v>
      </c>
    </row>
    <row r="25238" spans="1:4" x14ac:dyDescent="0.25">
      <c r="A25238" t="str">
        <f>HYPERLINK("https://www.773grp.com/globalSearch/SZBZX84C24LT1G/page-1", "SZBZX84C24LT1G")</f>
        <v>SZBZX84C24LT1G</v>
      </c>
      <c r="B25238" s="3" t="str">
        <f>HYPERLINK("https://www.773grp.com/manufacturer/onsemi?pageNo=366", "ON Semiconductor")</f>
        <v>ON Semiconductor</v>
      </c>
      <c r="C25238" s="6">
        <v>72000</v>
      </c>
      <c r="D25238" s="7">
        <v>0.15</v>
      </c>
    </row>
    <row r="25239" spans="1:4" x14ac:dyDescent="0.25">
      <c r="A25239" t="str">
        <f>HYPERLINK("https://www.773grp.com/globalSearch/SZBZX84C33LT1G/page-1", "SZBZX84C33LT1G")</f>
        <v>SZBZX84C33LT1G</v>
      </c>
      <c r="B25239" s="3" t="str">
        <f>HYPERLINK("https://www.773grp.com/manufacturer/onsemi?pageNo=367", "ON Semiconductor")</f>
        <v>ON Semiconductor</v>
      </c>
      <c r="C25239" s="6">
        <v>130000</v>
      </c>
      <c r="D25239" s="7">
        <v>0.15</v>
      </c>
    </row>
    <row r="25240" spans="1:4" x14ac:dyDescent="0.25">
      <c r="A25240" t="str">
        <f>HYPERLINK("https://www.773grp.com/globalSearch/SZBZX84C3V0LT1G/page-1", "SZBZX84C3V0LT1G")</f>
        <v>SZBZX84C3V0LT1G</v>
      </c>
      <c r="B25240" s="3" t="str">
        <f>HYPERLINK("https://www.773grp.com/manufacturer/onsemi?pageNo=368", "ON Semiconductor")</f>
        <v>ON Semiconductor</v>
      </c>
      <c r="C25240" s="6">
        <v>27000</v>
      </c>
      <c r="D25240" s="7">
        <v>0.15</v>
      </c>
    </row>
    <row r="25241" spans="1:4" x14ac:dyDescent="0.25">
      <c r="A25241" t="str">
        <f>HYPERLINK("https://www.773grp.com/globalSearch/SZBZX84C3V9LT1G/page-1", "SZBZX84C3V9LT1G")</f>
        <v>SZBZX84C3V9LT1G</v>
      </c>
      <c r="B25241" s="3" t="str">
        <f>HYPERLINK("https://www.773grp.com/manufacturer/onsemi?pageNo=369", "ON Semiconductor")</f>
        <v>ON Semiconductor</v>
      </c>
      <c r="C25241" s="6">
        <v>39000</v>
      </c>
      <c r="D25241" s="7">
        <v>0.15</v>
      </c>
    </row>
    <row r="25242" spans="1:4" x14ac:dyDescent="0.25">
      <c r="A25242" t="str">
        <f>HYPERLINK("https://www.773grp.com/globalSearch/SZBZX84C47LT1G/page-1", "SZBZX84C47LT1G")</f>
        <v>SZBZX84C47LT1G</v>
      </c>
      <c r="B25242" s="3" t="str">
        <f>HYPERLINK("https://www.773grp.com/manufacturer/onsemi?pageNo=370", "ON Semiconductor")</f>
        <v>ON Semiconductor</v>
      </c>
      <c r="C25242" s="6">
        <v>42000</v>
      </c>
      <c r="D25242" s="7">
        <v>0.15</v>
      </c>
    </row>
    <row r="25243" spans="1:4" x14ac:dyDescent="0.25">
      <c r="A25243" t="str">
        <f>HYPERLINK("https://www.773grp.com/globalSearch/SZBZX84C4V3LT1G/page-1", "SZBZX84C4V3LT1G")</f>
        <v>SZBZX84C4V3LT1G</v>
      </c>
      <c r="B25243" s="3" t="str">
        <f>HYPERLINK("https://www.773grp.com/manufacturer/onsemi?pageNo=371", "ON Semiconductor")</f>
        <v>ON Semiconductor</v>
      </c>
      <c r="C25243" s="6">
        <v>702000</v>
      </c>
      <c r="D25243" s="7">
        <v>0.15</v>
      </c>
    </row>
    <row r="25244" spans="1:4" x14ac:dyDescent="0.25">
      <c r="A25244" t="str">
        <f>HYPERLINK("https://www.773grp.com/globalSearch/SZBZX84C4V7LT1G/page-1", "SZBZX84C4V7LT1G")</f>
        <v>SZBZX84C4V7LT1G</v>
      </c>
      <c r="B25244" s="3" t="str">
        <f>HYPERLINK("https://www.773grp.com/manufacturer/onsemi?pageNo=372", "ON Semiconductor")</f>
        <v>ON Semiconductor</v>
      </c>
      <c r="C25244" s="6">
        <v>33000</v>
      </c>
      <c r="D25244" s="7">
        <v>0.15</v>
      </c>
    </row>
    <row r="25245" spans="1:4" x14ac:dyDescent="0.25">
      <c r="A25245" t="str">
        <f>HYPERLINK("https://www.773grp.com/globalSearch/SZBZX84C56LT1G/page-1", "SZBZX84C56LT1G")</f>
        <v>SZBZX84C56LT1G</v>
      </c>
      <c r="B25245" s="3" t="str">
        <f>HYPERLINK("https://www.773grp.com/manufacturer/onsemi?pageNo=373", "ON Semiconductor")</f>
        <v>ON Semiconductor</v>
      </c>
      <c r="C25245" s="6">
        <v>63000</v>
      </c>
      <c r="D25245" s="7">
        <v>0.15</v>
      </c>
    </row>
    <row r="25246" spans="1:4" x14ac:dyDescent="0.25">
      <c r="A25246" t="str">
        <f>HYPERLINK("https://www.773grp.com/globalSearch/SZBZX84C6V2LT1G/page-1", "SZBZX84C6V2LT1G")</f>
        <v>SZBZX84C6V2LT1G</v>
      </c>
      <c r="B25246" s="3" t="str">
        <f>HYPERLINK("https://www.773grp.com/manufacturer/onsemi?pageNo=374", "ON Semiconductor")</f>
        <v>ON Semiconductor</v>
      </c>
      <c r="C25246" s="6">
        <v>33000</v>
      </c>
      <c r="D25246" s="7">
        <v>0.15</v>
      </c>
    </row>
    <row r="25247" spans="1:4" x14ac:dyDescent="0.25">
      <c r="A25247" t="str">
        <f>HYPERLINK("https://www.773grp.com/globalSearch/SZBZX84C9V1LT1G/page-1", "SZBZX84C9V1LT1G")</f>
        <v>SZBZX84C9V1LT1G</v>
      </c>
      <c r="B25247" s="3" t="str">
        <f>HYPERLINK("https://www.773grp.com/manufacturer/onsemi?pageNo=375", "ON Semiconductor")</f>
        <v>ON Semiconductor</v>
      </c>
      <c r="C25247" s="6">
        <v>480000</v>
      </c>
      <c r="D25247" s="7">
        <v>0.15</v>
      </c>
    </row>
    <row r="25248" spans="1:4" x14ac:dyDescent="0.25">
      <c r="A25248" t="str">
        <f>HYPERLINK("https://www.773grp.com/globalSearch/SZMMBZ5232BLT1G/page-1", "SZMMBZ5232BLT1G")</f>
        <v>SZMMBZ5232BLT1G</v>
      </c>
      <c r="B25248" s="3" t="str">
        <f>HYPERLINK("https://www.773grp.com/manufacturer/onsemi?pageNo=376", "ON Semiconductor")</f>
        <v>ON Semiconductor</v>
      </c>
      <c r="C25248" s="6">
        <v>24000</v>
      </c>
      <c r="D25248" s="7">
        <v>0.15</v>
      </c>
    </row>
    <row r="25249" spans="1:4" x14ac:dyDescent="0.25">
      <c r="A25249" t="str">
        <f>HYPERLINK("https://www.773grp.com/globalSearch/SZMMBZ5234BLT1G/page-1", "SZMMBZ5234BLT1G")</f>
        <v>SZMMBZ5234BLT1G</v>
      </c>
      <c r="B25249" s="3" t="str">
        <f>HYPERLINK("https://www.773grp.com/manufacturer/onsemi?pageNo=377", "ON Semiconductor")</f>
        <v>ON Semiconductor</v>
      </c>
      <c r="C25249" s="6">
        <v>30000</v>
      </c>
      <c r="D25249" s="7">
        <v>0.15</v>
      </c>
    </row>
    <row r="25250" spans="1:4" x14ac:dyDescent="0.25">
      <c r="A25250" t="str">
        <f>HYPERLINK("https://www.773grp.com/globalSearch/SZMMBZ5241BLT1G/page-1", "SZMMBZ5241BLT1G")</f>
        <v>SZMMBZ5241BLT1G</v>
      </c>
      <c r="B25250" s="3" t="str">
        <f>HYPERLINK("https://www.773grp.com/manufacturer/onsemi?pageNo=378", "ON Semiconductor")</f>
        <v>ON Semiconductor</v>
      </c>
      <c r="C25250" s="6">
        <v>9000</v>
      </c>
      <c r="D25250" s="7">
        <v>0.15</v>
      </c>
    </row>
    <row r="25251" spans="1:4" x14ac:dyDescent="0.25">
      <c r="A25251" t="str">
        <f>HYPERLINK("https://www.773grp.com/globalSearch/SZMMBZ5259BLT1G/page-1", "SZMMBZ5259BLT1G")</f>
        <v>SZMMBZ5259BLT1G</v>
      </c>
      <c r="B25251" s="3" t="str">
        <f>HYPERLINK("https://www.773grp.com/manufacturer/onsemi?pageNo=379", "ON Semiconductor")</f>
        <v>ON Semiconductor</v>
      </c>
      <c r="C25251" s="6">
        <v>27000</v>
      </c>
      <c r="D25251" s="7">
        <v>0.15</v>
      </c>
    </row>
    <row r="25252" spans="1:4" x14ac:dyDescent="0.25">
      <c r="A25252" t="str">
        <f>HYPERLINK("https://www.773grp.com/globalSearch/SZMMBZ5262BLT1G/page-1", "SZMMBZ5262BLT1G")</f>
        <v>SZMMBZ5262BLT1G</v>
      </c>
      <c r="B25252" s="3" t="str">
        <f>HYPERLINK("https://www.773grp.com/manufacturer/onsemi?pageNo=380", "ON Semiconductor")</f>
        <v>ON Semiconductor</v>
      </c>
      <c r="C25252" s="6">
        <v>3000</v>
      </c>
      <c r="D25252" s="7">
        <v>0.15</v>
      </c>
    </row>
    <row r="25253" spans="1:4" x14ac:dyDescent="0.25">
      <c r="A25253" t="str">
        <f>HYPERLINK("https://www.773grp.com/globalSearch/SZMMBZ5264BLT1G/page-1", "SZMMBZ5264BLT1G")</f>
        <v>SZMMBZ5264BLT1G</v>
      </c>
      <c r="B25253" s="3" t="str">
        <f>HYPERLINK("https://www.773grp.com/manufacturer/onsemi?pageNo=381", "ON Semiconductor")</f>
        <v>ON Semiconductor</v>
      </c>
      <c r="C25253" s="6">
        <v>9000</v>
      </c>
      <c r="D25253" s="7">
        <v>0.15</v>
      </c>
    </row>
    <row r="25254" spans="1:4" x14ac:dyDescent="0.25">
      <c r="A25254" t="str">
        <f>HYPERLINK("https://www.773grp.com/globalSearch/SZMMSZ15T1G/page-1", "SZMMSZ15T1G")</f>
        <v>SZMMSZ15T1G</v>
      </c>
      <c r="B25254" s="3" t="str">
        <f>HYPERLINK("https://www.773grp.com/manufacturer/onsemi?pageNo=382", "ON Semiconductor")</f>
        <v>ON Semiconductor</v>
      </c>
      <c r="C25254" s="6">
        <v>9000</v>
      </c>
      <c r="D25254" s="7">
        <v>0.15</v>
      </c>
    </row>
    <row r="25255" spans="1:4" x14ac:dyDescent="0.25">
      <c r="A25255" t="str">
        <f>HYPERLINK("https://www.773grp.com/globalSearch/SZMMSZ18T1G/page-1", "SZMMSZ18T1G")</f>
        <v>SZMMSZ18T1G</v>
      </c>
      <c r="B25255" s="3" t="str">
        <f>HYPERLINK("https://www.773grp.com/manufacturer/onsemi?pageNo=383", "ON Semiconductor")</f>
        <v>ON Semiconductor</v>
      </c>
      <c r="C25255" s="6">
        <v>24000</v>
      </c>
      <c r="D25255" s="7">
        <v>0.15</v>
      </c>
    </row>
    <row r="25256" spans="1:4" x14ac:dyDescent="0.25">
      <c r="A25256" t="str">
        <f>HYPERLINK("https://www.773grp.com/globalSearch/SZMMSZ24T1G/page-1", "SZMMSZ24T1G")</f>
        <v>SZMMSZ24T1G</v>
      </c>
      <c r="B25256" s="3" t="str">
        <f>HYPERLINK("https://www.773grp.com/manufacturer/onsemi?pageNo=384", "ON Semiconductor")</f>
        <v>ON Semiconductor</v>
      </c>
      <c r="C25256" s="6">
        <v>66000</v>
      </c>
      <c r="D25256" s="7">
        <v>0.15</v>
      </c>
    </row>
    <row r="25257" spans="1:4" x14ac:dyDescent="0.25">
      <c r="A25257" t="str">
        <f>HYPERLINK("https://www.773grp.com/globalSearch/SZMMSZ27T1G/page-1", "SZMMSZ27T1G")</f>
        <v>SZMMSZ27T1G</v>
      </c>
      <c r="B25257" s="3" t="str">
        <f>HYPERLINK("https://www.773grp.com/manufacturer/onsemi?pageNo=385", "ON Semiconductor")</f>
        <v>ON Semiconductor</v>
      </c>
      <c r="C25257" s="6">
        <v>24000</v>
      </c>
      <c r="D25257" s="7">
        <v>0.15</v>
      </c>
    </row>
    <row r="25258" spans="1:4" x14ac:dyDescent="0.25">
      <c r="A25258" t="str">
        <f>HYPERLINK("https://www.773grp.com/globalSearch/SZMMSZ4678T1G/page-1", "SZMMSZ4678T1G")</f>
        <v>SZMMSZ4678T1G</v>
      </c>
      <c r="B25258" s="3" t="str">
        <f>HYPERLINK("https://www.773grp.com/manufacturer/onsemi?pageNo=386", "ON Semiconductor")</f>
        <v>ON Semiconductor</v>
      </c>
      <c r="C25258" s="6">
        <v>3000</v>
      </c>
      <c r="D25258" s="7">
        <v>0.15</v>
      </c>
    </row>
    <row r="25259" spans="1:4" x14ac:dyDescent="0.25">
      <c r="A25259" t="str">
        <f>HYPERLINK("https://www.773grp.com/globalSearch/SZMMSZ4690T3G/page-1", "SZMMSZ4690T3G")</f>
        <v>SZMMSZ4690T3G</v>
      </c>
      <c r="B25259" s="3" t="str">
        <f>HYPERLINK("https://www.773grp.com/manufacturer/onsemi?pageNo=387", "ON Semiconductor")</f>
        <v>ON Semiconductor</v>
      </c>
      <c r="C25259" s="6">
        <v>30000</v>
      </c>
      <c r="D25259" s="7">
        <v>0.15</v>
      </c>
    </row>
    <row r="25260" spans="1:4" x14ac:dyDescent="0.25">
      <c r="A25260" t="str">
        <f>HYPERLINK("https://www.773grp.com/globalSearch/SZMMSZ4692T1G/page-1", "SZMMSZ4692T1G")</f>
        <v>SZMMSZ4692T1G</v>
      </c>
      <c r="B25260" s="3" t="str">
        <f>HYPERLINK("https://www.773grp.com/manufacturer/onsemi?pageNo=388", "ON Semiconductor")</f>
        <v>ON Semiconductor</v>
      </c>
      <c r="C25260" s="6">
        <v>24000</v>
      </c>
      <c r="D25260" s="7">
        <v>0.15</v>
      </c>
    </row>
    <row r="25261" spans="1:4" x14ac:dyDescent="0.25">
      <c r="A25261" t="str">
        <f>HYPERLINK("https://www.773grp.com/globalSearch/SZMMSZ4705T1G/page-1", "SZMMSZ4705T1G")</f>
        <v>SZMMSZ4705T1G</v>
      </c>
      <c r="B25261" s="3" t="str">
        <f>HYPERLINK("https://www.773grp.com/manufacturer/onsemi?pageNo=389", "ON Semiconductor")</f>
        <v>ON Semiconductor</v>
      </c>
      <c r="C25261" s="6">
        <v>69000</v>
      </c>
      <c r="D25261" s="7">
        <v>0.15</v>
      </c>
    </row>
    <row r="25262" spans="1:4" x14ac:dyDescent="0.25">
      <c r="A25262" t="str">
        <f>HYPERLINK("https://www.773grp.com/globalSearch/SZMMSZ4V7T1G/page-1", "SZMMSZ4V7T1G")</f>
        <v>SZMMSZ4V7T1G</v>
      </c>
      <c r="B25262" s="3" t="str">
        <f>HYPERLINK("https://www.773grp.com/manufacturer/onsemi?pageNo=390", "ON Semiconductor")</f>
        <v>ON Semiconductor</v>
      </c>
      <c r="C25262" s="6">
        <v>12000</v>
      </c>
      <c r="D25262" s="7">
        <v>0.15</v>
      </c>
    </row>
    <row r="25263" spans="1:4" x14ac:dyDescent="0.25">
      <c r="A25263" t="str">
        <f>HYPERLINK("https://www.773grp.com/globalSearch/SZMMSZ5229BT1G/page-1", "SZMMSZ5229BT1G")</f>
        <v>SZMMSZ5229BT1G</v>
      </c>
      <c r="B25263" s="3" t="str">
        <f>HYPERLINK("https://www.773grp.com/manufacturer/onsemi?pageNo=391", "ON Semiconductor")</f>
        <v>ON Semiconductor</v>
      </c>
      <c r="C25263" s="6">
        <v>9000</v>
      </c>
      <c r="D25263" s="7">
        <v>0.15</v>
      </c>
    </row>
    <row r="25264" spans="1:4" x14ac:dyDescent="0.25">
      <c r="A25264" t="str">
        <f>HYPERLINK("https://www.773grp.com/globalSearch/SZMMSZ5230BT1G/page-1", "SZMMSZ5230BT1G")</f>
        <v>SZMMSZ5230BT1G</v>
      </c>
      <c r="B25264" s="3" t="str">
        <f>HYPERLINK("https://www.773grp.com/manufacturer/onsemi?pageNo=392", "ON Semiconductor")</f>
        <v>ON Semiconductor</v>
      </c>
      <c r="C25264" s="6">
        <v>18000</v>
      </c>
      <c r="D25264" s="7">
        <v>0.15</v>
      </c>
    </row>
    <row r="25265" spans="1:5" x14ac:dyDescent="0.25">
      <c r="A25265" t="str">
        <f>HYPERLINK("https://www.773grp.com/globalSearch/SZMMSZ5232BT1G/page-1", "SZMMSZ5232BT1G")</f>
        <v>SZMMSZ5232BT1G</v>
      </c>
      <c r="B25265" s="3" t="str">
        <f>HYPERLINK("https://www.773grp.com/manufacturer/onsemi?pageNo=393", "ON Semiconductor")</f>
        <v>ON Semiconductor</v>
      </c>
      <c r="C25265" s="6">
        <v>9000</v>
      </c>
      <c r="D25265" s="7">
        <v>0.15</v>
      </c>
    </row>
    <row r="25266" spans="1:5" x14ac:dyDescent="0.25">
      <c r="A25266" t="str">
        <f>HYPERLINK("https://www.773grp.com/globalSearch/SZMMSZ5238BT1G/page-1", "SZMMSZ5238BT1G")</f>
        <v>SZMMSZ5238BT1G</v>
      </c>
      <c r="B25266" s="3" t="str">
        <f>HYPERLINK("https://www.773grp.com/manufacturer/onsemi?pageNo=394", "ON Semiconductor")</f>
        <v>ON Semiconductor</v>
      </c>
      <c r="C25266" s="6">
        <v>30000</v>
      </c>
      <c r="D25266" s="7">
        <v>0.15</v>
      </c>
    </row>
    <row r="25267" spans="1:5" x14ac:dyDescent="0.25">
      <c r="A25267" t="str">
        <f>HYPERLINK("https://www.773grp.com/globalSearch/SZMMSZ5242BT1G/page-1", "SZMMSZ5242BT1G")</f>
        <v>SZMMSZ5242BT1G</v>
      </c>
      <c r="B25267" s="3" t="str">
        <f>HYPERLINK("https://www.773grp.com/manufacturer/onsemi?pageNo=395", "ON Semiconductor")</f>
        <v>ON Semiconductor</v>
      </c>
      <c r="C25267" s="6">
        <v>44800</v>
      </c>
      <c r="D25267" s="7">
        <v>0.15</v>
      </c>
    </row>
    <row r="25268" spans="1:5" x14ac:dyDescent="0.25">
      <c r="A25268" t="str">
        <f>HYPERLINK("https://www.773grp.com/globalSearch/SZMMSZ5246BT1G/page-1", "SZMMSZ5246BT1G")</f>
        <v>SZMMSZ5246BT1G</v>
      </c>
      <c r="B25268" s="3" t="str">
        <f>HYPERLINK("https://www.773grp.com/manufacturer/onsemi?pageNo=396", "ON Semiconductor")</f>
        <v>ON Semiconductor</v>
      </c>
      <c r="C25268" s="6">
        <v>30000</v>
      </c>
      <c r="D25268" s="7">
        <v>0.15</v>
      </c>
    </row>
    <row r="25269" spans="1:5" x14ac:dyDescent="0.25">
      <c r="A25269" t="str">
        <f>HYPERLINK("https://www.773grp.com/globalSearch/SZMMSZ5254BT1G/page-1", "SZMMSZ5254BT1G")</f>
        <v>SZMMSZ5254BT1G</v>
      </c>
      <c r="B25269" s="3" t="str">
        <f>HYPERLINK("https://www.773grp.com/manufacturer/onsemi?pageNo=397", "ON Semiconductor")</f>
        <v>ON Semiconductor</v>
      </c>
      <c r="C25269" s="6">
        <v>9000</v>
      </c>
      <c r="D25269" s="7">
        <v>0.15</v>
      </c>
    </row>
    <row r="25270" spans="1:5" x14ac:dyDescent="0.25">
      <c r="A25270" t="str">
        <f>HYPERLINK("https://www.773grp.com/globalSearch/UC3844BD1/page-1", "UC3844BD1")</f>
        <v>UC3844BD1</v>
      </c>
      <c r="B25270" s="3" t="str">
        <f>HYPERLINK("https://www.773grp.com/manufacturer/onsemi?pageNo=398", "ON Semiconductor")</f>
        <v>ON Semiconductor</v>
      </c>
      <c r="C25270" s="6">
        <v>880</v>
      </c>
      <c r="D25270" s="7">
        <v>0.15</v>
      </c>
      <c r="E25270" t="s">
        <v>7</v>
      </c>
    </row>
    <row r="25271" spans="1:5" x14ac:dyDescent="0.25">
      <c r="A25271" t="str">
        <f>HYPERLINK("https://www.773grp.com/globalSearch/1N4001RL/page-1", "1N4001RL")</f>
        <v>1N4001RL</v>
      </c>
      <c r="B25271" s="3" t="str">
        <f>HYPERLINK("https://www.773grp.com/manufacturer/onsemi?pageNo=399", "ON Semiconductor")</f>
        <v>ON Semiconductor</v>
      </c>
      <c r="C25271" s="6">
        <v>10000</v>
      </c>
      <c r="D25271" s="7">
        <v>0.23</v>
      </c>
      <c r="E25271" t="s">
        <v>94</v>
      </c>
    </row>
    <row r="25272" spans="1:5" x14ac:dyDescent="0.25">
      <c r="A25272" t="str">
        <f>HYPERLINK("https://www.773grp.com/globalSearch/1N4682/page-1", "1N4682")</f>
        <v>1N4682</v>
      </c>
      <c r="B25272" s="3" t="str">
        <f>HYPERLINK("https://www.773grp.com/manufacturer/onsemi?pageNo=400", "ON Semiconductor")</f>
        <v>ON Semiconductor</v>
      </c>
      <c r="C25272" s="6">
        <v>191</v>
      </c>
      <c r="D25272" s="7">
        <v>0.23</v>
      </c>
      <c r="E25272" t="s">
        <v>98</v>
      </c>
    </row>
    <row r="25273" spans="1:5" x14ac:dyDescent="0.25">
      <c r="A25273" t="str">
        <f>HYPERLINK("https://www.773grp.com/globalSearch/1N4682/page-1", "1N4682")</f>
        <v>1N4682</v>
      </c>
      <c r="B25273" s="3" t="str">
        <f>HYPERLINK("https://www.773grp.com/manufacturer/onsemi?pageNo=401", "ON Semiconductor")</f>
        <v>ON Semiconductor</v>
      </c>
      <c r="C25273" s="6">
        <v>6500</v>
      </c>
      <c r="D25273" s="7">
        <v>0.23</v>
      </c>
      <c r="E25273" t="s">
        <v>98</v>
      </c>
    </row>
    <row r="25274" spans="1:5" x14ac:dyDescent="0.25">
      <c r="A25274" t="str">
        <f>HYPERLINK("https://www.773grp.com/globalSearch/1N4684/page-1", "1N4684")</f>
        <v>1N4684</v>
      </c>
      <c r="B25274" s="3" t="str">
        <f>HYPERLINK("https://www.773grp.com/manufacturer/onsemi?pageNo=402", "ON Semiconductor")</f>
        <v>ON Semiconductor</v>
      </c>
      <c r="C25274" s="6">
        <v>720</v>
      </c>
      <c r="D25274" s="7">
        <v>0.23</v>
      </c>
      <c r="E25274" t="s">
        <v>98</v>
      </c>
    </row>
    <row r="25275" spans="1:5" x14ac:dyDescent="0.25">
      <c r="A25275" t="str">
        <f>HYPERLINK("https://www.773grp.com/globalSearch/1N5818/page-1", "1N5818")</f>
        <v>1N5818</v>
      </c>
      <c r="B25275" s="3" t="str">
        <f>HYPERLINK("https://www.773grp.com/manufacturer/onsemi?pageNo=403", "ON Semiconductor")</f>
        <v>ON Semiconductor</v>
      </c>
      <c r="C25275" s="6">
        <v>5871</v>
      </c>
      <c r="D25275" s="7">
        <v>0.23</v>
      </c>
      <c r="E25275" t="s">
        <v>94</v>
      </c>
    </row>
    <row r="25276" spans="1:5" x14ac:dyDescent="0.25">
      <c r="A25276" t="str">
        <f>HYPERLINK("https://www.773grp.com/globalSearch/1N5818RL/page-1", "1N5818RL")</f>
        <v>1N5818RL</v>
      </c>
      <c r="B25276" s="3" t="str">
        <f>HYPERLINK("https://www.773grp.com/manufacturer/onsemi?pageNo=404", "ON Semiconductor")</f>
        <v>ON Semiconductor</v>
      </c>
      <c r="C25276" s="6">
        <v>30</v>
      </c>
      <c r="D25276" s="7">
        <v>0.23</v>
      </c>
      <c r="E25276" t="s">
        <v>94</v>
      </c>
    </row>
    <row r="25277" spans="1:5" x14ac:dyDescent="0.25">
      <c r="A25277" t="str">
        <f>HYPERLINK("https://www.773grp.com/globalSearch/1N5819/page-1", "1N5819")</f>
        <v>1N5819</v>
      </c>
      <c r="B25277" s="3" t="str">
        <f>HYPERLINK("https://www.773grp.com/manufacturer/onsemi?pageNo=405", "ON Semiconductor")</f>
        <v>ON Semiconductor</v>
      </c>
      <c r="C25277" s="6">
        <v>13399</v>
      </c>
      <c r="D25277" s="7">
        <v>0.23</v>
      </c>
      <c r="E25277" t="s">
        <v>94</v>
      </c>
    </row>
    <row r="25278" spans="1:5" x14ac:dyDescent="0.25">
      <c r="A25278" t="str">
        <f>HYPERLINK("https://www.773grp.com/globalSearch/1N5819RL/page-1", "1N5819RL")</f>
        <v>1N5819RL</v>
      </c>
      <c r="B25278" s="3" t="str">
        <f>HYPERLINK("https://www.773grp.com/manufacturer/onsemi?pageNo=406", "ON Semiconductor")</f>
        <v>ON Semiconductor</v>
      </c>
      <c r="C25278" s="6">
        <v>10175</v>
      </c>
      <c r="D25278" s="7">
        <v>0.23</v>
      </c>
      <c r="E25278" t="s">
        <v>94</v>
      </c>
    </row>
    <row r="25279" spans="1:5" x14ac:dyDescent="0.25">
      <c r="A25279" t="str">
        <f>HYPERLINK("https://www.773grp.com/globalSearch/1N5991BRL/page-1", "1N5991BRL")</f>
        <v>1N5991BRL</v>
      </c>
      <c r="B25279" s="3" t="str">
        <f>HYPERLINK("https://www.773grp.com/manufacturer/onsemi?pageNo=407", "ON Semiconductor")</f>
        <v>ON Semiconductor</v>
      </c>
      <c r="C25279" s="6">
        <v>20000</v>
      </c>
      <c r="D25279" s="7">
        <v>0.23</v>
      </c>
      <c r="E25279" t="s">
        <v>98</v>
      </c>
    </row>
    <row r="25280" spans="1:5" x14ac:dyDescent="0.25">
      <c r="A25280" t="str">
        <f>HYPERLINK("https://www.773grp.com/globalSearch/1SS400T1G/page-1", "1SS400T1G")</f>
        <v>1SS400T1G</v>
      </c>
      <c r="B25280" s="3" t="str">
        <f>HYPERLINK("https://www.773grp.com/manufacturer/onsemi?pageNo=408", "ON Semiconductor")</f>
        <v>ON Semiconductor</v>
      </c>
      <c r="C25280" s="6">
        <v>2376000</v>
      </c>
      <c r="D25280" s="7">
        <v>0.23</v>
      </c>
      <c r="E25280" t="s">
        <v>94</v>
      </c>
    </row>
    <row r="25281" spans="1:5" x14ac:dyDescent="0.25">
      <c r="A25281" t="str">
        <f>HYPERLINK("https://www.773grp.com/globalSearch/2N5089RLRM/page-1", "2N5089RLRM")</f>
        <v>2N5089RLRM</v>
      </c>
      <c r="B25281" s="3" t="str">
        <f>HYPERLINK("https://www.773grp.com/manufacturer/onsemi?pageNo=409", "ON Semiconductor")</f>
        <v>ON Semiconductor</v>
      </c>
      <c r="C25281" s="6">
        <v>18000</v>
      </c>
      <c r="D25281" s="7">
        <v>0.23</v>
      </c>
      <c r="E25281" t="s">
        <v>69</v>
      </c>
    </row>
    <row r="25282" spans="1:5" x14ac:dyDescent="0.25">
      <c r="A25282" t="str">
        <f>HYPERLINK("https://www.773grp.com/globalSearch/2N6426RLRAG/page-1", "2N6426RLRAG")</f>
        <v>2N6426RLRAG</v>
      </c>
      <c r="B25282" s="3" t="str">
        <f>HYPERLINK("https://www.773grp.com/manufacturer/onsemi?pageNo=410", "ON Semiconductor")</f>
        <v>ON Semiconductor</v>
      </c>
      <c r="C25282" s="6">
        <v>22000</v>
      </c>
      <c r="D25282" s="7">
        <v>0.23</v>
      </c>
      <c r="E25282" t="s">
        <v>69</v>
      </c>
    </row>
    <row r="25283" spans="1:5" x14ac:dyDescent="0.25">
      <c r="A25283" t="str">
        <f>HYPERLINK("https://www.773grp.com/globalSearch/2N6427G/page-1", "2N6427G")</f>
        <v>2N6427G</v>
      </c>
      <c r="B25283" s="3" t="str">
        <f>HYPERLINK("https://www.773grp.com/manufacturer/onsemi?pageNo=411", "ON Semiconductor")</f>
        <v>ON Semiconductor</v>
      </c>
      <c r="C25283" s="6">
        <v>36557</v>
      </c>
      <c r="D25283" s="7">
        <v>0.23</v>
      </c>
      <c r="E25283" t="s">
        <v>69</v>
      </c>
    </row>
    <row r="25284" spans="1:5" x14ac:dyDescent="0.25">
      <c r="A25284" t="str">
        <f>HYPERLINK("https://www.773grp.com/globalSearch/2N6427RLRAG/page-1", "2N6427RLRAG")</f>
        <v>2N6427RLRAG</v>
      </c>
      <c r="B25284" s="3" t="str">
        <f>HYPERLINK("https://www.773grp.com/manufacturer/onsemi?pageNo=412", "ON Semiconductor")</f>
        <v>ON Semiconductor</v>
      </c>
      <c r="C25284" s="6">
        <v>10000</v>
      </c>
      <c r="D25284" s="7">
        <v>0.23</v>
      </c>
      <c r="E25284" t="s">
        <v>69</v>
      </c>
    </row>
    <row r="25285" spans="1:5" x14ac:dyDescent="0.25">
      <c r="A25285" t="str">
        <f>HYPERLINK("https://www.773grp.com/globalSearch/BAS16TT1/page-1", "BAS16TT1")</f>
        <v>BAS16TT1</v>
      </c>
      <c r="B25285" s="3" t="str">
        <f>HYPERLINK("https://www.773grp.com/manufacturer/onsemi?pageNo=413", "ON Semiconductor")</f>
        <v>ON Semiconductor</v>
      </c>
      <c r="C25285" s="6">
        <v>72000</v>
      </c>
      <c r="D25285" s="7">
        <v>0.23</v>
      </c>
      <c r="E25285" t="s">
        <v>94</v>
      </c>
    </row>
    <row r="25286" spans="1:5" x14ac:dyDescent="0.25">
      <c r="A25286" t="str">
        <f>HYPERLINK("https://www.773grp.com/globalSearch/BAS16XV2T1G/page-1", "BAS16XV2T1G")</f>
        <v>BAS16XV2T1G</v>
      </c>
      <c r="B25286" s="3" t="str">
        <f>HYPERLINK("https://www.773grp.com/manufacturer/onsemi?pageNo=414", "ON Semiconductor")</f>
        <v>ON Semiconductor</v>
      </c>
      <c r="C25286" s="6">
        <v>488424</v>
      </c>
      <c r="D25286" s="7">
        <v>0.23</v>
      </c>
      <c r="E25286" t="s">
        <v>94</v>
      </c>
    </row>
    <row r="25287" spans="1:5" x14ac:dyDescent="0.25">
      <c r="A25287" t="str">
        <f>HYPERLINK("https://www.773grp.com/globalSearch/BAS16XV2T5G/page-1", "BAS16XV2T5G")</f>
        <v>BAS16XV2T5G</v>
      </c>
      <c r="B25287" s="3" t="str">
        <f>HYPERLINK("https://www.773grp.com/manufacturer/onsemi?pageNo=415", "ON Semiconductor")</f>
        <v>ON Semiconductor</v>
      </c>
      <c r="C25287" s="6">
        <v>64000</v>
      </c>
      <c r="D25287" s="7">
        <v>0.23</v>
      </c>
    </row>
    <row r="25288" spans="1:5" x14ac:dyDescent="0.25">
      <c r="A25288" t="str">
        <f>HYPERLINK("https://www.773grp.com/globalSearch/BAS20HT1G/page-1", "BAS20HT1G")</f>
        <v>BAS20HT1G</v>
      </c>
      <c r="B25288" s="3" t="str">
        <f>HYPERLINK("https://www.773grp.com/manufacturer/onsemi?pageNo=416", "ON Semiconductor")</f>
        <v>ON Semiconductor</v>
      </c>
      <c r="C25288" s="6">
        <v>159700</v>
      </c>
      <c r="D25288" s="7">
        <v>0.23</v>
      </c>
      <c r="E25288" t="s">
        <v>94</v>
      </c>
    </row>
    <row r="25289" spans="1:5" x14ac:dyDescent="0.25">
      <c r="A25289" t="str">
        <f>HYPERLINK("https://www.773grp.com/globalSearch/BAS21HT1/page-1", "BAS21HT1")</f>
        <v>BAS21HT1</v>
      </c>
      <c r="B25289" s="3" t="str">
        <f>HYPERLINK("https://www.773grp.com/manufacturer/onsemi?pageNo=417", "ON Semiconductor")</f>
        <v>ON Semiconductor</v>
      </c>
      <c r="C25289" s="6">
        <v>99000</v>
      </c>
      <c r="D25289" s="7">
        <v>0.23</v>
      </c>
      <c r="E25289" t="s">
        <v>94</v>
      </c>
    </row>
    <row r="25290" spans="1:5" x14ac:dyDescent="0.25">
      <c r="A25290" t="str">
        <f>HYPERLINK("https://www.773grp.com/globalSearch/BAT54CXV3T1/page-1", "BAT54CXV3T1")</f>
        <v>BAT54CXV3T1</v>
      </c>
      <c r="B25290" s="3" t="str">
        <f>HYPERLINK("https://www.773grp.com/manufacturer/onsemi?pageNo=418", "ON Semiconductor")</f>
        <v>ON Semiconductor</v>
      </c>
      <c r="C25290" s="6">
        <v>192000</v>
      </c>
      <c r="D25290" s="7">
        <v>0.23</v>
      </c>
      <c r="E25290" t="s">
        <v>94</v>
      </c>
    </row>
    <row r="25291" spans="1:5" x14ac:dyDescent="0.25">
      <c r="A25291" t="str">
        <f>HYPERLINK("https://www.773grp.com/globalSearch/BAT54XV2T1G/page-1", "BAT54XV2T1G")</f>
        <v>BAT54XV2T1G</v>
      </c>
      <c r="B25291" s="3" t="str">
        <f>HYPERLINK("https://www.773grp.com/manufacturer/onsemi?pageNo=419", "ON Semiconductor")</f>
        <v>ON Semiconductor</v>
      </c>
      <c r="C25291" s="6">
        <v>2101765</v>
      </c>
      <c r="D25291" s="7">
        <v>0.23</v>
      </c>
      <c r="E25291" t="s">
        <v>94</v>
      </c>
    </row>
    <row r="25292" spans="1:5" x14ac:dyDescent="0.25">
      <c r="A25292" t="str">
        <f>HYPERLINK("https://www.773grp.com/globalSearch/BAT54XV2T5G/page-1", "BAT54XV2T5G")</f>
        <v>BAT54XV2T5G</v>
      </c>
      <c r="B25292" s="3" t="str">
        <f>HYPERLINK("https://www.773grp.com/manufacturer/onsemi?pageNo=420", "ON Semiconductor")</f>
        <v>ON Semiconductor</v>
      </c>
      <c r="C25292" s="6">
        <v>29990</v>
      </c>
      <c r="D25292" s="7">
        <v>0.23</v>
      </c>
    </row>
    <row r="25293" spans="1:5" x14ac:dyDescent="0.25">
      <c r="A25293" t="str">
        <f>HYPERLINK("https://www.773grp.com/globalSearch/BAV23CLT1G/page-1", "BAV23CLT1G")</f>
        <v>BAV23CLT1G</v>
      </c>
      <c r="B25293" s="3" t="str">
        <f>HYPERLINK("https://www.773grp.com/manufacturer/onsemi?pageNo=421", "ON Semiconductor")</f>
        <v>ON Semiconductor</v>
      </c>
      <c r="C25293" s="6">
        <v>797700</v>
      </c>
      <c r="D25293" s="7">
        <v>0.23</v>
      </c>
      <c r="E25293" t="s">
        <v>94</v>
      </c>
    </row>
    <row r="25294" spans="1:5" x14ac:dyDescent="0.25">
      <c r="A25294" t="str">
        <f>HYPERLINK("https://www.773grp.com/globalSearch/BAW56TT1/page-1", "BAW56TT1")</f>
        <v>BAW56TT1</v>
      </c>
      <c r="B25294" s="3" t="str">
        <f>HYPERLINK("https://www.773grp.com/manufacturer/onsemi?pageNo=422", "ON Semiconductor")</f>
        <v>ON Semiconductor</v>
      </c>
      <c r="C25294" s="6">
        <v>9000</v>
      </c>
      <c r="D25294" s="7">
        <v>0.23</v>
      </c>
      <c r="E25294" t="s">
        <v>94</v>
      </c>
    </row>
    <row r="25295" spans="1:5" x14ac:dyDescent="0.25">
      <c r="A25295" t="str">
        <f>HYPERLINK("https://www.773grp.com/globalSearch/BC369ZL1/page-1", "BC369ZL1")</f>
        <v>BC369ZL1</v>
      </c>
      <c r="B25295" s="3" t="str">
        <f>HYPERLINK("https://www.773grp.com/manufacturer/onsemi?pageNo=423", "ON Semiconductor")</f>
        <v>ON Semiconductor</v>
      </c>
      <c r="C25295" s="6">
        <v>864000</v>
      </c>
      <c r="D25295" s="7">
        <v>0.23</v>
      </c>
      <c r="E25295" t="s">
        <v>69</v>
      </c>
    </row>
    <row r="25296" spans="1:5" x14ac:dyDescent="0.25">
      <c r="A25296" t="str">
        <f>HYPERLINK("https://www.773grp.com/globalSearch/BC372/page-1", "BC372")</f>
        <v>BC372</v>
      </c>
      <c r="B25296" s="3" t="str">
        <f>HYPERLINK("https://www.773grp.com/manufacturer/onsemi?pageNo=424", "ON Semiconductor")</f>
        <v>ON Semiconductor</v>
      </c>
      <c r="C25296" s="6">
        <v>3000</v>
      </c>
      <c r="D25296" s="7">
        <v>0.23</v>
      </c>
      <c r="E25296" t="s">
        <v>69</v>
      </c>
    </row>
    <row r="25297" spans="1:5" x14ac:dyDescent="0.25">
      <c r="A25297" t="str">
        <f>HYPERLINK("https://www.773grp.com/globalSearch/BC490BZL1/page-1", "BC490BZL1")</f>
        <v>BC490BZL1</v>
      </c>
      <c r="B25297" s="3" t="str">
        <f>HYPERLINK("https://www.773grp.com/manufacturer/onsemi?pageNo=425", "ON Semiconductor")</f>
        <v>ON Semiconductor</v>
      </c>
      <c r="C25297" s="6">
        <v>1000</v>
      </c>
      <c r="D25297" s="7">
        <v>0.23</v>
      </c>
      <c r="E25297" t="s">
        <v>69</v>
      </c>
    </row>
    <row r="25298" spans="1:5" x14ac:dyDescent="0.25">
      <c r="A25298" t="str">
        <f>HYPERLINK("https://www.773grp.com/globalSearch/BC490G/page-1", "BC490G")</f>
        <v>BC490G</v>
      </c>
      <c r="B25298" s="3" t="str">
        <f>HYPERLINK("https://www.773grp.com/manufacturer/onsemi?pageNo=426", "ON Semiconductor")</f>
        <v>ON Semiconductor</v>
      </c>
      <c r="C25298" s="6">
        <v>19265</v>
      </c>
      <c r="D25298" s="7">
        <v>0.23</v>
      </c>
      <c r="E25298" t="s">
        <v>69</v>
      </c>
    </row>
    <row r="25299" spans="1:5" x14ac:dyDescent="0.25">
      <c r="A25299" t="str">
        <f>HYPERLINK("https://www.773grp.com/globalSearch/BC635RL1G/page-1", "BC635RL1G")</f>
        <v>BC635RL1G</v>
      </c>
      <c r="B25299" s="3" t="str">
        <f>HYPERLINK("https://www.773grp.com/manufacturer/onsemi?pageNo=427", "ON Semiconductor")</f>
        <v>ON Semiconductor</v>
      </c>
      <c r="C25299" s="6">
        <v>2000</v>
      </c>
      <c r="D25299" s="7">
        <v>0.23</v>
      </c>
      <c r="E25299" t="s">
        <v>69</v>
      </c>
    </row>
    <row r="25300" spans="1:5" x14ac:dyDescent="0.25">
      <c r="A25300" t="str">
        <f>HYPERLINK("https://www.773grp.com/globalSearch/BC637G/page-1", "BC637G")</f>
        <v>BC637G</v>
      </c>
      <c r="B25300" s="3" t="str">
        <f>HYPERLINK("https://www.773grp.com/manufacturer/onsemi?pageNo=428", "ON Semiconductor")</f>
        <v>ON Semiconductor</v>
      </c>
      <c r="C25300" s="6">
        <v>112834</v>
      </c>
      <c r="D25300" s="7">
        <v>0.23</v>
      </c>
      <c r="E25300" t="s">
        <v>69</v>
      </c>
    </row>
    <row r="25301" spans="1:5" x14ac:dyDescent="0.25">
      <c r="A25301" t="str">
        <f>HYPERLINK("https://www.773grp.com/globalSearch/BC637RL1G/page-1", "BC637RL1G")</f>
        <v>BC637RL1G</v>
      </c>
      <c r="B25301" s="3" t="str">
        <f>HYPERLINK("https://www.773grp.com/manufacturer/onsemi?pageNo=429", "ON Semiconductor")</f>
        <v>ON Semiconductor</v>
      </c>
      <c r="C25301" s="6">
        <v>258000</v>
      </c>
      <c r="D25301" s="7">
        <v>0.23</v>
      </c>
      <c r="E25301" t="s">
        <v>69</v>
      </c>
    </row>
    <row r="25302" spans="1:5" x14ac:dyDescent="0.25">
      <c r="A25302" t="str">
        <f>HYPERLINK("https://www.773grp.com/globalSearch/BC638ZL1/page-1", "BC638ZL1")</f>
        <v>BC638ZL1</v>
      </c>
      <c r="B25302" s="3" t="str">
        <f>HYPERLINK("https://www.773grp.com/manufacturer/onsemi?pageNo=430", "ON Semiconductor")</f>
        <v>ON Semiconductor</v>
      </c>
      <c r="C25302" s="6">
        <v>8000</v>
      </c>
      <c r="D25302" s="7">
        <v>0.23</v>
      </c>
      <c r="E25302" t="s">
        <v>69</v>
      </c>
    </row>
    <row r="25303" spans="1:5" x14ac:dyDescent="0.25">
      <c r="A25303" t="str">
        <f>HYPERLINK("https://www.773grp.com/globalSearch/BC640-016/page-1", "BC640-016")</f>
        <v>BC640-016</v>
      </c>
      <c r="B25303" s="3" t="str">
        <f>HYPERLINK("https://www.773grp.com/manufacturer/onsemi?pageNo=431", "ON Semiconductor")</f>
        <v>ON Semiconductor</v>
      </c>
      <c r="C25303" s="6">
        <v>15000</v>
      </c>
      <c r="D25303" s="7">
        <v>0.23</v>
      </c>
    </row>
    <row r="25304" spans="1:5" x14ac:dyDescent="0.25">
      <c r="A25304" t="str">
        <f>HYPERLINK("https://www.773grp.com/globalSearch/BC640ZL1/page-1", "BC640ZL1")</f>
        <v>BC640ZL1</v>
      </c>
      <c r="B25304" s="3" t="str">
        <f>HYPERLINK("https://www.773grp.com/manufacturer/onsemi?pageNo=432", "ON Semiconductor")</f>
        <v>ON Semiconductor</v>
      </c>
      <c r="C25304" s="6">
        <v>4000</v>
      </c>
      <c r="D25304" s="7">
        <v>0.23</v>
      </c>
      <c r="E25304" t="s">
        <v>69</v>
      </c>
    </row>
    <row r="25305" spans="1:5" x14ac:dyDescent="0.25">
      <c r="A25305" t="str">
        <f>HYPERLINK("https://www.773grp.com/globalSearch/BC807-40CLT1/page-1", "BC807-40CLT1")</f>
        <v>BC807-40CLT1</v>
      </c>
      <c r="B25305" s="3" t="str">
        <f>HYPERLINK("https://www.773grp.com/manufacturer/onsemi?pageNo=433", "ON Semiconductor")</f>
        <v>ON Semiconductor</v>
      </c>
      <c r="C25305" s="6">
        <v>450000</v>
      </c>
      <c r="D25305" s="7">
        <v>0.23</v>
      </c>
    </row>
    <row r="25306" spans="1:5" x14ac:dyDescent="0.25">
      <c r="A25306" t="str">
        <f>HYPERLINK("https://www.773grp.com/globalSearch/BC846BDW1T1G/page-1", "BC846BDW1T1G")</f>
        <v>BC846BDW1T1G</v>
      </c>
      <c r="B25306" s="3" t="str">
        <f>HYPERLINK("https://www.773grp.com/manufacturer/onsemi?pageNo=434", "ON Semiconductor")</f>
        <v>ON Semiconductor</v>
      </c>
      <c r="C25306" s="6">
        <v>2880</v>
      </c>
      <c r="D25306" s="7">
        <v>0.23</v>
      </c>
      <c r="E25306" t="s">
        <v>69</v>
      </c>
    </row>
    <row r="25307" spans="1:5" x14ac:dyDescent="0.25">
      <c r="A25307" t="str">
        <f>HYPERLINK("https://www.773grp.com/globalSearch/BC846BDW1T1H/page-1", "BC846BDW1T1H")</f>
        <v>BC846BDW1T1H</v>
      </c>
      <c r="B25307" s="3" t="str">
        <f>HYPERLINK("https://www.773grp.com/manufacturer/onsemi?pageNo=435", "ON Semiconductor")</f>
        <v>ON Semiconductor</v>
      </c>
      <c r="C25307" s="6">
        <v>6000</v>
      </c>
      <c r="D25307" s="7">
        <v>0.23</v>
      </c>
    </row>
    <row r="25308" spans="1:5" x14ac:dyDescent="0.25">
      <c r="A25308" t="str">
        <f>HYPERLINK("https://www.773grp.com/globalSearch/BC847AWT1/page-1", "BC847AWT1")</f>
        <v>BC847AWT1</v>
      </c>
      <c r="B25308" s="3" t="str">
        <f>HYPERLINK("https://www.773grp.com/manufacturer/onsemi?pageNo=436", "ON Semiconductor")</f>
        <v>ON Semiconductor</v>
      </c>
      <c r="C25308" s="6">
        <v>114000</v>
      </c>
      <c r="D25308" s="7">
        <v>0.23</v>
      </c>
      <c r="E25308" t="s">
        <v>69</v>
      </c>
    </row>
    <row r="25309" spans="1:5" x14ac:dyDescent="0.25">
      <c r="A25309" t="str">
        <f>HYPERLINK("https://www.773grp.com/globalSearch/BC847BDW1T1/page-1", "BC847BDW1T1")</f>
        <v>BC847BDW1T1</v>
      </c>
      <c r="B25309" s="3" t="str">
        <f>HYPERLINK("https://www.773grp.com/manufacturer/onsemi?pageNo=437", "ON Semiconductor")</f>
        <v>ON Semiconductor</v>
      </c>
      <c r="C25309" s="6">
        <v>21000</v>
      </c>
      <c r="D25309" s="7">
        <v>0.23</v>
      </c>
      <c r="E25309" t="s">
        <v>69</v>
      </c>
    </row>
    <row r="25310" spans="1:5" x14ac:dyDescent="0.25">
      <c r="A25310" t="str">
        <f>HYPERLINK("https://www.773grp.com/globalSearch/BC847BDW1T1G/page-1", "BC847BDW1T1G")</f>
        <v>BC847BDW1T1G</v>
      </c>
      <c r="B25310" s="3" t="str">
        <f>HYPERLINK("https://www.773grp.com/manufacturer/onsemi?pageNo=438", "ON Semiconductor")</f>
        <v>ON Semiconductor</v>
      </c>
      <c r="C25310" s="6">
        <v>69000</v>
      </c>
      <c r="D25310" s="7">
        <v>0.23</v>
      </c>
      <c r="E25310" t="s">
        <v>69</v>
      </c>
    </row>
    <row r="25311" spans="1:5" x14ac:dyDescent="0.25">
      <c r="A25311" t="str">
        <f>HYPERLINK("https://www.773grp.com/globalSearch/BC847BDW1T3/page-1", "BC847BDW1T3")</f>
        <v>BC847BDW1T3</v>
      </c>
      <c r="B25311" s="3" t="str">
        <f>HYPERLINK("https://www.773grp.com/manufacturer/onsemi?pageNo=439", "ON Semiconductor")</f>
        <v>ON Semiconductor</v>
      </c>
      <c r="C25311" s="6">
        <v>80000</v>
      </c>
      <c r="D25311" s="7">
        <v>0.23</v>
      </c>
      <c r="E25311" t="s">
        <v>69</v>
      </c>
    </row>
    <row r="25312" spans="1:5" x14ac:dyDescent="0.25">
      <c r="A25312" t="str">
        <f>HYPERLINK("https://www.773grp.com/globalSearch/BC847BDW1T3G/page-1", "BC847BDW1T3G")</f>
        <v>BC847BDW1T3G</v>
      </c>
      <c r="B25312" s="3" t="str">
        <f>HYPERLINK("https://www.773grp.com/manufacturer/onsemi?pageNo=440", "ON Semiconductor")</f>
        <v>ON Semiconductor</v>
      </c>
      <c r="C25312" s="6">
        <v>548251</v>
      </c>
      <c r="D25312" s="7">
        <v>0.23</v>
      </c>
      <c r="E25312" t="s">
        <v>69</v>
      </c>
    </row>
    <row r="25313" spans="1:5" x14ac:dyDescent="0.25">
      <c r="A25313" t="str">
        <f>HYPERLINK("https://www.773grp.com/globalSearch/BC847BPDW1T1G/page-1", "BC847BPDW1T1G")</f>
        <v>BC847BPDW1T1G</v>
      </c>
      <c r="B25313" s="3" t="str">
        <f>HYPERLINK("https://www.773grp.com/manufacturer/onsemi?pageNo=441", "ON Semiconductor")</f>
        <v>ON Semiconductor</v>
      </c>
      <c r="C25313" s="6">
        <v>553770</v>
      </c>
      <c r="D25313" s="7">
        <v>0.23</v>
      </c>
      <c r="E25313" t="s">
        <v>69</v>
      </c>
    </row>
    <row r="25314" spans="1:5" x14ac:dyDescent="0.25">
      <c r="A25314" t="str">
        <f>HYPERLINK("https://www.773grp.com/globalSearch/BC847BPDW1T3G/page-1", "BC847BPDW1T3G")</f>
        <v>BC847BPDW1T3G</v>
      </c>
      <c r="B25314" s="3" t="str">
        <f>HYPERLINK("https://www.773grp.com/manufacturer/onsemi?pageNo=442", "ON Semiconductor")</f>
        <v>ON Semiconductor</v>
      </c>
      <c r="C25314" s="6">
        <v>90000</v>
      </c>
      <c r="D25314" s="7">
        <v>0.23</v>
      </c>
    </row>
    <row r="25315" spans="1:5" x14ac:dyDescent="0.25">
      <c r="A25315" t="str">
        <f>HYPERLINK("https://www.773grp.com/globalSearch/BC847CDW1T1/page-1", "BC847CDW1T1")</f>
        <v>BC847CDW1T1</v>
      </c>
      <c r="B25315" s="3" t="str">
        <f>HYPERLINK("https://www.773grp.com/manufacturer/onsemi?pageNo=443", "ON Semiconductor")</f>
        <v>ON Semiconductor</v>
      </c>
      <c r="C25315" s="6">
        <v>96000</v>
      </c>
      <c r="D25315" s="7">
        <v>0.23</v>
      </c>
      <c r="E25315" t="s">
        <v>69</v>
      </c>
    </row>
    <row r="25316" spans="1:5" x14ac:dyDescent="0.25">
      <c r="A25316" t="str">
        <f>HYPERLINK("https://www.773grp.com/globalSearch/BC847CDW1T1G/page-1", "BC847CDW1T1G")</f>
        <v>BC847CDW1T1G</v>
      </c>
      <c r="B25316" s="3" t="str">
        <f>HYPERLINK("https://www.773grp.com/manufacturer/onsemi?pageNo=444", "ON Semiconductor")</f>
        <v>ON Semiconductor</v>
      </c>
      <c r="C25316" s="6">
        <v>27000</v>
      </c>
      <c r="D25316" s="7">
        <v>0.23</v>
      </c>
      <c r="E25316" t="s">
        <v>69</v>
      </c>
    </row>
    <row r="25317" spans="1:5" x14ac:dyDescent="0.25">
      <c r="A25317" t="str">
        <f>HYPERLINK("https://www.773grp.com/globalSearch/BC847CTT1G/page-1", "BC847CTT1G")</f>
        <v>BC847CTT1G</v>
      </c>
      <c r="B25317" s="3" t="str">
        <f>HYPERLINK("https://www.773grp.com/manufacturer/onsemi?pageNo=445", "ON Semiconductor")</f>
        <v>ON Semiconductor</v>
      </c>
      <c r="C25317" s="6">
        <v>8249</v>
      </c>
      <c r="D25317" s="7">
        <v>0.23</v>
      </c>
      <c r="E25317" t="s">
        <v>69</v>
      </c>
    </row>
    <row r="25318" spans="1:5" x14ac:dyDescent="0.25">
      <c r="A25318" t="str">
        <f>HYPERLINK("https://www.773grp.com/globalSearch/BC848CDW1T1G/page-1", "BC848CDW1T1G")</f>
        <v>BC848CDW1T1G</v>
      </c>
      <c r="B25318" s="3" t="str">
        <f>HYPERLINK("https://www.773grp.com/manufacturer/onsemi?pageNo=446", "ON Semiconductor")</f>
        <v>ON Semiconductor</v>
      </c>
      <c r="C25318" s="6">
        <v>21000</v>
      </c>
      <c r="D25318" s="7">
        <v>0.23</v>
      </c>
      <c r="E25318" t="s">
        <v>69</v>
      </c>
    </row>
    <row r="25319" spans="1:5" x14ac:dyDescent="0.25">
      <c r="A25319" t="str">
        <f>HYPERLINK("https://www.773grp.com/globalSearch/BC848CPDW1T1G/page-1", "BC848CPDW1T1G")</f>
        <v>BC848CPDW1T1G</v>
      </c>
      <c r="B25319" s="3" t="str">
        <f>HYPERLINK("https://www.773grp.com/manufacturer/onsemi?pageNo=447", "ON Semiconductor")</f>
        <v>ON Semiconductor</v>
      </c>
      <c r="C25319" s="6">
        <v>63000</v>
      </c>
      <c r="D25319" s="7">
        <v>0.23</v>
      </c>
      <c r="E25319" t="s">
        <v>69</v>
      </c>
    </row>
    <row r="25320" spans="1:5" x14ac:dyDescent="0.25">
      <c r="A25320" t="str">
        <f>HYPERLINK("https://www.773grp.com/globalSearch/BC856BDW1T1G/page-1", "BC856BDW1T1G")</f>
        <v>BC856BDW1T1G</v>
      </c>
      <c r="B25320" s="3" t="str">
        <f>HYPERLINK("https://www.773grp.com/manufacturer/onsemi?pageNo=448", "ON Semiconductor")</f>
        <v>ON Semiconductor</v>
      </c>
      <c r="C25320" s="6">
        <v>9000</v>
      </c>
      <c r="D25320" s="7">
        <v>0.23</v>
      </c>
      <c r="E25320" t="s">
        <v>69</v>
      </c>
    </row>
    <row r="25321" spans="1:5" x14ac:dyDescent="0.25">
      <c r="A25321" t="str">
        <f>HYPERLINK("https://www.773grp.com/globalSearch/BC856BDW1T3/page-1", "BC856BDW1T3")</f>
        <v>BC856BDW1T3</v>
      </c>
      <c r="B25321" s="3" t="str">
        <f>HYPERLINK("https://www.773grp.com/manufacturer/onsemi?pageNo=449", "ON Semiconductor")</f>
        <v>ON Semiconductor</v>
      </c>
      <c r="C25321" s="6">
        <v>90000</v>
      </c>
      <c r="D25321" s="7">
        <v>0.23</v>
      </c>
      <c r="E25321" t="s">
        <v>69</v>
      </c>
    </row>
    <row r="25322" spans="1:5" x14ac:dyDescent="0.25">
      <c r="A25322" t="str">
        <f>HYPERLINK("https://www.773grp.com/globalSearch/BC856BDW1T3G/page-1", "BC856BDW1T3G")</f>
        <v>BC856BDW1T3G</v>
      </c>
      <c r="B25322" s="3" t="str">
        <f>HYPERLINK("https://www.773grp.com/manufacturer/onsemi?pageNo=450", "ON Semiconductor")</f>
        <v>ON Semiconductor</v>
      </c>
      <c r="C25322" s="6">
        <v>2930000</v>
      </c>
      <c r="D25322" s="7">
        <v>0.23</v>
      </c>
    </row>
    <row r="25323" spans="1:5" x14ac:dyDescent="0.25">
      <c r="A25323" t="str">
        <f>HYPERLINK("https://www.773grp.com/globalSearch/BC856BWT1/page-1", "BC856BWT1")</f>
        <v>BC856BWT1</v>
      </c>
      <c r="B25323" s="3" t="str">
        <f>HYPERLINK("https://www.773grp.com/manufacturer/onsemi?pageNo=451", "ON Semiconductor")</f>
        <v>ON Semiconductor</v>
      </c>
      <c r="C25323" s="6">
        <v>2865000</v>
      </c>
      <c r="D25323" s="7">
        <v>0.23</v>
      </c>
      <c r="E25323" t="s">
        <v>69</v>
      </c>
    </row>
    <row r="25324" spans="1:5" x14ac:dyDescent="0.25">
      <c r="A25324" t="str">
        <f>HYPERLINK("https://www.773grp.com/globalSearch/BC857BDW1T1G/page-1", "BC857BDW1T1G")</f>
        <v>BC857BDW1T1G</v>
      </c>
      <c r="B25324" s="3" t="str">
        <f>HYPERLINK("https://www.773grp.com/manufacturer/onsemi?pageNo=452", "ON Semiconductor")</f>
        <v>ON Semiconductor</v>
      </c>
      <c r="C25324" s="6">
        <v>24000</v>
      </c>
      <c r="D25324" s="7">
        <v>0.23</v>
      </c>
      <c r="E25324" t="s">
        <v>69</v>
      </c>
    </row>
    <row r="25325" spans="1:5" x14ac:dyDescent="0.25">
      <c r="A25325" t="str">
        <f>HYPERLINK("https://www.773grp.com/globalSearch/BC857CDW1T1G/page-1", "BC857CDW1T1G")</f>
        <v>BC857CDW1T1G</v>
      </c>
      <c r="B25325" s="3" t="str">
        <f>HYPERLINK("https://www.773grp.com/manufacturer/onsemi?pageNo=453", "ON Semiconductor")</f>
        <v>ON Semiconductor</v>
      </c>
      <c r="C25325" s="6">
        <v>12000</v>
      </c>
      <c r="D25325" s="7">
        <v>0.23</v>
      </c>
      <c r="E25325" t="s">
        <v>69</v>
      </c>
    </row>
    <row r="25326" spans="1:5" x14ac:dyDescent="0.25">
      <c r="A25326" t="str">
        <f>HYPERLINK("https://www.773grp.com/globalSearch/BCW61DLT1/page-1", "BCW61DLT1")</f>
        <v>BCW61DLT1</v>
      </c>
      <c r="B25326" s="3" t="str">
        <f>HYPERLINK("https://www.773grp.com/manufacturer/onsemi?pageNo=454", "ON Semiconductor")</f>
        <v>ON Semiconductor</v>
      </c>
      <c r="C25326" s="6">
        <v>1000</v>
      </c>
      <c r="D25326" s="7">
        <v>0.23</v>
      </c>
      <c r="E25326" t="s">
        <v>69</v>
      </c>
    </row>
    <row r="25327" spans="1:5" x14ac:dyDescent="0.25">
      <c r="A25327" t="str">
        <f>HYPERLINK("https://www.773grp.com/globalSearch/BCW65ALT1G/page-1", "BCW65ALT1G")</f>
        <v>BCW65ALT1G</v>
      </c>
      <c r="B25327" s="3" t="str">
        <f>HYPERLINK("https://www.773grp.com/manufacturer/onsemi?pageNo=455", "ON Semiconductor")</f>
        <v>ON Semiconductor</v>
      </c>
      <c r="C25327" s="6">
        <v>113447</v>
      </c>
      <c r="D25327" s="7">
        <v>0.23</v>
      </c>
      <c r="E25327" t="s">
        <v>69</v>
      </c>
    </row>
    <row r="25328" spans="1:5" x14ac:dyDescent="0.25">
      <c r="A25328" t="str">
        <f>HYPERLINK("https://www.773grp.com/globalSearch/BCW65CLT1/page-1", "BCW65CLT1")</f>
        <v>BCW65CLT1</v>
      </c>
      <c r="B25328" s="3" t="str">
        <f>HYPERLINK("https://www.773grp.com/manufacturer/onsemi?pageNo=456", "ON Semiconductor")</f>
        <v>ON Semiconductor</v>
      </c>
      <c r="C25328" s="6">
        <v>66000</v>
      </c>
      <c r="D25328" s="7">
        <v>0.23</v>
      </c>
      <c r="E25328" t="s">
        <v>69</v>
      </c>
    </row>
    <row r="25329" spans="1:5" x14ac:dyDescent="0.25">
      <c r="A25329" t="str">
        <f>HYPERLINK("https://www.773grp.com/globalSearch/BCW65CLT1G/page-1", "BCW65CLT1G")</f>
        <v>BCW65CLT1G</v>
      </c>
      <c r="B25329" s="3" t="str">
        <f>HYPERLINK("https://www.773grp.com/manufacturer/onsemi?pageNo=457", "ON Semiconductor")</f>
        <v>ON Semiconductor</v>
      </c>
      <c r="C25329" s="6">
        <v>5826</v>
      </c>
      <c r="D25329" s="7">
        <v>0.23</v>
      </c>
      <c r="E25329" t="s">
        <v>69</v>
      </c>
    </row>
    <row r="25330" spans="1:5" x14ac:dyDescent="0.25">
      <c r="A25330" t="str">
        <f>HYPERLINK("https://www.773grp.com/globalSearch/BCW66GLT1G/page-1", "BCW66GLT1G")</f>
        <v>BCW66GLT1G</v>
      </c>
      <c r="B25330" s="3" t="str">
        <f>HYPERLINK("https://www.773grp.com/manufacturer/onsemi?pageNo=458", "ON Semiconductor")</f>
        <v>ON Semiconductor</v>
      </c>
      <c r="C25330" s="6">
        <v>447000</v>
      </c>
      <c r="D25330" s="7">
        <v>0.23</v>
      </c>
      <c r="E25330" t="s">
        <v>69</v>
      </c>
    </row>
    <row r="25331" spans="1:5" x14ac:dyDescent="0.25">
      <c r="A25331" t="str">
        <f>HYPERLINK("https://www.773grp.com/globalSearch/BCW68GLT1G/page-1", "BCW68GLT1G")</f>
        <v>BCW68GLT1G</v>
      </c>
      <c r="B25331" s="3" t="str">
        <f>HYPERLINK("https://www.773grp.com/manufacturer/onsemi?pageNo=459", "ON Semiconductor")</f>
        <v>ON Semiconductor</v>
      </c>
      <c r="C25331" s="6">
        <v>1152969</v>
      </c>
      <c r="D25331" s="7">
        <v>0.23</v>
      </c>
      <c r="E25331" t="s">
        <v>69</v>
      </c>
    </row>
    <row r="25332" spans="1:5" x14ac:dyDescent="0.25">
      <c r="A25332" t="str">
        <f>HYPERLINK("https://www.773grp.com/globalSearch/BCW70LT1G/page-1", "BCW70LT1G")</f>
        <v>BCW70LT1G</v>
      </c>
      <c r="B25332" s="3" t="str">
        <f>HYPERLINK("https://www.773grp.com/manufacturer/onsemi?pageNo=460", "ON Semiconductor")</f>
        <v>ON Semiconductor</v>
      </c>
      <c r="C25332" s="6">
        <v>115749</v>
      </c>
      <c r="D25332" s="7">
        <v>0.23</v>
      </c>
      <c r="E25332" t="s">
        <v>69</v>
      </c>
    </row>
    <row r="25333" spans="1:5" x14ac:dyDescent="0.25">
      <c r="A25333" t="str">
        <f>HYPERLINK("https://www.773grp.com/globalSearch/BCW72LT1G/page-1", "BCW72LT1G")</f>
        <v>BCW72LT1G</v>
      </c>
      <c r="B25333" s="3" t="str">
        <f>HYPERLINK("https://www.773grp.com/manufacturer/onsemi?pageNo=461", "ON Semiconductor")</f>
        <v>ON Semiconductor</v>
      </c>
      <c r="C25333" s="6">
        <v>1338000</v>
      </c>
      <c r="D25333" s="7">
        <v>0.23</v>
      </c>
      <c r="E25333" t="s">
        <v>69</v>
      </c>
    </row>
    <row r="25334" spans="1:5" x14ac:dyDescent="0.25">
      <c r="A25334" t="str">
        <f>HYPERLINK("https://www.773grp.com/globalSearch/BCX17LT1G/page-1", "BCX17LT1G")</f>
        <v>BCX17LT1G</v>
      </c>
      <c r="B25334" s="3" t="str">
        <f>HYPERLINK("https://www.773grp.com/manufacturer/onsemi?pageNo=462", "ON Semiconductor")</f>
        <v>ON Semiconductor</v>
      </c>
      <c r="C25334" s="6">
        <v>76697</v>
      </c>
      <c r="D25334" s="7">
        <v>0.23</v>
      </c>
      <c r="E25334" t="s">
        <v>69</v>
      </c>
    </row>
    <row r="25335" spans="1:5" x14ac:dyDescent="0.25">
      <c r="A25335" t="str">
        <f>HYPERLINK("https://www.773grp.com/globalSearch/BCX19LT1G/page-1", "BCX19LT1G")</f>
        <v>BCX19LT1G</v>
      </c>
      <c r="B25335" s="3" t="str">
        <f>HYPERLINK("https://www.773grp.com/manufacturer/onsemi?pageNo=463", "ON Semiconductor")</f>
        <v>ON Semiconductor</v>
      </c>
      <c r="C25335" s="6">
        <v>190696</v>
      </c>
      <c r="D25335" s="7">
        <v>0.23</v>
      </c>
      <c r="E25335" t="s">
        <v>69</v>
      </c>
    </row>
    <row r="25336" spans="1:5" x14ac:dyDescent="0.25">
      <c r="A25336" t="str">
        <f>HYPERLINK("https://www.773grp.com/globalSearch/BF392ZL1/page-1", "BF392ZL1")</f>
        <v>BF392ZL1</v>
      </c>
      <c r="B25336" s="3" t="str">
        <f>HYPERLINK("https://www.773grp.com/manufacturer/onsemi?pageNo=464", "ON Semiconductor")</f>
        <v>ON Semiconductor</v>
      </c>
      <c r="C25336" s="6">
        <v>24000</v>
      </c>
      <c r="D25336" s="7">
        <v>0.23</v>
      </c>
      <c r="E25336" t="s">
        <v>69</v>
      </c>
    </row>
    <row r="25337" spans="1:5" x14ac:dyDescent="0.25">
      <c r="A25337" t="str">
        <f>HYPERLINK("https://www.773grp.com/globalSearch/BS170/page-1", "BS170")</f>
        <v>BS170</v>
      </c>
      <c r="B25337" s="3" t="str">
        <f>HYPERLINK("https://www.773grp.com/manufacturer/onsemi?pageNo=465", "ON Semiconductor")</f>
        <v>ON Semiconductor</v>
      </c>
      <c r="C25337" s="6">
        <v>1000</v>
      </c>
      <c r="D25337" s="7">
        <v>0.23</v>
      </c>
      <c r="E25337" t="s">
        <v>106</v>
      </c>
    </row>
    <row r="25338" spans="1:5" x14ac:dyDescent="0.25">
      <c r="A25338" t="str">
        <f>HYPERLINK("https://www.773grp.com/globalSearch/BS170RLRM/page-1", "BS170RLRM")</f>
        <v>BS170RLRM</v>
      </c>
      <c r="B25338" s="3" t="str">
        <f>HYPERLINK("https://www.773grp.com/manufacturer/onsemi?pageNo=466", "ON Semiconductor")</f>
        <v>ON Semiconductor</v>
      </c>
      <c r="C25338" s="6">
        <v>1100</v>
      </c>
      <c r="D25338" s="7">
        <v>0.23</v>
      </c>
      <c r="E25338" t="s">
        <v>106</v>
      </c>
    </row>
    <row r="25339" spans="1:5" x14ac:dyDescent="0.25">
      <c r="A25339" t="str">
        <f>HYPERLINK("https://www.773grp.com/globalSearch/BSS63LT1G/page-1", "BSS63LT1G")</f>
        <v>BSS63LT1G</v>
      </c>
      <c r="B25339" s="3" t="str">
        <f>HYPERLINK("https://www.773grp.com/manufacturer/onsemi?pageNo=467", "ON Semiconductor")</f>
        <v>ON Semiconductor</v>
      </c>
      <c r="C25339" s="6">
        <v>229605</v>
      </c>
      <c r="D25339" s="7">
        <v>0.23</v>
      </c>
      <c r="E25339" t="s">
        <v>69</v>
      </c>
    </row>
    <row r="25340" spans="1:5" x14ac:dyDescent="0.25">
      <c r="A25340" t="str">
        <f>HYPERLINK("https://www.773grp.com/globalSearch/BSS64LT1G/page-1", "BSS64LT1G")</f>
        <v>BSS64LT1G</v>
      </c>
      <c r="B25340" s="3" t="str">
        <f>HYPERLINK("https://www.773grp.com/manufacturer/onsemi?pageNo=468", "ON Semiconductor")</f>
        <v>ON Semiconductor</v>
      </c>
      <c r="C25340" s="6">
        <v>5234</v>
      </c>
      <c r="D25340" s="7">
        <v>0.23</v>
      </c>
      <c r="E25340" t="s">
        <v>69</v>
      </c>
    </row>
    <row r="25341" spans="1:5" x14ac:dyDescent="0.25">
      <c r="A25341" t="str">
        <f>HYPERLINK("https://www.773grp.com/globalSearch/BZX84B12LT1G/page-1", "BZX84B12LT1G")</f>
        <v>BZX84B12LT1G</v>
      </c>
      <c r="B25341" s="3" t="str">
        <f>HYPERLINK("https://www.773grp.com/manufacturer/onsemi?pageNo=469", "ON Semiconductor")</f>
        <v>ON Semiconductor</v>
      </c>
      <c r="C25341" s="6">
        <v>110496</v>
      </c>
      <c r="D25341" s="7">
        <v>0.23</v>
      </c>
      <c r="E25341" t="s">
        <v>98</v>
      </c>
    </row>
    <row r="25342" spans="1:5" x14ac:dyDescent="0.25">
      <c r="A25342" t="str">
        <f>HYPERLINK("https://www.773grp.com/globalSearch/BZX84B15LT1G/page-1", "BZX84B15LT1G")</f>
        <v>BZX84B15LT1G</v>
      </c>
      <c r="B25342" s="3" t="str">
        <f>HYPERLINK("https://www.773grp.com/manufacturer/onsemi?pageNo=470", "ON Semiconductor")</f>
        <v>ON Semiconductor</v>
      </c>
      <c r="C25342" s="6">
        <v>22312</v>
      </c>
      <c r="D25342" s="7">
        <v>0.23</v>
      </c>
      <c r="E25342" t="s">
        <v>98</v>
      </c>
    </row>
    <row r="25343" spans="1:5" x14ac:dyDescent="0.25">
      <c r="A25343" t="str">
        <f>HYPERLINK("https://www.773grp.com/globalSearch/BZX84B18LT1G/page-1", "BZX84B18LT1G")</f>
        <v>BZX84B18LT1G</v>
      </c>
      <c r="B25343" s="3" t="str">
        <f>HYPERLINK("https://www.773grp.com/manufacturer/onsemi?pageNo=471", "ON Semiconductor")</f>
        <v>ON Semiconductor</v>
      </c>
      <c r="C25343" s="6">
        <v>147000</v>
      </c>
      <c r="D25343" s="7">
        <v>0.23</v>
      </c>
      <c r="E25343" t="s">
        <v>98</v>
      </c>
    </row>
    <row r="25344" spans="1:5" x14ac:dyDescent="0.25">
      <c r="A25344" t="str">
        <f>HYPERLINK("https://www.773grp.com/globalSearch/BZX84B22LT1G/page-1", "BZX84B22LT1G")</f>
        <v>BZX84B22LT1G</v>
      </c>
      <c r="B25344" s="3" t="str">
        <f>HYPERLINK("https://www.773grp.com/manufacturer/onsemi?pageNo=472", "ON Semiconductor")</f>
        <v>ON Semiconductor</v>
      </c>
      <c r="C25344" s="6">
        <v>531000</v>
      </c>
      <c r="D25344" s="7">
        <v>0.23</v>
      </c>
      <c r="E25344" t="s">
        <v>98</v>
      </c>
    </row>
    <row r="25345" spans="1:5" x14ac:dyDescent="0.25">
      <c r="A25345" t="str">
        <f>HYPERLINK("https://www.773grp.com/globalSearch/BZX84B24LT1G/page-1", "BZX84B24LT1G")</f>
        <v>BZX84B24LT1G</v>
      </c>
      <c r="B25345" s="3" t="str">
        <f>HYPERLINK("https://www.773grp.com/manufacturer/onsemi?pageNo=473", "ON Semiconductor")</f>
        <v>ON Semiconductor</v>
      </c>
      <c r="C25345" s="6">
        <v>162000</v>
      </c>
      <c r="D25345" s="7">
        <v>0.23</v>
      </c>
      <c r="E25345" t="s">
        <v>98</v>
      </c>
    </row>
    <row r="25346" spans="1:5" x14ac:dyDescent="0.25">
      <c r="A25346" t="str">
        <f>HYPERLINK("https://www.773grp.com/globalSearch/BZX84B5V1LT1G/page-1", "BZX84B5V1LT1G")</f>
        <v>BZX84B5V1LT1G</v>
      </c>
      <c r="B25346" s="3" t="str">
        <f>HYPERLINK("https://www.773grp.com/manufacturer/onsemi?pageNo=474", "ON Semiconductor")</f>
        <v>ON Semiconductor</v>
      </c>
      <c r="C25346" s="6">
        <v>135615</v>
      </c>
      <c r="D25346" s="7">
        <v>0.23</v>
      </c>
      <c r="E25346" t="s">
        <v>98</v>
      </c>
    </row>
    <row r="25347" spans="1:5" x14ac:dyDescent="0.25">
      <c r="A25347" t="str">
        <f>HYPERLINK("https://www.773grp.com/globalSearch/BZX84B5V6LT1G/page-1", "BZX84B5V6LT1G")</f>
        <v>BZX84B5V6LT1G</v>
      </c>
      <c r="B25347" s="3" t="str">
        <f>HYPERLINK("https://www.773grp.com/manufacturer/onsemi?pageNo=475", "ON Semiconductor")</f>
        <v>ON Semiconductor</v>
      </c>
      <c r="C25347" s="6">
        <v>151075</v>
      </c>
      <c r="D25347" s="7">
        <v>0.23</v>
      </c>
    </row>
    <row r="25348" spans="1:5" x14ac:dyDescent="0.25">
      <c r="A25348" t="str">
        <f>HYPERLINK("https://www.773grp.com/globalSearch/BZX84B6V2LT1G/page-1", "BZX84B6V2LT1G")</f>
        <v>BZX84B6V2LT1G</v>
      </c>
      <c r="B25348" s="3" t="str">
        <f>HYPERLINK("https://www.773grp.com/manufacturer/onsemi?pageNo=476", "ON Semiconductor")</f>
        <v>ON Semiconductor</v>
      </c>
      <c r="C25348" s="6">
        <v>279400</v>
      </c>
      <c r="D25348" s="7">
        <v>0.23</v>
      </c>
      <c r="E25348" t="s">
        <v>98</v>
      </c>
    </row>
    <row r="25349" spans="1:5" x14ac:dyDescent="0.25">
      <c r="A25349" t="str">
        <f>HYPERLINK("https://www.773grp.com/globalSearch/BZX84B6V8LT1G/page-1", "BZX84B6V8LT1G")</f>
        <v>BZX84B6V8LT1G</v>
      </c>
      <c r="B25349" s="3" t="str">
        <f>HYPERLINK("https://www.773grp.com/manufacturer/onsemi?pageNo=477", "ON Semiconductor")</f>
        <v>ON Semiconductor</v>
      </c>
      <c r="C25349" s="6">
        <v>57000</v>
      </c>
      <c r="D25349" s="7">
        <v>0.23</v>
      </c>
      <c r="E25349" t="s">
        <v>98</v>
      </c>
    </row>
    <row r="25350" spans="1:5" x14ac:dyDescent="0.25">
      <c r="A25350" t="str">
        <f>HYPERLINK("https://www.773grp.com/globalSearch/BZX84B7V5LT1G/page-1", "BZX84B7V5LT1G")</f>
        <v>BZX84B7V5LT1G</v>
      </c>
      <c r="B25350" s="3" t="str">
        <f>HYPERLINK("https://www.773grp.com/manufacturer/onsemi?pageNo=478", "ON Semiconductor")</f>
        <v>ON Semiconductor</v>
      </c>
      <c r="C25350" s="6">
        <v>35488</v>
      </c>
      <c r="D25350" s="7">
        <v>0.23</v>
      </c>
      <c r="E25350" t="s">
        <v>98</v>
      </c>
    </row>
    <row r="25351" spans="1:5" x14ac:dyDescent="0.25">
      <c r="A25351" t="str">
        <f>HYPERLINK("https://www.773grp.com/globalSearch/BZX84B8V2LT1G/page-1", "BZX84B8V2LT1G")</f>
        <v>BZX84B8V2LT1G</v>
      </c>
      <c r="B25351" s="3" t="str">
        <f>HYPERLINK("https://www.773grp.com/manufacturer/onsemi?pageNo=479", "ON Semiconductor")</f>
        <v>ON Semiconductor</v>
      </c>
      <c r="C25351" s="6">
        <v>362636</v>
      </c>
      <c r="D25351" s="7">
        <v>0.23</v>
      </c>
      <c r="E25351" t="s">
        <v>98</v>
      </c>
    </row>
    <row r="25352" spans="1:5" x14ac:dyDescent="0.25">
      <c r="A25352" t="str">
        <f>HYPERLINK("https://www.773grp.com/globalSearch/BZX84B9V1LT1G/page-1", "BZX84B9V1LT1G")</f>
        <v>BZX84B9V1LT1G</v>
      </c>
      <c r="B25352" s="3" t="str">
        <f>HYPERLINK("https://www.773grp.com/manufacturer/onsemi?pageNo=480", "ON Semiconductor")</f>
        <v>ON Semiconductor</v>
      </c>
      <c r="C25352" s="6">
        <v>22775</v>
      </c>
      <c r="D25352" s="7">
        <v>0.23</v>
      </c>
      <c r="E25352" t="s">
        <v>98</v>
      </c>
    </row>
    <row r="25353" spans="1:5" x14ac:dyDescent="0.25">
      <c r="A25353" t="str">
        <f>HYPERLINK("https://www.773grp.com/globalSearch/BZX84C11ET1G/page-1", "BZX84C11ET1G")</f>
        <v>BZX84C11ET1G</v>
      </c>
      <c r="B25353" s="3" t="str">
        <f>HYPERLINK("https://www.773grp.com/manufacturer/onsemi?pageNo=481", "ON Semiconductor")</f>
        <v>ON Semiconductor</v>
      </c>
      <c r="C25353" s="6">
        <v>12000</v>
      </c>
      <c r="D25353" s="7">
        <v>0.23</v>
      </c>
      <c r="E25353" t="s">
        <v>98</v>
      </c>
    </row>
    <row r="25354" spans="1:5" x14ac:dyDescent="0.25">
      <c r="A25354" t="str">
        <f>HYPERLINK("https://www.773grp.com/globalSearch/BZX84C15LT3/page-1", "BZX84C15LT3")</f>
        <v>BZX84C15LT3</v>
      </c>
      <c r="B25354" s="3" t="str">
        <f>HYPERLINK("https://www.773grp.com/manufacturer/onsemi?pageNo=482", "ON Semiconductor")</f>
        <v>ON Semiconductor</v>
      </c>
      <c r="C25354" s="6">
        <v>90000</v>
      </c>
      <c r="D25354" s="7">
        <v>0.23</v>
      </c>
      <c r="E25354" t="s">
        <v>98</v>
      </c>
    </row>
    <row r="25355" spans="1:5" x14ac:dyDescent="0.25">
      <c r="A25355" t="str">
        <f>HYPERLINK("https://www.773grp.com/globalSearch/BZX84C24LT3G/page-1", "BZX84C24LT3G")</f>
        <v>BZX84C24LT3G</v>
      </c>
      <c r="B25355" s="3" t="str">
        <f>HYPERLINK("https://www.773grp.com/manufacturer/onsemi?pageNo=483", "ON Semiconductor")</f>
        <v>ON Semiconductor</v>
      </c>
      <c r="C25355" s="6">
        <v>58824</v>
      </c>
      <c r="D25355" s="7">
        <v>0.23</v>
      </c>
      <c r="E25355" t="s">
        <v>98</v>
      </c>
    </row>
    <row r="25356" spans="1:5" x14ac:dyDescent="0.25">
      <c r="A25356" t="str">
        <f>HYPERLINK("https://www.773grp.com/globalSearch/BZX84C27LT3G/page-1", "BZX84C27LT3G")</f>
        <v>BZX84C27LT3G</v>
      </c>
      <c r="B25356" s="3" t="str">
        <f>HYPERLINK("https://www.773grp.com/manufacturer/onsemi?pageNo=484", "ON Semiconductor")</f>
        <v>ON Semiconductor</v>
      </c>
      <c r="C25356" s="6">
        <v>260000</v>
      </c>
      <c r="D25356" s="7">
        <v>0.23</v>
      </c>
      <c r="E25356" t="s">
        <v>98</v>
      </c>
    </row>
    <row r="25357" spans="1:5" x14ac:dyDescent="0.25">
      <c r="A25357" t="str">
        <f>HYPERLINK("https://www.773grp.com/globalSearch/BZX84C5V6LT1/page-1", "BZX84C5V6LT1")</f>
        <v>BZX84C5V6LT1</v>
      </c>
      <c r="B25357" s="3" t="str">
        <f>HYPERLINK("https://www.773grp.com/manufacturer/onsemi?pageNo=485", "ON Semiconductor")</f>
        <v>ON Semiconductor</v>
      </c>
      <c r="C25357" s="6">
        <v>153000</v>
      </c>
      <c r="D25357" s="7">
        <v>0.23</v>
      </c>
      <c r="E25357" t="s">
        <v>98</v>
      </c>
    </row>
    <row r="25358" spans="1:5" x14ac:dyDescent="0.25">
      <c r="A25358" t="str">
        <f>HYPERLINK("https://www.773grp.com/globalSearch/BZX84C8V2LT3G/page-1", "BZX84C8V2LT3G")</f>
        <v>BZX84C8V2LT3G</v>
      </c>
      <c r="B25358" s="3" t="str">
        <f>HYPERLINK("https://www.773grp.com/manufacturer/onsemi?pageNo=486", "ON Semiconductor")</f>
        <v>ON Semiconductor</v>
      </c>
      <c r="C25358" s="6">
        <v>80000</v>
      </c>
      <c r="D25358" s="7">
        <v>0.23</v>
      </c>
    </row>
    <row r="25359" spans="1:5" x14ac:dyDescent="0.25">
      <c r="A25359" t="str">
        <f>HYPERLINK("https://www.773grp.com/globalSearch/DA121TT1/page-1", "DA121TT1")</f>
        <v>DA121TT1</v>
      </c>
      <c r="B25359" s="3" t="str">
        <f>HYPERLINK("https://www.773grp.com/manufacturer/onsemi?pageNo=487", "ON Semiconductor")</f>
        <v>ON Semiconductor</v>
      </c>
      <c r="C25359" s="6">
        <v>3000</v>
      </c>
      <c r="D25359" s="7">
        <v>0.23</v>
      </c>
      <c r="E25359" t="s">
        <v>94</v>
      </c>
    </row>
    <row r="25360" spans="1:5" x14ac:dyDescent="0.25">
      <c r="A25360" t="str">
        <f>HYPERLINK("https://www.773grp.com/globalSearch/DAN222T1/page-1", "DAN222T1")</f>
        <v>DAN222T1</v>
      </c>
      <c r="B25360" s="3" t="str">
        <f>HYPERLINK("https://www.773grp.com/manufacturer/onsemi?pageNo=488", "ON Semiconductor")</f>
        <v>ON Semiconductor</v>
      </c>
      <c r="C25360" s="6">
        <v>855000</v>
      </c>
      <c r="D25360" s="7">
        <v>0.23</v>
      </c>
      <c r="E25360" t="s">
        <v>94</v>
      </c>
    </row>
    <row r="25361" spans="1:5" x14ac:dyDescent="0.25">
      <c r="A25361" t="str">
        <f>HYPERLINK("https://www.773grp.com/globalSearch/DAP222/page-1", "DAP222")</f>
        <v>DAP222</v>
      </c>
      <c r="B25361" s="3" t="str">
        <f>HYPERLINK("https://www.773grp.com/manufacturer/onsemi?pageNo=489", "ON Semiconductor")</f>
        <v>ON Semiconductor</v>
      </c>
      <c r="C25361" s="6">
        <v>1551000</v>
      </c>
      <c r="D25361" s="7">
        <v>0.23</v>
      </c>
      <c r="E25361" t="s">
        <v>94</v>
      </c>
    </row>
    <row r="25362" spans="1:5" x14ac:dyDescent="0.25">
      <c r="A25362" t="str">
        <f>HYPERLINK("https://www.773grp.com/globalSearch/DAP222T1/page-1", "DAP222T1")</f>
        <v>DAP222T1</v>
      </c>
      <c r="B25362" s="3" t="str">
        <f>HYPERLINK("https://www.773grp.com/manufacturer/onsemi?pageNo=490", "ON Semiconductor")</f>
        <v>ON Semiconductor</v>
      </c>
      <c r="C25362" s="6">
        <v>1415981</v>
      </c>
      <c r="D25362" s="7">
        <v>0.23</v>
      </c>
      <c r="E25362" t="s">
        <v>94</v>
      </c>
    </row>
    <row r="25363" spans="1:5" x14ac:dyDescent="0.25">
      <c r="A25363" t="str">
        <f>HYPERLINK("https://www.773grp.com/globalSearch/DF3A6.8FUT1/page-1", "DF3A6.8FUT1")</f>
        <v>DF3A6.8FUT1</v>
      </c>
      <c r="B25363" s="3" t="str">
        <f>HYPERLINK("https://www.773grp.com/manufacturer/onsemi?pageNo=491", "ON Semiconductor")</f>
        <v>ON Semiconductor</v>
      </c>
      <c r="C25363" s="6">
        <v>3000</v>
      </c>
      <c r="D25363" s="7">
        <v>0.23</v>
      </c>
      <c r="E25363" t="s">
        <v>96</v>
      </c>
    </row>
    <row r="25364" spans="1:5" x14ac:dyDescent="0.25">
      <c r="A25364" t="str">
        <f>HYPERLINK("https://www.773grp.com/globalSearch/DTA144TXV3T1/page-1", "DTA144TXV3T1")</f>
        <v>DTA144TXV3T1</v>
      </c>
      <c r="B25364" s="3" t="str">
        <f>HYPERLINK("https://www.773grp.com/manufacturer/onsemi?pageNo=492", "ON Semiconductor")</f>
        <v>ON Semiconductor</v>
      </c>
      <c r="C25364" s="6">
        <v>96000</v>
      </c>
      <c r="D25364" s="7">
        <v>0.23</v>
      </c>
      <c r="E25364" t="s">
        <v>69</v>
      </c>
    </row>
    <row r="25365" spans="1:5" x14ac:dyDescent="0.25">
      <c r="A25365" t="str">
        <f>HYPERLINK("https://www.773grp.com/globalSearch/DTA144WXV3T1/page-1", "DTA144WXV3T1")</f>
        <v>DTA144WXV3T1</v>
      </c>
      <c r="B25365" s="3" t="str">
        <f>HYPERLINK("https://www.773grp.com/manufacturer/onsemi?pageNo=493", "ON Semiconductor")</f>
        <v>ON Semiconductor</v>
      </c>
      <c r="C25365" s="6">
        <v>36000</v>
      </c>
      <c r="D25365" s="7">
        <v>0.23</v>
      </c>
      <c r="E25365" t="s">
        <v>69</v>
      </c>
    </row>
    <row r="25366" spans="1:5" x14ac:dyDescent="0.25">
      <c r="A25366" t="str">
        <f>HYPERLINK("https://www.773grp.com/globalSearch/DTC114EXV3T1/page-1", "DTC114EXV3T1")</f>
        <v>DTC114EXV3T1</v>
      </c>
      <c r="B25366" s="3" t="str">
        <f>HYPERLINK("https://www.773grp.com/manufacturer/onsemi?pageNo=494", "ON Semiconductor")</f>
        <v>ON Semiconductor</v>
      </c>
      <c r="C25366" s="6">
        <v>99000</v>
      </c>
      <c r="D25366" s="7">
        <v>0.23</v>
      </c>
      <c r="E25366" t="s">
        <v>69</v>
      </c>
    </row>
    <row r="25367" spans="1:5" x14ac:dyDescent="0.25">
      <c r="A25367" t="str">
        <f>HYPERLINK("https://www.773grp.com/globalSearch/DTC114YRLRM/page-1", "DTC114YRLRM")</f>
        <v>DTC114YRLRM</v>
      </c>
      <c r="B25367" s="3" t="str">
        <f>HYPERLINK("https://www.773grp.com/manufacturer/onsemi?pageNo=495", "ON Semiconductor")</f>
        <v>ON Semiconductor</v>
      </c>
      <c r="C25367" s="6">
        <v>4000</v>
      </c>
      <c r="D25367" s="7">
        <v>0.23</v>
      </c>
      <c r="E25367" t="s">
        <v>69</v>
      </c>
    </row>
    <row r="25368" spans="1:5" x14ac:dyDescent="0.25">
      <c r="A25368" t="str">
        <f>HYPERLINK("https://www.773grp.com/globalSearch/DTC143TM3T5/page-1", "DTC143TM3T5")</f>
        <v>DTC143TM3T5</v>
      </c>
      <c r="B25368" s="3" t="str">
        <f>HYPERLINK("https://www.773grp.com/manufacturer/onsemi?pageNo=496", "ON Semiconductor")</f>
        <v>ON Semiconductor</v>
      </c>
      <c r="C25368" s="6">
        <v>8000</v>
      </c>
      <c r="D25368" s="7">
        <v>0.23</v>
      </c>
    </row>
    <row r="25369" spans="1:5" x14ac:dyDescent="0.25">
      <c r="A25369" t="str">
        <f>HYPERLINK("https://www.773grp.com/globalSearch/DTC143TM3T5H/page-1", "DTC143TM3T5H")</f>
        <v>DTC143TM3T5H</v>
      </c>
      <c r="B25369" s="3" t="str">
        <f>HYPERLINK("https://www.773grp.com/manufacturer/onsemi?pageNo=497", "ON Semiconductor")</f>
        <v>ON Semiconductor</v>
      </c>
      <c r="C25369" s="6">
        <v>8000</v>
      </c>
      <c r="D25369" s="7">
        <v>0.23</v>
      </c>
    </row>
    <row r="25370" spans="1:5" x14ac:dyDescent="0.25">
      <c r="A25370" t="str">
        <f>HYPERLINK("https://www.773grp.com/globalSearch/EMF18XV6T5/page-1", "EMF18XV6T5")</f>
        <v>EMF18XV6T5</v>
      </c>
      <c r="B25370" s="3" t="str">
        <f>HYPERLINK("https://www.773grp.com/manufacturer/onsemi?pageNo=498", "ON Semiconductor")</f>
        <v>ON Semiconductor</v>
      </c>
      <c r="C25370" s="6">
        <v>88000</v>
      </c>
      <c r="D25370" s="7">
        <v>0.23</v>
      </c>
      <c r="E25370" t="s">
        <v>69</v>
      </c>
    </row>
    <row r="25371" spans="1:5" x14ac:dyDescent="0.25">
      <c r="A25371" t="str">
        <f>HYPERLINK("https://www.773grp.com/globalSearch/EMF23XV6T5/page-1", "EMF23XV6T5")</f>
        <v>EMF23XV6T5</v>
      </c>
      <c r="B25371" s="3" t="str">
        <f>HYPERLINK("https://www.773grp.com/manufacturer/onsemi?pageNo=499", "ON Semiconductor")</f>
        <v>ON Semiconductor</v>
      </c>
      <c r="C25371" s="6">
        <v>96000</v>
      </c>
      <c r="D25371" s="7">
        <v>0.23</v>
      </c>
      <c r="E25371" t="s">
        <v>69</v>
      </c>
    </row>
    <row r="25372" spans="1:5" x14ac:dyDescent="0.25">
      <c r="A25372" t="str">
        <f>HYPERLINK("https://www.773grp.com/globalSearch/EMF5XV6T5/page-1", "EMF5XV6T5")</f>
        <v>EMF5XV6T5</v>
      </c>
      <c r="B25372" s="3" t="str">
        <f>HYPERLINK("https://www.773grp.com/manufacturer/onsemi?pageNo=500", "ON Semiconductor")</f>
        <v>ON Semiconductor</v>
      </c>
      <c r="C25372" s="6">
        <v>1048000</v>
      </c>
      <c r="D25372" s="7">
        <v>0.23</v>
      </c>
      <c r="E25372" t="s">
        <v>69</v>
      </c>
    </row>
    <row r="25373" spans="1:5" x14ac:dyDescent="0.25">
      <c r="A25373" t="str">
        <f>HYPERLINK("https://www.773grp.com/globalSearch/ESD5Z12T1G/page-1", "ESD5Z12T1G")</f>
        <v>ESD5Z12T1G</v>
      </c>
      <c r="B25373" s="3" t="str">
        <f>HYPERLINK("https://www.773grp.com/manufacturer/onsemi?pageNo=501", "ON Semiconductor")</f>
        <v>ON Semiconductor</v>
      </c>
      <c r="C25373" s="6">
        <v>550873</v>
      </c>
      <c r="D25373" s="7">
        <v>0.23</v>
      </c>
      <c r="E25373" t="s">
        <v>96</v>
      </c>
    </row>
    <row r="25374" spans="1:5" x14ac:dyDescent="0.25">
      <c r="A25374" t="str">
        <f>HYPERLINK("https://www.773grp.com/globalSearch/ESD5Z2.5T1G/page-1", "ESD5Z2.5T1G")</f>
        <v>ESD5Z2.5T1G</v>
      </c>
      <c r="B25374" s="3" t="str">
        <f>HYPERLINK("https://www.773grp.com/manufacturer/onsemi?pageNo=502", "ON Semiconductor")</f>
        <v>ON Semiconductor</v>
      </c>
      <c r="C25374" s="6">
        <v>194910</v>
      </c>
      <c r="D25374" s="7">
        <v>0.23</v>
      </c>
      <c r="E25374" t="s">
        <v>96</v>
      </c>
    </row>
    <row r="25375" spans="1:5" x14ac:dyDescent="0.25">
      <c r="A25375" t="str">
        <f>HYPERLINK("https://www.773grp.com/globalSearch/ESD5Z3.3T1G/page-1", "ESD5Z3.3T1G")</f>
        <v>ESD5Z3.3T1G</v>
      </c>
      <c r="B25375" s="3" t="str">
        <f>HYPERLINK("https://www.773grp.com/manufacturer/onsemi?pageNo=503", "ON Semiconductor")</f>
        <v>ON Semiconductor</v>
      </c>
      <c r="C25375" s="6">
        <v>88000</v>
      </c>
      <c r="D25375" s="7">
        <v>0.23</v>
      </c>
      <c r="E25375" t="s">
        <v>96</v>
      </c>
    </row>
    <row r="25376" spans="1:5" x14ac:dyDescent="0.25">
      <c r="A25376" t="str">
        <f>HYPERLINK("https://www.773grp.com/globalSearch/ESD5Z5.0T1G/page-1", "ESD5Z5.0T1G")</f>
        <v>ESD5Z5.0T1G</v>
      </c>
      <c r="B25376" s="3" t="str">
        <f>HYPERLINK("https://www.773grp.com/manufacturer/onsemi?pageNo=504", "ON Semiconductor")</f>
        <v>ON Semiconductor</v>
      </c>
      <c r="C25376" s="6">
        <v>1650000</v>
      </c>
      <c r="D25376" s="7">
        <v>0.23</v>
      </c>
      <c r="E25376" t="s">
        <v>96</v>
      </c>
    </row>
    <row r="25377" spans="1:5" x14ac:dyDescent="0.25">
      <c r="A25377" t="str">
        <f>HYPERLINK("https://www.773grp.com/globalSearch/ESD5Z6.0T1G/page-1", "ESD5Z6.0T1G")</f>
        <v>ESD5Z6.0T1G</v>
      </c>
      <c r="B25377" s="3" t="str">
        <f>HYPERLINK("https://www.773grp.com/manufacturer/onsemi?pageNo=505", "ON Semiconductor")</f>
        <v>ON Semiconductor</v>
      </c>
      <c r="C25377" s="6">
        <v>36000</v>
      </c>
      <c r="D25377" s="7">
        <v>0.23</v>
      </c>
      <c r="E25377" t="s">
        <v>96</v>
      </c>
    </row>
    <row r="25378" spans="1:5" x14ac:dyDescent="0.25">
      <c r="A25378" t="str">
        <f>HYPERLINK("https://www.773grp.com/globalSearch/ESD9B3.3ST5G/page-1", "ESD9B3.3ST5G")</f>
        <v>ESD9B3.3ST5G</v>
      </c>
      <c r="B25378" s="3" t="str">
        <f>HYPERLINK("https://www.773grp.com/manufacturer/onsemi?pageNo=506", "ON Semiconductor")</f>
        <v>ON Semiconductor</v>
      </c>
      <c r="C25378" s="6">
        <v>792000</v>
      </c>
      <c r="D25378" s="7">
        <v>0.23</v>
      </c>
      <c r="E25378" t="s">
        <v>96</v>
      </c>
    </row>
    <row r="25379" spans="1:5" x14ac:dyDescent="0.25">
      <c r="A25379" t="str">
        <f>HYPERLINK("https://www.773grp.com/globalSearch/ESD9P5.0ST5G/page-1", "ESD9P5.0ST5G")</f>
        <v>ESD9P5.0ST5G</v>
      </c>
      <c r="B25379" s="3" t="str">
        <f>HYPERLINK("https://www.773grp.com/manufacturer/onsemi?pageNo=507", "ON Semiconductor")</f>
        <v>ON Semiconductor</v>
      </c>
      <c r="C25379" s="6">
        <v>23353</v>
      </c>
      <c r="D25379" s="7">
        <v>0.23</v>
      </c>
      <c r="E25379" t="s">
        <v>96</v>
      </c>
    </row>
    <row r="25380" spans="1:5" x14ac:dyDescent="0.25">
      <c r="A25380" t="str">
        <f>HYPERLINK("https://www.773grp.com/globalSearch/ESD9X5.0ST5G/page-1", "ESD9X5.0ST5G")</f>
        <v>ESD9X5.0ST5G</v>
      </c>
      <c r="B25380" s="3" t="str">
        <f>HYPERLINK("https://www.773grp.com/manufacturer/onsemi?pageNo=508", "ON Semiconductor")</f>
        <v>ON Semiconductor</v>
      </c>
      <c r="C25380" s="6">
        <v>1412869</v>
      </c>
      <c r="D25380" s="7">
        <v>0.23</v>
      </c>
      <c r="E25380" t="s">
        <v>96</v>
      </c>
    </row>
    <row r="25381" spans="1:5" x14ac:dyDescent="0.25">
      <c r="A25381" t="str">
        <f>HYPERLINK("https://www.773grp.com/globalSearch/J111RLRP/page-1", "J111RLRP")</f>
        <v>J111RLRP</v>
      </c>
      <c r="B25381" s="3" t="str">
        <f>HYPERLINK("https://www.773grp.com/manufacturer/onsemi?pageNo=509", "ON Semiconductor")</f>
        <v>ON Semiconductor</v>
      </c>
      <c r="C25381" s="6">
        <v>127000</v>
      </c>
      <c r="D25381" s="7">
        <v>0.23</v>
      </c>
      <c r="E25381" t="s">
        <v>106</v>
      </c>
    </row>
    <row r="25382" spans="1:5" x14ac:dyDescent="0.25">
      <c r="A25382" t="str">
        <f>HYPERLINK("https://www.773grp.com/globalSearch/M1MA151WKT1/page-1", "M1MA151WKT1")</f>
        <v>M1MA151WKT1</v>
      </c>
      <c r="B25382" s="3" t="str">
        <f>HYPERLINK("https://www.773grp.com/manufacturer/onsemi?pageNo=510", "ON Semiconductor")</f>
        <v>ON Semiconductor</v>
      </c>
      <c r="C25382" s="6">
        <v>129000</v>
      </c>
      <c r="D25382" s="7">
        <v>0.23</v>
      </c>
    </row>
    <row r="25383" spans="1:5" x14ac:dyDescent="0.25">
      <c r="A25383" t="str">
        <f>HYPERLINK("https://www.773grp.com/globalSearch/M1MA152WAT1G/page-1", "M1MA152WAT1G")</f>
        <v>M1MA152WAT1G</v>
      </c>
      <c r="B25383" s="3" t="str">
        <f>HYPERLINK("https://www.773grp.com/manufacturer/onsemi?pageNo=511", "ON Semiconductor")</f>
        <v>ON Semiconductor</v>
      </c>
      <c r="C25383" s="6">
        <v>434450</v>
      </c>
      <c r="D25383" s="7">
        <v>0.23</v>
      </c>
      <c r="E25383" t="s">
        <v>94</v>
      </c>
    </row>
    <row r="25384" spans="1:5" x14ac:dyDescent="0.25">
      <c r="A25384" t="str">
        <f>HYPERLINK("https://www.773grp.com/globalSearch/M1MA152WKT1G/page-1", "M1MA152WKT1G")</f>
        <v>M1MA152WKT1G</v>
      </c>
      <c r="B25384" s="3" t="str">
        <f>HYPERLINK("https://www.773grp.com/manufacturer/onsemi?pageNo=512", "ON Semiconductor")</f>
        <v>ON Semiconductor</v>
      </c>
      <c r="C25384" s="6">
        <v>508970</v>
      </c>
      <c r="D25384" s="7">
        <v>0.23</v>
      </c>
      <c r="E25384" t="s">
        <v>94</v>
      </c>
    </row>
    <row r="25385" spans="1:5" x14ac:dyDescent="0.25">
      <c r="A25385" t="str">
        <f>HYPERLINK("https://www.773grp.com/globalSearch/MBD301G/page-1", "MBD301G")</f>
        <v>MBD301G</v>
      </c>
      <c r="B25385" s="3" t="str">
        <f>HYPERLINK("https://www.773grp.com/manufacturer/onsemi?pageNo=513", "ON Semiconductor")</f>
        <v>ON Semiconductor</v>
      </c>
      <c r="C25385" s="6">
        <v>79228</v>
      </c>
      <c r="D25385" s="7">
        <v>0.23</v>
      </c>
      <c r="E25385" t="s">
        <v>108</v>
      </c>
    </row>
    <row r="25386" spans="1:5" x14ac:dyDescent="0.25">
      <c r="A25386" t="str">
        <f>HYPERLINK("https://www.773grp.com/globalSearch/MBD330DWT1G/page-1", "MBD330DWT1G")</f>
        <v>MBD330DWT1G</v>
      </c>
      <c r="B25386" s="3" t="str">
        <f>HYPERLINK("https://www.773grp.com/manufacturer/onsemi?pageNo=514", "ON Semiconductor")</f>
        <v>ON Semiconductor</v>
      </c>
      <c r="C25386" s="6">
        <v>24000</v>
      </c>
      <c r="D25386" s="7">
        <v>0.23</v>
      </c>
      <c r="E25386" t="s">
        <v>108</v>
      </c>
    </row>
    <row r="25387" spans="1:5" x14ac:dyDescent="0.25">
      <c r="A25387" t="str">
        <f>HYPERLINK("https://www.773grp.com/globalSearch/MBD770DWT1G/page-1", "MBD770DWT1G")</f>
        <v>MBD770DWT1G</v>
      </c>
      <c r="B25387" s="3" t="str">
        <f>HYPERLINK("https://www.773grp.com/manufacturer/onsemi?pageNo=515", "ON Semiconductor")</f>
        <v>ON Semiconductor</v>
      </c>
      <c r="C25387" s="6">
        <v>429915</v>
      </c>
      <c r="D25387" s="7">
        <v>0.23</v>
      </c>
      <c r="E25387" t="s">
        <v>108</v>
      </c>
    </row>
    <row r="25388" spans="1:5" x14ac:dyDescent="0.25">
      <c r="A25388" t="str">
        <f>HYPERLINK("https://www.773grp.com/globalSearch/MBR160/page-1", "MBR160")</f>
        <v>MBR160</v>
      </c>
      <c r="B25388" s="3" t="str">
        <f>HYPERLINK("https://www.773grp.com/manufacturer/onsemi?pageNo=516", "ON Semiconductor")</f>
        <v>ON Semiconductor</v>
      </c>
      <c r="C25388" s="6">
        <v>5010</v>
      </c>
      <c r="D25388" s="7">
        <v>0.23</v>
      </c>
      <c r="E25388" t="s">
        <v>94</v>
      </c>
    </row>
    <row r="25389" spans="1:5" x14ac:dyDescent="0.25">
      <c r="A25389" t="str">
        <f>HYPERLINK("https://www.773grp.com/globalSearch/MBRA120ET3/page-1", "MBRA120ET3")</f>
        <v>MBRA120ET3</v>
      </c>
      <c r="B25389" s="3" t="str">
        <f>HYPERLINK("https://www.773grp.com/manufacturer/onsemi?pageNo=517", "ON Semiconductor")</f>
        <v>ON Semiconductor</v>
      </c>
      <c r="C25389" s="6">
        <v>4055</v>
      </c>
      <c r="D25389" s="7">
        <v>0.23</v>
      </c>
      <c r="E25389" t="s">
        <v>94</v>
      </c>
    </row>
    <row r="25390" spans="1:5" x14ac:dyDescent="0.25">
      <c r="A25390" t="str">
        <f>HYPERLINK("https://www.773grp.com/globalSearch/MBT2222ADW1T1G/page-1", "MBT2222ADW1T1G")</f>
        <v>MBT2222ADW1T1G</v>
      </c>
      <c r="B25390" s="3" t="str">
        <f>HYPERLINK("https://www.773grp.com/manufacturer/onsemi?pageNo=518", "ON Semiconductor")</f>
        <v>ON Semiconductor</v>
      </c>
      <c r="C25390" s="6">
        <v>978000</v>
      </c>
      <c r="D25390" s="7">
        <v>0.23</v>
      </c>
      <c r="E25390" t="s">
        <v>69</v>
      </c>
    </row>
    <row r="25391" spans="1:5" x14ac:dyDescent="0.25">
      <c r="A25391" t="str">
        <f>HYPERLINK("https://www.773grp.com/globalSearch/MBT3904DW1T1G/page-1", "MBT3904DW1T1G")</f>
        <v>MBT3904DW1T1G</v>
      </c>
      <c r="B25391" s="3" t="str">
        <f>HYPERLINK("https://www.773grp.com/manufacturer/onsemi?pageNo=519", "ON Semiconductor")</f>
        <v>ON Semiconductor</v>
      </c>
      <c r="C25391" s="6">
        <v>87631</v>
      </c>
      <c r="D25391" s="7">
        <v>0.23</v>
      </c>
      <c r="E25391" t="s">
        <v>69</v>
      </c>
    </row>
    <row r="25392" spans="1:5" x14ac:dyDescent="0.25">
      <c r="A25392" t="str">
        <f>HYPERLINK("https://www.773grp.com/globalSearch/MBT3906DW1T1G/page-1", "MBT3906DW1T1G")</f>
        <v>MBT3906DW1T1G</v>
      </c>
      <c r="B25392" s="3" t="str">
        <f>HYPERLINK("https://www.773grp.com/manufacturer/onsemi?pageNo=520", "ON Semiconductor")</f>
        <v>ON Semiconductor</v>
      </c>
      <c r="C25392" s="6">
        <v>498000</v>
      </c>
      <c r="D25392" s="7">
        <v>0.23</v>
      </c>
      <c r="E25392" t="s">
        <v>69</v>
      </c>
    </row>
    <row r="25393" spans="1:5" x14ac:dyDescent="0.25">
      <c r="A25393" t="str">
        <f>HYPERLINK("https://www.773grp.com/globalSearch/MBT3946DW1T1G/page-1", "MBT3946DW1T1G")</f>
        <v>MBT3946DW1T1G</v>
      </c>
      <c r="B25393" s="3" t="str">
        <f>HYPERLINK("https://www.773grp.com/manufacturer/onsemi?pageNo=521", "ON Semiconductor")</f>
        <v>ON Semiconductor</v>
      </c>
      <c r="C25393" s="6">
        <v>6000</v>
      </c>
      <c r="D25393" s="7">
        <v>0.23</v>
      </c>
      <c r="E25393" t="s">
        <v>69</v>
      </c>
    </row>
    <row r="25394" spans="1:5" x14ac:dyDescent="0.25">
      <c r="A25394" t="str">
        <f>HYPERLINK("https://www.773grp.com/globalSearch/MBT3946DW1T2G/page-1", "MBT3946DW1T2G")</f>
        <v>MBT3946DW1T2G</v>
      </c>
      <c r="B25394" s="3" t="str">
        <f>HYPERLINK("https://www.773grp.com/manufacturer/onsemi?pageNo=522", "ON Semiconductor")</f>
        <v>ON Semiconductor</v>
      </c>
      <c r="C25394" s="6">
        <v>2658955</v>
      </c>
      <c r="D25394" s="7">
        <v>0.23</v>
      </c>
      <c r="E25394" t="s">
        <v>69</v>
      </c>
    </row>
    <row r="25395" spans="1:5" x14ac:dyDescent="0.25">
      <c r="A25395" t="str">
        <f>HYPERLINK("https://www.773grp.com/globalSearch/MBT6429DW1T1G/page-1", "MBT6429DW1T1G")</f>
        <v>MBT6429DW1T1G</v>
      </c>
      <c r="B25395" s="3" t="str">
        <f>HYPERLINK("https://www.773grp.com/manufacturer/onsemi?pageNo=523", "ON Semiconductor")</f>
        <v>ON Semiconductor</v>
      </c>
      <c r="C25395" s="6">
        <v>302082</v>
      </c>
      <c r="D25395" s="7">
        <v>0.23</v>
      </c>
      <c r="E25395" t="s">
        <v>69</v>
      </c>
    </row>
    <row r="25396" spans="1:5" x14ac:dyDescent="0.25">
      <c r="A25396" t="str">
        <f>HYPERLINK("https://www.773grp.com/globalSearch/MC74HC1G00DFT2/page-1", "MC74HC1G00DFT2")</f>
        <v>MC74HC1G00DFT2</v>
      </c>
      <c r="B25396" s="3" t="str">
        <f>HYPERLINK("https://www.773grp.com/manufacturer/onsemi?pageNo=524", "ON Semiconductor")</f>
        <v>ON Semiconductor</v>
      </c>
      <c r="C25396" s="6">
        <v>6000</v>
      </c>
      <c r="D25396" s="7">
        <v>0.23</v>
      </c>
      <c r="E25396" t="s">
        <v>31</v>
      </c>
    </row>
    <row r="25397" spans="1:5" x14ac:dyDescent="0.25">
      <c r="A25397" t="str">
        <f>HYPERLINK("https://www.773grp.com/globalSearch/MC74HC1G00DTT1/page-1", "MC74HC1G00DTT1")</f>
        <v>MC74HC1G00DTT1</v>
      </c>
      <c r="B25397" s="3" t="str">
        <f>HYPERLINK("https://www.773grp.com/manufacturer/onsemi?pageNo=525", "ON Semiconductor")</f>
        <v>ON Semiconductor</v>
      </c>
      <c r="C25397" s="6">
        <v>5970</v>
      </c>
      <c r="D25397" s="7">
        <v>0.23</v>
      </c>
      <c r="E25397" t="s">
        <v>31</v>
      </c>
    </row>
    <row r="25398" spans="1:5" x14ac:dyDescent="0.25">
      <c r="A25398" t="str">
        <f>HYPERLINK("https://www.773grp.com/globalSearch/MC74HC1G02DFT2/page-1", "MC74HC1G02DFT2")</f>
        <v>MC74HC1G02DFT2</v>
      </c>
      <c r="B25398" s="3" t="str">
        <f>HYPERLINK("https://www.773grp.com/manufacturer/onsemi?pageNo=526", "ON Semiconductor")</f>
        <v>ON Semiconductor</v>
      </c>
      <c r="C25398" s="6">
        <v>15000</v>
      </c>
      <c r="D25398" s="7">
        <v>0.23</v>
      </c>
      <c r="E25398" t="s">
        <v>31</v>
      </c>
    </row>
    <row r="25399" spans="1:5" x14ac:dyDescent="0.25">
      <c r="A25399" t="str">
        <f>HYPERLINK("https://www.773grp.com/globalSearch/MC74HC1G02DTT1/page-1", "MC74HC1G02DTT1")</f>
        <v>MC74HC1G02DTT1</v>
      </c>
      <c r="B25399" s="3" t="str">
        <f>HYPERLINK("https://www.773grp.com/manufacturer/onsemi?pageNo=527", "ON Semiconductor")</f>
        <v>ON Semiconductor</v>
      </c>
      <c r="C25399" s="6">
        <v>2955</v>
      </c>
      <c r="D25399" s="7">
        <v>0.23</v>
      </c>
      <c r="E25399" t="s">
        <v>31</v>
      </c>
    </row>
    <row r="25400" spans="1:5" x14ac:dyDescent="0.25">
      <c r="A25400" t="str">
        <f>HYPERLINK("https://www.773grp.com/globalSearch/MC74HC1G04DFT1/page-1", "MC74HC1G04DFT1")</f>
        <v>MC74HC1G04DFT1</v>
      </c>
      <c r="B25400" s="3" t="str">
        <f>HYPERLINK("https://www.773grp.com/manufacturer/onsemi?pageNo=528", "ON Semiconductor")</f>
        <v>ON Semiconductor</v>
      </c>
      <c r="C25400" s="6">
        <v>92530</v>
      </c>
      <c r="D25400" s="7">
        <v>0.23</v>
      </c>
      <c r="E25400" t="s">
        <v>31</v>
      </c>
    </row>
    <row r="25401" spans="1:5" x14ac:dyDescent="0.25">
      <c r="A25401" t="str">
        <f>HYPERLINK("https://www.773grp.com/globalSearch/MC74HC1G04DFT2/page-1", "MC74HC1G04DFT2")</f>
        <v>MC74HC1G04DFT2</v>
      </c>
      <c r="B25401" s="3" t="str">
        <f>HYPERLINK("https://www.773grp.com/manufacturer/onsemi?pageNo=529", "ON Semiconductor")</f>
        <v>ON Semiconductor</v>
      </c>
      <c r="C25401" s="6">
        <v>291000</v>
      </c>
      <c r="D25401" s="7">
        <v>0.23</v>
      </c>
      <c r="E25401" t="s">
        <v>31</v>
      </c>
    </row>
    <row r="25402" spans="1:5" x14ac:dyDescent="0.25">
      <c r="A25402" t="str">
        <f>HYPERLINK("https://www.773grp.com/globalSearch/MC74HC1G08DFT1/page-1", "MC74HC1G08DFT1")</f>
        <v>MC74HC1G08DFT1</v>
      </c>
      <c r="B25402" s="3" t="str">
        <f>HYPERLINK("https://www.773grp.com/manufacturer/onsemi?pageNo=530", "ON Semiconductor")</f>
        <v>ON Semiconductor</v>
      </c>
      <c r="C25402" s="6">
        <v>120000</v>
      </c>
      <c r="D25402" s="7">
        <v>0.23</v>
      </c>
      <c r="E25402" t="s">
        <v>31</v>
      </c>
    </row>
    <row r="25403" spans="1:5" x14ac:dyDescent="0.25">
      <c r="A25403" t="str">
        <f>HYPERLINK("https://www.773grp.com/globalSearch/MC74HC1G08DFT2/page-1", "MC74HC1G08DFT2")</f>
        <v>MC74HC1G08DFT2</v>
      </c>
      <c r="B25403" s="3" t="str">
        <f>HYPERLINK("https://www.773grp.com/manufacturer/onsemi?pageNo=531", "ON Semiconductor")</f>
        <v>ON Semiconductor</v>
      </c>
      <c r="C25403" s="6">
        <v>137234</v>
      </c>
      <c r="D25403" s="7">
        <v>0.23</v>
      </c>
      <c r="E25403" t="s">
        <v>31</v>
      </c>
    </row>
    <row r="25404" spans="1:5" x14ac:dyDescent="0.25">
      <c r="A25404" t="str">
        <f>HYPERLINK("https://www.773grp.com/globalSearch/MC74HC1G14DFT1/page-1", "MC74HC1G14DFT1")</f>
        <v>MC74HC1G14DFT1</v>
      </c>
      <c r="B25404" s="3" t="str">
        <f>HYPERLINK("https://www.773grp.com/manufacturer/onsemi?pageNo=532", "ON Semiconductor")</f>
        <v>ON Semiconductor</v>
      </c>
      <c r="C25404" s="6">
        <v>26320</v>
      </c>
      <c r="D25404" s="7">
        <v>0.23</v>
      </c>
      <c r="E25404" t="s">
        <v>31</v>
      </c>
    </row>
    <row r="25405" spans="1:5" x14ac:dyDescent="0.25">
      <c r="A25405" t="str">
        <f>HYPERLINK("https://www.773grp.com/globalSearch/MC74HC1G14DFT2/page-1", "MC74HC1G14DFT2")</f>
        <v>MC74HC1G14DFT2</v>
      </c>
      <c r="B25405" s="3" t="str">
        <f>HYPERLINK("https://www.773grp.com/manufacturer/onsemi?pageNo=533", "ON Semiconductor")</f>
        <v>ON Semiconductor</v>
      </c>
      <c r="C25405" s="6">
        <v>60000</v>
      </c>
      <c r="D25405" s="7">
        <v>0.23</v>
      </c>
      <c r="E25405" t="s">
        <v>31</v>
      </c>
    </row>
    <row r="25406" spans="1:5" x14ac:dyDescent="0.25">
      <c r="A25406" t="str">
        <f>HYPERLINK("https://www.773grp.com/globalSearch/MC74HC1G14DTT1/page-1", "MC74HC1G14DTT1")</f>
        <v>MC74HC1G14DTT1</v>
      </c>
      <c r="B25406" s="3" t="str">
        <f>HYPERLINK("https://www.773grp.com/manufacturer/onsemi?pageNo=534", "ON Semiconductor")</f>
        <v>ON Semiconductor</v>
      </c>
      <c r="C25406" s="6">
        <v>210000</v>
      </c>
      <c r="D25406" s="7">
        <v>0.23</v>
      </c>
      <c r="E25406" t="s">
        <v>31</v>
      </c>
    </row>
    <row r="25407" spans="1:5" x14ac:dyDescent="0.25">
      <c r="A25407" t="str">
        <f>HYPERLINK("https://www.773grp.com/globalSearch/MC74HC1G32DFT2/page-1", "MC74HC1G32DFT2")</f>
        <v>MC74HC1G32DFT2</v>
      </c>
      <c r="B25407" s="3" t="str">
        <f>HYPERLINK("https://www.773grp.com/manufacturer/onsemi?pageNo=535", "ON Semiconductor")</f>
        <v>ON Semiconductor</v>
      </c>
      <c r="C25407" s="6">
        <v>5670</v>
      </c>
      <c r="D25407" s="7">
        <v>0.23</v>
      </c>
      <c r="E25407" t="s">
        <v>31</v>
      </c>
    </row>
    <row r="25408" spans="1:5" x14ac:dyDescent="0.25">
      <c r="A25408" t="str">
        <f>HYPERLINK("https://www.773grp.com/globalSearch/MC74HC1G32DTT1/page-1", "MC74HC1G32DTT1")</f>
        <v>MC74HC1G32DTT1</v>
      </c>
      <c r="B25408" s="3" t="str">
        <f>HYPERLINK("https://www.773grp.com/manufacturer/onsemi?pageNo=536", "ON Semiconductor")</f>
        <v>ON Semiconductor</v>
      </c>
      <c r="C25408" s="6">
        <v>23775</v>
      </c>
      <c r="D25408" s="7">
        <v>0.23</v>
      </c>
      <c r="E25408" t="s">
        <v>31</v>
      </c>
    </row>
    <row r="25409" spans="1:5" x14ac:dyDescent="0.25">
      <c r="A25409" t="str">
        <f>HYPERLINK("https://www.773grp.com/globalSearch/MC74HC1GU04DFT1/page-1", "MC74HC1GU04DFT1")</f>
        <v>MC74HC1GU04DFT1</v>
      </c>
      <c r="B25409" s="3" t="str">
        <f>HYPERLINK("https://www.773grp.com/manufacturer/onsemi?pageNo=537", "ON Semiconductor")</f>
        <v>ON Semiconductor</v>
      </c>
      <c r="C25409" s="6">
        <v>18000</v>
      </c>
      <c r="D25409" s="7">
        <v>0.23</v>
      </c>
      <c r="E25409" t="s">
        <v>31</v>
      </c>
    </row>
    <row r="25410" spans="1:5" x14ac:dyDescent="0.25">
      <c r="A25410" t="str">
        <f>HYPERLINK("https://www.773grp.com/globalSearch/MC74LVQ04DR2/page-1", "MC74LVQ04DR2")</f>
        <v>MC74LVQ04DR2</v>
      </c>
      <c r="B25410" s="3" t="str">
        <f>HYPERLINK("https://www.773grp.com/manufacturer/onsemi?pageNo=538", "ON Semiconductor")</f>
        <v>ON Semiconductor</v>
      </c>
      <c r="C25410" s="6">
        <v>20000</v>
      </c>
      <c r="D25410" s="7">
        <v>0.23</v>
      </c>
    </row>
    <row r="25411" spans="1:5" x14ac:dyDescent="0.25">
      <c r="A25411" t="str">
        <f>HYPERLINK("https://www.773grp.com/globalSearch/MC74VHC1G00DFT1/page-1", "MC74VHC1G00DFT1")</f>
        <v>MC74VHC1G00DFT1</v>
      </c>
      <c r="B25411" s="3" t="str">
        <f>HYPERLINK("https://www.773grp.com/manufacturer/onsemi?pageNo=539", "ON Semiconductor")</f>
        <v>ON Semiconductor</v>
      </c>
      <c r="C25411" s="6">
        <v>26940</v>
      </c>
      <c r="D25411" s="7">
        <v>0.23</v>
      </c>
      <c r="E25411" t="s">
        <v>31</v>
      </c>
    </row>
    <row r="25412" spans="1:5" x14ac:dyDescent="0.25">
      <c r="A25412" t="str">
        <f>HYPERLINK("https://www.773grp.com/globalSearch/MC74VHC1G00DFT2/page-1", "MC74VHC1G00DFT2")</f>
        <v>MC74VHC1G00DFT2</v>
      </c>
      <c r="B25412" s="3" t="str">
        <f>HYPERLINK("https://www.773grp.com/manufacturer/onsemi?pageNo=540", "ON Semiconductor")</f>
        <v>ON Semiconductor</v>
      </c>
      <c r="C25412" s="6">
        <v>99000</v>
      </c>
      <c r="D25412" s="7">
        <v>0.23</v>
      </c>
      <c r="E25412" t="s">
        <v>31</v>
      </c>
    </row>
    <row r="25413" spans="1:5" x14ac:dyDescent="0.25">
      <c r="A25413" t="str">
        <f>HYPERLINK("https://www.773grp.com/globalSearch/MC74VHC1G00DTT1/page-1", "MC74VHC1G00DTT1")</f>
        <v>MC74VHC1G00DTT1</v>
      </c>
      <c r="B25413" s="3" t="str">
        <f>HYPERLINK("https://www.773grp.com/manufacturer/onsemi?pageNo=541", "ON Semiconductor")</f>
        <v>ON Semiconductor</v>
      </c>
      <c r="C25413" s="6">
        <v>179748</v>
      </c>
      <c r="D25413" s="7">
        <v>0.23</v>
      </c>
      <c r="E25413" t="s">
        <v>31</v>
      </c>
    </row>
    <row r="25414" spans="1:5" x14ac:dyDescent="0.25">
      <c r="A25414" t="str">
        <f>HYPERLINK("https://www.773grp.com/globalSearch/MC74VHC1G01DTT1/page-1", "MC74VHC1G01DTT1")</f>
        <v>MC74VHC1G01DTT1</v>
      </c>
      <c r="B25414" s="3" t="str">
        <f>HYPERLINK("https://www.773grp.com/manufacturer/onsemi?pageNo=542", "ON Semiconductor")</f>
        <v>ON Semiconductor</v>
      </c>
      <c r="C25414" s="6">
        <v>27000</v>
      </c>
      <c r="D25414" s="7">
        <v>0.23</v>
      </c>
      <c r="E25414" t="s">
        <v>31</v>
      </c>
    </row>
    <row r="25415" spans="1:5" x14ac:dyDescent="0.25">
      <c r="A25415" t="str">
        <f>HYPERLINK("https://www.773grp.com/globalSearch/MC74VHC1G02DFT1/page-1", "MC74VHC1G02DFT1")</f>
        <v>MC74VHC1G02DFT1</v>
      </c>
      <c r="B25415" s="3" t="str">
        <f>HYPERLINK("https://www.773grp.com/manufacturer/onsemi?pageNo=543", "ON Semiconductor")</f>
        <v>ON Semiconductor</v>
      </c>
      <c r="C25415" s="6">
        <v>12000</v>
      </c>
      <c r="D25415" s="7">
        <v>0.23</v>
      </c>
      <c r="E25415" t="s">
        <v>31</v>
      </c>
    </row>
    <row r="25416" spans="1:5" x14ac:dyDescent="0.25">
      <c r="A25416" t="str">
        <f>HYPERLINK("https://www.773grp.com/globalSearch/MC74VHC1G02DFT2/page-1", "MC74VHC1G02DFT2")</f>
        <v>MC74VHC1G02DFT2</v>
      </c>
      <c r="B25416" s="3" t="str">
        <f>HYPERLINK("https://www.773grp.com/manufacturer/onsemi?pageNo=544", "ON Semiconductor")</f>
        <v>ON Semiconductor</v>
      </c>
      <c r="C25416" s="6">
        <v>5240</v>
      </c>
      <c r="D25416" s="7">
        <v>0.23</v>
      </c>
      <c r="E25416" t="s">
        <v>31</v>
      </c>
    </row>
    <row r="25417" spans="1:5" x14ac:dyDescent="0.25">
      <c r="A25417" t="str">
        <f>HYPERLINK("https://www.773grp.com/globalSearch/MC74VHC1G02DTT1/page-1", "MC74VHC1G02DTT1")</f>
        <v>MC74VHC1G02DTT1</v>
      </c>
      <c r="B25417" s="3" t="str">
        <f>HYPERLINK("https://www.773grp.com/manufacturer/onsemi?pageNo=545", "ON Semiconductor")</f>
        <v>ON Semiconductor</v>
      </c>
      <c r="C25417" s="6">
        <v>80441</v>
      </c>
      <c r="D25417" s="7">
        <v>0.23</v>
      </c>
      <c r="E25417" t="s">
        <v>31</v>
      </c>
    </row>
    <row r="25418" spans="1:5" x14ac:dyDescent="0.25">
      <c r="A25418" t="str">
        <f>HYPERLINK("https://www.773grp.com/globalSearch/MC74VHC1G03DFT1/page-1", "MC74VHC1G03DFT1")</f>
        <v>MC74VHC1G03DFT1</v>
      </c>
      <c r="B25418" s="3" t="str">
        <f>HYPERLINK("https://www.773grp.com/manufacturer/onsemi?pageNo=546", "ON Semiconductor")</f>
        <v>ON Semiconductor</v>
      </c>
      <c r="C25418" s="6">
        <v>45000</v>
      </c>
      <c r="D25418" s="7">
        <v>0.23</v>
      </c>
      <c r="E25418" t="s">
        <v>31</v>
      </c>
    </row>
    <row r="25419" spans="1:5" x14ac:dyDescent="0.25">
      <c r="A25419" t="str">
        <f>HYPERLINK("https://www.773grp.com/globalSearch/MC74VHC1G03DFT2/page-1", "MC74VHC1G03DFT2")</f>
        <v>MC74VHC1G03DFT2</v>
      </c>
      <c r="B25419" s="3" t="str">
        <f>HYPERLINK("https://www.773grp.com/manufacturer/onsemi?pageNo=547", "ON Semiconductor")</f>
        <v>ON Semiconductor</v>
      </c>
      <c r="C25419" s="6">
        <v>72000</v>
      </c>
      <c r="D25419" s="7">
        <v>0.23</v>
      </c>
      <c r="E25419" t="s">
        <v>31</v>
      </c>
    </row>
    <row r="25420" spans="1:5" x14ac:dyDescent="0.25">
      <c r="A25420" t="str">
        <f>HYPERLINK("https://www.773grp.com/globalSearch/MC74VHC1G03DTT1/page-1", "MC74VHC1G03DTT1")</f>
        <v>MC74VHC1G03DTT1</v>
      </c>
      <c r="B25420" s="3" t="str">
        <f>HYPERLINK("https://www.773grp.com/manufacturer/onsemi?pageNo=548", "ON Semiconductor")</f>
        <v>ON Semiconductor</v>
      </c>
      <c r="C25420" s="6">
        <v>38941</v>
      </c>
      <c r="D25420" s="7">
        <v>0.23</v>
      </c>
      <c r="E25420" t="s">
        <v>31</v>
      </c>
    </row>
    <row r="25421" spans="1:5" x14ac:dyDescent="0.25">
      <c r="A25421" t="str">
        <f>HYPERLINK("https://www.773grp.com/globalSearch/MC74VHC1G04DFT2/page-1", "MC74VHC1G04DFT2")</f>
        <v>MC74VHC1G04DFT2</v>
      </c>
      <c r="B25421" s="3" t="str">
        <f>HYPERLINK("https://www.773grp.com/manufacturer/onsemi?pageNo=549", "ON Semiconductor")</f>
        <v>ON Semiconductor</v>
      </c>
      <c r="C25421" s="6">
        <v>128896</v>
      </c>
      <c r="D25421" s="7">
        <v>0.23</v>
      </c>
      <c r="E25421" t="s">
        <v>31</v>
      </c>
    </row>
    <row r="25422" spans="1:5" x14ac:dyDescent="0.25">
      <c r="A25422" t="str">
        <f>HYPERLINK("https://www.773grp.com/globalSearch/MC74VHC1G04DTT1/page-1", "MC74VHC1G04DTT1")</f>
        <v>MC74VHC1G04DTT1</v>
      </c>
      <c r="B25422" s="3" t="str">
        <f>HYPERLINK("https://www.773grp.com/manufacturer/onsemi?pageNo=550", "ON Semiconductor")</f>
        <v>ON Semiconductor</v>
      </c>
      <c r="C25422" s="6">
        <v>21000</v>
      </c>
      <c r="D25422" s="7">
        <v>0.23</v>
      </c>
      <c r="E25422" t="s">
        <v>31</v>
      </c>
    </row>
    <row r="25423" spans="1:5" x14ac:dyDescent="0.25">
      <c r="A25423" t="str">
        <f>HYPERLINK("https://www.773grp.com/globalSearch/MC74VHC1G05DFT1/page-1", "MC74VHC1G05DFT1")</f>
        <v>MC74VHC1G05DFT1</v>
      </c>
      <c r="B25423" s="3" t="str">
        <f>HYPERLINK("https://www.773grp.com/manufacturer/onsemi?pageNo=551", "ON Semiconductor")</f>
        <v>ON Semiconductor</v>
      </c>
      <c r="C25423" s="6">
        <v>57000</v>
      </c>
      <c r="D25423" s="7">
        <v>0.23</v>
      </c>
      <c r="E25423" t="s">
        <v>31</v>
      </c>
    </row>
    <row r="25424" spans="1:5" x14ac:dyDescent="0.25">
      <c r="A25424" t="str">
        <f>HYPERLINK("https://www.773grp.com/globalSearch/MC74VHC1G05DFT2/page-1", "MC74VHC1G05DFT2")</f>
        <v>MC74VHC1G05DFT2</v>
      </c>
      <c r="B25424" s="3" t="str">
        <f>HYPERLINK("https://www.773grp.com/manufacturer/onsemi?pageNo=552", "ON Semiconductor")</f>
        <v>ON Semiconductor</v>
      </c>
      <c r="C25424" s="6">
        <v>74994</v>
      </c>
      <c r="D25424" s="7">
        <v>0.23</v>
      </c>
      <c r="E25424" t="s">
        <v>31</v>
      </c>
    </row>
    <row r="25425" spans="1:5" x14ac:dyDescent="0.25">
      <c r="A25425" t="str">
        <f>HYPERLINK("https://www.773grp.com/globalSearch/MC74VHC1G05DTT1/page-1", "MC74VHC1G05DTT1")</f>
        <v>MC74VHC1G05DTT1</v>
      </c>
      <c r="B25425" s="3" t="str">
        <f>HYPERLINK("https://www.773grp.com/manufacturer/onsemi?pageNo=553", "ON Semiconductor")</f>
        <v>ON Semiconductor</v>
      </c>
      <c r="C25425" s="6">
        <v>41885</v>
      </c>
      <c r="D25425" s="7">
        <v>0.23</v>
      </c>
      <c r="E25425" t="s">
        <v>31</v>
      </c>
    </row>
    <row r="25426" spans="1:5" x14ac:dyDescent="0.25">
      <c r="A25426" t="str">
        <f>HYPERLINK("https://www.773grp.com/globalSearch/MC74VHC1G07DFT1/page-1", "MC74VHC1G07DFT1")</f>
        <v>MC74VHC1G07DFT1</v>
      </c>
      <c r="B25426" s="3" t="str">
        <f>HYPERLINK("https://www.773grp.com/manufacturer/onsemi?pageNo=554", "ON Semiconductor")</f>
        <v>ON Semiconductor</v>
      </c>
      <c r="C25426" s="6">
        <v>54000</v>
      </c>
      <c r="D25426" s="7">
        <v>0.23</v>
      </c>
      <c r="E25426" t="s">
        <v>31</v>
      </c>
    </row>
    <row r="25427" spans="1:5" x14ac:dyDescent="0.25">
      <c r="A25427" t="str">
        <f>HYPERLINK("https://www.773grp.com/globalSearch/MC74VHC1G07DFT2/page-1", "MC74VHC1G07DFT2")</f>
        <v>MC74VHC1G07DFT2</v>
      </c>
      <c r="B25427" s="3" t="str">
        <f>HYPERLINK("https://www.773grp.com/manufacturer/onsemi?pageNo=555", "ON Semiconductor")</f>
        <v>ON Semiconductor</v>
      </c>
      <c r="C25427" s="6">
        <v>20820</v>
      </c>
      <c r="D25427" s="7">
        <v>0.23</v>
      </c>
      <c r="E25427" t="s">
        <v>31</v>
      </c>
    </row>
    <row r="25428" spans="1:5" x14ac:dyDescent="0.25">
      <c r="A25428" t="str">
        <f>HYPERLINK("https://www.773grp.com/globalSearch/MC74VHC1G07DTT1/page-1", "MC74VHC1G07DTT1")</f>
        <v>MC74VHC1G07DTT1</v>
      </c>
      <c r="B25428" s="3" t="str">
        <f>HYPERLINK("https://www.773grp.com/manufacturer/onsemi?pageNo=556", "ON Semiconductor")</f>
        <v>ON Semiconductor</v>
      </c>
      <c r="C25428" s="6">
        <v>2240</v>
      </c>
      <c r="D25428" s="7">
        <v>0.23</v>
      </c>
      <c r="E25428" t="s">
        <v>31</v>
      </c>
    </row>
    <row r="25429" spans="1:5" x14ac:dyDescent="0.25">
      <c r="A25429" t="str">
        <f>HYPERLINK("https://www.773grp.com/globalSearch/MC74VHC1G08DFT1/page-1", "MC74VHC1G08DFT1")</f>
        <v>MC74VHC1G08DFT1</v>
      </c>
      <c r="B25429" s="3" t="str">
        <f>HYPERLINK("https://www.773grp.com/manufacturer/onsemi?pageNo=557", "ON Semiconductor")</f>
        <v>ON Semiconductor</v>
      </c>
      <c r="C25429" s="6">
        <v>122210</v>
      </c>
      <c r="D25429" s="7">
        <v>0.23</v>
      </c>
      <c r="E25429" t="s">
        <v>31</v>
      </c>
    </row>
    <row r="25430" spans="1:5" x14ac:dyDescent="0.25">
      <c r="A25430" t="str">
        <f>HYPERLINK("https://www.773grp.com/globalSearch/MC74VHC1G08DFT2/page-1", "MC74VHC1G08DFT2")</f>
        <v>MC74VHC1G08DFT2</v>
      </c>
      <c r="B25430" s="3" t="str">
        <f>HYPERLINK("https://www.773grp.com/manufacturer/onsemi?pageNo=558", "ON Semiconductor")</f>
        <v>ON Semiconductor</v>
      </c>
      <c r="C25430" s="6">
        <v>83368</v>
      </c>
      <c r="D25430" s="7">
        <v>0.23</v>
      </c>
      <c r="E25430" t="s">
        <v>31</v>
      </c>
    </row>
    <row r="25431" spans="1:5" x14ac:dyDescent="0.25">
      <c r="A25431" t="str">
        <f>HYPERLINK("https://www.773grp.com/globalSearch/MC74VHC1G08DTT1/page-1", "MC74VHC1G08DTT1")</f>
        <v>MC74VHC1G08DTT1</v>
      </c>
      <c r="B25431" s="3" t="str">
        <f>HYPERLINK("https://www.773grp.com/manufacturer/onsemi?pageNo=559", "ON Semiconductor")</f>
        <v>ON Semiconductor</v>
      </c>
      <c r="C25431" s="6">
        <v>14455</v>
      </c>
      <c r="D25431" s="7">
        <v>0.23</v>
      </c>
      <c r="E25431" t="s">
        <v>31</v>
      </c>
    </row>
    <row r="25432" spans="1:5" x14ac:dyDescent="0.25">
      <c r="A25432" t="str">
        <f>HYPERLINK("https://www.773grp.com/globalSearch/MC74VHC1G09DFT1/page-1", "MC74VHC1G09DFT1")</f>
        <v>MC74VHC1G09DFT1</v>
      </c>
      <c r="B25432" s="3" t="str">
        <f>HYPERLINK("https://www.773grp.com/manufacturer/onsemi?pageNo=560", "ON Semiconductor")</f>
        <v>ON Semiconductor</v>
      </c>
      <c r="C25432" s="6">
        <v>3000</v>
      </c>
      <c r="D25432" s="7">
        <v>0.23</v>
      </c>
      <c r="E25432" t="s">
        <v>31</v>
      </c>
    </row>
    <row r="25433" spans="1:5" x14ac:dyDescent="0.25">
      <c r="A25433" t="str">
        <f>HYPERLINK("https://www.773grp.com/globalSearch/MC74VHC1G09DTT1/page-1", "MC74VHC1G09DTT1")</f>
        <v>MC74VHC1G09DTT1</v>
      </c>
      <c r="B25433" s="3" t="str">
        <f>HYPERLINK("https://www.773grp.com/manufacturer/onsemi?pageNo=561", "ON Semiconductor")</f>
        <v>ON Semiconductor</v>
      </c>
      <c r="C25433" s="6">
        <v>84000</v>
      </c>
      <c r="D25433" s="7">
        <v>0.23</v>
      </c>
      <c r="E25433" t="s">
        <v>31</v>
      </c>
    </row>
    <row r="25434" spans="1:5" x14ac:dyDescent="0.25">
      <c r="A25434" t="str">
        <f>HYPERLINK("https://www.773grp.com/globalSearch/MC74VHC1G132DFT1/page-1", "MC74VHC1G132DFT1")</f>
        <v>MC74VHC1G132DFT1</v>
      </c>
      <c r="B25434" s="3" t="str">
        <f>HYPERLINK("https://www.773grp.com/manufacturer/onsemi?pageNo=562", "ON Semiconductor")</f>
        <v>ON Semiconductor</v>
      </c>
      <c r="C25434" s="6">
        <v>1506000</v>
      </c>
      <c r="D25434" s="7">
        <v>0.23</v>
      </c>
      <c r="E25434" t="s">
        <v>31</v>
      </c>
    </row>
    <row r="25435" spans="1:5" x14ac:dyDescent="0.25">
      <c r="A25435" t="str">
        <f>HYPERLINK("https://www.773grp.com/globalSearch/MC74VHC1G132DFT2/page-1", "MC74VHC1G132DFT2")</f>
        <v>MC74VHC1G132DFT2</v>
      </c>
      <c r="B25435" s="3" t="str">
        <f>HYPERLINK("https://www.773grp.com/manufacturer/onsemi?pageNo=563", "ON Semiconductor")</f>
        <v>ON Semiconductor</v>
      </c>
      <c r="C25435" s="6">
        <v>234000</v>
      </c>
      <c r="D25435" s="7">
        <v>0.23</v>
      </c>
      <c r="E25435" t="s">
        <v>31</v>
      </c>
    </row>
    <row r="25436" spans="1:5" x14ac:dyDescent="0.25">
      <c r="A25436" t="str">
        <f>HYPERLINK("https://www.773grp.com/globalSearch/MC74VHC1G132DT1G/page-1", "MC74VHC1G132DT1G")</f>
        <v>MC74VHC1G132DT1G</v>
      </c>
      <c r="B25436" s="3" t="str">
        <f>HYPERLINK("https://www.773grp.com/manufacturer/onsemi?pageNo=564", "ON Semiconductor")</f>
        <v>ON Semiconductor</v>
      </c>
      <c r="C25436" s="6">
        <v>9000</v>
      </c>
      <c r="D25436" s="7">
        <v>0.23</v>
      </c>
    </row>
    <row r="25437" spans="1:5" x14ac:dyDescent="0.25">
      <c r="A25437" t="str">
        <f>HYPERLINK("https://www.773grp.com/globalSearch/MC74VHC1G132DTT1/page-1", "MC74VHC1G132DTT1")</f>
        <v>MC74VHC1G132DTT1</v>
      </c>
      <c r="B25437" s="3" t="str">
        <f>HYPERLINK("https://www.773grp.com/manufacturer/onsemi?pageNo=565", "ON Semiconductor")</f>
        <v>ON Semiconductor</v>
      </c>
      <c r="C25437" s="6">
        <v>95925</v>
      </c>
      <c r="D25437" s="7">
        <v>0.23</v>
      </c>
      <c r="E25437" t="s">
        <v>31</v>
      </c>
    </row>
    <row r="25438" spans="1:5" x14ac:dyDescent="0.25">
      <c r="A25438" t="str">
        <f>HYPERLINK("https://www.773grp.com/globalSearch/MC74VHC1G135DFT1/page-1", "MC74VHC1G135DFT1")</f>
        <v>MC74VHC1G135DFT1</v>
      </c>
      <c r="B25438" s="3" t="str">
        <f>HYPERLINK("https://www.773grp.com/manufacturer/onsemi?pageNo=566", "ON Semiconductor")</f>
        <v>ON Semiconductor</v>
      </c>
      <c r="C25438" s="6">
        <v>66000</v>
      </c>
      <c r="D25438" s="7">
        <v>0.23</v>
      </c>
      <c r="E25438" t="s">
        <v>31</v>
      </c>
    </row>
    <row r="25439" spans="1:5" x14ac:dyDescent="0.25">
      <c r="A25439" t="str">
        <f>HYPERLINK("https://www.773grp.com/globalSearch/MC74VHC1G135DT1G/page-1", "MC74VHC1G135DT1G")</f>
        <v>MC74VHC1G135DT1G</v>
      </c>
      <c r="B25439" s="3" t="str">
        <f>HYPERLINK("https://www.773grp.com/manufacturer/onsemi?pageNo=567", "ON Semiconductor")</f>
        <v>ON Semiconductor</v>
      </c>
      <c r="C25439" s="6">
        <v>39000</v>
      </c>
      <c r="D25439" s="7">
        <v>0.23</v>
      </c>
    </row>
    <row r="25440" spans="1:5" x14ac:dyDescent="0.25">
      <c r="A25440" t="str">
        <f>HYPERLINK("https://www.773grp.com/globalSearch/MC74VHC1G135DTT1/page-1", "MC74VHC1G135DTT1")</f>
        <v>MC74VHC1G135DTT1</v>
      </c>
      <c r="B25440" s="3" t="str">
        <f>HYPERLINK("https://www.773grp.com/manufacturer/onsemi?pageNo=568", "ON Semiconductor")</f>
        <v>ON Semiconductor</v>
      </c>
      <c r="C25440" s="6">
        <v>74935</v>
      </c>
      <c r="D25440" s="7">
        <v>0.23</v>
      </c>
      <c r="E25440" t="s">
        <v>31</v>
      </c>
    </row>
    <row r="25441" spans="1:5" x14ac:dyDescent="0.25">
      <c r="A25441" t="str">
        <f>HYPERLINK("https://www.773grp.com/globalSearch/MC74VHC1G14DFT1/page-1", "MC74VHC1G14DFT1")</f>
        <v>MC74VHC1G14DFT1</v>
      </c>
      <c r="B25441" s="3" t="str">
        <f>HYPERLINK("https://www.773grp.com/manufacturer/onsemi?pageNo=569", "ON Semiconductor")</f>
        <v>ON Semiconductor</v>
      </c>
      <c r="C25441" s="6">
        <v>84000</v>
      </c>
      <c r="D25441" s="7">
        <v>0.23</v>
      </c>
      <c r="E25441" t="s">
        <v>31</v>
      </c>
    </row>
    <row r="25442" spans="1:5" x14ac:dyDescent="0.25">
      <c r="A25442" t="str">
        <f>HYPERLINK("https://www.773grp.com/globalSearch/MC74VHC1G14DFT2/page-1", "MC74VHC1G14DFT2")</f>
        <v>MC74VHC1G14DFT2</v>
      </c>
      <c r="B25442" s="3" t="str">
        <f>HYPERLINK("https://www.773grp.com/manufacturer/onsemi?pageNo=570", "ON Semiconductor")</f>
        <v>ON Semiconductor</v>
      </c>
      <c r="C25442" s="6">
        <v>3000</v>
      </c>
      <c r="D25442" s="7">
        <v>0.23</v>
      </c>
      <c r="E25442" t="s">
        <v>31</v>
      </c>
    </row>
    <row r="25443" spans="1:5" x14ac:dyDescent="0.25">
      <c r="A25443" t="str">
        <f>HYPERLINK("https://www.773grp.com/globalSearch/MC74VHC1G32DFT1/page-1", "MC74VHC1G32DFT1")</f>
        <v>MC74VHC1G32DFT1</v>
      </c>
      <c r="B25443" s="3" t="str">
        <f>HYPERLINK("https://www.773grp.com/manufacturer/onsemi?pageNo=571", "ON Semiconductor")</f>
        <v>ON Semiconductor</v>
      </c>
      <c r="C25443" s="6">
        <v>2527</v>
      </c>
      <c r="D25443" s="7">
        <v>0.23</v>
      </c>
      <c r="E25443" t="s">
        <v>31</v>
      </c>
    </row>
    <row r="25444" spans="1:5" x14ac:dyDescent="0.25">
      <c r="A25444" t="str">
        <f>HYPERLINK("https://www.773grp.com/globalSearch/MC74VHC1G32DFT2/page-1", "MC74VHC1G32DFT2")</f>
        <v>MC74VHC1G32DFT2</v>
      </c>
      <c r="B25444" s="3" t="str">
        <f>HYPERLINK("https://www.773grp.com/manufacturer/onsemi?pageNo=572", "ON Semiconductor")</f>
        <v>ON Semiconductor</v>
      </c>
      <c r="C25444" s="6">
        <v>2189366</v>
      </c>
      <c r="D25444" s="7">
        <v>0.23</v>
      </c>
      <c r="E25444" t="s">
        <v>31</v>
      </c>
    </row>
    <row r="25445" spans="1:5" x14ac:dyDescent="0.25">
      <c r="A25445" t="str">
        <f>HYPERLINK("https://www.773grp.com/globalSearch/MC74VHC1G32DTT1/page-1", "MC74VHC1G32DTT1")</f>
        <v>MC74VHC1G32DTT1</v>
      </c>
      <c r="B25445" s="3" t="str">
        <f>HYPERLINK("https://www.773grp.com/manufacturer/onsemi?pageNo=573", "ON Semiconductor")</f>
        <v>ON Semiconductor</v>
      </c>
      <c r="C25445" s="6">
        <v>78000</v>
      </c>
      <c r="D25445" s="7">
        <v>0.23</v>
      </c>
      <c r="E25445" t="s">
        <v>31</v>
      </c>
    </row>
    <row r="25446" spans="1:5" x14ac:dyDescent="0.25">
      <c r="A25446" t="str">
        <f>HYPERLINK("https://www.773grp.com/globalSearch/MC74VHC1G50DTT1/page-1", "MC74VHC1G50DTT1")</f>
        <v>MC74VHC1G50DTT1</v>
      </c>
      <c r="B25446" s="3" t="str">
        <f>HYPERLINK("https://www.773grp.com/manufacturer/onsemi?pageNo=574", "ON Semiconductor")</f>
        <v>ON Semiconductor</v>
      </c>
      <c r="C25446" s="6">
        <v>20375</v>
      </c>
      <c r="D25446" s="7">
        <v>0.23</v>
      </c>
      <c r="E25446" t="s">
        <v>31</v>
      </c>
    </row>
    <row r="25447" spans="1:5" x14ac:dyDescent="0.25">
      <c r="A25447" t="str">
        <f>HYPERLINK("https://www.773grp.com/globalSearch/MC74VHC1G66DFT1/page-1", "MC74VHC1G66DFT1")</f>
        <v>MC74VHC1G66DFT1</v>
      </c>
      <c r="B25447" s="3" t="str">
        <f>HYPERLINK("https://www.773grp.com/manufacturer/onsemi?pageNo=575", "ON Semiconductor")</f>
        <v>ON Semiconductor</v>
      </c>
      <c r="C25447" s="6">
        <v>120000</v>
      </c>
      <c r="D25447" s="7">
        <v>0.23</v>
      </c>
      <c r="E25447" t="s">
        <v>56</v>
      </c>
    </row>
    <row r="25448" spans="1:5" x14ac:dyDescent="0.25">
      <c r="A25448" t="str">
        <f>HYPERLINK("https://www.773grp.com/globalSearch/MC74VHC1G86DFT1/page-1", "MC74VHC1G86DFT1")</f>
        <v>MC74VHC1G86DFT1</v>
      </c>
      <c r="B25448" s="3" t="str">
        <f>HYPERLINK("https://www.773grp.com/manufacturer/onsemi?pageNo=576", "ON Semiconductor")</f>
        <v>ON Semiconductor</v>
      </c>
      <c r="C25448" s="6">
        <v>102000</v>
      </c>
      <c r="D25448" s="7">
        <v>0.23</v>
      </c>
      <c r="E25448" t="s">
        <v>31</v>
      </c>
    </row>
    <row r="25449" spans="1:5" x14ac:dyDescent="0.25">
      <c r="A25449" t="str">
        <f>HYPERLINK("https://www.773grp.com/globalSearch/MC74VHC1G86DTT1/page-1", "MC74VHC1G86DTT1")</f>
        <v>MC74VHC1G86DTT1</v>
      </c>
      <c r="B25449" s="3" t="str">
        <f>HYPERLINK("https://www.773grp.com/manufacturer/onsemi?pageNo=577", "ON Semiconductor")</f>
        <v>ON Semiconductor</v>
      </c>
      <c r="C25449" s="6">
        <v>3320</v>
      </c>
      <c r="D25449" s="7">
        <v>0.23</v>
      </c>
      <c r="E25449" t="s">
        <v>31</v>
      </c>
    </row>
    <row r="25450" spans="1:5" x14ac:dyDescent="0.25">
      <c r="A25450" t="str">
        <f>HYPERLINK("https://www.773grp.com/globalSearch/MC74VHC1GT/page-1", "MC74VHC1GT")</f>
        <v>MC74VHC1GT</v>
      </c>
      <c r="B25450" s="3" t="str">
        <f>HYPERLINK("https://www.773grp.com/manufacturer/onsemi?pageNo=578", "ON Semiconductor")</f>
        <v>ON Semiconductor</v>
      </c>
      <c r="C25450" s="6">
        <v>3000</v>
      </c>
      <c r="D25450" s="7">
        <v>0.23</v>
      </c>
    </row>
    <row r="25451" spans="1:5" x14ac:dyDescent="0.25">
      <c r="A25451" t="str">
        <f>HYPERLINK("https://www.773grp.com/globalSearch/MC74VHC1GT00DTT1/page-1", "MC74VHC1GT00DTT1")</f>
        <v>MC74VHC1GT00DTT1</v>
      </c>
      <c r="B25451" s="3" t="str">
        <f>HYPERLINK("https://www.773grp.com/manufacturer/onsemi?pageNo=579", "ON Semiconductor")</f>
        <v>ON Semiconductor</v>
      </c>
      <c r="C25451" s="6">
        <v>111000</v>
      </c>
      <c r="D25451" s="7">
        <v>0.23</v>
      </c>
      <c r="E25451" t="s">
        <v>31</v>
      </c>
    </row>
    <row r="25452" spans="1:5" x14ac:dyDescent="0.25">
      <c r="A25452" t="str">
        <f>HYPERLINK("https://www.773grp.com/globalSearch/MC74VHC1GT02DFT1/page-1", "MC74VHC1GT02DFT1")</f>
        <v>MC74VHC1GT02DFT1</v>
      </c>
      <c r="B25452" s="3" t="str">
        <f>HYPERLINK("https://www.773grp.com/manufacturer/onsemi?pageNo=580", "ON Semiconductor")</f>
        <v>ON Semiconductor</v>
      </c>
      <c r="C25452" s="6">
        <v>10875</v>
      </c>
      <c r="D25452" s="7">
        <v>0.23</v>
      </c>
      <c r="E25452" t="s">
        <v>31</v>
      </c>
    </row>
    <row r="25453" spans="1:5" x14ac:dyDescent="0.25">
      <c r="A25453" t="str">
        <f>HYPERLINK("https://www.773grp.com/globalSearch/MC74VHC1GT02DTT1/page-1", "MC74VHC1GT02DTT1")</f>
        <v>MC74VHC1GT02DTT1</v>
      </c>
      <c r="B25453" s="3" t="str">
        <f>HYPERLINK("https://www.773grp.com/manufacturer/onsemi?pageNo=581", "ON Semiconductor")</f>
        <v>ON Semiconductor</v>
      </c>
      <c r="C25453" s="6">
        <v>11995</v>
      </c>
      <c r="D25453" s="7">
        <v>0.23</v>
      </c>
      <c r="E25453" t="s">
        <v>31</v>
      </c>
    </row>
    <row r="25454" spans="1:5" x14ac:dyDescent="0.25">
      <c r="A25454" t="str">
        <f>HYPERLINK("https://www.773grp.com/globalSearch/MC74VHC1GT04DFT1/page-1", "MC74VHC1GT04DFT1")</f>
        <v>MC74VHC1GT04DFT1</v>
      </c>
      <c r="B25454" s="3" t="str">
        <f>HYPERLINK("https://www.773grp.com/manufacturer/onsemi?pageNo=582", "ON Semiconductor")</f>
        <v>ON Semiconductor</v>
      </c>
      <c r="C25454" s="6">
        <v>168000</v>
      </c>
      <c r="D25454" s="7">
        <v>0.23</v>
      </c>
      <c r="E25454" t="s">
        <v>31</v>
      </c>
    </row>
    <row r="25455" spans="1:5" x14ac:dyDescent="0.25">
      <c r="A25455" t="str">
        <f>HYPERLINK("https://www.773grp.com/globalSearch/MC74VHC1GT04DFT2/page-1", "MC74VHC1GT04DFT2")</f>
        <v>MC74VHC1GT04DFT2</v>
      </c>
      <c r="B25455" s="3" t="str">
        <f>HYPERLINK("https://www.773grp.com/manufacturer/onsemi?pageNo=583", "ON Semiconductor")</f>
        <v>ON Semiconductor</v>
      </c>
      <c r="C25455" s="6">
        <v>14480</v>
      </c>
      <c r="D25455" s="7">
        <v>0.23</v>
      </c>
      <c r="E25455" t="s">
        <v>31</v>
      </c>
    </row>
    <row r="25456" spans="1:5" x14ac:dyDescent="0.25">
      <c r="A25456" t="str">
        <f>HYPERLINK("https://www.773grp.com/globalSearch/MC74VHC1GT08DFT1/page-1", "MC74VHC1GT08DFT1")</f>
        <v>MC74VHC1GT08DFT1</v>
      </c>
      <c r="B25456" s="3" t="str">
        <f>HYPERLINK("https://www.773grp.com/manufacturer/onsemi?pageNo=584", "ON Semiconductor")</f>
        <v>ON Semiconductor</v>
      </c>
      <c r="C25456" s="6">
        <v>150500</v>
      </c>
      <c r="D25456" s="7">
        <v>0.23</v>
      </c>
      <c r="E25456" t="s">
        <v>31</v>
      </c>
    </row>
    <row r="25457" spans="1:5" x14ac:dyDescent="0.25">
      <c r="A25457" t="str">
        <f>HYPERLINK("https://www.773grp.com/globalSearch/MC74VHC1GT08DFT2/page-1", "MC74VHC1GT08DFT2")</f>
        <v>MC74VHC1GT08DFT2</v>
      </c>
      <c r="B25457" s="3" t="str">
        <f>HYPERLINK("https://www.773grp.com/manufacturer/onsemi?pageNo=585", "ON Semiconductor")</f>
        <v>ON Semiconductor</v>
      </c>
      <c r="C25457" s="6">
        <v>44450</v>
      </c>
      <c r="D25457" s="7">
        <v>0.23</v>
      </c>
      <c r="E25457" t="s">
        <v>31</v>
      </c>
    </row>
    <row r="25458" spans="1:5" x14ac:dyDescent="0.25">
      <c r="A25458" t="str">
        <f>HYPERLINK("https://www.773grp.com/globalSearch/MC74VHC1GT08DTT1/page-1", "MC74VHC1GT08DTT1")</f>
        <v>MC74VHC1GT08DTT1</v>
      </c>
      <c r="B25458" s="3" t="str">
        <f>HYPERLINK("https://www.773grp.com/manufacturer/onsemi?pageNo=586", "ON Semiconductor")</f>
        <v>ON Semiconductor</v>
      </c>
      <c r="C25458" s="6">
        <v>21290</v>
      </c>
      <c r="D25458" s="7">
        <v>0.23</v>
      </c>
      <c r="E25458" t="s">
        <v>31</v>
      </c>
    </row>
    <row r="25459" spans="1:5" x14ac:dyDescent="0.25">
      <c r="A25459" t="str">
        <f>HYPERLINK("https://www.773grp.com/globalSearch/MC74VHC1GT14DFT1/page-1", "MC74VHC1GT14DFT1")</f>
        <v>MC74VHC1GT14DFT1</v>
      </c>
      <c r="B25459" s="3" t="str">
        <f>HYPERLINK("https://www.773grp.com/manufacturer/onsemi?pageNo=587", "ON Semiconductor")</f>
        <v>ON Semiconductor</v>
      </c>
      <c r="C25459" s="6">
        <v>206750</v>
      </c>
      <c r="D25459" s="7">
        <v>0.23</v>
      </c>
      <c r="E25459" t="s">
        <v>31</v>
      </c>
    </row>
    <row r="25460" spans="1:5" x14ac:dyDescent="0.25">
      <c r="A25460" t="str">
        <f>HYPERLINK("https://www.773grp.com/globalSearch/MC74VHC1GT14DFT2/page-1", "MC74VHC1GT14DFT2")</f>
        <v>MC74VHC1GT14DFT2</v>
      </c>
      <c r="B25460" s="3" t="str">
        <f>HYPERLINK("https://www.773grp.com/manufacturer/onsemi?pageNo=588", "ON Semiconductor")</f>
        <v>ON Semiconductor</v>
      </c>
      <c r="C25460" s="6">
        <v>1730670</v>
      </c>
      <c r="D25460" s="7">
        <v>0.23</v>
      </c>
      <c r="E25460" t="s">
        <v>31</v>
      </c>
    </row>
    <row r="25461" spans="1:5" x14ac:dyDescent="0.25">
      <c r="A25461" t="str">
        <f>HYPERLINK("https://www.773grp.com/globalSearch/MC74VHC1GT14DT1G/page-1", "MC74VHC1GT14DT1G")</f>
        <v>MC74VHC1GT14DT1G</v>
      </c>
      <c r="B25461" s="3" t="str">
        <f>HYPERLINK("https://www.773grp.com/manufacturer/onsemi?pageNo=589", "ON Semiconductor")</f>
        <v>ON Semiconductor</v>
      </c>
      <c r="C25461" s="6">
        <v>39000</v>
      </c>
      <c r="D25461" s="7">
        <v>0.23</v>
      </c>
    </row>
    <row r="25462" spans="1:5" x14ac:dyDescent="0.25">
      <c r="A25462" t="str">
        <f>HYPERLINK("https://www.773grp.com/globalSearch/MC74VHC1GT50DFT1/page-1", "MC74VHC1GT50DFT1")</f>
        <v>MC74VHC1GT50DFT1</v>
      </c>
      <c r="B25462" s="3" t="str">
        <f>HYPERLINK("https://www.773grp.com/manufacturer/onsemi?pageNo=590", "ON Semiconductor")</f>
        <v>ON Semiconductor</v>
      </c>
      <c r="C25462" s="6">
        <v>156950</v>
      </c>
      <c r="D25462" s="7">
        <v>0.23</v>
      </c>
      <c r="E25462" t="s">
        <v>31</v>
      </c>
    </row>
    <row r="25463" spans="1:5" x14ac:dyDescent="0.25">
      <c r="A25463" t="str">
        <f>HYPERLINK("https://www.773grp.com/globalSearch/MC74VHC1GT50DFT2/page-1", "MC74VHC1GT50DFT2")</f>
        <v>MC74VHC1GT50DFT2</v>
      </c>
      <c r="B25463" s="3" t="str">
        <f>HYPERLINK("https://www.773grp.com/manufacturer/onsemi?pageNo=591", "ON Semiconductor")</f>
        <v>ON Semiconductor</v>
      </c>
      <c r="C25463" s="6">
        <v>935674</v>
      </c>
      <c r="D25463" s="7">
        <v>0.23</v>
      </c>
      <c r="E25463" t="s">
        <v>31</v>
      </c>
    </row>
    <row r="25464" spans="1:5" x14ac:dyDescent="0.25">
      <c r="A25464" t="str">
        <f>HYPERLINK("https://www.773grp.com/globalSearch/MC74VHC1GT50DTT1/page-1", "MC74VHC1GT50DTT1")</f>
        <v>MC74VHC1GT50DTT1</v>
      </c>
      <c r="B25464" s="3" t="str">
        <f>HYPERLINK("https://www.773grp.com/manufacturer/onsemi?pageNo=592", "ON Semiconductor")</f>
        <v>ON Semiconductor</v>
      </c>
      <c r="C25464" s="6">
        <v>176000</v>
      </c>
      <c r="D25464" s="7">
        <v>0.23</v>
      </c>
      <c r="E25464" t="s">
        <v>31</v>
      </c>
    </row>
    <row r="25465" spans="1:5" x14ac:dyDescent="0.25">
      <c r="A25465" t="str">
        <f>HYPERLINK("https://www.773grp.com/globalSearch/MC74VHC1GT66DFT1/page-1", "MC74VHC1GT66DFT1")</f>
        <v>MC74VHC1GT66DFT1</v>
      </c>
      <c r="B25465" s="3" t="str">
        <f>HYPERLINK("https://www.773grp.com/manufacturer/onsemi?pageNo=593", "ON Semiconductor")</f>
        <v>ON Semiconductor</v>
      </c>
      <c r="C25465" s="6">
        <v>573000</v>
      </c>
      <c r="D25465" s="7">
        <v>0.23</v>
      </c>
      <c r="E25465" t="s">
        <v>56</v>
      </c>
    </row>
    <row r="25466" spans="1:5" x14ac:dyDescent="0.25">
      <c r="A25466" t="str">
        <f>HYPERLINK("https://www.773grp.com/globalSearch/MC74VHC1GT66DTT1/page-1", "MC74VHC1GT66DTT1")</f>
        <v>MC74VHC1GT66DTT1</v>
      </c>
      <c r="B25466" s="3" t="str">
        <f>HYPERLINK("https://www.773grp.com/manufacturer/onsemi?pageNo=594", "ON Semiconductor")</f>
        <v>ON Semiconductor</v>
      </c>
      <c r="C25466" s="6">
        <v>36000</v>
      </c>
      <c r="D25466" s="7">
        <v>0.23</v>
      </c>
      <c r="E25466" t="s">
        <v>56</v>
      </c>
    </row>
    <row r="25467" spans="1:5" x14ac:dyDescent="0.25">
      <c r="A25467" t="str">
        <f>HYPERLINK("https://www.773grp.com/globalSearch/MC74VHC1GT86DFT2/page-1", "MC74VHC1GT86DFT2")</f>
        <v>MC74VHC1GT86DFT2</v>
      </c>
      <c r="B25467" s="3" t="str">
        <f>HYPERLINK("https://www.773grp.com/manufacturer/onsemi?pageNo=595", "ON Semiconductor")</f>
        <v>ON Semiconductor</v>
      </c>
      <c r="C25467" s="6">
        <v>66000</v>
      </c>
      <c r="D25467" s="7">
        <v>0.23</v>
      </c>
      <c r="E25467" t="s">
        <v>31</v>
      </c>
    </row>
    <row r="25468" spans="1:5" x14ac:dyDescent="0.25">
      <c r="A25468" t="str">
        <f>HYPERLINK("https://www.773grp.com/globalSearch/MC74VHC1GT86DT1G/page-1", "MC74VHC1GT86DT1G")</f>
        <v>MC74VHC1GT86DT1G</v>
      </c>
      <c r="B25468" s="3" t="str">
        <f>HYPERLINK("https://www.773grp.com/manufacturer/onsemi?pageNo=596", "ON Semiconductor")</f>
        <v>ON Semiconductor</v>
      </c>
      <c r="C25468" s="6">
        <v>33000</v>
      </c>
      <c r="D25468" s="7">
        <v>0.23</v>
      </c>
      <c r="E25468" t="s">
        <v>31</v>
      </c>
    </row>
    <row r="25469" spans="1:5" x14ac:dyDescent="0.25">
      <c r="A25469" t="str">
        <f>HYPERLINK("https://www.773grp.com/globalSearch/MC74VHC1GT86DTT1/page-1", "MC74VHC1GT86DTT1")</f>
        <v>MC74VHC1GT86DTT1</v>
      </c>
      <c r="B25469" s="3" t="str">
        <f>HYPERLINK("https://www.773grp.com/manufacturer/onsemi?pageNo=597", "ON Semiconductor")</f>
        <v>ON Semiconductor</v>
      </c>
      <c r="C25469" s="6">
        <v>3000</v>
      </c>
      <c r="D25469" s="7">
        <v>0.23</v>
      </c>
      <c r="E25469" t="s">
        <v>31</v>
      </c>
    </row>
    <row r="25470" spans="1:5" x14ac:dyDescent="0.25">
      <c r="A25470" t="str">
        <f>HYPERLINK("https://www.773grp.com/globalSearch/MC74VHC1GU04DFT2/page-1", "MC74VHC1GU04DFT2")</f>
        <v>MC74VHC1GU04DFT2</v>
      </c>
      <c r="B25470" s="3" t="str">
        <f>HYPERLINK("https://www.773grp.com/manufacturer/onsemi?pageNo=598", "ON Semiconductor")</f>
        <v>ON Semiconductor</v>
      </c>
      <c r="C25470" s="6">
        <v>837000</v>
      </c>
      <c r="D25470" s="7">
        <v>0.23</v>
      </c>
      <c r="E25470" t="s">
        <v>31</v>
      </c>
    </row>
    <row r="25471" spans="1:5" x14ac:dyDescent="0.25">
      <c r="A25471" t="str">
        <f>HYPERLINK("https://www.773grp.com/globalSearch/MMBD2835LT1G/page-1", "MMBD2835LT1G")</f>
        <v>MMBD2835LT1G</v>
      </c>
      <c r="B25471" s="3" t="str">
        <f>HYPERLINK("https://www.773grp.com/manufacturer/onsemi?pageNo=599", "ON Semiconductor")</f>
        <v>ON Semiconductor</v>
      </c>
      <c r="C25471" s="6">
        <v>191535</v>
      </c>
      <c r="D25471" s="7">
        <v>0.23</v>
      </c>
      <c r="E25471" t="s">
        <v>94</v>
      </c>
    </row>
    <row r="25472" spans="1:5" x14ac:dyDescent="0.25">
      <c r="A25472" t="str">
        <f>HYPERLINK("https://www.773grp.com/globalSearch/MMBD2836LT1G/page-1", "MMBD2836LT1G")</f>
        <v>MMBD2836LT1G</v>
      </c>
      <c r="B25472" s="3" t="str">
        <f>HYPERLINK("https://www.773grp.com/manufacturer/onsemi?pageNo=600", "ON Semiconductor")</f>
        <v>ON Semiconductor</v>
      </c>
      <c r="C25472" s="6">
        <v>150000</v>
      </c>
      <c r="D25472" s="7">
        <v>0.23</v>
      </c>
      <c r="E25472" t="s">
        <v>94</v>
      </c>
    </row>
    <row r="25473" spans="1:5" x14ac:dyDescent="0.25">
      <c r="A25473" t="str">
        <f>HYPERLINK("https://www.773grp.com/globalSearch/MMBD2837LT1G/page-1", "MMBD2837LT1G")</f>
        <v>MMBD2837LT1G</v>
      </c>
      <c r="B25473" s="3" t="str">
        <f>HYPERLINK("https://www.773grp.com/manufacturer/onsemi?pageNo=601", "ON Semiconductor")</f>
        <v>ON Semiconductor</v>
      </c>
      <c r="C25473" s="6">
        <v>29590</v>
      </c>
      <c r="D25473" s="7">
        <v>0.23</v>
      </c>
      <c r="E25473" t="s">
        <v>94</v>
      </c>
    </row>
    <row r="25474" spans="1:5" x14ac:dyDescent="0.25">
      <c r="A25474" t="str">
        <f>HYPERLINK("https://www.773grp.com/globalSearch/MMBD2838LT1G/page-1", "MMBD2838LT1G")</f>
        <v>MMBD2838LT1G</v>
      </c>
      <c r="B25474" s="3" t="str">
        <f>HYPERLINK("https://www.773grp.com/manufacturer/onsemi?pageNo=602", "ON Semiconductor")</f>
        <v>ON Semiconductor</v>
      </c>
      <c r="C25474" s="6">
        <v>158648</v>
      </c>
      <c r="D25474" s="7">
        <v>0.23</v>
      </c>
      <c r="E25474" t="s">
        <v>94</v>
      </c>
    </row>
    <row r="25475" spans="1:5" x14ac:dyDescent="0.25">
      <c r="A25475" t="str">
        <f>HYPERLINK("https://www.773grp.com/globalSearch/MMBD6100LT1G/page-1", "MMBD6100LT1G")</f>
        <v>MMBD6100LT1G</v>
      </c>
      <c r="B25475" s="3" t="str">
        <f>HYPERLINK("https://www.773grp.com/manufacturer/onsemi?pageNo=603", "ON Semiconductor")</f>
        <v>ON Semiconductor</v>
      </c>
      <c r="C25475" s="6">
        <v>60000</v>
      </c>
      <c r="D25475" s="7">
        <v>0.23</v>
      </c>
      <c r="E25475" t="s">
        <v>94</v>
      </c>
    </row>
    <row r="25476" spans="1:5" x14ac:dyDescent="0.25">
      <c r="A25476" t="str">
        <f>HYPERLINK("https://www.773grp.com/globalSearch/MMBF2202PT1/page-1", "MMBF2202PT1")</f>
        <v>MMBF2202PT1</v>
      </c>
      <c r="B25476" s="3" t="str">
        <f>HYPERLINK("https://www.773grp.com/manufacturer/onsemi?pageNo=604", "ON Semiconductor")</f>
        <v>ON Semiconductor</v>
      </c>
      <c r="C25476" s="6">
        <v>2274166</v>
      </c>
      <c r="D25476" s="7">
        <v>0.23</v>
      </c>
      <c r="E25476" t="s">
        <v>106</v>
      </c>
    </row>
    <row r="25477" spans="1:5" x14ac:dyDescent="0.25">
      <c r="A25477" t="str">
        <f>HYPERLINK("https://www.773grp.com/globalSearch/MMBT2369ALT1/page-1", "MMBT2369ALT1")</f>
        <v>MMBT2369ALT1</v>
      </c>
      <c r="B25477" s="3" t="str">
        <f>HYPERLINK("https://www.773grp.com/manufacturer/onsemi?pageNo=605", "ON Semiconductor")</f>
        <v>ON Semiconductor</v>
      </c>
      <c r="C25477" s="6">
        <v>36000</v>
      </c>
      <c r="D25477" s="7">
        <v>0.23</v>
      </c>
    </row>
    <row r="25478" spans="1:5" x14ac:dyDescent="0.25">
      <c r="A25478" t="str">
        <f>HYPERLINK("https://www.773grp.com/globalSearch/MMBT2369ALT3/page-1", "MMBT2369ALT3")</f>
        <v>MMBT2369ALT3</v>
      </c>
      <c r="B25478" s="3" t="str">
        <f>HYPERLINK("https://www.773grp.com/manufacturer/onsemi?pageNo=606", "ON Semiconductor")</f>
        <v>ON Semiconductor</v>
      </c>
      <c r="C25478" s="6">
        <v>1750</v>
      </c>
      <c r="D25478" s="7">
        <v>0.23</v>
      </c>
      <c r="E25478" t="s">
        <v>69</v>
      </c>
    </row>
    <row r="25479" spans="1:5" x14ac:dyDescent="0.25">
      <c r="A25479" t="str">
        <f>HYPERLINK("https://www.773grp.com/globalSearch/MMBT2369LT1/page-1", "MMBT2369LT1")</f>
        <v>MMBT2369LT1</v>
      </c>
      <c r="B25479" s="3" t="str">
        <f>HYPERLINK("https://www.773grp.com/manufacturer/onsemi?pageNo=607", "ON Semiconductor")</f>
        <v>ON Semiconductor</v>
      </c>
      <c r="C25479" s="6">
        <v>66000</v>
      </c>
      <c r="D25479" s="7">
        <v>0.23</v>
      </c>
    </row>
    <row r="25480" spans="1:5" x14ac:dyDescent="0.25">
      <c r="A25480" t="str">
        <f>HYPERLINK("https://www.773grp.com/globalSearch/MMBT2484LT1G/page-1", "MMBT2484LT1G")</f>
        <v>MMBT2484LT1G</v>
      </c>
      <c r="B25480" s="3" t="str">
        <f>HYPERLINK("https://www.773grp.com/manufacturer/onsemi?pageNo=608", "ON Semiconductor")</f>
        <v>ON Semiconductor</v>
      </c>
      <c r="C25480" s="6">
        <v>1154620</v>
      </c>
      <c r="D25480" s="7">
        <v>0.23</v>
      </c>
      <c r="E25480" t="s">
        <v>69</v>
      </c>
    </row>
    <row r="25481" spans="1:5" x14ac:dyDescent="0.25">
      <c r="A25481" t="str">
        <f>HYPERLINK("https://www.773grp.com/globalSearch/MMBT5088LT1G/page-1", "MMBT5088LT1G")</f>
        <v>MMBT5088LT1G</v>
      </c>
      <c r="B25481" s="3" t="str">
        <f>HYPERLINK("https://www.773grp.com/manufacturer/onsemi?pageNo=609", "ON Semiconductor")</f>
        <v>ON Semiconductor</v>
      </c>
      <c r="C25481" s="6">
        <v>207000</v>
      </c>
      <c r="D25481" s="7">
        <v>0.23</v>
      </c>
      <c r="E25481" t="s">
        <v>69</v>
      </c>
    </row>
    <row r="25482" spans="1:5" x14ac:dyDescent="0.25">
      <c r="A25482" t="str">
        <f>HYPERLINK("https://www.773grp.com/globalSearch/MMBT5089LT1G/page-1", "MMBT5089LT1G")</f>
        <v>MMBT5089LT1G</v>
      </c>
      <c r="B25482" s="3" t="str">
        <f>HYPERLINK("https://www.773grp.com/manufacturer/onsemi?pageNo=610", "ON Semiconductor")</f>
        <v>ON Semiconductor</v>
      </c>
      <c r="C25482" s="6">
        <v>103000</v>
      </c>
      <c r="D25482" s="7">
        <v>0.23</v>
      </c>
      <c r="E25482" t="s">
        <v>69</v>
      </c>
    </row>
    <row r="25483" spans="1:5" x14ac:dyDescent="0.25">
      <c r="A25483" t="str">
        <f>HYPERLINK("https://www.773grp.com/globalSearch/MMBT5401LT1/page-1", "MMBT5401LT1")</f>
        <v>MMBT5401LT1</v>
      </c>
      <c r="B25483" s="3" t="str">
        <f>HYPERLINK("https://www.773grp.com/manufacturer/onsemi?pageNo=611", "ON Semiconductor")</f>
        <v>ON Semiconductor</v>
      </c>
      <c r="C25483" s="6">
        <v>6000</v>
      </c>
      <c r="D25483" s="7">
        <v>0.23</v>
      </c>
    </row>
    <row r="25484" spans="1:5" x14ac:dyDescent="0.25">
      <c r="A25484" t="str">
        <f>HYPERLINK("https://www.773grp.com/globalSearch/MMBT5550LT1G/page-1", "MMBT5550LT1G")</f>
        <v>MMBT5550LT1G</v>
      </c>
      <c r="B25484" s="3" t="str">
        <f>HYPERLINK("https://www.773grp.com/manufacturer/onsemi?pageNo=612", "ON Semiconductor")</f>
        <v>ON Semiconductor</v>
      </c>
      <c r="C25484" s="6">
        <v>3000</v>
      </c>
      <c r="D25484" s="7">
        <v>0.23</v>
      </c>
      <c r="E25484" t="s">
        <v>69</v>
      </c>
    </row>
    <row r="25485" spans="1:5" x14ac:dyDescent="0.25">
      <c r="A25485" t="str">
        <f>HYPERLINK("https://www.773grp.com/globalSearch/MMBT5550LT3G/page-1", "MMBT5550LT3G")</f>
        <v>MMBT5550LT3G</v>
      </c>
      <c r="B25485" s="3" t="str">
        <f>HYPERLINK("https://www.773grp.com/manufacturer/onsemi?pageNo=613", "ON Semiconductor")</f>
        <v>ON Semiconductor</v>
      </c>
      <c r="C25485" s="6">
        <v>3070000</v>
      </c>
      <c r="D25485" s="7">
        <v>0.23</v>
      </c>
      <c r="E25485" t="s">
        <v>69</v>
      </c>
    </row>
    <row r="25486" spans="1:5" x14ac:dyDescent="0.25">
      <c r="A25486" t="str">
        <f>HYPERLINK("https://www.773grp.com/globalSearch/MMBT6427LT1G/page-1", "MMBT6427LT1G")</f>
        <v>MMBT6427LT1G</v>
      </c>
      <c r="B25486" s="3" t="str">
        <f>HYPERLINK("https://www.773grp.com/manufacturer/onsemi?pageNo=614", "ON Semiconductor")</f>
        <v>ON Semiconductor</v>
      </c>
      <c r="C25486" s="6">
        <v>56049</v>
      </c>
      <c r="D25486" s="7">
        <v>0.23</v>
      </c>
      <c r="E25486" t="s">
        <v>69</v>
      </c>
    </row>
    <row r="25487" spans="1:5" x14ac:dyDescent="0.25">
      <c r="A25487" t="str">
        <f>HYPERLINK("https://www.773grp.com/globalSearch/MMBT6428LT1G/page-1", "MMBT6428LT1G")</f>
        <v>MMBT6428LT1G</v>
      </c>
      <c r="B25487" s="3" t="str">
        <f>HYPERLINK("https://www.773grp.com/manufacturer/onsemi?pageNo=615", "ON Semiconductor")</f>
        <v>ON Semiconductor</v>
      </c>
      <c r="C25487" s="6">
        <v>269825</v>
      </c>
      <c r="D25487" s="7">
        <v>0.23</v>
      </c>
      <c r="E25487" t="s">
        <v>69</v>
      </c>
    </row>
    <row r="25488" spans="1:5" x14ac:dyDescent="0.25">
      <c r="A25488" t="str">
        <f>HYPERLINK("https://www.773grp.com/globalSearch/MMBT6429LT1G/page-1", "MMBT6429LT1G")</f>
        <v>MMBT6429LT1G</v>
      </c>
      <c r="B25488" s="3" t="str">
        <f>HYPERLINK("https://www.773grp.com/manufacturer/onsemi?pageNo=616", "ON Semiconductor")</f>
        <v>ON Semiconductor</v>
      </c>
      <c r="C25488" s="6">
        <v>566650</v>
      </c>
      <c r="D25488" s="7">
        <v>0.23</v>
      </c>
      <c r="E25488" t="s">
        <v>69</v>
      </c>
    </row>
    <row r="25489" spans="1:5" x14ac:dyDescent="0.25">
      <c r="A25489" t="str">
        <f>HYPERLINK("https://www.773grp.com/globalSearch/MMBT8099LT1G/page-1", "MMBT8099LT1G")</f>
        <v>MMBT8099LT1G</v>
      </c>
      <c r="B25489" s="3" t="str">
        <f>HYPERLINK("https://www.773grp.com/manufacturer/onsemi?pageNo=617", "ON Semiconductor")</f>
        <v>ON Semiconductor</v>
      </c>
      <c r="C25489" s="6">
        <v>63000</v>
      </c>
      <c r="D25489" s="7">
        <v>0.23</v>
      </c>
      <c r="E25489" t="s">
        <v>69</v>
      </c>
    </row>
    <row r="25490" spans="1:5" x14ac:dyDescent="0.25">
      <c r="A25490" t="str">
        <f>HYPERLINK("https://www.773grp.com/globalSearch/MMBTA05LT1G/page-1", "MMBTA05LT1G")</f>
        <v>MMBTA05LT1G</v>
      </c>
      <c r="B25490" s="3" t="str">
        <f>HYPERLINK("https://www.773grp.com/manufacturer/onsemi?pageNo=618", "ON Semiconductor")</f>
        <v>ON Semiconductor</v>
      </c>
      <c r="C25490" s="6">
        <v>39000</v>
      </c>
      <c r="D25490" s="7">
        <v>0.23</v>
      </c>
      <c r="E25490" t="s">
        <v>69</v>
      </c>
    </row>
    <row r="25491" spans="1:5" x14ac:dyDescent="0.25">
      <c r="A25491" t="str">
        <f>HYPERLINK("https://www.773grp.com/globalSearch/MMBTA06LT1G/page-1", "MMBTA06LT1G")</f>
        <v>MMBTA06LT1G</v>
      </c>
      <c r="B25491" s="3" t="str">
        <f>HYPERLINK("https://www.773grp.com/manufacturer/onsemi?pageNo=619", "ON Semiconductor")</f>
        <v>ON Semiconductor</v>
      </c>
      <c r="C25491" s="6">
        <v>2304000</v>
      </c>
      <c r="D25491" s="7">
        <v>0.23</v>
      </c>
      <c r="E25491" t="s">
        <v>69</v>
      </c>
    </row>
    <row r="25492" spans="1:5" x14ac:dyDescent="0.25">
      <c r="A25492" t="str">
        <f>HYPERLINK("https://www.773grp.com/globalSearch/MMBTA06LT3G/page-1", "MMBTA06LT3G")</f>
        <v>MMBTA06LT3G</v>
      </c>
      <c r="B25492" s="3" t="str">
        <f>HYPERLINK("https://www.773grp.com/manufacturer/onsemi?pageNo=620", "ON Semiconductor")</f>
        <v>ON Semiconductor</v>
      </c>
      <c r="C25492" s="6">
        <v>70102</v>
      </c>
      <c r="D25492" s="7">
        <v>0.23</v>
      </c>
      <c r="E25492" t="s">
        <v>69</v>
      </c>
    </row>
    <row r="25493" spans="1:5" x14ac:dyDescent="0.25">
      <c r="A25493" t="str">
        <f>HYPERLINK("https://www.773grp.com/globalSearch/MMBTA13LT1G/page-1", "MMBTA13LT1G")</f>
        <v>MMBTA13LT1G</v>
      </c>
      <c r="B25493" s="3" t="str">
        <f>HYPERLINK("https://www.773grp.com/manufacturer/onsemi?pageNo=621", "ON Semiconductor")</f>
        <v>ON Semiconductor</v>
      </c>
      <c r="C25493" s="6">
        <v>270000</v>
      </c>
      <c r="D25493" s="7">
        <v>0.23</v>
      </c>
      <c r="E25493" t="s">
        <v>69</v>
      </c>
    </row>
    <row r="25494" spans="1:5" x14ac:dyDescent="0.25">
      <c r="A25494" t="str">
        <f>HYPERLINK("https://www.773grp.com/globalSearch/MMBTA13LT3G/page-1", "MMBTA13LT3G")</f>
        <v>MMBTA13LT3G</v>
      </c>
      <c r="B25494" s="3" t="str">
        <f>HYPERLINK("https://www.773grp.com/manufacturer/onsemi?pageNo=622", "ON Semiconductor")</f>
        <v>ON Semiconductor</v>
      </c>
      <c r="C25494" s="6">
        <v>30000</v>
      </c>
      <c r="D25494" s="7">
        <v>0.23</v>
      </c>
      <c r="E25494" t="s">
        <v>69</v>
      </c>
    </row>
    <row r="25495" spans="1:5" x14ac:dyDescent="0.25">
      <c r="A25495" t="str">
        <f>HYPERLINK("https://www.773grp.com/globalSearch/MMBTA14LT1G/page-1", "MMBTA14LT1G")</f>
        <v>MMBTA14LT1G</v>
      </c>
      <c r="B25495" s="3" t="str">
        <f>HYPERLINK("https://www.773grp.com/manufacturer/onsemi?pageNo=623", "ON Semiconductor")</f>
        <v>ON Semiconductor</v>
      </c>
      <c r="C25495" s="6">
        <v>915571</v>
      </c>
      <c r="D25495" s="7">
        <v>0.23</v>
      </c>
      <c r="E25495" t="s">
        <v>69</v>
      </c>
    </row>
    <row r="25496" spans="1:5" x14ac:dyDescent="0.25">
      <c r="A25496" t="str">
        <f>HYPERLINK("https://www.773grp.com/globalSearch/MMBTA42LT1/page-1", "MMBTA42LT1")</f>
        <v>MMBTA42LT1</v>
      </c>
      <c r="B25496" s="3" t="str">
        <f>HYPERLINK("https://www.773grp.com/manufacturer/onsemi?pageNo=624", "ON Semiconductor")</f>
        <v>ON Semiconductor</v>
      </c>
      <c r="C25496" s="6">
        <v>12000</v>
      </c>
      <c r="D25496" s="7">
        <v>0.23</v>
      </c>
    </row>
    <row r="25497" spans="1:5" x14ac:dyDescent="0.25">
      <c r="A25497" t="str">
        <f>HYPERLINK("https://www.773grp.com/globalSearch/MMBTA42LT1G/page-1", "MMBTA42LT1G")</f>
        <v>MMBTA42LT1G</v>
      </c>
      <c r="B25497" s="3" t="str">
        <f>HYPERLINK("https://www.773grp.com/manufacturer/onsemi?pageNo=625", "ON Semiconductor")</f>
        <v>ON Semiconductor</v>
      </c>
      <c r="C25497" s="6">
        <v>159000</v>
      </c>
      <c r="D25497" s="7">
        <v>0.23</v>
      </c>
      <c r="E25497" t="s">
        <v>69</v>
      </c>
    </row>
    <row r="25498" spans="1:5" x14ac:dyDescent="0.25">
      <c r="A25498" t="str">
        <f>HYPERLINK("https://www.773grp.com/globalSearch/MMBTA42LT3G/page-1", "MMBTA42LT3G")</f>
        <v>MMBTA42LT3G</v>
      </c>
      <c r="B25498" s="3" t="str">
        <f>HYPERLINK("https://www.773grp.com/manufacturer/onsemi?pageNo=626", "ON Semiconductor")</f>
        <v>ON Semiconductor</v>
      </c>
      <c r="C25498" s="6">
        <v>150000</v>
      </c>
      <c r="D25498" s="7">
        <v>0.23</v>
      </c>
    </row>
    <row r="25499" spans="1:5" x14ac:dyDescent="0.25">
      <c r="A25499" t="str">
        <f>HYPERLINK("https://www.773grp.com/globalSearch/MMBTA43LT1G/page-1", "MMBTA43LT1G")</f>
        <v>MMBTA43LT1G</v>
      </c>
      <c r="B25499" s="3" t="str">
        <f>HYPERLINK("https://www.773grp.com/manufacturer/onsemi?pageNo=627", "ON Semiconductor")</f>
        <v>ON Semiconductor</v>
      </c>
      <c r="C25499" s="6">
        <v>11930</v>
      </c>
      <c r="D25499" s="7">
        <v>0.23</v>
      </c>
      <c r="E25499" t="s">
        <v>69</v>
      </c>
    </row>
    <row r="25500" spans="1:5" x14ac:dyDescent="0.25">
      <c r="A25500" t="str">
        <f>HYPERLINK("https://www.773grp.com/globalSearch/MMBTA55LT1G/page-1", "MMBTA55LT1G")</f>
        <v>MMBTA55LT1G</v>
      </c>
      <c r="B25500" s="3" t="str">
        <f>HYPERLINK("https://www.773grp.com/manufacturer/onsemi?pageNo=628", "ON Semiconductor")</f>
        <v>ON Semiconductor</v>
      </c>
      <c r="C25500" s="6">
        <v>868848</v>
      </c>
      <c r="D25500" s="7">
        <v>0.23</v>
      </c>
      <c r="E25500" t="s">
        <v>69</v>
      </c>
    </row>
    <row r="25501" spans="1:5" x14ac:dyDescent="0.25">
      <c r="A25501" t="str">
        <f>HYPERLINK("https://www.773grp.com/globalSearch/MMBTA56LT1/page-1", "MMBTA56LT1")</f>
        <v>MMBTA56LT1</v>
      </c>
      <c r="B25501" s="3" t="str">
        <f>HYPERLINK("https://www.773grp.com/manufacturer/onsemi?pageNo=629", "ON Semiconductor")</f>
        <v>ON Semiconductor</v>
      </c>
      <c r="C25501" s="6">
        <v>15000</v>
      </c>
      <c r="D25501" s="7">
        <v>0.23</v>
      </c>
    </row>
    <row r="25502" spans="1:5" x14ac:dyDescent="0.25">
      <c r="A25502" t="str">
        <f>HYPERLINK("https://www.773grp.com/globalSearch/MMBTA56LT1G/page-1", "MMBTA56LT1G")</f>
        <v>MMBTA56LT1G</v>
      </c>
      <c r="B25502" s="3" t="str">
        <f>HYPERLINK("https://www.773grp.com/manufacturer/onsemi?pageNo=630", "ON Semiconductor")</f>
        <v>ON Semiconductor</v>
      </c>
      <c r="C25502" s="6">
        <v>172328</v>
      </c>
      <c r="D25502" s="7">
        <v>0.23</v>
      </c>
      <c r="E25502" t="s">
        <v>69</v>
      </c>
    </row>
    <row r="25503" spans="1:5" x14ac:dyDescent="0.25">
      <c r="A25503" t="str">
        <f>HYPERLINK("https://www.773grp.com/globalSearch/MMBTA56LT3G/page-1", "MMBTA56LT3G")</f>
        <v>MMBTA56LT3G</v>
      </c>
      <c r="B25503" s="3" t="str">
        <f>HYPERLINK("https://www.773grp.com/manufacturer/onsemi?pageNo=631", "ON Semiconductor")</f>
        <v>ON Semiconductor</v>
      </c>
      <c r="C25503" s="6">
        <v>210000</v>
      </c>
      <c r="D25503" s="7">
        <v>0.23</v>
      </c>
    </row>
    <row r="25504" spans="1:5" x14ac:dyDescent="0.25">
      <c r="A25504" t="str">
        <f>HYPERLINK("https://www.773grp.com/globalSearch/MMBTA63LT1G/page-1", "MMBTA63LT1G")</f>
        <v>MMBTA63LT1G</v>
      </c>
      <c r="B25504" s="3" t="str">
        <f>HYPERLINK("https://www.773grp.com/manufacturer/onsemi?pageNo=632", "ON Semiconductor")</f>
        <v>ON Semiconductor</v>
      </c>
      <c r="C25504" s="6">
        <v>13979</v>
      </c>
      <c r="D25504" s="7">
        <v>0.23</v>
      </c>
      <c r="E25504" t="s">
        <v>69</v>
      </c>
    </row>
    <row r="25505" spans="1:5" x14ac:dyDescent="0.25">
      <c r="A25505" t="str">
        <f>HYPERLINK("https://www.773grp.com/globalSearch/MMBTA64LT1/page-1", "MMBTA64LT1")</f>
        <v>MMBTA64LT1</v>
      </c>
      <c r="B25505" s="3" t="str">
        <f>HYPERLINK("https://www.773grp.com/manufacturer/onsemi?pageNo=633", "ON Semiconductor")</f>
        <v>ON Semiconductor</v>
      </c>
      <c r="C25505" s="6">
        <v>12000</v>
      </c>
      <c r="D25505" s="7">
        <v>0.23</v>
      </c>
      <c r="E25505" t="s">
        <v>69</v>
      </c>
    </row>
    <row r="25506" spans="1:5" x14ac:dyDescent="0.25">
      <c r="A25506" t="str">
        <f>HYPERLINK("https://www.773grp.com/globalSearch/MMBTA64LT1G/page-1", "MMBTA64LT1G")</f>
        <v>MMBTA64LT1G</v>
      </c>
      <c r="B25506" s="3" t="str">
        <f>HYPERLINK("https://www.773grp.com/manufacturer/onsemi?pageNo=634", "ON Semiconductor")</f>
        <v>ON Semiconductor</v>
      </c>
      <c r="C25506" s="6">
        <v>831000</v>
      </c>
      <c r="D25506" s="7">
        <v>0.23</v>
      </c>
      <c r="E25506" t="s">
        <v>69</v>
      </c>
    </row>
    <row r="25507" spans="1:5" x14ac:dyDescent="0.25">
      <c r="A25507" t="str">
        <f>HYPERLINK("https://www.773grp.com/globalSearch/MMBTA70LT1G/page-1", "MMBTA70LT1G")</f>
        <v>MMBTA70LT1G</v>
      </c>
      <c r="B25507" s="3" t="str">
        <f>HYPERLINK("https://www.773grp.com/manufacturer/onsemi?pageNo=635", "ON Semiconductor")</f>
        <v>ON Semiconductor</v>
      </c>
      <c r="C25507" s="6">
        <v>31852</v>
      </c>
      <c r="D25507" s="7">
        <v>0.23</v>
      </c>
      <c r="E25507" t="s">
        <v>69</v>
      </c>
    </row>
    <row r="25508" spans="1:5" x14ac:dyDescent="0.25">
      <c r="A25508" t="str">
        <f>HYPERLINK("https://www.773grp.com/globalSearch/MMBTA92LT1G/page-1", "MMBTA92LT1G")</f>
        <v>MMBTA92LT1G</v>
      </c>
      <c r="B25508" s="3" t="str">
        <f>HYPERLINK("https://www.773grp.com/manufacturer/onsemi?pageNo=636", "ON Semiconductor")</f>
        <v>ON Semiconductor</v>
      </c>
      <c r="C25508" s="6">
        <v>289851</v>
      </c>
      <c r="D25508" s="7">
        <v>0.23</v>
      </c>
      <c r="E25508" t="s">
        <v>69</v>
      </c>
    </row>
    <row r="25509" spans="1:5" x14ac:dyDescent="0.25">
      <c r="A25509" t="str">
        <f>HYPERLINK("https://www.773grp.com/globalSearch/MMBTA92LT3G/page-1", "MMBTA92LT3G")</f>
        <v>MMBTA92LT3G</v>
      </c>
      <c r="B25509" s="3" t="str">
        <f>HYPERLINK("https://www.773grp.com/manufacturer/onsemi?pageNo=637", "ON Semiconductor")</f>
        <v>ON Semiconductor</v>
      </c>
      <c r="C25509" s="6">
        <v>20000</v>
      </c>
      <c r="D25509" s="7">
        <v>0.23</v>
      </c>
    </row>
    <row r="25510" spans="1:5" x14ac:dyDescent="0.25">
      <c r="A25510" t="str">
        <f>HYPERLINK("https://www.773grp.com/globalSearch/MMBZ12VALT1G/page-1", "MMBZ12VALT1G")</f>
        <v>MMBZ12VALT1G</v>
      </c>
      <c r="B25510" s="3" t="str">
        <f>HYPERLINK("https://www.773grp.com/manufacturer/onsemi?pageNo=638", "ON Semiconductor")</f>
        <v>ON Semiconductor</v>
      </c>
      <c r="C25510" s="6">
        <v>183000</v>
      </c>
      <c r="D25510" s="7">
        <v>0.23</v>
      </c>
      <c r="E25510" t="s">
        <v>96</v>
      </c>
    </row>
    <row r="25511" spans="1:5" x14ac:dyDescent="0.25">
      <c r="A25511" t="str">
        <f>HYPERLINK("https://www.773grp.com/globalSearch/MMBZ15VALT1G/page-1", "MMBZ15VALT1G")</f>
        <v>MMBZ15VALT1G</v>
      </c>
      <c r="B25511" s="3" t="str">
        <f>HYPERLINK("https://www.773grp.com/manufacturer/onsemi?pageNo=639", "ON Semiconductor")</f>
        <v>ON Semiconductor</v>
      </c>
      <c r="C25511" s="6">
        <v>30000</v>
      </c>
      <c r="D25511" s="7">
        <v>0.23</v>
      </c>
      <c r="E25511" t="s">
        <v>96</v>
      </c>
    </row>
    <row r="25512" spans="1:5" x14ac:dyDescent="0.25">
      <c r="A25512" t="str">
        <f>HYPERLINK("https://www.773grp.com/globalSearch/MMBZ15VDLT1G/page-1", "MMBZ15VDLT1G")</f>
        <v>MMBZ15VDLT1G</v>
      </c>
      <c r="B25512" s="3" t="str">
        <f>HYPERLINK("https://www.773grp.com/manufacturer/onsemi?pageNo=640", "ON Semiconductor")</f>
        <v>ON Semiconductor</v>
      </c>
      <c r="C25512" s="6">
        <v>17240</v>
      </c>
      <c r="D25512" s="7">
        <v>0.23</v>
      </c>
      <c r="E25512" t="s">
        <v>96</v>
      </c>
    </row>
    <row r="25513" spans="1:5" x14ac:dyDescent="0.25">
      <c r="A25513" t="str">
        <f>HYPERLINK("https://www.773grp.com/globalSearch/MMBZ18VALT1G/page-1", "MMBZ18VALT1G")</f>
        <v>MMBZ18VALT1G</v>
      </c>
      <c r="B25513" s="3" t="str">
        <f>HYPERLINK("https://www.773grp.com/manufacturer/onsemi?pageNo=641", "ON Semiconductor")</f>
        <v>ON Semiconductor</v>
      </c>
      <c r="C25513" s="6">
        <v>1242</v>
      </c>
      <c r="D25513" s="7">
        <v>0.23</v>
      </c>
      <c r="E25513" t="s">
        <v>96</v>
      </c>
    </row>
    <row r="25514" spans="1:5" x14ac:dyDescent="0.25">
      <c r="A25514" t="str">
        <f>HYPERLINK("https://www.773grp.com/globalSearch/MMBZ20VALT1/page-1", "MMBZ20VALT1")</f>
        <v>MMBZ20VALT1</v>
      </c>
      <c r="B25514" s="3" t="str">
        <f>HYPERLINK("https://www.773grp.com/manufacturer/onsemi?pageNo=642", "ON Semiconductor")</f>
        <v>ON Semiconductor</v>
      </c>
      <c r="C25514" s="6">
        <v>18050</v>
      </c>
      <c r="D25514" s="7">
        <v>0.23</v>
      </c>
      <c r="E25514" t="s">
        <v>96</v>
      </c>
    </row>
    <row r="25515" spans="1:5" x14ac:dyDescent="0.25">
      <c r="A25515" t="str">
        <f>HYPERLINK("https://www.773grp.com/globalSearch/MMBZ20VALT1G/page-1", "MMBZ20VALT1G")</f>
        <v>MMBZ20VALT1G</v>
      </c>
      <c r="B25515" s="3" t="str">
        <f>HYPERLINK("https://www.773grp.com/manufacturer/onsemi?pageNo=643", "ON Semiconductor")</f>
        <v>ON Semiconductor</v>
      </c>
      <c r="C25515" s="6">
        <v>2000</v>
      </c>
      <c r="D25515" s="7">
        <v>0.23</v>
      </c>
      <c r="E25515" t="s">
        <v>96</v>
      </c>
    </row>
    <row r="25516" spans="1:5" x14ac:dyDescent="0.25">
      <c r="A25516" t="str">
        <f>HYPERLINK("https://www.773grp.com/globalSearch/MMBZ27VALT1G/page-1", "MMBZ27VALT1G")</f>
        <v>MMBZ27VALT1G</v>
      </c>
      <c r="B25516" s="3" t="str">
        <f>HYPERLINK("https://www.773grp.com/manufacturer/onsemi?pageNo=644", "ON Semiconductor")</f>
        <v>ON Semiconductor</v>
      </c>
      <c r="C25516" s="6">
        <v>5245</v>
      </c>
      <c r="D25516" s="7">
        <v>0.23</v>
      </c>
      <c r="E25516" t="s">
        <v>96</v>
      </c>
    </row>
    <row r="25517" spans="1:5" x14ac:dyDescent="0.25">
      <c r="A25517" t="str">
        <f>HYPERLINK("https://www.773grp.com/globalSearch/MMBZ27VALT3G/page-1", "MMBZ27VALT3G")</f>
        <v>MMBZ27VALT3G</v>
      </c>
      <c r="B25517" s="3" t="str">
        <f>HYPERLINK("https://www.773grp.com/manufacturer/onsemi?pageNo=645", "ON Semiconductor")</f>
        <v>ON Semiconductor</v>
      </c>
      <c r="C25517" s="6">
        <v>650000</v>
      </c>
      <c r="D25517" s="7">
        <v>0.23</v>
      </c>
      <c r="E25517" t="s">
        <v>96</v>
      </c>
    </row>
    <row r="25518" spans="1:5" x14ac:dyDescent="0.25">
      <c r="A25518" t="str">
        <f>HYPERLINK("https://www.773grp.com/globalSearch/MMBZ27VCLT1G/page-1", "MMBZ27VCLT1G")</f>
        <v>MMBZ27VCLT1G</v>
      </c>
      <c r="B25518" s="3" t="str">
        <f>HYPERLINK("https://www.773grp.com/manufacturer/onsemi?pageNo=646", "ON Semiconductor")</f>
        <v>ON Semiconductor</v>
      </c>
      <c r="C25518" s="6">
        <v>199572</v>
      </c>
      <c r="D25518" s="7">
        <v>0.23</v>
      </c>
      <c r="E25518" t="s">
        <v>96</v>
      </c>
    </row>
    <row r="25519" spans="1:5" x14ac:dyDescent="0.25">
      <c r="A25519" t="str">
        <f>HYPERLINK("https://www.773grp.com/globalSearch/MMBZ33VALT1G/page-1", "MMBZ33VALT1G")</f>
        <v>MMBZ33VALT1G</v>
      </c>
      <c r="B25519" s="3" t="str">
        <f>HYPERLINK("https://www.773grp.com/manufacturer/onsemi?pageNo=647", "ON Semiconductor")</f>
        <v>ON Semiconductor</v>
      </c>
      <c r="C25519" s="6">
        <v>87000</v>
      </c>
      <c r="D25519" s="7">
        <v>0.23</v>
      </c>
      <c r="E25519" t="s">
        <v>96</v>
      </c>
    </row>
    <row r="25520" spans="1:5" x14ac:dyDescent="0.25">
      <c r="A25520" t="str">
        <f>HYPERLINK("https://www.773grp.com/globalSearch/MMBZ5227BLT1H/page-1", "MMBZ5227BLT1H")</f>
        <v>MMBZ5227BLT1H</v>
      </c>
      <c r="B25520" s="3" t="str">
        <f>HYPERLINK("https://www.773grp.com/manufacturer/onsemi?pageNo=648", "ON Semiconductor")</f>
        <v>ON Semiconductor</v>
      </c>
      <c r="C25520" s="6">
        <v>24000</v>
      </c>
      <c r="D25520" s="7">
        <v>0.23</v>
      </c>
    </row>
    <row r="25521" spans="1:5" x14ac:dyDescent="0.25">
      <c r="A25521" t="str">
        <f>HYPERLINK("https://www.773grp.com/globalSearch/MMBZ5232BLT1/page-1", "MMBZ5232BLT1")</f>
        <v>MMBZ5232BLT1</v>
      </c>
      <c r="B25521" s="3" t="str">
        <f>HYPERLINK("https://www.773grp.com/manufacturer/onsemi?pageNo=649", "ON Semiconductor")</f>
        <v>ON Semiconductor</v>
      </c>
      <c r="C25521" s="6">
        <v>21000</v>
      </c>
      <c r="D25521" s="7">
        <v>0.23</v>
      </c>
      <c r="E25521" t="s">
        <v>98</v>
      </c>
    </row>
    <row r="25522" spans="1:5" x14ac:dyDescent="0.25">
      <c r="A25522" t="str">
        <f>HYPERLINK("https://www.773grp.com/globalSearch/MMBZ5235BLT1/page-1", "MMBZ5235BLT1")</f>
        <v>MMBZ5235BLT1</v>
      </c>
      <c r="B25522" s="3" t="str">
        <f>HYPERLINK("https://www.773grp.com/manufacturer/onsemi?pageNo=650", "ON Semiconductor")</f>
        <v>ON Semiconductor</v>
      </c>
      <c r="C25522" s="6">
        <v>171000</v>
      </c>
      <c r="D25522" s="7">
        <v>0.23</v>
      </c>
    </row>
    <row r="25523" spans="1:5" x14ac:dyDescent="0.25">
      <c r="A25523" t="str">
        <f>HYPERLINK("https://www.773grp.com/globalSearch/MMBZ5236BLT1/page-1", "MMBZ5236BLT1")</f>
        <v>MMBZ5236BLT1</v>
      </c>
      <c r="B25523" s="3" t="str">
        <f>HYPERLINK("https://www.773grp.com/manufacturer/onsemi?pageNo=651", "ON Semiconductor")</f>
        <v>ON Semiconductor</v>
      </c>
      <c r="C25523" s="6">
        <v>105000</v>
      </c>
      <c r="D25523" s="7">
        <v>0.23</v>
      </c>
      <c r="E25523" t="s">
        <v>98</v>
      </c>
    </row>
    <row r="25524" spans="1:5" x14ac:dyDescent="0.25">
      <c r="A25524" t="str">
        <f>HYPERLINK("https://www.773grp.com/globalSearch/MMBZ5241BLT1/page-1", "MMBZ5241BLT1")</f>
        <v>MMBZ5241BLT1</v>
      </c>
      <c r="B25524" s="3" t="str">
        <f>HYPERLINK("https://www.773grp.com/manufacturer/onsemi?pageNo=652", "ON Semiconductor")</f>
        <v>ON Semiconductor</v>
      </c>
      <c r="C25524" s="6">
        <v>12000</v>
      </c>
      <c r="D25524" s="7">
        <v>0.23</v>
      </c>
    </row>
    <row r="25525" spans="1:5" x14ac:dyDescent="0.25">
      <c r="A25525" t="str">
        <f>HYPERLINK("https://www.773grp.com/globalSearch/MMBZ5245BLT1/page-1", "MMBZ5245BLT1")</f>
        <v>MMBZ5245BLT1</v>
      </c>
      <c r="B25525" s="3" t="str">
        <f>HYPERLINK("https://www.773grp.com/manufacturer/onsemi?pageNo=653", "ON Semiconductor")</f>
        <v>ON Semiconductor</v>
      </c>
      <c r="C25525" s="6">
        <v>126000</v>
      </c>
      <c r="D25525" s="7">
        <v>0.23</v>
      </c>
    </row>
    <row r="25526" spans="1:5" x14ac:dyDescent="0.25">
      <c r="A25526" t="str">
        <f>HYPERLINK("https://www.773grp.com/globalSearch/MMBZ5245BLT3/page-1", "MMBZ5245BLT3")</f>
        <v>MMBZ5245BLT3</v>
      </c>
      <c r="B25526" s="3" t="str">
        <f>HYPERLINK("https://www.773grp.com/manufacturer/onsemi?pageNo=654", "ON Semiconductor")</f>
        <v>ON Semiconductor</v>
      </c>
      <c r="C25526" s="6">
        <v>40000</v>
      </c>
      <c r="D25526" s="7">
        <v>0.23</v>
      </c>
    </row>
    <row r="25527" spans="1:5" x14ac:dyDescent="0.25">
      <c r="A25527" t="str">
        <f>HYPERLINK("https://www.773grp.com/globalSearch/MMBZ5245BLT3G/page-1", "MMBZ5245BLT3G")</f>
        <v>MMBZ5245BLT3G</v>
      </c>
      <c r="B25527" s="3" t="str">
        <f>HYPERLINK("https://www.773grp.com/manufacturer/onsemi?pageNo=655", "ON Semiconductor")</f>
        <v>ON Semiconductor</v>
      </c>
      <c r="C25527" s="6">
        <v>150000</v>
      </c>
      <c r="D25527" s="7">
        <v>0.23</v>
      </c>
      <c r="E25527" t="s">
        <v>98</v>
      </c>
    </row>
    <row r="25528" spans="1:5" x14ac:dyDescent="0.25">
      <c r="A25528" t="str">
        <f>HYPERLINK("https://www.773grp.com/globalSearch/MMBZ5251BLTIG/page-1", "MMBZ5251BLTIG")</f>
        <v>MMBZ5251BLTIG</v>
      </c>
      <c r="B25528" s="3" t="str">
        <f>HYPERLINK("https://www.773grp.com/manufacturer/onsemi?pageNo=656", "ON Semiconductor")</f>
        <v>ON Semiconductor</v>
      </c>
      <c r="C25528" s="6">
        <v>24000</v>
      </c>
      <c r="D25528" s="7">
        <v>0.23</v>
      </c>
    </row>
    <row r="25529" spans="1:5" x14ac:dyDescent="0.25">
      <c r="A25529" t="str">
        <f>HYPERLINK("https://www.773grp.com/globalSearch/MMBZ5257BLT3G/page-1", "MMBZ5257BLT3G")</f>
        <v>MMBZ5257BLT3G</v>
      </c>
      <c r="B25529" s="3" t="str">
        <f>HYPERLINK("https://www.773grp.com/manufacturer/onsemi?pageNo=657", "ON Semiconductor")</f>
        <v>ON Semiconductor</v>
      </c>
      <c r="C25529" s="6">
        <v>130000</v>
      </c>
      <c r="D25529" s="7">
        <v>0.23</v>
      </c>
      <c r="E25529" t="s">
        <v>98</v>
      </c>
    </row>
    <row r="25530" spans="1:5" x14ac:dyDescent="0.25">
      <c r="A25530" t="str">
        <f>HYPERLINK("https://www.773grp.com/globalSearch/MMBZ5261BLT3G/page-1", "MMBZ5261BLT3G")</f>
        <v>MMBZ5261BLT3G</v>
      </c>
      <c r="B25530" s="3" t="str">
        <f>HYPERLINK("https://www.773grp.com/manufacturer/onsemi?pageNo=658", "ON Semiconductor")</f>
        <v>ON Semiconductor</v>
      </c>
      <c r="C25530" s="6">
        <v>140000</v>
      </c>
      <c r="D25530" s="7">
        <v>0.23</v>
      </c>
      <c r="E25530" t="s">
        <v>98</v>
      </c>
    </row>
    <row r="25531" spans="1:5" x14ac:dyDescent="0.25">
      <c r="A25531" t="str">
        <f>HYPERLINK("https://www.773grp.com/globalSearch/MMBZ5262ELT1/page-1", "MMBZ5262ELT1")</f>
        <v>MMBZ5262ELT1</v>
      </c>
      <c r="B25531" s="3" t="str">
        <f>HYPERLINK("https://www.773grp.com/manufacturer/onsemi?pageNo=659", "ON Semiconductor")</f>
        <v>ON Semiconductor</v>
      </c>
      <c r="C25531" s="6">
        <v>18000</v>
      </c>
      <c r="D25531" s="7">
        <v>0.23</v>
      </c>
      <c r="E25531" t="s">
        <v>98</v>
      </c>
    </row>
    <row r="25532" spans="1:5" x14ac:dyDescent="0.25">
      <c r="A25532" t="str">
        <f>HYPERLINK("https://www.773grp.com/globalSearch/MMBZ5V6ALT1/page-1", "MMBZ5V6ALT1")</f>
        <v>MMBZ5V6ALT1</v>
      </c>
      <c r="B25532" s="3" t="str">
        <f>HYPERLINK("https://www.773grp.com/manufacturer/onsemi?pageNo=660", "ON Semiconductor")</f>
        <v>ON Semiconductor</v>
      </c>
      <c r="C25532" s="6">
        <v>31470</v>
      </c>
      <c r="D25532" s="7">
        <v>0.23</v>
      </c>
      <c r="E25532" t="s">
        <v>96</v>
      </c>
    </row>
    <row r="25533" spans="1:5" x14ac:dyDescent="0.25">
      <c r="A25533" t="str">
        <f>HYPERLINK("https://www.773grp.com/globalSearch/MMBZ5V6ALT1G/page-1", "MMBZ5V6ALT1G")</f>
        <v>MMBZ5V6ALT1G</v>
      </c>
      <c r="B25533" s="3" t="str">
        <f>HYPERLINK("https://www.773grp.com/manufacturer/onsemi?pageNo=661", "ON Semiconductor")</f>
        <v>ON Semiconductor</v>
      </c>
      <c r="C25533" s="6">
        <v>74524</v>
      </c>
      <c r="D25533" s="7">
        <v>0.23</v>
      </c>
      <c r="E25533" t="s">
        <v>96</v>
      </c>
    </row>
    <row r="25534" spans="1:5" x14ac:dyDescent="0.25">
      <c r="A25534" t="str">
        <f>HYPERLINK("https://www.773grp.com/globalSearch/MMBZ5V6ALT3G/page-1", "MMBZ5V6ALT3G")</f>
        <v>MMBZ5V6ALT3G</v>
      </c>
      <c r="B25534" s="3" t="str">
        <f>HYPERLINK("https://www.773grp.com/manufacturer/onsemi?pageNo=662", "ON Semiconductor")</f>
        <v>ON Semiconductor</v>
      </c>
      <c r="C25534" s="6">
        <v>260000</v>
      </c>
      <c r="D25534" s="7">
        <v>0.23</v>
      </c>
      <c r="E25534" t="s">
        <v>96</v>
      </c>
    </row>
    <row r="25535" spans="1:5" x14ac:dyDescent="0.25">
      <c r="A25535" t="str">
        <f>HYPERLINK("https://www.773grp.com/globalSearch/MMBZ6V2ALT1/page-1", "MMBZ6V2ALT1")</f>
        <v>MMBZ6V2ALT1</v>
      </c>
      <c r="B25535" s="3" t="str">
        <f>HYPERLINK("https://www.773grp.com/manufacturer/onsemi?pageNo=663", "ON Semiconductor")</f>
        <v>ON Semiconductor</v>
      </c>
      <c r="C25535" s="6">
        <v>54000</v>
      </c>
      <c r="D25535" s="7">
        <v>0.23</v>
      </c>
      <c r="E25535" t="s">
        <v>96</v>
      </c>
    </row>
    <row r="25536" spans="1:5" x14ac:dyDescent="0.25">
      <c r="A25536" t="str">
        <f>HYPERLINK("https://www.773grp.com/globalSearch/MMBZ6V2ALT1G/page-1", "MMBZ6V2ALT1G")</f>
        <v>MMBZ6V2ALT1G</v>
      </c>
      <c r="B25536" s="3" t="str">
        <f>HYPERLINK("https://www.773grp.com/manufacturer/onsemi?pageNo=664", "ON Semiconductor")</f>
        <v>ON Semiconductor</v>
      </c>
      <c r="C25536" s="6">
        <v>7984</v>
      </c>
      <c r="D25536" s="7">
        <v>0.23</v>
      </c>
      <c r="E25536" t="s">
        <v>96</v>
      </c>
    </row>
    <row r="25537" spans="1:5" x14ac:dyDescent="0.25">
      <c r="A25537" t="str">
        <f>HYPERLINK("https://www.773grp.com/globalSearch/MMBZ6V8ALT1/page-1", "MMBZ6V8ALT1")</f>
        <v>MMBZ6V8ALT1</v>
      </c>
      <c r="B25537" s="3" t="str">
        <f>HYPERLINK("https://www.773grp.com/manufacturer/onsemi?pageNo=665", "ON Semiconductor")</f>
        <v>ON Semiconductor</v>
      </c>
      <c r="C25537" s="6">
        <v>93000</v>
      </c>
      <c r="D25537" s="7">
        <v>0.23</v>
      </c>
      <c r="E25537" t="s">
        <v>96</v>
      </c>
    </row>
    <row r="25538" spans="1:5" x14ac:dyDescent="0.25">
      <c r="A25538" t="str">
        <f>HYPERLINK("https://www.773grp.com/globalSearch/MMBZ6V8ALT1G/page-1", "MMBZ6V8ALT1G")</f>
        <v>MMBZ6V8ALT1G</v>
      </c>
      <c r="B25538" s="3" t="str">
        <f>HYPERLINK("https://www.773grp.com/manufacturer/onsemi?pageNo=666", "ON Semiconductor")</f>
        <v>ON Semiconductor</v>
      </c>
      <c r="C25538" s="6">
        <v>28403</v>
      </c>
      <c r="D25538" s="7">
        <v>0.23</v>
      </c>
      <c r="E25538" t="s">
        <v>96</v>
      </c>
    </row>
    <row r="25539" spans="1:5" x14ac:dyDescent="0.25">
      <c r="A25539" t="str">
        <f>HYPERLINK("https://www.773grp.com/globalSearch/MMBZ9V1ALT1/page-1", "MMBZ9V1ALT1")</f>
        <v>MMBZ9V1ALT1</v>
      </c>
      <c r="B25539" s="3" t="str">
        <f>HYPERLINK("https://www.773grp.com/manufacturer/onsemi?pageNo=667", "ON Semiconductor")</f>
        <v>ON Semiconductor</v>
      </c>
      <c r="C25539" s="6">
        <v>26710</v>
      </c>
      <c r="D25539" s="7">
        <v>0.23</v>
      </c>
      <c r="E25539" t="s">
        <v>96</v>
      </c>
    </row>
    <row r="25540" spans="1:5" x14ac:dyDescent="0.25">
      <c r="A25540" t="str">
        <f>HYPERLINK("https://www.773grp.com/globalSearch/MMBZ9V1ALT1G/page-1", "MMBZ9V1ALT1G")</f>
        <v>MMBZ9V1ALT1G</v>
      </c>
      <c r="B25540" s="3" t="str">
        <f>HYPERLINK("https://www.773grp.com/manufacturer/onsemi?pageNo=668", "ON Semiconductor")</f>
        <v>ON Semiconductor</v>
      </c>
      <c r="C25540" s="6">
        <v>78000</v>
      </c>
      <c r="D25540" s="7">
        <v>0.23</v>
      </c>
      <c r="E25540" t="s">
        <v>96</v>
      </c>
    </row>
    <row r="25541" spans="1:5" x14ac:dyDescent="0.25">
      <c r="A25541" t="str">
        <f>HYPERLINK("https://www.773grp.com/globalSearch/MMDL6050T1G/page-1", "MMDL6050T1G")</f>
        <v>MMDL6050T1G</v>
      </c>
      <c r="B25541" s="3" t="str">
        <f>HYPERLINK("https://www.773grp.com/manufacturer/onsemi?pageNo=669", "ON Semiconductor")</f>
        <v>ON Semiconductor</v>
      </c>
      <c r="C25541" s="6">
        <v>10570</v>
      </c>
      <c r="D25541" s="7">
        <v>0.23</v>
      </c>
      <c r="E25541" t="s">
        <v>94</v>
      </c>
    </row>
    <row r="25542" spans="1:5" x14ac:dyDescent="0.25">
      <c r="A25542" t="str">
        <f>HYPERLINK("https://www.773grp.com/globalSearch/MMDL914T1H/page-1", "MMDL914T1H")</f>
        <v>MMDL914T1H</v>
      </c>
      <c r="B25542" s="3" t="str">
        <f>HYPERLINK("https://www.773grp.com/manufacturer/onsemi?pageNo=670", "ON Semiconductor")</f>
        <v>ON Semiconductor</v>
      </c>
      <c r="C25542" s="6">
        <v>282000</v>
      </c>
      <c r="D25542" s="7">
        <v>0.23</v>
      </c>
    </row>
    <row r="25543" spans="1:5" x14ac:dyDescent="0.25">
      <c r="A25543" t="str">
        <f>HYPERLINK("https://www.773grp.com/globalSearch/MMSD103T1/page-1", "MMSD103T1")</f>
        <v>MMSD103T1</v>
      </c>
      <c r="B25543" s="3" t="str">
        <f>HYPERLINK("https://www.773grp.com/manufacturer/onsemi?pageNo=671", "ON Semiconductor")</f>
        <v>ON Semiconductor</v>
      </c>
      <c r="C25543" s="6">
        <v>6000</v>
      </c>
      <c r="D25543" s="7">
        <v>0.23</v>
      </c>
      <c r="E25543" t="s">
        <v>94</v>
      </c>
    </row>
    <row r="25544" spans="1:5" x14ac:dyDescent="0.25">
      <c r="A25544" t="str">
        <f>HYPERLINK("https://www.773grp.com/globalSearch/MMSD103T1G/page-1", "MMSD103T1G")</f>
        <v>MMSD103T1G</v>
      </c>
      <c r="B25544" s="3" t="str">
        <f>HYPERLINK("https://www.773grp.com/manufacturer/onsemi?pageNo=672", "ON Semiconductor")</f>
        <v>ON Semiconductor</v>
      </c>
      <c r="C25544" s="6">
        <v>819000</v>
      </c>
      <c r="D25544" s="7">
        <v>0.23</v>
      </c>
      <c r="E25544" t="s">
        <v>94</v>
      </c>
    </row>
    <row r="25545" spans="1:5" x14ac:dyDescent="0.25">
      <c r="A25545" t="str">
        <f>HYPERLINK("https://www.773grp.com/globalSearch/MMSZ12T1H/page-1", "MMSZ12T1H")</f>
        <v>MMSZ12T1H</v>
      </c>
      <c r="B25545" s="3" t="str">
        <f>HYPERLINK("https://www.773grp.com/manufacturer/onsemi?pageNo=673", "ON Semiconductor")</f>
        <v>ON Semiconductor</v>
      </c>
      <c r="C25545" s="6">
        <v>239900</v>
      </c>
      <c r="D25545" s="7">
        <v>0.23</v>
      </c>
    </row>
    <row r="25546" spans="1:5" x14ac:dyDescent="0.25">
      <c r="A25546" t="str">
        <f>HYPERLINK("https://www.773grp.com/globalSearch/MMSZ13ET1/page-1", "MMSZ13ET1")</f>
        <v>MMSZ13ET1</v>
      </c>
      <c r="B25546" s="3" t="str">
        <f>HYPERLINK("https://www.773grp.com/manufacturer/onsemi?pageNo=674", "ON Semiconductor")</f>
        <v>ON Semiconductor</v>
      </c>
      <c r="C25546" s="6">
        <v>18000</v>
      </c>
      <c r="D25546" s="7">
        <v>0.23</v>
      </c>
      <c r="E25546" t="s">
        <v>98</v>
      </c>
    </row>
    <row r="25547" spans="1:5" x14ac:dyDescent="0.25">
      <c r="A25547" t="str">
        <f>HYPERLINK("https://www.773grp.com/globalSearch/MMSZ15T3G/page-1", "MMSZ15T3G")</f>
        <v>MMSZ15T3G</v>
      </c>
      <c r="B25547" s="3" t="str">
        <f>HYPERLINK("https://www.773grp.com/manufacturer/onsemi?pageNo=675", "ON Semiconductor")</f>
        <v>ON Semiconductor</v>
      </c>
      <c r="C25547" s="6">
        <v>90000</v>
      </c>
      <c r="D25547" s="7">
        <v>0.23</v>
      </c>
    </row>
    <row r="25548" spans="1:5" x14ac:dyDescent="0.25">
      <c r="A25548" t="str">
        <f>HYPERLINK("https://www.773grp.com/globalSearch/MMSZ16T1H/page-1", "MMSZ16T1H")</f>
        <v>MMSZ16T1H</v>
      </c>
      <c r="B25548" s="3" t="str">
        <f>HYPERLINK("https://www.773grp.com/manufacturer/onsemi?pageNo=676", "ON Semiconductor")</f>
        <v>ON Semiconductor</v>
      </c>
      <c r="C25548" s="6">
        <v>259890</v>
      </c>
      <c r="D25548" s="7">
        <v>0.23</v>
      </c>
    </row>
    <row r="25549" spans="1:5" x14ac:dyDescent="0.25">
      <c r="A25549" t="str">
        <f>HYPERLINK("https://www.773grp.com/globalSearch/MMSZ24T1H/page-1", "MMSZ24T1H")</f>
        <v>MMSZ24T1H</v>
      </c>
      <c r="B25549" s="3" t="str">
        <f>HYPERLINK("https://www.773grp.com/manufacturer/onsemi?pageNo=677", "ON Semiconductor")</f>
        <v>ON Semiconductor</v>
      </c>
      <c r="C25549" s="6">
        <v>135000</v>
      </c>
      <c r="D25549" s="7">
        <v>0.23</v>
      </c>
    </row>
    <row r="25550" spans="1:5" x14ac:dyDescent="0.25">
      <c r="A25550" t="str">
        <f>HYPERLINK("https://www.773grp.com/globalSearch/MMSZ2V7T3G/page-1", "MMSZ2V7T3G")</f>
        <v>MMSZ2V7T3G</v>
      </c>
      <c r="B25550" s="3" t="str">
        <f>HYPERLINK("https://www.773grp.com/manufacturer/onsemi?pageNo=678", "ON Semiconductor")</f>
        <v>ON Semiconductor</v>
      </c>
      <c r="C25550" s="6">
        <v>110000</v>
      </c>
      <c r="D25550" s="7">
        <v>0.23</v>
      </c>
    </row>
    <row r="25551" spans="1:5" x14ac:dyDescent="0.25">
      <c r="A25551" t="str">
        <f>HYPERLINK("https://www.773grp.com/globalSearch/MMSZ36T1/page-1", "MMSZ36T1")</f>
        <v>MMSZ36T1</v>
      </c>
      <c r="B25551" s="3" t="str">
        <f>HYPERLINK("https://www.773grp.com/manufacturer/onsemi?pageNo=679", "ON Semiconductor")</f>
        <v>ON Semiconductor</v>
      </c>
      <c r="C25551" s="6">
        <v>9000</v>
      </c>
      <c r="D25551" s="7">
        <v>0.23</v>
      </c>
      <c r="E25551" t="s">
        <v>98</v>
      </c>
    </row>
    <row r="25552" spans="1:5" x14ac:dyDescent="0.25">
      <c r="A25552" t="str">
        <f>HYPERLINK("https://www.773grp.com/globalSearch/MMSZ3V9T1/page-1", "MMSZ3V9T1")</f>
        <v>MMSZ3V9T1</v>
      </c>
      <c r="B25552" s="3" t="str">
        <f>HYPERLINK("https://www.773grp.com/manufacturer/onsemi?pageNo=680", "ON Semiconductor")</f>
        <v>ON Semiconductor</v>
      </c>
      <c r="C25552" s="6">
        <v>41900</v>
      </c>
      <c r="D25552" s="7">
        <v>0.23</v>
      </c>
      <c r="E25552" t="s">
        <v>98</v>
      </c>
    </row>
    <row r="25553" spans="1:5" x14ac:dyDescent="0.25">
      <c r="A25553" t="str">
        <f>HYPERLINK("https://www.773grp.com/globalSearch/MMSZ4680T1G/page-1", "MMSZ4680T1G")</f>
        <v>MMSZ4680T1G</v>
      </c>
      <c r="B25553" s="3" t="str">
        <f>HYPERLINK("https://www.773grp.com/manufacturer/onsemi?pageNo=681", "ON Semiconductor")</f>
        <v>ON Semiconductor</v>
      </c>
      <c r="C25553" s="6">
        <v>31784</v>
      </c>
      <c r="D25553" s="7">
        <v>0.23</v>
      </c>
      <c r="E25553" t="s">
        <v>98</v>
      </c>
    </row>
    <row r="25554" spans="1:5" x14ac:dyDescent="0.25">
      <c r="A25554" t="str">
        <f>HYPERLINK("https://www.773grp.com/globalSearch/MMSZ4682T1G/page-1", "MMSZ4682T1G")</f>
        <v>MMSZ4682T1G</v>
      </c>
      <c r="B25554" s="3" t="str">
        <f>HYPERLINK("https://www.773grp.com/manufacturer/onsemi?pageNo=682", "ON Semiconductor")</f>
        <v>ON Semiconductor</v>
      </c>
      <c r="C25554" s="6">
        <v>43110</v>
      </c>
      <c r="D25554" s="7">
        <v>0.23</v>
      </c>
      <c r="E25554" t="s">
        <v>98</v>
      </c>
    </row>
    <row r="25555" spans="1:5" x14ac:dyDescent="0.25">
      <c r="A25555" t="str">
        <f>HYPERLINK("https://www.773grp.com/globalSearch/MMSZ4689T1/page-1", "MMSZ4689T1")</f>
        <v>MMSZ4689T1</v>
      </c>
      <c r="B25555" s="3" t="str">
        <f>HYPERLINK("https://www.773grp.com/manufacturer/onsemi?pageNo=683", "ON Semiconductor")</f>
        <v>ON Semiconductor</v>
      </c>
      <c r="C25555" s="6">
        <v>134000</v>
      </c>
      <c r="D25555" s="7">
        <v>0.23</v>
      </c>
    </row>
    <row r="25556" spans="1:5" x14ac:dyDescent="0.25">
      <c r="A25556" t="str">
        <f>HYPERLINK("https://www.773grp.com/globalSearch/MMSZ4689T3/page-1", "MMSZ4689T3")</f>
        <v>MMSZ4689T3</v>
      </c>
      <c r="B25556" s="3" t="str">
        <f>HYPERLINK("https://www.773grp.com/manufacturer/onsemi?pageNo=684", "ON Semiconductor")</f>
        <v>ON Semiconductor</v>
      </c>
      <c r="C25556" s="6">
        <v>80000</v>
      </c>
      <c r="D25556" s="7">
        <v>0.23</v>
      </c>
      <c r="E25556" t="s">
        <v>98</v>
      </c>
    </row>
    <row r="25557" spans="1:5" x14ac:dyDescent="0.25">
      <c r="A25557" t="str">
        <f>HYPERLINK("https://www.773grp.com/globalSearch/MMSZ4690T1/page-1", "MMSZ4690T1")</f>
        <v>MMSZ4690T1</v>
      </c>
      <c r="B25557" s="3" t="str">
        <f>HYPERLINK("https://www.773grp.com/manufacturer/onsemi?pageNo=685", "ON Semiconductor")</f>
        <v>ON Semiconductor</v>
      </c>
      <c r="C25557" s="6">
        <v>32200</v>
      </c>
      <c r="D25557" s="7">
        <v>0.23</v>
      </c>
    </row>
    <row r="25558" spans="1:5" x14ac:dyDescent="0.25">
      <c r="A25558" t="str">
        <f>HYPERLINK("https://www.773grp.com/globalSearch/MMSZ4697T1/page-1", "MMSZ4697T1")</f>
        <v>MMSZ4697T1</v>
      </c>
      <c r="B25558" s="3" t="str">
        <f>HYPERLINK("https://www.773grp.com/manufacturer/onsemi?pageNo=686", "ON Semiconductor")</f>
        <v>ON Semiconductor</v>
      </c>
      <c r="C25558" s="6">
        <v>23000</v>
      </c>
      <c r="D25558" s="7">
        <v>0.23</v>
      </c>
    </row>
    <row r="25559" spans="1:5" x14ac:dyDescent="0.25">
      <c r="A25559" t="str">
        <f>HYPERLINK("https://www.773grp.com/globalSearch/MMSZ4700T1G/page-1", "MMSZ4700T1G")</f>
        <v>MMSZ4700T1G</v>
      </c>
      <c r="B25559" s="3" t="str">
        <f>HYPERLINK("https://www.773grp.com/manufacturer/onsemi?pageNo=687", "ON Semiconductor")</f>
        <v>ON Semiconductor</v>
      </c>
      <c r="C25559" s="6">
        <v>84000</v>
      </c>
      <c r="D25559" s="7">
        <v>0.23</v>
      </c>
      <c r="E25559" t="s">
        <v>98</v>
      </c>
    </row>
    <row r="25560" spans="1:5" x14ac:dyDescent="0.25">
      <c r="A25560" t="str">
        <f>HYPERLINK("https://www.773grp.com/globalSearch/MMSZ4702T1/page-1", "MMSZ4702T1")</f>
        <v>MMSZ4702T1</v>
      </c>
      <c r="B25560" s="3" t="str">
        <f>HYPERLINK("https://www.773grp.com/manufacturer/onsemi?pageNo=688", "ON Semiconductor")</f>
        <v>ON Semiconductor</v>
      </c>
      <c r="C25560" s="6">
        <v>13000</v>
      </c>
      <c r="D25560" s="7">
        <v>0.23</v>
      </c>
      <c r="E25560" t="s">
        <v>98</v>
      </c>
    </row>
    <row r="25561" spans="1:5" x14ac:dyDescent="0.25">
      <c r="A25561" t="str">
        <f>HYPERLINK("https://www.773grp.com/globalSearch/MMSZ4703T1G/page-1", "MMSZ4703T1G")</f>
        <v>MMSZ4703T1G</v>
      </c>
      <c r="B25561" s="3" t="str">
        <f>HYPERLINK("https://www.773grp.com/manufacturer/onsemi?pageNo=689", "ON Semiconductor")</f>
        <v>ON Semiconductor</v>
      </c>
      <c r="C25561" s="6">
        <v>411654</v>
      </c>
      <c r="D25561" s="7">
        <v>0.23</v>
      </c>
      <c r="E25561" t="s">
        <v>98</v>
      </c>
    </row>
    <row r="25562" spans="1:5" x14ac:dyDescent="0.25">
      <c r="A25562" t="str">
        <f>HYPERLINK("https://www.773grp.com/globalSearch/MMSZ4707T1G/page-1", "MMSZ4707T1G")</f>
        <v>MMSZ4707T1G</v>
      </c>
      <c r="B25562" s="3" t="str">
        <f>HYPERLINK("https://www.773grp.com/manufacturer/onsemi?pageNo=690", "ON Semiconductor")</f>
        <v>ON Semiconductor</v>
      </c>
      <c r="C25562" s="6">
        <v>49534</v>
      </c>
      <c r="D25562" s="7">
        <v>0.23</v>
      </c>
      <c r="E25562" t="s">
        <v>98</v>
      </c>
    </row>
    <row r="25563" spans="1:5" x14ac:dyDescent="0.25">
      <c r="A25563" t="str">
        <f>HYPERLINK("https://www.773grp.com/globalSearch/MMSZ4710T1G/page-1", "MMSZ4710T1G")</f>
        <v>MMSZ4710T1G</v>
      </c>
      <c r="B25563" s="3" t="str">
        <f>HYPERLINK("https://www.773grp.com/manufacturer/onsemi?pageNo=691", "ON Semiconductor")</f>
        <v>ON Semiconductor</v>
      </c>
      <c r="C25563" s="6">
        <v>120000</v>
      </c>
      <c r="D25563" s="7">
        <v>0.23</v>
      </c>
      <c r="E25563" t="s">
        <v>98</v>
      </c>
    </row>
    <row r="25564" spans="1:5" x14ac:dyDescent="0.25">
      <c r="A25564" t="str">
        <f>HYPERLINK("https://www.773grp.com/globalSearch/MMSZ4713T1G/page-1", "MMSZ4713T1G")</f>
        <v>MMSZ4713T1G</v>
      </c>
      <c r="B25564" s="3" t="str">
        <f>HYPERLINK("https://www.773grp.com/manufacturer/onsemi?pageNo=692", "ON Semiconductor")</f>
        <v>ON Semiconductor</v>
      </c>
      <c r="C25564" s="6">
        <v>33000</v>
      </c>
      <c r="D25564" s="7">
        <v>0.23</v>
      </c>
      <c r="E25564" t="s">
        <v>98</v>
      </c>
    </row>
    <row r="25565" spans="1:5" x14ac:dyDescent="0.25">
      <c r="A25565" t="str">
        <f>HYPERLINK("https://www.773grp.com/globalSearch/MMSZ4717T1G/page-1", "MMSZ4717T1G")</f>
        <v>MMSZ4717T1G</v>
      </c>
      <c r="B25565" s="3" t="str">
        <f>HYPERLINK("https://www.773grp.com/manufacturer/onsemi?pageNo=693", "ON Semiconductor")</f>
        <v>ON Semiconductor</v>
      </c>
      <c r="C25565" s="6">
        <v>48262</v>
      </c>
      <c r="D25565" s="7">
        <v>0.23</v>
      </c>
      <c r="E25565" t="s">
        <v>98</v>
      </c>
    </row>
    <row r="25566" spans="1:5" x14ac:dyDescent="0.25">
      <c r="A25566" t="str">
        <f>HYPERLINK("https://www.773grp.com/globalSearch/MMSZ5226BT1/page-1", "MMSZ5226BT1")</f>
        <v>MMSZ5226BT1</v>
      </c>
      <c r="B25566" s="3" t="str">
        <f>HYPERLINK("https://www.773grp.com/manufacturer/onsemi?pageNo=694", "ON Semiconductor")</f>
        <v>ON Semiconductor</v>
      </c>
      <c r="C25566" s="6">
        <v>5900</v>
      </c>
      <c r="D25566" s="7">
        <v>0.23</v>
      </c>
      <c r="E25566" t="s">
        <v>98</v>
      </c>
    </row>
    <row r="25567" spans="1:5" x14ac:dyDescent="0.25">
      <c r="A25567" t="str">
        <f>HYPERLINK("https://www.773grp.com/globalSearch/MMSZ5238ET1/page-1", "MMSZ5238ET1")</f>
        <v>MMSZ5238ET1</v>
      </c>
      <c r="B25567" s="3" t="str">
        <f>HYPERLINK("https://www.773grp.com/manufacturer/onsemi?pageNo=695", "ON Semiconductor")</f>
        <v>ON Semiconductor</v>
      </c>
      <c r="C25567" s="6">
        <v>9000</v>
      </c>
      <c r="D25567" s="7">
        <v>0.23</v>
      </c>
    </row>
    <row r="25568" spans="1:5" x14ac:dyDescent="0.25">
      <c r="A25568" t="str">
        <f>HYPERLINK("https://www.773grp.com/globalSearch/MMSZ5255ET1/page-1", "MMSZ5255ET1")</f>
        <v>MMSZ5255ET1</v>
      </c>
      <c r="B25568" s="3" t="str">
        <f>HYPERLINK("https://www.773grp.com/manufacturer/onsemi?pageNo=696", "ON Semiconductor")</f>
        <v>ON Semiconductor</v>
      </c>
      <c r="C25568" s="6">
        <v>21000</v>
      </c>
      <c r="D25568" s="7">
        <v>0.23</v>
      </c>
      <c r="E25568" t="s">
        <v>98</v>
      </c>
    </row>
    <row r="25569" spans="1:5" x14ac:dyDescent="0.25">
      <c r="A25569" t="str">
        <f>HYPERLINK("https://www.773grp.com/globalSearch/MMSZ5257BT1/page-1", "MMSZ5257BT1")</f>
        <v>MMSZ5257BT1</v>
      </c>
      <c r="B25569" s="3" t="str">
        <f>HYPERLINK("https://www.773grp.com/manufacturer/onsemi?pageNo=697", "ON Semiconductor")</f>
        <v>ON Semiconductor</v>
      </c>
      <c r="C25569" s="6">
        <v>3000</v>
      </c>
      <c r="D25569" s="7">
        <v>0.23</v>
      </c>
      <c r="E25569" t="s">
        <v>98</v>
      </c>
    </row>
    <row r="25570" spans="1:5" x14ac:dyDescent="0.25">
      <c r="A25570" t="str">
        <f>HYPERLINK("https://www.773grp.com/globalSearch/MPS2111/page-1", "MPS2111")</f>
        <v>MPS2111</v>
      </c>
      <c r="B25570" s="3" t="str">
        <f>HYPERLINK("https://www.773grp.com/manufacturer/onsemi?pageNo=698", "ON Semiconductor")</f>
        <v>ON Semiconductor</v>
      </c>
      <c r="C25570" s="6">
        <v>5000</v>
      </c>
      <c r="D25570" s="7">
        <v>0.23</v>
      </c>
    </row>
    <row r="25571" spans="1:5" x14ac:dyDescent="0.25">
      <c r="A25571" t="str">
        <f>HYPERLINK("https://www.773grp.com/globalSearch/MPS2222AG/page-1", "MPS2222AG")</f>
        <v>MPS2222AG</v>
      </c>
      <c r="B25571" s="3" t="str">
        <f>HYPERLINK("https://www.773grp.com/manufacturer/onsemi?pageNo=699", "ON Semiconductor")</f>
        <v>ON Semiconductor</v>
      </c>
      <c r="C25571" s="6">
        <v>60540</v>
      </c>
      <c r="D25571" s="7">
        <v>0.23</v>
      </c>
      <c r="E25571" t="s">
        <v>69</v>
      </c>
    </row>
    <row r="25572" spans="1:5" x14ac:dyDescent="0.25">
      <c r="A25572" t="str">
        <f>HYPERLINK("https://www.773grp.com/globalSearch/MPS2222ARLG/page-1", "MPS2222ARLG")</f>
        <v>MPS2222ARLG</v>
      </c>
      <c r="B25572" s="3" t="str">
        <f>HYPERLINK("https://www.773grp.com/manufacturer/onsemi?pageNo=700", "ON Semiconductor")</f>
        <v>ON Semiconductor</v>
      </c>
      <c r="C25572" s="6">
        <v>32000</v>
      </c>
      <c r="D25572" s="7">
        <v>0.23</v>
      </c>
      <c r="E25572" t="s">
        <v>69</v>
      </c>
    </row>
    <row r="25573" spans="1:5" x14ac:dyDescent="0.25">
      <c r="A25573" t="str">
        <f>HYPERLINK("https://www.773grp.com/globalSearch/MPS2222ARLRAG/page-1", "MPS2222ARLRAG")</f>
        <v>MPS2222ARLRAG</v>
      </c>
      <c r="B25573" s="3" t="str">
        <f>HYPERLINK("https://www.773grp.com/manufacturer/onsemi?pageNo=701", "ON Semiconductor")</f>
        <v>ON Semiconductor</v>
      </c>
      <c r="C25573" s="6">
        <v>965</v>
      </c>
      <c r="D25573" s="7">
        <v>0.23</v>
      </c>
      <c r="E25573" t="s">
        <v>69</v>
      </c>
    </row>
    <row r="25574" spans="1:5" x14ac:dyDescent="0.25">
      <c r="A25574" t="str">
        <f>HYPERLINK("https://www.773grp.com/globalSearch/MPS2222ARLRMG/page-1", "MPS2222ARLRMG")</f>
        <v>MPS2222ARLRMG</v>
      </c>
      <c r="B25574" s="3" t="str">
        <f>HYPERLINK("https://www.773grp.com/manufacturer/onsemi?pageNo=702", "ON Semiconductor")</f>
        <v>ON Semiconductor</v>
      </c>
      <c r="C25574" s="6">
        <v>40000</v>
      </c>
      <c r="D25574" s="7">
        <v>0.23</v>
      </c>
      <c r="E25574" t="s">
        <v>69</v>
      </c>
    </row>
    <row r="25575" spans="1:5" x14ac:dyDescent="0.25">
      <c r="A25575" t="str">
        <f>HYPERLINK("https://www.773grp.com/globalSearch/MPS6521G/page-1", "MPS6521G")</f>
        <v>MPS6521G</v>
      </c>
      <c r="B25575" s="3" t="str">
        <f>HYPERLINK("https://www.773grp.com/manufacturer/onsemi?pageNo=703", "ON Semiconductor")</f>
        <v>ON Semiconductor</v>
      </c>
      <c r="C25575" s="6">
        <v>57250</v>
      </c>
      <c r="D25575" s="7">
        <v>0.23</v>
      </c>
      <c r="E25575" t="s">
        <v>69</v>
      </c>
    </row>
    <row r="25576" spans="1:5" x14ac:dyDescent="0.25">
      <c r="A25576" t="str">
        <f>HYPERLINK("https://www.773grp.com/globalSearch/MPS6523G/page-1", "MPS6523G")</f>
        <v>MPS6523G</v>
      </c>
      <c r="B25576" s="3" t="str">
        <f>HYPERLINK("https://www.773grp.com/manufacturer/onsemi?pageNo=704", "ON Semiconductor")</f>
        <v>ON Semiconductor</v>
      </c>
      <c r="C25576" s="6">
        <v>7075</v>
      </c>
      <c r="D25576" s="7">
        <v>0.23</v>
      </c>
      <c r="E25576" t="s">
        <v>69</v>
      </c>
    </row>
    <row r="25577" spans="1:5" x14ac:dyDescent="0.25">
      <c r="A25577" t="str">
        <f>HYPERLINK("https://www.773grp.com/globalSearch/MPS6560/page-1", "MPS6560")</f>
        <v>MPS6560</v>
      </c>
      <c r="B25577" s="3" t="str">
        <f>HYPERLINK("https://www.773grp.com/manufacturer/onsemi?pageNo=705", "ON Semiconductor")</f>
        <v>ON Semiconductor</v>
      </c>
      <c r="C25577" s="6">
        <v>8462</v>
      </c>
      <c r="D25577" s="7">
        <v>0.23</v>
      </c>
      <c r="E25577" t="s">
        <v>69</v>
      </c>
    </row>
    <row r="25578" spans="1:5" x14ac:dyDescent="0.25">
      <c r="A25578" t="str">
        <f>HYPERLINK("https://www.773grp.com/globalSearch/MPS6601/page-1", "MPS6601")</f>
        <v>MPS6601</v>
      </c>
      <c r="B25578" s="3" t="str">
        <f>HYPERLINK("https://www.773grp.com/manufacturer/onsemi?pageNo=706", "ON Semiconductor")</f>
        <v>ON Semiconductor</v>
      </c>
      <c r="C25578" s="6">
        <v>54000</v>
      </c>
      <c r="D25578" s="7">
        <v>0.23</v>
      </c>
      <c r="E25578" t="s">
        <v>69</v>
      </c>
    </row>
    <row r="25579" spans="1:5" x14ac:dyDescent="0.25">
      <c r="A25579" t="str">
        <f>HYPERLINK("https://www.773grp.com/globalSearch/MPS6651/page-1", "MPS6651")</f>
        <v>MPS6651</v>
      </c>
      <c r="B25579" s="3" t="str">
        <f>HYPERLINK("https://www.773grp.com/manufacturer/onsemi?pageNo=707", "ON Semiconductor")</f>
        <v>ON Semiconductor</v>
      </c>
      <c r="C25579" s="6">
        <v>921</v>
      </c>
      <c r="D25579" s="7">
        <v>0.23</v>
      </c>
      <c r="E25579" t="s">
        <v>69</v>
      </c>
    </row>
    <row r="25580" spans="1:5" x14ac:dyDescent="0.25">
      <c r="A25580" t="str">
        <f>HYPERLINK("https://www.773grp.com/globalSearch/MPS6652/page-1", "MPS6652")</f>
        <v>MPS6652</v>
      </c>
      <c r="B25580" s="3" t="str">
        <f>HYPERLINK("https://www.773grp.com/manufacturer/onsemi?pageNo=708", "ON Semiconductor")</f>
        <v>ON Semiconductor</v>
      </c>
      <c r="C25580" s="6">
        <v>4000</v>
      </c>
      <c r="D25580" s="7">
        <v>0.23</v>
      </c>
      <c r="E25580" t="s">
        <v>69</v>
      </c>
    </row>
    <row r="25581" spans="1:5" x14ac:dyDescent="0.25">
      <c r="A25581" t="str">
        <f>HYPERLINK("https://www.773grp.com/globalSearch/MPS750RLRP/page-1", "MPS750RLRP")</f>
        <v>MPS750RLRP</v>
      </c>
      <c r="B25581" s="3" t="str">
        <f>HYPERLINK("https://www.773grp.com/manufacturer/onsemi?pageNo=709", "ON Semiconductor")</f>
        <v>ON Semiconductor</v>
      </c>
      <c r="C25581" s="6">
        <v>28000</v>
      </c>
      <c r="D25581" s="7">
        <v>0.23</v>
      </c>
      <c r="E25581" t="s">
        <v>69</v>
      </c>
    </row>
    <row r="25582" spans="1:5" x14ac:dyDescent="0.25">
      <c r="A25582" t="str">
        <f>HYPERLINK("https://www.773grp.com/globalSearch/MPS8599RLRA/page-1", "MPS8599RLRA")</f>
        <v>MPS8599RLRA</v>
      </c>
      <c r="B25582" s="3" t="str">
        <f>HYPERLINK("https://www.773grp.com/manufacturer/onsemi?pageNo=710", "ON Semiconductor")</f>
        <v>ON Semiconductor</v>
      </c>
      <c r="C25582" s="6">
        <v>38200</v>
      </c>
      <c r="D25582" s="7">
        <v>0.23</v>
      </c>
      <c r="E25582" t="s">
        <v>69</v>
      </c>
    </row>
    <row r="25583" spans="1:5" x14ac:dyDescent="0.25">
      <c r="A25583" t="str">
        <f>HYPERLINK("https://www.773grp.com/globalSearch/MPSA94/page-1", "MPSA94")</f>
        <v>MPSA94</v>
      </c>
      <c r="B25583" s="3" t="str">
        <f>HYPERLINK("https://www.773grp.com/manufacturer/onsemi?pageNo=711", "ON Semiconductor")</f>
        <v>ON Semiconductor</v>
      </c>
      <c r="C25583" s="6">
        <v>1598475</v>
      </c>
      <c r="D25583" s="7">
        <v>0.23</v>
      </c>
      <c r="E25583" t="s">
        <v>69</v>
      </c>
    </row>
    <row r="25584" spans="1:5" x14ac:dyDescent="0.25">
      <c r="A25584" t="str">
        <f>HYPERLINK("https://www.773grp.com/globalSearch/MRA4003T3/page-1", "MRA4003T3")</f>
        <v>MRA4003T3</v>
      </c>
      <c r="B25584" s="3" t="str">
        <f>HYPERLINK("https://www.773grp.com/manufacturer/onsemi?pageNo=712", "ON Semiconductor")</f>
        <v>ON Semiconductor</v>
      </c>
      <c r="C25584" s="6">
        <v>20</v>
      </c>
      <c r="D25584" s="7">
        <v>0.23</v>
      </c>
      <c r="E25584" t="s">
        <v>94</v>
      </c>
    </row>
    <row r="25585" spans="1:5" x14ac:dyDescent="0.25">
      <c r="A25585" t="str">
        <f>HYPERLINK("https://www.773grp.com/globalSearch/MRA4004T3/page-1", "MRA4004T3")</f>
        <v>MRA4004T3</v>
      </c>
      <c r="B25585" s="3" t="str">
        <f>HYPERLINK("https://www.773grp.com/manufacturer/onsemi?pageNo=713", "ON Semiconductor")</f>
        <v>ON Semiconductor</v>
      </c>
      <c r="C25585" s="6">
        <v>83616</v>
      </c>
      <c r="D25585" s="7">
        <v>0.23</v>
      </c>
      <c r="E25585" t="s">
        <v>94</v>
      </c>
    </row>
    <row r="25586" spans="1:5" x14ac:dyDescent="0.25">
      <c r="A25586" t="str">
        <f>HYPERLINK("https://www.773grp.com/globalSearch/MRA4007T3/page-1", "MRA4007T3")</f>
        <v>MRA4007T3</v>
      </c>
      <c r="B25586" s="3" t="str">
        <f>HYPERLINK("https://www.773grp.com/manufacturer/onsemi?pageNo=714", "ON Semiconductor")</f>
        <v>ON Semiconductor</v>
      </c>
      <c r="C25586" s="6">
        <v>20790</v>
      </c>
      <c r="D25586" s="7">
        <v>0.23</v>
      </c>
      <c r="E25586" t="s">
        <v>94</v>
      </c>
    </row>
    <row r="25587" spans="1:5" x14ac:dyDescent="0.25">
      <c r="A25587" t="str">
        <f>HYPERLINK("https://www.773grp.com/globalSearch/MSA1162YT1G/page-1", "MSA1162YT1G")</f>
        <v>MSA1162YT1G</v>
      </c>
      <c r="B25587" s="3" t="str">
        <f>HYPERLINK("https://www.773grp.com/manufacturer/onsemi?pageNo=715", "ON Semiconductor")</f>
        <v>ON Semiconductor</v>
      </c>
      <c r="C25587" s="6">
        <v>768000</v>
      </c>
      <c r="D25587" s="7">
        <v>0.23</v>
      </c>
      <c r="E25587" t="s">
        <v>69</v>
      </c>
    </row>
    <row r="25588" spans="1:5" x14ac:dyDescent="0.25">
      <c r="A25588" t="str">
        <f>HYPERLINK("https://www.773grp.com/globalSearch/MSB709-RT1G/page-1", "MSB709-RT1G")</f>
        <v>MSB709-RT1G</v>
      </c>
      <c r="B25588" s="3" t="str">
        <f>HYPERLINK("https://www.773grp.com/manufacturer/onsemi?pageNo=716", "ON Semiconductor")</f>
        <v>ON Semiconductor</v>
      </c>
      <c r="C25588" s="6">
        <v>545448</v>
      </c>
      <c r="D25588" s="7">
        <v>0.23</v>
      </c>
      <c r="E25588" t="s">
        <v>69</v>
      </c>
    </row>
    <row r="25589" spans="1:5" x14ac:dyDescent="0.25">
      <c r="A25589" t="str">
        <f>HYPERLINK("https://www.773grp.com/globalSearch/MSD1328-RT1G/page-1", "MSD1328-RT1G")</f>
        <v>MSD1328-RT1G</v>
      </c>
      <c r="B25589" s="3" t="str">
        <f>HYPERLINK("https://www.773grp.com/manufacturer/onsemi?pageNo=717", "ON Semiconductor")</f>
        <v>ON Semiconductor</v>
      </c>
      <c r="C25589" s="6">
        <v>1089000</v>
      </c>
      <c r="D25589" s="7">
        <v>0.23</v>
      </c>
      <c r="E25589" t="s">
        <v>69</v>
      </c>
    </row>
    <row r="25590" spans="1:5" x14ac:dyDescent="0.25">
      <c r="A25590" t="str">
        <f>HYPERLINK("https://www.773grp.com/globalSearch/MSD601-ST1G/page-1", "MSD601-ST1G")</f>
        <v>MSD601-ST1G</v>
      </c>
      <c r="B25590" s="3" t="str">
        <f>HYPERLINK("https://www.773grp.com/manufacturer/onsemi?pageNo=718", "ON Semiconductor")</f>
        <v>ON Semiconductor</v>
      </c>
      <c r="C25590" s="6">
        <v>1158000</v>
      </c>
      <c r="D25590" s="7">
        <v>0.23</v>
      </c>
      <c r="E25590" t="s">
        <v>69</v>
      </c>
    </row>
    <row r="25591" spans="1:5" x14ac:dyDescent="0.25">
      <c r="A25591" t="str">
        <f>HYPERLINK("https://www.773grp.com/globalSearch/MUN2112T1/page-1", "MUN2112T1")</f>
        <v>MUN2112T1</v>
      </c>
      <c r="B25591" s="3" t="str">
        <f>HYPERLINK("https://www.773grp.com/manufacturer/onsemi?pageNo=719", "ON Semiconductor")</f>
        <v>ON Semiconductor</v>
      </c>
      <c r="C25591" s="6">
        <v>51000</v>
      </c>
      <c r="D25591" s="7">
        <v>0.23</v>
      </c>
      <c r="E25591" t="s">
        <v>69</v>
      </c>
    </row>
    <row r="25592" spans="1:5" x14ac:dyDescent="0.25">
      <c r="A25592" t="str">
        <f>HYPERLINK("https://www.773grp.com/globalSearch/MUN2211T1/page-1", "MUN2211T1")</f>
        <v>MUN2211T1</v>
      </c>
      <c r="B25592" s="3" t="str">
        <f>HYPERLINK("https://www.773grp.com/manufacturer/onsemi?pageNo=720", "ON Semiconductor")</f>
        <v>ON Semiconductor</v>
      </c>
      <c r="C25592" s="6">
        <v>97000</v>
      </c>
      <c r="D25592" s="7">
        <v>0.23</v>
      </c>
      <c r="E25592" t="s">
        <v>69</v>
      </c>
    </row>
    <row r="25593" spans="1:5" x14ac:dyDescent="0.25">
      <c r="A25593" t="str">
        <f>HYPERLINK("https://www.773grp.com/globalSearch/MUN2212T1/page-1", "MUN2212T1")</f>
        <v>MUN2212T1</v>
      </c>
      <c r="B25593" s="3" t="str">
        <f>HYPERLINK("https://www.773grp.com/manufacturer/onsemi?pageNo=721", "ON Semiconductor")</f>
        <v>ON Semiconductor</v>
      </c>
      <c r="C25593" s="6">
        <v>105000</v>
      </c>
      <c r="D25593" s="7">
        <v>0.23</v>
      </c>
      <c r="E25593" t="s">
        <v>69</v>
      </c>
    </row>
    <row r="25594" spans="1:5" x14ac:dyDescent="0.25">
      <c r="A25594" t="str">
        <f>HYPERLINK("https://www.773grp.com/globalSearch/MUN5114DW1T1/page-1", "MUN5114DW1T1")</f>
        <v>MUN5114DW1T1</v>
      </c>
      <c r="B25594" s="3" t="str">
        <f>HYPERLINK("https://www.773grp.com/manufacturer/onsemi?pageNo=722", "ON Semiconductor")</f>
        <v>ON Semiconductor</v>
      </c>
      <c r="C25594" s="6">
        <v>105000</v>
      </c>
      <c r="D25594" s="7">
        <v>0.23</v>
      </c>
      <c r="E25594" t="s">
        <v>69</v>
      </c>
    </row>
    <row r="25595" spans="1:5" x14ac:dyDescent="0.25">
      <c r="A25595" t="str">
        <f>HYPERLINK("https://www.773grp.com/globalSearch/MUN5116DW1T1/page-1", "MUN5116DW1T1")</f>
        <v>MUN5116DW1T1</v>
      </c>
      <c r="B25595" s="3" t="str">
        <f>HYPERLINK("https://www.773grp.com/manufacturer/onsemi?pageNo=723", "ON Semiconductor")</f>
        <v>ON Semiconductor</v>
      </c>
      <c r="C25595" s="6">
        <v>345000</v>
      </c>
      <c r="D25595" s="7">
        <v>0.23</v>
      </c>
      <c r="E25595" t="s">
        <v>69</v>
      </c>
    </row>
    <row r="25596" spans="1:5" x14ac:dyDescent="0.25">
      <c r="A25596" t="str">
        <f>HYPERLINK("https://www.773grp.com/globalSearch/MUN5212DW1T1/page-1", "MUN5212DW1T1")</f>
        <v>MUN5212DW1T1</v>
      </c>
      <c r="B25596" s="3" t="str">
        <f>HYPERLINK("https://www.773grp.com/manufacturer/onsemi?pageNo=724", "ON Semiconductor")</f>
        <v>ON Semiconductor</v>
      </c>
      <c r="C25596" s="6">
        <v>57000</v>
      </c>
      <c r="D25596" s="7">
        <v>0.23</v>
      </c>
      <c r="E25596" t="s">
        <v>69</v>
      </c>
    </row>
    <row r="25597" spans="1:5" x14ac:dyDescent="0.25">
      <c r="A25597" t="str">
        <f>HYPERLINK("https://www.773grp.com/globalSearch/MUN5213DW1T1/page-1", "MUN5213DW1T1")</f>
        <v>MUN5213DW1T1</v>
      </c>
      <c r="B25597" s="3" t="str">
        <f>HYPERLINK("https://www.773grp.com/manufacturer/onsemi?pageNo=725", "ON Semiconductor")</f>
        <v>ON Semiconductor</v>
      </c>
      <c r="C25597" s="6">
        <v>233800</v>
      </c>
      <c r="D25597" s="7">
        <v>0.23</v>
      </c>
      <c r="E25597" t="s">
        <v>69</v>
      </c>
    </row>
    <row r="25598" spans="1:5" x14ac:dyDescent="0.25">
      <c r="A25598" t="str">
        <f>HYPERLINK("https://www.773grp.com/globalSearch/MUN5213DW1T1G/page-1", "MUN5213DW1T1G")</f>
        <v>MUN5213DW1T1G</v>
      </c>
      <c r="B25598" s="3" t="str">
        <f>HYPERLINK("https://www.773grp.com/manufacturer/onsemi?pageNo=726", "ON Semiconductor")</f>
        <v>ON Semiconductor</v>
      </c>
      <c r="C25598" s="6">
        <v>216000</v>
      </c>
      <c r="D25598" s="7">
        <v>0.23</v>
      </c>
      <c r="E25598" t="s">
        <v>69</v>
      </c>
    </row>
    <row r="25599" spans="1:5" x14ac:dyDescent="0.25">
      <c r="A25599" t="str">
        <f>HYPERLINK("https://www.773grp.com/globalSearch/MUN5213TI/page-1", "MUN5213TI")</f>
        <v>MUN5213TI</v>
      </c>
      <c r="B25599" s="3" t="str">
        <f>HYPERLINK("https://www.773grp.com/manufacturer/onsemi?pageNo=727", "ON Semiconductor")</f>
        <v>ON Semiconductor</v>
      </c>
      <c r="C25599" s="6">
        <v>3000</v>
      </c>
      <c r="D25599" s="7">
        <v>0.23</v>
      </c>
    </row>
    <row r="25600" spans="1:5" x14ac:dyDescent="0.25">
      <c r="A25600" t="str">
        <f>HYPERLINK("https://www.773grp.com/globalSearch/MUN5215DW1T1/page-1", "MUN5215DW1T1")</f>
        <v>MUN5215DW1T1</v>
      </c>
      <c r="B25600" s="3" t="str">
        <f>HYPERLINK("https://www.773grp.com/manufacturer/onsemi?pageNo=728", "ON Semiconductor")</f>
        <v>ON Semiconductor</v>
      </c>
      <c r="C25600" s="6">
        <v>76520</v>
      </c>
      <c r="D25600" s="7">
        <v>0.23</v>
      </c>
      <c r="E25600" t="s">
        <v>69</v>
      </c>
    </row>
    <row r="25601" spans="1:5" x14ac:dyDescent="0.25">
      <c r="A25601" t="str">
        <f>HYPERLINK("https://www.773grp.com/globalSearch/MUN5216DW1T1/page-1", "MUN5216DW1T1")</f>
        <v>MUN5216DW1T1</v>
      </c>
      <c r="B25601" s="3" t="str">
        <f>HYPERLINK("https://www.773grp.com/manufacturer/onsemi?pageNo=729", "ON Semiconductor")</f>
        <v>ON Semiconductor</v>
      </c>
      <c r="C25601" s="6">
        <v>24000</v>
      </c>
      <c r="D25601" s="7">
        <v>0.23</v>
      </c>
      <c r="E25601" t="s">
        <v>69</v>
      </c>
    </row>
    <row r="25602" spans="1:5" x14ac:dyDescent="0.25">
      <c r="A25602" t="str">
        <f>HYPERLINK("https://www.773grp.com/globalSearch/MUN5235DW1T1/page-1", "MUN5235DW1T1")</f>
        <v>MUN5235DW1T1</v>
      </c>
      <c r="B25602" s="3" t="str">
        <f>HYPERLINK("https://www.773grp.com/manufacturer/onsemi?pageNo=730", "ON Semiconductor")</f>
        <v>ON Semiconductor</v>
      </c>
      <c r="C25602" s="6">
        <v>567000</v>
      </c>
      <c r="D25602" s="7">
        <v>0.23</v>
      </c>
      <c r="E25602" t="s">
        <v>69</v>
      </c>
    </row>
    <row r="25603" spans="1:5" x14ac:dyDescent="0.25">
      <c r="A25603" t="str">
        <f>HYPERLINK("https://www.773grp.com/globalSearch/MUN5236DW1T1/page-1", "MUN5236DW1T1")</f>
        <v>MUN5236DW1T1</v>
      </c>
      <c r="B25603" s="3" t="str">
        <f>HYPERLINK("https://www.773grp.com/manufacturer/onsemi?pageNo=731", "ON Semiconductor")</f>
        <v>ON Semiconductor</v>
      </c>
      <c r="C25603" s="6">
        <v>35900</v>
      </c>
      <c r="D25603" s="7">
        <v>0.23</v>
      </c>
      <c r="E25603" t="s">
        <v>69</v>
      </c>
    </row>
    <row r="25604" spans="1:5" x14ac:dyDescent="0.25">
      <c r="A25604" t="str">
        <f>HYPERLINK("https://www.773grp.com/globalSearch/MUN5237DW1T1/page-1", "MUN5237DW1T1")</f>
        <v>MUN5237DW1T1</v>
      </c>
      <c r="B25604" s="3" t="str">
        <f>HYPERLINK("https://www.773grp.com/manufacturer/onsemi?pageNo=732", "ON Semiconductor")</f>
        <v>ON Semiconductor</v>
      </c>
      <c r="C25604" s="6">
        <v>39000</v>
      </c>
      <c r="D25604" s="7">
        <v>0.23</v>
      </c>
      <c r="E25604" t="s">
        <v>69</v>
      </c>
    </row>
    <row r="25605" spans="1:5" x14ac:dyDescent="0.25">
      <c r="A25605" t="str">
        <f>HYPERLINK("https://www.773grp.com/globalSearch/MUN5311DW1T1/page-1", "MUN5311DW1T1")</f>
        <v>MUN5311DW1T1</v>
      </c>
      <c r="B25605" s="3" t="str">
        <f>HYPERLINK("https://www.773grp.com/manufacturer/onsemi?pageNo=733", "ON Semiconductor")</f>
        <v>ON Semiconductor</v>
      </c>
      <c r="C25605" s="6">
        <v>18000</v>
      </c>
      <c r="D25605" s="7">
        <v>0.23</v>
      </c>
      <c r="E25605" t="s">
        <v>69</v>
      </c>
    </row>
    <row r="25606" spans="1:5" x14ac:dyDescent="0.25">
      <c r="A25606" t="str">
        <f>HYPERLINK("https://www.773grp.com/globalSearch/MUN5312DW1T1/page-1", "MUN5312DW1T1")</f>
        <v>MUN5312DW1T1</v>
      </c>
      <c r="B25606" s="3" t="str">
        <f>HYPERLINK("https://www.773grp.com/manufacturer/onsemi?pageNo=734", "ON Semiconductor")</f>
        <v>ON Semiconductor</v>
      </c>
      <c r="C25606" s="6">
        <v>15000</v>
      </c>
      <c r="D25606" s="7">
        <v>0.23</v>
      </c>
      <c r="E25606" t="s">
        <v>69</v>
      </c>
    </row>
    <row r="25607" spans="1:5" x14ac:dyDescent="0.25">
      <c r="A25607" t="str">
        <f>HYPERLINK("https://www.773grp.com/globalSearch/MUN5314DW1T1/page-1", "MUN5314DW1T1")</f>
        <v>MUN5314DW1T1</v>
      </c>
      <c r="B25607" s="3" t="str">
        <f>HYPERLINK("https://www.773grp.com/manufacturer/onsemi?pageNo=735", "ON Semiconductor")</f>
        <v>ON Semiconductor</v>
      </c>
      <c r="C25607" s="6">
        <v>279000</v>
      </c>
      <c r="D25607" s="7">
        <v>0.23</v>
      </c>
      <c r="E25607" t="s">
        <v>69</v>
      </c>
    </row>
    <row r="25608" spans="1:5" x14ac:dyDescent="0.25">
      <c r="A25608" t="str">
        <f>HYPERLINK("https://www.773grp.com/globalSearch/MUN5315DW1T1/page-1", "MUN5315DW1T1")</f>
        <v>MUN5315DW1T1</v>
      </c>
      <c r="B25608" s="3" t="str">
        <f>HYPERLINK("https://www.773grp.com/manufacturer/onsemi?pageNo=736", "ON Semiconductor")</f>
        <v>ON Semiconductor</v>
      </c>
      <c r="C25608" s="6">
        <v>57000</v>
      </c>
      <c r="D25608" s="7">
        <v>0.23</v>
      </c>
      <c r="E25608" t="s">
        <v>69</v>
      </c>
    </row>
    <row r="25609" spans="1:5" x14ac:dyDescent="0.25">
      <c r="A25609" t="str">
        <f>HYPERLINK("https://www.773grp.com/globalSearch/MUN5330DW1T1/page-1", "MUN5330DW1T1")</f>
        <v>MUN5330DW1T1</v>
      </c>
      <c r="B25609" s="3" t="str">
        <f>HYPERLINK("https://www.773grp.com/manufacturer/onsemi?pageNo=737", "ON Semiconductor")</f>
        <v>ON Semiconductor</v>
      </c>
      <c r="C25609" s="6">
        <v>105000</v>
      </c>
      <c r="D25609" s="7">
        <v>0.23</v>
      </c>
      <c r="E25609" t="s">
        <v>69</v>
      </c>
    </row>
    <row r="25610" spans="1:5" x14ac:dyDescent="0.25">
      <c r="A25610" t="str">
        <f>HYPERLINK("https://www.773grp.com/globalSearch/MUN5335DW1T1/page-1", "MUN5335DW1T1")</f>
        <v>MUN5335DW1T1</v>
      </c>
      <c r="B25610" s="3" t="str">
        <f>HYPERLINK("https://www.773grp.com/manufacturer/onsemi?pageNo=738", "ON Semiconductor")</f>
        <v>ON Semiconductor</v>
      </c>
      <c r="C25610" s="6">
        <v>90000</v>
      </c>
      <c r="D25610" s="7">
        <v>0.23</v>
      </c>
      <c r="E25610" t="s">
        <v>69</v>
      </c>
    </row>
    <row r="25611" spans="1:5" x14ac:dyDescent="0.25">
      <c r="A25611" t="str">
        <f>HYPERLINK("https://www.773grp.com/globalSearch/MUN5335DW1T2/page-1", "MUN5335DW1T2")</f>
        <v>MUN5335DW1T2</v>
      </c>
      <c r="B25611" s="3" t="str">
        <f>HYPERLINK("https://www.773grp.com/manufacturer/onsemi?pageNo=739", "ON Semiconductor")</f>
        <v>ON Semiconductor</v>
      </c>
      <c r="C25611" s="6">
        <v>5655</v>
      </c>
      <c r="D25611" s="7">
        <v>0.23</v>
      </c>
      <c r="E25611" t="s">
        <v>69</v>
      </c>
    </row>
    <row r="25612" spans="1:5" x14ac:dyDescent="0.25">
      <c r="A25612" t="str">
        <f>HYPERLINK("https://www.773grp.com/globalSearch/MURA215T3/page-1", "MURA215T3")</f>
        <v>MURA215T3</v>
      </c>
      <c r="B25612" s="3" t="str">
        <f>HYPERLINK("https://www.773grp.com/manufacturer/onsemi?pageNo=740", "ON Semiconductor")</f>
        <v>ON Semiconductor</v>
      </c>
      <c r="C25612" s="6">
        <v>20259</v>
      </c>
      <c r="D25612" s="7">
        <v>0.23</v>
      </c>
      <c r="E25612" t="s">
        <v>103</v>
      </c>
    </row>
    <row r="25613" spans="1:5" x14ac:dyDescent="0.25">
      <c r="A25613" t="str">
        <f>HYPERLINK("https://www.773grp.com/globalSearch/NL17SH14P5T5G/page-1", "NL17SH14P5T5G")</f>
        <v>NL17SH14P5T5G</v>
      </c>
      <c r="B25613" s="3" t="str">
        <f>HYPERLINK("https://www.773grp.com/manufacturer/onsemi?pageNo=741", "ON Semiconductor")</f>
        <v>ON Semiconductor</v>
      </c>
      <c r="C25613" s="6">
        <v>8000</v>
      </c>
      <c r="D25613" s="7">
        <v>0.23</v>
      </c>
    </row>
    <row r="25614" spans="1:5" x14ac:dyDescent="0.25">
      <c r="A25614" t="str">
        <f>HYPERLINK("https://www.773grp.com/globalSearch/NL17SZ00DFT2/page-1", "NL17SZ00DFT2")</f>
        <v>NL17SZ00DFT2</v>
      </c>
      <c r="B25614" s="3" t="str">
        <f>HYPERLINK("https://www.773grp.com/manufacturer/onsemi?pageNo=742", "ON Semiconductor")</f>
        <v>ON Semiconductor</v>
      </c>
      <c r="C25614" s="6">
        <v>47851</v>
      </c>
      <c r="D25614" s="7">
        <v>0.23</v>
      </c>
      <c r="E25614" t="s">
        <v>31</v>
      </c>
    </row>
    <row r="25615" spans="1:5" x14ac:dyDescent="0.25">
      <c r="A25615" t="str">
        <f>HYPERLINK("https://www.773grp.com/globalSearch/NL17SZ00XV5T2/page-1", "NL17SZ00XV5T2")</f>
        <v>NL17SZ00XV5T2</v>
      </c>
      <c r="B25615" s="3" t="str">
        <f>HYPERLINK("https://www.773grp.com/manufacturer/onsemi?pageNo=743", "ON Semiconductor")</f>
        <v>ON Semiconductor</v>
      </c>
      <c r="C25615" s="6">
        <v>74226</v>
      </c>
      <c r="D25615" s="7">
        <v>0.23</v>
      </c>
      <c r="E25615" t="s">
        <v>31</v>
      </c>
    </row>
    <row r="25616" spans="1:5" x14ac:dyDescent="0.25">
      <c r="A25616" t="str">
        <f>HYPERLINK("https://www.773grp.com/globalSearch/NL17SZ02DFT2/page-1", "NL17SZ02DFT2")</f>
        <v>NL17SZ02DFT2</v>
      </c>
      <c r="B25616" s="3" t="str">
        <f>HYPERLINK("https://www.773grp.com/manufacturer/onsemi?pageNo=744", "ON Semiconductor")</f>
        <v>ON Semiconductor</v>
      </c>
      <c r="C25616" s="6">
        <v>35640</v>
      </c>
      <c r="D25616" s="7">
        <v>0.23</v>
      </c>
      <c r="E25616" t="s">
        <v>31</v>
      </c>
    </row>
    <row r="25617" spans="1:5" x14ac:dyDescent="0.25">
      <c r="A25617" t="str">
        <f>HYPERLINK("https://www.773grp.com/globalSearch/NL17SZ02XV5T2/page-1", "NL17SZ02XV5T2")</f>
        <v>NL17SZ02XV5T2</v>
      </c>
      <c r="B25617" s="3" t="str">
        <f>HYPERLINK("https://www.773grp.com/manufacturer/onsemi?pageNo=745", "ON Semiconductor")</f>
        <v>ON Semiconductor</v>
      </c>
      <c r="C25617" s="6">
        <v>7745</v>
      </c>
      <c r="D25617" s="7">
        <v>0.23</v>
      </c>
      <c r="E25617" t="s">
        <v>31</v>
      </c>
    </row>
    <row r="25618" spans="1:5" x14ac:dyDescent="0.25">
      <c r="A25618" t="str">
        <f>HYPERLINK("https://www.773grp.com/globalSearch/NL17SZ04DFT2/page-1", "NL17SZ04DFT2")</f>
        <v>NL17SZ04DFT2</v>
      </c>
      <c r="B25618" s="3" t="str">
        <f>HYPERLINK("https://www.773grp.com/manufacturer/onsemi?pageNo=746", "ON Semiconductor")</f>
        <v>ON Semiconductor</v>
      </c>
      <c r="C25618" s="6">
        <v>201000</v>
      </c>
      <c r="D25618" s="7">
        <v>0.23</v>
      </c>
      <c r="E25618" t="s">
        <v>31</v>
      </c>
    </row>
    <row r="25619" spans="1:5" x14ac:dyDescent="0.25">
      <c r="A25619" t="str">
        <f>HYPERLINK("https://www.773grp.com/globalSearch/NL17SZ04XV5T2/page-1", "NL17SZ04XV5T2")</f>
        <v>NL17SZ04XV5T2</v>
      </c>
      <c r="B25619" s="3" t="str">
        <f>HYPERLINK("https://www.773grp.com/manufacturer/onsemi?pageNo=747", "ON Semiconductor")</f>
        <v>ON Semiconductor</v>
      </c>
      <c r="C25619" s="6">
        <v>57250</v>
      </c>
      <c r="D25619" s="7">
        <v>0.23</v>
      </c>
      <c r="E25619" t="s">
        <v>31</v>
      </c>
    </row>
    <row r="25620" spans="1:5" x14ac:dyDescent="0.25">
      <c r="A25620" t="str">
        <f>HYPERLINK("https://www.773grp.com/globalSearch/NL17SZ06DFT2/page-1", "NL17SZ06DFT2")</f>
        <v>NL17SZ06DFT2</v>
      </c>
      <c r="B25620" s="3" t="str">
        <f>HYPERLINK("https://www.773grp.com/manufacturer/onsemi?pageNo=748", "ON Semiconductor")</f>
        <v>ON Semiconductor</v>
      </c>
      <c r="C25620" s="6">
        <v>24000</v>
      </c>
      <c r="D25620" s="7">
        <v>0.23</v>
      </c>
      <c r="E25620" t="s">
        <v>31</v>
      </c>
    </row>
    <row r="25621" spans="1:5" x14ac:dyDescent="0.25">
      <c r="A25621" t="str">
        <f>HYPERLINK("https://www.773grp.com/globalSearch/NL17SZ06XV5T2/page-1", "NL17SZ06XV5T2")</f>
        <v>NL17SZ06XV5T2</v>
      </c>
      <c r="B25621" s="3" t="str">
        <f>HYPERLINK("https://www.773grp.com/manufacturer/onsemi?pageNo=749", "ON Semiconductor")</f>
        <v>ON Semiconductor</v>
      </c>
      <c r="C25621" s="6">
        <v>8780</v>
      </c>
      <c r="D25621" s="7">
        <v>0.23</v>
      </c>
      <c r="E25621" t="s">
        <v>31</v>
      </c>
    </row>
    <row r="25622" spans="1:5" x14ac:dyDescent="0.25">
      <c r="A25622" t="str">
        <f>HYPERLINK("https://www.773grp.com/globalSearch/NL17SZ07DFT2/page-1", "NL17SZ07DFT2")</f>
        <v>NL17SZ07DFT2</v>
      </c>
      <c r="B25622" s="3" t="str">
        <f>HYPERLINK("https://www.773grp.com/manufacturer/onsemi?pageNo=750", "ON Semiconductor")</f>
        <v>ON Semiconductor</v>
      </c>
      <c r="C25622" s="6">
        <v>27000</v>
      </c>
      <c r="D25622" s="7">
        <v>0.23</v>
      </c>
      <c r="E25622" t="s">
        <v>31</v>
      </c>
    </row>
    <row r="25623" spans="1:5" x14ac:dyDescent="0.25">
      <c r="A25623" t="str">
        <f>HYPERLINK("https://www.773grp.com/globalSearch/NL17SZ07XV5T2/page-1", "NL17SZ07XV5T2")</f>
        <v>NL17SZ07XV5T2</v>
      </c>
      <c r="B25623" s="3" t="str">
        <f>HYPERLINK("https://www.773grp.com/manufacturer/onsemi?pageNo=751", "ON Semiconductor")</f>
        <v>ON Semiconductor</v>
      </c>
      <c r="C25623" s="6">
        <v>2006785</v>
      </c>
      <c r="D25623" s="7">
        <v>0.23</v>
      </c>
      <c r="E25623" t="s">
        <v>31</v>
      </c>
    </row>
    <row r="25624" spans="1:5" x14ac:dyDescent="0.25">
      <c r="A25624" t="str">
        <f>HYPERLINK("https://www.773grp.com/globalSearch/NL17SZ08DFT2/page-1", "NL17SZ08DFT2")</f>
        <v>NL17SZ08DFT2</v>
      </c>
      <c r="B25624" s="3" t="str">
        <f>HYPERLINK("https://www.773grp.com/manufacturer/onsemi?pageNo=752", "ON Semiconductor")</f>
        <v>ON Semiconductor</v>
      </c>
      <c r="C25624" s="6">
        <v>111450</v>
      </c>
      <c r="D25624" s="7">
        <v>0.23</v>
      </c>
      <c r="E25624" t="s">
        <v>31</v>
      </c>
    </row>
    <row r="25625" spans="1:5" x14ac:dyDescent="0.25">
      <c r="A25625" t="str">
        <f>HYPERLINK("https://www.773grp.com/globalSearch/NL17SZ08XV5T2/page-1", "NL17SZ08XV5T2")</f>
        <v>NL17SZ08XV5T2</v>
      </c>
      <c r="B25625" s="3" t="str">
        <f>HYPERLINK("https://www.773grp.com/manufacturer/onsemi?pageNo=753", "ON Semiconductor")</f>
        <v>ON Semiconductor</v>
      </c>
      <c r="C25625" s="6">
        <v>20990</v>
      </c>
      <c r="D25625" s="7">
        <v>0.23</v>
      </c>
      <c r="E25625" t="s">
        <v>31</v>
      </c>
    </row>
    <row r="25626" spans="1:5" x14ac:dyDescent="0.25">
      <c r="A25626" t="str">
        <f>HYPERLINK("https://www.773grp.com/globalSearch/NL17SZ125DFT2/page-1", "NL17SZ125DFT2")</f>
        <v>NL17SZ125DFT2</v>
      </c>
      <c r="B25626" s="3" t="str">
        <f>HYPERLINK("https://www.773grp.com/manufacturer/onsemi?pageNo=754", "ON Semiconductor")</f>
        <v>ON Semiconductor</v>
      </c>
      <c r="C25626" s="6">
        <v>73632</v>
      </c>
      <c r="D25626" s="7">
        <v>0.23</v>
      </c>
      <c r="E25626" t="s">
        <v>14</v>
      </c>
    </row>
    <row r="25627" spans="1:5" x14ac:dyDescent="0.25">
      <c r="A25627" t="str">
        <f>HYPERLINK("https://www.773grp.com/globalSearch/NL17SZ14XV5T2/page-1", "NL17SZ14XV5T2")</f>
        <v>NL17SZ14XV5T2</v>
      </c>
      <c r="B25627" s="3" t="str">
        <f>HYPERLINK("https://www.773grp.com/manufacturer/onsemi?pageNo=755", "ON Semiconductor")</f>
        <v>ON Semiconductor</v>
      </c>
      <c r="C25627" s="6">
        <v>2667</v>
      </c>
      <c r="D25627" s="7">
        <v>0.23</v>
      </c>
      <c r="E25627" t="s">
        <v>31</v>
      </c>
    </row>
    <row r="25628" spans="1:5" x14ac:dyDescent="0.25">
      <c r="A25628" t="str">
        <f>HYPERLINK("https://www.773grp.com/globalSearch/NL17SZ16DFT2/page-1", "NL17SZ16DFT2")</f>
        <v>NL17SZ16DFT2</v>
      </c>
      <c r="B25628" s="3" t="str">
        <f>HYPERLINK("https://www.773grp.com/manufacturer/onsemi?pageNo=756", "ON Semiconductor")</f>
        <v>ON Semiconductor</v>
      </c>
      <c r="C25628" s="6">
        <v>339000</v>
      </c>
      <c r="D25628" s="7">
        <v>0.23</v>
      </c>
      <c r="E25628" t="s">
        <v>31</v>
      </c>
    </row>
    <row r="25629" spans="1:5" x14ac:dyDescent="0.25">
      <c r="A25629" t="str">
        <f>HYPERLINK("https://www.773grp.com/globalSearch/NL17SZ16XV5T2/page-1", "NL17SZ16XV5T2")</f>
        <v>NL17SZ16XV5T2</v>
      </c>
      <c r="B25629" s="3" t="str">
        <f>HYPERLINK("https://www.773grp.com/manufacturer/onsemi?pageNo=757", "ON Semiconductor")</f>
        <v>ON Semiconductor</v>
      </c>
      <c r="C25629" s="6">
        <v>6616</v>
      </c>
      <c r="D25629" s="7">
        <v>0.23</v>
      </c>
      <c r="E25629" t="s">
        <v>31</v>
      </c>
    </row>
    <row r="25630" spans="1:5" x14ac:dyDescent="0.25">
      <c r="A25630" t="str">
        <f>HYPERLINK("https://www.773grp.com/globalSearch/NL17SZ17DFT2/page-1", "NL17SZ17DFT2")</f>
        <v>NL17SZ17DFT2</v>
      </c>
      <c r="B25630" s="3" t="str">
        <f>HYPERLINK("https://www.773grp.com/manufacturer/onsemi?pageNo=758", "ON Semiconductor")</f>
        <v>ON Semiconductor</v>
      </c>
      <c r="C25630" s="6">
        <v>122000</v>
      </c>
      <c r="D25630" s="7">
        <v>0.23</v>
      </c>
      <c r="E25630" t="s">
        <v>31</v>
      </c>
    </row>
    <row r="25631" spans="1:5" x14ac:dyDescent="0.25">
      <c r="A25631" t="str">
        <f>HYPERLINK("https://www.773grp.com/globalSearch/NL17SZ17XV5T2/page-1", "NL17SZ17XV5T2")</f>
        <v>NL17SZ17XV5T2</v>
      </c>
      <c r="B25631" s="3" t="str">
        <f>HYPERLINK("https://www.773grp.com/manufacturer/onsemi?pageNo=759", "ON Semiconductor")</f>
        <v>ON Semiconductor</v>
      </c>
      <c r="C25631" s="6">
        <v>130874</v>
      </c>
      <c r="D25631" s="7">
        <v>0.23</v>
      </c>
      <c r="E25631" t="s">
        <v>31</v>
      </c>
    </row>
    <row r="25632" spans="1:5" x14ac:dyDescent="0.25">
      <c r="A25632" t="str">
        <f>HYPERLINK("https://www.773grp.com/globalSearch/NL17SZ32DFT2/page-1", "NL17SZ32DFT2")</f>
        <v>NL17SZ32DFT2</v>
      </c>
      <c r="B25632" s="3" t="str">
        <f>HYPERLINK("https://www.773grp.com/manufacturer/onsemi?pageNo=760", "ON Semiconductor")</f>
        <v>ON Semiconductor</v>
      </c>
      <c r="C25632" s="6">
        <v>341225</v>
      </c>
      <c r="D25632" s="7">
        <v>0.23</v>
      </c>
      <c r="E25632" t="s">
        <v>31</v>
      </c>
    </row>
    <row r="25633" spans="1:5" x14ac:dyDescent="0.25">
      <c r="A25633" t="str">
        <f>HYPERLINK("https://www.773grp.com/globalSearch/NL17SZ32XV5T2/page-1", "NL17SZ32XV5T2")</f>
        <v>NL17SZ32XV5T2</v>
      </c>
      <c r="B25633" s="3" t="str">
        <f>HYPERLINK("https://www.773grp.com/manufacturer/onsemi?pageNo=761", "ON Semiconductor")</f>
        <v>ON Semiconductor</v>
      </c>
      <c r="C25633" s="6">
        <v>95642</v>
      </c>
      <c r="D25633" s="7">
        <v>0.23</v>
      </c>
      <c r="E25633" t="s">
        <v>31</v>
      </c>
    </row>
    <row r="25634" spans="1:5" x14ac:dyDescent="0.25">
      <c r="A25634" t="str">
        <f>HYPERLINK("https://www.773grp.com/globalSearch/NL17SZ86DFT2/page-1", "NL17SZ86DFT2")</f>
        <v>NL17SZ86DFT2</v>
      </c>
      <c r="B25634" s="3" t="str">
        <f>HYPERLINK("https://www.773grp.com/manufacturer/onsemi?pageNo=762", "ON Semiconductor")</f>
        <v>ON Semiconductor</v>
      </c>
      <c r="C25634" s="6">
        <v>17555</v>
      </c>
      <c r="D25634" s="7">
        <v>0.23</v>
      </c>
      <c r="E25634" t="s">
        <v>31</v>
      </c>
    </row>
    <row r="25635" spans="1:5" x14ac:dyDescent="0.25">
      <c r="A25635" t="str">
        <f>HYPERLINK("https://www.773grp.com/globalSearch/NL17SZU04DFT2/page-1", "NL17SZU04DFT2")</f>
        <v>NL17SZU04DFT2</v>
      </c>
      <c r="B25635" s="3" t="str">
        <f>HYPERLINK("https://www.773grp.com/manufacturer/onsemi?pageNo=763", "ON Semiconductor")</f>
        <v>ON Semiconductor</v>
      </c>
      <c r="C25635" s="6">
        <v>2879</v>
      </c>
      <c r="D25635" s="7">
        <v>0.23</v>
      </c>
      <c r="E25635" t="s">
        <v>31</v>
      </c>
    </row>
    <row r="25636" spans="1:5" x14ac:dyDescent="0.25">
      <c r="A25636" t="str">
        <f>HYPERLINK("https://www.773grp.com/globalSearch/NL17SZU04XV5T2/page-1", "NL17SZU04XV5T2")</f>
        <v>NL17SZU04XV5T2</v>
      </c>
      <c r="B25636" s="3" t="str">
        <f>HYPERLINK("https://www.773grp.com/manufacturer/onsemi?pageNo=764", "ON Semiconductor")</f>
        <v>ON Semiconductor</v>
      </c>
      <c r="C25636" s="6">
        <v>643960</v>
      </c>
      <c r="D25636" s="7">
        <v>0.23</v>
      </c>
      <c r="E25636" t="s">
        <v>31</v>
      </c>
    </row>
    <row r="25637" spans="1:5" x14ac:dyDescent="0.25">
      <c r="A25637" t="str">
        <f>HYPERLINK("https://www.773grp.com/globalSearch/NL17VHC1GT50DFT1/page-1", "NL17VHC1GT50DFT1")</f>
        <v>NL17VHC1GT50DFT1</v>
      </c>
      <c r="B25637" s="3" t="str">
        <f>HYPERLINK("https://www.773grp.com/manufacturer/onsemi?pageNo=765", "ON Semiconductor")</f>
        <v>ON Semiconductor</v>
      </c>
      <c r="C25637" s="6">
        <v>33000</v>
      </c>
      <c r="D25637" s="7">
        <v>0.23</v>
      </c>
    </row>
    <row r="25638" spans="1:5" x14ac:dyDescent="0.25">
      <c r="A25638" t="str">
        <f>HYPERLINK("https://www.773grp.com/globalSearch/NLVVHC1G08DFT2/page-1", "NLVVHC1G08DFT2")</f>
        <v>NLVVHC1G08DFT2</v>
      </c>
      <c r="B25638" s="3" t="str">
        <f>HYPERLINK("https://www.773grp.com/manufacturer/onsemi?pageNo=766", "ON Semiconductor")</f>
        <v>ON Semiconductor</v>
      </c>
      <c r="C25638" s="6">
        <v>78000</v>
      </c>
      <c r="D25638" s="7">
        <v>0.23</v>
      </c>
    </row>
    <row r="25639" spans="1:5" x14ac:dyDescent="0.25">
      <c r="A25639" t="str">
        <f>HYPERLINK("https://www.773grp.com/globalSearch/NLVVHC1G32DFT2/page-1", "NLVVHC1G32DFT2")</f>
        <v>NLVVHC1G32DFT2</v>
      </c>
      <c r="B25639" s="3" t="str">
        <f>HYPERLINK("https://www.773grp.com/manufacturer/onsemi?pageNo=767", "ON Semiconductor")</f>
        <v>ON Semiconductor</v>
      </c>
      <c r="C25639" s="6">
        <v>6000</v>
      </c>
      <c r="D25639" s="7">
        <v>0.23</v>
      </c>
    </row>
    <row r="25640" spans="1:5" x14ac:dyDescent="0.25">
      <c r="A25640" t="str">
        <f>HYPERLINK("https://www.773grp.com/globalSearch/NP3100GARLG/page-1", "NP3100GARLG")</f>
        <v>NP3100GARLG</v>
      </c>
      <c r="B25640" s="3" t="str">
        <f>HYPERLINK("https://www.773grp.com/manufacturer/onsemi?pageNo=768", "ON Semiconductor")</f>
        <v>ON Semiconductor</v>
      </c>
      <c r="C25640" s="6">
        <v>5000</v>
      </c>
      <c r="D25640" s="7">
        <v>0.23</v>
      </c>
      <c r="E25640" t="s">
        <v>109</v>
      </c>
    </row>
    <row r="25641" spans="1:5" x14ac:dyDescent="0.25">
      <c r="A25641" t="str">
        <f>HYPERLINK("https://www.773grp.com/globalSearch/NP3100GBRLG/page-1", "NP3100GBRLG")</f>
        <v>NP3100GBRLG</v>
      </c>
      <c r="B25641" s="3" t="str">
        <f>HYPERLINK("https://www.773grp.com/manufacturer/onsemi?pageNo=769", "ON Semiconductor")</f>
        <v>ON Semiconductor</v>
      </c>
      <c r="C25641" s="6">
        <v>30000</v>
      </c>
      <c r="D25641" s="7">
        <v>0.23</v>
      </c>
      <c r="E25641" t="s">
        <v>109</v>
      </c>
    </row>
    <row r="25642" spans="1:5" x14ac:dyDescent="0.25">
      <c r="A25642" t="str">
        <f>HYPERLINK("https://www.773grp.com/globalSearch/NSB4904DW1T2G/page-1", "NSB4904DW1T2G")</f>
        <v>NSB4904DW1T2G</v>
      </c>
      <c r="B25642" s="3" t="str">
        <f>HYPERLINK("https://www.773grp.com/manufacturer/onsemi?pageNo=770", "ON Semiconductor")</f>
        <v>ON Semiconductor</v>
      </c>
      <c r="C25642" s="6">
        <v>78000</v>
      </c>
      <c r="D25642" s="7">
        <v>0.23</v>
      </c>
      <c r="E25642" t="s">
        <v>69</v>
      </c>
    </row>
    <row r="25643" spans="1:5" x14ac:dyDescent="0.25">
      <c r="A25643" t="str">
        <f>HYPERLINK("https://www.773grp.com/globalSearch/NSD16F3T5G/page-1", "NSD16F3T5G")</f>
        <v>NSD16F3T5G</v>
      </c>
      <c r="B25643" s="3" t="str">
        <f>HYPERLINK("https://www.773grp.com/manufacturer/onsemi?pageNo=771", "ON Semiconductor")</f>
        <v>ON Semiconductor</v>
      </c>
      <c r="C25643" s="6">
        <v>168000</v>
      </c>
      <c r="D25643" s="7">
        <v>0.23</v>
      </c>
    </row>
    <row r="25644" spans="1:5" x14ac:dyDescent="0.25">
      <c r="A25644" t="str">
        <f>HYPERLINK("https://www.773grp.com/globalSearch/NSD914F3T5G/page-1", "NSD914F3T5G")</f>
        <v>NSD914F3T5G</v>
      </c>
      <c r="B25644" s="3" t="str">
        <f>HYPERLINK("https://www.773grp.com/manufacturer/onsemi?pageNo=772", "ON Semiconductor")</f>
        <v>ON Semiconductor</v>
      </c>
      <c r="C25644" s="6">
        <v>32000</v>
      </c>
      <c r="D25644" s="7">
        <v>0.23</v>
      </c>
      <c r="E25644" t="s">
        <v>94</v>
      </c>
    </row>
    <row r="25645" spans="1:5" x14ac:dyDescent="0.25">
      <c r="A25645" t="str">
        <f>HYPERLINK("https://www.773grp.com/globalSearch/NSD914XV2T1G/page-1", "NSD914XV2T1G")</f>
        <v>NSD914XV2T1G</v>
      </c>
      <c r="B25645" s="3" t="str">
        <f>HYPERLINK("https://www.773grp.com/manufacturer/onsemi?pageNo=773", "ON Semiconductor")</f>
        <v>ON Semiconductor</v>
      </c>
      <c r="C25645" s="6">
        <v>48000</v>
      </c>
      <c r="D25645" s="7">
        <v>0.23</v>
      </c>
      <c r="E25645" t="s">
        <v>94</v>
      </c>
    </row>
    <row r="25646" spans="1:5" x14ac:dyDescent="0.25">
      <c r="A25646" t="str">
        <f>HYPERLINK("https://www.773grp.com/globalSearch/NSR0240HT1G/page-1", "NSR0240HT1G")</f>
        <v>NSR0240HT1G</v>
      </c>
      <c r="B25646" s="3" t="str">
        <f>HYPERLINK("https://www.773grp.com/manufacturer/onsemi?pageNo=774", "ON Semiconductor")</f>
        <v>ON Semiconductor</v>
      </c>
      <c r="C25646" s="6">
        <v>70000</v>
      </c>
      <c r="D25646" s="7">
        <v>0.23</v>
      </c>
      <c r="E25646" t="s">
        <v>94</v>
      </c>
    </row>
    <row r="25647" spans="1:5" x14ac:dyDescent="0.25">
      <c r="A25647" t="str">
        <f>HYPERLINK("https://www.773grp.com/globalSearch/NSR0240V2T1G/page-1", "NSR0240V2T1G")</f>
        <v>NSR0240V2T1G</v>
      </c>
      <c r="B25647" s="3" t="str">
        <f>HYPERLINK("https://www.773grp.com/manufacturer/onsemi?pageNo=775", "ON Semiconductor")</f>
        <v>ON Semiconductor</v>
      </c>
      <c r="C25647" s="6">
        <v>129000</v>
      </c>
      <c r="D25647" s="7">
        <v>0.23</v>
      </c>
      <c r="E25647" t="s">
        <v>94</v>
      </c>
    </row>
    <row r="25648" spans="1:5" x14ac:dyDescent="0.25">
      <c r="A25648" t="str">
        <f>HYPERLINK("https://www.773grp.com/globalSearch/NSR0320MW2T1/page-1", "NSR0320MW2T1")</f>
        <v>NSR0320MW2T1</v>
      </c>
      <c r="B25648" s="3" t="str">
        <f>HYPERLINK("https://www.773grp.com/manufacturer/onsemi?pageNo=776", "ON Semiconductor")</f>
        <v>ON Semiconductor</v>
      </c>
      <c r="C25648" s="6">
        <v>5749</v>
      </c>
      <c r="D25648" s="7">
        <v>0.23</v>
      </c>
      <c r="E25648" t="s">
        <v>94</v>
      </c>
    </row>
    <row r="25649" spans="1:5" x14ac:dyDescent="0.25">
      <c r="A25649" t="str">
        <f>HYPERLINK("https://www.773grp.com/globalSearch/NSR0320MW2T1G/page-1", "NSR0320MW2T1G")</f>
        <v>NSR0320MW2T1G</v>
      </c>
      <c r="B25649" s="3" t="str">
        <f>HYPERLINK("https://www.773grp.com/manufacturer/onsemi?pageNo=777", "ON Semiconductor")</f>
        <v>ON Semiconductor</v>
      </c>
      <c r="C25649" s="6">
        <v>800245</v>
      </c>
      <c r="D25649" s="7">
        <v>0.23</v>
      </c>
      <c r="E25649" t="s">
        <v>94</v>
      </c>
    </row>
    <row r="25650" spans="1:5" x14ac:dyDescent="0.25">
      <c r="A25650" t="str">
        <f>HYPERLINK("https://www.773grp.com/globalSearch/NSR0320MW2T1H/page-1", "NSR0320MW2T1H")</f>
        <v>NSR0320MW2T1H</v>
      </c>
      <c r="B25650" s="3" t="str">
        <f>HYPERLINK("https://www.773grp.com/manufacturer/onsemi?pageNo=778", "ON Semiconductor")</f>
        <v>ON Semiconductor</v>
      </c>
      <c r="C25650" s="6">
        <v>39000</v>
      </c>
      <c r="D25650" s="7">
        <v>0.23</v>
      </c>
    </row>
    <row r="25651" spans="1:5" x14ac:dyDescent="0.25">
      <c r="A25651" t="str">
        <f>HYPERLINK("https://www.773grp.com/globalSearch/NSR0320MW2T3G/page-1", "NSR0320MW2T3G")</f>
        <v>NSR0320MW2T3G</v>
      </c>
      <c r="B25651" s="3" t="str">
        <f>HYPERLINK("https://www.773grp.com/manufacturer/onsemi?pageNo=779", "ON Semiconductor")</f>
        <v>ON Semiconductor</v>
      </c>
      <c r="C25651" s="6">
        <v>20000</v>
      </c>
      <c r="D25651" s="7">
        <v>0.23</v>
      </c>
      <c r="E25651" t="s">
        <v>94</v>
      </c>
    </row>
    <row r="25652" spans="1:5" x14ac:dyDescent="0.25">
      <c r="A25652" t="str">
        <f>HYPERLINK("https://www.773grp.com/globalSearch/NSR0320XV6T1/page-1", "NSR0320XV6T1")</f>
        <v>NSR0320XV6T1</v>
      </c>
      <c r="B25652" s="3" t="str">
        <f>HYPERLINK("https://www.773grp.com/manufacturer/onsemi?pageNo=780", "ON Semiconductor")</f>
        <v>ON Semiconductor</v>
      </c>
      <c r="C25652" s="6">
        <v>35455</v>
      </c>
      <c r="D25652" s="7">
        <v>0.23</v>
      </c>
      <c r="E25652" t="s">
        <v>94</v>
      </c>
    </row>
    <row r="25653" spans="1:5" x14ac:dyDescent="0.25">
      <c r="A25653" t="str">
        <f>HYPERLINK("https://www.773grp.com/globalSearch/NSR0320XV6T5/page-1", "NSR0320XV6T5")</f>
        <v>NSR0320XV6T5</v>
      </c>
      <c r="B25653" s="3" t="str">
        <f>HYPERLINK("https://www.773grp.com/manufacturer/onsemi?pageNo=781", "ON Semiconductor")</f>
        <v>ON Semiconductor</v>
      </c>
      <c r="C25653" s="6">
        <v>7800</v>
      </c>
      <c r="D25653" s="7">
        <v>0.23</v>
      </c>
      <c r="E25653" t="s">
        <v>94</v>
      </c>
    </row>
    <row r="25654" spans="1:5" x14ac:dyDescent="0.25">
      <c r="A25654" t="str">
        <f>HYPERLINK("https://www.773grp.com/globalSearch/NSR0340V2T1G/page-1", "NSR0340V2T1G")</f>
        <v>NSR0340V2T1G</v>
      </c>
      <c r="B25654" s="3" t="str">
        <f>HYPERLINK("https://www.773grp.com/manufacturer/onsemi?pageNo=782", "ON Semiconductor")</f>
        <v>ON Semiconductor</v>
      </c>
      <c r="C25654" s="6">
        <v>120000</v>
      </c>
      <c r="D25654" s="7">
        <v>0.23</v>
      </c>
    </row>
    <row r="25655" spans="1:5" x14ac:dyDescent="0.25">
      <c r="A25655" t="str">
        <f>HYPERLINK("https://www.773grp.com/globalSearch/NSR0520V2T1G/page-1", "NSR0520V2T1G")</f>
        <v>NSR0520V2T1G</v>
      </c>
      <c r="B25655" s="3" t="str">
        <f>HYPERLINK("https://www.773grp.com/manufacturer/onsemi?pageNo=783", "ON Semiconductor")</f>
        <v>ON Semiconductor</v>
      </c>
      <c r="C25655" s="6">
        <v>84000</v>
      </c>
      <c r="D25655" s="7">
        <v>0.23</v>
      </c>
      <c r="E25655" t="s">
        <v>94</v>
      </c>
    </row>
    <row r="25656" spans="1:5" x14ac:dyDescent="0.25">
      <c r="A25656" t="str">
        <f>HYPERLINK("https://www.773grp.com/globalSearch/NSR30CM3T5G/page-1", "NSR30CM3T5G")</f>
        <v>NSR30CM3T5G</v>
      </c>
      <c r="B25656" s="3" t="str">
        <f>HYPERLINK("https://www.773grp.com/manufacturer/onsemi?pageNo=784", "ON Semiconductor")</f>
        <v>ON Semiconductor</v>
      </c>
      <c r="C25656" s="6">
        <v>582583</v>
      </c>
      <c r="D25656" s="7">
        <v>0.23</v>
      </c>
      <c r="E25656" t="s">
        <v>94</v>
      </c>
    </row>
    <row r="25657" spans="1:5" x14ac:dyDescent="0.25">
      <c r="A25657" t="str">
        <f>HYPERLINK("https://www.773grp.com/globalSearch/NSRLV20MW2T1G/page-1", "NSRLV20MW2T1G")</f>
        <v>NSRLV20MW2T1G</v>
      </c>
      <c r="B25657" s="3" t="str">
        <f>HYPERLINK("https://www.773grp.com/manufacturer/onsemi?pageNo=785", "ON Semiconductor")</f>
        <v>ON Semiconductor</v>
      </c>
      <c r="C25657" s="6">
        <v>6000</v>
      </c>
      <c r="D25657" s="7">
        <v>0.23</v>
      </c>
    </row>
    <row r="25658" spans="1:5" x14ac:dyDescent="0.25">
      <c r="A25658" t="str">
        <f>HYPERLINK("https://www.773grp.com/globalSearch/NSS20101JT1G/page-1", "NSS20101JT1G")</f>
        <v>NSS20101JT1G</v>
      </c>
      <c r="B25658" s="3" t="str">
        <f>HYPERLINK("https://www.773grp.com/manufacturer/onsemi?pageNo=786", "ON Semiconductor")</f>
        <v>ON Semiconductor</v>
      </c>
      <c r="C25658" s="6">
        <v>429000</v>
      </c>
      <c r="D25658" s="7">
        <v>0.23</v>
      </c>
      <c r="E25658" t="s">
        <v>69</v>
      </c>
    </row>
    <row r="25659" spans="1:5" x14ac:dyDescent="0.25">
      <c r="A25659" t="str">
        <f>HYPERLINK("https://www.773grp.com/globalSearch/NST3904F3T5G/page-1", "NST3904F3T5G")</f>
        <v>NST3904F3T5G</v>
      </c>
      <c r="B25659" s="3" t="str">
        <f>HYPERLINK("https://www.773grp.com/manufacturer/onsemi?pageNo=787", "ON Semiconductor")</f>
        <v>ON Semiconductor</v>
      </c>
      <c r="C25659" s="6">
        <v>40000</v>
      </c>
      <c r="D25659" s="7">
        <v>0.23</v>
      </c>
    </row>
    <row r="25660" spans="1:5" x14ac:dyDescent="0.25">
      <c r="A25660" t="str">
        <f>HYPERLINK("https://www.773grp.com/globalSearch/NST3906DP6T5G/page-1", "NST3906DP6T5G")</f>
        <v>NST3906DP6T5G</v>
      </c>
      <c r="B25660" s="3" t="str">
        <f>HYPERLINK("https://www.773grp.com/manufacturer/onsemi?pageNo=788", "ON Semiconductor")</f>
        <v>ON Semiconductor</v>
      </c>
      <c r="C25660" s="6">
        <v>239000</v>
      </c>
      <c r="D25660" s="7">
        <v>0.23</v>
      </c>
      <c r="E25660" t="s">
        <v>69</v>
      </c>
    </row>
    <row r="25661" spans="1:5" x14ac:dyDescent="0.25">
      <c r="A25661" t="str">
        <f>HYPERLINK("https://www.773grp.com/globalSearch/NST3906F3T5G/page-1", "NST3906F3T5G")</f>
        <v>NST3906F3T5G</v>
      </c>
      <c r="B25661" s="3" t="str">
        <f>HYPERLINK("https://www.773grp.com/manufacturer/onsemi?pageNo=789", "ON Semiconductor")</f>
        <v>ON Semiconductor</v>
      </c>
      <c r="C25661" s="6">
        <v>255425</v>
      </c>
      <c r="D25661" s="7">
        <v>0.23</v>
      </c>
      <c r="E25661" t="s">
        <v>69</v>
      </c>
    </row>
    <row r="25662" spans="1:5" x14ac:dyDescent="0.25">
      <c r="A25662" t="str">
        <f>HYPERLINK("https://www.773grp.com/globalSearch/NST846BF3T5G/page-1", "NST846BF3T5G")</f>
        <v>NST846BF3T5G</v>
      </c>
      <c r="B25662" s="3" t="str">
        <f>HYPERLINK("https://www.773grp.com/manufacturer/onsemi?pageNo=790", "ON Semiconductor")</f>
        <v>ON Semiconductor</v>
      </c>
      <c r="C25662" s="6">
        <v>303200</v>
      </c>
      <c r="D25662" s="7">
        <v>0.23</v>
      </c>
      <c r="E25662" t="s">
        <v>69</v>
      </c>
    </row>
    <row r="25663" spans="1:5" x14ac:dyDescent="0.25">
      <c r="A25663" t="str">
        <f>HYPERLINK("https://www.773grp.com/globalSearch/NST847BDP6T5G/page-1", "NST847BDP6T5G")</f>
        <v>NST847BDP6T5G</v>
      </c>
      <c r="B25663" s="3" t="str">
        <f>HYPERLINK("https://www.773grp.com/manufacturer/onsemi?pageNo=791", "ON Semiconductor")</f>
        <v>ON Semiconductor</v>
      </c>
      <c r="C25663" s="6">
        <v>813661</v>
      </c>
      <c r="D25663" s="7">
        <v>0.23</v>
      </c>
      <c r="E25663" t="s">
        <v>69</v>
      </c>
    </row>
    <row r="25664" spans="1:5" x14ac:dyDescent="0.25">
      <c r="A25664" t="str">
        <f>HYPERLINK("https://www.773grp.com/globalSearch/NST847BF3T5G/page-1", "NST847BF3T5G")</f>
        <v>NST847BF3T5G</v>
      </c>
      <c r="B25664" s="3" t="str">
        <f>HYPERLINK("https://www.773grp.com/manufacturer/onsemi?pageNo=792", "ON Semiconductor")</f>
        <v>ON Semiconductor</v>
      </c>
      <c r="C25664" s="6">
        <v>194000</v>
      </c>
      <c r="D25664" s="7">
        <v>0.23</v>
      </c>
      <c r="E25664" t="s">
        <v>69</v>
      </c>
    </row>
    <row r="25665" spans="1:5" x14ac:dyDescent="0.25">
      <c r="A25665" t="str">
        <f>HYPERLINK("https://www.773grp.com/globalSearch/NST847BPDP6T5G/page-1", "NST847BPDP6T5G")</f>
        <v>NST847BPDP6T5G</v>
      </c>
      <c r="B25665" s="3" t="str">
        <f>HYPERLINK("https://www.773grp.com/manufacturer/onsemi?pageNo=793", "ON Semiconductor")</f>
        <v>ON Semiconductor</v>
      </c>
      <c r="C25665" s="6">
        <v>104000</v>
      </c>
      <c r="D25665" s="7">
        <v>0.23</v>
      </c>
      <c r="E25665" t="s">
        <v>69</v>
      </c>
    </row>
    <row r="25666" spans="1:5" x14ac:dyDescent="0.25">
      <c r="A25666" t="str">
        <f>HYPERLINK("https://www.773grp.com/globalSearch/NST848BF3T5G/page-1", "NST848BF3T5G")</f>
        <v>NST848BF3T5G</v>
      </c>
      <c r="B25666" s="3" t="str">
        <f>HYPERLINK("https://www.773grp.com/manufacturer/onsemi?pageNo=794", "ON Semiconductor")</f>
        <v>ON Semiconductor</v>
      </c>
      <c r="C25666" s="6">
        <v>144000</v>
      </c>
      <c r="D25666" s="7">
        <v>0.23</v>
      </c>
      <c r="E25666" t="s">
        <v>69</v>
      </c>
    </row>
    <row r="25667" spans="1:5" x14ac:dyDescent="0.25">
      <c r="A25667" t="str">
        <f>HYPERLINK("https://www.773grp.com/globalSearch/NST856BF3T5G/page-1", "NST856BF3T5G")</f>
        <v>NST856BF3T5G</v>
      </c>
      <c r="B25667" s="3" t="str">
        <f>HYPERLINK("https://www.773grp.com/manufacturer/onsemi?pageNo=795", "ON Semiconductor")</f>
        <v>ON Semiconductor</v>
      </c>
      <c r="C25667" s="6">
        <v>151305</v>
      </c>
      <c r="D25667" s="7">
        <v>0.23</v>
      </c>
      <c r="E25667" t="s">
        <v>69</v>
      </c>
    </row>
    <row r="25668" spans="1:5" x14ac:dyDescent="0.25">
      <c r="A25668" t="str">
        <f>HYPERLINK("https://www.773grp.com/globalSearch/NST857BF3T5G/page-1", "NST857BF3T5G")</f>
        <v>NST857BF3T5G</v>
      </c>
      <c r="B25668" s="3" t="str">
        <f>HYPERLINK("https://www.773grp.com/manufacturer/onsemi?pageNo=796", "ON Semiconductor")</f>
        <v>ON Semiconductor</v>
      </c>
      <c r="C25668" s="6">
        <v>416000</v>
      </c>
      <c r="D25668" s="7">
        <v>0.23</v>
      </c>
      <c r="E25668" t="s">
        <v>69</v>
      </c>
    </row>
    <row r="25669" spans="1:5" x14ac:dyDescent="0.25">
      <c r="A25669" t="str">
        <f>HYPERLINK("https://www.773grp.com/globalSearch/NSTB60BDW1T1/page-1", "NSTB60BDW1T1")</f>
        <v>NSTB60BDW1T1</v>
      </c>
      <c r="B25669" s="3" t="str">
        <f>HYPERLINK("https://www.773grp.com/manufacturer/onsemi?pageNo=797", "ON Semiconductor")</f>
        <v>ON Semiconductor</v>
      </c>
      <c r="C25669" s="6">
        <v>11970</v>
      </c>
      <c r="D25669" s="7">
        <v>0.23</v>
      </c>
      <c r="E25669" t="s">
        <v>69</v>
      </c>
    </row>
    <row r="25670" spans="1:5" x14ac:dyDescent="0.25">
      <c r="A25670" t="str">
        <f>HYPERLINK("https://www.773grp.com/globalSearch/NSV1SS400T1G/page-1", "NSV1SS400T1G")</f>
        <v>NSV1SS400T1G</v>
      </c>
      <c r="B25670" s="3" t="str">
        <f>HYPERLINK("https://www.773grp.com/manufacturer/onsemi?pageNo=798", "ON Semiconductor")</f>
        <v>ON Semiconductor</v>
      </c>
      <c r="C25670" s="6">
        <v>180000</v>
      </c>
      <c r="D25670" s="7">
        <v>0.23</v>
      </c>
    </row>
    <row r="25671" spans="1:5" x14ac:dyDescent="0.25">
      <c r="A25671" t="str">
        <f>HYPERLINK("https://www.773grp.com/globalSearch/NSVBAS21HT3G/page-1", "NSVBAS21HT3G")</f>
        <v>NSVBAS21HT3G</v>
      </c>
      <c r="B25671" s="3" t="str">
        <f>HYPERLINK("https://www.773grp.com/manufacturer/onsemi?pageNo=799", "ON Semiconductor")</f>
        <v>ON Semiconductor</v>
      </c>
      <c r="C25671" s="6">
        <v>9550</v>
      </c>
      <c r="D25671" s="7">
        <v>0.23</v>
      </c>
    </row>
    <row r="25672" spans="1:5" x14ac:dyDescent="0.25">
      <c r="A25672" t="str">
        <f>HYPERLINK("https://www.773grp.com/globalSearch/NSVBAV70TT1/page-1", "NSVBAV70TT1")</f>
        <v>NSVBAV70TT1</v>
      </c>
      <c r="B25672" s="3" t="str">
        <f>HYPERLINK("https://www.773grp.com/manufacturer/onsemi?pageNo=800", "ON Semiconductor")</f>
        <v>ON Semiconductor</v>
      </c>
      <c r="C25672" s="6">
        <v>351000</v>
      </c>
      <c r="D25672" s="7">
        <v>0.23</v>
      </c>
    </row>
    <row r="25673" spans="1:5" x14ac:dyDescent="0.25">
      <c r="A25673" t="str">
        <f>HYPERLINK("https://www.773grp.com/globalSearch/NTA4001NT1G/page-1", "NTA4001NT1G")</f>
        <v>NTA4001NT1G</v>
      </c>
      <c r="B25673" s="3" t="str">
        <f>HYPERLINK("https://www.773grp.com/manufacturer/onsemi?pageNo=801", "ON Semiconductor")</f>
        <v>ON Semiconductor</v>
      </c>
      <c r="C25673" s="6">
        <v>76999</v>
      </c>
      <c r="D25673" s="7">
        <v>0.23</v>
      </c>
      <c r="E25673" t="s">
        <v>106</v>
      </c>
    </row>
    <row r="25674" spans="1:5" x14ac:dyDescent="0.25">
      <c r="A25674" t="str">
        <f>HYPERLINK("https://www.773grp.com/globalSearch/NTGS3441T1/page-1", "NTGS3441T1")</f>
        <v>NTGS3441T1</v>
      </c>
      <c r="B25674" s="3" t="str">
        <f>HYPERLINK("https://www.773grp.com/manufacturer/onsemi?pageNo=802", "ON Semiconductor")</f>
        <v>ON Semiconductor</v>
      </c>
      <c r="C25674" s="6">
        <v>137513</v>
      </c>
      <c r="D25674" s="7">
        <v>0.23</v>
      </c>
      <c r="E25674" t="s">
        <v>106</v>
      </c>
    </row>
    <row r="25675" spans="1:5" x14ac:dyDescent="0.25">
      <c r="A25675" t="str">
        <f>HYPERLINK("https://www.773grp.com/globalSearch/NTK3134NT1G/page-1", "NTK3134NT1G")</f>
        <v>NTK3134NT1G</v>
      </c>
      <c r="B25675" s="3" t="str">
        <f>HYPERLINK("https://www.773grp.com/manufacturer/onsemi?pageNo=803", "ON Semiconductor")</f>
        <v>ON Semiconductor</v>
      </c>
      <c r="C25675" s="6">
        <v>1361988</v>
      </c>
      <c r="D25675" s="7">
        <v>0.23</v>
      </c>
      <c r="E25675" t="s">
        <v>106</v>
      </c>
    </row>
    <row r="25676" spans="1:5" x14ac:dyDescent="0.25">
      <c r="A25676" t="str">
        <f>HYPERLINK("https://www.773grp.com/globalSearch/NTK3139PT1G/page-1", "NTK3139PT1G")</f>
        <v>NTK3139PT1G</v>
      </c>
      <c r="B25676" s="3" t="str">
        <f>HYPERLINK("https://www.773grp.com/manufacturer/onsemi?pageNo=804", "ON Semiconductor")</f>
        <v>ON Semiconductor</v>
      </c>
      <c r="C25676" s="6">
        <v>3649</v>
      </c>
      <c r="D25676" s="7">
        <v>0.23</v>
      </c>
      <c r="E25676" t="s">
        <v>105</v>
      </c>
    </row>
    <row r="25677" spans="1:5" x14ac:dyDescent="0.25">
      <c r="A25677" t="str">
        <f>HYPERLINK("https://www.773grp.com/globalSearch/NTK3139PT1H/page-1", "NTK3139PT1H")</f>
        <v>NTK3139PT1H</v>
      </c>
      <c r="B25677" s="3" t="str">
        <f>HYPERLINK("https://www.773grp.com/manufacturer/onsemi?pageNo=805", "ON Semiconductor")</f>
        <v>ON Semiconductor</v>
      </c>
      <c r="C25677" s="6">
        <v>64000</v>
      </c>
      <c r="D25677" s="7">
        <v>0.23</v>
      </c>
    </row>
    <row r="25678" spans="1:5" x14ac:dyDescent="0.25">
      <c r="A25678" t="str">
        <f>HYPERLINK("https://www.773grp.com/globalSearch/NTK3139PT5G/page-1", "NTK3139PT5G")</f>
        <v>NTK3139PT5G</v>
      </c>
      <c r="B25678" s="3" t="str">
        <f>HYPERLINK("https://www.773grp.com/manufacturer/onsemi?pageNo=806", "ON Semiconductor")</f>
        <v>ON Semiconductor</v>
      </c>
      <c r="C25678" s="6">
        <v>16000</v>
      </c>
      <c r="D25678" s="7">
        <v>0.23</v>
      </c>
      <c r="E25678" t="s">
        <v>105</v>
      </c>
    </row>
    <row r="25679" spans="1:5" x14ac:dyDescent="0.25">
      <c r="A25679" t="str">
        <f>HYPERLINK("https://www.773grp.com/globalSearch/NTNUS3171PZT5G/page-1", "NTNUS3171PZT5G")</f>
        <v>NTNUS3171PZT5G</v>
      </c>
      <c r="B25679" s="3" t="str">
        <f>HYPERLINK("https://www.773grp.com/manufacturer/onsemi?pageNo=807", "ON Semiconductor")</f>
        <v>ON Semiconductor</v>
      </c>
      <c r="C25679" s="6">
        <v>96000</v>
      </c>
      <c r="D25679" s="7">
        <v>0.23</v>
      </c>
      <c r="E25679" t="s">
        <v>106</v>
      </c>
    </row>
    <row r="25680" spans="1:5" x14ac:dyDescent="0.25">
      <c r="A25680" t="str">
        <f>HYPERLINK("https://www.773grp.com/globalSearch/NUP1301ML3T1G/page-1", "NUP1301ML3T1G")</f>
        <v>NUP1301ML3T1G</v>
      </c>
      <c r="B25680" s="3" t="str">
        <f>HYPERLINK("https://www.773grp.com/manufacturer/onsemi?pageNo=808", "ON Semiconductor")</f>
        <v>ON Semiconductor</v>
      </c>
      <c r="C25680" s="6">
        <v>12000</v>
      </c>
      <c r="D25680" s="7">
        <v>0.23</v>
      </c>
      <c r="E25680" t="s">
        <v>96</v>
      </c>
    </row>
    <row r="25681" spans="1:5" x14ac:dyDescent="0.25">
      <c r="A25681" t="str">
        <f>HYPERLINK("https://www.773grp.com/globalSearch/NZ23C5V6ALT1G/page-1", "NZ23C5V6ALT1G")</f>
        <v>NZ23C5V6ALT1G</v>
      </c>
      <c r="B25681" s="3" t="str">
        <f>HYPERLINK("https://www.773grp.com/manufacturer/onsemi?pageNo=809", "ON Semiconductor")</f>
        <v>ON Semiconductor</v>
      </c>
      <c r="C25681" s="6">
        <v>2450500</v>
      </c>
      <c r="D25681" s="7">
        <v>0.23</v>
      </c>
      <c r="E25681" t="s">
        <v>96</v>
      </c>
    </row>
    <row r="25682" spans="1:5" x14ac:dyDescent="0.25">
      <c r="A25682" t="str">
        <f>HYPERLINK("https://www.773grp.com/globalSearch/NZ9F12VST5G/page-1", "NZ9F12VST5G")</f>
        <v>NZ9F12VST5G</v>
      </c>
      <c r="B25682" s="3" t="str">
        <f>HYPERLINK("https://www.773grp.com/manufacturer/onsemi?pageNo=810", "ON Semiconductor")</f>
        <v>ON Semiconductor</v>
      </c>
      <c r="C25682" s="6">
        <v>127900</v>
      </c>
      <c r="D25682" s="7">
        <v>0.23</v>
      </c>
      <c r="E25682" t="s">
        <v>98</v>
      </c>
    </row>
    <row r="25683" spans="1:5" x14ac:dyDescent="0.25">
      <c r="A25683" t="str">
        <f>HYPERLINK("https://www.773grp.com/globalSearch/NZ9F12VT5G/page-1", "NZ9F12VT5G")</f>
        <v>NZ9F12VT5G</v>
      </c>
      <c r="B25683" s="3" t="str">
        <f>HYPERLINK("https://www.773grp.com/manufacturer/onsemi?pageNo=811", "ON Semiconductor")</f>
        <v>ON Semiconductor</v>
      </c>
      <c r="C25683" s="6">
        <v>144000</v>
      </c>
      <c r="D25683" s="7">
        <v>0.23</v>
      </c>
      <c r="E25683" t="s">
        <v>98</v>
      </c>
    </row>
    <row r="25684" spans="1:5" x14ac:dyDescent="0.25">
      <c r="A25684" t="str">
        <f>HYPERLINK("https://www.773grp.com/globalSearch/NZ9F13VST5G/page-1", "NZ9F13VST5G")</f>
        <v>NZ9F13VST5G</v>
      </c>
      <c r="B25684" s="3" t="str">
        <f>HYPERLINK("https://www.773grp.com/manufacturer/onsemi?pageNo=812", "ON Semiconductor")</f>
        <v>ON Semiconductor</v>
      </c>
      <c r="C25684" s="6">
        <v>8000</v>
      </c>
      <c r="D25684" s="7">
        <v>0.23</v>
      </c>
      <c r="E25684" t="s">
        <v>98</v>
      </c>
    </row>
    <row r="25685" spans="1:5" x14ac:dyDescent="0.25">
      <c r="A25685" t="str">
        <f>HYPERLINK("https://www.773grp.com/globalSearch/NZ9F13VT5G/page-1", "NZ9F13VT5G")</f>
        <v>NZ9F13VT5G</v>
      </c>
      <c r="B25685" s="3" t="str">
        <f>HYPERLINK("https://www.773grp.com/manufacturer/onsemi?pageNo=813", "ON Semiconductor")</f>
        <v>ON Semiconductor</v>
      </c>
      <c r="C25685" s="6">
        <v>152000</v>
      </c>
      <c r="D25685" s="7">
        <v>0.23</v>
      </c>
      <c r="E25685" t="s">
        <v>98</v>
      </c>
    </row>
    <row r="25686" spans="1:5" x14ac:dyDescent="0.25">
      <c r="A25686" t="str">
        <f>HYPERLINK("https://www.773grp.com/globalSearch/NZ9F15VST5G/page-1", "NZ9F15VST5G")</f>
        <v>NZ9F15VST5G</v>
      </c>
      <c r="B25686" s="3" t="str">
        <f>HYPERLINK("https://www.773grp.com/manufacturer/onsemi?pageNo=814", "ON Semiconductor")</f>
        <v>ON Semiconductor</v>
      </c>
      <c r="C25686" s="6">
        <v>152000</v>
      </c>
      <c r="D25686" s="7">
        <v>0.23</v>
      </c>
      <c r="E25686" t="s">
        <v>98</v>
      </c>
    </row>
    <row r="25687" spans="1:5" x14ac:dyDescent="0.25">
      <c r="A25687" t="str">
        <f>HYPERLINK("https://www.773grp.com/globalSearch/NZ9F15VT5G/page-1", "NZ9F15VT5G")</f>
        <v>NZ9F15VT5G</v>
      </c>
      <c r="B25687" s="3" t="str">
        <f>HYPERLINK("https://www.773grp.com/manufacturer/onsemi?pageNo=815", "ON Semiconductor")</f>
        <v>ON Semiconductor</v>
      </c>
      <c r="C25687" s="6">
        <v>160000</v>
      </c>
      <c r="D25687" s="7">
        <v>0.23</v>
      </c>
      <c r="E25687" t="s">
        <v>98</v>
      </c>
    </row>
    <row r="25688" spans="1:5" x14ac:dyDescent="0.25">
      <c r="A25688" t="str">
        <f>HYPERLINK("https://www.773grp.com/globalSearch/NZ9F16VST5G/page-1", "NZ9F16VST5G")</f>
        <v>NZ9F16VST5G</v>
      </c>
      <c r="B25688" s="3" t="str">
        <f>HYPERLINK("https://www.773grp.com/manufacturer/onsemi?pageNo=816", "ON Semiconductor")</f>
        <v>ON Semiconductor</v>
      </c>
      <c r="C25688" s="6">
        <v>272000</v>
      </c>
      <c r="D25688" s="7">
        <v>0.23</v>
      </c>
      <c r="E25688" t="s">
        <v>98</v>
      </c>
    </row>
    <row r="25689" spans="1:5" x14ac:dyDescent="0.25">
      <c r="A25689" t="str">
        <f>HYPERLINK("https://www.773grp.com/globalSearch/NZ9F16VT5G/page-1", "NZ9F16VT5G")</f>
        <v>NZ9F16VT5G</v>
      </c>
      <c r="B25689" s="3" t="str">
        <f>HYPERLINK("https://www.773grp.com/manufacturer/onsemi?pageNo=817", "ON Semiconductor")</f>
        <v>ON Semiconductor</v>
      </c>
      <c r="C25689" s="6">
        <v>160000</v>
      </c>
      <c r="D25689" s="7">
        <v>0.23</v>
      </c>
      <c r="E25689" t="s">
        <v>98</v>
      </c>
    </row>
    <row r="25690" spans="1:5" x14ac:dyDescent="0.25">
      <c r="A25690" t="str">
        <f>HYPERLINK("https://www.773grp.com/globalSearch/NZ9F18VT5G/page-1", "NZ9F18VT5G")</f>
        <v>NZ9F18VT5G</v>
      </c>
      <c r="B25690" s="3" t="str">
        <f>HYPERLINK("https://www.773grp.com/manufacturer/onsemi?pageNo=818", "ON Semiconductor")</f>
        <v>ON Semiconductor</v>
      </c>
      <c r="C25690" s="6">
        <v>263000</v>
      </c>
      <c r="D25690" s="7">
        <v>0.23</v>
      </c>
      <c r="E25690" t="s">
        <v>98</v>
      </c>
    </row>
    <row r="25691" spans="1:5" x14ac:dyDescent="0.25">
      <c r="A25691" t="str">
        <f>HYPERLINK("https://www.773grp.com/globalSearch/NZ9F20VT5G/page-1", "NZ9F20VT5G")</f>
        <v>NZ9F20VT5G</v>
      </c>
      <c r="B25691" s="3" t="str">
        <f>HYPERLINK("https://www.773grp.com/manufacturer/onsemi?pageNo=819", "ON Semiconductor")</f>
        <v>ON Semiconductor</v>
      </c>
      <c r="C25691" s="6">
        <v>112715</v>
      </c>
      <c r="D25691" s="7">
        <v>0.23</v>
      </c>
      <c r="E25691" t="s">
        <v>98</v>
      </c>
    </row>
    <row r="25692" spans="1:5" x14ac:dyDescent="0.25">
      <c r="A25692" t="str">
        <f>HYPERLINK("https://www.773grp.com/globalSearch/NZ9F2V4ST5G/page-1", "NZ9F2V4ST5G")</f>
        <v>NZ9F2V4ST5G</v>
      </c>
      <c r="B25692" s="3" t="str">
        <f>HYPERLINK("https://www.773grp.com/manufacturer/onsemi?pageNo=820", "ON Semiconductor")</f>
        <v>ON Semiconductor</v>
      </c>
      <c r="C25692" s="6">
        <v>32000</v>
      </c>
      <c r="D25692" s="7">
        <v>0.23</v>
      </c>
      <c r="E25692" t="s">
        <v>98</v>
      </c>
    </row>
    <row r="25693" spans="1:5" x14ac:dyDescent="0.25">
      <c r="A25693" t="str">
        <f>HYPERLINK("https://www.773grp.com/globalSearch/NZ9F2V4T5G/page-1", "NZ9F2V4T5G")</f>
        <v>NZ9F2V4T5G</v>
      </c>
      <c r="B25693" s="3" t="str">
        <f>HYPERLINK("https://www.773grp.com/manufacturer/onsemi?pageNo=821", "ON Semiconductor")</f>
        <v>ON Semiconductor</v>
      </c>
      <c r="C25693" s="6">
        <v>80000</v>
      </c>
      <c r="D25693" s="7">
        <v>0.23</v>
      </c>
      <c r="E25693" t="s">
        <v>98</v>
      </c>
    </row>
    <row r="25694" spans="1:5" x14ac:dyDescent="0.25">
      <c r="A25694" t="str">
        <f>HYPERLINK("https://www.773grp.com/globalSearch/NZ9F2V7ST5G/page-1", "NZ9F2V7ST5G")</f>
        <v>NZ9F2V7ST5G</v>
      </c>
      <c r="B25694" s="3" t="str">
        <f>HYPERLINK("https://www.773grp.com/manufacturer/onsemi?pageNo=822", "ON Semiconductor")</f>
        <v>ON Semiconductor</v>
      </c>
      <c r="C25694" s="6">
        <v>144000</v>
      </c>
      <c r="D25694" s="7">
        <v>0.23</v>
      </c>
      <c r="E25694" t="s">
        <v>98</v>
      </c>
    </row>
    <row r="25695" spans="1:5" x14ac:dyDescent="0.25">
      <c r="A25695" t="str">
        <f>HYPERLINK("https://www.773grp.com/globalSearch/NZ9F2V7T5G/page-1", "NZ9F2V7T5G")</f>
        <v>NZ9F2V7T5G</v>
      </c>
      <c r="B25695" s="3" t="str">
        <f>HYPERLINK("https://www.773grp.com/manufacturer/onsemi?pageNo=823", "ON Semiconductor")</f>
        <v>ON Semiconductor</v>
      </c>
      <c r="C25695" s="6">
        <v>32000</v>
      </c>
      <c r="D25695" s="7">
        <v>0.23</v>
      </c>
      <c r="E25695" t="s">
        <v>98</v>
      </c>
    </row>
    <row r="25696" spans="1:5" x14ac:dyDescent="0.25">
      <c r="A25696" t="str">
        <f>HYPERLINK("https://www.773grp.com/globalSearch/NZ9F3V0ST5G/page-1", "NZ9F3V0ST5G")</f>
        <v>NZ9F3V0ST5G</v>
      </c>
      <c r="B25696" s="3" t="str">
        <f>HYPERLINK("https://www.773grp.com/manufacturer/onsemi?pageNo=824", "ON Semiconductor")</f>
        <v>ON Semiconductor</v>
      </c>
      <c r="C25696" s="6">
        <v>128000</v>
      </c>
      <c r="D25696" s="7">
        <v>0.23</v>
      </c>
      <c r="E25696" t="s">
        <v>98</v>
      </c>
    </row>
    <row r="25697" spans="1:5" x14ac:dyDescent="0.25">
      <c r="A25697" t="str">
        <f>HYPERLINK("https://www.773grp.com/globalSearch/NZ9F3V0T5G/page-1", "NZ9F3V0T5G")</f>
        <v>NZ9F3V0T5G</v>
      </c>
      <c r="B25697" s="3" t="str">
        <f>HYPERLINK("https://www.773grp.com/manufacturer/onsemi?pageNo=825", "ON Semiconductor")</f>
        <v>ON Semiconductor</v>
      </c>
      <c r="C25697" s="6">
        <v>112000</v>
      </c>
      <c r="D25697" s="7">
        <v>0.23</v>
      </c>
      <c r="E25697" t="s">
        <v>98</v>
      </c>
    </row>
    <row r="25698" spans="1:5" x14ac:dyDescent="0.25">
      <c r="A25698" t="str">
        <f>HYPERLINK("https://www.773grp.com/globalSearch/NZ9F3V3T5G/page-1", "NZ9F3V3T5G")</f>
        <v>NZ9F3V3T5G</v>
      </c>
      <c r="B25698" s="3" t="str">
        <f>HYPERLINK("https://www.773grp.com/manufacturer/onsemi?pageNo=826", "ON Semiconductor")</f>
        <v>ON Semiconductor</v>
      </c>
      <c r="C25698" s="6">
        <v>92200</v>
      </c>
      <c r="D25698" s="7">
        <v>0.23</v>
      </c>
      <c r="E25698" t="s">
        <v>98</v>
      </c>
    </row>
    <row r="25699" spans="1:5" x14ac:dyDescent="0.25">
      <c r="A25699" t="str">
        <f>HYPERLINK("https://www.773grp.com/globalSearch/NZ9F3V9ST5G/page-1", "NZ9F3V9ST5G")</f>
        <v>NZ9F3V9ST5G</v>
      </c>
      <c r="B25699" s="3" t="str">
        <f>HYPERLINK("https://www.773grp.com/manufacturer/onsemi?pageNo=827", "ON Semiconductor")</f>
        <v>ON Semiconductor</v>
      </c>
      <c r="C25699" s="6">
        <v>224000</v>
      </c>
      <c r="D25699" s="7">
        <v>0.23</v>
      </c>
      <c r="E25699" t="s">
        <v>98</v>
      </c>
    </row>
    <row r="25700" spans="1:5" x14ac:dyDescent="0.25">
      <c r="A25700" t="str">
        <f>HYPERLINK("https://www.773grp.com/globalSearch/NZ9F4V7ST5G/page-1", "NZ9F4V7ST5G")</f>
        <v>NZ9F4V7ST5G</v>
      </c>
      <c r="B25700" s="3" t="str">
        <f>HYPERLINK("https://www.773grp.com/manufacturer/onsemi?pageNo=828", "ON Semiconductor")</f>
        <v>ON Semiconductor</v>
      </c>
      <c r="C25700" s="6">
        <v>8000</v>
      </c>
      <c r="D25700" s="7">
        <v>0.23</v>
      </c>
    </row>
    <row r="25701" spans="1:5" x14ac:dyDescent="0.25">
      <c r="A25701" t="str">
        <f>HYPERLINK("https://www.773grp.com/globalSearch/NZ9F5V1T5G/page-1", "NZ9F5V1T5G")</f>
        <v>NZ9F5V1T5G</v>
      </c>
      <c r="B25701" s="3" t="str">
        <f>HYPERLINK("https://www.773grp.com/manufacturer/onsemi?pageNo=829", "ON Semiconductor")</f>
        <v>ON Semiconductor</v>
      </c>
      <c r="C25701" s="6">
        <v>584000</v>
      </c>
      <c r="D25701" s="7">
        <v>0.23</v>
      </c>
      <c r="E25701" t="s">
        <v>98</v>
      </c>
    </row>
    <row r="25702" spans="1:5" x14ac:dyDescent="0.25">
      <c r="A25702" t="str">
        <f>HYPERLINK("https://www.773grp.com/globalSearch/NZ9F5V6ST5G/page-1", "NZ9F5V6ST5G")</f>
        <v>NZ9F5V6ST5G</v>
      </c>
      <c r="B25702" s="3" t="str">
        <f>HYPERLINK("https://www.773grp.com/manufacturer/onsemi?pageNo=830", "ON Semiconductor")</f>
        <v>ON Semiconductor</v>
      </c>
      <c r="C25702" s="6">
        <v>296000</v>
      </c>
      <c r="D25702" s="7">
        <v>0.23</v>
      </c>
      <c r="E25702" t="s">
        <v>98</v>
      </c>
    </row>
    <row r="25703" spans="1:5" x14ac:dyDescent="0.25">
      <c r="A25703" t="str">
        <f>HYPERLINK("https://www.773grp.com/globalSearch/NZ9F5V6T5G/page-1", "NZ9F5V6T5G")</f>
        <v>NZ9F5V6T5G</v>
      </c>
      <c r="B25703" s="3" t="str">
        <f>HYPERLINK("https://www.773grp.com/manufacturer/onsemi?pageNo=831", "ON Semiconductor")</f>
        <v>ON Semiconductor</v>
      </c>
      <c r="C25703" s="6">
        <v>2191200</v>
      </c>
      <c r="D25703" s="7">
        <v>0.23</v>
      </c>
      <c r="E25703" t="s">
        <v>98</v>
      </c>
    </row>
    <row r="25704" spans="1:5" x14ac:dyDescent="0.25">
      <c r="A25704" t="str">
        <f>HYPERLINK("https://www.773grp.com/globalSearch/NZ9F6V2ST5G/page-1", "NZ9F6V2ST5G")</f>
        <v>NZ9F6V2ST5G</v>
      </c>
      <c r="B25704" s="3" t="str">
        <f>HYPERLINK("https://www.773grp.com/manufacturer/onsemi?pageNo=832", "ON Semiconductor")</f>
        <v>ON Semiconductor</v>
      </c>
      <c r="C25704" s="6">
        <v>160000</v>
      </c>
      <c r="D25704" s="7">
        <v>0.23</v>
      </c>
      <c r="E25704" t="s">
        <v>98</v>
      </c>
    </row>
    <row r="25705" spans="1:5" x14ac:dyDescent="0.25">
      <c r="A25705" t="str">
        <f>HYPERLINK("https://www.773grp.com/globalSearch/NZ9F6V8ST5G/page-1", "NZ9F6V8ST5G")</f>
        <v>NZ9F6V8ST5G</v>
      </c>
      <c r="B25705" s="3" t="str">
        <f>HYPERLINK("https://www.773grp.com/manufacturer/onsemi?pageNo=833", "ON Semiconductor")</f>
        <v>ON Semiconductor</v>
      </c>
      <c r="C25705" s="6">
        <v>8000</v>
      </c>
      <c r="D25705" s="7">
        <v>0.23</v>
      </c>
    </row>
    <row r="25706" spans="1:5" x14ac:dyDescent="0.25">
      <c r="A25706" t="str">
        <f>HYPERLINK("https://www.773grp.com/globalSearch/NZ9F9V1ST5G/page-1", "NZ9F9V1ST5G")</f>
        <v>NZ9F9V1ST5G</v>
      </c>
      <c r="B25706" s="3" t="str">
        <f>HYPERLINK("https://www.773grp.com/manufacturer/onsemi?pageNo=834", "ON Semiconductor")</f>
        <v>ON Semiconductor</v>
      </c>
      <c r="C25706" s="6">
        <v>136000</v>
      </c>
      <c r="D25706" s="7">
        <v>0.23</v>
      </c>
      <c r="E25706" t="s">
        <v>98</v>
      </c>
    </row>
    <row r="25707" spans="1:5" x14ac:dyDescent="0.25">
      <c r="A25707" t="str">
        <f>HYPERLINK("https://www.773grp.com/globalSearch/NZ9F9V1T5G/page-1", "NZ9F9V1T5G")</f>
        <v>NZ9F9V1T5G</v>
      </c>
      <c r="B25707" s="3" t="str">
        <f>HYPERLINK("https://www.773grp.com/manufacturer/onsemi?pageNo=835", "ON Semiconductor")</f>
        <v>ON Semiconductor</v>
      </c>
      <c r="C25707" s="6">
        <v>160000</v>
      </c>
      <c r="D25707" s="7">
        <v>0.23</v>
      </c>
      <c r="E25707" t="s">
        <v>98</v>
      </c>
    </row>
    <row r="25708" spans="1:5" x14ac:dyDescent="0.25">
      <c r="A25708" t="str">
        <f>HYPERLINK("https://www.773grp.com/globalSearch/NZL5V6ATT1/page-1", "NZL5V6ATT1")</f>
        <v>NZL5V6ATT1</v>
      </c>
      <c r="B25708" s="3" t="str">
        <f>HYPERLINK("https://www.773grp.com/manufacturer/onsemi?pageNo=836", "ON Semiconductor")</f>
        <v>ON Semiconductor</v>
      </c>
      <c r="C25708" s="6">
        <v>2930</v>
      </c>
      <c r="D25708" s="7">
        <v>0.23</v>
      </c>
      <c r="E25708" t="s">
        <v>96</v>
      </c>
    </row>
    <row r="25709" spans="1:5" x14ac:dyDescent="0.25">
      <c r="A25709" t="str">
        <f>HYPERLINK("https://www.773grp.com/globalSearch/NZL5V6AXV3T1G/page-1", "NZL5V6AXV3T1G")</f>
        <v>NZL5V6AXV3T1G</v>
      </c>
      <c r="B25709" s="3" t="str">
        <f>HYPERLINK("https://www.773grp.com/manufacturer/onsemi?pageNo=837", "ON Semiconductor")</f>
        <v>ON Semiconductor</v>
      </c>
      <c r="C25709" s="6">
        <v>989602</v>
      </c>
      <c r="D25709" s="7">
        <v>0.23</v>
      </c>
      <c r="E25709" t="s">
        <v>96</v>
      </c>
    </row>
    <row r="25710" spans="1:5" x14ac:dyDescent="0.25">
      <c r="A25710" t="str">
        <f>HYPERLINK("https://www.773grp.com/globalSearch/NZL6V8AXV3T1G/page-1", "NZL6V8AXV3T1G")</f>
        <v>NZL6V8AXV3T1G</v>
      </c>
      <c r="B25710" s="3" t="str">
        <f>HYPERLINK("https://www.773grp.com/manufacturer/onsemi?pageNo=838", "ON Semiconductor")</f>
        <v>ON Semiconductor</v>
      </c>
      <c r="C25710" s="6">
        <v>33980</v>
      </c>
      <c r="D25710" s="7">
        <v>0.23</v>
      </c>
      <c r="E25710" t="s">
        <v>96</v>
      </c>
    </row>
    <row r="25711" spans="1:5" x14ac:dyDescent="0.25">
      <c r="A25711" t="str">
        <f>HYPERLINK("https://www.773grp.com/globalSearch/NZL7V5AXV3T1G/page-1", "NZL7V5AXV3T1G")</f>
        <v>NZL7V5AXV3T1G</v>
      </c>
      <c r="B25711" s="3" t="str">
        <f>HYPERLINK("https://www.773grp.com/manufacturer/onsemi?pageNo=839", "ON Semiconductor")</f>
        <v>ON Semiconductor</v>
      </c>
      <c r="C25711" s="6">
        <v>233</v>
      </c>
      <c r="D25711" s="7">
        <v>0.23</v>
      </c>
      <c r="E25711" t="s">
        <v>96</v>
      </c>
    </row>
    <row r="25712" spans="1:5" x14ac:dyDescent="0.25">
      <c r="A25712" t="str">
        <f>HYPERLINK("https://www.773grp.com/globalSearch/RB751S40T1G/page-1", "RB751S40T1G")</f>
        <v>RB751S40T1G</v>
      </c>
      <c r="B25712" s="3" t="str">
        <f>HYPERLINK("https://www.773grp.com/manufacturer/onsemi?pageNo=840", "ON Semiconductor")</f>
        <v>ON Semiconductor</v>
      </c>
      <c r="C25712" s="6">
        <v>412351</v>
      </c>
      <c r="D25712" s="7">
        <v>0.23</v>
      </c>
      <c r="E25712" t="s">
        <v>94</v>
      </c>
    </row>
    <row r="25713" spans="1:5" x14ac:dyDescent="0.25">
      <c r="A25713" t="str">
        <f>HYPERLINK("https://www.773grp.com/globalSearch/SA14011BDR2/page-1", "SA14011BDR2")</f>
        <v>SA14011BDR2</v>
      </c>
      <c r="B25713" s="3" t="str">
        <f>HYPERLINK("https://www.773grp.com/manufacturer/onsemi?pageNo=841", "ON Semiconductor")</f>
        <v>ON Semiconductor</v>
      </c>
      <c r="C25713" s="6">
        <v>7500</v>
      </c>
      <c r="D25713" s="7">
        <v>0.23</v>
      </c>
    </row>
    <row r="25714" spans="1:5" x14ac:dyDescent="0.25">
      <c r="A25714" t="str">
        <f>HYPERLINK("https://www.773grp.com/globalSearch/SBC846BPDW1T1G/page-1", "SBC846BPDW1T1G")</f>
        <v>SBC846BPDW1T1G</v>
      </c>
      <c r="B25714" s="3" t="str">
        <f>HYPERLINK("https://www.773grp.com/manufacturer/onsemi?pageNo=842", "ON Semiconductor")</f>
        <v>ON Semiconductor</v>
      </c>
      <c r="C25714" s="6">
        <v>147000</v>
      </c>
      <c r="D25714" s="7">
        <v>0.23</v>
      </c>
    </row>
    <row r="25715" spans="1:5" x14ac:dyDescent="0.25">
      <c r="A25715" t="str">
        <f>HYPERLINK("https://www.773grp.com/globalSearch/SBC846BWT1G/page-1", "SBC846BWT1G")</f>
        <v>SBC846BWT1G</v>
      </c>
      <c r="B25715" s="3" t="str">
        <f>HYPERLINK("https://www.773grp.com/manufacturer/onsemi?pageNo=843", "ON Semiconductor")</f>
        <v>ON Semiconductor</v>
      </c>
      <c r="C25715" s="6">
        <v>180000</v>
      </c>
      <c r="D25715" s="7">
        <v>0.23</v>
      </c>
    </row>
    <row r="25716" spans="1:5" x14ac:dyDescent="0.25">
      <c r="A25716" t="str">
        <f>HYPERLINK("https://www.773grp.com/globalSearch/SBC847BWT1G/page-1", "SBC847BWT1G")</f>
        <v>SBC847BWT1G</v>
      </c>
      <c r="B25716" s="3" t="str">
        <f>HYPERLINK("https://www.773grp.com/manufacturer/onsemi?pageNo=844", "ON Semiconductor")</f>
        <v>ON Semiconductor</v>
      </c>
      <c r="C25716" s="6">
        <v>177000</v>
      </c>
      <c r="D25716" s="7">
        <v>0.23</v>
      </c>
    </row>
    <row r="25717" spans="1:5" x14ac:dyDescent="0.25">
      <c r="A25717" t="str">
        <f>HYPERLINK("https://www.773grp.com/globalSearch/SBC847CDW1T1/page-1", "SBC847CDW1T1")</f>
        <v>SBC847CDW1T1</v>
      </c>
      <c r="B25717" s="3" t="str">
        <f>HYPERLINK("https://www.773grp.com/manufacturer/onsemi?pageNo=845", "ON Semiconductor")</f>
        <v>ON Semiconductor</v>
      </c>
      <c r="C25717" s="6">
        <v>99000</v>
      </c>
      <c r="D25717" s="7">
        <v>0.23</v>
      </c>
    </row>
    <row r="25718" spans="1:5" x14ac:dyDescent="0.25">
      <c r="A25718" t="str">
        <f>HYPERLINK("https://www.773grp.com/globalSearch/SBCW30LT1G/page-1", "SBCW30LT1G")</f>
        <v>SBCW30LT1G</v>
      </c>
      <c r="B25718" s="3" t="str">
        <f>HYPERLINK("https://www.773grp.com/manufacturer/onsemi?pageNo=846", "ON Semiconductor")</f>
        <v>ON Semiconductor</v>
      </c>
      <c r="C25718" s="6">
        <v>348000</v>
      </c>
      <c r="D25718" s="7">
        <v>0.23</v>
      </c>
    </row>
    <row r="25719" spans="1:5" x14ac:dyDescent="0.25">
      <c r="A25719" t="str">
        <f>HYPERLINK("https://www.773grp.com/globalSearch/SBCW33LT1G/page-1", "SBCW33LT1G")</f>
        <v>SBCW33LT1G</v>
      </c>
      <c r="B25719" s="3" t="str">
        <f>HYPERLINK("https://www.773grp.com/manufacturer/onsemi?pageNo=847", "ON Semiconductor")</f>
        <v>ON Semiconductor</v>
      </c>
      <c r="C25719" s="6">
        <v>423000</v>
      </c>
      <c r="D25719" s="7">
        <v>0.23</v>
      </c>
    </row>
    <row r="25720" spans="1:5" x14ac:dyDescent="0.25">
      <c r="A25720" t="str">
        <f>HYPERLINK("https://www.773grp.com/globalSearch/SBZMMBZ5V6ALT1/page-1", "SBZMMBZ5V6ALT1")</f>
        <v>SBZMMBZ5V6ALT1</v>
      </c>
      <c r="B25720" s="3" t="str">
        <f>HYPERLINK("https://www.773grp.com/manufacturer/onsemi?pageNo=848", "ON Semiconductor")</f>
        <v>ON Semiconductor</v>
      </c>
      <c r="C25720" s="6">
        <v>9000</v>
      </c>
      <c r="D25720" s="7">
        <v>0.23</v>
      </c>
    </row>
    <row r="25721" spans="1:5" x14ac:dyDescent="0.25">
      <c r="A25721" t="str">
        <f>HYPERLINK("https://www.773grp.com/globalSearch/SC78M05BDTRK/page-1", "SC78M05BDTRK")</f>
        <v>SC78M05BDTRK</v>
      </c>
      <c r="B25721" s="3" t="str">
        <f>HYPERLINK("https://www.773grp.com/manufacturer/onsemi?pageNo=849", "ON Semiconductor")</f>
        <v>ON Semiconductor</v>
      </c>
      <c r="C25721" s="6">
        <v>5000</v>
      </c>
      <c r="D25721" s="7">
        <v>0.23</v>
      </c>
    </row>
    <row r="25722" spans="1:5" x14ac:dyDescent="0.25">
      <c r="A25722" t="str">
        <f>HYPERLINK("https://www.773grp.com/globalSearch/SMBZ1093LT1/page-1", "SMBZ1093LT1")</f>
        <v>SMBZ1093LT1</v>
      </c>
      <c r="B25722" s="3" t="str">
        <f>HYPERLINK("https://www.773grp.com/manufacturer/onsemi?pageNo=850", "ON Semiconductor")</f>
        <v>ON Semiconductor</v>
      </c>
      <c r="C25722" s="6">
        <v>15000</v>
      </c>
      <c r="D25722" s="7">
        <v>0.23</v>
      </c>
    </row>
    <row r="25723" spans="1:5" x14ac:dyDescent="0.25">
      <c r="A25723" t="str">
        <f>HYPERLINK("https://www.773grp.com/globalSearch/SMF05T1/page-1", "SMF05T1")</f>
        <v>SMF05T1</v>
      </c>
      <c r="B25723" s="3" t="str">
        <f>HYPERLINK("https://www.773grp.com/manufacturer/onsemi?pageNo=851", "ON Semiconductor")</f>
        <v>ON Semiconductor</v>
      </c>
      <c r="C25723" s="6">
        <v>1239000</v>
      </c>
      <c r="D25723" s="7">
        <v>0.23</v>
      </c>
      <c r="E25723" t="s">
        <v>96</v>
      </c>
    </row>
    <row r="25724" spans="1:5" x14ac:dyDescent="0.25">
      <c r="A25724" t="str">
        <f>HYPERLINK("https://www.773grp.com/globalSearch/SMF15CT1/page-1", "SMF15CT1")</f>
        <v>SMF15CT1</v>
      </c>
      <c r="B25724" s="3" t="str">
        <f>HYPERLINK("https://www.773grp.com/manufacturer/onsemi?pageNo=852", "ON Semiconductor")</f>
        <v>ON Semiconductor</v>
      </c>
      <c r="C25724" s="6">
        <v>102000</v>
      </c>
      <c r="D25724" s="7">
        <v>0.23</v>
      </c>
      <c r="E25724" t="s">
        <v>96</v>
      </c>
    </row>
    <row r="25725" spans="1:5" x14ac:dyDescent="0.25">
      <c r="A25725" t="str">
        <f>HYPERLINK("https://www.773grp.com/globalSearch/SMF24CT1/page-1", "SMF24CT1")</f>
        <v>SMF24CT1</v>
      </c>
      <c r="B25725" s="3" t="str">
        <f>HYPERLINK("https://www.773grp.com/manufacturer/onsemi?pageNo=853", "ON Semiconductor")</f>
        <v>ON Semiconductor</v>
      </c>
      <c r="C25725" s="6">
        <v>46500</v>
      </c>
      <c r="D25725" s="7">
        <v>0.23</v>
      </c>
      <c r="E25725" t="s">
        <v>96</v>
      </c>
    </row>
    <row r="25726" spans="1:5" x14ac:dyDescent="0.25">
      <c r="A25726" t="str">
        <f>HYPERLINK("https://www.773grp.com/globalSearch/SMMBD2835LT1G/page-1", "SMMBD2835LT1G")</f>
        <v>SMMBD2835LT1G</v>
      </c>
      <c r="B25726" s="3" t="str">
        <f>HYPERLINK("https://www.773grp.com/manufacturer/onsemi?pageNo=854", "ON Semiconductor")</f>
        <v>ON Semiconductor</v>
      </c>
      <c r="C25726" s="6">
        <v>6000</v>
      </c>
      <c r="D25726" s="7">
        <v>0.23</v>
      </c>
    </row>
    <row r="25727" spans="1:5" x14ac:dyDescent="0.25">
      <c r="A25727" t="str">
        <f>HYPERLINK("https://www.773grp.com/globalSearch/SMMBD2837LT1G/page-1", "SMMBD2837LT1G")</f>
        <v>SMMBD2837LT1G</v>
      </c>
      <c r="B25727" s="3" t="str">
        <f>HYPERLINK("https://www.773grp.com/manufacturer/onsemi?pageNo=855", "ON Semiconductor")</f>
        <v>ON Semiconductor</v>
      </c>
      <c r="C25727" s="6">
        <v>123000</v>
      </c>
      <c r="D25727" s="7">
        <v>0.23</v>
      </c>
    </row>
    <row r="25728" spans="1:5" x14ac:dyDescent="0.25">
      <c r="A25728" t="str">
        <f>HYPERLINK("https://www.773grp.com/globalSearch/SMMBD914LT3/page-1", "SMMBD914LT3")</f>
        <v>SMMBD914LT3</v>
      </c>
      <c r="B25728" s="3" t="str">
        <f>HYPERLINK("https://www.773grp.com/manufacturer/onsemi?pageNo=856", "ON Semiconductor")</f>
        <v>ON Semiconductor</v>
      </c>
      <c r="C25728" s="6">
        <v>11</v>
      </c>
      <c r="D25728" s="7">
        <v>0.23</v>
      </c>
    </row>
    <row r="25729" spans="1:5" x14ac:dyDescent="0.25">
      <c r="A25729" t="str">
        <f>HYPERLINK("https://www.773grp.com/globalSearch/SMMBT3904LT3/page-1", "SMMBT3904LT3")</f>
        <v>SMMBT3904LT3</v>
      </c>
      <c r="B25729" s="3" t="str">
        <f>HYPERLINK("https://www.773grp.com/manufacturer/onsemi?pageNo=857", "ON Semiconductor")</f>
        <v>ON Semiconductor</v>
      </c>
      <c r="C25729" s="6">
        <v>150000</v>
      </c>
      <c r="D25729" s="7">
        <v>0.23</v>
      </c>
    </row>
    <row r="25730" spans="1:5" x14ac:dyDescent="0.25">
      <c r="A25730" t="str">
        <f>HYPERLINK("https://www.773grp.com/globalSearch/SMMBT5551LT1G/page-1", "SMMBT5551LT1G")</f>
        <v>SMMBT5551LT1G</v>
      </c>
      <c r="B25730" s="3" t="str">
        <f>HYPERLINK("https://www.773grp.com/manufacturer/onsemi?pageNo=858", "ON Semiconductor")</f>
        <v>ON Semiconductor</v>
      </c>
      <c r="C25730" s="6">
        <v>1545</v>
      </c>
      <c r="D25730" s="7">
        <v>0.23</v>
      </c>
    </row>
    <row r="25731" spans="1:5" x14ac:dyDescent="0.25">
      <c r="A25731" t="str">
        <f>HYPERLINK("https://www.773grp.com/globalSearch/SMMBT6427LT1G/page-1", "SMMBT6427LT1G")</f>
        <v>SMMBT6427LT1G</v>
      </c>
      <c r="B25731" s="3" t="str">
        <f>HYPERLINK("https://www.773grp.com/manufacturer/onsemi?pageNo=859", "ON Semiconductor")</f>
        <v>ON Semiconductor</v>
      </c>
      <c r="C25731" s="6">
        <v>33000</v>
      </c>
      <c r="D25731" s="7">
        <v>0.23</v>
      </c>
    </row>
    <row r="25732" spans="1:5" x14ac:dyDescent="0.25">
      <c r="A25732" t="str">
        <f>HYPERLINK("https://www.773grp.com/globalSearch/SMMBTA13LT1G/page-1", "SMMBTA13LT1G")</f>
        <v>SMMBTA13LT1G</v>
      </c>
      <c r="B25732" s="3" t="str">
        <f>HYPERLINK("https://www.773grp.com/manufacturer/onsemi?pageNo=860", "ON Semiconductor")</f>
        <v>ON Semiconductor</v>
      </c>
      <c r="C25732" s="6">
        <v>24000</v>
      </c>
      <c r="D25732" s="7">
        <v>0.23</v>
      </c>
    </row>
    <row r="25733" spans="1:5" x14ac:dyDescent="0.25">
      <c r="A25733" t="str">
        <f>HYPERLINK("https://www.773grp.com/globalSearch/SMMBTA14LT1G/page-1", "SMMBTA14LT1G")</f>
        <v>SMMBTA14LT1G</v>
      </c>
      <c r="B25733" s="3" t="str">
        <f>HYPERLINK("https://www.773grp.com/manufacturer/onsemi?pageNo=861", "ON Semiconductor")</f>
        <v>ON Semiconductor</v>
      </c>
      <c r="C25733" s="6">
        <v>39000</v>
      </c>
      <c r="D25733" s="7">
        <v>0.23</v>
      </c>
    </row>
    <row r="25734" spans="1:5" x14ac:dyDescent="0.25">
      <c r="A25734" t="str">
        <f>HYPERLINK("https://www.773grp.com/globalSearch/SMMBTA42LT3G/page-1", "SMMBTA42LT3G")</f>
        <v>SMMBTA42LT3G</v>
      </c>
      <c r="B25734" s="3" t="str">
        <f>HYPERLINK("https://www.773grp.com/manufacturer/onsemi?pageNo=862", "ON Semiconductor")</f>
        <v>ON Semiconductor</v>
      </c>
      <c r="C25734" s="6">
        <v>20000</v>
      </c>
      <c r="D25734" s="7">
        <v>0.23</v>
      </c>
    </row>
    <row r="25735" spans="1:5" x14ac:dyDescent="0.25">
      <c r="A25735" t="str">
        <f>HYPERLINK("https://www.773grp.com/globalSearch/SMMBTA64LT1G/page-1", "SMMBTA64LT1G")</f>
        <v>SMMBTA64LT1G</v>
      </c>
      <c r="B25735" s="3" t="str">
        <f>HYPERLINK("https://www.773grp.com/manufacturer/onsemi?pageNo=863", "ON Semiconductor")</f>
        <v>ON Semiconductor</v>
      </c>
      <c r="C25735" s="6">
        <v>15000</v>
      </c>
      <c r="D25735" s="7">
        <v>0.23</v>
      </c>
    </row>
    <row r="25736" spans="1:5" x14ac:dyDescent="0.25">
      <c r="A25736" t="str">
        <f>HYPERLINK("https://www.773grp.com/globalSearch/SMS12CT1/page-1", "SMS12CT1")</f>
        <v>SMS12CT1</v>
      </c>
      <c r="B25736" s="3" t="str">
        <f>HYPERLINK("https://www.773grp.com/manufacturer/onsemi?pageNo=864", "ON Semiconductor")</f>
        <v>ON Semiconductor</v>
      </c>
      <c r="C25736" s="6">
        <v>83901</v>
      </c>
      <c r="D25736" s="7">
        <v>0.23</v>
      </c>
      <c r="E25736" t="s">
        <v>96</v>
      </c>
    </row>
    <row r="25737" spans="1:5" x14ac:dyDescent="0.25">
      <c r="A25737" t="str">
        <f>HYPERLINK("https://www.773grp.com/globalSearch/SMS24CT1/page-1", "SMS24CT1")</f>
        <v>SMS24CT1</v>
      </c>
      <c r="B25737" s="3" t="str">
        <f>HYPERLINK("https://www.773grp.com/manufacturer/onsemi?pageNo=865", "ON Semiconductor")</f>
        <v>ON Semiconductor</v>
      </c>
      <c r="C25737" s="6">
        <v>38854</v>
      </c>
      <c r="D25737" s="7">
        <v>0.23</v>
      </c>
      <c r="E25737" t="s">
        <v>96</v>
      </c>
    </row>
    <row r="25738" spans="1:5" x14ac:dyDescent="0.25">
      <c r="A25738" t="str">
        <f>HYPERLINK("https://www.773grp.com/globalSearch/SSV1BC847BDW1T/page-1", "SSV1BC847BDW1T")</f>
        <v>SSV1BC847BDW1T</v>
      </c>
      <c r="B25738" s="3" t="str">
        <f>HYPERLINK("https://www.773grp.com/manufacturer/onsemi?pageNo=866", "ON Semiconductor")</f>
        <v>ON Semiconductor</v>
      </c>
      <c r="C25738" s="6">
        <v>6000</v>
      </c>
      <c r="D25738" s="7">
        <v>0.23</v>
      </c>
    </row>
    <row r="25739" spans="1:5" x14ac:dyDescent="0.25">
      <c r="A25739" t="str">
        <f>HYPERLINK("https://www.773grp.com/globalSearch/SSV1BC847BDW1T1/page-1", "SSV1BC847BDW1T1")</f>
        <v>SSV1BC847BDW1T1</v>
      </c>
      <c r="B25739" s="3" t="str">
        <f>HYPERLINK("https://www.773grp.com/manufacturer/onsemi?pageNo=867", "ON Semiconductor")</f>
        <v>ON Semiconductor</v>
      </c>
      <c r="C25739" s="6">
        <v>111000</v>
      </c>
      <c r="D25739" s="7">
        <v>0.23</v>
      </c>
    </row>
    <row r="25740" spans="1:5" x14ac:dyDescent="0.25">
      <c r="A25740" t="str">
        <f>HYPERLINK("https://www.773grp.com/globalSearch/SSV1MMBTA92LT1/page-1", "SSV1MMBTA92LT1")</f>
        <v>SSV1MMBTA92LT1</v>
      </c>
      <c r="B25740" s="3" t="str">
        <f>HYPERLINK("https://www.773grp.com/manufacturer/onsemi?pageNo=868", "ON Semiconductor")</f>
        <v>ON Semiconductor</v>
      </c>
      <c r="C25740" s="6">
        <v>120000</v>
      </c>
      <c r="D25740" s="7">
        <v>0.23</v>
      </c>
    </row>
    <row r="25741" spans="1:5" x14ac:dyDescent="0.25">
      <c r="A25741" t="str">
        <f>HYPERLINK("https://www.773grp.com/globalSearch/SZ300035-27RL/page-1", "SZ300035-27RL")</f>
        <v>SZ300035-27RL</v>
      </c>
      <c r="B25741" s="3" t="str">
        <f>HYPERLINK("https://www.773grp.com/manufacturer/onsemi?pageNo=869", "ON Semiconductor")</f>
        <v>ON Semiconductor</v>
      </c>
      <c r="C25741" s="6">
        <v>20000</v>
      </c>
      <c r="D25741" s="7">
        <v>0.23</v>
      </c>
    </row>
    <row r="25742" spans="1:5" x14ac:dyDescent="0.25">
      <c r="A25742" t="str">
        <f>HYPERLINK("https://www.773grp.com/globalSearch/SZBZX84C10LT3/page-1", "SZBZX84C10LT3")</f>
        <v>SZBZX84C10LT3</v>
      </c>
      <c r="B25742" s="3" t="str">
        <f>HYPERLINK("https://www.773grp.com/manufacturer/onsemi?pageNo=870", "ON Semiconductor")</f>
        <v>ON Semiconductor</v>
      </c>
      <c r="C25742" s="6">
        <v>100000</v>
      </c>
      <c r="D25742" s="7">
        <v>0.23</v>
      </c>
    </row>
    <row r="25743" spans="1:5" x14ac:dyDescent="0.25">
      <c r="A25743" t="str">
        <f>HYPERLINK("https://www.773grp.com/globalSearch/SZBZX84C11LT1/page-1", "SZBZX84C11LT1")</f>
        <v>SZBZX84C11LT1</v>
      </c>
      <c r="B25743" s="3" t="str">
        <f>HYPERLINK("https://www.773grp.com/manufacturer/onsemi?pageNo=871", "ON Semiconductor")</f>
        <v>ON Semiconductor</v>
      </c>
      <c r="C25743" s="6">
        <v>105000</v>
      </c>
      <c r="D25743" s="7">
        <v>0.23</v>
      </c>
    </row>
    <row r="25744" spans="1:5" x14ac:dyDescent="0.25">
      <c r="A25744" t="str">
        <f>HYPERLINK("https://www.773grp.com/globalSearch/SZBZX84C12LT1/page-1", "SZBZX84C12LT1")</f>
        <v>SZBZX84C12LT1</v>
      </c>
      <c r="B25744" s="3" t="str">
        <f>HYPERLINK("https://www.773grp.com/manufacturer/onsemi?pageNo=872", "ON Semiconductor")</f>
        <v>ON Semiconductor</v>
      </c>
      <c r="C25744" s="6">
        <v>54000</v>
      </c>
      <c r="D25744" s="7">
        <v>0.23</v>
      </c>
    </row>
    <row r="25745" spans="1:5" x14ac:dyDescent="0.25">
      <c r="A25745" t="str">
        <f>HYPERLINK("https://www.773grp.com/globalSearch/SZBZX84C13LT1/page-1", "SZBZX84C13LT1")</f>
        <v>SZBZX84C13LT1</v>
      </c>
      <c r="B25745" s="3" t="str">
        <f>HYPERLINK("https://www.773grp.com/manufacturer/onsemi?pageNo=873", "ON Semiconductor")</f>
        <v>ON Semiconductor</v>
      </c>
      <c r="C25745" s="6">
        <v>6000</v>
      </c>
      <c r="D25745" s="7">
        <v>0.23</v>
      </c>
      <c r="E25745" t="s">
        <v>98</v>
      </c>
    </row>
    <row r="25746" spans="1:5" x14ac:dyDescent="0.25">
      <c r="A25746" t="str">
        <f>HYPERLINK("https://www.773grp.com/globalSearch/SZBZX84C18LT1/page-1", "SZBZX84C18LT1")</f>
        <v>SZBZX84C18LT1</v>
      </c>
      <c r="B25746" s="3" t="str">
        <f>HYPERLINK("https://www.773grp.com/manufacturer/onsemi?pageNo=874", "ON Semiconductor")</f>
        <v>ON Semiconductor</v>
      </c>
      <c r="C25746" s="6">
        <v>105000</v>
      </c>
      <c r="D25746" s="7">
        <v>0.23</v>
      </c>
      <c r="E25746" t="s">
        <v>98</v>
      </c>
    </row>
    <row r="25747" spans="1:5" x14ac:dyDescent="0.25">
      <c r="A25747" t="str">
        <f>HYPERLINK("https://www.773grp.com/globalSearch/SZBZX84C18LT3/page-1", "SZBZX84C18LT3")</f>
        <v>SZBZX84C18LT3</v>
      </c>
      <c r="B25747" s="3" t="str">
        <f>HYPERLINK("https://www.773grp.com/manufacturer/onsemi?pageNo=875", "ON Semiconductor")</f>
        <v>ON Semiconductor</v>
      </c>
      <c r="C25747" s="6">
        <v>120000</v>
      </c>
      <c r="D25747" s="7">
        <v>0.23</v>
      </c>
      <c r="E25747" t="s">
        <v>98</v>
      </c>
    </row>
    <row r="25748" spans="1:5" x14ac:dyDescent="0.25">
      <c r="A25748" t="str">
        <f>HYPERLINK("https://www.773grp.com/globalSearch/SZBZX84C22LT1/page-1", "SZBZX84C22LT1")</f>
        <v>SZBZX84C22LT1</v>
      </c>
      <c r="B25748" s="3" t="str">
        <f>HYPERLINK("https://www.773grp.com/manufacturer/onsemi?pageNo=876", "ON Semiconductor")</f>
        <v>ON Semiconductor</v>
      </c>
      <c r="C25748" s="6">
        <v>18000</v>
      </c>
      <c r="D25748" s="7">
        <v>0.23</v>
      </c>
    </row>
    <row r="25749" spans="1:5" x14ac:dyDescent="0.25">
      <c r="A25749" t="str">
        <f>HYPERLINK("https://www.773grp.com/globalSearch/SZBZX84C24LT3/page-1", "SZBZX84C24LT3")</f>
        <v>SZBZX84C24LT3</v>
      </c>
      <c r="B25749" s="3" t="str">
        <f>HYPERLINK("https://www.773grp.com/manufacturer/onsemi?pageNo=877", "ON Semiconductor")</f>
        <v>ON Semiconductor</v>
      </c>
      <c r="C25749" s="6">
        <v>30000</v>
      </c>
      <c r="D25749" s="7">
        <v>0.23</v>
      </c>
    </row>
    <row r="25750" spans="1:5" x14ac:dyDescent="0.25">
      <c r="A25750" t="str">
        <f>HYPERLINK("https://www.773grp.com/globalSearch/SZBZX84C27LT3/page-1", "SZBZX84C27LT3")</f>
        <v>SZBZX84C27LT3</v>
      </c>
      <c r="B25750" s="3" t="str">
        <f>HYPERLINK("https://www.773grp.com/manufacturer/onsemi?pageNo=878", "ON Semiconductor")</f>
        <v>ON Semiconductor</v>
      </c>
      <c r="C25750" s="6">
        <v>100000</v>
      </c>
      <c r="D25750" s="7">
        <v>0.23</v>
      </c>
    </row>
    <row r="25751" spans="1:5" x14ac:dyDescent="0.25">
      <c r="A25751" t="str">
        <f>HYPERLINK("https://www.773grp.com/globalSearch/SZBZX84C33LT1/page-1", "SZBZX84C33LT1")</f>
        <v>SZBZX84C33LT1</v>
      </c>
      <c r="B25751" s="3" t="str">
        <f>HYPERLINK("https://www.773grp.com/manufacturer/onsemi?pageNo=879", "ON Semiconductor")</f>
        <v>ON Semiconductor</v>
      </c>
      <c r="C25751" s="6">
        <v>75000</v>
      </c>
      <c r="D25751" s="7">
        <v>0.23</v>
      </c>
      <c r="E25751" t="s">
        <v>98</v>
      </c>
    </row>
    <row r="25752" spans="1:5" x14ac:dyDescent="0.25">
      <c r="A25752" t="str">
        <f>HYPERLINK("https://www.773grp.com/globalSearch/SZBZX84C33LT3/page-1", "SZBZX84C33LT3")</f>
        <v>SZBZX84C33LT3</v>
      </c>
      <c r="B25752" s="3" t="str">
        <f>HYPERLINK("https://www.773grp.com/manufacturer/onsemi?pageNo=880", "ON Semiconductor")</f>
        <v>ON Semiconductor</v>
      </c>
      <c r="C25752" s="6">
        <v>170000</v>
      </c>
      <c r="D25752" s="7">
        <v>0.23</v>
      </c>
      <c r="E25752" t="s">
        <v>98</v>
      </c>
    </row>
    <row r="25753" spans="1:5" x14ac:dyDescent="0.25">
      <c r="A25753" t="str">
        <f>HYPERLINK("https://www.773grp.com/globalSearch/SZBZX84C36LT1/page-1", "SZBZX84C36LT1")</f>
        <v>SZBZX84C36LT1</v>
      </c>
      <c r="B25753" s="3" t="str">
        <f>HYPERLINK("https://www.773grp.com/manufacturer/onsemi?pageNo=881", "ON Semiconductor")</f>
        <v>ON Semiconductor</v>
      </c>
      <c r="C25753" s="6">
        <v>57000</v>
      </c>
      <c r="D25753" s="7">
        <v>0.23</v>
      </c>
      <c r="E25753" t="s">
        <v>98</v>
      </c>
    </row>
    <row r="25754" spans="1:5" x14ac:dyDescent="0.25">
      <c r="A25754" t="str">
        <f>HYPERLINK("https://www.773grp.com/globalSearch/SZBZX84C39LT1/page-1", "SZBZX84C39LT1")</f>
        <v>SZBZX84C39LT1</v>
      </c>
      <c r="B25754" s="3" t="str">
        <f>HYPERLINK("https://www.773grp.com/manufacturer/onsemi?pageNo=882", "ON Semiconductor")</f>
        <v>ON Semiconductor</v>
      </c>
      <c r="C25754" s="6">
        <v>27000</v>
      </c>
      <c r="D25754" s="7">
        <v>0.23</v>
      </c>
      <c r="E25754" t="s">
        <v>98</v>
      </c>
    </row>
    <row r="25755" spans="1:5" x14ac:dyDescent="0.25">
      <c r="A25755" t="str">
        <f>HYPERLINK("https://www.773grp.com/globalSearch/SZBZX84C3V0LT1/page-1", "SZBZX84C3V0LT1")</f>
        <v>SZBZX84C3V0LT1</v>
      </c>
      <c r="B25755" s="3" t="str">
        <f>HYPERLINK("https://www.773grp.com/manufacturer/onsemi?pageNo=883", "ON Semiconductor")</f>
        <v>ON Semiconductor</v>
      </c>
      <c r="C25755" s="6">
        <v>39000</v>
      </c>
      <c r="D25755" s="7">
        <v>0.23</v>
      </c>
      <c r="E25755" t="s">
        <v>98</v>
      </c>
    </row>
    <row r="25756" spans="1:5" x14ac:dyDescent="0.25">
      <c r="A25756" t="str">
        <f>HYPERLINK("https://www.773grp.com/globalSearch/SZBZX84C3V3LT1/page-1", "SZBZX84C3V3LT1")</f>
        <v>SZBZX84C3V3LT1</v>
      </c>
      <c r="B25756" s="3" t="str">
        <f>HYPERLINK("https://www.773grp.com/manufacturer/onsemi?pageNo=884", "ON Semiconductor")</f>
        <v>ON Semiconductor</v>
      </c>
      <c r="C25756" s="6">
        <v>72000</v>
      </c>
      <c r="D25756" s="7">
        <v>0.23</v>
      </c>
      <c r="E25756" t="s">
        <v>98</v>
      </c>
    </row>
    <row r="25757" spans="1:5" x14ac:dyDescent="0.25">
      <c r="A25757" t="str">
        <f>HYPERLINK("https://www.773grp.com/globalSearch/SZBZX84C3V6LT1/page-1", "SZBZX84C3V6LT1")</f>
        <v>SZBZX84C3V6LT1</v>
      </c>
      <c r="B25757" s="3" t="str">
        <f>HYPERLINK("https://www.773grp.com/manufacturer/onsemi?pageNo=885", "ON Semiconductor")</f>
        <v>ON Semiconductor</v>
      </c>
      <c r="C25757" s="6">
        <v>48000</v>
      </c>
      <c r="D25757" s="7">
        <v>0.23</v>
      </c>
    </row>
    <row r="25758" spans="1:5" x14ac:dyDescent="0.25">
      <c r="A25758" t="str">
        <f>HYPERLINK("https://www.773grp.com/globalSearch/SZBZX84C3V9LT3/page-1", "SZBZX84C3V9LT3")</f>
        <v>SZBZX84C3V9LT3</v>
      </c>
      <c r="B25758" s="3" t="str">
        <f>HYPERLINK("https://www.773grp.com/manufacturer/onsemi?pageNo=886", "ON Semiconductor")</f>
        <v>ON Semiconductor</v>
      </c>
      <c r="C25758" s="6">
        <v>90000</v>
      </c>
      <c r="D25758" s="7">
        <v>0.23</v>
      </c>
    </row>
    <row r="25759" spans="1:5" x14ac:dyDescent="0.25">
      <c r="A25759" t="str">
        <f>HYPERLINK("https://www.773grp.com/globalSearch/SZBZX84C43LT1/page-1", "SZBZX84C43LT1")</f>
        <v>SZBZX84C43LT1</v>
      </c>
      <c r="B25759" s="3" t="str">
        <f>HYPERLINK("https://www.773grp.com/manufacturer/onsemi?pageNo=887", "ON Semiconductor")</f>
        <v>ON Semiconductor</v>
      </c>
      <c r="C25759" s="6">
        <v>54000</v>
      </c>
      <c r="D25759" s="7">
        <v>0.23</v>
      </c>
    </row>
    <row r="25760" spans="1:5" x14ac:dyDescent="0.25">
      <c r="A25760" t="str">
        <f>HYPERLINK("https://www.773grp.com/globalSearch/SZBZX84C47LT1/page-1", "SZBZX84C47LT1")</f>
        <v>SZBZX84C47LT1</v>
      </c>
      <c r="B25760" s="3" t="str">
        <f>HYPERLINK("https://www.773grp.com/manufacturer/onsemi?pageNo=888", "ON Semiconductor")</f>
        <v>ON Semiconductor</v>
      </c>
      <c r="C25760" s="6">
        <v>27000</v>
      </c>
      <c r="D25760" s="7">
        <v>0.23</v>
      </c>
      <c r="E25760" t="s">
        <v>98</v>
      </c>
    </row>
    <row r="25761" spans="1:5" x14ac:dyDescent="0.25">
      <c r="A25761" t="str">
        <f>HYPERLINK("https://www.773grp.com/globalSearch/SZBZX84C47LT3/page-1", "SZBZX84C47LT3")</f>
        <v>SZBZX84C47LT3</v>
      </c>
      <c r="B25761" s="3" t="str">
        <f>HYPERLINK("https://www.773grp.com/manufacturer/onsemi?pageNo=889", "ON Semiconductor")</f>
        <v>ON Semiconductor</v>
      </c>
      <c r="C25761" s="6">
        <v>40000</v>
      </c>
      <c r="D25761" s="7">
        <v>0.23</v>
      </c>
      <c r="E25761" t="s">
        <v>98</v>
      </c>
    </row>
    <row r="25762" spans="1:5" x14ac:dyDescent="0.25">
      <c r="A25762" t="str">
        <f>HYPERLINK("https://www.773grp.com/globalSearch/SZBZX84C4V3LT1/page-1", "SZBZX84C4V3LT1")</f>
        <v>SZBZX84C4V3LT1</v>
      </c>
      <c r="B25762" s="3" t="str">
        <f>HYPERLINK("https://www.773grp.com/manufacturer/onsemi?pageNo=890", "ON Semiconductor")</f>
        <v>ON Semiconductor</v>
      </c>
      <c r="C25762" s="6">
        <v>3000</v>
      </c>
      <c r="D25762" s="7">
        <v>0.23</v>
      </c>
    </row>
    <row r="25763" spans="1:5" x14ac:dyDescent="0.25">
      <c r="A25763" t="str">
        <f>HYPERLINK("https://www.773grp.com/globalSearch/SZBZX84C4V3LT3/page-1", "SZBZX84C4V3LT3")</f>
        <v>SZBZX84C4V3LT3</v>
      </c>
      <c r="B25763" s="3" t="str">
        <f>HYPERLINK("https://www.773grp.com/manufacturer/onsemi?pageNo=891", "ON Semiconductor")</f>
        <v>ON Semiconductor</v>
      </c>
      <c r="C25763" s="6">
        <v>50000</v>
      </c>
      <c r="D25763" s="7">
        <v>0.23</v>
      </c>
    </row>
    <row r="25764" spans="1:5" x14ac:dyDescent="0.25">
      <c r="A25764" t="str">
        <f>HYPERLINK("https://www.773grp.com/globalSearch/SZBZX84C51LT1/page-1", "SZBZX84C51LT1")</f>
        <v>SZBZX84C51LT1</v>
      </c>
      <c r="B25764" s="3" t="str">
        <f>HYPERLINK("https://www.773grp.com/manufacturer/onsemi?pageNo=892", "ON Semiconductor")</f>
        <v>ON Semiconductor</v>
      </c>
      <c r="C25764" s="6">
        <v>21000</v>
      </c>
      <c r="D25764" s="7">
        <v>0.23</v>
      </c>
    </row>
    <row r="25765" spans="1:5" x14ac:dyDescent="0.25">
      <c r="A25765" t="str">
        <f>HYPERLINK("https://www.773grp.com/globalSearch/SZBZX84C5V1LT3/page-1", "SZBZX84C5V1LT3")</f>
        <v>SZBZX84C5V1LT3</v>
      </c>
      <c r="B25765" s="3" t="str">
        <f>HYPERLINK("https://www.773grp.com/manufacturer/onsemi?pageNo=893", "ON Semiconductor")</f>
        <v>ON Semiconductor</v>
      </c>
      <c r="C25765" s="6">
        <v>60000</v>
      </c>
      <c r="D25765" s="7">
        <v>0.23</v>
      </c>
    </row>
    <row r="25766" spans="1:5" x14ac:dyDescent="0.25">
      <c r="A25766" t="str">
        <f>HYPERLINK("https://www.773grp.com/globalSearch/SZBZX84C5V6LT1/page-1", "SZBZX84C5V6LT1")</f>
        <v>SZBZX84C5V6LT1</v>
      </c>
      <c r="B25766" s="3" t="str">
        <f>HYPERLINK("https://www.773grp.com/manufacturer/onsemi?pageNo=894", "ON Semiconductor")</f>
        <v>ON Semiconductor</v>
      </c>
      <c r="C25766" s="6">
        <v>99000</v>
      </c>
      <c r="D25766" s="7">
        <v>0.23</v>
      </c>
    </row>
    <row r="25767" spans="1:5" x14ac:dyDescent="0.25">
      <c r="A25767" t="str">
        <f>HYPERLINK("https://www.773grp.com/globalSearch/SZBZX84C6V2LT1/page-1", "SZBZX84C6V2LT1")</f>
        <v>SZBZX84C6V2LT1</v>
      </c>
      <c r="B25767" s="3" t="str">
        <f>HYPERLINK("https://www.773grp.com/manufacturer/onsemi?pageNo=895", "ON Semiconductor")</f>
        <v>ON Semiconductor</v>
      </c>
      <c r="C25767" s="6">
        <v>33000</v>
      </c>
      <c r="D25767" s="7">
        <v>0.23</v>
      </c>
    </row>
    <row r="25768" spans="1:5" x14ac:dyDescent="0.25">
      <c r="A25768" t="str">
        <f>HYPERLINK("https://www.773grp.com/globalSearch/SZBZX84C6V8LT1/page-1", "SZBZX84C6V8LT1")</f>
        <v>SZBZX84C6V8LT1</v>
      </c>
      <c r="B25768" s="3" t="str">
        <f>HYPERLINK("https://www.773grp.com/manufacturer/onsemi?pageNo=896", "ON Semiconductor")</f>
        <v>ON Semiconductor</v>
      </c>
      <c r="C25768" s="6">
        <v>6000</v>
      </c>
      <c r="D25768" s="7">
        <v>0.23</v>
      </c>
    </row>
    <row r="25769" spans="1:5" x14ac:dyDescent="0.25">
      <c r="A25769" t="str">
        <f>HYPERLINK("https://www.773grp.com/globalSearch/SZBZX84C6V8LT3/page-1", "SZBZX84C6V8LT3")</f>
        <v>SZBZX84C6V8LT3</v>
      </c>
      <c r="B25769" s="3" t="str">
        <f>HYPERLINK("https://www.773grp.com/manufacturer/onsemi?pageNo=897", "ON Semiconductor")</f>
        <v>ON Semiconductor</v>
      </c>
      <c r="C25769" s="6">
        <v>80000</v>
      </c>
      <c r="D25769" s="7">
        <v>0.23</v>
      </c>
      <c r="E25769" t="s">
        <v>98</v>
      </c>
    </row>
    <row r="25770" spans="1:5" x14ac:dyDescent="0.25">
      <c r="A25770" t="str">
        <f>HYPERLINK("https://www.773grp.com/globalSearch/SZBZX84C9V1LT3/page-1", "SZBZX84C9V1LT3")</f>
        <v>SZBZX84C9V1LT3</v>
      </c>
      <c r="B25770" s="3" t="str">
        <f>HYPERLINK("https://www.773grp.com/manufacturer/onsemi?pageNo=898", "ON Semiconductor")</f>
        <v>ON Semiconductor</v>
      </c>
      <c r="C25770" s="6">
        <v>30000</v>
      </c>
      <c r="D25770" s="7">
        <v>0.23</v>
      </c>
      <c r="E25770" t="s">
        <v>98</v>
      </c>
    </row>
    <row r="25771" spans="1:5" x14ac:dyDescent="0.25">
      <c r="A25771" t="str">
        <f>HYPERLINK("https://www.773grp.com/globalSearch/SZMM3Z27VST1G/page-1", "SZMM3Z27VST1G")</f>
        <v>SZMM3Z27VST1G</v>
      </c>
      <c r="B25771" s="3" t="str">
        <f>HYPERLINK("https://www.773grp.com/manufacturer/onsemi?pageNo=899", "ON Semiconductor")</f>
        <v>ON Semiconductor</v>
      </c>
      <c r="C25771" s="6">
        <v>15000</v>
      </c>
      <c r="D25771" s="7">
        <v>0.23</v>
      </c>
    </row>
    <row r="25772" spans="1:5" x14ac:dyDescent="0.25">
      <c r="A25772" t="str">
        <f>HYPERLINK("https://www.773grp.com/globalSearch/SZMMBZ15VDLT1G/page-1", "SZMMBZ15VDLT1G")</f>
        <v>SZMMBZ15VDLT1G</v>
      </c>
      <c r="B25772" s="3" t="str">
        <f>HYPERLINK("https://www.773grp.com/manufacturer/onsemi?pageNo=900", "ON Semiconductor")</f>
        <v>ON Semiconductor</v>
      </c>
      <c r="C25772" s="6">
        <v>2700</v>
      </c>
      <c r="D25772" s="7">
        <v>0.23</v>
      </c>
    </row>
    <row r="25773" spans="1:5" x14ac:dyDescent="0.25">
      <c r="A25773" t="str">
        <f>HYPERLINK("https://www.773grp.com/globalSearch/SZMMBZ27VALT1G/page-1", "SZMMBZ27VALT1G")</f>
        <v>SZMMBZ27VALT1G</v>
      </c>
      <c r="B25773" s="3" t="str">
        <f>HYPERLINK("https://www.773grp.com/manufacturer/onsemi?pageNo=901", "ON Semiconductor")</f>
        <v>ON Semiconductor</v>
      </c>
      <c r="C25773" s="6">
        <v>324500</v>
      </c>
      <c r="D25773" s="7">
        <v>0.23</v>
      </c>
    </row>
    <row r="25774" spans="1:5" x14ac:dyDescent="0.25">
      <c r="A25774" t="str">
        <f>HYPERLINK("https://www.773grp.com/globalSearch/SZMMBZ33VALT1G/page-1", "SZMMBZ33VALT1G")</f>
        <v>SZMMBZ33VALT1G</v>
      </c>
      <c r="B25774" s="3" t="str">
        <f>HYPERLINK("https://www.773grp.com/manufacturer/onsemi?pageNo=902", "ON Semiconductor")</f>
        <v>ON Semiconductor</v>
      </c>
      <c r="C25774" s="6">
        <v>2875</v>
      </c>
      <c r="D25774" s="7">
        <v>0.23</v>
      </c>
    </row>
    <row r="25775" spans="1:5" x14ac:dyDescent="0.25">
      <c r="A25775" t="str">
        <f>HYPERLINK("https://www.773grp.com/globalSearch/SZMMBZ33VALT3G/page-1", "SZMMBZ33VALT3G")</f>
        <v>SZMMBZ33VALT3G</v>
      </c>
      <c r="B25775" s="3" t="str">
        <f>HYPERLINK("https://www.773grp.com/manufacturer/onsemi?pageNo=903", "ON Semiconductor")</f>
        <v>ON Semiconductor</v>
      </c>
      <c r="C25775" s="6">
        <v>9900</v>
      </c>
      <c r="D25775" s="7">
        <v>0.23</v>
      </c>
    </row>
    <row r="25776" spans="1:5" x14ac:dyDescent="0.25">
      <c r="A25776" t="str">
        <f>HYPERLINK("https://www.773grp.com/globalSearch/SZMMBZ5V6ALT1G/page-1", "SZMMBZ5V6ALT1G")</f>
        <v>SZMMBZ5V6ALT1G</v>
      </c>
      <c r="B25776" s="3" t="str">
        <f>HYPERLINK("https://www.773grp.com/manufacturer/onsemi?pageNo=904", "ON Semiconductor")</f>
        <v>ON Semiconductor</v>
      </c>
      <c r="C25776" s="6">
        <v>174000</v>
      </c>
      <c r="D25776" s="7">
        <v>0.23</v>
      </c>
    </row>
    <row r="25777" spans="1:5" x14ac:dyDescent="0.25">
      <c r="A25777" t="str">
        <f>HYPERLINK("https://www.773grp.com/globalSearch/SZMMBZ6V2ALT1/page-1", "SZMMBZ6V2ALT1")</f>
        <v>SZMMBZ6V2ALT1</v>
      </c>
      <c r="B25777" s="3" t="str">
        <f>HYPERLINK("https://www.773grp.com/manufacturer/onsemi?pageNo=905", "ON Semiconductor")</f>
        <v>ON Semiconductor</v>
      </c>
      <c r="C25777" s="6">
        <v>27000</v>
      </c>
      <c r="D25777" s="7">
        <v>0.23</v>
      </c>
    </row>
    <row r="25778" spans="1:5" x14ac:dyDescent="0.25">
      <c r="A25778" t="str">
        <f>HYPERLINK("https://www.773grp.com/globalSearch/SZMMBZ6V2ALT1G/page-1", "SZMMBZ6V2ALT1G")</f>
        <v>SZMMBZ6V2ALT1G</v>
      </c>
      <c r="B25778" s="3" t="str">
        <f>HYPERLINK("https://www.773grp.com/manufacturer/onsemi?pageNo=906", "ON Semiconductor")</f>
        <v>ON Semiconductor</v>
      </c>
      <c r="C25778" s="6">
        <v>27000</v>
      </c>
      <c r="D25778" s="7">
        <v>0.23</v>
      </c>
    </row>
    <row r="25779" spans="1:5" x14ac:dyDescent="0.25">
      <c r="A25779" t="str">
        <f>HYPERLINK("https://www.773grp.com/globalSearch/SZMMSZ5261BT1G/page-1", "SZMMSZ5261BT1G")</f>
        <v>SZMMSZ5261BT1G</v>
      </c>
      <c r="B25779" s="3" t="str">
        <f>HYPERLINK("https://www.773grp.com/manufacturer/onsemi?pageNo=907", "ON Semiconductor")</f>
        <v>ON Semiconductor</v>
      </c>
      <c r="C25779" s="6">
        <v>33000</v>
      </c>
      <c r="D25779" s="7">
        <v>0.23</v>
      </c>
    </row>
    <row r="25780" spans="1:5" x14ac:dyDescent="0.25">
      <c r="A25780" t="str">
        <f>HYPERLINK("https://www.773grp.com/globalSearch/SZP35099RL/page-1", "SZP35099RL")</f>
        <v>SZP35099RL</v>
      </c>
      <c r="B25780" s="3" t="str">
        <f>HYPERLINK("https://www.773grp.com/manufacturer/onsemi?pageNo=908", "ON Semiconductor")</f>
        <v>ON Semiconductor</v>
      </c>
      <c r="C25780" s="6">
        <v>12000</v>
      </c>
      <c r="D25780" s="7">
        <v>0.23</v>
      </c>
    </row>
    <row r="25781" spans="1:5" x14ac:dyDescent="0.25">
      <c r="A25781" t="str">
        <f>HYPERLINK("https://www.773grp.com/globalSearch/SZP35126-55RL/page-1", "SZP35126-55RL")</f>
        <v>SZP35126-55RL</v>
      </c>
      <c r="B25781" s="3" t="str">
        <f>HYPERLINK("https://www.773grp.com/manufacturer/onsemi?pageNo=909", "ON Semiconductor")</f>
        <v>ON Semiconductor</v>
      </c>
      <c r="C25781" s="6">
        <v>20000</v>
      </c>
      <c r="D25781" s="7">
        <v>0.23</v>
      </c>
    </row>
    <row r="25782" spans="1:5" x14ac:dyDescent="0.25">
      <c r="A25782" t="str">
        <f>HYPERLINK("https://www.773grp.com/globalSearch/SZP35126-68RL/page-1", "SZP35126-68RL")</f>
        <v>SZP35126-68RL</v>
      </c>
      <c r="B25782" s="3" t="str">
        <f>HYPERLINK("https://www.773grp.com/manufacturer/onsemi?pageNo=910", "ON Semiconductor")</f>
        <v>ON Semiconductor</v>
      </c>
      <c r="C25782" s="6">
        <v>12000</v>
      </c>
      <c r="D25782" s="7">
        <v>0.23</v>
      </c>
    </row>
    <row r="25783" spans="1:5" x14ac:dyDescent="0.25">
      <c r="A25783" t="str">
        <f>HYPERLINK("https://www.773grp.com/globalSearch/TF202THC-3-TL-H/page-1", "TF202THC-3-TL-H")</f>
        <v>TF202THC-3-TL-H</v>
      </c>
      <c r="B25783" s="3" t="str">
        <f>HYPERLINK("https://www.773grp.com/manufacturer/onsemi?pageNo=911", "ON Semiconductor")</f>
        <v>ON Semiconductor</v>
      </c>
      <c r="C25783" s="6">
        <v>440000</v>
      </c>
      <c r="D25783" s="7">
        <v>0.23</v>
      </c>
    </row>
    <row r="25784" spans="1:5" x14ac:dyDescent="0.25">
      <c r="A25784" t="str">
        <f>HYPERLINK("https://www.773grp.com/globalSearch/UMC3NT1/page-1", "UMC3NT1")</f>
        <v>UMC3NT1</v>
      </c>
      <c r="B25784" s="3" t="str">
        <f>HYPERLINK("https://www.773grp.com/manufacturer/onsemi?pageNo=912", "ON Semiconductor")</f>
        <v>ON Semiconductor</v>
      </c>
      <c r="C25784" s="6">
        <v>536810</v>
      </c>
      <c r="D25784" s="7">
        <v>0.23</v>
      </c>
      <c r="E25784" t="s">
        <v>69</v>
      </c>
    </row>
    <row r="25785" spans="1:5" x14ac:dyDescent="0.25">
      <c r="A25785" t="str">
        <f>HYPERLINK("https://www.773grp.com/globalSearch/UMC5NT1/page-1", "UMC5NT1")</f>
        <v>UMC5NT1</v>
      </c>
      <c r="B25785" s="3" t="str">
        <f>HYPERLINK("https://www.773grp.com/manufacturer/onsemi?pageNo=913", "ON Semiconductor")</f>
        <v>ON Semiconductor</v>
      </c>
      <c r="C25785" s="6">
        <v>5950</v>
      </c>
      <c r="D25785" s="7">
        <v>0.23</v>
      </c>
      <c r="E25785" t="s">
        <v>69</v>
      </c>
    </row>
    <row r="25786" spans="1:5" x14ac:dyDescent="0.25">
      <c r="A25786" t="str">
        <f>HYPERLINK("https://www.773grp.com/globalSearch/UMC5NT2/page-1", "UMC5NT2")</f>
        <v>UMC5NT2</v>
      </c>
      <c r="B25786" s="3" t="str">
        <f>HYPERLINK("https://www.773grp.com/manufacturer/onsemi?pageNo=914", "ON Semiconductor")</f>
        <v>ON Semiconductor</v>
      </c>
      <c r="C25786" s="6">
        <v>72000</v>
      </c>
      <c r="D25786" s="7">
        <v>0.23</v>
      </c>
    </row>
    <row r="25787" spans="1:5" x14ac:dyDescent="0.25">
      <c r="A25787" t="str">
        <f>HYPERLINK("https://www.773grp.com/globalSearch/UMZ1NT1G/page-1", "UMZ1NT1G")</f>
        <v>UMZ1NT1G</v>
      </c>
      <c r="B25787" s="3" t="str">
        <f>HYPERLINK("https://www.773grp.com/manufacturer/onsemi?pageNo=915", "ON Semiconductor")</f>
        <v>ON Semiconductor</v>
      </c>
      <c r="C25787" s="6">
        <v>179868</v>
      </c>
      <c r="D25787" s="7">
        <v>0.23</v>
      </c>
      <c r="E25787" t="s">
        <v>69</v>
      </c>
    </row>
    <row r="25788" spans="1:5" x14ac:dyDescent="0.25">
      <c r="A25788" t="str">
        <f>HYPERLINK("https://www.773grp.com/globalSearch/MBR360G/page-1", "MBR360G")</f>
        <v>MBR360G</v>
      </c>
      <c r="B25788" s="3" t="str">
        <f>HYPERLINK("https://www.773grp.com/manufacturer/onsemi?pageNo=916", "ON Semiconductor")</f>
        <v>ON Semiconductor</v>
      </c>
      <c r="C25788" s="6">
        <v>700</v>
      </c>
      <c r="D25788" s="7">
        <v>0.28000000000000003</v>
      </c>
      <c r="E25788" t="s">
        <v>103</v>
      </c>
    </row>
    <row r="25789" spans="1:5" x14ac:dyDescent="0.25">
      <c r="A25789" t="str">
        <f>HYPERLINK("https://www.773grp.com/globalSearch/1N4742CRL/page-1", "1N4742CRL")</f>
        <v>1N4742CRL</v>
      </c>
      <c r="B25789" s="3" t="str">
        <f>HYPERLINK("https://www.773grp.com/manufacturer/onsemi?pageNo=917", "ON Semiconductor")</f>
        <v>ON Semiconductor</v>
      </c>
      <c r="C25789" s="6">
        <v>6000</v>
      </c>
      <c r="D25789" s="7">
        <v>0.28000000000000003</v>
      </c>
      <c r="E25789" t="s">
        <v>98</v>
      </c>
    </row>
    <row r="25790" spans="1:5" x14ac:dyDescent="0.25">
      <c r="A25790" t="str">
        <f>HYPERLINK("https://www.773grp.com/globalSearch/1N4745CRL/page-1", "1N4745CRL")</f>
        <v>1N4745CRL</v>
      </c>
      <c r="B25790" s="3" t="str">
        <f>HYPERLINK("https://www.773grp.com/manufacturer/onsemi?pageNo=918", "ON Semiconductor")</f>
        <v>ON Semiconductor</v>
      </c>
      <c r="C25790" s="6">
        <v>155500</v>
      </c>
      <c r="D25790" s="7">
        <v>0.28000000000000003</v>
      </c>
      <c r="E25790" t="s">
        <v>98</v>
      </c>
    </row>
    <row r="25791" spans="1:5" x14ac:dyDescent="0.25">
      <c r="A25791" t="str">
        <f>HYPERLINK("https://www.773grp.com/globalSearch/1N5248DRL/page-1", "1N5248DRL")</f>
        <v>1N5248DRL</v>
      </c>
      <c r="B25791" s="3" t="str">
        <f>HYPERLINK("https://www.773grp.com/manufacturer/onsemi?pageNo=919", "ON Semiconductor")</f>
        <v>ON Semiconductor</v>
      </c>
      <c r="C25791" s="6">
        <v>4975</v>
      </c>
      <c r="D25791" s="7">
        <v>0.28000000000000003</v>
      </c>
      <c r="E25791" t="s">
        <v>98</v>
      </c>
    </row>
    <row r="25792" spans="1:5" x14ac:dyDescent="0.25">
      <c r="A25792" t="str">
        <f>HYPERLINK("https://www.773grp.com/globalSearch/2N6426RLRA/page-1", "2N6426RLRA")</f>
        <v>2N6426RLRA</v>
      </c>
      <c r="B25792" s="3" t="str">
        <f>HYPERLINK("https://www.773grp.com/manufacturer/onsemi?pageNo=920", "ON Semiconductor")</f>
        <v>ON Semiconductor</v>
      </c>
      <c r="C25792" s="6">
        <v>1578000</v>
      </c>
      <c r="D25792" s="7">
        <v>0.28000000000000003</v>
      </c>
      <c r="E25792" t="s">
        <v>69</v>
      </c>
    </row>
    <row r="25793" spans="1:5" x14ac:dyDescent="0.25">
      <c r="A25793" t="str">
        <f>HYPERLINK("https://www.773grp.com/globalSearch/2N6427RLRA/page-1", "2N6427RLRA")</f>
        <v>2N6427RLRA</v>
      </c>
      <c r="B25793" s="3" t="str">
        <f>HYPERLINK("https://www.773grp.com/manufacturer/onsemi?pageNo=921", "ON Semiconductor")</f>
        <v>ON Semiconductor</v>
      </c>
      <c r="C25793" s="6">
        <v>4000</v>
      </c>
      <c r="D25793" s="7">
        <v>0.28000000000000003</v>
      </c>
      <c r="E25793" t="s">
        <v>69</v>
      </c>
    </row>
    <row r="25794" spans="1:5" x14ac:dyDescent="0.25">
      <c r="A25794" t="str">
        <f>HYPERLINK("https://www.773grp.com/globalSearch/2N7000G/page-1", "2N7000G")</f>
        <v>2N7000G</v>
      </c>
      <c r="B25794" s="3" t="str">
        <f>HYPERLINK("https://www.773grp.com/manufacturer/onsemi?pageNo=922", "ON Semiconductor")</f>
        <v>ON Semiconductor</v>
      </c>
      <c r="C25794" s="6">
        <v>12000</v>
      </c>
      <c r="D25794" s="7">
        <v>0.28000000000000003</v>
      </c>
    </row>
    <row r="25795" spans="1:5" x14ac:dyDescent="0.25">
      <c r="A25795" t="str">
        <f>HYPERLINK("https://www.773grp.com/globalSearch/2N7000RLRAG/page-1", "2N7000RLRAG")</f>
        <v>2N7000RLRAG</v>
      </c>
      <c r="B25795" s="3" t="str">
        <f>HYPERLINK("https://www.773grp.com/manufacturer/onsemi?pageNo=923", "ON Semiconductor")</f>
        <v>ON Semiconductor</v>
      </c>
      <c r="C25795" s="6">
        <v>208605</v>
      </c>
      <c r="D25795" s="7">
        <v>0.28000000000000003</v>
      </c>
      <c r="E25795" t="s">
        <v>106</v>
      </c>
    </row>
    <row r="25796" spans="1:5" x14ac:dyDescent="0.25">
      <c r="A25796" t="str">
        <f>HYPERLINK("https://www.773grp.com/globalSearch/2SA1344-TB-E/page-1", "2SA1344-TB-E")</f>
        <v>2SA1344-TB-E</v>
      </c>
      <c r="B25796" s="3" t="str">
        <f>HYPERLINK("https://www.773grp.com/manufacturer/onsemi?pageNo=924", "ON Semiconductor")</f>
        <v>ON Semiconductor</v>
      </c>
      <c r="C25796" s="6">
        <v>45000</v>
      </c>
      <c r="D25796" s="7">
        <v>0.28000000000000003</v>
      </c>
    </row>
    <row r="25797" spans="1:5" x14ac:dyDescent="0.25">
      <c r="A25797" t="str">
        <f>HYPERLINK("https://www.773grp.com/globalSearch/3LN01SS-TL-E/page-1", "3LN01SS-TL-E")</f>
        <v>3LN01SS-TL-E</v>
      </c>
      <c r="B25797" s="3" t="str">
        <f>HYPERLINK("https://www.773grp.com/manufacturer/onsemi?pageNo=925", "ON Semiconductor")</f>
        <v>ON Semiconductor</v>
      </c>
      <c r="C25797" s="6">
        <v>7900</v>
      </c>
      <c r="D25797" s="7">
        <v>0.28000000000000003</v>
      </c>
    </row>
    <row r="25798" spans="1:5" x14ac:dyDescent="0.25">
      <c r="A25798" t="str">
        <f>HYPERLINK("https://www.773grp.com/globalSearch/3LN01S-TL-E/page-1", "3LN01S-TL-E")</f>
        <v>3LN01S-TL-E</v>
      </c>
      <c r="B25798" s="3" t="str">
        <f>HYPERLINK("https://www.773grp.com/manufacturer/onsemi?pageNo=926", "ON Semiconductor")</f>
        <v>ON Semiconductor</v>
      </c>
      <c r="C25798" s="6">
        <v>6000</v>
      </c>
      <c r="D25798" s="7">
        <v>0.28000000000000003</v>
      </c>
    </row>
    <row r="25799" spans="1:5" x14ac:dyDescent="0.25">
      <c r="A25799" t="str">
        <f>HYPERLINK("https://www.773grp.com/globalSearch/3LP01M-TL-E/page-1", "3LP01M-TL-E")</f>
        <v>3LP01M-TL-E</v>
      </c>
      <c r="B25799" s="3" t="str">
        <f>HYPERLINK("https://www.773grp.com/manufacturer/onsemi?pageNo=927", "ON Semiconductor")</f>
        <v>ON Semiconductor</v>
      </c>
      <c r="C25799" s="6">
        <v>3000</v>
      </c>
      <c r="D25799" s="7">
        <v>0.28000000000000003</v>
      </c>
    </row>
    <row r="25800" spans="1:5" x14ac:dyDescent="0.25">
      <c r="A25800" t="str">
        <f>HYPERLINK("https://www.773grp.com/globalSearch/3LP01SS-TL-E/page-1", "3LP01SS-TL-E")</f>
        <v>3LP01SS-TL-E</v>
      </c>
      <c r="B25800" s="3" t="str">
        <f>HYPERLINK("https://www.773grp.com/manufacturer/onsemi?pageNo=928", "ON Semiconductor")</f>
        <v>ON Semiconductor</v>
      </c>
      <c r="C25800" s="6">
        <v>6085</v>
      </c>
      <c r="D25800" s="7">
        <v>0.28000000000000003</v>
      </c>
    </row>
    <row r="25801" spans="1:5" x14ac:dyDescent="0.25">
      <c r="A25801" t="str">
        <f>HYPERLINK("https://www.773grp.com/globalSearch/BAS116LT1G/page-1", "BAS116LT1G")</f>
        <v>BAS116LT1G</v>
      </c>
      <c r="B25801" s="3" t="str">
        <f>HYPERLINK("https://www.773grp.com/manufacturer/onsemi?pageNo=929", "ON Semiconductor")</f>
        <v>ON Semiconductor</v>
      </c>
      <c r="C25801" s="6">
        <v>84000</v>
      </c>
      <c r="D25801" s="7">
        <v>0.28000000000000003</v>
      </c>
      <c r="E25801" t="s">
        <v>94</v>
      </c>
    </row>
    <row r="25802" spans="1:5" x14ac:dyDescent="0.25">
      <c r="A25802" t="str">
        <f>HYPERLINK("https://www.773grp.com/globalSearch/BAS116LT3G/page-1", "BAS116LT3G")</f>
        <v>BAS116LT3G</v>
      </c>
      <c r="B25802" s="3" t="str">
        <f>HYPERLINK("https://www.773grp.com/manufacturer/onsemi?pageNo=930", "ON Semiconductor")</f>
        <v>ON Semiconductor</v>
      </c>
      <c r="C25802" s="6">
        <v>200000</v>
      </c>
      <c r="D25802" s="7">
        <v>0.28000000000000003</v>
      </c>
      <c r="E25802" t="s">
        <v>94</v>
      </c>
    </row>
    <row r="25803" spans="1:5" x14ac:dyDescent="0.25">
      <c r="A25803" t="str">
        <f>HYPERLINK("https://www.773grp.com/globalSearch/BAS21AHT1G/page-1", "BAS21AHT1G")</f>
        <v>BAS21AHT1G</v>
      </c>
      <c r="B25803" s="3" t="str">
        <f>HYPERLINK("https://www.773grp.com/manufacturer/onsemi?pageNo=931", "ON Semiconductor")</f>
        <v>ON Semiconductor</v>
      </c>
      <c r="C25803" s="6">
        <v>128751</v>
      </c>
      <c r="D25803" s="7">
        <v>0.28000000000000003</v>
      </c>
      <c r="E25803" t="s">
        <v>94</v>
      </c>
    </row>
    <row r="25804" spans="1:5" x14ac:dyDescent="0.25">
      <c r="A25804" t="str">
        <f>HYPERLINK("https://www.773grp.com/globalSearch/BAS21DW5T1G/page-1", "BAS21DW5T1G")</f>
        <v>BAS21DW5T1G</v>
      </c>
      <c r="B25804" s="3" t="str">
        <f>HYPERLINK("https://www.773grp.com/manufacturer/onsemi?pageNo=932", "ON Semiconductor")</f>
        <v>ON Semiconductor</v>
      </c>
      <c r="C25804" s="6">
        <v>6000</v>
      </c>
      <c r="D25804" s="7">
        <v>0.28000000000000003</v>
      </c>
      <c r="E25804" t="s">
        <v>94</v>
      </c>
    </row>
    <row r="25805" spans="1:5" x14ac:dyDescent="0.25">
      <c r="A25805" t="str">
        <f>HYPERLINK("https://www.773grp.com/globalSearch/BAS40-06LT1/page-1", "BAS40-06LT1")</f>
        <v>BAS40-06LT1</v>
      </c>
      <c r="B25805" s="3" t="str">
        <f>HYPERLINK("https://www.773grp.com/manufacturer/onsemi?pageNo=933", "ON Semiconductor")</f>
        <v>ON Semiconductor</v>
      </c>
      <c r="C25805" s="6">
        <v>42000</v>
      </c>
      <c r="D25805" s="7">
        <v>0.28000000000000003</v>
      </c>
      <c r="E25805" t="s">
        <v>94</v>
      </c>
    </row>
    <row r="25806" spans="1:5" x14ac:dyDescent="0.25">
      <c r="A25806" t="str">
        <f>HYPERLINK("https://www.773grp.com/globalSearch/BAT54ALT1/page-1", "BAT54ALT1")</f>
        <v>BAT54ALT1</v>
      </c>
      <c r="B25806" s="3" t="str">
        <f>HYPERLINK("https://www.773grp.com/manufacturer/onsemi?pageNo=934", "ON Semiconductor")</f>
        <v>ON Semiconductor</v>
      </c>
      <c r="C25806" s="6">
        <v>50320</v>
      </c>
      <c r="D25806" s="7">
        <v>0.28000000000000003</v>
      </c>
      <c r="E25806" t="s">
        <v>94</v>
      </c>
    </row>
    <row r="25807" spans="1:5" x14ac:dyDescent="0.25">
      <c r="A25807" t="str">
        <f>HYPERLINK("https://www.773grp.com/globalSearch/BAT54ALT3G/page-1", "BAT54ALT3G")</f>
        <v>BAT54ALT3G</v>
      </c>
      <c r="B25807" s="3" t="str">
        <f>HYPERLINK("https://www.773grp.com/manufacturer/onsemi?pageNo=935", "ON Semiconductor")</f>
        <v>ON Semiconductor</v>
      </c>
      <c r="C25807" s="6">
        <v>60000</v>
      </c>
      <c r="D25807" s="7">
        <v>0.28000000000000003</v>
      </c>
      <c r="E25807" t="s">
        <v>94</v>
      </c>
    </row>
    <row r="25808" spans="1:5" x14ac:dyDescent="0.25">
      <c r="A25808" t="str">
        <f>HYPERLINK("https://www.773grp.com/globalSearch/BAT54AWT1/page-1", "BAT54AWT1")</f>
        <v>BAT54AWT1</v>
      </c>
      <c r="B25808" s="3" t="str">
        <f>HYPERLINK("https://www.773grp.com/manufacturer/onsemi?pageNo=936", "ON Semiconductor")</f>
        <v>ON Semiconductor</v>
      </c>
      <c r="C25808" s="6">
        <v>50560</v>
      </c>
      <c r="D25808" s="7">
        <v>0.28000000000000003</v>
      </c>
      <c r="E25808" t="s">
        <v>94</v>
      </c>
    </row>
    <row r="25809" spans="1:5" x14ac:dyDescent="0.25">
      <c r="A25809" t="str">
        <f>HYPERLINK("https://www.773grp.com/globalSearch/BAT54AWT1G/page-1", "BAT54AWT1G")</f>
        <v>BAT54AWT1G</v>
      </c>
      <c r="B25809" s="3" t="str">
        <f>HYPERLINK("https://www.773grp.com/manufacturer/onsemi?pageNo=937", "ON Semiconductor")</f>
        <v>ON Semiconductor</v>
      </c>
      <c r="C25809" s="6">
        <v>1094161</v>
      </c>
      <c r="D25809" s="7">
        <v>0.28000000000000003</v>
      </c>
      <c r="E25809" t="s">
        <v>94</v>
      </c>
    </row>
    <row r="25810" spans="1:5" x14ac:dyDescent="0.25">
      <c r="A25810" t="str">
        <f>HYPERLINK("https://www.773grp.com/globalSearch/BAT54AWT3/page-1", "BAT54AWT3")</f>
        <v>BAT54AWT3</v>
      </c>
      <c r="B25810" s="3" t="str">
        <f>HYPERLINK("https://www.773grp.com/manufacturer/onsemi?pageNo=938", "ON Semiconductor")</f>
        <v>ON Semiconductor</v>
      </c>
      <c r="C25810" s="6">
        <v>100000</v>
      </c>
      <c r="D25810" s="7">
        <v>0.28000000000000003</v>
      </c>
      <c r="E25810" t="s">
        <v>94</v>
      </c>
    </row>
    <row r="25811" spans="1:5" x14ac:dyDescent="0.25">
      <c r="A25811" t="str">
        <f>HYPERLINK("https://www.773grp.com/globalSearch/BAT54CLT1/page-1", "BAT54CLT1")</f>
        <v>BAT54CLT1</v>
      </c>
      <c r="B25811" s="3" t="str">
        <f>HYPERLINK("https://www.773grp.com/manufacturer/onsemi?pageNo=939", "ON Semiconductor")</f>
        <v>ON Semiconductor</v>
      </c>
      <c r="C25811" s="6">
        <v>356430</v>
      </c>
      <c r="D25811" s="7">
        <v>0.28000000000000003</v>
      </c>
      <c r="E25811" t="s">
        <v>94</v>
      </c>
    </row>
    <row r="25812" spans="1:5" x14ac:dyDescent="0.25">
      <c r="A25812" t="str">
        <f>HYPERLINK("https://www.773grp.com/globalSearch/BAT54CWT1/page-1", "BAT54CWT1")</f>
        <v>BAT54CWT1</v>
      </c>
      <c r="B25812" s="3" t="str">
        <f>HYPERLINK("https://www.773grp.com/manufacturer/onsemi?pageNo=940", "ON Semiconductor")</f>
        <v>ON Semiconductor</v>
      </c>
      <c r="C25812" s="6">
        <v>27000</v>
      </c>
      <c r="D25812" s="7">
        <v>0.28000000000000003</v>
      </c>
      <c r="E25812" t="s">
        <v>94</v>
      </c>
    </row>
    <row r="25813" spans="1:5" x14ac:dyDescent="0.25">
      <c r="A25813" t="str">
        <f>HYPERLINK("https://www.773grp.com/globalSearch/BAT54CWT1G/page-1", "BAT54CWT1G")</f>
        <v>BAT54CWT1G</v>
      </c>
      <c r="B25813" s="3" t="str">
        <f>HYPERLINK("https://www.773grp.com/manufacturer/onsemi?pageNo=941", "ON Semiconductor")</f>
        <v>ON Semiconductor</v>
      </c>
      <c r="C25813" s="6">
        <v>99000</v>
      </c>
      <c r="D25813" s="7">
        <v>0.28000000000000003</v>
      </c>
      <c r="E25813" t="s">
        <v>94</v>
      </c>
    </row>
    <row r="25814" spans="1:5" x14ac:dyDescent="0.25">
      <c r="A25814" t="str">
        <f>HYPERLINK("https://www.773grp.com/globalSearch/BAT54HT1/page-1", "BAT54HT1")</f>
        <v>BAT54HT1</v>
      </c>
      <c r="B25814" s="3" t="str">
        <f>HYPERLINK("https://www.773grp.com/manufacturer/onsemi?pageNo=942", "ON Semiconductor")</f>
        <v>ON Semiconductor</v>
      </c>
      <c r="C25814" s="6">
        <v>87578</v>
      </c>
      <c r="D25814" s="7">
        <v>0.28000000000000003</v>
      </c>
      <c r="E25814" t="s">
        <v>94</v>
      </c>
    </row>
    <row r="25815" spans="1:5" x14ac:dyDescent="0.25">
      <c r="A25815" t="str">
        <f>HYPERLINK("https://www.773grp.com/globalSearch/BAT54HT1G/page-1", "BAT54HT1G")</f>
        <v>BAT54HT1G</v>
      </c>
      <c r="B25815" s="3" t="str">
        <f>HYPERLINK("https://www.773grp.com/manufacturer/onsemi?pageNo=943", "ON Semiconductor")</f>
        <v>ON Semiconductor</v>
      </c>
      <c r="C25815" s="6">
        <v>680377</v>
      </c>
      <c r="D25815" s="7">
        <v>0.28000000000000003</v>
      </c>
      <c r="E25815" t="s">
        <v>94</v>
      </c>
    </row>
    <row r="25816" spans="1:5" x14ac:dyDescent="0.25">
      <c r="A25816" t="str">
        <f>HYPERLINK("https://www.773grp.com/globalSearch/BAT54LT1/page-1", "BAT54LT1")</f>
        <v>BAT54LT1</v>
      </c>
      <c r="B25816" s="3" t="str">
        <f>HYPERLINK("https://www.773grp.com/manufacturer/onsemi?pageNo=944", "ON Semiconductor")</f>
        <v>ON Semiconductor</v>
      </c>
      <c r="C25816" s="6">
        <v>99800</v>
      </c>
      <c r="D25816" s="7">
        <v>0.28000000000000003</v>
      </c>
      <c r="E25816" t="s">
        <v>94</v>
      </c>
    </row>
    <row r="25817" spans="1:5" x14ac:dyDescent="0.25">
      <c r="A25817" t="str">
        <f>HYPERLINK("https://www.773grp.com/globalSearch/BAT54SWT1/page-1", "BAT54SWT1")</f>
        <v>BAT54SWT1</v>
      </c>
      <c r="B25817" s="3" t="str">
        <f>HYPERLINK("https://www.773grp.com/manufacturer/onsemi?pageNo=945", "ON Semiconductor")</f>
        <v>ON Semiconductor</v>
      </c>
      <c r="C25817" s="6">
        <v>47721</v>
      </c>
      <c r="D25817" s="7">
        <v>0.28000000000000003</v>
      </c>
      <c r="E25817" t="s">
        <v>94</v>
      </c>
    </row>
    <row r="25818" spans="1:5" x14ac:dyDescent="0.25">
      <c r="A25818" t="str">
        <f>HYPERLINK("https://www.773grp.com/globalSearch/BAT54SWT1G/page-1", "BAT54SWT1G")</f>
        <v>BAT54SWT1G</v>
      </c>
      <c r="B25818" s="3" t="str">
        <f>HYPERLINK("https://www.773grp.com/manufacturer/onsemi?pageNo=946", "ON Semiconductor")</f>
        <v>ON Semiconductor</v>
      </c>
      <c r="C25818" s="6">
        <v>554700</v>
      </c>
      <c r="D25818" s="7">
        <v>0.28000000000000003</v>
      </c>
      <c r="E25818" t="s">
        <v>94</v>
      </c>
    </row>
    <row r="25819" spans="1:5" x14ac:dyDescent="0.25">
      <c r="A25819" t="str">
        <f>HYPERLINK("https://www.773grp.com/globalSearch/BAT54WT1G/page-1", "BAT54WT1G")</f>
        <v>BAT54WT1G</v>
      </c>
      <c r="B25819" s="3" t="str">
        <f>HYPERLINK("https://www.773grp.com/manufacturer/onsemi?pageNo=947", "ON Semiconductor")</f>
        <v>ON Semiconductor</v>
      </c>
      <c r="C25819" s="6">
        <v>1802990</v>
      </c>
      <c r="D25819" s="7">
        <v>0.28000000000000003</v>
      </c>
      <c r="E25819" t="s">
        <v>94</v>
      </c>
    </row>
    <row r="25820" spans="1:5" x14ac:dyDescent="0.25">
      <c r="A25820" t="str">
        <f>HYPERLINK("https://www.773grp.com/globalSearch/BAV199LT1/page-1", "BAV199LT1")</f>
        <v>BAV199LT1</v>
      </c>
      <c r="B25820" s="3" t="str">
        <f>HYPERLINK("https://www.773grp.com/manufacturer/onsemi?pageNo=948", "ON Semiconductor")</f>
        <v>ON Semiconductor</v>
      </c>
      <c r="C25820" s="6">
        <v>84000</v>
      </c>
      <c r="D25820" s="7">
        <v>0.28000000000000003</v>
      </c>
    </row>
    <row r="25821" spans="1:5" x14ac:dyDescent="0.25">
      <c r="A25821" t="str">
        <f>HYPERLINK("https://www.773grp.com/globalSearch/BAV199LT1G/page-1", "BAV199LT1G")</f>
        <v>BAV199LT1G</v>
      </c>
      <c r="B25821" s="3" t="str">
        <f>HYPERLINK("https://www.773grp.com/manufacturer/onsemi?pageNo=949", "ON Semiconductor")</f>
        <v>ON Semiconductor</v>
      </c>
      <c r="C25821" s="6">
        <v>171000</v>
      </c>
      <c r="D25821" s="7">
        <v>0.28000000000000003</v>
      </c>
      <c r="E25821" t="s">
        <v>94</v>
      </c>
    </row>
    <row r="25822" spans="1:5" x14ac:dyDescent="0.25">
      <c r="A25822" t="str">
        <f>HYPERLINK("https://www.773grp.com/globalSearch/BC369/page-1", "BC369")</f>
        <v>BC369</v>
      </c>
      <c r="B25822" s="3" t="str">
        <f>HYPERLINK("https://www.773grp.com/manufacturer/onsemi?pageNo=950", "ON Semiconductor")</f>
        <v>ON Semiconductor</v>
      </c>
      <c r="C25822" s="6">
        <v>125000</v>
      </c>
      <c r="D25822" s="7">
        <v>0.28000000000000003</v>
      </c>
      <c r="E25822" t="s">
        <v>69</v>
      </c>
    </row>
    <row r="25823" spans="1:5" x14ac:dyDescent="0.25">
      <c r="A25823" t="str">
        <f>HYPERLINK("https://www.773grp.com/globalSearch/BC369G/page-1", "BC369G")</f>
        <v>BC369G</v>
      </c>
      <c r="B25823" s="3" t="str">
        <f>HYPERLINK("https://www.773grp.com/manufacturer/onsemi?pageNo=951", "ON Semiconductor")</f>
        <v>ON Semiconductor</v>
      </c>
      <c r="C25823" s="6">
        <v>4800</v>
      </c>
      <c r="D25823" s="7">
        <v>0.28000000000000003</v>
      </c>
      <c r="E25823" t="s">
        <v>69</v>
      </c>
    </row>
    <row r="25824" spans="1:5" x14ac:dyDescent="0.25">
      <c r="A25824" t="str">
        <f>HYPERLINK("https://www.773grp.com/globalSearch/BC372G/page-1", "BC372G")</f>
        <v>BC372G</v>
      </c>
      <c r="B25824" s="3" t="str">
        <f>HYPERLINK("https://www.773grp.com/manufacturer/onsemi?pageNo=952", "ON Semiconductor")</f>
        <v>ON Semiconductor</v>
      </c>
      <c r="C25824" s="6">
        <v>5000</v>
      </c>
      <c r="D25824" s="7">
        <v>0.28000000000000003</v>
      </c>
      <c r="E25824" t="s">
        <v>69</v>
      </c>
    </row>
    <row r="25825" spans="1:5" x14ac:dyDescent="0.25">
      <c r="A25825" t="str">
        <f>HYPERLINK("https://www.773grp.com/globalSearch/BC447/page-1", "BC447")</f>
        <v>BC447</v>
      </c>
      <c r="B25825" s="3" t="str">
        <f>HYPERLINK("https://www.773grp.com/manufacturer/onsemi?pageNo=953", "ON Semiconductor")</f>
        <v>ON Semiconductor</v>
      </c>
      <c r="C25825" s="6">
        <v>10000</v>
      </c>
      <c r="D25825" s="7">
        <v>0.28000000000000003</v>
      </c>
      <c r="E25825" t="s">
        <v>69</v>
      </c>
    </row>
    <row r="25826" spans="1:5" x14ac:dyDescent="0.25">
      <c r="A25826" t="str">
        <f>HYPERLINK("https://www.773grp.com/globalSearch/BC447G/page-1", "BC447G")</f>
        <v>BC447G</v>
      </c>
      <c r="B25826" s="3" t="str">
        <f>HYPERLINK("https://www.773grp.com/manufacturer/onsemi?pageNo=954", "ON Semiconductor")</f>
        <v>ON Semiconductor</v>
      </c>
      <c r="C25826" s="6">
        <v>5000</v>
      </c>
      <c r="D25826" s="7">
        <v>0.28000000000000003</v>
      </c>
      <c r="E25826" t="s">
        <v>69</v>
      </c>
    </row>
    <row r="25827" spans="1:5" x14ac:dyDescent="0.25">
      <c r="A25827" t="str">
        <f>HYPERLINK("https://www.773grp.com/globalSearch/BC449/page-1", "BC449")</f>
        <v>BC449</v>
      </c>
      <c r="B25827" s="3" t="str">
        <f>HYPERLINK("https://www.773grp.com/manufacturer/onsemi?pageNo=955", "ON Semiconductor")</f>
        <v>ON Semiconductor</v>
      </c>
      <c r="C25827" s="6">
        <v>2000</v>
      </c>
      <c r="D25827" s="7">
        <v>0.28000000000000003</v>
      </c>
      <c r="E25827" t="s">
        <v>69</v>
      </c>
    </row>
    <row r="25828" spans="1:5" x14ac:dyDescent="0.25">
      <c r="A25828" t="str">
        <f>HYPERLINK("https://www.773grp.com/globalSearch/BC487/page-1", "BC487")</f>
        <v>BC487</v>
      </c>
      <c r="B25828" s="3" t="str">
        <f>HYPERLINK("https://www.773grp.com/manufacturer/onsemi?pageNo=956", "ON Semiconductor")</f>
        <v>ON Semiconductor</v>
      </c>
      <c r="C25828" s="6">
        <v>10000</v>
      </c>
      <c r="D25828" s="7">
        <v>0.28000000000000003</v>
      </c>
      <c r="E25828" t="s">
        <v>69</v>
      </c>
    </row>
    <row r="25829" spans="1:5" x14ac:dyDescent="0.25">
      <c r="A25829" t="str">
        <f>HYPERLINK("https://www.773grp.com/globalSearch/BC487BRL1/page-1", "BC487BRL1")</f>
        <v>BC487BRL1</v>
      </c>
      <c r="B25829" s="3" t="str">
        <f>HYPERLINK("https://www.773grp.com/manufacturer/onsemi?pageNo=957", "ON Semiconductor")</f>
        <v>ON Semiconductor</v>
      </c>
      <c r="C25829" s="6">
        <v>4000</v>
      </c>
      <c r="D25829" s="7">
        <v>0.28000000000000003</v>
      </c>
      <c r="E25829" t="s">
        <v>69</v>
      </c>
    </row>
    <row r="25830" spans="1:5" x14ac:dyDescent="0.25">
      <c r="A25830" t="str">
        <f>HYPERLINK("https://www.773grp.com/globalSearch/BC487G/page-1", "BC487G")</f>
        <v>BC487G</v>
      </c>
      <c r="B25830" s="3" t="str">
        <f>HYPERLINK("https://www.773grp.com/manufacturer/onsemi?pageNo=958", "ON Semiconductor")</f>
        <v>ON Semiconductor</v>
      </c>
      <c r="C25830" s="6">
        <v>5000</v>
      </c>
      <c r="D25830" s="7">
        <v>0.28000000000000003</v>
      </c>
      <c r="E25830" t="s">
        <v>69</v>
      </c>
    </row>
    <row r="25831" spans="1:5" x14ac:dyDescent="0.25">
      <c r="A25831" t="str">
        <f>HYPERLINK("https://www.773grp.com/globalSearch/BC488BRL1G/page-1", "BC488BRL1G")</f>
        <v>BC488BRL1G</v>
      </c>
      <c r="B25831" s="3" t="str">
        <f>HYPERLINK("https://www.773grp.com/manufacturer/onsemi?pageNo=959", "ON Semiconductor")</f>
        <v>ON Semiconductor</v>
      </c>
      <c r="C25831" s="6">
        <v>7166</v>
      </c>
      <c r="D25831" s="7">
        <v>0.28000000000000003</v>
      </c>
      <c r="E25831" t="s">
        <v>69</v>
      </c>
    </row>
    <row r="25832" spans="1:5" x14ac:dyDescent="0.25">
      <c r="A25832" t="str">
        <f>HYPERLINK("https://www.773grp.com/globalSearch/BC489RL1/page-1", "BC489RL1")</f>
        <v>BC489RL1</v>
      </c>
      <c r="B25832" s="3" t="str">
        <f>HYPERLINK("https://www.773grp.com/manufacturer/onsemi?pageNo=960", "ON Semiconductor")</f>
        <v>ON Semiconductor</v>
      </c>
      <c r="C25832" s="6">
        <v>8000</v>
      </c>
      <c r="D25832" s="7">
        <v>0.28000000000000003</v>
      </c>
      <c r="E25832" t="s">
        <v>69</v>
      </c>
    </row>
    <row r="25833" spans="1:5" x14ac:dyDescent="0.25">
      <c r="A25833" t="str">
        <f>HYPERLINK("https://www.773grp.com/globalSearch/BC490AZL1G/page-1", "BC490AZL1G")</f>
        <v>BC490AZL1G</v>
      </c>
      <c r="B25833" s="3" t="str">
        <f>HYPERLINK("https://www.773grp.com/manufacturer/onsemi?pageNo=961", "ON Semiconductor")</f>
        <v>ON Semiconductor</v>
      </c>
      <c r="C25833" s="6">
        <v>2000</v>
      </c>
      <c r="D25833" s="7">
        <v>0.28000000000000003</v>
      </c>
      <c r="E25833" t="s">
        <v>69</v>
      </c>
    </row>
    <row r="25834" spans="1:5" x14ac:dyDescent="0.25">
      <c r="A25834" t="str">
        <f>HYPERLINK("https://www.773grp.com/globalSearch/BC635ZL1/page-1", "BC635ZL1")</f>
        <v>BC635ZL1</v>
      </c>
      <c r="B25834" s="3" t="str">
        <f>HYPERLINK("https://www.773grp.com/manufacturer/onsemi?pageNo=962", "ON Semiconductor")</f>
        <v>ON Semiconductor</v>
      </c>
      <c r="C25834" s="6">
        <v>14000</v>
      </c>
      <c r="D25834" s="7">
        <v>0.28000000000000003</v>
      </c>
      <c r="E25834" t="s">
        <v>69</v>
      </c>
    </row>
    <row r="25835" spans="1:5" x14ac:dyDescent="0.25">
      <c r="A25835" t="str">
        <f>HYPERLINK("https://www.773grp.com/globalSearch/BC637/page-1", "BC637")</f>
        <v>BC637</v>
      </c>
      <c r="B25835" s="3" t="str">
        <f>HYPERLINK("https://www.773grp.com/manufacturer/onsemi?pageNo=963", "ON Semiconductor")</f>
        <v>ON Semiconductor</v>
      </c>
      <c r="C25835" s="6">
        <v>10000</v>
      </c>
      <c r="D25835" s="7">
        <v>0.28000000000000003</v>
      </c>
      <c r="E25835" t="s">
        <v>69</v>
      </c>
    </row>
    <row r="25836" spans="1:5" x14ac:dyDescent="0.25">
      <c r="A25836" t="str">
        <f>HYPERLINK("https://www.773grp.com/globalSearch/BC638/page-1", "BC638")</f>
        <v>BC638</v>
      </c>
      <c r="B25836" s="3" t="str">
        <f>HYPERLINK("https://www.773grp.com/manufacturer/onsemi?pageNo=964", "ON Semiconductor")</f>
        <v>ON Semiconductor</v>
      </c>
      <c r="C25836" s="6">
        <v>15000</v>
      </c>
      <c r="D25836" s="7">
        <v>0.28000000000000003</v>
      </c>
      <c r="E25836" t="s">
        <v>69</v>
      </c>
    </row>
    <row r="25837" spans="1:5" x14ac:dyDescent="0.25">
      <c r="A25837" t="str">
        <f>HYPERLINK("https://www.773grp.com/globalSearch/BC638G/page-1", "BC638G")</f>
        <v>BC638G</v>
      </c>
      <c r="B25837" s="3" t="str">
        <f>HYPERLINK("https://www.773grp.com/manufacturer/onsemi?pageNo=965", "ON Semiconductor")</f>
        <v>ON Semiconductor</v>
      </c>
      <c r="C25837" s="6">
        <v>14500</v>
      </c>
      <c r="D25837" s="7">
        <v>0.28000000000000003</v>
      </c>
      <c r="E25837" t="s">
        <v>69</v>
      </c>
    </row>
    <row r="25838" spans="1:5" x14ac:dyDescent="0.25">
      <c r="A25838" t="str">
        <f>HYPERLINK("https://www.773grp.com/globalSearch/BC638ZL1G/page-1", "BC638ZL1G")</f>
        <v>BC638ZL1G</v>
      </c>
      <c r="B25838" s="3" t="str">
        <f>HYPERLINK("https://www.773grp.com/manufacturer/onsemi?pageNo=966", "ON Semiconductor")</f>
        <v>ON Semiconductor</v>
      </c>
      <c r="C25838" s="6">
        <v>10000</v>
      </c>
      <c r="D25838" s="7">
        <v>0.28000000000000003</v>
      </c>
      <c r="E25838" t="s">
        <v>69</v>
      </c>
    </row>
    <row r="25839" spans="1:5" x14ac:dyDescent="0.25">
      <c r="A25839" t="str">
        <f>HYPERLINK("https://www.773grp.com/globalSearch/BC639ZL1/page-1", "BC639ZL1")</f>
        <v>BC639ZL1</v>
      </c>
      <c r="B25839" s="3" t="str">
        <f>HYPERLINK("https://www.773grp.com/manufacturer/onsemi?pageNo=967", "ON Semiconductor")</f>
        <v>ON Semiconductor</v>
      </c>
      <c r="C25839" s="6">
        <v>48000</v>
      </c>
      <c r="D25839" s="7">
        <v>0.28000000000000003</v>
      </c>
      <c r="E25839" t="s">
        <v>69</v>
      </c>
    </row>
    <row r="25840" spans="1:5" x14ac:dyDescent="0.25">
      <c r="A25840" t="str">
        <f>HYPERLINK("https://www.773grp.com/globalSearch/BC640/page-1", "BC640")</f>
        <v>BC640</v>
      </c>
      <c r="B25840" s="3" t="str">
        <f>HYPERLINK("https://www.773grp.com/manufacturer/onsemi?pageNo=968", "ON Semiconductor")</f>
        <v>ON Semiconductor</v>
      </c>
      <c r="C25840" s="6">
        <v>6570</v>
      </c>
      <c r="D25840" s="7">
        <v>0.28000000000000003</v>
      </c>
      <c r="E25840" t="s">
        <v>69</v>
      </c>
    </row>
    <row r="25841" spans="1:5" x14ac:dyDescent="0.25">
      <c r="A25841" t="str">
        <f>HYPERLINK("https://www.773grp.com/globalSearch/BC817-25LT3H/page-1", "BC817-25LT3H")</f>
        <v>BC817-25LT3H</v>
      </c>
      <c r="B25841" s="3" t="str">
        <f>HYPERLINK("https://www.773grp.com/manufacturer/onsemi?pageNo=969", "ON Semiconductor")</f>
        <v>ON Semiconductor</v>
      </c>
      <c r="C25841" s="6">
        <v>50000</v>
      </c>
      <c r="D25841" s="7">
        <v>0.28000000000000003</v>
      </c>
    </row>
    <row r="25842" spans="1:5" x14ac:dyDescent="0.25">
      <c r="A25842" t="str">
        <f>HYPERLINK("https://www.773grp.com/globalSearch/BC850CLT1/page-1", "BC850CLT1")</f>
        <v>BC850CLT1</v>
      </c>
      <c r="B25842" s="3" t="str">
        <f>HYPERLINK("https://www.773grp.com/manufacturer/onsemi?pageNo=970", "ON Semiconductor")</f>
        <v>ON Semiconductor</v>
      </c>
      <c r="C25842" s="6">
        <v>174000</v>
      </c>
      <c r="D25842" s="7">
        <v>0.28000000000000003</v>
      </c>
      <c r="E25842" t="s">
        <v>69</v>
      </c>
    </row>
    <row r="25843" spans="1:5" x14ac:dyDescent="0.25">
      <c r="A25843" t="str">
        <f>HYPERLINK("https://www.773grp.com/globalSearch/BCX70JLT1/page-1", "BCX70JLT1")</f>
        <v>BCX70JLT1</v>
      </c>
      <c r="B25843" s="3" t="str">
        <f>HYPERLINK("https://www.773grp.com/manufacturer/onsemi?pageNo=971", "ON Semiconductor")</f>
        <v>ON Semiconductor</v>
      </c>
      <c r="C25843" s="6">
        <v>35750</v>
      </c>
      <c r="D25843" s="7">
        <v>0.28000000000000003</v>
      </c>
      <c r="E25843" t="s">
        <v>69</v>
      </c>
    </row>
    <row r="25844" spans="1:5" x14ac:dyDescent="0.25">
      <c r="A25844" t="str">
        <f>HYPERLINK("https://www.773grp.com/globalSearch/BCX71KLT1/page-1", "BCX71KLT1")</f>
        <v>BCX71KLT1</v>
      </c>
      <c r="B25844" s="3" t="str">
        <f>HYPERLINK("https://www.773grp.com/manufacturer/onsemi?pageNo=972", "ON Semiconductor")</f>
        <v>ON Semiconductor</v>
      </c>
      <c r="C25844" s="6">
        <v>9000</v>
      </c>
      <c r="D25844" s="7">
        <v>0.28000000000000003</v>
      </c>
    </row>
    <row r="25845" spans="1:5" x14ac:dyDescent="0.25">
      <c r="A25845" t="str">
        <f>HYPERLINK("https://www.773grp.com/globalSearch/BF493S/page-1", "BF493S")</f>
        <v>BF493S</v>
      </c>
      <c r="B25845" s="3" t="str">
        <f>HYPERLINK("https://www.773grp.com/manufacturer/onsemi?pageNo=973", "ON Semiconductor")</f>
        <v>ON Semiconductor</v>
      </c>
      <c r="C25845" s="6">
        <v>8000</v>
      </c>
      <c r="D25845" s="7">
        <v>0.28000000000000003</v>
      </c>
      <c r="E25845" t="s">
        <v>69</v>
      </c>
    </row>
    <row r="25846" spans="1:5" x14ac:dyDescent="0.25">
      <c r="A25846" t="str">
        <f>HYPERLINK("https://www.773grp.com/globalSearch/BF959G/page-1", "BF959G")</f>
        <v>BF959G</v>
      </c>
      <c r="B25846" s="3" t="str">
        <f>HYPERLINK("https://www.773grp.com/manufacturer/onsemi?pageNo=974", "ON Semiconductor")</f>
        <v>ON Semiconductor</v>
      </c>
      <c r="C25846" s="6">
        <v>12166</v>
      </c>
      <c r="D25846" s="7">
        <v>0.28000000000000003</v>
      </c>
      <c r="E25846" t="s">
        <v>61</v>
      </c>
    </row>
    <row r="25847" spans="1:5" x14ac:dyDescent="0.25">
      <c r="A25847" t="str">
        <f>HYPERLINK("https://www.773grp.com/globalSearch/BF959RL1G/page-1", "BF959RL1G")</f>
        <v>BF959RL1G</v>
      </c>
      <c r="B25847" s="3" t="str">
        <f>HYPERLINK("https://www.773grp.com/manufacturer/onsemi?pageNo=975", "ON Semiconductor")</f>
        <v>ON Semiconductor</v>
      </c>
      <c r="C25847" s="6">
        <v>16000</v>
      </c>
      <c r="D25847" s="7">
        <v>0.28000000000000003</v>
      </c>
      <c r="E25847" t="s">
        <v>61</v>
      </c>
    </row>
    <row r="25848" spans="1:5" x14ac:dyDescent="0.25">
      <c r="A25848" t="str">
        <f>HYPERLINK("https://www.773grp.com/globalSearch/BS170G/page-1", "BS170G")</f>
        <v>BS170G</v>
      </c>
      <c r="B25848" s="3" t="str">
        <f>HYPERLINK("https://www.773grp.com/manufacturer/onsemi?pageNo=976", "ON Semiconductor")</f>
        <v>ON Semiconductor</v>
      </c>
      <c r="C25848" s="6">
        <v>14000</v>
      </c>
      <c r="D25848" s="7">
        <v>0.28000000000000003</v>
      </c>
      <c r="E25848" t="s">
        <v>106</v>
      </c>
    </row>
    <row r="25849" spans="1:5" x14ac:dyDescent="0.25">
      <c r="A25849" t="str">
        <f>HYPERLINK("https://www.773grp.com/globalSearch/BS170RLRAG/page-1", "BS170RLRAG")</f>
        <v>BS170RLRAG</v>
      </c>
      <c r="B25849" s="3" t="str">
        <f>HYPERLINK("https://www.773grp.com/manufacturer/onsemi?pageNo=977", "ON Semiconductor")</f>
        <v>ON Semiconductor</v>
      </c>
      <c r="C25849" s="6">
        <v>9840</v>
      </c>
      <c r="D25849" s="7">
        <v>0.28000000000000003</v>
      </c>
      <c r="E25849" t="s">
        <v>106</v>
      </c>
    </row>
    <row r="25850" spans="1:5" x14ac:dyDescent="0.25">
      <c r="A25850" t="str">
        <f>HYPERLINK("https://www.773grp.com/globalSearch/BZX84C5V6ET3G/page-1", "BZX84C5V6ET3G")</f>
        <v>BZX84C5V6ET3G</v>
      </c>
      <c r="B25850" s="3" t="str">
        <f>HYPERLINK("https://www.773grp.com/manufacturer/onsemi?pageNo=978", "ON Semiconductor")</f>
        <v>ON Semiconductor</v>
      </c>
      <c r="C25850" s="6">
        <v>20000</v>
      </c>
      <c r="D25850" s="7">
        <v>0.28000000000000003</v>
      </c>
    </row>
    <row r="25851" spans="1:5" x14ac:dyDescent="0.25">
      <c r="A25851" t="str">
        <f>HYPERLINK("https://www.773grp.com/globalSearch/BZX84C6V2ET1G/page-1", "BZX84C6V2ET1G")</f>
        <v>BZX84C6V2ET1G</v>
      </c>
      <c r="B25851" s="3" t="str">
        <f>HYPERLINK("https://www.773grp.com/manufacturer/onsemi?pageNo=979", "ON Semiconductor")</f>
        <v>ON Semiconductor</v>
      </c>
      <c r="C25851" s="6">
        <v>62895</v>
      </c>
      <c r="D25851" s="7">
        <v>0.28000000000000003</v>
      </c>
      <c r="E25851" t="s">
        <v>98</v>
      </c>
    </row>
    <row r="25852" spans="1:5" x14ac:dyDescent="0.25">
      <c r="A25852" t="str">
        <f>HYPERLINK("https://www.773grp.com/globalSearch/BZX84C9V1ET3G/page-1", "BZX84C9V1ET3G")</f>
        <v>BZX84C9V1ET3G</v>
      </c>
      <c r="B25852" s="3" t="str">
        <f>HYPERLINK("https://www.773grp.com/manufacturer/onsemi?pageNo=980", "ON Semiconductor")</f>
        <v>ON Semiconductor</v>
      </c>
      <c r="C25852" s="6">
        <v>10000</v>
      </c>
      <c r="D25852" s="7">
        <v>0.28000000000000003</v>
      </c>
      <c r="E25852" t="s">
        <v>98</v>
      </c>
    </row>
    <row r="25853" spans="1:5" x14ac:dyDescent="0.25">
      <c r="A25853" t="str">
        <f>HYPERLINK("https://www.773grp.com/globalSearch/CM1242-07CP/page-1", "CM1242-07CP")</f>
        <v>CM1242-07CP</v>
      </c>
      <c r="B25853" s="3" t="str">
        <f>HYPERLINK("https://www.773grp.com/manufacturer/onsemi?pageNo=981", "ON Semiconductor")</f>
        <v>ON Semiconductor</v>
      </c>
      <c r="C25853" s="6">
        <v>8995000</v>
      </c>
      <c r="D25853" s="7">
        <v>0.28000000000000003</v>
      </c>
    </row>
    <row r="25854" spans="1:5" x14ac:dyDescent="0.25">
      <c r="A25854" t="str">
        <f>HYPERLINK("https://www.773grp.com/globalSearch/DF3A6.8FUT1G/page-1", "DF3A6.8FUT1G")</f>
        <v>DF3A6.8FUT1G</v>
      </c>
      <c r="B25854" s="3" t="str">
        <f>HYPERLINK("https://www.773grp.com/manufacturer/onsemi?pageNo=982", "ON Semiconductor")</f>
        <v>ON Semiconductor</v>
      </c>
      <c r="C25854" s="6">
        <v>266495</v>
      </c>
      <c r="D25854" s="7">
        <v>0.28000000000000003</v>
      </c>
      <c r="E25854" t="s">
        <v>96</v>
      </c>
    </row>
    <row r="25855" spans="1:5" x14ac:dyDescent="0.25">
      <c r="A25855" t="str">
        <f>HYPERLINK("https://www.773grp.com/globalSearch/EMC2DXV5T1G/page-1", "EMC2DXV5T1G")</f>
        <v>EMC2DXV5T1G</v>
      </c>
      <c r="B25855" s="3" t="str">
        <f>HYPERLINK("https://www.773grp.com/manufacturer/onsemi?pageNo=983", "ON Semiconductor")</f>
        <v>ON Semiconductor</v>
      </c>
      <c r="C25855" s="6">
        <v>251079</v>
      </c>
      <c r="D25855" s="7">
        <v>0.28000000000000003</v>
      </c>
      <c r="E25855" t="s">
        <v>69</v>
      </c>
    </row>
    <row r="25856" spans="1:5" x14ac:dyDescent="0.25">
      <c r="A25856" t="str">
        <f>HYPERLINK("https://www.773grp.com/globalSearch/EMC3DXV5T1G/page-1", "EMC3DXV5T1G")</f>
        <v>EMC3DXV5T1G</v>
      </c>
      <c r="B25856" s="3" t="str">
        <f>HYPERLINK("https://www.773grp.com/manufacturer/onsemi?pageNo=984", "ON Semiconductor")</f>
        <v>ON Semiconductor</v>
      </c>
      <c r="C25856" s="6">
        <v>222725</v>
      </c>
      <c r="D25856" s="7">
        <v>0.28000000000000003</v>
      </c>
      <c r="E25856" t="s">
        <v>69</v>
      </c>
    </row>
    <row r="25857" spans="1:5" x14ac:dyDescent="0.25">
      <c r="A25857" t="str">
        <f>HYPERLINK("https://www.773grp.com/globalSearch/EMC5DXV5T1G/page-1", "EMC5DXV5T1G")</f>
        <v>EMC5DXV5T1G</v>
      </c>
      <c r="B25857" s="3" t="str">
        <f>HYPERLINK("https://www.773grp.com/manufacturer/onsemi?pageNo=985", "ON Semiconductor")</f>
        <v>ON Semiconductor</v>
      </c>
      <c r="C25857" s="6">
        <v>8000</v>
      </c>
      <c r="D25857" s="7">
        <v>0.28000000000000003</v>
      </c>
      <c r="E25857" t="s">
        <v>69</v>
      </c>
    </row>
    <row r="25858" spans="1:5" x14ac:dyDescent="0.25">
      <c r="A25858" t="str">
        <f>HYPERLINK("https://www.773grp.com/globalSearch/EMG2DXV5T5G/page-1", "EMG2DXV5T5G")</f>
        <v>EMG2DXV5T5G</v>
      </c>
      <c r="B25858" s="3" t="str">
        <f>HYPERLINK("https://www.773grp.com/manufacturer/onsemi?pageNo=986", "ON Semiconductor")</f>
        <v>ON Semiconductor</v>
      </c>
      <c r="C25858" s="6">
        <v>72000</v>
      </c>
      <c r="D25858" s="7">
        <v>0.28000000000000003</v>
      </c>
      <c r="E25858" t="s">
        <v>69</v>
      </c>
    </row>
    <row r="25859" spans="1:5" x14ac:dyDescent="0.25">
      <c r="A25859" t="str">
        <f>HYPERLINK("https://www.773grp.com/globalSearch/ESD11B5.0ST5G/page-1", "ESD11B5.0ST5G")</f>
        <v>ESD11B5.0ST5G</v>
      </c>
      <c r="B25859" s="3" t="str">
        <f>HYPERLINK("https://www.773grp.com/manufacturer/onsemi?pageNo=987", "ON Semiconductor")</f>
        <v>ON Semiconductor</v>
      </c>
      <c r="C25859" s="6">
        <v>520000</v>
      </c>
      <c r="D25859" s="7">
        <v>0.28000000000000003</v>
      </c>
      <c r="E25859" t="s">
        <v>96</v>
      </c>
    </row>
    <row r="25860" spans="1:5" x14ac:dyDescent="0.25">
      <c r="A25860" t="str">
        <f>HYPERLINK("https://www.773grp.com/globalSearch/ESD5B5.0ST1G/page-1", "ESD5B5.0ST1G")</f>
        <v>ESD5B5.0ST1G</v>
      </c>
      <c r="B25860" s="3" t="str">
        <f>HYPERLINK("https://www.773grp.com/manufacturer/onsemi?pageNo=988", "ON Semiconductor")</f>
        <v>ON Semiconductor</v>
      </c>
      <c r="C25860" s="6">
        <v>315000</v>
      </c>
      <c r="D25860" s="7">
        <v>0.28000000000000003</v>
      </c>
      <c r="E25860" t="s">
        <v>96</v>
      </c>
    </row>
    <row r="25861" spans="1:5" x14ac:dyDescent="0.25">
      <c r="A25861" t="str">
        <f>HYPERLINK("https://www.773grp.com/globalSearch/HN2D02FUTW1T1G/page-1", "HN2D02FUTW1T1G")</f>
        <v>HN2D02FUTW1T1G</v>
      </c>
      <c r="B25861" s="3" t="str">
        <f>HYPERLINK("https://www.773grp.com/manufacturer/onsemi?pageNo=989", "ON Semiconductor")</f>
        <v>ON Semiconductor</v>
      </c>
      <c r="C25861" s="6">
        <v>636000</v>
      </c>
      <c r="D25861" s="7">
        <v>0.28000000000000003</v>
      </c>
      <c r="E25861" t="s">
        <v>94</v>
      </c>
    </row>
    <row r="25862" spans="1:5" x14ac:dyDescent="0.25">
      <c r="A25862" t="str">
        <f>HYPERLINK("https://www.773grp.com/globalSearch/MAC97-008/page-1", "MAC97-008")</f>
        <v>MAC97-008</v>
      </c>
      <c r="B25862" s="3" t="str">
        <f>HYPERLINK("https://www.773grp.com/manufacturer/onsemi?pageNo=990", "ON Semiconductor")</f>
        <v>ON Semiconductor</v>
      </c>
      <c r="C25862" s="6">
        <v>14000</v>
      </c>
      <c r="D25862" s="7">
        <v>0.28000000000000003</v>
      </c>
    </row>
    <row r="25863" spans="1:5" x14ac:dyDescent="0.25">
      <c r="A25863" t="str">
        <f>HYPERLINK("https://www.773grp.com/globalSearch/MBRA210ET3/page-1", "MBRA210ET3")</f>
        <v>MBRA210ET3</v>
      </c>
      <c r="B25863" s="3" t="str">
        <f>HYPERLINK("https://www.773grp.com/manufacturer/onsemi?pageNo=991", "ON Semiconductor")</f>
        <v>ON Semiconductor</v>
      </c>
      <c r="C25863" s="6">
        <v>4780</v>
      </c>
      <c r="D25863" s="7">
        <v>0.28000000000000003</v>
      </c>
      <c r="E25863" t="s">
        <v>103</v>
      </c>
    </row>
    <row r="25864" spans="1:5" x14ac:dyDescent="0.25">
      <c r="A25864" t="str">
        <f>HYPERLINK("https://www.773grp.com/globalSearch/MC74HC1G04DTT1/page-1", "MC74HC1G04DTT1")</f>
        <v>MC74HC1G04DTT1</v>
      </c>
      <c r="B25864" s="3" t="str">
        <f>HYPERLINK("https://www.773grp.com/manufacturer/onsemi?pageNo=992", "ON Semiconductor")</f>
        <v>ON Semiconductor</v>
      </c>
      <c r="C25864" s="6">
        <v>21000</v>
      </c>
      <c r="D25864" s="7">
        <v>0.28000000000000003</v>
      </c>
      <c r="E25864" t="s">
        <v>31</v>
      </c>
    </row>
    <row r="25865" spans="1:5" x14ac:dyDescent="0.25">
      <c r="A25865" t="str">
        <f>HYPERLINK("https://www.773grp.com/globalSearch/MC74VHC1G07DTT/page-1", "MC74VHC1G07DTT")</f>
        <v>MC74VHC1G07DTT</v>
      </c>
      <c r="B25865" s="3" t="str">
        <f>HYPERLINK("https://www.773grp.com/manufacturer/onsemi?pageNo=993", "ON Semiconductor")</f>
        <v>ON Semiconductor</v>
      </c>
      <c r="C25865" s="6">
        <v>6000</v>
      </c>
      <c r="D25865" s="7">
        <v>0.28000000000000003</v>
      </c>
    </row>
    <row r="25866" spans="1:5" x14ac:dyDescent="0.25">
      <c r="A25866" t="str">
        <f>HYPERLINK("https://www.773grp.com/globalSearch/MC74VHC1G09DFT2/page-1", "MC74VHC1G09DFT2")</f>
        <v>MC74VHC1G09DFT2</v>
      </c>
      <c r="B25866" s="3" t="str">
        <f>HYPERLINK("https://www.773grp.com/manufacturer/onsemi?pageNo=994", "ON Semiconductor")</f>
        <v>ON Semiconductor</v>
      </c>
      <c r="C25866" s="6">
        <v>120000</v>
      </c>
      <c r="D25866" s="7">
        <v>0.28000000000000003</v>
      </c>
      <c r="E25866" t="s">
        <v>31</v>
      </c>
    </row>
    <row r="25867" spans="1:5" x14ac:dyDescent="0.25">
      <c r="A25867" t="str">
        <f>HYPERLINK("https://www.773grp.com/globalSearch/MC74VHC1G125DF1G/page-1", "MC74VHC1G125DF1G")</f>
        <v>MC74VHC1G125DF1G</v>
      </c>
      <c r="B25867" s="3" t="str">
        <f>HYPERLINK("https://www.773grp.com/manufacturer/onsemi?pageNo=995", "ON Semiconductor")</f>
        <v>ON Semiconductor</v>
      </c>
      <c r="C25867" s="6">
        <v>115800</v>
      </c>
      <c r="D25867" s="7">
        <v>0.28000000000000003</v>
      </c>
      <c r="E25867" t="s">
        <v>14</v>
      </c>
    </row>
    <row r="25868" spans="1:5" x14ac:dyDescent="0.25">
      <c r="A25868" t="str">
        <f>HYPERLINK("https://www.773grp.com/globalSearch/MC74VHC1G125DF2G/page-1", "MC74VHC1G125DF2G")</f>
        <v>MC74VHC1G125DF2G</v>
      </c>
      <c r="B25868" s="3" t="str">
        <f>HYPERLINK("https://www.773grp.com/manufacturer/onsemi?pageNo=996", "ON Semiconductor")</f>
        <v>ON Semiconductor</v>
      </c>
      <c r="C25868" s="6">
        <v>12000</v>
      </c>
      <c r="D25868" s="7">
        <v>0.28000000000000003</v>
      </c>
      <c r="E25868" t="s">
        <v>14</v>
      </c>
    </row>
    <row r="25869" spans="1:5" x14ac:dyDescent="0.25">
      <c r="A25869" t="str">
        <f>HYPERLINK("https://www.773grp.com/globalSearch/MC74VHC1G125DFT1/page-1", "MC74VHC1G125DFT1")</f>
        <v>MC74VHC1G125DFT1</v>
      </c>
      <c r="B25869" s="3" t="str">
        <f>HYPERLINK("https://www.773grp.com/manufacturer/onsemi?pageNo=997", "ON Semiconductor")</f>
        <v>ON Semiconductor</v>
      </c>
      <c r="C25869" s="6">
        <v>158000</v>
      </c>
      <c r="D25869" s="7">
        <v>0.28000000000000003</v>
      </c>
      <c r="E25869" t="s">
        <v>14</v>
      </c>
    </row>
    <row r="25870" spans="1:5" x14ac:dyDescent="0.25">
      <c r="A25870" t="str">
        <f>HYPERLINK("https://www.773grp.com/globalSearch/MC74VHC1G125DFT2/page-1", "MC74VHC1G125DFT2")</f>
        <v>MC74VHC1G125DFT2</v>
      </c>
      <c r="B25870" s="3" t="str">
        <f>HYPERLINK("https://www.773grp.com/manufacturer/onsemi?pageNo=998", "ON Semiconductor")</f>
        <v>ON Semiconductor</v>
      </c>
      <c r="C25870" s="6">
        <v>9000</v>
      </c>
      <c r="D25870" s="7">
        <v>0.28000000000000003</v>
      </c>
      <c r="E25870" t="s">
        <v>14</v>
      </c>
    </row>
    <row r="25871" spans="1:5" x14ac:dyDescent="0.25">
      <c r="A25871" t="str">
        <f>HYPERLINK("https://www.773grp.com/globalSearch/MC74VHC1G125DT1G/page-1", "MC74VHC1G125DT1G")</f>
        <v>MC74VHC1G125DT1G</v>
      </c>
      <c r="B25871" s="3" t="str">
        <f>HYPERLINK("https://www.773grp.com/manufacturer/onsemi?pageNo=999", "ON Semiconductor")</f>
        <v>ON Semiconductor</v>
      </c>
      <c r="C25871" s="6">
        <v>165000</v>
      </c>
      <c r="D25871" s="7">
        <v>0.28000000000000003</v>
      </c>
      <c r="E25871" t="s">
        <v>14</v>
      </c>
    </row>
    <row r="25872" spans="1:5" x14ac:dyDescent="0.25">
      <c r="A25872" t="str">
        <f>HYPERLINK("https://www.773grp.com/globalSearch/MC74VHC1G125DTT1/page-1", "MC74VHC1G125DTT1")</f>
        <v>MC74VHC1G125DTT1</v>
      </c>
      <c r="B25872" s="3" t="str">
        <f>HYPERLINK("https://www.773grp.com/manufacturer/onsemi?pageNo=1000", "ON Semiconductor")</f>
        <v>ON Semiconductor</v>
      </c>
      <c r="C25872" s="6">
        <v>98275</v>
      </c>
      <c r="D25872" s="7">
        <v>0.28000000000000003</v>
      </c>
      <c r="E25872" t="s">
        <v>14</v>
      </c>
    </row>
    <row r="25873" spans="1:5" x14ac:dyDescent="0.25">
      <c r="A25873" t="str">
        <f>HYPERLINK("https://www.773grp.com/globalSearch/MC74VHC1G126DFT1/page-1", "MC74VHC1G126DFT1")</f>
        <v>MC74VHC1G126DFT1</v>
      </c>
      <c r="B25873" s="3" t="str">
        <f>HYPERLINK("https://www.773grp.com/manufacturer/onsemi?pageNo=1001", "ON Semiconductor")</f>
        <v>ON Semiconductor</v>
      </c>
      <c r="C25873" s="6">
        <v>55000</v>
      </c>
      <c r="D25873" s="7">
        <v>0.28000000000000003</v>
      </c>
      <c r="E25873" t="s">
        <v>14</v>
      </c>
    </row>
    <row r="25874" spans="1:5" x14ac:dyDescent="0.25">
      <c r="A25874" t="str">
        <f>HYPERLINK("https://www.773grp.com/globalSearch/MC74VHC1G126DFT2/page-1", "MC74VHC1G126DFT2")</f>
        <v>MC74VHC1G126DFT2</v>
      </c>
      <c r="B25874" s="3" t="str">
        <f>HYPERLINK("https://www.773grp.com/manufacturer/onsemi?pageNo=1002", "ON Semiconductor")</f>
        <v>ON Semiconductor</v>
      </c>
      <c r="C25874" s="6">
        <v>9000</v>
      </c>
      <c r="D25874" s="7">
        <v>0.28000000000000003</v>
      </c>
      <c r="E25874" t="s">
        <v>14</v>
      </c>
    </row>
    <row r="25875" spans="1:5" x14ac:dyDescent="0.25">
      <c r="A25875" t="str">
        <f>HYPERLINK("https://www.773grp.com/globalSearch/MC74VHC1G126DTT1/page-1", "MC74VHC1G126DTT1")</f>
        <v>MC74VHC1G126DTT1</v>
      </c>
      <c r="B25875" s="3" t="str">
        <f>HYPERLINK("https://www.773grp.com/manufacturer/onsemi?pageNo=1003", "ON Semiconductor")</f>
        <v>ON Semiconductor</v>
      </c>
      <c r="C25875" s="6">
        <v>92665</v>
      </c>
      <c r="D25875" s="7">
        <v>0.28000000000000003</v>
      </c>
      <c r="E25875" t="s">
        <v>14</v>
      </c>
    </row>
    <row r="25876" spans="1:5" x14ac:dyDescent="0.25">
      <c r="A25876" t="str">
        <f>HYPERLINK("https://www.773grp.com/globalSearch/MC74VHC1G132DF1G/page-1", "MC74VHC1G132DF1G")</f>
        <v>MC74VHC1G132DF1G</v>
      </c>
      <c r="B25876" s="3" t="str">
        <f>HYPERLINK("https://www.773grp.com/manufacturer/onsemi?pageNo=1004", "ON Semiconductor")</f>
        <v>ON Semiconductor</v>
      </c>
      <c r="C25876" s="6">
        <v>20990</v>
      </c>
      <c r="D25876" s="7">
        <v>0.28000000000000003</v>
      </c>
      <c r="E25876" t="s">
        <v>31</v>
      </c>
    </row>
    <row r="25877" spans="1:5" x14ac:dyDescent="0.25">
      <c r="A25877" t="str">
        <f>HYPERLINK("https://www.773grp.com/globalSearch/MC74VHC1G135DF1G/page-1", "MC74VHC1G135DF1G")</f>
        <v>MC74VHC1G135DF1G</v>
      </c>
      <c r="B25877" s="3" t="str">
        <f>HYPERLINK("https://www.773grp.com/manufacturer/onsemi?pageNo=1005", "ON Semiconductor")</f>
        <v>ON Semiconductor</v>
      </c>
      <c r="C25877" s="6">
        <v>2935</v>
      </c>
      <c r="D25877" s="7">
        <v>0.28000000000000003</v>
      </c>
    </row>
    <row r="25878" spans="1:5" x14ac:dyDescent="0.25">
      <c r="A25878" t="str">
        <f>HYPERLINK("https://www.773grp.com/globalSearch/MC74VHC1G66DFT2/page-1", "MC74VHC1G66DFT2")</f>
        <v>MC74VHC1G66DFT2</v>
      </c>
      <c r="B25878" s="3" t="str">
        <f>HYPERLINK("https://www.773grp.com/manufacturer/onsemi?pageNo=1006", "ON Semiconductor")</f>
        <v>ON Semiconductor</v>
      </c>
      <c r="C25878" s="6">
        <v>18000</v>
      </c>
      <c r="D25878" s="7">
        <v>0.28000000000000003</v>
      </c>
      <c r="E25878" t="s">
        <v>56</v>
      </c>
    </row>
    <row r="25879" spans="1:5" x14ac:dyDescent="0.25">
      <c r="A25879" t="str">
        <f>HYPERLINK("https://www.773grp.com/globalSearch/MC74VHC1G86DFT2/page-1", "MC74VHC1G86DFT2")</f>
        <v>MC74VHC1G86DFT2</v>
      </c>
      <c r="B25879" s="3" t="str">
        <f>HYPERLINK("https://www.773grp.com/manufacturer/onsemi?pageNo=1007", "ON Semiconductor")</f>
        <v>ON Semiconductor</v>
      </c>
      <c r="C25879" s="6">
        <v>15000</v>
      </c>
      <c r="D25879" s="7">
        <v>0.28000000000000003</v>
      </c>
      <c r="E25879" t="s">
        <v>31</v>
      </c>
    </row>
    <row r="25880" spans="1:5" x14ac:dyDescent="0.25">
      <c r="A25880" t="str">
        <f>HYPERLINK("https://www.773grp.com/globalSearch/MC74VHC1GT00DF2G/page-1", "MC74VHC1GT00DF2G")</f>
        <v>MC74VHC1GT00DF2G</v>
      </c>
      <c r="B25880" s="3" t="str">
        <f>HYPERLINK("https://www.773grp.com/manufacturer/onsemi?pageNo=1008", "ON Semiconductor")</f>
        <v>ON Semiconductor</v>
      </c>
      <c r="C25880" s="6">
        <v>126000</v>
      </c>
      <c r="D25880" s="7">
        <v>0.28000000000000003</v>
      </c>
    </row>
    <row r="25881" spans="1:5" x14ac:dyDescent="0.25">
      <c r="A25881" t="str">
        <f>HYPERLINK("https://www.773grp.com/globalSearch/MC74VHC1GT02DT1G/page-1", "MC74VHC1GT02DT1G")</f>
        <v>MC74VHC1GT02DT1G</v>
      </c>
      <c r="B25881" s="3" t="str">
        <f>HYPERLINK("https://www.773grp.com/manufacturer/onsemi?pageNo=1009", "ON Semiconductor")</f>
        <v>ON Semiconductor</v>
      </c>
      <c r="C25881" s="6">
        <v>9000</v>
      </c>
      <c r="D25881" s="7">
        <v>0.28000000000000003</v>
      </c>
    </row>
    <row r="25882" spans="1:5" x14ac:dyDescent="0.25">
      <c r="A25882" t="str">
        <f>HYPERLINK("https://www.773grp.com/globalSearch/MC74VHC1GT04DF2G/page-1", "MC74VHC1GT04DF2G")</f>
        <v>MC74VHC1GT04DF2G</v>
      </c>
      <c r="B25882" s="3" t="str">
        <f>HYPERLINK("https://www.773grp.com/manufacturer/onsemi?pageNo=1010", "ON Semiconductor")</f>
        <v>ON Semiconductor</v>
      </c>
      <c r="C25882" s="6">
        <v>24990</v>
      </c>
      <c r="D25882" s="7">
        <v>0.28000000000000003</v>
      </c>
      <c r="E25882" t="s">
        <v>31</v>
      </c>
    </row>
    <row r="25883" spans="1:5" x14ac:dyDescent="0.25">
      <c r="A25883" t="str">
        <f>HYPERLINK("https://www.773grp.com/globalSearch/MC74VHC1GT04DT1G/page-1", "MC74VHC1GT04DT1G")</f>
        <v>MC74VHC1GT04DT1G</v>
      </c>
      <c r="B25883" s="3" t="str">
        <f>HYPERLINK("https://www.773grp.com/manufacturer/onsemi?pageNo=1011", "ON Semiconductor")</f>
        <v>ON Semiconductor</v>
      </c>
      <c r="C25883" s="6">
        <v>39000</v>
      </c>
      <c r="D25883" s="7">
        <v>0.28000000000000003</v>
      </c>
      <c r="E25883" t="s">
        <v>31</v>
      </c>
    </row>
    <row r="25884" spans="1:5" x14ac:dyDescent="0.25">
      <c r="A25884" t="str">
        <f>HYPERLINK("https://www.773grp.com/globalSearch/MC74VHC1GT08DF2G/page-1", "MC74VHC1GT08DF2G")</f>
        <v>MC74VHC1GT08DF2G</v>
      </c>
      <c r="B25884" s="3" t="str">
        <f>HYPERLINK("https://www.773grp.com/manufacturer/onsemi?pageNo=1012", "ON Semiconductor")</f>
        <v>ON Semiconductor</v>
      </c>
      <c r="C25884" s="6">
        <v>24000</v>
      </c>
      <c r="D25884" s="7">
        <v>0.28000000000000003</v>
      </c>
      <c r="E25884" t="s">
        <v>31</v>
      </c>
    </row>
    <row r="25885" spans="1:5" x14ac:dyDescent="0.25">
      <c r="A25885" t="str">
        <f>HYPERLINK("https://www.773grp.com/globalSearch/MC74VHC1GT08DT1G/page-1", "MC74VHC1GT08DT1G")</f>
        <v>MC74VHC1GT08DT1G</v>
      </c>
      <c r="B25885" s="3" t="str">
        <f>HYPERLINK("https://www.773grp.com/manufacturer/onsemi?pageNo=1013", "ON Semiconductor")</f>
        <v>ON Semiconductor</v>
      </c>
      <c r="C25885" s="6">
        <v>21000</v>
      </c>
      <c r="D25885" s="7">
        <v>0.28000000000000003</v>
      </c>
      <c r="E25885" t="s">
        <v>31</v>
      </c>
    </row>
    <row r="25886" spans="1:5" x14ac:dyDescent="0.25">
      <c r="A25886" t="str">
        <f>HYPERLINK("https://www.773grp.com/globalSearch/MC74VHC1GT125D1G/page-1", "MC74VHC1GT125D1G")</f>
        <v>MC74VHC1GT125D1G</v>
      </c>
      <c r="B25886" s="3" t="str">
        <f>HYPERLINK("https://www.773grp.com/manufacturer/onsemi?pageNo=1014", "ON Semiconductor")</f>
        <v>ON Semiconductor</v>
      </c>
      <c r="C25886" s="6">
        <v>15000</v>
      </c>
      <c r="D25886" s="7">
        <v>0.28000000000000003</v>
      </c>
      <c r="E25886" t="s">
        <v>14</v>
      </c>
    </row>
    <row r="25887" spans="1:5" x14ac:dyDescent="0.25">
      <c r="A25887" t="str">
        <f>HYPERLINK("https://www.773grp.com/globalSearch/MC74VHC1GT125DF1/page-1", "MC74VHC1GT125DF1")</f>
        <v>MC74VHC1GT125DF1</v>
      </c>
      <c r="B25887" s="3" t="str">
        <f>HYPERLINK("https://www.773grp.com/manufacturer/onsemi?pageNo=1015", "ON Semiconductor")</f>
        <v>ON Semiconductor</v>
      </c>
      <c r="C25887" s="6">
        <v>72000</v>
      </c>
      <c r="D25887" s="7">
        <v>0.28000000000000003</v>
      </c>
      <c r="E25887" t="s">
        <v>14</v>
      </c>
    </row>
    <row r="25888" spans="1:5" x14ac:dyDescent="0.25">
      <c r="A25888" t="str">
        <f>HYPERLINK("https://www.773grp.com/globalSearch/MC74VHC1GT126DF1/page-1", "MC74VHC1GT126DF1")</f>
        <v>MC74VHC1GT126DF1</v>
      </c>
      <c r="B25888" s="3" t="str">
        <f>HYPERLINK("https://www.773grp.com/manufacturer/onsemi?pageNo=1016", "ON Semiconductor")</f>
        <v>ON Semiconductor</v>
      </c>
      <c r="C25888" s="6">
        <v>132000</v>
      </c>
      <c r="D25888" s="7">
        <v>0.28000000000000003</v>
      </c>
      <c r="E25888" t="s">
        <v>14</v>
      </c>
    </row>
    <row r="25889" spans="1:5" x14ac:dyDescent="0.25">
      <c r="A25889" t="str">
        <f>HYPERLINK("https://www.773grp.com/globalSearch/MC74VHC1GT126DF2/page-1", "MC74VHC1GT126DF2")</f>
        <v>MC74VHC1GT126DF2</v>
      </c>
      <c r="B25889" s="3" t="str">
        <f>HYPERLINK("https://www.773grp.com/manufacturer/onsemi?pageNo=1017", "ON Semiconductor")</f>
        <v>ON Semiconductor</v>
      </c>
      <c r="C25889" s="6">
        <v>47000</v>
      </c>
      <c r="D25889" s="7">
        <v>0.28000000000000003</v>
      </c>
      <c r="E25889" t="s">
        <v>14</v>
      </c>
    </row>
    <row r="25890" spans="1:5" x14ac:dyDescent="0.25">
      <c r="A25890" t="str">
        <f>HYPERLINK("https://www.773grp.com/globalSearch/MC74VHC1GT126DT1/page-1", "MC74VHC1GT126DT1")</f>
        <v>MC74VHC1GT126DT1</v>
      </c>
      <c r="B25890" s="3" t="str">
        <f>HYPERLINK("https://www.773grp.com/manufacturer/onsemi?pageNo=1018", "ON Semiconductor")</f>
        <v>ON Semiconductor</v>
      </c>
      <c r="C25890" s="6">
        <v>43000</v>
      </c>
      <c r="D25890" s="7">
        <v>0.28000000000000003</v>
      </c>
      <c r="E25890" t="s">
        <v>14</v>
      </c>
    </row>
    <row r="25891" spans="1:5" x14ac:dyDescent="0.25">
      <c r="A25891" t="str">
        <f>HYPERLINK("https://www.773grp.com/globalSearch/MC74VHC1GT32DF2G/page-1", "MC74VHC1GT32DF2G")</f>
        <v>MC74VHC1GT32DF2G</v>
      </c>
      <c r="B25891" s="3" t="str">
        <f>HYPERLINK("https://www.773grp.com/manufacturer/onsemi?pageNo=1019", "ON Semiconductor")</f>
        <v>ON Semiconductor</v>
      </c>
      <c r="C25891" s="6">
        <v>30000</v>
      </c>
      <c r="D25891" s="7">
        <v>0.28000000000000003</v>
      </c>
      <c r="E25891" t="s">
        <v>31</v>
      </c>
    </row>
    <row r="25892" spans="1:5" x14ac:dyDescent="0.25">
      <c r="A25892" t="str">
        <f>HYPERLINK("https://www.773grp.com/globalSearch/MC74VHC1GT32DFT2/page-1", "MC74VHC1GT32DFT2")</f>
        <v>MC74VHC1GT32DFT2</v>
      </c>
      <c r="B25892" s="3" t="str">
        <f>HYPERLINK("https://www.773grp.com/manufacturer/onsemi?pageNo=1020", "ON Semiconductor")</f>
        <v>ON Semiconductor</v>
      </c>
      <c r="C25892" s="6">
        <v>54000</v>
      </c>
      <c r="D25892" s="7">
        <v>0.28000000000000003</v>
      </c>
      <c r="E25892" t="s">
        <v>31</v>
      </c>
    </row>
    <row r="25893" spans="1:5" x14ac:dyDescent="0.25">
      <c r="A25893" t="str">
        <f>HYPERLINK("https://www.773grp.com/globalSearch/MC74VHC1GT32DTTG/page-1", "MC74VHC1GT32DTTG")</f>
        <v>MC74VHC1GT32DTTG</v>
      </c>
      <c r="B25893" s="3" t="str">
        <f>HYPERLINK("https://www.773grp.com/manufacturer/onsemi?pageNo=1021", "ON Semiconductor")</f>
        <v>ON Semiconductor</v>
      </c>
      <c r="C25893" s="6">
        <v>28000</v>
      </c>
      <c r="D25893" s="7">
        <v>0.28000000000000003</v>
      </c>
      <c r="E25893" t="s">
        <v>31</v>
      </c>
    </row>
    <row r="25894" spans="1:5" x14ac:dyDescent="0.25">
      <c r="A25894" t="str">
        <f>HYPERLINK("https://www.773grp.com/globalSearch/MC74VHC1GT50DF1G/page-1", "MC74VHC1GT50DF1G")</f>
        <v>MC74VHC1GT50DF1G</v>
      </c>
      <c r="B25894" s="3" t="str">
        <f>HYPERLINK("https://www.773grp.com/manufacturer/onsemi?pageNo=1022", "ON Semiconductor")</f>
        <v>ON Semiconductor</v>
      </c>
      <c r="C25894" s="6">
        <v>6000</v>
      </c>
      <c r="D25894" s="7">
        <v>0.28000000000000003</v>
      </c>
    </row>
    <row r="25895" spans="1:5" x14ac:dyDescent="0.25">
      <c r="A25895" t="str">
        <f>HYPERLINK("https://www.773grp.com/globalSearch/MC74VHC1GT50DF2G/page-1", "MC74VHC1GT50DF2G")</f>
        <v>MC74VHC1GT50DF2G</v>
      </c>
      <c r="B25895" s="3" t="str">
        <f>HYPERLINK("https://www.773grp.com/manufacturer/onsemi?pageNo=1023", "ON Semiconductor")</f>
        <v>ON Semiconductor</v>
      </c>
      <c r="C25895" s="6">
        <v>5695</v>
      </c>
      <c r="D25895" s="7">
        <v>0.28000000000000003</v>
      </c>
    </row>
    <row r="25896" spans="1:5" x14ac:dyDescent="0.25">
      <c r="A25896" t="str">
        <f>HYPERLINK("https://www.773grp.com/globalSearch/MC74VHC1GT50DT1G/page-1", "MC74VHC1GT50DT1G")</f>
        <v>MC74VHC1GT50DT1G</v>
      </c>
      <c r="B25896" s="3" t="str">
        <f>HYPERLINK("https://www.773grp.com/manufacturer/onsemi?pageNo=1024", "ON Semiconductor")</f>
        <v>ON Semiconductor</v>
      </c>
      <c r="C25896" s="6">
        <v>20614</v>
      </c>
      <c r="D25896" s="7">
        <v>0.28000000000000003</v>
      </c>
    </row>
    <row r="25897" spans="1:5" x14ac:dyDescent="0.25">
      <c r="A25897" t="str">
        <f>HYPERLINK("https://www.773grp.com/globalSearch/MC74VHC1GT66DF1G/page-1", "MC74VHC1GT66DF1G")</f>
        <v>MC74VHC1GT66DF1G</v>
      </c>
      <c r="B25897" s="3" t="str">
        <f>HYPERLINK("https://www.773grp.com/manufacturer/onsemi?pageNo=1025", "ON Semiconductor")</f>
        <v>ON Semiconductor</v>
      </c>
      <c r="C25897" s="6">
        <v>63000</v>
      </c>
      <c r="D25897" s="7">
        <v>0.28000000000000003</v>
      </c>
    </row>
    <row r="25898" spans="1:5" x14ac:dyDescent="0.25">
      <c r="A25898" t="str">
        <f>HYPERLINK("https://www.773grp.com/globalSearch/MC74VHC1GT66DT1G/page-1", "MC74VHC1GT66DT1G")</f>
        <v>MC74VHC1GT66DT1G</v>
      </c>
      <c r="B25898" s="3" t="str">
        <f>HYPERLINK("https://www.773grp.com/manufacturer/onsemi?pageNo=1026", "ON Semiconductor")</f>
        <v>ON Semiconductor</v>
      </c>
      <c r="C25898" s="6">
        <v>9000</v>
      </c>
      <c r="D25898" s="7">
        <v>0.28000000000000003</v>
      </c>
    </row>
    <row r="25899" spans="1:5" x14ac:dyDescent="0.25">
      <c r="A25899" t="str">
        <f>HYPERLINK("https://www.773grp.com/globalSearch/MC74VHC1GT86DF1G/page-1", "MC74VHC1GT86DF1G")</f>
        <v>MC74VHC1GT86DF1G</v>
      </c>
      <c r="B25899" s="3" t="str">
        <f>HYPERLINK("https://www.773grp.com/manufacturer/onsemi?pageNo=1027", "ON Semiconductor")</f>
        <v>ON Semiconductor</v>
      </c>
      <c r="C25899" s="6">
        <v>21000</v>
      </c>
      <c r="D25899" s="7">
        <v>0.28000000000000003</v>
      </c>
      <c r="E25899" t="s">
        <v>31</v>
      </c>
    </row>
    <row r="25900" spans="1:5" x14ac:dyDescent="0.25">
      <c r="A25900" t="str">
        <f>HYPERLINK("https://www.773grp.com/globalSearch/MC74VHC1GT86DFT1/page-1", "MC74VHC1GT86DFT1")</f>
        <v>MC74VHC1GT86DFT1</v>
      </c>
      <c r="B25900" s="3" t="str">
        <f>HYPERLINK("https://www.773grp.com/manufacturer/onsemi?pageNo=1028", "ON Semiconductor")</f>
        <v>ON Semiconductor</v>
      </c>
      <c r="C25900" s="6">
        <v>96000</v>
      </c>
      <c r="D25900" s="7">
        <v>0.28000000000000003</v>
      </c>
      <c r="E25900" t="s">
        <v>31</v>
      </c>
    </row>
    <row r="25901" spans="1:5" x14ac:dyDescent="0.25">
      <c r="A25901" t="str">
        <f>HYPERLINK("https://www.773grp.com/globalSearch/MC74VHC1GU04DF2G/page-1", "MC74VHC1GU04DF2G")</f>
        <v>MC74VHC1GU04DF2G</v>
      </c>
      <c r="B25901" s="3" t="str">
        <f>HYPERLINK("https://www.773grp.com/manufacturer/onsemi?pageNo=1029", "ON Semiconductor")</f>
        <v>ON Semiconductor</v>
      </c>
      <c r="C25901" s="6">
        <v>6600</v>
      </c>
      <c r="D25901" s="7">
        <v>0.28000000000000003</v>
      </c>
    </row>
    <row r="25902" spans="1:5" x14ac:dyDescent="0.25">
      <c r="A25902" t="str">
        <f>HYPERLINK("https://www.773grp.com/globalSearch/MM5Z10VT1G/page-1", "MM5Z10VT1G")</f>
        <v>MM5Z10VT1G</v>
      </c>
      <c r="B25902" s="3" t="str">
        <f>HYPERLINK("https://www.773grp.com/manufacturer/onsemi?pageNo=1030", "ON Semiconductor")</f>
        <v>ON Semiconductor</v>
      </c>
      <c r="C25902" s="6">
        <v>53670</v>
      </c>
      <c r="D25902" s="7">
        <v>0.28000000000000003</v>
      </c>
      <c r="E25902" t="s">
        <v>98</v>
      </c>
    </row>
    <row r="25903" spans="1:5" x14ac:dyDescent="0.25">
      <c r="A25903" t="str">
        <f>HYPERLINK("https://www.773grp.com/globalSearch/MM5Z12VT1G/page-1", "MM5Z12VT1G")</f>
        <v>MM5Z12VT1G</v>
      </c>
      <c r="B25903" s="3" t="str">
        <f>HYPERLINK("https://www.773grp.com/manufacturer/onsemi?pageNo=1031", "ON Semiconductor")</f>
        <v>ON Semiconductor</v>
      </c>
      <c r="C25903" s="6">
        <v>804000</v>
      </c>
      <c r="D25903" s="7">
        <v>0.28000000000000003</v>
      </c>
      <c r="E25903" t="s">
        <v>98</v>
      </c>
    </row>
    <row r="25904" spans="1:5" x14ac:dyDescent="0.25">
      <c r="A25904" t="str">
        <f>HYPERLINK("https://www.773grp.com/globalSearch/MM5Z15VT1G/page-1", "MM5Z15VT1G")</f>
        <v>MM5Z15VT1G</v>
      </c>
      <c r="B25904" s="3" t="str">
        <f>HYPERLINK("https://www.773grp.com/manufacturer/onsemi?pageNo=1032", "ON Semiconductor")</f>
        <v>ON Semiconductor</v>
      </c>
      <c r="C25904" s="6">
        <v>90763</v>
      </c>
      <c r="D25904" s="7">
        <v>0.28000000000000003</v>
      </c>
      <c r="E25904" t="s">
        <v>98</v>
      </c>
    </row>
    <row r="25905" spans="1:5" x14ac:dyDescent="0.25">
      <c r="A25905" t="str">
        <f>HYPERLINK("https://www.773grp.com/globalSearch/MM5Z16VT1G/page-1", "MM5Z16VT1G")</f>
        <v>MM5Z16VT1G</v>
      </c>
      <c r="B25905" s="3" t="str">
        <f>HYPERLINK("https://www.773grp.com/manufacturer/onsemi?pageNo=1033", "ON Semiconductor")</f>
        <v>ON Semiconductor</v>
      </c>
      <c r="C25905" s="6">
        <v>174000</v>
      </c>
      <c r="D25905" s="7">
        <v>0.28000000000000003</v>
      </c>
      <c r="E25905" t="s">
        <v>98</v>
      </c>
    </row>
    <row r="25906" spans="1:5" x14ac:dyDescent="0.25">
      <c r="A25906" t="str">
        <f>HYPERLINK("https://www.773grp.com/globalSearch/MM5Z18VT1G/page-1", "MM5Z18VT1G")</f>
        <v>MM5Z18VT1G</v>
      </c>
      <c r="B25906" s="3" t="str">
        <f>HYPERLINK("https://www.773grp.com/manufacturer/onsemi?pageNo=1034", "ON Semiconductor")</f>
        <v>ON Semiconductor</v>
      </c>
      <c r="C25906" s="6">
        <v>95347</v>
      </c>
      <c r="D25906" s="7">
        <v>0.28000000000000003</v>
      </c>
      <c r="E25906" t="s">
        <v>98</v>
      </c>
    </row>
    <row r="25907" spans="1:5" x14ac:dyDescent="0.25">
      <c r="A25907" t="str">
        <f>HYPERLINK("https://www.773grp.com/globalSearch/MM5Z20VT1G/page-1", "MM5Z20VT1G")</f>
        <v>MM5Z20VT1G</v>
      </c>
      <c r="B25907" s="3" t="str">
        <f>HYPERLINK("https://www.773grp.com/manufacturer/onsemi?pageNo=1035", "ON Semiconductor")</f>
        <v>ON Semiconductor</v>
      </c>
      <c r="C25907" s="6">
        <v>241720</v>
      </c>
      <c r="D25907" s="7">
        <v>0.28000000000000003</v>
      </c>
      <c r="E25907" t="s">
        <v>98</v>
      </c>
    </row>
    <row r="25908" spans="1:5" x14ac:dyDescent="0.25">
      <c r="A25908" t="str">
        <f>HYPERLINK("https://www.773grp.com/globalSearch/MM5Z24VT1G/page-1", "MM5Z24VT1G")</f>
        <v>MM5Z24VT1G</v>
      </c>
      <c r="B25908" s="3" t="str">
        <f>HYPERLINK("https://www.773grp.com/manufacturer/onsemi?pageNo=1036", "ON Semiconductor")</f>
        <v>ON Semiconductor</v>
      </c>
      <c r="C25908" s="6">
        <v>167930</v>
      </c>
      <c r="D25908" s="7">
        <v>0.28000000000000003</v>
      </c>
      <c r="E25908" t="s">
        <v>98</v>
      </c>
    </row>
    <row r="25909" spans="1:5" x14ac:dyDescent="0.25">
      <c r="A25909" t="str">
        <f>HYPERLINK("https://www.773grp.com/globalSearch/MM5Z27VT1G/page-1", "MM5Z27VT1G")</f>
        <v>MM5Z27VT1G</v>
      </c>
      <c r="B25909" s="3" t="str">
        <f>HYPERLINK("https://www.773grp.com/manufacturer/onsemi?pageNo=1037", "ON Semiconductor")</f>
        <v>ON Semiconductor</v>
      </c>
      <c r="C25909" s="6">
        <v>40780</v>
      </c>
      <c r="D25909" s="7">
        <v>0.28000000000000003</v>
      </c>
      <c r="E25909" t="s">
        <v>98</v>
      </c>
    </row>
    <row r="25910" spans="1:5" x14ac:dyDescent="0.25">
      <c r="A25910" t="str">
        <f>HYPERLINK("https://www.773grp.com/globalSearch/MM5Z2V4ST1G/page-1", "MM5Z2V4ST1G")</f>
        <v>MM5Z2V4ST1G</v>
      </c>
      <c r="B25910" s="3" t="str">
        <f>HYPERLINK("https://www.773grp.com/manufacturer/onsemi?pageNo=1038", "ON Semiconductor")</f>
        <v>ON Semiconductor</v>
      </c>
      <c r="C25910" s="6">
        <v>375656</v>
      </c>
      <c r="D25910" s="7">
        <v>0.28000000000000003</v>
      </c>
      <c r="E25910" t="s">
        <v>98</v>
      </c>
    </row>
    <row r="25911" spans="1:5" x14ac:dyDescent="0.25">
      <c r="A25911" t="str">
        <f>HYPERLINK("https://www.773grp.com/globalSearch/MM5Z2V4T1G/page-1", "MM5Z2V4T1G")</f>
        <v>MM5Z2V4T1G</v>
      </c>
      <c r="B25911" s="3" t="str">
        <f>HYPERLINK("https://www.773grp.com/manufacturer/onsemi?pageNo=1039", "ON Semiconductor")</f>
        <v>ON Semiconductor</v>
      </c>
      <c r="C25911" s="6">
        <v>3313404</v>
      </c>
      <c r="D25911" s="7">
        <v>0.28000000000000003</v>
      </c>
      <c r="E25911" t="s">
        <v>98</v>
      </c>
    </row>
    <row r="25912" spans="1:5" x14ac:dyDescent="0.25">
      <c r="A25912" t="str">
        <f>HYPERLINK("https://www.773grp.com/globalSearch/MM5Z2V7T1G/page-1", "MM5Z2V7T1G")</f>
        <v>MM5Z2V7T1G</v>
      </c>
      <c r="B25912" s="3" t="str">
        <f>HYPERLINK("https://www.773grp.com/manufacturer/onsemi?pageNo=1040", "ON Semiconductor")</f>
        <v>ON Semiconductor</v>
      </c>
      <c r="C25912" s="6">
        <v>2950</v>
      </c>
      <c r="D25912" s="7">
        <v>0.28000000000000003</v>
      </c>
      <c r="E25912" t="s">
        <v>98</v>
      </c>
    </row>
    <row r="25913" spans="1:5" x14ac:dyDescent="0.25">
      <c r="A25913" t="str">
        <f>HYPERLINK("https://www.773grp.com/globalSearch/MM5Z2V7T1G/page-1", "MM5Z2V7T1G")</f>
        <v>MM5Z2V7T1G</v>
      </c>
      <c r="B25913" s="3" t="str">
        <f>HYPERLINK("https://www.773grp.com/manufacturer/onsemi?pageNo=1041", "ON Semiconductor")</f>
        <v>ON Semiconductor</v>
      </c>
      <c r="C25913" s="6">
        <v>174000</v>
      </c>
      <c r="D25913" s="7">
        <v>0.28000000000000003</v>
      </c>
      <c r="E25913" t="s">
        <v>98</v>
      </c>
    </row>
    <row r="25914" spans="1:5" x14ac:dyDescent="0.25">
      <c r="A25914" t="str">
        <f>HYPERLINK("https://www.773grp.com/globalSearch/MM5Z33VT1G/page-1", "MM5Z33VT1G")</f>
        <v>MM5Z33VT1G</v>
      </c>
      <c r="B25914" s="3" t="str">
        <f>HYPERLINK("https://www.773grp.com/manufacturer/onsemi?pageNo=1042", "ON Semiconductor")</f>
        <v>ON Semiconductor</v>
      </c>
      <c r="C25914" s="6">
        <v>25998</v>
      </c>
      <c r="D25914" s="7">
        <v>0.28000000000000003</v>
      </c>
      <c r="E25914" t="s">
        <v>98</v>
      </c>
    </row>
    <row r="25915" spans="1:5" x14ac:dyDescent="0.25">
      <c r="A25915" t="str">
        <f>HYPERLINK("https://www.773grp.com/globalSearch/MM5Z36VT1G/page-1", "MM5Z36VT1G")</f>
        <v>MM5Z36VT1G</v>
      </c>
      <c r="B25915" s="3" t="str">
        <f>HYPERLINK("https://www.773grp.com/manufacturer/onsemi?pageNo=1043", "ON Semiconductor")</f>
        <v>ON Semiconductor</v>
      </c>
      <c r="C25915" s="6">
        <v>12619</v>
      </c>
      <c r="D25915" s="7">
        <v>0.28000000000000003</v>
      </c>
      <c r="E25915" t="s">
        <v>98</v>
      </c>
    </row>
    <row r="25916" spans="1:5" x14ac:dyDescent="0.25">
      <c r="A25916" t="str">
        <f>HYPERLINK("https://www.773grp.com/globalSearch/MM5Z3V0T1G/page-1", "MM5Z3V0T1G")</f>
        <v>MM5Z3V0T1G</v>
      </c>
      <c r="B25916" s="3" t="str">
        <f>HYPERLINK("https://www.773grp.com/manufacturer/onsemi?pageNo=1044", "ON Semiconductor")</f>
        <v>ON Semiconductor</v>
      </c>
      <c r="C25916" s="6">
        <v>906297</v>
      </c>
      <c r="D25916" s="7">
        <v>0.28000000000000003</v>
      </c>
      <c r="E25916" t="s">
        <v>98</v>
      </c>
    </row>
    <row r="25917" spans="1:5" x14ac:dyDescent="0.25">
      <c r="A25917" t="str">
        <f>HYPERLINK("https://www.773grp.com/globalSearch/MM5Z3V3T1G/page-1", "MM5Z3V3T1G")</f>
        <v>MM5Z3V3T1G</v>
      </c>
      <c r="B25917" s="3" t="str">
        <f>HYPERLINK("https://www.773grp.com/manufacturer/onsemi?pageNo=1045", "ON Semiconductor")</f>
        <v>ON Semiconductor</v>
      </c>
      <c r="C25917" s="6">
        <v>173280</v>
      </c>
      <c r="D25917" s="7">
        <v>0.28000000000000003</v>
      </c>
      <c r="E25917" t="s">
        <v>98</v>
      </c>
    </row>
    <row r="25918" spans="1:5" x14ac:dyDescent="0.25">
      <c r="A25918" t="str">
        <f>HYPERLINK("https://www.773grp.com/globalSearch/MM5Z3V6T1G/page-1", "MM5Z3V6T1G")</f>
        <v>MM5Z3V6T1G</v>
      </c>
      <c r="B25918" s="3" t="str">
        <f>HYPERLINK("https://www.773grp.com/manufacturer/onsemi?pageNo=1046", "ON Semiconductor")</f>
        <v>ON Semiconductor</v>
      </c>
      <c r="C25918" s="6">
        <v>26820</v>
      </c>
      <c r="D25918" s="7">
        <v>0.28000000000000003</v>
      </c>
      <c r="E25918" t="s">
        <v>98</v>
      </c>
    </row>
    <row r="25919" spans="1:5" x14ac:dyDescent="0.25">
      <c r="A25919" t="str">
        <f>HYPERLINK("https://www.773grp.com/globalSearch/MM5Z47VT1G/page-1", "MM5Z47VT1G")</f>
        <v>MM5Z47VT1G</v>
      </c>
      <c r="B25919" s="3" t="str">
        <f>HYPERLINK("https://www.773grp.com/manufacturer/onsemi?pageNo=1047", "ON Semiconductor")</f>
        <v>ON Semiconductor</v>
      </c>
      <c r="C25919" s="6">
        <v>41924</v>
      </c>
      <c r="D25919" s="7">
        <v>0.28000000000000003</v>
      </c>
      <c r="E25919" t="s">
        <v>98</v>
      </c>
    </row>
    <row r="25920" spans="1:5" x14ac:dyDescent="0.25">
      <c r="A25920" t="str">
        <f>HYPERLINK("https://www.773grp.com/globalSearch/MM5Z4V7ST1G/page-1", "MM5Z4V7ST1G")</f>
        <v>MM5Z4V7ST1G</v>
      </c>
      <c r="B25920" s="3" t="str">
        <f>HYPERLINK("https://www.773grp.com/manufacturer/onsemi?pageNo=1048", "ON Semiconductor")</f>
        <v>ON Semiconductor</v>
      </c>
      <c r="C25920" s="6">
        <v>54000</v>
      </c>
      <c r="D25920" s="7">
        <v>0.28000000000000003</v>
      </c>
      <c r="E25920" t="s">
        <v>98</v>
      </c>
    </row>
    <row r="25921" spans="1:5" x14ac:dyDescent="0.25">
      <c r="A25921" t="str">
        <f>HYPERLINK("https://www.773grp.com/globalSearch/MM5Z4V7ST5G/page-1", "MM5Z4V7ST5G")</f>
        <v>MM5Z4V7ST5G</v>
      </c>
      <c r="B25921" s="3" t="str">
        <f>HYPERLINK("https://www.773grp.com/manufacturer/onsemi?pageNo=1049", "ON Semiconductor")</f>
        <v>ON Semiconductor</v>
      </c>
      <c r="C25921" s="6">
        <v>16000</v>
      </c>
      <c r="D25921" s="7">
        <v>0.28000000000000003</v>
      </c>
    </row>
    <row r="25922" spans="1:5" x14ac:dyDescent="0.25">
      <c r="A25922" t="str">
        <f>HYPERLINK("https://www.773grp.com/globalSearch/MM5Z4V7T1G/page-1", "MM5Z4V7T1G")</f>
        <v>MM5Z4V7T1G</v>
      </c>
      <c r="B25922" s="3" t="str">
        <f>HYPERLINK("https://www.773grp.com/manufacturer/onsemi?pageNo=1050", "ON Semiconductor")</f>
        <v>ON Semiconductor</v>
      </c>
      <c r="C25922" s="6">
        <v>233303</v>
      </c>
      <c r="D25922" s="7">
        <v>0.28000000000000003</v>
      </c>
      <c r="E25922" t="s">
        <v>98</v>
      </c>
    </row>
    <row r="25923" spans="1:5" x14ac:dyDescent="0.25">
      <c r="A25923" t="str">
        <f>HYPERLINK("https://www.773grp.com/globalSearch/MM5Z5V1ST1G/page-1", "MM5Z5V1ST1G")</f>
        <v>MM5Z5V1ST1G</v>
      </c>
      <c r="B25923" s="3" t="str">
        <f>HYPERLINK("https://www.773grp.com/manufacturer/onsemi?pageNo=1051", "ON Semiconductor")</f>
        <v>ON Semiconductor</v>
      </c>
      <c r="C25923" s="6">
        <v>1583158</v>
      </c>
      <c r="D25923" s="7">
        <v>0.28000000000000003</v>
      </c>
      <c r="E25923" t="s">
        <v>98</v>
      </c>
    </row>
    <row r="25924" spans="1:5" x14ac:dyDescent="0.25">
      <c r="A25924" t="str">
        <f>HYPERLINK("https://www.773grp.com/globalSearch/MM5Z5V1T1G/page-1", "MM5Z5V1T1G")</f>
        <v>MM5Z5V1T1G</v>
      </c>
      <c r="B25924" s="3" t="str">
        <f>HYPERLINK("https://www.773grp.com/manufacturer/onsemi?pageNo=1052", "ON Semiconductor")</f>
        <v>ON Semiconductor</v>
      </c>
      <c r="C25924" s="6">
        <v>2000950</v>
      </c>
      <c r="D25924" s="7">
        <v>0.28000000000000003</v>
      </c>
      <c r="E25924" t="s">
        <v>98</v>
      </c>
    </row>
    <row r="25925" spans="1:5" x14ac:dyDescent="0.25">
      <c r="A25925" t="str">
        <f>HYPERLINK("https://www.773grp.com/globalSearch/MM5Z5V6ST1G/page-1", "MM5Z5V6ST1G")</f>
        <v>MM5Z5V6ST1G</v>
      </c>
      <c r="B25925" s="3" t="str">
        <f>HYPERLINK("https://www.773grp.com/manufacturer/onsemi?pageNo=1053", "ON Semiconductor")</f>
        <v>ON Semiconductor</v>
      </c>
      <c r="C25925" s="6">
        <v>233756</v>
      </c>
      <c r="D25925" s="7">
        <v>0.28000000000000003</v>
      </c>
      <c r="E25925" t="s">
        <v>98</v>
      </c>
    </row>
    <row r="25926" spans="1:5" x14ac:dyDescent="0.25">
      <c r="A25926" t="str">
        <f>HYPERLINK("https://www.773grp.com/globalSearch/MM5Z5V6T1G/page-1", "MM5Z5V6T1G")</f>
        <v>MM5Z5V6T1G</v>
      </c>
      <c r="B25926" s="3" t="str">
        <f>HYPERLINK("https://www.773grp.com/manufacturer/onsemi?pageNo=1054", "ON Semiconductor")</f>
        <v>ON Semiconductor</v>
      </c>
      <c r="C25926" s="6">
        <v>258949</v>
      </c>
      <c r="D25926" s="7">
        <v>0.28000000000000003</v>
      </c>
      <c r="E25926" t="s">
        <v>98</v>
      </c>
    </row>
    <row r="25927" spans="1:5" x14ac:dyDescent="0.25">
      <c r="A25927" t="str">
        <f>HYPERLINK("https://www.773grp.com/globalSearch/MM5Z6V8ST1G/page-1", "MM5Z6V8ST1G")</f>
        <v>MM5Z6V8ST1G</v>
      </c>
      <c r="B25927" s="3" t="str">
        <f>HYPERLINK("https://www.773grp.com/manufacturer/onsemi?pageNo=1055", "ON Semiconductor")</f>
        <v>ON Semiconductor</v>
      </c>
      <c r="C25927" s="6">
        <v>182088</v>
      </c>
      <c r="D25927" s="7">
        <v>0.28000000000000003</v>
      </c>
      <c r="E25927" t="s">
        <v>98</v>
      </c>
    </row>
    <row r="25928" spans="1:5" x14ac:dyDescent="0.25">
      <c r="A25928" t="str">
        <f>HYPERLINK("https://www.773grp.com/globalSearch/MM5Z6V8T1G/page-1", "MM5Z6V8T1G")</f>
        <v>MM5Z6V8T1G</v>
      </c>
      <c r="B25928" s="3" t="str">
        <f>HYPERLINK("https://www.773grp.com/manufacturer/onsemi?pageNo=1056", "ON Semiconductor")</f>
        <v>ON Semiconductor</v>
      </c>
      <c r="C25928" s="6">
        <v>1787609</v>
      </c>
      <c r="D25928" s="7">
        <v>0.28000000000000003</v>
      </c>
      <c r="E25928" t="s">
        <v>98</v>
      </c>
    </row>
    <row r="25929" spans="1:5" x14ac:dyDescent="0.25">
      <c r="A25929" t="str">
        <f>HYPERLINK("https://www.773grp.com/globalSearch/MM5Z7V5T1G/page-1", "MM5Z7V5T1G")</f>
        <v>MM5Z7V5T1G</v>
      </c>
      <c r="B25929" s="3" t="str">
        <f>HYPERLINK("https://www.773grp.com/manufacturer/onsemi?pageNo=1057", "ON Semiconductor")</f>
        <v>ON Semiconductor</v>
      </c>
      <c r="C25929" s="6">
        <v>84000</v>
      </c>
      <c r="D25929" s="7">
        <v>0.28000000000000003</v>
      </c>
      <c r="E25929" t="s">
        <v>98</v>
      </c>
    </row>
    <row r="25930" spans="1:5" x14ac:dyDescent="0.25">
      <c r="A25930" t="str">
        <f>HYPERLINK("https://www.773grp.com/globalSearch/MM5Z8V2ST1G/page-1", "MM5Z8V2ST1G")</f>
        <v>MM5Z8V2ST1G</v>
      </c>
      <c r="B25930" s="3" t="str">
        <f>HYPERLINK("https://www.773grp.com/manufacturer/onsemi?pageNo=1058", "ON Semiconductor")</f>
        <v>ON Semiconductor</v>
      </c>
      <c r="C25930" s="6">
        <v>233330</v>
      </c>
      <c r="D25930" s="7">
        <v>0.28000000000000003</v>
      </c>
      <c r="E25930" t="s">
        <v>98</v>
      </c>
    </row>
    <row r="25931" spans="1:5" x14ac:dyDescent="0.25">
      <c r="A25931" t="str">
        <f>HYPERLINK("https://www.773grp.com/globalSearch/MM5Z8V2T1G/page-1", "MM5Z8V2T1G")</f>
        <v>MM5Z8V2T1G</v>
      </c>
      <c r="B25931" s="3" t="str">
        <f>HYPERLINK("https://www.773grp.com/manufacturer/onsemi?pageNo=1059", "ON Semiconductor")</f>
        <v>ON Semiconductor</v>
      </c>
      <c r="C25931" s="6">
        <v>107342</v>
      </c>
      <c r="D25931" s="7">
        <v>0.28000000000000003</v>
      </c>
      <c r="E25931" t="s">
        <v>98</v>
      </c>
    </row>
    <row r="25932" spans="1:5" x14ac:dyDescent="0.25">
      <c r="A25932" t="str">
        <f>HYPERLINK("https://www.773grp.com/globalSearch/MM5Z9V1ST1G/page-1", "MM5Z9V1ST1G")</f>
        <v>MM5Z9V1ST1G</v>
      </c>
      <c r="B25932" s="3" t="str">
        <f>HYPERLINK("https://www.773grp.com/manufacturer/onsemi?pageNo=1060", "ON Semiconductor")</f>
        <v>ON Semiconductor</v>
      </c>
      <c r="C25932" s="6">
        <v>585939</v>
      </c>
      <c r="D25932" s="7">
        <v>0.28000000000000003</v>
      </c>
      <c r="E25932" t="s">
        <v>98</v>
      </c>
    </row>
    <row r="25933" spans="1:5" x14ac:dyDescent="0.25">
      <c r="A25933" t="str">
        <f>HYPERLINK("https://www.773grp.com/globalSearch/MM5Z9V1T1G/page-1", "MM5Z9V1T1G")</f>
        <v>MM5Z9V1T1G</v>
      </c>
      <c r="B25933" s="3" t="str">
        <f>HYPERLINK("https://www.773grp.com/manufacturer/onsemi?pageNo=1061", "ON Semiconductor")</f>
        <v>ON Semiconductor</v>
      </c>
      <c r="C25933" s="6">
        <v>2405980</v>
      </c>
      <c r="D25933" s="7">
        <v>0.28000000000000003</v>
      </c>
      <c r="E25933" t="s">
        <v>98</v>
      </c>
    </row>
    <row r="25934" spans="1:5" x14ac:dyDescent="0.25">
      <c r="A25934" t="str">
        <f>HYPERLINK("https://www.773grp.com/globalSearch/MMBD301LT1/page-1", "MMBD301LT1")</f>
        <v>MMBD301LT1</v>
      </c>
      <c r="B25934" s="3" t="str">
        <f>HYPERLINK("https://www.773grp.com/manufacturer/onsemi?pageNo=1062", "ON Semiconductor")</f>
        <v>ON Semiconductor</v>
      </c>
      <c r="C25934" s="6">
        <v>37000</v>
      </c>
      <c r="D25934" s="7">
        <v>0.28000000000000003</v>
      </c>
      <c r="E25934" t="s">
        <v>108</v>
      </c>
    </row>
    <row r="25935" spans="1:5" x14ac:dyDescent="0.25">
      <c r="A25935" t="str">
        <f>HYPERLINK("https://www.773grp.com/globalSearch/MMBD301LT1G/page-1", "MMBD301LT1G")</f>
        <v>MMBD301LT1G</v>
      </c>
      <c r="B25935" s="3" t="str">
        <f>HYPERLINK("https://www.773grp.com/manufacturer/onsemi?pageNo=1063", "ON Semiconductor")</f>
        <v>ON Semiconductor</v>
      </c>
      <c r="C25935" s="6">
        <v>116673</v>
      </c>
      <c r="D25935" s="7">
        <v>0.28000000000000003</v>
      </c>
      <c r="E25935" t="s">
        <v>108</v>
      </c>
    </row>
    <row r="25936" spans="1:5" x14ac:dyDescent="0.25">
      <c r="A25936" t="str">
        <f>HYPERLINK("https://www.773grp.com/globalSearch/MMBD301LT3G/page-1", "MMBD301LT3G")</f>
        <v>MMBD301LT3G</v>
      </c>
      <c r="B25936" s="3" t="str">
        <f>HYPERLINK("https://www.773grp.com/manufacturer/onsemi?pageNo=1064", "ON Semiconductor")</f>
        <v>ON Semiconductor</v>
      </c>
      <c r="C25936" s="6">
        <v>20000</v>
      </c>
      <c r="D25936" s="7">
        <v>0.28000000000000003</v>
      </c>
    </row>
    <row r="25937" spans="1:5" x14ac:dyDescent="0.25">
      <c r="A25937" t="str">
        <f>HYPERLINK("https://www.773grp.com/globalSearch/MMBD352WT1/page-1", "MMBD352WT1")</f>
        <v>MMBD352WT1</v>
      </c>
      <c r="B25937" s="3" t="str">
        <f>HYPERLINK("https://www.773grp.com/manufacturer/onsemi?pageNo=1065", "ON Semiconductor")</f>
        <v>ON Semiconductor</v>
      </c>
      <c r="C25937" s="6">
        <v>21000</v>
      </c>
      <c r="D25937" s="7">
        <v>0.28000000000000003</v>
      </c>
      <c r="E25937" t="s">
        <v>108</v>
      </c>
    </row>
    <row r="25938" spans="1:5" x14ac:dyDescent="0.25">
      <c r="A25938" t="str">
        <f>HYPERLINK("https://www.773grp.com/globalSearch/MMBD717LT1/page-1", "MMBD717LT1")</f>
        <v>MMBD717LT1</v>
      </c>
      <c r="B25938" s="3" t="str">
        <f>HYPERLINK("https://www.773grp.com/manufacturer/onsemi?pageNo=1066", "ON Semiconductor")</f>
        <v>ON Semiconductor</v>
      </c>
      <c r="C25938" s="6">
        <v>5388</v>
      </c>
      <c r="D25938" s="7">
        <v>0.28000000000000003</v>
      </c>
      <c r="E25938" t="s">
        <v>94</v>
      </c>
    </row>
    <row r="25939" spans="1:5" x14ac:dyDescent="0.25">
      <c r="A25939" t="str">
        <f>HYPERLINK("https://www.773grp.com/globalSearch/MMBD717LT1G/page-1", "MMBD717LT1G")</f>
        <v>MMBD717LT1G</v>
      </c>
      <c r="B25939" s="3" t="str">
        <f>HYPERLINK("https://www.773grp.com/manufacturer/onsemi?pageNo=1067", "ON Semiconductor")</f>
        <v>ON Semiconductor</v>
      </c>
      <c r="C25939" s="6">
        <v>152600</v>
      </c>
      <c r="D25939" s="7">
        <v>0.28000000000000003</v>
      </c>
      <c r="E25939" t="s">
        <v>94</v>
      </c>
    </row>
    <row r="25940" spans="1:5" x14ac:dyDescent="0.25">
      <c r="A25940" t="str">
        <f>HYPERLINK("https://www.773grp.com/globalSearch/MMBT4125LT1/page-1", "MMBT4125LT1")</f>
        <v>MMBT4125LT1</v>
      </c>
      <c r="B25940" s="3" t="str">
        <f>HYPERLINK("https://www.773grp.com/manufacturer/onsemi?pageNo=1068", "ON Semiconductor")</f>
        <v>ON Semiconductor</v>
      </c>
      <c r="C25940" s="6">
        <v>24600</v>
      </c>
      <c r="D25940" s="7">
        <v>0.28000000000000003</v>
      </c>
    </row>
    <row r="25941" spans="1:5" x14ac:dyDescent="0.25">
      <c r="A25941" t="str">
        <f>HYPERLINK("https://www.773grp.com/globalSearch/MMBT6520LT3G/page-1", "MMBT6520LT3G")</f>
        <v>MMBT6520LT3G</v>
      </c>
      <c r="B25941" s="3" t="str">
        <f>HYPERLINK("https://www.773grp.com/manufacturer/onsemi?pageNo=1069", "ON Semiconductor")</f>
        <v>ON Semiconductor</v>
      </c>
      <c r="C25941" s="6">
        <v>30000</v>
      </c>
      <c r="D25941" s="7">
        <v>0.28000000000000003</v>
      </c>
      <c r="E25941" t="s">
        <v>69</v>
      </c>
    </row>
    <row r="25942" spans="1:5" x14ac:dyDescent="0.25">
      <c r="A25942" t="str">
        <f>HYPERLINK("https://www.773grp.com/globalSearch/MMBTH10-4LT1G/page-1", "MMBTH10-4LT1G")</f>
        <v>MMBTH10-4LT1G</v>
      </c>
      <c r="B25942" s="3" t="str">
        <f>HYPERLINK("https://www.773grp.com/manufacturer/onsemi?pageNo=1070", "ON Semiconductor")</f>
        <v>ON Semiconductor</v>
      </c>
      <c r="C25942" s="6">
        <v>118888</v>
      </c>
      <c r="D25942" s="7">
        <v>0.28000000000000003</v>
      </c>
      <c r="E25942" t="s">
        <v>61</v>
      </c>
    </row>
    <row r="25943" spans="1:5" x14ac:dyDescent="0.25">
      <c r="A25943" t="str">
        <f>HYPERLINK("https://www.773grp.com/globalSearch/MMBZ27VAWT1G/page-1", "MMBZ27VAWT1G")</f>
        <v>MMBZ27VAWT1G</v>
      </c>
      <c r="B25943" s="3" t="str">
        <f>HYPERLINK("https://www.773grp.com/manufacturer/onsemi?pageNo=1071", "ON Semiconductor")</f>
        <v>ON Semiconductor</v>
      </c>
      <c r="C25943" s="6">
        <v>12000</v>
      </c>
      <c r="D25943" s="7">
        <v>0.28000000000000003</v>
      </c>
    </row>
    <row r="25944" spans="1:5" x14ac:dyDescent="0.25">
      <c r="A25944" t="str">
        <f>HYPERLINK("https://www.773grp.com/globalSearch/MMBZ27VCWT1G/page-1", "MMBZ27VCWT1G")</f>
        <v>MMBZ27VCWT1G</v>
      </c>
      <c r="B25944" s="3" t="str">
        <f>HYPERLINK("https://www.773grp.com/manufacturer/onsemi?pageNo=1072", "ON Semiconductor")</f>
        <v>ON Semiconductor</v>
      </c>
      <c r="C25944" s="6">
        <v>33000</v>
      </c>
      <c r="D25944" s="7">
        <v>0.28000000000000003</v>
      </c>
      <c r="E25944" t="s">
        <v>96</v>
      </c>
    </row>
    <row r="25945" spans="1:5" x14ac:dyDescent="0.25">
      <c r="A25945" t="str">
        <f>HYPERLINK("https://www.773grp.com/globalSearch/MMBZ33VALT1/page-1", "MMBZ33VALT1")</f>
        <v>MMBZ33VALT1</v>
      </c>
      <c r="B25945" s="3" t="str">
        <f>HYPERLINK("https://www.773grp.com/manufacturer/onsemi?pageNo=1073", "ON Semiconductor")</f>
        <v>ON Semiconductor</v>
      </c>
      <c r="C25945" s="6">
        <v>18000</v>
      </c>
      <c r="D25945" s="7">
        <v>0.28000000000000003</v>
      </c>
    </row>
    <row r="25946" spans="1:5" x14ac:dyDescent="0.25">
      <c r="A25946" t="str">
        <f>HYPERLINK("https://www.773grp.com/globalSearch/MMBZ5231ELT1G/page-1", "MMBZ5231ELT1G")</f>
        <v>MMBZ5231ELT1G</v>
      </c>
      <c r="B25946" s="3" t="str">
        <f>HYPERLINK("https://www.773grp.com/manufacturer/onsemi?pageNo=1074", "ON Semiconductor")</f>
        <v>ON Semiconductor</v>
      </c>
      <c r="C25946" s="6">
        <v>323880</v>
      </c>
      <c r="D25946" s="7">
        <v>0.28000000000000003</v>
      </c>
      <c r="E25946" t="s">
        <v>98</v>
      </c>
    </row>
    <row r="25947" spans="1:5" x14ac:dyDescent="0.25">
      <c r="A25947" t="str">
        <f>HYPERLINK("https://www.773grp.com/globalSearch/MMBZ5232ELT1G/page-1", "MMBZ5232ELT1G")</f>
        <v>MMBZ5232ELT1G</v>
      </c>
      <c r="B25947" s="3" t="str">
        <f>HYPERLINK("https://www.773grp.com/manufacturer/onsemi?pageNo=1075", "ON Semiconductor")</f>
        <v>ON Semiconductor</v>
      </c>
      <c r="C25947" s="6">
        <v>42000</v>
      </c>
      <c r="D25947" s="7">
        <v>0.28000000000000003</v>
      </c>
      <c r="E25947" t="s">
        <v>98</v>
      </c>
    </row>
    <row r="25948" spans="1:5" x14ac:dyDescent="0.25">
      <c r="A25948" t="str">
        <f>HYPERLINK("https://www.773grp.com/globalSearch/MMBZ5242ELT1G/page-1", "MMBZ5242ELT1G")</f>
        <v>MMBZ5242ELT1G</v>
      </c>
      <c r="B25948" s="3" t="str">
        <f>HYPERLINK("https://www.773grp.com/manufacturer/onsemi?pageNo=1076", "ON Semiconductor")</f>
        <v>ON Semiconductor</v>
      </c>
      <c r="C25948" s="6">
        <v>96000</v>
      </c>
      <c r="D25948" s="7">
        <v>0.28000000000000003</v>
      </c>
      <c r="E25948" t="s">
        <v>98</v>
      </c>
    </row>
    <row r="25949" spans="1:5" x14ac:dyDescent="0.25">
      <c r="A25949" t="str">
        <f>HYPERLINK("https://www.773grp.com/globalSearch/MMBZ5245ELT1G/page-1", "MMBZ5245ELT1G")</f>
        <v>MMBZ5245ELT1G</v>
      </c>
      <c r="B25949" s="3" t="str">
        <f>HYPERLINK("https://www.773grp.com/manufacturer/onsemi?pageNo=1077", "ON Semiconductor")</f>
        <v>ON Semiconductor</v>
      </c>
      <c r="C25949" s="6">
        <v>143040</v>
      </c>
      <c r="D25949" s="7">
        <v>0.28000000000000003</v>
      </c>
      <c r="E25949" t="s">
        <v>98</v>
      </c>
    </row>
    <row r="25950" spans="1:5" x14ac:dyDescent="0.25">
      <c r="A25950" t="str">
        <f>HYPERLINK("https://www.773grp.com/globalSearch/MMBZ5246ELT1G/page-1", "MMBZ5246ELT1G")</f>
        <v>MMBZ5246ELT1G</v>
      </c>
      <c r="B25950" s="3" t="str">
        <f>HYPERLINK("https://www.773grp.com/manufacturer/onsemi?pageNo=1078", "ON Semiconductor")</f>
        <v>ON Semiconductor</v>
      </c>
      <c r="C25950" s="6">
        <v>147000</v>
      </c>
      <c r="D25950" s="7">
        <v>0.28000000000000003</v>
      </c>
      <c r="E25950" t="s">
        <v>98</v>
      </c>
    </row>
    <row r="25951" spans="1:5" x14ac:dyDescent="0.25">
      <c r="A25951" t="str">
        <f>HYPERLINK("https://www.773grp.com/globalSearch/MMBZ5248ELT1G/page-1", "MMBZ5248ELT1G")</f>
        <v>MMBZ5248ELT1G</v>
      </c>
      <c r="B25951" s="3" t="str">
        <f>HYPERLINK("https://www.773grp.com/manufacturer/onsemi?pageNo=1079", "ON Semiconductor")</f>
        <v>ON Semiconductor</v>
      </c>
      <c r="C25951" s="6">
        <v>6000</v>
      </c>
      <c r="D25951" s="7">
        <v>0.28000000000000003</v>
      </c>
      <c r="E25951" t="s">
        <v>98</v>
      </c>
    </row>
    <row r="25952" spans="1:5" x14ac:dyDescent="0.25">
      <c r="A25952" t="str">
        <f>HYPERLINK("https://www.773grp.com/globalSearch/MMBZ5253ELT1G/page-1", "MMBZ5253ELT1G")</f>
        <v>MMBZ5253ELT1G</v>
      </c>
      <c r="B25952" s="3" t="str">
        <f>HYPERLINK("https://www.773grp.com/manufacturer/onsemi?pageNo=1080", "ON Semiconductor")</f>
        <v>ON Semiconductor</v>
      </c>
      <c r="C25952" s="6">
        <v>27000</v>
      </c>
      <c r="D25952" s="7">
        <v>0.28000000000000003</v>
      </c>
    </row>
    <row r="25953" spans="1:5" x14ac:dyDescent="0.25">
      <c r="A25953" t="str">
        <f>HYPERLINK("https://www.773grp.com/globalSearch/MMSZ4689ET1G/page-1", "MMSZ4689ET1G")</f>
        <v>MMSZ4689ET1G</v>
      </c>
      <c r="B25953" s="3" t="str">
        <f>HYPERLINK("https://www.773grp.com/manufacturer/onsemi?pageNo=1081", "ON Semiconductor")</f>
        <v>ON Semiconductor</v>
      </c>
      <c r="C25953" s="6">
        <v>58333</v>
      </c>
      <c r="D25953" s="7">
        <v>0.28000000000000003</v>
      </c>
    </row>
    <row r="25954" spans="1:5" x14ac:dyDescent="0.25">
      <c r="A25954" t="str">
        <f>HYPERLINK("https://www.773grp.com/globalSearch/MMSZ4701ET1G/page-1", "MMSZ4701ET1G")</f>
        <v>MMSZ4701ET1G</v>
      </c>
      <c r="B25954" s="3" t="str">
        <f>HYPERLINK("https://www.773grp.com/manufacturer/onsemi?pageNo=1082", "ON Semiconductor")</f>
        <v>ON Semiconductor</v>
      </c>
      <c r="C25954" s="6">
        <v>26882</v>
      </c>
      <c r="D25954" s="7">
        <v>0.28000000000000003</v>
      </c>
      <c r="E25954" t="s">
        <v>98</v>
      </c>
    </row>
    <row r="25955" spans="1:5" x14ac:dyDescent="0.25">
      <c r="A25955" t="str">
        <f>HYPERLINK("https://www.773grp.com/globalSearch/MMSZ5223ET1G/page-1", "MMSZ5223ET1G")</f>
        <v>MMSZ5223ET1G</v>
      </c>
      <c r="B25955" s="3" t="str">
        <f>HYPERLINK("https://www.773grp.com/manufacturer/onsemi?pageNo=1083", "ON Semiconductor")</f>
        <v>ON Semiconductor</v>
      </c>
      <c r="C25955" s="6">
        <v>39000</v>
      </c>
      <c r="D25955" s="7">
        <v>0.28000000000000003</v>
      </c>
      <c r="E25955" t="s">
        <v>98</v>
      </c>
    </row>
    <row r="25956" spans="1:5" x14ac:dyDescent="0.25">
      <c r="A25956" t="str">
        <f>HYPERLINK("https://www.773grp.com/globalSearch/MMSZ5235ET1G/page-1", "MMSZ5235ET1G")</f>
        <v>MMSZ5235ET1G</v>
      </c>
      <c r="B25956" s="3" t="str">
        <f>HYPERLINK("https://www.773grp.com/manufacturer/onsemi?pageNo=1084", "ON Semiconductor")</f>
        <v>ON Semiconductor</v>
      </c>
      <c r="C25956" s="6">
        <v>6000</v>
      </c>
      <c r="D25956" s="7">
        <v>0.28000000000000003</v>
      </c>
      <c r="E25956" t="s">
        <v>98</v>
      </c>
    </row>
    <row r="25957" spans="1:5" x14ac:dyDescent="0.25">
      <c r="A25957" t="str">
        <f>HYPERLINK("https://www.773grp.com/globalSearch/MMSZ5240ET1G/page-1", "MMSZ5240ET1G")</f>
        <v>MMSZ5240ET1G</v>
      </c>
      <c r="B25957" s="3" t="str">
        <f>HYPERLINK("https://www.773grp.com/manufacturer/onsemi?pageNo=1085", "ON Semiconductor")</f>
        <v>ON Semiconductor</v>
      </c>
      <c r="C25957" s="6">
        <v>179950</v>
      </c>
      <c r="D25957" s="7">
        <v>0.28000000000000003</v>
      </c>
      <c r="E25957" t="s">
        <v>98</v>
      </c>
    </row>
    <row r="25958" spans="1:5" x14ac:dyDescent="0.25">
      <c r="A25958" t="str">
        <f>HYPERLINK("https://www.773grp.com/globalSearch/MMSZ5242ET1G/page-1", "MMSZ5242ET1G")</f>
        <v>MMSZ5242ET1G</v>
      </c>
      <c r="B25958" s="3" t="str">
        <f>HYPERLINK("https://www.773grp.com/manufacturer/onsemi?pageNo=1086", "ON Semiconductor")</f>
        <v>ON Semiconductor</v>
      </c>
      <c r="C25958" s="6">
        <v>90000</v>
      </c>
      <c r="D25958" s="7">
        <v>0.28000000000000003</v>
      </c>
      <c r="E25958" t="s">
        <v>98</v>
      </c>
    </row>
    <row r="25959" spans="1:5" x14ac:dyDescent="0.25">
      <c r="A25959" t="str">
        <f>HYPERLINK("https://www.773grp.com/globalSearch/MMSZ5244ET1G/page-1", "MMSZ5244ET1G")</f>
        <v>MMSZ5244ET1G</v>
      </c>
      <c r="B25959" s="3" t="str">
        <f>HYPERLINK("https://www.773grp.com/manufacturer/onsemi?pageNo=1087", "ON Semiconductor")</f>
        <v>ON Semiconductor</v>
      </c>
      <c r="C25959" s="6">
        <v>15000</v>
      </c>
      <c r="D25959" s="7">
        <v>0.28000000000000003</v>
      </c>
      <c r="E25959" t="s">
        <v>98</v>
      </c>
    </row>
    <row r="25960" spans="1:5" x14ac:dyDescent="0.25">
      <c r="A25960" t="str">
        <f>HYPERLINK("https://www.773grp.com/globalSearch/MMSZ5245ET1G/page-1", "MMSZ5245ET1G")</f>
        <v>MMSZ5245ET1G</v>
      </c>
      <c r="B25960" s="3" t="str">
        <f>HYPERLINK("https://www.773grp.com/manufacturer/onsemi?pageNo=1088", "ON Semiconductor")</f>
        <v>ON Semiconductor</v>
      </c>
      <c r="C25960" s="6">
        <v>27000</v>
      </c>
      <c r="D25960" s="7">
        <v>0.28000000000000003</v>
      </c>
      <c r="E25960" t="s">
        <v>98</v>
      </c>
    </row>
    <row r="25961" spans="1:5" x14ac:dyDescent="0.25">
      <c r="A25961" t="str">
        <f>HYPERLINK("https://www.773grp.com/globalSearch/MMSZ5246ET1G/page-1", "MMSZ5246ET1G")</f>
        <v>MMSZ5246ET1G</v>
      </c>
      <c r="B25961" s="3" t="str">
        <f>HYPERLINK("https://www.773grp.com/manufacturer/onsemi?pageNo=1089", "ON Semiconductor")</f>
        <v>ON Semiconductor</v>
      </c>
      <c r="C25961" s="6">
        <v>6000</v>
      </c>
      <c r="D25961" s="7">
        <v>0.28000000000000003</v>
      </c>
      <c r="E25961" t="s">
        <v>98</v>
      </c>
    </row>
    <row r="25962" spans="1:5" x14ac:dyDescent="0.25">
      <c r="A25962" t="str">
        <f>HYPERLINK("https://www.773grp.com/globalSearch/MMSZ5250ET1/page-1", "MMSZ5250ET1")</f>
        <v>MMSZ5250ET1</v>
      </c>
      <c r="B25962" s="3" t="str">
        <f>HYPERLINK("https://www.773grp.com/manufacturer/onsemi?pageNo=1090", "ON Semiconductor")</f>
        <v>ON Semiconductor</v>
      </c>
      <c r="C25962" s="6">
        <v>36000</v>
      </c>
      <c r="D25962" s="7">
        <v>0.28000000000000003</v>
      </c>
    </row>
    <row r="25963" spans="1:5" x14ac:dyDescent="0.25">
      <c r="A25963" t="str">
        <f>HYPERLINK("https://www.773grp.com/globalSearch/MMSZ5252ET1G/page-1", "MMSZ5252ET1G")</f>
        <v>MMSZ5252ET1G</v>
      </c>
      <c r="B25963" s="3" t="str">
        <f>HYPERLINK("https://www.773grp.com/manufacturer/onsemi?pageNo=1091", "ON Semiconductor")</f>
        <v>ON Semiconductor</v>
      </c>
      <c r="C25963" s="6">
        <v>2950</v>
      </c>
      <c r="D25963" s="7">
        <v>0.28000000000000003</v>
      </c>
      <c r="E25963" t="s">
        <v>98</v>
      </c>
    </row>
    <row r="25964" spans="1:5" x14ac:dyDescent="0.25">
      <c r="A25964" t="str">
        <f>HYPERLINK("https://www.773grp.com/globalSearch/MMSZ5254BT1/page-1", "MMSZ5254BT1")</f>
        <v>MMSZ5254BT1</v>
      </c>
      <c r="B25964" s="3" t="str">
        <f>HYPERLINK("https://www.773grp.com/manufacturer/onsemi?pageNo=1092", "ON Semiconductor")</f>
        <v>ON Semiconductor</v>
      </c>
      <c r="C25964" s="6">
        <v>444000</v>
      </c>
      <c r="D25964" s="7">
        <v>0.28000000000000003</v>
      </c>
      <c r="E25964" t="s">
        <v>98</v>
      </c>
    </row>
    <row r="25965" spans="1:5" x14ac:dyDescent="0.25">
      <c r="A25965" t="str">
        <f>HYPERLINK("https://www.773grp.com/globalSearch/MMSZ5256ET1G/page-1", "MMSZ5256ET1G")</f>
        <v>MMSZ5256ET1G</v>
      </c>
      <c r="B25965" s="3" t="str">
        <f>HYPERLINK("https://www.773grp.com/manufacturer/onsemi?pageNo=1093", "ON Semiconductor")</f>
        <v>ON Semiconductor</v>
      </c>
      <c r="C25965" s="6">
        <v>4974</v>
      </c>
      <c r="D25965" s="7">
        <v>0.28000000000000003</v>
      </c>
      <c r="E25965" t="s">
        <v>98</v>
      </c>
    </row>
    <row r="25966" spans="1:5" x14ac:dyDescent="0.25">
      <c r="A25966" t="str">
        <f>HYPERLINK("https://www.773grp.com/globalSearch/MMSZ5259ET1G/page-1", "MMSZ5259ET1G")</f>
        <v>MMSZ5259ET1G</v>
      </c>
      <c r="B25966" s="3" t="str">
        <f>HYPERLINK("https://www.773grp.com/manufacturer/onsemi?pageNo=1094", "ON Semiconductor")</f>
        <v>ON Semiconductor</v>
      </c>
      <c r="C25966" s="6">
        <v>21000</v>
      </c>
      <c r="D25966" s="7">
        <v>0.28000000000000003</v>
      </c>
      <c r="E25966" t="s">
        <v>98</v>
      </c>
    </row>
    <row r="25967" spans="1:5" x14ac:dyDescent="0.25">
      <c r="A25967" t="str">
        <f>HYPERLINK("https://www.773grp.com/globalSearch/MMUN2233LT1/page-1", "MMUN2233LT1")</f>
        <v>MMUN2233LT1</v>
      </c>
      <c r="B25967" s="3" t="str">
        <f>HYPERLINK("https://www.773grp.com/manufacturer/onsemi?pageNo=1095", "ON Semiconductor")</f>
        <v>ON Semiconductor</v>
      </c>
      <c r="C25967" s="6">
        <v>9000</v>
      </c>
      <c r="D25967" s="7">
        <v>0.28000000000000003</v>
      </c>
      <c r="E25967" t="s">
        <v>69</v>
      </c>
    </row>
    <row r="25968" spans="1:5" x14ac:dyDescent="0.25">
      <c r="A25968" t="str">
        <f>HYPERLINK("https://www.773grp.com/globalSearch/MMUN2234LT1/page-1", "MMUN2234LT1")</f>
        <v>MMUN2234LT1</v>
      </c>
      <c r="B25968" s="3" t="str">
        <f>HYPERLINK("https://www.773grp.com/manufacturer/onsemi?pageNo=1096", "ON Semiconductor")</f>
        <v>ON Semiconductor</v>
      </c>
      <c r="C25968" s="6">
        <v>78000</v>
      </c>
      <c r="D25968" s="7">
        <v>0.28000000000000003</v>
      </c>
      <c r="E25968" t="s">
        <v>69</v>
      </c>
    </row>
    <row r="25969" spans="1:5" x14ac:dyDescent="0.25">
      <c r="A25969" t="str">
        <f>HYPERLINK("https://www.773grp.com/globalSearch/MMVL3401T1G/page-1", "MMVL3401T1G")</f>
        <v>MMVL3401T1G</v>
      </c>
      <c r="B25969" s="3" t="str">
        <f>HYPERLINK("https://www.773grp.com/manufacturer/onsemi?pageNo=1097", "ON Semiconductor")</f>
        <v>ON Semiconductor</v>
      </c>
      <c r="C25969" s="6">
        <v>926665</v>
      </c>
      <c r="D25969" s="7">
        <v>0.28000000000000003</v>
      </c>
      <c r="E25969" t="s">
        <v>110</v>
      </c>
    </row>
    <row r="25970" spans="1:5" x14ac:dyDescent="0.25">
      <c r="A25970" t="str">
        <f>HYPERLINK("https://www.773grp.com/globalSearch/MPN3404RLRA/page-1", "MPN3404RLRA")</f>
        <v>MPN3404RLRA</v>
      </c>
      <c r="B25970" s="3" t="str">
        <f>HYPERLINK("https://www.773grp.com/manufacturer/onsemi?pageNo=1098", "ON Semiconductor")</f>
        <v>ON Semiconductor</v>
      </c>
      <c r="C25970" s="6">
        <v>36000</v>
      </c>
      <c r="D25970" s="7">
        <v>0.28000000000000003</v>
      </c>
      <c r="E25970" t="s">
        <v>110</v>
      </c>
    </row>
    <row r="25971" spans="1:5" x14ac:dyDescent="0.25">
      <c r="A25971" t="str">
        <f>HYPERLINK("https://www.773grp.com/globalSearch/MPS2907AG/page-1", "MPS2907AG")</f>
        <v>MPS2907AG</v>
      </c>
      <c r="B25971" s="3" t="str">
        <f>HYPERLINK("https://www.773grp.com/manufacturer/onsemi?pageNo=1099", "ON Semiconductor")</f>
        <v>ON Semiconductor</v>
      </c>
      <c r="C25971" s="6">
        <v>50207</v>
      </c>
      <c r="D25971" s="7">
        <v>0.28000000000000003</v>
      </c>
      <c r="E25971" t="s">
        <v>69</v>
      </c>
    </row>
    <row r="25972" spans="1:5" x14ac:dyDescent="0.25">
      <c r="A25972" t="str">
        <f>HYPERLINK("https://www.773grp.com/globalSearch/MPS2907ARLG/page-1", "MPS2907ARLG")</f>
        <v>MPS2907ARLG</v>
      </c>
      <c r="B25972" s="3" t="str">
        <f>HYPERLINK("https://www.773grp.com/manufacturer/onsemi?pageNo=1100", "ON Semiconductor")</f>
        <v>ON Semiconductor</v>
      </c>
      <c r="C25972" s="6">
        <v>32000</v>
      </c>
      <c r="D25972" s="7">
        <v>0.28000000000000003</v>
      </c>
      <c r="E25972" t="s">
        <v>69</v>
      </c>
    </row>
    <row r="25973" spans="1:5" x14ac:dyDescent="0.25">
      <c r="A25973" t="str">
        <f>HYPERLINK("https://www.773grp.com/globalSearch/MPS2907ARLRAG/page-1", "MPS2907ARLRAG")</f>
        <v>MPS2907ARLRAG</v>
      </c>
      <c r="B25973" s="3" t="str">
        <f>HYPERLINK("https://www.773grp.com/manufacturer/onsemi?pageNo=1101", "ON Semiconductor")</f>
        <v>ON Semiconductor</v>
      </c>
      <c r="C25973" s="6">
        <v>166000</v>
      </c>
      <c r="D25973" s="7">
        <v>0.28000000000000003</v>
      </c>
      <c r="E25973" t="s">
        <v>69</v>
      </c>
    </row>
    <row r="25974" spans="1:5" x14ac:dyDescent="0.25">
      <c r="A25974" t="str">
        <f>HYPERLINK("https://www.773grp.com/globalSearch/MPS6521RLRA/page-1", "MPS6521RLRA")</f>
        <v>MPS6521RLRA</v>
      </c>
      <c r="B25974" s="3" t="str">
        <f>HYPERLINK("https://www.773grp.com/manufacturer/onsemi?pageNo=1102", "ON Semiconductor")</f>
        <v>ON Semiconductor</v>
      </c>
      <c r="C25974" s="6">
        <v>14000</v>
      </c>
      <c r="D25974" s="7">
        <v>0.28000000000000003</v>
      </c>
      <c r="E25974" t="s">
        <v>69</v>
      </c>
    </row>
    <row r="25975" spans="1:5" x14ac:dyDescent="0.25">
      <c r="A25975" t="str">
        <f>HYPERLINK("https://www.773grp.com/globalSearch/MPS6521RLRAG/page-1", "MPS6521RLRAG")</f>
        <v>MPS6521RLRAG</v>
      </c>
      <c r="B25975" s="3" t="str">
        <f>HYPERLINK("https://www.773grp.com/manufacturer/onsemi?pageNo=1103", "ON Semiconductor")</f>
        <v>ON Semiconductor</v>
      </c>
      <c r="C25975" s="6">
        <v>76000</v>
      </c>
      <c r="D25975" s="7">
        <v>0.28000000000000003</v>
      </c>
      <c r="E25975" t="s">
        <v>69</v>
      </c>
    </row>
    <row r="25976" spans="1:5" x14ac:dyDescent="0.25">
      <c r="A25976" t="str">
        <f>HYPERLINK("https://www.773grp.com/globalSearch/MPS6560G/page-1", "MPS6560G")</f>
        <v>MPS6560G</v>
      </c>
      <c r="B25976" s="3" t="str">
        <f>HYPERLINK("https://www.773grp.com/manufacturer/onsemi?pageNo=1104", "ON Semiconductor")</f>
        <v>ON Semiconductor</v>
      </c>
      <c r="C25976" s="6">
        <v>2470</v>
      </c>
      <c r="D25976" s="7">
        <v>0.28000000000000003</v>
      </c>
      <c r="E25976" t="s">
        <v>69</v>
      </c>
    </row>
    <row r="25977" spans="1:5" x14ac:dyDescent="0.25">
      <c r="A25977" t="str">
        <f>HYPERLINK("https://www.773grp.com/globalSearch/MPS6601G/page-1", "MPS6601G")</f>
        <v>MPS6601G</v>
      </c>
      <c r="B25977" s="3" t="str">
        <f>HYPERLINK("https://www.773grp.com/manufacturer/onsemi?pageNo=1105", "ON Semiconductor")</f>
        <v>ON Semiconductor</v>
      </c>
      <c r="C25977" s="6">
        <v>44804</v>
      </c>
      <c r="D25977" s="7">
        <v>0.28000000000000003</v>
      </c>
      <c r="E25977" t="s">
        <v>69</v>
      </c>
    </row>
    <row r="25978" spans="1:5" x14ac:dyDescent="0.25">
      <c r="A25978" t="str">
        <f>HYPERLINK("https://www.773grp.com/globalSearch/MPS6602RLRA/page-1", "MPS6602RLRA")</f>
        <v>MPS6602RLRA</v>
      </c>
      <c r="B25978" s="3" t="str">
        <f>HYPERLINK("https://www.773grp.com/manufacturer/onsemi?pageNo=1106", "ON Semiconductor")</f>
        <v>ON Semiconductor</v>
      </c>
      <c r="C25978" s="6">
        <v>2000</v>
      </c>
      <c r="D25978" s="7">
        <v>0.28000000000000003</v>
      </c>
      <c r="E25978" t="s">
        <v>69</v>
      </c>
    </row>
    <row r="25979" spans="1:5" x14ac:dyDescent="0.25">
      <c r="A25979" t="str">
        <f>HYPERLINK("https://www.773grp.com/globalSearch/MPS6602RLRAG/page-1", "MPS6602RLRAG")</f>
        <v>MPS6602RLRAG</v>
      </c>
      <c r="B25979" s="3" t="str">
        <f>HYPERLINK("https://www.773grp.com/manufacturer/onsemi?pageNo=1107", "ON Semiconductor")</f>
        <v>ON Semiconductor</v>
      </c>
      <c r="C25979" s="6">
        <v>13160</v>
      </c>
      <c r="D25979" s="7">
        <v>0.28000000000000003</v>
      </c>
      <c r="E25979" t="s">
        <v>69</v>
      </c>
    </row>
    <row r="25980" spans="1:5" x14ac:dyDescent="0.25">
      <c r="A25980" t="str">
        <f>HYPERLINK("https://www.773grp.com/globalSearch/MPS6651G/page-1", "MPS6651G")</f>
        <v>MPS6651G</v>
      </c>
      <c r="B25980" s="3" t="str">
        <f>HYPERLINK("https://www.773grp.com/manufacturer/onsemi?pageNo=1108", "ON Semiconductor")</f>
        <v>ON Semiconductor</v>
      </c>
      <c r="C25980" s="6">
        <v>32854</v>
      </c>
      <c r="D25980" s="7">
        <v>0.28000000000000003</v>
      </c>
      <c r="E25980" t="s">
        <v>69</v>
      </c>
    </row>
    <row r="25981" spans="1:5" x14ac:dyDescent="0.25">
      <c r="A25981" t="str">
        <f>HYPERLINK("https://www.773grp.com/globalSearch/MPS6652RLRA/page-1", "MPS6652RLRA")</f>
        <v>MPS6652RLRA</v>
      </c>
      <c r="B25981" s="3" t="str">
        <f>HYPERLINK("https://www.773grp.com/manufacturer/onsemi?pageNo=1109", "ON Semiconductor")</f>
        <v>ON Semiconductor</v>
      </c>
      <c r="C25981" s="6">
        <v>4000</v>
      </c>
      <c r="D25981" s="7">
        <v>0.28000000000000003</v>
      </c>
      <c r="E25981" t="s">
        <v>69</v>
      </c>
    </row>
    <row r="25982" spans="1:5" x14ac:dyDescent="0.25">
      <c r="A25982" t="str">
        <f>HYPERLINK("https://www.773grp.com/globalSearch/MPS8098G/page-1", "MPS8098G")</f>
        <v>MPS8098G</v>
      </c>
      <c r="B25982" s="3" t="str">
        <f>HYPERLINK("https://www.773grp.com/manufacturer/onsemi?pageNo=1110", "ON Semiconductor")</f>
        <v>ON Semiconductor</v>
      </c>
      <c r="C25982" s="6">
        <v>4800</v>
      </c>
      <c r="D25982" s="7">
        <v>0.28000000000000003</v>
      </c>
      <c r="E25982" t="s">
        <v>69</v>
      </c>
    </row>
    <row r="25983" spans="1:5" x14ac:dyDescent="0.25">
      <c r="A25983" t="str">
        <f>HYPERLINK("https://www.773grp.com/globalSearch/MPS8098RLRA/page-1", "MPS8098RLRA")</f>
        <v>MPS8098RLRA</v>
      </c>
      <c r="B25983" s="3" t="str">
        <f>HYPERLINK("https://www.773grp.com/manufacturer/onsemi?pageNo=1111", "ON Semiconductor")</f>
        <v>ON Semiconductor</v>
      </c>
      <c r="C25983" s="6">
        <v>6000</v>
      </c>
      <c r="D25983" s="7">
        <v>0.28000000000000003</v>
      </c>
      <c r="E25983" t="s">
        <v>69</v>
      </c>
    </row>
    <row r="25984" spans="1:5" x14ac:dyDescent="0.25">
      <c r="A25984" t="str">
        <f>HYPERLINK("https://www.773grp.com/globalSearch/MPS8099/page-1", "MPS8099")</f>
        <v>MPS8099</v>
      </c>
      <c r="B25984" s="3" t="str">
        <f>HYPERLINK("https://www.773grp.com/manufacturer/onsemi?pageNo=1112", "ON Semiconductor")</f>
        <v>ON Semiconductor</v>
      </c>
      <c r="C25984" s="6">
        <v>551</v>
      </c>
      <c r="D25984" s="7">
        <v>0.28000000000000003</v>
      </c>
      <c r="E25984" t="s">
        <v>69</v>
      </c>
    </row>
    <row r="25985" spans="1:5" x14ac:dyDescent="0.25">
      <c r="A25985" t="str">
        <f>HYPERLINK("https://www.773grp.com/globalSearch/MPS8099RLRMG/page-1", "MPS8099RLRMG")</f>
        <v>MPS8099RLRMG</v>
      </c>
      <c r="B25985" s="3" t="str">
        <f>HYPERLINK("https://www.773grp.com/manufacturer/onsemi?pageNo=1113", "ON Semiconductor")</f>
        <v>ON Semiconductor</v>
      </c>
      <c r="C25985" s="6">
        <v>10000</v>
      </c>
      <c r="D25985" s="7">
        <v>0.28000000000000003</v>
      </c>
      <c r="E25985" t="s">
        <v>69</v>
      </c>
    </row>
    <row r="25986" spans="1:5" x14ac:dyDescent="0.25">
      <c r="A25986" t="str">
        <f>HYPERLINK("https://www.773grp.com/globalSearch/MPS8598RLRA/page-1", "MPS8598RLRA")</f>
        <v>MPS8598RLRA</v>
      </c>
      <c r="B25986" s="3" t="str">
        <f>HYPERLINK("https://www.773grp.com/manufacturer/onsemi?pageNo=1114", "ON Semiconductor")</f>
        <v>ON Semiconductor</v>
      </c>
      <c r="C25986" s="6">
        <v>18000</v>
      </c>
      <c r="D25986" s="7">
        <v>0.28000000000000003</v>
      </c>
      <c r="E25986" t="s">
        <v>69</v>
      </c>
    </row>
    <row r="25987" spans="1:5" x14ac:dyDescent="0.25">
      <c r="A25987" t="str">
        <f>HYPERLINK("https://www.773grp.com/globalSearch/MPS8598RLRAG/page-1", "MPS8598RLRAG")</f>
        <v>MPS8598RLRAG</v>
      </c>
      <c r="B25987" s="3" t="str">
        <f>HYPERLINK("https://www.773grp.com/manufacturer/onsemi?pageNo=1115", "ON Semiconductor")</f>
        <v>ON Semiconductor</v>
      </c>
      <c r="C25987" s="6">
        <v>14000</v>
      </c>
      <c r="D25987" s="7">
        <v>0.28000000000000003</v>
      </c>
      <c r="E25987" t="s">
        <v>69</v>
      </c>
    </row>
    <row r="25988" spans="1:5" x14ac:dyDescent="0.25">
      <c r="A25988" t="str">
        <f>HYPERLINK("https://www.773grp.com/globalSearch/MPSA42G/page-1", "MPSA42G")</f>
        <v>MPSA42G</v>
      </c>
      <c r="B25988" s="3" t="str">
        <f>HYPERLINK("https://www.773grp.com/manufacturer/onsemi?pageNo=1116", "ON Semiconductor")</f>
        <v>ON Semiconductor</v>
      </c>
      <c r="C25988" s="6">
        <v>10000</v>
      </c>
      <c r="D25988" s="7">
        <v>0.28000000000000003</v>
      </c>
      <c r="E25988" t="s">
        <v>69</v>
      </c>
    </row>
    <row r="25989" spans="1:5" x14ac:dyDescent="0.25">
      <c r="A25989" t="str">
        <f>HYPERLINK("https://www.773grp.com/globalSearch/MPSA42RL1G/page-1", "MPSA42RL1G")</f>
        <v>MPSA42RL1G</v>
      </c>
      <c r="B25989" s="3" t="str">
        <f>HYPERLINK("https://www.773grp.com/manufacturer/onsemi?pageNo=1117", "ON Semiconductor")</f>
        <v>ON Semiconductor</v>
      </c>
      <c r="C25989" s="6">
        <v>148000</v>
      </c>
      <c r="D25989" s="7">
        <v>0.28000000000000003</v>
      </c>
      <c r="E25989" t="s">
        <v>69</v>
      </c>
    </row>
    <row r="25990" spans="1:5" x14ac:dyDescent="0.25">
      <c r="A25990" t="str">
        <f>HYPERLINK("https://www.773grp.com/globalSearch/MPSA42RLRAG/page-1", "MPSA42RLRAG")</f>
        <v>MPSA42RLRAG</v>
      </c>
      <c r="B25990" s="3" t="str">
        <f>HYPERLINK("https://www.773grp.com/manufacturer/onsemi?pageNo=1118", "ON Semiconductor")</f>
        <v>ON Semiconductor</v>
      </c>
      <c r="C25990" s="6">
        <v>34549</v>
      </c>
      <c r="D25990" s="7">
        <v>0.28000000000000003</v>
      </c>
      <c r="E25990" t="s">
        <v>69</v>
      </c>
    </row>
    <row r="25991" spans="1:5" x14ac:dyDescent="0.25">
      <c r="A25991" t="str">
        <f>HYPERLINK("https://www.773grp.com/globalSearch/MPSA42RLRPG/page-1", "MPSA42RLRPG")</f>
        <v>MPSA42RLRPG</v>
      </c>
      <c r="B25991" s="3" t="str">
        <f>HYPERLINK("https://www.773grp.com/manufacturer/onsemi?pageNo=1119", "ON Semiconductor")</f>
        <v>ON Semiconductor</v>
      </c>
      <c r="C25991" s="6">
        <v>52000</v>
      </c>
      <c r="D25991" s="7">
        <v>0.28000000000000003</v>
      </c>
      <c r="E25991" t="s">
        <v>69</v>
      </c>
    </row>
    <row r="25992" spans="1:5" x14ac:dyDescent="0.25">
      <c r="A25992" t="str">
        <f>HYPERLINK("https://www.773grp.com/globalSearch/MPSA92G/page-1", "MPSA92G")</f>
        <v>MPSA92G</v>
      </c>
      <c r="B25992" s="3" t="str">
        <f>HYPERLINK("https://www.773grp.com/manufacturer/onsemi?pageNo=1120", "ON Semiconductor")</f>
        <v>ON Semiconductor</v>
      </c>
      <c r="C25992" s="6">
        <v>83700</v>
      </c>
      <c r="D25992" s="7">
        <v>0.28000000000000003</v>
      </c>
      <c r="E25992" t="s">
        <v>69</v>
      </c>
    </row>
    <row r="25993" spans="1:5" x14ac:dyDescent="0.25">
      <c r="A25993" t="str">
        <f>HYPERLINK("https://www.773grp.com/globalSearch/MPSA92RL1G/page-1", "MPSA92RL1G")</f>
        <v>MPSA92RL1G</v>
      </c>
      <c r="B25993" s="3" t="str">
        <f>HYPERLINK("https://www.773grp.com/manufacturer/onsemi?pageNo=1121", "ON Semiconductor")</f>
        <v>ON Semiconductor</v>
      </c>
      <c r="C25993" s="6">
        <v>2000</v>
      </c>
      <c r="D25993" s="7">
        <v>0.28000000000000003</v>
      </c>
      <c r="E25993" t="s">
        <v>69</v>
      </c>
    </row>
    <row r="25994" spans="1:5" x14ac:dyDescent="0.25">
      <c r="A25994" t="str">
        <f>HYPERLINK("https://www.773grp.com/globalSearch/MPSA92RLRAG/page-1", "MPSA92RLRAG")</f>
        <v>MPSA92RLRAG</v>
      </c>
      <c r="B25994" s="3" t="str">
        <f>HYPERLINK("https://www.773grp.com/manufacturer/onsemi?pageNo=1122", "ON Semiconductor")</f>
        <v>ON Semiconductor</v>
      </c>
      <c r="C25994" s="6">
        <v>20000</v>
      </c>
      <c r="D25994" s="7">
        <v>0.28000000000000003</v>
      </c>
      <c r="E25994" t="s">
        <v>69</v>
      </c>
    </row>
    <row r="25995" spans="1:5" x14ac:dyDescent="0.25">
      <c r="A25995" t="str">
        <f>HYPERLINK("https://www.773grp.com/globalSearch/MPSA92RLRPG/page-1", "MPSA92RLRPG")</f>
        <v>MPSA92RLRPG</v>
      </c>
      <c r="B25995" s="3" t="str">
        <f>HYPERLINK("https://www.773grp.com/manufacturer/onsemi?pageNo=1123", "ON Semiconductor")</f>
        <v>ON Semiconductor</v>
      </c>
      <c r="C25995" s="6">
        <v>19960</v>
      </c>
      <c r="D25995" s="7">
        <v>0.28000000000000003</v>
      </c>
      <c r="E25995" t="s">
        <v>69</v>
      </c>
    </row>
    <row r="25996" spans="1:5" x14ac:dyDescent="0.25">
      <c r="A25996" t="str">
        <f>HYPERLINK("https://www.773grp.com/globalSearch/MSB92ASWT1G/page-1", "MSB92ASWT1G")</f>
        <v>MSB92ASWT1G</v>
      </c>
      <c r="B25996" s="3" t="str">
        <f>HYPERLINK("https://www.773grp.com/manufacturer/onsemi?pageNo=1124", "ON Semiconductor")</f>
        <v>ON Semiconductor</v>
      </c>
      <c r="C25996" s="6">
        <v>118769</v>
      </c>
      <c r="D25996" s="7">
        <v>0.28000000000000003</v>
      </c>
      <c r="E25996" t="s">
        <v>69</v>
      </c>
    </row>
    <row r="25997" spans="1:5" x14ac:dyDescent="0.25">
      <c r="A25997" t="str">
        <f>HYPERLINK("https://www.773grp.com/globalSearch/MSB92AWT1G/page-1", "MSB92AWT1G")</f>
        <v>MSB92AWT1G</v>
      </c>
      <c r="B25997" s="3" t="str">
        <f>HYPERLINK("https://www.773grp.com/manufacturer/onsemi?pageNo=1125", "ON Semiconductor")</f>
        <v>ON Semiconductor</v>
      </c>
      <c r="C25997" s="6">
        <v>117000</v>
      </c>
      <c r="D25997" s="7">
        <v>0.28000000000000003</v>
      </c>
      <c r="E25997" t="s">
        <v>69</v>
      </c>
    </row>
    <row r="25998" spans="1:5" x14ac:dyDescent="0.25">
      <c r="A25998" t="str">
        <f>HYPERLINK("https://www.773grp.com/globalSearch/MSB92T1G/page-1", "MSB92T1G")</f>
        <v>MSB92T1G</v>
      </c>
      <c r="B25998" s="3" t="str">
        <f>HYPERLINK("https://www.773grp.com/manufacturer/onsemi?pageNo=1126", "ON Semiconductor")</f>
        <v>ON Semiconductor</v>
      </c>
      <c r="C25998" s="6">
        <v>165000</v>
      </c>
      <c r="D25998" s="7">
        <v>0.28000000000000003</v>
      </c>
      <c r="E25998" t="s">
        <v>69</v>
      </c>
    </row>
    <row r="25999" spans="1:5" x14ac:dyDescent="0.25">
      <c r="A25999" t="str">
        <f>HYPERLINK("https://www.773grp.com/globalSearch/MSB92WT1G/page-1", "MSB92WT1G")</f>
        <v>MSB92WT1G</v>
      </c>
      <c r="B25999" s="3" t="str">
        <f>HYPERLINK("https://www.773grp.com/manufacturer/onsemi?pageNo=1127", "ON Semiconductor")</f>
        <v>ON Semiconductor</v>
      </c>
      <c r="C25999" s="6">
        <v>22967</v>
      </c>
      <c r="D25999" s="7">
        <v>0.28000000000000003</v>
      </c>
      <c r="E25999" t="s">
        <v>69</v>
      </c>
    </row>
    <row r="26000" spans="1:5" x14ac:dyDescent="0.25">
      <c r="A26000" t="str">
        <f>HYPERLINK("https://www.773grp.com/globalSearch/MSD42SWT1G/page-1", "MSD42SWT1G")</f>
        <v>MSD42SWT1G</v>
      </c>
      <c r="B26000" s="3" t="str">
        <f>HYPERLINK("https://www.773grp.com/manufacturer/onsemi?pageNo=1128", "ON Semiconductor")</f>
        <v>ON Semiconductor</v>
      </c>
      <c r="C26000" s="6">
        <v>153000</v>
      </c>
      <c r="D26000" s="7">
        <v>0.28000000000000003</v>
      </c>
      <c r="E26000" t="s">
        <v>69</v>
      </c>
    </row>
    <row r="26001" spans="1:5" x14ac:dyDescent="0.25">
      <c r="A26001" t="str">
        <f>HYPERLINK("https://www.773grp.com/globalSearch/MSD42T1G/page-1", "MSD42T1G")</f>
        <v>MSD42T1G</v>
      </c>
      <c r="B26001" s="3" t="str">
        <f>HYPERLINK("https://www.773grp.com/manufacturer/onsemi?pageNo=1129", "ON Semiconductor")</f>
        <v>ON Semiconductor</v>
      </c>
      <c r="C26001" s="6">
        <v>1728000</v>
      </c>
      <c r="D26001" s="7">
        <v>0.28000000000000003</v>
      </c>
      <c r="E26001" t="s">
        <v>69</v>
      </c>
    </row>
    <row r="26002" spans="1:5" x14ac:dyDescent="0.25">
      <c r="A26002" t="str">
        <f>HYPERLINK("https://www.773grp.com/globalSearch/MSD42WT1G/page-1", "MSD42WT1G")</f>
        <v>MSD42WT1G</v>
      </c>
      <c r="B26002" s="3" t="str">
        <f>HYPERLINK("https://www.773grp.com/manufacturer/onsemi?pageNo=1130", "ON Semiconductor")</f>
        <v>ON Semiconductor</v>
      </c>
      <c r="C26002" s="6">
        <v>18340</v>
      </c>
      <c r="D26002" s="7">
        <v>0.28000000000000003</v>
      </c>
      <c r="E26002" t="s">
        <v>69</v>
      </c>
    </row>
    <row r="26003" spans="1:5" x14ac:dyDescent="0.25">
      <c r="A26003" t="str">
        <f>HYPERLINK("https://www.773grp.com/globalSearch/MSQA6V1W5T2G/page-1", "MSQA6V1W5T2G")</f>
        <v>MSQA6V1W5T2G</v>
      </c>
      <c r="B26003" s="3" t="str">
        <f>HYPERLINK("https://www.773grp.com/manufacturer/onsemi?pageNo=1131", "ON Semiconductor")</f>
        <v>ON Semiconductor</v>
      </c>
      <c r="C26003" s="6">
        <v>1209447</v>
      </c>
      <c r="D26003" s="7">
        <v>0.28000000000000003</v>
      </c>
      <c r="E26003" t="s">
        <v>96</v>
      </c>
    </row>
    <row r="26004" spans="1:5" x14ac:dyDescent="0.25">
      <c r="A26004" t="str">
        <f>HYPERLINK("https://www.773grp.com/globalSearch/MUN5112DW1T1G/page-1", "MUN5112DW1T1G")</f>
        <v>MUN5112DW1T1G</v>
      </c>
      <c r="B26004" s="3" t="str">
        <f>HYPERLINK("https://www.773grp.com/manufacturer/onsemi?pageNo=1132", "ON Semiconductor")</f>
        <v>ON Semiconductor</v>
      </c>
      <c r="C26004" s="6">
        <v>51000</v>
      </c>
      <c r="D26004" s="7">
        <v>0.28000000000000003</v>
      </c>
      <c r="E26004" t="s">
        <v>69</v>
      </c>
    </row>
    <row r="26005" spans="1:5" x14ac:dyDescent="0.25">
      <c r="A26005" t="str">
        <f>HYPERLINK("https://www.773grp.com/globalSearch/MUN5113DW1T1G/page-1", "MUN5113DW1T1G")</f>
        <v>MUN5113DW1T1G</v>
      </c>
      <c r="B26005" s="3" t="str">
        <f>HYPERLINK("https://www.773grp.com/manufacturer/onsemi?pageNo=1133", "ON Semiconductor")</f>
        <v>ON Semiconductor</v>
      </c>
      <c r="C26005" s="6">
        <v>9000</v>
      </c>
      <c r="D26005" s="7">
        <v>0.28000000000000003</v>
      </c>
    </row>
    <row r="26006" spans="1:5" x14ac:dyDescent="0.25">
      <c r="A26006" t="str">
        <f>HYPERLINK("https://www.773grp.com/globalSearch/MUN5114DW1T1G/page-1", "MUN5114DW1T1G")</f>
        <v>MUN5114DW1T1G</v>
      </c>
      <c r="B26006" s="3" t="str">
        <f>HYPERLINK("https://www.773grp.com/manufacturer/onsemi?pageNo=1134", "ON Semiconductor")</f>
        <v>ON Semiconductor</v>
      </c>
      <c r="C26006" s="6">
        <v>296900</v>
      </c>
      <c r="D26006" s="7">
        <v>0.28000000000000003</v>
      </c>
      <c r="E26006" t="s">
        <v>69</v>
      </c>
    </row>
    <row r="26007" spans="1:5" x14ac:dyDescent="0.25">
      <c r="A26007" t="str">
        <f>HYPERLINK("https://www.773grp.com/globalSearch/MUN5115DW1T1G/page-1", "MUN5115DW1T1G")</f>
        <v>MUN5115DW1T1G</v>
      </c>
      <c r="B26007" s="3" t="str">
        <f>HYPERLINK("https://www.773grp.com/manufacturer/onsemi?pageNo=1135", "ON Semiconductor")</f>
        <v>ON Semiconductor</v>
      </c>
      <c r="C26007" s="6">
        <v>273000</v>
      </c>
      <c r="D26007" s="7">
        <v>0.28000000000000003</v>
      </c>
      <c r="E26007" t="s">
        <v>69</v>
      </c>
    </row>
    <row r="26008" spans="1:5" x14ac:dyDescent="0.25">
      <c r="A26008" t="str">
        <f>HYPERLINK("https://www.773grp.com/globalSearch/MUN5116DW1T1G/page-1", "MUN5116DW1T1G")</f>
        <v>MUN5116DW1T1G</v>
      </c>
      <c r="B26008" s="3" t="str">
        <f>HYPERLINK("https://www.773grp.com/manufacturer/onsemi?pageNo=1136", "ON Semiconductor")</f>
        <v>ON Semiconductor</v>
      </c>
      <c r="C26008" s="6">
        <v>45000</v>
      </c>
      <c r="D26008" s="7">
        <v>0.28000000000000003</v>
      </c>
      <c r="E26008" t="s">
        <v>69</v>
      </c>
    </row>
    <row r="26009" spans="1:5" x14ac:dyDescent="0.25">
      <c r="A26009" t="str">
        <f>HYPERLINK("https://www.773grp.com/globalSearch/MUN5130DW1T1G/page-1", "MUN5130DW1T1G")</f>
        <v>MUN5130DW1T1G</v>
      </c>
      <c r="B26009" s="3" t="str">
        <f>HYPERLINK("https://www.773grp.com/manufacturer/onsemi?pageNo=1137", "ON Semiconductor")</f>
        <v>ON Semiconductor</v>
      </c>
      <c r="C26009" s="6">
        <v>51000</v>
      </c>
      <c r="D26009" s="7">
        <v>0.28000000000000003</v>
      </c>
      <c r="E26009" t="s">
        <v>69</v>
      </c>
    </row>
    <row r="26010" spans="1:5" x14ac:dyDescent="0.25">
      <c r="A26010" t="str">
        <f>HYPERLINK("https://www.773grp.com/globalSearch/MUN5131DW1T1G/page-1", "MUN5131DW1T1G")</f>
        <v>MUN5131DW1T1G</v>
      </c>
      <c r="B26010" s="3" t="str">
        <f>HYPERLINK("https://www.773grp.com/manufacturer/onsemi?pageNo=1138", "ON Semiconductor")</f>
        <v>ON Semiconductor</v>
      </c>
      <c r="C26010" s="6">
        <v>45000</v>
      </c>
      <c r="D26010" s="7">
        <v>0.28000000000000003</v>
      </c>
      <c r="E26010" t="s">
        <v>69</v>
      </c>
    </row>
    <row r="26011" spans="1:5" x14ac:dyDescent="0.25">
      <c r="A26011" t="str">
        <f>HYPERLINK("https://www.773grp.com/globalSearch/MUN5133DW1T1G/page-1", "MUN5133DW1T1G")</f>
        <v>MUN5133DW1T1G</v>
      </c>
      <c r="B26011" s="3" t="str">
        <f>HYPERLINK("https://www.773grp.com/manufacturer/onsemi?pageNo=1139", "ON Semiconductor")</f>
        <v>ON Semiconductor</v>
      </c>
      <c r="C26011" s="6">
        <v>132000</v>
      </c>
      <c r="D26011" s="7">
        <v>0.28000000000000003</v>
      </c>
      <c r="E26011" t="s">
        <v>69</v>
      </c>
    </row>
    <row r="26012" spans="1:5" x14ac:dyDescent="0.25">
      <c r="A26012" t="str">
        <f>HYPERLINK("https://www.773grp.com/globalSearch/MUN5134DW1T1G/page-1", "MUN5134DW1T1G")</f>
        <v>MUN5134DW1T1G</v>
      </c>
      <c r="B26012" s="3" t="str">
        <f>HYPERLINK("https://www.773grp.com/manufacturer/onsemi?pageNo=1140", "ON Semiconductor")</f>
        <v>ON Semiconductor</v>
      </c>
      <c r="C26012" s="6">
        <v>84500</v>
      </c>
      <c r="D26012" s="7">
        <v>0.28000000000000003</v>
      </c>
      <c r="E26012" t="s">
        <v>69</v>
      </c>
    </row>
    <row r="26013" spans="1:5" x14ac:dyDescent="0.25">
      <c r="A26013" t="str">
        <f>HYPERLINK("https://www.773grp.com/globalSearch/MUN5135DW1T1G/page-1", "MUN5135DW1T1G")</f>
        <v>MUN5135DW1T1G</v>
      </c>
      <c r="B26013" s="3" t="str">
        <f>HYPERLINK("https://www.773grp.com/manufacturer/onsemi?pageNo=1141", "ON Semiconductor")</f>
        <v>ON Semiconductor</v>
      </c>
      <c r="C26013" s="6">
        <v>57000</v>
      </c>
      <c r="D26013" s="7">
        <v>0.28000000000000003</v>
      </c>
      <c r="E26013" t="s">
        <v>69</v>
      </c>
    </row>
    <row r="26014" spans="1:5" x14ac:dyDescent="0.25">
      <c r="A26014" t="str">
        <f>HYPERLINK("https://www.773grp.com/globalSearch/MUN5211DW1T1G/page-1", "MUN5211DW1T1G")</f>
        <v>MUN5211DW1T1G</v>
      </c>
      <c r="B26014" s="3" t="str">
        <f>HYPERLINK("https://www.773grp.com/manufacturer/onsemi?pageNo=1142", "ON Semiconductor")</f>
        <v>ON Semiconductor</v>
      </c>
      <c r="C26014" s="6">
        <v>114000</v>
      </c>
      <c r="D26014" s="7">
        <v>0.28000000000000003</v>
      </c>
      <c r="E26014" t="s">
        <v>69</v>
      </c>
    </row>
    <row r="26015" spans="1:5" x14ac:dyDescent="0.25">
      <c r="A26015" t="str">
        <f>HYPERLINK("https://www.773grp.com/globalSearch/MUN5212DW1T1G/page-1", "MUN5212DW1T1G")</f>
        <v>MUN5212DW1T1G</v>
      </c>
      <c r="B26015" s="3" t="str">
        <f>HYPERLINK("https://www.773grp.com/manufacturer/onsemi?pageNo=1143", "ON Semiconductor")</f>
        <v>ON Semiconductor</v>
      </c>
      <c r="C26015" s="6">
        <v>60000</v>
      </c>
      <c r="D26015" s="7">
        <v>0.28000000000000003</v>
      </c>
      <c r="E26015" t="s">
        <v>69</v>
      </c>
    </row>
    <row r="26016" spans="1:5" x14ac:dyDescent="0.25">
      <c r="A26016" t="str">
        <f>HYPERLINK("https://www.773grp.com/globalSearch/MUN5213DW1T3G/page-1", "MUN5213DW1T3G")</f>
        <v>MUN5213DW1T3G</v>
      </c>
      <c r="B26016" s="3" t="str">
        <f>HYPERLINK("https://www.773grp.com/manufacturer/onsemi?pageNo=1144", "ON Semiconductor")</f>
        <v>ON Semiconductor</v>
      </c>
      <c r="C26016" s="6">
        <v>30000</v>
      </c>
      <c r="D26016" s="7">
        <v>0.28000000000000003</v>
      </c>
    </row>
    <row r="26017" spans="1:5" x14ac:dyDescent="0.25">
      <c r="A26017" t="str">
        <f>HYPERLINK("https://www.773grp.com/globalSearch/MUN5214DW1T1G/page-1", "MUN5214DW1T1G")</f>
        <v>MUN5214DW1T1G</v>
      </c>
      <c r="B26017" s="3" t="str">
        <f>HYPERLINK("https://www.773grp.com/manufacturer/onsemi?pageNo=1145", "ON Semiconductor")</f>
        <v>ON Semiconductor</v>
      </c>
      <c r="C26017" s="6">
        <v>44895</v>
      </c>
      <c r="D26017" s="7">
        <v>0.28000000000000003</v>
      </c>
      <c r="E26017" t="s">
        <v>69</v>
      </c>
    </row>
    <row r="26018" spans="1:5" x14ac:dyDescent="0.25">
      <c r="A26018" t="str">
        <f>HYPERLINK("https://www.773grp.com/globalSearch/MUN5215DW1T1G/page-1", "MUN5215DW1T1G")</f>
        <v>MUN5215DW1T1G</v>
      </c>
      <c r="B26018" s="3" t="str">
        <f>HYPERLINK("https://www.773grp.com/manufacturer/onsemi?pageNo=1146", "ON Semiconductor")</f>
        <v>ON Semiconductor</v>
      </c>
      <c r="C26018" s="6">
        <v>271700</v>
      </c>
      <c r="D26018" s="7">
        <v>0.28000000000000003</v>
      </c>
      <c r="E26018" t="s">
        <v>69</v>
      </c>
    </row>
    <row r="26019" spans="1:5" x14ac:dyDescent="0.25">
      <c r="A26019" t="str">
        <f>HYPERLINK("https://www.773grp.com/globalSearch/MUN5216DW1T1G/page-1", "MUN5216DW1T1G")</f>
        <v>MUN5216DW1T1G</v>
      </c>
      <c r="B26019" s="3" t="str">
        <f>HYPERLINK("https://www.773grp.com/manufacturer/onsemi?pageNo=1147", "ON Semiconductor")</f>
        <v>ON Semiconductor</v>
      </c>
      <c r="C26019" s="6">
        <v>39000</v>
      </c>
      <c r="D26019" s="7">
        <v>0.28000000000000003</v>
      </c>
      <c r="E26019" t="s">
        <v>69</v>
      </c>
    </row>
    <row r="26020" spans="1:5" x14ac:dyDescent="0.25">
      <c r="A26020" t="str">
        <f>HYPERLINK("https://www.773grp.com/globalSearch/MUN5230DW1T1G/page-1", "MUN5230DW1T1G")</f>
        <v>MUN5230DW1T1G</v>
      </c>
      <c r="B26020" s="3" t="str">
        <f>HYPERLINK("https://www.773grp.com/manufacturer/onsemi?pageNo=1148", "ON Semiconductor")</f>
        <v>ON Semiconductor</v>
      </c>
      <c r="C26020" s="6">
        <v>29035</v>
      </c>
      <c r="D26020" s="7">
        <v>0.28000000000000003</v>
      </c>
      <c r="E26020" t="s">
        <v>69</v>
      </c>
    </row>
    <row r="26021" spans="1:5" x14ac:dyDescent="0.25">
      <c r="A26021" t="str">
        <f>HYPERLINK("https://www.773grp.com/globalSearch/MUN5232DW1T1G/page-1", "MUN5232DW1T1G")</f>
        <v>MUN5232DW1T1G</v>
      </c>
      <c r="B26021" s="3" t="str">
        <f>HYPERLINK("https://www.773grp.com/manufacturer/onsemi?pageNo=1149", "ON Semiconductor")</f>
        <v>ON Semiconductor</v>
      </c>
      <c r="C26021" s="6">
        <v>54000</v>
      </c>
      <c r="D26021" s="7">
        <v>0.28000000000000003</v>
      </c>
      <c r="E26021" t="s">
        <v>69</v>
      </c>
    </row>
    <row r="26022" spans="1:5" x14ac:dyDescent="0.25">
      <c r="A26022" t="str">
        <f>HYPERLINK("https://www.773grp.com/globalSearch/MUN5233DW1T1G/page-1", "MUN5233DW1T1G")</f>
        <v>MUN5233DW1T1G</v>
      </c>
      <c r="B26022" s="3" t="str">
        <f>HYPERLINK("https://www.773grp.com/manufacturer/onsemi?pageNo=1150", "ON Semiconductor")</f>
        <v>ON Semiconductor</v>
      </c>
      <c r="C26022" s="6">
        <v>156000</v>
      </c>
      <c r="D26022" s="7">
        <v>0.28000000000000003</v>
      </c>
      <c r="E26022" t="s">
        <v>69</v>
      </c>
    </row>
    <row r="26023" spans="1:5" x14ac:dyDescent="0.25">
      <c r="A26023" t="str">
        <f>HYPERLINK("https://www.773grp.com/globalSearch/MUN5235DW1T1G/page-1", "MUN5235DW1T1G")</f>
        <v>MUN5235DW1T1G</v>
      </c>
      <c r="B26023" s="3" t="str">
        <f>HYPERLINK("https://www.773grp.com/manufacturer/onsemi?pageNo=1151", "ON Semiconductor")</f>
        <v>ON Semiconductor</v>
      </c>
      <c r="C26023" s="6">
        <v>464195</v>
      </c>
      <c r="D26023" s="7">
        <v>0.28000000000000003</v>
      </c>
      <c r="E26023" t="s">
        <v>69</v>
      </c>
    </row>
    <row r="26024" spans="1:5" x14ac:dyDescent="0.25">
      <c r="A26024" t="str">
        <f>HYPERLINK("https://www.773grp.com/globalSearch/MUN5236DW1T1G/page-1", "MUN5236DW1T1G")</f>
        <v>MUN5236DW1T1G</v>
      </c>
      <c r="B26024" s="3" t="str">
        <f>HYPERLINK("https://www.773grp.com/manufacturer/onsemi?pageNo=1152", "ON Semiconductor")</f>
        <v>ON Semiconductor</v>
      </c>
      <c r="C26024" s="6">
        <v>33000</v>
      </c>
      <c r="D26024" s="7">
        <v>0.28000000000000003</v>
      </c>
      <c r="E26024" t="s">
        <v>69</v>
      </c>
    </row>
    <row r="26025" spans="1:5" x14ac:dyDescent="0.25">
      <c r="A26025" t="str">
        <f>HYPERLINK("https://www.773grp.com/globalSearch/MUN5311DW1T1G/page-1", "MUN5311DW1T1G")</f>
        <v>MUN5311DW1T1G</v>
      </c>
      <c r="B26025" s="3" t="str">
        <f>HYPERLINK("https://www.773grp.com/manufacturer/onsemi?pageNo=1153", "ON Semiconductor")</f>
        <v>ON Semiconductor</v>
      </c>
      <c r="C26025" s="6">
        <v>39000</v>
      </c>
      <c r="D26025" s="7">
        <v>0.28000000000000003</v>
      </c>
      <c r="E26025" t="s">
        <v>69</v>
      </c>
    </row>
    <row r="26026" spans="1:5" x14ac:dyDescent="0.25">
      <c r="A26026" t="str">
        <f>HYPERLINK("https://www.773grp.com/globalSearch/MUN5311DW1T2G/page-1", "MUN5311DW1T2G")</f>
        <v>MUN5311DW1T2G</v>
      </c>
      <c r="B26026" s="3" t="str">
        <f>HYPERLINK("https://www.773grp.com/manufacturer/onsemi?pageNo=1154", "ON Semiconductor")</f>
        <v>ON Semiconductor</v>
      </c>
      <c r="C26026" s="6">
        <v>105000</v>
      </c>
      <c r="D26026" s="7">
        <v>0.28000000000000003</v>
      </c>
    </row>
    <row r="26027" spans="1:5" x14ac:dyDescent="0.25">
      <c r="A26027" t="str">
        <f>HYPERLINK("https://www.773grp.com/globalSearch/MUN5312DW1T1G/page-1", "MUN5312DW1T1G")</f>
        <v>MUN5312DW1T1G</v>
      </c>
      <c r="B26027" s="3" t="str">
        <f>HYPERLINK("https://www.773grp.com/manufacturer/onsemi?pageNo=1155", "ON Semiconductor")</f>
        <v>ON Semiconductor</v>
      </c>
      <c r="C26027" s="6">
        <v>36000</v>
      </c>
      <c r="D26027" s="7">
        <v>0.28000000000000003</v>
      </c>
      <c r="E26027" t="s">
        <v>69</v>
      </c>
    </row>
    <row r="26028" spans="1:5" x14ac:dyDescent="0.25">
      <c r="A26028" t="str">
        <f>HYPERLINK("https://www.773grp.com/globalSearch/MUN5312DW1T2G/page-1", "MUN5312DW1T2G")</f>
        <v>MUN5312DW1T2G</v>
      </c>
      <c r="B26028" s="3" t="str">
        <f>HYPERLINK("https://www.773grp.com/manufacturer/onsemi?pageNo=1156", "ON Semiconductor")</f>
        <v>ON Semiconductor</v>
      </c>
      <c r="C26028" s="6">
        <v>9000</v>
      </c>
      <c r="D26028" s="7">
        <v>0.28000000000000003</v>
      </c>
      <c r="E26028" t="s">
        <v>69</v>
      </c>
    </row>
    <row r="26029" spans="1:5" x14ac:dyDescent="0.25">
      <c r="A26029" t="str">
        <f>HYPERLINK("https://www.773grp.com/globalSearch/MUN5314DW1T1G/page-1", "MUN5314DW1T1G")</f>
        <v>MUN5314DW1T1G</v>
      </c>
      <c r="B26029" s="3" t="str">
        <f>HYPERLINK("https://www.773grp.com/manufacturer/onsemi?pageNo=1157", "ON Semiconductor")</f>
        <v>ON Semiconductor</v>
      </c>
      <c r="C26029" s="6">
        <v>20097</v>
      </c>
      <c r="D26029" s="7">
        <v>0.28000000000000003</v>
      </c>
      <c r="E26029" t="s">
        <v>69</v>
      </c>
    </row>
    <row r="26030" spans="1:5" x14ac:dyDescent="0.25">
      <c r="A26030" t="str">
        <f>HYPERLINK("https://www.773grp.com/globalSearch/MUN5315DW1T1G/page-1", "MUN5315DW1T1G")</f>
        <v>MUN5315DW1T1G</v>
      </c>
      <c r="B26030" s="3" t="str">
        <f>HYPERLINK("https://www.773grp.com/manufacturer/onsemi?pageNo=1158", "ON Semiconductor")</f>
        <v>ON Semiconductor</v>
      </c>
      <c r="C26030" s="6">
        <v>119990</v>
      </c>
      <c r="D26030" s="7">
        <v>0.28000000000000003</v>
      </c>
      <c r="E26030" t="s">
        <v>69</v>
      </c>
    </row>
    <row r="26031" spans="1:5" x14ac:dyDescent="0.25">
      <c r="A26031" t="str">
        <f>HYPERLINK("https://www.773grp.com/globalSearch/MUN5316DW1T1G/page-1", "MUN5316DW1T1G")</f>
        <v>MUN5316DW1T1G</v>
      </c>
      <c r="B26031" s="3" t="str">
        <f>HYPERLINK("https://www.773grp.com/manufacturer/onsemi?pageNo=1159", "ON Semiconductor")</f>
        <v>ON Semiconductor</v>
      </c>
      <c r="C26031" s="6">
        <v>746725</v>
      </c>
      <c r="D26031" s="7">
        <v>0.28000000000000003</v>
      </c>
      <c r="E26031" t="s">
        <v>69</v>
      </c>
    </row>
    <row r="26032" spans="1:5" x14ac:dyDescent="0.25">
      <c r="A26032" t="str">
        <f>HYPERLINK("https://www.773grp.com/globalSearch/MUN5330DW1T1G/page-1", "MUN5330DW1T1G")</f>
        <v>MUN5330DW1T1G</v>
      </c>
      <c r="B26032" s="3" t="str">
        <f>HYPERLINK("https://www.773grp.com/manufacturer/onsemi?pageNo=1160", "ON Semiconductor")</f>
        <v>ON Semiconductor</v>
      </c>
      <c r="C26032" s="6">
        <v>552000</v>
      </c>
      <c r="D26032" s="7">
        <v>0.28000000000000003</v>
      </c>
      <c r="E26032" t="s">
        <v>69</v>
      </c>
    </row>
    <row r="26033" spans="1:5" x14ac:dyDescent="0.25">
      <c r="A26033" t="str">
        <f>HYPERLINK("https://www.773grp.com/globalSearch/MUN5332DW1T1G/page-1", "MUN5332DW1T1G")</f>
        <v>MUN5332DW1T1G</v>
      </c>
      <c r="B26033" s="3" t="str">
        <f>HYPERLINK("https://www.773grp.com/manufacturer/onsemi?pageNo=1161", "ON Semiconductor")</f>
        <v>ON Semiconductor</v>
      </c>
      <c r="C26033" s="6">
        <v>21000</v>
      </c>
      <c r="D26033" s="7">
        <v>0.28000000000000003</v>
      </c>
      <c r="E26033" t="s">
        <v>69</v>
      </c>
    </row>
    <row r="26034" spans="1:5" x14ac:dyDescent="0.25">
      <c r="A26034" t="str">
        <f>HYPERLINK("https://www.773grp.com/globalSearch/MUN5335DW1T1G/page-1", "MUN5335DW1T1G")</f>
        <v>MUN5335DW1T1G</v>
      </c>
      <c r="B26034" s="3" t="str">
        <f>HYPERLINK("https://www.773grp.com/manufacturer/onsemi?pageNo=1162", "ON Semiconductor")</f>
        <v>ON Semiconductor</v>
      </c>
      <c r="C26034" s="6">
        <v>327879</v>
      </c>
      <c r="D26034" s="7">
        <v>0.28000000000000003</v>
      </c>
      <c r="E26034" t="s">
        <v>69</v>
      </c>
    </row>
    <row r="26035" spans="1:5" x14ac:dyDescent="0.25">
      <c r="A26035" t="str">
        <f>HYPERLINK("https://www.773grp.com/globalSearch/NL17SZ126DFT2/page-1", "NL17SZ126DFT2")</f>
        <v>NL17SZ126DFT2</v>
      </c>
      <c r="B26035" s="3" t="str">
        <f>HYPERLINK("https://www.773grp.com/manufacturer/onsemi?pageNo=1163", "ON Semiconductor")</f>
        <v>ON Semiconductor</v>
      </c>
      <c r="C26035" s="6">
        <v>329821</v>
      </c>
      <c r="D26035" s="7">
        <v>0.28000000000000003</v>
      </c>
      <c r="E26035" t="s">
        <v>14</v>
      </c>
    </row>
    <row r="26036" spans="1:5" x14ac:dyDescent="0.25">
      <c r="A26036" t="str">
        <f>HYPERLINK("https://www.773grp.com/globalSearch/NLAS4599DFT2/page-1", "NLAS4599DFT2")</f>
        <v>NLAS4599DFT2</v>
      </c>
      <c r="B26036" s="3" t="str">
        <f>HYPERLINK("https://www.773grp.com/manufacturer/onsemi?pageNo=1164", "ON Semiconductor")</f>
        <v>ON Semiconductor</v>
      </c>
      <c r="C26036" s="6">
        <v>2538892</v>
      </c>
      <c r="D26036" s="7">
        <v>0.28000000000000003</v>
      </c>
      <c r="E26036" t="s">
        <v>56</v>
      </c>
    </row>
    <row r="26037" spans="1:5" x14ac:dyDescent="0.25">
      <c r="A26037" t="str">
        <f>HYPERLINK("https://www.773grp.com/globalSearch/NLVHC1G66MUR2G/page-1", "NLVHC1G66MUR2G")</f>
        <v>NLVHC1G66MUR2G</v>
      </c>
      <c r="B26037" s="3" t="str">
        <f>HYPERLINK("https://www.773grp.com/manufacturer/onsemi?pageNo=1165", "ON Semiconductor")</f>
        <v>ON Semiconductor</v>
      </c>
      <c r="C26037" s="6">
        <v>87000</v>
      </c>
      <c r="D26037" s="7">
        <v>0.28000000000000003</v>
      </c>
      <c r="E26037" t="s">
        <v>56</v>
      </c>
    </row>
    <row r="26038" spans="1:5" x14ac:dyDescent="0.25">
      <c r="A26038" t="str">
        <f>HYPERLINK("https://www.773grp.com/globalSearch/NSBA114EDXV6T1/page-1", "NSBA114EDXV6T1")</f>
        <v>NSBA114EDXV6T1</v>
      </c>
      <c r="B26038" s="3" t="str">
        <f>HYPERLINK("https://www.773grp.com/manufacturer/onsemi?pageNo=1166", "ON Semiconductor")</f>
        <v>ON Semiconductor</v>
      </c>
      <c r="C26038" s="6">
        <v>24000</v>
      </c>
      <c r="D26038" s="7">
        <v>0.28000000000000003</v>
      </c>
      <c r="E26038" t="s">
        <v>69</v>
      </c>
    </row>
    <row r="26039" spans="1:5" x14ac:dyDescent="0.25">
      <c r="A26039" t="str">
        <f>HYPERLINK("https://www.773grp.com/globalSearch/NSBC114EDXV6T5/page-1", "NSBC114EDXV6T5")</f>
        <v>NSBC114EDXV6T5</v>
      </c>
      <c r="B26039" s="3" t="str">
        <f>HYPERLINK("https://www.773grp.com/manufacturer/onsemi?pageNo=1167", "ON Semiconductor")</f>
        <v>ON Semiconductor</v>
      </c>
      <c r="C26039" s="6">
        <v>896000</v>
      </c>
      <c r="D26039" s="7">
        <v>0.28000000000000003</v>
      </c>
      <c r="E26039" t="s">
        <v>69</v>
      </c>
    </row>
    <row r="26040" spans="1:5" x14ac:dyDescent="0.25">
      <c r="A26040" t="str">
        <f>HYPERLINK("https://www.773grp.com/globalSearch/NSBC114EPDXV6T5/page-1", "NSBC114EPDXV6T5")</f>
        <v>NSBC114EPDXV6T5</v>
      </c>
      <c r="B26040" s="3" t="str">
        <f>HYPERLINK("https://www.773grp.com/manufacturer/onsemi?pageNo=1168", "ON Semiconductor")</f>
        <v>ON Semiconductor</v>
      </c>
      <c r="C26040" s="6">
        <v>712000</v>
      </c>
      <c r="D26040" s="7">
        <v>0.28000000000000003</v>
      </c>
      <c r="E26040" t="s">
        <v>69</v>
      </c>
    </row>
    <row r="26041" spans="1:5" x14ac:dyDescent="0.25">
      <c r="A26041" t="str">
        <f>HYPERLINK("https://www.773grp.com/globalSearch/NSBC114YDXV6T1/page-1", "NSBC114YDXV6T1")</f>
        <v>NSBC114YDXV6T1</v>
      </c>
      <c r="B26041" s="3" t="str">
        <f>HYPERLINK("https://www.773grp.com/manufacturer/onsemi?pageNo=1169", "ON Semiconductor")</f>
        <v>ON Semiconductor</v>
      </c>
      <c r="C26041" s="6">
        <v>23960</v>
      </c>
      <c r="D26041" s="7">
        <v>0.28000000000000003</v>
      </c>
      <c r="E26041" t="s">
        <v>69</v>
      </c>
    </row>
    <row r="26042" spans="1:5" x14ac:dyDescent="0.25">
      <c r="A26042" t="str">
        <f>HYPERLINK("https://www.773grp.com/globalSearch/NSBC114YPDXV6T5/page-1", "NSBC114YPDXV6T5")</f>
        <v>NSBC114YPDXV6T5</v>
      </c>
      <c r="B26042" s="3" t="str">
        <f>HYPERLINK("https://www.773grp.com/manufacturer/onsemi?pageNo=1170", "ON Semiconductor")</f>
        <v>ON Semiconductor</v>
      </c>
      <c r="C26042" s="6">
        <v>200000</v>
      </c>
      <c r="D26042" s="7">
        <v>0.28000000000000003</v>
      </c>
      <c r="E26042" t="s">
        <v>69</v>
      </c>
    </row>
    <row r="26043" spans="1:5" x14ac:dyDescent="0.25">
      <c r="A26043" t="str">
        <f>HYPERLINK("https://www.773grp.com/globalSearch/NSBC123JDXV6T5/page-1", "NSBC123JDXV6T5")</f>
        <v>NSBC123JDXV6T5</v>
      </c>
      <c r="B26043" s="3" t="str">
        <f>HYPERLINK("https://www.773grp.com/manufacturer/onsemi?pageNo=1171", "ON Semiconductor")</f>
        <v>ON Semiconductor</v>
      </c>
      <c r="C26043" s="6">
        <v>183831</v>
      </c>
      <c r="D26043" s="7">
        <v>0.28000000000000003</v>
      </c>
      <c r="E26043" t="s">
        <v>69</v>
      </c>
    </row>
    <row r="26044" spans="1:5" x14ac:dyDescent="0.25">
      <c r="A26044" t="str">
        <f>HYPERLINK("https://www.773grp.com/globalSearch/NSBC124EDXV6T5/page-1", "NSBC124EDXV6T5")</f>
        <v>NSBC124EDXV6T5</v>
      </c>
      <c r="B26044" s="3" t="str">
        <f>HYPERLINK("https://www.773grp.com/manufacturer/onsemi?pageNo=1172", "ON Semiconductor")</f>
        <v>ON Semiconductor</v>
      </c>
      <c r="C26044" s="6">
        <v>24000</v>
      </c>
      <c r="D26044" s="7">
        <v>0.28000000000000003</v>
      </c>
      <c r="E26044" t="s">
        <v>69</v>
      </c>
    </row>
    <row r="26045" spans="1:5" x14ac:dyDescent="0.25">
      <c r="A26045" t="str">
        <f>HYPERLINK("https://www.773grp.com/globalSearch/NSBC124EPDXV6T5/page-1", "NSBC124EPDXV6T5")</f>
        <v>NSBC124EPDXV6T5</v>
      </c>
      <c r="B26045" s="3" t="str">
        <f>HYPERLINK("https://www.773grp.com/manufacturer/onsemi?pageNo=1173", "ON Semiconductor")</f>
        <v>ON Semiconductor</v>
      </c>
      <c r="C26045" s="6">
        <v>976000</v>
      </c>
      <c r="D26045" s="7">
        <v>0.28000000000000003</v>
      </c>
      <c r="E26045" t="s">
        <v>69</v>
      </c>
    </row>
    <row r="26046" spans="1:5" x14ac:dyDescent="0.25">
      <c r="A26046" t="str">
        <f>HYPERLINK("https://www.773grp.com/globalSearch/NSBC143TPDXV6T1/page-1", "NSBC143TPDXV6T1")</f>
        <v>NSBC143TPDXV6T1</v>
      </c>
      <c r="B26046" s="3" t="str">
        <f>HYPERLINK("https://www.773grp.com/manufacturer/onsemi?pageNo=1174", "ON Semiconductor")</f>
        <v>ON Semiconductor</v>
      </c>
      <c r="C26046" s="6">
        <v>620000</v>
      </c>
      <c r="D26046" s="7">
        <v>0.28000000000000003</v>
      </c>
      <c r="E26046" t="s">
        <v>69</v>
      </c>
    </row>
    <row r="26047" spans="1:5" x14ac:dyDescent="0.25">
      <c r="A26047" t="str">
        <f>HYPERLINK("https://www.773grp.com/globalSearch/NSBC143ZPDXV6T1/page-1", "NSBC143ZPDXV6T1")</f>
        <v>NSBC143ZPDXV6T1</v>
      </c>
      <c r="B26047" s="3" t="str">
        <f>HYPERLINK("https://www.773grp.com/manufacturer/onsemi?pageNo=1175", "ON Semiconductor")</f>
        <v>ON Semiconductor</v>
      </c>
      <c r="C26047" s="6">
        <v>92000</v>
      </c>
      <c r="D26047" s="7">
        <v>0.28000000000000003</v>
      </c>
      <c r="E26047" t="s">
        <v>69</v>
      </c>
    </row>
    <row r="26048" spans="1:5" x14ac:dyDescent="0.25">
      <c r="A26048" t="str">
        <f>HYPERLINK("https://www.773grp.com/globalSearch/NSBC144EDXV6T1/page-1", "NSBC144EDXV6T1")</f>
        <v>NSBC144EDXV6T1</v>
      </c>
      <c r="B26048" s="3" t="str">
        <f>HYPERLINK("https://www.773grp.com/manufacturer/onsemi?pageNo=1176", "ON Semiconductor")</f>
        <v>ON Semiconductor</v>
      </c>
      <c r="C26048" s="6">
        <v>268000</v>
      </c>
      <c r="D26048" s="7">
        <v>0.28000000000000003</v>
      </c>
      <c r="E26048" t="s">
        <v>69</v>
      </c>
    </row>
    <row r="26049" spans="1:5" x14ac:dyDescent="0.25">
      <c r="A26049" t="str">
        <f>HYPERLINK("https://www.773grp.com/globalSearch/NSR01F30NXT5G/page-1", "NSR01F30NXT5G")</f>
        <v>NSR01F30NXT5G</v>
      </c>
      <c r="B26049" s="3" t="str">
        <f>HYPERLINK("https://www.773grp.com/manufacturer/onsemi?pageNo=1177", "ON Semiconductor")</f>
        <v>ON Semiconductor</v>
      </c>
      <c r="C26049" s="6">
        <v>5000</v>
      </c>
      <c r="D26049" s="7">
        <v>0.28000000000000003</v>
      </c>
    </row>
    <row r="26050" spans="1:5" x14ac:dyDescent="0.25">
      <c r="A26050" t="str">
        <f>HYPERLINK("https://www.773grp.com/globalSearch/NSR01L30NXT5G/page-1", "NSR01L30NXT5G")</f>
        <v>NSR01L30NXT5G</v>
      </c>
      <c r="B26050" s="3" t="str">
        <f>HYPERLINK("https://www.773grp.com/manufacturer/onsemi?pageNo=1178", "ON Semiconductor")</f>
        <v>ON Semiconductor</v>
      </c>
      <c r="C26050" s="6">
        <v>85000</v>
      </c>
      <c r="D26050" s="7">
        <v>0.28000000000000003</v>
      </c>
      <c r="E26050" t="s">
        <v>94</v>
      </c>
    </row>
    <row r="26051" spans="1:5" x14ac:dyDescent="0.25">
      <c r="A26051" t="str">
        <f>HYPERLINK("https://www.773grp.com/globalSearch/NSR0230M2T5G/page-1", "NSR0230M2T5G")</f>
        <v>NSR0230M2T5G</v>
      </c>
      <c r="B26051" s="3" t="str">
        <f>HYPERLINK("https://www.773grp.com/manufacturer/onsemi?pageNo=1179", "ON Semiconductor")</f>
        <v>ON Semiconductor</v>
      </c>
      <c r="C26051" s="6">
        <v>1183370</v>
      </c>
      <c r="D26051" s="7">
        <v>0.28000000000000003</v>
      </c>
      <c r="E26051" t="s">
        <v>94</v>
      </c>
    </row>
    <row r="26052" spans="1:5" x14ac:dyDescent="0.25">
      <c r="A26052" t="str">
        <f>HYPERLINK("https://www.773grp.com/globalSearch/NSSB1001LT1/page-1", "NSSB1001LT1")</f>
        <v>NSSB1001LT1</v>
      </c>
      <c r="B26052" s="3" t="str">
        <f>HYPERLINK("https://www.773grp.com/manufacturer/onsemi?pageNo=1180", "ON Semiconductor")</f>
        <v>ON Semiconductor</v>
      </c>
      <c r="C26052" s="6">
        <v>408000</v>
      </c>
      <c r="D26052" s="7">
        <v>0.28000000000000003</v>
      </c>
    </row>
    <row r="26053" spans="1:5" x14ac:dyDescent="0.25">
      <c r="A26053" t="str">
        <f>HYPERLINK("https://www.773grp.com/globalSearch/NSVR0240V2T1G/page-1", "NSVR0240V2T1G")</f>
        <v>NSVR0240V2T1G</v>
      </c>
      <c r="B26053" s="3" t="str">
        <f>HYPERLINK("https://www.773grp.com/manufacturer/onsemi?pageNo=1181", "ON Semiconductor")</f>
        <v>ON Semiconductor</v>
      </c>
      <c r="C26053" s="6">
        <v>177000</v>
      </c>
      <c r="D26053" s="7">
        <v>0.28000000000000003</v>
      </c>
    </row>
    <row r="26054" spans="1:5" x14ac:dyDescent="0.25">
      <c r="A26054" t="str">
        <f>HYPERLINK("https://www.773grp.com/globalSearch/NTA4151PT1G/page-1", "NTA4151PT1G")</f>
        <v>NTA4151PT1G</v>
      </c>
      <c r="B26054" s="3" t="str">
        <f>HYPERLINK("https://www.773grp.com/manufacturer/onsemi?pageNo=1182", "ON Semiconductor")</f>
        <v>ON Semiconductor</v>
      </c>
      <c r="C26054" s="6">
        <v>199000</v>
      </c>
      <c r="D26054" s="7">
        <v>0.28000000000000003</v>
      </c>
      <c r="E26054" t="s">
        <v>106</v>
      </c>
    </row>
    <row r="26055" spans="1:5" x14ac:dyDescent="0.25">
      <c r="A26055" t="str">
        <f>HYPERLINK("https://www.773grp.com/globalSearch/NTA4151PT1H/page-1", "NTA4151PT1H")</f>
        <v>NTA4151PT1H</v>
      </c>
      <c r="B26055" s="3" t="str">
        <f>HYPERLINK("https://www.773grp.com/manufacturer/onsemi?pageNo=1183", "ON Semiconductor")</f>
        <v>ON Semiconductor</v>
      </c>
      <c r="C26055" s="6">
        <v>54000</v>
      </c>
      <c r="D26055" s="7">
        <v>0.28000000000000003</v>
      </c>
    </row>
    <row r="26056" spans="1:5" x14ac:dyDescent="0.25">
      <c r="A26056" t="str">
        <f>HYPERLINK("https://www.773grp.com/globalSearch/NTJD4001NT2G/page-1", "NTJD4001NT2G")</f>
        <v>NTJD4001NT2G</v>
      </c>
      <c r="B26056" s="3" t="str">
        <f>HYPERLINK("https://www.773grp.com/manufacturer/onsemi?pageNo=1184", "ON Semiconductor")</f>
        <v>ON Semiconductor</v>
      </c>
      <c r="C26056" s="6">
        <v>135000</v>
      </c>
      <c r="D26056" s="7">
        <v>0.28000000000000003</v>
      </c>
    </row>
    <row r="26057" spans="1:5" x14ac:dyDescent="0.25">
      <c r="A26057" t="str">
        <f>HYPERLINK("https://www.773grp.com/globalSearch/NTJS4405NT1/page-1", "NTJS4405NT1")</f>
        <v>NTJS4405NT1</v>
      </c>
      <c r="B26057" s="3" t="str">
        <f>HYPERLINK("https://www.773grp.com/manufacturer/onsemi?pageNo=1185", "ON Semiconductor")</f>
        <v>ON Semiconductor</v>
      </c>
      <c r="C26057" s="6">
        <v>2896</v>
      </c>
      <c r="D26057" s="7">
        <v>0.28000000000000003</v>
      </c>
      <c r="E26057" t="s">
        <v>106</v>
      </c>
    </row>
    <row r="26058" spans="1:5" x14ac:dyDescent="0.25">
      <c r="A26058" t="str">
        <f>HYPERLINK("https://www.773grp.com/globalSearch/NTJS4405NT1G/page-1", "NTJS4405NT1G")</f>
        <v>NTJS4405NT1G</v>
      </c>
      <c r="B26058" s="3" t="str">
        <f>HYPERLINK("https://www.773grp.com/manufacturer/onsemi?pageNo=1186", "ON Semiconductor")</f>
        <v>ON Semiconductor</v>
      </c>
      <c r="C26058" s="6">
        <v>530950</v>
      </c>
      <c r="D26058" s="7">
        <v>0.28000000000000003</v>
      </c>
      <c r="E26058" t="s">
        <v>106</v>
      </c>
    </row>
    <row r="26059" spans="1:5" x14ac:dyDescent="0.25">
      <c r="A26059" t="str">
        <f>HYPERLINK("https://www.773grp.com/globalSearch/NTR4503NT1/page-1", "NTR4503NT1")</f>
        <v>NTR4503NT1</v>
      </c>
      <c r="B26059" s="3" t="str">
        <f>HYPERLINK("https://www.773grp.com/manufacturer/onsemi?pageNo=1187", "ON Semiconductor")</f>
        <v>ON Semiconductor</v>
      </c>
      <c r="C26059" s="6">
        <v>4</v>
      </c>
      <c r="D26059" s="7">
        <v>0.28000000000000003</v>
      </c>
      <c r="E26059" t="s">
        <v>106</v>
      </c>
    </row>
    <row r="26060" spans="1:5" x14ac:dyDescent="0.25">
      <c r="A26060" t="str">
        <f>HYPERLINK("https://www.773grp.com/globalSearch/NTS4101PT1/page-1", "NTS4101PT1")</f>
        <v>NTS4101PT1</v>
      </c>
      <c r="B26060" s="3" t="str">
        <f>HYPERLINK("https://www.773grp.com/manufacturer/onsemi?pageNo=1188", "ON Semiconductor")</f>
        <v>ON Semiconductor</v>
      </c>
      <c r="C26060" s="6">
        <v>9000</v>
      </c>
      <c r="D26060" s="7">
        <v>0.28000000000000003</v>
      </c>
      <c r="E26060" t="s">
        <v>106</v>
      </c>
    </row>
    <row r="26061" spans="1:5" x14ac:dyDescent="0.25">
      <c r="A26061" t="str">
        <f>HYPERLINK("https://www.773grp.com/globalSearch/NTZD5110NT1G/page-1", "NTZD5110NT1G")</f>
        <v>NTZD5110NT1G</v>
      </c>
      <c r="B26061" s="3" t="str">
        <f>HYPERLINK("https://www.773grp.com/manufacturer/onsemi?pageNo=1189", "ON Semiconductor")</f>
        <v>ON Semiconductor</v>
      </c>
      <c r="C26061" s="6">
        <v>324000</v>
      </c>
      <c r="D26061" s="7">
        <v>0.28000000000000003</v>
      </c>
      <c r="E26061" t="s">
        <v>106</v>
      </c>
    </row>
    <row r="26062" spans="1:5" x14ac:dyDescent="0.25">
      <c r="A26062" t="str">
        <f>HYPERLINK("https://www.773grp.com/globalSearch/NUP4104X6T1/page-1", "NUP4104X6T1")</f>
        <v>NUP4104X6T1</v>
      </c>
      <c r="B26062" s="3" t="str">
        <f>HYPERLINK("https://www.773grp.com/manufacturer/onsemi?pageNo=1190", "ON Semiconductor")</f>
        <v>ON Semiconductor</v>
      </c>
      <c r="C26062" s="6">
        <v>44000</v>
      </c>
      <c r="D26062" s="7">
        <v>0.28000000000000003</v>
      </c>
      <c r="E26062" t="s">
        <v>96</v>
      </c>
    </row>
    <row r="26063" spans="1:5" x14ac:dyDescent="0.25">
      <c r="A26063" t="str">
        <f>HYPERLINK("https://www.773grp.com/globalSearch/NZQA6V8AXV5T1G/page-1", "NZQA6V8AXV5T1G")</f>
        <v>NZQA6V8AXV5T1G</v>
      </c>
      <c r="B26063" s="3" t="str">
        <f>HYPERLINK("https://www.773grp.com/manufacturer/onsemi?pageNo=1191", "ON Semiconductor")</f>
        <v>ON Semiconductor</v>
      </c>
      <c r="C26063" s="6">
        <v>271032</v>
      </c>
      <c r="D26063" s="7">
        <v>0.28000000000000003</v>
      </c>
      <c r="E26063" t="s">
        <v>96</v>
      </c>
    </row>
    <row r="26064" spans="1:5" x14ac:dyDescent="0.25">
      <c r="A26064" t="str">
        <f>HYPERLINK("https://www.773grp.com/globalSearch/NZQA6V8AXV5T2G/page-1", "NZQA6V8AXV5T2G")</f>
        <v>NZQA6V8AXV5T2G</v>
      </c>
      <c r="B26064" s="3" t="str">
        <f>HYPERLINK("https://www.773grp.com/manufacturer/onsemi?pageNo=1192", "ON Semiconductor")</f>
        <v>ON Semiconductor</v>
      </c>
      <c r="C26064" s="6">
        <v>980000</v>
      </c>
      <c r="D26064" s="7">
        <v>0.28000000000000003</v>
      </c>
    </row>
    <row r="26065" spans="1:5" x14ac:dyDescent="0.25">
      <c r="A26065" t="str">
        <f>HYPERLINK("https://www.773grp.com/globalSearch/NZQA6V8AXV5T3G/page-1", "NZQA6V8AXV5T3G")</f>
        <v>NZQA6V8AXV5T3G</v>
      </c>
      <c r="B26065" s="3" t="str">
        <f>HYPERLINK("https://www.773grp.com/manufacturer/onsemi?pageNo=1193", "ON Semiconductor")</f>
        <v>ON Semiconductor</v>
      </c>
      <c r="C26065" s="6">
        <v>3823575</v>
      </c>
      <c r="D26065" s="7">
        <v>0.28000000000000003</v>
      </c>
      <c r="E26065" t="s">
        <v>96</v>
      </c>
    </row>
    <row r="26066" spans="1:5" x14ac:dyDescent="0.25">
      <c r="A26066" t="str">
        <f>HYPERLINK("https://www.773grp.com/globalSearch/SBAS40-06LT1/page-1", "SBAS40-06LT1")</f>
        <v>SBAS40-06LT1</v>
      </c>
      <c r="B26066" s="3" t="str">
        <f>HYPERLINK("https://www.773grp.com/manufacturer/onsemi?pageNo=1194", "ON Semiconductor")</f>
        <v>ON Semiconductor</v>
      </c>
      <c r="C26066" s="6">
        <v>36000</v>
      </c>
      <c r="D26066" s="7">
        <v>0.28000000000000003</v>
      </c>
    </row>
    <row r="26067" spans="1:5" x14ac:dyDescent="0.25">
      <c r="A26067" t="str">
        <f>HYPERLINK("https://www.773grp.com/globalSearch/SBAT54ALT1/page-1", "SBAT54ALT1")</f>
        <v>SBAT54ALT1</v>
      </c>
      <c r="B26067" s="3" t="str">
        <f>HYPERLINK("https://www.773grp.com/manufacturer/onsemi?pageNo=1195", "ON Semiconductor")</f>
        <v>ON Semiconductor</v>
      </c>
      <c r="C26067" s="6">
        <v>27000</v>
      </c>
      <c r="D26067" s="7">
        <v>0.28000000000000003</v>
      </c>
    </row>
    <row r="26068" spans="1:5" x14ac:dyDescent="0.25">
      <c r="A26068" t="str">
        <f>HYPERLINK("https://www.773grp.com/globalSearch/SBAT54XV2T1G/page-1", "SBAT54XV2T1G")</f>
        <v>SBAT54XV2T1G</v>
      </c>
      <c r="B26068" s="3" t="str">
        <f>HYPERLINK("https://www.773grp.com/manufacturer/onsemi?pageNo=1196", "ON Semiconductor")</f>
        <v>ON Semiconductor</v>
      </c>
      <c r="C26068" s="6">
        <v>33000</v>
      </c>
      <c r="D26068" s="7">
        <v>0.28000000000000003</v>
      </c>
    </row>
    <row r="26069" spans="1:5" x14ac:dyDescent="0.25">
      <c r="A26069" t="str">
        <f>HYPERLINK("https://www.773grp.com/globalSearch/SBAV199LT1G/page-1", "SBAV199LT1G")</f>
        <v>SBAV199LT1G</v>
      </c>
      <c r="B26069" s="3" t="str">
        <f>HYPERLINK("https://www.773grp.com/manufacturer/onsemi?pageNo=1197", "ON Semiconductor")</f>
        <v>ON Semiconductor</v>
      </c>
      <c r="C26069" s="6">
        <v>3000</v>
      </c>
      <c r="D26069" s="7">
        <v>0.28000000000000003</v>
      </c>
    </row>
    <row r="26070" spans="1:5" x14ac:dyDescent="0.25">
      <c r="A26070" t="str">
        <f>HYPERLINK("https://www.773grp.com/globalSearch/SBRA301LT3/page-1", "SBRA301LT3")</f>
        <v>SBRA301LT3</v>
      </c>
      <c r="B26070" s="3" t="str">
        <f>HYPERLINK("https://www.773grp.com/manufacturer/onsemi?pageNo=1198", "ON Semiconductor")</f>
        <v>ON Semiconductor</v>
      </c>
      <c r="C26070" s="6">
        <v>35000</v>
      </c>
      <c r="D26070" s="7">
        <v>0.28000000000000003</v>
      </c>
    </row>
    <row r="26071" spans="1:5" x14ac:dyDescent="0.25">
      <c r="A26071" t="str">
        <f>HYPERLINK("https://www.773grp.com/globalSearch/SBRB106CTT4/page-1", "SBRB106CTT4")</f>
        <v>SBRB106CTT4</v>
      </c>
      <c r="B26071" s="3" t="str">
        <f>HYPERLINK("https://www.773grp.com/manufacturer/onsemi?pageNo=1199", "ON Semiconductor")</f>
        <v>ON Semiconductor</v>
      </c>
      <c r="C26071" s="6">
        <v>64800</v>
      </c>
      <c r="D26071" s="7">
        <v>0.28000000000000003</v>
      </c>
    </row>
    <row r="26072" spans="1:5" x14ac:dyDescent="0.25">
      <c r="A26072" t="str">
        <f>HYPERLINK("https://www.773grp.com/globalSearch/SC27975PK74/page-1", "SC27975PK74")</f>
        <v>SC27975PK74</v>
      </c>
      <c r="B26072" s="3" t="str">
        <f>HYPERLINK("https://www.773grp.com/manufacturer/onsemi?pageNo=1200", "ON Semiconductor")</f>
        <v>ON Semiconductor</v>
      </c>
      <c r="C26072" s="6">
        <v>25</v>
      </c>
      <c r="D26072" s="7">
        <v>0.28000000000000003</v>
      </c>
    </row>
    <row r="26073" spans="1:5" x14ac:dyDescent="0.25">
      <c r="A26073" t="str">
        <f>HYPERLINK("https://www.773grp.com/globalSearch/SD05T1G/page-1", "SD05T1G")</f>
        <v>SD05T1G</v>
      </c>
      <c r="B26073" s="3" t="str">
        <f>HYPERLINK("https://www.773grp.com/manufacturer/onsemi?pageNo=1201", "ON Semiconductor")</f>
        <v>ON Semiconductor</v>
      </c>
      <c r="C26073" s="6">
        <v>48000</v>
      </c>
      <c r="D26073" s="7">
        <v>0.28000000000000003</v>
      </c>
      <c r="E26073" t="s">
        <v>96</v>
      </c>
    </row>
    <row r="26074" spans="1:5" x14ac:dyDescent="0.25">
      <c r="A26074" t="str">
        <f>HYPERLINK("https://www.773grp.com/globalSearch/SD12T1G/page-1", "SD12T1G")</f>
        <v>SD12T1G</v>
      </c>
      <c r="B26074" s="3" t="str">
        <f>HYPERLINK("https://www.773grp.com/manufacturer/onsemi?pageNo=1202", "ON Semiconductor")</f>
        <v>ON Semiconductor</v>
      </c>
      <c r="C26074" s="6">
        <v>35950</v>
      </c>
      <c r="D26074" s="7">
        <v>0.28000000000000003</v>
      </c>
      <c r="E26074" t="s">
        <v>96</v>
      </c>
    </row>
    <row r="26075" spans="1:5" x14ac:dyDescent="0.25">
      <c r="A26075" t="str">
        <f>HYPERLINK("https://www.773grp.com/globalSearch/SL05T1/page-1", "SL05T1")</f>
        <v>SL05T1</v>
      </c>
      <c r="B26075" s="3" t="str">
        <f>HYPERLINK("https://www.773grp.com/manufacturer/onsemi?pageNo=1203", "ON Semiconductor")</f>
        <v>ON Semiconductor</v>
      </c>
      <c r="C26075" s="6">
        <v>1832</v>
      </c>
      <c r="D26075" s="7">
        <v>0.28000000000000003</v>
      </c>
      <c r="E26075" t="s">
        <v>96</v>
      </c>
    </row>
    <row r="26076" spans="1:5" x14ac:dyDescent="0.25">
      <c r="A26076" t="str">
        <f>HYPERLINK("https://www.773grp.com/globalSearch/SL15T1/page-1", "SL15T1")</f>
        <v>SL15T1</v>
      </c>
      <c r="B26076" s="3" t="str">
        <f>HYPERLINK("https://www.773grp.com/manufacturer/onsemi?pageNo=1204", "ON Semiconductor")</f>
        <v>ON Semiconductor</v>
      </c>
      <c r="C26076" s="6">
        <v>9000</v>
      </c>
      <c r="D26076" s="7">
        <v>0.28000000000000003</v>
      </c>
      <c r="E26076" t="s">
        <v>96</v>
      </c>
    </row>
    <row r="26077" spans="1:5" x14ac:dyDescent="0.25">
      <c r="A26077" t="str">
        <f>HYPERLINK("https://www.773grp.com/globalSearch/SMBT1553LT1/page-1", "SMBT1553LT1")</f>
        <v>SMBT1553LT1</v>
      </c>
      <c r="B26077" s="3" t="str">
        <f>HYPERLINK("https://www.773grp.com/manufacturer/onsemi?pageNo=1205", "ON Semiconductor")</f>
        <v>ON Semiconductor</v>
      </c>
      <c r="C26077" s="6">
        <v>30000</v>
      </c>
      <c r="D26077" s="7">
        <v>0.28000000000000003</v>
      </c>
    </row>
    <row r="26078" spans="1:5" x14ac:dyDescent="0.25">
      <c r="A26078" t="str">
        <f>HYPERLINK("https://www.773grp.com/globalSearch/SMBT1565LT1/page-1", "SMBT1565LT1")</f>
        <v>SMBT1565LT1</v>
      </c>
      <c r="B26078" s="3" t="str">
        <f>HYPERLINK("https://www.773grp.com/manufacturer/onsemi?pageNo=1206", "ON Semiconductor")</f>
        <v>ON Semiconductor</v>
      </c>
      <c r="C26078" s="6">
        <v>39000</v>
      </c>
      <c r="D26078" s="7">
        <v>0.28000000000000003</v>
      </c>
    </row>
    <row r="26079" spans="1:5" x14ac:dyDescent="0.25">
      <c r="A26079" t="str">
        <f>HYPERLINK("https://www.773grp.com/globalSearch/SMF18AT1/page-1", "SMF18AT1")</f>
        <v>SMF18AT1</v>
      </c>
      <c r="B26079" s="3" t="str">
        <f>HYPERLINK("https://www.773grp.com/manufacturer/onsemi?pageNo=1207", "ON Semiconductor")</f>
        <v>ON Semiconductor</v>
      </c>
      <c r="C26079" s="6">
        <v>5102</v>
      </c>
      <c r="D26079" s="7">
        <v>0.28000000000000003</v>
      </c>
      <c r="E26079" t="s">
        <v>96</v>
      </c>
    </row>
    <row r="26080" spans="1:5" x14ac:dyDescent="0.25">
      <c r="A26080" t="str">
        <f>HYPERLINK("https://www.773grp.com/globalSearch/SMF6.5AT1/page-1", "SMF6.5AT1")</f>
        <v>SMF6.5AT1</v>
      </c>
      <c r="B26080" s="3" t="str">
        <f>HYPERLINK("https://www.773grp.com/manufacturer/onsemi?pageNo=1208", "ON Semiconductor")</f>
        <v>ON Semiconductor</v>
      </c>
      <c r="C26080" s="6">
        <v>14930</v>
      </c>
      <c r="D26080" s="7">
        <v>0.28000000000000003</v>
      </c>
      <c r="E26080" t="s">
        <v>96</v>
      </c>
    </row>
    <row r="26081" spans="1:5" x14ac:dyDescent="0.25">
      <c r="A26081" t="str">
        <f>HYPERLINK("https://www.773grp.com/globalSearch/SMF70AT1/page-1", "SMF70AT1")</f>
        <v>SMF70AT1</v>
      </c>
      <c r="B26081" s="3" t="str">
        <f>HYPERLINK("https://www.773grp.com/manufacturer/onsemi?pageNo=1209", "ON Semiconductor")</f>
        <v>ON Semiconductor</v>
      </c>
      <c r="C26081" s="6">
        <v>3000</v>
      </c>
      <c r="D26081" s="7">
        <v>0.28000000000000003</v>
      </c>
      <c r="E26081" t="s">
        <v>96</v>
      </c>
    </row>
    <row r="26082" spans="1:5" x14ac:dyDescent="0.25">
      <c r="A26082" t="str">
        <f>HYPERLINK("https://www.773grp.com/globalSearch/SMMBT6517LT1/page-1", "SMMBT6517LT1")</f>
        <v>SMMBT6517LT1</v>
      </c>
      <c r="B26082" s="3" t="str">
        <f>HYPERLINK("https://www.773grp.com/manufacturer/onsemi?pageNo=1210", "ON Semiconductor")</f>
        <v>ON Semiconductor</v>
      </c>
      <c r="C26082" s="6">
        <v>3000</v>
      </c>
      <c r="D26082" s="7">
        <v>0.28000000000000003</v>
      </c>
    </row>
    <row r="26083" spans="1:5" x14ac:dyDescent="0.25">
      <c r="A26083" t="str">
        <f>HYPERLINK("https://www.773grp.com/globalSearch/SMMBT6520LT1/page-1", "SMMBT6520LT1")</f>
        <v>SMMBT6520LT1</v>
      </c>
      <c r="B26083" s="3" t="str">
        <f>HYPERLINK("https://www.773grp.com/manufacturer/onsemi?pageNo=1211", "ON Semiconductor")</f>
        <v>ON Semiconductor</v>
      </c>
      <c r="C26083" s="6">
        <v>6000</v>
      </c>
      <c r="D26083" s="7">
        <v>0.28000000000000003</v>
      </c>
    </row>
    <row r="26084" spans="1:5" x14ac:dyDescent="0.25">
      <c r="A26084" t="str">
        <f>HYPERLINK("https://www.773grp.com/globalSearch/SMMDL914T1G/page-1", "SMMDL914T1G")</f>
        <v>SMMDL914T1G</v>
      </c>
      <c r="B26084" s="3" t="str">
        <f>HYPERLINK("https://www.773grp.com/manufacturer/onsemi?pageNo=1212", "ON Semiconductor")</f>
        <v>ON Semiconductor</v>
      </c>
      <c r="C26084" s="6">
        <v>126000</v>
      </c>
      <c r="D26084" s="7">
        <v>0.28000000000000003</v>
      </c>
    </row>
    <row r="26085" spans="1:5" x14ac:dyDescent="0.25">
      <c r="A26085" t="str">
        <f>HYPERLINK("https://www.773grp.com/globalSearch/SPS9370/page-1", "SPS9370")</f>
        <v>SPS9370</v>
      </c>
      <c r="B26085" s="3" t="str">
        <f>HYPERLINK("https://www.773grp.com/manufacturer/onsemi?pageNo=1213", "ON Semiconductor")</f>
        <v>ON Semiconductor</v>
      </c>
      <c r="C26085" s="6">
        <v>165000</v>
      </c>
      <c r="D26085" s="7">
        <v>0.28000000000000003</v>
      </c>
    </row>
    <row r="26086" spans="1:5" x14ac:dyDescent="0.25">
      <c r="A26086" t="str">
        <f>HYPERLINK("https://www.773grp.com/globalSearch/SURS5650T3/page-1", "SURS5650T3")</f>
        <v>SURS5650T3</v>
      </c>
      <c r="B26086" s="3" t="str">
        <f>HYPERLINK("https://www.773grp.com/manufacturer/onsemi?pageNo=1214", "ON Semiconductor")</f>
        <v>ON Semiconductor</v>
      </c>
      <c r="C26086" s="6">
        <v>12500</v>
      </c>
      <c r="D26086" s="7">
        <v>0.28000000000000003</v>
      </c>
    </row>
    <row r="26087" spans="1:5" x14ac:dyDescent="0.25">
      <c r="A26087" t="str">
        <f>HYPERLINK("https://www.773grp.com/globalSearch/SURS5667T3/page-1", "SURS5667T3")</f>
        <v>SURS5667T3</v>
      </c>
      <c r="B26087" s="3" t="str">
        <f>HYPERLINK("https://www.773grp.com/manufacturer/onsemi?pageNo=1215", "ON Semiconductor")</f>
        <v>ON Semiconductor</v>
      </c>
      <c r="C26087" s="6">
        <v>5000</v>
      </c>
      <c r="D26087" s="7">
        <v>0.28000000000000003</v>
      </c>
    </row>
    <row r="26088" spans="1:5" x14ac:dyDescent="0.25">
      <c r="A26088" t="str">
        <f>HYPERLINK("https://www.773grp.com/globalSearch/SZMM5Z16VT1G/page-1", "SZMM5Z16VT1G")</f>
        <v>SZMM5Z16VT1G</v>
      </c>
      <c r="B26088" s="3" t="str">
        <f>HYPERLINK("https://www.773grp.com/manufacturer/onsemi?pageNo=1216", "ON Semiconductor")</f>
        <v>ON Semiconductor</v>
      </c>
      <c r="C26088" s="6">
        <v>3000</v>
      </c>
      <c r="D26088" s="7">
        <v>0.28000000000000003</v>
      </c>
    </row>
    <row r="26089" spans="1:5" x14ac:dyDescent="0.25">
      <c r="A26089" t="str">
        <f>HYPERLINK("https://www.773grp.com/globalSearch/SZMM5Z36VT1G/page-1", "SZMM5Z36VT1G")</f>
        <v>SZMM5Z36VT1G</v>
      </c>
      <c r="B26089" s="3" t="str">
        <f>HYPERLINK("https://www.773grp.com/manufacturer/onsemi?pageNo=1217", "ON Semiconductor")</f>
        <v>ON Semiconductor</v>
      </c>
      <c r="C26089" s="6">
        <v>3000</v>
      </c>
      <c r="D26089" s="7">
        <v>0.28000000000000003</v>
      </c>
    </row>
    <row r="26090" spans="1:5" x14ac:dyDescent="0.25">
      <c r="A26090" t="str">
        <f>HYPERLINK("https://www.773grp.com/globalSearch/SZMM5Z3V3T1G/page-1", "SZMM5Z3V3T1G")</f>
        <v>SZMM5Z3V3T1G</v>
      </c>
      <c r="B26090" s="3" t="str">
        <f>HYPERLINK("https://www.773grp.com/manufacturer/onsemi?pageNo=1218", "ON Semiconductor")</f>
        <v>ON Semiconductor</v>
      </c>
      <c r="C26090" s="6">
        <v>3000</v>
      </c>
      <c r="D26090" s="7">
        <v>0.28000000000000003</v>
      </c>
    </row>
    <row r="26091" spans="1:5" x14ac:dyDescent="0.25">
      <c r="A26091" t="str">
        <f>HYPERLINK("https://www.773grp.com/globalSearch/SZMM5Z5V1T1G/page-1", "SZMM5Z5V1T1G")</f>
        <v>SZMM5Z5V1T1G</v>
      </c>
      <c r="B26091" s="3" t="str">
        <f>HYPERLINK("https://www.773grp.com/manufacturer/onsemi?pageNo=1219", "ON Semiconductor")</f>
        <v>ON Semiconductor</v>
      </c>
      <c r="C26091" s="6">
        <v>3000</v>
      </c>
      <c r="D26091" s="7">
        <v>0.28000000000000003</v>
      </c>
    </row>
    <row r="26092" spans="1:5" x14ac:dyDescent="0.25">
      <c r="A26092" t="str">
        <f>HYPERLINK("https://www.773grp.com/globalSearch/SZMM5Z7V5T1G/page-1", "SZMM5Z7V5T1G")</f>
        <v>SZMM5Z7V5T1G</v>
      </c>
      <c r="B26092" s="3" t="str">
        <f>HYPERLINK("https://www.773grp.com/manufacturer/onsemi?pageNo=1220", "ON Semiconductor")</f>
        <v>ON Semiconductor</v>
      </c>
      <c r="C26092" s="6">
        <v>3000</v>
      </c>
      <c r="D26092" s="7">
        <v>0.28000000000000003</v>
      </c>
    </row>
    <row r="26093" spans="1:5" x14ac:dyDescent="0.25">
      <c r="A26093" t="str">
        <f>HYPERLINK("https://www.773grp.com/globalSearch/SZMM5Z8V2T1G/page-1", "SZMM5Z8V2T1G")</f>
        <v>SZMM5Z8V2T1G</v>
      </c>
      <c r="B26093" s="3" t="str">
        <f>HYPERLINK("https://www.773grp.com/manufacturer/onsemi?pageNo=1221", "ON Semiconductor")</f>
        <v>ON Semiconductor</v>
      </c>
      <c r="C26093" s="6">
        <v>3000</v>
      </c>
      <c r="D26093" s="7">
        <v>0.28000000000000003</v>
      </c>
    </row>
    <row r="26094" spans="1:5" x14ac:dyDescent="0.25">
      <c r="A26094" t="str">
        <f>HYPERLINK("https://www.773grp.com/globalSearch/SZMM5Z9V1T1G/page-1", "SZMM5Z9V1T1G")</f>
        <v>SZMM5Z9V1T1G</v>
      </c>
      <c r="B26094" s="3" t="str">
        <f>HYPERLINK("https://www.773grp.com/manufacturer/onsemi?pageNo=1222", "ON Semiconductor")</f>
        <v>ON Semiconductor</v>
      </c>
      <c r="C26094" s="6">
        <v>6000</v>
      </c>
      <c r="D26094" s="7">
        <v>0.28000000000000003</v>
      </c>
    </row>
    <row r="26095" spans="1:5" x14ac:dyDescent="0.25">
      <c r="A26095" t="str">
        <f>HYPERLINK("https://www.773grp.com/globalSearch/SZMMBZ5241BLT1/page-1", "SZMMBZ5241BLT1")</f>
        <v>SZMMBZ5241BLT1</v>
      </c>
      <c r="B26095" s="3" t="str">
        <f>HYPERLINK("https://www.773grp.com/manufacturer/onsemi?pageNo=1223", "ON Semiconductor")</f>
        <v>ON Semiconductor</v>
      </c>
      <c r="C26095" s="6">
        <v>42000</v>
      </c>
      <c r="D26095" s="7">
        <v>0.28000000000000003</v>
      </c>
    </row>
    <row r="26096" spans="1:5" x14ac:dyDescent="0.25">
      <c r="A26096" t="str">
        <f>HYPERLINK("https://www.773grp.com/globalSearch/SZMMBZ5242BLT1/page-1", "SZMMBZ5242BLT1")</f>
        <v>SZMMBZ5242BLT1</v>
      </c>
      <c r="B26096" s="3" t="str">
        <f>HYPERLINK("https://www.773grp.com/manufacturer/onsemi?pageNo=1224", "ON Semiconductor")</f>
        <v>ON Semiconductor</v>
      </c>
      <c r="C26096" s="6">
        <v>18000</v>
      </c>
      <c r="D26096" s="7">
        <v>0.28000000000000003</v>
      </c>
    </row>
    <row r="26097" spans="1:5" x14ac:dyDescent="0.25">
      <c r="A26097" t="str">
        <f>HYPERLINK("https://www.773grp.com/globalSearch/TF252-4-TL-H/page-1", "TF252-4-TL-H")</f>
        <v>TF252-4-TL-H</v>
      </c>
      <c r="B26097" s="3" t="str">
        <f>HYPERLINK("https://www.773grp.com/manufacturer/onsemi?pageNo=1225", "ON Semiconductor")</f>
        <v>ON Semiconductor</v>
      </c>
      <c r="C26097" s="6">
        <v>60000</v>
      </c>
      <c r="D26097" s="7">
        <v>0.28000000000000003</v>
      </c>
    </row>
    <row r="26098" spans="1:5" x14ac:dyDescent="0.25">
      <c r="A26098" t="str">
        <f>HYPERLINK("https://www.773grp.com/globalSearch/TF252-5-TL-H/page-1", "TF252-5-TL-H")</f>
        <v>TF252-5-TL-H</v>
      </c>
      <c r="B26098" s="3" t="str">
        <f>HYPERLINK("https://www.773grp.com/manufacturer/onsemi?pageNo=1226", "ON Semiconductor")</f>
        <v>ON Semiconductor</v>
      </c>
      <c r="C26098" s="6">
        <v>110000</v>
      </c>
      <c r="D26098" s="7">
        <v>0.28000000000000003</v>
      </c>
    </row>
    <row r="26099" spans="1:5" x14ac:dyDescent="0.25">
      <c r="A26099" t="str">
        <f>HYPERLINK("https://www.773grp.com/globalSearch/UESD12ST5G/page-1", "UESD12ST5G")</f>
        <v>UESD12ST5G</v>
      </c>
      <c r="B26099" s="3" t="str">
        <f>HYPERLINK("https://www.773grp.com/manufacturer/onsemi?pageNo=1227", "ON Semiconductor")</f>
        <v>ON Semiconductor</v>
      </c>
      <c r="C26099" s="6">
        <v>8000</v>
      </c>
      <c r="D26099" s="7">
        <v>0.28000000000000003</v>
      </c>
      <c r="E26099" t="s">
        <v>96</v>
      </c>
    </row>
    <row r="26100" spans="1:5" x14ac:dyDescent="0.25">
      <c r="A26100" t="str">
        <f>HYPERLINK("https://www.773grp.com/globalSearch/UESD3.3DT5G/page-1", "UESD3.3DT5G")</f>
        <v>UESD3.3DT5G</v>
      </c>
      <c r="B26100" s="3" t="str">
        <f>HYPERLINK("https://www.773grp.com/manufacturer/onsemi?pageNo=1228", "ON Semiconductor")</f>
        <v>ON Semiconductor</v>
      </c>
      <c r="C26100" s="6">
        <v>16033</v>
      </c>
      <c r="D26100" s="7">
        <v>0.28000000000000003</v>
      </c>
      <c r="E26100" t="s">
        <v>96</v>
      </c>
    </row>
    <row r="26101" spans="1:5" x14ac:dyDescent="0.25">
      <c r="A26101" t="str">
        <f>HYPERLINK("https://www.773grp.com/globalSearch/UESD5.0DT5G/page-1", "UESD5.0DT5G")</f>
        <v>UESD5.0DT5G</v>
      </c>
      <c r="B26101" s="3" t="str">
        <f>HYPERLINK("https://www.773grp.com/manufacturer/onsemi?pageNo=1229", "ON Semiconductor")</f>
        <v>ON Semiconductor</v>
      </c>
      <c r="C26101" s="6">
        <v>130522</v>
      </c>
      <c r="D26101" s="7">
        <v>0.28000000000000003</v>
      </c>
      <c r="E26101" t="s">
        <v>96</v>
      </c>
    </row>
    <row r="26102" spans="1:5" x14ac:dyDescent="0.25">
      <c r="A26102" t="str">
        <f>HYPERLINK("https://www.773grp.com/globalSearch/UESD5.0ST5G/page-1", "UESD5.0ST5G")</f>
        <v>UESD5.0ST5G</v>
      </c>
      <c r="B26102" s="3" t="str">
        <f>HYPERLINK("https://www.773grp.com/manufacturer/onsemi?pageNo=1230", "ON Semiconductor")</f>
        <v>ON Semiconductor</v>
      </c>
      <c r="C26102" s="6">
        <v>505628</v>
      </c>
      <c r="D26102" s="7">
        <v>0.28000000000000003</v>
      </c>
      <c r="E26102" t="s">
        <v>96</v>
      </c>
    </row>
    <row r="26103" spans="1:5" x14ac:dyDescent="0.25">
      <c r="A26103" t="str">
        <f>HYPERLINK("https://www.773grp.com/globalSearch/UESD6.0DT5G/page-1", "UESD6.0DT5G")</f>
        <v>UESD6.0DT5G</v>
      </c>
      <c r="B26103" s="3" t="str">
        <f>HYPERLINK("https://www.773grp.com/manufacturer/onsemi?pageNo=1231", "ON Semiconductor")</f>
        <v>ON Semiconductor</v>
      </c>
      <c r="C26103" s="6">
        <v>106000</v>
      </c>
      <c r="D26103" s="7">
        <v>0.28000000000000003</v>
      </c>
      <c r="E26103" t="s">
        <v>96</v>
      </c>
    </row>
    <row r="26104" spans="1:5" x14ac:dyDescent="0.25">
      <c r="A26104" t="str">
        <f>HYPERLINK("https://www.773grp.com/globalSearch/VN2222LLG/page-1", "VN2222LLG")</f>
        <v>VN2222LLG</v>
      </c>
      <c r="B26104" s="3" t="str">
        <f>HYPERLINK("https://www.773grp.com/manufacturer/onsemi?pageNo=1232", "ON Semiconductor")</f>
        <v>ON Semiconductor</v>
      </c>
      <c r="C26104" s="6">
        <v>17500</v>
      </c>
      <c r="D26104" s="7">
        <v>0.28000000000000003</v>
      </c>
      <c r="E26104" t="s">
        <v>106</v>
      </c>
    </row>
    <row r="26105" spans="1:5" x14ac:dyDescent="0.25">
      <c r="A26105" t="str">
        <f>HYPERLINK("https://www.773grp.com/globalSearch/1N4740A/page-1", "1N4740A")</f>
        <v>1N4740A</v>
      </c>
      <c r="B26105" s="3" t="str">
        <f>HYPERLINK("https://www.773grp.com/manufacturer/onsemi?pageNo=1233", "ON Semiconductor")</f>
        <v>ON Semiconductor</v>
      </c>
      <c r="C26105" s="6">
        <v>92196</v>
      </c>
      <c r="D26105" s="7">
        <v>0.33</v>
      </c>
      <c r="E26105" t="s">
        <v>98</v>
      </c>
    </row>
    <row r="26106" spans="1:5" x14ac:dyDescent="0.25">
      <c r="A26106" t="str">
        <f>HYPERLINK("https://www.773grp.com/globalSearch/1N4741A/page-1", "1N4741A")</f>
        <v>1N4741A</v>
      </c>
      <c r="B26106" s="3" t="str">
        <f>HYPERLINK("https://www.773grp.com/manufacturer/onsemi?pageNo=1234", "ON Semiconductor")</f>
        <v>ON Semiconductor</v>
      </c>
      <c r="C26106" s="6">
        <v>6415</v>
      </c>
      <c r="D26106" s="7">
        <v>0.33</v>
      </c>
      <c r="E26106" t="s">
        <v>98</v>
      </c>
    </row>
    <row r="26107" spans="1:5" x14ac:dyDescent="0.25">
      <c r="A26107" t="str">
        <f>HYPERLINK("https://www.773grp.com/globalSearch/1N4748A/page-1", "1N4748A")</f>
        <v>1N4748A</v>
      </c>
      <c r="B26107" s="3" t="str">
        <f>HYPERLINK("https://www.773grp.com/manufacturer/onsemi?pageNo=1235", "ON Semiconductor")</f>
        <v>ON Semiconductor</v>
      </c>
      <c r="C26107" s="6">
        <v>780</v>
      </c>
      <c r="D26107" s="7">
        <v>0.33</v>
      </c>
      <c r="E26107" t="s">
        <v>98</v>
      </c>
    </row>
    <row r="26108" spans="1:5" x14ac:dyDescent="0.25">
      <c r="A26108" t="str">
        <f>HYPERLINK("https://www.773grp.com/globalSearch/1N5817G/page-1", "1N5817G")</f>
        <v>1N5817G</v>
      </c>
      <c r="B26108" s="3" t="str">
        <f>HYPERLINK("https://www.773grp.com/manufacturer/onsemi?pageNo=1236", "ON Semiconductor")</f>
        <v>ON Semiconductor</v>
      </c>
      <c r="C26108" s="6">
        <v>43685</v>
      </c>
      <c r="D26108" s="7">
        <v>0.33</v>
      </c>
      <c r="E26108" t="s">
        <v>94</v>
      </c>
    </row>
    <row r="26109" spans="1:5" x14ac:dyDescent="0.25">
      <c r="A26109" t="str">
        <f>HYPERLINK("https://www.773grp.com/globalSearch/1N5817RLG/page-1", "1N5817RLG")</f>
        <v>1N5817RLG</v>
      </c>
      <c r="B26109" s="3" t="str">
        <f>HYPERLINK("https://www.773grp.com/manufacturer/onsemi?pageNo=1237", "ON Semiconductor")</f>
        <v>ON Semiconductor</v>
      </c>
      <c r="C26109" s="6">
        <v>121557</v>
      </c>
      <c r="D26109" s="7">
        <v>0.33</v>
      </c>
      <c r="E26109" t="s">
        <v>94</v>
      </c>
    </row>
    <row r="26110" spans="1:5" x14ac:dyDescent="0.25">
      <c r="A26110" t="str">
        <f>HYPERLINK("https://www.773grp.com/globalSearch/1N5818G/page-1", "1N5818G")</f>
        <v>1N5818G</v>
      </c>
      <c r="B26110" s="3" t="str">
        <f>HYPERLINK("https://www.773grp.com/manufacturer/onsemi?pageNo=1238", "ON Semiconductor")</f>
        <v>ON Semiconductor</v>
      </c>
      <c r="C26110" s="6">
        <v>77215</v>
      </c>
      <c r="D26110" s="7">
        <v>0.33</v>
      </c>
      <c r="E26110" t="s">
        <v>94</v>
      </c>
    </row>
    <row r="26111" spans="1:5" x14ac:dyDescent="0.25">
      <c r="A26111" t="str">
        <f>HYPERLINK("https://www.773grp.com/globalSearch/1N5818RLG/page-1", "1N5818RLG")</f>
        <v>1N5818RLG</v>
      </c>
      <c r="B26111" s="3" t="str">
        <f>HYPERLINK("https://www.773grp.com/manufacturer/onsemi?pageNo=1239", "ON Semiconductor")</f>
        <v>ON Semiconductor</v>
      </c>
      <c r="C26111" s="6">
        <v>594371</v>
      </c>
      <c r="D26111" s="7">
        <v>0.33</v>
      </c>
      <c r="E26111" t="s">
        <v>94</v>
      </c>
    </row>
    <row r="26112" spans="1:5" x14ac:dyDescent="0.25">
      <c r="A26112" t="str">
        <f>HYPERLINK("https://www.773grp.com/globalSearch/1N5819G/page-1", "1N5819G")</f>
        <v>1N5819G</v>
      </c>
      <c r="B26112" s="3" t="str">
        <f>HYPERLINK("https://www.773grp.com/manufacturer/onsemi?pageNo=1240", "ON Semiconductor")</f>
        <v>ON Semiconductor</v>
      </c>
      <c r="C26112" s="6">
        <v>48730</v>
      </c>
      <c r="D26112" s="7">
        <v>0.33</v>
      </c>
      <c r="E26112" t="s">
        <v>94</v>
      </c>
    </row>
    <row r="26113" spans="1:5" x14ac:dyDescent="0.25">
      <c r="A26113" t="str">
        <f>HYPERLINK("https://www.773grp.com/globalSearch/1N5819RLG/page-1", "1N5819RLG")</f>
        <v>1N5819RLG</v>
      </c>
      <c r="B26113" s="3" t="str">
        <f>HYPERLINK("https://www.773grp.com/manufacturer/onsemi?pageNo=1241", "ON Semiconductor")</f>
        <v>ON Semiconductor</v>
      </c>
      <c r="C26113" s="6">
        <v>57758</v>
      </c>
      <c r="D26113" s="7">
        <v>0.33</v>
      </c>
      <c r="E26113" t="s">
        <v>94</v>
      </c>
    </row>
    <row r="26114" spans="1:5" x14ac:dyDescent="0.25">
      <c r="A26114" t="str">
        <f>HYPERLINK("https://www.773grp.com/globalSearch/1N5913BRLG/page-1", "1N5913BRLG")</f>
        <v>1N5913BRLG</v>
      </c>
      <c r="B26114" s="3" t="str">
        <f>HYPERLINK("https://www.773grp.com/manufacturer/onsemi?pageNo=1242", "ON Semiconductor")</f>
        <v>ON Semiconductor</v>
      </c>
      <c r="C26114" s="6">
        <v>2165</v>
      </c>
      <c r="D26114" s="7">
        <v>0.33</v>
      </c>
      <c r="E26114" t="s">
        <v>98</v>
      </c>
    </row>
    <row r="26115" spans="1:5" x14ac:dyDescent="0.25">
      <c r="A26115" t="str">
        <f>HYPERLINK("https://www.773grp.com/globalSearch/1N5924BRLG/page-1", "1N5924BRLG")</f>
        <v>1N5924BRLG</v>
      </c>
      <c r="B26115" s="3" t="str">
        <f>HYPERLINK("https://www.773grp.com/manufacturer/onsemi?pageNo=1243", "ON Semiconductor")</f>
        <v>ON Semiconductor</v>
      </c>
      <c r="C26115" s="6">
        <v>12000</v>
      </c>
      <c r="D26115" s="7">
        <v>0.33</v>
      </c>
      <c r="E26115" t="s">
        <v>98</v>
      </c>
    </row>
    <row r="26116" spans="1:5" x14ac:dyDescent="0.25">
      <c r="A26116" t="str">
        <f>HYPERLINK("https://www.773grp.com/globalSearch/1N5940BRLG/page-1", "1N5940BRLG")</f>
        <v>1N5940BRLG</v>
      </c>
      <c r="B26116" s="3" t="str">
        <f>HYPERLINK("https://www.773grp.com/manufacturer/onsemi?pageNo=1244", "ON Semiconductor")</f>
        <v>ON Semiconductor</v>
      </c>
      <c r="C26116" s="6">
        <v>78000</v>
      </c>
      <c r="D26116" s="7">
        <v>0.33</v>
      </c>
      <c r="E26116" t="s">
        <v>98</v>
      </c>
    </row>
    <row r="26117" spans="1:5" x14ac:dyDescent="0.25">
      <c r="A26117" t="str">
        <f>HYPERLINK("https://www.773grp.com/globalSearch/1N5941BRLG/page-1", "1N5941BRLG")</f>
        <v>1N5941BRLG</v>
      </c>
      <c r="B26117" s="3" t="str">
        <f>HYPERLINK("https://www.773grp.com/manufacturer/onsemi?pageNo=1245", "ON Semiconductor")</f>
        <v>ON Semiconductor</v>
      </c>
      <c r="C26117" s="6">
        <v>78699</v>
      </c>
      <c r="D26117" s="7">
        <v>0.33</v>
      </c>
      <c r="E26117" t="s">
        <v>98</v>
      </c>
    </row>
    <row r="26118" spans="1:5" x14ac:dyDescent="0.25">
      <c r="A26118" t="str">
        <f>HYPERLINK("https://www.773grp.com/globalSearch/1N5948B/page-1", "1N5948B")</f>
        <v>1N5948B</v>
      </c>
      <c r="B26118" s="3" t="str">
        <f>HYPERLINK("https://www.773grp.com/manufacturer/onsemi?pageNo=1246", "ON Semiconductor")</f>
        <v>ON Semiconductor</v>
      </c>
      <c r="C26118" s="6">
        <v>2920</v>
      </c>
      <c r="D26118" s="7">
        <v>0.33</v>
      </c>
      <c r="E26118" t="s">
        <v>98</v>
      </c>
    </row>
    <row r="26119" spans="1:5" x14ac:dyDescent="0.25">
      <c r="A26119" t="str">
        <f>HYPERLINK("https://www.773grp.com/globalSearch/1N5950B/page-1", "1N5950B")</f>
        <v>1N5950B</v>
      </c>
      <c r="B26119" s="3" t="str">
        <f>HYPERLINK("https://www.773grp.com/manufacturer/onsemi?pageNo=1247", "ON Semiconductor")</f>
        <v>ON Semiconductor</v>
      </c>
      <c r="C26119" s="6">
        <v>2500</v>
      </c>
      <c r="D26119" s="7">
        <v>0.33</v>
      </c>
      <c r="E26119" t="s">
        <v>98</v>
      </c>
    </row>
    <row r="26120" spans="1:5" x14ac:dyDescent="0.25">
      <c r="A26120" t="str">
        <f>HYPERLINK("https://www.773grp.com/globalSearch/1N5956BG/page-1", "1N5956BG")</f>
        <v>1N5956BG</v>
      </c>
      <c r="B26120" s="3" t="str">
        <f>HYPERLINK("https://www.773grp.com/manufacturer/onsemi?pageNo=1248", "ON Semiconductor")</f>
        <v>ON Semiconductor</v>
      </c>
      <c r="C26120" s="6">
        <v>11915</v>
      </c>
      <c r="D26120" s="7">
        <v>0.33</v>
      </c>
      <c r="E26120" t="s">
        <v>98</v>
      </c>
    </row>
    <row r="26121" spans="1:5" x14ac:dyDescent="0.25">
      <c r="A26121" t="str">
        <f>HYPERLINK("https://www.773grp.com/globalSearch/2N4401G/page-1", "2N4401G")</f>
        <v>2N4401G</v>
      </c>
      <c r="B26121" s="3" t="str">
        <f>HYPERLINK("https://www.773grp.com/manufacturer/onsemi?pageNo=1249", "ON Semiconductor")</f>
        <v>ON Semiconductor</v>
      </c>
      <c r="C26121" s="6">
        <v>75196</v>
      </c>
      <c r="D26121" s="7">
        <v>0.33</v>
      </c>
      <c r="E26121" t="s">
        <v>69</v>
      </c>
    </row>
    <row r="26122" spans="1:5" x14ac:dyDescent="0.25">
      <c r="A26122" t="str">
        <f>HYPERLINK("https://www.773grp.com/globalSearch/2N4401RLRAG/page-1", "2N4401RLRAG")</f>
        <v>2N4401RLRAG</v>
      </c>
      <c r="B26122" s="3" t="str">
        <f>HYPERLINK("https://www.773grp.com/manufacturer/onsemi?pageNo=1250", "ON Semiconductor")</f>
        <v>ON Semiconductor</v>
      </c>
      <c r="C26122" s="6">
        <v>194682</v>
      </c>
      <c r="D26122" s="7">
        <v>0.33</v>
      </c>
      <c r="E26122" t="s">
        <v>69</v>
      </c>
    </row>
    <row r="26123" spans="1:5" x14ac:dyDescent="0.25">
      <c r="A26123" t="str">
        <f>HYPERLINK("https://www.773grp.com/globalSearch/2N5060RL1/page-1", "2N5060RL1")</f>
        <v>2N5060RL1</v>
      </c>
      <c r="B26123" s="3" t="str">
        <f>HYPERLINK("https://www.773grp.com/manufacturer/onsemi?pageNo=1251", "ON Semiconductor")</f>
        <v>ON Semiconductor</v>
      </c>
      <c r="C26123" s="6">
        <v>16000</v>
      </c>
      <c r="D26123" s="7">
        <v>0.33</v>
      </c>
      <c r="E26123" t="s">
        <v>97</v>
      </c>
    </row>
    <row r="26124" spans="1:5" x14ac:dyDescent="0.25">
      <c r="A26124" t="str">
        <f>HYPERLINK("https://www.773grp.com/globalSearch/2N5401G/page-1", "2N5401G")</f>
        <v>2N5401G</v>
      </c>
      <c r="B26124" s="3" t="str">
        <f>HYPERLINK("https://www.773grp.com/manufacturer/onsemi?pageNo=1252", "ON Semiconductor")</f>
        <v>ON Semiconductor</v>
      </c>
      <c r="C26124" s="6">
        <v>53274</v>
      </c>
      <c r="D26124" s="7">
        <v>0.33</v>
      </c>
      <c r="E26124" t="s">
        <v>69</v>
      </c>
    </row>
    <row r="26125" spans="1:5" x14ac:dyDescent="0.25">
      <c r="A26125" t="str">
        <f>HYPERLINK("https://www.773grp.com/globalSearch/2N5401RLRAG/page-1", "2N5401RLRAG")</f>
        <v>2N5401RLRAG</v>
      </c>
      <c r="B26125" s="3" t="str">
        <f>HYPERLINK("https://www.773grp.com/manufacturer/onsemi?pageNo=1253", "ON Semiconductor")</f>
        <v>ON Semiconductor</v>
      </c>
      <c r="C26125" s="6">
        <v>57880</v>
      </c>
      <c r="D26125" s="7">
        <v>0.33</v>
      </c>
      <c r="E26125" t="s">
        <v>69</v>
      </c>
    </row>
    <row r="26126" spans="1:5" x14ac:dyDescent="0.25">
      <c r="A26126" t="str">
        <f>HYPERLINK("https://www.773grp.com/globalSearch/2N5550G/page-1", "2N5550G")</f>
        <v>2N5550G</v>
      </c>
      <c r="B26126" s="3" t="str">
        <f>HYPERLINK("https://www.773grp.com/manufacturer/onsemi?pageNo=1254", "ON Semiconductor")</f>
        <v>ON Semiconductor</v>
      </c>
      <c r="C26126" s="6">
        <v>52986</v>
      </c>
      <c r="D26126" s="7">
        <v>0.33</v>
      </c>
      <c r="E26126" t="s">
        <v>69</v>
      </c>
    </row>
    <row r="26127" spans="1:5" x14ac:dyDescent="0.25">
      <c r="A26127" t="str">
        <f>HYPERLINK("https://www.773grp.com/globalSearch/2N5550RLRPG/page-1", "2N5550RLRPG")</f>
        <v>2N5550RLRPG</v>
      </c>
      <c r="B26127" s="3" t="str">
        <f>HYPERLINK("https://www.773grp.com/manufacturer/onsemi?pageNo=1255", "ON Semiconductor")</f>
        <v>ON Semiconductor</v>
      </c>
      <c r="C26127" s="6">
        <v>34000</v>
      </c>
      <c r="D26127" s="7">
        <v>0.33</v>
      </c>
      <c r="E26127" t="s">
        <v>69</v>
      </c>
    </row>
    <row r="26128" spans="1:5" x14ac:dyDescent="0.25">
      <c r="A26128" t="str">
        <f>HYPERLINK("https://www.773grp.com/globalSearch/2N5551G/page-1", "2N5551G")</f>
        <v>2N5551G</v>
      </c>
      <c r="B26128" s="3" t="str">
        <f>HYPERLINK("https://www.773grp.com/manufacturer/onsemi?pageNo=1256", "ON Semiconductor")</f>
        <v>ON Semiconductor</v>
      </c>
      <c r="C26128" s="6">
        <v>263750</v>
      </c>
      <c r="D26128" s="7">
        <v>0.33</v>
      </c>
      <c r="E26128" t="s">
        <v>69</v>
      </c>
    </row>
    <row r="26129" spans="1:5" x14ac:dyDescent="0.25">
      <c r="A26129" t="str">
        <f>HYPERLINK("https://www.773grp.com/globalSearch/2N5551RL1G/page-1", "2N5551RL1G")</f>
        <v>2N5551RL1G</v>
      </c>
      <c r="B26129" s="3" t="str">
        <f>HYPERLINK("https://www.773grp.com/manufacturer/onsemi?pageNo=1257", "ON Semiconductor")</f>
        <v>ON Semiconductor</v>
      </c>
      <c r="C26129" s="6">
        <v>152574</v>
      </c>
      <c r="D26129" s="7">
        <v>0.33</v>
      </c>
      <c r="E26129" t="s">
        <v>69</v>
      </c>
    </row>
    <row r="26130" spans="1:5" x14ac:dyDescent="0.25">
      <c r="A26130" t="str">
        <f>HYPERLINK("https://www.773grp.com/globalSearch/2N5551RLRAG/page-1", "2N5551RLRAG")</f>
        <v>2N5551RLRAG</v>
      </c>
      <c r="B26130" s="3" t="str">
        <f>HYPERLINK("https://www.773grp.com/manufacturer/onsemi?pageNo=1258", "ON Semiconductor")</f>
        <v>ON Semiconductor</v>
      </c>
      <c r="C26130" s="6">
        <v>188000</v>
      </c>
      <c r="D26130" s="7">
        <v>0.33</v>
      </c>
      <c r="E26130" t="s">
        <v>69</v>
      </c>
    </row>
    <row r="26131" spans="1:5" x14ac:dyDescent="0.25">
      <c r="A26131" t="str">
        <f>HYPERLINK("https://www.773grp.com/globalSearch/2N5551RLRPG/page-1", "2N5551RLRPG")</f>
        <v>2N5551RLRPG</v>
      </c>
      <c r="B26131" s="3" t="str">
        <f>HYPERLINK("https://www.773grp.com/manufacturer/onsemi?pageNo=1259", "ON Semiconductor")</f>
        <v>ON Semiconductor</v>
      </c>
      <c r="C26131" s="6">
        <v>40513</v>
      </c>
      <c r="D26131" s="7">
        <v>0.33</v>
      </c>
      <c r="E26131" t="s">
        <v>69</v>
      </c>
    </row>
    <row r="26132" spans="1:5" x14ac:dyDescent="0.25">
      <c r="A26132" t="str">
        <f>HYPERLINK("https://www.773grp.com/globalSearch/2N5551ZL1G/page-1", "2N5551ZL1G")</f>
        <v>2N5551ZL1G</v>
      </c>
      <c r="B26132" s="3" t="str">
        <f>HYPERLINK("https://www.773grp.com/manufacturer/onsemi?pageNo=1260", "ON Semiconductor")</f>
        <v>ON Semiconductor</v>
      </c>
      <c r="C26132" s="6">
        <v>40000</v>
      </c>
      <c r="D26132" s="7">
        <v>0.33</v>
      </c>
      <c r="E26132" t="s">
        <v>69</v>
      </c>
    </row>
    <row r="26133" spans="1:5" x14ac:dyDescent="0.25">
      <c r="A26133" t="str">
        <f>HYPERLINK("https://www.773grp.com/globalSearch/2SA1020RLRA/page-1", "2SA1020RLRA")</f>
        <v>2SA1020RLRA</v>
      </c>
      <c r="B26133" s="3" t="str">
        <f>HYPERLINK("https://www.773grp.com/manufacturer/onsemi?pageNo=1261", "ON Semiconductor")</f>
        <v>ON Semiconductor</v>
      </c>
      <c r="C26133" s="6">
        <v>312000</v>
      </c>
      <c r="D26133" s="7">
        <v>0.33</v>
      </c>
      <c r="E26133" t="s">
        <v>69</v>
      </c>
    </row>
    <row r="26134" spans="1:5" x14ac:dyDescent="0.25">
      <c r="A26134" t="str">
        <f>HYPERLINK("https://www.773grp.com/globalSearch/2SC4453-3-TB-E/page-1", "2SC4453-3-TB-E")</f>
        <v>2SC4453-3-TB-E</v>
      </c>
      <c r="B26134" s="3" t="str">
        <f>HYPERLINK("https://www.773grp.com/manufacturer/onsemi?pageNo=1262", "ON Semiconductor")</f>
        <v>ON Semiconductor</v>
      </c>
      <c r="C26134" s="6">
        <v>12000</v>
      </c>
      <c r="D26134" s="7">
        <v>0.33</v>
      </c>
    </row>
    <row r="26135" spans="1:5" x14ac:dyDescent="0.25">
      <c r="A26135" t="str">
        <f>HYPERLINK("https://www.773grp.com/globalSearch/2SK3666-3-TB-E/page-1", "2SK3666-3-TB-E")</f>
        <v>2SK3666-3-TB-E</v>
      </c>
      <c r="B26135" s="3" t="str">
        <f>HYPERLINK("https://www.773grp.com/manufacturer/onsemi?pageNo=1263", "ON Semiconductor")</f>
        <v>ON Semiconductor</v>
      </c>
      <c r="C26135" s="6">
        <v>3000</v>
      </c>
      <c r="D26135" s="7">
        <v>0.33</v>
      </c>
    </row>
    <row r="26136" spans="1:5" x14ac:dyDescent="0.25">
      <c r="A26136" t="str">
        <f>HYPERLINK("https://www.773grp.com/globalSearch/3EZ24D5/page-1", "3EZ24D5")</f>
        <v>3EZ24D5</v>
      </c>
      <c r="B26136" s="3" t="str">
        <f>HYPERLINK("https://www.773grp.com/manufacturer/onsemi?pageNo=1264", "ON Semiconductor")</f>
        <v>ON Semiconductor</v>
      </c>
      <c r="C26136" s="6">
        <v>90776</v>
      </c>
      <c r="D26136" s="7">
        <v>0.33</v>
      </c>
      <c r="E26136" t="s">
        <v>98</v>
      </c>
    </row>
    <row r="26137" spans="1:5" x14ac:dyDescent="0.25">
      <c r="A26137" t="str">
        <f>HYPERLINK("https://www.773grp.com/globalSearch/3EZ4.3D5RL/page-1", "3EZ4.3D5RL")</f>
        <v>3EZ4.3D5RL</v>
      </c>
      <c r="B26137" s="3" t="str">
        <f>HYPERLINK("https://www.773grp.com/manufacturer/onsemi?pageNo=1265", "ON Semiconductor")</f>
        <v>ON Semiconductor</v>
      </c>
      <c r="C26137" s="6">
        <v>84000</v>
      </c>
      <c r="D26137" s="7">
        <v>0.33</v>
      </c>
      <c r="E26137" t="s">
        <v>98</v>
      </c>
    </row>
    <row r="26138" spans="1:5" x14ac:dyDescent="0.25">
      <c r="A26138" t="str">
        <f>HYPERLINK("https://www.773grp.com/globalSearch/3LN01C-TB-H/page-1", "3LN01C-TB-H")</f>
        <v>3LN01C-TB-H</v>
      </c>
      <c r="B26138" s="3" t="str">
        <f>HYPERLINK("https://www.773grp.com/manufacturer/onsemi?pageNo=1266", "ON Semiconductor")</f>
        <v>ON Semiconductor</v>
      </c>
      <c r="C26138" s="6">
        <v>23960</v>
      </c>
      <c r="D26138" s="7">
        <v>0.33</v>
      </c>
    </row>
    <row r="26139" spans="1:5" x14ac:dyDescent="0.25">
      <c r="A26139" t="str">
        <f>HYPERLINK("https://www.773grp.com/globalSearch/74HC00DR2G/page-1", "74HC00DR2G")</f>
        <v>74HC00DR2G</v>
      </c>
      <c r="B26139" s="3" t="str">
        <f>HYPERLINK("https://www.773grp.com/manufacturer/onsemi?pageNo=1267", "ON Semiconductor")</f>
        <v>ON Semiconductor</v>
      </c>
      <c r="C26139" s="6">
        <v>110907</v>
      </c>
      <c r="D26139" s="7">
        <v>0.33</v>
      </c>
      <c r="E26139" t="s">
        <v>31</v>
      </c>
    </row>
    <row r="26140" spans="1:5" x14ac:dyDescent="0.25">
      <c r="A26140" t="str">
        <f>HYPERLINK("https://www.773grp.com/globalSearch/74HC00DTR2G/page-1", "74HC00DTR2G")</f>
        <v>74HC00DTR2G</v>
      </c>
      <c r="B26140" s="3" t="str">
        <f>HYPERLINK("https://www.773grp.com/manufacturer/onsemi?pageNo=1268", "ON Semiconductor")</f>
        <v>ON Semiconductor</v>
      </c>
      <c r="C26140" s="6">
        <v>64115</v>
      </c>
      <c r="D26140" s="7">
        <v>0.33</v>
      </c>
      <c r="E26140" t="s">
        <v>31</v>
      </c>
    </row>
    <row r="26141" spans="1:5" x14ac:dyDescent="0.25">
      <c r="A26141" t="str">
        <f>HYPERLINK("https://www.773grp.com/globalSearch/74HC02DR2G/page-1", "74HC02DR2G")</f>
        <v>74HC02DR2G</v>
      </c>
      <c r="B26141" s="3" t="str">
        <f>HYPERLINK("https://www.773grp.com/manufacturer/onsemi?pageNo=1269", "ON Semiconductor")</f>
        <v>ON Semiconductor</v>
      </c>
      <c r="C26141" s="6">
        <v>213258</v>
      </c>
      <c r="D26141" s="7">
        <v>0.33</v>
      </c>
      <c r="E26141" t="s">
        <v>31</v>
      </c>
    </row>
    <row r="26142" spans="1:5" x14ac:dyDescent="0.25">
      <c r="A26142" t="str">
        <f>HYPERLINK("https://www.773grp.com/globalSearch/74HC02DTR2G/page-1", "74HC02DTR2G")</f>
        <v>74HC02DTR2G</v>
      </c>
      <c r="B26142" s="3" t="str">
        <f>HYPERLINK("https://www.773grp.com/manufacturer/onsemi?pageNo=1270", "ON Semiconductor")</f>
        <v>ON Semiconductor</v>
      </c>
      <c r="C26142" s="6">
        <v>20000</v>
      </c>
      <c r="D26142" s="7">
        <v>0.33</v>
      </c>
      <c r="E26142" t="s">
        <v>31</v>
      </c>
    </row>
    <row r="26143" spans="1:5" x14ac:dyDescent="0.25">
      <c r="A26143" t="str">
        <f>HYPERLINK("https://www.773grp.com/globalSearch/74HC04DR2G/page-1", "74HC04DR2G")</f>
        <v>74HC04DR2G</v>
      </c>
      <c r="B26143" s="3" t="str">
        <f>HYPERLINK("https://www.773grp.com/manufacturer/onsemi?pageNo=1271", "ON Semiconductor")</f>
        <v>ON Semiconductor</v>
      </c>
      <c r="C26143" s="6">
        <v>162767</v>
      </c>
      <c r="D26143" s="7">
        <v>0.33</v>
      </c>
      <c r="E26143" t="s">
        <v>31</v>
      </c>
    </row>
    <row r="26144" spans="1:5" x14ac:dyDescent="0.25">
      <c r="A26144" t="str">
        <f>HYPERLINK("https://www.773grp.com/globalSearch/74HC04DTR2G/page-1", "74HC04DTR2G")</f>
        <v>74HC04DTR2G</v>
      </c>
      <c r="B26144" s="3" t="str">
        <f>HYPERLINK("https://www.773grp.com/manufacturer/onsemi?pageNo=1272", "ON Semiconductor")</f>
        <v>ON Semiconductor</v>
      </c>
      <c r="C26144" s="6">
        <v>85155</v>
      </c>
      <c r="D26144" s="7">
        <v>0.33</v>
      </c>
      <c r="E26144" t="s">
        <v>31</v>
      </c>
    </row>
    <row r="26145" spans="1:5" x14ac:dyDescent="0.25">
      <c r="A26145" t="str">
        <f>HYPERLINK("https://www.773grp.com/globalSearch/74HC08DR2G/page-1", "74HC08DR2G")</f>
        <v>74HC08DR2G</v>
      </c>
      <c r="B26145" s="3" t="str">
        <f>HYPERLINK("https://www.773grp.com/manufacturer/onsemi?pageNo=1273", "ON Semiconductor")</f>
        <v>ON Semiconductor</v>
      </c>
      <c r="C26145" s="6">
        <v>198797</v>
      </c>
      <c r="D26145" s="7">
        <v>0.33</v>
      </c>
      <c r="E26145" t="s">
        <v>31</v>
      </c>
    </row>
    <row r="26146" spans="1:5" x14ac:dyDescent="0.25">
      <c r="A26146" t="str">
        <f>HYPERLINK("https://www.773grp.com/globalSearch/74HC32DR2G/page-1", "74HC32DR2G")</f>
        <v>74HC32DR2G</v>
      </c>
      <c r="B26146" s="3" t="str">
        <f>HYPERLINK("https://www.773grp.com/manufacturer/onsemi?pageNo=1274", "ON Semiconductor")</f>
        <v>ON Semiconductor</v>
      </c>
      <c r="C26146" s="6">
        <v>107375</v>
      </c>
      <c r="D26146" s="7">
        <v>0.33</v>
      </c>
      <c r="E26146" t="s">
        <v>31</v>
      </c>
    </row>
    <row r="26147" spans="1:5" x14ac:dyDescent="0.25">
      <c r="A26147" t="str">
        <f>HYPERLINK("https://www.773grp.com/globalSearch/BAS16DXV6T1G/page-1", "BAS16DXV6T1G")</f>
        <v>BAS16DXV6T1G</v>
      </c>
      <c r="B26147" s="3" t="str">
        <f>HYPERLINK("https://www.773grp.com/manufacturer/onsemi?pageNo=1275", "ON Semiconductor")</f>
        <v>ON Semiconductor</v>
      </c>
      <c r="C26147" s="6">
        <v>103985</v>
      </c>
      <c r="D26147" s="7">
        <v>0.33</v>
      </c>
      <c r="E26147" t="s">
        <v>94</v>
      </c>
    </row>
    <row r="26148" spans="1:5" x14ac:dyDescent="0.25">
      <c r="A26148" t="str">
        <f>HYPERLINK("https://www.773grp.com/globalSearch/BAS40-04LT1G/page-1", "BAS40-04LT1G")</f>
        <v>BAS40-04LT1G</v>
      </c>
      <c r="B26148" s="3" t="str">
        <f>HYPERLINK("https://www.773grp.com/manufacturer/onsemi?pageNo=1276", "ON Semiconductor")</f>
        <v>ON Semiconductor</v>
      </c>
      <c r="C26148" s="6">
        <v>128619</v>
      </c>
      <c r="D26148" s="7">
        <v>0.33</v>
      </c>
      <c r="E26148" t="s">
        <v>94</v>
      </c>
    </row>
    <row r="26149" spans="1:5" x14ac:dyDescent="0.25">
      <c r="A26149" t="str">
        <f>HYPERLINK("https://www.773grp.com/globalSearch/BAS40-06LT1G/page-1", "BAS40-06LT1G")</f>
        <v>BAS40-06LT1G</v>
      </c>
      <c r="B26149" s="3" t="str">
        <f>HYPERLINK("https://www.773grp.com/manufacturer/onsemi?pageNo=1277", "ON Semiconductor")</f>
        <v>ON Semiconductor</v>
      </c>
      <c r="C26149" s="6">
        <v>38992</v>
      </c>
      <c r="D26149" s="7">
        <v>0.33</v>
      </c>
      <c r="E26149" t="s">
        <v>94</v>
      </c>
    </row>
    <row r="26150" spans="1:5" x14ac:dyDescent="0.25">
      <c r="A26150" t="str">
        <f>HYPERLINK("https://www.773grp.com/globalSearch/BAS40LT1G/page-1", "BAS40LT1G")</f>
        <v>BAS40LT1G</v>
      </c>
      <c r="B26150" s="3" t="str">
        <f>HYPERLINK("https://www.773grp.com/manufacturer/onsemi?pageNo=1278", "ON Semiconductor")</f>
        <v>ON Semiconductor</v>
      </c>
      <c r="C26150" s="6">
        <v>129976</v>
      </c>
      <c r="D26150" s="7">
        <v>0.33</v>
      </c>
      <c r="E26150" t="s">
        <v>94</v>
      </c>
    </row>
    <row r="26151" spans="1:5" x14ac:dyDescent="0.25">
      <c r="A26151" t="str">
        <f>HYPERLINK("https://www.773grp.com/globalSearch/BAS70-04LT1G/page-1", "BAS70-04LT1G")</f>
        <v>BAS70-04LT1G</v>
      </c>
      <c r="B26151" s="3" t="str">
        <f>HYPERLINK("https://www.773grp.com/manufacturer/onsemi?pageNo=1279", "ON Semiconductor")</f>
        <v>ON Semiconductor</v>
      </c>
      <c r="C26151" s="6">
        <v>17320</v>
      </c>
      <c r="D26151" s="7">
        <v>0.33</v>
      </c>
      <c r="E26151" t="s">
        <v>94</v>
      </c>
    </row>
    <row r="26152" spans="1:5" x14ac:dyDescent="0.25">
      <c r="A26152" t="str">
        <f>HYPERLINK("https://www.773grp.com/globalSearch/BAS70LT1G/page-1", "BAS70LT1G")</f>
        <v>BAS70LT1G</v>
      </c>
      <c r="B26152" s="3" t="str">
        <f>HYPERLINK("https://www.773grp.com/manufacturer/onsemi?pageNo=1280", "ON Semiconductor")</f>
        <v>ON Semiconductor</v>
      </c>
      <c r="C26152" s="6">
        <v>178901</v>
      </c>
      <c r="D26152" s="7">
        <v>0.33</v>
      </c>
      <c r="E26152" t="s">
        <v>94</v>
      </c>
    </row>
    <row r="26153" spans="1:5" x14ac:dyDescent="0.25">
      <c r="A26153" t="str">
        <f>HYPERLINK("https://www.773grp.com/globalSearch/BAT54CTT1G/page-1", "BAT54CTT1G")</f>
        <v>BAT54CTT1G</v>
      </c>
      <c r="B26153" s="3" t="str">
        <f>HYPERLINK("https://www.773grp.com/manufacturer/onsemi?pageNo=1281", "ON Semiconductor")</f>
        <v>ON Semiconductor</v>
      </c>
      <c r="C26153" s="6">
        <v>279040</v>
      </c>
      <c r="D26153" s="7">
        <v>0.33</v>
      </c>
      <c r="E26153" t="s">
        <v>94</v>
      </c>
    </row>
    <row r="26154" spans="1:5" x14ac:dyDescent="0.25">
      <c r="A26154" t="str">
        <f>HYPERLINK("https://www.773grp.com/globalSearch/BAV70DXV6T5G/page-1", "BAV70DXV6T5G")</f>
        <v>BAV70DXV6T5G</v>
      </c>
      <c r="B26154" s="3" t="str">
        <f>HYPERLINK("https://www.773grp.com/manufacturer/onsemi?pageNo=1282", "ON Semiconductor")</f>
        <v>ON Semiconductor</v>
      </c>
      <c r="C26154" s="6">
        <v>5500</v>
      </c>
      <c r="D26154" s="7">
        <v>0.33</v>
      </c>
    </row>
    <row r="26155" spans="1:5" x14ac:dyDescent="0.25">
      <c r="A26155" t="str">
        <f>HYPERLINK("https://www.773grp.com/globalSearch/BC337-025G/page-1", "BC337-025G")</f>
        <v>BC337-025G</v>
      </c>
      <c r="B26155" s="3" t="str">
        <f>HYPERLINK("https://www.773grp.com/manufacturer/onsemi?pageNo=1283", "ON Semiconductor")</f>
        <v>ON Semiconductor</v>
      </c>
      <c r="C26155" s="6">
        <v>47327</v>
      </c>
      <c r="D26155" s="7">
        <v>0.33</v>
      </c>
    </row>
    <row r="26156" spans="1:5" x14ac:dyDescent="0.25">
      <c r="A26156" t="str">
        <f>HYPERLINK("https://www.773grp.com/globalSearch/BC337-040G/page-1", "BC337-040G")</f>
        <v>BC337-040G</v>
      </c>
      <c r="B26156" s="3" t="str">
        <f>HYPERLINK("https://www.773grp.com/manufacturer/onsemi?pageNo=1284", "ON Semiconductor")</f>
        <v>ON Semiconductor</v>
      </c>
      <c r="C26156" s="6">
        <v>49441</v>
      </c>
      <c r="D26156" s="7">
        <v>0.33</v>
      </c>
      <c r="E26156" t="s">
        <v>69</v>
      </c>
    </row>
    <row r="26157" spans="1:5" x14ac:dyDescent="0.25">
      <c r="A26157" t="str">
        <f>HYPERLINK("https://www.773grp.com/globalSearch/BC337-25RL1G/page-1", "BC337-25RL1G")</f>
        <v>BC337-25RL1G</v>
      </c>
      <c r="B26157" s="3" t="str">
        <f>HYPERLINK("https://www.773grp.com/manufacturer/onsemi?pageNo=1285", "ON Semiconductor")</f>
        <v>ON Semiconductor</v>
      </c>
      <c r="C26157" s="6">
        <v>182000</v>
      </c>
      <c r="D26157" s="7">
        <v>0.33</v>
      </c>
      <c r="E26157" t="s">
        <v>69</v>
      </c>
    </row>
    <row r="26158" spans="1:5" x14ac:dyDescent="0.25">
      <c r="A26158" t="str">
        <f>HYPERLINK("https://www.773grp.com/globalSearch/BC337-25ZL1G/page-1", "BC337-25ZL1G")</f>
        <v>BC337-25ZL1G</v>
      </c>
      <c r="B26158" s="3" t="str">
        <f>HYPERLINK("https://www.773grp.com/manufacturer/onsemi?pageNo=1286", "ON Semiconductor")</f>
        <v>ON Semiconductor</v>
      </c>
      <c r="C26158" s="6">
        <v>171000</v>
      </c>
      <c r="D26158" s="7">
        <v>0.33</v>
      </c>
      <c r="E26158" t="s">
        <v>69</v>
      </c>
    </row>
    <row r="26159" spans="1:5" x14ac:dyDescent="0.25">
      <c r="A26159" t="str">
        <f>HYPERLINK("https://www.773grp.com/globalSearch/BC337-40RL1G/page-1", "BC337-40RL1G")</f>
        <v>BC337-40RL1G</v>
      </c>
      <c r="B26159" s="3" t="str">
        <f>HYPERLINK("https://www.773grp.com/manufacturer/onsemi?pageNo=1287", "ON Semiconductor")</f>
        <v>ON Semiconductor</v>
      </c>
      <c r="C26159" s="6">
        <v>34000</v>
      </c>
      <c r="D26159" s="7">
        <v>0.33</v>
      </c>
      <c r="E26159" t="s">
        <v>69</v>
      </c>
    </row>
    <row r="26160" spans="1:5" x14ac:dyDescent="0.25">
      <c r="A26160" t="str">
        <f>HYPERLINK("https://www.773grp.com/globalSearch/BC337-40ZL1G/page-1", "BC337-40ZL1G")</f>
        <v>BC337-40ZL1G</v>
      </c>
      <c r="B26160" s="3" t="str">
        <f>HYPERLINK("https://www.773grp.com/manufacturer/onsemi?pageNo=1288", "ON Semiconductor")</f>
        <v>ON Semiconductor</v>
      </c>
      <c r="C26160" s="6">
        <v>520000</v>
      </c>
      <c r="D26160" s="7">
        <v>0.33</v>
      </c>
      <c r="E26160" t="s">
        <v>69</v>
      </c>
    </row>
    <row r="26161" spans="1:5" x14ac:dyDescent="0.25">
      <c r="A26161" t="str">
        <f>HYPERLINK("https://www.773grp.com/globalSearch/BC337G/page-1", "BC337G")</f>
        <v>BC337G</v>
      </c>
      <c r="B26161" s="3" t="str">
        <f>HYPERLINK("https://www.773grp.com/manufacturer/onsemi?pageNo=1289", "ON Semiconductor")</f>
        <v>ON Semiconductor</v>
      </c>
      <c r="C26161" s="6">
        <v>39376</v>
      </c>
      <c r="D26161" s="7">
        <v>0.33</v>
      </c>
      <c r="E26161" t="s">
        <v>69</v>
      </c>
    </row>
    <row r="26162" spans="1:5" x14ac:dyDescent="0.25">
      <c r="A26162" t="str">
        <f>HYPERLINK("https://www.773grp.com/globalSearch/BC337RL1G/page-1", "BC337RL1G")</f>
        <v>BC337RL1G</v>
      </c>
      <c r="B26162" s="3" t="str">
        <f>HYPERLINK("https://www.773grp.com/manufacturer/onsemi?pageNo=1290", "ON Semiconductor")</f>
        <v>ON Semiconductor</v>
      </c>
      <c r="C26162" s="6">
        <v>15000</v>
      </c>
      <c r="D26162" s="7">
        <v>0.33</v>
      </c>
      <c r="E26162" t="s">
        <v>69</v>
      </c>
    </row>
    <row r="26163" spans="1:5" x14ac:dyDescent="0.25">
      <c r="A26163" t="str">
        <f>HYPERLINK("https://www.773grp.com/globalSearch/BC847BPDXV6T1/page-1", "BC847BPDXV6T1")</f>
        <v>BC847BPDXV6T1</v>
      </c>
      <c r="B26163" s="3" t="str">
        <f>HYPERLINK("https://www.773grp.com/manufacturer/onsemi?pageNo=1291", "ON Semiconductor")</f>
        <v>ON Semiconductor</v>
      </c>
      <c r="C26163" s="6">
        <v>3060</v>
      </c>
      <c r="D26163" s="7">
        <v>0.33</v>
      </c>
      <c r="E26163" t="s">
        <v>69</v>
      </c>
    </row>
    <row r="26164" spans="1:5" x14ac:dyDescent="0.25">
      <c r="A26164" t="str">
        <f>HYPERLINK("https://www.773grp.com/globalSearch/BC847BPDXV6T1G/page-1", "BC847BPDXV6T1G")</f>
        <v>BC847BPDXV6T1G</v>
      </c>
      <c r="B26164" s="3" t="str">
        <f>HYPERLINK("https://www.773grp.com/manufacturer/onsemi?pageNo=1292", "ON Semiconductor")</f>
        <v>ON Semiconductor</v>
      </c>
      <c r="C26164" s="6">
        <v>136000</v>
      </c>
      <c r="D26164" s="7">
        <v>0.33</v>
      </c>
      <c r="E26164" t="s">
        <v>69</v>
      </c>
    </row>
    <row r="26165" spans="1:5" x14ac:dyDescent="0.25">
      <c r="A26165" t="str">
        <f>HYPERLINK("https://www.773grp.com/globalSearch/BC847CDXV6T1G/page-1", "BC847CDXV6T1G")</f>
        <v>BC847CDXV6T1G</v>
      </c>
      <c r="B26165" s="3" t="str">
        <f>HYPERLINK("https://www.773grp.com/manufacturer/onsemi?pageNo=1293", "ON Semiconductor")</f>
        <v>ON Semiconductor</v>
      </c>
      <c r="C26165" s="6">
        <v>20000</v>
      </c>
      <c r="D26165" s="7">
        <v>0.33</v>
      </c>
      <c r="E26165" t="s">
        <v>69</v>
      </c>
    </row>
    <row r="26166" spans="1:5" x14ac:dyDescent="0.25">
      <c r="A26166" t="str">
        <f>HYPERLINK("https://www.773grp.com/globalSearch/BC847CDXV6T5/page-1", "BC847CDXV6T5")</f>
        <v>BC847CDXV6T5</v>
      </c>
      <c r="B26166" s="3" t="str">
        <f>HYPERLINK("https://www.773grp.com/manufacturer/onsemi?pageNo=1294", "ON Semiconductor")</f>
        <v>ON Semiconductor</v>
      </c>
      <c r="C26166" s="6">
        <v>7755</v>
      </c>
      <c r="D26166" s="7">
        <v>0.33</v>
      </c>
      <c r="E26166" t="s">
        <v>69</v>
      </c>
    </row>
    <row r="26167" spans="1:5" x14ac:dyDescent="0.25">
      <c r="A26167" t="str">
        <f>HYPERLINK("https://www.773grp.com/globalSearch/BC848CDXV6T5/page-1", "BC848CDXV6T5")</f>
        <v>BC848CDXV6T5</v>
      </c>
      <c r="B26167" s="3" t="str">
        <f>HYPERLINK("https://www.773grp.com/manufacturer/onsemi?pageNo=1295", "ON Semiconductor")</f>
        <v>ON Semiconductor</v>
      </c>
      <c r="C26167" s="6">
        <v>7953</v>
      </c>
      <c r="D26167" s="7">
        <v>0.33</v>
      </c>
      <c r="E26167" t="s">
        <v>69</v>
      </c>
    </row>
    <row r="26168" spans="1:5" x14ac:dyDescent="0.25">
      <c r="A26168" t="str">
        <f>HYPERLINK("https://www.773grp.com/globalSearch/BDC01DRL1/page-1", "BDC01DRL1")</f>
        <v>BDC01DRL1</v>
      </c>
      <c r="B26168" s="3" t="str">
        <f>HYPERLINK("https://www.773grp.com/manufacturer/onsemi?pageNo=1296", "ON Semiconductor")</f>
        <v>ON Semiconductor</v>
      </c>
      <c r="C26168" s="6">
        <v>12000</v>
      </c>
      <c r="D26168" s="7">
        <v>0.33</v>
      </c>
      <c r="E26168" t="s">
        <v>69</v>
      </c>
    </row>
    <row r="26169" spans="1:5" x14ac:dyDescent="0.25">
      <c r="A26169" t="str">
        <f>HYPERLINK("https://www.773grp.com/globalSearch/BDC01DRL1G/page-1", "BDC01DRL1G")</f>
        <v>BDC01DRL1G</v>
      </c>
      <c r="B26169" s="3" t="str">
        <f>HYPERLINK("https://www.773grp.com/manufacturer/onsemi?pageNo=1297", "ON Semiconductor")</f>
        <v>ON Semiconductor</v>
      </c>
      <c r="C26169" s="6">
        <v>6000</v>
      </c>
      <c r="D26169" s="7">
        <v>0.33</v>
      </c>
      <c r="E26169" t="s">
        <v>69</v>
      </c>
    </row>
    <row r="26170" spans="1:5" x14ac:dyDescent="0.25">
      <c r="A26170" t="str">
        <f>HYPERLINK("https://www.773grp.com/globalSearch/BS107RLRA/page-1", "BS107RLRA")</f>
        <v>BS107RLRA</v>
      </c>
      <c r="B26170" s="3" t="str">
        <f>HYPERLINK("https://www.773grp.com/manufacturer/onsemi?pageNo=1298", "ON Semiconductor")</f>
        <v>ON Semiconductor</v>
      </c>
      <c r="C26170" s="6">
        <v>1500</v>
      </c>
      <c r="D26170" s="7">
        <v>0.33</v>
      </c>
      <c r="E26170" t="s">
        <v>106</v>
      </c>
    </row>
    <row r="26171" spans="1:5" x14ac:dyDescent="0.25">
      <c r="A26171" t="str">
        <f>HYPERLINK("https://www.773grp.com/globalSearch/CM1242-33CP/page-1", "CM1242-33CP")</f>
        <v>CM1242-33CP</v>
      </c>
      <c r="B26171" s="3" t="str">
        <f>HYPERLINK("https://www.773grp.com/manufacturer/onsemi?pageNo=1299", "ON Semiconductor")</f>
        <v>ON Semiconductor</v>
      </c>
      <c r="C26171" s="6">
        <v>1855000</v>
      </c>
      <c r="D26171" s="7">
        <v>0.33</v>
      </c>
    </row>
    <row r="26172" spans="1:5" x14ac:dyDescent="0.25">
      <c r="A26172" t="str">
        <f>HYPERLINK("https://www.773grp.com/globalSearch/DCB010-TB-E/page-1", "DCB010-TB-E")</f>
        <v>DCB010-TB-E</v>
      </c>
      <c r="B26172" s="3" t="str">
        <f>HYPERLINK("https://www.773grp.com/manufacturer/onsemi?pageNo=1300", "ON Semiconductor")</f>
        <v>ON Semiconductor</v>
      </c>
      <c r="C26172" s="6">
        <v>3000</v>
      </c>
      <c r="D26172" s="7">
        <v>0.33</v>
      </c>
    </row>
    <row r="26173" spans="1:5" x14ac:dyDescent="0.25">
      <c r="A26173" t="str">
        <f>HYPERLINK("https://www.773grp.com/globalSearch/DF6A6.8FUT1G/page-1", "DF6A6.8FUT1G")</f>
        <v>DF6A6.8FUT1G</v>
      </c>
      <c r="B26173" s="3" t="str">
        <f>HYPERLINK("https://www.773grp.com/manufacturer/onsemi?pageNo=1301", "ON Semiconductor")</f>
        <v>ON Semiconductor</v>
      </c>
      <c r="C26173" s="6">
        <v>31120</v>
      </c>
      <c r="D26173" s="7">
        <v>0.33</v>
      </c>
      <c r="E26173" t="s">
        <v>96</v>
      </c>
    </row>
    <row r="26174" spans="1:5" x14ac:dyDescent="0.25">
      <c r="A26174" t="str">
        <f>HYPERLINK("https://www.773grp.com/globalSearch/DSK10B/page-1", "DSK10B")</f>
        <v>DSK10B</v>
      </c>
      <c r="B26174" s="3" t="str">
        <f>HYPERLINK("https://www.773grp.com/manufacturer/onsemi?pageNo=1302", "ON Semiconductor")</f>
        <v>ON Semiconductor</v>
      </c>
      <c r="C26174" s="6">
        <v>3000</v>
      </c>
      <c r="D26174" s="7">
        <v>0.33</v>
      </c>
    </row>
    <row r="26175" spans="1:5" x14ac:dyDescent="0.25">
      <c r="A26175" t="str">
        <f>HYPERLINK("https://www.773grp.com/globalSearch/DSK10C/page-1", "DSK10C")</f>
        <v>DSK10C</v>
      </c>
      <c r="B26175" s="3" t="str">
        <f>HYPERLINK("https://www.773grp.com/manufacturer/onsemi?pageNo=1303", "ON Semiconductor")</f>
        <v>ON Semiconductor</v>
      </c>
      <c r="C26175" s="6">
        <v>5000</v>
      </c>
      <c r="D26175" s="7">
        <v>0.33</v>
      </c>
    </row>
    <row r="26176" spans="1:5" x14ac:dyDescent="0.25">
      <c r="A26176" t="str">
        <f>HYPERLINK("https://www.773grp.com/globalSearch/DSK10E/page-1", "DSK10E")</f>
        <v>DSK10E</v>
      </c>
      <c r="B26176" s="3" t="str">
        <f>HYPERLINK("https://www.773grp.com/manufacturer/onsemi?pageNo=1304", "ON Semiconductor")</f>
        <v>ON Semiconductor</v>
      </c>
      <c r="C26176" s="6">
        <v>3500</v>
      </c>
      <c r="D26176" s="7">
        <v>0.33</v>
      </c>
    </row>
    <row r="26177" spans="1:5" x14ac:dyDescent="0.25">
      <c r="A26177" t="str">
        <f>HYPERLINK("https://www.773grp.com/globalSearch/DTC144EET1H/page-1", "DTC144EET1H")</f>
        <v>DTC144EET1H</v>
      </c>
      <c r="B26177" s="3" t="str">
        <f>HYPERLINK("https://www.773grp.com/manufacturer/onsemi?pageNo=1305", "ON Semiconductor")</f>
        <v>ON Semiconductor</v>
      </c>
      <c r="C26177" s="6">
        <v>1116000</v>
      </c>
      <c r="D26177" s="7">
        <v>0.33</v>
      </c>
    </row>
    <row r="26178" spans="1:5" x14ac:dyDescent="0.25">
      <c r="A26178" t="str">
        <f>HYPERLINK("https://www.773grp.com/globalSearch/EMC4DXV5T1/page-1", "EMC4DXV5T1")</f>
        <v>EMC4DXV5T1</v>
      </c>
      <c r="B26178" s="3" t="str">
        <f>HYPERLINK("https://www.773grp.com/manufacturer/onsemi?pageNo=1306", "ON Semiconductor")</f>
        <v>ON Semiconductor</v>
      </c>
      <c r="C26178" s="6">
        <v>311980</v>
      </c>
      <c r="D26178" s="7">
        <v>0.33</v>
      </c>
      <c r="E26178" t="s">
        <v>69</v>
      </c>
    </row>
    <row r="26179" spans="1:5" x14ac:dyDescent="0.25">
      <c r="A26179" t="str">
        <f>HYPERLINK("https://www.773grp.com/globalSearch/EMD4DXV6T1G/page-1", "EMD4DXV6T1G")</f>
        <v>EMD4DXV6T1G</v>
      </c>
      <c r="B26179" s="3" t="str">
        <f>HYPERLINK("https://www.773grp.com/manufacturer/onsemi?pageNo=1307", "ON Semiconductor")</f>
        <v>ON Semiconductor</v>
      </c>
      <c r="C26179" s="6">
        <v>492000</v>
      </c>
      <c r="D26179" s="7">
        <v>0.33</v>
      </c>
      <c r="E26179" t="s">
        <v>69</v>
      </c>
    </row>
    <row r="26180" spans="1:5" x14ac:dyDescent="0.25">
      <c r="A26180" t="str">
        <f>HYPERLINK("https://www.773grp.com/globalSearch/EMD5DXV6T5G/page-1", "EMD5DXV6T5G")</f>
        <v>EMD5DXV6T5G</v>
      </c>
      <c r="B26180" s="3" t="str">
        <f>HYPERLINK("https://www.773grp.com/manufacturer/onsemi?pageNo=1308", "ON Semiconductor")</f>
        <v>ON Semiconductor</v>
      </c>
      <c r="C26180" s="6">
        <v>1424000</v>
      </c>
      <c r="D26180" s="7">
        <v>0.33</v>
      </c>
      <c r="E26180" t="s">
        <v>69</v>
      </c>
    </row>
    <row r="26181" spans="1:5" x14ac:dyDescent="0.25">
      <c r="A26181" t="str">
        <f>HYPERLINK("https://www.773grp.com/globalSearch/EMT1DXV6T1G/page-1", "EMT1DXV6T1G")</f>
        <v>EMT1DXV6T1G</v>
      </c>
      <c r="B26181" s="3" t="str">
        <f>HYPERLINK("https://www.773grp.com/manufacturer/onsemi?pageNo=1309", "ON Semiconductor")</f>
        <v>ON Semiconductor</v>
      </c>
      <c r="C26181" s="6">
        <v>136000</v>
      </c>
      <c r="D26181" s="7">
        <v>0.33</v>
      </c>
      <c r="E26181" t="s">
        <v>69</v>
      </c>
    </row>
    <row r="26182" spans="1:5" x14ac:dyDescent="0.25">
      <c r="A26182" t="str">
        <f>HYPERLINK("https://www.773grp.com/globalSearch/EMT1DXV6T5G/page-1", "EMT1DXV6T5G")</f>
        <v>EMT1DXV6T5G</v>
      </c>
      <c r="B26182" s="3" t="str">
        <f>HYPERLINK("https://www.773grp.com/manufacturer/onsemi?pageNo=1310", "ON Semiconductor")</f>
        <v>ON Semiconductor</v>
      </c>
      <c r="C26182" s="6">
        <v>3319765</v>
      </c>
      <c r="D26182" s="7">
        <v>0.33</v>
      </c>
      <c r="E26182" t="s">
        <v>69</v>
      </c>
    </row>
    <row r="26183" spans="1:5" x14ac:dyDescent="0.25">
      <c r="A26183" t="str">
        <f>HYPERLINK("https://www.773grp.com/globalSearch/EMX1DXV6T1G/page-1", "EMX1DXV6T1G")</f>
        <v>EMX1DXV6T1G</v>
      </c>
      <c r="B26183" s="3" t="str">
        <f>HYPERLINK("https://www.773grp.com/manufacturer/onsemi?pageNo=1311", "ON Semiconductor")</f>
        <v>ON Semiconductor</v>
      </c>
      <c r="C26183" s="6">
        <v>136000</v>
      </c>
      <c r="D26183" s="7">
        <v>0.33</v>
      </c>
      <c r="E26183" t="s">
        <v>69</v>
      </c>
    </row>
    <row r="26184" spans="1:5" x14ac:dyDescent="0.25">
      <c r="A26184" t="str">
        <f>HYPERLINK("https://www.773grp.com/globalSearch/EMX2DXV6T5G/page-1", "EMX2DXV6T5G")</f>
        <v>EMX2DXV6T5G</v>
      </c>
      <c r="B26184" s="3" t="str">
        <f>HYPERLINK("https://www.773grp.com/manufacturer/onsemi?pageNo=1312", "ON Semiconductor")</f>
        <v>ON Semiconductor</v>
      </c>
      <c r="C26184" s="6">
        <v>111800</v>
      </c>
      <c r="D26184" s="7">
        <v>0.33</v>
      </c>
      <c r="E26184" t="s">
        <v>69</v>
      </c>
    </row>
    <row r="26185" spans="1:5" x14ac:dyDescent="0.25">
      <c r="A26185" t="str">
        <f>HYPERLINK("https://www.773grp.com/globalSearch/EMZ1DXV6T5G/page-1", "EMZ1DXV6T5G")</f>
        <v>EMZ1DXV6T5G</v>
      </c>
      <c r="B26185" s="3" t="str">
        <f>HYPERLINK("https://www.773grp.com/manufacturer/onsemi?pageNo=1313", "ON Semiconductor")</f>
        <v>ON Semiconductor</v>
      </c>
      <c r="C26185" s="6">
        <v>183903</v>
      </c>
      <c r="D26185" s="7">
        <v>0.33</v>
      </c>
      <c r="E26185" t="s">
        <v>69</v>
      </c>
    </row>
    <row r="26186" spans="1:5" x14ac:dyDescent="0.25">
      <c r="A26186" t="str">
        <f>HYPERLINK("https://www.773grp.com/globalSearch/ESD11A3.3DT5G/page-1", "ESD11A3.3DT5G")</f>
        <v>ESD11A3.3DT5G</v>
      </c>
      <c r="B26186" s="3" t="str">
        <f>HYPERLINK("https://www.773grp.com/manufacturer/onsemi?pageNo=1314", "ON Semiconductor")</f>
        <v>ON Semiconductor</v>
      </c>
      <c r="C26186" s="6">
        <v>96000</v>
      </c>
      <c r="D26186" s="7">
        <v>0.33</v>
      </c>
    </row>
    <row r="26187" spans="1:5" x14ac:dyDescent="0.25">
      <c r="A26187" t="str">
        <f>HYPERLINK("https://www.773grp.com/globalSearch/ESD9C3.3ST5G/page-1", "ESD9C3.3ST5G")</f>
        <v>ESD9C3.3ST5G</v>
      </c>
      <c r="B26187" s="3" t="str">
        <f>HYPERLINK("https://www.773grp.com/manufacturer/onsemi?pageNo=1315", "ON Semiconductor")</f>
        <v>ON Semiconductor</v>
      </c>
      <c r="C26187" s="6">
        <v>14301</v>
      </c>
      <c r="D26187" s="7">
        <v>0.33</v>
      </c>
      <c r="E26187" t="s">
        <v>96</v>
      </c>
    </row>
    <row r="26188" spans="1:5" x14ac:dyDescent="0.25">
      <c r="A26188" t="str">
        <f>HYPERLINK("https://www.773grp.com/globalSearch/ESD9C5.0ST5G/page-1", "ESD9C5.0ST5G")</f>
        <v>ESD9C5.0ST5G</v>
      </c>
      <c r="B26188" s="3" t="str">
        <f>HYPERLINK("https://www.773grp.com/manufacturer/onsemi?pageNo=1316", "ON Semiconductor")</f>
        <v>ON Semiconductor</v>
      </c>
      <c r="C26188" s="6">
        <v>528000</v>
      </c>
      <c r="D26188" s="7">
        <v>0.33</v>
      </c>
      <c r="E26188" t="s">
        <v>96</v>
      </c>
    </row>
    <row r="26189" spans="1:5" x14ac:dyDescent="0.25">
      <c r="A26189" t="str">
        <f>HYPERLINK("https://www.773grp.com/globalSearch/ESD9X12ST5G/page-1", "ESD9X12ST5G")</f>
        <v>ESD9X12ST5G</v>
      </c>
      <c r="B26189" s="3" t="str">
        <f>HYPERLINK("https://www.773grp.com/manufacturer/onsemi?pageNo=1317", "ON Semiconductor")</f>
        <v>ON Semiconductor</v>
      </c>
      <c r="C26189" s="6">
        <v>1342593</v>
      </c>
      <c r="D26189" s="7">
        <v>0.33</v>
      </c>
      <c r="E26189" t="s">
        <v>96</v>
      </c>
    </row>
    <row r="26190" spans="1:5" x14ac:dyDescent="0.25">
      <c r="A26190" t="str">
        <f>HYPERLINK("https://www.773grp.com/globalSearch/IMH20TR1G/page-1", "IMH20TR1G")</f>
        <v>IMH20TR1G</v>
      </c>
      <c r="B26190" s="3" t="str">
        <f>HYPERLINK("https://www.773grp.com/manufacturer/onsemi?pageNo=1318", "ON Semiconductor")</f>
        <v>ON Semiconductor</v>
      </c>
      <c r="C26190" s="6">
        <v>179925</v>
      </c>
      <c r="D26190" s="7">
        <v>0.33</v>
      </c>
      <c r="E26190" t="s">
        <v>69</v>
      </c>
    </row>
    <row r="26191" spans="1:5" x14ac:dyDescent="0.25">
      <c r="A26191" t="str">
        <f>HYPERLINK("https://www.773grp.com/globalSearch/LM324D/page-1", "LM324D")</f>
        <v>LM324D</v>
      </c>
      <c r="B26191" s="3" t="str">
        <f>HYPERLINK("https://www.773grp.com/manufacturer/onsemi?pageNo=1319", "ON Semiconductor")</f>
        <v>ON Semiconductor</v>
      </c>
      <c r="C26191" s="6">
        <v>4241</v>
      </c>
      <c r="D26191" s="7">
        <v>0.33</v>
      </c>
      <c r="E26191" t="s">
        <v>13</v>
      </c>
    </row>
    <row r="26192" spans="1:5" x14ac:dyDescent="0.25">
      <c r="A26192" t="str">
        <f>HYPERLINK("https://www.773grp.com/globalSearch/LM324DR2/page-1", "LM324DR2")</f>
        <v>LM324DR2</v>
      </c>
      <c r="B26192" s="3" t="str">
        <f>HYPERLINK("https://www.773grp.com/manufacturer/onsemi?pageNo=1320", "ON Semiconductor")</f>
        <v>ON Semiconductor</v>
      </c>
      <c r="C26192" s="6">
        <v>48393</v>
      </c>
      <c r="D26192" s="7">
        <v>0.33</v>
      </c>
      <c r="E26192" t="s">
        <v>13</v>
      </c>
    </row>
    <row r="26193" spans="1:5" x14ac:dyDescent="0.25">
      <c r="A26193" t="str">
        <f>HYPERLINK("https://www.773grp.com/globalSearch/LM339D/page-1", "LM339D")</f>
        <v>LM339D</v>
      </c>
      <c r="B26193" s="3" t="str">
        <f>HYPERLINK("https://www.773grp.com/manufacturer/onsemi?pageNo=1321", "ON Semiconductor")</f>
        <v>ON Semiconductor</v>
      </c>
      <c r="C26193" s="6">
        <v>26717</v>
      </c>
      <c r="D26193" s="7">
        <v>0.33</v>
      </c>
      <c r="E26193" t="s">
        <v>9</v>
      </c>
    </row>
    <row r="26194" spans="1:5" x14ac:dyDescent="0.25">
      <c r="A26194" t="str">
        <f>HYPERLINK("https://www.773grp.com/globalSearch/LM339DR2/page-1", "LM339DR2")</f>
        <v>LM339DR2</v>
      </c>
      <c r="B26194" s="3" t="str">
        <f>HYPERLINK("https://www.773grp.com/manufacturer/onsemi?pageNo=1322", "ON Semiconductor")</f>
        <v>ON Semiconductor</v>
      </c>
      <c r="C26194" s="6">
        <v>19612</v>
      </c>
      <c r="D26194" s="7">
        <v>0.33</v>
      </c>
      <c r="E26194" t="s">
        <v>9</v>
      </c>
    </row>
    <row r="26195" spans="1:5" x14ac:dyDescent="0.25">
      <c r="A26195" t="str">
        <f>HYPERLINK("https://www.773grp.com/globalSearch/LM393DR2/page-1", "LM393DR2")</f>
        <v>LM393DR2</v>
      </c>
      <c r="B26195" s="3" t="str">
        <f>HYPERLINK("https://www.773grp.com/manufacturer/onsemi?pageNo=1323", "ON Semiconductor")</f>
        <v>ON Semiconductor</v>
      </c>
      <c r="C26195" s="6">
        <v>2426</v>
      </c>
      <c r="D26195" s="7">
        <v>0.33</v>
      </c>
      <c r="E26195" t="s">
        <v>9</v>
      </c>
    </row>
    <row r="26196" spans="1:5" x14ac:dyDescent="0.25">
      <c r="A26196" t="str">
        <f>HYPERLINK("https://www.773grp.com/globalSearch/LSMBV1000LT1/page-1", "LSMBV1000LT1")</f>
        <v>LSMBV1000LT1</v>
      </c>
      <c r="B26196" s="3" t="str">
        <f>HYPERLINK("https://www.773grp.com/manufacturer/onsemi?pageNo=1324", "ON Semiconductor")</f>
        <v>ON Semiconductor</v>
      </c>
      <c r="C26196" s="6">
        <v>6000</v>
      </c>
      <c r="D26196" s="7">
        <v>0.33</v>
      </c>
    </row>
    <row r="26197" spans="1:5" x14ac:dyDescent="0.25">
      <c r="A26197" t="str">
        <f>HYPERLINK("https://www.773grp.com/globalSearch/M74VHC1GT00DFT1G/page-1", "M74VHC1GT00DFT1G")</f>
        <v>M74VHC1GT00DFT1G</v>
      </c>
      <c r="B26197" s="3" t="str">
        <f>HYPERLINK("https://www.773grp.com/manufacturer/onsemi?pageNo=1325", "ON Semiconductor")</f>
        <v>ON Semiconductor</v>
      </c>
      <c r="C26197" s="6">
        <v>323458</v>
      </c>
      <c r="D26197" s="7">
        <v>0.33</v>
      </c>
      <c r="E26197" t="s">
        <v>31</v>
      </c>
    </row>
    <row r="26198" spans="1:5" x14ac:dyDescent="0.25">
      <c r="A26198" t="str">
        <f>HYPERLINK("https://www.773grp.com/globalSearch/M74VHC1GT00DFT2G/page-1", "M74VHC1GT00DFT2G")</f>
        <v>M74VHC1GT00DFT2G</v>
      </c>
      <c r="B26198" s="3" t="str">
        <f>HYPERLINK("https://www.773grp.com/manufacturer/onsemi?pageNo=1326", "ON Semiconductor")</f>
        <v>ON Semiconductor</v>
      </c>
      <c r="C26198" s="6">
        <v>126000</v>
      </c>
      <c r="D26198" s="7">
        <v>0.33</v>
      </c>
      <c r="E26198" t="s">
        <v>31</v>
      </c>
    </row>
    <row r="26199" spans="1:5" x14ac:dyDescent="0.25">
      <c r="A26199" t="str">
        <f>HYPERLINK("https://www.773grp.com/globalSearch/M74VHC1GT02DFT1G/page-1", "M74VHC1GT02DFT1G")</f>
        <v>M74VHC1GT02DFT1G</v>
      </c>
      <c r="B26199" s="3" t="str">
        <f>HYPERLINK("https://www.773grp.com/manufacturer/onsemi?pageNo=1327", "ON Semiconductor")</f>
        <v>ON Semiconductor</v>
      </c>
      <c r="C26199" s="6">
        <v>60000</v>
      </c>
      <c r="D26199" s="7">
        <v>0.33</v>
      </c>
      <c r="E26199" t="s">
        <v>31</v>
      </c>
    </row>
    <row r="26200" spans="1:5" x14ac:dyDescent="0.25">
      <c r="A26200" t="str">
        <f>HYPERLINK("https://www.773grp.com/globalSearch/M74VHC1GT02DFT2G/page-1", "M74VHC1GT02DFT2G")</f>
        <v>M74VHC1GT02DFT2G</v>
      </c>
      <c r="B26200" s="3" t="str">
        <f>HYPERLINK("https://www.773grp.com/manufacturer/onsemi?pageNo=1328", "ON Semiconductor")</f>
        <v>ON Semiconductor</v>
      </c>
      <c r="C26200" s="6">
        <v>66000</v>
      </c>
      <c r="D26200" s="7">
        <v>0.33</v>
      </c>
      <c r="E26200" t="s">
        <v>31</v>
      </c>
    </row>
    <row r="26201" spans="1:5" x14ac:dyDescent="0.25">
      <c r="A26201" t="str">
        <f>HYPERLINK("https://www.773grp.com/globalSearch/M74VHC1GT04DFT1G/page-1", "M74VHC1GT04DFT1G")</f>
        <v>M74VHC1GT04DFT1G</v>
      </c>
      <c r="B26201" s="3" t="str">
        <f>HYPERLINK("https://www.773grp.com/manufacturer/onsemi?pageNo=1329", "ON Semiconductor")</f>
        <v>ON Semiconductor</v>
      </c>
      <c r="C26201" s="6">
        <v>507000</v>
      </c>
      <c r="D26201" s="7">
        <v>0.33</v>
      </c>
      <c r="E26201" t="s">
        <v>31</v>
      </c>
    </row>
    <row r="26202" spans="1:5" x14ac:dyDescent="0.25">
      <c r="A26202" t="str">
        <f>HYPERLINK("https://www.773grp.com/globalSearch/M74VHC1GT04DFT2G/page-1", "M74VHC1GT04DFT2G")</f>
        <v>M74VHC1GT04DFT2G</v>
      </c>
      <c r="B26202" s="3" t="str">
        <f>HYPERLINK("https://www.773grp.com/manufacturer/onsemi?pageNo=1330", "ON Semiconductor")</f>
        <v>ON Semiconductor</v>
      </c>
      <c r="C26202" s="6">
        <v>813000</v>
      </c>
      <c r="D26202" s="7">
        <v>0.33</v>
      </c>
      <c r="E26202" t="s">
        <v>31</v>
      </c>
    </row>
    <row r="26203" spans="1:5" x14ac:dyDescent="0.25">
      <c r="A26203" t="str">
        <f>HYPERLINK("https://www.773grp.com/globalSearch/M74VHC1GT08DFT1G/page-1", "M74VHC1GT08DFT1G")</f>
        <v>M74VHC1GT08DFT1G</v>
      </c>
      <c r="B26203" s="3" t="str">
        <f>HYPERLINK("https://www.773grp.com/manufacturer/onsemi?pageNo=1331", "ON Semiconductor")</f>
        <v>ON Semiconductor</v>
      </c>
      <c r="C26203" s="6">
        <v>12000</v>
      </c>
      <c r="D26203" s="7">
        <v>0.33</v>
      </c>
      <c r="E26203" t="s">
        <v>31</v>
      </c>
    </row>
    <row r="26204" spans="1:5" x14ac:dyDescent="0.25">
      <c r="A26204" t="str">
        <f>HYPERLINK("https://www.773grp.com/globalSearch/M74VHC1GT08DFT2G/page-1", "M74VHC1GT08DFT2G")</f>
        <v>M74VHC1GT08DFT2G</v>
      </c>
      <c r="B26204" s="3" t="str">
        <f>HYPERLINK("https://www.773grp.com/manufacturer/onsemi?pageNo=1332", "ON Semiconductor")</f>
        <v>ON Semiconductor</v>
      </c>
      <c r="C26204" s="6">
        <v>612102</v>
      </c>
      <c r="D26204" s="7">
        <v>0.33</v>
      </c>
      <c r="E26204" t="s">
        <v>31</v>
      </c>
    </row>
    <row r="26205" spans="1:5" x14ac:dyDescent="0.25">
      <c r="A26205" t="str">
        <f>HYPERLINK("https://www.773grp.com/globalSearch/M74VHC1GT14DFT1G/page-1", "M74VHC1GT14DFT1G")</f>
        <v>M74VHC1GT14DFT1G</v>
      </c>
      <c r="B26205" s="3" t="str">
        <f>HYPERLINK("https://www.773grp.com/manufacturer/onsemi?pageNo=1333", "ON Semiconductor")</f>
        <v>ON Semiconductor</v>
      </c>
      <c r="C26205" s="6">
        <v>24000</v>
      </c>
      <c r="D26205" s="7">
        <v>0.33</v>
      </c>
      <c r="E26205" t="s">
        <v>31</v>
      </c>
    </row>
    <row r="26206" spans="1:5" x14ac:dyDescent="0.25">
      <c r="A26206" t="str">
        <f>HYPERLINK("https://www.773grp.com/globalSearch/M74VHC1GT14DFT2G/page-1", "M74VHC1GT14DFT2G")</f>
        <v>M74VHC1GT14DFT2G</v>
      </c>
      <c r="B26206" s="3" t="str">
        <f>HYPERLINK("https://www.773grp.com/manufacturer/onsemi?pageNo=1334", "ON Semiconductor")</f>
        <v>ON Semiconductor</v>
      </c>
      <c r="C26206" s="6">
        <v>60000</v>
      </c>
      <c r="D26206" s="7">
        <v>0.33</v>
      </c>
      <c r="E26206" t="s">
        <v>31</v>
      </c>
    </row>
    <row r="26207" spans="1:5" x14ac:dyDescent="0.25">
      <c r="A26207" t="str">
        <f>HYPERLINK("https://www.773grp.com/globalSearch/M74VHC1GT32DFT1G/page-1", "M74VHC1GT32DFT1G")</f>
        <v>M74VHC1GT32DFT1G</v>
      </c>
      <c r="B26207" s="3" t="str">
        <f>HYPERLINK("https://www.773grp.com/manufacturer/onsemi?pageNo=1335", "ON Semiconductor")</f>
        <v>ON Semiconductor</v>
      </c>
      <c r="C26207" s="6">
        <v>558496</v>
      </c>
      <c r="D26207" s="7">
        <v>0.33</v>
      </c>
      <c r="E26207" t="s">
        <v>31</v>
      </c>
    </row>
    <row r="26208" spans="1:5" x14ac:dyDescent="0.25">
      <c r="A26208" t="str">
        <f>HYPERLINK("https://www.773grp.com/globalSearch/M74VHC1GT32DFT2G/page-1", "M74VHC1GT32DFT2G")</f>
        <v>M74VHC1GT32DFT2G</v>
      </c>
      <c r="B26208" s="3" t="str">
        <f>HYPERLINK("https://www.773grp.com/manufacturer/onsemi?pageNo=1336", "ON Semiconductor")</f>
        <v>ON Semiconductor</v>
      </c>
      <c r="C26208" s="6">
        <v>237448</v>
      </c>
      <c r="D26208" s="7">
        <v>0.33</v>
      </c>
      <c r="E26208" t="s">
        <v>31</v>
      </c>
    </row>
    <row r="26209" spans="1:5" x14ac:dyDescent="0.25">
      <c r="A26209" t="str">
        <f>HYPERLINK("https://www.773grp.com/globalSearch/M74VHC1GU04DFT2G/page-1", "M74VHC1GU04DFT2G")</f>
        <v>M74VHC1GU04DFT2G</v>
      </c>
      <c r="B26209" s="3" t="str">
        <f>HYPERLINK("https://www.773grp.com/manufacturer/onsemi?pageNo=1337", "ON Semiconductor")</f>
        <v>ON Semiconductor</v>
      </c>
      <c r="C26209" s="6">
        <v>501000</v>
      </c>
      <c r="D26209" s="7">
        <v>0.33</v>
      </c>
      <c r="E26209" t="s">
        <v>31</v>
      </c>
    </row>
    <row r="26210" spans="1:5" x14ac:dyDescent="0.25">
      <c r="A26210" t="str">
        <f>HYPERLINK("https://www.773grp.com/globalSearch/MA3075WALT1G/page-1", "MA3075WALT1G")</f>
        <v>MA3075WALT1G</v>
      </c>
      <c r="B26210" s="3" t="str">
        <f>HYPERLINK("https://www.773grp.com/manufacturer/onsemi?pageNo=1338", "ON Semiconductor")</f>
        <v>ON Semiconductor</v>
      </c>
      <c r="C26210" s="6">
        <v>12000</v>
      </c>
      <c r="D26210" s="7">
        <v>0.33</v>
      </c>
      <c r="E26210" t="s">
        <v>96</v>
      </c>
    </row>
    <row r="26211" spans="1:5" x14ac:dyDescent="0.25">
      <c r="A26211" t="str">
        <f>HYPERLINK("https://www.773grp.com/globalSearch/MAC97A6RL1/page-1", "MAC97A6RL1")</f>
        <v>MAC97A6RL1</v>
      </c>
      <c r="B26211" s="3" t="str">
        <f>HYPERLINK("https://www.773grp.com/manufacturer/onsemi?pageNo=1339", "ON Semiconductor")</f>
        <v>ON Semiconductor</v>
      </c>
      <c r="C26211" s="6">
        <v>60000</v>
      </c>
      <c r="D26211" s="7">
        <v>0.33</v>
      </c>
      <c r="E26211" t="s">
        <v>102</v>
      </c>
    </row>
    <row r="26212" spans="1:5" x14ac:dyDescent="0.25">
      <c r="A26212" t="str">
        <f>HYPERLINK("https://www.773grp.com/globalSearch/MBD110DWT1G/page-1", "MBD110DWT1G")</f>
        <v>MBD110DWT1G</v>
      </c>
      <c r="B26212" s="3" t="str">
        <f>HYPERLINK("https://www.773grp.com/manufacturer/onsemi?pageNo=1340", "ON Semiconductor")</f>
        <v>ON Semiconductor</v>
      </c>
      <c r="C26212" s="6">
        <v>42000</v>
      </c>
      <c r="D26212" s="7">
        <v>0.33</v>
      </c>
      <c r="E26212" t="s">
        <v>108</v>
      </c>
    </row>
    <row r="26213" spans="1:5" x14ac:dyDescent="0.25">
      <c r="A26213" t="str">
        <f>HYPERLINK("https://www.773grp.com/globalSearch/MBD54DWT1/page-1", "MBD54DWT1")</f>
        <v>MBD54DWT1</v>
      </c>
      <c r="B26213" s="3" t="str">
        <f>HYPERLINK("https://www.773grp.com/manufacturer/onsemi?pageNo=1341", "ON Semiconductor")</f>
        <v>ON Semiconductor</v>
      </c>
      <c r="C26213" s="6">
        <v>45000</v>
      </c>
      <c r="D26213" s="7">
        <v>0.33</v>
      </c>
      <c r="E26213" t="s">
        <v>94</v>
      </c>
    </row>
    <row r="26214" spans="1:5" x14ac:dyDescent="0.25">
      <c r="A26214" t="str">
        <f>HYPERLINK("https://www.773grp.com/globalSearch/MBR0520LT1G/page-1", "MBR0520LT1G")</f>
        <v>MBR0520LT1G</v>
      </c>
      <c r="B26214" s="3" t="str">
        <f>HYPERLINK("https://www.773grp.com/manufacturer/onsemi?pageNo=1342", "ON Semiconductor")</f>
        <v>ON Semiconductor</v>
      </c>
      <c r="C26214" s="6">
        <v>234330</v>
      </c>
      <c r="D26214" s="7">
        <v>0.33</v>
      </c>
      <c r="E26214" t="s">
        <v>94</v>
      </c>
    </row>
    <row r="26215" spans="1:5" x14ac:dyDescent="0.25">
      <c r="A26215" t="str">
        <f>HYPERLINK("https://www.773grp.com/globalSearch/MBR0520LT3G/page-1", "MBR0520LT3G")</f>
        <v>MBR0520LT3G</v>
      </c>
      <c r="B26215" s="3" t="str">
        <f>HYPERLINK("https://www.773grp.com/manufacturer/onsemi?pageNo=1343", "ON Semiconductor")</f>
        <v>ON Semiconductor</v>
      </c>
      <c r="C26215" s="6">
        <v>10000</v>
      </c>
      <c r="D26215" s="7">
        <v>0.33</v>
      </c>
    </row>
    <row r="26216" spans="1:5" x14ac:dyDescent="0.25">
      <c r="A26216" t="str">
        <f>HYPERLINK("https://www.773grp.com/globalSearch/MBR0530T1G/page-1", "MBR0530T1G")</f>
        <v>MBR0530T1G</v>
      </c>
      <c r="B26216" s="3" t="str">
        <f>HYPERLINK("https://www.773grp.com/manufacturer/onsemi?pageNo=1344", "ON Semiconductor")</f>
        <v>ON Semiconductor</v>
      </c>
      <c r="C26216" s="6">
        <v>41994</v>
      </c>
      <c r="D26216" s="7">
        <v>0.33</v>
      </c>
      <c r="E26216" t="s">
        <v>94</v>
      </c>
    </row>
    <row r="26217" spans="1:5" x14ac:dyDescent="0.25">
      <c r="A26217" t="str">
        <f>HYPERLINK("https://www.773grp.com/globalSearch/MBR0530T3G/page-1", "MBR0530T3G")</f>
        <v>MBR0530T3G</v>
      </c>
      <c r="B26217" s="3" t="str">
        <f>HYPERLINK("https://www.773grp.com/manufacturer/onsemi?pageNo=1345", "ON Semiconductor")</f>
        <v>ON Semiconductor</v>
      </c>
      <c r="C26217" s="6">
        <v>120000</v>
      </c>
      <c r="D26217" s="7">
        <v>0.33</v>
      </c>
      <c r="E26217" t="s">
        <v>94</v>
      </c>
    </row>
    <row r="26218" spans="1:5" x14ac:dyDescent="0.25">
      <c r="A26218" t="str">
        <f>HYPERLINK("https://www.773grp.com/globalSearch/MBR0540T1G/page-1", "MBR0540T1G")</f>
        <v>MBR0540T1G</v>
      </c>
      <c r="B26218" s="3" t="str">
        <f>HYPERLINK("https://www.773grp.com/manufacturer/onsemi?pageNo=1346", "ON Semiconductor")</f>
        <v>ON Semiconductor</v>
      </c>
      <c r="C26218" s="6">
        <v>75604</v>
      </c>
      <c r="D26218" s="7">
        <v>0.33</v>
      </c>
      <c r="E26218" t="s">
        <v>94</v>
      </c>
    </row>
    <row r="26219" spans="1:5" x14ac:dyDescent="0.25">
      <c r="A26219" t="str">
        <f>HYPERLINK("https://www.773grp.com/globalSearch/MBR0540T3G/page-1", "MBR0540T3G")</f>
        <v>MBR0540T3G</v>
      </c>
      <c r="B26219" s="3" t="str">
        <f>HYPERLINK("https://www.773grp.com/manufacturer/onsemi?pageNo=1347", "ON Semiconductor")</f>
        <v>ON Semiconductor</v>
      </c>
      <c r="C26219" s="6">
        <v>10000</v>
      </c>
      <c r="D26219" s="7">
        <v>0.33</v>
      </c>
      <c r="E26219" t="s">
        <v>94</v>
      </c>
    </row>
    <row r="26220" spans="1:5" x14ac:dyDescent="0.25">
      <c r="A26220" t="str">
        <f>HYPERLINK("https://www.773grp.com/globalSearch/MBRS260T3/page-1", "MBRS260T3")</f>
        <v>MBRS260T3</v>
      </c>
      <c r="B26220" s="3" t="str">
        <f>HYPERLINK("https://www.773grp.com/manufacturer/onsemi?pageNo=1348", "ON Semiconductor")</f>
        <v>ON Semiconductor</v>
      </c>
      <c r="C26220" s="6">
        <v>90</v>
      </c>
      <c r="D26220" s="7">
        <v>0.33</v>
      </c>
      <c r="E26220" t="s">
        <v>103</v>
      </c>
    </row>
    <row r="26221" spans="1:5" x14ac:dyDescent="0.25">
      <c r="A26221" t="str">
        <f>HYPERLINK("https://www.773grp.com/globalSearch/MC14093BF/page-1", "MC14093BF")</f>
        <v>MC14093BF</v>
      </c>
      <c r="B26221" s="3" t="s">
        <v>95</v>
      </c>
      <c r="C26221" s="6">
        <v>9</v>
      </c>
      <c r="D26221" s="7">
        <v>0.33</v>
      </c>
      <c r="E26221" t="s">
        <v>31</v>
      </c>
    </row>
    <row r="26222" spans="1:5" x14ac:dyDescent="0.25">
      <c r="A26222" t="str">
        <f>HYPERLINK("https://www.773grp.com/globalSearch/MC74ACT10D/page-1", "MC74ACT10D")</f>
        <v>MC74ACT10D</v>
      </c>
      <c r="B26222" s="3" t="s">
        <v>95</v>
      </c>
      <c r="C26222" s="6">
        <v>5610</v>
      </c>
      <c r="D26222" s="7">
        <v>0.33</v>
      </c>
      <c r="E26222" t="s">
        <v>31</v>
      </c>
    </row>
    <row r="26223" spans="1:5" x14ac:dyDescent="0.25">
      <c r="A26223" t="str">
        <f>HYPERLINK("https://www.773grp.com/globalSearch/MC74ACT11D/page-1", "MC74ACT11D")</f>
        <v>MC74ACT11D</v>
      </c>
      <c r="B26223" s="3" t="s">
        <v>95</v>
      </c>
      <c r="C26223" s="6">
        <v>19887</v>
      </c>
      <c r="D26223" s="7">
        <v>0.33</v>
      </c>
      <c r="E26223" t="s">
        <v>31</v>
      </c>
    </row>
    <row r="26224" spans="1:5" x14ac:dyDescent="0.25">
      <c r="A26224" t="str">
        <f>HYPERLINK("https://www.773grp.com/globalSearch/MC74HC00AD/page-1", "MC74HC00AD")</f>
        <v>MC74HC00AD</v>
      </c>
      <c r="B26224" s="3" t="s">
        <v>95</v>
      </c>
      <c r="C26224" s="6">
        <v>20192</v>
      </c>
      <c r="D26224" s="7">
        <v>0.33</v>
      </c>
      <c r="E26224" t="s">
        <v>31</v>
      </c>
    </row>
    <row r="26225" spans="1:5" x14ac:dyDescent="0.25">
      <c r="A26225" t="str">
        <f>HYPERLINK("https://www.773grp.com/globalSearch/MC74HC00ADR2/page-1", "MC74HC00ADR2")</f>
        <v>MC74HC00ADR2</v>
      </c>
      <c r="B26225" s="3" t="s">
        <v>95</v>
      </c>
      <c r="C26225" s="6">
        <v>71130</v>
      </c>
      <c r="D26225" s="7">
        <v>0.33</v>
      </c>
      <c r="E26225" t="s">
        <v>31</v>
      </c>
    </row>
    <row r="26226" spans="1:5" x14ac:dyDescent="0.25">
      <c r="A26226" t="str">
        <f>HYPERLINK("https://www.773grp.com/globalSearch/MC74HC00ADT/page-1", "MC74HC00ADT")</f>
        <v>MC74HC00ADT</v>
      </c>
      <c r="B26226" s="3" t="s">
        <v>95</v>
      </c>
      <c r="C26226" s="6">
        <v>1973</v>
      </c>
      <c r="D26226" s="7">
        <v>0.33</v>
      </c>
      <c r="E26226" t="s">
        <v>31</v>
      </c>
    </row>
    <row r="26227" spans="1:5" x14ac:dyDescent="0.25">
      <c r="A26227" t="str">
        <f>HYPERLINK("https://www.773grp.com/globalSearch/MC74HC02AD/page-1", "MC74HC02AD")</f>
        <v>MC74HC02AD</v>
      </c>
      <c r="B26227" s="3" t="s">
        <v>95</v>
      </c>
      <c r="C26227" s="6">
        <v>10526</v>
      </c>
      <c r="D26227" s="7">
        <v>0.33</v>
      </c>
      <c r="E26227" t="s">
        <v>31</v>
      </c>
    </row>
    <row r="26228" spans="1:5" x14ac:dyDescent="0.25">
      <c r="A26228" t="str">
        <f>HYPERLINK("https://www.773grp.com/globalSearch/MC74HC02ADR2/page-1", "MC74HC02ADR2")</f>
        <v>MC74HC02ADR2</v>
      </c>
      <c r="B26228" s="3" t="s">
        <v>95</v>
      </c>
      <c r="C26228" s="6">
        <v>86860</v>
      </c>
      <c r="D26228" s="7">
        <v>0.33</v>
      </c>
      <c r="E26228" t="s">
        <v>31</v>
      </c>
    </row>
    <row r="26229" spans="1:5" x14ac:dyDescent="0.25">
      <c r="A26229" t="str">
        <f>HYPERLINK("https://www.773grp.com/globalSearch/MC74HC02ADT/page-1", "MC74HC02ADT")</f>
        <v>MC74HC02ADT</v>
      </c>
      <c r="B26229" s="3" t="s">
        <v>95</v>
      </c>
      <c r="C26229" s="6">
        <v>1778</v>
      </c>
      <c r="D26229" s="7">
        <v>0.33</v>
      </c>
      <c r="E26229" t="s">
        <v>31</v>
      </c>
    </row>
    <row r="26230" spans="1:5" x14ac:dyDescent="0.25">
      <c r="A26230" t="str">
        <f>HYPERLINK("https://www.773grp.com/globalSearch/MC74HC03AD/page-1", "MC74HC03AD")</f>
        <v>MC74HC03AD</v>
      </c>
      <c r="B26230" s="3" t="s">
        <v>95</v>
      </c>
      <c r="C26230" s="6">
        <v>3250</v>
      </c>
      <c r="D26230" s="7">
        <v>0.33</v>
      </c>
      <c r="E26230" t="s">
        <v>31</v>
      </c>
    </row>
    <row r="26231" spans="1:5" x14ac:dyDescent="0.25">
      <c r="A26231" t="str">
        <f>HYPERLINK("https://www.773grp.com/globalSearch/MC74HC03ADR2/page-1", "MC74HC03ADR2")</f>
        <v>MC74HC03ADR2</v>
      </c>
      <c r="B26231" s="3" t="s">
        <v>95</v>
      </c>
      <c r="C26231" s="6">
        <v>5000</v>
      </c>
      <c r="D26231" s="7">
        <v>0.33</v>
      </c>
      <c r="E26231" t="s">
        <v>31</v>
      </c>
    </row>
    <row r="26232" spans="1:5" x14ac:dyDescent="0.25">
      <c r="A26232" t="str">
        <f>HYPERLINK("https://www.773grp.com/globalSearch/MC74HC03ADT/page-1", "MC74HC03ADT")</f>
        <v>MC74HC03ADT</v>
      </c>
      <c r="B26232" s="3" t="s">
        <v>95</v>
      </c>
      <c r="C26232" s="6">
        <v>2886</v>
      </c>
      <c r="D26232" s="7">
        <v>0.33</v>
      </c>
      <c r="E26232" t="s">
        <v>31</v>
      </c>
    </row>
    <row r="26233" spans="1:5" x14ac:dyDescent="0.25">
      <c r="A26233" t="str">
        <f>HYPERLINK("https://www.773grp.com/globalSearch/MC74HC08ADT/page-1", "MC74HC08ADT")</f>
        <v>MC74HC08ADT</v>
      </c>
      <c r="B26233" s="3" t="s">
        <v>95</v>
      </c>
      <c r="C26233" s="6">
        <v>3936</v>
      </c>
      <c r="D26233" s="7">
        <v>0.33</v>
      </c>
      <c r="E26233" t="s">
        <v>31</v>
      </c>
    </row>
    <row r="26234" spans="1:5" x14ac:dyDescent="0.25">
      <c r="A26234" t="str">
        <f>HYPERLINK("https://www.773grp.com/globalSearch/MC74HC08ADTR2/page-1", "MC74HC08ADTR2")</f>
        <v>MC74HC08ADTR2</v>
      </c>
      <c r="B26234" s="3" t="s">
        <v>95</v>
      </c>
      <c r="C26234" s="6">
        <v>7500</v>
      </c>
      <c r="D26234" s="7">
        <v>0.33</v>
      </c>
      <c r="E26234" t="s">
        <v>31</v>
      </c>
    </row>
    <row r="26235" spans="1:5" x14ac:dyDescent="0.25">
      <c r="A26235" t="str">
        <f>HYPERLINK("https://www.773grp.com/globalSearch/MC74HC11FL1/page-1", "MC74HC11FL1")</f>
        <v>MC74HC11FL1</v>
      </c>
      <c r="B26235" s="3" t="s">
        <v>95</v>
      </c>
      <c r="C26235" s="6">
        <v>4000</v>
      </c>
      <c r="D26235" s="7">
        <v>0.33</v>
      </c>
    </row>
    <row r="26236" spans="1:5" x14ac:dyDescent="0.25">
      <c r="A26236" t="str">
        <f>HYPERLINK("https://www.773grp.com/globalSearch/MC74HC1G00DFT1G/page-1", "MC74HC1G00DFT1G")</f>
        <v>MC74HC1G00DFT1G</v>
      </c>
      <c r="B26236" s="3" t="s">
        <v>95</v>
      </c>
      <c r="C26236" s="6">
        <v>333000</v>
      </c>
      <c r="D26236" s="7">
        <v>0.33</v>
      </c>
      <c r="E26236" t="s">
        <v>31</v>
      </c>
    </row>
    <row r="26237" spans="1:5" x14ac:dyDescent="0.25">
      <c r="A26237" t="str">
        <f>HYPERLINK("https://www.773grp.com/globalSearch/MC74HC1G00DFT2G/page-1", "MC74HC1G00DFT2G")</f>
        <v>MC74HC1G00DFT2G</v>
      </c>
      <c r="B26237" s="3" t="s">
        <v>95</v>
      </c>
      <c r="C26237" s="6">
        <v>197814</v>
      </c>
      <c r="D26237" s="7">
        <v>0.33</v>
      </c>
      <c r="E26237" t="s">
        <v>31</v>
      </c>
    </row>
    <row r="26238" spans="1:5" x14ac:dyDescent="0.25">
      <c r="A26238" t="str">
        <f>HYPERLINK("https://www.773grp.com/globalSearch/MC74HC1G02DFT2G/page-1", "MC74HC1G02DFT2G")</f>
        <v>MC74HC1G02DFT2G</v>
      </c>
      <c r="B26238" s="3" t="s">
        <v>95</v>
      </c>
      <c r="C26238" s="6">
        <v>201000</v>
      </c>
      <c r="D26238" s="7">
        <v>0.33</v>
      </c>
      <c r="E26238" t="s">
        <v>31</v>
      </c>
    </row>
    <row r="26239" spans="1:5" x14ac:dyDescent="0.25">
      <c r="A26239" t="str">
        <f>HYPERLINK("https://www.773grp.com/globalSearch/MC74HC1G04DFT1G/page-1", "MC74HC1G04DFT1G")</f>
        <v>MC74HC1G04DFT1G</v>
      </c>
      <c r="B26239" s="3" t="s">
        <v>95</v>
      </c>
      <c r="C26239" s="6">
        <v>350138</v>
      </c>
      <c r="D26239" s="7">
        <v>0.33</v>
      </c>
      <c r="E26239" t="s">
        <v>31</v>
      </c>
    </row>
    <row r="26240" spans="1:5" x14ac:dyDescent="0.25">
      <c r="A26240" t="str">
        <f>HYPERLINK("https://www.773grp.com/globalSearch/MC74HC1G04DFT2G/page-1", "MC74HC1G04DFT2G")</f>
        <v>MC74HC1G04DFT2G</v>
      </c>
      <c r="B26240" s="3" t="s">
        <v>95</v>
      </c>
      <c r="C26240" s="6">
        <v>75000</v>
      </c>
      <c r="D26240" s="7">
        <v>0.33</v>
      </c>
      <c r="E26240" t="s">
        <v>31</v>
      </c>
    </row>
    <row r="26241" spans="1:5" x14ac:dyDescent="0.25">
      <c r="A26241" t="str">
        <f>HYPERLINK("https://www.773grp.com/globalSearch/MC74HC1G08DFT1G/page-1", "MC74HC1G08DFT1G")</f>
        <v>MC74HC1G08DFT1G</v>
      </c>
      <c r="B26241" s="3" t="s">
        <v>95</v>
      </c>
      <c r="C26241" s="6">
        <v>56933</v>
      </c>
      <c r="D26241" s="7">
        <v>0.33</v>
      </c>
      <c r="E26241" t="s">
        <v>31</v>
      </c>
    </row>
    <row r="26242" spans="1:5" x14ac:dyDescent="0.25">
      <c r="A26242" t="str">
        <f>HYPERLINK("https://www.773grp.com/globalSearch/MC74HC1G08DFT2G/page-1", "MC74HC1G08DFT2G")</f>
        <v>MC74HC1G08DFT2G</v>
      </c>
      <c r="B26242" s="3" t="s">
        <v>95</v>
      </c>
      <c r="C26242" s="6">
        <v>1898315</v>
      </c>
      <c r="D26242" s="7">
        <v>0.33</v>
      </c>
      <c r="E26242" t="s">
        <v>31</v>
      </c>
    </row>
    <row r="26243" spans="1:5" x14ac:dyDescent="0.25">
      <c r="A26243" t="str">
        <f>HYPERLINK("https://www.773grp.com/globalSearch/MC74HC1G14DFT1G/page-1", "MC74HC1G14DFT1G")</f>
        <v>MC74HC1G14DFT1G</v>
      </c>
      <c r="B26243" s="3" t="s">
        <v>95</v>
      </c>
      <c r="C26243" s="6">
        <v>33000</v>
      </c>
      <c r="D26243" s="7">
        <v>0.33</v>
      </c>
      <c r="E26243" t="s">
        <v>31</v>
      </c>
    </row>
    <row r="26244" spans="1:5" x14ac:dyDescent="0.25">
      <c r="A26244" t="str">
        <f>HYPERLINK("https://www.773grp.com/globalSearch/MC74HC1G14DFT2G/page-1", "MC74HC1G14DFT2G")</f>
        <v>MC74HC1G14DFT2G</v>
      </c>
      <c r="B26244" s="3" t="s">
        <v>95</v>
      </c>
      <c r="C26244" s="6">
        <v>885217</v>
      </c>
      <c r="D26244" s="7">
        <v>0.33</v>
      </c>
      <c r="E26244" t="s">
        <v>31</v>
      </c>
    </row>
    <row r="26245" spans="1:5" x14ac:dyDescent="0.25">
      <c r="A26245" t="str">
        <f>HYPERLINK("https://www.773grp.com/globalSearch/MC74HC1G32DFT1G/page-1", "MC74HC1G32DFT1G")</f>
        <v>MC74HC1G32DFT1G</v>
      </c>
      <c r="B26245" s="3" t="s">
        <v>95</v>
      </c>
      <c r="C26245" s="6">
        <v>123000</v>
      </c>
      <c r="D26245" s="7">
        <v>0.33</v>
      </c>
      <c r="E26245" t="s">
        <v>31</v>
      </c>
    </row>
    <row r="26246" spans="1:5" x14ac:dyDescent="0.25">
      <c r="A26246" t="str">
        <f>HYPERLINK("https://www.773grp.com/globalSearch/MC74HC1G32DFT2G/page-1", "MC74HC1G32DFT2G")</f>
        <v>MC74HC1G32DFT2G</v>
      </c>
      <c r="B26246" s="3" t="s">
        <v>95</v>
      </c>
      <c r="C26246" s="6">
        <v>387944</v>
      </c>
      <c r="D26246" s="7">
        <v>0.33</v>
      </c>
      <c r="E26246" t="s">
        <v>31</v>
      </c>
    </row>
    <row r="26247" spans="1:5" x14ac:dyDescent="0.25">
      <c r="A26247" t="str">
        <f>HYPERLINK("https://www.773grp.com/globalSearch/MC74HC1GU04DFT1G/page-1", "MC74HC1GU04DFT1G")</f>
        <v>MC74HC1GU04DFT1G</v>
      </c>
      <c r="B26247" s="3" t="s">
        <v>95</v>
      </c>
      <c r="C26247" s="6">
        <v>57000</v>
      </c>
      <c r="D26247" s="7">
        <v>0.33</v>
      </c>
      <c r="E26247" t="s">
        <v>31</v>
      </c>
    </row>
    <row r="26248" spans="1:5" x14ac:dyDescent="0.25">
      <c r="A26248" t="str">
        <f>HYPERLINK("https://www.773grp.com/globalSearch/MC74HC1GU04DFT2G/page-1", "MC74HC1GU04DFT2G")</f>
        <v>MC74HC1GU04DFT2G</v>
      </c>
      <c r="B26248" s="3" t="s">
        <v>95</v>
      </c>
      <c r="C26248" s="6">
        <v>17830</v>
      </c>
      <c r="D26248" s="7">
        <v>0.33</v>
      </c>
      <c r="E26248" t="s">
        <v>31</v>
      </c>
    </row>
    <row r="26249" spans="1:5" x14ac:dyDescent="0.25">
      <c r="A26249" t="str">
        <f>HYPERLINK("https://www.773grp.com/globalSearch/MC74HC86AD/page-1", "MC74HC86AD")</f>
        <v>MC74HC86AD</v>
      </c>
      <c r="B26249" s="3" t="s">
        <v>95</v>
      </c>
      <c r="C26249" s="6">
        <v>3169</v>
      </c>
      <c r="D26249" s="7">
        <v>0.33</v>
      </c>
      <c r="E26249" t="s">
        <v>31</v>
      </c>
    </row>
    <row r="26250" spans="1:5" x14ac:dyDescent="0.25">
      <c r="A26250" t="str">
        <f>HYPERLINK("https://www.773grp.com/globalSearch/MC74HC86ADR2/page-1", "MC74HC86ADR2")</f>
        <v>MC74HC86ADR2</v>
      </c>
      <c r="B26250" s="3" t="s">
        <v>95</v>
      </c>
      <c r="C26250" s="6">
        <v>7390</v>
      </c>
      <c r="D26250" s="7">
        <v>0.33</v>
      </c>
      <c r="E26250" t="s">
        <v>31</v>
      </c>
    </row>
    <row r="26251" spans="1:5" x14ac:dyDescent="0.25">
      <c r="A26251" t="str">
        <f>HYPERLINK("https://www.773grp.com/globalSearch/MC74HC86ADT/page-1", "MC74HC86ADT")</f>
        <v>MC74HC86ADT</v>
      </c>
      <c r="B26251" s="3" t="s">
        <v>95</v>
      </c>
      <c r="C26251" s="6">
        <v>7213</v>
      </c>
      <c r="D26251" s="7">
        <v>0.33</v>
      </c>
      <c r="E26251" t="s">
        <v>31</v>
      </c>
    </row>
    <row r="26252" spans="1:5" x14ac:dyDescent="0.25">
      <c r="A26252" t="str">
        <f>HYPERLINK("https://www.773grp.com/globalSearch/MC74HCT04AD/page-1", "MC74HCT04AD")</f>
        <v>MC74HCT04AD</v>
      </c>
      <c r="B26252" s="3" t="s">
        <v>95</v>
      </c>
      <c r="C26252" s="6">
        <v>2950</v>
      </c>
      <c r="D26252" s="7">
        <v>0.33</v>
      </c>
      <c r="E26252" t="s">
        <v>31</v>
      </c>
    </row>
    <row r="26253" spans="1:5" x14ac:dyDescent="0.25">
      <c r="A26253" t="str">
        <f>HYPERLINK("https://www.773grp.com/globalSearch/MC74HCT04ADT/page-1", "MC74HCT04ADT")</f>
        <v>MC74HCT04ADT</v>
      </c>
      <c r="B26253" s="3" t="s">
        <v>95</v>
      </c>
      <c r="C26253" s="6">
        <v>2016</v>
      </c>
      <c r="D26253" s="7">
        <v>0.33</v>
      </c>
      <c r="E26253" t="s">
        <v>31</v>
      </c>
    </row>
    <row r="26254" spans="1:5" x14ac:dyDescent="0.25">
      <c r="A26254" t="str">
        <f>HYPERLINK("https://www.773grp.com/globalSearch/MC74HCT04ADTR2/page-1", "MC74HCT04ADTR2")</f>
        <v>MC74HCT04ADTR2</v>
      </c>
      <c r="B26254" s="3" t="s">
        <v>95</v>
      </c>
      <c r="C26254" s="6">
        <v>25000</v>
      </c>
      <c r="D26254" s="7">
        <v>0.33</v>
      </c>
      <c r="E26254" t="s">
        <v>31</v>
      </c>
    </row>
    <row r="26255" spans="1:5" x14ac:dyDescent="0.25">
      <c r="A26255" t="str">
        <f>HYPERLINK("https://www.773grp.com/globalSearch/MC74HCT14AF/page-1", "MC74HCT14AF")</f>
        <v>MC74HCT14AF</v>
      </c>
      <c r="B26255" s="3" t="s">
        <v>95</v>
      </c>
      <c r="C26255" s="6">
        <v>2625</v>
      </c>
      <c r="D26255" s="7">
        <v>0.33</v>
      </c>
    </row>
    <row r="26256" spans="1:5" x14ac:dyDescent="0.25">
      <c r="A26256" t="str">
        <f>HYPERLINK("https://www.773grp.com/globalSearch/MC74HCT32AD/page-1", "MC74HCT32AD")</f>
        <v>MC74HCT32AD</v>
      </c>
      <c r="B26256" s="3" t="s">
        <v>95</v>
      </c>
      <c r="C26256" s="6">
        <v>2501</v>
      </c>
      <c r="D26256" s="7">
        <v>0.33</v>
      </c>
      <c r="E26256" t="s">
        <v>31</v>
      </c>
    </row>
    <row r="26257" spans="1:5" x14ac:dyDescent="0.25">
      <c r="A26257" t="str">
        <f>HYPERLINK("https://www.773grp.com/globalSearch/MC74HCT32ADR2/page-1", "MC74HCT32ADR2")</f>
        <v>MC74HCT32ADR2</v>
      </c>
      <c r="B26257" s="3" t="s">
        <v>95</v>
      </c>
      <c r="C26257" s="6">
        <v>50000</v>
      </c>
      <c r="D26257" s="7">
        <v>0.33</v>
      </c>
      <c r="E26257" t="s">
        <v>31</v>
      </c>
    </row>
    <row r="26258" spans="1:5" x14ac:dyDescent="0.25">
      <c r="A26258" t="str">
        <f>HYPERLINK("https://www.773grp.com/globalSearch/MC74HCT32ADT/page-1", "MC74HCT32ADT")</f>
        <v>MC74HCT32ADT</v>
      </c>
      <c r="B26258" s="3" t="s">
        <v>95</v>
      </c>
      <c r="C26258" s="6">
        <v>1920</v>
      </c>
      <c r="D26258" s="7">
        <v>0.33</v>
      </c>
    </row>
    <row r="26259" spans="1:5" x14ac:dyDescent="0.25">
      <c r="A26259" t="str">
        <f>HYPERLINK("https://www.773grp.com/globalSearch/MC74HCT32ADTR2/page-1", "MC74HCT32ADTR2")</f>
        <v>MC74HCT32ADTR2</v>
      </c>
      <c r="B26259" s="3" t="s">
        <v>95</v>
      </c>
      <c r="C26259" s="6">
        <v>5000</v>
      </c>
      <c r="D26259" s="7">
        <v>0.33</v>
      </c>
    </row>
    <row r="26260" spans="1:5" x14ac:dyDescent="0.25">
      <c r="A26260" t="str">
        <f>HYPERLINK("https://www.773grp.com/globalSearch/MC74HCT32ADTR2/page-1", "MC74HCT32ADTR2")</f>
        <v>MC74HCT32ADTR2</v>
      </c>
      <c r="B26260" s="3" t="s">
        <v>95</v>
      </c>
      <c r="C26260" s="6">
        <v>2500</v>
      </c>
      <c r="D26260" s="7">
        <v>0.33</v>
      </c>
    </row>
    <row r="26261" spans="1:5" x14ac:dyDescent="0.25">
      <c r="A26261" t="str">
        <f>HYPERLINK("https://www.773grp.com/globalSearch/MC74HCU04AD/page-1", "MC74HCU04AD")</f>
        <v>MC74HCU04AD</v>
      </c>
      <c r="B26261" s="3" t="s">
        <v>95</v>
      </c>
      <c r="C26261" s="6">
        <v>5610</v>
      </c>
      <c r="D26261" s="7">
        <v>0.33</v>
      </c>
      <c r="E26261" t="s">
        <v>31</v>
      </c>
    </row>
    <row r="26262" spans="1:5" x14ac:dyDescent="0.25">
      <c r="A26262" t="str">
        <f>HYPERLINK("https://www.773grp.com/globalSearch/MC74HCU04ADR2/page-1", "MC74HCU04ADR2")</f>
        <v>MC74HCU04ADR2</v>
      </c>
      <c r="B26262" s="3" t="s">
        <v>95</v>
      </c>
      <c r="C26262" s="6">
        <v>2500</v>
      </c>
      <c r="D26262" s="7">
        <v>0.33</v>
      </c>
      <c r="E26262" t="s">
        <v>31</v>
      </c>
    </row>
    <row r="26263" spans="1:5" x14ac:dyDescent="0.25">
      <c r="A26263" t="str">
        <f>HYPERLINK("https://www.773grp.com/globalSearch/MC74LVX00D/page-1", "MC74LVX00D")</f>
        <v>MC74LVX00D</v>
      </c>
      <c r="B26263" s="3" t="s">
        <v>95</v>
      </c>
      <c r="C26263" s="6">
        <v>32930</v>
      </c>
      <c r="D26263" s="7">
        <v>0.33</v>
      </c>
      <c r="E26263" t="s">
        <v>31</v>
      </c>
    </row>
    <row r="26264" spans="1:5" x14ac:dyDescent="0.25">
      <c r="A26264" t="str">
        <f>HYPERLINK("https://www.773grp.com/globalSearch/MC74LVX00DT/page-1", "MC74LVX00DT")</f>
        <v>MC74LVX00DT</v>
      </c>
      <c r="B26264" s="3" t="s">
        <v>95</v>
      </c>
      <c r="C26264" s="6">
        <v>16416</v>
      </c>
      <c r="D26264" s="7">
        <v>0.33</v>
      </c>
      <c r="E26264" t="s">
        <v>31</v>
      </c>
    </row>
    <row r="26265" spans="1:5" x14ac:dyDescent="0.25">
      <c r="A26265" t="str">
        <f>HYPERLINK("https://www.773grp.com/globalSearch/MC74LVX00DTR2/page-1", "MC74LVX00DTR2")</f>
        <v>MC74LVX00DTR2</v>
      </c>
      <c r="B26265" s="3" t="s">
        <v>95</v>
      </c>
      <c r="C26265" s="6">
        <v>17500</v>
      </c>
      <c r="D26265" s="7">
        <v>0.33</v>
      </c>
      <c r="E26265" t="s">
        <v>31</v>
      </c>
    </row>
    <row r="26266" spans="1:5" x14ac:dyDescent="0.25">
      <c r="A26266" t="str">
        <f>HYPERLINK("https://www.773grp.com/globalSearch/MC74LVX02D/page-1", "MC74LVX02D")</f>
        <v>MC74LVX02D</v>
      </c>
      <c r="B26266" s="3" t="s">
        <v>95</v>
      </c>
      <c r="C26266" s="6">
        <v>55</v>
      </c>
      <c r="D26266" s="7">
        <v>0.33</v>
      </c>
      <c r="E26266" t="s">
        <v>31</v>
      </c>
    </row>
    <row r="26267" spans="1:5" x14ac:dyDescent="0.25">
      <c r="A26267" t="str">
        <f>HYPERLINK("https://www.773grp.com/globalSearch/MC74LVX02DR2/page-1", "MC74LVX02DR2")</f>
        <v>MC74LVX02DR2</v>
      </c>
      <c r="B26267" s="3" t="s">
        <v>95</v>
      </c>
      <c r="C26267" s="6">
        <v>10000</v>
      </c>
      <c r="D26267" s="7">
        <v>0.33</v>
      </c>
      <c r="E26267" t="s">
        <v>31</v>
      </c>
    </row>
    <row r="26268" spans="1:5" x14ac:dyDescent="0.25">
      <c r="A26268" t="str">
        <f>HYPERLINK("https://www.773grp.com/globalSearch/MC74LVX04D/page-1", "MC74LVX04D")</f>
        <v>MC74LVX04D</v>
      </c>
      <c r="B26268" s="3" t="s">
        <v>95</v>
      </c>
      <c r="C26268" s="6">
        <v>2101</v>
      </c>
      <c r="D26268" s="7">
        <v>0.33</v>
      </c>
      <c r="E26268" t="s">
        <v>31</v>
      </c>
    </row>
    <row r="26269" spans="1:5" x14ac:dyDescent="0.25">
      <c r="A26269" t="str">
        <f>HYPERLINK("https://www.773grp.com/globalSearch/MC74LVX04DR2/page-1", "MC74LVX04DR2")</f>
        <v>MC74LVX04DR2</v>
      </c>
      <c r="B26269" s="3" t="s">
        <v>95</v>
      </c>
      <c r="C26269" s="6">
        <v>5000</v>
      </c>
      <c r="D26269" s="7">
        <v>0.33</v>
      </c>
      <c r="E26269" t="s">
        <v>31</v>
      </c>
    </row>
    <row r="26270" spans="1:5" x14ac:dyDescent="0.25">
      <c r="A26270" t="str">
        <f>HYPERLINK("https://www.773grp.com/globalSearch/MC74LVX08D/page-1", "MC74LVX08D")</f>
        <v>MC74LVX08D</v>
      </c>
      <c r="B26270" s="3" t="s">
        <v>95</v>
      </c>
      <c r="C26270" s="6">
        <v>57465</v>
      </c>
      <c r="D26270" s="7">
        <v>0.33</v>
      </c>
      <c r="E26270" t="s">
        <v>31</v>
      </c>
    </row>
    <row r="26271" spans="1:5" x14ac:dyDescent="0.25">
      <c r="A26271" t="str">
        <f>HYPERLINK("https://www.773grp.com/globalSearch/MC74LVX08DR2/page-1", "MC74LVX08DR2")</f>
        <v>MC74LVX08DR2</v>
      </c>
      <c r="B26271" s="3" t="s">
        <v>95</v>
      </c>
      <c r="C26271" s="6">
        <v>40000</v>
      </c>
      <c r="D26271" s="7">
        <v>0.33</v>
      </c>
      <c r="E26271" t="s">
        <v>31</v>
      </c>
    </row>
    <row r="26272" spans="1:5" x14ac:dyDescent="0.25">
      <c r="A26272" t="str">
        <f>HYPERLINK("https://www.773grp.com/globalSearch/MC74LVX32D/page-1", "MC74LVX32D")</f>
        <v>MC74LVX32D</v>
      </c>
      <c r="B26272" s="3" t="s">
        <v>95</v>
      </c>
      <c r="C26272" s="6">
        <v>11640</v>
      </c>
      <c r="D26272" s="7">
        <v>0.33</v>
      </c>
      <c r="E26272" t="s">
        <v>31</v>
      </c>
    </row>
    <row r="26273" spans="1:5" x14ac:dyDescent="0.25">
      <c r="A26273" t="str">
        <f>HYPERLINK("https://www.773grp.com/globalSearch/MC74LVX32DR2/page-1", "MC74LVX32DR2")</f>
        <v>MC74LVX32DR2</v>
      </c>
      <c r="B26273" s="3" t="s">
        <v>95</v>
      </c>
      <c r="C26273" s="6">
        <v>32500</v>
      </c>
      <c r="D26273" s="7">
        <v>0.33</v>
      </c>
      <c r="E26273" t="s">
        <v>31</v>
      </c>
    </row>
    <row r="26274" spans="1:5" x14ac:dyDescent="0.25">
      <c r="A26274" t="str">
        <f>HYPERLINK("https://www.773grp.com/globalSearch/MC74LVX50DR2/page-1", "MC74LVX50DR2")</f>
        <v>MC74LVX50DR2</v>
      </c>
      <c r="B26274" s="3" t="s">
        <v>95</v>
      </c>
      <c r="C26274" s="6">
        <v>7365</v>
      </c>
      <c r="D26274" s="7">
        <v>0.33</v>
      </c>
      <c r="E26274" t="s">
        <v>31</v>
      </c>
    </row>
    <row r="26275" spans="1:5" x14ac:dyDescent="0.25">
      <c r="A26275" t="str">
        <f>HYPERLINK("https://www.773grp.com/globalSearch/MC74LVX50DT/page-1", "MC74LVX50DT")</f>
        <v>MC74LVX50DT</v>
      </c>
      <c r="B26275" s="3" t="s">
        <v>95</v>
      </c>
      <c r="C26275" s="6">
        <v>864</v>
      </c>
      <c r="D26275" s="7">
        <v>0.33</v>
      </c>
      <c r="E26275" t="s">
        <v>31</v>
      </c>
    </row>
    <row r="26276" spans="1:5" x14ac:dyDescent="0.25">
      <c r="A26276" t="str">
        <f>HYPERLINK("https://www.773grp.com/globalSearch/MC74LVX50DTR2/page-1", "MC74LVX50DTR2")</f>
        <v>MC74LVX50DTR2</v>
      </c>
      <c r="B26276" s="3" t="s">
        <v>95</v>
      </c>
      <c r="C26276" s="6">
        <v>18564</v>
      </c>
      <c r="D26276" s="7">
        <v>0.33</v>
      </c>
      <c r="E26276" t="s">
        <v>31</v>
      </c>
    </row>
    <row r="26277" spans="1:5" x14ac:dyDescent="0.25">
      <c r="A26277" t="str">
        <f>HYPERLINK("https://www.773grp.com/globalSearch/MC74LVX74DT/page-1", "MC74LVX74DT")</f>
        <v>MC74LVX74DT</v>
      </c>
      <c r="B26277" s="3" t="s">
        <v>95</v>
      </c>
      <c r="C26277" s="6">
        <v>2304</v>
      </c>
      <c r="D26277" s="7">
        <v>0.33</v>
      </c>
      <c r="E26277" t="s">
        <v>35</v>
      </c>
    </row>
    <row r="26278" spans="1:5" x14ac:dyDescent="0.25">
      <c r="A26278" t="str">
        <f>HYPERLINK("https://www.773grp.com/globalSearch/MC74LVX74DTR2/page-1", "MC74LVX74DTR2")</f>
        <v>MC74LVX74DTR2</v>
      </c>
      <c r="B26278" s="3" t="s">
        <v>95</v>
      </c>
      <c r="C26278" s="6">
        <v>62500</v>
      </c>
      <c r="D26278" s="7">
        <v>0.33</v>
      </c>
      <c r="E26278" t="s">
        <v>35</v>
      </c>
    </row>
    <row r="26279" spans="1:5" x14ac:dyDescent="0.25">
      <c r="A26279" t="str">
        <f>HYPERLINK("https://www.773grp.com/globalSearch/MC74LVX86DR2/page-1", "MC74LVX86DR2")</f>
        <v>MC74LVX86DR2</v>
      </c>
      <c r="B26279" s="3" t="s">
        <v>95</v>
      </c>
      <c r="C26279" s="6">
        <v>7500</v>
      </c>
      <c r="D26279" s="7">
        <v>0.33</v>
      </c>
      <c r="E26279" t="s">
        <v>31</v>
      </c>
    </row>
    <row r="26280" spans="1:5" x14ac:dyDescent="0.25">
      <c r="A26280" t="str">
        <f>HYPERLINK("https://www.773grp.com/globalSearch/MC74LVXU04D/page-1", "MC74LVXU04D")</f>
        <v>MC74LVXU04D</v>
      </c>
      <c r="B26280" s="3" t="s">
        <v>95</v>
      </c>
      <c r="C26280" s="6">
        <v>990</v>
      </c>
      <c r="D26280" s="7">
        <v>0.33</v>
      </c>
      <c r="E26280" t="s">
        <v>31</v>
      </c>
    </row>
    <row r="26281" spans="1:5" x14ac:dyDescent="0.25">
      <c r="A26281" t="str">
        <f>HYPERLINK("https://www.773grp.com/globalSearch/MC74LVXU04DR2/page-1", "MC74LVXU04DR2")</f>
        <v>MC74LVXU04DR2</v>
      </c>
      <c r="B26281" s="3" t="s">
        <v>95</v>
      </c>
      <c r="C26281" s="6">
        <v>2500</v>
      </c>
      <c r="D26281" s="7">
        <v>0.33</v>
      </c>
      <c r="E26281" t="s">
        <v>31</v>
      </c>
    </row>
    <row r="26282" spans="1:5" x14ac:dyDescent="0.25">
      <c r="A26282" t="str">
        <f>HYPERLINK("https://www.773grp.com/globalSearch/MC74LVXU04DTR2/page-1", "MC74LVXU04DTR2")</f>
        <v>MC74LVXU04DTR2</v>
      </c>
      <c r="B26282" s="3" t="s">
        <v>95</v>
      </c>
      <c r="C26282" s="6">
        <v>2475</v>
      </c>
      <c r="D26282" s="7">
        <v>0.33</v>
      </c>
      <c r="E26282" t="s">
        <v>31</v>
      </c>
    </row>
    <row r="26283" spans="1:5" x14ac:dyDescent="0.25">
      <c r="A26283" t="str">
        <f>HYPERLINK("https://www.773grp.com/globalSearch/MC74VHC00D/page-1", "MC74VHC00D")</f>
        <v>MC74VHC00D</v>
      </c>
      <c r="B26283" s="3" t="s">
        <v>95</v>
      </c>
      <c r="C26283" s="6">
        <v>56245</v>
      </c>
      <c r="D26283" s="7">
        <v>0.33</v>
      </c>
      <c r="E26283" t="s">
        <v>31</v>
      </c>
    </row>
    <row r="26284" spans="1:5" x14ac:dyDescent="0.25">
      <c r="A26284" t="str">
        <f>HYPERLINK("https://www.773grp.com/globalSearch/MC74VHC00DT/page-1", "MC74VHC00DT")</f>
        <v>MC74VHC00DT</v>
      </c>
      <c r="B26284" s="3" t="s">
        <v>95</v>
      </c>
      <c r="C26284" s="6">
        <v>1143</v>
      </c>
      <c r="D26284" s="7">
        <v>0.33</v>
      </c>
      <c r="E26284" t="s">
        <v>31</v>
      </c>
    </row>
    <row r="26285" spans="1:5" x14ac:dyDescent="0.25">
      <c r="A26285" t="str">
        <f>HYPERLINK("https://www.773grp.com/globalSearch/MC74VHC00DTR2/page-1", "MC74VHC00DTR2")</f>
        <v>MC74VHC00DTR2</v>
      </c>
      <c r="B26285" s="3" t="s">
        <v>95</v>
      </c>
      <c r="C26285" s="6">
        <v>72500</v>
      </c>
      <c r="D26285" s="7">
        <v>0.33</v>
      </c>
      <c r="E26285" t="s">
        <v>31</v>
      </c>
    </row>
    <row r="26286" spans="1:5" x14ac:dyDescent="0.25">
      <c r="A26286" t="str">
        <f>HYPERLINK("https://www.773grp.com/globalSearch/MC74VHC02D/page-1", "MC74VHC02D")</f>
        <v>MC74VHC02D</v>
      </c>
      <c r="B26286" s="3" t="s">
        <v>95</v>
      </c>
      <c r="C26286" s="6">
        <v>7745</v>
      </c>
      <c r="D26286" s="7">
        <v>0.33</v>
      </c>
      <c r="E26286" t="s">
        <v>31</v>
      </c>
    </row>
    <row r="26287" spans="1:5" x14ac:dyDescent="0.25">
      <c r="A26287" t="str">
        <f>HYPERLINK("https://www.773grp.com/globalSearch/MC74VHC02DR2/page-1", "MC74VHC02DR2")</f>
        <v>MC74VHC02DR2</v>
      </c>
      <c r="B26287" s="3" t="s">
        <v>95</v>
      </c>
      <c r="C26287" s="6">
        <v>2500</v>
      </c>
      <c r="D26287" s="7">
        <v>0.33</v>
      </c>
      <c r="E26287" t="s">
        <v>31</v>
      </c>
    </row>
    <row r="26288" spans="1:5" x14ac:dyDescent="0.25">
      <c r="A26288" t="str">
        <f>HYPERLINK("https://www.773grp.com/globalSearch/MC74VHC02DT/page-1", "MC74VHC02DT")</f>
        <v>MC74VHC02DT</v>
      </c>
      <c r="B26288" s="3" t="s">
        <v>95</v>
      </c>
      <c r="C26288" s="6">
        <v>1771</v>
      </c>
      <c r="D26288" s="7">
        <v>0.33</v>
      </c>
      <c r="E26288" t="s">
        <v>31</v>
      </c>
    </row>
    <row r="26289" spans="1:5" x14ac:dyDescent="0.25">
      <c r="A26289" t="str">
        <f>HYPERLINK("https://www.773grp.com/globalSearch/MC74VHC02DTR2/page-1", "MC74VHC02DTR2")</f>
        <v>MC74VHC02DTR2</v>
      </c>
      <c r="B26289" s="3" t="s">
        <v>95</v>
      </c>
      <c r="C26289" s="6">
        <v>7500</v>
      </c>
      <c r="D26289" s="7">
        <v>0.33</v>
      </c>
      <c r="E26289" t="s">
        <v>31</v>
      </c>
    </row>
    <row r="26290" spans="1:5" x14ac:dyDescent="0.25">
      <c r="A26290" t="str">
        <f>HYPERLINK("https://www.773grp.com/globalSearch/MC74VHC04D/page-1", "MC74VHC04D")</f>
        <v>MC74VHC04D</v>
      </c>
      <c r="B26290" s="3" t="s">
        <v>95</v>
      </c>
      <c r="C26290" s="6">
        <v>13360</v>
      </c>
      <c r="D26290" s="7">
        <v>0.33</v>
      </c>
      <c r="E26290" t="s">
        <v>31</v>
      </c>
    </row>
    <row r="26291" spans="1:5" x14ac:dyDescent="0.25">
      <c r="A26291" t="str">
        <f>HYPERLINK("https://www.773grp.com/globalSearch/MC74VHC04DR2/page-1", "MC74VHC04DR2")</f>
        <v>MC74VHC04DR2</v>
      </c>
      <c r="B26291" s="3" t="s">
        <v>95</v>
      </c>
      <c r="C26291" s="6">
        <v>2500</v>
      </c>
      <c r="D26291" s="7">
        <v>0.33</v>
      </c>
      <c r="E26291" t="s">
        <v>31</v>
      </c>
    </row>
    <row r="26292" spans="1:5" x14ac:dyDescent="0.25">
      <c r="A26292" t="str">
        <f>HYPERLINK("https://www.773grp.com/globalSearch/MC74VHC04DT/page-1", "MC74VHC04DT")</f>
        <v>MC74VHC04DT</v>
      </c>
      <c r="B26292" s="3" t="s">
        <v>95</v>
      </c>
      <c r="C26292" s="6">
        <v>4384</v>
      </c>
      <c r="D26292" s="7">
        <v>0.33</v>
      </c>
      <c r="E26292" t="s">
        <v>31</v>
      </c>
    </row>
    <row r="26293" spans="1:5" x14ac:dyDescent="0.25">
      <c r="A26293" t="str">
        <f>HYPERLINK("https://www.773grp.com/globalSearch/MC74VHC04DTR2/page-1", "MC74VHC04DTR2")</f>
        <v>MC74VHC04DTR2</v>
      </c>
      <c r="B26293" s="3" t="s">
        <v>95</v>
      </c>
      <c r="C26293" s="6">
        <v>20000</v>
      </c>
      <c r="D26293" s="7">
        <v>0.33</v>
      </c>
      <c r="E26293" t="s">
        <v>31</v>
      </c>
    </row>
    <row r="26294" spans="1:5" x14ac:dyDescent="0.25">
      <c r="A26294" t="str">
        <f>HYPERLINK("https://www.773grp.com/globalSearch/MC74VHC08D/page-1", "MC74VHC08D")</f>
        <v>MC74VHC08D</v>
      </c>
      <c r="B26294" s="3" t="s">
        <v>95</v>
      </c>
      <c r="C26294" s="6">
        <v>9555</v>
      </c>
      <c r="D26294" s="7">
        <v>0.33</v>
      </c>
      <c r="E26294" t="s">
        <v>31</v>
      </c>
    </row>
    <row r="26295" spans="1:5" x14ac:dyDescent="0.25">
      <c r="A26295" t="str">
        <f>HYPERLINK("https://www.773grp.com/globalSearch/MC74VHC08DR2/page-1", "MC74VHC08DR2")</f>
        <v>MC74VHC08DR2</v>
      </c>
      <c r="B26295" s="3" t="s">
        <v>95</v>
      </c>
      <c r="C26295" s="6">
        <v>158892</v>
      </c>
      <c r="D26295" s="7">
        <v>0.33</v>
      </c>
      <c r="E26295" t="s">
        <v>31</v>
      </c>
    </row>
    <row r="26296" spans="1:5" x14ac:dyDescent="0.25">
      <c r="A26296" t="str">
        <f>HYPERLINK("https://www.773grp.com/globalSearch/MC74VHC08DTR2/page-1", "MC74VHC08DTR2")</f>
        <v>MC74VHC08DTR2</v>
      </c>
      <c r="B26296" s="3" t="s">
        <v>95</v>
      </c>
      <c r="C26296" s="6">
        <v>60000</v>
      </c>
      <c r="D26296" s="7">
        <v>0.33</v>
      </c>
      <c r="E26296" t="s">
        <v>31</v>
      </c>
    </row>
    <row r="26297" spans="1:5" x14ac:dyDescent="0.25">
      <c r="A26297" t="str">
        <f>HYPERLINK("https://www.773grp.com/globalSearch/MC74VHC14DTR2/page-1", "MC74VHC14DTR2")</f>
        <v>MC74VHC14DTR2</v>
      </c>
      <c r="B26297" s="3" t="s">
        <v>95</v>
      </c>
      <c r="C26297" s="6">
        <v>10000</v>
      </c>
      <c r="D26297" s="7">
        <v>0.33</v>
      </c>
      <c r="E26297" t="s">
        <v>31</v>
      </c>
    </row>
    <row r="26298" spans="1:5" x14ac:dyDescent="0.25">
      <c r="A26298" t="str">
        <f>HYPERLINK("https://www.773grp.com/globalSearch/MC74VHC1G00DFT1G/page-1", "MC74VHC1G00DFT1G")</f>
        <v>MC74VHC1G00DFT1G</v>
      </c>
      <c r="B26298" s="3" t="s">
        <v>95</v>
      </c>
      <c r="C26298" s="6">
        <v>36000</v>
      </c>
      <c r="D26298" s="7">
        <v>0.33</v>
      </c>
      <c r="E26298" t="s">
        <v>31</v>
      </c>
    </row>
    <row r="26299" spans="1:5" x14ac:dyDescent="0.25">
      <c r="A26299" t="str">
        <f>HYPERLINK("https://www.773grp.com/globalSearch/MC74VHC1G00DFT2G/page-1", "MC74VHC1G00DFT2G")</f>
        <v>MC74VHC1G00DFT2G</v>
      </c>
      <c r="B26299" s="3" t="s">
        <v>95</v>
      </c>
      <c r="C26299" s="6">
        <v>249000</v>
      </c>
      <c r="D26299" s="7">
        <v>0.33</v>
      </c>
      <c r="E26299" t="s">
        <v>31</v>
      </c>
    </row>
    <row r="26300" spans="1:5" x14ac:dyDescent="0.25">
      <c r="A26300" t="str">
        <f>HYPERLINK("https://www.773grp.com/globalSearch/MC74VHC1G02DFT1G/page-1", "MC74VHC1G02DFT1G")</f>
        <v>MC74VHC1G02DFT1G</v>
      </c>
      <c r="B26300" s="3" t="s">
        <v>95</v>
      </c>
      <c r="C26300" s="6">
        <v>741500</v>
      </c>
      <c r="D26300" s="7">
        <v>0.33</v>
      </c>
      <c r="E26300" t="s">
        <v>31</v>
      </c>
    </row>
    <row r="26301" spans="1:5" x14ac:dyDescent="0.25">
      <c r="A26301" t="str">
        <f>HYPERLINK("https://www.773grp.com/globalSearch/MC74VHC1G02DFT2G/page-1", "MC74VHC1G02DFT2G")</f>
        <v>MC74VHC1G02DFT2G</v>
      </c>
      <c r="B26301" s="3" t="s">
        <v>95</v>
      </c>
      <c r="C26301" s="6">
        <v>107310</v>
      </c>
      <c r="D26301" s="7">
        <v>0.33</v>
      </c>
      <c r="E26301" t="s">
        <v>31</v>
      </c>
    </row>
    <row r="26302" spans="1:5" x14ac:dyDescent="0.25">
      <c r="A26302" t="str">
        <f>HYPERLINK("https://www.773grp.com/globalSearch/MC74VHC1G04DFT1G/page-1", "MC74VHC1G04DFT1G")</f>
        <v>MC74VHC1G04DFT1G</v>
      </c>
      <c r="B26302" s="3" t="s">
        <v>95</v>
      </c>
      <c r="C26302" s="6">
        <v>255000</v>
      </c>
      <c r="D26302" s="7">
        <v>0.33</v>
      </c>
      <c r="E26302" t="s">
        <v>31</v>
      </c>
    </row>
    <row r="26303" spans="1:5" x14ac:dyDescent="0.25">
      <c r="A26303" t="str">
        <f>HYPERLINK("https://www.773grp.com/globalSearch/MC74VHC1G04DFT2G/page-1", "MC74VHC1G04DFT2G")</f>
        <v>MC74VHC1G04DFT2G</v>
      </c>
      <c r="B26303" s="3" t="s">
        <v>95</v>
      </c>
      <c r="C26303" s="6">
        <v>977225</v>
      </c>
      <c r="D26303" s="7">
        <v>0.33</v>
      </c>
      <c r="E26303" t="s">
        <v>31</v>
      </c>
    </row>
    <row r="26304" spans="1:5" x14ac:dyDescent="0.25">
      <c r="A26304" t="str">
        <f>HYPERLINK("https://www.773grp.com/globalSearch/MC74VHC1G05DFT1G/page-1", "MC74VHC1G05DFT1G")</f>
        <v>MC74VHC1G05DFT1G</v>
      </c>
      <c r="B26304" s="3" t="s">
        <v>95</v>
      </c>
      <c r="C26304" s="6">
        <v>165000</v>
      </c>
      <c r="D26304" s="7">
        <v>0.33</v>
      </c>
      <c r="E26304" t="s">
        <v>31</v>
      </c>
    </row>
    <row r="26305" spans="1:5" x14ac:dyDescent="0.25">
      <c r="A26305" t="str">
        <f>HYPERLINK("https://www.773grp.com/globalSearch/MC74VHC1G05DFT2G/page-1", "MC74VHC1G05DFT2G")</f>
        <v>MC74VHC1G05DFT2G</v>
      </c>
      <c r="B26305" s="3" t="s">
        <v>95</v>
      </c>
      <c r="C26305" s="6">
        <v>12000</v>
      </c>
      <c r="D26305" s="7">
        <v>0.33</v>
      </c>
      <c r="E26305" t="s">
        <v>31</v>
      </c>
    </row>
    <row r="26306" spans="1:5" x14ac:dyDescent="0.25">
      <c r="A26306" t="str">
        <f>HYPERLINK("https://www.773grp.com/globalSearch/MC74VHC1G07DFT1G/page-1", "MC74VHC1G07DFT1G")</f>
        <v>MC74VHC1G07DFT1G</v>
      </c>
      <c r="B26306" s="3" t="s">
        <v>95</v>
      </c>
      <c r="C26306" s="6">
        <v>151487</v>
      </c>
      <c r="D26306" s="7">
        <v>0.33</v>
      </c>
      <c r="E26306" t="s">
        <v>31</v>
      </c>
    </row>
    <row r="26307" spans="1:5" x14ac:dyDescent="0.25">
      <c r="A26307" t="str">
        <f>HYPERLINK("https://www.773grp.com/globalSearch/MC74VHC1G07DFT2G/page-1", "MC74VHC1G07DFT2G")</f>
        <v>MC74VHC1G07DFT2G</v>
      </c>
      <c r="B26307" s="3" t="s">
        <v>95</v>
      </c>
      <c r="C26307" s="6">
        <v>18000</v>
      </c>
      <c r="D26307" s="7">
        <v>0.33</v>
      </c>
      <c r="E26307" t="s">
        <v>31</v>
      </c>
    </row>
    <row r="26308" spans="1:5" x14ac:dyDescent="0.25">
      <c r="A26308" t="str">
        <f>HYPERLINK("https://www.773grp.com/globalSearch/MC74VHC1G08DFT1G/page-1", "MC74VHC1G08DFT1G")</f>
        <v>MC74VHC1G08DFT1G</v>
      </c>
      <c r="B26308" s="3" t="s">
        <v>95</v>
      </c>
      <c r="C26308" s="6">
        <v>21000</v>
      </c>
      <c r="D26308" s="7">
        <v>0.33</v>
      </c>
      <c r="E26308" t="s">
        <v>31</v>
      </c>
    </row>
    <row r="26309" spans="1:5" x14ac:dyDescent="0.25">
      <c r="A26309" t="str">
        <f>HYPERLINK("https://www.773grp.com/globalSearch/MC74VHC1G08DFT2G/page-1", "MC74VHC1G08DFT2G")</f>
        <v>MC74VHC1G08DFT2G</v>
      </c>
      <c r="B26309" s="3" t="s">
        <v>95</v>
      </c>
      <c r="C26309" s="6">
        <v>493238</v>
      </c>
      <c r="D26309" s="7">
        <v>0.33</v>
      </c>
      <c r="E26309" t="s">
        <v>31</v>
      </c>
    </row>
    <row r="26310" spans="1:5" x14ac:dyDescent="0.25">
      <c r="A26310" t="str">
        <f>HYPERLINK("https://www.773grp.com/globalSearch/MC74VHC1G14DFT2G/page-1", "MC74VHC1G14DFT2G")</f>
        <v>MC74VHC1G14DFT2G</v>
      </c>
      <c r="B26310" s="3" t="s">
        <v>95</v>
      </c>
      <c r="C26310" s="6">
        <v>8273</v>
      </c>
      <c r="D26310" s="7">
        <v>0.33</v>
      </c>
      <c r="E26310" t="s">
        <v>31</v>
      </c>
    </row>
    <row r="26311" spans="1:5" x14ac:dyDescent="0.25">
      <c r="A26311" t="str">
        <f>HYPERLINK("https://www.773grp.com/globalSearch/MC74VHC1G32DFT1G/page-1", "MC74VHC1G32DFT1G")</f>
        <v>MC74VHC1G32DFT1G</v>
      </c>
      <c r="B26311" s="3" t="s">
        <v>95</v>
      </c>
      <c r="C26311" s="6">
        <v>301800</v>
      </c>
      <c r="D26311" s="7">
        <v>0.33</v>
      </c>
      <c r="E26311" t="s">
        <v>31</v>
      </c>
    </row>
    <row r="26312" spans="1:5" x14ac:dyDescent="0.25">
      <c r="A26312" t="str">
        <f>HYPERLINK("https://www.773grp.com/globalSearch/MC74VHC1G32DFT2G/page-1", "MC74VHC1G32DFT2G")</f>
        <v>MC74VHC1G32DFT2G</v>
      </c>
      <c r="B26312" s="3" t="s">
        <v>95</v>
      </c>
      <c r="C26312" s="6">
        <v>95170</v>
      </c>
      <c r="D26312" s="7">
        <v>0.33</v>
      </c>
      <c r="E26312" t="s">
        <v>31</v>
      </c>
    </row>
    <row r="26313" spans="1:5" x14ac:dyDescent="0.25">
      <c r="A26313" t="str">
        <f>HYPERLINK("https://www.773grp.com/globalSearch/MC74VHC1G66DFT1G/page-1", "MC74VHC1G66DFT1G")</f>
        <v>MC74VHC1G66DFT1G</v>
      </c>
      <c r="B26313" s="3" t="s">
        <v>95</v>
      </c>
      <c r="C26313" s="6">
        <v>12000</v>
      </c>
      <c r="D26313" s="7">
        <v>0.33</v>
      </c>
      <c r="E26313" t="s">
        <v>56</v>
      </c>
    </row>
    <row r="26314" spans="1:5" x14ac:dyDescent="0.25">
      <c r="A26314" t="str">
        <f>HYPERLINK("https://www.773grp.com/globalSearch/MC74VHC1G66DFT2G/page-1", "MC74VHC1G66DFT2G")</f>
        <v>MC74VHC1G66DFT2G</v>
      </c>
      <c r="B26314" s="3" t="s">
        <v>95</v>
      </c>
      <c r="C26314" s="6">
        <v>704730</v>
      </c>
      <c r="D26314" s="7">
        <v>0.33</v>
      </c>
      <c r="E26314" t="s">
        <v>56</v>
      </c>
    </row>
    <row r="26315" spans="1:5" x14ac:dyDescent="0.25">
      <c r="A26315" t="str">
        <f>HYPERLINK("https://www.773grp.com/globalSearch/MC74VHC1G86DFT1G/page-1", "MC74VHC1G86DFT1G")</f>
        <v>MC74VHC1G86DFT1G</v>
      </c>
      <c r="B26315" s="3" t="s">
        <v>95</v>
      </c>
      <c r="C26315" s="6">
        <v>12000</v>
      </c>
      <c r="D26315" s="7">
        <v>0.33</v>
      </c>
      <c r="E26315" t="s">
        <v>31</v>
      </c>
    </row>
    <row r="26316" spans="1:5" x14ac:dyDescent="0.25">
      <c r="A26316" t="str">
        <f>HYPERLINK("https://www.773grp.com/globalSearch/MC74VHC1G86DFT2G/page-1", "MC74VHC1G86DFT2G")</f>
        <v>MC74VHC1G86DFT2G</v>
      </c>
      <c r="B26316" s="3" t="s">
        <v>95</v>
      </c>
      <c r="C26316" s="6">
        <v>45000</v>
      </c>
      <c r="D26316" s="7">
        <v>0.33</v>
      </c>
      <c r="E26316" t="s">
        <v>31</v>
      </c>
    </row>
    <row r="26317" spans="1:5" x14ac:dyDescent="0.25">
      <c r="A26317" t="str">
        <f>HYPERLINK("https://www.773grp.com/globalSearch/MC74VHC1GU04DF1G/page-1", "MC74VHC1GU04DF1G")</f>
        <v>MC74VHC1GU04DF1G</v>
      </c>
      <c r="B26317" s="3" t="s">
        <v>95</v>
      </c>
      <c r="C26317" s="6">
        <v>42000</v>
      </c>
      <c r="D26317" s="7">
        <v>0.33</v>
      </c>
    </row>
    <row r="26318" spans="1:5" x14ac:dyDescent="0.25">
      <c r="A26318" t="str">
        <f>HYPERLINK("https://www.773grp.com/globalSearch/MC74VHC32D/page-1", "MC74VHC32D")</f>
        <v>MC74VHC32D</v>
      </c>
      <c r="B26318" s="3" t="s">
        <v>95</v>
      </c>
      <c r="C26318" s="6">
        <v>16055</v>
      </c>
      <c r="D26318" s="7">
        <v>0.33</v>
      </c>
      <c r="E26318" t="s">
        <v>31</v>
      </c>
    </row>
    <row r="26319" spans="1:5" x14ac:dyDescent="0.25">
      <c r="A26319" t="str">
        <f>HYPERLINK("https://www.773grp.com/globalSearch/MC74VHC32DR2/page-1", "MC74VHC32DR2")</f>
        <v>MC74VHC32DR2</v>
      </c>
      <c r="B26319" s="3" t="s">
        <v>95</v>
      </c>
      <c r="C26319" s="6">
        <v>152500</v>
      </c>
      <c r="D26319" s="7">
        <v>0.33</v>
      </c>
      <c r="E26319" t="s">
        <v>31</v>
      </c>
    </row>
    <row r="26320" spans="1:5" x14ac:dyDescent="0.25">
      <c r="A26320" t="str">
        <f>HYPERLINK("https://www.773grp.com/globalSearch/MC74VHC32DT/page-1", "MC74VHC32DT")</f>
        <v>MC74VHC32DT</v>
      </c>
      <c r="B26320" s="3" t="s">
        <v>95</v>
      </c>
      <c r="C26320" s="6">
        <v>19236</v>
      </c>
      <c r="D26320" s="7">
        <v>0.33</v>
      </c>
      <c r="E26320" t="s">
        <v>31</v>
      </c>
    </row>
    <row r="26321" spans="1:5" x14ac:dyDescent="0.25">
      <c r="A26321" t="str">
        <f>HYPERLINK("https://www.773grp.com/globalSearch/MC74VHC50D/page-1", "MC74VHC50D")</f>
        <v>MC74VHC50D</v>
      </c>
      <c r="B26321" s="3" t="s">
        <v>95</v>
      </c>
      <c r="C26321" s="6">
        <v>715</v>
      </c>
      <c r="D26321" s="7">
        <v>0.33</v>
      </c>
      <c r="E26321" t="s">
        <v>31</v>
      </c>
    </row>
    <row r="26322" spans="1:5" x14ac:dyDescent="0.25">
      <c r="A26322" t="str">
        <f>HYPERLINK("https://www.773grp.com/globalSearch/MC74VHC74DR2/page-1", "MC74VHC74DR2")</f>
        <v>MC74VHC74DR2</v>
      </c>
      <c r="B26322" s="3" t="s">
        <v>95</v>
      </c>
      <c r="C26322" s="6">
        <v>47500</v>
      </c>
      <c r="D26322" s="7">
        <v>0.33</v>
      </c>
      <c r="E26322" t="s">
        <v>35</v>
      </c>
    </row>
    <row r="26323" spans="1:5" x14ac:dyDescent="0.25">
      <c r="A26323" t="str">
        <f>HYPERLINK("https://www.773grp.com/globalSearch/MC74VHC74DT/page-1", "MC74VHC74DT")</f>
        <v>MC74VHC74DT</v>
      </c>
      <c r="B26323" s="3" t="s">
        <v>95</v>
      </c>
      <c r="C26323" s="6">
        <v>167</v>
      </c>
      <c r="D26323" s="7">
        <v>0.33</v>
      </c>
      <c r="E26323" t="s">
        <v>35</v>
      </c>
    </row>
    <row r="26324" spans="1:5" x14ac:dyDescent="0.25">
      <c r="A26324" t="str">
        <f>HYPERLINK("https://www.773grp.com/globalSearch/MC74VHC74DTR2/page-1", "MC74VHC74DTR2")</f>
        <v>MC74VHC74DTR2</v>
      </c>
      <c r="B26324" s="3" t="s">
        <v>95</v>
      </c>
      <c r="C26324" s="6">
        <v>8000</v>
      </c>
      <c r="D26324" s="7">
        <v>0.33</v>
      </c>
      <c r="E26324" t="s">
        <v>35</v>
      </c>
    </row>
    <row r="26325" spans="1:5" x14ac:dyDescent="0.25">
      <c r="A26325" t="str">
        <f>HYPERLINK("https://www.773grp.com/globalSearch/MC74VHC74M/page-1", "MC74VHC74M")</f>
        <v>MC74VHC74M</v>
      </c>
      <c r="B26325" s="3" t="s">
        <v>95</v>
      </c>
      <c r="C26325" s="6">
        <v>42</v>
      </c>
      <c r="D26325" s="7">
        <v>0.33</v>
      </c>
      <c r="E26325" t="s">
        <v>35</v>
      </c>
    </row>
    <row r="26326" spans="1:5" x14ac:dyDescent="0.25">
      <c r="A26326" t="str">
        <f>HYPERLINK("https://www.773grp.com/globalSearch/MC74VHC86DR2/page-1", "MC74VHC86DR2")</f>
        <v>MC74VHC86DR2</v>
      </c>
      <c r="B26326" s="3" t="s">
        <v>95</v>
      </c>
      <c r="C26326" s="6">
        <v>5000</v>
      </c>
      <c r="D26326" s="7">
        <v>0.33</v>
      </c>
      <c r="E26326" t="s">
        <v>31</v>
      </c>
    </row>
    <row r="26327" spans="1:5" x14ac:dyDescent="0.25">
      <c r="A26327" t="str">
        <f>HYPERLINK("https://www.773grp.com/globalSearch/MC74VHCT00AD/page-1", "MC74VHCT00AD")</f>
        <v>MC74VHCT00AD</v>
      </c>
      <c r="B26327" s="3" t="s">
        <v>95</v>
      </c>
      <c r="C26327" s="6">
        <v>27530</v>
      </c>
      <c r="D26327" s="7">
        <v>0.33</v>
      </c>
      <c r="E26327" t="s">
        <v>31</v>
      </c>
    </row>
    <row r="26328" spans="1:5" x14ac:dyDescent="0.25">
      <c r="A26328" t="str">
        <f>HYPERLINK("https://www.773grp.com/globalSearch/MC74VHCT00ADR2/page-1", "MC74VHCT00ADR2")</f>
        <v>MC74VHCT00ADR2</v>
      </c>
      <c r="B26328" s="3" t="s">
        <v>95</v>
      </c>
      <c r="C26328" s="6">
        <v>15000</v>
      </c>
      <c r="D26328" s="7">
        <v>0.33</v>
      </c>
      <c r="E26328" t="s">
        <v>31</v>
      </c>
    </row>
    <row r="26329" spans="1:5" x14ac:dyDescent="0.25">
      <c r="A26329" t="str">
        <f>HYPERLINK("https://www.773grp.com/globalSearch/MC74VHCT02AD/page-1", "MC74VHCT02AD")</f>
        <v>MC74VHCT02AD</v>
      </c>
      <c r="B26329" s="3" t="s">
        <v>95</v>
      </c>
      <c r="C26329" s="6">
        <v>11910</v>
      </c>
      <c r="D26329" s="7">
        <v>0.33</v>
      </c>
      <c r="E26329" t="s">
        <v>31</v>
      </c>
    </row>
    <row r="26330" spans="1:5" x14ac:dyDescent="0.25">
      <c r="A26330" t="str">
        <f>HYPERLINK("https://www.773grp.com/globalSearch/MC74VHCT02ADR2/page-1", "MC74VHCT02ADR2")</f>
        <v>MC74VHCT02ADR2</v>
      </c>
      <c r="B26330" s="3" t="s">
        <v>95</v>
      </c>
      <c r="C26330" s="6">
        <v>5000</v>
      </c>
      <c r="D26330" s="7">
        <v>0.33</v>
      </c>
      <c r="E26330" t="s">
        <v>31</v>
      </c>
    </row>
    <row r="26331" spans="1:5" x14ac:dyDescent="0.25">
      <c r="A26331" t="str">
        <f>HYPERLINK("https://www.773grp.com/globalSearch/MC74VHCT04AD/page-1", "MC74VHCT04AD")</f>
        <v>MC74VHCT04AD</v>
      </c>
      <c r="B26331" s="3" t="s">
        <v>95</v>
      </c>
      <c r="C26331" s="6">
        <v>19905</v>
      </c>
      <c r="D26331" s="7">
        <v>0.33</v>
      </c>
      <c r="E26331" t="s">
        <v>31</v>
      </c>
    </row>
    <row r="26332" spans="1:5" x14ac:dyDescent="0.25">
      <c r="A26332" t="str">
        <f>HYPERLINK("https://www.773grp.com/globalSearch/MC74VHCT04ADR2/page-1", "MC74VHCT04ADR2")</f>
        <v>MC74VHCT04ADR2</v>
      </c>
      <c r="B26332" s="3" t="s">
        <v>95</v>
      </c>
      <c r="C26332" s="6">
        <v>5000</v>
      </c>
      <c r="D26332" s="7">
        <v>0.33</v>
      </c>
      <c r="E26332" t="s">
        <v>31</v>
      </c>
    </row>
    <row r="26333" spans="1:5" x14ac:dyDescent="0.25">
      <c r="A26333" t="str">
        <f>HYPERLINK("https://www.773grp.com/globalSearch/MC74VHCT04ADT/page-1", "MC74VHCT04ADT")</f>
        <v>MC74VHCT04ADT</v>
      </c>
      <c r="B26333" s="3" t="s">
        <v>95</v>
      </c>
      <c r="C26333" s="6">
        <v>9024</v>
      </c>
      <c r="D26333" s="7">
        <v>0.33</v>
      </c>
      <c r="E26333" t="s">
        <v>31</v>
      </c>
    </row>
    <row r="26334" spans="1:5" x14ac:dyDescent="0.25">
      <c r="A26334" t="str">
        <f>HYPERLINK("https://www.773grp.com/globalSearch/MC74VHCT04ADTR2/page-1", "MC74VHCT04ADTR2")</f>
        <v>MC74VHCT04ADTR2</v>
      </c>
      <c r="B26334" s="3" t="s">
        <v>95</v>
      </c>
      <c r="C26334" s="6">
        <v>5000</v>
      </c>
      <c r="D26334" s="7">
        <v>0.33</v>
      </c>
      <c r="E26334" t="s">
        <v>31</v>
      </c>
    </row>
    <row r="26335" spans="1:5" x14ac:dyDescent="0.25">
      <c r="A26335" t="str">
        <f>HYPERLINK("https://www.773grp.com/globalSearch/MC74VHCT08AD/page-1", "MC74VHCT08AD")</f>
        <v>MC74VHCT08AD</v>
      </c>
      <c r="B26335" s="3" t="s">
        <v>95</v>
      </c>
      <c r="C26335" s="6">
        <v>22825</v>
      </c>
      <c r="D26335" s="7">
        <v>0.33</v>
      </c>
      <c r="E26335" t="s">
        <v>31</v>
      </c>
    </row>
    <row r="26336" spans="1:5" x14ac:dyDescent="0.25">
      <c r="A26336" t="str">
        <f>HYPERLINK("https://www.773grp.com/globalSearch/MC74VHCT08ADR2/page-1", "MC74VHCT08ADR2")</f>
        <v>MC74VHCT08ADR2</v>
      </c>
      <c r="B26336" s="3" t="s">
        <v>95</v>
      </c>
      <c r="C26336" s="6">
        <v>5000</v>
      </c>
      <c r="D26336" s="7">
        <v>0.33</v>
      </c>
      <c r="E26336" t="s">
        <v>31</v>
      </c>
    </row>
    <row r="26337" spans="1:5" x14ac:dyDescent="0.25">
      <c r="A26337" t="str">
        <f>HYPERLINK("https://www.773grp.com/globalSearch/MC74VHCT08ADTR2/page-1", "MC74VHCT08ADTR2")</f>
        <v>MC74VHCT08ADTR2</v>
      </c>
      <c r="B26337" s="3" t="s">
        <v>95</v>
      </c>
      <c r="C26337" s="6">
        <v>7500</v>
      </c>
      <c r="D26337" s="7">
        <v>0.33</v>
      </c>
      <c r="E26337" t="s">
        <v>31</v>
      </c>
    </row>
    <row r="26338" spans="1:5" x14ac:dyDescent="0.25">
      <c r="A26338" t="str">
        <f>HYPERLINK("https://www.773grp.com/globalSearch/MC74VHCT14ADR2/page-1", "MC74VHCT14ADR2")</f>
        <v>MC74VHCT14ADR2</v>
      </c>
      <c r="B26338" s="3" t="s">
        <v>95</v>
      </c>
      <c r="C26338" s="6">
        <v>12471</v>
      </c>
      <c r="D26338" s="7">
        <v>0.33</v>
      </c>
      <c r="E26338" t="s">
        <v>31</v>
      </c>
    </row>
    <row r="26339" spans="1:5" x14ac:dyDescent="0.25">
      <c r="A26339" t="str">
        <f>HYPERLINK("https://www.773grp.com/globalSearch/MC74VHCT32AD/page-1", "MC74VHCT32AD")</f>
        <v>MC74VHCT32AD</v>
      </c>
      <c r="B26339" s="3" t="s">
        <v>95</v>
      </c>
      <c r="C26339" s="6">
        <v>41525</v>
      </c>
      <c r="D26339" s="7">
        <v>0.33</v>
      </c>
      <c r="E26339" t="s">
        <v>31</v>
      </c>
    </row>
    <row r="26340" spans="1:5" x14ac:dyDescent="0.25">
      <c r="A26340" t="str">
        <f>HYPERLINK("https://www.773grp.com/globalSearch/MC74VHCT50ADR2/page-1", "MC74VHCT50ADR2")</f>
        <v>MC74VHCT50ADR2</v>
      </c>
      <c r="B26340" s="3" t="s">
        <v>95</v>
      </c>
      <c r="C26340" s="6">
        <v>25000</v>
      </c>
      <c r="D26340" s="7">
        <v>0.33</v>
      </c>
      <c r="E26340" t="s">
        <v>31</v>
      </c>
    </row>
    <row r="26341" spans="1:5" x14ac:dyDescent="0.25">
      <c r="A26341" t="str">
        <f>HYPERLINK("https://www.773grp.com/globalSearch/MC74VHCT74ADTR2/page-1", "MC74VHCT74ADTR2")</f>
        <v>MC74VHCT74ADTR2</v>
      </c>
      <c r="B26341" s="3" t="s">
        <v>95</v>
      </c>
      <c r="C26341" s="6">
        <v>2500</v>
      </c>
      <c r="D26341" s="7">
        <v>0.33</v>
      </c>
      <c r="E26341" t="s">
        <v>35</v>
      </c>
    </row>
    <row r="26342" spans="1:5" x14ac:dyDescent="0.25">
      <c r="A26342" t="str">
        <f>HYPERLINK("https://www.773grp.com/globalSearch/MC74VHCT86ADR2/page-1", "MC74VHCT86ADR2")</f>
        <v>MC74VHCT86ADR2</v>
      </c>
      <c r="B26342" s="3" t="s">
        <v>95</v>
      </c>
      <c r="C26342" s="6">
        <v>20000</v>
      </c>
      <c r="D26342" s="7">
        <v>0.33</v>
      </c>
      <c r="E26342" t="s">
        <v>31</v>
      </c>
    </row>
    <row r="26343" spans="1:5" x14ac:dyDescent="0.25">
      <c r="A26343" t="str">
        <f>HYPERLINK("https://www.773grp.com/globalSearch/MC74VHCU04D/page-1", "MC74VHCU04D")</f>
        <v>MC74VHCU04D</v>
      </c>
      <c r="B26343" s="3" t="s">
        <v>95</v>
      </c>
      <c r="C26343" s="6">
        <v>6260</v>
      </c>
      <c r="D26343" s="7">
        <v>0.33</v>
      </c>
      <c r="E26343" t="s">
        <v>31</v>
      </c>
    </row>
    <row r="26344" spans="1:5" x14ac:dyDescent="0.25">
      <c r="A26344" t="str">
        <f>HYPERLINK("https://www.773grp.com/globalSearch/MC74VHCU04DR2/page-1", "MC74VHCU04DR2")</f>
        <v>MC74VHCU04DR2</v>
      </c>
      <c r="B26344" s="3" t="s">
        <v>95</v>
      </c>
      <c r="C26344" s="6">
        <v>7500</v>
      </c>
      <c r="D26344" s="7">
        <v>0.33</v>
      </c>
      <c r="E26344" t="s">
        <v>31</v>
      </c>
    </row>
    <row r="26345" spans="1:5" x14ac:dyDescent="0.25">
      <c r="A26345" t="str">
        <f>HYPERLINK("https://www.773grp.com/globalSearch/MC74VHCU04DTR2/page-1", "MC74VHCU04DTR2")</f>
        <v>MC74VHCU04DTR2</v>
      </c>
      <c r="B26345" s="3" t="s">
        <v>95</v>
      </c>
      <c r="C26345" s="6">
        <v>10000</v>
      </c>
      <c r="D26345" s="7">
        <v>0.33</v>
      </c>
      <c r="E26345" t="s">
        <v>31</v>
      </c>
    </row>
    <row r="26346" spans="1:5" x14ac:dyDescent="0.25">
      <c r="A26346" t="str">
        <f>HYPERLINK("https://www.773grp.com/globalSearch/MC79L05ACP/page-1", "MC79L05ACP")</f>
        <v>MC79L05ACP</v>
      </c>
      <c r="B26346" s="3" t="s">
        <v>95</v>
      </c>
      <c r="C26346" s="6">
        <v>59574</v>
      </c>
      <c r="D26346" s="7">
        <v>0.33</v>
      </c>
      <c r="E26346" t="s">
        <v>65</v>
      </c>
    </row>
    <row r="26347" spans="1:5" x14ac:dyDescent="0.25">
      <c r="A26347" t="str">
        <f>HYPERLINK("https://www.773grp.com/globalSearch/MDC3105LT1/page-1", "MDC3105LT1")</f>
        <v>MDC3105LT1</v>
      </c>
      <c r="B26347" s="3" t="s">
        <v>95</v>
      </c>
      <c r="C26347" s="6">
        <v>975</v>
      </c>
      <c r="D26347" s="7">
        <v>0.33</v>
      </c>
      <c r="E26347" t="s">
        <v>11</v>
      </c>
    </row>
    <row r="26348" spans="1:5" x14ac:dyDescent="0.25">
      <c r="A26348" t="str">
        <f>HYPERLINK("https://www.773grp.com/globalSearch/MMBF2201NT1/page-1", "MMBF2201NT1")</f>
        <v>MMBF2201NT1</v>
      </c>
      <c r="B26348" s="3" t="s">
        <v>95</v>
      </c>
      <c r="C26348" s="6">
        <v>12000</v>
      </c>
      <c r="D26348" s="7">
        <v>0.33</v>
      </c>
      <c r="E26348" t="s">
        <v>106</v>
      </c>
    </row>
    <row r="26349" spans="1:5" x14ac:dyDescent="0.25">
      <c r="A26349" t="str">
        <f>HYPERLINK("https://www.773grp.com/globalSearch/MMBF2201NT1G/page-1", "MMBF2201NT1G")</f>
        <v>MMBF2201NT1G</v>
      </c>
      <c r="B26349" s="3" t="s">
        <v>95</v>
      </c>
      <c r="C26349" s="6">
        <v>116746</v>
      </c>
      <c r="D26349" s="7">
        <v>0.33</v>
      </c>
      <c r="E26349" t="s">
        <v>106</v>
      </c>
    </row>
    <row r="26350" spans="1:5" x14ac:dyDescent="0.25">
      <c r="A26350" t="str">
        <f>HYPERLINK("https://www.773grp.com/globalSearch/MMBF2202PT1G/page-1", "MMBF2202PT1G")</f>
        <v>MMBF2202PT1G</v>
      </c>
      <c r="B26350" s="3" t="s">
        <v>95</v>
      </c>
      <c r="C26350" s="6">
        <v>499498</v>
      </c>
      <c r="D26350" s="7">
        <v>0.33</v>
      </c>
      <c r="E26350" t="s">
        <v>106</v>
      </c>
    </row>
    <row r="26351" spans="1:5" x14ac:dyDescent="0.25">
      <c r="A26351" t="str">
        <f>HYPERLINK("https://www.773grp.com/globalSearch/MMBT2132T3/page-1", "MMBT2132T3")</f>
        <v>MMBT2132T3</v>
      </c>
      <c r="B26351" s="3" t="s">
        <v>95</v>
      </c>
      <c r="C26351" s="6">
        <v>39870</v>
      </c>
      <c r="D26351" s="7">
        <v>0.33</v>
      </c>
      <c r="E26351" t="s">
        <v>69</v>
      </c>
    </row>
    <row r="26352" spans="1:5" x14ac:dyDescent="0.25">
      <c r="A26352" t="str">
        <f>HYPERLINK("https://www.773grp.com/globalSearch/MMBT2132T3G/page-1", "MMBT2132T3G")</f>
        <v>MMBT2132T3G</v>
      </c>
      <c r="B26352" s="3" t="s">
        <v>95</v>
      </c>
      <c r="C26352" s="6">
        <v>10000</v>
      </c>
      <c r="D26352" s="7">
        <v>0.33</v>
      </c>
      <c r="E26352" t="s">
        <v>69</v>
      </c>
    </row>
    <row r="26353" spans="1:5" x14ac:dyDescent="0.25">
      <c r="A26353" t="str">
        <f>HYPERLINK("https://www.773grp.com/globalSearch/MMQA12VT1G/page-1", "MMQA12VT1G")</f>
        <v>MMQA12VT1G</v>
      </c>
      <c r="B26353" s="3" t="s">
        <v>95</v>
      </c>
      <c r="C26353" s="6">
        <v>93000</v>
      </c>
      <c r="D26353" s="7">
        <v>0.33</v>
      </c>
      <c r="E26353" t="s">
        <v>96</v>
      </c>
    </row>
    <row r="26354" spans="1:5" x14ac:dyDescent="0.25">
      <c r="A26354" t="str">
        <f>HYPERLINK("https://www.773grp.com/globalSearch/MMQA15VT1G/page-1", "MMQA15VT1G")</f>
        <v>MMQA15VT1G</v>
      </c>
      <c r="B26354" s="3" t="s">
        <v>95</v>
      </c>
      <c r="C26354" s="6">
        <v>6000</v>
      </c>
      <c r="D26354" s="7">
        <v>0.33</v>
      </c>
    </row>
    <row r="26355" spans="1:5" x14ac:dyDescent="0.25">
      <c r="A26355" t="str">
        <f>HYPERLINK("https://www.773grp.com/globalSearch/MMQA18VT1G/page-1", "MMQA18VT1G")</f>
        <v>MMQA18VT1G</v>
      </c>
      <c r="B26355" s="3" t="s">
        <v>95</v>
      </c>
      <c r="C26355" s="6">
        <v>6000</v>
      </c>
      <c r="D26355" s="7">
        <v>0.33</v>
      </c>
    </row>
    <row r="26356" spans="1:5" x14ac:dyDescent="0.25">
      <c r="A26356" t="str">
        <f>HYPERLINK("https://www.773grp.com/globalSearch/MMQA20VT1G/page-1", "MMQA20VT1G")</f>
        <v>MMQA20VT1G</v>
      </c>
      <c r="B26356" s="3" t="s">
        <v>95</v>
      </c>
      <c r="C26356" s="6">
        <v>9000</v>
      </c>
      <c r="D26356" s="7">
        <v>0.33</v>
      </c>
    </row>
    <row r="26357" spans="1:5" x14ac:dyDescent="0.25">
      <c r="A26357" t="str">
        <f>HYPERLINK("https://www.773grp.com/globalSearch/MMQA22VT1G/page-1", "MMQA22VT1G")</f>
        <v>MMQA22VT1G</v>
      </c>
      <c r="B26357" s="3" t="s">
        <v>95</v>
      </c>
      <c r="C26357" s="6">
        <v>3000</v>
      </c>
      <c r="D26357" s="7">
        <v>0.33</v>
      </c>
    </row>
    <row r="26358" spans="1:5" x14ac:dyDescent="0.25">
      <c r="A26358" t="str">
        <f>HYPERLINK("https://www.773grp.com/globalSearch/MMQA24VT1G/page-1", "MMQA24VT1G")</f>
        <v>MMQA24VT1G</v>
      </c>
      <c r="B26358" s="3" t="s">
        <v>95</v>
      </c>
      <c r="C26358" s="6">
        <v>2972</v>
      </c>
      <c r="D26358" s="7">
        <v>0.33</v>
      </c>
      <c r="E26358" t="s">
        <v>96</v>
      </c>
    </row>
    <row r="26359" spans="1:5" x14ac:dyDescent="0.25">
      <c r="A26359" t="str">
        <f>HYPERLINK("https://www.773grp.com/globalSearch/MMQA27VT1/page-1", "MMQA27VT1")</f>
        <v>MMQA27VT1</v>
      </c>
      <c r="B26359" s="3" t="s">
        <v>95</v>
      </c>
      <c r="C26359" s="6">
        <v>5614</v>
      </c>
      <c r="D26359" s="7">
        <v>0.33</v>
      </c>
      <c r="E26359" t="s">
        <v>96</v>
      </c>
    </row>
    <row r="26360" spans="1:5" x14ac:dyDescent="0.25">
      <c r="A26360" t="str">
        <f>HYPERLINK("https://www.773grp.com/globalSearch/MMQA27VT1G/page-1", "MMQA27VT1G")</f>
        <v>MMQA27VT1G</v>
      </c>
      <c r="B26360" s="3" t="s">
        <v>95</v>
      </c>
      <c r="C26360" s="6">
        <v>14398</v>
      </c>
      <c r="D26360" s="7">
        <v>0.33</v>
      </c>
      <c r="E26360" t="s">
        <v>96</v>
      </c>
    </row>
    <row r="26361" spans="1:5" x14ac:dyDescent="0.25">
      <c r="A26361" t="str">
        <f>HYPERLINK("https://www.773grp.com/globalSearch/MMQA33VT1G/page-1", "MMQA33VT1G")</f>
        <v>MMQA33VT1G</v>
      </c>
      <c r="B26361" s="3" t="s">
        <v>95</v>
      </c>
      <c r="C26361" s="6">
        <v>33000</v>
      </c>
      <c r="D26361" s="7">
        <v>0.33</v>
      </c>
      <c r="E26361" t="s">
        <v>96</v>
      </c>
    </row>
    <row r="26362" spans="1:5" x14ac:dyDescent="0.25">
      <c r="A26362" t="str">
        <f>HYPERLINK("https://www.773grp.com/globalSearch/MMQA5V6T1G/page-1", "MMQA5V6T1G")</f>
        <v>MMQA5V6T1G</v>
      </c>
      <c r="B26362" s="3" t="s">
        <v>95</v>
      </c>
      <c r="C26362" s="6">
        <v>11375</v>
      </c>
      <c r="D26362" s="7">
        <v>0.33</v>
      </c>
      <c r="E26362" t="s">
        <v>96</v>
      </c>
    </row>
    <row r="26363" spans="1:5" x14ac:dyDescent="0.25">
      <c r="A26363" t="str">
        <f>HYPERLINK("https://www.773grp.com/globalSearch/MMQA6V2T1G/page-1", "MMQA6V2T1G")</f>
        <v>MMQA6V2T1G</v>
      </c>
      <c r="B26363" s="3" t="s">
        <v>95</v>
      </c>
      <c r="C26363" s="6">
        <v>72000</v>
      </c>
      <c r="D26363" s="7">
        <v>0.33</v>
      </c>
      <c r="E26363" t="s">
        <v>96</v>
      </c>
    </row>
    <row r="26364" spans="1:5" x14ac:dyDescent="0.25">
      <c r="A26364" t="str">
        <f>HYPERLINK("https://www.773grp.com/globalSearch/MMQA6V8T1G/page-1", "MMQA6V8T1G")</f>
        <v>MMQA6V8T1G</v>
      </c>
      <c r="B26364" s="3" t="s">
        <v>95</v>
      </c>
      <c r="C26364" s="6">
        <v>147000</v>
      </c>
      <c r="D26364" s="7">
        <v>0.33</v>
      </c>
      <c r="E26364" t="s">
        <v>96</v>
      </c>
    </row>
    <row r="26365" spans="1:5" x14ac:dyDescent="0.25">
      <c r="A26365" t="str">
        <f>HYPERLINK("https://www.773grp.com/globalSearch/MPF4393RLRPG/page-1", "MPF4393RLRPG")</f>
        <v>MPF4393RLRPG</v>
      </c>
      <c r="B26365" s="3" t="s">
        <v>95</v>
      </c>
      <c r="C26365" s="6">
        <v>8000</v>
      </c>
      <c r="D26365" s="7">
        <v>0.33</v>
      </c>
      <c r="E26365" t="s">
        <v>106</v>
      </c>
    </row>
    <row r="26366" spans="1:5" x14ac:dyDescent="0.25">
      <c r="A26366" t="str">
        <f>HYPERLINK("https://www.773grp.com/globalSearch/MPS3563RLRAG/page-1", "MPS3563RLRAG")</f>
        <v>MPS3563RLRAG</v>
      </c>
      <c r="B26366" s="3" t="s">
        <v>95</v>
      </c>
      <c r="C26366" s="6">
        <v>6000</v>
      </c>
      <c r="D26366" s="7">
        <v>0.33</v>
      </c>
      <c r="E26366" t="s">
        <v>61</v>
      </c>
    </row>
    <row r="26367" spans="1:5" x14ac:dyDescent="0.25">
      <c r="A26367" t="str">
        <f>HYPERLINK("https://www.773grp.com/globalSearch/MPS4124RLRAG/page-1", "MPS4124RLRAG")</f>
        <v>MPS4124RLRAG</v>
      </c>
      <c r="B26367" s="3" t="s">
        <v>95</v>
      </c>
      <c r="C26367" s="6">
        <v>82000</v>
      </c>
      <c r="D26367" s="7">
        <v>0.33</v>
      </c>
      <c r="E26367" t="s">
        <v>69</v>
      </c>
    </row>
    <row r="26368" spans="1:5" x14ac:dyDescent="0.25">
      <c r="A26368" t="str">
        <f>HYPERLINK("https://www.773grp.com/globalSearch/MPS4356RLRA/page-1", "MPS4356RLRA")</f>
        <v>MPS4356RLRA</v>
      </c>
      <c r="B26368" s="3" t="s">
        <v>95</v>
      </c>
      <c r="C26368" s="6">
        <v>14000</v>
      </c>
      <c r="D26368" s="7">
        <v>0.33</v>
      </c>
    </row>
    <row r="26369" spans="1:5" x14ac:dyDescent="0.25">
      <c r="A26369" t="str">
        <f>HYPERLINK("https://www.773grp.com/globalSearch/MPS4356RLRAG/page-1", "MPS4356RLRAG")</f>
        <v>MPS4356RLRAG</v>
      </c>
      <c r="B26369" s="3" t="s">
        <v>95</v>
      </c>
      <c r="C26369" s="6">
        <v>10000</v>
      </c>
      <c r="D26369" s="7">
        <v>0.33</v>
      </c>
    </row>
    <row r="26370" spans="1:5" x14ac:dyDescent="0.25">
      <c r="A26370" t="str">
        <f>HYPERLINK("https://www.773grp.com/globalSearch/MPS6724G/page-1", "MPS6724G")</f>
        <v>MPS6724G</v>
      </c>
      <c r="B26370" s="3" t="s">
        <v>95</v>
      </c>
      <c r="C26370" s="6">
        <v>3000</v>
      </c>
      <c r="D26370" s="7">
        <v>0.33</v>
      </c>
      <c r="E26370" t="s">
        <v>69</v>
      </c>
    </row>
    <row r="26371" spans="1:5" x14ac:dyDescent="0.25">
      <c r="A26371" t="str">
        <f>HYPERLINK("https://www.773grp.com/globalSearch/MPS6724RLRA/page-1", "MPS6724RLRA")</f>
        <v>MPS6724RLRA</v>
      </c>
      <c r="B26371" s="3" t="s">
        <v>95</v>
      </c>
      <c r="C26371" s="6">
        <v>9506</v>
      </c>
      <c r="D26371" s="7">
        <v>0.33</v>
      </c>
      <c r="E26371" t="s">
        <v>69</v>
      </c>
    </row>
    <row r="26372" spans="1:5" x14ac:dyDescent="0.25">
      <c r="A26372" t="str">
        <f>HYPERLINK("https://www.773grp.com/globalSearch/MPS6724RLRAG/page-1", "MPS6724RLRAG")</f>
        <v>MPS6724RLRAG</v>
      </c>
      <c r="B26372" s="3" t="s">
        <v>95</v>
      </c>
      <c r="C26372" s="6">
        <v>4000</v>
      </c>
      <c r="D26372" s="7">
        <v>0.33</v>
      </c>
      <c r="E26372" t="s">
        <v>69</v>
      </c>
    </row>
    <row r="26373" spans="1:5" x14ac:dyDescent="0.25">
      <c r="A26373" t="str">
        <f>HYPERLINK("https://www.773grp.com/globalSearch/MPS6726/page-1", "MPS6726")</f>
        <v>MPS6726</v>
      </c>
      <c r="B26373" s="3" t="s">
        <v>95</v>
      </c>
      <c r="C26373" s="6">
        <v>10026</v>
      </c>
      <c r="D26373" s="7">
        <v>0.33</v>
      </c>
      <c r="E26373" t="s">
        <v>69</v>
      </c>
    </row>
    <row r="26374" spans="1:5" x14ac:dyDescent="0.25">
      <c r="A26374" t="str">
        <f>HYPERLINK("https://www.773grp.com/globalSearch/MPS6727/page-1", "MPS6727")</f>
        <v>MPS6727</v>
      </c>
      <c r="B26374" s="3" t="s">
        <v>95</v>
      </c>
      <c r="C26374" s="6">
        <v>3968</v>
      </c>
      <c r="D26374" s="7">
        <v>0.33</v>
      </c>
      <c r="E26374" t="s">
        <v>69</v>
      </c>
    </row>
    <row r="26375" spans="1:5" x14ac:dyDescent="0.25">
      <c r="A26375" t="str">
        <f>HYPERLINK("https://www.773grp.com/globalSearch/MPSA05G/page-1", "MPSA05G")</f>
        <v>MPSA05G</v>
      </c>
      <c r="B26375" s="3" t="s">
        <v>95</v>
      </c>
      <c r="C26375" s="6">
        <v>50000</v>
      </c>
      <c r="D26375" s="7">
        <v>0.33</v>
      </c>
      <c r="E26375" t="s">
        <v>69</v>
      </c>
    </row>
    <row r="26376" spans="1:5" x14ac:dyDescent="0.25">
      <c r="A26376" t="str">
        <f>HYPERLINK("https://www.773grp.com/globalSearch/MPSA05RLRAG/page-1", "MPSA05RLRAG")</f>
        <v>MPSA05RLRAG</v>
      </c>
      <c r="B26376" s="3" t="s">
        <v>95</v>
      </c>
      <c r="C26376" s="6">
        <v>180000</v>
      </c>
      <c r="D26376" s="7">
        <v>0.33</v>
      </c>
      <c r="E26376" t="s">
        <v>69</v>
      </c>
    </row>
    <row r="26377" spans="1:5" x14ac:dyDescent="0.25">
      <c r="A26377" t="str">
        <f>HYPERLINK("https://www.773grp.com/globalSearch/MPSA05RLRMG/page-1", "MPSA05RLRMG")</f>
        <v>MPSA05RLRMG</v>
      </c>
      <c r="B26377" s="3" t="s">
        <v>95</v>
      </c>
      <c r="C26377" s="6">
        <v>8000</v>
      </c>
      <c r="D26377" s="7">
        <v>0.33</v>
      </c>
    </row>
    <row r="26378" spans="1:5" x14ac:dyDescent="0.25">
      <c r="A26378" t="str">
        <f>HYPERLINK("https://www.773grp.com/globalSearch/MPSA06G/page-1", "MPSA06G")</f>
        <v>MPSA06G</v>
      </c>
      <c r="B26378" s="3" t="s">
        <v>95</v>
      </c>
      <c r="C26378" s="6">
        <v>25000</v>
      </c>
      <c r="D26378" s="7">
        <v>0.33</v>
      </c>
      <c r="E26378" t="s">
        <v>69</v>
      </c>
    </row>
    <row r="26379" spans="1:5" x14ac:dyDescent="0.25">
      <c r="A26379" t="str">
        <f>HYPERLINK("https://www.773grp.com/globalSearch/MPSA06RL1G/page-1", "MPSA06RL1G")</f>
        <v>MPSA06RL1G</v>
      </c>
      <c r="B26379" s="3" t="s">
        <v>95</v>
      </c>
      <c r="C26379" s="6">
        <v>42000</v>
      </c>
      <c r="D26379" s="7">
        <v>0.33</v>
      </c>
      <c r="E26379" t="s">
        <v>69</v>
      </c>
    </row>
    <row r="26380" spans="1:5" x14ac:dyDescent="0.25">
      <c r="A26380" t="str">
        <f>HYPERLINK("https://www.773grp.com/globalSearch/MPSA06RLG/page-1", "MPSA06RLG")</f>
        <v>MPSA06RLG</v>
      </c>
      <c r="B26380" s="3" t="s">
        <v>95</v>
      </c>
      <c r="C26380" s="6">
        <v>6000</v>
      </c>
      <c r="D26380" s="7">
        <v>0.33</v>
      </c>
    </row>
    <row r="26381" spans="1:5" x14ac:dyDescent="0.25">
      <c r="A26381" t="str">
        <f>HYPERLINK("https://www.773grp.com/globalSearch/MPSA06RLRAG/page-1", "MPSA06RLRAG")</f>
        <v>MPSA06RLRAG</v>
      </c>
      <c r="B26381" s="3" t="s">
        <v>95</v>
      </c>
      <c r="C26381" s="6">
        <v>3656000</v>
      </c>
      <c r="D26381" s="7">
        <v>0.33</v>
      </c>
      <c r="E26381" t="s">
        <v>69</v>
      </c>
    </row>
    <row r="26382" spans="1:5" x14ac:dyDescent="0.25">
      <c r="A26382" t="str">
        <f>HYPERLINK("https://www.773grp.com/globalSearch/MPSA06RLRMG/page-1", "MPSA06RLRMG")</f>
        <v>MPSA06RLRMG</v>
      </c>
      <c r="B26382" s="3" t="s">
        <v>95</v>
      </c>
      <c r="C26382" s="6">
        <v>1490</v>
      </c>
      <c r="D26382" s="7">
        <v>0.33</v>
      </c>
      <c r="E26382" t="s">
        <v>69</v>
      </c>
    </row>
    <row r="26383" spans="1:5" x14ac:dyDescent="0.25">
      <c r="A26383" t="str">
        <f>HYPERLINK("https://www.773grp.com/globalSearch/MPSA06RLRPG/page-1", "MPSA06RLRPG")</f>
        <v>MPSA06RLRPG</v>
      </c>
      <c r="B26383" s="3" t="s">
        <v>95</v>
      </c>
      <c r="C26383" s="6">
        <v>290000</v>
      </c>
      <c r="D26383" s="7">
        <v>0.33</v>
      </c>
      <c r="E26383" t="s">
        <v>69</v>
      </c>
    </row>
    <row r="26384" spans="1:5" x14ac:dyDescent="0.25">
      <c r="A26384" t="str">
        <f>HYPERLINK("https://www.773grp.com/globalSearch/MPSA18RLRAG/page-1", "MPSA18RLRAG")</f>
        <v>MPSA18RLRAG</v>
      </c>
      <c r="B26384" s="3" t="s">
        <v>95</v>
      </c>
      <c r="C26384" s="6">
        <v>229187</v>
      </c>
      <c r="D26384" s="7">
        <v>0.33</v>
      </c>
      <c r="E26384" t="s">
        <v>69</v>
      </c>
    </row>
    <row r="26385" spans="1:5" x14ac:dyDescent="0.25">
      <c r="A26385" t="str">
        <f>HYPERLINK("https://www.773grp.com/globalSearch/MPSA18RLRMG/page-1", "MPSA18RLRMG")</f>
        <v>MPSA18RLRMG</v>
      </c>
      <c r="B26385" s="3" t="s">
        <v>95</v>
      </c>
      <c r="C26385" s="6">
        <v>49000</v>
      </c>
      <c r="D26385" s="7">
        <v>0.33</v>
      </c>
      <c r="E26385" t="s">
        <v>69</v>
      </c>
    </row>
    <row r="26386" spans="1:5" x14ac:dyDescent="0.25">
      <c r="A26386" t="str">
        <f>HYPERLINK("https://www.773grp.com/globalSearch/MPSA28RLRPG/page-1", "MPSA28RLRPG")</f>
        <v>MPSA28RLRPG</v>
      </c>
      <c r="B26386" s="3" t="s">
        <v>95</v>
      </c>
      <c r="C26386" s="6">
        <v>30000</v>
      </c>
      <c r="D26386" s="7">
        <v>0.33</v>
      </c>
      <c r="E26386" t="s">
        <v>69</v>
      </c>
    </row>
    <row r="26387" spans="1:5" x14ac:dyDescent="0.25">
      <c r="A26387" t="str">
        <f>HYPERLINK("https://www.773grp.com/globalSearch/MPSA55G/page-1", "MPSA55G")</f>
        <v>MPSA55G</v>
      </c>
      <c r="B26387" s="3" t="s">
        <v>95</v>
      </c>
      <c r="C26387" s="6">
        <v>20000</v>
      </c>
      <c r="D26387" s="7">
        <v>0.33</v>
      </c>
      <c r="E26387" t="s">
        <v>69</v>
      </c>
    </row>
    <row r="26388" spans="1:5" x14ac:dyDescent="0.25">
      <c r="A26388" t="str">
        <f>HYPERLINK("https://www.773grp.com/globalSearch/MPSA56G/page-1", "MPSA56G")</f>
        <v>MPSA56G</v>
      </c>
      <c r="B26388" s="3" t="s">
        <v>95</v>
      </c>
      <c r="C26388" s="6">
        <v>50</v>
      </c>
      <c r="D26388" s="7">
        <v>0.33</v>
      </c>
      <c r="E26388" t="s">
        <v>69</v>
      </c>
    </row>
    <row r="26389" spans="1:5" x14ac:dyDescent="0.25">
      <c r="A26389" t="str">
        <f>HYPERLINK("https://www.773grp.com/globalSearch/MPSA56RLRAG/page-1", "MPSA56RLRAG")</f>
        <v>MPSA56RLRAG</v>
      </c>
      <c r="B26389" s="3" t="s">
        <v>95</v>
      </c>
      <c r="C26389" s="6">
        <v>1336</v>
      </c>
      <c r="D26389" s="7">
        <v>0.33</v>
      </c>
      <c r="E26389" t="s">
        <v>69</v>
      </c>
    </row>
    <row r="26390" spans="1:5" x14ac:dyDescent="0.25">
      <c r="A26390" t="str">
        <f>HYPERLINK("https://www.773grp.com/globalSearch/MPSA56RLRPG/page-1", "MPSA56RLRPG")</f>
        <v>MPSA56RLRPG</v>
      </c>
      <c r="B26390" s="3" t="s">
        <v>95</v>
      </c>
      <c r="C26390" s="6">
        <v>11027</v>
      </c>
      <c r="D26390" s="7">
        <v>0.33</v>
      </c>
      <c r="E26390" t="s">
        <v>69</v>
      </c>
    </row>
    <row r="26391" spans="1:5" x14ac:dyDescent="0.25">
      <c r="A26391" t="str">
        <f>HYPERLINK("https://www.773grp.com/globalSearch/MPSH10G/page-1", "MPSH10G")</f>
        <v>MPSH10G</v>
      </c>
      <c r="B26391" s="3" t="s">
        <v>95</v>
      </c>
      <c r="C26391" s="6">
        <v>15191</v>
      </c>
      <c r="D26391" s="7">
        <v>0.33</v>
      </c>
      <c r="E26391" t="s">
        <v>61</v>
      </c>
    </row>
    <row r="26392" spans="1:5" x14ac:dyDescent="0.25">
      <c r="A26392" t="str">
        <f>HYPERLINK("https://www.773grp.com/globalSearch/MPSW01/page-1", "MPSW01")</f>
        <v>MPSW01</v>
      </c>
      <c r="B26392" s="3" t="s">
        <v>95</v>
      </c>
      <c r="C26392" s="6">
        <v>20000</v>
      </c>
      <c r="D26392" s="7">
        <v>0.33</v>
      </c>
      <c r="E26392" t="s">
        <v>69</v>
      </c>
    </row>
    <row r="26393" spans="1:5" x14ac:dyDescent="0.25">
      <c r="A26393" t="str">
        <f>HYPERLINK("https://www.773grp.com/globalSearch/MPSW06/page-1", "MPSW06")</f>
        <v>MPSW06</v>
      </c>
      <c r="B26393" s="3" t="s">
        <v>95</v>
      </c>
      <c r="C26393" s="6">
        <v>44000</v>
      </c>
      <c r="D26393" s="7">
        <v>0.33</v>
      </c>
      <c r="E26393" t="s">
        <v>69</v>
      </c>
    </row>
    <row r="26394" spans="1:5" x14ac:dyDescent="0.25">
      <c r="A26394" t="str">
        <f>HYPERLINK("https://www.773grp.com/globalSearch/MPSW42/page-1", "MPSW42")</f>
        <v>MPSW42</v>
      </c>
      <c r="B26394" s="3" t="s">
        <v>95</v>
      </c>
      <c r="C26394" s="6">
        <v>275</v>
      </c>
      <c r="D26394" s="7">
        <v>0.33</v>
      </c>
      <c r="E26394" t="s">
        <v>69</v>
      </c>
    </row>
    <row r="26395" spans="1:5" x14ac:dyDescent="0.25">
      <c r="A26395" t="str">
        <f>HYPERLINK("https://www.773grp.com/globalSearch/MPSW45/page-1", "MPSW45")</f>
        <v>MPSW45</v>
      </c>
      <c r="B26395" s="3" t="s">
        <v>95</v>
      </c>
      <c r="C26395" s="6">
        <v>1285</v>
      </c>
      <c r="D26395" s="7">
        <v>0.33</v>
      </c>
      <c r="E26395" t="s">
        <v>69</v>
      </c>
    </row>
    <row r="26396" spans="1:5" x14ac:dyDescent="0.25">
      <c r="A26396" t="str">
        <f>HYPERLINK("https://www.773grp.com/globalSearch/MPSW45A/page-1", "MPSW45A")</f>
        <v>MPSW45A</v>
      </c>
      <c r="B26396" s="3" t="s">
        <v>95</v>
      </c>
      <c r="C26396" s="6">
        <v>237</v>
      </c>
      <c r="D26396" s="7">
        <v>0.33</v>
      </c>
      <c r="E26396" t="s">
        <v>69</v>
      </c>
    </row>
    <row r="26397" spans="1:5" x14ac:dyDescent="0.25">
      <c r="A26397" t="str">
        <f>HYPERLINK("https://www.773grp.com/globalSearch/MPSW45AZL1/page-1", "MPSW45AZL1")</f>
        <v>MPSW45AZL1</v>
      </c>
      <c r="B26397" s="3" t="s">
        <v>95</v>
      </c>
      <c r="C26397" s="6">
        <v>18000</v>
      </c>
      <c r="D26397" s="7">
        <v>0.33</v>
      </c>
      <c r="E26397" t="s">
        <v>69</v>
      </c>
    </row>
    <row r="26398" spans="1:5" x14ac:dyDescent="0.25">
      <c r="A26398" t="str">
        <f>HYPERLINK("https://www.773grp.com/globalSearch/MPSW45RLRE/page-1", "MPSW45RLRE")</f>
        <v>MPSW45RLRE</v>
      </c>
      <c r="B26398" s="3" t="s">
        <v>95</v>
      </c>
      <c r="C26398" s="6">
        <v>4000</v>
      </c>
      <c r="D26398" s="7">
        <v>0.33</v>
      </c>
      <c r="E26398" t="s">
        <v>69</v>
      </c>
    </row>
    <row r="26399" spans="1:5" x14ac:dyDescent="0.25">
      <c r="A26399" t="str">
        <f>HYPERLINK("https://www.773grp.com/globalSearch/MPSW51/page-1", "MPSW51")</f>
        <v>MPSW51</v>
      </c>
      <c r="B26399" s="3" t="s">
        <v>95</v>
      </c>
      <c r="C26399" s="6">
        <v>82500</v>
      </c>
      <c r="D26399" s="7">
        <v>0.33</v>
      </c>
      <c r="E26399" t="s">
        <v>69</v>
      </c>
    </row>
    <row r="26400" spans="1:5" x14ac:dyDescent="0.25">
      <c r="A26400" t="str">
        <f>HYPERLINK("https://www.773grp.com/globalSearch/MPSW55RLRAG/page-1", "MPSW55RLRAG")</f>
        <v>MPSW55RLRAG</v>
      </c>
      <c r="B26400" s="3" t="s">
        <v>95</v>
      </c>
      <c r="C26400" s="6">
        <v>26000</v>
      </c>
      <c r="D26400" s="7">
        <v>0.33</v>
      </c>
      <c r="E26400" t="s">
        <v>69</v>
      </c>
    </row>
    <row r="26401" spans="1:5" x14ac:dyDescent="0.25">
      <c r="A26401" t="str">
        <f>HYPERLINK("https://www.773grp.com/globalSearch/MPSW56RLRP/page-1", "MPSW56RLRP")</f>
        <v>MPSW56RLRP</v>
      </c>
      <c r="B26401" s="3" t="s">
        <v>95</v>
      </c>
      <c r="C26401" s="6">
        <v>292000</v>
      </c>
      <c r="D26401" s="7">
        <v>0.33</v>
      </c>
      <c r="E26401" t="s">
        <v>69</v>
      </c>
    </row>
    <row r="26402" spans="1:5" x14ac:dyDescent="0.25">
      <c r="A26402" t="str">
        <f>HYPERLINK("https://www.773grp.com/globalSearch/MPSW63/page-1", "MPSW63")</f>
        <v>MPSW63</v>
      </c>
      <c r="B26402" s="3" t="s">
        <v>95</v>
      </c>
      <c r="C26402" s="6">
        <v>3385</v>
      </c>
      <c r="D26402" s="7">
        <v>0.33</v>
      </c>
      <c r="E26402" t="s">
        <v>69</v>
      </c>
    </row>
    <row r="26403" spans="1:5" x14ac:dyDescent="0.25">
      <c r="A26403" t="str">
        <f>HYPERLINK("https://www.773grp.com/globalSearch/MPSW63G/page-1", "MPSW63G")</f>
        <v>MPSW63G</v>
      </c>
      <c r="B26403" s="3" t="s">
        <v>95</v>
      </c>
      <c r="C26403" s="6">
        <v>4477</v>
      </c>
      <c r="D26403" s="7">
        <v>0.33</v>
      </c>
      <c r="E26403" t="s">
        <v>69</v>
      </c>
    </row>
    <row r="26404" spans="1:5" x14ac:dyDescent="0.25">
      <c r="A26404" t="str">
        <f>HYPERLINK("https://www.773grp.com/globalSearch/MPSW63RLRA/page-1", "MPSW63RLRA")</f>
        <v>MPSW63RLRA</v>
      </c>
      <c r="B26404" s="3" t="s">
        <v>95</v>
      </c>
      <c r="C26404" s="6">
        <v>6000</v>
      </c>
      <c r="D26404" s="7">
        <v>0.33</v>
      </c>
      <c r="E26404" t="s">
        <v>69</v>
      </c>
    </row>
    <row r="26405" spans="1:5" x14ac:dyDescent="0.25">
      <c r="A26405" t="str">
        <f>HYPERLINK("https://www.773grp.com/globalSearch/MPSW92/page-1", "MPSW92")</f>
        <v>MPSW92</v>
      </c>
      <c r="B26405" s="3" t="s">
        <v>95</v>
      </c>
      <c r="C26405" s="6">
        <v>39900</v>
      </c>
      <c r="D26405" s="7">
        <v>0.33</v>
      </c>
      <c r="E26405" t="s">
        <v>69</v>
      </c>
    </row>
    <row r="26406" spans="1:5" x14ac:dyDescent="0.25">
      <c r="A26406" t="str">
        <f>HYPERLINK("https://www.773grp.com/globalSearch/MPSW92G/page-1", "MPSW92G")</f>
        <v>MPSW92G</v>
      </c>
      <c r="B26406" s="3" t="s">
        <v>95</v>
      </c>
      <c r="C26406" s="6">
        <v>16944</v>
      </c>
      <c r="D26406" s="7">
        <v>0.33</v>
      </c>
      <c r="E26406" t="s">
        <v>69</v>
      </c>
    </row>
    <row r="26407" spans="1:5" x14ac:dyDescent="0.25">
      <c r="A26407" t="str">
        <f>HYPERLINK("https://www.773grp.com/globalSearch/MPSW92RLRA/page-1", "MPSW92RLRA")</f>
        <v>MPSW92RLRA</v>
      </c>
      <c r="B26407" s="3" t="s">
        <v>95</v>
      </c>
      <c r="C26407" s="6">
        <v>32000</v>
      </c>
      <c r="D26407" s="7">
        <v>0.33</v>
      </c>
      <c r="E26407" t="s">
        <v>69</v>
      </c>
    </row>
    <row r="26408" spans="1:5" x14ac:dyDescent="0.25">
      <c r="A26408" t="str">
        <f>HYPERLINK("https://www.773grp.com/globalSearch/MR851G/page-1", "MR851G")</f>
        <v>MR851G</v>
      </c>
      <c r="B26408" s="3" t="s">
        <v>95</v>
      </c>
      <c r="C26408" s="6">
        <v>7500</v>
      </c>
      <c r="D26408" s="7">
        <v>0.33</v>
      </c>
      <c r="E26408" t="s">
        <v>103</v>
      </c>
    </row>
    <row r="26409" spans="1:5" x14ac:dyDescent="0.25">
      <c r="A26409" t="str">
        <f>HYPERLINK("https://www.773grp.com/globalSearch/MR851RLG/page-1", "MR851RLG")</f>
        <v>MR851RLG</v>
      </c>
      <c r="B26409" s="3" t="s">
        <v>95</v>
      </c>
      <c r="C26409" s="6">
        <v>15600</v>
      </c>
      <c r="D26409" s="7">
        <v>0.33</v>
      </c>
      <c r="E26409" t="s">
        <v>103</v>
      </c>
    </row>
    <row r="26410" spans="1:5" x14ac:dyDescent="0.25">
      <c r="A26410" t="str">
        <f>HYPERLINK("https://www.773grp.com/globalSearch/MR852G/page-1", "MR852G")</f>
        <v>MR852G</v>
      </c>
      <c r="B26410" s="3" t="s">
        <v>95</v>
      </c>
      <c r="C26410" s="6">
        <v>31072</v>
      </c>
      <c r="D26410" s="7">
        <v>0.33</v>
      </c>
      <c r="E26410" t="s">
        <v>103</v>
      </c>
    </row>
    <row r="26411" spans="1:5" x14ac:dyDescent="0.25">
      <c r="A26411" t="str">
        <f>HYPERLINK("https://www.773grp.com/globalSearch/MR852RLG/page-1", "MR852RLG")</f>
        <v>MR852RLG</v>
      </c>
      <c r="B26411" s="3" t="s">
        <v>95</v>
      </c>
      <c r="C26411" s="6">
        <v>203200</v>
      </c>
      <c r="D26411" s="7">
        <v>0.33</v>
      </c>
      <c r="E26411" t="s">
        <v>103</v>
      </c>
    </row>
    <row r="26412" spans="1:5" x14ac:dyDescent="0.25">
      <c r="A26412" t="str">
        <f>HYPERLINK("https://www.773grp.com/globalSearch/MR854G/page-1", "MR854G")</f>
        <v>MR854G</v>
      </c>
      <c r="B26412" s="3" t="s">
        <v>95</v>
      </c>
      <c r="C26412" s="6">
        <v>12000</v>
      </c>
      <c r="D26412" s="7">
        <v>0.33</v>
      </c>
      <c r="E26412" t="s">
        <v>103</v>
      </c>
    </row>
    <row r="26413" spans="1:5" x14ac:dyDescent="0.25">
      <c r="A26413" t="str">
        <f>HYPERLINK("https://www.773grp.com/globalSearch/MR854RLG/page-1", "MR854RLG")</f>
        <v>MR854RLG</v>
      </c>
      <c r="B26413" s="3" t="s">
        <v>95</v>
      </c>
      <c r="C26413" s="6">
        <v>2951</v>
      </c>
      <c r="D26413" s="7">
        <v>0.33</v>
      </c>
      <c r="E26413" t="s">
        <v>103</v>
      </c>
    </row>
    <row r="26414" spans="1:5" x14ac:dyDescent="0.25">
      <c r="A26414" t="str">
        <f>HYPERLINK("https://www.773grp.com/globalSearch/MR856G/page-1", "MR856G")</f>
        <v>MR856G</v>
      </c>
      <c r="B26414" s="3" t="s">
        <v>95</v>
      </c>
      <c r="C26414" s="6">
        <v>201878</v>
      </c>
      <c r="D26414" s="7">
        <v>0.33</v>
      </c>
      <c r="E26414" t="s">
        <v>103</v>
      </c>
    </row>
    <row r="26415" spans="1:5" x14ac:dyDescent="0.25">
      <c r="A26415" t="str">
        <f>HYPERLINK("https://www.773grp.com/globalSearch/MR856RLG/page-1", "MR856RLG")</f>
        <v>MR856RLG</v>
      </c>
      <c r="B26415" s="3" t="s">
        <v>95</v>
      </c>
      <c r="C26415" s="6">
        <v>43446</v>
      </c>
      <c r="D26415" s="7">
        <v>0.33</v>
      </c>
      <c r="E26415" t="s">
        <v>103</v>
      </c>
    </row>
    <row r="26416" spans="1:5" x14ac:dyDescent="0.25">
      <c r="A26416" t="str">
        <f>HYPERLINK("https://www.773grp.com/globalSearch/MRA4003T3G/page-1", "MRA4003T3G")</f>
        <v>MRA4003T3G</v>
      </c>
      <c r="B26416" s="3" t="s">
        <v>95</v>
      </c>
      <c r="C26416" s="6">
        <v>74702</v>
      </c>
      <c r="D26416" s="7">
        <v>0.33</v>
      </c>
      <c r="E26416" t="s">
        <v>94</v>
      </c>
    </row>
    <row r="26417" spans="1:5" x14ac:dyDescent="0.25">
      <c r="A26417" t="str">
        <f>HYPERLINK("https://www.773grp.com/globalSearch/MRA4004T3G/page-1", "MRA4004T3G")</f>
        <v>MRA4004T3G</v>
      </c>
      <c r="B26417" s="3" t="s">
        <v>95</v>
      </c>
      <c r="C26417" s="6">
        <v>134124</v>
      </c>
      <c r="D26417" s="7">
        <v>0.33</v>
      </c>
      <c r="E26417" t="s">
        <v>94</v>
      </c>
    </row>
    <row r="26418" spans="1:5" x14ac:dyDescent="0.25">
      <c r="A26418" t="str">
        <f>HYPERLINK("https://www.773grp.com/globalSearch/MRA4005T1G/page-1", "MRA4005T1G")</f>
        <v>MRA4005T1G</v>
      </c>
      <c r="B26418" s="3" t="s">
        <v>95</v>
      </c>
      <c r="C26418" s="6">
        <v>149000</v>
      </c>
      <c r="D26418" s="7">
        <v>0.33</v>
      </c>
      <c r="E26418" t="s">
        <v>94</v>
      </c>
    </row>
    <row r="26419" spans="1:5" x14ac:dyDescent="0.25">
      <c r="A26419" t="str">
        <f>HYPERLINK("https://www.773grp.com/globalSearch/MRA4005T3G/page-1", "MRA4005T3G")</f>
        <v>MRA4005T3G</v>
      </c>
      <c r="B26419" s="3" t="s">
        <v>95</v>
      </c>
      <c r="C26419" s="6">
        <v>67637</v>
      </c>
      <c r="D26419" s="7">
        <v>0.33</v>
      </c>
      <c r="E26419" t="s">
        <v>94</v>
      </c>
    </row>
    <row r="26420" spans="1:5" x14ac:dyDescent="0.25">
      <c r="A26420" t="str">
        <f>HYPERLINK("https://www.773grp.com/globalSearch/MRA4006T3G/page-1", "MRA4006T3G")</f>
        <v>MRA4006T3G</v>
      </c>
      <c r="B26420" s="3" t="s">
        <v>95</v>
      </c>
      <c r="C26420" s="6">
        <v>40000</v>
      </c>
      <c r="D26420" s="7">
        <v>0.33</v>
      </c>
      <c r="E26420" t="s">
        <v>94</v>
      </c>
    </row>
    <row r="26421" spans="1:5" x14ac:dyDescent="0.25">
      <c r="A26421" t="str">
        <f>HYPERLINK("https://www.773grp.com/globalSearch/MRA4007T3G/page-1", "MRA4007T3G")</f>
        <v>MRA4007T3G</v>
      </c>
      <c r="B26421" s="3" t="s">
        <v>95</v>
      </c>
      <c r="C26421" s="6">
        <v>30000</v>
      </c>
      <c r="D26421" s="7">
        <v>0.33</v>
      </c>
      <c r="E26421" t="s">
        <v>94</v>
      </c>
    </row>
    <row r="26422" spans="1:5" x14ac:dyDescent="0.25">
      <c r="A26422" t="str">
        <f>HYPERLINK("https://www.773grp.com/globalSearch/MUN5131TIG/page-1", "MUN5131TIG")</f>
        <v>MUN5131TIG</v>
      </c>
      <c r="B26422" s="3" t="s">
        <v>95</v>
      </c>
      <c r="C26422" s="6">
        <v>3000</v>
      </c>
      <c r="D26422" s="7">
        <v>0.33</v>
      </c>
    </row>
    <row r="26423" spans="1:5" x14ac:dyDescent="0.25">
      <c r="A26423" t="str">
        <f>HYPERLINK("https://www.773grp.com/globalSearch/MUR105/page-1", "MUR105")</f>
        <v>MUR105</v>
      </c>
      <c r="B26423" s="3" t="s">
        <v>95</v>
      </c>
      <c r="C26423" s="6">
        <v>5285</v>
      </c>
      <c r="D26423" s="7">
        <v>0.33</v>
      </c>
      <c r="E26423" t="s">
        <v>94</v>
      </c>
    </row>
    <row r="26424" spans="1:5" x14ac:dyDescent="0.25">
      <c r="A26424" t="str">
        <f>HYPERLINK("https://www.773grp.com/globalSearch/MUR105RL/page-1", "MUR105RL")</f>
        <v>MUR105RL</v>
      </c>
      <c r="B26424" s="3" t="s">
        <v>95</v>
      </c>
      <c r="C26424" s="6">
        <v>10000</v>
      </c>
      <c r="D26424" s="7">
        <v>0.33</v>
      </c>
      <c r="E26424" t="s">
        <v>94</v>
      </c>
    </row>
    <row r="26425" spans="1:5" x14ac:dyDescent="0.25">
      <c r="A26425" t="str">
        <f>HYPERLINK("https://www.773grp.com/globalSearch/MUR110/page-1", "MUR110")</f>
        <v>MUR110</v>
      </c>
      <c r="B26425" s="3" t="s">
        <v>95</v>
      </c>
      <c r="C26425" s="6">
        <v>5</v>
      </c>
      <c r="D26425" s="7">
        <v>0.33</v>
      </c>
      <c r="E26425" t="s">
        <v>94</v>
      </c>
    </row>
    <row r="26426" spans="1:5" x14ac:dyDescent="0.25">
      <c r="A26426" t="str">
        <f>HYPERLINK("https://www.773grp.com/globalSearch/MUR110RL/page-1", "MUR110RL")</f>
        <v>MUR110RL</v>
      </c>
      <c r="B26426" s="3" t="s">
        <v>95</v>
      </c>
      <c r="C26426" s="6">
        <v>5000</v>
      </c>
      <c r="D26426" s="7">
        <v>0.33</v>
      </c>
      <c r="E26426" t="s">
        <v>94</v>
      </c>
    </row>
    <row r="26427" spans="1:5" x14ac:dyDescent="0.25">
      <c r="A26427" t="str">
        <f>HYPERLINK("https://www.773grp.com/globalSearch/MUR120/page-1", "MUR120")</f>
        <v>MUR120</v>
      </c>
      <c r="B26427" s="3" t="s">
        <v>95</v>
      </c>
      <c r="C26427" s="6">
        <v>45364</v>
      </c>
      <c r="D26427" s="7">
        <v>0.33</v>
      </c>
      <c r="E26427" t="s">
        <v>94</v>
      </c>
    </row>
    <row r="26428" spans="1:5" x14ac:dyDescent="0.25">
      <c r="A26428" t="str">
        <f>HYPERLINK("https://www.773grp.com/globalSearch/MUR140/page-1", "MUR140")</f>
        <v>MUR140</v>
      </c>
      <c r="B26428" s="3" t="s">
        <v>95</v>
      </c>
      <c r="C26428" s="6">
        <v>7179</v>
      </c>
      <c r="D26428" s="7">
        <v>0.33</v>
      </c>
      <c r="E26428" t="s">
        <v>94</v>
      </c>
    </row>
    <row r="26429" spans="1:5" x14ac:dyDescent="0.25">
      <c r="A26429" t="str">
        <f>HYPERLINK("https://www.773grp.com/globalSearch/MUR140RL/page-1", "MUR140RL")</f>
        <v>MUR140RL</v>
      </c>
      <c r="B26429" s="3" t="s">
        <v>95</v>
      </c>
      <c r="C26429" s="6">
        <v>25000</v>
      </c>
      <c r="D26429" s="7">
        <v>0.33</v>
      </c>
      <c r="E26429" t="s">
        <v>94</v>
      </c>
    </row>
    <row r="26430" spans="1:5" x14ac:dyDescent="0.25">
      <c r="A26430" t="str">
        <f>HYPERLINK("https://www.773grp.com/globalSearch/MUR210/page-1", "MUR210")</f>
        <v>MUR210</v>
      </c>
      <c r="B26430" s="3" t="s">
        <v>95</v>
      </c>
      <c r="C26430" s="6">
        <v>5000</v>
      </c>
      <c r="D26430" s="7">
        <v>0.33</v>
      </c>
      <c r="E26430" t="s">
        <v>103</v>
      </c>
    </row>
    <row r="26431" spans="1:5" x14ac:dyDescent="0.25">
      <c r="A26431" t="str">
        <f>HYPERLINK("https://www.773grp.com/globalSearch/MZP4741A/page-1", "MZP4741A")</f>
        <v>MZP4741A</v>
      </c>
      <c r="B26431" s="3" t="s">
        <v>95</v>
      </c>
      <c r="C26431" s="6">
        <v>4000</v>
      </c>
      <c r="D26431" s="7">
        <v>0.33</v>
      </c>
      <c r="E26431" t="s">
        <v>98</v>
      </c>
    </row>
    <row r="26432" spans="1:5" x14ac:dyDescent="0.25">
      <c r="A26432" t="str">
        <f>HYPERLINK("https://www.773grp.com/globalSearch/NL17SV00XV5T2/page-1", "NL17SV00XV5T2")</f>
        <v>NL17SV00XV5T2</v>
      </c>
      <c r="B26432" s="3" t="s">
        <v>95</v>
      </c>
      <c r="C26432" s="6">
        <v>2834</v>
      </c>
      <c r="D26432" s="7">
        <v>0.33</v>
      </c>
      <c r="E26432" t="s">
        <v>31</v>
      </c>
    </row>
    <row r="26433" spans="1:5" x14ac:dyDescent="0.25">
      <c r="A26433" t="str">
        <f>HYPERLINK("https://www.773grp.com/globalSearch/NL17SV02XV5T2/page-1", "NL17SV02XV5T2")</f>
        <v>NL17SV02XV5T2</v>
      </c>
      <c r="B26433" s="3" t="s">
        <v>95</v>
      </c>
      <c r="C26433" s="6">
        <v>3997</v>
      </c>
      <c r="D26433" s="7">
        <v>0.33</v>
      </c>
      <c r="E26433" t="s">
        <v>31</v>
      </c>
    </row>
    <row r="26434" spans="1:5" x14ac:dyDescent="0.25">
      <c r="A26434" t="str">
        <f>HYPERLINK("https://www.773grp.com/globalSearch/NL17SV04XV5T2/page-1", "NL17SV04XV5T2")</f>
        <v>NL17SV04XV5T2</v>
      </c>
      <c r="B26434" s="3" t="s">
        <v>95</v>
      </c>
      <c r="C26434" s="6">
        <v>55865</v>
      </c>
      <c r="D26434" s="7">
        <v>0.33</v>
      </c>
      <c r="E26434" t="s">
        <v>31</v>
      </c>
    </row>
    <row r="26435" spans="1:5" x14ac:dyDescent="0.25">
      <c r="A26435" t="str">
        <f>HYPERLINK("https://www.773grp.com/globalSearch/NL17SV08XV5T2/page-1", "NL17SV08XV5T2")</f>
        <v>NL17SV08XV5T2</v>
      </c>
      <c r="B26435" s="3" t="s">
        <v>95</v>
      </c>
      <c r="C26435" s="6">
        <v>6955</v>
      </c>
      <c r="D26435" s="7">
        <v>0.33</v>
      </c>
      <c r="E26435" t="s">
        <v>31</v>
      </c>
    </row>
    <row r="26436" spans="1:5" x14ac:dyDescent="0.25">
      <c r="A26436" t="str">
        <f>HYPERLINK("https://www.773grp.com/globalSearch/NL17SV16XV5T2/page-1", "NL17SV16XV5T2")</f>
        <v>NL17SV16XV5T2</v>
      </c>
      <c r="B26436" s="3" t="s">
        <v>95</v>
      </c>
      <c r="C26436" s="6">
        <v>31880</v>
      </c>
      <c r="D26436" s="7">
        <v>0.33</v>
      </c>
      <c r="E26436" t="s">
        <v>31</v>
      </c>
    </row>
    <row r="26437" spans="1:5" x14ac:dyDescent="0.25">
      <c r="A26437" t="str">
        <f>HYPERLINK("https://www.773grp.com/globalSearch/NL17SV32XV5T2/page-1", "NL17SV32XV5T2")</f>
        <v>NL17SV32XV5T2</v>
      </c>
      <c r="B26437" s="3" t="s">
        <v>95</v>
      </c>
      <c r="C26437" s="6">
        <v>615</v>
      </c>
      <c r="D26437" s="7">
        <v>0.33</v>
      </c>
      <c r="E26437" t="s">
        <v>31</v>
      </c>
    </row>
    <row r="26438" spans="1:5" x14ac:dyDescent="0.25">
      <c r="A26438" t="str">
        <f>HYPERLINK("https://www.773grp.com/globalSearch/NLU1G00AMX1TCG/page-1", "NLU1G00AMX1TCG")</f>
        <v>NLU1G00AMX1TCG</v>
      </c>
      <c r="B26438" s="3" t="s">
        <v>95</v>
      </c>
      <c r="C26438" s="6">
        <v>188972</v>
      </c>
      <c r="D26438" s="7">
        <v>0.33</v>
      </c>
      <c r="E26438" t="s">
        <v>31</v>
      </c>
    </row>
    <row r="26439" spans="1:5" x14ac:dyDescent="0.25">
      <c r="A26439" t="str">
        <f>HYPERLINK("https://www.773grp.com/globalSearch/NLU1G04AMX1TCG/page-1", "NLU1G04AMX1TCG")</f>
        <v>NLU1G04AMX1TCG</v>
      </c>
      <c r="B26439" s="3" t="s">
        <v>95</v>
      </c>
      <c r="C26439" s="6">
        <v>956725</v>
      </c>
      <c r="D26439" s="7">
        <v>0.33</v>
      </c>
      <c r="E26439" t="s">
        <v>31</v>
      </c>
    </row>
    <row r="26440" spans="1:5" x14ac:dyDescent="0.25">
      <c r="A26440" t="str">
        <f>HYPERLINK("https://www.773grp.com/globalSearch/NLU1G04BMX1TCG/page-1", "NLU1G04BMX1TCG")</f>
        <v>NLU1G04BMX1TCG</v>
      </c>
      <c r="B26440" s="3" t="s">
        <v>95</v>
      </c>
      <c r="C26440" s="6">
        <v>63000</v>
      </c>
      <c r="D26440" s="7">
        <v>0.33</v>
      </c>
      <c r="E26440" t="s">
        <v>31</v>
      </c>
    </row>
    <row r="26441" spans="1:5" x14ac:dyDescent="0.25">
      <c r="A26441" t="str">
        <f>HYPERLINK("https://www.773grp.com/globalSearch/NLU1G07AMX1TCG/page-1", "NLU1G07AMX1TCG")</f>
        <v>NLU1G07AMX1TCG</v>
      </c>
      <c r="B26441" s="3" t="s">
        <v>95</v>
      </c>
      <c r="C26441" s="6">
        <v>131890</v>
      </c>
      <c r="D26441" s="7">
        <v>0.33</v>
      </c>
      <c r="E26441" t="s">
        <v>31</v>
      </c>
    </row>
    <row r="26442" spans="1:5" x14ac:dyDescent="0.25">
      <c r="A26442" t="str">
        <f>HYPERLINK("https://www.773grp.com/globalSearch/NLU1G07BMX1TCG/page-1", "NLU1G07BMX1TCG")</f>
        <v>NLU1G07BMX1TCG</v>
      </c>
      <c r="B26442" s="3" t="s">
        <v>95</v>
      </c>
      <c r="C26442" s="6">
        <v>72000</v>
      </c>
      <c r="D26442" s="7">
        <v>0.33</v>
      </c>
      <c r="E26442" t="s">
        <v>31</v>
      </c>
    </row>
    <row r="26443" spans="1:5" x14ac:dyDescent="0.25">
      <c r="A26443" t="str">
        <f>HYPERLINK("https://www.773grp.com/globalSearch/NLU1G08AMX1TCG/page-1", "NLU1G08AMX1TCG")</f>
        <v>NLU1G08AMX1TCG</v>
      </c>
      <c r="B26443" s="3" t="s">
        <v>95</v>
      </c>
      <c r="C26443" s="6">
        <v>141000</v>
      </c>
      <c r="D26443" s="7">
        <v>0.33</v>
      </c>
      <c r="E26443" t="s">
        <v>31</v>
      </c>
    </row>
    <row r="26444" spans="1:5" x14ac:dyDescent="0.25">
      <c r="A26444" t="str">
        <f>HYPERLINK("https://www.773grp.com/globalSearch/NLU1G08BMX1TCG/page-1", "NLU1G08BMX1TCG")</f>
        <v>NLU1G08BMX1TCG</v>
      </c>
      <c r="B26444" s="3" t="s">
        <v>95</v>
      </c>
      <c r="C26444" s="6">
        <v>465000</v>
      </c>
      <c r="D26444" s="7">
        <v>0.33</v>
      </c>
      <c r="E26444" t="s">
        <v>31</v>
      </c>
    </row>
    <row r="26445" spans="1:5" x14ac:dyDescent="0.25">
      <c r="A26445" t="str">
        <f>HYPERLINK("https://www.773grp.com/globalSearch/NLU1G14AMX1TCG/page-1", "NLU1G14AMX1TCG")</f>
        <v>NLU1G14AMX1TCG</v>
      </c>
      <c r="B26445" s="3" t="s">
        <v>95</v>
      </c>
      <c r="C26445" s="6">
        <v>123000</v>
      </c>
      <c r="D26445" s="7">
        <v>0.33</v>
      </c>
      <c r="E26445" t="s">
        <v>31</v>
      </c>
    </row>
    <row r="26446" spans="1:5" x14ac:dyDescent="0.25">
      <c r="A26446" t="str">
        <f>HYPERLINK("https://www.773grp.com/globalSearch/NLU1G14BMX1TCG/page-1", "NLU1G14BMX1TCG")</f>
        <v>NLU1G14BMX1TCG</v>
      </c>
      <c r="B26446" s="3" t="s">
        <v>95</v>
      </c>
      <c r="C26446" s="6">
        <v>68845</v>
      </c>
      <c r="D26446" s="7">
        <v>0.33</v>
      </c>
      <c r="E26446" t="s">
        <v>31</v>
      </c>
    </row>
    <row r="26447" spans="1:5" x14ac:dyDescent="0.25">
      <c r="A26447" t="str">
        <f>HYPERLINK("https://www.773grp.com/globalSearch/NLU1G32AMX1TCG/page-1", "NLU1G32AMX1TCG")</f>
        <v>NLU1G32AMX1TCG</v>
      </c>
      <c r="B26447" s="3" t="s">
        <v>95</v>
      </c>
      <c r="C26447" s="6">
        <v>156000</v>
      </c>
      <c r="D26447" s="7">
        <v>0.33</v>
      </c>
      <c r="E26447" t="s">
        <v>31</v>
      </c>
    </row>
    <row r="26448" spans="1:5" x14ac:dyDescent="0.25">
      <c r="A26448" t="str">
        <f>HYPERLINK("https://www.773grp.com/globalSearch/NLU1G32BMX1TCG/page-1", "NLU1G32BMX1TCG")</f>
        <v>NLU1G32BMX1TCG</v>
      </c>
      <c r="B26448" s="3" t="s">
        <v>95</v>
      </c>
      <c r="C26448" s="6">
        <v>963000</v>
      </c>
      <c r="D26448" s="7">
        <v>0.33</v>
      </c>
      <c r="E26448" t="s">
        <v>31</v>
      </c>
    </row>
    <row r="26449" spans="1:5" x14ac:dyDescent="0.25">
      <c r="A26449" t="str">
        <f>HYPERLINK("https://www.773grp.com/globalSearch/NLU1G86AMX1TCG/page-1", "NLU1G86AMX1TCG")</f>
        <v>NLU1G86AMX1TCG</v>
      </c>
      <c r="B26449" s="3" t="s">
        <v>95</v>
      </c>
      <c r="C26449" s="6">
        <v>1623880</v>
      </c>
      <c r="D26449" s="7">
        <v>0.33</v>
      </c>
      <c r="E26449" t="s">
        <v>31</v>
      </c>
    </row>
    <row r="26450" spans="1:5" x14ac:dyDescent="0.25">
      <c r="A26450" t="str">
        <f>HYPERLINK("https://www.773grp.com/globalSearch/NLU1G86BMX1TCG/page-1", "NLU1G86BMX1TCG")</f>
        <v>NLU1G86BMX1TCG</v>
      </c>
      <c r="B26450" s="3" t="s">
        <v>95</v>
      </c>
      <c r="C26450" s="6">
        <v>147000</v>
      </c>
      <c r="D26450" s="7">
        <v>0.33</v>
      </c>
      <c r="E26450" t="s">
        <v>31</v>
      </c>
    </row>
    <row r="26451" spans="1:5" x14ac:dyDescent="0.25">
      <c r="A26451" t="str">
        <f>HYPERLINK("https://www.773grp.com/globalSearch/NLU1GT04AMX1TCG/page-1", "NLU1GT04AMX1TCG")</f>
        <v>NLU1GT04AMX1TCG</v>
      </c>
      <c r="B26451" s="3" t="s">
        <v>95</v>
      </c>
      <c r="C26451" s="6">
        <v>104615</v>
      </c>
      <c r="D26451" s="7">
        <v>0.33</v>
      </c>
      <c r="E26451" t="s">
        <v>31</v>
      </c>
    </row>
    <row r="26452" spans="1:5" x14ac:dyDescent="0.25">
      <c r="A26452" t="str">
        <f>HYPERLINK("https://www.773grp.com/globalSearch/NLU1GT04BMX1TCG/page-1", "NLU1GT04BMX1TCG")</f>
        <v>NLU1GT04BMX1TCG</v>
      </c>
      <c r="B26452" s="3" t="s">
        <v>95</v>
      </c>
      <c r="C26452" s="6">
        <v>66000</v>
      </c>
      <c r="D26452" s="7">
        <v>0.33</v>
      </c>
      <c r="E26452" t="s">
        <v>31</v>
      </c>
    </row>
    <row r="26453" spans="1:5" x14ac:dyDescent="0.25">
      <c r="A26453" t="str">
        <f>HYPERLINK("https://www.773grp.com/globalSearch/NLU1GT125AMX1TCG/page-1", "NLU1GT125AMX1TCG")</f>
        <v>NLU1GT125AMX1TCG</v>
      </c>
      <c r="B26453" s="3" t="s">
        <v>95</v>
      </c>
      <c r="C26453" s="6">
        <v>26965</v>
      </c>
      <c r="D26453" s="7">
        <v>0.33</v>
      </c>
      <c r="E26453" t="s">
        <v>31</v>
      </c>
    </row>
    <row r="26454" spans="1:5" x14ac:dyDescent="0.25">
      <c r="A26454" t="str">
        <f>HYPERLINK("https://www.773grp.com/globalSearch/NLU1GT125BMX1TCG/page-1", "NLU1GT125BMX1TCG")</f>
        <v>NLU1GT125BMX1TCG</v>
      </c>
      <c r="B26454" s="3" t="s">
        <v>95</v>
      </c>
      <c r="C26454" s="6">
        <v>66000</v>
      </c>
      <c r="D26454" s="7">
        <v>0.33</v>
      </c>
      <c r="E26454" t="s">
        <v>31</v>
      </c>
    </row>
    <row r="26455" spans="1:5" x14ac:dyDescent="0.25">
      <c r="A26455" t="str">
        <f>HYPERLINK("https://www.773grp.com/globalSearch/NLU1GT126BMX1TCG/page-1", "NLU1GT126BMX1TCG")</f>
        <v>NLU1GT126BMX1TCG</v>
      </c>
      <c r="B26455" s="3" t="s">
        <v>95</v>
      </c>
      <c r="C26455" s="6">
        <v>75000</v>
      </c>
      <c r="D26455" s="7">
        <v>0.33</v>
      </c>
      <c r="E26455" t="s">
        <v>31</v>
      </c>
    </row>
    <row r="26456" spans="1:5" x14ac:dyDescent="0.25">
      <c r="A26456" t="str">
        <f>HYPERLINK("https://www.773grp.com/globalSearch/NLU1GT14AMX1TCG/page-1", "NLU1GT14AMX1TCG")</f>
        <v>NLU1GT14AMX1TCG</v>
      </c>
      <c r="B26456" s="3" t="s">
        <v>95</v>
      </c>
      <c r="C26456" s="6">
        <v>114000</v>
      </c>
      <c r="D26456" s="7">
        <v>0.33</v>
      </c>
      <c r="E26456" t="s">
        <v>31</v>
      </c>
    </row>
    <row r="26457" spans="1:5" x14ac:dyDescent="0.25">
      <c r="A26457" t="str">
        <f>HYPERLINK("https://www.773grp.com/globalSearch/NLU1GT14BMX1TCG/page-1", "NLU1GT14BMX1TCG")</f>
        <v>NLU1GT14BMX1TCG</v>
      </c>
      <c r="B26457" s="3" t="s">
        <v>95</v>
      </c>
      <c r="C26457" s="6">
        <v>72000</v>
      </c>
      <c r="D26457" s="7">
        <v>0.33</v>
      </c>
      <c r="E26457" t="s">
        <v>31</v>
      </c>
    </row>
    <row r="26458" spans="1:5" x14ac:dyDescent="0.25">
      <c r="A26458" t="str">
        <f>HYPERLINK("https://www.773grp.com/globalSearch/NLU1GT32AMX1TCG/page-1", "NLU1GT32AMX1TCG")</f>
        <v>NLU1GT32AMX1TCG</v>
      </c>
      <c r="B26458" s="3" t="s">
        <v>95</v>
      </c>
      <c r="C26458" s="6">
        <v>177000</v>
      </c>
      <c r="D26458" s="7">
        <v>0.33</v>
      </c>
      <c r="E26458" t="s">
        <v>31</v>
      </c>
    </row>
    <row r="26459" spans="1:5" x14ac:dyDescent="0.25">
      <c r="A26459" t="str">
        <f>HYPERLINK("https://www.773grp.com/globalSearch/NLU1GT32BMX1TCG/page-1", "NLU1GT32BMX1TCG")</f>
        <v>NLU1GT32BMX1TCG</v>
      </c>
      <c r="B26459" s="3" t="s">
        <v>95</v>
      </c>
      <c r="C26459" s="6">
        <v>69000</v>
      </c>
      <c r="D26459" s="7">
        <v>0.33</v>
      </c>
      <c r="E26459" t="s">
        <v>31</v>
      </c>
    </row>
    <row r="26460" spans="1:5" x14ac:dyDescent="0.25">
      <c r="A26460" t="str">
        <f>HYPERLINK("https://www.773grp.com/globalSearch/NLU1GT50BMX1TCG/page-1", "NLU1GT50BMX1TCG")</f>
        <v>NLU1GT50BMX1TCG</v>
      </c>
      <c r="B26460" s="3" t="s">
        <v>95</v>
      </c>
      <c r="C26460" s="6">
        <v>150000</v>
      </c>
      <c r="D26460" s="7">
        <v>0.33</v>
      </c>
      <c r="E26460" t="s">
        <v>31</v>
      </c>
    </row>
    <row r="26461" spans="1:5" x14ac:dyDescent="0.25">
      <c r="A26461" t="str">
        <f>HYPERLINK("https://www.773grp.com/globalSearch/NLU1GT86AMX1TCG/page-1", "NLU1GT86AMX1TCG")</f>
        <v>NLU1GT86AMX1TCG</v>
      </c>
      <c r="B26461" s="3" t="s">
        <v>95</v>
      </c>
      <c r="C26461" s="6">
        <v>66000</v>
      </c>
      <c r="D26461" s="7">
        <v>0.33</v>
      </c>
      <c r="E26461" t="s">
        <v>31</v>
      </c>
    </row>
    <row r="26462" spans="1:5" x14ac:dyDescent="0.25">
      <c r="A26462" t="str">
        <f>HYPERLINK("https://www.773grp.com/globalSearch/NLU1GT86BMX1TCG/page-1", "NLU1GT86BMX1TCG")</f>
        <v>NLU1GT86BMX1TCG</v>
      </c>
      <c r="B26462" s="3" t="s">
        <v>95</v>
      </c>
      <c r="C26462" s="6">
        <v>159000</v>
      </c>
      <c r="D26462" s="7">
        <v>0.33</v>
      </c>
      <c r="E26462" t="s">
        <v>31</v>
      </c>
    </row>
    <row r="26463" spans="1:5" x14ac:dyDescent="0.25">
      <c r="A26463" t="str">
        <f>HYPERLINK("https://www.773grp.com/globalSearch/NLU1GU04AMX1TCG/page-1", "NLU1GU04AMX1TCG")</f>
        <v>NLU1GU04AMX1TCG</v>
      </c>
      <c r="B26463" s="3" t="s">
        <v>95</v>
      </c>
      <c r="C26463" s="6">
        <v>9000</v>
      </c>
      <c r="D26463" s="7">
        <v>0.33</v>
      </c>
      <c r="E26463" t="s">
        <v>31</v>
      </c>
    </row>
    <row r="26464" spans="1:5" x14ac:dyDescent="0.25">
      <c r="A26464" t="str">
        <f>HYPERLINK("https://www.773grp.com/globalSearch/NLU1GU04BMX1TCG/page-1", "NLU1GU04BMX1TCG")</f>
        <v>NLU1GU04BMX1TCG</v>
      </c>
      <c r="B26464" s="3" t="s">
        <v>95</v>
      </c>
      <c r="C26464" s="6">
        <v>69000</v>
      </c>
      <c r="D26464" s="7">
        <v>0.33</v>
      </c>
      <c r="E26464" t="s">
        <v>31</v>
      </c>
    </row>
    <row r="26465" spans="1:5" x14ac:dyDescent="0.25">
      <c r="A26465" t="str">
        <f>HYPERLINK("https://www.773grp.com/globalSearch/NLU2G04AMX1TCG/page-1", "NLU2G04AMX1TCG")</f>
        <v>NLU2G04AMX1TCG</v>
      </c>
      <c r="B26465" s="3" t="s">
        <v>95</v>
      </c>
      <c r="C26465" s="6">
        <v>251765</v>
      </c>
      <c r="D26465" s="7">
        <v>0.33</v>
      </c>
      <c r="E26465" t="s">
        <v>31</v>
      </c>
    </row>
    <row r="26466" spans="1:5" x14ac:dyDescent="0.25">
      <c r="A26466" t="str">
        <f>HYPERLINK("https://www.773grp.com/globalSearch/NLU2G06AMX1TCG/page-1", "NLU2G06AMX1TCG")</f>
        <v>NLU2G06AMX1TCG</v>
      </c>
      <c r="B26466" s="3" t="s">
        <v>95</v>
      </c>
      <c r="C26466" s="6">
        <v>87000</v>
      </c>
      <c r="D26466" s="7">
        <v>0.33</v>
      </c>
      <c r="E26466" t="s">
        <v>31</v>
      </c>
    </row>
    <row r="26467" spans="1:5" x14ac:dyDescent="0.25">
      <c r="A26467" t="str">
        <f>HYPERLINK("https://www.773grp.com/globalSearch/NLU2G07AMX1TCG/page-1", "NLU2G07AMX1TCG")</f>
        <v>NLU2G07AMX1TCG</v>
      </c>
      <c r="B26467" s="3" t="s">
        <v>95</v>
      </c>
      <c r="C26467" s="6">
        <v>71434</v>
      </c>
      <c r="D26467" s="7">
        <v>0.33</v>
      </c>
      <c r="E26467" t="s">
        <v>31</v>
      </c>
    </row>
    <row r="26468" spans="1:5" x14ac:dyDescent="0.25">
      <c r="A26468" t="str">
        <f>HYPERLINK("https://www.773grp.com/globalSearch/NLU2G14AMX1TCG/page-1", "NLU2G14AMX1TCG")</f>
        <v>NLU2G14AMX1TCG</v>
      </c>
      <c r="B26468" s="3" t="s">
        <v>95</v>
      </c>
      <c r="C26468" s="6">
        <v>32750</v>
      </c>
      <c r="D26468" s="7">
        <v>0.33</v>
      </c>
      <c r="E26468" t="s">
        <v>31</v>
      </c>
    </row>
    <row r="26469" spans="1:5" x14ac:dyDescent="0.25">
      <c r="A26469" t="str">
        <f>HYPERLINK("https://www.773grp.com/globalSearch/NLU2G16AMX1TCG/page-1", "NLU2G16AMX1TCG")</f>
        <v>NLU2G16AMX1TCG</v>
      </c>
      <c r="B26469" s="3" t="s">
        <v>95</v>
      </c>
      <c r="C26469" s="6">
        <v>236460</v>
      </c>
      <c r="D26469" s="7">
        <v>0.33</v>
      </c>
      <c r="E26469" t="s">
        <v>31</v>
      </c>
    </row>
    <row r="26470" spans="1:5" x14ac:dyDescent="0.25">
      <c r="A26470" t="str">
        <f>HYPERLINK("https://www.773grp.com/globalSearch/NLU2G17AMX1TCG/page-1", "NLU2G17AMX1TCG")</f>
        <v>NLU2G17AMX1TCG</v>
      </c>
      <c r="B26470" s="3" t="s">
        <v>95</v>
      </c>
      <c r="C26470" s="6">
        <v>33000</v>
      </c>
      <c r="D26470" s="7">
        <v>0.33</v>
      </c>
    </row>
    <row r="26471" spans="1:5" x14ac:dyDescent="0.25">
      <c r="A26471" t="str">
        <f>HYPERLINK("https://www.773grp.com/globalSearch/NLU2GU04AMX1TCG/page-1", "NLU2GU04AMX1TCG")</f>
        <v>NLU2GU04AMX1TCG</v>
      </c>
      <c r="B26471" s="3" t="s">
        <v>95</v>
      </c>
      <c r="C26471" s="6">
        <v>94358</v>
      </c>
      <c r="D26471" s="7">
        <v>0.33</v>
      </c>
      <c r="E26471" t="s">
        <v>31</v>
      </c>
    </row>
    <row r="26472" spans="1:5" x14ac:dyDescent="0.25">
      <c r="A26472" t="str">
        <f>HYPERLINK("https://www.773grp.com/globalSearch/NLX1G10AMX1TCG/page-1", "NLX1G10AMX1TCG")</f>
        <v>NLX1G10AMX1TCG</v>
      </c>
      <c r="B26472" s="3" t="s">
        <v>95</v>
      </c>
      <c r="C26472" s="6">
        <v>42000</v>
      </c>
      <c r="D26472" s="7">
        <v>0.33</v>
      </c>
    </row>
    <row r="26473" spans="1:5" x14ac:dyDescent="0.25">
      <c r="A26473" t="str">
        <f>HYPERLINK("https://www.773grp.com/globalSearch/NLX1G11AMX1TCG/page-1", "NLX1G11AMX1TCG")</f>
        <v>NLX1G11AMX1TCG</v>
      </c>
      <c r="B26473" s="3" t="s">
        <v>95</v>
      </c>
      <c r="C26473" s="6">
        <v>53620</v>
      </c>
      <c r="D26473" s="7">
        <v>0.33</v>
      </c>
    </row>
    <row r="26474" spans="1:5" x14ac:dyDescent="0.25">
      <c r="A26474" t="str">
        <f>HYPERLINK("https://www.773grp.com/globalSearch/NLX1G57AMX1TCG/page-1", "NLX1G57AMX1TCG")</f>
        <v>NLX1G57AMX1TCG</v>
      </c>
      <c r="B26474" s="3" t="s">
        <v>95</v>
      </c>
      <c r="C26474" s="6">
        <v>255000</v>
      </c>
      <c r="D26474" s="7">
        <v>0.33</v>
      </c>
      <c r="E26474" t="s">
        <v>83</v>
      </c>
    </row>
    <row r="26475" spans="1:5" x14ac:dyDescent="0.25">
      <c r="A26475" t="str">
        <f>HYPERLINK("https://www.773grp.com/globalSearch/NLX1G57BMX1TCG/page-1", "NLX1G57BMX1TCG")</f>
        <v>NLX1G57BMX1TCG</v>
      </c>
      <c r="B26475" s="3" t="s">
        <v>95</v>
      </c>
      <c r="C26475" s="6">
        <v>104917</v>
      </c>
      <c r="D26475" s="7">
        <v>0.33</v>
      </c>
      <c r="E26475" t="s">
        <v>83</v>
      </c>
    </row>
    <row r="26476" spans="1:5" x14ac:dyDescent="0.25">
      <c r="A26476" t="str">
        <f>HYPERLINK("https://www.773grp.com/globalSearch/NLX1G58AMX1TCG/page-1", "NLX1G58AMX1TCG")</f>
        <v>NLX1G58AMX1TCG</v>
      </c>
      <c r="B26476" s="3" t="s">
        <v>95</v>
      </c>
      <c r="C26476" s="6">
        <v>357000</v>
      </c>
      <c r="D26476" s="7">
        <v>0.33</v>
      </c>
      <c r="E26476" t="s">
        <v>83</v>
      </c>
    </row>
    <row r="26477" spans="1:5" x14ac:dyDescent="0.25">
      <c r="A26477" t="str">
        <f>HYPERLINK("https://www.773grp.com/globalSearch/NLX1G58BMX1TCG/page-1", "NLX1G58BMX1TCG")</f>
        <v>NLX1G58BMX1TCG</v>
      </c>
      <c r="B26477" s="3" t="s">
        <v>95</v>
      </c>
      <c r="C26477" s="6">
        <v>159000</v>
      </c>
      <c r="D26477" s="7">
        <v>0.33</v>
      </c>
      <c r="E26477" t="s">
        <v>83</v>
      </c>
    </row>
    <row r="26478" spans="1:5" x14ac:dyDescent="0.25">
      <c r="A26478" t="str">
        <f>HYPERLINK("https://www.773grp.com/globalSearch/NLX1G97AMX1TCG/page-1", "NLX1G97AMX1TCG")</f>
        <v>NLX1G97AMX1TCG</v>
      </c>
      <c r="B26478" s="3" t="s">
        <v>95</v>
      </c>
      <c r="C26478" s="6">
        <v>72000</v>
      </c>
      <c r="D26478" s="7">
        <v>0.33</v>
      </c>
      <c r="E26478" t="s">
        <v>83</v>
      </c>
    </row>
    <row r="26479" spans="1:5" x14ac:dyDescent="0.25">
      <c r="A26479" t="str">
        <f>HYPERLINK("https://www.773grp.com/globalSearch/NLX1G97BMX1TCG/page-1", "NLX1G97BMX1TCG")</f>
        <v>NLX1G97BMX1TCG</v>
      </c>
      <c r="B26479" s="3" t="s">
        <v>95</v>
      </c>
      <c r="C26479" s="6">
        <v>43800</v>
      </c>
      <c r="D26479" s="7">
        <v>0.33</v>
      </c>
      <c r="E26479" t="s">
        <v>83</v>
      </c>
    </row>
    <row r="26480" spans="1:5" x14ac:dyDescent="0.25">
      <c r="A26480" t="str">
        <f>HYPERLINK("https://www.773grp.com/globalSearch/NLX1G98AMX1TCG/page-1", "NLX1G98AMX1TCG")</f>
        <v>NLX1G98AMX1TCG</v>
      </c>
      <c r="B26480" s="3" t="s">
        <v>95</v>
      </c>
      <c r="C26480" s="6">
        <v>45000</v>
      </c>
      <c r="D26480" s="7">
        <v>0.33</v>
      </c>
      <c r="E26480" t="s">
        <v>83</v>
      </c>
    </row>
    <row r="26481" spans="1:5" x14ac:dyDescent="0.25">
      <c r="A26481" t="str">
        <f>HYPERLINK("https://www.773grp.com/globalSearch/NLX1G98BMX1TCG/page-1", "NLX1G98BMX1TCG")</f>
        <v>NLX1G98BMX1TCG</v>
      </c>
      <c r="B26481" s="3" t="s">
        <v>95</v>
      </c>
      <c r="C26481" s="6">
        <v>48000</v>
      </c>
      <c r="D26481" s="7">
        <v>0.33</v>
      </c>
      <c r="E26481" t="s">
        <v>83</v>
      </c>
    </row>
    <row r="26482" spans="1:5" x14ac:dyDescent="0.25">
      <c r="A26482" t="str">
        <f>HYPERLINK("https://www.773grp.com/globalSearch/NLX2G00AMX1TCG/page-1", "NLX2G00AMX1TCG")</f>
        <v>NLX2G00AMX1TCG</v>
      </c>
      <c r="B26482" s="3" t="s">
        <v>95</v>
      </c>
      <c r="C26482" s="6">
        <v>3000</v>
      </c>
      <c r="D26482" s="7">
        <v>0.33</v>
      </c>
      <c r="E26482" t="s">
        <v>31</v>
      </c>
    </row>
    <row r="26483" spans="1:5" x14ac:dyDescent="0.25">
      <c r="A26483" t="str">
        <f>HYPERLINK("https://www.773grp.com/globalSearch/NLX2G04AMX1TCG/page-1", "NLX2G04AMX1TCG")</f>
        <v>NLX2G04AMX1TCG</v>
      </c>
      <c r="B26483" s="3" t="s">
        <v>95</v>
      </c>
      <c r="C26483" s="6">
        <v>70570</v>
      </c>
      <c r="D26483" s="7">
        <v>0.33</v>
      </c>
      <c r="E26483" t="s">
        <v>31</v>
      </c>
    </row>
    <row r="26484" spans="1:5" x14ac:dyDescent="0.25">
      <c r="A26484" t="str">
        <f>HYPERLINK("https://www.773grp.com/globalSearch/NLX2G06AMX1TCG/page-1", "NLX2G06AMX1TCG")</f>
        <v>NLX2G06AMX1TCG</v>
      </c>
      <c r="B26484" s="3" t="s">
        <v>95</v>
      </c>
      <c r="C26484" s="6">
        <v>171000</v>
      </c>
      <c r="D26484" s="7">
        <v>0.33</v>
      </c>
      <c r="E26484" t="s">
        <v>31</v>
      </c>
    </row>
    <row r="26485" spans="1:5" x14ac:dyDescent="0.25">
      <c r="A26485" t="str">
        <f>HYPERLINK("https://www.773grp.com/globalSearch/NLX2G07AMX1TCG/page-1", "NLX2G07AMX1TCG")</f>
        <v>NLX2G07AMX1TCG</v>
      </c>
      <c r="B26485" s="3" t="s">
        <v>95</v>
      </c>
      <c r="C26485" s="6">
        <v>162000</v>
      </c>
      <c r="D26485" s="7">
        <v>0.33</v>
      </c>
      <c r="E26485" t="s">
        <v>31</v>
      </c>
    </row>
    <row r="26486" spans="1:5" x14ac:dyDescent="0.25">
      <c r="A26486" t="str">
        <f>HYPERLINK("https://www.773grp.com/globalSearch/NLX2G08AMX1TCG/page-1", "NLX2G08AMX1TCG")</f>
        <v>NLX2G08AMX1TCG</v>
      </c>
      <c r="B26486" s="3" t="s">
        <v>95</v>
      </c>
      <c r="C26486" s="6">
        <v>5970</v>
      </c>
      <c r="D26486" s="7">
        <v>0.33</v>
      </c>
    </row>
    <row r="26487" spans="1:5" x14ac:dyDescent="0.25">
      <c r="A26487" t="str">
        <f>HYPERLINK("https://www.773grp.com/globalSearch/NLX2G14AMX1TCG/page-1", "NLX2G14AMX1TCG")</f>
        <v>NLX2G14AMX1TCG</v>
      </c>
      <c r="B26487" s="3" t="s">
        <v>95</v>
      </c>
      <c r="C26487" s="6">
        <v>241474</v>
      </c>
      <c r="D26487" s="7">
        <v>0.33</v>
      </c>
      <c r="E26487" t="s">
        <v>31</v>
      </c>
    </row>
    <row r="26488" spans="1:5" x14ac:dyDescent="0.25">
      <c r="A26488" t="str">
        <f>HYPERLINK("https://www.773grp.com/globalSearch/NLX2G16AMUTCG/page-1", "NLX2G16AMUTCG")</f>
        <v>NLX2G16AMUTCG</v>
      </c>
      <c r="B26488" s="3" t="s">
        <v>95</v>
      </c>
      <c r="C26488" s="6">
        <v>21000</v>
      </c>
      <c r="D26488" s="7">
        <v>0.33</v>
      </c>
    </row>
    <row r="26489" spans="1:5" x14ac:dyDescent="0.25">
      <c r="A26489" t="str">
        <f>HYPERLINK("https://www.773grp.com/globalSearch/NLX2G16AMX1TCG/page-1", "NLX2G16AMX1TCG")</f>
        <v>NLX2G16AMX1TCG</v>
      </c>
      <c r="B26489" s="3" t="s">
        <v>95</v>
      </c>
      <c r="C26489" s="6">
        <v>6000</v>
      </c>
      <c r="D26489" s="7">
        <v>0.33</v>
      </c>
    </row>
    <row r="26490" spans="1:5" x14ac:dyDescent="0.25">
      <c r="A26490" t="str">
        <f>HYPERLINK("https://www.773grp.com/globalSearch/NLX2G32AMX1TCG/page-1", "NLX2G32AMX1TCG")</f>
        <v>NLX2G32AMX1TCG</v>
      </c>
      <c r="B26490" s="3" t="s">
        <v>95</v>
      </c>
      <c r="C26490" s="6">
        <v>4000</v>
      </c>
      <c r="D26490" s="7">
        <v>0.33</v>
      </c>
      <c r="E26490" t="s">
        <v>31</v>
      </c>
    </row>
    <row r="26491" spans="1:5" x14ac:dyDescent="0.25">
      <c r="A26491" t="str">
        <f>HYPERLINK("https://www.773grp.com/globalSearch/NLX2GU04AMX1TCG/page-1", "NLX2GU04AMX1TCG")</f>
        <v>NLX2GU04AMX1TCG</v>
      </c>
      <c r="B26491" s="3" t="s">
        <v>95</v>
      </c>
      <c r="C26491" s="6">
        <v>150000</v>
      </c>
      <c r="D26491" s="7">
        <v>0.33</v>
      </c>
      <c r="E26491" t="s">
        <v>31</v>
      </c>
    </row>
    <row r="26492" spans="1:5" x14ac:dyDescent="0.25">
      <c r="A26492" t="str">
        <f>HYPERLINK("https://www.773grp.com/globalSearch/NSB4904DW1T1G/page-1", "NSB4904DW1T1G")</f>
        <v>NSB4904DW1T1G</v>
      </c>
      <c r="B26492" s="3" t="s">
        <v>95</v>
      </c>
      <c r="C26492" s="6">
        <v>618000</v>
      </c>
      <c r="D26492" s="7">
        <v>0.33</v>
      </c>
      <c r="E26492" t="s">
        <v>69</v>
      </c>
    </row>
    <row r="26493" spans="1:5" x14ac:dyDescent="0.25">
      <c r="A26493" t="str">
        <f>HYPERLINK("https://www.773grp.com/globalSearch/NSBA114EDP6T5G/page-1", "NSBA114EDP6T5G")</f>
        <v>NSBA114EDP6T5G</v>
      </c>
      <c r="B26493" s="3" t="s">
        <v>95</v>
      </c>
      <c r="C26493" s="6">
        <v>32000</v>
      </c>
      <c r="D26493" s="7">
        <v>0.33</v>
      </c>
      <c r="E26493" t="s">
        <v>69</v>
      </c>
    </row>
    <row r="26494" spans="1:5" x14ac:dyDescent="0.25">
      <c r="A26494" t="str">
        <f>HYPERLINK("https://www.773grp.com/globalSearch/NSBA114EDXV6T1G/page-1", "NSBA114EDXV6T1G")</f>
        <v>NSBA114EDXV6T1G</v>
      </c>
      <c r="B26494" s="3" t="s">
        <v>95</v>
      </c>
      <c r="C26494" s="6">
        <v>107250</v>
      </c>
      <c r="D26494" s="7">
        <v>0.33</v>
      </c>
      <c r="E26494" t="s">
        <v>69</v>
      </c>
    </row>
    <row r="26495" spans="1:5" x14ac:dyDescent="0.25">
      <c r="A26495" t="str">
        <f>HYPERLINK("https://www.773grp.com/globalSearch/NSBA114EF3T5G/page-1", "NSBA114EF3T5G")</f>
        <v>NSBA114EF3T5G</v>
      </c>
      <c r="B26495" s="3" t="s">
        <v>95</v>
      </c>
      <c r="C26495" s="6">
        <v>96000</v>
      </c>
      <c r="D26495" s="7">
        <v>0.33</v>
      </c>
      <c r="E26495" t="s">
        <v>69</v>
      </c>
    </row>
    <row r="26496" spans="1:5" x14ac:dyDescent="0.25">
      <c r="A26496" t="str">
        <f>HYPERLINK("https://www.773grp.com/globalSearch/NSBA114TDXV6T1G/page-1", "NSBA114TDXV6T1G")</f>
        <v>NSBA114TDXV6T1G</v>
      </c>
      <c r="B26496" s="3" t="s">
        <v>95</v>
      </c>
      <c r="C26496" s="6">
        <v>96000</v>
      </c>
      <c r="D26496" s="7">
        <v>0.33</v>
      </c>
      <c r="E26496" t="s">
        <v>69</v>
      </c>
    </row>
    <row r="26497" spans="1:5" x14ac:dyDescent="0.25">
      <c r="A26497" t="str">
        <f>HYPERLINK("https://www.773grp.com/globalSearch/NSBA114TDXV6T5G/page-1", "NSBA114TDXV6T5G")</f>
        <v>NSBA114TDXV6T5G</v>
      </c>
      <c r="B26497" s="3" t="s">
        <v>95</v>
      </c>
      <c r="C26497" s="6">
        <v>48000</v>
      </c>
      <c r="D26497" s="7">
        <v>0.33</v>
      </c>
      <c r="E26497" t="s">
        <v>69</v>
      </c>
    </row>
    <row r="26498" spans="1:5" x14ac:dyDescent="0.25">
      <c r="A26498" t="str">
        <f>HYPERLINK("https://www.773grp.com/globalSearch/NSBA114TF3T5G/page-1", "NSBA114TF3T5G")</f>
        <v>NSBA114TF3T5G</v>
      </c>
      <c r="B26498" s="3" t="s">
        <v>95</v>
      </c>
      <c r="C26498" s="6">
        <v>152000</v>
      </c>
      <c r="D26498" s="7">
        <v>0.33</v>
      </c>
    </row>
    <row r="26499" spans="1:5" x14ac:dyDescent="0.25">
      <c r="A26499" t="str">
        <f>HYPERLINK("https://www.773grp.com/globalSearch/NSBA114YDP6T5G/page-1", "NSBA114YDP6T5G")</f>
        <v>NSBA114YDP6T5G</v>
      </c>
      <c r="B26499" s="3" t="s">
        <v>95</v>
      </c>
      <c r="C26499" s="6">
        <v>296000</v>
      </c>
      <c r="D26499" s="7">
        <v>0.33</v>
      </c>
      <c r="E26499" t="s">
        <v>69</v>
      </c>
    </row>
    <row r="26500" spans="1:5" x14ac:dyDescent="0.25">
      <c r="A26500" t="str">
        <f>HYPERLINK("https://www.773grp.com/globalSearch/NSBA114YDXV6T1G/page-1", "NSBA114YDXV6T1G")</f>
        <v>NSBA114YDXV6T1G</v>
      </c>
      <c r="B26500" s="3" t="s">
        <v>95</v>
      </c>
      <c r="C26500" s="6">
        <v>139650</v>
      </c>
      <c r="D26500" s="7">
        <v>0.33</v>
      </c>
      <c r="E26500" t="s">
        <v>69</v>
      </c>
    </row>
    <row r="26501" spans="1:5" x14ac:dyDescent="0.25">
      <c r="A26501" t="str">
        <f>HYPERLINK("https://www.773grp.com/globalSearch/NSBA114YF3T5G/page-1", "NSBA114YF3T5G")</f>
        <v>NSBA114YF3T5G</v>
      </c>
      <c r="B26501" s="3" t="s">
        <v>95</v>
      </c>
      <c r="C26501" s="6">
        <v>152000</v>
      </c>
      <c r="D26501" s="7">
        <v>0.33</v>
      </c>
    </row>
    <row r="26502" spans="1:5" x14ac:dyDescent="0.25">
      <c r="A26502" t="str">
        <f>HYPERLINK("https://www.773grp.com/globalSearch/NSBA115EDXV6T1G/page-1", "NSBA115EDXV6T1G")</f>
        <v>NSBA115EDXV6T1G</v>
      </c>
      <c r="B26502" s="3" t="s">
        <v>95</v>
      </c>
      <c r="C26502" s="6">
        <v>143950</v>
      </c>
      <c r="D26502" s="7">
        <v>0.33</v>
      </c>
      <c r="E26502" t="s">
        <v>69</v>
      </c>
    </row>
    <row r="26503" spans="1:5" x14ac:dyDescent="0.25">
      <c r="A26503" t="str">
        <f>HYPERLINK("https://www.773grp.com/globalSearch/NSBA123JDXV6T5G/page-1", "NSBA123JDXV6T5G")</f>
        <v>NSBA123JDXV6T5G</v>
      </c>
      <c r="B26503" s="3" t="s">
        <v>95</v>
      </c>
      <c r="C26503" s="6">
        <v>51400</v>
      </c>
      <c r="D26503" s="7">
        <v>0.33</v>
      </c>
      <c r="E26503" t="s">
        <v>69</v>
      </c>
    </row>
    <row r="26504" spans="1:5" x14ac:dyDescent="0.25">
      <c r="A26504" t="str">
        <f>HYPERLINK("https://www.773grp.com/globalSearch/NSBA123JF3T5G/page-1", "NSBA123JF3T5G")</f>
        <v>NSBA123JF3T5G</v>
      </c>
      <c r="B26504" s="3" t="s">
        <v>95</v>
      </c>
      <c r="C26504" s="6">
        <v>16000</v>
      </c>
      <c r="D26504" s="7">
        <v>0.33</v>
      </c>
    </row>
    <row r="26505" spans="1:5" x14ac:dyDescent="0.25">
      <c r="A26505" t="str">
        <f>HYPERLINK("https://www.773grp.com/globalSearch/NSBA124EDP6T5G/page-1", "NSBA124EDP6T5G")</f>
        <v>NSBA124EDP6T5G</v>
      </c>
      <c r="B26505" s="3" t="s">
        <v>95</v>
      </c>
      <c r="C26505" s="6">
        <v>8000</v>
      </c>
      <c r="D26505" s="7">
        <v>0.33</v>
      </c>
      <c r="E26505" t="s">
        <v>69</v>
      </c>
    </row>
    <row r="26506" spans="1:5" x14ac:dyDescent="0.25">
      <c r="A26506" t="str">
        <f>HYPERLINK("https://www.773grp.com/globalSearch/NSBA143TDXV6T1G/page-1", "NSBA143TDXV6T1G")</f>
        <v>NSBA143TDXV6T1G</v>
      </c>
      <c r="B26506" s="3" t="s">
        <v>95</v>
      </c>
      <c r="C26506" s="6">
        <v>8000</v>
      </c>
      <c r="D26506" s="7">
        <v>0.33</v>
      </c>
      <c r="E26506" t="s">
        <v>69</v>
      </c>
    </row>
    <row r="26507" spans="1:5" x14ac:dyDescent="0.25">
      <c r="A26507" t="str">
        <f>HYPERLINK("https://www.773grp.com/globalSearch/NSBA143TDXV6T5G/page-1", "NSBA143TDXV6T5G")</f>
        <v>NSBA143TDXV6T5G</v>
      </c>
      <c r="B26507" s="3" t="s">
        <v>95</v>
      </c>
      <c r="C26507" s="6">
        <v>96000</v>
      </c>
      <c r="D26507" s="7">
        <v>0.33</v>
      </c>
      <c r="E26507" t="s">
        <v>69</v>
      </c>
    </row>
    <row r="26508" spans="1:5" x14ac:dyDescent="0.25">
      <c r="A26508" t="str">
        <f>HYPERLINK("https://www.773grp.com/globalSearch/NSBA143ZDXV6T1G/page-1", "NSBA143ZDXV6T1G")</f>
        <v>NSBA143ZDXV6T1G</v>
      </c>
      <c r="B26508" s="3" t="s">
        <v>95</v>
      </c>
      <c r="C26508" s="6">
        <v>124000</v>
      </c>
      <c r="D26508" s="7">
        <v>0.33</v>
      </c>
      <c r="E26508" t="s">
        <v>69</v>
      </c>
    </row>
    <row r="26509" spans="1:5" x14ac:dyDescent="0.25">
      <c r="A26509" t="str">
        <f>HYPERLINK("https://www.773grp.com/globalSearch/NSBA144EDP6T5G/page-1", "NSBA144EDP6T5G")</f>
        <v>NSBA144EDP6T5G</v>
      </c>
      <c r="B26509" s="3" t="s">
        <v>95</v>
      </c>
      <c r="C26509" s="6">
        <v>164875</v>
      </c>
      <c r="D26509" s="7">
        <v>0.33</v>
      </c>
      <c r="E26509" t="s">
        <v>69</v>
      </c>
    </row>
    <row r="26510" spans="1:5" x14ac:dyDescent="0.25">
      <c r="A26510" t="str">
        <f>HYPERLINK("https://www.773grp.com/globalSearch/NSBA144EDXV6T1G/page-1", "NSBA144EDXV6T1G")</f>
        <v>NSBA144EDXV6T1G</v>
      </c>
      <c r="B26510" s="3" t="s">
        <v>95</v>
      </c>
      <c r="C26510" s="6">
        <v>2700</v>
      </c>
      <c r="D26510" s="7">
        <v>0.33</v>
      </c>
      <c r="E26510" t="s">
        <v>69</v>
      </c>
    </row>
    <row r="26511" spans="1:5" x14ac:dyDescent="0.25">
      <c r="A26511" t="str">
        <f>HYPERLINK("https://www.773grp.com/globalSearch/NSBA144EDXV6T5G/page-1", "NSBA144EDXV6T5G")</f>
        <v>NSBA144EDXV6T5G</v>
      </c>
      <c r="B26511" s="3" t="s">
        <v>95</v>
      </c>
      <c r="C26511" s="6">
        <v>128000</v>
      </c>
      <c r="D26511" s="7">
        <v>0.33</v>
      </c>
      <c r="E26511" t="s">
        <v>69</v>
      </c>
    </row>
    <row r="26512" spans="1:5" x14ac:dyDescent="0.25">
      <c r="A26512" t="str">
        <f>HYPERLINK("https://www.773grp.com/globalSearch/NSBA144EF3T5G/page-1", "NSBA144EF3T5G")</f>
        <v>NSBA144EF3T5G</v>
      </c>
      <c r="B26512" s="3" t="s">
        <v>95</v>
      </c>
      <c r="C26512" s="6">
        <v>75833</v>
      </c>
      <c r="D26512" s="7">
        <v>0.33</v>
      </c>
      <c r="E26512" t="s">
        <v>69</v>
      </c>
    </row>
    <row r="26513" spans="1:5" x14ac:dyDescent="0.25">
      <c r="A26513" t="str">
        <f>HYPERLINK("https://www.773grp.com/globalSearch/NSBC114EDP6T5G/page-1", "NSBC114EDP6T5G")</f>
        <v>NSBC114EDP6T5G</v>
      </c>
      <c r="B26513" s="3" t="s">
        <v>95</v>
      </c>
      <c r="C26513" s="6">
        <v>175891</v>
      </c>
      <c r="D26513" s="7">
        <v>0.33</v>
      </c>
      <c r="E26513" t="s">
        <v>69</v>
      </c>
    </row>
    <row r="26514" spans="1:5" x14ac:dyDescent="0.25">
      <c r="A26514" t="str">
        <f>HYPERLINK("https://www.773grp.com/globalSearch/NSBC114EF3T5G/page-1", "NSBC114EF3T5G")</f>
        <v>NSBC114EF3T5G</v>
      </c>
      <c r="B26514" s="3" t="s">
        <v>95</v>
      </c>
      <c r="C26514" s="6">
        <v>320000</v>
      </c>
      <c r="D26514" s="7">
        <v>0.33</v>
      </c>
      <c r="E26514" t="s">
        <v>69</v>
      </c>
    </row>
    <row r="26515" spans="1:5" x14ac:dyDescent="0.25">
      <c r="A26515" t="str">
        <f>HYPERLINK("https://www.773grp.com/globalSearch/NSBC114EPDP6T5G/page-1", "NSBC114EPDP6T5G")</f>
        <v>NSBC114EPDP6T5G</v>
      </c>
      <c r="B26515" s="3" t="s">
        <v>95</v>
      </c>
      <c r="C26515" s="6">
        <v>160000</v>
      </c>
      <c r="D26515" s="7">
        <v>0.33</v>
      </c>
      <c r="E26515" t="s">
        <v>69</v>
      </c>
    </row>
    <row r="26516" spans="1:5" x14ac:dyDescent="0.25">
      <c r="A26516" t="str">
        <f>HYPERLINK("https://www.773grp.com/globalSearch/NSBC114EPDXV6T1G/page-1", "NSBC114EPDXV6T1G")</f>
        <v>NSBC114EPDXV6T1G</v>
      </c>
      <c r="B26516" s="3" t="s">
        <v>95</v>
      </c>
      <c r="C26516" s="6">
        <v>175475</v>
      </c>
      <c r="D26516" s="7">
        <v>0.33</v>
      </c>
      <c r="E26516" t="s">
        <v>69</v>
      </c>
    </row>
    <row r="26517" spans="1:5" x14ac:dyDescent="0.25">
      <c r="A26517" t="str">
        <f>HYPERLINK("https://www.773grp.com/globalSearch/NSBC114EPDXV6T5G/page-1", "NSBC114EPDXV6T5G")</f>
        <v>NSBC114EPDXV6T5G</v>
      </c>
      <c r="B26517" s="3" t="s">
        <v>95</v>
      </c>
      <c r="C26517" s="6">
        <v>96000</v>
      </c>
      <c r="D26517" s="7">
        <v>0.33</v>
      </c>
      <c r="E26517" t="s">
        <v>69</v>
      </c>
    </row>
    <row r="26518" spans="1:5" x14ac:dyDescent="0.25">
      <c r="A26518" t="str">
        <f>HYPERLINK("https://www.773grp.com/globalSearch/NSBC114TDP6T5G/page-1", "NSBC114TDP6T5G")</f>
        <v>NSBC114TDP6T5G</v>
      </c>
      <c r="B26518" s="3" t="s">
        <v>95</v>
      </c>
      <c r="C26518" s="6">
        <v>72000</v>
      </c>
      <c r="D26518" s="7">
        <v>0.33</v>
      </c>
    </row>
    <row r="26519" spans="1:5" x14ac:dyDescent="0.25">
      <c r="A26519" t="str">
        <f>HYPERLINK("https://www.773grp.com/globalSearch/NSBC114TDXV6T1G/page-1", "NSBC114TDXV6T1G")</f>
        <v>NSBC114TDXV6T1G</v>
      </c>
      <c r="B26519" s="3" t="s">
        <v>95</v>
      </c>
      <c r="C26519" s="6">
        <v>11875</v>
      </c>
      <c r="D26519" s="7">
        <v>0.33</v>
      </c>
      <c r="E26519" t="s">
        <v>69</v>
      </c>
    </row>
    <row r="26520" spans="1:5" x14ac:dyDescent="0.25">
      <c r="A26520" t="str">
        <f>HYPERLINK("https://www.773grp.com/globalSearch/NSBC114TDXV6T5G/page-1", "NSBC114TDXV6T5G")</f>
        <v>NSBC114TDXV6T5G</v>
      </c>
      <c r="B26520" s="3" t="s">
        <v>95</v>
      </c>
      <c r="C26520" s="6">
        <v>40000</v>
      </c>
      <c r="D26520" s="7">
        <v>0.33</v>
      </c>
      <c r="E26520" t="s">
        <v>69</v>
      </c>
    </row>
    <row r="26521" spans="1:5" x14ac:dyDescent="0.25">
      <c r="A26521" t="str">
        <f>HYPERLINK("https://www.773grp.com/globalSearch/NSBC114TF3T5G/page-1", "NSBC114TF3T5G")</f>
        <v>NSBC114TF3T5G</v>
      </c>
      <c r="B26521" s="3" t="s">
        <v>95</v>
      </c>
      <c r="C26521" s="6">
        <v>152000</v>
      </c>
      <c r="D26521" s="7">
        <v>0.33</v>
      </c>
    </row>
    <row r="26522" spans="1:5" x14ac:dyDescent="0.25">
      <c r="A26522" t="str">
        <f>HYPERLINK("https://www.773grp.com/globalSearch/NSBC114TPDXV6T1G/page-1", "NSBC114TPDXV6T1G")</f>
        <v>NSBC114TPDXV6T1G</v>
      </c>
      <c r="B26522" s="3" t="s">
        <v>95</v>
      </c>
      <c r="C26522" s="6">
        <v>92000</v>
      </c>
      <c r="D26522" s="7">
        <v>0.33</v>
      </c>
      <c r="E26522" t="s">
        <v>69</v>
      </c>
    </row>
    <row r="26523" spans="1:5" x14ac:dyDescent="0.25">
      <c r="A26523" t="str">
        <f>HYPERLINK("https://www.773grp.com/globalSearch/NSBC114YDP6T5G/page-1", "NSBC114YDP6T5G")</f>
        <v>NSBC114YDP6T5G</v>
      </c>
      <c r="B26523" s="3" t="s">
        <v>95</v>
      </c>
      <c r="C26523" s="6">
        <v>128000</v>
      </c>
      <c r="D26523" s="7">
        <v>0.33</v>
      </c>
      <c r="E26523" t="s">
        <v>69</v>
      </c>
    </row>
    <row r="26524" spans="1:5" x14ac:dyDescent="0.25">
      <c r="A26524" t="str">
        <f>HYPERLINK("https://www.773grp.com/globalSearch/NSBC114YDXV6T1G/page-1", "NSBC114YDXV6T1G")</f>
        <v>NSBC114YDXV6T1G</v>
      </c>
      <c r="B26524" s="3" t="s">
        <v>95</v>
      </c>
      <c r="C26524" s="6">
        <v>991452</v>
      </c>
      <c r="D26524" s="7">
        <v>0.33</v>
      </c>
      <c r="E26524" t="s">
        <v>69</v>
      </c>
    </row>
    <row r="26525" spans="1:5" x14ac:dyDescent="0.25">
      <c r="A26525" t="str">
        <f>HYPERLINK("https://www.773grp.com/globalSearch/NSBC114YDXV6T5G/page-1", "NSBC114YDXV6T5G")</f>
        <v>NSBC114YDXV6T5G</v>
      </c>
      <c r="B26525" s="3" t="s">
        <v>95</v>
      </c>
      <c r="C26525" s="6">
        <v>88000</v>
      </c>
      <c r="D26525" s="7">
        <v>0.33</v>
      </c>
      <c r="E26525" t="s">
        <v>69</v>
      </c>
    </row>
    <row r="26526" spans="1:5" x14ac:dyDescent="0.25">
      <c r="A26526" t="str">
        <f>HYPERLINK("https://www.773grp.com/globalSearch/NSBC114YF3T5G/page-1", "NSBC114YF3T5G")</f>
        <v>NSBC114YF3T5G</v>
      </c>
      <c r="B26526" s="3" t="s">
        <v>95</v>
      </c>
      <c r="C26526" s="6">
        <v>280000</v>
      </c>
      <c r="D26526" s="7">
        <v>0.33</v>
      </c>
      <c r="E26526" t="s">
        <v>69</v>
      </c>
    </row>
    <row r="26527" spans="1:5" x14ac:dyDescent="0.25">
      <c r="A26527" t="str">
        <f>HYPERLINK("https://www.773grp.com/globalSearch/NSBC114YPDP6T5G/page-1", "NSBC114YPDP6T5G")</f>
        <v>NSBC114YPDP6T5G</v>
      </c>
      <c r="B26527" s="3" t="s">
        <v>95</v>
      </c>
      <c r="C26527" s="6">
        <v>1736000</v>
      </c>
      <c r="D26527" s="7">
        <v>0.33</v>
      </c>
      <c r="E26527" t="s">
        <v>69</v>
      </c>
    </row>
    <row r="26528" spans="1:5" x14ac:dyDescent="0.25">
      <c r="A26528" t="str">
        <f>HYPERLINK("https://www.773grp.com/globalSearch/NSBC114YPDXV6T1G/page-1", "NSBC114YPDXV6T1G")</f>
        <v>NSBC114YPDXV6T1G</v>
      </c>
      <c r="B26528" s="3" t="s">
        <v>95</v>
      </c>
      <c r="C26528" s="6">
        <v>15580</v>
      </c>
      <c r="D26528" s="7">
        <v>0.33</v>
      </c>
      <c r="E26528" t="s">
        <v>69</v>
      </c>
    </row>
    <row r="26529" spans="1:5" x14ac:dyDescent="0.25">
      <c r="A26529" t="str">
        <f>HYPERLINK("https://www.773grp.com/globalSearch/NSBC114YPDXV6T5G/page-1", "NSBC114YPDXV6T5G")</f>
        <v>NSBC114YPDXV6T5G</v>
      </c>
      <c r="B26529" s="3" t="s">
        <v>95</v>
      </c>
      <c r="C26529" s="6">
        <v>104000</v>
      </c>
      <c r="D26529" s="7">
        <v>0.33</v>
      </c>
      <c r="E26529" t="s">
        <v>69</v>
      </c>
    </row>
    <row r="26530" spans="1:5" x14ac:dyDescent="0.25">
      <c r="A26530" t="str">
        <f>HYPERLINK("https://www.773grp.com/globalSearch/NSBC115EDXV6T1G/page-1", "NSBC115EDXV6T1G")</f>
        <v>NSBC115EDXV6T1G</v>
      </c>
      <c r="B26530" s="3" t="s">
        <v>95</v>
      </c>
      <c r="C26530" s="6">
        <v>155990</v>
      </c>
      <c r="D26530" s="7">
        <v>0.33</v>
      </c>
      <c r="E26530" t="s">
        <v>69</v>
      </c>
    </row>
    <row r="26531" spans="1:5" x14ac:dyDescent="0.25">
      <c r="A26531" t="str">
        <f>HYPERLINK("https://www.773grp.com/globalSearch/NSBC115TPDP6T5G/page-1", "NSBC115TPDP6T5G")</f>
        <v>NSBC115TPDP6T5G</v>
      </c>
      <c r="B26531" s="3" t="s">
        <v>95</v>
      </c>
      <c r="C26531" s="6">
        <v>275833</v>
      </c>
      <c r="D26531" s="7">
        <v>0.33</v>
      </c>
      <c r="E26531" t="s">
        <v>69</v>
      </c>
    </row>
    <row r="26532" spans="1:5" x14ac:dyDescent="0.25">
      <c r="A26532" t="str">
        <f>HYPERLINK("https://www.773grp.com/globalSearch/NSBC123JDP6T5G/page-1", "NSBC123JDP6T5G")</f>
        <v>NSBC123JDP6T5G</v>
      </c>
      <c r="B26532" s="3" t="s">
        <v>95</v>
      </c>
      <c r="C26532" s="6">
        <v>136000</v>
      </c>
      <c r="D26532" s="7">
        <v>0.33</v>
      </c>
    </row>
    <row r="26533" spans="1:5" x14ac:dyDescent="0.25">
      <c r="A26533" t="str">
        <f>HYPERLINK("https://www.773grp.com/globalSearch/NSBC123JDXV6T1G/page-1", "NSBC123JDXV6T1G")</f>
        <v>NSBC123JDXV6T1G</v>
      </c>
      <c r="B26533" s="3" t="s">
        <v>95</v>
      </c>
      <c r="C26533" s="6">
        <v>19938</v>
      </c>
      <c r="D26533" s="7">
        <v>0.33</v>
      </c>
      <c r="E26533" t="s">
        <v>69</v>
      </c>
    </row>
    <row r="26534" spans="1:5" x14ac:dyDescent="0.25">
      <c r="A26534" t="str">
        <f>HYPERLINK("https://www.773grp.com/globalSearch/NSBC123JDXV6T5G/page-1", "NSBC123JDXV6T5G")</f>
        <v>NSBC123JDXV6T5G</v>
      </c>
      <c r="B26534" s="3" t="s">
        <v>95</v>
      </c>
      <c r="C26534" s="6">
        <v>40000</v>
      </c>
      <c r="D26534" s="7">
        <v>0.33</v>
      </c>
      <c r="E26534" t="s">
        <v>69</v>
      </c>
    </row>
    <row r="26535" spans="1:5" x14ac:dyDescent="0.25">
      <c r="A26535" t="str">
        <f>HYPERLINK("https://www.773grp.com/globalSearch/NSBC123JF3T5G/page-1", "NSBC123JF3T5G")</f>
        <v>NSBC123JF3T5G</v>
      </c>
      <c r="B26535" s="3" t="s">
        <v>95</v>
      </c>
      <c r="C26535" s="6">
        <v>119285</v>
      </c>
      <c r="D26535" s="7">
        <v>0.33</v>
      </c>
    </row>
    <row r="26536" spans="1:5" x14ac:dyDescent="0.25">
      <c r="A26536" t="str">
        <f>HYPERLINK("https://www.773grp.com/globalSearch/NSBC123JPDXV6T1G/page-1", "NSBC123JPDXV6T1G")</f>
        <v>NSBC123JPDXV6T1G</v>
      </c>
      <c r="B26536" s="3" t="s">
        <v>95</v>
      </c>
      <c r="C26536" s="6">
        <v>1503000</v>
      </c>
      <c r="D26536" s="7">
        <v>0.33</v>
      </c>
      <c r="E26536" t="s">
        <v>69</v>
      </c>
    </row>
    <row r="26537" spans="1:5" x14ac:dyDescent="0.25">
      <c r="A26537" t="str">
        <f>HYPERLINK("https://www.773grp.com/globalSearch/NSBC123JPDXV6T5G/page-1", "NSBC123JPDXV6T5G")</f>
        <v>NSBC123JPDXV6T5G</v>
      </c>
      <c r="B26537" s="3" t="s">
        <v>95</v>
      </c>
      <c r="C26537" s="6">
        <v>223912</v>
      </c>
      <c r="D26537" s="7">
        <v>0.33</v>
      </c>
      <c r="E26537" t="s">
        <v>69</v>
      </c>
    </row>
    <row r="26538" spans="1:5" x14ac:dyDescent="0.25">
      <c r="A26538" t="str">
        <f>HYPERLINK("https://www.773grp.com/globalSearch/NSBC124EDP6T5G/page-1", "NSBC124EDP6T5G")</f>
        <v>NSBC124EDP6T5G</v>
      </c>
      <c r="B26538" s="3" t="s">
        <v>95</v>
      </c>
      <c r="C26538" s="6">
        <v>128000</v>
      </c>
      <c r="D26538" s="7">
        <v>0.33</v>
      </c>
    </row>
    <row r="26539" spans="1:5" x14ac:dyDescent="0.25">
      <c r="A26539" t="str">
        <f>HYPERLINK("https://www.773grp.com/globalSearch/NSBC124EDXV6T1G/page-1", "NSBC124EDXV6T1G")</f>
        <v>NSBC124EDXV6T1G</v>
      </c>
      <c r="B26539" s="3" t="s">
        <v>95</v>
      </c>
      <c r="C26539" s="6">
        <v>82874</v>
      </c>
      <c r="D26539" s="7">
        <v>0.33</v>
      </c>
      <c r="E26539" t="s">
        <v>69</v>
      </c>
    </row>
    <row r="26540" spans="1:5" x14ac:dyDescent="0.25">
      <c r="A26540" t="str">
        <f>HYPERLINK("https://www.773grp.com/globalSearch/NSBC124EDXV6T5G/page-1", "NSBC124EDXV6T5G")</f>
        <v>NSBC124EDXV6T5G</v>
      </c>
      <c r="B26540" s="3" t="s">
        <v>95</v>
      </c>
      <c r="C26540" s="6">
        <v>40000</v>
      </c>
      <c r="D26540" s="7">
        <v>0.33</v>
      </c>
      <c r="E26540" t="s">
        <v>69</v>
      </c>
    </row>
    <row r="26541" spans="1:5" x14ac:dyDescent="0.25">
      <c r="A26541" t="str">
        <f>HYPERLINK("https://www.773grp.com/globalSearch/NSBC124EPDXV6T1G/page-1", "NSBC124EPDXV6T1G")</f>
        <v>NSBC124EPDXV6T1G</v>
      </c>
      <c r="B26541" s="3" t="s">
        <v>95</v>
      </c>
      <c r="C26541" s="6">
        <v>2314097</v>
      </c>
      <c r="D26541" s="7">
        <v>0.33</v>
      </c>
      <c r="E26541" t="s">
        <v>69</v>
      </c>
    </row>
    <row r="26542" spans="1:5" x14ac:dyDescent="0.25">
      <c r="A26542" t="str">
        <f>HYPERLINK("https://www.773grp.com/globalSearch/NSBC124EPDXV6T5G/page-1", "NSBC124EPDXV6T5G")</f>
        <v>NSBC124EPDXV6T5G</v>
      </c>
      <c r="B26542" s="3" t="s">
        <v>95</v>
      </c>
      <c r="C26542" s="6">
        <v>80000</v>
      </c>
      <c r="D26542" s="7">
        <v>0.33</v>
      </c>
      <c r="E26542" t="s">
        <v>69</v>
      </c>
    </row>
    <row r="26543" spans="1:5" x14ac:dyDescent="0.25">
      <c r="A26543" t="str">
        <f>HYPERLINK("https://www.773grp.com/globalSearch/NSBC124XDXV6T1G/page-1", "NSBC124XDXV6T1G")</f>
        <v>NSBC124XDXV6T1G</v>
      </c>
      <c r="B26543" s="3" t="s">
        <v>95</v>
      </c>
      <c r="C26543" s="6">
        <v>25750</v>
      </c>
      <c r="D26543" s="7">
        <v>0.33</v>
      </c>
      <c r="E26543" t="s">
        <v>69</v>
      </c>
    </row>
    <row r="26544" spans="1:5" x14ac:dyDescent="0.25">
      <c r="A26544" t="str">
        <f>HYPERLINK("https://www.773grp.com/globalSearch/NSBC143EDXV6T1G/page-1", "NSBC143EDXV6T1G")</f>
        <v>NSBC143EDXV6T1G</v>
      </c>
      <c r="B26544" s="3" t="s">
        <v>95</v>
      </c>
      <c r="C26544" s="6">
        <v>100000</v>
      </c>
      <c r="D26544" s="7">
        <v>0.33</v>
      </c>
      <c r="E26544" t="s">
        <v>69</v>
      </c>
    </row>
    <row r="26545" spans="1:5" x14ac:dyDescent="0.25">
      <c r="A26545" t="str">
        <f>HYPERLINK("https://www.773grp.com/globalSearch/NSBC143EPDXV6T1G/page-1", "NSBC143EPDXV6T1G")</f>
        <v>NSBC143EPDXV6T1G</v>
      </c>
      <c r="B26545" s="3" t="s">
        <v>95</v>
      </c>
      <c r="C26545" s="6">
        <v>204000</v>
      </c>
      <c r="D26545" s="7">
        <v>0.33</v>
      </c>
      <c r="E26545" t="s">
        <v>69</v>
      </c>
    </row>
    <row r="26546" spans="1:5" x14ac:dyDescent="0.25">
      <c r="A26546" t="str">
        <f>HYPERLINK("https://www.773grp.com/globalSearch/NSBC143TDXV6T5G/page-1", "NSBC143TDXV6T5G")</f>
        <v>NSBC143TDXV6T5G</v>
      </c>
      <c r="B26546" s="3" t="s">
        <v>95</v>
      </c>
      <c r="C26546" s="6">
        <v>48000</v>
      </c>
      <c r="D26546" s="7">
        <v>0.33</v>
      </c>
      <c r="E26546" t="s">
        <v>69</v>
      </c>
    </row>
    <row r="26547" spans="1:5" x14ac:dyDescent="0.25">
      <c r="A26547" t="str">
        <f>HYPERLINK("https://www.773grp.com/globalSearch/NSBC143TPDXV6T1G/page-1", "NSBC143TPDXV6T1G")</f>
        <v>NSBC143TPDXV6T1G</v>
      </c>
      <c r="B26547" s="3" t="s">
        <v>95</v>
      </c>
      <c r="C26547" s="6">
        <v>4543174</v>
      </c>
      <c r="D26547" s="7">
        <v>0.33</v>
      </c>
      <c r="E26547" t="s">
        <v>69</v>
      </c>
    </row>
    <row r="26548" spans="1:5" x14ac:dyDescent="0.25">
      <c r="A26548" t="str">
        <f>HYPERLINK("https://www.773grp.com/globalSearch/NSBC143ZDP6T5G/page-1", "NSBC143ZDP6T5G")</f>
        <v>NSBC143ZDP6T5G</v>
      </c>
      <c r="B26548" s="3" t="s">
        <v>95</v>
      </c>
      <c r="C26548" s="6">
        <v>10000</v>
      </c>
      <c r="D26548" s="7">
        <v>0.33</v>
      </c>
      <c r="E26548" t="s">
        <v>69</v>
      </c>
    </row>
    <row r="26549" spans="1:5" x14ac:dyDescent="0.25">
      <c r="A26549" t="str">
        <f>HYPERLINK("https://www.773grp.com/globalSearch/NSBC143ZDXV6T1G/page-1", "NSBC143ZDXV6T1G")</f>
        <v>NSBC143ZDXV6T1G</v>
      </c>
      <c r="B26549" s="3" t="s">
        <v>95</v>
      </c>
      <c r="C26549" s="6">
        <v>23533</v>
      </c>
      <c r="D26549" s="7">
        <v>0.33</v>
      </c>
      <c r="E26549" t="s">
        <v>69</v>
      </c>
    </row>
    <row r="26550" spans="1:5" x14ac:dyDescent="0.25">
      <c r="A26550" t="str">
        <f>HYPERLINK("https://www.773grp.com/globalSearch/NSBC143ZPDXV6T1G/page-1", "NSBC143ZPDXV6T1G")</f>
        <v>NSBC143ZPDXV6T1G</v>
      </c>
      <c r="B26550" s="3" t="s">
        <v>95</v>
      </c>
      <c r="C26550" s="6">
        <v>176000</v>
      </c>
      <c r="D26550" s="7">
        <v>0.33</v>
      </c>
      <c r="E26550" t="s">
        <v>69</v>
      </c>
    </row>
    <row r="26551" spans="1:5" x14ac:dyDescent="0.25">
      <c r="A26551" t="str">
        <f>HYPERLINK("https://www.773grp.com/globalSearch/NSBC144EDP6T5G/page-1", "NSBC144EDP6T5G")</f>
        <v>NSBC144EDP6T5G</v>
      </c>
      <c r="B26551" s="3" t="s">
        <v>95</v>
      </c>
      <c r="C26551" s="6">
        <v>144000</v>
      </c>
      <c r="D26551" s="7">
        <v>0.33</v>
      </c>
      <c r="E26551" t="s">
        <v>69</v>
      </c>
    </row>
    <row r="26552" spans="1:5" x14ac:dyDescent="0.25">
      <c r="A26552" t="str">
        <f>HYPERLINK("https://www.773grp.com/globalSearch/NSBC144EDXV6T1G/page-1", "NSBC144EDXV6T1G")</f>
        <v>NSBC144EDXV6T1G</v>
      </c>
      <c r="B26552" s="3" t="s">
        <v>95</v>
      </c>
      <c r="C26552" s="6">
        <v>781150</v>
      </c>
      <c r="D26552" s="7">
        <v>0.33</v>
      </c>
      <c r="E26552" t="s">
        <v>69</v>
      </c>
    </row>
    <row r="26553" spans="1:5" x14ac:dyDescent="0.25">
      <c r="A26553" t="str">
        <f>HYPERLINK("https://www.773grp.com/globalSearch/NSBC144EDXV6T5G/page-1", "NSBC144EDXV6T5G")</f>
        <v>NSBC144EDXV6T5G</v>
      </c>
      <c r="B26553" s="3" t="s">
        <v>95</v>
      </c>
      <c r="C26553" s="6">
        <v>204070</v>
      </c>
      <c r="D26553" s="7">
        <v>0.33</v>
      </c>
      <c r="E26553" t="s">
        <v>69</v>
      </c>
    </row>
    <row r="26554" spans="1:5" x14ac:dyDescent="0.25">
      <c r="A26554" t="str">
        <f>HYPERLINK("https://www.773grp.com/globalSearch/NSBC144EF3T5G/page-1", "NSBC144EF3T5G")</f>
        <v>NSBC144EF3T5G</v>
      </c>
      <c r="B26554" s="3" t="s">
        <v>95</v>
      </c>
      <c r="C26554" s="6">
        <v>144000</v>
      </c>
      <c r="D26554" s="7">
        <v>0.33</v>
      </c>
      <c r="E26554" t="s">
        <v>69</v>
      </c>
    </row>
    <row r="26555" spans="1:5" x14ac:dyDescent="0.25">
      <c r="A26555" t="str">
        <f>HYPERLINK("https://www.773grp.com/globalSearch/NSBC144EPDP6T5G/page-1", "NSBC144EPDP6T5G")</f>
        <v>NSBC144EPDP6T5G</v>
      </c>
      <c r="B26555" s="3" t="s">
        <v>95</v>
      </c>
      <c r="C26555" s="6">
        <v>136000</v>
      </c>
      <c r="D26555" s="7">
        <v>0.33</v>
      </c>
      <c r="E26555" t="s">
        <v>69</v>
      </c>
    </row>
    <row r="26556" spans="1:5" x14ac:dyDescent="0.25">
      <c r="A26556" t="str">
        <f>HYPERLINK("https://www.773grp.com/globalSearch/NSBC144EPDXV6T1G/page-1", "NSBC144EPDXV6T1G")</f>
        <v>NSBC144EPDXV6T1G</v>
      </c>
      <c r="B26556" s="3" t="s">
        <v>95</v>
      </c>
      <c r="C26556" s="6">
        <v>203539</v>
      </c>
      <c r="D26556" s="7">
        <v>0.33</v>
      </c>
      <c r="E26556" t="s">
        <v>69</v>
      </c>
    </row>
    <row r="26557" spans="1:5" x14ac:dyDescent="0.25">
      <c r="A26557" t="str">
        <f>HYPERLINK("https://www.773grp.com/globalSearch/NSBC144EPDXV6T5G/page-1", "NSBC144EPDXV6T5G")</f>
        <v>NSBC144EPDXV6T5G</v>
      </c>
      <c r="B26557" s="3" t="s">
        <v>95</v>
      </c>
      <c r="C26557" s="6">
        <v>48000</v>
      </c>
      <c r="D26557" s="7">
        <v>0.33</v>
      </c>
    </row>
    <row r="26558" spans="1:5" x14ac:dyDescent="0.25">
      <c r="A26558" t="str">
        <f>HYPERLINK("https://www.773grp.com/globalSearch/NSBC144WDXV6T1G/page-1", "NSBC144WDXV6T1G")</f>
        <v>NSBC144WDXV6T1G</v>
      </c>
      <c r="B26558" s="3" t="s">
        <v>95</v>
      </c>
      <c r="C26558" s="6">
        <v>48000</v>
      </c>
      <c r="D26558" s="7">
        <v>0.33</v>
      </c>
      <c r="E26558" t="s">
        <v>69</v>
      </c>
    </row>
    <row r="26559" spans="1:5" x14ac:dyDescent="0.25">
      <c r="A26559" t="str">
        <f>HYPERLINK("https://www.773grp.com/globalSearch/NSDEMN11XV6T5/page-1", "NSDEMN11XV6T5")</f>
        <v>NSDEMN11XV6T5</v>
      </c>
      <c r="B26559" s="3" t="s">
        <v>95</v>
      </c>
      <c r="C26559" s="6">
        <v>5974</v>
      </c>
      <c r="D26559" s="7">
        <v>0.33</v>
      </c>
      <c r="E26559" t="s">
        <v>94</v>
      </c>
    </row>
    <row r="26560" spans="1:5" x14ac:dyDescent="0.25">
      <c r="A26560" t="str">
        <f>HYPERLINK("https://www.773grp.com/globalSearch/NSDEMP11XV6T1G/page-1", "NSDEMP11XV6T1G")</f>
        <v>NSDEMP11XV6T1G</v>
      </c>
      <c r="B26560" s="3" t="s">
        <v>95</v>
      </c>
      <c r="C26560" s="6">
        <v>111105</v>
      </c>
      <c r="D26560" s="7">
        <v>0.33</v>
      </c>
      <c r="E26560" t="s">
        <v>94</v>
      </c>
    </row>
    <row r="26561" spans="1:5" x14ac:dyDescent="0.25">
      <c r="A26561" t="str">
        <f>HYPERLINK("https://www.773grp.com/globalSearch/NSDEMP11XV6T5G/page-1", "NSDEMP11XV6T5G")</f>
        <v>NSDEMP11XV6T5G</v>
      </c>
      <c r="B26561" s="3" t="s">
        <v>95</v>
      </c>
      <c r="C26561" s="6">
        <v>176000</v>
      </c>
      <c r="D26561" s="7">
        <v>0.33</v>
      </c>
      <c r="E26561" t="s">
        <v>94</v>
      </c>
    </row>
    <row r="26562" spans="1:5" x14ac:dyDescent="0.25">
      <c r="A26562" t="str">
        <f>HYPERLINK("https://www.773grp.com/globalSearch/NSQA12VAW5T2/page-1", "NSQA12VAW5T2")</f>
        <v>NSQA12VAW5T2</v>
      </c>
      <c r="B26562" s="3" t="s">
        <v>95</v>
      </c>
      <c r="C26562" s="6">
        <v>99000</v>
      </c>
      <c r="D26562" s="7">
        <v>0.33</v>
      </c>
      <c r="E26562" t="s">
        <v>96</v>
      </c>
    </row>
    <row r="26563" spans="1:5" x14ac:dyDescent="0.25">
      <c r="A26563" t="str">
        <f>HYPERLINK("https://www.773grp.com/globalSearch/NSQA12VAW5T2G/page-1", "NSQA12VAW5T2G")</f>
        <v>NSQA12VAW5T2G</v>
      </c>
      <c r="B26563" s="3" t="s">
        <v>95</v>
      </c>
      <c r="C26563" s="6">
        <v>14769</v>
      </c>
      <c r="D26563" s="7">
        <v>0.33</v>
      </c>
      <c r="E26563" t="s">
        <v>96</v>
      </c>
    </row>
    <row r="26564" spans="1:5" x14ac:dyDescent="0.25">
      <c r="A26564" t="str">
        <f>HYPERLINK("https://www.773grp.com/globalSearch/NSQA6V8AW5T2/page-1", "NSQA6V8AW5T2")</f>
        <v>NSQA6V8AW5T2</v>
      </c>
      <c r="B26564" s="3" t="s">
        <v>95</v>
      </c>
      <c r="C26564" s="6">
        <v>500672</v>
      </c>
      <c r="D26564" s="7">
        <v>0.33</v>
      </c>
      <c r="E26564" t="s">
        <v>96</v>
      </c>
    </row>
    <row r="26565" spans="1:5" x14ac:dyDescent="0.25">
      <c r="A26565" t="str">
        <f>HYPERLINK("https://www.773grp.com/globalSearch/NSQA6V8AW5T2G/page-1", "NSQA6V8AW5T2G")</f>
        <v>NSQA6V8AW5T2G</v>
      </c>
      <c r="B26565" s="3" t="s">
        <v>95</v>
      </c>
      <c r="C26565" s="6">
        <v>152520</v>
      </c>
      <c r="D26565" s="7">
        <v>0.33</v>
      </c>
      <c r="E26565" t="s">
        <v>96</v>
      </c>
    </row>
    <row r="26566" spans="1:5" x14ac:dyDescent="0.25">
      <c r="A26566" t="str">
        <f>HYPERLINK("https://www.773grp.com/globalSearch/NSR0130P2T5G/page-1", "NSR0130P2T5G")</f>
        <v>NSR0130P2T5G</v>
      </c>
      <c r="B26566" s="3" t="s">
        <v>95</v>
      </c>
      <c r="C26566" s="6">
        <v>1333700</v>
      </c>
      <c r="D26566" s="7">
        <v>0.33</v>
      </c>
      <c r="E26566" t="s">
        <v>94</v>
      </c>
    </row>
    <row r="26567" spans="1:5" x14ac:dyDescent="0.25">
      <c r="A26567" t="str">
        <f>HYPERLINK("https://www.773grp.com/globalSearch/NSR0140P2T5G/page-1", "NSR0140P2T5G")</f>
        <v>NSR0140P2T5G</v>
      </c>
      <c r="B26567" s="3" t="s">
        <v>95</v>
      </c>
      <c r="C26567" s="6">
        <v>1108880</v>
      </c>
      <c r="D26567" s="7">
        <v>0.33</v>
      </c>
      <c r="E26567" t="s">
        <v>94</v>
      </c>
    </row>
    <row r="26568" spans="1:5" x14ac:dyDescent="0.25">
      <c r="A26568" t="str">
        <f>HYPERLINK("https://www.773grp.com/globalSearch/NSR0230P2T5G/page-1", "NSR0230P2T5G")</f>
        <v>NSR0230P2T5G</v>
      </c>
      <c r="B26568" s="3" t="s">
        <v>95</v>
      </c>
      <c r="C26568" s="6">
        <v>470370</v>
      </c>
      <c r="D26568" s="7">
        <v>0.33</v>
      </c>
      <c r="E26568" t="s">
        <v>94</v>
      </c>
    </row>
    <row r="26569" spans="1:5" x14ac:dyDescent="0.25">
      <c r="A26569" t="str">
        <f>HYPERLINK("https://www.773grp.com/globalSearch/NSR0230P2T5H/page-1", "NSR0230P2T5H")</f>
        <v>NSR0230P2T5H</v>
      </c>
      <c r="B26569" s="3" t="s">
        <v>95</v>
      </c>
      <c r="C26569" s="6">
        <v>12500</v>
      </c>
      <c r="D26569" s="7">
        <v>0.33</v>
      </c>
    </row>
    <row r="26570" spans="1:5" x14ac:dyDescent="0.25">
      <c r="A26570" t="str">
        <f>HYPERLINK("https://www.773grp.com/globalSearch/NSR0240P2T5G/page-1", "NSR0240P2T5G")</f>
        <v>NSR0240P2T5G</v>
      </c>
      <c r="B26570" s="3" t="s">
        <v>95</v>
      </c>
      <c r="C26570" s="6">
        <v>160000</v>
      </c>
      <c r="D26570" s="7">
        <v>0.33</v>
      </c>
      <c r="E26570" t="s">
        <v>94</v>
      </c>
    </row>
    <row r="26571" spans="1:5" x14ac:dyDescent="0.25">
      <c r="A26571" t="str">
        <f>HYPERLINK("https://www.773grp.com/globalSearch/NSR02F30NXT5G/page-1", "NSR02F30NXT5G")</f>
        <v>NSR02F30NXT5G</v>
      </c>
      <c r="B26571" s="3" t="s">
        <v>95</v>
      </c>
      <c r="C26571" s="6">
        <v>135000</v>
      </c>
      <c r="D26571" s="7">
        <v>0.33</v>
      </c>
      <c r="E26571" t="s">
        <v>94</v>
      </c>
    </row>
    <row r="26572" spans="1:5" x14ac:dyDescent="0.25">
      <c r="A26572" t="str">
        <f>HYPERLINK("https://www.773grp.com/globalSearch/NSR02L30NXT5G/page-1", "NSR02L30NXT5G")</f>
        <v>NSR02L30NXT5G</v>
      </c>
      <c r="B26572" s="3" t="s">
        <v>95</v>
      </c>
      <c r="C26572" s="6">
        <v>4570000</v>
      </c>
      <c r="D26572" s="7">
        <v>0.33</v>
      </c>
    </row>
    <row r="26573" spans="1:5" x14ac:dyDescent="0.25">
      <c r="A26573" t="str">
        <f>HYPERLINK("https://www.773grp.com/globalSearch/NSR0340P2T5G/page-1", "NSR0340P2T5G")</f>
        <v>NSR0340P2T5G</v>
      </c>
      <c r="B26573" s="3" t="s">
        <v>95</v>
      </c>
      <c r="C26573" s="6">
        <v>16000</v>
      </c>
      <c r="D26573" s="7">
        <v>0.33</v>
      </c>
      <c r="E26573" t="s">
        <v>94</v>
      </c>
    </row>
    <row r="26574" spans="1:5" x14ac:dyDescent="0.25">
      <c r="A26574" t="str">
        <f>HYPERLINK("https://www.773grp.com/globalSearch/NSR0530P2T5G/page-1", "NSR0530P2T5G")</f>
        <v>NSR0530P2T5G</v>
      </c>
      <c r="B26574" s="3" t="s">
        <v>95</v>
      </c>
      <c r="C26574" s="6">
        <v>439650</v>
      </c>
      <c r="D26574" s="7">
        <v>0.33</v>
      </c>
      <c r="E26574" t="s">
        <v>94</v>
      </c>
    </row>
    <row r="26575" spans="1:5" x14ac:dyDescent="0.25">
      <c r="A26575" t="str">
        <f>HYPERLINK("https://www.773grp.com/globalSearch/NSR0620P2T5G/page-1", "NSR0620P2T5G")</f>
        <v>NSR0620P2T5G</v>
      </c>
      <c r="B26575" s="3" t="s">
        <v>95</v>
      </c>
      <c r="C26575" s="6">
        <v>232000</v>
      </c>
      <c r="D26575" s="7">
        <v>0.33</v>
      </c>
      <c r="E26575" t="s">
        <v>94</v>
      </c>
    </row>
    <row r="26576" spans="1:5" x14ac:dyDescent="0.25">
      <c r="A26576" t="str">
        <f>HYPERLINK("https://www.773grp.com/globalSearch/NSR15ADXV6T5/page-1", "NSR15ADXV6T5")</f>
        <v>NSR15ADXV6T5</v>
      </c>
      <c r="B26576" s="3" t="s">
        <v>95</v>
      </c>
      <c r="C26576" s="6">
        <v>24000</v>
      </c>
      <c r="D26576" s="7">
        <v>0.33</v>
      </c>
      <c r="E26576" t="s">
        <v>108</v>
      </c>
    </row>
    <row r="26577" spans="1:5" x14ac:dyDescent="0.25">
      <c r="A26577" t="str">
        <f>HYPERLINK("https://www.773grp.com/globalSearch/NST3904DXV6T1G/page-1", "NST3904DXV6T1G")</f>
        <v>NST3904DXV6T1G</v>
      </c>
      <c r="B26577" s="3" t="s">
        <v>95</v>
      </c>
      <c r="C26577" s="6">
        <v>66120</v>
      </c>
      <c r="D26577" s="7">
        <v>0.33</v>
      </c>
      <c r="E26577" t="s">
        <v>69</v>
      </c>
    </row>
    <row r="26578" spans="1:5" x14ac:dyDescent="0.25">
      <c r="A26578" t="str">
        <f>HYPERLINK("https://www.773grp.com/globalSearch/NST3904DXV6T5G/page-1", "NST3904DXV6T5G")</f>
        <v>NST3904DXV6T5G</v>
      </c>
      <c r="B26578" s="3" t="s">
        <v>95</v>
      </c>
      <c r="C26578" s="6">
        <v>38832</v>
      </c>
      <c r="D26578" s="7">
        <v>0.33</v>
      </c>
      <c r="E26578" t="s">
        <v>69</v>
      </c>
    </row>
    <row r="26579" spans="1:5" x14ac:dyDescent="0.25">
      <c r="A26579" t="str">
        <f>HYPERLINK("https://www.773grp.com/globalSearch/NST3946DXV6T1G/page-1", "NST3946DXV6T1G")</f>
        <v>NST3946DXV6T1G</v>
      </c>
      <c r="B26579" s="3" t="s">
        <v>95</v>
      </c>
      <c r="C26579" s="6">
        <v>60890</v>
      </c>
      <c r="D26579" s="7">
        <v>0.33</v>
      </c>
      <c r="E26579" t="s">
        <v>69</v>
      </c>
    </row>
    <row r="26580" spans="1:5" x14ac:dyDescent="0.25">
      <c r="A26580" t="str">
        <f>HYPERLINK("https://www.773grp.com/globalSearch/NST3946DXV6T5G/page-1", "NST3946DXV6T5G")</f>
        <v>NST3946DXV6T5G</v>
      </c>
      <c r="B26580" s="3" t="s">
        <v>95</v>
      </c>
      <c r="C26580" s="6">
        <v>7863</v>
      </c>
      <c r="D26580" s="7">
        <v>0.33</v>
      </c>
      <c r="E26580" t="s">
        <v>69</v>
      </c>
    </row>
    <row r="26581" spans="1:5" x14ac:dyDescent="0.25">
      <c r="A26581" t="str">
        <f>HYPERLINK("https://www.773grp.com/globalSearch/NSTB60BDW1T1G/page-1", "NSTB60BDW1T1G")</f>
        <v>NSTB60BDW1T1G</v>
      </c>
      <c r="B26581" s="3" t="s">
        <v>95</v>
      </c>
      <c r="C26581" s="6">
        <v>5960</v>
      </c>
      <c r="D26581" s="7">
        <v>0.33</v>
      </c>
      <c r="E26581" t="s">
        <v>69</v>
      </c>
    </row>
    <row r="26582" spans="1:5" x14ac:dyDescent="0.25">
      <c r="A26582" t="str">
        <f>HYPERLINK("https://www.773grp.com/globalSearch/NSVBAT54HT1G/page-1", "NSVBAT54HT1G")</f>
        <v>NSVBAT54HT1G</v>
      </c>
      <c r="B26582" s="3" t="s">
        <v>95</v>
      </c>
      <c r="C26582" s="6">
        <v>123000</v>
      </c>
      <c r="D26582" s="7">
        <v>0.33</v>
      </c>
    </row>
    <row r="26583" spans="1:5" x14ac:dyDescent="0.25">
      <c r="A26583" t="str">
        <f>HYPERLINK("https://www.773grp.com/globalSearch/NSVBAT54SWT1G/page-1", "NSVBAT54SWT1G")</f>
        <v>NSVBAT54SWT1G</v>
      </c>
      <c r="B26583" s="3" t="s">
        <v>95</v>
      </c>
      <c r="C26583" s="6">
        <v>99000</v>
      </c>
      <c r="D26583" s="7">
        <v>0.33</v>
      </c>
    </row>
    <row r="26584" spans="1:5" x14ac:dyDescent="0.25">
      <c r="A26584" t="str">
        <f>HYPERLINK("https://www.773grp.com/globalSearch/NSVMUN5137DW1T1G/page-1", "NSVMUN5137DW1T1G")</f>
        <v>NSVMUN5137DW1T1G</v>
      </c>
      <c r="B26584" s="3" t="s">
        <v>95</v>
      </c>
      <c r="C26584" s="6">
        <v>15000</v>
      </c>
      <c r="D26584" s="7">
        <v>0.33</v>
      </c>
    </row>
    <row r="26585" spans="1:5" x14ac:dyDescent="0.25">
      <c r="A26585" t="str">
        <f>HYPERLINK("https://www.773grp.com/globalSearch/NTD4815NHT4G/page-1", "NTD4815NHT4G")</f>
        <v>NTD4815NHT4G</v>
      </c>
      <c r="B26585" s="3" t="s">
        <v>95</v>
      </c>
      <c r="C26585" s="6">
        <v>828021</v>
      </c>
      <c r="D26585" s="7">
        <v>0.33</v>
      </c>
      <c r="E26585" t="s">
        <v>105</v>
      </c>
    </row>
    <row r="26586" spans="1:5" x14ac:dyDescent="0.25">
      <c r="A26586" t="str">
        <f>HYPERLINK("https://www.773grp.com/globalSearch/NTJD2152PT1/page-1", "NTJD2152PT1")</f>
        <v>NTJD2152PT1</v>
      </c>
      <c r="B26586" s="3" t="s">
        <v>95</v>
      </c>
      <c r="C26586" s="6">
        <v>12000</v>
      </c>
      <c r="D26586" s="7">
        <v>0.33</v>
      </c>
      <c r="E26586" t="s">
        <v>106</v>
      </c>
    </row>
    <row r="26587" spans="1:5" x14ac:dyDescent="0.25">
      <c r="A26587" t="str">
        <f>HYPERLINK("https://www.773grp.com/globalSearch/NTJD2152PT2G/page-1", "NTJD2152PT2G")</f>
        <v>NTJD2152PT2G</v>
      </c>
      <c r="B26587" s="3" t="s">
        <v>95</v>
      </c>
      <c r="C26587" s="6">
        <v>45000</v>
      </c>
      <c r="D26587" s="7">
        <v>0.33</v>
      </c>
      <c r="E26587" t="s">
        <v>106</v>
      </c>
    </row>
    <row r="26588" spans="1:5" x14ac:dyDescent="0.25">
      <c r="A26588" t="str">
        <f>HYPERLINK("https://www.773grp.com/globalSearch/NTJD4401NT1/page-1", "NTJD4401NT1")</f>
        <v>NTJD4401NT1</v>
      </c>
      <c r="B26588" s="3" t="s">
        <v>95</v>
      </c>
      <c r="C26588" s="6">
        <v>8838</v>
      </c>
      <c r="D26588" s="7">
        <v>0.33</v>
      </c>
      <c r="E26588" t="s">
        <v>106</v>
      </c>
    </row>
    <row r="26589" spans="1:5" x14ac:dyDescent="0.25">
      <c r="A26589" t="str">
        <f>HYPERLINK("https://www.773grp.com/globalSearch/NTJD4401NT2/page-1", "NTJD4401NT2")</f>
        <v>NTJD4401NT2</v>
      </c>
      <c r="B26589" s="3" t="s">
        <v>95</v>
      </c>
      <c r="C26589" s="6">
        <v>12000</v>
      </c>
      <c r="D26589" s="7">
        <v>0.33</v>
      </c>
      <c r="E26589" t="s">
        <v>106</v>
      </c>
    </row>
    <row r="26590" spans="1:5" x14ac:dyDescent="0.25">
      <c r="A26590" t="str">
        <f>HYPERLINK("https://www.773grp.com/globalSearch/NTJS3157NT2G/page-1", "NTJS3157NT2G")</f>
        <v>NTJS3157NT2G</v>
      </c>
      <c r="B26590" s="3" t="s">
        <v>95</v>
      </c>
      <c r="C26590" s="6">
        <v>2</v>
      </c>
      <c r="D26590" s="7">
        <v>0.33</v>
      </c>
      <c r="E26590" t="s">
        <v>106</v>
      </c>
    </row>
    <row r="26591" spans="1:5" x14ac:dyDescent="0.25">
      <c r="A26591" t="str">
        <f>HYPERLINK("https://www.773grp.com/globalSearch/NTJS4160NT1G/page-1", "NTJS4160NT1G")</f>
        <v>NTJS4160NT1G</v>
      </c>
      <c r="B26591" s="3" t="s">
        <v>95</v>
      </c>
      <c r="C26591" s="6">
        <v>635883</v>
      </c>
      <c r="D26591" s="7">
        <v>0.33</v>
      </c>
      <c r="E26591" t="s">
        <v>106</v>
      </c>
    </row>
    <row r="26592" spans="1:5" x14ac:dyDescent="0.25">
      <c r="A26592" t="str">
        <f>HYPERLINK("https://www.773grp.com/globalSearch/NTK3043NT1G/page-1", "NTK3043NT1G")</f>
        <v>NTK3043NT1G</v>
      </c>
      <c r="B26592" s="3" t="s">
        <v>95</v>
      </c>
      <c r="C26592" s="6">
        <v>96946</v>
      </c>
      <c r="D26592" s="7">
        <v>0.33</v>
      </c>
      <c r="E26592" t="s">
        <v>106</v>
      </c>
    </row>
    <row r="26593" spans="1:5" x14ac:dyDescent="0.25">
      <c r="A26593" t="str">
        <f>HYPERLINK("https://www.773grp.com/globalSearch/NTK3043NT1H/page-1", "NTK3043NT1H")</f>
        <v>NTK3043NT1H</v>
      </c>
      <c r="B26593" s="3" t="s">
        <v>95</v>
      </c>
      <c r="C26593" s="6">
        <v>132000</v>
      </c>
      <c r="D26593" s="7">
        <v>0.33</v>
      </c>
    </row>
    <row r="26594" spans="1:5" x14ac:dyDescent="0.25">
      <c r="A26594" t="str">
        <f>HYPERLINK("https://www.773grp.com/globalSearch/NTK3043NT5G/page-1", "NTK3043NT5G")</f>
        <v>NTK3043NT5G</v>
      </c>
      <c r="B26594" s="3" t="s">
        <v>95</v>
      </c>
      <c r="C26594" s="6">
        <v>28000</v>
      </c>
      <c r="D26594" s="7">
        <v>0.33</v>
      </c>
      <c r="E26594" t="s">
        <v>106</v>
      </c>
    </row>
    <row r="26595" spans="1:5" x14ac:dyDescent="0.25">
      <c r="A26595" t="str">
        <f>HYPERLINK("https://www.773grp.com/globalSearch/NTK3134NT5G/page-1", "NTK3134NT5G")</f>
        <v>NTK3134NT5G</v>
      </c>
      <c r="B26595" s="3" t="s">
        <v>95</v>
      </c>
      <c r="C26595" s="6">
        <v>16000</v>
      </c>
      <c r="D26595" s="7">
        <v>0.33</v>
      </c>
      <c r="E26595" t="s">
        <v>106</v>
      </c>
    </row>
    <row r="26596" spans="1:5" x14ac:dyDescent="0.25">
      <c r="A26596" t="str">
        <f>HYPERLINK("https://www.773grp.com/globalSearch/NTR0202PLT1/page-1", "NTR0202PLT1")</f>
        <v>NTR0202PLT1</v>
      </c>
      <c r="B26596" s="3" t="s">
        <v>95</v>
      </c>
      <c r="C26596" s="6">
        <v>4310</v>
      </c>
      <c r="D26596" s="7">
        <v>0.33</v>
      </c>
      <c r="E26596" t="s">
        <v>106</v>
      </c>
    </row>
    <row r="26597" spans="1:5" x14ac:dyDescent="0.25">
      <c r="A26597" t="str">
        <f>HYPERLINK("https://www.773grp.com/globalSearch/NTR4502PT1/page-1", "NTR4502PT1")</f>
        <v>NTR4502PT1</v>
      </c>
      <c r="B26597" s="3" t="s">
        <v>95</v>
      </c>
      <c r="C26597" s="6">
        <v>60962</v>
      </c>
      <c r="D26597" s="7">
        <v>0.33</v>
      </c>
      <c r="E26597" t="s">
        <v>106</v>
      </c>
    </row>
    <row r="26598" spans="1:5" x14ac:dyDescent="0.25">
      <c r="A26598" t="str">
        <f>HYPERLINK("https://www.773grp.com/globalSearch/NTS2101PT1G/page-1", "NTS2101PT1G")</f>
        <v>NTS2101PT1G</v>
      </c>
      <c r="B26598" s="3" t="s">
        <v>95</v>
      </c>
      <c r="C26598" s="6">
        <v>7000</v>
      </c>
      <c r="D26598" s="7">
        <v>0.33</v>
      </c>
      <c r="E26598" t="s">
        <v>106</v>
      </c>
    </row>
    <row r="26599" spans="1:5" x14ac:dyDescent="0.25">
      <c r="A26599" t="str">
        <f>HYPERLINK("https://www.773grp.com/globalSearch/NTS4409NT1G/page-1", "NTS4409NT1G")</f>
        <v>NTS4409NT1G</v>
      </c>
      <c r="B26599" s="3" t="s">
        <v>95</v>
      </c>
      <c r="C26599" s="6">
        <v>18488</v>
      </c>
      <c r="D26599" s="7">
        <v>0.33</v>
      </c>
      <c r="E26599" t="s">
        <v>106</v>
      </c>
    </row>
    <row r="26600" spans="1:5" x14ac:dyDescent="0.25">
      <c r="A26600" t="str">
        <f>HYPERLINK("https://www.773grp.com/globalSearch/NTZD3152PT1G/page-1", "NTZD3152PT1G")</f>
        <v>NTZD3152PT1G</v>
      </c>
      <c r="B26600" s="3" t="s">
        <v>95</v>
      </c>
      <c r="C26600" s="6">
        <v>464901</v>
      </c>
      <c r="D26600" s="7">
        <v>0.33</v>
      </c>
      <c r="E26600" t="s">
        <v>106</v>
      </c>
    </row>
    <row r="26601" spans="1:5" x14ac:dyDescent="0.25">
      <c r="A26601" t="str">
        <f>HYPERLINK("https://www.773grp.com/globalSearch/NTZD3152PT1H/page-1", "NTZD3152PT1H")</f>
        <v>NTZD3152PT1H</v>
      </c>
      <c r="B26601" s="3" t="s">
        <v>95</v>
      </c>
      <c r="C26601" s="6">
        <v>266400</v>
      </c>
      <c r="D26601" s="7">
        <v>0.33</v>
      </c>
    </row>
    <row r="26602" spans="1:5" x14ac:dyDescent="0.25">
      <c r="A26602" t="str">
        <f>HYPERLINK("https://www.773grp.com/globalSearch/NTZD3154NT1G/page-1", "NTZD3154NT1G")</f>
        <v>NTZD3154NT1G</v>
      </c>
      <c r="B26602" s="3" t="s">
        <v>95</v>
      </c>
      <c r="C26602" s="6">
        <v>673</v>
      </c>
      <c r="D26602" s="7">
        <v>0.33</v>
      </c>
      <c r="E26602" t="s">
        <v>106</v>
      </c>
    </row>
    <row r="26603" spans="1:5" x14ac:dyDescent="0.25">
      <c r="A26603" t="str">
        <f>HYPERLINK("https://www.773grp.com/globalSearch/NTZD3154NT1H/page-1", "NTZD3154NT1H")</f>
        <v>NTZD3154NT1H</v>
      </c>
      <c r="B26603" s="3" t="s">
        <v>95</v>
      </c>
      <c r="C26603" s="6">
        <v>4000</v>
      </c>
      <c r="D26603" s="7">
        <v>0.33</v>
      </c>
    </row>
    <row r="26604" spans="1:5" x14ac:dyDescent="0.25">
      <c r="A26604" t="str">
        <f>HYPERLINK("https://www.773grp.com/globalSearch/NTZD3154NT2G/page-1", "NTZD3154NT2G")</f>
        <v>NTZD3154NT2G</v>
      </c>
      <c r="B26604" s="3" t="s">
        <v>95</v>
      </c>
      <c r="C26604" s="6">
        <v>15000</v>
      </c>
      <c r="D26604" s="7">
        <v>0.33</v>
      </c>
      <c r="E26604" t="s">
        <v>106</v>
      </c>
    </row>
    <row r="26605" spans="1:5" x14ac:dyDescent="0.25">
      <c r="A26605" t="str">
        <f>HYPERLINK("https://www.773grp.com/globalSearch/NTZD3154NT5G/page-1", "NTZD3154NT5G")</f>
        <v>NTZD3154NT5G</v>
      </c>
      <c r="B26605" s="3" t="s">
        <v>95</v>
      </c>
      <c r="C26605" s="6">
        <v>56000</v>
      </c>
      <c r="D26605" s="7">
        <v>0.33</v>
      </c>
      <c r="E26605" t="s">
        <v>106</v>
      </c>
    </row>
    <row r="26606" spans="1:5" x14ac:dyDescent="0.25">
      <c r="A26606" t="str">
        <f>HYPERLINK("https://www.773grp.com/globalSearch/NTZD3155CT1H/page-1", "NTZD3155CT1H")</f>
        <v>NTZD3155CT1H</v>
      </c>
      <c r="B26606" s="3" t="s">
        <v>95</v>
      </c>
      <c r="C26606" s="6">
        <v>76000</v>
      </c>
      <c r="D26606" s="7">
        <v>0.33</v>
      </c>
    </row>
    <row r="26607" spans="1:5" x14ac:dyDescent="0.25">
      <c r="A26607" t="str">
        <f>HYPERLINK("https://www.773grp.com/globalSearch/NTZD3155CT5G/page-1", "NTZD3155CT5G")</f>
        <v>NTZD3155CT5G</v>
      </c>
      <c r="B26607" s="3" t="s">
        <v>95</v>
      </c>
      <c r="C26607" s="6">
        <v>5000</v>
      </c>
      <c r="D26607" s="7">
        <v>0.33</v>
      </c>
    </row>
    <row r="26608" spans="1:5" x14ac:dyDescent="0.25">
      <c r="A26608" t="str">
        <f>HYPERLINK("https://www.773grp.com/globalSearch/NTZS3151PT1H/page-1", "NTZS3151PT1H")</f>
        <v>NTZS3151PT1H</v>
      </c>
      <c r="B26608" s="3" t="s">
        <v>95</v>
      </c>
      <c r="C26608" s="6">
        <v>184000</v>
      </c>
      <c r="D26608" s="7">
        <v>0.33</v>
      </c>
    </row>
    <row r="26609" spans="1:5" x14ac:dyDescent="0.25">
      <c r="A26609" t="str">
        <f>HYPERLINK("https://www.773grp.com/globalSearch/NUP1105LT1G/page-1", "NUP1105LT1G")</f>
        <v>NUP1105LT1G</v>
      </c>
      <c r="B26609" s="3" t="s">
        <v>95</v>
      </c>
      <c r="C26609" s="6">
        <v>198000</v>
      </c>
      <c r="D26609" s="7">
        <v>0.33</v>
      </c>
      <c r="E26609" t="s">
        <v>96</v>
      </c>
    </row>
    <row r="26610" spans="1:5" x14ac:dyDescent="0.25">
      <c r="A26610" t="str">
        <f>HYPERLINK("https://www.773grp.com/globalSearch/NUP412VP5T5G/page-1", "NUP412VP5T5G")</f>
        <v>NUP412VP5T5G</v>
      </c>
      <c r="B26610" s="3" t="s">
        <v>95</v>
      </c>
      <c r="C26610" s="6">
        <v>351389</v>
      </c>
      <c r="D26610" s="7">
        <v>0.33</v>
      </c>
      <c r="E26610" t="s">
        <v>96</v>
      </c>
    </row>
    <row r="26611" spans="1:5" x14ac:dyDescent="0.25">
      <c r="A26611" t="str">
        <f>HYPERLINK("https://www.773grp.com/globalSearch/NZQA5V6AXV5T1/page-1", "NZQA5V6AXV5T1")</f>
        <v>NZQA5V6AXV5T1</v>
      </c>
      <c r="B26611" s="3" t="s">
        <v>95</v>
      </c>
      <c r="C26611" s="6">
        <v>95180</v>
      </c>
      <c r="D26611" s="7">
        <v>0.33</v>
      </c>
      <c r="E26611" t="s">
        <v>96</v>
      </c>
    </row>
    <row r="26612" spans="1:5" x14ac:dyDescent="0.25">
      <c r="A26612" t="str">
        <f>HYPERLINK("https://www.773grp.com/globalSearch/NZQA5V6XV5T1/page-1", "NZQA5V6XV5T1")</f>
        <v>NZQA5V6XV5T1</v>
      </c>
      <c r="B26612" s="3" t="s">
        <v>95</v>
      </c>
      <c r="C26612" s="6">
        <v>231540</v>
      </c>
      <c r="D26612" s="7">
        <v>0.33</v>
      </c>
      <c r="E26612" t="s">
        <v>96</v>
      </c>
    </row>
    <row r="26613" spans="1:5" x14ac:dyDescent="0.25">
      <c r="A26613" t="str">
        <f>HYPERLINK("https://www.773grp.com/globalSearch/NZQA5V6XV5T1G/page-1", "NZQA5V6XV5T1G")</f>
        <v>NZQA5V6XV5T1G</v>
      </c>
      <c r="B26613" s="3" t="s">
        <v>95</v>
      </c>
      <c r="C26613" s="6">
        <v>686640</v>
      </c>
      <c r="D26613" s="7">
        <v>0.33</v>
      </c>
      <c r="E26613" t="s">
        <v>96</v>
      </c>
    </row>
    <row r="26614" spans="1:5" x14ac:dyDescent="0.25">
      <c r="A26614" t="str">
        <f>HYPERLINK("https://www.773grp.com/globalSearch/NZQA6V8AXV5T1/page-1", "NZQA6V8AXV5T1")</f>
        <v>NZQA6V8AXV5T1</v>
      </c>
      <c r="B26614" s="3" t="s">
        <v>95</v>
      </c>
      <c r="C26614" s="6">
        <v>131148</v>
      </c>
      <c r="D26614" s="7">
        <v>0.33</v>
      </c>
      <c r="E26614" t="s">
        <v>96</v>
      </c>
    </row>
    <row r="26615" spans="1:5" x14ac:dyDescent="0.25">
      <c r="A26615" t="str">
        <f>HYPERLINK("https://www.773grp.com/globalSearch/NZQA6V8AXV5T2/page-1", "NZQA6V8AXV5T2")</f>
        <v>NZQA6V8AXV5T2</v>
      </c>
      <c r="B26615" s="3" t="s">
        <v>95</v>
      </c>
      <c r="C26615" s="6">
        <v>12000</v>
      </c>
      <c r="D26615" s="7">
        <v>0.33</v>
      </c>
      <c r="E26615" t="s">
        <v>96</v>
      </c>
    </row>
    <row r="26616" spans="1:5" x14ac:dyDescent="0.25">
      <c r="A26616" t="str">
        <f>HYPERLINK("https://www.773grp.com/globalSearch/NZQA6V8XV5T1G/page-1", "NZQA6V8XV5T1G")</f>
        <v>NZQA6V8XV5T1G</v>
      </c>
      <c r="B26616" s="3" t="s">
        <v>95</v>
      </c>
      <c r="C26616" s="6">
        <v>503997</v>
      </c>
      <c r="D26616" s="7">
        <v>0.33</v>
      </c>
      <c r="E26616" t="s">
        <v>96</v>
      </c>
    </row>
    <row r="26617" spans="1:5" x14ac:dyDescent="0.25">
      <c r="A26617" t="str">
        <f>HYPERLINK("https://www.773grp.com/globalSearch/NZQA6V8XV5T2/page-1", "NZQA6V8XV5T2")</f>
        <v>NZQA6V8XV5T2</v>
      </c>
      <c r="B26617" s="3" t="s">
        <v>95</v>
      </c>
      <c r="C26617" s="6">
        <v>36000</v>
      </c>
      <c r="D26617" s="7">
        <v>0.33</v>
      </c>
      <c r="E26617" t="s">
        <v>96</v>
      </c>
    </row>
    <row r="26618" spans="1:5" x14ac:dyDescent="0.25">
      <c r="A26618" t="str">
        <f>HYPERLINK("https://www.773grp.com/globalSearch/P2N2222AG/page-1", "P2N2222AG")</f>
        <v>P2N2222AG</v>
      </c>
      <c r="B26618" s="3" t="s">
        <v>95</v>
      </c>
      <c r="C26618" s="6">
        <v>58000</v>
      </c>
      <c r="D26618" s="7">
        <v>0.33</v>
      </c>
      <c r="E26618" t="s">
        <v>69</v>
      </c>
    </row>
    <row r="26619" spans="1:5" x14ac:dyDescent="0.25">
      <c r="A26619" t="str">
        <f>HYPERLINK("https://www.773grp.com/globalSearch/P6KE82A/page-1", "P6KE82A")</f>
        <v>P6KE82A</v>
      </c>
      <c r="B26619" s="3" t="s">
        <v>95</v>
      </c>
      <c r="C26619" s="6">
        <v>2687</v>
      </c>
      <c r="D26619" s="7">
        <v>0.33</v>
      </c>
      <c r="E26619" t="s">
        <v>96</v>
      </c>
    </row>
    <row r="26620" spans="1:5" x14ac:dyDescent="0.25">
      <c r="A26620" t="str">
        <f>HYPERLINK("https://www.773grp.com/globalSearch/SBAT54ALT3G/page-1", "SBAT54ALT3G")</f>
        <v>SBAT54ALT3G</v>
      </c>
      <c r="B26620" s="3" t="s">
        <v>95</v>
      </c>
      <c r="C26620" s="6">
        <v>30000</v>
      </c>
      <c r="D26620" s="7">
        <v>0.33</v>
      </c>
    </row>
    <row r="26621" spans="1:5" x14ac:dyDescent="0.25">
      <c r="A26621" t="str">
        <f>HYPERLINK("https://www.773grp.com/globalSearch/SBAT54SLT1/page-1", "SBAT54SLT1")</f>
        <v>SBAT54SLT1</v>
      </c>
      <c r="B26621" s="3" t="s">
        <v>95</v>
      </c>
      <c r="C26621" s="6">
        <v>6000</v>
      </c>
      <c r="D26621" s="7">
        <v>0.33</v>
      </c>
    </row>
    <row r="26622" spans="1:5" x14ac:dyDescent="0.25">
      <c r="A26622" t="str">
        <f>HYPERLINK("https://www.773grp.com/globalSearch/SC65896D74R2/page-1", "SC65896D74R2")</f>
        <v>SC65896D74R2</v>
      </c>
      <c r="B26622" s="3" t="s">
        <v>95</v>
      </c>
      <c r="C26622" s="6">
        <v>60385</v>
      </c>
      <c r="D26622" s="7">
        <v>0.33</v>
      </c>
    </row>
    <row r="26623" spans="1:5" x14ac:dyDescent="0.25">
      <c r="A26623" t="str">
        <f>HYPERLINK("https://www.773grp.com/globalSearch/SM05T1/page-1", "SM05T1")</f>
        <v>SM05T1</v>
      </c>
      <c r="B26623" s="3" t="s">
        <v>95</v>
      </c>
      <c r="C26623" s="6">
        <v>24000</v>
      </c>
      <c r="D26623" s="7">
        <v>0.33</v>
      </c>
      <c r="E26623" t="s">
        <v>96</v>
      </c>
    </row>
    <row r="26624" spans="1:5" x14ac:dyDescent="0.25">
      <c r="A26624" t="str">
        <f>HYPERLINK("https://www.773grp.com/globalSearch/SMUN5111T1/page-1", "SMUN5111T1")</f>
        <v>SMUN5111T1</v>
      </c>
      <c r="B26624" s="3" t="s">
        <v>95</v>
      </c>
      <c r="C26624" s="6">
        <v>102000</v>
      </c>
      <c r="D26624" s="7">
        <v>0.33</v>
      </c>
    </row>
    <row r="26625" spans="1:5" x14ac:dyDescent="0.25">
      <c r="A26625" t="str">
        <f>HYPERLINK("https://www.773grp.com/globalSearch/SMUN5116T1/page-1", "SMUN5116T1")</f>
        <v>SMUN5116T1</v>
      </c>
      <c r="B26625" s="3" t="s">
        <v>95</v>
      </c>
      <c r="C26625" s="6">
        <v>66000</v>
      </c>
      <c r="D26625" s="7">
        <v>0.33</v>
      </c>
    </row>
    <row r="26626" spans="1:5" x14ac:dyDescent="0.25">
      <c r="A26626" t="str">
        <f>HYPERLINK("https://www.773grp.com/globalSearch/SMUN5214DW1T1G/page-1", "SMUN5214DW1T1G")</f>
        <v>SMUN5214DW1T1G</v>
      </c>
      <c r="B26626" s="3" t="s">
        <v>95</v>
      </c>
      <c r="C26626" s="6">
        <v>120000</v>
      </c>
      <c r="D26626" s="7">
        <v>0.33</v>
      </c>
    </row>
    <row r="26627" spans="1:5" x14ac:dyDescent="0.25">
      <c r="A26627" t="str">
        <f>HYPERLINK("https://www.773grp.com/globalSearch/SS12T3/page-1", "SS12T3")</f>
        <v>SS12T3</v>
      </c>
      <c r="B26627" s="3" t="s">
        <v>95</v>
      </c>
      <c r="C26627" s="6">
        <v>64785</v>
      </c>
      <c r="D26627" s="7">
        <v>0.33</v>
      </c>
      <c r="E26627" t="s">
        <v>94</v>
      </c>
    </row>
    <row r="26628" spans="1:5" x14ac:dyDescent="0.25">
      <c r="A26628" t="str">
        <f>HYPERLINK("https://www.773grp.com/globalSearch/SS14T3/page-1", "SS14T3")</f>
        <v>SS14T3</v>
      </c>
      <c r="B26628" s="3" t="s">
        <v>95</v>
      </c>
      <c r="C26628" s="6">
        <v>6101</v>
      </c>
      <c r="D26628" s="7">
        <v>0.33</v>
      </c>
      <c r="E26628" t="s">
        <v>94</v>
      </c>
    </row>
    <row r="26629" spans="1:5" x14ac:dyDescent="0.25">
      <c r="A26629" t="str">
        <f>HYPERLINK("https://www.773grp.com/globalSearch/SS14T3G/page-1", "SS14T3G")</f>
        <v>SS14T3G</v>
      </c>
      <c r="B26629" s="3" t="s">
        <v>95</v>
      </c>
      <c r="C26629" s="6">
        <v>18000</v>
      </c>
      <c r="D26629" s="7">
        <v>0.33</v>
      </c>
      <c r="E26629" t="s">
        <v>94</v>
      </c>
    </row>
    <row r="26630" spans="1:5" x14ac:dyDescent="0.25">
      <c r="A26630" t="str">
        <f>HYPERLINK("https://www.773grp.com/globalSearch/SS16T3/page-1", "SS16T3")</f>
        <v>SS16T3</v>
      </c>
      <c r="B26630" s="3" t="s">
        <v>95</v>
      </c>
      <c r="C26630" s="6">
        <v>460000</v>
      </c>
      <c r="D26630" s="7">
        <v>0.33</v>
      </c>
      <c r="E26630" t="s">
        <v>94</v>
      </c>
    </row>
    <row r="26631" spans="1:5" x14ac:dyDescent="0.25">
      <c r="A26631" t="str">
        <f>HYPERLINK("https://www.773grp.com/globalSearch/SS22T3/page-1", "SS22T3")</f>
        <v>SS22T3</v>
      </c>
      <c r="B26631" s="3" t="s">
        <v>95</v>
      </c>
      <c r="C26631" s="6">
        <v>301500</v>
      </c>
      <c r="D26631" s="7">
        <v>0.33</v>
      </c>
      <c r="E26631" t="s">
        <v>103</v>
      </c>
    </row>
    <row r="26632" spans="1:5" x14ac:dyDescent="0.25">
      <c r="A26632" t="str">
        <f>HYPERLINK("https://www.773grp.com/globalSearch/SS24T3/page-1", "SS24T3")</f>
        <v>SS24T3</v>
      </c>
      <c r="B26632" s="3" t="s">
        <v>95</v>
      </c>
      <c r="C26632" s="6">
        <v>436270</v>
      </c>
      <c r="D26632" s="7">
        <v>0.33</v>
      </c>
      <c r="E26632" t="s">
        <v>103</v>
      </c>
    </row>
    <row r="26633" spans="1:5" x14ac:dyDescent="0.25">
      <c r="A26633" t="str">
        <f>HYPERLINK("https://www.773grp.com/globalSearch/SS26T3/page-1", "SS26T3")</f>
        <v>SS26T3</v>
      </c>
      <c r="B26633" s="3" t="s">
        <v>95</v>
      </c>
      <c r="C26633" s="6">
        <v>10855</v>
      </c>
      <c r="D26633" s="7">
        <v>0.33</v>
      </c>
      <c r="E26633" t="s">
        <v>103</v>
      </c>
    </row>
    <row r="26634" spans="1:5" x14ac:dyDescent="0.25">
      <c r="A26634" t="str">
        <f>HYPERLINK("https://www.773grp.com/globalSearch/SURS5630-2T3/page-1", "SURS5630-2T3")</f>
        <v>SURS5630-2T3</v>
      </c>
      <c r="B26634" s="3" t="s">
        <v>95</v>
      </c>
      <c r="C26634" s="6">
        <v>87500</v>
      </c>
      <c r="D26634" s="7">
        <v>0.33</v>
      </c>
    </row>
    <row r="26635" spans="1:5" x14ac:dyDescent="0.25">
      <c r="A26635" t="str">
        <f>HYPERLINK("https://www.773grp.com/globalSearch/SZ2113RL/page-1", "SZ2113RL")</f>
        <v>SZ2113RL</v>
      </c>
      <c r="B26635" s="3" t="s">
        <v>95</v>
      </c>
      <c r="C26635" s="6">
        <v>6000</v>
      </c>
      <c r="D26635" s="7">
        <v>0.33</v>
      </c>
    </row>
    <row r="26636" spans="1:5" x14ac:dyDescent="0.25">
      <c r="A26636" t="str">
        <f>HYPERLINK("https://www.773grp.com/globalSearch/SZ2660-3RL/page-1", "SZ2660-3RL")</f>
        <v>SZ2660-3RL</v>
      </c>
      <c r="B26636" s="3" t="s">
        <v>95</v>
      </c>
      <c r="C26636" s="6">
        <v>200</v>
      </c>
      <c r="D26636" s="7">
        <v>0.33</v>
      </c>
    </row>
    <row r="26637" spans="1:5" x14ac:dyDescent="0.25">
      <c r="A26637" t="str">
        <f>HYPERLINK("https://www.773grp.com/globalSearch/SZ2776-3RL/page-1", "SZ2776-3RL")</f>
        <v>SZ2776-3RL</v>
      </c>
      <c r="B26637" s="3" t="s">
        <v>95</v>
      </c>
      <c r="C26637" s="6">
        <v>6000</v>
      </c>
      <c r="D26637" s="7">
        <v>0.33</v>
      </c>
    </row>
    <row r="26638" spans="1:5" x14ac:dyDescent="0.25">
      <c r="A26638" t="str">
        <f>HYPERLINK("https://www.773grp.com/globalSearch/SZMMBZ27VAWT1G/page-1", "SZMMBZ27VAWT1G")</f>
        <v>SZMMBZ27VAWT1G</v>
      </c>
      <c r="B26638" s="3" t="s">
        <v>95</v>
      </c>
      <c r="C26638" s="6">
        <v>3000</v>
      </c>
      <c r="D26638" s="7">
        <v>0.33</v>
      </c>
    </row>
    <row r="26639" spans="1:5" x14ac:dyDescent="0.25">
      <c r="A26639" t="str">
        <f>HYPERLINK("https://www.773grp.com/globalSearch/SZMMQA5V6T1G/page-1", "SZMMQA5V6T1G")</f>
        <v>SZMMQA5V6T1G</v>
      </c>
      <c r="B26639" s="3" t="s">
        <v>95</v>
      </c>
      <c r="C26639" s="6">
        <v>27000</v>
      </c>
      <c r="D26639" s="7">
        <v>0.33</v>
      </c>
    </row>
    <row r="26640" spans="1:5" x14ac:dyDescent="0.25">
      <c r="A26640" t="str">
        <f>HYPERLINK("https://www.773grp.com/globalSearch/SZMMSZ5255ET1G/page-1", "SZMMSZ5255ET1G")</f>
        <v>SZMMSZ5255ET1G</v>
      </c>
      <c r="B26640" s="3" t="s">
        <v>95</v>
      </c>
      <c r="C26640" s="6">
        <v>21000</v>
      </c>
      <c r="D26640" s="7">
        <v>0.33</v>
      </c>
    </row>
    <row r="26641" spans="1:5" x14ac:dyDescent="0.25">
      <c r="A26641" t="str">
        <f>HYPERLINK("https://www.773grp.com/globalSearch/SZP30390-5RL/page-1", "SZP30390-5RL")</f>
        <v>SZP30390-5RL</v>
      </c>
      <c r="B26641" s="3" t="s">
        <v>95</v>
      </c>
      <c r="C26641" s="6">
        <v>12000</v>
      </c>
      <c r="D26641" s="7">
        <v>0.33</v>
      </c>
    </row>
    <row r="26642" spans="1:5" x14ac:dyDescent="0.25">
      <c r="A26642" t="str">
        <f>HYPERLINK("https://www.773grp.com/globalSearch/UMC3NT1G/page-1", "UMC3NT1G")</f>
        <v>UMC3NT1G</v>
      </c>
      <c r="B26642" s="3" t="s">
        <v>95</v>
      </c>
      <c r="C26642" s="6">
        <v>24000</v>
      </c>
      <c r="D26642" s="7">
        <v>0.33</v>
      </c>
      <c r="E26642" t="s">
        <v>69</v>
      </c>
    </row>
    <row r="26643" spans="1:5" x14ac:dyDescent="0.25">
      <c r="A26643" t="str">
        <f>HYPERLINK("https://www.773grp.com/globalSearch/UMC5NT1G/page-1", "UMC5NT1G")</f>
        <v>UMC5NT1G</v>
      </c>
      <c r="B26643" s="3" t="s">
        <v>95</v>
      </c>
      <c r="C26643" s="6">
        <v>804000</v>
      </c>
      <c r="D26643" s="7">
        <v>0.33</v>
      </c>
      <c r="E26643" t="s">
        <v>69</v>
      </c>
    </row>
    <row r="26644" spans="1:5" x14ac:dyDescent="0.25">
      <c r="A26644" t="str">
        <f>HYPERLINK("https://www.773grp.com/globalSearch/VN2222LLRLRA/page-1", "VN2222LLRLRA")</f>
        <v>VN2222LLRLRA</v>
      </c>
      <c r="B26644" s="3" t="s">
        <v>95</v>
      </c>
      <c r="C26644" s="6">
        <v>18000</v>
      </c>
      <c r="D26644" s="7">
        <v>0.33</v>
      </c>
      <c r="E26644" t="s">
        <v>106</v>
      </c>
    </row>
    <row r="26645" spans="1:5" x14ac:dyDescent="0.25">
      <c r="A26645" t="str">
        <f>HYPERLINK("https://www.773grp.com/globalSearch/1N5400G/page-1", "1N5400G")</f>
        <v>1N5400G</v>
      </c>
      <c r="B26645" s="3" t="s">
        <v>95</v>
      </c>
      <c r="C26645" s="6">
        <v>24571</v>
      </c>
      <c r="D26645" s="7">
        <v>0.38</v>
      </c>
      <c r="E26645" t="s">
        <v>103</v>
      </c>
    </row>
    <row r="26646" spans="1:5" x14ac:dyDescent="0.25">
      <c r="A26646" t="str">
        <f>HYPERLINK("https://www.773grp.com/globalSearch/1N5400RLG/page-1", "1N5400RLG")</f>
        <v>1N5400RLG</v>
      </c>
      <c r="B26646" s="3" t="s">
        <v>95</v>
      </c>
      <c r="C26646" s="6">
        <v>113504</v>
      </c>
      <c r="D26646" s="7">
        <v>0.38</v>
      </c>
      <c r="E26646" t="s">
        <v>103</v>
      </c>
    </row>
    <row r="26647" spans="1:5" x14ac:dyDescent="0.25">
      <c r="A26647" t="str">
        <f>HYPERLINK("https://www.773grp.com/globalSearch/1N5401G/page-1", "1N5401G")</f>
        <v>1N5401G</v>
      </c>
      <c r="B26647" s="3" t="s">
        <v>95</v>
      </c>
      <c r="C26647" s="6">
        <v>54690</v>
      </c>
      <c r="D26647" s="7">
        <v>0.38</v>
      </c>
      <c r="E26647" t="s">
        <v>103</v>
      </c>
    </row>
    <row r="26648" spans="1:5" x14ac:dyDescent="0.25">
      <c r="A26648" t="str">
        <f>HYPERLINK("https://www.773grp.com/globalSearch/1N5401RLG/page-1", "1N5401RLG")</f>
        <v>1N5401RLG</v>
      </c>
      <c r="B26648" s="3" t="s">
        <v>95</v>
      </c>
      <c r="C26648" s="6">
        <v>88634</v>
      </c>
      <c r="D26648" s="7">
        <v>0.38</v>
      </c>
      <c r="E26648" t="s">
        <v>103</v>
      </c>
    </row>
    <row r="26649" spans="1:5" x14ac:dyDescent="0.25">
      <c r="A26649" t="str">
        <f>HYPERLINK("https://www.773grp.com/globalSearch/1N5402G/page-1", "1N5402G")</f>
        <v>1N5402G</v>
      </c>
      <c r="B26649" s="3" t="s">
        <v>95</v>
      </c>
      <c r="C26649" s="6">
        <v>20487</v>
      </c>
      <c r="D26649" s="7">
        <v>0.38</v>
      </c>
      <c r="E26649" t="s">
        <v>103</v>
      </c>
    </row>
    <row r="26650" spans="1:5" x14ac:dyDescent="0.25">
      <c r="A26650" t="str">
        <f>HYPERLINK("https://www.773grp.com/globalSearch/1N5402RLG/page-1", "1N5402RLG")</f>
        <v>1N5402RLG</v>
      </c>
      <c r="B26650" s="3" t="s">
        <v>95</v>
      </c>
      <c r="C26650" s="6">
        <v>49057</v>
      </c>
      <c r="D26650" s="7">
        <v>0.38</v>
      </c>
      <c r="E26650" t="s">
        <v>103</v>
      </c>
    </row>
    <row r="26651" spans="1:5" x14ac:dyDescent="0.25">
      <c r="A26651" t="str">
        <f>HYPERLINK("https://www.773grp.com/globalSearch/1N5404G/page-1", "1N5404G")</f>
        <v>1N5404G</v>
      </c>
      <c r="B26651" s="3" t="s">
        <v>95</v>
      </c>
      <c r="C26651" s="6">
        <v>40996</v>
      </c>
      <c r="D26651" s="7">
        <v>0.38</v>
      </c>
      <c r="E26651" t="s">
        <v>103</v>
      </c>
    </row>
    <row r="26652" spans="1:5" x14ac:dyDescent="0.25">
      <c r="A26652" t="str">
        <f>HYPERLINK("https://www.773grp.com/globalSearch/1N5404RLG/page-1", "1N5404RLG")</f>
        <v>1N5404RLG</v>
      </c>
      <c r="B26652" s="3" t="s">
        <v>95</v>
      </c>
      <c r="C26652" s="6">
        <v>292624</v>
      </c>
      <c r="D26652" s="7">
        <v>0.38</v>
      </c>
      <c r="E26652" t="s">
        <v>103</v>
      </c>
    </row>
    <row r="26653" spans="1:5" x14ac:dyDescent="0.25">
      <c r="A26653" t="str">
        <f>HYPERLINK("https://www.773grp.com/globalSearch/1N5406G/page-1", "1N5406G")</f>
        <v>1N5406G</v>
      </c>
      <c r="B26653" s="3" t="s">
        <v>95</v>
      </c>
      <c r="C26653" s="6">
        <v>2150</v>
      </c>
      <c r="D26653" s="7">
        <v>0.38</v>
      </c>
      <c r="E26653" t="s">
        <v>103</v>
      </c>
    </row>
    <row r="26654" spans="1:5" x14ac:dyDescent="0.25">
      <c r="A26654" t="str">
        <f>HYPERLINK("https://www.773grp.com/globalSearch/1N5406RLG/page-1", "1N5406RLG")</f>
        <v>1N5406RLG</v>
      </c>
      <c r="B26654" s="3" t="s">
        <v>95</v>
      </c>
      <c r="C26654" s="6">
        <v>60091</v>
      </c>
      <c r="D26654" s="7">
        <v>0.38</v>
      </c>
      <c r="E26654" t="s">
        <v>103</v>
      </c>
    </row>
    <row r="26655" spans="1:5" x14ac:dyDescent="0.25">
      <c r="A26655" t="str">
        <f>HYPERLINK("https://www.773grp.com/globalSearch/1N5407RLG/page-1", "1N5407RLG")</f>
        <v>1N5407RLG</v>
      </c>
      <c r="B26655" s="3" t="s">
        <v>95</v>
      </c>
      <c r="C26655" s="6">
        <v>14400</v>
      </c>
      <c r="D26655" s="7">
        <v>0.38</v>
      </c>
      <c r="E26655" t="s">
        <v>103</v>
      </c>
    </row>
    <row r="26656" spans="1:5" x14ac:dyDescent="0.25">
      <c r="A26656" t="str">
        <f>HYPERLINK("https://www.773grp.com/globalSearch/1N5408G/page-1", "1N5408G")</f>
        <v>1N5408G</v>
      </c>
      <c r="B26656" s="3" t="s">
        <v>95</v>
      </c>
      <c r="C26656" s="6">
        <v>25415</v>
      </c>
      <c r="D26656" s="7">
        <v>0.38</v>
      </c>
      <c r="E26656" t="s">
        <v>103</v>
      </c>
    </row>
    <row r="26657" spans="1:5" x14ac:dyDescent="0.25">
      <c r="A26657" t="str">
        <f>HYPERLINK("https://www.773grp.com/globalSearch/1N5408RLG/page-1", "1N5408RLG")</f>
        <v>1N5408RLG</v>
      </c>
      <c r="B26657" s="3" t="s">
        <v>95</v>
      </c>
      <c r="C26657" s="6">
        <v>277640</v>
      </c>
      <c r="D26657" s="7">
        <v>0.38</v>
      </c>
      <c r="E26657" t="s">
        <v>103</v>
      </c>
    </row>
    <row r="26658" spans="1:5" x14ac:dyDescent="0.25">
      <c r="A26658" t="str">
        <f>HYPERLINK("https://www.773grp.com/globalSearch/1N5820/page-1", "1N5820")</f>
        <v>1N5820</v>
      </c>
      <c r="B26658" s="3" t="s">
        <v>95</v>
      </c>
      <c r="C26658" s="6">
        <v>7016</v>
      </c>
      <c r="D26658" s="7">
        <v>0.38</v>
      </c>
      <c r="E26658" t="s">
        <v>103</v>
      </c>
    </row>
    <row r="26659" spans="1:5" x14ac:dyDescent="0.25">
      <c r="A26659" t="str">
        <f>HYPERLINK("https://www.773grp.com/globalSearch/1N5820RL/page-1", "1N5820RL")</f>
        <v>1N5820RL</v>
      </c>
      <c r="B26659" s="3" t="s">
        <v>95</v>
      </c>
      <c r="C26659" s="6">
        <v>4500</v>
      </c>
      <c r="D26659" s="7">
        <v>0.38</v>
      </c>
      <c r="E26659" t="s">
        <v>103</v>
      </c>
    </row>
    <row r="26660" spans="1:5" x14ac:dyDescent="0.25">
      <c r="A26660" t="str">
        <f>HYPERLINK("https://www.773grp.com/globalSearch/1N5821/page-1", "1N5821")</f>
        <v>1N5821</v>
      </c>
      <c r="B26660" s="3" t="s">
        <v>95</v>
      </c>
      <c r="C26660" s="6">
        <v>7202</v>
      </c>
      <c r="D26660" s="7">
        <v>0.38</v>
      </c>
      <c r="E26660" t="s">
        <v>103</v>
      </c>
    </row>
    <row r="26661" spans="1:5" x14ac:dyDescent="0.25">
      <c r="A26661" t="str">
        <f>HYPERLINK("https://www.773grp.com/globalSearch/1N5822/page-1", "1N5822")</f>
        <v>1N5822</v>
      </c>
      <c r="B26661" s="3" t="s">
        <v>95</v>
      </c>
      <c r="C26661" s="6">
        <v>42984</v>
      </c>
      <c r="D26661" s="7">
        <v>0.38</v>
      </c>
      <c r="E26661" t="s">
        <v>103</v>
      </c>
    </row>
    <row r="26662" spans="1:5" x14ac:dyDescent="0.25">
      <c r="A26662" t="str">
        <f>HYPERLINK("https://www.773grp.com/globalSearch/1N5822RL/page-1", "1N5822RL")</f>
        <v>1N5822RL</v>
      </c>
      <c r="B26662" s="3" t="s">
        <v>95</v>
      </c>
      <c r="C26662" s="6">
        <v>3708</v>
      </c>
      <c r="D26662" s="7">
        <v>0.38</v>
      </c>
      <c r="E26662" t="s">
        <v>103</v>
      </c>
    </row>
    <row r="26663" spans="1:5" x14ac:dyDescent="0.25">
      <c r="A26663" t="str">
        <f>HYPERLINK("https://www.773grp.com/globalSearch/1N5921BG/page-1", "1N5921BG")</f>
        <v>1N5921BG</v>
      </c>
      <c r="B26663" s="3" t="s">
        <v>95</v>
      </c>
      <c r="C26663" s="6">
        <v>9000</v>
      </c>
      <c r="D26663" s="7">
        <v>0.38</v>
      </c>
      <c r="E26663" t="s">
        <v>98</v>
      </c>
    </row>
    <row r="26664" spans="1:5" x14ac:dyDescent="0.25">
      <c r="A26664" t="str">
        <f>HYPERLINK("https://www.773grp.com/globalSearch/1N5929BRNG/page-1", "1N5929BRNG")</f>
        <v>1N5929BRNG</v>
      </c>
      <c r="B26664" s="3" t="s">
        <v>95</v>
      </c>
      <c r="C26664" s="6">
        <v>150000</v>
      </c>
      <c r="D26664" s="7">
        <v>0.38</v>
      </c>
    </row>
    <row r="26665" spans="1:5" x14ac:dyDescent="0.25">
      <c r="A26665" t="str">
        <f>HYPERLINK("https://www.773grp.com/globalSearch/1N5932BRLG/page-1", "1N5932BRLG")</f>
        <v>1N5932BRLG</v>
      </c>
      <c r="B26665" s="3" t="s">
        <v>95</v>
      </c>
      <c r="C26665" s="6">
        <v>359335</v>
      </c>
      <c r="D26665" s="7">
        <v>0.38</v>
      </c>
      <c r="E26665" t="s">
        <v>98</v>
      </c>
    </row>
    <row r="26666" spans="1:5" x14ac:dyDescent="0.25">
      <c r="A26666" t="str">
        <f>HYPERLINK("https://www.773grp.com/globalSearch/1N5952BRLG/page-1", "1N5952BRLG")</f>
        <v>1N5952BRLG</v>
      </c>
      <c r="B26666" s="3" t="s">
        <v>95</v>
      </c>
      <c r="C26666" s="6">
        <v>6459</v>
      </c>
      <c r="D26666" s="7">
        <v>0.38</v>
      </c>
    </row>
    <row r="26667" spans="1:5" x14ac:dyDescent="0.25">
      <c r="A26667" t="str">
        <f>HYPERLINK("https://www.773grp.com/globalSearch/1N5993D/page-1", "1N5993D")</f>
        <v>1N5993D</v>
      </c>
      <c r="B26667" s="3" t="s">
        <v>95</v>
      </c>
      <c r="C26667" s="6">
        <v>57447</v>
      </c>
      <c r="D26667" s="7">
        <v>0.38</v>
      </c>
      <c r="E26667" t="s">
        <v>98</v>
      </c>
    </row>
    <row r="26668" spans="1:5" x14ac:dyDescent="0.25">
      <c r="A26668" t="str">
        <f>HYPERLINK("https://www.773grp.com/globalSearch/1N5993DRL/page-1", "1N5993DRL")</f>
        <v>1N5993DRL</v>
      </c>
      <c r="B26668" s="3" t="s">
        <v>95</v>
      </c>
      <c r="C26668" s="6">
        <v>38400</v>
      </c>
      <c r="D26668" s="7">
        <v>0.38</v>
      </c>
      <c r="E26668" t="s">
        <v>98</v>
      </c>
    </row>
    <row r="26669" spans="1:5" x14ac:dyDescent="0.25">
      <c r="A26669" t="str">
        <f>HYPERLINK("https://www.773grp.com/globalSearch/1PMT12AT3/page-1", "1PMT12AT3")</f>
        <v>1PMT12AT3</v>
      </c>
      <c r="B26669" s="3" t="s">
        <v>95</v>
      </c>
      <c r="C26669" s="6">
        <v>24000</v>
      </c>
      <c r="D26669" s="7">
        <v>0.38</v>
      </c>
      <c r="E26669" t="s">
        <v>96</v>
      </c>
    </row>
    <row r="26670" spans="1:5" x14ac:dyDescent="0.25">
      <c r="A26670" t="str">
        <f>HYPERLINK("https://www.773grp.com/globalSearch/1PMT16AT1G/page-1", "1PMT16AT1G")</f>
        <v>1PMT16AT1G</v>
      </c>
      <c r="B26670" s="3" t="s">
        <v>95</v>
      </c>
      <c r="C26670" s="6">
        <v>12000</v>
      </c>
      <c r="D26670" s="7">
        <v>0.38</v>
      </c>
      <c r="E26670" t="s">
        <v>96</v>
      </c>
    </row>
    <row r="26671" spans="1:5" x14ac:dyDescent="0.25">
      <c r="A26671" t="str">
        <f>HYPERLINK("https://www.773grp.com/globalSearch/1PMT22AT1G/page-1", "1PMT22AT1G")</f>
        <v>1PMT22AT1G</v>
      </c>
      <c r="B26671" s="3" t="s">
        <v>95</v>
      </c>
      <c r="C26671" s="6">
        <v>2965</v>
      </c>
      <c r="D26671" s="7">
        <v>0.38</v>
      </c>
      <c r="E26671" t="s">
        <v>96</v>
      </c>
    </row>
    <row r="26672" spans="1:5" x14ac:dyDescent="0.25">
      <c r="A26672" t="str">
        <f>HYPERLINK("https://www.773grp.com/globalSearch/1PMT26AT1/page-1", "1PMT26AT1")</f>
        <v>1PMT26AT1</v>
      </c>
      <c r="B26672" s="3" t="s">
        <v>95</v>
      </c>
      <c r="C26672" s="6">
        <v>20830</v>
      </c>
      <c r="D26672" s="7">
        <v>0.38</v>
      </c>
      <c r="E26672" t="s">
        <v>96</v>
      </c>
    </row>
    <row r="26673" spans="1:5" x14ac:dyDescent="0.25">
      <c r="A26673" t="str">
        <f>HYPERLINK("https://www.773grp.com/globalSearch/1PMT26AT1G/page-1", "1PMT26AT1G")</f>
        <v>1PMT26AT1G</v>
      </c>
      <c r="B26673" s="3" t="s">
        <v>95</v>
      </c>
      <c r="C26673" s="6">
        <v>5986</v>
      </c>
      <c r="D26673" s="7">
        <v>0.38</v>
      </c>
      <c r="E26673" t="s">
        <v>96</v>
      </c>
    </row>
    <row r="26674" spans="1:5" x14ac:dyDescent="0.25">
      <c r="A26674" t="str">
        <f>HYPERLINK("https://www.773grp.com/globalSearch/1PMT28AT1/page-1", "1PMT28AT1")</f>
        <v>1PMT28AT1</v>
      </c>
      <c r="B26674" s="3" t="s">
        <v>95</v>
      </c>
      <c r="C26674" s="6">
        <v>12000</v>
      </c>
      <c r="D26674" s="7">
        <v>0.38</v>
      </c>
      <c r="E26674" t="s">
        <v>96</v>
      </c>
    </row>
    <row r="26675" spans="1:5" x14ac:dyDescent="0.25">
      <c r="A26675" t="str">
        <f>HYPERLINK("https://www.773grp.com/globalSearch/1PMT33AT1/page-1", "1PMT33AT1")</f>
        <v>1PMT33AT1</v>
      </c>
      <c r="B26675" s="3" t="s">
        <v>95</v>
      </c>
      <c r="C26675" s="6">
        <v>5850</v>
      </c>
      <c r="D26675" s="7">
        <v>0.38</v>
      </c>
      <c r="E26675" t="s">
        <v>96</v>
      </c>
    </row>
    <row r="26676" spans="1:5" x14ac:dyDescent="0.25">
      <c r="A26676" t="str">
        <f>HYPERLINK("https://www.773grp.com/globalSearch/1PMT5.0AT1/page-1", "1PMT5.0AT1")</f>
        <v>1PMT5.0AT1</v>
      </c>
      <c r="B26676" s="3" t="s">
        <v>95</v>
      </c>
      <c r="C26676" s="6">
        <v>2730</v>
      </c>
      <c r="D26676" s="7">
        <v>0.38</v>
      </c>
      <c r="E26676" t="s">
        <v>96</v>
      </c>
    </row>
    <row r="26677" spans="1:5" x14ac:dyDescent="0.25">
      <c r="A26677" t="str">
        <f>HYPERLINK("https://www.773grp.com/globalSearch/1PMT58AT1/page-1", "1PMT58AT1")</f>
        <v>1PMT58AT1</v>
      </c>
      <c r="B26677" s="3" t="s">
        <v>95</v>
      </c>
      <c r="C26677" s="6">
        <v>8444</v>
      </c>
      <c r="D26677" s="7">
        <v>0.38</v>
      </c>
      <c r="E26677" t="s">
        <v>96</v>
      </c>
    </row>
    <row r="26678" spans="1:5" x14ac:dyDescent="0.25">
      <c r="A26678" t="str">
        <f>HYPERLINK("https://www.773grp.com/globalSearch/1PMT5924BT1/page-1", "1PMT5924BT1")</f>
        <v>1PMT5924BT1</v>
      </c>
      <c r="B26678" s="3" t="s">
        <v>95</v>
      </c>
      <c r="C26678" s="6">
        <v>2912</v>
      </c>
      <c r="D26678" s="7">
        <v>0.38</v>
      </c>
      <c r="E26678" t="s">
        <v>98</v>
      </c>
    </row>
    <row r="26679" spans="1:5" x14ac:dyDescent="0.25">
      <c r="A26679" t="str">
        <f>HYPERLINK("https://www.773grp.com/globalSearch/1PMT5925BT1/page-1", "1PMT5925BT1")</f>
        <v>1PMT5925BT1</v>
      </c>
      <c r="B26679" s="3" t="s">
        <v>95</v>
      </c>
      <c r="C26679" s="6">
        <v>1663</v>
      </c>
      <c r="D26679" s="7">
        <v>0.38</v>
      </c>
      <c r="E26679" t="s">
        <v>98</v>
      </c>
    </row>
    <row r="26680" spans="1:5" x14ac:dyDescent="0.25">
      <c r="A26680" t="str">
        <f>HYPERLINK("https://www.773grp.com/globalSearch/1PMT5927BT1/page-1", "1PMT5927BT1")</f>
        <v>1PMT5927BT1</v>
      </c>
      <c r="B26680" s="3" t="s">
        <v>95</v>
      </c>
      <c r="C26680" s="6">
        <v>2009</v>
      </c>
      <c r="D26680" s="7">
        <v>0.38</v>
      </c>
      <c r="E26680" t="s">
        <v>98</v>
      </c>
    </row>
    <row r="26681" spans="1:5" x14ac:dyDescent="0.25">
      <c r="A26681" t="str">
        <f>HYPERLINK("https://www.773grp.com/globalSearch/1PMT5930BT1/page-1", "1PMT5930BT1")</f>
        <v>1PMT5930BT1</v>
      </c>
      <c r="B26681" s="3" t="s">
        <v>95</v>
      </c>
      <c r="C26681" s="6">
        <v>6000</v>
      </c>
      <c r="D26681" s="7">
        <v>0.38</v>
      </c>
      <c r="E26681" t="s">
        <v>98</v>
      </c>
    </row>
    <row r="26682" spans="1:5" x14ac:dyDescent="0.25">
      <c r="A26682" t="str">
        <f>HYPERLINK("https://www.773grp.com/globalSearch/1PMT5933BT1/page-1", "1PMT5933BT1")</f>
        <v>1PMT5933BT1</v>
      </c>
      <c r="B26682" s="3" t="s">
        <v>95</v>
      </c>
      <c r="C26682" s="6">
        <v>2820</v>
      </c>
      <c r="D26682" s="7">
        <v>0.38</v>
      </c>
      <c r="E26682" t="s">
        <v>98</v>
      </c>
    </row>
    <row r="26683" spans="1:5" x14ac:dyDescent="0.25">
      <c r="A26683" t="str">
        <f>HYPERLINK("https://www.773grp.com/globalSearch/1PMT5934BT1/page-1", "1PMT5934BT1")</f>
        <v>1PMT5934BT1</v>
      </c>
      <c r="B26683" s="3" t="s">
        <v>95</v>
      </c>
      <c r="C26683" s="6">
        <v>5935</v>
      </c>
      <c r="D26683" s="7">
        <v>0.38</v>
      </c>
      <c r="E26683" t="s">
        <v>98</v>
      </c>
    </row>
    <row r="26684" spans="1:5" x14ac:dyDescent="0.25">
      <c r="A26684" t="str">
        <f>HYPERLINK("https://www.773grp.com/globalSearch/1PMT5936BT1/page-1", "1PMT5936BT1")</f>
        <v>1PMT5936BT1</v>
      </c>
      <c r="B26684" s="3" t="s">
        <v>95</v>
      </c>
      <c r="C26684" s="6">
        <v>3000</v>
      </c>
      <c r="D26684" s="7">
        <v>0.38</v>
      </c>
      <c r="E26684" t="s">
        <v>98</v>
      </c>
    </row>
    <row r="26685" spans="1:5" x14ac:dyDescent="0.25">
      <c r="A26685" t="str">
        <f>HYPERLINK("https://www.773grp.com/globalSearch/1PMT5936BT1G/page-1", "1PMT5936BT1G")</f>
        <v>1PMT5936BT1G</v>
      </c>
      <c r="B26685" s="3" t="s">
        <v>95</v>
      </c>
      <c r="C26685" s="6">
        <v>3000</v>
      </c>
      <c r="D26685" s="7">
        <v>0.38</v>
      </c>
      <c r="E26685" t="s">
        <v>98</v>
      </c>
    </row>
    <row r="26686" spans="1:5" x14ac:dyDescent="0.25">
      <c r="A26686" t="str">
        <f>HYPERLINK("https://www.773grp.com/globalSearch/1PMT5941BT1/page-1", "1PMT5941BT1")</f>
        <v>1PMT5941BT1</v>
      </c>
      <c r="B26686" s="3" t="s">
        <v>95</v>
      </c>
      <c r="C26686" s="6">
        <v>5895</v>
      </c>
      <c r="D26686" s="7">
        <v>0.38</v>
      </c>
      <c r="E26686" t="s">
        <v>98</v>
      </c>
    </row>
    <row r="26687" spans="1:5" x14ac:dyDescent="0.25">
      <c r="A26687" t="str">
        <f>HYPERLINK("https://www.773grp.com/globalSearch/1PMT7.0AT1/page-1", "1PMT7.0AT1")</f>
        <v>1PMT7.0AT1</v>
      </c>
      <c r="B26687" s="3" t="s">
        <v>95</v>
      </c>
      <c r="C26687" s="6">
        <v>2240</v>
      </c>
      <c r="D26687" s="7">
        <v>0.38</v>
      </c>
      <c r="E26687" t="s">
        <v>96</v>
      </c>
    </row>
    <row r="26688" spans="1:5" x14ac:dyDescent="0.25">
      <c r="A26688" t="str">
        <f>HYPERLINK("https://www.773grp.com/globalSearch/1PMT7.0AT3G/page-1", "1PMT7.0AT3G")</f>
        <v>1PMT7.0AT3G</v>
      </c>
      <c r="B26688" s="3" t="s">
        <v>95</v>
      </c>
      <c r="C26688" s="6">
        <v>24000</v>
      </c>
      <c r="D26688" s="7">
        <v>0.38</v>
      </c>
      <c r="E26688" t="s">
        <v>96</v>
      </c>
    </row>
    <row r="26689" spans="1:5" x14ac:dyDescent="0.25">
      <c r="A26689" t="str">
        <f>HYPERLINK("https://www.773grp.com/globalSearch/1SMF16BT3/page-1", "1SMF16BT3")</f>
        <v>1SMF16BT3</v>
      </c>
      <c r="B26689" s="3" t="s">
        <v>95</v>
      </c>
      <c r="C26689" s="6">
        <v>570000</v>
      </c>
      <c r="D26689" s="7">
        <v>0.38</v>
      </c>
      <c r="E26689" t="s">
        <v>96</v>
      </c>
    </row>
    <row r="26690" spans="1:5" x14ac:dyDescent="0.25">
      <c r="A26690" t="str">
        <f>HYPERLINK("https://www.773grp.com/globalSearch/2N5061RLRA/page-1", "2N5061RLRA")</f>
        <v>2N5061RLRA</v>
      </c>
      <c r="B26690" s="3" t="s">
        <v>95</v>
      </c>
      <c r="C26690" s="6">
        <v>2000</v>
      </c>
      <c r="D26690" s="7">
        <v>0.38</v>
      </c>
      <c r="E26690" t="s">
        <v>97</v>
      </c>
    </row>
    <row r="26691" spans="1:5" x14ac:dyDescent="0.25">
      <c r="A26691" t="str">
        <f>HYPERLINK("https://www.773grp.com/globalSearch/2N5064/page-1", "2N5064")</f>
        <v>2N5064</v>
      </c>
      <c r="B26691" s="3" t="s">
        <v>95</v>
      </c>
      <c r="C26691" s="6">
        <v>387925</v>
      </c>
      <c r="D26691" s="7">
        <v>0.38</v>
      </c>
      <c r="E26691" t="s">
        <v>97</v>
      </c>
    </row>
    <row r="26692" spans="1:5" x14ac:dyDescent="0.25">
      <c r="A26692" t="str">
        <f>HYPERLINK("https://www.773grp.com/globalSearch/2N5210/page-1", "2N5210")</f>
        <v>2N5210</v>
      </c>
      <c r="B26692" s="3" t="s">
        <v>95</v>
      </c>
      <c r="C26692" s="6">
        <v>30224</v>
      </c>
      <c r="D26692" s="7">
        <v>0.38</v>
      </c>
      <c r="E26692" t="s">
        <v>69</v>
      </c>
    </row>
    <row r="26693" spans="1:5" x14ac:dyDescent="0.25">
      <c r="A26693" t="str">
        <f>HYPERLINK("https://www.773grp.com/globalSearch/3LP01S-K-TL-E/page-1", "3LP01S-K-TL-E")</f>
        <v>3LP01S-K-TL-E</v>
      </c>
      <c r="B26693" s="3" t="s">
        <v>95</v>
      </c>
      <c r="C26693" s="6">
        <v>138000</v>
      </c>
      <c r="D26693" s="7">
        <v>0.38</v>
      </c>
    </row>
    <row r="26694" spans="1:5" x14ac:dyDescent="0.25">
      <c r="A26694" t="str">
        <f>HYPERLINK("https://www.773grp.com/globalSearch/50C02CH-TL-E/page-1", "50C02CH-TL-E")</f>
        <v>50C02CH-TL-E</v>
      </c>
      <c r="B26694" s="3" t="s">
        <v>95</v>
      </c>
      <c r="C26694" s="6">
        <v>3000</v>
      </c>
      <c r="D26694" s="7">
        <v>0.38</v>
      </c>
    </row>
    <row r="26695" spans="1:5" x14ac:dyDescent="0.25">
      <c r="A26695" t="str">
        <f>HYPERLINK("https://www.773grp.com/globalSearch/5HN01M-TL-H/page-1", "5HN01M-TL-H")</f>
        <v>5HN01M-TL-H</v>
      </c>
      <c r="B26695" s="3" t="s">
        <v>95</v>
      </c>
      <c r="C26695" s="6">
        <v>72000</v>
      </c>
      <c r="D26695" s="7">
        <v>0.38</v>
      </c>
    </row>
    <row r="26696" spans="1:5" x14ac:dyDescent="0.25">
      <c r="A26696" t="str">
        <f>HYPERLINK("https://www.773grp.com/globalSearch/74HC125DR2G/page-1", "74HC125DR2G")</f>
        <v>74HC125DR2G</v>
      </c>
      <c r="B26696" s="3" t="s">
        <v>95</v>
      </c>
      <c r="C26696" s="6">
        <v>79151</v>
      </c>
      <c r="D26696" s="7">
        <v>0.38</v>
      </c>
      <c r="E26696" t="s">
        <v>14</v>
      </c>
    </row>
    <row r="26697" spans="1:5" x14ac:dyDescent="0.25">
      <c r="A26697" t="str">
        <f>HYPERLINK("https://www.773grp.com/globalSearch/74HC125DTR2G/page-1", "74HC125DTR2G")</f>
        <v>74HC125DTR2G</v>
      </c>
      <c r="B26697" s="3" t="s">
        <v>95</v>
      </c>
      <c r="C26697" s="6">
        <v>13955</v>
      </c>
      <c r="D26697" s="7">
        <v>0.38</v>
      </c>
      <c r="E26697" t="s">
        <v>14</v>
      </c>
    </row>
    <row r="26698" spans="1:5" x14ac:dyDescent="0.25">
      <c r="A26698" t="str">
        <f>HYPERLINK("https://www.773grp.com/globalSearch/74HC132DR2G/page-1", "74HC132DR2G")</f>
        <v>74HC132DR2G</v>
      </c>
      <c r="B26698" s="3" t="s">
        <v>95</v>
      </c>
      <c r="C26698" s="6">
        <v>87045</v>
      </c>
      <c r="D26698" s="7">
        <v>0.38</v>
      </c>
      <c r="E26698" t="s">
        <v>31</v>
      </c>
    </row>
    <row r="26699" spans="1:5" x14ac:dyDescent="0.25">
      <c r="A26699" t="str">
        <f>HYPERLINK("https://www.773grp.com/globalSearch/74HC14DR2G/page-1", "74HC14DR2G")</f>
        <v>74HC14DR2G</v>
      </c>
      <c r="B26699" s="3" t="s">
        <v>95</v>
      </c>
      <c r="C26699" s="6">
        <v>301890</v>
      </c>
      <c r="D26699" s="7">
        <v>0.38</v>
      </c>
      <c r="E26699" t="s">
        <v>31</v>
      </c>
    </row>
    <row r="26700" spans="1:5" x14ac:dyDescent="0.25">
      <c r="A26700" t="str">
        <f>HYPERLINK("https://www.773grp.com/globalSearch/74HC14DTR2G/page-1", "74HC14DTR2G")</f>
        <v>74HC14DTR2G</v>
      </c>
      <c r="B26700" s="3" t="s">
        <v>95</v>
      </c>
      <c r="C26700" s="6">
        <v>910045</v>
      </c>
      <c r="D26700" s="7">
        <v>0.38</v>
      </c>
      <c r="E26700" t="s">
        <v>31</v>
      </c>
    </row>
    <row r="26701" spans="1:5" x14ac:dyDescent="0.25">
      <c r="A26701" t="str">
        <f>HYPERLINK("https://www.773grp.com/globalSearch/74HC32DTR2G/page-1", "74HC32DTR2G")</f>
        <v>74HC32DTR2G</v>
      </c>
      <c r="B26701" s="3" t="s">
        <v>95</v>
      </c>
      <c r="C26701" s="6">
        <v>122500</v>
      </c>
      <c r="D26701" s="7">
        <v>0.38</v>
      </c>
      <c r="E26701" t="s">
        <v>31</v>
      </c>
    </row>
    <row r="26702" spans="1:5" x14ac:dyDescent="0.25">
      <c r="A26702" t="str">
        <f>HYPERLINK("https://www.773grp.com/globalSearch/74HC74DR2G/page-1", "74HC74DR2G")</f>
        <v>74HC74DR2G</v>
      </c>
      <c r="B26702" s="3" t="s">
        <v>95</v>
      </c>
      <c r="C26702" s="6">
        <v>38910</v>
      </c>
      <c r="D26702" s="7">
        <v>0.38</v>
      </c>
      <c r="E26702" t="s">
        <v>35</v>
      </c>
    </row>
    <row r="26703" spans="1:5" x14ac:dyDescent="0.25">
      <c r="A26703" t="str">
        <f>HYPERLINK("https://www.773grp.com/globalSearch/74HC74DTR2G/page-1", "74HC74DTR2G")</f>
        <v>74HC74DTR2G</v>
      </c>
      <c r="B26703" s="3" t="s">
        <v>95</v>
      </c>
      <c r="C26703" s="6">
        <v>313909</v>
      </c>
      <c r="D26703" s="7">
        <v>0.38</v>
      </c>
      <c r="E26703" t="s">
        <v>35</v>
      </c>
    </row>
    <row r="26704" spans="1:5" x14ac:dyDescent="0.25">
      <c r="A26704" t="str">
        <f>HYPERLINK("https://www.773grp.com/globalSearch/74HC86DR2G/page-1", "74HC86DR2G")</f>
        <v>74HC86DR2G</v>
      </c>
      <c r="B26704" s="3" t="s">
        <v>95</v>
      </c>
      <c r="C26704" s="6">
        <v>164588</v>
      </c>
      <c r="D26704" s="7">
        <v>0.38</v>
      </c>
      <c r="E26704" t="s">
        <v>31</v>
      </c>
    </row>
    <row r="26705" spans="1:5" x14ac:dyDescent="0.25">
      <c r="A26705" t="str">
        <f>HYPERLINK("https://www.773grp.com/globalSearch/74HC86DTR2G/page-1", "74HC86DTR2G")</f>
        <v>74HC86DTR2G</v>
      </c>
      <c r="B26705" s="3" t="s">
        <v>95</v>
      </c>
      <c r="C26705" s="6">
        <v>5000</v>
      </c>
      <c r="D26705" s="7">
        <v>0.38</v>
      </c>
      <c r="E26705" t="s">
        <v>31</v>
      </c>
    </row>
    <row r="26706" spans="1:5" x14ac:dyDescent="0.25">
      <c r="A26706" t="str">
        <f>HYPERLINK("https://www.773grp.com/globalSearch/74HCT04DR2G/page-1", "74HCT04DR2G")</f>
        <v>74HCT04DR2G</v>
      </c>
      <c r="B26706" s="3" t="s">
        <v>95</v>
      </c>
      <c r="C26706" s="6">
        <v>80980</v>
      </c>
      <c r="D26706" s="7">
        <v>0.38</v>
      </c>
      <c r="E26706" t="s">
        <v>31</v>
      </c>
    </row>
    <row r="26707" spans="1:5" x14ac:dyDescent="0.25">
      <c r="A26707" t="str">
        <f>HYPERLINK("https://www.773grp.com/globalSearch/74HCT04DTR2G/page-1", "74HCT04DTR2G")</f>
        <v>74HCT04DTR2G</v>
      </c>
      <c r="B26707" s="3" t="s">
        <v>95</v>
      </c>
      <c r="C26707" s="6">
        <v>137421</v>
      </c>
      <c r="D26707" s="7">
        <v>0.38</v>
      </c>
      <c r="E26707" t="s">
        <v>31</v>
      </c>
    </row>
    <row r="26708" spans="1:5" x14ac:dyDescent="0.25">
      <c r="A26708" t="str">
        <f>HYPERLINK("https://www.773grp.com/globalSearch/74HCT08DR2G/page-1", "74HCT08DR2G")</f>
        <v>74HCT08DR2G</v>
      </c>
      <c r="B26708" s="3" t="s">
        <v>95</v>
      </c>
      <c r="C26708" s="6">
        <v>109032</v>
      </c>
      <c r="D26708" s="7">
        <v>0.38</v>
      </c>
      <c r="E26708" t="s">
        <v>31</v>
      </c>
    </row>
    <row r="26709" spans="1:5" x14ac:dyDescent="0.25">
      <c r="A26709" t="str">
        <f>HYPERLINK("https://www.773grp.com/globalSearch/74HCT08DR2GH/page-1", "74HCT08DR2GH")</f>
        <v>74HCT08DR2GH</v>
      </c>
      <c r="B26709" s="3" t="s">
        <v>95</v>
      </c>
      <c r="C26709" s="6">
        <v>17500</v>
      </c>
      <c r="D26709" s="7">
        <v>0.38</v>
      </c>
      <c r="E26709" t="s">
        <v>31</v>
      </c>
    </row>
    <row r="26710" spans="1:5" x14ac:dyDescent="0.25">
      <c r="A26710" t="str">
        <f>HYPERLINK("https://www.773grp.com/globalSearch/74HCT08DTR2G/page-1", "74HCT08DTR2G")</f>
        <v>74HCT08DTR2G</v>
      </c>
      <c r="B26710" s="3" t="s">
        <v>95</v>
      </c>
      <c r="C26710" s="6">
        <v>82601</v>
      </c>
      <c r="D26710" s="7">
        <v>0.38</v>
      </c>
      <c r="E26710" t="s">
        <v>31</v>
      </c>
    </row>
    <row r="26711" spans="1:5" x14ac:dyDescent="0.25">
      <c r="A26711" t="str">
        <f>HYPERLINK("https://www.773grp.com/globalSearch/74HCT14DR2G/page-1", "74HCT14DR2G")</f>
        <v>74HCT14DR2G</v>
      </c>
      <c r="B26711" s="3" t="s">
        <v>95</v>
      </c>
      <c r="C26711" s="6">
        <v>98309</v>
      </c>
      <c r="D26711" s="7">
        <v>0.38</v>
      </c>
      <c r="E26711" t="s">
        <v>31</v>
      </c>
    </row>
    <row r="26712" spans="1:5" x14ac:dyDescent="0.25">
      <c r="A26712" t="str">
        <f>HYPERLINK("https://www.773grp.com/globalSearch/74HCT14DTR2G/page-1", "74HCT14DTR2G")</f>
        <v>74HCT14DTR2G</v>
      </c>
      <c r="B26712" s="3" t="s">
        <v>95</v>
      </c>
      <c r="C26712" s="6">
        <v>69420</v>
      </c>
      <c r="D26712" s="7">
        <v>0.38</v>
      </c>
      <c r="E26712" t="s">
        <v>31</v>
      </c>
    </row>
    <row r="26713" spans="1:5" x14ac:dyDescent="0.25">
      <c r="A26713" t="str">
        <f>HYPERLINK("https://www.773grp.com/globalSearch/74HCT32DR2G/page-1", "74HCT32DR2G")</f>
        <v>74HCT32DR2G</v>
      </c>
      <c r="B26713" s="3" t="s">
        <v>95</v>
      </c>
      <c r="C26713" s="6">
        <v>85845</v>
      </c>
      <c r="D26713" s="7">
        <v>0.38</v>
      </c>
      <c r="E26713" t="s">
        <v>31</v>
      </c>
    </row>
    <row r="26714" spans="1:5" x14ac:dyDescent="0.25">
      <c r="A26714" t="str">
        <f>HYPERLINK("https://www.773grp.com/globalSearch/74HCT32DTR2G/page-1", "74HCT32DTR2G")</f>
        <v>74HCT32DTR2G</v>
      </c>
      <c r="B26714" s="3" t="s">
        <v>95</v>
      </c>
      <c r="C26714" s="6">
        <v>81300</v>
      </c>
      <c r="D26714" s="7">
        <v>0.38</v>
      </c>
      <c r="E26714" t="s">
        <v>31</v>
      </c>
    </row>
    <row r="26715" spans="1:5" x14ac:dyDescent="0.25">
      <c r="A26715" t="str">
        <f>HYPERLINK("https://www.773grp.com/globalSearch/74HCU04DR2G/page-1", "74HCU04DR2G")</f>
        <v>74HCU04DR2G</v>
      </c>
      <c r="B26715" s="3" t="s">
        <v>95</v>
      </c>
      <c r="C26715" s="6">
        <v>693609</v>
      </c>
      <c r="D26715" s="7">
        <v>0.38</v>
      </c>
      <c r="E26715" t="s">
        <v>31</v>
      </c>
    </row>
    <row r="26716" spans="1:5" x14ac:dyDescent="0.25">
      <c r="A26716" t="str">
        <f>HYPERLINK("https://www.773grp.com/globalSearch/74HCU04DTR2G/page-1", "74HCU04DTR2G")</f>
        <v>74HCU04DTR2G</v>
      </c>
      <c r="B26716" s="3" t="s">
        <v>95</v>
      </c>
      <c r="C26716" s="6">
        <v>177868</v>
      </c>
      <c r="D26716" s="7">
        <v>0.38</v>
      </c>
      <c r="E26716" t="s">
        <v>31</v>
      </c>
    </row>
    <row r="26717" spans="1:5" x14ac:dyDescent="0.25">
      <c r="A26717" t="str">
        <f>HYPERLINK("https://www.773grp.com/globalSearch/74VHCT157AD/page-1", "74VHCT157AD")</f>
        <v>74VHCT157AD</v>
      </c>
      <c r="B26717" s="3" t="s">
        <v>95</v>
      </c>
      <c r="C26717" s="6">
        <v>32</v>
      </c>
      <c r="D26717" s="7">
        <v>0.38</v>
      </c>
    </row>
    <row r="26718" spans="1:5" x14ac:dyDescent="0.25">
      <c r="A26718" t="str">
        <f>HYPERLINK("https://www.773grp.com/globalSearch/7SB3126DFT2G/page-1", "7SB3126DFT2G")</f>
        <v>7SB3126DFT2G</v>
      </c>
      <c r="B26718" s="3" t="s">
        <v>95</v>
      </c>
      <c r="C26718" s="6">
        <v>65581</v>
      </c>
      <c r="D26718" s="7">
        <v>0.38</v>
      </c>
      <c r="E26718" t="s">
        <v>14</v>
      </c>
    </row>
    <row r="26719" spans="1:5" x14ac:dyDescent="0.25">
      <c r="A26719" t="str">
        <f>HYPERLINK("https://www.773grp.com/globalSearch/7SB3257DTT1G/page-1", "7SB3257DTT1G")</f>
        <v>7SB3257DTT1G</v>
      </c>
      <c r="B26719" s="3" t="s">
        <v>95</v>
      </c>
      <c r="C26719" s="6">
        <v>12000</v>
      </c>
      <c r="D26719" s="7">
        <v>0.38</v>
      </c>
    </row>
    <row r="26720" spans="1:5" x14ac:dyDescent="0.25">
      <c r="A26720" t="str">
        <f>HYPERLINK("https://www.773grp.com/globalSearch/7SB385DTT1G/page-1", "7SB385DTT1G")</f>
        <v>7SB385DTT1G</v>
      </c>
      <c r="B26720" s="3" t="s">
        <v>95</v>
      </c>
      <c r="C26720" s="6">
        <v>57000</v>
      </c>
      <c r="D26720" s="7">
        <v>0.38</v>
      </c>
    </row>
    <row r="26721" spans="1:5" x14ac:dyDescent="0.25">
      <c r="A26721" t="str">
        <f>HYPERLINK("https://www.773grp.com/globalSearch/BAS70LT1/page-1", "BAS70LT1")</f>
        <v>BAS70LT1</v>
      </c>
      <c r="B26721" s="3" t="s">
        <v>95</v>
      </c>
      <c r="C26721" s="6">
        <v>614442</v>
      </c>
      <c r="D26721" s="7">
        <v>0.38</v>
      </c>
      <c r="E26721" t="s">
        <v>94</v>
      </c>
    </row>
    <row r="26722" spans="1:5" x14ac:dyDescent="0.25">
      <c r="A26722" t="str">
        <f>HYPERLINK("https://www.773grp.com/globalSearch/BAT54T1/page-1", "BAT54T1")</f>
        <v>BAT54T1</v>
      </c>
      <c r="B26722" s="3" t="s">
        <v>95</v>
      </c>
      <c r="C26722" s="6">
        <v>112750</v>
      </c>
      <c r="D26722" s="7">
        <v>0.38</v>
      </c>
      <c r="E26722" t="s">
        <v>94</v>
      </c>
    </row>
    <row r="26723" spans="1:5" x14ac:dyDescent="0.25">
      <c r="A26723" t="str">
        <f>HYPERLINK("https://www.773grp.com/globalSearch/BAV70TT1/page-1", "BAV70TT1")</f>
        <v>BAV70TT1</v>
      </c>
      <c r="B26723" s="3" t="s">
        <v>95</v>
      </c>
      <c r="C26723" s="6">
        <v>87000</v>
      </c>
      <c r="D26723" s="7">
        <v>0.38</v>
      </c>
      <c r="E26723" t="s">
        <v>94</v>
      </c>
    </row>
    <row r="26724" spans="1:5" x14ac:dyDescent="0.25">
      <c r="A26724" t="str">
        <f>HYPERLINK("https://www.773grp.com/globalSearch/BC237G/page-1", "BC237G")</f>
        <v>BC237G</v>
      </c>
      <c r="B26724" s="3" t="s">
        <v>95</v>
      </c>
      <c r="C26724" s="6">
        <v>105000</v>
      </c>
      <c r="D26724" s="7">
        <v>0.38</v>
      </c>
      <c r="E26724" t="s">
        <v>69</v>
      </c>
    </row>
    <row r="26725" spans="1:5" x14ac:dyDescent="0.25">
      <c r="A26725" t="str">
        <f>HYPERLINK("https://www.773grp.com/globalSearch/BC307BRL1G/page-1", "BC307BRL1G")</f>
        <v>BC307BRL1G</v>
      </c>
      <c r="B26725" s="3" t="s">
        <v>95</v>
      </c>
      <c r="C26725" s="6">
        <v>52000</v>
      </c>
      <c r="D26725" s="7">
        <v>0.38</v>
      </c>
      <c r="E26725" t="s">
        <v>69</v>
      </c>
    </row>
    <row r="26726" spans="1:5" x14ac:dyDescent="0.25">
      <c r="A26726" t="str">
        <f>HYPERLINK("https://www.773grp.com/globalSearch/BC517ZL1G/page-1", "BC517ZL1G")</f>
        <v>BC517ZL1G</v>
      </c>
      <c r="B26726" s="3" t="s">
        <v>95</v>
      </c>
      <c r="C26726" s="6">
        <v>14000</v>
      </c>
      <c r="D26726" s="7">
        <v>0.38</v>
      </c>
      <c r="E26726" t="s">
        <v>69</v>
      </c>
    </row>
    <row r="26727" spans="1:5" x14ac:dyDescent="0.25">
      <c r="A26727" t="str">
        <f>HYPERLINK("https://www.773grp.com/globalSearch/BC546BG/page-1", "BC546BG")</f>
        <v>BC546BG</v>
      </c>
      <c r="B26727" s="3" t="s">
        <v>95</v>
      </c>
      <c r="C26727" s="6">
        <v>63002</v>
      </c>
      <c r="D26727" s="7">
        <v>0.38</v>
      </c>
      <c r="E26727" t="s">
        <v>69</v>
      </c>
    </row>
    <row r="26728" spans="1:5" x14ac:dyDescent="0.25">
      <c r="A26728" t="str">
        <f>HYPERLINK("https://www.773grp.com/globalSearch/BC547BG/page-1", "BC547BG")</f>
        <v>BC547BG</v>
      </c>
      <c r="B26728" s="3" t="s">
        <v>95</v>
      </c>
      <c r="C26728" s="6">
        <v>35058</v>
      </c>
      <c r="D26728" s="7">
        <v>0.38</v>
      </c>
      <c r="E26728" t="s">
        <v>69</v>
      </c>
    </row>
    <row r="26729" spans="1:5" x14ac:dyDescent="0.25">
      <c r="A26729" t="str">
        <f>HYPERLINK("https://www.773grp.com/globalSearch/BC547CG/page-1", "BC547CG")</f>
        <v>BC547CG</v>
      </c>
      <c r="B26729" s="3" t="s">
        <v>95</v>
      </c>
      <c r="C26729" s="6">
        <v>321926</v>
      </c>
      <c r="D26729" s="7">
        <v>0.38</v>
      </c>
      <c r="E26729" t="s">
        <v>69</v>
      </c>
    </row>
    <row r="26730" spans="1:5" x14ac:dyDescent="0.25">
      <c r="A26730" t="str">
        <f>HYPERLINK("https://www.773grp.com/globalSearch/BC547CZL1G/page-1", "BC547CZL1G")</f>
        <v>BC547CZL1G</v>
      </c>
      <c r="B26730" s="3" t="s">
        <v>95</v>
      </c>
      <c r="C26730" s="6">
        <v>16000</v>
      </c>
      <c r="D26730" s="7">
        <v>0.38</v>
      </c>
      <c r="E26730" t="s">
        <v>69</v>
      </c>
    </row>
    <row r="26731" spans="1:5" x14ac:dyDescent="0.25">
      <c r="A26731" t="str">
        <f>HYPERLINK("https://www.773grp.com/globalSearch/BC549CG/page-1", "BC549CG")</f>
        <v>BC549CG</v>
      </c>
      <c r="B26731" s="3" t="s">
        <v>95</v>
      </c>
      <c r="C26731" s="6">
        <v>165000</v>
      </c>
      <c r="D26731" s="7">
        <v>0.38</v>
      </c>
      <c r="E26731" t="s">
        <v>69</v>
      </c>
    </row>
    <row r="26732" spans="1:5" x14ac:dyDescent="0.25">
      <c r="A26732" t="str">
        <f>HYPERLINK("https://www.773grp.com/globalSearch/BC557CG/page-1", "BC557CG")</f>
        <v>BC557CG</v>
      </c>
      <c r="B26732" s="3" t="s">
        <v>95</v>
      </c>
      <c r="C26732" s="6">
        <v>155639</v>
      </c>
      <c r="D26732" s="7">
        <v>0.38</v>
      </c>
      <c r="E26732" t="s">
        <v>69</v>
      </c>
    </row>
    <row r="26733" spans="1:5" x14ac:dyDescent="0.25">
      <c r="A26733" t="str">
        <f>HYPERLINK("https://www.773grp.com/globalSearch/BC557CZL1G/page-1", "BC557CZL1G")</f>
        <v>BC557CZL1G</v>
      </c>
      <c r="B26733" s="3" t="s">
        <v>95</v>
      </c>
      <c r="C26733" s="6">
        <v>74000</v>
      </c>
      <c r="D26733" s="7">
        <v>0.38</v>
      </c>
      <c r="E26733" t="s">
        <v>69</v>
      </c>
    </row>
    <row r="26734" spans="1:5" x14ac:dyDescent="0.25">
      <c r="A26734" t="str">
        <f>HYPERLINK("https://www.773grp.com/globalSearch/BC558BRLG/page-1", "BC558BRLG")</f>
        <v>BC558BRLG</v>
      </c>
      <c r="B26734" s="3" t="s">
        <v>95</v>
      </c>
      <c r="C26734" s="6">
        <v>64000</v>
      </c>
      <c r="D26734" s="7">
        <v>0.38</v>
      </c>
      <c r="E26734" t="s">
        <v>69</v>
      </c>
    </row>
    <row r="26735" spans="1:5" x14ac:dyDescent="0.25">
      <c r="A26735" t="str">
        <f>HYPERLINK("https://www.773grp.com/globalSearch/BC560CG/page-1", "BC560CG")</f>
        <v>BC560CG</v>
      </c>
      <c r="B26735" s="3" t="s">
        <v>95</v>
      </c>
      <c r="C26735" s="6">
        <v>85952</v>
      </c>
      <c r="D26735" s="7">
        <v>0.38</v>
      </c>
      <c r="E26735" t="s">
        <v>69</v>
      </c>
    </row>
    <row r="26736" spans="1:5" x14ac:dyDescent="0.25">
      <c r="A26736" t="str">
        <f>HYPERLINK("https://www.773grp.com/globalSearch/BCP69T1G/page-1", "BCP69T1G")</f>
        <v>BCP69T1G</v>
      </c>
      <c r="B26736" s="3" t="s">
        <v>95</v>
      </c>
      <c r="C26736" s="6">
        <v>73990</v>
      </c>
      <c r="D26736" s="7">
        <v>0.38</v>
      </c>
      <c r="E26736" t="s">
        <v>59</v>
      </c>
    </row>
    <row r="26737" spans="1:5" x14ac:dyDescent="0.25">
      <c r="A26737" t="str">
        <f>HYPERLINK("https://www.773grp.com/globalSearch/BD135/page-1", "BD135")</f>
        <v>BD135</v>
      </c>
      <c r="B26737" s="3" t="s">
        <v>95</v>
      </c>
      <c r="C26737" s="6">
        <v>467</v>
      </c>
      <c r="D26737" s="7">
        <v>0.38</v>
      </c>
      <c r="E26737" t="s">
        <v>59</v>
      </c>
    </row>
    <row r="26738" spans="1:5" x14ac:dyDescent="0.25">
      <c r="A26738" t="str">
        <f>HYPERLINK("https://www.773grp.com/globalSearch/BD136/page-1", "BD136")</f>
        <v>BD136</v>
      </c>
      <c r="B26738" s="3" t="s">
        <v>95</v>
      </c>
      <c r="C26738" s="6">
        <v>176944</v>
      </c>
      <c r="D26738" s="7">
        <v>0.38</v>
      </c>
      <c r="E26738" t="s">
        <v>59</v>
      </c>
    </row>
    <row r="26739" spans="1:5" x14ac:dyDescent="0.25">
      <c r="A26739" t="str">
        <f>HYPERLINK("https://www.773grp.com/globalSearch/BD137/page-1", "BD137")</f>
        <v>BD137</v>
      </c>
      <c r="B26739" s="3" t="s">
        <v>95</v>
      </c>
      <c r="C26739" s="6">
        <v>750</v>
      </c>
      <c r="D26739" s="7">
        <v>0.38</v>
      </c>
      <c r="E26739" t="s">
        <v>59</v>
      </c>
    </row>
    <row r="26740" spans="1:5" x14ac:dyDescent="0.25">
      <c r="A26740" t="str">
        <f>HYPERLINK("https://www.773grp.com/globalSearch/BD138/page-1", "BD138")</f>
        <v>BD138</v>
      </c>
      <c r="B26740" s="3" t="s">
        <v>95</v>
      </c>
      <c r="C26740" s="6">
        <v>19000</v>
      </c>
      <c r="D26740" s="7">
        <v>0.38</v>
      </c>
      <c r="E26740" t="s">
        <v>59</v>
      </c>
    </row>
    <row r="26741" spans="1:5" x14ac:dyDescent="0.25">
      <c r="A26741" t="str">
        <f>HYPERLINK("https://www.773grp.com/globalSearch/BD140/page-1", "BD140")</f>
        <v>BD140</v>
      </c>
      <c r="B26741" s="3" t="s">
        <v>95</v>
      </c>
      <c r="C26741" s="6">
        <v>30195</v>
      </c>
      <c r="D26741" s="7">
        <v>0.38</v>
      </c>
      <c r="E26741" t="s">
        <v>59</v>
      </c>
    </row>
    <row r="26742" spans="1:5" x14ac:dyDescent="0.25">
      <c r="A26742" t="str">
        <f>HYPERLINK("https://www.773grp.com/globalSearch/DCC010-TB-E/page-1", "DCC010-TB-E")</f>
        <v>DCC010-TB-E</v>
      </c>
      <c r="B26742" s="3" t="s">
        <v>95</v>
      </c>
      <c r="C26742" s="6">
        <v>3000</v>
      </c>
      <c r="D26742" s="7">
        <v>0.38</v>
      </c>
    </row>
    <row r="26743" spans="1:5" x14ac:dyDescent="0.25">
      <c r="A26743" t="str">
        <f>HYPERLINK("https://www.773grp.com/globalSearch/DS135AE/page-1", "DS135AE")</f>
        <v>DS135AE</v>
      </c>
      <c r="B26743" s="3" t="s">
        <v>95</v>
      </c>
      <c r="C26743" s="6">
        <v>60000</v>
      </c>
      <c r="D26743" s="7">
        <v>0.38</v>
      </c>
    </row>
    <row r="26744" spans="1:5" x14ac:dyDescent="0.25">
      <c r="A26744" t="str">
        <f>HYPERLINK("https://www.773grp.com/globalSearch/EMF18XV6T5G/page-1", "EMF18XV6T5G")</f>
        <v>EMF18XV6T5G</v>
      </c>
      <c r="B26744" s="3" t="s">
        <v>95</v>
      </c>
      <c r="C26744" s="6">
        <v>264000</v>
      </c>
      <c r="D26744" s="7">
        <v>0.38</v>
      </c>
      <c r="E26744" t="s">
        <v>69</v>
      </c>
    </row>
    <row r="26745" spans="1:5" x14ac:dyDescent="0.25">
      <c r="A26745" t="str">
        <f>HYPERLINK("https://www.773grp.com/globalSearch/ESD7C3.3DT5G/page-1", "ESD7C3.3DT5G")</f>
        <v>ESD7C3.3DT5G</v>
      </c>
      <c r="B26745" s="3" t="s">
        <v>95</v>
      </c>
      <c r="C26745" s="6">
        <v>392000</v>
      </c>
      <c r="D26745" s="7">
        <v>0.38</v>
      </c>
      <c r="E26745" t="s">
        <v>96</v>
      </c>
    </row>
    <row r="26746" spans="1:5" x14ac:dyDescent="0.25">
      <c r="A26746" t="str">
        <f>HYPERLINK("https://www.773grp.com/globalSearch/ESD7C5.0DT5G/page-1", "ESD7C5.0DT5G")</f>
        <v>ESD7C5.0DT5G</v>
      </c>
      <c r="B26746" s="3" t="s">
        <v>95</v>
      </c>
      <c r="C26746" s="6">
        <v>839600</v>
      </c>
      <c r="D26746" s="7">
        <v>0.38</v>
      </c>
      <c r="E26746" t="s">
        <v>96</v>
      </c>
    </row>
    <row r="26747" spans="1:5" x14ac:dyDescent="0.25">
      <c r="A26747" t="str">
        <f>HYPERLINK("https://www.773grp.com/globalSearch/FLM2904DG/page-1", "FLM2904DG")</f>
        <v>FLM2904DG</v>
      </c>
      <c r="B26747" s="3" t="s">
        <v>95</v>
      </c>
      <c r="C26747" s="6">
        <v>10780</v>
      </c>
      <c r="D26747" s="7">
        <v>0.38</v>
      </c>
    </row>
    <row r="26748" spans="1:5" x14ac:dyDescent="0.25">
      <c r="A26748" t="str">
        <f>HYPERLINK("https://www.773grp.com/globalSearch/J113RL1/page-1", "J113RL1")</f>
        <v>J113RL1</v>
      </c>
      <c r="B26748" s="3" t="s">
        <v>95</v>
      </c>
      <c r="C26748" s="6">
        <v>4000</v>
      </c>
      <c r="D26748" s="7">
        <v>0.38</v>
      </c>
      <c r="E26748" t="s">
        <v>106</v>
      </c>
    </row>
    <row r="26749" spans="1:5" x14ac:dyDescent="0.25">
      <c r="A26749" t="str">
        <f>HYPERLINK("https://www.773grp.com/globalSearch/LM224N/page-1", "LM224N")</f>
        <v>LM224N</v>
      </c>
      <c r="B26749" s="3" t="s">
        <v>95</v>
      </c>
      <c r="C26749" s="6">
        <v>6550</v>
      </c>
      <c r="D26749" s="7">
        <v>0.38</v>
      </c>
      <c r="E26749" t="s">
        <v>13</v>
      </c>
    </row>
    <row r="26750" spans="1:5" x14ac:dyDescent="0.25">
      <c r="A26750" t="str">
        <f>HYPERLINK("https://www.773grp.com/globalSearch/LM239D/page-1", "LM239D")</f>
        <v>LM239D</v>
      </c>
      <c r="B26750" s="3" t="s">
        <v>95</v>
      </c>
      <c r="C26750" s="6">
        <v>741</v>
      </c>
      <c r="D26750" s="7">
        <v>0.38</v>
      </c>
      <c r="E26750" t="s">
        <v>9</v>
      </c>
    </row>
    <row r="26751" spans="1:5" x14ac:dyDescent="0.25">
      <c r="A26751" t="str">
        <f>HYPERLINK("https://www.773grp.com/globalSearch/LM239N/page-1", "LM239N")</f>
        <v>LM239N</v>
      </c>
      <c r="B26751" s="3" t="s">
        <v>95</v>
      </c>
      <c r="C26751" s="6">
        <v>16475</v>
      </c>
      <c r="D26751" s="7">
        <v>0.38</v>
      </c>
      <c r="E26751" t="s">
        <v>9</v>
      </c>
    </row>
    <row r="26752" spans="1:5" x14ac:dyDescent="0.25">
      <c r="A26752" t="str">
        <f>HYPERLINK("https://www.773grp.com/globalSearch/LM258D/page-1", "LM258D")</f>
        <v>LM258D</v>
      </c>
      <c r="B26752" s="3" t="s">
        <v>95</v>
      </c>
      <c r="C26752" s="6">
        <v>12840</v>
      </c>
      <c r="D26752" s="7">
        <v>0.38</v>
      </c>
      <c r="E26752" t="s">
        <v>13</v>
      </c>
    </row>
    <row r="26753" spans="1:5" x14ac:dyDescent="0.25">
      <c r="A26753" t="str">
        <f>HYPERLINK("https://www.773grp.com/globalSearch/LM258DR2/page-1", "LM258DR2")</f>
        <v>LM258DR2</v>
      </c>
      <c r="B26753" s="3" t="s">
        <v>95</v>
      </c>
      <c r="C26753" s="6">
        <v>8895</v>
      </c>
      <c r="D26753" s="7">
        <v>0.38</v>
      </c>
      <c r="E26753" t="s">
        <v>13</v>
      </c>
    </row>
    <row r="26754" spans="1:5" x14ac:dyDescent="0.25">
      <c r="A26754" t="str">
        <f>HYPERLINK("https://www.773grp.com/globalSearch/LM2902D/page-1", "LM2902D")</f>
        <v>LM2902D</v>
      </c>
      <c r="B26754" s="3" t="s">
        <v>95</v>
      </c>
      <c r="C26754" s="6">
        <v>6064</v>
      </c>
      <c r="D26754" s="7">
        <v>0.38</v>
      </c>
      <c r="E26754" t="s">
        <v>13</v>
      </c>
    </row>
    <row r="26755" spans="1:5" x14ac:dyDescent="0.25">
      <c r="A26755" t="str">
        <f>HYPERLINK("https://www.773grp.com/globalSearch/LM293D/page-1", "LM293D")</f>
        <v>LM293D</v>
      </c>
      <c r="B26755" s="3" t="s">
        <v>95</v>
      </c>
      <c r="C26755" s="6">
        <v>497</v>
      </c>
      <c r="D26755" s="7">
        <v>0.38</v>
      </c>
      <c r="E26755" t="s">
        <v>9</v>
      </c>
    </row>
    <row r="26756" spans="1:5" x14ac:dyDescent="0.25">
      <c r="A26756" t="str">
        <f>HYPERLINK("https://www.773grp.com/globalSearch/LM293DR2/page-1", "LM293DR2")</f>
        <v>LM293DR2</v>
      </c>
      <c r="B26756" s="3" t="s">
        <v>95</v>
      </c>
      <c r="C26756" s="6">
        <v>18500</v>
      </c>
      <c r="D26756" s="7">
        <v>0.38</v>
      </c>
      <c r="E26756" t="s">
        <v>9</v>
      </c>
    </row>
    <row r="26757" spans="1:5" x14ac:dyDescent="0.25">
      <c r="A26757" t="str">
        <f>HYPERLINK("https://www.773grp.com/globalSearch/LSMBT1005LT1/page-1", "LSMBT1005LT1")</f>
        <v>LSMBT1005LT1</v>
      </c>
      <c r="B26757" s="3" t="s">
        <v>95</v>
      </c>
      <c r="C26757" s="6">
        <v>12000</v>
      </c>
      <c r="D26757" s="7">
        <v>0.38</v>
      </c>
    </row>
    <row r="26758" spans="1:5" x14ac:dyDescent="0.25">
      <c r="A26758" t="str">
        <f>HYPERLINK("https://www.773grp.com/globalSearch/M74VHC1G125DFT2G/page-1", "M74VHC1G125DFT2G")</f>
        <v>M74VHC1G125DFT2G</v>
      </c>
      <c r="B26758" s="3" t="s">
        <v>95</v>
      </c>
      <c r="C26758" s="6">
        <v>180000</v>
      </c>
      <c r="D26758" s="7">
        <v>0.38</v>
      </c>
      <c r="E26758" t="s">
        <v>14</v>
      </c>
    </row>
    <row r="26759" spans="1:5" x14ac:dyDescent="0.25">
      <c r="A26759" t="str">
        <f>HYPERLINK("https://www.773grp.com/globalSearch/M74VHC1G126DFT1G/page-1", "M74VHC1G126DFT1G")</f>
        <v>M74VHC1G126DFT1G</v>
      </c>
      <c r="B26759" s="3" t="s">
        <v>95</v>
      </c>
      <c r="C26759" s="6">
        <v>172399</v>
      </c>
      <c r="D26759" s="7">
        <v>0.38</v>
      </c>
      <c r="E26759" t="s">
        <v>14</v>
      </c>
    </row>
    <row r="26760" spans="1:5" x14ac:dyDescent="0.25">
      <c r="A26760" t="str">
        <f>HYPERLINK("https://www.773grp.com/globalSearch/M74VHC1G126DFT2G/page-1", "M74VHC1G126DFT2G")</f>
        <v>M74VHC1G126DFT2G</v>
      </c>
      <c r="B26760" s="3" t="s">
        <v>95</v>
      </c>
      <c r="C26760" s="6">
        <v>33000</v>
      </c>
      <c r="D26760" s="7">
        <v>0.38</v>
      </c>
      <c r="E26760" t="s">
        <v>14</v>
      </c>
    </row>
    <row r="26761" spans="1:5" x14ac:dyDescent="0.25">
      <c r="A26761" t="str">
        <f>HYPERLINK("https://www.773grp.com/globalSearch/M74VHC1G132DFT1G/page-1", "M74VHC1G132DFT1G")</f>
        <v>M74VHC1G132DFT1G</v>
      </c>
      <c r="B26761" s="3" t="s">
        <v>95</v>
      </c>
      <c r="C26761" s="6">
        <v>111000</v>
      </c>
      <c r="D26761" s="7">
        <v>0.38</v>
      </c>
      <c r="E26761" t="s">
        <v>31</v>
      </c>
    </row>
    <row r="26762" spans="1:5" x14ac:dyDescent="0.25">
      <c r="A26762" t="str">
        <f>HYPERLINK("https://www.773grp.com/globalSearch/M74VHC1G132DFT2G/page-1", "M74VHC1G132DFT2G")</f>
        <v>M74VHC1G132DFT2G</v>
      </c>
      <c r="B26762" s="3" t="s">
        <v>95</v>
      </c>
      <c r="C26762" s="6">
        <v>48000</v>
      </c>
      <c r="D26762" s="7">
        <v>0.38</v>
      </c>
      <c r="E26762" t="s">
        <v>31</v>
      </c>
    </row>
    <row r="26763" spans="1:5" x14ac:dyDescent="0.25">
      <c r="A26763" t="str">
        <f>HYPERLINK("https://www.773grp.com/globalSearch/M74VHC1G135DFT1G/page-1", "M74VHC1G135DFT1G")</f>
        <v>M74VHC1G135DFT1G</v>
      </c>
      <c r="B26763" s="3" t="s">
        <v>95</v>
      </c>
      <c r="C26763" s="6">
        <v>96000</v>
      </c>
      <c r="D26763" s="7">
        <v>0.38</v>
      </c>
      <c r="E26763" t="s">
        <v>31</v>
      </c>
    </row>
    <row r="26764" spans="1:5" x14ac:dyDescent="0.25">
      <c r="A26764" t="str">
        <f>HYPERLINK("https://www.773grp.com/globalSearch/M74VHC1G135DFT2G/page-1", "M74VHC1G135DFT2G")</f>
        <v>M74VHC1G135DFT2G</v>
      </c>
      <c r="B26764" s="3" t="s">
        <v>95</v>
      </c>
      <c r="C26764" s="6">
        <v>3000</v>
      </c>
      <c r="D26764" s="7">
        <v>0.38</v>
      </c>
      <c r="E26764" t="s">
        <v>31</v>
      </c>
    </row>
    <row r="26765" spans="1:5" x14ac:dyDescent="0.25">
      <c r="A26765" t="str">
        <f>HYPERLINK("https://www.773grp.com/globalSearch/M74VHC1GT125DF1G/page-1", "M74VHC1GT125DF1G")</f>
        <v>M74VHC1GT125DF1G</v>
      </c>
      <c r="B26765" s="3" t="s">
        <v>95</v>
      </c>
      <c r="C26765" s="6">
        <v>27000</v>
      </c>
      <c r="D26765" s="7">
        <v>0.38</v>
      </c>
      <c r="E26765" t="s">
        <v>14</v>
      </c>
    </row>
    <row r="26766" spans="1:5" x14ac:dyDescent="0.25">
      <c r="A26766" t="str">
        <f>HYPERLINK("https://www.773grp.com/globalSearch/M74VHC1GT125DF2G/page-1", "M74VHC1GT125DF2G")</f>
        <v>M74VHC1GT125DF2G</v>
      </c>
      <c r="B26766" s="3" t="s">
        <v>95</v>
      </c>
      <c r="C26766" s="6">
        <v>393488</v>
      </c>
      <c r="D26766" s="7">
        <v>0.38</v>
      </c>
      <c r="E26766" t="s">
        <v>14</v>
      </c>
    </row>
    <row r="26767" spans="1:5" x14ac:dyDescent="0.25">
      <c r="A26767" t="str">
        <f>HYPERLINK("https://www.773grp.com/globalSearch/M74VHC1GT126DF1G/page-1", "M74VHC1GT126DF1G")</f>
        <v>M74VHC1GT126DF1G</v>
      </c>
      <c r="B26767" s="3" t="s">
        <v>95</v>
      </c>
      <c r="C26767" s="6">
        <v>72000</v>
      </c>
      <c r="D26767" s="7">
        <v>0.38</v>
      </c>
      <c r="E26767" t="s">
        <v>14</v>
      </c>
    </row>
    <row r="26768" spans="1:5" x14ac:dyDescent="0.25">
      <c r="A26768" t="str">
        <f>HYPERLINK("https://www.773grp.com/globalSearch/M74VHC1GT126DF2G/page-1", "M74VHC1GT126DF2G")</f>
        <v>M74VHC1GT126DF2G</v>
      </c>
      <c r="B26768" s="3" t="s">
        <v>95</v>
      </c>
      <c r="C26768" s="6">
        <v>279000</v>
      </c>
      <c r="D26768" s="7">
        <v>0.38</v>
      </c>
      <c r="E26768" t="s">
        <v>14</v>
      </c>
    </row>
    <row r="26769" spans="1:5" x14ac:dyDescent="0.25">
      <c r="A26769" t="str">
        <f>HYPERLINK("https://www.773grp.com/globalSearch/M74VHC1GT50DFT1G/page-1", "M74VHC1GT50DFT1G")</f>
        <v>M74VHC1GT50DFT1G</v>
      </c>
      <c r="B26769" s="3" t="s">
        <v>95</v>
      </c>
      <c r="C26769" s="6">
        <v>206521</v>
      </c>
      <c r="D26769" s="7">
        <v>0.38</v>
      </c>
      <c r="E26769" t="s">
        <v>31</v>
      </c>
    </row>
    <row r="26770" spans="1:5" x14ac:dyDescent="0.25">
      <c r="A26770" t="str">
        <f>HYPERLINK("https://www.773grp.com/globalSearch/M74VHC1GT50DFT2G/page-1", "M74VHC1GT50DFT2G")</f>
        <v>M74VHC1GT50DFT2G</v>
      </c>
      <c r="B26770" s="3" t="s">
        <v>95</v>
      </c>
      <c r="C26770" s="6">
        <v>96000</v>
      </c>
      <c r="D26770" s="7">
        <v>0.38</v>
      </c>
      <c r="E26770" t="s">
        <v>31</v>
      </c>
    </row>
    <row r="26771" spans="1:5" x14ac:dyDescent="0.25">
      <c r="A26771" t="str">
        <f>HYPERLINK("https://www.773grp.com/globalSearch/M74VHC1GT86DFT1G/page-1", "M74VHC1GT86DFT1G")</f>
        <v>M74VHC1GT86DFT1G</v>
      </c>
      <c r="B26771" s="3" t="s">
        <v>95</v>
      </c>
      <c r="C26771" s="6">
        <v>30000</v>
      </c>
      <c r="D26771" s="7">
        <v>0.38</v>
      </c>
      <c r="E26771" t="s">
        <v>31</v>
      </c>
    </row>
    <row r="26772" spans="1:5" x14ac:dyDescent="0.25">
      <c r="A26772" t="str">
        <f>HYPERLINK("https://www.773grp.com/globalSearch/M74VHC1GT86DFT2G/page-1", "M74VHC1GT86DFT2G")</f>
        <v>M74VHC1GT86DFT2G</v>
      </c>
      <c r="B26772" s="3" t="s">
        <v>95</v>
      </c>
      <c r="C26772" s="6">
        <v>750000</v>
      </c>
      <c r="D26772" s="7">
        <v>0.38</v>
      </c>
      <c r="E26772" t="s">
        <v>31</v>
      </c>
    </row>
    <row r="26773" spans="1:5" x14ac:dyDescent="0.25">
      <c r="A26773" t="str">
        <f>HYPERLINK("https://www.773grp.com/globalSearch/MBD101/page-1", "MBD101")</f>
        <v>MBD101</v>
      </c>
      <c r="B26773" s="3" t="s">
        <v>95</v>
      </c>
      <c r="C26773" s="6">
        <v>3000</v>
      </c>
      <c r="D26773" s="7">
        <v>0.38</v>
      </c>
      <c r="E26773" t="s">
        <v>108</v>
      </c>
    </row>
    <row r="26774" spans="1:5" x14ac:dyDescent="0.25">
      <c r="A26774" t="str">
        <f>HYPERLINK("https://www.773grp.com/globalSearch/MBD101G/page-1", "MBD101G")</f>
        <v>MBD101G</v>
      </c>
      <c r="B26774" s="3" t="s">
        <v>95</v>
      </c>
      <c r="C26774" s="6">
        <v>25592</v>
      </c>
      <c r="D26774" s="7">
        <v>0.38</v>
      </c>
      <c r="E26774" t="s">
        <v>108</v>
      </c>
    </row>
    <row r="26775" spans="1:5" x14ac:dyDescent="0.25">
      <c r="A26775" t="str">
        <f>HYPERLINK("https://www.773grp.com/globalSearch/MBD701/page-1", "MBD701")</f>
        <v>MBD701</v>
      </c>
      <c r="B26775" s="3" t="s">
        <v>95</v>
      </c>
      <c r="C26775" s="6">
        <v>4</v>
      </c>
      <c r="D26775" s="7">
        <v>0.38</v>
      </c>
      <c r="E26775" t="s">
        <v>108</v>
      </c>
    </row>
    <row r="26776" spans="1:5" x14ac:dyDescent="0.25">
      <c r="A26776" t="str">
        <f>HYPERLINK("https://www.773grp.com/globalSearch/MBR120LSFT1/page-1", "MBR120LSFT1")</f>
        <v>MBR120LSFT1</v>
      </c>
      <c r="B26776" s="3" t="s">
        <v>95</v>
      </c>
      <c r="C26776" s="6">
        <v>21000</v>
      </c>
      <c r="D26776" s="7">
        <v>0.38</v>
      </c>
    </row>
    <row r="26777" spans="1:5" x14ac:dyDescent="0.25">
      <c r="A26777" t="str">
        <f>HYPERLINK("https://www.773grp.com/globalSearch/MBR130T1/page-1", "MBR130T1")</f>
        <v>MBR130T1</v>
      </c>
      <c r="B26777" s="3" t="s">
        <v>95</v>
      </c>
      <c r="C26777" s="6">
        <v>9000</v>
      </c>
      <c r="D26777" s="7">
        <v>0.38</v>
      </c>
    </row>
    <row r="26778" spans="1:5" x14ac:dyDescent="0.25">
      <c r="A26778" t="str">
        <f>HYPERLINK("https://www.773grp.com/globalSearch/MBR130T1G/page-1", "MBR130T1G")</f>
        <v>MBR130T1G</v>
      </c>
      <c r="B26778" s="3" t="s">
        <v>95</v>
      </c>
      <c r="C26778" s="6">
        <v>308500</v>
      </c>
      <c r="D26778" s="7">
        <v>0.38</v>
      </c>
      <c r="E26778" t="s">
        <v>94</v>
      </c>
    </row>
    <row r="26779" spans="1:5" x14ac:dyDescent="0.25">
      <c r="A26779" t="str">
        <f>HYPERLINK("https://www.773grp.com/globalSearch/MBR130T3G/page-1", "MBR130T3G")</f>
        <v>MBR130T3G</v>
      </c>
      <c r="B26779" s="3" t="s">
        <v>95</v>
      </c>
      <c r="C26779" s="6">
        <v>20000</v>
      </c>
      <c r="D26779" s="7">
        <v>0.38</v>
      </c>
    </row>
    <row r="26780" spans="1:5" x14ac:dyDescent="0.25">
      <c r="A26780" t="str">
        <f>HYPERLINK("https://www.773grp.com/globalSearch/MBR340PRL/page-1", "MBR340PRL")</f>
        <v>MBR340PRL</v>
      </c>
      <c r="B26780" s="3" t="s">
        <v>95</v>
      </c>
      <c r="C26780" s="6">
        <v>11900</v>
      </c>
      <c r="D26780" s="7">
        <v>0.38</v>
      </c>
      <c r="E26780" t="s">
        <v>103</v>
      </c>
    </row>
    <row r="26781" spans="1:5" x14ac:dyDescent="0.25">
      <c r="A26781" t="str">
        <f>HYPERLINK("https://www.773grp.com/globalSearch/MBR350RL/page-1", "MBR350RL")</f>
        <v>MBR350RL</v>
      </c>
      <c r="B26781" s="3" t="s">
        <v>95</v>
      </c>
      <c r="C26781" s="6">
        <v>18000</v>
      </c>
      <c r="D26781" s="7">
        <v>0.38</v>
      </c>
      <c r="E26781" t="s">
        <v>103</v>
      </c>
    </row>
    <row r="26782" spans="1:5" x14ac:dyDescent="0.25">
      <c r="A26782" t="str">
        <f>HYPERLINK("https://www.773grp.com/globalSearch/MBR360/page-1", "MBR360")</f>
        <v>MBR360</v>
      </c>
      <c r="B26782" s="3" t="s">
        <v>95</v>
      </c>
      <c r="C26782" s="6">
        <v>141000</v>
      </c>
      <c r="D26782" s="7">
        <v>0.38</v>
      </c>
      <c r="E26782" t="s">
        <v>103</v>
      </c>
    </row>
    <row r="26783" spans="1:5" x14ac:dyDescent="0.25">
      <c r="A26783" t="str">
        <f>HYPERLINK("https://www.773grp.com/globalSearch/MBRA130LT3G/page-1", "MBRA130LT3G")</f>
        <v>MBRA130LT3G</v>
      </c>
      <c r="B26783" s="3" t="s">
        <v>95</v>
      </c>
      <c r="C26783" s="6">
        <v>1219335</v>
      </c>
      <c r="D26783" s="7">
        <v>0.38</v>
      </c>
      <c r="E26783" t="s">
        <v>94</v>
      </c>
    </row>
    <row r="26784" spans="1:5" x14ac:dyDescent="0.25">
      <c r="A26784" t="str">
        <f>HYPERLINK("https://www.773grp.com/globalSearch/MBRA140T3G/page-1", "MBRA140T3G")</f>
        <v>MBRA140T3G</v>
      </c>
      <c r="B26784" s="3" t="s">
        <v>95</v>
      </c>
      <c r="C26784" s="6">
        <v>160000</v>
      </c>
      <c r="D26784" s="7">
        <v>0.38</v>
      </c>
      <c r="E26784" t="s">
        <v>94</v>
      </c>
    </row>
    <row r="26785" spans="1:5" x14ac:dyDescent="0.25">
      <c r="A26785" t="str">
        <f>HYPERLINK("https://www.773grp.com/globalSearch/MBRS130T3/page-1", "MBRS130T3")</f>
        <v>MBRS130T3</v>
      </c>
      <c r="B26785" s="3" t="s">
        <v>95</v>
      </c>
      <c r="C26785" s="6">
        <v>889</v>
      </c>
      <c r="D26785" s="7">
        <v>0.38</v>
      </c>
      <c r="E26785" t="s">
        <v>94</v>
      </c>
    </row>
    <row r="26786" spans="1:5" x14ac:dyDescent="0.25">
      <c r="A26786" t="str">
        <f>HYPERLINK("https://www.773grp.com/globalSearch/MBRS140T3/page-1", "MBRS140T3")</f>
        <v>MBRS140T3</v>
      </c>
      <c r="B26786" s="3" t="s">
        <v>95</v>
      </c>
      <c r="C26786" s="6">
        <v>110502</v>
      </c>
      <c r="D26786" s="7">
        <v>0.38</v>
      </c>
      <c r="E26786" t="s">
        <v>94</v>
      </c>
    </row>
    <row r="26787" spans="1:5" x14ac:dyDescent="0.25">
      <c r="A26787" t="str">
        <f>HYPERLINK("https://www.773grp.com/globalSearch/MC14001UBCP/page-1", "MC14001UBCP")</f>
        <v>MC14001UBCP</v>
      </c>
      <c r="B26787" s="3" t="s">
        <v>95</v>
      </c>
      <c r="C26787" s="6">
        <v>6475</v>
      </c>
      <c r="D26787" s="7">
        <v>0.38</v>
      </c>
      <c r="E26787" t="s">
        <v>31</v>
      </c>
    </row>
    <row r="26788" spans="1:5" x14ac:dyDescent="0.25">
      <c r="A26788" t="str">
        <f>HYPERLINK("https://www.773grp.com/globalSearch/MC14001UBD/page-1", "MC14001UBD")</f>
        <v>MC14001UBD</v>
      </c>
      <c r="B26788" s="3" t="s">
        <v>95</v>
      </c>
      <c r="C26788" s="6">
        <v>20132</v>
      </c>
      <c r="D26788" s="7">
        <v>0.38</v>
      </c>
      <c r="E26788" t="s">
        <v>31</v>
      </c>
    </row>
    <row r="26789" spans="1:5" x14ac:dyDescent="0.25">
      <c r="A26789" t="str">
        <f>HYPERLINK("https://www.773grp.com/globalSearch/MC14007UBCP/page-1", "MC14007UBCP")</f>
        <v>MC14007UBCP</v>
      </c>
      <c r="B26789" s="3" t="s">
        <v>95</v>
      </c>
      <c r="C26789" s="6">
        <v>533</v>
      </c>
      <c r="D26789" s="7">
        <v>0.38</v>
      </c>
      <c r="E26789" t="s">
        <v>31</v>
      </c>
    </row>
    <row r="26790" spans="1:5" x14ac:dyDescent="0.25">
      <c r="A26790" t="str">
        <f>HYPERLINK("https://www.773grp.com/globalSearch/MC14007UBD/page-1", "MC14007UBD")</f>
        <v>MC14007UBD</v>
      </c>
      <c r="B26790" s="3" t="s">
        <v>95</v>
      </c>
      <c r="C26790" s="6">
        <v>11660</v>
      </c>
      <c r="D26790" s="7">
        <v>0.38</v>
      </c>
      <c r="E26790" t="s">
        <v>31</v>
      </c>
    </row>
    <row r="26791" spans="1:5" x14ac:dyDescent="0.25">
      <c r="A26791" t="str">
        <f>HYPERLINK("https://www.773grp.com/globalSearch/MC14007UBDR2/page-1", "MC14007UBDR2")</f>
        <v>MC14007UBDR2</v>
      </c>
      <c r="B26791" s="3" t="s">
        <v>95</v>
      </c>
      <c r="C26791" s="6">
        <v>15000</v>
      </c>
      <c r="D26791" s="7">
        <v>0.38</v>
      </c>
      <c r="E26791" t="s">
        <v>31</v>
      </c>
    </row>
    <row r="26792" spans="1:5" x14ac:dyDescent="0.25">
      <c r="A26792" t="str">
        <f>HYPERLINK("https://www.773grp.com/globalSearch/MC14011BDR2/page-1", "MC14011BDR2")</f>
        <v>MC14011BDR2</v>
      </c>
      <c r="B26792" s="3" t="s">
        <v>95</v>
      </c>
      <c r="C26792" s="6">
        <v>29098</v>
      </c>
      <c r="D26792" s="7">
        <v>0.38</v>
      </c>
      <c r="E26792" t="s">
        <v>31</v>
      </c>
    </row>
    <row r="26793" spans="1:5" x14ac:dyDescent="0.25">
      <c r="A26793" t="str">
        <f>HYPERLINK("https://www.773grp.com/globalSearch/MC14011BDTR2/page-1", "MC14011BDTR2")</f>
        <v>MC14011BDTR2</v>
      </c>
      <c r="B26793" s="3" t="s">
        <v>95</v>
      </c>
      <c r="C26793" s="6">
        <v>7500</v>
      </c>
      <c r="D26793" s="7">
        <v>0.38</v>
      </c>
      <c r="E26793" t="s">
        <v>31</v>
      </c>
    </row>
    <row r="26794" spans="1:5" x14ac:dyDescent="0.25">
      <c r="A26794" t="str">
        <f>HYPERLINK("https://www.773grp.com/globalSearch/MC14011UBCP/page-1", "MC14011UBCP")</f>
        <v>MC14011UBCP</v>
      </c>
      <c r="B26794" s="3" t="s">
        <v>95</v>
      </c>
      <c r="C26794" s="6">
        <v>4</v>
      </c>
      <c r="D26794" s="7">
        <v>0.38</v>
      </c>
      <c r="E26794" t="s">
        <v>31</v>
      </c>
    </row>
    <row r="26795" spans="1:5" x14ac:dyDescent="0.25">
      <c r="A26795" t="str">
        <f>HYPERLINK("https://www.773grp.com/globalSearch/MC14012BCP/page-1", "MC14012BCP")</f>
        <v>MC14012BCP</v>
      </c>
      <c r="B26795" s="3" t="s">
        <v>95</v>
      </c>
      <c r="C26795" s="6">
        <v>40</v>
      </c>
      <c r="D26795" s="7">
        <v>0.38</v>
      </c>
      <c r="E26795" t="s">
        <v>31</v>
      </c>
    </row>
    <row r="26796" spans="1:5" x14ac:dyDescent="0.25">
      <c r="A26796" t="str">
        <f>HYPERLINK("https://www.773grp.com/globalSearch/MC14012BD/page-1", "MC14012BD")</f>
        <v>MC14012BD</v>
      </c>
      <c r="B26796" s="3" t="s">
        <v>95</v>
      </c>
      <c r="C26796" s="6">
        <v>3575</v>
      </c>
      <c r="D26796" s="7">
        <v>0.38</v>
      </c>
      <c r="E26796" t="s">
        <v>31</v>
      </c>
    </row>
    <row r="26797" spans="1:5" x14ac:dyDescent="0.25">
      <c r="A26797" t="str">
        <f>HYPERLINK("https://www.773grp.com/globalSearch/MC14012BDR2/page-1", "MC14012BDR2")</f>
        <v>MC14012BDR2</v>
      </c>
      <c r="B26797" s="3" t="s">
        <v>95</v>
      </c>
      <c r="C26797" s="6">
        <v>25000</v>
      </c>
      <c r="D26797" s="7">
        <v>0.38</v>
      </c>
      <c r="E26797" t="s">
        <v>31</v>
      </c>
    </row>
    <row r="26798" spans="1:5" x14ac:dyDescent="0.25">
      <c r="A26798" t="str">
        <f>HYPERLINK("https://www.773grp.com/globalSearch/MC14013BD/page-1", "MC14013BD")</f>
        <v>MC14013BD</v>
      </c>
      <c r="B26798" s="3" t="s">
        <v>95</v>
      </c>
      <c r="C26798" s="6">
        <v>7302</v>
      </c>
      <c r="D26798" s="7">
        <v>0.38</v>
      </c>
      <c r="E26798" t="s">
        <v>35</v>
      </c>
    </row>
    <row r="26799" spans="1:5" x14ac:dyDescent="0.25">
      <c r="A26799" t="str">
        <f>HYPERLINK("https://www.773grp.com/globalSearch/MC14013BDR2/page-1", "MC14013BDR2")</f>
        <v>MC14013BDR2</v>
      </c>
      <c r="B26799" s="3" t="s">
        <v>95</v>
      </c>
      <c r="C26799" s="6">
        <v>2257</v>
      </c>
      <c r="D26799" s="7">
        <v>0.38</v>
      </c>
      <c r="E26799" t="s">
        <v>35</v>
      </c>
    </row>
    <row r="26800" spans="1:5" x14ac:dyDescent="0.25">
      <c r="A26800" t="str">
        <f>HYPERLINK("https://www.773grp.com/globalSearch/MC14013BF/page-1", "MC14013BF")</f>
        <v>MC14013BF</v>
      </c>
      <c r="B26800" s="3" t="s">
        <v>95</v>
      </c>
      <c r="C26800" s="6">
        <v>4700</v>
      </c>
      <c r="D26800" s="7">
        <v>0.38</v>
      </c>
      <c r="E26800" t="s">
        <v>35</v>
      </c>
    </row>
    <row r="26801" spans="1:5" x14ac:dyDescent="0.25">
      <c r="A26801" t="str">
        <f>HYPERLINK("https://www.773grp.com/globalSearch/MC14016BD/page-1", "MC14016BD")</f>
        <v>MC14016BD</v>
      </c>
      <c r="B26801" s="3" t="s">
        <v>95</v>
      </c>
      <c r="C26801" s="6">
        <v>4029</v>
      </c>
      <c r="D26801" s="7">
        <v>0.38</v>
      </c>
      <c r="E26801" t="s">
        <v>56</v>
      </c>
    </row>
    <row r="26802" spans="1:5" x14ac:dyDescent="0.25">
      <c r="A26802" t="str">
        <f>HYPERLINK("https://www.773grp.com/globalSearch/MC14023BD/page-1", "MC14023BD")</f>
        <v>MC14023BD</v>
      </c>
      <c r="B26802" s="3" t="s">
        <v>95</v>
      </c>
      <c r="C26802" s="6">
        <v>3300</v>
      </c>
      <c r="D26802" s="7">
        <v>0.38</v>
      </c>
      <c r="E26802" t="s">
        <v>31</v>
      </c>
    </row>
    <row r="26803" spans="1:5" x14ac:dyDescent="0.25">
      <c r="A26803" t="str">
        <f>HYPERLINK("https://www.773grp.com/globalSearch/MC14023BDR2/page-1", "MC14023BDR2")</f>
        <v>MC14023BDR2</v>
      </c>
      <c r="B26803" s="3" t="s">
        <v>95</v>
      </c>
      <c r="C26803" s="6">
        <v>2500</v>
      </c>
      <c r="D26803" s="7">
        <v>0.38</v>
      </c>
      <c r="E26803" t="s">
        <v>31</v>
      </c>
    </row>
    <row r="26804" spans="1:5" x14ac:dyDescent="0.25">
      <c r="A26804" t="str">
        <f>HYPERLINK("https://www.773grp.com/globalSearch/MC14024BD/page-1", "MC14024BD")</f>
        <v>MC14024BD</v>
      </c>
      <c r="B26804" s="3" t="s">
        <v>95</v>
      </c>
      <c r="C26804" s="6">
        <v>4165</v>
      </c>
      <c r="D26804" s="7">
        <v>0.38</v>
      </c>
      <c r="E26804" t="s">
        <v>26</v>
      </c>
    </row>
    <row r="26805" spans="1:5" x14ac:dyDescent="0.25">
      <c r="A26805" t="str">
        <f>HYPERLINK("https://www.773grp.com/globalSearch/MC14025BCP/page-1", "MC14025BCP")</f>
        <v>MC14025BCP</v>
      </c>
      <c r="B26805" s="3" t="s">
        <v>95</v>
      </c>
      <c r="C26805" s="6">
        <v>3170</v>
      </c>
      <c r="D26805" s="7">
        <v>0.38</v>
      </c>
      <c r="E26805" t="s">
        <v>31</v>
      </c>
    </row>
    <row r="26806" spans="1:5" x14ac:dyDescent="0.25">
      <c r="A26806" t="str">
        <f>HYPERLINK("https://www.773grp.com/globalSearch/MC14025BDR2/page-1", "MC14025BDR2")</f>
        <v>MC14025BDR2</v>
      </c>
      <c r="B26806" s="3" t="s">
        <v>95</v>
      </c>
      <c r="C26806" s="6">
        <v>6314</v>
      </c>
      <c r="D26806" s="7">
        <v>0.38</v>
      </c>
      <c r="E26806" t="s">
        <v>31</v>
      </c>
    </row>
    <row r="26807" spans="1:5" x14ac:dyDescent="0.25">
      <c r="A26807" t="str">
        <f>HYPERLINK("https://www.773grp.com/globalSearch/MC14027BD/page-1", "MC14027BD")</f>
        <v>MC14027BD</v>
      </c>
      <c r="B26807" s="3" t="s">
        <v>95</v>
      </c>
      <c r="C26807" s="6">
        <v>1481</v>
      </c>
      <c r="D26807" s="7">
        <v>0.38</v>
      </c>
      <c r="E26807" t="s">
        <v>35</v>
      </c>
    </row>
    <row r="26808" spans="1:5" x14ac:dyDescent="0.25">
      <c r="A26808" t="str">
        <f>HYPERLINK("https://www.773grp.com/globalSearch/MC14027BDR2/page-1", "MC14027BDR2")</f>
        <v>MC14027BDR2</v>
      </c>
      <c r="B26808" s="3" t="s">
        <v>95</v>
      </c>
      <c r="C26808" s="6">
        <v>1000</v>
      </c>
      <c r="D26808" s="7">
        <v>0.38</v>
      </c>
      <c r="E26808" t="s">
        <v>35</v>
      </c>
    </row>
    <row r="26809" spans="1:5" x14ac:dyDescent="0.25">
      <c r="A26809" t="str">
        <f>HYPERLINK("https://www.773grp.com/globalSearch/MC14066BD/page-1", "MC14066BD")</f>
        <v>MC14066BD</v>
      </c>
      <c r="B26809" s="3" t="s">
        <v>95</v>
      </c>
      <c r="C26809" s="6">
        <v>14500</v>
      </c>
      <c r="D26809" s="7">
        <v>0.38</v>
      </c>
      <c r="E26809" t="s">
        <v>56</v>
      </c>
    </row>
    <row r="26810" spans="1:5" x14ac:dyDescent="0.25">
      <c r="A26810" t="str">
        <f>HYPERLINK("https://www.773grp.com/globalSearch/MC14066BDR2/page-1", "MC14066BDR2")</f>
        <v>MC14066BDR2</v>
      </c>
      <c r="B26810" s="3" t="s">
        <v>95</v>
      </c>
      <c r="C26810" s="6">
        <v>79889</v>
      </c>
      <c r="D26810" s="7">
        <v>0.38</v>
      </c>
      <c r="E26810" t="s">
        <v>56</v>
      </c>
    </row>
    <row r="26811" spans="1:5" x14ac:dyDescent="0.25">
      <c r="A26811" t="str">
        <f>HYPERLINK("https://www.773grp.com/globalSearch/MC14066BDTR2/page-1", "MC14066BDTR2")</f>
        <v>MC14066BDTR2</v>
      </c>
      <c r="B26811" s="3" t="s">
        <v>95</v>
      </c>
      <c r="C26811" s="6">
        <v>7500</v>
      </c>
      <c r="D26811" s="7">
        <v>0.38</v>
      </c>
      <c r="E26811" t="s">
        <v>56</v>
      </c>
    </row>
    <row r="26812" spans="1:5" x14ac:dyDescent="0.25">
      <c r="A26812" t="str">
        <f>HYPERLINK("https://www.773grp.com/globalSearch/MC14069UBDR2/page-1", "MC14069UBDR2")</f>
        <v>MC14069UBDR2</v>
      </c>
      <c r="B26812" s="3" t="s">
        <v>95</v>
      </c>
      <c r="C26812" s="6">
        <v>57026</v>
      </c>
      <c r="D26812" s="7">
        <v>0.38</v>
      </c>
      <c r="E26812" t="s">
        <v>31</v>
      </c>
    </row>
    <row r="26813" spans="1:5" x14ac:dyDescent="0.25">
      <c r="A26813" t="str">
        <f>HYPERLINK("https://www.773grp.com/globalSearch/MC14070BCP/page-1", "MC14070BCP")</f>
        <v>MC14070BCP</v>
      </c>
      <c r="B26813" s="3" t="s">
        <v>95</v>
      </c>
      <c r="C26813" s="6">
        <v>460</v>
      </c>
      <c r="D26813" s="7">
        <v>0.38</v>
      </c>
      <c r="E26813" t="s">
        <v>31</v>
      </c>
    </row>
    <row r="26814" spans="1:5" x14ac:dyDescent="0.25">
      <c r="A26814" t="str">
        <f>HYPERLINK("https://www.773grp.com/globalSearch/MC14073BCP/page-1", "MC14073BCP")</f>
        <v>MC14073BCP</v>
      </c>
      <c r="B26814" s="3" t="s">
        <v>95</v>
      </c>
      <c r="C26814" s="6">
        <v>2806</v>
      </c>
      <c r="D26814" s="7">
        <v>0.38</v>
      </c>
      <c r="E26814" t="s">
        <v>31</v>
      </c>
    </row>
    <row r="26815" spans="1:5" x14ac:dyDescent="0.25">
      <c r="A26815" t="str">
        <f>HYPERLINK("https://www.773grp.com/globalSearch/MC14073BFEL/page-1", "MC14073BFEL")</f>
        <v>MC14073BFEL</v>
      </c>
      <c r="B26815" s="3" t="s">
        <v>95</v>
      </c>
      <c r="C26815" s="6">
        <v>4000</v>
      </c>
      <c r="D26815" s="7">
        <v>0.38</v>
      </c>
      <c r="E26815" t="s">
        <v>31</v>
      </c>
    </row>
    <row r="26816" spans="1:5" x14ac:dyDescent="0.25">
      <c r="A26816" t="str">
        <f>HYPERLINK("https://www.773grp.com/globalSearch/MC14075BFEL/page-1", "MC14075BFEL")</f>
        <v>MC14075BFEL</v>
      </c>
      <c r="B26816" s="3" t="s">
        <v>95</v>
      </c>
      <c r="C26816" s="6">
        <v>12000</v>
      </c>
      <c r="D26816" s="7">
        <v>0.38</v>
      </c>
    </row>
    <row r="26817" spans="1:5" x14ac:dyDescent="0.25">
      <c r="A26817" t="str">
        <f>HYPERLINK("https://www.773grp.com/globalSearch/MC14077BCP/page-1", "MC14077BCP")</f>
        <v>MC14077BCP</v>
      </c>
      <c r="B26817" s="3" t="s">
        <v>95</v>
      </c>
      <c r="C26817" s="6">
        <v>3637</v>
      </c>
      <c r="D26817" s="7">
        <v>0.38</v>
      </c>
      <c r="E26817" t="s">
        <v>31</v>
      </c>
    </row>
    <row r="26818" spans="1:5" x14ac:dyDescent="0.25">
      <c r="A26818" t="str">
        <f>HYPERLINK("https://www.773grp.com/globalSearch/MC14077BD/page-1", "MC14077BD")</f>
        <v>MC14077BD</v>
      </c>
      <c r="B26818" s="3" t="s">
        <v>95</v>
      </c>
      <c r="C26818" s="6">
        <v>9055</v>
      </c>
      <c r="D26818" s="7">
        <v>0.38</v>
      </c>
      <c r="E26818" t="s">
        <v>31</v>
      </c>
    </row>
    <row r="26819" spans="1:5" x14ac:dyDescent="0.25">
      <c r="A26819" t="str">
        <f>HYPERLINK("https://www.773grp.com/globalSearch/MC14077BDR2/page-1", "MC14077BDR2")</f>
        <v>MC14077BDR2</v>
      </c>
      <c r="B26819" s="3" t="s">
        <v>95</v>
      </c>
      <c r="C26819" s="6">
        <v>6420</v>
      </c>
      <c r="D26819" s="7">
        <v>0.38</v>
      </c>
      <c r="E26819" t="s">
        <v>31</v>
      </c>
    </row>
    <row r="26820" spans="1:5" x14ac:dyDescent="0.25">
      <c r="A26820" t="str">
        <f>HYPERLINK("https://www.773grp.com/globalSearch/MC14077BF/page-1", "MC14077BF")</f>
        <v>MC14077BF</v>
      </c>
      <c r="B26820" s="3" t="s">
        <v>95</v>
      </c>
      <c r="C26820" s="6">
        <v>20</v>
      </c>
      <c r="D26820" s="7">
        <v>0.38</v>
      </c>
      <c r="E26820" t="s">
        <v>31</v>
      </c>
    </row>
    <row r="26821" spans="1:5" x14ac:dyDescent="0.25">
      <c r="A26821" t="str">
        <f>HYPERLINK("https://www.773grp.com/globalSearch/MC14081BDT/page-1", "MC14081BDT")</f>
        <v>MC14081BDT</v>
      </c>
      <c r="B26821" s="3" t="s">
        <v>95</v>
      </c>
      <c r="C26821" s="6">
        <v>8044</v>
      </c>
      <c r="D26821" s="7">
        <v>0.38</v>
      </c>
      <c r="E26821" t="s">
        <v>31</v>
      </c>
    </row>
    <row r="26822" spans="1:5" x14ac:dyDescent="0.25">
      <c r="A26822" t="str">
        <f>HYPERLINK("https://www.773grp.com/globalSearch/MC14082BCP/page-1", "MC14082BCP")</f>
        <v>MC14082BCP</v>
      </c>
      <c r="B26822" s="3" t="s">
        <v>95</v>
      </c>
      <c r="C26822" s="6">
        <v>8858</v>
      </c>
      <c r="D26822" s="7">
        <v>0.38</v>
      </c>
      <c r="E26822" t="s">
        <v>31</v>
      </c>
    </row>
    <row r="26823" spans="1:5" x14ac:dyDescent="0.25">
      <c r="A26823" t="str">
        <f>HYPERLINK("https://www.773grp.com/globalSearch/MC14082BD/page-1", "MC14082BD")</f>
        <v>MC14082BD</v>
      </c>
      <c r="B26823" s="3" t="s">
        <v>95</v>
      </c>
      <c r="C26823" s="6">
        <v>819</v>
      </c>
      <c r="D26823" s="7">
        <v>0.38</v>
      </c>
      <c r="E26823" t="s">
        <v>31</v>
      </c>
    </row>
    <row r="26824" spans="1:5" x14ac:dyDescent="0.25">
      <c r="A26824" t="str">
        <f>HYPERLINK("https://www.773grp.com/globalSearch/MC14093BDR2/page-1", "MC14093BDR2")</f>
        <v>MC14093BDR2</v>
      </c>
      <c r="B26824" s="3" t="s">
        <v>95</v>
      </c>
      <c r="C26824" s="6">
        <v>10119</v>
      </c>
      <c r="D26824" s="7">
        <v>0.38</v>
      </c>
      <c r="E26824" t="s">
        <v>31</v>
      </c>
    </row>
    <row r="26825" spans="1:5" x14ac:dyDescent="0.25">
      <c r="A26825" t="str">
        <f>HYPERLINK("https://www.773grp.com/globalSearch/MC74AC00DT/page-1", "MC74AC00DT")</f>
        <v>MC74AC00DT</v>
      </c>
      <c r="B26825" s="3" t="s">
        <v>95</v>
      </c>
      <c r="C26825" s="6">
        <v>10510</v>
      </c>
      <c r="D26825" s="7">
        <v>0.38</v>
      </c>
      <c r="E26825" t="s">
        <v>31</v>
      </c>
    </row>
    <row r="26826" spans="1:5" x14ac:dyDescent="0.25">
      <c r="A26826" t="str">
        <f>HYPERLINK("https://www.773grp.com/globalSearch/MC74AC00DT/page-1", "MC74AC00DT")</f>
        <v>MC74AC00DT</v>
      </c>
      <c r="B26826" s="3" t="s">
        <v>95</v>
      </c>
      <c r="C26826" s="6">
        <v>2422</v>
      </c>
      <c r="D26826" s="7">
        <v>0.38</v>
      </c>
      <c r="E26826" t="s">
        <v>31</v>
      </c>
    </row>
    <row r="26827" spans="1:5" x14ac:dyDescent="0.25">
      <c r="A26827" t="str">
        <f>HYPERLINK("https://www.773grp.com/globalSearch/MC74AC00DTR2/page-1", "MC74AC00DTR2")</f>
        <v>MC74AC00DTR2</v>
      </c>
      <c r="B26827" s="3" t="s">
        <v>95</v>
      </c>
      <c r="C26827" s="6">
        <v>25000</v>
      </c>
      <c r="D26827" s="7">
        <v>0.38</v>
      </c>
      <c r="E26827" t="s">
        <v>31</v>
      </c>
    </row>
    <row r="26828" spans="1:5" x14ac:dyDescent="0.25">
      <c r="A26828" t="str">
        <f>HYPERLINK("https://www.773grp.com/globalSearch/MC74AC00MEL/page-1", "MC74AC00MEL")</f>
        <v>MC74AC00MEL</v>
      </c>
      <c r="B26828" s="3" t="s">
        <v>95</v>
      </c>
      <c r="C26828" s="6">
        <v>12957</v>
      </c>
      <c r="D26828" s="7">
        <v>0.38</v>
      </c>
      <c r="E26828" t="s">
        <v>31</v>
      </c>
    </row>
    <row r="26829" spans="1:5" x14ac:dyDescent="0.25">
      <c r="A26829" t="str">
        <f>HYPERLINK("https://www.773grp.com/globalSearch/MC74AC00N/page-1", "MC74AC00N")</f>
        <v>MC74AC00N</v>
      </c>
      <c r="B26829" s="3" t="s">
        <v>95</v>
      </c>
      <c r="C26829" s="6">
        <v>8050</v>
      </c>
      <c r="D26829" s="7">
        <v>0.38</v>
      </c>
      <c r="E26829" t="s">
        <v>31</v>
      </c>
    </row>
    <row r="26830" spans="1:5" x14ac:dyDescent="0.25">
      <c r="A26830" t="str">
        <f>HYPERLINK("https://www.773grp.com/globalSearch/MC74AC02D/page-1", "MC74AC02D")</f>
        <v>MC74AC02D</v>
      </c>
      <c r="B26830" s="3" t="s">
        <v>95</v>
      </c>
      <c r="C26830" s="6">
        <v>25015</v>
      </c>
      <c r="D26830" s="7">
        <v>0.38</v>
      </c>
      <c r="E26830" t="s">
        <v>31</v>
      </c>
    </row>
    <row r="26831" spans="1:5" x14ac:dyDescent="0.25">
      <c r="A26831" t="str">
        <f>HYPERLINK("https://www.773grp.com/globalSearch/MC74AC02DT/page-1", "MC74AC02DT")</f>
        <v>MC74AC02DT</v>
      </c>
      <c r="B26831" s="3" t="s">
        <v>95</v>
      </c>
      <c r="C26831" s="6">
        <v>6254</v>
      </c>
      <c r="D26831" s="7">
        <v>0.38</v>
      </c>
      <c r="E26831" t="s">
        <v>31</v>
      </c>
    </row>
    <row r="26832" spans="1:5" x14ac:dyDescent="0.25">
      <c r="A26832" t="str">
        <f>HYPERLINK("https://www.773grp.com/globalSearch/MC74AC02DT/page-1", "MC74AC02DT")</f>
        <v>MC74AC02DT</v>
      </c>
      <c r="B26832" s="3" t="s">
        <v>95</v>
      </c>
      <c r="C26832" s="6">
        <v>5204</v>
      </c>
      <c r="D26832" s="7">
        <v>0.38</v>
      </c>
      <c r="E26832" t="s">
        <v>31</v>
      </c>
    </row>
    <row r="26833" spans="1:5" x14ac:dyDescent="0.25">
      <c r="A26833" t="str">
        <f>HYPERLINK("https://www.773grp.com/globalSearch/MC74AC02DTR2/page-1", "MC74AC02DTR2")</f>
        <v>MC74AC02DTR2</v>
      </c>
      <c r="B26833" s="3" t="s">
        <v>95</v>
      </c>
      <c r="C26833" s="6">
        <v>125000</v>
      </c>
      <c r="D26833" s="7">
        <v>0.38</v>
      </c>
      <c r="E26833" t="s">
        <v>31</v>
      </c>
    </row>
    <row r="26834" spans="1:5" x14ac:dyDescent="0.25">
      <c r="A26834" t="str">
        <f>HYPERLINK("https://www.773grp.com/globalSearch/MC74AC02MEL/page-1", "MC74AC02MEL")</f>
        <v>MC74AC02MEL</v>
      </c>
      <c r="B26834" s="3" t="s">
        <v>95</v>
      </c>
      <c r="C26834" s="6">
        <v>795</v>
      </c>
      <c r="D26834" s="7">
        <v>0.38</v>
      </c>
      <c r="E26834" t="s">
        <v>31</v>
      </c>
    </row>
    <row r="26835" spans="1:5" x14ac:dyDescent="0.25">
      <c r="A26835" t="str">
        <f>HYPERLINK("https://www.773grp.com/globalSearch/MC74AC02N/page-1", "MC74AC02N")</f>
        <v>MC74AC02N</v>
      </c>
      <c r="B26835" s="3" t="s">
        <v>95</v>
      </c>
      <c r="C26835" s="6">
        <v>935</v>
      </c>
      <c r="D26835" s="7">
        <v>0.38</v>
      </c>
      <c r="E26835" t="s">
        <v>31</v>
      </c>
    </row>
    <row r="26836" spans="1:5" x14ac:dyDescent="0.25">
      <c r="A26836" t="str">
        <f>HYPERLINK("https://www.773grp.com/globalSearch/MC74AC04MEL/page-1", "MC74AC04MEL")</f>
        <v>MC74AC04MEL</v>
      </c>
      <c r="B26836" s="3" t="s">
        <v>95</v>
      </c>
      <c r="C26836" s="6">
        <v>7445</v>
      </c>
      <c r="D26836" s="7">
        <v>0.38</v>
      </c>
      <c r="E26836" t="s">
        <v>31</v>
      </c>
    </row>
    <row r="26837" spans="1:5" x14ac:dyDescent="0.25">
      <c r="A26837" t="str">
        <f>HYPERLINK("https://www.773grp.com/globalSearch/MC74AC04N/page-1", "MC74AC04N")</f>
        <v>MC74AC04N</v>
      </c>
      <c r="B26837" s="3" t="s">
        <v>95</v>
      </c>
      <c r="C26837" s="6">
        <v>11175</v>
      </c>
      <c r="D26837" s="7">
        <v>0.38</v>
      </c>
      <c r="E26837" t="s">
        <v>31</v>
      </c>
    </row>
    <row r="26838" spans="1:5" x14ac:dyDescent="0.25">
      <c r="A26838" t="str">
        <f>HYPERLINK("https://www.773grp.com/globalSearch/MC74AC05D/page-1", "MC74AC05D")</f>
        <v>MC74AC05D</v>
      </c>
      <c r="B26838" s="3" t="s">
        <v>95</v>
      </c>
      <c r="C26838" s="6">
        <v>5370</v>
      </c>
      <c r="D26838" s="7">
        <v>0.38</v>
      </c>
      <c r="E26838" t="s">
        <v>31</v>
      </c>
    </row>
    <row r="26839" spans="1:5" x14ac:dyDescent="0.25">
      <c r="A26839" t="str">
        <f>HYPERLINK("https://www.773grp.com/globalSearch/MC74AC05DR2/page-1", "MC74AC05DR2")</f>
        <v>MC74AC05DR2</v>
      </c>
      <c r="B26839" s="3" t="s">
        <v>95</v>
      </c>
      <c r="C26839" s="6">
        <v>10000</v>
      </c>
      <c r="D26839" s="7">
        <v>0.38</v>
      </c>
      <c r="E26839" t="s">
        <v>31</v>
      </c>
    </row>
    <row r="26840" spans="1:5" x14ac:dyDescent="0.25">
      <c r="A26840" t="str">
        <f>HYPERLINK("https://www.773grp.com/globalSearch/MC74AC08D/page-1", "MC74AC08D")</f>
        <v>MC74AC08D</v>
      </c>
      <c r="B26840" s="3" t="s">
        <v>95</v>
      </c>
      <c r="C26840" s="6">
        <v>10960</v>
      </c>
      <c r="D26840" s="7">
        <v>0.38</v>
      </c>
      <c r="E26840" t="s">
        <v>31</v>
      </c>
    </row>
    <row r="26841" spans="1:5" x14ac:dyDescent="0.25">
      <c r="A26841" t="str">
        <f>HYPERLINK("https://www.773grp.com/globalSearch/MC74AC08MEL/page-1", "MC74AC08MEL")</f>
        <v>MC74AC08MEL</v>
      </c>
      <c r="B26841" s="3" t="s">
        <v>95</v>
      </c>
      <c r="C26841" s="6">
        <v>6000</v>
      </c>
      <c r="D26841" s="7">
        <v>0.38</v>
      </c>
      <c r="E26841" t="s">
        <v>31</v>
      </c>
    </row>
    <row r="26842" spans="1:5" x14ac:dyDescent="0.25">
      <c r="A26842" t="str">
        <f>HYPERLINK("https://www.773grp.com/globalSearch/MC74AC08N/page-1", "MC74AC08N")</f>
        <v>MC74AC08N</v>
      </c>
      <c r="B26842" s="3" t="s">
        <v>95</v>
      </c>
      <c r="C26842" s="6">
        <v>1266</v>
      </c>
      <c r="D26842" s="7">
        <v>0.38</v>
      </c>
      <c r="E26842" t="s">
        <v>31</v>
      </c>
    </row>
    <row r="26843" spans="1:5" x14ac:dyDescent="0.25">
      <c r="A26843" t="str">
        <f>HYPERLINK("https://www.773grp.com/globalSearch/MC74AC10DR2/page-1", "MC74AC10DR2")</f>
        <v>MC74AC10DR2</v>
      </c>
      <c r="B26843" s="3" t="s">
        <v>95</v>
      </c>
      <c r="C26843" s="6">
        <v>12500</v>
      </c>
      <c r="D26843" s="7">
        <v>0.38</v>
      </c>
      <c r="E26843" t="s">
        <v>31</v>
      </c>
    </row>
    <row r="26844" spans="1:5" x14ac:dyDescent="0.25">
      <c r="A26844" t="str">
        <f>HYPERLINK("https://www.773grp.com/globalSearch/MC74AC10N/page-1", "MC74AC10N")</f>
        <v>MC74AC10N</v>
      </c>
      <c r="B26844" s="3" t="s">
        <v>95</v>
      </c>
      <c r="C26844" s="6">
        <v>7058</v>
      </c>
      <c r="D26844" s="7">
        <v>0.38</v>
      </c>
      <c r="E26844" t="s">
        <v>31</v>
      </c>
    </row>
    <row r="26845" spans="1:5" x14ac:dyDescent="0.25">
      <c r="A26845" t="str">
        <f>HYPERLINK("https://www.773grp.com/globalSearch/MC74AC11D/page-1", "MC74AC11D")</f>
        <v>MC74AC11D</v>
      </c>
      <c r="B26845" s="3" t="s">
        <v>95</v>
      </c>
      <c r="C26845" s="6">
        <v>16310</v>
      </c>
      <c r="D26845" s="7">
        <v>0.38</v>
      </c>
      <c r="E26845" t="s">
        <v>31</v>
      </c>
    </row>
    <row r="26846" spans="1:5" x14ac:dyDescent="0.25">
      <c r="A26846" t="str">
        <f>HYPERLINK("https://www.773grp.com/globalSearch/MC74AC11DR2/page-1", "MC74AC11DR2")</f>
        <v>MC74AC11DR2</v>
      </c>
      <c r="B26846" s="3" t="s">
        <v>95</v>
      </c>
      <c r="C26846" s="6">
        <v>12500</v>
      </c>
      <c r="D26846" s="7">
        <v>0.38</v>
      </c>
      <c r="E26846" t="s">
        <v>31</v>
      </c>
    </row>
    <row r="26847" spans="1:5" x14ac:dyDescent="0.25">
      <c r="A26847" t="str">
        <f>HYPERLINK("https://www.773grp.com/globalSearch/MC74AC11MEL/page-1", "MC74AC11MEL")</f>
        <v>MC74AC11MEL</v>
      </c>
      <c r="B26847" s="3" t="s">
        <v>95</v>
      </c>
      <c r="C26847" s="6">
        <v>1244</v>
      </c>
      <c r="D26847" s="7">
        <v>0.38</v>
      </c>
      <c r="E26847" t="s">
        <v>31</v>
      </c>
    </row>
    <row r="26848" spans="1:5" x14ac:dyDescent="0.25">
      <c r="A26848" t="str">
        <f>HYPERLINK("https://www.773grp.com/globalSearch/MC74AC11N/page-1", "MC74AC11N")</f>
        <v>MC74AC11N</v>
      </c>
      <c r="B26848" s="3" t="s">
        <v>95</v>
      </c>
      <c r="C26848" s="6">
        <v>4525</v>
      </c>
      <c r="D26848" s="7">
        <v>0.38</v>
      </c>
      <c r="E26848" t="s">
        <v>31</v>
      </c>
    </row>
    <row r="26849" spans="1:5" x14ac:dyDescent="0.25">
      <c r="A26849" t="str">
        <f>HYPERLINK("https://www.773grp.com/globalSearch/MC74AC14D/page-1", "MC74AC14D")</f>
        <v>MC74AC14D</v>
      </c>
      <c r="B26849" s="3" t="s">
        <v>95</v>
      </c>
      <c r="C26849" s="6">
        <v>5452</v>
      </c>
      <c r="D26849" s="7">
        <v>0.38</v>
      </c>
      <c r="E26849" t="s">
        <v>31</v>
      </c>
    </row>
    <row r="26850" spans="1:5" x14ac:dyDescent="0.25">
      <c r="A26850" t="str">
        <f>HYPERLINK("https://www.773grp.com/globalSearch/MC74AC20D/page-1", "MC74AC20D")</f>
        <v>MC74AC20D</v>
      </c>
      <c r="B26850" s="3" t="s">
        <v>95</v>
      </c>
      <c r="C26850" s="6">
        <v>1210</v>
      </c>
      <c r="D26850" s="7">
        <v>0.38</v>
      </c>
      <c r="E26850" t="s">
        <v>31</v>
      </c>
    </row>
    <row r="26851" spans="1:5" x14ac:dyDescent="0.25">
      <c r="A26851" t="str">
        <f>HYPERLINK("https://www.773grp.com/globalSearch/MC74AC20MEL/page-1", "MC74AC20MEL")</f>
        <v>MC74AC20MEL</v>
      </c>
      <c r="B26851" s="3" t="s">
        <v>95</v>
      </c>
      <c r="C26851" s="6">
        <v>5338</v>
      </c>
      <c r="D26851" s="7">
        <v>0.38</v>
      </c>
      <c r="E26851" t="s">
        <v>31</v>
      </c>
    </row>
    <row r="26852" spans="1:5" x14ac:dyDescent="0.25">
      <c r="A26852" t="str">
        <f>HYPERLINK("https://www.773grp.com/globalSearch/MC74AC32D/page-1", "MC74AC32D")</f>
        <v>MC74AC32D</v>
      </c>
      <c r="B26852" s="3" t="s">
        <v>95</v>
      </c>
      <c r="C26852" s="6">
        <v>5535</v>
      </c>
      <c r="D26852" s="7">
        <v>0.38</v>
      </c>
      <c r="E26852" t="s">
        <v>31</v>
      </c>
    </row>
    <row r="26853" spans="1:5" x14ac:dyDescent="0.25">
      <c r="A26853" t="str">
        <f>HYPERLINK("https://www.773grp.com/globalSearch/MC74AC32DR2/page-1", "MC74AC32DR2")</f>
        <v>MC74AC32DR2</v>
      </c>
      <c r="B26853" s="3" t="s">
        <v>95</v>
      </c>
      <c r="C26853" s="6">
        <v>104375</v>
      </c>
      <c r="D26853" s="7">
        <v>0.38</v>
      </c>
      <c r="E26853" t="s">
        <v>31</v>
      </c>
    </row>
    <row r="26854" spans="1:5" x14ac:dyDescent="0.25">
      <c r="A26854" t="str">
        <f>HYPERLINK("https://www.773grp.com/globalSearch/MC74AC32MEL/page-1", "MC74AC32MEL")</f>
        <v>MC74AC32MEL</v>
      </c>
      <c r="B26854" s="3" t="s">
        <v>95</v>
      </c>
      <c r="C26854" s="6">
        <v>2000</v>
      </c>
      <c r="D26854" s="7">
        <v>0.38</v>
      </c>
      <c r="E26854" t="s">
        <v>31</v>
      </c>
    </row>
    <row r="26855" spans="1:5" x14ac:dyDescent="0.25">
      <c r="A26855" t="str">
        <f>HYPERLINK("https://www.773grp.com/globalSearch/MC74AC32N/page-1", "MC74AC32N")</f>
        <v>MC74AC32N</v>
      </c>
      <c r="B26855" s="3" t="s">
        <v>95</v>
      </c>
      <c r="C26855" s="6">
        <v>4126</v>
      </c>
      <c r="D26855" s="7">
        <v>0.38</v>
      </c>
      <c r="E26855" t="s">
        <v>31</v>
      </c>
    </row>
    <row r="26856" spans="1:5" x14ac:dyDescent="0.25">
      <c r="A26856" t="str">
        <f>HYPERLINK("https://www.773grp.com/globalSearch/MC74AC74D/page-1", "MC74AC74D")</f>
        <v>MC74AC74D</v>
      </c>
      <c r="B26856" s="3" t="s">
        <v>95</v>
      </c>
      <c r="C26856" s="6">
        <v>5705</v>
      </c>
      <c r="D26856" s="7">
        <v>0.38</v>
      </c>
      <c r="E26856" t="s">
        <v>35</v>
      </c>
    </row>
    <row r="26857" spans="1:5" x14ac:dyDescent="0.25">
      <c r="A26857" t="str">
        <f>HYPERLINK("https://www.773grp.com/globalSearch/MC74AC74DT/page-1", "MC74AC74DT")</f>
        <v>MC74AC74DT</v>
      </c>
      <c r="B26857" s="3" t="s">
        <v>95</v>
      </c>
      <c r="C26857" s="6">
        <v>8120</v>
      </c>
      <c r="D26857" s="7">
        <v>0.38</v>
      </c>
      <c r="E26857" t="s">
        <v>35</v>
      </c>
    </row>
    <row r="26858" spans="1:5" x14ac:dyDescent="0.25">
      <c r="A26858" t="str">
        <f>HYPERLINK("https://www.773grp.com/globalSearch/MC74AC74MEL/page-1", "MC74AC74MEL")</f>
        <v>MC74AC74MEL</v>
      </c>
      <c r="B26858" s="3" t="s">
        <v>95</v>
      </c>
      <c r="C26858" s="6">
        <v>895</v>
      </c>
      <c r="D26858" s="7">
        <v>0.38</v>
      </c>
      <c r="E26858" t="s">
        <v>35</v>
      </c>
    </row>
    <row r="26859" spans="1:5" x14ac:dyDescent="0.25">
      <c r="A26859" t="str">
        <f>HYPERLINK("https://www.773grp.com/globalSearch/MC74AC74N/page-1", "MC74AC74N")</f>
        <v>MC74AC74N</v>
      </c>
      <c r="B26859" s="3" t="s">
        <v>95</v>
      </c>
      <c r="C26859" s="6">
        <v>650</v>
      </c>
      <c r="D26859" s="7">
        <v>0.38</v>
      </c>
      <c r="E26859" t="s">
        <v>35</v>
      </c>
    </row>
    <row r="26860" spans="1:5" x14ac:dyDescent="0.25">
      <c r="A26860" t="str">
        <f>HYPERLINK("https://www.773grp.com/globalSearch/MC74AC86D/page-1", "MC74AC86D")</f>
        <v>MC74AC86D</v>
      </c>
      <c r="B26860" s="3" t="s">
        <v>95</v>
      </c>
      <c r="C26860" s="6">
        <v>8640</v>
      </c>
      <c r="D26860" s="7">
        <v>0.38</v>
      </c>
      <c r="E26860" t="s">
        <v>31</v>
      </c>
    </row>
    <row r="26861" spans="1:5" x14ac:dyDescent="0.25">
      <c r="A26861" t="str">
        <f>HYPERLINK("https://www.773grp.com/globalSearch/MC74AC86DR2/page-1", "MC74AC86DR2")</f>
        <v>MC74AC86DR2</v>
      </c>
      <c r="B26861" s="3" t="s">
        <v>95</v>
      </c>
      <c r="C26861" s="6">
        <v>5572</v>
      </c>
      <c r="D26861" s="7">
        <v>0.38</v>
      </c>
      <c r="E26861" t="s">
        <v>31</v>
      </c>
    </row>
    <row r="26862" spans="1:5" x14ac:dyDescent="0.25">
      <c r="A26862" t="str">
        <f>HYPERLINK("https://www.773grp.com/globalSearch/MC74AC86DTR2/page-1", "MC74AC86DTR2")</f>
        <v>MC74AC86DTR2</v>
      </c>
      <c r="B26862" s="3" t="s">
        <v>95</v>
      </c>
      <c r="C26862" s="6">
        <v>10000</v>
      </c>
      <c r="D26862" s="7">
        <v>0.38</v>
      </c>
      <c r="E26862" t="s">
        <v>31</v>
      </c>
    </row>
    <row r="26863" spans="1:5" x14ac:dyDescent="0.25">
      <c r="A26863" t="str">
        <f>HYPERLINK("https://www.773grp.com/globalSearch/MC74AC86N/page-1", "MC74AC86N")</f>
        <v>MC74AC86N</v>
      </c>
      <c r="B26863" s="3" t="s">
        <v>95</v>
      </c>
      <c r="C26863" s="6">
        <v>11100</v>
      </c>
      <c r="D26863" s="7">
        <v>0.38</v>
      </c>
      <c r="E26863" t="s">
        <v>31</v>
      </c>
    </row>
    <row r="26864" spans="1:5" x14ac:dyDescent="0.25">
      <c r="A26864" t="str">
        <f>HYPERLINK("https://www.773grp.com/globalSearch/MC74ACT00D/page-1", "MC74ACT00D")</f>
        <v>MC74ACT00D</v>
      </c>
      <c r="B26864" s="3" t="s">
        <v>95</v>
      </c>
      <c r="C26864" s="6">
        <v>3457</v>
      </c>
      <c r="D26864" s="7">
        <v>0.38</v>
      </c>
      <c r="E26864" t="s">
        <v>31</v>
      </c>
    </row>
    <row r="26865" spans="1:5" x14ac:dyDescent="0.25">
      <c r="A26865" t="str">
        <f>HYPERLINK("https://www.773grp.com/globalSearch/MC74ACT00DTR2/page-1", "MC74ACT00DTR2")</f>
        <v>MC74ACT00DTR2</v>
      </c>
      <c r="B26865" s="3" t="s">
        <v>95</v>
      </c>
      <c r="C26865" s="6">
        <v>2488</v>
      </c>
      <c r="D26865" s="7">
        <v>0.38</v>
      </c>
      <c r="E26865" t="s">
        <v>31</v>
      </c>
    </row>
    <row r="26866" spans="1:5" x14ac:dyDescent="0.25">
      <c r="A26866" t="str">
        <f>HYPERLINK("https://www.773grp.com/globalSearch/MC74ACT00M/page-1", "MC74ACT00M")</f>
        <v>MC74ACT00M</v>
      </c>
      <c r="B26866" s="3" t="s">
        <v>95</v>
      </c>
      <c r="C26866" s="6">
        <v>1092</v>
      </c>
      <c r="D26866" s="7">
        <v>0.38</v>
      </c>
      <c r="E26866" t="s">
        <v>31</v>
      </c>
    </row>
    <row r="26867" spans="1:5" x14ac:dyDescent="0.25">
      <c r="A26867" t="str">
        <f>HYPERLINK("https://www.773grp.com/globalSearch/MC74ACT00N/page-1", "MC74ACT00N")</f>
        <v>MC74ACT00N</v>
      </c>
      <c r="B26867" s="3" t="s">
        <v>95</v>
      </c>
      <c r="C26867" s="6">
        <v>7475</v>
      </c>
      <c r="D26867" s="7">
        <v>0.38</v>
      </c>
      <c r="E26867" t="s">
        <v>31</v>
      </c>
    </row>
    <row r="26868" spans="1:5" x14ac:dyDescent="0.25">
      <c r="A26868" t="str">
        <f>HYPERLINK("https://www.773grp.com/globalSearch/MC74ACT02D/page-1", "MC74ACT02D")</f>
        <v>MC74ACT02D</v>
      </c>
      <c r="B26868" s="3" t="s">
        <v>95</v>
      </c>
      <c r="C26868" s="6">
        <v>7816</v>
      </c>
      <c r="D26868" s="7">
        <v>0.38</v>
      </c>
      <c r="E26868" t="s">
        <v>31</v>
      </c>
    </row>
    <row r="26869" spans="1:5" x14ac:dyDescent="0.25">
      <c r="A26869" t="str">
        <f>HYPERLINK("https://www.773grp.com/globalSearch/MC74ACT02DTR2/page-1", "MC74ACT02DTR2")</f>
        <v>MC74ACT02DTR2</v>
      </c>
      <c r="B26869" s="3" t="s">
        <v>95</v>
      </c>
      <c r="C26869" s="6">
        <v>5000</v>
      </c>
      <c r="D26869" s="7">
        <v>0.38</v>
      </c>
      <c r="E26869" t="s">
        <v>31</v>
      </c>
    </row>
    <row r="26870" spans="1:5" x14ac:dyDescent="0.25">
      <c r="A26870" t="str">
        <f>HYPERLINK("https://www.773grp.com/globalSearch/MC74ACT02N/page-1", "MC74ACT02N")</f>
        <v>MC74ACT02N</v>
      </c>
      <c r="B26870" s="3" t="s">
        <v>95</v>
      </c>
      <c r="C26870" s="6">
        <v>76</v>
      </c>
      <c r="D26870" s="7">
        <v>0.38</v>
      </c>
      <c r="E26870" t="s">
        <v>31</v>
      </c>
    </row>
    <row r="26871" spans="1:5" x14ac:dyDescent="0.25">
      <c r="A26871" t="str">
        <f>HYPERLINK("https://www.773grp.com/globalSearch/MC74ACT04D/page-1", "MC74ACT04D")</f>
        <v>MC74ACT04D</v>
      </c>
      <c r="B26871" s="3" t="s">
        <v>95</v>
      </c>
      <c r="C26871" s="6">
        <v>19236</v>
      </c>
      <c r="D26871" s="7">
        <v>0.38</v>
      </c>
      <c r="E26871" t="s">
        <v>31</v>
      </c>
    </row>
    <row r="26872" spans="1:5" x14ac:dyDescent="0.25">
      <c r="A26872" t="str">
        <f>HYPERLINK("https://www.773grp.com/globalSearch/MC74ACT04DR2/page-1", "MC74ACT04DR2")</f>
        <v>MC74ACT04DR2</v>
      </c>
      <c r="B26872" s="3" t="s">
        <v>95</v>
      </c>
      <c r="C26872" s="6">
        <v>31692</v>
      </c>
      <c r="D26872" s="7">
        <v>0.38</v>
      </c>
      <c r="E26872" t="s">
        <v>31</v>
      </c>
    </row>
    <row r="26873" spans="1:5" x14ac:dyDescent="0.25">
      <c r="A26873" t="str">
        <f>HYPERLINK("https://www.773grp.com/globalSearch/MC74ACT04DTR2/page-1", "MC74ACT04DTR2")</f>
        <v>MC74ACT04DTR2</v>
      </c>
      <c r="B26873" s="3" t="s">
        <v>95</v>
      </c>
      <c r="C26873" s="6">
        <v>7500</v>
      </c>
      <c r="D26873" s="7">
        <v>0.38</v>
      </c>
      <c r="E26873" t="s">
        <v>31</v>
      </c>
    </row>
    <row r="26874" spans="1:5" x14ac:dyDescent="0.25">
      <c r="A26874" t="str">
        <f>HYPERLINK("https://www.773grp.com/globalSearch/MC74ACT04M/page-1", "MC74ACT04M")</f>
        <v>MC74ACT04M</v>
      </c>
      <c r="B26874" s="3" t="s">
        <v>95</v>
      </c>
      <c r="C26874" s="6">
        <v>2</v>
      </c>
      <c r="D26874" s="7">
        <v>0.38</v>
      </c>
      <c r="E26874" t="s">
        <v>31</v>
      </c>
    </row>
    <row r="26875" spans="1:5" x14ac:dyDescent="0.25">
      <c r="A26875" t="str">
        <f>HYPERLINK("https://www.773grp.com/globalSearch/MC74ACT04N/page-1", "MC74ACT04N")</f>
        <v>MC74ACT04N</v>
      </c>
      <c r="B26875" s="3" t="s">
        <v>95</v>
      </c>
      <c r="C26875" s="6">
        <v>550</v>
      </c>
      <c r="D26875" s="7">
        <v>0.38</v>
      </c>
      <c r="E26875" t="s">
        <v>31</v>
      </c>
    </row>
    <row r="26876" spans="1:5" x14ac:dyDescent="0.25">
      <c r="A26876" t="str">
        <f>HYPERLINK("https://www.773grp.com/globalSearch/MC74ACT05D/page-1", "MC74ACT05D")</f>
        <v>MC74ACT05D</v>
      </c>
      <c r="B26876" s="3" t="s">
        <v>95</v>
      </c>
      <c r="C26876" s="6">
        <v>22595</v>
      </c>
      <c r="D26876" s="7">
        <v>0.38</v>
      </c>
      <c r="E26876" t="s">
        <v>31</v>
      </c>
    </row>
    <row r="26877" spans="1:5" x14ac:dyDescent="0.25">
      <c r="A26877" t="str">
        <f>HYPERLINK("https://www.773grp.com/globalSearch/MC74ACT05DR2/page-1", "MC74ACT05DR2")</f>
        <v>MC74ACT05DR2</v>
      </c>
      <c r="B26877" s="3" t="s">
        <v>95</v>
      </c>
      <c r="C26877" s="6">
        <v>54330</v>
      </c>
      <c r="D26877" s="7">
        <v>0.38</v>
      </c>
      <c r="E26877" t="s">
        <v>31</v>
      </c>
    </row>
    <row r="26878" spans="1:5" x14ac:dyDescent="0.25">
      <c r="A26878" t="str">
        <f>HYPERLINK("https://www.773grp.com/globalSearch/MC74ACT05DT/page-1", "MC74ACT05DT")</f>
        <v>MC74ACT05DT</v>
      </c>
      <c r="B26878" s="3" t="s">
        <v>95</v>
      </c>
      <c r="C26878" s="6">
        <v>4512</v>
      </c>
      <c r="D26878" s="7">
        <v>0.38</v>
      </c>
      <c r="E26878" t="s">
        <v>31</v>
      </c>
    </row>
    <row r="26879" spans="1:5" x14ac:dyDescent="0.25">
      <c r="A26879" t="str">
        <f>HYPERLINK("https://www.773grp.com/globalSearch/MC74ACT05DT/page-1", "MC74ACT05DT")</f>
        <v>MC74ACT05DT</v>
      </c>
      <c r="B26879" s="3" t="s">
        <v>95</v>
      </c>
      <c r="C26879" s="6">
        <v>536</v>
      </c>
      <c r="D26879" s="7">
        <v>0.38</v>
      </c>
      <c r="E26879" t="s">
        <v>31</v>
      </c>
    </row>
    <row r="26880" spans="1:5" x14ac:dyDescent="0.25">
      <c r="A26880" t="str">
        <f>HYPERLINK("https://www.773grp.com/globalSearch/MC74ACT05MEL/page-1", "MC74ACT05MEL")</f>
        <v>MC74ACT05MEL</v>
      </c>
      <c r="B26880" s="3" t="s">
        <v>95</v>
      </c>
      <c r="C26880" s="6">
        <v>1036</v>
      </c>
      <c r="D26880" s="7">
        <v>0.38</v>
      </c>
      <c r="E26880" t="s">
        <v>31</v>
      </c>
    </row>
    <row r="26881" spans="1:5" x14ac:dyDescent="0.25">
      <c r="A26881" t="str">
        <f>HYPERLINK("https://www.773grp.com/globalSearch/MC74ACT08DT/page-1", "MC74ACT08DT")</f>
        <v>MC74ACT08DT</v>
      </c>
      <c r="B26881" s="3" t="s">
        <v>95</v>
      </c>
      <c r="C26881" s="6">
        <v>20928</v>
      </c>
      <c r="D26881" s="7">
        <v>0.38</v>
      </c>
      <c r="E26881" t="s">
        <v>31</v>
      </c>
    </row>
    <row r="26882" spans="1:5" x14ac:dyDescent="0.25">
      <c r="A26882" t="str">
        <f>HYPERLINK("https://www.773grp.com/globalSearch/MC74ACT08DT/page-1", "MC74ACT08DT")</f>
        <v>MC74ACT08DT</v>
      </c>
      <c r="B26882" s="3" t="s">
        <v>95</v>
      </c>
      <c r="C26882" s="6">
        <v>113</v>
      </c>
      <c r="D26882" s="7">
        <v>0.38</v>
      </c>
      <c r="E26882" t="s">
        <v>31</v>
      </c>
    </row>
    <row r="26883" spans="1:5" x14ac:dyDescent="0.25">
      <c r="A26883" t="str">
        <f>HYPERLINK("https://www.773grp.com/globalSearch/MC74ACT08DTR2/page-1", "MC74ACT08DTR2")</f>
        <v>MC74ACT08DTR2</v>
      </c>
      <c r="B26883" s="3" t="s">
        <v>95</v>
      </c>
      <c r="C26883" s="6">
        <v>37500</v>
      </c>
      <c r="D26883" s="7">
        <v>0.38</v>
      </c>
      <c r="E26883" t="s">
        <v>31</v>
      </c>
    </row>
    <row r="26884" spans="1:5" x14ac:dyDescent="0.25">
      <c r="A26884" t="str">
        <f>HYPERLINK("https://www.773grp.com/globalSearch/MC74ACT08MELG/page-1", "MC74ACT08MELG")</f>
        <v>MC74ACT08MELG</v>
      </c>
      <c r="B26884" s="3" t="s">
        <v>95</v>
      </c>
      <c r="C26884" s="6">
        <v>6000</v>
      </c>
      <c r="D26884" s="7">
        <v>0.38</v>
      </c>
      <c r="E26884" t="s">
        <v>31</v>
      </c>
    </row>
    <row r="26885" spans="1:5" x14ac:dyDescent="0.25">
      <c r="A26885" t="str">
        <f>HYPERLINK("https://www.773grp.com/globalSearch/MC74ACT08N/page-1", "MC74ACT08N")</f>
        <v>MC74ACT08N</v>
      </c>
      <c r="B26885" s="3" t="s">
        <v>95</v>
      </c>
      <c r="C26885" s="6">
        <v>31000</v>
      </c>
      <c r="D26885" s="7">
        <v>0.38</v>
      </c>
      <c r="E26885" t="s">
        <v>31</v>
      </c>
    </row>
    <row r="26886" spans="1:5" x14ac:dyDescent="0.25">
      <c r="A26886" t="str">
        <f>HYPERLINK("https://www.773grp.com/globalSearch/MC74ACT10N/page-1", "MC74ACT10N")</f>
        <v>MC74ACT10N</v>
      </c>
      <c r="B26886" s="3" t="s">
        <v>95</v>
      </c>
      <c r="C26886" s="6">
        <v>4425</v>
      </c>
      <c r="D26886" s="7">
        <v>0.38</v>
      </c>
      <c r="E26886" t="s">
        <v>31</v>
      </c>
    </row>
    <row r="26887" spans="1:5" x14ac:dyDescent="0.25">
      <c r="A26887" t="str">
        <f>HYPERLINK("https://www.773grp.com/globalSearch/MC74ACT11MEL/page-1", "MC74ACT11MEL")</f>
        <v>MC74ACT11MEL</v>
      </c>
      <c r="B26887" s="3" t="s">
        <v>95</v>
      </c>
      <c r="C26887" s="6">
        <v>2000</v>
      </c>
      <c r="D26887" s="7">
        <v>0.38</v>
      </c>
      <c r="E26887" t="s">
        <v>31</v>
      </c>
    </row>
    <row r="26888" spans="1:5" x14ac:dyDescent="0.25">
      <c r="A26888" t="str">
        <f>HYPERLINK("https://www.773grp.com/globalSearch/MC74ACT14DR2/page-1", "MC74ACT14DR2")</f>
        <v>MC74ACT14DR2</v>
      </c>
      <c r="B26888" s="3" t="s">
        <v>95</v>
      </c>
      <c r="C26888" s="6">
        <v>1</v>
      </c>
      <c r="D26888" s="7">
        <v>0.38</v>
      </c>
      <c r="E26888" t="s">
        <v>31</v>
      </c>
    </row>
    <row r="26889" spans="1:5" x14ac:dyDescent="0.25">
      <c r="A26889" t="str">
        <f>HYPERLINK("https://www.773grp.com/globalSearch/MC74ACT14MEL/page-1", "MC74ACT14MEL")</f>
        <v>MC74ACT14MEL</v>
      </c>
      <c r="B26889" s="3" t="s">
        <v>95</v>
      </c>
      <c r="C26889" s="6">
        <v>2660</v>
      </c>
      <c r="D26889" s="7">
        <v>0.38</v>
      </c>
      <c r="E26889" t="s">
        <v>31</v>
      </c>
    </row>
    <row r="26890" spans="1:5" x14ac:dyDescent="0.25">
      <c r="A26890" t="str">
        <f>HYPERLINK("https://www.773grp.com/globalSearch/MC74ACT20D/page-1", "MC74ACT20D")</f>
        <v>MC74ACT20D</v>
      </c>
      <c r="B26890" s="3" t="s">
        <v>95</v>
      </c>
      <c r="C26890" s="6">
        <v>130</v>
      </c>
      <c r="D26890" s="7">
        <v>0.38</v>
      </c>
      <c r="E26890" t="s">
        <v>31</v>
      </c>
    </row>
    <row r="26891" spans="1:5" x14ac:dyDescent="0.25">
      <c r="A26891" t="str">
        <f>HYPERLINK("https://www.773grp.com/globalSearch/MC74ACT20DR2/page-1", "MC74ACT20DR2")</f>
        <v>MC74ACT20DR2</v>
      </c>
      <c r="B26891" s="3" t="s">
        <v>95</v>
      </c>
      <c r="C26891" s="6">
        <v>26428</v>
      </c>
      <c r="D26891" s="7">
        <v>0.38</v>
      </c>
      <c r="E26891" t="s">
        <v>31</v>
      </c>
    </row>
    <row r="26892" spans="1:5" x14ac:dyDescent="0.25">
      <c r="A26892" t="str">
        <f>HYPERLINK("https://www.773grp.com/globalSearch/MC74ACT20N/page-1", "MC74ACT20N")</f>
        <v>MC74ACT20N</v>
      </c>
      <c r="B26892" s="3" t="s">
        <v>95</v>
      </c>
      <c r="C26892" s="6">
        <v>2000</v>
      </c>
      <c r="D26892" s="7">
        <v>0.38</v>
      </c>
      <c r="E26892" t="s">
        <v>31</v>
      </c>
    </row>
    <row r="26893" spans="1:5" x14ac:dyDescent="0.25">
      <c r="A26893" t="str">
        <f>HYPERLINK("https://www.773grp.com/globalSearch/MC74ACT32D/page-1", "MC74ACT32D")</f>
        <v>MC74ACT32D</v>
      </c>
      <c r="B26893" s="3" t="s">
        <v>95</v>
      </c>
      <c r="C26893" s="6">
        <v>5119</v>
      </c>
      <c r="D26893" s="7">
        <v>0.38</v>
      </c>
      <c r="E26893" t="s">
        <v>31</v>
      </c>
    </row>
    <row r="26894" spans="1:5" x14ac:dyDescent="0.25">
      <c r="A26894" t="str">
        <f>HYPERLINK("https://www.773grp.com/globalSearch/MC74ACT32MELG/page-1", "MC74ACT32MELG")</f>
        <v>MC74ACT32MELG</v>
      </c>
      <c r="B26894" s="3" t="s">
        <v>95</v>
      </c>
      <c r="C26894" s="6">
        <v>2872</v>
      </c>
      <c r="D26894" s="7">
        <v>0.38</v>
      </c>
      <c r="E26894" t="s">
        <v>31</v>
      </c>
    </row>
    <row r="26895" spans="1:5" x14ac:dyDescent="0.25">
      <c r="A26895" t="str">
        <f>HYPERLINK("https://www.773grp.com/globalSearch/MC74ACT74D/page-1", "MC74ACT74D")</f>
        <v>MC74ACT74D</v>
      </c>
      <c r="B26895" s="3" t="s">
        <v>95</v>
      </c>
      <c r="C26895" s="6">
        <v>9008</v>
      </c>
      <c r="D26895" s="7">
        <v>0.38</v>
      </c>
      <c r="E26895" t="s">
        <v>35</v>
      </c>
    </row>
    <row r="26896" spans="1:5" x14ac:dyDescent="0.25">
      <c r="A26896" t="str">
        <f>HYPERLINK("https://www.773grp.com/globalSearch/MC74ACT74N/page-1", "MC74ACT74N")</f>
        <v>MC74ACT74N</v>
      </c>
      <c r="B26896" s="3" t="s">
        <v>95</v>
      </c>
      <c r="C26896" s="6">
        <v>185</v>
      </c>
      <c r="D26896" s="7">
        <v>0.38</v>
      </c>
      <c r="E26896" t="s">
        <v>35</v>
      </c>
    </row>
    <row r="26897" spans="1:5" x14ac:dyDescent="0.25">
      <c r="A26897" t="str">
        <f>HYPERLINK("https://www.773grp.com/globalSearch/MC74ACT86D/page-1", "MC74ACT86D")</f>
        <v>MC74ACT86D</v>
      </c>
      <c r="B26897" s="3" t="s">
        <v>95</v>
      </c>
      <c r="C26897" s="6">
        <v>9638</v>
      </c>
      <c r="D26897" s="7">
        <v>0.38</v>
      </c>
      <c r="E26897" t="s">
        <v>31</v>
      </c>
    </row>
    <row r="26898" spans="1:5" x14ac:dyDescent="0.25">
      <c r="A26898" t="str">
        <f>HYPERLINK("https://www.773grp.com/globalSearch/MC74ACT86DR2/page-1", "MC74ACT86DR2")</f>
        <v>MC74ACT86DR2</v>
      </c>
      <c r="B26898" s="3" t="s">
        <v>95</v>
      </c>
      <c r="C26898" s="6">
        <v>18700</v>
      </c>
      <c r="D26898" s="7">
        <v>0.38</v>
      </c>
      <c r="E26898" t="s">
        <v>31</v>
      </c>
    </row>
    <row r="26899" spans="1:5" x14ac:dyDescent="0.25">
      <c r="A26899" t="str">
        <f>HYPERLINK("https://www.773grp.com/globalSearch/MC74ACT86DT/page-1", "MC74ACT86DT")</f>
        <v>MC74ACT86DT</v>
      </c>
      <c r="B26899" s="3" t="s">
        <v>95</v>
      </c>
      <c r="C26899" s="6">
        <v>5412</v>
      </c>
      <c r="D26899" s="7">
        <v>0.38</v>
      </c>
      <c r="E26899" t="s">
        <v>31</v>
      </c>
    </row>
    <row r="26900" spans="1:5" x14ac:dyDescent="0.25">
      <c r="A26900" t="str">
        <f>HYPERLINK("https://www.773grp.com/globalSearch/MC74ACT86DTR2/page-1", "MC74ACT86DTR2")</f>
        <v>MC74ACT86DTR2</v>
      </c>
      <c r="B26900" s="3" t="s">
        <v>95</v>
      </c>
      <c r="C26900" s="6">
        <v>2500</v>
      </c>
      <c r="D26900" s="7">
        <v>0.38</v>
      </c>
      <c r="E26900" t="s">
        <v>31</v>
      </c>
    </row>
    <row r="26901" spans="1:5" x14ac:dyDescent="0.25">
      <c r="A26901" t="str">
        <f>HYPERLINK("https://www.773grp.com/globalSearch/MC74ACT86MEL/page-1", "MC74ACT86MEL")</f>
        <v>MC74ACT86MEL</v>
      </c>
      <c r="B26901" s="3" t="s">
        <v>95</v>
      </c>
      <c r="C26901" s="6">
        <v>2000</v>
      </c>
      <c r="D26901" s="7">
        <v>0.38</v>
      </c>
      <c r="E26901" t="s">
        <v>31</v>
      </c>
    </row>
    <row r="26902" spans="1:5" x14ac:dyDescent="0.25">
      <c r="A26902" t="str">
        <f>HYPERLINK("https://www.773grp.com/globalSearch/MC74ACT86N/page-1", "MC74ACT86N")</f>
        <v>MC74ACT86N</v>
      </c>
      <c r="B26902" s="3" t="s">
        <v>95</v>
      </c>
      <c r="C26902" s="6">
        <v>4225</v>
      </c>
      <c r="D26902" s="7">
        <v>0.38</v>
      </c>
      <c r="E26902" t="s">
        <v>31</v>
      </c>
    </row>
    <row r="26903" spans="1:5" x14ac:dyDescent="0.25">
      <c r="A26903" t="str">
        <f>HYPERLINK("https://www.773grp.com/globalSearch/MC74HC00AF/page-1", "MC74HC00AF")</f>
        <v>MC74HC00AF</v>
      </c>
      <c r="B26903" s="3" t="s">
        <v>95</v>
      </c>
      <c r="C26903" s="6">
        <v>3927</v>
      </c>
      <c r="D26903" s="7">
        <v>0.38</v>
      </c>
      <c r="E26903" t="s">
        <v>31</v>
      </c>
    </row>
    <row r="26904" spans="1:5" x14ac:dyDescent="0.25">
      <c r="A26904" t="str">
        <f>HYPERLINK("https://www.773grp.com/globalSearch/MC74HC00AFEL/page-1", "MC74HC00AFEL")</f>
        <v>MC74HC00AFEL</v>
      </c>
      <c r="B26904" s="3" t="s">
        <v>95</v>
      </c>
      <c r="C26904" s="6">
        <v>12000</v>
      </c>
      <c r="D26904" s="7">
        <v>0.38</v>
      </c>
      <c r="E26904" t="s">
        <v>31</v>
      </c>
    </row>
    <row r="26905" spans="1:5" x14ac:dyDescent="0.25">
      <c r="A26905" t="str">
        <f>HYPERLINK("https://www.773grp.com/globalSearch/MC74HC02AFELG/page-1", "MC74HC02AFELG")</f>
        <v>MC74HC02AFELG</v>
      </c>
      <c r="B26905" s="3" t="s">
        <v>95</v>
      </c>
      <c r="C26905" s="6">
        <v>7748</v>
      </c>
      <c r="D26905" s="7">
        <v>0.38</v>
      </c>
      <c r="E26905" t="s">
        <v>31</v>
      </c>
    </row>
    <row r="26906" spans="1:5" x14ac:dyDescent="0.25">
      <c r="A26906" t="str">
        <f>HYPERLINK("https://www.773grp.com/globalSearch/MC74HC02AN/page-1", "MC74HC02AN")</f>
        <v>MC74HC02AN</v>
      </c>
      <c r="B26906" s="3" t="s">
        <v>95</v>
      </c>
      <c r="C26906" s="6">
        <v>8926</v>
      </c>
      <c r="D26906" s="7">
        <v>0.38</v>
      </c>
      <c r="E26906" t="s">
        <v>31</v>
      </c>
    </row>
    <row r="26907" spans="1:5" x14ac:dyDescent="0.25">
      <c r="A26907" t="str">
        <f>HYPERLINK("https://www.773grp.com/globalSearch/MC74HC03ADTR2/page-1", "MC74HC03ADTR2")</f>
        <v>MC74HC03ADTR2</v>
      </c>
      <c r="B26907" s="3" t="s">
        <v>95</v>
      </c>
      <c r="C26907" s="6">
        <v>5000</v>
      </c>
      <c r="D26907" s="7">
        <v>0.38</v>
      </c>
      <c r="E26907" t="s">
        <v>31</v>
      </c>
    </row>
    <row r="26908" spans="1:5" x14ac:dyDescent="0.25">
      <c r="A26908" t="str">
        <f>HYPERLINK("https://www.773grp.com/globalSearch/MC74HC03AN/page-1", "MC74HC03AN")</f>
        <v>MC74HC03AN</v>
      </c>
      <c r="B26908" s="3" t="s">
        <v>95</v>
      </c>
      <c r="C26908" s="6">
        <v>6143</v>
      </c>
      <c r="D26908" s="7">
        <v>0.38</v>
      </c>
      <c r="E26908" t="s">
        <v>31</v>
      </c>
    </row>
    <row r="26909" spans="1:5" x14ac:dyDescent="0.25">
      <c r="A26909" t="str">
        <f>HYPERLINK("https://www.773grp.com/globalSearch/MC74HC04ADTEL/page-1", "MC74HC04ADTEL")</f>
        <v>MC74HC04ADTEL</v>
      </c>
      <c r="B26909" s="3" t="s">
        <v>95</v>
      </c>
      <c r="C26909" s="6">
        <v>15638</v>
      </c>
      <c r="D26909" s="7">
        <v>0.38</v>
      </c>
      <c r="E26909" t="s">
        <v>31</v>
      </c>
    </row>
    <row r="26910" spans="1:5" x14ac:dyDescent="0.25">
      <c r="A26910" t="str">
        <f>HYPERLINK("https://www.773grp.com/globalSearch/MC74HC04AF/page-1", "MC74HC04AF")</f>
        <v>MC74HC04AF</v>
      </c>
      <c r="B26910" s="3" t="s">
        <v>95</v>
      </c>
      <c r="C26910" s="6">
        <v>1268</v>
      </c>
      <c r="D26910" s="7">
        <v>0.38</v>
      </c>
      <c r="E26910" t="s">
        <v>31</v>
      </c>
    </row>
    <row r="26911" spans="1:5" x14ac:dyDescent="0.25">
      <c r="A26911" t="str">
        <f>HYPERLINK("https://www.773grp.com/globalSearch/MC74HC04AN/page-1", "MC74HC04AN")</f>
        <v>MC74HC04AN</v>
      </c>
      <c r="B26911" s="3" t="s">
        <v>95</v>
      </c>
      <c r="C26911" s="6">
        <v>43827</v>
      </c>
      <c r="D26911" s="7">
        <v>0.38</v>
      </c>
      <c r="E26911" t="s">
        <v>31</v>
      </c>
    </row>
    <row r="26912" spans="1:5" x14ac:dyDescent="0.25">
      <c r="A26912" t="str">
        <f>HYPERLINK("https://www.773grp.com/globalSearch/MC74HC08AFEL/page-1", "MC74HC08AFEL")</f>
        <v>MC74HC08AFEL</v>
      </c>
      <c r="B26912" s="3" t="s">
        <v>95</v>
      </c>
      <c r="C26912" s="6">
        <v>8426</v>
      </c>
      <c r="D26912" s="7">
        <v>0.38</v>
      </c>
      <c r="E26912" t="s">
        <v>31</v>
      </c>
    </row>
    <row r="26913" spans="1:5" x14ac:dyDescent="0.25">
      <c r="A26913" t="str">
        <f>HYPERLINK("https://www.773grp.com/globalSearch/MC74HC107F/page-1", "MC74HC107F")</f>
        <v>MC74HC107F</v>
      </c>
      <c r="B26913" s="3" t="s">
        <v>95</v>
      </c>
      <c r="C26913" s="6">
        <v>7935</v>
      </c>
      <c r="D26913" s="7">
        <v>0.38</v>
      </c>
    </row>
    <row r="26914" spans="1:5" x14ac:dyDescent="0.25">
      <c r="A26914" t="str">
        <f>HYPERLINK("https://www.773grp.com/globalSearch/MC74HC107FL1/page-1", "MC74HC107FL1")</f>
        <v>MC74HC107FL1</v>
      </c>
      <c r="B26914" s="3" t="s">
        <v>95</v>
      </c>
      <c r="C26914" s="6">
        <v>2000</v>
      </c>
      <c r="D26914" s="7">
        <v>0.38</v>
      </c>
    </row>
    <row r="26915" spans="1:5" x14ac:dyDescent="0.25">
      <c r="A26915" t="str">
        <f>HYPERLINK("https://www.773grp.com/globalSearch/MC74HC125AD/page-1", "MC74HC125AD")</f>
        <v>MC74HC125AD</v>
      </c>
      <c r="B26915" s="3" t="s">
        <v>95</v>
      </c>
      <c r="C26915" s="6">
        <v>9795</v>
      </c>
      <c r="D26915" s="7">
        <v>0.38</v>
      </c>
      <c r="E26915" t="s">
        <v>14</v>
      </c>
    </row>
    <row r="26916" spans="1:5" x14ac:dyDescent="0.25">
      <c r="A26916" t="str">
        <f>HYPERLINK("https://www.773grp.com/globalSearch/MC74HC125ADR2/page-1", "MC74HC125ADR2")</f>
        <v>MC74HC125ADR2</v>
      </c>
      <c r="B26916" s="3" t="s">
        <v>95</v>
      </c>
      <c r="C26916" s="6">
        <v>4940</v>
      </c>
      <c r="D26916" s="7">
        <v>0.38</v>
      </c>
      <c r="E26916" t="s">
        <v>14</v>
      </c>
    </row>
    <row r="26917" spans="1:5" x14ac:dyDescent="0.25">
      <c r="A26917" t="str">
        <f>HYPERLINK("https://www.773grp.com/globalSearch/MC74HC125ADT/page-1", "MC74HC125ADT")</f>
        <v>MC74HC125ADT</v>
      </c>
      <c r="B26917" s="3" t="s">
        <v>95</v>
      </c>
      <c r="C26917" s="6">
        <v>7114</v>
      </c>
      <c r="D26917" s="7">
        <v>0.38</v>
      </c>
      <c r="E26917" t="s">
        <v>14</v>
      </c>
    </row>
    <row r="26918" spans="1:5" x14ac:dyDescent="0.25">
      <c r="A26918" t="str">
        <f>HYPERLINK("https://www.773grp.com/globalSearch/MC74HC125ADTR2/page-1", "MC74HC125ADTR2")</f>
        <v>MC74HC125ADTR2</v>
      </c>
      <c r="B26918" s="3" t="s">
        <v>95</v>
      </c>
      <c r="C26918" s="6">
        <v>30000</v>
      </c>
      <c r="D26918" s="7">
        <v>0.38</v>
      </c>
      <c r="E26918" t="s">
        <v>14</v>
      </c>
    </row>
    <row r="26919" spans="1:5" x14ac:dyDescent="0.25">
      <c r="A26919" t="str">
        <f>HYPERLINK("https://www.773grp.com/globalSearch/MC74HC126AD/page-1", "MC74HC126AD")</f>
        <v>MC74HC126AD</v>
      </c>
      <c r="B26919" s="3" t="s">
        <v>95</v>
      </c>
      <c r="C26919" s="6">
        <v>3742</v>
      </c>
      <c r="D26919" s="7">
        <v>0.38</v>
      </c>
      <c r="E26919" t="s">
        <v>14</v>
      </c>
    </row>
    <row r="26920" spans="1:5" x14ac:dyDescent="0.25">
      <c r="A26920" t="str">
        <f>HYPERLINK("https://www.773grp.com/globalSearch/MC74HC126ADTR2/page-1", "MC74HC126ADTR2")</f>
        <v>MC74HC126ADTR2</v>
      </c>
      <c r="B26920" s="3" t="s">
        <v>95</v>
      </c>
      <c r="C26920" s="6">
        <v>10000</v>
      </c>
      <c r="D26920" s="7">
        <v>0.38</v>
      </c>
      <c r="E26920" t="s">
        <v>14</v>
      </c>
    </row>
    <row r="26921" spans="1:5" x14ac:dyDescent="0.25">
      <c r="A26921" t="str">
        <f>HYPERLINK("https://www.773grp.com/globalSearch/MC74HC132ADR2/page-1", "MC74HC132ADR2")</f>
        <v>MC74HC132ADR2</v>
      </c>
      <c r="B26921" s="3" t="s">
        <v>95</v>
      </c>
      <c r="C26921" s="6">
        <v>1676</v>
      </c>
      <c r="D26921" s="7">
        <v>0.38</v>
      </c>
      <c r="E26921" t="s">
        <v>31</v>
      </c>
    </row>
    <row r="26922" spans="1:5" x14ac:dyDescent="0.25">
      <c r="A26922" t="str">
        <f>HYPERLINK("https://www.773grp.com/globalSearch/MC74HC138AD/page-1", "MC74HC138AD")</f>
        <v>MC74HC138AD</v>
      </c>
      <c r="B26922" s="3" t="s">
        <v>95</v>
      </c>
      <c r="C26922" s="6">
        <v>82067</v>
      </c>
      <c r="D26922" s="7">
        <v>0.38</v>
      </c>
      <c r="E26922" t="s">
        <v>36</v>
      </c>
    </row>
    <row r="26923" spans="1:5" x14ac:dyDescent="0.25">
      <c r="A26923" t="str">
        <f>HYPERLINK("https://www.773grp.com/globalSearch/MC74HC138ADR2/page-1", "MC74HC138ADR2")</f>
        <v>MC74HC138ADR2</v>
      </c>
      <c r="B26923" s="3" t="s">
        <v>95</v>
      </c>
      <c r="C26923" s="6">
        <v>5000</v>
      </c>
      <c r="D26923" s="7">
        <v>0.38</v>
      </c>
      <c r="E26923" t="s">
        <v>36</v>
      </c>
    </row>
    <row r="26924" spans="1:5" x14ac:dyDescent="0.25">
      <c r="A26924" t="str">
        <f>HYPERLINK("https://www.773grp.com/globalSearch/MC74HC138AN/page-1", "MC74HC138AN")</f>
        <v>MC74HC138AN</v>
      </c>
      <c r="B26924" s="3" t="s">
        <v>95</v>
      </c>
      <c r="C26924" s="6">
        <v>16755</v>
      </c>
      <c r="D26924" s="7">
        <v>0.38</v>
      </c>
      <c r="E26924" t="s">
        <v>36</v>
      </c>
    </row>
    <row r="26925" spans="1:5" x14ac:dyDescent="0.25">
      <c r="A26925" t="str">
        <f>HYPERLINK("https://www.773grp.com/globalSearch/MC74HC139AD/page-1", "MC74HC139AD")</f>
        <v>MC74HC139AD</v>
      </c>
      <c r="B26925" s="3" t="s">
        <v>95</v>
      </c>
      <c r="C26925" s="6">
        <v>1297</v>
      </c>
      <c r="D26925" s="7">
        <v>0.38</v>
      </c>
      <c r="E26925" t="s">
        <v>36</v>
      </c>
    </row>
    <row r="26926" spans="1:5" x14ac:dyDescent="0.25">
      <c r="A26926" t="str">
        <f>HYPERLINK("https://www.773grp.com/globalSearch/MC74HC139ADR2/page-1", "MC74HC139ADR2")</f>
        <v>MC74HC139ADR2</v>
      </c>
      <c r="B26926" s="3" t="s">
        <v>95</v>
      </c>
      <c r="C26926" s="6">
        <v>5</v>
      </c>
      <c r="D26926" s="7">
        <v>0.38</v>
      </c>
      <c r="E26926" t="s">
        <v>36</v>
      </c>
    </row>
    <row r="26927" spans="1:5" x14ac:dyDescent="0.25">
      <c r="A26927" t="str">
        <f>HYPERLINK("https://www.773grp.com/globalSearch/MC74HC14ADT/page-1", "MC74HC14ADT")</f>
        <v>MC74HC14ADT</v>
      </c>
      <c r="B26927" s="3" t="s">
        <v>95</v>
      </c>
      <c r="C26927" s="6">
        <v>659</v>
      </c>
      <c r="D26927" s="7">
        <v>0.38</v>
      </c>
      <c r="E26927" t="s">
        <v>31</v>
      </c>
    </row>
    <row r="26928" spans="1:5" x14ac:dyDescent="0.25">
      <c r="A26928" t="str">
        <f>HYPERLINK("https://www.773grp.com/globalSearch/MC74HC157AD/page-1", "MC74HC157AD")</f>
        <v>MC74HC157AD</v>
      </c>
      <c r="B26928" s="3" t="s">
        <v>95</v>
      </c>
      <c r="C26928" s="6">
        <v>6904</v>
      </c>
      <c r="D26928" s="7">
        <v>0.38</v>
      </c>
      <c r="E26928" t="s">
        <v>20</v>
      </c>
    </row>
    <row r="26929" spans="1:5" x14ac:dyDescent="0.25">
      <c r="A26929" t="str">
        <f>HYPERLINK("https://www.773grp.com/globalSearch/MC74HC157ADTR2/page-1", "MC74HC157ADTR2")</f>
        <v>MC74HC157ADTR2</v>
      </c>
      <c r="B26929" s="3" t="s">
        <v>95</v>
      </c>
      <c r="C26929" s="6">
        <v>2500</v>
      </c>
      <c r="D26929" s="7">
        <v>0.38</v>
      </c>
      <c r="E26929" t="s">
        <v>20</v>
      </c>
    </row>
    <row r="26930" spans="1:5" x14ac:dyDescent="0.25">
      <c r="A26930" t="str">
        <f>HYPERLINK("https://www.773grp.com/globalSearch/MC74HC164AFELG/page-1", "MC74HC164AFELG")</f>
        <v>MC74HC164AFELG</v>
      </c>
      <c r="B26930" s="3" t="s">
        <v>95</v>
      </c>
      <c r="C26930" s="6">
        <v>2000</v>
      </c>
      <c r="D26930" s="7">
        <v>0.38</v>
      </c>
      <c r="E26930" t="s">
        <v>32</v>
      </c>
    </row>
    <row r="26931" spans="1:5" x14ac:dyDescent="0.25">
      <c r="A26931" t="str">
        <f>HYPERLINK("https://www.773grp.com/globalSearch/MC74HC27DR2/page-1", "MC74HC27DR2")</f>
        <v>MC74HC27DR2</v>
      </c>
      <c r="B26931" s="3" t="s">
        <v>95</v>
      </c>
      <c r="C26931" s="6">
        <v>2500</v>
      </c>
      <c r="D26931" s="7">
        <v>0.38</v>
      </c>
      <c r="E26931" t="s">
        <v>31</v>
      </c>
    </row>
    <row r="26932" spans="1:5" x14ac:dyDescent="0.25">
      <c r="A26932" t="str">
        <f>HYPERLINK("https://www.773grp.com/globalSearch/MC74HC27F/page-1", "MC74HC27F")</f>
        <v>MC74HC27F</v>
      </c>
      <c r="B26932" s="3" t="s">
        <v>95</v>
      </c>
      <c r="C26932" s="6">
        <v>20650</v>
      </c>
      <c r="D26932" s="7">
        <v>0.38</v>
      </c>
    </row>
    <row r="26933" spans="1:5" x14ac:dyDescent="0.25">
      <c r="A26933" t="str">
        <f>HYPERLINK("https://www.773grp.com/globalSearch/MC74HC27FL1/page-1", "MC74HC27FL1")</f>
        <v>MC74HC27FL1</v>
      </c>
      <c r="B26933" s="3" t="s">
        <v>95</v>
      </c>
      <c r="C26933" s="6">
        <v>11000</v>
      </c>
      <c r="D26933" s="7">
        <v>0.38</v>
      </c>
    </row>
    <row r="26934" spans="1:5" x14ac:dyDescent="0.25">
      <c r="A26934" t="str">
        <f>HYPERLINK("https://www.773grp.com/globalSearch/MC74HC27FL2/page-1", "MC74HC27FL2")</f>
        <v>MC74HC27FL2</v>
      </c>
      <c r="B26934" s="3" t="s">
        <v>95</v>
      </c>
      <c r="C26934" s="6">
        <v>8000</v>
      </c>
      <c r="D26934" s="7">
        <v>0.38</v>
      </c>
    </row>
    <row r="26935" spans="1:5" x14ac:dyDescent="0.25">
      <c r="A26935" t="str">
        <f>HYPERLINK("https://www.773grp.com/globalSearch/MC74HC32AFEL/page-1", "MC74HC32AFEL")</f>
        <v>MC74HC32AFEL</v>
      </c>
      <c r="B26935" s="3" t="s">
        <v>95</v>
      </c>
      <c r="C26935" s="6">
        <v>17090</v>
      </c>
      <c r="D26935" s="7">
        <v>0.38</v>
      </c>
      <c r="E26935" t="s">
        <v>31</v>
      </c>
    </row>
    <row r="26936" spans="1:5" x14ac:dyDescent="0.25">
      <c r="A26936" t="str">
        <f>HYPERLINK("https://www.773grp.com/globalSearch/MC74HC32AN/page-1", "MC74HC32AN")</f>
        <v>MC74HC32AN</v>
      </c>
      <c r="B26936" s="3" t="s">
        <v>95</v>
      </c>
      <c r="C26936" s="6">
        <v>48312</v>
      </c>
      <c r="D26936" s="7">
        <v>0.38</v>
      </c>
      <c r="E26936" t="s">
        <v>31</v>
      </c>
    </row>
    <row r="26937" spans="1:5" x14ac:dyDescent="0.25">
      <c r="A26937" t="str">
        <f>HYPERLINK("https://www.773grp.com/globalSearch/MC74HC4040AD/page-1", "MC74HC4040AD")</f>
        <v>MC74HC4040AD</v>
      </c>
      <c r="B26937" s="3" t="s">
        <v>95</v>
      </c>
      <c r="C26937" s="6">
        <v>3194</v>
      </c>
      <c r="D26937" s="7">
        <v>0.38</v>
      </c>
      <c r="E26937" t="s">
        <v>26</v>
      </c>
    </row>
    <row r="26938" spans="1:5" x14ac:dyDescent="0.25">
      <c r="A26938" t="str">
        <f>HYPERLINK("https://www.773grp.com/globalSearch/MC74HC4060AD/page-1", "MC74HC4060AD")</f>
        <v>MC74HC4060AD</v>
      </c>
      <c r="B26938" s="3" t="s">
        <v>95</v>
      </c>
      <c r="C26938" s="6">
        <v>3349</v>
      </c>
      <c r="D26938" s="7">
        <v>0.38</v>
      </c>
      <c r="E26938" t="s">
        <v>26</v>
      </c>
    </row>
    <row r="26939" spans="1:5" x14ac:dyDescent="0.25">
      <c r="A26939" t="str">
        <f>HYPERLINK("https://www.773grp.com/globalSearch/MC74HC4060ADR2/page-1", "MC74HC4060ADR2")</f>
        <v>MC74HC4060ADR2</v>
      </c>
      <c r="B26939" s="3" t="s">
        <v>95</v>
      </c>
      <c r="C26939" s="6">
        <v>2500</v>
      </c>
      <c r="D26939" s="7">
        <v>0.38</v>
      </c>
      <c r="E26939" t="s">
        <v>26</v>
      </c>
    </row>
    <row r="26940" spans="1:5" x14ac:dyDescent="0.25">
      <c r="A26940" t="str">
        <f>HYPERLINK("https://www.773grp.com/globalSearch/MC74HC4066ADT/page-1", "MC74HC4066ADT")</f>
        <v>MC74HC4066ADT</v>
      </c>
      <c r="B26940" s="3" t="s">
        <v>95</v>
      </c>
      <c r="C26940" s="6">
        <v>152</v>
      </c>
      <c r="D26940" s="7">
        <v>0.38</v>
      </c>
      <c r="E26940" t="s">
        <v>56</v>
      </c>
    </row>
    <row r="26941" spans="1:5" x14ac:dyDescent="0.25">
      <c r="A26941" t="str">
        <f>HYPERLINK("https://www.773grp.com/globalSearch/MC74HC589ADTR2/page-1", "MC74HC589ADTR2")</f>
        <v>MC74HC589ADTR2</v>
      </c>
      <c r="B26941" s="3" t="s">
        <v>95</v>
      </c>
      <c r="C26941" s="6">
        <v>10000</v>
      </c>
      <c r="D26941" s="7">
        <v>0.38</v>
      </c>
      <c r="E26941" t="s">
        <v>32</v>
      </c>
    </row>
    <row r="26942" spans="1:5" x14ac:dyDescent="0.25">
      <c r="A26942" t="str">
        <f>HYPERLINK("https://www.773grp.com/globalSearch/MC74HC74AD/page-1", "MC74HC74AD")</f>
        <v>MC74HC74AD</v>
      </c>
      <c r="B26942" s="3" t="s">
        <v>95</v>
      </c>
      <c r="C26942" s="6">
        <v>1917</v>
      </c>
      <c r="D26942" s="7">
        <v>0.38</v>
      </c>
      <c r="E26942" t="s">
        <v>35</v>
      </c>
    </row>
    <row r="26943" spans="1:5" x14ac:dyDescent="0.25">
      <c r="A26943" t="str">
        <f>HYPERLINK("https://www.773grp.com/globalSearch/MC74HC74ADT/page-1", "MC74HC74ADT")</f>
        <v>MC74HC74ADT</v>
      </c>
      <c r="B26943" s="3" t="s">
        <v>95</v>
      </c>
      <c r="C26943" s="6">
        <v>1344</v>
      </c>
      <c r="D26943" s="7">
        <v>0.38</v>
      </c>
      <c r="E26943" t="s">
        <v>35</v>
      </c>
    </row>
    <row r="26944" spans="1:5" x14ac:dyDescent="0.25">
      <c r="A26944" t="str">
        <f>HYPERLINK("https://www.773grp.com/globalSearch/MC74HC86AF/page-1", "MC74HC86AF")</f>
        <v>MC74HC86AF</v>
      </c>
      <c r="B26944" s="3" t="s">
        <v>95</v>
      </c>
      <c r="C26944" s="6">
        <v>826</v>
      </c>
      <c r="D26944" s="7">
        <v>0.38</v>
      </c>
      <c r="E26944" t="s">
        <v>31</v>
      </c>
    </row>
    <row r="26945" spans="1:5" x14ac:dyDescent="0.25">
      <c r="A26945" t="str">
        <f>HYPERLINK("https://www.773grp.com/globalSearch/MC74HC86AFEL/page-1", "MC74HC86AFEL")</f>
        <v>MC74HC86AFEL</v>
      </c>
      <c r="B26945" s="3" t="s">
        <v>95</v>
      </c>
      <c r="C26945" s="6">
        <v>24000</v>
      </c>
      <c r="D26945" s="7">
        <v>0.38</v>
      </c>
      <c r="E26945" t="s">
        <v>31</v>
      </c>
    </row>
    <row r="26946" spans="1:5" x14ac:dyDescent="0.25">
      <c r="A26946" t="str">
        <f>HYPERLINK("https://www.773grp.com/globalSearch/MC74HC86AN/page-1", "MC74HC86AN")</f>
        <v>MC74HC86AN</v>
      </c>
      <c r="B26946" s="3" t="s">
        <v>95</v>
      </c>
      <c r="C26946" s="6">
        <v>2197</v>
      </c>
      <c r="D26946" s="7">
        <v>0.38</v>
      </c>
      <c r="E26946" t="s">
        <v>31</v>
      </c>
    </row>
    <row r="26947" spans="1:5" x14ac:dyDescent="0.25">
      <c r="A26947" t="str">
        <f>HYPERLINK("https://www.773grp.com/globalSearch/MC74HCT04AFEL/page-1", "MC74HCT04AFEL")</f>
        <v>MC74HCT04AFEL</v>
      </c>
      <c r="B26947" s="3" t="s">
        <v>95</v>
      </c>
      <c r="C26947" s="6">
        <v>3749</v>
      </c>
      <c r="D26947" s="7">
        <v>0.38</v>
      </c>
      <c r="E26947" t="s">
        <v>31</v>
      </c>
    </row>
    <row r="26948" spans="1:5" x14ac:dyDescent="0.25">
      <c r="A26948" t="str">
        <f>HYPERLINK("https://www.773grp.com/globalSearch/MC74HCT04AN/page-1", "MC74HCT04AN")</f>
        <v>MC74HCT04AN</v>
      </c>
      <c r="B26948" s="3" t="s">
        <v>95</v>
      </c>
      <c r="C26948" s="6">
        <v>4958</v>
      </c>
      <c r="D26948" s="7">
        <v>0.38</v>
      </c>
      <c r="E26948" t="s">
        <v>31</v>
      </c>
    </row>
    <row r="26949" spans="1:5" x14ac:dyDescent="0.25">
      <c r="A26949" t="str">
        <f>HYPERLINK("https://www.773grp.com/globalSearch/MC74HCT138AN/page-1", "MC74HCT138AN")</f>
        <v>MC74HCT138AN</v>
      </c>
      <c r="B26949" s="3" t="s">
        <v>95</v>
      </c>
      <c r="C26949" s="6">
        <v>4470</v>
      </c>
      <c r="D26949" s="7">
        <v>0.38</v>
      </c>
      <c r="E26949" t="s">
        <v>36</v>
      </c>
    </row>
    <row r="26950" spans="1:5" x14ac:dyDescent="0.25">
      <c r="A26950" t="str">
        <f>HYPERLINK("https://www.773grp.com/globalSearch/MC74HCT74AD/page-1", "MC74HCT74AD")</f>
        <v>MC74HCT74AD</v>
      </c>
      <c r="B26950" s="3" t="s">
        <v>95</v>
      </c>
      <c r="C26950" s="6">
        <v>7920</v>
      </c>
      <c r="D26950" s="7">
        <v>0.38</v>
      </c>
      <c r="E26950" t="s">
        <v>35</v>
      </c>
    </row>
    <row r="26951" spans="1:5" x14ac:dyDescent="0.25">
      <c r="A26951" t="str">
        <f>HYPERLINK("https://www.773grp.com/globalSearch/MC74HCT74AD/page-1", "MC74HCT74AD")</f>
        <v>MC74HCT74AD</v>
      </c>
      <c r="B26951" s="3" t="s">
        <v>95</v>
      </c>
      <c r="C26951" s="6">
        <v>1980</v>
      </c>
      <c r="D26951" s="7">
        <v>0.38</v>
      </c>
      <c r="E26951" t="s">
        <v>35</v>
      </c>
    </row>
    <row r="26952" spans="1:5" x14ac:dyDescent="0.25">
      <c r="A26952" t="str">
        <f>HYPERLINK("https://www.773grp.com/globalSearch/MC74HCT74ADR2/page-1", "MC74HCT74ADR2")</f>
        <v>MC74HCT74ADR2</v>
      </c>
      <c r="B26952" s="3" t="s">
        <v>95</v>
      </c>
      <c r="C26952" s="6">
        <v>5610</v>
      </c>
      <c r="D26952" s="7">
        <v>0.38</v>
      </c>
      <c r="E26952" t="s">
        <v>35</v>
      </c>
    </row>
    <row r="26953" spans="1:5" x14ac:dyDescent="0.25">
      <c r="A26953" t="str">
        <f>HYPERLINK("https://www.773grp.com/globalSearch/MC74HCU04AFEL/page-1", "MC74HCU04AFEL")</f>
        <v>MC74HCU04AFEL</v>
      </c>
      <c r="B26953" s="3" t="s">
        <v>95</v>
      </c>
      <c r="C26953" s="6">
        <v>16000</v>
      </c>
      <c r="D26953" s="7">
        <v>0.38</v>
      </c>
      <c r="E26953" t="s">
        <v>31</v>
      </c>
    </row>
    <row r="26954" spans="1:5" x14ac:dyDescent="0.25">
      <c r="A26954" t="str">
        <f>HYPERLINK("https://www.773grp.com/globalSearch/MC74HCU04AN/page-1", "MC74HCU04AN")</f>
        <v>MC74HCU04AN</v>
      </c>
      <c r="B26954" s="3" t="s">
        <v>95</v>
      </c>
      <c r="C26954" s="6">
        <v>2575</v>
      </c>
      <c r="D26954" s="7">
        <v>0.38</v>
      </c>
      <c r="E26954" t="s">
        <v>31</v>
      </c>
    </row>
    <row r="26955" spans="1:5" x14ac:dyDescent="0.25">
      <c r="A26955" t="str">
        <f>HYPERLINK("https://www.773grp.com/globalSearch/MC74LCX00D/page-1", "MC74LCX00D")</f>
        <v>MC74LCX00D</v>
      </c>
      <c r="B26955" s="3" t="s">
        <v>95</v>
      </c>
      <c r="C26955" s="6">
        <v>15950</v>
      </c>
      <c r="D26955" s="7">
        <v>0.38</v>
      </c>
      <c r="E26955" t="s">
        <v>31</v>
      </c>
    </row>
    <row r="26956" spans="1:5" x14ac:dyDescent="0.25">
      <c r="A26956" t="str">
        <f>HYPERLINK("https://www.773grp.com/globalSearch/MC74LCX00DR2/page-1", "MC74LCX00DR2")</f>
        <v>MC74LCX00DR2</v>
      </c>
      <c r="B26956" s="3" t="s">
        <v>95</v>
      </c>
      <c r="C26956" s="6">
        <v>17282</v>
      </c>
      <c r="D26956" s="7">
        <v>0.38</v>
      </c>
      <c r="E26956" t="s">
        <v>31</v>
      </c>
    </row>
    <row r="26957" spans="1:5" x14ac:dyDescent="0.25">
      <c r="A26957" t="str">
        <f>HYPERLINK("https://www.773grp.com/globalSearch/MC74LCX00DT/page-1", "MC74LCX00DT")</f>
        <v>MC74LCX00DT</v>
      </c>
      <c r="B26957" s="3" t="s">
        <v>95</v>
      </c>
      <c r="C26957" s="6">
        <v>7732</v>
      </c>
      <c r="D26957" s="7">
        <v>0.38</v>
      </c>
      <c r="E26957" t="s">
        <v>31</v>
      </c>
    </row>
    <row r="26958" spans="1:5" x14ac:dyDescent="0.25">
      <c r="A26958" t="str">
        <f>HYPERLINK("https://www.773grp.com/globalSearch/MC74LCX00DTR2/page-1", "MC74LCX00DTR2")</f>
        <v>MC74LCX00DTR2</v>
      </c>
      <c r="B26958" s="3" t="s">
        <v>95</v>
      </c>
      <c r="C26958" s="6">
        <v>33914</v>
      </c>
      <c r="D26958" s="7">
        <v>0.38</v>
      </c>
      <c r="E26958" t="s">
        <v>31</v>
      </c>
    </row>
    <row r="26959" spans="1:5" x14ac:dyDescent="0.25">
      <c r="A26959" t="str">
        <f>HYPERLINK("https://www.773grp.com/globalSearch/MC74LCX02D/page-1", "MC74LCX02D")</f>
        <v>MC74LCX02D</v>
      </c>
      <c r="B26959" s="3" t="s">
        <v>95</v>
      </c>
      <c r="C26959" s="6">
        <v>3541</v>
      </c>
      <c r="D26959" s="7">
        <v>0.38</v>
      </c>
      <c r="E26959" t="s">
        <v>31</v>
      </c>
    </row>
    <row r="26960" spans="1:5" x14ac:dyDescent="0.25">
      <c r="A26960" t="str">
        <f>HYPERLINK("https://www.773grp.com/globalSearch/MC74LCX02DR2/page-1", "MC74LCX02DR2")</f>
        <v>MC74LCX02DR2</v>
      </c>
      <c r="B26960" s="3" t="s">
        <v>95</v>
      </c>
      <c r="C26960" s="6">
        <v>5000</v>
      </c>
      <c r="D26960" s="7">
        <v>0.38</v>
      </c>
      <c r="E26960" t="s">
        <v>31</v>
      </c>
    </row>
    <row r="26961" spans="1:5" x14ac:dyDescent="0.25">
      <c r="A26961" t="str">
        <f>HYPERLINK("https://www.773grp.com/globalSearch/MC74LCX02DT/page-1", "MC74LCX02DT")</f>
        <v>MC74LCX02DT</v>
      </c>
      <c r="B26961" s="3" t="s">
        <v>95</v>
      </c>
      <c r="C26961" s="6">
        <v>2413</v>
      </c>
      <c r="D26961" s="7">
        <v>0.38</v>
      </c>
      <c r="E26961" t="s">
        <v>31</v>
      </c>
    </row>
    <row r="26962" spans="1:5" x14ac:dyDescent="0.25">
      <c r="A26962" t="str">
        <f>HYPERLINK("https://www.773grp.com/globalSearch/MC74LCX02DTR2/page-1", "MC74LCX02DTR2")</f>
        <v>MC74LCX02DTR2</v>
      </c>
      <c r="B26962" s="3" t="s">
        <v>95</v>
      </c>
      <c r="C26962" s="6">
        <v>2500</v>
      </c>
      <c r="D26962" s="7">
        <v>0.38</v>
      </c>
      <c r="E26962" t="s">
        <v>31</v>
      </c>
    </row>
    <row r="26963" spans="1:5" x14ac:dyDescent="0.25">
      <c r="A26963" t="str">
        <f>HYPERLINK("https://www.773grp.com/globalSearch/MC74LCX04D/page-1", "MC74LCX04D")</f>
        <v>MC74LCX04D</v>
      </c>
      <c r="B26963" s="3" t="s">
        <v>95</v>
      </c>
      <c r="C26963" s="6">
        <v>8290</v>
      </c>
      <c r="D26963" s="7">
        <v>0.38</v>
      </c>
      <c r="E26963" t="s">
        <v>31</v>
      </c>
    </row>
    <row r="26964" spans="1:5" x14ac:dyDescent="0.25">
      <c r="A26964" t="str">
        <f>HYPERLINK("https://www.773grp.com/globalSearch/MC74LCX04DT/page-1", "MC74LCX04DT")</f>
        <v>MC74LCX04DT</v>
      </c>
      <c r="B26964" s="3" t="s">
        <v>95</v>
      </c>
      <c r="C26964" s="6">
        <v>42348</v>
      </c>
      <c r="D26964" s="7">
        <v>0.38</v>
      </c>
      <c r="E26964" t="s">
        <v>31</v>
      </c>
    </row>
    <row r="26965" spans="1:5" x14ac:dyDescent="0.25">
      <c r="A26965" t="str">
        <f>HYPERLINK("https://www.773grp.com/globalSearch/MC74LCX04DTR2/page-1", "MC74LCX04DTR2")</f>
        <v>MC74LCX04DTR2</v>
      </c>
      <c r="B26965" s="3" t="s">
        <v>95</v>
      </c>
      <c r="C26965" s="6">
        <v>32500</v>
      </c>
      <c r="D26965" s="7">
        <v>0.38</v>
      </c>
      <c r="E26965" t="s">
        <v>31</v>
      </c>
    </row>
    <row r="26966" spans="1:5" x14ac:dyDescent="0.25">
      <c r="A26966" t="str">
        <f>HYPERLINK("https://www.773grp.com/globalSearch/MC74LCX06D/page-1", "MC74LCX06D")</f>
        <v>MC74LCX06D</v>
      </c>
      <c r="B26966" s="3" t="s">
        <v>95</v>
      </c>
      <c r="C26966" s="6">
        <v>11371</v>
      </c>
      <c r="D26966" s="7">
        <v>0.38</v>
      </c>
      <c r="E26966" t="s">
        <v>31</v>
      </c>
    </row>
    <row r="26967" spans="1:5" x14ac:dyDescent="0.25">
      <c r="A26967" t="str">
        <f>HYPERLINK("https://www.773grp.com/globalSearch/MC74LCX06DR2/page-1", "MC74LCX06DR2")</f>
        <v>MC74LCX06DR2</v>
      </c>
      <c r="B26967" s="3" t="s">
        <v>95</v>
      </c>
      <c r="C26967" s="6">
        <v>20000</v>
      </c>
      <c r="D26967" s="7">
        <v>0.38</v>
      </c>
      <c r="E26967" t="s">
        <v>31</v>
      </c>
    </row>
    <row r="26968" spans="1:5" x14ac:dyDescent="0.25">
      <c r="A26968" t="str">
        <f>HYPERLINK("https://www.773grp.com/globalSearch/MC74LCX06DT/page-1", "MC74LCX06DT")</f>
        <v>MC74LCX06DT</v>
      </c>
      <c r="B26968" s="3" t="s">
        <v>95</v>
      </c>
      <c r="C26968" s="6">
        <v>21024</v>
      </c>
      <c r="D26968" s="7">
        <v>0.38</v>
      </c>
      <c r="E26968" t="s">
        <v>31</v>
      </c>
    </row>
    <row r="26969" spans="1:5" x14ac:dyDescent="0.25">
      <c r="A26969" t="str">
        <f>HYPERLINK("https://www.773grp.com/globalSearch/MC74LCX06DTR2/page-1", "MC74LCX06DTR2")</f>
        <v>MC74LCX06DTR2</v>
      </c>
      <c r="B26969" s="3" t="s">
        <v>95</v>
      </c>
      <c r="C26969" s="6">
        <v>4400</v>
      </c>
      <c r="D26969" s="7">
        <v>0.38</v>
      </c>
      <c r="E26969" t="s">
        <v>31</v>
      </c>
    </row>
    <row r="26970" spans="1:5" x14ac:dyDescent="0.25">
      <c r="A26970" t="str">
        <f>HYPERLINK("https://www.773grp.com/globalSearch/MC74LCX07DT/page-1", "MC74LCX07DT")</f>
        <v>MC74LCX07DT</v>
      </c>
      <c r="B26970" s="3" t="s">
        <v>95</v>
      </c>
      <c r="C26970" s="6">
        <v>2112</v>
      </c>
      <c r="D26970" s="7">
        <v>0.38</v>
      </c>
      <c r="E26970" t="s">
        <v>31</v>
      </c>
    </row>
    <row r="26971" spans="1:5" x14ac:dyDescent="0.25">
      <c r="A26971" t="str">
        <f>HYPERLINK("https://www.773grp.com/globalSearch/MC74LCX07DTR2/page-1", "MC74LCX07DTR2")</f>
        <v>MC74LCX07DTR2</v>
      </c>
      <c r="B26971" s="3" t="s">
        <v>95</v>
      </c>
      <c r="C26971" s="6">
        <v>82305</v>
      </c>
      <c r="D26971" s="7">
        <v>0.38</v>
      </c>
      <c r="E26971" t="s">
        <v>31</v>
      </c>
    </row>
    <row r="26972" spans="1:5" x14ac:dyDescent="0.25">
      <c r="A26972" t="str">
        <f>HYPERLINK("https://www.773grp.com/globalSearch/MC74LCX08D/page-1", "MC74LCX08D")</f>
        <v>MC74LCX08D</v>
      </c>
      <c r="B26972" s="3" t="s">
        <v>95</v>
      </c>
      <c r="C26972" s="6">
        <v>2630</v>
      </c>
      <c r="D26972" s="7">
        <v>0.38</v>
      </c>
      <c r="E26972" t="s">
        <v>31</v>
      </c>
    </row>
    <row r="26973" spans="1:5" x14ac:dyDescent="0.25">
      <c r="A26973" t="str">
        <f>HYPERLINK("https://www.773grp.com/globalSearch/MC74LCX08DT/page-1", "MC74LCX08DT")</f>
        <v>MC74LCX08DT</v>
      </c>
      <c r="B26973" s="3" t="s">
        <v>95</v>
      </c>
      <c r="C26973" s="6">
        <v>29321</v>
      </c>
      <c r="D26973" s="7">
        <v>0.38</v>
      </c>
      <c r="E26973" t="s">
        <v>31</v>
      </c>
    </row>
    <row r="26974" spans="1:5" x14ac:dyDescent="0.25">
      <c r="A26974" t="str">
        <f>HYPERLINK("https://www.773grp.com/globalSearch/MC74LCX08DTR2/page-1", "MC74LCX08DTR2")</f>
        <v>MC74LCX08DTR2</v>
      </c>
      <c r="B26974" s="3" t="s">
        <v>95</v>
      </c>
      <c r="C26974" s="6">
        <v>2500</v>
      </c>
      <c r="D26974" s="7">
        <v>0.38</v>
      </c>
      <c r="E26974" t="s">
        <v>31</v>
      </c>
    </row>
    <row r="26975" spans="1:5" x14ac:dyDescent="0.25">
      <c r="A26975" t="str">
        <f>HYPERLINK("https://www.773grp.com/globalSearch/MC74LCX14D/page-1", "MC74LCX14D")</f>
        <v>MC74LCX14D</v>
      </c>
      <c r="B26975" s="3" t="s">
        <v>95</v>
      </c>
      <c r="C26975" s="6">
        <v>3253</v>
      </c>
      <c r="D26975" s="7">
        <v>0.38</v>
      </c>
      <c r="E26975" t="s">
        <v>31</v>
      </c>
    </row>
    <row r="26976" spans="1:5" x14ac:dyDescent="0.25">
      <c r="A26976" t="str">
        <f>HYPERLINK("https://www.773grp.com/globalSearch/MC74LCX14DR2/page-1", "MC74LCX14DR2")</f>
        <v>MC74LCX14DR2</v>
      </c>
      <c r="B26976" s="3" t="s">
        <v>95</v>
      </c>
      <c r="C26976" s="6">
        <v>6325</v>
      </c>
      <c r="D26976" s="7">
        <v>0.38</v>
      </c>
      <c r="E26976" t="s">
        <v>31</v>
      </c>
    </row>
    <row r="26977" spans="1:5" x14ac:dyDescent="0.25">
      <c r="A26977" t="str">
        <f>HYPERLINK("https://www.773grp.com/globalSearch/MC74LCX14DT/page-1", "MC74LCX14DT")</f>
        <v>MC74LCX14DT</v>
      </c>
      <c r="B26977" s="3" t="s">
        <v>95</v>
      </c>
      <c r="C26977" s="6">
        <v>18479</v>
      </c>
      <c r="D26977" s="7">
        <v>0.38</v>
      </c>
      <c r="E26977" t="s">
        <v>31</v>
      </c>
    </row>
    <row r="26978" spans="1:5" x14ac:dyDescent="0.25">
      <c r="A26978" t="str">
        <f>HYPERLINK("https://www.773grp.com/globalSearch/MC74LCX14DTR2/page-1", "MC74LCX14DTR2")</f>
        <v>MC74LCX14DTR2</v>
      </c>
      <c r="B26978" s="3" t="s">
        <v>95</v>
      </c>
      <c r="C26978" s="6">
        <v>49921</v>
      </c>
      <c r="D26978" s="7">
        <v>0.38</v>
      </c>
      <c r="E26978" t="s">
        <v>31</v>
      </c>
    </row>
    <row r="26979" spans="1:5" x14ac:dyDescent="0.25">
      <c r="A26979" t="str">
        <f>HYPERLINK("https://www.773grp.com/globalSearch/MC74LCX32D/page-1", "MC74LCX32D")</f>
        <v>MC74LCX32D</v>
      </c>
      <c r="B26979" s="3" t="s">
        <v>95</v>
      </c>
      <c r="C26979" s="6">
        <v>2380</v>
      </c>
      <c r="D26979" s="7">
        <v>0.38</v>
      </c>
      <c r="E26979" t="s">
        <v>31</v>
      </c>
    </row>
    <row r="26980" spans="1:5" x14ac:dyDescent="0.25">
      <c r="A26980" t="str">
        <f>HYPERLINK("https://www.773grp.com/globalSearch/MC74LCX32DR2/page-1", "MC74LCX32DR2")</f>
        <v>MC74LCX32DR2</v>
      </c>
      <c r="B26980" s="3" t="s">
        <v>95</v>
      </c>
      <c r="C26980" s="6">
        <v>43034</v>
      </c>
      <c r="D26980" s="7">
        <v>0.38</v>
      </c>
      <c r="E26980" t="s">
        <v>31</v>
      </c>
    </row>
    <row r="26981" spans="1:5" x14ac:dyDescent="0.25">
      <c r="A26981" t="str">
        <f>HYPERLINK("https://www.773grp.com/globalSearch/MC74LCX32DT/page-1", "MC74LCX32DT")</f>
        <v>MC74LCX32DT</v>
      </c>
      <c r="B26981" s="3" t="s">
        <v>95</v>
      </c>
      <c r="C26981" s="6">
        <v>11008</v>
      </c>
      <c r="D26981" s="7">
        <v>0.38</v>
      </c>
      <c r="E26981" t="s">
        <v>31</v>
      </c>
    </row>
    <row r="26982" spans="1:5" x14ac:dyDescent="0.25">
      <c r="A26982" t="str">
        <f>HYPERLINK("https://www.773grp.com/globalSearch/MC74LCX74D/page-1", "MC74LCX74D")</f>
        <v>MC74LCX74D</v>
      </c>
      <c r="B26982" s="3" t="s">
        <v>95</v>
      </c>
      <c r="C26982" s="6">
        <v>20790</v>
      </c>
      <c r="D26982" s="7">
        <v>0.38</v>
      </c>
      <c r="E26982" t="s">
        <v>35</v>
      </c>
    </row>
    <row r="26983" spans="1:5" x14ac:dyDescent="0.25">
      <c r="A26983" t="str">
        <f>HYPERLINK("https://www.773grp.com/globalSearch/MC74LCX74DR2/page-1", "MC74LCX74DR2")</f>
        <v>MC74LCX74DR2</v>
      </c>
      <c r="B26983" s="3" t="s">
        <v>95</v>
      </c>
      <c r="C26983" s="6">
        <v>17500</v>
      </c>
      <c r="D26983" s="7">
        <v>0.38</v>
      </c>
      <c r="E26983" t="s">
        <v>35</v>
      </c>
    </row>
    <row r="26984" spans="1:5" x14ac:dyDescent="0.25">
      <c r="A26984" t="str">
        <f>HYPERLINK("https://www.773grp.com/globalSearch/MC74LCX74DT/page-1", "MC74LCX74DT")</f>
        <v>MC74LCX74DT</v>
      </c>
      <c r="B26984" s="3" t="s">
        <v>95</v>
      </c>
      <c r="C26984" s="6">
        <v>18668</v>
      </c>
      <c r="D26984" s="7">
        <v>0.38</v>
      </c>
      <c r="E26984" t="s">
        <v>35</v>
      </c>
    </row>
    <row r="26985" spans="1:5" x14ac:dyDescent="0.25">
      <c r="A26985" t="str">
        <f>HYPERLINK("https://www.773grp.com/globalSearch/MC74LCX74DTR2/page-1", "MC74LCX74DTR2")</f>
        <v>MC74LCX74DTR2</v>
      </c>
      <c r="B26985" s="3" t="s">
        <v>95</v>
      </c>
      <c r="C26985" s="6">
        <v>25000</v>
      </c>
      <c r="D26985" s="7">
        <v>0.38</v>
      </c>
      <c r="E26985" t="s">
        <v>35</v>
      </c>
    </row>
    <row r="26986" spans="1:5" x14ac:dyDescent="0.25">
      <c r="A26986" t="str">
        <f>HYPERLINK("https://www.773grp.com/globalSearch/MC74LCX86DR2/page-1", "MC74LCX86DR2")</f>
        <v>MC74LCX86DR2</v>
      </c>
      <c r="B26986" s="3" t="s">
        <v>95</v>
      </c>
      <c r="C26986" s="6">
        <v>2500</v>
      </c>
      <c r="D26986" s="7">
        <v>0.38</v>
      </c>
      <c r="E26986" t="s">
        <v>31</v>
      </c>
    </row>
    <row r="26987" spans="1:5" x14ac:dyDescent="0.25">
      <c r="A26987" t="str">
        <f>HYPERLINK("https://www.773grp.com/globalSearch/MC74LCX86DTR2/page-1", "MC74LCX86DTR2")</f>
        <v>MC74LCX86DTR2</v>
      </c>
      <c r="B26987" s="3" t="s">
        <v>95</v>
      </c>
      <c r="C26987" s="6">
        <v>19000</v>
      </c>
      <c r="D26987" s="7">
        <v>0.38</v>
      </c>
      <c r="E26987" t="s">
        <v>31</v>
      </c>
    </row>
    <row r="26988" spans="1:5" x14ac:dyDescent="0.25">
      <c r="A26988" t="str">
        <f>HYPERLINK("https://www.773grp.com/globalSearch/MC74LCXU04D/page-1", "MC74LCXU04D")</f>
        <v>MC74LCXU04D</v>
      </c>
      <c r="B26988" s="3" t="s">
        <v>95</v>
      </c>
      <c r="C26988" s="6">
        <v>1485</v>
      </c>
      <c r="D26988" s="7">
        <v>0.38</v>
      </c>
      <c r="E26988" t="s">
        <v>31</v>
      </c>
    </row>
    <row r="26989" spans="1:5" x14ac:dyDescent="0.25">
      <c r="A26989" t="str">
        <f>HYPERLINK("https://www.773grp.com/globalSearch/MC74LCXU04DR2/page-1", "MC74LCXU04DR2")</f>
        <v>MC74LCXU04DR2</v>
      </c>
      <c r="B26989" s="3" t="s">
        <v>95</v>
      </c>
      <c r="C26989" s="6">
        <v>27500</v>
      </c>
      <c r="D26989" s="7">
        <v>0.38</v>
      </c>
      <c r="E26989" t="s">
        <v>31</v>
      </c>
    </row>
    <row r="26990" spans="1:5" x14ac:dyDescent="0.25">
      <c r="A26990" t="str">
        <f>HYPERLINK("https://www.773grp.com/globalSearch/MC74LVX125D/page-1", "MC74LVX125D")</f>
        <v>MC74LVX125D</v>
      </c>
      <c r="B26990" s="3" t="s">
        <v>95</v>
      </c>
      <c r="C26990" s="6">
        <v>15840</v>
      </c>
      <c r="D26990" s="7">
        <v>0.38</v>
      </c>
      <c r="E26990" t="s">
        <v>14</v>
      </c>
    </row>
    <row r="26991" spans="1:5" x14ac:dyDescent="0.25">
      <c r="A26991" t="str">
        <f>HYPERLINK("https://www.773grp.com/globalSearch/MC74LVX125DR2/page-1", "MC74LVX125DR2")</f>
        <v>MC74LVX125DR2</v>
      </c>
      <c r="B26991" s="3" t="s">
        <v>95</v>
      </c>
      <c r="C26991" s="6">
        <v>2500</v>
      </c>
      <c r="D26991" s="7">
        <v>0.38</v>
      </c>
      <c r="E26991" t="s">
        <v>14</v>
      </c>
    </row>
    <row r="26992" spans="1:5" x14ac:dyDescent="0.25">
      <c r="A26992" t="str">
        <f>HYPERLINK("https://www.773grp.com/globalSearch/MC74LVX125DT/page-1", "MC74LVX125DT")</f>
        <v>MC74LVX125DT</v>
      </c>
      <c r="B26992" s="3" t="s">
        <v>95</v>
      </c>
      <c r="C26992" s="6">
        <v>49</v>
      </c>
      <c r="D26992" s="7">
        <v>0.38</v>
      </c>
      <c r="E26992" t="s">
        <v>14</v>
      </c>
    </row>
    <row r="26993" spans="1:5" x14ac:dyDescent="0.25">
      <c r="A26993" t="str">
        <f>HYPERLINK("https://www.773grp.com/globalSearch/MC74LVX132DT/page-1", "MC74LVX132DT")</f>
        <v>MC74LVX132DT</v>
      </c>
      <c r="B26993" s="3" t="s">
        <v>95</v>
      </c>
      <c r="C26993" s="6">
        <v>1440</v>
      </c>
      <c r="D26993" s="7">
        <v>0.38</v>
      </c>
      <c r="E26993" t="s">
        <v>31</v>
      </c>
    </row>
    <row r="26994" spans="1:5" x14ac:dyDescent="0.25">
      <c r="A26994" t="str">
        <f>HYPERLINK("https://www.773grp.com/globalSearch/MC74LVX138DR2/page-1", "MC74LVX138DR2")</f>
        <v>MC74LVX138DR2</v>
      </c>
      <c r="B26994" s="3" t="s">
        <v>95</v>
      </c>
      <c r="C26994" s="6">
        <v>5000</v>
      </c>
      <c r="D26994" s="7">
        <v>0.38</v>
      </c>
      <c r="E26994" t="s">
        <v>36</v>
      </c>
    </row>
    <row r="26995" spans="1:5" x14ac:dyDescent="0.25">
      <c r="A26995" t="str">
        <f>HYPERLINK("https://www.773grp.com/globalSearch/MC74LVX138DTR2/page-1", "MC74LVX138DTR2")</f>
        <v>MC74LVX138DTR2</v>
      </c>
      <c r="B26995" s="3" t="s">
        <v>95</v>
      </c>
      <c r="C26995" s="6">
        <v>7500</v>
      </c>
      <c r="D26995" s="7">
        <v>0.38</v>
      </c>
      <c r="E26995" t="s">
        <v>36</v>
      </c>
    </row>
    <row r="26996" spans="1:5" x14ac:dyDescent="0.25">
      <c r="A26996" t="str">
        <f>HYPERLINK("https://www.773grp.com/globalSearch/MC74LVX139DR2/page-1", "MC74LVX139DR2")</f>
        <v>MC74LVX139DR2</v>
      </c>
      <c r="B26996" s="3" t="s">
        <v>95</v>
      </c>
      <c r="C26996" s="6">
        <v>1726</v>
      </c>
      <c r="D26996" s="7">
        <v>0.38</v>
      </c>
      <c r="E26996" t="s">
        <v>36</v>
      </c>
    </row>
    <row r="26997" spans="1:5" x14ac:dyDescent="0.25">
      <c r="A26997" t="str">
        <f>HYPERLINK("https://www.773grp.com/globalSearch/MC74LVX139DTR2/page-1", "MC74LVX139DTR2")</f>
        <v>MC74LVX139DTR2</v>
      </c>
      <c r="B26997" s="3" t="s">
        <v>95</v>
      </c>
      <c r="C26997" s="6">
        <v>15000</v>
      </c>
      <c r="D26997" s="7">
        <v>0.38</v>
      </c>
      <c r="E26997" t="s">
        <v>36</v>
      </c>
    </row>
    <row r="26998" spans="1:5" x14ac:dyDescent="0.25">
      <c r="A26998" t="str">
        <f>HYPERLINK("https://www.773grp.com/globalSearch/MC74LVX14D/page-1", "MC74LVX14D")</f>
        <v>MC74LVX14D</v>
      </c>
      <c r="B26998" s="3" t="s">
        <v>95</v>
      </c>
      <c r="C26998" s="6">
        <v>9280</v>
      </c>
      <c r="D26998" s="7">
        <v>0.38</v>
      </c>
      <c r="E26998" t="s">
        <v>31</v>
      </c>
    </row>
    <row r="26999" spans="1:5" x14ac:dyDescent="0.25">
      <c r="A26999" t="str">
        <f>HYPERLINK("https://www.773grp.com/globalSearch/MC74LVX157DR2/page-1", "MC74LVX157DR2")</f>
        <v>MC74LVX157DR2</v>
      </c>
      <c r="B26999" s="3" t="s">
        <v>95</v>
      </c>
      <c r="C26999" s="6">
        <v>5000</v>
      </c>
      <c r="D26999" s="7">
        <v>0.38</v>
      </c>
      <c r="E26999" t="s">
        <v>20</v>
      </c>
    </row>
    <row r="27000" spans="1:5" x14ac:dyDescent="0.25">
      <c r="A27000" t="str">
        <f>HYPERLINK("https://www.773grp.com/globalSearch/MC74LVX257DR2/page-1", "MC74LVX257DR2")</f>
        <v>MC74LVX257DR2</v>
      </c>
      <c r="B27000" s="3" t="s">
        <v>95</v>
      </c>
      <c r="C27000" s="6">
        <v>4975</v>
      </c>
      <c r="D27000" s="7">
        <v>0.38</v>
      </c>
      <c r="E27000" t="s">
        <v>20</v>
      </c>
    </row>
    <row r="27001" spans="1:5" x14ac:dyDescent="0.25">
      <c r="A27001" t="str">
        <f>HYPERLINK("https://www.773grp.com/globalSearch/MC74LVX259D/page-1", "MC74LVX259D")</f>
        <v>MC74LVX259D</v>
      </c>
      <c r="B27001" s="3" t="s">
        <v>95</v>
      </c>
      <c r="C27001" s="6">
        <v>932</v>
      </c>
      <c r="D27001" s="7">
        <v>0.38</v>
      </c>
      <c r="E27001" t="s">
        <v>36</v>
      </c>
    </row>
    <row r="27002" spans="1:5" x14ac:dyDescent="0.25">
      <c r="A27002" t="str">
        <f>HYPERLINK("https://www.773grp.com/globalSearch/MC74LVX259DR2/page-1", "MC74LVX259DR2")</f>
        <v>MC74LVX259DR2</v>
      </c>
      <c r="B27002" s="3" t="s">
        <v>95</v>
      </c>
      <c r="C27002" s="6">
        <v>5000</v>
      </c>
      <c r="D27002" s="7">
        <v>0.38</v>
      </c>
      <c r="E27002" t="s">
        <v>36</v>
      </c>
    </row>
    <row r="27003" spans="1:5" x14ac:dyDescent="0.25">
      <c r="A27003" t="str">
        <f>HYPERLINK("https://www.773grp.com/globalSearch/MC74LVX259DT/page-1", "MC74LVX259DT")</f>
        <v>MC74LVX259DT</v>
      </c>
      <c r="B27003" s="3" t="s">
        <v>95</v>
      </c>
      <c r="C27003" s="6">
        <v>9092</v>
      </c>
      <c r="D27003" s="7">
        <v>0.38</v>
      </c>
      <c r="E27003" t="s">
        <v>36</v>
      </c>
    </row>
    <row r="27004" spans="1:5" x14ac:dyDescent="0.25">
      <c r="A27004" t="str">
        <f>HYPERLINK("https://www.773grp.com/globalSearch/MC74LVX259DTR2/page-1", "MC74LVX259DTR2")</f>
        <v>MC74LVX259DTR2</v>
      </c>
      <c r="B27004" s="3" t="s">
        <v>95</v>
      </c>
      <c r="C27004" s="6">
        <v>5000</v>
      </c>
      <c r="D27004" s="7">
        <v>0.38</v>
      </c>
      <c r="E27004" t="s">
        <v>36</v>
      </c>
    </row>
    <row r="27005" spans="1:5" x14ac:dyDescent="0.25">
      <c r="A27005" t="str">
        <f>HYPERLINK("https://www.773grp.com/globalSearch/MC74VHC02MEL/page-1", "MC74VHC02MEL")</f>
        <v>MC74VHC02MEL</v>
      </c>
      <c r="B27005" s="3" t="s">
        <v>95</v>
      </c>
      <c r="C27005" s="6">
        <v>12000</v>
      </c>
      <c r="D27005" s="7">
        <v>0.38</v>
      </c>
    </row>
    <row r="27006" spans="1:5" x14ac:dyDescent="0.25">
      <c r="A27006" t="str">
        <f>HYPERLINK("https://www.773grp.com/globalSearch/MC74VHC132DR2/page-1", "MC74VHC132DR2")</f>
        <v>MC74VHC132DR2</v>
      </c>
      <c r="B27006" s="3" t="s">
        <v>95</v>
      </c>
      <c r="C27006" s="6">
        <v>17500</v>
      </c>
      <c r="D27006" s="7">
        <v>0.38</v>
      </c>
      <c r="E27006" t="s">
        <v>31</v>
      </c>
    </row>
    <row r="27007" spans="1:5" x14ac:dyDescent="0.25">
      <c r="A27007" t="str">
        <f>HYPERLINK("https://www.773grp.com/globalSearch/MC74VHC132DT/page-1", "MC74VHC132DT")</f>
        <v>MC74VHC132DT</v>
      </c>
      <c r="B27007" s="3" t="s">
        <v>95</v>
      </c>
      <c r="C27007" s="6">
        <v>3624</v>
      </c>
      <c r="D27007" s="7">
        <v>0.38</v>
      </c>
      <c r="E27007" t="s">
        <v>31</v>
      </c>
    </row>
    <row r="27008" spans="1:5" x14ac:dyDescent="0.25">
      <c r="A27008" t="str">
        <f>HYPERLINK("https://www.773grp.com/globalSearch/MC74VHC138D/page-1", "MC74VHC138D")</f>
        <v>MC74VHC138D</v>
      </c>
      <c r="B27008" s="3" t="s">
        <v>95</v>
      </c>
      <c r="C27008" s="6">
        <v>13270</v>
      </c>
      <c r="D27008" s="7">
        <v>0.38</v>
      </c>
      <c r="E27008" t="s">
        <v>36</v>
      </c>
    </row>
    <row r="27009" spans="1:5" x14ac:dyDescent="0.25">
      <c r="A27009" t="str">
        <f>HYPERLINK("https://www.773grp.com/globalSearch/MC74VHC138DR2/page-1", "MC74VHC138DR2")</f>
        <v>MC74VHC138DR2</v>
      </c>
      <c r="B27009" s="3" t="s">
        <v>95</v>
      </c>
      <c r="C27009" s="6">
        <v>15000</v>
      </c>
      <c r="D27009" s="7">
        <v>0.38</v>
      </c>
      <c r="E27009" t="s">
        <v>36</v>
      </c>
    </row>
    <row r="27010" spans="1:5" x14ac:dyDescent="0.25">
      <c r="A27010" t="str">
        <f>HYPERLINK("https://www.773grp.com/globalSearch/MC74VHC138DTR2/page-1", "MC74VHC138DTR2")</f>
        <v>MC74VHC138DTR2</v>
      </c>
      <c r="B27010" s="3" t="s">
        <v>95</v>
      </c>
      <c r="C27010" s="6">
        <v>10000</v>
      </c>
      <c r="D27010" s="7">
        <v>0.38</v>
      </c>
      <c r="E27010" t="s">
        <v>36</v>
      </c>
    </row>
    <row r="27011" spans="1:5" x14ac:dyDescent="0.25">
      <c r="A27011" t="str">
        <f>HYPERLINK("https://www.773grp.com/globalSearch/MC74VHC139DTR2/page-1", "MC74VHC139DTR2")</f>
        <v>MC74VHC139DTR2</v>
      </c>
      <c r="B27011" s="3" t="s">
        <v>95</v>
      </c>
      <c r="C27011" s="6">
        <v>10000</v>
      </c>
      <c r="D27011" s="7">
        <v>0.38</v>
      </c>
      <c r="E27011" t="s">
        <v>36</v>
      </c>
    </row>
    <row r="27012" spans="1:5" x14ac:dyDescent="0.25">
      <c r="A27012" t="str">
        <f>HYPERLINK("https://www.773grp.com/globalSearch/MC74VHC157DR2/page-1", "MC74VHC157DR2")</f>
        <v>MC74VHC157DR2</v>
      </c>
      <c r="B27012" s="3" t="s">
        <v>95</v>
      </c>
      <c r="C27012" s="6">
        <v>10000</v>
      </c>
      <c r="D27012" s="7">
        <v>0.38</v>
      </c>
      <c r="E27012" t="s">
        <v>20</v>
      </c>
    </row>
    <row r="27013" spans="1:5" x14ac:dyDescent="0.25">
      <c r="A27013" t="str">
        <f>HYPERLINK("https://www.773grp.com/globalSearch/MC74VHC157DTR2/page-1", "MC74VHC157DTR2")</f>
        <v>MC74VHC157DTR2</v>
      </c>
      <c r="B27013" s="3" t="s">
        <v>95</v>
      </c>
      <c r="C27013" s="6">
        <v>10000</v>
      </c>
      <c r="D27013" s="7">
        <v>0.38</v>
      </c>
      <c r="E27013" t="s">
        <v>20</v>
      </c>
    </row>
    <row r="27014" spans="1:5" x14ac:dyDescent="0.25">
      <c r="A27014" t="str">
        <f>HYPERLINK("https://www.773grp.com/globalSearch/MC74VHC1G01DFT1G/page-1", "MC74VHC1G01DFT1G")</f>
        <v>MC74VHC1G01DFT1G</v>
      </c>
      <c r="B27014" s="3" t="s">
        <v>95</v>
      </c>
      <c r="C27014" s="6">
        <v>12000</v>
      </c>
      <c r="D27014" s="7">
        <v>0.38</v>
      </c>
      <c r="E27014" t="s">
        <v>31</v>
      </c>
    </row>
    <row r="27015" spans="1:5" x14ac:dyDescent="0.25">
      <c r="A27015" t="str">
        <f>HYPERLINK("https://www.773grp.com/globalSearch/MC74VHC1G03DFT1G/page-1", "MC74VHC1G03DFT1G")</f>
        <v>MC74VHC1G03DFT1G</v>
      </c>
      <c r="B27015" s="3" t="s">
        <v>95</v>
      </c>
      <c r="C27015" s="6">
        <v>117000</v>
      </c>
      <c r="D27015" s="7">
        <v>0.38</v>
      </c>
      <c r="E27015" t="s">
        <v>31</v>
      </c>
    </row>
    <row r="27016" spans="1:5" x14ac:dyDescent="0.25">
      <c r="A27016" t="str">
        <f>HYPERLINK("https://www.773grp.com/globalSearch/MC74VHC1G03DFT2G/page-1", "MC74VHC1G03DFT2G")</f>
        <v>MC74VHC1G03DFT2G</v>
      </c>
      <c r="B27016" s="3" t="s">
        <v>95</v>
      </c>
      <c r="C27016" s="6">
        <v>42000</v>
      </c>
      <c r="D27016" s="7">
        <v>0.38</v>
      </c>
      <c r="E27016" t="s">
        <v>31</v>
      </c>
    </row>
    <row r="27017" spans="1:5" x14ac:dyDescent="0.25">
      <c r="A27017" t="str">
        <f>HYPERLINK("https://www.773grp.com/globalSearch/MC74VHC1G09DFT1G/page-1", "MC74VHC1G09DFT1G")</f>
        <v>MC74VHC1G09DFT1G</v>
      </c>
      <c r="B27017" s="3" t="s">
        <v>95</v>
      </c>
      <c r="C27017" s="6">
        <v>84000</v>
      </c>
      <c r="D27017" s="7">
        <v>0.38</v>
      </c>
      <c r="E27017" t="s">
        <v>31</v>
      </c>
    </row>
    <row r="27018" spans="1:5" x14ac:dyDescent="0.25">
      <c r="A27018" t="str">
        <f>HYPERLINK("https://www.773grp.com/globalSearch/MC74VHC1G09DFT2G/page-1", "MC74VHC1G09DFT2G")</f>
        <v>MC74VHC1G09DFT2G</v>
      </c>
      <c r="B27018" s="3" t="s">
        <v>95</v>
      </c>
      <c r="C27018" s="6">
        <v>771340</v>
      </c>
      <c r="D27018" s="7">
        <v>0.38</v>
      </c>
      <c r="E27018" t="s">
        <v>31</v>
      </c>
    </row>
    <row r="27019" spans="1:5" x14ac:dyDescent="0.25">
      <c r="A27019" t="str">
        <f>HYPERLINK("https://www.773grp.com/globalSearch/MC74VHC1G50DFT1G/page-1", "MC74VHC1G50DFT1G")</f>
        <v>MC74VHC1G50DFT1G</v>
      </c>
      <c r="B27019" s="3" t="s">
        <v>95</v>
      </c>
      <c r="C27019" s="6">
        <v>2079000</v>
      </c>
      <c r="D27019" s="7">
        <v>0.38</v>
      </c>
      <c r="E27019" t="s">
        <v>31</v>
      </c>
    </row>
    <row r="27020" spans="1:5" x14ac:dyDescent="0.25">
      <c r="A27020" t="str">
        <f>HYPERLINK("https://www.773grp.com/globalSearch/MC74VHC1G50DFT2G/page-1", "MC74VHC1G50DFT2G")</f>
        <v>MC74VHC1G50DFT2G</v>
      </c>
      <c r="B27020" s="3" t="s">
        <v>95</v>
      </c>
      <c r="C27020" s="6">
        <v>105000</v>
      </c>
      <c r="D27020" s="7">
        <v>0.38</v>
      </c>
      <c r="E27020" t="s">
        <v>31</v>
      </c>
    </row>
    <row r="27021" spans="1:5" x14ac:dyDescent="0.25">
      <c r="A27021" t="str">
        <f>HYPERLINK("https://www.773grp.com/globalSearch/MC74VHC257DR2/page-1", "MC74VHC257DR2")</f>
        <v>MC74VHC257DR2</v>
      </c>
      <c r="B27021" s="3" t="s">
        <v>95</v>
      </c>
      <c r="C27021" s="6">
        <v>4995</v>
      </c>
      <c r="D27021" s="7">
        <v>0.38</v>
      </c>
      <c r="E27021" t="s">
        <v>20</v>
      </c>
    </row>
    <row r="27022" spans="1:5" x14ac:dyDescent="0.25">
      <c r="A27022" t="str">
        <f>HYPERLINK("https://www.773grp.com/globalSearch/MC74VHC257DT/page-1", "MC74VHC257DT")</f>
        <v>MC74VHC257DT</v>
      </c>
      <c r="B27022" s="3" t="s">
        <v>95</v>
      </c>
      <c r="C27022" s="6">
        <v>960</v>
      </c>
      <c r="D27022" s="7">
        <v>0.38</v>
      </c>
      <c r="E27022" t="s">
        <v>20</v>
      </c>
    </row>
    <row r="27023" spans="1:5" x14ac:dyDescent="0.25">
      <c r="A27023" t="str">
        <f>HYPERLINK("https://www.773grp.com/globalSearch/MC74VHC257DTR2/page-1", "MC74VHC257DTR2")</f>
        <v>MC74VHC257DTR2</v>
      </c>
      <c r="B27023" s="3" t="s">
        <v>95</v>
      </c>
      <c r="C27023" s="6">
        <v>2500</v>
      </c>
      <c r="D27023" s="7">
        <v>0.38</v>
      </c>
      <c r="E27023" t="s">
        <v>20</v>
      </c>
    </row>
    <row r="27024" spans="1:5" x14ac:dyDescent="0.25">
      <c r="A27024" t="str">
        <f>HYPERLINK("https://www.773grp.com/globalSearch/MC74VHC259D/page-1", "MC74VHC259D")</f>
        <v>MC74VHC259D</v>
      </c>
      <c r="B27024" s="3" t="s">
        <v>95</v>
      </c>
      <c r="C27024" s="6">
        <v>480</v>
      </c>
      <c r="D27024" s="7">
        <v>0.38</v>
      </c>
      <c r="E27024" t="s">
        <v>36</v>
      </c>
    </row>
    <row r="27025" spans="1:5" x14ac:dyDescent="0.25">
      <c r="A27025" t="str">
        <f>HYPERLINK("https://www.773grp.com/globalSearch/MC74VHC259DR2/page-1", "MC74VHC259DR2")</f>
        <v>MC74VHC259DR2</v>
      </c>
      <c r="B27025" s="3" t="s">
        <v>95</v>
      </c>
      <c r="C27025" s="6">
        <v>12495</v>
      </c>
      <c r="D27025" s="7">
        <v>0.38</v>
      </c>
      <c r="E27025" t="s">
        <v>36</v>
      </c>
    </row>
    <row r="27026" spans="1:5" x14ac:dyDescent="0.25">
      <c r="A27026" t="str">
        <f>HYPERLINK("https://www.773grp.com/globalSearch/MC74VHC259DTR2/page-1", "MC74VHC259DTR2")</f>
        <v>MC74VHC259DTR2</v>
      </c>
      <c r="B27026" s="3" t="s">
        <v>95</v>
      </c>
      <c r="C27026" s="6">
        <v>2485</v>
      </c>
      <c r="D27026" s="7">
        <v>0.38</v>
      </c>
      <c r="E27026" t="s">
        <v>36</v>
      </c>
    </row>
    <row r="27027" spans="1:5" x14ac:dyDescent="0.25">
      <c r="A27027" t="str">
        <f>HYPERLINK("https://www.773grp.com/globalSearch/MC74VHC32MEL/page-1", "MC74VHC32MEL")</f>
        <v>MC74VHC32MEL</v>
      </c>
      <c r="B27027" s="3" t="s">
        <v>95</v>
      </c>
      <c r="C27027" s="6">
        <v>2000</v>
      </c>
      <c r="D27027" s="7">
        <v>0.38</v>
      </c>
    </row>
    <row r="27028" spans="1:5" x14ac:dyDescent="0.25">
      <c r="A27028" t="str">
        <f>HYPERLINK("https://www.773grp.com/globalSearch/MC74VHC74D/page-1", "MC74VHC74D")</f>
        <v>MC74VHC74D</v>
      </c>
      <c r="B27028" s="3" t="s">
        <v>95</v>
      </c>
      <c r="C27028" s="6">
        <v>37070</v>
      </c>
      <c r="D27028" s="7">
        <v>0.38</v>
      </c>
      <c r="E27028" t="s">
        <v>35</v>
      </c>
    </row>
    <row r="27029" spans="1:5" x14ac:dyDescent="0.25">
      <c r="A27029" t="str">
        <f>HYPERLINK("https://www.773grp.com/globalSearch/MC74VHC86DT/page-1", "MC74VHC86DT")</f>
        <v>MC74VHC86DT</v>
      </c>
      <c r="B27029" s="3" t="s">
        <v>95</v>
      </c>
      <c r="C27029" s="6">
        <v>7027</v>
      </c>
      <c r="D27029" s="7">
        <v>0.38</v>
      </c>
      <c r="E27029" t="s">
        <v>31</v>
      </c>
    </row>
    <row r="27030" spans="1:5" x14ac:dyDescent="0.25">
      <c r="A27030" t="str">
        <f>HYPERLINK("https://www.773grp.com/globalSearch/MC74VHC86MEL/page-1", "MC74VHC86MEL")</f>
        <v>MC74VHC86MEL</v>
      </c>
      <c r="B27030" s="3" t="s">
        <v>95</v>
      </c>
      <c r="C27030" s="6">
        <v>2000</v>
      </c>
      <c r="D27030" s="7">
        <v>0.38</v>
      </c>
      <c r="E27030" t="s">
        <v>31</v>
      </c>
    </row>
    <row r="27031" spans="1:5" x14ac:dyDescent="0.25">
      <c r="A27031" t="str">
        <f>HYPERLINK("https://www.773grp.com/globalSearch/MC74VHCT00AMEL/page-1", "MC74VHCT00AMEL")</f>
        <v>MC74VHCT00AMEL</v>
      </c>
      <c r="B27031" s="3" t="s">
        <v>95</v>
      </c>
      <c r="C27031" s="6">
        <v>4000</v>
      </c>
      <c r="D27031" s="7">
        <v>0.38</v>
      </c>
      <c r="E27031" t="s">
        <v>31</v>
      </c>
    </row>
    <row r="27032" spans="1:5" x14ac:dyDescent="0.25">
      <c r="A27032" t="str">
        <f>HYPERLINK("https://www.773grp.com/globalSearch/MC74VHCT125A/page-1", "MC74VHCT125A")</f>
        <v>MC74VHCT125A</v>
      </c>
      <c r="B27032" s="3" t="s">
        <v>95</v>
      </c>
      <c r="C27032" s="6">
        <v>960</v>
      </c>
      <c r="D27032" s="7">
        <v>0.38</v>
      </c>
    </row>
    <row r="27033" spans="1:5" x14ac:dyDescent="0.25">
      <c r="A27033" t="str">
        <f>HYPERLINK("https://www.773grp.com/globalSearch/MC74VHCT125ADR2/page-1", "MC74VHCT125ADR2")</f>
        <v>MC74VHCT125ADR2</v>
      </c>
      <c r="B27033" s="3" t="s">
        <v>95</v>
      </c>
      <c r="C27033" s="6">
        <v>1071</v>
      </c>
      <c r="D27033" s="7">
        <v>0.38</v>
      </c>
      <c r="E27033" t="s">
        <v>14</v>
      </c>
    </row>
    <row r="27034" spans="1:5" x14ac:dyDescent="0.25">
      <c r="A27034" t="str">
        <f>HYPERLINK("https://www.773grp.com/globalSearch/MC74VHCT126ADR2/page-1", "MC74VHCT126ADR2")</f>
        <v>MC74VHCT126ADR2</v>
      </c>
      <c r="B27034" s="3" t="s">
        <v>95</v>
      </c>
      <c r="C27034" s="6">
        <v>49791</v>
      </c>
      <c r="D27034" s="7">
        <v>0.38</v>
      </c>
      <c r="E27034" t="s">
        <v>14</v>
      </c>
    </row>
    <row r="27035" spans="1:5" x14ac:dyDescent="0.25">
      <c r="A27035" t="str">
        <f>HYPERLINK("https://www.773grp.com/globalSearch/MC74VHCT139AD/page-1", "MC74VHCT139AD")</f>
        <v>MC74VHCT139AD</v>
      </c>
      <c r="B27035" s="3" t="s">
        <v>95</v>
      </c>
      <c r="C27035" s="6">
        <v>1056</v>
      </c>
      <c r="D27035" s="7">
        <v>0.38</v>
      </c>
      <c r="E27035" t="s">
        <v>36</v>
      </c>
    </row>
    <row r="27036" spans="1:5" x14ac:dyDescent="0.25">
      <c r="A27036" t="str">
        <f>HYPERLINK("https://www.773grp.com/globalSearch/MC74VHCT139ADR2/page-1", "MC74VHCT139ADR2")</f>
        <v>MC74VHCT139ADR2</v>
      </c>
      <c r="B27036" s="3" t="s">
        <v>95</v>
      </c>
      <c r="C27036" s="6">
        <v>12485</v>
      </c>
      <c r="D27036" s="7">
        <v>0.38</v>
      </c>
      <c r="E27036" t="s">
        <v>36</v>
      </c>
    </row>
    <row r="27037" spans="1:5" x14ac:dyDescent="0.25">
      <c r="A27037" t="str">
        <f>HYPERLINK("https://www.773grp.com/globalSearch/MC74VHCT139ADTR2/page-1", "MC74VHCT139ADTR2")</f>
        <v>MC74VHCT139ADTR2</v>
      </c>
      <c r="B27037" s="3" t="s">
        <v>95</v>
      </c>
      <c r="C27037" s="6">
        <v>5000</v>
      </c>
      <c r="D27037" s="7">
        <v>0.38</v>
      </c>
      <c r="E27037" t="s">
        <v>36</v>
      </c>
    </row>
    <row r="27038" spans="1:5" x14ac:dyDescent="0.25">
      <c r="A27038" t="str">
        <f>HYPERLINK("https://www.773grp.com/globalSearch/MC74VHCT257ADR2/page-1", "MC74VHCT257ADR2")</f>
        <v>MC74VHCT257ADR2</v>
      </c>
      <c r="B27038" s="3" t="s">
        <v>95</v>
      </c>
      <c r="C27038" s="6">
        <v>5000</v>
      </c>
      <c r="D27038" s="7">
        <v>0.38</v>
      </c>
      <c r="E27038" t="s">
        <v>20</v>
      </c>
    </row>
    <row r="27039" spans="1:5" x14ac:dyDescent="0.25">
      <c r="A27039" t="str">
        <f>HYPERLINK("https://www.773grp.com/globalSearch/MC74VHCT257ADT/page-1", "MC74VHCT257ADT")</f>
        <v>MC74VHCT257ADT</v>
      </c>
      <c r="B27039" s="3" t="s">
        <v>95</v>
      </c>
      <c r="C27039" s="6">
        <v>16416</v>
      </c>
      <c r="D27039" s="7">
        <v>0.38</v>
      </c>
      <c r="E27039" t="s">
        <v>20</v>
      </c>
    </row>
    <row r="27040" spans="1:5" x14ac:dyDescent="0.25">
      <c r="A27040" t="str">
        <f>HYPERLINK("https://www.773grp.com/globalSearch/MC74VHCT259AD/page-1", "MC74VHCT259AD")</f>
        <v>MC74VHCT259AD</v>
      </c>
      <c r="B27040" s="3" t="s">
        <v>95</v>
      </c>
      <c r="C27040" s="6">
        <v>96</v>
      </c>
      <c r="D27040" s="7">
        <v>0.38</v>
      </c>
      <c r="E27040" t="s">
        <v>36</v>
      </c>
    </row>
    <row r="27041" spans="1:5" x14ac:dyDescent="0.25">
      <c r="A27041" t="str">
        <f>HYPERLINK("https://www.773grp.com/globalSearch/MC74VHCT259ADR2/page-1", "MC74VHCT259ADR2")</f>
        <v>MC74VHCT259ADR2</v>
      </c>
      <c r="B27041" s="3" t="s">
        <v>95</v>
      </c>
      <c r="C27041" s="6">
        <v>4970</v>
      </c>
      <c r="D27041" s="7">
        <v>0.38</v>
      </c>
      <c r="E27041" t="s">
        <v>36</v>
      </c>
    </row>
    <row r="27042" spans="1:5" x14ac:dyDescent="0.25">
      <c r="A27042" t="str">
        <f>HYPERLINK("https://www.773grp.com/globalSearch/MC74VHCT259ADT/page-1", "MC74VHCT259ADT")</f>
        <v>MC74VHCT259ADT</v>
      </c>
      <c r="B27042" s="3" t="s">
        <v>95</v>
      </c>
      <c r="C27042" s="6">
        <v>1632</v>
      </c>
      <c r="D27042" s="7">
        <v>0.38</v>
      </c>
      <c r="E27042" t="s">
        <v>36</v>
      </c>
    </row>
    <row r="27043" spans="1:5" x14ac:dyDescent="0.25">
      <c r="A27043" t="str">
        <f>HYPERLINK("https://www.773grp.com/globalSearch/MC74VHCT259ADTR2/page-1", "MC74VHCT259ADTR2")</f>
        <v>MC74VHCT259ADTR2</v>
      </c>
      <c r="B27043" s="3" t="s">
        <v>95</v>
      </c>
      <c r="C27043" s="6">
        <v>2275</v>
      </c>
      <c r="D27043" s="7">
        <v>0.38</v>
      </c>
      <c r="E27043" t="s">
        <v>36</v>
      </c>
    </row>
    <row r="27044" spans="1:5" x14ac:dyDescent="0.25">
      <c r="A27044" t="str">
        <f>HYPERLINK("https://www.773grp.com/globalSearch/MC74VHCT32AM/page-1", "MC74VHCT32AM")</f>
        <v>MC74VHCT32AM</v>
      </c>
      <c r="B27044" s="3" t="s">
        <v>95</v>
      </c>
      <c r="C27044" s="6">
        <v>50</v>
      </c>
      <c r="D27044" s="7">
        <v>0.38</v>
      </c>
      <c r="E27044" t="s">
        <v>31</v>
      </c>
    </row>
    <row r="27045" spans="1:5" x14ac:dyDescent="0.25">
      <c r="A27045" t="str">
        <f>HYPERLINK("https://www.773grp.com/globalSearch/MC74VHCT74AD/page-1", "MC74VHCT74AD")</f>
        <v>MC74VHCT74AD</v>
      </c>
      <c r="B27045" s="3" t="s">
        <v>95</v>
      </c>
      <c r="C27045" s="6">
        <v>8455</v>
      </c>
      <c r="D27045" s="7">
        <v>0.38</v>
      </c>
      <c r="E27045" t="s">
        <v>35</v>
      </c>
    </row>
    <row r="27046" spans="1:5" x14ac:dyDescent="0.25">
      <c r="A27046" t="str">
        <f>HYPERLINK("https://www.773grp.com/globalSearch/MC74VHCT74ADT/page-1", "MC74VHCT74ADT")</f>
        <v>MC74VHCT74ADT</v>
      </c>
      <c r="B27046" s="3" t="s">
        <v>95</v>
      </c>
      <c r="C27046" s="6">
        <v>12288</v>
      </c>
      <c r="D27046" s="7">
        <v>0.38</v>
      </c>
      <c r="E27046" t="s">
        <v>35</v>
      </c>
    </row>
    <row r="27047" spans="1:5" x14ac:dyDescent="0.25">
      <c r="A27047" t="str">
        <f>HYPERLINK("https://www.773grp.com/globalSearch/MC74VHCT86AD/page-1", "MC74VHCT86AD")</f>
        <v>MC74VHCT86AD</v>
      </c>
      <c r="B27047" s="3" t="s">
        <v>95</v>
      </c>
      <c r="C27047" s="6">
        <v>13310</v>
      </c>
      <c r="D27047" s="7">
        <v>0.38</v>
      </c>
      <c r="E27047" t="s">
        <v>31</v>
      </c>
    </row>
    <row r="27048" spans="1:5" x14ac:dyDescent="0.25">
      <c r="A27048" t="str">
        <f>HYPERLINK("https://www.773grp.com/globalSearch/MCR100-003/page-1", "MCR100-003")</f>
        <v>MCR100-003</v>
      </c>
      <c r="B27048" s="3" t="s">
        <v>95</v>
      </c>
      <c r="C27048" s="6">
        <v>15000</v>
      </c>
      <c r="D27048" s="7">
        <v>0.38</v>
      </c>
      <c r="E27048" t="s">
        <v>97</v>
      </c>
    </row>
    <row r="27049" spans="1:5" x14ac:dyDescent="0.25">
      <c r="A27049" t="str">
        <f>HYPERLINK("https://www.773grp.com/globalSearch/MCR100-6RLRA/page-1", "MCR100-6RLRA")</f>
        <v>MCR100-6RLRA</v>
      </c>
      <c r="B27049" s="3" t="s">
        <v>95</v>
      </c>
      <c r="C27049" s="6">
        <v>2000</v>
      </c>
      <c r="D27049" s="7">
        <v>0.38</v>
      </c>
      <c r="E27049" t="s">
        <v>97</v>
      </c>
    </row>
    <row r="27050" spans="1:5" x14ac:dyDescent="0.25">
      <c r="A27050" t="str">
        <f>HYPERLINK("https://www.773grp.com/globalSearch/MCR22-2RL1/page-1", "MCR22-2RL1")</f>
        <v>MCR22-2RL1</v>
      </c>
      <c r="B27050" s="3" t="s">
        <v>95</v>
      </c>
      <c r="C27050" s="6">
        <v>26000</v>
      </c>
      <c r="D27050" s="7">
        <v>0.38</v>
      </c>
    </row>
    <row r="27051" spans="1:5" x14ac:dyDescent="0.25">
      <c r="A27051" t="str">
        <f>HYPERLINK("https://www.773grp.com/globalSearch/MDC3105DMT1/page-1", "MDC3105DMT1")</f>
        <v>MDC3105DMT1</v>
      </c>
      <c r="B27051" s="3" t="s">
        <v>95</v>
      </c>
      <c r="C27051" s="6">
        <v>9000</v>
      </c>
      <c r="D27051" s="7">
        <v>0.38</v>
      </c>
      <c r="E27051" t="s">
        <v>11</v>
      </c>
    </row>
    <row r="27052" spans="1:5" x14ac:dyDescent="0.25">
      <c r="A27052" t="str">
        <f>HYPERLINK("https://www.773grp.com/globalSearch/MJE171/page-1", "MJE171")</f>
        <v>MJE171</v>
      </c>
      <c r="B27052" s="3" t="s">
        <v>95</v>
      </c>
      <c r="C27052" s="6">
        <v>2500</v>
      </c>
      <c r="D27052" s="7">
        <v>0.38</v>
      </c>
      <c r="E27052" t="s">
        <v>59</v>
      </c>
    </row>
    <row r="27053" spans="1:5" x14ac:dyDescent="0.25">
      <c r="A27053" t="str">
        <f>HYPERLINK("https://www.773grp.com/globalSearch/MJE172/page-1", "MJE172")</f>
        <v>MJE172</v>
      </c>
      <c r="B27053" s="3" t="s">
        <v>95</v>
      </c>
      <c r="C27053" s="6">
        <v>2339</v>
      </c>
      <c r="D27053" s="7">
        <v>0.38</v>
      </c>
      <c r="E27053" t="s">
        <v>59</v>
      </c>
    </row>
    <row r="27054" spans="1:5" x14ac:dyDescent="0.25">
      <c r="A27054" t="str">
        <f>HYPERLINK("https://www.773grp.com/globalSearch/MJE350/page-1", "MJE350")</f>
        <v>MJE350</v>
      </c>
      <c r="B27054" s="3" t="s">
        <v>95</v>
      </c>
      <c r="C27054" s="6">
        <v>271</v>
      </c>
      <c r="D27054" s="7">
        <v>0.38</v>
      </c>
      <c r="E27054" t="s">
        <v>59</v>
      </c>
    </row>
    <row r="27055" spans="1:5" x14ac:dyDescent="0.25">
      <c r="A27055" t="str">
        <f>HYPERLINK("https://www.773grp.com/globalSearch/MMBD101LT1G/page-1", "MMBD101LT1G")</f>
        <v>MMBD101LT1G</v>
      </c>
      <c r="B27055" s="3" t="s">
        <v>95</v>
      </c>
      <c r="C27055" s="6">
        <v>94120</v>
      </c>
      <c r="D27055" s="7">
        <v>0.38</v>
      </c>
      <c r="E27055" t="s">
        <v>108</v>
      </c>
    </row>
    <row r="27056" spans="1:5" x14ac:dyDescent="0.25">
      <c r="A27056" t="str">
        <f>HYPERLINK("https://www.773grp.com/globalSearch/MMBD352LT3G/page-1", "MMBD352LT3G")</f>
        <v>MMBD352LT3G</v>
      </c>
      <c r="B27056" s="3" t="s">
        <v>95</v>
      </c>
      <c r="C27056" s="6">
        <v>20000</v>
      </c>
      <c r="D27056" s="7">
        <v>0.38</v>
      </c>
      <c r="E27056" t="s">
        <v>108</v>
      </c>
    </row>
    <row r="27057" spans="1:5" x14ac:dyDescent="0.25">
      <c r="A27057" t="str">
        <f>HYPERLINK("https://www.773grp.com/globalSearch/MMBD354LT1/page-1", "MMBD354LT1")</f>
        <v>MMBD354LT1</v>
      </c>
      <c r="B27057" s="3" t="s">
        <v>95</v>
      </c>
      <c r="C27057" s="6">
        <v>68225</v>
      </c>
      <c r="D27057" s="7">
        <v>0.38</v>
      </c>
      <c r="E27057" t="s">
        <v>108</v>
      </c>
    </row>
    <row r="27058" spans="1:5" x14ac:dyDescent="0.25">
      <c r="A27058" t="str">
        <f>HYPERLINK("https://www.773grp.com/globalSearch/MMBD701LT1G/page-1", "MMBD701LT1G")</f>
        <v>MMBD701LT1G</v>
      </c>
      <c r="B27058" s="3" t="s">
        <v>95</v>
      </c>
      <c r="C27058" s="6">
        <v>50349</v>
      </c>
      <c r="D27058" s="7">
        <v>0.38</v>
      </c>
      <c r="E27058" t="s">
        <v>108</v>
      </c>
    </row>
    <row r="27059" spans="1:5" x14ac:dyDescent="0.25">
      <c r="A27059" t="str">
        <f>HYPERLINK("https://www.773grp.com/globalSearch/MMBD701LT3G/page-1", "MMBD701LT3G")</f>
        <v>MMBD701LT3G</v>
      </c>
      <c r="B27059" s="3" t="s">
        <v>95</v>
      </c>
      <c r="C27059" s="6">
        <v>120000</v>
      </c>
      <c r="D27059" s="7">
        <v>0.38</v>
      </c>
      <c r="E27059" t="s">
        <v>108</v>
      </c>
    </row>
    <row r="27060" spans="1:5" x14ac:dyDescent="0.25">
      <c r="A27060" t="str">
        <f>HYPERLINK("https://www.773grp.com/globalSearch/MMBF4392LT1/page-1", "MMBF4392LT1")</f>
        <v>MMBF4392LT1</v>
      </c>
      <c r="B27060" s="3" t="s">
        <v>95</v>
      </c>
      <c r="C27060" s="6">
        <v>39000</v>
      </c>
      <c r="D27060" s="7">
        <v>0.38</v>
      </c>
      <c r="E27060" t="s">
        <v>106</v>
      </c>
    </row>
    <row r="27061" spans="1:5" x14ac:dyDescent="0.25">
      <c r="A27061" t="str">
        <f>HYPERLINK("https://www.773grp.com/globalSearch/MMBF4393LT1/page-1", "MMBF4393LT1")</f>
        <v>MMBF4393LT1</v>
      </c>
      <c r="B27061" s="3" t="s">
        <v>95</v>
      </c>
      <c r="C27061" s="6">
        <v>21722</v>
      </c>
      <c r="D27061" s="7">
        <v>0.38</v>
      </c>
      <c r="E27061" t="s">
        <v>106</v>
      </c>
    </row>
    <row r="27062" spans="1:5" x14ac:dyDescent="0.25">
      <c r="A27062" t="str">
        <f>HYPERLINK("https://www.773grp.com/globalSearch/MMBT6589T1G/page-1", "MMBT6589T1G")</f>
        <v>MMBT6589T1G</v>
      </c>
      <c r="B27062" s="3" t="s">
        <v>95</v>
      </c>
      <c r="C27062" s="6">
        <v>15000</v>
      </c>
      <c r="D27062" s="7">
        <v>0.38</v>
      </c>
      <c r="E27062" t="s">
        <v>69</v>
      </c>
    </row>
    <row r="27063" spans="1:5" x14ac:dyDescent="0.25">
      <c r="A27063" t="str">
        <f>HYPERLINK("https://www.773grp.com/globalSearch/MMBT918LT1/page-1", "MMBT918LT1")</f>
        <v>MMBT918LT1</v>
      </c>
      <c r="B27063" s="3" t="s">
        <v>95</v>
      </c>
      <c r="C27063" s="6">
        <v>141000</v>
      </c>
      <c r="D27063" s="7">
        <v>0.38</v>
      </c>
      <c r="E27063" t="s">
        <v>61</v>
      </c>
    </row>
    <row r="27064" spans="1:5" x14ac:dyDescent="0.25">
      <c r="A27064" t="str">
        <f>HYPERLINK("https://www.773grp.com/globalSearch/MMBT918LT1G/page-1", "MMBT918LT1G")</f>
        <v>MMBT918LT1G</v>
      </c>
      <c r="B27064" s="3" t="s">
        <v>95</v>
      </c>
      <c r="C27064" s="6">
        <v>28063</v>
      </c>
      <c r="D27064" s="7">
        <v>0.38</v>
      </c>
      <c r="E27064" t="s">
        <v>61</v>
      </c>
    </row>
    <row r="27065" spans="1:5" x14ac:dyDescent="0.25">
      <c r="A27065" t="str">
        <f>HYPERLINK("https://www.773grp.com/globalSearch/MMBTH10LT1G/page-1", "MMBTH10LT1G")</f>
        <v>MMBTH10LT1G</v>
      </c>
      <c r="B27065" s="3" t="s">
        <v>95</v>
      </c>
      <c r="C27065" s="6">
        <v>2704400</v>
      </c>
      <c r="D27065" s="7">
        <v>0.38</v>
      </c>
      <c r="E27065" t="s">
        <v>61</v>
      </c>
    </row>
    <row r="27066" spans="1:5" x14ac:dyDescent="0.25">
      <c r="A27066" t="str">
        <f>HYPERLINK("https://www.773grp.com/globalSearch/MMBV3401LT1/page-1", "MMBV3401LT1")</f>
        <v>MMBV3401LT1</v>
      </c>
      <c r="B27066" s="3" t="s">
        <v>95</v>
      </c>
      <c r="C27066" s="6">
        <v>48000</v>
      </c>
      <c r="D27066" s="7">
        <v>0.38</v>
      </c>
      <c r="E27066" t="s">
        <v>110</v>
      </c>
    </row>
    <row r="27067" spans="1:5" x14ac:dyDescent="0.25">
      <c r="A27067" t="str">
        <f>HYPERLINK("https://www.773grp.com/globalSearch/MMBV3401LT3/page-1", "MMBV3401LT3")</f>
        <v>MMBV3401LT3</v>
      </c>
      <c r="B27067" s="3" t="s">
        <v>95</v>
      </c>
      <c r="C27067" s="6">
        <v>580000</v>
      </c>
      <c r="D27067" s="7">
        <v>0.38</v>
      </c>
      <c r="E27067" t="s">
        <v>110</v>
      </c>
    </row>
    <row r="27068" spans="1:5" x14ac:dyDescent="0.25">
      <c r="A27068" t="str">
        <f>HYPERLINK("https://www.773grp.com/globalSearch/MMBZ15VDLT1/page-1", "MMBZ15VDLT1")</f>
        <v>MMBZ15VDLT1</v>
      </c>
      <c r="B27068" s="3" t="s">
        <v>95</v>
      </c>
      <c r="C27068" s="6">
        <v>15000</v>
      </c>
      <c r="D27068" s="7">
        <v>0.38</v>
      </c>
    </row>
    <row r="27069" spans="1:5" x14ac:dyDescent="0.25">
      <c r="A27069" t="str">
        <f>HYPERLINK("https://www.773grp.com/globalSearch/MMDL301T1G/page-1", "MMDL301T1G")</f>
        <v>MMDL301T1G</v>
      </c>
      <c r="B27069" s="3" t="s">
        <v>95</v>
      </c>
      <c r="C27069" s="6">
        <v>101875</v>
      </c>
      <c r="D27069" s="7">
        <v>0.38</v>
      </c>
      <c r="E27069" t="s">
        <v>108</v>
      </c>
    </row>
    <row r="27070" spans="1:5" x14ac:dyDescent="0.25">
      <c r="A27070" t="str">
        <f>HYPERLINK("https://www.773grp.com/globalSearch/MMDL770T1G/page-1", "MMDL770T1G")</f>
        <v>MMDL770T1G</v>
      </c>
      <c r="B27070" s="3" t="s">
        <v>95</v>
      </c>
      <c r="C27070" s="6">
        <v>138025</v>
      </c>
      <c r="D27070" s="7">
        <v>0.38</v>
      </c>
      <c r="E27070" t="s">
        <v>108</v>
      </c>
    </row>
    <row r="27071" spans="1:5" x14ac:dyDescent="0.25">
      <c r="A27071" t="str">
        <f>HYPERLINK("https://www.773grp.com/globalSearch/MMSD301T1G/page-1", "MMSD301T1G")</f>
        <v>MMSD301T1G</v>
      </c>
      <c r="B27071" s="3" t="s">
        <v>95</v>
      </c>
      <c r="C27071" s="6">
        <v>194969</v>
      </c>
      <c r="D27071" s="7">
        <v>0.38</v>
      </c>
      <c r="E27071" t="s">
        <v>108</v>
      </c>
    </row>
    <row r="27072" spans="1:5" x14ac:dyDescent="0.25">
      <c r="A27072" t="str">
        <f>HYPERLINK("https://www.773grp.com/globalSearch/MMSD701T1G/page-1", "MMSD701T1G")</f>
        <v>MMSD701T1G</v>
      </c>
      <c r="B27072" s="3" t="s">
        <v>95</v>
      </c>
      <c r="C27072" s="6">
        <v>20431</v>
      </c>
      <c r="D27072" s="7">
        <v>0.38</v>
      </c>
      <c r="E27072" t="s">
        <v>108</v>
      </c>
    </row>
    <row r="27073" spans="1:5" x14ac:dyDescent="0.25">
      <c r="A27073" t="str">
        <f>HYPERLINK("https://www.773grp.com/globalSearch/MPS650/page-1", "MPS650")</f>
        <v>MPS650</v>
      </c>
      <c r="B27073" s="3" t="s">
        <v>95</v>
      </c>
      <c r="C27073" s="6">
        <v>20000</v>
      </c>
      <c r="D27073" s="7">
        <v>0.38</v>
      </c>
      <c r="E27073" t="s">
        <v>69</v>
      </c>
    </row>
    <row r="27074" spans="1:5" x14ac:dyDescent="0.25">
      <c r="A27074" t="str">
        <f>HYPERLINK("https://www.773grp.com/globalSearch/MPS650ZL1/page-1", "MPS650ZL1")</f>
        <v>MPS650ZL1</v>
      </c>
      <c r="B27074" s="3" t="s">
        <v>95</v>
      </c>
      <c r="C27074" s="6">
        <v>6000</v>
      </c>
      <c r="D27074" s="7">
        <v>0.38</v>
      </c>
      <c r="E27074" t="s">
        <v>69</v>
      </c>
    </row>
    <row r="27075" spans="1:5" x14ac:dyDescent="0.25">
      <c r="A27075" t="str">
        <f>HYPERLINK("https://www.773grp.com/globalSearch/MPS651RLRA/page-1", "MPS651RLRA")</f>
        <v>MPS651RLRA</v>
      </c>
      <c r="B27075" s="3" t="s">
        <v>95</v>
      </c>
      <c r="C27075" s="6">
        <v>4000</v>
      </c>
      <c r="D27075" s="7">
        <v>0.38</v>
      </c>
      <c r="E27075" t="s">
        <v>69</v>
      </c>
    </row>
    <row r="27076" spans="1:5" x14ac:dyDescent="0.25">
      <c r="A27076" t="str">
        <f>HYPERLINK("https://www.773grp.com/globalSearch/MPS750/page-1", "MPS750")</f>
        <v>MPS750</v>
      </c>
      <c r="B27076" s="3" t="s">
        <v>95</v>
      </c>
      <c r="C27076" s="6">
        <v>376712</v>
      </c>
      <c r="D27076" s="7">
        <v>0.38</v>
      </c>
      <c r="E27076" t="s">
        <v>69</v>
      </c>
    </row>
    <row r="27077" spans="1:5" x14ac:dyDescent="0.25">
      <c r="A27077" t="str">
        <f>HYPERLINK("https://www.773grp.com/globalSearch/MPS750RLRA/page-1", "MPS750RLRA")</f>
        <v>MPS750RLRA</v>
      </c>
      <c r="B27077" s="3" t="s">
        <v>95</v>
      </c>
      <c r="C27077" s="6">
        <v>6000</v>
      </c>
      <c r="D27077" s="7">
        <v>0.38</v>
      </c>
      <c r="E27077" t="s">
        <v>69</v>
      </c>
    </row>
    <row r="27078" spans="1:5" x14ac:dyDescent="0.25">
      <c r="A27078" t="str">
        <f>HYPERLINK("https://www.773grp.com/globalSearch/MPS751ZL1/page-1", "MPS751ZL1")</f>
        <v>MPS751ZL1</v>
      </c>
      <c r="B27078" s="3" t="s">
        <v>95</v>
      </c>
      <c r="C27078" s="6">
        <v>62000</v>
      </c>
      <c r="D27078" s="7">
        <v>0.38</v>
      </c>
      <c r="E27078" t="s">
        <v>69</v>
      </c>
    </row>
    <row r="27079" spans="1:5" x14ac:dyDescent="0.25">
      <c r="A27079" t="str">
        <f>HYPERLINK("https://www.773grp.com/globalSearch/MPSA13G/page-1", "MPSA13G")</f>
        <v>MPSA13G</v>
      </c>
      <c r="B27079" s="3" t="s">
        <v>95</v>
      </c>
      <c r="C27079" s="6">
        <v>91917</v>
      </c>
      <c r="D27079" s="7">
        <v>0.38</v>
      </c>
      <c r="E27079" t="s">
        <v>69</v>
      </c>
    </row>
    <row r="27080" spans="1:5" x14ac:dyDescent="0.25">
      <c r="A27080" t="str">
        <f>HYPERLINK("https://www.773grp.com/globalSearch/MPSA13RLRAG/page-1", "MPSA13RLRAG")</f>
        <v>MPSA13RLRAG</v>
      </c>
      <c r="B27080" s="3" t="s">
        <v>95</v>
      </c>
      <c r="C27080" s="6">
        <v>19951</v>
      </c>
      <c r="D27080" s="7">
        <v>0.38</v>
      </c>
      <c r="E27080" t="s">
        <v>69</v>
      </c>
    </row>
    <row r="27081" spans="1:5" x14ac:dyDescent="0.25">
      <c r="A27081" t="str">
        <f>HYPERLINK("https://www.773grp.com/globalSearch/MPSA13RLRMG/page-1", "MPSA13RLRMG")</f>
        <v>MPSA13RLRMG</v>
      </c>
      <c r="B27081" s="3" t="s">
        <v>95</v>
      </c>
      <c r="C27081" s="6">
        <v>34050</v>
      </c>
      <c r="D27081" s="7">
        <v>0.38</v>
      </c>
      <c r="E27081" t="s">
        <v>69</v>
      </c>
    </row>
    <row r="27082" spans="1:5" x14ac:dyDescent="0.25">
      <c r="A27082" t="str">
        <f>HYPERLINK("https://www.773grp.com/globalSearch/MPSA13RLRPG/page-1", "MPSA13RLRPG")</f>
        <v>MPSA13RLRPG</v>
      </c>
      <c r="B27082" s="3" t="s">
        <v>95</v>
      </c>
      <c r="C27082" s="6">
        <v>22806</v>
      </c>
      <c r="D27082" s="7">
        <v>0.38</v>
      </c>
      <c r="E27082" t="s">
        <v>69</v>
      </c>
    </row>
    <row r="27083" spans="1:5" x14ac:dyDescent="0.25">
      <c r="A27083" t="str">
        <f>HYPERLINK("https://www.773grp.com/globalSearch/MPSA13ZL1G/page-1", "MPSA13ZL1G")</f>
        <v>MPSA13ZL1G</v>
      </c>
      <c r="B27083" s="3" t="s">
        <v>95</v>
      </c>
      <c r="C27083" s="6">
        <v>2000</v>
      </c>
      <c r="D27083" s="7">
        <v>0.38</v>
      </c>
      <c r="E27083" t="s">
        <v>69</v>
      </c>
    </row>
    <row r="27084" spans="1:5" x14ac:dyDescent="0.25">
      <c r="A27084" t="str">
        <f>HYPERLINK("https://www.773grp.com/globalSearch/MPSA14G/page-1", "MPSA14G")</f>
        <v>MPSA14G</v>
      </c>
      <c r="B27084" s="3" t="s">
        <v>95</v>
      </c>
      <c r="C27084" s="6">
        <v>65000</v>
      </c>
      <c r="D27084" s="7">
        <v>0.38</v>
      </c>
      <c r="E27084" t="s">
        <v>69</v>
      </c>
    </row>
    <row r="27085" spans="1:5" x14ac:dyDescent="0.25">
      <c r="A27085" t="str">
        <f>HYPERLINK("https://www.773grp.com/globalSearch/MPSA14RLRAG/page-1", "MPSA14RLRAG")</f>
        <v>MPSA14RLRAG</v>
      </c>
      <c r="B27085" s="3" t="s">
        <v>95</v>
      </c>
      <c r="C27085" s="6">
        <v>24000</v>
      </c>
      <c r="D27085" s="7">
        <v>0.38</v>
      </c>
      <c r="E27085" t="s">
        <v>69</v>
      </c>
    </row>
    <row r="27086" spans="1:5" x14ac:dyDescent="0.25">
      <c r="A27086" t="str">
        <f>HYPERLINK("https://www.773grp.com/globalSearch/MPSA14RLRPG/page-1", "MPSA14RLRPG")</f>
        <v>MPSA14RLRPG</v>
      </c>
      <c r="B27086" s="3" t="s">
        <v>95</v>
      </c>
      <c r="C27086" s="6">
        <v>50000</v>
      </c>
      <c r="D27086" s="7">
        <v>0.38</v>
      </c>
      <c r="E27086" t="s">
        <v>69</v>
      </c>
    </row>
    <row r="27087" spans="1:5" x14ac:dyDescent="0.25">
      <c r="A27087" t="str">
        <f>HYPERLINK("https://www.773grp.com/globalSearch/MPSA27G/page-1", "MPSA27G")</f>
        <v>MPSA27G</v>
      </c>
      <c r="B27087" s="3" t="s">
        <v>95</v>
      </c>
      <c r="C27087" s="6">
        <v>45000</v>
      </c>
      <c r="D27087" s="7">
        <v>0.38</v>
      </c>
      <c r="E27087" t="s">
        <v>69</v>
      </c>
    </row>
    <row r="27088" spans="1:5" x14ac:dyDescent="0.25">
      <c r="A27088" t="str">
        <f>HYPERLINK("https://www.773grp.com/globalSearch/MPSA27RLRAG/page-1", "MPSA27RLRAG")</f>
        <v>MPSA27RLRAG</v>
      </c>
      <c r="B27088" s="3" t="s">
        <v>95</v>
      </c>
      <c r="C27088" s="6">
        <v>311666</v>
      </c>
      <c r="D27088" s="7">
        <v>0.38</v>
      </c>
      <c r="E27088" t="s">
        <v>69</v>
      </c>
    </row>
    <row r="27089" spans="1:5" x14ac:dyDescent="0.25">
      <c r="A27089" t="str">
        <f>HYPERLINK("https://www.773grp.com/globalSearch/MPSA29G/page-1", "MPSA29G")</f>
        <v>MPSA29G</v>
      </c>
      <c r="B27089" s="3" t="s">
        <v>95</v>
      </c>
      <c r="C27089" s="6">
        <v>5995</v>
      </c>
      <c r="D27089" s="7">
        <v>0.38</v>
      </c>
      <c r="E27089" t="s">
        <v>69</v>
      </c>
    </row>
    <row r="27090" spans="1:5" x14ac:dyDescent="0.25">
      <c r="A27090" t="str">
        <f>HYPERLINK("https://www.773grp.com/globalSearch/MPSA56/page-1", "MPSA56")</f>
        <v>MPSA56</v>
      </c>
      <c r="B27090" s="3" t="s">
        <v>95</v>
      </c>
      <c r="C27090" s="6">
        <v>5922</v>
      </c>
      <c r="D27090" s="7">
        <v>0.38</v>
      </c>
      <c r="E27090" t="s">
        <v>69</v>
      </c>
    </row>
    <row r="27091" spans="1:5" x14ac:dyDescent="0.25">
      <c r="A27091" t="str">
        <f>HYPERLINK("https://www.773grp.com/globalSearch/MPSW05G/page-1", "MPSW05G")</f>
        <v>MPSW05G</v>
      </c>
      <c r="B27091" s="3" t="s">
        <v>95</v>
      </c>
      <c r="C27091" s="6">
        <v>10000</v>
      </c>
      <c r="D27091" s="7">
        <v>0.38</v>
      </c>
      <c r="E27091" t="s">
        <v>69</v>
      </c>
    </row>
    <row r="27092" spans="1:5" x14ac:dyDescent="0.25">
      <c r="A27092" t="str">
        <f>HYPERLINK("https://www.773grp.com/globalSearch/MPSW42G/page-1", "MPSW42G")</f>
        <v>MPSW42G</v>
      </c>
      <c r="B27092" s="3" t="s">
        <v>95</v>
      </c>
      <c r="C27092" s="6">
        <v>10000</v>
      </c>
      <c r="D27092" s="7">
        <v>0.38</v>
      </c>
      <c r="E27092" t="s">
        <v>69</v>
      </c>
    </row>
    <row r="27093" spans="1:5" x14ac:dyDescent="0.25">
      <c r="A27093" t="str">
        <f>HYPERLINK("https://www.773grp.com/globalSearch/MPSW56RLRAG/page-1", "MPSW56RLRAG")</f>
        <v>MPSW56RLRAG</v>
      </c>
      <c r="B27093" s="3" t="s">
        <v>95</v>
      </c>
      <c r="C27093" s="6">
        <v>309397</v>
      </c>
      <c r="D27093" s="7">
        <v>0.38</v>
      </c>
      <c r="E27093" t="s">
        <v>69</v>
      </c>
    </row>
    <row r="27094" spans="1:5" x14ac:dyDescent="0.25">
      <c r="A27094" t="str">
        <f>HYPERLINK("https://www.773grp.com/globalSearch/MPSW56RLRPG/page-1", "MPSW56RLRPG")</f>
        <v>MPSW56RLRPG</v>
      </c>
      <c r="B27094" s="3" t="s">
        <v>95</v>
      </c>
      <c r="C27094" s="6">
        <v>183999</v>
      </c>
      <c r="D27094" s="7">
        <v>0.38</v>
      </c>
      <c r="E27094" t="s">
        <v>69</v>
      </c>
    </row>
    <row r="27095" spans="1:5" x14ac:dyDescent="0.25">
      <c r="A27095" t="str">
        <f>HYPERLINK("https://www.773grp.com/globalSearch/MT16AT1G/page-1", "MT16AT1G")</f>
        <v>MT16AT1G</v>
      </c>
      <c r="B27095" s="3" t="s">
        <v>95</v>
      </c>
      <c r="C27095" s="6">
        <v>15000</v>
      </c>
      <c r="D27095" s="7">
        <v>0.38</v>
      </c>
    </row>
    <row r="27096" spans="1:5" x14ac:dyDescent="0.25">
      <c r="A27096" t="str">
        <f>HYPERLINK("https://www.773grp.com/globalSearch/MT26AT1/page-1", "MT26AT1")</f>
        <v>MT26AT1</v>
      </c>
      <c r="B27096" s="3" t="s">
        <v>95</v>
      </c>
      <c r="C27096" s="6">
        <v>3000</v>
      </c>
      <c r="D27096" s="7">
        <v>0.38</v>
      </c>
    </row>
    <row r="27097" spans="1:5" x14ac:dyDescent="0.25">
      <c r="A27097" t="str">
        <f>HYPERLINK("https://www.773grp.com/globalSearch/MT28AT1G/page-1", "MT28AT1G")</f>
        <v>MT28AT1G</v>
      </c>
      <c r="B27097" s="3" t="s">
        <v>95</v>
      </c>
      <c r="C27097" s="6">
        <v>9000</v>
      </c>
      <c r="D27097" s="7">
        <v>0.38</v>
      </c>
    </row>
    <row r="27098" spans="1:5" x14ac:dyDescent="0.25">
      <c r="A27098" t="str">
        <f>HYPERLINK("https://www.773grp.com/globalSearch/MT30AT1G/page-1", "MT30AT1G")</f>
        <v>MT30AT1G</v>
      </c>
      <c r="B27098" s="3" t="s">
        <v>95</v>
      </c>
      <c r="C27098" s="6">
        <v>9000</v>
      </c>
      <c r="D27098" s="7">
        <v>0.38</v>
      </c>
    </row>
    <row r="27099" spans="1:5" x14ac:dyDescent="0.25">
      <c r="A27099" t="str">
        <f>HYPERLINK("https://www.773grp.com/globalSearch/MT33AT1G/page-1", "MT33AT1G")</f>
        <v>MT33AT1G</v>
      </c>
      <c r="B27099" s="3" t="s">
        <v>95</v>
      </c>
      <c r="C27099" s="6">
        <v>42000</v>
      </c>
      <c r="D27099" s="7">
        <v>0.38</v>
      </c>
    </row>
    <row r="27100" spans="1:5" x14ac:dyDescent="0.25">
      <c r="A27100" t="str">
        <f>HYPERLINK("https://www.773grp.com/globalSearch/MT40AT1/page-1", "MT40AT1")</f>
        <v>MT40AT1</v>
      </c>
      <c r="B27100" s="3" t="s">
        <v>95</v>
      </c>
      <c r="C27100" s="6">
        <v>2950</v>
      </c>
      <c r="D27100" s="7">
        <v>0.38</v>
      </c>
    </row>
    <row r="27101" spans="1:5" x14ac:dyDescent="0.25">
      <c r="A27101" t="str">
        <f>HYPERLINK("https://www.773grp.com/globalSearch/MT5921BT1G/page-1", "MT5921BT1G")</f>
        <v>MT5921BT1G</v>
      </c>
      <c r="B27101" s="3" t="s">
        <v>95</v>
      </c>
      <c r="C27101" s="6">
        <v>3000</v>
      </c>
      <c r="D27101" s="7">
        <v>0.38</v>
      </c>
    </row>
    <row r="27102" spans="1:5" x14ac:dyDescent="0.25">
      <c r="A27102" t="str">
        <f>HYPERLINK("https://www.773grp.com/globalSearch/MT5925BT1G/page-1", "MT5925BT1G")</f>
        <v>MT5925BT1G</v>
      </c>
      <c r="B27102" s="3" t="s">
        <v>95</v>
      </c>
      <c r="C27102" s="6">
        <v>3000</v>
      </c>
      <c r="D27102" s="7">
        <v>0.38</v>
      </c>
    </row>
    <row r="27103" spans="1:5" x14ac:dyDescent="0.25">
      <c r="A27103" t="str">
        <f>HYPERLINK("https://www.773grp.com/globalSearch/MUR130G/page-1", "MUR130G")</f>
        <v>MUR130G</v>
      </c>
      <c r="B27103" s="3" t="s">
        <v>95</v>
      </c>
      <c r="C27103" s="6">
        <v>5500</v>
      </c>
      <c r="D27103" s="7">
        <v>0.38</v>
      </c>
      <c r="E27103" t="s">
        <v>94</v>
      </c>
    </row>
    <row r="27104" spans="1:5" x14ac:dyDescent="0.25">
      <c r="A27104" t="str">
        <f>HYPERLINK("https://www.773grp.com/globalSearch/MUR130RLG/page-1", "MUR130RLG")</f>
        <v>MUR130RLG</v>
      </c>
      <c r="B27104" s="3" t="s">
        <v>95</v>
      </c>
      <c r="C27104" s="6">
        <v>5000</v>
      </c>
      <c r="D27104" s="7">
        <v>0.38</v>
      </c>
      <c r="E27104" t="s">
        <v>94</v>
      </c>
    </row>
    <row r="27105" spans="1:5" x14ac:dyDescent="0.25">
      <c r="A27105" t="str">
        <f>HYPERLINK("https://www.773grp.com/globalSearch/MUR240/page-1", "MUR240")</f>
        <v>MUR240</v>
      </c>
      <c r="B27105" s="3" t="s">
        <v>95</v>
      </c>
      <c r="C27105" s="6">
        <v>8000</v>
      </c>
      <c r="D27105" s="7">
        <v>0.38</v>
      </c>
      <c r="E27105" t="s">
        <v>103</v>
      </c>
    </row>
    <row r="27106" spans="1:5" x14ac:dyDescent="0.25">
      <c r="A27106" t="str">
        <f>HYPERLINK("https://www.773grp.com/globalSearch/MUR240RL/page-1", "MUR240RL")</f>
        <v>MUR240RL</v>
      </c>
      <c r="B27106" s="3" t="s">
        <v>95</v>
      </c>
      <c r="C27106" s="6">
        <v>5000</v>
      </c>
      <c r="D27106" s="7">
        <v>0.38</v>
      </c>
      <c r="E27106" t="s">
        <v>103</v>
      </c>
    </row>
    <row r="27107" spans="1:5" x14ac:dyDescent="0.25">
      <c r="A27107" t="str">
        <f>HYPERLINK("https://www.773grp.com/globalSearch/MUR260RL/page-1", "MUR260RL")</f>
        <v>MUR260RL</v>
      </c>
      <c r="B27107" s="3" t="s">
        <v>95</v>
      </c>
      <c r="C27107" s="6">
        <v>45000</v>
      </c>
      <c r="D27107" s="7">
        <v>0.38</v>
      </c>
      <c r="E27107" t="s">
        <v>103</v>
      </c>
    </row>
    <row r="27108" spans="1:5" x14ac:dyDescent="0.25">
      <c r="A27108" t="str">
        <f>HYPERLINK("https://www.773grp.com/globalSearch/MURS150T3/page-1", "MURS150T3")</f>
        <v>MURS150T3</v>
      </c>
      <c r="B27108" s="3" t="s">
        <v>95</v>
      </c>
      <c r="C27108" s="6">
        <v>10000</v>
      </c>
      <c r="D27108" s="7">
        <v>0.38</v>
      </c>
      <c r="E27108" t="s">
        <v>103</v>
      </c>
    </row>
    <row r="27109" spans="1:5" x14ac:dyDescent="0.25">
      <c r="A27109" t="str">
        <f>HYPERLINK("https://www.773grp.com/globalSearch/MV2105RLRA/page-1", "MV2105RLRA")</f>
        <v>MV2105RLRA</v>
      </c>
      <c r="B27109" s="3" t="s">
        <v>95</v>
      </c>
      <c r="C27109" s="6">
        <v>18000</v>
      </c>
      <c r="D27109" s="7">
        <v>0.38</v>
      </c>
      <c r="E27109" t="s">
        <v>101</v>
      </c>
    </row>
    <row r="27110" spans="1:5" x14ac:dyDescent="0.25">
      <c r="A27110" t="str">
        <f>HYPERLINK("https://www.773grp.com/globalSearch/NCR169D/page-1", "NCR169D")</f>
        <v>NCR169D</v>
      </c>
      <c r="B27110" s="3" t="s">
        <v>95</v>
      </c>
      <c r="C27110" s="6">
        <v>940</v>
      </c>
      <c r="D27110" s="7">
        <v>0.38</v>
      </c>
      <c r="E27110" t="s">
        <v>97</v>
      </c>
    </row>
    <row r="27111" spans="1:5" x14ac:dyDescent="0.25">
      <c r="A27111" t="str">
        <f>HYPERLINK("https://www.773grp.com/globalSearch/NL17SZ00DFT2G/page-1", "NL17SZ00DFT2G")</f>
        <v>NL17SZ00DFT2G</v>
      </c>
      <c r="B27111" s="3" t="s">
        <v>95</v>
      </c>
      <c r="C27111" s="6">
        <v>565854</v>
      </c>
      <c r="D27111" s="7">
        <v>0.38</v>
      </c>
      <c r="E27111" t="s">
        <v>31</v>
      </c>
    </row>
    <row r="27112" spans="1:5" x14ac:dyDescent="0.25">
      <c r="A27112" t="str">
        <f>HYPERLINK("https://www.773grp.com/globalSearch/NL17SZ02DFT2G/page-1", "NL17SZ02DFT2G")</f>
        <v>NL17SZ02DFT2G</v>
      </c>
      <c r="B27112" s="3" t="s">
        <v>95</v>
      </c>
      <c r="C27112" s="6">
        <v>553710</v>
      </c>
      <c r="D27112" s="7">
        <v>0.38</v>
      </c>
      <c r="E27112" t="s">
        <v>31</v>
      </c>
    </row>
    <row r="27113" spans="1:5" x14ac:dyDescent="0.25">
      <c r="A27113" t="str">
        <f>HYPERLINK("https://www.773grp.com/globalSearch/NL17SZ04DFT2G/page-1", "NL17SZ04DFT2G")</f>
        <v>NL17SZ04DFT2G</v>
      </c>
      <c r="B27113" s="3" t="s">
        <v>95</v>
      </c>
      <c r="C27113" s="6">
        <v>7163143</v>
      </c>
      <c r="D27113" s="7">
        <v>0.38</v>
      </c>
      <c r="E27113" t="s">
        <v>31</v>
      </c>
    </row>
    <row r="27114" spans="1:5" x14ac:dyDescent="0.25">
      <c r="A27114" t="str">
        <f>HYPERLINK("https://www.773grp.com/globalSearch/NL17SZ06DFT2G/page-1", "NL17SZ06DFT2G")</f>
        <v>NL17SZ06DFT2G</v>
      </c>
      <c r="B27114" s="3" t="s">
        <v>95</v>
      </c>
      <c r="C27114" s="6">
        <v>77483</v>
      </c>
      <c r="D27114" s="7">
        <v>0.38</v>
      </c>
      <c r="E27114" t="s">
        <v>31</v>
      </c>
    </row>
    <row r="27115" spans="1:5" x14ac:dyDescent="0.25">
      <c r="A27115" t="str">
        <f>HYPERLINK("https://www.773grp.com/globalSearch/NL17SZ08DFT2G/page-1", "NL17SZ08DFT2G")</f>
        <v>NL17SZ08DFT2G</v>
      </c>
      <c r="B27115" s="3" t="s">
        <v>95</v>
      </c>
      <c r="C27115" s="6">
        <v>471478</v>
      </c>
      <c r="D27115" s="7">
        <v>0.38</v>
      </c>
      <c r="E27115" t="s">
        <v>31</v>
      </c>
    </row>
    <row r="27116" spans="1:5" x14ac:dyDescent="0.25">
      <c r="A27116" t="str">
        <f>HYPERLINK("https://www.773grp.com/globalSearch/NL17SZ125DFT2G/page-1", "NL17SZ125DFT2G")</f>
        <v>NL17SZ125DFT2G</v>
      </c>
      <c r="B27116" s="3" t="s">
        <v>95</v>
      </c>
      <c r="C27116" s="6">
        <v>1115410</v>
      </c>
      <c r="D27116" s="7">
        <v>0.38</v>
      </c>
      <c r="E27116" t="s">
        <v>14</v>
      </c>
    </row>
    <row r="27117" spans="1:5" x14ac:dyDescent="0.25">
      <c r="A27117" t="str">
        <f>HYPERLINK("https://www.773grp.com/globalSearch/NL17SZ126DFT2G/page-1", "NL17SZ126DFT2G")</f>
        <v>NL17SZ126DFT2G</v>
      </c>
      <c r="B27117" s="3" t="s">
        <v>95</v>
      </c>
      <c r="C27117" s="6">
        <v>325100</v>
      </c>
      <c r="D27117" s="7">
        <v>0.38</v>
      </c>
      <c r="E27117" t="s">
        <v>14</v>
      </c>
    </row>
    <row r="27118" spans="1:5" x14ac:dyDescent="0.25">
      <c r="A27118" t="str">
        <f>HYPERLINK("https://www.773grp.com/globalSearch/NL17SZ14DFT2G/page-1", "NL17SZ14DFT2G")</f>
        <v>NL17SZ14DFT2G</v>
      </c>
      <c r="B27118" s="3" t="s">
        <v>95</v>
      </c>
      <c r="C27118" s="6">
        <v>1433470</v>
      </c>
      <c r="D27118" s="7">
        <v>0.38</v>
      </c>
      <c r="E27118" t="s">
        <v>31</v>
      </c>
    </row>
    <row r="27119" spans="1:5" x14ac:dyDescent="0.25">
      <c r="A27119" t="str">
        <f>HYPERLINK("https://www.773grp.com/globalSearch/NL17SZ16DFT2G/page-1", "NL17SZ16DFT2G")</f>
        <v>NL17SZ16DFT2G</v>
      </c>
      <c r="B27119" s="3" t="s">
        <v>95</v>
      </c>
      <c r="C27119" s="6">
        <v>299197</v>
      </c>
      <c r="D27119" s="7">
        <v>0.38</v>
      </c>
      <c r="E27119" t="s">
        <v>31</v>
      </c>
    </row>
    <row r="27120" spans="1:5" x14ac:dyDescent="0.25">
      <c r="A27120" t="str">
        <f>HYPERLINK("https://www.773grp.com/globalSearch/NL17SZ17DFT2G/page-1", "NL17SZ17DFT2G")</f>
        <v>NL17SZ17DFT2G</v>
      </c>
      <c r="B27120" s="3" t="s">
        <v>95</v>
      </c>
      <c r="C27120" s="6">
        <v>627000</v>
      </c>
      <c r="D27120" s="7">
        <v>0.38</v>
      </c>
      <c r="E27120" t="s">
        <v>31</v>
      </c>
    </row>
    <row r="27121" spans="1:5" x14ac:dyDescent="0.25">
      <c r="A27121" t="str">
        <f>HYPERLINK("https://www.773grp.com/globalSearch/NL17SZ32DFT2G/page-1", "NL17SZ32DFT2G")</f>
        <v>NL17SZ32DFT2G</v>
      </c>
      <c r="B27121" s="3" t="s">
        <v>95</v>
      </c>
      <c r="C27121" s="6">
        <v>1138907</v>
      </c>
      <c r="D27121" s="7">
        <v>0.38</v>
      </c>
      <c r="E27121" t="s">
        <v>31</v>
      </c>
    </row>
    <row r="27122" spans="1:5" x14ac:dyDescent="0.25">
      <c r="A27122" t="str">
        <f>HYPERLINK("https://www.773grp.com/globalSearch/NL17SZ74US/page-1", "NL17SZ74US")</f>
        <v>NL17SZ74US</v>
      </c>
      <c r="B27122" s="3" t="s">
        <v>95</v>
      </c>
      <c r="C27122" s="6">
        <v>300425</v>
      </c>
      <c r="D27122" s="7">
        <v>0.38</v>
      </c>
      <c r="E27122" t="s">
        <v>35</v>
      </c>
    </row>
    <row r="27123" spans="1:5" x14ac:dyDescent="0.25">
      <c r="A27123" t="str">
        <f>HYPERLINK("https://www.773grp.com/globalSearch/NL17SZ86DFT2G/page-1", "NL17SZ86DFT2G")</f>
        <v>NL17SZ86DFT2G</v>
      </c>
      <c r="B27123" s="3" t="s">
        <v>95</v>
      </c>
      <c r="C27123" s="6">
        <v>62900</v>
      </c>
      <c r="D27123" s="7">
        <v>0.38</v>
      </c>
      <c r="E27123" t="s">
        <v>31</v>
      </c>
    </row>
    <row r="27124" spans="1:5" x14ac:dyDescent="0.25">
      <c r="A27124" t="str">
        <f>HYPERLINK("https://www.773grp.com/globalSearch/NL17SZU04DFT2G/page-1", "NL17SZU04DFT2G")</f>
        <v>NL17SZU04DFT2G</v>
      </c>
      <c r="B27124" s="3" t="s">
        <v>95</v>
      </c>
      <c r="C27124" s="6">
        <v>45000</v>
      </c>
      <c r="D27124" s="7">
        <v>0.38</v>
      </c>
      <c r="E27124" t="s">
        <v>31</v>
      </c>
    </row>
    <row r="27125" spans="1:5" x14ac:dyDescent="0.25">
      <c r="A27125" t="str">
        <f>HYPERLINK("https://www.773grp.com/globalSearch/NLU1G00BMX1TCG/page-1", "NLU1G00BMX1TCG")</f>
        <v>NLU1G00BMX1TCG</v>
      </c>
      <c r="B27125" s="3" t="s">
        <v>95</v>
      </c>
      <c r="C27125" s="6">
        <v>111000</v>
      </c>
      <c r="D27125" s="7">
        <v>0.38</v>
      </c>
      <c r="E27125" t="s">
        <v>31</v>
      </c>
    </row>
    <row r="27126" spans="1:5" x14ac:dyDescent="0.25">
      <c r="A27126" t="str">
        <f>HYPERLINK("https://www.773grp.com/globalSearch/NLU1G00CMX1TCG/page-1", "NLU1G00CMX1TCG")</f>
        <v>NLU1G00CMX1TCG</v>
      </c>
      <c r="B27126" s="3" t="s">
        <v>95</v>
      </c>
      <c r="C27126" s="6">
        <v>72000</v>
      </c>
      <c r="D27126" s="7">
        <v>0.38</v>
      </c>
      <c r="E27126" t="s">
        <v>31</v>
      </c>
    </row>
    <row r="27127" spans="1:5" x14ac:dyDescent="0.25">
      <c r="A27127" t="str">
        <f>HYPERLINK("https://www.773grp.com/globalSearch/NLU1G04CMX1TCG/page-1", "NLU1G04CMX1TCG")</f>
        <v>NLU1G04CMX1TCG</v>
      </c>
      <c r="B27127" s="3" t="s">
        <v>95</v>
      </c>
      <c r="C27127" s="6">
        <v>285000</v>
      </c>
      <c r="D27127" s="7">
        <v>0.38</v>
      </c>
      <c r="E27127" t="s">
        <v>31</v>
      </c>
    </row>
    <row r="27128" spans="1:5" x14ac:dyDescent="0.25">
      <c r="A27128" t="str">
        <f>HYPERLINK("https://www.773grp.com/globalSearch/NLU1G07CMX1TCG/page-1", "NLU1G07CMX1TCG")</f>
        <v>NLU1G07CMX1TCG</v>
      </c>
      <c r="B27128" s="3" t="s">
        <v>95</v>
      </c>
      <c r="C27128" s="6">
        <v>200985</v>
      </c>
      <c r="D27128" s="7">
        <v>0.38</v>
      </c>
      <c r="E27128" t="s">
        <v>31</v>
      </c>
    </row>
    <row r="27129" spans="1:5" x14ac:dyDescent="0.25">
      <c r="A27129" t="str">
        <f>HYPERLINK("https://www.773grp.com/globalSearch/NLU1G08CMX1TCG/page-1", "NLU1G08CMX1TCG")</f>
        <v>NLU1G08CMX1TCG</v>
      </c>
      <c r="B27129" s="3" t="s">
        <v>95</v>
      </c>
      <c r="C27129" s="6">
        <v>173500</v>
      </c>
      <c r="D27129" s="7">
        <v>0.38</v>
      </c>
      <c r="E27129" t="s">
        <v>31</v>
      </c>
    </row>
    <row r="27130" spans="1:5" x14ac:dyDescent="0.25">
      <c r="A27130" t="str">
        <f>HYPERLINK("https://www.773grp.com/globalSearch/NLU1G14CMX1TCG/page-1", "NLU1G14CMX1TCG")</f>
        <v>NLU1G14CMX1TCG</v>
      </c>
      <c r="B27130" s="3" t="s">
        <v>95</v>
      </c>
      <c r="C27130" s="6">
        <v>65985</v>
      </c>
      <c r="D27130" s="7">
        <v>0.38</v>
      </c>
      <c r="E27130" t="s">
        <v>31</v>
      </c>
    </row>
    <row r="27131" spans="1:5" x14ac:dyDescent="0.25">
      <c r="A27131" t="str">
        <f>HYPERLINK("https://www.773grp.com/globalSearch/NLU1G32CMX1TCG/page-1", "NLU1G32CMX1TCG")</f>
        <v>NLU1G32CMX1TCG</v>
      </c>
      <c r="B27131" s="3" t="s">
        <v>95</v>
      </c>
      <c r="C27131" s="6">
        <v>339533</v>
      </c>
      <c r="D27131" s="7">
        <v>0.38</v>
      </c>
      <c r="E27131" t="s">
        <v>31</v>
      </c>
    </row>
    <row r="27132" spans="1:5" x14ac:dyDescent="0.25">
      <c r="A27132" t="str">
        <f>HYPERLINK("https://www.773grp.com/globalSearch/NLU1G86CMX1TCG/page-1", "NLU1G86CMX1TCG")</f>
        <v>NLU1G86CMX1TCG</v>
      </c>
      <c r="B27132" s="3" t="s">
        <v>95</v>
      </c>
      <c r="C27132" s="6">
        <v>57000</v>
      </c>
      <c r="D27132" s="7">
        <v>0.38</v>
      </c>
      <c r="E27132" t="s">
        <v>31</v>
      </c>
    </row>
    <row r="27133" spans="1:5" x14ac:dyDescent="0.25">
      <c r="A27133" t="str">
        <f>HYPERLINK("https://www.773grp.com/globalSearch/NLU1GT04CMX1TCG/page-1", "NLU1GT04CMX1TCG")</f>
        <v>NLU1GT04CMX1TCG</v>
      </c>
      <c r="B27133" s="3" t="s">
        <v>95</v>
      </c>
      <c r="C27133" s="6">
        <v>138000</v>
      </c>
      <c r="D27133" s="7">
        <v>0.38</v>
      </c>
      <c r="E27133" t="s">
        <v>31</v>
      </c>
    </row>
    <row r="27134" spans="1:5" x14ac:dyDescent="0.25">
      <c r="A27134" t="str">
        <f>HYPERLINK("https://www.773grp.com/globalSearch/NLU1GT125CMX1TCG/page-1", "NLU1GT125CMX1TCG")</f>
        <v>NLU1GT125CMX1TCG</v>
      </c>
      <c r="B27134" s="3" t="s">
        <v>95</v>
      </c>
      <c r="C27134" s="6">
        <v>565525</v>
      </c>
      <c r="D27134" s="7">
        <v>0.38</v>
      </c>
      <c r="E27134" t="s">
        <v>31</v>
      </c>
    </row>
    <row r="27135" spans="1:5" x14ac:dyDescent="0.25">
      <c r="A27135" t="str">
        <f>HYPERLINK("https://www.773grp.com/globalSearch/NLU1GT126CMX1TCG/page-1", "NLU1GT126CMX1TCG")</f>
        <v>NLU1GT126CMX1TCG</v>
      </c>
      <c r="B27135" s="3" t="s">
        <v>95</v>
      </c>
      <c r="C27135" s="6">
        <v>75000</v>
      </c>
      <c r="D27135" s="7">
        <v>0.38</v>
      </c>
      <c r="E27135" t="s">
        <v>31</v>
      </c>
    </row>
    <row r="27136" spans="1:5" x14ac:dyDescent="0.25">
      <c r="A27136" t="str">
        <f>HYPERLINK("https://www.773grp.com/globalSearch/NLU1GT14CMX1TCG/page-1", "NLU1GT14CMX1TCG")</f>
        <v>NLU1GT14CMX1TCG</v>
      </c>
      <c r="B27136" s="3" t="s">
        <v>95</v>
      </c>
      <c r="C27136" s="6">
        <v>24000</v>
      </c>
      <c r="D27136" s="7">
        <v>0.38</v>
      </c>
      <c r="E27136" t="s">
        <v>31</v>
      </c>
    </row>
    <row r="27137" spans="1:5" x14ac:dyDescent="0.25">
      <c r="A27137" t="str">
        <f>HYPERLINK("https://www.773grp.com/globalSearch/NLU1GT32CMX1TCG/page-1", "NLU1GT32CMX1TCG")</f>
        <v>NLU1GT32CMX1TCG</v>
      </c>
      <c r="B27137" s="3" t="s">
        <v>95</v>
      </c>
      <c r="C27137" s="6">
        <v>72000</v>
      </c>
      <c r="D27137" s="7">
        <v>0.38</v>
      </c>
      <c r="E27137" t="s">
        <v>31</v>
      </c>
    </row>
    <row r="27138" spans="1:5" x14ac:dyDescent="0.25">
      <c r="A27138" t="str">
        <f>HYPERLINK("https://www.773grp.com/globalSearch/NLU1GT50CMX1TCG/page-1", "NLU1GT50CMX1TCG")</f>
        <v>NLU1GT50CMX1TCG</v>
      </c>
      <c r="B27138" s="3" t="s">
        <v>95</v>
      </c>
      <c r="C27138" s="6">
        <v>29750</v>
      </c>
      <c r="D27138" s="7">
        <v>0.38</v>
      </c>
      <c r="E27138" t="s">
        <v>31</v>
      </c>
    </row>
    <row r="27139" spans="1:5" x14ac:dyDescent="0.25">
      <c r="A27139" t="str">
        <f>HYPERLINK("https://www.773grp.com/globalSearch/NLU1GT86CMX1TCG/page-1", "NLU1GT86CMX1TCG")</f>
        <v>NLU1GT86CMX1TCG</v>
      </c>
      <c r="B27139" s="3" t="s">
        <v>95</v>
      </c>
      <c r="C27139" s="6">
        <v>75000</v>
      </c>
      <c r="D27139" s="7">
        <v>0.38</v>
      </c>
      <c r="E27139" t="s">
        <v>31</v>
      </c>
    </row>
    <row r="27140" spans="1:5" x14ac:dyDescent="0.25">
      <c r="A27140" t="str">
        <f>HYPERLINK("https://www.773grp.com/globalSearch/NLU1GU04CMX1TCG/page-1", "NLU1GU04CMX1TCG")</f>
        <v>NLU1GU04CMX1TCG</v>
      </c>
      <c r="B27140" s="3" t="s">
        <v>95</v>
      </c>
      <c r="C27140" s="6">
        <v>57000</v>
      </c>
      <c r="D27140" s="7">
        <v>0.38</v>
      </c>
      <c r="E27140" t="s">
        <v>31</v>
      </c>
    </row>
    <row r="27141" spans="1:5" x14ac:dyDescent="0.25">
      <c r="A27141" t="str">
        <f>HYPERLINK("https://www.773grp.com/globalSearch/NLU2G04BMX1TCG/page-1", "NLU2G04BMX1TCG")</f>
        <v>NLU2G04BMX1TCG</v>
      </c>
      <c r="B27141" s="3" t="s">
        <v>95</v>
      </c>
      <c r="C27141" s="6">
        <v>48000</v>
      </c>
      <c r="D27141" s="7">
        <v>0.38</v>
      </c>
      <c r="E27141" t="s">
        <v>31</v>
      </c>
    </row>
    <row r="27142" spans="1:5" x14ac:dyDescent="0.25">
      <c r="A27142" t="str">
        <f>HYPERLINK("https://www.773grp.com/globalSearch/NLU2G06BMX1TCG/page-1", "NLU2G06BMX1TCG")</f>
        <v>NLU2G06BMX1TCG</v>
      </c>
      <c r="B27142" s="3" t="s">
        <v>95</v>
      </c>
      <c r="C27142" s="6">
        <v>51000</v>
      </c>
      <c r="D27142" s="7">
        <v>0.38</v>
      </c>
      <c r="E27142" t="s">
        <v>31</v>
      </c>
    </row>
    <row r="27143" spans="1:5" x14ac:dyDescent="0.25">
      <c r="A27143" t="str">
        <f>HYPERLINK("https://www.773grp.com/globalSearch/NLU2G07BMX1TCG/page-1", "NLU2G07BMX1TCG")</f>
        <v>NLU2G07BMX1TCG</v>
      </c>
      <c r="B27143" s="3" t="s">
        <v>95</v>
      </c>
      <c r="C27143" s="6">
        <v>54000</v>
      </c>
      <c r="D27143" s="7">
        <v>0.38</v>
      </c>
      <c r="E27143" t="s">
        <v>31</v>
      </c>
    </row>
    <row r="27144" spans="1:5" x14ac:dyDescent="0.25">
      <c r="A27144" t="str">
        <f>HYPERLINK("https://www.773grp.com/globalSearch/NLU2G14BMX1TCG/page-1", "NLU2G14BMX1TCG")</f>
        <v>NLU2G14BMX1TCG</v>
      </c>
      <c r="B27144" s="3" t="s">
        <v>95</v>
      </c>
      <c r="C27144" s="6">
        <v>27000</v>
      </c>
      <c r="D27144" s="7">
        <v>0.38</v>
      </c>
      <c r="E27144" t="s">
        <v>31</v>
      </c>
    </row>
    <row r="27145" spans="1:5" x14ac:dyDescent="0.25">
      <c r="A27145" t="str">
        <f>HYPERLINK("https://www.773grp.com/globalSearch/NLU2G16BMX1TCG/page-1", "NLU2G16BMX1TCG")</f>
        <v>NLU2G16BMX1TCG</v>
      </c>
      <c r="B27145" s="3" t="s">
        <v>95</v>
      </c>
      <c r="C27145" s="6">
        <v>39000</v>
      </c>
      <c r="D27145" s="7">
        <v>0.38</v>
      </c>
      <c r="E27145" t="s">
        <v>31</v>
      </c>
    </row>
    <row r="27146" spans="1:5" x14ac:dyDescent="0.25">
      <c r="A27146" t="str">
        <f>HYPERLINK("https://www.773grp.com/globalSearch/NLU2G17BMX1TCG/page-1", "NLU2G17BMX1TCG")</f>
        <v>NLU2G17BMX1TCG</v>
      </c>
      <c r="B27146" s="3" t="s">
        <v>95</v>
      </c>
      <c r="C27146" s="6">
        <v>51000</v>
      </c>
      <c r="D27146" s="7">
        <v>0.38</v>
      </c>
      <c r="E27146" t="s">
        <v>31</v>
      </c>
    </row>
    <row r="27147" spans="1:5" x14ac:dyDescent="0.25">
      <c r="A27147" t="str">
        <f>HYPERLINK("https://www.773grp.com/globalSearch/NLU2GU04BMX1TCG/page-1", "NLU2GU04BMX1TCG")</f>
        <v>NLU2GU04BMX1TCG</v>
      </c>
      <c r="B27147" s="3" t="s">
        <v>95</v>
      </c>
      <c r="C27147" s="6">
        <v>42000</v>
      </c>
      <c r="D27147" s="7">
        <v>0.38</v>
      </c>
      <c r="E27147" t="s">
        <v>31</v>
      </c>
    </row>
    <row r="27148" spans="1:5" x14ac:dyDescent="0.25">
      <c r="A27148" t="str">
        <f>HYPERLINK("https://www.773grp.com/globalSearch/NLX1G10BMX1TCG/page-1", "NLX1G10BMX1TCG")</f>
        <v>NLX1G10BMX1TCG</v>
      </c>
      <c r="B27148" s="3" t="s">
        <v>95</v>
      </c>
      <c r="C27148" s="6">
        <v>66000</v>
      </c>
      <c r="D27148" s="7">
        <v>0.38</v>
      </c>
      <c r="E27148" t="s">
        <v>31</v>
      </c>
    </row>
    <row r="27149" spans="1:5" x14ac:dyDescent="0.25">
      <c r="A27149" t="str">
        <f>HYPERLINK("https://www.773grp.com/globalSearch/NLX1G11BMX1TCG/page-1", "NLX1G11BMX1TCG")</f>
        <v>NLX1G11BMX1TCG</v>
      </c>
      <c r="B27149" s="3" t="s">
        <v>95</v>
      </c>
      <c r="C27149" s="6">
        <v>102000</v>
      </c>
      <c r="D27149" s="7">
        <v>0.38</v>
      </c>
      <c r="E27149" t="s">
        <v>31</v>
      </c>
    </row>
    <row r="27150" spans="1:5" x14ac:dyDescent="0.25">
      <c r="A27150" t="str">
        <f>HYPERLINK("https://www.773grp.com/globalSearch/NLX1G57CMX1TCG/page-1", "NLX1G57CMX1TCG")</f>
        <v>NLX1G57CMX1TCG</v>
      </c>
      <c r="B27150" s="3" t="s">
        <v>95</v>
      </c>
      <c r="C27150" s="6">
        <v>195000</v>
      </c>
      <c r="D27150" s="7">
        <v>0.38</v>
      </c>
      <c r="E27150" t="s">
        <v>83</v>
      </c>
    </row>
    <row r="27151" spans="1:5" x14ac:dyDescent="0.25">
      <c r="A27151" t="str">
        <f>HYPERLINK("https://www.773grp.com/globalSearch/NLX1G58CMX1TCG/page-1", "NLX1G58CMX1TCG")</f>
        <v>NLX1G58CMX1TCG</v>
      </c>
      <c r="B27151" s="3" t="s">
        <v>95</v>
      </c>
      <c r="C27151" s="6">
        <v>201000</v>
      </c>
      <c r="D27151" s="7">
        <v>0.38</v>
      </c>
      <c r="E27151" t="s">
        <v>83</v>
      </c>
    </row>
    <row r="27152" spans="1:5" x14ac:dyDescent="0.25">
      <c r="A27152" t="str">
        <f>HYPERLINK("https://www.773grp.com/globalSearch/NLX1G97CMX1TCG/page-1", "NLX1G97CMX1TCG")</f>
        <v>NLX1G97CMX1TCG</v>
      </c>
      <c r="B27152" s="3" t="s">
        <v>95</v>
      </c>
      <c r="C27152" s="6">
        <v>42000</v>
      </c>
      <c r="D27152" s="7">
        <v>0.38</v>
      </c>
      <c r="E27152" t="s">
        <v>83</v>
      </c>
    </row>
    <row r="27153" spans="1:5" x14ac:dyDescent="0.25">
      <c r="A27153" t="str">
        <f>HYPERLINK("https://www.773grp.com/globalSearch/NLX1G98CMX1TCG/page-1", "NLX1G98CMX1TCG")</f>
        <v>NLX1G98CMX1TCG</v>
      </c>
      <c r="B27153" s="3" t="s">
        <v>95</v>
      </c>
      <c r="C27153" s="6">
        <v>150000</v>
      </c>
      <c r="D27153" s="7">
        <v>0.38</v>
      </c>
      <c r="E27153" t="s">
        <v>83</v>
      </c>
    </row>
    <row r="27154" spans="1:5" x14ac:dyDescent="0.25">
      <c r="A27154" t="str">
        <f>HYPERLINK("https://www.773grp.com/globalSearch/NLX2G00BMX1TCG/page-1", "NLX2G00BMX1TCG")</f>
        <v>NLX2G00BMX1TCG</v>
      </c>
      <c r="B27154" s="3" t="s">
        <v>95</v>
      </c>
      <c r="C27154" s="6">
        <v>5975</v>
      </c>
      <c r="D27154" s="7">
        <v>0.38</v>
      </c>
      <c r="E27154" t="s">
        <v>31</v>
      </c>
    </row>
    <row r="27155" spans="1:5" x14ac:dyDescent="0.25">
      <c r="A27155" t="str">
        <f>HYPERLINK("https://www.773grp.com/globalSearch/NLX2G04BMX1TCG/page-1", "NLX2G04BMX1TCG")</f>
        <v>NLX2G04BMX1TCG</v>
      </c>
      <c r="B27155" s="3" t="s">
        <v>95</v>
      </c>
      <c r="C27155" s="6">
        <v>78000</v>
      </c>
      <c r="D27155" s="7">
        <v>0.38</v>
      </c>
      <c r="E27155" t="s">
        <v>31</v>
      </c>
    </row>
    <row r="27156" spans="1:5" x14ac:dyDescent="0.25">
      <c r="A27156" t="str">
        <f>HYPERLINK("https://www.773grp.com/globalSearch/NLX2G06BMX1TCG/page-1", "NLX2G06BMX1TCG")</f>
        <v>NLX2G06BMX1TCG</v>
      </c>
      <c r="B27156" s="3" t="s">
        <v>95</v>
      </c>
      <c r="C27156" s="6">
        <v>15000</v>
      </c>
      <c r="D27156" s="7">
        <v>0.38</v>
      </c>
      <c r="E27156" t="s">
        <v>31</v>
      </c>
    </row>
    <row r="27157" spans="1:5" x14ac:dyDescent="0.25">
      <c r="A27157" t="str">
        <f>HYPERLINK("https://www.773grp.com/globalSearch/NLX2G07BMX1TCG/page-1", "NLX2G07BMX1TCG")</f>
        <v>NLX2G07BMX1TCG</v>
      </c>
      <c r="B27157" s="3" t="s">
        <v>95</v>
      </c>
      <c r="C27157" s="6">
        <v>39000</v>
      </c>
      <c r="D27157" s="7">
        <v>0.38</v>
      </c>
      <c r="E27157" t="s">
        <v>31</v>
      </c>
    </row>
    <row r="27158" spans="1:5" x14ac:dyDescent="0.25">
      <c r="A27158" t="str">
        <f>HYPERLINK("https://www.773grp.com/globalSearch/NLX2G08BMX1TCG/page-1", "NLX2G08BMX1TCG")</f>
        <v>NLX2G08BMX1TCG</v>
      </c>
      <c r="B27158" s="3" t="s">
        <v>95</v>
      </c>
      <c r="C27158" s="6">
        <v>9000</v>
      </c>
      <c r="D27158" s="7">
        <v>0.38</v>
      </c>
    </row>
    <row r="27159" spans="1:5" x14ac:dyDescent="0.25">
      <c r="A27159" t="str">
        <f>HYPERLINK("https://www.773grp.com/globalSearch/NLX2G14BMX1TCG/page-1", "NLX2G14BMX1TCG")</f>
        <v>NLX2G14BMX1TCG</v>
      </c>
      <c r="B27159" s="3" t="s">
        <v>95</v>
      </c>
      <c r="C27159" s="6">
        <v>111000</v>
      </c>
      <c r="D27159" s="7">
        <v>0.38</v>
      </c>
      <c r="E27159" t="s">
        <v>31</v>
      </c>
    </row>
    <row r="27160" spans="1:5" x14ac:dyDescent="0.25">
      <c r="A27160" t="str">
        <f>HYPERLINK("https://www.773grp.com/globalSearch/NLX2G16BMX1TCG/page-1", "NLX2G16BMX1TCG")</f>
        <v>NLX2G16BMX1TCG</v>
      </c>
      <c r="B27160" s="3" t="s">
        <v>95</v>
      </c>
      <c r="C27160" s="6">
        <v>45000</v>
      </c>
      <c r="D27160" s="7">
        <v>0.38</v>
      </c>
      <c r="E27160" t="s">
        <v>31</v>
      </c>
    </row>
    <row r="27161" spans="1:5" x14ac:dyDescent="0.25">
      <c r="A27161" t="str">
        <f>HYPERLINK("https://www.773grp.com/globalSearch/NLX2G17BMX1TCG/page-1", "NLX2G17BMX1TCG")</f>
        <v>NLX2G17BMX1TCG</v>
      </c>
      <c r="B27161" s="3" t="s">
        <v>95</v>
      </c>
      <c r="C27161" s="6">
        <v>81000</v>
      </c>
      <c r="D27161" s="7">
        <v>0.38</v>
      </c>
      <c r="E27161" t="s">
        <v>31</v>
      </c>
    </row>
    <row r="27162" spans="1:5" x14ac:dyDescent="0.25">
      <c r="A27162" t="str">
        <f>HYPERLINK("https://www.773grp.com/globalSearch/NLX2G32BMX1TCG/page-1", "NLX2G32BMX1TCG")</f>
        <v>NLX2G32BMX1TCG</v>
      </c>
      <c r="B27162" s="3" t="s">
        <v>95</v>
      </c>
      <c r="C27162" s="6">
        <v>6000</v>
      </c>
      <c r="D27162" s="7">
        <v>0.38</v>
      </c>
      <c r="E27162" t="s">
        <v>31</v>
      </c>
    </row>
    <row r="27163" spans="1:5" x14ac:dyDescent="0.25">
      <c r="A27163" t="str">
        <f>HYPERLINK("https://www.773grp.com/globalSearch/NLX2GU04BMX1TCG/page-1", "NLX2GU04BMX1TCG")</f>
        <v>NLX2GU04BMX1TCG</v>
      </c>
      <c r="B27163" s="3" t="s">
        <v>95</v>
      </c>
      <c r="C27163" s="6">
        <v>42000</v>
      </c>
      <c r="D27163" s="7">
        <v>0.38</v>
      </c>
      <c r="E27163" t="s">
        <v>31</v>
      </c>
    </row>
    <row r="27164" spans="1:5" x14ac:dyDescent="0.25">
      <c r="A27164" t="str">
        <f>HYPERLINK("https://www.773grp.com/globalSearch/NRVB0540T3G/page-1", "NRVB0540T3G")</f>
        <v>NRVB0540T3G</v>
      </c>
      <c r="B27164" s="3" t="s">
        <v>95</v>
      </c>
      <c r="C27164" s="6">
        <v>8730</v>
      </c>
      <c r="D27164" s="7">
        <v>0.38</v>
      </c>
    </row>
    <row r="27165" spans="1:5" x14ac:dyDescent="0.25">
      <c r="A27165" t="str">
        <f>HYPERLINK("https://www.773grp.com/globalSearch/NRVB140SFT1/page-1", "NRVB140SFT1")</f>
        <v>NRVB140SFT1</v>
      </c>
      <c r="B27165" s="3" t="s">
        <v>95</v>
      </c>
      <c r="C27165" s="6">
        <v>24000</v>
      </c>
      <c r="D27165" s="7">
        <v>0.38</v>
      </c>
    </row>
    <row r="27166" spans="1:5" x14ac:dyDescent="0.25">
      <c r="A27166" t="str">
        <f>HYPERLINK("https://www.773grp.com/globalSearch/NS6A5.0AFT3G/page-1", "NS6A5.0AFT3G")</f>
        <v>NS6A5.0AFT3G</v>
      </c>
      <c r="B27166" s="3" t="s">
        <v>95</v>
      </c>
      <c r="C27166" s="6">
        <v>147700</v>
      </c>
      <c r="D27166" s="7">
        <v>0.38</v>
      </c>
    </row>
    <row r="27167" spans="1:5" x14ac:dyDescent="0.25">
      <c r="A27167" t="str">
        <f>HYPERLINK("https://www.773grp.com/globalSearch/NS6A5.0AT3G/page-1", "NS6A5.0AT3G")</f>
        <v>NS6A5.0AT3G</v>
      </c>
      <c r="B27167" s="3" t="s">
        <v>95</v>
      </c>
      <c r="C27167" s="6">
        <v>5000</v>
      </c>
      <c r="D27167" s="7">
        <v>0.38</v>
      </c>
    </row>
    <row r="27168" spans="1:5" x14ac:dyDescent="0.25">
      <c r="A27168" t="str">
        <f>HYPERLINK("https://www.773grp.com/globalSearch/NSB9435T1/page-1", "NSB9435T1")</f>
        <v>NSB9435T1</v>
      </c>
      <c r="B27168" s="3" t="s">
        <v>95</v>
      </c>
      <c r="C27168" s="6">
        <v>61895</v>
      </c>
      <c r="D27168" s="7">
        <v>0.38</v>
      </c>
      <c r="E27168" t="s">
        <v>69</v>
      </c>
    </row>
    <row r="27169" spans="1:5" x14ac:dyDescent="0.25">
      <c r="A27169" t="str">
        <f>HYPERLINK("https://www.773grp.com/globalSearch/NSR05F20NXT5G/page-1", "NSR05F20NXT5G")</f>
        <v>NSR05F20NXT5G</v>
      </c>
      <c r="B27169" s="3" t="s">
        <v>95</v>
      </c>
      <c r="C27169" s="6">
        <v>1206372</v>
      </c>
      <c r="D27169" s="7">
        <v>0.38</v>
      </c>
      <c r="E27169" t="s">
        <v>94</v>
      </c>
    </row>
    <row r="27170" spans="1:5" x14ac:dyDescent="0.25">
      <c r="A27170" t="str">
        <f>HYPERLINK("https://www.773grp.com/globalSearch/NSR05F30NXT5G/page-1", "NSR05F30NXT5G")</f>
        <v>NSR05F30NXT5G</v>
      </c>
      <c r="B27170" s="3" t="s">
        <v>95</v>
      </c>
      <c r="C27170" s="6">
        <v>10000</v>
      </c>
      <c r="D27170" s="7">
        <v>0.38</v>
      </c>
    </row>
    <row r="27171" spans="1:5" x14ac:dyDescent="0.25">
      <c r="A27171" t="str">
        <f>HYPERLINK("https://www.773grp.com/globalSearch/NSR05F40NXT5G/page-1", "NSR05F40NXT5G")</f>
        <v>NSR05F40NXT5G</v>
      </c>
      <c r="B27171" s="3" t="s">
        <v>95</v>
      </c>
      <c r="C27171" s="6">
        <v>16880</v>
      </c>
      <c r="D27171" s="7">
        <v>0.38</v>
      </c>
      <c r="E27171" t="s">
        <v>94</v>
      </c>
    </row>
    <row r="27172" spans="1:5" x14ac:dyDescent="0.25">
      <c r="A27172" t="str">
        <f>HYPERLINK("https://www.773grp.com/globalSearch/NST3904DP6T5G/page-1", "NST3904DP6T5G")</f>
        <v>NST3904DP6T5G</v>
      </c>
      <c r="B27172" s="3" t="s">
        <v>95</v>
      </c>
      <c r="C27172" s="6">
        <v>16000</v>
      </c>
      <c r="D27172" s="7">
        <v>0.38</v>
      </c>
      <c r="E27172" t="s">
        <v>69</v>
      </c>
    </row>
    <row r="27173" spans="1:5" x14ac:dyDescent="0.25">
      <c r="A27173" t="str">
        <f>HYPERLINK("https://www.773grp.com/globalSearch/NST3946DP6T5G/page-1", "NST3946DP6T5G")</f>
        <v>NST3946DP6T5G</v>
      </c>
      <c r="B27173" s="3" t="s">
        <v>95</v>
      </c>
      <c r="C27173" s="6">
        <v>294141</v>
      </c>
      <c r="D27173" s="7">
        <v>0.38</v>
      </c>
      <c r="E27173" t="s">
        <v>69</v>
      </c>
    </row>
    <row r="27174" spans="1:5" x14ac:dyDescent="0.25">
      <c r="A27174" t="str">
        <f>HYPERLINK("https://www.773grp.com/globalSearch/NSTB1002DXV5T1G/page-1", "NSTB1002DXV5T1G")</f>
        <v>NSTB1002DXV5T1G</v>
      </c>
      <c r="B27174" s="3" t="s">
        <v>95</v>
      </c>
      <c r="C27174" s="6">
        <v>176000</v>
      </c>
      <c r="D27174" s="7">
        <v>0.38</v>
      </c>
      <c r="E27174" t="s">
        <v>69</v>
      </c>
    </row>
    <row r="27175" spans="1:5" x14ac:dyDescent="0.25">
      <c r="A27175" t="str">
        <f>HYPERLINK("https://www.773grp.com/globalSearch/NSVB123JPDXV6T1G/page-1", "NSVB123JPDXV6T1G")</f>
        <v>NSVB123JPDXV6T1G</v>
      </c>
      <c r="B27175" s="3" t="s">
        <v>95</v>
      </c>
      <c r="C27175" s="6">
        <v>52000</v>
      </c>
      <c r="D27175" s="7">
        <v>0.38</v>
      </c>
    </row>
    <row r="27176" spans="1:5" x14ac:dyDescent="0.25">
      <c r="A27176" t="str">
        <f>HYPERLINK("https://www.773grp.com/globalSearch/NSVB143TPDXV6T1G/page-1", "NSVB143TPDXV6T1G")</f>
        <v>NSVB143TPDXV6T1G</v>
      </c>
      <c r="B27176" s="3" t="s">
        <v>95</v>
      </c>
      <c r="C27176" s="6">
        <v>20000</v>
      </c>
      <c r="D27176" s="7">
        <v>0.38</v>
      </c>
    </row>
    <row r="27177" spans="1:5" x14ac:dyDescent="0.25">
      <c r="A27177" t="str">
        <f>HYPERLINK("https://www.773grp.com/globalSearch/NSVBAS70LT1G/page-1", "NSVBAS70LT1G")</f>
        <v>NSVBAS70LT1G</v>
      </c>
      <c r="B27177" s="3" t="s">
        <v>95</v>
      </c>
      <c r="C27177" s="6">
        <v>45000</v>
      </c>
      <c r="D27177" s="7">
        <v>0.38</v>
      </c>
    </row>
    <row r="27178" spans="1:5" x14ac:dyDescent="0.25">
      <c r="A27178" t="str">
        <f>HYPERLINK("https://www.773grp.com/globalSearch/NSVBC114YDXV6T1G/page-1", "NSVBC114YDXV6T1G")</f>
        <v>NSVBC114YDXV6T1G</v>
      </c>
      <c r="B27178" s="3" t="s">
        <v>95</v>
      </c>
      <c r="C27178" s="6">
        <v>144000</v>
      </c>
      <c r="D27178" s="7">
        <v>0.38</v>
      </c>
    </row>
    <row r="27179" spans="1:5" x14ac:dyDescent="0.25">
      <c r="A27179" t="str">
        <f>HYPERLINK("https://www.773grp.com/globalSearch/NTD3055-150-1/page-1", "NTD3055-150-1")</f>
        <v>NTD3055-150-1</v>
      </c>
      <c r="B27179" s="3" t="s">
        <v>95</v>
      </c>
      <c r="C27179" s="6">
        <v>20400</v>
      </c>
      <c r="D27179" s="7">
        <v>0.38</v>
      </c>
      <c r="E27179" t="s">
        <v>105</v>
      </c>
    </row>
    <row r="27180" spans="1:5" x14ac:dyDescent="0.25">
      <c r="A27180" t="str">
        <f>HYPERLINK("https://www.773grp.com/globalSearch/NTD3055L170T4/page-1", "NTD3055L170T4")</f>
        <v>NTD3055L170T4</v>
      </c>
      <c r="B27180" s="3" t="s">
        <v>95</v>
      </c>
      <c r="C27180" s="6">
        <v>159681</v>
      </c>
      <c r="D27180" s="7">
        <v>0.38</v>
      </c>
      <c r="E27180" t="s">
        <v>105</v>
      </c>
    </row>
    <row r="27181" spans="1:5" x14ac:dyDescent="0.25">
      <c r="A27181" t="str">
        <f>HYPERLINK("https://www.773grp.com/globalSearch/NTD4809N-1G/page-1", "NTD4809N-1G")</f>
        <v>NTD4809N-1G</v>
      </c>
      <c r="B27181" s="3" t="s">
        <v>95</v>
      </c>
      <c r="C27181" s="6">
        <v>14874</v>
      </c>
      <c r="D27181" s="7">
        <v>0.38</v>
      </c>
      <c r="E27181" t="s">
        <v>105</v>
      </c>
    </row>
    <row r="27182" spans="1:5" x14ac:dyDescent="0.25">
      <c r="A27182" t="str">
        <f>HYPERLINK("https://www.773grp.com/globalSearch/NTD4809NA-1G/page-1", "NTD4809NA-1G")</f>
        <v>NTD4809NA-1G</v>
      </c>
      <c r="B27182" s="3" t="s">
        <v>95</v>
      </c>
      <c r="C27182" s="6">
        <v>86000</v>
      </c>
      <c r="D27182" s="7">
        <v>0.38</v>
      </c>
    </row>
    <row r="27183" spans="1:5" x14ac:dyDescent="0.25">
      <c r="A27183" t="str">
        <f>HYPERLINK("https://www.773grp.com/globalSearch/NTD4815NH-1G/page-1", "NTD4815NH-1G")</f>
        <v>NTD4815NH-1G</v>
      </c>
      <c r="B27183" s="3" t="s">
        <v>95</v>
      </c>
      <c r="C27183" s="6">
        <v>64240</v>
      </c>
      <c r="D27183" s="7">
        <v>0.38</v>
      </c>
      <c r="E27183" t="s">
        <v>105</v>
      </c>
    </row>
    <row r="27184" spans="1:5" x14ac:dyDescent="0.25">
      <c r="A27184" t="str">
        <f>HYPERLINK("https://www.773grp.com/globalSearch/NTD50N03R-35G/page-1", "NTD50N03R-35G")</f>
        <v>NTD50N03R-35G</v>
      </c>
      <c r="B27184" s="3" t="s">
        <v>95</v>
      </c>
      <c r="C27184" s="6">
        <v>35200</v>
      </c>
      <c r="D27184" s="7">
        <v>0.38</v>
      </c>
      <c r="E27184" t="s">
        <v>105</v>
      </c>
    </row>
    <row r="27185" spans="1:5" x14ac:dyDescent="0.25">
      <c r="A27185" t="str">
        <f>HYPERLINK("https://www.773grp.com/globalSearch/NTD50N03RT4G/page-1", "NTD50N03RT4G")</f>
        <v>NTD50N03RT4G</v>
      </c>
      <c r="B27185" s="3" t="s">
        <v>95</v>
      </c>
      <c r="C27185" s="6">
        <v>109850</v>
      </c>
      <c r="D27185" s="7">
        <v>0.38</v>
      </c>
      <c r="E27185" t="s">
        <v>105</v>
      </c>
    </row>
    <row r="27186" spans="1:5" x14ac:dyDescent="0.25">
      <c r="A27186" t="str">
        <f>HYPERLINK("https://www.773grp.com/globalSearch/NTGS3433T1/page-1", "NTGS3433T1")</f>
        <v>NTGS3433T1</v>
      </c>
      <c r="B27186" s="3" t="s">
        <v>95</v>
      </c>
      <c r="C27186" s="6">
        <v>50930</v>
      </c>
      <c r="D27186" s="7">
        <v>0.38</v>
      </c>
      <c r="E27186" t="s">
        <v>106</v>
      </c>
    </row>
    <row r="27187" spans="1:5" x14ac:dyDescent="0.25">
      <c r="A27187" t="str">
        <f>HYPERLINK("https://www.773grp.com/globalSearch/NTGS3441PT1G/page-1", "NTGS3441PT1G")</f>
        <v>NTGS3441PT1G</v>
      </c>
      <c r="B27187" s="3" t="s">
        <v>95</v>
      </c>
      <c r="C27187" s="6">
        <v>3000</v>
      </c>
      <c r="D27187" s="7">
        <v>0.38</v>
      </c>
      <c r="E27187" t="s">
        <v>106</v>
      </c>
    </row>
    <row r="27188" spans="1:5" x14ac:dyDescent="0.25">
      <c r="A27188" t="str">
        <f>HYPERLINK("https://www.773grp.com/globalSearch/NTGS3441T1G/page-1", "NTGS3441T1G")</f>
        <v>NTGS3441T1G</v>
      </c>
      <c r="B27188" s="3" t="s">
        <v>95</v>
      </c>
      <c r="C27188" s="6">
        <v>107790</v>
      </c>
      <c r="D27188" s="7">
        <v>0.38</v>
      </c>
      <c r="E27188" t="s">
        <v>106</v>
      </c>
    </row>
    <row r="27189" spans="1:5" x14ac:dyDescent="0.25">
      <c r="A27189" t="str">
        <f>HYPERLINK("https://www.773grp.com/globalSearch/NTGS3443BT1G/page-1", "NTGS3443BT1G")</f>
        <v>NTGS3443BT1G</v>
      </c>
      <c r="B27189" s="3" t="s">
        <v>95</v>
      </c>
      <c r="C27189" s="6">
        <v>78000</v>
      </c>
      <c r="D27189" s="7">
        <v>0.38</v>
      </c>
      <c r="E27189" t="s">
        <v>106</v>
      </c>
    </row>
    <row r="27190" spans="1:5" x14ac:dyDescent="0.25">
      <c r="A27190" t="str">
        <f>HYPERLINK("https://www.773grp.com/globalSearch/NTGS3443T1G/page-1", "NTGS3443T1G")</f>
        <v>NTGS3443T1G</v>
      </c>
      <c r="B27190" s="3" t="s">
        <v>95</v>
      </c>
      <c r="C27190" s="6">
        <v>30055</v>
      </c>
      <c r="D27190" s="7">
        <v>0.38</v>
      </c>
      <c r="E27190" t="s">
        <v>106</v>
      </c>
    </row>
    <row r="27191" spans="1:5" x14ac:dyDescent="0.25">
      <c r="A27191" t="str">
        <f>HYPERLINK("https://www.773grp.com/globalSearch/NTJD2152PT1G/page-1", "NTJD2152PT1G")</f>
        <v>NTJD2152PT1G</v>
      </c>
      <c r="B27191" s="3" t="s">
        <v>95</v>
      </c>
      <c r="C27191" s="6">
        <v>569346</v>
      </c>
      <c r="D27191" s="7">
        <v>0.38</v>
      </c>
      <c r="E27191" t="s">
        <v>106</v>
      </c>
    </row>
    <row r="27192" spans="1:5" x14ac:dyDescent="0.25">
      <c r="A27192" t="str">
        <f>HYPERLINK("https://www.773grp.com/globalSearch/NTJD4105CT1G/page-1", "NTJD4105CT1G")</f>
        <v>NTJD4105CT1G</v>
      </c>
      <c r="B27192" s="3" t="s">
        <v>95</v>
      </c>
      <c r="C27192" s="6">
        <v>3000</v>
      </c>
      <c r="D27192" s="7">
        <v>0.38</v>
      </c>
    </row>
    <row r="27193" spans="1:5" x14ac:dyDescent="0.25">
      <c r="A27193" t="str">
        <f>HYPERLINK("https://www.773grp.com/globalSearch/NTJD4158CT1G/page-1", "NTJD4158CT1G")</f>
        <v>NTJD4158CT1G</v>
      </c>
      <c r="B27193" s="3" t="s">
        <v>95</v>
      </c>
      <c r="C27193" s="6">
        <v>3000</v>
      </c>
      <c r="D27193" s="7">
        <v>0.38</v>
      </c>
    </row>
    <row r="27194" spans="1:5" x14ac:dyDescent="0.25">
      <c r="A27194" t="str">
        <f>HYPERLINK("https://www.773grp.com/globalSearch/NTJD4401NT1G/page-1", "NTJD4401NT1G")</f>
        <v>NTJD4401NT1G</v>
      </c>
      <c r="B27194" s="3" t="s">
        <v>95</v>
      </c>
      <c r="C27194" s="6">
        <v>12000</v>
      </c>
      <c r="D27194" s="7">
        <v>0.38</v>
      </c>
    </row>
    <row r="27195" spans="1:5" x14ac:dyDescent="0.25">
      <c r="A27195" t="str">
        <f>HYPERLINK("https://www.773grp.com/globalSearch/NTJS4151PT1G/page-1", "NTJS4151PT1G")</f>
        <v>NTJS4151PT1G</v>
      </c>
      <c r="B27195" s="3" t="s">
        <v>95</v>
      </c>
      <c r="C27195" s="6">
        <v>36000</v>
      </c>
      <c r="D27195" s="7">
        <v>0.38</v>
      </c>
      <c r="E27195" t="s">
        <v>106</v>
      </c>
    </row>
    <row r="27196" spans="1:5" x14ac:dyDescent="0.25">
      <c r="A27196" t="str">
        <f>HYPERLINK("https://www.773grp.com/globalSearch/NTK3142PT1G/page-1", "NTK3142PT1G")</f>
        <v>NTK3142PT1G</v>
      </c>
      <c r="B27196" s="3" t="s">
        <v>95</v>
      </c>
      <c r="C27196" s="6">
        <v>72510</v>
      </c>
      <c r="D27196" s="7">
        <v>0.38</v>
      </c>
      <c r="E27196" t="s">
        <v>106</v>
      </c>
    </row>
    <row r="27197" spans="1:5" x14ac:dyDescent="0.25">
      <c r="A27197" t="str">
        <f>HYPERLINK("https://www.773grp.com/globalSearch/NTK3142PT5G/page-1", "NTK3142PT5G")</f>
        <v>NTK3142PT5G</v>
      </c>
      <c r="B27197" s="3" t="s">
        <v>95</v>
      </c>
      <c r="C27197" s="6">
        <v>176000</v>
      </c>
      <c r="D27197" s="7">
        <v>0.38</v>
      </c>
      <c r="E27197" t="s">
        <v>106</v>
      </c>
    </row>
    <row r="27198" spans="1:5" x14ac:dyDescent="0.25">
      <c r="A27198" t="str">
        <f>HYPERLINK("https://www.773grp.com/globalSearch/NTR0202PLT1G/page-1", "NTR0202PLT1G")</f>
        <v>NTR0202PLT1G</v>
      </c>
      <c r="B27198" s="3" t="s">
        <v>95</v>
      </c>
      <c r="C27198" s="6">
        <v>275590</v>
      </c>
      <c r="D27198" s="7">
        <v>0.38</v>
      </c>
      <c r="E27198" t="s">
        <v>106</v>
      </c>
    </row>
    <row r="27199" spans="1:5" x14ac:dyDescent="0.25">
      <c r="A27199" t="str">
        <f>HYPERLINK("https://www.773grp.com/globalSearch/NTR4170NT1G/page-1", "NTR4170NT1G")</f>
        <v>NTR4170NT1G</v>
      </c>
      <c r="B27199" s="3" t="s">
        <v>95</v>
      </c>
      <c r="C27199" s="6">
        <v>51000</v>
      </c>
      <c r="D27199" s="7">
        <v>0.38</v>
      </c>
    </row>
    <row r="27200" spans="1:5" x14ac:dyDescent="0.25">
      <c r="A27200" t="str">
        <f>HYPERLINK("https://www.773grp.com/globalSearch/NTR4171PT1G/page-1", "NTR4171PT1G")</f>
        <v>NTR4171PT1G</v>
      </c>
      <c r="B27200" s="3" t="s">
        <v>95</v>
      </c>
      <c r="C27200" s="6">
        <v>240000</v>
      </c>
      <c r="D27200" s="7">
        <v>0.38</v>
      </c>
      <c r="E27200" t="s">
        <v>106</v>
      </c>
    </row>
    <row r="27201" spans="1:5" x14ac:dyDescent="0.25">
      <c r="A27201" t="str">
        <f>HYPERLINK("https://www.773grp.com/globalSearch/NTS4101PT1H/page-1", "NTS4101PT1H")</f>
        <v>NTS4101PT1H</v>
      </c>
      <c r="B27201" s="3" t="s">
        <v>95</v>
      </c>
      <c r="C27201" s="6">
        <v>360000</v>
      </c>
      <c r="D27201" s="7">
        <v>0.38</v>
      </c>
    </row>
    <row r="27202" spans="1:5" x14ac:dyDescent="0.25">
      <c r="A27202" t="str">
        <f>HYPERLINK("https://www.773grp.com/globalSearch/NUF2220XV6T1G/page-1", "NUF2220XV6T1G")</f>
        <v>NUF2220XV6T1G</v>
      </c>
      <c r="B27202" s="3" t="s">
        <v>95</v>
      </c>
      <c r="C27202" s="6">
        <v>137222</v>
      </c>
      <c r="D27202" s="7">
        <v>0.38</v>
      </c>
      <c r="E27202" t="s">
        <v>100</v>
      </c>
    </row>
    <row r="27203" spans="1:5" x14ac:dyDescent="0.25">
      <c r="A27203" t="str">
        <f>HYPERLINK("https://www.773grp.com/globalSearch/NUF2240W1T1G/page-1", "NUF2240W1T1G")</f>
        <v>NUF2240W1T1G</v>
      </c>
      <c r="B27203" s="3" t="s">
        <v>95</v>
      </c>
      <c r="C27203" s="6">
        <v>6000</v>
      </c>
      <c r="D27203" s="7">
        <v>0.38</v>
      </c>
      <c r="E27203" t="s">
        <v>100</v>
      </c>
    </row>
    <row r="27204" spans="1:5" x14ac:dyDescent="0.25">
      <c r="A27204" t="str">
        <f>HYPERLINK("https://www.773grp.com/globalSearch/NUP2114UPXV5T1G/page-1", "NUP2114UPXV5T1G")</f>
        <v>NUP2114UPXV5T1G</v>
      </c>
      <c r="B27204" s="3" t="s">
        <v>95</v>
      </c>
      <c r="C27204" s="6">
        <v>20000</v>
      </c>
      <c r="D27204" s="7">
        <v>0.38</v>
      </c>
    </row>
    <row r="27205" spans="1:5" x14ac:dyDescent="0.25">
      <c r="A27205" t="str">
        <f>HYPERLINK("https://www.773grp.com/globalSearch/NUP4114UCW1T2G/page-1", "NUP4114UCW1T2G")</f>
        <v>NUP4114UCW1T2G</v>
      </c>
      <c r="B27205" s="3" t="s">
        <v>95</v>
      </c>
      <c r="C27205" s="6">
        <v>6000</v>
      </c>
      <c r="D27205" s="7">
        <v>0.38</v>
      </c>
      <c r="E27205" t="s">
        <v>96</v>
      </c>
    </row>
    <row r="27206" spans="1:5" x14ac:dyDescent="0.25">
      <c r="A27206" t="str">
        <f>HYPERLINK("https://www.773grp.com/globalSearch/NUP5120X6T1G/page-1", "NUP5120X6T1G")</f>
        <v>NUP5120X6T1G</v>
      </c>
      <c r="B27206" s="3" t="s">
        <v>95</v>
      </c>
      <c r="C27206" s="6">
        <v>1719009</v>
      </c>
      <c r="D27206" s="7">
        <v>0.38</v>
      </c>
      <c r="E27206" t="s">
        <v>96</v>
      </c>
    </row>
    <row r="27207" spans="1:5" x14ac:dyDescent="0.25">
      <c r="A27207" t="str">
        <f>HYPERLINK("https://www.773grp.com/globalSearch/NUP5120X6T2G/page-1", "NUP5120X6T2G")</f>
        <v>NUP5120X6T2G</v>
      </c>
      <c r="B27207" s="3" t="s">
        <v>95</v>
      </c>
      <c r="C27207" s="6">
        <v>231985</v>
      </c>
      <c r="D27207" s="7">
        <v>0.38</v>
      </c>
      <c r="E27207" t="s">
        <v>96</v>
      </c>
    </row>
    <row r="27208" spans="1:5" x14ac:dyDescent="0.25">
      <c r="A27208" t="str">
        <f>HYPERLINK("https://www.773grp.com/globalSearch/NZQA5V6AXV5T1G/page-1", "NZQA5V6AXV5T1G")</f>
        <v>NZQA5V6AXV5T1G</v>
      </c>
      <c r="B27208" s="3" t="s">
        <v>95</v>
      </c>
      <c r="C27208" s="6">
        <v>496500</v>
      </c>
      <c r="D27208" s="7">
        <v>0.38</v>
      </c>
      <c r="E27208" t="s">
        <v>96</v>
      </c>
    </row>
    <row r="27209" spans="1:5" x14ac:dyDescent="0.25">
      <c r="A27209" t="str">
        <f>HYPERLINK("https://www.773grp.com/globalSearch/NZQA6V2XV5T1/page-1", "NZQA6V2XV5T1")</f>
        <v>NZQA6V2XV5T1</v>
      </c>
      <c r="B27209" s="3" t="s">
        <v>95</v>
      </c>
      <c r="C27209" s="6">
        <v>8000</v>
      </c>
      <c r="D27209" s="7">
        <v>0.38</v>
      </c>
      <c r="E27209" t="s">
        <v>96</v>
      </c>
    </row>
    <row r="27210" spans="1:5" x14ac:dyDescent="0.25">
      <c r="A27210" t="str">
        <f>HYPERLINK("https://www.773grp.com/globalSearch/NZQA6V8XV5T1/page-1", "NZQA6V8XV5T1")</f>
        <v>NZQA6V8XV5T1</v>
      </c>
      <c r="B27210" s="3" t="s">
        <v>95</v>
      </c>
      <c r="C27210" s="6">
        <v>3885</v>
      </c>
      <c r="D27210" s="7">
        <v>0.38</v>
      </c>
      <c r="E27210" t="s">
        <v>96</v>
      </c>
    </row>
    <row r="27211" spans="1:5" x14ac:dyDescent="0.25">
      <c r="A27211" t="str">
        <f>HYPERLINK("https://www.773grp.com/globalSearch/P6KE10CA/page-1", "P6KE10CA")</f>
        <v>P6KE10CA</v>
      </c>
      <c r="B27211" s="3" t="s">
        <v>95</v>
      </c>
      <c r="C27211" s="6">
        <v>51567</v>
      </c>
      <c r="D27211" s="7">
        <v>0.38</v>
      </c>
      <c r="E27211" t="s">
        <v>96</v>
      </c>
    </row>
    <row r="27212" spans="1:5" x14ac:dyDescent="0.25">
      <c r="A27212" t="str">
        <f>HYPERLINK("https://www.773grp.com/globalSearch/P6KE130CA/page-1", "P6KE130CA")</f>
        <v>P6KE130CA</v>
      </c>
      <c r="B27212" s="3" t="s">
        <v>95</v>
      </c>
      <c r="C27212" s="6">
        <v>300</v>
      </c>
      <c r="D27212" s="7">
        <v>0.38</v>
      </c>
      <c r="E27212" t="s">
        <v>96</v>
      </c>
    </row>
    <row r="27213" spans="1:5" x14ac:dyDescent="0.25">
      <c r="A27213" t="str">
        <f>HYPERLINK("https://www.773grp.com/globalSearch/P6KE13CARL/page-1", "P6KE13CARL")</f>
        <v>P6KE13CARL</v>
      </c>
      <c r="B27213" s="3" t="s">
        <v>95</v>
      </c>
      <c r="C27213" s="6">
        <v>4000</v>
      </c>
      <c r="D27213" s="7">
        <v>0.38</v>
      </c>
      <c r="E27213" t="s">
        <v>96</v>
      </c>
    </row>
    <row r="27214" spans="1:5" x14ac:dyDescent="0.25">
      <c r="A27214" t="str">
        <f>HYPERLINK("https://www.773grp.com/globalSearch/P6KE16ARLG/page-1", "P6KE16ARLG")</f>
        <v>P6KE16ARLG</v>
      </c>
      <c r="B27214" s="3" t="s">
        <v>95</v>
      </c>
      <c r="C27214" s="6">
        <v>28000</v>
      </c>
      <c r="D27214" s="7">
        <v>0.38</v>
      </c>
      <c r="E27214" t="s">
        <v>96</v>
      </c>
    </row>
    <row r="27215" spans="1:5" x14ac:dyDescent="0.25">
      <c r="A27215" t="str">
        <f>HYPERLINK("https://www.773grp.com/globalSearch/P6KE16CA/page-1", "P6KE16CA")</f>
        <v>P6KE16CA</v>
      </c>
      <c r="B27215" s="3" t="s">
        <v>95</v>
      </c>
      <c r="C27215" s="6">
        <v>12000</v>
      </c>
      <c r="D27215" s="7">
        <v>0.38</v>
      </c>
      <c r="E27215" t="s">
        <v>96</v>
      </c>
    </row>
    <row r="27216" spans="1:5" x14ac:dyDescent="0.25">
      <c r="A27216" t="str">
        <f>HYPERLINK("https://www.773grp.com/globalSearch/P6KE16CARL/page-1", "P6KE16CARL")</f>
        <v>P6KE16CARL</v>
      </c>
      <c r="B27216" s="3" t="s">
        <v>95</v>
      </c>
      <c r="C27216" s="6">
        <v>36000</v>
      </c>
      <c r="D27216" s="7">
        <v>0.38</v>
      </c>
      <c r="E27216" t="s">
        <v>96</v>
      </c>
    </row>
    <row r="27217" spans="1:5" x14ac:dyDescent="0.25">
      <c r="A27217" t="str">
        <f>HYPERLINK("https://www.773grp.com/globalSearch/P6KE18CA/page-1", "P6KE18CA")</f>
        <v>P6KE18CA</v>
      </c>
      <c r="B27217" s="3" t="s">
        <v>95</v>
      </c>
      <c r="C27217" s="6">
        <v>3780</v>
      </c>
      <c r="D27217" s="7">
        <v>0.38</v>
      </c>
      <c r="E27217" t="s">
        <v>96</v>
      </c>
    </row>
    <row r="27218" spans="1:5" x14ac:dyDescent="0.25">
      <c r="A27218" t="str">
        <f>HYPERLINK("https://www.773grp.com/globalSearch/P6KE200BRL/page-1", "P6KE200BRL")</f>
        <v>P6KE200BRL</v>
      </c>
      <c r="B27218" s="3" t="s">
        <v>95</v>
      </c>
      <c r="C27218" s="6">
        <v>49980</v>
      </c>
      <c r="D27218" s="7">
        <v>0.38</v>
      </c>
      <c r="E27218" t="s">
        <v>96</v>
      </c>
    </row>
    <row r="27219" spans="1:5" x14ac:dyDescent="0.25">
      <c r="A27219" t="str">
        <f>HYPERLINK("https://www.773grp.com/globalSearch/P6KE20ARLG/page-1", "P6KE20ARLG")</f>
        <v>P6KE20ARLG</v>
      </c>
      <c r="B27219" s="3" t="s">
        <v>95</v>
      </c>
      <c r="C27219" s="6">
        <v>31010</v>
      </c>
      <c r="D27219" s="7">
        <v>0.38</v>
      </c>
      <c r="E27219" t="s">
        <v>96</v>
      </c>
    </row>
    <row r="27220" spans="1:5" x14ac:dyDescent="0.25">
      <c r="A27220" t="str">
        <f>HYPERLINK("https://www.773grp.com/globalSearch/P6KE22CARL/page-1", "P6KE22CARL")</f>
        <v>P6KE22CARL</v>
      </c>
      <c r="B27220" s="3" t="s">
        <v>95</v>
      </c>
      <c r="C27220" s="6">
        <v>12000</v>
      </c>
      <c r="D27220" s="7">
        <v>0.38</v>
      </c>
      <c r="E27220" t="s">
        <v>96</v>
      </c>
    </row>
    <row r="27221" spans="1:5" x14ac:dyDescent="0.25">
      <c r="A27221" t="str">
        <f>HYPERLINK("https://www.773grp.com/globalSearch/P6KE24AG/page-1", "P6KE24AG")</f>
        <v>P6KE24AG</v>
      </c>
      <c r="B27221" s="3" t="s">
        <v>95</v>
      </c>
      <c r="C27221" s="6">
        <v>28998</v>
      </c>
      <c r="D27221" s="7">
        <v>0.38</v>
      </c>
      <c r="E27221" t="s">
        <v>96</v>
      </c>
    </row>
    <row r="27222" spans="1:5" x14ac:dyDescent="0.25">
      <c r="A27222" t="str">
        <f>HYPERLINK("https://www.773grp.com/globalSearch/P6KE27ARLG/page-1", "P6KE27ARLG")</f>
        <v>P6KE27ARLG</v>
      </c>
      <c r="B27222" s="3" t="s">
        <v>95</v>
      </c>
      <c r="C27222" s="6">
        <v>36000</v>
      </c>
      <c r="D27222" s="7">
        <v>0.38</v>
      </c>
      <c r="E27222" t="s">
        <v>96</v>
      </c>
    </row>
    <row r="27223" spans="1:5" x14ac:dyDescent="0.25">
      <c r="A27223" t="str">
        <f>HYPERLINK("https://www.773grp.com/globalSearch/P6KE30CARL/page-1", "P6KE30CARL")</f>
        <v>P6KE30CARL</v>
      </c>
      <c r="B27223" s="3" t="s">
        <v>95</v>
      </c>
      <c r="C27223" s="6">
        <v>40000</v>
      </c>
      <c r="D27223" s="7">
        <v>0.38</v>
      </c>
      <c r="E27223" t="s">
        <v>96</v>
      </c>
    </row>
    <row r="27224" spans="1:5" x14ac:dyDescent="0.25">
      <c r="A27224" t="str">
        <f>HYPERLINK("https://www.773grp.com/globalSearch/P6KE33CA/page-1", "P6KE33CA")</f>
        <v>P6KE33CA</v>
      </c>
      <c r="B27224" s="3" t="s">
        <v>95</v>
      </c>
      <c r="C27224" s="6">
        <v>16878</v>
      </c>
      <c r="D27224" s="7">
        <v>0.38</v>
      </c>
      <c r="E27224" t="s">
        <v>96</v>
      </c>
    </row>
    <row r="27225" spans="1:5" x14ac:dyDescent="0.25">
      <c r="A27225" t="str">
        <f>HYPERLINK("https://www.773grp.com/globalSearch/P6KE36CARL/page-1", "P6KE36CARL")</f>
        <v>P6KE36CARL</v>
      </c>
      <c r="B27225" s="3" t="s">
        <v>95</v>
      </c>
      <c r="C27225" s="6">
        <v>20000</v>
      </c>
      <c r="D27225" s="7">
        <v>0.38</v>
      </c>
      <c r="E27225" t="s">
        <v>96</v>
      </c>
    </row>
    <row r="27226" spans="1:5" x14ac:dyDescent="0.25">
      <c r="A27226" t="str">
        <f>HYPERLINK("https://www.773grp.com/globalSearch/P6KE39CA/page-1", "P6KE39CA")</f>
        <v>P6KE39CA</v>
      </c>
      <c r="B27226" s="3" t="s">
        <v>95</v>
      </c>
      <c r="C27226" s="6">
        <v>43000</v>
      </c>
      <c r="D27226" s="7">
        <v>0.38</v>
      </c>
      <c r="E27226" t="s">
        <v>96</v>
      </c>
    </row>
    <row r="27227" spans="1:5" x14ac:dyDescent="0.25">
      <c r="A27227" t="str">
        <f>HYPERLINK("https://www.773grp.com/globalSearch/P6KE47CARL/page-1", "P6KE47CARL")</f>
        <v>P6KE47CARL</v>
      </c>
      <c r="B27227" s="3" t="s">
        <v>95</v>
      </c>
      <c r="C27227" s="6">
        <v>95000</v>
      </c>
      <c r="D27227" s="7">
        <v>0.38</v>
      </c>
      <c r="E27227" t="s">
        <v>96</v>
      </c>
    </row>
    <row r="27228" spans="1:5" x14ac:dyDescent="0.25">
      <c r="A27228" t="str">
        <f>HYPERLINK("https://www.773grp.com/globalSearch/P6KE51CARL/page-1", "P6KE51CARL")</f>
        <v>P6KE51CARL</v>
      </c>
      <c r="B27228" s="3" t="s">
        <v>95</v>
      </c>
      <c r="C27228" s="6">
        <v>20000</v>
      </c>
      <c r="D27228" s="7">
        <v>0.38</v>
      </c>
      <c r="E27228" t="s">
        <v>96</v>
      </c>
    </row>
    <row r="27229" spans="1:5" x14ac:dyDescent="0.25">
      <c r="A27229" t="str">
        <f>HYPERLINK("https://www.773grp.com/globalSearch/P6KE6.8CA/page-1", "P6KE6.8CA")</f>
        <v>P6KE6.8CA</v>
      </c>
      <c r="B27229" s="3" t="s">
        <v>95</v>
      </c>
      <c r="C27229" s="6">
        <v>79875</v>
      </c>
      <c r="D27229" s="7">
        <v>0.38</v>
      </c>
      <c r="E27229" t="s">
        <v>96</v>
      </c>
    </row>
    <row r="27230" spans="1:5" x14ac:dyDescent="0.25">
      <c r="A27230" t="str">
        <f>HYPERLINK("https://www.773grp.com/globalSearch/P6KE6.8CARL/page-1", "P6KE6.8CARL")</f>
        <v>P6KE6.8CARL</v>
      </c>
      <c r="B27230" s="3" t="s">
        <v>95</v>
      </c>
      <c r="C27230" s="6">
        <v>20000</v>
      </c>
      <c r="D27230" s="7">
        <v>0.38</v>
      </c>
      <c r="E27230" t="s">
        <v>96</v>
      </c>
    </row>
    <row r="27231" spans="1:5" x14ac:dyDescent="0.25">
      <c r="A27231" t="str">
        <f>HYPERLINK("https://www.773grp.com/globalSearch/P6KE62ARLG/page-1", "P6KE62ARLG")</f>
        <v>P6KE62ARLG</v>
      </c>
      <c r="B27231" s="3" t="s">
        <v>95</v>
      </c>
      <c r="C27231" s="6">
        <v>24734</v>
      </c>
      <c r="D27231" s="7">
        <v>0.38</v>
      </c>
      <c r="E27231" t="s">
        <v>96</v>
      </c>
    </row>
    <row r="27232" spans="1:5" x14ac:dyDescent="0.25">
      <c r="A27232" t="str">
        <f>HYPERLINK("https://www.773grp.com/globalSearch/P6KE62CA/page-1", "P6KE62CA")</f>
        <v>P6KE62CA</v>
      </c>
      <c r="B27232" s="3" t="s">
        <v>95</v>
      </c>
      <c r="C27232" s="6">
        <v>1000</v>
      </c>
      <c r="D27232" s="7">
        <v>0.38</v>
      </c>
      <c r="E27232" t="s">
        <v>96</v>
      </c>
    </row>
    <row r="27233" spans="1:5" x14ac:dyDescent="0.25">
      <c r="A27233" t="str">
        <f>HYPERLINK("https://www.773grp.com/globalSearch/P6KE75ARLG/page-1", "P6KE75ARLG")</f>
        <v>P6KE75ARLG</v>
      </c>
      <c r="B27233" s="3" t="s">
        <v>95</v>
      </c>
      <c r="C27233" s="6">
        <v>79850</v>
      </c>
      <c r="D27233" s="7">
        <v>0.38</v>
      </c>
      <c r="E27233" t="s">
        <v>96</v>
      </c>
    </row>
    <row r="27234" spans="1:5" x14ac:dyDescent="0.25">
      <c r="A27234" t="str">
        <f>HYPERLINK("https://www.773grp.com/globalSearch/P6KE8.2CA/page-1", "P6KE8.2CA")</f>
        <v>P6KE8.2CA</v>
      </c>
      <c r="B27234" s="3" t="s">
        <v>95</v>
      </c>
      <c r="C27234" s="6">
        <v>470</v>
      </c>
      <c r="D27234" s="7">
        <v>0.38</v>
      </c>
      <c r="E27234" t="s">
        <v>96</v>
      </c>
    </row>
    <row r="27235" spans="1:5" x14ac:dyDescent="0.25">
      <c r="A27235" t="str">
        <f>HYPERLINK("https://www.773grp.com/globalSearch/P6KE82ARLG/page-1", "P6KE82ARLG")</f>
        <v>P6KE82ARLG</v>
      </c>
      <c r="B27235" s="3" t="s">
        <v>95</v>
      </c>
      <c r="C27235" s="6">
        <v>8000</v>
      </c>
      <c r="D27235" s="7">
        <v>0.38</v>
      </c>
      <c r="E27235" t="s">
        <v>96</v>
      </c>
    </row>
    <row r="27236" spans="1:5" x14ac:dyDescent="0.25">
      <c r="A27236" t="str">
        <f>HYPERLINK("https://www.773grp.com/globalSearch/P6KE9.1CARL/page-1", "P6KE9.1CARL")</f>
        <v>P6KE9.1CARL</v>
      </c>
      <c r="B27236" s="3" t="s">
        <v>95</v>
      </c>
      <c r="C27236" s="6">
        <v>12000</v>
      </c>
      <c r="D27236" s="7">
        <v>0.38</v>
      </c>
      <c r="E27236" t="s">
        <v>96</v>
      </c>
    </row>
    <row r="27237" spans="1:5" x14ac:dyDescent="0.25">
      <c r="A27237" t="str">
        <f>HYPERLINK("https://www.773grp.com/globalSearch/P6KE91ARLG/page-1", "P6KE91ARLG")</f>
        <v>P6KE91ARLG</v>
      </c>
      <c r="B27237" s="3" t="s">
        <v>95</v>
      </c>
      <c r="C27237" s="6">
        <v>989</v>
      </c>
      <c r="D27237" s="7">
        <v>0.38</v>
      </c>
    </row>
    <row r="27238" spans="1:5" x14ac:dyDescent="0.25">
      <c r="A27238" t="str">
        <f>HYPERLINK("https://www.773grp.com/globalSearch/PN2222AG/page-1", "PN2222AG")</f>
        <v>PN2222AG</v>
      </c>
      <c r="B27238" s="3" t="s">
        <v>95</v>
      </c>
      <c r="C27238" s="6">
        <v>45700</v>
      </c>
      <c r="D27238" s="7">
        <v>0.38</v>
      </c>
      <c r="E27238" t="s">
        <v>69</v>
      </c>
    </row>
    <row r="27239" spans="1:5" x14ac:dyDescent="0.25">
      <c r="A27239" t="str">
        <f>HYPERLINK("https://www.773grp.com/globalSearch/PN2222ARLRAG/page-1", "PN2222ARLRAG")</f>
        <v>PN2222ARLRAG</v>
      </c>
      <c r="B27239" s="3" t="s">
        <v>95</v>
      </c>
      <c r="C27239" s="6">
        <v>148000</v>
      </c>
      <c r="D27239" s="7">
        <v>0.38</v>
      </c>
      <c r="E27239" t="s">
        <v>69</v>
      </c>
    </row>
    <row r="27240" spans="1:5" x14ac:dyDescent="0.25">
      <c r="A27240" t="str">
        <f>HYPERLINK("https://www.773grp.com/globalSearch/PN2222ARLRMG/page-1", "PN2222ARLRMG")</f>
        <v>PN2222ARLRMG</v>
      </c>
      <c r="B27240" s="3" t="s">
        <v>95</v>
      </c>
      <c r="C27240" s="6">
        <v>4000</v>
      </c>
      <c r="D27240" s="7">
        <v>0.38</v>
      </c>
      <c r="E27240" t="s">
        <v>69</v>
      </c>
    </row>
    <row r="27241" spans="1:5" x14ac:dyDescent="0.25">
      <c r="A27241" t="str">
        <f>HYPERLINK("https://www.773grp.com/globalSearch/PN2222ARLRPG/page-1", "PN2222ARLRPG")</f>
        <v>PN2222ARLRPG</v>
      </c>
      <c r="B27241" s="3" t="s">
        <v>95</v>
      </c>
      <c r="C27241" s="6">
        <v>86000</v>
      </c>
      <c r="D27241" s="7">
        <v>0.38</v>
      </c>
      <c r="E27241" t="s">
        <v>69</v>
      </c>
    </row>
    <row r="27242" spans="1:5" x14ac:dyDescent="0.25">
      <c r="A27242" t="str">
        <f>HYPERLINK("https://www.773grp.com/globalSearch/PZT2907AT1G/page-1", "PZT2907AT1G")</f>
        <v>PZT2907AT1G</v>
      </c>
      <c r="B27242" s="3" t="s">
        <v>95</v>
      </c>
      <c r="C27242" s="6">
        <v>4014</v>
      </c>
      <c r="D27242" s="7">
        <v>0.38</v>
      </c>
      <c r="E27242" t="s">
        <v>69</v>
      </c>
    </row>
    <row r="27243" spans="1:5" x14ac:dyDescent="0.25">
      <c r="A27243" t="str">
        <f>HYPERLINK("https://www.773grp.com/globalSearch/PZT2907AT3G/page-1", "PZT2907AT3G")</f>
        <v>PZT2907AT3G</v>
      </c>
      <c r="B27243" s="3" t="s">
        <v>95</v>
      </c>
      <c r="C27243" s="6">
        <v>2525</v>
      </c>
      <c r="D27243" s="7">
        <v>0.38</v>
      </c>
      <c r="E27243" t="s">
        <v>69</v>
      </c>
    </row>
    <row r="27244" spans="1:5" x14ac:dyDescent="0.25">
      <c r="A27244" t="str">
        <f>HYPERLINK("https://www.773grp.com/globalSearch/PZT3904T1G/page-1", "PZT3904T1G")</f>
        <v>PZT3904T1G</v>
      </c>
      <c r="B27244" s="3" t="s">
        <v>95</v>
      </c>
      <c r="C27244" s="6">
        <v>666142</v>
      </c>
      <c r="D27244" s="7">
        <v>0.38</v>
      </c>
      <c r="E27244" t="s">
        <v>69</v>
      </c>
    </row>
    <row r="27245" spans="1:5" x14ac:dyDescent="0.25">
      <c r="A27245" t="str">
        <f>HYPERLINK("https://www.773grp.com/globalSearch/RB751V40T1G/page-1", "RB751V40T1G")</f>
        <v>RB751V40T1G</v>
      </c>
      <c r="B27245" s="3" t="s">
        <v>95</v>
      </c>
      <c r="C27245" s="6">
        <v>2350794</v>
      </c>
      <c r="D27245" s="7">
        <v>0.38</v>
      </c>
      <c r="E27245" t="s">
        <v>94</v>
      </c>
    </row>
    <row r="27246" spans="1:5" x14ac:dyDescent="0.25">
      <c r="A27246" t="str">
        <f>HYPERLINK("https://www.773grp.com/globalSearch/SA11ARLG/page-1", "SA11ARLG")</f>
        <v>SA11ARLG</v>
      </c>
      <c r="B27246" s="3" t="s">
        <v>95</v>
      </c>
      <c r="C27246" s="6">
        <v>10000</v>
      </c>
      <c r="D27246" s="7">
        <v>0.38</v>
      </c>
      <c r="E27246" t="s">
        <v>96</v>
      </c>
    </row>
    <row r="27247" spans="1:5" x14ac:dyDescent="0.25">
      <c r="A27247" t="str">
        <f>HYPERLINK("https://www.773grp.com/globalSearch/SA170A/page-1", "SA170A")</f>
        <v>SA170A</v>
      </c>
      <c r="B27247" s="3" t="s">
        <v>95</v>
      </c>
      <c r="C27247" s="6">
        <v>14298</v>
      </c>
      <c r="D27247" s="7">
        <v>0.38</v>
      </c>
      <c r="E27247" t="s">
        <v>96</v>
      </c>
    </row>
    <row r="27248" spans="1:5" x14ac:dyDescent="0.25">
      <c r="A27248" t="str">
        <f>HYPERLINK("https://www.773grp.com/globalSearch/SA18A/page-1", "SA18A")</f>
        <v>SA18A</v>
      </c>
      <c r="B27248" s="3" t="s">
        <v>95</v>
      </c>
      <c r="C27248" s="6">
        <v>21391</v>
      </c>
      <c r="D27248" s="7">
        <v>0.38</v>
      </c>
      <c r="E27248" t="s">
        <v>96</v>
      </c>
    </row>
    <row r="27249" spans="1:5" x14ac:dyDescent="0.25">
      <c r="A27249" t="str">
        <f>HYPERLINK("https://www.773grp.com/globalSearch/SA20A/page-1", "SA20A")</f>
        <v>SA20A</v>
      </c>
      <c r="B27249" s="3" t="s">
        <v>95</v>
      </c>
      <c r="C27249" s="6">
        <v>24584</v>
      </c>
      <c r="D27249" s="7">
        <v>0.38</v>
      </c>
      <c r="E27249" t="s">
        <v>96</v>
      </c>
    </row>
    <row r="27250" spans="1:5" x14ac:dyDescent="0.25">
      <c r="A27250" t="str">
        <f>HYPERLINK("https://www.773grp.com/globalSearch/SC14S01FER/page-1", "SC14S01FER")</f>
        <v>SC14S01FER</v>
      </c>
      <c r="B27250" s="3" t="s">
        <v>95</v>
      </c>
      <c r="C27250" s="6">
        <v>24000</v>
      </c>
      <c r="D27250" s="7">
        <v>0.38</v>
      </c>
    </row>
    <row r="27251" spans="1:5" x14ac:dyDescent="0.25">
      <c r="A27251" t="str">
        <f>HYPERLINK("https://www.773grp.com/globalSearch/SC14S11FEL/page-1", "SC14S11FEL")</f>
        <v>SC14S11FEL</v>
      </c>
      <c r="B27251" s="3" t="s">
        <v>95</v>
      </c>
      <c r="C27251" s="6">
        <v>15000</v>
      </c>
      <c r="D27251" s="7">
        <v>0.38</v>
      </c>
    </row>
    <row r="27252" spans="1:5" x14ac:dyDescent="0.25">
      <c r="A27252" t="str">
        <f>HYPERLINK("https://www.773grp.com/globalSearch/SC14S11FER/page-1", "SC14S11FER")</f>
        <v>SC14S11FER</v>
      </c>
      <c r="B27252" s="3" t="s">
        <v>95</v>
      </c>
      <c r="C27252" s="6">
        <v>15000</v>
      </c>
      <c r="D27252" s="7">
        <v>0.38</v>
      </c>
    </row>
    <row r="27253" spans="1:5" x14ac:dyDescent="0.25">
      <c r="A27253" t="str">
        <f>HYPERLINK("https://www.773grp.com/globalSearch/SC14S69FER/page-1", "SC14S69FER")</f>
        <v>SC14S69FER</v>
      </c>
      <c r="B27253" s="3" t="s">
        <v>95</v>
      </c>
      <c r="C27253" s="6">
        <v>33000</v>
      </c>
      <c r="D27253" s="7">
        <v>0.38</v>
      </c>
    </row>
    <row r="27254" spans="1:5" x14ac:dyDescent="0.25">
      <c r="A27254" t="str">
        <f>HYPERLINK("https://www.773grp.com/globalSearch/SC14S71FEL/page-1", "SC14S71FEL")</f>
        <v>SC14S71FEL</v>
      </c>
      <c r="B27254" s="3" t="s">
        <v>95</v>
      </c>
      <c r="C27254" s="6">
        <v>9000</v>
      </c>
      <c r="D27254" s="7">
        <v>0.38</v>
      </c>
    </row>
    <row r="27255" spans="1:5" x14ac:dyDescent="0.25">
      <c r="A27255" t="str">
        <f>HYPERLINK("https://www.773grp.com/globalSearch/SC14S71FER/page-1", "SC14S71FER")</f>
        <v>SC14S71FER</v>
      </c>
      <c r="B27255" s="3" t="s">
        <v>95</v>
      </c>
      <c r="C27255" s="6">
        <v>9000</v>
      </c>
      <c r="D27255" s="7">
        <v>0.38</v>
      </c>
    </row>
    <row r="27256" spans="1:5" x14ac:dyDescent="0.25">
      <c r="A27256" t="str">
        <f>HYPERLINK("https://www.773grp.com/globalSearch/SC14S81FER/page-1", "SC14S81FER")</f>
        <v>SC14S81FER</v>
      </c>
      <c r="B27256" s="3" t="s">
        <v>95</v>
      </c>
      <c r="C27256" s="6">
        <v>6000</v>
      </c>
      <c r="D27256" s="7">
        <v>0.38</v>
      </c>
    </row>
    <row r="27257" spans="1:5" x14ac:dyDescent="0.25">
      <c r="A27257" t="str">
        <f>HYPERLINK("https://www.773grp.com/globalSearch/SC14SU69FEL/page-1", "SC14SU69FEL")</f>
        <v>SC14SU69FEL</v>
      </c>
      <c r="B27257" s="3" t="s">
        <v>95</v>
      </c>
      <c r="C27257" s="6">
        <v>120000</v>
      </c>
      <c r="D27257" s="7">
        <v>0.38</v>
      </c>
    </row>
    <row r="27258" spans="1:5" x14ac:dyDescent="0.25">
      <c r="A27258" t="str">
        <f>HYPERLINK("https://www.773grp.com/globalSearch/SC14SU69FER/page-1", "SC14SU69FER")</f>
        <v>SC14SU69FER</v>
      </c>
      <c r="B27258" s="3" t="s">
        <v>95</v>
      </c>
      <c r="C27258" s="6">
        <v>3000</v>
      </c>
      <c r="D27258" s="7">
        <v>0.38</v>
      </c>
    </row>
    <row r="27259" spans="1:5" x14ac:dyDescent="0.25">
      <c r="A27259" t="str">
        <f>HYPERLINK("https://www.773grp.com/globalSearch/SC2797PK32/page-1", "SC2797PK32")</f>
        <v>SC2797PK32</v>
      </c>
      <c r="B27259" s="3" t="s">
        <v>95</v>
      </c>
      <c r="C27259" s="6">
        <v>12500</v>
      </c>
      <c r="D27259" s="7">
        <v>0.38</v>
      </c>
    </row>
    <row r="27260" spans="1:5" x14ac:dyDescent="0.25">
      <c r="A27260" t="str">
        <f>HYPERLINK("https://www.773grp.com/globalSearch/SDC1368T1/page-1", "SDC1368T1")</f>
        <v>SDC1368T1</v>
      </c>
      <c r="B27260" s="3" t="s">
        <v>95</v>
      </c>
      <c r="C27260" s="6">
        <v>72000</v>
      </c>
      <c r="D27260" s="7">
        <v>0.38</v>
      </c>
    </row>
    <row r="27261" spans="1:5" x14ac:dyDescent="0.25">
      <c r="A27261" t="str">
        <f>HYPERLINK("https://www.773grp.com/globalSearch/SIS5142D2R2G/page-1", "SIS5142D2R2G")</f>
        <v>SIS5142D2R2G</v>
      </c>
      <c r="B27261" s="3" t="s">
        <v>95</v>
      </c>
      <c r="C27261" s="6">
        <v>62500</v>
      </c>
      <c r="D27261" s="7">
        <v>0.38</v>
      </c>
    </row>
    <row r="27262" spans="1:5" x14ac:dyDescent="0.25">
      <c r="A27262" t="str">
        <f>HYPERLINK("https://www.773grp.com/globalSearch/SMF05T2G/page-1", "SMF05T2G")</f>
        <v>SMF05T2G</v>
      </c>
      <c r="B27262" s="3" t="s">
        <v>95</v>
      </c>
      <c r="C27262" s="6">
        <v>84000</v>
      </c>
      <c r="D27262" s="7">
        <v>0.38</v>
      </c>
      <c r="E27262" t="s">
        <v>96</v>
      </c>
    </row>
    <row r="27263" spans="1:5" x14ac:dyDescent="0.25">
      <c r="A27263" t="str">
        <f>HYPERLINK("https://www.773grp.com/globalSearch/SMF7.5AT1/page-1", "SMF7.5AT1")</f>
        <v>SMF7.5AT1</v>
      </c>
      <c r="B27263" s="3" t="s">
        <v>95</v>
      </c>
      <c r="C27263" s="6">
        <v>876000</v>
      </c>
      <c r="D27263" s="7">
        <v>0.38</v>
      </c>
      <c r="E27263" t="s">
        <v>96</v>
      </c>
    </row>
    <row r="27264" spans="1:5" x14ac:dyDescent="0.25">
      <c r="A27264" t="str">
        <f>HYPERLINK("https://www.773grp.com/globalSearch/SMMBD701LT1/page-1", "SMMBD701LT1")</f>
        <v>SMMBD701LT1</v>
      </c>
      <c r="B27264" s="3" t="s">
        <v>95</v>
      </c>
      <c r="C27264" s="6">
        <v>171000</v>
      </c>
      <c r="D27264" s="7">
        <v>0.38</v>
      </c>
      <c r="E27264" t="s">
        <v>108</v>
      </c>
    </row>
    <row r="27265" spans="1:5" x14ac:dyDescent="0.25">
      <c r="A27265" t="str">
        <f>HYPERLINK("https://www.773grp.com/globalSearch/SMMBD701LT1G/page-1", "SMMBD701LT1G")</f>
        <v>SMMBD701LT1G</v>
      </c>
      <c r="B27265" s="3" t="s">
        <v>95</v>
      </c>
      <c r="C27265" s="6">
        <v>12000</v>
      </c>
      <c r="D27265" s="7">
        <v>0.38</v>
      </c>
    </row>
    <row r="27266" spans="1:5" x14ac:dyDescent="0.25">
      <c r="A27266" t="str">
        <f>HYPERLINK("https://www.773grp.com/globalSearch/SMMBFJ177LT1/page-1", "SMMBFJ177LT1")</f>
        <v>SMMBFJ177LT1</v>
      </c>
      <c r="B27266" s="3" t="s">
        <v>95</v>
      </c>
      <c r="C27266" s="6">
        <v>276000</v>
      </c>
      <c r="D27266" s="7">
        <v>0.38</v>
      </c>
    </row>
    <row r="27267" spans="1:5" x14ac:dyDescent="0.25">
      <c r="A27267" t="str">
        <f>HYPERLINK("https://www.773grp.com/globalSearch/SMQA1000T1G/page-1", "SMQA1000T1G")</f>
        <v>SMQA1000T1G</v>
      </c>
      <c r="B27267" s="3" t="s">
        <v>95</v>
      </c>
      <c r="C27267" s="6">
        <v>3000</v>
      </c>
      <c r="D27267" s="7">
        <v>0.38</v>
      </c>
    </row>
    <row r="27268" spans="1:5" x14ac:dyDescent="0.25">
      <c r="A27268" t="str">
        <f>HYPERLINK("https://www.773grp.com/globalSearch/SMQA2000T1G/page-1", "SMQA2000T1G")</f>
        <v>SMQA2000T1G</v>
      </c>
      <c r="B27268" s="3" t="s">
        <v>95</v>
      </c>
      <c r="C27268" s="6">
        <v>3000</v>
      </c>
      <c r="D27268" s="7">
        <v>0.38</v>
      </c>
    </row>
    <row r="27269" spans="1:5" x14ac:dyDescent="0.25">
      <c r="A27269" t="str">
        <f>HYPERLINK("https://www.773grp.com/globalSearch/SMS15T1/page-1", "SMS15T1")</f>
        <v>SMS15T1</v>
      </c>
      <c r="B27269" s="3" t="s">
        <v>95</v>
      </c>
      <c r="C27269" s="6">
        <v>2819</v>
      </c>
      <c r="D27269" s="7">
        <v>0.38</v>
      </c>
      <c r="E27269" t="s">
        <v>96</v>
      </c>
    </row>
    <row r="27270" spans="1:5" x14ac:dyDescent="0.25">
      <c r="A27270" t="str">
        <f>HYPERLINK("https://www.773grp.com/globalSearch/SN74LS00N/page-1", "SN74LS00N")</f>
        <v>SN74LS00N</v>
      </c>
      <c r="B27270" s="3" t="s">
        <v>95</v>
      </c>
      <c r="C27270" s="6">
        <v>12</v>
      </c>
      <c r="D27270" s="7">
        <v>0.38</v>
      </c>
      <c r="E27270" t="s">
        <v>31</v>
      </c>
    </row>
    <row r="27271" spans="1:5" x14ac:dyDescent="0.25">
      <c r="A27271" t="str">
        <f>HYPERLINK("https://www.773grp.com/globalSearch/SN74LS04N/page-1", "SN74LS04N")</f>
        <v>SN74LS04N</v>
      </c>
      <c r="B27271" s="3" t="s">
        <v>95</v>
      </c>
      <c r="C27271" s="6">
        <v>15</v>
      </c>
      <c r="D27271" s="7">
        <v>0.38</v>
      </c>
      <c r="E27271" t="s">
        <v>31</v>
      </c>
    </row>
    <row r="27272" spans="1:5" x14ac:dyDescent="0.25">
      <c r="A27272" t="str">
        <f>HYPERLINK("https://www.773grp.com/globalSearch/SZNUP1105LT1G/page-1", "SZNUP1105LT1G")</f>
        <v>SZNUP1105LT1G</v>
      </c>
      <c r="B27272" s="3" t="s">
        <v>95</v>
      </c>
      <c r="C27272" s="6">
        <v>3000</v>
      </c>
      <c r="D27272" s="7">
        <v>0.38</v>
      </c>
    </row>
    <row r="27273" spans="1:5" x14ac:dyDescent="0.25">
      <c r="A27273" t="str">
        <f>HYPERLINK("https://www.773grp.com/globalSearch/SZT1010T1G/page-1", "SZT1010T1G")</f>
        <v>SZT1010T1G</v>
      </c>
      <c r="B27273" s="3" t="s">
        <v>95</v>
      </c>
      <c r="C27273" s="6">
        <v>58000</v>
      </c>
      <c r="D27273" s="7">
        <v>0.38</v>
      </c>
    </row>
    <row r="27274" spans="1:5" x14ac:dyDescent="0.25">
      <c r="A27274" t="str">
        <f>HYPERLINK("https://www.773grp.com/globalSearch/TL431CDMR2G/page-1", "TL431CDMR2G")</f>
        <v>TL431CDMR2G</v>
      </c>
      <c r="B27274" s="3" t="s">
        <v>95</v>
      </c>
      <c r="C27274" s="6">
        <v>12000</v>
      </c>
      <c r="D27274" s="7">
        <v>0.38</v>
      </c>
      <c r="E27274" t="s">
        <v>17</v>
      </c>
    </row>
    <row r="27275" spans="1:5" x14ac:dyDescent="0.25">
      <c r="A27275" t="str">
        <f>HYPERLINK("https://www.773grp.com/globalSearch/TL431CLPREG/page-1", "TL431CLPREG")</f>
        <v>TL431CLPREG</v>
      </c>
      <c r="B27275" s="3" t="s">
        <v>95</v>
      </c>
      <c r="C27275" s="6">
        <v>1082</v>
      </c>
      <c r="D27275" s="7">
        <v>0.38</v>
      </c>
      <c r="E27275" t="s">
        <v>17</v>
      </c>
    </row>
    <row r="27276" spans="1:5" x14ac:dyDescent="0.25">
      <c r="A27276" t="str">
        <f>HYPERLINK("https://www.773grp.com/globalSearch/TL431IDG/page-1", "TL431IDG")</f>
        <v>TL431IDG</v>
      </c>
      <c r="B27276" s="3" t="s">
        <v>95</v>
      </c>
      <c r="C27276" s="6">
        <v>66589</v>
      </c>
      <c r="D27276" s="7">
        <v>0.38</v>
      </c>
      <c r="E27276" t="s">
        <v>17</v>
      </c>
    </row>
    <row r="27277" spans="1:5" x14ac:dyDescent="0.25">
      <c r="A27277" t="str">
        <f>HYPERLINK("https://www.773grp.com/globalSearch/TL431IDR2G/page-1", "TL431IDR2G")</f>
        <v>TL431IDR2G</v>
      </c>
      <c r="B27277" s="3" t="s">
        <v>95</v>
      </c>
      <c r="C27277" s="6">
        <v>19425</v>
      </c>
      <c r="D27277" s="7">
        <v>0.38</v>
      </c>
      <c r="E27277" t="s">
        <v>17</v>
      </c>
    </row>
    <row r="27278" spans="1:5" x14ac:dyDescent="0.25">
      <c r="A27278" t="str">
        <f>HYPERLINK("https://www.773grp.com/globalSearch/TL431ILPRPG/page-1", "TL431ILPRPG")</f>
        <v>TL431ILPRPG</v>
      </c>
      <c r="B27278" s="3" t="s">
        <v>95</v>
      </c>
      <c r="C27278" s="6">
        <v>8000</v>
      </c>
      <c r="D27278" s="7">
        <v>0.38</v>
      </c>
      <c r="E27278" t="s">
        <v>17</v>
      </c>
    </row>
    <row r="27279" spans="1:5" x14ac:dyDescent="0.25">
      <c r="A27279" t="str">
        <f>HYPERLINK("https://www.773grp.com/globalSearch/1N5334BRLG/page-1", "1N5334BRLG")</f>
        <v>1N5334BRLG</v>
      </c>
      <c r="B27279" s="3" t="s">
        <v>95</v>
      </c>
      <c r="C27279" s="6">
        <v>44000</v>
      </c>
      <c r="D27279" s="7">
        <v>0.43</v>
      </c>
      <c r="E27279" t="s">
        <v>98</v>
      </c>
    </row>
    <row r="27280" spans="1:5" x14ac:dyDescent="0.25">
      <c r="A27280" t="str">
        <f>HYPERLINK("https://www.773grp.com/globalSearch/1N5351B/page-1", "1N5351B")</f>
        <v>1N5351B</v>
      </c>
      <c r="B27280" s="3" t="s">
        <v>95</v>
      </c>
      <c r="C27280" s="6">
        <v>2500</v>
      </c>
      <c r="D27280" s="7">
        <v>0.43</v>
      </c>
      <c r="E27280" t="s">
        <v>98</v>
      </c>
    </row>
    <row r="27281" spans="1:5" x14ac:dyDescent="0.25">
      <c r="A27281" t="str">
        <f>HYPERLINK("https://www.773grp.com/globalSearch/1N5353BRL/page-1", "1N5353BRL")</f>
        <v>1N5353BRL</v>
      </c>
      <c r="B27281" s="3" t="s">
        <v>95</v>
      </c>
      <c r="C27281" s="6">
        <v>4000</v>
      </c>
      <c r="D27281" s="7">
        <v>0.43</v>
      </c>
      <c r="E27281" t="s">
        <v>98</v>
      </c>
    </row>
    <row r="27282" spans="1:5" x14ac:dyDescent="0.25">
      <c r="A27282" t="str">
        <f>HYPERLINK("https://www.773grp.com/globalSearch/1N5354B/page-1", "1N5354B")</f>
        <v>1N5354B</v>
      </c>
      <c r="B27282" s="3" t="s">
        <v>95</v>
      </c>
      <c r="C27282" s="6">
        <v>6547</v>
      </c>
      <c r="D27282" s="7">
        <v>0.43</v>
      </c>
      <c r="E27282" t="s">
        <v>98</v>
      </c>
    </row>
    <row r="27283" spans="1:5" x14ac:dyDescent="0.25">
      <c r="A27283" t="str">
        <f>HYPERLINK("https://www.773grp.com/globalSearch/1N5354BRL/page-1", "1N5354BRL")</f>
        <v>1N5354BRL</v>
      </c>
      <c r="B27283" s="3" t="s">
        <v>95</v>
      </c>
      <c r="C27283" s="6">
        <v>10664</v>
      </c>
      <c r="D27283" s="7">
        <v>0.43</v>
      </c>
      <c r="E27283" t="s">
        <v>98</v>
      </c>
    </row>
    <row r="27284" spans="1:5" x14ac:dyDescent="0.25">
      <c r="A27284" t="str">
        <f>HYPERLINK("https://www.773grp.com/globalSearch/1N5356B/page-1", "1N5356B")</f>
        <v>1N5356B</v>
      </c>
      <c r="B27284" s="3" t="s">
        <v>95</v>
      </c>
      <c r="C27284" s="6">
        <v>13</v>
      </c>
      <c r="D27284" s="7">
        <v>0.43</v>
      </c>
      <c r="E27284" t="s">
        <v>98</v>
      </c>
    </row>
    <row r="27285" spans="1:5" x14ac:dyDescent="0.25">
      <c r="A27285" t="str">
        <f>HYPERLINK("https://www.773grp.com/globalSearch/1N5356BG/page-1", "1N5356BG")</f>
        <v>1N5356BG</v>
      </c>
      <c r="B27285" s="3" t="s">
        <v>95</v>
      </c>
      <c r="C27285" s="6">
        <v>2629</v>
      </c>
      <c r="D27285" s="7">
        <v>0.43</v>
      </c>
      <c r="E27285" t="s">
        <v>98</v>
      </c>
    </row>
    <row r="27286" spans="1:5" x14ac:dyDescent="0.25">
      <c r="A27286" t="str">
        <f>HYPERLINK("https://www.773grp.com/globalSearch/1N5361B/page-1", "1N5361B")</f>
        <v>1N5361B</v>
      </c>
      <c r="B27286" s="3" t="s">
        <v>95</v>
      </c>
      <c r="C27286" s="6">
        <v>9227</v>
      </c>
      <c r="D27286" s="7">
        <v>0.43</v>
      </c>
      <c r="E27286" t="s">
        <v>98</v>
      </c>
    </row>
    <row r="27287" spans="1:5" x14ac:dyDescent="0.25">
      <c r="A27287" t="str">
        <f>HYPERLINK("https://www.773grp.com/globalSearch/1N5361BRL/page-1", "1N5361BRL")</f>
        <v>1N5361BRL</v>
      </c>
      <c r="B27287" s="3" t="s">
        <v>95</v>
      </c>
      <c r="C27287" s="6">
        <v>12000</v>
      </c>
      <c r="D27287" s="7">
        <v>0.43</v>
      </c>
      <c r="E27287" t="s">
        <v>98</v>
      </c>
    </row>
    <row r="27288" spans="1:5" x14ac:dyDescent="0.25">
      <c r="A27288" t="str">
        <f>HYPERLINK("https://www.773grp.com/globalSearch/1N5365BRL/page-1", "1N5365BRL")</f>
        <v>1N5365BRL</v>
      </c>
      <c r="B27288" s="3" t="s">
        <v>95</v>
      </c>
      <c r="C27288" s="6">
        <v>72000</v>
      </c>
      <c r="D27288" s="7">
        <v>0.43</v>
      </c>
      <c r="E27288" t="s">
        <v>98</v>
      </c>
    </row>
    <row r="27289" spans="1:5" x14ac:dyDescent="0.25">
      <c r="A27289" t="str">
        <f>HYPERLINK("https://www.773grp.com/globalSearch/1N5368BRL/page-1", "1N5368BRL")</f>
        <v>1N5368BRL</v>
      </c>
      <c r="B27289" s="3" t="s">
        <v>95</v>
      </c>
      <c r="C27289" s="6">
        <v>743</v>
      </c>
      <c r="D27289" s="7">
        <v>0.43</v>
      </c>
      <c r="E27289" t="s">
        <v>98</v>
      </c>
    </row>
    <row r="27290" spans="1:5" x14ac:dyDescent="0.25">
      <c r="A27290" t="str">
        <f>HYPERLINK("https://www.773grp.com/globalSearch/1N5370B/page-1", "1N5370B")</f>
        <v>1N5370B</v>
      </c>
      <c r="B27290" s="3" t="s">
        <v>95</v>
      </c>
      <c r="C27290" s="6">
        <v>3000</v>
      </c>
      <c r="D27290" s="7">
        <v>0.43</v>
      </c>
      <c r="E27290" t="s">
        <v>98</v>
      </c>
    </row>
    <row r="27291" spans="1:5" x14ac:dyDescent="0.25">
      <c r="A27291" t="str">
        <f>HYPERLINK("https://www.773grp.com/globalSearch/1N5371BRLG/page-1", "1N5371BRLG")</f>
        <v>1N5371BRLG</v>
      </c>
      <c r="B27291" s="3" t="s">
        <v>95</v>
      </c>
      <c r="C27291" s="6">
        <v>25715</v>
      </c>
      <c r="D27291" s="7">
        <v>0.43</v>
      </c>
      <c r="E27291" t="s">
        <v>98</v>
      </c>
    </row>
    <row r="27292" spans="1:5" x14ac:dyDescent="0.25">
      <c r="A27292" t="str">
        <f>HYPERLINK("https://www.773grp.com/globalSearch/1N5372B/page-1", "1N5372B")</f>
        <v>1N5372B</v>
      </c>
      <c r="B27292" s="3" t="s">
        <v>95</v>
      </c>
      <c r="C27292" s="6">
        <v>5000</v>
      </c>
      <c r="D27292" s="7">
        <v>0.43</v>
      </c>
      <c r="E27292" t="s">
        <v>98</v>
      </c>
    </row>
    <row r="27293" spans="1:5" x14ac:dyDescent="0.25">
      <c r="A27293" t="str">
        <f>HYPERLINK("https://www.773grp.com/globalSearch/1N5373B/page-1", "1N5373B")</f>
        <v>1N5373B</v>
      </c>
      <c r="B27293" s="3" t="s">
        <v>95</v>
      </c>
      <c r="C27293" s="6">
        <v>7444</v>
      </c>
      <c r="D27293" s="7">
        <v>0.43</v>
      </c>
      <c r="E27293" t="s">
        <v>98</v>
      </c>
    </row>
    <row r="27294" spans="1:5" x14ac:dyDescent="0.25">
      <c r="A27294" t="str">
        <f>HYPERLINK("https://www.773grp.com/globalSearch/1N5375B/page-1", "1N5375B")</f>
        <v>1N5375B</v>
      </c>
      <c r="B27294" s="3" t="s">
        <v>95</v>
      </c>
      <c r="C27294" s="6">
        <v>28</v>
      </c>
      <c r="D27294" s="7">
        <v>0.43</v>
      </c>
      <c r="E27294" t="s">
        <v>98</v>
      </c>
    </row>
    <row r="27295" spans="1:5" x14ac:dyDescent="0.25">
      <c r="A27295" t="str">
        <f>HYPERLINK("https://www.773grp.com/globalSearch/1N5377BRLG/page-1", "1N5377BRLG")</f>
        <v>1N5377BRLG</v>
      </c>
      <c r="B27295" s="3" t="s">
        <v>95</v>
      </c>
      <c r="C27295" s="6">
        <v>4000</v>
      </c>
      <c r="D27295" s="7">
        <v>0.43</v>
      </c>
      <c r="E27295" t="s">
        <v>98</v>
      </c>
    </row>
    <row r="27296" spans="1:5" x14ac:dyDescent="0.25">
      <c r="A27296" t="str">
        <f>HYPERLINK("https://www.773grp.com/globalSearch/1N5381BRL/page-1", "1N5381BRL")</f>
        <v>1N5381BRL</v>
      </c>
      <c r="B27296" s="3" t="s">
        <v>95</v>
      </c>
      <c r="C27296" s="6">
        <v>40000</v>
      </c>
      <c r="D27296" s="7">
        <v>0.43</v>
      </c>
      <c r="E27296" t="s">
        <v>98</v>
      </c>
    </row>
    <row r="27297" spans="1:5" x14ac:dyDescent="0.25">
      <c r="A27297" t="str">
        <f>HYPERLINK("https://www.773grp.com/globalSearch/1N5381BRLG/page-1", "1N5381BRLG")</f>
        <v>1N5381BRLG</v>
      </c>
      <c r="B27297" s="3" t="s">
        <v>95</v>
      </c>
      <c r="C27297" s="6">
        <v>18000</v>
      </c>
      <c r="D27297" s="7">
        <v>0.43</v>
      </c>
      <c r="E27297" t="s">
        <v>98</v>
      </c>
    </row>
    <row r="27298" spans="1:5" x14ac:dyDescent="0.25">
      <c r="A27298" t="str">
        <f>HYPERLINK("https://www.773grp.com/globalSearch/1N5383B/page-1", "1N5383B")</f>
        <v>1N5383B</v>
      </c>
      <c r="B27298" s="3" t="s">
        <v>95</v>
      </c>
      <c r="C27298" s="6">
        <v>3000</v>
      </c>
      <c r="D27298" s="7">
        <v>0.43</v>
      </c>
      <c r="E27298" t="s">
        <v>98</v>
      </c>
    </row>
    <row r="27299" spans="1:5" x14ac:dyDescent="0.25">
      <c r="A27299" t="str">
        <f>HYPERLINK("https://www.773grp.com/globalSearch/1N5821RL/page-1", "1N5821RL")</f>
        <v>1N5821RL</v>
      </c>
      <c r="B27299" s="3" t="s">
        <v>95</v>
      </c>
      <c r="C27299" s="6">
        <v>1500</v>
      </c>
      <c r="D27299" s="7">
        <v>0.43</v>
      </c>
      <c r="E27299" t="s">
        <v>103</v>
      </c>
    </row>
    <row r="27300" spans="1:5" x14ac:dyDescent="0.25">
      <c r="A27300" t="str">
        <f>HYPERLINK("https://www.773grp.com/globalSearch/1N5990CRL/page-1", "1N5990CRL")</f>
        <v>1N5990CRL</v>
      </c>
      <c r="B27300" s="3" t="s">
        <v>95</v>
      </c>
      <c r="C27300" s="6">
        <v>3000</v>
      </c>
      <c r="D27300" s="7">
        <v>0.43</v>
      </c>
      <c r="E27300" t="s">
        <v>98</v>
      </c>
    </row>
    <row r="27301" spans="1:5" x14ac:dyDescent="0.25">
      <c r="A27301" t="str">
        <f>HYPERLINK("https://www.773grp.com/globalSearch/1N5996B/page-1", "1N5996B")</f>
        <v>1N5996B</v>
      </c>
      <c r="B27301" s="3" t="s">
        <v>95</v>
      </c>
      <c r="C27301" s="6">
        <v>52953</v>
      </c>
      <c r="D27301" s="7">
        <v>0.43</v>
      </c>
      <c r="E27301" t="s">
        <v>98</v>
      </c>
    </row>
    <row r="27302" spans="1:5" x14ac:dyDescent="0.25">
      <c r="A27302" t="str">
        <f>HYPERLINK("https://www.773grp.com/globalSearch/1N6025CRL/page-1", "1N6025CRL")</f>
        <v>1N6025CRL</v>
      </c>
      <c r="B27302" s="3" t="s">
        <v>95</v>
      </c>
      <c r="C27302" s="6">
        <v>10000</v>
      </c>
      <c r="D27302" s="7">
        <v>0.43</v>
      </c>
      <c r="E27302" t="s">
        <v>98</v>
      </c>
    </row>
    <row r="27303" spans="1:5" x14ac:dyDescent="0.25">
      <c r="A27303" t="str">
        <f>HYPERLINK("https://www.773grp.com/globalSearch/1SMA5.0AT3/page-1", "1SMA5.0AT3")</f>
        <v>1SMA5.0AT3</v>
      </c>
      <c r="B27303" s="3" t="s">
        <v>95</v>
      </c>
      <c r="C27303" s="6">
        <v>49370</v>
      </c>
      <c r="D27303" s="7">
        <v>0.43</v>
      </c>
      <c r="E27303" t="s">
        <v>96</v>
      </c>
    </row>
    <row r="27304" spans="1:5" x14ac:dyDescent="0.25">
      <c r="A27304" t="str">
        <f>HYPERLINK("https://www.773grp.com/globalSearch/1SMA5925BT3/page-1", "1SMA5925BT3")</f>
        <v>1SMA5925BT3</v>
      </c>
      <c r="B27304" s="3" t="s">
        <v>95</v>
      </c>
      <c r="C27304" s="6">
        <v>5000</v>
      </c>
      <c r="D27304" s="7">
        <v>0.43</v>
      </c>
      <c r="E27304" t="s">
        <v>98</v>
      </c>
    </row>
    <row r="27305" spans="1:5" x14ac:dyDescent="0.25">
      <c r="A27305" t="str">
        <f>HYPERLINK("https://www.773grp.com/globalSearch/1SMA5930BT3/page-1", "1SMA5930BT3")</f>
        <v>1SMA5930BT3</v>
      </c>
      <c r="B27305" s="3" t="s">
        <v>95</v>
      </c>
      <c r="C27305" s="6">
        <v>10000</v>
      </c>
      <c r="D27305" s="7">
        <v>0.43</v>
      </c>
      <c r="E27305" t="s">
        <v>98</v>
      </c>
    </row>
    <row r="27306" spans="1:5" x14ac:dyDescent="0.25">
      <c r="A27306" t="str">
        <f>HYPERLINK("https://www.773grp.com/globalSearch/1SMA5935BT3/page-1", "1SMA5935BT3")</f>
        <v>1SMA5935BT3</v>
      </c>
      <c r="B27306" s="3" t="s">
        <v>95</v>
      </c>
      <c r="C27306" s="6">
        <v>97500</v>
      </c>
      <c r="D27306" s="7">
        <v>0.43</v>
      </c>
      <c r="E27306" t="s">
        <v>98</v>
      </c>
    </row>
    <row r="27307" spans="1:5" x14ac:dyDescent="0.25">
      <c r="A27307" t="str">
        <f>HYPERLINK("https://www.773grp.com/globalSearch/1SMA5938BT3/page-1", "1SMA5938BT3")</f>
        <v>1SMA5938BT3</v>
      </c>
      <c r="B27307" s="3" t="s">
        <v>95</v>
      </c>
      <c r="C27307" s="6">
        <v>5000</v>
      </c>
      <c r="D27307" s="7">
        <v>0.43</v>
      </c>
      <c r="E27307" t="s">
        <v>98</v>
      </c>
    </row>
    <row r="27308" spans="1:5" x14ac:dyDescent="0.25">
      <c r="A27308" t="str">
        <f>HYPERLINK("https://www.773grp.com/globalSearch/1SMA64AT3G/page-1", "1SMA64AT3G")</f>
        <v>1SMA64AT3G</v>
      </c>
      <c r="B27308" s="3" t="s">
        <v>95</v>
      </c>
      <c r="C27308" s="6">
        <v>5000</v>
      </c>
      <c r="D27308" s="7">
        <v>0.43</v>
      </c>
      <c r="E27308" t="s">
        <v>96</v>
      </c>
    </row>
    <row r="27309" spans="1:5" x14ac:dyDescent="0.25">
      <c r="A27309" t="str">
        <f>HYPERLINK("https://www.773grp.com/globalSearch/1SMA7.0AT3/page-1", "1SMA7.0AT3")</f>
        <v>1SMA7.0AT3</v>
      </c>
      <c r="B27309" s="3" t="s">
        <v>95</v>
      </c>
      <c r="C27309" s="6">
        <v>5000</v>
      </c>
      <c r="D27309" s="7">
        <v>0.43</v>
      </c>
      <c r="E27309" t="s">
        <v>96</v>
      </c>
    </row>
    <row r="27310" spans="1:5" x14ac:dyDescent="0.25">
      <c r="A27310" t="str">
        <f>HYPERLINK("https://www.773grp.com/globalSearch/1SS383T1G/page-1", "1SS383T1G")</f>
        <v>1SS383T1G</v>
      </c>
      <c r="B27310" s="3" t="s">
        <v>95</v>
      </c>
      <c r="C27310" s="6">
        <v>21000</v>
      </c>
      <c r="D27310" s="7">
        <v>0.43</v>
      </c>
      <c r="E27310" t="s">
        <v>94</v>
      </c>
    </row>
    <row r="27311" spans="1:5" x14ac:dyDescent="0.25">
      <c r="A27311" t="str">
        <f>HYPERLINK("https://www.773grp.com/globalSearch/74HC132DTR2G/page-1", "74HC132DTR2G")</f>
        <v>74HC132DTR2G</v>
      </c>
      <c r="B27311" s="3" t="s">
        <v>95</v>
      </c>
      <c r="C27311" s="6">
        <v>54985</v>
      </c>
      <c r="D27311" s="7">
        <v>0.43</v>
      </c>
      <c r="E27311" t="s">
        <v>31</v>
      </c>
    </row>
    <row r="27312" spans="1:5" x14ac:dyDescent="0.25">
      <c r="A27312" t="str">
        <f>HYPERLINK("https://www.773grp.com/globalSearch/74HC138DR2G/page-1", "74HC138DR2G")</f>
        <v>74HC138DR2G</v>
      </c>
      <c r="B27312" s="3" t="s">
        <v>95</v>
      </c>
      <c r="C27312" s="6">
        <v>80471</v>
      </c>
      <c r="D27312" s="7">
        <v>0.43</v>
      </c>
      <c r="E27312" t="s">
        <v>36</v>
      </c>
    </row>
    <row r="27313" spans="1:5" x14ac:dyDescent="0.25">
      <c r="A27313" t="str">
        <f>HYPERLINK("https://www.773grp.com/globalSearch/74HC138DTR2G/page-1", "74HC138DTR2G")</f>
        <v>74HC138DTR2G</v>
      </c>
      <c r="B27313" s="3" t="s">
        <v>95</v>
      </c>
      <c r="C27313" s="6">
        <v>329424</v>
      </c>
      <c r="D27313" s="7">
        <v>0.43</v>
      </c>
      <c r="E27313" t="s">
        <v>36</v>
      </c>
    </row>
    <row r="27314" spans="1:5" x14ac:dyDescent="0.25">
      <c r="A27314" t="str">
        <f>HYPERLINK("https://www.773grp.com/globalSearch/BAT54CXV3T1G/page-1", "BAT54CXV3T1G")</f>
        <v>BAT54CXV3T1G</v>
      </c>
      <c r="B27314" s="3" t="s">
        <v>95</v>
      </c>
      <c r="C27314" s="6">
        <v>418359</v>
      </c>
      <c r="D27314" s="7">
        <v>0.43</v>
      </c>
      <c r="E27314" t="s">
        <v>94</v>
      </c>
    </row>
    <row r="27315" spans="1:5" x14ac:dyDescent="0.25">
      <c r="A27315" t="str">
        <f>HYPERLINK("https://www.773grp.com/globalSearch/BC327-25ZL1G/page-1", "BC327-25ZL1G")</f>
        <v>BC327-25ZL1G</v>
      </c>
      <c r="B27315" s="3" t="s">
        <v>95</v>
      </c>
      <c r="C27315" s="6">
        <v>120000</v>
      </c>
      <c r="D27315" s="7">
        <v>0.43</v>
      </c>
      <c r="E27315" t="s">
        <v>69</v>
      </c>
    </row>
    <row r="27316" spans="1:5" x14ac:dyDescent="0.25">
      <c r="A27316" t="str">
        <f>HYPERLINK("https://www.773grp.com/globalSearch/BC327-40ZL1G/page-1", "BC327-40ZL1G")</f>
        <v>BC327-40ZL1G</v>
      </c>
      <c r="B27316" s="3" t="s">
        <v>95</v>
      </c>
      <c r="C27316" s="6">
        <v>28000</v>
      </c>
      <c r="D27316" s="7">
        <v>0.43</v>
      </c>
      <c r="E27316" t="s">
        <v>69</v>
      </c>
    </row>
    <row r="27317" spans="1:5" x14ac:dyDescent="0.25">
      <c r="A27317" t="str">
        <f>HYPERLINK("https://www.773grp.com/globalSearch/BC517G/page-1", "BC517G")</f>
        <v>BC517G</v>
      </c>
      <c r="B27317" s="3" t="s">
        <v>95</v>
      </c>
      <c r="C27317" s="6">
        <v>90000</v>
      </c>
      <c r="D27317" s="7">
        <v>0.43</v>
      </c>
      <c r="E27317" t="s">
        <v>69</v>
      </c>
    </row>
    <row r="27318" spans="1:5" x14ac:dyDescent="0.25">
      <c r="A27318" t="str">
        <f>HYPERLINK("https://www.773grp.com/globalSearch/BC517RL1G/page-1", "BC517RL1G")</f>
        <v>BC517RL1G</v>
      </c>
      <c r="B27318" s="3" t="s">
        <v>95</v>
      </c>
      <c r="C27318" s="6">
        <v>1995</v>
      </c>
      <c r="D27318" s="7">
        <v>0.43</v>
      </c>
    </row>
    <row r="27319" spans="1:5" x14ac:dyDescent="0.25">
      <c r="A27319" t="str">
        <f>HYPERLINK("https://www.773grp.com/globalSearch/BC546BRL1G/page-1", "BC546BRL1G")</f>
        <v>BC546BRL1G</v>
      </c>
      <c r="B27319" s="3" t="s">
        <v>95</v>
      </c>
      <c r="C27319" s="6">
        <v>90000</v>
      </c>
      <c r="D27319" s="7">
        <v>0.43</v>
      </c>
      <c r="E27319" t="s">
        <v>69</v>
      </c>
    </row>
    <row r="27320" spans="1:5" x14ac:dyDescent="0.25">
      <c r="A27320" t="str">
        <f>HYPERLINK("https://www.773grp.com/globalSearch/BC546BZL1G/page-1", "BC546BZL1G")</f>
        <v>BC546BZL1G</v>
      </c>
      <c r="B27320" s="3" t="s">
        <v>95</v>
      </c>
      <c r="C27320" s="6">
        <v>18000</v>
      </c>
      <c r="D27320" s="7">
        <v>0.43</v>
      </c>
      <c r="E27320" t="s">
        <v>69</v>
      </c>
    </row>
    <row r="27321" spans="1:5" x14ac:dyDescent="0.25">
      <c r="A27321" t="str">
        <f>HYPERLINK("https://www.773grp.com/globalSearch/BC547BRL1G/page-1", "BC547BRL1G")</f>
        <v>BC547BRL1G</v>
      </c>
      <c r="B27321" s="3" t="s">
        <v>95</v>
      </c>
      <c r="C27321" s="6">
        <v>270000</v>
      </c>
      <c r="D27321" s="7">
        <v>0.43</v>
      </c>
      <c r="E27321" t="s">
        <v>69</v>
      </c>
    </row>
    <row r="27322" spans="1:5" x14ac:dyDescent="0.25">
      <c r="A27322" t="str">
        <f>HYPERLINK("https://www.773grp.com/globalSearch/BC547BZL1G/page-1", "BC547BZL1G")</f>
        <v>BC547BZL1G</v>
      </c>
      <c r="B27322" s="3" t="s">
        <v>95</v>
      </c>
      <c r="C27322" s="6">
        <v>640000</v>
      </c>
      <c r="D27322" s="7">
        <v>0.43</v>
      </c>
      <c r="E27322" t="s">
        <v>69</v>
      </c>
    </row>
    <row r="27323" spans="1:5" x14ac:dyDescent="0.25">
      <c r="A27323" t="str">
        <f>HYPERLINK("https://www.773grp.com/globalSearch/BC556BG/page-1", "BC556BG")</f>
        <v>BC556BG</v>
      </c>
      <c r="B27323" s="3" t="s">
        <v>95</v>
      </c>
      <c r="C27323" s="6">
        <v>185758</v>
      </c>
      <c r="D27323" s="7">
        <v>0.43</v>
      </c>
      <c r="E27323" t="s">
        <v>69</v>
      </c>
    </row>
    <row r="27324" spans="1:5" x14ac:dyDescent="0.25">
      <c r="A27324" t="str">
        <f>HYPERLINK("https://www.773grp.com/globalSearch/BC557BG/page-1", "BC557BG")</f>
        <v>BC557BG</v>
      </c>
      <c r="B27324" s="3" t="s">
        <v>95</v>
      </c>
      <c r="C27324" s="6">
        <v>21982</v>
      </c>
      <c r="D27324" s="7">
        <v>0.43</v>
      </c>
      <c r="E27324" t="s">
        <v>69</v>
      </c>
    </row>
    <row r="27325" spans="1:5" x14ac:dyDescent="0.25">
      <c r="A27325" t="str">
        <f>HYPERLINK("https://www.773grp.com/globalSearch/BC557BRL1G/page-1", "BC557BRL1G")</f>
        <v>BC557BRL1G</v>
      </c>
      <c r="B27325" s="3" t="s">
        <v>95</v>
      </c>
      <c r="C27325" s="6">
        <v>128000</v>
      </c>
      <c r="D27325" s="7">
        <v>0.43</v>
      </c>
      <c r="E27325" t="s">
        <v>69</v>
      </c>
    </row>
    <row r="27326" spans="1:5" x14ac:dyDescent="0.25">
      <c r="A27326" t="str">
        <f>HYPERLINK("https://www.773grp.com/globalSearch/BC557BZL1G/page-1", "BC557BZL1G")</f>
        <v>BC557BZL1G</v>
      </c>
      <c r="B27326" s="3" t="s">
        <v>95</v>
      </c>
      <c r="C27326" s="6">
        <v>46000</v>
      </c>
      <c r="D27326" s="7">
        <v>0.43</v>
      </c>
      <c r="E27326" t="s">
        <v>69</v>
      </c>
    </row>
    <row r="27327" spans="1:5" x14ac:dyDescent="0.25">
      <c r="A27327" t="str">
        <f>HYPERLINK("https://www.773grp.com/globalSearch/BCP53-16T1G/page-1", "BCP53-16T1G")</f>
        <v>BCP53-16T1G</v>
      </c>
      <c r="B27327" s="3" t="s">
        <v>95</v>
      </c>
      <c r="C27327" s="6">
        <v>378626</v>
      </c>
      <c r="D27327" s="7">
        <v>0.43</v>
      </c>
      <c r="E27327" t="s">
        <v>59</v>
      </c>
    </row>
    <row r="27328" spans="1:5" x14ac:dyDescent="0.25">
      <c r="A27328" t="str">
        <f>HYPERLINK("https://www.773grp.com/globalSearch/BCP53T1G/page-1", "BCP53T1G")</f>
        <v>BCP53T1G</v>
      </c>
      <c r="B27328" s="3" t="s">
        <v>95</v>
      </c>
      <c r="C27328" s="6">
        <v>21451</v>
      </c>
      <c r="D27328" s="7">
        <v>0.43</v>
      </c>
      <c r="E27328" t="s">
        <v>59</v>
      </c>
    </row>
    <row r="27329" spans="1:5" x14ac:dyDescent="0.25">
      <c r="A27329" t="str">
        <f>HYPERLINK("https://www.773grp.com/globalSearch/BCP56-10T1G/page-1", "BCP56-10T1G")</f>
        <v>BCP56-10T1G</v>
      </c>
      <c r="B27329" s="3" t="s">
        <v>95</v>
      </c>
      <c r="C27329" s="6">
        <v>705</v>
      </c>
      <c r="D27329" s="7">
        <v>0.43</v>
      </c>
      <c r="E27329" t="s">
        <v>59</v>
      </c>
    </row>
    <row r="27330" spans="1:5" x14ac:dyDescent="0.25">
      <c r="A27330" t="str">
        <f>HYPERLINK("https://www.773grp.com/globalSearch/BZG03C15/page-1", "BZG03C15")</f>
        <v>BZG03C15</v>
      </c>
      <c r="B27330" s="3" t="s">
        <v>95</v>
      </c>
      <c r="C27330" s="6">
        <v>5000</v>
      </c>
      <c r="D27330" s="7">
        <v>0.43</v>
      </c>
      <c r="E27330" t="s">
        <v>96</v>
      </c>
    </row>
    <row r="27331" spans="1:5" x14ac:dyDescent="0.25">
      <c r="A27331" t="str">
        <f>HYPERLINK("https://www.773grp.com/globalSearch/CAT24C01WI-G/page-1", "CAT24C01WI-G")</f>
        <v>CAT24C01WI-G</v>
      </c>
      <c r="B27331" s="3" t="s">
        <v>95</v>
      </c>
      <c r="C27331" s="6">
        <v>4800</v>
      </c>
      <c r="D27331" s="7">
        <v>0.43</v>
      </c>
    </row>
    <row r="27332" spans="1:5" x14ac:dyDescent="0.25">
      <c r="A27332" t="str">
        <f>HYPERLINK("https://www.773grp.com/globalSearch/CAT24C01YI-G/page-1", "CAT24C01YI-G")</f>
        <v>CAT24C01YI-G</v>
      </c>
      <c r="B27332" s="3" t="s">
        <v>95</v>
      </c>
      <c r="C27332" s="6">
        <v>13400</v>
      </c>
      <c r="D27332" s="7">
        <v>0.43</v>
      </c>
    </row>
    <row r="27333" spans="1:5" x14ac:dyDescent="0.25">
      <c r="A27333" t="str">
        <f>HYPERLINK("https://www.773grp.com/globalSearch/CAT24C02VP2IGT3A/page-1", "CAT24C02VP2IGT3A")</f>
        <v>CAT24C02VP2IGT3A</v>
      </c>
      <c r="B27333" s="3" t="s">
        <v>95</v>
      </c>
      <c r="C27333" s="6">
        <v>44466</v>
      </c>
      <c r="D27333" s="7">
        <v>0.43</v>
      </c>
    </row>
    <row r="27334" spans="1:5" x14ac:dyDescent="0.25">
      <c r="A27334" t="str">
        <f>HYPERLINK("https://www.773grp.com/globalSearch/CAT24C02VP2IGT3A/page-1", "CAT24C02VP2IGT3A")</f>
        <v>CAT24C02VP2IGT3A</v>
      </c>
      <c r="B27334" s="3" t="s">
        <v>95</v>
      </c>
      <c r="C27334" s="6">
        <v>3000</v>
      </c>
      <c r="D27334" s="7">
        <v>0.43</v>
      </c>
    </row>
    <row r="27335" spans="1:5" x14ac:dyDescent="0.25">
      <c r="A27335" t="str">
        <f>HYPERLINK("https://www.773grp.com/globalSearch/CAT24WC66LI-G/page-1", "CAT24WC66LI-G")</f>
        <v>CAT24WC66LI-G</v>
      </c>
      <c r="B27335" s="3" t="s">
        <v>95</v>
      </c>
      <c r="C27335" s="6">
        <v>8450</v>
      </c>
      <c r="D27335" s="7">
        <v>0.43</v>
      </c>
    </row>
    <row r="27336" spans="1:5" x14ac:dyDescent="0.25">
      <c r="A27336" t="str">
        <f>HYPERLINK("https://www.773grp.com/globalSearch/CAT24WC66WI-G/page-1", "CAT24WC66WI-G")</f>
        <v>CAT24WC66WI-G</v>
      </c>
      <c r="B27336" s="3" t="s">
        <v>95</v>
      </c>
      <c r="C27336" s="6">
        <v>6100</v>
      </c>
      <c r="D27336" s="7">
        <v>0.43</v>
      </c>
    </row>
    <row r="27337" spans="1:5" x14ac:dyDescent="0.25">
      <c r="A27337" t="str">
        <f>HYPERLINK("https://www.773grp.com/globalSearch/CAT24WC66WI-GT3/page-1", "CAT24WC66WI-GT3")</f>
        <v>CAT24WC66WI-GT3</v>
      </c>
      <c r="B27337" s="3" t="s">
        <v>95</v>
      </c>
      <c r="C27337" s="6">
        <v>81000</v>
      </c>
      <c r="D27337" s="7">
        <v>0.43</v>
      </c>
      <c r="E27337" t="s">
        <v>64</v>
      </c>
    </row>
    <row r="27338" spans="1:5" x14ac:dyDescent="0.25">
      <c r="A27338" t="str">
        <f>HYPERLINK("https://www.773grp.com/globalSearch/CM1218-C4SE/page-1", "CM1218-C4SE")</f>
        <v>CM1218-C4SE</v>
      </c>
      <c r="B27338" s="3" t="s">
        <v>95</v>
      </c>
      <c r="C27338" s="6">
        <v>40000</v>
      </c>
      <c r="D27338" s="7">
        <v>0.43</v>
      </c>
    </row>
    <row r="27339" spans="1:5" x14ac:dyDescent="0.25">
      <c r="A27339" t="str">
        <f>HYPERLINK("https://www.773grp.com/globalSearch/EMF5XV6T5G/page-1", "EMF5XV6T5G")</f>
        <v>EMF5XV6T5G</v>
      </c>
      <c r="B27339" s="3" t="s">
        <v>95</v>
      </c>
      <c r="C27339" s="6">
        <v>119772</v>
      </c>
      <c r="D27339" s="7">
        <v>0.43</v>
      </c>
      <c r="E27339" t="s">
        <v>69</v>
      </c>
    </row>
    <row r="27340" spans="1:5" x14ac:dyDescent="0.25">
      <c r="A27340" t="str">
        <f>HYPERLINK("https://www.773grp.com/globalSearch/ESD7951ST5G/page-1", "ESD7951ST5G")</f>
        <v>ESD7951ST5G</v>
      </c>
      <c r="B27340" s="3" t="s">
        <v>95</v>
      </c>
      <c r="C27340" s="6">
        <v>880000</v>
      </c>
      <c r="D27340" s="7">
        <v>0.43</v>
      </c>
    </row>
    <row r="27341" spans="1:5" x14ac:dyDescent="0.25">
      <c r="A27341" t="str">
        <f>HYPERLINK("https://www.773grp.com/globalSearch/LM2901N/page-1", "LM2901N")</f>
        <v>LM2901N</v>
      </c>
      <c r="B27341" s="3" t="s">
        <v>95</v>
      </c>
      <c r="C27341" s="6">
        <v>2749</v>
      </c>
      <c r="D27341" s="7">
        <v>0.43</v>
      </c>
      <c r="E27341" t="s">
        <v>9</v>
      </c>
    </row>
    <row r="27342" spans="1:5" x14ac:dyDescent="0.25">
      <c r="A27342" t="str">
        <f>HYPERLINK("https://www.773grp.com/globalSearch/LM2901N/page-1", "LM2901N")</f>
        <v>LM2901N</v>
      </c>
      <c r="B27342" s="3" t="s">
        <v>95</v>
      </c>
      <c r="C27342" s="6">
        <v>6739</v>
      </c>
      <c r="D27342" s="7">
        <v>0.43</v>
      </c>
      <c r="E27342" t="s">
        <v>9</v>
      </c>
    </row>
    <row r="27343" spans="1:5" x14ac:dyDescent="0.25">
      <c r="A27343" t="str">
        <f>HYPERLINK("https://www.773grp.com/globalSearch/LM2903N/page-1", "LM2903N")</f>
        <v>LM2903N</v>
      </c>
      <c r="B27343" s="3" t="s">
        <v>95</v>
      </c>
      <c r="C27343" s="6">
        <v>34438</v>
      </c>
      <c r="D27343" s="7">
        <v>0.43</v>
      </c>
      <c r="E27343" t="s">
        <v>9</v>
      </c>
    </row>
    <row r="27344" spans="1:5" x14ac:dyDescent="0.25">
      <c r="A27344" t="str">
        <f>HYPERLINK("https://www.773grp.com/globalSearch/LM2904N/page-1", "LM2904N")</f>
        <v>LM2904N</v>
      </c>
      <c r="B27344" s="3" t="s">
        <v>95</v>
      </c>
      <c r="C27344" s="6">
        <v>16382</v>
      </c>
      <c r="D27344" s="7">
        <v>0.43</v>
      </c>
      <c r="E27344" t="s">
        <v>13</v>
      </c>
    </row>
    <row r="27345" spans="1:5" x14ac:dyDescent="0.25">
      <c r="A27345" t="str">
        <f>HYPERLINK("https://www.773grp.com/globalSearch/MBR150G/page-1", "MBR150G")</f>
        <v>MBR150G</v>
      </c>
      <c r="B27345" s="3" t="s">
        <v>95</v>
      </c>
      <c r="C27345" s="6">
        <v>26994</v>
      </c>
      <c r="D27345" s="7">
        <v>0.43</v>
      </c>
      <c r="E27345" t="s">
        <v>94</v>
      </c>
    </row>
    <row r="27346" spans="1:5" x14ac:dyDescent="0.25">
      <c r="A27346" t="str">
        <f>HYPERLINK("https://www.773grp.com/globalSearch/MBR150RLG/page-1", "MBR150RLG")</f>
        <v>MBR150RLG</v>
      </c>
      <c r="B27346" s="3" t="s">
        <v>95</v>
      </c>
      <c r="C27346" s="6">
        <v>10000</v>
      </c>
      <c r="D27346" s="7">
        <v>0.43</v>
      </c>
    </row>
    <row r="27347" spans="1:5" x14ac:dyDescent="0.25">
      <c r="A27347" t="str">
        <f>HYPERLINK("https://www.773grp.com/globalSearch/MBR160G/page-1", "MBR160G")</f>
        <v>MBR160G</v>
      </c>
      <c r="B27347" s="3" t="s">
        <v>95</v>
      </c>
      <c r="C27347" s="6">
        <v>40207</v>
      </c>
      <c r="D27347" s="7">
        <v>0.43</v>
      </c>
      <c r="E27347" t="s">
        <v>94</v>
      </c>
    </row>
    <row r="27348" spans="1:5" x14ac:dyDescent="0.25">
      <c r="A27348" t="str">
        <f>HYPERLINK("https://www.773grp.com/globalSearch/MBR160RLG/page-1", "MBR160RLG")</f>
        <v>MBR160RLG</v>
      </c>
      <c r="B27348" s="3" t="s">
        <v>95</v>
      </c>
      <c r="C27348" s="6">
        <v>55000</v>
      </c>
      <c r="D27348" s="7">
        <v>0.43</v>
      </c>
      <c r="E27348" t="s">
        <v>94</v>
      </c>
    </row>
    <row r="27349" spans="1:5" x14ac:dyDescent="0.25">
      <c r="A27349" t="str">
        <f>HYPERLINK("https://www.773grp.com/globalSearch/MBRS120T3G/page-1", "MBRS120T3G")</f>
        <v>MBRS120T3G</v>
      </c>
      <c r="B27349" s="3" t="s">
        <v>95</v>
      </c>
      <c r="C27349" s="6">
        <v>27500</v>
      </c>
      <c r="D27349" s="7">
        <v>0.43</v>
      </c>
      <c r="E27349" t="s">
        <v>94</v>
      </c>
    </row>
    <row r="27350" spans="1:5" x14ac:dyDescent="0.25">
      <c r="A27350" t="str">
        <f>HYPERLINK("https://www.773grp.com/globalSearch/MBRS120T3H/page-1", "MBRS120T3H")</f>
        <v>MBRS120T3H</v>
      </c>
      <c r="B27350" s="3" t="s">
        <v>95</v>
      </c>
      <c r="C27350" s="6">
        <v>10000</v>
      </c>
      <c r="D27350" s="7">
        <v>0.43</v>
      </c>
    </row>
    <row r="27351" spans="1:5" x14ac:dyDescent="0.25">
      <c r="A27351" t="str">
        <f>HYPERLINK("https://www.773grp.com/globalSearch/MBRS140T3G/page-1", "MBRS140T3G")</f>
        <v>MBRS140T3G</v>
      </c>
      <c r="B27351" s="3" t="s">
        <v>95</v>
      </c>
      <c r="C27351" s="6">
        <v>13010</v>
      </c>
      <c r="D27351" s="7">
        <v>0.43</v>
      </c>
      <c r="E27351" t="s">
        <v>94</v>
      </c>
    </row>
    <row r="27352" spans="1:5" x14ac:dyDescent="0.25">
      <c r="A27352" t="str">
        <f>HYPERLINK("https://www.773grp.com/globalSearch/MBRS140T3H/page-1", "MBRS140T3H")</f>
        <v>MBRS140T3H</v>
      </c>
      <c r="B27352" s="3" t="s">
        <v>95</v>
      </c>
      <c r="C27352" s="6">
        <v>10000</v>
      </c>
      <c r="D27352" s="7">
        <v>0.43</v>
      </c>
    </row>
    <row r="27353" spans="1:5" x14ac:dyDescent="0.25">
      <c r="A27353" t="str">
        <f>HYPERLINK("https://www.773grp.com/globalSearch/MBRS190T3/page-1", "MBRS190T3")</f>
        <v>MBRS190T3</v>
      </c>
      <c r="B27353" s="3" t="s">
        <v>95</v>
      </c>
      <c r="C27353" s="6">
        <v>12440</v>
      </c>
      <c r="D27353" s="7">
        <v>0.43</v>
      </c>
      <c r="E27353" t="s">
        <v>103</v>
      </c>
    </row>
    <row r="27354" spans="1:5" x14ac:dyDescent="0.25">
      <c r="A27354" t="str">
        <f>HYPERLINK("https://www.773grp.com/globalSearch/MC14001BDT/page-1", "MC14001BDT")</f>
        <v>MC14001BDT</v>
      </c>
      <c r="B27354" s="3" t="s">
        <v>95</v>
      </c>
      <c r="C27354" s="6">
        <v>2681</v>
      </c>
      <c r="D27354" s="7">
        <v>0.43</v>
      </c>
      <c r="E27354" t="s">
        <v>31</v>
      </c>
    </row>
    <row r="27355" spans="1:5" x14ac:dyDescent="0.25">
      <c r="A27355" t="str">
        <f>HYPERLINK("https://www.773grp.com/globalSearch/MC14001BFL1/page-1", "MC14001BFL1")</f>
        <v>MC14001BFL1</v>
      </c>
      <c r="B27355" s="3" t="s">
        <v>95</v>
      </c>
      <c r="C27355" s="6">
        <v>17000</v>
      </c>
      <c r="D27355" s="7">
        <v>0.43</v>
      </c>
    </row>
    <row r="27356" spans="1:5" x14ac:dyDescent="0.25">
      <c r="A27356" t="str">
        <f>HYPERLINK("https://www.773grp.com/globalSearch/MC14001BFL2/page-1", "MC14001BFL2")</f>
        <v>MC14001BFL2</v>
      </c>
      <c r="B27356" s="3" t="s">
        <v>95</v>
      </c>
      <c r="C27356" s="6">
        <v>4000</v>
      </c>
      <c r="D27356" s="7">
        <v>0.43</v>
      </c>
    </row>
    <row r="27357" spans="1:5" x14ac:dyDescent="0.25">
      <c r="A27357" t="str">
        <f>HYPERLINK("https://www.773grp.com/globalSearch/MC14001BFR1/page-1", "MC14001BFR1")</f>
        <v>MC14001BFR1</v>
      </c>
      <c r="B27357" s="3" t="s">
        <v>95</v>
      </c>
      <c r="C27357" s="6">
        <v>11000</v>
      </c>
      <c r="D27357" s="7">
        <v>0.43</v>
      </c>
    </row>
    <row r="27358" spans="1:5" x14ac:dyDescent="0.25">
      <c r="A27358" t="str">
        <f>HYPERLINK("https://www.773grp.com/globalSearch/MC14011BDT/page-1", "MC14011BDT")</f>
        <v>MC14011BDT</v>
      </c>
      <c r="B27358" s="3" t="s">
        <v>95</v>
      </c>
      <c r="C27358" s="6">
        <v>4032</v>
      </c>
      <c r="D27358" s="7">
        <v>0.43</v>
      </c>
      <c r="E27358" t="s">
        <v>31</v>
      </c>
    </row>
    <row r="27359" spans="1:5" x14ac:dyDescent="0.25">
      <c r="A27359" t="str">
        <f>HYPERLINK("https://www.773grp.com/globalSearch/MC14011BFL1/page-1", "MC14011BFL1")</f>
        <v>MC14011BFL1</v>
      </c>
      <c r="B27359" s="3" t="s">
        <v>95</v>
      </c>
      <c r="C27359" s="6">
        <v>4000</v>
      </c>
      <c r="D27359" s="7">
        <v>0.43</v>
      </c>
    </row>
    <row r="27360" spans="1:5" x14ac:dyDescent="0.25">
      <c r="A27360" t="str">
        <f>HYPERLINK("https://www.773grp.com/globalSearch/MC14011BFR1/page-1", "MC14011BFR1")</f>
        <v>MC14011BFR1</v>
      </c>
      <c r="B27360" s="3" t="s">
        <v>95</v>
      </c>
      <c r="C27360" s="6">
        <v>19000</v>
      </c>
      <c r="D27360" s="7">
        <v>0.43</v>
      </c>
    </row>
    <row r="27361" spans="1:5" x14ac:dyDescent="0.25">
      <c r="A27361" t="str">
        <f>HYPERLINK("https://www.773grp.com/globalSearch/MC14011BFR2/page-1", "MC14011BFR2")</f>
        <v>MC14011BFR2</v>
      </c>
      <c r="B27361" s="3" t="s">
        <v>95</v>
      </c>
      <c r="C27361" s="6">
        <v>4000</v>
      </c>
      <c r="D27361" s="7">
        <v>0.43</v>
      </c>
    </row>
    <row r="27362" spans="1:5" x14ac:dyDescent="0.25">
      <c r="A27362" t="str">
        <f>HYPERLINK("https://www.773grp.com/globalSearch/MC14049UBD/page-1", "MC14049UBD")</f>
        <v>MC14049UBD</v>
      </c>
      <c r="B27362" s="3" t="s">
        <v>95</v>
      </c>
      <c r="C27362" s="6">
        <v>1637</v>
      </c>
      <c r="D27362" s="7">
        <v>0.43</v>
      </c>
      <c r="E27362" t="s">
        <v>31</v>
      </c>
    </row>
    <row r="27363" spans="1:5" x14ac:dyDescent="0.25">
      <c r="A27363" t="str">
        <f>HYPERLINK("https://www.773grp.com/globalSearch/MC14049UBDR2/page-1", "MC14049UBDR2")</f>
        <v>MC14049UBDR2</v>
      </c>
      <c r="B27363" s="3" t="s">
        <v>95</v>
      </c>
      <c r="C27363" s="6">
        <v>10000</v>
      </c>
      <c r="D27363" s="7">
        <v>0.43</v>
      </c>
      <c r="E27363" t="s">
        <v>31</v>
      </c>
    </row>
    <row r="27364" spans="1:5" x14ac:dyDescent="0.25">
      <c r="A27364" t="str">
        <f>HYPERLINK("https://www.773grp.com/globalSearch/MC14049UBDTEL/page-1", "MC14049UBDTEL")</f>
        <v>MC14049UBDTEL</v>
      </c>
      <c r="B27364" s="3" t="s">
        <v>95</v>
      </c>
      <c r="C27364" s="6">
        <v>3264</v>
      </c>
      <c r="D27364" s="7">
        <v>0.43</v>
      </c>
      <c r="E27364" t="s">
        <v>31</v>
      </c>
    </row>
    <row r="27365" spans="1:5" x14ac:dyDescent="0.25">
      <c r="A27365" t="str">
        <f>HYPERLINK("https://www.773grp.com/globalSearch/MC14049UBDTR2/page-1", "MC14049UBDTR2")</f>
        <v>MC14049UBDTR2</v>
      </c>
      <c r="B27365" s="3" t="s">
        <v>95</v>
      </c>
      <c r="C27365" s="6">
        <v>7500</v>
      </c>
      <c r="D27365" s="7">
        <v>0.43</v>
      </c>
      <c r="E27365" t="s">
        <v>31</v>
      </c>
    </row>
    <row r="27366" spans="1:5" x14ac:dyDescent="0.25">
      <c r="A27366" t="str">
        <f>HYPERLINK("https://www.773grp.com/globalSearch/MC14050BDT/page-1", "MC14050BDT")</f>
        <v>MC14050BDT</v>
      </c>
      <c r="B27366" s="3" t="s">
        <v>95</v>
      </c>
      <c r="C27366" s="6">
        <v>1056</v>
      </c>
      <c r="D27366" s="7">
        <v>0.43</v>
      </c>
      <c r="E27366" t="s">
        <v>31</v>
      </c>
    </row>
    <row r="27367" spans="1:5" x14ac:dyDescent="0.25">
      <c r="A27367" t="str">
        <f>HYPERLINK("https://www.773grp.com/globalSearch/MC14050BDTR2/page-1", "MC14050BDTR2")</f>
        <v>MC14050BDTR2</v>
      </c>
      <c r="B27367" s="3" t="s">
        <v>95</v>
      </c>
      <c r="C27367" s="6">
        <v>2500</v>
      </c>
      <c r="D27367" s="7">
        <v>0.43</v>
      </c>
      <c r="E27367" t="s">
        <v>31</v>
      </c>
    </row>
    <row r="27368" spans="1:5" x14ac:dyDescent="0.25">
      <c r="A27368" t="str">
        <f>HYPERLINK("https://www.773grp.com/globalSearch/MC14066BDT/page-1", "MC14066BDT")</f>
        <v>MC14066BDT</v>
      </c>
      <c r="B27368" s="3" t="s">
        <v>95</v>
      </c>
      <c r="C27368" s="6">
        <v>3490</v>
      </c>
      <c r="D27368" s="7">
        <v>0.43</v>
      </c>
      <c r="E27368" t="s">
        <v>56</v>
      </c>
    </row>
    <row r="27369" spans="1:5" x14ac:dyDescent="0.25">
      <c r="A27369" t="str">
        <f>HYPERLINK("https://www.773grp.com/globalSearch/MC14066BF/page-1", "MC14066BF")</f>
        <v>MC14066BF</v>
      </c>
      <c r="B27369" s="3" t="s">
        <v>95</v>
      </c>
      <c r="C27369" s="6">
        <v>2408</v>
      </c>
      <c r="D27369" s="7">
        <v>0.43</v>
      </c>
      <c r="E27369" t="s">
        <v>56</v>
      </c>
    </row>
    <row r="27370" spans="1:5" x14ac:dyDescent="0.25">
      <c r="A27370" t="str">
        <f>HYPERLINK("https://www.773grp.com/globalSearch/MC14066BFEL/page-1", "MC14066BFEL")</f>
        <v>MC14066BFEL</v>
      </c>
      <c r="B27370" s="3" t="s">
        <v>95</v>
      </c>
      <c r="C27370" s="6">
        <v>69981</v>
      </c>
      <c r="D27370" s="7">
        <v>0.43</v>
      </c>
      <c r="E27370" t="s">
        <v>56</v>
      </c>
    </row>
    <row r="27371" spans="1:5" x14ac:dyDescent="0.25">
      <c r="A27371" t="str">
        <f>HYPERLINK("https://www.773grp.com/globalSearch/MC14066BFL1/page-1", "MC14066BFL1")</f>
        <v>MC14066BFL1</v>
      </c>
      <c r="B27371" s="3" t="s">
        <v>95</v>
      </c>
      <c r="C27371" s="6">
        <v>78000</v>
      </c>
      <c r="D27371" s="7">
        <v>0.43</v>
      </c>
      <c r="E27371" t="s">
        <v>56</v>
      </c>
    </row>
    <row r="27372" spans="1:5" x14ac:dyDescent="0.25">
      <c r="A27372" t="str">
        <f>HYPERLINK("https://www.773grp.com/globalSearch/MC14066BFR1/page-1", "MC14066BFR1")</f>
        <v>MC14066BFR1</v>
      </c>
      <c r="B27372" s="3" t="s">
        <v>95</v>
      </c>
      <c r="C27372" s="6">
        <v>4000</v>
      </c>
      <c r="D27372" s="7">
        <v>0.43</v>
      </c>
      <c r="E27372" t="s">
        <v>56</v>
      </c>
    </row>
    <row r="27373" spans="1:5" x14ac:dyDescent="0.25">
      <c r="A27373" t="str">
        <f>HYPERLINK("https://www.773grp.com/globalSearch/MC14066BFR2/page-1", "MC14066BFR2")</f>
        <v>MC14066BFR2</v>
      </c>
      <c r="B27373" s="3" t="s">
        <v>95</v>
      </c>
      <c r="C27373" s="6">
        <v>2000</v>
      </c>
      <c r="D27373" s="7">
        <v>0.43</v>
      </c>
      <c r="E27373" t="s">
        <v>56</v>
      </c>
    </row>
    <row r="27374" spans="1:5" x14ac:dyDescent="0.25">
      <c r="A27374" t="str">
        <f>HYPERLINK("https://www.773grp.com/globalSearch/MC14066RFL2/page-1", "MC14066RFL2")</f>
        <v>MC14066RFL2</v>
      </c>
      <c r="B27374" s="3" t="s">
        <v>95</v>
      </c>
      <c r="C27374" s="6">
        <v>8000</v>
      </c>
      <c r="D27374" s="7">
        <v>0.43</v>
      </c>
    </row>
    <row r="27375" spans="1:5" x14ac:dyDescent="0.25">
      <c r="A27375" t="str">
        <f>HYPERLINK("https://www.773grp.com/globalSearch/MC14068BD/page-1", "MC14068BD")</f>
        <v>MC14068BD</v>
      </c>
      <c r="B27375" s="3" t="s">
        <v>95</v>
      </c>
      <c r="C27375" s="6">
        <v>7362</v>
      </c>
      <c r="D27375" s="7">
        <v>0.43</v>
      </c>
      <c r="E27375" t="s">
        <v>31</v>
      </c>
    </row>
    <row r="27376" spans="1:5" x14ac:dyDescent="0.25">
      <c r="A27376" t="str">
        <f>HYPERLINK("https://www.773grp.com/globalSearch/MC14068BF/page-1", "MC14068BF")</f>
        <v>MC14068BF</v>
      </c>
      <c r="B27376" s="3" t="s">
        <v>95</v>
      </c>
      <c r="C27376" s="6">
        <v>5100</v>
      </c>
      <c r="D27376" s="7">
        <v>0.43</v>
      </c>
    </row>
    <row r="27377" spans="1:5" x14ac:dyDescent="0.25">
      <c r="A27377" t="str">
        <f>HYPERLINK("https://www.773grp.com/globalSearch/MC14068BFEL/page-1", "MC14068BFEL")</f>
        <v>MC14068BFEL</v>
      </c>
      <c r="B27377" s="3" t="s">
        <v>95</v>
      </c>
      <c r="C27377" s="6">
        <v>8000</v>
      </c>
      <c r="D27377" s="7">
        <v>0.43</v>
      </c>
    </row>
    <row r="27378" spans="1:5" x14ac:dyDescent="0.25">
      <c r="A27378" t="str">
        <f>HYPERLINK("https://www.773grp.com/globalSearch/MC14069UBF/page-1", "MC14069UBF")</f>
        <v>MC14069UBF</v>
      </c>
      <c r="B27378" s="3" t="s">
        <v>95</v>
      </c>
      <c r="C27378" s="6">
        <v>2750</v>
      </c>
      <c r="D27378" s="7">
        <v>0.43</v>
      </c>
      <c r="E27378" t="s">
        <v>31</v>
      </c>
    </row>
    <row r="27379" spans="1:5" x14ac:dyDescent="0.25">
      <c r="A27379" t="str">
        <f>HYPERLINK("https://www.773grp.com/globalSearch/MC14069UBFL1/page-1", "MC14069UBFL1")</f>
        <v>MC14069UBFL1</v>
      </c>
      <c r="B27379" s="3" t="s">
        <v>95</v>
      </c>
      <c r="C27379" s="6">
        <v>3000</v>
      </c>
      <c r="D27379" s="7">
        <v>0.43</v>
      </c>
      <c r="E27379" t="s">
        <v>31</v>
      </c>
    </row>
    <row r="27380" spans="1:5" x14ac:dyDescent="0.25">
      <c r="A27380" t="str">
        <f>HYPERLINK("https://www.773grp.com/globalSearch/MC14069UBFR1/page-1", "MC14069UBFR1")</f>
        <v>MC14069UBFR1</v>
      </c>
      <c r="B27380" s="3" t="s">
        <v>95</v>
      </c>
      <c r="C27380" s="6">
        <v>8000</v>
      </c>
      <c r="D27380" s="7">
        <v>0.43</v>
      </c>
      <c r="E27380" t="s">
        <v>31</v>
      </c>
    </row>
    <row r="27381" spans="1:5" x14ac:dyDescent="0.25">
      <c r="A27381" t="str">
        <f>HYPERLINK("https://www.773grp.com/globalSearch/MC14081BF/page-1", "MC14081BF")</f>
        <v>MC14081BF</v>
      </c>
      <c r="B27381" s="3" t="s">
        <v>95</v>
      </c>
      <c r="C27381" s="6">
        <v>7375</v>
      </c>
      <c r="D27381" s="7">
        <v>0.43</v>
      </c>
      <c r="E27381" t="s">
        <v>31</v>
      </c>
    </row>
    <row r="27382" spans="1:5" x14ac:dyDescent="0.25">
      <c r="A27382" t="str">
        <f>HYPERLINK("https://www.773grp.com/globalSearch/MC14093BFR1/page-1", "MC14093BFR1")</f>
        <v>MC14093BFR1</v>
      </c>
      <c r="B27382" s="3" t="s">
        <v>95</v>
      </c>
      <c r="C27382" s="6">
        <v>6907</v>
      </c>
      <c r="D27382" s="7">
        <v>0.43</v>
      </c>
      <c r="E27382" t="s">
        <v>31</v>
      </c>
    </row>
    <row r="27383" spans="1:5" x14ac:dyDescent="0.25">
      <c r="A27383" t="str">
        <f>HYPERLINK("https://www.773grp.com/globalSearch/MC14541BDT/page-1", "MC14541BDT")</f>
        <v>MC14541BDT</v>
      </c>
      <c r="B27383" s="3" t="s">
        <v>95</v>
      </c>
      <c r="C27383" s="6">
        <v>12380</v>
      </c>
      <c r="D27383" s="7">
        <v>0.43</v>
      </c>
      <c r="E27383" t="s">
        <v>82</v>
      </c>
    </row>
    <row r="27384" spans="1:5" x14ac:dyDescent="0.25">
      <c r="A27384" t="str">
        <f>HYPERLINK("https://www.773grp.com/globalSearch/MC14541BDTR2/page-1", "MC14541BDTR2")</f>
        <v>MC14541BDTR2</v>
      </c>
      <c r="B27384" s="3" t="s">
        <v>95</v>
      </c>
      <c r="C27384" s="6">
        <v>37500</v>
      </c>
      <c r="D27384" s="7">
        <v>0.43</v>
      </c>
      <c r="E27384" t="s">
        <v>82</v>
      </c>
    </row>
    <row r="27385" spans="1:5" x14ac:dyDescent="0.25">
      <c r="A27385" t="str">
        <f>HYPERLINK("https://www.773grp.com/globalSearch/MC74AC86DT/page-1", "MC74AC86DT")</f>
        <v>MC74AC86DT</v>
      </c>
      <c r="B27385" s="3" t="s">
        <v>95</v>
      </c>
      <c r="C27385" s="6">
        <v>3588</v>
      </c>
      <c r="D27385" s="7">
        <v>0.43</v>
      </c>
      <c r="E27385" t="s">
        <v>31</v>
      </c>
    </row>
    <row r="27386" spans="1:5" x14ac:dyDescent="0.25">
      <c r="A27386" t="str">
        <f>HYPERLINK("https://www.773grp.com/globalSearch/MC74F00DR2/page-1", "MC74F00DR2")</f>
        <v>MC74F00DR2</v>
      </c>
      <c r="B27386" s="3" t="s">
        <v>95</v>
      </c>
      <c r="C27386" s="6">
        <v>12500</v>
      </c>
      <c r="D27386" s="7">
        <v>0.43</v>
      </c>
      <c r="E27386" t="s">
        <v>31</v>
      </c>
    </row>
    <row r="27387" spans="1:5" x14ac:dyDescent="0.25">
      <c r="A27387" t="str">
        <f>HYPERLINK("https://www.773grp.com/globalSearch/MC74F02MEL/page-1", "MC74F02MEL")</f>
        <v>MC74F02MEL</v>
      </c>
      <c r="B27387" s="3" t="s">
        <v>95</v>
      </c>
      <c r="C27387" s="6">
        <v>2000</v>
      </c>
      <c r="D27387" s="7">
        <v>0.43</v>
      </c>
    </row>
    <row r="27388" spans="1:5" x14ac:dyDescent="0.25">
      <c r="A27388" t="str">
        <f>HYPERLINK("https://www.773grp.com/globalSearch/MC74HC00AFL1/page-1", "MC74HC00AFL1")</f>
        <v>MC74HC00AFL1</v>
      </c>
      <c r="B27388" s="3" t="s">
        <v>95</v>
      </c>
      <c r="C27388" s="6">
        <v>10000</v>
      </c>
      <c r="D27388" s="7">
        <v>0.43</v>
      </c>
    </row>
    <row r="27389" spans="1:5" x14ac:dyDescent="0.25">
      <c r="A27389" t="str">
        <f>HYPERLINK("https://www.773grp.com/globalSearch/MC74HC00AFR1/page-1", "MC74HC00AFR1")</f>
        <v>MC74HC00AFR1</v>
      </c>
      <c r="B27389" s="3" t="s">
        <v>95</v>
      </c>
      <c r="C27389" s="6">
        <v>20000</v>
      </c>
      <c r="D27389" s="7">
        <v>0.43</v>
      </c>
    </row>
    <row r="27390" spans="1:5" x14ac:dyDescent="0.25">
      <c r="A27390" t="str">
        <f>HYPERLINK("https://www.773grp.com/globalSearch/MC74HC00AFR2/page-1", "MC74HC00AFR2")</f>
        <v>MC74HC00AFR2</v>
      </c>
      <c r="B27390" s="3" t="s">
        <v>95</v>
      </c>
      <c r="C27390" s="6">
        <v>4000</v>
      </c>
      <c r="D27390" s="7">
        <v>0.43</v>
      </c>
    </row>
    <row r="27391" spans="1:5" x14ac:dyDescent="0.25">
      <c r="A27391" t="str">
        <f>HYPERLINK("https://www.773grp.com/globalSearch/MC74HC02AF/page-1", "MC74HC02AF")</f>
        <v>MC74HC02AF</v>
      </c>
      <c r="B27391" s="3" t="s">
        <v>95</v>
      </c>
      <c r="C27391" s="6">
        <v>1914</v>
      </c>
      <c r="D27391" s="7">
        <v>0.43</v>
      </c>
      <c r="E27391" t="s">
        <v>31</v>
      </c>
    </row>
    <row r="27392" spans="1:5" x14ac:dyDescent="0.25">
      <c r="A27392" t="str">
        <f>HYPERLINK("https://www.773grp.com/globalSearch/MC74HC02AFL1/page-1", "MC74HC02AFL1")</f>
        <v>MC74HC02AFL1</v>
      </c>
      <c r="B27392" s="3" t="s">
        <v>95</v>
      </c>
      <c r="C27392" s="6">
        <v>28000</v>
      </c>
      <c r="D27392" s="7">
        <v>0.43</v>
      </c>
      <c r="E27392" t="s">
        <v>31</v>
      </c>
    </row>
    <row r="27393" spans="1:5" x14ac:dyDescent="0.25">
      <c r="A27393" t="str">
        <f>HYPERLINK("https://www.773grp.com/globalSearch/MC74HC02AFL2/page-1", "MC74HC02AFL2")</f>
        <v>MC74HC02AFL2</v>
      </c>
      <c r="B27393" s="3" t="s">
        <v>95</v>
      </c>
      <c r="C27393" s="6">
        <v>12000</v>
      </c>
      <c r="D27393" s="7">
        <v>0.43</v>
      </c>
      <c r="E27393" t="s">
        <v>31</v>
      </c>
    </row>
    <row r="27394" spans="1:5" x14ac:dyDescent="0.25">
      <c r="A27394" t="str">
        <f>HYPERLINK("https://www.773grp.com/globalSearch/MC74HC02AFR1/page-1", "MC74HC02AFR1")</f>
        <v>MC74HC02AFR1</v>
      </c>
      <c r="B27394" s="3" t="s">
        <v>95</v>
      </c>
      <c r="C27394" s="6">
        <v>49000</v>
      </c>
      <c r="D27394" s="7">
        <v>0.43</v>
      </c>
      <c r="E27394" t="s">
        <v>31</v>
      </c>
    </row>
    <row r="27395" spans="1:5" x14ac:dyDescent="0.25">
      <c r="A27395" t="str">
        <f>HYPERLINK("https://www.773grp.com/globalSearch/MC74HC02AFR2/page-1", "MC74HC02AFR2")</f>
        <v>MC74HC02AFR2</v>
      </c>
      <c r="B27395" s="3" t="s">
        <v>95</v>
      </c>
      <c r="C27395" s="6">
        <v>10000</v>
      </c>
      <c r="D27395" s="7">
        <v>0.43</v>
      </c>
      <c r="E27395" t="s">
        <v>31</v>
      </c>
    </row>
    <row r="27396" spans="1:5" x14ac:dyDescent="0.25">
      <c r="A27396" t="str">
        <f>HYPERLINK("https://www.773grp.com/globalSearch/MC74HC03AFL1/page-1", "MC74HC03AFL1")</f>
        <v>MC74HC03AFL1</v>
      </c>
      <c r="B27396" s="3" t="s">
        <v>95</v>
      </c>
      <c r="C27396" s="6">
        <v>3000</v>
      </c>
      <c r="D27396" s="7">
        <v>0.43</v>
      </c>
      <c r="E27396" t="s">
        <v>31</v>
      </c>
    </row>
    <row r="27397" spans="1:5" x14ac:dyDescent="0.25">
      <c r="A27397" t="str">
        <f>HYPERLINK("https://www.773grp.com/globalSearch/MC74HC03AFL2/page-1", "MC74HC03AFL2")</f>
        <v>MC74HC03AFL2</v>
      </c>
      <c r="B27397" s="3" t="s">
        <v>95</v>
      </c>
      <c r="C27397" s="6">
        <v>12000</v>
      </c>
      <c r="D27397" s="7">
        <v>0.43</v>
      </c>
      <c r="E27397" t="s">
        <v>31</v>
      </c>
    </row>
    <row r="27398" spans="1:5" x14ac:dyDescent="0.25">
      <c r="A27398" t="str">
        <f>HYPERLINK("https://www.773grp.com/globalSearch/MC74HC03AFR2/page-1", "MC74HC03AFR2")</f>
        <v>MC74HC03AFR2</v>
      </c>
      <c r="B27398" s="3" t="s">
        <v>95</v>
      </c>
      <c r="C27398" s="6">
        <v>4000</v>
      </c>
      <c r="D27398" s="7">
        <v>0.43</v>
      </c>
      <c r="E27398" t="s">
        <v>31</v>
      </c>
    </row>
    <row r="27399" spans="1:5" x14ac:dyDescent="0.25">
      <c r="A27399" t="str">
        <f>HYPERLINK("https://www.773grp.com/globalSearch/MC74HC04AFL1/page-1", "MC74HC04AFL1")</f>
        <v>MC74HC04AFL1</v>
      </c>
      <c r="B27399" s="3" t="s">
        <v>95</v>
      </c>
      <c r="C27399" s="6">
        <v>23980</v>
      </c>
      <c r="D27399" s="7">
        <v>0.43</v>
      </c>
      <c r="E27399" t="s">
        <v>31</v>
      </c>
    </row>
    <row r="27400" spans="1:5" x14ac:dyDescent="0.25">
      <c r="A27400" t="str">
        <f>HYPERLINK("https://www.773grp.com/globalSearch/MC74HC04AFL2/page-1", "MC74HC04AFL2")</f>
        <v>MC74HC04AFL2</v>
      </c>
      <c r="B27400" s="3" t="s">
        <v>95</v>
      </c>
      <c r="C27400" s="6">
        <v>16000</v>
      </c>
      <c r="D27400" s="7">
        <v>0.43</v>
      </c>
      <c r="E27400" t="s">
        <v>31</v>
      </c>
    </row>
    <row r="27401" spans="1:5" x14ac:dyDescent="0.25">
      <c r="A27401" t="str">
        <f>HYPERLINK("https://www.773grp.com/globalSearch/MC74HC04AFR1/page-1", "MC74HC04AFR1")</f>
        <v>MC74HC04AFR1</v>
      </c>
      <c r="B27401" s="3" t="s">
        <v>95</v>
      </c>
      <c r="C27401" s="6">
        <v>2000</v>
      </c>
      <c r="D27401" s="7">
        <v>0.43</v>
      </c>
      <c r="E27401" t="s">
        <v>31</v>
      </c>
    </row>
    <row r="27402" spans="1:5" x14ac:dyDescent="0.25">
      <c r="A27402" t="str">
        <f>HYPERLINK("https://www.773grp.com/globalSearch/MC74HC04AFR2/page-1", "MC74HC04AFR2")</f>
        <v>MC74HC04AFR2</v>
      </c>
      <c r="B27402" s="3" t="s">
        <v>95</v>
      </c>
      <c r="C27402" s="6">
        <v>4000</v>
      </c>
      <c r="D27402" s="7">
        <v>0.43</v>
      </c>
      <c r="E27402" t="s">
        <v>31</v>
      </c>
    </row>
    <row r="27403" spans="1:5" x14ac:dyDescent="0.25">
      <c r="A27403" t="str">
        <f>HYPERLINK("https://www.773grp.com/globalSearch/MC74HC05ADG/page-1", "MC74HC05ADG")</f>
        <v>MC74HC05ADG</v>
      </c>
      <c r="B27403" s="3" t="s">
        <v>95</v>
      </c>
      <c r="C27403" s="6">
        <v>8768</v>
      </c>
      <c r="D27403" s="7">
        <v>0.43</v>
      </c>
    </row>
    <row r="27404" spans="1:5" x14ac:dyDescent="0.25">
      <c r="A27404" t="str">
        <f>HYPERLINK("https://www.773grp.com/globalSearch/MC74HC05ADR2G/page-1", "MC74HC05ADR2G")</f>
        <v>MC74HC05ADR2G</v>
      </c>
      <c r="B27404" s="3" t="s">
        <v>95</v>
      </c>
      <c r="C27404" s="6">
        <v>44791</v>
      </c>
      <c r="D27404" s="7">
        <v>0.43</v>
      </c>
      <c r="E27404" t="s">
        <v>31</v>
      </c>
    </row>
    <row r="27405" spans="1:5" x14ac:dyDescent="0.25">
      <c r="A27405" t="str">
        <f>HYPERLINK("https://www.773grp.com/globalSearch/MC74HC05ADTG/page-1", "MC74HC05ADTG")</f>
        <v>MC74HC05ADTG</v>
      </c>
      <c r="B27405" s="3" t="s">
        <v>95</v>
      </c>
      <c r="C27405" s="6">
        <v>42196</v>
      </c>
      <c r="D27405" s="7">
        <v>0.43</v>
      </c>
    </row>
    <row r="27406" spans="1:5" x14ac:dyDescent="0.25">
      <c r="A27406" t="str">
        <f>HYPERLINK("https://www.773grp.com/globalSearch/MC74HC05ADTR2G/page-1", "MC74HC05ADTR2G")</f>
        <v>MC74HC05ADTR2G</v>
      </c>
      <c r="B27406" s="3" t="s">
        <v>95</v>
      </c>
      <c r="C27406" s="6">
        <v>7500</v>
      </c>
      <c r="D27406" s="7">
        <v>0.43</v>
      </c>
      <c r="E27406" t="s">
        <v>31</v>
      </c>
    </row>
    <row r="27407" spans="1:5" x14ac:dyDescent="0.25">
      <c r="A27407" t="str">
        <f>HYPERLINK("https://www.773grp.com/globalSearch/MC74HC08AFL2/page-1", "MC74HC08AFL2")</f>
        <v>MC74HC08AFL2</v>
      </c>
      <c r="B27407" s="3" t="s">
        <v>95</v>
      </c>
      <c r="C27407" s="6">
        <v>4000</v>
      </c>
      <c r="D27407" s="7">
        <v>0.43</v>
      </c>
    </row>
    <row r="27408" spans="1:5" x14ac:dyDescent="0.25">
      <c r="A27408" t="str">
        <f>HYPERLINK("https://www.773grp.com/globalSearch/MC74HC08AFR1/page-1", "MC74HC08AFR1")</f>
        <v>MC74HC08AFR1</v>
      </c>
      <c r="B27408" s="3" t="s">
        <v>95</v>
      </c>
      <c r="C27408" s="6">
        <v>5000</v>
      </c>
      <c r="D27408" s="7">
        <v>0.43</v>
      </c>
    </row>
    <row r="27409" spans="1:5" x14ac:dyDescent="0.25">
      <c r="A27409" t="str">
        <f>HYPERLINK("https://www.773grp.com/globalSearch/MC74HC08AFR2/page-1", "MC74HC08AFR2")</f>
        <v>MC74HC08AFR2</v>
      </c>
      <c r="B27409" s="3" t="s">
        <v>95</v>
      </c>
      <c r="C27409" s="6">
        <v>16000</v>
      </c>
      <c r="D27409" s="7">
        <v>0.43</v>
      </c>
    </row>
    <row r="27410" spans="1:5" x14ac:dyDescent="0.25">
      <c r="A27410" t="str">
        <f>HYPERLINK("https://www.773grp.com/globalSearch/MC74HC10N/page-1", "MC74HC10N")</f>
        <v>MC74HC10N</v>
      </c>
      <c r="B27410" s="3" t="s">
        <v>95</v>
      </c>
      <c r="C27410" s="6">
        <v>26</v>
      </c>
      <c r="D27410" s="7">
        <v>0.43</v>
      </c>
      <c r="E27410" t="s">
        <v>31</v>
      </c>
    </row>
    <row r="27411" spans="1:5" x14ac:dyDescent="0.25">
      <c r="A27411" t="str">
        <f>HYPERLINK("https://www.773grp.com/globalSearch/MC74HC112ADG/page-1", "MC74HC112ADG")</f>
        <v>MC74HC112ADG</v>
      </c>
      <c r="B27411" s="3" t="s">
        <v>95</v>
      </c>
      <c r="C27411" s="6">
        <v>31708</v>
      </c>
      <c r="D27411" s="7">
        <v>0.43</v>
      </c>
    </row>
    <row r="27412" spans="1:5" x14ac:dyDescent="0.25">
      <c r="A27412" t="str">
        <f>HYPERLINK("https://www.773grp.com/globalSearch/MC74HC112ADR2G/page-1", "MC74HC112ADR2G")</f>
        <v>MC74HC112ADR2G</v>
      </c>
      <c r="B27412" s="3" t="s">
        <v>95</v>
      </c>
      <c r="C27412" s="6">
        <v>20541</v>
      </c>
      <c r="D27412" s="7">
        <v>0.43</v>
      </c>
      <c r="E27412" t="s">
        <v>35</v>
      </c>
    </row>
    <row r="27413" spans="1:5" x14ac:dyDescent="0.25">
      <c r="A27413" t="str">
        <f>HYPERLINK("https://www.773grp.com/globalSearch/MC74HC112ADTG/page-1", "MC74HC112ADTG")</f>
        <v>MC74HC112ADTG</v>
      </c>
      <c r="B27413" s="3" t="s">
        <v>95</v>
      </c>
      <c r="C27413" s="6">
        <v>23904</v>
      </c>
      <c r="D27413" s="7">
        <v>0.43</v>
      </c>
    </row>
    <row r="27414" spans="1:5" x14ac:dyDescent="0.25">
      <c r="A27414" t="str">
        <f>HYPERLINK("https://www.773grp.com/globalSearch/MC74HC112ADTR2G/page-1", "MC74HC112ADTR2G")</f>
        <v>MC74HC112ADTR2G</v>
      </c>
      <c r="B27414" s="3" t="s">
        <v>95</v>
      </c>
      <c r="C27414" s="6">
        <v>7475</v>
      </c>
      <c r="D27414" s="7">
        <v>0.43</v>
      </c>
      <c r="E27414" t="s">
        <v>35</v>
      </c>
    </row>
    <row r="27415" spans="1:5" x14ac:dyDescent="0.25">
      <c r="A27415" t="str">
        <f>HYPERLINK("https://www.773grp.com/globalSearch/MC74HC11D/page-1", "MC74HC11D")</f>
        <v>MC74HC11D</v>
      </c>
      <c r="B27415" s="3" t="s">
        <v>95</v>
      </c>
      <c r="C27415" s="6">
        <v>29144</v>
      </c>
      <c r="D27415" s="7">
        <v>0.43</v>
      </c>
      <c r="E27415" t="s">
        <v>31</v>
      </c>
    </row>
    <row r="27416" spans="1:5" x14ac:dyDescent="0.25">
      <c r="A27416" t="str">
        <f>HYPERLINK("https://www.773grp.com/globalSearch/MC74HC11N/page-1", "MC74HC11N")</f>
        <v>MC74HC11N</v>
      </c>
      <c r="B27416" s="3" t="s">
        <v>95</v>
      </c>
      <c r="C27416" s="6">
        <v>830</v>
      </c>
      <c r="D27416" s="7">
        <v>0.43</v>
      </c>
      <c r="E27416" t="s">
        <v>31</v>
      </c>
    </row>
    <row r="27417" spans="1:5" x14ac:dyDescent="0.25">
      <c r="A27417" t="str">
        <f>HYPERLINK("https://www.773grp.com/globalSearch/MC74HC125AN/page-1", "MC74HC125AN")</f>
        <v>MC74HC125AN</v>
      </c>
      <c r="B27417" s="3" t="s">
        <v>95</v>
      </c>
      <c r="C27417" s="6">
        <v>10831</v>
      </c>
      <c r="D27417" s="7">
        <v>0.43</v>
      </c>
      <c r="E27417" t="s">
        <v>14</v>
      </c>
    </row>
    <row r="27418" spans="1:5" x14ac:dyDescent="0.25">
      <c r="A27418" t="str">
        <f>HYPERLINK("https://www.773grp.com/globalSearch/MC74HC126AN/page-1", "MC74HC126AN")</f>
        <v>MC74HC126AN</v>
      </c>
      <c r="B27418" s="3" t="s">
        <v>95</v>
      </c>
      <c r="C27418" s="6">
        <v>2000</v>
      </c>
      <c r="D27418" s="7">
        <v>0.43</v>
      </c>
      <c r="E27418" t="s">
        <v>14</v>
      </c>
    </row>
    <row r="27419" spans="1:5" x14ac:dyDescent="0.25">
      <c r="A27419" t="str">
        <f>HYPERLINK("https://www.773grp.com/globalSearch/MC74HC132AN/page-1", "MC74HC132AN")</f>
        <v>MC74HC132AN</v>
      </c>
      <c r="B27419" s="3" t="s">
        <v>95</v>
      </c>
      <c r="C27419" s="6">
        <v>41089</v>
      </c>
      <c r="D27419" s="7">
        <v>0.43</v>
      </c>
      <c r="E27419" t="s">
        <v>31</v>
      </c>
    </row>
    <row r="27420" spans="1:5" x14ac:dyDescent="0.25">
      <c r="A27420" t="str">
        <f>HYPERLINK("https://www.773grp.com/globalSearch/MC74HC151FR1/page-1", "MC74HC151FR1")</f>
        <v>MC74HC151FR1</v>
      </c>
      <c r="B27420" s="3" t="s">
        <v>95</v>
      </c>
      <c r="C27420" s="6">
        <v>1000</v>
      </c>
      <c r="D27420" s="7">
        <v>0.43</v>
      </c>
    </row>
    <row r="27421" spans="1:5" x14ac:dyDescent="0.25">
      <c r="A27421" t="str">
        <f>HYPERLINK("https://www.773grp.com/globalSearch/MC74HC157AN/page-1", "MC74HC157AN")</f>
        <v>MC74HC157AN</v>
      </c>
      <c r="B27421" s="3" t="s">
        <v>95</v>
      </c>
      <c r="C27421" s="6">
        <v>38400</v>
      </c>
      <c r="D27421" s="7">
        <v>0.43</v>
      </c>
      <c r="E27421" t="s">
        <v>20</v>
      </c>
    </row>
    <row r="27422" spans="1:5" x14ac:dyDescent="0.25">
      <c r="A27422" t="str">
        <f>HYPERLINK("https://www.773grp.com/globalSearch/MC74HC20F/page-1", "MC74HC20F")</f>
        <v>MC74HC20F</v>
      </c>
      <c r="B27422" s="3" t="s">
        <v>95</v>
      </c>
      <c r="C27422" s="6">
        <v>1</v>
      </c>
      <c r="D27422" s="7">
        <v>0.43</v>
      </c>
    </row>
    <row r="27423" spans="1:5" x14ac:dyDescent="0.25">
      <c r="A27423" t="str">
        <f>HYPERLINK("https://www.773grp.com/globalSearch/MC74HC20FL1/page-1", "MC74HC20FL1")</f>
        <v>MC74HC20FL1</v>
      </c>
      <c r="B27423" s="3" t="s">
        <v>95</v>
      </c>
      <c r="C27423" s="6">
        <v>3000</v>
      </c>
      <c r="D27423" s="7">
        <v>0.43</v>
      </c>
    </row>
    <row r="27424" spans="1:5" x14ac:dyDescent="0.25">
      <c r="A27424" t="str">
        <f>HYPERLINK("https://www.773grp.com/globalSearch/MC74HC20FR1/page-1", "MC74HC20FR1")</f>
        <v>MC74HC20FR1</v>
      </c>
      <c r="B27424" s="3" t="s">
        <v>95</v>
      </c>
      <c r="C27424" s="6">
        <v>2000</v>
      </c>
      <c r="D27424" s="7">
        <v>0.43</v>
      </c>
    </row>
    <row r="27425" spans="1:5" x14ac:dyDescent="0.25">
      <c r="A27425" t="str">
        <f>HYPERLINK("https://www.773grp.com/globalSearch/MC74HC20N/page-1", "MC74HC20N")</f>
        <v>MC74HC20N</v>
      </c>
      <c r="B27425" s="3" t="s">
        <v>95</v>
      </c>
      <c r="C27425" s="6">
        <v>45</v>
      </c>
      <c r="D27425" s="7">
        <v>0.43</v>
      </c>
      <c r="E27425" t="s">
        <v>31</v>
      </c>
    </row>
    <row r="27426" spans="1:5" x14ac:dyDescent="0.25">
      <c r="A27426" t="str">
        <f>HYPERLINK("https://www.773grp.com/globalSearch/MC74HC27D/page-1", "MC74HC27D")</f>
        <v>MC74HC27D</v>
      </c>
      <c r="B27426" s="3" t="s">
        <v>95</v>
      </c>
      <c r="C27426" s="6">
        <v>1313</v>
      </c>
      <c r="D27426" s="7">
        <v>0.43</v>
      </c>
      <c r="E27426" t="s">
        <v>31</v>
      </c>
    </row>
    <row r="27427" spans="1:5" x14ac:dyDescent="0.25">
      <c r="A27427" t="str">
        <f>HYPERLINK("https://www.773grp.com/globalSearch/MC74HC27FR1/page-1", "MC74HC27FR1")</f>
        <v>MC74HC27FR1</v>
      </c>
      <c r="B27427" s="3" t="s">
        <v>95</v>
      </c>
      <c r="C27427" s="6">
        <v>9000</v>
      </c>
      <c r="D27427" s="7">
        <v>0.43</v>
      </c>
    </row>
    <row r="27428" spans="1:5" x14ac:dyDescent="0.25">
      <c r="A27428" t="str">
        <f>HYPERLINK("https://www.773grp.com/globalSearch/MC74HC27FR2/page-1", "MC74HC27FR2")</f>
        <v>MC74HC27FR2</v>
      </c>
      <c r="B27428" s="3" t="s">
        <v>95</v>
      </c>
      <c r="C27428" s="6">
        <v>2000</v>
      </c>
      <c r="D27428" s="7">
        <v>0.43</v>
      </c>
    </row>
    <row r="27429" spans="1:5" x14ac:dyDescent="0.25">
      <c r="A27429" t="str">
        <f>HYPERLINK("https://www.773grp.com/globalSearch/MC74HC30DT/page-1", "MC74HC30DT")</f>
        <v>MC74HC30DT</v>
      </c>
      <c r="B27429" s="3" t="s">
        <v>95</v>
      </c>
      <c r="C27429" s="6">
        <v>3359</v>
      </c>
      <c r="D27429" s="7">
        <v>0.43</v>
      </c>
    </row>
    <row r="27430" spans="1:5" x14ac:dyDescent="0.25">
      <c r="A27430" t="str">
        <f>HYPERLINK("https://www.773grp.com/globalSearch/MC74HC30F/page-1", "MC74HC30F")</f>
        <v>MC74HC30F</v>
      </c>
      <c r="B27430" s="3" t="s">
        <v>95</v>
      </c>
      <c r="C27430" s="6">
        <v>6141</v>
      </c>
      <c r="D27430" s="7">
        <v>0.43</v>
      </c>
    </row>
    <row r="27431" spans="1:5" x14ac:dyDescent="0.25">
      <c r="A27431" t="str">
        <f>HYPERLINK("https://www.773grp.com/globalSearch/MC74HC30FL1/page-1", "MC74HC30FL1")</f>
        <v>MC74HC30FL1</v>
      </c>
      <c r="B27431" s="3" t="s">
        <v>95</v>
      </c>
      <c r="C27431" s="6">
        <v>5000</v>
      </c>
      <c r="D27431" s="7">
        <v>0.43</v>
      </c>
    </row>
    <row r="27432" spans="1:5" x14ac:dyDescent="0.25">
      <c r="A27432" t="str">
        <f>HYPERLINK("https://www.773grp.com/globalSearch/MC74HC30FR2/page-1", "MC74HC30FR2")</f>
        <v>MC74HC30FR2</v>
      </c>
      <c r="B27432" s="3" t="s">
        <v>95</v>
      </c>
      <c r="C27432" s="6">
        <v>2000</v>
      </c>
      <c r="D27432" s="7">
        <v>0.43</v>
      </c>
    </row>
    <row r="27433" spans="1:5" x14ac:dyDescent="0.25">
      <c r="A27433" t="str">
        <f>HYPERLINK("https://www.773grp.com/globalSearch/MC74HC32AFL1/page-1", "MC74HC32AFL1")</f>
        <v>MC74HC32AFL1</v>
      </c>
      <c r="B27433" s="3" t="s">
        <v>95</v>
      </c>
      <c r="C27433" s="6">
        <v>1000</v>
      </c>
      <c r="D27433" s="7">
        <v>0.43</v>
      </c>
    </row>
    <row r="27434" spans="1:5" x14ac:dyDescent="0.25">
      <c r="A27434" t="str">
        <f>HYPERLINK("https://www.773grp.com/globalSearch/MC74HC32AFR1/page-1", "MC74HC32AFR1")</f>
        <v>MC74HC32AFR1</v>
      </c>
      <c r="B27434" s="3" t="s">
        <v>95</v>
      </c>
      <c r="C27434" s="6">
        <v>36000</v>
      </c>
      <c r="D27434" s="7">
        <v>0.43</v>
      </c>
    </row>
    <row r="27435" spans="1:5" x14ac:dyDescent="0.25">
      <c r="A27435" t="str">
        <f>HYPERLINK("https://www.773grp.com/globalSearch/MC74HC32AFR2/page-1", "MC74HC32AFR2")</f>
        <v>MC74HC32AFR2</v>
      </c>
      <c r="B27435" s="3" t="s">
        <v>95</v>
      </c>
      <c r="C27435" s="6">
        <v>2000</v>
      </c>
      <c r="D27435" s="7">
        <v>0.43</v>
      </c>
    </row>
    <row r="27436" spans="1:5" x14ac:dyDescent="0.25">
      <c r="A27436" t="str">
        <f>HYPERLINK("https://www.773grp.com/globalSearch/MC74HC4049FL1/page-1", "MC74HC4049FL1")</f>
        <v>MC74HC4049FL1</v>
      </c>
      <c r="B27436" s="3" t="s">
        <v>95</v>
      </c>
      <c r="C27436" s="6">
        <v>6000</v>
      </c>
      <c r="D27436" s="7">
        <v>0.43</v>
      </c>
    </row>
    <row r="27437" spans="1:5" x14ac:dyDescent="0.25">
      <c r="A27437" t="str">
        <f>HYPERLINK("https://www.773grp.com/globalSearch/MC74HC4094ADR2G/page-1", "MC74HC4094ADR2G")</f>
        <v>MC74HC4094ADR2G</v>
      </c>
      <c r="B27437" s="3" t="s">
        <v>95</v>
      </c>
      <c r="C27437" s="6">
        <v>5000</v>
      </c>
      <c r="D27437" s="7">
        <v>0.43</v>
      </c>
      <c r="E27437" t="s">
        <v>32</v>
      </c>
    </row>
    <row r="27438" spans="1:5" x14ac:dyDescent="0.25">
      <c r="A27438" t="str">
        <f>HYPERLINK("https://www.773grp.com/globalSearch/MC74HC4094ADTR2G/page-1", "MC74HC4094ADTR2G")</f>
        <v>MC74HC4094ADTR2G</v>
      </c>
      <c r="B27438" s="3" t="s">
        <v>95</v>
      </c>
      <c r="C27438" s="6">
        <v>5000</v>
      </c>
      <c r="D27438" s="7">
        <v>0.43</v>
      </c>
      <c r="E27438" t="s">
        <v>32</v>
      </c>
    </row>
    <row r="27439" spans="1:5" x14ac:dyDescent="0.25">
      <c r="A27439" t="str">
        <f>HYPERLINK("https://www.773grp.com/globalSearch/MC74HC595ADR2/page-1", "MC74HC595ADR2")</f>
        <v>MC74HC595ADR2</v>
      </c>
      <c r="B27439" s="3" t="s">
        <v>95</v>
      </c>
      <c r="C27439" s="6">
        <v>90290</v>
      </c>
      <c r="D27439" s="7">
        <v>0.43</v>
      </c>
      <c r="E27439" t="s">
        <v>32</v>
      </c>
    </row>
    <row r="27440" spans="1:5" x14ac:dyDescent="0.25">
      <c r="A27440" t="str">
        <f>HYPERLINK("https://www.773grp.com/globalSearch/MC74HC595AF/page-1", "MC74HC595AF")</f>
        <v>MC74HC595AF</v>
      </c>
      <c r="B27440" s="3" t="s">
        <v>95</v>
      </c>
      <c r="C27440" s="6">
        <v>5300</v>
      </c>
      <c r="D27440" s="7">
        <v>0.43</v>
      </c>
    </row>
    <row r="27441" spans="1:5" x14ac:dyDescent="0.25">
      <c r="A27441" t="str">
        <f>HYPERLINK("https://www.773grp.com/globalSearch/MC74HC86AFL1/page-1", "MC74HC86AFL1")</f>
        <v>MC74HC86AFL1</v>
      </c>
      <c r="B27441" s="3" t="s">
        <v>95</v>
      </c>
      <c r="C27441" s="6">
        <v>11000</v>
      </c>
      <c r="D27441" s="7">
        <v>0.43</v>
      </c>
    </row>
    <row r="27442" spans="1:5" x14ac:dyDescent="0.25">
      <c r="A27442" t="str">
        <f>HYPERLINK("https://www.773grp.com/globalSearch/MC74HC86AFR1/page-1", "MC74HC86AFR1")</f>
        <v>MC74HC86AFR1</v>
      </c>
      <c r="B27442" s="3" t="s">
        <v>95</v>
      </c>
      <c r="C27442" s="6">
        <v>2000</v>
      </c>
      <c r="D27442" s="7">
        <v>0.43</v>
      </c>
    </row>
    <row r="27443" spans="1:5" x14ac:dyDescent="0.25">
      <c r="A27443" t="str">
        <f>HYPERLINK("https://www.773grp.com/globalSearch/MC74HC86AFR2/page-1", "MC74HC86AFR2")</f>
        <v>MC74HC86AFR2</v>
      </c>
      <c r="B27443" s="3" t="s">
        <v>95</v>
      </c>
      <c r="C27443" s="6">
        <v>20000</v>
      </c>
      <c r="D27443" s="7">
        <v>0.43</v>
      </c>
    </row>
    <row r="27444" spans="1:5" x14ac:dyDescent="0.25">
      <c r="A27444" t="str">
        <f>HYPERLINK("https://www.773grp.com/globalSearch/MC74HCO3AFR1/page-1", "MC74HCO3AFR1")</f>
        <v>MC74HCO3AFR1</v>
      </c>
      <c r="B27444" s="3" t="s">
        <v>95</v>
      </c>
      <c r="C27444" s="6">
        <v>5000</v>
      </c>
      <c r="D27444" s="7">
        <v>0.43</v>
      </c>
    </row>
    <row r="27445" spans="1:5" x14ac:dyDescent="0.25">
      <c r="A27445" t="str">
        <f>HYPERLINK("https://www.773grp.com/globalSearch/MC74HCT00AD/page-1", "MC74HCT00AD")</f>
        <v>MC74HCT00AD</v>
      </c>
      <c r="B27445" s="3" t="s">
        <v>95</v>
      </c>
      <c r="C27445" s="6">
        <v>417</v>
      </c>
      <c r="D27445" s="7">
        <v>0.43</v>
      </c>
      <c r="E27445" t="s">
        <v>31</v>
      </c>
    </row>
    <row r="27446" spans="1:5" x14ac:dyDescent="0.25">
      <c r="A27446" t="str">
        <f>HYPERLINK("https://www.773grp.com/globalSearch/MC74HCT00ADT/page-1", "MC74HCT00ADT")</f>
        <v>MC74HCT00ADT</v>
      </c>
      <c r="B27446" s="3" t="s">
        <v>95</v>
      </c>
      <c r="C27446" s="6">
        <v>5137</v>
      </c>
      <c r="D27446" s="7">
        <v>0.43</v>
      </c>
    </row>
    <row r="27447" spans="1:5" x14ac:dyDescent="0.25">
      <c r="A27447" t="str">
        <f>HYPERLINK("https://www.773grp.com/globalSearch/MC74HCT00ADTR2/page-1", "MC74HCT00ADTR2")</f>
        <v>MC74HCT00ADTR2</v>
      </c>
      <c r="B27447" s="3" t="s">
        <v>95</v>
      </c>
      <c r="C27447" s="6">
        <v>32500</v>
      </c>
      <c r="D27447" s="7">
        <v>0.43</v>
      </c>
    </row>
    <row r="27448" spans="1:5" x14ac:dyDescent="0.25">
      <c r="A27448" t="str">
        <f>HYPERLINK("https://www.773grp.com/globalSearch/MC74HCT00AF/page-1", "MC74HCT00AF")</f>
        <v>MC74HCT00AF</v>
      </c>
      <c r="B27448" s="3" t="s">
        <v>95</v>
      </c>
      <c r="C27448" s="6">
        <v>537</v>
      </c>
      <c r="D27448" s="7">
        <v>0.43</v>
      </c>
    </row>
    <row r="27449" spans="1:5" x14ac:dyDescent="0.25">
      <c r="A27449" t="str">
        <f>HYPERLINK("https://www.773grp.com/globalSearch/MC74HCT00AN/page-1", "MC74HCT00AN")</f>
        <v>MC74HCT00AN</v>
      </c>
      <c r="B27449" s="3" t="s">
        <v>95</v>
      </c>
      <c r="C27449" s="6">
        <v>5429</v>
      </c>
      <c r="D27449" s="7">
        <v>0.43</v>
      </c>
      <c r="E27449" t="s">
        <v>31</v>
      </c>
    </row>
    <row r="27450" spans="1:5" x14ac:dyDescent="0.25">
      <c r="A27450" t="str">
        <f>HYPERLINK("https://www.773grp.com/globalSearch/MC74HCT08AD/page-1", "MC74HCT08AD")</f>
        <v>MC74HCT08AD</v>
      </c>
      <c r="B27450" s="3" t="s">
        <v>95</v>
      </c>
      <c r="C27450" s="6">
        <v>1929</v>
      </c>
      <c r="D27450" s="7">
        <v>0.43</v>
      </c>
      <c r="E27450" t="s">
        <v>31</v>
      </c>
    </row>
    <row r="27451" spans="1:5" x14ac:dyDescent="0.25">
      <c r="A27451" t="str">
        <f>HYPERLINK("https://www.773grp.com/globalSearch/MC74HCT08ADG/page-1", "MC74HCT08ADG")</f>
        <v>MC74HCT08ADG</v>
      </c>
      <c r="B27451" s="3" t="s">
        <v>95</v>
      </c>
      <c r="C27451" s="6">
        <v>39087</v>
      </c>
      <c r="D27451" s="7">
        <v>0.43</v>
      </c>
    </row>
    <row r="27452" spans="1:5" x14ac:dyDescent="0.25">
      <c r="A27452" t="str">
        <f>HYPERLINK("https://www.773grp.com/globalSearch/MC74HCT08ADR2/page-1", "MC74HCT08ADR2")</f>
        <v>MC74HCT08ADR2</v>
      </c>
      <c r="B27452" s="3" t="s">
        <v>95</v>
      </c>
      <c r="C27452" s="6">
        <v>22500</v>
      </c>
      <c r="D27452" s="7">
        <v>0.43</v>
      </c>
      <c r="E27452" t="s">
        <v>31</v>
      </c>
    </row>
    <row r="27453" spans="1:5" x14ac:dyDescent="0.25">
      <c r="A27453" t="str">
        <f>HYPERLINK("https://www.773grp.com/globalSearch/MC74HCT08ADR2G/page-1", "MC74HCT08ADR2G")</f>
        <v>MC74HCT08ADR2G</v>
      </c>
      <c r="B27453" s="3" t="s">
        <v>95</v>
      </c>
      <c r="C27453" s="6">
        <v>1565580</v>
      </c>
      <c r="D27453" s="7">
        <v>0.43</v>
      </c>
      <c r="E27453" t="s">
        <v>31</v>
      </c>
    </row>
    <row r="27454" spans="1:5" x14ac:dyDescent="0.25">
      <c r="A27454" t="str">
        <f>HYPERLINK("https://www.773grp.com/globalSearch/MC74HCT08ADTG/page-1", "MC74HCT08ADTG")</f>
        <v>MC74HCT08ADTG</v>
      </c>
      <c r="B27454" s="3" t="s">
        <v>95</v>
      </c>
      <c r="C27454" s="6">
        <v>38386</v>
      </c>
      <c r="D27454" s="7">
        <v>0.43</v>
      </c>
    </row>
    <row r="27455" spans="1:5" x14ac:dyDescent="0.25">
      <c r="A27455" t="str">
        <f>HYPERLINK("https://www.773grp.com/globalSearch/MC74HCT08ADTR2G/page-1", "MC74HCT08ADTR2G")</f>
        <v>MC74HCT08ADTR2G</v>
      </c>
      <c r="B27455" s="3" t="s">
        <v>95</v>
      </c>
      <c r="C27455" s="6">
        <v>56946</v>
      </c>
      <c r="D27455" s="7">
        <v>0.43</v>
      </c>
      <c r="E27455" t="s">
        <v>31</v>
      </c>
    </row>
    <row r="27456" spans="1:5" x14ac:dyDescent="0.25">
      <c r="A27456" t="str">
        <f>HYPERLINK("https://www.773grp.com/globalSearch/MC74HCT14ADR2/page-1", "MC74HCT14ADR2")</f>
        <v>MC74HCT14ADR2</v>
      </c>
      <c r="B27456" s="3" t="s">
        <v>95</v>
      </c>
      <c r="C27456" s="6">
        <v>4507</v>
      </c>
      <c r="D27456" s="7">
        <v>0.43</v>
      </c>
      <c r="E27456" t="s">
        <v>31</v>
      </c>
    </row>
    <row r="27457" spans="1:5" x14ac:dyDescent="0.25">
      <c r="A27457" t="str">
        <f>HYPERLINK("https://www.773grp.com/globalSearch/MC74HCT14ADT/page-1", "MC74HCT14ADT")</f>
        <v>MC74HCT14ADT</v>
      </c>
      <c r="B27457" s="3" t="s">
        <v>95</v>
      </c>
      <c r="C27457" s="6">
        <v>13108</v>
      </c>
      <c r="D27457" s="7">
        <v>0.43</v>
      </c>
      <c r="E27457" t="s">
        <v>31</v>
      </c>
    </row>
    <row r="27458" spans="1:5" x14ac:dyDescent="0.25">
      <c r="A27458" t="str">
        <f>HYPERLINK("https://www.773grp.com/globalSearch/MC74HCT32ADR2G/page-1", "MC74HCT32ADR2G")</f>
        <v>MC74HCT32ADR2G</v>
      </c>
      <c r="B27458" s="3" t="s">
        <v>95</v>
      </c>
      <c r="C27458" s="6">
        <v>7500</v>
      </c>
      <c r="D27458" s="7">
        <v>0.43</v>
      </c>
    </row>
    <row r="27459" spans="1:5" x14ac:dyDescent="0.25">
      <c r="A27459" t="str">
        <f>HYPERLINK("https://www.773grp.com/globalSearch/MC74HCT32ADTR2G/page-1", "MC74HCT32ADTR2G")</f>
        <v>MC74HCT32ADTR2G</v>
      </c>
      <c r="B27459" s="3" t="s">
        <v>95</v>
      </c>
      <c r="C27459" s="6">
        <v>744</v>
      </c>
      <c r="D27459" s="7">
        <v>0.43</v>
      </c>
    </row>
    <row r="27460" spans="1:5" x14ac:dyDescent="0.25">
      <c r="A27460" t="str">
        <f>HYPERLINK("https://www.773grp.com/globalSearch/MC74HCT32AN/page-1", "MC74HCT32AN")</f>
        <v>MC74HCT32AN</v>
      </c>
      <c r="B27460" s="3" t="s">
        <v>95</v>
      </c>
      <c r="C27460" s="6">
        <v>28584</v>
      </c>
      <c r="D27460" s="7">
        <v>0.43</v>
      </c>
      <c r="E27460" t="s">
        <v>31</v>
      </c>
    </row>
    <row r="27461" spans="1:5" x14ac:dyDescent="0.25">
      <c r="A27461" t="str">
        <f>HYPERLINK("https://www.773grp.com/globalSearch/MC74HCU04AFL1/page-1", "MC74HCU04AFL1")</f>
        <v>MC74HCU04AFL1</v>
      </c>
      <c r="B27461" s="3" t="s">
        <v>95</v>
      </c>
      <c r="C27461" s="6">
        <v>900</v>
      </c>
      <c r="D27461" s="7">
        <v>0.43</v>
      </c>
    </row>
    <row r="27462" spans="1:5" x14ac:dyDescent="0.25">
      <c r="A27462" t="str">
        <f>HYPERLINK("https://www.773grp.com/globalSearch/MC74HCU04AFL2/page-1", "MC74HCU04AFL2")</f>
        <v>MC74HCU04AFL2</v>
      </c>
      <c r="B27462" s="3" t="s">
        <v>95</v>
      </c>
      <c r="C27462" s="6">
        <v>14000</v>
      </c>
      <c r="D27462" s="7">
        <v>0.43</v>
      </c>
    </row>
    <row r="27463" spans="1:5" x14ac:dyDescent="0.25">
      <c r="A27463" t="str">
        <f>HYPERLINK("https://www.773grp.com/globalSearch/MC74HCU04AFR1/page-1", "MC74HCU04AFR1")</f>
        <v>MC74HCU04AFR1</v>
      </c>
      <c r="B27463" s="3" t="s">
        <v>95</v>
      </c>
      <c r="C27463" s="6">
        <v>6000</v>
      </c>
      <c r="D27463" s="7">
        <v>0.43</v>
      </c>
    </row>
    <row r="27464" spans="1:5" x14ac:dyDescent="0.25">
      <c r="A27464" t="str">
        <f>HYPERLINK("https://www.773grp.com/globalSearch/MC74HCU04AFR2/page-1", "MC74HCU04AFR2")</f>
        <v>MC74HCU04AFR2</v>
      </c>
      <c r="B27464" s="3" t="s">
        <v>95</v>
      </c>
      <c r="C27464" s="6">
        <v>6000</v>
      </c>
      <c r="D27464" s="7">
        <v>0.43</v>
      </c>
    </row>
    <row r="27465" spans="1:5" x14ac:dyDescent="0.25">
      <c r="A27465" t="str">
        <f>HYPERLINK("https://www.773grp.com/globalSearch/MC74LCX86DT/page-1", "MC74LCX86DT")</f>
        <v>MC74LCX86DT</v>
      </c>
      <c r="B27465" s="3" t="s">
        <v>95</v>
      </c>
      <c r="C27465" s="6">
        <v>9132</v>
      </c>
      <c r="D27465" s="7">
        <v>0.43</v>
      </c>
      <c r="E27465" t="s">
        <v>31</v>
      </c>
    </row>
    <row r="27466" spans="1:5" x14ac:dyDescent="0.25">
      <c r="A27466" t="str">
        <f>HYPERLINK("https://www.773grp.com/globalSearch/MC74LCX86DT/page-1", "MC74LCX86DT")</f>
        <v>MC74LCX86DT</v>
      </c>
      <c r="B27466" s="3" t="s">
        <v>95</v>
      </c>
      <c r="C27466" s="6">
        <v>672</v>
      </c>
      <c r="D27466" s="7">
        <v>0.43</v>
      </c>
      <c r="E27466" t="s">
        <v>31</v>
      </c>
    </row>
    <row r="27467" spans="1:5" x14ac:dyDescent="0.25">
      <c r="A27467" t="str">
        <f>HYPERLINK("https://www.773grp.com/globalSearch/MC74LVX02DT/page-1", "MC74LVX02DT")</f>
        <v>MC74LVX02DT</v>
      </c>
      <c r="B27467" s="3" t="s">
        <v>95</v>
      </c>
      <c r="C27467" s="6">
        <v>4512</v>
      </c>
      <c r="D27467" s="7">
        <v>0.43</v>
      </c>
      <c r="E27467" t="s">
        <v>31</v>
      </c>
    </row>
    <row r="27468" spans="1:5" x14ac:dyDescent="0.25">
      <c r="A27468" t="str">
        <f>HYPERLINK("https://www.773grp.com/globalSearch/MC74LVX04DT/page-1", "MC74LVX04DT")</f>
        <v>MC74LVX04DT</v>
      </c>
      <c r="B27468" s="3" t="s">
        <v>95</v>
      </c>
      <c r="C27468" s="6">
        <v>2782</v>
      </c>
      <c r="D27468" s="7">
        <v>0.43</v>
      </c>
      <c r="E27468" t="s">
        <v>31</v>
      </c>
    </row>
    <row r="27469" spans="1:5" x14ac:dyDescent="0.25">
      <c r="A27469" t="str">
        <f>HYPERLINK("https://www.773grp.com/globalSearch/MC74LVX126D/page-1", "MC74LVX126D")</f>
        <v>MC74LVX126D</v>
      </c>
      <c r="B27469" s="3" t="s">
        <v>95</v>
      </c>
      <c r="C27469" s="6">
        <v>10340</v>
      </c>
      <c r="D27469" s="7">
        <v>0.43</v>
      </c>
      <c r="E27469" t="s">
        <v>14</v>
      </c>
    </row>
    <row r="27470" spans="1:5" x14ac:dyDescent="0.25">
      <c r="A27470" t="str">
        <f>HYPERLINK("https://www.773grp.com/globalSearch/MC74LVX14DT/page-1", "MC74LVX14DT")</f>
        <v>MC74LVX14DT</v>
      </c>
      <c r="B27470" s="3" t="s">
        <v>95</v>
      </c>
      <c r="C27470" s="6">
        <v>380</v>
      </c>
      <c r="D27470" s="7">
        <v>0.43</v>
      </c>
      <c r="E27470" t="s">
        <v>31</v>
      </c>
    </row>
    <row r="27471" spans="1:5" x14ac:dyDescent="0.25">
      <c r="A27471" t="str">
        <f>HYPERLINK("https://www.773grp.com/globalSearch/MC74LVX32DT/page-1", "MC74LVX32DT")</f>
        <v>MC74LVX32DT</v>
      </c>
      <c r="B27471" s="3" t="s">
        <v>95</v>
      </c>
      <c r="C27471" s="6">
        <v>9788</v>
      </c>
      <c r="D27471" s="7">
        <v>0.43</v>
      </c>
      <c r="E27471" t="s">
        <v>31</v>
      </c>
    </row>
    <row r="27472" spans="1:5" x14ac:dyDescent="0.25">
      <c r="A27472" t="str">
        <f>HYPERLINK("https://www.773grp.com/globalSearch/MC74LVX74D/page-1", "MC74LVX74D")</f>
        <v>MC74LVX74D</v>
      </c>
      <c r="B27472" s="3" t="s">
        <v>95</v>
      </c>
      <c r="C27472" s="6">
        <v>18740</v>
      </c>
      <c r="D27472" s="7">
        <v>0.43</v>
      </c>
      <c r="E27472" t="s">
        <v>35</v>
      </c>
    </row>
    <row r="27473" spans="1:5" x14ac:dyDescent="0.25">
      <c r="A27473" t="str">
        <f>HYPERLINK("https://www.773grp.com/globalSearch/MC74LVX86D/page-1", "MC74LVX86D")</f>
        <v>MC74LVX86D</v>
      </c>
      <c r="B27473" s="3" t="s">
        <v>95</v>
      </c>
      <c r="C27473" s="6">
        <v>1155</v>
      </c>
      <c r="D27473" s="7">
        <v>0.43</v>
      </c>
      <c r="E27473" t="s">
        <v>31</v>
      </c>
    </row>
    <row r="27474" spans="1:5" x14ac:dyDescent="0.25">
      <c r="A27474" t="str">
        <f>HYPERLINK("https://www.773grp.com/globalSearch/MC74LVX86DT/page-1", "MC74LVX86DT")</f>
        <v>MC74LVX86DT</v>
      </c>
      <c r="B27474" s="3" t="s">
        <v>95</v>
      </c>
      <c r="C27474" s="6">
        <v>14784</v>
      </c>
      <c r="D27474" s="7">
        <v>0.43</v>
      </c>
      <c r="E27474" t="s">
        <v>31</v>
      </c>
    </row>
    <row r="27475" spans="1:5" x14ac:dyDescent="0.25">
      <c r="A27475" t="str">
        <f>HYPERLINK("https://www.773grp.com/globalSearch/MC74VHC00M/page-1", "MC74VHC00M")</f>
        <v>MC74VHC00M</v>
      </c>
      <c r="B27475" s="3" t="s">
        <v>95</v>
      </c>
      <c r="C27475" s="6">
        <v>18350</v>
      </c>
      <c r="D27475" s="7">
        <v>0.43</v>
      </c>
      <c r="E27475" t="s">
        <v>31</v>
      </c>
    </row>
    <row r="27476" spans="1:5" x14ac:dyDescent="0.25">
      <c r="A27476" t="str">
        <f>HYPERLINK("https://www.773grp.com/globalSearch/MC74VHC02M/page-1", "MC74VHC02M")</f>
        <v>MC74VHC02M</v>
      </c>
      <c r="B27476" s="3" t="s">
        <v>95</v>
      </c>
      <c r="C27476" s="6">
        <v>9200</v>
      </c>
      <c r="D27476" s="7">
        <v>0.43</v>
      </c>
      <c r="E27476" t="s">
        <v>31</v>
      </c>
    </row>
    <row r="27477" spans="1:5" x14ac:dyDescent="0.25">
      <c r="A27477" t="str">
        <f>HYPERLINK("https://www.773grp.com/globalSearch/MC74VHC08DT/page-1", "MC74VHC08DT")</f>
        <v>MC74VHC08DT</v>
      </c>
      <c r="B27477" s="3" t="s">
        <v>95</v>
      </c>
      <c r="C27477" s="6">
        <v>6816</v>
      </c>
      <c r="D27477" s="7">
        <v>0.43</v>
      </c>
      <c r="E27477" t="s">
        <v>31</v>
      </c>
    </row>
    <row r="27478" spans="1:5" x14ac:dyDescent="0.25">
      <c r="A27478" t="str">
        <f>HYPERLINK("https://www.773grp.com/globalSearch/MC74VHC08M/page-1", "MC74VHC08M")</f>
        <v>MC74VHC08M</v>
      </c>
      <c r="B27478" s="3" t="s">
        <v>95</v>
      </c>
      <c r="C27478" s="6">
        <v>750</v>
      </c>
      <c r="D27478" s="7">
        <v>0.43</v>
      </c>
      <c r="E27478" t="s">
        <v>31</v>
      </c>
    </row>
    <row r="27479" spans="1:5" x14ac:dyDescent="0.25">
      <c r="A27479" t="str">
        <f>HYPERLINK("https://www.773grp.com/globalSearch/MC74VHC126DT/page-1", "MC74VHC126DT")</f>
        <v>MC74VHC126DT</v>
      </c>
      <c r="B27479" s="3" t="s">
        <v>95</v>
      </c>
      <c r="C27479" s="6">
        <v>768</v>
      </c>
      <c r="D27479" s="7">
        <v>0.43</v>
      </c>
      <c r="E27479" t="s">
        <v>14</v>
      </c>
    </row>
    <row r="27480" spans="1:5" x14ac:dyDescent="0.25">
      <c r="A27480" t="str">
        <f>HYPERLINK("https://www.773grp.com/globalSearch/MC74VHC138DT/page-1", "MC74VHC138DT")</f>
        <v>MC74VHC138DT</v>
      </c>
      <c r="B27480" s="3" t="s">
        <v>95</v>
      </c>
      <c r="C27480" s="6">
        <v>9504</v>
      </c>
      <c r="D27480" s="7">
        <v>0.43</v>
      </c>
      <c r="E27480" t="s">
        <v>36</v>
      </c>
    </row>
    <row r="27481" spans="1:5" x14ac:dyDescent="0.25">
      <c r="A27481" t="str">
        <f>HYPERLINK("https://www.773grp.com/globalSearch/MC74VHC139D/page-1", "MC74VHC139D")</f>
        <v>MC74VHC139D</v>
      </c>
      <c r="B27481" s="3" t="s">
        <v>95</v>
      </c>
      <c r="C27481" s="6">
        <v>14160</v>
      </c>
      <c r="D27481" s="7">
        <v>0.43</v>
      </c>
      <c r="E27481" t="s">
        <v>36</v>
      </c>
    </row>
    <row r="27482" spans="1:5" x14ac:dyDescent="0.25">
      <c r="A27482" t="str">
        <f>HYPERLINK("https://www.773grp.com/globalSearch/MC74VHC139DT/page-1", "MC74VHC139DT")</f>
        <v>MC74VHC139DT</v>
      </c>
      <c r="B27482" s="3" t="s">
        <v>95</v>
      </c>
      <c r="C27482" s="6">
        <v>12960</v>
      </c>
      <c r="D27482" s="7">
        <v>0.43</v>
      </c>
      <c r="E27482" t="s">
        <v>36</v>
      </c>
    </row>
    <row r="27483" spans="1:5" x14ac:dyDescent="0.25">
      <c r="A27483" t="str">
        <f>HYPERLINK("https://www.773grp.com/globalSearch/MC74VHC14M/page-1", "MC74VHC14M")</f>
        <v>MC74VHC14M</v>
      </c>
      <c r="B27483" s="3" t="s">
        <v>95</v>
      </c>
      <c r="C27483" s="6">
        <v>9250</v>
      </c>
      <c r="D27483" s="7">
        <v>0.43</v>
      </c>
      <c r="E27483" t="s">
        <v>31</v>
      </c>
    </row>
    <row r="27484" spans="1:5" x14ac:dyDescent="0.25">
      <c r="A27484" t="str">
        <f>HYPERLINK("https://www.773grp.com/globalSearch/MC74VHC157DT/page-1", "MC74VHC157DT")</f>
        <v>MC74VHC157DT</v>
      </c>
      <c r="B27484" s="3" t="s">
        <v>95</v>
      </c>
      <c r="C27484" s="6">
        <v>3072</v>
      </c>
      <c r="D27484" s="7">
        <v>0.43</v>
      </c>
      <c r="E27484" t="s">
        <v>20</v>
      </c>
    </row>
    <row r="27485" spans="1:5" x14ac:dyDescent="0.25">
      <c r="A27485" t="str">
        <f>HYPERLINK("https://www.773grp.com/globalSearch/MC74VHC32M/page-1", "MC74VHC32M")</f>
        <v>MC74VHC32M</v>
      </c>
      <c r="B27485" s="3" t="s">
        <v>95</v>
      </c>
      <c r="C27485" s="6">
        <v>650</v>
      </c>
      <c r="D27485" s="7">
        <v>0.43</v>
      </c>
      <c r="E27485" t="s">
        <v>31</v>
      </c>
    </row>
    <row r="27486" spans="1:5" x14ac:dyDescent="0.25">
      <c r="A27486" t="str">
        <f>HYPERLINK("https://www.773grp.com/globalSearch/MC74VHC74ML1/page-1", "MC74VHC74ML1")</f>
        <v>MC74VHC74ML1</v>
      </c>
      <c r="B27486" s="3" t="s">
        <v>95</v>
      </c>
      <c r="C27486" s="6">
        <v>34807</v>
      </c>
      <c r="D27486" s="7">
        <v>0.43</v>
      </c>
    </row>
    <row r="27487" spans="1:5" x14ac:dyDescent="0.25">
      <c r="A27487" t="str">
        <f>HYPERLINK("https://www.773grp.com/globalSearch/MC74VHCT00ADT/page-1", "MC74VHCT00ADT")</f>
        <v>MC74VHCT00ADT</v>
      </c>
      <c r="B27487" s="3" t="s">
        <v>95</v>
      </c>
      <c r="C27487" s="6">
        <v>9756</v>
      </c>
      <c r="D27487" s="7">
        <v>0.43</v>
      </c>
      <c r="E27487" t="s">
        <v>31</v>
      </c>
    </row>
    <row r="27488" spans="1:5" x14ac:dyDescent="0.25">
      <c r="A27488" t="str">
        <f>HYPERLINK("https://www.773grp.com/globalSearch/MC74VHCT02ADT/page-1", "MC74VHCT02ADT")</f>
        <v>MC74VHCT02ADT</v>
      </c>
      <c r="B27488" s="3" t="s">
        <v>95</v>
      </c>
      <c r="C27488" s="6">
        <v>4272</v>
      </c>
      <c r="D27488" s="7">
        <v>0.43</v>
      </c>
      <c r="E27488" t="s">
        <v>31</v>
      </c>
    </row>
    <row r="27489" spans="1:5" x14ac:dyDescent="0.25">
      <c r="A27489" t="str">
        <f>HYPERLINK("https://www.773grp.com/globalSearch/MC74VHCT04AD1P/page-1", "MC74VHCT04AD1P")</f>
        <v>MC74VHCT04AD1P</v>
      </c>
      <c r="B27489" s="3" t="s">
        <v>95</v>
      </c>
      <c r="C27489" s="6">
        <v>605</v>
      </c>
      <c r="D27489" s="7">
        <v>0.43</v>
      </c>
    </row>
    <row r="27490" spans="1:5" x14ac:dyDescent="0.25">
      <c r="A27490" t="str">
        <f>HYPERLINK("https://www.773grp.com/globalSearch/MC74VHCT04AM/page-1", "MC74VHCT04AM")</f>
        <v>MC74VHCT04AM</v>
      </c>
      <c r="B27490" s="3" t="s">
        <v>95</v>
      </c>
      <c r="C27490" s="6">
        <v>300</v>
      </c>
      <c r="D27490" s="7">
        <v>0.43</v>
      </c>
      <c r="E27490" t="s">
        <v>31</v>
      </c>
    </row>
    <row r="27491" spans="1:5" x14ac:dyDescent="0.25">
      <c r="A27491" t="str">
        <f>HYPERLINK("https://www.773grp.com/globalSearch/MC74VHCT08ADT/page-1", "MC74VHCT08ADT")</f>
        <v>MC74VHCT08ADT</v>
      </c>
      <c r="B27491" s="3" t="s">
        <v>95</v>
      </c>
      <c r="C27491" s="6">
        <v>2111</v>
      </c>
      <c r="D27491" s="7">
        <v>0.43</v>
      </c>
      <c r="E27491" t="s">
        <v>31</v>
      </c>
    </row>
    <row r="27492" spans="1:5" x14ac:dyDescent="0.25">
      <c r="A27492" t="str">
        <f>HYPERLINK("https://www.773grp.com/globalSearch/MC74VHCU04DT/page-1", "MC74VHCU04DT")</f>
        <v>MC74VHCU04DT</v>
      </c>
      <c r="B27492" s="3" t="s">
        <v>95</v>
      </c>
      <c r="C27492" s="6">
        <v>15064</v>
      </c>
      <c r="D27492" s="7">
        <v>0.43</v>
      </c>
      <c r="E27492" t="s">
        <v>31</v>
      </c>
    </row>
    <row r="27493" spans="1:5" x14ac:dyDescent="0.25">
      <c r="A27493" t="str">
        <f>HYPERLINK("https://www.773grp.com/globalSearch/MC74VHCU04M/page-1", "MC74VHCU04M")</f>
        <v>MC74VHCU04M</v>
      </c>
      <c r="B27493" s="3" t="s">
        <v>95</v>
      </c>
      <c r="C27493" s="6">
        <v>1000</v>
      </c>
      <c r="D27493" s="7">
        <v>0.43</v>
      </c>
      <c r="E27493" t="s">
        <v>31</v>
      </c>
    </row>
    <row r="27494" spans="1:5" x14ac:dyDescent="0.25">
      <c r="A27494" t="str">
        <f>HYPERLINK("https://www.773grp.com/globalSearch/MC78L05ACP/page-1", "MC78L05ACP")</f>
        <v>MC78L05ACP</v>
      </c>
      <c r="B27494" s="3" t="s">
        <v>95</v>
      </c>
      <c r="C27494" s="6">
        <v>10181</v>
      </c>
      <c r="D27494" s="7">
        <v>0.43</v>
      </c>
      <c r="E27494" t="s">
        <v>28</v>
      </c>
    </row>
    <row r="27495" spans="1:5" x14ac:dyDescent="0.25">
      <c r="A27495" t="str">
        <f>HYPERLINK("https://www.773grp.com/globalSearch/MC78L05ACPRA/page-1", "MC78L05ACPRA")</f>
        <v>MC78L05ACPRA</v>
      </c>
      <c r="B27495" s="3" t="s">
        <v>95</v>
      </c>
      <c r="C27495" s="6">
        <v>4000</v>
      </c>
      <c r="D27495" s="7">
        <v>0.43</v>
      </c>
      <c r="E27495" t="s">
        <v>28</v>
      </c>
    </row>
    <row r="27496" spans="1:5" x14ac:dyDescent="0.25">
      <c r="A27496" t="str">
        <f>HYPERLINK("https://www.773grp.com/globalSearch/MC78L05ACPRE/page-1", "MC78L05ACPRE")</f>
        <v>MC78L05ACPRE</v>
      </c>
      <c r="B27496" s="3" t="s">
        <v>95</v>
      </c>
      <c r="C27496" s="6">
        <v>2000</v>
      </c>
      <c r="D27496" s="7">
        <v>0.43</v>
      </c>
      <c r="E27496" t="s">
        <v>28</v>
      </c>
    </row>
    <row r="27497" spans="1:5" x14ac:dyDescent="0.25">
      <c r="A27497" t="str">
        <f>HYPERLINK("https://www.773grp.com/globalSearch/MC78L05ACPRM/page-1", "MC78L05ACPRM")</f>
        <v>MC78L05ACPRM</v>
      </c>
      <c r="B27497" s="3" t="s">
        <v>95</v>
      </c>
      <c r="C27497" s="6">
        <v>2000</v>
      </c>
      <c r="D27497" s="7">
        <v>0.43</v>
      </c>
      <c r="E27497" t="s">
        <v>28</v>
      </c>
    </row>
    <row r="27498" spans="1:5" x14ac:dyDescent="0.25">
      <c r="A27498" t="str">
        <f>HYPERLINK("https://www.773grp.com/globalSearch/MC78L05ACPRP/page-1", "MC78L05ACPRP")</f>
        <v>MC78L05ACPRP</v>
      </c>
      <c r="B27498" s="3" t="s">
        <v>95</v>
      </c>
      <c r="C27498" s="6">
        <v>411270</v>
      </c>
      <c r="D27498" s="7">
        <v>0.43</v>
      </c>
      <c r="E27498" t="s">
        <v>28</v>
      </c>
    </row>
    <row r="27499" spans="1:5" x14ac:dyDescent="0.25">
      <c r="A27499" t="str">
        <f>HYPERLINK("https://www.773grp.com/globalSearch/MC78L08ACP/page-1", "MC78L08ACP")</f>
        <v>MC78L08ACP</v>
      </c>
      <c r="B27499" s="3" t="s">
        <v>95</v>
      </c>
      <c r="C27499" s="6">
        <v>8902</v>
      </c>
      <c r="D27499" s="7">
        <v>0.43</v>
      </c>
      <c r="E27499" t="s">
        <v>28</v>
      </c>
    </row>
    <row r="27500" spans="1:5" x14ac:dyDescent="0.25">
      <c r="A27500" t="str">
        <f>HYPERLINK("https://www.773grp.com/globalSearch/MC78L08ACPRA/page-1", "MC78L08ACPRA")</f>
        <v>MC78L08ACPRA</v>
      </c>
      <c r="B27500" s="3" t="s">
        <v>95</v>
      </c>
      <c r="C27500" s="6">
        <v>804</v>
      </c>
      <c r="D27500" s="7">
        <v>0.43</v>
      </c>
      <c r="E27500" t="s">
        <v>28</v>
      </c>
    </row>
    <row r="27501" spans="1:5" x14ac:dyDescent="0.25">
      <c r="A27501" t="str">
        <f>HYPERLINK("https://www.773grp.com/globalSearch/MC78L08ACPRP/page-1", "MC78L08ACPRP")</f>
        <v>MC78L08ACPRP</v>
      </c>
      <c r="B27501" s="3" t="s">
        <v>95</v>
      </c>
      <c r="C27501" s="6">
        <v>62000</v>
      </c>
      <c r="D27501" s="7">
        <v>0.43</v>
      </c>
      <c r="E27501" t="s">
        <v>28</v>
      </c>
    </row>
    <row r="27502" spans="1:5" x14ac:dyDescent="0.25">
      <c r="A27502" t="str">
        <f>HYPERLINK("https://www.773grp.com/globalSearch/MC78L09ACP/page-1", "MC78L09ACP")</f>
        <v>MC78L09ACP</v>
      </c>
      <c r="B27502" s="3" t="s">
        <v>95</v>
      </c>
      <c r="C27502" s="6">
        <v>30047</v>
      </c>
      <c r="D27502" s="7">
        <v>0.43</v>
      </c>
      <c r="E27502" t="s">
        <v>28</v>
      </c>
    </row>
    <row r="27503" spans="1:5" x14ac:dyDescent="0.25">
      <c r="A27503" t="str">
        <f>HYPERLINK("https://www.773grp.com/globalSearch/MC78L12ACP/page-1", "MC78L12ACP")</f>
        <v>MC78L12ACP</v>
      </c>
      <c r="B27503" s="3" t="s">
        <v>95</v>
      </c>
      <c r="C27503" s="6">
        <v>4</v>
      </c>
      <c r="D27503" s="7">
        <v>0.43</v>
      </c>
      <c r="E27503" t="s">
        <v>28</v>
      </c>
    </row>
    <row r="27504" spans="1:5" x14ac:dyDescent="0.25">
      <c r="A27504" t="str">
        <f>HYPERLINK("https://www.773grp.com/globalSearch/MC78L12ACPRM/page-1", "MC78L12ACPRM")</f>
        <v>MC78L12ACPRM</v>
      </c>
      <c r="B27504" s="3" t="s">
        <v>95</v>
      </c>
      <c r="C27504" s="6">
        <v>2000</v>
      </c>
      <c r="D27504" s="7">
        <v>0.43</v>
      </c>
      <c r="E27504" t="s">
        <v>28</v>
      </c>
    </row>
    <row r="27505" spans="1:5" x14ac:dyDescent="0.25">
      <c r="A27505" t="str">
        <f>HYPERLINK("https://www.773grp.com/globalSearch/MC78L12ACPRP/page-1", "MC78L12ACPRP")</f>
        <v>MC78L12ACPRP</v>
      </c>
      <c r="B27505" s="3" t="s">
        <v>95</v>
      </c>
      <c r="C27505" s="6">
        <v>16060</v>
      </c>
      <c r="D27505" s="7">
        <v>0.43</v>
      </c>
      <c r="E27505" t="s">
        <v>28</v>
      </c>
    </row>
    <row r="27506" spans="1:5" x14ac:dyDescent="0.25">
      <c r="A27506" t="str">
        <f>HYPERLINK("https://www.773grp.com/globalSearch/MC78L15ACP/page-1", "MC78L15ACP")</f>
        <v>MC78L15ACP</v>
      </c>
      <c r="B27506" s="3" t="s">
        <v>95</v>
      </c>
      <c r="C27506" s="6">
        <v>11</v>
      </c>
      <c r="D27506" s="7">
        <v>0.43</v>
      </c>
      <c r="E27506" t="s">
        <v>28</v>
      </c>
    </row>
    <row r="27507" spans="1:5" x14ac:dyDescent="0.25">
      <c r="A27507" t="str">
        <f>HYPERLINK("https://www.773grp.com/globalSearch/MC78L15ACPRP/page-1", "MC78L15ACPRP")</f>
        <v>MC78L15ACPRP</v>
      </c>
      <c r="B27507" s="3" t="s">
        <v>95</v>
      </c>
      <c r="C27507" s="6">
        <v>3432</v>
      </c>
      <c r="D27507" s="7">
        <v>0.43</v>
      </c>
      <c r="E27507" t="s">
        <v>28</v>
      </c>
    </row>
    <row r="27508" spans="1:5" x14ac:dyDescent="0.25">
      <c r="A27508" t="str">
        <f>HYPERLINK("https://www.773grp.com/globalSearch/MC78L18ACP/page-1", "MC78L18ACP")</f>
        <v>MC78L18ACP</v>
      </c>
      <c r="B27508" s="3" t="s">
        <v>95</v>
      </c>
      <c r="C27508" s="6">
        <v>3051</v>
      </c>
      <c r="D27508" s="7">
        <v>0.43</v>
      </c>
      <c r="E27508" t="s">
        <v>28</v>
      </c>
    </row>
    <row r="27509" spans="1:5" x14ac:dyDescent="0.25">
      <c r="A27509" t="str">
        <f>HYPERLINK("https://www.773grp.com/globalSearch/MC78L18ACPRA/page-1", "MC78L18ACPRA")</f>
        <v>MC78L18ACPRA</v>
      </c>
      <c r="B27509" s="3" t="s">
        <v>95</v>
      </c>
      <c r="C27509" s="6">
        <v>4000</v>
      </c>
      <c r="D27509" s="7">
        <v>0.43</v>
      </c>
      <c r="E27509" t="s">
        <v>28</v>
      </c>
    </row>
    <row r="27510" spans="1:5" x14ac:dyDescent="0.25">
      <c r="A27510" t="str">
        <f>HYPERLINK("https://www.773grp.com/globalSearch/MC78L24ACP/page-1", "MC78L24ACP")</f>
        <v>MC78L24ACP</v>
      </c>
      <c r="B27510" s="3" t="s">
        <v>95</v>
      </c>
      <c r="C27510" s="6">
        <v>1033</v>
      </c>
      <c r="D27510" s="7">
        <v>0.43</v>
      </c>
      <c r="E27510" t="s">
        <v>28</v>
      </c>
    </row>
    <row r="27511" spans="1:5" x14ac:dyDescent="0.25">
      <c r="A27511" t="str">
        <f>HYPERLINK("https://www.773grp.com/globalSearch/MC78L24ACPRA/page-1", "MC78L24ACPRA")</f>
        <v>MC78L24ACPRA</v>
      </c>
      <c r="B27511" s="3" t="s">
        <v>95</v>
      </c>
      <c r="C27511" s="6">
        <v>10000</v>
      </c>
      <c r="D27511" s="7">
        <v>0.43</v>
      </c>
      <c r="E27511" t="s">
        <v>28</v>
      </c>
    </row>
    <row r="27512" spans="1:5" x14ac:dyDescent="0.25">
      <c r="A27512" t="str">
        <f>HYPERLINK("https://www.773grp.com/globalSearch/MC78L24ACPRP/page-1", "MC78L24ACPRP")</f>
        <v>MC78L24ACPRP</v>
      </c>
      <c r="B27512" s="3" t="s">
        <v>95</v>
      </c>
      <c r="C27512" s="6">
        <v>1059</v>
      </c>
      <c r="D27512" s="7">
        <v>0.43</v>
      </c>
      <c r="E27512" t="s">
        <v>28</v>
      </c>
    </row>
    <row r="27513" spans="1:5" x14ac:dyDescent="0.25">
      <c r="A27513" t="str">
        <f>HYPERLINK("https://www.773grp.com/globalSearch/MC79L05ACD/page-1", "MC79L05ACD")</f>
        <v>MC79L05ACD</v>
      </c>
      <c r="B27513" s="3" t="s">
        <v>95</v>
      </c>
      <c r="C27513" s="6">
        <v>528</v>
      </c>
      <c r="D27513" s="7">
        <v>0.43</v>
      </c>
      <c r="E27513" t="s">
        <v>65</v>
      </c>
    </row>
    <row r="27514" spans="1:5" x14ac:dyDescent="0.25">
      <c r="A27514" t="str">
        <f>HYPERLINK("https://www.773grp.com/globalSearch/MC79L05ACPRA/page-1", "MC79L05ACPRA")</f>
        <v>MC79L05ACPRA</v>
      </c>
      <c r="B27514" s="3" t="s">
        <v>95</v>
      </c>
      <c r="C27514" s="6">
        <v>6000</v>
      </c>
      <c r="D27514" s="7">
        <v>0.43</v>
      </c>
      <c r="E27514" t="s">
        <v>65</v>
      </c>
    </row>
    <row r="27515" spans="1:5" x14ac:dyDescent="0.25">
      <c r="A27515" t="str">
        <f>HYPERLINK("https://www.773grp.com/globalSearch/MC79L05ACPRM/page-1", "MC79L05ACPRM")</f>
        <v>MC79L05ACPRM</v>
      </c>
      <c r="B27515" s="3" t="s">
        <v>95</v>
      </c>
      <c r="C27515" s="6">
        <v>6000</v>
      </c>
      <c r="D27515" s="7">
        <v>0.43</v>
      </c>
      <c r="E27515" t="s">
        <v>65</v>
      </c>
    </row>
    <row r="27516" spans="1:5" x14ac:dyDescent="0.25">
      <c r="A27516" t="str">
        <f>HYPERLINK("https://www.773grp.com/globalSearch/MC79L05ACPRP/page-1", "MC79L05ACPRP")</f>
        <v>MC79L05ACPRP</v>
      </c>
      <c r="B27516" s="3" t="s">
        <v>95</v>
      </c>
      <c r="C27516" s="6">
        <v>40909</v>
      </c>
      <c r="D27516" s="7">
        <v>0.43</v>
      </c>
      <c r="E27516" t="s">
        <v>65</v>
      </c>
    </row>
    <row r="27517" spans="1:5" x14ac:dyDescent="0.25">
      <c r="A27517" t="str">
        <f>HYPERLINK("https://www.773grp.com/globalSearch/MC79L12ACP/page-1", "MC79L12ACP")</f>
        <v>MC79L12ACP</v>
      </c>
      <c r="B27517" s="3" t="s">
        <v>95</v>
      </c>
      <c r="C27517" s="6">
        <v>2278</v>
      </c>
      <c r="D27517" s="7">
        <v>0.43</v>
      </c>
      <c r="E27517" t="s">
        <v>65</v>
      </c>
    </row>
    <row r="27518" spans="1:5" x14ac:dyDescent="0.25">
      <c r="A27518" t="str">
        <f>HYPERLINK("https://www.773grp.com/globalSearch/MC79L12ACPRA/page-1", "MC79L12ACPRA")</f>
        <v>MC79L12ACPRA</v>
      </c>
      <c r="B27518" s="3" t="s">
        <v>95</v>
      </c>
      <c r="C27518" s="6">
        <v>5970</v>
      </c>
      <c r="D27518" s="7">
        <v>0.43</v>
      </c>
      <c r="E27518" t="s">
        <v>65</v>
      </c>
    </row>
    <row r="27519" spans="1:5" x14ac:dyDescent="0.25">
      <c r="A27519" t="str">
        <f>HYPERLINK("https://www.773grp.com/globalSearch/MC79L12ACPRP/page-1", "MC79L12ACPRP")</f>
        <v>MC79L12ACPRP</v>
      </c>
      <c r="B27519" s="3" t="s">
        <v>95</v>
      </c>
      <c r="C27519" s="6">
        <v>3119</v>
      </c>
      <c r="D27519" s="7">
        <v>0.43</v>
      </c>
      <c r="E27519" t="s">
        <v>65</v>
      </c>
    </row>
    <row r="27520" spans="1:5" x14ac:dyDescent="0.25">
      <c r="A27520" t="str">
        <f>HYPERLINK("https://www.773grp.com/globalSearch/MC79L15ACP/page-1", "MC79L15ACP")</f>
        <v>MC79L15ACP</v>
      </c>
      <c r="B27520" s="3" t="s">
        <v>95</v>
      </c>
      <c r="C27520" s="6">
        <v>6480</v>
      </c>
      <c r="D27520" s="7">
        <v>0.43</v>
      </c>
      <c r="E27520" t="s">
        <v>65</v>
      </c>
    </row>
    <row r="27521" spans="1:5" x14ac:dyDescent="0.25">
      <c r="A27521" t="str">
        <f>HYPERLINK("https://www.773grp.com/globalSearch/MC79L15ACPRA/page-1", "MC79L15ACPRA")</f>
        <v>MC79L15ACPRA</v>
      </c>
      <c r="B27521" s="3" t="s">
        <v>95</v>
      </c>
      <c r="C27521" s="6">
        <v>4000</v>
      </c>
      <c r="D27521" s="7">
        <v>0.43</v>
      </c>
      <c r="E27521" t="s">
        <v>65</v>
      </c>
    </row>
    <row r="27522" spans="1:5" x14ac:dyDescent="0.25">
      <c r="A27522" t="str">
        <f>HYPERLINK("https://www.773grp.com/globalSearch/MC79L15ACPRP/page-1", "MC79L15ACPRP")</f>
        <v>MC79L15ACPRP</v>
      </c>
      <c r="B27522" s="3" t="s">
        <v>95</v>
      </c>
      <c r="C27522" s="6">
        <v>26000</v>
      </c>
      <c r="D27522" s="7">
        <v>0.43</v>
      </c>
      <c r="E27522" t="s">
        <v>65</v>
      </c>
    </row>
    <row r="27523" spans="1:5" x14ac:dyDescent="0.25">
      <c r="A27523" t="str">
        <f>HYPERLINK("https://www.773grp.com/globalSearch/MC79L18ACP/page-1", "MC79L18ACP")</f>
        <v>MC79L18ACP</v>
      </c>
      <c r="B27523" s="3" t="s">
        <v>95</v>
      </c>
      <c r="C27523" s="6">
        <v>8000</v>
      </c>
      <c r="D27523" s="7">
        <v>0.43</v>
      </c>
      <c r="E27523" t="s">
        <v>65</v>
      </c>
    </row>
    <row r="27524" spans="1:5" x14ac:dyDescent="0.25">
      <c r="A27524" t="str">
        <f>HYPERLINK("https://www.773grp.com/globalSearch/MC79L24ACP/page-1", "MC79L24ACP")</f>
        <v>MC79L24ACP</v>
      </c>
      <c r="B27524" s="3" t="s">
        <v>95</v>
      </c>
      <c r="C27524" s="6">
        <v>1845</v>
      </c>
      <c r="D27524" s="7">
        <v>0.43</v>
      </c>
      <c r="E27524" t="s">
        <v>65</v>
      </c>
    </row>
    <row r="27525" spans="1:5" x14ac:dyDescent="0.25">
      <c r="A27525" t="str">
        <f>HYPERLINK("https://www.773grp.com/globalSearch/MMBC1654N7LT1/page-1", "MMBC1654N7LT1")</f>
        <v>MMBC1654N7LT1</v>
      </c>
      <c r="B27525" s="3" t="s">
        <v>95</v>
      </c>
      <c r="C27525" s="6">
        <v>57000</v>
      </c>
      <c r="D27525" s="7">
        <v>0.43</v>
      </c>
      <c r="E27525" t="s">
        <v>69</v>
      </c>
    </row>
    <row r="27526" spans="1:5" x14ac:dyDescent="0.25">
      <c r="A27526" t="str">
        <f>HYPERLINK("https://www.773grp.com/globalSearch/MMBT2132T1/page-1", "MMBT2132T1")</f>
        <v>MMBT2132T1</v>
      </c>
      <c r="B27526" s="3" t="s">
        <v>95</v>
      </c>
      <c r="C27526" s="6">
        <v>21000</v>
      </c>
      <c r="D27526" s="7">
        <v>0.43</v>
      </c>
      <c r="E27526" t="s">
        <v>69</v>
      </c>
    </row>
    <row r="27527" spans="1:5" x14ac:dyDescent="0.25">
      <c r="A27527" t="str">
        <f>HYPERLINK("https://www.773grp.com/globalSearch/MMSZ6026T3/page-1", "MMSZ6026T3")</f>
        <v>MMSZ6026T3</v>
      </c>
      <c r="B27527" s="3" t="s">
        <v>95</v>
      </c>
      <c r="C27527" s="6">
        <v>690000</v>
      </c>
      <c r="D27527" s="7">
        <v>0.43</v>
      </c>
    </row>
    <row r="27528" spans="1:5" x14ac:dyDescent="0.25">
      <c r="A27528" t="str">
        <f>HYPERLINK("https://www.773grp.com/globalSearch/MMVL105GT1/page-1", "MMVL105GT1")</f>
        <v>MMVL105GT1</v>
      </c>
      <c r="B27528" s="3" t="s">
        <v>95</v>
      </c>
      <c r="C27528" s="6">
        <v>75000</v>
      </c>
      <c r="D27528" s="7">
        <v>0.43</v>
      </c>
      <c r="E27528" t="s">
        <v>101</v>
      </c>
    </row>
    <row r="27529" spans="1:5" x14ac:dyDescent="0.25">
      <c r="A27529" t="str">
        <f>HYPERLINK("https://www.773grp.com/globalSearch/MMVL105GT1G/page-1", "MMVL105GT1G")</f>
        <v>MMVL105GT1G</v>
      </c>
      <c r="B27529" s="3" t="s">
        <v>95</v>
      </c>
      <c r="C27529" s="6">
        <v>84000</v>
      </c>
      <c r="D27529" s="7">
        <v>0.43</v>
      </c>
      <c r="E27529" t="s">
        <v>101</v>
      </c>
    </row>
    <row r="27530" spans="1:5" x14ac:dyDescent="0.25">
      <c r="A27530" t="str">
        <f>HYPERLINK("https://www.773grp.com/globalSearch/MMVL2101T1G/page-1", "MMVL2101T1G")</f>
        <v>MMVL2101T1G</v>
      </c>
      <c r="B27530" s="3" t="s">
        <v>95</v>
      </c>
      <c r="C27530" s="6">
        <v>18000</v>
      </c>
      <c r="D27530" s="7">
        <v>0.43</v>
      </c>
      <c r="E27530" t="s">
        <v>101</v>
      </c>
    </row>
    <row r="27531" spans="1:5" x14ac:dyDescent="0.25">
      <c r="A27531" t="str">
        <f>HYPERLINK("https://www.773grp.com/globalSearch/MMVL3102T1G/page-1", "MMVL3102T1G")</f>
        <v>MMVL3102T1G</v>
      </c>
      <c r="B27531" s="3" t="s">
        <v>95</v>
      </c>
      <c r="C27531" s="6">
        <v>12000</v>
      </c>
      <c r="D27531" s="7">
        <v>0.43</v>
      </c>
      <c r="E27531" t="s">
        <v>101</v>
      </c>
    </row>
    <row r="27532" spans="1:5" x14ac:dyDescent="0.25">
      <c r="A27532" t="str">
        <f>HYPERLINK("https://www.773grp.com/globalSearch/MMVL3401T1/page-1", "MMVL3401T1")</f>
        <v>MMVL3401T1</v>
      </c>
      <c r="B27532" s="3" t="s">
        <v>95</v>
      </c>
      <c r="C27532" s="6">
        <v>21000</v>
      </c>
      <c r="D27532" s="7">
        <v>0.43</v>
      </c>
      <c r="E27532" t="s">
        <v>110</v>
      </c>
    </row>
    <row r="27533" spans="1:5" x14ac:dyDescent="0.25">
      <c r="A27533" t="str">
        <f>HYPERLINK("https://www.773grp.com/globalSearch/MMVL409T1/page-1", "MMVL409T1")</f>
        <v>MMVL409T1</v>
      </c>
      <c r="B27533" s="3" t="s">
        <v>95</v>
      </c>
      <c r="C27533" s="6">
        <v>21000</v>
      </c>
      <c r="D27533" s="7">
        <v>0.43</v>
      </c>
      <c r="E27533" t="s">
        <v>101</v>
      </c>
    </row>
    <row r="27534" spans="1:5" x14ac:dyDescent="0.25">
      <c r="A27534" t="str">
        <f>HYPERLINK("https://www.773grp.com/globalSearch/MMVL409T1G/page-1", "MMVL409T1G")</f>
        <v>MMVL409T1G</v>
      </c>
      <c r="B27534" s="3" t="s">
        <v>95</v>
      </c>
      <c r="C27534" s="6">
        <v>12000</v>
      </c>
      <c r="D27534" s="7">
        <v>0.43</v>
      </c>
      <c r="E27534" t="s">
        <v>101</v>
      </c>
    </row>
    <row r="27535" spans="1:5" x14ac:dyDescent="0.25">
      <c r="A27535" t="str">
        <f>HYPERLINK("https://www.773grp.com/globalSearch/MMVL809T1G/page-1", "MMVL809T1G")</f>
        <v>MMVL809T1G</v>
      </c>
      <c r="B27535" s="3" t="s">
        <v>95</v>
      </c>
      <c r="C27535" s="6">
        <v>48000</v>
      </c>
      <c r="D27535" s="7">
        <v>0.43</v>
      </c>
      <c r="E27535" t="s">
        <v>101</v>
      </c>
    </row>
    <row r="27536" spans="1:5" x14ac:dyDescent="0.25">
      <c r="A27536" t="str">
        <f>HYPERLINK("https://www.773grp.com/globalSearch/MPS751RLRP/page-1", "MPS751RLRP")</f>
        <v>MPS751RLRP</v>
      </c>
      <c r="B27536" s="3" t="s">
        <v>95</v>
      </c>
      <c r="C27536" s="6">
        <v>11530</v>
      </c>
      <c r="D27536" s="7">
        <v>0.43</v>
      </c>
      <c r="E27536" t="s">
        <v>69</v>
      </c>
    </row>
    <row r="27537" spans="1:5" x14ac:dyDescent="0.25">
      <c r="A27537" t="str">
        <f>HYPERLINK("https://www.773grp.com/globalSearch/MUN5133DW1T1/page-1", "MUN5133DW1T1")</f>
        <v>MUN5133DW1T1</v>
      </c>
      <c r="B27537" s="3" t="s">
        <v>95</v>
      </c>
      <c r="C27537" s="6">
        <v>15000</v>
      </c>
      <c r="D27537" s="7">
        <v>0.43</v>
      </c>
      <c r="E27537" t="s">
        <v>69</v>
      </c>
    </row>
    <row r="27538" spans="1:5" x14ac:dyDescent="0.25">
      <c r="A27538" t="str">
        <f>HYPERLINK("https://www.773grp.com/globalSearch/MUR105G/page-1", "MUR105G")</f>
        <v>MUR105G</v>
      </c>
      <c r="B27538" s="3" t="s">
        <v>95</v>
      </c>
      <c r="C27538" s="6">
        <v>10305</v>
      </c>
      <c r="D27538" s="7">
        <v>0.43</v>
      </c>
      <c r="E27538" t="s">
        <v>94</v>
      </c>
    </row>
    <row r="27539" spans="1:5" x14ac:dyDescent="0.25">
      <c r="A27539" t="str">
        <f>HYPERLINK("https://www.773grp.com/globalSearch/MUR105RLG/page-1", "MUR105RLG")</f>
        <v>MUR105RLG</v>
      </c>
      <c r="B27539" s="3" t="s">
        <v>95</v>
      </c>
      <c r="C27539" s="6">
        <v>9451</v>
      </c>
      <c r="D27539" s="7">
        <v>0.43</v>
      </c>
      <c r="E27539" t="s">
        <v>94</v>
      </c>
    </row>
    <row r="27540" spans="1:5" x14ac:dyDescent="0.25">
      <c r="A27540" t="str">
        <f>HYPERLINK("https://www.773grp.com/globalSearch/MUR110G/page-1", "MUR110G")</f>
        <v>MUR110G</v>
      </c>
      <c r="B27540" s="3" t="s">
        <v>95</v>
      </c>
      <c r="C27540" s="6">
        <v>14000</v>
      </c>
      <c r="D27540" s="7">
        <v>0.43</v>
      </c>
      <c r="E27540" t="s">
        <v>94</v>
      </c>
    </row>
    <row r="27541" spans="1:5" x14ac:dyDescent="0.25">
      <c r="A27541" t="str">
        <f>HYPERLINK("https://www.773grp.com/globalSearch/MUR110RLG/page-1", "MUR110RLG")</f>
        <v>MUR110RLG</v>
      </c>
      <c r="B27541" s="3" t="s">
        <v>95</v>
      </c>
      <c r="C27541" s="6">
        <v>33700</v>
      </c>
      <c r="D27541" s="7">
        <v>0.43</v>
      </c>
      <c r="E27541" t="s">
        <v>94</v>
      </c>
    </row>
    <row r="27542" spans="1:5" x14ac:dyDescent="0.25">
      <c r="A27542" t="str">
        <f>HYPERLINK("https://www.773grp.com/globalSearch/MUR115G/page-1", "MUR115G")</f>
        <v>MUR115G</v>
      </c>
      <c r="B27542" s="3" t="s">
        <v>95</v>
      </c>
      <c r="C27542" s="6">
        <v>11948</v>
      </c>
      <c r="D27542" s="7">
        <v>0.43</v>
      </c>
      <c r="E27542" t="s">
        <v>94</v>
      </c>
    </row>
    <row r="27543" spans="1:5" x14ac:dyDescent="0.25">
      <c r="A27543" t="str">
        <f>HYPERLINK("https://www.773grp.com/globalSearch/MUR115RLG/page-1", "MUR115RLG")</f>
        <v>MUR115RLG</v>
      </c>
      <c r="B27543" s="3" t="s">
        <v>95</v>
      </c>
      <c r="C27543" s="6">
        <v>12000</v>
      </c>
      <c r="D27543" s="7">
        <v>0.43</v>
      </c>
    </row>
    <row r="27544" spans="1:5" x14ac:dyDescent="0.25">
      <c r="A27544" t="str">
        <f>HYPERLINK("https://www.773grp.com/globalSearch/MUR120G/page-1", "MUR120G")</f>
        <v>MUR120G</v>
      </c>
      <c r="B27544" s="3" t="s">
        <v>95</v>
      </c>
      <c r="C27544" s="6">
        <v>75598</v>
      </c>
      <c r="D27544" s="7">
        <v>0.43</v>
      </c>
      <c r="E27544" t="s">
        <v>94</v>
      </c>
    </row>
    <row r="27545" spans="1:5" x14ac:dyDescent="0.25">
      <c r="A27545" t="str">
        <f>HYPERLINK("https://www.773grp.com/globalSearch/MUR120RLG/page-1", "MUR120RLG")</f>
        <v>MUR120RLG</v>
      </c>
      <c r="B27545" s="3" t="s">
        <v>95</v>
      </c>
      <c r="C27545" s="6">
        <v>387058</v>
      </c>
      <c r="D27545" s="7">
        <v>0.43</v>
      </c>
      <c r="E27545" t="s">
        <v>94</v>
      </c>
    </row>
    <row r="27546" spans="1:5" x14ac:dyDescent="0.25">
      <c r="A27546" t="str">
        <f>HYPERLINK("https://www.773grp.com/globalSearch/MUR140G/page-1", "MUR140G")</f>
        <v>MUR140G</v>
      </c>
      <c r="B27546" s="3" t="s">
        <v>95</v>
      </c>
      <c r="C27546" s="6">
        <v>8000</v>
      </c>
      <c r="D27546" s="7">
        <v>0.43</v>
      </c>
      <c r="E27546" t="s">
        <v>94</v>
      </c>
    </row>
    <row r="27547" spans="1:5" x14ac:dyDescent="0.25">
      <c r="A27547" t="str">
        <f>HYPERLINK("https://www.773grp.com/globalSearch/MUR140RLG/page-1", "MUR140RLG")</f>
        <v>MUR140RLG</v>
      </c>
      <c r="B27547" s="3" t="s">
        <v>95</v>
      </c>
      <c r="C27547" s="6">
        <v>794894</v>
      </c>
      <c r="D27547" s="7">
        <v>0.43</v>
      </c>
      <c r="E27547" t="s">
        <v>94</v>
      </c>
    </row>
    <row r="27548" spans="1:5" x14ac:dyDescent="0.25">
      <c r="A27548" t="str">
        <f>HYPERLINK("https://www.773grp.com/globalSearch/MUR160G/page-1", "MUR160G")</f>
        <v>MUR160G</v>
      </c>
      <c r="B27548" s="3" t="s">
        <v>95</v>
      </c>
      <c r="C27548" s="6">
        <v>314077</v>
      </c>
      <c r="D27548" s="7">
        <v>0.43</v>
      </c>
      <c r="E27548" t="s">
        <v>94</v>
      </c>
    </row>
    <row r="27549" spans="1:5" x14ac:dyDescent="0.25">
      <c r="A27549" t="str">
        <f>HYPERLINK("https://www.773grp.com/globalSearch/MUR160RLG/page-1", "MUR160RLG")</f>
        <v>MUR160RLG</v>
      </c>
      <c r="B27549" s="3" t="s">
        <v>95</v>
      </c>
      <c r="C27549" s="6">
        <v>187160</v>
      </c>
      <c r="D27549" s="7">
        <v>0.43</v>
      </c>
      <c r="E27549" t="s">
        <v>94</v>
      </c>
    </row>
    <row r="27550" spans="1:5" x14ac:dyDescent="0.25">
      <c r="A27550" t="str">
        <f>HYPERLINK("https://www.773grp.com/globalSearch/MURA115T3/page-1", "MURA115T3")</f>
        <v>MURA115T3</v>
      </c>
      <c r="B27550" s="3" t="s">
        <v>95</v>
      </c>
      <c r="C27550" s="6">
        <v>10990</v>
      </c>
      <c r="D27550" s="7">
        <v>0.43</v>
      </c>
      <c r="E27550" t="s">
        <v>103</v>
      </c>
    </row>
    <row r="27551" spans="1:5" x14ac:dyDescent="0.25">
      <c r="A27551" t="str">
        <f>HYPERLINK("https://www.773grp.com/globalSearch/MURS230T3/page-1", "MURS230T3")</f>
        <v>MURS230T3</v>
      </c>
      <c r="B27551" s="3" t="s">
        <v>95</v>
      </c>
      <c r="C27551" s="6">
        <v>39920</v>
      </c>
      <c r="D27551" s="7">
        <v>0.43</v>
      </c>
      <c r="E27551" t="s">
        <v>103</v>
      </c>
    </row>
    <row r="27552" spans="1:5" x14ac:dyDescent="0.25">
      <c r="A27552" t="str">
        <f>HYPERLINK("https://www.773grp.com/globalSearch/MURS240T3/page-1", "MURS240T3")</f>
        <v>MURS240T3</v>
      </c>
      <c r="B27552" s="3" t="s">
        <v>95</v>
      </c>
      <c r="C27552" s="6">
        <v>1</v>
      </c>
      <c r="D27552" s="7">
        <v>0.43</v>
      </c>
      <c r="E27552" t="s">
        <v>103</v>
      </c>
    </row>
    <row r="27553" spans="1:5" x14ac:dyDescent="0.25">
      <c r="A27553" t="str">
        <f>HYPERLINK("https://www.773grp.com/globalSearch/MZ4614RL/page-1", "MZ4614RL")</f>
        <v>MZ4614RL</v>
      </c>
      <c r="B27553" s="3" t="s">
        <v>95</v>
      </c>
      <c r="C27553" s="6">
        <v>9722</v>
      </c>
      <c r="D27553" s="7">
        <v>0.43</v>
      </c>
      <c r="E27553" t="s">
        <v>98</v>
      </c>
    </row>
    <row r="27554" spans="1:5" x14ac:dyDescent="0.25">
      <c r="A27554" t="str">
        <f>HYPERLINK("https://www.773grp.com/globalSearch/MZ4620RL/page-1", "MZ4620RL")</f>
        <v>MZ4620RL</v>
      </c>
      <c r="B27554" s="3" t="s">
        <v>95</v>
      </c>
      <c r="C27554" s="6">
        <v>5000</v>
      </c>
      <c r="D27554" s="7">
        <v>0.43</v>
      </c>
      <c r="E27554" t="s">
        <v>98</v>
      </c>
    </row>
    <row r="27555" spans="1:5" x14ac:dyDescent="0.25">
      <c r="A27555" t="str">
        <f>HYPERLINK("https://www.773grp.com/globalSearch/NCP1117DT50RK/page-1", "NCP1117DT50RK")</f>
        <v>NCP1117DT50RK</v>
      </c>
      <c r="B27555" s="3" t="s">
        <v>95</v>
      </c>
      <c r="C27555" s="6">
        <v>2454</v>
      </c>
      <c r="D27555" s="7">
        <v>0.43</v>
      </c>
      <c r="E27555" t="s">
        <v>19</v>
      </c>
    </row>
    <row r="27556" spans="1:5" x14ac:dyDescent="0.25">
      <c r="A27556" t="str">
        <f>HYPERLINK("https://www.773grp.com/globalSearch/NCP431ACSNT1G/page-1", "NCP431ACSNT1G")</f>
        <v>NCP431ACSNT1G</v>
      </c>
      <c r="B27556" s="3" t="s">
        <v>95</v>
      </c>
      <c r="C27556" s="6">
        <v>9000</v>
      </c>
      <c r="D27556" s="7">
        <v>0.43</v>
      </c>
    </row>
    <row r="27557" spans="1:5" x14ac:dyDescent="0.25">
      <c r="A27557" t="str">
        <f>HYPERLINK("https://www.773grp.com/globalSearch/NL17VHC1GT50DF/page-1", "NL17VHC1GT50DF")</f>
        <v>NL17VHC1GT50DF</v>
      </c>
      <c r="B27557" s="3" t="s">
        <v>95</v>
      </c>
      <c r="C27557" s="6">
        <v>3000</v>
      </c>
      <c r="D27557" s="7">
        <v>0.43</v>
      </c>
    </row>
    <row r="27558" spans="1:5" x14ac:dyDescent="0.25">
      <c r="A27558" t="str">
        <f>HYPERLINK("https://www.773grp.com/globalSearch/NL7SZ57DFT2G/page-1", "NL7SZ57DFT2G")</f>
        <v>NL7SZ57DFT2G</v>
      </c>
      <c r="B27558" s="3" t="s">
        <v>95</v>
      </c>
      <c r="C27558" s="6">
        <v>1558830</v>
      </c>
      <c r="D27558" s="7">
        <v>0.43</v>
      </c>
      <c r="E27558" t="s">
        <v>83</v>
      </c>
    </row>
    <row r="27559" spans="1:5" x14ac:dyDescent="0.25">
      <c r="A27559" t="str">
        <f>HYPERLINK("https://www.773grp.com/globalSearch/NL7SZ58DFT2G/page-1", "NL7SZ58DFT2G")</f>
        <v>NL7SZ58DFT2G</v>
      </c>
      <c r="B27559" s="3" t="s">
        <v>95</v>
      </c>
      <c r="C27559" s="6">
        <v>66000</v>
      </c>
      <c r="D27559" s="7">
        <v>0.43</v>
      </c>
      <c r="E27559" t="s">
        <v>83</v>
      </c>
    </row>
    <row r="27560" spans="1:5" x14ac:dyDescent="0.25">
      <c r="A27560" t="str">
        <f>HYPERLINK("https://www.773grp.com/globalSearch/NL7SZ98DFT2G/page-1", "NL7SZ98DFT2G")</f>
        <v>NL7SZ98DFT2G</v>
      </c>
      <c r="B27560" s="3" t="s">
        <v>95</v>
      </c>
      <c r="C27560" s="6">
        <v>20762</v>
      </c>
      <c r="D27560" s="7">
        <v>0.43</v>
      </c>
      <c r="E27560" t="s">
        <v>83</v>
      </c>
    </row>
    <row r="27561" spans="1:5" x14ac:dyDescent="0.25">
      <c r="A27561" t="str">
        <f>HYPERLINK("https://www.773grp.com/globalSearch/NL7SZAMUR2G/page-1", "NL7SZAMUR2G")</f>
        <v>NL7SZAMUR2G</v>
      </c>
      <c r="B27561" s="3" t="s">
        <v>95</v>
      </c>
      <c r="C27561" s="6">
        <v>752</v>
      </c>
      <c r="D27561" s="7">
        <v>0.43</v>
      </c>
    </row>
    <row r="27562" spans="1:5" x14ac:dyDescent="0.25">
      <c r="A27562" t="str">
        <f>HYPERLINK("https://www.773grp.com/globalSearch/NLAS4501DTT1G/page-1", "NLAS4501DTT1G")</f>
        <v>NLAS4501DTT1G</v>
      </c>
      <c r="B27562" s="3" t="s">
        <v>95</v>
      </c>
      <c r="C27562" s="6">
        <v>56882</v>
      </c>
      <c r="D27562" s="7">
        <v>0.43</v>
      </c>
      <c r="E27562" t="s">
        <v>56</v>
      </c>
    </row>
    <row r="27563" spans="1:5" x14ac:dyDescent="0.25">
      <c r="A27563" t="str">
        <f>HYPERLINK("https://www.773grp.com/globalSearch/NLASB3157DFT2G/page-1", "NLASB3157DFT2G")</f>
        <v>NLASB3157DFT2G</v>
      </c>
      <c r="B27563" s="3" t="s">
        <v>95</v>
      </c>
      <c r="C27563" s="6">
        <v>748087</v>
      </c>
      <c r="D27563" s="7">
        <v>0.43</v>
      </c>
      <c r="E27563" t="s">
        <v>56</v>
      </c>
    </row>
    <row r="27564" spans="1:5" x14ac:dyDescent="0.25">
      <c r="A27564" t="str">
        <f>HYPERLINK("https://www.773grp.com/globalSearch/NLASB3157MTR2G/page-1", "NLASB3157MTR2G")</f>
        <v>NLASB3157MTR2G</v>
      </c>
      <c r="B27564" s="3" t="s">
        <v>95</v>
      </c>
      <c r="C27564" s="6">
        <v>352793</v>
      </c>
      <c r="D27564" s="7">
        <v>0.43</v>
      </c>
      <c r="E27564" t="s">
        <v>56</v>
      </c>
    </row>
    <row r="27565" spans="1:5" x14ac:dyDescent="0.25">
      <c r="A27565" t="str">
        <f>HYPERLINK("https://www.773grp.com/globalSearch/NLAST4501DFT2G/page-1", "NLAST4501DFT2G")</f>
        <v>NLAST4501DFT2G</v>
      </c>
      <c r="B27565" s="3" t="s">
        <v>95</v>
      </c>
      <c r="C27565" s="6">
        <v>5975</v>
      </c>
      <c r="D27565" s="7">
        <v>0.43</v>
      </c>
      <c r="E27565" t="s">
        <v>56</v>
      </c>
    </row>
    <row r="27566" spans="1:5" x14ac:dyDescent="0.25">
      <c r="A27566" t="str">
        <f>HYPERLINK("https://www.773grp.com/globalSearch/NLAST4501DTT1G/page-1", "NLAST4501DTT1G")</f>
        <v>NLAST4501DTT1G</v>
      </c>
      <c r="B27566" s="3" t="s">
        <v>95</v>
      </c>
      <c r="C27566" s="6">
        <v>53592</v>
      </c>
      <c r="D27566" s="7">
        <v>0.43</v>
      </c>
      <c r="E27566" t="s">
        <v>56</v>
      </c>
    </row>
    <row r="27567" spans="1:5" x14ac:dyDescent="0.25">
      <c r="A27567" t="str">
        <f>HYPERLINK("https://www.773grp.com/globalSearch/NLU2G04CMX1TCG/page-1", "NLU2G04CMX1TCG")</f>
        <v>NLU2G04CMX1TCG</v>
      </c>
      <c r="B27567" s="3" t="s">
        <v>95</v>
      </c>
      <c r="C27567" s="6">
        <v>254250</v>
      </c>
      <c r="D27567" s="7">
        <v>0.43</v>
      </c>
      <c r="E27567" t="s">
        <v>31</v>
      </c>
    </row>
    <row r="27568" spans="1:5" x14ac:dyDescent="0.25">
      <c r="A27568" t="str">
        <f>HYPERLINK("https://www.773grp.com/globalSearch/NLU2G06CMX1TCG/page-1", "NLU2G06CMX1TCG")</f>
        <v>NLU2G06CMX1TCG</v>
      </c>
      <c r="B27568" s="3" t="s">
        <v>95</v>
      </c>
      <c r="C27568" s="6">
        <v>144000</v>
      </c>
      <c r="D27568" s="7">
        <v>0.43</v>
      </c>
      <c r="E27568" t="s">
        <v>31</v>
      </c>
    </row>
    <row r="27569" spans="1:5" x14ac:dyDescent="0.25">
      <c r="A27569" t="str">
        <f>HYPERLINK("https://www.773grp.com/globalSearch/NLU2G07CMX1TCG/page-1", "NLU2G07CMX1TCG")</f>
        <v>NLU2G07CMX1TCG</v>
      </c>
      <c r="B27569" s="3" t="s">
        <v>95</v>
      </c>
      <c r="C27569" s="6">
        <v>25985</v>
      </c>
      <c r="D27569" s="7">
        <v>0.43</v>
      </c>
    </row>
    <row r="27570" spans="1:5" x14ac:dyDescent="0.25">
      <c r="A27570" t="str">
        <f>HYPERLINK("https://www.773grp.com/globalSearch/NLU2G14CMX1TCG/page-1", "NLU2G14CMX1TCG")</f>
        <v>NLU2G14CMX1TCG</v>
      </c>
      <c r="B27570" s="3" t="s">
        <v>95</v>
      </c>
      <c r="C27570" s="6">
        <v>86579</v>
      </c>
      <c r="D27570" s="7">
        <v>0.43</v>
      </c>
      <c r="E27570" t="s">
        <v>31</v>
      </c>
    </row>
    <row r="27571" spans="1:5" x14ac:dyDescent="0.25">
      <c r="A27571" t="str">
        <f>HYPERLINK("https://www.773grp.com/globalSearch/NLU2G16CMX1TCG/page-1", "NLU2G16CMX1TCG")</f>
        <v>NLU2G16CMX1TCG</v>
      </c>
      <c r="B27571" s="3" t="s">
        <v>95</v>
      </c>
      <c r="C27571" s="6">
        <v>86900</v>
      </c>
      <c r="D27571" s="7">
        <v>0.43</v>
      </c>
      <c r="E27571" t="s">
        <v>31</v>
      </c>
    </row>
    <row r="27572" spans="1:5" x14ac:dyDescent="0.25">
      <c r="A27572" t="str">
        <f>HYPERLINK("https://www.773grp.com/globalSearch/NLU2G17CMX1TCG/page-1", "NLU2G17CMX1TCG")</f>
        <v>NLU2G17CMX1TCG</v>
      </c>
      <c r="B27572" s="3" t="s">
        <v>95</v>
      </c>
      <c r="C27572" s="6">
        <v>12375</v>
      </c>
      <c r="D27572" s="7">
        <v>0.43</v>
      </c>
    </row>
    <row r="27573" spans="1:5" x14ac:dyDescent="0.25">
      <c r="A27573" t="str">
        <f>HYPERLINK("https://www.773grp.com/globalSearch/NLU2GU04CMX1TCG/page-1", "NLU2GU04CMX1TCG")</f>
        <v>NLU2GU04CMX1TCG</v>
      </c>
      <c r="B27573" s="3" t="s">
        <v>95</v>
      </c>
      <c r="C27573" s="6">
        <v>137650</v>
      </c>
      <c r="D27573" s="7">
        <v>0.43</v>
      </c>
      <c r="E27573" t="s">
        <v>31</v>
      </c>
    </row>
    <row r="27574" spans="1:5" x14ac:dyDescent="0.25">
      <c r="A27574" t="str">
        <f>HYPERLINK("https://www.773grp.com/globalSearch/NLU3G14AMX1TCG/page-1", "NLU3G14AMX1TCG")</f>
        <v>NLU3G14AMX1TCG</v>
      </c>
      <c r="B27574" s="3" t="s">
        <v>95</v>
      </c>
      <c r="C27574" s="6">
        <v>68977</v>
      </c>
      <c r="D27574" s="7">
        <v>0.43</v>
      </c>
      <c r="E27574" t="s">
        <v>31</v>
      </c>
    </row>
    <row r="27575" spans="1:5" x14ac:dyDescent="0.25">
      <c r="A27575" t="str">
        <f>HYPERLINK("https://www.773grp.com/globalSearch/NLU3G14BMX1TCG/page-1", "NLU3G14BMX1TCG")</f>
        <v>NLU3G14BMX1TCG</v>
      </c>
      <c r="B27575" s="3" t="s">
        <v>95</v>
      </c>
      <c r="C27575" s="6">
        <v>12000</v>
      </c>
      <c r="D27575" s="7">
        <v>0.43</v>
      </c>
      <c r="E27575" t="s">
        <v>31</v>
      </c>
    </row>
    <row r="27576" spans="1:5" x14ac:dyDescent="0.25">
      <c r="A27576" t="str">
        <f>HYPERLINK("https://www.773grp.com/globalSearch/NLU3G16AMX1TCG/page-1", "NLU3G16AMX1TCG")</f>
        <v>NLU3G16AMX1TCG</v>
      </c>
      <c r="B27576" s="3" t="s">
        <v>95</v>
      </c>
      <c r="C27576" s="6">
        <v>30000</v>
      </c>
      <c r="D27576" s="7">
        <v>0.43</v>
      </c>
      <c r="E27576" t="s">
        <v>31</v>
      </c>
    </row>
    <row r="27577" spans="1:5" x14ac:dyDescent="0.25">
      <c r="A27577" t="str">
        <f>HYPERLINK("https://www.773grp.com/globalSearch/NLU3G16BMX1TCG/page-1", "NLU3G16BMX1TCG")</f>
        <v>NLU3G16BMX1TCG</v>
      </c>
      <c r="B27577" s="3" t="s">
        <v>95</v>
      </c>
      <c r="C27577" s="6">
        <v>24000</v>
      </c>
      <c r="D27577" s="7">
        <v>0.43</v>
      </c>
      <c r="E27577" t="s">
        <v>31</v>
      </c>
    </row>
    <row r="27578" spans="1:5" x14ac:dyDescent="0.25">
      <c r="A27578" t="str">
        <f>HYPERLINK("https://www.773grp.com/globalSearch/NLU3G17AMX1TCG/page-1", "NLU3G17AMX1TCG")</f>
        <v>NLU3G17AMX1TCG</v>
      </c>
      <c r="B27578" s="3" t="s">
        <v>95</v>
      </c>
      <c r="C27578" s="6">
        <v>160955</v>
      </c>
      <c r="D27578" s="7">
        <v>0.43</v>
      </c>
      <c r="E27578" t="s">
        <v>31</v>
      </c>
    </row>
    <row r="27579" spans="1:5" x14ac:dyDescent="0.25">
      <c r="A27579" t="str">
        <f>HYPERLINK("https://www.773grp.com/globalSearch/NLU3G17BMX1TCG/page-1", "NLU3G17BMX1TCG")</f>
        <v>NLU3G17BMX1TCG</v>
      </c>
      <c r="B27579" s="3" t="s">
        <v>95</v>
      </c>
      <c r="C27579" s="6">
        <v>17995</v>
      </c>
      <c r="D27579" s="7">
        <v>0.43</v>
      </c>
      <c r="E27579" t="s">
        <v>31</v>
      </c>
    </row>
    <row r="27580" spans="1:5" x14ac:dyDescent="0.25">
      <c r="A27580" t="str">
        <f>HYPERLINK("https://www.773grp.com/globalSearch/NLV14066BCP/page-1", "NLV14066BCP")</f>
        <v>NLV14066BCP</v>
      </c>
      <c r="B27580" s="3" t="s">
        <v>95</v>
      </c>
      <c r="C27580" s="6">
        <v>2750</v>
      </c>
      <c r="D27580" s="7">
        <v>0.43</v>
      </c>
    </row>
    <row r="27581" spans="1:5" x14ac:dyDescent="0.25">
      <c r="A27581" t="str">
        <f>HYPERLINK("https://www.773grp.com/globalSearch/NLV14066BCPG/page-1", "NLV14066BCPG")</f>
        <v>NLV14066BCPG</v>
      </c>
      <c r="B27581" s="3" t="s">
        <v>95</v>
      </c>
      <c r="C27581" s="6">
        <v>2850</v>
      </c>
      <c r="D27581" s="7">
        <v>0.43</v>
      </c>
    </row>
    <row r="27582" spans="1:5" x14ac:dyDescent="0.25">
      <c r="A27582" t="str">
        <f>HYPERLINK("https://www.773grp.com/globalSearch/NLVHC1GT66MUR2G/page-1", "NLVHC1GT66MUR2G")</f>
        <v>NLVHC1GT66MUR2G</v>
      </c>
      <c r="B27582" s="3" t="s">
        <v>95</v>
      </c>
      <c r="C27582" s="6">
        <v>36000</v>
      </c>
      <c r="D27582" s="7">
        <v>0.43</v>
      </c>
      <c r="E27582" t="s">
        <v>56</v>
      </c>
    </row>
    <row r="27583" spans="1:5" x14ac:dyDescent="0.25">
      <c r="A27583" t="str">
        <f>HYPERLINK("https://www.773grp.com/globalSearch/NLX1G10CMX1TCG/page-1", "NLX1G10CMX1TCG")</f>
        <v>NLX1G10CMX1TCG</v>
      </c>
      <c r="B27583" s="3" t="s">
        <v>95</v>
      </c>
      <c r="C27583" s="6">
        <v>51000</v>
      </c>
      <c r="D27583" s="7">
        <v>0.43</v>
      </c>
      <c r="E27583" t="s">
        <v>31</v>
      </c>
    </row>
    <row r="27584" spans="1:5" x14ac:dyDescent="0.25">
      <c r="A27584" t="str">
        <f>HYPERLINK("https://www.773grp.com/globalSearch/NLX1G11CMX1TCG/page-1", "NLX1G11CMX1TCG")</f>
        <v>NLX1G11CMX1TCG</v>
      </c>
      <c r="B27584" s="3" t="s">
        <v>95</v>
      </c>
      <c r="C27584" s="6">
        <v>33000</v>
      </c>
      <c r="D27584" s="7">
        <v>0.43</v>
      </c>
      <c r="E27584" t="s">
        <v>31</v>
      </c>
    </row>
    <row r="27585" spans="1:5" x14ac:dyDescent="0.25">
      <c r="A27585" t="str">
        <f>HYPERLINK("https://www.773grp.com/globalSearch/NLX1G332CMX1TCG/page-1", "NLX1G332CMX1TCG")</f>
        <v>NLX1G332CMX1TCG</v>
      </c>
      <c r="B27585" s="3" t="s">
        <v>95</v>
      </c>
      <c r="C27585" s="6">
        <v>3000</v>
      </c>
      <c r="D27585" s="7">
        <v>0.43</v>
      </c>
      <c r="E27585" t="s">
        <v>31</v>
      </c>
    </row>
    <row r="27586" spans="1:5" x14ac:dyDescent="0.25">
      <c r="A27586" t="str">
        <f>HYPERLINK("https://www.773grp.com/globalSearch/NLX2G00CMX1TCG/page-1", "NLX2G00CMX1TCG")</f>
        <v>NLX2G00CMX1TCG</v>
      </c>
      <c r="B27586" s="3" t="s">
        <v>95</v>
      </c>
      <c r="C27586" s="6">
        <v>18000</v>
      </c>
      <c r="D27586" s="7">
        <v>0.43</v>
      </c>
      <c r="E27586" t="s">
        <v>31</v>
      </c>
    </row>
    <row r="27587" spans="1:5" x14ac:dyDescent="0.25">
      <c r="A27587" t="str">
        <f>HYPERLINK("https://www.773grp.com/globalSearch/NLX2G04CMX1TCG/page-1", "NLX2G04CMX1TCG")</f>
        <v>NLX2G04CMX1TCG</v>
      </c>
      <c r="B27587" s="3" t="s">
        <v>95</v>
      </c>
      <c r="C27587" s="6">
        <v>230850</v>
      </c>
      <c r="D27587" s="7">
        <v>0.43</v>
      </c>
      <c r="E27587" t="s">
        <v>31</v>
      </c>
    </row>
    <row r="27588" spans="1:5" x14ac:dyDescent="0.25">
      <c r="A27588" t="str">
        <f>HYPERLINK("https://www.773grp.com/globalSearch/NLX2G06CMX1TCG/page-1", "NLX2G06CMX1TCG")</f>
        <v>NLX2G06CMX1TCG</v>
      </c>
      <c r="B27588" s="3" t="s">
        <v>95</v>
      </c>
      <c r="C27588" s="6">
        <v>101887</v>
      </c>
      <c r="D27588" s="7">
        <v>0.43</v>
      </c>
      <c r="E27588" t="s">
        <v>31</v>
      </c>
    </row>
    <row r="27589" spans="1:5" x14ac:dyDescent="0.25">
      <c r="A27589" t="str">
        <f>HYPERLINK("https://www.773grp.com/globalSearch/NLX2G07CMX1TCG/page-1", "NLX2G07CMX1TCG")</f>
        <v>NLX2G07CMX1TCG</v>
      </c>
      <c r="B27589" s="3" t="s">
        <v>95</v>
      </c>
      <c r="C27589" s="6">
        <v>111000</v>
      </c>
      <c r="D27589" s="7">
        <v>0.43</v>
      </c>
      <c r="E27589" t="s">
        <v>31</v>
      </c>
    </row>
    <row r="27590" spans="1:5" x14ac:dyDescent="0.25">
      <c r="A27590" t="str">
        <f>HYPERLINK("https://www.773grp.com/globalSearch/NLX2G08CMX1TCG/page-1", "NLX2G08CMX1TCG")</f>
        <v>NLX2G08CMX1TCG</v>
      </c>
      <c r="B27590" s="3" t="s">
        <v>95</v>
      </c>
      <c r="C27590" s="6">
        <v>6000</v>
      </c>
      <c r="D27590" s="7">
        <v>0.43</v>
      </c>
    </row>
    <row r="27591" spans="1:5" x14ac:dyDescent="0.25">
      <c r="A27591" t="str">
        <f>HYPERLINK("https://www.773grp.com/globalSearch/NLX2G14CMX1TCG/page-1", "NLX2G14CMX1TCG")</f>
        <v>NLX2G14CMX1TCG</v>
      </c>
      <c r="B27591" s="3" t="s">
        <v>95</v>
      </c>
      <c r="C27591" s="6">
        <v>151750</v>
      </c>
      <c r="D27591" s="7">
        <v>0.43</v>
      </c>
      <c r="E27591" t="s">
        <v>31</v>
      </c>
    </row>
    <row r="27592" spans="1:5" x14ac:dyDescent="0.25">
      <c r="A27592" t="str">
        <f>HYPERLINK("https://www.773grp.com/globalSearch/NLX2G16CMX1TCG/page-1", "NLX2G16CMX1TCG")</f>
        <v>NLX2G16CMX1TCG</v>
      </c>
      <c r="B27592" s="3" t="s">
        <v>95</v>
      </c>
      <c r="C27592" s="6">
        <v>321000</v>
      </c>
      <c r="D27592" s="7">
        <v>0.43</v>
      </c>
      <c r="E27592" t="s">
        <v>31</v>
      </c>
    </row>
    <row r="27593" spans="1:5" x14ac:dyDescent="0.25">
      <c r="A27593" t="str">
        <f>HYPERLINK("https://www.773grp.com/globalSearch/NLX2G17CMX1TCG/page-1", "NLX2G17CMX1TCG")</f>
        <v>NLX2G17CMX1TCG</v>
      </c>
      <c r="B27593" s="3" t="s">
        <v>95</v>
      </c>
      <c r="C27593" s="6">
        <v>72000</v>
      </c>
      <c r="D27593" s="7">
        <v>0.43</v>
      </c>
      <c r="E27593" t="s">
        <v>31</v>
      </c>
    </row>
    <row r="27594" spans="1:5" x14ac:dyDescent="0.25">
      <c r="A27594" t="str">
        <f>HYPERLINK("https://www.773grp.com/globalSearch/NLX2G32CMX1TCG/page-1", "NLX2G32CMX1TCG")</f>
        <v>NLX2G32CMX1TCG</v>
      </c>
      <c r="B27594" s="3" t="s">
        <v>95</v>
      </c>
      <c r="C27594" s="6">
        <v>4190</v>
      </c>
      <c r="D27594" s="7">
        <v>0.43</v>
      </c>
      <c r="E27594" t="s">
        <v>31</v>
      </c>
    </row>
    <row r="27595" spans="1:5" x14ac:dyDescent="0.25">
      <c r="A27595" t="str">
        <f>HYPERLINK("https://www.773grp.com/globalSearch/NLX2GU04CMX1TCG/page-1", "NLX2GU04CMX1TCG")</f>
        <v>NLX2GU04CMX1TCG</v>
      </c>
      <c r="B27595" s="3" t="s">
        <v>95</v>
      </c>
      <c r="C27595" s="6">
        <v>84000</v>
      </c>
      <c r="D27595" s="7">
        <v>0.43</v>
      </c>
      <c r="E27595" t="s">
        <v>31</v>
      </c>
    </row>
    <row r="27596" spans="1:5" x14ac:dyDescent="0.25">
      <c r="A27596" t="str">
        <f>HYPERLINK("https://www.773grp.com/globalSearch/NLX3G14AMX1TCG/page-1", "NLX3G14AMX1TCG")</f>
        <v>NLX3G14AMX1TCG</v>
      </c>
      <c r="B27596" s="3" t="s">
        <v>95</v>
      </c>
      <c r="C27596" s="6">
        <v>54000</v>
      </c>
      <c r="D27596" s="7">
        <v>0.43</v>
      </c>
      <c r="E27596" t="s">
        <v>31</v>
      </c>
    </row>
    <row r="27597" spans="1:5" x14ac:dyDescent="0.25">
      <c r="A27597" t="str">
        <f>HYPERLINK("https://www.773grp.com/globalSearch/NLX3G14BMX1TCG/page-1", "NLX3G14BMX1TCG")</f>
        <v>NLX3G14BMX1TCG</v>
      </c>
      <c r="B27597" s="3" t="s">
        <v>95</v>
      </c>
      <c r="C27597" s="6">
        <v>63000</v>
      </c>
      <c r="D27597" s="7">
        <v>0.43</v>
      </c>
      <c r="E27597" t="s">
        <v>31</v>
      </c>
    </row>
    <row r="27598" spans="1:5" x14ac:dyDescent="0.25">
      <c r="A27598" t="str">
        <f>HYPERLINK("https://www.773grp.com/globalSearch/NLX3G16AMX1TCG/page-1", "NLX3G16AMX1TCG")</f>
        <v>NLX3G16AMX1TCG</v>
      </c>
      <c r="B27598" s="3" t="s">
        <v>95</v>
      </c>
      <c r="C27598" s="6">
        <v>96000</v>
      </c>
      <c r="D27598" s="7">
        <v>0.43</v>
      </c>
      <c r="E27598" t="s">
        <v>31</v>
      </c>
    </row>
    <row r="27599" spans="1:5" x14ac:dyDescent="0.25">
      <c r="A27599" t="str">
        <f>HYPERLINK("https://www.773grp.com/globalSearch/NLX3G16BMX1TCG/page-1", "NLX3G16BMX1TCG")</f>
        <v>NLX3G16BMX1TCG</v>
      </c>
      <c r="B27599" s="3" t="s">
        <v>95</v>
      </c>
      <c r="C27599" s="6">
        <v>132000</v>
      </c>
      <c r="D27599" s="7">
        <v>0.43</v>
      </c>
      <c r="E27599" t="s">
        <v>31</v>
      </c>
    </row>
    <row r="27600" spans="1:5" x14ac:dyDescent="0.25">
      <c r="A27600" t="str">
        <f>HYPERLINK("https://www.773grp.com/globalSearch/NLX3G17AMX1TCG/page-1", "NLX3G17AMX1TCG")</f>
        <v>NLX3G17AMX1TCG</v>
      </c>
      <c r="B27600" s="3" t="s">
        <v>95</v>
      </c>
      <c r="C27600" s="6">
        <v>21022</v>
      </c>
      <c r="D27600" s="7">
        <v>0.43</v>
      </c>
      <c r="E27600" t="s">
        <v>31</v>
      </c>
    </row>
    <row r="27601" spans="1:5" x14ac:dyDescent="0.25">
      <c r="A27601" t="str">
        <f>HYPERLINK("https://www.773grp.com/globalSearch/NLX3G17BMX1TCG/page-1", "NLX3G17BMX1TCG")</f>
        <v>NLX3G17BMX1TCG</v>
      </c>
      <c r="B27601" s="3" t="s">
        <v>95</v>
      </c>
      <c r="C27601" s="6">
        <v>12000</v>
      </c>
      <c r="D27601" s="7">
        <v>0.43</v>
      </c>
      <c r="E27601" t="s">
        <v>31</v>
      </c>
    </row>
    <row r="27602" spans="1:5" x14ac:dyDescent="0.25">
      <c r="A27602" t="str">
        <f>HYPERLINK("https://www.773grp.com/globalSearch/NSI45025T1G/page-1", "NSI45025T1G")</f>
        <v>NSI45025T1G</v>
      </c>
      <c r="B27602" s="3" t="s">
        <v>95</v>
      </c>
      <c r="C27602" s="6">
        <v>48000</v>
      </c>
      <c r="D27602" s="7">
        <v>0.43</v>
      </c>
    </row>
    <row r="27603" spans="1:5" x14ac:dyDescent="0.25">
      <c r="A27603" t="str">
        <f>HYPERLINK("https://www.773grp.com/globalSearch/NSI45030T1G/page-1", "NSI45030T1G")</f>
        <v>NSI45030T1G</v>
      </c>
      <c r="B27603" s="3" t="s">
        <v>95</v>
      </c>
      <c r="C27603" s="6">
        <v>48000</v>
      </c>
      <c r="D27603" s="7">
        <v>0.43</v>
      </c>
      <c r="E27603" t="s">
        <v>10</v>
      </c>
    </row>
    <row r="27604" spans="1:5" x14ac:dyDescent="0.25">
      <c r="A27604" t="str">
        <f>HYPERLINK("https://www.773grp.com/globalSearch/NSR10F20NXT5G/page-1", "NSR10F20NXT5G")</f>
        <v>NSR10F20NXT5G</v>
      </c>
      <c r="B27604" s="3" t="s">
        <v>95</v>
      </c>
      <c r="C27604" s="6">
        <v>900000</v>
      </c>
      <c r="D27604" s="7">
        <v>0.43</v>
      </c>
    </row>
    <row r="27605" spans="1:5" x14ac:dyDescent="0.25">
      <c r="A27605" t="str">
        <f>HYPERLINK("https://www.773grp.com/globalSearch/NSR10F30NXT5G/page-1", "NSR10F30NXT5G")</f>
        <v>NSR10F30NXT5G</v>
      </c>
      <c r="B27605" s="3" t="s">
        <v>95</v>
      </c>
      <c r="C27605" s="6">
        <v>14200</v>
      </c>
      <c r="D27605" s="7">
        <v>0.43</v>
      </c>
    </row>
    <row r="27606" spans="1:5" x14ac:dyDescent="0.25">
      <c r="A27606" t="str">
        <f>HYPERLINK("https://www.773grp.com/globalSearch/NSR15TW1T2G/page-1", "NSR15TW1T2G")</f>
        <v>NSR15TW1T2G</v>
      </c>
      <c r="B27606" s="3" t="s">
        <v>95</v>
      </c>
      <c r="C27606" s="6">
        <v>94500</v>
      </c>
      <c r="D27606" s="7">
        <v>0.43</v>
      </c>
      <c r="E27606" t="s">
        <v>94</v>
      </c>
    </row>
    <row r="27607" spans="1:5" x14ac:dyDescent="0.25">
      <c r="A27607" t="str">
        <f>HYPERLINK("https://www.773grp.com/globalSearch/NSS12200WT1G/page-1", "NSS12200WT1G")</f>
        <v>NSS12200WT1G</v>
      </c>
      <c r="B27607" s="3" t="s">
        <v>95</v>
      </c>
      <c r="C27607" s="6">
        <v>44389</v>
      </c>
      <c r="D27607" s="7">
        <v>0.43</v>
      </c>
      <c r="E27607" t="s">
        <v>69</v>
      </c>
    </row>
    <row r="27608" spans="1:5" x14ac:dyDescent="0.25">
      <c r="A27608" t="str">
        <f>HYPERLINK("https://www.773grp.com/globalSearch/NTD14N03RT4G/page-1", "NTD14N03RT4G")</f>
        <v>NTD14N03RT4G</v>
      </c>
      <c r="B27608" s="3" t="s">
        <v>95</v>
      </c>
      <c r="C27608" s="6">
        <v>2500</v>
      </c>
      <c r="D27608" s="7">
        <v>0.43</v>
      </c>
      <c r="E27608" t="s">
        <v>105</v>
      </c>
    </row>
    <row r="27609" spans="1:5" x14ac:dyDescent="0.25">
      <c r="A27609" t="str">
        <f>HYPERLINK("https://www.773grp.com/globalSearch/NTD23N03R-001/page-1", "NTD23N03R-001")</f>
        <v>NTD23N03R-001</v>
      </c>
      <c r="B27609" s="3" t="s">
        <v>95</v>
      </c>
      <c r="C27609" s="6">
        <v>3372</v>
      </c>
      <c r="D27609" s="7">
        <v>0.43</v>
      </c>
    </row>
    <row r="27610" spans="1:5" x14ac:dyDescent="0.25">
      <c r="A27610" t="str">
        <f>HYPERLINK("https://www.773grp.com/globalSearch/NTD23N03RG/page-1", "NTD23N03RG")</f>
        <v>NTD23N03RG</v>
      </c>
      <c r="B27610" s="3" t="s">
        <v>95</v>
      </c>
      <c r="C27610" s="6">
        <v>17059</v>
      </c>
      <c r="D27610" s="7">
        <v>0.43</v>
      </c>
      <c r="E27610" t="s">
        <v>105</v>
      </c>
    </row>
    <row r="27611" spans="1:5" x14ac:dyDescent="0.25">
      <c r="A27611" t="str">
        <f>HYPERLINK("https://www.773grp.com/globalSearch/NTD23N03RT4/page-1", "NTD23N03RT4")</f>
        <v>NTD23N03RT4</v>
      </c>
      <c r="B27611" s="3" t="s">
        <v>95</v>
      </c>
      <c r="C27611" s="6">
        <v>29908</v>
      </c>
      <c r="D27611" s="7">
        <v>0.43</v>
      </c>
      <c r="E27611" t="s">
        <v>105</v>
      </c>
    </row>
    <row r="27612" spans="1:5" x14ac:dyDescent="0.25">
      <c r="A27612" t="str">
        <f>HYPERLINK("https://www.773grp.com/globalSearch/NTD23N03RT4G/page-1", "NTD23N03RT4G")</f>
        <v>NTD23N03RT4G</v>
      </c>
      <c r="B27612" s="3" t="s">
        <v>95</v>
      </c>
      <c r="C27612" s="6">
        <v>1088596</v>
      </c>
      <c r="D27612" s="7">
        <v>0.43</v>
      </c>
      <c r="E27612" t="s">
        <v>105</v>
      </c>
    </row>
    <row r="27613" spans="1:5" x14ac:dyDescent="0.25">
      <c r="A27613" t="str">
        <f>HYPERLINK("https://www.773grp.com/globalSearch/NTD3055-150/page-1", "NTD3055-150")</f>
        <v>NTD3055-150</v>
      </c>
      <c r="B27613" s="3" t="s">
        <v>95</v>
      </c>
      <c r="C27613" s="6">
        <v>4650</v>
      </c>
      <c r="D27613" s="7">
        <v>0.43</v>
      </c>
      <c r="E27613" t="s">
        <v>105</v>
      </c>
    </row>
    <row r="27614" spans="1:5" x14ac:dyDescent="0.25">
      <c r="A27614" t="str">
        <f>HYPERLINK("https://www.773grp.com/globalSearch/NTD3055L170/page-1", "NTD3055L170")</f>
        <v>NTD3055L170</v>
      </c>
      <c r="B27614" s="3" t="s">
        <v>95</v>
      </c>
      <c r="C27614" s="6">
        <v>6925</v>
      </c>
      <c r="D27614" s="7">
        <v>0.43</v>
      </c>
      <c r="E27614" t="s">
        <v>105</v>
      </c>
    </row>
    <row r="27615" spans="1:5" x14ac:dyDescent="0.25">
      <c r="A27615" t="str">
        <f>HYPERLINK("https://www.773grp.com/globalSearch/NTD3055L170-001/page-1", "NTD3055L170-001")</f>
        <v>NTD3055L170-001</v>
      </c>
      <c r="B27615" s="3" t="s">
        <v>95</v>
      </c>
      <c r="C27615" s="6">
        <v>4639</v>
      </c>
      <c r="D27615" s="7">
        <v>0.43</v>
      </c>
    </row>
    <row r="27616" spans="1:5" x14ac:dyDescent="0.25">
      <c r="A27616" t="str">
        <f>HYPERLINK("https://www.773grp.com/globalSearch/NTD3055L170-1G/page-1", "NTD3055L170-1G")</f>
        <v>NTD3055L170-1G</v>
      </c>
      <c r="B27616" s="3" t="s">
        <v>95</v>
      </c>
      <c r="C27616" s="6">
        <v>1875</v>
      </c>
      <c r="D27616" s="7">
        <v>0.43</v>
      </c>
    </row>
    <row r="27617" spans="1:5" x14ac:dyDescent="0.25">
      <c r="A27617" t="str">
        <f>HYPERLINK("https://www.773grp.com/globalSearch/NTD4806N-1G/page-1", "NTD4806N-1G")</f>
        <v>NTD4806N-1G</v>
      </c>
      <c r="B27617" s="3" t="s">
        <v>95</v>
      </c>
      <c r="C27617" s="6">
        <v>4350</v>
      </c>
      <c r="D27617" s="7">
        <v>0.43</v>
      </c>
      <c r="E27617" t="s">
        <v>105</v>
      </c>
    </row>
    <row r="27618" spans="1:5" x14ac:dyDescent="0.25">
      <c r="A27618" t="str">
        <f>HYPERLINK("https://www.773grp.com/globalSearch/NTD4806NA-1G/page-1", "NTD4806NA-1G")</f>
        <v>NTD4806NA-1G</v>
      </c>
      <c r="B27618" s="3" t="s">
        <v>95</v>
      </c>
      <c r="C27618" s="6">
        <v>288350</v>
      </c>
      <c r="D27618" s="7">
        <v>0.43</v>
      </c>
    </row>
    <row r="27619" spans="1:5" x14ac:dyDescent="0.25">
      <c r="A27619" t="str">
        <f>HYPERLINK("https://www.773grp.com/globalSearch/NTD4808N-35G/page-1", "NTD4808N-35G")</f>
        <v>NTD4808N-35G</v>
      </c>
      <c r="B27619" s="3" t="s">
        <v>95</v>
      </c>
      <c r="C27619" s="6">
        <v>9990</v>
      </c>
      <c r="D27619" s="7">
        <v>0.43</v>
      </c>
      <c r="E27619" t="s">
        <v>105</v>
      </c>
    </row>
    <row r="27620" spans="1:5" x14ac:dyDescent="0.25">
      <c r="A27620" t="str">
        <f>HYPERLINK("https://www.773grp.com/globalSearch/NTD50N03R-1G/page-1", "NTD50N03R-1G")</f>
        <v>NTD50N03R-1G</v>
      </c>
      <c r="B27620" s="3" t="s">
        <v>95</v>
      </c>
      <c r="C27620" s="6">
        <v>5609</v>
      </c>
      <c r="D27620" s="7">
        <v>0.43</v>
      </c>
      <c r="E27620" t="s">
        <v>105</v>
      </c>
    </row>
    <row r="27621" spans="1:5" x14ac:dyDescent="0.25">
      <c r="A27621" t="str">
        <f>HYPERLINK("https://www.773grp.com/globalSearch/NTD50N03RT4/page-1", "NTD50N03RT4")</f>
        <v>NTD50N03RT4</v>
      </c>
      <c r="B27621" s="3" t="s">
        <v>95</v>
      </c>
      <c r="C27621" s="6">
        <v>2500</v>
      </c>
      <c r="D27621" s="7">
        <v>0.43</v>
      </c>
      <c r="E27621" t="s">
        <v>105</v>
      </c>
    </row>
    <row r="27622" spans="1:5" x14ac:dyDescent="0.25">
      <c r="A27622" t="str">
        <f>HYPERLINK("https://www.773grp.com/globalSearch/NTD60N02R-1G/page-1", "NTD60N02R-1G")</f>
        <v>NTD60N02R-1G</v>
      </c>
      <c r="B27622" s="3" t="s">
        <v>95</v>
      </c>
      <c r="C27622" s="6">
        <v>334998</v>
      </c>
      <c r="D27622" s="7">
        <v>0.43</v>
      </c>
      <c r="E27622" t="s">
        <v>105</v>
      </c>
    </row>
    <row r="27623" spans="1:5" x14ac:dyDescent="0.25">
      <c r="A27623" t="str">
        <f>HYPERLINK("https://www.773grp.com/globalSearch/NTE4151PT1G/page-1", "NTE4151PT1G")</f>
        <v>NTE4151PT1G</v>
      </c>
      <c r="B27623" s="3" t="s">
        <v>95</v>
      </c>
      <c r="C27623" s="6">
        <v>12000</v>
      </c>
      <c r="D27623" s="7">
        <v>0.43</v>
      </c>
      <c r="E27623" t="s">
        <v>106</v>
      </c>
    </row>
    <row r="27624" spans="1:5" x14ac:dyDescent="0.25">
      <c r="A27624" t="str">
        <f>HYPERLINK("https://www.773grp.com/globalSearch/NTGS3441BT1G/page-1", "NTGS3441BT1G")</f>
        <v>NTGS3441BT1G</v>
      </c>
      <c r="B27624" s="3" t="s">
        <v>95</v>
      </c>
      <c r="C27624" s="6">
        <v>48750</v>
      </c>
      <c r="D27624" s="7">
        <v>0.43</v>
      </c>
      <c r="E27624" t="s">
        <v>106</v>
      </c>
    </row>
    <row r="27625" spans="1:5" x14ac:dyDescent="0.25">
      <c r="A27625" t="str">
        <f>HYPERLINK("https://www.773grp.com/globalSearch/NTGS3443T2G/page-1", "NTGS3443T2G")</f>
        <v>NTGS3443T2G</v>
      </c>
      <c r="B27625" s="3" t="s">
        <v>95</v>
      </c>
      <c r="C27625" s="6">
        <v>3000</v>
      </c>
      <c r="D27625" s="7">
        <v>0.43</v>
      </c>
    </row>
    <row r="27626" spans="1:5" x14ac:dyDescent="0.25">
      <c r="A27626" t="str">
        <f>HYPERLINK("https://www.773grp.com/globalSearch/NTGS3446T1G/page-1", "NTGS3446T1G")</f>
        <v>NTGS3446T1G</v>
      </c>
      <c r="B27626" s="3" t="s">
        <v>95</v>
      </c>
      <c r="C27626" s="6">
        <v>46938</v>
      </c>
      <c r="D27626" s="7">
        <v>0.43</v>
      </c>
      <c r="E27626" t="s">
        <v>106</v>
      </c>
    </row>
    <row r="27627" spans="1:5" x14ac:dyDescent="0.25">
      <c r="A27627" t="str">
        <f>HYPERLINK("https://www.773grp.com/globalSearch/NTGS4141NT1G/page-1", "NTGS4141NT1G")</f>
        <v>NTGS4141NT1G</v>
      </c>
      <c r="B27627" s="3" t="s">
        <v>95</v>
      </c>
      <c r="C27627" s="6">
        <v>424167</v>
      </c>
      <c r="D27627" s="7">
        <v>0.43</v>
      </c>
      <c r="E27627" t="s">
        <v>106</v>
      </c>
    </row>
    <row r="27628" spans="1:5" x14ac:dyDescent="0.25">
      <c r="A27628" t="str">
        <f>HYPERLINK("https://www.773grp.com/globalSearch/NTHD4P02FT1/page-1", "NTHD4P02FT1")</f>
        <v>NTHD4P02FT1</v>
      </c>
      <c r="B27628" s="3" t="s">
        <v>95</v>
      </c>
      <c r="C27628" s="6">
        <v>20955</v>
      </c>
      <c r="D27628" s="7">
        <v>0.43</v>
      </c>
      <c r="E27628" t="s">
        <v>105</v>
      </c>
    </row>
    <row r="27629" spans="1:5" x14ac:dyDescent="0.25">
      <c r="A27629" t="str">
        <f>HYPERLINK("https://www.773grp.com/globalSearch/NTHS5443T1G/page-1", "NTHS5443T1G")</f>
        <v>NTHS5443T1G</v>
      </c>
      <c r="B27629" s="3" t="s">
        <v>95</v>
      </c>
      <c r="C27629" s="6">
        <v>520346</v>
      </c>
      <c r="D27629" s="7">
        <v>0.43</v>
      </c>
      <c r="E27629" t="s">
        <v>106</v>
      </c>
    </row>
    <row r="27630" spans="1:5" x14ac:dyDescent="0.25">
      <c r="A27630" t="str">
        <f>HYPERLINK("https://www.773grp.com/globalSearch/NTR1P02LT1G/page-1", "NTR1P02LT1G")</f>
        <v>NTR1P02LT1G</v>
      </c>
      <c r="B27630" s="3" t="s">
        <v>95</v>
      </c>
      <c r="C27630" s="6">
        <v>6660</v>
      </c>
      <c r="D27630" s="7">
        <v>0.43</v>
      </c>
      <c r="E27630" t="s">
        <v>106</v>
      </c>
    </row>
    <row r="27631" spans="1:5" x14ac:dyDescent="0.25">
      <c r="A27631" t="str">
        <f>HYPERLINK("https://www.773grp.com/globalSearch/NTR1P02T1G/page-1", "NTR1P02T1G")</f>
        <v>NTR1P02T1G</v>
      </c>
      <c r="B27631" s="3" t="s">
        <v>95</v>
      </c>
      <c r="C27631" s="6">
        <v>78566</v>
      </c>
      <c r="D27631" s="7">
        <v>0.43</v>
      </c>
      <c r="E27631" t="s">
        <v>106</v>
      </c>
    </row>
    <row r="27632" spans="1:5" x14ac:dyDescent="0.25">
      <c r="A27632" t="str">
        <f>HYPERLINK("https://www.773grp.com/globalSearch/NTR4501NT1G/page-1", "NTR4501NT1G")</f>
        <v>NTR4501NT1G</v>
      </c>
      <c r="B27632" s="3" t="s">
        <v>95</v>
      </c>
      <c r="C27632" s="6">
        <v>8170</v>
      </c>
      <c r="D27632" s="7">
        <v>0.43</v>
      </c>
      <c r="E27632" t="s">
        <v>105</v>
      </c>
    </row>
    <row r="27633" spans="1:5" x14ac:dyDescent="0.25">
      <c r="A27633" t="str">
        <f>HYPERLINK("https://www.773grp.com/globalSearch/NTR4501NT3G/page-1", "NTR4501NT3G")</f>
        <v>NTR4501NT3G</v>
      </c>
      <c r="B27633" s="3" t="s">
        <v>95</v>
      </c>
      <c r="C27633" s="6">
        <v>40000</v>
      </c>
      <c r="D27633" s="7">
        <v>0.43</v>
      </c>
      <c r="E27633" t="s">
        <v>105</v>
      </c>
    </row>
    <row r="27634" spans="1:5" x14ac:dyDescent="0.25">
      <c r="A27634" t="str">
        <f>HYPERLINK("https://www.773grp.com/globalSearch/NTR4501NT3H/page-1", "NTR4501NT3H")</f>
        <v>NTR4501NT3H</v>
      </c>
      <c r="B27634" s="3" t="s">
        <v>95</v>
      </c>
      <c r="C27634" s="6">
        <v>20000</v>
      </c>
      <c r="D27634" s="7">
        <v>0.43</v>
      </c>
    </row>
    <row r="27635" spans="1:5" x14ac:dyDescent="0.25">
      <c r="A27635" t="str">
        <f>HYPERLINK("https://www.773grp.com/globalSearch/NTR4502PT1G/page-1", "NTR4502PT1G")</f>
        <v>NTR4502PT1G</v>
      </c>
      <c r="B27635" s="3" t="s">
        <v>95</v>
      </c>
      <c r="C27635" s="6">
        <v>15000</v>
      </c>
      <c r="D27635" s="7">
        <v>0.43</v>
      </c>
      <c r="E27635" t="s">
        <v>106</v>
      </c>
    </row>
    <row r="27636" spans="1:5" x14ac:dyDescent="0.25">
      <c r="A27636" t="str">
        <f>HYPERLINK("https://www.773grp.com/globalSearch/NTS4101PT1G/page-1", "NTS4101PT1G")</f>
        <v>NTS4101PT1G</v>
      </c>
      <c r="B27636" s="3" t="s">
        <v>95</v>
      </c>
      <c r="C27636" s="6">
        <v>3200790</v>
      </c>
      <c r="D27636" s="7">
        <v>0.43</v>
      </c>
      <c r="E27636" t="s">
        <v>106</v>
      </c>
    </row>
    <row r="27637" spans="1:5" x14ac:dyDescent="0.25">
      <c r="A27637" t="str">
        <f>HYPERLINK("https://www.773grp.com/globalSearch/NTZD3156CT1G/page-1", "NTZD3156CT1G")</f>
        <v>NTZD3156CT1G</v>
      </c>
      <c r="B27637" s="3" t="s">
        <v>95</v>
      </c>
      <c r="C27637" s="6">
        <v>20000</v>
      </c>
      <c r="D27637" s="7">
        <v>0.43</v>
      </c>
      <c r="E27637" t="s">
        <v>106</v>
      </c>
    </row>
    <row r="27638" spans="1:5" x14ac:dyDescent="0.25">
      <c r="A27638" t="str">
        <f>HYPERLINK("https://www.773grp.com/globalSearch/NUF2230XV6T1G/page-1", "NUF2230XV6T1G")</f>
        <v>NUF2230XV6T1G</v>
      </c>
      <c r="B27638" s="3" t="s">
        <v>95</v>
      </c>
      <c r="C27638" s="6">
        <v>4738174</v>
      </c>
      <c r="D27638" s="7">
        <v>0.43</v>
      </c>
      <c r="E27638" t="s">
        <v>100</v>
      </c>
    </row>
    <row r="27639" spans="1:5" x14ac:dyDescent="0.25">
      <c r="A27639" t="str">
        <f>HYPERLINK("https://www.773grp.com/globalSearch/NZL5V6ATT1G/page-1", "NZL5V6ATT1G")</f>
        <v>NZL5V6ATT1G</v>
      </c>
      <c r="B27639" s="3" t="s">
        <v>95</v>
      </c>
      <c r="C27639" s="6">
        <v>361855</v>
      </c>
      <c r="D27639" s="7">
        <v>0.43</v>
      </c>
      <c r="E27639" t="s">
        <v>96</v>
      </c>
    </row>
    <row r="27640" spans="1:5" x14ac:dyDescent="0.25">
      <c r="A27640" t="str">
        <f>HYPERLINK("https://www.773grp.com/globalSearch/P6KE100A/page-1", "P6KE100A")</f>
        <v>P6KE100A</v>
      </c>
      <c r="B27640" s="3" t="s">
        <v>95</v>
      </c>
      <c r="C27640" s="6">
        <v>2000</v>
      </c>
      <c r="D27640" s="7">
        <v>0.43</v>
      </c>
      <c r="E27640" t="s">
        <v>96</v>
      </c>
    </row>
    <row r="27641" spans="1:5" x14ac:dyDescent="0.25">
      <c r="A27641" t="str">
        <f>HYPERLINK("https://www.773grp.com/globalSearch/P6KE100AG/page-1", "P6KE100AG")</f>
        <v>P6KE100AG</v>
      </c>
      <c r="B27641" s="3" t="s">
        <v>95</v>
      </c>
      <c r="C27641" s="6">
        <v>4000</v>
      </c>
      <c r="D27641" s="7">
        <v>0.43</v>
      </c>
      <c r="E27641" t="s">
        <v>96</v>
      </c>
    </row>
    <row r="27642" spans="1:5" x14ac:dyDescent="0.25">
      <c r="A27642" t="str">
        <f>HYPERLINK("https://www.773grp.com/globalSearch/P6KE100ARL/page-1", "P6KE100ARL")</f>
        <v>P6KE100ARL</v>
      </c>
      <c r="B27642" s="3" t="s">
        <v>95</v>
      </c>
      <c r="C27642" s="6">
        <v>52000</v>
      </c>
      <c r="D27642" s="7">
        <v>0.43</v>
      </c>
      <c r="E27642" t="s">
        <v>96</v>
      </c>
    </row>
    <row r="27643" spans="1:5" x14ac:dyDescent="0.25">
      <c r="A27643" t="str">
        <f>HYPERLINK("https://www.773grp.com/globalSearch/P6KE10ARL/page-1", "P6KE10ARL")</f>
        <v>P6KE10ARL</v>
      </c>
      <c r="B27643" s="3" t="s">
        <v>95</v>
      </c>
      <c r="C27643" s="6">
        <v>4000</v>
      </c>
      <c r="D27643" s="7">
        <v>0.43</v>
      </c>
      <c r="E27643" t="s">
        <v>96</v>
      </c>
    </row>
    <row r="27644" spans="1:5" x14ac:dyDescent="0.25">
      <c r="A27644" t="str">
        <f>HYPERLINK("https://www.773grp.com/globalSearch/P6KE110ARL/page-1", "P6KE110ARL")</f>
        <v>P6KE110ARL</v>
      </c>
      <c r="B27644" s="3" t="s">
        <v>95</v>
      </c>
      <c r="C27644" s="6">
        <v>4000</v>
      </c>
      <c r="D27644" s="7">
        <v>0.43</v>
      </c>
      <c r="E27644" t="s">
        <v>96</v>
      </c>
    </row>
    <row r="27645" spans="1:5" x14ac:dyDescent="0.25">
      <c r="A27645" t="str">
        <f>HYPERLINK("https://www.773grp.com/globalSearch/P6KE15A/page-1", "P6KE15A")</f>
        <v>P6KE15A</v>
      </c>
      <c r="B27645" s="3" t="s">
        <v>95</v>
      </c>
      <c r="C27645" s="6">
        <v>12404</v>
      </c>
      <c r="D27645" s="7">
        <v>0.43</v>
      </c>
      <c r="E27645" t="s">
        <v>96</v>
      </c>
    </row>
    <row r="27646" spans="1:5" x14ac:dyDescent="0.25">
      <c r="A27646" t="str">
        <f>HYPERLINK("https://www.773grp.com/globalSearch/P6KE16/page-1", "P6KE16")</f>
        <v>P6KE16</v>
      </c>
      <c r="B27646" s="3" t="s">
        <v>95</v>
      </c>
      <c r="C27646" s="6">
        <v>750</v>
      </c>
      <c r="D27646" s="7">
        <v>0.43</v>
      </c>
      <c r="E27646" t="s">
        <v>96</v>
      </c>
    </row>
    <row r="27647" spans="1:5" x14ac:dyDescent="0.25">
      <c r="A27647" t="str">
        <f>HYPERLINK("https://www.773grp.com/globalSearch/P6KE16A/page-1", "P6KE16A")</f>
        <v>P6KE16A</v>
      </c>
      <c r="B27647" s="3" t="s">
        <v>95</v>
      </c>
      <c r="C27647" s="6">
        <v>3000</v>
      </c>
      <c r="D27647" s="7">
        <v>0.43</v>
      </c>
      <c r="E27647" t="s">
        <v>96</v>
      </c>
    </row>
    <row r="27648" spans="1:5" x14ac:dyDescent="0.25">
      <c r="A27648" t="str">
        <f>HYPERLINK("https://www.773grp.com/globalSearch/P6KE16AG/page-1", "P6KE16AG")</f>
        <v>P6KE16AG</v>
      </c>
      <c r="B27648" s="3" t="s">
        <v>95</v>
      </c>
      <c r="C27648" s="6">
        <v>7874</v>
      </c>
      <c r="D27648" s="7">
        <v>0.43</v>
      </c>
      <c r="E27648" t="s">
        <v>96</v>
      </c>
    </row>
    <row r="27649" spans="1:5" x14ac:dyDescent="0.25">
      <c r="A27649" t="str">
        <f>HYPERLINK("https://www.773grp.com/globalSearch/P6KE16ARL/page-1", "P6KE16ARL")</f>
        <v>P6KE16ARL</v>
      </c>
      <c r="B27649" s="3" t="s">
        <v>95</v>
      </c>
      <c r="C27649" s="6">
        <v>16979</v>
      </c>
      <c r="D27649" s="7">
        <v>0.43</v>
      </c>
      <c r="E27649" t="s">
        <v>96</v>
      </c>
    </row>
    <row r="27650" spans="1:5" x14ac:dyDescent="0.25">
      <c r="A27650" t="str">
        <f>HYPERLINK("https://www.773grp.com/globalSearch/P6KE170A/page-1", "P6KE170A")</f>
        <v>P6KE170A</v>
      </c>
      <c r="B27650" s="3" t="s">
        <v>95</v>
      </c>
      <c r="C27650" s="6">
        <v>10000</v>
      </c>
      <c r="D27650" s="7">
        <v>0.43</v>
      </c>
      <c r="E27650" t="s">
        <v>96</v>
      </c>
    </row>
    <row r="27651" spans="1:5" x14ac:dyDescent="0.25">
      <c r="A27651" t="str">
        <f>HYPERLINK("https://www.773grp.com/globalSearch/P6KE180A/page-1", "P6KE180A")</f>
        <v>P6KE180A</v>
      </c>
      <c r="B27651" s="3" t="s">
        <v>95</v>
      </c>
      <c r="C27651" s="6">
        <v>6000</v>
      </c>
      <c r="D27651" s="7">
        <v>0.43</v>
      </c>
      <c r="E27651" t="s">
        <v>96</v>
      </c>
    </row>
    <row r="27652" spans="1:5" x14ac:dyDescent="0.25">
      <c r="A27652" t="str">
        <f>HYPERLINK("https://www.773grp.com/globalSearch/P6KE180AG/page-1", "P6KE180AG")</f>
        <v>P6KE180AG</v>
      </c>
      <c r="B27652" s="3" t="s">
        <v>95</v>
      </c>
      <c r="C27652" s="6">
        <v>5000</v>
      </c>
      <c r="D27652" s="7">
        <v>0.43</v>
      </c>
      <c r="E27652" t="s">
        <v>96</v>
      </c>
    </row>
    <row r="27653" spans="1:5" x14ac:dyDescent="0.25">
      <c r="A27653" t="str">
        <f>HYPERLINK("https://www.773grp.com/globalSearch/P6KE180ARL/page-1", "P6KE180ARL")</f>
        <v>P6KE180ARL</v>
      </c>
      <c r="B27653" s="3" t="s">
        <v>95</v>
      </c>
      <c r="C27653" s="6">
        <v>8000</v>
      </c>
      <c r="D27653" s="7">
        <v>0.43</v>
      </c>
      <c r="E27653" t="s">
        <v>96</v>
      </c>
    </row>
    <row r="27654" spans="1:5" x14ac:dyDescent="0.25">
      <c r="A27654" t="str">
        <f>HYPERLINK("https://www.773grp.com/globalSearch/P6KE18ARL/page-1", "P6KE18ARL")</f>
        <v>P6KE18ARL</v>
      </c>
      <c r="B27654" s="3" t="s">
        <v>95</v>
      </c>
      <c r="C27654" s="6">
        <v>41</v>
      </c>
      <c r="D27654" s="7">
        <v>0.43</v>
      </c>
      <c r="E27654" t="s">
        <v>96</v>
      </c>
    </row>
    <row r="27655" spans="1:5" x14ac:dyDescent="0.25">
      <c r="A27655" t="str">
        <f>HYPERLINK("https://www.773grp.com/globalSearch/P6KE200BG/page-1", "P6KE200BG")</f>
        <v>P6KE200BG</v>
      </c>
      <c r="B27655" s="3" t="s">
        <v>95</v>
      </c>
      <c r="C27655" s="6">
        <v>1000</v>
      </c>
      <c r="D27655" s="7">
        <v>0.43</v>
      </c>
      <c r="E27655" t="s">
        <v>96</v>
      </c>
    </row>
    <row r="27656" spans="1:5" x14ac:dyDescent="0.25">
      <c r="A27656" t="str">
        <f>HYPERLINK("https://www.773grp.com/globalSearch/P6KE20AG/page-1", "P6KE20AG")</f>
        <v>P6KE20AG</v>
      </c>
      <c r="B27656" s="3" t="s">
        <v>95</v>
      </c>
      <c r="C27656" s="6">
        <v>117</v>
      </c>
      <c r="D27656" s="7">
        <v>0.43</v>
      </c>
      <c r="E27656" t="s">
        <v>96</v>
      </c>
    </row>
    <row r="27657" spans="1:5" x14ac:dyDescent="0.25">
      <c r="A27657" t="str">
        <f>HYPERLINK("https://www.773grp.com/globalSearch/P6KE20ARL/page-1", "P6KE20ARL")</f>
        <v>P6KE20ARL</v>
      </c>
      <c r="B27657" s="3" t="s">
        <v>95</v>
      </c>
      <c r="C27657" s="6">
        <v>8000</v>
      </c>
      <c r="D27657" s="7">
        <v>0.43</v>
      </c>
      <c r="E27657" t="s">
        <v>96</v>
      </c>
    </row>
    <row r="27658" spans="1:5" x14ac:dyDescent="0.25">
      <c r="A27658" t="str">
        <f>HYPERLINK("https://www.773grp.com/globalSearch/P6KE22ARL/page-1", "P6KE22ARL")</f>
        <v>P6KE22ARL</v>
      </c>
      <c r="B27658" s="3" t="s">
        <v>95</v>
      </c>
      <c r="C27658" s="6">
        <v>20158</v>
      </c>
      <c r="D27658" s="7">
        <v>0.43</v>
      </c>
      <c r="E27658" t="s">
        <v>96</v>
      </c>
    </row>
    <row r="27659" spans="1:5" x14ac:dyDescent="0.25">
      <c r="A27659" t="str">
        <f>HYPERLINK("https://www.773grp.com/globalSearch/P6KE27AG/page-1", "P6KE27AG")</f>
        <v>P6KE27AG</v>
      </c>
      <c r="B27659" s="3" t="s">
        <v>95</v>
      </c>
      <c r="C27659" s="6">
        <v>5621</v>
      </c>
      <c r="D27659" s="7">
        <v>0.43</v>
      </c>
      <c r="E27659" t="s">
        <v>96</v>
      </c>
    </row>
    <row r="27660" spans="1:5" x14ac:dyDescent="0.25">
      <c r="A27660" t="str">
        <f>HYPERLINK("https://www.773grp.com/globalSearch/P6KE27ARL/page-1", "P6KE27ARL")</f>
        <v>P6KE27ARL</v>
      </c>
      <c r="B27660" s="3" t="s">
        <v>95</v>
      </c>
      <c r="C27660" s="6">
        <v>12000</v>
      </c>
      <c r="D27660" s="7">
        <v>0.43</v>
      </c>
      <c r="E27660" t="s">
        <v>96</v>
      </c>
    </row>
    <row r="27661" spans="1:5" x14ac:dyDescent="0.25">
      <c r="A27661" t="str">
        <f>HYPERLINK("https://www.773grp.com/globalSearch/P6KE43A/page-1", "P6KE43A")</f>
        <v>P6KE43A</v>
      </c>
      <c r="B27661" s="3" t="s">
        <v>95</v>
      </c>
      <c r="C27661" s="6">
        <v>1000</v>
      </c>
      <c r="D27661" s="7">
        <v>0.43</v>
      </c>
      <c r="E27661" t="s">
        <v>96</v>
      </c>
    </row>
    <row r="27662" spans="1:5" x14ac:dyDescent="0.25">
      <c r="A27662" t="str">
        <f>HYPERLINK("https://www.773grp.com/globalSearch/P6KE56A/page-1", "P6KE56A")</f>
        <v>P6KE56A</v>
      </c>
      <c r="B27662" s="3" t="s">
        <v>95</v>
      </c>
      <c r="C27662" s="6">
        <v>1000</v>
      </c>
      <c r="D27662" s="7">
        <v>0.43</v>
      </c>
      <c r="E27662" t="s">
        <v>96</v>
      </c>
    </row>
    <row r="27663" spans="1:5" x14ac:dyDescent="0.25">
      <c r="A27663" t="str">
        <f>HYPERLINK("https://www.773grp.com/globalSearch/P6KE6.8A/page-1", "P6KE6.8A")</f>
        <v>P6KE6.8A</v>
      </c>
      <c r="B27663" s="3" t="s">
        <v>95</v>
      </c>
      <c r="C27663" s="6">
        <v>9598</v>
      </c>
      <c r="D27663" s="7">
        <v>0.43</v>
      </c>
      <c r="E27663" t="s">
        <v>96</v>
      </c>
    </row>
    <row r="27664" spans="1:5" x14ac:dyDescent="0.25">
      <c r="A27664" t="str">
        <f>HYPERLINK("https://www.773grp.com/globalSearch/P6KE62A/page-1", "P6KE62A")</f>
        <v>P6KE62A</v>
      </c>
      <c r="B27664" s="3" t="s">
        <v>95</v>
      </c>
      <c r="C27664" s="6">
        <v>1000</v>
      </c>
      <c r="D27664" s="7">
        <v>0.43</v>
      </c>
      <c r="E27664" t="s">
        <v>96</v>
      </c>
    </row>
    <row r="27665" spans="1:5" x14ac:dyDescent="0.25">
      <c r="A27665" t="str">
        <f>HYPERLINK("https://www.773grp.com/globalSearch/P6KE62AG/page-1", "P6KE62AG")</f>
        <v>P6KE62AG</v>
      </c>
      <c r="B27665" s="3" t="s">
        <v>95</v>
      </c>
      <c r="C27665" s="6">
        <v>21000</v>
      </c>
      <c r="D27665" s="7">
        <v>0.43</v>
      </c>
      <c r="E27665" t="s">
        <v>96</v>
      </c>
    </row>
    <row r="27666" spans="1:5" x14ac:dyDescent="0.25">
      <c r="A27666" t="str">
        <f>HYPERLINK("https://www.773grp.com/globalSearch/P6KE62ARL/page-1", "P6KE62ARL")</f>
        <v>P6KE62ARL</v>
      </c>
      <c r="B27666" s="3" t="s">
        <v>95</v>
      </c>
      <c r="C27666" s="6">
        <v>8000</v>
      </c>
      <c r="D27666" s="7">
        <v>0.43</v>
      </c>
      <c r="E27666" t="s">
        <v>96</v>
      </c>
    </row>
    <row r="27667" spans="1:5" x14ac:dyDescent="0.25">
      <c r="A27667" t="str">
        <f>HYPERLINK("https://www.773grp.com/globalSearch/P6KE68A/page-1", "P6KE68A")</f>
        <v>P6KE68A</v>
      </c>
      <c r="B27667" s="3" t="s">
        <v>95</v>
      </c>
      <c r="C27667" s="6">
        <v>2300</v>
      </c>
      <c r="D27667" s="7">
        <v>0.43</v>
      </c>
      <c r="E27667" t="s">
        <v>96</v>
      </c>
    </row>
    <row r="27668" spans="1:5" x14ac:dyDescent="0.25">
      <c r="A27668" t="str">
        <f>HYPERLINK("https://www.773grp.com/globalSearch/P6KE7.5A/page-1", "P6KE7.5A")</f>
        <v>P6KE7.5A</v>
      </c>
      <c r="B27668" s="3" t="s">
        <v>95</v>
      </c>
      <c r="C27668" s="6">
        <v>1000</v>
      </c>
      <c r="D27668" s="7">
        <v>0.43</v>
      </c>
      <c r="E27668" t="s">
        <v>96</v>
      </c>
    </row>
    <row r="27669" spans="1:5" x14ac:dyDescent="0.25">
      <c r="A27669" t="str">
        <f>HYPERLINK("https://www.773grp.com/globalSearch/P6KE7.5ARL/page-1", "P6KE7.5ARL")</f>
        <v>P6KE7.5ARL</v>
      </c>
      <c r="B27669" s="3" t="s">
        <v>95</v>
      </c>
      <c r="C27669" s="6">
        <v>80</v>
      </c>
      <c r="D27669" s="7">
        <v>0.43</v>
      </c>
      <c r="E27669" t="s">
        <v>96</v>
      </c>
    </row>
    <row r="27670" spans="1:5" x14ac:dyDescent="0.25">
      <c r="A27670" t="str">
        <f>HYPERLINK("https://www.773grp.com/globalSearch/P6KE9.1AG/page-1", "P6KE9.1AG")</f>
        <v>P6KE9.1AG</v>
      </c>
      <c r="B27670" s="3" t="s">
        <v>95</v>
      </c>
      <c r="C27670" s="6">
        <v>16000</v>
      </c>
      <c r="D27670" s="7">
        <v>0.43</v>
      </c>
      <c r="E27670" t="s">
        <v>96</v>
      </c>
    </row>
    <row r="27671" spans="1:5" x14ac:dyDescent="0.25">
      <c r="A27671" t="str">
        <f>HYPERLINK("https://www.773grp.com/globalSearch/SA12AG/page-1", "SA12AG")</f>
        <v>SA12AG</v>
      </c>
      <c r="B27671" s="3" t="s">
        <v>95</v>
      </c>
      <c r="C27671" s="6">
        <v>17000</v>
      </c>
      <c r="D27671" s="7">
        <v>0.43</v>
      </c>
      <c r="E27671" t="s">
        <v>96</v>
      </c>
    </row>
    <row r="27672" spans="1:5" x14ac:dyDescent="0.25">
      <c r="A27672" t="str">
        <f>HYPERLINK("https://www.773grp.com/globalSearch/SA12CA/page-1", "SA12CA")</f>
        <v>SA12CA</v>
      </c>
      <c r="B27672" s="3" t="s">
        <v>95</v>
      </c>
      <c r="C27672" s="6">
        <v>55424</v>
      </c>
      <c r="D27672" s="7">
        <v>0.43</v>
      </c>
      <c r="E27672" t="s">
        <v>96</v>
      </c>
    </row>
    <row r="27673" spans="1:5" x14ac:dyDescent="0.25">
      <c r="A27673" t="str">
        <f>HYPERLINK("https://www.773grp.com/globalSearch/SA12CARL/page-1", "SA12CARL")</f>
        <v>SA12CARL</v>
      </c>
      <c r="B27673" s="3" t="s">
        <v>95</v>
      </c>
      <c r="C27673" s="6">
        <v>40000</v>
      </c>
      <c r="D27673" s="7">
        <v>0.43</v>
      </c>
      <c r="E27673" t="s">
        <v>96</v>
      </c>
    </row>
    <row r="27674" spans="1:5" x14ac:dyDescent="0.25">
      <c r="A27674" t="str">
        <f>HYPERLINK("https://www.773grp.com/globalSearch/SA13ARLG/page-1", "SA13ARLG")</f>
        <v>SA13ARLG</v>
      </c>
      <c r="B27674" s="3" t="s">
        <v>95</v>
      </c>
      <c r="C27674" s="6">
        <v>5000</v>
      </c>
      <c r="D27674" s="7">
        <v>0.43</v>
      </c>
    </row>
    <row r="27675" spans="1:5" x14ac:dyDescent="0.25">
      <c r="A27675" t="str">
        <f>HYPERLINK("https://www.773grp.com/globalSearch/SA14066BDR2/page-1", "SA14066BDR2")</f>
        <v>SA14066BDR2</v>
      </c>
      <c r="B27675" s="3" t="s">
        <v>95</v>
      </c>
      <c r="C27675" s="6">
        <v>32500</v>
      </c>
      <c r="D27675" s="7">
        <v>0.43</v>
      </c>
    </row>
    <row r="27676" spans="1:5" x14ac:dyDescent="0.25">
      <c r="A27676" t="str">
        <f>HYPERLINK("https://www.773grp.com/globalSearch/SA14541BCP/page-1", "SA14541BCP")</f>
        <v>SA14541BCP</v>
      </c>
      <c r="B27676" s="3" t="s">
        <v>95</v>
      </c>
      <c r="C27676" s="6">
        <v>27675</v>
      </c>
      <c r="D27676" s="7">
        <v>0.43</v>
      </c>
    </row>
    <row r="27677" spans="1:5" x14ac:dyDescent="0.25">
      <c r="A27677" t="str">
        <f>HYPERLINK("https://www.773grp.com/globalSearch/SA16ARLG/page-1", "SA16ARLG")</f>
        <v>SA16ARLG</v>
      </c>
      <c r="B27677" s="3" t="s">
        <v>95</v>
      </c>
      <c r="C27677" s="6">
        <v>2996</v>
      </c>
      <c r="D27677" s="7">
        <v>0.43</v>
      </c>
      <c r="E27677" t="s">
        <v>96</v>
      </c>
    </row>
    <row r="27678" spans="1:5" x14ac:dyDescent="0.25">
      <c r="A27678" t="str">
        <f>HYPERLINK("https://www.773grp.com/globalSearch/SA17ARLG/page-1", "SA17ARLG")</f>
        <v>SA17ARLG</v>
      </c>
      <c r="B27678" s="3" t="s">
        <v>95</v>
      </c>
      <c r="C27678" s="6">
        <v>10000</v>
      </c>
      <c r="D27678" s="7">
        <v>0.43</v>
      </c>
      <c r="E27678" t="s">
        <v>96</v>
      </c>
    </row>
    <row r="27679" spans="1:5" x14ac:dyDescent="0.25">
      <c r="A27679" t="str">
        <f>HYPERLINK("https://www.773grp.com/globalSearch/SA18CA/page-1", "SA18CA")</f>
        <v>SA18CA</v>
      </c>
      <c r="B27679" s="3" t="s">
        <v>95</v>
      </c>
      <c r="C27679" s="6">
        <v>77</v>
      </c>
      <c r="D27679" s="7">
        <v>0.43</v>
      </c>
      <c r="E27679" t="s">
        <v>96</v>
      </c>
    </row>
    <row r="27680" spans="1:5" x14ac:dyDescent="0.25">
      <c r="A27680" t="str">
        <f>HYPERLINK("https://www.773grp.com/globalSearch/SA18CARL/page-1", "SA18CARL")</f>
        <v>SA18CARL</v>
      </c>
      <c r="B27680" s="3" t="s">
        <v>95</v>
      </c>
      <c r="C27680" s="6">
        <v>41390</v>
      </c>
      <c r="D27680" s="7">
        <v>0.43</v>
      </c>
      <c r="E27680" t="s">
        <v>96</v>
      </c>
    </row>
    <row r="27681" spans="1:5" x14ac:dyDescent="0.25">
      <c r="A27681" t="str">
        <f>HYPERLINK("https://www.773grp.com/globalSearch/SA20ARLG/page-1", "SA20ARLG")</f>
        <v>SA20ARLG</v>
      </c>
      <c r="B27681" s="3" t="s">
        <v>95</v>
      </c>
      <c r="C27681" s="6">
        <v>20000</v>
      </c>
      <c r="D27681" s="7">
        <v>0.43</v>
      </c>
      <c r="E27681" t="s">
        <v>96</v>
      </c>
    </row>
    <row r="27682" spans="1:5" x14ac:dyDescent="0.25">
      <c r="A27682" t="str">
        <f>HYPERLINK("https://www.773grp.com/globalSearch/SA24AG/page-1", "SA24AG")</f>
        <v>SA24AG</v>
      </c>
      <c r="B27682" s="3" t="s">
        <v>95</v>
      </c>
      <c r="C27682" s="6">
        <v>6000</v>
      </c>
      <c r="D27682" s="7">
        <v>0.43</v>
      </c>
      <c r="E27682" t="s">
        <v>96</v>
      </c>
    </row>
    <row r="27683" spans="1:5" x14ac:dyDescent="0.25">
      <c r="A27683" t="str">
        <f>HYPERLINK("https://www.773grp.com/globalSearch/SA24ARLG/page-1", "SA24ARLG")</f>
        <v>SA24ARLG</v>
      </c>
      <c r="B27683" s="3" t="s">
        <v>95</v>
      </c>
      <c r="C27683" s="6">
        <v>15000</v>
      </c>
      <c r="D27683" s="7">
        <v>0.43</v>
      </c>
      <c r="E27683" t="s">
        <v>96</v>
      </c>
    </row>
    <row r="27684" spans="1:5" x14ac:dyDescent="0.25">
      <c r="A27684" t="str">
        <f>HYPERLINK("https://www.773grp.com/globalSearch/SA28ARLG/page-1", "SA28ARLG")</f>
        <v>SA28ARLG</v>
      </c>
      <c r="B27684" s="3" t="s">
        <v>95</v>
      </c>
      <c r="C27684" s="6">
        <v>33054</v>
      </c>
      <c r="D27684" s="7">
        <v>0.43</v>
      </c>
      <c r="E27684" t="s">
        <v>96</v>
      </c>
    </row>
    <row r="27685" spans="1:5" x14ac:dyDescent="0.25">
      <c r="A27685" t="str">
        <f>HYPERLINK("https://www.773grp.com/globalSearch/SA28CA/page-1", "SA28CA")</f>
        <v>SA28CA</v>
      </c>
      <c r="B27685" s="3" t="s">
        <v>95</v>
      </c>
      <c r="C27685" s="6">
        <v>5000</v>
      </c>
      <c r="D27685" s="7">
        <v>0.43</v>
      </c>
      <c r="E27685" t="s">
        <v>96</v>
      </c>
    </row>
    <row r="27686" spans="1:5" x14ac:dyDescent="0.25">
      <c r="A27686" t="str">
        <f>HYPERLINK("https://www.773grp.com/globalSearch/SA30ARLG/page-1", "SA30ARLG")</f>
        <v>SA30ARLG</v>
      </c>
      <c r="B27686" s="3" t="s">
        <v>95</v>
      </c>
      <c r="C27686" s="6">
        <v>10000</v>
      </c>
      <c r="D27686" s="7">
        <v>0.43</v>
      </c>
      <c r="E27686" t="s">
        <v>96</v>
      </c>
    </row>
    <row r="27687" spans="1:5" x14ac:dyDescent="0.25">
      <c r="A27687" t="str">
        <f>HYPERLINK("https://www.773grp.com/globalSearch/SA33ARLG/page-1", "SA33ARLG")</f>
        <v>SA33ARLG</v>
      </c>
      <c r="B27687" s="3" t="s">
        <v>95</v>
      </c>
      <c r="C27687" s="6">
        <v>14000</v>
      </c>
      <c r="D27687" s="7">
        <v>0.43</v>
      </c>
      <c r="E27687" t="s">
        <v>96</v>
      </c>
    </row>
    <row r="27688" spans="1:5" x14ac:dyDescent="0.25">
      <c r="A27688" t="str">
        <f>HYPERLINK("https://www.773grp.com/globalSearch/SA36AG/page-1", "SA36AG")</f>
        <v>SA36AG</v>
      </c>
      <c r="B27688" s="3" t="s">
        <v>95</v>
      </c>
      <c r="C27688" s="6">
        <v>3546</v>
      </c>
      <c r="D27688" s="7">
        <v>0.43</v>
      </c>
    </row>
    <row r="27689" spans="1:5" x14ac:dyDescent="0.25">
      <c r="A27689" t="str">
        <f>HYPERLINK("https://www.773grp.com/globalSearch/SA43CA/page-1", "SA43CA")</f>
        <v>SA43CA</v>
      </c>
      <c r="B27689" s="3" t="s">
        <v>95</v>
      </c>
      <c r="C27689" s="6">
        <v>11345</v>
      </c>
      <c r="D27689" s="7">
        <v>0.43</v>
      </c>
      <c r="E27689" t="s">
        <v>96</v>
      </c>
    </row>
    <row r="27690" spans="1:5" x14ac:dyDescent="0.25">
      <c r="A27690" t="str">
        <f>HYPERLINK("https://www.773grp.com/globalSearch/SA6.0AG/page-1", "SA6.0AG")</f>
        <v>SA6.0AG</v>
      </c>
      <c r="B27690" s="3" t="s">
        <v>95</v>
      </c>
      <c r="C27690" s="6">
        <v>3115</v>
      </c>
      <c r="D27690" s="7">
        <v>0.43</v>
      </c>
      <c r="E27690" t="s">
        <v>96</v>
      </c>
    </row>
    <row r="27691" spans="1:5" x14ac:dyDescent="0.25">
      <c r="A27691" t="str">
        <f>HYPERLINK("https://www.773grp.com/globalSearch/SA6.0CARL/page-1", "SA6.0CARL")</f>
        <v>SA6.0CARL</v>
      </c>
      <c r="B27691" s="3" t="s">
        <v>95</v>
      </c>
      <c r="C27691" s="6">
        <v>115000</v>
      </c>
      <c r="D27691" s="7">
        <v>0.43</v>
      </c>
      <c r="E27691" t="s">
        <v>96</v>
      </c>
    </row>
    <row r="27692" spans="1:5" x14ac:dyDescent="0.25">
      <c r="A27692" t="str">
        <f>HYPERLINK("https://www.773grp.com/globalSearch/SA6.5CA/page-1", "SA6.5CA")</f>
        <v>SA6.5CA</v>
      </c>
      <c r="B27692" s="3" t="s">
        <v>95</v>
      </c>
      <c r="C27692" s="6">
        <v>5000</v>
      </c>
      <c r="D27692" s="7">
        <v>0.43</v>
      </c>
      <c r="E27692" t="s">
        <v>96</v>
      </c>
    </row>
    <row r="27693" spans="1:5" x14ac:dyDescent="0.25">
      <c r="A27693" t="str">
        <f>HYPERLINK("https://www.773grp.com/globalSearch/SA6.5CARL/page-1", "SA6.5CARL")</f>
        <v>SA6.5CARL</v>
      </c>
      <c r="B27693" s="3" t="s">
        <v>95</v>
      </c>
      <c r="C27693" s="6">
        <v>15000</v>
      </c>
      <c r="D27693" s="7">
        <v>0.43</v>
      </c>
      <c r="E27693" t="s">
        <v>96</v>
      </c>
    </row>
    <row r="27694" spans="1:5" x14ac:dyDescent="0.25">
      <c r="A27694" t="str">
        <f>HYPERLINK("https://www.773grp.com/globalSearch/SA7.0CA/page-1", "SA7.0CA")</f>
        <v>SA7.0CA</v>
      </c>
      <c r="B27694" s="3" t="s">
        <v>95</v>
      </c>
      <c r="C27694" s="6">
        <v>5000</v>
      </c>
      <c r="D27694" s="7">
        <v>0.43</v>
      </c>
      <c r="E27694" t="s">
        <v>96</v>
      </c>
    </row>
    <row r="27695" spans="1:5" x14ac:dyDescent="0.25">
      <c r="A27695" t="str">
        <f>HYPERLINK("https://www.773grp.com/globalSearch/SA8.5CARL/page-1", "SA8.5CARL")</f>
        <v>SA8.5CARL</v>
      </c>
      <c r="B27695" s="3" t="s">
        <v>95</v>
      </c>
      <c r="C27695" s="6">
        <v>3500</v>
      </c>
      <c r="D27695" s="7">
        <v>0.43</v>
      </c>
      <c r="E27695" t="s">
        <v>96</v>
      </c>
    </row>
    <row r="27696" spans="1:5" x14ac:dyDescent="0.25">
      <c r="A27696" t="str">
        <f>HYPERLINK("https://www.773grp.com/globalSearch/SB05-03C-TB-E/page-1", "SB05-03C-TB-E")</f>
        <v>SB05-03C-TB-E</v>
      </c>
      <c r="B27696" s="3" t="s">
        <v>95</v>
      </c>
      <c r="C27696" s="6">
        <v>3000</v>
      </c>
      <c r="D27696" s="7">
        <v>0.43</v>
      </c>
    </row>
    <row r="27697" spans="1:5" x14ac:dyDescent="0.25">
      <c r="A27697" t="str">
        <f>HYPERLINK("https://www.773grp.com/globalSearch/SBRS8130LT3G/page-1", "SBRS8130LT3G")</f>
        <v>SBRS8130LT3G</v>
      </c>
      <c r="B27697" s="3" t="s">
        <v>95</v>
      </c>
      <c r="C27697" s="6">
        <v>246900</v>
      </c>
      <c r="D27697" s="7">
        <v>0.43</v>
      </c>
    </row>
    <row r="27698" spans="1:5" x14ac:dyDescent="0.25">
      <c r="A27698" t="str">
        <f>HYPERLINK("https://www.773grp.com/globalSearch/SBRS8190T3/page-1", "SBRS8190T3")</f>
        <v>SBRS8190T3</v>
      </c>
      <c r="B27698" s="3" t="s">
        <v>95</v>
      </c>
      <c r="C27698" s="6">
        <v>42500</v>
      </c>
      <c r="D27698" s="7">
        <v>0.43</v>
      </c>
    </row>
    <row r="27699" spans="1:5" x14ac:dyDescent="0.25">
      <c r="A27699" t="str">
        <f>HYPERLINK("https://www.773grp.com/globalSearch/SBZ1N5368BRL/page-1", "SBZ1N5368BRL")</f>
        <v>SBZ1N5368BRL</v>
      </c>
      <c r="B27699" s="3" t="s">
        <v>95</v>
      </c>
      <c r="C27699" s="6">
        <v>12000</v>
      </c>
      <c r="D27699" s="7">
        <v>0.43</v>
      </c>
    </row>
    <row r="27700" spans="1:5" x14ac:dyDescent="0.25">
      <c r="A27700" t="str">
        <f>HYPERLINK("https://www.773grp.com/globalSearch/SC65895PK125A/page-1", "SC65895PK125A")</f>
        <v>SC65895PK125A</v>
      </c>
      <c r="B27700" s="3" t="s">
        <v>95</v>
      </c>
      <c r="C27700" s="6">
        <v>5525</v>
      </c>
      <c r="D27700" s="7">
        <v>0.43</v>
      </c>
    </row>
    <row r="27701" spans="1:5" x14ac:dyDescent="0.25">
      <c r="A27701" t="str">
        <f>HYPERLINK("https://www.773grp.com/globalSearch/SC65896D138R2/page-1", "SC65896D138R2")</f>
        <v>SC65896D138R2</v>
      </c>
      <c r="B27701" s="3" t="s">
        <v>95</v>
      </c>
      <c r="C27701" s="6">
        <v>1248</v>
      </c>
      <c r="D27701" s="7">
        <v>0.43</v>
      </c>
    </row>
    <row r="27702" spans="1:5" x14ac:dyDescent="0.25">
      <c r="A27702" t="str">
        <f>HYPERLINK("https://www.773grp.com/globalSearch/SC7S02FEL/page-1", "SC7S02FEL")</f>
        <v>SC7S02FEL</v>
      </c>
      <c r="B27702" s="3" t="s">
        <v>95</v>
      </c>
      <c r="C27702" s="6">
        <v>3000</v>
      </c>
      <c r="D27702" s="7">
        <v>0.43</v>
      </c>
    </row>
    <row r="27703" spans="1:5" x14ac:dyDescent="0.25">
      <c r="A27703" t="str">
        <f>HYPERLINK("https://www.773grp.com/globalSearch/SC7S08FEL/page-1", "SC7S08FEL")</f>
        <v>SC7S08FEL</v>
      </c>
      <c r="B27703" s="3" t="s">
        <v>95</v>
      </c>
      <c r="C27703" s="6">
        <v>60000</v>
      </c>
      <c r="D27703" s="7">
        <v>0.43</v>
      </c>
    </row>
    <row r="27704" spans="1:5" x14ac:dyDescent="0.25">
      <c r="A27704" t="str">
        <f>HYPERLINK("https://www.773grp.com/globalSearch/SC7S08FER/page-1", "SC7S08FER")</f>
        <v>SC7S08FER</v>
      </c>
      <c r="B27704" s="3" t="s">
        <v>95</v>
      </c>
      <c r="C27704" s="6">
        <v>333000</v>
      </c>
      <c r="D27704" s="7">
        <v>0.43</v>
      </c>
    </row>
    <row r="27705" spans="1:5" x14ac:dyDescent="0.25">
      <c r="A27705" t="str">
        <f>HYPERLINK("https://www.773grp.com/globalSearch/SC7S32FEL/page-1", "SC7S32FEL")</f>
        <v>SC7S32FEL</v>
      </c>
      <c r="B27705" s="3" t="s">
        <v>95</v>
      </c>
      <c r="C27705" s="6">
        <v>9000</v>
      </c>
      <c r="D27705" s="7">
        <v>0.43</v>
      </c>
    </row>
    <row r="27706" spans="1:5" x14ac:dyDescent="0.25">
      <c r="A27706" t="str">
        <f>HYPERLINK("https://www.773grp.com/globalSearch/SC7S32FER/page-1", "SC7S32FER")</f>
        <v>SC7S32FER</v>
      </c>
      <c r="B27706" s="3" t="s">
        <v>95</v>
      </c>
      <c r="C27706" s="6">
        <v>15000</v>
      </c>
      <c r="D27706" s="7">
        <v>0.43</v>
      </c>
    </row>
    <row r="27707" spans="1:5" x14ac:dyDescent="0.25">
      <c r="A27707" t="str">
        <f>HYPERLINK("https://www.773grp.com/globalSearch/SCH1334-TL-H/page-1", "SCH1334-TL-H")</f>
        <v>SCH1334-TL-H</v>
      </c>
      <c r="B27707" s="3" t="s">
        <v>95</v>
      </c>
      <c r="C27707" s="6">
        <v>5000</v>
      </c>
      <c r="D27707" s="7">
        <v>0.43</v>
      </c>
    </row>
    <row r="27708" spans="1:5" x14ac:dyDescent="0.25">
      <c r="A27708" t="str">
        <f>HYPERLINK("https://www.773grp.com/globalSearch/SMF05CT1G/page-1", "SMF05CT1G")</f>
        <v>SMF05CT1G</v>
      </c>
      <c r="B27708" s="3" t="s">
        <v>95</v>
      </c>
      <c r="C27708" s="6">
        <v>220770</v>
      </c>
      <c r="D27708" s="7">
        <v>0.43</v>
      </c>
      <c r="E27708" t="s">
        <v>96</v>
      </c>
    </row>
    <row r="27709" spans="1:5" x14ac:dyDescent="0.25">
      <c r="A27709" t="str">
        <f>HYPERLINK("https://www.773grp.com/globalSearch/SMF05CT2G/page-1", "SMF05CT2G")</f>
        <v>SMF05CT2G</v>
      </c>
      <c r="B27709" s="3" t="s">
        <v>95</v>
      </c>
      <c r="C27709" s="6">
        <v>3000</v>
      </c>
      <c r="D27709" s="7">
        <v>0.43</v>
      </c>
    </row>
    <row r="27710" spans="1:5" x14ac:dyDescent="0.25">
      <c r="A27710" t="str">
        <f>HYPERLINK("https://www.773grp.com/globalSearch/SMF100AT1/page-1", "SMF100AT1")</f>
        <v>SMF100AT1</v>
      </c>
      <c r="B27710" s="3" t="s">
        <v>95</v>
      </c>
      <c r="C27710" s="6">
        <v>6825</v>
      </c>
      <c r="D27710" s="7">
        <v>0.43</v>
      </c>
      <c r="E27710" t="s">
        <v>96</v>
      </c>
    </row>
    <row r="27711" spans="1:5" x14ac:dyDescent="0.25">
      <c r="A27711" t="str">
        <f>HYPERLINK("https://www.773grp.com/globalSearch/SMF12CT1G/page-1", "SMF12CT1G")</f>
        <v>SMF12CT1G</v>
      </c>
      <c r="B27711" s="3" t="s">
        <v>95</v>
      </c>
      <c r="C27711" s="6">
        <v>318000</v>
      </c>
      <c r="D27711" s="7">
        <v>0.43</v>
      </c>
      <c r="E27711" t="s">
        <v>96</v>
      </c>
    </row>
    <row r="27712" spans="1:5" x14ac:dyDescent="0.25">
      <c r="A27712" t="str">
        <f>HYPERLINK("https://www.773grp.com/globalSearch/SMF130AT1/page-1", "SMF130AT1")</f>
        <v>SMF130AT1</v>
      </c>
      <c r="B27712" s="3" t="s">
        <v>95</v>
      </c>
      <c r="C27712" s="6">
        <v>2970</v>
      </c>
      <c r="D27712" s="7">
        <v>0.43</v>
      </c>
      <c r="E27712" t="s">
        <v>96</v>
      </c>
    </row>
    <row r="27713" spans="1:5" x14ac:dyDescent="0.25">
      <c r="A27713" t="str">
        <f>HYPERLINK("https://www.773grp.com/globalSearch/SMF13AT1/page-1", "SMF13AT1")</f>
        <v>SMF13AT1</v>
      </c>
      <c r="B27713" s="3" t="s">
        <v>95</v>
      </c>
      <c r="C27713" s="6">
        <v>3000</v>
      </c>
      <c r="D27713" s="7">
        <v>0.43</v>
      </c>
      <c r="E27713" t="s">
        <v>96</v>
      </c>
    </row>
    <row r="27714" spans="1:5" x14ac:dyDescent="0.25">
      <c r="A27714" t="str">
        <f>HYPERLINK("https://www.773grp.com/globalSearch/SMF150AT1/page-1", "SMF150AT1")</f>
        <v>SMF150AT1</v>
      </c>
      <c r="B27714" s="3" t="s">
        <v>95</v>
      </c>
      <c r="C27714" s="6">
        <v>3000</v>
      </c>
      <c r="D27714" s="7">
        <v>0.43</v>
      </c>
      <c r="E27714" t="s">
        <v>96</v>
      </c>
    </row>
    <row r="27715" spans="1:5" x14ac:dyDescent="0.25">
      <c r="A27715" t="str">
        <f>HYPERLINK("https://www.773grp.com/globalSearch/SMF15CT1G/page-1", "SMF15CT1G")</f>
        <v>SMF15CT1G</v>
      </c>
      <c r="B27715" s="3" t="s">
        <v>95</v>
      </c>
      <c r="C27715" s="6">
        <v>3000</v>
      </c>
      <c r="D27715" s="7">
        <v>0.43</v>
      </c>
      <c r="E27715" t="s">
        <v>96</v>
      </c>
    </row>
    <row r="27716" spans="1:5" x14ac:dyDescent="0.25">
      <c r="A27716" t="str">
        <f>HYPERLINK("https://www.773grp.com/globalSearch/SMF160AT1/page-1", "SMF160AT1")</f>
        <v>SMF160AT1</v>
      </c>
      <c r="B27716" s="3" t="s">
        <v>95</v>
      </c>
      <c r="C27716" s="6">
        <v>3000</v>
      </c>
      <c r="D27716" s="7">
        <v>0.43</v>
      </c>
      <c r="E27716" t="s">
        <v>96</v>
      </c>
    </row>
    <row r="27717" spans="1:5" x14ac:dyDescent="0.25">
      <c r="A27717" t="str">
        <f>HYPERLINK("https://www.773grp.com/globalSearch/SMF24CT1G/page-1", "SMF24CT1G")</f>
        <v>SMF24CT1G</v>
      </c>
      <c r="B27717" s="3" t="s">
        <v>95</v>
      </c>
      <c r="C27717" s="6">
        <v>6000</v>
      </c>
      <c r="D27717" s="7">
        <v>0.43</v>
      </c>
      <c r="E27717" t="s">
        <v>96</v>
      </c>
    </row>
    <row r="27718" spans="1:5" x14ac:dyDescent="0.25">
      <c r="A27718" t="str">
        <f>HYPERLINK("https://www.773grp.com/globalSearch/SMF26AT1/page-1", "SMF26AT1")</f>
        <v>SMF26AT1</v>
      </c>
      <c r="B27718" s="3" t="s">
        <v>95</v>
      </c>
      <c r="C27718" s="6">
        <v>3405</v>
      </c>
      <c r="D27718" s="7">
        <v>0.43</v>
      </c>
      <c r="E27718" t="s">
        <v>96</v>
      </c>
    </row>
    <row r="27719" spans="1:5" x14ac:dyDescent="0.25">
      <c r="A27719" t="str">
        <f>HYPERLINK("https://www.773grp.com/globalSearch/SMF28AT1/page-1", "SMF28AT1")</f>
        <v>SMF28AT1</v>
      </c>
      <c r="B27719" s="3" t="s">
        <v>95</v>
      </c>
      <c r="C27719" s="6">
        <v>5945</v>
      </c>
      <c r="D27719" s="7">
        <v>0.43</v>
      </c>
      <c r="E27719" t="s">
        <v>96</v>
      </c>
    </row>
    <row r="27720" spans="1:5" x14ac:dyDescent="0.25">
      <c r="A27720" t="str">
        <f>HYPERLINK("https://www.773grp.com/globalSearch/SMF54AT1/page-1", "SMF54AT1")</f>
        <v>SMF54AT1</v>
      </c>
      <c r="B27720" s="3" t="s">
        <v>95</v>
      </c>
      <c r="C27720" s="6">
        <v>9000</v>
      </c>
      <c r="D27720" s="7">
        <v>0.43</v>
      </c>
      <c r="E27720" t="s">
        <v>96</v>
      </c>
    </row>
    <row r="27721" spans="1:5" x14ac:dyDescent="0.25">
      <c r="A27721" t="str">
        <f>HYPERLINK("https://www.773grp.com/globalSearch/SMF85AT1G/page-1", "SMF85AT1G")</f>
        <v>SMF85AT1G</v>
      </c>
      <c r="B27721" s="3" t="s">
        <v>95</v>
      </c>
      <c r="C27721" s="6">
        <v>7730</v>
      </c>
      <c r="D27721" s="7">
        <v>0.43</v>
      </c>
      <c r="E27721" t="s">
        <v>96</v>
      </c>
    </row>
    <row r="27722" spans="1:5" x14ac:dyDescent="0.25">
      <c r="A27722" t="str">
        <f>HYPERLINK("https://www.773grp.com/globalSearch/SMF90AT1/page-1", "SMF90AT1")</f>
        <v>SMF90AT1</v>
      </c>
      <c r="B27722" s="3" t="s">
        <v>95</v>
      </c>
      <c r="C27722" s="6">
        <v>5990</v>
      </c>
      <c r="D27722" s="7">
        <v>0.43</v>
      </c>
      <c r="E27722" t="s">
        <v>96</v>
      </c>
    </row>
    <row r="27723" spans="1:5" x14ac:dyDescent="0.25">
      <c r="A27723" t="str">
        <f>HYPERLINK("https://www.773grp.com/globalSearch/SMS05T1G/page-1", "SMS05T1G")</f>
        <v>SMS05T1G</v>
      </c>
      <c r="B27723" s="3" t="s">
        <v>95</v>
      </c>
      <c r="C27723" s="6">
        <v>111000</v>
      </c>
      <c r="D27723" s="7">
        <v>0.43</v>
      </c>
    </row>
    <row r="27724" spans="1:5" x14ac:dyDescent="0.25">
      <c r="A27724" t="str">
        <f>HYPERLINK("https://www.773grp.com/globalSearch/SMS12CT1G/page-1", "SMS12CT1G")</f>
        <v>SMS12CT1G</v>
      </c>
      <c r="B27724" s="3" t="s">
        <v>95</v>
      </c>
      <c r="C27724" s="6">
        <v>30000</v>
      </c>
      <c r="D27724" s="7">
        <v>0.43</v>
      </c>
      <c r="E27724" t="s">
        <v>96</v>
      </c>
    </row>
    <row r="27725" spans="1:5" x14ac:dyDescent="0.25">
      <c r="A27725" t="str">
        <f>HYPERLINK("https://www.773grp.com/globalSearch/SMS12T1G/page-1", "SMS12T1G")</f>
        <v>SMS12T1G</v>
      </c>
      <c r="B27725" s="3" t="s">
        <v>95</v>
      </c>
      <c r="C27725" s="6">
        <v>6000</v>
      </c>
      <c r="D27725" s="7">
        <v>0.43</v>
      </c>
      <c r="E27725" t="s">
        <v>96</v>
      </c>
    </row>
    <row r="27726" spans="1:5" x14ac:dyDescent="0.25">
      <c r="A27726" t="str">
        <f>HYPERLINK("https://www.773grp.com/globalSearch/SMS15T1G/page-1", "SMS15T1G")</f>
        <v>SMS15T1G</v>
      </c>
      <c r="B27726" s="3" t="s">
        <v>95</v>
      </c>
      <c r="C27726" s="6">
        <v>6000</v>
      </c>
      <c r="D27726" s="7">
        <v>0.43</v>
      </c>
    </row>
    <row r="27727" spans="1:5" x14ac:dyDescent="0.25">
      <c r="A27727" t="str">
        <f>HYPERLINK("https://www.773grp.com/globalSearch/SMS24CT1G/page-1", "SMS24CT1G")</f>
        <v>SMS24CT1G</v>
      </c>
      <c r="B27727" s="3" t="s">
        <v>95</v>
      </c>
      <c r="C27727" s="6">
        <v>3000</v>
      </c>
      <c r="D27727" s="7">
        <v>0.43</v>
      </c>
      <c r="E27727" t="s">
        <v>96</v>
      </c>
    </row>
    <row r="27728" spans="1:5" x14ac:dyDescent="0.25">
      <c r="A27728" t="str">
        <f>HYPERLINK("https://www.773grp.com/globalSearch/SMS24T1G/page-1", "SMS24T1G")</f>
        <v>SMS24T1G</v>
      </c>
      <c r="B27728" s="3" t="s">
        <v>95</v>
      </c>
      <c r="C27728" s="6">
        <v>33000</v>
      </c>
      <c r="D27728" s="7">
        <v>0.43</v>
      </c>
      <c r="E27728" t="s">
        <v>96</v>
      </c>
    </row>
    <row r="27729" spans="1:5" x14ac:dyDescent="0.25">
      <c r="A27729" t="str">
        <f>HYPERLINK("https://www.773grp.com/globalSearch/SSV1MUN5313DW1T1/page-1", "SSV1MUN5313DW1T1")</f>
        <v>SSV1MUN5313DW1T1</v>
      </c>
      <c r="B27729" s="3" t="s">
        <v>95</v>
      </c>
      <c r="C27729" s="6">
        <v>120000</v>
      </c>
      <c r="D27729" s="7">
        <v>0.43</v>
      </c>
    </row>
    <row r="27730" spans="1:5" x14ac:dyDescent="0.25">
      <c r="A27730" t="str">
        <f>HYPERLINK("https://www.773grp.com/globalSearch/SURS8220T3G/page-1", "SURS8220T3G")</f>
        <v>SURS8220T3G</v>
      </c>
      <c r="B27730" s="3" t="s">
        <v>95</v>
      </c>
      <c r="C27730" s="6">
        <v>5000</v>
      </c>
      <c r="D27730" s="7">
        <v>0.43</v>
      </c>
    </row>
    <row r="27731" spans="1:5" x14ac:dyDescent="0.25">
      <c r="A27731" t="str">
        <f>HYPERLINK("https://www.773grp.com/globalSearch/TG00721/page-1", "TG00721")</f>
        <v>TG00721</v>
      </c>
      <c r="B27731" s="3" t="s">
        <v>95</v>
      </c>
      <c r="C27731" s="6">
        <v>52500</v>
      </c>
      <c r="D27731" s="7">
        <v>0.43</v>
      </c>
    </row>
    <row r="27732" spans="1:5" x14ac:dyDescent="0.25">
      <c r="A27732" t="str">
        <f>HYPERLINK("https://www.773grp.com/globalSearch/TL431ACDG/page-1", "TL431ACDG")</f>
        <v>TL431ACDG</v>
      </c>
      <c r="B27732" s="3" t="s">
        <v>95</v>
      </c>
      <c r="C27732" s="6">
        <v>28364</v>
      </c>
      <c r="D27732" s="7">
        <v>0.43</v>
      </c>
      <c r="E27732" t="s">
        <v>17</v>
      </c>
    </row>
    <row r="27733" spans="1:5" x14ac:dyDescent="0.25">
      <c r="A27733" t="str">
        <f>HYPERLINK("https://www.773grp.com/globalSearch/TL431CLPG/page-1", "TL431CLPG")</f>
        <v>TL431CLPG</v>
      </c>
      <c r="B27733" s="3" t="s">
        <v>95</v>
      </c>
      <c r="C27733" s="6">
        <v>52816</v>
      </c>
      <c r="D27733" s="7">
        <v>0.43</v>
      </c>
      <c r="E27733" t="s">
        <v>17</v>
      </c>
    </row>
    <row r="27734" spans="1:5" x14ac:dyDescent="0.25">
      <c r="A27734" t="str">
        <f>HYPERLINK("https://www.773grp.com/globalSearch/TL431CLPRAG/page-1", "TL431CLPRAG")</f>
        <v>TL431CLPRAG</v>
      </c>
      <c r="B27734" s="3" t="s">
        <v>95</v>
      </c>
      <c r="C27734" s="6">
        <v>222000</v>
      </c>
      <c r="D27734" s="7">
        <v>0.43</v>
      </c>
      <c r="E27734" t="s">
        <v>17</v>
      </c>
    </row>
    <row r="27735" spans="1:5" x14ac:dyDescent="0.25">
      <c r="A27735" t="str">
        <f>HYPERLINK("https://www.773grp.com/globalSearch/TY30486/page-1", "TY30486")</f>
        <v>TY30486</v>
      </c>
      <c r="B27735" s="3" t="s">
        <v>95</v>
      </c>
      <c r="C27735" s="6">
        <v>19800</v>
      </c>
      <c r="D27735" s="7">
        <v>0.43</v>
      </c>
    </row>
    <row r="27736" spans="1:5" x14ac:dyDescent="0.25">
      <c r="A27736" t="str">
        <f>HYPERLINK("https://www.773grp.com/globalSearch/UMA4NT1/page-1", "UMA4NT1")</f>
        <v>UMA4NT1</v>
      </c>
      <c r="B27736" s="3" t="s">
        <v>95</v>
      </c>
      <c r="C27736" s="6">
        <v>6000</v>
      </c>
      <c r="D27736" s="7">
        <v>0.43</v>
      </c>
      <c r="E27736" t="s">
        <v>69</v>
      </c>
    </row>
    <row r="27737" spans="1:5" x14ac:dyDescent="0.25">
      <c r="A27737" t="str">
        <f>HYPERLINK("https://www.773grp.com/globalSearch/UMA4NT2/page-1", "UMA4NT2")</f>
        <v>UMA4NT2</v>
      </c>
      <c r="B27737" s="3" t="s">
        <v>95</v>
      </c>
      <c r="C27737" s="6">
        <v>6000</v>
      </c>
      <c r="D27737" s="7">
        <v>0.43</v>
      </c>
    </row>
    <row r="27738" spans="1:5" x14ac:dyDescent="0.25">
      <c r="A27738" t="str">
        <f>HYPERLINK("https://www.773grp.com/globalSearch/VN2222LLRL/page-1", "VN2222LLRL")</f>
        <v>VN2222LLRL</v>
      </c>
      <c r="B27738" s="3" t="s">
        <v>95</v>
      </c>
      <c r="C27738" s="6">
        <v>132000</v>
      </c>
      <c r="D27738" s="7">
        <v>0.43</v>
      </c>
      <c r="E27738" t="s">
        <v>106</v>
      </c>
    </row>
    <row r="27739" spans="1:5" x14ac:dyDescent="0.25">
      <c r="A27739" t="str">
        <f>HYPERLINK("https://www.773grp.com/globalSearch/VN2222LLRLRM/page-1", "VN2222LLRLRM")</f>
        <v>VN2222LLRLRM</v>
      </c>
      <c r="B27739" s="3" t="s">
        <v>95</v>
      </c>
      <c r="C27739" s="6">
        <v>970</v>
      </c>
      <c r="D27739" s="7">
        <v>0.43</v>
      </c>
      <c r="E27739" t="s">
        <v>106</v>
      </c>
    </row>
    <row r="27740" spans="1:5" x14ac:dyDescent="0.25">
      <c r="A27740" t="str">
        <f>HYPERLINK("https://www.773grp.com/globalSearch/1N4743DRL/page-1", "1N4743DRL")</f>
        <v>1N4743DRL</v>
      </c>
      <c r="B27740" s="3" t="s">
        <v>95</v>
      </c>
      <c r="C27740" s="6">
        <v>6000</v>
      </c>
      <c r="D27740" s="7">
        <v>0.48</v>
      </c>
      <c r="E27740" t="s">
        <v>98</v>
      </c>
    </row>
    <row r="27741" spans="1:5" x14ac:dyDescent="0.25">
      <c r="A27741" t="str">
        <f>HYPERLINK("https://www.773grp.com/globalSearch/1N5239C/page-1", "1N5239C")</f>
        <v>1N5239C</v>
      </c>
      <c r="B27741" s="3" t="s">
        <v>95</v>
      </c>
      <c r="C27741" s="6">
        <v>19600</v>
      </c>
      <c r="D27741" s="7">
        <v>0.48</v>
      </c>
      <c r="E27741" t="s">
        <v>98</v>
      </c>
    </row>
    <row r="27742" spans="1:5" x14ac:dyDescent="0.25">
      <c r="A27742" t="str">
        <f>HYPERLINK("https://www.773grp.com/globalSearch/1N5917BRL/page-1", "1N5917BRL")</f>
        <v>1N5917BRL</v>
      </c>
      <c r="B27742" s="3" t="s">
        <v>95</v>
      </c>
      <c r="C27742" s="6">
        <v>8500</v>
      </c>
      <c r="D27742" s="7">
        <v>0.48</v>
      </c>
      <c r="E27742" t="s">
        <v>98</v>
      </c>
    </row>
    <row r="27743" spans="1:5" x14ac:dyDescent="0.25">
      <c r="A27743" t="str">
        <f>HYPERLINK("https://www.773grp.com/globalSearch/1N5921B/page-1", "1N5921B")</f>
        <v>1N5921B</v>
      </c>
      <c r="B27743" s="3" t="s">
        <v>95</v>
      </c>
      <c r="C27743" s="6">
        <v>6000</v>
      </c>
      <c r="D27743" s="7">
        <v>0.48</v>
      </c>
      <c r="E27743" t="s">
        <v>98</v>
      </c>
    </row>
    <row r="27744" spans="1:5" x14ac:dyDescent="0.25">
      <c r="A27744" t="str">
        <f>HYPERLINK("https://www.773grp.com/globalSearch/1N5926BG/page-1", "1N5926BG")</f>
        <v>1N5926BG</v>
      </c>
      <c r="B27744" s="3" t="s">
        <v>95</v>
      </c>
      <c r="C27744" s="6">
        <v>7500</v>
      </c>
      <c r="D27744" s="7">
        <v>0.48</v>
      </c>
      <c r="E27744" t="s">
        <v>98</v>
      </c>
    </row>
    <row r="27745" spans="1:5" x14ac:dyDescent="0.25">
      <c r="A27745" t="str">
        <f>HYPERLINK("https://www.773grp.com/globalSearch/1N5930BRL/page-1", "1N5930BRL")</f>
        <v>1N5930BRL</v>
      </c>
      <c r="B27745" s="3" t="s">
        <v>95</v>
      </c>
      <c r="C27745" s="6">
        <v>8500</v>
      </c>
      <c r="D27745" s="7">
        <v>0.48</v>
      </c>
      <c r="E27745" t="s">
        <v>98</v>
      </c>
    </row>
    <row r="27746" spans="1:5" x14ac:dyDescent="0.25">
      <c r="A27746" t="str">
        <f>HYPERLINK("https://www.773grp.com/globalSearch/1N5931BG/page-1", "1N5931BG")</f>
        <v>1N5931BG</v>
      </c>
      <c r="B27746" s="3" t="s">
        <v>95</v>
      </c>
      <c r="C27746" s="6">
        <v>15571</v>
      </c>
      <c r="D27746" s="7">
        <v>0.48</v>
      </c>
      <c r="E27746" t="s">
        <v>98</v>
      </c>
    </row>
    <row r="27747" spans="1:5" x14ac:dyDescent="0.25">
      <c r="A27747" t="str">
        <f>HYPERLINK("https://www.773grp.com/globalSearch/1N5934B/page-1", "1N5934B")</f>
        <v>1N5934B</v>
      </c>
      <c r="B27747" s="3" t="s">
        <v>95</v>
      </c>
      <c r="C27747" s="6">
        <v>22000</v>
      </c>
      <c r="D27747" s="7">
        <v>0.48</v>
      </c>
      <c r="E27747" t="s">
        <v>98</v>
      </c>
    </row>
    <row r="27748" spans="1:5" x14ac:dyDescent="0.25">
      <c r="A27748" t="str">
        <f>HYPERLINK("https://www.773grp.com/globalSearch/1N5935B/page-1", "1N5935B")</f>
        <v>1N5935B</v>
      </c>
      <c r="B27748" s="3" t="s">
        <v>95</v>
      </c>
      <c r="C27748" s="6">
        <v>17</v>
      </c>
      <c r="D27748" s="7">
        <v>0.48</v>
      </c>
      <c r="E27748" t="s">
        <v>98</v>
      </c>
    </row>
    <row r="27749" spans="1:5" x14ac:dyDescent="0.25">
      <c r="A27749" t="str">
        <f>HYPERLINK("https://www.773grp.com/globalSearch/1N5935BG/page-1", "1N5935BG")</f>
        <v>1N5935BG</v>
      </c>
      <c r="B27749" s="3" t="s">
        <v>95</v>
      </c>
      <c r="C27749" s="6">
        <v>12</v>
      </c>
      <c r="D27749" s="7">
        <v>0.48</v>
      </c>
      <c r="E27749" t="s">
        <v>98</v>
      </c>
    </row>
    <row r="27750" spans="1:5" x14ac:dyDescent="0.25">
      <c r="A27750" t="str">
        <f>HYPERLINK("https://www.773grp.com/globalSearch/1N5936BG/page-1", "1N5936BG")</f>
        <v>1N5936BG</v>
      </c>
      <c r="B27750" s="3" t="s">
        <v>95</v>
      </c>
      <c r="C27750" s="6">
        <v>2128</v>
      </c>
      <c r="D27750" s="7">
        <v>0.48</v>
      </c>
      <c r="E27750" t="s">
        <v>98</v>
      </c>
    </row>
    <row r="27751" spans="1:5" x14ac:dyDescent="0.25">
      <c r="A27751" t="str">
        <f>HYPERLINK("https://www.773grp.com/globalSearch/1N5936BRL/page-1", "1N5936BRL")</f>
        <v>1N5936BRL</v>
      </c>
      <c r="B27751" s="3" t="s">
        <v>95</v>
      </c>
      <c r="C27751" s="6">
        <v>4000</v>
      </c>
      <c r="D27751" s="7">
        <v>0.48</v>
      </c>
      <c r="E27751" t="s">
        <v>98</v>
      </c>
    </row>
    <row r="27752" spans="1:5" x14ac:dyDescent="0.25">
      <c r="A27752" t="str">
        <f>HYPERLINK("https://www.773grp.com/globalSearch/1N5938BG/page-1", "1N5938BG")</f>
        <v>1N5938BG</v>
      </c>
      <c r="B27752" s="3" t="s">
        <v>95</v>
      </c>
      <c r="C27752" s="6">
        <v>3190</v>
      </c>
      <c r="D27752" s="7">
        <v>0.48</v>
      </c>
      <c r="E27752" t="s">
        <v>98</v>
      </c>
    </row>
    <row r="27753" spans="1:5" x14ac:dyDescent="0.25">
      <c r="A27753" t="str">
        <f>HYPERLINK("https://www.773grp.com/globalSearch/1N5943BRLG/page-1", "1N5943BRLG")</f>
        <v>1N5943BRLG</v>
      </c>
      <c r="B27753" s="3" t="s">
        <v>95</v>
      </c>
      <c r="C27753" s="6">
        <v>1649</v>
      </c>
      <c r="D27753" s="7">
        <v>0.48</v>
      </c>
      <c r="E27753" t="s">
        <v>98</v>
      </c>
    </row>
    <row r="27754" spans="1:5" x14ac:dyDescent="0.25">
      <c r="A27754" t="str">
        <f>HYPERLINK("https://www.773grp.com/globalSearch/1N5946B/page-1", "1N5946B")</f>
        <v>1N5946B</v>
      </c>
      <c r="B27754" s="3" t="s">
        <v>95</v>
      </c>
      <c r="C27754" s="6">
        <v>2000</v>
      </c>
      <c r="D27754" s="7">
        <v>0.48</v>
      </c>
      <c r="E27754" t="s">
        <v>98</v>
      </c>
    </row>
    <row r="27755" spans="1:5" x14ac:dyDescent="0.25">
      <c r="A27755" t="str">
        <f>HYPERLINK("https://www.773grp.com/globalSearch/1N5946BG/page-1", "1N5946BG")</f>
        <v>1N5946BG</v>
      </c>
      <c r="B27755" s="3" t="s">
        <v>95</v>
      </c>
      <c r="C27755" s="6">
        <v>18000</v>
      </c>
      <c r="D27755" s="7">
        <v>0.48</v>
      </c>
      <c r="E27755" t="s">
        <v>98</v>
      </c>
    </row>
    <row r="27756" spans="1:5" x14ac:dyDescent="0.25">
      <c r="A27756" t="str">
        <f>HYPERLINK("https://www.773grp.com/globalSearch/1N5950BRLG/page-1", "1N5950BRLG")</f>
        <v>1N5950BRLG</v>
      </c>
      <c r="B27756" s="3" t="s">
        <v>95</v>
      </c>
      <c r="C27756" s="6">
        <v>2200</v>
      </c>
      <c r="D27756" s="7">
        <v>0.48</v>
      </c>
      <c r="E27756" t="s">
        <v>98</v>
      </c>
    </row>
    <row r="27757" spans="1:5" x14ac:dyDescent="0.25">
      <c r="A27757" t="str">
        <f>HYPERLINK("https://www.773grp.com/globalSearch/1N5954BRLG/page-1", "1N5954BRLG")</f>
        <v>1N5954BRLG</v>
      </c>
      <c r="B27757" s="3" t="s">
        <v>95</v>
      </c>
      <c r="C27757" s="6">
        <v>6000</v>
      </c>
      <c r="D27757" s="7">
        <v>0.48</v>
      </c>
      <c r="E27757" t="s">
        <v>98</v>
      </c>
    </row>
    <row r="27758" spans="1:5" x14ac:dyDescent="0.25">
      <c r="A27758" t="str">
        <f>HYPERLINK("https://www.773grp.com/globalSearch/1N5956B/page-1", "1N5956B")</f>
        <v>1N5956B</v>
      </c>
      <c r="B27758" s="3" t="s">
        <v>95</v>
      </c>
      <c r="C27758" s="6">
        <v>17</v>
      </c>
      <c r="D27758" s="7">
        <v>0.48</v>
      </c>
      <c r="E27758" t="s">
        <v>98</v>
      </c>
    </row>
    <row r="27759" spans="1:5" x14ac:dyDescent="0.25">
      <c r="A27759" t="str">
        <f>HYPERLINK("https://www.773grp.com/globalSearch/1PMT51AT1/page-1", "1PMT51AT1")</f>
        <v>1PMT51AT1</v>
      </c>
      <c r="B27759" s="3" t="s">
        <v>95</v>
      </c>
      <c r="C27759" s="6">
        <v>5807</v>
      </c>
      <c r="D27759" s="7">
        <v>0.48</v>
      </c>
      <c r="E27759" t="s">
        <v>96</v>
      </c>
    </row>
    <row r="27760" spans="1:5" x14ac:dyDescent="0.25">
      <c r="A27760" t="str">
        <f>HYPERLINK("https://www.773grp.com/globalSearch/1SMA60ATM/page-1", "1SMA60ATM")</f>
        <v>1SMA60ATM</v>
      </c>
      <c r="B27760" s="3" t="s">
        <v>95</v>
      </c>
      <c r="C27760" s="6">
        <v>5000</v>
      </c>
      <c r="D27760" s="7">
        <v>0.48</v>
      </c>
    </row>
    <row r="27761" spans="1:5" x14ac:dyDescent="0.25">
      <c r="A27761" t="str">
        <f>HYPERLINK("https://www.773grp.com/globalSearch/1SMB10AT3/page-1", "1SMB10AT3")</f>
        <v>1SMB10AT3</v>
      </c>
      <c r="B27761" s="3" t="s">
        <v>95</v>
      </c>
      <c r="C27761" s="6">
        <v>5000</v>
      </c>
      <c r="D27761" s="7">
        <v>0.48</v>
      </c>
      <c r="E27761" t="s">
        <v>96</v>
      </c>
    </row>
    <row r="27762" spans="1:5" x14ac:dyDescent="0.25">
      <c r="A27762" t="str">
        <f>HYPERLINK("https://www.773grp.com/globalSearch/1SMB12AT3/page-1", "1SMB12AT3")</f>
        <v>1SMB12AT3</v>
      </c>
      <c r="B27762" s="3" t="s">
        <v>95</v>
      </c>
      <c r="C27762" s="6">
        <v>5000</v>
      </c>
      <c r="D27762" s="7">
        <v>0.48</v>
      </c>
      <c r="E27762" t="s">
        <v>96</v>
      </c>
    </row>
    <row r="27763" spans="1:5" x14ac:dyDescent="0.25">
      <c r="A27763" t="str">
        <f>HYPERLINK("https://www.773grp.com/globalSearch/1SMB13AT3/page-1", "1SMB13AT3")</f>
        <v>1SMB13AT3</v>
      </c>
      <c r="B27763" s="3" t="s">
        <v>95</v>
      </c>
      <c r="C27763" s="6">
        <v>7255</v>
      </c>
      <c r="D27763" s="7">
        <v>0.48</v>
      </c>
      <c r="E27763" t="s">
        <v>96</v>
      </c>
    </row>
    <row r="27764" spans="1:5" x14ac:dyDescent="0.25">
      <c r="A27764" t="str">
        <f>HYPERLINK("https://www.773grp.com/globalSearch/1SMB16AT3/page-1", "1SMB16AT3")</f>
        <v>1SMB16AT3</v>
      </c>
      <c r="B27764" s="3" t="s">
        <v>95</v>
      </c>
      <c r="C27764" s="6">
        <v>7500</v>
      </c>
      <c r="D27764" s="7">
        <v>0.48</v>
      </c>
      <c r="E27764" t="s">
        <v>96</v>
      </c>
    </row>
    <row r="27765" spans="1:5" x14ac:dyDescent="0.25">
      <c r="A27765" t="str">
        <f>HYPERLINK("https://www.773grp.com/globalSearch/1SMB170AT3/page-1", "1SMB170AT3")</f>
        <v>1SMB170AT3</v>
      </c>
      <c r="B27765" s="3" t="s">
        <v>95</v>
      </c>
      <c r="C27765" s="6">
        <v>77500</v>
      </c>
      <c r="D27765" s="7">
        <v>0.48</v>
      </c>
      <c r="E27765" t="s">
        <v>96</v>
      </c>
    </row>
    <row r="27766" spans="1:5" x14ac:dyDescent="0.25">
      <c r="A27766" t="str">
        <f>HYPERLINK("https://www.773grp.com/globalSearch/1SMB18AT3/page-1", "1SMB18AT3")</f>
        <v>1SMB18AT3</v>
      </c>
      <c r="B27766" s="3" t="s">
        <v>95</v>
      </c>
      <c r="C27766" s="6">
        <v>2500</v>
      </c>
      <c r="D27766" s="7">
        <v>0.48</v>
      </c>
      <c r="E27766" t="s">
        <v>96</v>
      </c>
    </row>
    <row r="27767" spans="1:5" x14ac:dyDescent="0.25">
      <c r="A27767" t="str">
        <f>HYPERLINK("https://www.773grp.com/globalSearch/1SMB28AT3/page-1", "1SMB28AT3")</f>
        <v>1SMB28AT3</v>
      </c>
      <c r="B27767" s="3" t="s">
        <v>95</v>
      </c>
      <c r="C27767" s="6">
        <v>15000</v>
      </c>
      <c r="D27767" s="7">
        <v>0.48</v>
      </c>
      <c r="E27767" t="s">
        <v>96</v>
      </c>
    </row>
    <row r="27768" spans="1:5" x14ac:dyDescent="0.25">
      <c r="A27768" t="str">
        <f>HYPERLINK("https://www.773grp.com/globalSearch/1SMB54AT3/page-1", "1SMB54AT3")</f>
        <v>1SMB54AT3</v>
      </c>
      <c r="B27768" s="3" t="s">
        <v>95</v>
      </c>
      <c r="C27768" s="6">
        <v>117500</v>
      </c>
      <c r="D27768" s="7">
        <v>0.48</v>
      </c>
      <c r="E27768" t="s">
        <v>96</v>
      </c>
    </row>
    <row r="27769" spans="1:5" x14ac:dyDescent="0.25">
      <c r="A27769" t="str">
        <f>HYPERLINK("https://www.773grp.com/globalSearch/1SMB58AT3/page-1", "1SMB58AT3")</f>
        <v>1SMB58AT3</v>
      </c>
      <c r="B27769" s="3" t="s">
        <v>95</v>
      </c>
      <c r="C27769" s="6">
        <v>40492</v>
      </c>
      <c r="D27769" s="7">
        <v>0.48</v>
      </c>
      <c r="E27769" t="s">
        <v>96</v>
      </c>
    </row>
    <row r="27770" spans="1:5" x14ac:dyDescent="0.25">
      <c r="A27770" t="str">
        <f>HYPERLINK("https://www.773grp.com/globalSearch/1SMB5931BT3/page-1", "1SMB5931BT3")</f>
        <v>1SMB5931BT3</v>
      </c>
      <c r="B27770" s="3" t="s">
        <v>95</v>
      </c>
      <c r="C27770" s="6">
        <v>10000</v>
      </c>
      <c r="D27770" s="7">
        <v>0.48</v>
      </c>
      <c r="E27770" t="s">
        <v>98</v>
      </c>
    </row>
    <row r="27771" spans="1:5" x14ac:dyDescent="0.25">
      <c r="A27771" t="str">
        <f>HYPERLINK("https://www.773grp.com/globalSearch/1SMB5932BT3/page-1", "1SMB5932BT3")</f>
        <v>1SMB5932BT3</v>
      </c>
      <c r="B27771" s="3" t="s">
        <v>95</v>
      </c>
      <c r="C27771" s="6">
        <v>7500</v>
      </c>
      <c r="D27771" s="7">
        <v>0.48</v>
      </c>
      <c r="E27771" t="s">
        <v>98</v>
      </c>
    </row>
    <row r="27772" spans="1:5" x14ac:dyDescent="0.25">
      <c r="A27772" t="str">
        <f>HYPERLINK("https://www.773grp.com/globalSearch/1SMB5940BT3/page-1", "1SMB5940BT3")</f>
        <v>1SMB5940BT3</v>
      </c>
      <c r="B27772" s="3" t="s">
        <v>95</v>
      </c>
      <c r="C27772" s="6">
        <v>10000</v>
      </c>
      <c r="D27772" s="7">
        <v>0.48</v>
      </c>
      <c r="E27772" t="s">
        <v>98</v>
      </c>
    </row>
    <row r="27773" spans="1:5" x14ac:dyDescent="0.25">
      <c r="A27773" t="str">
        <f>HYPERLINK("https://www.773grp.com/globalSearch/1SMB5942BT3/page-1", "1SMB5942BT3")</f>
        <v>1SMB5942BT3</v>
      </c>
      <c r="B27773" s="3" t="s">
        <v>95</v>
      </c>
      <c r="C27773" s="6">
        <v>15000</v>
      </c>
      <c r="D27773" s="7">
        <v>0.48</v>
      </c>
      <c r="E27773" t="s">
        <v>98</v>
      </c>
    </row>
    <row r="27774" spans="1:5" x14ac:dyDescent="0.25">
      <c r="A27774" t="str">
        <f>HYPERLINK("https://www.773grp.com/globalSearch/1SMB5949BT3/page-1", "1SMB5949BT3")</f>
        <v>1SMB5949BT3</v>
      </c>
      <c r="B27774" s="3" t="s">
        <v>95</v>
      </c>
      <c r="C27774" s="6">
        <v>4115</v>
      </c>
      <c r="D27774" s="7">
        <v>0.48</v>
      </c>
      <c r="E27774" t="s">
        <v>98</v>
      </c>
    </row>
    <row r="27775" spans="1:5" x14ac:dyDescent="0.25">
      <c r="A27775" t="str">
        <f>HYPERLINK("https://www.773grp.com/globalSearch/1SMB5955BT3/page-1", "1SMB5955BT3")</f>
        <v>1SMB5955BT3</v>
      </c>
      <c r="B27775" s="3" t="s">
        <v>95</v>
      </c>
      <c r="C27775" s="6">
        <v>22500</v>
      </c>
      <c r="D27775" s="7">
        <v>0.48</v>
      </c>
      <c r="E27775" t="s">
        <v>98</v>
      </c>
    </row>
    <row r="27776" spans="1:5" x14ac:dyDescent="0.25">
      <c r="A27776" t="str">
        <f>HYPERLINK("https://www.773grp.com/globalSearch/1SMB6.0AT3/page-1", "1SMB6.0AT3")</f>
        <v>1SMB6.0AT3</v>
      </c>
      <c r="B27776" s="3" t="s">
        <v>95</v>
      </c>
      <c r="C27776" s="6">
        <v>5000</v>
      </c>
      <c r="D27776" s="7">
        <v>0.48</v>
      </c>
      <c r="E27776" t="s">
        <v>96</v>
      </c>
    </row>
    <row r="27777" spans="1:5" x14ac:dyDescent="0.25">
      <c r="A27777" t="str">
        <f>HYPERLINK("https://www.773grp.com/globalSearch/1SMB75AT3/page-1", "1SMB75AT3")</f>
        <v>1SMB75AT3</v>
      </c>
      <c r="B27777" s="3" t="s">
        <v>95</v>
      </c>
      <c r="C27777" s="6">
        <v>5000</v>
      </c>
      <c r="D27777" s="7">
        <v>0.48</v>
      </c>
      <c r="E27777" t="s">
        <v>96</v>
      </c>
    </row>
    <row r="27778" spans="1:5" x14ac:dyDescent="0.25">
      <c r="A27778" t="str">
        <f>HYPERLINK("https://www.773grp.com/globalSearch/1SMB9.0AT3/page-1", "1SMB9.0AT3")</f>
        <v>1SMB9.0AT3</v>
      </c>
      <c r="B27778" s="3" t="s">
        <v>95</v>
      </c>
      <c r="C27778" s="6">
        <v>2500</v>
      </c>
      <c r="D27778" s="7">
        <v>0.48</v>
      </c>
      <c r="E27778" t="s">
        <v>96</v>
      </c>
    </row>
    <row r="27779" spans="1:5" x14ac:dyDescent="0.25">
      <c r="A27779" t="str">
        <f>HYPERLINK("https://www.773grp.com/globalSearch/1SMBT7.0AT3G/page-1", "1SMBT7.0AT3G")</f>
        <v>1SMBT7.0AT3G</v>
      </c>
      <c r="B27779" s="3" t="s">
        <v>95</v>
      </c>
      <c r="C27779" s="6">
        <v>1000</v>
      </c>
      <c r="D27779" s="7">
        <v>0.48</v>
      </c>
    </row>
    <row r="27780" spans="1:5" x14ac:dyDescent="0.25">
      <c r="A27780" t="str">
        <f>HYPERLINK("https://www.773grp.com/globalSearch/2N4124G/page-1", "2N4124G")</f>
        <v>2N4124G</v>
      </c>
      <c r="B27780" s="3" t="s">
        <v>95</v>
      </c>
      <c r="C27780" s="6">
        <v>114891</v>
      </c>
      <c r="D27780" s="7">
        <v>0.48</v>
      </c>
      <c r="E27780" t="s">
        <v>69</v>
      </c>
    </row>
    <row r="27781" spans="1:5" x14ac:dyDescent="0.25">
      <c r="A27781" t="str">
        <f>HYPERLINK("https://www.773grp.com/globalSearch/2N5460G/page-1", "2N5460G")</f>
        <v>2N5460G</v>
      </c>
      <c r="B27781" s="3" t="s">
        <v>95</v>
      </c>
      <c r="C27781" s="6">
        <v>1342</v>
      </c>
      <c r="D27781" s="7">
        <v>0.48</v>
      </c>
      <c r="E27781" t="s">
        <v>106</v>
      </c>
    </row>
    <row r="27782" spans="1:5" x14ac:dyDescent="0.25">
      <c r="A27782" t="str">
        <f>HYPERLINK("https://www.773grp.com/globalSearch/2N5486G/page-1", "2N5486G")</f>
        <v>2N5486G</v>
      </c>
      <c r="B27782" s="3" t="s">
        <v>95</v>
      </c>
      <c r="C27782" s="6">
        <v>39554</v>
      </c>
      <c r="D27782" s="7">
        <v>0.48</v>
      </c>
      <c r="E27782" t="s">
        <v>104</v>
      </c>
    </row>
    <row r="27783" spans="1:5" x14ac:dyDescent="0.25">
      <c r="A27783" t="str">
        <f>HYPERLINK("https://www.773grp.com/globalSearch/2N5638RLRA/page-1", "2N5638RLRA")</f>
        <v>2N5638RLRA</v>
      </c>
      <c r="B27783" s="3" t="s">
        <v>95</v>
      </c>
      <c r="C27783" s="6">
        <v>4000</v>
      </c>
      <c r="D27783" s="7">
        <v>0.48</v>
      </c>
      <c r="E27783" t="s">
        <v>106</v>
      </c>
    </row>
    <row r="27784" spans="1:5" x14ac:dyDescent="0.25">
      <c r="A27784" t="str">
        <f>HYPERLINK("https://www.773grp.com/globalSearch/2N5638RLRAG/page-1", "2N5638RLRAG")</f>
        <v>2N5638RLRAG</v>
      </c>
      <c r="B27784" s="3" t="s">
        <v>95</v>
      </c>
      <c r="C27784" s="6">
        <v>18000</v>
      </c>
      <c r="D27784" s="7">
        <v>0.48</v>
      </c>
      <c r="E27784" t="s">
        <v>106</v>
      </c>
    </row>
    <row r="27785" spans="1:5" x14ac:dyDescent="0.25">
      <c r="A27785" t="str">
        <f>HYPERLINK("https://www.773grp.com/globalSearch/2N5639G/page-1", "2N5639G")</f>
        <v>2N5639G</v>
      </c>
      <c r="B27785" s="3" t="s">
        <v>95</v>
      </c>
      <c r="C27785" s="6">
        <v>5000</v>
      </c>
      <c r="D27785" s="7">
        <v>0.48</v>
      </c>
      <c r="E27785" t="s">
        <v>106</v>
      </c>
    </row>
    <row r="27786" spans="1:5" x14ac:dyDescent="0.25">
      <c r="A27786" t="str">
        <f>HYPERLINK("https://www.773grp.com/globalSearch/2N5639RLRA/page-1", "2N5639RLRA")</f>
        <v>2N5639RLRA</v>
      </c>
      <c r="B27786" s="3" t="s">
        <v>95</v>
      </c>
      <c r="C27786" s="6">
        <v>22000</v>
      </c>
      <c r="D27786" s="7">
        <v>0.48</v>
      </c>
      <c r="E27786" t="s">
        <v>106</v>
      </c>
    </row>
    <row r="27787" spans="1:5" x14ac:dyDescent="0.25">
      <c r="A27787" t="str">
        <f>HYPERLINK("https://www.773grp.com/globalSearch/2N5639RLRAG/page-1", "2N5639RLRAG")</f>
        <v>2N5639RLRAG</v>
      </c>
      <c r="B27787" s="3" t="s">
        <v>95</v>
      </c>
      <c r="C27787" s="6">
        <v>26000</v>
      </c>
      <c r="D27787" s="7">
        <v>0.48</v>
      </c>
      <c r="E27787" t="s">
        <v>106</v>
      </c>
    </row>
    <row r="27788" spans="1:5" x14ac:dyDescent="0.25">
      <c r="A27788" t="str">
        <f>HYPERLINK("https://www.773grp.com/globalSearch/2N5655/page-1", "2N5655")</f>
        <v>2N5655</v>
      </c>
      <c r="B27788" s="3" t="s">
        <v>95</v>
      </c>
      <c r="C27788" s="6">
        <v>17205</v>
      </c>
      <c r="D27788" s="7">
        <v>0.48</v>
      </c>
      <c r="E27788" t="s">
        <v>59</v>
      </c>
    </row>
    <row r="27789" spans="1:5" x14ac:dyDescent="0.25">
      <c r="A27789" t="str">
        <f>HYPERLINK("https://www.773grp.com/globalSearch/2N6070A/page-1", "2N6070A")</f>
        <v>2N6070A</v>
      </c>
      <c r="B27789" s="3" t="s">
        <v>95</v>
      </c>
      <c r="C27789" s="6">
        <v>500</v>
      </c>
      <c r="D27789" s="7">
        <v>0.48</v>
      </c>
      <c r="E27789" t="s">
        <v>102</v>
      </c>
    </row>
    <row r="27790" spans="1:5" x14ac:dyDescent="0.25">
      <c r="A27790" t="str">
        <f>HYPERLINK("https://www.773grp.com/globalSearch/2N6071A/page-1", "2N6071A")</f>
        <v>2N6071A</v>
      </c>
      <c r="B27790" s="3" t="s">
        <v>95</v>
      </c>
      <c r="C27790" s="6">
        <v>1185852</v>
      </c>
      <c r="D27790" s="7">
        <v>0.48</v>
      </c>
      <c r="E27790" t="s">
        <v>102</v>
      </c>
    </row>
    <row r="27791" spans="1:5" x14ac:dyDescent="0.25">
      <c r="A27791" t="str">
        <f>HYPERLINK("https://www.773grp.com/globalSearch/2N6073A/page-1", "2N6073A")</f>
        <v>2N6073A</v>
      </c>
      <c r="B27791" s="3" t="s">
        <v>95</v>
      </c>
      <c r="C27791" s="6">
        <v>1780316</v>
      </c>
      <c r="D27791" s="7">
        <v>0.48</v>
      </c>
      <c r="E27791" t="s">
        <v>102</v>
      </c>
    </row>
    <row r="27792" spans="1:5" x14ac:dyDescent="0.25">
      <c r="A27792" t="str">
        <f>HYPERLINK("https://www.773grp.com/globalSearch/3EZ10D5G/page-1", "3EZ10D5G")</f>
        <v>3EZ10D5G</v>
      </c>
      <c r="B27792" s="3" t="s">
        <v>95</v>
      </c>
      <c r="C27792" s="6">
        <v>1045</v>
      </c>
      <c r="D27792" s="7">
        <v>0.48</v>
      </c>
    </row>
    <row r="27793" spans="1:5" x14ac:dyDescent="0.25">
      <c r="A27793" t="str">
        <f>HYPERLINK("https://www.773grp.com/globalSearch/3EZ13D5/page-1", "3EZ13D5")</f>
        <v>3EZ13D5</v>
      </c>
      <c r="B27793" s="3" t="s">
        <v>95</v>
      </c>
      <c r="C27793" s="6">
        <v>4000</v>
      </c>
      <c r="D27793" s="7">
        <v>0.48</v>
      </c>
      <c r="E27793" t="s">
        <v>98</v>
      </c>
    </row>
    <row r="27794" spans="1:5" x14ac:dyDescent="0.25">
      <c r="A27794" t="str">
        <f>HYPERLINK("https://www.773grp.com/globalSearch/3EZ15D5RL/page-1", "3EZ15D5RL")</f>
        <v>3EZ15D5RL</v>
      </c>
      <c r="B27794" s="3" t="s">
        <v>95</v>
      </c>
      <c r="C27794" s="6">
        <v>3915</v>
      </c>
      <c r="D27794" s="7">
        <v>0.48</v>
      </c>
      <c r="E27794" t="s">
        <v>98</v>
      </c>
    </row>
    <row r="27795" spans="1:5" x14ac:dyDescent="0.25">
      <c r="A27795" t="str">
        <f>HYPERLINK("https://www.773grp.com/globalSearch/3EZ16D5/page-1", "3EZ16D5")</f>
        <v>3EZ16D5</v>
      </c>
      <c r="B27795" s="3" t="s">
        <v>95</v>
      </c>
      <c r="C27795" s="6">
        <v>6607</v>
      </c>
      <c r="D27795" s="7">
        <v>0.48</v>
      </c>
      <c r="E27795" t="s">
        <v>98</v>
      </c>
    </row>
    <row r="27796" spans="1:5" x14ac:dyDescent="0.25">
      <c r="A27796" t="str">
        <f>HYPERLINK("https://www.773grp.com/globalSearch/3EZ24D5RL/page-1", "3EZ24D5RL")</f>
        <v>3EZ24D5RL</v>
      </c>
      <c r="B27796" s="3" t="s">
        <v>95</v>
      </c>
      <c r="C27796" s="6">
        <v>36000</v>
      </c>
      <c r="D27796" s="7">
        <v>0.48</v>
      </c>
      <c r="E27796" t="s">
        <v>98</v>
      </c>
    </row>
    <row r="27797" spans="1:5" x14ac:dyDescent="0.25">
      <c r="A27797" t="str">
        <f>HYPERLINK("https://www.773grp.com/globalSearch/3EZ24D5RLG/page-1", "3EZ24D5RLG")</f>
        <v>3EZ24D5RLG</v>
      </c>
      <c r="B27797" s="3" t="s">
        <v>95</v>
      </c>
      <c r="C27797" s="6">
        <v>6000</v>
      </c>
      <c r="D27797" s="7">
        <v>0.48</v>
      </c>
    </row>
    <row r="27798" spans="1:5" x14ac:dyDescent="0.25">
      <c r="A27798" t="str">
        <f>HYPERLINK("https://www.773grp.com/globalSearch/3EZ36D5RL/page-1", "3EZ36D5RL")</f>
        <v>3EZ36D5RL</v>
      </c>
      <c r="B27798" s="3" t="s">
        <v>95</v>
      </c>
      <c r="C27798" s="6">
        <v>5900</v>
      </c>
      <c r="D27798" s="7">
        <v>0.48</v>
      </c>
      <c r="E27798" t="s">
        <v>98</v>
      </c>
    </row>
    <row r="27799" spans="1:5" x14ac:dyDescent="0.25">
      <c r="A27799" t="str">
        <f>HYPERLINK("https://www.773grp.com/globalSearch/3EZ36D5RLG/page-1", "3EZ36D5RLG")</f>
        <v>3EZ36D5RLG</v>
      </c>
      <c r="B27799" s="3" t="s">
        <v>95</v>
      </c>
      <c r="C27799" s="6">
        <v>12000</v>
      </c>
      <c r="D27799" s="7">
        <v>0.48</v>
      </c>
    </row>
    <row r="27800" spans="1:5" x14ac:dyDescent="0.25">
      <c r="A27800" t="str">
        <f>HYPERLINK("https://www.773grp.com/globalSearch/3EZ4.3D5RLG/page-1", "3EZ4.3D5RLG")</f>
        <v>3EZ4.3D5RLG</v>
      </c>
      <c r="B27800" s="3" t="s">
        <v>95</v>
      </c>
      <c r="C27800" s="6">
        <v>6000</v>
      </c>
      <c r="D27800" s="7">
        <v>0.48</v>
      </c>
    </row>
    <row r="27801" spans="1:5" x14ac:dyDescent="0.25">
      <c r="A27801" t="str">
        <f>HYPERLINK("https://www.773grp.com/globalSearch/74HC595DG/page-1", "74HC595DG")</f>
        <v>74HC595DG</v>
      </c>
      <c r="B27801" s="3" t="s">
        <v>95</v>
      </c>
      <c r="C27801" s="6">
        <v>18997</v>
      </c>
      <c r="D27801" s="7">
        <v>0.48</v>
      </c>
    </row>
    <row r="27802" spans="1:5" x14ac:dyDescent="0.25">
      <c r="A27802" t="str">
        <f>HYPERLINK("https://www.773grp.com/globalSearch/74HC595DR2G/page-1", "74HC595DR2G")</f>
        <v>74HC595DR2G</v>
      </c>
      <c r="B27802" s="3" t="s">
        <v>95</v>
      </c>
      <c r="C27802" s="6">
        <v>51500</v>
      </c>
      <c r="D27802" s="7">
        <v>0.48</v>
      </c>
      <c r="E27802" t="s">
        <v>32</v>
      </c>
    </row>
    <row r="27803" spans="1:5" x14ac:dyDescent="0.25">
      <c r="A27803" t="str">
        <f>HYPERLINK("https://www.773grp.com/globalSearch/74HC595DTR2G/page-1", "74HC595DTR2G")</f>
        <v>74HC595DTR2G</v>
      </c>
      <c r="B27803" s="3" t="s">
        <v>95</v>
      </c>
      <c r="C27803" s="6">
        <v>11875</v>
      </c>
      <c r="D27803" s="7">
        <v>0.48</v>
      </c>
    </row>
    <row r="27804" spans="1:5" x14ac:dyDescent="0.25">
      <c r="A27804" t="str">
        <f>HYPERLINK("https://www.773grp.com/globalSearch/7SB3125BMX1TCG/page-1", "7SB3125BMX1TCG")</f>
        <v>7SB3125BMX1TCG</v>
      </c>
      <c r="B27804" s="3" t="s">
        <v>95</v>
      </c>
      <c r="C27804" s="6">
        <v>6000</v>
      </c>
      <c r="D27804" s="7">
        <v>0.48</v>
      </c>
      <c r="E27804" t="s">
        <v>14</v>
      </c>
    </row>
    <row r="27805" spans="1:5" x14ac:dyDescent="0.25">
      <c r="A27805" t="str">
        <f>HYPERLINK("https://www.773grp.com/globalSearch/7SB3126CMX1TCG/page-1", "7SB3126CMX1TCG")</f>
        <v>7SB3126CMX1TCG</v>
      </c>
      <c r="B27805" s="3" t="s">
        <v>95</v>
      </c>
      <c r="C27805" s="6">
        <v>3000</v>
      </c>
      <c r="D27805" s="7">
        <v>0.48</v>
      </c>
      <c r="E27805" t="s">
        <v>14</v>
      </c>
    </row>
    <row r="27806" spans="1:5" x14ac:dyDescent="0.25">
      <c r="A27806" t="str">
        <f>HYPERLINK("https://www.773grp.com/globalSearch/7SB3126MUTCG/page-1", "7SB3126MUTCG")</f>
        <v>7SB3126MUTCG</v>
      </c>
      <c r="B27806" s="3" t="s">
        <v>95</v>
      </c>
      <c r="C27806" s="6">
        <v>3000</v>
      </c>
      <c r="D27806" s="7">
        <v>0.48</v>
      </c>
      <c r="E27806" t="s">
        <v>14</v>
      </c>
    </row>
    <row r="27807" spans="1:5" x14ac:dyDescent="0.25">
      <c r="A27807" t="str">
        <f>HYPERLINK("https://www.773grp.com/globalSearch/7SB3257BMX1TCG/page-1", "7SB3257BMX1TCG")</f>
        <v>7SB3257BMX1TCG</v>
      </c>
      <c r="B27807" s="3" t="str">
        <f>HYPERLINK("https://www.773grp.com/manufacturer/onsemi?pageNo=1", "ON Semiconductor")</f>
        <v>ON Semiconductor</v>
      </c>
      <c r="C27807" s="6">
        <v>144000</v>
      </c>
      <c r="D27807" s="7">
        <v>0.48</v>
      </c>
    </row>
    <row r="27808" spans="1:5" x14ac:dyDescent="0.25">
      <c r="A27808" t="str">
        <f>HYPERLINK("https://www.773grp.com/globalSearch/7SB3257MUTCG/page-1", "7SB3257MUTCG")</f>
        <v>7SB3257MUTCG</v>
      </c>
      <c r="B27808" s="3" t="str">
        <f>HYPERLINK("https://www.773grp.com/manufacturer/onsemi?pageNo=2", "ON Semiconductor")</f>
        <v>ON Semiconductor</v>
      </c>
      <c r="C27808" s="6">
        <v>75000</v>
      </c>
      <c r="D27808" s="7">
        <v>0.48</v>
      </c>
    </row>
    <row r="27809" spans="1:5" x14ac:dyDescent="0.25">
      <c r="A27809" t="str">
        <f>HYPERLINK("https://www.773grp.com/globalSearch/7SB384BMX1TCG/page-1", "7SB384BMX1TCG")</f>
        <v>7SB384BMX1TCG</v>
      </c>
      <c r="B27809" s="3" t="str">
        <f>HYPERLINK("https://www.773grp.com/manufacturer/onsemi?pageNo=3", "ON Semiconductor")</f>
        <v>ON Semiconductor</v>
      </c>
      <c r="C27809" s="6">
        <v>3000</v>
      </c>
      <c r="D27809" s="7">
        <v>0.48</v>
      </c>
      <c r="E27809" t="s">
        <v>14</v>
      </c>
    </row>
    <row r="27810" spans="1:5" x14ac:dyDescent="0.25">
      <c r="A27810" t="str">
        <f>HYPERLINK("https://www.773grp.com/globalSearch/7SB385AMX1TCG/page-1", "7SB385AMX1TCG")</f>
        <v>7SB385AMX1TCG</v>
      </c>
      <c r="B27810" s="3" t="str">
        <f>HYPERLINK("https://www.773grp.com/manufacturer/onsemi?pageNo=4", "ON Semiconductor")</f>
        <v>ON Semiconductor</v>
      </c>
      <c r="C27810" s="6">
        <v>6000</v>
      </c>
      <c r="D27810" s="7">
        <v>0.48</v>
      </c>
    </row>
    <row r="27811" spans="1:5" x14ac:dyDescent="0.25">
      <c r="A27811" t="str">
        <f>HYPERLINK("https://www.773grp.com/globalSearch/7SB385BMX1TCG/page-1", "7SB385BMX1TCG")</f>
        <v>7SB385BMX1TCG</v>
      </c>
      <c r="B27811" s="3" t="str">
        <f>HYPERLINK("https://www.773grp.com/manufacturer/onsemi?pageNo=5", "ON Semiconductor")</f>
        <v>ON Semiconductor</v>
      </c>
      <c r="C27811" s="6">
        <v>3000</v>
      </c>
      <c r="D27811" s="7">
        <v>0.48</v>
      </c>
      <c r="E27811" t="s">
        <v>14</v>
      </c>
    </row>
    <row r="27812" spans="1:5" x14ac:dyDescent="0.25">
      <c r="A27812" t="str">
        <f>HYPERLINK("https://www.773grp.com/globalSearch/BC327/page-1", "BC327")</f>
        <v>BC327</v>
      </c>
      <c r="B27812" s="3" t="str">
        <f>HYPERLINK("https://www.773grp.com/manufacturer/onsemi?pageNo=6", "ON Semiconductor")</f>
        <v>ON Semiconductor</v>
      </c>
      <c r="C27812" s="6">
        <v>57500</v>
      </c>
      <c r="D27812" s="7">
        <v>0.48</v>
      </c>
      <c r="E27812" t="s">
        <v>69</v>
      </c>
    </row>
    <row r="27813" spans="1:5" x14ac:dyDescent="0.25">
      <c r="A27813" t="str">
        <f>HYPERLINK("https://www.773grp.com/globalSearch/BC327-025G/page-1", "BC327-025G")</f>
        <v>BC327-025G</v>
      </c>
      <c r="B27813" s="3" t="str">
        <f>HYPERLINK("https://www.773grp.com/manufacturer/onsemi?pageNo=7", "ON Semiconductor")</f>
        <v>ON Semiconductor</v>
      </c>
      <c r="C27813" s="6">
        <v>97947</v>
      </c>
      <c r="D27813" s="7">
        <v>0.48</v>
      </c>
      <c r="E27813" t="s">
        <v>69</v>
      </c>
    </row>
    <row r="27814" spans="1:5" x14ac:dyDescent="0.25">
      <c r="A27814" t="str">
        <f>HYPERLINK("https://www.773grp.com/globalSearch/BC327-25RL1G/page-1", "BC327-25RL1G")</f>
        <v>BC327-25RL1G</v>
      </c>
      <c r="B27814" s="3" t="str">
        <f>HYPERLINK("https://www.773grp.com/manufacturer/onsemi?pageNo=8", "ON Semiconductor")</f>
        <v>ON Semiconductor</v>
      </c>
      <c r="C27814" s="6">
        <v>186000</v>
      </c>
      <c r="D27814" s="7">
        <v>0.48</v>
      </c>
      <c r="E27814" t="s">
        <v>69</v>
      </c>
    </row>
    <row r="27815" spans="1:5" x14ac:dyDescent="0.25">
      <c r="A27815" t="str">
        <f>HYPERLINK("https://www.773grp.com/globalSearch/BC489AZL1G/page-1", "BC489AZL1G")</f>
        <v>BC489AZL1G</v>
      </c>
      <c r="B27815" s="3" t="str">
        <f>HYPERLINK("https://www.773grp.com/manufacturer/onsemi?pageNo=9", "ON Semiconductor")</f>
        <v>ON Semiconductor</v>
      </c>
      <c r="C27815" s="6">
        <v>3725</v>
      </c>
      <c r="D27815" s="7">
        <v>0.48</v>
      </c>
    </row>
    <row r="27816" spans="1:5" x14ac:dyDescent="0.25">
      <c r="A27816" t="str">
        <f>HYPERLINK("https://www.773grp.com/globalSearch/BCP53-16T1/page-1", "BCP53-16T1")</f>
        <v>BCP53-16T1</v>
      </c>
      <c r="B27816" s="3" t="str">
        <f>HYPERLINK("https://www.773grp.com/manufacturer/onsemi?pageNo=10", "ON Semiconductor")</f>
        <v>ON Semiconductor</v>
      </c>
      <c r="C27816" s="6">
        <v>144608</v>
      </c>
      <c r="D27816" s="7">
        <v>0.48</v>
      </c>
      <c r="E27816" t="s">
        <v>59</v>
      </c>
    </row>
    <row r="27817" spans="1:5" x14ac:dyDescent="0.25">
      <c r="A27817" t="str">
        <f>HYPERLINK("https://www.773grp.com/globalSearch/BCP56-16T1/page-1", "BCP56-16T1")</f>
        <v>BCP56-16T1</v>
      </c>
      <c r="B27817" s="3" t="str">
        <f>HYPERLINK("https://www.773grp.com/manufacturer/onsemi?pageNo=11", "ON Semiconductor")</f>
        <v>ON Semiconductor</v>
      </c>
      <c r="C27817" s="6">
        <v>52455</v>
      </c>
      <c r="D27817" s="7">
        <v>0.48</v>
      </c>
      <c r="E27817" t="s">
        <v>59</v>
      </c>
    </row>
    <row r="27818" spans="1:5" x14ac:dyDescent="0.25">
      <c r="A27818" t="str">
        <f>HYPERLINK("https://www.773grp.com/globalSearch/BCP56T3/page-1", "BCP56T3")</f>
        <v>BCP56T3</v>
      </c>
      <c r="B27818" s="3" t="str">
        <f>HYPERLINK("https://www.773grp.com/manufacturer/onsemi?pageNo=12", "ON Semiconductor")</f>
        <v>ON Semiconductor</v>
      </c>
      <c r="C27818" s="6">
        <v>44000</v>
      </c>
      <c r="D27818" s="7">
        <v>0.48</v>
      </c>
      <c r="E27818" t="s">
        <v>59</v>
      </c>
    </row>
    <row r="27819" spans="1:5" x14ac:dyDescent="0.25">
      <c r="A27819" t="str">
        <f>HYPERLINK("https://www.773grp.com/globalSearch/BCP68T1/page-1", "BCP68T1")</f>
        <v>BCP68T1</v>
      </c>
      <c r="B27819" s="3" t="str">
        <f>HYPERLINK("https://www.773grp.com/manufacturer/onsemi?pageNo=13", "ON Semiconductor")</f>
        <v>ON Semiconductor</v>
      </c>
      <c r="C27819" s="6">
        <v>295949</v>
      </c>
      <c r="D27819" s="7">
        <v>0.48</v>
      </c>
      <c r="E27819" t="s">
        <v>59</v>
      </c>
    </row>
    <row r="27820" spans="1:5" x14ac:dyDescent="0.25">
      <c r="A27820" t="str">
        <f>HYPERLINK("https://www.773grp.com/globalSearch/BCP69T1/page-1", "BCP69T1")</f>
        <v>BCP69T1</v>
      </c>
      <c r="B27820" s="3" t="str">
        <f>HYPERLINK("https://www.773grp.com/manufacturer/onsemi?pageNo=14", "ON Semiconductor")</f>
        <v>ON Semiconductor</v>
      </c>
      <c r="C27820" s="6">
        <v>1246945</v>
      </c>
      <c r="D27820" s="7">
        <v>0.48</v>
      </c>
      <c r="E27820" t="s">
        <v>59</v>
      </c>
    </row>
    <row r="27821" spans="1:5" x14ac:dyDescent="0.25">
      <c r="A27821" t="str">
        <f>HYPERLINK("https://www.773grp.com/globalSearch/BS107ARL1G/page-1", "BS107ARL1G")</f>
        <v>BS107ARL1G</v>
      </c>
      <c r="B27821" s="3" t="str">
        <f>HYPERLINK("https://www.773grp.com/manufacturer/onsemi?pageNo=15", "ON Semiconductor")</f>
        <v>ON Semiconductor</v>
      </c>
      <c r="C27821" s="6">
        <v>30000</v>
      </c>
      <c r="D27821" s="7">
        <v>0.48</v>
      </c>
      <c r="E27821" t="s">
        <v>106</v>
      </c>
    </row>
    <row r="27822" spans="1:5" x14ac:dyDescent="0.25">
      <c r="A27822" t="str">
        <f>HYPERLINK("https://www.773grp.com/globalSearch/CAT24AA02WI-G/page-1", "CAT24AA02WI-G")</f>
        <v>CAT24AA02WI-G</v>
      </c>
      <c r="B27822" s="3" t="str">
        <f>HYPERLINK("https://www.773grp.com/manufacturer/onsemi?pageNo=16", "ON Semiconductor")</f>
        <v>ON Semiconductor</v>
      </c>
      <c r="C27822" s="6">
        <v>2185</v>
      </c>
      <c r="D27822" s="7">
        <v>0.48</v>
      </c>
    </row>
    <row r="27823" spans="1:5" x14ac:dyDescent="0.25">
      <c r="A27823" t="str">
        <f>HYPERLINK("https://www.773grp.com/globalSearch/CAT24C02WI-GT3A/page-1", "CAT24C02WI-GT3A")</f>
        <v>CAT24C02WI-GT3A</v>
      </c>
      <c r="B27823" s="3" t="str">
        <f>HYPERLINK("https://www.773grp.com/manufacturer/onsemi?pageNo=17", "ON Semiconductor")</f>
        <v>ON Semiconductor</v>
      </c>
      <c r="C27823" s="6">
        <v>29000</v>
      </c>
      <c r="D27823" s="7">
        <v>0.48</v>
      </c>
      <c r="E27823" t="s">
        <v>64</v>
      </c>
    </row>
    <row r="27824" spans="1:5" x14ac:dyDescent="0.25">
      <c r="A27824" t="str">
        <f>HYPERLINK("https://www.773grp.com/globalSearch/CAT24C02WI-GT3A/page-1", "CAT24C02WI-GT3A")</f>
        <v>CAT24C02WI-GT3A</v>
      </c>
      <c r="B27824" s="3" t="str">
        <f>HYPERLINK("https://www.773grp.com/manufacturer/onsemi?pageNo=18", "ON Semiconductor")</f>
        <v>ON Semiconductor</v>
      </c>
      <c r="C27824" s="6">
        <v>55566</v>
      </c>
      <c r="D27824" s="7">
        <v>0.48</v>
      </c>
      <c r="E27824" t="s">
        <v>64</v>
      </c>
    </row>
    <row r="27825" spans="1:5" x14ac:dyDescent="0.25">
      <c r="A27825" t="str">
        <f>HYPERLINK("https://www.773grp.com/globalSearch/CAT24C02YI-GT3A/page-1", "CAT24C02YI-GT3A")</f>
        <v>CAT24C02YI-GT3A</v>
      </c>
      <c r="B27825" s="3" t="str">
        <f>HYPERLINK("https://www.773grp.com/manufacturer/onsemi?pageNo=19", "ON Semiconductor")</f>
        <v>ON Semiconductor</v>
      </c>
      <c r="C27825" s="6">
        <v>441423</v>
      </c>
      <c r="D27825" s="7">
        <v>0.48</v>
      </c>
      <c r="E27825" t="s">
        <v>64</v>
      </c>
    </row>
    <row r="27826" spans="1:5" x14ac:dyDescent="0.25">
      <c r="A27826" t="str">
        <f>HYPERLINK("https://www.773grp.com/globalSearch/CAT24C04YI-G/page-1", "CAT24C04YI-G")</f>
        <v>CAT24C04YI-G</v>
      </c>
      <c r="B27826" s="3" t="str">
        <f>HYPERLINK("https://www.773grp.com/manufacturer/onsemi?pageNo=20", "ON Semiconductor")</f>
        <v>ON Semiconductor</v>
      </c>
      <c r="C27826" s="6">
        <v>3800</v>
      </c>
      <c r="D27826" s="7">
        <v>0.48</v>
      </c>
    </row>
    <row r="27827" spans="1:5" x14ac:dyDescent="0.25">
      <c r="A27827" t="str">
        <f>HYPERLINK("https://www.773grp.com/globalSearch/CM1204-03CP/page-1", "CM1204-03CP")</f>
        <v>CM1204-03CP</v>
      </c>
      <c r="B27827" s="3" t="str">
        <f>HYPERLINK("https://www.773grp.com/manufacturer/onsemi?pageNo=21", "ON Semiconductor")</f>
        <v>ON Semiconductor</v>
      </c>
      <c r="C27827" s="6">
        <v>511000</v>
      </c>
      <c r="D27827" s="7">
        <v>0.48</v>
      </c>
    </row>
    <row r="27828" spans="1:5" x14ac:dyDescent="0.25">
      <c r="A27828" t="str">
        <f>HYPERLINK("https://www.773grp.com/globalSearch/CM1219-05SE/page-1", "CM1219-05SE")</f>
        <v>CM1219-05SE</v>
      </c>
      <c r="B27828" s="3" t="str">
        <f>HYPERLINK("https://www.773grp.com/manufacturer/onsemi?pageNo=22", "ON Semiconductor")</f>
        <v>ON Semiconductor</v>
      </c>
      <c r="C27828" s="6">
        <v>3390</v>
      </c>
      <c r="D27828" s="7">
        <v>0.48</v>
      </c>
    </row>
    <row r="27829" spans="1:5" x14ac:dyDescent="0.25">
      <c r="A27829" t="str">
        <f>HYPERLINK("https://www.773grp.com/globalSearch/CPH3115-TL-E/page-1", "CPH3115-TL-E")</f>
        <v>CPH3115-TL-E</v>
      </c>
      <c r="B27829" s="3" t="str">
        <f>HYPERLINK("https://www.773grp.com/manufacturer/onsemi?pageNo=23", "ON Semiconductor")</f>
        <v>ON Semiconductor</v>
      </c>
      <c r="C27829" s="6">
        <v>18000</v>
      </c>
      <c r="D27829" s="7">
        <v>0.48</v>
      </c>
    </row>
    <row r="27830" spans="1:5" x14ac:dyDescent="0.25">
      <c r="A27830" t="str">
        <f>HYPERLINK("https://www.773grp.com/globalSearch/CPH3216-TL-E/page-1", "CPH3216-TL-E")</f>
        <v>CPH3216-TL-E</v>
      </c>
      <c r="B27830" s="3" t="str">
        <f>HYPERLINK("https://www.773grp.com/manufacturer/onsemi?pageNo=24", "ON Semiconductor")</f>
        <v>ON Semiconductor</v>
      </c>
      <c r="C27830" s="6">
        <v>90000</v>
      </c>
      <c r="D27830" s="7">
        <v>0.48</v>
      </c>
    </row>
    <row r="27831" spans="1:5" x14ac:dyDescent="0.25">
      <c r="A27831" t="str">
        <f>HYPERLINK("https://www.773grp.com/globalSearch/CSPESD304G/page-1", "CSPESD304G")</f>
        <v>CSPESD304G</v>
      </c>
      <c r="B27831" s="3" t="str">
        <f>HYPERLINK("https://www.773grp.com/manufacturer/onsemi?pageNo=25", "ON Semiconductor")</f>
        <v>ON Semiconductor</v>
      </c>
      <c r="C27831" s="6">
        <v>17500</v>
      </c>
      <c r="D27831" s="7">
        <v>0.48</v>
      </c>
      <c r="E27831" t="s">
        <v>96</v>
      </c>
    </row>
    <row r="27832" spans="1:5" x14ac:dyDescent="0.25">
      <c r="A27832" t="str">
        <f>HYPERLINK("https://www.773grp.com/globalSearch/J111RL1G/page-1", "J111RL1G")</f>
        <v>J111RL1G</v>
      </c>
      <c r="B27832" s="3" t="str">
        <f>HYPERLINK("https://www.773grp.com/manufacturer/onsemi?pageNo=26", "ON Semiconductor")</f>
        <v>ON Semiconductor</v>
      </c>
      <c r="C27832" s="6">
        <v>30000</v>
      </c>
      <c r="D27832" s="7">
        <v>0.48</v>
      </c>
      <c r="E27832" t="s">
        <v>106</v>
      </c>
    </row>
    <row r="27833" spans="1:5" x14ac:dyDescent="0.25">
      <c r="A27833" t="str">
        <f>HYPERLINK("https://www.773grp.com/globalSearch/J111RLRA/page-1", "J111RLRA")</f>
        <v>J111RLRA</v>
      </c>
      <c r="B27833" s="3" t="str">
        <f>HYPERLINK("https://www.773grp.com/manufacturer/onsemi?pageNo=27", "ON Semiconductor")</f>
        <v>ON Semiconductor</v>
      </c>
      <c r="C27833" s="6">
        <v>84000</v>
      </c>
      <c r="D27833" s="7">
        <v>0.48</v>
      </c>
      <c r="E27833" t="s">
        <v>106</v>
      </c>
    </row>
    <row r="27834" spans="1:5" x14ac:dyDescent="0.25">
      <c r="A27834" t="str">
        <f>HYPERLINK("https://www.773grp.com/globalSearch/J111RLRAG/page-1", "J111RLRAG")</f>
        <v>J111RLRAG</v>
      </c>
      <c r="B27834" s="3" t="str">
        <f>HYPERLINK("https://www.773grp.com/manufacturer/onsemi?pageNo=28", "ON Semiconductor")</f>
        <v>ON Semiconductor</v>
      </c>
      <c r="C27834" s="6">
        <v>8000</v>
      </c>
      <c r="D27834" s="7">
        <v>0.48</v>
      </c>
      <c r="E27834" t="s">
        <v>106</v>
      </c>
    </row>
    <row r="27835" spans="1:5" x14ac:dyDescent="0.25">
      <c r="A27835" t="str">
        <f>HYPERLINK("https://www.773grp.com/globalSearch/J112RL1/page-1", "J112RL1")</f>
        <v>J112RL1</v>
      </c>
      <c r="B27835" s="3" t="str">
        <f>HYPERLINK("https://www.773grp.com/manufacturer/onsemi?pageNo=29", "ON Semiconductor")</f>
        <v>ON Semiconductor</v>
      </c>
      <c r="C27835" s="6">
        <v>4000</v>
      </c>
      <c r="D27835" s="7">
        <v>0.48</v>
      </c>
      <c r="E27835" t="s">
        <v>106</v>
      </c>
    </row>
    <row r="27836" spans="1:5" x14ac:dyDescent="0.25">
      <c r="A27836" t="str">
        <f>HYPERLINK("https://www.773grp.com/globalSearch/J310RLRPG/page-1", "J310RLRPG")</f>
        <v>J310RLRPG</v>
      </c>
      <c r="B27836" s="3" t="str">
        <f>HYPERLINK("https://www.773grp.com/manufacturer/onsemi?pageNo=30", "ON Semiconductor")</f>
        <v>ON Semiconductor</v>
      </c>
      <c r="C27836" s="6">
        <v>23782</v>
      </c>
      <c r="D27836" s="7">
        <v>0.48</v>
      </c>
      <c r="E27836" t="s">
        <v>104</v>
      </c>
    </row>
    <row r="27837" spans="1:5" x14ac:dyDescent="0.25">
      <c r="A27837" t="str">
        <f>HYPERLINK("https://www.773grp.com/globalSearch/J310ZL1G/page-1", "J310ZL1G")</f>
        <v>J310ZL1G</v>
      </c>
      <c r="B27837" s="3" t="str">
        <f>HYPERLINK("https://www.773grp.com/manufacturer/onsemi?pageNo=31", "ON Semiconductor")</f>
        <v>ON Semiconductor</v>
      </c>
      <c r="C27837" s="6">
        <v>27782</v>
      </c>
      <c r="D27837" s="7">
        <v>0.48</v>
      </c>
      <c r="E27837" t="s">
        <v>104</v>
      </c>
    </row>
    <row r="27838" spans="1:5" x14ac:dyDescent="0.25">
      <c r="A27838" t="str">
        <f>HYPERLINK("https://www.773grp.com/globalSearch/LM2901VD/page-1", "LM2901VD")</f>
        <v>LM2901VD</v>
      </c>
      <c r="B27838" s="3" t="str">
        <f>HYPERLINK("https://www.773grp.com/manufacturer/onsemi?pageNo=32", "ON Semiconductor")</f>
        <v>ON Semiconductor</v>
      </c>
      <c r="C27838" s="6">
        <v>1595</v>
      </c>
      <c r="D27838" s="7">
        <v>0.48</v>
      </c>
      <c r="E27838" t="s">
        <v>9</v>
      </c>
    </row>
    <row r="27839" spans="1:5" x14ac:dyDescent="0.25">
      <c r="A27839" t="str">
        <f>HYPERLINK("https://www.773grp.com/globalSearch/LM2904VD/page-1", "LM2904VD")</f>
        <v>LM2904VD</v>
      </c>
      <c r="B27839" s="3" t="str">
        <f>HYPERLINK("https://www.773grp.com/manufacturer/onsemi?pageNo=33", "ON Semiconductor")</f>
        <v>ON Semiconductor</v>
      </c>
      <c r="C27839" s="6">
        <v>1</v>
      </c>
      <c r="D27839" s="7">
        <v>0.48</v>
      </c>
      <c r="E27839" t="s">
        <v>13</v>
      </c>
    </row>
    <row r="27840" spans="1:5" x14ac:dyDescent="0.25">
      <c r="A27840" t="str">
        <f>HYPERLINK("https://www.773grp.com/globalSearch/M74VHC1G09DFT2GH/page-1", "M74VHC1G09DFT2GH")</f>
        <v>M74VHC1G09DFT2GH</v>
      </c>
      <c r="B27840" s="3" t="str">
        <f>HYPERLINK("https://www.773grp.com/manufacturer/onsemi?pageNo=34", "ON Semiconductor")</f>
        <v>ON Semiconductor</v>
      </c>
      <c r="C27840" s="6">
        <v>4065000</v>
      </c>
      <c r="D27840" s="7">
        <v>0.48</v>
      </c>
    </row>
    <row r="27841" spans="1:5" x14ac:dyDescent="0.25">
      <c r="A27841" t="str">
        <f>HYPERLINK("https://www.773grp.com/globalSearch/M74VHC1G132DTT1G/page-1", "M74VHC1G132DTT1G")</f>
        <v>M74VHC1G132DTT1G</v>
      </c>
      <c r="B27841" s="3" t="str">
        <f>HYPERLINK("https://www.773grp.com/manufacturer/onsemi?pageNo=35", "ON Semiconductor")</f>
        <v>ON Semiconductor</v>
      </c>
      <c r="C27841" s="6">
        <v>15290</v>
      </c>
      <c r="D27841" s="7">
        <v>0.48</v>
      </c>
    </row>
    <row r="27842" spans="1:5" x14ac:dyDescent="0.25">
      <c r="A27842" t="str">
        <f>HYPERLINK("https://www.773grp.com/globalSearch/M74VHC1G135DTT1G/page-1", "M74VHC1G135DTT1G")</f>
        <v>M74VHC1G135DTT1G</v>
      </c>
      <c r="B27842" s="3" t="str">
        <f>HYPERLINK("https://www.773grp.com/manufacturer/onsemi?pageNo=36", "ON Semiconductor")</f>
        <v>ON Semiconductor</v>
      </c>
      <c r="C27842" s="6">
        <v>66000</v>
      </c>
      <c r="D27842" s="7">
        <v>0.48</v>
      </c>
      <c r="E27842" t="s">
        <v>31</v>
      </c>
    </row>
    <row r="27843" spans="1:5" x14ac:dyDescent="0.25">
      <c r="A27843" t="str">
        <f>HYPERLINK("https://www.773grp.com/globalSearch/M74VHC1GT00DTT1G/page-1", "M74VHC1GT00DTT1G")</f>
        <v>M74VHC1GT00DTT1G</v>
      </c>
      <c r="B27843" s="3" t="str">
        <f>HYPERLINK("https://www.773grp.com/manufacturer/onsemi?pageNo=37", "ON Semiconductor")</f>
        <v>ON Semiconductor</v>
      </c>
      <c r="C27843" s="6">
        <v>21000</v>
      </c>
      <c r="D27843" s="7">
        <v>0.48</v>
      </c>
      <c r="E27843" t="s">
        <v>31</v>
      </c>
    </row>
    <row r="27844" spans="1:5" x14ac:dyDescent="0.25">
      <c r="A27844" t="str">
        <f>HYPERLINK("https://www.773grp.com/globalSearch/M74VHC1GT02DTT1G/page-1", "M74VHC1GT02DTT1G")</f>
        <v>M74VHC1GT02DTT1G</v>
      </c>
      <c r="B27844" s="3" t="str">
        <f>HYPERLINK("https://www.773grp.com/manufacturer/onsemi?pageNo=38", "ON Semiconductor")</f>
        <v>ON Semiconductor</v>
      </c>
      <c r="C27844" s="6">
        <v>71198</v>
      </c>
      <c r="D27844" s="7">
        <v>0.48</v>
      </c>
      <c r="E27844" t="s">
        <v>31</v>
      </c>
    </row>
    <row r="27845" spans="1:5" x14ac:dyDescent="0.25">
      <c r="A27845" t="str">
        <f>HYPERLINK("https://www.773grp.com/globalSearch/M74VHC1GT04DTT1G/page-1", "M74VHC1GT04DTT1G")</f>
        <v>M74VHC1GT04DTT1G</v>
      </c>
      <c r="B27845" s="3" t="str">
        <f>HYPERLINK("https://www.773grp.com/manufacturer/onsemi?pageNo=39", "ON Semiconductor")</f>
        <v>ON Semiconductor</v>
      </c>
      <c r="C27845" s="6">
        <v>48934</v>
      </c>
      <c r="D27845" s="7">
        <v>0.48</v>
      </c>
      <c r="E27845" t="s">
        <v>31</v>
      </c>
    </row>
    <row r="27846" spans="1:5" x14ac:dyDescent="0.25">
      <c r="A27846" t="str">
        <f>HYPERLINK("https://www.773grp.com/globalSearch/M74VHC1GT08DTT1G/page-1", "M74VHC1GT08DTT1G")</f>
        <v>M74VHC1GT08DTT1G</v>
      </c>
      <c r="B27846" s="3" t="str">
        <f>HYPERLINK("https://www.773grp.com/manufacturer/onsemi?pageNo=40", "ON Semiconductor")</f>
        <v>ON Semiconductor</v>
      </c>
      <c r="C27846" s="6">
        <v>40654</v>
      </c>
      <c r="D27846" s="7">
        <v>0.48</v>
      </c>
      <c r="E27846" t="s">
        <v>31</v>
      </c>
    </row>
    <row r="27847" spans="1:5" x14ac:dyDescent="0.25">
      <c r="A27847" t="str">
        <f>HYPERLINK("https://www.773grp.com/globalSearch/M74VHC1GT14DTT1G/page-1", "M74VHC1GT14DTT1G")</f>
        <v>M74VHC1GT14DTT1G</v>
      </c>
      <c r="B27847" s="3" t="str">
        <f>HYPERLINK("https://www.773grp.com/manufacturer/onsemi?pageNo=41", "ON Semiconductor")</f>
        <v>ON Semiconductor</v>
      </c>
      <c r="C27847" s="6">
        <v>81927</v>
      </c>
      <c r="D27847" s="7">
        <v>0.48</v>
      </c>
      <c r="E27847" t="s">
        <v>31</v>
      </c>
    </row>
    <row r="27848" spans="1:5" x14ac:dyDescent="0.25">
      <c r="A27848" t="str">
        <f>HYPERLINK("https://www.773grp.com/globalSearch/M74VHC1GT32DTT1G/page-1", "M74VHC1GT32DTT1G")</f>
        <v>M74VHC1GT32DTT1G</v>
      </c>
      <c r="B27848" s="3" t="str">
        <f>HYPERLINK("https://www.773grp.com/manufacturer/onsemi?pageNo=42", "ON Semiconductor")</f>
        <v>ON Semiconductor</v>
      </c>
      <c r="C27848" s="6">
        <v>625440</v>
      </c>
      <c r="D27848" s="7">
        <v>0.48</v>
      </c>
      <c r="E27848" t="s">
        <v>31</v>
      </c>
    </row>
    <row r="27849" spans="1:5" x14ac:dyDescent="0.25">
      <c r="A27849" t="str">
        <f>HYPERLINK("https://www.773grp.com/globalSearch/M74VHC1GT50DTT1G/page-1", "M74VHC1GT50DTT1G")</f>
        <v>M74VHC1GT50DTT1G</v>
      </c>
      <c r="B27849" s="3" t="str">
        <f>HYPERLINK("https://www.773grp.com/manufacturer/onsemi?pageNo=43", "ON Semiconductor")</f>
        <v>ON Semiconductor</v>
      </c>
      <c r="C27849" s="6">
        <v>41555</v>
      </c>
      <c r="D27849" s="7">
        <v>0.48</v>
      </c>
      <c r="E27849" t="s">
        <v>31</v>
      </c>
    </row>
    <row r="27850" spans="1:5" x14ac:dyDescent="0.25">
      <c r="A27850" t="str">
        <f>HYPERLINK("https://www.773grp.com/globalSearch/M74VHC1GT66D/page-1", "M74VHC1GT66D")</f>
        <v>M74VHC1GT66D</v>
      </c>
      <c r="B27850" s="3" t="str">
        <f>HYPERLINK("https://www.773grp.com/manufacturer/onsemi?pageNo=44", "ON Semiconductor")</f>
        <v>ON Semiconductor</v>
      </c>
      <c r="C27850" s="6">
        <v>3000</v>
      </c>
      <c r="D27850" s="7">
        <v>0.48</v>
      </c>
    </row>
    <row r="27851" spans="1:5" x14ac:dyDescent="0.25">
      <c r="A27851" t="str">
        <f>HYPERLINK("https://www.773grp.com/globalSearch/M74VHC1GT86DTT1G/page-1", "M74VHC1GT86DTT1G")</f>
        <v>M74VHC1GT86DTT1G</v>
      </c>
      <c r="B27851" s="3" t="str">
        <f>HYPERLINK("https://www.773grp.com/manufacturer/onsemi?pageNo=45", "ON Semiconductor")</f>
        <v>ON Semiconductor</v>
      </c>
      <c r="C27851" s="6">
        <v>28895</v>
      </c>
      <c r="D27851" s="7">
        <v>0.48</v>
      </c>
    </row>
    <row r="27852" spans="1:5" x14ac:dyDescent="0.25">
      <c r="A27852" t="str">
        <f>HYPERLINK("https://www.773grp.com/globalSearch/M74VHC1GU04DFT2H/page-1", "M74VHC1GU04DFT2H")</f>
        <v>M74VHC1GU04DFT2H</v>
      </c>
      <c r="B27852" s="3" t="str">
        <f>HYPERLINK("https://www.773grp.com/manufacturer/onsemi?pageNo=46", "ON Semiconductor")</f>
        <v>ON Semiconductor</v>
      </c>
      <c r="C27852" s="6">
        <v>78000</v>
      </c>
      <c r="D27852" s="7">
        <v>0.48</v>
      </c>
    </row>
    <row r="27853" spans="1:5" x14ac:dyDescent="0.25">
      <c r="A27853" t="str">
        <f>HYPERLINK("https://www.773grp.com/globalSearch/M74VHC1GU04DTT1G/page-1", "M74VHC1GU04DTT1G")</f>
        <v>M74VHC1GU04DTT1G</v>
      </c>
      <c r="B27853" s="3" t="str">
        <f>HYPERLINK("https://www.773grp.com/manufacturer/onsemi?pageNo=47", "ON Semiconductor")</f>
        <v>ON Semiconductor</v>
      </c>
      <c r="C27853" s="6">
        <v>66000</v>
      </c>
      <c r="D27853" s="7">
        <v>0.48</v>
      </c>
    </row>
    <row r="27854" spans="1:5" x14ac:dyDescent="0.25">
      <c r="A27854" t="str">
        <f>HYPERLINK("https://www.773grp.com/globalSearch/MAX809SN490T1/page-1", "MAX809SN490T1")</f>
        <v>MAX809SN490T1</v>
      </c>
      <c r="B27854" s="3" t="str">
        <f>HYPERLINK("https://www.773grp.com/manufacturer/onsemi?pageNo=48", "ON Semiconductor")</f>
        <v>ON Semiconductor</v>
      </c>
      <c r="C27854" s="6">
        <v>5930</v>
      </c>
      <c r="D27854" s="7">
        <v>0.48</v>
      </c>
      <c r="E27854" t="s">
        <v>30</v>
      </c>
    </row>
    <row r="27855" spans="1:5" x14ac:dyDescent="0.25">
      <c r="A27855" t="str">
        <f>HYPERLINK("https://www.773grp.com/globalSearch/MBR0520LT1H/page-1", "MBR0520LT1H")</f>
        <v>MBR0520LT1H</v>
      </c>
      <c r="B27855" s="3" t="str">
        <f>HYPERLINK("https://www.773grp.com/manufacturer/onsemi?pageNo=49", "ON Semiconductor")</f>
        <v>ON Semiconductor</v>
      </c>
      <c r="C27855" s="6">
        <v>33000</v>
      </c>
      <c r="D27855" s="7">
        <v>0.48</v>
      </c>
    </row>
    <row r="27856" spans="1:5" x14ac:dyDescent="0.25">
      <c r="A27856" t="str">
        <f>HYPERLINK("https://www.773grp.com/globalSearch/MBRA120ET3G/page-1", "MBRA120ET3G")</f>
        <v>MBRA120ET3G</v>
      </c>
      <c r="B27856" s="3" t="str">
        <f>HYPERLINK("https://www.773grp.com/manufacturer/onsemi?pageNo=50", "ON Semiconductor")</f>
        <v>ON Semiconductor</v>
      </c>
      <c r="C27856" s="6">
        <v>25000</v>
      </c>
      <c r="D27856" s="7">
        <v>0.48</v>
      </c>
    </row>
    <row r="27857" spans="1:5" x14ac:dyDescent="0.25">
      <c r="A27857" t="str">
        <f>HYPERLINK("https://www.773grp.com/globalSearch/MBRM120LT1G/page-1", "MBRM120LT1G")</f>
        <v>MBRM120LT1G</v>
      </c>
      <c r="B27857" s="3" t="str">
        <f>HYPERLINK("https://www.773grp.com/manufacturer/onsemi?pageNo=51", "ON Semiconductor")</f>
        <v>ON Semiconductor</v>
      </c>
      <c r="C27857" s="6">
        <v>6000</v>
      </c>
      <c r="D27857" s="7">
        <v>0.48</v>
      </c>
    </row>
    <row r="27858" spans="1:5" x14ac:dyDescent="0.25">
      <c r="A27858" t="str">
        <f>HYPERLINK("https://www.773grp.com/globalSearch/MBRM120LT3G/page-1", "MBRM120LT3G")</f>
        <v>MBRM120LT3G</v>
      </c>
      <c r="B27858" s="3" t="str">
        <f>HYPERLINK("https://www.773grp.com/manufacturer/onsemi?pageNo=52", "ON Semiconductor")</f>
        <v>ON Semiconductor</v>
      </c>
      <c r="C27858" s="6">
        <v>618805</v>
      </c>
      <c r="D27858" s="7">
        <v>0.48</v>
      </c>
      <c r="E27858" t="s">
        <v>94</v>
      </c>
    </row>
    <row r="27859" spans="1:5" x14ac:dyDescent="0.25">
      <c r="A27859" t="str">
        <f>HYPERLINK("https://www.773grp.com/globalSearch/MBRM130LT1G/page-1", "MBRM130LT1G")</f>
        <v>MBRM130LT1G</v>
      </c>
      <c r="B27859" s="3" t="str">
        <f>HYPERLINK("https://www.773grp.com/manufacturer/onsemi?pageNo=53", "ON Semiconductor")</f>
        <v>ON Semiconductor</v>
      </c>
      <c r="C27859" s="6">
        <v>3000</v>
      </c>
      <c r="D27859" s="7">
        <v>0.48</v>
      </c>
    </row>
    <row r="27860" spans="1:5" x14ac:dyDescent="0.25">
      <c r="A27860" t="str">
        <f>HYPERLINK("https://www.773grp.com/globalSearch/MBRM130LT3G/page-1", "MBRM130LT3G")</f>
        <v>MBRM130LT3G</v>
      </c>
      <c r="B27860" s="3" t="str">
        <f>HYPERLINK("https://www.773grp.com/manufacturer/onsemi?pageNo=54", "ON Semiconductor")</f>
        <v>ON Semiconductor</v>
      </c>
      <c r="C27860" s="6">
        <v>24000</v>
      </c>
      <c r="D27860" s="7">
        <v>0.48</v>
      </c>
    </row>
    <row r="27861" spans="1:5" x14ac:dyDescent="0.25">
      <c r="A27861" t="str">
        <f>HYPERLINK("https://www.773grp.com/globalSearch/MBRM140T1G/page-1", "MBRM140T1G")</f>
        <v>MBRM140T1G</v>
      </c>
      <c r="B27861" s="3" t="str">
        <f>HYPERLINK("https://www.773grp.com/manufacturer/onsemi?pageNo=55", "ON Semiconductor")</f>
        <v>ON Semiconductor</v>
      </c>
      <c r="C27861" s="6">
        <v>15000</v>
      </c>
      <c r="D27861" s="7">
        <v>0.48</v>
      </c>
    </row>
    <row r="27862" spans="1:5" x14ac:dyDescent="0.25">
      <c r="A27862" t="str">
        <f>HYPERLINK("https://www.773grp.com/globalSearch/MBRM140T1H/page-1", "MBRM140T1H")</f>
        <v>MBRM140T1H</v>
      </c>
      <c r="B27862" s="3" t="str">
        <f>HYPERLINK("https://www.773grp.com/manufacturer/onsemi?pageNo=56", "ON Semiconductor")</f>
        <v>ON Semiconductor</v>
      </c>
      <c r="C27862" s="6">
        <v>9000</v>
      </c>
      <c r="D27862" s="7">
        <v>0.48</v>
      </c>
    </row>
    <row r="27863" spans="1:5" x14ac:dyDescent="0.25">
      <c r="A27863" t="str">
        <f>HYPERLINK("https://www.773grp.com/globalSearch/MBRM140T3G/page-1", "MBRM140T3G")</f>
        <v>MBRM140T3G</v>
      </c>
      <c r="B27863" s="3" t="str">
        <f>HYPERLINK("https://www.773grp.com/manufacturer/onsemi?pageNo=57", "ON Semiconductor")</f>
        <v>ON Semiconductor</v>
      </c>
      <c r="C27863" s="6">
        <v>24000</v>
      </c>
      <c r="D27863" s="7">
        <v>0.48</v>
      </c>
    </row>
    <row r="27864" spans="1:5" x14ac:dyDescent="0.25">
      <c r="A27864" t="str">
        <f>HYPERLINK("https://www.773grp.com/globalSearch/MC14012BF/page-1", "MC14012BF")</f>
        <v>MC14012BF</v>
      </c>
      <c r="B27864" s="3" t="str">
        <f>HYPERLINK("https://www.773grp.com/manufacturer/onsemi?pageNo=58", "ON Semiconductor")</f>
        <v>ON Semiconductor</v>
      </c>
      <c r="C27864" s="6">
        <v>3500</v>
      </c>
      <c r="D27864" s="7">
        <v>0.48</v>
      </c>
      <c r="E27864" t="s">
        <v>31</v>
      </c>
    </row>
    <row r="27865" spans="1:5" x14ac:dyDescent="0.25">
      <c r="A27865" t="str">
        <f>HYPERLINK("https://www.773grp.com/globalSearch/MC14014BD/page-1", "MC14014BD")</f>
        <v>MC14014BD</v>
      </c>
      <c r="B27865" s="3" t="str">
        <f>HYPERLINK("https://www.773grp.com/manufacturer/onsemi?pageNo=59", "ON Semiconductor")</f>
        <v>ON Semiconductor</v>
      </c>
      <c r="C27865" s="6">
        <v>6888</v>
      </c>
      <c r="D27865" s="7">
        <v>0.48</v>
      </c>
      <c r="E27865" t="s">
        <v>32</v>
      </c>
    </row>
    <row r="27866" spans="1:5" x14ac:dyDescent="0.25">
      <c r="A27866" t="str">
        <f>HYPERLINK("https://www.773grp.com/globalSearch/MC14021BD/page-1", "MC14021BD")</f>
        <v>MC14021BD</v>
      </c>
      <c r="B27866" s="3" t="str">
        <f>HYPERLINK("https://www.773grp.com/manufacturer/onsemi?pageNo=60", "ON Semiconductor")</f>
        <v>ON Semiconductor</v>
      </c>
      <c r="C27866" s="6">
        <v>8694</v>
      </c>
      <c r="D27866" s="7">
        <v>0.48</v>
      </c>
      <c r="E27866" t="s">
        <v>32</v>
      </c>
    </row>
    <row r="27867" spans="1:5" x14ac:dyDescent="0.25">
      <c r="A27867" t="str">
        <f>HYPERLINK("https://www.773grp.com/globalSearch/MC14024BFEL/page-1", "MC14024BFEL")</f>
        <v>MC14024BFEL</v>
      </c>
      <c r="B27867" s="3" t="str">
        <f>HYPERLINK("https://www.773grp.com/manufacturer/onsemi?pageNo=61", "ON Semiconductor")</f>
        <v>ON Semiconductor</v>
      </c>
      <c r="C27867" s="6">
        <v>2000</v>
      </c>
      <c r="D27867" s="7">
        <v>0.48</v>
      </c>
      <c r="E27867" t="s">
        <v>26</v>
      </c>
    </row>
    <row r="27868" spans="1:5" x14ac:dyDescent="0.25">
      <c r="A27868" t="str">
        <f>HYPERLINK("https://www.773grp.com/globalSearch/MC14029BD/page-1", "MC14029BD")</f>
        <v>MC14029BD</v>
      </c>
      <c r="B27868" s="3" t="str">
        <f>HYPERLINK("https://www.773grp.com/manufacturer/onsemi?pageNo=62", "ON Semiconductor")</f>
        <v>ON Semiconductor</v>
      </c>
      <c r="C27868" s="6">
        <v>21008</v>
      </c>
      <c r="D27868" s="7">
        <v>0.48</v>
      </c>
      <c r="E27868" t="s">
        <v>26</v>
      </c>
    </row>
    <row r="27869" spans="1:5" x14ac:dyDescent="0.25">
      <c r="A27869" t="str">
        <f>HYPERLINK("https://www.773grp.com/globalSearch/MC14049BCP/page-1", "MC14049BCP")</f>
        <v>MC14049BCP</v>
      </c>
      <c r="B27869" s="3" t="str">
        <f>HYPERLINK("https://www.773grp.com/manufacturer/onsemi?pageNo=63", "ON Semiconductor")</f>
        <v>ON Semiconductor</v>
      </c>
      <c r="C27869" s="6">
        <v>1</v>
      </c>
      <c r="D27869" s="7">
        <v>0.48</v>
      </c>
      <c r="E27869" t="s">
        <v>31</v>
      </c>
    </row>
    <row r="27870" spans="1:5" x14ac:dyDescent="0.25">
      <c r="A27870" t="str">
        <f>HYPERLINK("https://www.773grp.com/globalSearch/MC14049BFEL/page-1", "MC14049BFEL")</f>
        <v>MC14049BFEL</v>
      </c>
      <c r="B27870" s="3" t="str">
        <f>HYPERLINK("https://www.773grp.com/manufacturer/onsemi?pageNo=64", "ON Semiconductor")</f>
        <v>ON Semiconductor</v>
      </c>
      <c r="C27870" s="6">
        <v>20000</v>
      </c>
      <c r="D27870" s="7">
        <v>0.48</v>
      </c>
      <c r="E27870" t="s">
        <v>31</v>
      </c>
    </row>
    <row r="27871" spans="1:5" x14ac:dyDescent="0.25">
      <c r="A27871" t="str">
        <f>HYPERLINK("https://www.773grp.com/globalSearch/MC14050BCP/page-1", "MC14050BCP")</f>
        <v>MC14050BCP</v>
      </c>
      <c r="B27871" s="3" t="str">
        <f>HYPERLINK("https://www.773grp.com/manufacturer/onsemi?pageNo=65", "ON Semiconductor")</f>
        <v>ON Semiconductor</v>
      </c>
      <c r="C27871" s="6">
        <v>17647</v>
      </c>
      <c r="D27871" s="7">
        <v>0.48</v>
      </c>
      <c r="E27871" t="s">
        <v>31</v>
      </c>
    </row>
    <row r="27872" spans="1:5" x14ac:dyDescent="0.25">
      <c r="A27872" t="str">
        <f>HYPERLINK("https://www.773grp.com/globalSearch/MC14050BFEL/page-1", "MC14050BFEL")</f>
        <v>MC14050BFEL</v>
      </c>
      <c r="B27872" s="3" t="str">
        <f>HYPERLINK("https://www.773grp.com/manufacturer/onsemi?pageNo=66", "ON Semiconductor")</f>
        <v>ON Semiconductor</v>
      </c>
      <c r="C27872" s="6">
        <v>3700</v>
      </c>
      <c r="D27872" s="7">
        <v>0.48</v>
      </c>
      <c r="E27872" t="s">
        <v>31</v>
      </c>
    </row>
    <row r="27873" spans="1:5" x14ac:dyDescent="0.25">
      <c r="A27873" t="str">
        <f>HYPERLINK("https://www.773grp.com/globalSearch/MC14076BCP/page-1", "MC14076BCP")</f>
        <v>MC14076BCP</v>
      </c>
      <c r="B27873" s="3" t="str">
        <f>HYPERLINK("https://www.773grp.com/manufacturer/onsemi?pageNo=67", "ON Semiconductor")</f>
        <v>ON Semiconductor</v>
      </c>
      <c r="C27873" s="6">
        <v>1703</v>
      </c>
      <c r="D27873" s="7">
        <v>0.48</v>
      </c>
      <c r="E27873" t="s">
        <v>35</v>
      </c>
    </row>
    <row r="27874" spans="1:5" x14ac:dyDescent="0.25">
      <c r="A27874" t="str">
        <f>HYPERLINK("https://www.773grp.com/globalSearch/MC14078BCP/page-1", "MC14078BCP")</f>
        <v>MC14078BCP</v>
      </c>
      <c r="B27874" s="3" t="str">
        <f>HYPERLINK("https://www.773grp.com/manufacturer/onsemi?pageNo=68", "ON Semiconductor")</f>
        <v>ON Semiconductor</v>
      </c>
      <c r="C27874" s="6">
        <v>59249</v>
      </c>
      <c r="D27874" s="7">
        <v>0.48</v>
      </c>
      <c r="E27874" t="s">
        <v>31</v>
      </c>
    </row>
    <row r="27875" spans="1:5" x14ac:dyDescent="0.25">
      <c r="A27875" t="str">
        <f>HYPERLINK("https://www.773grp.com/globalSearch/MC14541BF/page-1", "MC14541BF")</f>
        <v>MC14541BF</v>
      </c>
      <c r="B27875" s="3" t="str">
        <f>HYPERLINK("https://www.773grp.com/manufacturer/onsemi?pageNo=69", "ON Semiconductor")</f>
        <v>ON Semiconductor</v>
      </c>
      <c r="C27875" s="6">
        <v>118</v>
      </c>
      <c r="D27875" s="7">
        <v>0.48</v>
      </c>
      <c r="E27875" t="s">
        <v>82</v>
      </c>
    </row>
    <row r="27876" spans="1:5" x14ac:dyDescent="0.25">
      <c r="A27876" t="str">
        <f>HYPERLINK("https://www.773grp.com/globalSearch/MC14584BFEL/page-1", "MC14584BFEL")</f>
        <v>MC14584BFEL</v>
      </c>
      <c r="B27876" s="3" t="str">
        <f>HYPERLINK("https://www.773grp.com/manufacturer/onsemi?pageNo=70", "ON Semiconductor")</f>
        <v>ON Semiconductor</v>
      </c>
      <c r="C27876" s="6">
        <v>6000</v>
      </c>
      <c r="D27876" s="7">
        <v>0.48</v>
      </c>
      <c r="E27876" t="s">
        <v>31</v>
      </c>
    </row>
    <row r="27877" spans="1:5" x14ac:dyDescent="0.25">
      <c r="A27877" t="str">
        <f>HYPERLINK("https://www.773grp.com/globalSearch/MC7411MEL/page-1", "MC7411MEL")</f>
        <v>MC7411MEL</v>
      </c>
      <c r="B27877" s="3" t="str">
        <f>HYPERLINK("https://www.773grp.com/manufacturer/onsemi?pageNo=71", "ON Semiconductor")</f>
        <v>ON Semiconductor</v>
      </c>
      <c r="C27877" s="6">
        <v>4000</v>
      </c>
      <c r="D27877" s="7">
        <v>0.48</v>
      </c>
    </row>
    <row r="27878" spans="1:5" x14ac:dyDescent="0.25">
      <c r="A27878" t="str">
        <f>HYPERLINK("https://www.773grp.com/globalSearch/MC74AC00M/page-1", "MC74AC00M")</f>
        <v>MC74AC00M</v>
      </c>
      <c r="B27878" s="3" t="str">
        <f>HYPERLINK("https://www.773grp.com/manufacturer/onsemi?pageNo=72", "ON Semiconductor")</f>
        <v>ON Semiconductor</v>
      </c>
      <c r="C27878" s="6">
        <v>1300</v>
      </c>
      <c r="D27878" s="7">
        <v>0.48</v>
      </c>
      <c r="E27878" t="s">
        <v>31</v>
      </c>
    </row>
    <row r="27879" spans="1:5" x14ac:dyDescent="0.25">
      <c r="A27879" t="str">
        <f>HYPERLINK("https://www.773grp.com/globalSearch/MC74AC00ML1/page-1", "MC74AC00ML1")</f>
        <v>MC74AC00ML1</v>
      </c>
      <c r="B27879" s="3" t="str">
        <f>HYPERLINK("https://www.773grp.com/manufacturer/onsemi?pageNo=73", "ON Semiconductor")</f>
        <v>ON Semiconductor</v>
      </c>
      <c r="C27879" s="6">
        <v>10000</v>
      </c>
      <c r="D27879" s="7">
        <v>0.48</v>
      </c>
      <c r="E27879" t="s">
        <v>31</v>
      </c>
    </row>
    <row r="27880" spans="1:5" x14ac:dyDescent="0.25">
      <c r="A27880" t="str">
        <f>HYPERLINK("https://www.773grp.com/globalSearch/MC74AC00MR1/page-1", "MC74AC00MR1")</f>
        <v>MC74AC00MR1</v>
      </c>
      <c r="B27880" s="3" t="str">
        <f>HYPERLINK("https://www.773grp.com/manufacturer/onsemi?pageNo=74", "ON Semiconductor")</f>
        <v>ON Semiconductor</v>
      </c>
      <c r="C27880" s="6">
        <v>8000</v>
      </c>
      <c r="D27880" s="7">
        <v>0.48</v>
      </c>
      <c r="E27880" t="s">
        <v>31</v>
      </c>
    </row>
    <row r="27881" spans="1:5" x14ac:dyDescent="0.25">
      <c r="A27881" t="str">
        <f>HYPERLINK("https://www.773grp.com/globalSearch/MC74AC02M/page-1", "MC74AC02M")</f>
        <v>MC74AC02M</v>
      </c>
      <c r="B27881" s="3" t="str">
        <f>HYPERLINK("https://www.773grp.com/manufacturer/onsemi?pageNo=75", "ON Semiconductor")</f>
        <v>ON Semiconductor</v>
      </c>
      <c r="C27881" s="6">
        <v>1750</v>
      </c>
      <c r="D27881" s="7">
        <v>0.48</v>
      </c>
      <c r="E27881" t="s">
        <v>31</v>
      </c>
    </row>
    <row r="27882" spans="1:5" x14ac:dyDescent="0.25">
      <c r="A27882" t="str">
        <f>HYPERLINK("https://www.773grp.com/globalSearch/MC74AC04M/page-1", "MC74AC04M")</f>
        <v>MC74AC04M</v>
      </c>
      <c r="B27882" s="3" t="str">
        <f>HYPERLINK("https://www.773grp.com/manufacturer/onsemi?pageNo=76", "ON Semiconductor")</f>
        <v>ON Semiconductor</v>
      </c>
      <c r="C27882" s="6">
        <v>5200</v>
      </c>
      <c r="D27882" s="7">
        <v>0.48</v>
      </c>
      <c r="E27882" t="s">
        <v>31</v>
      </c>
    </row>
    <row r="27883" spans="1:5" x14ac:dyDescent="0.25">
      <c r="A27883" t="str">
        <f>HYPERLINK("https://www.773grp.com/globalSearch/MC74AC04ML1/page-1", "MC74AC04ML1")</f>
        <v>MC74AC04ML1</v>
      </c>
      <c r="B27883" s="3" t="str">
        <f>HYPERLINK("https://www.773grp.com/manufacturer/onsemi?pageNo=77", "ON Semiconductor")</f>
        <v>ON Semiconductor</v>
      </c>
      <c r="C27883" s="6">
        <v>34000</v>
      </c>
      <c r="D27883" s="7">
        <v>0.48</v>
      </c>
    </row>
    <row r="27884" spans="1:5" x14ac:dyDescent="0.25">
      <c r="A27884" t="str">
        <f>HYPERLINK("https://www.773grp.com/globalSearch/MC74AC04MR1/page-1", "MC74AC04MR1")</f>
        <v>MC74AC04MR1</v>
      </c>
      <c r="B27884" s="3" t="str">
        <f>HYPERLINK("https://www.773grp.com/manufacturer/onsemi?pageNo=78", "ON Semiconductor")</f>
        <v>ON Semiconductor</v>
      </c>
      <c r="C27884" s="6">
        <v>16000</v>
      </c>
      <c r="D27884" s="7">
        <v>0.48</v>
      </c>
      <c r="E27884" t="s">
        <v>31</v>
      </c>
    </row>
    <row r="27885" spans="1:5" x14ac:dyDescent="0.25">
      <c r="A27885" t="str">
        <f>HYPERLINK("https://www.773grp.com/globalSearch/MC74AC08DT/page-1", "MC74AC08DT")</f>
        <v>MC74AC08DT</v>
      </c>
      <c r="B27885" s="3" t="str">
        <f>HYPERLINK("https://www.773grp.com/manufacturer/onsemi?pageNo=79", "ON Semiconductor")</f>
        <v>ON Semiconductor</v>
      </c>
      <c r="C27885" s="6">
        <v>8089</v>
      </c>
      <c r="D27885" s="7">
        <v>0.48</v>
      </c>
      <c r="E27885" t="s">
        <v>31</v>
      </c>
    </row>
    <row r="27886" spans="1:5" x14ac:dyDescent="0.25">
      <c r="A27886" t="str">
        <f>HYPERLINK("https://www.773grp.com/globalSearch/MC74AC08ML1/page-1", "MC74AC08ML1")</f>
        <v>MC74AC08ML1</v>
      </c>
      <c r="B27886" s="3" t="str">
        <f>HYPERLINK("https://www.773grp.com/manufacturer/onsemi?pageNo=80", "ON Semiconductor")</f>
        <v>ON Semiconductor</v>
      </c>
      <c r="C27886" s="6">
        <v>131000</v>
      </c>
      <c r="D27886" s="7">
        <v>0.48</v>
      </c>
      <c r="E27886" t="s">
        <v>31</v>
      </c>
    </row>
    <row r="27887" spans="1:5" x14ac:dyDescent="0.25">
      <c r="A27887" t="str">
        <f>HYPERLINK("https://www.773grp.com/globalSearch/MC74AC08MR1/page-1", "MC74AC08MR1")</f>
        <v>MC74AC08MR1</v>
      </c>
      <c r="B27887" s="3" t="str">
        <f>HYPERLINK("https://www.773grp.com/manufacturer/onsemi?pageNo=81", "ON Semiconductor")</f>
        <v>ON Semiconductor</v>
      </c>
      <c r="C27887" s="6">
        <v>9000</v>
      </c>
      <c r="D27887" s="7">
        <v>0.48</v>
      </c>
      <c r="E27887" t="s">
        <v>31</v>
      </c>
    </row>
    <row r="27888" spans="1:5" x14ac:dyDescent="0.25">
      <c r="A27888" t="str">
        <f>HYPERLINK("https://www.773grp.com/globalSearch/MC74AC10M/page-1", "MC74AC10M")</f>
        <v>MC74AC10M</v>
      </c>
      <c r="B27888" s="3" t="str">
        <f>HYPERLINK("https://www.773grp.com/manufacturer/onsemi?pageNo=82", "ON Semiconductor")</f>
        <v>ON Semiconductor</v>
      </c>
      <c r="C27888" s="6">
        <v>9300</v>
      </c>
      <c r="D27888" s="7">
        <v>0.48</v>
      </c>
      <c r="E27888" t="s">
        <v>31</v>
      </c>
    </row>
    <row r="27889" spans="1:5" x14ac:dyDescent="0.25">
      <c r="A27889" t="str">
        <f>HYPERLINK("https://www.773grp.com/globalSearch/MC74AC11ML1/page-1", "MC74AC11ML1")</f>
        <v>MC74AC11ML1</v>
      </c>
      <c r="B27889" s="3" t="str">
        <f>HYPERLINK("https://www.773grp.com/manufacturer/onsemi?pageNo=83", "ON Semiconductor")</f>
        <v>ON Semiconductor</v>
      </c>
      <c r="C27889" s="6">
        <v>19000</v>
      </c>
      <c r="D27889" s="7">
        <v>0.48</v>
      </c>
    </row>
    <row r="27890" spans="1:5" x14ac:dyDescent="0.25">
      <c r="A27890" t="str">
        <f>HYPERLINK("https://www.773grp.com/globalSearch/MC74AC125D/page-1", "MC74AC125D")</f>
        <v>MC74AC125D</v>
      </c>
      <c r="B27890" s="3" t="str">
        <f>HYPERLINK("https://www.773grp.com/manufacturer/onsemi?pageNo=84", "ON Semiconductor")</f>
        <v>ON Semiconductor</v>
      </c>
      <c r="C27890" s="6">
        <v>1365</v>
      </c>
      <c r="D27890" s="7">
        <v>0.48</v>
      </c>
      <c r="E27890" t="s">
        <v>14</v>
      </c>
    </row>
    <row r="27891" spans="1:5" x14ac:dyDescent="0.25">
      <c r="A27891" t="str">
        <f>HYPERLINK("https://www.773grp.com/globalSearch/MC74AC125DR2/page-1", "MC74AC125DR2")</f>
        <v>MC74AC125DR2</v>
      </c>
      <c r="B27891" s="3" t="str">
        <f>HYPERLINK("https://www.773grp.com/manufacturer/onsemi?pageNo=85", "ON Semiconductor")</f>
        <v>ON Semiconductor</v>
      </c>
      <c r="C27891" s="6">
        <v>27500</v>
      </c>
      <c r="D27891" s="7">
        <v>0.48</v>
      </c>
      <c r="E27891" t="s">
        <v>14</v>
      </c>
    </row>
    <row r="27892" spans="1:5" x14ac:dyDescent="0.25">
      <c r="A27892" t="str">
        <f>HYPERLINK("https://www.773grp.com/globalSearch/MC74AC125M/page-1", "MC74AC125M")</f>
        <v>MC74AC125M</v>
      </c>
      <c r="B27892" s="3" t="str">
        <f>HYPERLINK("https://www.773grp.com/manufacturer/onsemi?pageNo=86", "ON Semiconductor")</f>
        <v>ON Semiconductor</v>
      </c>
      <c r="C27892" s="6">
        <v>250</v>
      </c>
      <c r="D27892" s="7">
        <v>0.48</v>
      </c>
      <c r="E27892" t="s">
        <v>14</v>
      </c>
    </row>
    <row r="27893" spans="1:5" x14ac:dyDescent="0.25">
      <c r="A27893" t="str">
        <f>HYPERLINK("https://www.773grp.com/globalSearch/MC74AC125MEL/page-1", "MC74AC125MEL")</f>
        <v>MC74AC125MEL</v>
      </c>
      <c r="B27893" s="3" t="str">
        <f>HYPERLINK("https://www.773grp.com/manufacturer/onsemi?pageNo=87", "ON Semiconductor")</f>
        <v>ON Semiconductor</v>
      </c>
      <c r="C27893" s="6">
        <v>12000</v>
      </c>
      <c r="D27893" s="7">
        <v>0.48</v>
      </c>
      <c r="E27893" t="s">
        <v>14</v>
      </c>
    </row>
    <row r="27894" spans="1:5" x14ac:dyDescent="0.25">
      <c r="A27894" t="str">
        <f>HYPERLINK("https://www.773grp.com/globalSearch/MC74AC138MG/page-1", "MC74AC138MG")</f>
        <v>MC74AC138MG</v>
      </c>
      <c r="B27894" s="3" t="str">
        <f>HYPERLINK("https://www.773grp.com/manufacturer/onsemi?pageNo=88", "ON Semiconductor")</f>
        <v>ON Semiconductor</v>
      </c>
      <c r="C27894" s="6">
        <v>1700</v>
      </c>
      <c r="D27894" s="7">
        <v>0.48</v>
      </c>
      <c r="E27894" t="s">
        <v>36</v>
      </c>
    </row>
    <row r="27895" spans="1:5" x14ac:dyDescent="0.25">
      <c r="A27895" t="str">
        <f>HYPERLINK("https://www.773grp.com/globalSearch/MC74AC161D/page-1", "MC74AC161D")</f>
        <v>MC74AC161D</v>
      </c>
      <c r="B27895" s="3" t="str">
        <f>HYPERLINK("https://www.773grp.com/manufacturer/onsemi?pageNo=89", "ON Semiconductor")</f>
        <v>ON Semiconductor</v>
      </c>
      <c r="C27895" s="6">
        <v>7142</v>
      </c>
      <c r="D27895" s="7">
        <v>0.48</v>
      </c>
      <c r="E27895" t="s">
        <v>26</v>
      </c>
    </row>
    <row r="27896" spans="1:5" x14ac:dyDescent="0.25">
      <c r="A27896" t="str">
        <f>HYPERLINK("https://www.773grp.com/globalSearch/MC74AC161DR2/page-1", "MC74AC161DR2")</f>
        <v>MC74AC161DR2</v>
      </c>
      <c r="B27896" s="3" t="str">
        <f>HYPERLINK("https://www.773grp.com/manufacturer/onsemi?pageNo=90", "ON Semiconductor")</f>
        <v>ON Semiconductor</v>
      </c>
      <c r="C27896" s="6">
        <v>15000</v>
      </c>
      <c r="D27896" s="7">
        <v>0.48</v>
      </c>
      <c r="E27896" t="s">
        <v>26</v>
      </c>
    </row>
    <row r="27897" spans="1:5" x14ac:dyDescent="0.25">
      <c r="A27897" t="str">
        <f>HYPERLINK("https://www.773grp.com/globalSearch/MC74AC161M/page-1", "MC74AC161M")</f>
        <v>MC74AC161M</v>
      </c>
      <c r="B27897" s="3" t="str">
        <f>HYPERLINK("https://www.773grp.com/manufacturer/onsemi?pageNo=91", "ON Semiconductor")</f>
        <v>ON Semiconductor</v>
      </c>
      <c r="C27897" s="6">
        <v>1200</v>
      </c>
      <c r="D27897" s="7">
        <v>0.48</v>
      </c>
      <c r="E27897" t="s">
        <v>26</v>
      </c>
    </row>
    <row r="27898" spans="1:5" x14ac:dyDescent="0.25">
      <c r="A27898" t="str">
        <f>HYPERLINK("https://www.773grp.com/globalSearch/MC74AC240DW/page-1", "MC74AC240DW")</f>
        <v>MC74AC240DW</v>
      </c>
      <c r="B27898" s="3" t="str">
        <f>HYPERLINK("https://www.773grp.com/manufacturer/onsemi?pageNo=92", "ON Semiconductor")</f>
        <v>ON Semiconductor</v>
      </c>
      <c r="C27898" s="6">
        <v>150</v>
      </c>
      <c r="D27898" s="7">
        <v>0.48</v>
      </c>
      <c r="E27898" t="s">
        <v>14</v>
      </c>
    </row>
    <row r="27899" spans="1:5" x14ac:dyDescent="0.25">
      <c r="A27899" t="str">
        <f>HYPERLINK("https://www.773grp.com/globalSearch/MC74AC244DW/page-1", "MC74AC244DW")</f>
        <v>MC74AC244DW</v>
      </c>
      <c r="B27899" s="3" t="str">
        <f>HYPERLINK("https://www.773grp.com/manufacturer/onsemi?pageNo=93", "ON Semiconductor")</f>
        <v>ON Semiconductor</v>
      </c>
      <c r="C27899" s="6">
        <v>982</v>
      </c>
      <c r="D27899" s="7">
        <v>0.48</v>
      </c>
      <c r="E27899" t="s">
        <v>14</v>
      </c>
    </row>
    <row r="27900" spans="1:5" x14ac:dyDescent="0.25">
      <c r="A27900" t="str">
        <f>HYPERLINK("https://www.773grp.com/globalSearch/MC74AC245DT/page-1", "MC74AC245DT")</f>
        <v>MC74AC245DT</v>
      </c>
      <c r="B27900" s="3" t="str">
        <f>HYPERLINK("https://www.773grp.com/manufacturer/onsemi?pageNo=94", "ON Semiconductor")</f>
        <v>ON Semiconductor</v>
      </c>
      <c r="C27900" s="6">
        <v>9913</v>
      </c>
      <c r="D27900" s="7">
        <v>0.48</v>
      </c>
      <c r="E27900" t="s">
        <v>14</v>
      </c>
    </row>
    <row r="27901" spans="1:5" x14ac:dyDescent="0.25">
      <c r="A27901" t="str">
        <f>HYPERLINK("https://www.773grp.com/globalSearch/MC74AC273DW/page-1", "MC74AC273DW")</f>
        <v>MC74AC273DW</v>
      </c>
      <c r="B27901" s="3" t="str">
        <f>HYPERLINK("https://www.773grp.com/manufacturer/onsemi?pageNo=95", "ON Semiconductor")</f>
        <v>ON Semiconductor</v>
      </c>
      <c r="C27901" s="6">
        <v>8514</v>
      </c>
      <c r="D27901" s="7">
        <v>0.48</v>
      </c>
      <c r="E27901" t="s">
        <v>35</v>
      </c>
    </row>
    <row r="27902" spans="1:5" x14ac:dyDescent="0.25">
      <c r="A27902" t="str">
        <f>HYPERLINK("https://www.773grp.com/globalSearch/MC74AC273DWR2/page-1", "MC74AC273DWR2")</f>
        <v>MC74AC273DWR2</v>
      </c>
      <c r="B27902" s="3" t="str">
        <f>HYPERLINK("https://www.773grp.com/manufacturer/onsemi?pageNo=96", "ON Semiconductor")</f>
        <v>ON Semiconductor</v>
      </c>
      <c r="C27902" s="6">
        <v>4000</v>
      </c>
      <c r="D27902" s="7">
        <v>0.48</v>
      </c>
      <c r="E27902" t="s">
        <v>35</v>
      </c>
    </row>
    <row r="27903" spans="1:5" x14ac:dyDescent="0.25">
      <c r="A27903" t="str">
        <f>HYPERLINK("https://www.773grp.com/globalSearch/MC74AC32DT/page-1", "MC74AC32DT")</f>
        <v>MC74AC32DT</v>
      </c>
      <c r="B27903" s="3" t="str">
        <f>HYPERLINK("https://www.773grp.com/manufacturer/onsemi?pageNo=97", "ON Semiconductor")</f>
        <v>ON Semiconductor</v>
      </c>
      <c r="C27903" s="6">
        <v>7120</v>
      </c>
      <c r="D27903" s="7">
        <v>0.48</v>
      </c>
      <c r="E27903" t="s">
        <v>31</v>
      </c>
    </row>
    <row r="27904" spans="1:5" x14ac:dyDescent="0.25">
      <c r="A27904" t="str">
        <f>HYPERLINK("https://www.773grp.com/globalSearch/MC74AC32DTEL/page-1", "MC74AC32DTEL")</f>
        <v>MC74AC32DTEL</v>
      </c>
      <c r="B27904" s="3" t="str">
        <f>HYPERLINK("https://www.773grp.com/manufacturer/onsemi?pageNo=98", "ON Semiconductor")</f>
        <v>ON Semiconductor</v>
      </c>
      <c r="C27904" s="6">
        <v>2000</v>
      </c>
      <c r="D27904" s="7">
        <v>0.48</v>
      </c>
    </row>
    <row r="27905" spans="1:5" x14ac:dyDescent="0.25">
      <c r="A27905" t="str">
        <f>HYPERLINK("https://www.773grp.com/globalSearch/MC74AC32M/page-1", "MC74AC32M")</f>
        <v>MC74AC32M</v>
      </c>
      <c r="B27905" s="3" t="str">
        <f>HYPERLINK("https://www.773grp.com/manufacturer/onsemi?pageNo=99", "ON Semiconductor")</f>
        <v>ON Semiconductor</v>
      </c>
      <c r="C27905" s="6">
        <v>580</v>
      </c>
      <c r="D27905" s="7">
        <v>0.48</v>
      </c>
      <c r="E27905" t="s">
        <v>31</v>
      </c>
    </row>
    <row r="27906" spans="1:5" x14ac:dyDescent="0.25">
      <c r="A27906" t="str">
        <f>HYPERLINK("https://www.773grp.com/globalSearch/MC74AC32ML1/page-1", "MC74AC32ML1")</f>
        <v>MC74AC32ML1</v>
      </c>
      <c r="B27906" s="3" t="str">
        <f>HYPERLINK("https://www.773grp.com/manufacturer/onsemi?pageNo=100", "ON Semiconductor")</f>
        <v>ON Semiconductor</v>
      </c>
      <c r="C27906" s="6">
        <v>10000</v>
      </c>
      <c r="D27906" s="7">
        <v>0.48</v>
      </c>
    </row>
    <row r="27907" spans="1:5" x14ac:dyDescent="0.25">
      <c r="A27907" t="str">
        <f>HYPERLINK("https://www.773grp.com/globalSearch/MC74AC32MR1/page-1", "MC74AC32MR1")</f>
        <v>MC74AC32MR1</v>
      </c>
      <c r="B27907" s="3" t="str">
        <f>HYPERLINK("https://www.773grp.com/manufacturer/onsemi?pageNo=101", "ON Semiconductor")</f>
        <v>ON Semiconductor</v>
      </c>
      <c r="C27907" s="6">
        <v>9000</v>
      </c>
      <c r="D27907" s="7">
        <v>0.48</v>
      </c>
      <c r="E27907" t="s">
        <v>31</v>
      </c>
    </row>
    <row r="27908" spans="1:5" x14ac:dyDescent="0.25">
      <c r="A27908" t="str">
        <f>HYPERLINK("https://www.773grp.com/globalSearch/MC74AC373DW/page-1", "MC74AC373DW")</f>
        <v>MC74AC373DW</v>
      </c>
      <c r="B27908" s="3" t="str">
        <f>HYPERLINK("https://www.773grp.com/manufacturer/onsemi?pageNo=102", "ON Semiconductor")</f>
        <v>ON Semiconductor</v>
      </c>
      <c r="C27908" s="6">
        <v>190</v>
      </c>
      <c r="D27908" s="7">
        <v>0.48</v>
      </c>
      <c r="E27908" t="s">
        <v>14</v>
      </c>
    </row>
    <row r="27909" spans="1:5" x14ac:dyDescent="0.25">
      <c r="A27909" t="str">
        <f>HYPERLINK("https://www.773grp.com/globalSearch/MC74AC373DWR2/page-1", "MC74AC373DWR2")</f>
        <v>MC74AC373DWR2</v>
      </c>
      <c r="B27909" s="3" t="str">
        <f>HYPERLINK("https://www.773grp.com/manufacturer/onsemi?pageNo=103", "ON Semiconductor")</f>
        <v>ON Semiconductor</v>
      </c>
      <c r="C27909" s="6">
        <v>3000</v>
      </c>
      <c r="D27909" s="7">
        <v>0.48</v>
      </c>
      <c r="E27909" t="s">
        <v>14</v>
      </c>
    </row>
    <row r="27910" spans="1:5" x14ac:dyDescent="0.25">
      <c r="A27910" t="str">
        <f>HYPERLINK("https://www.773grp.com/globalSearch/MC74AC374DW/page-1", "MC74AC374DW")</f>
        <v>MC74AC374DW</v>
      </c>
      <c r="B27910" s="3" t="str">
        <f>HYPERLINK("https://www.773grp.com/manufacturer/onsemi?pageNo=104", "ON Semiconductor")</f>
        <v>ON Semiconductor</v>
      </c>
      <c r="C27910" s="6">
        <v>114</v>
      </c>
      <c r="D27910" s="7">
        <v>0.48</v>
      </c>
      <c r="E27910" t="s">
        <v>14</v>
      </c>
    </row>
    <row r="27911" spans="1:5" x14ac:dyDescent="0.25">
      <c r="A27911" t="str">
        <f>HYPERLINK("https://www.773grp.com/globalSearch/MC74AC573DT/page-1", "MC74AC573DT")</f>
        <v>MC74AC573DT</v>
      </c>
      <c r="B27911" s="3" t="str">
        <f>HYPERLINK("https://www.773grp.com/manufacturer/onsemi?pageNo=105", "ON Semiconductor")</f>
        <v>ON Semiconductor</v>
      </c>
      <c r="C27911" s="6">
        <v>9350</v>
      </c>
      <c r="D27911" s="7">
        <v>0.48</v>
      </c>
      <c r="E27911" t="s">
        <v>14</v>
      </c>
    </row>
    <row r="27912" spans="1:5" x14ac:dyDescent="0.25">
      <c r="A27912" t="str">
        <f>HYPERLINK("https://www.773grp.com/globalSearch/MC74AC574DW/page-1", "MC74AC574DW")</f>
        <v>MC74AC574DW</v>
      </c>
      <c r="B27912" s="3" t="str">
        <f>HYPERLINK("https://www.773grp.com/manufacturer/onsemi?pageNo=106", "ON Semiconductor")</f>
        <v>ON Semiconductor</v>
      </c>
      <c r="C27912" s="6">
        <v>18122</v>
      </c>
      <c r="D27912" s="7">
        <v>0.48</v>
      </c>
      <c r="E27912" t="s">
        <v>14</v>
      </c>
    </row>
    <row r="27913" spans="1:5" x14ac:dyDescent="0.25">
      <c r="A27913" t="str">
        <f>HYPERLINK("https://www.773grp.com/globalSearch/MC74AC574DWR2/page-1", "MC74AC574DWR2")</f>
        <v>MC74AC574DWR2</v>
      </c>
      <c r="B27913" s="3" t="str">
        <f>HYPERLINK("https://www.773grp.com/manufacturer/onsemi?pageNo=107", "ON Semiconductor")</f>
        <v>ON Semiconductor</v>
      </c>
      <c r="C27913" s="6">
        <v>2000</v>
      </c>
      <c r="D27913" s="7">
        <v>0.48</v>
      </c>
      <c r="E27913" t="s">
        <v>14</v>
      </c>
    </row>
    <row r="27914" spans="1:5" x14ac:dyDescent="0.25">
      <c r="A27914" t="str">
        <f>HYPERLINK("https://www.773grp.com/globalSearch/MC74AC74M/page-1", "MC74AC74M")</f>
        <v>MC74AC74M</v>
      </c>
      <c r="B27914" s="3" t="str">
        <f>HYPERLINK("https://www.773grp.com/manufacturer/onsemi?pageNo=108", "ON Semiconductor")</f>
        <v>ON Semiconductor</v>
      </c>
      <c r="C27914" s="6">
        <v>10070</v>
      </c>
      <c r="D27914" s="7">
        <v>0.48</v>
      </c>
      <c r="E27914" t="s">
        <v>35</v>
      </c>
    </row>
    <row r="27915" spans="1:5" x14ac:dyDescent="0.25">
      <c r="A27915" t="str">
        <f>HYPERLINK("https://www.773grp.com/globalSearch/MC74AC74ML1/page-1", "MC74AC74ML1")</f>
        <v>MC74AC74ML1</v>
      </c>
      <c r="B27915" s="3" t="str">
        <f>HYPERLINK("https://www.773grp.com/manufacturer/onsemi?pageNo=109", "ON Semiconductor")</f>
        <v>ON Semiconductor</v>
      </c>
      <c r="C27915" s="6">
        <v>4000</v>
      </c>
      <c r="D27915" s="7">
        <v>0.48</v>
      </c>
    </row>
    <row r="27916" spans="1:5" x14ac:dyDescent="0.25">
      <c r="A27916" t="str">
        <f>HYPERLINK("https://www.773grp.com/globalSearch/MC74ACT00DT/page-1", "MC74ACT00DT")</f>
        <v>MC74ACT00DT</v>
      </c>
      <c r="B27916" s="3" t="str">
        <f>HYPERLINK("https://www.773grp.com/manufacturer/onsemi?pageNo=110", "ON Semiconductor")</f>
        <v>ON Semiconductor</v>
      </c>
      <c r="C27916" s="6">
        <v>7258</v>
      </c>
      <c r="D27916" s="7">
        <v>0.48</v>
      </c>
      <c r="E27916" t="s">
        <v>31</v>
      </c>
    </row>
    <row r="27917" spans="1:5" x14ac:dyDescent="0.25">
      <c r="A27917" t="str">
        <f>HYPERLINK("https://www.773grp.com/globalSearch/MC74ACT00DTEL/page-1", "MC74ACT00DTEL")</f>
        <v>MC74ACT00DTEL</v>
      </c>
      <c r="B27917" s="3" t="str">
        <f>HYPERLINK("https://www.773grp.com/manufacturer/onsemi?pageNo=111", "ON Semiconductor")</f>
        <v>ON Semiconductor</v>
      </c>
      <c r="C27917" s="6">
        <v>6000</v>
      </c>
      <c r="D27917" s="7">
        <v>0.48</v>
      </c>
    </row>
    <row r="27918" spans="1:5" x14ac:dyDescent="0.25">
      <c r="A27918" t="str">
        <f>HYPERLINK("https://www.773grp.com/globalSearch/MC74ACT00ML1/page-1", "MC74ACT00ML1")</f>
        <v>MC74ACT00ML1</v>
      </c>
      <c r="B27918" s="3" t="str">
        <f>HYPERLINK("https://www.773grp.com/manufacturer/onsemi?pageNo=112", "ON Semiconductor")</f>
        <v>ON Semiconductor</v>
      </c>
      <c r="C27918" s="6">
        <v>13000</v>
      </c>
      <c r="D27918" s="7">
        <v>0.48</v>
      </c>
    </row>
    <row r="27919" spans="1:5" x14ac:dyDescent="0.25">
      <c r="A27919" t="str">
        <f>HYPERLINK("https://www.773grp.com/globalSearch/MC74ACT02DT/page-1", "MC74ACT02DT")</f>
        <v>MC74ACT02DT</v>
      </c>
      <c r="B27919" s="3" t="str">
        <f>HYPERLINK("https://www.773grp.com/manufacturer/onsemi?pageNo=113", "ON Semiconductor")</f>
        <v>ON Semiconductor</v>
      </c>
      <c r="C27919" s="6">
        <v>29856</v>
      </c>
      <c r="D27919" s="7">
        <v>0.48</v>
      </c>
      <c r="E27919" t="s">
        <v>31</v>
      </c>
    </row>
    <row r="27920" spans="1:5" x14ac:dyDescent="0.25">
      <c r="A27920" t="str">
        <f>HYPERLINK("https://www.773grp.com/globalSearch/MC74ACT02M/page-1", "MC74ACT02M")</f>
        <v>MC74ACT02M</v>
      </c>
      <c r="B27920" s="3" t="str">
        <f>HYPERLINK("https://www.773grp.com/manufacturer/onsemi?pageNo=114", "ON Semiconductor")</f>
        <v>ON Semiconductor</v>
      </c>
      <c r="C27920" s="6">
        <v>27450</v>
      </c>
      <c r="D27920" s="7">
        <v>0.48</v>
      </c>
      <c r="E27920" t="s">
        <v>31</v>
      </c>
    </row>
    <row r="27921" spans="1:5" x14ac:dyDescent="0.25">
      <c r="A27921" t="str">
        <f>HYPERLINK("https://www.773grp.com/globalSearch/MC74ACT02ML1/page-1", "MC74ACT02ML1")</f>
        <v>MC74ACT02ML1</v>
      </c>
      <c r="B27921" s="3" t="str">
        <f>HYPERLINK("https://www.773grp.com/manufacturer/onsemi?pageNo=115", "ON Semiconductor")</f>
        <v>ON Semiconductor</v>
      </c>
      <c r="C27921" s="6">
        <v>1000</v>
      </c>
      <c r="D27921" s="7">
        <v>0.48</v>
      </c>
    </row>
    <row r="27922" spans="1:5" x14ac:dyDescent="0.25">
      <c r="A27922" t="str">
        <f>HYPERLINK("https://www.773grp.com/globalSearch/MC74ACT04DT/page-1", "MC74ACT04DT")</f>
        <v>MC74ACT04DT</v>
      </c>
      <c r="B27922" s="3" t="str">
        <f>HYPERLINK("https://www.773grp.com/manufacturer/onsemi?pageNo=116", "ON Semiconductor")</f>
        <v>ON Semiconductor</v>
      </c>
      <c r="C27922" s="6">
        <v>10297</v>
      </c>
      <c r="D27922" s="7">
        <v>0.48</v>
      </c>
      <c r="E27922" t="s">
        <v>31</v>
      </c>
    </row>
    <row r="27923" spans="1:5" x14ac:dyDescent="0.25">
      <c r="A27923" t="str">
        <f>HYPERLINK("https://www.773grp.com/globalSearch/MC74ACT04ML1/page-1", "MC74ACT04ML1")</f>
        <v>MC74ACT04ML1</v>
      </c>
      <c r="B27923" s="3" t="str">
        <f>HYPERLINK("https://www.773grp.com/manufacturer/onsemi?pageNo=117", "ON Semiconductor")</f>
        <v>ON Semiconductor</v>
      </c>
      <c r="C27923" s="6">
        <v>10000</v>
      </c>
      <c r="D27923" s="7">
        <v>0.48</v>
      </c>
    </row>
    <row r="27924" spans="1:5" x14ac:dyDescent="0.25">
      <c r="A27924" t="str">
        <f>HYPERLINK("https://www.773grp.com/globalSearch/MC74ACT04MR1/page-1", "MC74ACT04MR1")</f>
        <v>MC74ACT04MR1</v>
      </c>
      <c r="B27924" s="3" t="str">
        <f>HYPERLINK("https://www.773grp.com/manufacturer/onsemi?pageNo=118", "ON Semiconductor")</f>
        <v>ON Semiconductor</v>
      </c>
      <c r="C27924" s="6">
        <v>11000</v>
      </c>
      <c r="D27924" s="7">
        <v>0.48</v>
      </c>
      <c r="E27924" t="s">
        <v>31</v>
      </c>
    </row>
    <row r="27925" spans="1:5" x14ac:dyDescent="0.25">
      <c r="A27925" t="str">
        <f>HYPERLINK("https://www.773grp.com/globalSearch/MC74ACT05M/page-1", "MC74ACT05M")</f>
        <v>MC74ACT05M</v>
      </c>
      <c r="B27925" s="3" t="str">
        <f>HYPERLINK("https://www.773grp.com/manufacturer/onsemi?pageNo=119", "ON Semiconductor")</f>
        <v>ON Semiconductor</v>
      </c>
      <c r="C27925" s="6">
        <v>400</v>
      </c>
      <c r="D27925" s="7">
        <v>0.48</v>
      </c>
      <c r="E27925" t="s">
        <v>31</v>
      </c>
    </row>
    <row r="27926" spans="1:5" x14ac:dyDescent="0.25">
      <c r="A27926" t="str">
        <f>HYPERLINK("https://www.773grp.com/globalSearch/MC74ACT08M/page-1", "MC74ACT08M")</f>
        <v>MC74ACT08M</v>
      </c>
      <c r="B27926" s="3" t="str">
        <f>HYPERLINK("https://www.773grp.com/manufacturer/onsemi?pageNo=120", "ON Semiconductor")</f>
        <v>ON Semiconductor</v>
      </c>
      <c r="C27926" s="6">
        <v>25782</v>
      </c>
      <c r="D27926" s="7">
        <v>0.48</v>
      </c>
      <c r="E27926" t="s">
        <v>31</v>
      </c>
    </row>
    <row r="27927" spans="1:5" x14ac:dyDescent="0.25">
      <c r="A27927" t="str">
        <f>HYPERLINK("https://www.773grp.com/globalSearch/MC74ACT08ML1/page-1", "MC74ACT08ML1")</f>
        <v>MC74ACT08ML1</v>
      </c>
      <c r="B27927" s="3" t="str">
        <f>HYPERLINK("https://www.773grp.com/manufacturer/onsemi?pageNo=121", "ON Semiconductor")</f>
        <v>ON Semiconductor</v>
      </c>
      <c r="C27927" s="6">
        <v>16000</v>
      </c>
      <c r="D27927" s="7">
        <v>0.48</v>
      </c>
    </row>
    <row r="27928" spans="1:5" x14ac:dyDescent="0.25">
      <c r="A27928" t="str">
        <f>HYPERLINK("https://www.773grp.com/globalSearch/MC74ACT10M/page-1", "MC74ACT10M")</f>
        <v>MC74ACT10M</v>
      </c>
      <c r="B27928" s="3" t="str">
        <f>HYPERLINK("https://www.773grp.com/manufacturer/onsemi?pageNo=122", "ON Semiconductor")</f>
        <v>ON Semiconductor</v>
      </c>
      <c r="C27928" s="6">
        <v>11855</v>
      </c>
      <c r="D27928" s="7">
        <v>0.48</v>
      </c>
      <c r="E27928" t="s">
        <v>31</v>
      </c>
    </row>
    <row r="27929" spans="1:5" x14ac:dyDescent="0.25">
      <c r="A27929" t="str">
        <f>HYPERLINK("https://www.773grp.com/globalSearch/MC74ACT10ML1/page-1", "MC74ACT10ML1")</f>
        <v>MC74ACT10ML1</v>
      </c>
      <c r="B27929" s="3" t="str">
        <f>HYPERLINK("https://www.773grp.com/manufacturer/onsemi?pageNo=123", "ON Semiconductor")</f>
        <v>ON Semiconductor</v>
      </c>
      <c r="C27929" s="6">
        <v>12000</v>
      </c>
      <c r="D27929" s="7">
        <v>0.48</v>
      </c>
      <c r="E27929" t="s">
        <v>31</v>
      </c>
    </row>
    <row r="27930" spans="1:5" x14ac:dyDescent="0.25">
      <c r="A27930" t="str">
        <f>HYPERLINK("https://www.773grp.com/globalSearch/MC74ACT11ML1/page-1", "MC74ACT11ML1")</f>
        <v>MC74ACT11ML1</v>
      </c>
      <c r="B27930" s="3" t="str">
        <f>HYPERLINK("https://www.773grp.com/manufacturer/onsemi?pageNo=124", "ON Semiconductor")</f>
        <v>ON Semiconductor</v>
      </c>
      <c r="C27930" s="6">
        <v>9000</v>
      </c>
      <c r="D27930" s="7">
        <v>0.48</v>
      </c>
      <c r="E27930" t="s">
        <v>31</v>
      </c>
    </row>
    <row r="27931" spans="1:5" x14ac:dyDescent="0.25">
      <c r="A27931" t="str">
        <f>HYPERLINK("https://www.773grp.com/globalSearch/MC74ACT161DR2/page-1", "MC74ACT161DR2")</f>
        <v>MC74ACT161DR2</v>
      </c>
      <c r="B27931" s="3" t="str">
        <f>HYPERLINK("https://www.773grp.com/manufacturer/onsemi?pageNo=125", "ON Semiconductor")</f>
        <v>ON Semiconductor</v>
      </c>
      <c r="C27931" s="6">
        <v>10000</v>
      </c>
      <c r="D27931" s="7">
        <v>0.48</v>
      </c>
      <c r="E27931" t="s">
        <v>26</v>
      </c>
    </row>
    <row r="27932" spans="1:5" x14ac:dyDescent="0.25">
      <c r="A27932" t="str">
        <f>HYPERLINK("https://www.773grp.com/globalSearch/MC74ACT163D/page-1", "MC74ACT163D")</f>
        <v>MC74ACT163D</v>
      </c>
      <c r="B27932" s="3" t="str">
        <f>HYPERLINK("https://www.773grp.com/manufacturer/onsemi?pageNo=126", "ON Semiconductor")</f>
        <v>ON Semiconductor</v>
      </c>
      <c r="C27932" s="6">
        <v>4232</v>
      </c>
      <c r="D27932" s="7">
        <v>0.48</v>
      </c>
      <c r="E27932" t="s">
        <v>26</v>
      </c>
    </row>
    <row r="27933" spans="1:5" x14ac:dyDescent="0.25">
      <c r="A27933" t="str">
        <f>HYPERLINK("https://www.773grp.com/globalSearch/MC74ACT163DR2/page-1", "MC74ACT163DR2")</f>
        <v>MC74ACT163DR2</v>
      </c>
      <c r="B27933" s="3" t="str">
        <f>HYPERLINK("https://www.773grp.com/manufacturer/onsemi?pageNo=127", "ON Semiconductor")</f>
        <v>ON Semiconductor</v>
      </c>
      <c r="C27933" s="6">
        <v>47500</v>
      </c>
      <c r="D27933" s="7">
        <v>0.48</v>
      </c>
      <c r="E27933" t="s">
        <v>26</v>
      </c>
    </row>
    <row r="27934" spans="1:5" x14ac:dyDescent="0.25">
      <c r="A27934" t="str">
        <f>HYPERLINK("https://www.773grp.com/globalSearch/MC74ACT20ML1/page-1", "MC74ACT20ML1")</f>
        <v>MC74ACT20ML1</v>
      </c>
      <c r="B27934" s="3" t="str">
        <f>HYPERLINK("https://www.773grp.com/manufacturer/onsemi?pageNo=128", "ON Semiconductor")</f>
        <v>ON Semiconductor</v>
      </c>
      <c r="C27934" s="6">
        <v>4000</v>
      </c>
      <c r="D27934" s="7">
        <v>0.48</v>
      </c>
    </row>
    <row r="27935" spans="1:5" x14ac:dyDescent="0.25">
      <c r="A27935" t="str">
        <f>HYPERLINK("https://www.773grp.com/globalSearch/MC74ACT240DWR2/page-1", "MC74ACT240DWR2")</f>
        <v>MC74ACT240DWR2</v>
      </c>
      <c r="B27935" s="3" t="str">
        <f>HYPERLINK("https://www.773grp.com/manufacturer/onsemi?pageNo=129", "ON Semiconductor")</f>
        <v>ON Semiconductor</v>
      </c>
      <c r="C27935" s="6">
        <v>474</v>
      </c>
      <c r="D27935" s="7">
        <v>0.48</v>
      </c>
      <c r="E27935" t="s">
        <v>14</v>
      </c>
    </row>
    <row r="27936" spans="1:5" x14ac:dyDescent="0.25">
      <c r="A27936" t="str">
        <f>HYPERLINK("https://www.773grp.com/globalSearch/MC74ACT241DW/page-1", "MC74ACT241DW")</f>
        <v>MC74ACT241DW</v>
      </c>
      <c r="B27936" s="3" t="str">
        <f>HYPERLINK("https://www.773grp.com/manufacturer/onsemi?pageNo=130", "ON Semiconductor")</f>
        <v>ON Semiconductor</v>
      </c>
      <c r="C27936" s="6">
        <v>152</v>
      </c>
      <c r="D27936" s="7">
        <v>0.48</v>
      </c>
      <c r="E27936" t="s">
        <v>14</v>
      </c>
    </row>
    <row r="27937" spans="1:5" x14ac:dyDescent="0.25">
      <c r="A27937" t="str">
        <f>HYPERLINK("https://www.773grp.com/globalSearch/MC74ACT241DWR2/page-1", "MC74ACT241DWR2")</f>
        <v>MC74ACT241DWR2</v>
      </c>
      <c r="B27937" s="3" t="str">
        <f>HYPERLINK("https://www.773grp.com/manufacturer/onsemi?pageNo=131", "ON Semiconductor")</f>
        <v>ON Semiconductor</v>
      </c>
      <c r="C27937" s="6">
        <v>3000</v>
      </c>
      <c r="D27937" s="7">
        <v>0.48</v>
      </c>
      <c r="E27937" t="s">
        <v>14</v>
      </c>
    </row>
    <row r="27938" spans="1:5" x14ac:dyDescent="0.25">
      <c r="A27938" t="str">
        <f>HYPERLINK("https://www.773grp.com/globalSearch/MC74ACT244DT/page-1", "MC74ACT244DT")</f>
        <v>MC74ACT244DT</v>
      </c>
      <c r="B27938" s="3" t="str">
        <f>HYPERLINK("https://www.773grp.com/manufacturer/onsemi?pageNo=132", "ON Semiconductor")</f>
        <v>ON Semiconductor</v>
      </c>
      <c r="C27938" s="6">
        <v>11000</v>
      </c>
      <c r="D27938" s="7">
        <v>0.48</v>
      </c>
      <c r="E27938" t="s">
        <v>14</v>
      </c>
    </row>
    <row r="27939" spans="1:5" x14ac:dyDescent="0.25">
      <c r="A27939" t="str">
        <f>HYPERLINK("https://www.773grp.com/globalSearch/MC74ACT244DW/page-1", "MC74ACT244DW")</f>
        <v>MC74ACT244DW</v>
      </c>
      <c r="B27939" s="3" t="str">
        <f>HYPERLINK("https://www.773grp.com/manufacturer/onsemi?pageNo=133", "ON Semiconductor")</f>
        <v>ON Semiconductor</v>
      </c>
      <c r="C27939" s="6">
        <v>827</v>
      </c>
      <c r="D27939" s="7">
        <v>0.48</v>
      </c>
      <c r="E27939" t="s">
        <v>14</v>
      </c>
    </row>
    <row r="27940" spans="1:5" x14ac:dyDescent="0.25">
      <c r="A27940" t="str">
        <f>HYPERLINK("https://www.773grp.com/globalSearch/MC74ACT245DT/page-1", "MC74ACT245DT")</f>
        <v>MC74ACT245DT</v>
      </c>
      <c r="B27940" s="3" t="str">
        <f>HYPERLINK("https://www.773grp.com/manufacturer/onsemi?pageNo=134", "ON Semiconductor")</f>
        <v>ON Semiconductor</v>
      </c>
      <c r="C27940" s="6">
        <v>1515</v>
      </c>
      <c r="D27940" s="7">
        <v>0.48</v>
      </c>
      <c r="E27940" t="s">
        <v>14</v>
      </c>
    </row>
    <row r="27941" spans="1:5" x14ac:dyDescent="0.25">
      <c r="A27941" t="str">
        <f>HYPERLINK("https://www.773grp.com/globalSearch/MC74ACT245DTR2/page-1", "MC74ACT245DTR2")</f>
        <v>MC74ACT245DTR2</v>
      </c>
      <c r="B27941" s="3" t="str">
        <f>HYPERLINK("https://www.773grp.com/manufacturer/onsemi?pageNo=135", "ON Semiconductor")</f>
        <v>ON Semiconductor</v>
      </c>
      <c r="C27941" s="6">
        <v>7500</v>
      </c>
      <c r="D27941" s="7">
        <v>0.48</v>
      </c>
      <c r="E27941" t="s">
        <v>14</v>
      </c>
    </row>
    <row r="27942" spans="1:5" x14ac:dyDescent="0.25">
      <c r="A27942" t="str">
        <f>HYPERLINK("https://www.773grp.com/globalSearch/MC74ACT273DTR2/page-1", "MC74ACT273DTR2")</f>
        <v>MC74ACT273DTR2</v>
      </c>
      <c r="B27942" s="3" t="str">
        <f>HYPERLINK("https://www.773grp.com/manufacturer/onsemi?pageNo=136", "ON Semiconductor")</f>
        <v>ON Semiconductor</v>
      </c>
      <c r="C27942" s="6">
        <v>37500</v>
      </c>
      <c r="D27942" s="7">
        <v>0.48</v>
      </c>
      <c r="E27942" t="s">
        <v>35</v>
      </c>
    </row>
    <row r="27943" spans="1:5" x14ac:dyDescent="0.25">
      <c r="A27943" t="str">
        <f>HYPERLINK("https://www.773grp.com/globalSearch/MC74ACT32DT/page-1", "MC74ACT32DT")</f>
        <v>MC74ACT32DT</v>
      </c>
      <c r="B27943" s="3" t="str">
        <f>HYPERLINK("https://www.773grp.com/manufacturer/onsemi?pageNo=137", "ON Semiconductor")</f>
        <v>ON Semiconductor</v>
      </c>
      <c r="C27943" s="6">
        <v>17078</v>
      </c>
      <c r="D27943" s="7">
        <v>0.48</v>
      </c>
      <c r="E27943" t="s">
        <v>31</v>
      </c>
    </row>
    <row r="27944" spans="1:5" x14ac:dyDescent="0.25">
      <c r="A27944" t="str">
        <f>HYPERLINK("https://www.773grp.com/globalSearch/MC74ACT32DTEL/page-1", "MC74ACT32DTEL")</f>
        <v>MC74ACT32DTEL</v>
      </c>
      <c r="B27944" s="3" t="str">
        <f>HYPERLINK("https://www.773grp.com/manufacturer/onsemi?pageNo=138", "ON Semiconductor")</f>
        <v>ON Semiconductor</v>
      </c>
      <c r="C27944" s="6">
        <v>50000</v>
      </c>
      <c r="D27944" s="7">
        <v>0.48</v>
      </c>
    </row>
    <row r="27945" spans="1:5" x14ac:dyDescent="0.25">
      <c r="A27945" t="str">
        <f>HYPERLINK("https://www.773grp.com/globalSearch/MC74ACT32M/page-1", "MC74ACT32M")</f>
        <v>MC74ACT32M</v>
      </c>
      <c r="B27945" s="3" t="str">
        <f>HYPERLINK("https://www.773grp.com/manufacturer/onsemi?pageNo=139", "ON Semiconductor")</f>
        <v>ON Semiconductor</v>
      </c>
      <c r="C27945" s="6">
        <v>1450</v>
      </c>
      <c r="D27945" s="7">
        <v>0.48</v>
      </c>
      <c r="E27945" t="s">
        <v>31</v>
      </c>
    </row>
    <row r="27946" spans="1:5" x14ac:dyDescent="0.25">
      <c r="A27946" t="str">
        <f>HYPERLINK("https://www.773grp.com/globalSearch/MC74ACT32ML1/page-1", "MC74ACT32ML1")</f>
        <v>MC74ACT32ML1</v>
      </c>
      <c r="B27946" s="3" t="str">
        <f>HYPERLINK("https://www.773grp.com/manufacturer/onsemi?pageNo=140", "ON Semiconductor")</f>
        <v>ON Semiconductor</v>
      </c>
      <c r="C27946" s="6">
        <v>26000</v>
      </c>
      <c r="D27946" s="7">
        <v>0.48</v>
      </c>
    </row>
    <row r="27947" spans="1:5" x14ac:dyDescent="0.25">
      <c r="A27947" t="str">
        <f>HYPERLINK("https://www.773grp.com/globalSearch/MC74ACT32ML2/page-1", "MC74ACT32ML2")</f>
        <v>MC74ACT32ML2</v>
      </c>
      <c r="B27947" s="3" t="str">
        <f>HYPERLINK("https://www.773grp.com/manufacturer/onsemi?pageNo=141", "ON Semiconductor")</f>
        <v>ON Semiconductor</v>
      </c>
      <c r="C27947" s="6">
        <v>2000</v>
      </c>
      <c r="D27947" s="7">
        <v>0.48</v>
      </c>
    </row>
    <row r="27948" spans="1:5" x14ac:dyDescent="0.25">
      <c r="A27948" t="str">
        <f>HYPERLINK("https://www.773grp.com/globalSearch/MC74ACT374DW/page-1", "MC74ACT374DW")</f>
        <v>MC74ACT374DW</v>
      </c>
      <c r="B27948" s="3" t="str">
        <f>HYPERLINK("https://www.773grp.com/manufacturer/onsemi?pageNo=142", "ON Semiconductor")</f>
        <v>ON Semiconductor</v>
      </c>
      <c r="C27948" s="6">
        <v>5092</v>
      </c>
      <c r="D27948" s="7">
        <v>0.48</v>
      </c>
      <c r="E27948" t="s">
        <v>14</v>
      </c>
    </row>
    <row r="27949" spans="1:5" x14ac:dyDescent="0.25">
      <c r="A27949" t="str">
        <f>HYPERLINK("https://www.773grp.com/globalSearch/MC74ACT374DWR2/page-1", "MC74ACT374DWR2")</f>
        <v>MC74ACT374DWR2</v>
      </c>
      <c r="B27949" s="3" t="str">
        <f>HYPERLINK("https://www.773grp.com/manufacturer/onsemi?pageNo=143", "ON Semiconductor")</f>
        <v>ON Semiconductor</v>
      </c>
      <c r="C27949" s="6">
        <v>1500</v>
      </c>
      <c r="D27949" s="7">
        <v>0.48</v>
      </c>
      <c r="E27949" t="s">
        <v>14</v>
      </c>
    </row>
    <row r="27950" spans="1:5" x14ac:dyDescent="0.25">
      <c r="A27950" t="str">
        <f>HYPERLINK("https://www.773grp.com/globalSearch/MC74ACT573DW/page-1", "MC74ACT573DW")</f>
        <v>MC74ACT573DW</v>
      </c>
      <c r="B27950" s="3" t="str">
        <f>HYPERLINK("https://www.773grp.com/manufacturer/onsemi?pageNo=144", "ON Semiconductor")</f>
        <v>ON Semiconductor</v>
      </c>
      <c r="C27950" s="6">
        <v>1672</v>
      </c>
      <c r="D27950" s="7">
        <v>0.48</v>
      </c>
      <c r="E27950" t="s">
        <v>14</v>
      </c>
    </row>
    <row r="27951" spans="1:5" x14ac:dyDescent="0.25">
      <c r="A27951" t="str">
        <f>HYPERLINK("https://www.773grp.com/globalSearch/MC74ACT573DWR2/page-1", "MC74ACT573DWR2")</f>
        <v>MC74ACT573DWR2</v>
      </c>
      <c r="B27951" s="3" t="str">
        <f>HYPERLINK("https://www.773grp.com/manufacturer/onsemi?pageNo=145", "ON Semiconductor")</f>
        <v>ON Semiconductor</v>
      </c>
      <c r="C27951" s="6">
        <v>75000</v>
      </c>
      <c r="D27951" s="7">
        <v>0.48</v>
      </c>
      <c r="E27951" t="s">
        <v>14</v>
      </c>
    </row>
    <row r="27952" spans="1:5" x14ac:dyDescent="0.25">
      <c r="A27952" t="str">
        <f>HYPERLINK("https://www.773grp.com/globalSearch/MC74ACT574DTR2/page-1", "MC74ACT574DTR2")</f>
        <v>MC74ACT574DTR2</v>
      </c>
      <c r="B27952" s="3" t="str">
        <f>HYPERLINK("https://www.773grp.com/manufacturer/onsemi?pageNo=146", "ON Semiconductor")</f>
        <v>ON Semiconductor</v>
      </c>
      <c r="C27952" s="6">
        <v>2425</v>
      </c>
      <c r="D27952" s="7">
        <v>0.48</v>
      </c>
      <c r="E27952" t="s">
        <v>14</v>
      </c>
    </row>
    <row r="27953" spans="1:5" x14ac:dyDescent="0.25">
      <c r="A27953" t="str">
        <f>HYPERLINK("https://www.773grp.com/globalSearch/MC74ACT574DW/page-1", "MC74ACT574DW")</f>
        <v>MC74ACT574DW</v>
      </c>
      <c r="B27953" s="3" t="str">
        <f>HYPERLINK("https://www.773grp.com/manufacturer/onsemi?pageNo=147", "ON Semiconductor")</f>
        <v>ON Semiconductor</v>
      </c>
      <c r="C27953" s="6">
        <v>59</v>
      </c>
      <c r="D27953" s="7">
        <v>0.48</v>
      </c>
      <c r="E27953" t="s">
        <v>14</v>
      </c>
    </row>
    <row r="27954" spans="1:5" x14ac:dyDescent="0.25">
      <c r="A27954" t="str">
        <f>HYPERLINK("https://www.773grp.com/globalSearch/MC74ACT74DT/page-1", "MC74ACT74DT")</f>
        <v>MC74ACT74DT</v>
      </c>
      <c r="B27954" s="3" t="str">
        <f>HYPERLINK("https://www.773grp.com/manufacturer/onsemi?pageNo=148", "ON Semiconductor")</f>
        <v>ON Semiconductor</v>
      </c>
      <c r="C27954" s="6">
        <v>3536</v>
      </c>
      <c r="D27954" s="7">
        <v>0.48</v>
      </c>
      <c r="E27954" t="s">
        <v>35</v>
      </c>
    </row>
    <row r="27955" spans="1:5" x14ac:dyDescent="0.25">
      <c r="A27955" t="str">
        <f>HYPERLINK("https://www.773grp.com/globalSearch/MC74ACT74DT/page-1", "MC74ACT74DT")</f>
        <v>MC74ACT74DT</v>
      </c>
      <c r="B27955" s="3" t="str">
        <f>HYPERLINK("https://www.773grp.com/manufacturer/onsemi?pageNo=149", "ON Semiconductor")</f>
        <v>ON Semiconductor</v>
      </c>
      <c r="C27955" s="6">
        <v>1440</v>
      </c>
      <c r="D27955" s="7">
        <v>0.48</v>
      </c>
      <c r="E27955" t="s">
        <v>35</v>
      </c>
    </row>
    <row r="27956" spans="1:5" x14ac:dyDescent="0.25">
      <c r="A27956" t="str">
        <f>HYPERLINK("https://www.773grp.com/globalSearch/MC74ACT74ML1/page-1", "MC74ACT74ML1")</f>
        <v>MC74ACT74ML1</v>
      </c>
      <c r="B27956" s="3" t="str">
        <f>HYPERLINK("https://www.773grp.com/manufacturer/onsemi?pageNo=150", "ON Semiconductor")</f>
        <v>ON Semiconductor</v>
      </c>
      <c r="C27956" s="6">
        <v>5695</v>
      </c>
      <c r="D27956" s="7">
        <v>0.48</v>
      </c>
    </row>
    <row r="27957" spans="1:5" x14ac:dyDescent="0.25">
      <c r="A27957" t="str">
        <f>HYPERLINK("https://www.773grp.com/globalSearch/MC74ACT74MR1/page-1", "MC74ACT74MR1")</f>
        <v>MC74ACT74MR1</v>
      </c>
      <c r="B27957" s="3" t="str">
        <f>HYPERLINK("https://www.773grp.com/manufacturer/onsemi?pageNo=151", "ON Semiconductor")</f>
        <v>ON Semiconductor</v>
      </c>
      <c r="C27957" s="6">
        <v>9000</v>
      </c>
      <c r="D27957" s="7">
        <v>0.48</v>
      </c>
      <c r="E27957" t="s">
        <v>35</v>
      </c>
    </row>
    <row r="27958" spans="1:5" x14ac:dyDescent="0.25">
      <c r="A27958" t="str">
        <f>HYPERLINK("https://www.773grp.com/globalSearch/MC74F00M/page-1", "MC74F00M")</f>
        <v>MC74F00M</v>
      </c>
      <c r="B27958" s="3" t="str">
        <f>HYPERLINK("https://www.773grp.com/manufacturer/onsemi?pageNo=152", "ON Semiconductor")</f>
        <v>ON Semiconductor</v>
      </c>
      <c r="C27958" s="6">
        <v>4156</v>
      </c>
      <c r="D27958" s="7">
        <v>0.48</v>
      </c>
    </row>
    <row r="27959" spans="1:5" x14ac:dyDescent="0.25">
      <c r="A27959" t="str">
        <f>HYPERLINK("https://www.773grp.com/globalSearch/MC74F00MR1/page-1", "MC74F00MR1")</f>
        <v>MC74F00MR1</v>
      </c>
      <c r="B27959" s="3" t="str">
        <f>HYPERLINK("https://www.773grp.com/manufacturer/onsemi?pageNo=153", "ON Semiconductor")</f>
        <v>ON Semiconductor</v>
      </c>
      <c r="C27959" s="6">
        <v>3000</v>
      </c>
      <c r="D27959" s="7">
        <v>0.48</v>
      </c>
    </row>
    <row r="27960" spans="1:5" x14ac:dyDescent="0.25">
      <c r="A27960" t="str">
        <f>HYPERLINK("https://www.773grp.com/globalSearch/MC74F00N/page-1", "MC74F00N")</f>
        <v>MC74F00N</v>
      </c>
      <c r="B27960" s="3" t="str">
        <f>HYPERLINK("https://www.773grp.com/manufacturer/onsemi?pageNo=154", "ON Semiconductor")</f>
        <v>ON Semiconductor</v>
      </c>
      <c r="C27960" s="6">
        <v>2030</v>
      </c>
      <c r="D27960" s="7">
        <v>0.48</v>
      </c>
      <c r="E27960" t="s">
        <v>31</v>
      </c>
    </row>
    <row r="27961" spans="1:5" x14ac:dyDescent="0.25">
      <c r="A27961" t="str">
        <f>HYPERLINK("https://www.773grp.com/globalSearch/MC74F02D/page-1", "MC74F02D")</f>
        <v>MC74F02D</v>
      </c>
      <c r="B27961" s="3" t="str">
        <f>HYPERLINK("https://www.773grp.com/manufacturer/onsemi?pageNo=155", "ON Semiconductor")</f>
        <v>ON Semiconductor</v>
      </c>
      <c r="C27961" s="6">
        <v>5</v>
      </c>
      <c r="D27961" s="7">
        <v>0.48</v>
      </c>
      <c r="E27961" t="s">
        <v>31</v>
      </c>
    </row>
    <row r="27962" spans="1:5" x14ac:dyDescent="0.25">
      <c r="A27962" t="str">
        <f>HYPERLINK("https://www.773grp.com/globalSearch/MC74F02DR2/page-1", "MC74F02DR2")</f>
        <v>MC74F02DR2</v>
      </c>
      <c r="B27962" s="3" t="str">
        <f>HYPERLINK("https://www.773grp.com/manufacturer/onsemi?pageNo=156", "ON Semiconductor")</f>
        <v>ON Semiconductor</v>
      </c>
      <c r="C27962" s="6">
        <v>1944</v>
      </c>
      <c r="D27962" s="7">
        <v>0.48</v>
      </c>
      <c r="E27962" t="s">
        <v>31</v>
      </c>
    </row>
    <row r="27963" spans="1:5" x14ac:dyDescent="0.25">
      <c r="A27963" t="str">
        <f>HYPERLINK("https://www.773grp.com/globalSearch/MC74F02N/page-1", "MC74F02N")</f>
        <v>MC74F02N</v>
      </c>
      <c r="B27963" s="3" t="str">
        <f>HYPERLINK("https://www.773grp.com/manufacturer/onsemi?pageNo=157", "ON Semiconductor")</f>
        <v>ON Semiconductor</v>
      </c>
      <c r="C27963" s="6">
        <v>70</v>
      </c>
      <c r="D27963" s="7">
        <v>0.48</v>
      </c>
      <c r="E27963" t="s">
        <v>31</v>
      </c>
    </row>
    <row r="27964" spans="1:5" x14ac:dyDescent="0.25">
      <c r="A27964" t="str">
        <f>HYPERLINK("https://www.773grp.com/globalSearch/MC74F04D/page-1", "MC74F04D")</f>
        <v>MC74F04D</v>
      </c>
      <c r="B27964" s="3" t="str">
        <f>HYPERLINK("https://www.773grp.com/manufacturer/onsemi?pageNo=158", "ON Semiconductor")</f>
        <v>ON Semiconductor</v>
      </c>
      <c r="C27964" s="6">
        <v>463027</v>
      </c>
      <c r="D27964" s="7">
        <v>0.48</v>
      </c>
      <c r="E27964" t="s">
        <v>31</v>
      </c>
    </row>
    <row r="27965" spans="1:5" x14ac:dyDescent="0.25">
      <c r="A27965" t="str">
        <f>HYPERLINK("https://www.773grp.com/globalSearch/MC74F04DR2/page-1", "MC74F04DR2")</f>
        <v>MC74F04DR2</v>
      </c>
      <c r="B27965" s="3" t="str">
        <f>HYPERLINK("https://www.773grp.com/manufacturer/onsemi?pageNo=159", "ON Semiconductor")</f>
        <v>ON Semiconductor</v>
      </c>
      <c r="C27965" s="6">
        <v>27500</v>
      </c>
      <c r="D27965" s="7">
        <v>0.48</v>
      </c>
      <c r="E27965" t="s">
        <v>31</v>
      </c>
    </row>
    <row r="27966" spans="1:5" x14ac:dyDescent="0.25">
      <c r="A27966" t="str">
        <f>HYPERLINK("https://www.773grp.com/globalSearch/MC74F08DR2/page-1", "MC74F08DR2")</f>
        <v>MC74F08DR2</v>
      </c>
      <c r="B27966" s="3" t="str">
        <f>HYPERLINK("https://www.773grp.com/manufacturer/onsemi?pageNo=160", "ON Semiconductor")</f>
        <v>ON Semiconductor</v>
      </c>
      <c r="C27966" s="6">
        <v>189521</v>
      </c>
      <c r="D27966" s="7">
        <v>0.48</v>
      </c>
      <c r="E27966" t="s">
        <v>31</v>
      </c>
    </row>
    <row r="27967" spans="1:5" x14ac:dyDescent="0.25">
      <c r="A27967" t="str">
        <f>HYPERLINK("https://www.773grp.com/globalSearch/MC74F10D/page-1", "MC74F10D")</f>
        <v>MC74F10D</v>
      </c>
      <c r="B27967" s="3" t="str">
        <f>HYPERLINK("https://www.773grp.com/manufacturer/onsemi?pageNo=161", "ON Semiconductor")</f>
        <v>ON Semiconductor</v>
      </c>
      <c r="C27967" s="6">
        <v>6105</v>
      </c>
      <c r="D27967" s="7">
        <v>0.48</v>
      </c>
      <c r="E27967" t="s">
        <v>31</v>
      </c>
    </row>
    <row r="27968" spans="1:5" x14ac:dyDescent="0.25">
      <c r="A27968" t="str">
        <f>HYPERLINK("https://www.773grp.com/globalSearch/MC74F10N/page-1", "MC74F10N")</f>
        <v>MC74F10N</v>
      </c>
      <c r="B27968" s="3" t="str">
        <f>HYPERLINK("https://www.773grp.com/manufacturer/onsemi?pageNo=162", "ON Semiconductor")</f>
        <v>ON Semiconductor</v>
      </c>
      <c r="C27968" s="6">
        <v>11835</v>
      </c>
      <c r="D27968" s="7">
        <v>0.48</v>
      </c>
      <c r="E27968" t="s">
        <v>31</v>
      </c>
    </row>
    <row r="27969" spans="1:5" x14ac:dyDescent="0.25">
      <c r="A27969" t="str">
        <f>HYPERLINK("https://www.773grp.com/globalSearch/MC74F11D/page-1", "MC74F11D")</f>
        <v>MC74F11D</v>
      </c>
      <c r="B27969" s="3" t="str">
        <f>HYPERLINK("https://www.773grp.com/manufacturer/onsemi?pageNo=163", "ON Semiconductor")</f>
        <v>ON Semiconductor</v>
      </c>
      <c r="C27969" s="6">
        <v>46470</v>
      </c>
      <c r="D27969" s="7">
        <v>0.48</v>
      </c>
      <c r="E27969" t="s">
        <v>31</v>
      </c>
    </row>
    <row r="27970" spans="1:5" x14ac:dyDescent="0.25">
      <c r="A27970" t="str">
        <f>HYPERLINK("https://www.773grp.com/globalSearch/MC74F11DR2/page-1", "MC74F11DR2")</f>
        <v>MC74F11DR2</v>
      </c>
      <c r="B27970" s="3" t="str">
        <f>HYPERLINK("https://www.773grp.com/manufacturer/onsemi?pageNo=164", "ON Semiconductor")</f>
        <v>ON Semiconductor</v>
      </c>
      <c r="C27970" s="6">
        <v>235000</v>
      </c>
      <c r="D27970" s="7">
        <v>0.48</v>
      </c>
      <c r="E27970" t="s">
        <v>31</v>
      </c>
    </row>
    <row r="27971" spans="1:5" x14ac:dyDescent="0.25">
      <c r="A27971" t="str">
        <f>HYPERLINK("https://www.773grp.com/globalSearch/MC74F11ML1/page-1", "MC74F11ML1")</f>
        <v>MC74F11ML1</v>
      </c>
      <c r="B27971" s="3" t="str">
        <f>HYPERLINK("https://www.773grp.com/manufacturer/onsemi?pageNo=165", "ON Semiconductor")</f>
        <v>ON Semiconductor</v>
      </c>
      <c r="C27971" s="6">
        <v>1000</v>
      </c>
      <c r="D27971" s="7">
        <v>0.48</v>
      </c>
    </row>
    <row r="27972" spans="1:5" x14ac:dyDescent="0.25">
      <c r="A27972" t="str">
        <f>HYPERLINK("https://www.773grp.com/globalSearch/MC74F11N/page-1", "MC74F11N")</f>
        <v>MC74F11N</v>
      </c>
      <c r="B27972" s="3" t="str">
        <f>HYPERLINK("https://www.773grp.com/manufacturer/onsemi?pageNo=166", "ON Semiconductor")</f>
        <v>ON Semiconductor</v>
      </c>
      <c r="C27972" s="6">
        <v>3975</v>
      </c>
      <c r="D27972" s="7">
        <v>0.48</v>
      </c>
      <c r="E27972" t="s">
        <v>31</v>
      </c>
    </row>
    <row r="27973" spans="1:5" x14ac:dyDescent="0.25">
      <c r="A27973" t="str">
        <f>HYPERLINK("https://www.773grp.com/globalSearch/MC74F20D/page-1", "MC74F20D")</f>
        <v>MC74F20D</v>
      </c>
      <c r="B27973" s="3" t="str">
        <f>HYPERLINK("https://www.773grp.com/manufacturer/onsemi?pageNo=167", "ON Semiconductor")</f>
        <v>ON Semiconductor</v>
      </c>
      <c r="C27973" s="6">
        <v>21085</v>
      </c>
      <c r="D27973" s="7">
        <v>0.48</v>
      </c>
      <c r="E27973" t="s">
        <v>31</v>
      </c>
    </row>
    <row r="27974" spans="1:5" x14ac:dyDescent="0.25">
      <c r="A27974" t="str">
        <f>HYPERLINK("https://www.773grp.com/globalSearch/MC74F20DR2/page-1", "MC74F20DR2")</f>
        <v>MC74F20DR2</v>
      </c>
      <c r="B27974" s="3" t="str">
        <f>HYPERLINK("https://www.773grp.com/manufacturer/onsemi?pageNo=168", "ON Semiconductor")</f>
        <v>ON Semiconductor</v>
      </c>
      <c r="C27974" s="6">
        <v>7500</v>
      </c>
      <c r="D27974" s="7">
        <v>0.48</v>
      </c>
      <c r="E27974" t="s">
        <v>31</v>
      </c>
    </row>
    <row r="27975" spans="1:5" x14ac:dyDescent="0.25">
      <c r="A27975" t="str">
        <f>HYPERLINK("https://www.773grp.com/globalSearch/MC74F20M/page-1", "MC74F20M")</f>
        <v>MC74F20M</v>
      </c>
      <c r="B27975" s="3" t="str">
        <f>HYPERLINK("https://www.773grp.com/manufacturer/onsemi?pageNo=169", "ON Semiconductor")</f>
        <v>ON Semiconductor</v>
      </c>
      <c r="C27975" s="6">
        <v>7571</v>
      </c>
      <c r="D27975" s="7">
        <v>0.48</v>
      </c>
    </row>
    <row r="27976" spans="1:5" x14ac:dyDescent="0.25">
      <c r="A27976" t="str">
        <f>HYPERLINK("https://www.773grp.com/globalSearch/MC74F20MEL/page-1", "MC74F20MEL")</f>
        <v>MC74F20MEL</v>
      </c>
      <c r="B27976" s="3" t="str">
        <f>HYPERLINK("https://www.773grp.com/manufacturer/onsemi?pageNo=170", "ON Semiconductor")</f>
        <v>ON Semiconductor</v>
      </c>
      <c r="C27976" s="6">
        <v>4000</v>
      </c>
      <c r="D27976" s="7">
        <v>0.48</v>
      </c>
    </row>
    <row r="27977" spans="1:5" x14ac:dyDescent="0.25">
      <c r="A27977" t="str">
        <f>HYPERLINK("https://www.773grp.com/globalSearch/MC74F20N/page-1", "MC74F20N")</f>
        <v>MC74F20N</v>
      </c>
      <c r="B27977" s="3" t="str">
        <f>HYPERLINK("https://www.773grp.com/manufacturer/onsemi?pageNo=171", "ON Semiconductor")</f>
        <v>ON Semiconductor</v>
      </c>
      <c r="C27977" s="6">
        <v>1635</v>
      </c>
      <c r="D27977" s="7">
        <v>0.48</v>
      </c>
      <c r="E27977" t="s">
        <v>31</v>
      </c>
    </row>
    <row r="27978" spans="1:5" x14ac:dyDescent="0.25">
      <c r="A27978" t="str">
        <f>HYPERLINK("https://www.773grp.com/globalSearch/MC74F32D/page-1", "MC74F32D")</f>
        <v>MC74F32D</v>
      </c>
      <c r="B27978" s="3" t="str">
        <f>HYPERLINK("https://www.773grp.com/manufacturer/onsemi?pageNo=172", "ON Semiconductor")</f>
        <v>ON Semiconductor</v>
      </c>
      <c r="C27978" s="6">
        <v>19</v>
      </c>
      <c r="D27978" s="7">
        <v>0.48</v>
      </c>
      <c r="E27978" t="s">
        <v>31</v>
      </c>
    </row>
    <row r="27979" spans="1:5" x14ac:dyDescent="0.25">
      <c r="A27979" t="str">
        <f>HYPERLINK("https://www.773grp.com/globalSearch/MC74F32M/page-1", "MC74F32M")</f>
        <v>MC74F32M</v>
      </c>
      <c r="B27979" s="3" t="str">
        <f>HYPERLINK("https://www.773grp.com/manufacturer/onsemi?pageNo=173", "ON Semiconductor")</f>
        <v>ON Semiconductor</v>
      </c>
      <c r="C27979" s="6">
        <v>100</v>
      </c>
      <c r="D27979" s="7">
        <v>0.48</v>
      </c>
    </row>
    <row r="27980" spans="1:5" x14ac:dyDescent="0.25">
      <c r="A27980" t="str">
        <f>HYPERLINK("https://www.773grp.com/globalSearch/MC74F32MEL/page-1", "MC74F32MEL")</f>
        <v>MC74F32MEL</v>
      </c>
      <c r="B27980" s="3" t="str">
        <f>HYPERLINK("https://www.773grp.com/manufacturer/onsemi?pageNo=174", "ON Semiconductor")</f>
        <v>ON Semiconductor</v>
      </c>
      <c r="C27980" s="6">
        <v>2000</v>
      </c>
      <c r="D27980" s="7">
        <v>0.48</v>
      </c>
    </row>
    <row r="27981" spans="1:5" x14ac:dyDescent="0.25">
      <c r="A27981" t="str">
        <f>HYPERLINK("https://www.773grp.com/globalSearch/MC74F32MR1/page-1", "MC74F32MR1")</f>
        <v>MC74F32MR1</v>
      </c>
      <c r="B27981" s="3" t="str">
        <f>HYPERLINK("https://www.773grp.com/manufacturer/onsemi?pageNo=175", "ON Semiconductor")</f>
        <v>ON Semiconductor</v>
      </c>
      <c r="C27981" s="6">
        <v>7000</v>
      </c>
      <c r="D27981" s="7">
        <v>0.48</v>
      </c>
    </row>
    <row r="27982" spans="1:5" x14ac:dyDescent="0.25">
      <c r="A27982" t="str">
        <f>HYPERLINK("https://www.773grp.com/globalSearch/MC74F32MR2/page-1", "MC74F32MR2")</f>
        <v>MC74F32MR2</v>
      </c>
      <c r="B27982" s="3" t="str">
        <f>HYPERLINK("https://www.773grp.com/manufacturer/onsemi?pageNo=176", "ON Semiconductor")</f>
        <v>ON Semiconductor</v>
      </c>
      <c r="C27982" s="6">
        <v>10000</v>
      </c>
      <c r="D27982" s="7">
        <v>0.48</v>
      </c>
    </row>
    <row r="27983" spans="1:5" x14ac:dyDescent="0.25">
      <c r="A27983" t="str">
        <f>HYPERLINK("https://www.773grp.com/globalSearch/MC74F32N/page-1", "MC74F32N")</f>
        <v>MC74F32N</v>
      </c>
      <c r="B27983" s="3" t="str">
        <f>HYPERLINK("https://www.773grp.com/manufacturer/onsemi?pageNo=177", "ON Semiconductor")</f>
        <v>ON Semiconductor</v>
      </c>
      <c r="C27983" s="6">
        <v>1583</v>
      </c>
      <c r="D27983" s="7">
        <v>0.48</v>
      </c>
      <c r="E27983" t="s">
        <v>31</v>
      </c>
    </row>
    <row r="27984" spans="1:5" x14ac:dyDescent="0.25">
      <c r="A27984" t="str">
        <f>HYPERLINK("https://www.773grp.com/globalSearch/MC74HC125AF/page-1", "MC74HC125AF")</f>
        <v>MC74HC125AF</v>
      </c>
      <c r="B27984" s="3" t="str">
        <f>HYPERLINK("https://www.773grp.com/manufacturer/onsemi?pageNo=178", "ON Semiconductor")</f>
        <v>ON Semiconductor</v>
      </c>
      <c r="C27984" s="6">
        <v>11613</v>
      </c>
      <c r="D27984" s="7">
        <v>0.48</v>
      </c>
      <c r="E27984" t="s">
        <v>14</v>
      </c>
    </row>
    <row r="27985" spans="1:5" x14ac:dyDescent="0.25">
      <c r="A27985" t="str">
        <f>HYPERLINK("https://www.773grp.com/globalSearch/MC74HC125AFEL/page-1", "MC74HC125AFEL")</f>
        <v>MC74HC125AFEL</v>
      </c>
      <c r="B27985" s="3" t="str">
        <f>HYPERLINK("https://www.773grp.com/manufacturer/onsemi?pageNo=179", "ON Semiconductor")</f>
        <v>ON Semiconductor</v>
      </c>
      <c r="C27985" s="6">
        <v>10000</v>
      </c>
      <c r="D27985" s="7">
        <v>0.48</v>
      </c>
      <c r="E27985" t="s">
        <v>14</v>
      </c>
    </row>
    <row r="27986" spans="1:5" x14ac:dyDescent="0.25">
      <c r="A27986" t="str">
        <f>HYPERLINK("https://www.773grp.com/globalSearch/MC74HC126AFEL/page-1", "MC74HC126AFEL")</f>
        <v>MC74HC126AFEL</v>
      </c>
      <c r="B27986" s="3" t="str">
        <f>HYPERLINK("https://www.773grp.com/manufacturer/onsemi?pageNo=180", "ON Semiconductor")</f>
        <v>ON Semiconductor</v>
      </c>
      <c r="C27986" s="6">
        <v>2000</v>
      </c>
      <c r="D27986" s="7">
        <v>0.48</v>
      </c>
      <c r="E27986" t="s">
        <v>14</v>
      </c>
    </row>
    <row r="27987" spans="1:5" x14ac:dyDescent="0.25">
      <c r="A27987" t="str">
        <f>HYPERLINK("https://www.773grp.com/globalSearch/MC74HC138ADT/page-1", "MC74HC138ADT")</f>
        <v>MC74HC138ADT</v>
      </c>
      <c r="B27987" s="3" t="str">
        <f>HYPERLINK("https://www.773grp.com/manufacturer/onsemi?pageNo=181", "ON Semiconductor")</f>
        <v>ON Semiconductor</v>
      </c>
      <c r="C27987" s="6">
        <v>3979</v>
      </c>
      <c r="D27987" s="7">
        <v>0.48</v>
      </c>
      <c r="E27987" t="s">
        <v>36</v>
      </c>
    </row>
    <row r="27988" spans="1:5" x14ac:dyDescent="0.25">
      <c r="A27988" t="str">
        <f>HYPERLINK("https://www.773grp.com/globalSearch/MC74HC139AF/page-1", "MC74HC139AF")</f>
        <v>MC74HC139AF</v>
      </c>
      <c r="B27988" s="3" t="str">
        <f>HYPERLINK("https://www.773grp.com/manufacturer/onsemi?pageNo=182", "ON Semiconductor")</f>
        <v>ON Semiconductor</v>
      </c>
      <c r="C27988" s="6">
        <v>1</v>
      </c>
      <c r="D27988" s="7">
        <v>0.48</v>
      </c>
    </row>
    <row r="27989" spans="1:5" x14ac:dyDescent="0.25">
      <c r="A27989" t="str">
        <f>HYPERLINK("https://www.773grp.com/globalSearch/MC74HC14AF/page-1", "MC74HC14AF")</f>
        <v>MC74HC14AF</v>
      </c>
      <c r="B27989" s="3" t="str">
        <f>HYPERLINK("https://www.773grp.com/manufacturer/onsemi?pageNo=183", "ON Semiconductor")</f>
        <v>ON Semiconductor</v>
      </c>
      <c r="C27989" s="6">
        <v>3768</v>
      </c>
      <c r="D27989" s="7">
        <v>0.48</v>
      </c>
      <c r="E27989" t="s">
        <v>31</v>
      </c>
    </row>
    <row r="27990" spans="1:5" x14ac:dyDescent="0.25">
      <c r="A27990" t="str">
        <f>HYPERLINK("https://www.773grp.com/globalSearch/MC74HC14AFEL/page-1", "MC74HC14AFEL")</f>
        <v>MC74HC14AFEL</v>
      </c>
      <c r="B27990" s="3" t="str">
        <f>HYPERLINK("https://www.773grp.com/manufacturer/onsemi?pageNo=184", "ON Semiconductor")</f>
        <v>ON Semiconductor</v>
      </c>
      <c r="C27990" s="6">
        <v>22000</v>
      </c>
      <c r="D27990" s="7">
        <v>0.48</v>
      </c>
      <c r="E27990" t="s">
        <v>31</v>
      </c>
    </row>
    <row r="27991" spans="1:5" x14ac:dyDescent="0.25">
      <c r="A27991" t="str">
        <f>HYPERLINK("https://www.773grp.com/globalSearch/MC74HC161ADG/page-1", "MC74HC161ADG")</f>
        <v>MC74HC161ADG</v>
      </c>
      <c r="B27991" s="3" t="str">
        <f>HYPERLINK("https://www.773grp.com/manufacturer/onsemi?pageNo=185", "ON Semiconductor")</f>
        <v>ON Semiconductor</v>
      </c>
      <c r="C27991" s="6">
        <v>23952</v>
      </c>
      <c r="D27991" s="7">
        <v>0.48</v>
      </c>
    </row>
    <row r="27992" spans="1:5" x14ac:dyDescent="0.25">
      <c r="A27992" t="str">
        <f>HYPERLINK("https://www.773grp.com/globalSearch/MC74HC161ADR2G/page-1", "MC74HC161ADR2G")</f>
        <v>MC74HC161ADR2G</v>
      </c>
      <c r="B27992" s="3" t="str">
        <f>HYPERLINK("https://www.773grp.com/manufacturer/onsemi?pageNo=186", "ON Semiconductor")</f>
        <v>ON Semiconductor</v>
      </c>
      <c r="C27992" s="6">
        <v>12250</v>
      </c>
      <c r="D27992" s="7">
        <v>0.48</v>
      </c>
      <c r="E27992" t="s">
        <v>26</v>
      </c>
    </row>
    <row r="27993" spans="1:5" x14ac:dyDescent="0.25">
      <c r="A27993" t="str">
        <f>HYPERLINK("https://www.773grp.com/globalSearch/MC74HC161ADTG/page-1", "MC74HC161ADTG")</f>
        <v>MC74HC161ADTG</v>
      </c>
      <c r="B27993" s="3" t="str">
        <f>HYPERLINK("https://www.773grp.com/manufacturer/onsemi?pageNo=187", "ON Semiconductor")</f>
        <v>ON Semiconductor</v>
      </c>
      <c r="C27993" s="6">
        <v>17564</v>
      </c>
      <c r="D27993" s="7">
        <v>0.48</v>
      </c>
      <c r="E27993" t="s">
        <v>26</v>
      </c>
    </row>
    <row r="27994" spans="1:5" x14ac:dyDescent="0.25">
      <c r="A27994" t="str">
        <f>HYPERLINK("https://www.773grp.com/globalSearch/MC74HC161ADTR2G/page-1", "MC74HC161ADTR2G")</f>
        <v>MC74HC161ADTR2G</v>
      </c>
      <c r="B27994" s="3" t="str">
        <f>HYPERLINK("https://www.773grp.com/manufacturer/onsemi?pageNo=188", "ON Semiconductor")</f>
        <v>ON Semiconductor</v>
      </c>
      <c r="C27994" s="6">
        <v>205483</v>
      </c>
      <c r="D27994" s="7">
        <v>0.48</v>
      </c>
      <c r="E27994" t="s">
        <v>26</v>
      </c>
    </row>
    <row r="27995" spans="1:5" x14ac:dyDescent="0.25">
      <c r="A27995" t="str">
        <f>HYPERLINK("https://www.773grp.com/globalSearch/MC74HC164AD/page-1", "MC74HC164AD")</f>
        <v>MC74HC164AD</v>
      </c>
      <c r="B27995" s="3" t="str">
        <f>HYPERLINK("https://www.773grp.com/manufacturer/onsemi?pageNo=189", "ON Semiconductor")</f>
        <v>ON Semiconductor</v>
      </c>
      <c r="C27995" s="6">
        <v>43355</v>
      </c>
      <c r="D27995" s="7">
        <v>0.48</v>
      </c>
      <c r="E27995" t="s">
        <v>32</v>
      </c>
    </row>
    <row r="27996" spans="1:5" x14ac:dyDescent="0.25">
      <c r="A27996" t="str">
        <f>HYPERLINK("https://www.773grp.com/globalSearch/MC74HC164ADR2/page-1", "MC74HC164ADR2")</f>
        <v>MC74HC164ADR2</v>
      </c>
      <c r="B27996" s="3" t="str">
        <f>HYPERLINK("https://www.773grp.com/manufacturer/onsemi?pageNo=190", "ON Semiconductor")</f>
        <v>ON Semiconductor</v>
      </c>
      <c r="C27996" s="6">
        <v>42400</v>
      </c>
      <c r="D27996" s="7">
        <v>0.48</v>
      </c>
      <c r="E27996" t="s">
        <v>32</v>
      </c>
    </row>
    <row r="27997" spans="1:5" x14ac:dyDescent="0.25">
      <c r="A27997" t="str">
        <f>HYPERLINK("https://www.773grp.com/globalSearch/MC74HC164AN/page-1", "MC74HC164AN")</f>
        <v>MC74HC164AN</v>
      </c>
      <c r="B27997" s="3" t="str">
        <f>HYPERLINK("https://www.773grp.com/manufacturer/onsemi?pageNo=191", "ON Semiconductor")</f>
        <v>ON Semiconductor</v>
      </c>
      <c r="C27997" s="6">
        <v>56585</v>
      </c>
      <c r="D27997" s="7">
        <v>0.48</v>
      </c>
      <c r="E27997" t="s">
        <v>32</v>
      </c>
    </row>
    <row r="27998" spans="1:5" x14ac:dyDescent="0.25">
      <c r="A27998" t="str">
        <f>HYPERLINK("https://www.773grp.com/globalSearch/MC74HC165AF/page-1", "MC74HC165AF")</f>
        <v>MC74HC165AF</v>
      </c>
      <c r="B27998" s="3" t="str">
        <f>HYPERLINK("https://www.773grp.com/manufacturer/onsemi?pageNo=192", "ON Semiconductor")</f>
        <v>ON Semiconductor</v>
      </c>
      <c r="C27998" s="6">
        <v>300</v>
      </c>
      <c r="D27998" s="7">
        <v>0.48</v>
      </c>
      <c r="E27998" t="s">
        <v>32</v>
      </c>
    </row>
    <row r="27999" spans="1:5" x14ac:dyDescent="0.25">
      <c r="A27999" t="str">
        <f>HYPERLINK("https://www.773grp.com/globalSearch/MC74HC165AFEL/page-1", "MC74HC165AFEL")</f>
        <v>MC74HC165AFEL</v>
      </c>
      <c r="B27999" s="3" t="str">
        <f>HYPERLINK("https://www.773grp.com/manufacturer/onsemi?pageNo=193", "ON Semiconductor")</f>
        <v>ON Semiconductor</v>
      </c>
      <c r="C27999" s="6">
        <v>6789</v>
      </c>
      <c r="D27999" s="7">
        <v>0.48</v>
      </c>
      <c r="E27999" t="s">
        <v>32</v>
      </c>
    </row>
    <row r="28000" spans="1:5" x14ac:dyDescent="0.25">
      <c r="A28000" t="str">
        <f>HYPERLINK("https://www.773grp.com/globalSearch/MC74HC165AN/page-1", "MC74HC165AN")</f>
        <v>MC74HC165AN</v>
      </c>
      <c r="B28000" s="3" t="str">
        <f>HYPERLINK("https://www.773grp.com/manufacturer/onsemi?pageNo=194", "ON Semiconductor")</f>
        <v>ON Semiconductor</v>
      </c>
      <c r="C28000" s="6">
        <v>4225</v>
      </c>
      <c r="D28000" s="7">
        <v>0.48</v>
      </c>
      <c r="E28000" t="s">
        <v>32</v>
      </c>
    </row>
    <row r="28001" spans="1:5" x14ac:dyDescent="0.25">
      <c r="A28001" t="str">
        <f>HYPERLINK("https://www.773grp.com/globalSearch/MC74HC174AD/page-1", "MC74HC174AD")</f>
        <v>MC74HC174AD</v>
      </c>
      <c r="B28001" s="3" t="str">
        <f>HYPERLINK("https://www.773grp.com/manufacturer/onsemi?pageNo=195", "ON Semiconductor")</f>
        <v>ON Semiconductor</v>
      </c>
      <c r="C28001" s="6">
        <v>1052</v>
      </c>
      <c r="D28001" s="7">
        <v>0.48</v>
      </c>
      <c r="E28001" t="s">
        <v>35</v>
      </c>
    </row>
    <row r="28002" spans="1:5" x14ac:dyDescent="0.25">
      <c r="A28002" t="str">
        <f>HYPERLINK("https://www.773grp.com/globalSearch/MC74HC174ADR2/page-1", "MC74HC174ADR2")</f>
        <v>MC74HC174ADR2</v>
      </c>
      <c r="B28002" s="3" t="str">
        <f>HYPERLINK("https://www.773grp.com/manufacturer/onsemi?pageNo=196", "ON Semiconductor")</f>
        <v>ON Semiconductor</v>
      </c>
      <c r="C28002" s="6">
        <v>8507</v>
      </c>
      <c r="D28002" s="7">
        <v>0.48</v>
      </c>
      <c r="E28002" t="s">
        <v>35</v>
      </c>
    </row>
    <row r="28003" spans="1:5" x14ac:dyDescent="0.25">
      <c r="A28003" t="str">
        <f>HYPERLINK("https://www.773grp.com/globalSearch/MC74HC174ADT/page-1", "MC74HC174ADT")</f>
        <v>MC74HC174ADT</v>
      </c>
      <c r="B28003" s="3" t="str">
        <f>HYPERLINK("https://www.773grp.com/manufacturer/onsemi?pageNo=197", "ON Semiconductor")</f>
        <v>ON Semiconductor</v>
      </c>
      <c r="C28003" s="6">
        <v>3280</v>
      </c>
      <c r="D28003" s="7">
        <v>0.48</v>
      </c>
      <c r="E28003" t="s">
        <v>35</v>
      </c>
    </row>
    <row r="28004" spans="1:5" x14ac:dyDescent="0.25">
      <c r="A28004" t="str">
        <f>HYPERLINK("https://www.773grp.com/globalSearch/MC74HC174AN/page-1", "MC74HC174AN")</f>
        <v>MC74HC174AN</v>
      </c>
      <c r="B28004" s="3" t="str">
        <f>HYPERLINK("https://www.773grp.com/manufacturer/onsemi?pageNo=198", "ON Semiconductor")</f>
        <v>ON Semiconductor</v>
      </c>
      <c r="C28004" s="6">
        <v>815</v>
      </c>
      <c r="D28004" s="7">
        <v>0.48</v>
      </c>
      <c r="E28004" t="s">
        <v>35</v>
      </c>
    </row>
    <row r="28005" spans="1:5" x14ac:dyDescent="0.25">
      <c r="A28005" t="str">
        <f>HYPERLINK("https://www.773grp.com/globalSearch/MC74HC175AD/page-1", "MC74HC175AD")</f>
        <v>MC74HC175AD</v>
      </c>
      <c r="B28005" s="3" t="str">
        <f>HYPERLINK("https://www.773grp.com/manufacturer/onsemi?pageNo=199", "ON Semiconductor")</f>
        <v>ON Semiconductor</v>
      </c>
      <c r="C28005" s="6">
        <v>2448</v>
      </c>
      <c r="D28005" s="7">
        <v>0.48</v>
      </c>
      <c r="E28005" t="s">
        <v>35</v>
      </c>
    </row>
    <row r="28006" spans="1:5" x14ac:dyDescent="0.25">
      <c r="A28006" t="str">
        <f>HYPERLINK("https://www.773grp.com/globalSearch/MC74HC175ADR2/page-1", "MC74HC175ADR2")</f>
        <v>MC74HC175ADR2</v>
      </c>
      <c r="B28006" s="3" t="str">
        <f>HYPERLINK("https://www.773grp.com/manufacturer/onsemi?pageNo=200", "ON Semiconductor")</f>
        <v>ON Semiconductor</v>
      </c>
      <c r="C28006" s="6">
        <v>5000</v>
      </c>
      <c r="D28006" s="7">
        <v>0.48</v>
      </c>
      <c r="E28006" t="s">
        <v>35</v>
      </c>
    </row>
    <row r="28007" spans="1:5" x14ac:dyDescent="0.25">
      <c r="A28007" t="str">
        <f>HYPERLINK("https://www.773grp.com/globalSearch/MC74HC175ADTR2/page-1", "MC74HC175ADTR2")</f>
        <v>MC74HC175ADTR2</v>
      </c>
      <c r="B28007" s="3" t="str">
        <f>HYPERLINK("https://www.773grp.com/manufacturer/onsemi?pageNo=201", "ON Semiconductor")</f>
        <v>ON Semiconductor</v>
      </c>
      <c r="C28007" s="6">
        <v>2500</v>
      </c>
      <c r="D28007" s="7">
        <v>0.48</v>
      </c>
      <c r="E28007" t="s">
        <v>35</v>
      </c>
    </row>
    <row r="28008" spans="1:5" x14ac:dyDescent="0.25">
      <c r="A28008" t="str">
        <f>HYPERLINK("https://www.773grp.com/globalSearch/MC74HC175AF/page-1", "MC74HC175AF")</f>
        <v>MC74HC175AF</v>
      </c>
      <c r="B28008" s="3" t="str">
        <f>HYPERLINK("https://www.773grp.com/manufacturer/onsemi?pageNo=202", "ON Semiconductor")</f>
        <v>ON Semiconductor</v>
      </c>
      <c r="C28008" s="6">
        <v>471</v>
      </c>
      <c r="D28008" s="7">
        <v>0.48</v>
      </c>
    </row>
    <row r="28009" spans="1:5" x14ac:dyDescent="0.25">
      <c r="A28009" t="str">
        <f>HYPERLINK("https://www.773grp.com/globalSearch/MC74HC175AN/page-1", "MC74HC175AN")</f>
        <v>MC74HC175AN</v>
      </c>
      <c r="B28009" s="3" t="str">
        <f>HYPERLINK("https://www.773grp.com/manufacturer/onsemi?pageNo=203", "ON Semiconductor")</f>
        <v>ON Semiconductor</v>
      </c>
      <c r="C28009" s="6">
        <v>4986</v>
      </c>
      <c r="D28009" s="7">
        <v>0.48</v>
      </c>
      <c r="E28009" t="s">
        <v>35</v>
      </c>
    </row>
    <row r="28010" spans="1:5" x14ac:dyDescent="0.25">
      <c r="A28010" t="str">
        <f>HYPERLINK("https://www.773grp.com/globalSearch/MC74HC1G00DFT1GH/page-1", "MC74HC1G00DFT1GH")</f>
        <v>MC74HC1G00DFT1GH</v>
      </c>
      <c r="B28010" s="3" t="str">
        <f>HYPERLINK("https://www.773grp.com/manufacturer/onsemi?pageNo=204", "ON Semiconductor")</f>
        <v>ON Semiconductor</v>
      </c>
      <c r="C28010" s="6">
        <v>12000</v>
      </c>
      <c r="D28010" s="7">
        <v>0.48</v>
      </c>
    </row>
    <row r="28011" spans="1:5" x14ac:dyDescent="0.25">
      <c r="A28011" t="str">
        <f>HYPERLINK("https://www.773grp.com/globalSearch/MC74HC1G00DFT2GH/page-1", "MC74HC1G00DFT2GH")</f>
        <v>MC74HC1G00DFT2GH</v>
      </c>
      <c r="B28011" s="3" t="str">
        <f>HYPERLINK("https://www.773grp.com/manufacturer/onsemi?pageNo=205", "ON Semiconductor")</f>
        <v>ON Semiconductor</v>
      </c>
      <c r="C28011" s="6">
        <v>1041000</v>
      </c>
      <c r="D28011" s="7">
        <v>0.48</v>
      </c>
    </row>
    <row r="28012" spans="1:5" x14ac:dyDescent="0.25">
      <c r="A28012" t="str">
        <f>HYPERLINK("https://www.773grp.com/globalSearch/MC74HC1G00DTT1G/page-1", "MC74HC1G00DTT1G")</f>
        <v>MC74HC1G00DTT1G</v>
      </c>
      <c r="B28012" s="3" t="str">
        <f>HYPERLINK("https://www.773grp.com/manufacturer/onsemi?pageNo=206", "ON Semiconductor")</f>
        <v>ON Semiconductor</v>
      </c>
      <c r="C28012" s="6">
        <v>63858</v>
      </c>
      <c r="D28012" s="7">
        <v>0.48</v>
      </c>
      <c r="E28012" t="s">
        <v>31</v>
      </c>
    </row>
    <row r="28013" spans="1:5" x14ac:dyDescent="0.25">
      <c r="A28013" t="str">
        <f>HYPERLINK("https://www.773grp.com/globalSearch/MC74HC1G02DFT1G/page-1", "MC74HC1G02DFT1G")</f>
        <v>MC74HC1G02DFT1G</v>
      </c>
      <c r="B28013" s="3" t="str">
        <f>HYPERLINK("https://www.773grp.com/manufacturer/onsemi?pageNo=207", "ON Semiconductor")</f>
        <v>ON Semiconductor</v>
      </c>
      <c r="C28013" s="6">
        <v>6000</v>
      </c>
      <c r="D28013" s="7">
        <v>0.48</v>
      </c>
      <c r="E28013" t="s">
        <v>31</v>
      </c>
    </row>
    <row r="28014" spans="1:5" x14ac:dyDescent="0.25">
      <c r="A28014" t="str">
        <f>HYPERLINK("https://www.773grp.com/globalSearch/MC74HC1G02DTT1G/page-1", "MC74HC1G02DTT1G")</f>
        <v>MC74HC1G02DTT1G</v>
      </c>
      <c r="B28014" s="3" t="str">
        <f>HYPERLINK("https://www.773grp.com/manufacturer/onsemi?pageNo=208", "ON Semiconductor")</f>
        <v>ON Semiconductor</v>
      </c>
      <c r="C28014" s="6">
        <v>88086</v>
      </c>
      <c r="D28014" s="7">
        <v>0.48</v>
      </c>
      <c r="E28014" t="s">
        <v>31</v>
      </c>
    </row>
    <row r="28015" spans="1:5" x14ac:dyDescent="0.25">
      <c r="A28015" t="str">
        <f>HYPERLINK("https://www.773grp.com/globalSearch/MC74HC1G04DTT1G/page-1", "MC74HC1G04DTT1G")</f>
        <v>MC74HC1G04DTT1G</v>
      </c>
      <c r="B28015" s="3" t="str">
        <f>HYPERLINK("https://www.773grp.com/manufacturer/onsemi?pageNo=209", "ON Semiconductor")</f>
        <v>ON Semiconductor</v>
      </c>
      <c r="C28015" s="6">
        <v>354000</v>
      </c>
      <c r="D28015" s="7">
        <v>0.48</v>
      </c>
      <c r="E28015" t="s">
        <v>31</v>
      </c>
    </row>
    <row r="28016" spans="1:5" x14ac:dyDescent="0.25">
      <c r="A28016" t="str">
        <f>HYPERLINK("https://www.773grp.com/globalSearch/MC74HC1G08DFT2GH/page-1", "MC74HC1G08DFT2GH")</f>
        <v>MC74HC1G08DFT2GH</v>
      </c>
      <c r="B28016" s="3" t="str">
        <f>HYPERLINK("https://www.773grp.com/manufacturer/onsemi?pageNo=210", "ON Semiconductor")</f>
        <v>ON Semiconductor</v>
      </c>
      <c r="C28016" s="6">
        <v>18000</v>
      </c>
      <c r="D28016" s="7">
        <v>0.48</v>
      </c>
    </row>
    <row r="28017" spans="1:5" x14ac:dyDescent="0.25">
      <c r="A28017" t="str">
        <f>HYPERLINK("https://www.773grp.com/globalSearch/MC74HC1G08DTT1G/page-1", "MC74HC1G08DTT1G")</f>
        <v>MC74HC1G08DTT1G</v>
      </c>
      <c r="B28017" s="3" t="str">
        <f>HYPERLINK("https://www.773grp.com/manufacturer/onsemi?pageNo=211", "ON Semiconductor")</f>
        <v>ON Semiconductor</v>
      </c>
      <c r="C28017" s="6">
        <v>123000</v>
      </c>
      <c r="D28017" s="7">
        <v>0.48</v>
      </c>
      <c r="E28017" t="s">
        <v>31</v>
      </c>
    </row>
    <row r="28018" spans="1:5" x14ac:dyDescent="0.25">
      <c r="A28018" t="str">
        <f>HYPERLINK("https://www.773grp.com/globalSearch/MC74HC1G14DTT1G/page-1", "MC74HC1G14DTT1G")</f>
        <v>MC74HC1G14DTT1G</v>
      </c>
      <c r="B28018" s="3" t="str">
        <f>HYPERLINK("https://www.773grp.com/manufacturer/onsemi?pageNo=212", "ON Semiconductor")</f>
        <v>ON Semiconductor</v>
      </c>
      <c r="C28018" s="6">
        <v>132000</v>
      </c>
      <c r="D28018" s="7">
        <v>0.48</v>
      </c>
      <c r="E28018" t="s">
        <v>31</v>
      </c>
    </row>
    <row r="28019" spans="1:5" x14ac:dyDescent="0.25">
      <c r="A28019" t="str">
        <f>HYPERLINK("https://www.773grp.com/globalSearch/MC74HC1G32DFT1/page-1", "MC74HC1G32DFT1")</f>
        <v>MC74HC1G32DFT1</v>
      </c>
      <c r="B28019" s="3" t="str">
        <f>HYPERLINK("https://www.773grp.com/manufacturer/onsemi?pageNo=213", "ON Semiconductor")</f>
        <v>ON Semiconductor</v>
      </c>
      <c r="C28019" s="6">
        <v>57000</v>
      </c>
      <c r="D28019" s="7">
        <v>0.48</v>
      </c>
      <c r="E28019" t="s">
        <v>31</v>
      </c>
    </row>
    <row r="28020" spans="1:5" x14ac:dyDescent="0.25">
      <c r="A28020" t="str">
        <f>HYPERLINK("https://www.773grp.com/globalSearch/MC74HC1G32DTT1G/page-1", "MC74HC1G32DTT1G")</f>
        <v>MC74HC1G32DTT1G</v>
      </c>
      <c r="B28020" s="3" t="str">
        <f>HYPERLINK("https://www.773grp.com/manufacturer/onsemi?pageNo=214", "ON Semiconductor")</f>
        <v>ON Semiconductor</v>
      </c>
      <c r="C28020" s="6">
        <v>83500</v>
      </c>
      <c r="D28020" s="7">
        <v>0.48</v>
      </c>
      <c r="E28020" t="s">
        <v>31</v>
      </c>
    </row>
    <row r="28021" spans="1:5" x14ac:dyDescent="0.25">
      <c r="A28021" t="str">
        <f>HYPERLINK("https://www.773grp.com/globalSearch/MC74HC1GU04DTT1G/page-1", "MC74HC1GU04DTT1G")</f>
        <v>MC74HC1GU04DTT1G</v>
      </c>
      <c r="B28021" s="3" t="str">
        <f>HYPERLINK("https://www.773grp.com/manufacturer/onsemi?pageNo=215", "ON Semiconductor")</f>
        <v>ON Semiconductor</v>
      </c>
      <c r="C28021" s="6">
        <v>145448</v>
      </c>
      <c r="D28021" s="7">
        <v>0.48</v>
      </c>
      <c r="E28021" t="s">
        <v>31</v>
      </c>
    </row>
    <row r="28022" spans="1:5" x14ac:dyDescent="0.25">
      <c r="A28022" t="str">
        <f>HYPERLINK("https://www.773grp.com/globalSearch/MC74HC238ADG/page-1", "MC74HC238ADG")</f>
        <v>MC74HC238ADG</v>
      </c>
      <c r="B28022" s="3" t="str">
        <f>HYPERLINK("https://www.773grp.com/manufacturer/onsemi?pageNo=216", "ON Semiconductor")</f>
        <v>ON Semiconductor</v>
      </c>
      <c r="C28022" s="6">
        <v>30048</v>
      </c>
      <c r="D28022" s="7">
        <v>0.48</v>
      </c>
    </row>
    <row r="28023" spans="1:5" x14ac:dyDescent="0.25">
      <c r="A28023" t="str">
        <f>HYPERLINK("https://www.773grp.com/globalSearch/MC74HC238ADR2G/page-1", "MC74HC238ADR2G")</f>
        <v>MC74HC238ADR2G</v>
      </c>
      <c r="B28023" s="3" t="str">
        <f>HYPERLINK("https://www.773grp.com/manufacturer/onsemi?pageNo=217", "ON Semiconductor")</f>
        <v>ON Semiconductor</v>
      </c>
      <c r="C28023" s="6">
        <v>36641</v>
      </c>
      <c r="D28023" s="7">
        <v>0.48</v>
      </c>
      <c r="E28023" t="s">
        <v>36</v>
      </c>
    </row>
    <row r="28024" spans="1:5" x14ac:dyDescent="0.25">
      <c r="A28024" t="str">
        <f>HYPERLINK("https://www.773grp.com/globalSearch/MC74HC238ADTG/page-1", "MC74HC238ADTG")</f>
        <v>MC74HC238ADTG</v>
      </c>
      <c r="B28024" s="3" t="str">
        <f>HYPERLINK("https://www.773grp.com/manufacturer/onsemi?pageNo=218", "ON Semiconductor")</f>
        <v>ON Semiconductor</v>
      </c>
      <c r="C28024" s="6">
        <v>29280</v>
      </c>
      <c r="D28024" s="7">
        <v>0.48</v>
      </c>
    </row>
    <row r="28025" spans="1:5" x14ac:dyDescent="0.25">
      <c r="A28025" t="str">
        <f>HYPERLINK("https://www.773grp.com/globalSearch/MC74HC238ADTR2G/page-1", "MC74HC238ADTR2G")</f>
        <v>MC74HC238ADTR2G</v>
      </c>
      <c r="B28025" s="3" t="str">
        <f>HYPERLINK("https://www.773grp.com/manufacturer/onsemi?pageNo=219", "ON Semiconductor")</f>
        <v>ON Semiconductor</v>
      </c>
      <c r="C28025" s="6">
        <v>17000</v>
      </c>
      <c r="D28025" s="7">
        <v>0.48</v>
      </c>
      <c r="E28025" t="s">
        <v>36</v>
      </c>
    </row>
    <row r="28026" spans="1:5" x14ac:dyDescent="0.25">
      <c r="A28026" t="str">
        <f>HYPERLINK("https://www.773grp.com/globalSearch/MC74HC365ADG/page-1", "MC74HC365ADG")</f>
        <v>MC74HC365ADG</v>
      </c>
      <c r="B28026" s="3" t="str">
        <f>HYPERLINK("https://www.773grp.com/manufacturer/onsemi?pageNo=220", "ON Semiconductor")</f>
        <v>ON Semiconductor</v>
      </c>
      <c r="C28026" s="6">
        <v>10203</v>
      </c>
      <c r="D28026" s="7">
        <v>0.48</v>
      </c>
    </row>
    <row r="28027" spans="1:5" x14ac:dyDescent="0.25">
      <c r="A28027" t="str">
        <f>HYPERLINK("https://www.773grp.com/globalSearch/MC74HC365ADR2G/page-1", "MC74HC365ADR2G")</f>
        <v>MC74HC365ADR2G</v>
      </c>
      <c r="B28027" s="3" t="str">
        <f>HYPERLINK("https://www.773grp.com/manufacturer/onsemi?pageNo=221", "ON Semiconductor")</f>
        <v>ON Semiconductor</v>
      </c>
      <c r="C28027" s="6">
        <v>5000</v>
      </c>
      <c r="D28027" s="7">
        <v>0.48</v>
      </c>
      <c r="E28027" t="s">
        <v>14</v>
      </c>
    </row>
    <row r="28028" spans="1:5" x14ac:dyDescent="0.25">
      <c r="A28028" t="str">
        <f>HYPERLINK("https://www.773grp.com/globalSearch/MC74HC365ADTG/page-1", "MC74HC365ADTG")</f>
        <v>MC74HC365ADTG</v>
      </c>
      <c r="B28028" s="3" t="str">
        <f>HYPERLINK("https://www.773grp.com/manufacturer/onsemi?pageNo=222", "ON Semiconductor")</f>
        <v>ON Semiconductor</v>
      </c>
      <c r="C28028" s="6">
        <v>29184</v>
      </c>
      <c r="D28028" s="7">
        <v>0.48</v>
      </c>
    </row>
    <row r="28029" spans="1:5" x14ac:dyDescent="0.25">
      <c r="A28029" t="str">
        <f>HYPERLINK("https://www.773grp.com/globalSearch/MC74HC365ADTR2G/page-1", "MC74HC365ADTR2G")</f>
        <v>MC74HC365ADTR2G</v>
      </c>
      <c r="B28029" s="3" t="str">
        <f>HYPERLINK("https://www.773grp.com/manufacturer/onsemi?pageNo=223", "ON Semiconductor")</f>
        <v>ON Semiconductor</v>
      </c>
      <c r="C28029" s="6">
        <v>10550</v>
      </c>
      <c r="D28029" s="7">
        <v>0.48</v>
      </c>
      <c r="E28029" t="s">
        <v>14</v>
      </c>
    </row>
    <row r="28030" spans="1:5" x14ac:dyDescent="0.25">
      <c r="A28030" t="str">
        <f>HYPERLINK("https://www.773grp.com/globalSearch/MC74HC368ADG/page-1", "MC74HC368ADG")</f>
        <v>MC74HC368ADG</v>
      </c>
      <c r="B28030" s="3" t="str">
        <f>HYPERLINK("https://www.773grp.com/manufacturer/onsemi?pageNo=224", "ON Semiconductor")</f>
        <v>ON Semiconductor</v>
      </c>
      <c r="C28030" s="6">
        <v>96</v>
      </c>
      <c r="D28030" s="7">
        <v>0.48</v>
      </c>
    </row>
    <row r="28031" spans="1:5" x14ac:dyDescent="0.25">
      <c r="A28031" t="str">
        <f>HYPERLINK("https://www.773grp.com/globalSearch/MC74HC368ADR2G/page-1", "MC74HC368ADR2G")</f>
        <v>MC74HC368ADR2G</v>
      </c>
      <c r="B28031" s="3" t="str">
        <f>HYPERLINK("https://www.773grp.com/manufacturer/onsemi?pageNo=225", "ON Semiconductor")</f>
        <v>ON Semiconductor</v>
      </c>
      <c r="C28031" s="6">
        <v>24700</v>
      </c>
      <c r="D28031" s="7">
        <v>0.48</v>
      </c>
      <c r="E28031" t="s">
        <v>14</v>
      </c>
    </row>
    <row r="28032" spans="1:5" x14ac:dyDescent="0.25">
      <c r="A28032" t="str">
        <f>HYPERLINK("https://www.773grp.com/globalSearch/MC74HC368ADTG/page-1", "MC74HC368ADTG")</f>
        <v>MC74HC368ADTG</v>
      </c>
      <c r="B28032" s="3" t="str">
        <f>HYPERLINK("https://www.773grp.com/manufacturer/onsemi?pageNo=226", "ON Semiconductor")</f>
        <v>ON Semiconductor</v>
      </c>
      <c r="C28032" s="6">
        <v>5184</v>
      </c>
      <c r="D28032" s="7">
        <v>0.48</v>
      </c>
    </row>
    <row r="28033" spans="1:5" x14ac:dyDescent="0.25">
      <c r="A28033" t="str">
        <f>HYPERLINK("https://www.773grp.com/globalSearch/MC74HC368ADTR2G/page-1", "MC74HC368ADTR2G")</f>
        <v>MC74HC368ADTR2G</v>
      </c>
      <c r="B28033" s="3" t="str">
        <f>HYPERLINK("https://www.773grp.com/manufacturer/onsemi?pageNo=227", "ON Semiconductor")</f>
        <v>ON Semiconductor</v>
      </c>
      <c r="C28033" s="6">
        <v>67500</v>
      </c>
      <c r="D28033" s="7">
        <v>0.48</v>
      </c>
      <c r="E28033" t="s">
        <v>14</v>
      </c>
    </row>
    <row r="28034" spans="1:5" x14ac:dyDescent="0.25">
      <c r="A28034" t="str">
        <f>HYPERLINK("https://www.773grp.com/globalSearch/MC74HC390ADTR2/page-1", "MC74HC390ADTR2")</f>
        <v>MC74HC390ADTR2</v>
      </c>
      <c r="B28034" s="3" t="str">
        <f>HYPERLINK("https://www.773grp.com/manufacturer/onsemi?pageNo=228", "ON Semiconductor")</f>
        <v>ON Semiconductor</v>
      </c>
      <c r="C28034" s="6">
        <v>136441</v>
      </c>
      <c r="D28034" s="7">
        <v>0.48</v>
      </c>
      <c r="E28034" t="s">
        <v>26</v>
      </c>
    </row>
    <row r="28035" spans="1:5" x14ac:dyDescent="0.25">
      <c r="A28035" t="str">
        <f>HYPERLINK("https://www.773grp.com/globalSearch/MC74HC390AN/page-1", "MC74HC390AN")</f>
        <v>MC74HC390AN</v>
      </c>
      <c r="B28035" s="3" t="str">
        <f>HYPERLINK("https://www.773grp.com/manufacturer/onsemi?pageNo=229", "ON Semiconductor")</f>
        <v>ON Semiconductor</v>
      </c>
      <c r="C28035" s="6">
        <v>145</v>
      </c>
      <c r="D28035" s="7">
        <v>0.48</v>
      </c>
      <c r="E28035" t="s">
        <v>26</v>
      </c>
    </row>
    <row r="28036" spans="1:5" x14ac:dyDescent="0.25">
      <c r="A28036" t="str">
        <f>HYPERLINK("https://www.773grp.com/globalSearch/MC74HC4020AN/page-1", "MC74HC4020AN")</f>
        <v>MC74HC4020AN</v>
      </c>
      <c r="B28036" s="3" t="str">
        <f>HYPERLINK("https://www.773grp.com/manufacturer/onsemi?pageNo=230", "ON Semiconductor")</f>
        <v>ON Semiconductor</v>
      </c>
      <c r="C28036" s="6">
        <v>27091</v>
      </c>
      <c r="D28036" s="7">
        <v>0.48</v>
      </c>
      <c r="E28036" t="s">
        <v>26</v>
      </c>
    </row>
    <row r="28037" spans="1:5" x14ac:dyDescent="0.25">
      <c r="A28037" t="str">
        <f>HYPERLINK("https://www.773grp.com/globalSearch/MC74HC4066AN/page-1", "MC74HC4066AN")</f>
        <v>MC74HC4066AN</v>
      </c>
      <c r="B28037" s="3" t="str">
        <f>HYPERLINK("https://www.773grp.com/manufacturer/onsemi?pageNo=231", "ON Semiconductor")</f>
        <v>ON Semiconductor</v>
      </c>
      <c r="C28037" s="6">
        <v>783</v>
      </c>
      <c r="D28037" s="7">
        <v>0.48</v>
      </c>
      <c r="E28037" t="s">
        <v>56</v>
      </c>
    </row>
    <row r="28038" spans="1:5" x14ac:dyDescent="0.25">
      <c r="A28038" t="str">
        <f>HYPERLINK("https://www.773grp.com/globalSearch/MC74HC4075N/page-1", "MC74HC4075N")</f>
        <v>MC74HC4075N</v>
      </c>
      <c r="B28038" s="3" t="str">
        <f>HYPERLINK("https://www.773grp.com/manufacturer/onsemi?pageNo=232", "ON Semiconductor")</f>
        <v>ON Semiconductor</v>
      </c>
      <c r="C28038" s="6">
        <v>2429</v>
      </c>
      <c r="D28038" s="7">
        <v>0.48</v>
      </c>
      <c r="E28038" t="s">
        <v>31</v>
      </c>
    </row>
    <row r="28039" spans="1:5" x14ac:dyDescent="0.25">
      <c r="A28039" t="str">
        <f>HYPERLINK("https://www.773grp.com/globalSearch/MC74HC4316AN/page-1", "MC74HC4316AN")</f>
        <v>MC74HC4316AN</v>
      </c>
      <c r="B28039" s="3" t="str">
        <f>HYPERLINK("https://www.773grp.com/manufacturer/onsemi?pageNo=233", "ON Semiconductor")</f>
        <v>ON Semiconductor</v>
      </c>
      <c r="C28039" s="6">
        <v>18</v>
      </c>
      <c r="D28039" s="7">
        <v>0.48</v>
      </c>
      <c r="E28039" t="s">
        <v>56</v>
      </c>
    </row>
    <row r="28040" spans="1:5" x14ac:dyDescent="0.25">
      <c r="A28040" t="str">
        <f>HYPERLINK("https://www.773grp.com/globalSearch/MC74HC73F/page-1", "MC74HC73F")</f>
        <v>MC74HC73F</v>
      </c>
      <c r="B28040" s="3" t="str">
        <f>HYPERLINK("https://www.773grp.com/manufacturer/onsemi?pageNo=234", "ON Semiconductor")</f>
        <v>ON Semiconductor</v>
      </c>
      <c r="C28040" s="6">
        <v>880</v>
      </c>
      <c r="D28040" s="7">
        <v>0.48</v>
      </c>
    </row>
    <row r="28041" spans="1:5" x14ac:dyDescent="0.25">
      <c r="A28041" t="str">
        <f>HYPERLINK("https://www.773grp.com/globalSearch/MC74HC74AF/page-1", "MC74HC74AF")</f>
        <v>MC74HC74AF</v>
      </c>
      <c r="B28041" s="3" t="str">
        <f>HYPERLINK("https://www.773grp.com/manufacturer/onsemi?pageNo=235", "ON Semiconductor")</f>
        <v>ON Semiconductor</v>
      </c>
      <c r="C28041" s="6">
        <v>1335</v>
      </c>
      <c r="D28041" s="7">
        <v>0.48</v>
      </c>
      <c r="E28041" t="s">
        <v>35</v>
      </c>
    </row>
    <row r="28042" spans="1:5" x14ac:dyDescent="0.25">
      <c r="A28042" t="str">
        <f>HYPERLINK("https://www.773grp.com/globalSearch/MC74HC74AFL1/page-1", "MC74HC74AFL1")</f>
        <v>MC74HC74AFL1</v>
      </c>
      <c r="B28042" s="3" t="str">
        <f>HYPERLINK("https://www.773grp.com/manufacturer/onsemi?pageNo=236", "ON Semiconductor")</f>
        <v>ON Semiconductor</v>
      </c>
      <c r="C28042" s="6">
        <v>47000</v>
      </c>
      <c r="D28042" s="7">
        <v>0.48</v>
      </c>
    </row>
    <row r="28043" spans="1:5" x14ac:dyDescent="0.25">
      <c r="A28043" t="str">
        <f>HYPERLINK("https://www.773grp.com/globalSearch/MC74HC74AFR1/page-1", "MC74HC74AFR1")</f>
        <v>MC74HC74AFR1</v>
      </c>
      <c r="B28043" s="3" t="str">
        <f>HYPERLINK("https://www.773grp.com/manufacturer/onsemi?pageNo=237", "ON Semiconductor")</f>
        <v>ON Semiconductor</v>
      </c>
      <c r="C28043" s="6">
        <v>13000</v>
      </c>
      <c r="D28043" s="7">
        <v>0.48</v>
      </c>
    </row>
    <row r="28044" spans="1:5" x14ac:dyDescent="0.25">
      <c r="A28044" t="str">
        <f>HYPERLINK("https://www.773grp.com/globalSearch/MC74HC74AFR2/page-1", "MC74HC74AFR2")</f>
        <v>MC74HC74AFR2</v>
      </c>
      <c r="B28044" s="3" t="str">
        <f>HYPERLINK("https://www.773grp.com/manufacturer/onsemi?pageNo=238", "ON Semiconductor")</f>
        <v>ON Semiconductor</v>
      </c>
      <c r="C28044" s="6">
        <v>6000</v>
      </c>
      <c r="D28044" s="7">
        <v>0.48</v>
      </c>
    </row>
    <row r="28045" spans="1:5" x14ac:dyDescent="0.25">
      <c r="A28045" t="str">
        <f>HYPERLINK("https://www.773grp.com/globalSearch/MC74HCT08HDTR2/page-1", "MC74HCT08HDTR2")</f>
        <v>MC74HCT08HDTR2</v>
      </c>
      <c r="B28045" s="3" t="str">
        <f>HYPERLINK("https://www.773grp.com/manufacturer/onsemi?pageNo=239", "ON Semiconductor")</f>
        <v>ON Semiconductor</v>
      </c>
      <c r="C28045" s="6">
        <v>25000</v>
      </c>
      <c r="D28045" s="7">
        <v>0.48</v>
      </c>
    </row>
    <row r="28046" spans="1:5" x14ac:dyDescent="0.25">
      <c r="A28046" t="str">
        <f>HYPERLINK("https://www.773grp.com/globalSearch/MC74HCT125ADG/page-1", "MC74HCT125ADG")</f>
        <v>MC74HCT125ADG</v>
      </c>
      <c r="B28046" s="3" t="str">
        <f>HYPERLINK("https://www.773grp.com/manufacturer/onsemi?pageNo=240", "ON Semiconductor")</f>
        <v>ON Semiconductor</v>
      </c>
      <c r="C28046" s="6">
        <v>34950</v>
      </c>
      <c r="D28046" s="7">
        <v>0.48</v>
      </c>
    </row>
    <row r="28047" spans="1:5" x14ac:dyDescent="0.25">
      <c r="A28047" t="str">
        <f>HYPERLINK("https://www.773grp.com/globalSearch/MC74HCT125ADR2G/page-1", "MC74HCT125ADR2G")</f>
        <v>MC74HCT125ADR2G</v>
      </c>
      <c r="B28047" s="3" t="str">
        <f>HYPERLINK("https://www.773grp.com/manufacturer/onsemi?pageNo=241", "ON Semiconductor")</f>
        <v>ON Semiconductor</v>
      </c>
      <c r="C28047" s="6">
        <v>19947</v>
      </c>
      <c r="D28047" s="7">
        <v>0.48</v>
      </c>
      <c r="E28047" t="s">
        <v>36</v>
      </c>
    </row>
    <row r="28048" spans="1:5" x14ac:dyDescent="0.25">
      <c r="A28048" t="str">
        <f>HYPERLINK("https://www.773grp.com/globalSearch/MC74HCT125ADTG/page-1", "MC74HCT125ADTG")</f>
        <v>MC74HCT125ADTG</v>
      </c>
      <c r="B28048" s="3" t="str">
        <f>HYPERLINK("https://www.773grp.com/manufacturer/onsemi?pageNo=242", "ON Semiconductor")</f>
        <v>ON Semiconductor</v>
      </c>
      <c r="C28048" s="6">
        <v>73032</v>
      </c>
      <c r="D28048" s="7">
        <v>0.48</v>
      </c>
      <c r="E28048" t="s">
        <v>36</v>
      </c>
    </row>
    <row r="28049" spans="1:5" x14ac:dyDescent="0.25">
      <c r="A28049" t="str">
        <f>HYPERLINK("https://www.773grp.com/globalSearch/MC74HCT125ADTR2G/page-1", "MC74HCT125ADTR2G")</f>
        <v>MC74HCT125ADTR2G</v>
      </c>
      <c r="B28049" s="3" t="str">
        <f>HYPERLINK("https://www.773grp.com/manufacturer/onsemi?pageNo=243", "ON Semiconductor")</f>
        <v>ON Semiconductor</v>
      </c>
      <c r="C28049" s="6">
        <v>4848</v>
      </c>
      <c r="D28049" s="7">
        <v>0.48</v>
      </c>
      <c r="E28049" t="s">
        <v>36</v>
      </c>
    </row>
    <row r="28050" spans="1:5" x14ac:dyDescent="0.25">
      <c r="A28050" t="str">
        <f>HYPERLINK("https://www.773grp.com/globalSearch/MC74HCT138AD/page-1", "MC74HCT138AD")</f>
        <v>MC74HCT138AD</v>
      </c>
      <c r="B28050" s="3" t="str">
        <f>HYPERLINK("https://www.773grp.com/manufacturer/onsemi?pageNo=244", "ON Semiconductor")</f>
        <v>ON Semiconductor</v>
      </c>
      <c r="C28050" s="6">
        <v>2830</v>
      </c>
      <c r="D28050" s="7">
        <v>0.48</v>
      </c>
      <c r="E28050" t="s">
        <v>36</v>
      </c>
    </row>
    <row r="28051" spans="1:5" x14ac:dyDescent="0.25">
      <c r="A28051" t="str">
        <f>HYPERLINK("https://www.773grp.com/globalSearch/MC74HCT138ADT/page-1", "MC74HCT138ADT")</f>
        <v>MC74HCT138ADT</v>
      </c>
      <c r="B28051" s="3" t="str">
        <f>HYPERLINK("https://www.773grp.com/manufacturer/onsemi?pageNo=245", "ON Semiconductor")</f>
        <v>ON Semiconductor</v>
      </c>
      <c r="C28051" s="6">
        <v>392</v>
      </c>
      <c r="D28051" s="7">
        <v>0.48</v>
      </c>
      <c r="E28051" t="s">
        <v>36</v>
      </c>
    </row>
    <row r="28052" spans="1:5" x14ac:dyDescent="0.25">
      <c r="A28052" t="str">
        <f>HYPERLINK("https://www.773grp.com/globalSearch/MC74HCT138ADTR2G/page-1", "MC74HCT138ADTR2G")</f>
        <v>MC74HCT138ADTR2G</v>
      </c>
      <c r="B28052" s="3" t="str">
        <f>HYPERLINK("https://www.773grp.com/manufacturer/onsemi?pageNo=246", "ON Semiconductor")</f>
        <v>ON Semiconductor</v>
      </c>
      <c r="C28052" s="6">
        <v>46330</v>
      </c>
      <c r="D28052" s="7">
        <v>0.48</v>
      </c>
    </row>
    <row r="28053" spans="1:5" x14ac:dyDescent="0.25">
      <c r="A28053" t="str">
        <f>HYPERLINK("https://www.773grp.com/globalSearch/MC74HCT14AN/page-1", "MC74HCT14AN")</f>
        <v>MC74HCT14AN</v>
      </c>
      <c r="B28053" s="3" t="str">
        <f>HYPERLINK("https://www.773grp.com/manufacturer/onsemi?pageNo=247", "ON Semiconductor")</f>
        <v>ON Semiconductor</v>
      </c>
      <c r="C28053" s="6">
        <v>251</v>
      </c>
      <c r="D28053" s="7">
        <v>0.48</v>
      </c>
      <c r="E28053" t="s">
        <v>31</v>
      </c>
    </row>
    <row r="28054" spans="1:5" x14ac:dyDescent="0.25">
      <c r="A28054" t="str">
        <f>HYPERLINK("https://www.773grp.com/globalSearch/MC74HCT74AN/page-1", "MC74HCT74AN")</f>
        <v>MC74HCT74AN</v>
      </c>
      <c r="B28054" s="3" t="str">
        <f>HYPERLINK("https://www.773grp.com/manufacturer/onsemi?pageNo=248", "ON Semiconductor")</f>
        <v>ON Semiconductor</v>
      </c>
      <c r="C28054" s="6">
        <v>10370</v>
      </c>
      <c r="D28054" s="7">
        <v>0.48</v>
      </c>
      <c r="E28054" t="s">
        <v>35</v>
      </c>
    </row>
    <row r="28055" spans="1:5" x14ac:dyDescent="0.25">
      <c r="A28055" t="str">
        <f>HYPERLINK("https://www.773grp.com/globalSearch/MC74LCX00MEL/page-1", "MC74LCX00MEL")</f>
        <v>MC74LCX00MEL</v>
      </c>
      <c r="B28055" s="3" t="str">
        <f>HYPERLINK("https://www.773grp.com/manufacturer/onsemi?pageNo=249", "ON Semiconductor")</f>
        <v>ON Semiconductor</v>
      </c>
      <c r="C28055" s="6">
        <v>12398</v>
      </c>
      <c r="D28055" s="7">
        <v>0.48</v>
      </c>
      <c r="E28055" t="s">
        <v>31</v>
      </c>
    </row>
    <row r="28056" spans="1:5" x14ac:dyDescent="0.25">
      <c r="A28056" t="str">
        <f>HYPERLINK("https://www.773grp.com/globalSearch/MC74LCX07M/page-1", "MC74LCX07M")</f>
        <v>MC74LCX07M</v>
      </c>
      <c r="B28056" s="3" t="str">
        <f>HYPERLINK("https://www.773grp.com/manufacturer/onsemi?pageNo=250", "ON Semiconductor")</f>
        <v>ON Semiconductor</v>
      </c>
      <c r="C28056" s="6">
        <v>11600</v>
      </c>
      <c r="D28056" s="7">
        <v>0.48</v>
      </c>
      <c r="E28056" t="s">
        <v>31</v>
      </c>
    </row>
    <row r="28057" spans="1:5" x14ac:dyDescent="0.25">
      <c r="A28057" t="str">
        <f>HYPERLINK("https://www.773grp.com/globalSearch/MC74LCX125DT/page-1", "MC74LCX125DT")</f>
        <v>MC74LCX125DT</v>
      </c>
      <c r="B28057" s="3" t="str">
        <f>HYPERLINK("https://www.773grp.com/manufacturer/onsemi?pageNo=251", "ON Semiconductor")</f>
        <v>ON Semiconductor</v>
      </c>
      <c r="C28057" s="6">
        <v>1679</v>
      </c>
      <c r="D28057" s="7">
        <v>0.48</v>
      </c>
      <c r="E28057" t="s">
        <v>14</v>
      </c>
    </row>
    <row r="28058" spans="1:5" x14ac:dyDescent="0.25">
      <c r="A28058" t="str">
        <f>HYPERLINK("https://www.773grp.com/globalSearch/MC74LCX125DTR2/page-1", "MC74LCX125DTR2")</f>
        <v>MC74LCX125DTR2</v>
      </c>
      <c r="B28058" s="3" t="str">
        <f>HYPERLINK("https://www.773grp.com/manufacturer/onsemi?pageNo=252", "ON Semiconductor")</f>
        <v>ON Semiconductor</v>
      </c>
      <c r="C28058" s="6">
        <v>11564</v>
      </c>
      <c r="D28058" s="7">
        <v>0.48</v>
      </c>
      <c r="E28058" t="s">
        <v>14</v>
      </c>
    </row>
    <row r="28059" spans="1:5" x14ac:dyDescent="0.25">
      <c r="A28059" t="str">
        <f>HYPERLINK("https://www.773grp.com/globalSearch/MC74LCX138DT/page-1", "MC74LCX138DT")</f>
        <v>MC74LCX138DT</v>
      </c>
      <c r="B28059" s="3" t="str">
        <f>HYPERLINK("https://www.773grp.com/manufacturer/onsemi?pageNo=253", "ON Semiconductor")</f>
        <v>ON Semiconductor</v>
      </c>
      <c r="C28059" s="6">
        <v>864</v>
      </c>
      <c r="D28059" s="7">
        <v>0.48</v>
      </c>
      <c r="E28059" t="s">
        <v>36</v>
      </c>
    </row>
    <row r="28060" spans="1:5" x14ac:dyDescent="0.25">
      <c r="A28060" t="str">
        <f>HYPERLINK("https://www.773grp.com/globalSearch/MC74LCX139DR2/page-1", "MC74LCX139DR2")</f>
        <v>MC74LCX139DR2</v>
      </c>
      <c r="B28060" s="3" t="str">
        <f>HYPERLINK("https://www.773grp.com/manufacturer/onsemi?pageNo=254", "ON Semiconductor")</f>
        <v>ON Semiconductor</v>
      </c>
      <c r="C28060" s="6">
        <v>2500</v>
      </c>
      <c r="D28060" s="7">
        <v>0.48</v>
      </c>
      <c r="E28060" t="s">
        <v>36</v>
      </c>
    </row>
    <row r="28061" spans="1:5" x14ac:dyDescent="0.25">
      <c r="A28061" t="str">
        <f>HYPERLINK("https://www.773grp.com/globalSearch/MC74LCX139DT/page-1", "MC74LCX139DT")</f>
        <v>MC74LCX139DT</v>
      </c>
      <c r="B28061" s="3" t="str">
        <f>HYPERLINK("https://www.773grp.com/manufacturer/onsemi?pageNo=255", "ON Semiconductor")</f>
        <v>ON Semiconductor</v>
      </c>
      <c r="C28061" s="6">
        <v>31</v>
      </c>
      <c r="D28061" s="7">
        <v>0.48</v>
      </c>
      <c r="E28061" t="s">
        <v>36</v>
      </c>
    </row>
    <row r="28062" spans="1:5" x14ac:dyDescent="0.25">
      <c r="A28062" t="str">
        <f>HYPERLINK("https://www.773grp.com/globalSearch/MC74LCX14M/page-1", "MC74LCX14M")</f>
        <v>MC74LCX14M</v>
      </c>
      <c r="B28062" s="3" t="str">
        <f>HYPERLINK("https://www.773grp.com/manufacturer/onsemi?pageNo=256", "ON Semiconductor")</f>
        <v>ON Semiconductor</v>
      </c>
      <c r="C28062" s="6">
        <v>18000</v>
      </c>
      <c r="D28062" s="7">
        <v>0.48</v>
      </c>
      <c r="E28062" t="s">
        <v>31</v>
      </c>
    </row>
    <row r="28063" spans="1:5" x14ac:dyDescent="0.25">
      <c r="A28063" t="str">
        <f>HYPERLINK("https://www.773grp.com/globalSearch/MC74LCX157D/page-1", "MC74LCX157D")</f>
        <v>MC74LCX157D</v>
      </c>
      <c r="B28063" s="3" t="str">
        <f>HYPERLINK("https://www.773grp.com/manufacturer/onsemi?pageNo=257", "ON Semiconductor")</f>
        <v>ON Semiconductor</v>
      </c>
      <c r="C28063" s="6">
        <v>6384</v>
      </c>
      <c r="D28063" s="7">
        <v>0.48</v>
      </c>
      <c r="E28063" t="s">
        <v>20</v>
      </c>
    </row>
    <row r="28064" spans="1:5" x14ac:dyDescent="0.25">
      <c r="A28064" t="str">
        <f>HYPERLINK("https://www.773grp.com/globalSearch/MC74LCX157DT/page-1", "MC74LCX157DT")</f>
        <v>MC74LCX157DT</v>
      </c>
      <c r="B28064" s="3" t="str">
        <f>HYPERLINK("https://www.773grp.com/manufacturer/onsemi?pageNo=258", "ON Semiconductor")</f>
        <v>ON Semiconductor</v>
      </c>
      <c r="C28064" s="6">
        <v>17184</v>
      </c>
      <c r="D28064" s="7">
        <v>0.48</v>
      </c>
      <c r="E28064" t="s">
        <v>20</v>
      </c>
    </row>
    <row r="28065" spans="1:5" x14ac:dyDescent="0.25">
      <c r="A28065" t="str">
        <f>HYPERLINK("https://www.773grp.com/globalSearch/MC74LCX158D/page-1", "MC74LCX158D")</f>
        <v>MC74LCX158D</v>
      </c>
      <c r="B28065" s="3" t="str">
        <f>HYPERLINK("https://www.773grp.com/manufacturer/onsemi?pageNo=259", "ON Semiconductor")</f>
        <v>ON Semiconductor</v>
      </c>
      <c r="C28065" s="6">
        <v>2432</v>
      </c>
      <c r="D28065" s="7">
        <v>0.48</v>
      </c>
      <c r="E28065" t="s">
        <v>20</v>
      </c>
    </row>
    <row r="28066" spans="1:5" x14ac:dyDescent="0.25">
      <c r="A28066" t="str">
        <f>HYPERLINK("https://www.773grp.com/globalSearch/MC74LCX158DT/page-1", "MC74LCX158DT")</f>
        <v>MC74LCX158DT</v>
      </c>
      <c r="B28066" s="3" t="str">
        <f>HYPERLINK("https://www.773grp.com/manufacturer/onsemi?pageNo=260", "ON Semiconductor")</f>
        <v>ON Semiconductor</v>
      </c>
      <c r="C28066" s="6">
        <v>1774</v>
      </c>
      <c r="D28066" s="7">
        <v>0.48</v>
      </c>
      <c r="E28066" t="s">
        <v>20</v>
      </c>
    </row>
    <row r="28067" spans="1:5" x14ac:dyDescent="0.25">
      <c r="A28067" t="str">
        <f>HYPERLINK("https://www.773grp.com/globalSearch/MC74LCX257DR2/page-1", "MC74LCX257DR2")</f>
        <v>MC74LCX257DR2</v>
      </c>
      <c r="B28067" s="3" t="str">
        <f>HYPERLINK("https://www.773grp.com/manufacturer/onsemi?pageNo=261", "ON Semiconductor")</f>
        <v>ON Semiconductor</v>
      </c>
      <c r="C28067" s="6">
        <v>2500</v>
      </c>
      <c r="D28067" s="7">
        <v>0.48</v>
      </c>
      <c r="E28067" t="s">
        <v>20</v>
      </c>
    </row>
    <row r="28068" spans="1:5" x14ac:dyDescent="0.25">
      <c r="A28068" t="str">
        <f>HYPERLINK("https://www.773grp.com/globalSearch/MC74LCX257DT/page-1", "MC74LCX257DT")</f>
        <v>MC74LCX257DT</v>
      </c>
      <c r="B28068" s="3" t="str">
        <f>HYPERLINK("https://www.773grp.com/manufacturer/onsemi?pageNo=262", "ON Semiconductor")</f>
        <v>ON Semiconductor</v>
      </c>
      <c r="C28068" s="6">
        <v>864</v>
      </c>
      <c r="D28068" s="7">
        <v>0.48</v>
      </c>
      <c r="E28068" t="s">
        <v>20</v>
      </c>
    </row>
    <row r="28069" spans="1:5" x14ac:dyDescent="0.25">
      <c r="A28069" t="str">
        <f>HYPERLINK("https://www.773grp.com/globalSearch/MC74LCX74MEL/page-1", "MC74LCX74MEL")</f>
        <v>MC74LCX74MEL</v>
      </c>
      <c r="B28069" s="3" t="str">
        <f>HYPERLINK("https://www.773grp.com/manufacturer/onsemi?pageNo=263", "ON Semiconductor")</f>
        <v>ON Semiconductor</v>
      </c>
      <c r="C28069" s="6">
        <v>6000</v>
      </c>
      <c r="D28069" s="7">
        <v>0.48</v>
      </c>
      <c r="E28069" t="s">
        <v>35</v>
      </c>
    </row>
    <row r="28070" spans="1:5" x14ac:dyDescent="0.25">
      <c r="A28070" t="str">
        <f>HYPERLINK("https://www.773grp.com/globalSearch/MC74LVC139DT/page-1", "MC74LVC139DT")</f>
        <v>MC74LVC139DT</v>
      </c>
      <c r="B28070" s="3" t="str">
        <f>HYPERLINK("https://www.773grp.com/manufacturer/onsemi?pageNo=264", "ON Semiconductor")</f>
        <v>ON Semiconductor</v>
      </c>
      <c r="C28070" s="6">
        <v>1248</v>
      </c>
      <c r="D28070" s="7">
        <v>0.48</v>
      </c>
    </row>
    <row r="28071" spans="1:5" x14ac:dyDescent="0.25">
      <c r="A28071" t="str">
        <f>HYPERLINK("https://www.773grp.com/globalSearch/MC74LVX132D/page-1", "MC74LVX132D")</f>
        <v>MC74LVX132D</v>
      </c>
      <c r="B28071" s="3" t="str">
        <f>HYPERLINK("https://www.773grp.com/manufacturer/onsemi?pageNo=265", "ON Semiconductor")</f>
        <v>ON Semiconductor</v>
      </c>
      <c r="C28071" s="6">
        <v>4785</v>
      </c>
      <c r="D28071" s="7">
        <v>0.48</v>
      </c>
      <c r="E28071" t="s">
        <v>31</v>
      </c>
    </row>
    <row r="28072" spans="1:5" x14ac:dyDescent="0.25">
      <c r="A28072" t="str">
        <f>HYPERLINK("https://www.773grp.com/globalSearch/MC74LVX138D/page-1", "MC74LVX138D")</f>
        <v>MC74LVX138D</v>
      </c>
      <c r="B28072" s="3" t="str">
        <f>HYPERLINK("https://www.773grp.com/manufacturer/onsemi?pageNo=266", "ON Semiconductor")</f>
        <v>ON Semiconductor</v>
      </c>
      <c r="C28072" s="6">
        <v>12432</v>
      </c>
      <c r="D28072" s="7">
        <v>0.48</v>
      </c>
      <c r="E28072" t="s">
        <v>36</v>
      </c>
    </row>
    <row r="28073" spans="1:5" x14ac:dyDescent="0.25">
      <c r="A28073" t="str">
        <f>HYPERLINK("https://www.773grp.com/globalSearch/MC74LVX139D/page-1", "MC74LVX139D")</f>
        <v>MC74LVX139D</v>
      </c>
      <c r="B28073" s="3" t="str">
        <f>HYPERLINK("https://www.773grp.com/manufacturer/onsemi?pageNo=267", "ON Semiconductor")</f>
        <v>ON Semiconductor</v>
      </c>
      <c r="C28073" s="6">
        <v>11336</v>
      </c>
      <c r="D28073" s="7">
        <v>0.48</v>
      </c>
      <c r="E28073" t="s">
        <v>36</v>
      </c>
    </row>
    <row r="28074" spans="1:5" x14ac:dyDescent="0.25">
      <c r="A28074" t="str">
        <f>HYPERLINK("https://www.773grp.com/globalSearch/MC74LVX139DT/page-1", "MC74LVX139DT")</f>
        <v>MC74LVX139DT</v>
      </c>
      <c r="B28074" s="3" t="str">
        <f>HYPERLINK("https://www.773grp.com/manufacturer/onsemi?pageNo=268", "ON Semiconductor")</f>
        <v>ON Semiconductor</v>
      </c>
      <c r="C28074" s="6">
        <v>2764</v>
      </c>
      <c r="D28074" s="7">
        <v>0.48</v>
      </c>
      <c r="E28074" t="s">
        <v>36</v>
      </c>
    </row>
    <row r="28075" spans="1:5" x14ac:dyDescent="0.25">
      <c r="A28075" t="str">
        <f>HYPERLINK("https://www.773grp.com/globalSearch/MC74VHC125DT/page-1", "MC74VHC125DT")</f>
        <v>MC74VHC125DT</v>
      </c>
      <c r="B28075" s="3" t="str">
        <f>HYPERLINK("https://www.773grp.com/manufacturer/onsemi?pageNo=269", "ON Semiconductor")</f>
        <v>ON Semiconductor</v>
      </c>
      <c r="C28075" s="6">
        <v>24358</v>
      </c>
      <c r="D28075" s="7">
        <v>0.48</v>
      </c>
      <c r="E28075" t="s">
        <v>14</v>
      </c>
    </row>
    <row r="28076" spans="1:5" x14ac:dyDescent="0.25">
      <c r="A28076" t="str">
        <f>HYPERLINK("https://www.773grp.com/globalSearch/MC74VHC126D/page-1", "MC74VHC126D")</f>
        <v>MC74VHC126D</v>
      </c>
      <c r="B28076" s="3" t="str">
        <f>HYPERLINK("https://www.773grp.com/manufacturer/onsemi?pageNo=270", "ON Semiconductor")</f>
        <v>ON Semiconductor</v>
      </c>
      <c r="C28076" s="6">
        <v>12665</v>
      </c>
      <c r="D28076" s="7">
        <v>0.48</v>
      </c>
      <c r="E28076" t="s">
        <v>14</v>
      </c>
    </row>
    <row r="28077" spans="1:5" x14ac:dyDescent="0.25">
      <c r="A28077" t="str">
        <f>HYPERLINK("https://www.773grp.com/globalSearch/MC74VHC1G00DTT1G/page-1", "MC74VHC1G00DTT1G")</f>
        <v>MC74VHC1G00DTT1G</v>
      </c>
      <c r="B28077" s="3" t="str">
        <f>HYPERLINK("https://www.773grp.com/manufacturer/onsemi?pageNo=271", "ON Semiconductor")</f>
        <v>ON Semiconductor</v>
      </c>
      <c r="C28077" s="6">
        <v>1401000</v>
      </c>
      <c r="D28077" s="7">
        <v>0.48</v>
      </c>
      <c r="E28077" t="s">
        <v>31</v>
      </c>
    </row>
    <row r="28078" spans="1:5" x14ac:dyDescent="0.25">
      <c r="A28078" t="str">
        <f>HYPERLINK("https://www.773grp.com/globalSearch/MC74VHC1G01DTT1G/page-1", "MC74VHC1G01DTT1G")</f>
        <v>MC74VHC1G01DTT1G</v>
      </c>
      <c r="B28078" s="3" t="str">
        <f>HYPERLINK("https://www.773grp.com/manufacturer/onsemi?pageNo=272", "ON Semiconductor")</f>
        <v>ON Semiconductor</v>
      </c>
      <c r="C28078" s="6">
        <v>42000</v>
      </c>
      <c r="D28078" s="7">
        <v>0.48</v>
      </c>
      <c r="E28078" t="s">
        <v>31</v>
      </c>
    </row>
    <row r="28079" spans="1:5" x14ac:dyDescent="0.25">
      <c r="A28079" t="str">
        <f>HYPERLINK("https://www.773grp.com/globalSearch/MC74VHC1G02DTT1G/page-1", "MC74VHC1G02DTT1G")</f>
        <v>MC74VHC1G02DTT1G</v>
      </c>
      <c r="B28079" s="3" t="str">
        <f>HYPERLINK("https://www.773grp.com/manufacturer/onsemi?pageNo=273", "ON Semiconductor")</f>
        <v>ON Semiconductor</v>
      </c>
      <c r="C28079" s="6">
        <v>287644</v>
      </c>
      <c r="D28079" s="7">
        <v>0.48</v>
      </c>
      <c r="E28079" t="s">
        <v>31</v>
      </c>
    </row>
    <row r="28080" spans="1:5" x14ac:dyDescent="0.25">
      <c r="A28080" t="str">
        <f>HYPERLINK("https://www.773grp.com/globalSearch/MC74VHC1G03DTT1G/page-1", "MC74VHC1G03DTT1G")</f>
        <v>MC74VHC1G03DTT1G</v>
      </c>
      <c r="B28080" s="3" t="str">
        <f>HYPERLINK("https://www.773grp.com/manufacturer/onsemi?pageNo=274", "ON Semiconductor")</f>
        <v>ON Semiconductor</v>
      </c>
      <c r="C28080" s="6">
        <v>21000</v>
      </c>
      <c r="D28080" s="7">
        <v>0.48</v>
      </c>
      <c r="E28080" t="s">
        <v>31</v>
      </c>
    </row>
    <row r="28081" spans="1:5" x14ac:dyDescent="0.25">
      <c r="A28081" t="str">
        <f>HYPERLINK("https://www.773grp.com/globalSearch/MC74VHC1G04DFT1/page-1", "MC74VHC1G04DFT1")</f>
        <v>MC74VHC1G04DFT1</v>
      </c>
      <c r="B28081" s="3" t="str">
        <f>HYPERLINK("https://www.773grp.com/manufacturer/onsemi?pageNo=275", "ON Semiconductor")</f>
        <v>ON Semiconductor</v>
      </c>
      <c r="C28081" s="6">
        <v>72000</v>
      </c>
      <c r="D28081" s="7">
        <v>0.48</v>
      </c>
    </row>
    <row r="28082" spans="1:5" x14ac:dyDescent="0.25">
      <c r="A28082" t="str">
        <f>HYPERLINK("https://www.773grp.com/globalSearch/MC74VHC1G04DTT1G/page-1", "MC74VHC1G04DTT1G")</f>
        <v>MC74VHC1G04DTT1G</v>
      </c>
      <c r="B28082" s="3" t="str">
        <f>HYPERLINK("https://www.773grp.com/manufacturer/onsemi?pageNo=276", "ON Semiconductor")</f>
        <v>ON Semiconductor</v>
      </c>
      <c r="C28082" s="6">
        <v>191035</v>
      </c>
      <c r="D28082" s="7">
        <v>0.48</v>
      </c>
      <c r="E28082" t="s">
        <v>31</v>
      </c>
    </row>
    <row r="28083" spans="1:5" x14ac:dyDescent="0.25">
      <c r="A28083" t="str">
        <f>HYPERLINK("https://www.773grp.com/globalSearch/MC74VHC1G05DTT1G/page-1", "MC74VHC1G05DTT1G")</f>
        <v>MC74VHC1G05DTT1G</v>
      </c>
      <c r="B28083" s="3" t="str">
        <f>HYPERLINK("https://www.773grp.com/manufacturer/onsemi?pageNo=277", "ON Semiconductor")</f>
        <v>ON Semiconductor</v>
      </c>
      <c r="C28083" s="6">
        <v>141000</v>
      </c>
      <c r="D28083" s="7">
        <v>0.48</v>
      </c>
      <c r="E28083" t="s">
        <v>31</v>
      </c>
    </row>
    <row r="28084" spans="1:5" x14ac:dyDescent="0.25">
      <c r="A28084" t="str">
        <f>HYPERLINK("https://www.773grp.com/globalSearch/MC74VHC1G07DTT1G/page-1", "MC74VHC1G07DTT1G")</f>
        <v>MC74VHC1G07DTT1G</v>
      </c>
      <c r="B28084" s="3" t="str">
        <f>HYPERLINK("https://www.773grp.com/manufacturer/onsemi?pageNo=278", "ON Semiconductor")</f>
        <v>ON Semiconductor</v>
      </c>
      <c r="C28084" s="6">
        <v>255000</v>
      </c>
      <c r="D28084" s="7">
        <v>0.48</v>
      </c>
      <c r="E28084" t="s">
        <v>31</v>
      </c>
    </row>
    <row r="28085" spans="1:5" x14ac:dyDescent="0.25">
      <c r="A28085" t="str">
        <f>HYPERLINK("https://www.773grp.com/globalSearch/MC74VHC1G08DTT1G/page-1", "MC74VHC1G08DTT1G")</f>
        <v>MC74VHC1G08DTT1G</v>
      </c>
      <c r="B28085" s="3" t="str">
        <f>HYPERLINK("https://www.773grp.com/manufacturer/onsemi?pageNo=279", "ON Semiconductor")</f>
        <v>ON Semiconductor</v>
      </c>
      <c r="C28085" s="6">
        <v>1074887</v>
      </c>
      <c r="D28085" s="7">
        <v>0.48</v>
      </c>
      <c r="E28085" t="s">
        <v>31</v>
      </c>
    </row>
    <row r="28086" spans="1:5" x14ac:dyDescent="0.25">
      <c r="A28086" t="str">
        <f>HYPERLINK("https://www.773grp.com/globalSearch/MC74VHC1G09DTT1G/page-1", "MC74VHC1G09DTT1G")</f>
        <v>MC74VHC1G09DTT1G</v>
      </c>
      <c r="B28086" s="3" t="str">
        <f>HYPERLINK("https://www.773grp.com/manufacturer/onsemi?pageNo=280", "ON Semiconductor")</f>
        <v>ON Semiconductor</v>
      </c>
      <c r="C28086" s="6">
        <v>76856</v>
      </c>
      <c r="D28086" s="7">
        <v>0.48</v>
      </c>
      <c r="E28086" t="s">
        <v>31</v>
      </c>
    </row>
    <row r="28087" spans="1:5" x14ac:dyDescent="0.25">
      <c r="A28087" t="str">
        <f>HYPERLINK("https://www.773grp.com/globalSearch/MC74VHC1G132DF2G/page-1", "MC74VHC1G132DF2G")</f>
        <v>MC74VHC1G132DF2G</v>
      </c>
      <c r="B28087" s="3" t="str">
        <f>HYPERLINK("https://www.773grp.com/manufacturer/onsemi?pageNo=281", "ON Semiconductor")</f>
        <v>ON Semiconductor</v>
      </c>
      <c r="C28087" s="6">
        <v>17386</v>
      </c>
      <c r="D28087" s="7">
        <v>0.48</v>
      </c>
    </row>
    <row r="28088" spans="1:5" x14ac:dyDescent="0.25">
      <c r="A28088" t="str">
        <f>HYPERLINK("https://www.773grp.com/globalSearch/MC74VHC1G14DTT1/page-1", "MC74VHC1G14DTT1")</f>
        <v>MC74VHC1G14DTT1</v>
      </c>
      <c r="B28088" s="3" t="str">
        <f>HYPERLINK("https://www.773grp.com/manufacturer/onsemi?pageNo=282", "ON Semiconductor")</f>
        <v>ON Semiconductor</v>
      </c>
      <c r="C28088" s="6">
        <v>57000</v>
      </c>
      <c r="D28088" s="7">
        <v>0.48</v>
      </c>
      <c r="E28088" t="s">
        <v>31</v>
      </c>
    </row>
    <row r="28089" spans="1:5" x14ac:dyDescent="0.25">
      <c r="A28089" t="str">
        <f>HYPERLINK("https://www.773grp.com/globalSearch/MC74VHC1G14DTT1G/page-1", "MC74VHC1G14DTT1G")</f>
        <v>MC74VHC1G14DTT1G</v>
      </c>
      <c r="B28089" s="3" t="str">
        <f>HYPERLINK("https://www.773grp.com/manufacturer/onsemi?pageNo=283", "ON Semiconductor")</f>
        <v>ON Semiconductor</v>
      </c>
      <c r="C28089" s="6">
        <v>834000</v>
      </c>
      <c r="D28089" s="7">
        <v>0.48</v>
      </c>
      <c r="E28089" t="s">
        <v>31</v>
      </c>
    </row>
    <row r="28090" spans="1:5" x14ac:dyDescent="0.25">
      <c r="A28090" t="str">
        <f>HYPERLINK("https://www.773grp.com/globalSearch/MC74VHC1G32DTT1G/page-1", "MC74VHC1G32DTT1G")</f>
        <v>MC74VHC1G32DTT1G</v>
      </c>
      <c r="B28090" s="3" t="str">
        <f>HYPERLINK("https://www.773grp.com/manufacturer/onsemi?pageNo=284", "ON Semiconductor")</f>
        <v>ON Semiconductor</v>
      </c>
      <c r="C28090" s="6">
        <v>262274</v>
      </c>
      <c r="D28090" s="7">
        <v>0.48</v>
      </c>
      <c r="E28090" t="s">
        <v>31</v>
      </c>
    </row>
    <row r="28091" spans="1:5" x14ac:dyDescent="0.25">
      <c r="A28091" t="str">
        <f>HYPERLINK("https://www.773grp.com/globalSearch/MC74VHC1G50DTT1G/page-1", "MC74VHC1G50DTT1G")</f>
        <v>MC74VHC1G50DTT1G</v>
      </c>
      <c r="B28091" s="3" t="str">
        <f>HYPERLINK("https://www.773grp.com/manufacturer/onsemi?pageNo=285", "ON Semiconductor")</f>
        <v>ON Semiconductor</v>
      </c>
      <c r="C28091" s="6">
        <v>42000</v>
      </c>
      <c r="D28091" s="7">
        <v>0.48</v>
      </c>
      <c r="E28091" t="s">
        <v>31</v>
      </c>
    </row>
    <row r="28092" spans="1:5" x14ac:dyDescent="0.25">
      <c r="A28092" t="str">
        <f>HYPERLINK("https://www.773grp.com/globalSearch/MC74VHC1G66DTT1G/page-1", "MC74VHC1G66DTT1G")</f>
        <v>MC74VHC1G66DTT1G</v>
      </c>
      <c r="B28092" s="3" t="str">
        <f>HYPERLINK("https://www.773grp.com/manufacturer/onsemi?pageNo=286", "ON Semiconductor")</f>
        <v>ON Semiconductor</v>
      </c>
      <c r="C28092" s="6">
        <v>129000</v>
      </c>
      <c r="D28092" s="7">
        <v>0.48</v>
      </c>
      <c r="E28092" t="s">
        <v>56</v>
      </c>
    </row>
    <row r="28093" spans="1:5" x14ac:dyDescent="0.25">
      <c r="A28093" t="str">
        <f>HYPERLINK("https://www.773grp.com/globalSearch/MC74VHC1G86DTT1G/page-1", "MC74VHC1G86DTT1G")</f>
        <v>MC74VHC1G86DTT1G</v>
      </c>
      <c r="B28093" s="3" t="str">
        <f>HYPERLINK("https://www.773grp.com/manufacturer/onsemi?pageNo=287", "ON Semiconductor")</f>
        <v>ON Semiconductor</v>
      </c>
      <c r="C28093" s="6">
        <v>111000</v>
      </c>
      <c r="D28093" s="7">
        <v>0.48</v>
      </c>
      <c r="E28093" t="s">
        <v>31</v>
      </c>
    </row>
    <row r="28094" spans="1:5" x14ac:dyDescent="0.25">
      <c r="A28094" t="str">
        <f>HYPERLINK("https://www.773grp.com/globalSearch/MC74VHC1GT00DFT1/page-1", "MC74VHC1GT00DFT1")</f>
        <v>MC74VHC1GT00DFT1</v>
      </c>
      <c r="B28094" s="3" t="str">
        <f>HYPERLINK("https://www.773grp.com/manufacturer/onsemi?pageNo=288", "ON Semiconductor")</f>
        <v>ON Semiconductor</v>
      </c>
      <c r="C28094" s="6">
        <v>72000</v>
      </c>
      <c r="D28094" s="7">
        <v>0.48</v>
      </c>
      <c r="E28094" t="s">
        <v>31</v>
      </c>
    </row>
    <row r="28095" spans="1:5" x14ac:dyDescent="0.25">
      <c r="A28095" t="str">
        <f>HYPERLINK("https://www.773grp.com/globalSearch/MC74VHC1GT02DF2G/page-1", "MC74VHC1GT02DF2G")</f>
        <v>MC74VHC1GT02DF2G</v>
      </c>
      <c r="B28095" s="3" t="str">
        <f>HYPERLINK("https://www.773grp.com/manufacturer/onsemi?pageNo=289", "ON Semiconductor")</f>
        <v>ON Semiconductor</v>
      </c>
      <c r="C28095" s="6">
        <v>15000</v>
      </c>
      <c r="D28095" s="7">
        <v>0.48</v>
      </c>
    </row>
    <row r="28096" spans="1:5" x14ac:dyDescent="0.25">
      <c r="A28096" t="str">
        <f>HYPERLINK("https://www.773grp.com/globalSearch/MC74VHC1GT04DTT1/page-1", "MC74VHC1GT04DTT1")</f>
        <v>MC74VHC1GT04DTT1</v>
      </c>
      <c r="B28096" s="3" t="str">
        <f>HYPERLINK("https://www.773grp.com/manufacturer/onsemi?pageNo=290", "ON Semiconductor")</f>
        <v>ON Semiconductor</v>
      </c>
      <c r="C28096" s="6">
        <v>72000</v>
      </c>
      <c r="D28096" s="7">
        <v>0.48</v>
      </c>
    </row>
    <row r="28097" spans="1:5" x14ac:dyDescent="0.25">
      <c r="A28097" t="str">
        <f>HYPERLINK("https://www.773grp.com/globalSearch/MC74VHC1GT14DF2G/page-1", "MC74VHC1GT14DF2G")</f>
        <v>MC74VHC1GT14DF2G</v>
      </c>
      <c r="B28097" s="3" t="str">
        <f>HYPERLINK("https://www.773grp.com/manufacturer/onsemi?pageNo=291", "ON Semiconductor")</f>
        <v>ON Semiconductor</v>
      </c>
      <c r="C28097" s="6">
        <v>36000</v>
      </c>
      <c r="D28097" s="7">
        <v>0.48</v>
      </c>
    </row>
    <row r="28098" spans="1:5" x14ac:dyDescent="0.25">
      <c r="A28098" t="str">
        <f>HYPERLINK("https://www.773grp.com/globalSearch/MC74VHC1GT14DTT1/page-1", "MC74VHC1GT14DTT1")</f>
        <v>MC74VHC1GT14DTT1</v>
      </c>
      <c r="B28098" s="3" t="str">
        <f>HYPERLINK("https://www.773grp.com/manufacturer/onsemi?pageNo=292", "ON Semiconductor")</f>
        <v>ON Semiconductor</v>
      </c>
      <c r="C28098" s="6">
        <v>75000</v>
      </c>
      <c r="D28098" s="7">
        <v>0.48</v>
      </c>
      <c r="E28098" t="s">
        <v>31</v>
      </c>
    </row>
    <row r="28099" spans="1:5" x14ac:dyDescent="0.25">
      <c r="A28099" t="str">
        <f>HYPERLINK("https://www.773grp.com/globalSearch/MC74VHC1GU04DFT1/page-1", "MC74VHC1GU04DFT1")</f>
        <v>MC74VHC1GU04DFT1</v>
      </c>
      <c r="B28099" s="3" t="str">
        <f>HYPERLINK("https://www.773grp.com/manufacturer/onsemi?pageNo=293", "ON Semiconductor")</f>
        <v>ON Semiconductor</v>
      </c>
      <c r="C28099" s="6">
        <v>21000</v>
      </c>
      <c r="D28099" s="7">
        <v>0.48</v>
      </c>
      <c r="E28099" t="s">
        <v>31</v>
      </c>
    </row>
    <row r="28100" spans="1:5" x14ac:dyDescent="0.25">
      <c r="A28100" t="str">
        <f>HYPERLINK("https://www.773grp.com/globalSearch/MC74VHC4053DTR2/page-1", "MC74VHC4053DTR2")</f>
        <v>MC74VHC4053DTR2</v>
      </c>
      <c r="B28100" s="3" t="str">
        <f>HYPERLINK("https://www.773grp.com/manufacturer/onsemi?pageNo=294", "ON Semiconductor")</f>
        <v>ON Semiconductor</v>
      </c>
      <c r="C28100" s="6">
        <v>4925</v>
      </c>
      <c r="D28100" s="7">
        <v>0.48</v>
      </c>
      <c r="E28100" t="s">
        <v>56</v>
      </c>
    </row>
    <row r="28101" spans="1:5" x14ac:dyDescent="0.25">
      <c r="A28101" t="str">
        <f>HYPERLINK("https://www.773grp.com/globalSearch/MC74VHC4066D/page-1", "MC74VHC4066D")</f>
        <v>MC74VHC4066D</v>
      </c>
      <c r="B28101" s="3" t="str">
        <f>HYPERLINK("https://www.773grp.com/manufacturer/onsemi?pageNo=295", "ON Semiconductor")</f>
        <v>ON Semiconductor</v>
      </c>
      <c r="C28101" s="6">
        <v>12870</v>
      </c>
      <c r="D28101" s="7">
        <v>0.48</v>
      </c>
      <c r="E28101" t="s">
        <v>56</v>
      </c>
    </row>
    <row r="28102" spans="1:5" x14ac:dyDescent="0.25">
      <c r="A28102" t="str">
        <f>HYPERLINK("https://www.773grp.com/globalSearch/MC74VHC4316D/page-1", "MC74VHC4316D")</f>
        <v>MC74VHC4316D</v>
      </c>
      <c r="B28102" s="3" t="str">
        <f>HYPERLINK("https://www.773grp.com/manufacturer/onsemi?pageNo=296", "ON Semiconductor")</f>
        <v>ON Semiconductor</v>
      </c>
      <c r="C28102" s="6">
        <v>4272</v>
      </c>
      <c r="D28102" s="7">
        <v>0.48</v>
      </c>
      <c r="E28102" t="s">
        <v>56</v>
      </c>
    </row>
    <row r="28103" spans="1:5" x14ac:dyDescent="0.25">
      <c r="A28103" t="str">
        <f>HYPERLINK("https://www.773grp.com/globalSearch/MC74VHC4316DR2/page-1", "MC74VHC4316DR2")</f>
        <v>MC74VHC4316DR2</v>
      </c>
      <c r="B28103" s="3" t="str">
        <f>HYPERLINK("https://www.773grp.com/manufacturer/onsemi?pageNo=297", "ON Semiconductor")</f>
        <v>ON Semiconductor</v>
      </c>
      <c r="C28103" s="6">
        <v>7500</v>
      </c>
      <c r="D28103" s="7">
        <v>0.48</v>
      </c>
      <c r="E28103" t="s">
        <v>56</v>
      </c>
    </row>
    <row r="28104" spans="1:5" x14ac:dyDescent="0.25">
      <c r="A28104" t="str">
        <f>HYPERLINK("https://www.773grp.com/globalSearch/MC74VHCT126AD/page-1", "MC74VHCT126AD")</f>
        <v>MC74VHCT126AD</v>
      </c>
      <c r="B28104" s="3" t="str">
        <f>HYPERLINK("https://www.773grp.com/manufacturer/onsemi?pageNo=298", "ON Semiconductor")</f>
        <v>ON Semiconductor</v>
      </c>
      <c r="C28104" s="6">
        <v>29465</v>
      </c>
      <c r="D28104" s="7">
        <v>0.48</v>
      </c>
      <c r="E28104" t="s">
        <v>14</v>
      </c>
    </row>
    <row r="28105" spans="1:5" x14ac:dyDescent="0.25">
      <c r="A28105" t="str">
        <f>HYPERLINK("https://www.773grp.com/globalSearch/MC74VHCT132AD/page-1", "MC74VHCT132AD")</f>
        <v>MC74VHCT132AD</v>
      </c>
      <c r="B28105" s="3" t="str">
        <f>HYPERLINK("https://www.773grp.com/manufacturer/onsemi?pageNo=299", "ON Semiconductor")</f>
        <v>ON Semiconductor</v>
      </c>
      <c r="C28105" s="6">
        <v>30520</v>
      </c>
      <c r="D28105" s="7">
        <v>0.48</v>
      </c>
      <c r="E28105" t="s">
        <v>31</v>
      </c>
    </row>
    <row r="28106" spans="1:5" x14ac:dyDescent="0.25">
      <c r="A28106" t="str">
        <f>HYPERLINK("https://www.773grp.com/globalSearch/MC7805.2CT/page-1", "MC7805.2CT")</f>
        <v>MC7805.2CT</v>
      </c>
      <c r="B28106" s="3" t="str">
        <f>HYPERLINK("https://www.773grp.com/manufacturer/onsemi?pageNo=300", "ON Semiconductor")</f>
        <v>ON Semiconductor</v>
      </c>
      <c r="C28106" s="6">
        <v>258</v>
      </c>
      <c r="D28106" s="7">
        <v>0.48</v>
      </c>
      <c r="E28106" t="s">
        <v>28</v>
      </c>
    </row>
    <row r="28107" spans="1:5" x14ac:dyDescent="0.25">
      <c r="A28107" t="str">
        <f>HYPERLINK("https://www.773grp.com/globalSearch/MC78L05ABD/page-1", "MC78L05ABD")</f>
        <v>MC78L05ABD</v>
      </c>
      <c r="B28107" s="3" t="str">
        <f>HYPERLINK("https://www.773grp.com/manufacturer/onsemi?pageNo=301", "ON Semiconductor")</f>
        <v>ON Semiconductor</v>
      </c>
      <c r="C28107" s="6">
        <v>12986</v>
      </c>
      <c r="D28107" s="7">
        <v>0.48</v>
      </c>
      <c r="E28107" t="s">
        <v>28</v>
      </c>
    </row>
    <row r="28108" spans="1:5" x14ac:dyDescent="0.25">
      <c r="A28108" t="str">
        <f>HYPERLINK("https://www.773grp.com/globalSearch/MC78L05ABP/page-1", "MC78L05ABP")</f>
        <v>MC78L05ABP</v>
      </c>
      <c r="B28108" s="3" t="str">
        <f>HYPERLINK("https://www.773grp.com/manufacturer/onsemi?pageNo=302", "ON Semiconductor")</f>
        <v>ON Semiconductor</v>
      </c>
      <c r="C28108" s="6">
        <v>3395</v>
      </c>
      <c r="D28108" s="7">
        <v>0.48</v>
      </c>
      <c r="E28108" t="s">
        <v>28</v>
      </c>
    </row>
    <row r="28109" spans="1:5" x14ac:dyDescent="0.25">
      <c r="A28109" t="str">
        <f>HYPERLINK("https://www.773grp.com/globalSearch/MC78L05ABPRE/page-1", "MC78L05ABPRE")</f>
        <v>MC78L05ABPRE</v>
      </c>
      <c r="B28109" s="3" t="str">
        <f>HYPERLINK("https://www.773grp.com/manufacturer/onsemi?pageNo=303", "ON Semiconductor")</f>
        <v>ON Semiconductor</v>
      </c>
      <c r="C28109" s="6">
        <v>2000</v>
      </c>
      <c r="D28109" s="7">
        <v>0.48</v>
      </c>
      <c r="E28109" t="s">
        <v>28</v>
      </c>
    </row>
    <row r="28110" spans="1:5" x14ac:dyDescent="0.25">
      <c r="A28110" t="str">
        <f>HYPERLINK("https://www.773grp.com/globalSearch/MC78L05ACD/page-1", "MC78L05ACD")</f>
        <v>MC78L05ACD</v>
      </c>
      <c r="B28110" s="3" t="str">
        <f>HYPERLINK("https://www.773grp.com/manufacturer/onsemi?pageNo=304", "ON Semiconductor")</f>
        <v>ON Semiconductor</v>
      </c>
      <c r="C28110" s="6">
        <v>2660</v>
      </c>
      <c r="D28110" s="7">
        <v>0.48</v>
      </c>
      <c r="E28110" t="s">
        <v>28</v>
      </c>
    </row>
    <row r="28111" spans="1:5" x14ac:dyDescent="0.25">
      <c r="A28111" t="str">
        <f>HYPERLINK("https://www.773grp.com/globalSearch/MC78L08ABP/page-1", "MC78L08ABP")</f>
        <v>MC78L08ABP</v>
      </c>
      <c r="B28111" s="3" t="str">
        <f>HYPERLINK("https://www.773grp.com/manufacturer/onsemi?pageNo=305", "ON Semiconductor")</f>
        <v>ON Semiconductor</v>
      </c>
      <c r="C28111" s="6">
        <v>3459</v>
      </c>
      <c r="D28111" s="7">
        <v>0.48</v>
      </c>
      <c r="E28111" t="s">
        <v>28</v>
      </c>
    </row>
    <row r="28112" spans="1:5" x14ac:dyDescent="0.25">
      <c r="A28112" t="str">
        <f>HYPERLINK("https://www.773grp.com/globalSearch/MC78L08ABPRA/page-1", "MC78L08ABPRA")</f>
        <v>MC78L08ABPRA</v>
      </c>
      <c r="B28112" s="3" t="str">
        <f>HYPERLINK("https://www.773grp.com/manufacturer/onsemi?pageNo=306", "ON Semiconductor")</f>
        <v>ON Semiconductor</v>
      </c>
      <c r="C28112" s="6">
        <v>2161</v>
      </c>
      <c r="D28112" s="7">
        <v>0.48</v>
      </c>
      <c r="E28112" t="s">
        <v>28</v>
      </c>
    </row>
    <row r="28113" spans="1:5" x14ac:dyDescent="0.25">
      <c r="A28113" t="str">
        <f>HYPERLINK("https://www.773grp.com/globalSearch/MC78L08ACD/page-1", "MC78L08ACD")</f>
        <v>MC78L08ACD</v>
      </c>
      <c r="B28113" s="3" t="str">
        <f>HYPERLINK("https://www.773grp.com/manufacturer/onsemi?pageNo=307", "ON Semiconductor")</f>
        <v>ON Semiconductor</v>
      </c>
      <c r="C28113" s="6">
        <v>1208</v>
      </c>
      <c r="D28113" s="7">
        <v>0.48</v>
      </c>
      <c r="E28113" t="s">
        <v>28</v>
      </c>
    </row>
    <row r="28114" spans="1:5" x14ac:dyDescent="0.25">
      <c r="A28114" t="str">
        <f>HYPERLINK("https://www.773grp.com/globalSearch/MC78L08ACDR2/page-1", "MC78L08ACDR2")</f>
        <v>MC78L08ACDR2</v>
      </c>
      <c r="B28114" s="3" t="str">
        <f>HYPERLINK("https://www.773grp.com/manufacturer/onsemi?pageNo=308", "ON Semiconductor")</f>
        <v>ON Semiconductor</v>
      </c>
      <c r="C28114" s="6">
        <v>61605</v>
      </c>
      <c r="D28114" s="7">
        <v>0.48</v>
      </c>
      <c r="E28114" t="s">
        <v>28</v>
      </c>
    </row>
    <row r="28115" spans="1:5" x14ac:dyDescent="0.25">
      <c r="A28115" t="str">
        <f>HYPERLINK("https://www.773grp.com/globalSearch/MC78L09ABDR2/page-1", "MC78L09ABDR2")</f>
        <v>MC78L09ABDR2</v>
      </c>
      <c r="B28115" s="3" t="str">
        <f>HYPERLINK("https://www.773grp.com/manufacturer/onsemi?pageNo=309", "ON Semiconductor")</f>
        <v>ON Semiconductor</v>
      </c>
      <c r="C28115" s="6">
        <v>1000</v>
      </c>
      <c r="D28115" s="7">
        <v>0.48</v>
      </c>
      <c r="E28115" t="s">
        <v>28</v>
      </c>
    </row>
    <row r="28116" spans="1:5" x14ac:dyDescent="0.25">
      <c r="A28116" t="str">
        <f>HYPERLINK("https://www.773grp.com/globalSearch/MC78L09ABPRA/page-1", "MC78L09ABPRA")</f>
        <v>MC78L09ABPRA</v>
      </c>
      <c r="B28116" s="3" t="str">
        <f>HYPERLINK("https://www.773grp.com/manufacturer/onsemi?pageNo=310", "ON Semiconductor")</f>
        <v>ON Semiconductor</v>
      </c>
      <c r="C28116" s="6">
        <v>623</v>
      </c>
      <c r="D28116" s="7">
        <v>0.48</v>
      </c>
      <c r="E28116" t="s">
        <v>28</v>
      </c>
    </row>
    <row r="28117" spans="1:5" x14ac:dyDescent="0.25">
      <c r="A28117" t="str">
        <f>HYPERLINK("https://www.773grp.com/globalSearch/MC78L09ACDR2/page-1", "MC78L09ACDR2")</f>
        <v>MC78L09ACDR2</v>
      </c>
      <c r="B28117" s="3" t="str">
        <f>HYPERLINK("https://www.773grp.com/manufacturer/onsemi?pageNo=311", "ON Semiconductor")</f>
        <v>ON Semiconductor</v>
      </c>
      <c r="C28117" s="6">
        <v>145000</v>
      </c>
      <c r="D28117" s="7">
        <v>0.48</v>
      </c>
      <c r="E28117" t="s">
        <v>28</v>
      </c>
    </row>
    <row r="28118" spans="1:5" x14ac:dyDescent="0.25">
      <c r="A28118" t="str">
        <f>HYPERLINK("https://www.773grp.com/globalSearch/MC78L12ABPRP/page-1", "MC78L12ABPRP")</f>
        <v>MC78L12ABPRP</v>
      </c>
      <c r="B28118" s="3" t="str">
        <f>HYPERLINK("https://www.773grp.com/manufacturer/onsemi?pageNo=312", "ON Semiconductor")</f>
        <v>ON Semiconductor</v>
      </c>
      <c r="C28118" s="6">
        <v>10223</v>
      </c>
      <c r="D28118" s="7">
        <v>0.48</v>
      </c>
      <c r="E28118" t="s">
        <v>28</v>
      </c>
    </row>
    <row r="28119" spans="1:5" x14ac:dyDescent="0.25">
      <c r="A28119" t="str">
        <f>HYPERLINK("https://www.773grp.com/globalSearch/MC78L12ACD/page-1", "MC78L12ACD")</f>
        <v>MC78L12ACD</v>
      </c>
      <c r="B28119" s="3" t="str">
        <f>HYPERLINK("https://www.773grp.com/manufacturer/onsemi?pageNo=313", "ON Semiconductor")</f>
        <v>ON Semiconductor</v>
      </c>
      <c r="C28119" s="6">
        <v>443</v>
      </c>
      <c r="D28119" s="7">
        <v>0.48</v>
      </c>
      <c r="E28119" t="s">
        <v>28</v>
      </c>
    </row>
    <row r="28120" spans="1:5" x14ac:dyDescent="0.25">
      <c r="A28120" t="str">
        <f>HYPERLINK("https://www.773grp.com/globalSearch/MC78L15ABP/page-1", "MC78L15ABP")</f>
        <v>MC78L15ABP</v>
      </c>
      <c r="B28120" s="3" t="str">
        <f>HYPERLINK("https://www.773grp.com/manufacturer/onsemi?pageNo=314", "ON Semiconductor")</f>
        <v>ON Semiconductor</v>
      </c>
      <c r="C28120" s="6">
        <v>8761</v>
      </c>
      <c r="D28120" s="7">
        <v>0.48</v>
      </c>
      <c r="E28120" t="s">
        <v>28</v>
      </c>
    </row>
    <row r="28121" spans="1:5" x14ac:dyDescent="0.25">
      <c r="A28121" t="str">
        <f>HYPERLINK("https://www.773grp.com/globalSearch/MC78L15ABPRA/page-1", "MC78L15ABPRA")</f>
        <v>MC78L15ABPRA</v>
      </c>
      <c r="B28121" s="3" t="str">
        <f>HYPERLINK("https://www.773grp.com/manufacturer/onsemi?pageNo=315", "ON Semiconductor")</f>
        <v>ON Semiconductor</v>
      </c>
      <c r="C28121" s="6">
        <v>12000</v>
      </c>
      <c r="D28121" s="7">
        <v>0.48</v>
      </c>
      <c r="E28121" t="s">
        <v>28</v>
      </c>
    </row>
    <row r="28122" spans="1:5" x14ac:dyDescent="0.25">
      <c r="A28122" t="str">
        <f>HYPERLINK("https://www.773grp.com/globalSearch/MC78L15ACD/page-1", "MC78L15ACD")</f>
        <v>MC78L15ACD</v>
      </c>
      <c r="B28122" s="3" t="str">
        <f>HYPERLINK("https://www.773grp.com/manufacturer/onsemi?pageNo=316", "ON Semiconductor")</f>
        <v>ON Semiconductor</v>
      </c>
      <c r="C28122" s="6">
        <v>8556</v>
      </c>
      <c r="D28122" s="7">
        <v>0.48</v>
      </c>
      <c r="E28122" t="s">
        <v>28</v>
      </c>
    </row>
    <row r="28123" spans="1:5" x14ac:dyDescent="0.25">
      <c r="A28123" t="str">
        <f>HYPERLINK("https://www.773grp.com/globalSearch/MC78L18ABP/page-1", "MC78L18ABP")</f>
        <v>MC78L18ABP</v>
      </c>
      <c r="B28123" s="3" t="str">
        <f>HYPERLINK("https://www.773grp.com/manufacturer/onsemi?pageNo=317", "ON Semiconductor")</f>
        <v>ON Semiconductor</v>
      </c>
      <c r="C28123" s="6">
        <v>1000</v>
      </c>
      <c r="D28123" s="7">
        <v>0.48</v>
      </c>
      <c r="E28123" t="s">
        <v>28</v>
      </c>
    </row>
    <row r="28124" spans="1:5" x14ac:dyDescent="0.25">
      <c r="A28124" t="str">
        <f>HYPERLINK("https://www.773grp.com/globalSearch/MC79L05ABPRA/page-1", "MC79L05ABPRA")</f>
        <v>MC79L05ABPRA</v>
      </c>
      <c r="B28124" s="3" t="str">
        <f>HYPERLINK("https://www.773grp.com/manufacturer/onsemi?pageNo=318", "ON Semiconductor")</f>
        <v>ON Semiconductor</v>
      </c>
      <c r="C28124" s="6">
        <v>831</v>
      </c>
      <c r="D28124" s="7">
        <v>0.48</v>
      </c>
      <c r="E28124" t="s">
        <v>65</v>
      </c>
    </row>
    <row r="28125" spans="1:5" x14ac:dyDescent="0.25">
      <c r="A28125" t="str">
        <f>HYPERLINK("https://www.773grp.com/globalSearch/MC79L12ABP/page-1", "MC79L12ABP")</f>
        <v>MC79L12ABP</v>
      </c>
      <c r="B28125" s="3" t="str">
        <f>HYPERLINK("https://www.773grp.com/manufacturer/onsemi?pageNo=319", "ON Semiconductor")</f>
        <v>ON Semiconductor</v>
      </c>
      <c r="C28125" s="6">
        <v>897</v>
      </c>
      <c r="D28125" s="7">
        <v>0.48</v>
      </c>
      <c r="E28125" t="s">
        <v>65</v>
      </c>
    </row>
    <row r="28126" spans="1:5" x14ac:dyDescent="0.25">
      <c r="A28126" t="str">
        <f>HYPERLINK("https://www.773grp.com/globalSearch/MC79L12ABPRA/page-1", "MC79L12ABPRA")</f>
        <v>MC79L12ABPRA</v>
      </c>
      <c r="B28126" s="3" t="str">
        <f>HYPERLINK("https://www.773grp.com/manufacturer/onsemi?pageNo=320", "ON Semiconductor")</f>
        <v>ON Semiconductor</v>
      </c>
      <c r="C28126" s="6">
        <v>676</v>
      </c>
      <c r="D28126" s="7">
        <v>0.48</v>
      </c>
      <c r="E28126" t="s">
        <v>65</v>
      </c>
    </row>
    <row r="28127" spans="1:5" x14ac:dyDescent="0.25">
      <c r="A28127" t="str">
        <f>HYPERLINK("https://www.773grp.com/globalSearch/MC79L12ACD/page-1", "MC79L12ACD")</f>
        <v>MC79L12ACD</v>
      </c>
      <c r="B28127" s="3" t="str">
        <f>HYPERLINK("https://www.773grp.com/manufacturer/onsemi?pageNo=321", "ON Semiconductor")</f>
        <v>ON Semiconductor</v>
      </c>
      <c r="C28127" s="6">
        <v>2553</v>
      </c>
      <c r="D28127" s="7">
        <v>0.48</v>
      </c>
      <c r="E28127" t="s">
        <v>65</v>
      </c>
    </row>
    <row r="28128" spans="1:5" x14ac:dyDescent="0.25">
      <c r="A28128" t="str">
        <f>HYPERLINK("https://www.773grp.com/globalSearch/MC79L15ABP/page-1", "MC79L15ABP")</f>
        <v>MC79L15ABP</v>
      </c>
      <c r="B28128" s="3" t="str">
        <f>HYPERLINK("https://www.773grp.com/manufacturer/onsemi?pageNo=322", "ON Semiconductor")</f>
        <v>ON Semiconductor</v>
      </c>
      <c r="C28128" s="6">
        <v>4436</v>
      </c>
      <c r="D28128" s="7">
        <v>0.48</v>
      </c>
      <c r="E28128" t="s">
        <v>65</v>
      </c>
    </row>
    <row r="28129" spans="1:5" x14ac:dyDescent="0.25">
      <c r="A28129" t="str">
        <f>HYPERLINK("https://www.773grp.com/globalSearch/MC79L15ABPRP/page-1", "MC79L15ABPRP")</f>
        <v>MC79L15ABPRP</v>
      </c>
      <c r="B28129" s="3" t="str">
        <f>HYPERLINK("https://www.773grp.com/manufacturer/onsemi?pageNo=323", "ON Semiconductor")</f>
        <v>ON Semiconductor</v>
      </c>
      <c r="C28129" s="6">
        <v>4730</v>
      </c>
      <c r="D28129" s="7">
        <v>0.48</v>
      </c>
      <c r="E28129" t="s">
        <v>65</v>
      </c>
    </row>
    <row r="28130" spans="1:5" x14ac:dyDescent="0.25">
      <c r="A28130" t="str">
        <f>HYPERLINK("https://www.773grp.com/globalSearch/MC79L15ACD/page-1", "MC79L15ACD")</f>
        <v>MC79L15ACD</v>
      </c>
      <c r="B28130" s="3" t="str">
        <f>HYPERLINK("https://www.773grp.com/manufacturer/onsemi?pageNo=324", "ON Semiconductor")</f>
        <v>ON Semiconductor</v>
      </c>
      <c r="C28130" s="6">
        <v>16064</v>
      </c>
      <c r="D28130" s="7">
        <v>0.48</v>
      </c>
      <c r="E28130" t="s">
        <v>65</v>
      </c>
    </row>
    <row r="28131" spans="1:5" x14ac:dyDescent="0.25">
      <c r="A28131" t="str">
        <f>HYPERLINK("https://www.773grp.com/globalSearch/MCH6602-TL-E/page-1", "MCH6602-TL-E")</f>
        <v>MCH6602-TL-E</v>
      </c>
      <c r="B28131" s="3" t="str">
        <f>HYPERLINK("https://www.773grp.com/manufacturer/onsemi?pageNo=325", "ON Semiconductor")</f>
        <v>ON Semiconductor</v>
      </c>
      <c r="C28131" s="6">
        <v>3000</v>
      </c>
      <c r="D28131" s="7">
        <v>0.48</v>
      </c>
    </row>
    <row r="28132" spans="1:5" x14ac:dyDescent="0.25">
      <c r="A28132" t="str">
        <f>HYPERLINK("https://www.773grp.com/globalSearch/MJD2955-001/page-1", "MJD2955-001")</f>
        <v>MJD2955-001</v>
      </c>
      <c r="B28132" s="3" t="str">
        <f>HYPERLINK("https://www.773grp.com/manufacturer/onsemi?pageNo=326", "ON Semiconductor")</f>
        <v>ON Semiconductor</v>
      </c>
      <c r="C28132" s="6">
        <v>6300</v>
      </c>
      <c r="D28132" s="7">
        <v>0.48</v>
      </c>
      <c r="E28132" t="s">
        <v>59</v>
      </c>
    </row>
    <row r="28133" spans="1:5" x14ac:dyDescent="0.25">
      <c r="A28133" t="str">
        <f>HYPERLINK("https://www.773grp.com/globalSearch/MJE200/page-1", "MJE200")</f>
        <v>MJE200</v>
      </c>
      <c r="B28133" s="3" t="str">
        <f>HYPERLINK("https://www.773grp.com/manufacturer/onsemi?pageNo=327", "ON Semiconductor")</f>
        <v>ON Semiconductor</v>
      </c>
      <c r="C28133" s="6">
        <v>9500</v>
      </c>
      <c r="D28133" s="7">
        <v>0.48</v>
      </c>
      <c r="E28133" t="s">
        <v>59</v>
      </c>
    </row>
    <row r="28134" spans="1:5" x14ac:dyDescent="0.25">
      <c r="A28134" t="str">
        <f>HYPERLINK("https://www.773grp.com/globalSearch/MJE210/page-1", "MJE210")</f>
        <v>MJE210</v>
      </c>
      <c r="B28134" s="3" t="str">
        <f>HYPERLINK("https://www.773grp.com/manufacturer/onsemi?pageNo=328", "ON Semiconductor")</f>
        <v>ON Semiconductor</v>
      </c>
      <c r="C28134" s="6">
        <v>900</v>
      </c>
      <c r="D28134" s="7">
        <v>0.48</v>
      </c>
      <c r="E28134" t="s">
        <v>59</v>
      </c>
    </row>
    <row r="28135" spans="1:5" x14ac:dyDescent="0.25">
      <c r="A28135" t="str">
        <f>HYPERLINK("https://www.773grp.com/globalSearch/MJE3439/page-1", "MJE3439")</f>
        <v>MJE3439</v>
      </c>
      <c r="B28135" s="3" t="str">
        <f>HYPERLINK("https://www.773grp.com/manufacturer/onsemi?pageNo=329", "ON Semiconductor")</f>
        <v>ON Semiconductor</v>
      </c>
      <c r="C28135" s="6">
        <v>5500</v>
      </c>
      <c r="D28135" s="7">
        <v>0.48</v>
      </c>
      <c r="E28135" t="s">
        <v>59</v>
      </c>
    </row>
    <row r="28136" spans="1:5" x14ac:dyDescent="0.25">
      <c r="A28136" t="str">
        <f>HYPERLINK("https://www.773grp.com/globalSearch/MJE344/page-1", "MJE344")</f>
        <v>MJE344</v>
      </c>
      <c r="B28136" s="3" t="str">
        <f>HYPERLINK("https://www.773grp.com/manufacturer/onsemi?pageNo=330", "ON Semiconductor")</f>
        <v>ON Semiconductor</v>
      </c>
      <c r="C28136" s="6">
        <v>500</v>
      </c>
      <c r="D28136" s="7">
        <v>0.48</v>
      </c>
      <c r="E28136" t="s">
        <v>59</v>
      </c>
    </row>
    <row r="28137" spans="1:5" x14ac:dyDescent="0.25">
      <c r="A28137" t="str">
        <f>HYPERLINK("https://www.773grp.com/globalSearch/MMBD352LT1G/page-1", "MMBD352LT1G")</f>
        <v>MMBD352LT1G</v>
      </c>
      <c r="B28137" s="3" t="str">
        <f>HYPERLINK("https://www.773grp.com/manufacturer/onsemi?pageNo=331", "ON Semiconductor")</f>
        <v>ON Semiconductor</v>
      </c>
      <c r="C28137" s="6">
        <v>97884</v>
      </c>
      <c r="D28137" s="7">
        <v>0.48</v>
      </c>
      <c r="E28137" t="s">
        <v>108</v>
      </c>
    </row>
    <row r="28138" spans="1:5" x14ac:dyDescent="0.25">
      <c r="A28138" t="str">
        <f>HYPERLINK("https://www.773grp.com/globalSearch/MMBD353LT1G/page-1", "MMBD353LT1G")</f>
        <v>MMBD353LT1G</v>
      </c>
      <c r="B28138" s="3" t="str">
        <f>HYPERLINK("https://www.773grp.com/manufacturer/onsemi?pageNo=332", "ON Semiconductor")</f>
        <v>ON Semiconductor</v>
      </c>
      <c r="C28138" s="6">
        <v>31306</v>
      </c>
      <c r="D28138" s="7">
        <v>0.48</v>
      </c>
      <c r="E28138" t="s">
        <v>108</v>
      </c>
    </row>
    <row r="28139" spans="1:5" x14ac:dyDescent="0.25">
      <c r="A28139" t="str">
        <f>HYPERLINK("https://www.773grp.com/globalSearch/MMBD354LT1G/page-1", "MMBD354LT1G")</f>
        <v>MMBD354LT1G</v>
      </c>
      <c r="B28139" s="3" t="str">
        <f>HYPERLINK("https://www.773grp.com/manufacturer/onsemi?pageNo=333", "ON Semiconductor")</f>
        <v>ON Semiconductor</v>
      </c>
      <c r="C28139" s="6">
        <v>48000</v>
      </c>
      <c r="D28139" s="7">
        <v>0.48</v>
      </c>
      <c r="E28139" t="s">
        <v>108</v>
      </c>
    </row>
    <row r="28140" spans="1:5" x14ac:dyDescent="0.25">
      <c r="A28140" t="str">
        <f>HYPERLINK("https://www.773grp.com/globalSearch/MMBD355LT1G/page-1", "MMBD355LT1G")</f>
        <v>MMBD355LT1G</v>
      </c>
      <c r="B28140" s="3" t="str">
        <f>HYPERLINK("https://www.773grp.com/manufacturer/onsemi?pageNo=334", "ON Semiconductor")</f>
        <v>ON Semiconductor</v>
      </c>
      <c r="C28140" s="6">
        <v>21000</v>
      </c>
      <c r="D28140" s="7">
        <v>0.48</v>
      </c>
      <c r="E28140" t="s">
        <v>108</v>
      </c>
    </row>
    <row r="28141" spans="1:5" x14ac:dyDescent="0.25">
      <c r="A28141" t="str">
        <f>HYPERLINK("https://www.773grp.com/globalSearch/MMBD452LT1G/page-1", "MMBD452LT1G")</f>
        <v>MMBD452LT1G</v>
      </c>
      <c r="B28141" s="3" t="str">
        <f>HYPERLINK("https://www.773grp.com/manufacturer/onsemi?pageNo=335", "ON Semiconductor")</f>
        <v>ON Semiconductor</v>
      </c>
      <c r="C28141" s="6">
        <v>936000</v>
      </c>
      <c r="D28141" s="7">
        <v>0.48</v>
      </c>
      <c r="E28141" t="s">
        <v>108</v>
      </c>
    </row>
    <row r="28142" spans="1:5" x14ac:dyDescent="0.25">
      <c r="A28142" t="str">
        <f>HYPERLINK("https://www.773grp.com/globalSearch/MMBT6520LT1G/page-1", "MMBT6520LT1G")</f>
        <v>MMBT6520LT1G</v>
      </c>
      <c r="B28142" s="3" t="str">
        <f>HYPERLINK("https://www.773grp.com/manufacturer/onsemi?pageNo=336", "ON Semiconductor")</f>
        <v>ON Semiconductor</v>
      </c>
      <c r="C28142" s="6">
        <v>768000</v>
      </c>
      <c r="D28142" s="7">
        <v>0.48</v>
      </c>
      <c r="E28142" t="s">
        <v>69</v>
      </c>
    </row>
    <row r="28143" spans="1:5" x14ac:dyDescent="0.25">
      <c r="A28143" t="str">
        <f>HYPERLINK("https://www.773grp.com/globalSearch/MMBV2108LT1G/page-1", "MMBV2108LT1G")</f>
        <v>MMBV2108LT1G</v>
      </c>
      <c r="B28143" s="3" t="str">
        <f>HYPERLINK("https://www.773grp.com/manufacturer/onsemi?pageNo=337", "ON Semiconductor")</f>
        <v>ON Semiconductor</v>
      </c>
      <c r="C28143" s="6">
        <v>3000</v>
      </c>
      <c r="D28143" s="7">
        <v>0.48</v>
      </c>
      <c r="E28143" t="s">
        <v>101</v>
      </c>
    </row>
    <row r="28144" spans="1:5" x14ac:dyDescent="0.25">
      <c r="A28144" t="str">
        <f>HYPERLINK("https://www.773grp.com/globalSearch/MMBV2109LT1/page-1", "MMBV2109LT1")</f>
        <v>MMBV2109LT1</v>
      </c>
      <c r="B28144" s="3" t="str">
        <f>HYPERLINK("https://www.773grp.com/manufacturer/onsemi?pageNo=338", "ON Semiconductor")</f>
        <v>ON Semiconductor</v>
      </c>
      <c r="C28144" s="6">
        <v>3000</v>
      </c>
      <c r="D28144" s="7">
        <v>0.48</v>
      </c>
      <c r="E28144" t="s">
        <v>101</v>
      </c>
    </row>
    <row r="28145" spans="1:5" x14ac:dyDescent="0.25">
      <c r="A28145" t="str">
        <f>HYPERLINK("https://www.773grp.com/globalSearch/MMBV2109LT1G/page-1", "MMBV2109LT1G")</f>
        <v>MMBV2109LT1G</v>
      </c>
      <c r="B28145" s="3" t="str">
        <f>HYPERLINK("https://www.773grp.com/manufacturer/onsemi?pageNo=339", "ON Semiconductor")</f>
        <v>ON Semiconductor</v>
      </c>
      <c r="C28145" s="6">
        <v>60475</v>
      </c>
      <c r="D28145" s="7">
        <v>0.48</v>
      </c>
      <c r="E28145" t="s">
        <v>101</v>
      </c>
    </row>
    <row r="28146" spans="1:5" x14ac:dyDescent="0.25">
      <c r="A28146" t="str">
        <f>HYPERLINK("https://www.773grp.com/globalSearch/MMBV3102LT1/page-1", "MMBV3102LT1")</f>
        <v>MMBV3102LT1</v>
      </c>
      <c r="B28146" s="3" t="str">
        <f>HYPERLINK("https://www.773grp.com/manufacturer/onsemi?pageNo=340", "ON Semiconductor")</f>
        <v>ON Semiconductor</v>
      </c>
      <c r="C28146" s="6">
        <v>11999</v>
      </c>
      <c r="D28146" s="7">
        <v>0.48</v>
      </c>
      <c r="E28146" t="s">
        <v>101</v>
      </c>
    </row>
    <row r="28147" spans="1:5" x14ac:dyDescent="0.25">
      <c r="A28147" t="str">
        <f>HYPERLINK("https://www.773grp.com/globalSearch/MMBV809LT1/page-1", "MMBV809LT1")</f>
        <v>MMBV809LT1</v>
      </c>
      <c r="B28147" s="3" t="str">
        <f>HYPERLINK("https://www.773grp.com/manufacturer/onsemi?pageNo=341", "ON Semiconductor")</f>
        <v>ON Semiconductor</v>
      </c>
      <c r="C28147" s="6">
        <v>6359</v>
      </c>
      <c r="D28147" s="7">
        <v>0.48</v>
      </c>
      <c r="E28147" t="s">
        <v>101</v>
      </c>
    </row>
    <row r="28148" spans="1:5" x14ac:dyDescent="0.25">
      <c r="A28148" t="str">
        <f>HYPERLINK("https://www.773grp.com/globalSearch/MMBV809LT1G/page-1", "MMBV809LT1G")</f>
        <v>MMBV809LT1G</v>
      </c>
      <c r="B28148" s="3" t="str">
        <f>HYPERLINK("https://www.773grp.com/manufacturer/onsemi?pageNo=342", "ON Semiconductor")</f>
        <v>ON Semiconductor</v>
      </c>
      <c r="C28148" s="6">
        <v>99000</v>
      </c>
      <c r="D28148" s="7">
        <v>0.48</v>
      </c>
      <c r="E28148" t="s">
        <v>101</v>
      </c>
    </row>
    <row r="28149" spans="1:5" x14ac:dyDescent="0.25">
      <c r="A28149" t="str">
        <f>HYPERLINK("https://www.773grp.com/globalSearch/MMSZ5248T1/page-1", "MMSZ5248T1")</f>
        <v>MMSZ5248T1</v>
      </c>
      <c r="B28149" s="3" t="str">
        <f>HYPERLINK("https://www.773grp.com/manufacturer/onsemi?pageNo=343", "ON Semiconductor")</f>
        <v>ON Semiconductor</v>
      </c>
      <c r="C28149" s="6">
        <v>8615</v>
      </c>
      <c r="D28149" s="7">
        <v>0.48</v>
      </c>
    </row>
    <row r="28150" spans="1:5" x14ac:dyDescent="0.25">
      <c r="A28150" t="str">
        <f>HYPERLINK("https://www.773grp.com/globalSearch/MMT10B350T3/page-1", "MMT10B350T3")</f>
        <v>MMT10B350T3</v>
      </c>
      <c r="B28150" s="3" t="str">
        <f>HYPERLINK("https://www.773grp.com/manufacturer/onsemi?pageNo=344", "ON Semiconductor")</f>
        <v>ON Semiconductor</v>
      </c>
      <c r="C28150" s="6">
        <v>32313</v>
      </c>
      <c r="D28150" s="7">
        <v>0.48</v>
      </c>
      <c r="E28150" t="s">
        <v>109</v>
      </c>
    </row>
    <row r="28151" spans="1:5" x14ac:dyDescent="0.25">
      <c r="A28151" t="str">
        <f>HYPERLINK("https://www.773grp.com/globalSearch/MPF4392G/page-1", "MPF4392G")</f>
        <v>MPF4392G</v>
      </c>
      <c r="B28151" s="3" t="str">
        <f>HYPERLINK("https://www.773grp.com/manufacturer/onsemi?pageNo=345", "ON Semiconductor")</f>
        <v>ON Semiconductor</v>
      </c>
      <c r="C28151" s="6">
        <v>7367</v>
      </c>
      <c r="D28151" s="7">
        <v>0.48</v>
      </c>
      <c r="E28151" t="s">
        <v>106</v>
      </c>
    </row>
    <row r="28152" spans="1:5" x14ac:dyDescent="0.25">
      <c r="A28152" t="str">
        <f>HYPERLINK("https://www.773grp.com/globalSearch/MPF4393/page-1", "MPF4393")</f>
        <v>MPF4393</v>
      </c>
      <c r="B28152" s="3" t="str">
        <f>HYPERLINK("https://www.773grp.com/manufacturer/onsemi?pageNo=346", "ON Semiconductor")</f>
        <v>ON Semiconductor</v>
      </c>
      <c r="C28152" s="6">
        <v>35197</v>
      </c>
      <c r="D28152" s="7">
        <v>0.48</v>
      </c>
      <c r="E28152" t="s">
        <v>106</v>
      </c>
    </row>
    <row r="28153" spans="1:5" x14ac:dyDescent="0.25">
      <c r="A28153" t="str">
        <f>HYPERLINK("https://www.773grp.com/globalSearch/MPF4393G/page-1", "MPF4393G")</f>
        <v>MPF4393G</v>
      </c>
      <c r="B28153" s="3" t="str">
        <f>HYPERLINK("https://www.773grp.com/manufacturer/onsemi?pageNo=347", "ON Semiconductor")</f>
        <v>ON Semiconductor</v>
      </c>
      <c r="C28153" s="6">
        <v>16000</v>
      </c>
      <c r="D28153" s="7">
        <v>0.48</v>
      </c>
      <c r="E28153" t="s">
        <v>106</v>
      </c>
    </row>
    <row r="28154" spans="1:5" x14ac:dyDescent="0.25">
      <c r="A28154" t="str">
        <f>HYPERLINK("https://www.773grp.com/globalSearch/MPS2222G/page-1", "MPS2222G")</f>
        <v>MPS2222G</v>
      </c>
      <c r="B28154" s="3" t="str">
        <f>HYPERLINK("https://www.773grp.com/manufacturer/onsemi?pageNo=348", "ON Semiconductor")</f>
        <v>ON Semiconductor</v>
      </c>
      <c r="C28154" s="6">
        <v>72115</v>
      </c>
      <c r="D28154" s="7">
        <v>0.48</v>
      </c>
      <c r="E28154" t="s">
        <v>69</v>
      </c>
    </row>
    <row r="28155" spans="1:5" x14ac:dyDescent="0.25">
      <c r="A28155" t="str">
        <f>HYPERLINK("https://www.773grp.com/globalSearch/MPS2222RLRPG/page-1", "MPS2222RLRPG")</f>
        <v>MPS2222RLRPG</v>
      </c>
      <c r="B28155" s="3" t="str">
        <f>HYPERLINK("https://www.773grp.com/manufacturer/onsemi?pageNo=349", "ON Semiconductor")</f>
        <v>ON Semiconductor</v>
      </c>
      <c r="C28155" s="6">
        <v>84000</v>
      </c>
      <c r="D28155" s="7">
        <v>0.48</v>
      </c>
      <c r="E28155" t="s">
        <v>69</v>
      </c>
    </row>
    <row r="28156" spans="1:5" x14ac:dyDescent="0.25">
      <c r="A28156" t="str">
        <f>HYPERLINK("https://www.773grp.com/globalSearch/MPS3702/page-1", "MPS3702")</f>
        <v>MPS3702</v>
      </c>
      <c r="B28156" s="3" t="str">
        <f>HYPERLINK("https://www.773grp.com/manufacturer/onsemi?pageNo=350", "ON Semiconductor")</f>
        <v>ON Semiconductor</v>
      </c>
      <c r="C28156" s="6">
        <v>1775</v>
      </c>
      <c r="D28156" s="7">
        <v>0.48</v>
      </c>
      <c r="E28156" t="s">
        <v>69</v>
      </c>
    </row>
    <row r="28157" spans="1:5" x14ac:dyDescent="0.25">
      <c r="A28157" t="str">
        <f>HYPERLINK("https://www.773grp.com/globalSearch/MPS6652RLRAG/page-1", "MPS6652RLRAG")</f>
        <v>MPS6652RLRAG</v>
      </c>
      <c r="B28157" s="3" t="str">
        <f>HYPERLINK("https://www.773grp.com/manufacturer/onsemi?pageNo=351", "ON Semiconductor")</f>
        <v>ON Semiconductor</v>
      </c>
      <c r="C28157" s="6">
        <v>6000</v>
      </c>
      <c r="D28157" s="7">
        <v>0.48</v>
      </c>
      <c r="E28157" t="s">
        <v>69</v>
      </c>
    </row>
    <row r="28158" spans="1:5" x14ac:dyDescent="0.25">
      <c r="A28158" t="str">
        <f>HYPERLINK("https://www.773grp.com/globalSearch/MPS8599RLRAG/page-1", "MPS8599RLRAG")</f>
        <v>MPS8599RLRAG</v>
      </c>
      <c r="B28158" s="3" t="str">
        <f>HYPERLINK("https://www.773grp.com/manufacturer/onsemi?pageNo=352", "ON Semiconductor")</f>
        <v>ON Semiconductor</v>
      </c>
      <c r="C28158" s="6">
        <v>24155</v>
      </c>
      <c r="D28158" s="7">
        <v>0.48</v>
      </c>
      <c r="E28158" t="s">
        <v>69</v>
      </c>
    </row>
    <row r="28159" spans="1:5" x14ac:dyDescent="0.25">
      <c r="A28159" t="str">
        <f>HYPERLINK("https://www.773grp.com/globalSearch/MPSH11/page-1", "MPSH11")</f>
        <v>MPSH11</v>
      </c>
      <c r="B28159" s="3" t="str">
        <f>HYPERLINK("https://www.773grp.com/manufacturer/onsemi?pageNo=353", "ON Semiconductor")</f>
        <v>ON Semiconductor</v>
      </c>
      <c r="C28159" s="6">
        <v>18500</v>
      </c>
      <c r="D28159" s="7">
        <v>0.48</v>
      </c>
      <c r="E28159" t="s">
        <v>61</v>
      </c>
    </row>
    <row r="28160" spans="1:5" x14ac:dyDescent="0.25">
      <c r="A28160" t="str">
        <f>HYPERLINK("https://www.773grp.com/globalSearch/MUR210G/page-1", "MUR210G")</f>
        <v>MUR210G</v>
      </c>
      <c r="B28160" s="3" t="str">
        <f>HYPERLINK("https://www.773grp.com/manufacturer/onsemi?pageNo=354", "ON Semiconductor")</f>
        <v>ON Semiconductor</v>
      </c>
      <c r="C28160" s="6">
        <v>8462</v>
      </c>
      <c r="D28160" s="7">
        <v>0.48</v>
      </c>
      <c r="E28160" t="s">
        <v>103</v>
      </c>
    </row>
    <row r="28161" spans="1:5" x14ac:dyDescent="0.25">
      <c r="A28161" t="str">
        <f>HYPERLINK("https://www.773grp.com/globalSearch/MUR210RLG/page-1", "MUR210RLG")</f>
        <v>MUR210RLG</v>
      </c>
      <c r="B28161" s="3" t="str">
        <f>HYPERLINK("https://www.773grp.com/manufacturer/onsemi?pageNo=355", "ON Semiconductor")</f>
        <v>ON Semiconductor</v>
      </c>
      <c r="C28161" s="6">
        <v>5000</v>
      </c>
      <c r="D28161" s="7">
        <v>0.48</v>
      </c>
    </row>
    <row r="28162" spans="1:5" x14ac:dyDescent="0.25">
      <c r="A28162" t="str">
        <f>HYPERLINK("https://www.773grp.com/globalSearch/MUR220G/page-1", "MUR220G")</f>
        <v>MUR220G</v>
      </c>
      <c r="B28162" s="3" t="str">
        <f>HYPERLINK("https://www.773grp.com/manufacturer/onsemi?pageNo=356", "ON Semiconductor")</f>
        <v>ON Semiconductor</v>
      </c>
      <c r="C28162" s="6">
        <v>26180</v>
      </c>
      <c r="D28162" s="7">
        <v>0.48</v>
      </c>
      <c r="E28162" t="s">
        <v>103</v>
      </c>
    </row>
    <row r="28163" spans="1:5" x14ac:dyDescent="0.25">
      <c r="A28163" t="str">
        <f>HYPERLINK("https://www.773grp.com/globalSearch/MUR220RLG/page-1", "MUR220RLG")</f>
        <v>MUR220RLG</v>
      </c>
      <c r="B28163" s="3" t="str">
        <f>HYPERLINK("https://www.773grp.com/manufacturer/onsemi?pageNo=357", "ON Semiconductor")</f>
        <v>ON Semiconductor</v>
      </c>
      <c r="C28163" s="6">
        <v>225000</v>
      </c>
      <c r="D28163" s="7">
        <v>0.48</v>
      </c>
      <c r="E28163" t="s">
        <v>103</v>
      </c>
    </row>
    <row r="28164" spans="1:5" x14ac:dyDescent="0.25">
      <c r="A28164" t="str">
        <f>HYPERLINK("https://www.773grp.com/globalSearch/MUR240G/page-1", "MUR240G")</f>
        <v>MUR240G</v>
      </c>
      <c r="B28164" s="3" t="str">
        <f>HYPERLINK("https://www.773grp.com/manufacturer/onsemi?pageNo=358", "ON Semiconductor")</f>
        <v>ON Semiconductor</v>
      </c>
      <c r="C28164" s="6">
        <v>22800</v>
      </c>
      <c r="D28164" s="7">
        <v>0.48</v>
      </c>
      <c r="E28164" t="s">
        <v>103</v>
      </c>
    </row>
    <row r="28165" spans="1:5" x14ac:dyDescent="0.25">
      <c r="A28165" t="str">
        <f>HYPERLINK("https://www.773grp.com/globalSearch/MUR240RLG/page-1", "MUR240RLG")</f>
        <v>MUR240RLG</v>
      </c>
      <c r="B28165" s="3" t="str">
        <f>HYPERLINK("https://www.773grp.com/manufacturer/onsemi?pageNo=359", "ON Semiconductor")</f>
        <v>ON Semiconductor</v>
      </c>
      <c r="C28165" s="6">
        <v>476424</v>
      </c>
      <c r="D28165" s="7">
        <v>0.48</v>
      </c>
      <c r="E28165" t="s">
        <v>103</v>
      </c>
    </row>
    <row r="28166" spans="1:5" x14ac:dyDescent="0.25">
      <c r="A28166" t="str">
        <f>HYPERLINK("https://www.773grp.com/globalSearch/MUR260G/page-1", "MUR260G")</f>
        <v>MUR260G</v>
      </c>
      <c r="B28166" s="3" t="str">
        <f>HYPERLINK("https://www.773grp.com/manufacturer/onsemi?pageNo=360", "ON Semiconductor")</f>
        <v>ON Semiconductor</v>
      </c>
      <c r="C28166" s="6">
        <v>6000</v>
      </c>
      <c r="D28166" s="7">
        <v>0.48</v>
      </c>
      <c r="E28166" t="s">
        <v>103</v>
      </c>
    </row>
    <row r="28167" spans="1:5" x14ac:dyDescent="0.25">
      <c r="A28167" t="str">
        <f>HYPERLINK("https://www.773grp.com/globalSearch/MUR260RLG/page-1", "MUR260RLG")</f>
        <v>MUR260RLG</v>
      </c>
      <c r="B28167" s="3" t="str">
        <f>HYPERLINK("https://www.773grp.com/manufacturer/onsemi?pageNo=361", "ON Semiconductor")</f>
        <v>ON Semiconductor</v>
      </c>
      <c r="C28167" s="6">
        <v>76518</v>
      </c>
      <c r="D28167" s="7">
        <v>0.48</v>
      </c>
      <c r="E28167" t="s">
        <v>103</v>
      </c>
    </row>
    <row r="28168" spans="1:5" x14ac:dyDescent="0.25">
      <c r="A28168" t="str">
        <f>HYPERLINK("https://www.773grp.com/globalSearch/MURA215T3G/page-1", "MURA215T3G")</f>
        <v>MURA215T3G</v>
      </c>
      <c r="B28168" s="3" t="str">
        <f>HYPERLINK("https://www.773grp.com/manufacturer/onsemi?pageNo=362", "ON Semiconductor")</f>
        <v>ON Semiconductor</v>
      </c>
      <c r="C28168" s="6">
        <v>5000</v>
      </c>
      <c r="D28168" s="7">
        <v>0.48</v>
      </c>
      <c r="E28168" t="s">
        <v>103</v>
      </c>
    </row>
    <row r="28169" spans="1:5" x14ac:dyDescent="0.25">
      <c r="A28169" t="str">
        <f>HYPERLINK("https://www.773grp.com/globalSearch/MURA220T3G/page-1", "MURA220T3G")</f>
        <v>MURA220T3G</v>
      </c>
      <c r="B28169" s="3" t="str">
        <f>HYPERLINK("https://www.773grp.com/manufacturer/onsemi?pageNo=363", "ON Semiconductor")</f>
        <v>ON Semiconductor</v>
      </c>
      <c r="C28169" s="6">
        <v>290000</v>
      </c>
      <c r="D28169" s="7">
        <v>0.48</v>
      </c>
      <c r="E28169" t="s">
        <v>103</v>
      </c>
    </row>
    <row r="28170" spans="1:5" x14ac:dyDescent="0.25">
      <c r="A28170" t="str">
        <f>HYPERLINK("https://www.773grp.com/globalSearch/MURA230T3G/page-1", "MURA230T3G")</f>
        <v>MURA230T3G</v>
      </c>
      <c r="B28170" s="3" t="str">
        <f>HYPERLINK("https://www.773grp.com/manufacturer/onsemi?pageNo=364", "ON Semiconductor")</f>
        <v>ON Semiconductor</v>
      </c>
      <c r="C28170" s="6">
        <v>5000</v>
      </c>
      <c r="D28170" s="7">
        <v>0.48</v>
      </c>
    </row>
    <row r="28171" spans="1:5" x14ac:dyDescent="0.25">
      <c r="A28171" t="str">
        <f>HYPERLINK("https://www.773grp.com/globalSearch/MZP4729ARL/page-1", "MZP4729ARL")</f>
        <v>MZP4729ARL</v>
      </c>
      <c r="B28171" s="3" t="str">
        <f>HYPERLINK("https://www.773grp.com/manufacturer/onsemi?pageNo=365", "ON Semiconductor")</f>
        <v>ON Semiconductor</v>
      </c>
      <c r="C28171" s="6">
        <v>108000</v>
      </c>
      <c r="D28171" s="7">
        <v>0.48</v>
      </c>
      <c r="E28171" t="s">
        <v>98</v>
      </c>
    </row>
    <row r="28172" spans="1:5" x14ac:dyDescent="0.25">
      <c r="A28172" t="str">
        <f>HYPERLINK("https://www.773grp.com/globalSearch/MZP4734ARL/page-1", "MZP4734ARL")</f>
        <v>MZP4734ARL</v>
      </c>
      <c r="B28172" s="3" t="str">
        <f>HYPERLINK("https://www.773grp.com/manufacturer/onsemi?pageNo=366", "ON Semiconductor")</f>
        <v>ON Semiconductor</v>
      </c>
      <c r="C28172" s="6">
        <v>36000</v>
      </c>
      <c r="D28172" s="7">
        <v>0.48</v>
      </c>
      <c r="E28172" t="s">
        <v>98</v>
      </c>
    </row>
    <row r="28173" spans="1:5" x14ac:dyDescent="0.25">
      <c r="A28173" t="str">
        <f>HYPERLINK("https://www.773grp.com/globalSearch/MZP4741ARL/page-1", "MZP4741ARL")</f>
        <v>MZP4741ARL</v>
      </c>
      <c r="B28173" s="3" t="str">
        <f>HYPERLINK("https://www.773grp.com/manufacturer/onsemi?pageNo=367", "ON Semiconductor")</f>
        <v>ON Semiconductor</v>
      </c>
      <c r="C28173" s="6">
        <v>6000</v>
      </c>
      <c r="D28173" s="7">
        <v>0.48</v>
      </c>
      <c r="E28173" t="s">
        <v>98</v>
      </c>
    </row>
    <row r="28174" spans="1:5" x14ac:dyDescent="0.25">
      <c r="A28174" t="str">
        <f>HYPERLINK("https://www.773grp.com/globalSearch/MZP4744ARLG/page-1", "MZP4744ARLG")</f>
        <v>MZP4744ARLG</v>
      </c>
      <c r="B28174" s="3" t="str">
        <f>HYPERLINK("https://www.773grp.com/manufacturer/onsemi?pageNo=368", "ON Semiconductor")</f>
        <v>ON Semiconductor</v>
      </c>
      <c r="C28174" s="6">
        <v>6000</v>
      </c>
      <c r="D28174" s="7">
        <v>0.48</v>
      </c>
    </row>
    <row r="28175" spans="1:5" x14ac:dyDescent="0.25">
      <c r="A28175" t="str">
        <f>HYPERLINK("https://www.773grp.com/globalSearch/MZP4746ATA/page-1", "MZP4746ATA")</f>
        <v>MZP4746ATA</v>
      </c>
      <c r="B28175" s="3" t="str">
        <f>HYPERLINK("https://www.773grp.com/manufacturer/onsemi?pageNo=369", "ON Semiconductor")</f>
        <v>ON Semiconductor</v>
      </c>
      <c r="C28175" s="6">
        <v>8500</v>
      </c>
      <c r="D28175" s="7">
        <v>0.48</v>
      </c>
      <c r="E28175" t="s">
        <v>98</v>
      </c>
    </row>
    <row r="28176" spans="1:5" x14ac:dyDescent="0.25">
      <c r="A28176" t="str">
        <f>HYPERLINK("https://www.773grp.com/globalSearch/MZP4750ARL/page-1", "MZP4750ARL")</f>
        <v>MZP4750ARL</v>
      </c>
      <c r="B28176" s="3" t="str">
        <f>HYPERLINK("https://www.773grp.com/manufacturer/onsemi?pageNo=370", "ON Semiconductor")</f>
        <v>ON Semiconductor</v>
      </c>
      <c r="C28176" s="6">
        <v>9500</v>
      </c>
      <c r="D28176" s="7">
        <v>0.48</v>
      </c>
      <c r="E28176" t="s">
        <v>98</v>
      </c>
    </row>
    <row r="28177" spans="1:5" x14ac:dyDescent="0.25">
      <c r="A28177" t="str">
        <f>HYPERLINK("https://www.773grp.com/globalSearch/MZP4751ARL/page-1", "MZP4751ARL")</f>
        <v>MZP4751ARL</v>
      </c>
      <c r="B28177" s="3" t="str">
        <f>HYPERLINK("https://www.773grp.com/manufacturer/onsemi?pageNo=371", "ON Semiconductor")</f>
        <v>ON Semiconductor</v>
      </c>
      <c r="C28177" s="6">
        <v>2000</v>
      </c>
      <c r="D28177" s="7">
        <v>0.48</v>
      </c>
      <c r="E28177" t="s">
        <v>98</v>
      </c>
    </row>
    <row r="28178" spans="1:5" x14ac:dyDescent="0.25">
      <c r="A28178" t="str">
        <f>HYPERLINK("https://www.773grp.com/globalSearch/MZP4751ARLG/page-1", "MZP4751ARLG")</f>
        <v>MZP4751ARLG</v>
      </c>
      <c r="B28178" s="3" t="str">
        <f>HYPERLINK("https://www.773grp.com/manufacturer/onsemi?pageNo=372", "ON Semiconductor")</f>
        <v>ON Semiconductor</v>
      </c>
      <c r="C28178" s="6">
        <v>12000</v>
      </c>
      <c r="D28178" s="7">
        <v>0.48</v>
      </c>
    </row>
    <row r="28179" spans="1:5" x14ac:dyDescent="0.25">
      <c r="A28179" t="str">
        <f>HYPERLINK("https://www.773grp.com/globalSearch/NC17SZ08XV5T2/page-1", "NC17SZ08XV5T2")</f>
        <v>NC17SZ08XV5T2</v>
      </c>
      <c r="B28179" s="3" t="str">
        <f>HYPERLINK("https://www.773grp.com/manufacturer/onsemi?pageNo=373", "ON Semiconductor")</f>
        <v>ON Semiconductor</v>
      </c>
      <c r="C28179" s="6">
        <v>1190</v>
      </c>
      <c r="D28179" s="7">
        <v>0.48</v>
      </c>
    </row>
    <row r="28180" spans="1:5" x14ac:dyDescent="0.25">
      <c r="A28180" t="str">
        <f>HYPERLINK("https://www.773grp.com/globalSearch/NCP301LSN12T1/page-1", "NCP301LSN12T1")</f>
        <v>NCP301LSN12T1</v>
      </c>
      <c r="B28180" s="3" t="str">
        <f>HYPERLINK("https://www.773grp.com/manufacturer/onsemi?pageNo=374", "ON Semiconductor")</f>
        <v>ON Semiconductor</v>
      </c>
      <c r="C28180" s="6">
        <v>2870</v>
      </c>
      <c r="D28180" s="7">
        <v>0.48</v>
      </c>
      <c r="E28180" t="s">
        <v>30</v>
      </c>
    </row>
    <row r="28181" spans="1:5" x14ac:dyDescent="0.25">
      <c r="A28181" t="str">
        <f>HYPERLINK("https://www.773grp.com/globalSearch/NCP500SN185T1/page-1", "NCP500SN185T1")</f>
        <v>NCP500SN185T1</v>
      </c>
      <c r="B28181" s="3" t="str">
        <f>HYPERLINK("https://www.773grp.com/manufacturer/onsemi?pageNo=375", "ON Semiconductor")</f>
        <v>ON Semiconductor</v>
      </c>
      <c r="C28181" s="6">
        <v>3000</v>
      </c>
      <c r="D28181" s="7">
        <v>0.48</v>
      </c>
      <c r="E28181" t="s">
        <v>19</v>
      </c>
    </row>
    <row r="28182" spans="1:5" x14ac:dyDescent="0.25">
      <c r="A28182" t="str">
        <f>HYPERLINK("https://www.773grp.com/globalSearch/NCP500SN18T1/page-1", "NCP500SN18T1")</f>
        <v>NCP500SN18T1</v>
      </c>
      <c r="B28182" s="3" t="str">
        <f>HYPERLINK("https://www.773grp.com/manufacturer/onsemi?pageNo=376", "ON Semiconductor")</f>
        <v>ON Semiconductor</v>
      </c>
      <c r="C28182" s="6">
        <v>34933</v>
      </c>
      <c r="D28182" s="7">
        <v>0.48</v>
      </c>
      <c r="E28182" t="s">
        <v>19</v>
      </c>
    </row>
    <row r="28183" spans="1:5" x14ac:dyDescent="0.25">
      <c r="A28183" t="str">
        <f>HYPERLINK("https://www.773grp.com/globalSearch/NCP500SN25T1/page-1", "NCP500SN25T1")</f>
        <v>NCP500SN25T1</v>
      </c>
      <c r="B28183" s="3" t="str">
        <f>HYPERLINK("https://www.773grp.com/manufacturer/onsemi?pageNo=377", "ON Semiconductor")</f>
        <v>ON Semiconductor</v>
      </c>
      <c r="C28183" s="6">
        <v>72329</v>
      </c>
      <c r="D28183" s="7">
        <v>0.48</v>
      </c>
      <c r="E28183" t="s">
        <v>19</v>
      </c>
    </row>
    <row r="28184" spans="1:5" x14ac:dyDescent="0.25">
      <c r="A28184" t="str">
        <f>HYPERLINK("https://www.773grp.com/globalSearch/NCP500SN26T1/page-1", "NCP500SN26T1")</f>
        <v>NCP500SN26T1</v>
      </c>
      <c r="B28184" s="3" t="str">
        <f>HYPERLINK("https://www.773grp.com/manufacturer/onsemi?pageNo=378", "ON Semiconductor")</f>
        <v>ON Semiconductor</v>
      </c>
      <c r="C28184" s="6">
        <v>6000</v>
      </c>
      <c r="D28184" s="7">
        <v>0.48</v>
      </c>
      <c r="E28184" t="s">
        <v>19</v>
      </c>
    </row>
    <row r="28185" spans="1:5" x14ac:dyDescent="0.25">
      <c r="A28185" t="str">
        <f>HYPERLINK("https://www.773grp.com/globalSearch/NCP500SN27T1/page-1", "NCP500SN27T1")</f>
        <v>NCP500SN27T1</v>
      </c>
      <c r="B28185" s="3" t="str">
        <f>HYPERLINK("https://www.773grp.com/manufacturer/onsemi?pageNo=379", "ON Semiconductor")</f>
        <v>ON Semiconductor</v>
      </c>
      <c r="C28185" s="6">
        <v>5980</v>
      </c>
      <c r="D28185" s="7">
        <v>0.48</v>
      </c>
      <c r="E28185" t="s">
        <v>19</v>
      </c>
    </row>
    <row r="28186" spans="1:5" x14ac:dyDescent="0.25">
      <c r="A28186" t="str">
        <f>HYPERLINK("https://www.773grp.com/globalSearch/NCP500SN28T1/page-1", "NCP500SN28T1")</f>
        <v>NCP500SN28T1</v>
      </c>
      <c r="B28186" s="3" t="str">
        <f>HYPERLINK("https://www.773grp.com/manufacturer/onsemi?pageNo=380", "ON Semiconductor")</f>
        <v>ON Semiconductor</v>
      </c>
      <c r="C28186" s="6">
        <v>20898</v>
      </c>
      <c r="D28186" s="7">
        <v>0.48</v>
      </c>
      <c r="E28186" t="s">
        <v>19</v>
      </c>
    </row>
    <row r="28187" spans="1:5" x14ac:dyDescent="0.25">
      <c r="A28187" t="str">
        <f>HYPERLINK("https://www.773grp.com/globalSearch/NCP500SN50T1/page-1", "NCP500SN50T1")</f>
        <v>NCP500SN50T1</v>
      </c>
      <c r="B28187" s="3" t="str">
        <f>HYPERLINK("https://www.773grp.com/manufacturer/onsemi?pageNo=381", "ON Semiconductor")</f>
        <v>ON Semiconductor</v>
      </c>
      <c r="C28187" s="6">
        <v>10</v>
      </c>
      <c r="D28187" s="7">
        <v>0.48</v>
      </c>
      <c r="E28187" t="s">
        <v>19</v>
      </c>
    </row>
    <row r="28188" spans="1:5" x14ac:dyDescent="0.25">
      <c r="A28188" t="str">
        <f>HYPERLINK("https://www.773grp.com/globalSearch/NCP511SN15T1/page-1", "NCP511SN15T1")</f>
        <v>NCP511SN15T1</v>
      </c>
      <c r="B28188" s="3" t="str">
        <f>HYPERLINK("https://www.773grp.com/manufacturer/onsemi?pageNo=382", "ON Semiconductor")</f>
        <v>ON Semiconductor</v>
      </c>
      <c r="C28188" s="6">
        <v>6000</v>
      </c>
      <c r="D28188" s="7">
        <v>0.48</v>
      </c>
      <c r="E28188" t="s">
        <v>19</v>
      </c>
    </row>
    <row r="28189" spans="1:5" x14ac:dyDescent="0.25">
      <c r="A28189" t="str">
        <f>HYPERLINK("https://www.773grp.com/globalSearch/NCP511SN18T1/page-1", "NCP511SN18T1")</f>
        <v>NCP511SN18T1</v>
      </c>
      <c r="B28189" s="3" t="str">
        <f>HYPERLINK("https://www.773grp.com/manufacturer/onsemi?pageNo=383", "ON Semiconductor")</f>
        <v>ON Semiconductor</v>
      </c>
      <c r="C28189" s="6">
        <v>26831</v>
      </c>
      <c r="D28189" s="7">
        <v>0.48</v>
      </c>
      <c r="E28189" t="s">
        <v>19</v>
      </c>
    </row>
    <row r="28190" spans="1:5" x14ac:dyDescent="0.25">
      <c r="A28190" t="str">
        <f>HYPERLINK("https://www.773grp.com/globalSearch/NCP511SN25T1/page-1", "NCP511SN25T1")</f>
        <v>NCP511SN25T1</v>
      </c>
      <c r="B28190" s="3" t="str">
        <f>HYPERLINK("https://www.773grp.com/manufacturer/onsemi?pageNo=384", "ON Semiconductor")</f>
        <v>ON Semiconductor</v>
      </c>
      <c r="C28190" s="6">
        <v>67973</v>
      </c>
      <c r="D28190" s="7">
        <v>0.48</v>
      </c>
      <c r="E28190" t="s">
        <v>19</v>
      </c>
    </row>
    <row r="28191" spans="1:5" x14ac:dyDescent="0.25">
      <c r="A28191" t="str">
        <f>HYPERLINK("https://www.773grp.com/globalSearch/NCP511SN28T1/page-1", "NCP511SN28T1")</f>
        <v>NCP511SN28T1</v>
      </c>
      <c r="B28191" s="3" t="str">
        <f>HYPERLINK("https://www.773grp.com/manufacturer/onsemi?pageNo=385", "ON Semiconductor")</f>
        <v>ON Semiconductor</v>
      </c>
      <c r="C28191" s="6">
        <v>21000</v>
      </c>
      <c r="D28191" s="7">
        <v>0.48</v>
      </c>
      <c r="E28191" t="s">
        <v>19</v>
      </c>
    </row>
    <row r="28192" spans="1:5" x14ac:dyDescent="0.25">
      <c r="A28192" t="str">
        <f>HYPERLINK("https://www.773grp.com/globalSearch/NCP511SN30T1/page-1", "NCP511SN30T1")</f>
        <v>NCP511SN30T1</v>
      </c>
      <c r="B28192" s="3" t="str">
        <f>HYPERLINK("https://www.773grp.com/manufacturer/onsemi?pageNo=386", "ON Semiconductor")</f>
        <v>ON Semiconductor</v>
      </c>
      <c r="C28192" s="6">
        <v>95850</v>
      </c>
      <c r="D28192" s="7">
        <v>0.48</v>
      </c>
      <c r="E28192" t="s">
        <v>19</v>
      </c>
    </row>
    <row r="28193" spans="1:5" x14ac:dyDescent="0.25">
      <c r="A28193" t="str">
        <f>HYPERLINK("https://www.773grp.com/globalSearch/NCP511SN33T1/page-1", "NCP511SN33T1")</f>
        <v>NCP511SN33T1</v>
      </c>
      <c r="B28193" s="3" t="str">
        <f>HYPERLINK("https://www.773grp.com/manufacturer/onsemi?pageNo=387", "ON Semiconductor")</f>
        <v>ON Semiconductor</v>
      </c>
      <c r="C28193" s="6">
        <v>11570</v>
      </c>
      <c r="D28193" s="7">
        <v>0.48</v>
      </c>
      <c r="E28193" t="s">
        <v>19</v>
      </c>
    </row>
    <row r="28194" spans="1:5" x14ac:dyDescent="0.25">
      <c r="A28194" t="str">
        <f>HYPERLINK("https://www.773grp.com/globalSearch/NCP551SN25T1/page-1", "NCP551SN25T1")</f>
        <v>NCP551SN25T1</v>
      </c>
      <c r="B28194" s="3" t="str">
        <f>HYPERLINK("https://www.773grp.com/manufacturer/onsemi?pageNo=388", "ON Semiconductor")</f>
        <v>ON Semiconductor</v>
      </c>
      <c r="C28194" s="6">
        <v>202</v>
      </c>
      <c r="D28194" s="7">
        <v>0.48</v>
      </c>
      <c r="E28194" t="s">
        <v>19</v>
      </c>
    </row>
    <row r="28195" spans="1:5" x14ac:dyDescent="0.25">
      <c r="A28195" t="str">
        <f>HYPERLINK("https://www.773grp.com/globalSearch/NCP551SN27T1/page-1", "NCP551SN27T1")</f>
        <v>NCP551SN27T1</v>
      </c>
      <c r="B28195" s="3" t="str">
        <f>HYPERLINK("https://www.773grp.com/manufacturer/onsemi?pageNo=389", "ON Semiconductor")</f>
        <v>ON Semiconductor</v>
      </c>
      <c r="C28195" s="6">
        <v>2890</v>
      </c>
      <c r="D28195" s="7">
        <v>0.48</v>
      </c>
      <c r="E28195" t="s">
        <v>19</v>
      </c>
    </row>
    <row r="28196" spans="1:5" x14ac:dyDescent="0.25">
      <c r="A28196" t="str">
        <f>HYPERLINK("https://www.773grp.com/globalSearch/NCP551SN28T1/page-1", "NCP551SN28T1")</f>
        <v>NCP551SN28T1</v>
      </c>
      <c r="B28196" s="3" t="str">
        <f>HYPERLINK("https://www.773grp.com/manufacturer/onsemi?pageNo=390", "ON Semiconductor")</f>
        <v>ON Semiconductor</v>
      </c>
      <c r="C28196" s="6">
        <v>11987</v>
      </c>
      <c r="D28196" s="7">
        <v>0.48</v>
      </c>
      <c r="E28196" t="s">
        <v>19</v>
      </c>
    </row>
    <row r="28197" spans="1:5" x14ac:dyDescent="0.25">
      <c r="A28197" t="str">
        <f>HYPERLINK("https://www.773grp.com/globalSearch/NCP551SN33T1/page-1", "NCP551SN33T1")</f>
        <v>NCP551SN33T1</v>
      </c>
      <c r="B28197" s="3" t="str">
        <f>HYPERLINK("https://www.773grp.com/manufacturer/onsemi?pageNo=391", "ON Semiconductor")</f>
        <v>ON Semiconductor</v>
      </c>
      <c r="C28197" s="6">
        <v>165279</v>
      </c>
      <c r="D28197" s="7">
        <v>0.48</v>
      </c>
      <c r="E28197" t="s">
        <v>19</v>
      </c>
    </row>
    <row r="28198" spans="1:5" x14ac:dyDescent="0.25">
      <c r="A28198" t="str">
        <f>HYPERLINK("https://www.773grp.com/globalSearch/NCP552SQ15T1/page-1", "NCP552SQ15T1")</f>
        <v>NCP552SQ15T1</v>
      </c>
      <c r="B28198" s="3" t="str">
        <f>HYPERLINK("https://www.773grp.com/manufacturer/onsemi?pageNo=392", "ON Semiconductor")</f>
        <v>ON Semiconductor</v>
      </c>
      <c r="C28198" s="6">
        <v>3000</v>
      </c>
      <c r="D28198" s="7">
        <v>0.48</v>
      </c>
      <c r="E28198" t="s">
        <v>19</v>
      </c>
    </row>
    <row r="28199" spans="1:5" x14ac:dyDescent="0.25">
      <c r="A28199" t="str">
        <f>HYPERLINK("https://www.773grp.com/globalSearch/NCP552SQ25T1/page-1", "NCP552SQ25T1")</f>
        <v>NCP552SQ25T1</v>
      </c>
      <c r="B28199" s="3" t="str">
        <f>HYPERLINK("https://www.773grp.com/manufacturer/onsemi?pageNo=393", "ON Semiconductor")</f>
        <v>ON Semiconductor</v>
      </c>
      <c r="C28199" s="6">
        <v>6000</v>
      </c>
      <c r="D28199" s="7">
        <v>0.48</v>
      </c>
      <c r="E28199" t="s">
        <v>19</v>
      </c>
    </row>
    <row r="28200" spans="1:5" x14ac:dyDescent="0.25">
      <c r="A28200" t="str">
        <f>HYPERLINK("https://www.773grp.com/globalSearch/NCP552SQ27T1/page-1", "NCP552SQ27T1")</f>
        <v>NCP552SQ27T1</v>
      </c>
      <c r="B28200" s="3" t="str">
        <f>HYPERLINK("https://www.773grp.com/manufacturer/onsemi?pageNo=394", "ON Semiconductor")</f>
        <v>ON Semiconductor</v>
      </c>
      <c r="C28200" s="6">
        <v>3000</v>
      </c>
      <c r="D28200" s="7">
        <v>0.48</v>
      </c>
      <c r="E28200" t="s">
        <v>19</v>
      </c>
    </row>
    <row r="28201" spans="1:5" x14ac:dyDescent="0.25">
      <c r="A28201" t="str">
        <f>HYPERLINK("https://www.773grp.com/globalSearch/NCP552SQ28T1/page-1", "NCP552SQ28T1")</f>
        <v>NCP552SQ28T1</v>
      </c>
      <c r="B28201" s="3" t="str">
        <f>HYPERLINK("https://www.773grp.com/manufacturer/onsemi?pageNo=395", "ON Semiconductor")</f>
        <v>ON Semiconductor</v>
      </c>
      <c r="C28201" s="6">
        <v>6000</v>
      </c>
      <c r="D28201" s="7">
        <v>0.48</v>
      </c>
      <c r="E28201" t="s">
        <v>19</v>
      </c>
    </row>
    <row r="28202" spans="1:5" x14ac:dyDescent="0.25">
      <c r="A28202" t="str">
        <f>HYPERLINK("https://www.773grp.com/globalSearch/NCP553SQ15T1/page-1", "NCP553SQ15T1")</f>
        <v>NCP553SQ15T1</v>
      </c>
      <c r="B28202" s="3" t="str">
        <f>HYPERLINK("https://www.773grp.com/manufacturer/onsemi?pageNo=396", "ON Semiconductor")</f>
        <v>ON Semiconductor</v>
      </c>
      <c r="C28202" s="6">
        <v>500</v>
      </c>
      <c r="D28202" s="7">
        <v>0.48</v>
      </c>
      <c r="E28202" t="s">
        <v>19</v>
      </c>
    </row>
    <row r="28203" spans="1:5" x14ac:dyDescent="0.25">
      <c r="A28203" t="str">
        <f>HYPERLINK("https://www.773grp.com/globalSearch/NCP553SQ18T1/page-1", "NCP553SQ18T1")</f>
        <v>NCP553SQ18T1</v>
      </c>
      <c r="B28203" s="3" t="str">
        <f>HYPERLINK("https://www.773grp.com/manufacturer/onsemi?pageNo=397", "ON Semiconductor")</f>
        <v>ON Semiconductor</v>
      </c>
      <c r="C28203" s="6">
        <v>6700</v>
      </c>
      <c r="D28203" s="7">
        <v>0.48</v>
      </c>
      <c r="E28203" t="s">
        <v>19</v>
      </c>
    </row>
    <row r="28204" spans="1:5" x14ac:dyDescent="0.25">
      <c r="A28204" t="str">
        <f>HYPERLINK("https://www.773grp.com/globalSearch/NCP553SQ25T1/page-1", "NCP553SQ25T1")</f>
        <v>NCP553SQ25T1</v>
      </c>
      <c r="B28204" s="3" t="str">
        <f>HYPERLINK("https://www.773grp.com/manufacturer/onsemi?pageNo=398", "ON Semiconductor")</f>
        <v>ON Semiconductor</v>
      </c>
      <c r="C28204" s="6">
        <v>6000</v>
      </c>
      <c r="D28204" s="7">
        <v>0.48</v>
      </c>
      <c r="E28204" t="s">
        <v>19</v>
      </c>
    </row>
    <row r="28205" spans="1:5" x14ac:dyDescent="0.25">
      <c r="A28205" t="str">
        <f>HYPERLINK("https://www.773grp.com/globalSearch/NCP553SQ27T1/page-1", "NCP553SQ27T1")</f>
        <v>NCP553SQ27T1</v>
      </c>
      <c r="B28205" s="3" t="str">
        <f>HYPERLINK("https://www.773grp.com/manufacturer/onsemi?pageNo=399", "ON Semiconductor")</f>
        <v>ON Semiconductor</v>
      </c>
      <c r="C28205" s="6">
        <v>12000</v>
      </c>
      <c r="D28205" s="7">
        <v>0.48</v>
      </c>
      <c r="E28205" t="s">
        <v>19</v>
      </c>
    </row>
    <row r="28206" spans="1:5" x14ac:dyDescent="0.25">
      <c r="A28206" t="str">
        <f>HYPERLINK("https://www.773grp.com/globalSearch/NCP561SN15T1/page-1", "NCP561SN15T1")</f>
        <v>NCP561SN15T1</v>
      </c>
      <c r="B28206" s="3" t="str">
        <f>HYPERLINK("https://www.773grp.com/manufacturer/onsemi?pageNo=400", "ON Semiconductor")</f>
        <v>ON Semiconductor</v>
      </c>
      <c r="C28206" s="6">
        <v>21000</v>
      </c>
      <c r="D28206" s="7">
        <v>0.48</v>
      </c>
      <c r="E28206" t="s">
        <v>19</v>
      </c>
    </row>
    <row r="28207" spans="1:5" x14ac:dyDescent="0.25">
      <c r="A28207" t="str">
        <f>HYPERLINK("https://www.773grp.com/globalSearch/NCP561SN18T1/page-1", "NCP561SN18T1")</f>
        <v>NCP561SN18T1</v>
      </c>
      <c r="B28207" s="3" t="str">
        <f>HYPERLINK("https://www.773grp.com/manufacturer/onsemi?pageNo=401", "ON Semiconductor")</f>
        <v>ON Semiconductor</v>
      </c>
      <c r="C28207" s="6">
        <v>39000</v>
      </c>
      <c r="D28207" s="7">
        <v>0.48</v>
      </c>
      <c r="E28207" t="s">
        <v>19</v>
      </c>
    </row>
    <row r="28208" spans="1:5" x14ac:dyDescent="0.25">
      <c r="A28208" t="str">
        <f>HYPERLINK("https://www.773grp.com/globalSearch/NCP561SN25T1/page-1", "NCP561SN25T1")</f>
        <v>NCP561SN25T1</v>
      </c>
      <c r="B28208" s="3" t="str">
        <f>HYPERLINK("https://www.773grp.com/manufacturer/onsemi?pageNo=402", "ON Semiconductor")</f>
        <v>ON Semiconductor</v>
      </c>
      <c r="C28208" s="6">
        <v>5490</v>
      </c>
      <c r="D28208" s="7">
        <v>0.48</v>
      </c>
      <c r="E28208" t="s">
        <v>19</v>
      </c>
    </row>
    <row r="28209" spans="1:5" x14ac:dyDescent="0.25">
      <c r="A28209" t="str">
        <f>HYPERLINK("https://www.773grp.com/globalSearch/NCP561SN28T1/page-1", "NCP561SN28T1")</f>
        <v>NCP561SN28T1</v>
      </c>
      <c r="B28209" s="3" t="str">
        <f>HYPERLINK("https://www.773grp.com/manufacturer/onsemi?pageNo=403", "ON Semiconductor")</f>
        <v>ON Semiconductor</v>
      </c>
      <c r="C28209" s="6">
        <v>5989</v>
      </c>
      <c r="D28209" s="7">
        <v>0.48</v>
      </c>
      <c r="E28209" t="s">
        <v>19</v>
      </c>
    </row>
    <row r="28210" spans="1:5" x14ac:dyDescent="0.25">
      <c r="A28210" t="str">
        <f>HYPERLINK("https://www.773grp.com/globalSearch/NCP561SN33T1/page-1", "NCP561SN33T1")</f>
        <v>NCP561SN33T1</v>
      </c>
      <c r="B28210" s="3" t="str">
        <f>HYPERLINK("https://www.773grp.com/manufacturer/onsemi?pageNo=404", "ON Semiconductor")</f>
        <v>ON Semiconductor</v>
      </c>
      <c r="C28210" s="6">
        <v>20</v>
      </c>
      <c r="D28210" s="7">
        <v>0.48</v>
      </c>
      <c r="E28210" t="s">
        <v>19</v>
      </c>
    </row>
    <row r="28211" spans="1:5" x14ac:dyDescent="0.25">
      <c r="A28211" t="str">
        <f>HYPERLINK("https://www.773grp.com/globalSearch/NCP561SN50T1/page-1", "NCP561SN50T1")</f>
        <v>NCP561SN50T1</v>
      </c>
      <c r="B28211" s="3" t="str">
        <f>HYPERLINK("https://www.773grp.com/manufacturer/onsemi?pageNo=405", "ON Semiconductor")</f>
        <v>ON Semiconductor</v>
      </c>
      <c r="C28211" s="6">
        <v>3000</v>
      </c>
      <c r="D28211" s="7">
        <v>0.48</v>
      </c>
      <c r="E28211" t="s">
        <v>19</v>
      </c>
    </row>
    <row r="28212" spans="1:5" x14ac:dyDescent="0.25">
      <c r="A28212" t="str">
        <f>HYPERLINK("https://www.773grp.com/globalSearch/NCP562SQ15T1/page-1", "NCP562SQ15T1")</f>
        <v>NCP562SQ15T1</v>
      </c>
      <c r="B28212" s="3" t="str">
        <f>HYPERLINK("https://www.773grp.com/manufacturer/onsemi?pageNo=406", "ON Semiconductor")</f>
        <v>ON Semiconductor</v>
      </c>
      <c r="C28212" s="6">
        <v>38970</v>
      </c>
      <c r="D28212" s="7">
        <v>0.48</v>
      </c>
      <c r="E28212" t="s">
        <v>19</v>
      </c>
    </row>
    <row r="28213" spans="1:5" x14ac:dyDescent="0.25">
      <c r="A28213" t="str">
        <f>HYPERLINK("https://www.773grp.com/globalSearch/NCP562SQ18T1/page-1", "NCP562SQ18T1")</f>
        <v>NCP562SQ18T1</v>
      </c>
      <c r="B28213" s="3" t="str">
        <f>HYPERLINK("https://www.773grp.com/manufacturer/onsemi?pageNo=407", "ON Semiconductor")</f>
        <v>ON Semiconductor</v>
      </c>
      <c r="C28213" s="6">
        <v>3310</v>
      </c>
      <c r="D28213" s="7">
        <v>0.48</v>
      </c>
      <c r="E28213" t="s">
        <v>19</v>
      </c>
    </row>
    <row r="28214" spans="1:5" x14ac:dyDescent="0.25">
      <c r="A28214" t="str">
        <f>HYPERLINK("https://www.773grp.com/globalSearch/NCP562SQ27T1/page-1", "NCP562SQ27T1")</f>
        <v>NCP562SQ27T1</v>
      </c>
      <c r="B28214" s="3" t="str">
        <f>HYPERLINK("https://www.773grp.com/manufacturer/onsemi?pageNo=408", "ON Semiconductor")</f>
        <v>ON Semiconductor</v>
      </c>
      <c r="C28214" s="6">
        <v>8990</v>
      </c>
      <c r="D28214" s="7">
        <v>0.48</v>
      </c>
      <c r="E28214" t="s">
        <v>19</v>
      </c>
    </row>
    <row r="28215" spans="1:5" x14ac:dyDescent="0.25">
      <c r="A28215" t="str">
        <f>HYPERLINK("https://www.773grp.com/globalSearch/NCP562SQ28T1/page-1", "NCP562SQ28T1")</f>
        <v>NCP562SQ28T1</v>
      </c>
      <c r="B28215" s="3" t="str">
        <f>HYPERLINK("https://www.773grp.com/manufacturer/onsemi?pageNo=409", "ON Semiconductor")</f>
        <v>ON Semiconductor</v>
      </c>
      <c r="C28215" s="6">
        <v>126000</v>
      </c>
      <c r="D28215" s="7">
        <v>0.48</v>
      </c>
      <c r="E28215" t="s">
        <v>19</v>
      </c>
    </row>
    <row r="28216" spans="1:5" x14ac:dyDescent="0.25">
      <c r="A28216" t="str">
        <f>HYPERLINK("https://www.773grp.com/globalSearch/NCP562SQ30T1/page-1", "NCP562SQ30T1")</f>
        <v>NCP562SQ30T1</v>
      </c>
      <c r="B28216" s="3" t="str">
        <f>HYPERLINK("https://www.773grp.com/manufacturer/onsemi?pageNo=410", "ON Semiconductor")</f>
        <v>ON Semiconductor</v>
      </c>
      <c r="C28216" s="6">
        <v>83940</v>
      </c>
      <c r="D28216" s="7">
        <v>0.48</v>
      </c>
      <c r="E28216" t="s">
        <v>19</v>
      </c>
    </row>
    <row r="28217" spans="1:5" x14ac:dyDescent="0.25">
      <c r="A28217" t="str">
        <f>HYPERLINK("https://www.773grp.com/globalSearch/NCP562SQ33T1/page-1", "NCP562SQ33T1")</f>
        <v>NCP562SQ33T1</v>
      </c>
      <c r="B28217" s="3" t="str">
        <f>HYPERLINK("https://www.773grp.com/manufacturer/onsemi?pageNo=411", "ON Semiconductor")</f>
        <v>ON Semiconductor</v>
      </c>
      <c r="C28217" s="6">
        <v>101988</v>
      </c>
      <c r="D28217" s="7">
        <v>0.48</v>
      </c>
      <c r="E28217" t="s">
        <v>19</v>
      </c>
    </row>
    <row r="28218" spans="1:5" x14ac:dyDescent="0.25">
      <c r="A28218" t="str">
        <f>HYPERLINK("https://www.773grp.com/globalSearch/NCP562SQ50T1/page-1", "NCP562SQ50T1")</f>
        <v>NCP562SQ50T1</v>
      </c>
      <c r="B28218" s="3" t="str">
        <f>HYPERLINK("https://www.773grp.com/manufacturer/onsemi?pageNo=412", "ON Semiconductor")</f>
        <v>ON Semiconductor</v>
      </c>
      <c r="C28218" s="6">
        <v>8990</v>
      </c>
      <c r="D28218" s="7">
        <v>0.48</v>
      </c>
      <c r="E28218" t="s">
        <v>19</v>
      </c>
    </row>
    <row r="28219" spans="1:5" x14ac:dyDescent="0.25">
      <c r="A28219" t="str">
        <f>HYPERLINK("https://www.773grp.com/globalSearch/NCP563SQ25T1/page-1", "NCP563SQ25T1")</f>
        <v>NCP563SQ25T1</v>
      </c>
      <c r="B28219" s="3" t="str">
        <f>HYPERLINK("https://www.773grp.com/manufacturer/onsemi?pageNo=413", "ON Semiconductor")</f>
        <v>ON Semiconductor</v>
      </c>
      <c r="C28219" s="6">
        <v>2990</v>
      </c>
      <c r="D28219" s="7">
        <v>0.48</v>
      </c>
      <c r="E28219" t="s">
        <v>19</v>
      </c>
    </row>
    <row r="28220" spans="1:5" x14ac:dyDescent="0.25">
      <c r="A28220" t="str">
        <f>HYPERLINK("https://www.773grp.com/globalSearch/NCP563SQ27T1/page-1", "NCP563SQ27T1")</f>
        <v>NCP563SQ27T1</v>
      </c>
      <c r="B28220" s="3" t="str">
        <f>HYPERLINK("https://www.773grp.com/manufacturer/onsemi?pageNo=414", "ON Semiconductor")</f>
        <v>ON Semiconductor</v>
      </c>
      <c r="C28220" s="6">
        <v>6000</v>
      </c>
      <c r="D28220" s="7">
        <v>0.48</v>
      </c>
      <c r="E28220" t="s">
        <v>19</v>
      </c>
    </row>
    <row r="28221" spans="1:5" x14ac:dyDescent="0.25">
      <c r="A28221" t="str">
        <f>HYPERLINK("https://www.773grp.com/globalSearch/NCP563SQ30T1/page-1", "NCP563SQ30T1")</f>
        <v>NCP563SQ30T1</v>
      </c>
      <c r="B28221" s="3" t="str">
        <f>HYPERLINK("https://www.773grp.com/manufacturer/onsemi?pageNo=415", "ON Semiconductor")</f>
        <v>ON Semiconductor</v>
      </c>
      <c r="C28221" s="6">
        <v>2980</v>
      </c>
      <c r="D28221" s="7">
        <v>0.48</v>
      </c>
      <c r="E28221" t="s">
        <v>19</v>
      </c>
    </row>
    <row r="28222" spans="1:5" x14ac:dyDescent="0.25">
      <c r="A28222" t="str">
        <f>HYPERLINK("https://www.773grp.com/globalSearch/NCP563SQ50T1/page-1", "NCP563SQ50T1")</f>
        <v>NCP563SQ50T1</v>
      </c>
      <c r="B28222" s="3" t="str">
        <f>HYPERLINK("https://www.773grp.com/manufacturer/onsemi?pageNo=416", "ON Semiconductor")</f>
        <v>ON Semiconductor</v>
      </c>
      <c r="C28222" s="6">
        <v>3000</v>
      </c>
      <c r="D28222" s="7">
        <v>0.48</v>
      </c>
      <c r="E28222" t="s">
        <v>19</v>
      </c>
    </row>
    <row r="28223" spans="1:5" x14ac:dyDescent="0.25">
      <c r="A28223" t="str">
        <f>HYPERLINK("https://www.773grp.com/globalSearch/NCP580SQ15T1G/page-1", "NCP580SQ15T1G")</f>
        <v>NCP580SQ15T1G</v>
      </c>
      <c r="B28223" s="3" t="str">
        <f>HYPERLINK("https://www.773grp.com/manufacturer/onsemi?pageNo=417", "ON Semiconductor")</f>
        <v>ON Semiconductor</v>
      </c>
      <c r="C28223" s="6">
        <v>29494</v>
      </c>
      <c r="D28223" s="7">
        <v>0.48</v>
      </c>
      <c r="E28223" t="s">
        <v>19</v>
      </c>
    </row>
    <row r="28224" spans="1:5" x14ac:dyDescent="0.25">
      <c r="A28224" t="str">
        <f>HYPERLINK("https://www.773grp.com/globalSearch/NCP580SQ25T1G/page-1", "NCP580SQ25T1G")</f>
        <v>NCP580SQ25T1G</v>
      </c>
      <c r="B28224" s="3" t="str">
        <f>HYPERLINK("https://www.773grp.com/manufacturer/onsemi?pageNo=418", "ON Semiconductor")</f>
        <v>ON Semiconductor</v>
      </c>
      <c r="C28224" s="6">
        <v>17489</v>
      </c>
      <c r="D28224" s="7">
        <v>0.48</v>
      </c>
      <c r="E28224" t="s">
        <v>19</v>
      </c>
    </row>
    <row r="28225" spans="1:5" x14ac:dyDescent="0.25">
      <c r="A28225" t="str">
        <f>HYPERLINK("https://www.773grp.com/globalSearch/NCP629FC18T2G/page-1", "NCP629FC18T2G")</f>
        <v>NCP629FC18T2G</v>
      </c>
      <c r="B28225" s="3" t="str">
        <f>HYPERLINK("https://www.773grp.com/manufacturer/onsemi?pageNo=419", "ON Semiconductor")</f>
        <v>ON Semiconductor</v>
      </c>
      <c r="C28225" s="6">
        <v>710932</v>
      </c>
      <c r="D28225" s="7">
        <v>0.48</v>
      </c>
      <c r="E28225" t="s">
        <v>19</v>
      </c>
    </row>
    <row r="28226" spans="1:5" x14ac:dyDescent="0.25">
      <c r="A28226" t="str">
        <f>HYPERLINK("https://www.773grp.com/globalSearch/NCP803SN463T1/page-1", "NCP803SN463T1")</f>
        <v>NCP803SN463T1</v>
      </c>
      <c r="B28226" s="3" t="str">
        <f>HYPERLINK("https://www.773grp.com/manufacturer/onsemi?pageNo=420", "ON Semiconductor")</f>
        <v>ON Semiconductor</v>
      </c>
      <c r="C28226" s="6">
        <v>1316</v>
      </c>
      <c r="D28226" s="7">
        <v>0.48</v>
      </c>
      <c r="E28226" t="s">
        <v>30</v>
      </c>
    </row>
    <row r="28227" spans="1:5" x14ac:dyDescent="0.25">
      <c r="A28227" t="str">
        <f>HYPERLINK("https://www.773grp.com/globalSearch/NCS1002DR2G/page-1", "NCS1002DR2G")</f>
        <v>NCS1002DR2G</v>
      </c>
      <c r="B28227" s="3" t="str">
        <f>HYPERLINK("https://www.773grp.com/manufacturer/onsemi?pageNo=421", "ON Semiconductor")</f>
        <v>ON Semiconductor</v>
      </c>
      <c r="C28227" s="6">
        <v>40000</v>
      </c>
      <c r="D28227" s="7">
        <v>0.48</v>
      </c>
    </row>
    <row r="28228" spans="1:5" x14ac:dyDescent="0.25">
      <c r="A28228" t="str">
        <f>HYPERLINK("https://www.773grp.com/globalSearch/NL17SZ00XV5T2G/page-1", "NL17SZ00XV5T2G")</f>
        <v>NL17SZ00XV5T2G</v>
      </c>
      <c r="B28228" s="3" t="str">
        <f>HYPERLINK("https://www.773grp.com/manufacturer/onsemi?pageNo=422", "ON Semiconductor")</f>
        <v>ON Semiconductor</v>
      </c>
      <c r="C28228" s="6">
        <v>374000</v>
      </c>
      <c r="D28228" s="7">
        <v>0.48</v>
      </c>
      <c r="E28228" t="s">
        <v>31</v>
      </c>
    </row>
    <row r="28229" spans="1:5" x14ac:dyDescent="0.25">
      <c r="A28229" t="str">
        <f>HYPERLINK("https://www.773grp.com/globalSearch/NL17SZ02XV5T2G/page-1", "NL17SZ02XV5T2G")</f>
        <v>NL17SZ02XV5T2G</v>
      </c>
      <c r="B28229" s="3" t="str">
        <f>HYPERLINK("https://www.773grp.com/manufacturer/onsemi?pageNo=423", "ON Semiconductor")</f>
        <v>ON Semiconductor</v>
      </c>
      <c r="C28229" s="6">
        <v>44000</v>
      </c>
      <c r="D28229" s="7">
        <v>0.48</v>
      </c>
      <c r="E28229" t="s">
        <v>31</v>
      </c>
    </row>
    <row r="28230" spans="1:5" x14ac:dyDescent="0.25">
      <c r="A28230" t="str">
        <f>HYPERLINK("https://www.773grp.com/globalSearch/NL17SZ04XV5T2G/page-1", "NL17SZ04XV5T2G")</f>
        <v>NL17SZ04XV5T2G</v>
      </c>
      <c r="B28230" s="3" t="str">
        <f>HYPERLINK("https://www.773grp.com/manufacturer/onsemi?pageNo=424", "ON Semiconductor")</f>
        <v>ON Semiconductor</v>
      </c>
      <c r="C28230" s="6">
        <v>174099</v>
      </c>
      <c r="D28230" s="7">
        <v>0.48</v>
      </c>
      <c r="E28230" t="s">
        <v>31</v>
      </c>
    </row>
    <row r="28231" spans="1:5" x14ac:dyDescent="0.25">
      <c r="A28231" t="str">
        <f>HYPERLINK("https://www.773grp.com/globalSearch/NL17SZ06XV5T2G/page-1", "NL17SZ06XV5T2G")</f>
        <v>NL17SZ06XV5T2G</v>
      </c>
      <c r="B28231" s="3" t="str">
        <f>HYPERLINK("https://www.773grp.com/manufacturer/onsemi?pageNo=425", "ON Semiconductor")</f>
        <v>ON Semiconductor</v>
      </c>
      <c r="C28231" s="6">
        <v>83308</v>
      </c>
      <c r="D28231" s="7">
        <v>0.48</v>
      </c>
      <c r="E28231" t="s">
        <v>31</v>
      </c>
    </row>
    <row r="28232" spans="1:5" x14ac:dyDescent="0.25">
      <c r="A28232" t="str">
        <f>HYPERLINK("https://www.773grp.com/globalSearch/NL17SZ07XV5T2G/page-1", "NL17SZ07XV5T2G")</f>
        <v>NL17SZ07XV5T2G</v>
      </c>
      <c r="B28232" s="3" t="str">
        <f>HYPERLINK("https://www.773grp.com/manufacturer/onsemi?pageNo=426", "ON Semiconductor")</f>
        <v>ON Semiconductor</v>
      </c>
      <c r="C28232" s="6">
        <v>111141</v>
      </c>
      <c r="D28232" s="7">
        <v>0.48</v>
      </c>
      <c r="E28232" t="s">
        <v>31</v>
      </c>
    </row>
    <row r="28233" spans="1:5" x14ac:dyDescent="0.25">
      <c r="A28233" t="str">
        <f>HYPERLINK("https://www.773grp.com/globalSearch/NL17SZ08DFT2GH/page-1", "NL17SZ08DFT2GH")</f>
        <v>NL17SZ08DFT2GH</v>
      </c>
      <c r="B28233" s="3" t="str">
        <f>HYPERLINK("https://www.773grp.com/manufacturer/onsemi?pageNo=427", "ON Semiconductor")</f>
        <v>ON Semiconductor</v>
      </c>
      <c r="C28233" s="6">
        <v>12000</v>
      </c>
      <c r="D28233" s="7">
        <v>0.48</v>
      </c>
    </row>
    <row r="28234" spans="1:5" x14ac:dyDescent="0.25">
      <c r="A28234" t="str">
        <f>HYPERLINK("https://www.773grp.com/globalSearch/NL17SZ08XV5T2G/page-1", "NL17SZ08XV5T2G")</f>
        <v>NL17SZ08XV5T2G</v>
      </c>
      <c r="B28234" s="3" t="str">
        <f>HYPERLINK("https://www.773grp.com/manufacturer/onsemi?pageNo=428", "ON Semiconductor")</f>
        <v>ON Semiconductor</v>
      </c>
      <c r="C28234" s="6">
        <v>534690</v>
      </c>
      <c r="D28234" s="7">
        <v>0.48</v>
      </c>
      <c r="E28234" t="s">
        <v>31</v>
      </c>
    </row>
    <row r="28235" spans="1:5" x14ac:dyDescent="0.25">
      <c r="A28235" t="str">
        <f>HYPERLINK("https://www.773grp.com/globalSearch/NL17SZ125DTT1G/page-1", "NL17SZ125DTT1G")</f>
        <v>NL17SZ125DTT1G</v>
      </c>
      <c r="B28235" s="3" t="str">
        <f>HYPERLINK("https://www.773grp.com/manufacturer/onsemi?pageNo=429", "ON Semiconductor")</f>
        <v>ON Semiconductor</v>
      </c>
      <c r="C28235" s="6">
        <v>12000</v>
      </c>
      <c r="D28235" s="7">
        <v>0.48</v>
      </c>
    </row>
    <row r="28236" spans="1:5" x14ac:dyDescent="0.25">
      <c r="A28236" t="str">
        <f>HYPERLINK("https://www.773grp.com/globalSearch/NL17SZ125XV5T2G/page-1", "NL17SZ125XV5T2G")</f>
        <v>NL17SZ125XV5T2G</v>
      </c>
      <c r="B28236" s="3" t="str">
        <f>HYPERLINK("https://www.773grp.com/manufacturer/onsemi?pageNo=430", "ON Semiconductor")</f>
        <v>ON Semiconductor</v>
      </c>
      <c r="C28236" s="6">
        <v>4000</v>
      </c>
      <c r="D28236" s="7">
        <v>0.48</v>
      </c>
      <c r="E28236" t="s">
        <v>14</v>
      </c>
    </row>
    <row r="28237" spans="1:5" x14ac:dyDescent="0.25">
      <c r="A28237" t="str">
        <f>HYPERLINK("https://www.773grp.com/globalSearch/NL17SZ14DFT2/page-1", "NL17SZ14DFT2")</f>
        <v>NL17SZ14DFT2</v>
      </c>
      <c r="B28237" s="3" t="str">
        <f>HYPERLINK("https://www.773grp.com/manufacturer/onsemi?pageNo=431", "ON Semiconductor")</f>
        <v>ON Semiconductor</v>
      </c>
      <c r="C28237" s="6">
        <v>105000</v>
      </c>
      <c r="D28237" s="7">
        <v>0.48</v>
      </c>
      <c r="E28237" t="s">
        <v>31</v>
      </c>
    </row>
    <row r="28238" spans="1:5" x14ac:dyDescent="0.25">
      <c r="A28238" t="str">
        <f>HYPERLINK("https://www.773grp.com/globalSearch/NL17SZ14XV5T2G/page-1", "NL17SZ14XV5T2G")</f>
        <v>NL17SZ14XV5T2G</v>
      </c>
      <c r="B28238" s="3" t="str">
        <f>HYPERLINK("https://www.773grp.com/manufacturer/onsemi?pageNo=432", "ON Semiconductor")</f>
        <v>ON Semiconductor</v>
      </c>
      <c r="C28238" s="6">
        <v>35880</v>
      </c>
      <c r="D28238" s="7">
        <v>0.48</v>
      </c>
      <c r="E28238" t="s">
        <v>31</v>
      </c>
    </row>
    <row r="28239" spans="1:5" x14ac:dyDescent="0.25">
      <c r="A28239" t="str">
        <f>HYPERLINK("https://www.773grp.com/globalSearch/NL17SZ16XV5T2G/page-1", "NL17SZ16XV5T2G")</f>
        <v>NL17SZ16XV5T2G</v>
      </c>
      <c r="B28239" s="3" t="str">
        <f>HYPERLINK("https://www.773grp.com/manufacturer/onsemi?pageNo=433", "ON Semiconductor")</f>
        <v>ON Semiconductor</v>
      </c>
      <c r="C28239" s="6">
        <v>451850</v>
      </c>
      <c r="D28239" s="7">
        <v>0.48</v>
      </c>
      <c r="E28239" t="s">
        <v>31</v>
      </c>
    </row>
    <row r="28240" spans="1:5" x14ac:dyDescent="0.25">
      <c r="A28240" t="str">
        <f>HYPERLINK("https://www.773grp.com/globalSearch/NL17SZ17XV5T2G/page-1", "NL17SZ17XV5T2G")</f>
        <v>NL17SZ17XV5T2G</v>
      </c>
      <c r="B28240" s="3" t="str">
        <f>HYPERLINK("https://www.773grp.com/manufacturer/onsemi?pageNo=434", "ON Semiconductor")</f>
        <v>ON Semiconductor</v>
      </c>
      <c r="C28240" s="6">
        <v>24875</v>
      </c>
      <c r="D28240" s="7">
        <v>0.48</v>
      </c>
      <c r="E28240" t="s">
        <v>31</v>
      </c>
    </row>
    <row r="28241" spans="1:5" x14ac:dyDescent="0.25">
      <c r="A28241" t="str">
        <f>HYPERLINK("https://www.773grp.com/globalSearch/NL17SZ32DFT2GH/page-1", "NL17SZ32DFT2GH")</f>
        <v>NL17SZ32DFT2GH</v>
      </c>
      <c r="B28241" s="3" t="str">
        <f>HYPERLINK("https://www.773grp.com/manufacturer/onsemi?pageNo=435", "ON Semiconductor")</f>
        <v>ON Semiconductor</v>
      </c>
      <c r="C28241" s="6">
        <v>2373000</v>
      </c>
      <c r="D28241" s="7">
        <v>0.48</v>
      </c>
    </row>
    <row r="28242" spans="1:5" x14ac:dyDescent="0.25">
      <c r="A28242" t="str">
        <f>HYPERLINK("https://www.773grp.com/globalSearch/NL17SZ32XV5T2G/page-1", "NL17SZ32XV5T2G")</f>
        <v>NL17SZ32XV5T2G</v>
      </c>
      <c r="B28242" s="3" t="str">
        <f>HYPERLINK("https://www.773grp.com/manufacturer/onsemi?pageNo=436", "ON Semiconductor")</f>
        <v>ON Semiconductor</v>
      </c>
      <c r="C28242" s="6">
        <v>422391</v>
      </c>
      <c r="D28242" s="7">
        <v>0.48</v>
      </c>
      <c r="E28242" t="s">
        <v>31</v>
      </c>
    </row>
    <row r="28243" spans="1:5" x14ac:dyDescent="0.25">
      <c r="A28243" t="str">
        <f>HYPERLINK("https://www.773grp.com/globalSearch/NL17SZU04XV5T2G/page-1", "NL17SZU04XV5T2G")</f>
        <v>NL17SZU04XV5T2G</v>
      </c>
      <c r="B28243" s="3" t="str">
        <f>HYPERLINK("https://www.773grp.com/manufacturer/onsemi?pageNo=437", "ON Semiconductor")</f>
        <v>ON Semiconductor</v>
      </c>
      <c r="C28243" s="6">
        <v>35594</v>
      </c>
      <c r="D28243" s="7">
        <v>0.48</v>
      </c>
    </row>
    <row r="28244" spans="1:5" x14ac:dyDescent="0.25">
      <c r="A28244" t="str">
        <f>HYPERLINK("https://www.773grp.com/globalSearch/NL17VHC1G07DTT1G/page-1", "NL17VHC1G07DTT1G")</f>
        <v>NL17VHC1G07DTT1G</v>
      </c>
      <c r="B28244" s="3" t="str">
        <f>HYPERLINK("https://www.773grp.com/manufacturer/onsemi?pageNo=438", "ON Semiconductor")</f>
        <v>ON Semiconductor</v>
      </c>
      <c r="C28244" s="6">
        <v>63000</v>
      </c>
      <c r="D28244" s="7">
        <v>0.48</v>
      </c>
    </row>
    <row r="28245" spans="1:5" x14ac:dyDescent="0.25">
      <c r="A28245" t="str">
        <f>HYPERLINK("https://www.773grp.com/globalSearch/NL17VHC1GT50DF1G/page-1", "NL17VHC1GT50DF1G")</f>
        <v>NL17VHC1GT50DF1G</v>
      </c>
      <c r="B28245" s="3" t="str">
        <f>HYPERLINK("https://www.773grp.com/manufacturer/onsemi?pageNo=439", "ON Semiconductor")</f>
        <v>ON Semiconductor</v>
      </c>
      <c r="C28245" s="6">
        <v>180000</v>
      </c>
      <c r="D28245" s="7">
        <v>0.48</v>
      </c>
    </row>
    <row r="28246" spans="1:5" x14ac:dyDescent="0.25">
      <c r="A28246" t="str">
        <f>HYPERLINK("https://www.773grp.com/globalSearch/NL37WZ04US/page-1", "NL37WZ04US")</f>
        <v>NL37WZ04US</v>
      </c>
      <c r="B28246" s="3" t="str">
        <f>HYPERLINK("https://www.773grp.com/manufacturer/onsemi?pageNo=440", "ON Semiconductor")</f>
        <v>ON Semiconductor</v>
      </c>
      <c r="C28246" s="6">
        <v>128825</v>
      </c>
      <c r="D28246" s="7">
        <v>0.48</v>
      </c>
      <c r="E28246" t="s">
        <v>31</v>
      </c>
    </row>
    <row r="28247" spans="1:5" x14ac:dyDescent="0.25">
      <c r="A28247" t="str">
        <f>HYPERLINK("https://www.773grp.com/globalSearch/NL37WZ06US/page-1", "NL37WZ06US")</f>
        <v>NL37WZ06US</v>
      </c>
      <c r="B28247" s="3" t="str">
        <f>HYPERLINK("https://www.773grp.com/manufacturer/onsemi?pageNo=441", "ON Semiconductor")</f>
        <v>ON Semiconductor</v>
      </c>
      <c r="C28247" s="6">
        <v>8778</v>
      </c>
      <c r="D28247" s="7">
        <v>0.48</v>
      </c>
      <c r="E28247" t="s">
        <v>31</v>
      </c>
    </row>
    <row r="28248" spans="1:5" x14ac:dyDescent="0.25">
      <c r="A28248" t="str">
        <f>HYPERLINK("https://www.773grp.com/globalSearch/NL37WZ07US/page-1", "NL37WZ07US")</f>
        <v>NL37WZ07US</v>
      </c>
      <c r="B28248" s="3" t="str">
        <f>HYPERLINK("https://www.773grp.com/manufacturer/onsemi?pageNo=442", "ON Semiconductor")</f>
        <v>ON Semiconductor</v>
      </c>
      <c r="C28248" s="6">
        <v>278845</v>
      </c>
      <c r="D28248" s="7">
        <v>0.48</v>
      </c>
      <c r="E28248" t="s">
        <v>31</v>
      </c>
    </row>
    <row r="28249" spans="1:5" x14ac:dyDescent="0.25">
      <c r="A28249" t="str">
        <f>HYPERLINK("https://www.773grp.com/globalSearch/NL37WZ14US/page-1", "NL37WZ14US")</f>
        <v>NL37WZ14US</v>
      </c>
      <c r="B28249" s="3" t="str">
        <f>HYPERLINK("https://www.773grp.com/manufacturer/onsemi?pageNo=443", "ON Semiconductor")</f>
        <v>ON Semiconductor</v>
      </c>
      <c r="C28249" s="6">
        <v>377349</v>
      </c>
      <c r="D28249" s="7">
        <v>0.48</v>
      </c>
      <c r="E28249" t="s">
        <v>31</v>
      </c>
    </row>
    <row r="28250" spans="1:5" x14ac:dyDescent="0.25">
      <c r="A28250" t="str">
        <f>HYPERLINK("https://www.773grp.com/globalSearch/NL37WZ16US/page-1", "NL37WZ16US")</f>
        <v>NL37WZ16US</v>
      </c>
      <c r="B28250" s="3" t="str">
        <f>HYPERLINK("https://www.773grp.com/manufacturer/onsemi?pageNo=444", "ON Semiconductor")</f>
        <v>ON Semiconductor</v>
      </c>
      <c r="C28250" s="6">
        <v>622</v>
      </c>
      <c r="D28250" s="7">
        <v>0.48</v>
      </c>
      <c r="E28250" t="s">
        <v>31</v>
      </c>
    </row>
    <row r="28251" spans="1:5" x14ac:dyDescent="0.25">
      <c r="A28251" t="str">
        <f>HYPERLINK("https://www.773grp.com/globalSearch/NL37WZ17US/page-1", "NL37WZ17US")</f>
        <v>NL37WZ17US</v>
      </c>
      <c r="B28251" s="3" t="str">
        <f>HYPERLINK("https://www.773grp.com/manufacturer/onsemi?pageNo=445", "ON Semiconductor")</f>
        <v>ON Semiconductor</v>
      </c>
      <c r="C28251" s="6">
        <v>14773</v>
      </c>
      <c r="D28251" s="7">
        <v>0.48</v>
      </c>
      <c r="E28251" t="s">
        <v>31</v>
      </c>
    </row>
    <row r="28252" spans="1:5" x14ac:dyDescent="0.25">
      <c r="A28252" t="str">
        <f>HYPERLINK("https://www.773grp.com/globalSearch/NL7WB66US/page-1", "NL7WB66US")</f>
        <v>NL7WB66US</v>
      </c>
      <c r="B28252" s="3" t="str">
        <f>HYPERLINK("https://www.773grp.com/manufacturer/onsemi?pageNo=446", "ON Semiconductor")</f>
        <v>ON Semiconductor</v>
      </c>
      <c r="C28252" s="6">
        <v>165122</v>
      </c>
      <c r="D28252" s="7">
        <v>0.48</v>
      </c>
      <c r="E28252" t="s">
        <v>56</v>
      </c>
    </row>
    <row r="28253" spans="1:5" x14ac:dyDescent="0.25">
      <c r="A28253" t="str">
        <f>HYPERLINK("https://www.773grp.com/globalSearch/NLU3G14CMX1TCG/page-1", "NLU3G14CMX1TCG")</f>
        <v>NLU3G14CMX1TCG</v>
      </c>
      <c r="B28253" s="3" t="str">
        <f>HYPERLINK("https://www.773grp.com/manufacturer/onsemi?pageNo=447", "ON Semiconductor")</f>
        <v>ON Semiconductor</v>
      </c>
      <c r="C28253" s="6">
        <v>87000</v>
      </c>
      <c r="D28253" s="7">
        <v>0.48</v>
      </c>
      <c r="E28253" t="s">
        <v>31</v>
      </c>
    </row>
    <row r="28254" spans="1:5" x14ac:dyDescent="0.25">
      <c r="A28254" t="str">
        <f>HYPERLINK("https://www.773grp.com/globalSearch/NLU3G16CMX1TCG/page-1", "NLU3G16CMX1TCG")</f>
        <v>NLU3G16CMX1TCG</v>
      </c>
      <c r="B28254" s="3" t="str">
        <f>HYPERLINK("https://www.773grp.com/manufacturer/onsemi?pageNo=448", "ON Semiconductor")</f>
        <v>ON Semiconductor</v>
      </c>
      <c r="C28254" s="6">
        <v>80990</v>
      </c>
      <c r="D28254" s="7">
        <v>0.48</v>
      </c>
      <c r="E28254" t="s">
        <v>31</v>
      </c>
    </row>
    <row r="28255" spans="1:5" x14ac:dyDescent="0.25">
      <c r="A28255" t="str">
        <f>HYPERLINK("https://www.773grp.com/globalSearch/NLU3G17CMX1TCG/page-1", "NLU3G17CMX1TCG")</f>
        <v>NLU3G17CMX1TCG</v>
      </c>
      <c r="B28255" s="3" t="str">
        <f>HYPERLINK("https://www.773grp.com/manufacturer/onsemi?pageNo=449", "ON Semiconductor")</f>
        <v>ON Semiconductor</v>
      </c>
      <c r="C28255" s="6">
        <v>90000</v>
      </c>
      <c r="D28255" s="7">
        <v>0.48</v>
      </c>
      <c r="E28255" t="s">
        <v>31</v>
      </c>
    </row>
    <row r="28256" spans="1:5" x14ac:dyDescent="0.25">
      <c r="A28256" t="str">
        <f>HYPERLINK("https://www.773grp.com/globalSearch/NLVVHC1G04DFT1G/page-1", "NLVVHC1G04DFT1G")</f>
        <v>NLVVHC1G04DFT1G</v>
      </c>
      <c r="B28256" s="3" t="str">
        <f>HYPERLINK("https://www.773grp.com/manufacturer/onsemi?pageNo=450", "ON Semiconductor")</f>
        <v>ON Semiconductor</v>
      </c>
      <c r="C28256" s="6">
        <v>63000</v>
      </c>
      <c r="D28256" s="7">
        <v>0.48</v>
      </c>
    </row>
    <row r="28257" spans="1:5" x14ac:dyDescent="0.25">
      <c r="A28257" t="str">
        <f>HYPERLINK("https://www.773grp.com/globalSearch/NLVVHC1G05DFT2G/page-1", "NLVVHC1G05DFT2G")</f>
        <v>NLVVHC1G05DFT2G</v>
      </c>
      <c r="B28257" s="3" t="str">
        <f>HYPERLINK("https://www.773grp.com/manufacturer/onsemi?pageNo=451", "ON Semiconductor")</f>
        <v>ON Semiconductor</v>
      </c>
      <c r="C28257" s="6">
        <v>75000</v>
      </c>
      <c r="D28257" s="7">
        <v>0.48</v>
      </c>
    </row>
    <row r="28258" spans="1:5" x14ac:dyDescent="0.25">
      <c r="A28258" t="str">
        <f>HYPERLINK("https://www.773grp.com/globalSearch/NLVVHC1GT04DFT2/page-1", "NLVVHC1GT04DFT2")</f>
        <v>NLVVHC1GT04DFT2</v>
      </c>
      <c r="B28258" s="3" t="str">
        <f>HYPERLINK("https://www.773grp.com/manufacturer/onsemi?pageNo=452", "ON Semiconductor")</f>
        <v>ON Semiconductor</v>
      </c>
      <c r="C28258" s="6">
        <v>84000</v>
      </c>
      <c r="D28258" s="7">
        <v>0.48</v>
      </c>
    </row>
    <row r="28259" spans="1:5" x14ac:dyDescent="0.25">
      <c r="A28259" t="str">
        <f>HYPERLINK("https://www.773grp.com/globalSearch/NLVVHC1GT14DFT1G/page-1", "NLVVHC1GT14DFT1G")</f>
        <v>NLVVHC1GT14DFT1G</v>
      </c>
      <c r="B28259" s="3" t="str">
        <f>HYPERLINK("https://www.773grp.com/manufacturer/onsemi?pageNo=453", "ON Semiconductor")</f>
        <v>ON Semiconductor</v>
      </c>
      <c r="C28259" s="6">
        <v>6000</v>
      </c>
      <c r="D28259" s="7">
        <v>0.48</v>
      </c>
    </row>
    <row r="28260" spans="1:5" x14ac:dyDescent="0.25">
      <c r="A28260" t="str">
        <f>HYPERLINK("https://www.773grp.com/globalSearch/NLVVHC1GT32DFT1G/page-1", "NLVVHC1GT32DFT1G")</f>
        <v>NLVVHC1GT32DFT1G</v>
      </c>
      <c r="B28260" s="3" t="str">
        <f>HYPERLINK("https://www.773grp.com/manufacturer/onsemi?pageNo=454", "ON Semiconductor")</f>
        <v>ON Semiconductor</v>
      </c>
      <c r="C28260" s="6">
        <v>18000</v>
      </c>
      <c r="D28260" s="7">
        <v>0.48</v>
      </c>
    </row>
    <row r="28261" spans="1:5" x14ac:dyDescent="0.25">
      <c r="A28261" t="str">
        <f>HYPERLINK("https://www.773grp.com/globalSearch/NLX1G99AMX1TCG/page-1", "NLX1G99AMX1TCG")</f>
        <v>NLX1G99AMX1TCG</v>
      </c>
      <c r="B28261" s="3" t="str">
        <f>HYPERLINK("https://www.773grp.com/manufacturer/onsemi?pageNo=455", "ON Semiconductor")</f>
        <v>ON Semiconductor</v>
      </c>
      <c r="C28261" s="6">
        <v>27000</v>
      </c>
      <c r="D28261" s="7">
        <v>0.48</v>
      </c>
      <c r="E28261" t="s">
        <v>83</v>
      </c>
    </row>
    <row r="28262" spans="1:5" x14ac:dyDescent="0.25">
      <c r="A28262" t="str">
        <f>HYPERLINK("https://www.773grp.com/globalSearch/NLX3G14CMX1TCG/page-1", "NLX3G14CMX1TCG")</f>
        <v>NLX3G14CMX1TCG</v>
      </c>
      <c r="B28262" s="3" t="str">
        <f>HYPERLINK("https://www.773grp.com/manufacturer/onsemi?pageNo=456", "ON Semiconductor")</f>
        <v>ON Semiconductor</v>
      </c>
      <c r="C28262" s="6">
        <v>81000</v>
      </c>
      <c r="D28262" s="7">
        <v>0.48</v>
      </c>
      <c r="E28262" t="s">
        <v>31</v>
      </c>
    </row>
    <row r="28263" spans="1:5" x14ac:dyDescent="0.25">
      <c r="A28263" t="str">
        <f>HYPERLINK("https://www.773grp.com/globalSearch/NLX3G16CMX1TCG/page-1", "NLX3G16CMX1TCG")</f>
        <v>NLX3G16CMX1TCG</v>
      </c>
      <c r="B28263" s="3" t="str">
        <f>HYPERLINK("https://www.773grp.com/manufacturer/onsemi?pageNo=457", "ON Semiconductor")</f>
        <v>ON Semiconductor</v>
      </c>
      <c r="C28263" s="6">
        <v>18000</v>
      </c>
      <c r="D28263" s="7">
        <v>0.48</v>
      </c>
      <c r="E28263" t="s">
        <v>31</v>
      </c>
    </row>
    <row r="28264" spans="1:5" x14ac:dyDescent="0.25">
      <c r="A28264" t="str">
        <f>HYPERLINK("https://www.773grp.com/globalSearch/NLX3G17CMX1TCG/page-1", "NLX3G17CMX1TCG")</f>
        <v>NLX3G17CMX1TCG</v>
      </c>
      <c r="B28264" s="3" t="str">
        <f>HYPERLINK("https://www.773grp.com/manufacturer/onsemi?pageNo=458", "ON Semiconductor")</f>
        <v>ON Semiconductor</v>
      </c>
      <c r="C28264" s="6">
        <v>90000</v>
      </c>
      <c r="D28264" s="7">
        <v>0.48</v>
      </c>
      <c r="E28264" t="s">
        <v>31</v>
      </c>
    </row>
    <row r="28265" spans="1:5" x14ac:dyDescent="0.25">
      <c r="A28265" t="str">
        <f>HYPERLINK("https://www.773grp.com/globalSearch/NSI45025AT1G/page-1", "NSI45025AT1G")</f>
        <v>NSI45025AT1G</v>
      </c>
      <c r="B28265" s="3" t="str">
        <f>HYPERLINK("https://www.773grp.com/manufacturer/onsemi?pageNo=459", "ON Semiconductor")</f>
        <v>ON Semiconductor</v>
      </c>
      <c r="C28265" s="6">
        <v>229</v>
      </c>
      <c r="D28265" s="7">
        <v>0.48</v>
      </c>
    </row>
    <row r="28266" spans="1:5" x14ac:dyDescent="0.25">
      <c r="A28266" t="str">
        <f>HYPERLINK("https://www.773grp.com/globalSearch/NSI45030AT1G/page-1", "NSI45030AT1G")</f>
        <v>NSI45030AT1G</v>
      </c>
      <c r="B28266" s="3" t="str">
        <f>HYPERLINK("https://www.773grp.com/manufacturer/onsemi?pageNo=460", "ON Semiconductor")</f>
        <v>ON Semiconductor</v>
      </c>
      <c r="C28266" s="6">
        <v>17340</v>
      </c>
      <c r="D28266" s="7">
        <v>0.48</v>
      </c>
      <c r="E28266" t="s">
        <v>10</v>
      </c>
    </row>
    <row r="28267" spans="1:5" x14ac:dyDescent="0.25">
      <c r="A28267" t="str">
        <f>HYPERLINK("https://www.773grp.com/globalSearch/NSR20F20NXT5G/page-1", "NSR20F20NXT5G")</f>
        <v>NSR20F20NXT5G</v>
      </c>
      <c r="B28267" s="3" t="str">
        <f>HYPERLINK("https://www.773grp.com/manufacturer/onsemi?pageNo=461", "ON Semiconductor")</f>
        <v>ON Semiconductor</v>
      </c>
      <c r="C28267" s="6">
        <v>2520</v>
      </c>
      <c r="D28267" s="7">
        <v>0.48</v>
      </c>
      <c r="E28267" t="s">
        <v>103</v>
      </c>
    </row>
    <row r="28268" spans="1:5" x14ac:dyDescent="0.25">
      <c r="A28268" t="str">
        <f>HYPERLINK("https://www.773grp.com/globalSearch/NSR20F30NXT5G/page-1", "NSR20F30NXT5G")</f>
        <v>NSR20F30NXT5G</v>
      </c>
      <c r="B28268" s="3" t="str">
        <f>HYPERLINK("https://www.773grp.com/manufacturer/onsemi?pageNo=462", "ON Semiconductor")</f>
        <v>ON Semiconductor</v>
      </c>
      <c r="C28268" s="6">
        <v>1</v>
      </c>
      <c r="D28268" s="7">
        <v>0.48</v>
      </c>
      <c r="E28268" t="s">
        <v>103</v>
      </c>
    </row>
    <row r="28269" spans="1:5" x14ac:dyDescent="0.25">
      <c r="A28269" t="str">
        <f>HYPERLINK("https://www.773grp.com/globalSearch/NSS20300MR6T1G/page-1", "NSS20300MR6T1G")</f>
        <v>NSS20300MR6T1G</v>
      </c>
      <c r="B28269" s="3" t="str">
        <f>HYPERLINK("https://www.773grp.com/manufacturer/onsemi?pageNo=463", "ON Semiconductor")</f>
        <v>ON Semiconductor</v>
      </c>
      <c r="C28269" s="6">
        <v>27000</v>
      </c>
      <c r="D28269" s="7">
        <v>0.48</v>
      </c>
      <c r="E28269" t="s">
        <v>59</v>
      </c>
    </row>
    <row r="28270" spans="1:5" x14ac:dyDescent="0.25">
      <c r="A28270" t="str">
        <f>HYPERLINK("https://www.773grp.com/globalSearch/NSS30071MR6T1G/page-1", "NSS30071MR6T1G")</f>
        <v>NSS30071MR6T1G</v>
      </c>
      <c r="B28270" s="3" t="str">
        <f>HYPERLINK("https://www.773grp.com/manufacturer/onsemi?pageNo=464", "ON Semiconductor")</f>
        <v>ON Semiconductor</v>
      </c>
      <c r="C28270" s="6">
        <v>299209</v>
      </c>
      <c r="D28270" s="7">
        <v>0.48</v>
      </c>
      <c r="E28270" t="s">
        <v>69</v>
      </c>
    </row>
    <row r="28271" spans="1:5" x14ac:dyDescent="0.25">
      <c r="A28271" t="str">
        <f>HYPERLINK("https://www.773grp.com/globalSearch/NTD14N03RG/page-1", "NTD14N03RG")</f>
        <v>NTD14N03RG</v>
      </c>
      <c r="B28271" s="3" t="str">
        <f>HYPERLINK("https://www.773grp.com/manufacturer/onsemi?pageNo=465", "ON Semiconductor")</f>
        <v>ON Semiconductor</v>
      </c>
      <c r="C28271" s="6">
        <v>1875</v>
      </c>
      <c r="D28271" s="7">
        <v>0.48</v>
      </c>
      <c r="E28271" t="s">
        <v>105</v>
      </c>
    </row>
    <row r="28272" spans="1:5" x14ac:dyDescent="0.25">
      <c r="A28272" t="str">
        <f>HYPERLINK("https://www.773grp.com/globalSearch/NTD23N03R-1G/page-1", "NTD23N03R-1G")</f>
        <v>NTD23N03R-1G</v>
      </c>
      <c r="B28272" s="3" t="str">
        <f>HYPERLINK("https://www.773grp.com/manufacturer/onsemi?pageNo=466", "ON Semiconductor")</f>
        <v>ON Semiconductor</v>
      </c>
      <c r="C28272" s="6">
        <v>13611</v>
      </c>
      <c r="D28272" s="7">
        <v>0.48</v>
      </c>
      <c r="E28272" t="s">
        <v>105</v>
      </c>
    </row>
    <row r="28273" spans="1:5" x14ac:dyDescent="0.25">
      <c r="A28273" t="str">
        <f>HYPERLINK("https://www.773grp.com/globalSearch/NTD40N03R-001/page-1", "NTD40N03R-001")</f>
        <v>NTD40N03R-001</v>
      </c>
      <c r="B28273" s="3" t="str">
        <f>HYPERLINK("https://www.773grp.com/manufacturer/onsemi?pageNo=467", "ON Semiconductor")</f>
        <v>ON Semiconductor</v>
      </c>
      <c r="C28273" s="6">
        <v>3540</v>
      </c>
      <c r="D28273" s="7">
        <v>0.48</v>
      </c>
    </row>
    <row r="28274" spans="1:5" x14ac:dyDescent="0.25">
      <c r="A28274" t="str">
        <f>HYPERLINK("https://www.773grp.com/globalSearch/NTD40N03RT4/page-1", "NTD40N03RT4")</f>
        <v>NTD40N03RT4</v>
      </c>
      <c r="B28274" s="3" t="str">
        <f>HYPERLINK("https://www.773grp.com/manufacturer/onsemi?pageNo=468", "ON Semiconductor")</f>
        <v>ON Semiconductor</v>
      </c>
      <c r="C28274" s="6">
        <v>12911</v>
      </c>
      <c r="D28274" s="7">
        <v>0.48</v>
      </c>
      <c r="E28274" t="s">
        <v>105</v>
      </c>
    </row>
    <row r="28275" spans="1:5" x14ac:dyDescent="0.25">
      <c r="A28275" t="str">
        <f>HYPERLINK("https://www.773grp.com/globalSearch/NTD60N02R-001/page-1", "NTD60N02R-001")</f>
        <v>NTD60N02R-001</v>
      </c>
      <c r="B28275" s="3" t="str">
        <f>HYPERLINK("https://www.773grp.com/manufacturer/onsemi?pageNo=469", "ON Semiconductor")</f>
        <v>ON Semiconductor</v>
      </c>
      <c r="C28275" s="6">
        <v>152772</v>
      </c>
      <c r="D28275" s="7">
        <v>0.48</v>
      </c>
      <c r="E28275" t="s">
        <v>105</v>
      </c>
    </row>
    <row r="28276" spans="1:5" x14ac:dyDescent="0.25">
      <c r="A28276" t="str">
        <f>HYPERLINK("https://www.773grp.com/globalSearch/NTD60N02RT4/page-1", "NTD60N02RT4")</f>
        <v>NTD60N02RT4</v>
      </c>
      <c r="B28276" s="3" t="str">
        <f>HYPERLINK("https://www.773grp.com/manufacturer/onsemi?pageNo=470", "ON Semiconductor")</f>
        <v>ON Semiconductor</v>
      </c>
      <c r="C28276" s="6">
        <v>8421</v>
      </c>
      <c r="D28276" s="7">
        <v>0.48</v>
      </c>
      <c r="E28276" t="s">
        <v>105</v>
      </c>
    </row>
    <row r="28277" spans="1:5" x14ac:dyDescent="0.25">
      <c r="A28277" t="str">
        <f>HYPERLINK("https://www.773grp.com/globalSearch/NTE4153NT1G/page-1", "NTE4153NT1G")</f>
        <v>NTE4153NT1G</v>
      </c>
      <c r="B28277" s="3" t="str">
        <f>HYPERLINK("https://www.773grp.com/manufacturer/onsemi?pageNo=471", "ON Semiconductor")</f>
        <v>ON Semiconductor</v>
      </c>
      <c r="C28277" s="6">
        <v>172700</v>
      </c>
      <c r="D28277" s="7">
        <v>0.48</v>
      </c>
      <c r="E28277" t="s">
        <v>106</v>
      </c>
    </row>
    <row r="28278" spans="1:5" x14ac:dyDescent="0.25">
      <c r="A28278" t="str">
        <f>HYPERLINK("https://www.773grp.com/globalSearch/NTHD4401PT1/page-1", "NTHD4401PT1")</f>
        <v>NTHD4401PT1</v>
      </c>
      <c r="B28278" s="3" t="str">
        <f>HYPERLINK("https://www.773grp.com/manufacturer/onsemi?pageNo=472", "ON Semiconductor")</f>
        <v>ON Semiconductor</v>
      </c>
      <c r="C28278" s="6">
        <v>3000</v>
      </c>
      <c r="D28278" s="7">
        <v>0.48</v>
      </c>
      <c r="E28278" t="s">
        <v>106</v>
      </c>
    </row>
    <row r="28279" spans="1:5" x14ac:dyDescent="0.25">
      <c r="A28279" t="str">
        <f>HYPERLINK("https://www.773grp.com/globalSearch/NTHD4508NT1/page-1", "NTHD4508NT1")</f>
        <v>NTHD4508NT1</v>
      </c>
      <c r="B28279" s="3" t="str">
        <f>HYPERLINK("https://www.773grp.com/manufacturer/onsemi?pageNo=473", "ON Semiconductor")</f>
        <v>ON Semiconductor</v>
      </c>
      <c r="C28279" s="6">
        <v>5895</v>
      </c>
      <c r="D28279" s="7">
        <v>0.48</v>
      </c>
      <c r="E28279" t="s">
        <v>105</v>
      </c>
    </row>
    <row r="28280" spans="1:5" x14ac:dyDescent="0.25">
      <c r="A28280" t="str">
        <f>HYPERLINK("https://www.773grp.com/globalSearch/NTHS5443T1/page-1", "NTHS5443T1")</f>
        <v>NTHS5443T1</v>
      </c>
      <c r="B28280" s="3" t="str">
        <f>HYPERLINK("https://www.773grp.com/manufacturer/onsemi?pageNo=474", "ON Semiconductor")</f>
        <v>ON Semiconductor</v>
      </c>
      <c r="C28280" s="6">
        <v>5994</v>
      </c>
      <c r="D28280" s="7">
        <v>0.48</v>
      </c>
      <c r="E28280" t="s">
        <v>106</v>
      </c>
    </row>
    <row r="28281" spans="1:5" x14ac:dyDescent="0.25">
      <c r="A28281" t="str">
        <f>HYPERLINK("https://www.773grp.com/globalSearch/NTMFS4921NT1G/page-1", "NTMFS4921NT1G")</f>
        <v>NTMFS4921NT1G</v>
      </c>
      <c r="B28281" s="3" t="str">
        <f>HYPERLINK("https://www.773grp.com/manufacturer/onsemi?pageNo=475", "ON Semiconductor")</f>
        <v>ON Semiconductor</v>
      </c>
      <c r="C28281" s="6">
        <v>253154</v>
      </c>
      <c r="D28281" s="7">
        <v>0.48</v>
      </c>
      <c r="E28281" t="s">
        <v>106</v>
      </c>
    </row>
    <row r="28282" spans="1:5" x14ac:dyDescent="0.25">
      <c r="A28282" t="str">
        <f>HYPERLINK("https://www.773grp.com/globalSearch/NTR2101PT1G/page-1", "NTR2101PT1G")</f>
        <v>NTR2101PT1G</v>
      </c>
      <c r="B28282" s="3" t="str">
        <f>HYPERLINK("https://www.773grp.com/manufacturer/onsemi?pageNo=476", "ON Semiconductor")</f>
        <v>ON Semiconductor</v>
      </c>
      <c r="C28282" s="6">
        <v>68413</v>
      </c>
      <c r="D28282" s="7">
        <v>0.48</v>
      </c>
      <c r="E28282" t="s">
        <v>106</v>
      </c>
    </row>
    <row r="28283" spans="1:5" x14ac:dyDescent="0.25">
      <c r="A28283" t="str">
        <f>HYPERLINK("https://www.773grp.com/globalSearch/NTR4101PT1G/page-1", "NTR4101PT1G")</f>
        <v>NTR4101PT1G</v>
      </c>
      <c r="B28283" s="3" t="str">
        <f>HYPERLINK("https://www.773grp.com/manufacturer/onsemi?pageNo=477", "ON Semiconductor")</f>
        <v>ON Semiconductor</v>
      </c>
      <c r="C28283" s="6">
        <v>134650</v>
      </c>
      <c r="D28283" s="7">
        <v>0.48</v>
      </c>
      <c r="E28283" t="s">
        <v>106</v>
      </c>
    </row>
    <row r="28284" spans="1:5" x14ac:dyDescent="0.25">
      <c r="A28284" t="str">
        <f>HYPERLINK("https://www.773grp.com/globalSearch/NUF6401MNT1G/page-1", "NUF6401MNT1G")</f>
        <v>NUF6401MNT1G</v>
      </c>
      <c r="B28284" s="3" t="str">
        <f>HYPERLINK("https://www.773grp.com/manufacturer/onsemi?pageNo=478", "ON Semiconductor")</f>
        <v>ON Semiconductor</v>
      </c>
      <c r="C28284" s="6">
        <v>1035531</v>
      </c>
      <c r="D28284" s="7">
        <v>0.48</v>
      </c>
      <c r="E28284" t="s">
        <v>100</v>
      </c>
    </row>
    <row r="28285" spans="1:5" x14ac:dyDescent="0.25">
      <c r="A28285" t="str">
        <f>HYPERLINK("https://www.773grp.com/globalSearch/NUP2114UCMR6T1G/page-1", "NUP2114UCMR6T1G")</f>
        <v>NUP2114UCMR6T1G</v>
      </c>
      <c r="B28285" s="3" t="str">
        <f>HYPERLINK("https://www.773grp.com/manufacturer/onsemi?pageNo=479", "ON Semiconductor")</f>
        <v>ON Semiconductor</v>
      </c>
      <c r="C28285" s="6">
        <v>21000</v>
      </c>
      <c r="D28285" s="7">
        <v>0.48</v>
      </c>
      <c r="E28285" t="s">
        <v>96</v>
      </c>
    </row>
    <row r="28286" spans="1:5" x14ac:dyDescent="0.25">
      <c r="A28286" t="str">
        <f>HYPERLINK("https://www.773grp.com/globalSearch/NUP2301MW6T1/page-1", "NUP2301MW6T1")</f>
        <v>NUP2301MW6T1</v>
      </c>
      <c r="B28286" s="3" t="str">
        <f>HYPERLINK("https://www.773grp.com/manufacturer/onsemi?pageNo=480", "ON Semiconductor")</f>
        <v>ON Semiconductor</v>
      </c>
      <c r="C28286" s="6">
        <v>54824</v>
      </c>
      <c r="D28286" s="7">
        <v>0.48</v>
      </c>
      <c r="E28286" t="s">
        <v>96</v>
      </c>
    </row>
    <row r="28287" spans="1:5" x14ac:dyDescent="0.25">
      <c r="A28287" t="str">
        <f>HYPERLINK("https://www.773grp.com/globalSearch/NVR1P02T1G/page-1", "NVR1P02T1G")</f>
        <v>NVR1P02T1G</v>
      </c>
      <c r="B28287" s="3" t="str">
        <f>HYPERLINK("https://www.773grp.com/manufacturer/onsemi?pageNo=481", "ON Semiconductor")</f>
        <v>ON Semiconductor</v>
      </c>
      <c r="C28287" s="6">
        <v>6000</v>
      </c>
      <c r="D28287" s="7">
        <v>0.48</v>
      </c>
    </row>
    <row r="28288" spans="1:5" x14ac:dyDescent="0.25">
      <c r="A28288" t="str">
        <f>HYPERLINK("https://www.773grp.com/globalSearch/NYC008-6JRLRAG/page-1", "NYC008-6JRLRAG")</f>
        <v>NYC008-6JRLRAG</v>
      </c>
      <c r="B28288" s="3" t="str">
        <f>HYPERLINK("https://www.773grp.com/manufacturer/onsemi?pageNo=482", "ON Semiconductor")</f>
        <v>ON Semiconductor</v>
      </c>
      <c r="C28288" s="6">
        <v>10000</v>
      </c>
      <c r="D28288" s="7">
        <v>0.48</v>
      </c>
      <c r="E28288" t="s">
        <v>97</v>
      </c>
    </row>
    <row r="28289" spans="1:5" x14ac:dyDescent="0.25">
      <c r="A28289" t="str">
        <f>HYPERLINK("https://www.773grp.com/globalSearch/NYC008-6JRLREG/page-1", "NYC008-6JRLREG")</f>
        <v>NYC008-6JRLREG</v>
      </c>
      <c r="B28289" s="3" t="str">
        <f>HYPERLINK("https://www.773grp.com/manufacturer/onsemi?pageNo=483", "ON Semiconductor")</f>
        <v>ON Semiconductor</v>
      </c>
      <c r="C28289" s="6">
        <v>10000</v>
      </c>
      <c r="D28289" s="7">
        <v>0.48</v>
      </c>
      <c r="E28289" t="s">
        <v>97</v>
      </c>
    </row>
    <row r="28290" spans="1:5" x14ac:dyDescent="0.25">
      <c r="A28290" t="str">
        <f>HYPERLINK("https://www.773grp.com/globalSearch/P6KE100ARLG/page-1", "P6KE100ARLG")</f>
        <v>P6KE100ARLG</v>
      </c>
      <c r="B28290" s="3" t="str">
        <f>HYPERLINK("https://www.773grp.com/manufacturer/onsemi?pageNo=484", "ON Semiconductor")</f>
        <v>ON Semiconductor</v>
      </c>
      <c r="C28290" s="6">
        <v>11300</v>
      </c>
      <c r="D28290" s="7">
        <v>0.48</v>
      </c>
      <c r="E28290" t="s">
        <v>96</v>
      </c>
    </row>
    <row r="28291" spans="1:5" x14ac:dyDescent="0.25">
      <c r="A28291" t="str">
        <f>HYPERLINK("https://www.773grp.com/globalSearch/P6KE180ARLG/page-1", "P6KE180ARLG")</f>
        <v>P6KE180ARLG</v>
      </c>
      <c r="B28291" s="3" t="str">
        <f>HYPERLINK("https://www.773grp.com/manufacturer/onsemi?pageNo=485", "ON Semiconductor")</f>
        <v>ON Semiconductor</v>
      </c>
      <c r="C28291" s="6">
        <v>43046</v>
      </c>
      <c r="D28291" s="7">
        <v>0.48</v>
      </c>
      <c r="E28291" t="s">
        <v>96</v>
      </c>
    </row>
    <row r="28292" spans="1:5" x14ac:dyDescent="0.25">
      <c r="A28292" t="str">
        <f>HYPERLINK("https://www.773grp.com/globalSearch/P6SMB10AT3/page-1", "P6SMB10AT3")</f>
        <v>P6SMB10AT3</v>
      </c>
      <c r="B28292" s="3" t="str">
        <f>HYPERLINK("https://www.773grp.com/manufacturer/onsemi?pageNo=486", "ON Semiconductor")</f>
        <v>ON Semiconductor</v>
      </c>
      <c r="C28292" s="6">
        <v>10000</v>
      </c>
      <c r="D28292" s="7">
        <v>0.48</v>
      </c>
      <c r="E28292" t="s">
        <v>96</v>
      </c>
    </row>
    <row r="28293" spans="1:5" x14ac:dyDescent="0.25">
      <c r="A28293" t="str">
        <f>HYPERLINK("https://www.773grp.com/globalSearch/P6SMB15AT3/page-1", "P6SMB15AT3")</f>
        <v>P6SMB15AT3</v>
      </c>
      <c r="B28293" s="3" t="str">
        <f>HYPERLINK("https://www.773grp.com/manufacturer/onsemi?pageNo=487", "ON Semiconductor")</f>
        <v>ON Semiconductor</v>
      </c>
      <c r="C28293" s="6">
        <v>2500</v>
      </c>
      <c r="D28293" s="7">
        <v>0.48</v>
      </c>
      <c r="E28293" t="s">
        <v>96</v>
      </c>
    </row>
    <row r="28294" spans="1:5" x14ac:dyDescent="0.25">
      <c r="A28294" t="str">
        <f>HYPERLINK("https://www.773grp.com/globalSearch/P6SMB24AT3/page-1", "P6SMB24AT3")</f>
        <v>P6SMB24AT3</v>
      </c>
      <c r="B28294" s="3" t="str">
        <f>HYPERLINK("https://www.773grp.com/manufacturer/onsemi?pageNo=488", "ON Semiconductor")</f>
        <v>ON Semiconductor</v>
      </c>
      <c r="C28294" s="6">
        <v>2500</v>
      </c>
      <c r="D28294" s="7">
        <v>0.48</v>
      </c>
      <c r="E28294" t="s">
        <v>96</v>
      </c>
    </row>
    <row r="28295" spans="1:5" x14ac:dyDescent="0.25">
      <c r="A28295" t="str">
        <f>HYPERLINK("https://www.773grp.com/globalSearch/P6SMB39AT3/page-1", "P6SMB39AT3")</f>
        <v>P6SMB39AT3</v>
      </c>
      <c r="B28295" s="3" t="str">
        <f>HYPERLINK("https://www.773grp.com/manufacturer/onsemi?pageNo=489", "ON Semiconductor")</f>
        <v>ON Semiconductor</v>
      </c>
      <c r="C28295" s="6">
        <v>212500</v>
      </c>
      <c r="D28295" s="7">
        <v>0.48</v>
      </c>
      <c r="E28295" t="s">
        <v>96</v>
      </c>
    </row>
    <row r="28296" spans="1:5" x14ac:dyDescent="0.25">
      <c r="A28296" t="str">
        <f>HYPERLINK("https://www.773grp.com/globalSearch/P6SMB51AT3/page-1", "P6SMB51AT3")</f>
        <v>P6SMB51AT3</v>
      </c>
      <c r="B28296" s="3" t="str">
        <f>HYPERLINK("https://www.773grp.com/manufacturer/onsemi?pageNo=490", "ON Semiconductor")</f>
        <v>ON Semiconductor</v>
      </c>
      <c r="C28296" s="6">
        <v>6687</v>
      </c>
      <c r="D28296" s="7">
        <v>0.48</v>
      </c>
      <c r="E28296" t="s">
        <v>96</v>
      </c>
    </row>
    <row r="28297" spans="1:5" x14ac:dyDescent="0.25">
      <c r="A28297" t="str">
        <f>HYPERLINK("https://www.773grp.com/globalSearch/P6SMB6.8AT3/page-1", "P6SMB6.8AT3")</f>
        <v>P6SMB6.8AT3</v>
      </c>
      <c r="B28297" s="3" t="str">
        <f>HYPERLINK("https://www.773grp.com/manufacturer/onsemi?pageNo=491", "ON Semiconductor")</f>
        <v>ON Semiconductor</v>
      </c>
      <c r="C28297" s="6">
        <v>37405</v>
      </c>
      <c r="D28297" s="7">
        <v>0.48</v>
      </c>
      <c r="E28297" t="s">
        <v>96</v>
      </c>
    </row>
    <row r="28298" spans="1:5" x14ac:dyDescent="0.25">
      <c r="A28298" t="str">
        <f>HYPERLINK("https://www.773grp.com/globalSearch/P6SMB62AT3/page-1", "P6SMB62AT3")</f>
        <v>P6SMB62AT3</v>
      </c>
      <c r="B28298" s="3" t="str">
        <f>HYPERLINK("https://www.773grp.com/manufacturer/onsemi?pageNo=492", "ON Semiconductor")</f>
        <v>ON Semiconductor</v>
      </c>
      <c r="C28298" s="6">
        <v>32500</v>
      </c>
      <c r="D28298" s="7">
        <v>0.48</v>
      </c>
      <c r="E28298" t="s">
        <v>96</v>
      </c>
    </row>
    <row r="28299" spans="1:5" x14ac:dyDescent="0.25">
      <c r="A28299" t="str">
        <f>HYPERLINK("https://www.773grp.com/globalSearch/P6SMB75AT3/page-1", "P6SMB75AT3")</f>
        <v>P6SMB75AT3</v>
      </c>
      <c r="B28299" s="3" t="str">
        <f>HYPERLINK("https://www.773grp.com/manufacturer/onsemi?pageNo=493", "ON Semiconductor")</f>
        <v>ON Semiconductor</v>
      </c>
      <c r="C28299" s="6">
        <v>10000</v>
      </c>
      <c r="D28299" s="7">
        <v>0.48</v>
      </c>
      <c r="E28299" t="s">
        <v>96</v>
      </c>
    </row>
    <row r="28300" spans="1:5" x14ac:dyDescent="0.25">
      <c r="A28300" t="str">
        <f>HYPERLINK("https://www.773grp.com/globalSearch/P6SMB9.1AT3/page-1", "P6SMB9.1AT3")</f>
        <v>P6SMB9.1AT3</v>
      </c>
      <c r="B28300" s="3" t="str">
        <f>HYPERLINK("https://www.773grp.com/manufacturer/onsemi?pageNo=494", "ON Semiconductor")</f>
        <v>ON Semiconductor</v>
      </c>
      <c r="C28300" s="6">
        <v>2500</v>
      </c>
      <c r="D28300" s="7">
        <v>0.48</v>
      </c>
      <c r="E28300" t="s">
        <v>96</v>
      </c>
    </row>
    <row r="28301" spans="1:5" x14ac:dyDescent="0.25">
      <c r="A28301" t="str">
        <f>HYPERLINK("https://www.773grp.com/globalSearch/PACDN042Y3R/page-1", "PACDN042Y3R")</f>
        <v>PACDN042Y3R</v>
      </c>
      <c r="B28301" s="3" t="str">
        <f>HYPERLINK("https://www.773grp.com/manufacturer/onsemi?pageNo=495", "ON Semiconductor")</f>
        <v>ON Semiconductor</v>
      </c>
      <c r="C28301" s="6">
        <v>192140</v>
      </c>
      <c r="D28301" s="7">
        <v>0.48</v>
      </c>
      <c r="E28301" t="s">
        <v>96</v>
      </c>
    </row>
    <row r="28302" spans="1:5" x14ac:dyDescent="0.25">
      <c r="A28302" t="str">
        <f>HYPERLINK("https://www.773grp.com/globalSearch/PZT2222AT1/page-1", "PZT2222AT1")</f>
        <v>PZT2222AT1</v>
      </c>
      <c r="B28302" s="3" t="str">
        <f>HYPERLINK("https://www.773grp.com/manufacturer/onsemi?pageNo=496", "ON Semiconductor")</f>
        <v>ON Semiconductor</v>
      </c>
      <c r="C28302" s="6">
        <v>139455</v>
      </c>
      <c r="D28302" s="7">
        <v>0.48</v>
      </c>
      <c r="E28302" t="s">
        <v>69</v>
      </c>
    </row>
    <row r="28303" spans="1:5" x14ac:dyDescent="0.25">
      <c r="A28303" t="str">
        <f>HYPERLINK("https://www.773grp.com/globalSearch/PZT3904T1/page-1", "PZT3904T1")</f>
        <v>PZT3904T1</v>
      </c>
      <c r="B28303" s="3" t="str">
        <f>HYPERLINK("https://www.773grp.com/manufacturer/onsemi?pageNo=497", "ON Semiconductor")</f>
        <v>ON Semiconductor</v>
      </c>
      <c r="C28303" s="6">
        <v>2785</v>
      </c>
      <c r="D28303" s="7">
        <v>0.48</v>
      </c>
      <c r="E28303" t="s">
        <v>69</v>
      </c>
    </row>
    <row r="28304" spans="1:5" x14ac:dyDescent="0.25">
      <c r="A28304" t="str">
        <f>HYPERLINK("https://www.773grp.com/globalSearch/SB07-03C-TB-H/page-1", "SB07-03C-TB-H")</f>
        <v>SB07-03C-TB-H</v>
      </c>
      <c r="B28304" s="3" t="str">
        <f>HYPERLINK("https://www.773grp.com/manufacturer/onsemi?pageNo=498", "ON Semiconductor")</f>
        <v>ON Semiconductor</v>
      </c>
      <c r="C28304" s="6">
        <v>3000</v>
      </c>
      <c r="D28304" s="7">
        <v>0.48</v>
      </c>
    </row>
    <row r="28305" spans="1:5" x14ac:dyDescent="0.25">
      <c r="A28305" t="str">
        <f>HYPERLINK("https://www.773grp.com/globalSearch/SBCP53T1G/page-1", "SBCP53T1G")</f>
        <v>SBCP53T1G</v>
      </c>
      <c r="B28305" s="3" t="str">
        <f>HYPERLINK("https://www.773grp.com/manufacturer/onsemi?pageNo=499", "ON Semiconductor")</f>
        <v>ON Semiconductor</v>
      </c>
      <c r="C28305" s="6">
        <v>52000</v>
      </c>
      <c r="D28305" s="7">
        <v>0.48</v>
      </c>
      <c r="E28305" t="s">
        <v>59</v>
      </c>
    </row>
    <row r="28306" spans="1:5" x14ac:dyDescent="0.25">
      <c r="A28306" t="str">
        <f>HYPERLINK("https://www.773grp.com/globalSearch/SBCP56-10T1G/page-1", "SBCP56-10T1G")</f>
        <v>SBCP56-10T1G</v>
      </c>
      <c r="B28306" s="3" t="str">
        <f>HYPERLINK("https://www.773grp.com/manufacturer/onsemi?pageNo=500", "ON Semiconductor")</f>
        <v>ON Semiconductor</v>
      </c>
      <c r="C28306" s="6">
        <v>91670</v>
      </c>
      <c r="D28306" s="7">
        <v>0.48</v>
      </c>
    </row>
    <row r="28307" spans="1:5" x14ac:dyDescent="0.25">
      <c r="A28307" t="str">
        <f>HYPERLINK("https://www.773grp.com/globalSearch/SBRA140T3/page-1", "SBRA140T3")</f>
        <v>SBRA140T3</v>
      </c>
      <c r="B28307" s="3" t="str">
        <f>HYPERLINK("https://www.773grp.com/manufacturer/onsemi?pageNo=501", "ON Semiconductor")</f>
        <v>ON Semiconductor</v>
      </c>
      <c r="C28307" s="6">
        <v>825000</v>
      </c>
      <c r="D28307" s="7">
        <v>0.48</v>
      </c>
    </row>
    <row r="28308" spans="1:5" x14ac:dyDescent="0.25">
      <c r="A28308" t="str">
        <f>HYPERLINK("https://www.773grp.com/globalSearch/SBRS5654T3/page-1", "SBRS5654T3")</f>
        <v>SBRS5654T3</v>
      </c>
      <c r="B28308" s="3" t="str">
        <f>HYPERLINK("https://www.773grp.com/manufacturer/onsemi?pageNo=502", "ON Semiconductor")</f>
        <v>ON Semiconductor</v>
      </c>
      <c r="C28308" s="6">
        <v>5000</v>
      </c>
      <c r="D28308" s="7">
        <v>0.48</v>
      </c>
    </row>
    <row r="28309" spans="1:5" x14ac:dyDescent="0.25">
      <c r="A28309" t="str">
        <f>HYPERLINK("https://www.773grp.com/globalSearch/SBZNUP2105LT1G/page-1", "SBZNUP2105LT1G")</f>
        <v>SBZNUP2105LT1G</v>
      </c>
      <c r="B28309" s="3" t="str">
        <f>HYPERLINK("https://www.773grp.com/manufacturer/onsemi?pageNo=503", "ON Semiconductor")</f>
        <v>ON Semiconductor</v>
      </c>
      <c r="C28309" s="6">
        <v>3000</v>
      </c>
      <c r="D28309" s="7">
        <v>0.48</v>
      </c>
    </row>
    <row r="28310" spans="1:5" x14ac:dyDescent="0.25">
      <c r="A28310" t="str">
        <f>HYPERLINK("https://www.773grp.com/globalSearch/SC14S66FEL/page-1", "SC14S66FEL")</f>
        <v>SC14S66FEL</v>
      </c>
      <c r="B28310" s="3" t="str">
        <f>HYPERLINK("https://www.773grp.com/manufacturer/onsemi?pageNo=504", "ON Semiconductor")</f>
        <v>ON Semiconductor</v>
      </c>
      <c r="C28310" s="6">
        <v>27000</v>
      </c>
      <c r="D28310" s="7">
        <v>0.48</v>
      </c>
    </row>
    <row r="28311" spans="1:5" x14ac:dyDescent="0.25">
      <c r="A28311" t="str">
        <f>HYPERLINK("https://www.773grp.com/globalSearch/SC14S66FER/page-1", "SC14S66FER")</f>
        <v>SC14S66FER</v>
      </c>
      <c r="B28311" s="3" t="str">
        <f>HYPERLINK("https://www.773grp.com/manufacturer/onsemi?pageNo=505", "ON Semiconductor")</f>
        <v>ON Semiconductor</v>
      </c>
      <c r="C28311" s="6">
        <v>54000</v>
      </c>
      <c r="D28311" s="7">
        <v>0.48</v>
      </c>
    </row>
    <row r="28312" spans="1:5" x14ac:dyDescent="0.25">
      <c r="A28312" t="str">
        <f>HYPERLINK("https://www.773grp.com/globalSearch/SC2901DR2/page-1", "SC2901DR2")</f>
        <v>SC2901DR2</v>
      </c>
      <c r="B28312" s="3" t="str">
        <f>HYPERLINK("https://www.773grp.com/manufacturer/onsemi?pageNo=506", "ON Semiconductor")</f>
        <v>ON Semiconductor</v>
      </c>
      <c r="C28312" s="6">
        <v>60000</v>
      </c>
      <c r="D28312" s="7">
        <v>0.48</v>
      </c>
    </row>
    <row r="28313" spans="1:5" x14ac:dyDescent="0.25">
      <c r="A28313" t="str">
        <f>HYPERLINK("https://www.773grp.com/globalSearch/SC78M09HT/page-1", "SC78M09HT")</f>
        <v>SC78M09HT</v>
      </c>
      <c r="B28313" s="3" t="str">
        <f>HYPERLINK("https://www.773grp.com/manufacturer/onsemi?pageNo=507", "ON Semiconductor")</f>
        <v>ON Semiconductor</v>
      </c>
      <c r="C28313" s="6">
        <v>8000</v>
      </c>
      <c r="D28313" s="7">
        <v>0.48</v>
      </c>
    </row>
    <row r="28314" spans="1:5" x14ac:dyDescent="0.25">
      <c r="A28314" t="str">
        <f>HYPERLINK("https://www.773grp.com/globalSearch/SCH1436-TL-H/page-1", "SCH1436-TL-H")</f>
        <v>SCH1436-TL-H</v>
      </c>
      <c r="B28314" s="3" t="str">
        <f>HYPERLINK("https://www.773grp.com/manufacturer/onsemi?pageNo=508", "ON Semiconductor")</f>
        <v>ON Semiconductor</v>
      </c>
      <c r="C28314" s="6">
        <v>478000</v>
      </c>
      <c r="D28314" s="7">
        <v>0.48</v>
      </c>
    </row>
    <row r="28315" spans="1:5" x14ac:dyDescent="0.25">
      <c r="A28315" t="str">
        <f>HYPERLINK("https://www.773grp.com/globalSearch/SMF10AT1G/page-1", "SMF10AT1G")</f>
        <v>SMF10AT1G</v>
      </c>
      <c r="B28315" s="3" t="str">
        <f>HYPERLINK("https://www.773grp.com/manufacturer/onsemi?pageNo=509", "ON Semiconductor")</f>
        <v>ON Semiconductor</v>
      </c>
      <c r="C28315" s="6">
        <v>4795</v>
      </c>
      <c r="D28315" s="7">
        <v>0.48</v>
      </c>
    </row>
    <row r="28316" spans="1:5" x14ac:dyDescent="0.25">
      <c r="A28316" t="str">
        <f>HYPERLINK("https://www.773grp.com/globalSearch/SMF11AT1G/page-1", "SMF11AT1G")</f>
        <v>SMF11AT1G</v>
      </c>
      <c r="B28316" s="3" t="str">
        <f>HYPERLINK("https://www.773grp.com/manufacturer/onsemi?pageNo=510", "ON Semiconductor")</f>
        <v>ON Semiconductor</v>
      </c>
      <c r="C28316" s="6">
        <v>97653</v>
      </c>
      <c r="D28316" s="7">
        <v>0.48</v>
      </c>
      <c r="E28316" t="s">
        <v>96</v>
      </c>
    </row>
    <row r="28317" spans="1:5" x14ac:dyDescent="0.25">
      <c r="A28317" t="str">
        <f>HYPERLINK("https://www.773grp.com/globalSearch/SMF12AT1G/page-1", "SMF12AT1G")</f>
        <v>SMF12AT1G</v>
      </c>
      <c r="B28317" s="3" t="str">
        <f>HYPERLINK("https://www.773grp.com/manufacturer/onsemi?pageNo=511", "ON Semiconductor")</f>
        <v>ON Semiconductor</v>
      </c>
      <c r="C28317" s="6">
        <v>3000</v>
      </c>
      <c r="D28317" s="7">
        <v>0.48</v>
      </c>
      <c r="E28317" t="s">
        <v>96</v>
      </c>
    </row>
    <row r="28318" spans="1:5" x14ac:dyDescent="0.25">
      <c r="A28318" t="str">
        <f>HYPERLINK("https://www.773grp.com/globalSearch/SMF12CT1/page-1", "SMF12CT1")</f>
        <v>SMF12CT1</v>
      </c>
      <c r="B28318" s="3" t="str">
        <f>HYPERLINK("https://www.773grp.com/manufacturer/onsemi?pageNo=512", "ON Semiconductor")</f>
        <v>ON Semiconductor</v>
      </c>
      <c r="C28318" s="6">
        <v>24000</v>
      </c>
      <c r="D28318" s="7">
        <v>0.48</v>
      </c>
      <c r="E28318" t="s">
        <v>96</v>
      </c>
    </row>
    <row r="28319" spans="1:5" x14ac:dyDescent="0.25">
      <c r="A28319" t="str">
        <f>HYPERLINK("https://www.773grp.com/globalSearch/SMF13AT1G/page-1", "SMF13AT1G")</f>
        <v>SMF13AT1G</v>
      </c>
      <c r="B28319" s="3" t="str">
        <f>HYPERLINK("https://www.773grp.com/manufacturer/onsemi?pageNo=513", "ON Semiconductor")</f>
        <v>ON Semiconductor</v>
      </c>
      <c r="C28319" s="6">
        <v>2710</v>
      </c>
      <c r="D28319" s="7">
        <v>0.48</v>
      </c>
      <c r="E28319" t="s">
        <v>96</v>
      </c>
    </row>
    <row r="28320" spans="1:5" x14ac:dyDescent="0.25">
      <c r="A28320" t="str">
        <f>HYPERLINK("https://www.773grp.com/globalSearch/SMF14AT1/page-1", "SMF14AT1")</f>
        <v>SMF14AT1</v>
      </c>
      <c r="B28320" s="3" t="str">
        <f>HYPERLINK("https://www.773grp.com/manufacturer/onsemi?pageNo=514", "ON Semiconductor")</f>
        <v>ON Semiconductor</v>
      </c>
      <c r="C28320" s="6">
        <v>2840</v>
      </c>
      <c r="D28320" s="7">
        <v>0.48</v>
      </c>
      <c r="E28320" t="s">
        <v>96</v>
      </c>
    </row>
    <row r="28321" spans="1:5" x14ac:dyDescent="0.25">
      <c r="A28321" t="str">
        <f>HYPERLINK("https://www.773grp.com/globalSearch/SMF14AT1G/page-1", "SMF14AT1G")</f>
        <v>SMF14AT1G</v>
      </c>
      <c r="B28321" s="3" t="str">
        <f>HYPERLINK("https://www.773grp.com/manufacturer/onsemi?pageNo=515", "ON Semiconductor")</f>
        <v>ON Semiconductor</v>
      </c>
      <c r="C28321" s="6">
        <v>5000</v>
      </c>
      <c r="D28321" s="7">
        <v>0.48</v>
      </c>
      <c r="E28321" t="s">
        <v>96</v>
      </c>
    </row>
    <row r="28322" spans="1:5" x14ac:dyDescent="0.25">
      <c r="A28322" t="str">
        <f>HYPERLINK("https://www.773grp.com/globalSearch/SMF18AT1G/page-1", "SMF18AT1G")</f>
        <v>SMF18AT1G</v>
      </c>
      <c r="B28322" s="3" t="str">
        <f>HYPERLINK("https://www.773grp.com/manufacturer/onsemi?pageNo=516", "ON Semiconductor")</f>
        <v>ON Semiconductor</v>
      </c>
      <c r="C28322" s="6">
        <v>257465</v>
      </c>
      <c r="D28322" s="7">
        <v>0.48</v>
      </c>
      <c r="E28322" t="s">
        <v>96</v>
      </c>
    </row>
    <row r="28323" spans="1:5" x14ac:dyDescent="0.25">
      <c r="A28323" t="str">
        <f>HYPERLINK("https://www.773grp.com/globalSearch/SMF36AT1G/page-1", "SMF36AT1G")</f>
        <v>SMF36AT1G</v>
      </c>
      <c r="B28323" s="3" t="str">
        <f>HYPERLINK("https://www.773grp.com/manufacturer/onsemi?pageNo=517", "ON Semiconductor")</f>
        <v>ON Semiconductor</v>
      </c>
      <c r="C28323" s="6">
        <v>60000</v>
      </c>
      <c r="D28323" s="7">
        <v>0.48</v>
      </c>
      <c r="E28323" t="s">
        <v>96</v>
      </c>
    </row>
    <row r="28324" spans="1:5" x14ac:dyDescent="0.25">
      <c r="A28324" t="str">
        <f>HYPERLINK("https://www.773grp.com/globalSearch/SMF5.0AT1G/page-1", "SMF5.0AT1G")</f>
        <v>SMF5.0AT1G</v>
      </c>
      <c r="B28324" s="3" t="str">
        <f>HYPERLINK("https://www.773grp.com/manufacturer/onsemi?pageNo=518", "ON Semiconductor")</f>
        <v>ON Semiconductor</v>
      </c>
      <c r="C28324" s="6">
        <v>24027</v>
      </c>
      <c r="D28324" s="7">
        <v>0.48</v>
      </c>
      <c r="E28324" t="s">
        <v>96</v>
      </c>
    </row>
    <row r="28325" spans="1:5" x14ac:dyDescent="0.25">
      <c r="A28325" t="str">
        <f>HYPERLINK("https://www.773grp.com/globalSearch/SMF6.0AT1G/page-1", "SMF6.0AT1G")</f>
        <v>SMF6.0AT1G</v>
      </c>
      <c r="B28325" s="3" t="str">
        <f>HYPERLINK("https://www.773grp.com/manufacturer/onsemi?pageNo=519", "ON Semiconductor")</f>
        <v>ON Semiconductor</v>
      </c>
      <c r="C28325" s="6">
        <v>32700</v>
      </c>
      <c r="D28325" s="7">
        <v>0.48</v>
      </c>
      <c r="E28325" t="s">
        <v>96</v>
      </c>
    </row>
    <row r="28326" spans="1:5" x14ac:dyDescent="0.25">
      <c r="A28326" t="str">
        <f>HYPERLINK("https://www.773grp.com/globalSearch/SMF7.5AT1G/page-1", "SMF7.5AT1G")</f>
        <v>SMF7.5AT1G</v>
      </c>
      <c r="B28326" s="3" t="str">
        <f>HYPERLINK("https://www.773grp.com/manufacturer/onsemi?pageNo=520", "ON Semiconductor")</f>
        <v>ON Semiconductor</v>
      </c>
      <c r="C28326" s="6">
        <v>18000</v>
      </c>
      <c r="D28326" s="7">
        <v>0.48</v>
      </c>
      <c r="E28326" t="s">
        <v>96</v>
      </c>
    </row>
    <row r="28327" spans="1:5" x14ac:dyDescent="0.25">
      <c r="A28327" t="str">
        <f>HYPERLINK("https://www.773grp.com/globalSearch/SN74LS00D/page-1", "SN74LS00D")</f>
        <v>SN74LS00D</v>
      </c>
      <c r="B28327" s="3" t="str">
        <f>HYPERLINK("https://www.773grp.com/manufacturer/onsemi?pageNo=521", "ON Semiconductor")</f>
        <v>ON Semiconductor</v>
      </c>
      <c r="C28327" s="6">
        <v>485</v>
      </c>
      <c r="D28327" s="7">
        <v>0.48</v>
      </c>
      <c r="E28327" t="s">
        <v>31</v>
      </c>
    </row>
    <row r="28328" spans="1:5" x14ac:dyDescent="0.25">
      <c r="A28328" t="str">
        <f>HYPERLINK("https://www.773grp.com/globalSearch/SN74LS00ML1/page-1", "SN74LS00ML1")</f>
        <v>SN74LS00ML1</v>
      </c>
      <c r="B28328" s="3" t="str">
        <f>HYPERLINK("https://www.773grp.com/manufacturer/onsemi?pageNo=522", "ON Semiconductor")</f>
        <v>ON Semiconductor</v>
      </c>
      <c r="C28328" s="6">
        <v>8000</v>
      </c>
      <c r="D28328" s="7">
        <v>0.48</v>
      </c>
    </row>
    <row r="28329" spans="1:5" x14ac:dyDescent="0.25">
      <c r="A28329" t="str">
        <f>HYPERLINK("https://www.773grp.com/globalSearch/SN74LS00MR1/page-1", "SN74LS00MR1")</f>
        <v>SN74LS00MR1</v>
      </c>
      <c r="B28329" s="3" t="str">
        <f>HYPERLINK("https://www.773grp.com/manufacturer/onsemi?pageNo=523", "ON Semiconductor")</f>
        <v>ON Semiconductor</v>
      </c>
      <c r="C28329" s="6">
        <v>2000</v>
      </c>
      <c r="D28329" s="7">
        <v>0.48</v>
      </c>
      <c r="E28329" t="s">
        <v>31</v>
      </c>
    </row>
    <row r="28330" spans="1:5" x14ac:dyDescent="0.25">
      <c r="A28330" t="str">
        <f>HYPERLINK("https://www.773grp.com/globalSearch/SN74LS02D/page-1", "SN74LS02D")</f>
        <v>SN74LS02D</v>
      </c>
      <c r="B28330" s="3" t="str">
        <f>HYPERLINK("https://www.773grp.com/manufacturer/onsemi?pageNo=524", "ON Semiconductor")</f>
        <v>ON Semiconductor</v>
      </c>
      <c r="C28330" s="6">
        <v>5765</v>
      </c>
      <c r="D28330" s="7">
        <v>0.48</v>
      </c>
      <c r="E28330" t="s">
        <v>31</v>
      </c>
    </row>
    <row r="28331" spans="1:5" x14ac:dyDescent="0.25">
      <c r="A28331" t="str">
        <f>HYPERLINK("https://www.773grp.com/globalSearch/SN74LS02DR2/page-1", "SN74LS02DR2")</f>
        <v>SN74LS02DR2</v>
      </c>
      <c r="B28331" s="3" t="str">
        <f>HYPERLINK("https://www.773grp.com/manufacturer/onsemi?pageNo=525", "ON Semiconductor")</f>
        <v>ON Semiconductor</v>
      </c>
      <c r="C28331" s="6">
        <v>125000</v>
      </c>
      <c r="D28331" s="7">
        <v>0.48</v>
      </c>
      <c r="E28331" t="s">
        <v>31</v>
      </c>
    </row>
    <row r="28332" spans="1:5" x14ac:dyDescent="0.25">
      <c r="A28332" t="str">
        <f>HYPERLINK("https://www.773grp.com/globalSearch/SN74LS02M/page-1", "SN74LS02M")</f>
        <v>SN74LS02M</v>
      </c>
      <c r="B28332" s="3" t="str">
        <f>HYPERLINK("https://www.773grp.com/manufacturer/onsemi?pageNo=526", "ON Semiconductor")</f>
        <v>ON Semiconductor</v>
      </c>
      <c r="C28332" s="6">
        <v>9296</v>
      </c>
      <c r="D28332" s="7">
        <v>0.48</v>
      </c>
    </row>
    <row r="28333" spans="1:5" x14ac:dyDescent="0.25">
      <c r="A28333" t="str">
        <f>HYPERLINK("https://www.773grp.com/globalSearch/SN74LS03D/page-1", "SN74LS03D")</f>
        <v>SN74LS03D</v>
      </c>
      <c r="B28333" s="3" t="str">
        <f>HYPERLINK("https://www.773grp.com/manufacturer/onsemi?pageNo=527", "ON Semiconductor")</f>
        <v>ON Semiconductor</v>
      </c>
      <c r="C28333" s="6">
        <v>13965</v>
      </c>
      <c r="D28333" s="7">
        <v>0.48</v>
      </c>
      <c r="E28333" t="s">
        <v>31</v>
      </c>
    </row>
    <row r="28334" spans="1:5" x14ac:dyDescent="0.25">
      <c r="A28334" t="str">
        <f>HYPERLINK("https://www.773grp.com/globalSearch/SN74LS03DR2/page-1", "SN74LS03DR2")</f>
        <v>SN74LS03DR2</v>
      </c>
      <c r="B28334" s="3" t="str">
        <f>HYPERLINK("https://www.773grp.com/manufacturer/onsemi?pageNo=528", "ON Semiconductor")</f>
        <v>ON Semiconductor</v>
      </c>
      <c r="C28334" s="6">
        <v>7500</v>
      </c>
      <c r="D28334" s="7">
        <v>0.48</v>
      </c>
      <c r="E28334" t="s">
        <v>31</v>
      </c>
    </row>
    <row r="28335" spans="1:5" x14ac:dyDescent="0.25">
      <c r="A28335" t="str">
        <f>HYPERLINK("https://www.773grp.com/globalSearch/SN74LS03M/page-1", "SN74LS03M")</f>
        <v>SN74LS03M</v>
      </c>
      <c r="B28335" s="3" t="str">
        <f>HYPERLINK("https://www.773grp.com/manufacturer/onsemi?pageNo=529", "ON Semiconductor")</f>
        <v>ON Semiconductor</v>
      </c>
      <c r="C28335" s="6">
        <v>8180</v>
      </c>
      <c r="D28335" s="7">
        <v>0.48</v>
      </c>
    </row>
    <row r="28336" spans="1:5" x14ac:dyDescent="0.25">
      <c r="A28336" t="str">
        <f>HYPERLINK("https://www.773grp.com/globalSearch/SN74LS03MEL/page-1", "SN74LS03MEL")</f>
        <v>SN74LS03MEL</v>
      </c>
      <c r="B28336" s="3" t="str">
        <f>HYPERLINK("https://www.773grp.com/manufacturer/onsemi?pageNo=530", "ON Semiconductor")</f>
        <v>ON Semiconductor</v>
      </c>
      <c r="C28336" s="6">
        <v>8000</v>
      </c>
      <c r="D28336" s="7">
        <v>0.48</v>
      </c>
    </row>
    <row r="28337" spans="1:5" x14ac:dyDescent="0.25">
      <c r="A28337" t="str">
        <f>HYPERLINK("https://www.773grp.com/globalSearch/SN74LS03N/page-1", "SN74LS03N")</f>
        <v>SN74LS03N</v>
      </c>
      <c r="B28337" s="3" t="str">
        <f>HYPERLINK("https://www.773grp.com/manufacturer/onsemi?pageNo=531", "ON Semiconductor")</f>
        <v>ON Semiconductor</v>
      </c>
      <c r="C28337" s="6">
        <v>33066</v>
      </c>
      <c r="D28337" s="7">
        <v>0.48</v>
      </c>
      <c r="E28337" t="s">
        <v>31</v>
      </c>
    </row>
    <row r="28338" spans="1:5" x14ac:dyDescent="0.25">
      <c r="A28338" t="str">
        <f>HYPERLINK("https://www.773grp.com/globalSearch/SN74LS04D/page-1", "SN74LS04D")</f>
        <v>SN74LS04D</v>
      </c>
      <c r="B28338" s="3" t="str">
        <f>HYPERLINK("https://www.773grp.com/manufacturer/onsemi?pageNo=532", "ON Semiconductor")</f>
        <v>ON Semiconductor</v>
      </c>
      <c r="C28338" s="6">
        <v>168967</v>
      </c>
      <c r="D28338" s="7">
        <v>0.48</v>
      </c>
      <c r="E28338" t="s">
        <v>31</v>
      </c>
    </row>
    <row r="28339" spans="1:5" x14ac:dyDescent="0.25">
      <c r="A28339" t="str">
        <f>HYPERLINK("https://www.773grp.com/globalSearch/SN74LS04M/page-1", "SN74LS04M")</f>
        <v>SN74LS04M</v>
      </c>
      <c r="B28339" s="3" t="str">
        <f>HYPERLINK("https://www.773grp.com/manufacturer/onsemi?pageNo=533", "ON Semiconductor")</f>
        <v>ON Semiconductor</v>
      </c>
      <c r="C28339" s="6">
        <v>1000</v>
      </c>
      <c r="D28339" s="7">
        <v>0.48</v>
      </c>
      <c r="E28339" t="s">
        <v>31</v>
      </c>
    </row>
    <row r="28340" spans="1:5" x14ac:dyDescent="0.25">
      <c r="A28340" t="str">
        <f>HYPERLINK("https://www.773grp.com/globalSearch/SN74LS04ML1/page-1", "SN74LS04ML1")</f>
        <v>SN74LS04ML1</v>
      </c>
      <c r="B28340" s="3" t="str">
        <f>HYPERLINK("https://www.773grp.com/manufacturer/onsemi?pageNo=534", "ON Semiconductor")</f>
        <v>ON Semiconductor</v>
      </c>
      <c r="C28340" s="6">
        <v>5000</v>
      </c>
      <c r="D28340" s="7">
        <v>0.48</v>
      </c>
    </row>
    <row r="28341" spans="1:5" x14ac:dyDescent="0.25">
      <c r="A28341" t="str">
        <f>HYPERLINK("https://www.773grp.com/globalSearch/SN74LS04MR1/page-1", "SN74LS04MR1")</f>
        <v>SN74LS04MR1</v>
      </c>
      <c r="B28341" s="3" t="str">
        <f>HYPERLINK("https://www.773grp.com/manufacturer/onsemi?pageNo=535", "ON Semiconductor")</f>
        <v>ON Semiconductor</v>
      </c>
      <c r="C28341" s="6">
        <v>34000</v>
      </c>
      <c r="D28341" s="7">
        <v>0.48</v>
      </c>
      <c r="E28341" t="s">
        <v>31</v>
      </c>
    </row>
    <row r="28342" spans="1:5" x14ac:dyDescent="0.25">
      <c r="A28342" t="str">
        <f>HYPERLINK("https://www.773grp.com/globalSearch/SN74LS05D/page-1", "SN74LS05D")</f>
        <v>SN74LS05D</v>
      </c>
      <c r="B28342" s="3" t="str">
        <f>HYPERLINK("https://www.773grp.com/manufacturer/onsemi?pageNo=536", "ON Semiconductor")</f>
        <v>ON Semiconductor</v>
      </c>
      <c r="C28342" s="6">
        <v>9400</v>
      </c>
      <c r="D28342" s="7">
        <v>0.48</v>
      </c>
      <c r="E28342" t="s">
        <v>31</v>
      </c>
    </row>
    <row r="28343" spans="1:5" x14ac:dyDescent="0.25">
      <c r="A28343" t="str">
        <f>HYPERLINK("https://www.773grp.com/globalSearch/SN74LS05M/page-1", "SN74LS05M")</f>
        <v>SN74LS05M</v>
      </c>
      <c r="B28343" s="3" t="str">
        <f>HYPERLINK("https://www.773grp.com/manufacturer/onsemi?pageNo=537", "ON Semiconductor")</f>
        <v>ON Semiconductor</v>
      </c>
      <c r="C28343" s="6">
        <v>4700</v>
      </c>
      <c r="D28343" s="7">
        <v>0.48</v>
      </c>
      <c r="E28343" t="s">
        <v>31</v>
      </c>
    </row>
    <row r="28344" spans="1:5" x14ac:dyDescent="0.25">
      <c r="A28344" t="str">
        <f>HYPERLINK("https://www.773grp.com/globalSearch/SN74LS05MEL/page-1", "SN74LS05MEL")</f>
        <v>SN74LS05MEL</v>
      </c>
      <c r="B28344" s="3" t="str">
        <f>HYPERLINK("https://www.773grp.com/manufacturer/onsemi?pageNo=538", "ON Semiconductor")</f>
        <v>ON Semiconductor</v>
      </c>
      <c r="C28344" s="6">
        <v>7940</v>
      </c>
      <c r="D28344" s="7">
        <v>0.48</v>
      </c>
      <c r="E28344" t="s">
        <v>31</v>
      </c>
    </row>
    <row r="28345" spans="1:5" x14ac:dyDescent="0.25">
      <c r="A28345" t="str">
        <f>HYPERLINK("https://www.773grp.com/globalSearch/SN74LS05ML1/page-1", "SN74LS05ML1")</f>
        <v>SN74LS05ML1</v>
      </c>
      <c r="B28345" s="3" t="str">
        <f>HYPERLINK("https://www.773grp.com/manufacturer/onsemi?pageNo=539", "ON Semiconductor")</f>
        <v>ON Semiconductor</v>
      </c>
      <c r="C28345" s="6">
        <v>10000</v>
      </c>
      <c r="D28345" s="7">
        <v>0.48</v>
      </c>
    </row>
    <row r="28346" spans="1:5" x14ac:dyDescent="0.25">
      <c r="A28346" t="str">
        <f>HYPERLINK("https://www.773grp.com/globalSearch/SN74LS08D/page-1", "SN74LS08D")</f>
        <v>SN74LS08D</v>
      </c>
      <c r="B28346" s="3" t="str">
        <f>HYPERLINK("https://www.773grp.com/manufacturer/onsemi?pageNo=540", "ON Semiconductor")</f>
        <v>ON Semiconductor</v>
      </c>
      <c r="C28346" s="6">
        <v>5965</v>
      </c>
      <c r="D28346" s="7">
        <v>0.48</v>
      </c>
      <c r="E28346" t="s">
        <v>31</v>
      </c>
    </row>
    <row r="28347" spans="1:5" x14ac:dyDescent="0.25">
      <c r="A28347" t="str">
        <f>HYPERLINK("https://www.773grp.com/globalSearch/SN74LS08MEL/page-1", "SN74LS08MEL")</f>
        <v>SN74LS08MEL</v>
      </c>
      <c r="B28347" s="3" t="str">
        <f>HYPERLINK("https://www.773grp.com/manufacturer/onsemi?pageNo=541", "ON Semiconductor")</f>
        <v>ON Semiconductor</v>
      </c>
      <c r="C28347" s="6">
        <v>4000</v>
      </c>
      <c r="D28347" s="7">
        <v>0.48</v>
      </c>
      <c r="E28347" t="s">
        <v>31</v>
      </c>
    </row>
    <row r="28348" spans="1:5" x14ac:dyDescent="0.25">
      <c r="A28348" t="str">
        <f>HYPERLINK("https://www.773grp.com/globalSearch/SN74LS09D/page-1", "SN74LS09D")</f>
        <v>SN74LS09D</v>
      </c>
      <c r="B28348" s="3" t="str">
        <f>HYPERLINK("https://www.773grp.com/manufacturer/onsemi?pageNo=542", "ON Semiconductor")</f>
        <v>ON Semiconductor</v>
      </c>
      <c r="C28348" s="6">
        <v>2655</v>
      </c>
      <c r="D28348" s="7">
        <v>0.48</v>
      </c>
      <c r="E28348" t="s">
        <v>31</v>
      </c>
    </row>
    <row r="28349" spans="1:5" x14ac:dyDescent="0.25">
      <c r="A28349" t="str">
        <f>HYPERLINK("https://www.773grp.com/globalSearch/SN74LS10D/page-1", "SN74LS10D")</f>
        <v>SN74LS10D</v>
      </c>
      <c r="B28349" s="3" t="str">
        <f>HYPERLINK("https://www.773grp.com/manufacturer/onsemi?pageNo=543", "ON Semiconductor")</f>
        <v>ON Semiconductor</v>
      </c>
      <c r="C28349" s="6">
        <v>104</v>
      </c>
      <c r="D28349" s="7">
        <v>0.48</v>
      </c>
      <c r="E28349" t="s">
        <v>31</v>
      </c>
    </row>
    <row r="28350" spans="1:5" x14ac:dyDescent="0.25">
      <c r="A28350" t="str">
        <f>HYPERLINK("https://www.773grp.com/globalSearch/SN74LS10M/page-1", "SN74LS10M")</f>
        <v>SN74LS10M</v>
      </c>
      <c r="B28350" s="3" t="str">
        <f>HYPERLINK("https://www.773grp.com/manufacturer/onsemi?pageNo=544", "ON Semiconductor")</f>
        <v>ON Semiconductor</v>
      </c>
      <c r="C28350" s="6">
        <v>2380</v>
      </c>
      <c r="D28350" s="7">
        <v>0.48</v>
      </c>
    </row>
    <row r="28351" spans="1:5" x14ac:dyDescent="0.25">
      <c r="A28351" t="str">
        <f>HYPERLINK("https://www.773grp.com/globalSearch/SN74LS10MEL/page-1", "SN74LS10MEL")</f>
        <v>SN74LS10MEL</v>
      </c>
      <c r="B28351" s="3" t="str">
        <f>HYPERLINK("https://www.773grp.com/manufacturer/onsemi?pageNo=545", "ON Semiconductor")</f>
        <v>ON Semiconductor</v>
      </c>
      <c r="C28351" s="6">
        <v>10000</v>
      </c>
      <c r="D28351" s="7">
        <v>0.48</v>
      </c>
    </row>
    <row r="28352" spans="1:5" x14ac:dyDescent="0.25">
      <c r="A28352" t="str">
        <f>HYPERLINK("https://www.773grp.com/globalSearch/SN74LS10ML1/page-1", "SN74LS10ML1")</f>
        <v>SN74LS10ML1</v>
      </c>
      <c r="B28352" s="3" t="str">
        <f>HYPERLINK("https://www.773grp.com/manufacturer/onsemi?pageNo=546", "ON Semiconductor")</f>
        <v>ON Semiconductor</v>
      </c>
      <c r="C28352" s="6">
        <v>1000</v>
      </c>
      <c r="D28352" s="7">
        <v>0.48</v>
      </c>
    </row>
    <row r="28353" spans="1:5" x14ac:dyDescent="0.25">
      <c r="A28353" t="str">
        <f>HYPERLINK("https://www.773grp.com/globalSearch/SN74LS10N/page-1", "SN74LS10N")</f>
        <v>SN74LS10N</v>
      </c>
      <c r="B28353" s="3" t="str">
        <f>HYPERLINK("https://www.773grp.com/manufacturer/onsemi?pageNo=547", "ON Semiconductor")</f>
        <v>ON Semiconductor</v>
      </c>
      <c r="C28353" s="6">
        <v>13258</v>
      </c>
      <c r="D28353" s="7">
        <v>0.48</v>
      </c>
      <c r="E28353" t="s">
        <v>31</v>
      </c>
    </row>
    <row r="28354" spans="1:5" x14ac:dyDescent="0.25">
      <c r="A28354" t="str">
        <f>HYPERLINK("https://www.773grp.com/globalSearch/SN74LS11M/page-1", "SN74LS11M")</f>
        <v>SN74LS11M</v>
      </c>
      <c r="B28354" s="3" t="str">
        <f>HYPERLINK("https://www.773grp.com/manufacturer/onsemi?pageNo=548", "ON Semiconductor")</f>
        <v>ON Semiconductor</v>
      </c>
      <c r="C28354" s="6">
        <v>400</v>
      </c>
      <c r="D28354" s="7">
        <v>0.48</v>
      </c>
    </row>
    <row r="28355" spans="1:5" x14ac:dyDescent="0.25">
      <c r="A28355" t="str">
        <f>HYPERLINK("https://www.773grp.com/globalSearch/SN74LS11ML1/page-1", "SN74LS11ML1")</f>
        <v>SN74LS11ML1</v>
      </c>
      <c r="B28355" s="3" t="str">
        <f>HYPERLINK("https://www.773grp.com/manufacturer/onsemi?pageNo=549", "ON Semiconductor")</f>
        <v>ON Semiconductor</v>
      </c>
      <c r="C28355" s="6">
        <v>7000</v>
      </c>
      <c r="D28355" s="7">
        <v>0.48</v>
      </c>
    </row>
    <row r="28356" spans="1:5" x14ac:dyDescent="0.25">
      <c r="A28356" t="str">
        <f>HYPERLINK("https://www.773grp.com/globalSearch/SN74LS11N/page-1", "SN74LS11N")</f>
        <v>SN74LS11N</v>
      </c>
      <c r="B28356" s="3" t="str">
        <f>HYPERLINK("https://www.773grp.com/manufacturer/onsemi?pageNo=550", "ON Semiconductor")</f>
        <v>ON Semiconductor</v>
      </c>
      <c r="C28356" s="6">
        <v>3279</v>
      </c>
      <c r="D28356" s="7">
        <v>0.48</v>
      </c>
      <c r="E28356" t="s">
        <v>31</v>
      </c>
    </row>
    <row r="28357" spans="1:5" x14ac:dyDescent="0.25">
      <c r="A28357" t="str">
        <f>HYPERLINK("https://www.773grp.com/globalSearch/SN74LS20MEL/page-1", "SN74LS20MEL")</f>
        <v>SN74LS20MEL</v>
      </c>
      <c r="B28357" s="3" t="str">
        <f>HYPERLINK("https://www.773grp.com/manufacturer/onsemi?pageNo=551", "ON Semiconductor")</f>
        <v>ON Semiconductor</v>
      </c>
      <c r="C28357" s="6">
        <v>4000</v>
      </c>
      <c r="D28357" s="7">
        <v>0.48</v>
      </c>
    </row>
    <row r="28358" spans="1:5" x14ac:dyDescent="0.25">
      <c r="A28358" t="str">
        <f>HYPERLINK("https://www.773grp.com/globalSearch/SN74LS20N/page-1", "SN74LS20N")</f>
        <v>SN74LS20N</v>
      </c>
      <c r="B28358" s="3" t="str">
        <f>HYPERLINK("https://www.773grp.com/manufacturer/onsemi?pageNo=552", "ON Semiconductor")</f>
        <v>ON Semiconductor</v>
      </c>
      <c r="C28358" s="6">
        <v>11156</v>
      </c>
      <c r="D28358" s="7">
        <v>0.48</v>
      </c>
      <c r="E28358" t="s">
        <v>31</v>
      </c>
    </row>
    <row r="28359" spans="1:5" x14ac:dyDescent="0.25">
      <c r="A28359" t="str">
        <f>HYPERLINK("https://www.773grp.com/globalSearch/SN74LS21M/page-1", "SN74LS21M")</f>
        <v>SN74LS21M</v>
      </c>
      <c r="B28359" s="3" t="str">
        <f>HYPERLINK("https://www.773grp.com/manufacturer/onsemi?pageNo=553", "ON Semiconductor")</f>
        <v>ON Semiconductor</v>
      </c>
      <c r="C28359" s="6">
        <v>350</v>
      </c>
      <c r="D28359" s="7">
        <v>0.48</v>
      </c>
    </row>
    <row r="28360" spans="1:5" x14ac:dyDescent="0.25">
      <c r="A28360" t="str">
        <f>HYPERLINK("https://www.773grp.com/globalSearch/SN74LS21MEL/page-1", "SN74LS21MEL")</f>
        <v>SN74LS21MEL</v>
      </c>
      <c r="B28360" s="3" t="str">
        <f>HYPERLINK("https://www.773grp.com/manufacturer/onsemi?pageNo=554", "ON Semiconductor")</f>
        <v>ON Semiconductor</v>
      </c>
      <c r="C28360" s="6">
        <v>10000</v>
      </c>
      <c r="D28360" s="7">
        <v>0.48</v>
      </c>
    </row>
    <row r="28361" spans="1:5" x14ac:dyDescent="0.25">
      <c r="A28361" t="str">
        <f>HYPERLINK("https://www.773grp.com/globalSearch/SN74LS26N/page-1", "SN74LS26N")</f>
        <v>SN74LS26N</v>
      </c>
      <c r="B28361" s="3" t="str">
        <f>HYPERLINK("https://www.773grp.com/manufacturer/onsemi?pageNo=555", "ON Semiconductor")</f>
        <v>ON Semiconductor</v>
      </c>
      <c r="C28361" s="6">
        <v>425</v>
      </c>
      <c r="D28361" s="7">
        <v>0.48</v>
      </c>
      <c r="E28361" t="s">
        <v>31</v>
      </c>
    </row>
    <row r="28362" spans="1:5" x14ac:dyDescent="0.25">
      <c r="A28362" t="str">
        <f>HYPERLINK("https://www.773grp.com/globalSearch/SN74LS27M/page-1", "SN74LS27M")</f>
        <v>SN74LS27M</v>
      </c>
      <c r="B28362" s="3" t="str">
        <f>HYPERLINK("https://www.773grp.com/manufacturer/onsemi?pageNo=556", "ON Semiconductor")</f>
        <v>ON Semiconductor</v>
      </c>
      <c r="C28362" s="6">
        <v>7800</v>
      </c>
      <c r="D28362" s="7">
        <v>0.48</v>
      </c>
    </row>
    <row r="28363" spans="1:5" x14ac:dyDescent="0.25">
      <c r="A28363" t="str">
        <f>HYPERLINK("https://www.773grp.com/globalSearch/SN74LS27ML1/page-1", "SN74LS27ML1")</f>
        <v>SN74LS27ML1</v>
      </c>
      <c r="B28363" s="3" t="str">
        <f>HYPERLINK("https://www.773grp.com/manufacturer/onsemi?pageNo=557", "ON Semiconductor")</f>
        <v>ON Semiconductor</v>
      </c>
      <c r="C28363" s="6">
        <v>15000</v>
      </c>
      <c r="D28363" s="7">
        <v>0.48</v>
      </c>
    </row>
    <row r="28364" spans="1:5" x14ac:dyDescent="0.25">
      <c r="A28364" t="str">
        <f>HYPERLINK("https://www.773grp.com/globalSearch/SN74LS27N/page-1", "SN74LS27N")</f>
        <v>SN74LS27N</v>
      </c>
      <c r="B28364" s="3" t="str">
        <f>HYPERLINK("https://www.773grp.com/manufacturer/onsemi?pageNo=558", "ON Semiconductor")</f>
        <v>ON Semiconductor</v>
      </c>
      <c r="C28364" s="6">
        <v>5875</v>
      </c>
      <c r="D28364" s="7">
        <v>0.48</v>
      </c>
      <c r="E28364" t="s">
        <v>31</v>
      </c>
    </row>
    <row r="28365" spans="1:5" x14ac:dyDescent="0.25">
      <c r="A28365" t="str">
        <f>HYPERLINK("https://www.773grp.com/globalSearch/SN74LS30D/page-1", "SN74LS30D")</f>
        <v>SN74LS30D</v>
      </c>
      <c r="B28365" s="3" t="str">
        <f>HYPERLINK("https://www.773grp.com/manufacturer/onsemi?pageNo=559", "ON Semiconductor")</f>
        <v>ON Semiconductor</v>
      </c>
      <c r="C28365" s="6">
        <v>4837</v>
      </c>
      <c r="D28365" s="7">
        <v>0.48</v>
      </c>
      <c r="E28365" t="s">
        <v>31</v>
      </c>
    </row>
    <row r="28366" spans="1:5" x14ac:dyDescent="0.25">
      <c r="A28366" t="str">
        <f>HYPERLINK("https://www.773grp.com/globalSearch/SN74LS30DR2/page-1", "SN74LS30DR2")</f>
        <v>SN74LS30DR2</v>
      </c>
      <c r="B28366" s="3" t="str">
        <f>HYPERLINK("https://www.773grp.com/manufacturer/onsemi?pageNo=560", "ON Semiconductor")</f>
        <v>ON Semiconductor</v>
      </c>
      <c r="C28366" s="6">
        <v>107500</v>
      </c>
      <c r="D28366" s="7">
        <v>0.48</v>
      </c>
      <c r="E28366" t="s">
        <v>31</v>
      </c>
    </row>
    <row r="28367" spans="1:5" x14ac:dyDescent="0.25">
      <c r="A28367" t="str">
        <f>HYPERLINK("https://www.773grp.com/globalSearch/SN74LS30MEL/page-1", "SN74LS30MEL")</f>
        <v>SN74LS30MEL</v>
      </c>
      <c r="B28367" s="3" t="str">
        <f>HYPERLINK("https://www.773grp.com/manufacturer/onsemi?pageNo=561", "ON Semiconductor")</f>
        <v>ON Semiconductor</v>
      </c>
      <c r="C28367" s="6">
        <v>2000</v>
      </c>
      <c r="D28367" s="7">
        <v>0.48</v>
      </c>
    </row>
    <row r="28368" spans="1:5" x14ac:dyDescent="0.25">
      <c r="A28368" t="str">
        <f>HYPERLINK("https://www.773grp.com/globalSearch/SN74LS30N/page-1", "SN74LS30N")</f>
        <v>SN74LS30N</v>
      </c>
      <c r="B28368" s="3" t="str">
        <f>HYPERLINK("https://www.773grp.com/manufacturer/onsemi?pageNo=562", "ON Semiconductor")</f>
        <v>ON Semiconductor</v>
      </c>
      <c r="C28368" s="6">
        <v>8176</v>
      </c>
      <c r="D28368" s="7">
        <v>0.48</v>
      </c>
      <c r="E28368" t="s">
        <v>31</v>
      </c>
    </row>
    <row r="28369" spans="1:5" x14ac:dyDescent="0.25">
      <c r="A28369" t="str">
        <f>HYPERLINK("https://www.773grp.com/globalSearch/SN74LS32ML1/page-1", "SN74LS32ML1")</f>
        <v>SN74LS32ML1</v>
      </c>
      <c r="B28369" s="3" t="str">
        <f>HYPERLINK("https://www.773grp.com/manufacturer/onsemi?pageNo=563", "ON Semiconductor")</f>
        <v>ON Semiconductor</v>
      </c>
      <c r="C28369" s="6">
        <v>7000</v>
      </c>
      <c r="D28369" s="7">
        <v>0.48</v>
      </c>
    </row>
    <row r="28370" spans="1:5" x14ac:dyDescent="0.25">
      <c r="A28370" t="str">
        <f>HYPERLINK("https://www.773grp.com/globalSearch/SN74LS51M/page-1", "SN74LS51M")</f>
        <v>SN74LS51M</v>
      </c>
      <c r="B28370" s="3" t="str">
        <f>HYPERLINK("https://www.773grp.com/manufacturer/onsemi?pageNo=564", "ON Semiconductor")</f>
        <v>ON Semiconductor</v>
      </c>
      <c r="C28370" s="6">
        <v>767</v>
      </c>
      <c r="D28370" s="7">
        <v>0.48</v>
      </c>
    </row>
    <row r="28371" spans="1:5" x14ac:dyDescent="0.25">
      <c r="A28371" t="str">
        <f>HYPERLINK("https://www.773grp.com/globalSearch/SN74LS51ML1/page-1", "SN74LS51ML1")</f>
        <v>SN74LS51ML1</v>
      </c>
      <c r="B28371" s="3" t="str">
        <f>HYPERLINK("https://www.773grp.com/manufacturer/onsemi?pageNo=565", "ON Semiconductor")</f>
        <v>ON Semiconductor</v>
      </c>
      <c r="C28371" s="6">
        <v>4000</v>
      </c>
      <c r="D28371" s="7">
        <v>0.48</v>
      </c>
    </row>
    <row r="28372" spans="1:5" x14ac:dyDescent="0.25">
      <c r="A28372" t="str">
        <f>HYPERLINK("https://www.773grp.com/globalSearch/SN74LS51N/page-1", "SN74LS51N")</f>
        <v>SN74LS51N</v>
      </c>
      <c r="B28372" s="3" t="str">
        <f>HYPERLINK("https://www.773grp.com/manufacturer/onsemi?pageNo=566", "ON Semiconductor")</f>
        <v>ON Semiconductor</v>
      </c>
      <c r="C28372" s="6">
        <v>4648</v>
      </c>
      <c r="D28372" s="7">
        <v>0.48</v>
      </c>
      <c r="E28372" t="s">
        <v>31</v>
      </c>
    </row>
    <row r="28373" spans="1:5" x14ac:dyDescent="0.25">
      <c r="A28373" t="str">
        <f>HYPERLINK("https://www.773grp.com/globalSearch/SN74LS74AD/page-1", "SN74LS74AD")</f>
        <v>SN74LS74AD</v>
      </c>
      <c r="B28373" s="3" t="str">
        <f>HYPERLINK("https://www.773grp.com/manufacturer/onsemi?pageNo=567", "ON Semiconductor")</f>
        <v>ON Semiconductor</v>
      </c>
      <c r="C28373" s="6">
        <v>3142</v>
      </c>
      <c r="D28373" s="7">
        <v>0.48</v>
      </c>
      <c r="E28373" t="s">
        <v>35</v>
      </c>
    </row>
    <row r="28374" spans="1:5" x14ac:dyDescent="0.25">
      <c r="A28374" t="str">
        <f>HYPERLINK("https://www.773grp.com/globalSearch/SN74LS74AML1/page-1", "SN74LS74AML1")</f>
        <v>SN74LS74AML1</v>
      </c>
      <c r="B28374" s="3" t="str">
        <f>HYPERLINK("https://www.773grp.com/manufacturer/onsemi?pageNo=568", "ON Semiconductor")</f>
        <v>ON Semiconductor</v>
      </c>
      <c r="C28374" s="6">
        <v>6000</v>
      </c>
      <c r="D28374" s="7">
        <v>0.48</v>
      </c>
    </row>
    <row r="28375" spans="1:5" x14ac:dyDescent="0.25">
      <c r="A28375" t="str">
        <f>HYPERLINK("https://www.773grp.com/globalSearch/SZNUP2105LT1/page-1", "SZNUP2105LT1")</f>
        <v>SZNUP2105LT1</v>
      </c>
      <c r="B28375" s="3" t="str">
        <f>HYPERLINK("https://www.773grp.com/manufacturer/onsemi?pageNo=569", "ON Semiconductor")</f>
        <v>ON Semiconductor</v>
      </c>
      <c r="C28375" s="6">
        <v>126000</v>
      </c>
      <c r="D28375" s="7">
        <v>0.48</v>
      </c>
    </row>
    <row r="28376" spans="1:5" x14ac:dyDescent="0.25">
      <c r="A28376" t="str">
        <f>HYPERLINK("https://www.773grp.com/globalSearch/SZP6SMB15AT3/page-1", "SZP6SMB15AT3")</f>
        <v>SZP6SMB15AT3</v>
      </c>
      <c r="B28376" s="3" t="str">
        <f>HYPERLINK("https://www.773grp.com/manufacturer/onsemi?pageNo=570", "ON Semiconductor")</f>
        <v>ON Semiconductor</v>
      </c>
      <c r="C28376" s="6">
        <v>20000</v>
      </c>
      <c r="D28376" s="7">
        <v>0.48</v>
      </c>
    </row>
    <row r="28377" spans="1:5" x14ac:dyDescent="0.25">
      <c r="A28377" t="str">
        <f>HYPERLINK("https://www.773grp.com/globalSearch/TH00483/page-1", "TH00483")</f>
        <v>TH00483</v>
      </c>
      <c r="B28377" s="3" t="str">
        <f>HYPERLINK("https://www.773grp.com/manufacturer/onsemi?pageNo=571", "ON Semiconductor")</f>
        <v>ON Semiconductor</v>
      </c>
      <c r="C28377" s="6">
        <v>48500</v>
      </c>
      <c r="D28377" s="7">
        <v>0.48</v>
      </c>
    </row>
    <row r="28378" spans="1:5" x14ac:dyDescent="0.25">
      <c r="A28378" t="str">
        <f>HYPERLINK("https://www.773grp.com/globalSearch/TL431ACDMR2G/page-1", "TL431ACDMR2G")</f>
        <v>TL431ACDMR2G</v>
      </c>
      <c r="B28378" s="3" t="str">
        <f>HYPERLINK("https://www.773grp.com/manufacturer/onsemi?pageNo=572", "ON Semiconductor")</f>
        <v>ON Semiconductor</v>
      </c>
      <c r="C28378" s="6">
        <v>7745</v>
      </c>
      <c r="D28378" s="7">
        <v>0.48</v>
      </c>
    </row>
    <row r="28379" spans="1:5" x14ac:dyDescent="0.25">
      <c r="A28379" t="str">
        <f>HYPERLINK("https://www.773grp.com/globalSearch/TL431ACLPREG/page-1", "TL431ACLPREG")</f>
        <v>TL431ACLPREG</v>
      </c>
      <c r="B28379" s="3" t="str">
        <f>HYPERLINK("https://www.773grp.com/manufacturer/onsemi?pageNo=573", "ON Semiconductor")</f>
        <v>ON Semiconductor</v>
      </c>
      <c r="C28379" s="6">
        <v>2226</v>
      </c>
      <c r="D28379" s="7">
        <v>0.48</v>
      </c>
      <c r="E28379" t="s">
        <v>17</v>
      </c>
    </row>
    <row r="28380" spans="1:5" x14ac:dyDescent="0.25">
      <c r="A28380" t="str">
        <f>HYPERLINK("https://www.773grp.com/globalSearch/TL431AIDG/page-1", "TL431AIDG")</f>
        <v>TL431AIDG</v>
      </c>
      <c r="B28380" s="3" t="str">
        <f>HYPERLINK("https://www.773grp.com/manufacturer/onsemi?pageNo=574", "ON Semiconductor")</f>
        <v>ON Semiconductor</v>
      </c>
      <c r="C28380" s="6">
        <v>7263</v>
      </c>
      <c r="D28380" s="7">
        <v>0.48</v>
      </c>
      <c r="E28380" t="s">
        <v>17</v>
      </c>
    </row>
    <row r="28381" spans="1:5" x14ac:dyDescent="0.25">
      <c r="A28381" t="str">
        <f>HYPERLINK("https://www.773grp.com/globalSearch/TL431AILPRPG/page-1", "TL431AILPRPG")</f>
        <v>TL431AILPRPG</v>
      </c>
      <c r="B28381" s="3" t="str">
        <f>HYPERLINK("https://www.773grp.com/manufacturer/onsemi?pageNo=575", "ON Semiconductor")</f>
        <v>ON Semiconductor</v>
      </c>
      <c r="C28381" s="6">
        <v>659</v>
      </c>
      <c r="D28381" s="7">
        <v>0.48</v>
      </c>
      <c r="E28381" t="s">
        <v>17</v>
      </c>
    </row>
    <row r="28382" spans="1:5" x14ac:dyDescent="0.25">
      <c r="A28382" t="str">
        <f>HYPERLINK("https://www.773grp.com/globalSearch/TL431BCLPRAG/page-1", "TL431BCLPRAG")</f>
        <v>TL431BCLPRAG</v>
      </c>
      <c r="B28382" s="3" t="str">
        <f>HYPERLINK("https://www.773grp.com/manufacturer/onsemi?pageNo=576", "ON Semiconductor")</f>
        <v>ON Semiconductor</v>
      </c>
      <c r="C28382" s="6">
        <v>112000</v>
      </c>
      <c r="D28382" s="7">
        <v>0.48</v>
      </c>
      <c r="E28382" t="s">
        <v>17</v>
      </c>
    </row>
    <row r="28383" spans="1:5" x14ac:dyDescent="0.25">
      <c r="A28383" t="str">
        <f>HYPERLINK("https://www.773grp.com/globalSearch/TL431BCLPREG/page-1", "TL431BCLPREG")</f>
        <v>TL431BCLPREG</v>
      </c>
      <c r="B28383" s="3" t="str">
        <f>HYPERLINK("https://www.773grp.com/manufacturer/onsemi?pageNo=577", "ON Semiconductor")</f>
        <v>ON Semiconductor</v>
      </c>
      <c r="C28383" s="6">
        <v>8000</v>
      </c>
      <c r="D28383" s="7">
        <v>0.48</v>
      </c>
    </row>
    <row r="28384" spans="1:5" x14ac:dyDescent="0.25">
      <c r="A28384" t="str">
        <f>HYPERLINK("https://www.773grp.com/globalSearch/1N4743CRL/page-1", "1N4743CRL")</f>
        <v>1N4743CRL</v>
      </c>
      <c r="B28384" s="3" t="str">
        <f>HYPERLINK("https://www.773grp.com/manufacturer/onsemi?pageNo=578", "ON Semiconductor")</f>
        <v>ON Semiconductor</v>
      </c>
      <c r="C28384" s="6">
        <v>42000</v>
      </c>
      <c r="D28384" s="7">
        <v>0.53</v>
      </c>
      <c r="E28384" t="s">
        <v>98</v>
      </c>
    </row>
    <row r="28385" spans="1:5" x14ac:dyDescent="0.25">
      <c r="A28385" t="str">
        <f>HYPERLINK("https://www.773grp.com/globalSearch/1N5277BRL/page-1", "1N5277BRL")</f>
        <v>1N5277BRL</v>
      </c>
      <c r="B28385" s="3" t="str">
        <f>HYPERLINK("https://www.773grp.com/manufacturer/onsemi?pageNo=579", "ON Semiconductor")</f>
        <v>ON Semiconductor</v>
      </c>
      <c r="C28385" s="6">
        <v>19050</v>
      </c>
      <c r="D28385" s="7">
        <v>0.53</v>
      </c>
      <c r="E28385" t="s">
        <v>98</v>
      </c>
    </row>
    <row r="28386" spans="1:5" x14ac:dyDescent="0.25">
      <c r="A28386" t="str">
        <f>HYPERLINK("https://www.773grp.com/globalSearch/1PMT16AT1/page-1", "1PMT16AT1")</f>
        <v>1PMT16AT1</v>
      </c>
      <c r="B28386" s="3" t="str">
        <f>HYPERLINK("https://www.773grp.com/manufacturer/onsemi?pageNo=580", "ON Semiconductor")</f>
        <v>ON Semiconductor</v>
      </c>
      <c r="C28386" s="6">
        <v>2880</v>
      </c>
      <c r="D28386" s="7">
        <v>0.53</v>
      </c>
      <c r="E28386" t="s">
        <v>96</v>
      </c>
    </row>
    <row r="28387" spans="1:5" x14ac:dyDescent="0.25">
      <c r="A28387" t="str">
        <f>HYPERLINK("https://www.773grp.com/globalSearch/1SMA18CAT3/page-1", "1SMA18CAT3")</f>
        <v>1SMA18CAT3</v>
      </c>
      <c r="B28387" s="3" t="str">
        <f>HYPERLINK("https://www.773grp.com/manufacturer/onsemi?pageNo=581", "ON Semiconductor")</f>
        <v>ON Semiconductor</v>
      </c>
      <c r="C28387" s="6">
        <v>34580</v>
      </c>
      <c r="D28387" s="7">
        <v>0.53</v>
      </c>
      <c r="E28387" t="s">
        <v>96</v>
      </c>
    </row>
    <row r="28388" spans="1:5" x14ac:dyDescent="0.25">
      <c r="A28388" t="str">
        <f>HYPERLINK("https://www.773grp.com/globalSearch/1SMA22CAT3/page-1", "1SMA22CAT3")</f>
        <v>1SMA22CAT3</v>
      </c>
      <c r="B28388" s="3" t="str">
        <f>HYPERLINK("https://www.773grp.com/manufacturer/onsemi?pageNo=582", "ON Semiconductor")</f>
        <v>ON Semiconductor</v>
      </c>
      <c r="C28388" s="6">
        <v>9800</v>
      </c>
      <c r="D28388" s="7">
        <v>0.53</v>
      </c>
      <c r="E28388" t="s">
        <v>96</v>
      </c>
    </row>
    <row r="28389" spans="1:5" x14ac:dyDescent="0.25">
      <c r="A28389" t="str">
        <f>HYPERLINK("https://www.773grp.com/globalSearch/1SMA51CAT3G/page-1", "1SMA51CAT3G")</f>
        <v>1SMA51CAT3G</v>
      </c>
      <c r="B28389" s="3" t="str">
        <f>HYPERLINK("https://www.773grp.com/manufacturer/onsemi?pageNo=583", "ON Semiconductor")</f>
        <v>ON Semiconductor</v>
      </c>
      <c r="C28389" s="6">
        <v>5000</v>
      </c>
      <c r="D28389" s="7">
        <v>0.53</v>
      </c>
      <c r="E28389" t="s">
        <v>96</v>
      </c>
    </row>
    <row r="28390" spans="1:5" x14ac:dyDescent="0.25">
      <c r="A28390" t="str">
        <f>HYPERLINK("https://www.773grp.com/globalSearch/1SMA70CAT3/page-1", "1SMA70CAT3")</f>
        <v>1SMA70CAT3</v>
      </c>
      <c r="B28390" s="3" t="str">
        <f>HYPERLINK("https://www.773grp.com/manufacturer/onsemi?pageNo=584", "ON Semiconductor")</f>
        <v>ON Semiconductor</v>
      </c>
      <c r="C28390" s="6">
        <v>9583</v>
      </c>
      <c r="D28390" s="7">
        <v>0.53</v>
      </c>
      <c r="E28390" t="s">
        <v>96</v>
      </c>
    </row>
    <row r="28391" spans="1:5" x14ac:dyDescent="0.25">
      <c r="A28391" t="str">
        <f>HYPERLINK("https://www.773grp.com/globalSearch/1SMB10CAT3/page-1", "1SMB10CAT3")</f>
        <v>1SMB10CAT3</v>
      </c>
      <c r="B28391" s="3" t="str">
        <f>HYPERLINK("https://www.773grp.com/manufacturer/onsemi?pageNo=585", "ON Semiconductor")</f>
        <v>ON Semiconductor</v>
      </c>
      <c r="C28391" s="6">
        <v>157500</v>
      </c>
      <c r="D28391" s="7">
        <v>0.53</v>
      </c>
      <c r="E28391" t="s">
        <v>96</v>
      </c>
    </row>
    <row r="28392" spans="1:5" x14ac:dyDescent="0.25">
      <c r="A28392" t="str">
        <f>HYPERLINK("https://www.773grp.com/globalSearch/1SMB14CAT3/page-1", "1SMB14CAT3")</f>
        <v>1SMB14CAT3</v>
      </c>
      <c r="B28392" s="3" t="str">
        <f>HYPERLINK("https://www.773grp.com/manufacturer/onsemi?pageNo=586", "ON Semiconductor")</f>
        <v>ON Semiconductor</v>
      </c>
      <c r="C28392" s="6">
        <v>12500</v>
      </c>
      <c r="D28392" s="7">
        <v>0.53</v>
      </c>
      <c r="E28392" t="s">
        <v>96</v>
      </c>
    </row>
    <row r="28393" spans="1:5" x14ac:dyDescent="0.25">
      <c r="A28393" t="str">
        <f>HYPERLINK("https://www.773grp.com/globalSearch/1SMB15CAT3/page-1", "1SMB15CAT3")</f>
        <v>1SMB15CAT3</v>
      </c>
      <c r="B28393" s="3" t="str">
        <f>HYPERLINK("https://www.773grp.com/manufacturer/onsemi?pageNo=587", "ON Semiconductor")</f>
        <v>ON Semiconductor</v>
      </c>
      <c r="C28393" s="6">
        <v>2500</v>
      </c>
      <c r="D28393" s="7">
        <v>0.53</v>
      </c>
      <c r="E28393" t="s">
        <v>96</v>
      </c>
    </row>
    <row r="28394" spans="1:5" x14ac:dyDescent="0.25">
      <c r="A28394" t="str">
        <f>HYPERLINK("https://www.773grp.com/globalSearch/1SMB24CAT3/page-1", "1SMB24CAT3")</f>
        <v>1SMB24CAT3</v>
      </c>
      <c r="B28394" s="3" t="str">
        <f>HYPERLINK("https://www.773grp.com/manufacturer/onsemi?pageNo=588", "ON Semiconductor")</f>
        <v>ON Semiconductor</v>
      </c>
      <c r="C28394" s="6">
        <v>40820</v>
      </c>
      <c r="D28394" s="7">
        <v>0.53</v>
      </c>
      <c r="E28394" t="s">
        <v>96</v>
      </c>
    </row>
    <row r="28395" spans="1:5" x14ac:dyDescent="0.25">
      <c r="A28395" t="str">
        <f>HYPERLINK("https://www.773grp.com/globalSearch/1SMB43CAT3/page-1", "1SMB43CAT3")</f>
        <v>1SMB43CAT3</v>
      </c>
      <c r="B28395" s="3" t="str">
        <f>HYPERLINK("https://www.773grp.com/manufacturer/onsemi?pageNo=589", "ON Semiconductor")</f>
        <v>ON Semiconductor</v>
      </c>
      <c r="C28395" s="6">
        <v>71700</v>
      </c>
      <c r="D28395" s="7">
        <v>0.53</v>
      </c>
      <c r="E28395" t="s">
        <v>96</v>
      </c>
    </row>
    <row r="28396" spans="1:5" x14ac:dyDescent="0.25">
      <c r="A28396" t="str">
        <f>HYPERLINK("https://www.773grp.com/globalSearch/1SMB48CAT3/page-1", "1SMB48CAT3")</f>
        <v>1SMB48CAT3</v>
      </c>
      <c r="B28396" s="3" t="str">
        <f>HYPERLINK("https://www.773grp.com/manufacturer/onsemi?pageNo=590", "ON Semiconductor")</f>
        <v>ON Semiconductor</v>
      </c>
      <c r="C28396" s="6">
        <v>5000</v>
      </c>
      <c r="D28396" s="7">
        <v>0.53</v>
      </c>
      <c r="E28396" t="s">
        <v>96</v>
      </c>
    </row>
    <row r="28397" spans="1:5" x14ac:dyDescent="0.25">
      <c r="A28397" t="str">
        <f>HYPERLINK("https://www.773grp.com/globalSearch/1SMB54CAT3/page-1", "1SMB54CAT3")</f>
        <v>1SMB54CAT3</v>
      </c>
      <c r="B28397" s="3" t="str">
        <f>HYPERLINK("https://www.773grp.com/manufacturer/onsemi?pageNo=591", "ON Semiconductor")</f>
        <v>ON Semiconductor</v>
      </c>
      <c r="C28397" s="6">
        <v>2500</v>
      </c>
      <c r="D28397" s="7">
        <v>0.53</v>
      </c>
      <c r="E28397" t="s">
        <v>96</v>
      </c>
    </row>
    <row r="28398" spans="1:5" x14ac:dyDescent="0.25">
      <c r="A28398" t="str">
        <f>HYPERLINK("https://www.773grp.com/globalSearch/1SMB60CAT3/page-1", "1SMB60CAT3")</f>
        <v>1SMB60CAT3</v>
      </c>
      <c r="B28398" s="3" t="str">
        <f>HYPERLINK("https://www.773grp.com/manufacturer/onsemi?pageNo=592", "ON Semiconductor")</f>
        <v>ON Semiconductor</v>
      </c>
      <c r="C28398" s="6">
        <v>2500</v>
      </c>
      <c r="D28398" s="7">
        <v>0.53</v>
      </c>
      <c r="E28398" t="s">
        <v>96</v>
      </c>
    </row>
    <row r="28399" spans="1:5" x14ac:dyDescent="0.25">
      <c r="A28399" t="str">
        <f>HYPERLINK("https://www.773grp.com/globalSearch/2N2907/page-1", "2N2907")</f>
        <v>2N2907</v>
      </c>
      <c r="B28399" s="3" t="str">
        <f>HYPERLINK("https://www.773grp.com/manufacturer/onsemi?pageNo=593", "ON Semiconductor")</f>
        <v>ON Semiconductor</v>
      </c>
      <c r="C28399" s="6">
        <v>1</v>
      </c>
      <c r="D28399" s="7">
        <v>0.53</v>
      </c>
      <c r="E28399" t="s">
        <v>69</v>
      </c>
    </row>
    <row r="28400" spans="1:5" x14ac:dyDescent="0.25">
      <c r="A28400" t="str">
        <f>HYPERLINK("https://www.773grp.com/globalSearch/2N5194/page-1", "2N5194")</f>
        <v>2N5194</v>
      </c>
      <c r="B28400" s="3" t="str">
        <f>HYPERLINK("https://www.773grp.com/manufacturer/onsemi?pageNo=594", "ON Semiconductor")</f>
        <v>ON Semiconductor</v>
      </c>
      <c r="C28400" s="6">
        <v>21416</v>
      </c>
      <c r="D28400" s="7">
        <v>0.53</v>
      </c>
      <c r="E28400" t="s">
        <v>59</v>
      </c>
    </row>
    <row r="28401" spans="1:5" x14ac:dyDescent="0.25">
      <c r="A28401" t="str">
        <f>HYPERLINK("https://www.773grp.com/globalSearch/2N6426G/page-1", "2N6426G")</f>
        <v>2N6426G</v>
      </c>
      <c r="B28401" s="3" t="str">
        <f>HYPERLINK("https://www.773grp.com/manufacturer/onsemi?pageNo=595", "ON Semiconductor")</f>
        <v>ON Semiconductor</v>
      </c>
      <c r="C28401" s="6">
        <v>37900</v>
      </c>
      <c r="D28401" s="7">
        <v>0.53</v>
      </c>
      <c r="E28401" t="s">
        <v>69</v>
      </c>
    </row>
    <row r="28402" spans="1:5" x14ac:dyDescent="0.25">
      <c r="A28402" t="str">
        <f>HYPERLINK("https://www.773grp.com/globalSearch/74FST3126DR2/page-1", "74FST3126DR2")</f>
        <v>74FST3126DR2</v>
      </c>
      <c r="B28402" s="3" t="str">
        <f>HYPERLINK("https://www.773grp.com/manufacturer/onsemi?pageNo=596", "ON Semiconductor")</f>
        <v>ON Semiconductor</v>
      </c>
      <c r="C28402" s="6">
        <v>50000</v>
      </c>
      <c r="D28402" s="7">
        <v>0.53</v>
      </c>
      <c r="E28402" t="s">
        <v>14</v>
      </c>
    </row>
    <row r="28403" spans="1:5" x14ac:dyDescent="0.25">
      <c r="A28403" t="str">
        <f>HYPERLINK("https://www.773grp.com/globalSearch/74FST3257DR2/page-1", "74FST3257DR2")</f>
        <v>74FST3257DR2</v>
      </c>
      <c r="B28403" s="3" t="str">
        <f>HYPERLINK("https://www.773grp.com/manufacturer/onsemi?pageNo=597", "ON Semiconductor")</f>
        <v>ON Semiconductor</v>
      </c>
      <c r="C28403" s="6">
        <v>4944</v>
      </c>
      <c r="D28403" s="7">
        <v>0.53</v>
      </c>
      <c r="E28403" t="s">
        <v>20</v>
      </c>
    </row>
    <row r="28404" spans="1:5" x14ac:dyDescent="0.25">
      <c r="A28404" t="str">
        <f>HYPERLINK("https://www.773grp.com/globalSearch/74FST3257DT/page-1", "74FST3257DT")</f>
        <v>74FST3257DT</v>
      </c>
      <c r="B28404" s="3" t="str">
        <f>HYPERLINK("https://www.773grp.com/manufacturer/onsemi?pageNo=598", "ON Semiconductor")</f>
        <v>ON Semiconductor</v>
      </c>
      <c r="C28404" s="6">
        <v>11752</v>
      </c>
      <c r="D28404" s="7">
        <v>0.53</v>
      </c>
      <c r="E28404" t="s">
        <v>20</v>
      </c>
    </row>
    <row r="28405" spans="1:5" x14ac:dyDescent="0.25">
      <c r="A28405" t="str">
        <f>HYPERLINK("https://www.773grp.com/globalSearch/74FST3257DTR2/page-1", "74FST3257DTR2")</f>
        <v>74FST3257DTR2</v>
      </c>
      <c r="B28405" s="3" t="str">
        <f>HYPERLINK("https://www.773grp.com/manufacturer/onsemi?pageNo=599", "ON Semiconductor")</f>
        <v>ON Semiconductor</v>
      </c>
      <c r="C28405" s="6">
        <v>9808</v>
      </c>
      <c r="D28405" s="7">
        <v>0.53</v>
      </c>
      <c r="E28405" t="s">
        <v>20</v>
      </c>
    </row>
    <row r="28406" spans="1:5" x14ac:dyDescent="0.25">
      <c r="A28406" t="str">
        <f>HYPERLINK("https://www.773grp.com/globalSearch/74HC373DTR2G/page-1", "74HC373DTR2G")</f>
        <v>74HC373DTR2G</v>
      </c>
      <c r="B28406" s="3" t="str">
        <f>HYPERLINK("https://www.773grp.com/manufacturer/onsemi?pageNo=600", "ON Semiconductor")</f>
        <v>ON Semiconductor</v>
      </c>
      <c r="C28406" s="6">
        <v>208271</v>
      </c>
      <c r="D28406" s="7">
        <v>0.53</v>
      </c>
      <c r="E28406" t="s">
        <v>14</v>
      </c>
    </row>
    <row r="28407" spans="1:5" x14ac:dyDescent="0.25">
      <c r="A28407" t="str">
        <f>HYPERLINK("https://www.773grp.com/globalSearch/74HC374DTR2G/page-1", "74HC374DTR2G")</f>
        <v>74HC374DTR2G</v>
      </c>
      <c r="B28407" s="3" t="str">
        <f>HYPERLINK("https://www.773grp.com/manufacturer/onsemi?pageNo=601", "ON Semiconductor")</f>
        <v>ON Semiconductor</v>
      </c>
      <c r="C28407" s="6">
        <v>63497</v>
      </c>
      <c r="D28407" s="7">
        <v>0.53</v>
      </c>
      <c r="E28407" t="s">
        <v>14</v>
      </c>
    </row>
    <row r="28408" spans="1:5" x14ac:dyDescent="0.25">
      <c r="A28408" t="str">
        <f>HYPERLINK("https://www.773grp.com/globalSearch/BAS40-04LT1/page-1", "BAS40-04LT1")</f>
        <v>BAS40-04LT1</v>
      </c>
      <c r="B28408" s="3" t="str">
        <f>HYPERLINK("https://www.773grp.com/manufacturer/onsemi?pageNo=602", "ON Semiconductor")</f>
        <v>ON Semiconductor</v>
      </c>
      <c r="C28408" s="6">
        <v>3000</v>
      </c>
      <c r="D28408" s="7">
        <v>0.53</v>
      </c>
    </row>
    <row r="28409" spans="1:5" x14ac:dyDescent="0.25">
      <c r="A28409" t="str">
        <f>HYPERLINK("https://www.773grp.com/globalSearch/BC369ZL1G/page-1", "BC369ZL1G")</f>
        <v>BC369ZL1G</v>
      </c>
      <c r="B28409" s="3" t="str">
        <f>HYPERLINK("https://www.773grp.com/manufacturer/onsemi?pageNo=603", "ON Semiconductor")</f>
        <v>ON Semiconductor</v>
      </c>
      <c r="C28409" s="6">
        <v>10000</v>
      </c>
      <c r="D28409" s="7">
        <v>0.53</v>
      </c>
    </row>
    <row r="28410" spans="1:5" x14ac:dyDescent="0.25">
      <c r="A28410" t="str">
        <f>HYPERLINK("https://www.773grp.com/globalSearch/BC373RL1G/page-1", "BC373RL1G")</f>
        <v>BC373RL1G</v>
      </c>
      <c r="B28410" s="3" t="str">
        <f>HYPERLINK("https://www.773grp.com/manufacturer/onsemi?pageNo=604", "ON Semiconductor")</f>
        <v>ON Semiconductor</v>
      </c>
      <c r="C28410" s="6">
        <v>6000</v>
      </c>
      <c r="D28410" s="7">
        <v>0.53</v>
      </c>
    </row>
    <row r="28411" spans="1:5" x14ac:dyDescent="0.25">
      <c r="A28411" t="str">
        <f>HYPERLINK("https://www.773grp.com/globalSearch/BC639-16ZL1G/page-1", "BC639-16ZL1G")</f>
        <v>BC639-16ZL1G</v>
      </c>
      <c r="B28411" s="3" t="str">
        <f>HYPERLINK("https://www.773grp.com/manufacturer/onsemi?pageNo=605", "ON Semiconductor")</f>
        <v>ON Semiconductor</v>
      </c>
      <c r="C28411" s="6">
        <v>30934</v>
      </c>
      <c r="D28411" s="7">
        <v>0.53</v>
      </c>
      <c r="E28411" t="s">
        <v>69</v>
      </c>
    </row>
    <row r="28412" spans="1:5" x14ac:dyDescent="0.25">
      <c r="A28412" t="str">
        <f>HYPERLINK("https://www.773grp.com/globalSearch/BC639G/page-1", "BC639G")</f>
        <v>BC639G</v>
      </c>
      <c r="B28412" s="3" t="str">
        <f>HYPERLINK("https://www.773grp.com/manufacturer/onsemi?pageNo=606", "ON Semiconductor")</f>
        <v>ON Semiconductor</v>
      </c>
      <c r="C28412" s="6">
        <v>25000</v>
      </c>
      <c r="D28412" s="7">
        <v>0.53</v>
      </c>
      <c r="E28412" t="s">
        <v>69</v>
      </c>
    </row>
    <row r="28413" spans="1:5" x14ac:dyDescent="0.25">
      <c r="A28413" t="str">
        <f>HYPERLINK("https://www.773grp.com/globalSearch/BC639RL1G/page-1", "BC639RL1G")</f>
        <v>BC639RL1G</v>
      </c>
      <c r="B28413" s="3" t="str">
        <f>HYPERLINK("https://www.773grp.com/manufacturer/onsemi?pageNo=607", "ON Semiconductor")</f>
        <v>ON Semiconductor</v>
      </c>
      <c r="C28413" s="6">
        <v>3113</v>
      </c>
      <c r="D28413" s="7">
        <v>0.53</v>
      </c>
      <c r="E28413" t="s">
        <v>69</v>
      </c>
    </row>
    <row r="28414" spans="1:5" x14ac:dyDescent="0.25">
      <c r="A28414" t="str">
        <f>HYPERLINK("https://www.773grp.com/globalSearch/BC639ZL1G/page-1", "BC639ZL1G")</f>
        <v>BC639ZL1G</v>
      </c>
      <c r="B28414" s="3" t="str">
        <f>HYPERLINK("https://www.773grp.com/manufacturer/onsemi?pageNo=608", "ON Semiconductor")</f>
        <v>ON Semiconductor</v>
      </c>
      <c r="C28414" s="6">
        <v>14000</v>
      </c>
      <c r="D28414" s="7">
        <v>0.53</v>
      </c>
      <c r="E28414" t="s">
        <v>69</v>
      </c>
    </row>
    <row r="28415" spans="1:5" x14ac:dyDescent="0.25">
      <c r="A28415" t="str">
        <f>HYPERLINK("https://www.773grp.com/globalSearch/BC640-016G/page-1", "BC640-016G")</f>
        <v>BC640-016G</v>
      </c>
      <c r="B28415" s="3" t="str">
        <f>HYPERLINK("https://www.773grp.com/manufacturer/onsemi?pageNo=609", "ON Semiconductor")</f>
        <v>ON Semiconductor</v>
      </c>
      <c r="C28415" s="6">
        <v>16293</v>
      </c>
      <c r="D28415" s="7">
        <v>0.53</v>
      </c>
    </row>
    <row r="28416" spans="1:5" x14ac:dyDescent="0.25">
      <c r="A28416" t="str">
        <f>HYPERLINK("https://www.773grp.com/globalSearch/BD234/page-1", "BD234")</f>
        <v>BD234</v>
      </c>
      <c r="B28416" s="3" t="str">
        <f>HYPERLINK("https://www.773grp.com/manufacturer/onsemi?pageNo=610", "ON Semiconductor")</f>
        <v>ON Semiconductor</v>
      </c>
      <c r="C28416" s="6">
        <v>3500</v>
      </c>
      <c r="D28416" s="7">
        <v>0.53</v>
      </c>
      <c r="E28416" t="s">
        <v>59</v>
      </c>
    </row>
    <row r="28417" spans="1:5" x14ac:dyDescent="0.25">
      <c r="A28417" t="str">
        <f>HYPERLINK("https://www.773grp.com/globalSearch/BD238/page-1", "BD238")</f>
        <v>BD238</v>
      </c>
      <c r="B28417" s="3" t="str">
        <f>HYPERLINK("https://www.773grp.com/manufacturer/onsemi?pageNo=611", "ON Semiconductor")</f>
        <v>ON Semiconductor</v>
      </c>
      <c r="C28417" s="6">
        <v>8816</v>
      </c>
      <c r="D28417" s="7">
        <v>0.53</v>
      </c>
      <c r="E28417" t="s">
        <v>59</v>
      </c>
    </row>
    <row r="28418" spans="1:5" x14ac:dyDescent="0.25">
      <c r="A28418" t="str">
        <f>HYPERLINK("https://www.773grp.com/globalSearch/BD238G/page-1", "BD238G")</f>
        <v>BD238G</v>
      </c>
      <c r="B28418" s="3" t="str">
        <f>HYPERLINK("https://www.773grp.com/manufacturer/onsemi?pageNo=612", "ON Semiconductor")</f>
        <v>ON Semiconductor</v>
      </c>
      <c r="C28418" s="6">
        <v>900</v>
      </c>
      <c r="D28418" s="7">
        <v>0.53</v>
      </c>
      <c r="E28418" t="s">
        <v>59</v>
      </c>
    </row>
    <row r="28419" spans="1:5" x14ac:dyDescent="0.25">
      <c r="A28419" t="str">
        <f>HYPERLINK("https://www.773grp.com/globalSearch/BD242B/page-1", "BD242B")</f>
        <v>BD242B</v>
      </c>
      <c r="B28419" s="3" t="str">
        <f>HYPERLINK("https://www.773grp.com/manufacturer/onsemi?pageNo=613", "ON Semiconductor")</f>
        <v>ON Semiconductor</v>
      </c>
      <c r="C28419" s="6">
        <v>1050</v>
      </c>
      <c r="D28419" s="7">
        <v>0.53</v>
      </c>
      <c r="E28419" t="s">
        <v>59</v>
      </c>
    </row>
    <row r="28420" spans="1:5" x14ac:dyDescent="0.25">
      <c r="A28420" t="str">
        <f>HYPERLINK("https://www.773grp.com/globalSearch/BD442/page-1", "BD442")</f>
        <v>BD442</v>
      </c>
      <c r="B28420" s="3" t="str">
        <f>HYPERLINK("https://www.773grp.com/manufacturer/onsemi?pageNo=614", "ON Semiconductor")</f>
        <v>ON Semiconductor</v>
      </c>
      <c r="C28420" s="6">
        <v>3000</v>
      </c>
      <c r="D28420" s="7">
        <v>0.53</v>
      </c>
      <c r="E28420" t="s">
        <v>59</v>
      </c>
    </row>
    <row r="28421" spans="1:5" x14ac:dyDescent="0.25">
      <c r="A28421" t="str">
        <f>HYPERLINK("https://www.773grp.com/globalSearch/BD675/page-1", "BD675")</f>
        <v>BD675</v>
      </c>
      <c r="B28421" s="3" t="str">
        <f>HYPERLINK("https://www.773grp.com/manufacturer/onsemi?pageNo=615", "ON Semiconductor")</f>
        <v>ON Semiconductor</v>
      </c>
      <c r="C28421" s="6">
        <v>79000</v>
      </c>
      <c r="D28421" s="7">
        <v>0.53</v>
      </c>
      <c r="E28421" t="s">
        <v>59</v>
      </c>
    </row>
    <row r="28422" spans="1:5" x14ac:dyDescent="0.25">
      <c r="A28422" t="str">
        <f>HYPERLINK("https://www.773grp.com/globalSearch/BD675A/page-1", "BD675A")</f>
        <v>BD675A</v>
      </c>
      <c r="B28422" s="3" t="str">
        <f>HYPERLINK("https://www.773grp.com/manufacturer/onsemi?pageNo=616", "ON Semiconductor")</f>
        <v>ON Semiconductor</v>
      </c>
      <c r="C28422" s="6">
        <v>500</v>
      </c>
      <c r="D28422" s="7">
        <v>0.53</v>
      </c>
      <c r="E28422" t="s">
        <v>59</v>
      </c>
    </row>
    <row r="28423" spans="1:5" x14ac:dyDescent="0.25">
      <c r="A28423" t="str">
        <f>HYPERLINK("https://www.773grp.com/globalSearch/BD676A/page-1", "BD676A")</f>
        <v>BD676A</v>
      </c>
      <c r="B28423" s="3" t="str">
        <f>HYPERLINK("https://www.773grp.com/manufacturer/onsemi?pageNo=617", "ON Semiconductor")</f>
        <v>ON Semiconductor</v>
      </c>
      <c r="C28423" s="6">
        <v>1500</v>
      </c>
      <c r="D28423" s="7">
        <v>0.53</v>
      </c>
      <c r="E28423" t="s">
        <v>59</v>
      </c>
    </row>
    <row r="28424" spans="1:5" x14ac:dyDescent="0.25">
      <c r="A28424" t="str">
        <f>HYPERLINK("https://www.773grp.com/globalSearch/BD679/page-1", "BD679")</f>
        <v>BD679</v>
      </c>
      <c r="B28424" s="3" t="str">
        <f>HYPERLINK("https://www.773grp.com/manufacturer/onsemi?pageNo=618", "ON Semiconductor")</f>
        <v>ON Semiconductor</v>
      </c>
      <c r="C28424" s="6">
        <v>1970</v>
      </c>
      <c r="D28424" s="7">
        <v>0.53</v>
      </c>
      <c r="E28424" t="s">
        <v>59</v>
      </c>
    </row>
    <row r="28425" spans="1:5" x14ac:dyDescent="0.25">
      <c r="A28425" t="str">
        <f>HYPERLINK("https://www.773grp.com/globalSearch/BD680/page-1", "BD680")</f>
        <v>BD680</v>
      </c>
      <c r="B28425" s="3" t="str">
        <f>HYPERLINK("https://www.773grp.com/manufacturer/onsemi?pageNo=619", "ON Semiconductor")</f>
        <v>ON Semiconductor</v>
      </c>
      <c r="C28425" s="6">
        <v>59</v>
      </c>
      <c r="D28425" s="7">
        <v>0.53</v>
      </c>
      <c r="E28425" t="s">
        <v>59</v>
      </c>
    </row>
    <row r="28426" spans="1:5" x14ac:dyDescent="0.25">
      <c r="A28426" t="str">
        <f>HYPERLINK("https://www.773grp.com/globalSearch/BD680A/page-1", "BD680A")</f>
        <v>BD680A</v>
      </c>
      <c r="B28426" s="3" t="str">
        <f>HYPERLINK("https://www.773grp.com/manufacturer/onsemi?pageNo=620", "ON Semiconductor")</f>
        <v>ON Semiconductor</v>
      </c>
      <c r="C28426" s="6">
        <v>1000</v>
      </c>
      <c r="D28426" s="7">
        <v>0.53</v>
      </c>
      <c r="E28426" t="s">
        <v>59</v>
      </c>
    </row>
    <row r="28427" spans="1:5" x14ac:dyDescent="0.25">
      <c r="A28427" t="str">
        <f>HYPERLINK("https://www.773grp.com/globalSearch/BF720T3/page-1", "BF720T3")</f>
        <v>BF720T3</v>
      </c>
      <c r="B28427" s="3" t="str">
        <f>HYPERLINK("https://www.773grp.com/manufacturer/onsemi?pageNo=621", "ON Semiconductor")</f>
        <v>ON Semiconductor</v>
      </c>
      <c r="C28427" s="6">
        <v>3000</v>
      </c>
      <c r="D28427" s="7">
        <v>0.53</v>
      </c>
      <c r="E28427" t="s">
        <v>59</v>
      </c>
    </row>
    <row r="28428" spans="1:5" x14ac:dyDescent="0.25">
      <c r="A28428" t="str">
        <f>HYPERLINK("https://www.773grp.com/globalSearch/C106D/page-1", "C106D")</f>
        <v>C106D</v>
      </c>
      <c r="B28428" s="3" t="str">
        <f>HYPERLINK("https://www.773grp.com/manufacturer/onsemi?pageNo=622", "ON Semiconductor")</f>
        <v>ON Semiconductor</v>
      </c>
      <c r="C28428" s="6">
        <v>3038</v>
      </c>
      <c r="D28428" s="7">
        <v>0.53</v>
      </c>
      <c r="E28428" t="s">
        <v>97</v>
      </c>
    </row>
    <row r="28429" spans="1:5" x14ac:dyDescent="0.25">
      <c r="A28429" t="str">
        <f>HYPERLINK("https://www.773grp.com/globalSearch/CAT24C02WI-GT3/page-1", "CAT24C02WI-GT3")</f>
        <v>CAT24C02WI-GT3</v>
      </c>
      <c r="B28429" s="3" t="str">
        <f>HYPERLINK("https://www.773grp.com/manufacturer/onsemi?pageNo=623", "ON Semiconductor")</f>
        <v>ON Semiconductor</v>
      </c>
      <c r="C28429" s="6">
        <v>154875</v>
      </c>
      <c r="D28429" s="7">
        <v>0.53</v>
      </c>
      <c r="E28429" t="s">
        <v>64</v>
      </c>
    </row>
    <row r="28430" spans="1:5" x14ac:dyDescent="0.25">
      <c r="A28430" t="str">
        <f>HYPERLINK("https://www.773grp.com/globalSearch/CAT24C02WI-GT3/page-1", "CAT24C02WI-GT3")</f>
        <v>CAT24C02WI-GT3</v>
      </c>
      <c r="B28430" s="3" t="str">
        <f>HYPERLINK("https://www.773grp.com/manufacturer/onsemi?pageNo=624", "ON Semiconductor")</f>
        <v>ON Semiconductor</v>
      </c>
      <c r="C28430" s="6">
        <v>12000</v>
      </c>
      <c r="D28430" s="7">
        <v>0.53</v>
      </c>
      <c r="E28430" t="s">
        <v>64</v>
      </c>
    </row>
    <row r="28431" spans="1:5" x14ac:dyDescent="0.25">
      <c r="A28431" t="str">
        <f>HYPERLINK("https://www.773grp.com/globalSearch/CAT24C02YI-G/page-1", "CAT24C02YI-G")</f>
        <v>CAT24C02YI-G</v>
      </c>
      <c r="B28431" s="3" t="str">
        <f>HYPERLINK("https://www.773grp.com/manufacturer/onsemi?pageNo=625", "ON Semiconductor")</f>
        <v>ON Semiconductor</v>
      </c>
      <c r="C28431" s="6">
        <v>135700</v>
      </c>
      <c r="D28431" s="7">
        <v>0.53</v>
      </c>
    </row>
    <row r="28432" spans="1:5" x14ac:dyDescent="0.25">
      <c r="A28432" t="str">
        <f>HYPERLINK("https://www.773grp.com/globalSearch/CAT24C02YI-GT3/page-1", "CAT24C02YI-GT3")</f>
        <v>CAT24C02YI-GT3</v>
      </c>
      <c r="B28432" s="3" t="str">
        <f>HYPERLINK("https://www.773grp.com/manufacturer/onsemi?pageNo=626", "ON Semiconductor")</f>
        <v>ON Semiconductor</v>
      </c>
      <c r="C28432" s="6">
        <v>222000</v>
      </c>
      <c r="D28432" s="7">
        <v>0.53</v>
      </c>
      <c r="E28432" t="s">
        <v>64</v>
      </c>
    </row>
    <row r="28433" spans="1:5" x14ac:dyDescent="0.25">
      <c r="A28433" t="str">
        <f>HYPERLINK("https://www.773grp.com/globalSearch/CAT24C04WI-GT3/page-1", "CAT24C04WI-GT3")</f>
        <v>CAT24C04WI-GT3</v>
      </c>
      <c r="B28433" s="3" t="str">
        <f>HYPERLINK("https://www.773grp.com/manufacturer/onsemi?pageNo=627", "ON Semiconductor")</f>
        <v>ON Semiconductor</v>
      </c>
      <c r="C28433" s="6">
        <v>15000</v>
      </c>
      <c r="D28433" s="7">
        <v>0.53</v>
      </c>
      <c r="E28433" t="s">
        <v>64</v>
      </c>
    </row>
    <row r="28434" spans="1:5" x14ac:dyDescent="0.25">
      <c r="A28434" t="str">
        <f>HYPERLINK("https://www.773grp.com/globalSearch/CAT24C04WI-GT3/page-1", "CAT24C04WI-GT3")</f>
        <v>CAT24C04WI-GT3</v>
      </c>
      <c r="B28434" s="3" t="str">
        <f>HYPERLINK("https://www.773grp.com/manufacturer/onsemi?pageNo=628", "ON Semiconductor")</f>
        <v>ON Semiconductor</v>
      </c>
      <c r="C28434" s="6">
        <v>85860</v>
      </c>
      <c r="D28434" s="7">
        <v>0.53</v>
      </c>
      <c r="E28434" t="s">
        <v>64</v>
      </c>
    </row>
    <row r="28435" spans="1:5" x14ac:dyDescent="0.25">
      <c r="A28435" t="str">
        <f>HYPERLINK("https://www.773grp.com/globalSearch/CAT24C04YI-GT3/page-1", "CAT24C04YI-GT3")</f>
        <v>CAT24C04YI-GT3</v>
      </c>
      <c r="B28435" s="3" t="str">
        <f>HYPERLINK("https://www.773grp.com/manufacturer/onsemi?pageNo=629", "ON Semiconductor")</f>
        <v>ON Semiconductor</v>
      </c>
      <c r="C28435" s="6">
        <v>135000</v>
      </c>
      <c r="D28435" s="7">
        <v>0.53</v>
      </c>
    </row>
    <row r="28436" spans="1:5" x14ac:dyDescent="0.25">
      <c r="A28436" t="str">
        <f>HYPERLINK("https://www.773grp.com/globalSearch/CAT24C08WI-G/page-1", "CAT24C08WI-G")</f>
        <v>CAT24C08WI-G</v>
      </c>
      <c r="B28436" s="3" t="str">
        <f>HYPERLINK("https://www.773grp.com/manufacturer/onsemi?pageNo=630", "ON Semiconductor")</f>
        <v>ON Semiconductor</v>
      </c>
      <c r="C28436" s="6">
        <v>1400</v>
      </c>
      <c r="D28436" s="7">
        <v>0.53</v>
      </c>
    </row>
    <row r="28437" spans="1:5" x14ac:dyDescent="0.25">
      <c r="A28437" t="str">
        <f>HYPERLINK("https://www.773grp.com/globalSearch/CAT24C08WI-G/page-1", "CAT24C08WI-G")</f>
        <v>CAT24C08WI-G</v>
      </c>
      <c r="B28437" s="3" t="str">
        <f>HYPERLINK("https://www.773grp.com/manufacturer/onsemi?pageNo=631", "ON Semiconductor")</f>
        <v>ON Semiconductor</v>
      </c>
      <c r="C28437" s="6">
        <v>684</v>
      </c>
      <c r="D28437" s="7">
        <v>0.53</v>
      </c>
    </row>
    <row r="28438" spans="1:5" x14ac:dyDescent="0.25">
      <c r="A28438" t="str">
        <f>HYPERLINK("https://www.773grp.com/globalSearch/CAT24C08YI-G/page-1", "CAT24C08YI-G")</f>
        <v>CAT24C08YI-G</v>
      </c>
      <c r="B28438" s="3" t="str">
        <f>HYPERLINK("https://www.773grp.com/manufacturer/onsemi?pageNo=632", "ON Semiconductor")</f>
        <v>ON Semiconductor</v>
      </c>
      <c r="C28438" s="6">
        <v>9400</v>
      </c>
      <c r="D28438" s="7">
        <v>0.53</v>
      </c>
    </row>
    <row r="28439" spans="1:5" x14ac:dyDescent="0.25">
      <c r="A28439" t="str">
        <f>HYPERLINK("https://www.773grp.com/globalSearch/CAT24C16YI-G/page-1", "CAT24C16YI-G")</f>
        <v>CAT24C16YI-G</v>
      </c>
      <c r="B28439" s="3" t="str">
        <f>HYPERLINK("https://www.773grp.com/manufacturer/onsemi?pageNo=633", "ON Semiconductor")</f>
        <v>ON Semiconductor</v>
      </c>
      <c r="C28439" s="6">
        <v>3187</v>
      </c>
      <c r="D28439" s="7">
        <v>0.53</v>
      </c>
    </row>
    <row r="28440" spans="1:5" x14ac:dyDescent="0.25">
      <c r="A28440" t="str">
        <f>HYPERLINK("https://www.773grp.com/globalSearch/CAT24C16YI-G/page-1", "CAT24C16YI-G")</f>
        <v>CAT24C16YI-G</v>
      </c>
      <c r="B28440" s="3" t="str">
        <f>HYPERLINK("https://www.773grp.com/manufacturer/onsemi?pageNo=634", "ON Semiconductor")</f>
        <v>ON Semiconductor</v>
      </c>
      <c r="C28440" s="6">
        <v>4300</v>
      </c>
      <c r="D28440" s="7">
        <v>0.53</v>
      </c>
    </row>
    <row r="28441" spans="1:5" x14ac:dyDescent="0.25">
      <c r="A28441" t="str">
        <f>HYPERLINK("https://www.773grp.com/globalSearch/CAT93C46WI-G/page-1", "CAT93C46WI-G")</f>
        <v>CAT93C46WI-G</v>
      </c>
      <c r="B28441" s="3" t="str">
        <f>HYPERLINK("https://www.773grp.com/manufacturer/onsemi?pageNo=635", "ON Semiconductor")</f>
        <v>ON Semiconductor</v>
      </c>
      <c r="C28441" s="6">
        <v>2100</v>
      </c>
      <c r="D28441" s="7">
        <v>0.53</v>
      </c>
    </row>
    <row r="28442" spans="1:5" x14ac:dyDescent="0.25">
      <c r="A28442" t="str">
        <f>HYPERLINK("https://www.773grp.com/globalSearch/CAT93C46YI-G/page-1", "CAT93C46YI-G")</f>
        <v>CAT93C46YI-G</v>
      </c>
      <c r="B28442" s="3" t="str">
        <f>HYPERLINK("https://www.773grp.com/manufacturer/onsemi?pageNo=636", "ON Semiconductor")</f>
        <v>ON Semiconductor</v>
      </c>
      <c r="C28442" s="6">
        <v>3900</v>
      </c>
      <c r="D28442" s="7">
        <v>0.53</v>
      </c>
    </row>
    <row r="28443" spans="1:5" x14ac:dyDescent="0.25">
      <c r="A28443" t="str">
        <f>HYPERLINK("https://www.773grp.com/globalSearch/CM1293A-04SO/page-1", "CM1293A-04SO")</f>
        <v>CM1293A-04SO</v>
      </c>
      <c r="B28443" s="3" t="str">
        <f>HYPERLINK("https://www.773grp.com/manufacturer/onsemi?pageNo=637", "ON Semiconductor")</f>
        <v>ON Semiconductor</v>
      </c>
      <c r="C28443" s="6">
        <v>50275</v>
      </c>
      <c r="D28443" s="7">
        <v>0.53</v>
      </c>
      <c r="E28443" t="s">
        <v>96</v>
      </c>
    </row>
    <row r="28444" spans="1:5" x14ac:dyDescent="0.25">
      <c r="A28444" t="str">
        <f>HYPERLINK("https://www.773grp.com/globalSearch/ESD7004MUTAG/page-1", "ESD7004MUTAG")</f>
        <v>ESD7004MUTAG</v>
      </c>
      <c r="B28444" s="3" t="str">
        <f>HYPERLINK("https://www.773grp.com/manufacturer/onsemi?pageNo=638", "ON Semiconductor")</f>
        <v>ON Semiconductor</v>
      </c>
      <c r="C28444" s="6">
        <v>186030</v>
      </c>
      <c r="D28444" s="7">
        <v>0.53</v>
      </c>
    </row>
    <row r="28445" spans="1:5" x14ac:dyDescent="0.25">
      <c r="A28445" t="str">
        <f>HYPERLINK("https://www.773grp.com/globalSearch/ESD7M5.0DT5G/page-1", "ESD7M5.0DT5G")</f>
        <v>ESD7M5.0DT5G</v>
      </c>
      <c r="B28445" s="3" t="str">
        <f>HYPERLINK("https://www.773grp.com/manufacturer/onsemi?pageNo=639", "ON Semiconductor")</f>
        <v>ON Semiconductor</v>
      </c>
      <c r="C28445" s="6">
        <v>74500</v>
      </c>
      <c r="D28445" s="7">
        <v>0.53</v>
      </c>
      <c r="E28445" t="s">
        <v>96</v>
      </c>
    </row>
    <row r="28446" spans="1:5" x14ac:dyDescent="0.25">
      <c r="A28446" t="str">
        <f>HYPERLINK("https://www.773grp.com/globalSearch/ESD9L3.3ST5G/page-1", "ESD9L3.3ST5G")</f>
        <v>ESD9L3.3ST5G</v>
      </c>
      <c r="B28446" s="3" t="str">
        <f>HYPERLINK("https://www.773grp.com/manufacturer/onsemi?pageNo=640", "ON Semiconductor")</f>
        <v>ON Semiconductor</v>
      </c>
      <c r="C28446" s="6">
        <v>602000</v>
      </c>
      <c r="D28446" s="7">
        <v>0.53</v>
      </c>
      <c r="E28446" t="s">
        <v>96</v>
      </c>
    </row>
    <row r="28447" spans="1:5" x14ac:dyDescent="0.25">
      <c r="A28447" t="str">
        <f>HYPERLINK("https://www.773grp.com/globalSearch/ESD9L5.0ST5G/page-1", "ESD9L5.0ST5G")</f>
        <v>ESD9L5.0ST5G</v>
      </c>
      <c r="B28447" s="3" t="str">
        <f>HYPERLINK("https://www.773grp.com/manufacturer/onsemi?pageNo=641", "ON Semiconductor")</f>
        <v>ON Semiconductor</v>
      </c>
      <c r="C28447" s="6">
        <v>613550</v>
      </c>
      <c r="D28447" s="7">
        <v>0.53</v>
      </c>
      <c r="E28447" t="s">
        <v>96</v>
      </c>
    </row>
    <row r="28448" spans="1:5" x14ac:dyDescent="0.25">
      <c r="A28448" t="str">
        <f>HYPERLINK("https://www.773grp.com/globalSearch/HATIP32CG/page-1", "HATIP32CG")</f>
        <v>HATIP32CG</v>
      </c>
      <c r="B28448" s="3" t="str">
        <f>HYPERLINK("https://www.773grp.com/manufacturer/onsemi?pageNo=642", "ON Semiconductor")</f>
        <v>ON Semiconductor</v>
      </c>
      <c r="C28448" s="6">
        <v>1000</v>
      </c>
      <c r="D28448" s="7">
        <v>0.53</v>
      </c>
    </row>
    <row r="28449" spans="1:5" x14ac:dyDescent="0.25">
      <c r="A28449" t="str">
        <f>HYPERLINK("https://www.773grp.com/globalSearch/LM2901VN/page-1", "LM2901VN")</f>
        <v>LM2901VN</v>
      </c>
      <c r="B28449" s="3" t="str">
        <f>HYPERLINK("https://www.773grp.com/manufacturer/onsemi?pageNo=643", "ON Semiconductor")</f>
        <v>ON Semiconductor</v>
      </c>
      <c r="C28449" s="6">
        <v>2365</v>
      </c>
      <c r="D28449" s="7">
        <v>0.53</v>
      </c>
      <c r="E28449" t="s">
        <v>9</v>
      </c>
    </row>
    <row r="28450" spans="1:5" x14ac:dyDescent="0.25">
      <c r="A28450" t="str">
        <f>HYPERLINK("https://www.773grp.com/globalSearch/LM2902VN/page-1", "LM2902VN")</f>
        <v>LM2902VN</v>
      </c>
      <c r="B28450" s="3" t="str">
        <f>HYPERLINK("https://www.773grp.com/manufacturer/onsemi?pageNo=644", "ON Semiconductor")</f>
        <v>ON Semiconductor</v>
      </c>
      <c r="C28450" s="6">
        <v>1146</v>
      </c>
      <c r="D28450" s="7">
        <v>0.53</v>
      </c>
      <c r="E28450" t="s">
        <v>13</v>
      </c>
    </row>
    <row r="28451" spans="1:5" x14ac:dyDescent="0.25">
      <c r="A28451" t="str">
        <f>HYPERLINK("https://www.773grp.com/globalSearch/LM2903DMR2/page-1", "LM2903DMR2")</f>
        <v>LM2903DMR2</v>
      </c>
      <c r="B28451" s="3" t="str">
        <f>HYPERLINK("https://www.773grp.com/manufacturer/onsemi?pageNo=645", "ON Semiconductor")</f>
        <v>ON Semiconductor</v>
      </c>
      <c r="C28451" s="6">
        <v>97349</v>
      </c>
      <c r="D28451" s="7">
        <v>0.53</v>
      </c>
      <c r="E28451" t="s">
        <v>9</v>
      </c>
    </row>
    <row r="28452" spans="1:5" x14ac:dyDescent="0.25">
      <c r="A28452" t="str">
        <f>HYPERLINK("https://www.773grp.com/globalSearch/LM2903VN/page-1", "LM2903VN")</f>
        <v>LM2903VN</v>
      </c>
      <c r="B28452" s="3" t="str">
        <f>HYPERLINK("https://www.773grp.com/manufacturer/onsemi?pageNo=646", "ON Semiconductor")</f>
        <v>ON Semiconductor</v>
      </c>
      <c r="C28452" s="6">
        <v>2825</v>
      </c>
      <c r="D28452" s="7">
        <v>0.53</v>
      </c>
      <c r="E28452" t="s">
        <v>9</v>
      </c>
    </row>
    <row r="28453" spans="1:5" x14ac:dyDescent="0.25">
      <c r="A28453" t="str">
        <f>HYPERLINK("https://www.773grp.com/globalSearch/LM2904VN/page-1", "LM2904VN")</f>
        <v>LM2904VN</v>
      </c>
      <c r="B28453" s="3" t="str">
        <f>HYPERLINK("https://www.773grp.com/manufacturer/onsemi?pageNo=647", "ON Semiconductor")</f>
        <v>ON Semiconductor</v>
      </c>
      <c r="C28453" s="6">
        <v>1857</v>
      </c>
      <c r="D28453" s="7">
        <v>0.53</v>
      </c>
      <c r="E28453" t="s">
        <v>13</v>
      </c>
    </row>
    <row r="28454" spans="1:5" x14ac:dyDescent="0.25">
      <c r="A28454" t="str">
        <f>HYPERLINK("https://www.773grp.com/globalSearch/LM317LZ/page-1", "LM317LZ")</f>
        <v>LM317LZ</v>
      </c>
      <c r="B28454" s="3" t="str">
        <f>HYPERLINK("https://www.773grp.com/manufacturer/onsemi?pageNo=648", "ON Semiconductor")</f>
        <v>ON Semiconductor</v>
      </c>
      <c r="C28454" s="6">
        <v>2512</v>
      </c>
      <c r="D28454" s="7">
        <v>0.53</v>
      </c>
      <c r="E28454" t="s">
        <v>22</v>
      </c>
    </row>
    <row r="28455" spans="1:5" x14ac:dyDescent="0.25">
      <c r="A28455" t="str">
        <f>HYPERLINK("https://www.773grp.com/globalSearch/LM317LZRA/page-1", "LM317LZRA")</f>
        <v>LM317LZRA</v>
      </c>
      <c r="B28455" s="3" t="str">
        <f>HYPERLINK("https://www.773grp.com/manufacturer/onsemi?pageNo=649", "ON Semiconductor")</f>
        <v>ON Semiconductor</v>
      </c>
      <c r="C28455" s="6">
        <v>102000</v>
      </c>
      <c r="D28455" s="7">
        <v>0.53</v>
      </c>
      <c r="E28455" t="s">
        <v>22</v>
      </c>
    </row>
    <row r="28456" spans="1:5" x14ac:dyDescent="0.25">
      <c r="A28456" t="str">
        <f>HYPERLINK("https://www.773grp.com/globalSearch/LM317LZRM/page-1", "LM317LZRM")</f>
        <v>LM317LZRM</v>
      </c>
      <c r="B28456" s="3" t="str">
        <f>HYPERLINK("https://www.773grp.com/manufacturer/onsemi?pageNo=650", "ON Semiconductor")</f>
        <v>ON Semiconductor</v>
      </c>
      <c r="C28456" s="6">
        <v>816</v>
      </c>
      <c r="D28456" s="7">
        <v>0.53</v>
      </c>
      <c r="E28456" t="s">
        <v>22</v>
      </c>
    </row>
    <row r="28457" spans="1:5" x14ac:dyDescent="0.25">
      <c r="A28457" t="str">
        <f>HYPERLINK("https://www.773grp.com/globalSearch/LM317LZRP/page-1", "LM317LZRP")</f>
        <v>LM317LZRP</v>
      </c>
      <c r="B28457" s="3" t="str">
        <f>HYPERLINK("https://www.773grp.com/manufacturer/onsemi?pageNo=651", "ON Semiconductor")</f>
        <v>ON Semiconductor</v>
      </c>
      <c r="C28457" s="6">
        <v>200000</v>
      </c>
      <c r="D28457" s="7">
        <v>0.53</v>
      </c>
      <c r="E28457" t="s">
        <v>22</v>
      </c>
    </row>
    <row r="28458" spans="1:5" x14ac:dyDescent="0.25">
      <c r="A28458" t="str">
        <f>HYPERLINK("https://www.773grp.com/globalSearch/M74VHC1G125DTT1G/page-1", "M74VHC1G125DTT1G")</f>
        <v>M74VHC1G125DTT1G</v>
      </c>
      <c r="B28458" s="3" t="str">
        <f>HYPERLINK("https://www.773grp.com/manufacturer/onsemi?pageNo=652", "ON Semiconductor")</f>
        <v>ON Semiconductor</v>
      </c>
      <c r="C28458" s="6">
        <v>337200</v>
      </c>
      <c r="D28458" s="7">
        <v>0.53</v>
      </c>
      <c r="E28458" t="s">
        <v>14</v>
      </c>
    </row>
    <row r="28459" spans="1:5" x14ac:dyDescent="0.25">
      <c r="A28459" t="str">
        <f>HYPERLINK("https://www.773grp.com/globalSearch/M74VHC1G126DTT1G/page-1", "M74VHC1G126DTT1G")</f>
        <v>M74VHC1G126DTT1G</v>
      </c>
      <c r="B28459" s="3" t="str">
        <f>HYPERLINK("https://www.773grp.com/manufacturer/onsemi?pageNo=653", "ON Semiconductor")</f>
        <v>ON Semiconductor</v>
      </c>
      <c r="C28459" s="6">
        <v>231000</v>
      </c>
      <c r="D28459" s="7">
        <v>0.53</v>
      </c>
      <c r="E28459" t="s">
        <v>14</v>
      </c>
    </row>
    <row r="28460" spans="1:5" x14ac:dyDescent="0.25">
      <c r="A28460" t="str">
        <f>HYPERLINK("https://www.773grp.com/globalSearch/M74VHC1GT125DT1G/page-1", "M74VHC1GT125DT1G")</f>
        <v>M74VHC1GT125DT1G</v>
      </c>
      <c r="B28460" s="3" t="str">
        <f>HYPERLINK("https://www.773grp.com/manufacturer/onsemi?pageNo=654", "ON Semiconductor")</f>
        <v>ON Semiconductor</v>
      </c>
      <c r="C28460" s="6">
        <v>465157</v>
      </c>
      <c r="D28460" s="7">
        <v>0.53</v>
      </c>
      <c r="E28460" t="s">
        <v>14</v>
      </c>
    </row>
    <row r="28461" spans="1:5" x14ac:dyDescent="0.25">
      <c r="A28461" t="str">
        <f>HYPERLINK("https://www.773grp.com/globalSearch/M74VHC1GT126DT1G/page-1", "M74VHC1GT126DT1G")</f>
        <v>M74VHC1GT126DT1G</v>
      </c>
      <c r="B28461" s="3" t="str">
        <f>HYPERLINK("https://www.773grp.com/manufacturer/onsemi?pageNo=655", "ON Semiconductor")</f>
        <v>ON Semiconductor</v>
      </c>
      <c r="C28461" s="6">
        <v>141000</v>
      </c>
      <c r="D28461" s="7">
        <v>0.53</v>
      </c>
      <c r="E28461" t="s">
        <v>14</v>
      </c>
    </row>
    <row r="28462" spans="1:5" x14ac:dyDescent="0.25">
      <c r="A28462" t="str">
        <f>HYPERLINK("https://www.773grp.com/globalSearch/MBR0520LT1/page-1", "MBR0520LT1")</f>
        <v>MBR0520LT1</v>
      </c>
      <c r="B28462" s="3" t="str">
        <f>HYPERLINK("https://www.773grp.com/manufacturer/onsemi?pageNo=656", "ON Semiconductor")</f>
        <v>ON Semiconductor</v>
      </c>
      <c r="C28462" s="6">
        <v>9000</v>
      </c>
      <c r="D28462" s="7">
        <v>0.53</v>
      </c>
    </row>
    <row r="28463" spans="1:5" x14ac:dyDescent="0.25">
      <c r="A28463" t="str">
        <f>HYPERLINK("https://www.773grp.com/globalSearch/MBR0530T1/page-1", "MBR0530T1")</f>
        <v>MBR0530T1</v>
      </c>
      <c r="B28463" s="3" t="str">
        <f>HYPERLINK("https://www.773grp.com/manufacturer/onsemi?pageNo=657", "ON Semiconductor")</f>
        <v>ON Semiconductor</v>
      </c>
      <c r="C28463" s="6">
        <v>6000</v>
      </c>
      <c r="D28463" s="7">
        <v>0.53</v>
      </c>
    </row>
    <row r="28464" spans="1:5" x14ac:dyDescent="0.25">
      <c r="A28464" t="str">
        <f>HYPERLINK("https://www.773grp.com/globalSearch/MBR0540T1H/page-1", "MBR0540T1H")</f>
        <v>MBR0540T1H</v>
      </c>
      <c r="B28464" s="3" t="str">
        <f>HYPERLINK("https://www.773grp.com/manufacturer/onsemi?pageNo=658", "ON Semiconductor")</f>
        <v>ON Semiconductor</v>
      </c>
      <c r="C28464" s="6">
        <v>102000</v>
      </c>
      <c r="D28464" s="7">
        <v>0.53</v>
      </c>
    </row>
    <row r="28465" spans="1:5" x14ac:dyDescent="0.25">
      <c r="A28465" t="str">
        <f>HYPERLINK("https://www.773grp.com/globalSearch/MBR0540T3/page-1", "MBR0540T3")</f>
        <v>MBR0540T3</v>
      </c>
      <c r="B28465" s="3" t="str">
        <f>HYPERLINK("https://www.773grp.com/manufacturer/onsemi?pageNo=659", "ON Semiconductor")</f>
        <v>ON Semiconductor</v>
      </c>
      <c r="C28465" s="6">
        <v>26000</v>
      </c>
      <c r="D28465" s="7">
        <v>0.53</v>
      </c>
    </row>
    <row r="28466" spans="1:5" x14ac:dyDescent="0.25">
      <c r="A28466" t="str">
        <f>HYPERLINK("https://www.773grp.com/globalSearch/MBR340G/page-1", "MBR340G")</f>
        <v>MBR340G</v>
      </c>
      <c r="B28466" s="3" t="str">
        <f>HYPERLINK("https://www.773grp.com/manufacturer/onsemi?pageNo=660", "ON Semiconductor")</f>
        <v>ON Semiconductor</v>
      </c>
      <c r="C28466" s="6">
        <v>18200</v>
      </c>
      <c r="D28466" s="7">
        <v>0.53</v>
      </c>
      <c r="E28466" t="s">
        <v>103</v>
      </c>
    </row>
    <row r="28467" spans="1:5" x14ac:dyDescent="0.25">
      <c r="A28467" t="str">
        <f>HYPERLINK("https://www.773grp.com/globalSearch/MBR340RLG/page-1", "MBR340RLG")</f>
        <v>MBR340RLG</v>
      </c>
      <c r="B28467" s="3" t="str">
        <f>HYPERLINK("https://www.773grp.com/manufacturer/onsemi?pageNo=661", "ON Semiconductor")</f>
        <v>ON Semiconductor</v>
      </c>
      <c r="C28467" s="6">
        <v>4500</v>
      </c>
      <c r="D28467" s="7">
        <v>0.53</v>
      </c>
      <c r="E28467" t="s">
        <v>103</v>
      </c>
    </row>
    <row r="28468" spans="1:5" x14ac:dyDescent="0.25">
      <c r="A28468" t="str">
        <f>HYPERLINK("https://www.773grp.com/globalSearch/MBR350RLG/page-1", "MBR350RLG")</f>
        <v>MBR350RLG</v>
      </c>
      <c r="B28468" s="3" t="str">
        <f>HYPERLINK("https://www.773grp.com/manufacturer/onsemi?pageNo=662", "ON Semiconductor")</f>
        <v>ON Semiconductor</v>
      </c>
      <c r="C28468" s="6">
        <v>10500</v>
      </c>
      <c r="D28468" s="7">
        <v>0.53</v>
      </c>
      <c r="E28468" t="s">
        <v>103</v>
      </c>
    </row>
    <row r="28469" spans="1:5" x14ac:dyDescent="0.25">
      <c r="A28469" t="str">
        <f>HYPERLINK("https://www.773grp.com/globalSearch/MBR360G/page-1", "MBR360G")</f>
        <v>MBR360G</v>
      </c>
      <c r="B28469" s="3" t="str">
        <f>HYPERLINK("https://www.773grp.com/manufacturer/onsemi?pageNo=663", "ON Semiconductor")</f>
        <v>ON Semiconductor</v>
      </c>
      <c r="C28469" s="6">
        <v>10148</v>
      </c>
      <c r="D28469" s="7">
        <v>0.53</v>
      </c>
      <c r="E28469" t="s">
        <v>103</v>
      </c>
    </row>
    <row r="28470" spans="1:5" x14ac:dyDescent="0.25">
      <c r="A28470" t="str">
        <f>HYPERLINK("https://www.773grp.com/globalSearch/MBR360RLG/page-1", "MBR360RLG")</f>
        <v>MBR360RLG</v>
      </c>
      <c r="B28470" s="3" t="str">
        <f>HYPERLINK("https://www.773grp.com/manufacturer/onsemi?pageNo=664", "ON Semiconductor")</f>
        <v>ON Semiconductor</v>
      </c>
      <c r="C28470" s="6">
        <v>208801</v>
      </c>
      <c r="D28470" s="7">
        <v>0.53</v>
      </c>
      <c r="E28470" t="s">
        <v>103</v>
      </c>
    </row>
    <row r="28471" spans="1:5" x14ac:dyDescent="0.25">
      <c r="A28471" t="str">
        <f>HYPERLINK("https://www.773grp.com/globalSearch/MBRA160T3G/page-1", "MBRA160T3G")</f>
        <v>MBRA160T3G</v>
      </c>
      <c r="B28471" s="3" t="str">
        <f>HYPERLINK("https://www.773grp.com/manufacturer/onsemi?pageNo=665", "ON Semiconductor")</f>
        <v>ON Semiconductor</v>
      </c>
      <c r="C28471" s="6">
        <v>75590</v>
      </c>
      <c r="D28471" s="7">
        <v>0.53</v>
      </c>
      <c r="E28471" t="s">
        <v>94</v>
      </c>
    </row>
    <row r="28472" spans="1:5" x14ac:dyDescent="0.25">
      <c r="A28472" t="str">
        <f>HYPERLINK("https://www.773grp.com/globalSearch/MBRAF440T3G/page-1", "MBRAF440T3G")</f>
        <v>MBRAF440T3G</v>
      </c>
      <c r="B28472" s="3" t="str">
        <f>HYPERLINK("https://www.773grp.com/manufacturer/onsemi?pageNo=666", "ON Semiconductor")</f>
        <v>ON Semiconductor</v>
      </c>
      <c r="C28472" s="6">
        <v>10000</v>
      </c>
      <c r="D28472" s="7">
        <v>0.53</v>
      </c>
    </row>
    <row r="28473" spans="1:5" x14ac:dyDescent="0.25">
      <c r="A28473" t="str">
        <f>HYPERLINK("https://www.773grp.com/globalSearch/MBRM110ET1G/page-1", "MBRM110ET1G")</f>
        <v>MBRM110ET1G</v>
      </c>
      <c r="B28473" s="3" t="str">
        <f>HYPERLINK("https://www.773grp.com/manufacturer/onsemi?pageNo=667", "ON Semiconductor")</f>
        <v>ON Semiconductor</v>
      </c>
      <c r="C28473" s="6">
        <v>13262</v>
      </c>
      <c r="D28473" s="7">
        <v>0.53</v>
      </c>
      <c r="E28473" t="s">
        <v>94</v>
      </c>
    </row>
    <row r="28474" spans="1:5" x14ac:dyDescent="0.25">
      <c r="A28474" t="str">
        <f>HYPERLINK("https://www.773grp.com/globalSearch/MBRM110LT1/page-1", "MBRM110LT1")</f>
        <v>MBRM110LT1</v>
      </c>
      <c r="B28474" s="3" t="str">
        <f>HYPERLINK("https://www.773grp.com/manufacturer/onsemi?pageNo=668", "ON Semiconductor")</f>
        <v>ON Semiconductor</v>
      </c>
      <c r="C28474" s="6">
        <v>1160</v>
      </c>
      <c r="D28474" s="7">
        <v>0.53</v>
      </c>
      <c r="E28474" t="s">
        <v>94</v>
      </c>
    </row>
    <row r="28475" spans="1:5" x14ac:dyDescent="0.25">
      <c r="A28475" t="str">
        <f>HYPERLINK("https://www.773grp.com/globalSearch/MBRM110LT1G/page-1", "MBRM110LT1G")</f>
        <v>MBRM110LT1G</v>
      </c>
      <c r="B28475" s="3" t="str">
        <f>HYPERLINK("https://www.773grp.com/manufacturer/onsemi?pageNo=669", "ON Semiconductor")</f>
        <v>ON Semiconductor</v>
      </c>
      <c r="C28475" s="6">
        <v>48000</v>
      </c>
      <c r="D28475" s="7">
        <v>0.53</v>
      </c>
      <c r="E28475" t="s">
        <v>94</v>
      </c>
    </row>
    <row r="28476" spans="1:5" x14ac:dyDescent="0.25">
      <c r="A28476" t="str">
        <f>HYPERLINK("https://www.773grp.com/globalSearch/MBRM110LT3G/page-1", "MBRM110LT3G")</f>
        <v>MBRM110LT3G</v>
      </c>
      <c r="B28476" s="3" t="str">
        <f>HYPERLINK("https://www.773grp.com/manufacturer/onsemi?pageNo=670", "ON Semiconductor")</f>
        <v>ON Semiconductor</v>
      </c>
      <c r="C28476" s="6">
        <v>2356501</v>
      </c>
      <c r="D28476" s="7">
        <v>0.53</v>
      </c>
      <c r="E28476" t="s">
        <v>94</v>
      </c>
    </row>
    <row r="28477" spans="1:5" x14ac:dyDescent="0.25">
      <c r="A28477" t="str">
        <f>HYPERLINK("https://www.773grp.com/globalSearch/MBRM120ET1/page-1", "MBRM120ET1")</f>
        <v>MBRM120ET1</v>
      </c>
      <c r="B28477" s="3" t="str">
        <f>HYPERLINK("https://www.773grp.com/manufacturer/onsemi?pageNo=671", "ON Semiconductor")</f>
        <v>ON Semiconductor</v>
      </c>
      <c r="C28477" s="6">
        <v>30000</v>
      </c>
      <c r="D28477" s="7">
        <v>0.53</v>
      </c>
      <c r="E28477" t="s">
        <v>94</v>
      </c>
    </row>
    <row r="28478" spans="1:5" x14ac:dyDescent="0.25">
      <c r="A28478" t="str">
        <f>HYPERLINK("https://www.773grp.com/globalSearch/MBRM120ET3/page-1", "MBRM120ET3")</f>
        <v>MBRM120ET3</v>
      </c>
      <c r="B28478" s="3" t="str">
        <f>HYPERLINK("https://www.773grp.com/manufacturer/onsemi?pageNo=672", "ON Semiconductor")</f>
        <v>ON Semiconductor</v>
      </c>
      <c r="C28478" s="6">
        <v>236500</v>
      </c>
      <c r="D28478" s="7">
        <v>0.53</v>
      </c>
      <c r="E28478" t="s">
        <v>94</v>
      </c>
    </row>
    <row r="28479" spans="1:5" x14ac:dyDescent="0.25">
      <c r="A28479" t="str">
        <f>HYPERLINK("https://www.773grp.com/globalSearch/MBRM120LT3/page-1", "MBRM120LT3")</f>
        <v>MBRM120LT3</v>
      </c>
      <c r="B28479" s="3" t="str">
        <f>HYPERLINK("https://www.773grp.com/manufacturer/onsemi?pageNo=673", "ON Semiconductor")</f>
        <v>ON Semiconductor</v>
      </c>
      <c r="C28479" s="6">
        <v>1931</v>
      </c>
      <c r="D28479" s="7">
        <v>0.53</v>
      </c>
      <c r="E28479" t="s">
        <v>94</v>
      </c>
    </row>
    <row r="28480" spans="1:5" x14ac:dyDescent="0.25">
      <c r="A28480" t="str">
        <f>HYPERLINK("https://www.773grp.com/globalSearch/MBRM130LT1/page-1", "MBRM130LT1")</f>
        <v>MBRM130LT1</v>
      </c>
      <c r="B28480" s="3" t="str">
        <f>HYPERLINK("https://www.773grp.com/manufacturer/onsemi?pageNo=674", "ON Semiconductor")</f>
        <v>ON Semiconductor</v>
      </c>
      <c r="C28480" s="6">
        <v>13525</v>
      </c>
      <c r="D28480" s="7">
        <v>0.53</v>
      </c>
      <c r="E28480" t="s">
        <v>94</v>
      </c>
    </row>
    <row r="28481" spans="1:5" x14ac:dyDescent="0.25">
      <c r="A28481" t="str">
        <f>HYPERLINK("https://www.773grp.com/globalSearch/MBRM140ET1/page-1", "MBRM140ET1")</f>
        <v>MBRM140ET1</v>
      </c>
      <c r="B28481" s="3" t="str">
        <f>HYPERLINK("https://www.773grp.com/manufacturer/onsemi?pageNo=675", "ON Semiconductor")</f>
        <v>ON Semiconductor</v>
      </c>
      <c r="C28481" s="6">
        <v>30000</v>
      </c>
      <c r="D28481" s="7">
        <v>0.53</v>
      </c>
      <c r="E28481" t="s">
        <v>94</v>
      </c>
    </row>
    <row r="28482" spans="1:5" x14ac:dyDescent="0.25">
      <c r="A28482" t="str">
        <f>HYPERLINK("https://www.773grp.com/globalSearch/MBRM140T3/page-1", "MBRM140T3")</f>
        <v>MBRM140T3</v>
      </c>
      <c r="B28482" s="3" t="str">
        <f>HYPERLINK("https://www.773grp.com/manufacturer/onsemi?pageNo=676", "ON Semiconductor")</f>
        <v>ON Semiconductor</v>
      </c>
      <c r="C28482" s="6">
        <v>14631</v>
      </c>
      <c r="D28482" s="7">
        <v>0.53</v>
      </c>
      <c r="E28482" t="s">
        <v>94</v>
      </c>
    </row>
    <row r="28483" spans="1:5" x14ac:dyDescent="0.25">
      <c r="A28483" t="str">
        <f>HYPERLINK("https://www.773grp.com/globalSearch/MBRS2040LT3/page-1", "MBRS2040LT3")</f>
        <v>MBRS2040LT3</v>
      </c>
      <c r="B28483" s="3" t="str">
        <f>HYPERLINK("https://www.773grp.com/manufacturer/onsemi?pageNo=677", "ON Semiconductor")</f>
        <v>ON Semiconductor</v>
      </c>
      <c r="C28483" s="6">
        <v>151500</v>
      </c>
      <c r="D28483" s="7">
        <v>0.53</v>
      </c>
      <c r="E28483" t="s">
        <v>103</v>
      </c>
    </row>
    <row r="28484" spans="1:5" x14ac:dyDescent="0.25">
      <c r="A28484" t="str">
        <f>HYPERLINK("https://www.773grp.com/globalSearch/MBT35200MT1G/page-1", "MBT35200MT1G")</f>
        <v>MBT35200MT1G</v>
      </c>
      <c r="B28484" s="3" t="str">
        <f>HYPERLINK("https://www.773grp.com/manufacturer/onsemi?pageNo=678", "ON Semiconductor")</f>
        <v>ON Semiconductor</v>
      </c>
      <c r="C28484" s="6">
        <v>953019</v>
      </c>
      <c r="D28484" s="7">
        <v>0.53</v>
      </c>
      <c r="E28484" t="s">
        <v>69</v>
      </c>
    </row>
    <row r="28485" spans="1:5" x14ac:dyDescent="0.25">
      <c r="A28485" t="str">
        <f>HYPERLINK("https://www.773grp.com/globalSearch/MBT35200MT2G/page-1", "MBT35200MT2G")</f>
        <v>MBT35200MT2G</v>
      </c>
      <c r="B28485" s="3" t="str">
        <f>HYPERLINK("https://www.773grp.com/manufacturer/onsemi?pageNo=679", "ON Semiconductor")</f>
        <v>ON Semiconductor</v>
      </c>
      <c r="C28485" s="6">
        <v>66000</v>
      </c>
      <c r="D28485" s="7">
        <v>0.53</v>
      </c>
    </row>
    <row r="28486" spans="1:5" x14ac:dyDescent="0.25">
      <c r="A28486" t="str">
        <f>HYPERLINK("https://www.773grp.com/globalSearch/MC14001BF/page-1", "MC14001BF")</f>
        <v>MC14001BF</v>
      </c>
      <c r="B28486" s="3" t="str">
        <f>HYPERLINK("https://www.773grp.com/manufacturer/onsemi?pageNo=680", "ON Semiconductor")</f>
        <v>ON Semiconductor</v>
      </c>
      <c r="C28486" s="6">
        <v>27</v>
      </c>
      <c r="D28486" s="7">
        <v>0.53</v>
      </c>
    </row>
    <row r="28487" spans="1:5" x14ac:dyDescent="0.25">
      <c r="A28487" t="str">
        <f>HYPERLINK("https://www.773grp.com/globalSearch/MC14002BF/page-1", "MC14002BF")</f>
        <v>MC14002BF</v>
      </c>
      <c r="B28487" s="3" t="str">
        <f>HYPERLINK("https://www.773grp.com/manufacturer/onsemi?pageNo=681", "ON Semiconductor")</f>
        <v>ON Semiconductor</v>
      </c>
      <c r="C28487" s="6">
        <v>75</v>
      </c>
      <c r="D28487" s="7">
        <v>0.53</v>
      </c>
    </row>
    <row r="28488" spans="1:5" x14ac:dyDescent="0.25">
      <c r="A28488" t="str">
        <f>HYPERLINK("https://www.773grp.com/globalSearch/MC14002BFEL/page-1", "MC14002BFEL")</f>
        <v>MC14002BFEL</v>
      </c>
      <c r="B28488" s="3" t="str">
        <f>HYPERLINK("https://www.773grp.com/manufacturer/onsemi?pageNo=682", "ON Semiconductor")</f>
        <v>ON Semiconductor</v>
      </c>
      <c r="C28488" s="6">
        <v>2000</v>
      </c>
      <c r="D28488" s="7">
        <v>0.53</v>
      </c>
    </row>
    <row r="28489" spans="1:5" x14ac:dyDescent="0.25">
      <c r="A28489" t="str">
        <f>HYPERLINK("https://www.773grp.com/globalSearch/MC14007UBFEL/page-1", "MC14007UBFEL")</f>
        <v>MC14007UBFEL</v>
      </c>
      <c r="B28489" s="3" t="str">
        <f>HYPERLINK("https://www.773grp.com/manufacturer/onsemi?pageNo=683", "ON Semiconductor")</f>
        <v>ON Semiconductor</v>
      </c>
      <c r="C28489" s="6">
        <v>17382</v>
      </c>
      <c r="D28489" s="7">
        <v>0.53</v>
      </c>
      <c r="E28489" t="s">
        <v>31</v>
      </c>
    </row>
    <row r="28490" spans="1:5" x14ac:dyDescent="0.25">
      <c r="A28490" t="str">
        <f>HYPERLINK("https://www.773grp.com/globalSearch/MC14011BF/page-1", "MC14011BF")</f>
        <v>MC14011BF</v>
      </c>
      <c r="B28490" s="3" t="str">
        <f>HYPERLINK("https://www.773grp.com/manufacturer/onsemi?pageNo=684", "ON Semiconductor")</f>
        <v>ON Semiconductor</v>
      </c>
      <c r="C28490" s="6">
        <v>648</v>
      </c>
      <c r="D28490" s="7">
        <v>0.53</v>
      </c>
      <c r="E28490" t="s">
        <v>31</v>
      </c>
    </row>
    <row r="28491" spans="1:5" x14ac:dyDescent="0.25">
      <c r="A28491" t="str">
        <f>HYPERLINK("https://www.773grp.com/globalSearch/MC14012BFEL/page-1", "MC14012BFEL")</f>
        <v>MC14012BFEL</v>
      </c>
      <c r="B28491" s="3" t="str">
        <f>HYPERLINK("https://www.773grp.com/manufacturer/onsemi?pageNo=685", "ON Semiconductor")</f>
        <v>ON Semiconductor</v>
      </c>
      <c r="C28491" s="6">
        <v>2867</v>
      </c>
      <c r="D28491" s="7">
        <v>0.53</v>
      </c>
      <c r="E28491" t="s">
        <v>31</v>
      </c>
    </row>
    <row r="28492" spans="1:5" x14ac:dyDescent="0.25">
      <c r="A28492" t="str">
        <f>HYPERLINK("https://www.773grp.com/globalSearch/MC14014BCP/page-1", "MC14014BCP")</f>
        <v>MC14014BCP</v>
      </c>
      <c r="B28492" s="3" t="str">
        <f>HYPERLINK("https://www.773grp.com/manufacturer/onsemi?pageNo=686", "ON Semiconductor")</f>
        <v>ON Semiconductor</v>
      </c>
      <c r="C28492" s="6">
        <v>2095</v>
      </c>
      <c r="D28492" s="7">
        <v>0.53</v>
      </c>
      <c r="E28492" t="s">
        <v>32</v>
      </c>
    </row>
    <row r="28493" spans="1:5" x14ac:dyDescent="0.25">
      <c r="A28493" t="str">
        <f>HYPERLINK("https://www.773grp.com/globalSearch/MC14021BCP/page-1", "MC14021BCP")</f>
        <v>MC14021BCP</v>
      </c>
      <c r="B28493" s="3" t="str">
        <f>HYPERLINK("https://www.773grp.com/manufacturer/onsemi?pageNo=687", "ON Semiconductor")</f>
        <v>ON Semiconductor</v>
      </c>
      <c r="C28493" s="6">
        <v>6165</v>
      </c>
      <c r="D28493" s="7">
        <v>0.53</v>
      </c>
      <c r="E28493" t="s">
        <v>32</v>
      </c>
    </row>
    <row r="28494" spans="1:5" x14ac:dyDescent="0.25">
      <c r="A28494" t="str">
        <f>HYPERLINK("https://www.773grp.com/globalSearch/MC14043BD/page-1", "MC14043BD")</f>
        <v>MC14043BD</v>
      </c>
      <c r="B28494" s="3" t="str">
        <f>HYPERLINK("https://www.773grp.com/manufacturer/onsemi?pageNo=688", "ON Semiconductor")</f>
        <v>ON Semiconductor</v>
      </c>
      <c r="C28494" s="6">
        <v>4944</v>
      </c>
      <c r="D28494" s="7">
        <v>0.53</v>
      </c>
      <c r="E28494" t="s">
        <v>35</v>
      </c>
    </row>
    <row r="28495" spans="1:5" x14ac:dyDescent="0.25">
      <c r="A28495" t="str">
        <f>HYPERLINK("https://www.773grp.com/globalSearch/MC14043BDR2/page-1", "MC14043BDR2")</f>
        <v>MC14043BDR2</v>
      </c>
      <c r="B28495" s="3" t="str">
        <f>HYPERLINK("https://www.773grp.com/manufacturer/onsemi?pageNo=689", "ON Semiconductor")</f>
        <v>ON Semiconductor</v>
      </c>
      <c r="C28495" s="6">
        <v>5000</v>
      </c>
      <c r="D28495" s="7">
        <v>0.53</v>
      </c>
      <c r="E28495" t="s">
        <v>35</v>
      </c>
    </row>
    <row r="28496" spans="1:5" x14ac:dyDescent="0.25">
      <c r="A28496" t="str">
        <f>HYPERLINK("https://www.773grp.com/globalSearch/MC14051BD/page-1", "MC14051BD")</f>
        <v>MC14051BD</v>
      </c>
      <c r="B28496" s="3" t="str">
        <f>HYPERLINK("https://www.773grp.com/manufacturer/onsemi?pageNo=690", "ON Semiconductor")</f>
        <v>ON Semiconductor</v>
      </c>
      <c r="C28496" s="6">
        <v>4284</v>
      </c>
      <c r="D28496" s="7">
        <v>0.53</v>
      </c>
      <c r="E28496" t="s">
        <v>56</v>
      </c>
    </row>
    <row r="28497" spans="1:5" x14ac:dyDescent="0.25">
      <c r="A28497" t="str">
        <f>HYPERLINK("https://www.773grp.com/globalSearch/MC14051BDT/page-1", "MC14051BDT")</f>
        <v>MC14051BDT</v>
      </c>
      <c r="B28497" s="3" t="str">
        <f>HYPERLINK("https://www.773grp.com/manufacturer/onsemi?pageNo=691", "ON Semiconductor")</f>
        <v>ON Semiconductor</v>
      </c>
      <c r="C28497" s="6">
        <v>2964</v>
      </c>
      <c r="D28497" s="7">
        <v>0.53</v>
      </c>
      <c r="E28497" t="s">
        <v>56</v>
      </c>
    </row>
    <row r="28498" spans="1:5" x14ac:dyDescent="0.25">
      <c r="A28498" t="str">
        <f>HYPERLINK("https://www.773grp.com/globalSearch/MC14051BDTR2/page-1", "MC14051BDTR2")</f>
        <v>MC14051BDTR2</v>
      </c>
      <c r="B28498" s="3" t="str">
        <f>HYPERLINK("https://www.773grp.com/manufacturer/onsemi?pageNo=692", "ON Semiconductor")</f>
        <v>ON Semiconductor</v>
      </c>
      <c r="C28498" s="6">
        <v>3505</v>
      </c>
      <c r="D28498" s="7">
        <v>0.53</v>
      </c>
      <c r="E28498" t="s">
        <v>56</v>
      </c>
    </row>
    <row r="28499" spans="1:5" x14ac:dyDescent="0.25">
      <c r="A28499" t="str">
        <f>HYPERLINK("https://www.773grp.com/globalSearch/MC14051BFEL/page-1", "MC14051BFEL")</f>
        <v>MC14051BFEL</v>
      </c>
      <c r="B28499" s="3" t="str">
        <f>HYPERLINK("https://www.773grp.com/manufacturer/onsemi?pageNo=693", "ON Semiconductor")</f>
        <v>ON Semiconductor</v>
      </c>
      <c r="C28499" s="6">
        <v>9890</v>
      </c>
      <c r="D28499" s="7">
        <v>0.53</v>
      </c>
      <c r="E28499" t="s">
        <v>56</v>
      </c>
    </row>
    <row r="28500" spans="1:5" x14ac:dyDescent="0.25">
      <c r="A28500" t="str">
        <f>HYPERLINK("https://www.773grp.com/globalSearch/MC14052BCP/page-1", "MC14052BCP")</f>
        <v>MC14052BCP</v>
      </c>
      <c r="B28500" s="3" t="str">
        <f>HYPERLINK("https://www.773grp.com/manufacturer/onsemi?pageNo=694", "ON Semiconductor")</f>
        <v>ON Semiconductor</v>
      </c>
      <c r="C28500" s="6">
        <v>6354</v>
      </c>
      <c r="D28500" s="7">
        <v>0.53</v>
      </c>
      <c r="E28500" t="s">
        <v>56</v>
      </c>
    </row>
    <row r="28501" spans="1:5" x14ac:dyDescent="0.25">
      <c r="A28501" t="str">
        <f>HYPERLINK("https://www.773grp.com/globalSearch/MC14052BD/page-1", "MC14052BD")</f>
        <v>MC14052BD</v>
      </c>
      <c r="B28501" s="3" t="str">
        <f>HYPERLINK("https://www.773grp.com/manufacturer/onsemi?pageNo=695", "ON Semiconductor")</f>
        <v>ON Semiconductor</v>
      </c>
      <c r="C28501" s="6">
        <v>2726</v>
      </c>
      <c r="D28501" s="7">
        <v>0.53</v>
      </c>
      <c r="E28501" t="s">
        <v>56</v>
      </c>
    </row>
    <row r="28502" spans="1:5" x14ac:dyDescent="0.25">
      <c r="A28502" t="str">
        <f>HYPERLINK("https://www.773grp.com/globalSearch/MC14052BF/page-1", "MC14052BF")</f>
        <v>MC14052BF</v>
      </c>
      <c r="B28502" s="3" t="str">
        <f>HYPERLINK("https://www.773grp.com/manufacturer/onsemi?pageNo=696", "ON Semiconductor")</f>
        <v>ON Semiconductor</v>
      </c>
      <c r="C28502" s="6">
        <v>1801</v>
      </c>
      <c r="D28502" s="7">
        <v>0.53</v>
      </c>
      <c r="E28502" t="s">
        <v>56</v>
      </c>
    </row>
    <row r="28503" spans="1:5" x14ac:dyDescent="0.25">
      <c r="A28503" t="str">
        <f>HYPERLINK("https://www.773grp.com/globalSearch/MC14052BFEL/page-1", "MC14052BFEL")</f>
        <v>MC14052BFEL</v>
      </c>
      <c r="B28503" s="3" t="str">
        <f>HYPERLINK("https://www.773grp.com/manufacturer/onsemi?pageNo=697", "ON Semiconductor")</f>
        <v>ON Semiconductor</v>
      </c>
      <c r="C28503" s="6">
        <v>97955</v>
      </c>
      <c r="D28503" s="7">
        <v>0.53</v>
      </c>
      <c r="E28503" t="s">
        <v>56</v>
      </c>
    </row>
    <row r="28504" spans="1:5" x14ac:dyDescent="0.25">
      <c r="A28504" t="str">
        <f>HYPERLINK("https://www.773grp.com/globalSearch/MC14053BD/page-1", "MC14053BD")</f>
        <v>MC14053BD</v>
      </c>
      <c r="B28504" s="3" t="str">
        <f>HYPERLINK("https://www.773grp.com/manufacturer/onsemi?pageNo=698", "ON Semiconductor")</f>
        <v>ON Semiconductor</v>
      </c>
      <c r="C28504" s="6">
        <v>88</v>
      </c>
      <c r="D28504" s="7">
        <v>0.53</v>
      </c>
      <c r="E28504" t="s">
        <v>56</v>
      </c>
    </row>
    <row r="28505" spans="1:5" x14ac:dyDescent="0.25">
      <c r="A28505" t="str">
        <f>HYPERLINK("https://www.773grp.com/globalSearch/MC14053BDTR2/page-1", "MC14053BDTR2")</f>
        <v>MC14053BDTR2</v>
      </c>
      <c r="B28505" s="3" t="str">
        <f>HYPERLINK("https://www.773grp.com/manufacturer/onsemi?pageNo=699", "ON Semiconductor")</f>
        <v>ON Semiconductor</v>
      </c>
      <c r="C28505" s="6">
        <v>2500</v>
      </c>
      <c r="D28505" s="7">
        <v>0.53</v>
      </c>
      <c r="E28505" t="s">
        <v>56</v>
      </c>
    </row>
    <row r="28506" spans="1:5" x14ac:dyDescent="0.25">
      <c r="A28506" t="str">
        <f>HYPERLINK("https://www.773grp.com/globalSearch/MC14053BFEL/page-1", "MC14053BFEL")</f>
        <v>MC14053BFEL</v>
      </c>
      <c r="B28506" s="3" t="str">
        <f>HYPERLINK("https://www.773grp.com/manufacturer/onsemi?pageNo=700", "ON Semiconductor")</f>
        <v>ON Semiconductor</v>
      </c>
      <c r="C28506" s="6">
        <v>17568</v>
      </c>
      <c r="D28506" s="7">
        <v>0.53</v>
      </c>
      <c r="E28506" t="s">
        <v>56</v>
      </c>
    </row>
    <row r="28507" spans="1:5" x14ac:dyDescent="0.25">
      <c r="A28507" t="str">
        <f>HYPERLINK("https://www.773grp.com/globalSearch/MC14053BFL1/page-1", "MC14053BFL1")</f>
        <v>MC14053BFL1</v>
      </c>
      <c r="B28507" s="3" t="str">
        <f>HYPERLINK("https://www.773grp.com/manufacturer/onsemi?pageNo=701", "ON Semiconductor")</f>
        <v>ON Semiconductor</v>
      </c>
      <c r="C28507" s="6">
        <v>141000</v>
      </c>
      <c r="D28507" s="7">
        <v>0.53</v>
      </c>
    </row>
    <row r="28508" spans="1:5" x14ac:dyDescent="0.25">
      <c r="A28508" t="str">
        <f>HYPERLINK("https://www.773grp.com/globalSearch/MC14053BFR1/page-1", "MC14053BFR1")</f>
        <v>MC14053BFR1</v>
      </c>
      <c r="B28508" s="3" t="str">
        <f>HYPERLINK("https://www.773grp.com/manufacturer/onsemi?pageNo=702", "ON Semiconductor")</f>
        <v>ON Semiconductor</v>
      </c>
      <c r="C28508" s="6">
        <v>60000</v>
      </c>
      <c r="D28508" s="7">
        <v>0.53</v>
      </c>
      <c r="E28508" t="s">
        <v>56</v>
      </c>
    </row>
    <row r="28509" spans="1:5" x14ac:dyDescent="0.25">
      <c r="A28509" t="str">
        <f>HYPERLINK("https://www.773grp.com/globalSearch/MC14069UBFEL/page-1", "MC14069UBFEL")</f>
        <v>MC14069UBFEL</v>
      </c>
      <c r="B28509" s="3" t="str">
        <f>HYPERLINK("https://www.773grp.com/manufacturer/onsemi?pageNo=703", "ON Semiconductor")</f>
        <v>ON Semiconductor</v>
      </c>
      <c r="C28509" s="6">
        <v>46000</v>
      </c>
      <c r="D28509" s="7">
        <v>0.53</v>
      </c>
      <c r="E28509" t="s">
        <v>31</v>
      </c>
    </row>
    <row r="28510" spans="1:5" x14ac:dyDescent="0.25">
      <c r="A28510" t="str">
        <f>HYPERLINK("https://www.773grp.com/globalSearch/MC14072BD/page-1", "MC14072BD")</f>
        <v>MC14072BD</v>
      </c>
      <c r="B28510" s="3" t="str">
        <f>HYPERLINK("https://www.773grp.com/manufacturer/onsemi?pageNo=704", "ON Semiconductor")</f>
        <v>ON Semiconductor</v>
      </c>
      <c r="C28510" s="6">
        <v>8998</v>
      </c>
      <c r="D28510" s="7">
        <v>0.53</v>
      </c>
      <c r="E28510" t="s">
        <v>31</v>
      </c>
    </row>
    <row r="28511" spans="1:5" x14ac:dyDescent="0.25">
      <c r="A28511" t="str">
        <f>HYPERLINK("https://www.773grp.com/globalSearch/MC14077BFEL/page-1", "MC14077BFEL")</f>
        <v>MC14077BFEL</v>
      </c>
      <c r="B28511" s="3" t="str">
        <f>HYPERLINK("https://www.773grp.com/manufacturer/onsemi?pageNo=705", "ON Semiconductor")</f>
        <v>ON Semiconductor</v>
      </c>
      <c r="C28511" s="6">
        <v>3150</v>
      </c>
      <c r="D28511" s="7">
        <v>0.53</v>
      </c>
      <c r="E28511" t="s">
        <v>31</v>
      </c>
    </row>
    <row r="28512" spans="1:5" x14ac:dyDescent="0.25">
      <c r="A28512" t="str">
        <f>HYPERLINK("https://www.773grp.com/globalSearch/MC14081BFEL/page-1", "MC14081BFEL")</f>
        <v>MC14081BFEL</v>
      </c>
      <c r="B28512" s="3" t="str">
        <f>HYPERLINK("https://www.773grp.com/manufacturer/onsemi?pageNo=706", "ON Semiconductor")</f>
        <v>ON Semiconductor</v>
      </c>
      <c r="C28512" s="6">
        <v>6000</v>
      </c>
      <c r="D28512" s="7">
        <v>0.53</v>
      </c>
      <c r="E28512" t="s">
        <v>31</v>
      </c>
    </row>
    <row r="28513" spans="1:5" x14ac:dyDescent="0.25">
      <c r="A28513" t="str">
        <f>HYPERLINK("https://www.773grp.com/globalSearch/MC14094BD/page-1", "MC14094BD")</f>
        <v>MC14094BD</v>
      </c>
      <c r="B28513" s="3" t="str">
        <f>HYPERLINK("https://www.773grp.com/manufacturer/onsemi?pageNo=707", "ON Semiconductor")</f>
        <v>ON Semiconductor</v>
      </c>
      <c r="C28513" s="6">
        <v>11546</v>
      </c>
      <c r="D28513" s="7">
        <v>0.53</v>
      </c>
      <c r="E28513" t="s">
        <v>32</v>
      </c>
    </row>
    <row r="28514" spans="1:5" x14ac:dyDescent="0.25">
      <c r="A28514" t="str">
        <f>HYPERLINK("https://www.773grp.com/globalSearch/MC14094BDR2/page-1", "MC14094BDR2")</f>
        <v>MC14094BDR2</v>
      </c>
      <c r="B28514" s="3" t="str">
        <f>HYPERLINK("https://www.773grp.com/manufacturer/onsemi?pageNo=708", "ON Semiconductor")</f>
        <v>ON Semiconductor</v>
      </c>
      <c r="C28514" s="6">
        <v>194817</v>
      </c>
      <c r="D28514" s="7">
        <v>0.53</v>
      </c>
      <c r="E28514" t="s">
        <v>32</v>
      </c>
    </row>
    <row r="28515" spans="1:5" x14ac:dyDescent="0.25">
      <c r="A28515" t="str">
        <f>HYPERLINK("https://www.773grp.com/globalSearch/MC14174BD/page-1", "MC14174BD")</f>
        <v>MC14174BD</v>
      </c>
      <c r="B28515" s="3" t="str">
        <f>HYPERLINK("https://www.773grp.com/manufacturer/onsemi?pageNo=709", "ON Semiconductor")</f>
        <v>ON Semiconductor</v>
      </c>
      <c r="C28515" s="6">
        <v>9622</v>
      </c>
      <c r="D28515" s="7">
        <v>0.53</v>
      </c>
      <c r="E28515" t="s">
        <v>35</v>
      </c>
    </row>
    <row r="28516" spans="1:5" x14ac:dyDescent="0.25">
      <c r="A28516" t="str">
        <f>HYPERLINK("https://www.773grp.com/globalSearch/MC14175BD/page-1", "MC14175BD")</f>
        <v>MC14175BD</v>
      </c>
      <c r="B28516" s="3" t="str">
        <f>HYPERLINK("https://www.773grp.com/manufacturer/onsemi?pageNo=710", "ON Semiconductor")</f>
        <v>ON Semiconductor</v>
      </c>
      <c r="C28516" s="6">
        <v>1896</v>
      </c>
      <c r="D28516" s="7">
        <v>0.53</v>
      </c>
      <c r="E28516" t="s">
        <v>35</v>
      </c>
    </row>
    <row r="28517" spans="1:5" x14ac:dyDescent="0.25">
      <c r="A28517" t="str">
        <f>HYPERLINK("https://www.773grp.com/globalSearch/MC14503BD/page-1", "MC14503BD")</f>
        <v>MC14503BD</v>
      </c>
      <c r="B28517" s="3" t="str">
        <f>HYPERLINK("https://www.773grp.com/manufacturer/onsemi?pageNo=711", "ON Semiconductor")</f>
        <v>ON Semiconductor</v>
      </c>
      <c r="C28517" s="6">
        <v>3087</v>
      </c>
      <c r="D28517" s="7">
        <v>0.53</v>
      </c>
      <c r="E28517" t="s">
        <v>14</v>
      </c>
    </row>
    <row r="28518" spans="1:5" x14ac:dyDescent="0.25">
      <c r="A28518" t="str">
        <f>HYPERLINK("https://www.773grp.com/globalSearch/MC14503BDR2/page-1", "MC14503BDR2")</f>
        <v>MC14503BDR2</v>
      </c>
      <c r="B28518" s="3" t="str">
        <f>HYPERLINK("https://www.773grp.com/manufacturer/onsemi?pageNo=712", "ON Semiconductor")</f>
        <v>ON Semiconductor</v>
      </c>
      <c r="C28518" s="6">
        <v>6476</v>
      </c>
      <c r="D28518" s="7">
        <v>0.53</v>
      </c>
      <c r="E28518" t="s">
        <v>14</v>
      </c>
    </row>
    <row r="28519" spans="1:5" x14ac:dyDescent="0.25">
      <c r="A28519" t="str">
        <f>HYPERLINK("https://www.773grp.com/globalSearch/MC14511BD/page-1", "MC14511BD")</f>
        <v>MC14511BD</v>
      </c>
      <c r="B28519" s="3" t="str">
        <f>HYPERLINK("https://www.773grp.com/manufacturer/onsemi?pageNo=713", "ON Semiconductor")</f>
        <v>ON Semiconductor</v>
      </c>
      <c r="C28519" s="6">
        <v>636</v>
      </c>
      <c r="D28519" s="7">
        <v>0.53</v>
      </c>
      <c r="E28519" t="s">
        <v>36</v>
      </c>
    </row>
    <row r="28520" spans="1:5" x14ac:dyDescent="0.25">
      <c r="A28520" t="str">
        <f>HYPERLINK("https://www.773grp.com/globalSearch/MC14543BD/page-1", "MC14543BD")</f>
        <v>MC14543BD</v>
      </c>
      <c r="B28520" s="3" t="str">
        <f>HYPERLINK("https://www.773grp.com/manufacturer/onsemi?pageNo=714", "ON Semiconductor")</f>
        <v>ON Semiconductor</v>
      </c>
      <c r="C28520" s="6">
        <v>240</v>
      </c>
      <c r="D28520" s="7">
        <v>0.53</v>
      </c>
      <c r="E28520" t="s">
        <v>36</v>
      </c>
    </row>
    <row r="28521" spans="1:5" x14ac:dyDescent="0.25">
      <c r="A28521" t="str">
        <f>HYPERLINK("https://www.773grp.com/globalSearch/MC14543BDR2/page-1", "MC14543BDR2")</f>
        <v>MC14543BDR2</v>
      </c>
      <c r="B28521" s="3" t="str">
        <f>HYPERLINK("https://www.773grp.com/manufacturer/onsemi?pageNo=715", "ON Semiconductor")</f>
        <v>ON Semiconductor</v>
      </c>
      <c r="C28521" s="6">
        <v>12500</v>
      </c>
      <c r="D28521" s="7">
        <v>0.53</v>
      </c>
      <c r="E28521" t="s">
        <v>36</v>
      </c>
    </row>
    <row r="28522" spans="1:5" x14ac:dyDescent="0.25">
      <c r="A28522" t="str">
        <f>HYPERLINK("https://www.773grp.com/globalSearch/MC1455D/page-1", "MC1455D")</f>
        <v>MC1455D</v>
      </c>
      <c r="B28522" s="3" t="str">
        <f>HYPERLINK("https://www.773grp.com/manufacturer/onsemi?pageNo=716", "ON Semiconductor")</f>
        <v>ON Semiconductor</v>
      </c>
      <c r="C28522" s="6">
        <v>146</v>
      </c>
      <c r="D28522" s="7">
        <v>0.53</v>
      </c>
      <c r="E28522" t="s">
        <v>29</v>
      </c>
    </row>
    <row r="28523" spans="1:5" x14ac:dyDescent="0.25">
      <c r="A28523" t="str">
        <f>HYPERLINK("https://www.773grp.com/globalSearch/MC1741CD/page-1", "MC1741CD")</f>
        <v>MC1741CD</v>
      </c>
      <c r="B28523" s="3" t="str">
        <f>HYPERLINK("https://www.773grp.com/manufacturer/onsemi?pageNo=717", "ON Semiconductor")</f>
        <v>ON Semiconductor</v>
      </c>
      <c r="C28523" s="6">
        <v>12740</v>
      </c>
      <c r="D28523" s="7">
        <v>0.53</v>
      </c>
      <c r="E28523" t="s">
        <v>13</v>
      </c>
    </row>
    <row r="28524" spans="1:5" x14ac:dyDescent="0.25">
      <c r="A28524" t="str">
        <f>HYPERLINK("https://www.773grp.com/globalSearch/MC1741CP1/page-1", "MC1741CP1")</f>
        <v>MC1741CP1</v>
      </c>
      <c r="B28524" s="3" t="str">
        <f>HYPERLINK("https://www.773grp.com/manufacturer/onsemi?pageNo=718", "ON Semiconductor")</f>
        <v>ON Semiconductor</v>
      </c>
      <c r="C28524" s="6">
        <v>17</v>
      </c>
      <c r="D28524" s="7">
        <v>0.53</v>
      </c>
      <c r="E28524" t="s">
        <v>13</v>
      </c>
    </row>
    <row r="28525" spans="1:5" x14ac:dyDescent="0.25">
      <c r="A28525" t="str">
        <f>HYPERLINK("https://www.773grp.com/globalSearch/MC33263NW-38R2/page-1", "MC33263NW-38R2")</f>
        <v>MC33263NW-38R2</v>
      </c>
      <c r="B28525" s="3" t="str">
        <f>HYPERLINK("https://www.773grp.com/manufacturer/onsemi?pageNo=719", "ON Semiconductor")</f>
        <v>ON Semiconductor</v>
      </c>
      <c r="C28525" s="6">
        <v>4000</v>
      </c>
      <c r="D28525" s="7">
        <v>0.53</v>
      </c>
      <c r="E28525" t="s">
        <v>19</v>
      </c>
    </row>
    <row r="28526" spans="1:5" x14ac:dyDescent="0.25">
      <c r="A28526" t="str">
        <f>HYPERLINK("https://www.773grp.com/globalSearch/MC33761SNT1-025/page-1", "MC33761SNT1-025")</f>
        <v>MC33761SNT1-025</v>
      </c>
      <c r="B28526" s="3" t="str">
        <f>HYPERLINK("https://www.773grp.com/manufacturer/onsemi?pageNo=720", "ON Semiconductor")</f>
        <v>ON Semiconductor</v>
      </c>
      <c r="C28526" s="6">
        <v>2326</v>
      </c>
      <c r="D28526" s="7">
        <v>0.53</v>
      </c>
      <c r="E28526" t="s">
        <v>19</v>
      </c>
    </row>
    <row r="28527" spans="1:5" x14ac:dyDescent="0.25">
      <c r="A28527" t="str">
        <f>HYPERLINK("https://www.773grp.com/globalSearch/MC33761SNT1-028/page-1", "MC33761SNT1-028")</f>
        <v>MC33761SNT1-028</v>
      </c>
      <c r="B28527" s="3" t="str">
        <f>HYPERLINK("https://www.773grp.com/manufacturer/onsemi?pageNo=721", "ON Semiconductor")</f>
        <v>ON Semiconductor</v>
      </c>
      <c r="C28527" s="6">
        <v>3084</v>
      </c>
      <c r="D28527" s="7">
        <v>0.53</v>
      </c>
      <c r="E28527" t="s">
        <v>19</v>
      </c>
    </row>
    <row r="28528" spans="1:5" x14ac:dyDescent="0.25">
      <c r="A28528" t="str">
        <f>HYPERLINK("https://www.773grp.com/globalSearch/MC33761SNT1-029/page-1", "MC33761SNT1-029")</f>
        <v>MC33761SNT1-029</v>
      </c>
      <c r="B28528" s="3" t="str">
        <f>HYPERLINK("https://www.773grp.com/manufacturer/onsemi?pageNo=722", "ON Semiconductor")</f>
        <v>ON Semiconductor</v>
      </c>
      <c r="C28528" s="6">
        <v>5844</v>
      </c>
      <c r="D28528" s="7">
        <v>0.53</v>
      </c>
      <c r="E28528" t="s">
        <v>19</v>
      </c>
    </row>
    <row r="28529" spans="1:5" x14ac:dyDescent="0.25">
      <c r="A28529" t="str">
        <f>HYPERLINK("https://www.773grp.com/globalSearch/MC33761SNT1-030/page-1", "MC33761SNT1-030")</f>
        <v>MC33761SNT1-030</v>
      </c>
      <c r="B28529" s="3" t="str">
        <f>HYPERLINK("https://www.773grp.com/manufacturer/onsemi?pageNo=723", "ON Semiconductor")</f>
        <v>ON Semiconductor</v>
      </c>
      <c r="C28529" s="6">
        <v>6000</v>
      </c>
      <c r="D28529" s="7">
        <v>0.53</v>
      </c>
      <c r="E28529" t="s">
        <v>19</v>
      </c>
    </row>
    <row r="28530" spans="1:5" x14ac:dyDescent="0.25">
      <c r="A28530" t="str">
        <f>HYPERLINK("https://www.773grp.com/globalSearch/MC33761SNT1-050/page-1", "MC33761SNT1-050")</f>
        <v>MC33761SNT1-050</v>
      </c>
      <c r="B28530" s="3" t="str">
        <f>HYPERLINK("https://www.773grp.com/manufacturer/onsemi?pageNo=724", "ON Semiconductor")</f>
        <v>ON Semiconductor</v>
      </c>
      <c r="C28530" s="6">
        <v>8799</v>
      </c>
      <c r="D28530" s="7">
        <v>0.53</v>
      </c>
      <c r="E28530" t="s">
        <v>19</v>
      </c>
    </row>
    <row r="28531" spans="1:5" x14ac:dyDescent="0.25">
      <c r="A28531" t="str">
        <f>HYPERLINK("https://www.773grp.com/globalSearch/MC74AC125DT/page-1", "MC74AC125DT")</f>
        <v>MC74AC125DT</v>
      </c>
      <c r="B28531" s="3" t="str">
        <f>HYPERLINK("https://www.773grp.com/manufacturer/onsemi?pageNo=725", "ON Semiconductor")</f>
        <v>ON Semiconductor</v>
      </c>
      <c r="C28531" s="6">
        <v>3264</v>
      </c>
      <c r="D28531" s="7">
        <v>0.53</v>
      </c>
      <c r="E28531" t="s">
        <v>14</v>
      </c>
    </row>
    <row r="28532" spans="1:5" x14ac:dyDescent="0.25">
      <c r="A28532" t="str">
        <f>HYPERLINK("https://www.773grp.com/globalSearch/MC74AC138D/page-1", "MC74AC138D")</f>
        <v>MC74AC138D</v>
      </c>
      <c r="B28532" s="3" t="str">
        <f>HYPERLINK("https://www.773grp.com/manufacturer/onsemi?pageNo=726", "ON Semiconductor")</f>
        <v>ON Semiconductor</v>
      </c>
      <c r="C28532" s="6">
        <v>7056</v>
      </c>
      <c r="D28532" s="7">
        <v>0.53</v>
      </c>
      <c r="E28532" t="s">
        <v>36</v>
      </c>
    </row>
    <row r="28533" spans="1:5" x14ac:dyDescent="0.25">
      <c r="A28533" t="str">
        <f>HYPERLINK("https://www.773grp.com/globalSearch/MC74AC138DR2/page-1", "MC74AC138DR2")</f>
        <v>MC74AC138DR2</v>
      </c>
      <c r="B28533" s="3" t="str">
        <f>HYPERLINK("https://www.773grp.com/manufacturer/onsemi?pageNo=727", "ON Semiconductor")</f>
        <v>ON Semiconductor</v>
      </c>
      <c r="C28533" s="6">
        <v>22500</v>
      </c>
      <c r="D28533" s="7">
        <v>0.53</v>
      </c>
      <c r="E28533" t="s">
        <v>36</v>
      </c>
    </row>
    <row r="28534" spans="1:5" x14ac:dyDescent="0.25">
      <c r="A28534" t="str">
        <f>HYPERLINK("https://www.773grp.com/globalSearch/MC74AC138DTR2/page-1", "MC74AC138DTR2")</f>
        <v>MC74AC138DTR2</v>
      </c>
      <c r="B28534" s="3" t="str">
        <f>HYPERLINK("https://www.773grp.com/manufacturer/onsemi?pageNo=728", "ON Semiconductor")</f>
        <v>ON Semiconductor</v>
      </c>
      <c r="C28534" s="6">
        <v>2500</v>
      </c>
      <c r="D28534" s="7">
        <v>0.53</v>
      </c>
      <c r="E28534" t="s">
        <v>36</v>
      </c>
    </row>
    <row r="28535" spans="1:5" x14ac:dyDescent="0.25">
      <c r="A28535" t="str">
        <f>HYPERLINK("https://www.773grp.com/globalSearch/MC74AC138N/page-1", "MC74AC138N")</f>
        <v>MC74AC138N</v>
      </c>
      <c r="B28535" s="3" t="str">
        <f>HYPERLINK("https://www.773grp.com/manufacturer/onsemi?pageNo=729", "ON Semiconductor")</f>
        <v>ON Semiconductor</v>
      </c>
      <c r="C28535" s="6">
        <v>5029</v>
      </c>
      <c r="D28535" s="7">
        <v>0.53</v>
      </c>
      <c r="E28535" t="s">
        <v>36</v>
      </c>
    </row>
    <row r="28536" spans="1:5" x14ac:dyDescent="0.25">
      <c r="A28536" t="str">
        <f>HYPERLINK("https://www.773grp.com/globalSearch/MC74AC139D/page-1", "MC74AC139D")</f>
        <v>MC74AC139D</v>
      </c>
      <c r="B28536" s="3" t="str">
        <f>HYPERLINK("https://www.773grp.com/manufacturer/onsemi?pageNo=730", "ON Semiconductor")</f>
        <v>ON Semiconductor</v>
      </c>
      <c r="C28536" s="6">
        <v>1382</v>
      </c>
      <c r="D28536" s="7">
        <v>0.53</v>
      </c>
      <c r="E28536" t="s">
        <v>36</v>
      </c>
    </row>
    <row r="28537" spans="1:5" x14ac:dyDescent="0.25">
      <c r="A28537" t="str">
        <f>HYPERLINK("https://www.773grp.com/globalSearch/MC74AC139DTR2/page-1", "MC74AC139DTR2")</f>
        <v>MC74AC139DTR2</v>
      </c>
      <c r="B28537" s="3" t="str">
        <f>HYPERLINK("https://www.773grp.com/manufacturer/onsemi?pageNo=731", "ON Semiconductor")</f>
        <v>ON Semiconductor</v>
      </c>
      <c r="C28537" s="6">
        <v>4000</v>
      </c>
      <c r="D28537" s="7">
        <v>0.53</v>
      </c>
      <c r="E28537" t="s">
        <v>36</v>
      </c>
    </row>
    <row r="28538" spans="1:5" x14ac:dyDescent="0.25">
      <c r="A28538" t="str">
        <f>HYPERLINK("https://www.773grp.com/globalSearch/MC74AC139MEL/page-1", "MC74AC139MEL")</f>
        <v>MC74AC139MEL</v>
      </c>
      <c r="B28538" s="3" t="str">
        <f>HYPERLINK("https://www.773grp.com/manufacturer/onsemi?pageNo=732", "ON Semiconductor")</f>
        <v>ON Semiconductor</v>
      </c>
      <c r="C28538" s="6">
        <v>1000</v>
      </c>
      <c r="D28538" s="7">
        <v>0.53</v>
      </c>
      <c r="E28538" t="s">
        <v>36</v>
      </c>
    </row>
    <row r="28539" spans="1:5" x14ac:dyDescent="0.25">
      <c r="A28539" t="str">
        <f>HYPERLINK("https://www.773grp.com/globalSearch/MC74AC14L1/page-1", "MC74AC14L1")</f>
        <v>MC74AC14L1</v>
      </c>
      <c r="B28539" s="3" t="str">
        <f>HYPERLINK("https://www.773grp.com/manufacturer/onsemi?pageNo=733", "ON Semiconductor")</f>
        <v>ON Semiconductor</v>
      </c>
      <c r="C28539" s="6">
        <v>1000</v>
      </c>
      <c r="D28539" s="7">
        <v>0.53</v>
      </c>
    </row>
    <row r="28540" spans="1:5" x14ac:dyDescent="0.25">
      <c r="A28540" t="str">
        <f>HYPERLINK("https://www.773grp.com/globalSearch/MC74AC14M/page-1", "MC74AC14M")</f>
        <v>MC74AC14M</v>
      </c>
      <c r="B28540" s="3" t="str">
        <f>HYPERLINK("https://www.773grp.com/manufacturer/onsemi?pageNo=734", "ON Semiconductor")</f>
        <v>ON Semiconductor</v>
      </c>
      <c r="C28540" s="6">
        <v>6538</v>
      </c>
      <c r="D28540" s="7">
        <v>0.53</v>
      </c>
      <c r="E28540" t="s">
        <v>31</v>
      </c>
    </row>
    <row r="28541" spans="1:5" x14ac:dyDescent="0.25">
      <c r="A28541" t="str">
        <f>HYPERLINK("https://www.773grp.com/globalSearch/MC74AC157D/page-1", "MC74AC157D")</f>
        <v>MC74AC157D</v>
      </c>
      <c r="B28541" s="3" t="str">
        <f>HYPERLINK("https://www.773grp.com/manufacturer/onsemi?pageNo=735", "ON Semiconductor")</f>
        <v>ON Semiconductor</v>
      </c>
      <c r="C28541" s="6">
        <v>700</v>
      </c>
      <c r="D28541" s="7">
        <v>0.53</v>
      </c>
      <c r="E28541" t="s">
        <v>20</v>
      </c>
    </row>
    <row r="28542" spans="1:5" x14ac:dyDescent="0.25">
      <c r="A28542" t="str">
        <f>HYPERLINK("https://www.773grp.com/globalSearch/MC74AC157DR2/page-1", "MC74AC157DR2")</f>
        <v>MC74AC157DR2</v>
      </c>
      <c r="B28542" s="3" t="str">
        <f>HYPERLINK("https://www.773grp.com/manufacturer/onsemi?pageNo=736", "ON Semiconductor")</f>
        <v>ON Semiconductor</v>
      </c>
      <c r="C28542" s="6">
        <v>2500</v>
      </c>
      <c r="D28542" s="7">
        <v>0.53</v>
      </c>
      <c r="E28542" t="s">
        <v>20</v>
      </c>
    </row>
    <row r="28543" spans="1:5" x14ac:dyDescent="0.25">
      <c r="A28543" t="str">
        <f>HYPERLINK("https://www.773grp.com/globalSearch/MC74AC157DTR2/page-1", "MC74AC157DTR2")</f>
        <v>MC74AC157DTR2</v>
      </c>
      <c r="B28543" s="3" t="str">
        <f>HYPERLINK("https://www.773grp.com/manufacturer/onsemi?pageNo=737", "ON Semiconductor")</f>
        <v>ON Semiconductor</v>
      </c>
      <c r="C28543" s="6">
        <v>15000</v>
      </c>
      <c r="D28543" s="7">
        <v>0.53</v>
      </c>
      <c r="E28543" t="s">
        <v>20</v>
      </c>
    </row>
    <row r="28544" spans="1:5" x14ac:dyDescent="0.25">
      <c r="A28544" t="str">
        <f>HYPERLINK("https://www.773grp.com/globalSearch/MC74AC161N/page-1", "MC74AC161N")</f>
        <v>MC74AC161N</v>
      </c>
      <c r="B28544" s="3" t="str">
        <f>HYPERLINK("https://www.773grp.com/manufacturer/onsemi?pageNo=738", "ON Semiconductor")</f>
        <v>ON Semiconductor</v>
      </c>
      <c r="C28544" s="6">
        <v>2369</v>
      </c>
      <c r="D28544" s="7">
        <v>0.53</v>
      </c>
      <c r="E28544" t="s">
        <v>26</v>
      </c>
    </row>
    <row r="28545" spans="1:5" x14ac:dyDescent="0.25">
      <c r="A28545" t="str">
        <f>HYPERLINK("https://www.773grp.com/globalSearch/MC74AC163MEL/page-1", "MC74AC163MEL")</f>
        <v>MC74AC163MEL</v>
      </c>
      <c r="B28545" s="3" t="str">
        <f>HYPERLINK("https://www.773grp.com/manufacturer/onsemi?pageNo=739", "ON Semiconductor")</f>
        <v>ON Semiconductor</v>
      </c>
      <c r="C28545" s="6">
        <v>84000</v>
      </c>
      <c r="D28545" s="7">
        <v>0.53</v>
      </c>
      <c r="E28545" t="s">
        <v>26</v>
      </c>
    </row>
    <row r="28546" spans="1:5" x14ac:dyDescent="0.25">
      <c r="A28546" t="str">
        <f>HYPERLINK("https://www.773grp.com/globalSearch/MC74AC163MELG/page-1", "MC74AC163MELG")</f>
        <v>MC74AC163MELG</v>
      </c>
      <c r="B28546" s="3" t="str">
        <f>HYPERLINK("https://www.773grp.com/manufacturer/onsemi?pageNo=740", "ON Semiconductor")</f>
        <v>ON Semiconductor</v>
      </c>
      <c r="C28546" s="6">
        <v>1773</v>
      </c>
      <c r="D28546" s="7">
        <v>0.53</v>
      </c>
      <c r="E28546" t="s">
        <v>26</v>
      </c>
    </row>
    <row r="28547" spans="1:5" x14ac:dyDescent="0.25">
      <c r="A28547" t="str">
        <f>HYPERLINK("https://www.773grp.com/globalSearch/MC74AC163N/page-1", "MC74AC163N")</f>
        <v>MC74AC163N</v>
      </c>
      <c r="B28547" s="3" t="str">
        <f>HYPERLINK("https://www.773grp.com/manufacturer/onsemi?pageNo=741", "ON Semiconductor")</f>
        <v>ON Semiconductor</v>
      </c>
      <c r="C28547" s="6">
        <v>2700</v>
      </c>
      <c r="D28547" s="7">
        <v>0.53</v>
      </c>
      <c r="E28547" t="s">
        <v>26</v>
      </c>
    </row>
    <row r="28548" spans="1:5" x14ac:dyDescent="0.25">
      <c r="A28548" t="str">
        <f>HYPERLINK("https://www.773grp.com/globalSearch/MC74AC240MEL/page-1", "MC74AC240MEL")</f>
        <v>MC74AC240MEL</v>
      </c>
      <c r="B28548" s="3" t="str">
        <f>HYPERLINK("https://www.773grp.com/manufacturer/onsemi?pageNo=742", "ON Semiconductor")</f>
        <v>ON Semiconductor</v>
      </c>
      <c r="C28548" s="6">
        <v>15863</v>
      </c>
      <c r="D28548" s="7">
        <v>0.53</v>
      </c>
      <c r="E28548" t="s">
        <v>14</v>
      </c>
    </row>
    <row r="28549" spans="1:5" x14ac:dyDescent="0.25">
      <c r="A28549" t="str">
        <f>HYPERLINK("https://www.773grp.com/globalSearch/MC74AC244MEL/page-1", "MC74AC244MEL")</f>
        <v>MC74AC244MEL</v>
      </c>
      <c r="B28549" s="3" t="str">
        <f>HYPERLINK("https://www.773grp.com/manufacturer/onsemi?pageNo=743", "ON Semiconductor")</f>
        <v>ON Semiconductor</v>
      </c>
      <c r="C28549" s="6">
        <v>1592</v>
      </c>
      <c r="D28549" s="7">
        <v>0.53</v>
      </c>
      <c r="E28549" t="s">
        <v>14</v>
      </c>
    </row>
    <row r="28550" spans="1:5" x14ac:dyDescent="0.25">
      <c r="A28550" t="str">
        <f>HYPERLINK("https://www.773grp.com/globalSearch/MC74AC374MEL/page-1", "MC74AC374MEL")</f>
        <v>MC74AC374MEL</v>
      </c>
      <c r="B28550" s="3" t="str">
        <f>HYPERLINK("https://www.773grp.com/manufacturer/onsemi?pageNo=744", "ON Semiconductor")</f>
        <v>ON Semiconductor</v>
      </c>
      <c r="C28550" s="6">
        <v>9000</v>
      </c>
      <c r="D28550" s="7">
        <v>0.53</v>
      </c>
      <c r="E28550" t="s">
        <v>14</v>
      </c>
    </row>
    <row r="28551" spans="1:5" x14ac:dyDescent="0.25">
      <c r="A28551" t="str">
        <f>HYPERLINK("https://www.773grp.com/globalSearch/MC74AC540DW/page-1", "MC74AC540DW")</f>
        <v>MC74AC540DW</v>
      </c>
      <c r="B28551" s="3" t="str">
        <f>HYPERLINK("https://www.773grp.com/manufacturer/onsemi?pageNo=745", "ON Semiconductor")</f>
        <v>ON Semiconductor</v>
      </c>
      <c r="C28551" s="6">
        <v>30</v>
      </c>
      <c r="D28551" s="7">
        <v>0.53</v>
      </c>
      <c r="E28551" t="s">
        <v>14</v>
      </c>
    </row>
    <row r="28552" spans="1:5" x14ac:dyDescent="0.25">
      <c r="A28552" t="str">
        <f>HYPERLINK("https://www.773grp.com/globalSearch/MC74AC541DT/page-1", "MC74AC541DT")</f>
        <v>MC74AC541DT</v>
      </c>
      <c r="B28552" s="3" t="str">
        <f>HYPERLINK("https://www.773grp.com/manufacturer/onsemi?pageNo=746", "ON Semiconductor")</f>
        <v>ON Semiconductor</v>
      </c>
      <c r="C28552" s="6">
        <v>7950</v>
      </c>
      <c r="D28552" s="7">
        <v>0.53</v>
      </c>
      <c r="E28552" t="s">
        <v>14</v>
      </c>
    </row>
    <row r="28553" spans="1:5" x14ac:dyDescent="0.25">
      <c r="A28553" t="str">
        <f>HYPERLINK("https://www.773grp.com/globalSearch/MC74AC541DTR2/page-1", "MC74AC541DTR2")</f>
        <v>MC74AC541DTR2</v>
      </c>
      <c r="B28553" s="3" t="str">
        <f>HYPERLINK("https://www.773grp.com/manufacturer/onsemi?pageNo=747", "ON Semiconductor")</f>
        <v>ON Semiconductor</v>
      </c>
      <c r="C28553" s="6">
        <v>95</v>
      </c>
      <c r="D28553" s="7">
        <v>0.53</v>
      </c>
      <c r="E28553" t="s">
        <v>14</v>
      </c>
    </row>
    <row r="28554" spans="1:5" x14ac:dyDescent="0.25">
      <c r="A28554" t="str">
        <f>HYPERLINK("https://www.773grp.com/globalSearch/MC74ACT138D/page-1", "MC74ACT138D")</f>
        <v>MC74ACT138D</v>
      </c>
      <c r="B28554" s="3" t="str">
        <f>HYPERLINK("https://www.773grp.com/manufacturer/onsemi?pageNo=748", "ON Semiconductor")</f>
        <v>ON Semiconductor</v>
      </c>
      <c r="C28554" s="6">
        <v>12167</v>
      </c>
      <c r="D28554" s="7">
        <v>0.53</v>
      </c>
      <c r="E28554" t="s">
        <v>36</v>
      </c>
    </row>
    <row r="28555" spans="1:5" x14ac:dyDescent="0.25">
      <c r="A28555" t="str">
        <f>HYPERLINK("https://www.773grp.com/globalSearch/MC74ACT138DR2/page-1", "MC74ACT138DR2")</f>
        <v>MC74ACT138DR2</v>
      </c>
      <c r="B28555" s="3" t="str">
        <f>HYPERLINK("https://www.773grp.com/manufacturer/onsemi?pageNo=749", "ON Semiconductor")</f>
        <v>ON Semiconductor</v>
      </c>
      <c r="C28555" s="6">
        <v>37002</v>
      </c>
      <c r="D28555" s="7">
        <v>0.53</v>
      </c>
      <c r="E28555" t="s">
        <v>36</v>
      </c>
    </row>
    <row r="28556" spans="1:5" x14ac:dyDescent="0.25">
      <c r="A28556" t="str">
        <f>HYPERLINK("https://www.773grp.com/globalSearch/MC74ACT138DT/page-1", "MC74ACT138DT")</f>
        <v>MC74ACT138DT</v>
      </c>
      <c r="B28556" s="3" t="str">
        <f>HYPERLINK("https://www.773grp.com/manufacturer/onsemi?pageNo=750", "ON Semiconductor")</f>
        <v>ON Semiconductor</v>
      </c>
      <c r="C28556" s="6">
        <v>51</v>
      </c>
      <c r="D28556" s="7">
        <v>0.53</v>
      </c>
      <c r="E28556" t="s">
        <v>36</v>
      </c>
    </row>
    <row r="28557" spans="1:5" x14ac:dyDescent="0.25">
      <c r="A28557" t="str">
        <f>HYPERLINK("https://www.773grp.com/globalSearch/MC74ACT139D/page-1", "MC74ACT139D")</f>
        <v>MC74ACT139D</v>
      </c>
      <c r="B28557" s="3" t="str">
        <f>HYPERLINK("https://www.773grp.com/manufacturer/onsemi?pageNo=751", "ON Semiconductor")</f>
        <v>ON Semiconductor</v>
      </c>
      <c r="C28557" s="6">
        <v>4252</v>
      </c>
      <c r="D28557" s="7">
        <v>0.53</v>
      </c>
      <c r="E28557" t="s">
        <v>36</v>
      </c>
    </row>
    <row r="28558" spans="1:5" x14ac:dyDescent="0.25">
      <c r="A28558" t="str">
        <f>HYPERLINK("https://www.773grp.com/globalSearch/MC74ACT139N/page-1", "MC74ACT139N")</f>
        <v>MC74ACT139N</v>
      </c>
      <c r="B28558" s="3" t="str">
        <f>HYPERLINK("https://www.773grp.com/manufacturer/onsemi?pageNo=752", "ON Semiconductor")</f>
        <v>ON Semiconductor</v>
      </c>
      <c r="C28558" s="6">
        <v>260</v>
      </c>
      <c r="D28558" s="7">
        <v>0.53</v>
      </c>
      <c r="E28558" t="s">
        <v>36</v>
      </c>
    </row>
    <row r="28559" spans="1:5" x14ac:dyDescent="0.25">
      <c r="A28559" t="str">
        <f>HYPERLINK("https://www.773grp.com/globalSearch/MC74ACT14DTEL/page-1", "MC74ACT14DTEL")</f>
        <v>MC74ACT14DTEL</v>
      </c>
      <c r="B28559" s="3" t="str">
        <f>HYPERLINK("https://www.773grp.com/manufacturer/onsemi?pageNo=753", "ON Semiconductor")</f>
        <v>ON Semiconductor</v>
      </c>
      <c r="C28559" s="6">
        <v>1159</v>
      </c>
      <c r="D28559" s="7">
        <v>0.53</v>
      </c>
    </row>
    <row r="28560" spans="1:5" x14ac:dyDescent="0.25">
      <c r="A28560" t="str">
        <f>HYPERLINK("https://www.773grp.com/globalSearch/MC74ACT14ML1/page-1", "MC74ACT14ML1")</f>
        <v>MC74ACT14ML1</v>
      </c>
      <c r="B28560" s="3" t="str">
        <f>HYPERLINK("https://www.773grp.com/manufacturer/onsemi?pageNo=754", "ON Semiconductor")</f>
        <v>ON Semiconductor</v>
      </c>
      <c r="C28560" s="6">
        <v>8000</v>
      </c>
      <c r="D28560" s="7">
        <v>0.53</v>
      </c>
    </row>
    <row r="28561" spans="1:5" x14ac:dyDescent="0.25">
      <c r="A28561" t="str">
        <f>HYPERLINK("https://www.773grp.com/globalSearch/MC74ACT14MR1/page-1", "MC74ACT14MR1")</f>
        <v>MC74ACT14MR1</v>
      </c>
      <c r="B28561" s="3" t="str">
        <f>HYPERLINK("https://www.773grp.com/manufacturer/onsemi?pageNo=755", "ON Semiconductor")</f>
        <v>ON Semiconductor</v>
      </c>
      <c r="C28561" s="6">
        <v>17000</v>
      </c>
      <c r="D28561" s="7">
        <v>0.53</v>
      </c>
      <c r="E28561" t="s">
        <v>31</v>
      </c>
    </row>
    <row r="28562" spans="1:5" x14ac:dyDescent="0.25">
      <c r="A28562" t="str">
        <f>HYPERLINK("https://www.773grp.com/globalSearch/MC74ACT153D/page-1", "MC74ACT153D")</f>
        <v>MC74ACT153D</v>
      </c>
      <c r="B28562" s="3" t="str">
        <f>HYPERLINK("https://www.773grp.com/manufacturer/onsemi?pageNo=756", "ON Semiconductor")</f>
        <v>ON Semiconductor</v>
      </c>
      <c r="C28562" s="6">
        <v>3736</v>
      </c>
      <c r="D28562" s="7">
        <v>0.53</v>
      </c>
      <c r="E28562" t="s">
        <v>20</v>
      </c>
    </row>
    <row r="28563" spans="1:5" x14ac:dyDescent="0.25">
      <c r="A28563" t="str">
        <f>HYPERLINK("https://www.773grp.com/globalSearch/MC74ACT153DR2/page-1", "MC74ACT153DR2")</f>
        <v>MC74ACT153DR2</v>
      </c>
      <c r="B28563" s="3" t="str">
        <f>HYPERLINK("https://www.773grp.com/manufacturer/onsemi?pageNo=757", "ON Semiconductor")</f>
        <v>ON Semiconductor</v>
      </c>
      <c r="C28563" s="6">
        <v>17500</v>
      </c>
      <c r="D28563" s="7">
        <v>0.53</v>
      </c>
      <c r="E28563" t="s">
        <v>20</v>
      </c>
    </row>
    <row r="28564" spans="1:5" x14ac:dyDescent="0.25">
      <c r="A28564" t="str">
        <f>HYPERLINK("https://www.773grp.com/globalSearch/MC74ACT157D/page-1", "MC74ACT157D")</f>
        <v>MC74ACT157D</v>
      </c>
      <c r="B28564" s="3" t="str">
        <f>HYPERLINK("https://www.773grp.com/manufacturer/onsemi?pageNo=758", "ON Semiconductor")</f>
        <v>ON Semiconductor</v>
      </c>
      <c r="C28564" s="6">
        <v>771</v>
      </c>
      <c r="D28564" s="7">
        <v>0.53</v>
      </c>
      <c r="E28564" t="s">
        <v>20</v>
      </c>
    </row>
    <row r="28565" spans="1:5" x14ac:dyDescent="0.25">
      <c r="A28565" t="str">
        <f>HYPERLINK("https://www.773grp.com/globalSearch/MC74ACT157DTR2/page-1", "MC74ACT157DTR2")</f>
        <v>MC74ACT157DTR2</v>
      </c>
      <c r="B28565" s="3" t="str">
        <f>HYPERLINK("https://www.773grp.com/manufacturer/onsemi?pageNo=759", "ON Semiconductor")</f>
        <v>ON Semiconductor</v>
      </c>
      <c r="C28565" s="6">
        <v>55000</v>
      </c>
      <c r="D28565" s="7">
        <v>0.53</v>
      </c>
      <c r="E28565" t="s">
        <v>20</v>
      </c>
    </row>
    <row r="28566" spans="1:5" x14ac:dyDescent="0.25">
      <c r="A28566" t="str">
        <f>HYPERLINK("https://www.773grp.com/globalSearch/MC74ACT157N/page-1", "MC74ACT157N")</f>
        <v>MC74ACT157N</v>
      </c>
      <c r="B28566" s="3" t="str">
        <f>HYPERLINK("https://www.773grp.com/manufacturer/onsemi?pageNo=760", "ON Semiconductor")</f>
        <v>ON Semiconductor</v>
      </c>
      <c r="C28566" s="6">
        <v>75</v>
      </c>
      <c r="D28566" s="7">
        <v>0.53</v>
      </c>
      <c r="E28566" t="s">
        <v>20</v>
      </c>
    </row>
    <row r="28567" spans="1:5" x14ac:dyDescent="0.25">
      <c r="A28567" t="str">
        <f>HYPERLINK("https://www.773grp.com/globalSearch/MC74ACT161N/page-1", "MC74ACT161N")</f>
        <v>MC74ACT161N</v>
      </c>
      <c r="B28567" s="3" t="str">
        <f>HYPERLINK("https://www.773grp.com/manufacturer/onsemi?pageNo=761", "ON Semiconductor")</f>
        <v>ON Semiconductor</v>
      </c>
      <c r="C28567" s="6">
        <v>2500</v>
      </c>
      <c r="D28567" s="7">
        <v>0.53</v>
      </c>
      <c r="E28567" t="s">
        <v>26</v>
      </c>
    </row>
    <row r="28568" spans="1:5" x14ac:dyDescent="0.25">
      <c r="A28568" t="str">
        <f>HYPERLINK("https://www.773grp.com/globalSearch/MC74ACT163MEL/page-1", "MC74ACT163MEL")</f>
        <v>MC74ACT163MEL</v>
      </c>
      <c r="B28568" s="3" t="str">
        <f>HYPERLINK("https://www.773grp.com/manufacturer/onsemi?pageNo=762", "ON Semiconductor")</f>
        <v>ON Semiconductor</v>
      </c>
      <c r="C28568" s="6">
        <v>16000</v>
      </c>
      <c r="D28568" s="7">
        <v>0.53</v>
      </c>
      <c r="E28568" t="s">
        <v>26</v>
      </c>
    </row>
    <row r="28569" spans="1:5" x14ac:dyDescent="0.25">
      <c r="A28569" t="str">
        <f>HYPERLINK("https://www.773grp.com/globalSearch/MC74ACT253D/page-1", "MC74ACT253D")</f>
        <v>MC74ACT253D</v>
      </c>
      <c r="B28569" s="3" t="str">
        <f>HYPERLINK("https://www.773grp.com/manufacturer/onsemi?pageNo=763", "ON Semiconductor")</f>
        <v>ON Semiconductor</v>
      </c>
      <c r="C28569" s="6">
        <v>13477</v>
      </c>
      <c r="D28569" s="7">
        <v>0.53</v>
      </c>
      <c r="E28569" t="s">
        <v>20</v>
      </c>
    </row>
    <row r="28570" spans="1:5" x14ac:dyDescent="0.25">
      <c r="A28570" t="str">
        <f>HYPERLINK("https://www.773grp.com/globalSearch/MC74ACT257D/page-1", "MC74ACT257D")</f>
        <v>MC74ACT257D</v>
      </c>
      <c r="B28570" s="3" t="str">
        <f>HYPERLINK("https://www.773grp.com/manufacturer/onsemi?pageNo=764", "ON Semiconductor")</f>
        <v>ON Semiconductor</v>
      </c>
      <c r="C28570" s="6">
        <v>4356</v>
      </c>
      <c r="D28570" s="7">
        <v>0.53</v>
      </c>
      <c r="E28570" t="s">
        <v>20</v>
      </c>
    </row>
    <row r="28571" spans="1:5" x14ac:dyDescent="0.25">
      <c r="A28571" t="str">
        <f>HYPERLINK("https://www.773grp.com/globalSearch/MC74ACT273M/page-1", "MC74ACT273M")</f>
        <v>MC74ACT273M</v>
      </c>
      <c r="B28571" s="3" t="str">
        <f>HYPERLINK("https://www.773grp.com/manufacturer/onsemi?pageNo=765", "ON Semiconductor")</f>
        <v>ON Semiconductor</v>
      </c>
      <c r="C28571" s="6">
        <v>105</v>
      </c>
      <c r="D28571" s="7">
        <v>0.53</v>
      </c>
      <c r="E28571" t="s">
        <v>35</v>
      </c>
    </row>
    <row r="28572" spans="1:5" x14ac:dyDescent="0.25">
      <c r="A28572" t="str">
        <f>HYPERLINK("https://www.773grp.com/globalSearch/MC74ACT377MEL/page-1", "MC74ACT377MEL")</f>
        <v>MC74ACT377MEL</v>
      </c>
      <c r="B28572" s="3" t="str">
        <f>HYPERLINK("https://www.773grp.com/manufacturer/onsemi?pageNo=766", "ON Semiconductor")</f>
        <v>ON Semiconductor</v>
      </c>
      <c r="C28572" s="6">
        <v>6000</v>
      </c>
      <c r="D28572" s="7">
        <v>0.53</v>
      </c>
      <c r="E28572" t="s">
        <v>35</v>
      </c>
    </row>
    <row r="28573" spans="1:5" x14ac:dyDescent="0.25">
      <c r="A28573" t="str">
        <f>HYPERLINK("https://www.773grp.com/globalSearch/MC74ACT540DW/page-1", "MC74ACT540DW")</f>
        <v>MC74ACT540DW</v>
      </c>
      <c r="B28573" s="3" t="str">
        <f>HYPERLINK("https://www.773grp.com/manufacturer/onsemi?pageNo=767", "ON Semiconductor")</f>
        <v>ON Semiconductor</v>
      </c>
      <c r="C28573" s="6">
        <v>28</v>
      </c>
      <c r="D28573" s="7">
        <v>0.53</v>
      </c>
      <c r="E28573" t="s">
        <v>14</v>
      </c>
    </row>
    <row r="28574" spans="1:5" x14ac:dyDescent="0.25">
      <c r="A28574" t="str">
        <f>HYPERLINK("https://www.773grp.com/globalSearch/MC74ACT541DTR2/page-1", "MC74ACT541DTR2")</f>
        <v>MC74ACT541DTR2</v>
      </c>
      <c r="B28574" s="3" t="str">
        <f>HYPERLINK("https://www.773grp.com/manufacturer/onsemi?pageNo=768", "ON Semiconductor")</f>
        <v>ON Semiconductor</v>
      </c>
      <c r="C28574" s="6">
        <v>169925</v>
      </c>
      <c r="D28574" s="7">
        <v>0.53</v>
      </c>
      <c r="E28574" t="s">
        <v>14</v>
      </c>
    </row>
    <row r="28575" spans="1:5" x14ac:dyDescent="0.25">
      <c r="A28575" t="str">
        <f>HYPERLINK("https://www.773grp.com/globalSearch/MC74F04M/page-1", "MC74F04M")</f>
        <v>MC74F04M</v>
      </c>
      <c r="B28575" s="3" t="str">
        <f>HYPERLINK("https://www.773grp.com/manufacturer/onsemi?pageNo=769", "ON Semiconductor")</f>
        <v>ON Semiconductor</v>
      </c>
      <c r="C28575" s="6">
        <v>50</v>
      </c>
      <c r="D28575" s="7">
        <v>0.53</v>
      </c>
    </row>
    <row r="28576" spans="1:5" x14ac:dyDescent="0.25">
      <c r="A28576" t="str">
        <f>HYPERLINK("https://www.773grp.com/globalSearch/MC74F10M/page-1", "MC74F10M")</f>
        <v>MC74F10M</v>
      </c>
      <c r="B28576" s="3" t="str">
        <f>HYPERLINK("https://www.773grp.com/manufacturer/onsemi?pageNo=770", "ON Semiconductor")</f>
        <v>ON Semiconductor</v>
      </c>
      <c r="C28576" s="6">
        <v>6920</v>
      </c>
      <c r="D28576" s="7">
        <v>0.53</v>
      </c>
    </row>
    <row r="28577" spans="1:5" x14ac:dyDescent="0.25">
      <c r="A28577" t="str">
        <f>HYPERLINK("https://www.773grp.com/globalSearch/MC74F74D/page-1", "MC74F74D")</f>
        <v>MC74F74D</v>
      </c>
      <c r="B28577" s="3" t="str">
        <f>HYPERLINK("https://www.773grp.com/manufacturer/onsemi?pageNo=771", "ON Semiconductor")</f>
        <v>ON Semiconductor</v>
      </c>
      <c r="C28577" s="6">
        <v>1550</v>
      </c>
      <c r="D28577" s="7">
        <v>0.53</v>
      </c>
      <c r="E28577" t="s">
        <v>35</v>
      </c>
    </row>
    <row r="28578" spans="1:5" x14ac:dyDescent="0.25">
      <c r="A28578" t="str">
        <f>HYPERLINK("https://www.773grp.com/globalSearch/MC74F74DR2/page-1", "MC74F74DR2")</f>
        <v>MC74F74DR2</v>
      </c>
      <c r="B28578" s="3" t="str">
        <f>HYPERLINK("https://www.773grp.com/manufacturer/onsemi?pageNo=772", "ON Semiconductor")</f>
        <v>ON Semiconductor</v>
      </c>
      <c r="C28578" s="6">
        <v>160000</v>
      </c>
      <c r="D28578" s="7">
        <v>0.53</v>
      </c>
      <c r="E28578" t="s">
        <v>35</v>
      </c>
    </row>
    <row r="28579" spans="1:5" x14ac:dyDescent="0.25">
      <c r="A28579" t="str">
        <f>HYPERLINK("https://www.773grp.com/globalSearch/MC74F74MR1/page-1", "MC74F74MR1")</f>
        <v>MC74F74MR1</v>
      </c>
      <c r="B28579" s="3" t="str">
        <f>HYPERLINK("https://www.773grp.com/manufacturer/onsemi?pageNo=773", "ON Semiconductor")</f>
        <v>ON Semiconductor</v>
      </c>
      <c r="C28579" s="6">
        <v>2000</v>
      </c>
      <c r="D28579" s="7">
        <v>0.53</v>
      </c>
    </row>
    <row r="28580" spans="1:5" x14ac:dyDescent="0.25">
      <c r="A28580" t="str">
        <f>HYPERLINK("https://www.773grp.com/globalSearch/MC74HC125AFL1/page-1", "MC74HC125AFL1")</f>
        <v>MC74HC125AFL1</v>
      </c>
      <c r="B28580" s="3" t="str">
        <f>HYPERLINK("https://www.773grp.com/manufacturer/onsemi?pageNo=774", "ON Semiconductor")</f>
        <v>ON Semiconductor</v>
      </c>
      <c r="C28580" s="6">
        <v>16000</v>
      </c>
      <c r="D28580" s="7">
        <v>0.53</v>
      </c>
      <c r="E28580" t="s">
        <v>14</v>
      </c>
    </row>
    <row r="28581" spans="1:5" x14ac:dyDescent="0.25">
      <c r="A28581" t="str">
        <f>HYPERLINK("https://www.773grp.com/globalSearch/MC74HC125AFR1/page-1", "MC74HC125AFR1")</f>
        <v>MC74HC125AFR1</v>
      </c>
      <c r="B28581" s="3" t="str">
        <f>HYPERLINK("https://www.773grp.com/manufacturer/onsemi?pageNo=775", "ON Semiconductor")</f>
        <v>ON Semiconductor</v>
      </c>
      <c r="C28581" s="6">
        <v>7000</v>
      </c>
      <c r="D28581" s="7">
        <v>0.53</v>
      </c>
      <c r="E28581" t="s">
        <v>14</v>
      </c>
    </row>
    <row r="28582" spans="1:5" x14ac:dyDescent="0.25">
      <c r="A28582" t="str">
        <f>HYPERLINK("https://www.773grp.com/globalSearch/MC74HC125AFR2/page-1", "MC74HC125AFR2")</f>
        <v>MC74HC125AFR2</v>
      </c>
      <c r="B28582" s="3" t="str">
        <f>HYPERLINK("https://www.773grp.com/manufacturer/onsemi?pageNo=776", "ON Semiconductor")</f>
        <v>ON Semiconductor</v>
      </c>
      <c r="C28582" s="6">
        <v>4000</v>
      </c>
      <c r="D28582" s="7">
        <v>0.53</v>
      </c>
      <c r="E28582" t="s">
        <v>14</v>
      </c>
    </row>
    <row r="28583" spans="1:5" x14ac:dyDescent="0.25">
      <c r="A28583" t="str">
        <f>HYPERLINK("https://www.773grp.com/globalSearch/MC74HC126AF/page-1", "MC74HC126AF")</f>
        <v>MC74HC126AF</v>
      </c>
      <c r="B28583" s="3" t="str">
        <f>HYPERLINK("https://www.773grp.com/manufacturer/onsemi?pageNo=777", "ON Semiconductor")</f>
        <v>ON Semiconductor</v>
      </c>
      <c r="C28583" s="6">
        <v>800</v>
      </c>
      <c r="D28583" s="7">
        <v>0.53</v>
      </c>
    </row>
    <row r="28584" spans="1:5" x14ac:dyDescent="0.25">
      <c r="A28584" t="str">
        <f>HYPERLINK("https://www.773grp.com/globalSearch/MC74HC126AFL1/page-1", "MC74HC126AFL1")</f>
        <v>MC74HC126AFL1</v>
      </c>
      <c r="B28584" s="3" t="str">
        <f>HYPERLINK("https://www.773grp.com/manufacturer/onsemi?pageNo=778", "ON Semiconductor")</f>
        <v>ON Semiconductor</v>
      </c>
      <c r="C28584" s="6">
        <v>9000</v>
      </c>
      <c r="D28584" s="7">
        <v>0.53</v>
      </c>
    </row>
    <row r="28585" spans="1:5" x14ac:dyDescent="0.25">
      <c r="A28585" t="str">
        <f>HYPERLINK("https://www.773grp.com/globalSearch/MC74HC126AFL2/page-1", "MC74HC126AFL2")</f>
        <v>MC74HC126AFL2</v>
      </c>
      <c r="B28585" s="3" t="str">
        <f>HYPERLINK("https://www.773grp.com/manufacturer/onsemi?pageNo=779", "ON Semiconductor")</f>
        <v>ON Semiconductor</v>
      </c>
      <c r="C28585" s="6">
        <v>12000</v>
      </c>
      <c r="D28585" s="7">
        <v>0.53</v>
      </c>
    </row>
    <row r="28586" spans="1:5" x14ac:dyDescent="0.25">
      <c r="A28586" t="str">
        <f>HYPERLINK("https://www.773grp.com/globalSearch/MC74HC126AFR2/page-1", "MC74HC126AFR2")</f>
        <v>MC74HC126AFR2</v>
      </c>
      <c r="B28586" s="3" t="str">
        <f>HYPERLINK("https://www.773grp.com/manufacturer/onsemi?pageNo=780", "ON Semiconductor")</f>
        <v>ON Semiconductor</v>
      </c>
      <c r="C28586" s="6">
        <v>8000</v>
      </c>
      <c r="D28586" s="7">
        <v>0.53</v>
      </c>
    </row>
    <row r="28587" spans="1:5" x14ac:dyDescent="0.25">
      <c r="A28587" t="str">
        <f>HYPERLINK("https://www.773grp.com/globalSearch/MC74HC132AF/page-1", "MC74HC132AF")</f>
        <v>MC74HC132AF</v>
      </c>
      <c r="B28587" s="3" t="str">
        <f>HYPERLINK("https://www.773grp.com/manufacturer/onsemi?pageNo=781", "ON Semiconductor")</f>
        <v>ON Semiconductor</v>
      </c>
      <c r="C28587" s="6">
        <v>659</v>
      </c>
      <c r="D28587" s="7">
        <v>0.53</v>
      </c>
    </row>
    <row r="28588" spans="1:5" x14ac:dyDescent="0.25">
      <c r="A28588" t="str">
        <f>HYPERLINK("https://www.773grp.com/globalSearch/MC74HC138ADTEL/page-1", "MC74HC138ADTEL")</f>
        <v>MC74HC138ADTEL</v>
      </c>
      <c r="B28588" s="3" t="str">
        <f>HYPERLINK("https://www.773grp.com/manufacturer/onsemi?pageNo=782", "ON Semiconductor")</f>
        <v>ON Semiconductor</v>
      </c>
      <c r="C28588" s="6">
        <v>6000</v>
      </c>
      <c r="D28588" s="7">
        <v>0.53</v>
      </c>
    </row>
    <row r="28589" spans="1:5" x14ac:dyDescent="0.25">
      <c r="A28589" t="str">
        <f>HYPERLINK("https://www.773grp.com/globalSearch/MC74HC138AF/page-1", "MC74HC138AF")</f>
        <v>MC74HC138AF</v>
      </c>
      <c r="B28589" s="3" t="str">
        <f>HYPERLINK("https://www.773grp.com/manufacturer/onsemi?pageNo=783", "ON Semiconductor")</f>
        <v>ON Semiconductor</v>
      </c>
      <c r="C28589" s="6">
        <v>136</v>
      </c>
      <c r="D28589" s="7">
        <v>0.53</v>
      </c>
      <c r="E28589" t="s">
        <v>36</v>
      </c>
    </row>
    <row r="28590" spans="1:5" x14ac:dyDescent="0.25">
      <c r="A28590" t="str">
        <f>HYPERLINK("https://www.773grp.com/globalSearch/MC74HC139AFR1/page-1", "MC74HC139AFR1")</f>
        <v>MC74HC139AFR1</v>
      </c>
      <c r="B28590" s="3" t="str">
        <f>HYPERLINK("https://www.773grp.com/manufacturer/onsemi?pageNo=784", "ON Semiconductor")</f>
        <v>ON Semiconductor</v>
      </c>
      <c r="C28590" s="6">
        <v>4000</v>
      </c>
      <c r="D28590" s="7">
        <v>0.53</v>
      </c>
    </row>
    <row r="28591" spans="1:5" x14ac:dyDescent="0.25">
      <c r="A28591" t="str">
        <f>HYPERLINK("https://www.773grp.com/globalSearch/MC74HC139AFR2/page-1", "MC74HC139AFR2")</f>
        <v>MC74HC139AFR2</v>
      </c>
      <c r="B28591" s="3" t="str">
        <f>HYPERLINK("https://www.773grp.com/manufacturer/onsemi?pageNo=785", "ON Semiconductor")</f>
        <v>ON Semiconductor</v>
      </c>
      <c r="C28591" s="6">
        <v>2000</v>
      </c>
      <c r="D28591" s="7">
        <v>0.53</v>
      </c>
    </row>
    <row r="28592" spans="1:5" x14ac:dyDescent="0.25">
      <c r="A28592" t="str">
        <f>HYPERLINK("https://www.773grp.com/globalSearch/MC74HC157ADT/page-1", "MC74HC157ADT")</f>
        <v>MC74HC157ADT</v>
      </c>
      <c r="B28592" s="3" t="str">
        <f>HYPERLINK("https://www.773grp.com/manufacturer/onsemi?pageNo=786", "ON Semiconductor")</f>
        <v>ON Semiconductor</v>
      </c>
      <c r="C28592" s="6">
        <v>7364</v>
      </c>
      <c r="D28592" s="7">
        <v>0.53</v>
      </c>
      <c r="E28592" t="s">
        <v>20</v>
      </c>
    </row>
    <row r="28593" spans="1:5" x14ac:dyDescent="0.25">
      <c r="A28593" t="str">
        <f>HYPERLINK("https://www.773grp.com/globalSearch/MC74HC157ADT/page-1", "MC74HC157ADT")</f>
        <v>MC74HC157ADT</v>
      </c>
      <c r="B28593" s="3" t="str">
        <f>HYPERLINK("https://www.773grp.com/manufacturer/onsemi?pageNo=787", "ON Semiconductor")</f>
        <v>ON Semiconductor</v>
      </c>
      <c r="C28593" s="6">
        <v>35900</v>
      </c>
      <c r="D28593" s="7">
        <v>0.53</v>
      </c>
      <c r="E28593" t="s">
        <v>20</v>
      </c>
    </row>
    <row r="28594" spans="1:5" x14ac:dyDescent="0.25">
      <c r="A28594" t="str">
        <f>HYPERLINK("https://www.773grp.com/globalSearch/MC74HC157AFL1/page-1", "MC74HC157AFL1")</f>
        <v>MC74HC157AFL1</v>
      </c>
      <c r="B28594" s="3" t="str">
        <f>HYPERLINK("https://www.773grp.com/manufacturer/onsemi?pageNo=788", "ON Semiconductor")</f>
        <v>ON Semiconductor</v>
      </c>
      <c r="C28594" s="6">
        <v>15000</v>
      </c>
      <c r="D28594" s="7">
        <v>0.53</v>
      </c>
    </row>
    <row r="28595" spans="1:5" x14ac:dyDescent="0.25">
      <c r="A28595" t="str">
        <f>HYPERLINK("https://www.773grp.com/globalSearch/MC74HC157AFL2/page-1", "MC74HC157AFL2")</f>
        <v>MC74HC157AFL2</v>
      </c>
      <c r="B28595" s="3" t="str">
        <f>HYPERLINK("https://www.773grp.com/manufacturer/onsemi?pageNo=789", "ON Semiconductor")</f>
        <v>ON Semiconductor</v>
      </c>
      <c r="C28595" s="6">
        <v>12000</v>
      </c>
      <c r="D28595" s="7">
        <v>0.53</v>
      </c>
    </row>
    <row r="28596" spans="1:5" x14ac:dyDescent="0.25">
      <c r="A28596" t="str">
        <f>HYPERLINK("https://www.773grp.com/globalSearch/MC74HC157AFR1/page-1", "MC74HC157AFR1")</f>
        <v>MC74HC157AFR1</v>
      </c>
      <c r="B28596" s="3" t="str">
        <f>HYPERLINK("https://www.773grp.com/manufacturer/onsemi?pageNo=790", "ON Semiconductor")</f>
        <v>ON Semiconductor</v>
      </c>
      <c r="C28596" s="6">
        <v>14000</v>
      </c>
      <c r="D28596" s="7">
        <v>0.53</v>
      </c>
    </row>
    <row r="28597" spans="1:5" x14ac:dyDescent="0.25">
      <c r="A28597" t="str">
        <f>HYPERLINK("https://www.773grp.com/globalSearch/MC74HC157AFR2/page-1", "MC74HC157AFR2")</f>
        <v>MC74HC157AFR2</v>
      </c>
      <c r="B28597" s="3" t="str">
        <f>HYPERLINK("https://www.773grp.com/manufacturer/onsemi?pageNo=791", "ON Semiconductor")</f>
        <v>ON Semiconductor</v>
      </c>
      <c r="C28597" s="6">
        <v>42000</v>
      </c>
      <c r="D28597" s="7">
        <v>0.53</v>
      </c>
    </row>
    <row r="28598" spans="1:5" x14ac:dyDescent="0.25">
      <c r="A28598" t="str">
        <f>HYPERLINK("https://www.773grp.com/globalSearch/MC74HC161ADT/page-1", "MC74HC161ADT")</f>
        <v>MC74HC161ADT</v>
      </c>
      <c r="B28598" s="3" t="str">
        <f>HYPERLINK("https://www.773grp.com/manufacturer/onsemi?pageNo=792", "ON Semiconductor")</f>
        <v>ON Semiconductor</v>
      </c>
      <c r="C28598" s="6">
        <v>22456</v>
      </c>
      <c r="D28598" s="7">
        <v>0.53</v>
      </c>
      <c r="E28598" t="s">
        <v>26</v>
      </c>
    </row>
    <row r="28599" spans="1:5" x14ac:dyDescent="0.25">
      <c r="A28599" t="str">
        <f>HYPERLINK("https://www.773grp.com/globalSearch/MC74HC161AFEL/page-1", "MC74HC161AFEL")</f>
        <v>MC74HC161AFEL</v>
      </c>
      <c r="B28599" s="3" t="str">
        <f>HYPERLINK("https://www.773grp.com/manufacturer/onsemi?pageNo=793", "ON Semiconductor")</f>
        <v>ON Semiconductor</v>
      </c>
      <c r="C28599" s="6">
        <v>27400</v>
      </c>
      <c r="D28599" s="7">
        <v>0.53</v>
      </c>
      <c r="E28599" t="s">
        <v>26</v>
      </c>
    </row>
    <row r="28600" spans="1:5" x14ac:dyDescent="0.25">
      <c r="A28600" t="str">
        <f>HYPERLINK("https://www.773grp.com/globalSearch/MC74HC161AN/page-1", "MC74HC161AN")</f>
        <v>MC74HC161AN</v>
      </c>
      <c r="B28600" s="3" t="str">
        <f>HYPERLINK("https://www.773grp.com/manufacturer/onsemi?pageNo=794", "ON Semiconductor")</f>
        <v>ON Semiconductor</v>
      </c>
      <c r="C28600" s="6">
        <v>1367</v>
      </c>
      <c r="D28600" s="7">
        <v>0.53</v>
      </c>
      <c r="E28600" t="s">
        <v>26</v>
      </c>
    </row>
    <row r="28601" spans="1:5" x14ac:dyDescent="0.25">
      <c r="A28601" t="str">
        <f>HYPERLINK("https://www.773grp.com/globalSearch/MC74HC164AF/page-1", "MC74HC164AF")</f>
        <v>MC74HC164AF</v>
      </c>
      <c r="B28601" s="3" t="str">
        <f>HYPERLINK("https://www.773grp.com/manufacturer/onsemi?pageNo=795", "ON Semiconductor")</f>
        <v>ON Semiconductor</v>
      </c>
      <c r="C28601" s="6">
        <v>650</v>
      </c>
      <c r="D28601" s="7">
        <v>0.53</v>
      </c>
    </row>
    <row r="28602" spans="1:5" x14ac:dyDescent="0.25">
      <c r="A28602" t="str">
        <f>HYPERLINK("https://www.773grp.com/globalSearch/MC74HC164AFL1/page-1", "MC74HC164AFL1")</f>
        <v>MC74HC164AFL1</v>
      </c>
      <c r="B28602" s="3" t="str">
        <f>HYPERLINK("https://www.773grp.com/manufacturer/onsemi?pageNo=796", "ON Semiconductor")</f>
        <v>ON Semiconductor</v>
      </c>
      <c r="C28602" s="6">
        <v>9000</v>
      </c>
      <c r="D28602" s="7">
        <v>0.53</v>
      </c>
    </row>
    <row r="28603" spans="1:5" x14ac:dyDescent="0.25">
      <c r="A28603" t="str">
        <f>HYPERLINK("https://www.773grp.com/globalSearch/MC74HC164AFR1/page-1", "MC74HC164AFR1")</f>
        <v>MC74HC164AFR1</v>
      </c>
      <c r="B28603" s="3" t="str">
        <f>HYPERLINK("https://www.773grp.com/manufacturer/onsemi?pageNo=797", "ON Semiconductor")</f>
        <v>ON Semiconductor</v>
      </c>
      <c r="C28603" s="6">
        <v>11000</v>
      </c>
      <c r="D28603" s="7">
        <v>0.53</v>
      </c>
    </row>
    <row r="28604" spans="1:5" x14ac:dyDescent="0.25">
      <c r="A28604" t="str">
        <f>HYPERLINK("https://www.773grp.com/globalSearch/MC74HC164AFR2/page-1", "MC74HC164AFR2")</f>
        <v>MC74HC164AFR2</v>
      </c>
      <c r="B28604" s="3" t="str">
        <f>HYPERLINK("https://www.773grp.com/manufacturer/onsemi?pageNo=798", "ON Semiconductor")</f>
        <v>ON Semiconductor</v>
      </c>
      <c r="C28604" s="6">
        <v>8000</v>
      </c>
      <c r="D28604" s="7">
        <v>0.53</v>
      </c>
    </row>
    <row r="28605" spans="1:5" x14ac:dyDescent="0.25">
      <c r="A28605" t="str">
        <f>HYPERLINK("https://www.773grp.com/globalSearch/MC74HC174AF/page-1", "MC74HC174AF")</f>
        <v>MC74HC174AF</v>
      </c>
      <c r="B28605" s="3" t="str">
        <f>HYPERLINK("https://www.773grp.com/manufacturer/onsemi?pageNo=799", "ON Semiconductor")</f>
        <v>ON Semiconductor</v>
      </c>
      <c r="C28605" s="6">
        <v>10876</v>
      </c>
      <c r="D28605" s="7">
        <v>0.53</v>
      </c>
    </row>
    <row r="28606" spans="1:5" x14ac:dyDescent="0.25">
      <c r="A28606" t="str">
        <f>HYPERLINK("https://www.773grp.com/globalSearch/MC74HC174AFL1/page-1", "MC74HC174AFL1")</f>
        <v>MC74HC174AFL1</v>
      </c>
      <c r="B28606" s="3" t="str">
        <f>HYPERLINK("https://www.773grp.com/manufacturer/onsemi?pageNo=800", "ON Semiconductor")</f>
        <v>ON Semiconductor</v>
      </c>
      <c r="C28606" s="6">
        <v>8000</v>
      </c>
      <c r="D28606" s="7">
        <v>0.53</v>
      </c>
    </row>
    <row r="28607" spans="1:5" x14ac:dyDescent="0.25">
      <c r="A28607" t="str">
        <f>HYPERLINK("https://www.773grp.com/globalSearch/MC74HC174AFL2/page-1", "MC74HC174AFL2")</f>
        <v>MC74HC174AFL2</v>
      </c>
      <c r="B28607" s="3" t="str">
        <f>HYPERLINK("https://www.773grp.com/manufacturer/onsemi?pageNo=801", "ON Semiconductor")</f>
        <v>ON Semiconductor</v>
      </c>
      <c r="C28607" s="6">
        <v>2000</v>
      </c>
      <c r="D28607" s="7">
        <v>0.53</v>
      </c>
    </row>
    <row r="28608" spans="1:5" x14ac:dyDescent="0.25">
      <c r="A28608" t="str">
        <f>HYPERLINK("https://www.773grp.com/globalSearch/MC74HC174AFR2/page-1", "MC74HC174AFR2")</f>
        <v>MC74HC174AFR2</v>
      </c>
      <c r="B28608" s="3" t="str">
        <f>HYPERLINK("https://www.773grp.com/manufacturer/onsemi?pageNo=802", "ON Semiconductor")</f>
        <v>ON Semiconductor</v>
      </c>
      <c r="C28608" s="6">
        <v>8000</v>
      </c>
      <c r="D28608" s="7">
        <v>0.53</v>
      </c>
    </row>
    <row r="28609" spans="1:5" x14ac:dyDescent="0.25">
      <c r="A28609" t="str">
        <f>HYPERLINK("https://www.773grp.com/globalSearch/MC74HC175ADT/page-1", "MC74HC175ADT")</f>
        <v>MC74HC175ADT</v>
      </c>
      <c r="B28609" s="3" t="str">
        <f>HYPERLINK("https://www.773grp.com/manufacturer/onsemi?pageNo=803", "ON Semiconductor")</f>
        <v>ON Semiconductor</v>
      </c>
      <c r="C28609" s="6">
        <v>21600</v>
      </c>
      <c r="D28609" s="7">
        <v>0.53</v>
      </c>
      <c r="E28609" t="s">
        <v>35</v>
      </c>
    </row>
    <row r="28610" spans="1:5" x14ac:dyDescent="0.25">
      <c r="A28610" t="str">
        <f>HYPERLINK("https://www.773grp.com/globalSearch/MC74HC20D/page-1", "MC74HC20D")</f>
        <v>MC74HC20D</v>
      </c>
      <c r="B28610" s="3" t="str">
        <f>HYPERLINK("https://www.773grp.com/manufacturer/onsemi?pageNo=804", "ON Semiconductor")</f>
        <v>ON Semiconductor</v>
      </c>
      <c r="C28610" s="6">
        <v>516</v>
      </c>
      <c r="D28610" s="7">
        <v>0.53</v>
      </c>
      <c r="E28610" t="s">
        <v>31</v>
      </c>
    </row>
    <row r="28611" spans="1:5" x14ac:dyDescent="0.25">
      <c r="A28611" t="str">
        <f>HYPERLINK("https://www.773grp.com/globalSearch/MC74HC244ADT/page-1", "MC74HC244ADT")</f>
        <v>MC74HC244ADT</v>
      </c>
      <c r="B28611" s="3" t="str">
        <f>HYPERLINK("https://www.773grp.com/manufacturer/onsemi?pageNo=805", "ON Semiconductor")</f>
        <v>ON Semiconductor</v>
      </c>
      <c r="C28611" s="6">
        <v>3764</v>
      </c>
      <c r="D28611" s="7">
        <v>0.53</v>
      </c>
      <c r="E28611" t="s">
        <v>14</v>
      </c>
    </row>
    <row r="28612" spans="1:5" x14ac:dyDescent="0.25">
      <c r="A28612" t="str">
        <f>HYPERLINK("https://www.773grp.com/globalSearch/MC74HC244ADWR2/page-1", "MC74HC244ADWR2")</f>
        <v>MC74HC244ADWR2</v>
      </c>
      <c r="B28612" s="3" t="str">
        <f>HYPERLINK("https://www.773grp.com/manufacturer/onsemi?pageNo=806", "ON Semiconductor")</f>
        <v>ON Semiconductor</v>
      </c>
      <c r="C28612" s="6">
        <v>38945</v>
      </c>
      <c r="D28612" s="7">
        <v>0.53</v>
      </c>
      <c r="E28612" t="s">
        <v>14</v>
      </c>
    </row>
    <row r="28613" spans="1:5" x14ac:dyDescent="0.25">
      <c r="A28613" t="str">
        <f>HYPERLINK("https://www.773grp.com/globalSearch/MC74HC245ADT/page-1", "MC74HC245ADT")</f>
        <v>MC74HC245ADT</v>
      </c>
      <c r="B28613" s="3" t="str">
        <f>HYPERLINK("https://www.773grp.com/manufacturer/onsemi?pageNo=807", "ON Semiconductor")</f>
        <v>ON Semiconductor</v>
      </c>
      <c r="C28613" s="6">
        <v>2775</v>
      </c>
      <c r="D28613" s="7">
        <v>0.53</v>
      </c>
      <c r="E28613" t="s">
        <v>14</v>
      </c>
    </row>
    <row r="28614" spans="1:5" x14ac:dyDescent="0.25">
      <c r="A28614" t="str">
        <f>HYPERLINK("https://www.773grp.com/globalSearch/MC74HC273ADT/page-1", "MC74HC273ADT")</f>
        <v>MC74HC273ADT</v>
      </c>
      <c r="B28614" s="3" t="str">
        <f>HYPERLINK("https://www.773grp.com/manufacturer/onsemi?pageNo=808", "ON Semiconductor")</f>
        <v>ON Semiconductor</v>
      </c>
      <c r="C28614" s="6">
        <v>325</v>
      </c>
      <c r="D28614" s="7">
        <v>0.53</v>
      </c>
      <c r="E28614" t="s">
        <v>35</v>
      </c>
    </row>
    <row r="28615" spans="1:5" x14ac:dyDescent="0.25">
      <c r="A28615" t="str">
        <f>HYPERLINK("https://www.773grp.com/globalSearch/MC74HC273ADW/page-1", "MC74HC273ADW")</f>
        <v>MC74HC273ADW</v>
      </c>
      <c r="B28615" s="3" t="str">
        <f>HYPERLINK("https://www.773grp.com/manufacturer/onsemi?pageNo=809", "ON Semiconductor")</f>
        <v>ON Semiconductor</v>
      </c>
      <c r="C28615" s="6">
        <v>717</v>
      </c>
      <c r="D28615" s="7">
        <v>0.53</v>
      </c>
      <c r="E28615" t="s">
        <v>35</v>
      </c>
    </row>
    <row r="28616" spans="1:5" x14ac:dyDescent="0.25">
      <c r="A28616" t="str">
        <f>HYPERLINK("https://www.773grp.com/globalSearch/MC74HC373ADW/page-1", "MC74HC373ADW")</f>
        <v>MC74HC373ADW</v>
      </c>
      <c r="B28616" s="3" t="str">
        <f>HYPERLINK("https://www.773grp.com/manufacturer/onsemi?pageNo=810", "ON Semiconductor")</f>
        <v>ON Semiconductor</v>
      </c>
      <c r="C28616" s="6">
        <v>506</v>
      </c>
      <c r="D28616" s="7">
        <v>0.53</v>
      </c>
      <c r="E28616" t="s">
        <v>14</v>
      </c>
    </row>
    <row r="28617" spans="1:5" x14ac:dyDescent="0.25">
      <c r="A28617" t="str">
        <f>HYPERLINK("https://www.773grp.com/globalSearch/MC74HC373ADWR2/page-1", "MC74HC373ADWR2")</f>
        <v>MC74HC373ADWR2</v>
      </c>
      <c r="B28617" s="3" t="str">
        <f>HYPERLINK("https://www.773grp.com/manufacturer/onsemi?pageNo=811", "ON Semiconductor")</f>
        <v>ON Semiconductor</v>
      </c>
      <c r="C28617" s="6">
        <v>1007</v>
      </c>
      <c r="D28617" s="7">
        <v>0.53</v>
      </c>
      <c r="E28617" t="s">
        <v>14</v>
      </c>
    </row>
    <row r="28618" spans="1:5" x14ac:dyDescent="0.25">
      <c r="A28618" t="str">
        <f>HYPERLINK("https://www.773grp.com/globalSearch/MC74HC374ADT/page-1", "MC74HC374ADT")</f>
        <v>MC74HC374ADT</v>
      </c>
      <c r="B28618" s="3" t="str">
        <f>HYPERLINK("https://www.773grp.com/manufacturer/onsemi?pageNo=812", "ON Semiconductor")</f>
        <v>ON Semiconductor</v>
      </c>
      <c r="C28618" s="6">
        <v>375</v>
      </c>
      <c r="D28618" s="7">
        <v>0.53</v>
      </c>
      <c r="E28618" t="s">
        <v>14</v>
      </c>
    </row>
    <row r="28619" spans="1:5" x14ac:dyDescent="0.25">
      <c r="A28619" t="str">
        <f>HYPERLINK("https://www.773grp.com/globalSearch/MC74HC374ADW/page-1", "MC74HC374ADW")</f>
        <v>MC74HC374ADW</v>
      </c>
      <c r="B28619" s="3" t="str">
        <f>HYPERLINK("https://www.773grp.com/manufacturer/onsemi?pageNo=813", "ON Semiconductor")</f>
        <v>ON Semiconductor</v>
      </c>
      <c r="C28619" s="6">
        <v>1598</v>
      </c>
      <c r="D28619" s="7">
        <v>0.53</v>
      </c>
      <c r="E28619" t="s">
        <v>14</v>
      </c>
    </row>
    <row r="28620" spans="1:5" x14ac:dyDescent="0.25">
      <c r="A28620" t="str">
        <f>HYPERLINK("https://www.773grp.com/globalSearch/MC74HC374ADWR2/page-1", "MC74HC374ADWR2")</f>
        <v>MC74HC374ADWR2</v>
      </c>
      <c r="B28620" s="3" t="str">
        <f>HYPERLINK("https://www.773grp.com/manufacturer/onsemi?pageNo=814", "ON Semiconductor")</f>
        <v>ON Semiconductor</v>
      </c>
      <c r="C28620" s="6">
        <v>5234</v>
      </c>
      <c r="D28620" s="7">
        <v>0.53</v>
      </c>
      <c r="E28620" t="s">
        <v>14</v>
      </c>
    </row>
    <row r="28621" spans="1:5" x14ac:dyDescent="0.25">
      <c r="A28621" t="str">
        <f>HYPERLINK("https://www.773grp.com/globalSearch/MC74HC374AF/page-1", "MC74HC374AF")</f>
        <v>MC74HC374AF</v>
      </c>
      <c r="B28621" s="3" t="str">
        <f>HYPERLINK("https://www.773grp.com/manufacturer/onsemi?pageNo=815", "ON Semiconductor")</f>
        <v>ON Semiconductor</v>
      </c>
      <c r="C28621" s="6">
        <v>263</v>
      </c>
      <c r="D28621" s="7">
        <v>0.53</v>
      </c>
      <c r="E28621" t="s">
        <v>14</v>
      </c>
    </row>
    <row r="28622" spans="1:5" x14ac:dyDescent="0.25">
      <c r="A28622" t="str">
        <f>HYPERLINK("https://www.773grp.com/globalSearch/MC74HC390AFEL/page-1", "MC74HC390AFEL")</f>
        <v>MC74HC390AFEL</v>
      </c>
      <c r="B28622" s="3" t="str">
        <f>HYPERLINK("https://www.773grp.com/manufacturer/onsemi?pageNo=816", "ON Semiconductor")</f>
        <v>ON Semiconductor</v>
      </c>
      <c r="C28622" s="6">
        <v>6201</v>
      </c>
      <c r="D28622" s="7">
        <v>0.53</v>
      </c>
      <c r="E28622" t="s">
        <v>26</v>
      </c>
    </row>
    <row r="28623" spans="1:5" x14ac:dyDescent="0.25">
      <c r="A28623" t="str">
        <f>HYPERLINK("https://www.773grp.com/globalSearch/MC74HC393AN/page-1", "MC74HC393AN")</f>
        <v>MC74HC393AN</v>
      </c>
      <c r="B28623" s="3" t="str">
        <f>HYPERLINK("https://www.773grp.com/manufacturer/onsemi?pageNo=817", "ON Semiconductor")</f>
        <v>ON Semiconductor</v>
      </c>
      <c r="C28623" s="6">
        <v>2327</v>
      </c>
      <c r="D28623" s="7">
        <v>0.53</v>
      </c>
      <c r="E28623" t="s">
        <v>26</v>
      </c>
    </row>
    <row r="28624" spans="1:5" x14ac:dyDescent="0.25">
      <c r="A28624" t="str">
        <f>HYPERLINK("https://www.773grp.com/globalSearch/MC74HC4020ADT/page-1", "MC74HC4020ADT")</f>
        <v>MC74HC4020ADT</v>
      </c>
      <c r="B28624" s="3" t="str">
        <f>HYPERLINK("https://www.773grp.com/manufacturer/onsemi?pageNo=818", "ON Semiconductor")</f>
        <v>ON Semiconductor</v>
      </c>
      <c r="C28624" s="6">
        <v>2487</v>
      </c>
      <c r="D28624" s="7">
        <v>0.53</v>
      </c>
      <c r="E28624" t="s">
        <v>26</v>
      </c>
    </row>
    <row r="28625" spans="1:5" x14ac:dyDescent="0.25">
      <c r="A28625" t="str">
        <f>HYPERLINK("https://www.773grp.com/globalSearch/MC74HC4020AF/page-1", "MC74HC4020AF")</f>
        <v>MC74HC4020AF</v>
      </c>
      <c r="B28625" s="3" t="str">
        <f>HYPERLINK("https://www.773grp.com/manufacturer/onsemi?pageNo=819", "ON Semiconductor")</f>
        <v>ON Semiconductor</v>
      </c>
      <c r="C28625" s="6">
        <v>365</v>
      </c>
      <c r="D28625" s="7">
        <v>0.53</v>
      </c>
      <c r="E28625" t="s">
        <v>26</v>
      </c>
    </row>
    <row r="28626" spans="1:5" x14ac:dyDescent="0.25">
      <c r="A28626" t="str">
        <f>HYPERLINK("https://www.773grp.com/globalSearch/MC74HC4040ADT/page-1", "MC74HC4040ADT")</f>
        <v>MC74HC4040ADT</v>
      </c>
      <c r="B28626" s="3" t="str">
        <f>HYPERLINK("https://www.773grp.com/manufacturer/onsemi?pageNo=820", "ON Semiconductor")</f>
        <v>ON Semiconductor</v>
      </c>
      <c r="C28626" s="6">
        <v>1248</v>
      </c>
      <c r="D28626" s="7">
        <v>0.53</v>
      </c>
      <c r="E28626" t="s">
        <v>26</v>
      </c>
    </row>
    <row r="28627" spans="1:5" x14ac:dyDescent="0.25">
      <c r="A28627" t="str">
        <f>HYPERLINK("https://www.773grp.com/globalSearch/MC74HC4046AFEL/page-1", "MC74HC4046AFEL")</f>
        <v>MC74HC4046AFEL</v>
      </c>
      <c r="B28627" s="3" t="str">
        <f>HYPERLINK("https://www.773grp.com/manufacturer/onsemi?pageNo=821", "ON Semiconductor")</f>
        <v>ON Semiconductor</v>
      </c>
      <c r="C28627" s="6">
        <v>1500</v>
      </c>
      <c r="D28627" s="7">
        <v>0.53</v>
      </c>
      <c r="E28627" t="s">
        <v>38</v>
      </c>
    </row>
    <row r="28628" spans="1:5" x14ac:dyDescent="0.25">
      <c r="A28628" t="str">
        <f>HYPERLINK("https://www.773grp.com/globalSearch/MC74HC4051AN/page-1", "MC74HC4051AN")</f>
        <v>MC74HC4051AN</v>
      </c>
      <c r="B28628" s="3" t="str">
        <f>HYPERLINK("https://www.773grp.com/manufacturer/onsemi?pageNo=822", "ON Semiconductor")</f>
        <v>ON Semiconductor</v>
      </c>
      <c r="C28628" s="6">
        <v>22199</v>
      </c>
      <c r="D28628" s="7">
        <v>0.53</v>
      </c>
      <c r="E28628" t="s">
        <v>56</v>
      </c>
    </row>
    <row r="28629" spans="1:5" x14ac:dyDescent="0.25">
      <c r="A28629" t="str">
        <f>HYPERLINK("https://www.773grp.com/globalSearch/MC74HC4052AD/page-1", "MC74HC4052AD")</f>
        <v>MC74HC4052AD</v>
      </c>
      <c r="B28629" s="3" t="str">
        <f>HYPERLINK("https://www.773grp.com/manufacturer/onsemi?pageNo=823", "ON Semiconductor")</f>
        <v>ON Semiconductor</v>
      </c>
      <c r="C28629" s="6">
        <v>1056</v>
      </c>
      <c r="D28629" s="7">
        <v>0.53</v>
      </c>
      <c r="E28629" t="s">
        <v>56</v>
      </c>
    </row>
    <row r="28630" spans="1:5" x14ac:dyDescent="0.25">
      <c r="A28630" t="str">
        <f>HYPERLINK("https://www.773grp.com/globalSearch/MC74HC4053ADW/page-1", "MC74HC4053ADW")</f>
        <v>MC74HC4053ADW</v>
      </c>
      <c r="B28630" s="3" t="str">
        <f>HYPERLINK("https://www.773grp.com/manufacturer/onsemi?pageNo=824", "ON Semiconductor")</f>
        <v>ON Semiconductor</v>
      </c>
      <c r="C28630" s="6">
        <v>5913</v>
      </c>
      <c r="D28630" s="7">
        <v>0.53</v>
      </c>
      <c r="E28630" t="s">
        <v>56</v>
      </c>
    </row>
    <row r="28631" spans="1:5" x14ac:dyDescent="0.25">
      <c r="A28631" t="str">
        <f>HYPERLINK("https://www.773grp.com/globalSearch/MC74HC4316ADR2/page-1", "MC74HC4316ADR2")</f>
        <v>MC74HC4316ADR2</v>
      </c>
      <c r="B28631" s="3" t="str">
        <f>HYPERLINK("https://www.773grp.com/manufacturer/onsemi?pageNo=825", "ON Semiconductor")</f>
        <v>ON Semiconductor</v>
      </c>
      <c r="C28631" s="6">
        <v>2500</v>
      </c>
      <c r="D28631" s="7">
        <v>0.53</v>
      </c>
      <c r="E28631" t="s">
        <v>56</v>
      </c>
    </row>
    <row r="28632" spans="1:5" x14ac:dyDescent="0.25">
      <c r="A28632" t="str">
        <f>HYPERLINK("https://www.773grp.com/globalSearch/MC74HC4316AFEL/page-1", "MC74HC4316AFEL")</f>
        <v>MC74HC4316AFEL</v>
      </c>
      <c r="B28632" s="3" t="str">
        <f>HYPERLINK("https://www.773grp.com/manufacturer/onsemi?pageNo=826", "ON Semiconductor")</f>
        <v>ON Semiconductor</v>
      </c>
      <c r="C28632" s="6">
        <v>10000</v>
      </c>
      <c r="D28632" s="7">
        <v>0.53</v>
      </c>
      <c r="E28632" t="s">
        <v>56</v>
      </c>
    </row>
    <row r="28633" spans="1:5" x14ac:dyDescent="0.25">
      <c r="A28633" t="str">
        <f>HYPERLINK("https://www.773grp.com/globalSearch/MC74HC4538AN/page-1", "MC74HC4538AN")</f>
        <v>MC74HC4538AN</v>
      </c>
      <c r="B28633" s="3" t="str">
        <f>HYPERLINK("https://www.773grp.com/manufacturer/onsemi?pageNo=827", "ON Semiconductor")</f>
        <v>ON Semiconductor</v>
      </c>
      <c r="C28633" s="6">
        <v>39</v>
      </c>
      <c r="D28633" s="7">
        <v>0.53</v>
      </c>
      <c r="E28633" t="s">
        <v>54</v>
      </c>
    </row>
    <row r="28634" spans="1:5" x14ac:dyDescent="0.25">
      <c r="A28634" t="str">
        <f>HYPERLINK("https://www.773grp.com/globalSearch/MC74HC574ADW/page-1", "MC74HC574ADW")</f>
        <v>MC74HC574ADW</v>
      </c>
      <c r="B28634" s="3" t="str">
        <f>HYPERLINK("https://www.773grp.com/manufacturer/onsemi?pageNo=828", "ON Semiconductor")</f>
        <v>ON Semiconductor</v>
      </c>
      <c r="C28634" s="6">
        <v>21665</v>
      </c>
      <c r="D28634" s="7">
        <v>0.53</v>
      </c>
      <c r="E28634" t="s">
        <v>14</v>
      </c>
    </row>
    <row r="28635" spans="1:5" x14ac:dyDescent="0.25">
      <c r="A28635" t="str">
        <f>HYPERLINK("https://www.773grp.com/globalSearch/MC74HC574ADWR2/page-1", "MC74HC574ADWR2")</f>
        <v>MC74HC574ADWR2</v>
      </c>
      <c r="B28635" s="3" t="str">
        <f>HYPERLINK("https://www.773grp.com/manufacturer/onsemi?pageNo=829", "ON Semiconductor")</f>
        <v>ON Semiconductor</v>
      </c>
      <c r="C28635" s="6">
        <v>11190</v>
      </c>
      <c r="D28635" s="7">
        <v>0.53</v>
      </c>
      <c r="E28635" t="s">
        <v>14</v>
      </c>
    </row>
    <row r="28636" spans="1:5" x14ac:dyDescent="0.25">
      <c r="A28636" t="str">
        <f>HYPERLINK("https://www.773grp.com/globalSearch/MC74HC589ADT/page-1", "MC74HC589ADT")</f>
        <v>MC74HC589ADT</v>
      </c>
      <c r="B28636" s="3" t="str">
        <f>HYPERLINK("https://www.773grp.com/manufacturer/onsemi?pageNo=830", "ON Semiconductor")</f>
        <v>ON Semiconductor</v>
      </c>
      <c r="C28636" s="6">
        <v>2260</v>
      </c>
      <c r="D28636" s="7">
        <v>0.53</v>
      </c>
      <c r="E28636" t="s">
        <v>32</v>
      </c>
    </row>
    <row r="28637" spans="1:5" x14ac:dyDescent="0.25">
      <c r="A28637" t="str">
        <f>HYPERLINK("https://www.773grp.com/globalSearch/MC74HC595AN/page-1", "MC74HC595AN")</f>
        <v>MC74HC595AN</v>
      </c>
      <c r="B28637" s="3" t="str">
        <f>HYPERLINK("https://www.773grp.com/manufacturer/onsemi?pageNo=831", "ON Semiconductor")</f>
        <v>ON Semiconductor</v>
      </c>
      <c r="C28637" s="6">
        <v>113320</v>
      </c>
      <c r="D28637" s="7">
        <v>0.53</v>
      </c>
      <c r="E28637" t="s">
        <v>32</v>
      </c>
    </row>
    <row r="28638" spans="1:5" x14ac:dyDescent="0.25">
      <c r="A28638" t="str">
        <f>HYPERLINK("https://www.773grp.com/globalSearch/MC74HCT138AF/page-1", "MC74HCT138AF")</f>
        <v>MC74HCT138AF</v>
      </c>
      <c r="B28638" s="3" t="str">
        <f>HYPERLINK("https://www.773grp.com/manufacturer/onsemi?pageNo=832", "ON Semiconductor")</f>
        <v>ON Semiconductor</v>
      </c>
      <c r="C28638" s="6">
        <v>13100</v>
      </c>
      <c r="D28638" s="7">
        <v>0.53</v>
      </c>
    </row>
    <row r="28639" spans="1:5" x14ac:dyDescent="0.25">
      <c r="A28639" t="str">
        <f>HYPERLINK("https://www.773grp.com/globalSearch/MC74HCT14AFEL/page-1", "MC74HCT14AFEL")</f>
        <v>MC74HCT14AFEL</v>
      </c>
      <c r="B28639" s="3" t="str">
        <f>HYPERLINK("https://www.773grp.com/manufacturer/onsemi?pageNo=833", "ON Semiconductor")</f>
        <v>ON Semiconductor</v>
      </c>
      <c r="C28639" s="6">
        <v>27733</v>
      </c>
      <c r="D28639" s="7">
        <v>0.53</v>
      </c>
      <c r="E28639" t="s">
        <v>31</v>
      </c>
    </row>
    <row r="28640" spans="1:5" x14ac:dyDescent="0.25">
      <c r="A28640" t="str">
        <f>HYPERLINK("https://www.773grp.com/globalSearch/MC74HCT373ADT/page-1", "MC74HCT373ADT")</f>
        <v>MC74HCT373ADT</v>
      </c>
      <c r="B28640" s="3" t="str">
        <f>HYPERLINK("https://www.773grp.com/manufacturer/onsemi?pageNo=834", "ON Semiconductor")</f>
        <v>ON Semiconductor</v>
      </c>
      <c r="C28640" s="6">
        <v>6075</v>
      </c>
      <c r="D28640" s="7">
        <v>0.53</v>
      </c>
      <c r="E28640" t="s">
        <v>14</v>
      </c>
    </row>
    <row r="28641" spans="1:5" x14ac:dyDescent="0.25">
      <c r="A28641" t="str">
        <f>HYPERLINK("https://www.773grp.com/globalSearch/MC74HCT373ADW/page-1", "MC74HCT373ADW")</f>
        <v>MC74HCT373ADW</v>
      </c>
      <c r="B28641" s="3" t="str">
        <f>HYPERLINK("https://www.773grp.com/manufacturer/onsemi?pageNo=835", "ON Semiconductor")</f>
        <v>ON Semiconductor</v>
      </c>
      <c r="C28641" s="6">
        <v>529</v>
      </c>
      <c r="D28641" s="7">
        <v>0.53</v>
      </c>
      <c r="E28641" t="s">
        <v>14</v>
      </c>
    </row>
    <row r="28642" spans="1:5" x14ac:dyDescent="0.25">
      <c r="A28642" t="str">
        <f>HYPERLINK("https://www.773grp.com/globalSearch/MC74HCT374ADWR2/page-1", "MC74HCT374ADWR2")</f>
        <v>MC74HCT374ADWR2</v>
      </c>
      <c r="B28642" s="3" t="str">
        <f>HYPERLINK("https://www.773grp.com/manufacturer/onsemi?pageNo=836", "ON Semiconductor")</f>
        <v>ON Semiconductor</v>
      </c>
      <c r="C28642" s="6">
        <v>1570</v>
      </c>
      <c r="D28642" s="7">
        <v>0.53</v>
      </c>
      <c r="E28642" t="s">
        <v>14</v>
      </c>
    </row>
    <row r="28643" spans="1:5" x14ac:dyDescent="0.25">
      <c r="A28643" t="str">
        <f>HYPERLINK("https://www.773grp.com/globalSearch/MC74HCT573ADW/page-1", "MC74HCT573ADW")</f>
        <v>MC74HCT573ADW</v>
      </c>
      <c r="B28643" s="3" t="str">
        <f>HYPERLINK("https://www.773grp.com/manufacturer/onsemi?pageNo=837", "ON Semiconductor")</f>
        <v>ON Semiconductor</v>
      </c>
      <c r="C28643" s="6">
        <v>2540</v>
      </c>
      <c r="D28643" s="7">
        <v>0.53</v>
      </c>
      <c r="E28643" t="s">
        <v>14</v>
      </c>
    </row>
    <row r="28644" spans="1:5" x14ac:dyDescent="0.25">
      <c r="A28644" t="str">
        <f>HYPERLINK("https://www.773grp.com/globalSearch/MC74HCT573ADWR2/page-1", "MC74HCT573ADWR2")</f>
        <v>MC74HCT573ADWR2</v>
      </c>
      <c r="B28644" s="3" t="str">
        <f>HYPERLINK("https://www.773grp.com/manufacturer/onsemi?pageNo=838", "ON Semiconductor")</f>
        <v>ON Semiconductor</v>
      </c>
      <c r="C28644" s="6">
        <v>3000</v>
      </c>
      <c r="D28644" s="7">
        <v>0.53</v>
      </c>
      <c r="E28644" t="s">
        <v>14</v>
      </c>
    </row>
    <row r="28645" spans="1:5" x14ac:dyDescent="0.25">
      <c r="A28645" t="str">
        <f>HYPERLINK("https://www.773grp.com/globalSearch/MC74HCT574ADTR2/page-1", "MC74HCT574ADTR2")</f>
        <v>MC74HCT574ADTR2</v>
      </c>
      <c r="B28645" s="3" t="str">
        <f>HYPERLINK("https://www.773grp.com/manufacturer/onsemi?pageNo=839", "ON Semiconductor")</f>
        <v>ON Semiconductor</v>
      </c>
      <c r="C28645" s="6">
        <v>35000</v>
      </c>
      <c r="D28645" s="7">
        <v>0.53</v>
      </c>
      <c r="E28645" t="s">
        <v>14</v>
      </c>
    </row>
    <row r="28646" spans="1:5" x14ac:dyDescent="0.25">
      <c r="A28646" t="str">
        <f>HYPERLINK("https://www.773grp.com/globalSearch/MC74HCT74ADT/page-1", "MC74HCT74ADT")</f>
        <v>MC74HCT74ADT</v>
      </c>
      <c r="B28646" s="3" t="str">
        <f>HYPERLINK("https://www.773grp.com/manufacturer/onsemi?pageNo=840", "ON Semiconductor")</f>
        <v>ON Semiconductor</v>
      </c>
      <c r="C28646" s="6">
        <v>5952</v>
      </c>
      <c r="D28646" s="7">
        <v>0.53</v>
      </c>
    </row>
    <row r="28647" spans="1:5" x14ac:dyDescent="0.25">
      <c r="A28647" t="str">
        <f>HYPERLINK("https://www.773grp.com/globalSearch/MC74LCX00DTEL/page-1", "MC74LCX00DTEL")</f>
        <v>MC74LCX00DTEL</v>
      </c>
      <c r="B28647" s="3" t="str">
        <f>HYPERLINK("https://www.773grp.com/manufacturer/onsemi?pageNo=841", "ON Semiconductor")</f>
        <v>ON Semiconductor</v>
      </c>
      <c r="C28647" s="6">
        <v>4000</v>
      </c>
      <c r="D28647" s="7">
        <v>0.53</v>
      </c>
    </row>
    <row r="28648" spans="1:5" x14ac:dyDescent="0.25">
      <c r="A28648" t="str">
        <f>HYPERLINK("https://www.773grp.com/globalSearch/MC74LCX00M/page-1", "MC74LCX00M")</f>
        <v>MC74LCX00M</v>
      </c>
      <c r="B28648" s="3" t="str">
        <f>HYPERLINK("https://www.773grp.com/manufacturer/onsemi?pageNo=842", "ON Semiconductor")</f>
        <v>ON Semiconductor</v>
      </c>
      <c r="C28648" s="6">
        <v>19550</v>
      </c>
      <c r="D28648" s="7">
        <v>0.53</v>
      </c>
      <c r="E28648" t="s">
        <v>31</v>
      </c>
    </row>
    <row r="28649" spans="1:5" x14ac:dyDescent="0.25">
      <c r="A28649" t="str">
        <f>HYPERLINK("https://www.773grp.com/globalSearch/MC74LCX02M/page-1", "MC74LCX02M")</f>
        <v>MC74LCX02M</v>
      </c>
      <c r="B28649" s="3" t="str">
        <f>HYPERLINK("https://www.773grp.com/manufacturer/onsemi?pageNo=843", "ON Semiconductor")</f>
        <v>ON Semiconductor</v>
      </c>
      <c r="C28649" s="6">
        <v>9800</v>
      </c>
      <c r="D28649" s="7">
        <v>0.53</v>
      </c>
      <c r="E28649" t="s">
        <v>31</v>
      </c>
    </row>
    <row r="28650" spans="1:5" x14ac:dyDescent="0.25">
      <c r="A28650" t="str">
        <f>HYPERLINK("https://www.773grp.com/globalSearch/MC74LCX04M/page-1", "MC74LCX04M")</f>
        <v>MC74LCX04M</v>
      </c>
      <c r="B28650" s="3" t="str">
        <f>HYPERLINK("https://www.773grp.com/manufacturer/onsemi?pageNo=844", "ON Semiconductor")</f>
        <v>ON Semiconductor</v>
      </c>
      <c r="C28650" s="6">
        <v>1657</v>
      </c>
      <c r="D28650" s="7">
        <v>0.53</v>
      </c>
      <c r="E28650" t="s">
        <v>31</v>
      </c>
    </row>
    <row r="28651" spans="1:5" x14ac:dyDescent="0.25">
      <c r="A28651" t="str">
        <f>HYPERLINK("https://www.773grp.com/globalSearch/MC74LCX08DTEL/page-1", "MC74LCX08DTEL")</f>
        <v>MC74LCX08DTEL</v>
      </c>
      <c r="B28651" s="3" t="str">
        <f>HYPERLINK("https://www.773grp.com/manufacturer/onsemi?pageNo=845", "ON Semiconductor")</f>
        <v>ON Semiconductor</v>
      </c>
      <c r="C28651" s="6">
        <v>6000</v>
      </c>
      <c r="D28651" s="7">
        <v>0.53</v>
      </c>
    </row>
    <row r="28652" spans="1:5" x14ac:dyDescent="0.25">
      <c r="A28652" t="str">
        <f>HYPERLINK("https://www.773grp.com/globalSearch/MC74LCX08M/page-1", "MC74LCX08M")</f>
        <v>MC74LCX08M</v>
      </c>
      <c r="B28652" s="3" t="str">
        <f>HYPERLINK("https://www.773grp.com/manufacturer/onsemi?pageNo=846", "ON Semiconductor")</f>
        <v>ON Semiconductor</v>
      </c>
      <c r="C28652" s="6">
        <v>2445</v>
      </c>
      <c r="D28652" s="7">
        <v>0.53</v>
      </c>
      <c r="E28652" t="s">
        <v>31</v>
      </c>
    </row>
    <row r="28653" spans="1:5" x14ac:dyDescent="0.25">
      <c r="A28653" t="str">
        <f>HYPERLINK("https://www.773grp.com/globalSearch/MC74LCX138D/page-1", "MC74LCX138D")</f>
        <v>MC74LCX138D</v>
      </c>
      <c r="B28653" s="3" t="str">
        <f>HYPERLINK("https://www.773grp.com/manufacturer/onsemi?pageNo=847", "ON Semiconductor")</f>
        <v>ON Semiconductor</v>
      </c>
      <c r="C28653" s="6">
        <v>16802</v>
      </c>
      <c r="D28653" s="7">
        <v>0.53</v>
      </c>
      <c r="E28653" t="s">
        <v>36</v>
      </c>
    </row>
    <row r="28654" spans="1:5" x14ac:dyDescent="0.25">
      <c r="A28654" t="str">
        <f>HYPERLINK("https://www.773grp.com/globalSearch/MC74LCX244DT/page-1", "MC74LCX244DT")</f>
        <v>MC74LCX244DT</v>
      </c>
      <c r="B28654" s="3" t="str">
        <f>HYPERLINK("https://www.773grp.com/manufacturer/onsemi?pageNo=848", "ON Semiconductor")</f>
        <v>ON Semiconductor</v>
      </c>
      <c r="C28654" s="6">
        <v>39975</v>
      </c>
      <c r="D28654" s="7">
        <v>0.53</v>
      </c>
      <c r="E28654" t="s">
        <v>14</v>
      </c>
    </row>
    <row r="28655" spans="1:5" x14ac:dyDescent="0.25">
      <c r="A28655" t="str">
        <f>HYPERLINK("https://www.773grp.com/globalSearch/MC74LCX244DTR2/page-1", "MC74LCX244DTR2")</f>
        <v>MC74LCX244DTR2</v>
      </c>
      <c r="B28655" s="3" t="str">
        <f>HYPERLINK("https://www.773grp.com/manufacturer/onsemi?pageNo=849", "ON Semiconductor")</f>
        <v>ON Semiconductor</v>
      </c>
      <c r="C28655" s="6">
        <v>54190</v>
      </c>
      <c r="D28655" s="7">
        <v>0.53</v>
      </c>
      <c r="E28655" t="s">
        <v>14</v>
      </c>
    </row>
    <row r="28656" spans="1:5" x14ac:dyDescent="0.25">
      <c r="A28656" t="str">
        <f>HYPERLINK("https://www.773grp.com/globalSearch/MC74LCX245DT/page-1", "MC74LCX245DT")</f>
        <v>MC74LCX245DT</v>
      </c>
      <c r="B28656" s="3" t="str">
        <f>HYPERLINK("https://www.773grp.com/manufacturer/onsemi?pageNo=850", "ON Semiconductor")</f>
        <v>ON Semiconductor</v>
      </c>
      <c r="C28656" s="6">
        <v>271579</v>
      </c>
      <c r="D28656" s="7">
        <v>0.53</v>
      </c>
      <c r="E28656" t="s">
        <v>14</v>
      </c>
    </row>
    <row r="28657" spans="1:5" x14ac:dyDescent="0.25">
      <c r="A28657" t="str">
        <f>HYPERLINK("https://www.773grp.com/globalSearch/MC74LCX245DTR2/page-1", "MC74LCX245DTR2")</f>
        <v>MC74LCX245DTR2</v>
      </c>
      <c r="B28657" s="3" t="str">
        <f>HYPERLINK("https://www.773grp.com/manufacturer/onsemi?pageNo=851", "ON Semiconductor")</f>
        <v>ON Semiconductor</v>
      </c>
      <c r="C28657" s="6">
        <v>7500</v>
      </c>
      <c r="D28657" s="7">
        <v>0.53</v>
      </c>
      <c r="E28657" t="s">
        <v>14</v>
      </c>
    </row>
    <row r="28658" spans="1:5" x14ac:dyDescent="0.25">
      <c r="A28658" t="str">
        <f>HYPERLINK("https://www.773grp.com/globalSearch/MC74LCX32DTEL/page-1", "MC74LCX32DTEL")</f>
        <v>MC74LCX32DTEL</v>
      </c>
      <c r="B28658" s="3" t="str">
        <f>HYPERLINK("https://www.773grp.com/manufacturer/onsemi?pageNo=852", "ON Semiconductor")</f>
        <v>ON Semiconductor</v>
      </c>
      <c r="C28658" s="6">
        <v>4000</v>
      </c>
      <c r="D28658" s="7">
        <v>0.53</v>
      </c>
    </row>
    <row r="28659" spans="1:5" x14ac:dyDescent="0.25">
      <c r="A28659" t="str">
        <f>HYPERLINK("https://www.773grp.com/globalSearch/MC74LCX373DT/page-1", "MC74LCX373DT")</f>
        <v>MC74LCX373DT</v>
      </c>
      <c r="B28659" s="3" t="str">
        <f>HYPERLINK("https://www.773grp.com/manufacturer/onsemi?pageNo=853", "ON Semiconductor")</f>
        <v>ON Semiconductor</v>
      </c>
      <c r="C28659" s="6">
        <v>23968</v>
      </c>
      <c r="D28659" s="7">
        <v>0.53</v>
      </c>
      <c r="E28659" t="s">
        <v>14</v>
      </c>
    </row>
    <row r="28660" spans="1:5" x14ac:dyDescent="0.25">
      <c r="A28660" t="str">
        <f>HYPERLINK("https://www.773grp.com/globalSearch/MC74LCX373DTR2/page-1", "MC74LCX373DTR2")</f>
        <v>MC74LCX373DTR2</v>
      </c>
      <c r="B28660" s="3" t="str">
        <f>HYPERLINK("https://www.773grp.com/manufacturer/onsemi?pageNo=854", "ON Semiconductor")</f>
        <v>ON Semiconductor</v>
      </c>
      <c r="C28660" s="6">
        <v>12500</v>
      </c>
      <c r="D28660" s="7">
        <v>0.53</v>
      </c>
      <c r="E28660" t="s">
        <v>14</v>
      </c>
    </row>
    <row r="28661" spans="1:5" x14ac:dyDescent="0.25">
      <c r="A28661" t="str">
        <f>HYPERLINK("https://www.773grp.com/globalSearch/MC74LCX573DT/page-1", "MC74LCX573DT")</f>
        <v>MC74LCX573DT</v>
      </c>
      <c r="B28661" s="3" t="str">
        <f>HYPERLINK("https://www.773grp.com/manufacturer/onsemi?pageNo=855", "ON Semiconductor")</f>
        <v>ON Semiconductor</v>
      </c>
      <c r="C28661" s="6">
        <v>5075</v>
      </c>
      <c r="D28661" s="7">
        <v>0.53</v>
      </c>
      <c r="E28661" t="s">
        <v>14</v>
      </c>
    </row>
    <row r="28662" spans="1:5" x14ac:dyDescent="0.25">
      <c r="A28662" t="str">
        <f>HYPERLINK("https://www.773grp.com/globalSearch/MC74LCX573DTR2/page-1", "MC74LCX573DTR2")</f>
        <v>MC74LCX573DTR2</v>
      </c>
      <c r="B28662" s="3" t="str">
        <f>HYPERLINK("https://www.773grp.com/manufacturer/onsemi?pageNo=856", "ON Semiconductor")</f>
        <v>ON Semiconductor</v>
      </c>
      <c r="C28662" s="6">
        <v>1995</v>
      </c>
      <c r="D28662" s="7">
        <v>0.53</v>
      </c>
      <c r="E28662" t="s">
        <v>14</v>
      </c>
    </row>
    <row r="28663" spans="1:5" x14ac:dyDescent="0.25">
      <c r="A28663" t="str">
        <f>HYPERLINK("https://www.773grp.com/globalSearch/MC74LCX574DT/page-1", "MC74LCX574DT")</f>
        <v>MC74LCX574DT</v>
      </c>
      <c r="B28663" s="3" t="str">
        <f>HYPERLINK("https://www.773grp.com/manufacturer/onsemi?pageNo=857", "ON Semiconductor")</f>
        <v>ON Semiconductor</v>
      </c>
      <c r="C28663" s="6">
        <v>36</v>
      </c>
      <c r="D28663" s="7">
        <v>0.53</v>
      </c>
      <c r="E28663" t="s">
        <v>14</v>
      </c>
    </row>
    <row r="28664" spans="1:5" x14ac:dyDescent="0.25">
      <c r="A28664" t="str">
        <f>HYPERLINK("https://www.773grp.com/globalSearch/MC74LVX157DT/page-1", "MC74LVX157DT")</f>
        <v>MC74LVX157DT</v>
      </c>
      <c r="B28664" s="3" t="str">
        <f>HYPERLINK("https://www.773grp.com/manufacturer/onsemi?pageNo=858", "ON Semiconductor")</f>
        <v>ON Semiconductor</v>
      </c>
      <c r="C28664" s="6">
        <v>192</v>
      </c>
      <c r="D28664" s="7">
        <v>0.53</v>
      </c>
      <c r="E28664" t="s">
        <v>20</v>
      </c>
    </row>
    <row r="28665" spans="1:5" x14ac:dyDescent="0.25">
      <c r="A28665" t="str">
        <f>HYPERLINK("https://www.773grp.com/globalSearch/MC74LVX244DT/page-1", "MC74LVX244DT")</f>
        <v>MC74LVX244DT</v>
      </c>
      <c r="B28665" s="3" t="str">
        <f>HYPERLINK("https://www.773grp.com/manufacturer/onsemi?pageNo=859", "ON Semiconductor")</f>
        <v>ON Semiconductor</v>
      </c>
      <c r="C28665" s="6">
        <v>13875</v>
      </c>
      <c r="D28665" s="7">
        <v>0.53</v>
      </c>
      <c r="E28665" t="s">
        <v>14</v>
      </c>
    </row>
    <row r="28666" spans="1:5" x14ac:dyDescent="0.25">
      <c r="A28666" t="str">
        <f>HYPERLINK("https://www.773grp.com/globalSearch/MC74LVX244DTR2/page-1", "MC74LVX244DTR2")</f>
        <v>MC74LVX244DTR2</v>
      </c>
      <c r="B28666" s="3" t="str">
        <f>HYPERLINK("https://www.773grp.com/manufacturer/onsemi?pageNo=860", "ON Semiconductor")</f>
        <v>ON Semiconductor</v>
      </c>
      <c r="C28666" s="6">
        <v>2500</v>
      </c>
      <c r="D28666" s="7">
        <v>0.53</v>
      </c>
      <c r="E28666" t="s">
        <v>14</v>
      </c>
    </row>
    <row r="28667" spans="1:5" x14ac:dyDescent="0.25">
      <c r="A28667" t="str">
        <f>HYPERLINK("https://www.773grp.com/globalSearch/MC74LVX245DT/page-1", "MC74LVX245DT")</f>
        <v>MC74LVX245DT</v>
      </c>
      <c r="B28667" s="3" t="str">
        <f>HYPERLINK("https://www.773grp.com/manufacturer/onsemi?pageNo=861", "ON Semiconductor")</f>
        <v>ON Semiconductor</v>
      </c>
      <c r="C28667" s="6">
        <v>27150</v>
      </c>
      <c r="D28667" s="7">
        <v>0.53</v>
      </c>
      <c r="E28667" t="s">
        <v>14</v>
      </c>
    </row>
    <row r="28668" spans="1:5" x14ac:dyDescent="0.25">
      <c r="A28668" t="str">
        <f>HYPERLINK("https://www.773grp.com/globalSearch/MC74LVX245DTR2/page-1", "MC74LVX245DTR2")</f>
        <v>MC74LVX245DTR2</v>
      </c>
      <c r="B28668" s="3" t="str">
        <f>HYPERLINK("https://www.773grp.com/manufacturer/onsemi?pageNo=862", "ON Semiconductor")</f>
        <v>ON Semiconductor</v>
      </c>
      <c r="C28668" s="6">
        <v>5000</v>
      </c>
      <c r="D28668" s="7">
        <v>0.53</v>
      </c>
      <c r="E28668" t="s">
        <v>14</v>
      </c>
    </row>
    <row r="28669" spans="1:5" x14ac:dyDescent="0.25">
      <c r="A28669" t="str">
        <f>HYPERLINK("https://www.773grp.com/globalSearch/MC74LVX373DT/page-1", "MC74LVX373DT")</f>
        <v>MC74LVX373DT</v>
      </c>
      <c r="B28669" s="3" t="str">
        <f>HYPERLINK("https://www.773grp.com/manufacturer/onsemi?pageNo=863", "ON Semiconductor")</f>
        <v>ON Semiconductor</v>
      </c>
      <c r="C28669" s="6">
        <v>300</v>
      </c>
      <c r="D28669" s="7">
        <v>0.53</v>
      </c>
      <c r="E28669" t="s">
        <v>14</v>
      </c>
    </row>
    <row r="28670" spans="1:5" x14ac:dyDescent="0.25">
      <c r="A28670" t="str">
        <f>HYPERLINK("https://www.773grp.com/globalSearch/MC74LVX373M/page-1", "MC74LVX373M")</f>
        <v>MC74LVX373M</v>
      </c>
      <c r="B28670" s="3" t="str">
        <f>HYPERLINK("https://www.773grp.com/manufacturer/onsemi?pageNo=864", "ON Semiconductor")</f>
        <v>ON Semiconductor</v>
      </c>
      <c r="C28670" s="6">
        <v>10880</v>
      </c>
      <c r="D28670" s="7">
        <v>0.53</v>
      </c>
      <c r="E28670" t="s">
        <v>14</v>
      </c>
    </row>
    <row r="28671" spans="1:5" x14ac:dyDescent="0.25">
      <c r="A28671" t="str">
        <f>HYPERLINK("https://www.773grp.com/globalSearch/MC74LVX374DTR2/page-1", "MC74LVX374DTR2")</f>
        <v>MC74LVX374DTR2</v>
      </c>
      <c r="B28671" s="3" t="str">
        <f>HYPERLINK("https://www.773grp.com/manufacturer/onsemi?pageNo=865", "ON Semiconductor")</f>
        <v>ON Semiconductor</v>
      </c>
      <c r="C28671" s="6">
        <v>20000</v>
      </c>
      <c r="D28671" s="7">
        <v>0.53</v>
      </c>
      <c r="E28671" t="s">
        <v>14</v>
      </c>
    </row>
    <row r="28672" spans="1:5" x14ac:dyDescent="0.25">
      <c r="A28672" t="str">
        <f>HYPERLINK("https://www.773grp.com/globalSearch/MC74LVX4051D/page-1", "MC74LVX4051D")</f>
        <v>MC74LVX4051D</v>
      </c>
      <c r="B28672" s="3" t="str">
        <f>HYPERLINK("https://www.773grp.com/manufacturer/onsemi?pageNo=866", "ON Semiconductor")</f>
        <v>ON Semiconductor</v>
      </c>
      <c r="C28672" s="6">
        <v>5212</v>
      </c>
      <c r="D28672" s="7">
        <v>0.53</v>
      </c>
      <c r="E28672" t="s">
        <v>56</v>
      </c>
    </row>
    <row r="28673" spans="1:5" x14ac:dyDescent="0.25">
      <c r="A28673" t="str">
        <f>HYPERLINK("https://www.773grp.com/globalSearch/MC74LVX4051DR2/page-1", "MC74LVX4051DR2")</f>
        <v>MC74LVX4051DR2</v>
      </c>
      <c r="B28673" s="3" t="str">
        <f>HYPERLINK("https://www.773grp.com/manufacturer/onsemi?pageNo=867", "ON Semiconductor")</f>
        <v>ON Semiconductor</v>
      </c>
      <c r="C28673" s="6">
        <v>2175</v>
      </c>
      <c r="D28673" s="7">
        <v>0.53</v>
      </c>
      <c r="E28673" t="s">
        <v>56</v>
      </c>
    </row>
    <row r="28674" spans="1:5" x14ac:dyDescent="0.25">
      <c r="A28674" t="str">
        <f>HYPERLINK("https://www.773grp.com/globalSearch/MC74LVX4051DT/page-1", "MC74LVX4051DT")</f>
        <v>MC74LVX4051DT</v>
      </c>
      <c r="B28674" s="3" t="str">
        <f>HYPERLINK("https://www.773grp.com/manufacturer/onsemi?pageNo=868", "ON Semiconductor")</f>
        <v>ON Semiconductor</v>
      </c>
      <c r="C28674" s="6">
        <v>6572</v>
      </c>
      <c r="D28674" s="7">
        <v>0.53</v>
      </c>
      <c r="E28674" t="s">
        <v>56</v>
      </c>
    </row>
    <row r="28675" spans="1:5" x14ac:dyDescent="0.25">
      <c r="A28675" t="str">
        <f>HYPERLINK("https://www.773grp.com/globalSearch/MC74LVX4052D/page-1", "MC74LVX4052D")</f>
        <v>MC74LVX4052D</v>
      </c>
      <c r="B28675" s="3" t="str">
        <f>HYPERLINK("https://www.773grp.com/manufacturer/onsemi?pageNo=869", "ON Semiconductor")</f>
        <v>ON Semiconductor</v>
      </c>
      <c r="C28675" s="6">
        <v>2016</v>
      </c>
      <c r="D28675" s="7">
        <v>0.53</v>
      </c>
      <c r="E28675" t="s">
        <v>56</v>
      </c>
    </row>
    <row r="28676" spans="1:5" x14ac:dyDescent="0.25">
      <c r="A28676" t="str">
        <f>HYPERLINK("https://www.773grp.com/globalSearch/MC74LVX4053DT/page-1", "MC74LVX4053DT")</f>
        <v>MC74LVX4053DT</v>
      </c>
      <c r="B28676" s="3" t="str">
        <f>HYPERLINK("https://www.773grp.com/manufacturer/onsemi?pageNo=870", "ON Semiconductor")</f>
        <v>ON Semiconductor</v>
      </c>
      <c r="C28676" s="6">
        <v>4677</v>
      </c>
      <c r="D28676" s="7">
        <v>0.53</v>
      </c>
      <c r="E28676" t="s">
        <v>56</v>
      </c>
    </row>
    <row r="28677" spans="1:5" x14ac:dyDescent="0.25">
      <c r="A28677" t="str">
        <f>HYPERLINK("https://www.773grp.com/globalSearch/MC74LVX4066DR2/page-1", "MC74LVX4066DR2")</f>
        <v>MC74LVX4066DR2</v>
      </c>
      <c r="B28677" s="3" t="str">
        <f>HYPERLINK("https://www.773grp.com/manufacturer/onsemi?pageNo=871", "ON Semiconductor")</f>
        <v>ON Semiconductor</v>
      </c>
      <c r="C28677" s="6">
        <v>59618</v>
      </c>
      <c r="D28677" s="7">
        <v>0.53</v>
      </c>
      <c r="E28677" t="s">
        <v>56</v>
      </c>
    </row>
    <row r="28678" spans="1:5" x14ac:dyDescent="0.25">
      <c r="A28678" t="str">
        <f>HYPERLINK("https://www.773grp.com/globalSearch/MC74LVX573DT/page-1", "MC74LVX573DT")</f>
        <v>MC74LVX573DT</v>
      </c>
      <c r="B28678" s="3" t="str">
        <f>HYPERLINK("https://www.773grp.com/manufacturer/onsemi?pageNo=872", "ON Semiconductor")</f>
        <v>ON Semiconductor</v>
      </c>
      <c r="C28678" s="6">
        <v>3175</v>
      </c>
      <c r="D28678" s="7">
        <v>0.53</v>
      </c>
      <c r="E28678" t="s">
        <v>14</v>
      </c>
    </row>
    <row r="28679" spans="1:5" x14ac:dyDescent="0.25">
      <c r="A28679" t="str">
        <f>HYPERLINK("https://www.773grp.com/globalSearch/MC74LVX573DTR2/page-1", "MC74LVX573DTR2")</f>
        <v>MC74LVX573DTR2</v>
      </c>
      <c r="B28679" s="3" t="str">
        <f>HYPERLINK("https://www.773grp.com/manufacturer/onsemi?pageNo=873", "ON Semiconductor")</f>
        <v>ON Semiconductor</v>
      </c>
      <c r="C28679" s="6">
        <v>20000</v>
      </c>
      <c r="D28679" s="7">
        <v>0.53</v>
      </c>
      <c r="E28679" t="s">
        <v>14</v>
      </c>
    </row>
    <row r="28680" spans="1:5" x14ac:dyDescent="0.25">
      <c r="A28680" t="str">
        <f>HYPERLINK("https://www.773grp.com/globalSearch/MC74LVX573MEL/page-1", "MC74LVX573MEL")</f>
        <v>MC74LVX573MEL</v>
      </c>
      <c r="B28680" s="3" t="str">
        <f>HYPERLINK("https://www.773grp.com/manufacturer/onsemi?pageNo=874", "ON Semiconductor")</f>
        <v>ON Semiconductor</v>
      </c>
      <c r="C28680" s="6">
        <v>10000</v>
      </c>
      <c r="D28680" s="7">
        <v>0.53</v>
      </c>
      <c r="E28680" t="s">
        <v>14</v>
      </c>
    </row>
    <row r="28681" spans="1:5" x14ac:dyDescent="0.25">
      <c r="A28681" t="str">
        <f>HYPERLINK("https://www.773grp.com/globalSearch/MC74LVX574DT/page-1", "MC74LVX574DT")</f>
        <v>MC74LVX574DT</v>
      </c>
      <c r="B28681" s="3" t="str">
        <f>HYPERLINK("https://www.773grp.com/manufacturer/onsemi?pageNo=875", "ON Semiconductor")</f>
        <v>ON Semiconductor</v>
      </c>
      <c r="C28681" s="6">
        <v>10125</v>
      </c>
      <c r="D28681" s="7">
        <v>0.53</v>
      </c>
      <c r="E28681" t="s">
        <v>14</v>
      </c>
    </row>
    <row r="28682" spans="1:5" x14ac:dyDescent="0.25">
      <c r="A28682" t="str">
        <f>HYPERLINK("https://www.773grp.com/globalSearch/MC74LVX574DTR2/page-1", "MC74LVX574DTR2")</f>
        <v>MC74LVX574DTR2</v>
      </c>
      <c r="B28682" s="3" t="str">
        <f>HYPERLINK("https://www.773grp.com/manufacturer/onsemi?pageNo=876", "ON Semiconductor")</f>
        <v>ON Semiconductor</v>
      </c>
      <c r="C28682" s="6">
        <v>15000</v>
      </c>
      <c r="D28682" s="7">
        <v>0.53</v>
      </c>
      <c r="E28682" t="s">
        <v>14</v>
      </c>
    </row>
    <row r="28683" spans="1:5" x14ac:dyDescent="0.25">
      <c r="A28683" t="str">
        <f>HYPERLINK("https://www.773grp.com/globalSearch/MC74LVX574MEL/page-1", "MC74LVX574MEL")</f>
        <v>MC74LVX574MEL</v>
      </c>
      <c r="B28683" s="3" t="str">
        <f>HYPERLINK("https://www.773grp.com/manufacturer/onsemi?pageNo=877", "ON Semiconductor")</f>
        <v>ON Semiconductor</v>
      </c>
      <c r="C28683" s="6">
        <v>24000</v>
      </c>
      <c r="D28683" s="7">
        <v>0.53</v>
      </c>
      <c r="E28683" t="s">
        <v>14</v>
      </c>
    </row>
    <row r="28684" spans="1:5" x14ac:dyDescent="0.25">
      <c r="A28684" t="str">
        <f>HYPERLINK("https://www.773grp.com/globalSearch/MC74LVXT4051D/page-1", "MC74LVXT4051D")</f>
        <v>MC74LVXT4051D</v>
      </c>
      <c r="B28684" s="3" t="str">
        <f>HYPERLINK("https://www.773grp.com/manufacturer/onsemi?pageNo=878", "ON Semiconductor")</f>
        <v>ON Semiconductor</v>
      </c>
      <c r="C28684" s="6">
        <v>2064</v>
      </c>
      <c r="D28684" s="7">
        <v>0.53</v>
      </c>
      <c r="E28684" t="s">
        <v>56</v>
      </c>
    </row>
    <row r="28685" spans="1:5" x14ac:dyDescent="0.25">
      <c r="A28685" t="str">
        <f>HYPERLINK("https://www.773grp.com/globalSearch/MC74LVXT4051DR2/page-1", "MC74LVXT4051DR2")</f>
        <v>MC74LVXT4051DR2</v>
      </c>
      <c r="B28685" s="3" t="str">
        <f>HYPERLINK("https://www.773grp.com/manufacturer/onsemi?pageNo=879", "ON Semiconductor")</f>
        <v>ON Semiconductor</v>
      </c>
      <c r="C28685" s="6">
        <v>2245</v>
      </c>
      <c r="D28685" s="7">
        <v>0.53</v>
      </c>
      <c r="E28685" t="s">
        <v>56</v>
      </c>
    </row>
    <row r="28686" spans="1:5" x14ac:dyDescent="0.25">
      <c r="A28686" t="str">
        <f>HYPERLINK("https://www.773grp.com/globalSearch/MC74LVXT4051DT/page-1", "MC74LVXT4051DT")</f>
        <v>MC74LVXT4051DT</v>
      </c>
      <c r="B28686" s="3" t="str">
        <f>HYPERLINK("https://www.773grp.com/manufacturer/onsemi?pageNo=880", "ON Semiconductor")</f>
        <v>ON Semiconductor</v>
      </c>
      <c r="C28686" s="6">
        <v>6891</v>
      </c>
      <c r="D28686" s="7">
        <v>0.53</v>
      </c>
      <c r="E28686" t="s">
        <v>56</v>
      </c>
    </row>
    <row r="28687" spans="1:5" x14ac:dyDescent="0.25">
      <c r="A28687" t="str">
        <f>HYPERLINK("https://www.773grp.com/globalSearch/MC74LVXT4052DR/page-1", "MC74LVXT4052DR")</f>
        <v>MC74LVXT4052DR</v>
      </c>
      <c r="B28687" s="3" t="str">
        <f>HYPERLINK("https://www.773grp.com/manufacturer/onsemi?pageNo=881", "ON Semiconductor")</f>
        <v>ON Semiconductor</v>
      </c>
      <c r="C28687" s="6">
        <v>2275</v>
      </c>
      <c r="D28687" s="7">
        <v>0.53</v>
      </c>
    </row>
    <row r="28688" spans="1:5" x14ac:dyDescent="0.25">
      <c r="A28688" t="str">
        <f>HYPERLINK("https://www.773grp.com/globalSearch/MC74LVXT4053DR2/page-1", "MC74LVXT4053DR2")</f>
        <v>MC74LVXT4053DR2</v>
      </c>
      <c r="B28688" s="3" t="str">
        <f>HYPERLINK("https://www.773grp.com/manufacturer/onsemi?pageNo=882", "ON Semiconductor")</f>
        <v>ON Semiconductor</v>
      </c>
      <c r="C28688" s="6">
        <v>2275</v>
      </c>
      <c r="D28688" s="7">
        <v>0.53</v>
      </c>
      <c r="E28688" t="s">
        <v>56</v>
      </c>
    </row>
    <row r="28689" spans="1:5" x14ac:dyDescent="0.25">
      <c r="A28689" t="str">
        <f>HYPERLINK("https://www.773grp.com/globalSearch/MC74VHC138MEL/page-1", "MC74VHC138MEL")</f>
        <v>MC74VHC138MEL</v>
      </c>
      <c r="B28689" s="3" t="str">
        <f>HYPERLINK("https://www.773grp.com/manufacturer/onsemi?pageNo=883", "ON Semiconductor")</f>
        <v>ON Semiconductor</v>
      </c>
      <c r="C28689" s="6">
        <v>10000</v>
      </c>
      <c r="D28689" s="7">
        <v>0.53</v>
      </c>
      <c r="E28689" t="s">
        <v>36</v>
      </c>
    </row>
    <row r="28690" spans="1:5" x14ac:dyDescent="0.25">
      <c r="A28690" t="str">
        <f>HYPERLINK("https://www.773grp.com/globalSearch/MC74VHC157D/page-1", "MC74VHC157D")</f>
        <v>MC74VHC157D</v>
      </c>
      <c r="B28690" s="3" t="str">
        <f>HYPERLINK("https://www.773grp.com/manufacturer/onsemi?pageNo=884", "ON Semiconductor")</f>
        <v>ON Semiconductor</v>
      </c>
      <c r="C28690" s="6">
        <v>33401</v>
      </c>
      <c r="D28690" s="7">
        <v>0.53</v>
      </c>
      <c r="E28690" t="s">
        <v>20</v>
      </c>
    </row>
    <row r="28691" spans="1:5" x14ac:dyDescent="0.25">
      <c r="A28691" t="str">
        <f>HYPERLINK("https://www.773grp.com/globalSearch/MC74VHC1GT125DT1/page-1", "MC74VHC1GT125DT1")</f>
        <v>MC74VHC1GT125DT1</v>
      </c>
      <c r="B28691" s="3" t="str">
        <f>HYPERLINK("https://www.773grp.com/manufacturer/onsemi?pageNo=885", "ON Semiconductor")</f>
        <v>ON Semiconductor</v>
      </c>
      <c r="C28691" s="6">
        <v>119483</v>
      </c>
      <c r="D28691" s="7">
        <v>0.53</v>
      </c>
      <c r="E28691" t="s">
        <v>14</v>
      </c>
    </row>
    <row r="28692" spans="1:5" x14ac:dyDescent="0.25">
      <c r="A28692" t="str">
        <f>HYPERLINK("https://www.773grp.com/globalSearch/MC74VHC240DTR2/page-1", "MC74VHC240DTR2")</f>
        <v>MC74VHC240DTR2</v>
      </c>
      <c r="B28692" s="3" t="str">
        <f>HYPERLINK("https://www.773grp.com/manufacturer/onsemi?pageNo=886", "ON Semiconductor")</f>
        <v>ON Semiconductor</v>
      </c>
      <c r="C28692" s="6">
        <v>2500</v>
      </c>
      <c r="D28692" s="7">
        <v>0.53</v>
      </c>
      <c r="E28692" t="s">
        <v>14</v>
      </c>
    </row>
    <row r="28693" spans="1:5" x14ac:dyDescent="0.25">
      <c r="A28693" t="str">
        <f>HYPERLINK("https://www.773grp.com/globalSearch/MC74VHC244DT/page-1", "MC74VHC244DT")</f>
        <v>MC74VHC244DT</v>
      </c>
      <c r="B28693" s="3" t="str">
        <f>HYPERLINK("https://www.773grp.com/manufacturer/onsemi?pageNo=887", "ON Semiconductor")</f>
        <v>ON Semiconductor</v>
      </c>
      <c r="C28693" s="6">
        <v>75</v>
      </c>
      <c r="D28693" s="7">
        <v>0.53</v>
      </c>
      <c r="E28693" t="s">
        <v>14</v>
      </c>
    </row>
    <row r="28694" spans="1:5" x14ac:dyDescent="0.25">
      <c r="A28694" t="str">
        <f>HYPERLINK("https://www.773grp.com/globalSearch/MC74VHC244MEL/page-1", "MC74VHC244MEL")</f>
        <v>MC74VHC244MEL</v>
      </c>
      <c r="B28694" s="3" t="str">
        <f>HYPERLINK("https://www.773grp.com/manufacturer/onsemi?pageNo=888", "ON Semiconductor")</f>
        <v>ON Semiconductor</v>
      </c>
      <c r="C28694" s="6">
        <v>1950</v>
      </c>
      <c r="D28694" s="7">
        <v>0.53</v>
      </c>
      <c r="E28694" t="s">
        <v>14</v>
      </c>
    </row>
    <row r="28695" spans="1:5" x14ac:dyDescent="0.25">
      <c r="A28695" t="str">
        <f>HYPERLINK("https://www.773grp.com/globalSearch/MC74VHC245DT/page-1", "MC74VHC245DT")</f>
        <v>MC74VHC245DT</v>
      </c>
      <c r="B28695" s="3" t="str">
        <f>HYPERLINK("https://www.773grp.com/manufacturer/onsemi?pageNo=889", "ON Semiconductor")</f>
        <v>ON Semiconductor</v>
      </c>
      <c r="C28695" s="6">
        <v>1725</v>
      </c>
      <c r="D28695" s="7">
        <v>0.53</v>
      </c>
      <c r="E28695" t="s">
        <v>14</v>
      </c>
    </row>
    <row r="28696" spans="1:5" x14ac:dyDescent="0.25">
      <c r="A28696" t="str">
        <f>HYPERLINK("https://www.773grp.com/globalSearch/MC74VHC373DT/page-1", "MC74VHC373DT")</f>
        <v>MC74VHC373DT</v>
      </c>
      <c r="B28696" s="3" t="str">
        <f>HYPERLINK("https://www.773grp.com/manufacturer/onsemi?pageNo=890", "ON Semiconductor")</f>
        <v>ON Semiconductor</v>
      </c>
      <c r="C28696" s="6">
        <v>5250</v>
      </c>
      <c r="D28696" s="7">
        <v>0.53</v>
      </c>
      <c r="E28696" t="s">
        <v>14</v>
      </c>
    </row>
    <row r="28697" spans="1:5" x14ac:dyDescent="0.25">
      <c r="A28697" t="str">
        <f>HYPERLINK("https://www.773grp.com/globalSearch/MC74VHC373DWR2/page-1", "MC74VHC373DWR2")</f>
        <v>MC74VHC373DWR2</v>
      </c>
      <c r="B28697" s="3" t="str">
        <f>HYPERLINK("https://www.773grp.com/manufacturer/onsemi?pageNo=891", "ON Semiconductor")</f>
        <v>ON Semiconductor</v>
      </c>
      <c r="C28697" s="6">
        <v>6000</v>
      </c>
      <c r="D28697" s="7">
        <v>0.53</v>
      </c>
      <c r="E28697" t="s">
        <v>14</v>
      </c>
    </row>
    <row r="28698" spans="1:5" x14ac:dyDescent="0.25">
      <c r="A28698" t="str">
        <f>HYPERLINK("https://www.773grp.com/globalSearch/MC74VHC374DTR2/page-1", "MC74VHC374DTR2")</f>
        <v>MC74VHC374DTR2</v>
      </c>
      <c r="B28698" s="3" t="str">
        <f>HYPERLINK("https://www.773grp.com/manufacturer/onsemi?pageNo=892", "ON Semiconductor")</f>
        <v>ON Semiconductor</v>
      </c>
      <c r="C28698" s="6">
        <v>2500</v>
      </c>
      <c r="D28698" s="7">
        <v>0.53</v>
      </c>
      <c r="E28698" t="s">
        <v>14</v>
      </c>
    </row>
    <row r="28699" spans="1:5" x14ac:dyDescent="0.25">
      <c r="A28699" t="str">
        <f>HYPERLINK("https://www.773grp.com/globalSearch/MC74VHC4066DT/page-1", "MC74VHC4066DT")</f>
        <v>MC74VHC4066DT</v>
      </c>
      <c r="B28699" s="3" t="str">
        <f>HYPERLINK("https://www.773grp.com/manufacturer/onsemi?pageNo=893", "ON Semiconductor")</f>
        <v>ON Semiconductor</v>
      </c>
      <c r="C28699" s="6">
        <v>12480</v>
      </c>
      <c r="D28699" s="7">
        <v>0.53</v>
      </c>
      <c r="E28699" t="s">
        <v>56</v>
      </c>
    </row>
    <row r="28700" spans="1:5" x14ac:dyDescent="0.25">
      <c r="A28700" t="str">
        <f>HYPERLINK("https://www.773grp.com/globalSearch/MC74VHC541DT/page-1", "MC74VHC541DT")</f>
        <v>MC74VHC541DT</v>
      </c>
      <c r="B28700" s="3" t="str">
        <f>HYPERLINK("https://www.773grp.com/manufacturer/onsemi?pageNo=894", "ON Semiconductor")</f>
        <v>ON Semiconductor</v>
      </c>
      <c r="C28700" s="6">
        <v>825</v>
      </c>
      <c r="D28700" s="7">
        <v>0.53</v>
      </c>
      <c r="E28700" t="s">
        <v>14</v>
      </c>
    </row>
    <row r="28701" spans="1:5" x14ac:dyDescent="0.25">
      <c r="A28701" t="str">
        <f>HYPERLINK("https://www.773grp.com/globalSearch/MC74VHC573DT/page-1", "MC74VHC573DT")</f>
        <v>MC74VHC573DT</v>
      </c>
      <c r="B28701" s="3" t="str">
        <f>HYPERLINK("https://www.773grp.com/manufacturer/onsemi?pageNo=895", "ON Semiconductor")</f>
        <v>ON Semiconductor</v>
      </c>
      <c r="C28701" s="6">
        <v>150</v>
      </c>
      <c r="D28701" s="7">
        <v>0.53</v>
      </c>
      <c r="E28701" t="s">
        <v>14</v>
      </c>
    </row>
    <row r="28702" spans="1:5" x14ac:dyDescent="0.25">
      <c r="A28702" t="str">
        <f>HYPERLINK("https://www.773grp.com/globalSearch/MC74VHC573DW/page-1", "MC74VHC573DW")</f>
        <v>MC74VHC573DW</v>
      </c>
      <c r="B28702" s="3" t="str">
        <f>HYPERLINK("https://www.773grp.com/manufacturer/onsemi?pageNo=896", "ON Semiconductor")</f>
        <v>ON Semiconductor</v>
      </c>
      <c r="C28702" s="6">
        <v>1870</v>
      </c>
      <c r="D28702" s="7">
        <v>0.53</v>
      </c>
      <c r="E28702" t="s">
        <v>14</v>
      </c>
    </row>
    <row r="28703" spans="1:5" x14ac:dyDescent="0.25">
      <c r="A28703" t="str">
        <f>HYPERLINK("https://www.773grp.com/globalSearch/MC74VHC574DT/page-1", "MC74VHC574DT")</f>
        <v>MC74VHC574DT</v>
      </c>
      <c r="B28703" s="3" t="str">
        <f>HYPERLINK("https://www.773grp.com/manufacturer/onsemi?pageNo=897", "ON Semiconductor")</f>
        <v>ON Semiconductor</v>
      </c>
      <c r="C28703" s="6">
        <v>1486</v>
      </c>
      <c r="D28703" s="7">
        <v>0.53</v>
      </c>
      <c r="E28703" t="s">
        <v>14</v>
      </c>
    </row>
    <row r="28704" spans="1:5" x14ac:dyDescent="0.25">
      <c r="A28704" t="str">
        <f>HYPERLINK("https://www.773grp.com/globalSearch/MC74VHC574DW/page-1", "MC74VHC574DW")</f>
        <v>MC74VHC574DW</v>
      </c>
      <c r="B28704" s="3" t="str">
        <f>HYPERLINK("https://www.773grp.com/manufacturer/onsemi?pageNo=898", "ON Semiconductor")</f>
        <v>ON Semiconductor</v>
      </c>
      <c r="C28704" s="6">
        <v>432</v>
      </c>
      <c r="D28704" s="7">
        <v>0.53</v>
      </c>
      <c r="E28704" t="s">
        <v>14</v>
      </c>
    </row>
    <row r="28705" spans="1:5" x14ac:dyDescent="0.25">
      <c r="A28705" t="str">
        <f>HYPERLINK("https://www.773grp.com/globalSearch/MC74VHC574DWR2/page-1", "MC74VHC574DWR2")</f>
        <v>MC74VHC574DWR2</v>
      </c>
      <c r="B28705" s="3" t="str">
        <f>HYPERLINK("https://www.773grp.com/manufacturer/onsemi?pageNo=899", "ON Semiconductor")</f>
        <v>ON Semiconductor</v>
      </c>
      <c r="C28705" s="6">
        <v>1000</v>
      </c>
      <c r="D28705" s="7">
        <v>0.53</v>
      </c>
      <c r="E28705" t="s">
        <v>14</v>
      </c>
    </row>
    <row r="28706" spans="1:5" x14ac:dyDescent="0.25">
      <c r="A28706" t="str">
        <f>HYPERLINK("https://www.773grp.com/globalSearch/MC74VHC86D/page-1", "MC74VHC86D")</f>
        <v>MC74VHC86D</v>
      </c>
      <c r="B28706" s="3" t="str">
        <f>HYPERLINK("https://www.773grp.com/manufacturer/onsemi?pageNo=900", "ON Semiconductor")</f>
        <v>ON Semiconductor</v>
      </c>
      <c r="C28706" s="6">
        <v>660</v>
      </c>
      <c r="D28706" s="7">
        <v>0.53</v>
      </c>
      <c r="E28706" t="s">
        <v>31</v>
      </c>
    </row>
    <row r="28707" spans="1:5" x14ac:dyDescent="0.25">
      <c r="A28707" t="str">
        <f>HYPERLINK("https://www.773grp.com/globalSearch/MC74VHCT138AD/page-1", "MC74VHCT138AD")</f>
        <v>MC74VHCT138AD</v>
      </c>
      <c r="B28707" s="3" t="str">
        <f>HYPERLINK("https://www.773grp.com/manufacturer/onsemi?pageNo=901", "ON Semiconductor")</f>
        <v>ON Semiconductor</v>
      </c>
      <c r="C28707" s="6">
        <v>18624</v>
      </c>
      <c r="D28707" s="7">
        <v>0.53</v>
      </c>
      <c r="E28707" t="s">
        <v>36</v>
      </c>
    </row>
    <row r="28708" spans="1:5" x14ac:dyDescent="0.25">
      <c r="A28708" t="str">
        <f>HYPERLINK("https://www.773grp.com/globalSearch/MC74VHCT138ADT/page-1", "MC74VHCT138ADT")</f>
        <v>MC74VHCT138ADT</v>
      </c>
      <c r="B28708" s="3" t="str">
        <f>HYPERLINK("https://www.773grp.com/manufacturer/onsemi?pageNo=902", "ON Semiconductor")</f>
        <v>ON Semiconductor</v>
      </c>
      <c r="C28708" s="6">
        <v>386</v>
      </c>
      <c r="D28708" s="7">
        <v>0.53</v>
      </c>
      <c r="E28708" t="s">
        <v>36</v>
      </c>
    </row>
    <row r="28709" spans="1:5" x14ac:dyDescent="0.25">
      <c r="A28709" t="str">
        <f>HYPERLINK("https://www.773grp.com/globalSearch/MC74VHCT240ADTR2/page-1", "MC74VHCT240ADTR2")</f>
        <v>MC74VHCT240ADTR2</v>
      </c>
      <c r="B28709" s="3" t="str">
        <f>HYPERLINK("https://www.773grp.com/manufacturer/onsemi?pageNo=903", "ON Semiconductor")</f>
        <v>ON Semiconductor</v>
      </c>
      <c r="C28709" s="6">
        <v>7500</v>
      </c>
      <c r="D28709" s="7">
        <v>0.53</v>
      </c>
      <c r="E28709" t="s">
        <v>14</v>
      </c>
    </row>
    <row r="28710" spans="1:5" x14ac:dyDescent="0.25">
      <c r="A28710" t="str">
        <f>HYPERLINK("https://www.773grp.com/globalSearch/MC74VHCT244ADT/page-1", "MC74VHCT244ADT")</f>
        <v>MC74VHCT244ADT</v>
      </c>
      <c r="B28710" s="3" t="str">
        <f>HYPERLINK("https://www.773grp.com/manufacturer/onsemi?pageNo=904", "ON Semiconductor")</f>
        <v>ON Semiconductor</v>
      </c>
      <c r="C28710" s="6">
        <v>12191</v>
      </c>
      <c r="D28710" s="7">
        <v>0.53</v>
      </c>
      <c r="E28710" t="s">
        <v>14</v>
      </c>
    </row>
    <row r="28711" spans="1:5" x14ac:dyDescent="0.25">
      <c r="A28711" t="str">
        <f>HYPERLINK("https://www.773grp.com/globalSearch/MC74VHCT244AM/page-1", "MC74VHCT244AM")</f>
        <v>MC74VHCT244AM</v>
      </c>
      <c r="B28711" s="3" t="str">
        <f>HYPERLINK("https://www.773grp.com/manufacturer/onsemi?pageNo=905", "ON Semiconductor")</f>
        <v>ON Semiconductor</v>
      </c>
      <c r="C28711" s="6">
        <v>35</v>
      </c>
      <c r="D28711" s="7">
        <v>0.53</v>
      </c>
      <c r="E28711" t="s">
        <v>14</v>
      </c>
    </row>
    <row r="28712" spans="1:5" x14ac:dyDescent="0.25">
      <c r="A28712" t="str">
        <f>HYPERLINK("https://www.773grp.com/globalSearch/MC74VHCT245ADT/page-1", "MC74VHCT245ADT")</f>
        <v>MC74VHCT245ADT</v>
      </c>
      <c r="B28712" s="3" t="str">
        <f>HYPERLINK("https://www.773grp.com/manufacturer/onsemi?pageNo=906", "ON Semiconductor")</f>
        <v>ON Semiconductor</v>
      </c>
      <c r="C28712" s="6">
        <v>12941</v>
      </c>
      <c r="D28712" s="7">
        <v>0.53</v>
      </c>
      <c r="E28712" t="s">
        <v>14</v>
      </c>
    </row>
    <row r="28713" spans="1:5" x14ac:dyDescent="0.25">
      <c r="A28713" t="str">
        <f>HYPERLINK("https://www.773grp.com/globalSearch/MC74VHCT245ADW/page-1", "MC74VHCT245ADW")</f>
        <v>MC74VHCT245ADW</v>
      </c>
      <c r="B28713" s="3" t="str">
        <f>HYPERLINK("https://www.773grp.com/manufacturer/onsemi?pageNo=907", "ON Semiconductor")</f>
        <v>ON Semiconductor</v>
      </c>
      <c r="C28713" s="6">
        <v>14320</v>
      </c>
      <c r="D28713" s="7">
        <v>0.53</v>
      </c>
      <c r="E28713" t="s">
        <v>14</v>
      </c>
    </row>
    <row r="28714" spans="1:5" x14ac:dyDescent="0.25">
      <c r="A28714" t="str">
        <f>HYPERLINK("https://www.773grp.com/globalSearch/MC74VHCT245ADWR2/page-1", "MC74VHCT245ADWR2")</f>
        <v>MC74VHCT245ADWR2</v>
      </c>
      <c r="B28714" s="3" t="str">
        <f>HYPERLINK("https://www.773grp.com/manufacturer/onsemi?pageNo=908", "ON Semiconductor")</f>
        <v>ON Semiconductor</v>
      </c>
      <c r="C28714" s="6">
        <v>15000</v>
      </c>
      <c r="D28714" s="7">
        <v>0.53</v>
      </c>
      <c r="E28714" t="s">
        <v>14</v>
      </c>
    </row>
    <row r="28715" spans="1:5" x14ac:dyDescent="0.25">
      <c r="A28715" t="str">
        <f>HYPERLINK("https://www.773grp.com/globalSearch/MC74VHCT373ADTR2/page-1", "MC74VHCT373ADTR2")</f>
        <v>MC74VHCT373ADTR2</v>
      </c>
      <c r="B28715" s="3" t="str">
        <f>HYPERLINK("https://www.773grp.com/manufacturer/onsemi?pageNo=909", "ON Semiconductor")</f>
        <v>ON Semiconductor</v>
      </c>
      <c r="C28715" s="6">
        <v>40500</v>
      </c>
      <c r="D28715" s="7">
        <v>0.53</v>
      </c>
      <c r="E28715" t="s">
        <v>14</v>
      </c>
    </row>
    <row r="28716" spans="1:5" x14ac:dyDescent="0.25">
      <c r="A28716" t="str">
        <f>HYPERLINK("https://www.773grp.com/globalSearch/MC74VHCT374ADTR2/page-1", "MC74VHCT374ADTR2")</f>
        <v>MC74VHCT374ADTR2</v>
      </c>
      <c r="B28716" s="3" t="str">
        <f>HYPERLINK("https://www.773grp.com/manufacturer/onsemi?pageNo=910", "ON Semiconductor")</f>
        <v>ON Semiconductor</v>
      </c>
      <c r="C28716" s="6">
        <v>12500</v>
      </c>
      <c r="D28716" s="7">
        <v>0.53</v>
      </c>
      <c r="E28716" t="s">
        <v>14</v>
      </c>
    </row>
    <row r="28717" spans="1:5" x14ac:dyDescent="0.25">
      <c r="A28717" t="str">
        <f>HYPERLINK("https://www.773grp.com/globalSearch/MC74VHCT374ADWR2/page-1", "MC74VHCT374ADWR2")</f>
        <v>MC74VHCT374ADWR2</v>
      </c>
      <c r="B28717" s="3" t="str">
        <f>HYPERLINK("https://www.773grp.com/manufacturer/onsemi?pageNo=911", "ON Semiconductor")</f>
        <v>ON Semiconductor</v>
      </c>
      <c r="C28717" s="6">
        <v>9000</v>
      </c>
      <c r="D28717" s="7">
        <v>0.53</v>
      </c>
      <c r="E28717" t="s">
        <v>14</v>
      </c>
    </row>
    <row r="28718" spans="1:5" x14ac:dyDescent="0.25">
      <c r="A28718" t="str">
        <f>HYPERLINK("https://www.773grp.com/globalSearch/MC74VHCT374AMEL/page-1", "MC74VHCT374AMEL")</f>
        <v>MC74VHCT374AMEL</v>
      </c>
      <c r="B28718" s="3" t="str">
        <f>HYPERLINK("https://www.773grp.com/manufacturer/onsemi?pageNo=912", "ON Semiconductor")</f>
        <v>ON Semiconductor</v>
      </c>
      <c r="C28718" s="6">
        <v>3475</v>
      </c>
      <c r="D28718" s="7">
        <v>0.53</v>
      </c>
      <c r="E28718" t="s">
        <v>14</v>
      </c>
    </row>
    <row r="28719" spans="1:5" x14ac:dyDescent="0.25">
      <c r="A28719" t="str">
        <f>HYPERLINK("https://www.773grp.com/globalSearch/MC74VHCT573ADT/page-1", "MC74VHCT573ADT")</f>
        <v>MC74VHCT573ADT</v>
      </c>
      <c r="B28719" s="3" t="str">
        <f>HYPERLINK("https://www.773grp.com/manufacturer/onsemi?pageNo=913", "ON Semiconductor")</f>
        <v>ON Semiconductor</v>
      </c>
      <c r="C28719" s="6">
        <v>10400</v>
      </c>
      <c r="D28719" s="7">
        <v>0.53</v>
      </c>
      <c r="E28719" t="s">
        <v>14</v>
      </c>
    </row>
    <row r="28720" spans="1:5" x14ac:dyDescent="0.25">
      <c r="A28720" t="str">
        <f>HYPERLINK("https://www.773grp.com/globalSearch/MC74VHCT573ADW/page-1", "MC74VHCT573ADW")</f>
        <v>MC74VHCT573ADW</v>
      </c>
      <c r="B28720" s="3" t="str">
        <f>HYPERLINK("https://www.773grp.com/manufacturer/onsemi?pageNo=914", "ON Semiconductor")</f>
        <v>ON Semiconductor</v>
      </c>
      <c r="C28720" s="6">
        <v>6258</v>
      </c>
      <c r="D28720" s="7">
        <v>0.53</v>
      </c>
      <c r="E28720" t="s">
        <v>14</v>
      </c>
    </row>
    <row r="28721" spans="1:5" x14ac:dyDescent="0.25">
      <c r="A28721" t="str">
        <f>HYPERLINK("https://www.773grp.com/globalSearch/MC74VHCT573ADWR2/page-1", "MC74VHCT573ADWR2")</f>
        <v>MC74VHCT573ADWR2</v>
      </c>
      <c r="B28721" s="3" t="str">
        <f>HYPERLINK("https://www.773grp.com/manufacturer/onsemi?pageNo=915", "ON Semiconductor")</f>
        <v>ON Semiconductor</v>
      </c>
      <c r="C28721" s="6">
        <v>10000</v>
      </c>
      <c r="D28721" s="7">
        <v>0.53</v>
      </c>
      <c r="E28721" t="s">
        <v>14</v>
      </c>
    </row>
    <row r="28722" spans="1:5" x14ac:dyDescent="0.25">
      <c r="A28722" t="str">
        <f>HYPERLINK("https://www.773grp.com/globalSearch/MC74VHCT574ADT/page-1", "MC74VHCT574ADT")</f>
        <v>MC74VHCT574ADT</v>
      </c>
      <c r="B28722" s="3" t="str">
        <f>HYPERLINK("https://www.773grp.com/manufacturer/onsemi?pageNo=916", "ON Semiconductor")</f>
        <v>ON Semiconductor</v>
      </c>
      <c r="C28722" s="6">
        <v>20550</v>
      </c>
      <c r="D28722" s="7">
        <v>0.53</v>
      </c>
      <c r="E28722" t="s">
        <v>14</v>
      </c>
    </row>
    <row r="28723" spans="1:5" x14ac:dyDescent="0.25">
      <c r="A28723" t="str">
        <f>HYPERLINK("https://www.773grp.com/globalSearch/MC74VHCT574ADTR2/page-1", "MC74VHCT574ADTR2")</f>
        <v>MC74VHCT574ADTR2</v>
      </c>
      <c r="B28723" s="3" t="str">
        <f>HYPERLINK("https://www.773grp.com/manufacturer/onsemi?pageNo=917", "ON Semiconductor")</f>
        <v>ON Semiconductor</v>
      </c>
      <c r="C28723" s="6">
        <v>5000</v>
      </c>
      <c r="D28723" s="7">
        <v>0.53</v>
      </c>
      <c r="E28723" t="s">
        <v>14</v>
      </c>
    </row>
    <row r="28724" spans="1:5" x14ac:dyDescent="0.25">
      <c r="A28724" t="str">
        <f>HYPERLINK("https://www.773grp.com/globalSearch/MC74VHCT574ADW/page-1", "MC74VHCT574ADW")</f>
        <v>MC74VHCT574ADW</v>
      </c>
      <c r="B28724" s="3" t="str">
        <f>HYPERLINK("https://www.773grp.com/manufacturer/onsemi?pageNo=918", "ON Semiconductor")</f>
        <v>ON Semiconductor</v>
      </c>
      <c r="C28724" s="6">
        <v>1061</v>
      </c>
      <c r="D28724" s="7">
        <v>0.53</v>
      </c>
      <c r="E28724" t="s">
        <v>14</v>
      </c>
    </row>
    <row r="28725" spans="1:5" x14ac:dyDescent="0.25">
      <c r="A28725" t="str">
        <f>HYPERLINK("https://www.773grp.com/globalSearch/MC74VLX138D/page-1", "MC74VLX138D")</f>
        <v>MC74VLX138D</v>
      </c>
      <c r="B28725" s="3" t="str">
        <f>HYPERLINK("https://www.773grp.com/manufacturer/onsemi?pageNo=919", "ON Semiconductor")</f>
        <v>ON Semiconductor</v>
      </c>
      <c r="C28725" s="6">
        <v>9552</v>
      </c>
      <c r="D28725" s="7">
        <v>0.53</v>
      </c>
    </row>
    <row r="28726" spans="1:5" x14ac:dyDescent="0.25">
      <c r="A28726" t="str">
        <f>HYPERLINK("https://www.773grp.com/globalSearch/MC7805ACT/page-1", "MC7805ACT")</f>
        <v>MC7805ACT</v>
      </c>
      <c r="B28726" s="3" t="str">
        <f>HYPERLINK("https://www.773grp.com/manufacturer/onsemi?pageNo=920", "ON Semiconductor")</f>
        <v>ON Semiconductor</v>
      </c>
      <c r="C28726" s="6">
        <v>500</v>
      </c>
      <c r="D28726" s="7">
        <v>0.53</v>
      </c>
      <c r="E28726" t="s">
        <v>28</v>
      </c>
    </row>
    <row r="28727" spans="1:5" x14ac:dyDescent="0.25">
      <c r="A28727" t="str">
        <f>HYPERLINK("https://www.773grp.com/globalSearch/MC7806CT/page-1", "MC7806CT")</f>
        <v>MC7806CT</v>
      </c>
      <c r="B28727" s="3" t="str">
        <f>HYPERLINK("https://www.773grp.com/manufacturer/onsemi?pageNo=921", "ON Semiconductor")</f>
        <v>ON Semiconductor</v>
      </c>
      <c r="C28727" s="6">
        <v>126666</v>
      </c>
      <c r="D28727" s="7">
        <v>0.53</v>
      </c>
      <c r="E28727" t="s">
        <v>28</v>
      </c>
    </row>
    <row r="28728" spans="1:5" x14ac:dyDescent="0.25">
      <c r="A28728" t="str">
        <f>HYPERLINK("https://www.773grp.com/globalSearch/MC7808ACT/page-1", "MC7808ACT")</f>
        <v>MC7808ACT</v>
      </c>
      <c r="B28728" s="3" t="str">
        <f>HYPERLINK("https://www.773grp.com/manufacturer/onsemi?pageNo=922", "ON Semiconductor")</f>
        <v>ON Semiconductor</v>
      </c>
      <c r="C28728" s="6">
        <v>24700</v>
      </c>
      <c r="D28728" s="7">
        <v>0.53</v>
      </c>
      <c r="E28728" t="s">
        <v>28</v>
      </c>
    </row>
    <row r="28729" spans="1:5" x14ac:dyDescent="0.25">
      <c r="A28729" t="str">
        <f>HYPERLINK("https://www.773grp.com/globalSearch/MC7808BT/page-1", "MC7808BT")</f>
        <v>MC7808BT</v>
      </c>
      <c r="B28729" s="3" t="str">
        <f>HYPERLINK("https://www.773grp.com/manufacturer/onsemi?pageNo=923", "ON Semiconductor")</f>
        <v>ON Semiconductor</v>
      </c>
      <c r="C28729" s="6">
        <v>700</v>
      </c>
      <c r="D28729" s="7">
        <v>0.53</v>
      </c>
      <c r="E28729" t="s">
        <v>28</v>
      </c>
    </row>
    <row r="28730" spans="1:5" x14ac:dyDescent="0.25">
      <c r="A28730" t="str">
        <f>HYPERLINK("https://www.773grp.com/globalSearch/MC7808CT/page-1", "MC7808CT")</f>
        <v>MC7808CT</v>
      </c>
      <c r="B28730" s="3" t="str">
        <f>HYPERLINK("https://www.773grp.com/manufacturer/onsemi?pageNo=924", "ON Semiconductor")</f>
        <v>ON Semiconductor</v>
      </c>
      <c r="C28730" s="6">
        <v>54726</v>
      </c>
      <c r="D28730" s="7">
        <v>0.53</v>
      </c>
      <c r="E28730" t="s">
        <v>28</v>
      </c>
    </row>
    <row r="28731" spans="1:5" x14ac:dyDescent="0.25">
      <c r="A28731" t="str">
        <f>HYPERLINK("https://www.773grp.com/globalSearch/MC7809ACT/page-1", "MC7809ACT")</f>
        <v>MC7809ACT</v>
      </c>
      <c r="B28731" s="3" t="str">
        <f>HYPERLINK("https://www.773grp.com/manufacturer/onsemi?pageNo=925", "ON Semiconductor")</f>
        <v>ON Semiconductor</v>
      </c>
      <c r="C28731" s="6">
        <v>2995</v>
      </c>
      <c r="D28731" s="7">
        <v>0.53</v>
      </c>
      <c r="E28731" t="s">
        <v>28</v>
      </c>
    </row>
    <row r="28732" spans="1:5" x14ac:dyDescent="0.25">
      <c r="A28732" t="str">
        <f>HYPERLINK("https://www.773grp.com/globalSearch/MC7809CT/page-1", "MC7809CT")</f>
        <v>MC7809CT</v>
      </c>
      <c r="B28732" s="3" t="str">
        <f>HYPERLINK("https://www.773grp.com/manufacturer/onsemi?pageNo=926", "ON Semiconductor")</f>
        <v>ON Semiconductor</v>
      </c>
      <c r="C28732" s="6">
        <v>10585</v>
      </c>
      <c r="D28732" s="7">
        <v>0.53</v>
      </c>
      <c r="E28732" t="s">
        <v>28</v>
      </c>
    </row>
    <row r="28733" spans="1:5" x14ac:dyDescent="0.25">
      <c r="A28733" t="str">
        <f>HYPERLINK("https://www.773grp.com/globalSearch/MC7818ACT/page-1", "MC7818ACT")</f>
        <v>MC7818ACT</v>
      </c>
      <c r="B28733" s="3" t="str">
        <f>HYPERLINK("https://www.773grp.com/manufacturer/onsemi?pageNo=927", "ON Semiconductor")</f>
        <v>ON Semiconductor</v>
      </c>
      <c r="C28733" s="6">
        <v>5200</v>
      </c>
      <c r="D28733" s="7">
        <v>0.53</v>
      </c>
      <c r="E28733" t="s">
        <v>28</v>
      </c>
    </row>
    <row r="28734" spans="1:5" x14ac:dyDescent="0.25">
      <c r="A28734" t="str">
        <f>HYPERLINK("https://www.773grp.com/globalSearch/MC7818BT/page-1", "MC7818BT")</f>
        <v>MC7818BT</v>
      </c>
      <c r="B28734" s="3" t="str">
        <f>HYPERLINK("https://www.773grp.com/manufacturer/onsemi?pageNo=928", "ON Semiconductor")</f>
        <v>ON Semiconductor</v>
      </c>
      <c r="C28734" s="6">
        <v>3850</v>
      </c>
      <c r="D28734" s="7">
        <v>0.53</v>
      </c>
      <c r="E28734" t="s">
        <v>28</v>
      </c>
    </row>
    <row r="28735" spans="1:5" x14ac:dyDescent="0.25">
      <c r="A28735" t="str">
        <f>HYPERLINK("https://www.773grp.com/globalSearch/MC7818CT/page-1", "MC7818CT")</f>
        <v>MC7818CT</v>
      </c>
      <c r="B28735" s="3" t="str">
        <f>HYPERLINK("https://www.773grp.com/manufacturer/onsemi?pageNo=929", "ON Semiconductor")</f>
        <v>ON Semiconductor</v>
      </c>
      <c r="C28735" s="6">
        <v>204</v>
      </c>
      <c r="D28735" s="7">
        <v>0.53</v>
      </c>
      <c r="E28735" t="s">
        <v>28</v>
      </c>
    </row>
    <row r="28736" spans="1:5" x14ac:dyDescent="0.25">
      <c r="A28736" t="str">
        <f>HYPERLINK("https://www.773grp.com/globalSearch/MC7824ACT/page-1", "MC7824ACT")</f>
        <v>MC7824ACT</v>
      </c>
      <c r="B28736" s="3" t="str">
        <f>HYPERLINK("https://www.773grp.com/manufacturer/onsemi?pageNo=930", "ON Semiconductor")</f>
        <v>ON Semiconductor</v>
      </c>
      <c r="C28736" s="6">
        <v>2509</v>
      </c>
      <c r="D28736" s="7">
        <v>0.53</v>
      </c>
      <c r="E28736" t="s">
        <v>28</v>
      </c>
    </row>
    <row r="28737" spans="1:5" x14ac:dyDescent="0.25">
      <c r="A28737" t="str">
        <f>HYPERLINK("https://www.773grp.com/globalSearch/MC7824CT/page-1", "MC7824CT")</f>
        <v>MC7824CT</v>
      </c>
      <c r="B28737" s="3" t="str">
        <f>HYPERLINK("https://www.773grp.com/manufacturer/onsemi?pageNo=931", "ON Semiconductor")</f>
        <v>ON Semiconductor</v>
      </c>
      <c r="C28737" s="6">
        <v>7344</v>
      </c>
      <c r="D28737" s="7">
        <v>0.53</v>
      </c>
      <c r="E28737" t="s">
        <v>28</v>
      </c>
    </row>
    <row r="28738" spans="1:5" x14ac:dyDescent="0.25">
      <c r="A28738" t="str">
        <f>HYPERLINK("https://www.773grp.com/globalSearch/MC78M05ACDT/page-1", "MC78M05ACDT")</f>
        <v>MC78M05ACDT</v>
      </c>
      <c r="B28738" s="3" t="str">
        <f>HYPERLINK("https://www.773grp.com/manufacturer/onsemi?pageNo=932", "ON Semiconductor")</f>
        <v>ON Semiconductor</v>
      </c>
      <c r="C28738" s="6">
        <v>1250</v>
      </c>
      <c r="D28738" s="7">
        <v>0.53</v>
      </c>
      <c r="E28738" t="s">
        <v>28</v>
      </c>
    </row>
    <row r="28739" spans="1:5" x14ac:dyDescent="0.25">
      <c r="A28739" t="str">
        <f>HYPERLINK("https://www.773grp.com/globalSearch/MC78M05CDTT5/page-1", "MC78M05CDTT5")</f>
        <v>MC78M05CDTT5</v>
      </c>
      <c r="B28739" s="3" t="str">
        <f>HYPERLINK("https://www.773grp.com/manufacturer/onsemi?pageNo=933", "ON Semiconductor")</f>
        <v>ON Semiconductor</v>
      </c>
      <c r="C28739" s="6">
        <v>2500</v>
      </c>
      <c r="D28739" s="7">
        <v>0.53</v>
      </c>
      <c r="E28739" t="s">
        <v>28</v>
      </c>
    </row>
    <row r="28740" spans="1:5" x14ac:dyDescent="0.25">
      <c r="A28740" t="str">
        <f>HYPERLINK("https://www.773grp.com/globalSearch/MC78M06CDTRK/page-1", "MC78M06CDTRK")</f>
        <v>MC78M06CDTRK</v>
      </c>
      <c r="B28740" s="3" t="str">
        <f>HYPERLINK("https://www.773grp.com/manufacturer/onsemi?pageNo=934", "ON Semiconductor")</f>
        <v>ON Semiconductor</v>
      </c>
      <c r="C28740" s="6">
        <v>4960</v>
      </c>
      <c r="D28740" s="7">
        <v>0.53</v>
      </c>
      <c r="E28740" t="s">
        <v>28</v>
      </c>
    </row>
    <row r="28741" spans="1:5" x14ac:dyDescent="0.25">
      <c r="A28741" t="str">
        <f>HYPERLINK("https://www.773grp.com/globalSearch/MC78M08ACDT/page-1", "MC78M08ACDT")</f>
        <v>MC78M08ACDT</v>
      </c>
      <c r="B28741" s="3" t="str">
        <f>HYPERLINK("https://www.773grp.com/manufacturer/onsemi?pageNo=935", "ON Semiconductor")</f>
        <v>ON Semiconductor</v>
      </c>
      <c r="C28741" s="6">
        <v>2100</v>
      </c>
      <c r="D28741" s="7">
        <v>0.53</v>
      </c>
      <c r="E28741" t="s">
        <v>28</v>
      </c>
    </row>
    <row r="28742" spans="1:5" x14ac:dyDescent="0.25">
      <c r="A28742" t="str">
        <f>HYPERLINK("https://www.773grp.com/globalSearch/MC78M08CDT/page-1", "MC78M08CDT")</f>
        <v>MC78M08CDT</v>
      </c>
      <c r="B28742" s="3" t="str">
        <f>HYPERLINK("https://www.773grp.com/manufacturer/onsemi?pageNo=936", "ON Semiconductor")</f>
        <v>ON Semiconductor</v>
      </c>
      <c r="C28742" s="6">
        <v>8167</v>
      </c>
      <c r="D28742" s="7">
        <v>0.53</v>
      </c>
      <c r="E28742" t="s">
        <v>28</v>
      </c>
    </row>
    <row r="28743" spans="1:5" x14ac:dyDescent="0.25">
      <c r="A28743" t="str">
        <f>HYPERLINK("https://www.773grp.com/globalSearch/MC78M08CDTRK/page-1", "MC78M08CDTRK")</f>
        <v>MC78M08CDTRK</v>
      </c>
      <c r="B28743" s="3" t="str">
        <f>HYPERLINK("https://www.773grp.com/manufacturer/onsemi?pageNo=937", "ON Semiconductor")</f>
        <v>ON Semiconductor</v>
      </c>
      <c r="C28743" s="6">
        <v>22500</v>
      </c>
      <c r="D28743" s="7">
        <v>0.53</v>
      </c>
      <c r="E28743" t="s">
        <v>28</v>
      </c>
    </row>
    <row r="28744" spans="1:5" x14ac:dyDescent="0.25">
      <c r="A28744" t="str">
        <f>HYPERLINK("https://www.773grp.com/globalSearch/MC78M09BDT/page-1", "MC78M09BDT")</f>
        <v>MC78M09BDT</v>
      </c>
      <c r="B28744" s="3" t="str">
        <f>HYPERLINK("https://www.773grp.com/manufacturer/onsemi?pageNo=938", "ON Semiconductor")</f>
        <v>ON Semiconductor</v>
      </c>
      <c r="C28744" s="6">
        <v>1625</v>
      </c>
      <c r="D28744" s="7">
        <v>0.53</v>
      </c>
      <c r="E28744" t="s">
        <v>28</v>
      </c>
    </row>
    <row r="28745" spans="1:5" x14ac:dyDescent="0.25">
      <c r="A28745" t="str">
        <f>HYPERLINK("https://www.773grp.com/globalSearch/MC78M09CDT/page-1", "MC78M09CDT")</f>
        <v>MC78M09CDT</v>
      </c>
      <c r="B28745" s="3" t="str">
        <f>HYPERLINK("https://www.773grp.com/manufacturer/onsemi?pageNo=939", "ON Semiconductor")</f>
        <v>ON Semiconductor</v>
      </c>
      <c r="C28745" s="6">
        <v>5175</v>
      </c>
      <c r="D28745" s="7">
        <v>0.53</v>
      </c>
      <c r="E28745" t="s">
        <v>28</v>
      </c>
    </row>
    <row r="28746" spans="1:5" x14ac:dyDescent="0.25">
      <c r="A28746" t="str">
        <f>HYPERLINK("https://www.773grp.com/globalSearch/MC78M09CDTRK/page-1", "MC78M09CDTRK")</f>
        <v>MC78M09CDTRK</v>
      </c>
      <c r="B28746" s="3" t="str">
        <f>HYPERLINK("https://www.773grp.com/manufacturer/onsemi?pageNo=940", "ON Semiconductor")</f>
        <v>ON Semiconductor</v>
      </c>
      <c r="C28746" s="6">
        <v>672500</v>
      </c>
      <c r="D28746" s="7">
        <v>0.53</v>
      </c>
      <c r="E28746" t="s">
        <v>28</v>
      </c>
    </row>
    <row r="28747" spans="1:5" x14ac:dyDescent="0.25">
      <c r="A28747" t="str">
        <f>HYPERLINK("https://www.773grp.com/globalSearch/MC78M12BDT/page-1", "MC78M12BDT")</f>
        <v>MC78M12BDT</v>
      </c>
      <c r="B28747" s="3" t="str">
        <f>HYPERLINK("https://www.773grp.com/manufacturer/onsemi?pageNo=941", "ON Semiconductor")</f>
        <v>ON Semiconductor</v>
      </c>
      <c r="C28747" s="6">
        <v>198</v>
      </c>
      <c r="D28747" s="7">
        <v>0.53</v>
      </c>
      <c r="E28747" t="s">
        <v>28</v>
      </c>
    </row>
    <row r="28748" spans="1:5" x14ac:dyDescent="0.25">
      <c r="A28748" t="str">
        <f>HYPERLINK("https://www.773grp.com/globalSearch/MC78M12CDTRK/page-1", "MC78M12CDTRK")</f>
        <v>MC78M12CDTRK</v>
      </c>
      <c r="B28748" s="3" t="str">
        <f>HYPERLINK("https://www.773grp.com/manufacturer/onsemi?pageNo=942", "ON Semiconductor")</f>
        <v>ON Semiconductor</v>
      </c>
      <c r="C28748" s="6">
        <v>5000</v>
      </c>
      <c r="D28748" s="7">
        <v>0.53</v>
      </c>
      <c r="E28748" t="s">
        <v>28</v>
      </c>
    </row>
    <row r="28749" spans="1:5" x14ac:dyDescent="0.25">
      <c r="A28749" t="str">
        <f>HYPERLINK("https://www.773grp.com/globalSearch/MC78M15ACDTRK/page-1", "MC78M15ACDTRK")</f>
        <v>MC78M15ACDTRK</v>
      </c>
      <c r="B28749" s="3" t="str">
        <f>HYPERLINK("https://www.773grp.com/manufacturer/onsemi?pageNo=943", "ON Semiconductor")</f>
        <v>ON Semiconductor</v>
      </c>
      <c r="C28749" s="6">
        <v>5000</v>
      </c>
      <c r="D28749" s="7">
        <v>0.53</v>
      </c>
      <c r="E28749" t="s">
        <v>28</v>
      </c>
    </row>
    <row r="28750" spans="1:5" x14ac:dyDescent="0.25">
      <c r="A28750" t="str">
        <f>HYPERLINK("https://www.773grp.com/globalSearch/MC78M15BDT/page-1", "MC78M15BDT")</f>
        <v>MC78M15BDT</v>
      </c>
      <c r="B28750" s="3" t="str">
        <f>HYPERLINK("https://www.773grp.com/manufacturer/onsemi?pageNo=944", "ON Semiconductor")</f>
        <v>ON Semiconductor</v>
      </c>
      <c r="C28750" s="6">
        <v>2975</v>
      </c>
      <c r="D28750" s="7">
        <v>0.53</v>
      </c>
      <c r="E28750" t="s">
        <v>28</v>
      </c>
    </row>
    <row r="28751" spans="1:5" x14ac:dyDescent="0.25">
      <c r="A28751" t="str">
        <f>HYPERLINK("https://www.773grp.com/globalSearch/MC78M15CDT/page-1", "MC78M15CDT")</f>
        <v>MC78M15CDT</v>
      </c>
      <c r="B28751" s="3" t="str">
        <f>HYPERLINK("https://www.773grp.com/manufacturer/onsemi?pageNo=945", "ON Semiconductor")</f>
        <v>ON Semiconductor</v>
      </c>
      <c r="C28751" s="6">
        <v>675</v>
      </c>
      <c r="D28751" s="7">
        <v>0.53</v>
      </c>
      <c r="E28751" t="s">
        <v>28</v>
      </c>
    </row>
    <row r="28752" spans="1:5" x14ac:dyDescent="0.25">
      <c r="A28752" t="str">
        <f>HYPERLINK("https://www.773grp.com/globalSearch/MC78M18CDT/page-1", "MC78M18CDT")</f>
        <v>MC78M18CDT</v>
      </c>
      <c r="B28752" s="3" t="str">
        <f>HYPERLINK("https://www.773grp.com/manufacturer/onsemi?pageNo=946", "ON Semiconductor")</f>
        <v>ON Semiconductor</v>
      </c>
      <c r="C28752" s="6">
        <v>75</v>
      </c>
      <c r="D28752" s="7">
        <v>0.53</v>
      </c>
      <c r="E28752" t="s">
        <v>28</v>
      </c>
    </row>
    <row r="28753" spans="1:5" x14ac:dyDescent="0.25">
      <c r="A28753" t="str">
        <f>HYPERLINK("https://www.773grp.com/globalSearch/MC78PC28NTR/page-1", "MC78PC28NTR")</f>
        <v>MC78PC28NTR</v>
      </c>
      <c r="B28753" s="3" t="str">
        <f>HYPERLINK("https://www.773grp.com/manufacturer/onsemi?pageNo=947", "ON Semiconductor")</f>
        <v>ON Semiconductor</v>
      </c>
      <c r="C28753" s="6">
        <v>138500</v>
      </c>
      <c r="D28753" s="7">
        <v>0.53</v>
      </c>
      <c r="E28753" t="s">
        <v>19</v>
      </c>
    </row>
    <row r="28754" spans="1:5" x14ac:dyDescent="0.25">
      <c r="A28754" t="str">
        <f>HYPERLINK("https://www.773grp.com/globalSearch/MC7905CT/page-1", "MC7905CT")</f>
        <v>MC7905CT</v>
      </c>
      <c r="B28754" s="3" t="str">
        <f>HYPERLINK("https://www.773grp.com/manufacturer/onsemi?pageNo=948", "ON Semiconductor")</f>
        <v>ON Semiconductor</v>
      </c>
      <c r="C28754" s="6">
        <v>739553</v>
      </c>
      <c r="D28754" s="7">
        <v>0.53</v>
      </c>
      <c r="E28754" t="s">
        <v>65</v>
      </c>
    </row>
    <row r="28755" spans="1:5" x14ac:dyDescent="0.25">
      <c r="A28755" t="str">
        <f>HYPERLINK("https://www.773grp.com/globalSearch/MC7906CT/page-1", "MC7906CT")</f>
        <v>MC7906CT</v>
      </c>
      <c r="B28755" s="3" t="str">
        <f>HYPERLINK("https://www.773grp.com/manufacturer/onsemi?pageNo=949", "ON Semiconductor")</f>
        <v>ON Semiconductor</v>
      </c>
      <c r="C28755" s="6">
        <v>40941</v>
      </c>
      <c r="D28755" s="7">
        <v>0.53</v>
      </c>
      <c r="E28755" t="s">
        <v>65</v>
      </c>
    </row>
    <row r="28756" spans="1:5" x14ac:dyDescent="0.25">
      <c r="A28756" t="str">
        <f>HYPERLINK("https://www.773grp.com/globalSearch/MC7908CT/page-1", "MC7908CT")</f>
        <v>MC7908CT</v>
      </c>
      <c r="B28756" s="3" t="str">
        <f>HYPERLINK("https://www.773grp.com/manufacturer/onsemi?pageNo=950", "ON Semiconductor")</f>
        <v>ON Semiconductor</v>
      </c>
      <c r="C28756" s="6">
        <v>13828</v>
      </c>
      <c r="D28756" s="7">
        <v>0.53</v>
      </c>
      <c r="E28756" t="s">
        <v>65</v>
      </c>
    </row>
    <row r="28757" spans="1:5" x14ac:dyDescent="0.25">
      <c r="A28757" t="str">
        <f>HYPERLINK("https://www.773grp.com/globalSearch/MC7912ACT/page-1", "MC7912ACT")</f>
        <v>MC7912ACT</v>
      </c>
      <c r="B28757" s="3" t="str">
        <f>HYPERLINK("https://www.773grp.com/manufacturer/onsemi?pageNo=951", "ON Semiconductor")</f>
        <v>ON Semiconductor</v>
      </c>
      <c r="C28757" s="6">
        <v>8650</v>
      </c>
      <c r="D28757" s="7">
        <v>0.53</v>
      </c>
      <c r="E28757" t="s">
        <v>65</v>
      </c>
    </row>
    <row r="28758" spans="1:5" x14ac:dyDescent="0.25">
      <c r="A28758" t="str">
        <f>HYPERLINK("https://www.773grp.com/globalSearch/MC7912CT/page-1", "MC7912CT")</f>
        <v>MC7912CT</v>
      </c>
      <c r="B28758" s="3" t="str">
        <f>HYPERLINK("https://www.773grp.com/manufacturer/onsemi?pageNo=952", "ON Semiconductor")</f>
        <v>ON Semiconductor</v>
      </c>
      <c r="C28758" s="6">
        <v>341644</v>
      </c>
      <c r="D28758" s="7">
        <v>0.53</v>
      </c>
      <c r="E28758" t="s">
        <v>65</v>
      </c>
    </row>
    <row r="28759" spans="1:5" x14ac:dyDescent="0.25">
      <c r="A28759" t="str">
        <f>HYPERLINK("https://www.773grp.com/globalSearch/MC7915ACT/page-1", "MC7915ACT")</f>
        <v>MC7915ACT</v>
      </c>
      <c r="B28759" s="3" t="str">
        <f>HYPERLINK("https://www.773grp.com/manufacturer/onsemi?pageNo=953", "ON Semiconductor")</f>
        <v>ON Semiconductor</v>
      </c>
      <c r="C28759" s="6">
        <v>800</v>
      </c>
      <c r="D28759" s="7">
        <v>0.53</v>
      </c>
      <c r="E28759" t="s">
        <v>65</v>
      </c>
    </row>
    <row r="28760" spans="1:5" x14ac:dyDescent="0.25">
      <c r="A28760" t="str">
        <f>HYPERLINK("https://www.773grp.com/globalSearch/MC7918CT/page-1", "MC7918CT")</f>
        <v>MC7918CT</v>
      </c>
      <c r="B28760" s="3" t="str">
        <f>HYPERLINK("https://www.773grp.com/manufacturer/onsemi?pageNo=954", "ON Semiconductor")</f>
        <v>ON Semiconductor</v>
      </c>
      <c r="C28760" s="6">
        <v>3650</v>
      </c>
      <c r="D28760" s="7">
        <v>0.53</v>
      </c>
      <c r="E28760" t="s">
        <v>65</v>
      </c>
    </row>
    <row r="28761" spans="1:5" x14ac:dyDescent="0.25">
      <c r="A28761" t="str">
        <f>HYPERLINK("https://www.773grp.com/globalSearch/MC7924CT/page-1", "MC7924CT")</f>
        <v>MC7924CT</v>
      </c>
      <c r="B28761" s="3" t="str">
        <f>HYPERLINK("https://www.773grp.com/manufacturer/onsemi?pageNo=955", "ON Semiconductor")</f>
        <v>ON Semiconductor</v>
      </c>
      <c r="C28761" s="6">
        <v>30787</v>
      </c>
      <c r="D28761" s="7">
        <v>0.53</v>
      </c>
      <c r="E28761" t="s">
        <v>65</v>
      </c>
    </row>
    <row r="28762" spans="1:5" x14ac:dyDescent="0.25">
      <c r="A28762" t="str">
        <f>HYPERLINK("https://www.773grp.com/globalSearch/MC79M15CDT/page-1", "MC79M15CDT")</f>
        <v>MC79M15CDT</v>
      </c>
      <c r="B28762" s="3" t="str">
        <f>HYPERLINK("https://www.773grp.com/manufacturer/onsemi?pageNo=956", "ON Semiconductor")</f>
        <v>ON Semiconductor</v>
      </c>
      <c r="C28762" s="6">
        <v>2025</v>
      </c>
      <c r="D28762" s="7">
        <v>0.53</v>
      </c>
      <c r="E28762" t="s">
        <v>65</v>
      </c>
    </row>
    <row r="28763" spans="1:5" x14ac:dyDescent="0.25">
      <c r="A28763" t="str">
        <f>HYPERLINK("https://www.773grp.com/globalSearch/MCH4017-TL-H/page-1", "MCH4017-TL-H")</f>
        <v>MCH4017-TL-H</v>
      </c>
      <c r="B28763" s="3" t="str">
        <f>HYPERLINK("https://www.773grp.com/manufacturer/onsemi?pageNo=957", "ON Semiconductor")</f>
        <v>ON Semiconductor</v>
      </c>
      <c r="C28763" s="6">
        <v>3000</v>
      </c>
      <c r="D28763" s="7">
        <v>0.53</v>
      </c>
    </row>
    <row r="28764" spans="1:5" x14ac:dyDescent="0.25">
      <c r="A28764" t="str">
        <f>HYPERLINK("https://www.773grp.com/globalSearch/MCH6202-TL-E/page-1", "MCH6202-TL-E")</f>
        <v>MCH6202-TL-E</v>
      </c>
      <c r="B28764" s="3" t="str">
        <f>HYPERLINK("https://www.773grp.com/manufacturer/onsemi?pageNo=958", "ON Semiconductor")</f>
        <v>ON Semiconductor</v>
      </c>
      <c r="C28764" s="6">
        <v>3000</v>
      </c>
      <c r="D28764" s="7">
        <v>0.53</v>
      </c>
    </row>
    <row r="28765" spans="1:5" x14ac:dyDescent="0.25">
      <c r="A28765" t="str">
        <f>HYPERLINK("https://www.773grp.com/globalSearch/MDC3105DMT1G/page-1", "MDC3105DMT1G")</f>
        <v>MDC3105DMT1G</v>
      </c>
      <c r="B28765" s="3" t="str">
        <f>HYPERLINK("https://www.773grp.com/manufacturer/onsemi?pageNo=959", "ON Semiconductor")</f>
        <v>ON Semiconductor</v>
      </c>
      <c r="C28765" s="6">
        <v>2855</v>
      </c>
      <c r="D28765" s="7">
        <v>0.53</v>
      </c>
      <c r="E28765" t="s">
        <v>11</v>
      </c>
    </row>
    <row r="28766" spans="1:5" x14ac:dyDescent="0.25">
      <c r="A28766" t="str">
        <f>HYPERLINK("https://www.773grp.com/globalSearch/MGSF2N02ELT1H/page-1", "MGSF2N02ELT1H")</f>
        <v>MGSF2N02ELT1H</v>
      </c>
      <c r="B28766" s="3" t="str">
        <f>HYPERLINK("https://www.773grp.com/manufacturer/onsemi?pageNo=960", "ON Semiconductor")</f>
        <v>ON Semiconductor</v>
      </c>
      <c r="C28766" s="6">
        <v>3000</v>
      </c>
      <c r="D28766" s="7">
        <v>0.53</v>
      </c>
    </row>
    <row r="28767" spans="1:5" x14ac:dyDescent="0.25">
      <c r="A28767" t="str">
        <f>HYPERLINK("https://www.773grp.com/globalSearch/MJE371/page-1", "MJE371")</f>
        <v>MJE371</v>
      </c>
      <c r="B28767" s="3" t="str">
        <f>HYPERLINK("https://www.773grp.com/manufacturer/onsemi?pageNo=961", "ON Semiconductor")</f>
        <v>ON Semiconductor</v>
      </c>
      <c r="C28767" s="6">
        <v>5500</v>
      </c>
      <c r="D28767" s="7">
        <v>0.53</v>
      </c>
      <c r="E28767" t="s">
        <v>59</v>
      </c>
    </row>
    <row r="28768" spans="1:5" x14ac:dyDescent="0.25">
      <c r="A28768" t="str">
        <f>HYPERLINK("https://www.773grp.com/globalSearch/MMBF1374T1/page-1", "MMBF1374T1")</f>
        <v>MMBF1374T1</v>
      </c>
      <c r="B28768" s="3" t="str">
        <f>HYPERLINK("https://www.773grp.com/manufacturer/onsemi?pageNo=962", "ON Semiconductor")</f>
        <v>ON Semiconductor</v>
      </c>
      <c r="C28768" s="6">
        <v>45000</v>
      </c>
      <c r="D28768" s="7">
        <v>0.53</v>
      </c>
      <c r="E28768" t="s">
        <v>106</v>
      </c>
    </row>
    <row r="28769" spans="1:5" x14ac:dyDescent="0.25">
      <c r="A28769" t="str">
        <f>HYPERLINK("https://www.773grp.com/globalSearch/MMBT2131T1G/page-1", "MMBT2131T1G")</f>
        <v>MMBT2131T1G</v>
      </c>
      <c r="B28769" s="3" t="str">
        <f>HYPERLINK("https://www.773grp.com/manufacturer/onsemi?pageNo=963", "ON Semiconductor")</f>
        <v>ON Semiconductor</v>
      </c>
      <c r="C28769" s="6">
        <v>104800</v>
      </c>
      <c r="D28769" s="7">
        <v>0.53</v>
      </c>
      <c r="E28769" t="s">
        <v>69</v>
      </c>
    </row>
    <row r="28770" spans="1:5" x14ac:dyDescent="0.25">
      <c r="A28770" t="str">
        <f>HYPERLINK("https://www.773grp.com/globalSearch/MMBT6521LT1G/page-1", "MMBT6521LT1G")</f>
        <v>MMBT6521LT1G</v>
      </c>
      <c r="B28770" s="3" t="str">
        <f>HYPERLINK("https://www.773grp.com/manufacturer/onsemi?pageNo=964", "ON Semiconductor")</f>
        <v>ON Semiconductor</v>
      </c>
      <c r="C28770" s="6">
        <v>228000</v>
      </c>
      <c r="D28770" s="7">
        <v>0.53</v>
      </c>
      <c r="E28770" t="s">
        <v>69</v>
      </c>
    </row>
    <row r="28771" spans="1:5" x14ac:dyDescent="0.25">
      <c r="A28771" t="str">
        <f>HYPERLINK("https://www.773grp.com/globalSearch/MMJT9435T1/page-1", "MMJT9435T1")</f>
        <v>MMJT9435T1</v>
      </c>
      <c r="B28771" s="3" t="str">
        <f>HYPERLINK("https://www.773grp.com/manufacturer/onsemi?pageNo=965", "ON Semiconductor")</f>
        <v>ON Semiconductor</v>
      </c>
      <c r="C28771" s="6">
        <v>2834</v>
      </c>
      <c r="D28771" s="7">
        <v>0.53</v>
      </c>
      <c r="E28771" t="s">
        <v>69</v>
      </c>
    </row>
    <row r="28772" spans="1:5" x14ac:dyDescent="0.25">
      <c r="A28772" t="str">
        <f>HYPERLINK("https://www.773grp.com/globalSearch/MMJT9435T3/page-1", "MMJT9435T3")</f>
        <v>MMJT9435T3</v>
      </c>
      <c r="B28772" s="3" t="str">
        <f>HYPERLINK("https://www.773grp.com/manufacturer/onsemi?pageNo=966", "ON Semiconductor")</f>
        <v>ON Semiconductor</v>
      </c>
      <c r="C28772" s="6">
        <v>4000</v>
      </c>
      <c r="D28772" s="7">
        <v>0.53</v>
      </c>
      <c r="E28772" t="s">
        <v>69</v>
      </c>
    </row>
    <row r="28773" spans="1:5" x14ac:dyDescent="0.25">
      <c r="A28773" t="str">
        <f>HYPERLINK("https://www.773grp.com/globalSearch/MPF4391RLRA/page-1", "MPF4391RLRA")</f>
        <v>MPF4391RLRA</v>
      </c>
      <c r="B28773" s="3" t="str">
        <f>HYPERLINK("https://www.773grp.com/manufacturer/onsemi?pageNo=967", "ON Semiconductor")</f>
        <v>ON Semiconductor</v>
      </c>
      <c r="C28773" s="6">
        <v>17700</v>
      </c>
      <c r="D28773" s="7">
        <v>0.53</v>
      </c>
      <c r="E28773" t="s">
        <v>106</v>
      </c>
    </row>
    <row r="28774" spans="1:5" x14ac:dyDescent="0.25">
      <c r="A28774" t="str">
        <f>HYPERLINK("https://www.773grp.com/globalSearch/MPN3404G/page-1", "MPN3404G")</f>
        <v>MPN3404G</v>
      </c>
      <c r="B28774" s="3" t="str">
        <f>HYPERLINK("https://www.773grp.com/manufacturer/onsemi?pageNo=968", "ON Semiconductor")</f>
        <v>ON Semiconductor</v>
      </c>
      <c r="C28774" s="6">
        <v>5190</v>
      </c>
      <c r="D28774" s="7">
        <v>0.53</v>
      </c>
      <c r="E28774" t="s">
        <v>110</v>
      </c>
    </row>
    <row r="28775" spans="1:5" x14ac:dyDescent="0.25">
      <c r="A28775" t="str">
        <f>HYPERLINK("https://www.773grp.com/globalSearch/MPS8099G/page-1", "MPS8099G")</f>
        <v>MPS8099G</v>
      </c>
      <c r="B28775" s="3" t="str">
        <f>HYPERLINK("https://www.773grp.com/manufacturer/onsemi?pageNo=969", "ON Semiconductor")</f>
        <v>ON Semiconductor</v>
      </c>
      <c r="C28775" s="6">
        <v>37993</v>
      </c>
      <c r="D28775" s="7">
        <v>0.53</v>
      </c>
      <c r="E28775" t="s">
        <v>69</v>
      </c>
    </row>
    <row r="28776" spans="1:5" x14ac:dyDescent="0.25">
      <c r="A28776" t="str">
        <f>HYPERLINK("https://www.773grp.com/globalSearch/MPS8099RLRAG/page-1", "MPS8099RLRAG")</f>
        <v>MPS8099RLRAG</v>
      </c>
      <c r="B28776" s="3" t="str">
        <f>HYPERLINK("https://www.773grp.com/manufacturer/onsemi?pageNo=970", "ON Semiconductor")</f>
        <v>ON Semiconductor</v>
      </c>
      <c r="C28776" s="6">
        <v>34000</v>
      </c>
      <c r="D28776" s="7">
        <v>0.53</v>
      </c>
      <c r="E28776" t="s">
        <v>69</v>
      </c>
    </row>
    <row r="28777" spans="1:5" x14ac:dyDescent="0.25">
      <c r="A28777" t="str">
        <f>HYPERLINK("https://www.773grp.com/globalSearch/MPS8099RLRPG/page-1", "MPS8099RLRPG")</f>
        <v>MPS8099RLRPG</v>
      </c>
      <c r="B28777" s="3" t="str">
        <f>HYPERLINK("https://www.773grp.com/manufacturer/onsemi?pageNo=971", "ON Semiconductor")</f>
        <v>ON Semiconductor</v>
      </c>
      <c r="C28777" s="6">
        <v>20000</v>
      </c>
      <c r="D28777" s="7">
        <v>0.53</v>
      </c>
    </row>
    <row r="28778" spans="1:5" x14ac:dyDescent="0.25">
      <c r="A28778" t="str">
        <f>HYPERLINK("https://www.773grp.com/globalSearch/MUR180/page-1", "MUR180")</f>
        <v>MUR180</v>
      </c>
      <c r="B28778" s="3" t="str">
        <f>HYPERLINK("https://www.773grp.com/manufacturer/onsemi?pageNo=972", "ON Semiconductor")</f>
        <v>ON Semiconductor</v>
      </c>
      <c r="C28778" s="6">
        <v>1000</v>
      </c>
      <c r="D28778" s="7">
        <v>0.53</v>
      </c>
      <c r="E28778" t="s">
        <v>94</v>
      </c>
    </row>
    <row r="28779" spans="1:5" x14ac:dyDescent="0.25">
      <c r="A28779" t="str">
        <f>HYPERLINK("https://www.773grp.com/globalSearch/MUR180E/page-1", "MUR180E")</f>
        <v>MUR180E</v>
      </c>
      <c r="B28779" s="3" t="str">
        <f>HYPERLINK("https://www.773grp.com/manufacturer/onsemi?pageNo=973", "ON Semiconductor")</f>
        <v>ON Semiconductor</v>
      </c>
      <c r="C28779" s="6">
        <v>28000</v>
      </c>
      <c r="D28779" s="7">
        <v>0.53</v>
      </c>
      <c r="E28779" t="s">
        <v>94</v>
      </c>
    </row>
    <row r="28780" spans="1:5" x14ac:dyDescent="0.25">
      <c r="A28780" t="str">
        <f>HYPERLINK("https://www.773grp.com/globalSearch/MUR180ERL/page-1", "MUR180ERL")</f>
        <v>MUR180ERL</v>
      </c>
      <c r="B28780" s="3" t="str">
        <f>HYPERLINK("https://www.773grp.com/manufacturer/onsemi?pageNo=974", "ON Semiconductor")</f>
        <v>ON Semiconductor</v>
      </c>
      <c r="C28780" s="6">
        <v>5000</v>
      </c>
      <c r="D28780" s="7">
        <v>0.53</v>
      </c>
      <c r="E28780" t="s">
        <v>94</v>
      </c>
    </row>
    <row r="28781" spans="1:5" x14ac:dyDescent="0.25">
      <c r="A28781" t="str">
        <f>HYPERLINK("https://www.773grp.com/globalSearch/MUR2100EG/page-1", "MUR2100EG")</f>
        <v>MUR2100EG</v>
      </c>
      <c r="B28781" s="3" t="str">
        <f>HYPERLINK("https://www.773grp.com/manufacturer/onsemi?pageNo=975", "ON Semiconductor")</f>
        <v>ON Semiconductor</v>
      </c>
      <c r="C28781" s="6">
        <v>573</v>
      </c>
      <c r="D28781" s="7">
        <v>0.53</v>
      </c>
      <c r="E28781" t="s">
        <v>103</v>
      </c>
    </row>
    <row r="28782" spans="1:5" x14ac:dyDescent="0.25">
      <c r="A28782" t="str">
        <f>HYPERLINK("https://www.773grp.com/globalSearch/MUR2100ERLG/page-1", "MUR2100ERLG")</f>
        <v>MUR2100ERLG</v>
      </c>
      <c r="B28782" s="3" t="str">
        <f>HYPERLINK("https://www.773grp.com/manufacturer/onsemi?pageNo=976", "ON Semiconductor")</f>
        <v>ON Semiconductor</v>
      </c>
      <c r="C28782" s="6">
        <v>75000</v>
      </c>
      <c r="D28782" s="7">
        <v>0.53</v>
      </c>
      <c r="E28782" t="s">
        <v>103</v>
      </c>
    </row>
    <row r="28783" spans="1:5" x14ac:dyDescent="0.25">
      <c r="A28783" t="str">
        <f>HYPERLINK("https://www.773grp.com/globalSearch/MUR405/page-1", "MUR405")</f>
        <v>MUR405</v>
      </c>
      <c r="B28783" s="3" t="str">
        <f>HYPERLINK("https://www.773grp.com/manufacturer/onsemi?pageNo=977", "ON Semiconductor")</f>
        <v>ON Semiconductor</v>
      </c>
      <c r="C28783" s="6">
        <v>2002</v>
      </c>
      <c r="D28783" s="7">
        <v>0.53</v>
      </c>
      <c r="E28783" t="s">
        <v>103</v>
      </c>
    </row>
    <row r="28784" spans="1:5" x14ac:dyDescent="0.25">
      <c r="A28784" t="str">
        <f>HYPERLINK("https://www.773grp.com/globalSearch/MUR410RL/page-1", "MUR410RL")</f>
        <v>MUR410RL</v>
      </c>
      <c r="B28784" s="3" t="str">
        <f>HYPERLINK("https://www.773grp.com/manufacturer/onsemi?pageNo=978", "ON Semiconductor")</f>
        <v>ON Semiconductor</v>
      </c>
      <c r="C28784" s="6">
        <v>15000</v>
      </c>
      <c r="D28784" s="7">
        <v>0.53</v>
      </c>
      <c r="E28784" t="s">
        <v>103</v>
      </c>
    </row>
    <row r="28785" spans="1:5" x14ac:dyDescent="0.25">
      <c r="A28785" t="str">
        <f>HYPERLINK("https://www.773grp.com/globalSearch/MUR415/page-1", "MUR415")</f>
        <v>MUR415</v>
      </c>
      <c r="B28785" s="3" t="str">
        <f>HYPERLINK("https://www.773grp.com/manufacturer/onsemi?pageNo=979", "ON Semiconductor")</f>
        <v>ON Semiconductor</v>
      </c>
      <c r="C28785" s="6">
        <v>1032</v>
      </c>
      <c r="D28785" s="7">
        <v>0.53</v>
      </c>
      <c r="E28785" t="s">
        <v>103</v>
      </c>
    </row>
    <row r="28786" spans="1:5" x14ac:dyDescent="0.25">
      <c r="A28786" t="str">
        <f>HYPERLINK("https://www.773grp.com/globalSearch/MUR440RL/page-1", "MUR440RL")</f>
        <v>MUR440RL</v>
      </c>
      <c r="B28786" s="3" t="str">
        <f>HYPERLINK("https://www.773grp.com/manufacturer/onsemi?pageNo=980", "ON Semiconductor")</f>
        <v>ON Semiconductor</v>
      </c>
      <c r="C28786" s="6">
        <v>4500</v>
      </c>
      <c r="D28786" s="7">
        <v>0.53</v>
      </c>
      <c r="E28786" t="s">
        <v>103</v>
      </c>
    </row>
    <row r="28787" spans="1:5" x14ac:dyDescent="0.25">
      <c r="A28787" t="str">
        <f>HYPERLINK("https://www.773grp.com/globalSearch/MUR460RL/page-1", "MUR460RL")</f>
        <v>MUR460RL</v>
      </c>
      <c r="B28787" s="3" t="str">
        <f>HYPERLINK("https://www.773grp.com/manufacturer/onsemi?pageNo=981", "ON Semiconductor")</f>
        <v>ON Semiconductor</v>
      </c>
      <c r="C28787" s="6">
        <v>650</v>
      </c>
      <c r="D28787" s="7">
        <v>0.53</v>
      </c>
      <c r="E28787" t="s">
        <v>103</v>
      </c>
    </row>
    <row r="28788" spans="1:5" x14ac:dyDescent="0.25">
      <c r="A28788" t="str">
        <f>HYPERLINK("https://www.773grp.com/globalSearch/MV2101G/page-1", "MV2101G")</f>
        <v>MV2101G</v>
      </c>
      <c r="B28788" s="3" t="str">
        <f>HYPERLINK("https://www.773grp.com/manufacturer/onsemi?pageNo=982", "ON Semiconductor")</f>
        <v>ON Semiconductor</v>
      </c>
      <c r="C28788" s="6">
        <v>11000</v>
      </c>
      <c r="D28788" s="7">
        <v>0.53</v>
      </c>
      <c r="E28788" t="s">
        <v>101</v>
      </c>
    </row>
    <row r="28789" spans="1:5" x14ac:dyDescent="0.25">
      <c r="A28789" t="str">
        <f>HYPERLINK("https://www.773grp.com/globalSearch/MV2109G/page-1", "MV2109G")</f>
        <v>MV2109G</v>
      </c>
      <c r="B28789" s="3" t="str">
        <f>HYPERLINK("https://www.773grp.com/manufacturer/onsemi?pageNo=983", "ON Semiconductor")</f>
        <v>ON Semiconductor</v>
      </c>
      <c r="C28789" s="6">
        <v>16000</v>
      </c>
      <c r="D28789" s="7">
        <v>0.53</v>
      </c>
      <c r="E28789" t="s">
        <v>101</v>
      </c>
    </row>
    <row r="28790" spans="1:5" x14ac:dyDescent="0.25">
      <c r="A28790" t="str">
        <f>HYPERLINK("https://www.773grp.com/globalSearch/MV2109RLRA/page-1", "MV2109RLRA")</f>
        <v>MV2109RLRA</v>
      </c>
      <c r="B28790" s="3" t="str">
        <f>HYPERLINK("https://www.773grp.com/manufacturer/onsemi?pageNo=984", "ON Semiconductor")</f>
        <v>ON Semiconductor</v>
      </c>
      <c r="C28790" s="6">
        <v>2000</v>
      </c>
      <c r="D28790" s="7">
        <v>0.53</v>
      </c>
      <c r="E28790" t="s">
        <v>101</v>
      </c>
    </row>
    <row r="28791" spans="1:5" x14ac:dyDescent="0.25">
      <c r="A28791" t="str">
        <f>HYPERLINK("https://www.773grp.com/globalSearch/MV2109RLRAG/page-1", "MV2109RLRAG")</f>
        <v>MV2109RLRAG</v>
      </c>
      <c r="B28791" s="3" t="str">
        <f>HYPERLINK("https://www.773grp.com/manufacturer/onsemi?pageNo=985", "ON Semiconductor")</f>
        <v>ON Semiconductor</v>
      </c>
      <c r="C28791" s="6">
        <v>2000</v>
      </c>
      <c r="D28791" s="7">
        <v>0.53</v>
      </c>
      <c r="E28791" t="s">
        <v>101</v>
      </c>
    </row>
    <row r="28792" spans="1:5" x14ac:dyDescent="0.25">
      <c r="A28792" t="str">
        <f>HYPERLINK("https://www.773grp.com/globalSearch/MZ4619/page-1", "MZ4619")</f>
        <v>MZ4619</v>
      </c>
      <c r="B28792" s="3" t="str">
        <f>HYPERLINK("https://www.773grp.com/manufacturer/onsemi?pageNo=986", "ON Semiconductor")</f>
        <v>ON Semiconductor</v>
      </c>
      <c r="C28792" s="6">
        <v>39450</v>
      </c>
      <c r="D28792" s="7">
        <v>0.53</v>
      </c>
      <c r="E28792" t="s">
        <v>98</v>
      </c>
    </row>
    <row r="28793" spans="1:5" x14ac:dyDescent="0.25">
      <c r="A28793" t="str">
        <f>HYPERLINK("https://www.773grp.com/globalSearch/NCP1215SNT1/page-1", "NCP1215SNT1")</f>
        <v>NCP1215SNT1</v>
      </c>
      <c r="B28793" s="3" t="str">
        <f>HYPERLINK("https://www.773grp.com/manufacturer/onsemi?pageNo=987", "ON Semiconductor")</f>
        <v>ON Semiconductor</v>
      </c>
      <c r="C28793" s="6">
        <v>2930</v>
      </c>
      <c r="D28793" s="7">
        <v>0.53</v>
      </c>
      <c r="E28793" t="s">
        <v>7</v>
      </c>
    </row>
    <row r="28794" spans="1:5" x14ac:dyDescent="0.25">
      <c r="A28794" t="str">
        <f>HYPERLINK("https://www.773grp.com/globalSearch/NCP333FCT2G/page-1", "NCP333FCT2G")</f>
        <v>NCP333FCT2G</v>
      </c>
      <c r="B28794" s="3" t="str">
        <f>HYPERLINK("https://www.773grp.com/manufacturer/onsemi?pageNo=988", "ON Semiconductor")</f>
        <v>ON Semiconductor</v>
      </c>
      <c r="C28794" s="6">
        <v>846800</v>
      </c>
      <c r="D28794" s="7">
        <v>0.53</v>
      </c>
    </row>
    <row r="28795" spans="1:5" x14ac:dyDescent="0.25">
      <c r="A28795" t="str">
        <f>HYPERLINK("https://www.773grp.com/globalSearch/NCP431AISNT1G/page-1", "NCP431AISNT1G")</f>
        <v>NCP431AISNT1G</v>
      </c>
      <c r="B28795" s="3" t="str">
        <f>HYPERLINK("https://www.773grp.com/manufacturer/onsemi?pageNo=989", "ON Semiconductor")</f>
        <v>ON Semiconductor</v>
      </c>
      <c r="C28795" s="6">
        <v>1699</v>
      </c>
      <c r="D28795" s="7">
        <v>0.53</v>
      </c>
    </row>
    <row r="28796" spans="1:5" x14ac:dyDescent="0.25">
      <c r="A28796" t="str">
        <f>HYPERLINK("https://www.773grp.com/globalSearch/NCP500SQL18T1/page-1", "NCP500SQL18T1")</f>
        <v>NCP500SQL18T1</v>
      </c>
      <c r="B28796" s="3" t="str">
        <f>HYPERLINK("https://www.773grp.com/manufacturer/onsemi?pageNo=990", "ON Semiconductor")</f>
        <v>ON Semiconductor</v>
      </c>
      <c r="C28796" s="6">
        <v>42965</v>
      </c>
      <c r="D28796" s="7">
        <v>0.53</v>
      </c>
      <c r="E28796" t="s">
        <v>19</v>
      </c>
    </row>
    <row r="28797" spans="1:5" x14ac:dyDescent="0.25">
      <c r="A28797" t="str">
        <f>HYPERLINK("https://www.773grp.com/globalSearch/NCP500SQL27T1/page-1", "NCP500SQL27T1")</f>
        <v>NCP500SQL27T1</v>
      </c>
      <c r="B28797" s="3" t="str">
        <f>HYPERLINK("https://www.773grp.com/manufacturer/onsemi?pageNo=991", "ON Semiconductor")</f>
        <v>ON Semiconductor</v>
      </c>
      <c r="C28797" s="6">
        <v>14900</v>
      </c>
      <c r="D28797" s="7">
        <v>0.53</v>
      </c>
      <c r="E28797" t="s">
        <v>19</v>
      </c>
    </row>
    <row r="28798" spans="1:5" x14ac:dyDescent="0.25">
      <c r="A28798" t="str">
        <f>HYPERLINK("https://www.773grp.com/globalSearch/NCP500SQL50T1/page-1", "NCP500SQL50T1")</f>
        <v>NCP500SQL50T1</v>
      </c>
      <c r="B28798" s="3" t="str">
        <f>HYPERLINK("https://www.773grp.com/manufacturer/onsemi?pageNo=992", "ON Semiconductor")</f>
        <v>ON Semiconductor</v>
      </c>
      <c r="C28798" s="6">
        <v>5900</v>
      </c>
      <c r="D28798" s="7">
        <v>0.53</v>
      </c>
      <c r="E28798" t="s">
        <v>19</v>
      </c>
    </row>
    <row r="28799" spans="1:5" x14ac:dyDescent="0.25">
      <c r="A28799" t="str">
        <f>HYPERLINK("https://www.773grp.com/globalSearch/NCP502SQ15T1/page-1", "NCP502SQ15T1")</f>
        <v>NCP502SQ15T1</v>
      </c>
      <c r="B28799" s="3" t="str">
        <f>HYPERLINK("https://www.773grp.com/manufacturer/onsemi?pageNo=993", "ON Semiconductor")</f>
        <v>ON Semiconductor</v>
      </c>
      <c r="C28799" s="6">
        <v>38030</v>
      </c>
      <c r="D28799" s="7">
        <v>0.53</v>
      </c>
      <c r="E28799" t="s">
        <v>19</v>
      </c>
    </row>
    <row r="28800" spans="1:5" x14ac:dyDescent="0.25">
      <c r="A28800" t="str">
        <f>HYPERLINK("https://www.773grp.com/globalSearch/NCP502SQ18T1/page-1", "NCP502SQ18T1")</f>
        <v>NCP502SQ18T1</v>
      </c>
      <c r="B28800" s="3" t="str">
        <f>HYPERLINK("https://www.773grp.com/manufacturer/onsemi?pageNo=994", "ON Semiconductor")</f>
        <v>ON Semiconductor</v>
      </c>
      <c r="C28800" s="6">
        <v>8266</v>
      </c>
      <c r="D28800" s="7">
        <v>0.53</v>
      </c>
      <c r="E28800" t="s">
        <v>19</v>
      </c>
    </row>
    <row r="28801" spans="1:5" x14ac:dyDescent="0.25">
      <c r="A28801" t="str">
        <f>HYPERLINK("https://www.773grp.com/globalSearch/NCP502SQ18T1G/page-1", "NCP502SQ18T1G")</f>
        <v>NCP502SQ18T1G</v>
      </c>
      <c r="B28801" s="3" t="str">
        <f>HYPERLINK("https://www.773grp.com/manufacturer/onsemi?pageNo=995", "ON Semiconductor")</f>
        <v>ON Semiconductor</v>
      </c>
      <c r="C28801" s="6">
        <v>38958</v>
      </c>
      <c r="D28801" s="7">
        <v>0.53</v>
      </c>
      <c r="E28801" t="s">
        <v>19</v>
      </c>
    </row>
    <row r="28802" spans="1:5" x14ac:dyDescent="0.25">
      <c r="A28802" t="str">
        <f>HYPERLINK("https://www.773grp.com/globalSearch/NCP502SQ25T1/page-1", "NCP502SQ25T1")</f>
        <v>NCP502SQ25T1</v>
      </c>
      <c r="B28802" s="3" t="str">
        <f>HYPERLINK("https://www.773grp.com/manufacturer/onsemi?pageNo=996", "ON Semiconductor")</f>
        <v>ON Semiconductor</v>
      </c>
      <c r="C28802" s="6">
        <v>7720</v>
      </c>
      <c r="D28802" s="7">
        <v>0.53</v>
      </c>
      <c r="E28802" t="s">
        <v>19</v>
      </c>
    </row>
    <row r="28803" spans="1:5" x14ac:dyDescent="0.25">
      <c r="A28803" t="str">
        <f>HYPERLINK("https://www.773grp.com/globalSearch/NCP502SQ27T1/page-1", "NCP502SQ27T1")</f>
        <v>NCP502SQ27T1</v>
      </c>
      <c r="B28803" s="3" t="str">
        <f>HYPERLINK("https://www.773grp.com/manufacturer/onsemi?pageNo=997", "ON Semiconductor")</f>
        <v>ON Semiconductor</v>
      </c>
      <c r="C28803" s="6">
        <v>5980</v>
      </c>
      <c r="D28803" s="7">
        <v>0.53</v>
      </c>
      <c r="E28803" t="s">
        <v>19</v>
      </c>
    </row>
    <row r="28804" spans="1:5" x14ac:dyDescent="0.25">
      <c r="A28804" t="str">
        <f>HYPERLINK("https://www.773grp.com/globalSearch/NCP502SQ28T1/page-1", "NCP502SQ28T1")</f>
        <v>NCP502SQ28T1</v>
      </c>
      <c r="B28804" s="3" t="str">
        <f>HYPERLINK("https://www.773grp.com/manufacturer/onsemi?pageNo=998", "ON Semiconductor")</f>
        <v>ON Semiconductor</v>
      </c>
      <c r="C28804" s="6">
        <v>5328</v>
      </c>
      <c r="D28804" s="7">
        <v>0.53</v>
      </c>
      <c r="E28804" t="s">
        <v>19</v>
      </c>
    </row>
    <row r="28805" spans="1:5" x14ac:dyDescent="0.25">
      <c r="A28805" t="str">
        <f>HYPERLINK("https://www.773grp.com/globalSearch/NCP502SQ30T1/page-1", "NCP502SQ30T1")</f>
        <v>NCP502SQ30T1</v>
      </c>
      <c r="B28805" s="3" t="str">
        <f>HYPERLINK("https://www.773grp.com/manufacturer/onsemi?pageNo=999", "ON Semiconductor")</f>
        <v>ON Semiconductor</v>
      </c>
      <c r="C28805" s="6">
        <v>10141</v>
      </c>
      <c r="D28805" s="7">
        <v>0.53</v>
      </c>
      <c r="E28805" t="s">
        <v>19</v>
      </c>
    </row>
    <row r="28806" spans="1:5" x14ac:dyDescent="0.25">
      <c r="A28806" t="str">
        <f>HYPERLINK("https://www.773grp.com/globalSearch/NCP502SQ33T1/page-1", "NCP502SQ33T1")</f>
        <v>NCP502SQ33T1</v>
      </c>
      <c r="B28806" s="3" t="str">
        <f>HYPERLINK("https://www.773grp.com/manufacturer/onsemi?pageNo=1000", "ON Semiconductor")</f>
        <v>ON Semiconductor</v>
      </c>
      <c r="C28806" s="6">
        <v>8734</v>
      </c>
      <c r="D28806" s="7">
        <v>0.53</v>
      </c>
      <c r="E28806" t="s">
        <v>19</v>
      </c>
    </row>
    <row r="28807" spans="1:5" x14ac:dyDescent="0.25">
      <c r="A28807" t="str">
        <f>HYPERLINK("https://www.773grp.com/globalSearch/NCP502SQ35T1G/page-1", "NCP502SQ35T1G")</f>
        <v>NCP502SQ35T1G</v>
      </c>
      <c r="B28807" s="3" t="str">
        <f>HYPERLINK("https://www.773grp.com/manufacturer/onsemi?pageNo=1001", "ON Semiconductor")</f>
        <v>ON Semiconductor</v>
      </c>
      <c r="C28807" s="6">
        <v>12439</v>
      </c>
      <c r="D28807" s="7">
        <v>0.53</v>
      </c>
      <c r="E28807" t="s">
        <v>19</v>
      </c>
    </row>
    <row r="28808" spans="1:5" x14ac:dyDescent="0.25">
      <c r="A28808" t="str">
        <f>HYPERLINK("https://www.773grp.com/globalSearch/NCP512SQ15T1/page-1", "NCP512SQ15T1")</f>
        <v>NCP512SQ15T1</v>
      </c>
      <c r="B28808" s="3" t="str">
        <f>HYPERLINK("https://www.773grp.com/manufacturer/onsemi?pageNo=1002", "ON Semiconductor")</f>
        <v>ON Semiconductor</v>
      </c>
      <c r="C28808" s="6">
        <v>3000</v>
      </c>
      <c r="D28808" s="7">
        <v>0.53</v>
      </c>
      <c r="E28808" t="s">
        <v>19</v>
      </c>
    </row>
    <row r="28809" spans="1:5" x14ac:dyDescent="0.25">
      <c r="A28809" t="str">
        <f>HYPERLINK("https://www.773grp.com/globalSearch/NCP512SQ27T1/page-1", "NCP512SQ27T1")</f>
        <v>NCP512SQ27T1</v>
      </c>
      <c r="B28809" s="3" t="str">
        <f>HYPERLINK("https://www.773grp.com/manufacturer/onsemi?pageNo=1003", "ON Semiconductor")</f>
        <v>ON Semiconductor</v>
      </c>
      <c r="C28809" s="6">
        <v>80</v>
      </c>
      <c r="D28809" s="7">
        <v>0.53</v>
      </c>
      <c r="E28809" t="s">
        <v>19</v>
      </c>
    </row>
    <row r="28810" spans="1:5" x14ac:dyDescent="0.25">
      <c r="A28810" t="str">
        <f>HYPERLINK("https://www.773grp.com/globalSearch/NCP512SQ30T1/page-1", "NCP512SQ30T1")</f>
        <v>NCP512SQ30T1</v>
      </c>
      <c r="B28810" s="3" t="str">
        <f>HYPERLINK("https://www.773grp.com/manufacturer/onsemi?pageNo=1004", "ON Semiconductor")</f>
        <v>ON Semiconductor</v>
      </c>
      <c r="C28810" s="6">
        <v>30282</v>
      </c>
      <c r="D28810" s="7">
        <v>0.53</v>
      </c>
      <c r="E28810" t="s">
        <v>19</v>
      </c>
    </row>
    <row r="28811" spans="1:5" x14ac:dyDescent="0.25">
      <c r="A28811" t="str">
        <f>HYPERLINK("https://www.773grp.com/globalSearch/NCP512SQ31T1G/page-1", "NCP512SQ31T1G")</f>
        <v>NCP512SQ31T1G</v>
      </c>
      <c r="B28811" s="3" t="str">
        <f>HYPERLINK("https://www.773grp.com/manufacturer/onsemi?pageNo=1005", "ON Semiconductor")</f>
        <v>ON Semiconductor</v>
      </c>
      <c r="C28811" s="6">
        <v>19182</v>
      </c>
      <c r="D28811" s="7">
        <v>0.53</v>
      </c>
      <c r="E28811" t="s">
        <v>19</v>
      </c>
    </row>
    <row r="28812" spans="1:5" x14ac:dyDescent="0.25">
      <c r="A28812" t="str">
        <f>HYPERLINK("https://www.773grp.com/globalSearch/NCP512SQ50T1/page-1", "NCP512SQ50T1")</f>
        <v>NCP512SQ50T1</v>
      </c>
      <c r="B28812" s="3" t="str">
        <f>HYPERLINK("https://www.773grp.com/manufacturer/onsemi?pageNo=1006", "ON Semiconductor")</f>
        <v>ON Semiconductor</v>
      </c>
      <c r="C28812" s="6">
        <v>8980</v>
      </c>
      <c r="D28812" s="7">
        <v>0.53</v>
      </c>
      <c r="E28812" t="s">
        <v>19</v>
      </c>
    </row>
    <row r="28813" spans="1:5" x14ac:dyDescent="0.25">
      <c r="A28813" t="str">
        <f>HYPERLINK("https://www.773grp.com/globalSearch/NCP512SQ50T1G/page-1", "NCP512SQ50T1G")</f>
        <v>NCP512SQ50T1G</v>
      </c>
      <c r="B28813" s="3" t="str">
        <f>HYPERLINK("https://www.773grp.com/manufacturer/onsemi?pageNo=1007", "ON Semiconductor")</f>
        <v>ON Semiconductor</v>
      </c>
      <c r="C28813" s="6">
        <v>23980</v>
      </c>
      <c r="D28813" s="7">
        <v>0.53</v>
      </c>
      <c r="E28813" t="s">
        <v>19</v>
      </c>
    </row>
    <row r="28814" spans="1:5" x14ac:dyDescent="0.25">
      <c r="A28814" t="str">
        <f>HYPERLINK("https://www.773grp.com/globalSearch/NCP612SQ15T1G/page-1", "NCP612SQ15T1G")</f>
        <v>NCP612SQ15T1G</v>
      </c>
      <c r="B28814" s="3" t="str">
        <f>HYPERLINK("https://www.773grp.com/manufacturer/onsemi?pageNo=1008", "ON Semiconductor")</f>
        <v>ON Semiconductor</v>
      </c>
      <c r="C28814" s="6">
        <v>10721</v>
      </c>
      <c r="D28814" s="7">
        <v>0.53</v>
      </c>
      <c r="E28814" t="s">
        <v>28</v>
      </c>
    </row>
    <row r="28815" spans="1:5" x14ac:dyDescent="0.25">
      <c r="A28815" t="str">
        <f>HYPERLINK("https://www.773grp.com/globalSearch/NCP612SQ18T1G/page-1", "NCP612SQ18T1G")</f>
        <v>NCP612SQ18T1G</v>
      </c>
      <c r="B28815" s="3" t="str">
        <f>HYPERLINK("https://www.773grp.com/manufacturer/onsemi?pageNo=1009", "ON Semiconductor")</f>
        <v>ON Semiconductor</v>
      </c>
      <c r="C28815" s="6">
        <v>6959</v>
      </c>
      <c r="D28815" s="7">
        <v>0.53</v>
      </c>
      <c r="E28815" t="s">
        <v>28</v>
      </c>
    </row>
    <row r="28816" spans="1:5" x14ac:dyDescent="0.25">
      <c r="A28816" t="str">
        <f>HYPERLINK("https://www.773grp.com/globalSearch/NCP612SQ25T1G/page-1", "NCP612SQ25T1G")</f>
        <v>NCP612SQ25T1G</v>
      </c>
      <c r="B28816" s="3" t="str">
        <f>HYPERLINK("https://www.773grp.com/manufacturer/onsemi?pageNo=1010", "ON Semiconductor")</f>
        <v>ON Semiconductor</v>
      </c>
      <c r="C28816" s="6">
        <v>16967</v>
      </c>
      <c r="D28816" s="7">
        <v>0.53</v>
      </c>
      <c r="E28816" t="s">
        <v>28</v>
      </c>
    </row>
    <row r="28817" spans="1:5" x14ac:dyDescent="0.25">
      <c r="A28817" t="str">
        <f>HYPERLINK("https://www.773grp.com/globalSearch/NCP612SQ27T1G/page-1", "NCP612SQ27T1G")</f>
        <v>NCP612SQ27T1G</v>
      </c>
      <c r="B28817" s="3" t="str">
        <f>HYPERLINK("https://www.773grp.com/manufacturer/onsemi?pageNo=1011", "ON Semiconductor")</f>
        <v>ON Semiconductor</v>
      </c>
      <c r="C28817" s="6">
        <v>20733</v>
      </c>
      <c r="D28817" s="7">
        <v>0.53</v>
      </c>
      <c r="E28817" t="s">
        <v>28</v>
      </c>
    </row>
    <row r="28818" spans="1:5" x14ac:dyDescent="0.25">
      <c r="A28818" t="str">
        <f>HYPERLINK("https://www.773grp.com/globalSearch/NCP612SQ28T1G/page-1", "NCP612SQ28T1G")</f>
        <v>NCP612SQ28T1G</v>
      </c>
      <c r="B28818" s="3" t="str">
        <f>HYPERLINK("https://www.773grp.com/manufacturer/onsemi?pageNo=1012", "ON Semiconductor")</f>
        <v>ON Semiconductor</v>
      </c>
      <c r="C28818" s="6">
        <v>12808</v>
      </c>
      <c r="D28818" s="7">
        <v>0.53</v>
      </c>
      <c r="E28818" t="s">
        <v>28</v>
      </c>
    </row>
    <row r="28819" spans="1:5" x14ac:dyDescent="0.25">
      <c r="A28819" t="str">
        <f>HYPERLINK("https://www.773grp.com/globalSearch/NCP612SQ31T1G/page-1", "NCP612SQ31T1G")</f>
        <v>NCP612SQ31T1G</v>
      </c>
      <c r="B28819" s="3" t="str">
        <f>HYPERLINK("https://www.773grp.com/manufacturer/onsemi?pageNo=1013", "ON Semiconductor")</f>
        <v>ON Semiconductor</v>
      </c>
      <c r="C28819" s="6">
        <v>22190</v>
      </c>
      <c r="D28819" s="7">
        <v>0.53</v>
      </c>
      <c r="E28819" t="s">
        <v>28</v>
      </c>
    </row>
    <row r="28820" spans="1:5" x14ac:dyDescent="0.25">
      <c r="A28820" t="str">
        <f>HYPERLINK("https://www.773grp.com/globalSearch/NCP612SQ33T1G/page-1", "NCP612SQ33T1G")</f>
        <v>NCP612SQ33T1G</v>
      </c>
      <c r="B28820" s="3" t="str">
        <f>HYPERLINK("https://www.773grp.com/manufacturer/onsemi?pageNo=1014", "ON Semiconductor")</f>
        <v>ON Semiconductor</v>
      </c>
      <c r="C28820" s="6">
        <v>53775</v>
      </c>
      <c r="D28820" s="7">
        <v>0.53</v>
      </c>
      <c r="E28820" t="s">
        <v>28</v>
      </c>
    </row>
    <row r="28821" spans="1:5" x14ac:dyDescent="0.25">
      <c r="A28821" t="str">
        <f>HYPERLINK("https://www.773grp.com/globalSearch/NCP612SQ50T1G/page-1", "NCP612SQ50T1G")</f>
        <v>NCP612SQ50T1G</v>
      </c>
      <c r="B28821" s="3" t="str">
        <f>HYPERLINK("https://www.773grp.com/manufacturer/onsemi?pageNo=1015", "ON Semiconductor")</f>
        <v>ON Semiconductor</v>
      </c>
      <c r="C28821" s="6">
        <v>13306</v>
      </c>
      <c r="D28821" s="7">
        <v>0.53</v>
      </c>
      <c r="E28821" t="s">
        <v>28</v>
      </c>
    </row>
    <row r="28822" spans="1:5" x14ac:dyDescent="0.25">
      <c r="A28822" t="str">
        <f>HYPERLINK("https://www.773grp.com/globalSearch/NCP7806CTG/page-1", "NCP7806CTG")</f>
        <v>NCP7806CTG</v>
      </c>
      <c r="B28822" s="3" t="str">
        <f>HYPERLINK("https://www.773grp.com/manufacturer/onsemi?pageNo=1016", "ON Semiconductor")</f>
        <v>ON Semiconductor</v>
      </c>
      <c r="C28822" s="6">
        <v>27550</v>
      </c>
      <c r="D28822" s="7">
        <v>0.53</v>
      </c>
    </row>
    <row r="28823" spans="1:5" x14ac:dyDescent="0.25">
      <c r="A28823" t="str">
        <f>HYPERLINK("https://www.773grp.com/globalSearch/NCP7824CTG/page-1", "NCP7824CTG")</f>
        <v>NCP7824CTG</v>
      </c>
      <c r="B28823" s="3" t="str">
        <f>HYPERLINK("https://www.773grp.com/manufacturer/onsemi?pageNo=1017", "ON Semiconductor")</f>
        <v>ON Semiconductor</v>
      </c>
      <c r="C28823" s="6">
        <v>110550</v>
      </c>
      <c r="D28823" s="7">
        <v>0.53</v>
      </c>
    </row>
    <row r="28824" spans="1:5" x14ac:dyDescent="0.25">
      <c r="A28824" t="str">
        <f>HYPERLINK("https://www.773grp.com/globalSearch/NCV317LBZG/page-1", "NCV317LBZG")</f>
        <v>NCV317LBZG</v>
      </c>
      <c r="B28824" s="3" t="str">
        <f>HYPERLINK("https://www.773grp.com/manufacturer/onsemi?pageNo=1018", "ON Semiconductor")</f>
        <v>ON Semiconductor</v>
      </c>
      <c r="C28824" s="6">
        <v>32000</v>
      </c>
      <c r="D28824" s="7">
        <v>0.53</v>
      </c>
      <c r="E28824" t="s">
        <v>22</v>
      </c>
    </row>
    <row r="28825" spans="1:5" x14ac:dyDescent="0.25">
      <c r="A28825" t="str">
        <f>HYPERLINK("https://www.773grp.com/globalSearch/NCV431AIDMR2/page-1", "NCV431AIDMR2")</f>
        <v>NCV431AIDMR2</v>
      </c>
      <c r="B28825" s="3" t="str">
        <f>HYPERLINK("https://www.773grp.com/manufacturer/onsemi?pageNo=1019", "ON Semiconductor")</f>
        <v>ON Semiconductor</v>
      </c>
      <c r="C28825" s="6">
        <v>3776</v>
      </c>
      <c r="D28825" s="7">
        <v>0.53</v>
      </c>
      <c r="E28825" t="s">
        <v>17</v>
      </c>
    </row>
    <row r="28826" spans="1:5" x14ac:dyDescent="0.25">
      <c r="A28826" t="str">
        <f>HYPERLINK("https://www.773grp.com/globalSearch/NCV431AIDR2/page-1", "NCV431AIDR2")</f>
        <v>NCV431AIDR2</v>
      </c>
      <c r="B28826" s="3" t="str">
        <f>HYPERLINK("https://www.773grp.com/manufacturer/onsemi?pageNo=1020", "ON Semiconductor")</f>
        <v>ON Semiconductor</v>
      </c>
      <c r="C28826" s="6">
        <v>1205</v>
      </c>
      <c r="D28826" s="7">
        <v>0.53</v>
      </c>
      <c r="E28826" t="s">
        <v>17</v>
      </c>
    </row>
    <row r="28827" spans="1:5" x14ac:dyDescent="0.25">
      <c r="A28827" t="str">
        <f>HYPERLINK("https://www.773grp.com/globalSearch/NCV78L12ABDG/page-1", "NCV78L12ABDG")</f>
        <v>NCV78L12ABDG</v>
      </c>
      <c r="B28827" s="3" t="str">
        <f>HYPERLINK("https://www.773grp.com/manufacturer/onsemi?pageNo=1021", "ON Semiconductor")</f>
        <v>ON Semiconductor</v>
      </c>
      <c r="C28827" s="6">
        <v>5586</v>
      </c>
      <c r="D28827" s="7">
        <v>0.53</v>
      </c>
      <c r="E28827" t="s">
        <v>28</v>
      </c>
    </row>
    <row r="28828" spans="1:5" x14ac:dyDescent="0.25">
      <c r="A28828" t="str">
        <f>HYPERLINK("https://www.773grp.com/globalSearch/NL17SV00XV5T2G/page-1", "NL17SV00XV5T2G")</f>
        <v>NL17SV00XV5T2G</v>
      </c>
      <c r="B28828" s="3" t="str">
        <f>HYPERLINK("https://www.773grp.com/manufacturer/onsemi?pageNo=1022", "ON Semiconductor")</f>
        <v>ON Semiconductor</v>
      </c>
      <c r="C28828" s="6">
        <v>226405</v>
      </c>
      <c r="D28828" s="7">
        <v>0.53</v>
      </c>
      <c r="E28828" t="s">
        <v>31</v>
      </c>
    </row>
    <row r="28829" spans="1:5" x14ac:dyDescent="0.25">
      <c r="A28829" t="str">
        <f>HYPERLINK("https://www.773grp.com/globalSearch/NL17SV02XV5T2G/page-1", "NL17SV02XV5T2G")</f>
        <v>NL17SV02XV5T2G</v>
      </c>
      <c r="B28829" s="3" t="str">
        <f>HYPERLINK("https://www.773grp.com/manufacturer/onsemi?pageNo=1023", "ON Semiconductor")</f>
        <v>ON Semiconductor</v>
      </c>
      <c r="C28829" s="6">
        <v>23945</v>
      </c>
      <c r="D28829" s="7">
        <v>0.53</v>
      </c>
      <c r="E28829" t="s">
        <v>31</v>
      </c>
    </row>
    <row r="28830" spans="1:5" x14ac:dyDescent="0.25">
      <c r="A28830" t="str">
        <f>HYPERLINK("https://www.773grp.com/globalSearch/NL17SV04XV5T2G/page-1", "NL17SV04XV5T2G")</f>
        <v>NL17SV04XV5T2G</v>
      </c>
      <c r="B28830" s="3" t="str">
        <f>HYPERLINK("https://www.773grp.com/manufacturer/onsemi?pageNo=1024", "ON Semiconductor")</f>
        <v>ON Semiconductor</v>
      </c>
      <c r="C28830" s="6">
        <v>127031</v>
      </c>
      <c r="D28830" s="7">
        <v>0.53</v>
      </c>
      <c r="E28830" t="s">
        <v>31</v>
      </c>
    </row>
    <row r="28831" spans="1:5" x14ac:dyDescent="0.25">
      <c r="A28831" t="str">
        <f>HYPERLINK("https://www.773grp.com/globalSearch/NL17SV08XV5T2G/page-1", "NL17SV08XV5T2G")</f>
        <v>NL17SV08XV5T2G</v>
      </c>
      <c r="B28831" s="3" t="str">
        <f>HYPERLINK("https://www.773grp.com/manufacturer/onsemi?pageNo=1025", "ON Semiconductor")</f>
        <v>ON Semiconductor</v>
      </c>
      <c r="C28831" s="6">
        <v>379666</v>
      </c>
      <c r="D28831" s="7">
        <v>0.53</v>
      </c>
      <c r="E28831" t="s">
        <v>31</v>
      </c>
    </row>
    <row r="28832" spans="1:5" x14ac:dyDescent="0.25">
      <c r="A28832" t="str">
        <f>HYPERLINK("https://www.773grp.com/globalSearch/NL17SV16XV5T2G/page-1", "NL17SV16XV5T2G")</f>
        <v>NL17SV16XV5T2G</v>
      </c>
      <c r="B28832" s="3" t="str">
        <f>HYPERLINK("https://www.773grp.com/manufacturer/onsemi?pageNo=1026", "ON Semiconductor")</f>
        <v>ON Semiconductor</v>
      </c>
      <c r="C28832" s="6">
        <v>91860</v>
      </c>
      <c r="D28832" s="7">
        <v>0.53</v>
      </c>
      <c r="E28832" t="s">
        <v>31</v>
      </c>
    </row>
    <row r="28833" spans="1:5" x14ac:dyDescent="0.25">
      <c r="A28833" t="str">
        <f>HYPERLINK("https://www.773grp.com/globalSearch/NL17SV32XV5T2G/page-1", "NL17SV32XV5T2G")</f>
        <v>NL17SV32XV5T2G</v>
      </c>
      <c r="B28833" s="3" t="str">
        <f>HYPERLINK("https://www.773grp.com/manufacturer/onsemi?pageNo=1027", "ON Semiconductor")</f>
        <v>ON Semiconductor</v>
      </c>
      <c r="C28833" s="6">
        <v>43378</v>
      </c>
      <c r="D28833" s="7">
        <v>0.53</v>
      </c>
      <c r="E28833" t="s">
        <v>31</v>
      </c>
    </row>
    <row r="28834" spans="1:5" x14ac:dyDescent="0.25">
      <c r="A28834" t="str">
        <f>HYPERLINK("https://www.773grp.com/globalSearch/NL27WZ00US/page-1", "NL27WZ00US")</f>
        <v>NL27WZ00US</v>
      </c>
      <c r="B28834" s="3" t="str">
        <f>HYPERLINK("https://www.773grp.com/manufacturer/onsemi?pageNo=1028", "ON Semiconductor")</f>
        <v>ON Semiconductor</v>
      </c>
      <c r="C28834" s="6">
        <v>44720</v>
      </c>
      <c r="D28834" s="7">
        <v>0.53</v>
      </c>
      <c r="E28834" t="s">
        <v>31</v>
      </c>
    </row>
    <row r="28835" spans="1:5" x14ac:dyDescent="0.25">
      <c r="A28835" t="str">
        <f>HYPERLINK("https://www.773grp.com/globalSearch/NL27WZ02US/page-1", "NL27WZ02US")</f>
        <v>NL27WZ02US</v>
      </c>
      <c r="B28835" s="3" t="str">
        <f>HYPERLINK("https://www.773grp.com/manufacturer/onsemi?pageNo=1029", "ON Semiconductor")</f>
        <v>ON Semiconductor</v>
      </c>
      <c r="C28835" s="6">
        <v>951</v>
      </c>
      <c r="D28835" s="7">
        <v>0.53</v>
      </c>
      <c r="E28835" t="s">
        <v>31</v>
      </c>
    </row>
    <row r="28836" spans="1:5" x14ac:dyDescent="0.25">
      <c r="A28836" t="str">
        <f>HYPERLINK("https://www.773grp.com/globalSearch/NL27WZ04DFT2/page-1", "NL27WZ04DFT2")</f>
        <v>NL27WZ04DFT2</v>
      </c>
      <c r="B28836" s="3" t="str">
        <f>HYPERLINK("https://www.773grp.com/manufacturer/onsemi?pageNo=1030", "ON Semiconductor")</f>
        <v>ON Semiconductor</v>
      </c>
      <c r="C28836" s="6">
        <v>169728</v>
      </c>
      <c r="D28836" s="7">
        <v>0.53</v>
      </c>
      <c r="E28836" t="s">
        <v>31</v>
      </c>
    </row>
    <row r="28837" spans="1:5" x14ac:dyDescent="0.25">
      <c r="A28837" t="str">
        <f>HYPERLINK("https://www.773grp.com/globalSearch/NL27WZ04DTT1/page-1", "NL27WZ04DTT1")</f>
        <v>NL27WZ04DTT1</v>
      </c>
      <c r="B28837" s="3" t="str">
        <f>HYPERLINK("https://www.773grp.com/manufacturer/onsemi?pageNo=1031", "ON Semiconductor")</f>
        <v>ON Semiconductor</v>
      </c>
      <c r="C28837" s="6">
        <v>78000</v>
      </c>
      <c r="D28837" s="7">
        <v>0.53</v>
      </c>
      <c r="E28837" t="s">
        <v>31</v>
      </c>
    </row>
    <row r="28838" spans="1:5" x14ac:dyDescent="0.25">
      <c r="A28838" t="str">
        <f>HYPERLINK("https://www.773grp.com/globalSearch/NL27WZ06DFT2/page-1", "NL27WZ06DFT2")</f>
        <v>NL27WZ06DFT2</v>
      </c>
      <c r="B28838" s="3" t="str">
        <f>HYPERLINK("https://www.773grp.com/manufacturer/onsemi?pageNo=1032", "ON Semiconductor")</f>
        <v>ON Semiconductor</v>
      </c>
      <c r="C28838" s="6">
        <v>8550</v>
      </c>
      <c r="D28838" s="7">
        <v>0.53</v>
      </c>
      <c r="E28838" t="s">
        <v>31</v>
      </c>
    </row>
    <row r="28839" spans="1:5" x14ac:dyDescent="0.25">
      <c r="A28839" t="str">
        <f>HYPERLINK("https://www.773grp.com/globalSearch/NL27WZ06DTT1/page-1", "NL27WZ06DTT1")</f>
        <v>NL27WZ06DTT1</v>
      </c>
      <c r="B28839" s="3" t="str">
        <f>HYPERLINK("https://www.773grp.com/manufacturer/onsemi?pageNo=1033", "ON Semiconductor")</f>
        <v>ON Semiconductor</v>
      </c>
      <c r="C28839" s="6">
        <v>5955</v>
      </c>
      <c r="D28839" s="7">
        <v>0.53</v>
      </c>
      <c r="E28839" t="s">
        <v>31</v>
      </c>
    </row>
    <row r="28840" spans="1:5" x14ac:dyDescent="0.25">
      <c r="A28840" t="str">
        <f>HYPERLINK("https://www.773grp.com/globalSearch/NL27WZ07DFT2/page-1", "NL27WZ07DFT2")</f>
        <v>NL27WZ07DFT2</v>
      </c>
      <c r="B28840" s="3" t="str">
        <f>HYPERLINK("https://www.773grp.com/manufacturer/onsemi?pageNo=1034", "ON Semiconductor")</f>
        <v>ON Semiconductor</v>
      </c>
      <c r="C28840" s="6">
        <v>48550</v>
      </c>
      <c r="D28840" s="7">
        <v>0.53</v>
      </c>
      <c r="E28840" t="s">
        <v>31</v>
      </c>
    </row>
    <row r="28841" spans="1:5" x14ac:dyDescent="0.25">
      <c r="A28841" t="str">
        <f>HYPERLINK("https://www.773grp.com/globalSearch/NL27WZ07DTT1/page-1", "NL27WZ07DTT1")</f>
        <v>NL27WZ07DTT1</v>
      </c>
      <c r="B28841" s="3" t="str">
        <f>HYPERLINK("https://www.773grp.com/manufacturer/onsemi?pageNo=1035", "ON Semiconductor")</f>
        <v>ON Semiconductor</v>
      </c>
      <c r="C28841" s="6">
        <v>2860</v>
      </c>
      <c r="D28841" s="7">
        <v>0.53</v>
      </c>
      <c r="E28841" t="s">
        <v>31</v>
      </c>
    </row>
    <row r="28842" spans="1:5" x14ac:dyDescent="0.25">
      <c r="A28842" t="str">
        <f>HYPERLINK("https://www.773grp.com/globalSearch/NL27WZ08US/page-1", "NL27WZ08US")</f>
        <v>NL27WZ08US</v>
      </c>
      <c r="B28842" s="3" t="str">
        <f>HYPERLINK("https://www.773grp.com/manufacturer/onsemi?pageNo=1036", "ON Semiconductor")</f>
        <v>ON Semiconductor</v>
      </c>
      <c r="C28842" s="6">
        <v>627677</v>
      </c>
      <c r="D28842" s="7">
        <v>0.53</v>
      </c>
      <c r="E28842" t="s">
        <v>31</v>
      </c>
    </row>
    <row r="28843" spans="1:5" x14ac:dyDescent="0.25">
      <c r="A28843" t="str">
        <f>HYPERLINK("https://www.773grp.com/globalSearch/NL27WZ125US/page-1", "NL27WZ125US")</f>
        <v>NL27WZ125US</v>
      </c>
      <c r="B28843" s="3" t="str">
        <f>HYPERLINK("https://www.773grp.com/manufacturer/onsemi?pageNo=1037", "ON Semiconductor")</f>
        <v>ON Semiconductor</v>
      </c>
      <c r="C28843" s="6">
        <v>72864</v>
      </c>
      <c r="D28843" s="7">
        <v>0.53</v>
      </c>
      <c r="E28843" t="s">
        <v>14</v>
      </c>
    </row>
    <row r="28844" spans="1:5" x14ac:dyDescent="0.25">
      <c r="A28844" t="str">
        <f>HYPERLINK("https://www.773grp.com/globalSearch/NL27WZ126US/page-1", "NL27WZ126US")</f>
        <v>NL27WZ126US</v>
      </c>
      <c r="B28844" s="3" t="str">
        <f>HYPERLINK("https://www.773grp.com/manufacturer/onsemi?pageNo=1038", "ON Semiconductor")</f>
        <v>ON Semiconductor</v>
      </c>
      <c r="C28844" s="6">
        <v>371105</v>
      </c>
      <c r="D28844" s="7">
        <v>0.53</v>
      </c>
      <c r="E28844" t="s">
        <v>14</v>
      </c>
    </row>
    <row r="28845" spans="1:5" x14ac:dyDescent="0.25">
      <c r="A28845" t="str">
        <f>HYPERLINK("https://www.773grp.com/globalSearch/NL27WZ14DFT2/page-1", "NL27WZ14DFT2")</f>
        <v>NL27WZ14DFT2</v>
      </c>
      <c r="B28845" s="3" t="str">
        <f>HYPERLINK("https://www.773grp.com/manufacturer/onsemi?pageNo=1039", "ON Semiconductor")</f>
        <v>ON Semiconductor</v>
      </c>
      <c r="C28845" s="6">
        <v>87991</v>
      </c>
      <c r="D28845" s="7">
        <v>0.53</v>
      </c>
      <c r="E28845" t="s">
        <v>31</v>
      </c>
    </row>
    <row r="28846" spans="1:5" x14ac:dyDescent="0.25">
      <c r="A28846" t="str">
        <f>HYPERLINK("https://www.773grp.com/globalSearch/NL27WZ16DFT2/page-1", "NL27WZ16DFT2")</f>
        <v>NL27WZ16DFT2</v>
      </c>
      <c r="B28846" s="3" t="str">
        <f>HYPERLINK("https://www.773grp.com/manufacturer/onsemi?pageNo=1040", "ON Semiconductor")</f>
        <v>ON Semiconductor</v>
      </c>
      <c r="C28846" s="6">
        <v>93838</v>
      </c>
      <c r="D28846" s="7">
        <v>0.53</v>
      </c>
      <c r="E28846" t="s">
        <v>31</v>
      </c>
    </row>
    <row r="28847" spans="1:5" x14ac:dyDescent="0.25">
      <c r="A28847" t="str">
        <f>HYPERLINK("https://www.773grp.com/globalSearch/NL27WZ16DTT1/page-1", "NL27WZ16DTT1")</f>
        <v>NL27WZ16DTT1</v>
      </c>
      <c r="B28847" s="3" t="str">
        <f>HYPERLINK("https://www.773grp.com/manufacturer/onsemi?pageNo=1041", "ON Semiconductor")</f>
        <v>ON Semiconductor</v>
      </c>
      <c r="C28847" s="6">
        <v>2362</v>
      </c>
      <c r="D28847" s="7">
        <v>0.53</v>
      </c>
      <c r="E28847" t="s">
        <v>31</v>
      </c>
    </row>
    <row r="28848" spans="1:5" x14ac:dyDescent="0.25">
      <c r="A28848" t="str">
        <f>HYPERLINK("https://www.773grp.com/globalSearch/NL27WZ17DFT2/page-1", "NL27WZ17DFT2")</f>
        <v>NL27WZ17DFT2</v>
      </c>
      <c r="B28848" s="3" t="str">
        <f>HYPERLINK("https://www.773grp.com/manufacturer/onsemi?pageNo=1042", "ON Semiconductor")</f>
        <v>ON Semiconductor</v>
      </c>
      <c r="C28848" s="6">
        <v>81000</v>
      </c>
      <c r="D28848" s="7">
        <v>0.53</v>
      </c>
      <c r="E28848" t="s">
        <v>31</v>
      </c>
    </row>
    <row r="28849" spans="1:5" x14ac:dyDescent="0.25">
      <c r="A28849" t="str">
        <f>HYPERLINK("https://www.773grp.com/globalSearch/NL27WZ32US/page-1", "NL27WZ32US")</f>
        <v>NL27WZ32US</v>
      </c>
      <c r="B28849" s="3" t="str">
        <f>HYPERLINK("https://www.773grp.com/manufacturer/onsemi?pageNo=1043", "ON Semiconductor")</f>
        <v>ON Semiconductor</v>
      </c>
      <c r="C28849" s="6">
        <v>641655</v>
      </c>
      <c r="D28849" s="7">
        <v>0.53</v>
      </c>
      <c r="E28849" t="s">
        <v>31</v>
      </c>
    </row>
    <row r="28850" spans="1:5" x14ac:dyDescent="0.25">
      <c r="A28850" t="str">
        <f>HYPERLINK("https://www.773grp.com/globalSearch/NL27WZ86US/page-1", "NL27WZ86US")</f>
        <v>NL27WZ86US</v>
      </c>
      <c r="B28850" s="3" t="str">
        <f>HYPERLINK("https://www.773grp.com/manufacturer/onsemi?pageNo=1044", "ON Semiconductor")</f>
        <v>ON Semiconductor</v>
      </c>
      <c r="C28850" s="6">
        <v>20805</v>
      </c>
      <c r="D28850" s="7">
        <v>0.53</v>
      </c>
      <c r="E28850" t="s">
        <v>31</v>
      </c>
    </row>
    <row r="28851" spans="1:5" x14ac:dyDescent="0.25">
      <c r="A28851" t="str">
        <f>HYPERLINK("https://www.773grp.com/globalSearch/NL7SZ18DFT2/page-1", "NL7SZ18DFT2")</f>
        <v>NL7SZ18DFT2</v>
      </c>
      <c r="B28851" s="3" t="str">
        <f>HYPERLINK("https://www.773grp.com/manufacturer/onsemi?pageNo=1045", "ON Semiconductor")</f>
        <v>ON Semiconductor</v>
      </c>
      <c r="C28851" s="6">
        <v>50350</v>
      </c>
      <c r="D28851" s="7">
        <v>0.53</v>
      </c>
      <c r="E28851" t="s">
        <v>36</v>
      </c>
    </row>
    <row r="28852" spans="1:5" x14ac:dyDescent="0.25">
      <c r="A28852" t="str">
        <f>HYPERLINK("https://www.773grp.com/globalSearch/NL7SZ19DFT2/page-1", "NL7SZ19DFT2")</f>
        <v>NL7SZ19DFT2</v>
      </c>
      <c r="B28852" s="3" t="str">
        <f>HYPERLINK("https://www.773grp.com/manufacturer/onsemi?pageNo=1046", "ON Semiconductor")</f>
        <v>ON Semiconductor</v>
      </c>
      <c r="C28852" s="6">
        <v>8874</v>
      </c>
      <c r="D28852" s="7">
        <v>0.53</v>
      </c>
      <c r="E28852" t="s">
        <v>36</v>
      </c>
    </row>
    <row r="28853" spans="1:5" x14ac:dyDescent="0.25">
      <c r="A28853" t="str">
        <f>HYPERLINK("https://www.773grp.com/globalSearch/NLAS4501DFT2/page-1", "NLAS4501DFT2")</f>
        <v>NLAS4501DFT2</v>
      </c>
      <c r="B28853" s="3" t="str">
        <f>HYPERLINK("https://www.773grp.com/manufacturer/onsemi?pageNo=1047", "ON Semiconductor")</f>
        <v>ON Semiconductor</v>
      </c>
      <c r="C28853" s="6">
        <v>33000</v>
      </c>
      <c r="D28853" s="7">
        <v>0.53</v>
      </c>
      <c r="E28853" t="s">
        <v>56</v>
      </c>
    </row>
    <row r="28854" spans="1:5" x14ac:dyDescent="0.25">
      <c r="A28854" t="str">
        <f>HYPERLINK("https://www.773grp.com/globalSearch/NLAS4501DFT2G/page-1", "NLAS4501DFT2G")</f>
        <v>NLAS4501DFT2G</v>
      </c>
      <c r="B28854" s="3" t="str">
        <f>HYPERLINK("https://www.773grp.com/manufacturer/onsemi?pageNo=1048", "ON Semiconductor")</f>
        <v>ON Semiconductor</v>
      </c>
      <c r="C28854" s="6">
        <v>6000</v>
      </c>
      <c r="D28854" s="7">
        <v>0.53</v>
      </c>
      <c r="E28854" t="s">
        <v>56</v>
      </c>
    </row>
    <row r="28855" spans="1:5" x14ac:dyDescent="0.25">
      <c r="A28855" t="str">
        <f>HYPERLINK("https://www.773grp.com/globalSearch/NLAS4599DFT2G/page-1", "NLAS4599DFT2G")</f>
        <v>NLAS4599DFT2G</v>
      </c>
      <c r="B28855" s="3" t="str">
        <f>HYPERLINK("https://www.773grp.com/manufacturer/onsemi?pageNo=1049", "ON Semiconductor")</f>
        <v>ON Semiconductor</v>
      </c>
      <c r="C28855" s="6">
        <v>10587</v>
      </c>
      <c r="D28855" s="7">
        <v>0.53</v>
      </c>
      <c r="E28855" t="s">
        <v>56</v>
      </c>
    </row>
    <row r="28856" spans="1:5" x14ac:dyDescent="0.25">
      <c r="A28856" t="str">
        <f>HYPERLINK("https://www.773grp.com/globalSearch/NLAS4599DTT1G/page-1", "NLAS4599DTT1G")</f>
        <v>NLAS4599DTT1G</v>
      </c>
      <c r="B28856" s="3" t="str">
        <f>HYPERLINK("https://www.773grp.com/manufacturer/onsemi?pageNo=1050", "ON Semiconductor")</f>
        <v>ON Semiconductor</v>
      </c>
      <c r="C28856" s="6">
        <v>140550</v>
      </c>
      <c r="D28856" s="7">
        <v>0.53</v>
      </c>
      <c r="E28856" t="s">
        <v>56</v>
      </c>
    </row>
    <row r="28857" spans="1:5" x14ac:dyDescent="0.25">
      <c r="A28857" t="str">
        <f>HYPERLINK("https://www.773grp.com/globalSearch/NLASB3157DFT2/page-1", "NLASB3157DFT2")</f>
        <v>NLASB3157DFT2</v>
      </c>
      <c r="B28857" s="3" t="str">
        <f>HYPERLINK("https://www.773grp.com/manufacturer/onsemi?pageNo=1051", "ON Semiconductor")</f>
        <v>ON Semiconductor</v>
      </c>
      <c r="C28857" s="6">
        <v>77842</v>
      </c>
      <c r="D28857" s="7">
        <v>0.53</v>
      </c>
      <c r="E28857" t="s">
        <v>56</v>
      </c>
    </row>
    <row r="28858" spans="1:5" x14ac:dyDescent="0.25">
      <c r="A28858" t="str">
        <f>HYPERLINK("https://www.773grp.com/globalSearch/NLAST4501DFT/page-1", "NLAST4501DFT")</f>
        <v>NLAST4501DFT</v>
      </c>
      <c r="B28858" s="3" t="str">
        <f>HYPERLINK("https://www.773grp.com/manufacturer/onsemi?pageNo=1052", "ON Semiconductor")</f>
        <v>ON Semiconductor</v>
      </c>
      <c r="C28858" s="6">
        <v>30000</v>
      </c>
      <c r="D28858" s="7">
        <v>0.53</v>
      </c>
    </row>
    <row r="28859" spans="1:5" x14ac:dyDescent="0.25">
      <c r="A28859" t="str">
        <f>HYPERLINK("https://www.773grp.com/globalSearch/NLAST4501DFT2/page-1", "NLAST4501DFT2")</f>
        <v>NLAST4501DFT2</v>
      </c>
      <c r="B28859" s="3" t="str">
        <f>HYPERLINK("https://www.773grp.com/manufacturer/onsemi?pageNo=1053", "ON Semiconductor")</f>
        <v>ON Semiconductor</v>
      </c>
      <c r="C28859" s="6">
        <v>61000</v>
      </c>
      <c r="D28859" s="7">
        <v>0.53</v>
      </c>
      <c r="E28859" t="s">
        <v>56</v>
      </c>
    </row>
    <row r="28860" spans="1:5" x14ac:dyDescent="0.25">
      <c r="A28860" t="str">
        <f>HYPERLINK("https://www.773grp.com/globalSearch/NLAST4599DFT2/page-1", "NLAST4599DFT2")</f>
        <v>NLAST4599DFT2</v>
      </c>
      <c r="B28860" s="3" t="str">
        <f>HYPERLINK("https://www.773grp.com/manufacturer/onsemi?pageNo=1054", "ON Semiconductor")</f>
        <v>ON Semiconductor</v>
      </c>
      <c r="C28860" s="6">
        <v>3057</v>
      </c>
      <c r="D28860" s="7">
        <v>0.53</v>
      </c>
      <c r="E28860" t="s">
        <v>56</v>
      </c>
    </row>
    <row r="28861" spans="1:5" x14ac:dyDescent="0.25">
      <c r="A28861" t="str">
        <f>HYPERLINK("https://www.773grp.com/globalSearch/NLAST4599DFT2G/page-1", "NLAST4599DFT2G")</f>
        <v>NLAST4599DFT2G</v>
      </c>
      <c r="B28861" s="3" t="str">
        <f>HYPERLINK("https://www.773grp.com/manufacturer/onsemi?pageNo=1055", "ON Semiconductor")</f>
        <v>ON Semiconductor</v>
      </c>
      <c r="C28861" s="6">
        <v>44325</v>
      </c>
      <c r="D28861" s="7">
        <v>0.53</v>
      </c>
      <c r="E28861" t="s">
        <v>56</v>
      </c>
    </row>
    <row r="28862" spans="1:5" x14ac:dyDescent="0.25">
      <c r="A28862" t="str">
        <f>HYPERLINK("https://www.773grp.com/globalSearch/NLAST4599DTT1G/page-1", "NLAST4599DTT1G")</f>
        <v>NLAST4599DTT1G</v>
      </c>
      <c r="B28862" s="3" t="str">
        <f>HYPERLINK("https://www.773grp.com/manufacturer/onsemi?pageNo=1056", "ON Semiconductor")</f>
        <v>ON Semiconductor</v>
      </c>
      <c r="C28862" s="6">
        <v>349</v>
      </c>
      <c r="D28862" s="7">
        <v>0.53</v>
      </c>
    </row>
    <row r="28863" spans="1:5" x14ac:dyDescent="0.25">
      <c r="A28863" t="str">
        <f>HYPERLINK("https://www.773grp.com/globalSearch/NLV17SZ125DFT2G/page-1", "NLV17SZ125DFT2G")</f>
        <v>NLV17SZ125DFT2G</v>
      </c>
      <c r="B28863" s="3" t="str">
        <f>HYPERLINK("https://www.773grp.com/manufacturer/onsemi?pageNo=1057", "ON Semiconductor")</f>
        <v>ON Semiconductor</v>
      </c>
      <c r="C28863" s="6">
        <v>9000</v>
      </c>
      <c r="D28863" s="7">
        <v>0.53</v>
      </c>
    </row>
    <row r="28864" spans="1:5" x14ac:dyDescent="0.25">
      <c r="A28864" t="str">
        <f>HYPERLINK("https://www.773grp.com/globalSearch/NLV17SZU04DFT2G/page-1", "NLV17SZU04DFT2G")</f>
        <v>NLV17SZU04DFT2G</v>
      </c>
      <c r="B28864" s="3" t="str">
        <f>HYPERLINK("https://www.773grp.com/manufacturer/onsemi?pageNo=1058", "ON Semiconductor")</f>
        <v>ON Semiconductor</v>
      </c>
      <c r="C28864" s="6">
        <v>59975</v>
      </c>
      <c r="D28864" s="7">
        <v>0.53</v>
      </c>
    </row>
    <row r="28865" spans="1:5" x14ac:dyDescent="0.25">
      <c r="A28865" t="str">
        <f>HYPERLINK("https://www.773grp.com/globalSearch/NLV74HC00ADTR2G/page-1", "NLV74HC00ADTR2G")</f>
        <v>NLV74HC00ADTR2G</v>
      </c>
      <c r="B28865" s="3" t="str">
        <f>HYPERLINK("https://www.773grp.com/manufacturer/onsemi?pageNo=1059", "ON Semiconductor")</f>
        <v>ON Semiconductor</v>
      </c>
      <c r="C28865" s="6">
        <v>385015</v>
      </c>
      <c r="D28865" s="7">
        <v>0.53</v>
      </c>
    </row>
    <row r="28866" spans="1:5" x14ac:dyDescent="0.25">
      <c r="A28866" t="str">
        <f>HYPERLINK("https://www.773grp.com/globalSearch/NLVAS4599DFT2/page-1", "NLVAS4599DFT2")</f>
        <v>NLVAS4599DFT2</v>
      </c>
      <c r="B28866" s="3" t="str">
        <f>HYPERLINK("https://www.773grp.com/manufacturer/onsemi?pageNo=1060", "ON Semiconductor")</f>
        <v>ON Semiconductor</v>
      </c>
      <c r="C28866" s="6">
        <v>27000</v>
      </c>
      <c r="D28866" s="7">
        <v>0.53</v>
      </c>
      <c r="E28866" t="s">
        <v>56</v>
      </c>
    </row>
    <row r="28867" spans="1:5" x14ac:dyDescent="0.25">
      <c r="A28867" t="str">
        <f>HYPERLINK("https://www.773grp.com/globalSearch/NLVAS4599DFT2G/page-1", "NLVAS4599DFT2G")</f>
        <v>NLVAS4599DFT2G</v>
      </c>
      <c r="B28867" s="3" t="str">
        <f>HYPERLINK("https://www.773grp.com/manufacturer/onsemi?pageNo=1061", "ON Semiconductor")</f>
        <v>ON Semiconductor</v>
      </c>
      <c r="C28867" s="6">
        <v>6000</v>
      </c>
      <c r="D28867" s="7">
        <v>0.53</v>
      </c>
      <c r="E28867" t="s">
        <v>56</v>
      </c>
    </row>
    <row r="28868" spans="1:5" x14ac:dyDescent="0.25">
      <c r="A28868" t="str">
        <f>HYPERLINK("https://www.773grp.com/globalSearch/NLVAS4599DTT1G/page-1", "NLVAS4599DTT1G")</f>
        <v>NLVAS4599DTT1G</v>
      </c>
      <c r="B28868" s="3" t="str">
        <f>HYPERLINK("https://www.773grp.com/manufacturer/onsemi?pageNo=1062", "ON Semiconductor")</f>
        <v>ON Semiconductor</v>
      </c>
      <c r="C28868" s="6">
        <v>24000</v>
      </c>
      <c r="D28868" s="7">
        <v>0.53</v>
      </c>
      <c r="E28868" t="s">
        <v>56</v>
      </c>
    </row>
    <row r="28869" spans="1:5" x14ac:dyDescent="0.25">
      <c r="A28869" t="str">
        <f>HYPERLINK("https://www.773grp.com/globalSearch/NLVVHC1G08DFT2G/page-1", "NLVVHC1G08DFT2G")</f>
        <v>NLVVHC1G08DFT2G</v>
      </c>
      <c r="B28869" s="3" t="str">
        <f>HYPERLINK("https://www.773grp.com/manufacturer/onsemi?pageNo=1063", "ON Semiconductor")</f>
        <v>ON Semiconductor</v>
      </c>
      <c r="C28869" s="6">
        <v>75000</v>
      </c>
      <c r="D28869" s="7">
        <v>0.53</v>
      </c>
    </row>
    <row r="28870" spans="1:5" x14ac:dyDescent="0.25">
      <c r="A28870" t="str">
        <f>HYPERLINK("https://www.773grp.com/globalSearch/NLVVHC1GT125DF1G/page-1", "NLVVHC1GT125DF1G")</f>
        <v>NLVVHC1GT125DF1G</v>
      </c>
      <c r="B28870" s="3" t="str">
        <f>HYPERLINK("https://www.773grp.com/manufacturer/onsemi?pageNo=1064", "ON Semiconductor")</f>
        <v>ON Semiconductor</v>
      </c>
      <c r="C28870" s="6">
        <v>37800</v>
      </c>
      <c r="D28870" s="7">
        <v>0.53</v>
      </c>
    </row>
    <row r="28871" spans="1:5" x14ac:dyDescent="0.25">
      <c r="A28871" t="str">
        <f>HYPERLINK("https://www.773grp.com/globalSearch/NLVVHC1GT126DF1G/page-1", "NLVVHC1GT126DF1G")</f>
        <v>NLVVHC1GT126DF1G</v>
      </c>
      <c r="B28871" s="3" t="str">
        <f>HYPERLINK("https://www.773grp.com/manufacturer/onsemi?pageNo=1065", "ON Semiconductor")</f>
        <v>ON Semiconductor</v>
      </c>
      <c r="C28871" s="6">
        <v>3000</v>
      </c>
      <c r="D28871" s="7">
        <v>0.53</v>
      </c>
    </row>
    <row r="28872" spans="1:5" x14ac:dyDescent="0.25">
      <c r="A28872" t="str">
        <f>HYPERLINK("https://www.773grp.com/globalSearch/NLVVHC1GT50DFT1G/page-1", "NLVVHC1GT50DFT1G")</f>
        <v>NLVVHC1GT50DFT1G</v>
      </c>
      <c r="B28872" s="3" t="str">
        <f>HYPERLINK("https://www.773grp.com/manufacturer/onsemi?pageNo=1066", "ON Semiconductor")</f>
        <v>ON Semiconductor</v>
      </c>
      <c r="C28872" s="6">
        <v>3000</v>
      </c>
      <c r="D28872" s="7">
        <v>0.53</v>
      </c>
    </row>
    <row r="28873" spans="1:5" x14ac:dyDescent="0.25">
      <c r="A28873" t="str">
        <f>HYPERLINK("https://www.773grp.com/globalSearch/NLX1G99BMX1TCG/page-1", "NLX1G99BMX1TCG")</f>
        <v>NLX1G99BMX1TCG</v>
      </c>
      <c r="B28873" s="3" t="str">
        <f>HYPERLINK("https://www.773grp.com/manufacturer/onsemi?pageNo=1067", "ON Semiconductor")</f>
        <v>ON Semiconductor</v>
      </c>
      <c r="C28873" s="6">
        <v>69000</v>
      </c>
      <c r="D28873" s="7">
        <v>0.53</v>
      </c>
      <c r="E28873" t="s">
        <v>83</v>
      </c>
    </row>
    <row r="28874" spans="1:5" x14ac:dyDescent="0.25">
      <c r="A28874" t="str">
        <f>HYPERLINK("https://www.773grp.com/globalSearch/NP3100SAT3G/page-1", "NP3100SAT3G")</f>
        <v>NP3100SAT3G</v>
      </c>
      <c r="B28874" s="3" t="str">
        <f>HYPERLINK("https://www.773grp.com/manufacturer/onsemi?pageNo=1068", "ON Semiconductor")</f>
        <v>ON Semiconductor</v>
      </c>
      <c r="C28874" s="6">
        <v>218185</v>
      </c>
      <c r="D28874" s="7">
        <v>0.53</v>
      </c>
      <c r="E28874" t="s">
        <v>109</v>
      </c>
    </row>
    <row r="28875" spans="1:5" x14ac:dyDescent="0.25">
      <c r="A28875" t="str">
        <f>HYPERLINK("https://www.773grp.com/globalSearch/NRVBM130LT1G/page-1", "NRVBM130LT1G")</f>
        <v>NRVBM130LT1G</v>
      </c>
      <c r="B28875" s="3" t="str">
        <f>HYPERLINK("https://www.773grp.com/manufacturer/onsemi?pageNo=1069", "ON Semiconductor")</f>
        <v>ON Semiconductor</v>
      </c>
      <c r="C28875" s="6">
        <v>9000</v>
      </c>
      <c r="D28875" s="7">
        <v>0.53</v>
      </c>
    </row>
    <row r="28876" spans="1:5" x14ac:dyDescent="0.25">
      <c r="A28876" t="str">
        <f>HYPERLINK("https://www.773grp.com/globalSearch/NRVBM140T1G/page-1", "NRVBM140T1G")</f>
        <v>NRVBM140T1G</v>
      </c>
      <c r="B28876" s="3" t="str">
        <f>HYPERLINK("https://www.773grp.com/manufacturer/onsemi?pageNo=1070", "ON Semiconductor")</f>
        <v>ON Semiconductor</v>
      </c>
      <c r="C28876" s="6">
        <v>3000</v>
      </c>
      <c r="D28876" s="7">
        <v>0.53</v>
      </c>
    </row>
    <row r="28877" spans="1:5" x14ac:dyDescent="0.25">
      <c r="A28877" t="str">
        <f>HYPERLINK("https://www.773grp.com/globalSearch/NSL12AWT1/page-1", "NSL12AWT1")</f>
        <v>NSL12AWT1</v>
      </c>
      <c r="B28877" s="3" t="str">
        <f>HYPERLINK("https://www.773grp.com/manufacturer/onsemi?pageNo=1071", "ON Semiconductor")</f>
        <v>ON Semiconductor</v>
      </c>
      <c r="C28877" s="6">
        <v>89695</v>
      </c>
      <c r="D28877" s="7">
        <v>0.53</v>
      </c>
      <c r="E28877" t="s">
        <v>69</v>
      </c>
    </row>
    <row r="28878" spans="1:5" x14ac:dyDescent="0.25">
      <c r="A28878" t="str">
        <f>HYPERLINK("https://www.773grp.com/globalSearch/NSS12100M3T5G/page-1", "NSS12100M3T5G")</f>
        <v>NSS12100M3T5G</v>
      </c>
      <c r="B28878" s="3" t="str">
        <f>HYPERLINK("https://www.773grp.com/manufacturer/onsemi?pageNo=1072", "ON Semiconductor")</f>
        <v>ON Semiconductor</v>
      </c>
      <c r="C28878" s="6">
        <v>8000</v>
      </c>
      <c r="D28878" s="7">
        <v>0.53</v>
      </c>
    </row>
    <row r="28879" spans="1:5" x14ac:dyDescent="0.25">
      <c r="A28879" t="str">
        <f>HYPERLINK("https://www.773grp.com/globalSearch/NSS12100XV6T1G/page-1", "NSS12100XV6T1G")</f>
        <v>NSS12100XV6T1G</v>
      </c>
      <c r="B28879" s="3" t="str">
        <f>HYPERLINK("https://www.773grp.com/manufacturer/onsemi?pageNo=1073", "ON Semiconductor")</f>
        <v>ON Semiconductor</v>
      </c>
      <c r="C28879" s="6">
        <v>756800</v>
      </c>
      <c r="D28879" s="7">
        <v>0.53</v>
      </c>
      <c r="E28879" t="s">
        <v>69</v>
      </c>
    </row>
    <row r="28880" spans="1:5" x14ac:dyDescent="0.25">
      <c r="A28880" t="str">
        <f>HYPERLINK("https://www.773grp.com/globalSearch/NSS12200LT1G/page-1", "NSS12200LT1G")</f>
        <v>NSS12200LT1G</v>
      </c>
      <c r="B28880" s="3" t="str">
        <f>HYPERLINK("https://www.773grp.com/manufacturer/onsemi?pageNo=1074", "ON Semiconductor")</f>
        <v>ON Semiconductor</v>
      </c>
      <c r="C28880" s="6">
        <v>3048000</v>
      </c>
      <c r="D28880" s="7">
        <v>0.53</v>
      </c>
      <c r="E28880" t="s">
        <v>69</v>
      </c>
    </row>
    <row r="28881" spans="1:5" x14ac:dyDescent="0.25">
      <c r="A28881" t="str">
        <f>HYPERLINK("https://www.773grp.com/globalSearch/NSS12201LT1G/page-1", "NSS12201LT1G")</f>
        <v>NSS12201LT1G</v>
      </c>
      <c r="B28881" s="3" t="str">
        <f>HYPERLINK("https://www.773grp.com/manufacturer/onsemi?pageNo=1075", "ON Semiconductor")</f>
        <v>ON Semiconductor</v>
      </c>
      <c r="C28881" s="6">
        <v>9000</v>
      </c>
      <c r="D28881" s="7">
        <v>0.53</v>
      </c>
      <c r="E28881" t="s">
        <v>69</v>
      </c>
    </row>
    <row r="28882" spans="1:5" x14ac:dyDescent="0.25">
      <c r="A28882" t="str">
        <f>HYPERLINK("https://www.773grp.com/globalSearch/NSS1C201LT1G/page-1", "NSS1C201LT1G")</f>
        <v>NSS1C201LT1G</v>
      </c>
      <c r="B28882" s="3" t="str">
        <f>HYPERLINK("https://www.773grp.com/manufacturer/onsemi?pageNo=1076", "ON Semiconductor")</f>
        <v>ON Semiconductor</v>
      </c>
      <c r="C28882" s="6">
        <v>210499</v>
      </c>
      <c r="D28882" s="7">
        <v>0.53</v>
      </c>
      <c r="E28882" t="s">
        <v>69</v>
      </c>
    </row>
    <row r="28883" spans="1:5" x14ac:dyDescent="0.25">
      <c r="A28883" t="str">
        <f>HYPERLINK("https://www.773grp.com/globalSearch/NSS20200LT1G/page-1", "NSS20200LT1G")</f>
        <v>NSS20200LT1G</v>
      </c>
      <c r="B28883" s="3" t="str">
        <f>HYPERLINK("https://www.773grp.com/manufacturer/onsemi?pageNo=1077", "ON Semiconductor")</f>
        <v>ON Semiconductor</v>
      </c>
      <c r="C28883" s="6">
        <v>279000</v>
      </c>
      <c r="D28883" s="7">
        <v>0.53</v>
      </c>
      <c r="E28883" t="s">
        <v>69</v>
      </c>
    </row>
    <row r="28884" spans="1:5" x14ac:dyDescent="0.25">
      <c r="A28884" t="str">
        <f>HYPERLINK("https://www.773grp.com/globalSearch/NSS20201LT1G/page-1", "NSS20201LT1G")</f>
        <v>NSS20201LT1G</v>
      </c>
      <c r="B28884" s="3" t="str">
        <f>HYPERLINK("https://www.773grp.com/manufacturer/onsemi?pageNo=1078", "ON Semiconductor")</f>
        <v>ON Semiconductor</v>
      </c>
      <c r="C28884" s="6">
        <v>162278</v>
      </c>
      <c r="D28884" s="7">
        <v>0.53</v>
      </c>
      <c r="E28884" t="s">
        <v>69</v>
      </c>
    </row>
    <row r="28885" spans="1:5" x14ac:dyDescent="0.25">
      <c r="A28885" t="str">
        <f>HYPERLINK("https://www.773grp.com/globalSearch/NSS30100LT1G/page-1", "NSS30100LT1G")</f>
        <v>NSS30100LT1G</v>
      </c>
      <c r="B28885" s="3" t="str">
        <f>HYPERLINK("https://www.773grp.com/manufacturer/onsemi?pageNo=1079", "ON Semiconductor")</f>
        <v>ON Semiconductor</v>
      </c>
      <c r="C28885" s="6">
        <v>8445</v>
      </c>
      <c r="D28885" s="7">
        <v>0.53</v>
      </c>
      <c r="E28885" t="s">
        <v>69</v>
      </c>
    </row>
    <row r="28886" spans="1:5" x14ac:dyDescent="0.25">
      <c r="A28886" t="str">
        <f>HYPERLINK("https://www.773grp.com/globalSearch/NSS30101LT1G/page-1", "NSS30101LT1G")</f>
        <v>NSS30101LT1G</v>
      </c>
      <c r="B28886" s="3" t="str">
        <f>HYPERLINK("https://www.773grp.com/manufacturer/onsemi?pageNo=1080", "ON Semiconductor")</f>
        <v>ON Semiconductor</v>
      </c>
      <c r="C28886" s="6">
        <v>571819</v>
      </c>
      <c r="D28886" s="7">
        <v>0.53</v>
      </c>
      <c r="E28886" t="s">
        <v>69</v>
      </c>
    </row>
    <row r="28887" spans="1:5" x14ac:dyDescent="0.25">
      <c r="A28887" t="str">
        <f>HYPERLINK("https://www.773grp.com/globalSearch/NSS40201LT1G/page-1", "NSS40201LT1G")</f>
        <v>NSS40201LT1G</v>
      </c>
      <c r="B28887" s="3" t="str">
        <f>HYPERLINK("https://www.773grp.com/manufacturer/onsemi?pageNo=1081", "ON Semiconductor")</f>
        <v>ON Semiconductor</v>
      </c>
      <c r="C28887" s="6">
        <v>31173</v>
      </c>
      <c r="D28887" s="7">
        <v>0.53</v>
      </c>
    </row>
    <row r="28888" spans="1:5" x14ac:dyDescent="0.25">
      <c r="A28888" t="str">
        <f>HYPERLINK("https://www.773grp.com/globalSearch/NST45010MW6T1G/page-1", "NST45010MW6T1G")</f>
        <v>NST45010MW6T1G</v>
      </c>
      <c r="B28888" s="3" t="str">
        <f>HYPERLINK("https://www.773grp.com/manufacturer/onsemi?pageNo=1082", "ON Semiconductor")</f>
        <v>ON Semiconductor</v>
      </c>
      <c r="C28888" s="6">
        <v>258000</v>
      </c>
      <c r="D28888" s="7">
        <v>0.53</v>
      </c>
    </row>
    <row r="28889" spans="1:5" x14ac:dyDescent="0.25">
      <c r="A28889" t="str">
        <f>HYPERLINK("https://www.773grp.com/globalSearch/NST45011MW6T1G/page-1", "NST45011MW6T1G")</f>
        <v>NST45011MW6T1G</v>
      </c>
      <c r="B28889" s="3" t="str">
        <f>HYPERLINK("https://www.773grp.com/manufacturer/onsemi?pageNo=1083", "ON Semiconductor")</f>
        <v>ON Semiconductor</v>
      </c>
      <c r="C28889" s="6">
        <v>9000</v>
      </c>
      <c r="D28889" s="7">
        <v>0.53</v>
      </c>
      <c r="E28889" t="s">
        <v>69</v>
      </c>
    </row>
    <row r="28890" spans="1:5" x14ac:dyDescent="0.25">
      <c r="A28890" t="str">
        <f>HYPERLINK("https://www.773grp.com/globalSearch/NST489AMT1G/page-1", "NST489AMT1G")</f>
        <v>NST489AMT1G</v>
      </c>
      <c r="B28890" s="3" t="str">
        <f>HYPERLINK("https://www.773grp.com/manufacturer/onsemi?pageNo=1084", "ON Semiconductor")</f>
        <v>ON Semiconductor</v>
      </c>
      <c r="C28890" s="6">
        <v>98636</v>
      </c>
      <c r="D28890" s="7">
        <v>0.53</v>
      </c>
      <c r="E28890" t="s">
        <v>69</v>
      </c>
    </row>
    <row r="28891" spans="1:5" x14ac:dyDescent="0.25">
      <c r="A28891" t="str">
        <f>HYPERLINK("https://www.773grp.com/globalSearch/NTA4153NT1G/page-1", "NTA4153NT1G")</f>
        <v>NTA4153NT1G</v>
      </c>
      <c r="B28891" s="3" t="str">
        <f>HYPERLINK("https://www.773grp.com/manufacturer/onsemi?pageNo=1085", "ON Semiconductor")</f>
        <v>ON Semiconductor</v>
      </c>
      <c r="C28891" s="6">
        <v>1590000</v>
      </c>
      <c r="D28891" s="7">
        <v>0.53</v>
      </c>
      <c r="E28891" t="s">
        <v>106</v>
      </c>
    </row>
    <row r="28892" spans="1:5" x14ac:dyDescent="0.25">
      <c r="A28892" t="str">
        <f>HYPERLINK("https://www.773grp.com/globalSearch/NTA4153NT1H/page-1", "NTA4153NT1H")</f>
        <v>NTA4153NT1H</v>
      </c>
      <c r="B28892" s="3" t="str">
        <f>HYPERLINK("https://www.773grp.com/manufacturer/onsemi?pageNo=1086", "ON Semiconductor")</f>
        <v>ON Semiconductor</v>
      </c>
      <c r="C28892" s="6">
        <v>57000</v>
      </c>
      <c r="D28892" s="7">
        <v>0.53</v>
      </c>
    </row>
    <row r="28893" spans="1:5" x14ac:dyDescent="0.25">
      <c r="A28893" t="str">
        <f>HYPERLINK("https://www.773grp.com/globalSearch/NTB23N03R/page-1", "NTB23N03R")</f>
        <v>NTB23N03R</v>
      </c>
      <c r="B28893" s="3" t="str">
        <f>HYPERLINK("https://www.773grp.com/manufacturer/onsemi?pageNo=1087", "ON Semiconductor")</f>
        <v>ON Semiconductor</v>
      </c>
      <c r="C28893" s="6">
        <v>8250</v>
      </c>
      <c r="D28893" s="7">
        <v>0.53</v>
      </c>
      <c r="E28893" t="s">
        <v>105</v>
      </c>
    </row>
    <row r="28894" spans="1:5" x14ac:dyDescent="0.25">
      <c r="A28894" t="str">
        <f>HYPERLINK("https://www.773grp.com/globalSearch/NTB23N03RG/page-1", "NTB23N03RG")</f>
        <v>NTB23N03RG</v>
      </c>
      <c r="B28894" s="3" t="str">
        <f>HYPERLINK("https://www.773grp.com/manufacturer/onsemi?pageNo=1088", "ON Semiconductor")</f>
        <v>ON Semiconductor</v>
      </c>
      <c r="C28894" s="6">
        <v>12350</v>
      </c>
      <c r="D28894" s="7">
        <v>0.53</v>
      </c>
      <c r="E28894" t="s">
        <v>105</v>
      </c>
    </row>
    <row r="28895" spans="1:5" x14ac:dyDescent="0.25">
      <c r="A28895" t="str">
        <f>HYPERLINK("https://www.773grp.com/globalSearch/NTB23N03RT4/page-1", "NTB23N03RT4")</f>
        <v>NTB23N03RT4</v>
      </c>
      <c r="B28895" s="3" t="str">
        <f>HYPERLINK("https://www.773grp.com/manufacturer/onsemi?pageNo=1089", "ON Semiconductor")</f>
        <v>ON Semiconductor</v>
      </c>
      <c r="C28895" s="6">
        <v>174372</v>
      </c>
      <c r="D28895" s="7">
        <v>0.53</v>
      </c>
      <c r="E28895" t="s">
        <v>105</v>
      </c>
    </row>
    <row r="28896" spans="1:5" x14ac:dyDescent="0.25">
      <c r="A28896" t="str">
        <f>HYPERLINK("https://www.773grp.com/globalSearch/NTD18N06-001/page-1", "NTD18N06-001")</f>
        <v>NTD18N06-001</v>
      </c>
      <c r="B28896" s="3" t="str">
        <f>HYPERLINK("https://www.773grp.com/manufacturer/onsemi?pageNo=1090", "ON Semiconductor")</f>
        <v>ON Semiconductor</v>
      </c>
      <c r="C28896" s="6">
        <v>1800</v>
      </c>
      <c r="D28896" s="7">
        <v>0.53</v>
      </c>
    </row>
    <row r="28897" spans="1:5" x14ac:dyDescent="0.25">
      <c r="A28897" t="str">
        <f>HYPERLINK("https://www.773grp.com/globalSearch/NTD18N06-1G/page-1", "NTD18N06-1G")</f>
        <v>NTD18N06-1G</v>
      </c>
      <c r="B28897" s="3" t="str">
        <f>HYPERLINK("https://www.773grp.com/manufacturer/onsemi?pageNo=1091", "ON Semiconductor")</f>
        <v>ON Semiconductor</v>
      </c>
      <c r="C28897" s="6">
        <v>2765</v>
      </c>
      <c r="D28897" s="7">
        <v>0.53</v>
      </c>
      <c r="E28897" t="s">
        <v>105</v>
      </c>
    </row>
    <row r="28898" spans="1:5" x14ac:dyDescent="0.25">
      <c r="A28898" t="str">
        <f>HYPERLINK("https://www.773grp.com/globalSearch/NTD2955-001/page-1", "NTD2955-001")</f>
        <v>NTD2955-001</v>
      </c>
      <c r="B28898" s="3" t="str">
        <f>HYPERLINK("https://www.773grp.com/manufacturer/onsemi?pageNo=1092", "ON Semiconductor")</f>
        <v>ON Semiconductor</v>
      </c>
      <c r="C28898" s="6">
        <v>175</v>
      </c>
      <c r="D28898" s="7">
        <v>0.53</v>
      </c>
      <c r="E28898" t="s">
        <v>105</v>
      </c>
    </row>
    <row r="28899" spans="1:5" x14ac:dyDescent="0.25">
      <c r="A28899" t="str">
        <f>HYPERLINK("https://www.773grp.com/globalSearch/NTD4810NH-1G/page-1", "NTD4810NH-1G")</f>
        <v>NTD4810NH-1G</v>
      </c>
      <c r="B28899" s="3" t="str">
        <f>HYPERLINK("https://www.773grp.com/manufacturer/onsemi?pageNo=1093", "ON Semiconductor")</f>
        <v>ON Semiconductor</v>
      </c>
      <c r="C28899" s="6">
        <v>3665</v>
      </c>
      <c r="D28899" s="7">
        <v>0.53</v>
      </c>
      <c r="E28899" t="s">
        <v>105</v>
      </c>
    </row>
    <row r="28900" spans="1:5" x14ac:dyDescent="0.25">
      <c r="A28900" t="str">
        <f>HYPERLINK("https://www.773grp.com/globalSearch/NTD4960N-1G/page-1", "NTD4960N-1G")</f>
        <v>NTD4960N-1G</v>
      </c>
      <c r="B28900" s="3" t="str">
        <f>HYPERLINK("https://www.773grp.com/manufacturer/onsemi?pageNo=1094", "ON Semiconductor")</f>
        <v>ON Semiconductor</v>
      </c>
      <c r="C28900" s="6">
        <v>225</v>
      </c>
      <c r="D28900" s="7">
        <v>0.53</v>
      </c>
    </row>
    <row r="28901" spans="1:5" x14ac:dyDescent="0.25">
      <c r="A28901" t="str">
        <f>HYPERLINK("https://www.773grp.com/globalSearch/NTD4960N-35G/page-1", "NTD4960N-35G")</f>
        <v>NTD4960N-35G</v>
      </c>
      <c r="B28901" s="3" t="str">
        <f>HYPERLINK("https://www.773grp.com/manufacturer/onsemi?pageNo=1095", "ON Semiconductor")</f>
        <v>ON Semiconductor</v>
      </c>
      <c r="C28901" s="6">
        <v>2100</v>
      </c>
      <c r="D28901" s="7">
        <v>0.53</v>
      </c>
    </row>
    <row r="28902" spans="1:5" x14ac:dyDescent="0.25">
      <c r="A28902" t="str">
        <f>HYPERLINK("https://www.773grp.com/globalSearch/NTD4963N-1G/page-1", "NTD4963N-1G")</f>
        <v>NTD4963N-1G</v>
      </c>
      <c r="B28902" s="3" t="str">
        <f>HYPERLINK("https://www.773grp.com/manufacturer/onsemi?pageNo=1096", "ON Semiconductor")</f>
        <v>ON Semiconductor</v>
      </c>
      <c r="C28902" s="6">
        <v>4232</v>
      </c>
      <c r="D28902" s="7">
        <v>0.53</v>
      </c>
    </row>
    <row r="28903" spans="1:5" x14ac:dyDescent="0.25">
      <c r="A28903" t="str">
        <f>HYPERLINK("https://www.773grp.com/globalSearch/NTD65N03R-1G/page-1", "NTD65N03R-1G")</f>
        <v>NTD65N03R-1G</v>
      </c>
      <c r="B28903" s="3" t="str">
        <f>HYPERLINK("https://www.773grp.com/manufacturer/onsemi?pageNo=1097", "ON Semiconductor")</f>
        <v>ON Semiconductor</v>
      </c>
      <c r="C28903" s="6">
        <v>5911</v>
      </c>
      <c r="D28903" s="7">
        <v>0.53</v>
      </c>
      <c r="E28903" t="s">
        <v>105</v>
      </c>
    </row>
    <row r="28904" spans="1:5" x14ac:dyDescent="0.25">
      <c r="A28904" t="str">
        <f>HYPERLINK("https://www.773grp.com/globalSearch/NTD65N03R-35G/page-1", "NTD65N03R-35G")</f>
        <v>NTD65N03R-35G</v>
      </c>
      <c r="B28904" s="3" t="str">
        <f>HYPERLINK("https://www.773grp.com/manufacturer/onsemi?pageNo=1098", "ON Semiconductor")</f>
        <v>ON Semiconductor</v>
      </c>
      <c r="C28904" s="6">
        <v>527038</v>
      </c>
      <c r="D28904" s="7">
        <v>0.53</v>
      </c>
      <c r="E28904" t="s">
        <v>105</v>
      </c>
    </row>
    <row r="28905" spans="1:5" x14ac:dyDescent="0.25">
      <c r="A28905" t="str">
        <f>HYPERLINK("https://www.773grp.com/globalSearch/NTD65N03RG/page-1", "NTD65N03RG")</f>
        <v>NTD65N03RG</v>
      </c>
      <c r="B28905" s="3" t="str">
        <f>HYPERLINK("https://www.773grp.com/manufacturer/onsemi?pageNo=1099", "ON Semiconductor")</f>
        <v>ON Semiconductor</v>
      </c>
      <c r="C28905" s="6">
        <v>3564</v>
      </c>
      <c r="D28905" s="7">
        <v>0.53</v>
      </c>
      <c r="E28905" t="s">
        <v>105</v>
      </c>
    </row>
    <row r="28906" spans="1:5" x14ac:dyDescent="0.25">
      <c r="A28906" t="str">
        <f>HYPERLINK("https://www.773grp.com/globalSearch/NTD70N03R/page-1", "NTD70N03R")</f>
        <v>NTD70N03R</v>
      </c>
      <c r="B28906" s="3" t="str">
        <f>HYPERLINK("https://www.773grp.com/manufacturer/onsemi?pageNo=1100", "ON Semiconductor")</f>
        <v>ON Semiconductor</v>
      </c>
      <c r="C28906" s="6">
        <v>106300</v>
      </c>
      <c r="D28906" s="7">
        <v>0.53</v>
      </c>
      <c r="E28906" t="s">
        <v>105</v>
      </c>
    </row>
    <row r="28907" spans="1:5" x14ac:dyDescent="0.25">
      <c r="A28907" t="str">
        <f>HYPERLINK("https://www.773grp.com/globalSearch/NTD70N03R-001/page-1", "NTD70N03R-001")</f>
        <v>NTD70N03R-001</v>
      </c>
      <c r="B28907" s="3" t="str">
        <f>HYPERLINK("https://www.773grp.com/manufacturer/onsemi?pageNo=1101", "ON Semiconductor")</f>
        <v>ON Semiconductor</v>
      </c>
      <c r="C28907" s="6">
        <v>4541</v>
      </c>
      <c r="D28907" s="7">
        <v>0.53</v>
      </c>
      <c r="E28907" t="s">
        <v>105</v>
      </c>
    </row>
    <row r="28908" spans="1:5" x14ac:dyDescent="0.25">
      <c r="A28908" t="str">
        <f>HYPERLINK("https://www.773grp.com/globalSearch/NTD70N03R-1/page-1", "NTD70N03R-1")</f>
        <v>NTD70N03R-1</v>
      </c>
      <c r="B28908" s="3" t="str">
        <f>HYPERLINK("https://www.773grp.com/manufacturer/onsemi?pageNo=1102", "ON Semiconductor")</f>
        <v>ON Semiconductor</v>
      </c>
      <c r="C28908" s="6">
        <v>10125</v>
      </c>
      <c r="D28908" s="7">
        <v>0.53</v>
      </c>
      <c r="E28908" t="s">
        <v>105</v>
      </c>
    </row>
    <row r="28909" spans="1:5" x14ac:dyDescent="0.25">
      <c r="A28909" t="str">
        <f>HYPERLINK("https://www.773grp.com/globalSearch/NTGS4111PT2G/page-1", "NTGS4111PT2G")</f>
        <v>NTGS4111PT2G</v>
      </c>
      <c r="B28909" s="3" t="str">
        <f>HYPERLINK("https://www.773grp.com/manufacturer/onsemi?pageNo=1103", "ON Semiconductor")</f>
        <v>ON Semiconductor</v>
      </c>
      <c r="C28909" s="6">
        <v>4340</v>
      </c>
      <c r="D28909" s="7">
        <v>0.53</v>
      </c>
    </row>
    <row r="28910" spans="1:5" x14ac:dyDescent="0.25">
      <c r="A28910" t="str">
        <f>HYPERLINK("https://www.773grp.com/globalSearch/NTHD2102PT1/page-1", "NTHD2102PT1")</f>
        <v>NTHD2102PT1</v>
      </c>
      <c r="B28910" s="3" t="str">
        <f>HYPERLINK("https://www.773grp.com/manufacturer/onsemi?pageNo=1104", "ON Semiconductor")</f>
        <v>ON Semiconductor</v>
      </c>
      <c r="C28910" s="6">
        <v>2090757</v>
      </c>
      <c r="D28910" s="7">
        <v>0.53</v>
      </c>
      <c r="E28910" t="s">
        <v>105</v>
      </c>
    </row>
    <row r="28911" spans="1:5" x14ac:dyDescent="0.25">
      <c r="A28911" t="str">
        <f>HYPERLINK("https://www.773grp.com/globalSearch/NTHD4502NT1/page-1", "NTHD4502NT1")</f>
        <v>NTHD4502NT1</v>
      </c>
      <c r="B28911" s="3" t="str">
        <f>HYPERLINK("https://www.773grp.com/manufacturer/onsemi?pageNo=1105", "ON Semiconductor")</f>
        <v>ON Semiconductor</v>
      </c>
      <c r="C28911" s="6">
        <v>386975</v>
      </c>
      <c r="D28911" s="7">
        <v>0.53</v>
      </c>
      <c r="E28911" t="s">
        <v>106</v>
      </c>
    </row>
    <row r="28912" spans="1:5" x14ac:dyDescent="0.25">
      <c r="A28912" t="str">
        <f>HYPERLINK("https://www.773grp.com/globalSearch/NTHD5903T1/page-1", "NTHD5903T1")</f>
        <v>NTHD5903T1</v>
      </c>
      <c r="B28912" s="3" t="str">
        <f>HYPERLINK("https://www.773grp.com/manufacturer/onsemi?pageNo=1106", "ON Semiconductor")</f>
        <v>ON Semiconductor</v>
      </c>
      <c r="C28912" s="6">
        <v>835</v>
      </c>
      <c r="D28912" s="7">
        <v>0.53</v>
      </c>
      <c r="E28912" t="s">
        <v>106</v>
      </c>
    </row>
    <row r="28913" spans="1:5" x14ac:dyDescent="0.25">
      <c r="A28913" t="str">
        <f>HYPERLINK("https://www.773grp.com/globalSearch/NTHS4501NT1/page-1", "NTHS4501NT1")</f>
        <v>NTHS4501NT1</v>
      </c>
      <c r="B28913" s="3" t="str">
        <f>HYPERLINK("https://www.773grp.com/manufacturer/onsemi?pageNo=1107", "ON Semiconductor")</f>
        <v>ON Semiconductor</v>
      </c>
      <c r="C28913" s="6">
        <v>3000</v>
      </c>
      <c r="D28913" s="7">
        <v>0.53</v>
      </c>
      <c r="E28913" t="s">
        <v>106</v>
      </c>
    </row>
    <row r="28914" spans="1:5" x14ac:dyDescent="0.25">
      <c r="A28914" t="str">
        <f>HYPERLINK("https://www.773grp.com/globalSearch/NTHS5404T1/page-1", "NTHS5404T1")</f>
        <v>NTHS5404T1</v>
      </c>
      <c r="B28914" s="3" t="str">
        <f>HYPERLINK("https://www.773grp.com/manufacturer/onsemi?pageNo=1108", "ON Semiconductor")</f>
        <v>ON Semiconductor</v>
      </c>
      <c r="C28914" s="6">
        <v>26169</v>
      </c>
      <c r="D28914" s="7">
        <v>0.53</v>
      </c>
      <c r="E28914" t="s">
        <v>106</v>
      </c>
    </row>
    <row r="28915" spans="1:5" x14ac:dyDescent="0.25">
      <c r="A28915" t="str">
        <f>HYPERLINK("https://www.773grp.com/globalSearch/NTHS5441T1/page-1", "NTHS5441T1")</f>
        <v>NTHS5441T1</v>
      </c>
      <c r="B28915" s="3" t="str">
        <f>HYPERLINK("https://www.773grp.com/manufacturer/onsemi?pageNo=1109", "ON Semiconductor")</f>
        <v>ON Semiconductor</v>
      </c>
      <c r="C28915" s="6">
        <v>65812</v>
      </c>
      <c r="D28915" s="7">
        <v>0.53</v>
      </c>
      <c r="E28915" t="s">
        <v>106</v>
      </c>
    </row>
    <row r="28916" spans="1:5" x14ac:dyDescent="0.25">
      <c r="A28916" t="str">
        <f>HYPERLINK("https://www.773grp.com/globalSearch/NTLUD3A260PZTAG/page-1", "NTLUD3A260PZTAG")</f>
        <v>NTLUD3A260PZTAG</v>
      </c>
      <c r="B28916" s="3" t="str">
        <f>HYPERLINK("https://www.773grp.com/manufacturer/onsemi?pageNo=1110", "ON Semiconductor")</f>
        <v>ON Semiconductor</v>
      </c>
      <c r="C28916" s="6">
        <v>53280</v>
      </c>
      <c r="D28916" s="7">
        <v>0.53</v>
      </c>
      <c r="E28916" t="s">
        <v>106</v>
      </c>
    </row>
    <row r="28917" spans="1:5" x14ac:dyDescent="0.25">
      <c r="A28917" t="str">
        <f>HYPERLINK("https://www.773grp.com/globalSearch/NTLUD3A260PZTBG/page-1", "NTLUD3A260PZTBG")</f>
        <v>NTLUD3A260PZTBG</v>
      </c>
      <c r="B28917" s="3" t="str">
        <f>HYPERLINK("https://www.773grp.com/manufacturer/onsemi?pageNo=1111", "ON Semiconductor")</f>
        <v>ON Semiconductor</v>
      </c>
      <c r="C28917" s="6">
        <v>3000</v>
      </c>
      <c r="D28917" s="7">
        <v>0.53</v>
      </c>
      <c r="E28917" t="s">
        <v>106</v>
      </c>
    </row>
    <row r="28918" spans="1:5" x14ac:dyDescent="0.25">
      <c r="A28918" t="str">
        <f>HYPERLINK("https://www.773grp.com/globalSearch/NTMFS4943NT1G/page-1", "NTMFS4943NT1G")</f>
        <v>NTMFS4943NT1G</v>
      </c>
      <c r="B28918" s="3" t="str">
        <f>HYPERLINK("https://www.773grp.com/manufacturer/onsemi?pageNo=1112", "ON Semiconductor")</f>
        <v>ON Semiconductor</v>
      </c>
      <c r="C28918" s="6">
        <v>704062</v>
      </c>
      <c r="D28918" s="7">
        <v>0.53</v>
      </c>
      <c r="E28918" t="s">
        <v>105</v>
      </c>
    </row>
    <row r="28919" spans="1:5" x14ac:dyDescent="0.25">
      <c r="A28919" t="str">
        <f>HYPERLINK("https://www.773grp.com/globalSearch/NTR1P02LT1/page-1", "NTR1P02LT1")</f>
        <v>NTR1P02LT1</v>
      </c>
      <c r="B28919" s="3" t="str">
        <f>HYPERLINK("https://www.773grp.com/manufacturer/onsemi?pageNo=1113", "ON Semiconductor")</f>
        <v>ON Semiconductor</v>
      </c>
      <c r="C28919" s="6">
        <v>12601</v>
      </c>
      <c r="D28919" s="7">
        <v>0.53</v>
      </c>
      <c r="E28919" t="s">
        <v>106</v>
      </c>
    </row>
    <row r="28920" spans="1:5" x14ac:dyDescent="0.25">
      <c r="A28920" t="str">
        <f>HYPERLINK("https://www.773grp.com/globalSearch/NTR4503NT1G/page-1", "NTR4503NT1G")</f>
        <v>NTR4503NT1G</v>
      </c>
      <c r="B28920" s="3" t="str">
        <f>HYPERLINK("https://www.773grp.com/manufacturer/onsemi?pageNo=1114", "ON Semiconductor")</f>
        <v>ON Semiconductor</v>
      </c>
      <c r="C28920" s="6">
        <v>176584</v>
      </c>
      <c r="D28920" s="7">
        <v>0.53</v>
      </c>
      <c r="E28920" t="s">
        <v>106</v>
      </c>
    </row>
    <row r="28921" spans="1:5" x14ac:dyDescent="0.25">
      <c r="A28921" t="str">
        <f>HYPERLINK("https://www.773grp.com/globalSearch/NTR4503NT3G/page-1", "NTR4503NT3G")</f>
        <v>NTR4503NT3G</v>
      </c>
      <c r="B28921" s="3" t="str">
        <f>HYPERLINK("https://www.773grp.com/manufacturer/onsemi?pageNo=1115", "ON Semiconductor")</f>
        <v>ON Semiconductor</v>
      </c>
      <c r="C28921" s="6">
        <v>9890</v>
      </c>
      <c r="D28921" s="7">
        <v>0.53</v>
      </c>
      <c r="E28921" t="s">
        <v>106</v>
      </c>
    </row>
    <row r="28922" spans="1:5" x14ac:dyDescent="0.25">
      <c r="A28922" t="str">
        <f>HYPERLINK("https://www.773grp.com/globalSearch/NTRV4101PT1G/page-1", "NTRV4101PT1G")</f>
        <v>NTRV4101PT1G</v>
      </c>
      <c r="B28922" s="3" t="str">
        <f>HYPERLINK("https://www.773grp.com/manufacturer/onsemi?pageNo=1116", "ON Semiconductor")</f>
        <v>ON Semiconductor</v>
      </c>
      <c r="C28922" s="6">
        <v>3000</v>
      </c>
      <c r="D28922" s="7">
        <v>0.53</v>
      </c>
    </row>
    <row r="28923" spans="1:5" x14ac:dyDescent="0.25">
      <c r="A28923" t="str">
        <f>HYPERLINK("https://www.773grp.com/globalSearch/NTZD3155CT1G/page-1", "NTZD3155CT1G")</f>
        <v>NTZD3155CT1G</v>
      </c>
      <c r="B28923" s="3" t="str">
        <f>HYPERLINK("https://www.773grp.com/manufacturer/onsemi?pageNo=1117", "ON Semiconductor")</f>
        <v>ON Semiconductor</v>
      </c>
      <c r="C28923" s="6">
        <v>16462</v>
      </c>
      <c r="D28923" s="7">
        <v>0.53</v>
      </c>
      <c r="E28923" t="s">
        <v>106</v>
      </c>
    </row>
    <row r="28924" spans="1:5" x14ac:dyDescent="0.25">
      <c r="A28924" t="str">
        <f>HYPERLINK("https://www.773grp.com/globalSearch/NTZD3155CT2G/page-1", "NTZD3155CT2G")</f>
        <v>NTZD3155CT2G</v>
      </c>
      <c r="B28924" s="3" t="str">
        <f>HYPERLINK("https://www.773grp.com/manufacturer/onsemi?pageNo=1118", "ON Semiconductor")</f>
        <v>ON Semiconductor</v>
      </c>
      <c r="C28924" s="6">
        <v>32000</v>
      </c>
      <c r="D28924" s="7">
        <v>0.53</v>
      </c>
      <c r="E28924" t="s">
        <v>106</v>
      </c>
    </row>
    <row r="28925" spans="1:5" x14ac:dyDescent="0.25">
      <c r="A28925" t="str">
        <f>HYPERLINK("https://www.773grp.com/globalSearch/NTZS3151PT1G/page-1", "NTZS3151PT1G")</f>
        <v>NTZS3151PT1G</v>
      </c>
      <c r="B28925" s="3" t="str">
        <f>HYPERLINK("https://www.773grp.com/manufacturer/onsemi?pageNo=1119", "ON Semiconductor")</f>
        <v>ON Semiconductor</v>
      </c>
      <c r="C28925" s="6">
        <v>20487</v>
      </c>
      <c r="D28925" s="7">
        <v>0.53</v>
      </c>
      <c r="E28925" t="s">
        <v>106</v>
      </c>
    </row>
    <row r="28926" spans="1:5" x14ac:dyDescent="0.25">
      <c r="A28926" t="str">
        <f>HYPERLINK("https://www.773grp.com/globalSearch/NUF2101MT1G/page-1", "NUF2101MT1G")</f>
        <v>NUF2101MT1G</v>
      </c>
      <c r="B28926" s="3" t="str">
        <f>HYPERLINK("https://www.773grp.com/manufacturer/onsemi?pageNo=1120", "ON Semiconductor")</f>
        <v>ON Semiconductor</v>
      </c>
      <c r="C28926" s="6">
        <v>57250</v>
      </c>
      <c r="D28926" s="7">
        <v>0.53</v>
      </c>
      <c r="E28926" t="s">
        <v>100</v>
      </c>
    </row>
    <row r="28927" spans="1:5" x14ac:dyDescent="0.25">
      <c r="A28927" t="str">
        <f>HYPERLINK("https://www.773grp.com/globalSearch/NUF4001MUT2G/page-1", "NUF4001MUT2G")</f>
        <v>NUF4001MUT2G</v>
      </c>
      <c r="B28927" s="3" t="str">
        <f>HYPERLINK("https://www.773grp.com/manufacturer/onsemi?pageNo=1121", "ON Semiconductor")</f>
        <v>ON Semiconductor</v>
      </c>
      <c r="C28927" s="6">
        <v>18000</v>
      </c>
      <c r="D28927" s="7">
        <v>0.53</v>
      </c>
    </row>
    <row r="28928" spans="1:5" x14ac:dyDescent="0.25">
      <c r="A28928" t="str">
        <f>HYPERLINK("https://www.773grp.com/globalSearch/NUF6001MUT2G/page-1", "NUF6001MUT2G")</f>
        <v>NUF6001MUT2G</v>
      </c>
      <c r="B28928" s="3" t="str">
        <f>HYPERLINK("https://www.773grp.com/manufacturer/onsemi?pageNo=1122", "ON Semiconductor")</f>
        <v>ON Semiconductor</v>
      </c>
      <c r="C28928" s="6">
        <v>49395</v>
      </c>
      <c r="D28928" s="7">
        <v>0.53</v>
      </c>
      <c r="E28928" t="s">
        <v>100</v>
      </c>
    </row>
    <row r="28929" spans="1:5" x14ac:dyDescent="0.25">
      <c r="A28929" t="str">
        <f>HYPERLINK("https://www.773grp.com/globalSearch/NUF6005MUT2G/page-1", "NUF6005MUT2G")</f>
        <v>NUF6005MUT2G</v>
      </c>
      <c r="B28929" s="3" t="str">
        <f>HYPERLINK("https://www.773grp.com/manufacturer/onsemi?pageNo=1123", "ON Semiconductor")</f>
        <v>ON Semiconductor</v>
      </c>
      <c r="C28929" s="6">
        <v>116200</v>
      </c>
      <c r="D28929" s="7">
        <v>0.53</v>
      </c>
      <c r="E28929" t="s">
        <v>100</v>
      </c>
    </row>
    <row r="28930" spans="1:5" x14ac:dyDescent="0.25">
      <c r="A28930" t="str">
        <f>HYPERLINK("https://www.773grp.com/globalSearch/NUF6010MUT2G/page-1", "NUF6010MUT2G")</f>
        <v>NUF6010MUT2G</v>
      </c>
      <c r="B28930" s="3" t="str">
        <f>HYPERLINK("https://www.773grp.com/manufacturer/onsemi?pageNo=1124", "ON Semiconductor")</f>
        <v>ON Semiconductor</v>
      </c>
      <c r="C28930" s="6">
        <v>54788</v>
      </c>
      <c r="D28930" s="7">
        <v>0.53</v>
      </c>
      <c r="E28930" t="s">
        <v>100</v>
      </c>
    </row>
    <row r="28931" spans="1:5" x14ac:dyDescent="0.25">
      <c r="A28931" t="str">
        <f>HYPERLINK("https://www.773grp.com/globalSearch/NUP4102XV6T1G/page-1", "NUP4102XV6T1G")</f>
        <v>NUP4102XV6T1G</v>
      </c>
      <c r="B28931" s="3" t="str">
        <f>HYPERLINK("https://www.773grp.com/manufacturer/onsemi?pageNo=1125", "ON Semiconductor")</f>
        <v>ON Semiconductor</v>
      </c>
      <c r="C28931" s="6">
        <v>5445</v>
      </c>
      <c r="D28931" s="7">
        <v>0.53</v>
      </c>
      <c r="E28931" t="s">
        <v>96</v>
      </c>
    </row>
    <row r="28932" spans="1:5" x14ac:dyDescent="0.25">
      <c r="A28932" t="str">
        <f>HYPERLINK("https://www.773grp.com/globalSearch/NUP4103FCT1G/page-1", "NUP4103FCT1G")</f>
        <v>NUP4103FCT1G</v>
      </c>
      <c r="B28932" s="3" t="str">
        <f>HYPERLINK("https://www.773grp.com/manufacturer/onsemi?pageNo=1126", "ON Semiconductor")</f>
        <v>ON Semiconductor</v>
      </c>
      <c r="C28932" s="6">
        <v>9400</v>
      </c>
      <c r="D28932" s="7">
        <v>0.53</v>
      </c>
      <c r="E28932" t="s">
        <v>100</v>
      </c>
    </row>
    <row r="28933" spans="1:5" x14ac:dyDescent="0.25">
      <c r="A28933" t="str">
        <f>HYPERLINK("https://www.773grp.com/globalSearch/NUP45V6P5T5G/page-1", "NUP45V6P5T5G")</f>
        <v>NUP45V6P5T5G</v>
      </c>
      <c r="B28933" s="3" t="str">
        <f>HYPERLINK("https://www.773grp.com/manufacturer/onsemi?pageNo=1127", "ON Semiconductor")</f>
        <v>ON Semiconductor</v>
      </c>
      <c r="C28933" s="6">
        <v>1277700</v>
      </c>
      <c r="D28933" s="7">
        <v>0.53</v>
      </c>
      <c r="E28933" t="s">
        <v>96</v>
      </c>
    </row>
    <row r="28934" spans="1:5" x14ac:dyDescent="0.25">
      <c r="A28934" t="str">
        <f>HYPERLINK("https://www.773grp.com/globalSearch/NUP46V8P5T5G/page-1", "NUP46V8P5T5G")</f>
        <v>NUP46V8P5T5G</v>
      </c>
      <c r="B28934" s="3" t="str">
        <f>HYPERLINK("https://www.773grp.com/manufacturer/onsemi?pageNo=1128", "ON Semiconductor")</f>
        <v>ON Semiconductor</v>
      </c>
      <c r="C28934" s="6">
        <v>40650</v>
      </c>
      <c r="D28934" s="7">
        <v>0.53</v>
      </c>
      <c r="E28934" t="s">
        <v>96</v>
      </c>
    </row>
    <row r="28935" spans="1:5" x14ac:dyDescent="0.25">
      <c r="A28935" t="str">
        <f>HYPERLINK("https://www.773grp.com/globalSearch/P6SMB47CAT3/page-1", "P6SMB47CAT3")</f>
        <v>P6SMB47CAT3</v>
      </c>
      <c r="B28935" s="3" t="str">
        <f>HYPERLINK("https://www.773grp.com/manufacturer/onsemi?pageNo=1129", "ON Semiconductor")</f>
        <v>ON Semiconductor</v>
      </c>
      <c r="C28935" s="6">
        <v>25000</v>
      </c>
      <c r="D28935" s="7">
        <v>0.53</v>
      </c>
      <c r="E28935" t="s">
        <v>96</v>
      </c>
    </row>
    <row r="28936" spans="1:5" x14ac:dyDescent="0.25">
      <c r="A28936" t="str">
        <f>HYPERLINK("https://www.773grp.com/globalSearch/PACUSB-D1Y5R/page-1", "PACUSB-D1Y5R")</f>
        <v>PACUSB-D1Y5R</v>
      </c>
      <c r="B28936" s="3" t="str">
        <f>HYPERLINK("https://www.773grp.com/manufacturer/onsemi?pageNo=1130", "ON Semiconductor")</f>
        <v>ON Semiconductor</v>
      </c>
      <c r="C28936" s="6">
        <v>3000</v>
      </c>
      <c r="D28936" s="7">
        <v>0.53</v>
      </c>
      <c r="E28936" t="s">
        <v>100</v>
      </c>
    </row>
    <row r="28937" spans="1:5" x14ac:dyDescent="0.25">
      <c r="A28937" t="str">
        <f>HYPERLINK("https://www.773grp.com/globalSearch/PACUSB-U3R/page-1", "PACUSB-U3R")</f>
        <v>PACUSB-U3R</v>
      </c>
      <c r="B28937" s="3" t="str">
        <f>HYPERLINK("https://www.773grp.com/manufacturer/onsemi?pageNo=1131", "ON Semiconductor")</f>
        <v>ON Semiconductor</v>
      </c>
      <c r="C28937" s="6">
        <v>27000</v>
      </c>
      <c r="D28937" s="7">
        <v>0.53</v>
      </c>
      <c r="E28937" t="s">
        <v>100</v>
      </c>
    </row>
    <row r="28938" spans="1:5" x14ac:dyDescent="0.25">
      <c r="A28938" t="str">
        <f>HYPERLINK("https://www.773grp.com/globalSearch/SA10AG/page-1", "SA10AG")</f>
        <v>SA10AG</v>
      </c>
      <c r="B28938" s="3" t="str">
        <f>HYPERLINK("https://www.773grp.com/manufacturer/onsemi?pageNo=1132", "ON Semiconductor")</f>
        <v>ON Semiconductor</v>
      </c>
      <c r="C28938" s="6">
        <v>6000</v>
      </c>
      <c r="D28938" s="7">
        <v>0.53</v>
      </c>
      <c r="E28938" t="s">
        <v>96</v>
      </c>
    </row>
    <row r="28939" spans="1:5" x14ac:dyDescent="0.25">
      <c r="A28939" t="str">
        <f>HYPERLINK("https://www.773grp.com/globalSearch/SA11AG/page-1", "SA11AG")</f>
        <v>SA11AG</v>
      </c>
      <c r="B28939" s="3" t="str">
        <f>HYPERLINK("https://www.773grp.com/manufacturer/onsemi?pageNo=1133", "ON Semiconductor")</f>
        <v>ON Semiconductor</v>
      </c>
      <c r="C28939" s="6">
        <v>6000</v>
      </c>
      <c r="D28939" s="7">
        <v>0.53</v>
      </c>
      <c r="E28939" t="s">
        <v>96</v>
      </c>
    </row>
    <row r="28940" spans="1:5" x14ac:dyDescent="0.25">
      <c r="A28940" t="str">
        <f>HYPERLINK("https://www.773grp.com/globalSearch/SA120A/page-1", "SA120A")</f>
        <v>SA120A</v>
      </c>
      <c r="B28940" s="3" t="str">
        <f>HYPERLINK("https://www.773grp.com/manufacturer/onsemi?pageNo=1134", "ON Semiconductor")</f>
        <v>ON Semiconductor</v>
      </c>
      <c r="C28940" s="6">
        <v>1000</v>
      </c>
      <c r="D28940" s="7">
        <v>0.53</v>
      </c>
      <c r="E28940" t="s">
        <v>96</v>
      </c>
    </row>
    <row r="28941" spans="1:5" x14ac:dyDescent="0.25">
      <c r="A28941" t="str">
        <f>HYPERLINK("https://www.773grp.com/globalSearch/SA120AG/page-1", "SA120AG")</f>
        <v>SA120AG</v>
      </c>
      <c r="B28941" s="3" t="str">
        <f>HYPERLINK("https://www.773grp.com/manufacturer/onsemi?pageNo=1135", "ON Semiconductor")</f>
        <v>ON Semiconductor</v>
      </c>
      <c r="C28941" s="6">
        <v>5900</v>
      </c>
      <c r="D28941" s="7">
        <v>0.53</v>
      </c>
      <c r="E28941" t="s">
        <v>96</v>
      </c>
    </row>
    <row r="28942" spans="1:5" x14ac:dyDescent="0.25">
      <c r="A28942" t="str">
        <f>HYPERLINK("https://www.773grp.com/globalSearch/SA12A/page-1", "SA12A")</f>
        <v>SA12A</v>
      </c>
      <c r="B28942" s="3" t="str">
        <f>HYPERLINK("https://www.773grp.com/manufacturer/onsemi?pageNo=1136", "ON Semiconductor")</f>
        <v>ON Semiconductor</v>
      </c>
      <c r="C28942" s="6">
        <v>10218</v>
      </c>
      <c r="D28942" s="7">
        <v>0.53</v>
      </c>
      <c r="E28942" t="s">
        <v>96</v>
      </c>
    </row>
    <row r="28943" spans="1:5" x14ac:dyDescent="0.25">
      <c r="A28943" t="str">
        <f>HYPERLINK("https://www.773grp.com/globalSearch/SA12ARL/page-1", "SA12ARL")</f>
        <v>SA12ARL</v>
      </c>
      <c r="B28943" s="3" t="str">
        <f>HYPERLINK("https://www.773grp.com/manufacturer/onsemi?pageNo=1137", "ON Semiconductor")</f>
        <v>ON Semiconductor</v>
      </c>
      <c r="C28943" s="6">
        <v>1000</v>
      </c>
      <c r="D28943" s="7">
        <v>0.53</v>
      </c>
      <c r="E28943" t="s">
        <v>96</v>
      </c>
    </row>
    <row r="28944" spans="1:5" x14ac:dyDescent="0.25">
      <c r="A28944" t="str">
        <f>HYPERLINK("https://www.773grp.com/globalSearch/SA130A/page-1", "SA130A")</f>
        <v>SA130A</v>
      </c>
      <c r="B28944" s="3" t="str">
        <f>HYPERLINK("https://www.773grp.com/manufacturer/onsemi?pageNo=1138", "ON Semiconductor")</f>
        <v>ON Semiconductor</v>
      </c>
      <c r="C28944" s="6">
        <v>4000</v>
      </c>
      <c r="D28944" s="7">
        <v>0.53</v>
      </c>
      <c r="E28944" t="s">
        <v>96</v>
      </c>
    </row>
    <row r="28945" spans="1:5" x14ac:dyDescent="0.25">
      <c r="A28945" t="str">
        <f>HYPERLINK("https://www.773grp.com/globalSearch/SA13AG/page-1", "SA13AG")</f>
        <v>SA13AG</v>
      </c>
      <c r="B28945" s="3" t="str">
        <f>HYPERLINK("https://www.773grp.com/manufacturer/onsemi?pageNo=1139", "ON Semiconductor")</f>
        <v>ON Semiconductor</v>
      </c>
      <c r="C28945" s="6">
        <v>28098</v>
      </c>
      <c r="D28945" s="7">
        <v>0.53</v>
      </c>
      <c r="E28945" t="s">
        <v>96</v>
      </c>
    </row>
    <row r="28946" spans="1:5" x14ac:dyDescent="0.25">
      <c r="A28946" t="str">
        <f>HYPERLINK("https://www.773grp.com/globalSearch/SA14051BDR2/page-1", "SA14051BDR2")</f>
        <v>SA14051BDR2</v>
      </c>
      <c r="B28946" s="3" t="str">
        <f>HYPERLINK("https://www.773grp.com/manufacturer/onsemi?pageNo=1140", "ON Semiconductor")</f>
        <v>ON Semiconductor</v>
      </c>
      <c r="C28946" s="6">
        <v>30000</v>
      </c>
      <c r="D28946" s="7">
        <v>0.53</v>
      </c>
    </row>
    <row r="28947" spans="1:5" x14ac:dyDescent="0.25">
      <c r="A28947" t="str">
        <f>HYPERLINK("https://www.773grp.com/globalSearch/SA16ARL/page-1", "SA16ARL")</f>
        <v>SA16ARL</v>
      </c>
      <c r="B28947" s="3" t="str">
        <f>HYPERLINK("https://www.773grp.com/manufacturer/onsemi?pageNo=1141", "ON Semiconductor")</f>
        <v>ON Semiconductor</v>
      </c>
      <c r="C28947" s="6">
        <v>5000</v>
      </c>
      <c r="D28947" s="7">
        <v>0.53</v>
      </c>
      <c r="E28947" t="s">
        <v>96</v>
      </c>
    </row>
    <row r="28948" spans="1:5" x14ac:dyDescent="0.25">
      <c r="A28948" t="str">
        <f>HYPERLINK("https://www.773grp.com/globalSearch/SA28AG/page-1", "SA28AG")</f>
        <v>SA28AG</v>
      </c>
      <c r="B28948" s="3" t="str">
        <f>HYPERLINK("https://www.773grp.com/manufacturer/onsemi?pageNo=1142", "ON Semiconductor")</f>
        <v>ON Semiconductor</v>
      </c>
      <c r="C28948" s="6">
        <v>11000</v>
      </c>
      <c r="D28948" s="7">
        <v>0.53</v>
      </c>
      <c r="E28948" t="s">
        <v>96</v>
      </c>
    </row>
    <row r="28949" spans="1:5" x14ac:dyDescent="0.25">
      <c r="A28949" t="str">
        <f>HYPERLINK("https://www.773grp.com/globalSearch/SA28ARL/page-1", "SA28ARL")</f>
        <v>SA28ARL</v>
      </c>
      <c r="B28949" s="3" t="str">
        <f>HYPERLINK("https://www.773grp.com/manufacturer/onsemi?pageNo=1143", "ON Semiconductor")</f>
        <v>ON Semiconductor</v>
      </c>
      <c r="C28949" s="6">
        <v>15000</v>
      </c>
      <c r="D28949" s="7">
        <v>0.53</v>
      </c>
      <c r="E28949" t="s">
        <v>96</v>
      </c>
    </row>
    <row r="28950" spans="1:5" x14ac:dyDescent="0.25">
      <c r="A28950" t="str">
        <f>HYPERLINK("https://www.773grp.com/globalSearch/SA33A/page-1", "SA33A")</f>
        <v>SA33A</v>
      </c>
      <c r="B28950" s="3" t="str">
        <f>HYPERLINK("https://www.773grp.com/manufacturer/onsemi?pageNo=1144", "ON Semiconductor")</f>
        <v>ON Semiconductor</v>
      </c>
      <c r="C28950" s="6">
        <v>1025</v>
      </c>
      <c r="D28950" s="7">
        <v>0.53</v>
      </c>
      <c r="E28950" t="s">
        <v>96</v>
      </c>
    </row>
    <row r="28951" spans="1:5" x14ac:dyDescent="0.25">
      <c r="A28951" t="str">
        <f>HYPERLINK("https://www.773grp.com/globalSearch/SA33AG/page-1", "SA33AG")</f>
        <v>SA33AG</v>
      </c>
      <c r="B28951" s="3" t="str">
        <f>HYPERLINK("https://www.773grp.com/manufacturer/onsemi?pageNo=1145", "ON Semiconductor")</f>
        <v>ON Semiconductor</v>
      </c>
      <c r="C28951" s="6">
        <v>14000</v>
      </c>
      <c r="D28951" s="7">
        <v>0.53</v>
      </c>
      <c r="E28951" t="s">
        <v>96</v>
      </c>
    </row>
    <row r="28952" spans="1:5" x14ac:dyDescent="0.25">
      <c r="A28952" t="str">
        <f>HYPERLINK("https://www.773grp.com/globalSearch/SA36A/page-1", "SA36A")</f>
        <v>SA36A</v>
      </c>
      <c r="B28952" s="3" t="str">
        <f>HYPERLINK("https://www.773grp.com/manufacturer/onsemi?pageNo=1146", "ON Semiconductor")</f>
        <v>ON Semiconductor</v>
      </c>
      <c r="C28952" s="6">
        <v>15249</v>
      </c>
      <c r="D28952" s="7">
        <v>0.53</v>
      </c>
      <c r="E28952" t="s">
        <v>96</v>
      </c>
    </row>
    <row r="28953" spans="1:5" x14ac:dyDescent="0.25">
      <c r="A28953" t="str">
        <f>HYPERLINK("https://www.773grp.com/globalSearch/SA40ARL/page-1", "SA40ARL")</f>
        <v>SA40ARL</v>
      </c>
      <c r="B28953" s="3" t="str">
        <f>HYPERLINK("https://www.773grp.com/manufacturer/onsemi?pageNo=1147", "ON Semiconductor")</f>
        <v>ON Semiconductor</v>
      </c>
      <c r="C28953" s="6">
        <v>10000</v>
      </c>
      <c r="D28953" s="7">
        <v>0.53</v>
      </c>
      <c r="E28953" t="s">
        <v>96</v>
      </c>
    </row>
    <row r="28954" spans="1:5" x14ac:dyDescent="0.25">
      <c r="A28954" t="str">
        <f>HYPERLINK("https://www.773grp.com/globalSearch/SA43A/page-1", "SA43A")</f>
        <v>SA43A</v>
      </c>
      <c r="B28954" s="3" t="str">
        <f>HYPERLINK("https://www.773grp.com/manufacturer/onsemi?pageNo=1148", "ON Semiconductor")</f>
        <v>ON Semiconductor</v>
      </c>
      <c r="C28954" s="6">
        <v>575</v>
      </c>
      <c r="D28954" s="7">
        <v>0.53</v>
      </c>
      <c r="E28954" t="s">
        <v>96</v>
      </c>
    </row>
    <row r="28955" spans="1:5" x14ac:dyDescent="0.25">
      <c r="A28955" t="str">
        <f>HYPERLINK("https://www.773grp.com/globalSearch/SA45ARL/page-1", "SA45ARL")</f>
        <v>SA45ARL</v>
      </c>
      <c r="B28955" s="3" t="str">
        <f>HYPERLINK("https://www.773grp.com/manufacturer/onsemi?pageNo=1149", "ON Semiconductor")</f>
        <v>ON Semiconductor</v>
      </c>
      <c r="C28955" s="6">
        <v>5000</v>
      </c>
      <c r="D28955" s="7">
        <v>0.53</v>
      </c>
      <c r="E28955" t="s">
        <v>96</v>
      </c>
    </row>
    <row r="28956" spans="1:5" x14ac:dyDescent="0.25">
      <c r="A28956" t="str">
        <f>HYPERLINK("https://www.773grp.com/globalSearch/SA45ARLG/page-1", "SA45ARLG")</f>
        <v>SA45ARLG</v>
      </c>
      <c r="B28956" s="3" t="str">
        <f>HYPERLINK("https://www.773grp.com/manufacturer/onsemi?pageNo=1150", "ON Semiconductor")</f>
        <v>ON Semiconductor</v>
      </c>
      <c r="C28956" s="6">
        <v>15000</v>
      </c>
      <c r="D28956" s="7">
        <v>0.53</v>
      </c>
      <c r="E28956" t="s">
        <v>96</v>
      </c>
    </row>
    <row r="28957" spans="1:5" x14ac:dyDescent="0.25">
      <c r="A28957" t="str">
        <f>HYPERLINK("https://www.773grp.com/globalSearch/SA6.0A/page-1", "SA6.0A")</f>
        <v>SA6.0A</v>
      </c>
      <c r="B28957" s="3" t="str">
        <f>HYPERLINK("https://www.773grp.com/manufacturer/onsemi?pageNo=1151", "ON Semiconductor")</f>
        <v>ON Semiconductor</v>
      </c>
      <c r="C28957" s="6">
        <v>2</v>
      </c>
      <c r="D28957" s="7">
        <v>0.53</v>
      </c>
      <c r="E28957" t="s">
        <v>96</v>
      </c>
    </row>
    <row r="28958" spans="1:5" x14ac:dyDescent="0.25">
      <c r="A28958" t="str">
        <f>HYPERLINK("https://www.773grp.com/globalSearch/SA8.5A/page-1", "SA8.5A")</f>
        <v>SA8.5A</v>
      </c>
      <c r="B28958" s="3" t="str">
        <f>HYPERLINK("https://www.773grp.com/manufacturer/onsemi?pageNo=1152", "ON Semiconductor")</f>
        <v>ON Semiconductor</v>
      </c>
      <c r="C28958" s="6">
        <v>1000</v>
      </c>
      <c r="D28958" s="7">
        <v>0.53</v>
      </c>
      <c r="E28958" t="s">
        <v>96</v>
      </c>
    </row>
    <row r="28959" spans="1:5" x14ac:dyDescent="0.25">
      <c r="A28959" t="str">
        <f>HYPERLINK("https://www.773grp.com/globalSearch/SAI13AG/page-1", "SAI13AG")</f>
        <v>SAI13AG</v>
      </c>
      <c r="B28959" s="3" t="str">
        <f>HYPERLINK("https://www.773grp.com/manufacturer/onsemi?pageNo=1153", "ON Semiconductor")</f>
        <v>ON Semiconductor</v>
      </c>
      <c r="C28959" s="6">
        <v>6000</v>
      </c>
      <c r="D28959" s="7">
        <v>0.53</v>
      </c>
    </row>
    <row r="28960" spans="1:5" x14ac:dyDescent="0.25">
      <c r="A28960" t="str">
        <f>HYPERLINK("https://www.773grp.com/globalSearch/SC14S70FEL/page-1", "SC14S70FEL")</f>
        <v>SC14S70FEL</v>
      </c>
      <c r="B28960" s="3" t="str">
        <f>HYPERLINK("https://www.773grp.com/manufacturer/onsemi?pageNo=1154", "ON Semiconductor")</f>
        <v>ON Semiconductor</v>
      </c>
      <c r="C28960" s="6">
        <v>9000</v>
      </c>
      <c r="D28960" s="7">
        <v>0.53</v>
      </c>
    </row>
    <row r="28961" spans="1:5" x14ac:dyDescent="0.25">
      <c r="A28961" t="str">
        <f>HYPERLINK("https://www.773grp.com/globalSearch/SC28829PK74A/page-1", "SC28829PK74A")</f>
        <v>SC28829PK74A</v>
      </c>
      <c r="B28961" s="3" t="str">
        <f>HYPERLINK("https://www.773grp.com/manufacturer/onsemi?pageNo=1155", "ON Semiconductor")</f>
        <v>ON Semiconductor</v>
      </c>
      <c r="C28961" s="6">
        <v>9150</v>
      </c>
      <c r="D28961" s="7">
        <v>0.53</v>
      </c>
    </row>
    <row r="28962" spans="1:5" x14ac:dyDescent="0.25">
      <c r="A28962" t="str">
        <f>HYPERLINK("https://www.773grp.com/globalSearch/SC28829PK85/page-1", "SC28829PK85")</f>
        <v>SC28829PK85</v>
      </c>
      <c r="B28962" s="3" t="str">
        <f>HYPERLINK("https://www.773grp.com/manufacturer/onsemi?pageNo=1156", "ON Semiconductor")</f>
        <v>ON Semiconductor</v>
      </c>
      <c r="C28962" s="6">
        <v>925</v>
      </c>
      <c r="D28962" s="7">
        <v>0.53</v>
      </c>
    </row>
    <row r="28963" spans="1:5" x14ac:dyDescent="0.25">
      <c r="A28963" t="str">
        <f>HYPERLINK("https://www.773grp.com/globalSearch/SL05T1G/page-1", "SL05T1G")</f>
        <v>SL05T1G</v>
      </c>
      <c r="B28963" s="3" t="str">
        <f>HYPERLINK("https://www.773grp.com/manufacturer/onsemi?pageNo=1157", "ON Semiconductor")</f>
        <v>ON Semiconductor</v>
      </c>
      <c r="C28963" s="6">
        <v>697</v>
      </c>
      <c r="D28963" s="7">
        <v>0.53</v>
      </c>
      <c r="E28963" t="s">
        <v>96</v>
      </c>
    </row>
    <row r="28964" spans="1:5" x14ac:dyDescent="0.25">
      <c r="A28964" t="str">
        <f>HYPERLINK("https://www.773grp.com/globalSearch/SL12T1G/page-1", "SL12T1G")</f>
        <v>SL12T1G</v>
      </c>
      <c r="B28964" s="3" t="str">
        <f>HYPERLINK("https://www.773grp.com/manufacturer/onsemi?pageNo=1158", "ON Semiconductor")</f>
        <v>ON Semiconductor</v>
      </c>
      <c r="C28964" s="6">
        <v>108000</v>
      </c>
      <c r="D28964" s="7">
        <v>0.53</v>
      </c>
      <c r="E28964" t="s">
        <v>96</v>
      </c>
    </row>
    <row r="28965" spans="1:5" x14ac:dyDescent="0.25">
      <c r="A28965" t="str">
        <f>HYPERLINK("https://www.773grp.com/globalSearch/SL15T1G/page-1", "SL15T1G")</f>
        <v>SL15T1G</v>
      </c>
      <c r="B28965" s="3" t="str">
        <f>HYPERLINK("https://www.773grp.com/manufacturer/onsemi?pageNo=1159", "ON Semiconductor")</f>
        <v>ON Semiconductor</v>
      </c>
      <c r="C28965" s="6">
        <v>21000</v>
      </c>
      <c r="D28965" s="7">
        <v>0.53</v>
      </c>
      <c r="E28965" t="s">
        <v>96</v>
      </c>
    </row>
    <row r="28966" spans="1:5" x14ac:dyDescent="0.25">
      <c r="A28966" t="str">
        <f>HYPERLINK("https://www.773grp.com/globalSearch/SL24T1/page-1", "SL24T1")</f>
        <v>SL24T1</v>
      </c>
      <c r="B28966" s="3" t="str">
        <f>HYPERLINK("https://www.773grp.com/manufacturer/onsemi?pageNo=1160", "ON Semiconductor")</f>
        <v>ON Semiconductor</v>
      </c>
      <c r="C28966" s="6">
        <v>2815</v>
      </c>
      <c r="D28966" s="7">
        <v>0.53</v>
      </c>
      <c r="E28966" t="s">
        <v>96</v>
      </c>
    </row>
    <row r="28967" spans="1:5" x14ac:dyDescent="0.25">
      <c r="A28967" t="str">
        <f>HYPERLINK("https://www.773grp.com/globalSearch/SL24T1G/page-1", "SL24T1G")</f>
        <v>SL24T1G</v>
      </c>
      <c r="B28967" s="3" t="str">
        <f>HYPERLINK("https://www.773grp.com/manufacturer/onsemi?pageNo=1161", "ON Semiconductor")</f>
        <v>ON Semiconductor</v>
      </c>
      <c r="C28967" s="6">
        <v>9000</v>
      </c>
      <c r="D28967" s="7">
        <v>0.53</v>
      </c>
      <c r="E28967" t="s">
        <v>96</v>
      </c>
    </row>
    <row r="28968" spans="1:5" x14ac:dyDescent="0.25">
      <c r="A28968" t="str">
        <f>HYPERLINK("https://www.773grp.com/globalSearch/SN74LS05N/page-1", "SN74LS05N")</f>
        <v>SN74LS05N</v>
      </c>
      <c r="B28968" s="3" t="str">
        <f>HYPERLINK("https://www.773grp.com/manufacturer/onsemi?pageNo=1162", "ON Semiconductor")</f>
        <v>ON Semiconductor</v>
      </c>
      <c r="C28968" s="6">
        <v>23</v>
      </c>
      <c r="D28968" s="7">
        <v>0.53</v>
      </c>
      <c r="E28968" t="s">
        <v>31</v>
      </c>
    </row>
    <row r="28969" spans="1:5" x14ac:dyDescent="0.25">
      <c r="A28969" t="str">
        <f>HYPERLINK("https://www.773grp.com/globalSearch/SN74LS08N/page-1", "SN74LS08N")</f>
        <v>SN74LS08N</v>
      </c>
      <c r="B28969" s="3" t="str">
        <f>HYPERLINK("https://www.773grp.com/manufacturer/onsemi?pageNo=1163", "ON Semiconductor")</f>
        <v>ON Semiconductor</v>
      </c>
      <c r="C28969" s="6">
        <v>3639</v>
      </c>
      <c r="D28969" s="7">
        <v>0.53</v>
      </c>
      <c r="E28969" t="s">
        <v>31</v>
      </c>
    </row>
    <row r="28970" spans="1:5" x14ac:dyDescent="0.25">
      <c r="A28970" t="str">
        <f>HYPERLINK("https://www.773grp.com/globalSearch/SN74LS157MEL/page-1", "SN74LS157MEL")</f>
        <v>SN74LS157MEL</v>
      </c>
      <c r="B28970" s="3" t="str">
        <f>HYPERLINK("https://www.773grp.com/manufacturer/onsemi?pageNo=1164", "ON Semiconductor")</f>
        <v>ON Semiconductor</v>
      </c>
      <c r="C28970" s="6">
        <v>4000</v>
      </c>
      <c r="D28970" s="7">
        <v>0.53</v>
      </c>
      <c r="E28970" t="s">
        <v>20</v>
      </c>
    </row>
    <row r="28971" spans="1:5" x14ac:dyDescent="0.25">
      <c r="A28971" t="str">
        <f>HYPERLINK("https://www.773grp.com/globalSearch/SN74LS162AN/page-1", "SN74LS162AN")</f>
        <v>SN74LS162AN</v>
      </c>
      <c r="B28971" s="3" t="str">
        <f>HYPERLINK("https://www.773grp.com/manufacturer/onsemi?pageNo=1165", "ON Semiconductor")</f>
        <v>ON Semiconductor</v>
      </c>
      <c r="C28971" s="6">
        <v>61208</v>
      </c>
      <c r="D28971" s="7">
        <v>0.53</v>
      </c>
      <c r="E28971" t="s">
        <v>26</v>
      </c>
    </row>
    <row r="28972" spans="1:5" x14ac:dyDescent="0.25">
      <c r="A28972" t="str">
        <f>HYPERLINK("https://www.773grp.com/globalSearch/SN74LS26D/page-1", "SN74LS26D")</f>
        <v>SN74LS26D</v>
      </c>
      <c r="B28972" s="3" t="str">
        <f>HYPERLINK("https://www.773grp.com/manufacturer/onsemi?pageNo=1166", "ON Semiconductor")</f>
        <v>ON Semiconductor</v>
      </c>
      <c r="C28972" s="6">
        <v>5258</v>
      </c>
      <c r="D28972" s="7">
        <v>0.53</v>
      </c>
      <c r="E28972" t="s">
        <v>31</v>
      </c>
    </row>
    <row r="28973" spans="1:5" x14ac:dyDescent="0.25">
      <c r="A28973" t="str">
        <f>HYPERLINK("https://www.773grp.com/globalSearch/SN74LS32N/page-1", "SN74LS32N")</f>
        <v>SN74LS32N</v>
      </c>
      <c r="B28973" s="3" t="str">
        <f>HYPERLINK("https://www.773grp.com/manufacturer/onsemi?pageNo=1167", "ON Semiconductor")</f>
        <v>ON Semiconductor</v>
      </c>
      <c r="C28973" s="6">
        <v>99</v>
      </c>
      <c r="D28973" s="7">
        <v>0.53</v>
      </c>
      <c r="E28973" t="s">
        <v>31</v>
      </c>
    </row>
    <row r="28974" spans="1:5" x14ac:dyDescent="0.25">
      <c r="A28974" t="str">
        <f>HYPERLINK("https://www.773grp.com/globalSearch/SS0503SH-TL-E/page-1", "SS0503SH-TL-E")</f>
        <v>SS0503SH-TL-E</v>
      </c>
      <c r="B28974" s="3" t="str">
        <f>HYPERLINK("https://www.773grp.com/manufacturer/onsemi?pageNo=1168", "ON Semiconductor")</f>
        <v>ON Semiconductor</v>
      </c>
      <c r="C28974" s="6">
        <v>5000</v>
      </c>
      <c r="D28974" s="7">
        <v>0.53</v>
      </c>
    </row>
    <row r="28975" spans="1:5" x14ac:dyDescent="0.25">
      <c r="A28975" t="str">
        <f>HYPERLINK("https://www.773grp.com/globalSearch/SSVR416HT1/page-1", "SSVR416HT1")</f>
        <v>SSVR416HT1</v>
      </c>
      <c r="B28975" s="3" t="str">
        <f>HYPERLINK("https://www.773grp.com/manufacturer/onsemi?pageNo=1169", "ON Semiconductor")</f>
        <v>ON Semiconductor</v>
      </c>
      <c r="C28975" s="6">
        <v>117000</v>
      </c>
      <c r="D28975" s="7">
        <v>0.53</v>
      </c>
    </row>
    <row r="28976" spans="1:5" x14ac:dyDescent="0.25">
      <c r="A28976" t="str">
        <f>HYPERLINK("https://www.773grp.com/globalSearch/SVC270-TL-E/page-1", "SVC270-TL-E")</f>
        <v>SVC270-TL-E</v>
      </c>
      <c r="B28976" s="3" t="str">
        <f>HYPERLINK("https://www.773grp.com/manufacturer/onsemi?pageNo=1170", "ON Semiconductor")</f>
        <v>ON Semiconductor</v>
      </c>
      <c r="C28976" s="6">
        <v>12000</v>
      </c>
      <c r="D28976" s="7">
        <v>0.53</v>
      </c>
    </row>
    <row r="28977" spans="1:5" x14ac:dyDescent="0.25">
      <c r="A28977" t="str">
        <f>HYPERLINK("https://www.773grp.com/globalSearch/SZSMF6.0AT1G/page-1", "SZSMF6.0AT1G")</f>
        <v>SZSMF6.0AT1G</v>
      </c>
      <c r="B28977" s="3" t="str">
        <f>HYPERLINK("https://www.773grp.com/manufacturer/onsemi?pageNo=1171", "ON Semiconductor")</f>
        <v>ON Semiconductor</v>
      </c>
      <c r="C28977" s="6">
        <v>9000</v>
      </c>
      <c r="D28977" s="7">
        <v>0.53</v>
      </c>
    </row>
    <row r="28978" spans="1:5" x14ac:dyDescent="0.25">
      <c r="A28978" t="str">
        <f>HYPERLINK("https://www.773grp.com/globalSearch/TIP121/page-1", "TIP121")</f>
        <v>TIP121</v>
      </c>
      <c r="B28978" s="3" t="str">
        <f>HYPERLINK("https://www.773grp.com/manufacturer/onsemi?pageNo=1172", "ON Semiconductor")</f>
        <v>ON Semiconductor</v>
      </c>
      <c r="C28978" s="6">
        <v>75</v>
      </c>
      <c r="D28978" s="7">
        <v>0.53</v>
      </c>
      <c r="E28978" t="s">
        <v>59</v>
      </c>
    </row>
    <row r="28979" spans="1:5" x14ac:dyDescent="0.25">
      <c r="A28979" t="str">
        <f>HYPERLINK("https://www.773grp.com/globalSearch/TIP30/page-1", "TIP30")</f>
        <v>TIP30</v>
      </c>
      <c r="B28979" s="3" t="str">
        <f>HYPERLINK("https://www.773grp.com/manufacturer/onsemi?pageNo=1173", "ON Semiconductor")</f>
        <v>ON Semiconductor</v>
      </c>
      <c r="C28979" s="6">
        <v>38</v>
      </c>
      <c r="D28979" s="7">
        <v>0.53</v>
      </c>
      <c r="E28979" t="s">
        <v>59</v>
      </c>
    </row>
    <row r="28980" spans="1:5" x14ac:dyDescent="0.25">
      <c r="A28980" t="str">
        <f>HYPERLINK("https://www.773grp.com/globalSearch/TIP30AG/page-1", "TIP30AG")</f>
        <v>TIP30AG</v>
      </c>
      <c r="B28980" s="3" t="str">
        <f>HYPERLINK("https://www.773grp.com/manufacturer/onsemi?pageNo=1174", "ON Semiconductor")</f>
        <v>ON Semiconductor</v>
      </c>
      <c r="C28980" s="6">
        <v>290</v>
      </c>
      <c r="D28980" s="7">
        <v>0.53</v>
      </c>
      <c r="E28980" t="s">
        <v>59</v>
      </c>
    </row>
    <row r="28981" spans="1:5" x14ac:dyDescent="0.25">
      <c r="A28981" t="str">
        <f>HYPERLINK("https://www.773grp.com/globalSearch/TIP30B/page-1", "TIP30B")</f>
        <v>TIP30B</v>
      </c>
      <c r="B28981" s="3" t="str">
        <f>HYPERLINK("https://www.773grp.com/manufacturer/onsemi?pageNo=1175", "ON Semiconductor")</f>
        <v>ON Semiconductor</v>
      </c>
      <c r="C28981" s="6">
        <v>242</v>
      </c>
      <c r="D28981" s="7">
        <v>0.53</v>
      </c>
      <c r="E28981" t="s">
        <v>59</v>
      </c>
    </row>
    <row r="28982" spans="1:5" x14ac:dyDescent="0.25">
      <c r="A28982" t="str">
        <f>HYPERLINK("https://www.773grp.com/globalSearch/TIP30C/page-1", "TIP30C")</f>
        <v>TIP30C</v>
      </c>
      <c r="B28982" s="3" t="str">
        <f>HYPERLINK("https://www.773grp.com/manufacturer/onsemi?pageNo=1176", "ON Semiconductor")</f>
        <v>ON Semiconductor</v>
      </c>
      <c r="C28982" s="6">
        <v>2604</v>
      </c>
      <c r="D28982" s="7">
        <v>0.53</v>
      </c>
      <c r="E28982" t="s">
        <v>59</v>
      </c>
    </row>
    <row r="28983" spans="1:5" x14ac:dyDescent="0.25">
      <c r="A28983" t="str">
        <f>HYPERLINK("https://www.773grp.com/globalSearch/TIP31A/page-1", "TIP31A")</f>
        <v>TIP31A</v>
      </c>
      <c r="B28983" s="3" t="str">
        <f>HYPERLINK("https://www.773grp.com/manufacturer/onsemi?pageNo=1177", "ON Semiconductor")</f>
        <v>ON Semiconductor</v>
      </c>
      <c r="C28983" s="6">
        <v>3783</v>
      </c>
      <c r="D28983" s="7">
        <v>0.53</v>
      </c>
      <c r="E28983" t="s">
        <v>59</v>
      </c>
    </row>
    <row r="28984" spans="1:5" x14ac:dyDescent="0.25">
      <c r="A28984" t="str">
        <f>HYPERLINK("https://www.773grp.com/globalSearch/TIP32A/page-1", "TIP32A")</f>
        <v>TIP32A</v>
      </c>
      <c r="B28984" s="3" t="str">
        <f>HYPERLINK("https://www.773grp.com/manufacturer/onsemi?pageNo=1178", "ON Semiconductor")</f>
        <v>ON Semiconductor</v>
      </c>
      <c r="C28984" s="6">
        <v>6182</v>
      </c>
      <c r="D28984" s="7">
        <v>0.53</v>
      </c>
      <c r="E28984" t="s">
        <v>59</v>
      </c>
    </row>
    <row r="28985" spans="1:5" x14ac:dyDescent="0.25">
      <c r="A28985" t="str">
        <f>HYPERLINK("https://www.773grp.com/globalSearch/TIP32B/page-1", "TIP32B")</f>
        <v>TIP32B</v>
      </c>
      <c r="B28985" s="3" t="str">
        <f>HYPERLINK("https://www.773grp.com/manufacturer/onsemi?pageNo=1179", "ON Semiconductor")</f>
        <v>ON Semiconductor</v>
      </c>
      <c r="C28985" s="6">
        <v>172</v>
      </c>
      <c r="D28985" s="7">
        <v>0.53</v>
      </c>
      <c r="E28985" t="s">
        <v>59</v>
      </c>
    </row>
    <row r="28986" spans="1:5" x14ac:dyDescent="0.25">
      <c r="A28986" t="str">
        <f>HYPERLINK("https://www.773grp.com/globalSearch/TL431ACD/page-1", "TL431ACD")</f>
        <v>TL431ACD</v>
      </c>
      <c r="B28986" s="3" t="str">
        <f>HYPERLINK("https://www.773grp.com/manufacturer/onsemi?pageNo=1180", "ON Semiconductor")</f>
        <v>ON Semiconductor</v>
      </c>
      <c r="C28986" s="6">
        <v>49579</v>
      </c>
      <c r="D28986" s="7">
        <v>0.53</v>
      </c>
      <c r="E28986" t="s">
        <v>17</v>
      </c>
    </row>
    <row r="28987" spans="1:5" x14ac:dyDescent="0.25">
      <c r="A28987" t="str">
        <f>HYPERLINK("https://www.773grp.com/globalSearch/TL431ACDR2/page-1", "TL431ACDR2")</f>
        <v>TL431ACDR2</v>
      </c>
      <c r="B28987" s="3" t="str">
        <f>HYPERLINK("https://www.773grp.com/manufacturer/onsemi?pageNo=1181", "ON Semiconductor")</f>
        <v>ON Semiconductor</v>
      </c>
      <c r="C28987" s="6">
        <v>3039500</v>
      </c>
      <c r="D28987" s="7">
        <v>0.53</v>
      </c>
      <c r="E28987" t="s">
        <v>17</v>
      </c>
    </row>
    <row r="28988" spans="1:5" x14ac:dyDescent="0.25">
      <c r="A28988" t="str">
        <f>HYPERLINK("https://www.773grp.com/globalSearch/TL431ACLP/page-1", "TL431ACLP")</f>
        <v>TL431ACLP</v>
      </c>
      <c r="B28988" s="3" t="str">
        <f>HYPERLINK("https://www.773grp.com/manufacturer/onsemi?pageNo=1182", "ON Semiconductor")</f>
        <v>ON Semiconductor</v>
      </c>
      <c r="C28988" s="6">
        <v>4417</v>
      </c>
      <c r="D28988" s="7">
        <v>0.53</v>
      </c>
      <c r="E28988" t="s">
        <v>17</v>
      </c>
    </row>
    <row r="28989" spans="1:5" x14ac:dyDescent="0.25">
      <c r="A28989" t="str">
        <f>HYPERLINK("https://www.773grp.com/globalSearch/TL431ACLPRA/page-1", "TL431ACLPRA")</f>
        <v>TL431ACLPRA</v>
      </c>
      <c r="B28989" s="3" t="str">
        <f>HYPERLINK("https://www.773grp.com/manufacturer/onsemi?pageNo=1183", "ON Semiconductor")</f>
        <v>ON Semiconductor</v>
      </c>
      <c r="C28989" s="6">
        <v>21998</v>
      </c>
      <c r="D28989" s="7">
        <v>0.53</v>
      </c>
      <c r="E28989" t="s">
        <v>17</v>
      </c>
    </row>
    <row r="28990" spans="1:5" x14ac:dyDescent="0.25">
      <c r="A28990" t="str">
        <f>HYPERLINK("https://www.773grp.com/globalSearch/TL431ACLPRE/page-1", "TL431ACLPRE")</f>
        <v>TL431ACLPRE</v>
      </c>
      <c r="B28990" s="3" t="str">
        <f>HYPERLINK("https://www.773grp.com/manufacturer/onsemi?pageNo=1184", "ON Semiconductor")</f>
        <v>ON Semiconductor</v>
      </c>
      <c r="C28990" s="6">
        <v>4000</v>
      </c>
      <c r="D28990" s="7">
        <v>0.53</v>
      </c>
      <c r="E28990" t="s">
        <v>17</v>
      </c>
    </row>
    <row r="28991" spans="1:5" x14ac:dyDescent="0.25">
      <c r="A28991" t="str">
        <f>HYPERLINK("https://www.773grp.com/globalSearch/TL431ACLPRP/page-1", "TL431ACLPRP")</f>
        <v>TL431ACLPRP</v>
      </c>
      <c r="B28991" s="3" t="str">
        <f>HYPERLINK("https://www.773grp.com/manufacturer/onsemi?pageNo=1185", "ON Semiconductor")</f>
        <v>ON Semiconductor</v>
      </c>
      <c r="C28991" s="6">
        <v>10000</v>
      </c>
      <c r="D28991" s="7">
        <v>0.53</v>
      </c>
      <c r="E28991" t="s">
        <v>17</v>
      </c>
    </row>
    <row r="28992" spans="1:5" x14ac:dyDescent="0.25">
      <c r="A28992" t="str">
        <f>HYPERLINK("https://www.773grp.com/globalSearch/TL431BCDG/page-1", "TL431BCDG")</f>
        <v>TL431BCDG</v>
      </c>
      <c r="B28992" s="3" t="str">
        <f>HYPERLINK("https://www.773grp.com/manufacturer/onsemi?pageNo=1186", "ON Semiconductor")</f>
        <v>ON Semiconductor</v>
      </c>
      <c r="C28992" s="6">
        <v>52354</v>
      </c>
      <c r="D28992" s="7">
        <v>0.53</v>
      </c>
      <c r="E28992" t="s">
        <v>17</v>
      </c>
    </row>
    <row r="28993" spans="1:5" x14ac:dyDescent="0.25">
      <c r="A28993" t="str">
        <f>HYPERLINK("https://www.773grp.com/globalSearch/TL431CD/page-1", "TL431CD")</f>
        <v>TL431CD</v>
      </c>
      <c r="B28993" s="3" t="str">
        <f>HYPERLINK("https://www.773grp.com/manufacturer/onsemi?pageNo=1187", "ON Semiconductor")</f>
        <v>ON Semiconductor</v>
      </c>
      <c r="C28993" s="6">
        <v>15886</v>
      </c>
      <c r="D28993" s="7">
        <v>0.53</v>
      </c>
      <c r="E28993" t="s">
        <v>17</v>
      </c>
    </row>
    <row r="28994" spans="1:5" x14ac:dyDescent="0.25">
      <c r="A28994" t="str">
        <f>HYPERLINK("https://www.773grp.com/globalSearch/TL431CDMR2/page-1", "TL431CDMR2")</f>
        <v>TL431CDMR2</v>
      </c>
      <c r="B28994" s="3" t="str">
        <f>HYPERLINK("https://www.773grp.com/manufacturer/onsemi?pageNo=1188", "ON Semiconductor")</f>
        <v>ON Semiconductor</v>
      </c>
      <c r="C28994" s="6">
        <v>12000</v>
      </c>
      <c r="D28994" s="7">
        <v>0.53</v>
      </c>
      <c r="E28994" t="s">
        <v>17</v>
      </c>
    </row>
    <row r="28995" spans="1:5" x14ac:dyDescent="0.25">
      <c r="A28995" t="str">
        <f>HYPERLINK("https://www.773grp.com/globalSearch/TL431CDR2/page-1", "TL431CDR2")</f>
        <v>TL431CDR2</v>
      </c>
      <c r="B28995" s="3" t="str">
        <f>HYPERLINK("https://www.773grp.com/manufacturer/onsemi?pageNo=1189", "ON Semiconductor")</f>
        <v>ON Semiconductor</v>
      </c>
      <c r="C28995" s="6">
        <v>22915</v>
      </c>
      <c r="D28995" s="7">
        <v>0.53</v>
      </c>
      <c r="E28995" t="s">
        <v>17</v>
      </c>
    </row>
    <row r="28996" spans="1:5" x14ac:dyDescent="0.25">
      <c r="A28996" t="str">
        <f>HYPERLINK("https://www.773grp.com/globalSearch/TL431CLP/page-1", "TL431CLP")</f>
        <v>TL431CLP</v>
      </c>
      <c r="B28996" s="3" t="str">
        <f>HYPERLINK("https://www.773grp.com/manufacturer/onsemi?pageNo=1190", "ON Semiconductor")</f>
        <v>ON Semiconductor</v>
      </c>
      <c r="C28996" s="6">
        <v>68295</v>
      </c>
      <c r="D28996" s="7">
        <v>0.53</v>
      </c>
      <c r="E28996" t="s">
        <v>17</v>
      </c>
    </row>
    <row r="28997" spans="1:5" x14ac:dyDescent="0.25">
      <c r="A28997" t="str">
        <f>HYPERLINK("https://www.773grp.com/globalSearch/TL431CLPRE/page-1", "TL431CLPRE")</f>
        <v>TL431CLPRE</v>
      </c>
      <c r="B28997" s="3" t="str">
        <f>HYPERLINK("https://www.773grp.com/manufacturer/onsemi?pageNo=1191", "ON Semiconductor")</f>
        <v>ON Semiconductor</v>
      </c>
      <c r="C28997" s="6">
        <v>38000</v>
      </c>
      <c r="D28997" s="7">
        <v>0.53</v>
      </c>
      <c r="E28997" t="s">
        <v>17</v>
      </c>
    </row>
    <row r="28998" spans="1:5" x14ac:dyDescent="0.25">
      <c r="A28998" t="str">
        <f>HYPERLINK("https://www.773grp.com/globalSearch/TL431CLPRP/page-1", "TL431CLPRP")</f>
        <v>TL431CLPRP</v>
      </c>
      <c r="B28998" s="3" t="str">
        <f>HYPERLINK("https://www.773grp.com/manufacturer/onsemi?pageNo=1192", "ON Semiconductor")</f>
        <v>ON Semiconductor</v>
      </c>
      <c r="C28998" s="6">
        <v>2737</v>
      </c>
      <c r="D28998" s="7">
        <v>0.53</v>
      </c>
      <c r="E28998" t="s">
        <v>17</v>
      </c>
    </row>
    <row r="28999" spans="1:5" x14ac:dyDescent="0.25">
      <c r="A28999" t="str">
        <f>HYPERLINK("https://www.773grp.com/globalSearch/TL431ID/page-1", "TL431ID")</f>
        <v>TL431ID</v>
      </c>
      <c r="B28999" s="3" t="str">
        <f>HYPERLINK("https://www.773grp.com/manufacturer/onsemi?pageNo=1193", "ON Semiconductor")</f>
        <v>ON Semiconductor</v>
      </c>
      <c r="C28999" s="6">
        <v>5010</v>
      </c>
      <c r="D28999" s="7">
        <v>0.53</v>
      </c>
      <c r="E28999" t="s">
        <v>17</v>
      </c>
    </row>
    <row r="29000" spans="1:5" x14ac:dyDescent="0.25">
      <c r="A29000" t="str">
        <f>HYPERLINK("https://www.773grp.com/globalSearch/TL431IDMR2/page-1", "TL431IDMR2")</f>
        <v>TL431IDMR2</v>
      </c>
      <c r="B29000" s="3" t="str">
        <f>HYPERLINK("https://www.773grp.com/manufacturer/onsemi?pageNo=1194", "ON Semiconductor")</f>
        <v>ON Semiconductor</v>
      </c>
      <c r="C29000" s="6">
        <v>12000</v>
      </c>
      <c r="D29000" s="7">
        <v>0.53</v>
      </c>
      <c r="E29000" t="s">
        <v>17</v>
      </c>
    </row>
    <row r="29001" spans="1:5" x14ac:dyDescent="0.25">
      <c r="A29001" t="str">
        <f>HYPERLINK("https://www.773grp.com/globalSearch/TL431IDR2/page-1", "TL431IDR2")</f>
        <v>TL431IDR2</v>
      </c>
      <c r="B29001" s="3" t="str">
        <f>HYPERLINK("https://www.773grp.com/manufacturer/onsemi?pageNo=1195", "ON Semiconductor")</f>
        <v>ON Semiconductor</v>
      </c>
      <c r="C29001" s="6">
        <v>2500</v>
      </c>
      <c r="D29001" s="7">
        <v>0.53</v>
      </c>
      <c r="E29001" t="s">
        <v>17</v>
      </c>
    </row>
    <row r="29002" spans="1:5" x14ac:dyDescent="0.25">
      <c r="A29002" t="str">
        <f>HYPERLINK("https://www.773grp.com/globalSearch/TL431ILP/page-1", "TL431ILP")</f>
        <v>TL431ILP</v>
      </c>
      <c r="B29002" s="3" t="str">
        <f>HYPERLINK("https://www.773grp.com/manufacturer/onsemi?pageNo=1196", "ON Semiconductor")</f>
        <v>ON Semiconductor</v>
      </c>
      <c r="C29002" s="6">
        <v>377</v>
      </c>
      <c r="D29002" s="7">
        <v>0.53</v>
      </c>
      <c r="E29002" t="s">
        <v>17</v>
      </c>
    </row>
    <row r="29003" spans="1:5" x14ac:dyDescent="0.25">
      <c r="A29003" t="str">
        <f>HYPERLINK("https://www.773grp.com/globalSearch/TLV431ALPREG/page-1", "TLV431ALPREG")</f>
        <v>TLV431ALPREG</v>
      </c>
      <c r="B29003" s="3" t="str">
        <f>HYPERLINK("https://www.773grp.com/manufacturer/onsemi?pageNo=1197", "ON Semiconductor")</f>
        <v>ON Semiconductor</v>
      </c>
      <c r="C29003" s="6">
        <v>1118</v>
      </c>
      <c r="D29003" s="7">
        <v>0.53</v>
      </c>
      <c r="E29003" t="s">
        <v>17</v>
      </c>
    </row>
    <row r="29004" spans="1:5" x14ac:dyDescent="0.25">
      <c r="A29004" t="str">
        <f>HYPERLINK("https://www.773grp.com/globalSearch/TLV431ALPRMG/page-1", "TLV431ALPRMG")</f>
        <v>TLV431ALPRMG</v>
      </c>
      <c r="B29004" s="3" t="str">
        <f>HYPERLINK("https://www.773grp.com/manufacturer/onsemi?pageNo=1198", "ON Semiconductor")</f>
        <v>ON Semiconductor</v>
      </c>
      <c r="C29004" s="6">
        <v>5258</v>
      </c>
      <c r="D29004" s="7">
        <v>0.53</v>
      </c>
      <c r="E29004" t="s">
        <v>17</v>
      </c>
    </row>
    <row r="29005" spans="1:5" x14ac:dyDescent="0.25">
      <c r="A29005" t="str">
        <f>HYPERLINK("https://www.773grp.com/globalSearch/TLV431BSNT1G/page-1", "TLV431BSNT1G")</f>
        <v>TLV431BSNT1G</v>
      </c>
      <c r="B29005" s="3" t="str">
        <f>HYPERLINK("https://www.773grp.com/manufacturer/onsemi?pageNo=1199", "ON Semiconductor")</f>
        <v>ON Semiconductor</v>
      </c>
      <c r="C29005" s="6">
        <v>6390</v>
      </c>
      <c r="D29005" s="7">
        <v>0.53</v>
      </c>
      <c r="E29005" t="s">
        <v>17</v>
      </c>
    </row>
    <row r="29006" spans="1:5" x14ac:dyDescent="0.25">
      <c r="A29006" t="str">
        <f>HYPERLINK("https://www.773grp.com/globalSearch/1N4701RL/page-1", "1N4701RL")</f>
        <v>1N4701RL</v>
      </c>
      <c r="B29006" s="3" t="str">
        <f>HYPERLINK("https://www.773grp.com/manufacturer/onsemi?pageNo=1200", "ON Semiconductor")</f>
        <v>ON Semiconductor</v>
      </c>
      <c r="C29006" s="6">
        <v>54566</v>
      </c>
      <c r="D29006" s="7">
        <v>0.57999999999999996</v>
      </c>
      <c r="E29006" t="s">
        <v>98</v>
      </c>
    </row>
    <row r="29007" spans="1:5" x14ac:dyDescent="0.25">
      <c r="A29007" t="str">
        <f>HYPERLINK("https://www.773grp.com/globalSearch/1N4705RL/page-1", "1N4705RL")</f>
        <v>1N4705RL</v>
      </c>
      <c r="B29007" s="3" t="str">
        <f>HYPERLINK("https://www.773grp.com/manufacturer/onsemi?pageNo=1201", "ON Semiconductor")</f>
        <v>ON Semiconductor</v>
      </c>
      <c r="C29007" s="6">
        <v>10000</v>
      </c>
      <c r="D29007" s="7">
        <v>0.57999999999999996</v>
      </c>
      <c r="E29007" t="s">
        <v>98</v>
      </c>
    </row>
    <row r="29008" spans="1:5" x14ac:dyDescent="0.25">
      <c r="A29008" t="str">
        <f>HYPERLINK("https://www.773grp.com/globalSearch/1N4711RL/page-1", "1N4711RL")</f>
        <v>1N4711RL</v>
      </c>
      <c r="B29008" s="3" t="str">
        <f>HYPERLINK("https://www.773grp.com/manufacturer/onsemi?pageNo=1202", "ON Semiconductor")</f>
        <v>ON Semiconductor</v>
      </c>
      <c r="C29008" s="6">
        <v>4773</v>
      </c>
      <c r="D29008" s="7">
        <v>0.57999999999999996</v>
      </c>
      <c r="E29008" t="s">
        <v>98</v>
      </c>
    </row>
    <row r="29009" spans="1:5" x14ac:dyDescent="0.25">
      <c r="A29009" t="str">
        <f>HYPERLINK("https://www.773grp.com/globalSearch/1SMA10AT3G/page-1", "1SMA10AT3G")</f>
        <v>1SMA10AT3G</v>
      </c>
      <c r="B29009" s="3" t="str">
        <f>HYPERLINK("https://www.773grp.com/manufacturer/onsemi?pageNo=1203", "ON Semiconductor")</f>
        <v>ON Semiconductor</v>
      </c>
      <c r="C29009" s="6">
        <v>9375</v>
      </c>
      <c r="D29009" s="7">
        <v>0.57999999999999996</v>
      </c>
      <c r="E29009" t="s">
        <v>96</v>
      </c>
    </row>
    <row r="29010" spans="1:5" x14ac:dyDescent="0.25">
      <c r="A29010" t="str">
        <f>HYPERLINK("https://www.773grp.com/globalSearch/1SMA11AT3G/page-1", "1SMA11AT3G")</f>
        <v>1SMA11AT3G</v>
      </c>
      <c r="B29010" s="3" t="str">
        <f>HYPERLINK("https://www.773grp.com/manufacturer/onsemi?pageNo=1204", "ON Semiconductor")</f>
        <v>ON Semiconductor</v>
      </c>
      <c r="C29010" s="6">
        <v>10000</v>
      </c>
      <c r="D29010" s="7">
        <v>0.57999999999999996</v>
      </c>
    </row>
    <row r="29011" spans="1:5" x14ac:dyDescent="0.25">
      <c r="A29011" t="str">
        <f>HYPERLINK("https://www.773grp.com/globalSearch/1SMA12AT3G/page-1", "1SMA12AT3G")</f>
        <v>1SMA12AT3G</v>
      </c>
      <c r="B29011" s="3" t="str">
        <f>HYPERLINK("https://www.773grp.com/manufacturer/onsemi?pageNo=1205", "ON Semiconductor")</f>
        <v>ON Semiconductor</v>
      </c>
      <c r="C29011" s="6">
        <v>58830</v>
      </c>
      <c r="D29011" s="7">
        <v>0.57999999999999996</v>
      </c>
      <c r="E29011" t="s">
        <v>96</v>
      </c>
    </row>
    <row r="29012" spans="1:5" x14ac:dyDescent="0.25">
      <c r="A29012" t="str">
        <f>HYPERLINK("https://www.773grp.com/globalSearch/1SMA13AT3G/page-1", "1SMA13AT3G")</f>
        <v>1SMA13AT3G</v>
      </c>
      <c r="B29012" s="3" t="str">
        <f>HYPERLINK("https://www.773grp.com/manufacturer/onsemi?pageNo=1206", "ON Semiconductor")</f>
        <v>ON Semiconductor</v>
      </c>
      <c r="C29012" s="6">
        <v>94980</v>
      </c>
      <c r="D29012" s="7">
        <v>0.57999999999999996</v>
      </c>
      <c r="E29012" t="s">
        <v>96</v>
      </c>
    </row>
    <row r="29013" spans="1:5" x14ac:dyDescent="0.25">
      <c r="A29013" t="str">
        <f>HYPERLINK("https://www.773grp.com/globalSearch/1SMA15AT3G/page-1", "1SMA15AT3G")</f>
        <v>1SMA15AT3G</v>
      </c>
      <c r="B29013" s="3" t="str">
        <f>HYPERLINK("https://www.773grp.com/manufacturer/onsemi?pageNo=1207", "ON Semiconductor")</f>
        <v>ON Semiconductor</v>
      </c>
      <c r="C29013" s="6">
        <v>299750</v>
      </c>
      <c r="D29013" s="7">
        <v>0.57999999999999996</v>
      </c>
      <c r="E29013" t="s">
        <v>96</v>
      </c>
    </row>
    <row r="29014" spans="1:5" x14ac:dyDescent="0.25">
      <c r="A29014" t="str">
        <f>HYPERLINK("https://www.773grp.com/globalSearch/1SMA16AT3G/page-1", "1SMA16AT3G")</f>
        <v>1SMA16AT3G</v>
      </c>
      <c r="B29014" s="3" t="str">
        <f>HYPERLINK("https://www.773grp.com/manufacturer/onsemi?pageNo=1208", "ON Semiconductor")</f>
        <v>ON Semiconductor</v>
      </c>
      <c r="C29014" s="6">
        <v>15000</v>
      </c>
      <c r="D29014" s="7">
        <v>0.57999999999999996</v>
      </c>
    </row>
    <row r="29015" spans="1:5" x14ac:dyDescent="0.25">
      <c r="A29015" t="str">
        <f>HYPERLINK("https://www.773grp.com/globalSearch/1SMA18AT3G/page-1", "1SMA18AT3G")</f>
        <v>1SMA18AT3G</v>
      </c>
      <c r="B29015" s="3" t="str">
        <f>HYPERLINK("https://www.773grp.com/manufacturer/onsemi?pageNo=1209", "ON Semiconductor")</f>
        <v>ON Semiconductor</v>
      </c>
      <c r="C29015" s="6">
        <v>70000</v>
      </c>
      <c r="D29015" s="7">
        <v>0.57999999999999996</v>
      </c>
      <c r="E29015" t="s">
        <v>96</v>
      </c>
    </row>
    <row r="29016" spans="1:5" x14ac:dyDescent="0.25">
      <c r="A29016" t="str">
        <f>HYPERLINK("https://www.773grp.com/globalSearch/1SMA20AT3G/page-1", "1SMA20AT3G")</f>
        <v>1SMA20AT3G</v>
      </c>
      <c r="B29016" s="3" t="str">
        <f>HYPERLINK("https://www.773grp.com/manufacturer/onsemi?pageNo=1210", "ON Semiconductor")</f>
        <v>ON Semiconductor</v>
      </c>
      <c r="C29016" s="6">
        <v>130000</v>
      </c>
      <c r="D29016" s="7">
        <v>0.57999999999999996</v>
      </c>
      <c r="E29016" t="s">
        <v>96</v>
      </c>
    </row>
    <row r="29017" spans="1:5" x14ac:dyDescent="0.25">
      <c r="A29017" t="str">
        <f>HYPERLINK("https://www.773grp.com/globalSearch/1SMA24AT3G/page-1", "1SMA24AT3G")</f>
        <v>1SMA24AT3G</v>
      </c>
      <c r="B29017" s="3" t="str">
        <f>HYPERLINK("https://www.773grp.com/manufacturer/onsemi?pageNo=1211", "ON Semiconductor")</f>
        <v>ON Semiconductor</v>
      </c>
      <c r="C29017" s="6">
        <v>300000</v>
      </c>
      <c r="D29017" s="7">
        <v>0.57999999999999996</v>
      </c>
      <c r="E29017" t="s">
        <v>96</v>
      </c>
    </row>
    <row r="29018" spans="1:5" x14ac:dyDescent="0.25">
      <c r="A29018" t="str">
        <f>HYPERLINK("https://www.773grp.com/globalSearch/1SMA26AT3G/page-1", "1SMA26AT3G")</f>
        <v>1SMA26AT3G</v>
      </c>
      <c r="B29018" s="3" t="str">
        <f>HYPERLINK("https://www.773grp.com/manufacturer/onsemi?pageNo=1212", "ON Semiconductor")</f>
        <v>ON Semiconductor</v>
      </c>
      <c r="C29018" s="6">
        <v>23000</v>
      </c>
      <c r="D29018" s="7">
        <v>0.57999999999999996</v>
      </c>
      <c r="E29018" t="s">
        <v>96</v>
      </c>
    </row>
    <row r="29019" spans="1:5" x14ac:dyDescent="0.25">
      <c r="A29019" t="str">
        <f>HYPERLINK("https://www.773grp.com/globalSearch/1SMA30AT3G/page-1", "1SMA30AT3G")</f>
        <v>1SMA30AT3G</v>
      </c>
      <c r="B29019" s="3" t="str">
        <f>HYPERLINK("https://www.773grp.com/manufacturer/onsemi?pageNo=1213", "ON Semiconductor")</f>
        <v>ON Semiconductor</v>
      </c>
      <c r="C29019" s="6">
        <v>25000</v>
      </c>
      <c r="D29019" s="7">
        <v>0.57999999999999996</v>
      </c>
    </row>
    <row r="29020" spans="1:5" x14ac:dyDescent="0.25">
      <c r="A29020" t="str">
        <f>HYPERLINK("https://www.773grp.com/globalSearch/1SMA33AT3G/page-1", "1SMA33AT3G")</f>
        <v>1SMA33AT3G</v>
      </c>
      <c r="B29020" s="3" t="str">
        <f>HYPERLINK("https://www.773grp.com/manufacturer/onsemi?pageNo=1214", "ON Semiconductor")</f>
        <v>ON Semiconductor</v>
      </c>
      <c r="C29020" s="6">
        <v>40000</v>
      </c>
      <c r="D29020" s="7">
        <v>0.57999999999999996</v>
      </c>
      <c r="E29020" t="s">
        <v>96</v>
      </c>
    </row>
    <row r="29021" spans="1:5" x14ac:dyDescent="0.25">
      <c r="A29021" t="str">
        <f>HYPERLINK("https://www.773grp.com/globalSearch/1SMA43AT3G/page-1", "1SMA43AT3G")</f>
        <v>1SMA43AT3G</v>
      </c>
      <c r="B29021" s="3" t="str">
        <f>HYPERLINK("https://www.773grp.com/manufacturer/onsemi?pageNo=1215", "ON Semiconductor")</f>
        <v>ON Semiconductor</v>
      </c>
      <c r="C29021" s="6">
        <v>110000</v>
      </c>
      <c r="D29021" s="7">
        <v>0.57999999999999996</v>
      </c>
      <c r="E29021" t="s">
        <v>96</v>
      </c>
    </row>
    <row r="29022" spans="1:5" x14ac:dyDescent="0.25">
      <c r="A29022" t="str">
        <f>HYPERLINK("https://www.773grp.com/globalSearch/1SMA45AT3G/page-1", "1SMA45AT3G")</f>
        <v>1SMA45AT3G</v>
      </c>
      <c r="B29022" s="3" t="str">
        <f>HYPERLINK("https://www.773grp.com/manufacturer/onsemi?pageNo=1216", "ON Semiconductor")</f>
        <v>ON Semiconductor</v>
      </c>
      <c r="C29022" s="6">
        <v>20000</v>
      </c>
      <c r="D29022" s="7">
        <v>0.57999999999999996</v>
      </c>
      <c r="E29022" t="s">
        <v>96</v>
      </c>
    </row>
    <row r="29023" spans="1:5" x14ac:dyDescent="0.25">
      <c r="A29023" t="str">
        <f>HYPERLINK("https://www.773grp.com/globalSearch/1SMA5.0AT3G/page-1", "1SMA5.0AT3G")</f>
        <v>1SMA5.0AT3G</v>
      </c>
      <c r="B29023" s="3" t="str">
        <f>HYPERLINK("https://www.773grp.com/manufacturer/onsemi?pageNo=1217", "ON Semiconductor")</f>
        <v>ON Semiconductor</v>
      </c>
      <c r="C29023" s="6">
        <v>60000</v>
      </c>
      <c r="D29023" s="7">
        <v>0.57999999999999996</v>
      </c>
      <c r="E29023" t="s">
        <v>96</v>
      </c>
    </row>
    <row r="29024" spans="1:5" x14ac:dyDescent="0.25">
      <c r="A29024" t="str">
        <f>HYPERLINK("https://www.773grp.com/globalSearch/1SMA54AT3G/page-1", "1SMA54AT3G")</f>
        <v>1SMA54AT3G</v>
      </c>
      <c r="B29024" s="3" t="str">
        <f>HYPERLINK("https://www.773grp.com/manufacturer/onsemi?pageNo=1218", "ON Semiconductor")</f>
        <v>ON Semiconductor</v>
      </c>
      <c r="C29024" s="6">
        <v>120000</v>
      </c>
      <c r="D29024" s="7">
        <v>0.57999999999999996</v>
      </c>
      <c r="E29024" t="s">
        <v>96</v>
      </c>
    </row>
    <row r="29025" spans="1:5" x14ac:dyDescent="0.25">
      <c r="A29025" t="str">
        <f>HYPERLINK("https://www.773grp.com/globalSearch/1SMA6.0AT3G/page-1", "1SMA6.0AT3G")</f>
        <v>1SMA6.0AT3G</v>
      </c>
      <c r="B29025" s="3" t="str">
        <f>HYPERLINK("https://www.773grp.com/manufacturer/onsemi?pageNo=1219", "ON Semiconductor")</f>
        <v>ON Semiconductor</v>
      </c>
      <c r="C29025" s="6">
        <v>17110</v>
      </c>
      <c r="D29025" s="7">
        <v>0.57999999999999996</v>
      </c>
      <c r="E29025" t="s">
        <v>96</v>
      </c>
    </row>
    <row r="29026" spans="1:5" x14ac:dyDescent="0.25">
      <c r="A29026" t="str">
        <f>HYPERLINK("https://www.773grp.com/globalSearch/1SMA6.5AT3G/page-1", "1SMA6.5AT3G")</f>
        <v>1SMA6.5AT3G</v>
      </c>
      <c r="B29026" s="3" t="str">
        <f>HYPERLINK("https://www.773grp.com/manufacturer/onsemi?pageNo=1220", "ON Semiconductor")</f>
        <v>ON Semiconductor</v>
      </c>
      <c r="C29026" s="6">
        <v>30000</v>
      </c>
      <c r="D29026" s="7">
        <v>0.57999999999999996</v>
      </c>
      <c r="E29026" t="s">
        <v>96</v>
      </c>
    </row>
    <row r="29027" spans="1:5" x14ac:dyDescent="0.25">
      <c r="A29027" t="str">
        <f>HYPERLINK("https://www.773grp.com/globalSearch/1SMA70AT3G/page-1", "1SMA70AT3G")</f>
        <v>1SMA70AT3G</v>
      </c>
      <c r="B29027" s="3" t="str">
        <f>HYPERLINK("https://www.773grp.com/manufacturer/onsemi?pageNo=1221", "ON Semiconductor")</f>
        <v>ON Semiconductor</v>
      </c>
      <c r="C29027" s="6">
        <v>8000</v>
      </c>
      <c r="D29027" s="7">
        <v>0.57999999999999996</v>
      </c>
      <c r="E29027" t="s">
        <v>96</v>
      </c>
    </row>
    <row r="29028" spans="1:5" x14ac:dyDescent="0.25">
      <c r="A29028" t="str">
        <f>HYPERLINK("https://www.773grp.com/globalSearch/1SMA8.0AT3G/page-1", "1SMA8.0AT3G")</f>
        <v>1SMA8.0AT3G</v>
      </c>
      <c r="B29028" s="3" t="str">
        <f>HYPERLINK("https://www.773grp.com/manufacturer/onsemi?pageNo=1222", "ON Semiconductor")</f>
        <v>ON Semiconductor</v>
      </c>
      <c r="C29028" s="6">
        <v>25000</v>
      </c>
      <c r="D29028" s="7">
        <v>0.57999999999999996</v>
      </c>
      <c r="E29028" t="s">
        <v>96</v>
      </c>
    </row>
    <row r="29029" spans="1:5" x14ac:dyDescent="0.25">
      <c r="A29029" t="str">
        <f>HYPERLINK("https://www.773grp.com/globalSearch/1SMA9.0AT3G/page-1", "1SMA9.0AT3G")</f>
        <v>1SMA9.0AT3G</v>
      </c>
      <c r="B29029" s="3" t="str">
        <f>HYPERLINK("https://www.773grp.com/manufacturer/onsemi?pageNo=1223", "ON Semiconductor")</f>
        <v>ON Semiconductor</v>
      </c>
      <c r="C29029" s="6">
        <v>10000</v>
      </c>
      <c r="D29029" s="7">
        <v>0.57999999999999996</v>
      </c>
      <c r="E29029" t="s">
        <v>96</v>
      </c>
    </row>
    <row r="29030" spans="1:5" x14ac:dyDescent="0.25">
      <c r="A29030" t="str">
        <f>HYPERLINK("https://www.773grp.com/globalSearch/1SMB20CAT3/page-1", "1SMB20CAT3")</f>
        <v>1SMB20CAT3</v>
      </c>
      <c r="B29030" s="3" t="str">
        <f>HYPERLINK("https://www.773grp.com/manufacturer/onsemi?pageNo=1224", "ON Semiconductor")</f>
        <v>ON Semiconductor</v>
      </c>
      <c r="C29030" s="6">
        <v>2150</v>
      </c>
      <c r="D29030" s="7">
        <v>0.57999999999999996</v>
      </c>
      <c r="E29030" t="s">
        <v>96</v>
      </c>
    </row>
    <row r="29031" spans="1:5" x14ac:dyDescent="0.25">
      <c r="A29031" t="str">
        <f>HYPERLINK("https://www.773grp.com/globalSearch/1SMB45CAT3/page-1", "1SMB45CAT3")</f>
        <v>1SMB45CAT3</v>
      </c>
      <c r="B29031" s="3" t="str">
        <f>HYPERLINK("https://www.773grp.com/manufacturer/onsemi?pageNo=1225", "ON Semiconductor")</f>
        <v>ON Semiconductor</v>
      </c>
      <c r="C29031" s="6">
        <v>40000</v>
      </c>
      <c r="D29031" s="7">
        <v>0.57999999999999996</v>
      </c>
      <c r="E29031" t="s">
        <v>96</v>
      </c>
    </row>
    <row r="29032" spans="1:5" x14ac:dyDescent="0.25">
      <c r="A29032" t="str">
        <f>HYPERLINK("https://www.773grp.com/globalSearch/1SMF16BT1/page-1", "1SMF16BT1")</f>
        <v>1SMF16BT1</v>
      </c>
      <c r="B29032" s="3" t="str">
        <f>HYPERLINK("https://www.773grp.com/manufacturer/onsemi?pageNo=1226", "ON Semiconductor")</f>
        <v>ON Semiconductor</v>
      </c>
      <c r="C29032" s="6">
        <v>5973</v>
      </c>
      <c r="D29032" s="7">
        <v>0.57999999999999996</v>
      </c>
      <c r="E29032" t="s">
        <v>96</v>
      </c>
    </row>
    <row r="29033" spans="1:5" x14ac:dyDescent="0.25">
      <c r="A29033" t="str">
        <f>HYPERLINK("https://www.773grp.com/globalSearch/1SMF16BT1G/page-1", "1SMF16BT1G")</f>
        <v>1SMF16BT1G</v>
      </c>
      <c r="B29033" s="3" t="str">
        <f>HYPERLINK("https://www.773grp.com/manufacturer/onsemi?pageNo=1227", "ON Semiconductor")</f>
        <v>ON Semiconductor</v>
      </c>
      <c r="C29033" s="6">
        <v>3000</v>
      </c>
      <c r="D29033" s="7">
        <v>0.57999999999999996</v>
      </c>
      <c r="E29033" t="s">
        <v>96</v>
      </c>
    </row>
    <row r="29034" spans="1:5" x14ac:dyDescent="0.25">
      <c r="A29034" t="str">
        <f>HYPERLINK("https://www.773grp.com/globalSearch/1SMF16BT3G/page-1", "1SMF16BT3G")</f>
        <v>1SMF16BT3G</v>
      </c>
      <c r="B29034" s="3" t="str">
        <f>HYPERLINK("https://www.773grp.com/manufacturer/onsemi?pageNo=1228", "ON Semiconductor")</f>
        <v>ON Semiconductor</v>
      </c>
      <c r="C29034" s="6">
        <v>150000</v>
      </c>
      <c r="D29034" s="7">
        <v>0.57999999999999996</v>
      </c>
      <c r="E29034" t="s">
        <v>96</v>
      </c>
    </row>
    <row r="29035" spans="1:5" x14ac:dyDescent="0.25">
      <c r="A29035" t="str">
        <f>HYPERLINK("https://www.773grp.com/globalSearch/1SV233-TB-E/page-1", "1SV233-TB-E")</f>
        <v>1SV233-TB-E</v>
      </c>
      <c r="B29035" s="3" t="str">
        <f>HYPERLINK("https://www.773grp.com/manufacturer/onsemi?pageNo=1229", "ON Semiconductor")</f>
        <v>ON Semiconductor</v>
      </c>
      <c r="C29035" s="6">
        <v>12000</v>
      </c>
      <c r="D29035" s="7">
        <v>0.57999999999999996</v>
      </c>
    </row>
    <row r="29036" spans="1:5" x14ac:dyDescent="0.25">
      <c r="A29036" t="str">
        <f>HYPERLINK("https://www.773grp.com/globalSearch/1SV234-TB-E/page-1", "1SV234-TB-E")</f>
        <v>1SV234-TB-E</v>
      </c>
      <c r="B29036" s="3" t="str">
        <f>HYPERLINK("https://www.773grp.com/manufacturer/onsemi?pageNo=1230", "ON Semiconductor")</f>
        <v>ON Semiconductor</v>
      </c>
      <c r="C29036" s="6">
        <v>12000</v>
      </c>
      <c r="D29036" s="7">
        <v>0.57999999999999996</v>
      </c>
    </row>
    <row r="29037" spans="1:5" x14ac:dyDescent="0.25">
      <c r="A29037" t="str">
        <f>HYPERLINK("https://www.773grp.com/globalSearch/2SB1122T-TD-E/page-1", "2SB1122T-TD-E")</f>
        <v>2SB1122T-TD-E</v>
      </c>
      <c r="B29037" s="3" t="str">
        <f>HYPERLINK("https://www.773grp.com/manufacturer/onsemi?pageNo=1231", "ON Semiconductor")</f>
        <v>ON Semiconductor</v>
      </c>
      <c r="C29037" s="6">
        <v>1000</v>
      </c>
      <c r="D29037" s="7">
        <v>0.57999999999999996</v>
      </c>
    </row>
    <row r="29038" spans="1:5" x14ac:dyDescent="0.25">
      <c r="A29038" t="str">
        <f>HYPERLINK("https://www.773grp.com/globalSearch/74HC244DTR2G/page-1", "74HC244DTR2G")</f>
        <v>74HC244DTR2G</v>
      </c>
      <c r="B29038" s="3" t="str">
        <f>HYPERLINK("https://www.773grp.com/manufacturer/onsemi?pageNo=1232", "ON Semiconductor")</f>
        <v>ON Semiconductor</v>
      </c>
      <c r="C29038" s="6">
        <v>124361</v>
      </c>
      <c r="D29038" s="7">
        <v>0.57999999999999996</v>
      </c>
      <c r="E29038" t="s">
        <v>21</v>
      </c>
    </row>
    <row r="29039" spans="1:5" x14ac:dyDescent="0.25">
      <c r="A29039" t="str">
        <f>HYPERLINK("https://www.773grp.com/globalSearch/74HC245DTR2G/page-1", "74HC245DTR2G")</f>
        <v>74HC245DTR2G</v>
      </c>
      <c r="B29039" s="3" t="str">
        <f>HYPERLINK("https://www.773grp.com/manufacturer/onsemi?pageNo=1233", "ON Semiconductor")</f>
        <v>ON Semiconductor</v>
      </c>
      <c r="C29039" s="6">
        <v>244850</v>
      </c>
      <c r="D29039" s="7">
        <v>0.57999999999999996</v>
      </c>
      <c r="E29039" t="s">
        <v>14</v>
      </c>
    </row>
    <row r="29040" spans="1:5" x14ac:dyDescent="0.25">
      <c r="A29040" t="str">
        <f>HYPERLINK("https://www.773grp.com/globalSearch/74HCT245DTR2G/page-1", "74HCT245DTR2G")</f>
        <v>74HCT245DTR2G</v>
      </c>
      <c r="B29040" s="3" t="str">
        <f>HYPERLINK("https://www.773grp.com/manufacturer/onsemi?pageNo=1234", "ON Semiconductor")</f>
        <v>ON Semiconductor</v>
      </c>
      <c r="C29040" s="6">
        <v>47470</v>
      </c>
      <c r="D29040" s="7">
        <v>0.57999999999999996</v>
      </c>
    </row>
    <row r="29041" spans="1:5" x14ac:dyDescent="0.25">
      <c r="A29041" t="str">
        <f>HYPERLINK("https://www.773grp.com/globalSearch/BCP53-10T1G/page-1", "BCP53-10T1G")</f>
        <v>BCP53-10T1G</v>
      </c>
      <c r="B29041" s="3" t="str">
        <f>HYPERLINK("https://www.773grp.com/manufacturer/onsemi?pageNo=1235", "ON Semiconductor")</f>
        <v>ON Semiconductor</v>
      </c>
      <c r="C29041" s="6">
        <v>377000</v>
      </c>
      <c r="D29041" s="7">
        <v>0.57999999999999996</v>
      </c>
      <c r="E29041" t="s">
        <v>59</v>
      </c>
    </row>
    <row r="29042" spans="1:5" x14ac:dyDescent="0.25">
      <c r="A29042" t="str">
        <f>HYPERLINK("https://www.773grp.com/globalSearch/BCP56-16T1G/page-1", "BCP56-16T1G")</f>
        <v>BCP56-16T1G</v>
      </c>
      <c r="B29042" s="3" t="str">
        <f>HYPERLINK("https://www.773grp.com/manufacturer/onsemi?pageNo=1236", "ON Semiconductor")</f>
        <v>ON Semiconductor</v>
      </c>
      <c r="C29042" s="6">
        <v>47494</v>
      </c>
      <c r="D29042" s="7">
        <v>0.57999999999999996</v>
      </c>
      <c r="E29042" t="s">
        <v>59</v>
      </c>
    </row>
    <row r="29043" spans="1:5" x14ac:dyDescent="0.25">
      <c r="A29043" t="str">
        <f>HYPERLINK("https://www.773grp.com/globalSearch/BCP56-16T3G/page-1", "BCP56-16T3G")</f>
        <v>BCP56-16T3G</v>
      </c>
      <c r="B29043" s="3" t="str">
        <f>HYPERLINK("https://www.773grp.com/manufacturer/onsemi?pageNo=1237", "ON Semiconductor")</f>
        <v>ON Semiconductor</v>
      </c>
      <c r="C29043" s="6">
        <v>66521</v>
      </c>
      <c r="D29043" s="7">
        <v>0.57999999999999996</v>
      </c>
    </row>
    <row r="29044" spans="1:5" x14ac:dyDescent="0.25">
      <c r="A29044" t="str">
        <f>HYPERLINK("https://www.773grp.com/globalSearch/BCP56T1G/page-1", "BCP56T1G")</f>
        <v>BCP56T1G</v>
      </c>
      <c r="B29044" s="3" t="str">
        <f>HYPERLINK("https://www.773grp.com/manufacturer/onsemi?pageNo=1238", "ON Semiconductor")</f>
        <v>ON Semiconductor</v>
      </c>
      <c r="C29044" s="6">
        <v>341000</v>
      </c>
      <c r="D29044" s="7">
        <v>0.57999999999999996</v>
      </c>
      <c r="E29044" t="s">
        <v>59</v>
      </c>
    </row>
    <row r="29045" spans="1:5" x14ac:dyDescent="0.25">
      <c r="A29045" t="str">
        <f>HYPERLINK("https://www.773grp.com/globalSearch/BCP56T3G/page-1", "BCP56T3G")</f>
        <v>BCP56T3G</v>
      </c>
      <c r="B29045" s="3" t="str">
        <f>HYPERLINK("https://www.773grp.com/manufacturer/onsemi?pageNo=1239", "ON Semiconductor")</f>
        <v>ON Semiconductor</v>
      </c>
      <c r="C29045" s="6">
        <v>176000</v>
      </c>
      <c r="D29045" s="7">
        <v>0.57999999999999996</v>
      </c>
      <c r="E29045" t="s">
        <v>59</v>
      </c>
    </row>
    <row r="29046" spans="1:5" x14ac:dyDescent="0.25">
      <c r="A29046" t="str">
        <f>HYPERLINK("https://www.773grp.com/globalSearch/BD241C/page-1", "BD241C")</f>
        <v>BD241C</v>
      </c>
      <c r="B29046" s="3" t="str">
        <f>HYPERLINK("https://www.773grp.com/manufacturer/onsemi?pageNo=1240", "ON Semiconductor")</f>
        <v>ON Semiconductor</v>
      </c>
      <c r="C29046" s="6">
        <v>46</v>
      </c>
      <c r="D29046" s="7">
        <v>0.57999999999999996</v>
      </c>
      <c r="E29046" t="s">
        <v>59</v>
      </c>
    </row>
    <row r="29047" spans="1:5" x14ac:dyDescent="0.25">
      <c r="A29047" t="str">
        <f>HYPERLINK("https://www.773grp.com/globalSearch/BD242C/page-1", "BD242C")</f>
        <v>BD242C</v>
      </c>
      <c r="B29047" s="3" t="str">
        <f>HYPERLINK("https://www.773grp.com/manufacturer/onsemi?pageNo=1241", "ON Semiconductor")</f>
        <v>ON Semiconductor</v>
      </c>
      <c r="C29047" s="6">
        <v>44</v>
      </c>
      <c r="D29047" s="7">
        <v>0.57999999999999996</v>
      </c>
      <c r="E29047" t="s">
        <v>59</v>
      </c>
    </row>
    <row r="29048" spans="1:5" x14ac:dyDescent="0.25">
      <c r="A29048" t="str">
        <f>HYPERLINK("https://www.773grp.com/globalSearch/BF240/page-1", "BF240")</f>
        <v>BF240</v>
      </c>
      <c r="B29048" s="3" t="str">
        <f>HYPERLINK("https://www.773grp.com/manufacturer/onsemi?pageNo=1242", "ON Semiconductor")</f>
        <v>ON Semiconductor</v>
      </c>
      <c r="C29048" s="6">
        <v>8300</v>
      </c>
      <c r="D29048" s="7">
        <v>0.57999999999999996</v>
      </c>
      <c r="E29048" t="s">
        <v>69</v>
      </c>
    </row>
    <row r="29049" spans="1:5" x14ac:dyDescent="0.25">
      <c r="A29049" t="str">
        <f>HYPERLINK("https://www.773grp.com/globalSearch/BF240RL1/page-1", "BF240RL1")</f>
        <v>BF240RL1</v>
      </c>
      <c r="B29049" s="3" t="str">
        <f>HYPERLINK("https://www.773grp.com/manufacturer/onsemi?pageNo=1243", "ON Semiconductor")</f>
        <v>ON Semiconductor</v>
      </c>
      <c r="C29049" s="6">
        <v>20000</v>
      </c>
      <c r="D29049" s="7">
        <v>0.57999999999999996</v>
      </c>
      <c r="E29049" t="s">
        <v>61</v>
      </c>
    </row>
    <row r="29050" spans="1:5" x14ac:dyDescent="0.25">
      <c r="A29050" t="str">
        <f>HYPERLINK("https://www.773grp.com/globalSearch/BF421/page-1", "BF421")</f>
        <v>BF421</v>
      </c>
      <c r="B29050" s="3" t="str">
        <f>HYPERLINK("https://www.773grp.com/manufacturer/onsemi?pageNo=1244", "ON Semiconductor")</f>
        <v>ON Semiconductor</v>
      </c>
      <c r="C29050" s="6">
        <v>7283</v>
      </c>
      <c r="D29050" s="7">
        <v>0.57999999999999996</v>
      </c>
      <c r="E29050" t="s">
        <v>69</v>
      </c>
    </row>
    <row r="29051" spans="1:5" x14ac:dyDescent="0.25">
      <c r="A29051" t="str">
        <f>HYPERLINK("https://www.773grp.com/globalSearch/BSP52T1/page-1", "BSP52T1")</f>
        <v>BSP52T1</v>
      </c>
      <c r="B29051" s="3" t="str">
        <f>HYPERLINK("https://www.773grp.com/manufacturer/onsemi?pageNo=1245", "ON Semiconductor")</f>
        <v>ON Semiconductor</v>
      </c>
      <c r="C29051" s="6">
        <v>13000</v>
      </c>
      <c r="D29051" s="7">
        <v>0.57999999999999996</v>
      </c>
      <c r="E29051" t="s">
        <v>69</v>
      </c>
    </row>
    <row r="29052" spans="1:5" x14ac:dyDescent="0.25">
      <c r="A29052" t="str">
        <f>HYPERLINK("https://www.773grp.com/globalSearch/BZG03C15G/page-1", "BZG03C15G")</f>
        <v>BZG03C15G</v>
      </c>
      <c r="B29052" s="3" t="str">
        <f>HYPERLINK("https://www.773grp.com/manufacturer/onsemi?pageNo=1246", "ON Semiconductor")</f>
        <v>ON Semiconductor</v>
      </c>
      <c r="C29052" s="6">
        <v>35650</v>
      </c>
      <c r="D29052" s="7">
        <v>0.57999999999999996</v>
      </c>
      <c r="E29052" t="s">
        <v>96</v>
      </c>
    </row>
    <row r="29053" spans="1:5" x14ac:dyDescent="0.25">
      <c r="A29053" t="str">
        <f>HYPERLINK("https://www.773grp.com/globalSearch/CAT24C02LI-G/page-1", "CAT24C02LI-G")</f>
        <v>CAT24C02LI-G</v>
      </c>
      <c r="B29053" s="3" t="str">
        <f>HYPERLINK("https://www.773grp.com/manufacturer/onsemi?pageNo=1247", "ON Semiconductor")</f>
        <v>ON Semiconductor</v>
      </c>
      <c r="C29053" s="6">
        <v>475550</v>
      </c>
      <c r="D29053" s="7">
        <v>0.57999999999999996</v>
      </c>
      <c r="E29053" t="s">
        <v>64</v>
      </c>
    </row>
    <row r="29054" spans="1:5" x14ac:dyDescent="0.25">
      <c r="A29054" t="str">
        <f>HYPERLINK("https://www.773grp.com/globalSearch/CAT24C02LI-G/page-1", "CAT24C02LI-G")</f>
        <v>CAT24C02LI-G</v>
      </c>
      <c r="B29054" s="3" t="str">
        <f>HYPERLINK("https://www.773grp.com/manufacturer/onsemi?pageNo=1248", "ON Semiconductor")</f>
        <v>ON Semiconductor</v>
      </c>
      <c r="C29054" s="6">
        <v>40566</v>
      </c>
      <c r="D29054" s="7">
        <v>0.57999999999999996</v>
      </c>
      <c r="E29054" t="s">
        <v>64</v>
      </c>
    </row>
    <row r="29055" spans="1:5" x14ac:dyDescent="0.25">
      <c r="A29055" t="str">
        <f>HYPERLINK("https://www.773grp.com/globalSearch/CAT24C08WI-GT3/page-1", "CAT24C08WI-GT3")</f>
        <v>CAT24C08WI-GT3</v>
      </c>
      <c r="B29055" s="3" t="str">
        <f>HYPERLINK("https://www.773grp.com/manufacturer/onsemi?pageNo=1249", "ON Semiconductor")</f>
        <v>ON Semiconductor</v>
      </c>
      <c r="C29055" s="6">
        <v>12000</v>
      </c>
      <c r="D29055" s="7">
        <v>0.57999999999999996</v>
      </c>
      <c r="E29055" t="s">
        <v>64</v>
      </c>
    </row>
    <row r="29056" spans="1:5" x14ac:dyDescent="0.25">
      <c r="A29056" t="str">
        <f>HYPERLINK("https://www.773grp.com/globalSearch/CAT24C08WI-GT3/page-1", "CAT24C08WI-GT3")</f>
        <v>CAT24C08WI-GT3</v>
      </c>
      <c r="B29056" s="3" t="str">
        <f>HYPERLINK("https://www.773grp.com/manufacturer/onsemi?pageNo=1250", "ON Semiconductor")</f>
        <v>ON Semiconductor</v>
      </c>
      <c r="C29056" s="6">
        <v>510040</v>
      </c>
      <c r="D29056" s="7">
        <v>0.57999999999999996</v>
      </c>
      <c r="E29056" t="s">
        <v>64</v>
      </c>
    </row>
    <row r="29057" spans="1:5" x14ac:dyDescent="0.25">
      <c r="A29057" t="str">
        <f>HYPERLINK("https://www.773grp.com/globalSearch/CAT24C08YI-GT3/page-1", "CAT24C08YI-GT3")</f>
        <v>CAT24C08YI-GT3</v>
      </c>
      <c r="B29057" s="3" t="str">
        <f>HYPERLINK("https://www.773grp.com/manufacturer/onsemi?pageNo=1251", "ON Semiconductor")</f>
        <v>ON Semiconductor</v>
      </c>
      <c r="C29057" s="6">
        <v>115640</v>
      </c>
      <c r="D29057" s="7">
        <v>0.57999999999999996</v>
      </c>
      <c r="E29057" t="s">
        <v>64</v>
      </c>
    </row>
    <row r="29058" spans="1:5" x14ac:dyDescent="0.25">
      <c r="A29058" t="str">
        <f>HYPERLINK("https://www.773grp.com/globalSearch/CAT24C08YI-GT3/page-1", "CAT24C08YI-GT3")</f>
        <v>CAT24C08YI-GT3</v>
      </c>
      <c r="B29058" s="3" t="str">
        <f>HYPERLINK("https://www.773grp.com/manufacturer/onsemi?pageNo=1252", "ON Semiconductor")</f>
        <v>ON Semiconductor</v>
      </c>
      <c r="C29058" s="6">
        <v>5525</v>
      </c>
      <c r="D29058" s="7">
        <v>0.57999999999999996</v>
      </c>
      <c r="E29058" t="s">
        <v>64</v>
      </c>
    </row>
    <row r="29059" spans="1:5" x14ac:dyDescent="0.25">
      <c r="A29059" t="str">
        <f>HYPERLINK("https://www.773grp.com/globalSearch/CAT25010VI-G/page-1", "CAT25010VI-G")</f>
        <v>CAT25010VI-G</v>
      </c>
      <c r="B29059" s="3" t="str">
        <f>HYPERLINK("https://www.773grp.com/manufacturer/onsemi?pageNo=1253", "ON Semiconductor")</f>
        <v>ON Semiconductor</v>
      </c>
      <c r="C29059" s="6">
        <v>3049</v>
      </c>
      <c r="D29059" s="7">
        <v>0.57999999999999996</v>
      </c>
    </row>
    <row r="29060" spans="1:5" x14ac:dyDescent="0.25">
      <c r="A29060" t="str">
        <f>HYPERLINK("https://www.773grp.com/globalSearch/CAT93C46VI-GT3/page-1", "CAT93C46VI-GT3")</f>
        <v>CAT93C46VI-GT3</v>
      </c>
      <c r="B29060" s="3" t="str">
        <f>HYPERLINK("https://www.773grp.com/manufacturer/onsemi?pageNo=1254", "ON Semiconductor")</f>
        <v>ON Semiconductor</v>
      </c>
      <c r="C29060" s="6">
        <v>14680</v>
      </c>
      <c r="D29060" s="7">
        <v>0.57999999999999996</v>
      </c>
      <c r="E29060" t="s">
        <v>64</v>
      </c>
    </row>
    <row r="29061" spans="1:5" x14ac:dyDescent="0.25">
      <c r="A29061" t="str">
        <f>HYPERLINK("https://www.773grp.com/globalSearch/CAT93C46VI-GT3/page-1", "CAT93C46VI-GT3")</f>
        <v>CAT93C46VI-GT3</v>
      </c>
      <c r="B29061" s="3" t="str">
        <f>HYPERLINK("https://www.773grp.com/manufacturer/onsemi?pageNo=1255", "ON Semiconductor")</f>
        <v>ON Semiconductor</v>
      </c>
      <c r="C29061" s="6">
        <v>127476</v>
      </c>
      <c r="D29061" s="7">
        <v>0.57999999999999996</v>
      </c>
      <c r="E29061" t="s">
        <v>64</v>
      </c>
    </row>
    <row r="29062" spans="1:5" x14ac:dyDescent="0.25">
      <c r="A29062" t="str">
        <f>HYPERLINK("https://www.773grp.com/globalSearch/CAT93C46WI-GT3/page-1", "CAT93C46WI-GT3")</f>
        <v>CAT93C46WI-GT3</v>
      </c>
      <c r="B29062" s="3" t="str">
        <f>HYPERLINK("https://www.773grp.com/manufacturer/onsemi?pageNo=1256", "ON Semiconductor")</f>
        <v>ON Semiconductor</v>
      </c>
      <c r="C29062" s="6">
        <v>12000</v>
      </c>
      <c r="D29062" s="7">
        <v>0.57999999999999996</v>
      </c>
      <c r="E29062" t="s">
        <v>64</v>
      </c>
    </row>
    <row r="29063" spans="1:5" x14ac:dyDescent="0.25">
      <c r="A29063" t="str">
        <f>HYPERLINK("https://www.773grp.com/globalSearch/CAT93C46YI-GT3/page-1", "CAT93C46YI-GT3")</f>
        <v>CAT93C46YI-GT3</v>
      </c>
      <c r="B29063" s="3" t="str">
        <f>HYPERLINK("https://www.773grp.com/manufacturer/onsemi?pageNo=1257", "ON Semiconductor")</f>
        <v>ON Semiconductor</v>
      </c>
      <c r="C29063" s="6">
        <v>3000</v>
      </c>
      <c r="D29063" s="7">
        <v>0.57999999999999996</v>
      </c>
      <c r="E29063" t="s">
        <v>64</v>
      </c>
    </row>
    <row r="29064" spans="1:5" x14ac:dyDescent="0.25">
      <c r="A29064" t="str">
        <f>HYPERLINK("https://www.773grp.com/globalSearch/CAT93C46YI-GT3/page-1", "CAT93C46YI-GT3")</f>
        <v>CAT93C46YI-GT3</v>
      </c>
      <c r="B29064" s="3" t="str">
        <f>HYPERLINK("https://www.773grp.com/manufacturer/onsemi?pageNo=1258", "ON Semiconductor")</f>
        <v>ON Semiconductor</v>
      </c>
      <c r="C29064" s="6">
        <v>2680</v>
      </c>
      <c r="D29064" s="7">
        <v>0.57999999999999996</v>
      </c>
      <c r="E29064" t="s">
        <v>64</v>
      </c>
    </row>
    <row r="29065" spans="1:5" x14ac:dyDescent="0.25">
      <c r="A29065" t="str">
        <f>HYPERLINK("https://www.773grp.com/globalSearch/CAT93C66YI-G/page-1", "CAT93C66YI-G")</f>
        <v>CAT93C66YI-G</v>
      </c>
      <c r="B29065" s="3" t="str">
        <f>HYPERLINK("https://www.773grp.com/manufacturer/onsemi?pageNo=1259", "ON Semiconductor")</f>
        <v>ON Semiconductor</v>
      </c>
      <c r="C29065" s="6">
        <v>9900</v>
      </c>
      <c r="D29065" s="7">
        <v>0.57999999999999996</v>
      </c>
    </row>
    <row r="29066" spans="1:5" x14ac:dyDescent="0.25">
      <c r="A29066" t="str">
        <f>HYPERLINK("https://www.773grp.com/globalSearch/CM1213A-01SO/page-1", "CM1213A-01SO")</f>
        <v>CM1213A-01SO</v>
      </c>
      <c r="B29066" s="3" t="str">
        <f>HYPERLINK("https://www.773grp.com/manufacturer/onsemi?pageNo=1260", "ON Semiconductor")</f>
        <v>ON Semiconductor</v>
      </c>
      <c r="C29066" s="6">
        <v>16152</v>
      </c>
      <c r="D29066" s="7">
        <v>0.57999999999999996</v>
      </c>
    </row>
    <row r="29067" spans="1:5" x14ac:dyDescent="0.25">
      <c r="A29067" t="str">
        <f>HYPERLINK("https://www.773grp.com/globalSearch/CM1213A-02SO/page-1", "CM1213A-02SO")</f>
        <v>CM1213A-02SO</v>
      </c>
      <c r="B29067" s="3" t="str">
        <f>HYPERLINK("https://www.773grp.com/manufacturer/onsemi?pageNo=1261", "ON Semiconductor")</f>
        <v>ON Semiconductor</v>
      </c>
      <c r="C29067" s="6">
        <v>67700</v>
      </c>
      <c r="D29067" s="7">
        <v>0.57999999999999996</v>
      </c>
    </row>
    <row r="29068" spans="1:5" x14ac:dyDescent="0.25">
      <c r="A29068" t="str">
        <f>HYPERLINK("https://www.773grp.com/globalSearch/CM1213A-02SR/page-1", "CM1213A-02SR")</f>
        <v>CM1213A-02SR</v>
      </c>
      <c r="B29068" s="3" t="str">
        <f>HYPERLINK("https://www.773grp.com/manufacturer/onsemi?pageNo=1262", "ON Semiconductor")</f>
        <v>ON Semiconductor</v>
      </c>
      <c r="C29068" s="6">
        <v>36000</v>
      </c>
      <c r="D29068" s="7">
        <v>0.57999999999999996</v>
      </c>
      <c r="E29068" t="s">
        <v>96</v>
      </c>
    </row>
    <row r="29069" spans="1:5" x14ac:dyDescent="0.25">
      <c r="A29069" t="str">
        <f>HYPERLINK("https://www.773grp.com/globalSearch/CM1214A-01SO/page-1", "CM1214A-01SO")</f>
        <v>CM1214A-01SO</v>
      </c>
      <c r="B29069" s="3" t="str">
        <f>HYPERLINK("https://www.773grp.com/manufacturer/onsemi?pageNo=1263", "ON Semiconductor")</f>
        <v>ON Semiconductor</v>
      </c>
      <c r="C29069" s="6">
        <v>59940</v>
      </c>
      <c r="D29069" s="7">
        <v>0.57999999999999996</v>
      </c>
      <c r="E29069" t="s">
        <v>96</v>
      </c>
    </row>
    <row r="29070" spans="1:5" x14ac:dyDescent="0.25">
      <c r="A29070" t="str">
        <f>HYPERLINK("https://www.773grp.com/globalSearch/CM1214A-02MR/page-1", "CM1214A-02MR")</f>
        <v>CM1214A-02MR</v>
      </c>
      <c r="B29070" s="3" t="str">
        <f>HYPERLINK("https://www.773grp.com/manufacturer/onsemi?pageNo=1264", "ON Semiconductor")</f>
        <v>ON Semiconductor</v>
      </c>
      <c r="C29070" s="6">
        <v>18060</v>
      </c>
      <c r="D29070" s="7">
        <v>0.57999999999999996</v>
      </c>
    </row>
    <row r="29071" spans="1:5" x14ac:dyDescent="0.25">
      <c r="A29071" t="str">
        <f>HYPERLINK("https://www.773grp.com/globalSearch/CM1485-02SE/page-1", "CM1485-02SE")</f>
        <v>CM1485-02SE</v>
      </c>
      <c r="B29071" s="3" t="str">
        <f>HYPERLINK("https://www.773grp.com/manufacturer/onsemi?pageNo=1265", "ON Semiconductor")</f>
        <v>ON Semiconductor</v>
      </c>
      <c r="C29071" s="6">
        <v>12850</v>
      </c>
      <c r="D29071" s="7">
        <v>0.57999999999999996</v>
      </c>
      <c r="E29071" t="s">
        <v>100</v>
      </c>
    </row>
    <row r="29072" spans="1:5" x14ac:dyDescent="0.25">
      <c r="A29072" t="str">
        <f>HYPERLINK("https://www.773grp.com/globalSearch/EMH2408-TL-H/page-1", "EMH2408-TL-H")</f>
        <v>EMH2408-TL-H</v>
      </c>
      <c r="B29072" s="3" t="str">
        <f>HYPERLINK("https://www.773grp.com/manufacturer/onsemi?pageNo=1266", "ON Semiconductor")</f>
        <v>ON Semiconductor</v>
      </c>
      <c r="C29072" s="6">
        <v>9000</v>
      </c>
      <c r="D29072" s="7">
        <v>0.57999999999999996</v>
      </c>
    </row>
    <row r="29073" spans="1:5" x14ac:dyDescent="0.25">
      <c r="A29073" t="str">
        <f>HYPERLINK("https://www.773grp.com/globalSearch/EMI5204MUTAG/page-1", "EMI5204MUTAG")</f>
        <v>EMI5204MUTAG</v>
      </c>
      <c r="B29073" s="3" t="str">
        <f>HYPERLINK("https://www.773grp.com/manufacturer/onsemi?pageNo=1267", "ON Semiconductor")</f>
        <v>ON Semiconductor</v>
      </c>
      <c r="C29073" s="6">
        <v>102000</v>
      </c>
      <c r="D29073" s="7">
        <v>0.57999999999999996</v>
      </c>
    </row>
    <row r="29074" spans="1:5" x14ac:dyDescent="0.25">
      <c r="A29074" t="str">
        <f>HYPERLINK("https://www.773grp.com/globalSearch/FMC33202D/page-1", "FMC33202D")</f>
        <v>FMC33202D</v>
      </c>
      <c r="B29074" s="3" t="str">
        <f>HYPERLINK("https://www.773grp.com/manufacturer/onsemi?pageNo=1268", "ON Semiconductor")</f>
        <v>ON Semiconductor</v>
      </c>
      <c r="C29074" s="6">
        <v>1762</v>
      </c>
      <c r="D29074" s="7">
        <v>0.57999999999999996</v>
      </c>
    </row>
    <row r="29075" spans="1:5" x14ac:dyDescent="0.25">
      <c r="A29075" t="str">
        <f>HYPERLINK("https://www.773grp.com/globalSearch/LM2931Z-5.0/page-1", "LM2931Z-5.0")</f>
        <v>LM2931Z-5.0</v>
      </c>
      <c r="B29075" s="3" t="str">
        <f>HYPERLINK("https://www.773grp.com/manufacturer/onsemi?pageNo=1269", "ON Semiconductor")</f>
        <v>ON Semiconductor</v>
      </c>
      <c r="C29075" s="6">
        <v>2545</v>
      </c>
      <c r="D29075" s="7">
        <v>0.57999999999999996</v>
      </c>
      <c r="E29075" t="s">
        <v>19</v>
      </c>
    </row>
    <row r="29076" spans="1:5" x14ac:dyDescent="0.25">
      <c r="A29076" t="str">
        <f>HYPERLINK("https://www.773grp.com/globalSearch/LM2931Z-5.0/page-1", "LM2931Z-5.0")</f>
        <v>LM2931Z-5.0</v>
      </c>
      <c r="B29076" s="3" t="str">
        <f>HYPERLINK("https://www.773grp.com/manufacturer/onsemi?pageNo=1270", "ON Semiconductor")</f>
        <v>ON Semiconductor</v>
      </c>
      <c r="C29076" s="6">
        <v>3375</v>
      </c>
      <c r="D29076" s="7">
        <v>0.57999999999999996</v>
      </c>
      <c r="E29076" t="s">
        <v>19</v>
      </c>
    </row>
    <row r="29077" spans="1:5" x14ac:dyDescent="0.25">
      <c r="A29077" t="str">
        <f>HYPERLINK("https://www.773grp.com/globalSearch/LM2931Z-5.0RA/page-1", "LM2931Z-5.0RA")</f>
        <v>LM2931Z-5.0RA</v>
      </c>
      <c r="B29077" s="3" t="str">
        <f>HYPERLINK("https://www.773grp.com/manufacturer/onsemi?pageNo=1271", "ON Semiconductor")</f>
        <v>ON Semiconductor</v>
      </c>
      <c r="C29077" s="6">
        <v>300000</v>
      </c>
      <c r="D29077" s="7">
        <v>0.57999999999999996</v>
      </c>
      <c r="E29077" t="s">
        <v>19</v>
      </c>
    </row>
    <row r="29078" spans="1:5" x14ac:dyDescent="0.25">
      <c r="A29078" t="str">
        <f>HYPERLINK("https://www.773grp.com/globalSearch/MAX803SQ293D3T1G/page-1", "MAX803SQ293D3T1G")</f>
        <v>MAX803SQ293D3T1G</v>
      </c>
      <c r="B29078" s="3" t="str">
        <f>HYPERLINK("https://www.773grp.com/manufacturer/onsemi?pageNo=1272", "ON Semiconductor")</f>
        <v>ON Semiconductor</v>
      </c>
      <c r="C29078" s="6">
        <v>6000</v>
      </c>
      <c r="D29078" s="7">
        <v>0.57999999999999996</v>
      </c>
    </row>
    <row r="29079" spans="1:5" x14ac:dyDescent="0.25">
      <c r="A29079" t="str">
        <f>HYPERLINK("https://www.773grp.com/globalSearch/MAX809SN293D3T1G/page-1", "MAX809SN293D3T1G")</f>
        <v>MAX809SN293D3T1G</v>
      </c>
      <c r="B29079" s="3" t="str">
        <f>HYPERLINK("https://www.773grp.com/manufacturer/onsemi?pageNo=1273", "ON Semiconductor")</f>
        <v>ON Semiconductor</v>
      </c>
      <c r="C29079" s="6">
        <v>3000</v>
      </c>
      <c r="D29079" s="7">
        <v>0.57999999999999996</v>
      </c>
      <c r="E29079" t="s">
        <v>30</v>
      </c>
    </row>
    <row r="29080" spans="1:5" x14ac:dyDescent="0.25">
      <c r="A29080" t="str">
        <f>HYPERLINK("https://www.773grp.com/globalSearch/MBD330DWT1/page-1", "MBD330DWT1")</f>
        <v>MBD330DWT1</v>
      </c>
      <c r="B29080" s="3" t="str">
        <f>HYPERLINK("https://www.773grp.com/manufacturer/onsemi?pageNo=1274", "ON Semiconductor")</f>
        <v>ON Semiconductor</v>
      </c>
      <c r="C29080" s="6">
        <v>24000</v>
      </c>
      <c r="D29080" s="7">
        <v>0.57999999999999996</v>
      </c>
    </row>
    <row r="29081" spans="1:5" x14ac:dyDescent="0.25">
      <c r="A29081" t="str">
        <f>HYPERLINK("https://www.773grp.com/globalSearch/MBD54DWT1G/page-1", "MBD54DWT1G")</f>
        <v>MBD54DWT1G</v>
      </c>
      <c r="B29081" s="3" t="str">
        <f>HYPERLINK("https://www.773grp.com/manufacturer/onsemi?pageNo=1275", "ON Semiconductor")</f>
        <v>ON Semiconductor</v>
      </c>
      <c r="C29081" s="6">
        <v>367160</v>
      </c>
      <c r="D29081" s="7">
        <v>0.57999999999999996</v>
      </c>
      <c r="E29081" t="s">
        <v>94</v>
      </c>
    </row>
    <row r="29082" spans="1:5" x14ac:dyDescent="0.25">
      <c r="A29082" t="str">
        <f>HYPERLINK("https://www.773grp.com/globalSearch/MBR1100/page-1", "MBR1100")</f>
        <v>MBR1100</v>
      </c>
      <c r="B29082" s="3" t="str">
        <f>HYPERLINK("https://www.773grp.com/manufacturer/onsemi?pageNo=1276", "ON Semiconductor")</f>
        <v>ON Semiconductor</v>
      </c>
      <c r="C29082" s="6">
        <v>2000</v>
      </c>
      <c r="D29082" s="7">
        <v>0.57999999999999996</v>
      </c>
      <c r="E29082" t="s">
        <v>94</v>
      </c>
    </row>
    <row r="29083" spans="1:5" x14ac:dyDescent="0.25">
      <c r="A29083" t="str">
        <f>HYPERLINK("https://www.773grp.com/globalSearch/MBR1100G/page-1", "MBR1100G")</f>
        <v>MBR1100G</v>
      </c>
      <c r="B29083" s="3" t="str">
        <f>HYPERLINK("https://www.773grp.com/manufacturer/onsemi?pageNo=1277", "ON Semiconductor")</f>
        <v>ON Semiconductor</v>
      </c>
      <c r="C29083" s="6">
        <v>201000</v>
      </c>
      <c r="D29083" s="7">
        <v>0.57999999999999996</v>
      </c>
      <c r="E29083" t="s">
        <v>94</v>
      </c>
    </row>
    <row r="29084" spans="1:5" x14ac:dyDescent="0.25">
      <c r="A29084" t="str">
        <f>HYPERLINK("https://www.773grp.com/globalSearch/MBR1100RLG/page-1", "MBR1100RLG")</f>
        <v>MBR1100RLG</v>
      </c>
      <c r="B29084" s="3" t="str">
        <f>HYPERLINK("https://www.773grp.com/manufacturer/onsemi?pageNo=1278", "ON Semiconductor")</f>
        <v>ON Semiconductor</v>
      </c>
      <c r="C29084" s="6">
        <v>145000</v>
      </c>
      <c r="D29084" s="7">
        <v>0.57999999999999996</v>
      </c>
      <c r="E29084" t="s">
        <v>94</v>
      </c>
    </row>
    <row r="29085" spans="1:5" x14ac:dyDescent="0.25">
      <c r="A29085" t="str">
        <f>HYPERLINK("https://www.773grp.com/globalSearch/MBR835/page-1", "MBR835")</f>
        <v>MBR835</v>
      </c>
      <c r="B29085" s="3" t="str">
        <f>HYPERLINK("https://www.773grp.com/manufacturer/onsemi?pageNo=1279", "ON Semiconductor")</f>
        <v>ON Semiconductor</v>
      </c>
      <c r="C29085" s="6">
        <v>1055</v>
      </c>
      <c r="D29085" s="7">
        <v>0.57999999999999996</v>
      </c>
      <c r="E29085" t="s">
        <v>103</v>
      </c>
    </row>
    <row r="29086" spans="1:5" x14ac:dyDescent="0.25">
      <c r="A29086" t="str">
        <f>HYPERLINK("https://www.773grp.com/globalSearch/MBR835RL/page-1", "MBR835RL")</f>
        <v>MBR835RL</v>
      </c>
      <c r="B29086" s="3" t="str">
        <f>HYPERLINK("https://www.773grp.com/manufacturer/onsemi?pageNo=1280", "ON Semiconductor")</f>
        <v>ON Semiconductor</v>
      </c>
      <c r="C29086" s="6">
        <v>3000</v>
      </c>
      <c r="D29086" s="7">
        <v>0.57999999999999996</v>
      </c>
      <c r="E29086" t="s">
        <v>103</v>
      </c>
    </row>
    <row r="29087" spans="1:5" x14ac:dyDescent="0.25">
      <c r="A29087" t="str">
        <f>HYPERLINK("https://www.773grp.com/globalSearch/MBR840RL/page-1", "MBR840RL")</f>
        <v>MBR840RL</v>
      </c>
      <c r="B29087" s="3" t="str">
        <f>HYPERLINK("https://www.773grp.com/manufacturer/onsemi?pageNo=1281", "ON Semiconductor")</f>
        <v>ON Semiconductor</v>
      </c>
      <c r="C29087" s="6">
        <v>10000</v>
      </c>
      <c r="D29087" s="7">
        <v>0.57999999999999996</v>
      </c>
      <c r="E29087" t="s">
        <v>103</v>
      </c>
    </row>
    <row r="29088" spans="1:5" x14ac:dyDescent="0.25">
      <c r="A29088" t="str">
        <f>HYPERLINK("https://www.773grp.com/globalSearch/MBRS1100T3G/page-1", "MBRS1100T3G")</f>
        <v>MBRS1100T3G</v>
      </c>
      <c r="B29088" s="3" t="str">
        <f>HYPERLINK("https://www.773grp.com/manufacturer/onsemi?pageNo=1282", "ON Semiconductor")</f>
        <v>ON Semiconductor</v>
      </c>
      <c r="C29088" s="6">
        <v>155000</v>
      </c>
      <c r="D29088" s="7">
        <v>0.57999999999999996</v>
      </c>
      <c r="E29088" t="s">
        <v>103</v>
      </c>
    </row>
    <row r="29089" spans="1:5" x14ac:dyDescent="0.25">
      <c r="A29089" t="str">
        <f>HYPERLINK("https://www.773grp.com/globalSearch/MBRS130LT3/page-1", "MBRS130LT3")</f>
        <v>MBRS130LT3</v>
      </c>
      <c r="B29089" s="3" t="str">
        <f>HYPERLINK("https://www.773grp.com/manufacturer/onsemi?pageNo=1283", "ON Semiconductor")</f>
        <v>ON Semiconductor</v>
      </c>
      <c r="C29089" s="6">
        <v>7240</v>
      </c>
      <c r="D29089" s="7">
        <v>0.57999999999999996</v>
      </c>
      <c r="E29089" t="s">
        <v>103</v>
      </c>
    </row>
    <row r="29090" spans="1:5" x14ac:dyDescent="0.25">
      <c r="A29090" t="str">
        <f>HYPERLINK("https://www.773grp.com/globalSearch/MBRS130LT3G/page-1", "MBRS130LT3G")</f>
        <v>MBRS130LT3G</v>
      </c>
      <c r="B29090" s="3" t="str">
        <f>HYPERLINK("https://www.773grp.com/manufacturer/onsemi?pageNo=1284", "ON Semiconductor")</f>
        <v>ON Semiconductor</v>
      </c>
      <c r="C29090" s="6">
        <v>112500</v>
      </c>
      <c r="D29090" s="7">
        <v>0.57999999999999996</v>
      </c>
      <c r="E29090" t="s">
        <v>103</v>
      </c>
    </row>
    <row r="29091" spans="1:5" x14ac:dyDescent="0.25">
      <c r="A29091" t="str">
        <f>HYPERLINK("https://www.773grp.com/globalSearch/MBRS130T3G/page-1", "MBRS130T3G")</f>
        <v>MBRS130T3G</v>
      </c>
      <c r="B29091" s="3" t="str">
        <f>HYPERLINK("https://www.773grp.com/manufacturer/onsemi?pageNo=1285", "ON Semiconductor")</f>
        <v>ON Semiconductor</v>
      </c>
      <c r="C29091" s="6">
        <v>525332</v>
      </c>
      <c r="D29091" s="7">
        <v>0.57999999999999996</v>
      </c>
      <c r="E29091" t="s">
        <v>94</v>
      </c>
    </row>
    <row r="29092" spans="1:5" x14ac:dyDescent="0.25">
      <c r="A29092" t="str">
        <f>HYPERLINK("https://www.773grp.com/globalSearch/MBRS130T3H/page-1", "MBRS130T3H")</f>
        <v>MBRS130T3H</v>
      </c>
      <c r="B29092" s="3" t="str">
        <f>HYPERLINK("https://www.773grp.com/manufacturer/onsemi?pageNo=1286", "ON Semiconductor")</f>
        <v>ON Semiconductor</v>
      </c>
      <c r="C29092" s="6">
        <v>15000</v>
      </c>
      <c r="D29092" s="7">
        <v>0.57999999999999996</v>
      </c>
    </row>
    <row r="29093" spans="1:5" x14ac:dyDescent="0.25">
      <c r="A29093" t="str">
        <f>HYPERLINK("https://www.773grp.com/globalSearch/MBRS190T3G/page-1", "MBRS190T3G")</f>
        <v>MBRS190T3G</v>
      </c>
      <c r="B29093" s="3" t="str">
        <f>HYPERLINK("https://www.773grp.com/manufacturer/onsemi?pageNo=1287", "ON Semiconductor")</f>
        <v>ON Semiconductor</v>
      </c>
      <c r="C29093" s="6">
        <v>328805</v>
      </c>
      <c r="D29093" s="7">
        <v>0.57999999999999996</v>
      </c>
      <c r="E29093" t="s">
        <v>103</v>
      </c>
    </row>
    <row r="29094" spans="1:5" x14ac:dyDescent="0.25">
      <c r="A29094" t="str">
        <f>HYPERLINK("https://www.773grp.com/globalSearch/MBRS230LT3G/page-1", "MBRS230LT3G")</f>
        <v>MBRS230LT3G</v>
      </c>
      <c r="B29094" s="3" t="str">
        <f>HYPERLINK("https://www.773grp.com/manufacturer/onsemi?pageNo=1288", "ON Semiconductor")</f>
        <v>ON Semiconductor</v>
      </c>
      <c r="C29094" s="6">
        <v>875180</v>
      </c>
      <c r="D29094" s="7">
        <v>0.57999999999999996</v>
      </c>
      <c r="E29094" t="s">
        <v>103</v>
      </c>
    </row>
    <row r="29095" spans="1:5" x14ac:dyDescent="0.25">
      <c r="A29095" t="str">
        <f>HYPERLINK("https://www.773grp.com/globalSearch/MC14008BDR2/page-1", "MC14008BDR2")</f>
        <v>MC14008BDR2</v>
      </c>
      <c r="B29095" s="3" t="str">
        <f>HYPERLINK("https://www.773grp.com/manufacturer/onsemi?pageNo=1289", "ON Semiconductor")</f>
        <v>ON Semiconductor</v>
      </c>
      <c r="C29095" s="6">
        <v>3906</v>
      </c>
      <c r="D29095" s="7">
        <v>0.57999999999999996</v>
      </c>
      <c r="E29095" t="s">
        <v>43</v>
      </c>
    </row>
    <row r="29096" spans="1:5" x14ac:dyDescent="0.25">
      <c r="A29096" t="str">
        <f>HYPERLINK("https://www.773grp.com/globalSearch/MC14013BFL2/page-1", "MC14013BFL2")</f>
        <v>MC14013BFL2</v>
      </c>
      <c r="B29096" s="3" t="str">
        <f>HYPERLINK("https://www.773grp.com/manufacturer/onsemi?pageNo=1290", "ON Semiconductor")</f>
        <v>ON Semiconductor</v>
      </c>
      <c r="C29096" s="6">
        <v>8000</v>
      </c>
      <c r="D29096" s="7">
        <v>0.57999999999999996</v>
      </c>
      <c r="E29096" t="s">
        <v>35</v>
      </c>
    </row>
    <row r="29097" spans="1:5" x14ac:dyDescent="0.25">
      <c r="A29097" t="str">
        <f>HYPERLINK("https://www.773grp.com/globalSearch/MC14013BFR1/page-1", "MC14013BFR1")</f>
        <v>MC14013BFR1</v>
      </c>
      <c r="B29097" s="3" t="str">
        <f>HYPERLINK("https://www.773grp.com/manufacturer/onsemi?pageNo=1291", "ON Semiconductor")</f>
        <v>ON Semiconductor</v>
      </c>
      <c r="C29097" s="6">
        <v>6000</v>
      </c>
      <c r="D29097" s="7">
        <v>0.57999999999999996</v>
      </c>
      <c r="E29097" t="s">
        <v>35</v>
      </c>
    </row>
    <row r="29098" spans="1:5" x14ac:dyDescent="0.25">
      <c r="A29098" t="str">
        <f>HYPERLINK("https://www.773grp.com/globalSearch/MC14015BCP/page-1", "MC14015BCP")</f>
        <v>MC14015BCP</v>
      </c>
      <c r="B29098" s="3" t="str">
        <f>HYPERLINK("https://www.773grp.com/manufacturer/onsemi?pageNo=1292", "ON Semiconductor")</f>
        <v>ON Semiconductor</v>
      </c>
      <c r="C29098" s="6">
        <v>9830</v>
      </c>
      <c r="D29098" s="7">
        <v>0.57999999999999996</v>
      </c>
      <c r="E29098" t="s">
        <v>32</v>
      </c>
    </row>
    <row r="29099" spans="1:5" x14ac:dyDescent="0.25">
      <c r="A29099" t="str">
        <f>HYPERLINK("https://www.773grp.com/globalSearch/MC14023BF/page-1", "MC14023BF")</f>
        <v>MC14023BF</v>
      </c>
      <c r="B29099" s="3" t="str">
        <f>HYPERLINK("https://www.773grp.com/manufacturer/onsemi?pageNo=1293", "ON Semiconductor")</f>
        <v>ON Semiconductor</v>
      </c>
      <c r="C29099" s="6">
        <v>912</v>
      </c>
      <c r="D29099" s="7">
        <v>0.57999999999999996</v>
      </c>
    </row>
    <row r="29100" spans="1:5" x14ac:dyDescent="0.25">
      <c r="A29100" t="str">
        <f>HYPERLINK("https://www.773grp.com/globalSearch/MC14023BFL1/page-1", "MC14023BFL1")</f>
        <v>MC14023BFL1</v>
      </c>
      <c r="B29100" s="3" t="str">
        <f>HYPERLINK("https://www.773grp.com/manufacturer/onsemi?pageNo=1294", "ON Semiconductor")</f>
        <v>ON Semiconductor</v>
      </c>
      <c r="C29100" s="6">
        <v>2000</v>
      </c>
      <c r="D29100" s="7">
        <v>0.57999999999999996</v>
      </c>
    </row>
    <row r="29101" spans="1:5" x14ac:dyDescent="0.25">
      <c r="A29101" t="str">
        <f>HYPERLINK("https://www.773grp.com/globalSearch/MC14025BF/page-1", "MC14025BF")</f>
        <v>MC14025BF</v>
      </c>
      <c r="B29101" s="3" t="str">
        <f>HYPERLINK("https://www.773grp.com/manufacturer/onsemi?pageNo=1295", "ON Semiconductor")</f>
        <v>ON Semiconductor</v>
      </c>
      <c r="C29101" s="6">
        <v>8465</v>
      </c>
      <c r="D29101" s="7">
        <v>0.57999999999999996</v>
      </c>
    </row>
    <row r="29102" spans="1:5" x14ac:dyDescent="0.25">
      <c r="A29102" t="str">
        <f>HYPERLINK("https://www.773grp.com/globalSearch/MC14043BCP/page-1", "MC14043BCP")</f>
        <v>MC14043BCP</v>
      </c>
      <c r="B29102" s="3" t="str">
        <f>HYPERLINK("https://www.773grp.com/manufacturer/onsemi?pageNo=1296", "ON Semiconductor")</f>
        <v>ON Semiconductor</v>
      </c>
      <c r="C29102" s="6">
        <v>874</v>
      </c>
      <c r="D29102" s="7">
        <v>0.57999999999999996</v>
      </c>
      <c r="E29102" t="s">
        <v>35</v>
      </c>
    </row>
    <row r="29103" spans="1:5" x14ac:dyDescent="0.25">
      <c r="A29103" t="str">
        <f>HYPERLINK("https://www.773grp.com/globalSearch/MC14049UBDT/page-1", "MC14049UBDT")</f>
        <v>MC14049UBDT</v>
      </c>
      <c r="B29103" s="3" t="str">
        <f>HYPERLINK("https://www.773grp.com/manufacturer/onsemi?pageNo=1297", "ON Semiconductor")</f>
        <v>ON Semiconductor</v>
      </c>
      <c r="C29103" s="6">
        <v>5356</v>
      </c>
      <c r="D29103" s="7">
        <v>0.57999999999999996</v>
      </c>
      <c r="E29103" t="s">
        <v>31</v>
      </c>
    </row>
    <row r="29104" spans="1:5" x14ac:dyDescent="0.25">
      <c r="A29104" t="str">
        <f>HYPERLINK("https://www.773grp.com/globalSearch/MC14053BDT/page-1", "MC14053BDT")</f>
        <v>MC14053BDT</v>
      </c>
      <c r="B29104" s="3" t="str">
        <f>HYPERLINK("https://www.773grp.com/manufacturer/onsemi?pageNo=1298", "ON Semiconductor")</f>
        <v>ON Semiconductor</v>
      </c>
      <c r="C29104" s="6">
        <v>4320</v>
      </c>
      <c r="D29104" s="7">
        <v>0.57999999999999996</v>
      </c>
      <c r="E29104" t="s">
        <v>56</v>
      </c>
    </row>
    <row r="29105" spans="1:5" x14ac:dyDescent="0.25">
      <c r="A29105" t="str">
        <f>HYPERLINK("https://www.773grp.com/globalSearch/MC14066BDTEL/page-1", "MC14066BDTEL")</f>
        <v>MC14066BDTEL</v>
      </c>
      <c r="B29105" s="3" t="str">
        <f>HYPERLINK("https://www.773grp.com/manufacturer/onsemi?pageNo=1299", "ON Semiconductor")</f>
        <v>ON Semiconductor</v>
      </c>
      <c r="C29105" s="6">
        <v>109000</v>
      </c>
      <c r="D29105" s="7">
        <v>0.57999999999999996</v>
      </c>
      <c r="E29105" t="s">
        <v>56</v>
      </c>
    </row>
    <row r="29106" spans="1:5" x14ac:dyDescent="0.25">
      <c r="A29106" t="str">
        <f>HYPERLINK("https://www.773grp.com/globalSearch/MC14070BFL2/page-1", "MC14070BFL2")</f>
        <v>MC14070BFL2</v>
      </c>
      <c r="B29106" s="3" t="str">
        <f>HYPERLINK("https://www.773grp.com/manufacturer/onsemi?pageNo=1300", "ON Semiconductor")</f>
        <v>ON Semiconductor</v>
      </c>
      <c r="C29106" s="6">
        <v>6000</v>
      </c>
      <c r="D29106" s="7">
        <v>0.57999999999999996</v>
      </c>
      <c r="E29106" t="s">
        <v>31</v>
      </c>
    </row>
    <row r="29107" spans="1:5" x14ac:dyDescent="0.25">
      <c r="A29107" t="str">
        <f>HYPERLINK("https://www.773grp.com/globalSearch/MC14070BFR1/page-1", "MC14070BFR1")</f>
        <v>MC14070BFR1</v>
      </c>
      <c r="B29107" s="3" t="str">
        <f>HYPERLINK("https://www.773grp.com/manufacturer/onsemi?pageNo=1301", "ON Semiconductor")</f>
        <v>ON Semiconductor</v>
      </c>
      <c r="C29107" s="6">
        <v>10000</v>
      </c>
      <c r="D29107" s="7">
        <v>0.57999999999999996</v>
      </c>
      <c r="E29107" t="s">
        <v>31</v>
      </c>
    </row>
    <row r="29108" spans="1:5" x14ac:dyDescent="0.25">
      <c r="A29108" t="str">
        <f>HYPERLINK("https://www.773grp.com/globalSearch/MC14071BFL1/page-1", "MC14071BFL1")</f>
        <v>MC14071BFL1</v>
      </c>
      <c r="B29108" s="3" t="str">
        <f>HYPERLINK("https://www.773grp.com/manufacturer/onsemi?pageNo=1302", "ON Semiconductor")</f>
        <v>ON Semiconductor</v>
      </c>
      <c r="C29108" s="6">
        <v>4000</v>
      </c>
      <c r="D29108" s="7">
        <v>0.57999999999999996</v>
      </c>
      <c r="E29108" t="s">
        <v>31</v>
      </c>
    </row>
    <row r="29109" spans="1:5" x14ac:dyDescent="0.25">
      <c r="A29109" t="str">
        <f>HYPERLINK("https://www.773grp.com/globalSearch/MC14071BFR2/page-1", "MC14071BFR2")</f>
        <v>MC14071BFR2</v>
      </c>
      <c r="B29109" s="3" t="str">
        <f>HYPERLINK("https://www.773grp.com/manufacturer/onsemi?pageNo=1303", "ON Semiconductor")</f>
        <v>ON Semiconductor</v>
      </c>
      <c r="C29109" s="6">
        <v>8000</v>
      </c>
      <c r="D29109" s="7">
        <v>0.57999999999999996</v>
      </c>
      <c r="E29109" t="s">
        <v>31</v>
      </c>
    </row>
    <row r="29110" spans="1:5" x14ac:dyDescent="0.25">
      <c r="A29110" t="str">
        <f>HYPERLINK("https://www.773grp.com/globalSearch/MC14072BF/page-1", "MC14072BF")</f>
        <v>MC14072BF</v>
      </c>
      <c r="B29110" s="3" t="str">
        <f>HYPERLINK("https://www.773grp.com/manufacturer/onsemi?pageNo=1304", "ON Semiconductor")</f>
        <v>ON Semiconductor</v>
      </c>
      <c r="C29110" s="6">
        <v>4322</v>
      </c>
      <c r="D29110" s="7">
        <v>0.57999999999999996</v>
      </c>
    </row>
    <row r="29111" spans="1:5" x14ac:dyDescent="0.25">
      <c r="A29111" t="str">
        <f>HYPERLINK("https://www.773grp.com/globalSearch/MC14072BFL1/page-1", "MC14072BFL1")</f>
        <v>MC14072BFL1</v>
      </c>
      <c r="B29111" s="3" t="str">
        <f>HYPERLINK("https://www.773grp.com/manufacturer/onsemi?pageNo=1305", "ON Semiconductor")</f>
        <v>ON Semiconductor</v>
      </c>
      <c r="C29111" s="6">
        <v>4000</v>
      </c>
      <c r="D29111" s="7">
        <v>0.57999999999999996</v>
      </c>
    </row>
    <row r="29112" spans="1:5" x14ac:dyDescent="0.25">
      <c r="A29112" t="str">
        <f>HYPERLINK("https://www.773grp.com/globalSearch/MC14078BF/page-1", "MC14078BF")</f>
        <v>MC14078BF</v>
      </c>
      <c r="B29112" s="3" t="str">
        <f>HYPERLINK("https://www.773grp.com/manufacturer/onsemi?pageNo=1306", "ON Semiconductor")</f>
        <v>ON Semiconductor</v>
      </c>
      <c r="C29112" s="6">
        <v>2177</v>
      </c>
      <c r="D29112" s="7">
        <v>0.57999999999999996</v>
      </c>
    </row>
    <row r="29113" spans="1:5" x14ac:dyDescent="0.25">
      <c r="A29113" t="str">
        <f>HYPERLINK("https://www.773grp.com/globalSearch/MC14078BFEL/page-1", "MC14078BFEL")</f>
        <v>MC14078BFEL</v>
      </c>
      <c r="B29113" s="3" t="str">
        <f>HYPERLINK("https://www.773grp.com/manufacturer/onsemi?pageNo=1307", "ON Semiconductor")</f>
        <v>ON Semiconductor</v>
      </c>
      <c r="C29113" s="6">
        <v>4000</v>
      </c>
      <c r="D29113" s="7">
        <v>0.57999999999999996</v>
      </c>
    </row>
    <row r="29114" spans="1:5" x14ac:dyDescent="0.25">
      <c r="A29114" t="str">
        <f>HYPERLINK("https://www.773grp.com/globalSearch/MC14081BFL1/page-1", "MC14081BFL1")</f>
        <v>MC14081BFL1</v>
      </c>
      <c r="B29114" s="3" t="str">
        <f>HYPERLINK("https://www.773grp.com/manufacturer/onsemi?pageNo=1308", "ON Semiconductor")</f>
        <v>ON Semiconductor</v>
      </c>
      <c r="C29114" s="6">
        <v>8000</v>
      </c>
      <c r="D29114" s="7">
        <v>0.57999999999999996</v>
      </c>
      <c r="E29114" t="s">
        <v>31</v>
      </c>
    </row>
    <row r="29115" spans="1:5" x14ac:dyDescent="0.25">
      <c r="A29115" t="str">
        <f>HYPERLINK("https://www.773grp.com/globalSearch/MC14081BFR1/page-1", "MC14081BFR1")</f>
        <v>MC14081BFR1</v>
      </c>
      <c r="B29115" s="3" t="str">
        <f>HYPERLINK("https://www.773grp.com/manufacturer/onsemi?pageNo=1309", "ON Semiconductor")</f>
        <v>ON Semiconductor</v>
      </c>
      <c r="C29115" s="6">
        <v>7000</v>
      </c>
      <c r="D29115" s="7">
        <v>0.57999999999999996</v>
      </c>
      <c r="E29115" t="s">
        <v>31</v>
      </c>
    </row>
    <row r="29116" spans="1:5" x14ac:dyDescent="0.25">
      <c r="A29116" t="str">
        <f>HYPERLINK("https://www.773grp.com/globalSearch/MC14081BFR2/page-1", "MC14081BFR2")</f>
        <v>MC14081BFR2</v>
      </c>
      <c r="B29116" s="3" t="str">
        <f>HYPERLINK("https://www.773grp.com/manufacturer/onsemi?pageNo=1310", "ON Semiconductor")</f>
        <v>ON Semiconductor</v>
      </c>
      <c r="C29116" s="6">
        <v>10000</v>
      </c>
      <c r="D29116" s="7">
        <v>0.57999999999999996</v>
      </c>
      <c r="E29116" t="s">
        <v>31</v>
      </c>
    </row>
    <row r="29117" spans="1:5" x14ac:dyDescent="0.25">
      <c r="A29117" t="str">
        <f>HYPERLINK("https://www.773grp.com/globalSearch/MC14082BF/page-1", "MC14082BF")</f>
        <v>MC14082BF</v>
      </c>
      <c r="B29117" s="3" t="str">
        <f>HYPERLINK("https://www.773grp.com/manufacturer/onsemi?pageNo=1311", "ON Semiconductor")</f>
        <v>ON Semiconductor</v>
      </c>
      <c r="C29117" s="6">
        <v>7650</v>
      </c>
      <c r="D29117" s="7">
        <v>0.57999999999999996</v>
      </c>
      <c r="E29117" t="s">
        <v>31</v>
      </c>
    </row>
    <row r="29118" spans="1:5" x14ac:dyDescent="0.25">
      <c r="A29118" t="str">
        <f>HYPERLINK("https://www.773grp.com/globalSearch/MC14082BFEL/page-1", "MC14082BFEL")</f>
        <v>MC14082BFEL</v>
      </c>
      <c r="B29118" s="3" t="str">
        <f>HYPERLINK("https://www.773grp.com/manufacturer/onsemi?pageNo=1312", "ON Semiconductor")</f>
        <v>ON Semiconductor</v>
      </c>
      <c r="C29118" s="6">
        <v>9200</v>
      </c>
      <c r="D29118" s="7">
        <v>0.57999999999999996</v>
      </c>
    </row>
    <row r="29119" spans="1:5" x14ac:dyDescent="0.25">
      <c r="A29119" t="str">
        <f>HYPERLINK("https://www.773grp.com/globalSearch/MC14094BCP/page-1", "MC14094BCP")</f>
        <v>MC14094BCP</v>
      </c>
      <c r="B29119" s="3" t="str">
        <f>HYPERLINK("https://www.773grp.com/manufacturer/onsemi?pageNo=1313", "ON Semiconductor")</f>
        <v>ON Semiconductor</v>
      </c>
      <c r="C29119" s="6">
        <v>794</v>
      </c>
      <c r="D29119" s="7">
        <v>0.57999999999999996</v>
      </c>
      <c r="E29119" t="s">
        <v>32</v>
      </c>
    </row>
    <row r="29120" spans="1:5" x14ac:dyDescent="0.25">
      <c r="A29120" t="str">
        <f>HYPERLINK("https://www.773grp.com/globalSearch/MC14094BF/page-1", "MC14094BF")</f>
        <v>MC14094BF</v>
      </c>
      <c r="B29120" s="3" t="str">
        <f>HYPERLINK("https://www.773grp.com/manufacturer/onsemi?pageNo=1314", "ON Semiconductor")</f>
        <v>ON Semiconductor</v>
      </c>
      <c r="C29120" s="6">
        <v>1286</v>
      </c>
      <c r="D29120" s="7">
        <v>0.57999999999999996</v>
      </c>
      <c r="E29120" t="s">
        <v>32</v>
      </c>
    </row>
    <row r="29121" spans="1:5" x14ac:dyDescent="0.25">
      <c r="A29121" t="str">
        <f>HYPERLINK("https://www.773grp.com/globalSearch/MC14094BFEL/page-1", "MC14094BFEL")</f>
        <v>MC14094BFEL</v>
      </c>
      <c r="B29121" s="3" t="str">
        <f>HYPERLINK("https://www.773grp.com/manufacturer/onsemi?pageNo=1315", "ON Semiconductor")</f>
        <v>ON Semiconductor</v>
      </c>
      <c r="C29121" s="6">
        <v>10096</v>
      </c>
      <c r="D29121" s="7">
        <v>0.57999999999999996</v>
      </c>
      <c r="E29121" t="s">
        <v>32</v>
      </c>
    </row>
    <row r="29122" spans="1:5" x14ac:dyDescent="0.25">
      <c r="A29122" t="str">
        <f>HYPERLINK("https://www.773grp.com/globalSearch/MC14175BCP/page-1", "MC14175BCP")</f>
        <v>MC14175BCP</v>
      </c>
      <c r="B29122" s="3" t="str">
        <f>HYPERLINK("https://www.773grp.com/manufacturer/onsemi?pageNo=1316", "ON Semiconductor")</f>
        <v>ON Semiconductor</v>
      </c>
      <c r="C29122" s="6">
        <v>239</v>
      </c>
      <c r="D29122" s="7">
        <v>0.57999999999999996</v>
      </c>
      <c r="E29122" t="s">
        <v>35</v>
      </c>
    </row>
    <row r="29123" spans="1:5" x14ac:dyDescent="0.25">
      <c r="A29123" t="str">
        <f>HYPERLINK("https://www.773grp.com/globalSearch/MC14541BFL1/page-1", "MC14541BFL1")</f>
        <v>MC14541BFL1</v>
      </c>
      <c r="B29123" s="3" t="str">
        <f>HYPERLINK("https://www.773grp.com/manufacturer/onsemi?pageNo=1317", "ON Semiconductor")</f>
        <v>ON Semiconductor</v>
      </c>
      <c r="C29123" s="6">
        <v>2000</v>
      </c>
      <c r="D29123" s="7">
        <v>0.57999999999999996</v>
      </c>
      <c r="E29123" t="s">
        <v>82</v>
      </c>
    </row>
    <row r="29124" spans="1:5" x14ac:dyDescent="0.25">
      <c r="A29124" t="str">
        <f>HYPERLINK("https://www.773grp.com/globalSearch/MC14572UBD/page-1", "MC14572UBD")</f>
        <v>MC14572UBD</v>
      </c>
      <c r="B29124" s="3" t="str">
        <f>HYPERLINK("https://www.773grp.com/manufacturer/onsemi?pageNo=1318", "ON Semiconductor")</f>
        <v>ON Semiconductor</v>
      </c>
      <c r="C29124" s="6">
        <v>1296</v>
      </c>
      <c r="D29124" s="7">
        <v>0.57999999999999996</v>
      </c>
      <c r="E29124" t="s">
        <v>31</v>
      </c>
    </row>
    <row r="29125" spans="1:5" x14ac:dyDescent="0.25">
      <c r="A29125" t="str">
        <f>HYPERLINK("https://www.773grp.com/globalSearch/MC1458D/page-1", "MC1458D")</f>
        <v>MC1458D</v>
      </c>
      <c r="B29125" s="3" t="str">
        <f>HYPERLINK("https://www.773grp.com/manufacturer/onsemi?pageNo=1319", "ON Semiconductor")</f>
        <v>ON Semiconductor</v>
      </c>
      <c r="C29125" s="6">
        <v>1790</v>
      </c>
      <c r="D29125" s="7">
        <v>0.57999999999999996</v>
      </c>
      <c r="E29125" t="s">
        <v>13</v>
      </c>
    </row>
    <row r="29126" spans="1:5" x14ac:dyDescent="0.25">
      <c r="A29126" t="str">
        <f>HYPERLINK("https://www.773grp.com/globalSearch/MC1458DR2/page-1", "MC1458DR2")</f>
        <v>MC1458DR2</v>
      </c>
      <c r="B29126" s="3" t="str">
        <f>HYPERLINK("https://www.773grp.com/manufacturer/onsemi?pageNo=1320", "ON Semiconductor")</f>
        <v>ON Semiconductor</v>
      </c>
      <c r="C29126" s="6">
        <v>72095</v>
      </c>
      <c r="D29126" s="7">
        <v>0.57999999999999996</v>
      </c>
      <c r="E29126" t="s">
        <v>13</v>
      </c>
    </row>
    <row r="29127" spans="1:5" x14ac:dyDescent="0.25">
      <c r="A29127" t="str">
        <f>HYPERLINK("https://www.773grp.com/globalSearch/MC1458P1/page-1", "MC1458P1")</f>
        <v>MC1458P1</v>
      </c>
      <c r="B29127" s="3" t="str">
        <f>HYPERLINK("https://www.773grp.com/manufacturer/onsemi?pageNo=1321", "ON Semiconductor")</f>
        <v>ON Semiconductor</v>
      </c>
      <c r="C29127" s="6">
        <v>10587</v>
      </c>
      <c r="D29127" s="7">
        <v>0.57999999999999996</v>
      </c>
      <c r="E29127" t="s">
        <v>13</v>
      </c>
    </row>
    <row r="29128" spans="1:5" x14ac:dyDescent="0.25">
      <c r="A29128" t="str">
        <f>HYPERLINK("https://www.773grp.com/globalSearch/MC74AC138M/page-1", "MC74AC138M")</f>
        <v>MC74AC138M</v>
      </c>
      <c r="B29128" s="3" t="str">
        <f>HYPERLINK("https://www.773grp.com/manufacturer/onsemi?pageNo=1322", "ON Semiconductor")</f>
        <v>ON Semiconductor</v>
      </c>
      <c r="C29128" s="6">
        <v>5050</v>
      </c>
      <c r="D29128" s="7">
        <v>0.57999999999999996</v>
      </c>
      <c r="E29128" t="s">
        <v>36</v>
      </c>
    </row>
    <row r="29129" spans="1:5" x14ac:dyDescent="0.25">
      <c r="A29129" t="str">
        <f>HYPERLINK("https://www.773grp.com/globalSearch/MC74AC174DR2/page-1", "MC74AC174DR2")</f>
        <v>MC74AC174DR2</v>
      </c>
      <c r="B29129" s="3" t="str">
        <f>HYPERLINK("https://www.773grp.com/manufacturer/onsemi?pageNo=1323", "ON Semiconductor")</f>
        <v>ON Semiconductor</v>
      </c>
      <c r="C29129" s="6">
        <v>1330</v>
      </c>
      <c r="D29129" s="7">
        <v>0.57999999999999996</v>
      </c>
      <c r="E29129" t="s">
        <v>35</v>
      </c>
    </row>
    <row r="29130" spans="1:5" x14ac:dyDescent="0.25">
      <c r="A29130" t="str">
        <f>HYPERLINK("https://www.773grp.com/globalSearch/MC74AC240N/page-1", "MC74AC240N")</f>
        <v>MC74AC240N</v>
      </c>
      <c r="B29130" s="3" t="str">
        <f>HYPERLINK("https://www.773grp.com/manufacturer/onsemi?pageNo=1324", "ON Semiconductor")</f>
        <v>ON Semiconductor</v>
      </c>
      <c r="C29130" s="6">
        <v>4458</v>
      </c>
      <c r="D29130" s="7">
        <v>0.57999999999999996</v>
      </c>
      <c r="E29130" t="s">
        <v>14</v>
      </c>
    </row>
    <row r="29131" spans="1:5" x14ac:dyDescent="0.25">
      <c r="A29131" t="str">
        <f>HYPERLINK("https://www.773grp.com/globalSearch/MC74AC573MEL/page-1", "MC74AC573MEL")</f>
        <v>MC74AC573MEL</v>
      </c>
      <c r="B29131" s="3" t="str">
        <f>HYPERLINK("https://www.773grp.com/manufacturer/onsemi?pageNo=1325", "ON Semiconductor")</f>
        <v>ON Semiconductor</v>
      </c>
      <c r="C29131" s="6">
        <v>6000</v>
      </c>
      <c r="D29131" s="7">
        <v>0.57999999999999996</v>
      </c>
      <c r="E29131" t="s">
        <v>14</v>
      </c>
    </row>
    <row r="29132" spans="1:5" x14ac:dyDescent="0.25">
      <c r="A29132" t="str">
        <f>HYPERLINK("https://www.773grp.com/globalSearch/MC74AC574M/page-1", "MC74AC574M")</f>
        <v>MC74AC574M</v>
      </c>
      <c r="B29132" s="3" t="str">
        <f>HYPERLINK("https://www.773grp.com/manufacturer/onsemi?pageNo=1326", "ON Semiconductor")</f>
        <v>ON Semiconductor</v>
      </c>
      <c r="C29132" s="6">
        <v>3510</v>
      </c>
      <c r="D29132" s="7">
        <v>0.57999999999999996</v>
      </c>
      <c r="E29132" t="s">
        <v>14</v>
      </c>
    </row>
    <row r="29133" spans="1:5" x14ac:dyDescent="0.25">
      <c r="A29133" t="str">
        <f>HYPERLINK("https://www.773grp.com/globalSearch/MC74AC86M/page-1", "MC74AC86M")</f>
        <v>MC74AC86M</v>
      </c>
      <c r="B29133" s="3" t="str">
        <f>HYPERLINK("https://www.773grp.com/manufacturer/onsemi?pageNo=1327", "ON Semiconductor")</f>
        <v>ON Semiconductor</v>
      </c>
      <c r="C29133" s="6">
        <v>12100</v>
      </c>
      <c r="D29133" s="7">
        <v>0.57999999999999996</v>
      </c>
      <c r="E29133" t="s">
        <v>31</v>
      </c>
    </row>
    <row r="29134" spans="1:5" x14ac:dyDescent="0.25">
      <c r="A29134" t="str">
        <f>HYPERLINK("https://www.773grp.com/globalSearch/MC74ACT04MELG/page-1", "MC74ACT04MELG")</f>
        <v>MC74ACT04MELG</v>
      </c>
      <c r="B29134" s="3" t="str">
        <f>HYPERLINK("https://www.773grp.com/manufacturer/onsemi?pageNo=1328", "ON Semiconductor")</f>
        <v>ON Semiconductor</v>
      </c>
      <c r="C29134" s="6">
        <v>16000</v>
      </c>
      <c r="D29134" s="7">
        <v>0.57999999999999996</v>
      </c>
      <c r="E29134" t="s">
        <v>31</v>
      </c>
    </row>
    <row r="29135" spans="1:5" x14ac:dyDescent="0.25">
      <c r="A29135" t="str">
        <f>HYPERLINK("https://www.773grp.com/globalSearch/MC74ACT175D/page-1", "MC74ACT175D")</f>
        <v>MC74ACT175D</v>
      </c>
      <c r="B29135" s="3" t="str">
        <f>HYPERLINK("https://www.773grp.com/manufacturer/onsemi?pageNo=1329", "ON Semiconductor")</f>
        <v>ON Semiconductor</v>
      </c>
      <c r="C29135" s="6">
        <v>4581</v>
      </c>
      <c r="D29135" s="7">
        <v>0.57999999999999996</v>
      </c>
      <c r="E29135" t="s">
        <v>35</v>
      </c>
    </row>
    <row r="29136" spans="1:5" x14ac:dyDescent="0.25">
      <c r="A29136" t="str">
        <f>HYPERLINK("https://www.773grp.com/globalSearch/MC74ACT175DR2/page-1", "MC74ACT175DR2")</f>
        <v>MC74ACT175DR2</v>
      </c>
      <c r="B29136" s="3" t="str">
        <f>HYPERLINK("https://www.773grp.com/manufacturer/onsemi?pageNo=1330", "ON Semiconductor")</f>
        <v>ON Semiconductor</v>
      </c>
      <c r="C29136" s="6">
        <v>17500</v>
      </c>
      <c r="D29136" s="7">
        <v>0.57999999999999996</v>
      </c>
      <c r="E29136" t="s">
        <v>35</v>
      </c>
    </row>
    <row r="29137" spans="1:5" x14ac:dyDescent="0.25">
      <c r="A29137" t="str">
        <f>HYPERLINK("https://www.773grp.com/globalSearch/MC74ACT244M/page-1", "MC74ACT244M")</f>
        <v>MC74ACT244M</v>
      </c>
      <c r="B29137" s="3" t="str">
        <f>HYPERLINK("https://www.773grp.com/manufacturer/onsemi?pageNo=1331", "ON Semiconductor")</f>
        <v>ON Semiconductor</v>
      </c>
      <c r="C29137" s="6">
        <v>102</v>
      </c>
      <c r="D29137" s="7">
        <v>0.57999999999999996</v>
      </c>
      <c r="E29137" t="s">
        <v>14</v>
      </c>
    </row>
    <row r="29138" spans="1:5" x14ac:dyDescent="0.25">
      <c r="A29138" t="str">
        <f>HYPERLINK("https://www.773grp.com/globalSearch/MC74ACT245M/page-1", "MC74ACT245M")</f>
        <v>MC74ACT245M</v>
      </c>
      <c r="B29138" s="3" t="str">
        <f>HYPERLINK("https://www.773grp.com/manufacturer/onsemi?pageNo=1332", "ON Semiconductor")</f>
        <v>ON Semiconductor</v>
      </c>
      <c r="C29138" s="6">
        <v>508</v>
      </c>
      <c r="D29138" s="7">
        <v>0.57999999999999996</v>
      </c>
      <c r="E29138" t="s">
        <v>14</v>
      </c>
    </row>
    <row r="29139" spans="1:5" x14ac:dyDescent="0.25">
      <c r="A29139" t="str">
        <f>HYPERLINK("https://www.773grp.com/globalSearch/MC74ACT574M/page-1", "MC74ACT574M")</f>
        <v>MC74ACT574M</v>
      </c>
      <c r="B29139" s="3" t="str">
        <f>HYPERLINK("https://www.773grp.com/manufacturer/onsemi?pageNo=1333", "ON Semiconductor")</f>
        <v>ON Semiconductor</v>
      </c>
      <c r="C29139" s="6">
        <v>964</v>
      </c>
      <c r="D29139" s="7">
        <v>0.57999999999999996</v>
      </c>
      <c r="E29139" t="s">
        <v>14</v>
      </c>
    </row>
    <row r="29140" spans="1:5" x14ac:dyDescent="0.25">
      <c r="A29140" t="str">
        <f>HYPERLINK("https://www.773grp.com/globalSearch/MC74ACT86ML1/page-1", "MC74ACT86ML1")</f>
        <v>MC74ACT86ML1</v>
      </c>
      <c r="B29140" s="3" t="str">
        <f>HYPERLINK("https://www.773grp.com/manufacturer/onsemi?pageNo=1334", "ON Semiconductor")</f>
        <v>ON Semiconductor</v>
      </c>
      <c r="C29140" s="6">
        <v>13000</v>
      </c>
      <c r="D29140" s="7">
        <v>0.57999999999999996</v>
      </c>
    </row>
    <row r="29141" spans="1:5" x14ac:dyDescent="0.25">
      <c r="A29141" t="str">
        <f>HYPERLINK("https://www.773grp.com/globalSearch/MC74HC00ADTEL/page-1", "MC74HC00ADTEL")</f>
        <v>MC74HC00ADTEL</v>
      </c>
      <c r="B29141" s="3" t="str">
        <f>HYPERLINK("https://www.773grp.com/manufacturer/onsemi?pageNo=1335", "ON Semiconductor")</f>
        <v>ON Semiconductor</v>
      </c>
      <c r="C29141" s="6">
        <v>3255</v>
      </c>
      <c r="D29141" s="7">
        <v>0.57999999999999996</v>
      </c>
    </row>
    <row r="29142" spans="1:5" x14ac:dyDescent="0.25">
      <c r="A29142" t="str">
        <f>HYPERLINK("https://www.773grp.com/globalSearch/MC74HC02ADTEL/page-1", "MC74HC02ADTEL")</f>
        <v>MC74HC02ADTEL</v>
      </c>
      <c r="B29142" s="3" t="str">
        <f>HYPERLINK("https://www.773grp.com/manufacturer/onsemi?pageNo=1336", "ON Semiconductor")</f>
        <v>ON Semiconductor</v>
      </c>
      <c r="C29142" s="6">
        <v>12000</v>
      </c>
      <c r="D29142" s="7">
        <v>0.57999999999999996</v>
      </c>
      <c r="E29142" t="s">
        <v>31</v>
      </c>
    </row>
    <row r="29143" spans="1:5" x14ac:dyDescent="0.25">
      <c r="A29143" t="str">
        <f>HYPERLINK("https://www.773grp.com/globalSearch/MC74HC08ADTEL/page-1", "MC74HC08ADTEL")</f>
        <v>MC74HC08ADTEL</v>
      </c>
      <c r="B29143" s="3" t="str">
        <f>HYPERLINK("https://www.773grp.com/manufacturer/onsemi?pageNo=1337", "ON Semiconductor")</f>
        <v>ON Semiconductor</v>
      </c>
      <c r="C29143" s="6">
        <v>7500</v>
      </c>
      <c r="D29143" s="7">
        <v>0.57999999999999996</v>
      </c>
    </row>
    <row r="29144" spans="1:5" x14ac:dyDescent="0.25">
      <c r="A29144" t="str">
        <f>HYPERLINK("https://www.773grp.com/globalSearch/MC74HC11FL2/page-1", "MC74HC11FL2")</f>
        <v>MC74HC11FL2</v>
      </c>
      <c r="B29144" s="3" t="str">
        <f>HYPERLINK("https://www.773grp.com/manufacturer/onsemi?pageNo=1338", "ON Semiconductor")</f>
        <v>ON Semiconductor</v>
      </c>
      <c r="C29144" s="6">
        <v>4000</v>
      </c>
      <c r="D29144" s="7">
        <v>0.57999999999999996</v>
      </c>
    </row>
    <row r="29145" spans="1:5" x14ac:dyDescent="0.25">
      <c r="A29145" t="str">
        <f>HYPERLINK("https://www.773grp.com/globalSearch/MC74HC11FR2/page-1", "MC74HC11FR2")</f>
        <v>MC74HC11FR2</v>
      </c>
      <c r="B29145" s="3" t="str">
        <f>HYPERLINK("https://www.773grp.com/manufacturer/onsemi?pageNo=1339", "ON Semiconductor")</f>
        <v>ON Semiconductor</v>
      </c>
      <c r="C29145" s="6">
        <v>4000</v>
      </c>
      <c r="D29145" s="7">
        <v>0.57999999999999996</v>
      </c>
    </row>
    <row r="29146" spans="1:5" x14ac:dyDescent="0.25">
      <c r="A29146" t="str">
        <f>HYPERLINK("https://www.773grp.com/globalSearch/MC74HC14ADTEL/page-1", "MC74HC14ADTEL")</f>
        <v>MC74HC14ADTEL</v>
      </c>
      <c r="B29146" s="3" t="str">
        <f>HYPERLINK("https://www.773grp.com/manufacturer/onsemi?pageNo=1340", "ON Semiconductor")</f>
        <v>ON Semiconductor</v>
      </c>
      <c r="C29146" s="6">
        <v>4000</v>
      </c>
      <c r="D29146" s="7">
        <v>0.57999999999999996</v>
      </c>
    </row>
    <row r="29147" spans="1:5" x14ac:dyDescent="0.25">
      <c r="A29147" t="str">
        <f>HYPERLINK("https://www.773grp.com/globalSearch/MC74HC161AFL1/page-1", "MC74HC161AFL1")</f>
        <v>MC74HC161AFL1</v>
      </c>
      <c r="B29147" s="3" t="str">
        <f>HYPERLINK("https://www.773grp.com/manufacturer/onsemi?pageNo=1341", "ON Semiconductor")</f>
        <v>ON Semiconductor</v>
      </c>
      <c r="C29147" s="6">
        <v>5000</v>
      </c>
      <c r="D29147" s="7">
        <v>0.57999999999999996</v>
      </c>
    </row>
    <row r="29148" spans="1:5" x14ac:dyDescent="0.25">
      <c r="A29148" t="str">
        <f>HYPERLINK("https://www.773grp.com/globalSearch/MC74HC161AFR1/page-1", "MC74HC161AFR1")</f>
        <v>MC74HC161AFR1</v>
      </c>
      <c r="B29148" s="3" t="str">
        <f>HYPERLINK("https://www.773grp.com/manufacturer/onsemi?pageNo=1342", "ON Semiconductor")</f>
        <v>ON Semiconductor</v>
      </c>
      <c r="C29148" s="6">
        <v>5000</v>
      </c>
      <c r="D29148" s="7">
        <v>0.57999999999999996</v>
      </c>
    </row>
    <row r="29149" spans="1:5" x14ac:dyDescent="0.25">
      <c r="A29149" t="str">
        <f>HYPERLINK("https://www.773grp.com/globalSearch/MC74HC161AFR2/page-1", "MC74HC161AFR2")</f>
        <v>MC74HC161AFR2</v>
      </c>
      <c r="B29149" s="3" t="str">
        <f>HYPERLINK("https://www.773grp.com/manufacturer/onsemi?pageNo=1343", "ON Semiconductor")</f>
        <v>ON Semiconductor</v>
      </c>
      <c r="C29149" s="6">
        <v>8000</v>
      </c>
      <c r="D29149" s="7">
        <v>0.57999999999999996</v>
      </c>
    </row>
    <row r="29150" spans="1:5" x14ac:dyDescent="0.25">
      <c r="A29150" t="str">
        <f>HYPERLINK("https://www.773grp.com/globalSearch/MC74HC163AD/page-1", "MC74HC163AD")</f>
        <v>MC74HC163AD</v>
      </c>
      <c r="B29150" s="3" t="str">
        <f>HYPERLINK("https://www.773grp.com/manufacturer/onsemi?pageNo=1344", "ON Semiconductor")</f>
        <v>ON Semiconductor</v>
      </c>
      <c r="C29150" s="6">
        <v>29811</v>
      </c>
      <c r="D29150" s="7">
        <v>0.57999999999999996</v>
      </c>
      <c r="E29150" t="s">
        <v>26</v>
      </c>
    </row>
    <row r="29151" spans="1:5" x14ac:dyDescent="0.25">
      <c r="A29151" t="str">
        <f>HYPERLINK("https://www.773grp.com/globalSearch/MC74HC163AF/page-1", "MC74HC163AF")</f>
        <v>MC74HC163AF</v>
      </c>
      <c r="B29151" s="3" t="str">
        <f>HYPERLINK("https://www.773grp.com/manufacturer/onsemi?pageNo=1345", "ON Semiconductor")</f>
        <v>ON Semiconductor</v>
      </c>
      <c r="C29151" s="6">
        <v>200</v>
      </c>
      <c r="D29151" s="7">
        <v>0.57999999999999996</v>
      </c>
    </row>
    <row r="29152" spans="1:5" x14ac:dyDescent="0.25">
      <c r="A29152" t="str">
        <f>HYPERLINK("https://www.773grp.com/globalSearch/MC74HC163AFL1/page-1", "MC74HC163AFL1")</f>
        <v>MC74HC163AFL1</v>
      </c>
      <c r="B29152" s="3" t="str">
        <f>HYPERLINK("https://www.773grp.com/manufacturer/onsemi?pageNo=1346", "ON Semiconductor")</f>
        <v>ON Semiconductor</v>
      </c>
      <c r="C29152" s="6">
        <v>5000</v>
      </c>
      <c r="D29152" s="7">
        <v>0.57999999999999996</v>
      </c>
    </row>
    <row r="29153" spans="1:5" x14ac:dyDescent="0.25">
      <c r="A29153" t="str">
        <f>HYPERLINK("https://www.773grp.com/globalSearch/MC74HC163AFL2/page-1", "MC74HC163AFL2")</f>
        <v>MC74HC163AFL2</v>
      </c>
      <c r="B29153" s="3" t="str">
        <f>HYPERLINK("https://www.773grp.com/manufacturer/onsemi?pageNo=1347", "ON Semiconductor")</f>
        <v>ON Semiconductor</v>
      </c>
      <c r="C29153" s="6">
        <v>4000</v>
      </c>
      <c r="D29153" s="7">
        <v>0.57999999999999996</v>
      </c>
    </row>
    <row r="29154" spans="1:5" x14ac:dyDescent="0.25">
      <c r="A29154" t="str">
        <f>HYPERLINK("https://www.773grp.com/globalSearch/MC74HC163AFR1/page-1", "MC74HC163AFR1")</f>
        <v>MC74HC163AFR1</v>
      </c>
      <c r="B29154" s="3" t="str">
        <f>HYPERLINK("https://www.773grp.com/manufacturer/onsemi?pageNo=1348", "ON Semiconductor")</f>
        <v>ON Semiconductor</v>
      </c>
      <c r="C29154" s="6">
        <v>1000</v>
      </c>
      <c r="D29154" s="7">
        <v>0.57999999999999996</v>
      </c>
    </row>
    <row r="29155" spans="1:5" x14ac:dyDescent="0.25">
      <c r="A29155" t="str">
        <f>HYPERLINK("https://www.773grp.com/globalSearch/MC74HC163AFR2/page-1", "MC74HC163AFR2")</f>
        <v>MC74HC163AFR2</v>
      </c>
      <c r="B29155" s="3" t="str">
        <f>HYPERLINK("https://www.773grp.com/manufacturer/onsemi?pageNo=1", "ON Semiconductor")</f>
        <v>ON Semiconductor</v>
      </c>
      <c r="C29155" s="6">
        <v>4000</v>
      </c>
      <c r="D29155" s="7">
        <v>0.57999999999999996</v>
      </c>
    </row>
    <row r="29156" spans="1:5" x14ac:dyDescent="0.25">
      <c r="A29156" t="str">
        <f>HYPERLINK("https://www.773grp.com/globalSearch/MC74HC240ADT/page-1", "MC74HC240ADT")</f>
        <v>MC74HC240ADT</v>
      </c>
      <c r="B29156" s="3" t="str">
        <f>HYPERLINK("https://www.773grp.com/manufacturer/onsemi?pageNo=2", "ON Semiconductor")</f>
        <v>ON Semiconductor</v>
      </c>
      <c r="C29156" s="6">
        <v>10192</v>
      </c>
      <c r="D29156" s="7">
        <v>0.57999999999999996</v>
      </c>
      <c r="E29156" t="s">
        <v>14</v>
      </c>
    </row>
    <row r="29157" spans="1:5" x14ac:dyDescent="0.25">
      <c r="A29157" t="str">
        <f>HYPERLINK("https://www.773grp.com/globalSearch/MC74HC245ADWR2/page-1", "MC74HC245ADWR2")</f>
        <v>MC74HC245ADWR2</v>
      </c>
      <c r="B29157" s="3" t="str">
        <f>HYPERLINK("https://www.773grp.com/manufacturer/onsemi?pageNo=3", "ON Semiconductor")</f>
        <v>ON Semiconductor</v>
      </c>
      <c r="C29157" s="6">
        <v>161</v>
      </c>
      <c r="D29157" s="7">
        <v>0.57999999999999996</v>
      </c>
      <c r="E29157" t="s">
        <v>14</v>
      </c>
    </row>
    <row r="29158" spans="1:5" x14ac:dyDescent="0.25">
      <c r="A29158" t="str">
        <f>HYPERLINK("https://www.773grp.com/globalSearch/MC74HC273ADWR2/page-1", "MC74HC273ADWR2")</f>
        <v>MC74HC273ADWR2</v>
      </c>
      <c r="B29158" s="3" t="str">
        <f>HYPERLINK("https://www.773grp.com/manufacturer/onsemi?pageNo=4", "ON Semiconductor")</f>
        <v>ON Semiconductor</v>
      </c>
      <c r="C29158" s="6">
        <v>55005</v>
      </c>
      <c r="D29158" s="7">
        <v>0.57999999999999996</v>
      </c>
      <c r="E29158" t="s">
        <v>35</v>
      </c>
    </row>
    <row r="29159" spans="1:5" x14ac:dyDescent="0.25">
      <c r="A29159" t="str">
        <f>HYPERLINK("https://www.773grp.com/globalSearch/MC74HC32ADT/page-1", "MC74HC32ADT")</f>
        <v>MC74HC32ADT</v>
      </c>
      <c r="B29159" s="3" t="str">
        <f>HYPERLINK("https://www.773grp.com/manufacturer/onsemi?pageNo=5", "ON Semiconductor")</f>
        <v>ON Semiconductor</v>
      </c>
      <c r="C29159" s="6">
        <v>3794</v>
      </c>
      <c r="D29159" s="7">
        <v>0.57999999999999996</v>
      </c>
      <c r="E29159" t="s">
        <v>31</v>
      </c>
    </row>
    <row r="29160" spans="1:5" x14ac:dyDescent="0.25">
      <c r="A29160" t="str">
        <f>HYPERLINK("https://www.773grp.com/globalSearch/MC74HC32ADTEL/page-1", "MC74HC32ADTEL")</f>
        <v>MC74HC32ADTEL</v>
      </c>
      <c r="B29160" s="3" t="str">
        <f>HYPERLINK("https://www.773grp.com/manufacturer/onsemi?pageNo=6", "ON Semiconductor")</f>
        <v>ON Semiconductor</v>
      </c>
      <c r="C29160" s="6">
        <v>32000</v>
      </c>
      <c r="D29160" s="7">
        <v>0.57999999999999996</v>
      </c>
    </row>
    <row r="29161" spans="1:5" x14ac:dyDescent="0.25">
      <c r="A29161" t="str">
        <f>HYPERLINK("https://www.773grp.com/globalSearch/MC74HC4002N/page-1", "MC74HC4002N")</f>
        <v>MC74HC4002N</v>
      </c>
      <c r="B29161" s="3" t="str">
        <f>HYPERLINK("https://www.773grp.com/manufacturer/onsemi?pageNo=7", "ON Semiconductor")</f>
        <v>ON Semiconductor</v>
      </c>
      <c r="C29161" s="6">
        <v>5</v>
      </c>
      <c r="D29161" s="7">
        <v>0.57999999999999996</v>
      </c>
      <c r="E29161" t="s">
        <v>31</v>
      </c>
    </row>
    <row r="29162" spans="1:5" x14ac:dyDescent="0.25">
      <c r="A29162" t="str">
        <f>HYPERLINK("https://www.773grp.com/globalSearch/MC74HC75D/page-1", "MC74HC75D")</f>
        <v>MC74HC75D</v>
      </c>
      <c r="B29162" s="3" t="str">
        <f>HYPERLINK("https://www.773grp.com/manufacturer/onsemi?pageNo=8", "ON Semiconductor")</f>
        <v>ON Semiconductor</v>
      </c>
      <c r="C29162" s="6">
        <v>956</v>
      </c>
      <c r="D29162" s="7">
        <v>0.57999999999999996</v>
      </c>
      <c r="E29162" t="s">
        <v>35</v>
      </c>
    </row>
    <row r="29163" spans="1:5" x14ac:dyDescent="0.25">
      <c r="A29163" t="str">
        <f>HYPERLINK("https://www.773grp.com/globalSearch/MC74HC75F/page-1", "MC74HC75F")</f>
        <v>MC74HC75F</v>
      </c>
      <c r="B29163" s="3" t="str">
        <f>HYPERLINK("https://www.773grp.com/manufacturer/onsemi?pageNo=9", "ON Semiconductor")</f>
        <v>ON Semiconductor</v>
      </c>
      <c r="C29163" s="6">
        <v>298</v>
      </c>
      <c r="D29163" s="7">
        <v>0.57999999999999996</v>
      </c>
    </row>
    <row r="29164" spans="1:5" x14ac:dyDescent="0.25">
      <c r="A29164" t="str">
        <f>HYPERLINK("https://www.773grp.com/globalSearch/MC74HC75FL2/page-1", "MC74HC75FL2")</f>
        <v>MC74HC75FL2</v>
      </c>
      <c r="B29164" s="3" t="str">
        <f>HYPERLINK("https://www.773grp.com/manufacturer/onsemi?pageNo=10", "ON Semiconductor")</f>
        <v>ON Semiconductor</v>
      </c>
      <c r="C29164" s="6">
        <v>8000</v>
      </c>
      <c r="D29164" s="7">
        <v>0.57999999999999996</v>
      </c>
    </row>
    <row r="29165" spans="1:5" x14ac:dyDescent="0.25">
      <c r="A29165" t="str">
        <f>HYPERLINK("https://www.773grp.com/globalSearch/MC74HCT244ADT/page-1", "MC74HCT244ADT")</f>
        <v>MC74HCT244ADT</v>
      </c>
      <c r="B29165" s="3" t="str">
        <f>HYPERLINK("https://www.773grp.com/manufacturer/onsemi?pageNo=11", "ON Semiconductor")</f>
        <v>ON Semiconductor</v>
      </c>
      <c r="C29165" s="6">
        <v>4625</v>
      </c>
      <c r="D29165" s="7">
        <v>0.57999999999999996</v>
      </c>
      <c r="E29165" t="s">
        <v>14</v>
      </c>
    </row>
    <row r="29166" spans="1:5" x14ac:dyDescent="0.25">
      <c r="A29166" t="str">
        <f>HYPERLINK("https://www.773grp.com/globalSearch/MC74HCT244AWD/page-1", "MC74HCT244AWD")</f>
        <v>MC74HCT244AWD</v>
      </c>
      <c r="B29166" s="3" t="str">
        <f>HYPERLINK("https://www.773grp.com/manufacturer/onsemi?pageNo=12", "ON Semiconductor")</f>
        <v>ON Semiconductor</v>
      </c>
      <c r="C29166" s="6">
        <v>5674</v>
      </c>
      <c r="D29166" s="7">
        <v>0.57999999999999996</v>
      </c>
    </row>
    <row r="29167" spans="1:5" x14ac:dyDescent="0.25">
      <c r="A29167" t="str">
        <f>HYPERLINK("https://www.773grp.com/globalSearch/MC74HCT245AH/page-1", "MC74HCT245AH")</f>
        <v>MC74HCT245AH</v>
      </c>
      <c r="B29167" s="3" t="str">
        <f>HYPERLINK("https://www.773grp.com/manufacturer/onsemi?pageNo=13", "ON Semiconductor")</f>
        <v>ON Semiconductor</v>
      </c>
      <c r="C29167" s="6">
        <v>14</v>
      </c>
      <c r="D29167" s="7">
        <v>0.57999999999999996</v>
      </c>
      <c r="E29167" t="s">
        <v>14</v>
      </c>
    </row>
    <row r="29168" spans="1:5" x14ac:dyDescent="0.25">
      <c r="A29168" t="str">
        <f>HYPERLINK("https://www.773grp.com/globalSearch/MC74HCT573AD/page-1", "MC74HCT573AD")</f>
        <v>MC74HCT573AD</v>
      </c>
      <c r="B29168" s="3" t="str">
        <f>HYPERLINK("https://www.773grp.com/manufacturer/onsemi?pageNo=14", "ON Semiconductor")</f>
        <v>ON Semiconductor</v>
      </c>
      <c r="C29168" s="6">
        <v>2000</v>
      </c>
      <c r="D29168" s="7">
        <v>0.57999999999999996</v>
      </c>
    </row>
    <row r="29169" spans="1:5" x14ac:dyDescent="0.25">
      <c r="A29169" t="str">
        <f>HYPERLINK("https://www.773grp.com/globalSearch/MC74HCT573ADT/page-1", "MC74HCT573ADT")</f>
        <v>MC74HCT573ADT</v>
      </c>
      <c r="B29169" s="3" t="str">
        <f>HYPERLINK("https://www.773grp.com/manufacturer/onsemi?pageNo=15", "ON Semiconductor")</f>
        <v>ON Semiconductor</v>
      </c>
      <c r="C29169" s="6">
        <v>3430</v>
      </c>
      <c r="D29169" s="7">
        <v>0.57999999999999996</v>
      </c>
      <c r="E29169" t="s">
        <v>14</v>
      </c>
    </row>
    <row r="29170" spans="1:5" x14ac:dyDescent="0.25">
      <c r="A29170" t="str">
        <f>HYPERLINK("https://www.773grp.com/globalSearch/MC74HCT573ADWR/page-1", "MC74HCT573ADWR")</f>
        <v>MC74HCT573ADWR</v>
      </c>
      <c r="B29170" s="3" t="str">
        <f>HYPERLINK("https://www.773grp.com/manufacturer/onsemi?pageNo=16", "ON Semiconductor")</f>
        <v>ON Semiconductor</v>
      </c>
      <c r="C29170" s="6">
        <v>1000</v>
      </c>
      <c r="D29170" s="7">
        <v>0.57999999999999996</v>
      </c>
    </row>
    <row r="29171" spans="1:5" x14ac:dyDescent="0.25">
      <c r="A29171" t="str">
        <f>HYPERLINK("https://www.773grp.com/globalSearch/MC74HCT574ADT/page-1", "MC74HCT574ADT")</f>
        <v>MC74HCT574ADT</v>
      </c>
      <c r="B29171" s="3" t="str">
        <f>HYPERLINK("https://www.773grp.com/manufacturer/onsemi?pageNo=17", "ON Semiconductor")</f>
        <v>ON Semiconductor</v>
      </c>
      <c r="C29171" s="6">
        <v>26240</v>
      </c>
      <c r="D29171" s="7">
        <v>0.57999999999999996</v>
      </c>
    </row>
    <row r="29172" spans="1:5" x14ac:dyDescent="0.25">
      <c r="A29172" t="str">
        <f>HYPERLINK("https://www.773grp.com/globalSearch/MC74LCX138MEL/page-1", "MC74LCX138MEL")</f>
        <v>MC74LCX138MEL</v>
      </c>
      <c r="B29172" s="3" t="str">
        <f>HYPERLINK("https://www.773grp.com/manufacturer/onsemi?pageNo=18", "ON Semiconductor")</f>
        <v>ON Semiconductor</v>
      </c>
      <c r="C29172" s="6">
        <v>6000</v>
      </c>
      <c r="D29172" s="7">
        <v>0.57999999999999996</v>
      </c>
      <c r="E29172" t="s">
        <v>36</v>
      </c>
    </row>
    <row r="29173" spans="1:5" x14ac:dyDescent="0.25">
      <c r="A29173" t="str">
        <f>HYPERLINK("https://www.773grp.com/globalSearch/MC74LCX244DW/page-1", "MC74LCX244DW")</f>
        <v>MC74LCX244DW</v>
      </c>
      <c r="B29173" s="3" t="str">
        <f>HYPERLINK("https://www.773grp.com/manufacturer/onsemi?pageNo=19", "ON Semiconductor")</f>
        <v>ON Semiconductor</v>
      </c>
      <c r="C29173" s="6">
        <v>23142</v>
      </c>
      <c r="D29173" s="7">
        <v>0.57999999999999996</v>
      </c>
      <c r="E29173" t="s">
        <v>14</v>
      </c>
    </row>
    <row r="29174" spans="1:5" x14ac:dyDescent="0.25">
      <c r="A29174" t="str">
        <f>HYPERLINK("https://www.773grp.com/globalSearch/MC74LCX244DWR2/page-1", "MC74LCX244DWR2")</f>
        <v>MC74LCX244DWR2</v>
      </c>
      <c r="B29174" s="3" t="str">
        <f>HYPERLINK("https://www.773grp.com/manufacturer/onsemi?pageNo=20", "ON Semiconductor")</f>
        <v>ON Semiconductor</v>
      </c>
      <c r="C29174" s="6">
        <v>21349</v>
      </c>
      <c r="D29174" s="7">
        <v>0.57999999999999996</v>
      </c>
      <c r="E29174" t="s">
        <v>14</v>
      </c>
    </row>
    <row r="29175" spans="1:5" x14ac:dyDescent="0.25">
      <c r="A29175" t="str">
        <f>HYPERLINK("https://www.773grp.com/globalSearch/MC74LCX245DWR2/page-1", "MC74LCX245DWR2")</f>
        <v>MC74LCX245DWR2</v>
      </c>
      <c r="B29175" s="3" t="str">
        <f>HYPERLINK("https://www.773grp.com/manufacturer/onsemi?pageNo=21", "ON Semiconductor")</f>
        <v>ON Semiconductor</v>
      </c>
      <c r="C29175" s="6">
        <v>312</v>
      </c>
      <c r="D29175" s="7">
        <v>0.57999999999999996</v>
      </c>
      <c r="E29175" t="s">
        <v>14</v>
      </c>
    </row>
    <row r="29176" spans="1:5" x14ac:dyDescent="0.25">
      <c r="A29176" t="str">
        <f>HYPERLINK("https://www.773grp.com/globalSearch/MC74LCX257MEL/page-1", "MC74LCX257MEL")</f>
        <v>MC74LCX257MEL</v>
      </c>
      <c r="B29176" s="3" t="str">
        <f>HYPERLINK("https://www.773grp.com/manufacturer/onsemi?pageNo=22", "ON Semiconductor")</f>
        <v>ON Semiconductor</v>
      </c>
      <c r="C29176" s="6">
        <v>2000</v>
      </c>
      <c r="D29176" s="7">
        <v>0.57999999999999996</v>
      </c>
      <c r="E29176" t="s">
        <v>20</v>
      </c>
    </row>
    <row r="29177" spans="1:5" x14ac:dyDescent="0.25">
      <c r="A29177" t="str">
        <f>HYPERLINK("https://www.773grp.com/globalSearch/MC74LCX258D/page-1", "MC74LCX258D")</f>
        <v>MC74LCX258D</v>
      </c>
      <c r="B29177" s="3" t="str">
        <f>HYPERLINK("https://www.773grp.com/manufacturer/onsemi?pageNo=23", "ON Semiconductor")</f>
        <v>ON Semiconductor</v>
      </c>
      <c r="C29177" s="6">
        <v>96</v>
      </c>
      <c r="D29177" s="7">
        <v>0.57999999999999996</v>
      </c>
      <c r="E29177" t="s">
        <v>20</v>
      </c>
    </row>
    <row r="29178" spans="1:5" x14ac:dyDescent="0.25">
      <c r="A29178" t="str">
        <f>HYPERLINK("https://www.773grp.com/globalSearch/MC74LCX258DT/page-1", "MC74LCX258DT")</f>
        <v>MC74LCX258DT</v>
      </c>
      <c r="B29178" s="3" t="str">
        <f>HYPERLINK("https://www.773grp.com/manufacturer/onsemi?pageNo=24", "ON Semiconductor")</f>
        <v>ON Semiconductor</v>
      </c>
      <c r="C29178" s="6">
        <v>19872</v>
      </c>
      <c r="D29178" s="7">
        <v>0.57999999999999996</v>
      </c>
      <c r="E29178" t="s">
        <v>20</v>
      </c>
    </row>
    <row r="29179" spans="1:5" x14ac:dyDescent="0.25">
      <c r="A29179" t="str">
        <f>HYPERLINK("https://www.773grp.com/globalSearch/MC74LCX373DWR2/page-1", "MC74LCX373DWR2")</f>
        <v>MC74LCX373DWR2</v>
      </c>
      <c r="B29179" s="3" t="str">
        <f>HYPERLINK("https://www.773grp.com/manufacturer/onsemi?pageNo=25", "ON Semiconductor")</f>
        <v>ON Semiconductor</v>
      </c>
      <c r="C29179" s="6">
        <v>4000</v>
      </c>
      <c r="D29179" s="7">
        <v>0.57999999999999996</v>
      </c>
      <c r="E29179" t="s">
        <v>14</v>
      </c>
    </row>
    <row r="29180" spans="1:5" x14ac:dyDescent="0.25">
      <c r="A29180" t="str">
        <f>HYPERLINK("https://www.773grp.com/globalSearch/MC74LCX373MEL/page-1", "MC74LCX373MEL")</f>
        <v>MC74LCX373MEL</v>
      </c>
      <c r="B29180" s="3" t="str">
        <f>HYPERLINK("https://www.773grp.com/manufacturer/onsemi?pageNo=26", "ON Semiconductor")</f>
        <v>ON Semiconductor</v>
      </c>
      <c r="C29180" s="6">
        <v>10000</v>
      </c>
      <c r="D29180" s="7">
        <v>0.57999999999999996</v>
      </c>
      <c r="E29180" t="s">
        <v>14</v>
      </c>
    </row>
    <row r="29181" spans="1:5" x14ac:dyDescent="0.25">
      <c r="A29181" t="str">
        <f>HYPERLINK("https://www.773grp.com/globalSearch/MC74LCX374DWR2/page-1", "MC74LCX374DWR2")</f>
        <v>MC74LCX374DWR2</v>
      </c>
      <c r="B29181" s="3" t="str">
        <f>HYPERLINK("https://www.773grp.com/manufacturer/onsemi?pageNo=27", "ON Semiconductor")</f>
        <v>ON Semiconductor</v>
      </c>
      <c r="C29181" s="6">
        <v>16000</v>
      </c>
      <c r="D29181" s="7">
        <v>0.57999999999999996</v>
      </c>
      <c r="E29181" t="s">
        <v>14</v>
      </c>
    </row>
    <row r="29182" spans="1:5" x14ac:dyDescent="0.25">
      <c r="A29182" t="str">
        <f>HYPERLINK("https://www.773grp.com/globalSearch/MC74LCX573DW/page-1", "MC74LCX573DW")</f>
        <v>MC74LCX573DW</v>
      </c>
      <c r="B29182" s="3" t="str">
        <f>HYPERLINK("https://www.773grp.com/manufacturer/onsemi?pageNo=28", "ON Semiconductor")</f>
        <v>ON Semiconductor</v>
      </c>
      <c r="C29182" s="6">
        <v>456</v>
      </c>
      <c r="D29182" s="7">
        <v>0.57999999999999996</v>
      </c>
      <c r="E29182" t="s">
        <v>14</v>
      </c>
    </row>
    <row r="29183" spans="1:5" x14ac:dyDescent="0.25">
      <c r="A29183" t="str">
        <f>HYPERLINK("https://www.773grp.com/globalSearch/MC74LCX574DWR2/page-1", "MC74LCX574DWR2")</f>
        <v>MC74LCX574DWR2</v>
      </c>
      <c r="B29183" s="3" t="str">
        <f>HYPERLINK("https://www.773grp.com/manufacturer/onsemi?pageNo=29", "ON Semiconductor")</f>
        <v>ON Semiconductor</v>
      </c>
      <c r="C29183" s="6">
        <v>1000</v>
      </c>
      <c r="D29183" s="7">
        <v>0.57999999999999996</v>
      </c>
      <c r="E29183" t="s">
        <v>14</v>
      </c>
    </row>
    <row r="29184" spans="1:5" x14ac:dyDescent="0.25">
      <c r="A29184" t="str">
        <f>HYPERLINK("https://www.773grp.com/globalSearch/MC74LCX74M/page-1", "MC74LCX74M")</f>
        <v>MC74LCX74M</v>
      </c>
      <c r="B29184" s="3" t="str">
        <f>HYPERLINK("https://www.773grp.com/manufacturer/onsemi?pageNo=30", "ON Semiconductor")</f>
        <v>ON Semiconductor</v>
      </c>
      <c r="C29184" s="6">
        <v>17150</v>
      </c>
      <c r="D29184" s="7">
        <v>0.57999999999999996</v>
      </c>
      <c r="E29184" t="s">
        <v>35</v>
      </c>
    </row>
    <row r="29185" spans="1:5" x14ac:dyDescent="0.25">
      <c r="A29185" t="str">
        <f>HYPERLINK("https://www.773grp.com/globalSearch/MC74LVX00DR2G/page-1", "MC74LVX00DR2G")</f>
        <v>MC74LVX00DR2G</v>
      </c>
      <c r="B29185" s="3" t="str">
        <f>HYPERLINK("https://www.773grp.com/manufacturer/onsemi?pageNo=31", "ON Semiconductor")</f>
        <v>ON Semiconductor</v>
      </c>
      <c r="C29185" s="6">
        <v>23531</v>
      </c>
      <c r="D29185" s="7">
        <v>0.57999999999999996</v>
      </c>
      <c r="E29185" t="s">
        <v>31</v>
      </c>
    </row>
    <row r="29186" spans="1:5" x14ac:dyDescent="0.25">
      <c r="A29186" t="str">
        <f>HYPERLINK("https://www.773grp.com/globalSearch/MC74LVX00DTR2G/page-1", "MC74LVX00DTR2G")</f>
        <v>MC74LVX00DTR2G</v>
      </c>
      <c r="B29186" s="3" t="str">
        <f>HYPERLINK("https://www.773grp.com/manufacturer/onsemi?pageNo=32", "ON Semiconductor")</f>
        <v>ON Semiconductor</v>
      </c>
      <c r="C29186" s="6">
        <v>29527</v>
      </c>
      <c r="D29186" s="7">
        <v>0.57999999999999996</v>
      </c>
      <c r="E29186" t="s">
        <v>31</v>
      </c>
    </row>
    <row r="29187" spans="1:5" x14ac:dyDescent="0.25">
      <c r="A29187" t="str">
        <f>HYPERLINK("https://www.773grp.com/globalSearch/MC74LVX02DR2G/page-1", "MC74LVX02DR2G")</f>
        <v>MC74LVX02DR2G</v>
      </c>
      <c r="B29187" s="3" t="str">
        <f>HYPERLINK("https://www.773grp.com/manufacturer/onsemi?pageNo=33", "ON Semiconductor")</f>
        <v>ON Semiconductor</v>
      </c>
      <c r="C29187" s="6">
        <v>23813</v>
      </c>
      <c r="D29187" s="7">
        <v>0.57999999999999996</v>
      </c>
      <c r="E29187" t="s">
        <v>31</v>
      </c>
    </row>
    <row r="29188" spans="1:5" x14ac:dyDescent="0.25">
      <c r="A29188" t="str">
        <f>HYPERLINK("https://www.773grp.com/globalSearch/MC74LVX02DTR2G/page-1", "MC74LVX02DTR2G")</f>
        <v>MC74LVX02DTR2G</v>
      </c>
      <c r="B29188" s="3" t="str">
        <f>HYPERLINK("https://www.773grp.com/manufacturer/onsemi?pageNo=34", "ON Semiconductor")</f>
        <v>ON Semiconductor</v>
      </c>
      <c r="C29188" s="6">
        <v>16950</v>
      </c>
      <c r="D29188" s="7">
        <v>0.57999999999999996</v>
      </c>
    </row>
    <row r="29189" spans="1:5" x14ac:dyDescent="0.25">
      <c r="A29189" t="str">
        <f>HYPERLINK("https://www.773grp.com/globalSearch/MC74LVX04DR2G/page-1", "MC74LVX04DR2G")</f>
        <v>MC74LVX04DR2G</v>
      </c>
      <c r="B29189" s="3" t="str">
        <f>HYPERLINK("https://www.773grp.com/manufacturer/onsemi?pageNo=35", "ON Semiconductor")</f>
        <v>ON Semiconductor</v>
      </c>
      <c r="C29189" s="6">
        <v>36366</v>
      </c>
      <c r="D29189" s="7">
        <v>0.57999999999999996</v>
      </c>
      <c r="E29189" t="s">
        <v>31</v>
      </c>
    </row>
    <row r="29190" spans="1:5" x14ac:dyDescent="0.25">
      <c r="A29190" t="str">
        <f>HYPERLINK("https://www.773grp.com/globalSearch/MC74LVX04DTR2G/page-1", "MC74LVX04DTR2G")</f>
        <v>MC74LVX04DTR2G</v>
      </c>
      <c r="B29190" s="3" t="str">
        <f>HYPERLINK("https://www.773grp.com/manufacturer/onsemi?pageNo=36", "ON Semiconductor")</f>
        <v>ON Semiconductor</v>
      </c>
      <c r="C29190" s="6">
        <v>2204</v>
      </c>
      <c r="D29190" s="7">
        <v>0.57999999999999996</v>
      </c>
      <c r="E29190" t="s">
        <v>31</v>
      </c>
    </row>
    <row r="29191" spans="1:5" x14ac:dyDescent="0.25">
      <c r="A29191" t="str">
        <f>HYPERLINK("https://www.773grp.com/globalSearch/MC74LVX08DR2G/page-1", "MC74LVX08DR2G")</f>
        <v>MC74LVX08DR2G</v>
      </c>
      <c r="B29191" s="3" t="str">
        <f>HYPERLINK("https://www.773grp.com/manufacturer/onsemi?pageNo=37", "ON Semiconductor")</f>
        <v>ON Semiconductor</v>
      </c>
      <c r="C29191" s="6">
        <v>29685</v>
      </c>
      <c r="D29191" s="7">
        <v>0.57999999999999996</v>
      </c>
      <c r="E29191" t="s">
        <v>31</v>
      </c>
    </row>
    <row r="29192" spans="1:5" x14ac:dyDescent="0.25">
      <c r="A29192" t="str">
        <f>HYPERLINK("https://www.773grp.com/globalSearch/MC74LVX08DTG/page-1", "MC74LVX08DTG")</f>
        <v>MC74LVX08DTG</v>
      </c>
      <c r="B29192" s="3" t="str">
        <f>HYPERLINK("https://www.773grp.com/manufacturer/onsemi?pageNo=38", "ON Semiconductor")</f>
        <v>ON Semiconductor</v>
      </c>
      <c r="C29192" s="6">
        <v>19620</v>
      </c>
      <c r="D29192" s="7">
        <v>0.57999999999999996</v>
      </c>
      <c r="E29192" t="s">
        <v>31</v>
      </c>
    </row>
    <row r="29193" spans="1:5" x14ac:dyDescent="0.25">
      <c r="A29193" t="str">
        <f>HYPERLINK("https://www.773grp.com/globalSearch/MC74LVX08DTR2/page-1", "MC74LVX08DTR2")</f>
        <v>MC74LVX08DTR2</v>
      </c>
      <c r="B29193" s="3" t="str">
        <f>HYPERLINK("https://www.773grp.com/manufacturer/onsemi?pageNo=39", "ON Semiconductor")</f>
        <v>ON Semiconductor</v>
      </c>
      <c r="C29193" s="6">
        <v>17500</v>
      </c>
      <c r="D29193" s="7">
        <v>0.57999999999999996</v>
      </c>
    </row>
    <row r="29194" spans="1:5" x14ac:dyDescent="0.25">
      <c r="A29194" t="str">
        <f>HYPERLINK("https://www.773grp.com/globalSearch/MC74LVX08DTR2G/page-1", "MC74LVX08DTR2G")</f>
        <v>MC74LVX08DTR2G</v>
      </c>
      <c r="B29194" s="3" t="str">
        <f>HYPERLINK("https://www.773grp.com/manufacturer/onsemi?pageNo=40", "ON Semiconductor")</f>
        <v>ON Semiconductor</v>
      </c>
      <c r="C29194" s="6">
        <v>5000</v>
      </c>
      <c r="D29194" s="7">
        <v>0.57999999999999996</v>
      </c>
    </row>
    <row r="29195" spans="1:5" x14ac:dyDescent="0.25">
      <c r="A29195" t="str">
        <f>HYPERLINK("https://www.773grp.com/globalSearch/MC74LVX138DT/page-1", "MC74LVX138DT")</f>
        <v>MC74LVX138DT</v>
      </c>
      <c r="B29195" s="3" t="str">
        <f>HYPERLINK("https://www.773grp.com/manufacturer/onsemi?pageNo=41", "ON Semiconductor")</f>
        <v>ON Semiconductor</v>
      </c>
      <c r="C29195" s="6">
        <v>12682</v>
      </c>
      <c r="D29195" s="7">
        <v>0.57999999999999996</v>
      </c>
      <c r="E29195" t="s">
        <v>36</v>
      </c>
    </row>
    <row r="29196" spans="1:5" x14ac:dyDescent="0.25">
      <c r="A29196" t="str">
        <f>HYPERLINK("https://www.773grp.com/globalSearch/MC74LVX244DW/page-1", "MC74LVX244DW")</f>
        <v>MC74LVX244DW</v>
      </c>
      <c r="B29196" s="3" t="str">
        <f>HYPERLINK("https://www.773grp.com/manufacturer/onsemi?pageNo=42", "ON Semiconductor")</f>
        <v>ON Semiconductor</v>
      </c>
      <c r="C29196" s="6">
        <v>4600</v>
      </c>
      <c r="D29196" s="7">
        <v>0.57999999999999996</v>
      </c>
      <c r="E29196" t="s">
        <v>14</v>
      </c>
    </row>
    <row r="29197" spans="1:5" x14ac:dyDescent="0.25">
      <c r="A29197" t="str">
        <f>HYPERLINK("https://www.773grp.com/globalSearch/MC74LVX245DW/page-1", "MC74LVX245DW")</f>
        <v>MC74LVX245DW</v>
      </c>
      <c r="B29197" s="3" t="str">
        <f>HYPERLINK("https://www.773grp.com/manufacturer/onsemi?pageNo=43", "ON Semiconductor")</f>
        <v>ON Semiconductor</v>
      </c>
      <c r="C29197" s="6">
        <v>12996</v>
      </c>
      <c r="D29197" s="7">
        <v>0.57999999999999996</v>
      </c>
      <c r="E29197" t="s">
        <v>14</v>
      </c>
    </row>
    <row r="29198" spans="1:5" x14ac:dyDescent="0.25">
      <c r="A29198" t="str">
        <f>HYPERLINK("https://www.773grp.com/globalSearch/MC74LVX32DR2G/page-1", "MC74LVX32DR2G")</f>
        <v>MC74LVX32DR2G</v>
      </c>
      <c r="B29198" s="3" t="str">
        <f>HYPERLINK("https://www.773grp.com/manufacturer/onsemi?pageNo=44", "ON Semiconductor")</f>
        <v>ON Semiconductor</v>
      </c>
      <c r="C29198" s="6">
        <v>30000</v>
      </c>
      <c r="D29198" s="7">
        <v>0.57999999999999996</v>
      </c>
      <c r="E29198" t="s">
        <v>31</v>
      </c>
    </row>
    <row r="29199" spans="1:5" x14ac:dyDescent="0.25">
      <c r="A29199" t="str">
        <f>HYPERLINK("https://www.773grp.com/globalSearch/MC74LVX32DTR2G/page-1", "MC74LVX32DTR2G")</f>
        <v>MC74LVX32DTR2G</v>
      </c>
      <c r="B29199" s="3" t="str">
        <f>HYPERLINK("https://www.773grp.com/manufacturer/onsemi?pageNo=45", "ON Semiconductor")</f>
        <v>ON Semiconductor</v>
      </c>
      <c r="C29199" s="6">
        <v>12688</v>
      </c>
      <c r="D29199" s="7">
        <v>0.57999999999999996</v>
      </c>
    </row>
    <row r="29200" spans="1:5" x14ac:dyDescent="0.25">
      <c r="A29200" t="str">
        <f>HYPERLINK("https://www.773grp.com/globalSearch/MC74LVX50DG/page-1", "MC74LVX50DG")</f>
        <v>MC74LVX50DG</v>
      </c>
      <c r="B29200" s="3" t="str">
        <f>HYPERLINK("https://www.773grp.com/manufacturer/onsemi?pageNo=46", "ON Semiconductor")</f>
        <v>ON Semiconductor</v>
      </c>
      <c r="C29200" s="6">
        <v>78245</v>
      </c>
      <c r="D29200" s="7">
        <v>0.57999999999999996</v>
      </c>
      <c r="E29200" t="s">
        <v>31</v>
      </c>
    </row>
    <row r="29201" spans="1:5" x14ac:dyDescent="0.25">
      <c r="A29201" t="str">
        <f>HYPERLINK("https://www.773grp.com/globalSearch/MC74LVX50DR2G/page-1", "MC74LVX50DR2G")</f>
        <v>MC74LVX50DR2G</v>
      </c>
      <c r="B29201" s="3" t="str">
        <f>HYPERLINK("https://www.773grp.com/manufacturer/onsemi?pageNo=47", "ON Semiconductor")</f>
        <v>ON Semiconductor</v>
      </c>
      <c r="C29201" s="6">
        <v>23645</v>
      </c>
      <c r="D29201" s="7">
        <v>0.57999999999999996</v>
      </c>
      <c r="E29201" t="s">
        <v>31</v>
      </c>
    </row>
    <row r="29202" spans="1:5" x14ac:dyDescent="0.25">
      <c r="A29202" t="str">
        <f>HYPERLINK("https://www.773grp.com/globalSearch/MC74LVX50DTG/page-1", "MC74LVX50DTG")</f>
        <v>MC74LVX50DTG</v>
      </c>
      <c r="B29202" s="3" t="str">
        <f>HYPERLINK("https://www.773grp.com/manufacturer/onsemi?pageNo=48", "ON Semiconductor")</f>
        <v>ON Semiconductor</v>
      </c>
      <c r="C29202" s="6">
        <v>34320</v>
      </c>
      <c r="D29202" s="7">
        <v>0.57999999999999996</v>
      </c>
      <c r="E29202" t="s">
        <v>31</v>
      </c>
    </row>
    <row r="29203" spans="1:5" x14ac:dyDescent="0.25">
      <c r="A29203" t="str">
        <f>HYPERLINK("https://www.773grp.com/globalSearch/MC74LVX50DTR2G/page-1", "MC74LVX50DTR2G")</f>
        <v>MC74LVX50DTR2G</v>
      </c>
      <c r="B29203" s="3" t="str">
        <f>HYPERLINK("https://www.773grp.com/manufacturer/onsemi?pageNo=49", "ON Semiconductor")</f>
        <v>ON Semiconductor</v>
      </c>
      <c r="C29203" s="6">
        <v>24574</v>
      </c>
      <c r="D29203" s="7">
        <v>0.57999999999999996</v>
      </c>
      <c r="E29203" t="s">
        <v>31</v>
      </c>
    </row>
    <row r="29204" spans="1:5" x14ac:dyDescent="0.25">
      <c r="A29204" t="str">
        <f>HYPERLINK("https://www.773grp.com/globalSearch/MC74LVX541DT/page-1", "MC74LVX541DT")</f>
        <v>MC74LVX541DT</v>
      </c>
      <c r="B29204" s="3" t="str">
        <f>HYPERLINK("https://www.773grp.com/manufacturer/onsemi?pageNo=50", "ON Semiconductor")</f>
        <v>ON Semiconductor</v>
      </c>
      <c r="C29204" s="6">
        <v>975</v>
      </c>
      <c r="D29204" s="7">
        <v>0.57999999999999996</v>
      </c>
      <c r="E29204" t="s">
        <v>14</v>
      </c>
    </row>
    <row r="29205" spans="1:5" x14ac:dyDescent="0.25">
      <c r="A29205" t="str">
        <f>HYPERLINK("https://www.773grp.com/globalSearch/MC74LVX573DWR2/page-1", "MC74LVX573DWR2")</f>
        <v>MC74LVX573DWR2</v>
      </c>
      <c r="B29205" s="3" t="str">
        <f>HYPERLINK("https://www.773grp.com/manufacturer/onsemi?pageNo=51", "ON Semiconductor")</f>
        <v>ON Semiconductor</v>
      </c>
      <c r="C29205" s="6">
        <v>1000</v>
      </c>
      <c r="D29205" s="7">
        <v>0.57999999999999996</v>
      </c>
      <c r="E29205" t="s">
        <v>14</v>
      </c>
    </row>
    <row r="29206" spans="1:5" x14ac:dyDescent="0.25">
      <c r="A29206" t="str">
        <f>HYPERLINK("https://www.773grp.com/globalSearch/MC74LVX574DWR2/page-1", "MC74LVX574DWR2")</f>
        <v>MC74LVX574DWR2</v>
      </c>
      <c r="B29206" s="3" t="str">
        <f>HYPERLINK("https://www.773grp.com/manufacturer/onsemi?pageNo=52", "ON Semiconductor")</f>
        <v>ON Semiconductor</v>
      </c>
      <c r="C29206" s="6">
        <v>3000</v>
      </c>
      <c r="D29206" s="7">
        <v>0.57999999999999996</v>
      </c>
      <c r="E29206" t="s">
        <v>14</v>
      </c>
    </row>
    <row r="29207" spans="1:5" x14ac:dyDescent="0.25">
      <c r="A29207" t="str">
        <f>HYPERLINK("https://www.773grp.com/globalSearch/MC74LVXT4051DTR2/page-1", "MC74LVXT4051DTR2")</f>
        <v>MC74LVXT4051DTR2</v>
      </c>
      <c r="B29207" s="3" t="str">
        <f>HYPERLINK("https://www.773grp.com/manufacturer/onsemi?pageNo=53", "ON Semiconductor")</f>
        <v>ON Semiconductor</v>
      </c>
      <c r="C29207" s="6">
        <v>17500</v>
      </c>
      <c r="D29207" s="7">
        <v>0.57999999999999996</v>
      </c>
      <c r="E29207" t="s">
        <v>56</v>
      </c>
    </row>
    <row r="29208" spans="1:5" x14ac:dyDescent="0.25">
      <c r="A29208" t="str">
        <f>HYPERLINK("https://www.773grp.com/globalSearch/MC74LVXT4053DTR2/page-1", "MC74LVXT4053DTR2")</f>
        <v>MC74LVXT4053DTR2</v>
      </c>
      <c r="B29208" s="3" t="str">
        <f>HYPERLINK("https://www.773grp.com/manufacturer/onsemi?pageNo=54", "ON Semiconductor")</f>
        <v>ON Semiconductor</v>
      </c>
      <c r="C29208" s="6">
        <v>2500</v>
      </c>
      <c r="D29208" s="7">
        <v>0.57999999999999996</v>
      </c>
      <c r="E29208" t="s">
        <v>56</v>
      </c>
    </row>
    <row r="29209" spans="1:5" x14ac:dyDescent="0.25">
      <c r="A29209" t="str">
        <f>HYPERLINK("https://www.773grp.com/globalSearch/MC74LVXU04DG/page-1", "MC74LVXU04DG")</f>
        <v>MC74LVXU04DG</v>
      </c>
      <c r="B29209" s="3" t="str">
        <f>HYPERLINK("https://www.773grp.com/manufacturer/onsemi?pageNo=55", "ON Semiconductor")</f>
        <v>ON Semiconductor</v>
      </c>
      <c r="C29209" s="6">
        <v>1100</v>
      </c>
      <c r="D29209" s="7">
        <v>0.57999999999999996</v>
      </c>
      <c r="E29209" t="s">
        <v>31</v>
      </c>
    </row>
    <row r="29210" spans="1:5" x14ac:dyDescent="0.25">
      <c r="A29210" t="str">
        <f>HYPERLINK("https://www.773grp.com/globalSearch/MC74LVXU04DR2G/page-1", "MC74LVXU04DR2G")</f>
        <v>MC74LVXU04DR2G</v>
      </c>
      <c r="B29210" s="3" t="str">
        <f>HYPERLINK("https://www.773grp.com/manufacturer/onsemi?pageNo=56", "ON Semiconductor")</f>
        <v>ON Semiconductor</v>
      </c>
      <c r="C29210" s="6">
        <v>22500</v>
      </c>
      <c r="D29210" s="7">
        <v>0.57999999999999996</v>
      </c>
      <c r="E29210" t="s">
        <v>31</v>
      </c>
    </row>
    <row r="29211" spans="1:5" x14ac:dyDescent="0.25">
      <c r="A29211" t="str">
        <f>HYPERLINK("https://www.773grp.com/globalSearch/MC74LVXU04DTG/page-1", "MC74LVXU04DTG")</f>
        <v>MC74LVXU04DTG</v>
      </c>
      <c r="B29211" s="3" t="str">
        <f>HYPERLINK("https://www.773grp.com/manufacturer/onsemi?pageNo=57", "ON Semiconductor")</f>
        <v>ON Semiconductor</v>
      </c>
      <c r="C29211" s="6">
        <v>480</v>
      </c>
      <c r="D29211" s="7">
        <v>0.57999999999999996</v>
      </c>
      <c r="E29211" t="s">
        <v>31</v>
      </c>
    </row>
    <row r="29212" spans="1:5" x14ac:dyDescent="0.25">
      <c r="A29212" t="str">
        <f>HYPERLINK("https://www.773grp.com/globalSearch/MC74LVXU04DTR2G/page-1", "MC74LVXU04DTR2G")</f>
        <v>MC74LVXU04DTR2G</v>
      </c>
      <c r="B29212" s="3" t="str">
        <f>HYPERLINK("https://www.773grp.com/manufacturer/onsemi?pageNo=58", "ON Semiconductor")</f>
        <v>ON Semiconductor</v>
      </c>
      <c r="C29212" s="6">
        <v>17500</v>
      </c>
      <c r="D29212" s="7">
        <v>0.57999999999999996</v>
      </c>
      <c r="E29212" t="s">
        <v>31</v>
      </c>
    </row>
    <row r="29213" spans="1:5" x14ac:dyDescent="0.25">
      <c r="A29213" t="str">
        <f>HYPERLINK("https://www.773grp.com/globalSearch/MC74VHC00DR2G/page-1", "MC74VHC00DR2G")</f>
        <v>MC74VHC00DR2G</v>
      </c>
      <c r="B29213" s="3" t="str">
        <f>HYPERLINK("https://www.773grp.com/manufacturer/onsemi?pageNo=59", "ON Semiconductor")</f>
        <v>ON Semiconductor</v>
      </c>
      <c r="C29213" s="6">
        <v>20757</v>
      </c>
      <c r="D29213" s="7">
        <v>0.57999999999999996</v>
      </c>
      <c r="E29213" t="s">
        <v>31</v>
      </c>
    </row>
    <row r="29214" spans="1:5" x14ac:dyDescent="0.25">
      <c r="A29214" t="str">
        <f>HYPERLINK("https://www.773grp.com/globalSearch/MC74VHC00DTG/page-1", "MC74VHC00DTG")</f>
        <v>MC74VHC00DTG</v>
      </c>
      <c r="B29214" s="3" t="str">
        <f>HYPERLINK("https://www.773grp.com/manufacturer/onsemi?pageNo=60", "ON Semiconductor")</f>
        <v>ON Semiconductor</v>
      </c>
      <c r="C29214" s="6">
        <v>82976</v>
      </c>
      <c r="D29214" s="7">
        <v>0.57999999999999996</v>
      </c>
      <c r="E29214" t="s">
        <v>31</v>
      </c>
    </row>
    <row r="29215" spans="1:5" x14ac:dyDescent="0.25">
      <c r="A29215" t="str">
        <f>HYPERLINK("https://www.773grp.com/globalSearch/MC74VHC00DTR/page-1", "MC74VHC00DTR")</f>
        <v>MC74VHC00DTR</v>
      </c>
      <c r="B29215" s="3" t="str">
        <f>HYPERLINK("https://www.773grp.com/manufacturer/onsemi?pageNo=61", "ON Semiconductor")</f>
        <v>ON Semiconductor</v>
      </c>
      <c r="C29215" s="6">
        <v>2500</v>
      </c>
      <c r="D29215" s="7">
        <v>0.57999999999999996</v>
      </c>
    </row>
    <row r="29216" spans="1:5" x14ac:dyDescent="0.25">
      <c r="A29216" t="str">
        <f>HYPERLINK("https://www.773grp.com/globalSearch/MC74VHC00DTR2G/page-1", "MC74VHC00DTR2G")</f>
        <v>MC74VHC00DTR2G</v>
      </c>
      <c r="B29216" s="3" t="str">
        <f>HYPERLINK("https://www.773grp.com/manufacturer/onsemi?pageNo=62", "ON Semiconductor")</f>
        <v>ON Semiconductor</v>
      </c>
      <c r="C29216" s="6">
        <v>675811</v>
      </c>
      <c r="D29216" s="7">
        <v>0.57999999999999996</v>
      </c>
      <c r="E29216" t="s">
        <v>31</v>
      </c>
    </row>
    <row r="29217" spans="1:5" x14ac:dyDescent="0.25">
      <c r="A29217" t="str">
        <f>HYPERLINK("https://www.773grp.com/globalSearch/MC74VHC02DR2G/page-1", "MC74VHC02DR2G")</f>
        <v>MC74VHC02DR2G</v>
      </c>
      <c r="B29217" s="3" t="str">
        <f>HYPERLINK("https://www.773grp.com/manufacturer/onsemi?pageNo=63", "ON Semiconductor")</f>
        <v>ON Semiconductor</v>
      </c>
      <c r="C29217" s="6">
        <v>54812</v>
      </c>
      <c r="D29217" s="7">
        <v>0.57999999999999996</v>
      </c>
      <c r="E29217" t="s">
        <v>31</v>
      </c>
    </row>
    <row r="29218" spans="1:5" x14ac:dyDescent="0.25">
      <c r="A29218" t="str">
        <f>HYPERLINK("https://www.773grp.com/globalSearch/MC74VHC02DTR2G/page-1", "MC74VHC02DTR2G")</f>
        <v>MC74VHC02DTR2G</v>
      </c>
      <c r="B29218" s="3" t="str">
        <f>HYPERLINK("https://www.773grp.com/manufacturer/onsemi?pageNo=64", "ON Semiconductor")</f>
        <v>ON Semiconductor</v>
      </c>
      <c r="C29218" s="6">
        <v>177973</v>
      </c>
      <c r="D29218" s="7">
        <v>0.57999999999999996</v>
      </c>
      <c r="E29218" t="s">
        <v>31</v>
      </c>
    </row>
    <row r="29219" spans="1:5" x14ac:dyDescent="0.25">
      <c r="A29219" t="str">
        <f>HYPERLINK("https://www.773grp.com/globalSearch/MC74VHC04DR2G/page-1", "MC74VHC04DR2G")</f>
        <v>MC74VHC04DR2G</v>
      </c>
      <c r="B29219" s="3" t="str">
        <f>HYPERLINK("https://www.773grp.com/manufacturer/onsemi?pageNo=65", "ON Semiconductor")</f>
        <v>ON Semiconductor</v>
      </c>
      <c r="C29219" s="6">
        <v>47405</v>
      </c>
      <c r="D29219" s="7">
        <v>0.57999999999999996</v>
      </c>
      <c r="E29219" t="s">
        <v>31</v>
      </c>
    </row>
    <row r="29220" spans="1:5" x14ac:dyDescent="0.25">
      <c r="A29220" t="str">
        <f>HYPERLINK("https://www.773grp.com/globalSearch/MC74VHC04DTR2G/page-1", "MC74VHC04DTR2G")</f>
        <v>MC74VHC04DTR2G</v>
      </c>
      <c r="B29220" s="3" t="str">
        <f>HYPERLINK("https://www.773grp.com/manufacturer/onsemi?pageNo=66", "ON Semiconductor")</f>
        <v>ON Semiconductor</v>
      </c>
      <c r="C29220" s="6">
        <v>20000</v>
      </c>
      <c r="D29220" s="7">
        <v>0.57999999999999996</v>
      </c>
      <c r="E29220" t="s">
        <v>31</v>
      </c>
    </row>
    <row r="29221" spans="1:5" x14ac:dyDescent="0.25">
      <c r="A29221" t="str">
        <f>HYPERLINK("https://www.773grp.com/globalSearch/MC74VHC08DR2G/page-1", "MC74VHC08DR2G")</f>
        <v>MC74VHC08DR2G</v>
      </c>
      <c r="B29221" s="3" t="str">
        <f>HYPERLINK("https://www.773grp.com/manufacturer/onsemi?pageNo=67", "ON Semiconductor")</f>
        <v>ON Semiconductor</v>
      </c>
      <c r="C29221" s="6">
        <v>15318</v>
      </c>
      <c r="D29221" s="7">
        <v>0.57999999999999996</v>
      </c>
      <c r="E29221" t="s">
        <v>31</v>
      </c>
    </row>
    <row r="29222" spans="1:5" x14ac:dyDescent="0.25">
      <c r="A29222" t="str">
        <f>HYPERLINK("https://www.773grp.com/globalSearch/MC74VHC08DTR2G/page-1", "MC74VHC08DTR2G")</f>
        <v>MC74VHC08DTR2G</v>
      </c>
      <c r="B29222" s="3" t="str">
        <f>HYPERLINK("https://www.773grp.com/manufacturer/onsemi?pageNo=68", "ON Semiconductor")</f>
        <v>ON Semiconductor</v>
      </c>
      <c r="C29222" s="6">
        <v>177410</v>
      </c>
      <c r="D29222" s="7">
        <v>0.57999999999999996</v>
      </c>
      <c r="E29222" t="s">
        <v>31</v>
      </c>
    </row>
    <row r="29223" spans="1:5" x14ac:dyDescent="0.25">
      <c r="A29223" t="str">
        <f>HYPERLINK("https://www.773grp.com/globalSearch/MC74VHC132MEL/page-1", "MC74VHC132MEL")</f>
        <v>MC74VHC132MEL</v>
      </c>
      <c r="B29223" s="3" t="str">
        <f>HYPERLINK("https://www.773grp.com/manufacturer/onsemi?pageNo=69", "ON Semiconductor")</f>
        <v>ON Semiconductor</v>
      </c>
      <c r="C29223" s="6">
        <v>1097</v>
      </c>
      <c r="D29223" s="7">
        <v>0.57999999999999996</v>
      </c>
      <c r="E29223" t="s">
        <v>31</v>
      </c>
    </row>
    <row r="29224" spans="1:5" x14ac:dyDescent="0.25">
      <c r="A29224" t="str">
        <f>HYPERLINK("https://www.773grp.com/globalSearch/MC74VHC138M/page-1", "MC74VHC138M")</f>
        <v>MC74VHC138M</v>
      </c>
      <c r="B29224" s="3" t="str">
        <f>HYPERLINK("https://www.773grp.com/manufacturer/onsemi?pageNo=70", "ON Semiconductor")</f>
        <v>ON Semiconductor</v>
      </c>
      <c r="C29224" s="6">
        <v>4900</v>
      </c>
      <c r="D29224" s="7">
        <v>0.57999999999999996</v>
      </c>
      <c r="E29224" t="s">
        <v>36</v>
      </c>
    </row>
    <row r="29225" spans="1:5" x14ac:dyDescent="0.25">
      <c r="A29225" t="str">
        <f>HYPERLINK("https://www.773grp.com/globalSearch/MC74VHC139M/page-1", "MC74VHC139M")</f>
        <v>MC74VHC139M</v>
      </c>
      <c r="B29225" s="3" t="str">
        <f>HYPERLINK("https://www.773grp.com/manufacturer/onsemi?pageNo=71", "ON Semiconductor")</f>
        <v>ON Semiconductor</v>
      </c>
      <c r="C29225" s="6">
        <v>5650</v>
      </c>
      <c r="D29225" s="7">
        <v>0.57999999999999996</v>
      </c>
      <c r="E29225" t="s">
        <v>36</v>
      </c>
    </row>
    <row r="29226" spans="1:5" x14ac:dyDescent="0.25">
      <c r="A29226" t="str">
        <f>HYPERLINK("https://www.773grp.com/globalSearch/MC74VHC240DT/page-1", "MC74VHC240DT")</f>
        <v>MC74VHC240DT</v>
      </c>
      <c r="B29226" s="3" t="str">
        <f>HYPERLINK("https://www.773grp.com/manufacturer/onsemi?pageNo=72", "ON Semiconductor")</f>
        <v>ON Semiconductor</v>
      </c>
      <c r="C29226" s="6">
        <v>4395</v>
      </c>
      <c r="D29226" s="7">
        <v>0.57999999999999996</v>
      </c>
      <c r="E29226" t="s">
        <v>14</v>
      </c>
    </row>
    <row r="29227" spans="1:5" x14ac:dyDescent="0.25">
      <c r="A29227" t="str">
        <f>HYPERLINK("https://www.773grp.com/globalSearch/MC74VHC244DW/page-1", "MC74VHC244DW")</f>
        <v>MC74VHC244DW</v>
      </c>
      <c r="B29227" s="3" t="str">
        <f>HYPERLINK("https://www.773grp.com/manufacturer/onsemi?pageNo=73", "ON Semiconductor")</f>
        <v>ON Semiconductor</v>
      </c>
      <c r="C29227" s="6">
        <v>13889</v>
      </c>
      <c r="D29227" s="7">
        <v>0.57999999999999996</v>
      </c>
      <c r="E29227" t="s">
        <v>14</v>
      </c>
    </row>
    <row r="29228" spans="1:5" x14ac:dyDescent="0.25">
      <c r="A29228" t="str">
        <f>HYPERLINK("https://www.773grp.com/globalSearch/MC74VHC32DR2G/page-1", "MC74VHC32DR2G")</f>
        <v>MC74VHC32DR2G</v>
      </c>
      <c r="B29228" s="3" t="str">
        <f>HYPERLINK("https://www.773grp.com/manufacturer/onsemi?pageNo=74", "ON Semiconductor")</f>
        <v>ON Semiconductor</v>
      </c>
      <c r="C29228" s="6">
        <v>23823</v>
      </c>
      <c r="D29228" s="7">
        <v>0.57999999999999996</v>
      </c>
      <c r="E29228" t="s">
        <v>31</v>
      </c>
    </row>
    <row r="29229" spans="1:5" x14ac:dyDescent="0.25">
      <c r="A29229" t="str">
        <f>HYPERLINK("https://www.773grp.com/globalSearch/MC74VHC32DTG/page-1", "MC74VHC32DTG")</f>
        <v>MC74VHC32DTG</v>
      </c>
      <c r="B29229" s="3" t="str">
        <f>HYPERLINK("https://www.773grp.com/manufacturer/onsemi?pageNo=75", "ON Semiconductor")</f>
        <v>ON Semiconductor</v>
      </c>
      <c r="C29229" s="6">
        <v>322</v>
      </c>
      <c r="D29229" s="7">
        <v>0.57999999999999996</v>
      </c>
      <c r="E29229" t="s">
        <v>31</v>
      </c>
    </row>
    <row r="29230" spans="1:5" x14ac:dyDescent="0.25">
      <c r="A29230" t="str">
        <f>HYPERLINK("https://www.773grp.com/globalSearch/MC74VHC32DTR2G/page-1", "MC74VHC32DTR2G")</f>
        <v>MC74VHC32DTR2G</v>
      </c>
      <c r="B29230" s="3" t="str">
        <f>HYPERLINK("https://www.773grp.com/manufacturer/onsemi?pageNo=76", "ON Semiconductor")</f>
        <v>ON Semiconductor</v>
      </c>
      <c r="C29230" s="6">
        <v>160811</v>
      </c>
      <c r="D29230" s="7">
        <v>0.57999999999999996</v>
      </c>
      <c r="E29230" t="s">
        <v>31</v>
      </c>
    </row>
    <row r="29231" spans="1:5" x14ac:dyDescent="0.25">
      <c r="A29231" t="str">
        <f>HYPERLINK("https://www.773grp.com/globalSearch/MC74VHC374DT/page-1", "MC74VHC374DT")</f>
        <v>MC74VHC374DT</v>
      </c>
      <c r="B29231" s="3" t="str">
        <f>HYPERLINK("https://www.773grp.com/manufacturer/onsemi?pageNo=77", "ON Semiconductor")</f>
        <v>ON Semiconductor</v>
      </c>
      <c r="C29231" s="6">
        <v>7275</v>
      </c>
      <c r="D29231" s="7">
        <v>0.57999999999999996</v>
      </c>
      <c r="E29231" t="s">
        <v>14</v>
      </c>
    </row>
    <row r="29232" spans="1:5" x14ac:dyDescent="0.25">
      <c r="A29232" t="str">
        <f>HYPERLINK("https://www.773grp.com/globalSearch/MC74VHC50DG/page-1", "MC74VHC50DG")</f>
        <v>MC74VHC50DG</v>
      </c>
      <c r="B29232" s="3" t="str">
        <f>HYPERLINK("https://www.773grp.com/manufacturer/onsemi?pageNo=78", "ON Semiconductor")</f>
        <v>ON Semiconductor</v>
      </c>
      <c r="C29232" s="6">
        <v>43863</v>
      </c>
      <c r="D29232" s="7">
        <v>0.57999999999999996</v>
      </c>
      <c r="E29232" t="s">
        <v>31</v>
      </c>
    </row>
    <row r="29233" spans="1:5" x14ac:dyDescent="0.25">
      <c r="A29233" t="str">
        <f>HYPERLINK("https://www.773grp.com/globalSearch/MC74VHC50DR2G/page-1", "MC74VHC50DR2G")</f>
        <v>MC74VHC50DR2G</v>
      </c>
      <c r="B29233" s="3" t="str">
        <f>HYPERLINK("https://www.773grp.com/manufacturer/onsemi?pageNo=79", "ON Semiconductor")</f>
        <v>ON Semiconductor</v>
      </c>
      <c r="C29233" s="6">
        <v>13821</v>
      </c>
      <c r="D29233" s="7">
        <v>0.57999999999999996</v>
      </c>
      <c r="E29233" t="s">
        <v>31</v>
      </c>
    </row>
    <row r="29234" spans="1:5" x14ac:dyDescent="0.25">
      <c r="A29234" t="str">
        <f>HYPERLINK("https://www.773grp.com/globalSearch/MC74VHC50DTR2G/page-1", "MC74VHC50DTR2G")</f>
        <v>MC74VHC50DTR2G</v>
      </c>
      <c r="B29234" s="3" t="str">
        <f>HYPERLINK("https://www.773grp.com/manufacturer/onsemi?pageNo=80", "ON Semiconductor")</f>
        <v>ON Semiconductor</v>
      </c>
      <c r="C29234" s="6">
        <v>5975</v>
      </c>
      <c r="D29234" s="7">
        <v>0.57999999999999996</v>
      </c>
      <c r="E29234" t="s">
        <v>31</v>
      </c>
    </row>
    <row r="29235" spans="1:5" x14ac:dyDescent="0.25">
      <c r="A29235" t="str">
        <f>HYPERLINK("https://www.773grp.com/globalSearch/MC74VHCT00ADR2G/page-1", "MC74VHCT00ADR2G")</f>
        <v>MC74VHCT00ADR2G</v>
      </c>
      <c r="B29235" s="3" t="str">
        <f>HYPERLINK("https://www.773grp.com/manufacturer/onsemi?pageNo=81", "ON Semiconductor")</f>
        <v>ON Semiconductor</v>
      </c>
      <c r="C29235" s="6">
        <v>5030</v>
      </c>
      <c r="D29235" s="7">
        <v>0.57999999999999996</v>
      </c>
      <c r="E29235" t="s">
        <v>31</v>
      </c>
    </row>
    <row r="29236" spans="1:5" x14ac:dyDescent="0.25">
      <c r="A29236" t="str">
        <f>HYPERLINK("https://www.773grp.com/globalSearch/MC74VHCT00ADTR2G/page-1", "MC74VHCT00ADTR2G")</f>
        <v>MC74VHCT00ADTR2G</v>
      </c>
      <c r="B29236" s="3" t="str">
        <f>HYPERLINK("https://www.773grp.com/manufacturer/onsemi?pageNo=82", "ON Semiconductor")</f>
        <v>ON Semiconductor</v>
      </c>
      <c r="C29236" s="6">
        <v>42741</v>
      </c>
      <c r="D29236" s="7">
        <v>0.57999999999999996</v>
      </c>
      <c r="E29236" t="s">
        <v>31</v>
      </c>
    </row>
    <row r="29237" spans="1:5" x14ac:dyDescent="0.25">
      <c r="A29237" t="str">
        <f>HYPERLINK("https://www.773grp.com/globalSearch/MC74VHCT02ADR2G/page-1", "MC74VHCT02ADR2G")</f>
        <v>MC74VHCT02ADR2G</v>
      </c>
      <c r="B29237" s="3" t="str">
        <f>HYPERLINK("https://www.773grp.com/manufacturer/onsemi?pageNo=83", "ON Semiconductor")</f>
        <v>ON Semiconductor</v>
      </c>
      <c r="C29237" s="6">
        <v>17500</v>
      </c>
      <c r="D29237" s="7">
        <v>0.57999999999999996</v>
      </c>
      <c r="E29237" t="s">
        <v>31</v>
      </c>
    </row>
    <row r="29238" spans="1:5" x14ac:dyDescent="0.25">
      <c r="A29238" t="str">
        <f>HYPERLINK("https://www.773grp.com/globalSearch/MC74VHCT02ADTR2G/page-1", "MC74VHCT02ADTR2G")</f>
        <v>MC74VHCT02ADTR2G</v>
      </c>
      <c r="B29238" s="3" t="str">
        <f>HYPERLINK("https://www.773grp.com/manufacturer/onsemi?pageNo=84", "ON Semiconductor")</f>
        <v>ON Semiconductor</v>
      </c>
      <c r="C29238" s="6">
        <v>3540</v>
      </c>
      <c r="D29238" s="7">
        <v>0.57999999999999996</v>
      </c>
      <c r="E29238" t="s">
        <v>31</v>
      </c>
    </row>
    <row r="29239" spans="1:5" x14ac:dyDescent="0.25">
      <c r="A29239" t="str">
        <f>HYPERLINK("https://www.773grp.com/globalSearch/MC74VHCT04ADR2G/page-1", "MC74VHCT04ADR2G")</f>
        <v>MC74VHCT04ADR2G</v>
      </c>
      <c r="B29239" s="3" t="str">
        <f>HYPERLINK("https://www.773grp.com/manufacturer/onsemi?pageNo=85", "ON Semiconductor")</f>
        <v>ON Semiconductor</v>
      </c>
      <c r="C29239" s="6">
        <v>21948</v>
      </c>
      <c r="D29239" s="7">
        <v>0.57999999999999996</v>
      </c>
      <c r="E29239" t="s">
        <v>31</v>
      </c>
    </row>
    <row r="29240" spans="1:5" x14ac:dyDescent="0.25">
      <c r="A29240" t="str">
        <f>HYPERLINK("https://www.773grp.com/globalSearch/MC74VHCT04ADTR2G/page-1", "MC74VHCT04ADTR2G")</f>
        <v>MC74VHCT04ADTR2G</v>
      </c>
      <c r="B29240" s="3" t="str">
        <f>HYPERLINK("https://www.773grp.com/manufacturer/onsemi?pageNo=86", "ON Semiconductor")</f>
        <v>ON Semiconductor</v>
      </c>
      <c r="C29240" s="6">
        <v>13989</v>
      </c>
      <c r="D29240" s="7">
        <v>0.57999999999999996</v>
      </c>
      <c r="E29240" t="s">
        <v>31</v>
      </c>
    </row>
    <row r="29241" spans="1:5" x14ac:dyDescent="0.25">
      <c r="A29241" t="str">
        <f>HYPERLINK("https://www.773grp.com/globalSearch/MC74VHCT08ADR2G/page-1", "MC74VHCT08ADR2G")</f>
        <v>MC74VHCT08ADR2G</v>
      </c>
      <c r="B29241" s="3" t="str">
        <f>HYPERLINK("https://www.773grp.com/manufacturer/onsemi?pageNo=87", "ON Semiconductor")</f>
        <v>ON Semiconductor</v>
      </c>
      <c r="C29241" s="6">
        <v>21102</v>
      </c>
      <c r="D29241" s="7">
        <v>0.57999999999999996</v>
      </c>
      <c r="E29241" t="s">
        <v>31</v>
      </c>
    </row>
    <row r="29242" spans="1:5" x14ac:dyDescent="0.25">
      <c r="A29242" t="str">
        <f>HYPERLINK("https://www.773grp.com/globalSearch/MC74VHCT08ADTR2G/page-1", "MC74VHCT08ADTR2G")</f>
        <v>MC74VHCT08ADTR2G</v>
      </c>
      <c r="B29242" s="3" t="str">
        <f>HYPERLINK("https://www.773grp.com/manufacturer/onsemi?pageNo=88", "ON Semiconductor")</f>
        <v>ON Semiconductor</v>
      </c>
      <c r="C29242" s="6">
        <v>511845</v>
      </c>
      <c r="D29242" s="7">
        <v>0.57999999999999996</v>
      </c>
      <c r="E29242" t="s">
        <v>31</v>
      </c>
    </row>
    <row r="29243" spans="1:5" x14ac:dyDescent="0.25">
      <c r="A29243" t="str">
        <f>HYPERLINK("https://www.773grp.com/globalSearch/MC74VHCT126ADT/page-1", "MC74VHCT126ADT")</f>
        <v>MC74VHCT126ADT</v>
      </c>
      <c r="B29243" s="3" t="str">
        <f>HYPERLINK("https://www.773grp.com/manufacturer/onsemi?pageNo=89", "ON Semiconductor")</f>
        <v>ON Semiconductor</v>
      </c>
      <c r="C29243" s="6">
        <v>14104</v>
      </c>
      <c r="D29243" s="7">
        <v>0.57999999999999996</v>
      </c>
      <c r="E29243" t="s">
        <v>14</v>
      </c>
    </row>
    <row r="29244" spans="1:5" x14ac:dyDescent="0.25">
      <c r="A29244" t="str">
        <f>HYPERLINK("https://www.773grp.com/globalSearch/MC74VHCT132ADT/page-1", "MC74VHCT132ADT")</f>
        <v>MC74VHCT132ADT</v>
      </c>
      <c r="B29244" s="3" t="str">
        <f>HYPERLINK("https://www.773grp.com/manufacturer/onsemi?pageNo=90", "ON Semiconductor")</f>
        <v>ON Semiconductor</v>
      </c>
      <c r="C29244" s="6">
        <v>4240</v>
      </c>
      <c r="D29244" s="7">
        <v>0.57999999999999996</v>
      </c>
      <c r="E29244" t="s">
        <v>31</v>
      </c>
    </row>
    <row r="29245" spans="1:5" x14ac:dyDescent="0.25">
      <c r="A29245" t="str">
        <f>HYPERLINK("https://www.773grp.com/globalSearch/MC74VHCT240ADT/page-1", "MC74VHCT240ADT")</f>
        <v>MC74VHCT240ADT</v>
      </c>
      <c r="B29245" s="3" t="str">
        <f>HYPERLINK("https://www.773grp.com/manufacturer/onsemi?pageNo=91", "ON Semiconductor")</f>
        <v>ON Semiconductor</v>
      </c>
      <c r="C29245" s="6">
        <v>10805</v>
      </c>
      <c r="D29245" s="7">
        <v>0.57999999999999996</v>
      </c>
      <c r="E29245" t="s">
        <v>14</v>
      </c>
    </row>
    <row r="29246" spans="1:5" x14ac:dyDescent="0.25">
      <c r="A29246" t="str">
        <f>HYPERLINK("https://www.773grp.com/globalSearch/MC74VHCT32ADTR2G/page-1", "MC74VHCT32ADTR2G")</f>
        <v>MC74VHCT32ADTR2G</v>
      </c>
      <c r="B29246" s="3" t="str">
        <f>HYPERLINK("https://www.773grp.com/manufacturer/onsemi?pageNo=92", "ON Semiconductor")</f>
        <v>ON Semiconductor</v>
      </c>
      <c r="C29246" s="6">
        <v>7500</v>
      </c>
      <c r="D29246" s="7">
        <v>0.57999999999999996</v>
      </c>
    </row>
    <row r="29247" spans="1:5" x14ac:dyDescent="0.25">
      <c r="A29247" t="str">
        <f>HYPERLINK("https://www.773grp.com/globalSearch/MC74VHCT373ADT/page-1", "MC74VHCT373ADT")</f>
        <v>MC74VHCT373ADT</v>
      </c>
      <c r="B29247" s="3" t="str">
        <f>HYPERLINK("https://www.773grp.com/manufacturer/onsemi?pageNo=93", "ON Semiconductor")</f>
        <v>ON Semiconductor</v>
      </c>
      <c r="C29247" s="6">
        <v>19825</v>
      </c>
      <c r="D29247" s="7">
        <v>0.57999999999999996</v>
      </c>
      <c r="E29247" t="s">
        <v>14</v>
      </c>
    </row>
    <row r="29248" spans="1:5" x14ac:dyDescent="0.25">
      <c r="A29248" t="str">
        <f>HYPERLINK("https://www.773grp.com/globalSearch/MC74VHCT373ADT/page-1", "MC74VHCT373ADT")</f>
        <v>MC74VHCT373ADT</v>
      </c>
      <c r="B29248" s="3" t="str">
        <f>HYPERLINK("https://www.773grp.com/manufacturer/onsemi?pageNo=94", "ON Semiconductor")</f>
        <v>ON Semiconductor</v>
      </c>
      <c r="C29248" s="6">
        <v>1950</v>
      </c>
      <c r="D29248" s="7">
        <v>0.57999999999999996</v>
      </c>
      <c r="E29248" t="s">
        <v>14</v>
      </c>
    </row>
    <row r="29249" spans="1:5" x14ac:dyDescent="0.25">
      <c r="A29249" t="str">
        <f>HYPERLINK("https://www.773grp.com/globalSearch/MC74VHCT374ADT/page-1", "MC74VHCT374ADT")</f>
        <v>MC74VHCT374ADT</v>
      </c>
      <c r="B29249" s="3" t="str">
        <f>HYPERLINK("https://www.773grp.com/manufacturer/onsemi?pageNo=95", "ON Semiconductor")</f>
        <v>ON Semiconductor</v>
      </c>
      <c r="C29249" s="6">
        <v>16925</v>
      </c>
      <c r="D29249" s="7">
        <v>0.57999999999999996</v>
      </c>
      <c r="E29249" t="s">
        <v>14</v>
      </c>
    </row>
    <row r="29250" spans="1:5" x14ac:dyDescent="0.25">
      <c r="A29250" t="str">
        <f>HYPERLINK("https://www.773grp.com/globalSearch/MC74VHCT50ADR2G/page-1", "MC74VHCT50ADR2G")</f>
        <v>MC74VHCT50ADR2G</v>
      </c>
      <c r="B29250" s="3" t="str">
        <f>HYPERLINK("https://www.773grp.com/manufacturer/onsemi?pageNo=96", "ON Semiconductor")</f>
        <v>ON Semiconductor</v>
      </c>
      <c r="C29250" s="6">
        <v>15560</v>
      </c>
      <c r="D29250" s="7">
        <v>0.57999999999999996</v>
      </c>
      <c r="E29250" t="s">
        <v>31</v>
      </c>
    </row>
    <row r="29251" spans="1:5" x14ac:dyDescent="0.25">
      <c r="A29251" t="str">
        <f>HYPERLINK("https://www.773grp.com/globalSearch/MC74VHCT541ADTR2/page-1", "MC74VHCT541ADTR2")</f>
        <v>MC74VHCT541ADTR2</v>
      </c>
      <c r="B29251" s="3" t="str">
        <f>HYPERLINK("https://www.773grp.com/manufacturer/onsemi?pageNo=97", "ON Semiconductor")</f>
        <v>ON Semiconductor</v>
      </c>
      <c r="C29251" s="6">
        <v>7500</v>
      </c>
      <c r="D29251" s="7">
        <v>0.57999999999999996</v>
      </c>
      <c r="E29251" t="s">
        <v>14</v>
      </c>
    </row>
    <row r="29252" spans="1:5" x14ac:dyDescent="0.25">
      <c r="A29252" t="str">
        <f>HYPERLINK("https://www.773grp.com/globalSearch/MC74VHCU04DR2G/page-1", "MC74VHCU04DR2G")</f>
        <v>MC74VHCU04DR2G</v>
      </c>
      <c r="B29252" s="3" t="str">
        <f>HYPERLINK("https://www.773grp.com/manufacturer/onsemi?pageNo=98", "ON Semiconductor")</f>
        <v>ON Semiconductor</v>
      </c>
      <c r="C29252" s="6">
        <v>6289</v>
      </c>
      <c r="D29252" s="7">
        <v>0.57999999999999996</v>
      </c>
      <c r="E29252" t="s">
        <v>31</v>
      </c>
    </row>
    <row r="29253" spans="1:5" x14ac:dyDescent="0.25">
      <c r="A29253" t="str">
        <f>HYPERLINK("https://www.773grp.com/globalSearch/MC74VHCU04DTR2G/page-1", "MC74VHCU04DTR2G")</f>
        <v>MC74VHCU04DTR2G</v>
      </c>
      <c r="B29253" s="3" t="str">
        <f>HYPERLINK("https://www.773grp.com/manufacturer/onsemi?pageNo=99", "ON Semiconductor")</f>
        <v>ON Semiconductor</v>
      </c>
      <c r="C29253" s="6">
        <v>6101</v>
      </c>
      <c r="D29253" s="7">
        <v>0.57999999999999996</v>
      </c>
      <c r="E29253" t="s">
        <v>31</v>
      </c>
    </row>
    <row r="29254" spans="1:5" x14ac:dyDescent="0.25">
      <c r="A29254" t="str">
        <f>HYPERLINK("https://www.773grp.com/globalSearch/MCAC86M/page-1", "MCAC86M")</f>
        <v>MCAC86M</v>
      </c>
      <c r="B29254" s="3" t="str">
        <f>HYPERLINK("https://www.773grp.com/manufacturer/onsemi?pageNo=100", "ON Semiconductor")</f>
        <v>ON Semiconductor</v>
      </c>
      <c r="C29254" s="6">
        <v>11900</v>
      </c>
      <c r="D29254" s="7">
        <v>0.57999999999999996</v>
      </c>
    </row>
    <row r="29255" spans="1:5" x14ac:dyDescent="0.25">
      <c r="A29255" t="str">
        <f>HYPERLINK("https://www.773grp.com/globalSearch/MCR22-8ZL1/page-1", "MCR22-8ZL1")</f>
        <v>MCR22-8ZL1</v>
      </c>
      <c r="B29255" s="3" t="str">
        <f>HYPERLINK("https://www.773grp.com/manufacturer/onsemi?pageNo=101", "ON Semiconductor")</f>
        <v>ON Semiconductor</v>
      </c>
      <c r="C29255" s="6">
        <v>20000</v>
      </c>
      <c r="D29255" s="7">
        <v>0.57999999999999996</v>
      </c>
      <c r="E29255" t="s">
        <v>97</v>
      </c>
    </row>
    <row r="29256" spans="1:5" x14ac:dyDescent="0.25">
      <c r="A29256" t="str">
        <f>HYPERLINK("https://www.773grp.com/globalSearch/MDC3105LT1G/page-1", "MDC3105LT1G")</f>
        <v>MDC3105LT1G</v>
      </c>
      <c r="B29256" s="3" t="str">
        <f>HYPERLINK("https://www.773grp.com/manufacturer/onsemi?pageNo=102", "ON Semiconductor")</f>
        <v>ON Semiconductor</v>
      </c>
      <c r="C29256" s="6">
        <v>56352</v>
      </c>
      <c r="D29256" s="7">
        <v>0.57999999999999996</v>
      </c>
      <c r="E29256" t="s">
        <v>11</v>
      </c>
    </row>
    <row r="29257" spans="1:5" x14ac:dyDescent="0.25">
      <c r="A29257" t="str">
        <f>HYPERLINK("https://www.773grp.com/globalSearch/MJD44E3T4/page-1", "MJD44E3T4")</f>
        <v>MJD44E3T4</v>
      </c>
      <c r="B29257" s="3" t="str">
        <f>HYPERLINK("https://www.773grp.com/manufacturer/onsemi?pageNo=103", "ON Semiconductor")</f>
        <v>ON Semiconductor</v>
      </c>
      <c r="C29257" s="6">
        <v>2445</v>
      </c>
      <c r="D29257" s="7">
        <v>0.57999999999999996</v>
      </c>
      <c r="E29257" t="s">
        <v>59</v>
      </c>
    </row>
    <row r="29258" spans="1:5" x14ac:dyDescent="0.25">
      <c r="A29258" t="str">
        <f>HYPERLINK("https://www.773grp.com/globalSearch/MKP1V130RL/page-1", "MKP1V130RL")</f>
        <v>MKP1V130RL</v>
      </c>
      <c r="B29258" s="3" t="str">
        <f>HYPERLINK("https://www.773grp.com/manufacturer/onsemi?pageNo=104", "ON Semiconductor")</f>
        <v>ON Semiconductor</v>
      </c>
      <c r="C29258" s="6">
        <v>7900</v>
      </c>
      <c r="D29258" s="7">
        <v>0.57999999999999996</v>
      </c>
      <c r="E29258" t="s">
        <v>111</v>
      </c>
    </row>
    <row r="29259" spans="1:5" x14ac:dyDescent="0.25">
      <c r="A29259" t="str">
        <f>HYPERLINK("https://www.773grp.com/globalSearch/MKP9V160RL/page-1", "MKP9V160RL")</f>
        <v>MKP9V160RL</v>
      </c>
      <c r="B29259" s="3" t="str">
        <f>HYPERLINK("https://www.773grp.com/manufacturer/onsemi?pageNo=105", "ON Semiconductor")</f>
        <v>ON Semiconductor</v>
      </c>
      <c r="C29259" s="6">
        <v>65000</v>
      </c>
      <c r="D29259" s="7">
        <v>0.57999999999999996</v>
      </c>
      <c r="E29259" t="s">
        <v>112</v>
      </c>
    </row>
    <row r="29260" spans="1:5" x14ac:dyDescent="0.25">
      <c r="A29260" t="str">
        <f>HYPERLINK("https://www.773grp.com/globalSearch/MPS651RLRB/page-1", "MPS651RLRB")</f>
        <v>MPS651RLRB</v>
      </c>
      <c r="B29260" s="3" t="str">
        <f>HYPERLINK("https://www.773grp.com/manufacturer/onsemi?pageNo=106", "ON Semiconductor")</f>
        <v>ON Semiconductor</v>
      </c>
      <c r="C29260" s="6">
        <v>16000</v>
      </c>
      <c r="D29260" s="7">
        <v>0.57999999999999996</v>
      </c>
      <c r="E29260" t="s">
        <v>69</v>
      </c>
    </row>
    <row r="29261" spans="1:5" x14ac:dyDescent="0.25">
      <c r="A29261" t="str">
        <f>HYPERLINK("https://www.773grp.com/globalSearch/MUR2100E/page-1", "MUR2100E")</f>
        <v>MUR2100E</v>
      </c>
      <c r="B29261" s="3" t="str">
        <f>HYPERLINK("https://www.773grp.com/manufacturer/onsemi?pageNo=107", "ON Semiconductor")</f>
        <v>ON Semiconductor</v>
      </c>
      <c r="C29261" s="6">
        <v>1410</v>
      </c>
      <c r="D29261" s="7">
        <v>0.57999999999999996</v>
      </c>
      <c r="E29261" t="s">
        <v>103</v>
      </c>
    </row>
    <row r="29262" spans="1:5" x14ac:dyDescent="0.25">
      <c r="A29262" t="str">
        <f>HYPERLINK("https://www.773grp.com/globalSearch/MUR550APFRL/page-1", "MUR550APFRL")</f>
        <v>MUR550APFRL</v>
      </c>
      <c r="B29262" s="3" t="str">
        <f>HYPERLINK("https://www.773grp.com/manufacturer/onsemi?pageNo=108", "ON Semiconductor")</f>
        <v>ON Semiconductor</v>
      </c>
      <c r="C29262" s="6">
        <v>7100</v>
      </c>
      <c r="D29262" s="7">
        <v>0.57999999999999996</v>
      </c>
      <c r="E29262" t="s">
        <v>103</v>
      </c>
    </row>
    <row r="29263" spans="1:5" x14ac:dyDescent="0.25">
      <c r="A29263" t="str">
        <f>HYPERLINK("https://www.773grp.com/globalSearch/MURS115T3G/page-1", "MURS115T3G")</f>
        <v>MURS115T3G</v>
      </c>
      <c r="B29263" s="3" t="str">
        <f>HYPERLINK("https://www.773grp.com/manufacturer/onsemi?pageNo=109", "ON Semiconductor")</f>
        <v>ON Semiconductor</v>
      </c>
      <c r="C29263" s="6">
        <v>1500</v>
      </c>
      <c r="D29263" s="7">
        <v>0.57999999999999996</v>
      </c>
    </row>
    <row r="29264" spans="1:5" x14ac:dyDescent="0.25">
      <c r="A29264" t="str">
        <f>HYPERLINK("https://www.773grp.com/globalSearch/MURS120T3G/page-1", "MURS120T3G")</f>
        <v>MURS120T3G</v>
      </c>
      <c r="B29264" s="3" t="str">
        <f>HYPERLINK("https://www.773grp.com/manufacturer/onsemi?pageNo=110", "ON Semiconductor")</f>
        <v>ON Semiconductor</v>
      </c>
      <c r="C29264" s="6">
        <v>167500</v>
      </c>
      <c r="D29264" s="7">
        <v>0.57999999999999996</v>
      </c>
      <c r="E29264" t="s">
        <v>103</v>
      </c>
    </row>
    <row r="29265" spans="1:5" x14ac:dyDescent="0.25">
      <c r="A29265" t="str">
        <f>HYPERLINK("https://www.773grp.com/globalSearch/MURS140T3G/page-1", "MURS140T3G")</f>
        <v>MURS140T3G</v>
      </c>
      <c r="B29265" s="3" t="str">
        <f>HYPERLINK("https://www.773grp.com/manufacturer/onsemi?pageNo=111", "ON Semiconductor")</f>
        <v>ON Semiconductor</v>
      </c>
      <c r="C29265" s="6">
        <v>124500</v>
      </c>
      <c r="D29265" s="7">
        <v>0.57999999999999996</v>
      </c>
      <c r="E29265" t="s">
        <v>103</v>
      </c>
    </row>
    <row r="29266" spans="1:5" x14ac:dyDescent="0.25">
      <c r="A29266" t="str">
        <f>HYPERLINK("https://www.773grp.com/globalSearch/MURS160T3G/page-1", "MURS160T3G")</f>
        <v>MURS160T3G</v>
      </c>
      <c r="B29266" s="3" t="str">
        <f>HYPERLINK("https://www.773grp.com/manufacturer/onsemi?pageNo=112", "ON Semiconductor")</f>
        <v>ON Semiconductor</v>
      </c>
      <c r="C29266" s="6">
        <v>2320</v>
      </c>
      <c r="D29266" s="7">
        <v>0.57999999999999996</v>
      </c>
      <c r="E29266" t="s">
        <v>103</v>
      </c>
    </row>
    <row r="29267" spans="1:5" x14ac:dyDescent="0.25">
      <c r="A29267" t="str">
        <f>HYPERLINK("https://www.773grp.com/globalSearch/MZ4617RL/page-1", "MZ4617RL")</f>
        <v>MZ4617RL</v>
      </c>
      <c r="B29267" s="3" t="str">
        <f>HYPERLINK("https://www.773grp.com/manufacturer/onsemi?pageNo=113", "ON Semiconductor")</f>
        <v>ON Semiconductor</v>
      </c>
      <c r="C29267" s="6">
        <v>10000</v>
      </c>
      <c r="D29267" s="7">
        <v>0.57999999999999996</v>
      </c>
      <c r="E29267" t="s">
        <v>98</v>
      </c>
    </row>
    <row r="29268" spans="1:5" x14ac:dyDescent="0.25">
      <c r="A29268" t="str">
        <f>HYPERLINK("https://www.773grp.com/globalSearch/MZ4622RL/page-1", "MZ4622RL")</f>
        <v>MZ4622RL</v>
      </c>
      <c r="B29268" s="3" t="str">
        <f>HYPERLINK("https://www.773grp.com/manufacturer/onsemi?pageNo=114", "ON Semiconductor")</f>
        <v>ON Semiconductor</v>
      </c>
      <c r="C29268" s="6">
        <v>40000</v>
      </c>
      <c r="D29268" s="7">
        <v>0.57999999999999996</v>
      </c>
      <c r="E29268" t="s">
        <v>98</v>
      </c>
    </row>
    <row r="29269" spans="1:5" x14ac:dyDescent="0.25">
      <c r="A29269" t="str">
        <f>HYPERLINK("https://www.773grp.com/globalSearch/MZP4737ARL/page-1", "MZP4737ARL")</f>
        <v>MZP4737ARL</v>
      </c>
      <c r="B29269" s="3" t="str">
        <f>HYPERLINK("https://www.773grp.com/manufacturer/onsemi?pageNo=115", "ON Semiconductor")</f>
        <v>ON Semiconductor</v>
      </c>
      <c r="C29269" s="6">
        <v>18000</v>
      </c>
      <c r="D29269" s="7">
        <v>0.57999999999999996</v>
      </c>
      <c r="E29269" t="s">
        <v>98</v>
      </c>
    </row>
    <row r="29270" spans="1:5" x14ac:dyDescent="0.25">
      <c r="A29270" t="str">
        <f>HYPERLINK("https://www.773grp.com/globalSearch/NCP1117DT25T5G/page-1", "NCP1117DT25T5G")</f>
        <v>NCP1117DT25T5G</v>
      </c>
      <c r="B29270" s="3" t="str">
        <f>HYPERLINK("https://www.773grp.com/manufacturer/onsemi?pageNo=116", "ON Semiconductor")</f>
        <v>ON Semiconductor</v>
      </c>
      <c r="C29270" s="6">
        <v>7172</v>
      </c>
      <c r="D29270" s="7">
        <v>0.57999999999999996</v>
      </c>
      <c r="E29270" t="s">
        <v>19</v>
      </c>
    </row>
    <row r="29271" spans="1:5" x14ac:dyDescent="0.25">
      <c r="A29271" t="str">
        <f>HYPERLINK("https://www.773grp.com/globalSearch/NCP431ACDR2G/page-1", "NCP431ACDR2G")</f>
        <v>NCP431ACDR2G</v>
      </c>
      <c r="B29271" s="3" t="str">
        <f>HYPERLINK("https://www.773grp.com/manufacturer/onsemi?pageNo=117", "ON Semiconductor")</f>
        <v>ON Semiconductor</v>
      </c>
      <c r="C29271" s="6">
        <v>12500</v>
      </c>
      <c r="D29271" s="7">
        <v>0.57999999999999996</v>
      </c>
    </row>
    <row r="29272" spans="1:5" x14ac:dyDescent="0.25">
      <c r="A29272" t="str">
        <f>HYPERLINK("https://www.773grp.com/globalSearch/NCP431ACLPRAG/page-1", "NCP431ACLPRAG")</f>
        <v>NCP431ACLPRAG</v>
      </c>
      <c r="B29272" s="3" t="str">
        <f>HYPERLINK("https://www.773grp.com/manufacturer/onsemi?pageNo=118", "ON Semiconductor")</f>
        <v>ON Semiconductor</v>
      </c>
      <c r="C29272" s="6">
        <v>20000</v>
      </c>
      <c r="D29272" s="7">
        <v>0.57999999999999996</v>
      </c>
    </row>
    <row r="29273" spans="1:5" x14ac:dyDescent="0.25">
      <c r="A29273" t="str">
        <f>HYPERLINK("https://www.773grp.com/globalSearch/NCP431AIDR2G/page-1", "NCP431AIDR2G")</f>
        <v>NCP431AIDR2G</v>
      </c>
      <c r="B29273" s="3" t="str">
        <f>HYPERLINK("https://www.773grp.com/manufacturer/onsemi?pageNo=119", "ON Semiconductor")</f>
        <v>ON Semiconductor</v>
      </c>
      <c r="C29273" s="6">
        <v>187500</v>
      </c>
      <c r="D29273" s="7">
        <v>0.57999999999999996</v>
      </c>
    </row>
    <row r="29274" spans="1:5" x14ac:dyDescent="0.25">
      <c r="A29274" t="str">
        <f>HYPERLINK("https://www.773grp.com/globalSearch/NCP431AILPRAG/page-1", "NCP431AILPRAG")</f>
        <v>NCP431AILPRAG</v>
      </c>
      <c r="B29274" s="3" t="str">
        <f>HYPERLINK("https://www.773grp.com/manufacturer/onsemi?pageNo=120", "ON Semiconductor")</f>
        <v>ON Semiconductor</v>
      </c>
      <c r="C29274" s="6">
        <v>16000</v>
      </c>
      <c r="D29274" s="7">
        <v>0.57999999999999996</v>
      </c>
    </row>
    <row r="29275" spans="1:5" x14ac:dyDescent="0.25">
      <c r="A29275" t="str">
        <f>HYPERLINK("https://www.773grp.com/globalSearch/NCP431AVLPRAG/page-1", "NCP431AVLPRAG")</f>
        <v>NCP431AVLPRAG</v>
      </c>
      <c r="B29275" s="3" t="str">
        <f>HYPERLINK("https://www.773grp.com/manufacturer/onsemi?pageNo=121", "ON Semiconductor")</f>
        <v>ON Semiconductor</v>
      </c>
      <c r="C29275" s="6">
        <v>114000</v>
      </c>
      <c r="D29275" s="7">
        <v>0.57999999999999996</v>
      </c>
    </row>
    <row r="29276" spans="1:5" x14ac:dyDescent="0.25">
      <c r="A29276" t="str">
        <f>HYPERLINK("https://www.773grp.com/globalSearch/NCP502SQ25T1G/page-1", "NCP502SQ25T1G")</f>
        <v>NCP502SQ25T1G</v>
      </c>
      <c r="B29276" s="3" t="str">
        <f>HYPERLINK("https://www.773grp.com/manufacturer/onsemi?pageNo=122", "ON Semiconductor")</f>
        <v>ON Semiconductor</v>
      </c>
      <c r="C29276" s="6">
        <v>12229</v>
      </c>
      <c r="D29276" s="7">
        <v>0.57999999999999996</v>
      </c>
      <c r="E29276" t="s">
        <v>19</v>
      </c>
    </row>
    <row r="29277" spans="1:5" x14ac:dyDescent="0.25">
      <c r="A29277" t="str">
        <f>HYPERLINK("https://www.773grp.com/globalSearch/NCP502SQ27T1G/page-1", "NCP502SQ27T1G")</f>
        <v>NCP502SQ27T1G</v>
      </c>
      <c r="B29277" s="3" t="str">
        <f>HYPERLINK("https://www.773grp.com/manufacturer/onsemi?pageNo=123", "ON Semiconductor")</f>
        <v>ON Semiconductor</v>
      </c>
      <c r="C29277" s="6">
        <v>11542</v>
      </c>
      <c r="D29277" s="7">
        <v>0.57999999999999996</v>
      </c>
      <c r="E29277" t="s">
        <v>19</v>
      </c>
    </row>
    <row r="29278" spans="1:5" x14ac:dyDescent="0.25">
      <c r="A29278" t="str">
        <f>HYPERLINK("https://www.773grp.com/globalSearch/NCP502SQ36T1G/page-1", "NCP502SQ36T1G")</f>
        <v>NCP502SQ36T1G</v>
      </c>
      <c r="B29278" s="3" t="str">
        <f>HYPERLINK("https://www.773grp.com/manufacturer/onsemi?pageNo=124", "ON Semiconductor")</f>
        <v>ON Semiconductor</v>
      </c>
      <c r="C29278" s="6">
        <v>316734</v>
      </c>
      <c r="D29278" s="7">
        <v>0.57999999999999996</v>
      </c>
      <c r="E29278" t="s">
        <v>19</v>
      </c>
    </row>
    <row r="29279" spans="1:5" x14ac:dyDescent="0.25">
      <c r="A29279" t="str">
        <f>HYPERLINK("https://www.773grp.com/globalSearch/NCP502SQ50T1/page-1", "NCP502SQ50T1")</f>
        <v>NCP502SQ50T1</v>
      </c>
      <c r="B29279" s="3" t="str">
        <f>HYPERLINK("https://www.773grp.com/manufacturer/onsemi?pageNo=125", "ON Semiconductor")</f>
        <v>ON Semiconductor</v>
      </c>
      <c r="C29279" s="6">
        <v>7901</v>
      </c>
      <c r="D29279" s="7">
        <v>0.57999999999999996</v>
      </c>
      <c r="E29279" t="s">
        <v>19</v>
      </c>
    </row>
    <row r="29280" spans="1:5" x14ac:dyDescent="0.25">
      <c r="A29280" t="str">
        <f>HYPERLINK("https://www.773grp.com/globalSearch/NCP512SQ18T1/page-1", "NCP512SQ18T1")</f>
        <v>NCP512SQ18T1</v>
      </c>
      <c r="B29280" s="3" t="str">
        <f>HYPERLINK("https://www.773grp.com/manufacturer/onsemi?pageNo=126", "ON Semiconductor")</f>
        <v>ON Semiconductor</v>
      </c>
      <c r="C29280" s="6">
        <v>287613</v>
      </c>
      <c r="D29280" s="7">
        <v>0.57999999999999996</v>
      </c>
      <c r="E29280" t="s">
        <v>19</v>
      </c>
    </row>
    <row r="29281" spans="1:5" x14ac:dyDescent="0.25">
      <c r="A29281" t="str">
        <f>HYPERLINK("https://www.773grp.com/globalSearch/NCP512SQ25T1/page-1", "NCP512SQ25T1")</f>
        <v>NCP512SQ25T1</v>
      </c>
      <c r="B29281" s="3" t="str">
        <f>HYPERLINK("https://www.773grp.com/manufacturer/onsemi?pageNo=127", "ON Semiconductor")</f>
        <v>ON Semiconductor</v>
      </c>
      <c r="C29281" s="6">
        <v>16278</v>
      </c>
      <c r="D29281" s="7">
        <v>0.57999999999999996</v>
      </c>
      <c r="E29281" t="s">
        <v>19</v>
      </c>
    </row>
    <row r="29282" spans="1:5" x14ac:dyDescent="0.25">
      <c r="A29282" t="str">
        <f>HYPERLINK("https://www.773grp.com/globalSearch/NCP512SQ25T1G/page-1", "NCP512SQ25T1G")</f>
        <v>NCP512SQ25T1G</v>
      </c>
      <c r="B29282" s="3" t="str">
        <f>HYPERLINK("https://www.773grp.com/manufacturer/onsemi?pageNo=128", "ON Semiconductor")</f>
        <v>ON Semiconductor</v>
      </c>
      <c r="C29282" s="6">
        <v>20002</v>
      </c>
      <c r="D29282" s="7">
        <v>0.57999999999999996</v>
      </c>
      <c r="E29282" t="s">
        <v>19</v>
      </c>
    </row>
    <row r="29283" spans="1:5" x14ac:dyDescent="0.25">
      <c r="A29283" t="str">
        <f>HYPERLINK("https://www.773grp.com/globalSearch/NCP512SQ28T1/page-1", "NCP512SQ28T1")</f>
        <v>NCP512SQ28T1</v>
      </c>
      <c r="B29283" s="3" t="str">
        <f>HYPERLINK("https://www.773grp.com/manufacturer/onsemi?pageNo=129", "ON Semiconductor")</f>
        <v>ON Semiconductor</v>
      </c>
      <c r="C29283" s="6">
        <v>42332</v>
      </c>
      <c r="D29283" s="7">
        <v>0.57999999999999996</v>
      </c>
      <c r="E29283" t="s">
        <v>19</v>
      </c>
    </row>
    <row r="29284" spans="1:5" x14ac:dyDescent="0.25">
      <c r="A29284" t="str">
        <f>HYPERLINK("https://www.773grp.com/globalSearch/NCP512SQ31T1/page-1", "NCP512SQ31T1")</f>
        <v>NCP512SQ31T1</v>
      </c>
      <c r="B29284" s="3" t="str">
        <f>HYPERLINK("https://www.773grp.com/manufacturer/onsemi?pageNo=130", "ON Semiconductor")</f>
        <v>ON Semiconductor</v>
      </c>
      <c r="C29284" s="6">
        <v>16180</v>
      </c>
      <c r="D29284" s="7">
        <v>0.57999999999999996</v>
      </c>
      <c r="E29284" t="s">
        <v>19</v>
      </c>
    </row>
    <row r="29285" spans="1:5" x14ac:dyDescent="0.25">
      <c r="A29285" t="str">
        <f>HYPERLINK("https://www.773grp.com/globalSearch/NCP803SN293D1T1G/page-1", "NCP803SN293D1T1G")</f>
        <v>NCP803SN293D1T1G</v>
      </c>
      <c r="B29285" s="3" t="str">
        <f>HYPERLINK("https://www.773grp.com/manufacturer/onsemi?pageNo=131", "ON Semiconductor")</f>
        <v>ON Semiconductor</v>
      </c>
      <c r="C29285" s="6">
        <v>7000</v>
      </c>
      <c r="D29285" s="7">
        <v>0.57999999999999996</v>
      </c>
      <c r="E29285" t="s">
        <v>30</v>
      </c>
    </row>
    <row r="29286" spans="1:5" x14ac:dyDescent="0.25">
      <c r="A29286" t="str">
        <f>HYPERLINK("https://www.773grp.com/globalSearch/NJVMJD127T4/page-1", "NJVMJD127T4")</f>
        <v>NJVMJD127T4</v>
      </c>
      <c r="B29286" s="3" t="str">
        <f>HYPERLINK("https://www.773grp.com/manufacturer/onsemi?pageNo=132", "ON Semiconductor")</f>
        <v>ON Semiconductor</v>
      </c>
      <c r="C29286" s="6">
        <v>22500</v>
      </c>
      <c r="D29286" s="7">
        <v>0.57999999999999996</v>
      </c>
    </row>
    <row r="29287" spans="1:5" x14ac:dyDescent="0.25">
      <c r="A29287" t="str">
        <f>HYPERLINK("https://www.773grp.com/globalSearch/NL27WZ04DFT1G/page-1", "NL27WZ04DFT1G")</f>
        <v>NL27WZ04DFT1G</v>
      </c>
      <c r="B29287" s="3" t="str">
        <f>HYPERLINK("https://www.773grp.com/manufacturer/onsemi?pageNo=133", "ON Semiconductor")</f>
        <v>ON Semiconductor</v>
      </c>
      <c r="C29287" s="6">
        <v>38600</v>
      </c>
      <c r="D29287" s="7">
        <v>0.57999999999999996</v>
      </c>
    </row>
    <row r="29288" spans="1:5" x14ac:dyDescent="0.25">
      <c r="A29288" t="str">
        <f>HYPERLINK("https://www.773grp.com/globalSearch/NL27WZ04DFT2G/page-1", "NL27WZ04DFT2G")</f>
        <v>NL27WZ04DFT2G</v>
      </c>
      <c r="B29288" s="3" t="str">
        <f>HYPERLINK("https://www.773grp.com/manufacturer/onsemi?pageNo=134", "ON Semiconductor")</f>
        <v>ON Semiconductor</v>
      </c>
      <c r="C29288" s="6">
        <v>496741</v>
      </c>
      <c r="D29288" s="7">
        <v>0.57999999999999996</v>
      </c>
      <c r="E29288" t="s">
        <v>31</v>
      </c>
    </row>
    <row r="29289" spans="1:5" x14ac:dyDescent="0.25">
      <c r="A29289" t="str">
        <f>HYPERLINK("https://www.773grp.com/globalSearch/NL27WZ06DFT2G/page-1", "NL27WZ06DFT2G")</f>
        <v>NL27WZ06DFT2G</v>
      </c>
      <c r="B29289" s="3" t="str">
        <f>HYPERLINK("https://www.773grp.com/manufacturer/onsemi?pageNo=135", "ON Semiconductor")</f>
        <v>ON Semiconductor</v>
      </c>
      <c r="C29289" s="6">
        <v>118555</v>
      </c>
      <c r="D29289" s="7">
        <v>0.57999999999999996</v>
      </c>
      <c r="E29289" t="s">
        <v>31</v>
      </c>
    </row>
    <row r="29290" spans="1:5" x14ac:dyDescent="0.25">
      <c r="A29290" t="str">
        <f>HYPERLINK("https://www.773grp.com/globalSearch/NL27WZ07DFT2G/page-1", "NL27WZ07DFT2G")</f>
        <v>NL27WZ07DFT2G</v>
      </c>
      <c r="B29290" s="3" t="str">
        <f>HYPERLINK("https://www.773grp.com/manufacturer/onsemi?pageNo=136", "ON Semiconductor")</f>
        <v>ON Semiconductor</v>
      </c>
      <c r="C29290" s="6">
        <v>299382</v>
      </c>
      <c r="D29290" s="7">
        <v>0.57999999999999996</v>
      </c>
      <c r="E29290" t="s">
        <v>31</v>
      </c>
    </row>
    <row r="29291" spans="1:5" x14ac:dyDescent="0.25">
      <c r="A29291" t="str">
        <f>HYPERLINK("https://www.773grp.com/globalSearch/NL27WZ14DFT2G/page-1", "NL27WZ14DFT2G")</f>
        <v>NL27WZ14DFT2G</v>
      </c>
      <c r="B29291" s="3" t="str">
        <f>HYPERLINK("https://www.773grp.com/manufacturer/onsemi?pageNo=137", "ON Semiconductor")</f>
        <v>ON Semiconductor</v>
      </c>
      <c r="C29291" s="6">
        <v>4259785</v>
      </c>
      <c r="D29291" s="7">
        <v>0.57999999999999996</v>
      </c>
      <c r="E29291" t="s">
        <v>31</v>
      </c>
    </row>
    <row r="29292" spans="1:5" x14ac:dyDescent="0.25">
      <c r="A29292" t="str">
        <f>HYPERLINK("https://www.773grp.com/globalSearch/NL27WZ16DFT2G/page-1", "NL27WZ16DFT2G")</f>
        <v>NL27WZ16DFT2G</v>
      </c>
      <c r="B29292" s="3" t="str">
        <f>HYPERLINK("https://www.773grp.com/manufacturer/onsemi?pageNo=138", "ON Semiconductor")</f>
        <v>ON Semiconductor</v>
      </c>
      <c r="C29292" s="6">
        <v>195000</v>
      </c>
      <c r="D29292" s="7">
        <v>0.57999999999999996</v>
      </c>
      <c r="E29292" t="s">
        <v>31</v>
      </c>
    </row>
    <row r="29293" spans="1:5" x14ac:dyDescent="0.25">
      <c r="A29293" t="str">
        <f>HYPERLINK("https://www.773grp.com/globalSearch/NL27WZ17DFT2G/page-1", "NL27WZ17DFT2G")</f>
        <v>NL27WZ17DFT2G</v>
      </c>
      <c r="B29293" s="3" t="str">
        <f>HYPERLINK("https://www.773grp.com/manufacturer/onsemi?pageNo=139", "ON Semiconductor")</f>
        <v>ON Semiconductor</v>
      </c>
      <c r="C29293" s="6">
        <v>1664920</v>
      </c>
      <c r="D29293" s="7">
        <v>0.57999999999999996</v>
      </c>
      <c r="E29293" t="s">
        <v>31</v>
      </c>
    </row>
    <row r="29294" spans="1:5" x14ac:dyDescent="0.25">
      <c r="A29294" t="str">
        <f>HYPERLINK("https://www.773grp.com/globalSearch/NL27WZU04DFT2G/page-1", "NL27WZU04DFT2G")</f>
        <v>NL27WZU04DFT2G</v>
      </c>
      <c r="B29294" s="3" t="str">
        <f>HYPERLINK("https://www.773grp.com/manufacturer/onsemi?pageNo=140", "ON Semiconductor")</f>
        <v>ON Semiconductor</v>
      </c>
      <c r="C29294" s="6">
        <v>110900</v>
      </c>
      <c r="D29294" s="7">
        <v>0.57999999999999996</v>
      </c>
      <c r="E29294" t="s">
        <v>31</v>
      </c>
    </row>
    <row r="29295" spans="1:5" x14ac:dyDescent="0.25">
      <c r="A29295" t="str">
        <f>HYPERLINK("https://www.773grp.com/globalSearch/NLAS2066US/page-1", "NLAS2066US")</f>
        <v>NLAS2066US</v>
      </c>
      <c r="B29295" s="3" t="str">
        <f>HYPERLINK("https://www.773grp.com/manufacturer/onsemi?pageNo=141", "ON Semiconductor")</f>
        <v>ON Semiconductor</v>
      </c>
      <c r="C29295" s="6">
        <v>33000</v>
      </c>
      <c r="D29295" s="7">
        <v>0.57999999999999996</v>
      </c>
      <c r="E29295" t="s">
        <v>56</v>
      </c>
    </row>
    <row r="29296" spans="1:5" x14ac:dyDescent="0.25">
      <c r="A29296" t="str">
        <f>HYPERLINK("https://www.773grp.com/globalSearch/NLX1G99CMX1TCG/page-1", "NLX1G99CMX1TCG")</f>
        <v>NLX1G99CMX1TCG</v>
      </c>
      <c r="B29296" s="3" t="str">
        <f>HYPERLINK("https://www.773grp.com/manufacturer/onsemi?pageNo=142", "ON Semiconductor")</f>
        <v>ON Semiconductor</v>
      </c>
      <c r="C29296" s="6">
        <v>132000</v>
      </c>
      <c r="D29296" s="7">
        <v>0.57999999999999996</v>
      </c>
      <c r="E29296" t="s">
        <v>83</v>
      </c>
    </row>
    <row r="29297" spans="1:5" x14ac:dyDescent="0.25">
      <c r="A29297" t="str">
        <f>HYPERLINK("https://www.773grp.com/globalSearch/NLX2G08MUTCG/page-1", "NLX2G08MUTCG")</f>
        <v>NLX2G08MUTCG</v>
      </c>
      <c r="B29297" s="3" t="str">
        <f>HYPERLINK("https://www.773grp.com/manufacturer/onsemi?pageNo=143", "ON Semiconductor")</f>
        <v>ON Semiconductor</v>
      </c>
      <c r="C29297" s="6">
        <v>26900</v>
      </c>
      <c r="D29297" s="7">
        <v>0.57999999999999996</v>
      </c>
    </row>
    <row r="29298" spans="1:5" x14ac:dyDescent="0.25">
      <c r="A29298" t="str">
        <f>HYPERLINK("https://www.773grp.com/globalSearch/NP3100SB1/page-1", "NP3100SB1")</f>
        <v>NP3100SB1</v>
      </c>
      <c r="B29298" s="3" t="str">
        <f>HYPERLINK("https://www.773grp.com/manufacturer/onsemi?pageNo=144", "ON Semiconductor")</f>
        <v>ON Semiconductor</v>
      </c>
      <c r="C29298" s="6">
        <v>490000</v>
      </c>
      <c r="D29298" s="7">
        <v>0.57999999999999996</v>
      </c>
    </row>
    <row r="29299" spans="1:5" x14ac:dyDescent="0.25">
      <c r="A29299" t="str">
        <f>HYPERLINK("https://www.773grp.com/globalSearch/NSL12AWT1G/page-1", "NSL12AWT1G")</f>
        <v>NSL12AWT1G</v>
      </c>
      <c r="B29299" s="3" t="str">
        <f>HYPERLINK("https://www.773grp.com/manufacturer/onsemi?pageNo=145", "ON Semiconductor")</f>
        <v>ON Semiconductor</v>
      </c>
      <c r="C29299" s="6">
        <v>284464</v>
      </c>
      <c r="D29299" s="7">
        <v>0.57999999999999996</v>
      </c>
      <c r="E29299" t="s">
        <v>69</v>
      </c>
    </row>
    <row r="29300" spans="1:5" x14ac:dyDescent="0.25">
      <c r="A29300" t="str">
        <f>HYPERLINK("https://www.773grp.com/globalSearch/NSR0320XV6T1G/page-1", "NSR0320XV6T1G")</f>
        <v>NSR0320XV6T1G</v>
      </c>
      <c r="B29300" s="3" t="str">
        <f>HYPERLINK("https://www.773grp.com/manufacturer/onsemi?pageNo=146", "ON Semiconductor")</f>
        <v>ON Semiconductor</v>
      </c>
      <c r="C29300" s="6">
        <v>23850</v>
      </c>
      <c r="D29300" s="7">
        <v>0.57999999999999996</v>
      </c>
      <c r="E29300" t="s">
        <v>94</v>
      </c>
    </row>
    <row r="29301" spans="1:5" x14ac:dyDescent="0.25">
      <c r="A29301" t="str">
        <f>HYPERLINK("https://www.773grp.com/globalSearch/NSR0320XV6T5G/page-1", "NSR0320XV6T5G")</f>
        <v>NSR0320XV6T5G</v>
      </c>
      <c r="B29301" s="3" t="str">
        <f>HYPERLINK("https://www.773grp.com/manufacturer/onsemi?pageNo=147", "ON Semiconductor")</f>
        <v>ON Semiconductor</v>
      </c>
      <c r="C29301" s="6">
        <v>40000</v>
      </c>
      <c r="D29301" s="7">
        <v>0.57999999999999996</v>
      </c>
      <c r="E29301" t="s">
        <v>94</v>
      </c>
    </row>
    <row r="29302" spans="1:5" x14ac:dyDescent="0.25">
      <c r="A29302" t="str">
        <f>HYPERLINK("https://www.773grp.com/globalSearch/NSS30070MR6T1G/page-1", "NSS30070MR6T1G")</f>
        <v>NSS30070MR6T1G</v>
      </c>
      <c r="B29302" s="3" t="str">
        <f>HYPERLINK("https://www.773grp.com/manufacturer/onsemi?pageNo=148", "ON Semiconductor")</f>
        <v>ON Semiconductor</v>
      </c>
      <c r="C29302" s="6">
        <v>152023</v>
      </c>
      <c r="D29302" s="7">
        <v>0.57999999999999996</v>
      </c>
      <c r="E29302" t="s">
        <v>69</v>
      </c>
    </row>
    <row r="29303" spans="1:5" x14ac:dyDescent="0.25">
      <c r="A29303" t="str">
        <f>HYPERLINK("https://www.773grp.com/globalSearch/NTD15N06-001/page-1", "NTD15N06-001")</f>
        <v>NTD15N06-001</v>
      </c>
      <c r="B29303" s="3" t="str">
        <f>HYPERLINK("https://www.773grp.com/manufacturer/onsemi?pageNo=149", "ON Semiconductor")</f>
        <v>ON Semiconductor</v>
      </c>
      <c r="C29303" s="6">
        <v>1200</v>
      </c>
      <c r="D29303" s="7">
        <v>0.57999999999999996</v>
      </c>
    </row>
    <row r="29304" spans="1:5" x14ac:dyDescent="0.25">
      <c r="A29304" t="str">
        <f>HYPERLINK("https://www.773grp.com/globalSearch/NTD15N06L-1G/page-1", "NTD15N06L-1G")</f>
        <v>NTD15N06L-1G</v>
      </c>
      <c r="B29304" s="3" t="str">
        <f>HYPERLINK("https://www.773grp.com/manufacturer/onsemi?pageNo=150", "ON Semiconductor")</f>
        <v>ON Semiconductor</v>
      </c>
      <c r="C29304" s="6">
        <v>2725</v>
      </c>
      <c r="D29304" s="7">
        <v>0.57999999999999996</v>
      </c>
      <c r="E29304" t="s">
        <v>105</v>
      </c>
    </row>
    <row r="29305" spans="1:5" x14ac:dyDescent="0.25">
      <c r="A29305" t="str">
        <f>HYPERLINK("https://www.773grp.com/globalSearch/NTD15N06LG/page-1", "NTD15N06LG")</f>
        <v>NTD15N06LG</v>
      </c>
      <c r="B29305" s="3" t="str">
        <f>HYPERLINK("https://www.773grp.com/manufacturer/onsemi?pageNo=151", "ON Semiconductor")</f>
        <v>ON Semiconductor</v>
      </c>
      <c r="C29305" s="6">
        <v>590</v>
      </c>
      <c r="D29305" s="7">
        <v>0.57999999999999996</v>
      </c>
      <c r="E29305" t="s">
        <v>105</v>
      </c>
    </row>
    <row r="29306" spans="1:5" x14ac:dyDescent="0.25">
      <c r="A29306" t="str">
        <f>HYPERLINK("https://www.773grp.com/globalSearch/NTD15N06LT4/page-1", "NTD15N06LT4")</f>
        <v>NTD15N06LT4</v>
      </c>
      <c r="B29306" s="3" t="str">
        <f>HYPERLINK("https://www.773grp.com/manufacturer/onsemi?pageNo=152", "ON Semiconductor")</f>
        <v>ON Semiconductor</v>
      </c>
      <c r="C29306" s="6">
        <v>4990</v>
      </c>
      <c r="D29306" s="7">
        <v>0.57999999999999996</v>
      </c>
      <c r="E29306" t="s">
        <v>105</v>
      </c>
    </row>
    <row r="29307" spans="1:5" x14ac:dyDescent="0.25">
      <c r="A29307" t="str">
        <f>HYPERLINK("https://www.773grp.com/globalSearch/NTD15N06LT4G/page-1", "NTD15N06LT4G")</f>
        <v>NTD15N06LT4G</v>
      </c>
      <c r="B29307" s="3" t="str">
        <f>HYPERLINK("https://www.773grp.com/manufacturer/onsemi?pageNo=153", "ON Semiconductor")</f>
        <v>ON Semiconductor</v>
      </c>
      <c r="C29307" s="6">
        <v>17500</v>
      </c>
      <c r="D29307" s="7">
        <v>0.57999999999999996</v>
      </c>
      <c r="E29307" t="s">
        <v>105</v>
      </c>
    </row>
    <row r="29308" spans="1:5" x14ac:dyDescent="0.25">
      <c r="A29308" t="str">
        <f>HYPERLINK("https://www.773grp.com/globalSearch/NTD15N06T4G/page-1", "NTD15N06T4G")</f>
        <v>NTD15N06T4G</v>
      </c>
      <c r="B29308" s="3" t="str">
        <f>HYPERLINK("https://www.773grp.com/manufacturer/onsemi?pageNo=154", "ON Semiconductor")</f>
        <v>ON Semiconductor</v>
      </c>
      <c r="C29308" s="6">
        <v>40000</v>
      </c>
      <c r="D29308" s="7">
        <v>0.57999999999999996</v>
      </c>
      <c r="E29308" t="s">
        <v>105</v>
      </c>
    </row>
    <row r="29309" spans="1:5" x14ac:dyDescent="0.25">
      <c r="A29309" t="str">
        <f>HYPERLINK("https://www.773grp.com/globalSearch/NTD80N02T4/page-1", "NTD80N02T4")</f>
        <v>NTD80N02T4</v>
      </c>
      <c r="B29309" s="3" t="str">
        <f>HYPERLINK("https://www.773grp.com/manufacturer/onsemi?pageNo=155", "ON Semiconductor")</f>
        <v>ON Semiconductor</v>
      </c>
      <c r="C29309" s="6">
        <v>27323</v>
      </c>
      <c r="D29309" s="7">
        <v>0.57999999999999996</v>
      </c>
      <c r="E29309" t="s">
        <v>105</v>
      </c>
    </row>
    <row r="29310" spans="1:5" x14ac:dyDescent="0.25">
      <c r="A29310" t="str">
        <f>HYPERLINK("https://www.773grp.com/globalSearch/NTGD4169FT1G/page-1", "NTGD4169FT1G")</f>
        <v>NTGD4169FT1G</v>
      </c>
      <c r="B29310" s="3" t="str">
        <f>HYPERLINK("https://www.773grp.com/manufacturer/onsemi?pageNo=156", "ON Semiconductor")</f>
        <v>ON Semiconductor</v>
      </c>
      <c r="C29310" s="6">
        <v>185907</v>
      </c>
      <c r="D29310" s="7">
        <v>0.57999999999999996</v>
      </c>
      <c r="E29310" t="s">
        <v>106</v>
      </c>
    </row>
    <row r="29311" spans="1:5" x14ac:dyDescent="0.25">
      <c r="A29311" t="str">
        <f>HYPERLINK("https://www.773grp.com/globalSearch/NTHD5905T1/page-1", "NTHD5905T1")</f>
        <v>NTHD5905T1</v>
      </c>
      <c r="B29311" s="3" t="str">
        <f>HYPERLINK("https://www.773grp.com/manufacturer/onsemi?pageNo=157", "ON Semiconductor")</f>
        <v>ON Semiconductor</v>
      </c>
      <c r="C29311" s="6">
        <v>408000</v>
      </c>
      <c r="D29311" s="7">
        <v>0.57999999999999996</v>
      </c>
      <c r="E29311" t="s">
        <v>106</v>
      </c>
    </row>
    <row r="29312" spans="1:5" x14ac:dyDescent="0.25">
      <c r="A29312" t="str">
        <f>HYPERLINK("https://www.773grp.com/globalSearch/NTHS2101PT1/page-1", "NTHS2101PT1")</f>
        <v>NTHS2101PT1</v>
      </c>
      <c r="B29312" s="3" t="str">
        <f>HYPERLINK("https://www.773grp.com/manufacturer/onsemi?pageNo=158", "ON Semiconductor")</f>
        <v>ON Semiconductor</v>
      </c>
      <c r="C29312" s="6">
        <v>1598919</v>
      </c>
      <c r="D29312" s="7">
        <v>0.57999999999999996</v>
      </c>
      <c r="E29312" t="s">
        <v>105</v>
      </c>
    </row>
    <row r="29313" spans="1:5" x14ac:dyDescent="0.25">
      <c r="A29313" t="str">
        <f>HYPERLINK("https://www.773grp.com/globalSearch/NTHS4101PT1/page-1", "NTHS4101PT1")</f>
        <v>NTHS4101PT1</v>
      </c>
      <c r="B29313" s="3" t="str">
        <f>HYPERLINK("https://www.773grp.com/manufacturer/onsemi?pageNo=159", "ON Semiconductor")</f>
        <v>ON Semiconductor</v>
      </c>
      <c r="C29313" s="6">
        <v>21960</v>
      </c>
      <c r="D29313" s="7">
        <v>0.57999999999999996</v>
      </c>
      <c r="E29313" t="s">
        <v>105</v>
      </c>
    </row>
    <row r="29314" spans="1:5" x14ac:dyDescent="0.25">
      <c r="A29314" t="str">
        <f>HYPERLINK("https://www.773grp.com/globalSearch/NTHS4166NT1G/page-1", "NTHS4166NT1G")</f>
        <v>NTHS4166NT1G</v>
      </c>
      <c r="B29314" s="3" t="str">
        <f>HYPERLINK("https://www.773grp.com/manufacturer/onsemi?pageNo=160", "ON Semiconductor")</f>
        <v>ON Semiconductor</v>
      </c>
      <c r="C29314" s="6">
        <v>17775</v>
      </c>
      <c r="D29314" s="7">
        <v>0.57999999999999996</v>
      </c>
    </row>
    <row r="29315" spans="1:5" x14ac:dyDescent="0.25">
      <c r="A29315" t="str">
        <f>HYPERLINK("https://www.773grp.com/globalSearch/NTLJF3117PT1G/page-1", "NTLJF3117PT1G")</f>
        <v>NTLJF3117PT1G</v>
      </c>
      <c r="B29315" s="3" t="str">
        <f>HYPERLINK("https://www.773grp.com/manufacturer/onsemi?pageNo=161", "ON Semiconductor")</f>
        <v>ON Semiconductor</v>
      </c>
      <c r="C29315" s="6">
        <v>10449</v>
      </c>
      <c r="D29315" s="7">
        <v>0.57999999999999996</v>
      </c>
      <c r="E29315" t="s">
        <v>105</v>
      </c>
    </row>
    <row r="29316" spans="1:5" x14ac:dyDescent="0.25">
      <c r="A29316" t="str">
        <f>HYPERLINK("https://www.773grp.com/globalSearch/NTLJF4156NT1G/page-1", "NTLJF4156NT1G")</f>
        <v>NTLJF4156NT1G</v>
      </c>
      <c r="B29316" s="3" t="str">
        <f>HYPERLINK("https://www.773grp.com/manufacturer/onsemi?pageNo=162", "ON Semiconductor")</f>
        <v>ON Semiconductor</v>
      </c>
      <c r="C29316" s="6">
        <v>7667</v>
      </c>
      <c r="D29316" s="7">
        <v>0.57999999999999996</v>
      </c>
      <c r="E29316" t="s">
        <v>105</v>
      </c>
    </row>
    <row r="29317" spans="1:5" x14ac:dyDescent="0.25">
      <c r="A29317" t="str">
        <f>HYPERLINK("https://www.773grp.com/globalSearch/NTLJF4156NTAG/page-1", "NTLJF4156NTAG")</f>
        <v>NTLJF4156NTAG</v>
      </c>
      <c r="B29317" s="3" t="str">
        <f>HYPERLINK("https://www.773grp.com/manufacturer/onsemi?pageNo=163", "ON Semiconductor")</f>
        <v>ON Semiconductor</v>
      </c>
      <c r="C29317" s="6">
        <v>6000</v>
      </c>
      <c r="D29317" s="7">
        <v>0.57999999999999996</v>
      </c>
      <c r="E29317" t="s">
        <v>105</v>
      </c>
    </row>
    <row r="29318" spans="1:5" x14ac:dyDescent="0.25">
      <c r="A29318" t="str">
        <f>HYPERLINK("https://www.773grp.com/globalSearch/NTTD4401FR2/page-1", "NTTD4401FR2")</f>
        <v>NTTD4401FR2</v>
      </c>
      <c r="B29318" s="3" t="str">
        <f>HYPERLINK("https://www.773grp.com/manufacturer/onsemi?pageNo=164", "ON Semiconductor")</f>
        <v>ON Semiconductor</v>
      </c>
      <c r="C29318" s="6">
        <v>7700</v>
      </c>
      <c r="D29318" s="7">
        <v>0.57999999999999996</v>
      </c>
      <c r="E29318" t="s">
        <v>106</v>
      </c>
    </row>
    <row r="29319" spans="1:5" x14ac:dyDescent="0.25">
      <c r="A29319" t="str">
        <f>HYPERLINK("https://www.773grp.com/globalSearch/NTTS2P02R2/page-1", "NTTS2P02R2")</f>
        <v>NTTS2P02R2</v>
      </c>
      <c r="B29319" s="3" t="str">
        <f>HYPERLINK("https://www.773grp.com/manufacturer/onsemi?pageNo=165", "ON Semiconductor")</f>
        <v>ON Semiconductor</v>
      </c>
      <c r="C29319" s="6">
        <v>4000</v>
      </c>
      <c r="D29319" s="7">
        <v>0.57999999999999996</v>
      </c>
      <c r="E29319" t="s">
        <v>106</v>
      </c>
    </row>
    <row r="29320" spans="1:5" x14ac:dyDescent="0.25">
      <c r="A29320" t="str">
        <f>HYPERLINK("https://www.773grp.com/globalSearch/NUF2222FCT1G/page-1", "NUF2222FCT1G")</f>
        <v>NUF2222FCT1G</v>
      </c>
      <c r="B29320" s="3" t="str">
        <f>HYPERLINK("https://www.773grp.com/manufacturer/onsemi?pageNo=166", "ON Semiconductor")</f>
        <v>ON Semiconductor</v>
      </c>
      <c r="C29320" s="6">
        <v>206780</v>
      </c>
      <c r="D29320" s="7">
        <v>0.57999999999999996</v>
      </c>
      <c r="E29320" t="s">
        <v>100</v>
      </c>
    </row>
    <row r="29321" spans="1:5" x14ac:dyDescent="0.25">
      <c r="A29321" t="str">
        <f>HYPERLINK("https://www.773grp.com/globalSearch/NUF6106FCT1G/page-1", "NUF6106FCT1G")</f>
        <v>NUF6106FCT1G</v>
      </c>
      <c r="B29321" s="3" t="str">
        <f>HYPERLINK("https://www.773grp.com/manufacturer/onsemi?pageNo=167", "ON Semiconductor")</f>
        <v>ON Semiconductor</v>
      </c>
      <c r="C29321" s="6">
        <v>30000</v>
      </c>
      <c r="D29321" s="7">
        <v>0.57999999999999996</v>
      </c>
      <c r="E29321" t="s">
        <v>100</v>
      </c>
    </row>
    <row r="29322" spans="1:5" x14ac:dyDescent="0.25">
      <c r="A29322" t="str">
        <f>HYPERLINK("https://www.773grp.com/globalSearch/NUF6107MNTBG/page-1", "NUF6107MNTBG")</f>
        <v>NUF6107MNTBG</v>
      </c>
      <c r="B29322" s="3" t="str">
        <f>HYPERLINK("https://www.773grp.com/manufacturer/onsemi?pageNo=168", "ON Semiconductor")</f>
        <v>ON Semiconductor</v>
      </c>
      <c r="C29322" s="6">
        <v>2217000</v>
      </c>
      <c r="D29322" s="7">
        <v>0.57999999999999996</v>
      </c>
      <c r="E29322" t="s">
        <v>100</v>
      </c>
    </row>
    <row r="29323" spans="1:5" x14ac:dyDescent="0.25">
      <c r="A29323" t="str">
        <f>HYPERLINK("https://www.773grp.com/globalSearch/NVTR4503NT1G/page-1", "NVTR4503NT1G")</f>
        <v>NVTR4503NT1G</v>
      </c>
      <c r="B29323" s="3" t="str">
        <f>HYPERLINK("https://www.773grp.com/manufacturer/onsemi?pageNo=169", "ON Semiconductor")</f>
        <v>ON Semiconductor</v>
      </c>
      <c r="C29323" s="6">
        <v>3000</v>
      </c>
      <c r="D29323" s="7">
        <v>0.57999999999999996</v>
      </c>
      <c r="E29323" t="s">
        <v>106</v>
      </c>
    </row>
    <row r="29324" spans="1:5" x14ac:dyDescent="0.25">
      <c r="A29324" t="str">
        <f>HYPERLINK("https://www.773grp.com/globalSearch/NZF220DFT1G/page-1", "NZF220DFT1G")</f>
        <v>NZF220DFT1G</v>
      </c>
      <c r="B29324" s="3" t="str">
        <f>HYPERLINK("https://www.773grp.com/manufacturer/onsemi?pageNo=170", "ON Semiconductor")</f>
        <v>ON Semiconductor</v>
      </c>
      <c r="C29324" s="6">
        <v>763688</v>
      </c>
      <c r="D29324" s="7">
        <v>0.57999999999999996</v>
      </c>
      <c r="E29324" t="s">
        <v>100</v>
      </c>
    </row>
    <row r="29325" spans="1:5" x14ac:dyDescent="0.25">
      <c r="A29325" t="str">
        <f>HYPERLINK("https://www.773grp.com/globalSearch/PZT751T1/page-1", "PZT751T1")</f>
        <v>PZT751T1</v>
      </c>
      <c r="B29325" s="3" t="str">
        <f>HYPERLINK("https://www.773grp.com/manufacturer/onsemi?pageNo=171", "ON Semiconductor")</f>
        <v>ON Semiconductor</v>
      </c>
      <c r="C29325" s="6">
        <v>95330</v>
      </c>
      <c r="D29325" s="7">
        <v>0.57999999999999996</v>
      </c>
      <c r="E29325" t="s">
        <v>69</v>
      </c>
    </row>
    <row r="29326" spans="1:5" x14ac:dyDescent="0.25">
      <c r="A29326" t="str">
        <f>HYPERLINK("https://www.773grp.com/globalSearch/SA14023BDR2/page-1", "SA14023BDR2")</f>
        <v>SA14023BDR2</v>
      </c>
      <c r="B29326" s="3" t="str">
        <f>HYPERLINK("https://www.773grp.com/manufacturer/onsemi?pageNo=172", "ON Semiconductor")</f>
        <v>ON Semiconductor</v>
      </c>
      <c r="C29326" s="6">
        <v>2500</v>
      </c>
      <c r="D29326" s="7">
        <v>0.57999999999999996</v>
      </c>
    </row>
    <row r="29327" spans="1:5" x14ac:dyDescent="0.25">
      <c r="A29327" t="str">
        <f>HYPERLINK("https://www.773grp.com/globalSearch/SA14069UBDR2/page-1", "SA14069UBDR2")</f>
        <v>SA14069UBDR2</v>
      </c>
      <c r="B29327" s="3" t="str">
        <f>HYPERLINK("https://www.773grp.com/manufacturer/onsemi?pageNo=173", "ON Semiconductor")</f>
        <v>ON Semiconductor</v>
      </c>
      <c r="C29327" s="6">
        <v>27500</v>
      </c>
      <c r="D29327" s="7">
        <v>0.57999999999999996</v>
      </c>
    </row>
    <row r="29328" spans="1:5" x14ac:dyDescent="0.25">
      <c r="A29328" t="str">
        <f>HYPERLINK("https://www.773grp.com/globalSearch/SA14073BCP/page-1", "SA14073BCP")</f>
        <v>SA14073BCP</v>
      </c>
      <c r="B29328" s="3" t="str">
        <f>HYPERLINK("https://www.773grp.com/manufacturer/onsemi?pageNo=174", "ON Semiconductor")</f>
        <v>ON Semiconductor</v>
      </c>
      <c r="C29328" s="6">
        <v>23600</v>
      </c>
      <c r="D29328" s="7">
        <v>0.57999999999999996</v>
      </c>
    </row>
    <row r="29329" spans="1:5" x14ac:dyDescent="0.25">
      <c r="A29329" t="str">
        <f>HYPERLINK("https://www.773grp.com/globalSearch/SC14S66F/page-1", "SC14S66F")</f>
        <v>SC14S66F</v>
      </c>
      <c r="B29329" s="3" t="str">
        <f>HYPERLINK("https://www.773grp.com/manufacturer/onsemi?pageNo=175", "ON Semiconductor")</f>
        <v>ON Semiconductor</v>
      </c>
      <c r="C29329" s="6">
        <v>2957</v>
      </c>
      <c r="D29329" s="7">
        <v>0.57999999999999996</v>
      </c>
    </row>
    <row r="29330" spans="1:5" x14ac:dyDescent="0.25">
      <c r="A29330" t="str">
        <f>HYPERLINK("https://www.773grp.com/globalSearch/SM05T1G/page-1", "SM05T1G")</f>
        <v>SM05T1G</v>
      </c>
      <c r="B29330" s="3" t="str">
        <f>HYPERLINK("https://www.773grp.com/manufacturer/onsemi?pageNo=176", "ON Semiconductor")</f>
        <v>ON Semiconductor</v>
      </c>
      <c r="C29330" s="6">
        <v>24000</v>
      </c>
      <c r="D29330" s="7">
        <v>0.57999999999999996</v>
      </c>
      <c r="E29330" t="s">
        <v>96</v>
      </c>
    </row>
    <row r="29331" spans="1:5" x14ac:dyDescent="0.25">
      <c r="A29331" t="str">
        <f>HYPERLINK("https://www.773grp.com/globalSearch/SM12T1G/page-1", "SM12T1G")</f>
        <v>SM12T1G</v>
      </c>
      <c r="B29331" s="3" t="str">
        <f>HYPERLINK("https://www.773grp.com/manufacturer/onsemi?pageNo=177", "ON Semiconductor")</f>
        <v>ON Semiconductor</v>
      </c>
      <c r="C29331" s="6">
        <v>425000</v>
      </c>
      <c r="D29331" s="7">
        <v>0.57999999999999996</v>
      </c>
      <c r="E29331" t="s">
        <v>96</v>
      </c>
    </row>
    <row r="29332" spans="1:5" x14ac:dyDescent="0.25">
      <c r="A29332" t="str">
        <f>HYPERLINK("https://www.773grp.com/globalSearch/SM15T1G/page-1", "SM15T1G")</f>
        <v>SM15T1G</v>
      </c>
      <c r="B29332" s="3" t="str">
        <f>HYPERLINK("https://www.773grp.com/manufacturer/onsemi?pageNo=178", "ON Semiconductor")</f>
        <v>ON Semiconductor</v>
      </c>
      <c r="C29332" s="6">
        <v>36000</v>
      </c>
      <c r="D29332" s="7">
        <v>0.57999999999999996</v>
      </c>
    </row>
    <row r="29333" spans="1:5" x14ac:dyDescent="0.25">
      <c r="A29333" t="str">
        <f>HYPERLINK("https://www.773grp.com/globalSearch/SM24T1G/page-1", "SM24T1G")</f>
        <v>SM24T1G</v>
      </c>
      <c r="B29333" s="3" t="str">
        <f>HYPERLINK("https://www.773grp.com/manufacturer/onsemi?pageNo=179", "ON Semiconductor")</f>
        <v>ON Semiconductor</v>
      </c>
      <c r="C29333" s="6">
        <v>93000</v>
      </c>
      <c r="D29333" s="7">
        <v>0.57999999999999996</v>
      </c>
    </row>
    <row r="29334" spans="1:5" x14ac:dyDescent="0.25">
      <c r="A29334" t="str">
        <f>HYPERLINK("https://www.773grp.com/globalSearch/SN74LS14D/page-1", "SN74LS14D")</f>
        <v>SN74LS14D</v>
      </c>
      <c r="B29334" s="3" t="str">
        <f>HYPERLINK("https://www.773grp.com/manufacturer/onsemi?pageNo=180", "ON Semiconductor")</f>
        <v>ON Semiconductor</v>
      </c>
      <c r="C29334" s="6">
        <v>3225</v>
      </c>
      <c r="D29334" s="7">
        <v>0.57999999999999996</v>
      </c>
      <c r="E29334" t="s">
        <v>31</v>
      </c>
    </row>
    <row r="29335" spans="1:5" x14ac:dyDescent="0.25">
      <c r="A29335" t="str">
        <f>HYPERLINK("https://www.773grp.com/globalSearch/SN74LS14ML1/page-1", "SN74LS14ML1")</f>
        <v>SN74LS14ML1</v>
      </c>
      <c r="B29335" s="3" t="str">
        <f>HYPERLINK("https://www.773grp.com/manufacturer/onsemi?pageNo=181", "ON Semiconductor")</f>
        <v>ON Semiconductor</v>
      </c>
      <c r="C29335" s="6">
        <v>125000</v>
      </c>
      <c r="D29335" s="7">
        <v>0.57999999999999996</v>
      </c>
    </row>
    <row r="29336" spans="1:5" x14ac:dyDescent="0.25">
      <c r="A29336" t="str">
        <f>HYPERLINK("https://www.773grp.com/globalSearch/SN74LS14MR1/page-1", "SN74LS14MR1")</f>
        <v>SN74LS14MR1</v>
      </c>
      <c r="B29336" s="3" t="str">
        <f>HYPERLINK("https://www.773grp.com/manufacturer/onsemi?pageNo=182", "ON Semiconductor")</f>
        <v>ON Semiconductor</v>
      </c>
      <c r="C29336" s="6">
        <v>25000</v>
      </c>
      <c r="D29336" s="7">
        <v>0.57999999999999996</v>
      </c>
    </row>
    <row r="29337" spans="1:5" x14ac:dyDescent="0.25">
      <c r="A29337" t="str">
        <f>HYPERLINK("https://www.773grp.com/globalSearch/SN74LS86M/page-1", "SN74LS86M")</f>
        <v>SN74LS86M</v>
      </c>
      <c r="B29337" s="3" t="str">
        <f>HYPERLINK("https://www.773grp.com/manufacturer/onsemi?pageNo=183", "ON Semiconductor")</f>
        <v>ON Semiconductor</v>
      </c>
      <c r="C29337" s="6">
        <v>12650</v>
      </c>
      <c r="D29337" s="7">
        <v>0.57999999999999996</v>
      </c>
      <c r="E29337" t="s">
        <v>31</v>
      </c>
    </row>
    <row r="29338" spans="1:5" x14ac:dyDescent="0.25">
      <c r="A29338" t="str">
        <f>HYPERLINK("https://www.773grp.com/globalSearch/SN74LS86ML1/page-1", "SN74LS86ML1")</f>
        <v>SN74LS86ML1</v>
      </c>
      <c r="B29338" s="3" t="str">
        <f>HYPERLINK("https://www.773grp.com/manufacturer/onsemi?pageNo=184", "ON Semiconductor")</f>
        <v>ON Semiconductor</v>
      </c>
      <c r="C29338" s="6">
        <v>3000</v>
      </c>
      <c r="D29338" s="7">
        <v>0.57999999999999996</v>
      </c>
    </row>
    <row r="29339" spans="1:5" x14ac:dyDescent="0.25">
      <c r="A29339" t="str">
        <f>HYPERLINK("https://www.773grp.com/globalSearch/SS16T3G/page-1", "SS16T3G")</f>
        <v>SS16T3G</v>
      </c>
      <c r="B29339" s="3" t="str">
        <f>HYPERLINK("https://www.773grp.com/manufacturer/onsemi?pageNo=185", "ON Semiconductor")</f>
        <v>ON Semiconductor</v>
      </c>
      <c r="C29339" s="6">
        <v>115769</v>
      </c>
      <c r="D29339" s="7">
        <v>0.57999999999999996</v>
      </c>
      <c r="E29339" t="s">
        <v>94</v>
      </c>
    </row>
    <row r="29340" spans="1:5" x14ac:dyDescent="0.25">
      <c r="A29340" t="str">
        <f>HYPERLINK("https://www.773grp.com/globalSearch/SURS5643T3G/page-1", "SURS5643T3G")</f>
        <v>SURS5643T3G</v>
      </c>
      <c r="B29340" s="3" t="str">
        <f>HYPERLINK("https://www.773grp.com/manufacturer/onsemi?pageNo=186", "ON Semiconductor")</f>
        <v>ON Semiconductor</v>
      </c>
      <c r="C29340" s="6">
        <v>10000</v>
      </c>
      <c r="D29340" s="7">
        <v>0.57999999999999996</v>
      </c>
    </row>
    <row r="29341" spans="1:5" x14ac:dyDescent="0.25">
      <c r="A29341" t="str">
        <f>HYPERLINK("https://www.773grp.com/globalSearch/SZ2783/page-1", "SZ2783")</f>
        <v>SZ2783</v>
      </c>
      <c r="B29341" s="3" t="str">
        <f>HYPERLINK("https://www.773grp.com/manufacturer/onsemi?pageNo=187", "ON Semiconductor")</f>
        <v>ON Semiconductor</v>
      </c>
      <c r="C29341" s="6">
        <v>8000</v>
      </c>
      <c r="D29341" s="7">
        <v>0.57999999999999996</v>
      </c>
    </row>
    <row r="29342" spans="1:5" x14ac:dyDescent="0.25">
      <c r="A29342" t="str">
        <f>HYPERLINK("https://www.773grp.com/globalSearch/SZP40142RL/page-1", "SZP40142RL")</f>
        <v>SZP40142RL</v>
      </c>
      <c r="B29342" s="3" t="str">
        <f>HYPERLINK("https://www.773grp.com/manufacturer/onsemi?pageNo=188", "ON Semiconductor")</f>
        <v>ON Semiconductor</v>
      </c>
      <c r="C29342" s="6">
        <v>12000</v>
      </c>
      <c r="D29342" s="7">
        <v>0.57999999999999996</v>
      </c>
    </row>
    <row r="29343" spans="1:5" x14ac:dyDescent="0.25">
      <c r="A29343" t="str">
        <f>HYPERLINK("https://www.773grp.com/globalSearch/SZP40192RL/page-1", "SZP40192RL")</f>
        <v>SZP40192RL</v>
      </c>
      <c r="B29343" s="3" t="str">
        <f>HYPERLINK("https://www.773grp.com/manufacturer/onsemi?pageNo=189", "ON Semiconductor")</f>
        <v>ON Semiconductor</v>
      </c>
      <c r="C29343" s="6">
        <v>4000</v>
      </c>
      <c r="D29343" s="7">
        <v>0.57999999999999996</v>
      </c>
    </row>
    <row r="29344" spans="1:5" x14ac:dyDescent="0.25">
      <c r="A29344" t="str">
        <f>HYPERLINK("https://www.773grp.com/globalSearch/SZP40194RL/page-1", "SZP40194RL")</f>
        <v>SZP40194RL</v>
      </c>
      <c r="B29344" s="3" t="str">
        <f>HYPERLINK("https://www.773grp.com/manufacturer/onsemi?pageNo=190", "ON Semiconductor")</f>
        <v>ON Semiconductor</v>
      </c>
      <c r="C29344" s="6">
        <v>4000</v>
      </c>
      <c r="D29344" s="7">
        <v>0.57999999999999996</v>
      </c>
    </row>
    <row r="29345" spans="1:5" x14ac:dyDescent="0.25">
      <c r="A29345" t="str">
        <f>HYPERLINK("https://www.773grp.com/globalSearch/TIP31B/page-1", "TIP31B")</f>
        <v>TIP31B</v>
      </c>
      <c r="B29345" s="3" t="str">
        <f>HYPERLINK("https://www.773grp.com/manufacturer/onsemi?pageNo=191", "ON Semiconductor")</f>
        <v>ON Semiconductor</v>
      </c>
      <c r="C29345" s="6">
        <v>6569</v>
      </c>
      <c r="D29345" s="7">
        <v>0.57999999999999996</v>
      </c>
      <c r="E29345" t="s">
        <v>59</v>
      </c>
    </row>
    <row r="29346" spans="1:5" x14ac:dyDescent="0.25">
      <c r="A29346" t="str">
        <f>HYPERLINK("https://www.773grp.com/globalSearch/TL431ACDR2G/page-1", "TL431ACDR2G")</f>
        <v>TL431ACDR2G</v>
      </c>
      <c r="B29346" s="3" t="str">
        <f>HYPERLINK("https://www.773grp.com/manufacturer/onsemi?pageNo=192", "ON Semiconductor")</f>
        <v>ON Semiconductor</v>
      </c>
      <c r="C29346" s="6">
        <v>219803</v>
      </c>
      <c r="D29346" s="7">
        <v>0.57999999999999996</v>
      </c>
      <c r="E29346" t="s">
        <v>17</v>
      </c>
    </row>
    <row r="29347" spans="1:5" x14ac:dyDescent="0.25">
      <c r="A29347" t="str">
        <f>HYPERLINK("https://www.773grp.com/globalSearch/TL431ACLPG/page-1", "TL431ACLPG")</f>
        <v>TL431ACLPG</v>
      </c>
      <c r="B29347" s="3" t="str">
        <f>HYPERLINK("https://www.773grp.com/manufacturer/onsemi?pageNo=193", "ON Semiconductor")</f>
        <v>ON Semiconductor</v>
      </c>
      <c r="C29347" s="6">
        <v>232437</v>
      </c>
      <c r="D29347" s="7">
        <v>0.57999999999999996</v>
      </c>
      <c r="E29347" t="s">
        <v>17</v>
      </c>
    </row>
    <row r="29348" spans="1:5" x14ac:dyDescent="0.25">
      <c r="A29348" t="str">
        <f>HYPERLINK("https://www.773grp.com/globalSearch/TL431ACLPRAG/page-1", "TL431ACLPRAG")</f>
        <v>TL431ACLPRAG</v>
      </c>
      <c r="B29348" s="3" t="str">
        <f>HYPERLINK("https://www.773grp.com/manufacturer/onsemi?pageNo=194", "ON Semiconductor")</f>
        <v>ON Semiconductor</v>
      </c>
      <c r="C29348" s="6">
        <v>68000</v>
      </c>
      <c r="D29348" s="7">
        <v>0.57999999999999996</v>
      </c>
      <c r="E29348" t="s">
        <v>17</v>
      </c>
    </row>
    <row r="29349" spans="1:5" x14ac:dyDescent="0.25">
      <c r="A29349" t="str">
        <f>HYPERLINK("https://www.773grp.com/globalSearch/TL431ACLPRPG/page-1", "TL431ACLPRPG")</f>
        <v>TL431ACLPRPG</v>
      </c>
      <c r="B29349" s="3" t="str">
        <f>HYPERLINK("https://www.773grp.com/manufacturer/onsemi?pageNo=195", "ON Semiconductor")</f>
        <v>ON Semiconductor</v>
      </c>
      <c r="C29349" s="6">
        <v>20000</v>
      </c>
      <c r="D29349" s="7">
        <v>0.57999999999999996</v>
      </c>
      <c r="E29349" t="s">
        <v>17</v>
      </c>
    </row>
    <row r="29350" spans="1:5" x14ac:dyDescent="0.25">
      <c r="A29350" t="str">
        <f>HYPERLINK("https://www.773grp.com/globalSearch/TL431AID/page-1", "TL431AID")</f>
        <v>TL431AID</v>
      </c>
      <c r="B29350" s="3" t="str">
        <f>HYPERLINK("https://www.773grp.com/manufacturer/onsemi?pageNo=196", "ON Semiconductor")</f>
        <v>ON Semiconductor</v>
      </c>
      <c r="C29350" s="6">
        <v>5775</v>
      </c>
      <c r="D29350" s="7">
        <v>0.57999999999999996</v>
      </c>
      <c r="E29350" t="s">
        <v>17</v>
      </c>
    </row>
    <row r="29351" spans="1:5" x14ac:dyDescent="0.25">
      <c r="A29351" t="str">
        <f>HYPERLINK("https://www.773grp.com/globalSearch/TL431AIDMR2/page-1", "TL431AIDMR2")</f>
        <v>TL431AIDMR2</v>
      </c>
      <c r="B29351" s="3" t="str">
        <f>HYPERLINK("https://www.773grp.com/manufacturer/onsemi?pageNo=197", "ON Semiconductor")</f>
        <v>ON Semiconductor</v>
      </c>
      <c r="C29351" s="6">
        <v>4000</v>
      </c>
      <c r="D29351" s="7">
        <v>0.57999999999999996</v>
      </c>
      <c r="E29351" t="s">
        <v>17</v>
      </c>
    </row>
    <row r="29352" spans="1:5" x14ac:dyDescent="0.25">
      <c r="A29352" t="str">
        <f>HYPERLINK("https://www.773grp.com/globalSearch/TL431AIDR2/page-1", "TL431AIDR2")</f>
        <v>TL431AIDR2</v>
      </c>
      <c r="B29352" s="3" t="str">
        <f>HYPERLINK("https://www.773grp.com/manufacturer/onsemi?pageNo=198", "ON Semiconductor")</f>
        <v>ON Semiconductor</v>
      </c>
      <c r="C29352" s="6">
        <v>9500</v>
      </c>
      <c r="D29352" s="7">
        <v>0.57999999999999996</v>
      </c>
      <c r="E29352" t="s">
        <v>17</v>
      </c>
    </row>
    <row r="29353" spans="1:5" x14ac:dyDescent="0.25">
      <c r="A29353" t="str">
        <f>HYPERLINK("https://www.773grp.com/globalSearch/TL431AILP/page-1", "TL431AILP")</f>
        <v>TL431AILP</v>
      </c>
      <c r="B29353" s="3" t="str">
        <f>HYPERLINK("https://www.773grp.com/manufacturer/onsemi?pageNo=199", "ON Semiconductor")</f>
        <v>ON Semiconductor</v>
      </c>
      <c r="C29353" s="6">
        <v>7309</v>
      </c>
      <c r="D29353" s="7">
        <v>0.57999999999999996</v>
      </c>
      <c r="E29353" t="s">
        <v>17</v>
      </c>
    </row>
    <row r="29354" spans="1:5" x14ac:dyDescent="0.25">
      <c r="A29354" t="str">
        <f>HYPERLINK("https://www.773grp.com/globalSearch/TL431AILPRP/page-1", "TL431AILPRP")</f>
        <v>TL431AILPRP</v>
      </c>
      <c r="B29354" s="3" t="str">
        <f>HYPERLINK("https://www.773grp.com/manufacturer/onsemi?pageNo=200", "ON Semiconductor")</f>
        <v>ON Semiconductor</v>
      </c>
      <c r="C29354" s="6">
        <v>3248</v>
      </c>
      <c r="D29354" s="7">
        <v>0.57999999999999996</v>
      </c>
      <c r="E29354" t="s">
        <v>17</v>
      </c>
    </row>
    <row r="29355" spans="1:5" x14ac:dyDescent="0.25">
      <c r="A29355" t="str">
        <f>HYPERLINK("https://www.773grp.com/globalSearch/TL431BCDMR2/page-1", "TL431BCDMR2")</f>
        <v>TL431BCDMR2</v>
      </c>
      <c r="B29355" s="3" t="str">
        <f>HYPERLINK("https://www.773grp.com/manufacturer/onsemi?pageNo=201", "ON Semiconductor")</f>
        <v>ON Semiconductor</v>
      </c>
      <c r="C29355" s="6">
        <v>3920</v>
      </c>
      <c r="D29355" s="7">
        <v>0.57999999999999996</v>
      </c>
      <c r="E29355" t="s">
        <v>17</v>
      </c>
    </row>
    <row r="29356" spans="1:5" x14ac:dyDescent="0.25">
      <c r="A29356" t="str">
        <f>HYPERLINK("https://www.773grp.com/globalSearch/TL431BID/page-1", "TL431BID")</f>
        <v>TL431BID</v>
      </c>
      <c r="B29356" s="3" t="str">
        <f>HYPERLINK("https://www.773grp.com/manufacturer/onsemi?pageNo=202", "ON Semiconductor")</f>
        <v>ON Semiconductor</v>
      </c>
      <c r="C29356" s="6">
        <v>59</v>
      </c>
      <c r="D29356" s="7">
        <v>0.57999999999999996</v>
      </c>
      <c r="E29356" t="s">
        <v>17</v>
      </c>
    </row>
    <row r="29357" spans="1:5" x14ac:dyDescent="0.25">
      <c r="A29357" t="str">
        <f>HYPERLINK("https://www.773grp.com/globalSearch/TL431BILP/page-1", "TL431BILP")</f>
        <v>TL431BILP</v>
      </c>
      <c r="B29357" s="3" t="str">
        <f>HYPERLINK("https://www.773grp.com/manufacturer/onsemi?pageNo=203", "ON Semiconductor")</f>
        <v>ON Semiconductor</v>
      </c>
      <c r="C29357" s="6">
        <v>2981</v>
      </c>
      <c r="D29357" s="7">
        <v>0.57999999999999996</v>
      </c>
      <c r="E29357" t="s">
        <v>17</v>
      </c>
    </row>
    <row r="29358" spans="1:5" x14ac:dyDescent="0.25">
      <c r="A29358" t="str">
        <f>HYPERLINK("https://www.773grp.com/globalSearch/TL431CDG/page-1", "TL431CDG")</f>
        <v>TL431CDG</v>
      </c>
      <c r="B29358" s="3" t="str">
        <f>HYPERLINK("https://www.773grp.com/manufacturer/onsemi?pageNo=204", "ON Semiconductor")</f>
        <v>ON Semiconductor</v>
      </c>
      <c r="C29358" s="6">
        <v>27270</v>
      </c>
      <c r="D29358" s="7">
        <v>0.57999999999999996</v>
      </c>
      <c r="E29358" t="s">
        <v>17</v>
      </c>
    </row>
    <row r="29359" spans="1:5" x14ac:dyDescent="0.25">
      <c r="A29359" t="str">
        <f>HYPERLINK("https://www.773grp.com/globalSearch/TL431CDR2G/page-1", "TL431CDR2G")</f>
        <v>TL431CDR2G</v>
      </c>
      <c r="B29359" s="3" t="str">
        <f>HYPERLINK("https://www.773grp.com/manufacturer/onsemi?pageNo=205", "ON Semiconductor")</f>
        <v>ON Semiconductor</v>
      </c>
      <c r="C29359" s="6">
        <v>3434</v>
      </c>
      <c r="D29359" s="7">
        <v>0.57999999999999996</v>
      </c>
      <c r="E29359" t="s">
        <v>17</v>
      </c>
    </row>
    <row r="29360" spans="1:5" x14ac:dyDescent="0.25">
      <c r="A29360" t="str">
        <f>HYPERLINK("https://www.773grp.com/globalSearch/TL431ILPG/page-1", "TL431ILPG")</f>
        <v>TL431ILPG</v>
      </c>
      <c r="B29360" s="3" t="str">
        <f>HYPERLINK("https://www.773grp.com/manufacturer/onsemi?pageNo=206", "ON Semiconductor")</f>
        <v>ON Semiconductor</v>
      </c>
      <c r="C29360" s="6">
        <v>11419</v>
      </c>
      <c r="D29360" s="7">
        <v>0.57999999999999996</v>
      </c>
      <c r="E29360" t="s">
        <v>17</v>
      </c>
    </row>
    <row r="29361" spans="1:5" x14ac:dyDescent="0.25">
      <c r="A29361" t="str">
        <f>HYPERLINK("https://www.773grp.com/globalSearch/TL431ILPRAG/page-1", "TL431ILPRAG")</f>
        <v>TL431ILPRAG</v>
      </c>
      <c r="B29361" s="3" t="str">
        <f>HYPERLINK("https://www.773grp.com/manufacturer/onsemi?pageNo=207", "ON Semiconductor")</f>
        <v>ON Semiconductor</v>
      </c>
      <c r="C29361" s="6">
        <v>11979</v>
      </c>
      <c r="D29361" s="7">
        <v>0.57999999999999996</v>
      </c>
    </row>
    <row r="29362" spans="1:5" x14ac:dyDescent="0.25">
      <c r="A29362" t="str">
        <f>HYPERLINK("https://www.773grp.com/globalSearch/TLV431BLPG/page-1", "TLV431BLPG")</f>
        <v>TLV431BLPG</v>
      </c>
      <c r="B29362" s="3" t="str">
        <f>HYPERLINK("https://www.773grp.com/manufacturer/onsemi?pageNo=208", "ON Semiconductor")</f>
        <v>ON Semiconductor</v>
      </c>
      <c r="C29362" s="6">
        <v>11761</v>
      </c>
      <c r="D29362" s="7">
        <v>0.57999999999999996</v>
      </c>
      <c r="E29362" t="s">
        <v>17</v>
      </c>
    </row>
    <row r="29363" spans="1:5" x14ac:dyDescent="0.25">
      <c r="A29363" t="str">
        <f>HYPERLINK("https://www.773grp.com/globalSearch/TLV431BLPRAG/page-1", "TLV431BLPRAG")</f>
        <v>TLV431BLPRAG</v>
      </c>
      <c r="B29363" s="3" t="str">
        <f>HYPERLINK("https://www.773grp.com/manufacturer/onsemi?pageNo=209", "ON Semiconductor")</f>
        <v>ON Semiconductor</v>
      </c>
      <c r="C29363" s="6">
        <v>9826</v>
      </c>
      <c r="D29363" s="7">
        <v>0.57999999999999996</v>
      </c>
      <c r="E29363" t="s">
        <v>17</v>
      </c>
    </row>
    <row r="29364" spans="1:5" x14ac:dyDescent="0.25">
      <c r="A29364" t="str">
        <f>HYPERLINK("https://www.773grp.com/globalSearch/TLV431BLPREG/page-1", "TLV431BLPREG")</f>
        <v>TLV431BLPREG</v>
      </c>
      <c r="B29364" s="3" t="str">
        <f>HYPERLINK("https://www.773grp.com/manufacturer/onsemi?pageNo=210", "ON Semiconductor")</f>
        <v>ON Semiconductor</v>
      </c>
      <c r="C29364" s="6">
        <v>4000</v>
      </c>
      <c r="D29364" s="7">
        <v>0.57999999999999996</v>
      </c>
      <c r="E29364" t="s">
        <v>17</v>
      </c>
    </row>
    <row r="29365" spans="1:5" x14ac:dyDescent="0.25">
      <c r="A29365" t="str">
        <f>HYPERLINK("https://www.773grp.com/globalSearch/TLV431BLPRMG/page-1", "TLV431BLPRMG")</f>
        <v>TLV431BLPRMG</v>
      </c>
      <c r="B29365" s="3" t="str">
        <f>HYPERLINK("https://www.773grp.com/manufacturer/onsemi?pageNo=211", "ON Semiconductor")</f>
        <v>ON Semiconductor</v>
      </c>
      <c r="C29365" s="6">
        <v>1020</v>
      </c>
      <c r="D29365" s="7">
        <v>0.57999999999999996</v>
      </c>
      <c r="E29365" t="s">
        <v>17</v>
      </c>
    </row>
    <row r="29366" spans="1:5" x14ac:dyDescent="0.25">
      <c r="A29366" t="str">
        <f>HYPERLINK("https://www.773grp.com/globalSearch/TLV431BLPRPG/page-1", "TLV431BLPRPG")</f>
        <v>TLV431BLPRPG</v>
      </c>
      <c r="B29366" s="3" t="str">
        <f>HYPERLINK("https://www.773grp.com/manufacturer/onsemi?pageNo=212", "ON Semiconductor")</f>
        <v>ON Semiconductor</v>
      </c>
      <c r="C29366" s="6">
        <v>2406</v>
      </c>
      <c r="D29366" s="7">
        <v>0.57999999999999996</v>
      </c>
      <c r="E29366" t="s">
        <v>17</v>
      </c>
    </row>
    <row r="29367" spans="1:5" x14ac:dyDescent="0.25">
      <c r="A29367" t="str">
        <f>HYPERLINK("https://www.773grp.com/globalSearch/1.5KE100A/page-1", "1.5KE100A")</f>
        <v>1.5KE100A</v>
      </c>
      <c r="B29367" s="3" t="str">
        <f>HYPERLINK("https://www.773grp.com/manufacturer/onsemi?pageNo=213", "ON Semiconductor")</f>
        <v>ON Semiconductor</v>
      </c>
      <c r="C29367" s="6">
        <v>14900</v>
      </c>
      <c r="D29367" s="7">
        <v>0.64</v>
      </c>
      <c r="E29367" t="s">
        <v>96</v>
      </c>
    </row>
    <row r="29368" spans="1:5" x14ac:dyDescent="0.25">
      <c r="A29368" t="str">
        <f>HYPERLINK("https://www.773grp.com/globalSearch/1.5KE120A/page-1", "1.5KE120A")</f>
        <v>1.5KE120A</v>
      </c>
      <c r="B29368" s="3" t="str">
        <f>HYPERLINK("https://www.773grp.com/manufacturer/onsemi?pageNo=214", "ON Semiconductor")</f>
        <v>ON Semiconductor</v>
      </c>
      <c r="C29368" s="6">
        <v>200</v>
      </c>
      <c r="D29368" s="7">
        <v>0.64</v>
      </c>
      <c r="E29368" t="s">
        <v>96</v>
      </c>
    </row>
    <row r="29369" spans="1:5" x14ac:dyDescent="0.25">
      <c r="A29369" t="str">
        <f>HYPERLINK("https://www.773grp.com/globalSearch/1.5SMSC33AT3/page-1", "1.5SMSC33AT3")</f>
        <v>1.5SMSC33AT3</v>
      </c>
      <c r="B29369" s="3" t="str">
        <f>HYPERLINK("https://www.773grp.com/manufacturer/onsemi?pageNo=215", "ON Semiconductor")</f>
        <v>ON Semiconductor</v>
      </c>
      <c r="C29369" s="6">
        <v>46070</v>
      </c>
      <c r="D29369" s="7">
        <v>0.64</v>
      </c>
      <c r="E29369" t="s">
        <v>96</v>
      </c>
    </row>
    <row r="29370" spans="1:5" x14ac:dyDescent="0.25">
      <c r="A29370" t="str">
        <f>HYPERLINK("https://www.773grp.com/globalSearch/1.5SMSC75AT3/page-1", "1.5SMSC75AT3")</f>
        <v>1.5SMSC75AT3</v>
      </c>
      <c r="B29370" s="3" t="str">
        <f>HYPERLINK("https://www.773grp.com/manufacturer/onsemi?pageNo=216", "ON Semiconductor")</f>
        <v>ON Semiconductor</v>
      </c>
      <c r="C29370" s="6">
        <v>37558</v>
      </c>
      <c r="D29370" s="7">
        <v>0.64</v>
      </c>
      <c r="E29370" t="s">
        <v>96</v>
      </c>
    </row>
    <row r="29371" spans="1:5" x14ac:dyDescent="0.25">
      <c r="A29371" t="str">
        <f>HYPERLINK("https://www.773grp.com/globalSearch/1N5232CRL/page-1", "1N5232CRL")</f>
        <v>1N5232CRL</v>
      </c>
      <c r="B29371" s="3" t="str">
        <f>HYPERLINK("https://www.773grp.com/manufacturer/onsemi?pageNo=217", "ON Semiconductor")</f>
        <v>ON Semiconductor</v>
      </c>
      <c r="C29371" s="6">
        <v>4550</v>
      </c>
      <c r="D29371" s="7">
        <v>0.64</v>
      </c>
      <c r="E29371" t="s">
        <v>98</v>
      </c>
    </row>
    <row r="29372" spans="1:5" x14ac:dyDescent="0.25">
      <c r="A29372" t="str">
        <f>HYPERLINK("https://www.773grp.com/globalSearch/1N5232CRL/page-1", "1N5232CRL")</f>
        <v>1N5232CRL</v>
      </c>
      <c r="B29372" s="3" t="str">
        <f>HYPERLINK("https://www.773grp.com/manufacturer/onsemi?pageNo=218", "ON Semiconductor")</f>
        <v>ON Semiconductor</v>
      </c>
      <c r="C29372" s="6">
        <v>5000</v>
      </c>
      <c r="D29372" s="7">
        <v>0.64</v>
      </c>
      <c r="E29372" t="s">
        <v>98</v>
      </c>
    </row>
    <row r="29373" spans="1:5" x14ac:dyDescent="0.25">
      <c r="A29373" t="str">
        <f>HYPERLINK("https://www.773grp.com/globalSearch/1N5236CRL/page-1", "1N5236CRL")</f>
        <v>1N5236CRL</v>
      </c>
      <c r="B29373" s="3" t="str">
        <f>HYPERLINK("https://www.773grp.com/manufacturer/onsemi?pageNo=219", "ON Semiconductor")</f>
        <v>ON Semiconductor</v>
      </c>
      <c r="C29373" s="6">
        <v>5000</v>
      </c>
      <c r="D29373" s="7">
        <v>0.64</v>
      </c>
      <c r="E29373" t="s">
        <v>98</v>
      </c>
    </row>
    <row r="29374" spans="1:5" x14ac:dyDescent="0.25">
      <c r="A29374" t="str">
        <f>HYPERLINK("https://www.773grp.com/globalSearch/1N5240CRL/page-1", "1N5240CRL")</f>
        <v>1N5240CRL</v>
      </c>
      <c r="B29374" s="3" t="str">
        <f>HYPERLINK("https://www.773grp.com/manufacturer/onsemi?pageNo=220", "ON Semiconductor")</f>
        <v>ON Semiconductor</v>
      </c>
      <c r="C29374" s="6">
        <v>148910</v>
      </c>
      <c r="D29374" s="7">
        <v>0.64</v>
      </c>
      <c r="E29374" t="s">
        <v>98</v>
      </c>
    </row>
    <row r="29375" spans="1:5" x14ac:dyDescent="0.25">
      <c r="A29375" t="str">
        <f>HYPERLINK("https://www.773grp.com/globalSearch/1N5270CRL/page-1", "1N5270CRL")</f>
        <v>1N5270CRL</v>
      </c>
      <c r="B29375" s="3" t="str">
        <f>HYPERLINK("https://www.773grp.com/manufacturer/onsemi?pageNo=221", "ON Semiconductor")</f>
        <v>ON Semiconductor</v>
      </c>
      <c r="C29375" s="6">
        <v>5000</v>
      </c>
      <c r="D29375" s="7">
        <v>0.64</v>
      </c>
      <c r="E29375" t="s">
        <v>98</v>
      </c>
    </row>
    <row r="29376" spans="1:5" x14ac:dyDescent="0.25">
      <c r="A29376" t="str">
        <f>HYPERLINK("https://www.773grp.com/globalSearch/1N5273CRL/page-1", "1N5273CRL")</f>
        <v>1N5273CRL</v>
      </c>
      <c r="B29376" s="3" t="str">
        <f>HYPERLINK("https://www.773grp.com/manufacturer/onsemi?pageNo=222", "ON Semiconductor")</f>
        <v>ON Semiconductor</v>
      </c>
      <c r="C29376" s="6">
        <v>5000</v>
      </c>
      <c r="D29376" s="7">
        <v>0.64</v>
      </c>
      <c r="E29376" t="s">
        <v>98</v>
      </c>
    </row>
    <row r="29377" spans="1:5" x14ac:dyDescent="0.25">
      <c r="A29377" t="str">
        <f>HYPERLINK("https://www.773grp.com/globalSearch/1N5817/page-1", "1N5817")</f>
        <v>1N5817</v>
      </c>
      <c r="B29377" s="3" t="str">
        <f>HYPERLINK("https://www.773grp.com/manufacturer/onsemi?pageNo=223", "ON Semiconductor")</f>
        <v>ON Semiconductor</v>
      </c>
      <c r="C29377" s="6">
        <v>500</v>
      </c>
      <c r="D29377" s="7">
        <v>0.64</v>
      </c>
      <c r="E29377" t="s">
        <v>94</v>
      </c>
    </row>
    <row r="29378" spans="1:5" x14ac:dyDescent="0.25">
      <c r="A29378" t="str">
        <f>HYPERLINK("https://www.773grp.com/globalSearch/1SMA5913BT3G/page-1", "1SMA5913BT3G")</f>
        <v>1SMA5913BT3G</v>
      </c>
      <c r="B29378" s="3" t="str">
        <f>HYPERLINK("https://www.773grp.com/manufacturer/onsemi?pageNo=224", "ON Semiconductor")</f>
        <v>ON Semiconductor</v>
      </c>
      <c r="C29378" s="6">
        <v>29539</v>
      </c>
      <c r="D29378" s="7">
        <v>0.64</v>
      </c>
      <c r="E29378" t="s">
        <v>98</v>
      </c>
    </row>
    <row r="29379" spans="1:5" x14ac:dyDescent="0.25">
      <c r="A29379" t="str">
        <f>HYPERLINK("https://www.773grp.com/globalSearch/1SMA5914BT3G/page-1", "1SMA5914BT3G")</f>
        <v>1SMA5914BT3G</v>
      </c>
      <c r="B29379" s="3" t="str">
        <f>HYPERLINK("https://www.773grp.com/manufacturer/onsemi?pageNo=225", "ON Semiconductor")</f>
        <v>ON Semiconductor</v>
      </c>
      <c r="C29379" s="6">
        <v>65000</v>
      </c>
      <c r="D29379" s="7">
        <v>0.64</v>
      </c>
      <c r="E29379" t="s">
        <v>98</v>
      </c>
    </row>
    <row r="29380" spans="1:5" x14ac:dyDescent="0.25">
      <c r="A29380" t="str">
        <f>HYPERLINK("https://www.773grp.com/globalSearch/1SMA5916BT3G/page-1", "1SMA5916BT3G")</f>
        <v>1SMA5916BT3G</v>
      </c>
      <c r="B29380" s="3" t="str">
        <f>HYPERLINK("https://www.773grp.com/manufacturer/onsemi?pageNo=226", "ON Semiconductor")</f>
        <v>ON Semiconductor</v>
      </c>
      <c r="C29380" s="6">
        <v>15000</v>
      </c>
      <c r="D29380" s="7">
        <v>0.64</v>
      </c>
      <c r="E29380" t="s">
        <v>98</v>
      </c>
    </row>
    <row r="29381" spans="1:5" x14ac:dyDescent="0.25">
      <c r="A29381" t="str">
        <f>HYPERLINK("https://www.773grp.com/globalSearch/1SMA5917BT3G/page-1", "1SMA5917BT3G")</f>
        <v>1SMA5917BT3G</v>
      </c>
      <c r="B29381" s="3" t="str">
        <f>HYPERLINK("https://www.773grp.com/manufacturer/onsemi?pageNo=227", "ON Semiconductor")</f>
        <v>ON Semiconductor</v>
      </c>
      <c r="C29381" s="6">
        <v>53740</v>
      </c>
      <c r="D29381" s="7">
        <v>0.64</v>
      </c>
      <c r="E29381" t="s">
        <v>98</v>
      </c>
    </row>
    <row r="29382" spans="1:5" x14ac:dyDescent="0.25">
      <c r="A29382" t="str">
        <f>HYPERLINK("https://www.773grp.com/globalSearch/1SMA5921BT3G/page-1", "1SMA5921BT3G")</f>
        <v>1SMA5921BT3G</v>
      </c>
      <c r="B29382" s="3" t="str">
        <f>HYPERLINK("https://www.773grp.com/manufacturer/onsemi?pageNo=228", "ON Semiconductor")</f>
        <v>ON Semiconductor</v>
      </c>
      <c r="C29382" s="6">
        <v>82756</v>
      </c>
      <c r="D29382" s="7">
        <v>0.64</v>
      </c>
      <c r="E29382" t="s">
        <v>98</v>
      </c>
    </row>
    <row r="29383" spans="1:5" x14ac:dyDescent="0.25">
      <c r="A29383" t="str">
        <f>HYPERLINK("https://www.773grp.com/globalSearch/1SMA5922BT3G/page-1", "1SMA5922BT3G")</f>
        <v>1SMA5922BT3G</v>
      </c>
      <c r="B29383" s="3" t="str">
        <f>HYPERLINK("https://www.773grp.com/manufacturer/onsemi?pageNo=229", "ON Semiconductor")</f>
        <v>ON Semiconductor</v>
      </c>
      <c r="C29383" s="6">
        <v>40000</v>
      </c>
      <c r="D29383" s="7">
        <v>0.64</v>
      </c>
      <c r="E29383" t="s">
        <v>98</v>
      </c>
    </row>
    <row r="29384" spans="1:5" x14ac:dyDescent="0.25">
      <c r="A29384" t="str">
        <f>HYPERLINK("https://www.773grp.com/globalSearch/1SMA5924BT3G/page-1", "1SMA5924BT3G")</f>
        <v>1SMA5924BT3G</v>
      </c>
      <c r="B29384" s="3" t="str">
        <f>HYPERLINK("https://www.773grp.com/manufacturer/onsemi?pageNo=230", "ON Semiconductor")</f>
        <v>ON Semiconductor</v>
      </c>
      <c r="C29384" s="6">
        <v>274940</v>
      </c>
      <c r="D29384" s="7">
        <v>0.64</v>
      </c>
      <c r="E29384" t="s">
        <v>98</v>
      </c>
    </row>
    <row r="29385" spans="1:5" x14ac:dyDescent="0.25">
      <c r="A29385" t="str">
        <f>HYPERLINK("https://www.773grp.com/globalSearch/1SMA5925BT3G/page-1", "1SMA5925BT3G")</f>
        <v>1SMA5925BT3G</v>
      </c>
      <c r="B29385" s="3" t="str">
        <f>HYPERLINK("https://www.773grp.com/manufacturer/onsemi?pageNo=231", "ON Semiconductor")</f>
        <v>ON Semiconductor</v>
      </c>
      <c r="C29385" s="6">
        <v>57936</v>
      </c>
      <c r="D29385" s="7">
        <v>0.64</v>
      </c>
      <c r="E29385" t="s">
        <v>98</v>
      </c>
    </row>
    <row r="29386" spans="1:5" x14ac:dyDescent="0.25">
      <c r="A29386" t="str">
        <f>HYPERLINK("https://www.773grp.com/globalSearch/1SMA5926BT3G/page-1", "1SMA5926BT3G")</f>
        <v>1SMA5926BT3G</v>
      </c>
      <c r="B29386" s="3" t="str">
        <f>HYPERLINK("https://www.773grp.com/manufacturer/onsemi?pageNo=232", "ON Semiconductor")</f>
        <v>ON Semiconductor</v>
      </c>
      <c r="C29386" s="6">
        <v>5000</v>
      </c>
      <c r="D29386" s="7">
        <v>0.64</v>
      </c>
    </row>
    <row r="29387" spans="1:5" x14ac:dyDescent="0.25">
      <c r="A29387" t="str">
        <f>HYPERLINK("https://www.773grp.com/globalSearch/1SMA5927BT3G/page-1", "1SMA5927BT3G")</f>
        <v>1SMA5927BT3G</v>
      </c>
      <c r="B29387" s="3" t="str">
        <f>HYPERLINK("https://www.773grp.com/manufacturer/onsemi?pageNo=233", "ON Semiconductor")</f>
        <v>ON Semiconductor</v>
      </c>
      <c r="C29387" s="6">
        <v>178935</v>
      </c>
      <c r="D29387" s="7">
        <v>0.64</v>
      </c>
      <c r="E29387" t="s">
        <v>98</v>
      </c>
    </row>
    <row r="29388" spans="1:5" x14ac:dyDescent="0.25">
      <c r="A29388" t="str">
        <f>HYPERLINK("https://www.773grp.com/globalSearch/1SMA5928BT3G/page-1", "1SMA5928BT3G")</f>
        <v>1SMA5928BT3G</v>
      </c>
      <c r="B29388" s="3" t="str">
        <f>HYPERLINK("https://www.773grp.com/manufacturer/onsemi?pageNo=234", "ON Semiconductor")</f>
        <v>ON Semiconductor</v>
      </c>
      <c r="C29388" s="6">
        <v>16104</v>
      </c>
      <c r="D29388" s="7">
        <v>0.64</v>
      </c>
      <c r="E29388" t="s">
        <v>98</v>
      </c>
    </row>
    <row r="29389" spans="1:5" x14ac:dyDescent="0.25">
      <c r="A29389" t="str">
        <f>HYPERLINK("https://www.773grp.com/globalSearch/1SMA5929BT3G/page-1", "1SMA5929BT3G")</f>
        <v>1SMA5929BT3G</v>
      </c>
      <c r="B29389" s="3" t="str">
        <f>HYPERLINK("https://www.773grp.com/manufacturer/onsemi?pageNo=235", "ON Semiconductor")</f>
        <v>ON Semiconductor</v>
      </c>
      <c r="C29389" s="6">
        <v>215000</v>
      </c>
      <c r="D29389" s="7">
        <v>0.64</v>
      </c>
      <c r="E29389" t="s">
        <v>98</v>
      </c>
    </row>
    <row r="29390" spans="1:5" x14ac:dyDescent="0.25">
      <c r="A29390" t="str">
        <f>HYPERLINK("https://www.773grp.com/globalSearch/1SMA5930BT3G/page-1", "1SMA5930BT3G")</f>
        <v>1SMA5930BT3G</v>
      </c>
      <c r="B29390" s="3" t="str">
        <f>HYPERLINK("https://www.773grp.com/manufacturer/onsemi?pageNo=236", "ON Semiconductor")</f>
        <v>ON Semiconductor</v>
      </c>
      <c r="C29390" s="6">
        <v>115000</v>
      </c>
      <c r="D29390" s="7">
        <v>0.64</v>
      </c>
      <c r="E29390" t="s">
        <v>98</v>
      </c>
    </row>
    <row r="29391" spans="1:5" x14ac:dyDescent="0.25">
      <c r="A29391" t="str">
        <f>HYPERLINK("https://www.773grp.com/globalSearch/1SMA5931BT3G/page-1", "1SMA5931BT3G")</f>
        <v>1SMA5931BT3G</v>
      </c>
      <c r="B29391" s="3" t="str">
        <f>HYPERLINK("https://www.773grp.com/manufacturer/onsemi?pageNo=237", "ON Semiconductor")</f>
        <v>ON Semiconductor</v>
      </c>
      <c r="C29391" s="6">
        <v>66845</v>
      </c>
      <c r="D29391" s="7">
        <v>0.64</v>
      </c>
      <c r="E29391" t="s">
        <v>98</v>
      </c>
    </row>
    <row r="29392" spans="1:5" x14ac:dyDescent="0.25">
      <c r="A29392" t="str">
        <f>HYPERLINK("https://www.773grp.com/globalSearch/1SMA5932BT3G/page-1", "1SMA5932BT3G")</f>
        <v>1SMA5932BT3G</v>
      </c>
      <c r="B29392" s="3" t="str">
        <f>HYPERLINK("https://www.773grp.com/manufacturer/onsemi?pageNo=238", "ON Semiconductor")</f>
        <v>ON Semiconductor</v>
      </c>
      <c r="C29392" s="6">
        <v>129296</v>
      </c>
      <c r="D29392" s="7">
        <v>0.64</v>
      </c>
      <c r="E29392" t="s">
        <v>98</v>
      </c>
    </row>
    <row r="29393" spans="1:5" x14ac:dyDescent="0.25">
      <c r="A29393" t="str">
        <f>HYPERLINK("https://www.773grp.com/globalSearch/1SMA5933BT3G/page-1", "1SMA5933BT3G")</f>
        <v>1SMA5933BT3G</v>
      </c>
      <c r="B29393" s="3" t="str">
        <f>HYPERLINK("https://www.773grp.com/manufacturer/onsemi?pageNo=239", "ON Semiconductor")</f>
        <v>ON Semiconductor</v>
      </c>
      <c r="C29393" s="6">
        <v>18359</v>
      </c>
      <c r="D29393" s="7">
        <v>0.64</v>
      </c>
      <c r="E29393" t="s">
        <v>98</v>
      </c>
    </row>
    <row r="29394" spans="1:5" x14ac:dyDescent="0.25">
      <c r="A29394" t="str">
        <f>HYPERLINK("https://www.773grp.com/globalSearch/1SMA5934BT3G/page-1", "1SMA5934BT3G")</f>
        <v>1SMA5934BT3G</v>
      </c>
      <c r="B29394" s="3" t="str">
        <f>HYPERLINK("https://www.773grp.com/manufacturer/onsemi?pageNo=240", "ON Semiconductor")</f>
        <v>ON Semiconductor</v>
      </c>
      <c r="C29394" s="6">
        <v>34306</v>
      </c>
      <c r="D29394" s="7">
        <v>0.64</v>
      </c>
      <c r="E29394" t="s">
        <v>98</v>
      </c>
    </row>
    <row r="29395" spans="1:5" x14ac:dyDescent="0.25">
      <c r="A29395" t="str">
        <f>HYPERLINK("https://www.773grp.com/globalSearch/1SMA5935BT3G/page-1", "1SMA5935BT3G")</f>
        <v>1SMA5935BT3G</v>
      </c>
      <c r="B29395" s="3" t="str">
        <f>HYPERLINK("https://www.773grp.com/manufacturer/onsemi?pageNo=241", "ON Semiconductor")</f>
        <v>ON Semiconductor</v>
      </c>
      <c r="C29395" s="6">
        <v>20000</v>
      </c>
      <c r="D29395" s="7">
        <v>0.64</v>
      </c>
    </row>
    <row r="29396" spans="1:5" x14ac:dyDescent="0.25">
      <c r="A29396" t="str">
        <f>HYPERLINK("https://www.773grp.com/globalSearch/1SMA5936BT3G/page-1", "1SMA5936BT3G")</f>
        <v>1SMA5936BT3G</v>
      </c>
      <c r="B29396" s="3" t="str">
        <f>HYPERLINK("https://www.773grp.com/manufacturer/onsemi?pageNo=242", "ON Semiconductor")</f>
        <v>ON Semiconductor</v>
      </c>
      <c r="C29396" s="6">
        <v>5000</v>
      </c>
      <c r="D29396" s="7">
        <v>0.64</v>
      </c>
    </row>
    <row r="29397" spans="1:5" x14ac:dyDescent="0.25">
      <c r="A29397" t="str">
        <f>HYPERLINK("https://www.773grp.com/globalSearch/1SMA5937BT3G/page-1", "1SMA5937BT3G")</f>
        <v>1SMA5937BT3G</v>
      </c>
      <c r="B29397" s="3" t="str">
        <f>HYPERLINK("https://www.773grp.com/manufacturer/onsemi?pageNo=243", "ON Semiconductor")</f>
        <v>ON Semiconductor</v>
      </c>
      <c r="C29397" s="6">
        <v>10000</v>
      </c>
      <c r="D29397" s="7">
        <v>0.64</v>
      </c>
    </row>
    <row r="29398" spans="1:5" x14ac:dyDescent="0.25">
      <c r="A29398" t="str">
        <f>HYPERLINK("https://www.773grp.com/globalSearch/1SMA5939BT3G/page-1", "1SMA5939BT3G")</f>
        <v>1SMA5939BT3G</v>
      </c>
      <c r="B29398" s="3" t="str">
        <f>HYPERLINK("https://www.773grp.com/manufacturer/onsemi?pageNo=244", "ON Semiconductor")</f>
        <v>ON Semiconductor</v>
      </c>
      <c r="C29398" s="6">
        <v>12300</v>
      </c>
      <c r="D29398" s="7">
        <v>0.64</v>
      </c>
      <c r="E29398" t="s">
        <v>98</v>
      </c>
    </row>
    <row r="29399" spans="1:5" x14ac:dyDescent="0.25">
      <c r="A29399" t="str">
        <f>HYPERLINK("https://www.773grp.com/globalSearch/1SMA5940BT3G/page-1", "1SMA5940BT3G")</f>
        <v>1SMA5940BT3G</v>
      </c>
      <c r="B29399" s="3" t="str">
        <f>HYPERLINK("https://www.773grp.com/manufacturer/onsemi?pageNo=245", "ON Semiconductor")</f>
        <v>ON Semiconductor</v>
      </c>
      <c r="C29399" s="6">
        <v>15000</v>
      </c>
      <c r="D29399" s="7">
        <v>0.64</v>
      </c>
      <c r="E29399" t="s">
        <v>98</v>
      </c>
    </row>
    <row r="29400" spans="1:5" x14ac:dyDescent="0.25">
      <c r="A29400" t="str">
        <f>HYPERLINK("https://www.773grp.com/globalSearch/1SMA5941BT3G/page-1", "1SMA5941BT3G")</f>
        <v>1SMA5941BT3G</v>
      </c>
      <c r="B29400" s="3" t="str">
        <f>HYPERLINK("https://www.773grp.com/manufacturer/onsemi?pageNo=246", "ON Semiconductor")</f>
        <v>ON Semiconductor</v>
      </c>
      <c r="C29400" s="6">
        <v>77642</v>
      </c>
      <c r="D29400" s="7">
        <v>0.64</v>
      </c>
      <c r="E29400" t="s">
        <v>98</v>
      </c>
    </row>
    <row r="29401" spans="1:5" x14ac:dyDescent="0.25">
      <c r="A29401" t="str">
        <f>HYPERLINK("https://www.773grp.com/globalSearch/1SMA5942BT3G/page-1", "1SMA5942BT3G")</f>
        <v>1SMA5942BT3G</v>
      </c>
      <c r="B29401" s="3" t="str">
        <f>HYPERLINK("https://www.773grp.com/manufacturer/onsemi?pageNo=247", "ON Semiconductor")</f>
        <v>ON Semiconductor</v>
      </c>
      <c r="C29401" s="6">
        <v>5163</v>
      </c>
      <c r="D29401" s="7">
        <v>0.64</v>
      </c>
      <c r="E29401" t="s">
        <v>98</v>
      </c>
    </row>
    <row r="29402" spans="1:5" x14ac:dyDescent="0.25">
      <c r="A29402" t="str">
        <f>HYPERLINK("https://www.773grp.com/globalSearch/1SMA5943BT3G/page-1", "1SMA5943BT3G")</f>
        <v>1SMA5943BT3G</v>
      </c>
      <c r="B29402" s="3" t="str">
        <f>HYPERLINK("https://www.773grp.com/manufacturer/onsemi?pageNo=248", "ON Semiconductor")</f>
        <v>ON Semiconductor</v>
      </c>
      <c r="C29402" s="6">
        <v>39965</v>
      </c>
      <c r="D29402" s="7">
        <v>0.64</v>
      </c>
      <c r="E29402" t="s">
        <v>98</v>
      </c>
    </row>
    <row r="29403" spans="1:5" x14ac:dyDescent="0.25">
      <c r="A29403" t="str">
        <f>HYPERLINK("https://www.773grp.com/globalSearch/1SMA5945BT3G/page-1", "1SMA5945BT3G")</f>
        <v>1SMA5945BT3G</v>
      </c>
      <c r="B29403" s="3" t="str">
        <f>HYPERLINK("https://www.773grp.com/manufacturer/onsemi?pageNo=249", "ON Semiconductor")</f>
        <v>ON Semiconductor</v>
      </c>
      <c r="C29403" s="6">
        <v>1010</v>
      </c>
      <c r="D29403" s="7">
        <v>0.64</v>
      </c>
      <c r="E29403" t="s">
        <v>98</v>
      </c>
    </row>
    <row r="29404" spans="1:5" x14ac:dyDescent="0.25">
      <c r="A29404" t="str">
        <f>HYPERLINK("https://www.773grp.com/globalSearch/1SMB10AT3G/page-1", "1SMB10AT3G")</f>
        <v>1SMB10AT3G</v>
      </c>
      <c r="B29404" s="3" t="str">
        <f>HYPERLINK("https://www.773grp.com/manufacturer/onsemi?pageNo=250", "ON Semiconductor")</f>
        <v>ON Semiconductor</v>
      </c>
      <c r="C29404" s="6">
        <v>60000</v>
      </c>
      <c r="D29404" s="7">
        <v>0.64</v>
      </c>
      <c r="E29404" t="s">
        <v>96</v>
      </c>
    </row>
    <row r="29405" spans="1:5" x14ac:dyDescent="0.25">
      <c r="A29405" t="str">
        <f>HYPERLINK("https://www.773grp.com/globalSearch/1SMB12AT3G/page-1", "1SMB12AT3G")</f>
        <v>1SMB12AT3G</v>
      </c>
      <c r="B29405" s="3" t="str">
        <f>HYPERLINK("https://www.773grp.com/manufacturer/onsemi?pageNo=251", "ON Semiconductor")</f>
        <v>ON Semiconductor</v>
      </c>
      <c r="C29405" s="6">
        <v>64800</v>
      </c>
      <c r="D29405" s="7">
        <v>0.64</v>
      </c>
      <c r="E29405" t="s">
        <v>96</v>
      </c>
    </row>
    <row r="29406" spans="1:5" x14ac:dyDescent="0.25">
      <c r="A29406" t="str">
        <f>HYPERLINK("https://www.773grp.com/globalSearch/1SMB13AT3G/page-1", "1SMB13AT3G")</f>
        <v>1SMB13AT3G</v>
      </c>
      <c r="B29406" s="3" t="str">
        <f>HYPERLINK("https://www.773grp.com/manufacturer/onsemi?pageNo=252", "ON Semiconductor")</f>
        <v>ON Semiconductor</v>
      </c>
      <c r="C29406" s="6">
        <v>130275</v>
      </c>
      <c r="D29406" s="7">
        <v>0.64</v>
      </c>
      <c r="E29406" t="s">
        <v>96</v>
      </c>
    </row>
    <row r="29407" spans="1:5" x14ac:dyDescent="0.25">
      <c r="A29407" t="str">
        <f>HYPERLINK("https://www.773grp.com/globalSearch/1SMB14AT3G/page-1", "1SMB14AT3G")</f>
        <v>1SMB14AT3G</v>
      </c>
      <c r="B29407" s="3" t="str">
        <f>HYPERLINK("https://www.773grp.com/manufacturer/onsemi?pageNo=253", "ON Semiconductor")</f>
        <v>ON Semiconductor</v>
      </c>
      <c r="C29407" s="6">
        <v>490</v>
      </c>
      <c r="D29407" s="7">
        <v>0.64</v>
      </c>
      <c r="E29407" t="s">
        <v>96</v>
      </c>
    </row>
    <row r="29408" spans="1:5" x14ac:dyDescent="0.25">
      <c r="A29408" t="str">
        <f>HYPERLINK("https://www.773grp.com/globalSearch/1SMB16AT3G/page-1", "1SMB16AT3G")</f>
        <v>1SMB16AT3G</v>
      </c>
      <c r="B29408" s="3" t="str">
        <f>HYPERLINK("https://www.773grp.com/manufacturer/onsemi?pageNo=254", "ON Semiconductor")</f>
        <v>ON Semiconductor</v>
      </c>
      <c r="C29408" s="6">
        <v>814801</v>
      </c>
      <c r="D29408" s="7">
        <v>0.64</v>
      </c>
      <c r="E29408" t="s">
        <v>96</v>
      </c>
    </row>
    <row r="29409" spans="1:5" x14ac:dyDescent="0.25">
      <c r="A29409" t="str">
        <f>HYPERLINK("https://www.773grp.com/globalSearch/1SMB18AT3G/page-1", "1SMB18AT3G")</f>
        <v>1SMB18AT3G</v>
      </c>
      <c r="B29409" s="3" t="str">
        <f>HYPERLINK("https://www.773grp.com/manufacturer/onsemi?pageNo=255", "ON Semiconductor")</f>
        <v>ON Semiconductor</v>
      </c>
      <c r="C29409" s="6">
        <v>148300</v>
      </c>
      <c r="D29409" s="7">
        <v>0.64</v>
      </c>
      <c r="E29409" t="s">
        <v>96</v>
      </c>
    </row>
    <row r="29410" spans="1:5" x14ac:dyDescent="0.25">
      <c r="A29410" t="str">
        <f>HYPERLINK("https://www.773grp.com/globalSearch/1SMB20AT3G/page-1", "1SMB20AT3G")</f>
        <v>1SMB20AT3G</v>
      </c>
      <c r="B29410" s="3" t="str">
        <f>HYPERLINK("https://www.773grp.com/manufacturer/onsemi?pageNo=256", "ON Semiconductor")</f>
        <v>ON Semiconductor</v>
      </c>
      <c r="C29410" s="6">
        <v>505216</v>
      </c>
      <c r="D29410" s="7">
        <v>0.64</v>
      </c>
      <c r="E29410" t="s">
        <v>96</v>
      </c>
    </row>
    <row r="29411" spans="1:5" x14ac:dyDescent="0.25">
      <c r="A29411" t="str">
        <f>HYPERLINK("https://www.773grp.com/globalSearch/1SMB22AT3G/page-1", "1SMB22AT3G")</f>
        <v>1SMB22AT3G</v>
      </c>
      <c r="B29411" s="3" t="str">
        <f>HYPERLINK("https://www.773grp.com/manufacturer/onsemi?pageNo=257", "ON Semiconductor")</f>
        <v>ON Semiconductor</v>
      </c>
      <c r="C29411" s="6">
        <v>24710</v>
      </c>
      <c r="D29411" s="7">
        <v>0.64</v>
      </c>
      <c r="E29411" t="s">
        <v>96</v>
      </c>
    </row>
    <row r="29412" spans="1:5" x14ac:dyDescent="0.25">
      <c r="A29412" t="str">
        <f>HYPERLINK("https://www.773grp.com/globalSearch/1SMB24AT3G/page-1", "1SMB24AT3G")</f>
        <v>1SMB24AT3G</v>
      </c>
      <c r="B29412" s="3" t="str">
        <f>HYPERLINK("https://www.773grp.com/manufacturer/onsemi?pageNo=258", "ON Semiconductor")</f>
        <v>ON Semiconductor</v>
      </c>
      <c r="C29412" s="6">
        <v>35586</v>
      </c>
      <c r="D29412" s="7">
        <v>0.64</v>
      </c>
      <c r="E29412" t="s">
        <v>96</v>
      </c>
    </row>
    <row r="29413" spans="1:5" x14ac:dyDescent="0.25">
      <c r="A29413" t="str">
        <f>HYPERLINK("https://www.773grp.com/globalSearch/1SMB26AT3G/page-1", "1SMB26AT3G")</f>
        <v>1SMB26AT3G</v>
      </c>
      <c r="B29413" s="3" t="str">
        <f>HYPERLINK("https://www.773grp.com/manufacturer/onsemi?pageNo=259", "ON Semiconductor")</f>
        <v>ON Semiconductor</v>
      </c>
      <c r="C29413" s="6">
        <v>32500</v>
      </c>
      <c r="D29413" s="7">
        <v>0.64</v>
      </c>
      <c r="E29413" t="s">
        <v>96</v>
      </c>
    </row>
    <row r="29414" spans="1:5" x14ac:dyDescent="0.25">
      <c r="A29414" t="str">
        <f>HYPERLINK("https://www.773grp.com/globalSearch/1SMB28AT3G/page-1", "1SMB28AT3G")</f>
        <v>1SMB28AT3G</v>
      </c>
      <c r="B29414" s="3" t="str">
        <f>HYPERLINK("https://www.773grp.com/manufacturer/onsemi?pageNo=260", "ON Semiconductor")</f>
        <v>ON Semiconductor</v>
      </c>
      <c r="C29414" s="6">
        <v>96940</v>
      </c>
      <c r="D29414" s="7">
        <v>0.64</v>
      </c>
      <c r="E29414" t="s">
        <v>96</v>
      </c>
    </row>
    <row r="29415" spans="1:5" x14ac:dyDescent="0.25">
      <c r="A29415" t="str">
        <f>HYPERLINK("https://www.773grp.com/globalSearch/1SMB30AT3G/page-1", "1SMB30AT3G")</f>
        <v>1SMB30AT3G</v>
      </c>
      <c r="B29415" s="3" t="str">
        <f>HYPERLINK("https://www.773grp.com/manufacturer/onsemi?pageNo=261", "ON Semiconductor")</f>
        <v>ON Semiconductor</v>
      </c>
      <c r="C29415" s="6">
        <v>9140</v>
      </c>
      <c r="D29415" s="7">
        <v>0.64</v>
      </c>
      <c r="E29415" t="s">
        <v>96</v>
      </c>
    </row>
    <row r="29416" spans="1:5" x14ac:dyDescent="0.25">
      <c r="A29416" t="str">
        <f>HYPERLINK("https://www.773grp.com/globalSearch/1SMB33AT3G/page-1", "1SMB33AT3G")</f>
        <v>1SMB33AT3G</v>
      </c>
      <c r="B29416" s="3" t="str">
        <f>HYPERLINK("https://www.773grp.com/manufacturer/onsemi?pageNo=262", "ON Semiconductor")</f>
        <v>ON Semiconductor</v>
      </c>
      <c r="C29416" s="6">
        <v>17500</v>
      </c>
      <c r="D29416" s="7">
        <v>0.64</v>
      </c>
      <c r="E29416" t="s">
        <v>96</v>
      </c>
    </row>
    <row r="29417" spans="1:5" x14ac:dyDescent="0.25">
      <c r="A29417" t="str">
        <f>HYPERLINK("https://www.773grp.com/globalSearch/1SMB36AT3G/page-1", "1SMB36AT3G")</f>
        <v>1SMB36AT3G</v>
      </c>
      <c r="B29417" s="3" t="str">
        <f>HYPERLINK("https://www.773grp.com/manufacturer/onsemi?pageNo=263", "ON Semiconductor")</f>
        <v>ON Semiconductor</v>
      </c>
      <c r="C29417" s="6">
        <v>102484</v>
      </c>
      <c r="D29417" s="7">
        <v>0.64</v>
      </c>
    </row>
    <row r="29418" spans="1:5" x14ac:dyDescent="0.25">
      <c r="A29418" t="str">
        <f>HYPERLINK("https://www.773grp.com/globalSearch/1SMB40AT3G/page-1", "1SMB40AT3G")</f>
        <v>1SMB40AT3G</v>
      </c>
      <c r="B29418" s="3" t="str">
        <f>HYPERLINK("https://www.773grp.com/manufacturer/onsemi?pageNo=264", "ON Semiconductor")</f>
        <v>ON Semiconductor</v>
      </c>
      <c r="C29418" s="6">
        <v>32500</v>
      </c>
      <c r="D29418" s="7">
        <v>0.64</v>
      </c>
    </row>
    <row r="29419" spans="1:5" x14ac:dyDescent="0.25">
      <c r="A29419" t="str">
        <f>HYPERLINK("https://www.773grp.com/globalSearch/1SMB5.0AT3G/page-1", "1SMB5.0AT3G")</f>
        <v>1SMB5.0AT3G</v>
      </c>
      <c r="B29419" s="3" t="str">
        <f>HYPERLINK("https://www.773grp.com/manufacturer/onsemi?pageNo=265", "ON Semiconductor")</f>
        <v>ON Semiconductor</v>
      </c>
      <c r="C29419" s="6">
        <v>14913</v>
      </c>
      <c r="D29419" s="7">
        <v>0.64</v>
      </c>
      <c r="E29419" t="s">
        <v>96</v>
      </c>
    </row>
    <row r="29420" spans="1:5" x14ac:dyDescent="0.25">
      <c r="A29420" t="str">
        <f>HYPERLINK("https://www.773grp.com/globalSearch/1SMB54AT3G/page-1", "1SMB54AT3G")</f>
        <v>1SMB54AT3G</v>
      </c>
      <c r="B29420" s="3" t="str">
        <f>HYPERLINK("https://www.773grp.com/manufacturer/onsemi?pageNo=266", "ON Semiconductor")</f>
        <v>ON Semiconductor</v>
      </c>
      <c r="C29420" s="6">
        <v>50000</v>
      </c>
      <c r="D29420" s="7">
        <v>0.64</v>
      </c>
      <c r="E29420" t="s">
        <v>96</v>
      </c>
    </row>
    <row r="29421" spans="1:5" x14ac:dyDescent="0.25">
      <c r="A29421" t="str">
        <f>HYPERLINK("https://www.773grp.com/globalSearch/1SMB58AT3G/page-1", "1SMB58AT3G")</f>
        <v>1SMB58AT3G</v>
      </c>
      <c r="B29421" s="3" t="str">
        <f>HYPERLINK("https://www.773grp.com/manufacturer/onsemi?pageNo=267", "ON Semiconductor")</f>
        <v>ON Semiconductor</v>
      </c>
      <c r="C29421" s="6">
        <v>1723</v>
      </c>
      <c r="D29421" s="7">
        <v>0.64</v>
      </c>
      <c r="E29421" t="s">
        <v>96</v>
      </c>
    </row>
    <row r="29422" spans="1:5" x14ac:dyDescent="0.25">
      <c r="A29422" t="str">
        <f>HYPERLINK("https://www.773grp.com/globalSearch/1SMB6.0AT3G/page-1", "1SMB6.0AT3G")</f>
        <v>1SMB6.0AT3G</v>
      </c>
      <c r="B29422" s="3" t="str">
        <f>HYPERLINK("https://www.773grp.com/manufacturer/onsemi?pageNo=268", "ON Semiconductor")</f>
        <v>ON Semiconductor</v>
      </c>
      <c r="C29422" s="6">
        <v>30900</v>
      </c>
      <c r="D29422" s="7">
        <v>0.64</v>
      </c>
      <c r="E29422" t="s">
        <v>96</v>
      </c>
    </row>
    <row r="29423" spans="1:5" x14ac:dyDescent="0.25">
      <c r="A29423" t="str">
        <f>HYPERLINK("https://www.773grp.com/globalSearch/1SMB7.5AT3G/page-1", "1SMB7.5AT3G")</f>
        <v>1SMB7.5AT3G</v>
      </c>
      <c r="B29423" s="3" t="str">
        <f>HYPERLINK("https://www.773grp.com/manufacturer/onsemi?pageNo=269", "ON Semiconductor")</f>
        <v>ON Semiconductor</v>
      </c>
      <c r="C29423" s="6">
        <v>5000</v>
      </c>
      <c r="D29423" s="7">
        <v>0.64</v>
      </c>
    </row>
    <row r="29424" spans="1:5" x14ac:dyDescent="0.25">
      <c r="A29424" t="str">
        <f>HYPERLINK("https://www.773grp.com/globalSearch/1SMB70AT3G/page-1", "1SMB70AT3G")</f>
        <v>1SMB70AT3G</v>
      </c>
      <c r="B29424" s="3" t="str">
        <f>HYPERLINK("https://www.773grp.com/manufacturer/onsemi?pageNo=270", "ON Semiconductor")</f>
        <v>ON Semiconductor</v>
      </c>
      <c r="C29424" s="6">
        <v>232500</v>
      </c>
      <c r="D29424" s="7">
        <v>0.64</v>
      </c>
      <c r="E29424" t="s">
        <v>96</v>
      </c>
    </row>
    <row r="29425" spans="1:5" x14ac:dyDescent="0.25">
      <c r="A29425" t="str">
        <f>HYPERLINK("https://www.773grp.com/globalSearch/1SMSC10AT3/page-1", "1SMSC10AT3")</f>
        <v>1SMSC10AT3</v>
      </c>
      <c r="B29425" s="3" t="str">
        <f>HYPERLINK("https://www.773grp.com/manufacturer/onsemi?pageNo=271", "ON Semiconductor")</f>
        <v>ON Semiconductor</v>
      </c>
      <c r="C29425" s="6">
        <v>988</v>
      </c>
      <c r="D29425" s="7">
        <v>0.64</v>
      </c>
      <c r="E29425" t="s">
        <v>96</v>
      </c>
    </row>
    <row r="29426" spans="1:5" x14ac:dyDescent="0.25">
      <c r="A29426" t="str">
        <f>HYPERLINK("https://www.773grp.com/globalSearch/1SMSC13AT3/page-1", "1SMSC13AT3")</f>
        <v>1SMSC13AT3</v>
      </c>
      <c r="B29426" s="3" t="str">
        <f>HYPERLINK("https://www.773grp.com/manufacturer/onsemi?pageNo=272", "ON Semiconductor")</f>
        <v>ON Semiconductor</v>
      </c>
      <c r="C29426" s="6">
        <v>414</v>
      </c>
      <c r="D29426" s="7">
        <v>0.64</v>
      </c>
      <c r="E29426" t="s">
        <v>96</v>
      </c>
    </row>
    <row r="29427" spans="1:5" x14ac:dyDescent="0.25">
      <c r="A29427" t="str">
        <f>HYPERLINK("https://www.773grp.com/globalSearch/1SMSC18AT3/page-1", "1SMSC18AT3")</f>
        <v>1SMSC18AT3</v>
      </c>
      <c r="B29427" s="3" t="str">
        <f>HYPERLINK("https://www.773grp.com/manufacturer/onsemi?pageNo=273", "ON Semiconductor")</f>
        <v>ON Semiconductor</v>
      </c>
      <c r="C29427" s="6">
        <v>12500</v>
      </c>
      <c r="D29427" s="7">
        <v>0.64</v>
      </c>
      <c r="E29427" t="s">
        <v>96</v>
      </c>
    </row>
    <row r="29428" spans="1:5" x14ac:dyDescent="0.25">
      <c r="A29428" t="str">
        <f>HYPERLINK("https://www.773grp.com/globalSearch/1SMSC58AT3/page-1", "1SMSC58AT3")</f>
        <v>1SMSC58AT3</v>
      </c>
      <c r="B29428" s="3" t="str">
        <f>HYPERLINK("https://www.773grp.com/manufacturer/onsemi?pageNo=274", "ON Semiconductor")</f>
        <v>ON Semiconductor</v>
      </c>
      <c r="C29428" s="6">
        <v>12000</v>
      </c>
      <c r="D29428" s="7">
        <v>0.64</v>
      </c>
      <c r="E29428" t="s">
        <v>96</v>
      </c>
    </row>
    <row r="29429" spans="1:5" x14ac:dyDescent="0.25">
      <c r="A29429" t="str">
        <f>HYPERLINK("https://www.773grp.com/globalSearch/1SMSC70AT3/page-1", "1SMSC70AT3")</f>
        <v>1SMSC70AT3</v>
      </c>
      <c r="B29429" s="3" t="str">
        <f>HYPERLINK("https://www.773grp.com/manufacturer/onsemi?pageNo=275", "ON Semiconductor")</f>
        <v>ON Semiconductor</v>
      </c>
      <c r="C29429" s="6">
        <v>2373</v>
      </c>
      <c r="D29429" s="7">
        <v>0.64</v>
      </c>
      <c r="E29429" t="s">
        <v>96</v>
      </c>
    </row>
    <row r="29430" spans="1:5" x14ac:dyDescent="0.25">
      <c r="A29430" t="str">
        <f>HYPERLINK("https://www.773grp.com/globalSearch/2N5060G/page-1", "2N5060G")</f>
        <v>2N5060G</v>
      </c>
      <c r="B29430" s="3" t="str">
        <f>HYPERLINK("https://www.773grp.com/manufacturer/onsemi?pageNo=276", "ON Semiconductor")</f>
        <v>ON Semiconductor</v>
      </c>
      <c r="C29430" s="6">
        <v>7080</v>
      </c>
      <c r="D29430" s="7">
        <v>0.64</v>
      </c>
    </row>
    <row r="29431" spans="1:5" x14ac:dyDescent="0.25">
      <c r="A29431" t="str">
        <f>HYPERLINK("https://www.773grp.com/globalSearch/2N5060RLRAG/page-1", "2N5060RLRAG")</f>
        <v>2N5060RLRAG</v>
      </c>
      <c r="B29431" s="3" t="str">
        <f>HYPERLINK("https://www.773grp.com/manufacturer/onsemi?pageNo=277", "ON Semiconductor")</f>
        <v>ON Semiconductor</v>
      </c>
      <c r="C29431" s="6">
        <v>136000</v>
      </c>
      <c r="D29431" s="7">
        <v>0.64</v>
      </c>
      <c r="E29431" t="s">
        <v>97</v>
      </c>
    </row>
    <row r="29432" spans="1:5" x14ac:dyDescent="0.25">
      <c r="A29432" t="str">
        <f>HYPERLINK("https://www.773grp.com/globalSearch/2N5060RLRMG/page-1", "2N5060RLRMG")</f>
        <v>2N5060RLRMG</v>
      </c>
      <c r="B29432" s="3" t="str">
        <f>HYPERLINK("https://www.773grp.com/manufacturer/onsemi?pageNo=278", "ON Semiconductor")</f>
        <v>ON Semiconductor</v>
      </c>
      <c r="C29432" s="6">
        <v>4000</v>
      </c>
      <c r="D29432" s="7">
        <v>0.64</v>
      </c>
    </row>
    <row r="29433" spans="1:5" x14ac:dyDescent="0.25">
      <c r="A29433" t="str">
        <f>HYPERLINK("https://www.773grp.com/globalSearch/2N5061G/page-1", "2N5061G")</f>
        <v>2N5061G</v>
      </c>
      <c r="B29433" s="3" t="str">
        <f>HYPERLINK("https://www.773grp.com/manufacturer/onsemi?pageNo=279", "ON Semiconductor")</f>
        <v>ON Semiconductor</v>
      </c>
      <c r="C29433" s="6">
        <v>29603</v>
      </c>
      <c r="D29433" s="7">
        <v>0.64</v>
      </c>
      <c r="E29433" t="s">
        <v>97</v>
      </c>
    </row>
    <row r="29434" spans="1:5" x14ac:dyDescent="0.25">
      <c r="A29434" t="str">
        <f>HYPERLINK("https://www.773grp.com/globalSearch/2N5061RLRAG/page-1", "2N5061RLRAG")</f>
        <v>2N5061RLRAG</v>
      </c>
      <c r="B29434" s="3" t="str">
        <f>HYPERLINK("https://www.773grp.com/manufacturer/onsemi?pageNo=280", "ON Semiconductor")</f>
        <v>ON Semiconductor</v>
      </c>
      <c r="C29434" s="6">
        <v>44233</v>
      </c>
      <c r="D29434" s="7">
        <v>0.64</v>
      </c>
      <c r="E29434" t="s">
        <v>97</v>
      </c>
    </row>
    <row r="29435" spans="1:5" x14ac:dyDescent="0.25">
      <c r="A29435" t="str">
        <f>HYPERLINK("https://www.773grp.com/globalSearch/2N5062G/page-1", "2N5062G")</f>
        <v>2N5062G</v>
      </c>
      <c r="B29435" s="3" t="str">
        <f>HYPERLINK("https://www.773grp.com/manufacturer/onsemi?pageNo=281", "ON Semiconductor")</f>
        <v>ON Semiconductor</v>
      </c>
      <c r="C29435" s="6">
        <v>20883</v>
      </c>
      <c r="D29435" s="7">
        <v>0.64</v>
      </c>
      <c r="E29435" t="s">
        <v>97</v>
      </c>
    </row>
    <row r="29436" spans="1:5" x14ac:dyDescent="0.25">
      <c r="A29436" t="str">
        <f>HYPERLINK("https://www.773grp.com/globalSearch/2N5062RLRAG/page-1", "2N5062RLRAG")</f>
        <v>2N5062RLRAG</v>
      </c>
      <c r="B29436" s="3" t="str">
        <f>HYPERLINK("https://www.773grp.com/manufacturer/onsemi?pageNo=282", "ON Semiconductor")</f>
        <v>ON Semiconductor</v>
      </c>
      <c r="C29436" s="6">
        <v>16000</v>
      </c>
      <c r="D29436" s="7">
        <v>0.64</v>
      </c>
      <c r="E29436" t="s">
        <v>97</v>
      </c>
    </row>
    <row r="29437" spans="1:5" x14ac:dyDescent="0.25">
      <c r="A29437" t="str">
        <f>HYPERLINK("https://www.773grp.com/globalSearch/2N5064G/page-1", "2N5064G")</f>
        <v>2N5064G</v>
      </c>
      <c r="B29437" s="3" t="str">
        <f>HYPERLINK("https://www.773grp.com/manufacturer/onsemi?pageNo=283", "ON Semiconductor")</f>
        <v>ON Semiconductor</v>
      </c>
      <c r="C29437" s="6">
        <v>83997</v>
      </c>
      <c r="D29437" s="7">
        <v>0.64</v>
      </c>
      <c r="E29437" t="s">
        <v>97</v>
      </c>
    </row>
    <row r="29438" spans="1:5" x14ac:dyDescent="0.25">
      <c r="A29438" t="str">
        <f>HYPERLINK("https://www.773grp.com/globalSearch/2N5064RLRAG/page-1", "2N5064RLRAG")</f>
        <v>2N5064RLRAG</v>
      </c>
      <c r="B29438" s="3" t="str">
        <f>HYPERLINK("https://www.773grp.com/manufacturer/onsemi?pageNo=284", "ON Semiconductor")</f>
        <v>ON Semiconductor</v>
      </c>
      <c r="C29438" s="6">
        <v>3085</v>
      </c>
      <c r="D29438" s="7">
        <v>0.64</v>
      </c>
    </row>
    <row r="29439" spans="1:5" x14ac:dyDescent="0.25">
      <c r="A29439" t="str">
        <f>HYPERLINK("https://www.773grp.com/globalSearch/2N6027G/page-1", "2N6027G")</f>
        <v>2N6027G</v>
      </c>
      <c r="B29439" s="3" t="str">
        <f>HYPERLINK("https://www.773grp.com/manufacturer/onsemi?pageNo=285", "ON Semiconductor")</f>
        <v>ON Semiconductor</v>
      </c>
      <c r="C29439" s="6">
        <v>5000</v>
      </c>
      <c r="D29439" s="7">
        <v>0.64</v>
      </c>
    </row>
    <row r="29440" spans="1:5" x14ac:dyDescent="0.25">
      <c r="A29440" t="str">
        <f>HYPERLINK("https://www.773grp.com/globalSearch/2N6027RL1G/page-1", "2N6027RL1G")</f>
        <v>2N6027RL1G</v>
      </c>
      <c r="B29440" s="3" t="str">
        <f>HYPERLINK("https://www.773grp.com/manufacturer/onsemi?pageNo=286", "ON Semiconductor")</f>
        <v>ON Semiconductor</v>
      </c>
      <c r="C29440" s="6">
        <v>5889</v>
      </c>
      <c r="D29440" s="7">
        <v>0.64</v>
      </c>
      <c r="E29440" t="s">
        <v>113</v>
      </c>
    </row>
    <row r="29441" spans="1:5" x14ac:dyDescent="0.25">
      <c r="A29441" t="str">
        <f>HYPERLINK("https://www.773grp.com/globalSearch/2N6028G/page-1", "2N6028G")</f>
        <v>2N6028G</v>
      </c>
      <c r="B29441" s="3" t="str">
        <f>HYPERLINK("https://www.773grp.com/manufacturer/onsemi?pageNo=287", "ON Semiconductor")</f>
        <v>ON Semiconductor</v>
      </c>
      <c r="C29441" s="6">
        <v>3000</v>
      </c>
      <c r="D29441" s="7">
        <v>0.64</v>
      </c>
    </row>
    <row r="29442" spans="1:5" x14ac:dyDescent="0.25">
      <c r="A29442" t="str">
        <f>HYPERLINK("https://www.773grp.com/globalSearch/2N6028RLRAG/page-1", "2N6028RLRAG")</f>
        <v>2N6028RLRAG</v>
      </c>
      <c r="B29442" s="3" t="str">
        <f>HYPERLINK("https://www.773grp.com/manufacturer/onsemi?pageNo=288", "ON Semiconductor")</f>
        <v>ON Semiconductor</v>
      </c>
      <c r="C29442" s="6">
        <v>1881</v>
      </c>
      <c r="D29442" s="7">
        <v>0.64</v>
      </c>
      <c r="E29442" t="s">
        <v>113</v>
      </c>
    </row>
    <row r="29443" spans="1:5" x14ac:dyDescent="0.25">
      <c r="A29443" t="str">
        <f>HYPERLINK("https://www.773grp.com/globalSearch/2N6028RLRMG/page-1", "2N6028RLRMG")</f>
        <v>2N6028RLRMG</v>
      </c>
      <c r="B29443" s="3" t="str">
        <f>HYPERLINK("https://www.773grp.com/manufacturer/onsemi?pageNo=289", "ON Semiconductor")</f>
        <v>ON Semiconductor</v>
      </c>
      <c r="C29443" s="6">
        <v>3983</v>
      </c>
      <c r="D29443" s="7">
        <v>0.64</v>
      </c>
      <c r="E29443" t="s">
        <v>113</v>
      </c>
    </row>
    <row r="29444" spans="1:5" x14ac:dyDescent="0.25">
      <c r="A29444" t="str">
        <f>HYPERLINK("https://www.773grp.com/globalSearch/2N6240/page-1", "2N6240")</f>
        <v>2N6240</v>
      </c>
      <c r="B29444" s="3" t="str">
        <f>HYPERLINK("https://www.773grp.com/manufacturer/onsemi?pageNo=290", "ON Semiconductor")</f>
        <v>ON Semiconductor</v>
      </c>
      <c r="C29444" s="6">
        <v>560</v>
      </c>
      <c r="D29444" s="7">
        <v>0.64</v>
      </c>
      <c r="E29444" t="s">
        <v>97</v>
      </c>
    </row>
    <row r="29445" spans="1:5" x14ac:dyDescent="0.25">
      <c r="A29445" t="str">
        <f>HYPERLINK("https://www.773grp.com/globalSearch/2N6497G/page-1", "2N6497G")</f>
        <v>2N6497G</v>
      </c>
      <c r="B29445" s="3" t="str">
        <f>HYPERLINK("https://www.773grp.com/manufacturer/onsemi?pageNo=291", "ON Semiconductor")</f>
        <v>ON Semiconductor</v>
      </c>
      <c r="C29445" s="6">
        <v>331</v>
      </c>
      <c r="D29445" s="7">
        <v>0.64</v>
      </c>
      <c r="E29445" t="s">
        <v>59</v>
      </c>
    </row>
    <row r="29446" spans="1:5" x14ac:dyDescent="0.25">
      <c r="A29446" t="str">
        <f>HYPERLINK("https://www.773grp.com/globalSearch/2SA1020RLRAG/page-1", "2SA1020RLRAG")</f>
        <v>2SA1020RLRAG</v>
      </c>
      <c r="B29446" s="3" t="str">
        <f>HYPERLINK("https://www.773grp.com/manufacturer/onsemi?pageNo=292", "ON Semiconductor")</f>
        <v>ON Semiconductor</v>
      </c>
      <c r="C29446" s="6">
        <v>36000</v>
      </c>
      <c r="D29446" s="7">
        <v>0.64</v>
      </c>
      <c r="E29446" t="s">
        <v>69</v>
      </c>
    </row>
    <row r="29447" spans="1:5" x14ac:dyDescent="0.25">
      <c r="A29447" t="str">
        <f>HYPERLINK("https://www.773grp.com/globalSearch/2SA2124-TD-E/page-1", "2SA2124-TD-E")</f>
        <v>2SA2124-TD-E</v>
      </c>
      <c r="B29447" s="3" t="str">
        <f>HYPERLINK("https://www.773grp.com/manufacturer/onsemi?pageNo=293", "ON Semiconductor")</f>
        <v>ON Semiconductor</v>
      </c>
      <c r="C29447" s="6">
        <v>2000</v>
      </c>
      <c r="D29447" s="7">
        <v>0.64</v>
      </c>
    </row>
    <row r="29448" spans="1:5" x14ac:dyDescent="0.25">
      <c r="A29448" t="str">
        <f>HYPERLINK("https://www.773grp.com/globalSearch/2SC3332T-AA/page-1", "2SC3332T-AA")</f>
        <v>2SC3332T-AA</v>
      </c>
      <c r="B29448" s="3" t="str">
        <f>HYPERLINK("https://www.773grp.com/manufacturer/onsemi?pageNo=294", "ON Semiconductor")</f>
        <v>ON Semiconductor</v>
      </c>
      <c r="C29448" s="6">
        <v>4500</v>
      </c>
      <c r="D29448" s="7">
        <v>0.64</v>
      </c>
    </row>
    <row r="29449" spans="1:5" x14ac:dyDescent="0.25">
      <c r="A29449" t="str">
        <f>HYPERLINK("https://www.773grp.com/globalSearch/2SD1620-TD-E/page-1", "2SD1620-TD-E")</f>
        <v>2SD1620-TD-E</v>
      </c>
      <c r="B29449" s="3" t="str">
        <f>HYPERLINK("https://www.773grp.com/manufacturer/onsemi?pageNo=295", "ON Semiconductor")</f>
        <v>ON Semiconductor</v>
      </c>
      <c r="C29449" s="6">
        <v>4000</v>
      </c>
      <c r="D29449" s="7">
        <v>0.64</v>
      </c>
    </row>
    <row r="29450" spans="1:5" x14ac:dyDescent="0.25">
      <c r="A29450" t="str">
        <f>HYPERLINK("https://www.773grp.com/globalSearch/2SK3557-6-TB-E/page-1", "2SK3557-6-TB-E")</f>
        <v>2SK3557-6-TB-E</v>
      </c>
      <c r="B29450" s="3" t="str">
        <f>HYPERLINK("https://www.773grp.com/manufacturer/onsemi?pageNo=296", "ON Semiconductor")</f>
        <v>ON Semiconductor</v>
      </c>
      <c r="C29450" s="6">
        <v>50</v>
      </c>
      <c r="D29450" s="7">
        <v>0.64</v>
      </c>
    </row>
    <row r="29451" spans="1:5" x14ac:dyDescent="0.25">
      <c r="A29451" t="str">
        <f>HYPERLINK("https://www.773grp.com/globalSearch/74FST3384DTR2/page-1", "74FST3384DTR2")</f>
        <v>74FST3384DTR2</v>
      </c>
      <c r="B29451" s="3" t="str">
        <f>HYPERLINK("https://www.773grp.com/manufacturer/onsemi?pageNo=297", "ON Semiconductor")</f>
        <v>ON Semiconductor</v>
      </c>
      <c r="C29451" s="6">
        <v>10000</v>
      </c>
      <c r="D29451" s="7">
        <v>0.64</v>
      </c>
      <c r="E29451" t="s">
        <v>14</v>
      </c>
    </row>
    <row r="29452" spans="1:5" x14ac:dyDescent="0.25">
      <c r="A29452" t="str">
        <f>HYPERLINK("https://www.773grp.com/globalSearch/74FST3384QSR/page-1", "74FST3384QSR")</f>
        <v>74FST3384QSR</v>
      </c>
      <c r="B29452" s="3" t="str">
        <f>HYPERLINK("https://www.773grp.com/manufacturer/onsemi?pageNo=298", "ON Semiconductor")</f>
        <v>ON Semiconductor</v>
      </c>
      <c r="C29452" s="6">
        <v>2000</v>
      </c>
      <c r="D29452" s="7">
        <v>0.64</v>
      </c>
      <c r="E29452" t="s">
        <v>14</v>
      </c>
    </row>
    <row r="29453" spans="1:5" x14ac:dyDescent="0.25">
      <c r="A29453" t="str">
        <f>HYPERLINK("https://www.773grp.com/globalSearch/74HCT157DR2G/page-1", "74HCT157DR2G")</f>
        <v>74HCT157DR2G</v>
      </c>
      <c r="B29453" s="3" t="str">
        <f>HYPERLINK("https://www.773grp.com/manufacturer/onsemi?pageNo=299", "ON Semiconductor")</f>
        <v>ON Semiconductor</v>
      </c>
      <c r="C29453" s="6">
        <v>42322</v>
      </c>
      <c r="D29453" s="7">
        <v>0.64</v>
      </c>
      <c r="E29453" t="s">
        <v>20</v>
      </c>
    </row>
    <row r="29454" spans="1:5" x14ac:dyDescent="0.25">
      <c r="A29454" t="str">
        <f>HYPERLINK("https://www.773grp.com/globalSearch/74HCT157DTR2G/page-1", "74HCT157DTR2G")</f>
        <v>74HCT157DTR2G</v>
      </c>
      <c r="B29454" s="3" t="str">
        <f>HYPERLINK("https://www.773grp.com/manufacturer/onsemi?pageNo=300", "ON Semiconductor")</f>
        <v>ON Semiconductor</v>
      </c>
      <c r="C29454" s="6">
        <v>47100</v>
      </c>
      <c r="D29454" s="7">
        <v>0.64</v>
      </c>
      <c r="E29454" t="s">
        <v>20</v>
      </c>
    </row>
    <row r="29455" spans="1:5" x14ac:dyDescent="0.25">
      <c r="A29455" t="str">
        <f>HYPERLINK("https://www.773grp.com/globalSearch/7WBD3125AMX1TCG/page-1", "7WBD3125AMX1TCG")</f>
        <v>7WBD3125AMX1TCG</v>
      </c>
      <c r="B29455" s="3" t="str">
        <f>HYPERLINK("https://www.773grp.com/manufacturer/onsemi?pageNo=301", "ON Semiconductor")</f>
        <v>ON Semiconductor</v>
      </c>
      <c r="C29455" s="6">
        <v>9000</v>
      </c>
      <c r="D29455" s="7">
        <v>0.64</v>
      </c>
      <c r="E29455" t="s">
        <v>14</v>
      </c>
    </row>
    <row r="29456" spans="1:5" x14ac:dyDescent="0.25">
      <c r="A29456" t="str">
        <f>HYPERLINK("https://www.773grp.com/globalSearch/7WBD3125BMX1TCG/page-1", "7WBD3125BMX1TCG")</f>
        <v>7WBD3125BMX1TCG</v>
      </c>
      <c r="B29456" s="3" t="str">
        <f>HYPERLINK("https://www.773grp.com/manufacturer/onsemi?pageNo=302", "ON Semiconductor")</f>
        <v>ON Semiconductor</v>
      </c>
      <c r="C29456" s="6">
        <v>8975</v>
      </c>
      <c r="D29456" s="7">
        <v>0.64</v>
      </c>
      <c r="E29456" t="s">
        <v>14</v>
      </c>
    </row>
    <row r="29457" spans="1:5" x14ac:dyDescent="0.25">
      <c r="A29457" t="str">
        <f>HYPERLINK("https://www.773grp.com/globalSearch/7WBD3125CMX1TCG/page-1", "7WBD3125CMX1TCG")</f>
        <v>7WBD3125CMX1TCG</v>
      </c>
      <c r="B29457" s="3" t="str">
        <f>HYPERLINK("https://www.773grp.com/manufacturer/onsemi?pageNo=303", "ON Semiconductor")</f>
        <v>ON Semiconductor</v>
      </c>
      <c r="C29457" s="6">
        <v>6000</v>
      </c>
      <c r="D29457" s="7">
        <v>0.64</v>
      </c>
      <c r="E29457" t="s">
        <v>14</v>
      </c>
    </row>
    <row r="29458" spans="1:5" x14ac:dyDescent="0.25">
      <c r="A29458" t="str">
        <f>HYPERLINK("https://www.773grp.com/globalSearch/7WBD3126AMX1TCG/page-1", "7WBD3126AMX1TCG")</f>
        <v>7WBD3126AMX1TCG</v>
      </c>
      <c r="B29458" s="3" t="str">
        <f>HYPERLINK("https://www.773grp.com/manufacturer/onsemi?pageNo=304", "ON Semiconductor")</f>
        <v>ON Semiconductor</v>
      </c>
      <c r="C29458" s="6">
        <v>12000</v>
      </c>
      <c r="D29458" s="7">
        <v>0.64</v>
      </c>
      <c r="E29458" t="s">
        <v>14</v>
      </c>
    </row>
    <row r="29459" spans="1:5" x14ac:dyDescent="0.25">
      <c r="A29459" t="str">
        <f>HYPERLINK("https://www.773grp.com/globalSearch/7WBD3126BMX1TCG/page-1", "7WBD3126BMX1TCG")</f>
        <v>7WBD3126BMX1TCG</v>
      </c>
      <c r="B29459" s="3" t="str">
        <f>HYPERLINK("https://www.773grp.com/manufacturer/onsemi?pageNo=305", "ON Semiconductor")</f>
        <v>ON Semiconductor</v>
      </c>
      <c r="C29459" s="6">
        <v>6000</v>
      </c>
      <c r="D29459" s="7">
        <v>0.64</v>
      </c>
      <c r="E29459" t="s">
        <v>14</v>
      </c>
    </row>
    <row r="29460" spans="1:5" x14ac:dyDescent="0.25">
      <c r="A29460" t="str">
        <f>HYPERLINK("https://www.773grp.com/globalSearch/7WBD3126CMX1TCG/page-1", "7WBD3126CMX1TCG")</f>
        <v>7WBD3126CMX1TCG</v>
      </c>
      <c r="B29460" s="3" t="str">
        <f>HYPERLINK("https://www.773grp.com/manufacturer/onsemi?pageNo=306", "ON Semiconductor")</f>
        <v>ON Semiconductor</v>
      </c>
      <c r="C29460" s="6">
        <v>6000</v>
      </c>
      <c r="D29460" s="7">
        <v>0.64</v>
      </c>
      <c r="E29460" t="s">
        <v>14</v>
      </c>
    </row>
    <row r="29461" spans="1:5" x14ac:dyDescent="0.25">
      <c r="A29461" t="str">
        <f>HYPERLINK("https://www.773grp.com/globalSearch/7WBD3305AMX1TCG/page-1", "7WBD3305AMX1TCG")</f>
        <v>7WBD3305AMX1TCG</v>
      </c>
      <c r="B29461" s="3" t="str">
        <f>HYPERLINK("https://www.773grp.com/manufacturer/onsemi?pageNo=307", "ON Semiconductor")</f>
        <v>ON Semiconductor</v>
      </c>
      <c r="C29461" s="6">
        <v>6000</v>
      </c>
      <c r="D29461" s="7">
        <v>0.64</v>
      </c>
      <c r="E29461" t="s">
        <v>14</v>
      </c>
    </row>
    <row r="29462" spans="1:5" x14ac:dyDescent="0.25">
      <c r="A29462" t="str">
        <f>HYPERLINK("https://www.773grp.com/globalSearch/7WBD3305BMX1TCG/page-1", "7WBD3305BMX1TCG")</f>
        <v>7WBD3305BMX1TCG</v>
      </c>
      <c r="B29462" s="3" t="str">
        <f>HYPERLINK("https://www.773grp.com/manufacturer/onsemi?pageNo=308", "ON Semiconductor")</f>
        <v>ON Semiconductor</v>
      </c>
      <c r="C29462" s="6">
        <v>9000</v>
      </c>
      <c r="D29462" s="7">
        <v>0.64</v>
      </c>
      <c r="E29462" t="s">
        <v>14</v>
      </c>
    </row>
    <row r="29463" spans="1:5" x14ac:dyDescent="0.25">
      <c r="A29463" t="str">
        <f>HYPERLINK("https://www.773grp.com/globalSearch/7WBD3305CMX1TCG/page-1", "7WBD3305CMX1TCG")</f>
        <v>7WBD3305CMX1TCG</v>
      </c>
      <c r="B29463" s="3" t="str">
        <f>HYPERLINK("https://www.773grp.com/manufacturer/onsemi?pageNo=309", "ON Semiconductor")</f>
        <v>ON Semiconductor</v>
      </c>
      <c r="C29463" s="6">
        <v>6000</v>
      </c>
      <c r="D29463" s="7">
        <v>0.64</v>
      </c>
      <c r="E29463" t="s">
        <v>14</v>
      </c>
    </row>
    <row r="29464" spans="1:5" x14ac:dyDescent="0.25">
      <c r="A29464" t="str">
        <f>HYPERLINK("https://www.773grp.com/globalSearch/7WBD3306AMX1TCG/page-1", "7WBD3306AMX1TCG")</f>
        <v>7WBD3306AMX1TCG</v>
      </c>
      <c r="B29464" s="3" t="str">
        <f>HYPERLINK("https://www.773grp.com/manufacturer/onsemi?pageNo=310", "ON Semiconductor")</f>
        <v>ON Semiconductor</v>
      </c>
      <c r="C29464" s="6">
        <v>9000</v>
      </c>
      <c r="D29464" s="7">
        <v>0.64</v>
      </c>
      <c r="E29464" t="s">
        <v>14</v>
      </c>
    </row>
    <row r="29465" spans="1:5" x14ac:dyDescent="0.25">
      <c r="A29465" t="str">
        <f>HYPERLINK("https://www.773grp.com/globalSearch/7WBD3306BMX1TCG/page-1", "7WBD3306BMX1TCG")</f>
        <v>7WBD3306BMX1TCG</v>
      </c>
      <c r="B29465" s="3" t="str">
        <f>HYPERLINK("https://www.773grp.com/manufacturer/onsemi?pageNo=311", "ON Semiconductor")</f>
        <v>ON Semiconductor</v>
      </c>
      <c r="C29465" s="6">
        <v>9000</v>
      </c>
      <c r="D29465" s="7">
        <v>0.64</v>
      </c>
      <c r="E29465" t="s">
        <v>14</v>
      </c>
    </row>
    <row r="29466" spans="1:5" x14ac:dyDescent="0.25">
      <c r="A29466" t="str">
        <f>HYPERLINK("https://www.773grp.com/globalSearch/7WBD3306CMX1TCG/page-1", "7WBD3306CMX1TCG")</f>
        <v>7WBD3306CMX1TCG</v>
      </c>
      <c r="B29466" s="3" t="str">
        <f>HYPERLINK("https://www.773grp.com/manufacturer/onsemi?pageNo=312", "ON Semiconductor")</f>
        <v>ON Semiconductor</v>
      </c>
      <c r="C29466" s="6">
        <v>6000</v>
      </c>
      <c r="D29466" s="7">
        <v>0.64</v>
      </c>
      <c r="E29466" t="s">
        <v>14</v>
      </c>
    </row>
    <row r="29467" spans="1:5" x14ac:dyDescent="0.25">
      <c r="A29467" t="str">
        <f>HYPERLINK("https://www.773grp.com/globalSearch/7WBD383AMX1TCG/page-1", "7WBD383AMX1TCG")</f>
        <v>7WBD383AMX1TCG</v>
      </c>
      <c r="B29467" s="3" t="str">
        <f>HYPERLINK("https://www.773grp.com/manufacturer/onsemi?pageNo=313", "ON Semiconductor")</f>
        <v>ON Semiconductor</v>
      </c>
      <c r="C29467" s="6">
        <v>6000</v>
      </c>
      <c r="D29467" s="7">
        <v>0.64</v>
      </c>
      <c r="E29467" t="s">
        <v>14</v>
      </c>
    </row>
    <row r="29468" spans="1:5" x14ac:dyDescent="0.25">
      <c r="A29468" t="str">
        <f>HYPERLINK("https://www.773grp.com/globalSearch/7WBD383BMX1TCG/page-1", "7WBD383BMX1TCG")</f>
        <v>7WBD383BMX1TCG</v>
      </c>
      <c r="B29468" s="3" t="str">
        <f>HYPERLINK("https://www.773grp.com/manufacturer/onsemi?pageNo=314", "ON Semiconductor")</f>
        <v>ON Semiconductor</v>
      </c>
      <c r="C29468" s="6">
        <v>3000</v>
      </c>
      <c r="D29468" s="7">
        <v>0.64</v>
      </c>
      <c r="E29468" t="s">
        <v>14</v>
      </c>
    </row>
    <row r="29469" spans="1:5" x14ac:dyDescent="0.25">
      <c r="A29469" t="str">
        <f>HYPERLINK("https://www.773grp.com/globalSearch/7WBD383CMX1TCG/page-1", "7WBD383CMX1TCG")</f>
        <v>7WBD383CMX1TCG</v>
      </c>
      <c r="B29469" s="3" t="str">
        <f>HYPERLINK("https://www.773grp.com/manufacturer/onsemi?pageNo=315", "ON Semiconductor")</f>
        <v>ON Semiconductor</v>
      </c>
      <c r="C29469" s="6">
        <v>6000</v>
      </c>
      <c r="D29469" s="7">
        <v>0.64</v>
      </c>
      <c r="E29469" t="s">
        <v>14</v>
      </c>
    </row>
    <row r="29470" spans="1:5" x14ac:dyDescent="0.25">
      <c r="A29470" t="str">
        <f>HYPERLINK("https://www.773grp.com/globalSearch/BAT54SLT1/page-1", "BAT54SLT1")</f>
        <v>BAT54SLT1</v>
      </c>
      <c r="B29470" s="3" t="str">
        <f>HYPERLINK("https://www.773grp.com/manufacturer/onsemi?pageNo=316", "ON Semiconductor")</f>
        <v>ON Semiconductor</v>
      </c>
      <c r="C29470" s="6">
        <v>34214</v>
      </c>
      <c r="D29470" s="7">
        <v>0.64</v>
      </c>
    </row>
    <row r="29471" spans="1:5" x14ac:dyDescent="0.25">
      <c r="A29471" t="str">
        <f>HYPERLINK("https://www.773grp.com/globalSearch/BC859CLT1/page-1", "BC859CLT1")</f>
        <v>BC859CLT1</v>
      </c>
      <c r="B29471" s="3" t="str">
        <f>HYPERLINK("https://www.773grp.com/manufacturer/onsemi?pageNo=317", "ON Semiconductor")</f>
        <v>ON Semiconductor</v>
      </c>
      <c r="C29471" s="6">
        <v>165000</v>
      </c>
      <c r="D29471" s="7">
        <v>0.64</v>
      </c>
      <c r="E29471" t="s">
        <v>69</v>
      </c>
    </row>
    <row r="29472" spans="1:5" x14ac:dyDescent="0.25">
      <c r="A29472" t="str">
        <f>HYPERLINK("https://www.773grp.com/globalSearch/BD435/page-1", "BD435")</f>
        <v>BD435</v>
      </c>
      <c r="B29472" s="3" t="str">
        <f>HYPERLINK("https://www.773grp.com/manufacturer/onsemi?pageNo=318", "ON Semiconductor")</f>
        <v>ON Semiconductor</v>
      </c>
      <c r="C29472" s="6">
        <v>1500</v>
      </c>
      <c r="D29472" s="7">
        <v>0.64</v>
      </c>
      <c r="E29472" t="s">
        <v>59</v>
      </c>
    </row>
    <row r="29473" spans="1:5" x14ac:dyDescent="0.25">
      <c r="A29473" t="str">
        <f>HYPERLINK("https://www.773grp.com/globalSearch/BD436T/page-1", "BD436T")</f>
        <v>BD436T</v>
      </c>
      <c r="B29473" s="3" t="str">
        <f>HYPERLINK("https://www.773grp.com/manufacturer/onsemi?pageNo=319", "ON Semiconductor")</f>
        <v>ON Semiconductor</v>
      </c>
      <c r="C29473" s="6">
        <v>75</v>
      </c>
      <c r="D29473" s="7">
        <v>0.64</v>
      </c>
      <c r="E29473" t="s">
        <v>59</v>
      </c>
    </row>
    <row r="29474" spans="1:5" x14ac:dyDescent="0.25">
      <c r="A29474" t="str">
        <f>HYPERLINK("https://www.773grp.com/globalSearch/BD438/page-1", "BD438")</f>
        <v>BD438</v>
      </c>
      <c r="B29474" s="3" t="str">
        <f>HYPERLINK("https://www.773grp.com/manufacturer/onsemi?pageNo=320", "ON Semiconductor")</f>
        <v>ON Semiconductor</v>
      </c>
      <c r="C29474" s="6">
        <v>139</v>
      </c>
      <c r="D29474" s="7">
        <v>0.64</v>
      </c>
      <c r="E29474" t="s">
        <v>59</v>
      </c>
    </row>
    <row r="29475" spans="1:5" x14ac:dyDescent="0.25">
      <c r="A29475" t="str">
        <f>HYPERLINK("https://www.773grp.com/globalSearch/BF721T1G/page-1", "BF721T1G")</f>
        <v>BF721T1G</v>
      </c>
      <c r="B29475" s="3" t="str">
        <f>HYPERLINK("https://www.773grp.com/manufacturer/onsemi?pageNo=321", "ON Semiconductor")</f>
        <v>ON Semiconductor</v>
      </c>
      <c r="C29475" s="6">
        <v>51000</v>
      </c>
      <c r="D29475" s="7">
        <v>0.64</v>
      </c>
      <c r="E29475" t="s">
        <v>69</v>
      </c>
    </row>
    <row r="29476" spans="1:5" x14ac:dyDescent="0.25">
      <c r="A29476" t="str">
        <f>HYPERLINK("https://www.773grp.com/globalSearch/BSP16T1G/page-1", "BSP16T1G")</f>
        <v>BSP16T1G</v>
      </c>
      <c r="B29476" s="3" t="str">
        <f>HYPERLINK("https://www.773grp.com/manufacturer/onsemi?pageNo=322", "ON Semiconductor")</f>
        <v>ON Semiconductor</v>
      </c>
      <c r="C29476" s="6">
        <v>57000</v>
      </c>
      <c r="D29476" s="7">
        <v>0.64</v>
      </c>
      <c r="E29476" t="s">
        <v>59</v>
      </c>
    </row>
    <row r="29477" spans="1:5" x14ac:dyDescent="0.25">
      <c r="A29477" t="str">
        <f>HYPERLINK("https://www.773grp.com/globalSearch/CAT24AA01TDI-GT3/page-1", "CAT24AA01TDI-GT3")</f>
        <v>CAT24AA01TDI-GT3</v>
      </c>
      <c r="B29477" s="3" t="str">
        <f>HYPERLINK("https://www.773grp.com/manufacturer/onsemi?pageNo=323", "ON Semiconductor")</f>
        <v>ON Semiconductor</v>
      </c>
      <c r="C29477" s="6">
        <v>11937</v>
      </c>
      <c r="D29477" s="7">
        <v>0.64</v>
      </c>
    </row>
    <row r="29478" spans="1:5" x14ac:dyDescent="0.25">
      <c r="A29478" t="str">
        <f>HYPERLINK("https://www.773grp.com/globalSearch/CAT24AA01WI-G/page-1", "CAT24AA01WI-G")</f>
        <v>CAT24AA01WI-G</v>
      </c>
      <c r="B29478" s="3" t="str">
        <f>HYPERLINK("https://www.773grp.com/manufacturer/onsemi?pageNo=324", "ON Semiconductor")</f>
        <v>ON Semiconductor</v>
      </c>
      <c r="C29478" s="6">
        <v>685</v>
      </c>
      <c r="D29478" s="7">
        <v>0.64</v>
      </c>
    </row>
    <row r="29479" spans="1:5" x14ac:dyDescent="0.25">
      <c r="A29479" t="str">
        <f>HYPERLINK("https://www.773grp.com/globalSearch/CAT24AA01WI-GT3/page-1", "CAT24AA01WI-GT3")</f>
        <v>CAT24AA01WI-GT3</v>
      </c>
      <c r="B29479" s="3" t="str">
        <f>HYPERLINK("https://www.773grp.com/manufacturer/onsemi?pageNo=325", "ON Semiconductor")</f>
        <v>ON Semiconductor</v>
      </c>
      <c r="C29479" s="6">
        <v>9000</v>
      </c>
      <c r="D29479" s="7">
        <v>0.64</v>
      </c>
      <c r="E29479" t="s">
        <v>64</v>
      </c>
    </row>
    <row r="29480" spans="1:5" x14ac:dyDescent="0.25">
      <c r="A29480" t="str">
        <f>HYPERLINK("https://www.773grp.com/globalSearch/CAT24C01YI-GT3/page-1", "CAT24C01YI-GT3")</f>
        <v>CAT24C01YI-GT3</v>
      </c>
      <c r="B29480" s="3" t="str">
        <f>HYPERLINK("https://www.773grp.com/manufacturer/onsemi?pageNo=326", "ON Semiconductor")</f>
        <v>ON Semiconductor</v>
      </c>
      <c r="C29480" s="6">
        <v>654000</v>
      </c>
      <c r="D29480" s="7">
        <v>0.64</v>
      </c>
      <c r="E29480" t="s">
        <v>64</v>
      </c>
    </row>
    <row r="29481" spans="1:5" x14ac:dyDescent="0.25">
      <c r="A29481" t="str">
        <f>HYPERLINK("https://www.773grp.com/globalSearch/CAT24C02HU4IGT3A/page-1", "CAT24C02HU4IGT3A")</f>
        <v>CAT24C02HU4IGT3A</v>
      </c>
      <c r="B29481" s="3" t="str">
        <f>HYPERLINK("https://www.773grp.com/manufacturer/onsemi?pageNo=327", "ON Semiconductor")</f>
        <v>ON Semiconductor</v>
      </c>
      <c r="C29481" s="6">
        <v>67214</v>
      </c>
      <c r="D29481" s="7">
        <v>0.64</v>
      </c>
    </row>
    <row r="29482" spans="1:5" x14ac:dyDescent="0.25">
      <c r="A29482" t="str">
        <f>HYPERLINK("https://www.773grp.com/globalSearch/CAT24C02LI-GA/page-1", "CAT24C02LI-GA")</f>
        <v>CAT24C02LI-GA</v>
      </c>
      <c r="B29482" s="3" t="str">
        <f>HYPERLINK("https://www.773grp.com/manufacturer/onsemi?pageNo=328", "ON Semiconductor")</f>
        <v>ON Semiconductor</v>
      </c>
      <c r="C29482" s="6">
        <v>7900</v>
      </c>
      <c r="D29482" s="7">
        <v>0.64</v>
      </c>
      <c r="E29482" t="s">
        <v>64</v>
      </c>
    </row>
    <row r="29483" spans="1:5" x14ac:dyDescent="0.25">
      <c r="A29483" t="str">
        <f>HYPERLINK("https://www.773grp.com/globalSearch/CAT24C02LI-GA/page-1", "CAT24C02LI-GA")</f>
        <v>CAT24C02LI-GA</v>
      </c>
      <c r="B29483" s="3" t="str">
        <f>HYPERLINK("https://www.773grp.com/manufacturer/onsemi?pageNo=329", "ON Semiconductor")</f>
        <v>ON Semiconductor</v>
      </c>
      <c r="C29483" s="6">
        <v>245130</v>
      </c>
      <c r="D29483" s="7">
        <v>0.64</v>
      </c>
      <c r="E29483" t="s">
        <v>64</v>
      </c>
    </row>
    <row r="29484" spans="1:5" x14ac:dyDescent="0.25">
      <c r="A29484" t="str">
        <f>HYPERLINK("https://www.773grp.com/globalSearch/CAT24C02VP2I-GT3/page-1", "CAT24C02VP2I-GT3")</f>
        <v>CAT24C02VP2I-GT3</v>
      </c>
      <c r="B29484" s="3" t="str">
        <f>HYPERLINK("https://www.773grp.com/manufacturer/onsemi?pageNo=330", "ON Semiconductor")</f>
        <v>ON Semiconductor</v>
      </c>
      <c r="C29484" s="6">
        <v>99000</v>
      </c>
      <c r="D29484" s="7">
        <v>0.64</v>
      </c>
      <c r="E29484" t="s">
        <v>64</v>
      </c>
    </row>
    <row r="29485" spans="1:5" x14ac:dyDescent="0.25">
      <c r="A29485" t="str">
        <f>HYPERLINK("https://www.773grp.com/globalSearch/CAT24C02ZI-GT3A/page-1", "CAT24C02ZI-GT3A")</f>
        <v>CAT24C02ZI-GT3A</v>
      </c>
      <c r="B29485" s="3" t="str">
        <f>HYPERLINK("https://www.773grp.com/manufacturer/onsemi?pageNo=331", "ON Semiconductor")</f>
        <v>ON Semiconductor</v>
      </c>
      <c r="C29485" s="6">
        <v>12000</v>
      </c>
      <c r="D29485" s="7">
        <v>0.64</v>
      </c>
    </row>
    <row r="29486" spans="1:5" x14ac:dyDescent="0.25">
      <c r="A29486" t="str">
        <f>HYPERLINK("https://www.773grp.com/globalSearch/CAT24C04LI/page-1", "CAT24C04LI")</f>
        <v>CAT24C04LI</v>
      </c>
      <c r="B29486" s="3" t="str">
        <f>HYPERLINK("https://www.773grp.com/manufacturer/onsemi?pageNo=332", "ON Semiconductor")</f>
        <v>ON Semiconductor</v>
      </c>
      <c r="C29486" s="6">
        <v>7200</v>
      </c>
      <c r="D29486" s="7">
        <v>0.64</v>
      </c>
      <c r="E29486" t="s">
        <v>64</v>
      </c>
    </row>
    <row r="29487" spans="1:5" x14ac:dyDescent="0.25">
      <c r="A29487" t="str">
        <f>HYPERLINK("https://www.773grp.com/globalSearch/CAT24C04LI-G/page-1", "CAT24C04LI-G")</f>
        <v>CAT24C04LI-G</v>
      </c>
      <c r="B29487" s="3" t="str">
        <f>HYPERLINK("https://www.773grp.com/manufacturer/onsemi?pageNo=333", "ON Semiconductor")</f>
        <v>ON Semiconductor</v>
      </c>
      <c r="C29487" s="6">
        <v>5350</v>
      </c>
      <c r="D29487" s="7">
        <v>0.64</v>
      </c>
      <c r="E29487" t="s">
        <v>64</v>
      </c>
    </row>
    <row r="29488" spans="1:5" x14ac:dyDescent="0.25">
      <c r="A29488" t="str">
        <f>HYPERLINK("https://www.773grp.com/globalSearch/CAT24C16WI-GT3/page-1", "CAT24C16WI-GT3")</f>
        <v>CAT24C16WI-GT3</v>
      </c>
      <c r="B29488" s="3" t="str">
        <f>HYPERLINK("https://www.773grp.com/manufacturer/onsemi?pageNo=334", "ON Semiconductor")</f>
        <v>ON Semiconductor</v>
      </c>
      <c r="C29488" s="6">
        <v>48000</v>
      </c>
      <c r="D29488" s="7">
        <v>0.64</v>
      </c>
      <c r="E29488" t="s">
        <v>64</v>
      </c>
    </row>
    <row r="29489" spans="1:5" x14ac:dyDescent="0.25">
      <c r="A29489" t="str">
        <f>HYPERLINK("https://www.773grp.com/globalSearch/CAT24C16WI-GT3/page-1", "CAT24C16WI-GT3")</f>
        <v>CAT24C16WI-GT3</v>
      </c>
      <c r="B29489" s="3" t="str">
        <f>HYPERLINK("https://www.773grp.com/manufacturer/onsemi?pageNo=335", "ON Semiconductor")</f>
        <v>ON Semiconductor</v>
      </c>
      <c r="C29489" s="6">
        <v>105710</v>
      </c>
      <c r="D29489" s="7">
        <v>0.64</v>
      </c>
      <c r="E29489" t="s">
        <v>64</v>
      </c>
    </row>
    <row r="29490" spans="1:5" x14ac:dyDescent="0.25">
      <c r="A29490" t="str">
        <f>HYPERLINK("https://www.773grp.com/globalSearch/CAT24C16YI-GT3/page-1", "CAT24C16YI-GT3")</f>
        <v>CAT24C16YI-GT3</v>
      </c>
      <c r="B29490" s="3" t="str">
        <f>HYPERLINK("https://www.773grp.com/manufacturer/onsemi?pageNo=336", "ON Semiconductor")</f>
        <v>ON Semiconductor</v>
      </c>
      <c r="C29490" s="6">
        <v>54000</v>
      </c>
      <c r="D29490" s="7">
        <v>0.64</v>
      </c>
      <c r="E29490" t="s">
        <v>64</v>
      </c>
    </row>
    <row r="29491" spans="1:5" x14ac:dyDescent="0.25">
      <c r="A29491" t="str">
        <f>HYPERLINK("https://www.773grp.com/globalSearch/CAT25010VI-GT3/page-1", "CAT25010VI-GT3")</f>
        <v>CAT25010VI-GT3</v>
      </c>
      <c r="B29491" s="3" t="str">
        <f>HYPERLINK("https://www.773grp.com/manufacturer/onsemi?pageNo=337", "ON Semiconductor")</f>
        <v>ON Semiconductor</v>
      </c>
      <c r="C29491" s="6">
        <v>50455</v>
      </c>
      <c r="D29491" s="7">
        <v>0.64</v>
      </c>
    </row>
    <row r="29492" spans="1:5" x14ac:dyDescent="0.25">
      <c r="A29492" t="str">
        <f>HYPERLINK("https://www.773grp.com/globalSearch/CAT25010YI-GT3/page-1", "CAT25010YI-GT3")</f>
        <v>CAT25010YI-GT3</v>
      </c>
      <c r="B29492" s="3" t="str">
        <f>HYPERLINK("https://www.773grp.com/manufacturer/onsemi?pageNo=338", "ON Semiconductor")</f>
        <v>ON Semiconductor</v>
      </c>
      <c r="C29492" s="6">
        <v>21000</v>
      </c>
      <c r="D29492" s="7">
        <v>0.64</v>
      </c>
    </row>
    <row r="29493" spans="1:5" x14ac:dyDescent="0.25">
      <c r="A29493" t="str">
        <f>HYPERLINK("https://www.773grp.com/globalSearch/CAT93C56VI-GT3/page-1", "CAT93C56VI-GT3")</f>
        <v>CAT93C56VI-GT3</v>
      </c>
      <c r="B29493" s="3" t="str">
        <f>HYPERLINK("https://www.773grp.com/manufacturer/onsemi?pageNo=339", "ON Semiconductor")</f>
        <v>ON Semiconductor</v>
      </c>
      <c r="C29493" s="6">
        <v>3000</v>
      </c>
      <c r="D29493" s="7">
        <v>0.64</v>
      </c>
      <c r="E29493" t="s">
        <v>64</v>
      </c>
    </row>
    <row r="29494" spans="1:5" x14ac:dyDescent="0.25">
      <c r="A29494" t="str">
        <f>HYPERLINK("https://www.773grp.com/globalSearch/CAT93C56YI-GT3/page-1", "CAT93C56YI-GT3")</f>
        <v>CAT93C56YI-GT3</v>
      </c>
      <c r="B29494" s="3" t="str">
        <f>HYPERLINK("https://www.773grp.com/manufacturer/onsemi?pageNo=340", "ON Semiconductor")</f>
        <v>ON Semiconductor</v>
      </c>
      <c r="C29494" s="6">
        <v>15000</v>
      </c>
      <c r="D29494" s="7">
        <v>0.64</v>
      </c>
      <c r="E29494" t="s">
        <v>64</v>
      </c>
    </row>
    <row r="29495" spans="1:5" x14ac:dyDescent="0.25">
      <c r="A29495" t="str">
        <f>HYPERLINK("https://www.773grp.com/globalSearch/CM1220-04CP/page-1", "CM1220-04CP")</f>
        <v>CM1220-04CP</v>
      </c>
      <c r="B29495" s="3" t="str">
        <f>HYPERLINK("https://www.773grp.com/manufacturer/onsemi?pageNo=341", "ON Semiconductor")</f>
        <v>ON Semiconductor</v>
      </c>
      <c r="C29495" s="6">
        <v>10500</v>
      </c>
      <c r="D29495" s="7">
        <v>0.64</v>
      </c>
      <c r="E29495" t="s">
        <v>96</v>
      </c>
    </row>
    <row r="29496" spans="1:5" x14ac:dyDescent="0.25">
      <c r="A29496" t="str">
        <f>HYPERLINK("https://www.773grp.com/globalSearch/CM1230-02CP/page-1", "CM1230-02CP")</f>
        <v>CM1230-02CP</v>
      </c>
      <c r="B29496" s="3" t="str">
        <f>HYPERLINK("https://www.773grp.com/manufacturer/onsemi?pageNo=342", "ON Semiconductor")</f>
        <v>ON Semiconductor</v>
      </c>
      <c r="C29496" s="6">
        <v>21900</v>
      </c>
      <c r="D29496" s="7">
        <v>0.64</v>
      </c>
      <c r="E29496" t="s">
        <v>96</v>
      </c>
    </row>
    <row r="29497" spans="1:5" x14ac:dyDescent="0.25">
      <c r="A29497" t="str">
        <f>HYPERLINK("https://www.773grp.com/globalSearch/CM1230-J2CP/page-1", "CM1230-J2CP")</f>
        <v>CM1230-J2CP</v>
      </c>
      <c r="B29497" s="3" t="str">
        <f>HYPERLINK("https://www.773grp.com/manufacturer/onsemi?pageNo=343", "ON Semiconductor")</f>
        <v>ON Semiconductor</v>
      </c>
      <c r="C29497" s="6">
        <v>14000</v>
      </c>
      <c r="D29497" s="7">
        <v>0.64</v>
      </c>
    </row>
    <row r="29498" spans="1:5" x14ac:dyDescent="0.25">
      <c r="A29498" t="str">
        <f>HYPERLINK("https://www.773grp.com/globalSearch/CM1231-02SO/page-1", "CM1231-02SO")</f>
        <v>CM1231-02SO</v>
      </c>
      <c r="B29498" s="3" t="str">
        <f>HYPERLINK("https://www.773grp.com/manufacturer/onsemi?pageNo=344", "ON Semiconductor")</f>
        <v>ON Semiconductor</v>
      </c>
      <c r="C29498" s="6">
        <v>3000</v>
      </c>
      <c r="D29498" s="7">
        <v>0.64</v>
      </c>
    </row>
    <row r="29499" spans="1:5" x14ac:dyDescent="0.25">
      <c r="A29499" t="str">
        <f>HYPERLINK("https://www.773grp.com/globalSearch/CM1293A-02SO/page-1", "CM1293A-02SO")</f>
        <v>CM1293A-02SO</v>
      </c>
      <c r="B29499" s="3" t="str">
        <f>HYPERLINK("https://www.773grp.com/manufacturer/onsemi?pageNo=345", "ON Semiconductor")</f>
        <v>ON Semiconductor</v>
      </c>
      <c r="C29499" s="6">
        <v>78000</v>
      </c>
      <c r="D29499" s="7">
        <v>0.64</v>
      </c>
      <c r="E29499" t="s">
        <v>96</v>
      </c>
    </row>
    <row r="29500" spans="1:5" x14ac:dyDescent="0.25">
      <c r="A29500" t="str">
        <f>HYPERLINK("https://www.773grp.com/globalSearch/CM1293A-02SR/page-1", "CM1293A-02SR")</f>
        <v>CM1293A-02SR</v>
      </c>
      <c r="B29500" s="3" t="str">
        <f>HYPERLINK("https://www.773grp.com/manufacturer/onsemi?pageNo=346", "ON Semiconductor")</f>
        <v>ON Semiconductor</v>
      </c>
      <c r="C29500" s="6">
        <v>20120</v>
      </c>
      <c r="D29500" s="7">
        <v>0.64</v>
      </c>
      <c r="E29500" t="s">
        <v>96</v>
      </c>
    </row>
    <row r="29501" spans="1:5" x14ac:dyDescent="0.25">
      <c r="A29501" t="str">
        <f>HYPERLINK("https://www.773grp.com/globalSearch/CM1431-06DE/page-1", "CM1431-06DE")</f>
        <v>CM1431-06DE</v>
      </c>
      <c r="B29501" s="3" t="str">
        <f>HYPERLINK("https://www.773grp.com/manufacturer/onsemi?pageNo=347", "ON Semiconductor")</f>
        <v>ON Semiconductor</v>
      </c>
      <c r="C29501" s="6">
        <v>33000</v>
      </c>
      <c r="D29501" s="7">
        <v>0.64</v>
      </c>
      <c r="E29501" t="s">
        <v>100</v>
      </c>
    </row>
    <row r="29502" spans="1:5" x14ac:dyDescent="0.25">
      <c r="A29502" t="str">
        <f>HYPERLINK("https://www.773grp.com/globalSearch/CM1460-06DE/page-1", "CM1460-06DE")</f>
        <v>CM1460-06DE</v>
      </c>
      <c r="B29502" s="3" t="str">
        <f>HYPERLINK("https://www.773grp.com/manufacturer/onsemi?pageNo=348", "ON Semiconductor")</f>
        <v>ON Semiconductor</v>
      </c>
      <c r="C29502" s="6">
        <v>12000</v>
      </c>
      <c r="D29502" s="7">
        <v>0.64</v>
      </c>
      <c r="E29502" t="s">
        <v>100</v>
      </c>
    </row>
    <row r="29503" spans="1:5" x14ac:dyDescent="0.25">
      <c r="A29503" t="str">
        <f>HYPERLINK("https://www.773grp.com/globalSearch/CM1620-06DE/page-1", "CM1620-06DE")</f>
        <v>CM1620-06DE</v>
      </c>
      <c r="B29503" s="3" t="str">
        <f>HYPERLINK("https://www.773grp.com/manufacturer/onsemi?pageNo=349", "ON Semiconductor")</f>
        <v>ON Semiconductor</v>
      </c>
      <c r="C29503" s="6">
        <v>3000</v>
      </c>
      <c r="D29503" s="7">
        <v>0.64</v>
      </c>
      <c r="E29503" t="s">
        <v>100</v>
      </c>
    </row>
    <row r="29504" spans="1:5" x14ac:dyDescent="0.25">
      <c r="A29504" t="str">
        <f>HYPERLINK("https://www.773grp.com/globalSearch/CM1630-04DE/page-1", "CM1630-04DE")</f>
        <v>CM1630-04DE</v>
      </c>
      <c r="B29504" s="3" t="str">
        <f>HYPERLINK("https://www.773grp.com/manufacturer/onsemi?pageNo=350", "ON Semiconductor")</f>
        <v>ON Semiconductor</v>
      </c>
      <c r="C29504" s="6">
        <v>18000</v>
      </c>
      <c r="D29504" s="7">
        <v>0.64</v>
      </c>
      <c r="E29504" t="s">
        <v>100</v>
      </c>
    </row>
    <row r="29505" spans="1:5" x14ac:dyDescent="0.25">
      <c r="A29505" t="str">
        <f>HYPERLINK("https://www.773grp.com/globalSearch/CM6200/page-1", "CM6200")</f>
        <v>CM6200</v>
      </c>
      <c r="B29505" s="3" t="str">
        <f>HYPERLINK("https://www.773grp.com/manufacturer/onsemi?pageNo=351", "ON Semiconductor")</f>
        <v>ON Semiconductor</v>
      </c>
      <c r="C29505" s="6">
        <v>1390</v>
      </c>
      <c r="D29505" s="7">
        <v>0.64</v>
      </c>
    </row>
    <row r="29506" spans="1:5" x14ac:dyDescent="0.25">
      <c r="A29506" t="str">
        <f>HYPERLINK("https://www.773grp.com/globalSearch/CPH3448-TL-H/page-1", "CPH3448-TL-H")</f>
        <v>CPH3448-TL-H</v>
      </c>
      <c r="B29506" s="3" t="str">
        <f>HYPERLINK("https://www.773grp.com/manufacturer/onsemi?pageNo=352", "ON Semiconductor")</f>
        <v>ON Semiconductor</v>
      </c>
      <c r="C29506" s="6">
        <v>83642</v>
      </c>
      <c r="D29506" s="7">
        <v>0.64</v>
      </c>
    </row>
    <row r="29507" spans="1:5" x14ac:dyDescent="0.25">
      <c r="A29507" t="str">
        <f>HYPERLINK("https://www.773grp.com/globalSearch/CPH6121-TL-E/page-1", "CPH6121-TL-E")</f>
        <v>CPH6121-TL-E</v>
      </c>
      <c r="B29507" s="3" t="str">
        <f>HYPERLINK("https://www.773grp.com/manufacturer/onsemi?pageNo=353", "ON Semiconductor")</f>
        <v>ON Semiconductor</v>
      </c>
      <c r="C29507" s="6">
        <v>3000</v>
      </c>
      <c r="D29507" s="7">
        <v>0.64</v>
      </c>
    </row>
    <row r="29508" spans="1:5" x14ac:dyDescent="0.25">
      <c r="A29508" t="str">
        <f>HYPERLINK("https://www.773grp.com/globalSearch/ECH8601M-TL-H/page-1", "ECH8601M-TL-H")</f>
        <v>ECH8601M-TL-H</v>
      </c>
      <c r="B29508" s="3" t="str">
        <f>HYPERLINK("https://www.773grp.com/manufacturer/onsemi?pageNo=354", "ON Semiconductor")</f>
        <v>ON Semiconductor</v>
      </c>
      <c r="C29508" s="6">
        <v>6000</v>
      </c>
      <c r="D29508" s="7">
        <v>0.64</v>
      </c>
    </row>
    <row r="29509" spans="1:5" x14ac:dyDescent="0.25">
      <c r="A29509" t="str">
        <f>HYPERLINK("https://www.773grp.com/globalSearch/ESD11N5.0ST5G/page-1", "ESD11N5.0ST5G")</f>
        <v>ESD11N5.0ST5G</v>
      </c>
      <c r="B29509" s="3" t="str">
        <f>HYPERLINK("https://www.773grp.com/manufacturer/onsemi?pageNo=355", "ON Semiconductor")</f>
        <v>ON Semiconductor</v>
      </c>
      <c r="C29509" s="6">
        <v>943000</v>
      </c>
      <c r="D29509" s="7">
        <v>0.64</v>
      </c>
      <c r="E29509" t="s">
        <v>96</v>
      </c>
    </row>
    <row r="29510" spans="1:5" x14ac:dyDescent="0.25">
      <c r="A29510" t="str">
        <f>HYPERLINK("https://www.773grp.com/globalSearch/ESD9R3.3ST5G/page-1", "ESD9R3.3ST5G")</f>
        <v>ESD9R3.3ST5G</v>
      </c>
      <c r="B29510" s="3" t="str">
        <f>HYPERLINK("https://www.773grp.com/manufacturer/onsemi?pageNo=356", "ON Semiconductor")</f>
        <v>ON Semiconductor</v>
      </c>
      <c r="C29510" s="6">
        <v>8000</v>
      </c>
      <c r="D29510" s="7">
        <v>0.64</v>
      </c>
      <c r="E29510" t="s">
        <v>96</v>
      </c>
    </row>
    <row r="29511" spans="1:5" x14ac:dyDescent="0.25">
      <c r="A29511" t="str">
        <f>HYPERLINK("https://www.773grp.com/globalSearch/LM2903DG/page-1", "LM2903DG")</f>
        <v>LM2903DG</v>
      </c>
      <c r="B29511" s="3" t="str">
        <f>HYPERLINK("https://www.773grp.com/manufacturer/onsemi?pageNo=357", "ON Semiconductor")</f>
        <v>ON Semiconductor</v>
      </c>
      <c r="C29511" s="6">
        <v>15532</v>
      </c>
      <c r="D29511" s="7">
        <v>0.64</v>
      </c>
      <c r="E29511" t="s">
        <v>9</v>
      </c>
    </row>
    <row r="29512" spans="1:5" x14ac:dyDescent="0.25">
      <c r="A29512" t="str">
        <f>HYPERLINK("https://www.773grp.com/globalSearch/LM2903DR2/page-1", "LM2903DR2")</f>
        <v>LM2903DR2</v>
      </c>
      <c r="B29512" s="3" t="str">
        <f>HYPERLINK("https://www.773grp.com/manufacturer/onsemi?pageNo=358", "ON Semiconductor")</f>
        <v>ON Semiconductor</v>
      </c>
      <c r="C29512" s="6">
        <v>12789</v>
      </c>
      <c r="D29512" s="7">
        <v>0.64</v>
      </c>
      <c r="E29512" t="s">
        <v>9</v>
      </c>
    </row>
    <row r="29513" spans="1:5" x14ac:dyDescent="0.25">
      <c r="A29513" t="str">
        <f>HYPERLINK("https://www.773grp.com/globalSearch/LM2903DR2G/page-1", "LM2903DR2G")</f>
        <v>LM2903DR2G</v>
      </c>
      <c r="B29513" s="3" t="str">
        <f>HYPERLINK("https://www.773grp.com/manufacturer/onsemi?pageNo=359", "ON Semiconductor")</f>
        <v>ON Semiconductor</v>
      </c>
      <c r="C29513" s="6">
        <v>234680</v>
      </c>
      <c r="D29513" s="7">
        <v>0.64</v>
      </c>
      <c r="E29513" t="s">
        <v>9</v>
      </c>
    </row>
    <row r="29514" spans="1:5" x14ac:dyDescent="0.25">
      <c r="A29514" t="str">
        <f>HYPERLINK("https://www.773grp.com/globalSearch/LM2904DG/page-1", "LM2904DG")</f>
        <v>LM2904DG</v>
      </c>
      <c r="B29514" s="3" t="str">
        <f>HYPERLINK("https://www.773grp.com/manufacturer/onsemi?pageNo=360", "ON Semiconductor")</f>
        <v>ON Semiconductor</v>
      </c>
      <c r="C29514" s="6">
        <v>7498</v>
      </c>
      <c r="D29514" s="7">
        <v>0.64</v>
      </c>
      <c r="E29514" t="s">
        <v>13</v>
      </c>
    </row>
    <row r="29515" spans="1:5" x14ac:dyDescent="0.25">
      <c r="A29515" t="str">
        <f>HYPERLINK("https://www.773grp.com/globalSearch/LM2904DR2G/page-1", "LM2904DR2G")</f>
        <v>LM2904DR2G</v>
      </c>
      <c r="B29515" s="3" t="str">
        <f>HYPERLINK("https://www.773grp.com/manufacturer/onsemi?pageNo=361", "ON Semiconductor")</f>
        <v>ON Semiconductor</v>
      </c>
      <c r="C29515" s="6">
        <v>804189</v>
      </c>
      <c r="D29515" s="7">
        <v>0.64</v>
      </c>
      <c r="E29515" t="s">
        <v>13</v>
      </c>
    </row>
    <row r="29516" spans="1:5" x14ac:dyDescent="0.25">
      <c r="A29516" t="str">
        <f>HYPERLINK("https://www.773grp.com/globalSearch/LM2904DR2GH/page-1", "LM2904DR2GH")</f>
        <v>LM2904DR2GH</v>
      </c>
      <c r="B29516" s="3" t="str">
        <f>HYPERLINK("https://www.773grp.com/manufacturer/onsemi?pageNo=362", "ON Semiconductor")</f>
        <v>ON Semiconductor</v>
      </c>
      <c r="C29516" s="6">
        <v>1534</v>
      </c>
      <c r="D29516" s="7">
        <v>0.64</v>
      </c>
    </row>
    <row r="29517" spans="1:5" x14ac:dyDescent="0.25">
      <c r="A29517" t="str">
        <f>HYPERLINK("https://www.773grp.com/globalSearch/LM317LBZ/page-1", "LM317LBZ")</f>
        <v>LM317LBZ</v>
      </c>
      <c r="B29517" s="3" t="str">
        <f>HYPERLINK("https://www.773grp.com/manufacturer/onsemi?pageNo=363", "ON Semiconductor")</f>
        <v>ON Semiconductor</v>
      </c>
      <c r="C29517" s="6">
        <v>2000</v>
      </c>
      <c r="D29517" s="7">
        <v>0.64</v>
      </c>
      <c r="E29517" t="s">
        <v>22</v>
      </c>
    </row>
    <row r="29518" spans="1:5" x14ac:dyDescent="0.25">
      <c r="A29518" t="str">
        <f>HYPERLINK("https://www.773grp.com/globalSearch/LM317LBZRA/page-1", "LM317LBZRA")</f>
        <v>LM317LBZRA</v>
      </c>
      <c r="B29518" s="3" t="str">
        <f>HYPERLINK("https://www.773grp.com/manufacturer/onsemi?pageNo=364", "ON Semiconductor")</f>
        <v>ON Semiconductor</v>
      </c>
      <c r="C29518" s="6">
        <v>178000</v>
      </c>
      <c r="D29518" s="7">
        <v>0.64</v>
      </c>
      <c r="E29518" t="s">
        <v>22</v>
      </c>
    </row>
    <row r="29519" spans="1:5" x14ac:dyDescent="0.25">
      <c r="A29519" t="str">
        <f>HYPERLINK("https://www.773grp.com/globalSearch/LM317LBZRP/page-1", "LM317LBZRP")</f>
        <v>LM317LBZRP</v>
      </c>
      <c r="B29519" s="3" t="str">
        <f>HYPERLINK("https://www.773grp.com/manufacturer/onsemi?pageNo=365", "ON Semiconductor")</f>
        <v>ON Semiconductor</v>
      </c>
      <c r="C29519" s="6">
        <v>118</v>
      </c>
      <c r="D29519" s="7">
        <v>0.64</v>
      </c>
      <c r="E29519" t="s">
        <v>22</v>
      </c>
    </row>
    <row r="29520" spans="1:5" x14ac:dyDescent="0.25">
      <c r="A29520" t="str">
        <f>HYPERLINK("https://www.773grp.com/globalSearch/LM324DG/page-1", "LM324DG")</f>
        <v>LM324DG</v>
      </c>
      <c r="B29520" s="3" t="str">
        <f>HYPERLINK("https://www.773grp.com/manufacturer/onsemi?pageNo=366", "ON Semiconductor")</f>
        <v>ON Semiconductor</v>
      </c>
      <c r="C29520" s="6">
        <v>19716</v>
      </c>
      <c r="D29520" s="7">
        <v>0.64</v>
      </c>
      <c r="E29520" t="s">
        <v>13</v>
      </c>
    </row>
    <row r="29521" spans="1:5" x14ac:dyDescent="0.25">
      <c r="A29521" t="str">
        <f>HYPERLINK("https://www.773grp.com/globalSearch/LM324DR2G/page-1", "LM324DR2G")</f>
        <v>LM324DR2G</v>
      </c>
      <c r="B29521" s="3" t="str">
        <f>HYPERLINK("https://www.773grp.com/manufacturer/onsemi?pageNo=367", "ON Semiconductor")</f>
        <v>ON Semiconductor</v>
      </c>
      <c r="C29521" s="6">
        <v>191158</v>
      </c>
      <c r="D29521" s="7">
        <v>0.64</v>
      </c>
      <c r="E29521" t="s">
        <v>13</v>
      </c>
    </row>
    <row r="29522" spans="1:5" x14ac:dyDescent="0.25">
      <c r="A29522" t="str">
        <f>HYPERLINK("https://www.773grp.com/globalSearch/LM339ADR2/page-1", "LM339ADR2")</f>
        <v>LM339ADR2</v>
      </c>
      <c r="B29522" s="3" t="str">
        <f>HYPERLINK("https://www.773grp.com/manufacturer/onsemi?pageNo=368", "ON Semiconductor")</f>
        <v>ON Semiconductor</v>
      </c>
      <c r="C29522" s="6">
        <v>2500</v>
      </c>
      <c r="D29522" s="7">
        <v>0.64</v>
      </c>
      <c r="E29522" t="s">
        <v>9</v>
      </c>
    </row>
    <row r="29523" spans="1:5" x14ac:dyDescent="0.25">
      <c r="A29523" t="str">
        <f>HYPERLINK("https://www.773grp.com/globalSearch/LM339ADR2/page-1", "LM339ADR2")</f>
        <v>LM339ADR2</v>
      </c>
      <c r="B29523" s="3" t="str">
        <f>HYPERLINK("https://www.773grp.com/manufacturer/onsemi?pageNo=369", "ON Semiconductor")</f>
        <v>ON Semiconductor</v>
      </c>
      <c r="C29523" s="6">
        <v>5000</v>
      </c>
      <c r="D29523" s="7">
        <v>0.64</v>
      </c>
      <c r="E29523" t="s">
        <v>9</v>
      </c>
    </row>
    <row r="29524" spans="1:5" x14ac:dyDescent="0.25">
      <c r="A29524" t="str">
        <f>HYPERLINK("https://www.773grp.com/globalSearch/LM339AN/page-1", "LM339AN")</f>
        <v>LM339AN</v>
      </c>
      <c r="B29524" s="3" t="str">
        <f>HYPERLINK("https://www.773grp.com/manufacturer/onsemi?pageNo=370", "ON Semiconductor")</f>
        <v>ON Semiconductor</v>
      </c>
      <c r="C29524" s="6">
        <v>37734</v>
      </c>
      <c r="D29524" s="7">
        <v>0.64</v>
      </c>
      <c r="E29524" t="s">
        <v>9</v>
      </c>
    </row>
    <row r="29525" spans="1:5" x14ac:dyDescent="0.25">
      <c r="A29525" t="str">
        <f>HYPERLINK("https://www.773grp.com/globalSearch/LM339DG/page-1", "LM339DG")</f>
        <v>LM339DG</v>
      </c>
      <c r="B29525" s="3" t="str">
        <f>HYPERLINK("https://www.773grp.com/manufacturer/onsemi?pageNo=371", "ON Semiconductor")</f>
        <v>ON Semiconductor</v>
      </c>
      <c r="C29525" s="6">
        <v>8215</v>
      </c>
      <c r="D29525" s="7">
        <v>0.64</v>
      </c>
      <c r="E29525" t="s">
        <v>9</v>
      </c>
    </row>
    <row r="29526" spans="1:5" x14ac:dyDescent="0.25">
      <c r="A29526" t="str">
        <f>HYPERLINK("https://www.773grp.com/globalSearch/LM339DR2G/page-1", "LM339DR2G")</f>
        <v>LM339DR2G</v>
      </c>
      <c r="B29526" s="3" t="str">
        <f>HYPERLINK("https://www.773grp.com/manufacturer/onsemi?pageNo=372", "ON Semiconductor")</f>
        <v>ON Semiconductor</v>
      </c>
      <c r="C29526" s="6">
        <v>157781</v>
      </c>
      <c r="D29526" s="7">
        <v>0.64</v>
      </c>
      <c r="E29526" t="s">
        <v>9</v>
      </c>
    </row>
    <row r="29527" spans="1:5" x14ac:dyDescent="0.25">
      <c r="A29527" t="str">
        <f>HYPERLINK("https://www.773grp.com/globalSearch/LM339DR2GH/page-1", "LM339DR2GH")</f>
        <v>LM339DR2GH</v>
      </c>
      <c r="B29527" s="3" t="str">
        <f>HYPERLINK("https://www.773grp.com/manufacturer/onsemi?pageNo=373", "ON Semiconductor")</f>
        <v>ON Semiconductor</v>
      </c>
      <c r="C29527" s="6">
        <v>22500</v>
      </c>
      <c r="D29527" s="7">
        <v>0.64</v>
      </c>
    </row>
    <row r="29528" spans="1:5" x14ac:dyDescent="0.25">
      <c r="A29528" t="str">
        <f>HYPERLINK("https://www.773grp.com/globalSearch/LM358DG/page-1", "LM358DG")</f>
        <v>LM358DG</v>
      </c>
      <c r="B29528" s="3" t="str">
        <f>HYPERLINK("https://www.773grp.com/manufacturer/onsemi?pageNo=374", "ON Semiconductor")</f>
        <v>ON Semiconductor</v>
      </c>
      <c r="C29528" s="6">
        <v>4646</v>
      </c>
      <c r="D29528" s="7">
        <v>0.64</v>
      </c>
      <c r="E29528" t="s">
        <v>13</v>
      </c>
    </row>
    <row r="29529" spans="1:5" x14ac:dyDescent="0.25">
      <c r="A29529" t="str">
        <f>HYPERLINK("https://www.773grp.com/globalSearch/LM358DR2G/page-1", "LM358DR2G")</f>
        <v>LM358DR2G</v>
      </c>
      <c r="B29529" s="3" t="str">
        <f>HYPERLINK("https://www.773grp.com/manufacturer/onsemi?pageNo=375", "ON Semiconductor")</f>
        <v>ON Semiconductor</v>
      </c>
      <c r="C29529" s="6">
        <v>138528</v>
      </c>
      <c r="D29529" s="7">
        <v>0.64</v>
      </c>
      <c r="E29529" t="s">
        <v>13</v>
      </c>
    </row>
    <row r="29530" spans="1:5" x14ac:dyDescent="0.25">
      <c r="A29530" t="str">
        <f>HYPERLINK("https://www.773grp.com/globalSearch/LM358DR2GH/page-1", "LM358DR2GH")</f>
        <v>LM358DR2GH</v>
      </c>
      <c r="B29530" s="3" t="str">
        <f>HYPERLINK("https://www.773grp.com/manufacturer/onsemi?pageNo=376", "ON Semiconductor")</f>
        <v>ON Semiconductor</v>
      </c>
      <c r="C29530" s="6">
        <v>4475</v>
      </c>
      <c r="D29530" s="7">
        <v>0.64</v>
      </c>
    </row>
    <row r="29531" spans="1:5" x14ac:dyDescent="0.25">
      <c r="A29531" t="str">
        <f>HYPERLINK("https://www.773grp.com/globalSearch/LM393D/page-1", "LM393D")</f>
        <v>LM393D</v>
      </c>
      <c r="B29531" s="3" t="str">
        <f>HYPERLINK("https://www.773grp.com/manufacturer/onsemi?pageNo=377", "ON Semiconductor")</f>
        <v>ON Semiconductor</v>
      </c>
      <c r="C29531" s="6">
        <v>18997</v>
      </c>
      <c r="D29531" s="7">
        <v>0.64</v>
      </c>
      <c r="E29531" t="s">
        <v>9</v>
      </c>
    </row>
    <row r="29532" spans="1:5" x14ac:dyDescent="0.25">
      <c r="A29532" t="str">
        <f>HYPERLINK("https://www.773grp.com/globalSearch/LM393DG/page-1", "LM393DG")</f>
        <v>LM393DG</v>
      </c>
      <c r="B29532" s="3" t="str">
        <f>HYPERLINK("https://www.773grp.com/manufacturer/onsemi?pageNo=378", "ON Semiconductor")</f>
        <v>ON Semiconductor</v>
      </c>
      <c r="C29532" s="6">
        <v>10569</v>
      </c>
      <c r="D29532" s="7">
        <v>0.64</v>
      </c>
      <c r="E29532" t="s">
        <v>9</v>
      </c>
    </row>
    <row r="29533" spans="1:5" x14ac:dyDescent="0.25">
      <c r="A29533" t="str">
        <f>HYPERLINK("https://www.773grp.com/globalSearch/LM393DR2G/page-1", "LM393DR2G")</f>
        <v>LM393DR2G</v>
      </c>
      <c r="B29533" s="3" t="str">
        <f>HYPERLINK("https://www.773grp.com/manufacturer/onsemi?pageNo=379", "ON Semiconductor")</f>
        <v>ON Semiconductor</v>
      </c>
      <c r="C29533" s="6">
        <v>265016</v>
      </c>
      <c r="D29533" s="7">
        <v>0.64</v>
      </c>
      <c r="E29533" t="s">
        <v>9</v>
      </c>
    </row>
    <row r="29534" spans="1:5" x14ac:dyDescent="0.25">
      <c r="A29534" t="str">
        <f>HYPERLINK("https://www.773grp.com/globalSearch/LP2950CZ-3.3/page-1", "LP2950CZ-3.3")</f>
        <v>LP2950CZ-3.3</v>
      </c>
      <c r="B29534" s="3" t="str">
        <f>HYPERLINK("https://www.773grp.com/manufacturer/onsemi?pageNo=380", "ON Semiconductor")</f>
        <v>ON Semiconductor</v>
      </c>
      <c r="C29534" s="6">
        <v>78800</v>
      </c>
      <c r="D29534" s="7">
        <v>0.64</v>
      </c>
      <c r="E29534" t="s">
        <v>19</v>
      </c>
    </row>
    <row r="29535" spans="1:5" x14ac:dyDescent="0.25">
      <c r="A29535" t="str">
        <f>HYPERLINK("https://www.773grp.com/globalSearch/LP2950CZ-3.3RA/page-1", "LP2950CZ-3.3RA")</f>
        <v>LP2950CZ-3.3RA</v>
      </c>
      <c r="B29535" s="3" t="str">
        <f>HYPERLINK("https://www.773grp.com/manufacturer/onsemi?pageNo=381", "ON Semiconductor")</f>
        <v>ON Semiconductor</v>
      </c>
      <c r="C29535" s="6">
        <v>1116</v>
      </c>
      <c r="D29535" s="7">
        <v>0.64</v>
      </c>
      <c r="E29535" t="s">
        <v>19</v>
      </c>
    </row>
    <row r="29536" spans="1:5" x14ac:dyDescent="0.25">
      <c r="A29536" t="str">
        <f>HYPERLINK("https://www.773grp.com/globalSearch/LV51144T-TE-F-E/page-1", "LV51144T-TE-F-E")</f>
        <v>LV51144T-TE-F-E</v>
      </c>
      <c r="B29536" s="3" t="str">
        <f>HYPERLINK("https://www.773grp.com/manufacturer/onsemi?pageNo=382", "ON Semiconductor")</f>
        <v>ON Semiconductor</v>
      </c>
      <c r="C29536" s="6">
        <v>18000</v>
      </c>
      <c r="D29536" s="7">
        <v>0.64</v>
      </c>
    </row>
    <row r="29537" spans="1:5" x14ac:dyDescent="0.25">
      <c r="A29537" t="str">
        <f>HYPERLINK("https://www.773grp.com/globalSearch/MAC97A4G/page-1", "MAC97A4G")</f>
        <v>MAC97A4G</v>
      </c>
      <c r="B29537" s="3" t="str">
        <f>HYPERLINK("https://www.773grp.com/manufacturer/onsemi?pageNo=383", "ON Semiconductor")</f>
        <v>ON Semiconductor</v>
      </c>
      <c r="C29537" s="6">
        <v>54633</v>
      </c>
      <c r="D29537" s="7">
        <v>0.64</v>
      </c>
      <c r="E29537" t="s">
        <v>102</v>
      </c>
    </row>
    <row r="29538" spans="1:5" x14ac:dyDescent="0.25">
      <c r="A29538" t="str">
        <f>HYPERLINK("https://www.773grp.com/globalSearch/MAC97A6G/page-1", "MAC97A6G")</f>
        <v>MAC97A6G</v>
      </c>
      <c r="B29538" s="3" t="str">
        <f>HYPERLINK("https://www.773grp.com/manufacturer/onsemi?pageNo=384", "ON Semiconductor")</f>
        <v>ON Semiconductor</v>
      </c>
      <c r="C29538" s="6">
        <v>216142</v>
      </c>
      <c r="D29538" s="7">
        <v>0.64</v>
      </c>
      <c r="E29538" t="s">
        <v>102</v>
      </c>
    </row>
    <row r="29539" spans="1:5" x14ac:dyDescent="0.25">
      <c r="A29539" t="str">
        <f>HYPERLINK("https://www.773grp.com/globalSearch/MAC97A6RL1G/page-1", "MAC97A6RL1G")</f>
        <v>MAC97A6RL1G</v>
      </c>
      <c r="B29539" s="3" t="str">
        <f>HYPERLINK("https://www.773grp.com/manufacturer/onsemi?pageNo=385", "ON Semiconductor")</f>
        <v>ON Semiconductor</v>
      </c>
      <c r="C29539" s="6">
        <v>20000</v>
      </c>
      <c r="D29539" s="7">
        <v>0.64</v>
      </c>
      <c r="E29539" t="s">
        <v>102</v>
      </c>
    </row>
    <row r="29540" spans="1:5" x14ac:dyDescent="0.25">
      <c r="A29540" t="str">
        <f>HYPERLINK("https://www.773grp.com/globalSearch/MAC97A6RLRPG/page-1", "MAC97A6RLRPG")</f>
        <v>MAC97A6RLRPG</v>
      </c>
      <c r="B29540" s="3" t="str">
        <f>HYPERLINK("https://www.773grp.com/manufacturer/onsemi?pageNo=386", "ON Semiconductor")</f>
        <v>ON Semiconductor</v>
      </c>
      <c r="C29540" s="6">
        <v>2000</v>
      </c>
      <c r="D29540" s="7">
        <v>0.64</v>
      </c>
      <c r="E29540" t="s">
        <v>102</v>
      </c>
    </row>
    <row r="29541" spans="1:5" x14ac:dyDescent="0.25">
      <c r="A29541" t="str">
        <f>HYPERLINK("https://www.773grp.com/globalSearch/MAC97A8G/page-1", "MAC97A8G")</f>
        <v>MAC97A8G</v>
      </c>
      <c r="B29541" s="3" t="str">
        <f>HYPERLINK("https://www.773grp.com/manufacturer/onsemi?pageNo=387", "ON Semiconductor")</f>
        <v>ON Semiconductor</v>
      </c>
      <c r="C29541" s="6">
        <v>530209</v>
      </c>
      <c r="D29541" s="7">
        <v>0.64</v>
      </c>
      <c r="E29541" t="s">
        <v>102</v>
      </c>
    </row>
    <row r="29542" spans="1:5" x14ac:dyDescent="0.25">
      <c r="A29542" t="str">
        <f>HYPERLINK("https://www.773grp.com/globalSearch/MAC97A8RL1G/page-1", "MAC97A8RL1G")</f>
        <v>MAC97A8RL1G</v>
      </c>
      <c r="B29542" s="3" t="str">
        <f>HYPERLINK("https://www.773grp.com/manufacturer/onsemi?pageNo=388", "ON Semiconductor")</f>
        <v>ON Semiconductor</v>
      </c>
      <c r="C29542" s="6">
        <v>4750</v>
      </c>
      <c r="D29542" s="7">
        <v>0.64</v>
      </c>
      <c r="E29542" t="s">
        <v>102</v>
      </c>
    </row>
    <row r="29543" spans="1:5" x14ac:dyDescent="0.25">
      <c r="A29543" t="str">
        <f>HYPERLINK("https://www.773grp.com/globalSearch/MAC97A8RLRMG/page-1", "MAC97A8RLRMG")</f>
        <v>MAC97A8RLRMG</v>
      </c>
      <c r="B29543" s="3" t="str">
        <f>HYPERLINK("https://www.773grp.com/manufacturer/onsemi?pageNo=389", "ON Semiconductor")</f>
        <v>ON Semiconductor</v>
      </c>
      <c r="C29543" s="6">
        <v>4000</v>
      </c>
      <c r="D29543" s="7">
        <v>0.64</v>
      </c>
    </row>
    <row r="29544" spans="1:5" x14ac:dyDescent="0.25">
      <c r="A29544" t="str">
        <f>HYPERLINK("https://www.773grp.com/globalSearch/MAC97A8RLRPG/page-1", "MAC97A8RLRPG")</f>
        <v>MAC97A8RLRPG</v>
      </c>
      <c r="B29544" s="3" t="str">
        <f>HYPERLINK("https://www.773grp.com/manufacturer/onsemi?pageNo=390", "ON Semiconductor")</f>
        <v>ON Semiconductor</v>
      </c>
      <c r="C29544" s="6">
        <v>5972</v>
      </c>
      <c r="D29544" s="7">
        <v>0.64</v>
      </c>
      <c r="E29544" t="s">
        <v>102</v>
      </c>
    </row>
    <row r="29545" spans="1:5" x14ac:dyDescent="0.25">
      <c r="A29545" t="str">
        <f>HYPERLINK("https://www.773grp.com/globalSearch/MAC997A8RL1G/page-1", "MAC997A8RL1G")</f>
        <v>MAC997A8RL1G</v>
      </c>
      <c r="B29545" s="3" t="str">
        <f>HYPERLINK("https://www.773grp.com/manufacturer/onsemi?pageNo=391", "ON Semiconductor")</f>
        <v>ON Semiconductor</v>
      </c>
      <c r="C29545" s="6">
        <v>2000</v>
      </c>
      <c r="D29545" s="7">
        <v>0.64</v>
      </c>
    </row>
    <row r="29546" spans="1:5" x14ac:dyDescent="0.25">
      <c r="A29546" t="str">
        <f>HYPERLINK("https://www.773grp.com/globalSearch/MAC997A8RLRPG/page-1", "MAC997A8RLRPG")</f>
        <v>MAC997A8RLRPG</v>
      </c>
      <c r="B29546" s="3" t="str">
        <f>HYPERLINK("https://www.773grp.com/manufacturer/onsemi?pageNo=392", "ON Semiconductor")</f>
        <v>ON Semiconductor</v>
      </c>
      <c r="C29546" s="6">
        <v>2000</v>
      </c>
      <c r="D29546" s="7">
        <v>0.64</v>
      </c>
      <c r="E29546" t="s">
        <v>102</v>
      </c>
    </row>
    <row r="29547" spans="1:5" x14ac:dyDescent="0.25">
      <c r="A29547" t="str">
        <f>HYPERLINK("https://www.773grp.com/globalSearch/MAX809RTR/page-1", "MAX809RTR")</f>
        <v>MAX809RTR</v>
      </c>
      <c r="B29547" s="3" t="str">
        <f>HYPERLINK("https://www.773grp.com/manufacturer/onsemi?pageNo=393", "ON Semiconductor")</f>
        <v>ON Semiconductor</v>
      </c>
      <c r="C29547" s="6">
        <v>2910</v>
      </c>
      <c r="D29547" s="7">
        <v>0.64</v>
      </c>
      <c r="E29547" t="s">
        <v>30</v>
      </c>
    </row>
    <row r="29548" spans="1:5" x14ac:dyDescent="0.25">
      <c r="A29548" t="str">
        <f>HYPERLINK("https://www.773grp.com/globalSearch/MAX809STR/page-1", "MAX809STR")</f>
        <v>MAX809STR</v>
      </c>
      <c r="B29548" s="3" t="str">
        <f>HYPERLINK("https://www.773grp.com/manufacturer/onsemi?pageNo=394", "ON Semiconductor")</f>
        <v>ON Semiconductor</v>
      </c>
      <c r="C29548" s="6">
        <v>69129</v>
      </c>
      <c r="D29548" s="7">
        <v>0.64</v>
      </c>
      <c r="E29548" t="s">
        <v>30</v>
      </c>
    </row>
    <row r="29549" spans="1:5" x14ac:dyDescent="0.25">
      <c r="A29549" t="str">
        <f>HYPERLINK("https://www.773grp.com/globalSearch/MAX810LTR/page-1", "MAX810LTR")</f>
        <v>MAX810LTR</v>
      </c>
      <c r="B29549" s="3" t="str">
        <f>HYPERLINK("https://www.773grp.com/manufacturer/onsemi?pageNo=395", "ON Semiconductor")</f>
        <v>ON Semiconductor</v>
      </c>
      <c r="C29549" s="6">
        <v>9000</v>
      </c>
      <c r="D29549" s="7">
        <v>0.64</v>
      </c>
      <c r="E29549" t="s">
        <v>30</v>
      </c>
    </row>
    <row r="29550" spans="1:5" x14ac:dyDescent="0.25">
      <c r="A29550" t="str">
        <f>HYPERLINK("https://www.773grp.com/globalSearch/MAX810MTR/page-1", "MAX810MTR")</f>
        <v>MAX810MTR</v>
      </c>
      <c r="B29550" s="3" t="str">
        <f>HYPERLINK("https://www.773grp.com/manufacturer/onsemi?pageNo=396", "ON Semiconductor")</f>
        <v>ON Semiconductor</v>
      </c>
      <c r="C29550" s="6">
        <v>9000</v>
      </c>
      <c r="D29550" s="7">
        <v>0.64</v>
      </c>
      <c r="E29550" t="s">
        <v>30</v>
      </c>
    </row>
    <row r="29551" spans="1:5" x14ac:dyDescent="0.25">
      <c r="A29551" t="str">
        <f>HYPERLINK("https://www.773grp.com/globalSearch/MAX810RTR/page-1", "MAX810RTR")</f>
        <v>MAX810RTR</v>
      </c>
      <c r="B29551" s="3" t="str">
        <f>HYPERLINK("https://www.773grp.com/manufacturer/onsemi?pageNo=397", "ON Semiconductor")</f>
        <v>ON Semiconductor</v>
      </c>
      <c r="C29551" s="6">
        <v>5375</v>
      </c>
      <c r="D29551" s="7">
        <v>0.64</v>
      </c>
      <c r="E29551" t="s">
        <v>30</v>
      </c>
    </row>
    <row r="29552" spans="1:5" x14ac:dyDescent="0.25">
      <c r="A29552" t="str">
        <f>HYPERLINK("https://www.773grp.com/globalSearch/MAX810STR/page-1", "MAX810STR")</f>
        <v>MAX810STR</v>
      </c>
      <c r="B29552" s="3" t="str">
        <f>HYPERLINK("https://www.773grp.com/manufacturer/onsemi?pageNo=398", "ON Semiconductor")</f>
        <v>ON Semiconductor</v>
      </c>
      <c r="C29552" s="6">
        <v>930</v>
      </c>
      <c r="D29552" s="7">
        <v>0.64</v>
      </c>
      <c r="E29552" t="s">
        <v>30</v>
      </c>
    </row>
    <row r="29553" spans="1:5" x14ac:dyDescent="0.25">
      <c r="A29553" t="str">
        <f>HYPERLINK("https://www.773grp.com/globalSearch/MAX810TTR/page-1", "MAX810TTR")</f>
        <v>MAX810TTR</v>
      </c>
      <c r="B29553" s="3" t="str">
        <f>HYPERLINK("https://www.773grp.com/manufacturer/onsemi?pageNo=399", "ON Semiconductor")</f>
        <v>ON Semiconductor</v>
      </c>
      <c r="C29553" s="6">
        <v>5820</v>
      </c>
      <c r="D29553" s="7">
        <v>0.64</v>
      </c>
      <c r="E29553" t="s">
        <v>30</v>
      </c>
    </row>
    <row r="29554" spans="1:5" x14ac:dyDescent="0.25">
      <c r="A29554" t="str">
        <f>HYPERLINK("https://www.773grp.com/globalSearch/MBRS2040LT3G/page-1", "MBRS2040LT3G")</f>
        <v>MBRS2040LT3G</v>
      </c>
      <c r="B29554" s="3" t="str">
        <f>HYPERLINK("https://www.773grp.com/manufacturer/onsemi?pageNo=400", "ON Semiconductor")</f>
        <v>ON Semiconductor</v>
      </c>
      <c r="C29554" s="6">
        <v>49637</v>
      </c>
      <c r="D29554" s="7">
        <v>0.64</v>
      </c>
      <c r="E29554" t="s">
        <v>103</v>
      </c>
    </row>
    <row r="29555" spans="1:5" x14ac:dyDescent="0.25">
      <c r="A29555" t="str">
        <f>HYPERLINK("https://www.773grp.com/globalSearch/MBRS240LT3G/page-1", "MBRS240LT3G")</f>
        <v>MBRS240LT3G</v>
      </c>
      <c r="B29555" s="3" t="str">
        <f>HYPERLINK("https://www.773grp.com/manufacturer/onsemi?pageNo=401", "ON Semiconductor")</f>
        <v>ON Semiconductor</v>
      </c>
      <c r="C29555" s="6">
        <v>32499</v>
      </c>
      <c r="D29555" s="7">
        <v>0.64</v>
      </c>
      <c r="E29555" t="s">
        <v>103</v>
      </c>
    </row>
    <row r="29556" spans="1:5" x14ac:dyDescent="0.25">
      <c r="A29556" t="str">
        <f>HYPERLINK("https://www.773grp.com/globalSearch/MC14018BCP/page-1", "MC14018BCP")</f>
        <v>MC14018BCP</v>
      </c>
      <c r="B29556" s="3" t="str">
        <f>HYPERLINK("https://www.773grp.com/manufacturer/onsemi?pageNo=402", "ON Semiconductor")</f>
        <v>ON Semiconductor</v>
      </c>
      <c r="C29556" s="6">
        <v>54</v>
      </c>
      <c r="D29556" s="7">
        <v>0.64</v>
      </c>
      <c r="E29556" t="s">
        <v>26</v>
      </c>
    </row>
    <row r="29557" spans="1:5" x14ac:dyDescent="0.25">
      <c r="A29557" t="str">
        <f>HYPERLINK("https://www.773grp.com/globalSearch/MC14029BCP/page-1", "MC14029BCP")</f>
        <v>MC14029BCP</v>
      </c>
      <c r="B29557" s="3" t="str">
        <f>HYPERLINK("https://www.773grp.com/manufacturer/onsemi?pageNo=403", "ON Semiconductor")</f>
        <v>ON Semiconductor</v>
      </c>
      <c r="C29557" s="6">
        <v>2031</v>
      </c>
      <c r="D29557" s="7">
        <v>0.64</v>
      </c>
      <c r="E29557" t="s">
        <v>26</v>
      </c>
    </row>
    <row r="29558" spans="1:5" x14ac:dyDescent="0.25">
      <c r="A29558" t="str">
        <f>HYPERLINK("https://www.773grp.com/globalSearch/MC14518BDWR2/page-1", "MC14518BDWR2")</f>
        <v>MC14518BDWR2</v>
      </c>
      <c r="B29558" s="3" t="str">
        <f>HYPERLINK("https://www.773grp.com/manufacturer/onsemi?pageNo=404", "ON Semiconductor")</f>
        <v>ON Semiconductor</v>
      </c>
      <c r="C29558" s="6">
        <v>1207</v>
      </c>
      <c r="D29558" s="7">
        <v>0.64</v>
      </c>
      <c r="E29558" t="s">
        <v>26</v>
      </c>
    </row>
    <row r="29559" spans="1:5" x14ac:dyDescent="0.25">
      <c r="A29559" t="str">
        <f>HYPERLINK("https://www.773grp.com/globalSearch/MC14520B/page-1", "MC14520B")</f>
        <v>MC14520B</v>
      </c>
      <c r="B29559" s="3" t="str">
        <f>HYPERLINK("https://www.773grp.com/manufacturer/onsemi?pageNo=405", "ON Semiconductor")</f>
        <v>ON Semiconductor</v>
      </c>
      <c r="C29559" s="6">
        <v>234</v>
      </c>
      <c r="D29559" s="7">
        <v>0.64</v>
      </c>
    </row>
    <row r="29560" spans="1:5" x14ac:dyDescent="0.25">
      <c r="A29560" t="str">
        <f>HYPERLINK("https://www.773grp.com/globalSearch/MC14520BCP/page-1", "MC14520BCP")</f>
        <v>MC14520BCP</v>
      </c>
      <c r="B29560" s="3" t="str">
        <f>HYPERLINK("https://www.773grp.com/manufacturer/onsemi?pageNo=406", "ON Semiconductor")</f>
        <v>ON Semiconductor</v>
      </c>
      <c r="C29560" s="6">
        <v>50</v>
      </c>
      <c r="D29560" s="7">
        <v>0.64</v>
      </c>
      <c r="E29560" t="s">
        <v>26</v>
      </c>
    </row>
    <row r="29561" spans="1:5" x14ac:dyDescent="0.25">
      <c r="A29561" t="str">
        <f>HYPERLINK("https://www.773grp.com/globalSearch/MC14528BF/page-1", "MC14528BF")</f>
        <v>MC14528BF</v>
      </c>
      <c r="B29561" s="3" t="str">
        <f>HYPERLINK("https://www.773grp.com/manufacturer/onsemi?pageNo=407", "ON Semiconductor")</f>
        <v>ON Semiconductor</v>
      </c>
      <c r="C29561" s="6">
        <v>311</v>
      </c>
      <c r="D29561" s="7">
        <v>0.64</v>
      </c>
      <c r="E29561" t="s">
        <v>54</v>
      </c>
    </row>
    <row r="29562" spans="1:5" x14ac:dyDescent="0.25">
      <c r="A29562" t="str">
        <f>HYPERLINK("https://www.773grp.com/globalSearch/MC14538BF/page-1", "MC14538BF")</f>
        <v>MC14538BF</v>
      </c>
      <c r="B29562" s="3" t="str">
        <f>HYPERLINK("https://www.773grp.com/manufacturer/onsemi?pageNo=408", "ON Semiconductor")</f>
        <v>ON Semiconductor</v>
      </c>
      <c r="C29562" s="6">
        <v>41</v>
      </c>
      <c r="D29562" s="7">
        <v>0.64</v>
      </c>
      <c r="E29562" t="s">
        <v>54</v>
      </c>
    </row>
    <row r="29563" spans="1:5" x14ac:dyDescent="0.25">
      <c r="A29563" t="str">
        <f>HYPERLINK("https://www.773grp.com/globalSearch/MC14543BCP/page-1", "MC14543BCP")</f>
        <v>MC14543BCP</v>
      </c>
      <c r="B29563" s="3" t="str">
        <f>HYPERLINK("https://www.773grp.com/manufacturer/onsemi?pageNo=409", "ON Semiconductor")</f>
        <v>ON Semiconductor</v>
      </c>
      <c r="C29563" s="6">
        <v>5946</v>
      </c>
      <c r="D29563" s="7">
        <v>0.64</v>
      </c>
      <c r="E29563" t="s">
        <v>36</v>
      </c>
    </row>
    <row r="29564" spans="1:5" x14ac:dyDescent="0.25">
      <c r="A29564" t="str">
        <f>HYPERLINK("https://www.773grp.com/globalSearch/MC14543BF/page-1", "MC14543BF")</f>
        <v>MC14543BF</v>
      </c>
      <c r="B29564" s="3" t="str">
        <f>HYPERLINK("https://www.773grp.com/manufacturer/onsemi?pageNo=410", "ON Semiconductor")</f>
        <v>ON Semiconductor</v>
      </c>
      <c r="C29564" s="6">
        <v>964</v>
      </c>
      <c r="D29564" s="7">
        <v>0.64</v>
      </c>
      <c r="E29564" t="s">
        <v>36</v>
      </c>
    </row>
    <row r="29565" spans="1:5" x14ac:dyDescent="0.25">
      <c r="A29565" t="str">
        <f>HYPERLINK("https://www.773grp.com/globalSearch/MC14555BD/page-1", "MC14555BD")</f>
        <v>MC14555BD</v>
      </c>
      <c r="B29565" s="3" t="str">
        <f>HYPERLINK("https://www.773grp.com/manufacturer/onsemi?pageNo=411", "ON Semiconductor")</f>
        <v>ON Semiconductor</v>
      </c>
      <c r="C29565" s="6">
        <v>2836</v>
      </c>
      <c r="D29565" s="7">
        <v>0.64</v>
      </c>
      <c r="E29565" t="s">
        <v>36</v>
      </c>
    </row>
    <row r="29566" spans="1:5" x14ac:dyDescent="0.25">
      <c r="A29566" t="str">
        <f>HYPERLINK("https://www.773grp.com/globalSearch/MC14555BDR2/page-1", "MC14555BDR2")</f>
        <v>MC14555BDR2</v>
      </c>
      <c r="B29566" s="3" t="str">
        <f>HYPERLINK("https://www.773grp.com/manufacturer/onsemi?pageNo=412", "ON Semiconductor")</f>
        <v>ON Semiconductor</v>
      </c>
      <c r="C29566" s="6">
        <v>5000</v>
      </c>
      <c r="D29566" s="7">
        <v>0.64</v>
      </c>
      <c r="E29566" t="s">
        <v>36</v>
      </c>
    </row>
    <row r="29567" spans="1:5" x14ac:dyDescent="0.25">
      <c r="A29567" t="str">
        <f>HYPERLINK("https://www.773grp.com/globalSearch/MC1488DR2/page-1", "MC1488DR2")</f>
        <v>MC1488DR2</v>
      </c>
      <c r="B29567" s="3" t="str">
        <f>HYPERLINK("https://www.773grp.com/manufacturer/onsemi?pageNo=413", "ON Semiconductor")</f>
        <v>ON Semiconductor</v>
      </c>
      <c r="C29567" s="6">
        <v>7500</v>
      </c>
      <c r="D29567" s="7">
        <v>0.64</v>
      </c>
      <c r="E29567" t="s">
        <v>21</v>
      </c>
    </row>
    <row r="29568" spans="1:5" x14ac:dyDescent="0.25">
      <c r="A29568" t="str">
        <f>HYPERLINK("https://www.773grp.com/globalSearch/MC1489AP/page-1", "MC1489AP")</f>
        <v>MC1489AP</v>
      </c>
      <c r="B29568" s="3" t="str">
        <f>HYPERLINK("https://www.773grp.com/manufacturer/onsemi?pageNo=414", "ON Semiconductor")</f>
        <v>ON Semiconductor</v>
      </c>
      <c r="C29568" s="6">
        <v>4003</v>
      </c>
      <c r="D29568" s="7">
        <v>0.64</v>
      </c>
      <c r="E29568" t="s">
        <v>21</v>
      </c>
    </row>
    <row r="29569" spans="1:5" x14ac:dyDescent="0.25">
      <c r="A29569" t="str">
        <f>HYPERLINK("https://www.773grp.com/globalSearch/MC1489D/page-1", "MC1489D")</f>
        <v>MC1489D</v>
      </c>
      <c r="B29569" s="3" t="str">
        <f>HYPERLINK("https://www.773grp.com/manufacturer/onsemi?pageNo=415", "ON Semiconductor")</f>
        <v>ON Semiconductor</v>
      </c>
      <c r="C29569" s="6">
        <v>2208</v>
      </c>
      <c r="D29569" s="7">
        <v>0.64</v>
      </c>
      <c r="E29569" t="s">
        <v>21</v>
      </c>
    </row>
    <row r="29570" spans="1:5" x14ac:dyDescent="0.25">
      <c r="A29570" t="str">
        <f>HYPERLINK("https://www.773grp.com/globalSearch/MC3403D/page-1", "MC3403D")</f>
        <v>MC3403D</v>
      </c>
      <c r="B29570" s="3" t="str">
        <f>HYPERLINK("https://www.773grp.com/manufacturer/onsemi?pageNo=416", "ON Semiconductor")</f>
        <v>ON Semiconductor</v>
      </c>
      <c r="C29570" s="6">
        <v>1160</v>
      </c>
      <c r="D29570" s="7">
        <v>0.64</v>
      </c>
      <c r="E29570" t="s">
        <v>13</v>
      </c>
    </row>
    <row r="29571" spans="1:5" x14ac:dyDescent="0.25">
      <c r="A29571" t="str">
        <f>HYPERLINK("https://www.773grp.com/globalSearch/MC3403P/page-1", "MC3403P")</f>
        <v>MC3403P</v>
      </c>
      <c r="B29571" s="3" t="str">
        <f>HYPERLINK("https://www.773grp.com/manufacturer/onsemi?pageNo=417", "ON Semiconductor")</f>
        <v>ON Semiconductor</v>
      </c>
      <c r="C29571" s="6">
        <v>3</v>
      </c>
      <c r="D29571" s="7">
        <v>0.64</v>
      </c>
      <c r="E29571" t="s">
        <v>13</v>
      </c>
    </row>
    <row r="29572" spans="1:5" x14ac:dyDescent="0.25">
      <c r="A29572" t="str">
        <f>HYPERLINK("https://www.773grp.com/globalSearch/MC34164DM-5R2/page-1", "MC34164DM-5R2")</f>
        <v>MC34164DM-5R2</v>
      </c>
      <c r="B29572" s="3" t="str">
        <f>HYPERLINK("https://www.773grp.com/manufacturer/onsemi?pageNo=418", "ON Semiconductor")</f>
        <v>ON Semiconductor</v>
      </c>
      <c r="C29572" s="6">
        <v>7919</v>
      </c>
      <c r="D29572" s="7">
        <v>0.64</v>
      </c>
      <c r="E29572" t="s">
        <v>30</v>
      </c>
    </row>
    <row r="29573" spans="1:5" x14ac:dyDescent="0.25">
      <c r="A29573" t="str">
        <f>HYPERLINK("https://www.773grp.com/globalSearch/MC34164P-3RP/page-1", "MC34164P-3RP")</f>
        <v>MC34164P-3RP</v>
      </c>
      <c r="B29573" s="3" t="str">
        <f>HYPERLINK("https://www.773grp.com/manufacturer/onsemi?pageNo=419", "ON Semiconductor")</f>
        <v>ON Semiconductor</v>
      </c>
      <c r="C29573" s="6">
        <v>1818</v>
      </c>
      <c r="D29573" s="7">
        <v>0.64</v>
      </c>
      <c r="E29573" t="s">
        <v>30</v>
      </c>
    </row>
    <row r="29574" spans="1:5" x14ac:dyDescent="0.25">
      <c r="A29574" t="str">
        <f>HYPERLINK("https://www.773grp.com/globalSearch/MC34164P-5RP/page-1", "MC34164P-5RP")</f>
        <v>MC34164P-5RP</v>
      </c>
      <c r="B29574" s="3" t="str">
        <f>HYPERLINK("https://www.773grp.com/manufacturer/onsemi?pageNo=420", "ON Semiconductor")</f>
        <v>ON Semiconductor</v>
      </c>
      <c r="C29574" s="6">
        <v>3988</v>
      </c>
      <c r="D29574" s="7">
        <v>0.64</v>
      </c>
      <c r="E29574" t="s">
        <v>30</v>
      </c>
    </row>
    <row r="29575" spans="1:5" x14ac:dyDescent="0.25">
      <c r="A29575" t="str">
        <f>HYPERLINK("https://www.773grp.com/globalSearch/MC74AC174D/page-1", "MC74AC174D")</f>
        <v>MC74AC174D</v>
      </c>
      <c r="B29575" s="3" t="str">
        <f>HYPERLINK("https://www.773grp.com/manufacturer/onsemi?pageNo=421", "ON Semiconductor")</f>
        <v>ON Semiconductor</v>
      </c>
      <c r="C29575" s="6">
        <v>4250</v>
      </c>
      <c r="D29575" s="7">
        <v>0.64</v>
      </c>
      <c r="E29575" t="s">
        <v>35</v>
      </c>
    </row>
    <row r="29576" spans="1:5" x14ac:dyDescent="0.25">
      <c r="A29576" t="str">
        <f>HYPERLINK("https://www.773grp.com/globalSearch/MC74AC174D/page-1", "MC74AC174D")</f>
        <v>MC74AC174D</v>
      </c>
      <c r="B29576" s="3" t="str">
        <f>HYPERLINK("https://www.773grp.com/manufacturer/onsemi?pageNo=422", "ON Semiconductor")</f>
        <v>ON Semiconductor</v>
      </c>
      <c r="C29576" s="6">
        <v>6266</v>
      </c>
      <c r="D29576" s="7">
        <v>0.64</v>
      </c>
      <c r="E29576" t="s">
        <v>35</v>
      </c>
    </row>
    <row r="29577" spans="1:5" x14ac:dyDescent="0.25">
      <c r="A29577" t="str">
        <f>HYPERLINK("https://www.773grp.com/globalSearch/MC74AC245N/page-1", "MC74AC245N")</f>
        <v>MC74AC245N</v>
      </c>
      <c r="B29577" s="3" t="str">
        <f>HYPERLINK("https://www.773grp.com/manufacturer/onsemi?pageNo=423", "ON Semiconductor")</f>
        <v>ON Semiconductor</v>
      </c>
      <c r="C29577" s="6">
        <v>2602</v>
      </c>
      <c r="D29577" s="7">
        <v>0.64</v>
      </c>
      <c r="E29577" t="s">
        <v>14</v>
      </c>
    </row>
    <row r="29578" spans="1:5" x14ac:dyDescent="0.25">
      <c r="A29578" t="str">
        <f>HYPERLINK("https://www.773grp.com/globalSearch/MC74AC253D/page-1", "MC74AC253D")</f>
        <v>MC74AC253D</v>
      </c>
      <c r="B29578" s="3" t="str">
        <f>HYPERLINK("https://www.773grp.com/manufacturer/onsemi?pageNo=424", "ON Semiconductor")</f>
        <v>ON Semiconductor</v>
      </c>
      <c r="C29578" s="6">
        <v>2447</v>
      </c>
      <c r="D29578" s="7">
        <v>0.64</v>
      </c>
      <c r="E29578" t="s">
        <v>20</v>
      </c>
    </row>
    <row r="29579" spans="1:5" x14ac:dyDescent="0.25">
      <c r="A29579" t="str">
        <f>HYPERLINK("https://www.773grp.com/globalSearch/MC74AC253D/page-1", "MC74AC253D")</f>
        <v>MC74AC253D</v>
      </c>
      <c r="B29579" s="3" t="str">
        <f>HYPERLINK("https://www.773grp.com/manufacturer/onsemi?pageNo=425", "ON Semiconductor")</f>
        <v>ON Semiconductor</v>
      </c>
      <c r="C29579" s="6">
        <v>48</v>
      </c>
      <c r="D29579" s="7">
        <v>0.64</v>
      </c>
      <c r="E29579" t="s">
        <v>20</v>
      </c>
    </row>
    <row r="29580" spans="1:5" x14ac:dyDescent="0.25">
      <c r="A29580" t="str">
        <f>HYPERLINK("https://www.773grp.com/globalSearch/MC74AC257D/page-1", "MC74AC257D")</f>
        <v>MC74AC257D</v>
      </c>
      <c r="B29580" s="3" t="str">
        <f>HYPERLINK("https://www.773grp.com/manufacturer/onsemi?pageNo=426", "ON Semiconductor")</f>
        <v>ON Semiconductor</v>
      </c>
      <c r="C29580" s="6">
        <v>18333</v>
      </c>
      <c r="D29580" s="7">
        <v>0.64</v>
      </c>
      <c r="E29580" t="s">
        <v>20</v>
      </c>
    </row>
    <row r="29581" spans="1:5" x14ac:dyDescent="0.25">
      <c r="A29581" t="str">
        <f>HYPERLINK("https://www.773grp.com/globalSearch/MC74AC257N/page-1", "MC74AC257N")</f>
        <v>MC74AC257N</v>
      </c>
      <c r="B29581" s="3" t="str">
        <f>HYPERLINK("https://www.773grp.com/manufacturer/onsemi?pageNo=427", "ON Semiconductor")</f>
        <v>ON Semiconductor</v>
      </c>
      <c r="C29581" s="6">
        <v>2725</v>
      </c>
      <c r="D29581" s="7">
        <v>0.64</v>
      </c>
      <c r="E29581" t="s">
        <v>20</v>
      </c>
    </row>
    <row r="29582" spans="1:5" x14ac:dyDescent="0.25">
      <c r="A29582" t="str">
        <f>HYPERLINK("https://www.773grp.com/globalSearch/MC74AC374DT/page-1", "MC74AC374DT")</f>
        <v>MC74AC374DT</v>
      </c>
      <c r="B29582" s="3" t="str">
        <f>HYPERLINK("https://www.773grp.com/manufacturer/onsemi?pageNo=428", "ON Semiconductor")</f>
        <v>ON Semiconductor</v>
      </c>
      <c r="C29582" s="6">
        <v>6000</v>
      </c>
      <c r="D29582" s="7">
        <v>0.64</v>
      </c>
      <c r="E29582" t="s">
        <v>14</v>
      </c>
    </row>
    <row r="29583" spans="1:5" x14ac:dyDescent="0.25">
      <c r="A29583" t="str">
        <f>HYPERLINK("https://www.773grp.com/globalSearch/MC74AC374N/page-1", "MC74AC374N")</f>
        <v>MC74AC374N</v>
      </c>
      <c r="B29583" s="3" t="str">
        <f>HYPERLINK("https://www.773grp.com/manufacturer/onsemi?pageNo=429", "ON Semiconductor")</f>
        <v>ON Semiconductor</v>
      </c>
      <c r="C29583" s="6">
        <v>1368</v>
      </c>
      <c r="D29583" s="7">
        <v>0.64</v>
      </c>
      <c r="E29583" t="s">
        <v>14</v>
      </c>
    </row>
    <row r="29584" spans="1:5" x14ac:dyDescent="0.25">
      <c r="A29584" t="str">
        <f>HYPERLINK("https://www.773grp.com/globalSearch/MC74AC377N/page-1", "MC74AC377N")</f>
        <v>MC74AC377N</v>
      </c>
      <c r="B29584" s="3" t="str">
        <f>HYPERLINK("https://www.773grp.com/manufacturer/onsemi?pageNo=430", "ON Semiconductor")</f>
        <v>ON Semiconductor</v>
      </c>
      <c r="C29584" s="6">
        <v>5476</v>
      </c>
      <c r="D29584" s="7">
        <v>0.64</v>
      </c>
      <c r="E29584" t="s">
        <v>35</v>
      </c>
    </row>
    <row r="29585" spans="1:5" x14ac:dyDescent="0.25">
      <c r="A29585" t="str">
        <f>HYPERLINK("https://www.773grp.com/globalSearch/MC74AC573N/page-1", "MC74AC573N")</f>
        <v>MC74AC573N</v>
      </c>
      <c r="B29585" s="3" t="str">
        <f>HYPERLINK("https://www.773grp.com/manufacturer/onsemi?pageNo=431", "ON Semiconductor")</f>
        <v>ON Semiconductor</v>
      </c>
      <c r="C29585" s="6">
        <v>6298</v>
      </c>
      <c r="D29585" s="7">
        <v>0.64</v>
      </c>
      <c r="E29585" t="s">
        <v>14</v>
      </c>
    </row>
    <row r="29586" spans="1:5" x14ac:dyDescent="0.25">
      <c r="A29586" t="str">
        <f>HYPERLINK("https://www.773grp.com/globalSearch/MC74AC574ANG/page-1", "MC74AC574ANG")</f>
        <v>MC74AC574ANG</v>
      </c>
      <c r="B29586" s="3" t="str">
        <f>HYPERLINK("https://www.773grp.com/manufacturer/onsemi?pageNo=432", "ON Semiconductor")</f>
        <v>ON Semiconductor</v>
      </c>
      <c r="C29586" s="6">
        <v>73</v>
      </c>
      <c r="D29586" s="7">
        <v>0.64</v>
      </c>
    </row>
    <row r="29587" spans="1:5" x14ac:dyDescent="0.25">
      <c r="A29587" t="str">
        <f>HYPERLINK("https://www.773grp.com/globalSearch/MC74ACT109D/page-1", "MC74ACT109D")</f>
        <v>MC74ACT109D</v>
      </c>
      <c r="B29587" s="3" t="str">
        <f>HYPERLINK("https://www.773grp.com/manufacturer/onsemi?pageNo=433", "ON Semiconductor")</f>
        <v>ON Semiconductor</v>
      </c>
      <c r="C29587" s="6">
        <v>1494</v>
      </c>
      <c r="D29587" s="7">
        <v>0.64</v>
      </c>
      <c r="E29587" t="s">
        <v>35</v>
      </c>
    </row>
    <row r="29588" spans="1:5" x14ac:dyDescent="0.25">
      <c r="A29588" t="str">
        <f>HYPERLINK("https://www.773grp.com/globalSearch/MC74ACT109DR2/page-1", "MC74ACT109DR2")</f>
        <v>MC74ACT109DR2</v>
      </c>
      <c r="B29588" s="3" t="str">
        <f>HYPERLINK("https://www.773grp.com/manufacturer/onsemi?pageNo=434", "ON Semiconductor")</f>
        <v>ON Semiconductor</v>
      </c>
      <c r="C29588" s="6">
        <v>125000</v>
      </c>
      <c r="D29588" s="7">
        <v>0.64</v>
      </c>
      <c r="E29588" t="s">
        <v>35</v>
      </c>
    </row>
    <row r="29589" spans="1:5" x14ac:dyDescent="0.25">
      <c r="A29589" t="str">
        <f>HYPERLINK("https://www.773grp.com/globalSearch/MC74ACT151D/page-1", "MC74ACT151D")</f>
        <v>MC74ACT151D</v>
      </c>
      <c r="B29589" s="3" t="str">
        <f>HYPERLINK("https://www.773grp.com/manufacturer/onsemi?pageNo=435", "ON Semiconductor")</f>
        <v>ON Semiconductor</v>
      </c>
      <c r="C29589" s="6">
        <v>223118</v>
      </c>
      <c r="D29589" s="7">
        <v>0.64</v>
      </c>
      <c r="E29589" t="s">
        <v>20</v>
      </c>
    </row>
    <row r="29590" spans="1:5" x14ac:dyDescent="0.25">
      <c r="A29590" t="str">
        <f>HYPERLINK("https://www.773grp.com/globalSearch/MC74ACT174DR2/page-1", "MC74ACT174DR2")</f>
        <v>MC74ACT174DR2</v>
      </c>
      <c r="B29590" s="3" t="str">
        <f>HYPERLINK("https://www.773grp.com/manufacturer/onsemi?pageNo=436", "ON Semiconductor")</f>
        <v>ON Semiconductor</v>
      </c>
      <c r="C29590" s="6">
        <v>15000</v>
      </c>
      <c r="D29590" s="7">
        <v>0.64</v>
      </c>
      <c r="E29590" t="s">
        <v>35</v>
      </c>
    </row>
    <row r="29591" spans="1:5" x14ac:dyDescent="0.25">
      <c r="A29591" t="str">
        <f>HYPERLINK("https://www.773grp.com/globalSearch/MC74ACT240DT/page-1", "MC74ACT240DT")</f>
        <v>MC74ACT240DT</v>
      </c>
      <c r="B29591" s="3" t="str">
        <f>HYPERLINK("https://www.773grp.com/manufacturer/onsemi?pageNo=437", "ON Semiconductor")</f>
        <v>ON Semiconductor</v>
      </c>
      <c r="C29591" s="6">
        <v>4375</v>
      </c>
      <c r="D29591" s="7">
        <v>0.64</v>
      </c>
      <c r="E29591" t="s">
        <v>14</v>
      </c>
    </row>
    <row r="29592" spans="1:5" x14ac:dyDescent="0.25">
      <c r="A29592" t="str">
        <f>HYPERLINK("https://www.773grp.com/globalSearch/MC74ACT244DTEL/page-1", "MC74ACT244DTEL")</f>
        <v>MC74ACT244DTEL</v>
      </c>
      <c r="B29592" s="3" t="str">
        <f>HYPERLINK("https://www.773grp.com/manufacturer/onsemi?pageNo=438", "ON Semiconductor")</f>
        <v>ON Semiconductor</v>
      </c>
      <c r="C29592" s="6">
        <v>63500</v>
      </c>
      <c r="D29592" s="7">
        <v>0.64</v>
      </c>
    </row>
    <row r="29593" spans="1:5" x14ac:dyDescent="0.25">
      <c r="A29593" t="str">
        <f>HYPERLINK("https://www.773grp.com/globalSearch/MC74ACT244N/page-1", "MC74ACT244N")</f>
        <v>MC74ACT244N</v>
      </c>
      <c r="B29593" s="3" t="str">
        <f>HYPERLINK("https://www.773grp.com/manufacturer/onsemi?pageNo=439", "ON Semiconductor")</f>
        <v>ON Semiconductor</v>
      </c>
      <c r="C29593" s="6">
        <v>1705</v>
      </c>
      <c r="D29593" s="7">
        <v>0.64</v>
      </c>
      <c r="E29593" t="s">
        <v>14</v>
      </c>
    </row>
    <row r="29594" spans="1:5" x14ac:dyDescent="0.25">
      <c r="A29594" t="str">
        <f>HYPERLINK("https://www.773grp.com/globalSearch/MC74ACT245N/page-1", "MC74ACT245N")</f>
        <v>MC74ACT245N</v>
      </c>
      <c r="B29594" s="3" t="str">
        <f>HYPERLINK("https://www.773grp.com/manufacturer/onsemi?pageNo=440", "ON Semiconductor")</f>
        <v>ON Semiconductor</v>
      </c>
      <c r="C29594" s="6">
        <v>7523</v>
      </c>
      <c r="D29594" s="7">
        <v>0.64</v>
      </c>
      <c r="E29594" t="s">
        <v>14</v>
      </c>
    </row>
    <row r="29595" spans="1:5" x14ac:dyDescent="0.25">
      <c r="A29595" t="str">
        <f>HYPERLINK("https://www.773grp.com/globalSearch/MC74ACT273N/page-1", "MC74ACT273N")</f>
        <v>MC74ACT273N</v>
      </c>
      <c r="B29595" s="3" t="str">
        <f>HYPERLINK("https://www.773grp.com/manufacturer/onsemi?pageNo=441", "ON Semiconductor")</f>
        <v>ON Semiconductor</v>
      </c>
      <c r="C29595" s="6">
        <v>2432</v>
      </c>
      <c r="D29595" s="7">
        <v>0.64</v>
      </c>
      <c r="E29595" t="s">
        <v>35</v>
      </c>
    </row>
    <row r="29596" spans="1:5" x14ac:dyDescent="0.25">
      <c r="A29596" t="str">
        <f>HYPERLINK("https://www.773grp.com/globalSearch/MC74ACT373N/page-1", "MC74ACT373N")</f>
        <v>MC74ACT373N</v>
      </c>
      <c r="B29596" s="3" t="str">
        <f>HYPERLINK("https://www.773grp.com/manufacturer/onsemi?pageNo=442", "ON Semiconductor")</f>
        <v>ON Semiconductor</v>
      </c>
      <c r="C29596" s="6">
        <v>6606</v>
      </c>
      <c r="D29596" s="7">
        <v>0.64</v>
      </c>
      <c r="E29596" t="s">
        <v>14</v>
      </c>
    </row>
    <row r="29597" spans="1:5" x14ac:dyDescent="0.25">
      <c r="A29597" t="str">
        <f>HYPERLINK("https://www.773grp.com/globalSearch/MC74ACT374DT/page-1", "MC74ACT374DT")</f>
        <v>MC74ACT374DT</v>
      </c>
      <c r="B29597" s="3" t="str">
        <f>HYPERLINK("https://www.773grp.com/manufacturer/onsemi?pageNo=443", "ON Semiconductor")</f>
        <v>ON Semiconductor</v>
      </c>
      <c r="C29597" s="6">
        <v>2800</v>
      </c>
      <c r="D29597" s="7">
        <v>0.64</v>
      </c>
      <c r="E29597" t="s">
        <v>14</v>
      </c>
    </row>
    <row r="29598" spans="1:5" x14ac:dyDescent="0.25">
      <c r="A29598" t="str">
        <f>HYPERLINK("https://www.773grp.com/globalSearch/MC74ACT377N/page-1", "MC74ACT377N")</f>
        <v>MC74ACT377N</v>
      </c>
      <c r="B29598" s="3" t="str">
        <f>HYPERLINK("https://www.773grp.com/manufacturer/onsemi?pageNo=444", "ON Semiconductor")</f>
        <v>ON Semiconductor</v>
      </c>
      <c r="C29598" s="6">
        <v>10599</v>
      </c>
      <c r="D29598" s="7">
        <v>0.64</v>
      </c>
      <c r="E29598" t="s">
        <v>35</v>
      </c>
    </row>
    <row r="29599" spans="1:5" x14ac:dyDescent="0.25">
      <c r="A29599" t="str">
        <f>HYPERLINK("https://www.773grp.com/globalSearch/MC74ACT573DT/page-1", "MC74ACT573DT")</f>
        <v>MC74ACT573DT</v>
      </c>
      <c r="B29599" s="3" t="str">
        <f>HYPERLINK("https://www.773grp.com/manufacturer/onsemi?pageNo=445", "ON Semiconductor")</f>
        <v>ON Semiconductor</v>
      </c>
      <c r="C29599" s="6">
        <v>200</v>
      </c>
      <c r="D29599" s="7">
        <v>0.64</v>
      </c>
      <c r="E29599" t="s">
        <v>14</v>
      </c>
    </row>
    <row r="29600" spans="1:5" x14ac:dyDescent="0.25">
      <c r="A29600" t="str">
        <f>HYPERLINK("https://www.773grp.com/globalSearch/MC74ACT573N/page-1", "MC74ACT573N")</f>
        <v>MC74ACT573N</v>
      </c>
      <c r="B29600" s="3" t="str">
        <f>HYPERLINK("https://www.773grp.com/manufacturer/onsemi?pageNo=446", "ON Semiconductor")</f>
        <v>ON Semiconductor</v>
      </c>
      <c r="C29600" s="6">
        <v>7067</v>
      </c>
      <c r="D29600" s="7">
        <v>0.64</v>
      </c>
      <c r="E29600" t="s">
        <v>14</v>
      </c>
    </row>
    <row r="29601" spans="1:5" x14ac:dyDescent="0.25">
      <c r="A29601" t="str">
        <f>HYPERLINK("https://www.773grp.com/globalSearch/MC74ACT574DT/page-1", "MC74ACT574DT")</f>
        <v>MC74ACT574DT</v>
      </c>
      <c r="B29601" s="3" t="str">
        <f>HYPERLINK("https://www.773grp.com/manufacturer/onsemi?pageNo=447", "ON Semiconductor")</f>
        <v>ON Semiconductor</v>
      </c>
      <c r="C29601" s="6">
        <v>35292</v>
      </c>
      <c r="D29601" s="7">
        <v>0.64</v>
      </c>
      <c r="E29601" t="s">
        <v>14</v>
      </c>
    </row>
    <row r="29602" spans="1:5" x14ac:dyDescent="0.25">
      <c r="A29602" t="str">
        <f>HYPERLINK("https://www.773grp.com/globalSearch/MC74F138M/page-1", "MC74F138M")</f>
        <v>MC74F138M</v>
      </c>
      <c r="B29602" s="3" t="str">
        <f>HYPERLINK("https://www.773grp.com/manufacturer/onsemi?pageNo=448", "ON Semiconductor")</f>
        <v>ON Semiconductor</v>
      </c>
      <c r="C29602" s="6">
        <v>1150</v>
      </c>
      <c r="D29602" s="7">
        <v>0.64</v>
      </c>
    </row>
    <row r="29603" spans="1:5" x14ac:dyDescent="0.25">
      <c r="A29603" t="str">
        <f>HYPERLINK("https://www.773grp.com/globalSearch/MC74F138ML1/page-1", "MC74F138ML1")</f>
        <v>MC74F138ML1</v>
      </c>
      <c r="B29603" s="3" t="str">
        <f>HYPERLINK("https://www.773grp.com/manufacturer/onsemi?pageNo=449", "ON Semiconductor")</f>
        <v>ON Semiconductor</v>
      </c>
      <c r="C29603" s="6">
        <v>10000</v>
      </c>
      <c r="D29603" s="7">
        <v>0.64</v>
      </c>
    </row>
    <row r="29604" spans="1:5" x14ac:dyDescent="0.25">
      <c r="A29604" t="str">
        <f>HYPERLINK("https://www.773grp.com/globalSearch/MC74F138MR1/page-1", "MC74F138MR1")</f>
        <v>MC74F138MR1</v>
      </c>
      <c r="B29604" s="3" t="str">
        <f>HYPERLINK("https://www.773grp.com/manufacturer/onsemi?pageNo=450", "ON Semiconductor")</f>
        <v>ON Semiconductor</v>
      </c>
      <c r="C29604" s="6">
        <v>4000</v>
      </c>
      <c r="D29604" s="7">
        <v>0.64</v>
      </c>
    </row>
    <row r="29605" spans="1:5" x14ac:dyDescent="0.25">
      <c r="A29605" t="str">
        <f>HYPERLINK("https://www.773grp.com/globalSearch/MC74F139M/page-1", "MC74F139M")</f>
        <v>MC74F139M</v>
      </c>
      <c r="B29605" s="3" t="str">
        <f>HYPERLINK("https://www.773grp.com/manufacturer/onsemi?pageNo=451", "ON Semiconductor")</f>
        <v>ON Semiconductor</v>
      </c>
      <c r="C29605" s="6">
        <v>861</v>
      </c>
      <c r="D29605" s="7">
        <v>0.64</v>
      </c>
    </row>
    <row r="29606" spans="1:5" x14ac:dyDescent="0.25">
      <c r="A29606" t="str">
        <f>HYPERLINK("https://www.773grp.com/globalSearch/MC74F139ML1/page-1", "MC74F139ML1")</f>
        <v>MC74F139ML1</v>
      </c>
      <c r="B29606" s="3" t="str">
        <f>HYPERLINK("https://www.773grp.com/manufacturer/onsemi?pageNo=452", "ON Semiconductor")</f>
        <v>ON Semiconductor</v>
      </c>
      <c r="C29606" s="6">
        <v>4000</v>
      </c>
      <c r="D29606" s="7">
        <v>0.64</v>
      </c>
    </row>
    <row r="29607" spans="1:5" x14ac:dyDescent="0.25">
      <c r="A29607" t="str">
        <f>HYPERLINK("https://www.773grp.com/globalSearch/MC74F139MR1/page-1", "MC74F139MR1")</f>
        <v>MC74F139MR1</v>
      </c>
      <c r="B29607" s="3" t="str">
        <f>HYPERLINK("https://www.773grp.com/manufacturer/onsemi?pageNo=453", "ON Semiconductor")</f>
        <v>ON Semiconductor</v>
      </c>
      <c r="C29607" s="6">
        <v>3000</v>
      </c>
      <c r="D29607" s="7">
        <v>0.64</v>
      </c>
    </row>
    <row r="29608" spans="1:5" x14ac:dyDescent="0.25">
      <c r="A29608" t="str">
        <f>HYPERLINK("https://www.773grp.com/globalSearch/MC74F139N/page-1", "MC74F139N")</f>
        <v>MC74F139N</v>
      </c>
      <c r="B29608" s="3" t="str">
        <f>HYPERLINK("https://www.773grp.com/manufacturer/onsemi?pageNo=454", "ON Semiconductor")</f>
        <v>ON Semiconductor</v>
      </c>
      <c r="C29608" s="6">
        <v>18441</v>
      </c>
      <c r="D29608" s="7">
        <v>0.64</v>
      </c>
      <c r="E29608" t="s">
        <v>36</v>
      </c>
    </row>
    <row r="29609" spans="1:5" x14ac:dyDescent="0.25">
      <c r="A29609" t="str">
        <f>HYPERLINK("https://www.773grp.com/globalSearch/MC74HC08ADR2/page-1", "MC74HC08ADR2")</f>
        <v>MC74HC08ADR2</v>
      </c>
      <c r="B29609" s="3" t="str">
        <f>HYPERLINK("https://www.773grp.com/manufacturer/onsemi?pageNo=455", "ON Semiconductor")</f>
        <v>ON Semiconductor</v>
      </c>
      <c r="C29609" s="6">
        <v>29358</v>
      </c>
      <c r="D29609" s="7">
        <v>0.64</v>
      </c>
      <c r="E29609" t="s">
        <v>31</v>
      </c>
    </row>
    <row r="29610" spans="1:5" x14ac:dyDescent="0.25">
      <c r="A29610" t="str">
        <f>HYPERLINK("https://www.773grp.com/globalSearch/MC74HC126ADT/page-1", "MC74HC126ADT")</f>
        <v>MC74HC126ADT</v>
      </c>
      <c r="B29610" s="3" t="str">
        <f>HYPERLINK("https://www.773grp.com/manufacturer/onsemi?pageNo=456", "ON Semiconductor")</f>
        <v>ON Semiconductor</v>
      </c>
      <c r="C29610" s="6">
        <v>13632</v>
      </c>
      <c r="D29610" s="7">
        <v>0.64</v>
      </c>
      <c r="E29610" t="s">
        <v>14</v>
      </c>
    </row>
    <row r="29611" spans="1:5" x14ac:dyDescent="0.25">
      <c r="A29611" t="str">
        <f>HYPERLINK("https://www.773grp.com/globalSearch/MC74HC126ADTEL/page-1", "MC74HC126ADTEL")</f>
        <v>MC74HC126ADTEL</v>
      </c>
      <c r="B29611" s="3" t="str">
        <f>HYPERLINK("https://www.773grp.com/manufacturer/onsemi?pageNo=457", "ON Semiconductor")</f>
        <v>ON Semiconductor</v>
      </c>
      <c r="C29611" s="6">
        <v>2000</v>
      </c>
      <c r="D29611" s="7">
        <v>0.64</v>
      </c>
    </row>
    <row r="29612" spans="1:5" x14ac:dyDescent="0.25">
      <c r="A29612" t="str">
        <f>HYPERLINK("https://www.773grp.com/globalSearch/MC74HC139ADT/page-1", "MC74HC139ADT")</f>
        <v>MC74HC139ADT</v>
      </c>
      <c r="B29612" s="3" t="str">
        <f>HYPERLINK("https://www.773grp.com/manufacturer/onsemi?pageNo=458", "ON Semiconductor")</f>
        <v>ON Semiconductor</v>
      </c>
      <c r="C29612" s="6">
        <v>13716</v>
      </c>
      <c r="D29612" s="7">
        <v>0.64</v>
      </c>
      <c r="E29612" t="s">
        <v>36</v>
      </c>
    </row>
    <row r="29613" spans="1:5" x14ac:dyDescent="0.25">
      <c r="A29613" t="str">
        <f>HYPERLINK("https://www.773grp.com/globalSearch/MC74HC165AFL1/page-1", "MC74HC165AFL1")</f>
        <v>MC74HC165AFL1</v>
      </c>
      <c r="B29613" s="3" t="str">
        <f>HYPERLINK("https://www.773grp.com/manufacturer/onsemi?pageNo=459", "ON Semiconductor")</f>
        <v>ON Semiconductor</v>
      </c>
      <c r="C29613" s="6">
        <v>15000</v>
      </c>
      <c r="D29613" s="7">
        <v>0.64</v>
      </c>
    </row>
    <row r="29614" spans="1:5" x14ac:dyDescent="0.25">
      <c r="A29614" t="str">
        <f>HYPERLINK("https://www.773grp.com/globalSearch/MC74HC165AFR1/page-1", "MC74HC165AFR1")</f>
        <v>MC74HC165AFR1</v>
      </c>
      <c r="B29614" s="3" t="str">
        <f>HYPERLINK("https://www.773grp.com/manufacturer/onsemi?pageNo=460", "ON Semiconductor")</f>
        <v>ON Semiconductor</v>
      </c>
      <c r="C29614" s="6">
        <v>12000</v>
      </c>
      <c r="D29614" s="7">
        <v>0.64</v>
      </c>
    </row>
    <row r="29615" spans="1:5" x14ac:dyDescent="0.25">
      <c r="A29615" t="str">
        <f>HYPERLINK("https://www.773grp.com/globalSearch/MC74HC244AF/page-1", "MC74HC244AF")</f>
        <v>MC74HC244AF</v>
      </c>
      <c r="B29615" s="3" t="str">
        <f>HYPERLINK("https://www.773grp.com/manufacturer/onsemi?pageNo=461", "ON Semiconductor")</f>
        <v>ON Semiconductor</v>
      </c>
      <c r="C29615" s="6">
        <v>3023</v>
      </c>
      <c r="D29615" s="7">
        <v>0.64</v>
      </c>
      <c r="E29615" t="s">
        <v>14</v>
      </c>
    </row>
    <row r="29616" spans="1:5" x14ac:dyDescent="0.25">
      <c r="A29616" t="str">
        <f>HYPERLINK("https://www.773grp.com/globalSearch/MC74HC244AFEL/page-1", "MC74HC244AFEL")</f>
        <v>MC74HC244AFEL</v>
      </c>
      <c r="B29616" s="3" t="str">
        <f>HYPERLINK("https://www.773grp.com/manufacturer/onsemi?pageNo=462", "ON Semiconductor")</f>
        <v>ON Semiconductor</v>
      </c>
      <c r="C29616" s="6">
        <v>18000</v>
      </c>
      <c r="D29616" s="7">
        <v>0.64</v>
      </c>
      <c r="E29616" t="s">
        <v>14</v>
      </c>
    </row>
    <row r="29617" spans="1:5" x14ac:dyDescent="0.25">
      <c r="A29617" t="str">
        <f>HYPERLINK("https://www.773grp.com/globalSearch/MC74HC245AF/page-1", "MC74HC245AF")</f>
        <v>MC74HC245AF</v>
      </c>
      <c r="B29617" s="3" t="str">
        <f>HYPERLINK("https://www.773grp.com/manufacturer/onsemi?pageNo=463", "ON Semiconductor")</f>
        <v>ON Semiconductor</v>
      </c>
      <c r="C29617" s="6">
        <v>317</v>
      </c>
      <c r="D29617" s="7">
        <v>0.64</v>
      </c>
      <c r="E29617" t="s">
        <v>14</v>
      </c>
    </row>
    <row r="29618" spans="1:5" x14ac:dyDescent="0.25">
      <c r="A29618" t="str">
        <f>HYPERLINK("https://www.773grp.com/globalSearch/MC74HC273AF/page-1", "MC74HC273AF")</f>
        <v>MC74HC273AF</v>
      </c>
      <c r="B29618" s="3" t="str">
        <f>HYPERLINK("https://www.773grp.com/manufacturer/onsemi?pageNo=464", "ON Semiconductor")</f>
        <v>ON Semiconductor</v>
      </c>
      <c r="C29618" s="6">
        <v>1560</v>
      </c>
      <c r="D29618" s="7">
        <v>0.64</v>
      </c>
      <c r="E29618" t="s">
        <v>35</v>
      </c>
    </row>
    <row r="29619" spans="1:5" x14ac:dyDescent="0.25">
      <c r="A29619" t="str">
        <f>HYPERLINK("https://www.773grp.com/globalSearch/MC74HC32ADTR2/page-1", "MC74HC32ADTR2")</f>
        <v>MC74HC32ADTR2</v>
      </c>
      <c r="B29619" s="3" t="str">
        <f>HYPERLINK("https://www.773grp.com/manufacturer/onsemi?pageNo=465", "ON Semiconductor")</f>
        <v>ON Semiconductor</v>
      </c>
      <c r="C29619" s="6">
        <v>40000</v>
      </c>
      <c r="D29619" s="7">
        <v>0.64</v>
      </c>
    </row>
    <row r="29620" spans="1:5" x14ac:dyDescent="0.25">
      <c r="A29620" t="str">
        <f>HYPERLINK("https://www.773grp.com/globalSearch/MC74HC373AF/page-1", "MC74HC373AF")</f>
        <v>MC74HC373AF</v>
      </c>
      <c r="B29620" s="3" t="str">
        <f>HYPERLINK("https://www.773grp.com/manufacturer/onsemi?pageNo=466", "ON Semiconductor")</f>
        <v>ON Semiconductor</v>
      </c>
      <c r="C29620" s="6">
        <v>6736</v>
      </c>
      <c r="D29620" s="7">
        <v>0.64</v>
      </c>
      <c r="E29620" t="s">
        <v>14</v>
      </c>
    </row>
    <row r="29621" spans="1:5" x14ac:dyDescent="0.25">
      <c r="A29621" t="str">
        <f>HYPERLINK("https://www.773grp.com/globalSearch/MC74HC373AFEL/page-1", "MC74HC373AFEL")</f>
        <v>MC74HC373AFEL</v>
      </c>
      <c r="B29621" s="3" t="str">
        <f>HYPERLINK("https://www.773grp.com/manufacturer/onsemi?pageNo=467", "ON Semiconductor")</f>
        <v>ON Semiconductor</v>
      </c>
      <c r="C29621" s="6">
        <v>4000</v>
      </c>
      <c r="D29621" s="7">
        <v>0.64</v>
      </c>
      <c r="E29621" t="s">
        <v>14</v>
      </c>
    </row>
    <row r="29622" spans="1:5" x14ac:dyDescent="0.25">
      <c r="A29622" t="str">
        <f>HYPERLINK("https://www.773grp.com/globalSearch/MC74HC373AFI/page-1", "MC74HC373AFI")</f>
        <v>MC74HC373AFI</v>
      </c>
      <c r="B29622" s="3" t="str">
        <f>HYPERLINK("https://www.773grp.com/manufacturer/onsemi?pageNo=468", "ON Semiconductor")</f>
        <v>ON Semiconductor</v>
      </c>
      <c r="C29622" s="6">
        <v>300</v>
      </c>
      <c r="D29622" s="7">
        <v>0.64</v>
      </c>
    </row>
    <row r="29623" spans="1:5" x14ac:dyDescent="0.25">
      <c r="A29623" t="str">
        <f>HYPERLINK("https://www.773grp.com/globalSearch/MC74HC374AFEL/page-1", "MC74HC374AFEL")</f>
        <v>MC74HC374AFEL</v>
      </c>
      <c r="B29623" s="3" t="str">
        <f>HYPERLINK("https://www.773grp.com/manufacturer/onsemi?pageNo=469", "ON Semiconductor")</f>
        <v>ON Semiconductor</v>
      </c>
      <c r="C29623" s="6">
        <v>4000</v>
      </c>
      <c r="D29623" s="7">
        <v>0.64</v>
      </c>
      <c r="E29623" t="s">
        <v>14</v>
      </c>
    </row>
    <row r="29624" spans="1:5" x14ac:dyDescent="0.25">
      <c r="A29624" t="str">
        <f>HYPERLINK("https://www.773grp.com/globalSearch/MC74HC4002D/page-1", "MC74HC4002D")</f>
        <v>MC74HC4002D</v>
      </c>
      <c r="B29624" s="3" t="str">
        <f>HYPERLINK("https://www.773grp.com/manufacturer/onsemi?pageNo=470", "ON Semiconductor")</f>
        <v>ON Semiconductor</v>
      </c>
      <c r="C29624" s="6">
        <v>392</v>
      </c>
      <c r="D29624" s="7">
        <v>0.64</v>
      </c>
      <c r="E29624" t="s">
        <v>31</v>
      </c>
    </row>
    <row r="29625" spans="1:5" x14ac:dyDescent="0.25">
      <c r="A29625" t="str">
        <f>HYPERLINK("https://www.773grp.com/globalSearch/MC74HC4002F/page-1", "MC74HC4002F")</f>
        <v>MC74HC4002F</v>
      </c>
      <c r="B29625" s="3" t="str">
        <f>HYPERLINK("https://www.773grp.com/manufacturer/onsemi?pageNo=471", "ON Semiconductor")</f>
        <v>ON Semiconductor</v>
      </c>
      <c r="C29625" s="6">
        <v>2320</v>
      </c>
      <c r="D29625" s="7">
        <v>0.64</v>
      </c>
    </row>
    <row r="29626" spans="1:5" x14ac:dyDescent="0.25">
      <c r="A29626" t="str">
        <f>HYPERLINK("https://www.773grp.com/globalSearch/MC74HC4002FEL/page-1", "MC74HC4002FEL")</f>
        <v>MC74HC4002FEL</v>
      </c>
      <c r="B29626" s="3" t="str">
        <f>HYPERLINK("https://www.773grp.com/manufacturer/onsemi?pageNo=472", "ON Semiconductor")</f>
        <v>ON Semiconductor</v>
      </c>
      <c r="C29626" s="6">
        <v>2000</v>
      </c>
      <c r="D29626" s="7">
        <v>0.64</v>
      </c>
    </row>
    <row r="29627" spans="1:5" x14ac:dyDescent="0.25">
      <c r="A29627" t="str">
        <f>HYPERLINK("https://www.773grp.com/globalSearch/MC74HC4002FL1/page-1", "MC74HC4002FL1")</f>
        <v>MC74HC4002FL1</v>
      </c>
      <c r="B29627" s="3" t="str">
        <f>HYPERLINK("https://www.773grp.com/manufacturer/onsemi?pageNo=473", "ON Semiconductor")</f>
        <v>ON Semiconductor</v>
      </c>
      <c r="C29627" s="6">
        <v>2000</v>
      </c>
      <c r="D29627" s="7">
        <v>0.64</v>
      </c>
    </row>
    <row r="29628" spans="1:5" x14ac:dyDescent="0.25">
      <c r="A29628" t="str">
        <f>HYPERLINK("https://www.773grp.com/globalSearch/MC74HC4051AFEL/page-1", "MC74HC4051AFEL")</f>
        <v>MC74HC4051AFEL</v>
      </c>
      <c r="B29628" s="3" t="str">
        <f>HYPERLINK("https://www.773grp.com/manufacturer/onsemi?pageNo=474", "ON Semiconductor")</f>
        <v>ON Semiconductor</v>
      </c>
      <c r="C29628" s="6">
        <v>7394</v>
      </c>
      <c r="D29628" s="7">
        <v>0.64</v>
      </c>
      <c r="E29628" t="s">
        <v>56</v>
      </c>
    </row>
    <row r="29629" spans="1:5" x14ac:dyDescent="0.25">
      <c r="A29629" t="str">
        <f>HYPERLINK("https://www.773grp.com/globalSearch/MC74HC4052AF/page-1", "MC74HC4052AF")</f>
        <v>MC74HC4052AF</v>
      </c>
      <c r="B29629" s="3" t="str">
        <f>HYPERLINK("https://www.773grp.com/manufacturer/onsemi?pageNo=475", "ON Semiconductor")</f>
        <v>ON Semiconductor</v>
      </c>
      <c r="C29629" s="6">
        <v>3300</v>
      </c>
      <c r="D29629" s="7">
        <v>0.64</v>
      </c>
      <c r="E29629" t="s">
        <v>56</v>
      </c>
    </row>
    <row r="29630" spans="1:5" x14ac:dyDescent="0.25">
      <c r="A29630" t="str">
        <f>HYPERLINK("https://www.773grp.com/globalSearch/MC74HC4053AF/page-1", "MC74HC4053AF")</f>
        <v>MC74HC4053AF</v>
      </c>
      <c r="B29630" s="3" t="str">
        <f>HYPERLINK("https://www.773grp.com/manufacturer/onsemi?pageNo=476", "ON Semiconductor")</f>
        <v>ON Semiconductor</v>
      </c>
      <c r="C29630" s="6">
        <v>3050</v>
      </c>
      <c r="D29630" s="7">
        <v>0.64</v>
      </c>
      <c r="E29630" t="s">
        <v>56</v>
      </c>
    </row>
    <row r="29631" spans="1:5" x14ac:dyDescent="0.25">
      <c r="A29631" t="str">
        <f>HYPERLINK("https://www.773grp.com/globalSearch/MC74HC4053AFEL/page-1", "MC74HC4053AFEL")</f>
        <v>MC74HC4053AFEL</v>
      </c>
      <c r="B29631" s="3" t="str">
        <f>HYPERLINK("https://www.773grp.com/manufacturer/onsemi?pageNo=477", "ON Semiconductor")</f>
        <v>ON Semiconductor</v>
      </c>
      <c r="C29631" s="6">
        <v>4000</v>
      </c>
      <c r="D29631" s="7">
        <v>0.64</v>
      </c>
      <c r="E29631" t="s">
        <v>56</v>
      </c>
    </row>
    <row r="29632" spans="1:5" x14ac:dyDescent="0.25">
      <c r="A29632" t="str">
        <f>HYPERLINK("https://www.773grp.com/globalSearch/MC74HC4075DR2/page-1", "MC74HC4075DR2")</f>
        <v>MC74HC4075DR2</v>
      </c>
      <c r="B29632" s="3" t="str">
        <f>HYPERLINK("https://www.773grp.com/manufacturer/onsemi?pageNo=478", "ON Semiconductor")</f>
        <v>ON Semiconductor</v>
      </c>
      <c r="C29632" s="6">
        <v>2500</v>
      </c>
      <c r="D29632" s="7">
        <v>0.64</v>
      </c>
      <c r="E29632" t="s">
        <v>31</v>
      </c>
    </row>
    <row r="29633" spans="1:5" x14ac:dyDescent="0.25">
      <c r="A29633" t="str">
        <f>HYPERLINK("https://www.773grp.com/globalSearch/MC74HC4075F/page-1", "MC74HC4075F")</f>
        <v>MC74HC4075F</v>
      </c>
      <c r="B29633" s="3" t="str">
        <f>HYPERLINK("https://www.773grp.com/manufacturer/onsemi?pageNo=479", "ON Semiconductor")</f>
        <v>ON Semiconductor</v>
      </c>
      <c r="C29633" s="6">
        <v>2550</v>
      </c>
      <c r="D29633" s="7">
        <v>0.64</v>
      </c>
    </row>
    <row r="29634" spans="1:5" x14ac:dyDescent="0.25">
      <c r="A29634" t="str">
        <f>HYPERLINK("https://www.773grp.com/globalSearch/MC74HC4075FL1/page-1", "MC74HC4075FL1")</f>
        <v>MC74HC4075FL1</v>
      </c>
      <c r="B29634" s="3" t="str">
        <f>HYPERLINK("https://www.773grp.com/manufacturer/onsemi?pageNo=480", "ON Semiconductor")</f>
        <v>ON Semiconductor</v>
      </c>
      <c r="C29634" s="6">
        <v>10000</v>
      </c>
      <c r="D29634" s="7">
        <v>0.64</v>
      </c>
    </row>
    <row r="29635" spans="1:5" x14ac:dyDescent="0.25">
      <c r="A29635" t="str">
        <f>HYPERLINK("https://www.773grp.com/globalSearch/MC74HC4075FR2/page-1", "MC74HC4075FR2")</f>
        <v>MC74HC4075FR2</v>
      </c>
      <c r="B29635" s="3" t="str">
        <f>HYPERLINK("https://www.773grp.com/manufacturer/onsemi?pageNo=481", "ON Semiconductor")</f>
        <v>ON Semiconductor</v>
      </c>
      <c r="C29635" s="6">
        <v>4000</v>
      </c>
      <c r="D29635" s="7">
        <v>0.64</v>
      </c>
    </row>
    <row r="29636" spans="1:5" x14ac:dyDescent="0.25">
      <c r="A29636" t="str">
        <f>HYPERLINK("https://www.773grp.com/globalSearch/MC74HC4078F/page-1", "MC74HC4078F")</f>
        <v>MC74HC4078F</v>
      </c>
      <c r="B29636" s="3" t="str">
        <f>HYPERLINK("https://www.773grp.com/manufacturer/onsemi?pageNo=482", "ON Semiconductor")</f>
        <v>ON Semiconductor</v>
      </c>
      <c r="C29636" s="6">
        <v>683</v>
      </c>
      <c r="D29636" s="7">
        <v>0.64</v>
      </c>
    </row>
    <row r="29637" spans="1:5" x14ac:dyDescent="0.25">
      <c r="A29637" t="str">
        <f>HYPERLINK("https://www.773grp.com/globalSearch/MC74HC4538AF/page-1", "MC74HC4538AF")</f>
        <v>MC74HC4538AF</v>
      </c>
      <c r="B29637" s="3" t="str">
        <f>HYPERLINK("https://www.773grp.com/manufacturer/onsemi?pageNo=483", "ON Semiconductor")</f>
        <v>ON Semiconductor</v>
      </c>
      <c r="C29637" s="6">
        <v>1850</v>
      </c>
      <c r="D29637" s="7">
        <v>0.64</v>
      </c>
      <c r="E29637" t="s">
        <v>54</v>
      </c>
    </row>
    <row r="29638" spans="1:5" x14ac:dyDescent="0.25">
      <c r="A29638" t="str">
        <f>HYPERLINK("https://www.773grp.com/globalSearch/MC74HC541AF/page-1", "MC74HC541AF")</f>
        <v>MC74HC541AF</v>
      </c>
      <c r="B29638" s="3" t="str">
        <f>HYPERLINK("https://www.773grp.com/manufacturer/onsemi?pageNo=484", "ON Semiconductor")</f>
        <v>ON Semiconductor</v>
      </c>
      <c r="C29638" s="6">
        <v>203</v>
      </c>
      <c r="D29638" s="7">
        <v>0.64</v>
      </c>
      <c r="E29638" t="s">
        <v>14</v>
      </c>
    </row>
    <row r="29639" spans="1:5" x14ac:dyDescent="0.25">
      <c r="A29639" t="str">
        <f>HYPERLINK("https://www.773grp.com/globalSearch/MC74HC574ADT/page-1", "MC74HC574ADT")</f>
        <v>MC74HC574ADT</v>
      </c>
      <c r="B29639" s="3" t="str">
        <f>HYPERLINK("https://www.773grp.com/manufacturer/onsemi?pageNo=485", "ON Semiconductor")</f>
        <v>ON Semiconductor</v>
      </c>
      <c r="C29639" s="6">
        <v>8450</v>
      </c>
      <c r="D29639" s="7">
        <v>0.64</v>
      </c>
      <c r="E29639" t="s">
        <v>14</v>
      </c>
    </row>
    <row r="29640" spans="1:5" x14ac:dyDescent="0.25">
      <c r="A29640" t="str">
        <f>HYPERLINK("https://www.773grp.com/globalSearch/MC74HC574AF/page-1", "MC74HC574AF")</f>
        <v>MC74HC574AF</v>
      </c>
      <c r="B29640" s="3" t="str">
        <f>HYPERLINK("https://www.773grp.com/manufacturer/onsemi?pageNo=486", "ON Semiconductor")</f>
        <v>ON Semiconductor</v>
      </c>
      <c r="C29640" s="6">
        <v>160</v>
      </c>
      <c r="D29640" s="7">
        <v>0.64</v>
      </c>
      <c r="E29640" t="s">
        <v>14</v>
      </c>
    </row>
    <row r="29641" spans="1:5" x14ac:dyDescent="0.25">
      <c r="A29641" t="str">
        <f>HYPERLINK("https://www.773grp.com/globalSearch/MC74HCT04ADR2/page-1", "MC74HCT04ADR2")</f>
        <v>MC74HCT04ADR2</v>
      </c>
      <c r="B29641" s="3" t="str">
        <f>HYPERLINK("https://www.773grp.com/manufacturer/onsemi?pageNo=487", "ON Semiconductor")</f>
        <v>ON Semiconductor</v>
      </c>
      <c r="C29641" s="6">
        <v>27500</v>
      </c>
      <c r="D29641" s="7">
        <v>0.64</v>
      </c>
    </row>
    <row r="29642" spans="1:5" x14ac:dyDescent="0.25">
      <c r="A29642" t="str">
        <f>HYPERLINK("https://www.773grp.com/globalSearch/MC74HCT244AF/page-1", "MC74HCT244AF")</f>
        <v>MC74HCT244AF</v>
      </c>
      <c r="B29642" s="3" t="str">
        <f>HYPERLINK("https://www.773grp.com/manufacturer/onsemi?pageNo=488", "ON Semiconductor")</f>
        <v>ON Semiconductor</v>
      </c>
      <c r="C29642" s="6">
        <v>2720</v>
      </c>
      <c r="D29642" s="7">
        <v>0.64</v>
      </c>
      <c r="E29642" t="s">
        <v>14</v>
      </c>
    </row>
    <row r="29643" spans="1:5" x14ac:dyDescent="0.25">
      <c r="A29643" t="str">
        <f>HYPERLINK("https://www.773grp.com/globalSearch/MC74HCT374AFEL/page-1", "MC74HCT374AFEL")</f>
        <v>MC74HCT374AFEL</v>
      </c>
      <c r="B29643" s="3" t="str">
        <f>HYPERLINK("https://www.773grp.com/manufacturer/onsemi?pageNo=489", "ON Semiconductor")</f>
        <v>ON Semiconductor</v>
      </c>
      <c r="C29643" s="6">
        <v>1908</v>
      </c>
      <c r="D29643" s="7">
        <v>0.64</v>
      </c>
      <c r="E29643" t="s">
        <v>14</v>
      </c>
    </row>
    <row r="29644" spans="1:5" x14ac:dyDescent="0.25">
      <c r="A29644" t="str">
        <f>HYPERLINK("https://www.773grp.com/globalSearch/MC74LCX257D/page-1", "MC74LCX257D")</f>
        <v>MC74LCX257D</v>
      </c>
      <c r="B29644" s="3" t="str">
        <f>HYPERLINK("https://www.773grp.com/manufacturer/onsemi?pageNo=490", "ON Semiconductor")</f>
        <v>ON Semiconductor</v>
      </c>
      <c r="C29644" s="6">
        <v>8655</v>
      </c>
      <c r="D29644" s="7">
        <v>0.64</v>
      </c>
      <c r="E29644" t="s">
        <v>20</v>
      </c>
    </row>
    <row r="29645" spans="1:5" x14ac:dyDescent="0.25">
      <c r="A29645" t="str">
        <f>HYPERLINK("https://www.773grp.com/globalSearch/MC74LCX257D/page-1", "MC74LCX257D")</f>
        <v>MC74LCX257D</v>
      </c>
      <c r="B29645" s="3" t="str">
        <f>HYPERLINK("https://www.773grp.com/manufacturer/onsemi?pageNo=491", "ON Semiconductor")</f>
        <v>ON Semiconductor</v>
      </c>
      <c r="C29645" s="6">
        <v>1776</v>
      </c>
      <c r="D29645" s="7">
        <v>0.64</v>
      </c>
      <c r="E29645" t="s">
        <v>20</v>
      </c>
    </row>
    <row r="29646" spans="1:5" x14ac:dyDescent="0.25">
      <c r="A29646" t="str">
        <f>HYPERLINK("https://www.773grp.com/globalSearch/MC74LCX373DW/page-1", "MC74LCX373DW")</f>
        <v>MC74LCX373DW</v>
      </c>
      <c r="B29646" s="3" t="str">
        <f>HYPERLINK("https://www.773grp.com/manufacturer/onsemi?pageNo=492", "ON Semiconductor")</f>
        <v>ON Semiconductor</v>
      </c>
      <c r="C29646" s="6">
        <v>41382</v>
      </c>
      <c r="D29646" s="7">
        <v>0.64</v>
      </c>
      <c r="E29646" t="s">
        <v>14</v>
      </c>
    </row>
    <row r="29647" spans="1:5" x14ac:dyDescent="0.25">
      <c r="A29647" t="str">
        <f>HYPERLINK("https://www.773grp.com/globalSearch/MC74LCX374DT/page-1", "MC74LCX374DT")</f>
        <v>MC74LCX374DT</v>
      </c>
      <c r="B29647" s="3" t="str">
        <f>HYPERLINK("https://www.773grp.com/manufacturer/onsemi?pageNo=493", "ON Semiconductor")</f>
        <v>ON Semiconductor</v>
      </c>
      <c r="C29647" s="6">
        <v>14225</v>
      </c>
      <c r="D29647" s="7">
        <v>0.64</v>
      </c>
      <c r="E29647" t="s">
        <v>14</v>
      </c>
    </row>
    <row r="29648" spans="1:5" x14ac:dyDescent="0.25">
      <c r="A29648" t="str">
        <f>HYPERLINK("https://www.773grp.com/globalSearch/MC74LCX374DW/page-1", "MC74LCX374DW")</f>
        <v>MC74LCX374DW</v>
      </c>
      <c r="B29648" s="3" t="str">
        <f>HYPERLINK("https://www.773grp.com/manufacturer/onsemi?pageNo=494", "ON Semiconductor")</f>
        <v>ON Semiconductor</v>
      </c>
      <c r="C29648" s="6">
        <v>15276</v>
      </c>
      <c r="D29648" s="7">
        <v>0.64</v>
      </c>
      <c r="E29648" t="s">
        <v>14</v>
      </c>
    </row>
    <row r="29649" spans="1:5" x14ac:dyDescent="0.25">
      <c r="A29649" t="str">
        <f>HYPERLINK("https://www.773grp.com/globalSearch/MC74LCX540DWR2/page-1", "MC74LCX540DWR2")</f>
        <v>MC74LCX540DWR2</v>
      </c>
      <c r="B29649" s="3" t="str">
        <f>HYPERLINK("https://www.773grp.com/manufacturer/onsemi?pageNo=495", "ON Semiconductor")</f>
        <v>ON Semiconductor</v>
      </c>
      <c r="C29649" s="6">
        <v>5619</v>
      </c>
      <c r="D29649" s="7">
        <v>0.64</v>
      </c>
      <c r="E29649" t="s">
        <v>14</v>
      </c>
    </row>
    <row r="29650" spans="1:5" x14ac:dyDescent="0.25">
      <c r="A29650" t="str">
        <f>HYPERLINK("https://www.773grp.com/globalSearch/MC74LCX541DT/page-1", "MC74LCX541DT")</f>
        <v>MC74LCX541DT</v>
      </c>
      <c r="B29650" s="3" t="str">
        <f>HYPERLINK("https://www.773grp.com/manufacturer/onsemi?pageNo=496", "ON Semiconductor")</f>
        <v>ON Semiconductor</v>
      </c>
      <c r="C29650" s="6">
        <v>24486</v>
      </c>
      <c r="D29650" s="7">
        <v>0.64</v>
      </c>
      <c r="E29650" t="s">
        <v>14</v>
      </c>
    </row>
    <row r="29651" spans="1:5" x14ac:dyDescent="0.25">
      <c r="A29651" t="str">
        <f>HYPERLINK("https://www.773grp.com/globalSearch/MC74LCX541DTR2/page-1", "MC74LCX541DTR2")</f>
        <v>MC74LCX541DTR2</v>
      </c>
      <c r="B29651" s="3" t="str">
        <f>HYPERLINK("https://www.773grp.com/manufacturer/onsemi?pageNo=497", "ON Semiconductor")</f>
        <v>ON Semiconductor</v>
      </c>
      <c r="C29651" s="6">
        <v>1910</v>
      </c>
      <c r="D29651" s="7">
        <v>0.64</v>
      </c>
      <c r="E29651" t="s">
        <v>14</v>
      </c>
    </row>
    <row r="29652" spans="1:5" x14ac:dyDescent="0.25">
      <c r="A29652" t="str">
        <f>HYPERLINK("https://www.773grp.com/globalSearch/MC74LCX541DW/page-1", "MC74LCX541DW")</f>
        <v>MC74LCX541DW</v>
      </c>
      <c r="B29652" s="3" t="str">
        <f>HYPERLINK("https://www.773grp.com/manufacturer/onsemi?pageNo=498", "ON Semiconductor")</f>
        <v>ON Semiconductor</v>
      </c>
      <c r="C29652" s="6">
        <v>15644</v>
      </c>
      <c r="D29652" s="7">
        <v>0.64</v>
      </c>
      <c r="E29652" t="s">
        <v>14</v>
      </c>
    </row>
    <row r="29653" spans="1:5" x14ac:dyDescent="0.25">
      <c r="A29653" t="str">
        <f>HYPERLINK("https://www.773grp.com/globalSearch/MC74LCX574DW/page-1", "MC74LCX574DW")</f>
        <v>MC74LCX574DW</v>
      </c>
      <c r="B29653" s="3" t="str">
        <f>HYPERLINK("https://www.773grp.com/manufacturer/onsemi?pageNo=499", "ON Semiconductor")</f>
        <v>ON Semiconductor</v>
      </c>
      <c r="C29653" s="6">
        <v>5326</v>
      </c>
      <c r="D29653" s="7">
        <v>0.64</v>
      </c>
      <c r="E29653" t="s">
        <v>14</v>
      </c>
    </row>
    <row r="29654" spans="1:5" x14ac:dyDescent="0.25">
      <c r="A29654" t="str">
        <f>HYPERLINK("https://www.773grp.com/globalSearch/MC74LCX86D/page-1", "MC74LCX86D")</f>
        <v>MC74LCX86D</v>
      </c>
      <c r="B29654" s="3" t="str">
        <f>HYPERLINK("https://www.773grp.com/manufacturer/onsemi?pageNo=500", "ON Semiconductor")</f>
        <v>ON Semiconductor</v>
      </c>
      <c r="C29654" s="6">
        <v>27881</v>
      </c>
      <c r="D29654" s="7">
        <v>0.64</v>
      </c>
      <c r="E29654" t="s">
        <v>31</v>
      </c>
    </row>
    <row r="29655" spans="1:5" x14ac:dyDescent="0.25">
      <c r="A29655" t="str">
        <f>HYPERLINK("https://www.773grp.com/globalSearch/MC74LVX14DR2G/page-1", "MC74LVX14DR2G")</f>
        <v>MC74LVX14DR2G</v>
      </c>
      <c r="B29655" s="3" t="str">
        <f>HYPERLINK("https://www.773grp.com/manufacturer/onsemi?pageNo=501", "ON Semiconductor")</f>
        <v>ON Semiconductor</v>
      </c>
      <c r="C29655" s="6">
        <v>30098</v>
      </c>
      <c r="D29655" s="7">
        <v>0.64</v>
      </c>
      <c r="E29655" t="s">
        <v>31</v>
      </c>
    </row>
    <row r="29656" spans="1:5" x14ac:dyDescent="0.25">
      <c r="A29656" t="str">
        <f>HYPERLINK("https://www.773grp.com/globalSearch/MC74LVX14DTR2G/page-1", "MC74LVX14DTR2G")</f>
        <v>MC74LVX14DTR2G</v>
      </c>
      <c r="B29656" s="3" t="str">
        <f>HYPERLINK("https://www.773grp.com/manufacturer/onsemi?pageNo=502", "ON Semiconductor")</f>
        <v>ON Semiconductor</v>
      </c>
      <c r="C29656" s="6">
        <v>15000</v>
      </c>
      <c r="D29656" s="7">
        <v>0.64</v>
      </c>
      <c r="E29656" t="s">
        <v>31</v>
      </c>
    </row>
    <row r="29657" spans="1:5" x14ac:dyDescent="0.25">
      <c r="A29657" t="str">
        <f>HYPERLINK("https://www.773grp.com/globalSearch/MC74LVX157D/page-1", "MC74LVX157D")</f>
        <v>MC74LVX157D</v>
      </c>
      <c r="B29657" s="3" t="str">
        <f>HYPERLINK("https://www.773grp.com/manufacturer/onsemi?pageNo=503", "ON Semiconductor")</f>
        <v>ON Semiconductor</v>
      </c>
      <c r="C29657" s="6">
        <v>960</v>
      </c>
      <c r="D29657" s="7">
        <v>0.64</v>
      </c>
      <c r="E29657" t="s">
        <v>20</v>
      </c>
    </row>
    <row r="29658" spans="1:5" x14ac:dyDescent="0.25">
      <c r="A29658" t="str">
        <f>HYPERLINK("https://www.773grp.com/globalSearch/MC74LVX74DR2G/page-1", "MC74LVX74DR2G")</f>
        <v>MC74LVX74DR2G</v>
      </c>
      <c r="B29658" s="3" t="str">
        <f>HYPERLINK("https://www.773grp.com/manufacturer/onsemi?pageNo=504", "ON Semiconductor")</f>
        <v>ON Semiconductor</v>
      </c>
      <c r="C29658" s="6">
        <v>39700</v>
      </c>
      <c r="D29658" s="7">
        <v>0.64</v>
      </c>
      <c r="E29658" t="s">
        <v>35</v>
      </c>
    </row>
    <row r="29659" spans="1:5" x14ac:dyDescent="0.25">
      <c r="A29659" t="str">
        <f>HYPERLINK("https://www.773grp.com/globalSearch/MC74LVX74DTG/page-1", "MC74LVX74DTG")</f>
        <v>MC74LVX74DTG</v>
      </c>
      <c r="B29659" s="3" t="str">
        <f>HYPERLINK("https://www.773grp.com/manufacturer/onsemi?pageNo=505", "ON Semiconductor")</f>
        <v>ON Semiconductor</v>
      </c>
      <c r="C29659" s="6">
        <v>50880</v>
      </c>
      <c r="D29659" s="7">
        <v>0.64</v>
      </c>
      <c r="E29659" t="s">
        <v>35</v>
      </c>
    </row>
    <row r="29660" spans="1:5" x14ac:dyDescent="0.25">
      <c r="A29660" t="str">
        <f>HYPERLINK("https://www.773grp.com/globalSearch/MC74LVX74DTR/page-1", "MC74LVX74DTR")</f>
        <v>MC74LVX74DTR</v>
      </c>
      <c r="B29660" s="3" t="str">
        <f>HYPERLINK("https://www.773grp.com/manufacturer/onsemi?pageNo=506", "ON Semiconductor")</f>
        <v>ON Semiconductor</v>
      </c>
      <c r="C29660" s="6">
        <v>2500</v>
      </c>
      <c r="D29660" s="7">
        <v>0.64</v>
      </c>
    </row>
    <row r="29661" spans="1:5" x14ac:dyDescent="0.25">
      <c r="A29661" t="str">
        <f>HYPERLINK("https://www.773grp.com/globalSearch/MC74LVX74DTR2G/page-1", "MC74LVX74DTR2G")</f>
        <v>MC74LVX74DTR2G</v>
      </c>
      <c r="B29661" s="3" t="str">
        <f>HYPERLINK("https://www.773grp.com/manufacturer/onsemi?pageNo=507", "ON Semiconductor")</f>
        <v>ON Semiconductor</v>
      </c>
      <c r="C29661" s="6">
        <v>55570</v>
      </c>
      <c r="D29661" s="7">
        <v>0.64</v>
      </c>
      <c r="E29661" t="s">
        <v>35</v>
      </c>
    </row>
    <row r="29662" spans="1:5" x14ac:dyDescent="0.25">
      <c r="A29662" t="str">
        <f>HYPERLINK("https://www.773grp.com/globalSearch/MC74LVX86DR2G/page-1", "MC74LVX86DR2G")</f>
        <v>MC74LVX86DR2G</v>
      </c>
      <c r="B29662" s="3" t="str">
        <f>HYPERLINK("https://www.773grp.com/manufacturer/onsemi?pageNo=508", "ON Semiconductor")</f>
        <v>ON Semiconductor</v>
      </c>
      <c r="C29662" s="6">
        <v>72500</v>
      </c>
      <c r="D29662" s="7">
        <v>0.64</v>
      </c>
      <c r="E29662" t="s">
        <v>31</v>
      </c>
    </row>
    <row r="29663" spans="1:5" x14ac:dyDescent="0.25">
      <c r="A29663" t="str">
        <f>HYPERLINK("https://www.773grp.com/globalSearch/MC74LVX86DTR2G/page-1", "MC74LVX86DTR2G")</f>
        <v>MC74LVX86DTR2G</v>
      </c>
      <c r="B29663" s="3" t="str">
        <f>HYPERLINK("https://www.773grp.com/manufacturer/onsemi?pageNo=509", "ON Semiconductor")</f>
        <v>ON Semiconductor</v>
      </c>
      <c r="C29663" s="6">
        <v>52290</v>
      </c>
      <c r="D29663" s="7">
        <v>0.64</v>
      </c>
      <c r="E29663" t="s">
        <v>31</v>
      </c>
    </row>
    <row r="29664" spans="1:5" x14ac:dyDescent="0.25">
      <c r="A29664" t="str">
        <f>HYPERLINK("https://www.773grp.com/globalSearch/MC74VHC14DG/page-1", "MC74VHC14DG")</f>
        <v>MC74VHC14DG</v>
      </c>
      <c r="B29664" s="3" t="str">
        <f>HYPERLINK("https://www.773grp.com/manufacturer/onsemi?pageNo=510", "ON Semiconductor")</f>
        <v>ON Semiconductor</v>
      </c>
      <c r="C29664" s="6">
        <v>3930</v>
      </c>
      <c r="D29664" s="7">
        <v>0.64</v>
      </c>
      <c r="E29664" t="s">
        <v>31</v>
      </c>
    </row>
    <row r="29665" spans="1:5" x14ac:dyDescent="0.25">
      <c r="A29665" t="str">
        <f>HYPERLINK("https://www.773grp.com/globalSearch/MC74VHC14DR2/page-1", "MC74VHC14DR2")</f>
        <v>MC74VHC14DR2</v>
      </c>
      <c r="B29665" s="3" t="str">
        <f>HYPERLINK("https://www.773grp.com/manufacturer/onsemi?pageNo=511", "ON Semiconductor")</f>
        <v>ON Semiconductor</v>
      </c>
      <c r="C29665" s="6">
        <v>17500</v>
      </c>
      <c r="D29665" s="7">
        <v>0.64</v>
      </c>
      <c r="E29665" t="s">
        <v>31</v>
      </c>
    </row>
    <row r="29666" spans="1:5" x14ac:dyDescent="0.25">
      <c r="A29666" t="str">
        <f>HYPERLINK("https://www.773grp.com/globalSearch/MC74VHC14DR2G/page-1", "MC74VHC14DR2G")</f>
        <v>MC74VHC14DR2G</v>
      </c>
      <c r="B29666" s="3" t="str">
        <f>HYPERLINK("https://www.773grp.com/manufacturer/onsemi?pageNo=512", "ON Semiconductor")</f>
        <v>ON Semiconductor</v>
      </c>
      <c r="C29666" s="6">
        <v>57619</v>
      </c>
      <c r="D29666" s="7">
        <v>0.64</v>
      </c>
      <c r="E29666" t="s">
        <v>31</v>
      </c>
    </row>
    <row r="29667" spans="1:5" x14ac:dyDescent="0.25">
      <c r="A29667" t="str">
        <f>HYPERLINK("https://www.773grp.com/globalSearch/MC74VHC14DT/page-1", "MC74VHC14DT")</f>
        <v>MC74VHC14DT</v>
      </c>
      <c r="B29667" s="3" t="str">
        <f>HYPERLINK("https://www.773grp.com/manufacturer/onsemi?pageNo=513", "ON Semiconductor")</f>
        <v>ON Semiconductor</v>
      </c>
      <c r="C29667" s="6">
        <v>14</v>
      </c>
      <c r="D29667" s="7">
        <v>0.64</v>
      </c>
      <c r="E29667" t="s">
        <v>31</v>
      </c>
    </row>
    <row r="29668" spans="1:5" x14ac:dyDescent="0.25">
      <c r="A29668" t="str">
        <f>HYPERLINK("https://www.773grp.com/globalSearch/MC74VHC14DTG/page-1", "MC74VHC14DTG")</f>
        <v>MC74VHC14DTG</v>
      </c>
      <c r="B29668" s="3" t="str">
        <f>HYPERLINK("https://www.773grp.com/manufacturer/onsemi?pageNo=514", "ON Semiconductor")</f>
        <v>ON Semiconductor</v>
      </c>
      <c r="C29668" s="6">
        <v>44035</v>
      </c>
      <c r="D29668" s="7">
        <v>0.64</v>
      </c>
      <c r="E29668" t="s">
        <v>31</v>
      </c>
    </row>
    <row r="29669" spans="1:5" x14ac:dyDescent="0.25">
      <c r="A29669" t="str">
        <f>HYPERLINK("https://www.773grp.com/globalSearch/MC74VHC14DTR2G/page-1", "MC74VHC14DTR2G")</f>
        <v>MC74VHC14DTR2G</v>
      </c>
      <c r="B29669" s="3" t="str">
        <f>HYPERLINK("https://www.773grp.com/manufacturer/onsemi?pageNo=515", "ON Semiconductor")</f>
        <v>ON Semiconductor</v>
      </c>
      <c r="C29669" s="6">
        <v>113559</v>
      </c>
      <c r="D29669" s="7">
        <v>0.64</v>
      </c>
      <c r="E29669" t="s">
        <v>31</v>
      </c>
    </row>
    <row r="29670" spans="1:5" x14ac:dyDescent="0.25">
      <c r="A29670" t="str">
        <f>HYPERLINK("https://www.773grp.com/globalSearch/MC74VHC74DR2G/page-1", "MC74VHC74DR2G")</f>
        <v>MC74VHC74DR2G</v>
      </c>
      <c r="B29670" s="3" t="str">
        <f>HYPERLINK("https://www.773grp.com/manufacturer/onsemi?pageNo=516", "ON Semiconductor")</f>
        <v>ON Semiconductor</v>
      </c>
      <c r="C29670" s="6">
        <v>9635</v>
      </c>
      <c r="D29670" s="7">
        <v>0.64</v>
      </c>
      <c r="E29670" t="s">
        <v>35</v>
      </c>
    </row>
    <row r="29671" spans="1:5" x14ac:dyDescent="0.25">
      <c r="A29671" t="str">
        <f>HYPERLINK("https://www.773grp.com/globalSearch/MC74VHC74DTG/page-1", "MC74VHC74DTG")</f>
        <v>MC74VHC74DTG</v>
      </c>
      <c r="B29671" s="3" t="str">
        <f>HYPERLINK("https://www.773grp.com/manufacturer/onsemi?pageNo=517", "ON Semiconductor")</f>
        <v>ON Semiconductor</v>
      </c>
      <c r="C29671" s="6">
        <v>15903</v>
      </c>
      <c r="D29671" s="7">
        <v>0.64</v>
      </c>
      <c r="E29671" t="s">
        <v>35</v>
      </c>
    </row>
    <row r="29672" spans="1:5" x14ac:dyDescent="0.25">
      <c r="A29672" t="str">
        <f>HYPERLINK("https://www.773grp.com/globalSearch/MC74VHC74DTR2G/page-1", "MC74VHC74DTR2G")</f>
        <v>MC74VHC74DTR2G</v>
      </c>
      <c r="B29672" s="3" t="str">
        <f>HYPERLINK("https://www.773grp.com/manufacturer/onsemi?pageNo=518", "ON Semiconductor")</f>
        <v>ON Semiconductor</v>
      </c>
      <c r="C29672" s="6">
        <v>14605</v>
      </c>
      <c r="D29672" s="7">
        <v>0.64</v>
      </c>
      <c r="E29672" t="s">
        <v>35</v>
      </c>
    </row>
    <row r="29673" spans="1:5" x14ac:dyDescent="0.25">
      <c r="A29673" t="str">
        <f>HYPERLINK("https://www.773grp.com/globalSearch/MC74VHC86DR2G/page-1", "MC74VHC86DR2G")</f>
        <v>MC74VHC86DR2G</v>
      </c>
      <c r="B29673" s="3" t="str">
        <f>HYPERLINK("https://www.773grp.com/manufacturer/onsemi?pageNo=519", "ON Semiconductor")</f>
        <v>ON Semiconductor</v>
      </c>
      <c r="C29673" s="6">
        <v>44449</v>
      </c>
      <c r="D29673" s="7">
        <v>0.64</v>
      </c>
      <c r="E29673" t="s">
        <v>31</v>
      </c>
    </row>
    <row r="29674" spans="1:5" x14ac:dyDescent="0.25">
      <c r="A29674" t="str">
        <f>HYPERLINK("https://www.773grp.com/globalSearch/MC74VHC86DTR2G/page-1", "MC74VHC86DTR2G")</f>
        <v>MC74VHC86DTR2G</v>
      </c>
      <c r="B29674" s="3" t="str">
        <f>HYPERLINK("https://www.773grp.com/manufacturer/onsemi?pageNo=520", "ON Semiconductor")</f>
        <v>ON Semiconductor</v>
      </c>
      <c r="C29674" s="6">
        <v>81534</v>
      </c>
      <c r="D29674" s="7">
        <v>0.64</v>
      </c>
      <c r="E29674" t="s">
        <v>31</v>
      </c>
    </row>
    <row r="29675" spans="1:5" x14ac:dyDescent="0.25">
      <c r="A29675" t="str">
        <f>HYPERLINK("https://www.773grp.com/globalSearch/MC74VHCT14ADR2G/page-1", "MC74VHCT14ADR2G")</f>
        <v>MC74VHCT14ADR2G</v>
      </c>
      <c r="B29675" s="3" t="str">
        <f>HYPERLINK("https://www.773grp.com/manufacturer/onsemi?pageNo=521", "ON Semiconductor")</f>
        <v>ON Semiconductor</v>
      </c>
      <c r="C29675" s="6">
        <v>17400</v>
      </c>
      <c r="D29675" s="7">
        <v>0.64</v>
      </c>
      <c r="E29675" t="s">
        <v>31</v>
      </c>
    </row>
    <row r="29676" spans="1:5" x14ac:dyDescent="0.25">
      <c r="A29676" t="str">
        <f>HYPERLINK("https://www.773grp.com/globalSearch/MC74VHCT14ADTR2G/page-1", "MC74VHCT14ADTR2G")</f>
        <v>MC74VHCT14ADTR2G</v>
      </c>
      <c r="B29676" s="3" t="str">
        <f>HYPERLINK("https://www.773grp.com/manufacturer/onsemi?pageNo=522", "ON Semiconductor")</f>
        <v>ON Semiconductor</v>
      </c>
      <c r="C29676" s="6">
        <v>446776</v>
      </c>
      <c r="D29676" s="7">
        <v>0.64</v>
      </c>
      <c r="E29676" t="s">
        <v>31</v>
      </c>
    </row>
    <row r="29677" spans="1:5" x14ac:dyDescent="0.25">
      <c r="A29677" t="str">
        <f>HYPERLINK("https://www.773grp.com/globalSearch/MC74VHCT74ADR2G/page-1", "MC74VHCT74ADR2G")</f>
        <v>MC74VHCT74ADR2G</v>
      </c>
      <c r="B29677" s="3" t="str">
        <f>HYPERLINK("https://www.773grp.com/manufacturer/onsemi?pageNo=523", "ON Semiconductor")</f>
        <v>ON Semiconductor</v>
      </c>
      <c r="C29677" s="6">
        <v>43266</v>
      </c>
      <c r="D29677" s="7">
        <v>0.64</v>
      </c>
      <c r="E29677" t="s">
        <v>35</v>
      </c>
    </row>
    <row r="29678" spans="1:5" x14ac:dyDescent="0.25">
      <c r="A29678" t="str">
        <f>HYPERLINK("https://www.773grp.com/globalSearch/MC74VHCT74ADTR2G/page-1", "MC74VHCT74ADTR2G")</f>
        <v>MC74VHCT74ADTR2G</v>
      </c>
      <c r="B29678" s="3" t="str">
        <f>HYPERLINK("https://www.773grp.com/manufacturer/onsemi?pageNo=524", "ON Semiconductor")</f>
        <v>ON Semiconductor</v>
      </c>
      <c r="C29678" s="6">
        <v>49730</v>
      </c>
      <c r="D29678" s="7">
        <v>0.64</v>
      </c>
      <c r="E29678" t="s">
        <v>35</v>
      </c>
    </row>
    <row r="29679" spans="1:5" x14ac:dyDescent="0.25">
      <c r="A29679" t="str">
        <f>HYPERLINK("https://www.773grp.com/globalSearch/MC74VHCT86ADR2G/page-1", "MC74VHCT86ADR2G")</f>
        <v>MC74VHCT86ADR2G</v>
      </c>
      <c r="B29679" s="3" t="str">
        <f>HYPERLINK("https://www.773grp.com/manufacturer/onsemi?pageNo=525", "ON Semiconductor")</f>
        <v>ON Semiconductor</v>
      </c>
      <c r="C29679" s="6">
        <v>48177</v>
      </c>
      <c r="D29679" s="7">
        <v>0.64</v>
      </c>
      <c r="E29679" t="s">
        <v>31</v>
      </c>
    </row>
    <row r="29680" spans="1:5" x14ac:dyDescent="0.25">
      <c r="A29680" t="str">
        <f>HYPERLINK("https://www.773grp.com/globalSearch/MC74VHCT86ADTR2G/page-1", "MC74VHCT86ADTR2G")</f>
        <v>MC74VHCT86ADTR2G</v>
      </c>
      <c r="B29680" s="3" t="str">
        <f>HYPERLINK("https://www.773grp.com/manufacturer/onsemi?pageNo=526", "ON Semiconductor")</f>
        <v>ON Semiconductor</v>
      </c>
      <c r="C29680" s="6">
        <v>49840</v>
      </c>
      <c r="D29680" s="7">
        <v>0.64</v>
      </c>
      <c r="E29680" t="s">
        <v>31</v>
      </c>
    </row>
    <row r="29681" spans="1:5" x14ac:dyDescent="0.25">
      <c r="A29681" t="str">
        <f>HYPERLINK("https://www.773grp.com/globalSearch/MC78M05CT/page-1", "MC78M05CT")</f>
        <v>MC78M05CT</v>
      </c>
      <c r="B29681" s="3" t="str">
        <f>HYPERLINK("https://www.773grp.com/manufacturer/onsemi?pageNo=527", "ON Semiconductor")</f>
        <v>ON Semiconductor</v>
      </c>
      <c r="C29681" s="6">
        <v>4546</v>
      </c>
      <c r="D29681" s="7">
        <v>0.64</v>
      </c>
      <c r="E29681" t="s">
        <v>28</v>
      </c>
    </row>
    <row r="29682" spans="1:5" x14ac:dyDescent="0.25">
      <c r="A29682" t="str">
        <f>HYPERLINK("https://www.773grp.com/globalSearch/MC78M06CT/page-1", "MC78M06CT")</f>
        <v>MC78M06CT</v>
      </c>
      <c r="B29682" s="3" t="str">
        <f>HYPERLINK("https://www.773grp.com/manufacturer/onsemi?pageNo=528", "ON Semiconductor")</f>
        <v>ON Semiconductor</v>
      </c>
      <c r="C29682" s="6">
        <v>350</v>
      </c>
      <c r="D29682" s="7">
        <v>0.64</v>
      </c>
      <c r="E29682" t="s">
        <v>28</v>
      </c>
    </row>
    <row r="29683" spans="1:5" x14ac:dyDescent="0.25">
      <c r="A29683" t="str">
        <f>HYPERLINK("https://www.773grp.com/globalSearch/MC78M08ABDT/page-1", "MC78M08ABDT")</f>
        <v>MC78M08ABDT</v>
      </c>
      <c r="B29683" s="3" t="str">
        <f>HYPERLINK("https://www.773grp.com/manufacturer/onsemi?pageNo=529", "ON Semiconductor")</f>
        <v>ON Semiconductor</v>
      </c>
      <c r="C29683" s="6">
        <v>750</v>
      </c>
      <c r="D29683" s="7">
        <v>0.64</v>
      </c>
      <c r="E29683" t="s">
        <v>28</v>
      </c>
    </row>
    <row r="29684" spans="1:5" x14ac:dyDescent="0.25">
      <c r="A29684" t="str">
        <f>HYPERLINK("https://www.773grp.com/globalSearch/MC78M09CT/page-1", "MC78M09CT")</f>
        <v>MC78M09CT</v>
      </c>
      <c r="B29684" s="3" t="str">
        <f>HYPERLINK("https://www.773grp.com/manufacturer/onsemi?pageNo=530", "ON Semiconductor")</f>
        <v>ON Semiconductor</v>
      </c>
      <c r="C29684" s="6">
        <v>135193</v>
      </c>
      <c r="D29684" s="7">
        <v>0.64</v>
      </c>
      <c r="E29684" t="s">
        <v>28</v>
      </c>
    </row>
    <row r="29685" spans="1:5" x14ac:dyDescent="0.25">
      <c r="A29685" t="str">
        <f>HYPERLINK("https://www.773grp.com/globalSearch/MC78M15CT/page-1", "MC78M15CT")</f>
        <v>MC78M15CT</v>
      </c>
      <c r="B29685" s="3" t="str">
        <f>HYPERLINK("https://www.773grp.com/manufacturer/onsemi?pageNo=531", "ON Semiconductor")</f>
        <v>ON Semiconductor</v>
      </c>
      <c r="C29685" s="6">
        <v>45450</v>
      </c>
      <c r="D29685" s="7">
        <v>0.64</v>
      </c>
      <c r="E29685" t="s">
        <v>28</v>
      </c>
    </row>
    <row r="29686" spans="1:5" x14ac:dyDescent="0.25">
      <c r="A29686" t="str">
        <f>HYPERLINK("https://www.773grp.com/globalSearch/MC78M18CT/page-1", "MC78M18CT")</f>
        <v>MC78M18CT</v>
      </c>
      <c r="B29686" s="3" t="str">
        <f>HYPERLINK("https://www.773grp.com/manufacturer/onsemi?pageNo=532", "ON Semiconductor")</f>
        <v>ON Semiconductor</v>
      </c>
      <c r="C29686" s="6">
        <v>1550</v>
      </c>
      <c r="D29686" s="7">
        <v>0.64</v>
      </c>
      <c r="E29686" t="s">
        <v>28</v>
      </c>
    </row>
    <row r="29687" spans="1:5" x14ac:dyDescent="0.25">
      <c r="A29687" t="str">
        <f>HYPERLINK("https://www.773grp.com/globalSearch/MC78M20CT/page-1", "MC78M20CT")</f>
        <v>MC78M20CT</v>
      </c>
      <c r="B29687" s="3" t="str">
        <f>HYPERLINK("https://www.773grp.com/manufacturer/onsemi?pageNo=533", "ON Semiconductor")</f>
        <v>ON Semiconductor</v>
      </c>
      <c r="C29687" s="6">
        <v>7000</v>
      </c>
      <c r="D29687" s="7">
        <v>0.64</v>
      </c>
      <c r="E29687" t="s">
        <v>28</v>
      </c>
    </row>
    <row r="29688" spans="1:5" x14ac:dyDescent="0.25">
      <c r="A29688" t="str">
        <f>HYPERLINK("https://www.773grp.com/globalSearch/MC78M24CT/page-1", "MC78M24CT")</f>
        <v>MC78M24CT</v>
      </c>
      <c r="B29688" s="3" t="str">
        <f>HYPERLINK("https://www.773grp.com/manufacturer/onsemi?pageNo=534", "ON Semiconductor")</f>
        <v>ON Semiconductor</v>
      </c>
      <c r="C29688" s="6">
        <v>402</v>
      </c>
      <c r="D29688" s="7">
        <v>0.64</v>
      </c>
      <c r="E29688" t="s">
        <v>28</v>
      </c>
    </row>
    <row r="29689" spans="1:5" x14ac:dyDescent="0.25">
      <c r="A29689" t="str">
        <f>HYPERLINK("https://www.773grp.com/globalSearch/MC79M05CT/page-1", "MC79M05CT")</f>
        <v>MC79M05CT</v>
      </c>
      <c r="B29689" s="3" t="str">
        <f>HYPERLINK("https://www.773grp.com/manufacturer/onsemi?pageNo=535", "ON Semiconductor")</f>
        <v>ON Semiconductor</v>
      </c>
      <c r="C29689" s="6">
        <v>788</v>
      </c>
      <c r="D29689" s="7">
        <v>0.64</v>
      </c>
      <c r="E29689" t="s">
        <v>65</v>
      </c>
    </row>
    <row r="29690" spans="1:5" x14ac:dyDescent="0.25">
      <c r="A29690" t="str">
        <f>HYPERLINK("https://www.773grp.com/globalSearch/MC79M15CT/page-1", "MC79M15CT")</f>
        <v>MC79M15CT</v>
      </c>
      <c r="B29690" s="3" t="str">
        <f>HYPERLINK("https://www.773grp.com/manufacturer/onsemi?pageNo=536", "ON Semiconductor")</f>
        <v>ON Semiconductor</v>
      </c>
      <c r="C29690" s="6">
        <v>1166</v>
      </c>
      <c r="D29690" s="7">
        <v>0.64</v>
      </c>
      <c r="E29690" t="s">
        <v>65</v>
      </c>
    </row>
    <row r="29691" spans="1:5" x14ac:dyDescent="0.25">
      <c r="A29691" t="str">
        <f>HYPERLINK("https://www.773grp.com/globalSearch/MCH6336-TL-E/page-1", "MCH6336-TL-E")</f>
        <v>MCH6336-TL-E</v>
      </c>
      <c r="B29691" s="3" t="str">
        <f>HYPERLINK("https://www.773grp.com/manufacturer/onsemi?pageNo=537", "ON Semiconductor")</f>
        <v>ON Semiconductor</v>
      </c>
      <c r="C29691" s="6">
        <v>3000</v>
      </c>
      <c r="D29691" s="7">
        <v>0.64</v>
      </c>
    </row>
    <row r="29692" spans="1:5" x14ac:dyDescent="0.25">
      <c r="A29692" t="str">
        <f>HYPERLINK("https://www.773grp.com/globalSearch/MCH6337-TL-E/page-1", "MCH6337-TL-E")</f>
        <v>MCH6337-TL-E</v>
      </c>
      <c r="B29692" s="3" t="str">
        <f>HYPERLINK("https://www.773grp.com/manufacturer/onsemi?pageNo=538", "ON Semiconductor")</f>
        <v>ON Semiconductor</v>
      </c>
      <c r="C29692" s="6">
        <v>9000</v>
      </c>
      <c r="D29692" s="7">
        <v>0.64</v>
      </c>
    </row>
    <row r="29693" spans="1:5" x14ac:dyDescent="0.25">
      <c r="A29693" t="str">
        <f>HYPERLINK("https://www.773grp.com/globalSearch/MCH6663-TL-H/page-1", "MCH6663-TL-H")</f>
        <v>MCH6663-TL-H</v>
      </c>
      <c r="B29693" s="3" t="str">
        <f>HYPERLINK("https://www.773grp.com/manufacturer/onsemi?pageNo=539", "ON Semiconductor")</f>
        <v>ON Semiconductor</v>
      </c>
      <c r="C29693" s="6">
        <v>3000</v>
      </c>
      <c r="D29693" s="7">
        <v>0.64</v>
      </c>
    </row>
    <row r="29694" spans="1:5" x14ac:dyDescent="0.25">
      <c r="A29694" t="str">
        <f>HYPERLINK("https://www.773grp.com/globalSearch/MCR100-3G/page-1", "MCR100-3G")</f>
        <v>MCR100-3G</v>
      </c>
      <c r="B29694" s="3" t="str">
        <f>HYPERLINK("https://www.773grp.com/manufacturer/onsemi?pageNo=540", "ON Semiconductor")</f>
        <v>ON Semiconductor</v>
      </c>
      <c r="C29694" s="6">
        <v>5500</v>
      </c>
      <c r="D29694" s="7">
        <v>0.64</v>
      </c>
      <c r="E29694" t="s">
        <v>97</v>
      </c>
    </row>
    <row r="29695" spans="1:5" x14ac:dyDescent="0.25">
      <c r="A29695" t="str">
        <f>HYPERLINK("https://www.773grp.com/globalSearch/MCR100-3RLG/page-1", "MCR100-3RLG")</f>
        <v>MCR100-3RLG</v>
      </c>
      <c r="B29695" s="3" t="str">
        <f>HYPERLINK("https://www.773grp.com/manufacturer/onsemi?pageNo=541", "ON Semiconductor")</f>
        <v>ON Semiconductor</v>
      </c>
      <c r="C29695" s="6">
        <v>403981</v>
      </c>
      <c r="D29695" s="7">
        <v>0.64</v>
      </c>
      <c r="E29695" t="s">
        <v>97</v>
      </c>
    </row>
    <row r="29696" spans="1:5" x14ac:dyDescent="0.25">
      <c r="A29696" t="str">
        <f>HYPERLINK("https://www.773grp.com/globalSearch/MCR100-4G/page-1", "MCR100-4G")</f>
        <v>MCR100-4G</v>
      </c>
      <c r="B29696" s="3" t="str">
        <f>HYPERLINK("https://www.773grp.com/manufacturer/onsemi?pageNo=542", "ON Semiconductor")</f>
        <v>ON Semiconductor</v>
      </c>
      <c r="C29696" s="6">
        <v>10000</v>
      </c>
      <c r="D29696" s="7">
        <v>0.64</v>
      </c>
      <c r="E29696" t="s">
        <v>97</v>
      </c>
    </row>
    <row r="29697" spans="1:5" x14ac:dyDescent="0.25">
      <c r="A29697" t="str">
        <f>HYPERLINK("https://www.773grp.com/globalSearch/MCR100-6G/page-1", "MCR100-6G")</f>
        <v>MCR100-6G</v>
      </c>
      <c r="B29697" s="3" t="str">
        <f>HYPERLINK("https://www.773grp.com/manufacturer/onsemi?pageNo=543", "ON Semiconductor")</f>
        <v>ON Semiconductor</v>
      </c>
      <c r="C29697" s="6">
        <v>453249</v>
      </c>
      <c r="D29697" s="7">
        <v>0.64</v>
      </c>
      <c r="E29697" t="s">
        <v>97</v>
      </c>
    </row>
    <row r="29698" spans="1:5" x14ac:dyDescent="0.25">
      <c r="A29698" t="str">
        <f>HYPERLINK("https://www.773grp.com/globalSearch/MCR100-6RLG/page-1", "MCR100-6RLG")</f>
        <v>MCR100-6RLG</v>
      </c>
      <c r="B29698" s="3" t="str">
        <f>HYPERLINK("https://www.773grp.com/manufacturer/onsemi?pageNo=544", "ON Semiconductor")</f>
        <v>ON Semiconductor</v>
      </c>
      <c r="C29698" s="6">
        <v>53900</v>
      </c>
      <c r="D29698" s="7">
        <v>0.64</v>
      </c>
      <c r="E29698" t="s">
        <v>97</v>
      </c>
    </row>
    <row r="29699" spans="1:5" x14ac:dyDescent="0.25">
      <c r="A29699" t="str">
        <f>HYPERLINK("https://www.773grp.com/globalSearch/MCR100-6RLRAG/page-1", "MCR100-6RLRAG")</f>
        <v>MCR100-6RLRAG</v>
      </c>
      <c r="B29699" s="3" t="str">
        <f>HYPERLINK("https://www.773grp.com/manufacturer/onsemi?pageNo=545", "ON Semiconductor")</f>
        <v>ON Semiconductor</v>
      </c>
      <c r="C29699" s="6">
        <v>1252523</v>
      </c>
      <c r="D29699" s="7">
        <v>0.64</v>
      </c>
      <c r="E29699" t="s">
        <v>97</v>
      </c>
    </row>
    <row r="29700" spans="1:5" x14ac:dyDescent="0.25">
      <c r="A29700" t="str">
        <f>HYPERLINK("https://www.773grp.com/globalSearch/MCR100-6RLRMG/page-1", "MCR100-6RLRMG")</f>
        <v>MCR100-6RLRMG</v>
      </c>
      <c r="B29700" s="3" t="str">
        <f>HYPERLINK("https://www.773grp.com/manufacturer/onsemi?pageNo=546", "ON Semiconductor")</f>
        <v>ON Semiconductor</v>
      </c>
      <c r="C29700" s="6">
        <v>436283</v>
      </c>
      <c r="D29700" s="7">
        <v>0.64</v>
      </c>
      <c r="E29700" t="s">
        <v>97</v>
      </c>
    </row>
    <row r="29701" spans="1:5" x14ac:dyDescent="0.25">
      <c r="A29701" t="str">
        <f>HYPERLINK("https://www.773grp.com/globalSearch/MCR100-6ZL1G/page-1", "MCR100-6ZL1G")</f>
        <v>MCR100-6ZL1G</v>
      </c>
      <c r="B29701" s="3" t="str">
        <f>HYPERLINK("https://www.773grp.com/manufacturer/onsemi?pageNo=547", "ON Semiconductor")</f>
        <v>ON Semiconductor</v>
      </c>
      <c r="C29701" s="6">
        <v>5995</v>
      </c>
      <c r="D29701" s="7">
        <v>0.64</v>
      </c>
      <c r="E29701" t="s">
        <v>97</v>
      </c>
    </row>
    <row r="29702" spans="1:5" x14ac:dyDescent="0.25">
      <c r="A29702" t="str">
        <f>HYPERLINK("https://www.773grp.com/globalSearch/MCR100-8G/page-1", "MCR100-8G")</f>
        <v>MCR100-8G</v>
      </c>
      <c r="B29702" s="3" t="str">
        <f>HYPERLINK("https://www.773grp.com/manufacturer/onsemi?pageNo=548", "ON Semiconductor")</f>
        <v>ON Semiconductor</v>
      </c>
      <c r="C29702" s="6">
        <v>108600</v>
      </c>
      <c r="D29702" s="7">
        <v>0.64</v>
      </c>
    </row>
    <row r="29703" spans="1:5" x14ac:dyDescent="0.25">
      <c r="A29703" t="str">
        <f>HYPERLINK("https://www.773grp.com/globalSearch/MCR100-8RLG/page-1", "MCR100-8RLG")</f>
        <v>MCR100-8RLG</v>
      </c>
      <c r="B29703" s="3" t="str">
        <f>HYPERLINK("https://www.773grp.com/manufacturer/onsemi?pageNo=549", "ON Semiconductor")</f>
        <v>ON Semiconductor</v>
      </c>
      <c r="C29703" s="6">
        <v>133955</v>
      </c>
      <c r="D29703" s="7">
        <v>0.64</v>
      </c>
      <c r="E29703" t="s">
        <v>97</v>
      </c>
    </row>
    <row r="29704" spans="1:5" x14ac:dyDescent="0.25">
      <c r="A29704" t="str">
        <f>HYPERLINK("https://www.773grp.com/globalSearch/MJD112-001/page-1", "MJD112-001")</f>
        <v>MJD112-001</v>
      </c>
      <c r="B29704" s="3" t="str">
        <f>HYPERLINK("https://www.773grp.com/manufacturer/onsemi?pageNo=550", "ON Semiconductor")</f>
        <v>ON Semiconductor</v>
      </c>
      <c r="C29704" s="6">
        <v>3825</v>
      </c>
      <c r="D29704" s="7">
        <v>0.64</v>
      </c>
      <c r="E29704" t="s">
        <v>59</v>
      </c>
    </row>
    <row r="29705" spans="1:5" x14ac:dyDescent="0.25">
      <c r="A29705" t="str">
        <f>HYPERLINK("https://www.773grp.com/globalSearch/MJE13007/page-1", "MJE13007")</f>
        <v>MJE13007</v>
      </c>
      <c r="B29705" s="3" t="str">
        <f>HYPERLINK("https://www.773grp.com/manufacturer/onsemi?pageNo=551", "ON Semiconductor")</f>
        <v>ON Semiconductor</v>
      </c>
      <c r="C29705" s="6">
        <v>219</v>
      </c>
      <c r="D29705" s="7">
        <v>0.64</v>
      </c>
      <c r="E29705" t="s">
        <v>59</v>
      </c>
    </row>
    <row r="29706" spans="1:5" x14ac:dyDescent="0.25">
      <c r="A29706" t="str">
        <f>HYPERLINK("https://www.773grp.com/globalSearch/MMBF4391LT1G/page-1", "MMBF4391LT1G")</f>
        <v>MMBF4391LT1G</v>
      </c>
      <c r="B29706" s="3" t="str">
        <f>HYPERLINK("https://www.773grp.com/manufacturer/onsemi?pageNo=552", "ON Semiconductor")</f>
        <v>ON Semiconductor</v>
      </c>
      <c r="C29706" s="6">
        <v>363</v>
      </c>
      <c r="D29706" s="7">
        <v>0.64</v>
      </c>
    </row>
    <row r="29707" spans="1:5" x14ac:dyDescent="0.25">
      <c r="A29707" t="str">
        <f>HYPERLINK("https://www.773grp.com/globalSearch/MMBF4392LT1G/page-1", "MMBF4392LT1G")</f>
        <v>MMBF4392LT1G</v>
      </c>
      <c r="B29707" s="3" t="str">
        <f>HYPERLINK("https://www.773grp.com/manufacturer/onsemi?pageNo=553", "ON Semiconductor")</f>
        <v>ON Semiconductor</v>
      </c>
      <c r="C29707" s="6">
        <v>63000</v>
      </c>
      <c r="D29707" s="7">
        <v>0.64</v>
      </c>
      <c r="E29707" t="s">
        <v>106</v>
      </c>
    </row>
    <row r="29708" spans="1:5" x14ac:dyDescent="0.25">
      <c r="A29708" t="str">
        <f>HYPERLINK("https://www.773grp.com/globalSearch/MMBF4393LT1G/page-1", "MMBF4393LT1G")</f>
        <v>MMBF4393LT1G</v>
      </c>
      <c r="B29708" s="3" t="str">
        <f>HYPERLINK("https://www.773grp.com/manufacturer/onsemi?pageNo=554", "ON Semiconductor")</f>
        <v>ON Semiconductor</v>
      </c>
      <c r="C29708" s="6">
        <v>6000</v>
      </c>
      <c r="D29708" s="7">
        <v>0.64</v>
      </c>
      <c r="E29708" t="s">
        <v>106</v>
      </c>
    </row>
    <row r="29709" spans="1:5" x14ac:dyDescent="0.25">
      <c r="A29709" t="str">
        <f>HYPERLINK("https://www.773grp.com/globalSearch/MMBFJ175LT1G/page-1", "MMBFJ175LT1G")</f>
        <v>MMBFJ175LT1G</v>
      </c>
      <c r="B29709" s="3" t="str">
        <f>HYPERLINK("https://www.773grp.com/manufacturer/onsemi?pageNo=555", "ON Semiconductor")</f>
        <v>ON Semiconductor</v>
      </c>
      <c r="C29709" s="6">
        <v>5950</v>
      </c>
      <c r="D29709" s="7">
        <v>0.64</v>
      </c>
      <c r="E29709" t="s">
        <v>106</v>
      </c>
    </row>
    <row r="29710" spans="1:5" x14ac:dyDescent="0.25">
      <c r="A29710" t="str">
        <f>HYPERLINK("https://www.773grp.com/globalSearch/MMBFJ177LT1G/page-1", "MMBFJ177LT1G")</f>
        <v>MMBFJ177LT1G</v>
      </c>
      <c r="B29710" s="3" t="str">
        <f>HYPERLINK("https://www.773grp.com/manufacturer/onsemi?pageNo=556", "ON Semiconductor")</f>
        <v>ON Semiconductor</v>
      </c>
      <c r="C29710" s="6">
        <v>435000</v>
      </c>
      <c r="D29710" s="7">
        <v>0.64</v>
      </c>
      <c r="E29710" t="s">
        <v>106</v>
      </c>
    </row>
    <row r="29711" spans="1:5" x14ac:dyDescent="0.25">
      <c r="A29711" t="str">
        <f>HYPERLINK("https://www.773grp.com/globalSearch/MMBFJ309LT1G/page-1", "MMBFJ309LT1G")</f>
        <v>MMBFJ309LT1G</v>
      </c>
      <c r="B29711" s="3" t="str">
        <f>HYPERLINK("https://www.773grp.com/manufacturer/onsemi?pageNo=557", "ON Semiconductor")</f>
        <v>ON Semiconductor</v>
      </c>
      <c r="C29711" s="6">
        <v>11934</v>
      </c>
      <c r="D29711" s="7">
        <v>0.64</v>
      </c>
      <c r="E29711" t="s">
        <v>104</v>
      </c>
    </row>
    <row r="29712" spans="1:5" x14ac:dyDescent="0.25">
      <c r="A29712" t="str">
        <f>HYPERLINK("https://www.773grp.com/globalSearch/MMBFJ310LT1G/page-1", "MMBFJ310LT1G")</f>
        <v>MMBFJ310LT1G</v>
      </c>
      <c r="B29712" s="3" t="str">
        <f>HYPERLINK("https://www.773grp.com/manufacturer/onsemi?pageNo=558", "ON Semiconductor")</f>
        <v>ON Semiconductor</v>
      </c>
      <c r="C29712" s="6">
        <v>458027</v>
      </c>
      <c r="D29712" s="7">
        <v>0.64</v>
      </c>
      <c r="E29712" t="s">
        <v>104</v>
      </c>
    </row>
    <row r="29713" spans="1:5" x14ac:dyDescent="0.25">
      <c r="A29713" t="str">
        <f>HYPERLINK("https://www.773grp.com/globalSearch/MMBFU310LT1G/page-1", "MMBFU310LT1G")</f>
        <v>MMBFU310LT1G</v>
      </c>
      <c r="B29713" s="3" t="str">
        <f>HYPERLINK("https://www.773grp.com/manufacturer/onsemi?pageNo=559", "ON Semiconductor")</f>
        <v>ON Semiconductor</v>
      </c>
      <c r="C29713" s="6">
        <v>12000</v>
      </c>
      <c r="D29713" s="7">
        <v>0.64</v>
      </c>
    </row>
    <row r="29714" spans="1:5" x14ac:dyDescent="0.25">
      <c r="A29714" t="str">
        <f>HYPERLINK("https://www.773grp.com/globalSearch/MMBT489LT1G/page-1", "MMBT489LT1G")</f>
        <v>MMBT489LT1G</v>
      </c>
      <c r="B29714" s="3" t="str">
        <f>HYPERLINK("https://www.773grp.com/manufacturer/onsemi?pageNo=560", "ON Semiconductor")</f>
        <v>ON Semiconductor</v>
      </c>
      <c r="C29714" s="6">
        <v>25680</v>
      </c>
      <c r="D29714" s="7">
        <v>0.64</v>
      </c>
      <c r="E29714" t="s">
        <v>69</v>
      </c>
    </row>
    <row r="29715" spans="1:5" x14ac:dyDescent="0.25">
      <c r="A29715" t="str">
        <f>HYPERLINK("https://www.773grp.com/globalSearch/MMBT589LT1G/page-1", "MMBT589LT1G")</f>
        <v>MMBT589LT1G</v>
      </c>
      <c r="B29715" s="3" t="str">
        <f>HYPERLINK("https://www.773grp.com/manufacturer/onsemi?pageNo=561", "ON Semiconductor")</f>
        <v>ON Semiconductor</v>
      </c>
      <c r="C29715" s="6">
        <v>195000</v>
      </c>
      <c r="D29715" s="7">
        <v>0.64</v>
      </c>
      <c r="E29715" t="s">
        <v>69</v>
      </c>
    </row>
    <row r="29716" spans="1:5" x14ac:dyDescent="0.25">
      <c r="A29716" t="str">
        <f>HYPERLINK("https://www.773grp.com/globalSearch/MMT05B260T3G/page-1", "MMT05B260T3G")</f>
        <v>MMT05B260T3G</v>
      </c>
      <c r="B29716" s="3" t="str">
        <f>HYPERLINK("https://www.773grp.com/manufacturer/onsemi?pageNo=562", "ON Semiconductor")</f>
        <v>ON Semiconductor</v>
      </c>
      <c r="C29716" s="6">
        <v>7500</v>
      </c>
      <c r="D29716" s="7">
        <v>0.64</v>
      </c>
    </row>
    <row r="29717" spans="1:5" x14ac:dyDescent="0.25">
      <c r="A29717" t="str">
        <f>HYPERLINK("https://www.773grp.com/globalSearch/MMT05B310T3G/page-1", "MMT05B310T3G")</f>
        <v>MMT05B310T3G</v>
      </c>
      <c r="B29717" s="3" t="str">
        <f>HYPERLINK("https://www.773grp.com/manufacturer/onsemi?pageNo=563", "ON Semiconductor")</f>
        <v>ON Semiconductor</v>
      </c>
      <c r="C29717" s="6">
        <v>106312</v>
      </c>
      <c r="D29717" s="7">
        <v>0.64</v>
      </c>
      <c r="E29717" t="s">
        <v>109</v>
      </c>
    </row>
    <row r="29718" spans="1:5" x14ac:dyDescent="0.25">
      <c r="A29718" t="str">
        <f>HYPERLINK("https://www.773grp.com/globalSearch/MPS6726G/page-1", "MPS6726G")</f>
        <v>MPS6726G</v>
      </c>
      <c r="B29718" s="3" t="str">
        <f>HYPERLINK("https://www.773grp.com/manufacturer/onsemi?pageNo=564", "ON Semiconductor")</f>
        <v>ON Semiconductor</v>
      </c>
      <c r="C29718" s="6">
        <v>20000</v>
      </c>
      <c r="D29718" s="7">
        <v>0.64</v>
      </c>
      <c r="E29718" t="s">
        <v>69</v>
      </c>
    </row>
    <row r="29719" spans="1:5" x14ac:dyDescent="0.25">
      <c r="A29719" t="str">
        <f>HYPERLINK("https://www.773grp.com/globalSearch/MPSW01AG/page-1", "MPSW01AG")</f>
        <v>MPSW01AG</v>
      </c>
      <c r="B29719" s="3" t="str">
        <f>HYPERLINK("https://www.773grp.com/manufacturer/onsemi?pageNo=565", "ON Semiconductor")</f>
        <v>ON Semiconductor</v>
      </c>
      <c r="C29719" s="6">
        <v>27417</v>
      </c>
      <c r="D29719" s="7">
        <v>0.64</v>
      </c>
      <c r="E29719" t="s">
        <v>69</v>
      </c>
    </row>
    <row r="29720" spans="1:5" x14ac:dyDescent="0.25">
      <c r="A29720" t="str">
        <f>HYPERLINK("https://www.773grp.com/globalSearch/MPSW01ARLRAG/page-1", "MPSW01ARLRAG")</f>
        <v>MPSW01ARLRAG</v>
      </c>
      <c r="B29720" s="3" t="str">
        <f>HYPERLINK("https://www.773grp.com/manufacturer/onsemi?pageNo=566", "ON Semiconductor")</f>
        <v>ON Semiconductor</v>
      </c>
      <c r="C29720" s="6">
        <v>1544000</v>
      </c>
      <c r="D29720" s="7">
        <v>0.64</v>
      </c>
      <c r="E29720" t="s">
        <v>69</v>
      </c>
    </row>
    <row r="29721" spans="1:5" x14ac:dyDescent="0.25">
      <c r="A29721" t="str">
        <f>HYPERLINK("https://www.773grp.com/globalSearch/MPSW01ARLRPG/page-1", "MPSW01ARLRPG")</f>
        <v>MPSW01ARLRPG</v>
      </c>
      <c r="B29721" s="3" t="str">
        <f>HYPERLINK("https://www.773grp.com/manufacturer/onsemi?pageNo=567", "ON Semiconductor")</f>
        <v>ON Semiconductor</v>
      </c>
      <c r="C29721" s="6">
        <v>16006</v>
      </c>
      <c r="D29721" s="7">
        <v>0.64</v>
      </c>
      <c r="E29721" t="s">
        <v>69</v>
      </c>
    </row>
    <row r="29722" spans="1:5" x14ac:dyDescent="0.25">
      <c r="A29722" t="str">
        <f>HYPERLINK("https://www.773grp.com/globalSearch/MPSW01G/page-1", "MPSW01G")</f>
        <v>MPSW01G</v>
      </c>
      <c r="B29722" s="3" t="str">
        <f>HYPERLINK("https://www.773grp.com/manufacturer/onsemi?pageNo=568", "ON Semiconductor")</f>
        <v>ON Semiconductor</v>
      </c>
      <c r="C29722" s="6">
        <v>54923</v>
      </c>
      <c r="D29722" s="7">
        <v>0.64</v>
      </c>
      <c r="E29722" t="s">
        <v>69</v>
      </c>
    </row>
    <row r="29723" spans="1:5" x14ac:dyDescent="0.25">
      <c r="A29723" t="str">
        <f>HYPERLINK("https://www.773grp.com/globalSearch/MPSW06G/page-1", "MPSW06G")</f>
        <v>MPSW06G</v>
      </c>
      <c r="B29723" s="3" t="str">
        <f>HYPERLINK("https://www.773grp.com/manufacturer/onsemi?pageNo=569", "ON Semiconductor")</f>
        <v>ON Semiconductor</v>
      </c>
      <c r="C29723" s="6">
        <v>33258</v>
      </c>
      <c r="D29723" s="7">
        <v>0.64</v>
      </c>
      <c r="E29723" t="s">
        <v>69</v>
      </c>
    </row>
    <row r="29724" spans="1:5" x14ac:dyDescent="0.25">
      <c r="A29724" t="str">
        <f>HYPERLINK("https://www.773grp.com/globalSearch/MPSW06RLRAG/page-1", "MPSW06RLRAG")</f>
        <v>MPSW06RLRAG</v>
      </c>
      <c r="B29724" s="3" t="str">
        <f>HYPERLINK("https://www.773grp.com/manufacturer/onsemi?pageNo=570", "ON Semiconductor")</f>
        <v>ON Semiconductor</v>
      </c>
      <c r="C29724" s="6">
        <v>311749</v>
      </c>
      <c r="D29724" s="7">
        <v>0.64</v>
      </c>
      <c r="E29724" t="s">
        <v>69</v>
      </c>
    </row>
    <row r="29725" spans="1:5" x14ac:dyDescent="0.25">
      <c r="A29725" t="str">
        <f>HYPERLINK("https://www.773grp.com/globalSearch/MPSW42RLRAG/page-1", "MPSW42RLRAG")</f>
        <v>MPSW42RLRAG</v>
      </c>
      <c r="B29725" s="3" t="str">
        <f>HYPERLINK("https://www.773grp.com/manufacturer/onsemi?pageNo=571", "ON Semiconductor")</f>
        <v>ON Semiconductor</v>
      </c>
      <c r="C29725" s="6">
        <v>762</v>
      </c>
      <c r="D29725" s="7">
        <v>0.64</v>
      </c>
      <c r="E29725" t="s">
        <v>69</v>
      </c>
    </row>
    <row r="29726" spans="1:5" x14ac:dyDescent="0.25">
      <c r="A29726" t="str">
        <f>HYPERLINK("https://www.773grp.com/globalSearch/MPSW45AG/page-1", "MPSW45AG")</f>
        <v>MPSW45AG</v>
      </c>
      <c r="B29726" s="3" t="str">
        <f>HYPERLINK("https://www.773grp.com/manufacturer/onsemi?pageNo=572", "ON Semiconductor")</f>
        <v>ON Semiconductor</v>
      </c>
      <c r="C29726" s="6">
        <v>12662</v>
      </c>
      <c r="D29726" s="7">
        <v>0.64</v>
      </c>
      <c r="E29726" t="s">
        <v>69</v>
      </c>
    </row>
    <row r="29727" spans="1:5" x14ac:dyDescent="0.25">
      <c r="A29727" t="str">
        <f>HYPERLINK("https://www.773grp.com/globalSearch/MPSW45ARLRAG/page-1", "MPSW45ARLRAG")</f>
        <v>MPSW45ARLRAG</v>
      </c>
      <c r="B29727" s="3" t="str">
        <f>HYPERLINK("https://www.773grp.com/manufacturer/onsemi?pageNo=573", "ON Semiconductor")</f>
        <v>ON Semiconductor</v>
      </c>
      <c r="C29727" s="6">
        <v>2762</v>
      </c>
      <c r="D29727" s="7">
        <v>0.64</v>
      </c>
      <c r="E29727" t="s">
        <v>69</v>
      </c>
    </row>
    <row r="29728" spans="1:5" x14ac:dyDescent="0.25">
      <c r="A29728" t="str">
        <f>HYPERLINK("https://www.773grp.com/globalSearch/MPSW45AZL1G/page-1", "MPSW45AZL1G")</f>
        <v>MPSW45AZL1G</v>
      </c>
      <c r="B29728" s="3" t="str">
        <f>HYPERLINK("https://www.773grp.com/manufacturer/onsemi?pageNo=574", "ON Semiconductor")</f>
        <v>ON Semiconductor</v>
      </c>
      <c r="C29728" s="6">
        <v>9422</v>
      </c>
      <c r="D29728" s="7">
        <v>0.64</v>
      </c>
      <c r="E29728" t="s">
        <v>69</v>
      </c>
    </row>
    <row r="29729" spans="1:5" x14ac:dyDescent="0.25">
      <c r="A29729" t="str">
        <f>HYPERLINK("https://www.773grp.com/globalSearch/MPSW45G/page-1", "MPSW45G")</f>
        <v>MPSW45G</v>
      </c>
      <c r="B29729" s="3" t="str">
        <f>HYPERLINK("https://www.773grp.com/manufacturer/onsemi?pageNo=575", "ON Semiconductor")</f>
        <v>ON Semiconductor</v>
      </c>
      <c r="C29729" s="6">
        <v>25000</v>
      </c>
      <c r="D29729" s="7">
        <v>0.64</v>
      </c>
      <c r="E29729" t="s">
        <v>69</v>
      </c>
    </row>
    <row r="29730" spans="1:5" x14ac:dyDescent="0.25">
      <c r="A29730" t="str">
        <f>HYPERLINK("https://www.773grp.com/globalSearch/MPSW51AG/page-1", "MPSW51AG")</f>
        <v>MPSW51AG</v>
      </c>
      <c r="B29730" s="3" t="str">
        <f>HYPERLINK("https://www.773grp.com/manufacturer/onsemi?pageNo=576", "ON Semiconductor")</f>
        <v>ON Semiconductor</v>
      </c>
      <c r="C29730" s="6">
        <v>5000</v>
      </c>
      <c r="D29730" s="7">
        <v>0.64</v>
      </c>
    </row>
    <row r="29731" spans="1:5" x14ac:dyDescent="0.25">
      <c r="A29731" t="str">
        <f>HYPERLINK("https://www.773grp.com/globalSearch/MPSW51ARLRAG/page-1", "MPSW51ARLRAG")</f>
        <v>MPSW51ARLRAG</v>
      </c>
      <c r="B29731" s="3" t="str">
        <f>HYPERLINK("https://www.773grp.com/manufacturer/onsemi?pageNo=577", "ON Semiconductor")</f>
        <v>ON Semiconductor</v>
      </c>
      <c r="C29731" s="6">
        <v>194000</v>
      </c>
      <c r="D29731" s="7">
        <v>0.64</v>
      </c>
      <c r="E29731" t="s">
        <v>69</v>
      </c>
    </row>
    <row r="29732" spans="1:5" x14ac:dyDescent="0.25">
      <c r="A29732" t="str">
        <f>HYPERLINK("https://www.773grp.com/globalSearch/MPSW51ARLRPG/page-1", "MPSW51ARLRPG")</f>
        <v>MPSW51ARLRPG</v>
      </c>
      <c r="B29732" s="3" t="str">
        <f>HYPERLINK("https://www.773grp.com/manufacturer/onsemi?pageNo=578", "ON Semiconductor")</f>
        <v>ON Semiconductor</v>
      </c>
      <c r="C29732" s="6">
        <v>4000</v>
      </c>
      <c r="D29732" s="7">
        <v>0.64</v>
      </c>
    </row>
    <row r="29733" spans="1:5" x14ac:dyDescent="0.25">
      <c r="A29733" t="str">
        <f>HYPERLINK("https://www.773grp.com/globalSearch/MPSW51G/page-1", "MPSW51G")</f>
        <v>MPSW51G</v>
      </c>
      <c r="B29733" s="3" t="str">
        <f>HYPERLINK("https://www.773grp.com/manufacturer/onsemi?pageNo=579", "ON Semiconductor")</f>
        <v>ON Semiconductor</v>
      </c>
      <c r="C29733" s="6">
        <v>14997</v>
      </c>
      <c r="D29733" s="7">
        <v>0.64</v>
      </c>
      <c r="E29733" t="s">
        <v>69</v>
      </c>
    </row>
    <row r="29734" spans="1:5" x14ac:dyDescent="0.25">
      <c r="A29734" t="str">
        <f>HYPERLINK("https://www.773grp.com/globalSearch/MPSW55G/page-1", "MPSW55G")</f>
        <v>MPSW55G</v>
      </c>
      <c r="B29734" s="3" t="str">
        <f>HYPERLINK("https://www.773grp.com/manufacturer/onsemi?pageNo=580", "ON Semiconductor")</f>
        <v>ON Semiconductor</v>
      </c>
      <c r="C29734" s="6">
        <v>15000</v>
      </c>
      <c r="D29734" s="7">
        <v>0.64</v>
      </c>
      <c r="E29734" t="s">
        <v>69</v>
      </c>
    </row>
    <row r="29735" spans="1:5" x14ac:dyDescent="0.25">
      <c r="A29735" t="str">
        <f>HYPERLINK("https://www.773grp.com/globalSearch/MURS360BT3G/page-1", "MURS360BT3G")</f>
        <v>MURS360BT3G</v>
      </c>
      <c r="B29735" s="3" t="str">
        <f>HYPERLINK("https://www.773grp.com/manufacturer/onsemi?pageNo=581", "ON Semiconductor")</f>
        <v>ON Semiconductor</v>
      </c>
      <c r="C29735" s="6">
        <v>159311</v>
      </c>
      <c r="D29735" s="7">
        <v>0.64</v>
      </c>
      <c r="E29735" t="s">
        <v>103</v>
      </c>
    </row>
    <row r="29736" spans="1:5" x14ac:dyDescent="0.25">
      <c r="A29736" t="str">
        <f>HYPERLINK("https://www.773grp.com/globalSearch/NCP1215DR2/page-1", "NCP1215DR2")</f>
        <v>NCP1215DR2</v>
      </c>
      <c r="B29736" s="3" t="str">
        <f>HYPERLINK("https://www.773grp.com/manufacturer/onsemi?pageNo=582", "ON Semiconductor")</f>
        <v>ON Semiconductor</v>
      </c>
      <c r="C29736" s="6">
        <v>1075215</v>
      </c>
      <c r="D29736" s="7">
        <v>0.64</v>
      </c>
      <c r="E29736" t="s">
        <v>7</v>
      </c>
    </row>
    <row r="29737" spans="1:5" x14ac:dyDescent="0.25">
      <c r="A29737" t="str">
        <f>HYPERLINK("https://www.773grp.com/globalSearch/NCP300HSN09T1G/page-1", "NCP300HSN09T1G")</f>
        <v>NCP300HSN09T1G</v>
      </c>
      <c r="B29737" s="3" t="str">
        <f>HYPERLINK("https://www.773grp.com/manufacturer/onsemi?pageNo=583", "ON Semiconductor")</f>
        <v>ON Semiconductor</v>
      </c>
      <c r="C29737" s="6">
        <v>65910</v>
      </c>
      <c r="D29737" s="7">
        <v>0.64</v>
      </c>
      <c r="E29737" t="s">
        <v>30</v>
      </c>
    </row>
    <row r="29738" spans="1:5" x14ac:dyDescent="0.25">
      <c r="A29738" t="str">
        <f>HYPERLINK("https://www.773grp.com/globalSearch/NCP300HSN18T1G/page-1", "NCP300HSN18T1G")</f>
        <v>NCP300HSN18T1G</v>
      </c>
      <c r="B29738" s="3" t="str">
        <f>HYPERLINK("https://www.773grp.com/manufacturer/onsemi?pageNo=584", "ON Semiconductor")</f>
        <v>ON Semiconductor</v>
      </c>
      <c r="C29738" s="6">
        <v>9000</v>
      </c>
      <c r="D29738" s="7">
        <v>0.64</v>
      </c>
      <c r="E29738" t="s">
        <v>30</v>
      </c>
    </row>
    <row r="29739" spans="1:5" x14ac:dyDescent="0.25">
      <c r="A29739" t="str">
        <f>HYPERLINK("https://www.773grp.com/globalSearch/NCP300HSN27T1G/page-1", "NCP300HSN27T1G")</f>
        <v>NCP300HSN27T1G</v>
      </c>
      <c r="B29739" s="3" t="str">
        <f>HYPERLINK("https://www.773grp.com/manufacturer/onsemi?pageNo=585", "ON Semiconductor")</f>
        <v>ON Semiconductor</v>
      </c>
      <c r="C29739" s="6">
        <v>480</v>
      </c>
      <c r="D29739" s="7">
        <v>0.64</v>
      </c>
      <c r="E29739" t="s">
        <v>30</v>
      </c>
    </row>
    <row r="29740" spans="1:5" x14ac:dyDescent="0.25">
      <c r="A29740" t="str">
        <f>HYPERLINK("https://www.773grp.com/globalSearch/NCP300HSN45T1G/page-1", "NCP300HSN45T1G")</f>
        <v>NCP300HSN45T1G</v>
      </c>
      <c r="B29740" s="3" t="str">
        <f>HYPERLINK("https://www.773grp.com/manufacturer/onsemi?pageNo=586", "ON Semiconductor")</f>
        <v>ON Semiconductor</v>
      </c>
      <c r="C29740" s="6">
        <v>17955</v>
      </c>
      <c r="D29740" s="7">
        <v>0.64</v>
      </c>
      <c r="E29740" t="s">
        <v>30</v>
      </c>
    </row>
    <row r="29741" spans="1:5" x14ac:dyDescent="0.25">
      <c r="A29741" t="str">
        <f>HYPERLINK("https://www.773grp.com/globalSearch/NCP300HSN47T1G/page-1", "NCP300HSN47T1G")</f>
        <v>NCP300HSN47T1G</v>
      </c>
      <c r="B29741" s="3" t="str">
        <f>HYPERLINK("https://www.773grp.com/manufacturer/onsemi?pageNo=587", "ON Semiconductor")</f>
        <v>ON Semiconductor</v>
      </c>
      <c r="C29741" s="6">
        <v>65464</v>
      </c>
      <c r="D29741" s="7">
        <v>0.64</v>
      </c>
      <c r="E29741" t="s">
        <v>30</v>
      </c>
    </row>
    <row r="29742" spans="1:5" x14ac:dyDescent="0.25">
      <c r="A29742" t="str">
        <f>HYPERLINK("https://www.773grp.com/globalSearch/NCP300LSN09T1G/page-1", "NCP300LSN09T1G")</f>
        <v>NCP300LSN09T1G</v>
      </c>
      <c r="B29742" s="3" t="str">
        <f>HYPERLINK("https://www.773grp.com/manufacturer/onsemi?pageNo=588", "ON Semiconductor")</f>
        <v>ON Semiconductor</v>
      </c>
      <c r="C29742" s="6">
        <v>8900</v>
      </c>
      <c r="D29742" s="7">
        <v>0.64</v>
      </c>
      <c r="E29742" t="s">
        <v>30</v>
      </c>
    </row>
    <row r="29743" spans="1:5" x14ac:dyDescent="0.25">
      <c r="A29743" t="str">
        <f>HYPERLINK("https://www.773grp.com/globalSearch/NCP300LSN18T1G/page-1", "NCP300LSN18T1G")</f>
        <v>NCP300LSN18T1G</v>
      </c>
      <c r="B29743" s="3" t="str">
        <f>HYPERLINK("https://www.773grp.com/manufacturer/onsemi?pageNo=589", "ON Semiconductor")</f>
        <v>ON Semiconductor</v>
      </c>
      <c r="C29743" s="6">
        <v>17799</v>
      </c>
      <c r="D29743" s="7">
        <v>0.64</v>
      </c>
      <c r="E29743" t="s">
        <v>30</v>
      </c>
    </row>
    <row r="29744" spans="1:5" x14ac:dyDescent="0.25">
      <c r="A29744" t="str">
        <f>HYPERLINK("https://www.773grp.com/globalSearch/NCP300LSN27T1G/page-1", "NCP300LSN27T1G")</f>
        <v>NCP300LSN27T1G</v>
      </c>
      <c r="B29744" s="3" t="str">
        <f>HYPERLINK("https://www.773grp.com/manufacturer/onsemi?pageNo=590", "ON Semiconductor")</f>
        <v>ON Semiconductor</v>
      </c>
      <c r="C29744" s="6">
        <v>149277</v>
      </c>
      <c r="D29744" s="7">
        <v>0.64</v>
      </c>
      <c r="E29744" t="s">
        <v>30</v>
      </c>
    </row>
    <row r="29745" spans="1:5" x14ac:dyDescent="0.25">
      <c r="A29745" t="str">
        <f>HYPERLINK("https://www.773grp.com/globalSearch/NCP300LSN33T1G/page-1", "NCP300LSN33T1G")</f>
        <v>NCP300LSN33T1G</v>
      </c>
      <c r="B29745" s="3" t="str">
        <f>HYPERLINK("https://www.773grp.com/manufacturer/onsemi?pageNo=591", "ON Semiconductor")</f>
        <v>ON Semiconductor</v>
      </c>
      <c r="C29745" s="6">
        <v>5315</v>
      </c>
      <c r="D29745" s="7">
        <v>0.64</v>
      </c>
      <c r="E29745" t="s">
        <v>30</v>
      </c>
    </row>
    <row r="29746" spans="1:5" x14ac:dyDescent="0.25">
      <c r="A29746" t="str">
        <f>HYPERLINK("https://www.773grp.com/globalSearch/NCP300LSN34T1G/page-1", "NCP300LSN34T1G")</f>
        <v>NCP300LSN34T1G</v>
      </c>
      <c r="B29746" s="3" t="str">
        <f>HYPERLINK("https://www.773grp.com/manufacturer/onsemi?pageNo=592", "ON Semiconductor")</f>
        <v>ON Semiconductor</v>
      </c>
      <c r="C29746" s="6">
        <v>28490</v>
      </c>
      <c r="D29746" s="7">
        <v>0.64</v>
      </c>
      <c r="E29746" t="s">
        <v>30</v>
      </c>
    </row>
    <row r="29747" spans="1:5" x14ac:dyDescent="0.25">
      <c r="A29747" t="str">
        <f>HYPERLINK("https://www.773grp.com/globalSearch/NCP300LSN45T1G/page-1", "NCP300LSN45T1G")</f>
        <v>NCP300LSN45T1G</v>
      </c>
      <c r="B29747" s="3" t="str">
        <f>HYPERLINK("https://www.773grp.com/manufacturer/onsemi?pageNo=593", "ON Semiconductor")</f>
        <v>ON Semiconductor</v>
      </c>
      <c r="C29747" s="6">
        <v>10406</v>
      </c>
      <c r="D29747" s="7">
        <v>0.64</v>
      </c>
      <c r="E29747" t="s">
        <v>30</v>
      </c>
    </row>
    <row r="29748" spans="1:5" x14ac:dyDescent="0.25">
      <c r="A29748" t="str">
        <f>HYPERLINK("https://www.773grp.com/globalSearch/NCP300LSN46T1G/page-1", "NCP300LSN46T1G")</f>
        <v>NCP300LSN46T1G</v>
      </c>
      <c r="B29748" s="3" t="str">
        <f>HYPERLINK("https://www.773grp.com/manufacturer/onsemi?pageNo=594", "ON Semiconductor")</f>
        <v>ON Semiconductor</v>
      </c>
      <c r="C29748" s="6">
        <v>29760</v>
      </c>
      <c r="D29748" s="7">
        <v>0.64</v>
      </c>
      <c r="E29748" t="s">
        <v>30</v>
      </c>
    </row>
    <row r="29749" spans="1:5" x14ac:dyDescent="0.25">
      <c r="A29749" t="str">
        <f>HYPERLINK("https://www.773grp.com/globalSearch/NCP300LSN47T1G/page-1", "NCP300LSN47T1G")</f>
        <v>NCP300LSN47T1G</v>
      </c>
      <c r="B29749" s="3" t="str">
        <f>HYPERLINK("https://www.773grp.com/manufacturer/onsemi?pageNo=595", "ON Semiconductor")</f>
        <v>ON Semiconductor</v>
      </c>
      <c r="C29749" s="6">
        <v>10576</v>
      </c>
      <c r="D29749" s="7">
        <v>0.64</v>
      </c>
      <c r="E29749" t="s">
        <v>30</v>
      </c>
    </row>
    <row r="29750" spans="1:5" x14ac:dyDescent="0.25">
      <c r="A29750" t="str">
        <f>HYPERLINK("https://www.773grp.com/globalSearch/NCP301HSN09T1G/page-1", "NCP301HSN09T1G")</f>
        <v>NCP301HSN09T1G</v>
      </c>
      <c r="B29750" s="3" t="str">
        <f>HYPERLINK("https://www.773grp.com/manufacturer/onsemi?pageNo=596", "ON Semiconductor")</f>
        <v>ON Semiconductor</v>
      </c>
      <c r="C29750" s="6">
        <v>2845</v>
      </c>
      <c r="D29750" s="7">
        <v>0.64</v>
      </c>
      <c r="E29750" t="s">
        <v>30</v>
      </c>
    </row>
    <row r="29751" spans="1:5" x14ac:dyDescent="0.25">
      <c r="A29751" t="str">
        <f>HYPERLINK("https://www.773grp.com/globalSearch/NCP301HSN18T1G/page-1", "NCP301HSN18T1G")</f>
        <v>NCP301HSN18T1G</v>
      </c>
      <c r="B29751" s="3" t="str">
        <f>HYPERLINK("https://www.773grp.com/manufacturer/onsemi?pageNo=597", "ON Semiconductor")</f>
        <v>ON Semiconductor</v>
      </c>
      <c r="C29751" s="6">
        <v>44588</v>
      </c>
      <c r="D29751" s="7">
        <v>0.64</v>
      </c>
      <c r="E29751" t="s">
        <v>30</v>
      </c>
    </row>
    <row r="29752" spans="1:5" x14ac:dyDescent="0.25">
      <c r="A29752" t="str">
        <f>HYPERLINK("https://www.773grp.com/globalSearch/NCP301HSN22T1G/page-1", "NCP301HSN22T1G")</f>
        <v>NCP301HSN22T1G</v>
      </c>
      <c r="B29752" s="3" t="str">
        <f>HYPERLINK("https://www.773grp.com/manufacturer/onsemi?pageNo=598", "ON Semiconductor")</f>
        <v>ON Semiconductor</v>
      </c>
      <c r="C29752" s="6">
        <v>20910</v>
      </c>
      <c r="D29752" s="7">
        <v>0.64</v>
      </c>
      <c r="E29752" t="s">
        <v>30</v>
      </c>
    </row>
    <row r="29753" spans="1:5" x14ac:dyDescent="0.25">
      <c r="A29753" t="str">
        <f>HYPERLINK("https://www.773grp.com/globalSearch/NCP301HSN30T1G/page-1", "NCP301HSN30T1G")</f>
        <v>NCP301HSN30T1G</v>
      </c>
      <c r="B29753" s="3" t="str">
        <f>HYPERLINK("https://www.773grp.com/manufacturer/onsemi?pageNo=599", "ON Semiconductor")</f>
        <v>ON Semiconductor</v>
      </c>
      <c r="C29753" s="6">
        <v>5767</v>
      </c>
      <c r="D29753" s="7">
        <v>0.64</v>
      </c>
      <c r="E29753" t="s">
        <v>30</v>
      </c>
    </row>
    <row r="29754" spans="1:5" x14ac:dyDescent="0.25">
      <c r="A29754" t="str">
        <f>HYPERLINK("https://www.773grp.com/globalSearch/NCP301HSN45T1G/page-1", "NCP301HSN45T1G")</f>
        <v>NCP301HSN45T1G</v>
      </c>
      <c r="B29754" s="3" t="str">
        <f>HYPERLINK("https://www.773grp.com/manufacturer/onsemi?pageNo=600", "ON Semiconductor")</f>
        <v>ON Semiconductor</v>
      </c>
      <c r="C29754" s="6">
        <v>6130</v>
      </c>
      <c r="D29754" s="7">
        <v>0.64</v>
      </c>
      <c r="E29754" t="s">
        <v>30</v>
      </c>
    </row>
    <row r="29755" spans="1:5" x14ac:dyDescent="0.25">
      <c r="A29755" t="str">
        <f>HYPERLINK("https://www.773grp.com/globalSearch/NCP301LSN12T1G/page-1", "NCP301LSN12T1G")</f>
        <v>NCP301LSN12T1G</v>
      </c>
      <c r="B29755" s="3" t="str">
        <f>HYPERLINK("https://www.773grp.com/manufacturer/onsemi?pageNo=601", "ON Semiconductor")</f>
        <v>ON Semiconductor</v>
      </c>
      <c r="C29755" s="6">
        <v>6308</v>
      </c>
      <c r="D29755" s="7">
        <v>0.64</v>
      </c>
      <c r="E29755" t="s">
        <v>30</v>
      </c>
    </row>
    <row r="29756" spans="1:5" x14ac:dyDescent="0.25">
      <c r="A29756" t="str">
        <f>HYPERLINK("https://www.773grp.com/globalSearch/NCP301LSN16T1G/page-1", "NCP301LSN16T1G")</f>
        <v>NCP301LSN16T1G</v>
      </c>
      <c r="B29756" s="3" t="str">
        <f>HYPERLINK("https://www.773grp.com/manufacturer/onsemi?pageNo=602", "ON Semiconductor")</f>
        <v>ON Semiconductor</v>
      </c>
      <c r="C29756" s="6">
        <v>109184</v>
      </c>
      <c r="D29756" s="7">
        <v>0.64</v>
      </c>
      <c r="E29756" t="s">
        <v>30</v>
      </c>
    </row>
    <row r="29757" spans="1:5" x14ac:dyDescent="0.25">
      <c r="A29757" t="str">
        <f>HYPERLINK("https://www.773grp.com/globalSearch/NCP301LSN22T1G/page-1", "NCP301LSN22T1G")</f>
        <v>NCP301LSN22T1G</v>
      </c>
      <c r="B29757" s="3" t="str">
        <f>HYPERLINK("https://www.773grp.com/manufacturer/onsemi?pageNo=603", "ON Semiconductor")</f>
        <v>ON Semiconductor</v>
      </c>
      <c r="C29757" s="6">
        <v>4853</v>
      </c>
      <c r="D29757" s="7">
        <v>0.64</v>
      </c>
      <c r="E29757" t="s">
        <v>30</v>
      </c>
    </row>
    <row r="29758" spans="1:5" x14ac:dyDescent="0.25">
      <c r="A29758" t="str">
        <f>HYPERLINK("https://www.773grp.com/globalSearch/NCP301LSN24T1G/page-1", "NCP301LSN24T1G")</f>
        <v>NCP301LSN24T1G</v>
      </c>
      <c r="B29758" s="3" t="str">
        <f>HYPERLINK("https://www.773grp.com/manufacturer/onsemi?pageNo=604", "ON Semiconductor")</f>
        <v>ON Semiconductor</v>
      </c>
      <c r="C29758" s="6">
        <v>4000</v>
      </c>
      <c r="D29758" s="7">
        <v>0.64</v>
      </c>
      <c r="E29758" t="s">
        <v>30</v>
      </c>
    </row>
    <row r="29759" spans="1:5" x14ac:dyDescent="0.25">
      <c r="A29759" t="str">
        <f>HYPERLINK("https://www.773grp.com/globalSearch/NCP301LSN26T1G/page-1", "NCP301LSN26T1G")</f>
        <v>NCP301LSN26T1G</v>
      </c>
      <c r="B29759" s="3" t="str">
        <f>HYPERLINK("https://www.773grp.com/manufacturer/onsemi?pageNo=605", "ON Semiconductor")</f>
        <v>ON Semiconductor</v>
      </c>
      <c r="C29759" s="6">
        <v>11325</v>
      </c>
      <c r="D29759" s="7">
        <v>0.64</v>
      </c>
      <c r="E29759" t="s">
        <v>30</v>
      </c>
    </row>
    <row r="29760" spans="1:5" x14ac:dyDescent="0.25">
      <c r="A29760" t="str">
        <f>HYPERLINK("https://www.773grp.com/globalSearch/NCP301LSN31T1G/page-1", "NCP301LSN31T1G")</f>
        <v>NCP301LSN31T1G</v>
      </c>
      <c r="B29760" s="3" t="str">
        <f>HYPERLINK("https://www.773grp.com/manufacturer/onsemi?pageNo=606", "ON Semiconductor")</f>
        <v>ON Semiconductor</v>
      </c>
      <c r="C29760" s="6">
        <v>11864</v>
      </c>
      <c r="D29760" s="7">
        <v>0.64</v>
      </c>
      <c r="E29760" t="s">
        <v>30</v>
      </c>
    </row>
    <row r="29761" spans="1:5" x14ac:dyDescent="0.25">
      <c r="A29761" t="str">
        <f>HYPERLINK("https://www.773grp.com/globalSearch/NCP301LSN32T1G/page-1", "NCP301LSN32T1G")</f>
        <v>NCP301LSN32T1G</v>
      </c>
      <c r="B29761" s="3" t="str">
        <f>HYPERLINK("https://www.773grp.com/manufacturer/onsemi?pageNo=607", "ON Semiconductor")</f>
        <v>ON Semiconductor</v>
      </c>
      <c r="C29761" s="6">
        <v>3000</v>
      </c>
      <c r="D29761" s="7">
        <v>0.64</v>
      </c>
      <c r="E29761" t="s">
        <v>30</v>
      </c>
    </row>
    <row r="29762" spans="1:5" x14ac:dyDescent="0.25">
      <c r="A29762" t="str">
        <f>HYPERLINK("https://www.773grp.com/globalSearch/NCP301LSN33T1G/page-1", "NCP301LSN33T1G")</f>
        <v>NCP301LSN33T1G</v>
      </c>
      <c r="B29762" s="3" t="str">
        <f>HYPERLINK("https://www.773grp.com/manufacturer/onsemi?pageNo=608", "ON Semiconductor")</f>
        <v>ON Semiconductor</v>
      </c>
      <c r="C29762" s="6">
        <v>6745</v>
      </c>
      <c r="D29762" s="7">
        <v>0.64</v>
      </c>
      <c r="E29762" t="s">
        <v>30</v>
      </c>
    </row>
    <row r="29763" spans="1:5" x14ac:dyDescent="0.25">
      <c r="A29763" t="str">
        <f>HYPERLINK("https://www.773grp.com/globalSearch/NCP301LSN34T1G/page-1", "NCP301LSN34T1G")</f>
        <v>NCP301LSN34T1G</v>
      </c>
      <c r="B29763" s="3" t="str">
        <f>HYPERLINK("https://www.773grp.com/manufacturer/onsemi?pageNo=609", "ON Semiconductor")</f>
        <v>ON Semiconductor</v>
      </c>
      <c r="C29763" s="6">
        <v>17900</v>
      </c>
      <c r="D29763" s="7">
        <v>0.64</v>
      </c>
      <c r="E29763" t="s">
        <v>30</v>
      </c>
    </row>
    <row r="29764" spans="1:5" x14ac:dyDescent="0.25">
      <c r="A29764" t="str">
        <f>HYPERLINK("https://www.773grp.com/globalSearch/NCP301LSN36T1G/page-1", "NCP301LSN36T1G")</f>
        <v>NCP301LSN36T1G</v>
      </c>
      <c r="B29764" s="3" t="str">
        <f>HYPERLINK("https://www.773grp.com/manufacturer/onsemi?pageNo=610", "ON Semiconductor")</f>
        <v>ON Semiconductor</v>
      </c>
      <c r="C29764" s="6">
        <v>99000</v>
      </c>
      <c r="D29764" s="7">
        <v>0.64</v>
      </c>
    </row>
    <row r="29765" spans="1:5" x14ac:dyDescent="0.25">
      <c r="A29765" t="str">
        <f>HYPERLINK("https://www.773grp.com/globalSearch/NCP301LSN39T1G/page-1", "NCP301LSN39T1G")</f>
        <v>NCP301LSN39T1G</v>
      </c>
      <c r="B29765" s="3" t="str">
        <f>HYPERLINK("https://www.773grp.com/manufacturer/onsemi?pageNo=611", "ON Semiconductor")</f>
        <v>ON Semiconductor</v>
      </c>
      <c r="C29765" s="6">
        <v>25730</v>
      </c>
      <c r="D29765" s="7">
        <v>0.64</v>
      </c>
      <c r="E29765" t="s">
        <v>30</v>
      </c>
    </row>
    <row r="29766" spans="1:5" x14ac:dyDescent="0.25">
      <c r="A29766" t="str">
        <f>HYPERLINK("https://www.773grp.com/globalSearch/NCP301LSN42T1G/page-1", "NCP301LSN42T1G")</f>
        <v>NCP301LSN42T1G</v>
      </c>
      <c r="B29766" s="3" t="str">
        <f>HYPERLINK("https://www.773grp.com/manufacturer/onsemi?pageNo=612", "ON Semiconductor")</f>
        <v>ON Semiconductor</v>
      </c>
      <c r="C29766" s="6">
        <v>39000</v>
      </c>
      <c r="D29766" s="7">
        <v>0.64</v>
      </c>
      <c r="E29766" t="s">
        <v>30</v>
      </c>
    </row>
    <row r="29767" spans="1:5" x14ac:dyDescent="0.25">
      <c r="A29767" t="str">
        <f>HYPERLINK("https://www.773grp.com/globalSearch/NCP301LSN46T1G/page-1", "NCP301LSN46T1G")</f>
        <v>NCP301LSN46T1G</v>
      </c>
      <c r="B29767" s="3" t="str">
        <f>HYPERLINK("https://www.773grp.com/manufacturer/onsemi?pageNo=613", "ON Semiconductor")</f>
        <v>ON Semiconductor</v>
      </c>
      <c r="C29767" s="6">
        <v>6910</v>
      </c>
      <c r="D29767" s="7">
        <v>0.64</v>
      </c>
    </row>
    <row r="29768" spans="1:5" x14ac:dyDescent="0.25">
      <c r="A29768" t="str">
        <f>HYPERLINK("https://www.773grp.com/globalSearch/NCP301LSN47T1G/page-1", "NCP301LSN47T1G")</f>
        <v>NCP301LSN47T1G</v>
      </c>
      <c r="B29768" s="3" t="str">
        <f>HYPERLINK("https://www.773grp.com/manufacturer/onsemi?pageNo=614", "ON Semiconductor")</f>
        <v>ON Semiconductor</v>
      </c>
      <c r="C29768" s="6">
        <v>6000</v>
      </c>
      <c r="D29768" s="7">
        <v>0.64</v>
      </c>
    </row>
    <row r="29769" spans="1:5" x14ac:dyDescent="0.25">
      <c r="A29769" t="str">
        <f>HYPERLINK("https://www.773grp.com/globalSearch/NCP302HSN09T1G/page-1", "NCP302HSN09T1G")</f>
        <v>NCP302HSN09T1G</v>
      </c>
      <c r="B29769" s="3" t="str">
        <f>HYPERLINK("https://www.773grp.com/manufacturer/onsemi?pageNo=615", "ON Semiconductor")</f>
        <v>ON Semiconductor</v>
      </c>
      <c r="C29769" s="6">
        <v>38990</v>
      </c>
      <c r="D29769" s="7">
        <v>0.64</v>
      </c>
      <c r="E29769" t="s">
        <v>30</v>
      </c>
    </row>
    <row r="29770" spans="1:5" x14ac:dyDescent="0.25">
      <c r="A29770" t="str">
        <f>HYPERLINK("https://www.773grp.com/globalSearch/NCP302HSN18T1G/page-1", "NCP302HSN18T1G")</f>
        <v>NCP302HSN18T1G</v>
      </c>
      <c r="B29770" s="3" t="str">
        <f>HYPERLINK("https://www.773grp.com/manufacturer/onsemi?pageNo=616", "ON Semiconductor")</f>
        <v>ON Semiconductor</v>
      </c>
      <c r="C29770" s="6">
        <v>32950</v>
      </c>
      <c r="D29770" s="7">
        <v>0.64</v>
      </c>
      <c r="E29770" t="s">
        <v>30</v>
      </c>
    </row>
    <row r="29771" spans="1:5" x14ac:dyDescent="0.25">
      <c r="A29771" t="str">
        <f>HYPERLINK("https://www.773grp.com/globalSearch/NCP302HSN40T1G/page-1", "NCP302HSN40T1G")</f>
        <v>NCP302HSN40T1G</v>
      </c>
      <c r="B29771" s="3" t="str">
        <f>HYPERLINK("https://www.773grp.com/manufacturer/onsemi?pageNo=617", "ON Semiconductor")</f>
        <v>ON Semiconductor</v>
      </c>
      <c r="C29771" s="6">
        <v>5919</v>
      </c>
      <c r="D29771" s="7">
        <v>0.64</v>
      </c>
      <c r="E29771" t="s">
        <v>30</v>
      </c>
    </row>
    <row r="29772" spans="1:5" x14ac:dyDescent="0.25">
      <c r="A29772" t="str">
        <f>HYPERLINK("https://www.773grp.com/globalSearch/NCP302HSN45T1G/page-1", "NCP302HSN45T1G")</f>
        <v>NCP302HSN45T1G</v>
      </c>
      <c r="B29772" s="3" t="str">
        <f>HYPERLINK("https://www.773grp.com/manufacturer/onsemi?pageNo=618", "ON Semiconductor")</f>
        <v>ON Semiconductor</v>
      </c>
      <c r="C29772" s="6">
        <v>182024</v>
      </c>
      <c r="D29772" s="7">
        <v>0.64</v>
      </c>
      <c r="E29772" t="s">
        <v>30</v>
      </c>
    </row>
    <row r="29773" spans="1:5" x14ac:dyDescent="0.25">
      <c r="A29773" t="str">
        <f>HYPERLINK("https://www.773grp.com/globalSearch/NCP302LSN09T1G/page-1", "NCP302LSN09T1G")</f>
        <v>NCP302LSN09T1G</v>
      </c>
      <c r="B29773" s="3" t="str">
        <f>HYPERLINK("https://www.773grp.com/manufacturer/onsemi?pageNo=619", "ON Semiconductor")</f>
        <v>ON Semiconductor</v>
      </c>
      <c r="C29773" s="6">
        <v>50888</v>
      </c>
      <c r="D29773" s="7">
        <v>0.64</v>
      </c>
      <c r="E29773" t="s">
        <v>30</v>
      </c>
    </row>
    <row r="29774" spans="1:5" x14ac:dyDescent="0.25">
      <c r="A29774" t="str">
        <f>HYPERLINK("https://www.773grp.com/globalSearch/NCP302LSN15T1G/page-1", "NCP302LSN15T1G")</f>
        <v>NCP302LSN15T1G</v>
      </c>
      <c r="B29774" s="3" t="str">
        <f>HYPERLINK("https://www.773grp.com/manufacturer/onsemi?pageNo=620", "ON Semiconductor")</f>
        <v>ON Semiconductor</v>
      </c>
      <c r="C29774" s="6">
        <v>15000</v>
      </c>
      <c r="D29774" s="7">
        <v>0.64</v>
      </c>
      <c r="E29774" t="s">
        <v>30</v>
      </c>
    </row>
    <row r="29775" spans="1:5" x14ac:dyDescent="0.25">
      <c r="A29775" t="str">
        <f>HYPERLINK("https://www.773grp.com/globalSearch/NCP302LSN18T1G/page-1", "NCP302LSN18T1G")</f>
        <v>NCP302LSN18T1G</v>
      </c>
      <c r="B29775" s="3" t="str">
        <f>HYPERLINK("https://www.773grp.com/manufacturer/onsemi?pageNo=621", "ON Semiconductor")</f>
        <v>ON Semiconductor</v>
      </c>
      <c r="C29775" s="6">
        <v>78000</v>
      </c>
      <c r="D29775" s="7">
        <v>0.64</v>
      </c>
      <c r="E29775" t="s">
        <v>30</v>
      </c>
    </row>
    <row r="29776" spans="1:5" x14ac:dyDescent="0.25">
      <c r="A29776" t="str">
        <f>HYPERLINK("https://www.773grp.com/globalSearch/NCP302LSN38T1G/page-1", "NCP302LSN38T1G")</f>
        <v>NCP302LSN38T1G</v>
      </c>
      <c r="B29776" s="3" t="str">
        <f>HYPERLINK("https://www.773grp.com/manufacturer/onsemi?pageNo=622", "ON Semiconductor")</f>
        <v>ON Semiconductor</v>
      </c>
      <c r="C29776" s="6">
        <v>19165</v>
      </c>
      <c r="D29776" s="7">
        <v>0.64</v>
      </c>
      <c r="E29776" t="s">
        <v>30</v>
      </c>
    </row>
    <row r="29777" spans="1:5" x14ac:dyDescent="0.25">
      <c r="A29777" t="str">
        <f>HYPERLINK("https://www.773grp.com/globalSearch/NCP302LSN40T1G/page-1", "NCP302LSN40T1G")</f>
        <v>NCP302LSN40T1G</v>
      </c>
      <c r="B29777" s="3" t="str">
        <f>HYPERLINK("https://www.773grp.com/manufacturer/onsemi?pageNo=623", "ON Semiconductor")</f>
        <v>ON Semiconductor</v>
      </c>
      <c r="C29777" s="6">
        <v>5544</v>
      </c>
      <c r="D29777" s="7">
        <v>0.64</v>
      </c>
      <c r="E29777" t="s">
        <v>30</v>
      </c>
    </row>
    <row r="29778" spans="1:5" x14ac:dyDescent="0.25">
      <c r="A29778" t="str">
        <f>HYPERLINK("https://www.773grp.com/globalSearch/NCP302LSN43T1G/page-1", "NCP302LSN43T1G")</f>
        <v>NCP302LSN43T1G</v>
      </c>
      <c r="B29778" s="3" t="str">
        <f>HYPERLINK("https://www.773grp.com/manufacturer/onsemi?pageNo=624", "ON Semiconductor")</f>
        <v>ON Semiconductor</v>
      </c>
      <c r="C29778" s="6">
        <v>77231</v>
      </c>
      <c r="D29778" s="7">
        <v>0.64</v>
      </c>
      <c r="E29778" t="s">
        <v>30</v>
      </c>
    </row>
    <row r="29779" spans="1:5" x14ac:dyDescent="0.25">
      <c r="A29779" t="str">
        <f>HYPERLINK("https://www.773grp.com/globalSearch/NCP302LSN47T1G/page-1", "NCP302LSN47T1G")</f>
        <v>NCP302LSN47T1G</v>
      </c>
      <c r="B29779" s="3" t="str">
        <f>HYPERLINK("https://www.773grp.com/manufacturer/onsemi?pageNo=625", "ON Semiconductor")</f>
        <v>ON Semiconductor</v>
      </c>
      <c r="C29779" s="6">
        <v>21009</v>
      </c>
      <c r="D29779" s="7">
        <v>0.64</v>
      </c>
      <c r="E29779" t="s">
        <v>30</v>
      </c>
    </row>
    <row r="29780" spans="1:5" x14ac:dyDescent="0.25">
      <c r="A29780" t="str">
        <f>HYPERLINK("https://www.773grp.com/globalSearch/NCP303LSN10T1G/page-1", "NCP303LSN10T1G")</f>
        <v>NCP303LSN10T1G</v>
      </c>
      <c r="B29780" s="3" t="str">
        <f>HYPERLINK("https://www.773grp.com/manufacturer/onsemi?pageNo=626", "ON Semiconductor")</f>
        <v>ON Semiconductor</v>
      </c>
      <c r="C29780" s="6">
        <v>57000</v>
      </c>
      <c r="D29780" s="7">
        <v>0.64</v>
      </c>
      <c r="E29780" t="s">
        <v>30</v>
      </c>
    </row>
    <row r="29781" spans="1:5" x14ac:dyDescent="0.25">
      <c r="A29781" t="str">
        <f>HYPERLINK("https://www.773grp.com/globalSearch/NCP303LSN11T1G/page-1", "NCP303LSN11T1G")</f>
        <v>NCP303LSN11T1G</v>
      </c>
      <c r="B29781" s="3" t="str">
        <f>HYPERLINK("https://www.773grp.com/manufacturer/onsemi?pageNo=627", "ON Semiconductor")</f>
        <v>ON Semiconductor</v>
      </c>
      <c r="C29781" s="6">
        <v>35736</v>
      </c>
      <c r="D29781" s="7">
        <v>0.64</v>
      </c>
      <c r="E29781" t="s">
        <v>30</v>
      </c>
    </row>
    <row r="29782" spans="1:5" x14ac:dyDescent="0.25">
      <c r="A29782" t="str">
        <f>HYPERLINK("https://www.773grp.com/globalSearch/NCP303LSN13T1G/page-1", "NCP303LSN13T1G")</f>
        <v>NCP303LSN13T1G</v>
      </c>
      <c r="B29782" s="3" t="str">
        <f>HYPERLINK("https://www.773grp.com/manufacturer/onsemi?pageNo=628", "ON Semiconductor")</f>
        <v>ON Semiconductor</v>
      </c>
      <c r="C29782" s="6">
        <v>2642</v>
      </c>
      <c r="D29782" s="7">
        <v>0.64</v>
      </c>
      <c r="E29782" t="s">
        <v>30</v>
      </c>
    </row>
    <row r="29783" spans="1:5" x14ac:dyDescent="0.25">
      <c r="A29783" t="str">
        <f>HYPERLINK("https://www.773grp.com/globalSearch/NCP303LSN14T1G/page-1", "NCP303LSN14T1G")</f>
        <v>NCP303LSN14T1G</v>
      </c>
      <c r="B29783" s="3" t="str">
        <f>HYPERLINK("https://www.773grp.com/manufacturer/onsemi?pageNo=629", "ON Semiconductor")</f>
        <v>ON Semiconductor</v>
      </c>
      <c r="C29783" s="6">
        <v>24354</v>
      </c>
      <c r="D29783" s="7">
        <v>0.64</v>
      </c>
      <c r="E29783" t="s">
        <v>30</v>
      </c>
    </row>
    <row r="29784" spans="1:5" x14ac:dyDescent="0.25">
      <c r="A29784" t="str">
        <f>HYPERLINK("https://www.773grp.com/globalSearch/NCP303LSN15T1G/page-1", "NCP303LSN15T1G")</f>
        <v>NCP303LSN15T1G</v>
      </c>
      <c r="B29784" s="3" t="str">
        <f>HYPERLINK("https://www.773grp.com/manufacturer/onsemi?pageNo=630", "ON Semiconductor")</f>
        <v>ON Semiconductor</v>
      </c>
      <c r="C29784" s="6">
        <v>8185</v>
      </c>
      <c r="D29784" s="7">
        <v>0.64</v>
      </c>
      <c r="E29784" t="s">
        <v>30</v>
      </c>
    </row>
    <row r="29785" spans="1:5" x14ac:dyDescent="0.25">
      <c r="A29785" t="str">
        <f>HYPERLINK("https://www.773grp.com/globalSearch/NCP303LSN16T1G/page-1", "NCP303LSN16T1G")</f>
        <v>NCP303LSN16T1G</v>
      </c>
      <c r="B29785" s="3" t="str">
        <f>HYPERLINK("https://www.773grp.com/manufacturer/onsemi?pageNo=631", "ON Semiconductor")</f>
        <v>ON Semiconductor</v>
      </c>
      <c r="C29785" s="6">
        <v>214836</v>
      </c>
      <c r="D29785" s="7">
        <v>0.64</v>
      </c>
      <c r="E29785" t="s">
        <v>30</v>
      </c>
    </row>
    <row r="29786" spans="1:5" x14ac:dyDescent="0.25">
      <c r="A29786" t="str">
        <f>HYPERLINK("https://www.773grp.com/globalSearch/NCP303LSN17T1G/page-1", "NCP303LSN17T1G")</f>
        <v>NCP303LSN17T1G</v>
      </c>
      <c r="B29786" s="3" t="str">
        <f>HYPERLINK("https://www.773grp.com/manufacturer/onsemi?pageNo=632", "ON Semiconductor")</f>
        <v>ON Semiconductor</v>
      </c>
      <c r="C29786" s="6">
        <v>10500</v>
      </c>
      <c r="D29786" s="7">
        <v>0.64</v>
      </c>
      <c r="E29786" t="s">
        <v>30</v>
      </c>
    </row>
    <row r="29787" spans="1:5" x14ac:dyDescent="0.25">
      <c r="A29787" t="str">
        <f>HYPERLINK("https://www.773grp.com/globalSearch/NCP303LSN18T1G/page-1", "NCP303LSN18T1G")</f>
        <v>NCP303LSN18T1G</v>
      </c>
      <c r="B29787" s="3" t="str">
        <f>HYPERLINK("https://www.773grp.com/manufacturer/onsemi?pageNo=633", "ON Semiconductor")</f>
        <v>ON Semiconductor</v>
      </c>
      <c r="C29787" s="6">
        <v>6000</v>
      </c>
      <c r="D29787" s="7">
        <v>0.64</v>
      </c>
      <c r="E29787" t="s">
        <v>30</v>
      </c>
    </row>
    <row r="29788" spans="1:5" x14ac:dyDescent="0.25">
      <c r="A29788" t="str">
        <f>HYPERLINK("https://www.773grp.com/globalSearch/NCP303LSN23T1G/page-1", "NCP303LSN23T1G")</f>
        <v>NCP303LSN23T1G</v>
      </c>
      <c r="B29788" s="3" t="str">
        <f>HYPERLINK("https://www.773grp.com/manufacturer/onsemi?pageNo=634", "ON Semiconductor")</f>
        <v>ON Semiconductor</v>
      </c>
      <c r="C29788" s="6">
        <v>20005</v>
      </c>
      <c r="D29788" s="7">
        <v>0.64</v>
      </c>
      <c r="E29788" t="s">
        <v>30</v>
      </c>
    </row>
    <row r="29789" spans="1:5" x14ac:dyDescent="0.25">
      <c r="A29789" t="str">
        <f>HYPERLINK("https://www.773grp.com/globalSearch/NCP303LSN24T1G/page-1", "NCP303LSN24T1G")</f>
        <v>NCP303LSN24T1G</v>
      </c>
      <c r="B29789" s="3" t="str">
        <f>HYPERLINK("https://www.773grp.com/manufacturer/onsemi?pageNo=635", "ON Semiconductor")</f>
        <v>ON Semiconductor</v>
      </c>
      <c r="C29789" s="6">
        <v>51000</v>
      </c>
      <c r="D29789" s="7">
        <v>0.64</v>
      </c>
    </row>
    <row r="29790" spans="1:5" x14ac:dyDescent="0.25">
      <c r="A29790" t="str">
        <f>HYPERLINK("https://www.773grp.com/globalSearch/NCP303LSN25T1G/page-1", "NCP303LSN25T1G")</f>
        <v>NCP303LSN25T1G</v>
      </c>
      <c r="B29790" s="3" t="str">
        <f>HYPERLINK("https://www.773grp.com/manufacturer/onsemi?pageNo=636", "ON Semiconductor")</f>
        <v>ON Semiconductor</v>
      </c>
      <c r="C29790" s="6">
        <v>18000</v>
      </c>
      <c r="D29790" s="7">
        <v>0.64</v>
      </c>
      <c r="E29790" t="s">
        <v>30</v>
      </c>
    </row>
    <row r="29791" spans="1:5" x14ac:dyDescent="0.25">
      <c r="A29791" t="str">
        <f>HYPERLINK("https://www.773grp.com/globalSearch/NCP303LSN26T1G/page-1", "NCP303LSN26T1G")</f>
        <v>NCP303LSN26T1G</v>
      </c>
      <c r="B29791" s="3" t="str">
        <f>HYPERLINK("https://www.773grp.com/manufacturer/onsemi?pageNo=637", "ON Semiconductor")</f>
        <v>ON Semiconductor</v>
      </c>
      <c r="C29791" s="6">
        <v>3000</v>
      </c>
      <c r="D29791" s="7">
        <v>0.64</v>
      </c>
      <c r="E29791" t="s">
        <v>30</v>
      </c>
    </row>
    <row r="29792" spans="1:5" x14ac:dyDescent="0.25">
      <c r="A29792" t="str">
        <f>HYPERLINK("https://www.773grp.com/globalSearch/NCP303LSN31T1G/page-1", "NCP303LSN31T1G")</f>
        <v>NCP303LSN31T1G</v>
      </c>
      <c r="B29792" s="3" t="str">
        <f>HYPERLINK("https://www.773grp.com/manufacturer/onsemi?pageNo=638", "ON Semiconductor")</f>
        <v>ON Semiconductor</v>
      </c>
      <c r="C29792" s="6">
        <v>13700</v>
      </c>
      <c r="D29792" s="7">
        <v>0.64</v>
      </c>
      <c r="E29792" t="s">
        <v>30</v>
      </c>
    </row>
    <row r="29793" spans="1:5" x14ac:dyDescent="0.25">
      <c r="A29793" t="str">
        <f>HYPERLINK("https://www.773grp.com/globalSearch/NCP303LSN32T1G/page-1", "NCP303LSN32T1G")</f>
        <v>NCP303LSN32T1G</v>
      </c>
      <c r="B29793" s="3" t="str">
        <f>HYPERLINK("https://www.773grp.com/manufacturer/onsemi?pageNo=639", "ON Semiconductor")</f>
        <v>ON Semiconductor</v>
      </c>
      <c r="C29793" s="6">
        <v>5949</v>
      </c>
      <c r="D29793" s="7">
        <v>0.64</v>
      </c>
      <c r="E29793" t="s">
        <v>30</v>
      </c>
    </row>
    <row r="29794" spans="1:5" x14ac:dyDescent="0.25">
      <c r="A29794" t="str">
        <f>HYPERLINK("https://www.773grp.com/globalSearch/NCP303LSN33T1G/page-1", "NCP303LSN33T1G")</f>
        <v>NCP303LSN33T1G</v>
      </c>
      <c r="B29794" s="3" t="str">
        <f>HYPERLINK("https://www.773grp.com/manufacturer/onsemi?pageNo=640", "ON Semiconductor")</f>
        <v>ON Semiconductor</v>
      </c>
      <c r="C29794" s="6">
        <v>299935</v>
      </c>
      <c r="D29794" s="7">
        <v>0.64</v>
      </c>
      <c r="E29794" t="s">
        <v>30</v>
      </c>
    </row>
    <row r="29795" spans="1:5" x14ac:dyDescent="0.25">
      <c r="A29795" t="str">
        <f>HYPERLINK("https://www.773grp.com/globalSearch/NCP303LSN38T1G/page-1", "NCP303LSN38T1G")</f>
        <v>NCP303LSN38T1G</v>
      </c>
      <c r="B29795" s="3" t="str">
        <f>HYPERLINK("https://www.773grp.com/manufacturer/onsemi?pageNo=641", "ON Semiconductor")</f>
        <v>ON Semiconductor</v>
      </c>
      <c r="C29795" s="6">
        <v>33000</v>
      </c>
      <c r="D29795" s="7">
        <v>0.64</v>
      </c>
      <c r="E29795" t="s">
        <v>30</v>
      </c>
    </row>
    <row r="29796" spans="1:5" x14ac:dyDescent="0.25">
      <c r="A29796" t="str">
        <f>HYPERLINK("https://www.773grp.com/globalSearch/NCP303LSN40T1G/page-1", "NCP303LSN40T1G")</f>
        <v>NCP303LSN40T1G</v>
      </c>
      <c r="B29796" s="3" t="str">
        <f>HYPERLINK("https://www.773grp.com/manufacturer/onsemi?pageNo=642", "ON Semiconductor")</f>
        <v>ON Semiconductor</v>
      </c>
      <c r="C29796" s="6">
        <v>68900</v>
      </c>
      <c r="D29796" s="7">
        <v>0.64</v>
      </c>
      <c r="E29796" t="s">
        <v>30</v>
      </c>
    </row>
    <row r="29797" spans="1:5" x14ac:dyDescent="0.25">
      <c r="A29797" t="str">
        <f>HYPERLINK("https://www.773grp.com/globalSearch/NCP303LSN42T1G/page-1", "NCP303LSN42T1G")</f>
        <v>NCP303LSN42T1G</v>
      </c>
      <c r="B29797" s="3" t="str">
        <f>HYPERLINK("https://www.773grp.com/manufacturer/onsemi?pageNo=643", "ON Semiconductor")</f>
        <v>ON Semiconductor</v>
      </c>
      <c r="C29797" s="6">
        <v>2415</v>
      </c>
      <c r="D29797" s="7">
        <v>0.64</v>
      </c>
      <c r="E29797" t="s">
        <v>30</v>
      </c>
    </row>
    <row r="29798" spans="1:5" x14ac:dyDescent="0.25">
      <c r="A29798" t="str">
        <f>HYPERLINK("https://www.773grp.com/globalSearch/NCP303LSN46T1G/page-1", "NCP303LSN46T1G")</f>
        <v>NCP303LSN46T1G</v>
      </c>
      <c r="B29798" s="3" t="str">
        <f>HYPERLINK("https://www.773grp.com/manufacturer/onsemi?pageNo=644", "ON Semiconductor")</f>
        <v>ON Semiconductor</v>
      </c>
      <c r="C29798" s="6">
        <v>11355</v>
      </c>
      <c r="D29798" s="7">
        <v>0.64</v>
      </c>
      <c r="E29798" t="s">
        <v>30</v>
      </c>
    </row>
    <row r="29799" spans="1:5" x14ac:dyDescent="0.25">
      <c r="A29799" t="str">
        <f>HYPERLINK("https://www.773grp.com/globalSearch/NCP303LSN47T1G/page-1", "NCP303LSN47T1G")</f>
        <v>NCP303LSN47T1G</v>
      </c>
      <c r="B29799" s="3" t="str">
        <f>HYPERLINK("https://www.773grp.com/manufacturer/onsemi?pageNo=645", "ON Semiconductor")</f>
        <v>ON Semiconductor</v>
      </c>
      <c r="C29799" s="6">
        <v>43776</v>
      </c>
      <c r="D29799" s="7">
        <v>0.64</v>
      </c>
      <c r="E29799" t="s">
        <v>30</v>
      </c>
    </row>
    <row r="29800" spans="1:5" x14ac:dyDescent="0.25">
      <c r="A29800" t="str">
        <f>HYPERLINK("https://www.773grp.com/globalSearch/NCP303LSN49T1G/page-1", "NCP303LSN49T1G")</f>
        <v>NCP303LSN49T1G</v>
      </c>
      <c r="B29800" s="3" t="str">
        <f>HYPERLINK("https://www.773grp.com/manufacturer/onsemi?pageNo=646", "ON Semiconductor")</f>
        <v>ON Semiconductor</v>
      </c>
      <c r="C29800" s="6">
        <v>14755</v>
      </c>
      <c r="D29800" s="7">
        <v>0.64</v>
      </c>
      <c r="E29800" t="s">
        <v>30</v>
      </c>
    </row>
    <row r="29801" spans="1:5" x14ac:dyDescent="0.25">
      <c r="A29801" t="str">
        <f>HYPERLINK("https://www.773grp.com/globalSearch/NCP304HSQ09T1G/page-1", "NCP304HSQ09T1G")</f>
        <v>NCP304HSQ09T1G</v>
      </c>
      <c r="B29801" s="3" t="str">
        <f>HYPERLINK("https://www.773grp.com/manufacturer/onsemi?pageNo=647", "ON Semiconductor")</f>
        <v>ON Semiconductor</v>
      </c>
      <c r="C29801" s="6">
        <v>38890</v>
      </c>
      <c r="D29801" s="7">
        <v>0.64</v>
      </c>
      <c r="E29801" t="s">
        <v>30</v>
      </c>
    </row>
    <row r="29802" spans="1:5" x14ac:dyDescent="0.25">
      <c r="A29802" t="str">
        <f>HYPERLINK("https://www.773grp.com/globalSearch/NCP304HSQ18T1G/page-1", "NCP304HSQ18T1G")</f>
        <v>NCP304HSQ18T1G</v>
      </c>
      <c r="B29802" s="3" t="str">
        <f>HYPERLINK("https://www.773grp.com/manufacturer/onsemi?pageNo=648", "ON Semiconductor")</f>
        <v>ON Semiconductor</v>
      </c>
      <c r="C29802" s="6">
        <v>41681</v>
      </c>
      <c r="D29802" s="7">
        <v>0.64</v>
      </c>
      <c r="E29802" t="s">
        <v>30</v>
      </c>
    </row>
    <row r="29803" spans="1:5" x14ac:dyDescent="0.25">
      <c r="A29803" t="str">
        <f>HYPERLINK("https://www.773grp.com/globalSearch/NCP304HSQ20T1G/page-1", "NCP304HSQ20T1G")</f>
        <v>NCP304HSQ20T1G</v>
      </c>
      <c r="B29803" s="3" t="str">
        <f>HYPERLINK("https://www.773grp.com/manufacturer/onsemi?pageNo=649", "ON Semiconductor")</f>
        <v>ON Semiconductor</v>
      </c>
      <c r="C29803" s="6">
        <v>29940</v>
      </c>
      <c r="D29803" s="7">
        <v>0.64</v>
      </c>
      <c r="E29803" t="s">
        <v>30</v>
      </c>
    </row>
    <row r="29804" spans="1:5" x14ac:dyDescent="0.25">
      <c r="A29804" t="str">
        <f>HYPERLINK("https://www.773grp.com/globalSearch/NCP304HSQ22T1G/page-1", "NCP304HSQ22T1G")</f>
        <v>NCP304HSQ22T1G</v>
      </c>
      <c r="B29804" s="3" t="str">
        <f>HYPERLINK("https://www.773grp.com/manufacturer/onsemi?pageNo=650", "ON Semiconductor")</f>
        <v>ON Semiconductor</v>
      </c>
      <c r="C29804" s="6">
        <v>35840</v>
      </c>
      <c r="D29804" s="7">
        <v>0.64</v>
      </c>
      <c r="E29804" t="s">
        <v>30</v>
      </c>
    </row>
    <row r="29805" spans="1:5" x14ac:dyDescent="0.25">
      <c r="A29805" t="str">
        <f>HYPERLINK("https://www.773grp.com/globalSearch/NCP304HSQ29T1G/page-1", "NCP304HSQ29T1G")</f>
        <v>NCP304HSQ29T1G</v>
      </c>
      <c r="B29805" s="3" t="str">
        <f>HYPERLINK("https://www.773grp.com/manufacturer/onsemi?pageNo=651", "ON Semiconductor")</f>
        <v>ON Semiconductor</v>
      </c>
      <c r="C29805" s="6">
        <v>14946</v>
      </c>
      <c r="D29805" s="7">
        <v>0.64</v>
      </c>
      <c r="E29805" t="s">
        <v>30</v>
      </c>
    </row>
    <row r="29806" spans="1:5" x14ac:dyDescent="0.25">
      <c r="A29806" t="str">
        <f>HYPERLINK("https://www.773grp.com/globalSearch/NCP304HSQ30T1G/page-1", "NCP304HSQ30T1G")</f>
        <v>NCP304HSQ30T1G</v>
      </c>
      <c r="B29806" s="3" t="str">
        <f>HYPERLINK("https://www.773grp.com/manufacturer/onsemi?pageNo=652", "ON Semiconductor")</f>
        <v>ON Semiconductor</v>
      </c>
      <c r="C29806" s="6">
        <v>6357</v>
      </c>
      <c r="D29806" s="7">
        <v>0.64</v>
      </c>
      <c r="E29806" t="s">
        <v>30</v>
      </c>
    </row>
    <row r="29807" spans="1:5" x14ac:dyDescent="0.25">
      <c r="A29807" t="str">
        <f>HYPERLINK("https://www.773grp.com/globalSearch/NCP304HSQ47T1G/page-1", "NCP304HSQ47T1G")</f>
        <v>NCP304HSQ47T1G</v>
      </c>
      <c r="B29807" s="3" t="str">
        <f>HYPERLINK("https://www.773grp.com/manufacturer/onsemi?pageNo=653", "ON Semiconductor")</f>
        <v>ON Semiconductor</v>
      </c>
      <c r="C29807" s="6">
        <v>89210</v>
      </c>
      <c r="D29807" s="7">
        <v>0.64</v>
      </c>
      <c r="E29807" t="s">
        <v>30</v>
      </c>
    </row>
    <row r="29808" spans="1:5" x14ac:dyDescent="0.25">
      <c r="A29808" t="str">
        <f>HYPERLINK("https://www.773grp.com/globalSearch/NCP304LSQ09T1G/page-1", "NCP304LSQ09T1G")</f>
        <v>NCP304LSQ09T1G</v>
      </c>
      <c r="B29808" s="3" t="str">
        <f>HYPERLINK("https://www.773grp.com/manufacturer/onsemi?pageNo=654", "ON Semiconductor")</f>
        <v>ON Semiconductor</v>
      </c>
      <c r="C29808" s="6">
        <v>35908</v>
      </c>
      <c r="D29808" s="7">
        <v>0.64</v>
      </c>
      <c r="E29808" t="s">
        <v>30</v>
      </c>
    </row>
    <row r="29809" spans="1:5" x14ac:dyDescent="0.25">
      <c r="A29809" t="str">
        <f>HYPERLINK("https://www.773grp.com/globalSearch/NCP304LSQ20T1G/page-1", "NCP304LSQ20T1G")</f>
        <v>NCP304LSQ20T1G</v>
      </c>
      <c r="B29809" s="3" t="str">
        <f>HYPERLINK("https://www.773grp.com/manufacturer/onsemi?pageNo=655", "ON Semiconductor")</f>
        <v>ON Semiconductor</v>
      </c>
      <c r="C29809" s="6">
        <v>20515</v>
      </c>
      <c r="D29809" s="7">
        <v>0.64</v>
      </c>
      <c r="E29809" t="s">
        <v>30</v>
      </c>
    </row>
    <row r="29810" spans="1:5" x14ac:dyDescent="0.25">
      <c r="A29810" t="str">
        <f>HYPERLINK("https://www.773grp.com/globalSearch/NCP304LSQ23T1G/page-1", "NCP304LSQ23T1G")</f>
        <v>NCP304LSQ23T1G</v>
      </c>
      <c r="B29810" s="3" t="str">
        <f>HYPERLINK("https://www.773grp.com/manufacturer/onsemi?pageNo=656", "ON Semiconductor")</f>
        <v>ON Semiconductor</v>
      </c>
      <c r="C29810" s="6">
        <v>32129</v>
      </c>
      <c r="D29810" s="7">
        <v>0.64</v>
      </c>
      <c r="E29810" t="s">
        <v>30</v>
      </c>
    </row>
    <row r="29811" spans="1:5" x14ac:dyDescent="0.25">
      <c r="A29811" t="str">
        <f>HYPERLINK("https://www.773grp.com/globalSearch/NCP304LSQ25T1G/page-1", "NCP304LSQ25T1G")</f>
        <v>NCP304LSQ25T1G</v>
      </c>
      <c r="B29811" s="3" t="str">
        <f>HYPERLINK("https://www.773grp.com/manufacturer/onsemi?pageNo=657", "ON Semiconductor")</f>
        <v>ON Semiconductor</v>
      </c>
      <c r="C29811" s="6">
        <v>29775</v>
      </c>
      <c r="D29811" s="7">
        <v>0.64</v>
      </c>
      <c r="E29811" t="s">
        <v>30</v>
      </c>
    </row>
    <row r="29812" spans="1:5" x14ac:dyDescent="0.25">
      <c r="A29812" t="str">
        <f>HYPERLINK("https://www.773grp.com/globalSearch/NCP304LSQ27T1G/page-1", "NCP304LSQ27T1G")</f>
        <v>NCP304LSQ27T1G</v>
      </c>
      <c r="B29812" s="3" t="str">
        <f>HYPERLINK("https://www.773grp.com/manufacturer/onsemi?pageNo=658", "ON Semiconductor")</f>
        <v>ON Semiconductor</v>
      </c>
      <c r="C29812" s="6">
        <v>17932</v>
      </c>
      <c r="D29812" s="7">
        <v>0.64</v>
      </c>
      <c r="E29812" t="s">
        <v>30</v>
      </c>
    </row>
    <row r="29813" spans="1:5" x14ac:dyDescent="0.25">
      <c r="A29813" t="str">
        <f>HYPERLINK("https://www.773grp.com/globalSearch/NCP304LSQ29T1G/page-1", "NCP304LSQ29T1G")</f>
        <v>NCP304LSQ29T1G</v>
      </c>
      <c r="B29813" s="3" t="str">
        <f>HYPERLINK("https://www.773grp.com/manufacturer/onsemi?pageNo=659", "ON Semiconductor")</f>
        <v>ON Semiconductor</v>
      </c>
      <c r="C29813" s="6">
        <v>14996</v>
      </c>
      <c r="D29813" s="7">
        <v>0.64</v>
      </c>
      <c r="E29813" t="s">
        <v>30</v>
      </c>
    </row>
    <row r="29814" spans="1:5" x14ac:dyDescent="0.25">
      <c r="A29814" t="str">
        <f>HYPERLINK("https://www.773grp.com/globalSearch/NCP304LSQ30T1G/page-1", "NCP304LSQ30T1G")</f>
        <v>NCP304LSQ30T1G</v>
      </c>
      <c r="B29814" s="3" t="str">
        <f>HYPERLINK("https://www.773grp.com/manufacturer/onsemi?pageNo=660", "ON Semiconductor")</f>
        <v>ON Semiconductor</v>
      </c>
      <c r="C29814" s="6">
        <v>22873</v>
      </c>
      <c r="D29814" s="7">
        <v>0.64</v>
      </c>
      <c r="E29814" t="s">
        <v>30</v>
      </c>
    </row>
    <row r="29815" spans="1:5" x14ac:dyDescent="0.25">
      <c r="A29815" t="str">
        <f>HYPERLINK("https://www.773grp.com/globalSearch/NCP304LSQ37T1G/page-1", "NCP304LSQ37T1G")</f>
        <v>NCP304LSQ37T1G</v>
      </c>
      <c r="B29815" s="3" t="str">
        <f>HYPERLINK("https://www.773grp.com/manufacturer/onsemi?pageNo=661", "ON Semiconductor")</f>
        <v>ON Semiconductor</v>
      </c>
      <c r="C29815" s="6">
        <v>15826</v>
      </c>
      <c r="D29815" s="7">
        <v>0.64</v>
      </c>
      <c r="E29815" t="s">
        <v>30</v>
      </c>
    </row>
    <row r="29816" spans="1:5" x14ac:dyDescent="0.25">
      <c r="A29816" t="str">
        <f>HYPERLINK("https://www.773grp.com/globalSearch/NCP304LSQ38T1G/page-1", "NCP304LSQ38T1G")</f>
        <v>NCP304LSQ38T1G</v>
      </c>
      <c r="B29816" s="3" t="str">
        <f>HYPERLINK("https://www.773grp.com/manufacturer/onsemi?pageNo=662", "ON Semiconductor")</f>
        <v>ON Semiconductor</v>
      </c>
      <c r="C29816" s="6">
        <v>12000</v>
      </c>
      <c r="D29816" s="7">
        <v>0.64</v>
      </c>
    </row>
    <row r="29817" spans="1:5" x14ac:dyDescent="0.25">
      <c r="A29817" t="str">
        <f>HYPERLINK("https://www.773grp.com/globalSearch/NCP304LSQ40T1G/page-1", "NCP304LSQ40T1G")</f>
        <v>NCP304LSQ40T1G</v>
      </c>
      <c r="B29817" s="3" t="str">
        <f>HYPERLINK("https://www.773grp.com/manufacturer/onsemi?pageNo=663", "ON Semiconductor")</f>
        <v>ON Semiconductor</v>
      </c>
      <c r="C29817" s="6">
        <v>29862</v>
      </c>
      <c r="D29817" s="7">
        <v>0.64</v>
      </c>
      <c r="E29817" t="s">
        <v>30</v>
      </c>
    </row>
    <row r="29818" spans="1:5" x14ac:dyDescent="0.25">
      <c r="A29818" t="str">
        <f>HYPERLINK("https://www.773grp.com/globalSearch/NCP304LSQ42T1G/page-1", "NCP304LSQ42T1G")</f>
        <v>NCP304LSQ42T1G</v>
      </c>
      <c r="B29818" s="3" t="str">
        <f>HYPERLINK("https://www.773grp.com/manufacturer/onsemi?pageNo=664", "ON Semiconductor")</f>
        <v>ON Semiconductor</v>
      </c>
      <c r="C29818" s="6">
        <v>20787</v>
      </c>
      <c r="D29818" s="7">
        <v>0.64</v>
      </c>
      <c r="E29818" t="s">
        <v>30</v>
      </c>
    </row>
    <row r="29819" spans="1:5" x14ac:dyDescent="0.25">
      <c r="A29819" t="str">
        <f>HYPERLINK("https://www.773grp.com/globalSearch/NCP304LSQ43T1G/page-1", "NCP304LSQ43T1G")</f>
        <v>NCP304LSQ43T1G</v>
      </c>
      <c r="B29819" s="3" t="str">
        <f>HYPERLINK("https://www.773grp.com/manufacturer/onsemi?pageNo=665", "ON Semiconductor")</f>
        <v>ON Semiconductor</v>
      </c>
      <c r="C29819" s="6">
        <v>94607</v>
      </c>
      <c r="D29819" s="7">
        <v>0.64</v>
      </c>
      <c r="E29819" t="s">
        <v>30</v>
      </c>
    </row>
    <row r="29820" spans="1:5" x14ac:dyDescent="0.25">
      <c r="A29820" t="str">
        <f>HYPERLINK("https://www.773grp.com/globalSearch/NCP304LSQ45T1G/page-1", "NCP304LSQ45T1G")</f>
        <v>NCP304LSQ45T1G</v>
      </c>
      <c r="B29820" s="3" t="str">
        <f>HYPERLINK("https://www.773grp.com/manufacturer/onsemi?pageNo=666", "ON Semiconductor")</f>
        <v>ON Semiconductor</v>
      </c>
      <c r="C29820" s="6">
        <v>17897</v>
      </c>
      <c r="D29820" s="7">
        <v>0.64</v>
      </c>
      <c r="E29820" t="s">
        <v>30</v>
      </c>
    </row>
    <row r="29821" spans="1:5" x14ac:dyDescent="0.25">
      <c r="A29821" t="str">
        <f>HYPERLINK("https://www.773grp.com/globalSearch/NCP304LSQ46T1G/page-1", "NCP304LSQ46T1G")</f>
        <v>NCP304LSQ46T1G</v>
      </c>
      <c r="B29821" s="3" t="str">
        <f>HYPERLINK("https://www.773grp.com/manufacturer/onsemi?pageNo=667", "ON Semiconductor")</f>
        <v>ON Semiconductor</v>
      </c>
      <c r="C29821" s="6">
        <v>42000</v>
      </c>
      <c r="D29821" s="7">
        <v>0.64</v>
      </c>
      <c r="E29821" t="s">
        <v>30</v>
      </c>
    </row>
    <row r="29822" spans="1:5" x14ac:dyDescent="0.25">
      <c r="A29822" t="str">
        <f>HYPERLINK("https://www.773grp.com/globalSearch/NCP304LSQ47T1G/page-1", "NCP304LSQ47T1G")</f>
        <v>NCP304LSQ47T1G</v>
      </c>
      <c r="B29822" s="3" t="str">
        <f>HYPERLINK("https://www.773grp.com/manufacturer/onsemi?pageNo=668", "ON Semiconductor")</f>
        <v>ON Semiconductor</v>
      </c>
      <c r="C29822" s="6">
        <v>28455</v>
      </c>
      <c r="D29822" s="7">
        <v>0.64</v>
      </c>
      <c r="E29822" t="s">
        <v>30</v>
      </c>
    </row>
    <row r="29823" spans="1:5" x14ac:dyDescent="0.25">
      <c r="A29823" t="str">
        <f>HYPERLINK("https://www.773grp.com/globalSearch/NCP305LSQ09T1G/page-1", "NCP305LSQ09T1G")</f>
        <v>NCP305LSQ09T1G</v>
      </c>
      <c r="B29823" s="3" t="str">
        <f>HYPERLINK("https://www.773grp.com/manufacturer/onsemi?pageNo=669", "ON Semiconductor")</f>
        <v>ON Semiconductor</v>
      </c>
      <c r="C29823" s="6">
        <v>9716</v>
      </c>
      <c r="D29823" s="7">
        <v>0.64</v>
      </c>
      <c r="E29823" t="s">
        <v>30</v>
      </c>
    </row>
    <row r="29824" spans="1:5" x14ac:dyDescent="0.25">
      <c r="A29824" t="str">
        <f>HYPERLINK("https://www.773grp.com/globalSearch/NCP305LSQ11T1G/page-1", "NCP305LSQ11T1G")</f>
        <v>NCP305LSQ11T1G</v>
      </c>
      <c r="B29824" s="3" t="str">
        <f>HYPERLINK("https://www.773grp.com/manufacturer/onsemi?pageNo=670", "ON Semiconductor")</f>
        <v>ON Semiconductor</v>
      </c>
      <c r="C29824" s="6">
        <v>35344</v>
      </c>
      <c r="D29824" s="7">
        <v>0.64</v>
      </c>
      <c r="E29824" t="s">
        <v>30</v>
      </c>
    </row>
    <row r="29825" spans="1:5" x14ac:dyDescent="0.25">
      <c r="A29825" t="str">
        <f>HYPERLINK("https://www.773grp.com/globalSearch/NCP305LSQ15T1G/page-1", "NCP305LSQ15T1G")</f>
        <v>NCP305LSQ15T1G</v>
      </c>
      <c r="B29825" s="3" t="str">
        <f>HYPERLINK("https://www.773grp.com/manufacturer/onsemi?pageNo=671", "ON Semiconductor")</f>
        <v>ON Semiconductor</v>
      </c>
      <c r="C29825" s="6">
        <v>41955</v>
      </c>
      <c r="D29825" s="7">
        <v>0.64</v>
      </c>
      <c r="E29825" t="s">
        <v>30</v>
      </c>
    </row>
    <row r="29826" spans="1:5" x14ac:dyDescent="0.25">
      <c r="A29826" t="str">
        <f>HYPERLINK("https://www.773grp.com/globalSearch/NCP305LSQ16T1G/page-1", "NCP305LSQ16T1G")</f>
        <v>NCP305LSQ16T1G</v>
      </c>
      <c r="B29826" s="3" t="str">
        <f>HYPERLINK("https://www.773grp.com/manufacturer/onsemi?pageNo=672", "ON Semiconductor")</f>
        <v>ON Semiconductor</v>
      </c>
      <c r="C29826" s="6">
        <v>11830</v>
      </c>
      <c r="D29826" s="7">
        <v>0.64</v>
      </c>
      <c r="E29826" t="s">
        <v>30</v>
      </c>
    </row>
    <row r="29827" spans="1:5" x14ac:dyDescent="0.25">
      <c r="A29827" t="str">
        <f>HYPERLINK("https://www.773grp.com/globalSearch/NCP305LSQ17T1G/page-1", "NCP305LSQ17T1G")</f>
        <v>NCP305LSQ17T1G</v>
      </c>
      <c r="B29827" s="3" t="str">
        <f>HYPERLINK("https://www.773grp.com/manufacturer/onsemi?pageNo=673", "ON Semiconductor")</f>
        <v>ON Semiconductor</v>
      </c>
      <c r="C29827" s="6">
        <v>41465</v>
      </c>
      <c r="D29827" s="7">
        <v>0.64</v>
      </c>
      <c r="E29827" t="s">
        <v>30</v>
      </c>
    </row>
    <row r="29828" spans="1:5" x14ac:dyDescent="0.25">
      <c r="A29828" t="str">
        <f>HYPERLINK("https://www.773grp.com/globalSearch/NCP305LSQ18T1G/page-1", "NCP305LSQ18T1G")</f>
        <v>NCP305LSQ18T1G</v>
      </c>
      <c r="B29828" s="3" t="str">
        <f>HYPERLINK("https://www.773grp.com/manufacturer/onsemi?pageNo=674", "ON Semiconductor")</f>
        <v>ON Semiconductor</v>
      </c>
      <c r="C29828" s="6">
        <v>69000</v>
      </c>
      <c r="D29828" s="7">
        <v>0.64</v>
      </c>
    </row>
    <row r="29829" spans="1:5" x14ac:dyDescent="0.25">
      <c r="A29829" t="str">
        <f>HYPERLINK("https://www.773grp.com/globalSearch/NCP305LSQ22T1G/page-1", "NCP305LSQ22T1G")</f>
        <v>NCP305LSQ22T1G</v>
      </c>
      <c r="B29829" s="3" t="str">
        <f>HYPERLINK("https://www.773grp.com/manufacturer/onsemi?pageNo=675", "ON Semiconductor")</f>
        <v>ON Semiconductor</v>
      </c>
      <c r="C29829" s="6">
        <v>23365</v>
      </c>
      <c r="D29829" s="7">
        <v>0.64</v>
      </c>
      <c r="E29829" t="s">
        <v>30</v>
      </c>
    </row>
    <row r="29830" spans="1:5" x14ac:dyDescent="0.25">
      <c r="A29830" t="str">
        <f>HYPERLINK("https://www.773grp.com/globalSearch/NCP305LSQ23T1G/page-1", "NCP305LSQ23T1G")</f>
        <v>NCP305LSQ23T1G</v>
      </c>
      <c r="B29830" s="3" t="str">
        <f>HYPERLINK("https://www.773grp.com/manufacturer/onsemi?pageNo=676", "ON Semiconductor")</f>
        <v>ON Semiconductor</v>
      </c>
      <c r="C29830" s="6">
        <v>6000</v>
      </c>
      <c r="D29830" s="7">
        <v>0.64</v>
      </c>
      <c r="E29830" t="s">
        <v>30</v>
      </c>
    </row>
    <row r="29831" spans="1:5" x14ac:dyDescent="0.25">
      <c r="A29831" t="str">
        <f>HYPERLINK("https://www.773grp.com/globalSearch/NCP305LSQ24T1G/page-1", "NCP305LSQ24T1G")</f>
        <v>NCP305LSQ24T1G</v>
      </c>
      <c r="B29831" s="3" t="str">
        <f>HYPERLINK("https://www.773grp.com/manufacturer/onsemi?pageNo=677", "ON Semiconductor")</f>
        <v>ON Semiconductor</v>
      </c>
      <c r="C29831" s="6">
        <v>41935</v>
      </c>
      <c r="D29831" s="7">
        <v>0.64</v>
      </c>
      <c r="E29831" t="s">
        <v>30</v>
      </c>
    </row>
    <row r="29832" spans="1:5" x14ac:dyDescent="0.25">
      <c r="A29832" t="str">
        <f>HYPERLINK("https://www.773grp.com/globalSearch/NCP305LSQ25T1G/page-1", "NCP305LSQ25T1G")</f>
        <v>NCP305LSQ25T1G</v>
      </c>
      <c r="B29832" s="3" t="str">
        <f>HYPERLINK("https://www.773grp.com/manufacturer/onsemi?pageNo=678", "ON Semiconductor")</f>
        <v>ON Semiconductor</v>
      </c>
      <c r="C29832" s="6">
        <v>3000</v>
      </c>
      <c r="D29832" s="7">
        <v>0.64</v>
      </c>
      <c r="E29832" t="s">
        <v>30</v>
      </c>
    </row>
    <row r="29833" spans="1:5" x14ac:dyDescent="0.25">
      <c r="A29833" t="str">
        <f>HYPERLINK("https://www.773grp.com/globalSearch/NCP305LSQ26T1G/page-1", "NCP305LSQ26T1G")</f>
        <v>NCP305LSQ26T1G</v>
      </c>
      <c r="B29833" s="3" t="str">
        <f>HYPERLINK("https://www.773grp.com/manufacturer/onsemi?pageNo=679", "ON Semiconductor")</f>
        <v>ON Semiconductor</v>
      </c>
      <c r="C29833" s="6">
        <v>38980</v>
      </c>
      <c r="D29833" s="7">
        <v>0.64</v>
      </c>
      <c r="E29833" t="s">
        <v>30</v>
      </c>
    </row>
    <row r="29834" spans="1:5" x14ac:dyDescent="0.25">
      <c r="A29834" t="str">
        <f>HYPERLINK("https://www.773grp.com/globalSearch/NCP305LSQ28T1G/page-1", "NCP305LSQ28T1G")</f>
        <v>NCP305LSQ28T1G</v>
      </c>
      <c r="B29834" s="3" t="str">
        <f>HYPERLINK("https://www.773grp.com/manufacturer/onsemi?pageNo=680", "ON Semiconductor")</f>
        <v>ON Semiconductor</v>
      </c>
      <c r="C29834" s="6">
        <v>5935</v>
      </c>
      <c r="D29834" s="7">
        <v>0.64</v>
      </c>
      <c r="E29834" t="s">
        <v>30</v>
      </c>
    </row>
    <row r="29835" spans="1:5" x14ac:dyDescent="0.25">
      <c r="A29835" t="str">
        <f>HYPERLINK("https://www.773grp.com/globalSearch/NCP305LSQ29T1G/page-1", "NCP305LSQ29T1G")</f>
        <v>NCP305LSQ29T1G</v>
      </c>
      <c r="B29835" s="3" t="str">
        <f>HYPERLINK("https://www.773grp.com/manufacturer/onsemi?pageNo=681", "ON Semiconductor")</f>
        <v>ON Semiconductor</v>
      </c>
      <c r="C29835" s="6">
        <v>47990</v>
      </c>
      <c r="D29835" s="7">
        <v>0.64</v>
      </c>
      <c r="E29835" t="s">
        <v>30</v>
      </c>
    </row>
    <row r="29836" spans="1:5" x14ac:dyDescent="0.25">
      <c r="A29836" t="str">
        <f>HYPERLINK("https://www.773grp.com/globalSearch/NCP305LSQ31T1G/page-1", "NCP305LSQ31T1G")</f>
        <v>NCP305LSQ31T1G</v>
      </c>
      <c r="B29836" s="3" t="str">
        <f>HYPERLINK("https://www.773grp.com/manufacturer/onsemi?pageNo=682", "ON Semiconductor")</f>
        <v>ON Semiconductor</v>
      </c>
      <c r="C29836" s="6">
        <v>20118</v>
      </c>
      <c r="D29836" s="7">
        <v>0.64</v>
      </c>
      <c r="E29836" t="s">
        <v>30</v>
      </c>
    </row>
    <row r="29837" spans="1:5" x14ac:dyDescent="0.25">
      <c r="A29837" t="str">
        <f>HYPERLINK("https://www.773grp.com/globalSearch/NCP305LSQ32T1G/page-1", "NCP305LSQ32T1G")</f>
        <v>NCP305LSQ32T1G</v>
      </c>
      <c r="B29837" s="3" t="str">
        <f>HYPERLINK("https://www.773grp.com/manufacturer/onsemi?pageNo=683", "ON Semiconductor")</f>
        <v>ON Semiconductor</v>
      </c>
      <c r="C29837" s="6">
        <v>45000</v>
      </c>
      <c r="D29837" s="7">
        <v>0.64</v>
      </c>
      <c r="E29837" t="s">
        <v>30</v>
      </c>
    </row>
    <row r="29838" spans="1:5" x14ac:dyDescent="0.25">
      <c r="A29838" t="str">
        <f>HYPERLINK("https://www.773grp.com/globalSearch/NCP305LSQ33T1G/page-1", "NCP305LSQ33T1G")</f>
        <v>NCP305LSQ33T1G</v>
      </c>
      <c r="B29838" s="3" t="str">
        <f>HYPERLINK("https://www.773grp.com/manufacturer/onsemi?pageNo=684", "ON Semiconductor")</f>
        <v>ON Semiconductor</v>
      </c>
      <c r="C29838" s="6">
        <v>29990</v>
      </c>
      <c r="D29838" s="7">
        <v>0.64</v>
      </c>
      <c r="E29838" t="s">
        <v>30</v>
      </c>
    </row>
    <row r="29839" spans="1:5" x14ac:dyDescent="0.25">
      <c r="A29839" t="str">
        <f>HYPERLINK("https://www.773grp.com/globalSearch/NCP305LSQ34T1G/page-1", "NCP305LSQ34T1G")</f>
        <v>NCP305LSQ34T1G</v>
      </c>
      <c r="B29839" s="3" t="str">
        <f>HYPERLINK("https://www.773grp.com/manufacturer/onsemi?pageNo=685", "ON Semiconductor")</f>
        <v>ON Semiconductor</v>
      </c>
      <c r="C29839" s="6">
        <v>17730</v>
      </c>
      <c r="D29839" s="7">
        <v>0.64</v>
      </c>
      <c r="E29839" t="s">
        <v>30</v>
      </c>
    </row>
    <row r="29840" spans="1:5" x14ac:dyDescent="0.25">
      <c r="A29840" t="str">
        <f>HYPERLINK("https://www.773grp.com/globalSearch/NCP305LSQ35T1G/page-1", "NCP305LSQ35T1G")</f>
        <v>NCP305LSQ35T1G</v>
      </c>
      <c r="B29840" s="3" t="str">
        <f>HYPERLINK("https://www.773grp.com/manufacturer/onsemi?pageNo=686", "ON Semiconductor")</f>
        <v>ON Semiconductor</v>
      </c>
      <c r="C29840" s="6">
        <v>29475</v>
      </c>
      <c r="D29840" s="7">
        <v>0.64</v>
      </c>
      <c r="E29840" t="s">
        <v>30</v>
      </c>
    </row>
    <row r="29841" spans="1:5" x14ac:dyDescent="0.25">
      <c r="A29841" t="str">
        <f>HYPERLINK("https://www.773grp.com/globalSearch/NCP305LSQ36T1G/page-1", "NCP305LSQ36T1G")</f>
        <v>NCP305LSQ36T1G</v>
      </c>
      <c r="B29841" s="3" t="str">
        <f>HYPERLINK("https://www.773grp.com/manufacturer/onsemi?pageNo=687", "ON Semiconductor")</f>
        <v>ON Semiconductor</v>
      </c>
      <c r="C29841" s="6">
        <v>14850</v>
      </c>
      <c r="D29841" s="7">
        <v>0.64</v>
      </c>
      <c r="E29841" t="s">
        <v>30</v>
      </c>
    </row>
    <row r="29842" spans="1:5" x14ac:dyDescent="0.25">
      <c r="A29842" t="str">
        <f>HYPERLINK("https://www.773grp.com/globalSearch/NCP305LSQ37T1G/page-1", "NCP305LSQ37T1G")</f>
        <v>NCP305LSQ37T1G</v>
      </c>
      <c r="B29842" s="3" t="str">
        <f>HYPERLINK("https://www.773grp.com/manufacturer/onsemi?pageNo=688", "ON Semiconductor")</f>
        <v>ON Semiconductor</v>
      </c>
      <c r="C29842" s="6">
        <v>38975</v>
      </c>
      <c r="D29842" s="7">
        <v>0.64</v>
      </c>
      <c r="E29842" t="s">
        <v>30</v>
      </c>
    </row>
    <row r="29843" spans="1:5" x14ac:dyDescent="0.25">
      <c r="A29843" t="str">
        <f>HYPERLINK("https://www.773grp.com/globalSearch/NCP305LSQ40T1G/page-1", "NCP305LSQ40T1G")</f>
        <v>NCP305LSQ40T1G</v>
      </c>
      <c r="B29843" s="3" t="str">
        <f>HYPERLINK("https://www.773grp.com/manufacturer/onsemi?pageNo=689", "ON Semiconductor")</f>
        <v>ON Semiconductor</v>
      </c>
      <c r="C29843" s="6">
        <v>14474</v>
      </c>
      <c r="D29843" s="7">
        <v>0.64</v>
      </c>
    </row>
    <row r="29844" spans="1:5" x14ac:dyDescent="0.25">
      <c r="A29844" t="str">
        <f>HYPERLINK("https://www.773grp.com/globalSearch/NCP305LSQ45T1G/page-1", "NCP305LSQ45T1G")</f>
        <v>NCP305LSQ45T1G</v>
      </c>
      <c r="B29844" s="3" t="str">
        <f>HYPERLINK("https://www.773grp.com/manufacturer/onsemi?pageNo=690", "ON Semiconductor")</f>
        <v>ON Semiconductor</v>
      </c>
      <c r="C29844" s="6">
        <v>3000</v>
      </c>
      <c r="D29844" s="7">
        <v>0.64</v>
      </c>
      <c r="E29844" t="s">
        <v>30</v>
      </c>
    </row>
    <row r="29845" spans="1:5" x14ac:dyDescent="0.25">
      <c r="A29845" t="str">
        <f>HYPERLINK("https://www.773grp.com/globalSearch/NCP305LSQ47T1G/page-1", "NCP305LSQ47T1G")</f>
        <v>NCP305LSQ47T1G</v>
      </c>
      <c r="B29845" s="3" t="str">
        <f>HYPERLINK("https://www.773grp.com/manufacturer/onsemi?pageNo=691", "ON Semiconductor")</f>
        <v>ON Semiconductor</v>
      </c>
      <c r="C29845" s="6">
        <v>5970</v>
      </c>
      <c r="D29845" s="7">
        <v>0.64</v>
      </c>
    </row>
    <row r="29846" spans="1:5" x14ac:dyDescent="0.25">
      <c r="A29846" t="str">
        <f>HYPERLINK("https://www.773grp.com/globalSearch/NCP334FCT2G/page-1", "NCP334FCT2G")</f>
        <v>NCP334FCT2G</v>
      </c>
      <c r="B29846" s="3" t="str">
        <f>HYPERLINK("https://www.773grp.com/manufacturer/onsemi?pageNo=692", "ON Semiconductor")</f>
        <v>ON Semiconductor</v>
      </c>
      <c r="C29846" s="6">
        <v>630000</v>
      </c>
      <c r="D29846" s="7">
        <v>0.64</v>
      </c>
    </row>
    <row r="29847" spans="1:5" x14ac:dyDescent="0.25">
      <c r="A29847" t="str">
        <f>HYPERLINK("https://www.773grp.com/globalSearch/NCP582DXV18T1G/page-1", "NCP582DXV18T1G")</f>
        <v>NCP582DXV18T1G</v>
      </c>
      <c r="B29847" s="3" t="str">
        <f>HYPERLINK("https://www.773grp.com/manufacturer/onsemi?pageNo=693", "ON Semiconductor")</f>
        <v>ON Semiconductor</v>
      </c>
      <c r="C29847" s="6">
        <v>3000</v>
      </c>
      <c r="D29847" s="7">
        <v>0.64</v>
      </c>
      <c r="E29847" t="s">
        <v>19</v>
      </c>
    </row>
    <row r="29848" spans="1:5" x14ac:dyDescent="0.25">
      <c r="A29848" t="str">
        <f>HYPERLINK("https://www.773grp.com/globalSearch/NCP5901DR2G/page-1", "NCP5901DR2G")</f>
        <v>NCP5901DR2G</v>
      </c>
      <c r="B29848" s="3" t="str">
        <f>HYPERLINK("https://www.773grp.com/manufacturer/onsemi?pageNo=694", "ON Semiconductor")</f>
        <v>ON Semiconductor</v>
      </c>
      <c r="C29848" s="6">
        <v>145000</v>
      </c>
      <c r="D29848" s="7">
        <v>0.64</v>
      </c>
    </row>
    <row r="29849" spans="1:5" x14ac:dyDescent="0.25">
      <c r="A29849" t="str">
        <f>HYPERLINK("https://www.773grp.com/globalSearch/NCP5901MNTBG/page-1", "NCP5901MNTBG")</f>
        <v>NCP5901MNTBG</v>
      </c>
      <c r="B29849" s="3" t="str">
        <f>HYPERLINK("https://www.773grp.com/manufacturer/onsemi?pageNo=695", "ON Semiconductor")</f>
        <v>ON Semiconductor</v>
      </c>
      <c r="C29849" s="6">
        <v>63982</v>
      </c>
      <c r="D29849" s="7">
        <v>0.64</v>
      </c>
      <c r="E29849" t="s">
        <v>16</v>
      </c>
    </row>
    <row r="29850" spans="1:5" x14ac:dyDescent="0.25">
      <c r="A29850" t="str">
        <f>HYPERLINK("https://www.773grp.com/globalSearch/NCP5911MNTBG/page-1", "NCP5911MNTBG")</f>
        <v>NCP5911MNTBG</v>
      </c>
      <c r="B29850" s="3" t="str">
        <f>HYPERLINK("https://www.773grp.com/manufacturer/onsemi?pageNo=696", "ON Semiconductor")</f>
        <v>ON Semiconductor</v>
      </c>
      <c r="C29850" s="6">
        <v>18000</v>
      </c>
      <c r="D29850" s="7">
        <v>0.64</v>
      </c>
    </row>
    <row r="29851" spans="1:5" x14ac:dyDescent="0.25">
      <c r="A29851" t="str">
        <f>HYPERLINK("https://www.773grp.com/globalSearch/NCP612SQ15T1/page-1", "NCP612SQ15T1")</f>
        <v>NCP612SQ15T1</v>
      </c>
      <c r="B29851" s="3" t="str">
        <f>HYPERLINK("https://www.773grp.com/manufacturer/onsemi?pageNo=697", "ON Semiconductor")</f>
        <v>ON Semiconductor</v>
      </c>
      <c r="C29851" s="6">
        <v>3858</v>
      </c>
      <c r="D29851" s="7">
        <v>0.64</v>
      </c>
      <c r="E29851" t="s">
        <v>28</v>
      </c>
    </row>
    <row r="29852" spans="1:5" x14ac:dyDescent="0.25">
      <c r="A29852" t="str">
        <f>HYPERLINK("https://www.773grp.com/globalSearch/NCP612SQ18T1/page-1", "NCP612SQ18T1")</f>
        <v>NCP612SQ18T1</v>
      </c>
      <c r="B29852" s="3" t="str">
        <f>HYPERLINK("https://www.773grp.com/manufacturer/onsemi?pageNo=698", "ON Semiconductor")</f>
        <v>ON Semiconductor</v>
      </c>
      <c r="C29852" s="6">
        <v>5423</v>
      </c>
      <c r="D29852" s="7">
        <v>0.64</v>
      </c>
      <c r="E29852" t="s">
        <v>28</v>
      </c>
    </row>
    <row r="29853" spans="1:5" x14ac:dyDescent="0.25">
      <c r="A29853" t="str">
        <f>HYPERLINK("https://www.773grp.com/globalSearch/NCP612SQ25T1/page-1", "NCP612SQ25T1")</f>
        <v>NCP612SQ25T1</v>
      </c>
      <c r="B29853" s="3" t="str">
        <f>HYPERLINK("https://www.773grp.com/manufacturer/onsemi?pageNo=699", "ON Semiconductor")</f>
        <v>ON Semiconductor</v>
      </c>
      <c r="C29853" s="6">
        <v>5248</v>
      </c>
      <c r="D29853" s="7">
        <v>0.64</v>
      </c>
      <c r="E29853" t="s">
        <v>28</v>
      </c>
    </row>
    <row r="29854" spans="1:5" x14ac:dyDescent="0.25">
      <c r="A29854" t="str">
        <f>HYPERLINK("https://www.773grp.com/globalSearch/NCP612SQ27T1/page-1", "NCP612SQ27T1")</f>
        <v>NCP612SQ27T1</v>
      </c>
      <c r="B29854" s="3" t="str">
        <f>HYPERLINK("https://www.773grp.com/manufacturer/onsemi?pageNo=700", "ON Semiconductor")</f>
        <v>ON Semiconductor</v>
      </c>
      <c r="C29854" s="6">
        <v>4286</v>
      </c>
      <c r="D29854" s="7">
        <v>0.64</v>
      </c>
      <c r="E29854" t="s">
        <v>28</v>
      </c>
    </row>
    <row r="29855" spans="1:5" x14ac:dyDescent="0.25">
      <c r="A29855" t="str">
        <f>HYPERLINK("https://www.773grp.com/globalSearch/NCP612SQ28T1/page-1", "NCP612SQ28T1")</f>
        <v>NCP612SQ28T1</v>
      </c>
      <c r="B29855" s="3" t="str">
        <f>HYPERLINK("https://www.773grp.com/manufacturer/onsemi?pageNo=701", "ON Semiconductor")</f>
        <v>ON Semiconductor</v>
      </c>
      <c r="C29855" s="6">
        <v>3250</v>
      </c>
      <c r="D29855" s="7">
        <v>0.64</v>
      </c>
      <c r="E29855" t="s">
        <v>28</v>
      </c>
    </row>
    <row r="29856" spans="1:5" x14ac:dyDescent="0.25">
      <c r="A29856" t="str">
        <f>HYPERLINK("https://www.773grp.com/globalSearch/NCP612SQ30T1/page-1", "NCP612SQ30T1")</f>
        <v>NCP612SQ30T1</v>
      </c>
      <c r="B29856" s="3" t="str">
        <f>HYPERLINK("https://www.773grp.com/manufacturer/onsemi?pageNo=702", "ON Semiconductor")</f>
        <v>ON Semiconductor</v>
      </c>
      <c r="C29856" s="6">
        <v>5675</v>
      </c>
      <c r="D29856" s="7">
        <v>0.64</v>
      </c>
      <c r="E29856" t="s">
        <v>28</v>
      </c>
    </row>
    <row r="29857" spans="1:5" x14ac:dyDescent="0.25">
      <c r="A29857" t="str">
        <f>HYPERLINK("https://www.773grp.com/globalSearch/NCP612SQ31T1/page-1", "NCP612SQ31T1")</f>
        <v>NCP612SQ31T1</v>
      </c>
      <c r="B29857" s="3" t="str">
        <f>HYPERLINK("https://www.773grp.com/manufacturer/onsemi?pageNo=703", "ON Semiconductor")</f>
        <v>ON Semiconductor</v>
      </c>
      <c r="C29857" s="6">
        <v>3597</v>
      </c>
      <c r="D29857" s="7">
        <v>0.64</v>
      </c>
      <c r="E29857" t="s">
        <v>28</v>
      </c>
    </row>
    <row r="29858" spans="1:5" x14ac:dyDescent="0.25">
      <c r="A29858" t="str">
        <f>HYPERLINK("https://www.773grp.com/globalSearch/NCP612SQ33T1/page-1", "NCP612SQ33T1")</f>
        <v>NCP612SQ33T1</v>
      </c>
      <c r="B29858" s="3" t="str">
        <f>HYPERLINK("https://www.773grp.com/manufacturer/onsemi?pageNo=704", "ON Semiconductor")</f>
        <v>ON Semiconductor</v>
      </c>
      <c r="C29858" s="6">
        <v>7830</v>
      </c>
      <c r="D29858" s="7">
        <v>0.64</v>
      </c>
      <c r="E29858" t="s">
        <v>28</v>
      </c>
    </row>
    <row r="29859" spans="1:5" x14ac:dyDescent="0.25">
      <c r="A29859" t="str">
        <f>HYPERLINK("https://www.773grp.com/globalSearch/NCP612SQ50T1/page-1", "NCP612SQ50T1")</f>
        <v>NCP612SQ50T1</v>
      </c>
      <c r="B29859" s="3" t="str">
        <f>HYPERLINK("https://www.773grp.com/manufacturer/onsemi?pageNo=705", "ON Semiconductor")</f>
        <v>ON Semiconductor</v>
      </c>
      <c r="C29859" s="6">
        <v>4750</v>
      </c>
      <c r="D29859" s="7">
        <v>0.64</v>
      </c>
      <c r="E29859" t="s">
        <v>28</v>
      </c>
    </row>
    <row r="29860" spans="1:5" x14ac:dyDescent="0.25">
      <c r="A29860" t="str">
        <f>HYPERLINK("https://www.773grp.com/globalSearch/NCP662SQ18T1/page-1", "NCP662SQ18T1")</f>
        <v>NCP662SQ18T1</v>
      </c>
      <c r="B29860" s="3" t="str">
        <f>HYPERLINK("https://www.773grp.com/manufacturer/onsemi?pageNo=706", "ON Semiconductor")</f>
        <v>ON Semiconductor</v>
      </c>
      <c r="C29860" s="6">
        <v>9000</v>
      </c>
      <c r="D29860" s="7">
        <v>0.64</v>
      </c>
      <c r="E29860" t="s">
        <v>19</v>
      </c>
    </row>
    <row r="29861" spans="1:5" x14ac:dyDescent="0.25">
      <c r="A29861" t="str">
        <f>HYPERLINK("https://www.773grp.com/globalSearch/NCP662SQ25T1/page-1", "NCP662SQ25T1")</f>
        <v>NCP662SQ25T1</v>
      </c>
      <c r="B29861" s="3" t="str">
        <f>HYPERLINK("https://www.773grp.com/manufacturer/onsemi?pageNo=707", "ON Semiconductor")</f>
        <v>ON Semiconductor</v>
      </c>
      <c r="C29861" s="6">
        <v>12000</v>
      </c>
      <c r="D29861" s="7">
        <v>0.64</v>
      </c>
      <c r="E29861" t="s">
        <v>19</v>
      </c>
    </row>
    <row r="29862" spans="1:5" x14ac:dyDescent="0.25">
      <c r="A29862" t="str">
        <f>HYPERLINK("https://www.773grp.com/globalSearch/NCP81051MNTBG/page-1", "NCP81051MNTBG")</f>
        <v>NCP81051MNTBG</v>
      </c>
      <c r="B29862" s="3" t="str">
        <f>HYPERLINK("https://www.773grp.com/manufacturer/onsemi?pageNo=708", "ON Semiconductor")</f>
        <v>ON Semiconductor</v>
      </c>
      <c r="C29862" s="6">
        <v>24000</v>
      </c>
      <c r="D29862" s="7">
        <v>0.64</v>
      </c>
    </row>
    <row r="29863" spans="1:5" x14ac:dyDescent="0.25">
      <c r="A29863" t="str">
        <f>HYPERLINK("https://www.773grp.com/globalSearch/NCR169DG/page-1", "NCR169DG")</f>
        <v>NCR169DG</v>
      </c>
      <c r="B29863" s="3" t="str">
        <f>HYPERLINK("https://www.773grp.com/manufacturer/onsemi?pageNo=709", "ON Semiconductor")</f>
        <v>ON Semiconductor</v>
      </c>
      <c r="C29863" s="6">
        <v>4980</v>
      </c>
      <c r="D29863" s="7">
        <v>0.64</v>
      </c>
      <c r="E29863" t="s">
        <v>97</v>
      </c>
    </row>
    <row r="29864" spans="1:5" x14ac:dyDescent="0.25">
      <c r="A29864" t="str">
        <f>HYPERLINK("https://www.773grp.com/globalSearch/NCR169DRLRAG/page-1", "NCR169DRLRAG")</f>
        <v>NCR169DRLRAG</v>
      </c>
      <c r="B29864" s="3" t="str">
        <f>HYPERLINK("https://www.773grp.com/manufacturer/onsemi?pageNo=710", "ON Semiconductor")</f>
        <v>ON Semiconductor</v>
      </c>
      <c r="C29864" s="6">
        <v>108000</v>
      </c>
      <c r="D29864" s="7">
        <v>0.64</v>
      </c>
      <c r="E29864" t="s">
        <v>97</v>
      </c>
    </row>
    <row r="29865" spans="1:5" x14ac:dyDescent="0.25">
      <c r="A29865" t="str">
        <f>HYPERLINK("https://www.773grp.com/globalSearch/NCV2901DR2/page-1", "NCV2901DR2")</f>
        <v>NCV2901DR2</v>
      </c>
      <c r="B29865" s="3" t="str">
        <f>HYPERLINK("https://www.773grp.com/manufacturer/onsemi?pageNo=711", "ON Semiconductor")</f>
        <v>ON Semiconductor</v>
      </c>
      <c r="C29865" s="6">
        <v>3865</v>
      </c>
      <c r="D29865" s="7">
        <v>0.64</v>
      </c>
      <c r="E29865" t="s">
        <v>9</v>
      </c>
    </row>
    <row r="29866" spans="1:5" x14ac:dyDescent="0.25">
      <c r="A29866" t="str">
        <f>HYPERLINK("https://www.773grp.com/globalSearch/NCV2901DR2G/page-1", "NCV2901DR2G")</f>
        <v>NCV2901DR2G</v>
      </c>
      <c r="B29866" s="3" t="str">
        <f>HYPERLINK("https://www.773grp.com/manufacturer/onsemi?pageNo=712", "ON Semiconductor")</f>
        <v>ON Semiconductor</v>
      </c>
      <c r="C29866" s="6">
        <v>26610</v>
      </c>
      <c r="D29866" s="7">
        <v>0.64</v>
      </c>
      <c r="E29866" t="s">
        <v>9</v>
      </c>
    </row>
    <row r="29867" spans="1:5" x14ac:dyDescent="0.25">
      <c r="A29867" t="str">
        <f>HYPERLINK("https://www.773grp.com/globalSearch/NCV2902DR2G/page-1", "NCV2902DR2G")</f>
        <v>NCV2902DR2G</v>
      </c>
      <c r="B29867" s="3" t="str">
        <f>HYPERLINK("https://www.773grp.com/manufacturer/onsemi?pageNo=713", "ON Semiconductor")</f>
        <v>ON Semiconductor</v>
      </c>
      <c r="C29867" s="6">
        <v>12500</v>
      </c>
      <c r="D29867" s="7">
        <v>0.64</v>
      </c>
      <c r="E29867" t="s">
        <v>13</v>
      </c>
    </row>
    <row r="29868" spans="1:5" x14ac:dyDescent="0.25">
      <c r="A29868" t="str">
        <f>HYPERLINK("https://www.773grp.com/globalSearch/NCV2903DR2/page-1", "NCV2903DR2")</f>
        <v>NCV2903DR2</v>
      </c>
      <c r="B29868" s="3" t="str">
        <f>HYPERLINK("https://www.773grp.com/manufacturer/onsemi?pageNo=714", "ON Semiconductor")</f>
        <v>ON Semiconductor</v>
      </c>
      <c r="C29868" s="6">
        <v>4867</v>
      </c>
      <c r="D29868" s="7">
        <v>0.64</v>
      </c>
      <c r="E29868" t="s">
        <v>9</v>
      </c>
    </row>
    <row r="29869" spans="1:5" x14ac:dyDescent="0.25">
      <c r="A29869" t="str">
        <f>HYPERLINK("https://www.773grp.com/globalSearch/NCV2903DR2G/page-1", "NCV2903DR2G")</f>
        <v>NCV2903DR2G</v>
      </c>
      <c r="B29869" s="3" t="str">
        <f>HYPERLINK("https://www.773grp.com/manufacturer/onsemi?pageNo=715", "ON Semiconductor")</f>
        <v>ON Semiconductor</v>
      </c>
      <c r="C29869" s="6">
        <v>8021</v>
      </c>
      <c r="D29869" s="7">
        <v>0.64</v>
      </c>
      <c r="E29869" t="s">
        <v>9</v>
      </c>
    </row>
    <row r="29870" spans="1:5" x14ac:dyDescent="0.25">
      <c r="A29870" t="str">
        <f>HYPERLINK("https://www.773grp.com/globalSearch/NCV2904DR2G/page-1", "NCV2904DR2G")</f>
        <v>NCV2904DR2G</v>
      </c>
      <c r="B29870" s="3" t="str">
        <f>HYPERLINK("https://www.773grp.com/manufacturer/onsemi?pageNo=716", "ON Semiconductor")</f>
        <v>ON Semiconductor</v>
      </c>
      <c r="C29870" s="6">
        <v>337500</v>
      </c>
      <c r="D29870" s="7">
        <v>0.64</v>
      </c>
      <c r="E29870" t="s">
        <v>13</v>
      </c>
    </row>
    <row r="29871" spans="1:5" x14ac:dyDescent="0.25">
      <c r="A29871" t="str">
        <f>HYPERLINK("https://www.773grp.com/globalSearch/NCV78L05ABDR2/page-1", "NCV78L05ABDR2")</f>
        <v>NCV78L05ABDR2</v>
      </c>
      <c r="B29871" s="3" t="str">
        <f>HYPERLINK("https://www.773grp.com/manufacturer/onsemi?pageNo=717", "ON Semiconductor")</f>
        <v>ON Semiconductor</v>
      </c>
      <c r="C29871" s="6">
        <v>17501</v>
      </c>
      <c r="D29871" s="7">
        <v>0.64</v>
      </c>
      <c r="E29871" t="s">
        <v>28</v>
      </c>
    </row>
    <row r="29872" spans="1:5" x14ac:dyDescent="0.25">
      <c r="A29872" t="str">
        <f>HYPERLINK("https://www.773grp.com/globalSearch/NDC3105LT1G/page-1", "NDC3105LT1G")</f>
        <v>NDC3105LT1G</v>
      </c>
      <c r="B29872" s="3" t="str">
        <f>HYPERLINK("https://www.773grp.com/manufacturer/onsemi?pageNo=718", "ON Semiconductor")</f>
        <v>ON Semiconductor</v>
      </c>
      <c r="C29872" s="6">
        <v>735000</v>
      </c>
      <c r="D29872" s="7">
        <v>0.64</v>
      </c>
    </row>
    <row r="29873" spans="1:5" x14ac:dyDescent="0.25">
      <c r="A29873" t="str">
        <f>HYPERLINK("https://www.773grp.com/globalSearch/NL7WB66USG/page-1", "NL7WB66USG")</f>
        <v>NL7WB66USG</v>
      </c>
      <c r="B29873" s="3" t="str">
        <f>HYPERLINK("https://www.773grp.com/manufacturer/onsemi?pageNo=719", "ON Semiconductor")</f>
        <v>ON Semiconductor</v>
      </c>
      <c r="C29873" s="6">
        <v>57000</v>
      </c>
      <c r="D29873" s="7">
        <v>0.64</v>
      </c>
    </row>
    <row r="29874" spans="1:5" x14ac:dyDescent="0.25">
      <c r="A29874" t="str">
        <f>HYPERLINK("https://www.773grp.com/globalSearch/NLAS4157DFT2G/page-1", "NLAS4157DFT2G")</f>
        <v>NLAS4157DFT2G</v>
      </c>
      <c r="B29874" s="3" t="str">
        <f>HYPERLINK("https://www.773grp.com/manufacturer/onsemi?pageNo=720", "ON Semiconductor")</f>
        <v>ON Semiconductor</v>
      </c>
      <c r="C29874" s="6">
        <v>711000</v>
      </c>
      <c r="D29874" s="7">
        <v>0.64</v>
      </c>
      <c r="E29874" t="s">
        <v>56</v>
      </c>
    </row>
    <row r="29875" spans="1:5" x14ac:dyDescent="0.25">
      <c r="A29875" t="str">
        <f>HYPERLINK("https://www.773grp.com/globalSearch/NLAS5213AMUTAG/page-1", "NLAS5213AMUTAG")</f>
        <v>NLAS5213AMUTAG</v>
      </c>
      <c r="B29875" s="3" t="str">
        <f>HYPERLINK("https://www.773grp.com/manufacturer/onsemi?pageNo=721", "ON Semiconductor")</f>
        <v>ON Semiconductor</v>
      </c>
      <c r="C29875" s="6">
        <v>41951</v>
      </c>
      <c r="D29875" s="7">
        <v>0.64</v>
      </c>
      <c r="E29875" t="s">
        <v>56</v>
      </c>
    </row>
    <row r="29876" spans="1:5" x14ac:dyDescent="0.25">
      <c r="A29876" t="str">
        <f>HYPERLINK("https://www.773grp.com/globalSearch/NLAS5213BMUTAG/page-1", "NLAS5213BMUTAG")</f>
        <v>NLAS5213BMUTAG</v>
      </c>
      <c r="B29876" s="3" t="str">
        <f>HYPERLINK("https://www.773grp.com/manufacturer/onsemi?pageNo=722", "ON Semiconductor")</f>
        <v>ON Semiconductor</v>
      </c>
      <c r="C29876" s="6">
        <v>111306</v>
      </c>
      <c r="D29876" s="7">
        <v>0.64</v>
      </c>
      <c r="E29876" t="s">
        <v>56</v>
      </c>
    </row>
    <row r="29877" spans="1:5" x14ac:dyDescent="0.25">
      <c r="A29877" t="str">
        <f>HYPERLINK("https://www.773grp.com/globalSearch/NLX1G74MUTCG/page-1", "NLX1G74MUTCG")</f>
        <v>NLX1G74MUTCG</v>
      </c>
      <c r="B29877" s="3" t="str">
        <f>HYPERLINK("https://www.773grp.com/manufacturer/onsemi?pageNo=723", "ON Semiconductor")</f>
        <v>ON Semiconductor</v>
      </c>
      <c r="C29877" s="6">
        <v>688900</v>
      </c>
      <c r="D29877" s="7">
        <v>0.64</v>
      </c>
    </row>
    <row r="29878" spans="1:5" x14ac:dyDescent="0.25">
      <c r="A29878" t="str">
        <f>HYPERLINK("https://www.773grp.com/globalSearch/NLX2G02AMX1TCG/page-1", "NLX2G02AMX1TCG")</f>
        <v>NLX2G02AMX1TCG</v>
      </c>
      <c r="B29878" s="3" t="str">
        <f>HYPERLINK("https://www.773grp.com/manufacturer/onsemi?pageNo=724", "ON Semiconductor")</f>
        <v>ON Semiconductor</v>
      </c>
      <c r="C29878" s="6">
        <v>6000</v>
      </c>
      <c r="D29878" s="7">
        <v>0.64</v>
      </c>
      <c r="E29878" t="s">
        <v>31</v>
      </c>
    </row>
    <row r="29879" spans="1:5" x14ac:dyDescent="0.25">
      <c r="A29879" t="str">
        <f>HYPERLINK("https://www.773grp.com/globalSearch/NLX2G02BMX1TCG/page-1", "NLX2G02BMX1TCG")</f>
        <v>NLX2G02BMX1TCG</v>
      </c>
      <c r="B29879" s="3" t="str">
        <f>HYPERLINK("https://www.773grp.com/manufacturer/onsemi?pageNo=725", "ON Semiconductor")</f>
        <v>ON Semiconductor</v>
      </c>
      <c r="C29879" s="6">
        <v>6000</v>
      </c>
      <c r="D29879" s="7">
        <v>0.64</v>
      </c>
      <c r="E29879" t="s">
        <v>31</v>
      </c>
    </row>
    <row r="29880" spans="1:5" x14ac:dyDescent="0.25">
      <c r="A29880" t="str">
        <f>HYPERLINK("https://www.773grp.com/globalSearch/NLX2G02CMX1TCG/page-1", "NLX2G02CMX1TCG")</f>
        <v>NLX2G02CMX1TCG</v>
      </c>
      <c r="B29880" s="3" t="str">
        <f>HYPERLINK("https://www.773grp.com/manufacturer/onsemi?pageNo=726", "ON Semiconductor")</f>
        <v>ON Semiconductor</v>
      </c>
      <c r="C29880" s="6">
        <v>2980</v>
      </c>
      <c r="D29880" s="7">
        <v>0.64</v>
      </c>
      <c r="E29880" t="s">
        <v>31</v>
      </c>
    </row>
    <row r="29881" spans="1:5" x14ac:dyDescent="0.25">
      <c r="A29881" t="str">
        <f>HYPERLINK("https://www.773grp.com/globalSearch/NP0720SAT3G/page-1", "NP0720SAT3G")</f>
        <v>NP0720SAT3G</v>
      </c>
      <c r="B29881" s="3" t="str">
        <f>HYPERLINK("https://www.773grp.com/manufacturer/onsemi?pageNo=727", "ON Semiconductor")</f>
        <v>ON Semiconductor</v>
      </c>
      <c r="C29881" s="6">
        <v>5000</v>
      </c>
      <c r="D29881" s="7">
        <v>0.64</v>
      </c>
      <c r="E29881" t="s">
        <v>109</v>
      </c>
    </row>
    <row r="29882" spans="1:5" x14ac:dyDescent="0.25">
      <c r="A29882" t="str">
        <f>HYPERLINK("https://www.773grp.com/globalSearch/NP1100SAT3G/page-1", "NP1100SAT3G")</f>
        <v>NP1100SAT3G</v>
      </c>
      <c r="B29882" s="3" t="str">
        <f>HYPERLINK("https://www.773grp.com/manufacturer/onsemi?pageNo=728", "ON Semiconductor")</f>
        <v>ON Semiconductor</v>
      </c>
      <c r="C29882" s="6">
        <v>12490</v>
      </c>
      <c r="D29882" s="7">
        <v>0.64</v>
      </c>
      <c r="E29882" t="s">
        <v>109</v>
      </c>
    </row>
    <row r="29883" spans="1:5" x14ac:dyDescent="0.25">
      <c r="A29883" t="str">
        <f>HYPERLINK("https://www.773grp.com/globalSearch/NP1300SAT3G/page-1", "NP1300SAT3G")</f>
        <v>NP1300SAT3G</v>
      </c>
      <c r="B29883" s="3" t="str">
        <f>HYPERLINK("https://www.773grp.com/manufacturer/onsemi?pageNo=729", "ON Semiconductor")</f>
        <v>ON Semiconductor</v>
      </c>
      <c r="C29883" s="6">
        <v>5410</v>
      </c>
      <c r="D29883" s="7">
        <v>0.64</v>
      </c>
      <c r="E29883" t="s">
        <v>109</v>
      </c>
    </row>
    <row r="29884" spans="1:5" x14ac:dyDescent="0.25">
      <c r="A29884" t="str">
        <f>HYPERLINK("https://www.773grp.com/globalSearch/NP1500SAT3G/page-1", "NP1500SAT3G")</f>
        <v>NP1500SAT3G</v>
      </c>
      <c r="B29884" s="3" t="str">
        <f>HYPERLINK("https://www.773grp.com/manufacturer/onsemi?pageNo=730", "ON Semiconductor")</f>
        <v>ON Semiconductor</v>
      </c>
      <c r="C29884" s="6">
        <v>173490</v>
      </c>
      <c r="D29884" s="7">
        <v>0.64</v>
      </c>
      <c r="E29884" t="s">
        <v>109</v>
      </c>
    </row>
    <row r="29885" spans="1:5" x14ac:dyDescent="0.25">
      <c r="A29885" t="str">
        <f>HYPERLINK("https://www.773grp.com/globalSearch/NP1800SAT3G/page-1", "NP1800SAT3G")</f>
        <v>NP1800SAT3G</v>
      </c>
      <c r="B29885" s="3" t="str">
        <f>HYPERLINK("https://www.773grp.com/manufacturer/onsemi?pageNo=731", "ON Semiconductor")</f>
        <v>ON Semiconductor</v>
      </c>
      <c r="C29885" s="6">
        <v>10000</v>
      </c>
      <c r="D29885" s="7">
        <v>0.64</v>
      </c>
    </row>
    <row r="29886" spans="1:5" x14ac:dyDescent="0.25">
      <c r="A29886" t="str">
        <f>HYPERLINK("https://www.773grp.com/globalSearch/NP2100SAT3G/page-1", "NP2100SAT3G")</f>
        <v>NP2100SAT3G</v>
      </c>
      <c r="B29886" s="3" t="str">
        <f>HYPERLINK("https://www.773grp.com/manufacturer/onsemi?pageNo=732", "ON Semiconductor")</f>
        <v>ON Semiconductor</v>
      </c>
      <c r="C29886" s="6">
        <v>9844</v>
      </c>
      <c r="D29886" s="7">
        <v>0.64</v>
      </c>
      <c r="E29886" t="s">
        <v>109</v>
      </c>
    </row>
    <row r="29887" spans="1:5" x14ac:dyDescent="0.25">
      <c r="A29887" t="str">
        <f>HYPERLINK("https://www.773grp.com/globalSearch/NP2600SAT3G/page-1", "NP2600SAT3G")</f>
        <v>NP2600SAT3G</v>
      </c>
      <c r="B29887" s="3" t="str">
        <f>HYPERLINK("https://www.773grp.com/manufacturer/onsemi?pageNo=733", "ON Semiconductor")</f>
        <v>ON Semiconductor</v>
      </c>
      <c r="C29887" s="6">
        <v>5000</v>
      </c>
      <c r="D29887" s="7">
        <v>0.64</v>
      </c>
      <c r="E29887" t="s">
        <v>109</v>
      </c>
    </row>
    <row r="29888" spans="1:5" x14ac:dyDescent="0.25">
      <c r="A29888" t="str">
        <f>HYPERLINK("https://www.773grp.com/globalSearch/NP3500SAT3G/page-1", "NP3500SAT3G")</f>
        <v>NP3500SAT3G</v>
      </c>
      <c r="B29888" s="3" t="str">
        <f>HYPERLINK("https://www.773grp.com/manufacturer/onsemi?pageNo=734", "ON Semiconductor")</f>
        <v>ON Semiconductor</v>
      </c>
      <c r="C29888" s="6">
        <v>1585</v>
      </c>
      <c r="D29888" s="7">
        <v>0.64</v>
      </c>
    </row>
    <row r="29889" spans="1:5" x14ac:dyDescent="0.25">
      <c r="A29889" t="str">
        <f>HYPERLINK("https://www.773grp.com/globalSearch/NSI45025ZT1G/page-1", "NSI45025ZT1G")</f>
        <v>NSI45025ZT1G</v>
      </c>
      <c r="B29889" s="3" t="str">
        <f>HYPERLINK("https://www.773grp.com/manufacturer/onsemi?pageNo=735", "ON Semiconductor")</f>
        <v>ON Semiconductor</v>
      </c>
      <c r="C29889" s="6">
        <v>230000</v>
      </c>
      <c r="D29889" s="7">
        <v>0.64</v>
      </c>
      <c r="E29889" t="s">
        <v>10</v>
      </c>
    </row>
    <row r="29890" spans="1:5" x14ac:dyDescent="0.25">
      <c r="A29890" t="str">
        <f>HYPERLINK("https://www.773grp.com/globalSearch/NSI45030ZT1G/page-1", "NSI45030ZT1G")</f>
        <v>NSI45030ZT1G</v>
      </c>
      <c r="B29890" s="3" t="str">
        <f>HYPERLINK("https://www.773grp.com/manufacturer/onsemi?pageNo=736", "ON Semiconductor")</f>
        <v>ON Semiconductor</v>
      </c>
      <c r="C29890" s="6">
        <v>425214</v>
      </c>
      <c r="D29890" s="7">
        <v>0.64</v>
      </c>
      <c r="E29890" t="s">
        <v>10</v>
      </c>
    </row>
    <row r="29891" spans="1:5" x14ac:dyDescent="0.25">
      <c r="A29891" t="str">
        <f>HYPERLINK("https://www.773grp.com/globalSearch/NSS1C200MZ4TIG/page-1", "NSS1C200MZ4TIG")</f>
        <v>NSS1C200MZ4TIG</v>
      </c>
      <c r="B29891" s="3" t="str">
        <f>HYPERLINK("https://www.773grp.com/manufacturer/onsemi?pageNo=737", "ON Semiconductor")</f>
        <v>ON Semiconductor</v>
      </c>
      <c r="C29891" s="6">
        <v>2000</v>
      </c>
      <c r="D29891" s="7">
        <v>0.64</v>
      </c>
    </row>
    <row r="29892" spans="1:5" x14ac:dyDescent="0.25">
      <c r="A29892" t="str">
        <f>HYPERLINK("https://www.773grp.com/globalSearch/NSS20201MR6T1G/page-1", "NSS20201MR6T1G")</f>
        <v>NSS20201MR6T1G</v>
      </c>
      <c r="B29892" s="3" t="str">
        <f>HYPERLINK("https://www.773grp.com/manufacturer/onsemi?pageNo=738", "ON Semiconductor")</f>
        <v>ON Semiconductor</v>
      </c>
      <c r="C29892" s="6">
        <v>34545</v>
      </c>
      <c r="D29892" s="7">
        <v>0.64</v>
      </c>
      <c r="E29892" t="s">
        <v>59</v>
      </c>
    </row>
    <row r="29893" spans="1:5" x14ac:dyDescent="0.25">
      <c r="A29893" t="str">
        <f>HYPERLINK("https://www.773grp.com/globalSearch/NSS30201MR6T1G/page-1", "NSS30201MR6T1G")</f>
        <v>NSS30201MR6T1G</v>
      </c>
      <c r="B29893" s="3" t="str">
        <f>HYPERLINK("https://www.773grp.com/manufacturer/onsemi?pageNo=739", "ON Semiconductor")</f>
        <v>ON Semiconductor</v>
      </c>
      <c r="C29893" s="6">
        <v>459507</v>
      </c>
      <c r="D29893" s="7">
        <v>0.64</v>
      </c>
      <c r="E29893" t="s">
        <v>69</v>
      </c>
    </row>
    <row r="29894" spans="1:5" x14ac:dyDescent="0.25">
      <c r="A29894" t="str">
        <f>HYPERLINK("https://www.773grp.com/globalSearch/NSS40500UW3T2G/page-1", "NSS40500UW3T2G")</f>
        <v>NSS40500UW3T2G</v>
      </c>
      <c r="B29894" s="3" t="str">
        <f>HYPERLINK("https://www.773grp.com/manufacturer/onsemi?pageNo=740", "ON Semiconductor")</f>
        <v>ON Semiconductor</v>
      </c>
      <c r="C29894" s="6">
        <v>107190</v>
      </c>
      <c r="D29894" s="7">
        <v>0.64</v>
      </c>
      <c r="E29894" t="s">
        <v>69</v>
      </c>
    </row>
    <row r="29895" spans="1:5" x14ac:dyDescent="0.25">
      <c r="A29895" t="str">
        <f>HYPERLINK("https://www.773grp.com/globalSearch/NTD4813N-1G/page-1", "NTD4813N-1G")</f>
        <v>NTD4813N-1G</v>
      </c>
      <c r="B29895" s="3" t="str">
        <f>HYPERLINK("https://www.773grp.com/manufacturer/onsemi?pageNo=741", "ON Semiconductor")</f>
        <v>ON Semiconductor</v>
      </c>
      <c r="C29895" s="6">
        <v>6645</v>
      </c>
      <c r="D29895" s="7">
        <v>0.64</v>
      </c>
      <c r="E29895" t="s">
        <v>105</v>
      </c>
    </row>
    <row r="29896" spans="1:5" x14ac:dyDescent="0.25">
      <c r="A29896" t="str">
        <f>HYPERLINK("https://www.773grp.com/globalSearch/NTD4813NH-1G/page-1", "NTD4813NH-1G")</f>
        <v>NTD4813NH-1G</v>
      </c>
      <c r="B29896" s="3" t="str">
        <f>HYPERLINK("https://www.773grp.com/manufacturer/onsemi?pageNo=742", "ON Semiconductor")</f>
        <v>ON Semiconductor</v>
      </c>
      <c r="C29896" s="6">
        <v>656</v>
      </c>
      <c r="D29896" s="7">
        <v>0.64</v>
      </c>
    </row>
    <row r="29897" spans="1:5" x14ac:dyDescent="0.25">
      <c r="A29897" t="str">
        <f>HYPERLINK("https://www.773grp.com/globalSearch/NTD4813NH-35G/page-1", "NTD4813NH-35G")</f>
        <v>NTD4813NH-35G</v>
      </c>
      <c r="B29897" s="3" t="str">
        <f>HYPERLINK("https://www.773grp.com/manufacturer/onsemi?pageNo=743", "ON Semiconductor")</f>
        <v>ON Semiconductor</v>
      </c>
      <c r="C29897" s="6">
        <v>16455</v>
      </c>
      <c r="D29897" s="7">
        <v>0.64</v>
      </c>
      <c r="E29897" t="s">
        <v>105</v>
      </c>
    </row>
    <row r="29898" spans="1:5" x14ac:dyDescent="0.25">
      <c r="A29898" t="str">
        <f>HYPERLINK("https://www.773grp.com/globalSearch/NTD4813NT4G/page-1", "NTD4813NT4G")</f>
        <v>NTD4813NT4G</v>
      </c>
      <c r="B29898" s="3" t="str">
        <f>HYPERLINK("https://www.773grp.com/manufacturer/onsemi?pageNo=744", "ON Semiconductor")</f>
        <v>ON Semiconductor</v>
      </c>
      <c r="C29898" s="6">
        <v>252500</v>
      </c>
      <c r="D29898" s="7">
        <v>0.64</v>
      </c>
      <c r="E29898" t="s">
        <v>105</v>
      </c>
    </row>
    <row r="29899" spans="1:5" x14ac:dyDescent="0.25">
      <c r="A29899" t="str">
        <f>HYPERLINK("https://www.773grp.com/globalSearch/NTD4815NH-35G/page-1", "NTD4815NH-35G")</f>
        <v>NTD4815NH-35G</v>
      </c>
      <c r="B29899" s="3" t="str">
        <f>HYPERLINK("https://www.773grp.com/manufacturer/onsemi?pageNo=745", "ON Semiconductor")</f>
        <v>ON Semiconductor</v>
      </c>
      <c r="C29899" s="6">
        <v>1635</v>
      </c>
      <c r="D29899" s="7">
        <v>0.64</v>
      </c>
      <c r="E29899" t="s">
        <v>105</v>
      </c>
    </row>
    <row r="29900" spans="1:5" x14ac:dyDescent="0.25">
      <c r="A29900" t="str">
        <f>HYPERLINK("https://www.773grp.com/globalSearch/NTD4865N-1G/page-1", "NTD4865N-1G")</f>
        <v>NTD4865N-1G</v>
      </c>
      <c r="B29900" s="3" t="str">
        <f>HYPERLINK("https://www.773grp.com/manufacturer/onsemi?pageNo=746", "ON Semiconductor")</f>
        <v>ON Semiconductor</v>
      </c>
      <c r="C29900" s="6">
        <v>13050</v>
      </c>
      <c r="D29900" s="7">
        <v>0.64</v>
      </c>
      <c r="E29900" t="s">
        <v>105</v>
      </c>
    </row>
    <row r="29901" spans="1:5" x14ac:dyDescent="0.25">
      <c r="A29901" t="str">
        <f>HYPERLINK("https://www.773grp.com/globalSearch/NTD4865NT4G/page-1", "NTD4865NT4G")</f>
        <v>NTD4865NT4G</v>
      </c>
      <c r="B29901" s="3" t="str">
        <f>HYPERLINK("https://www.773grp.com/manufacturer/onsemi?pageNo=747", "ON Semiconductor")</f>
        <v>ON Semiconductor</v>
      </c>
      <c r="C29901" s="6">
        <v>540000</v>
      </c>
      <c r="D29901" s="7">
        <v>0.64</v>
      </c>
      <c r="E29901" t="s">
        <v>105</v>
      </c>
    </row>
    <row r="29902" spans="1:5" x14ac:dyDescent="0.25">
      <c r="A29902" t="str">
        <f>HYPERLINK("https://www.773grp.com/globalSearch/NTD4865NT4H/page-1", "NTD4865NT4H")</f>
        <v>NTD4865NT4H</v>
      </c>
      <c r="B29902" s="3" t="str">
        <f>HYPERLINK("https://www.773grp.com/manufacturer/onsemi?pageNo=748", "ON Semiconductor")</f>
        <v>ON Semiconductor</v>
      </c>
      <c r="C29902" s="6">
        <v>10000</v>
      </c>
      <c r="D29902" s="7">
        <v>0.64</v>
      </c>
    </row>
    <row r="29903" spans="1:5" x14ac:dyDescent="0.25">
      <c r="A29903" t="str">
        <f>HYPERLINK("https://www.773grp.com/globalSearch/NTD4963NT4G/page-1", "NTD4963NT4G")</f>
        <v>NTD4963NT4G</v>
      </c>
      <c r="B29903" s="3" t="str">
        <f>HYPERLINK("https://www.773grp.com/manufacturer/onsemi?pageNo=749", "ON Semiconductor")</f>
        <v>ON Semiconductor</v>
      </c>
      <c r="C29903" s="6">
        <v>9982</v>
      </c>
      <c r="D29903" s="7">
        <v>0.64</v>
      </c>
      <c r="E29903" t="s">
        <v>105</v>
      </c>
    </row>
    <row r="29904" spans="1:5" x14ac:dyDescent="0.25">
      <c r="A29904" t="str">
        <f>HYPERLINK("https://www.773grp.com/globalSearch/NTD85N02R-001/page-1", "NTD85N02R-001")</f>
        <v>NTD85N02R-001</v>
      </c>
      <c r="B29904" s="3" t="str">
        <f>HYPERLINK("https://www.773grp.com/manufacturer/onsemi?pageNo=750", "ON Semiconductor")</f>
        <v>ON Semiconductor</v>
      </c>
      <c r="C29904" s="6">
        <v>38371</v>
      </c>
      <c r="D29904" s="7">
        <v>0.64</v>
      </c>
      <c r="E29904" t="s">
        <v>105</v>
      </c>
    </row>
    <row r="29905" spans="1:5" x14ac:dyDescent="0.25">
      <c r="A29905" t="str">
        <f>HYPERLINK("https://www.773grp.com/globalSearch/NTD85N02RT4G/page-1", "NTD85N02RT4G")</f>
        <v>NTD85N02RT4G</v>
      </c>
      <c r="B29905" s="3" t="str">
        <f>HYPERLINK("https://www.773grp.com/manufacturer/onsemi?pageNo=751", "ON Semiconductor")</f>
        <v>ON Semiconductor</v>
      </c>
      <c r="C29905" s="6">
        <v>12500</v>
      </c>
      <c r="D29905" s="7">
        <v>0.64</v>
      </c>
    </row>
    <row r="29906" spans="1:5" x14ac:dyDescent="0.25">
      <c r="A29906" t="str">
        <f>HYPERLINK("https://www.773grp.com/globalSearch/NTD95N02R-001/page-1", "NTD95N02R-001")</f>
        <v>NTD95N02R-001</v>
      </c>
      <c r="B29906" s="3" t="str">
        <f>HYPERLINK("https://www.773grp.com/manufacturer/onsemi?pageNo=752", "ON Semiconductor")</f>
        <v>ON Semiconductor</v>
      </c>
      <c r="C29906" s="6">
        <v>13725</v>
      </c>
      <c r="D29906" s="7">
        <v>0.64</v>
      </c>
      <c r="E29906" t="s">
        <v>105</v>
      </c>
    </row>
    <row r="29907" spans="1:5" x14ac:dyDescent="0.25">
      <c r="A29907" t="str">
        <f>HYPERLINK("https://www.773grp.com/globalSearch/NTGS3447PT1G/page-1", "NTGS3447PT1G")</f>
        <v>NTGS3447PT1G</v>
      </c>
      <c r="B29907" s="3" t="str">
        <f>HYPERLINK("https://www.773grp.com/manufacturer/onsemi?pageNo=753", "ON Semiconductor")</f>
        <v>ON Semiconductor</v>
      </c>
      <c r="C29907" s="6">
        <v>8980</v>
      </c>
      <c r="D29907" s="7">
        <v>0.64</v>
      </c>
      <c r="E29907" t="s">
        <v>106</v>
      </c>
    </row>
    <row r="29908" spans="1:5" x14ac:dyDescent="0.25">
      <c r="A29908" t="str">
        <f>HYPERLINK("https://www.773grp.com/globalSearch/NTHD4P02FT1G/page-1", "NTHD4P02FT1G")</f>
        <v>NTHD4P02FT1G</v>
      </c>
      <c r="B29908" s="3" t="str">
        <f>HYPERLINK("https://www.773grp.com/manufacturer/onsemi?pageNo=754", "ON Semiconductor")</f>
        <v>ON Semiconductor</v>
      </c>
      <c r="C29908" s="6">
        <v>553651</v>
      </c>
      <c r="D29908" s="7">
        <v>0.64</v>
      </c>
      <c r="E29908" t="s">
        <v>105</v>
      </c>
    </row>
    <row r="29909" spans="1:5" x14ac:dyDescent="0.25">
      <c r="A29909" t="str">
        <f>HYPERLINK("https://www.773grp.com/globalSearch/NTHS4501NT1G/page-1", "NTHS4501NT1G")</f>
        <v>NTHS4501NT1G</v>
      </c>
      <c r="B29909" s="3" t="str">
        <f>HYPERLINK("https://www.773grp.com/manufacturer/onsemi?pageNo=755", "ON Semiconductor")</f>
        <v>ON Semiconductor</v>
      </c>
      <c r="C29909" s="6">
        <v>483000</v>
      </c>
      <c r="D29909" s="7">
        <v>0.64</v>
      </c>
      <c r="E29909" t="s">
        <v>106</v>
      </c>
    </row>
    <row r="29910" spans="1:5" x14ac:dyDescent="0.25">
      <c r="A29910" t="str">
        <f>HYPERLINK("https://www.773grp.com/globalSearch/NTLJS3113PT1G/page-1", "NTLJS3113PT1G")</f>
        <v>NTLJS3113PT1G</v>
      </c>
      <c r="B29910" s="3" t="str">
        <f>HYPERLINK("https://www.773grp.com/manufacturer/onsemi?pageNo=756", "ON Semiconductor")</f>
        <v>ON Semiconductor</v>
      </c>
      <c r="C29910" s="6">
        <v>23125</v>
      </c>
      <c r="D29910" s="7">
        <v>0.64</v>
      </c>
      <c r="E29910" t="s">
        <v>105</v>
      </c>
    </row>
    <row r="29911" spans="1:5" x14ac:dyDescent="0.25">
      <c r="A29911" t="str">
        <f>HYPERLINK("https://www.773grp.com/globalSearch/NTLUD3191PZTAG/page-1", "NTLUD3191PZTAG")</f>
        <v>NTLUD3191PZTAG</v>
      </c>
      <c r="B29911" s="3" t="str">
        <f>HYPERLINK("https://www.773grp.com/manufacturer/onsemi?pageNo=757", "ON Semiconductor")</f>
        <v>ON Semiconductor</v>
      </c>
      <c r="C29911" s="6">
        <v>99480</v>
      </c>
      <c r="D29911" s="7">
        <v>0.64</v>
      </c>
      <c r="E29911" t="s">
        <v>106</v>
      </c>
    </row>
    <row r="29912" spans="1:5" x14ac:dyDescent="0.25">
      <c r="A29912" t="str">
        <f>HYPERLINK("https://www.773grp.com/globalSearch/NTMS4800NR2G/page-1", "NTMS4800NR2G")</f>
        <v>NTMS4800NR2G</v>
      </c>
      <c r="B29912" s="3" t="str">
        <f>HYPERLINK("https://www.773grp.com/manufacturer/onsemi?pageNo=758", "ON Semiconductor")</f>
        <v>ON Semiconductor</v>
      </c>
      <c r="C29912" s="6">
        <v>69400</v>
      </c>
      <c r="D29912" s="7">
        <v>0.64</v>
      </c>
      <c r="E29912" t="s">
        <v>106</v>
      </c>
    </row>
    <row r="29913" spans="1:5" x14ac:dyDescent="0.25">
      <c r="A29913" t="str">
        <f>HYPERLINK("https://www.773grp.com/globalSearch/NUD3105LT1/page-1", "NUD3105LT1")</f>
        <v>NUD3105LT1</v>
      </c>
      <c r="B29913" s="3" t="str">
        <f>HYPERLINK("https://www.773grp.com/manufacturer/onsemi?pageNo=759", "ON Semiconductor")</f>
        <v>ON Semiconductor</v>
      </c>
      <c r="C29913" s="6">
        <v>2668</v>
      </c>
      <c r="D29913" s="7">
        <v>0.64</v>
      </c>
      <c r="E29913" t="s">
        <v>106</v>
      </c>
    </row>
    <row r="29914" spans="1:5" x14ac:dyDescent="0.25">
      <c r="A29914" t="str">
        <f>HYPERLINK("https://www.773grp.com/globalSearch/NUD3105LT1G/page-1", "NUD3105LT1G")</f>
        <v>NUD3105LT1G</v>
      </c>
      <c r="B29914" s="3" t="str">
        <f>HYPERLINK("https://www.773grp.com/manufacturer/onsemi?pageNo=760", "ON Semiconductor")</f>
        <v>ON Semiconductor</v>
      </c>
      <c r="C29914" s="6">
        <v>124000</v>
      </c>
      <c r="D29914" s="7">
        <v>0.64</v>
      </c>
      <c r="E29914" t="s">
        <v>106</v>
      </c>
    </row>
    <row r="29915" spans="1:5" x14ac:dyDescent="0.25">
      <c r="A29915" t="str">
        <f>HYPERLINK("https://www.773grp.com/globalSearch/NUD3124LT1G/page-1", "NUD3124LT1G")</f>
        <v>NUD3124LT1G</v>
      </c>
      <c r="B29915" s="3" t="str">
        <f>HYPERLINK("https://www.773grp.com/manufacturer/onsemi?pageNo=761", "ON Semiconductor")</f>
        <v>ON Semiconductor</v>
      </c>
      <c r="C29915" s="6">
        <v>61050</v>
      </c>
      <c r="D29915" s="7">
        <v>0.64</v>
      </c>
      <c r="E29915" t="s">
        <v>106</v>
      </c>
    </row>
    <row r="29916" spans="1:5" x14ac:dyDescent="0.25">
      <c r="A29916" t="str">
        <f>HYPERLINK("https://www.773grp.com/globalSearch/NUD3160LT1G/page-1", "NUD3160LT1G")</f>
        <v>NUD3160LT1G</v>
      </c>
      <c r="B29916" s="3" t="str">
        <f>HYPERLINK("https://www.773grp.com/manufacturer/onsemi?pageNo=762", "ON Semiconductor")</f>
        <v>ON Semiconductor</v>
      </c>
      <c r="C29916" s="6">
        <v>3000</v>
      </c>
      <c r="D29916" s="7">
        <v>0.64</v>
      </c>
    </row>
    <row r="29917" spans="1:5" x14ac:dyDescent="0.25">
      <c r="A29917" t="str">
        <f>HYPERLINK("https://www.773grp.com/globalSearch/NUF2450MUT2G/page-1", "NUF2450MUT2G")</f>
        <v>NUF2450MUT2G</v>
      </c>
      <c r="B29917" s="3" t="str">
        <f>HYPERLINK("https://www.773grp.com/manufacturer/onsemi?pageNo=763", "ON Semiconductor")</f>
        <v>ON Semiconductor</v>
      </c>
      <c r="C29917" s="6">
        <v>30000</v>
      </c>
      <c r="D29917" s="7">
        <v>0.64</v>
      </c>
      <c r="E29917" t="s">
        <v>100</v>
      </c>
    </row>
    <row r="29918" spans="1:5" x14ac:dyDescent="0.25">
      <c r="A29918" t="str">
        <f>HYPERLINK("https://www.773grp.com/globalSearch/NUF4105FCT1/page-1", "NUF4105FCT1")</f>
        <v>NUF4105FCT1</v>
      </c>
      <c r="B29918" s="3" t="str">
        <f>HYPERLINK("https://www.773grp.com/manufacturer/onsemi?pageNo=764", "ON Semiconductor")</f>
        <v>ON Semiconductor</v>
      </c>
      <c r="C29918" s="6">
        <v>380793</v>
      </c>
      <c r="D29918" s="7">
        <v>0.64</v>
      </c>
      <c r="E29918" t="s">
        <v>100</v>
      </c>
    </row>
    <row r="29919" spans="1:5" x14ac:dyDescent="0.25">
      <c r="A29919" t="str">
        <f>HYPERLINK("https://www.773grp.com/globalSearch/NUF4401MNT1G/page-1", "NUF4401MNT1G")</f>
        <v>NUF4401MNT1G</v>
      </c>
      <c r="B29919" s="3" t="str">
        <f>HYPERLINK("https://www.773grp.com/manufacturer/onsemi?pageNo=765", "ON Semiconductor")</f>
        <v>ON Semiconductor</v>
      </c>
      <c r="C29919" s="6">
        <v>52361</v>
      </c>
      <c r="D29919" s="7">
        <v>0.64</v>
      </c>
      <c r="E29919" t="s">
        <v>100</v>
      </c>
    </row>
    <row r="29920" spans="1:5" x14ac:dyDescent="0.25">
      <c r="A29920" t="str">
        <f>HYPERLINK("https://www.773grp.com/globalSearch/NUF4402MNT1G/page-1", "NUF4402MNT1G")</f>
        <v>NUF4402MNT1G</v>
      </c>
      <c r="B29920" s="3" t="str">
        <f>HYPERLINK("https://www.773grp.com/manufacturer/onsemi?pageNo=766", "ON Semiconductor")</f>
        <v>ON Semiconductor</v>
      </c>
      <c r="C29920" s="6">
        <v>378252</v>
      </c>
      <c r="D29920" s="7">
        <v>0.64</v>
      </c>
      <c r="E29920" t="s">
        <v>100</v>
      </c>
    </row>
    <row r="29921" spans="1:5" x14ac:dyDescent="0.25">
      <c r="A29921" t="str">
        <f>HYPERLINK("https://www.773grp.com/globalSearch/NUF4403MNT1G/page-1", "NUF4403MNT1G")</f>
        <v>NUF4403MNT1G</v>
      </c>
      <c r="B29921" s="3" t="str">
        <f>HYPERLINK("https://www.773grp.com/manufacturer/onsemi?pageNo=767", "ON Semiconductor")</f>
        <v>ON Semiconductor</v>
      </c>
      <c r="C29921" s="6">
        <v>215020</v>
      </c>
      <c r="D29921" s="7">
        <v>0.64</v>
      </c>
      <c r="E29921" t="s">
        <v>100</v>
      </c>
    </row>
    <row r="29922" spans="1:5" x14ac:dyDescent="0.25">
      <c r="A29922" t="str">
        <f>HYPERLINK("https://www.773grp.com/globalSearch/NUF6105FCT1/page-1", "NUF6105FCT1")</f>
        <v>NUF6105FCT1</v>
      </c>
      <c r="B29922" s="3" t="str">
        <f>HYPERLINK("https://www.773grp.com/manufacturer/onsemi?pageNo=768", "ON Semiconductor")</f>
        <v>ON Semiconductor</v>
      </c>
      <c r="C29922" s="6">
        <v>1937910</v>
      </c>
      <c r="D29922" s="7">
        <v>0.64</v>
      </c>
      <c r="E29922" t="s">
        <v>100</v>
      </c>
    </row>
    <row r="29923" spans="1:5" x14ac:dyDescent="0.25">
      <c r="A29923" t="str">
        <f>HYPERLINK("https://www.773grp.com/globalSearch/NUF6402MNT1G/page-1", "NUF6402MNT1G")</f>
        <v>NUF6402MNT1G</v>
      </c>
      <c r="B29923" s="3" t="str">
        <f>HYPERLINK("https://www.773grp.com/manufacturer/onsemi?pageNo=769", "ON Semiconductor")</f>
        <v>ON Semiconductor</v>
      </c>
      <c r="C29923" s="6">
        <v>157481</v>
      </c>
      <c r="D29923" s="7">
        <v>0.64</v>
      </c>
      <c r="E29923" t="s">
        <v>100</v>
      </c>
    </row>
    <row r="29924" spans="1:5" x14ac:dyDescent="0.25">
      <c r="A29924" t="str">
        <f>HYPERLINK("https://www.773grp.com/globalSearch/NUF8402MNT4G/page-1", "NUF8402MNT4G")</f>
        <v>NUF8402MNT4G</v>
      </c>
      <c r="B29924" s="3" t="str">
        <f>HYPERLINK("https://www.773grp.com/manufacturer/onsemi?pageNo=770", "ON Semiconductor")</f>
        <v>ON Semiconductor</v>
      </c>
      <c r="C29924" s="6">
        <v>1060580</v>
      </c>
      <c r="D29924" s="7">
        <v>0.64</v>
      </c>
      <c r="E29924" t="s">
        <v>100</v>
      </c>
    </row>
    <row r="29925" spans="1:5" x14ac:dyDescent="0.25">
      <c r="A29925" t="str">
        <f>HYPERLINK("https://www.773grp.com/globalSearch/NUP4114HMR6T1G/page-1", "NUP4114HMR6T1G")</f>
        <v>NUP4114HMR6T1G</v>
      </c>
      <c r="B29925" s="3" t="str">
        <f>HYPERLINK("https://www.773grp.com/manufacturer/onsemi?pageNo=771", "ON Semiconductor")</f>
        <v>ON Semiconductor</v>
      </c>
      <c r="C29925" s="6">
        <v>327</v>
      </c>
      <c r="D29925" s="7">
        <v>0.64</v>
      </c>
      <c r="E29925" t="s">
        <v>96</v>
      </c>
    </row>
    <row r="29926" spans="1:5" x14ac:dyDescent="0.25">
      <c r="A29926" t="str">
        <f>HYPERLINK("https://www.773grp.com/globalSearch/NUP4301MR6T1/page-1", "NUP4301MR6T1")</f>
        <v>NUP4301MR6T1</v>
      </c>
      <c r="B29926" s="3" t="str">
        <f>HYPERLINK("https://www.773grp.com/manufacturer/onsemi?pageNo=772", "ON Semiconductor")</f>
        <v>ON Semiconductor</v>
      </c>
      <c r="C29926" s="6">
        <v>66000</v>
      </c>
      <c r="D29926" s="7">
        <v>0.64</v>
      </c>
      <c r="E29926" t="s">
        <v>96</v>
      </c>
    </row>
    <row r="29927" spans="1:5" x14ac:dyDescent="0.25">
      <c r="A29927" t="str">
        <f>HYPERLINK("https://www.773grp.com/globalSearch/NUP4301MR6T1G/page-1", "NUP4301MR6T1G")</f>
        <v>NUP4301MR6T1G</v>
      </c>
      <c r="B29927" s="3" t="str">
        <f>HYPERLINK("https://www.773grp.com/manufacturer/onsemi?pageNo=773", "ON Semiconductor")</f>
        <v>ON Semiconductor</v>
      </c>
      <c r="C29927" s="6">
        <v>24704</v>
      </c>
      <c r="D29927" s="7">
        <v>0.64</v>
      </c>
      <c r="E29927" t="s">
        <v>96</v>
      </c>
    </row>
    <row r="29928" spans="1:5" x14ac:dyDescent="0.25">
      <c r="A29928" t="str">
        <f>HYPERLINK("https://www.773grp.com/globalSearch/NUP4304MR6T1/page-1", "NUP4304MR6T1")</f>
        <v>NUP4304MR6T1</v>
      </c>
      <c r="B29928" s="3" t="str">
        <f>HYPERLINK("https://www.773grp.com/manufacturer/onsemi?pageNo=774", "ON Semiconductor")</f>
        <v>ON Semiconductor</v>
      </c>
      <c r="C29928" s="6">
        <v>114000</v>
      </c>
      <c r="D29928" s="7">
        <v>0.64</v>
      </c>
      <c r="E29928" t="s">
        <v>96</v>
      </c>
    </row>
    <row r="29929" spans="1:5" x14ac:dyDescent="0.25">
      <c r="A29929" t="str">
        <f>HYPERLINK("https://www.773grp.com/globalSearch/P6SMB10AT3G/page-1", "P6SMB10AT3G")</f>
        <v>P6SMB10AT3G</v>
      </c>
      <c r="B29929" s="3" t="str">
        <f>HYPERLINK("https://www.773grp.com/manufacturer/onsemi?pageNo=775", "ON Semiconductor")</f>
        <v>ON Semiconductor</v>
      </c>
      <c r="C29929" s="6">
        <v>5000</v>
      </c>
      <c r="D29929" s="7">
        <v>0.64</v>
      </c>
      <c r="E29929" t="s">
        <v>96</v>
      </c>
    </row>
    <row r="29930" spans="1:5" x14ac:dyDescent="0.25">
      <c r="A29930" t="str">
        <f>HYPERLINK("https://www.773grp.com/globalSearch/P6SMB15AT3G/page-1", "P6SMB15AT3G")</f>
        <v>P6SMB15AT3G</v>
      </c>
      <c r="B29930" s="3" t="str">
        <f>HYPERLINK("https://www.773grp.com/manufacturer/onsemi?pageNo=776", "ON Semiconductor")</f>
        <v>ON Semiconductor</v>
      </c>
      <c r="C29930" s="6">
        <v>10000</v>
      </c>
      <c r="D29930" s="7">
        <v>0.64</v>
      </c>
      <c r="E29930" t="s">
        <v>96</v>
      </c>
    </row>
    <row r="29931" spans="1:5" x14ac:dyDescent="0.25">
      <c r="A29931" t="str">
        <f>HYPERLINK("https://www.773grp.com/globalSearch/P6SMB18AT3G/page-1", "P6SMB18AT3G")</f>
        <v>P6SMB18AT3G</v>
      </c>
      <c r="B29931" s="3" t="str">
        <f>HYPERLINK("https://www.773grp.com/manufacturer/onsemi?pageNo=777", "ON Semiconductor")</f>
        <v>ON Semiconductor</v>
      </c>
      <c r="C29931" s="6">
        <v>10000</v>
      </c>
      <c r="D29931" s="7">
        <v>0.64</v>
      </c>
    </row>
    <row r="29932" spans="1:5" x14ac:dyDescent="0.25">
      <c r="A29932" t="str">
        <f>HYPERLINK("https://www.773grp.com/globalSearch/P6SMB20AT3G/page-1", "P6SMB20AT3G")</f>
        <v>P6SMB20AT3G</v>
      </c>
      <c r="B29932" s="3" t="str">
        <f>HYPERLINK("https://www.773grp.com/manufacturer/onsemi?pageNo=778", "ON Semiconductor")</f>
        <v>ON Semiconductor</v>
      </c>
      <c r="C29932" s="6">
        <v>11911</v>
      </c>
      <c r="D29932" s="7">
        <v>0.64</v>
      </c>
      <c r="E29932" t="s">
        <v>96</v>
      </c>
    </row>
    <row r="29933" spans="1:5" x14ac:dyDescent="0.25">
      <c r="A29933" t="str">
        <f>HYPERLINK("https://www.773grp.com/globalSearch/P6SMB22AT3G/page-1", "P6SMB22AT3G")</f>
        <v>P6SMB22AT3G</v>
      </c>
      <c r="B29933" s="3" t="str">
        <f>HYPERLINK("https://www.773grp.com/manufacturer/onsemi?pageNo=779", "ON Semiconductor")</f>
        <v>ON Semiconductor</v>
      </c>
      <c r="C29933" s="6">
        <v>18230</v>
      </c>
      <c r="D29933" s="7">
        <v>0.64</v>
      </c>
      <c r="E29933" t="s">
        <v>96</v>
      </c>
    </row>
    <row r="29934" spans="1:5" x14ac:dyDescent="0.25">
      <c r="A29934" t="str">
        <f>HYPERLINK("https://www.773grp.com/globalSearch/P6SMB27AT3G/page-1", "P6SMB27AT3G")</f>
        <v>P6SMB27AT3G</v>
      </c>
      <c r="B29934" s="3" t="str">
        <f>HYPERLINK("https://www.773grp.com/manufacturer/onsemi?pageNo=780", "ON Semiconductor")</f>
        <v>ON Semiconductor</v>
      </c>
      <c r="C29934" s="6">
        <v>67400</v>
      </c>
      <c r="D29934" s="7">
        <v>0.64</v>
      </c>
      <c r="E29934" t="s">
        <v>96</v>
      </c>
    </row>
    <row r="29935" spans="1:5" x14ac:dyDescent="0.25">
      <c r="A29935" t="str">
        <f>HYPERLINK("https://www.773grp.com/globalSearch/P6SMB30AT3G/page-1", "P6SMB30AT3G")</f>
        <v>P6SMB30AT3G</v>
      </c>
      <c r="B29935" s="3" t="str">
        <f>HYPERLINK("https://www.773grp.com/manufacturer/onsemi?pageNo=781", "ON Semiconductor")</f>
        <v>ON Semiconductor</v>
      </c>
      <c r="C29935" s="6">
        <v>27352</v>
      </c>
      <c r="D29935" s="7">
        <v>0.64</v>
      </c>
      <c r="E29935" t="s">
        <v>96</v>
      </c>
    </row>
    <row r="29936" spans="1:5" x14ac:dyDescent="0.25">
      <c r="A29936" t="str">
        <f>HYPERLINK("https://www.773grp.com/globalSearch/P6SMB33AT3G/page-1", "P6SMB33AT3G")</f>
        <v>P6SMB33AT3G</v>
      </c>
      <c r="B29936" s="3" t="str">
        <f>HYPERLINK("https://www.773grp.com/manufacturer/onsemi?pageNo=782", "ON Semiconductor")</f>
        <v>ON Semiconductor</v>
      </c>
      <c r="C29936" s="6">
        <v>32335</v>
      </c>
      <c r="D29936" s="7">
        <v>0.64</v>
      </c>
      <c r="E29936" t="s">
        <v>96</v>
      </c>
    </row>
    <row r="29937" spans="1:5" x14ac:dyDescent="0.25">
      <c r="A29937" t="str">
        <f>HYPERLINK("https://www.773grp.com/globalSearch/P6SMB36AT3G/page-1", "P6SMB36AT3G")</f>
        <v>P6SMB36AT3G</v>
      </c>
      <c r="B29937" s="3" t="str">
        <f>HYPERLINK("https://www.773grp.com/manufacturer/onsemi?pageNo=783", "ON Semiconductor")</f>
        <v>ON Semiconductor</v>
      </c>
      <c r="C29937" s="6">
        <v>30000</v>
      </c>
      <c r="D29937" s="7">
        <v>0.64</v>
      </c>
      <c r="E29937" t="s">
        <v>96</v>
      </c>
    </row>
    <row r="29938" spans="1:5" x14ac:dyDescent="0.25">
      <c r="A29938" t="str">
        <f>HYPERLINK("https://www.773grp.com/globalSearch/P6SMB39AT3G/page-1", "P6SMB39AT3G")</f>
        <v>P6SMB39AT3G</v>
      </c>
      <c r="B29938" s="3" t="str">
        <f>HYPERLINK("https://www.773grp.com/manufacturer/onsemi?pageNo=784", "ON Semiconductor")</f>
        <v>ON Semiconductor</v>
      </c>
      <c r="C29938" s="6">
        <v>16598</v>
      </c>
      <c r="D29938" s="7">
        <v>0.64</v>
      </c>
      <c r="E29938" t="s">
        <v>96</v>
      </c>
    </row>
    <row r="29939" spans="1:5" x14ac:dyDescent="0.25">
      <c r="A29939" t="str">
        <f>HYPERLINK("https://www.773grp.com/globalSearch/P6SMB43AT3G/page-1", "P6SMB43AT3G")</f>
        <v>P6SMB43AT3G</v>
      </c>
      <c r="B29939" s="3" t="str">
        <f>HYPERLINK("https://www.773grp.com/manufacturer/onsemi?pageNo=785", "ON Semiconductor")</f>
        <v>ON Semiconductor</v>
      </c>
      <c r="C29939" s="6">
        <v>7500</v>
      </c>
      <c r="D29939" s="7">
        <v>0.64</v>
      </c>
    </row>
    <row r="29940" spans="1:5" x14ac:dyDescent="0.25">
      <c r="A29940" t="str">
        <f>HYPERLINK("https://www.773grp.com/globalSearch/P6SMB51AT3G/page-1", "P6SMB51AT3G")</f>
        <v>P6SMB51AT3G</v>
      </c>
      <c r="B29940" s="3" t="str">
        <f>HYPERLINK("https://www.773grp.com/manufacturer/onsemi?pageNo=786", "ON Semiconductor")</f>
        <v>ON Semiconductor</v>
      </c>
      <c r="C29940" s="6">
        <v>22500</v>
      </c>
      <c r="D29940" s="7">
        <v>0.64</v>
      </c>
    </row>
    <row r="29941" spans="1:5" x14ac:dyDescent="0.25">
      <c r="A29941" t="str">
        <f>HYPERLINK("https://www.773grp.com/globalSearch/P6SMB6.8AT3G/page-1", "P6SMB6.8AT3G")</f>
        <v>P6SMB6.8AT3G</v>
      </c>
      <c r="B29941" s="3" t="str">
        <f>HYPERLINK("https://www.773grp.com/manufacturer/onsemi?pageNo=787", "ON Semiconductor")</f>
        <v>ON Semiconductor</v>
      </c>
      <c r="C29941" s="6">
        <v>57500</v>
      </c>
      <c r="D29941" s="7">
        <v>0.64</v>
      </c>
      <c r="E29941" t="s">
        <v>96</v>
      </c>
    </row>
    <row r="29942" spans="1:5" x14ac:dyDescent="0.25">
      <c r="A29942" t="str">
        <f>HYPERLINK("https://www.773grp.com/globalSearch/P6SMB68AT3G/page-1", "P6SMB68AT3G")</f>
        <v>P6SMB68AT3G</v>
      </c>
      <c r="B29942" s="3" t="str">
        <f>HYPERLINK("https://www.773grp.com/manufacturer/onsemi?pageNo=788", "ON Semiconductor")</f>
        <v>ON Semiconductor</v>
      </c>
      <c r="C29942" s="6">
        <v>762490</v>
      </c>
      <c r="D29942" s="7">
        <v>0.64</v>
      </c>
      <c r="E29942" t="s">
        <v>96</v>
      </c>
    </row>
    <row r="29943" spans="1:5" x14ac:dyDescent="0.25">
      <c r="A29943" t="str">
        <f>HYPERLINK("https://www.773grp.com/globalSearch/P6SMB82AT3G/page-1", "P6SMB82AT3G")</f>
        <v>P6SMB82AT3G</v>
      </c>
      <c r="B29943" s="3" t="str">
        <f>HYPERLINK("https://www.773grp.com/manufacturer/onsemi?pageNo=789", "ON Semiconductor")</f>
        <v>ON Semiconductor</v>
      </c>
      <c r="C29943" s="6">
        <v>11879</v>
      </c>
      <c r="D29943" s="7">
        <v>0.64</v>
      </c>
      <c r="E29943" t="s">
        <v>96</v>
      </c>
    </row>
    <row r="29944" spans="1:5" x14ac:dyDescent="0.25">
      <c r="A29944" t="str">
        <f>HYPERLINK("https://www.773grp.com/globalSearch/PCP1103-P-TD-H/page-1", "PCP1103-P-TD-H")</f>
        <v>PCP1103-P-TD-H</v>
      </c>
      <c r="B29944" s="3" t="str">
        <f>HYPERLINK("https://www.773grp.com/manufacturer/onsemi?pageNo=790", "ON Semiconductor")</f>
        <v>ON Semiconductor</v>
      </c>
      <c r="C29944" s="6">
        <v>21000</v>
      </c>
      <c r="D29944" s="7">
        <v>0.64</v>
      </c>
    </row>
    <row r="29945" spans="1:5" x14ac:dyDescent="0.25">
      <c r="A29945" t="str">
        <f>HYPERLINK("https://www.773grp.com/globalSearch/PZTA42T1G/page-1", "PZTA42T1G")</f>
        <v>PZTA42T1G</v>
      </c>
      <c r="B29945" s="3" t="str">
        <f>HYPERLINK("https://www.773grp.com/manufacturer/onsemi?pageNo=791", "ON Semiconductor")</f>
        <v>ON Semiconductor</v>
      </c>
      <c r="C29945" s="6">
        <v>22933</v>
      </c>
      <c r="D29945" s="7">
        <v>0.64</v>
      </c>
      <c r="E29945" t="s">
        <v>69</v>
      </c>
    </row>
    <row r="29946" spans="1:5" x14ac:dyDescent="0.25">
      <c r="A29946" t="str">
        <f>HYPERLINK("https://www.773grp.com/globalSearch/PZTA92T1G/page-1", "PZTA92T1G")</f>
        <v>PZTA92T1G</v>
      </c>
      <c r="B29946" s="3" t="str">
        <f>HYPERLINK("https://www.773grp.com/manufacturer/onsemi?pageNo=792", "ON Semiconductor")</f>
        <v>ON Semiconductor</v>
      </c>
      <c r="C29946" s="6">
        <v>867</v>
      </c>
      <c r="D29946" s="7">
        <v>0.64</v>
      </c>
      <c r="E29946" t="s">
        <v>69</v>
      </c>
    </row>
    <row r="29947" spans="1:5" x14ac:dyDescent="0.25">
      <c r="A29947" t="str">
        <f>HYPERLINK("https://www.773grp.com/globalSearch/SA14053BDR2/page-1", "SA14053BDR2")</f>
        <v>SA14053BDR2</v>
      </c>
      <c r="B29947" s="3" t="str">
        <f>HYPERLINK("https://www.773grp.com/manufacturer/onsemi?pageNo=793", "ON Semiconductor")</f>
        <v>ON Semiconductor</v>
      </c>
      <c r="C29947" s="6">
        <v>10000</v>
      </c>
      <c r="D29947" s="7">
        <v>0.64</v>
      </c>
    </row>
    <row r="29948" spans="1:5" x14ac:dyDescent="0.25">
      <c r="A29948" t="str">
        <f>HYPERLINK("https://www.773grp.com/globalSearch/SBCP56T1G/page-1", "SBCP56T1G")</f>
        <v>SBCP56T1G</v>
      </c>
      <c r="B29948" s="3" t="str">
        <f>HYPERLINK("https://www.773grp.com/manufacturer/onsemi?pageNo=794", "ON Semiconductor")</f>
        <v>ON Semiconductor</v>
      </c>
      <c r="C29948" s="6">
        <v>43000</v>
      </c>
      <c r="D29948" s="7">
        <v>0.64</v>
      </c>
    </row>
    <row r="29949" spans="1:5" x14ac:dyDescent="0.25">
      <c r="A29949" t="str">
        <f>HYPERLINK("https://www.773grp.com/globalSearch/SBCP56T3G/page-1", "SBCP56T3G")</f>
        <v>SBCP56T3G</v>
      </c>
      <c r="B29949" s="3" t="str">
        <f>HYPERLINK("https://www.773grp.com/manufacturer/onsemi?pageNo=795", "ON Semiconductor")</f>
        <v>ON Semiconductor</v>
      </c>
      <c r="C29949" s="6">
        <v>140000</v>
      </c>
      <c r="D29949" s="7">
        <v>0.64</v>
      </c>
    </row>
    <row r="29950" spans="1:5" x14ac:dyDescent="0.25">
      <c r="A29950" t="str">
        <f>HYPERLINK("https://www.773grp.com/globalSearch/SC111616P/page-1", "SC111616P")</f>
        <v>SC111616P</v>
      </c>
      <c r="B29950" s="3" t="str">
        <f>HYPERLINK("https://www.773grp.com/manufacturer/onsemi?pageNo=796", "ON Semiconductor")</f>
        <v>ON Semiconductor</v>
      </c>
      <c r="C29950" s="6">
        <v>3020</v>
      </c>
      <c r="D29950" s="7">
        <v>0.64</v>
      </c>
    </row>
    <row r="29951" spans="1:5" x14ac:dyDescent="0.25">
      <c r="A29951" t="str">
        <f>HYPERLINK("https://www.773grp.com/globalSearch/SC27962PK00/page-1", "SC27962PK00")</f>
        <v>SC27962PK00</v>
      </c>
      <c r="B29951" s="3" t="str">
        <f>HYPERLINK("https://www.773grp.com/manufacturer/onsemi?pageNo=797", "ON Semiconductor")</f>
        <v>ON Semiconductor</v>
      </c>
      <c r="C29951" s="6">
        <v>195</v>
      </c>
      <c r="D29951" s="7">
        <v>0.64</v>
      </c>
    </row>
    <row r="29952" spans="1:5" x14ac:dyDescent="0.25">
      <c r="A29952" t="str">
        <f>HYPERLINK("https://www.773grp.com/globalSearch/SC27962PK85/page-1", "SC27962PK85")</f>
        <v>SC27962PK85</v>
      </c>
      <c r="B29952" s="3" t="str">
        <f>HYPERLINK("https://www.773grp.com/manufacturer/onsemi?pageNo=798", "ON Semiconductor")</f>
        <v>ON Semiconductor</v>
      </c>
      <c r="C29952" s="6">
        <v>1817</v>
      </c>
      <c r="D29952" s="7">
        <v>0.64</v>
      </c>
    </row>
    <row r="29953" spans="1:5" x14ac:dyDescent="0.25">
      <c r="A29953" t="str">
        <f>HYPERLINK("https://www.773grp.com/globalSearch/SC27965P245/page-1", "SC27965P245")</f>
        <v>SC27965P245</v>
      </c>
      <c r="B29953" s="3" t="str">
        <f>HYPERLINK("https://www.773grp.com/manufacturer/onsemi?pageNo=799", "ON Semiconductor")</f>
        <v>ON Semiconductor</v>
      </c>
      <c r="C29953" s="6">
        <v>558</v>
      </c>
      <c r="D29953" s="7">
        <v>0.64</v>
      </c>
    </row>
    <row r="29954" spans="1:5" x14ac:dyDescent="0.25">
      <c r="A29954" t="str">
        <f>HYPERLINK("https://www.773grp.com/globalSearch/SC27973PK123/page-1", "SC27973PK123")</f>
        <v>SC27973PK123</v>
      </c>
      <c r="B29954" s="3" t="str">
        <f>HYPERLINK("https://www.773grp.com/manufacturer/onsemi?pageNo=800", "ON Semiconductor")</f>
        <v>ON Semiconductor</v>
      </c>
      <c r="C29954" s="6">
        <v>3000</v>
      </c>
      <c r="D29954" s="7">
        <v>0.64</v>
      </c>
    </row>
    <row r="29955" spans="1:5" x14ac:dyDescent="0.25">
      <c r="A29955" t="str">
        <f>HYPERLINK("https://www.773grp.com/globalSearch/SC27975LK393/page-1", "SC27975LK393")</f>
        <v>SC27975LK393</v>
      </c>
      <c r="B29955" s="3" t="str">
        <f>HYPERLINK("https://www.773grp.com/manufacturer/onsemi?pageNo=801", "ON Semiconductor")</f>
        <v>ON Semiconductor</v>
      </c>
      <c r="C29955" s="6">
        <v>4589</v>
      </c>
      <c r="D29955" s="7">
        <v>0.64</v>
      </c>
    </row>
    <row r="29956" spans="1:5" x14ac:dyDescent="0.25">
      <c r="A29956" t="str">
        <f>HYPERLINK("https://www.773grp.com/globalSearch/SC27975PK139/page-1", "SC27975PK139")</f>
        <v>SC27975PK139</v>
      </c>
      <c r="B29956" s="3" t="str">
        <f>HYPERLINK("https://www.773grp.com/manufacturer/onsemi?pageNo=802", "ON Semiconductor")</f>
        <v>ON Semiconductor</v>
      </c>
      <c r="C29956" s="6">
        <v>4262</v>
      </c>
      <c r="D29956" s="7">
        <v>0.64</v>
      </c>
    </row>
    <row r="29957" spans="1:5" x14ac:dyDescent="0.25">
      <c r="A29957" t="str">
        <f>HYPERLINK("https://www.773grp.com/globalSearch/SC27975PK257/page-1", "SC27975PK257")</f>
        <v>SC27975PK257</v>
      </c>
      <c r="B29957" s="3" t="str">
        <f>HYPERLINK("https://www.773grp.com/manufacturer/onsemi?pageNo=803", "ON Semiconductor")</f>
        <v>ON Semiconductor</v>
      </c>
      <c r="C29957" s="6">
        <v>4350</v>
      </c>
      <c r="D29957" s="7">
        <v>0.64</v>
      </c>
    </row>
    <row r="29958" spans="1:5" x14ac:dyDescent="0.25">
      <c r="A29958" t="str">
        <f>HYPERLINK("https://www.773grp.com/globalSearch/SC27975PK374/page-1", "SC27975PK374")</f>
        <v>SC27975PK374</v>
      </c>
      <c r="B29958" s="3" t="str">
        <f>HYPERLINK("https://www.773grp.com/manufacturer/onsemi?pageNo=804", "ON Semiconductor")</f>
        <v>ON Semiconductor</v>
      </c>
      <c r="C29958" s="6">
        <v>4248</v>
      </c>
      <c r="D29958" s="7">
        <v>0.64</v>
      </c>
    </row>
    <row r="29959" spans="1:5" x14ac:dyDescent="0.25">
      <c r="A29959" t="str">
        <f>HYPERLINK("https://www.773grp.com/globalSearch/SC2903N/page-1", "SC2903N")</f>
        <v>SC2903N</v>
      </c>
      <c r="B29959" s="3" t="str">
        <f>HYPERLINK("https://www.773grp.com/manufacturer/onsemi?pageNo=805", "ON Semiconductor")</f>
        <v>ON Semiconductor</v>
      </c>
      <c r="C29959" s="6">
        <v>5000</v>
      </c>
      <c r="D29959" s="7">
        <v>0.64</v>
      </c>
    </row>
    <row r="29960" spans="1:5" x14ac:dyDescent="0.25">
      <c r="A29960" t="str">
        <f>HYPERLINK("https://www.773grp.com/globalSearch/SC2904N/page-1", "SC2904N")</f>
        <v>SC2904N</v>
      </c>
      <c r="B29960" s="3" t="str">
        <f>HYPERLINK("https://www.773grp.com/manufacturer/onsemi?pageNo=806", "ON Semiconductor")</f>
        <v>ON Semiconductor</v>
      </c>
      <c r="C29960" s="6">
        <v>4500</v>
      </c>
      <c r="D29960" s="7">
        <v>0.64</v>
      </c>
    </row>
    <row r="29961" spans="1:5" x14ac:dyDescent="0.25">
      <c r="A29961" t="str">
        <f>HYPERLINK("https://www.773grp.com/globalSearch/SC358DR2G/page-1", "SC358DR2G")</f>
        <v>SC358DR2G</v>
      </c>
      <c r="B29961" s="3" t="str">
        <f>HYPERLINK("https://www.773grp.com/manufacturer/onsemi?pageNo=807", "ON Semiconductor")</f>
        <v>ON Semiconductor</v>
      </c>
      <c r="C29961" s="6">
        <v>2663</v>
      </c>
      <c r="D29961" s="7">
        <v>0.64</v>
      </c>
    </row>
    <row r="29962" spans="1:5" x14ac:dyDescent="0.25">
      <c r="A29962" t="str">
        <f>HYPERLINK("https://www.773grp.com/globalSearch/SC393DR2G/page-1", "SC393DR2G")</f>
        <v>SC393DR2G</v>
      </c>
      <c r="B29962" s="3" t="str">
        <f>HYPERLINK("https://www.773grp.com/manufacturer/onsemi?pageNo=808", "ON Semiconductor")</f>
        <v>ON Semiconductor</v>
      </c>
      <c r="C29962" s="6">
        <v>631</v>
      </c>
      <c r="D29962" s="7">
        <v>0.64</v>
      </c>
    </row>
    <row r="29963" spans="1:5" x14ac:dyDescent="0.25">
      <c r="A29963" t="str">
        <f>HYPERLINK("https://www.773grp.com/globalSearch/SN74LS22N/page-1", "SN74LS22N")</f>
        <v>SN74LS22N</v>
      </c>
      <c r="B29963" s="3" t="str">
        <f>HYPERLINK("https://www.773grp.com/manufacturer/onsemi?pageNo=809", "ON Semiconductor")</f>
        <v>ON Semiconductor</v>
      </c>
      <c r="C29963" s="6">
        <v>8355</v>
      </c>
      <c r="D29963" s="7">
        <v>0.64</v>
      </c>
      <c r="E29963" t="s">
        <v>31</v>
      </c>
    </row>
    <row r="29964" spans="1:5" x14ac:dyDescent="0.25">
      <c r="A29964" t="str">
        <f>HYPERLINK("https://www.773grp.com/globalSearch/SN74LS33D/page-1", "SN74LS33D")</f>
        <v>SN74LS33D</v>
      </c>
      <c r="B29964" s="3" t="str">
        <f>HYPERLINK("https://www.773grp.com/manufacturer/onsemi?pageNo=810", "ON Semiconductor")</f>
        <v>ON Semiconductor</v>
      </c>
      <c r="C29964" s="6">
        <v>4605</v>
      </c>
      <c r="D29964" s="7">
        <v>0.64</v>
      </c>
      <c r="E29964" t="s">
        <v>31</v>
      </c>
    </row>
    <row r="29965" spans="1:5" x14ac:dyDescent="0.25">
      <c r="A29965" t="str">
        <f>HYPERLINK("https://www.773grp.com/globalSearch/SN74LS33DR2/page-1", "SN74LS33DR2")</f>
        <v>SN74LS33DR2</v>
      </c>
      <c r="B29965" s="3" t="str">
        <f>HYPERLINK("https://www.773grp.com/manufacturer/onsemi?pageNo=811", "ON Semiconductor")</f>
        <v>ON Semiconductor</v>
      </c>
      <c r="C29965" s="6">
        <v>2500</v>
      </c>
      <c r="D29965" s="7">
        <v>0.64</v>
      </c>
      <c r="E29965" t="s">
        <v>31</v>
      </c>
    </row>
    <row r="29966" spans="1:5" x14ac:dyDescent="0.25">
      <c r="A29966" t="str">
        <f>HYPERLINK("https://www.773grp.com/globalSearch/SN74LS38D/page-1", "SN74LS38D")</f>
        <v>SN74LS38D</v>
      </c>
      <c r="B29966" s="3" t="str">
        <f>HYPERLINK("https://www.773grp.com/manufacturer/onsemi?pageNo=812", "ON Semiconductor")</f>
        <v>ON Semiconductor</v>
      </c>
      <c r="C29966" s="6">
        <v>9222</v>
      </c>
      <c r="D29966" s="7">
        <v>0.64</v>
      </c>
      <c r="E29966" t="s">
        <v>31</v>
      </c>
    </row>
    <row r="29967" spans="1:5" x14ac:dyDescent="0.25">
      <c r="A29967" t="str">
        <f>HYPERLINK("https://www.773grp.com/globalSearch/SN74LS38M/page-1", "SN74LS38M")</f>
        <v>SN74LS38M</v>
      </c>
      <c r="B29967" s="3" t="str">
        <f>HYPERLINK("https://www.773grp.com/manufacturer/onsemi?pageNo=813", "ON Semiconductor")</f>
        <v>ON Semiconductor</v>
      </c>
      <c r="C29967" s="6">
        <v>769</v>
      </c>
      <c r="D29967" s="7">
        <v>0.64</v>
      </c>
      <c r="E29967" t="s">
        <v>31</v>
      </c>
    </row>
    <row r="29968" spans="1:5" x14ac:dyDescent="0.25">
      <c r="A29968" t="str">
        <f>HYPERLINK("https://www.773grp.com/globalSearch/SN74LS38M/page-1", "SN74LS38M")</f>
        <v>SN74LS38M</v>
      </c>
      <c r="B29968" s="3" t="str">
        <f>HYPERLINK("https://www.773grp.com/manufacturer/onsemi?pageNo=814", "ON Semiconductor")</f>
        <v>ON Semiconductor</v>
      </c>
      <c r="C29968" s="6">
        <v>350</v>
      </c>
      <c r="D29968" s="7">
        <v>0.64</v>
      </c>
      <c r="E29968" t="s">
        <v>31</v>
      </c>
    </row>
    <row r="29969" spans="1:5" x14ac:dyDescent="0.25">
      <c r="A29969" t="str">
        <f>HYPERLINK("https://www.773grp.com/globalSearch/SN74LS38MEL/page-1", "SN74LS38MEL")</f>
        <v>SN74LS38MEL</v>
      </c>
      <c r="B29969" s="3" t="str">
        <f>HYPERLINK("https://www.773grp.com/manufacturer/onsemi?pageNo=815", "ON Semiconductor")</f>
        <v>ON Semiconductor</v>
      </c>
      <c r="C29969" s="6">
        <v>20000</v>
      </c>
      <c r="D29969" s="7">
        <v>0.64</v>
      </c>
      <c r="E29969" t="s">
        <v>31</v>
      </c>
    </row>
    <row r="29970" spans="1:5" x14ac:dyDescent="0.25">
      <c r="A29970" t="str">
        <f>HYPERLINK("https://www.773grp.com/globalSearch/SN74LS38ML1/page-1", "SN74LS38ML1")</f>
        <v>SN74LS38ML1</v>
      </c>
      <c r="B29970" s="3" t="str">
        <f>HYPERLINK("https://www.773grp.com/manufacturer/onsemi?pageNo=816", "ON Semiconductor")</f>
        <v>ON Semiconductor</v>
      </c>
      <c r="C29970" s="6">
        <v>3000</v>
      </c>
      <c r="D29970" s="7">
        <v>0.64</v>
      </c>
    </row>
    <row r="29971" spans="1:5" x14ac:dyDescent="0.25">
      <c r="A29971" t="str">
        <f>HYPERLINK("https://www.773grp.com/globalSearch/SN74LS38MR1/page-1", "SN74LS38MR1")</f>
        <v>SN74LS38MR1</v>
      </c>
      <c r="B29971" s="3" t="str">
        <f>HYPERLINK("https://www.773grp.com/manufacturer/onsemi?pageNo=817", "ON Semiconductor")</f>
        <v>ON Semiconductor</v>
      </c>
      <c r="C29971" s="6">
        <v>22000</v>
      </c>
      <c r="D29971" s="7">
        <v>0.64</v>
      </c>
      <c r="E29971" t="s">
        <v>31</v>
      </c>
    </row>
    <row r="29972" spans="1:5" x14ac:dyDescent="0.25">
      <c r="A29972" t="str">
        <f>HYPERLINK("https://www.773grp.com/globalSearch/SN74LS74AM/page-1", "SN74LS74AM")</f>
        <v>SN74LS74AM</v>
      </c>
      <c r="B29972" s="3" t="str">
        <f>HYPERLINK("https://www.773grp.com/manufacturer/onsemi?pageNo=818", "ON Semiconductor")</f>
        <v>ON Semiconductor</v>
      </c>
      <c r="C29972" s="6">
        <v>4500</v>
      </c>
      <c r="D29972" s="7">
        <v>0.64</v>
      </c>
      <c r="E29972" t="s">
        <v>35</v>
      </c>
    </row>
    <row r="29973" spans="1:5" x14ac:dyDescent="0.25">
      <c r="A29973" t="str">
        <f>HYPERLINK("https://www.773grp.com/globalSearch/SN74LS74AMEL/page-1", "SN74LS74AMEL")</f>
        <v>SN74LS74AMEL</v>
      </c>
      <c r="B29973" s="3" t="str">
        <f>HYPERLINK("https://www.773grp.com/manufacturer/onsemi?pageNo=819", "ON Semiconductor")</f>
        <v>ON Semiconductor</v>
      </c>
      <c r="C29973" s="6">
        <v>8000</v>
      </c>
      <c r="D29973" s="7">
        <v>0.64</v>
      </c>
      <c r="E29973" t="s">
        <v>35</v>
      </c>
    </row>
    <row r="29974" spans="1:5" x14ac:dyDescent="0.25">
      <c r="A29974" t="str">
        <f>HYPERLINK("https://www.773grp.com/globalSearch/SN7LS122D/page-1", "SN7LS122D")</f>
        <v>SN7LS122D</v>
      </c>
      <c r="B29974" s="3" t="str">
        <f>HYPERLINK("https://www.773grp.com/manufacturer/onsemi?pageNo=820", "ON Semiconductor")</f>
        <v>ON Semiconductor</v>
      </c>
      <c r="C29974" s="6">
        <v>55</v>
      </c>
      <c r="D29974" s="7">
        <v>0.64</v>
      </c>
    </row>
    <row r="29975" spans="1:5" x14ac:dyDescent="0.25">
      <c r="A29975" t="str">
        <f>HYPERLINK("https://www.773grp.com/globalSearch/SNJ74LS14N/page-1", "SNJ74LS14N")</f>
        <v>SNJ74LS14N</v>
      </c>
      <c r="B29975" s="3" t="str">
        <f>HYPERLINK("https://www.773grp.com/manufacturer/onsemi?pageNo=821", "ON Semiconductor")</f>
        <v>ON Semiconductor</v>
      </c>
      <c r="C29975" s="6">
        <v>844</v>
      </c>
      <c r="D29975" s="7">
        <v>0.64</v>
      </c>
    </row>
    <row r="29976" spans="1:5" x14ac:dyDescent="0.25">
      <c r="A29976" t="str">
        <f>HYPERLINK("https://www.773grp.com/globalSearch/SNZF220DFT1G/page-1", "SNZF220DFT1G")</f>
        <v>SNZF220DFT1G</v>
      </c>
      <c r="B29976" s="3" t="str">
        <f>HYPERLINK("https://www.773grp.com/manufacturer/onsemi?pageNo=822", "ON Semiconductor")</f>
        <v>ON Semiconductor</v>
      </c>
      <c r="C29976" s="6">
        <v>60000</v>
      </c>
      <c r="D29976" s="7">
        <v>0.64</v>
      </c>
    </row>
    <row r="29977" spans="1:5" x14ac:dyDescent="0.25">
      <c r="A29977" t="str">
        <f>HYPERLINK("https://www.773grp.com/globalSearch/SS22T3G/page-1", "SS22T3G")</f>
        <v>SS22T3G</v>
      </c>
      <c r="B29977" s="3" t="str">
        <f>HYPERLINK("https://www.773grp.com/manufacturer/onsemi?pageNo=823", "ON Semiconductor")</f>
        <v>ON Semiconductor</v>
      </c>
      <c r="C29977" s="6">
        <v>92500</v>
      </c>
      <c r="D29977" s="7">
        <v>0.64</v>
      </c>
      <c r="E29977" t="s">
        <v>103</v>
      </c>
    </row>
    <row r="29978" spans="1:5" x14ac:dyDescent="0.25">
      <c r="A29978" t="str">
        <f>HYPERLINK("https://www.773grp.com/globalSearch/SS24T3G/page-1", "SS24T3G")</f>
        <v>SS24T3G</v>
      </c>
      <c r="B29978" s="3" t="str">
        <f>HYPERLINK("https://www.773grp.com/manufacturer/onsemi?pageNo=824", "ON Semiconductor")</f>
        <v>ON Semiconductor</v>
      </c>
      <c r="C29978" s="6">
        <v>334830</v>
      </c>
      <c r="D29978" s="7">
        <v>0.64</v>
      </c>
      <c r="E29978" t="s">
        <v>103</v>
      </c>
    </row>
    <row r="29979" spans="1:5" x14ac:dyDescent="0.25">
      <c r="A29979" t="str">
        <f>HYPERLINK("https://www.773grp.com/globalSearch/SS26T3G/page-1", "SS26T3G")</f>
        <v>SS26T3G</v>
      </c>
      <c r="B29979" s="3" t="str">
        <f>HYPERLINK("https://www.773grp.com/manufacturer/onsemi?pageNo=825", "ON Semiconductor")</f>
        <v>ON Semiconductor</v>
      </c>
      <c r="C29979" s="6">
        <v>72700</v>
      </c>
      <c r="D29979" s="7">
        <v>0.64</v>
      </c>
      <c r="E29979" t="s">
        <v>103</v>
      </c>
    </row>
    <row r="29980" spans="1:5" x14ac:dyDescent="0.25">
      <c r="A29980" t="str">
        <f>HYPERLINK("https://www.773grp.com/globalSearch/SZ1SMA20AT3G/page-1", "SZ1SMA20AT3G")</f>
        <v>SZ1SMA20AT3G</v>
      </c>
      <c r="B29980" s="3" t="str">
        <f>HYPERLINK("https://www.773grp.com/manufacturer/onsemi?pageNo=826", "ON Semiconductor")</f>
        <v>ON Semiconductor</v>
      </c>
      <c r="C29980" s="6">
        <v>15000</v>
      </c>
      <c r="D29980" s="7">
        <v>0.64</v>
      </c>
    </row>
    <row r="29981" spans="1:5" x14ac:dyDescent="0.25">
      <c r="A29981" t="str">
        <f>HYPERLINK("https://www.773grp.com/globalSearch/TIP29A/page-1", "TIP29A")</f>
        <v>TIP29A</v>
      </c>
      <c r="B29981" s="3" t="str">
        <f>HYPERLINK("https://www.773grp.com/manufacturer/onsemi?pageNo=827", "ON Semiconductor")</f>
        <v>ON Semiconductor</v>
      </c>
      <c r="C29981" s="6">
        <v>3041</v>
      </c>
      <c r="D29981" s="7">
        <v>0.64</v>
      </c>
      <c r="E29981" t="s">
        <v>59</v>
      </c>
    </row>
    <row r="29982" spans="1:5" x14ac:dyDescent="0.25">
      <c r="A29982" t="str">
        <f>HYPERLINK("https://www.773grp.com/globalSearch/TIP29B/page-1", "TIP29B")</f>
        <v>TIP29B</v>
      </c>
      <c r="B29982" s="3" t="str">
        <f>HYPERLINK("https://www.773grp.com/manufacturer/onsemi?pageNo=828", "ON Semiconductor")</f>
        <v>ON Semiconductor</v>
      </c>
      <c r="C29982" s="6">
        <v>3200</v>
      </c>
      <c r="D29982" s="7">
        <v>0.64</v>
      </c>
      <c r="E29982" t="s">
        <v>59</v>
      </c>
    </row>
    <row r="29983" spans="1:5" x14ac:dyDescent="0.25">
      <c r="A29983" t="str">
        <f>HYPERLINK("https://www.773grp.com/globalSearch/TIP29C/page-1", "TIP29C")</f>
        <v>TIP29C</v>
      </c>
      <c r="B29983" s="3" t="str">
        <f>HYPERLINK("https://www.773grp.com/manufacturer/onsemi?pageNo=829", "ON Semiconductor")</f>
        <v>ON Semiconductor</v>
      </c>
      <c r="C29983" s="6">
        <v>844</v>
      </c>
      <c r="D29983" s="7">
        <v>0.64</v>
      </c>
      <c r="E29983" t="s">
        <v>59</v>
      </c>
    </row>
    <row r="29984" spans="1:5" x14ac:dyDescent="0.25">
      <c r="A29984" t="str">
        <f>HYPERLINK("https://www.773grp.com/globalSearch/TL082CD/page-1", "TL082CD")</f>
        <v>TL082CD</v>
      </c>
      <c r="B29984" s="3" t="str">
        <f>HYPERLINK("https://www.773grp.com/manufacturer/onsemi?pageNo=830", "ON Semiconductor")</f>
        <v>ON Semiconductor</v>
      </c>
      <c r="C29984" s="6">
        <v>583</v>
      </c>
      <c r="D29984" s="7">
        <v>0.64</v>
      </c>
      <c r="E29984" t="s">
        <v>13</v>
      </c>
    </row>
    <row r="29985" spans="1:5" x14ac:dyDescent="0.25">
      <c r="A29985" t="str">
        <f>HYPERLINK("https://www.773grp.com/globalSearch/TL431BIDMR2/page-1", "TL431BIDMR2")</f>
        <v>TL431BIDMR2</v>
      </c>
      <c r="B29985" s="3" t="str">
        <f>HYPERLINK("https://www.773grp.com/manufacturer/onsemi?pageNo=831", "ON Semiconductor")</f>
        <v>ON Semiconductor</v>
      </c>
      <c r="C29985" s="6">
        <v>3974</v>
      </c>
      <c r="D29985" s="7">
        <v>0.64</v>
      </c>
      <c r="E29985" t="s">
        <v>17</v>
      </c>
    </row>
    <row r="29986" spans="1:5" x14ac:dyDescent="0.25">
      <c r="A29986" t="str">
        <f>HYPERLINK("https://www.773grp.com/globalSearch/TLV431ALPG/page-1", "TLV431ALPG")</f>
        <v>TLV431ALPG</v>
      </c>
      <c r="B29986" s="3" t="str">
        <f>HYPERLINK("https://www.773grp.com/manufacturer/onsemi?pageNo=832", "ON Semiconductor")</f>
        <v>ON Semiconductor</v>
      </c>
      <c r="C29986" s="6">
        <v>101002</v>
      </c>
      <c r="D29986" s="7">
        <v>0.64</v>
      </c>
      <c r="E29986" t="s">
        <v>17</v>
      </c>
    </row>
    <row r="29987" spans="1:5" x14ac:dyDescent="0.25">
      <c r="A29987" t="str">
        <f>HYPERLINK("https://www.773grp.com/globalSearch/VN2222LL/page-1", "VN2222LL")</f>
        <v>VN2222LL</v>
      </c>
      <c r="B29987" s="3" t="str">
        <f>HYPERLINK("https://www.773grp.com/manufacturer/onsemi?pageNo=833", "ON Semiconductor")</f>
        <v>ON Semiconductor</v>
      </c>
      <c r="C29987" s="6">
        <v>1000</v>
      </c>
      <c r="D29987" s="7">
        <v>0.64</v>
      </c>
      <c r="E29987" t="s">
        <v>106</v>
      </c>
    </row>
    <row r="29988" spans="1:5" x14ac:dyDescent="0.25">
      <c r="A29988" t="str">
        <f>HYPERLINK("https://www.773grp.com/globalSearch/Z0103MARL1G/page-1", "Z0103MARL1G")</f>
        <v>Z0103MARL1G</v>
      </c>
      <c r="B29988" s="3" t="str">
        <f>HYPERLINK("https://www.773grp.com/manufacturer/onsemi?pageNo=834", "ON Semiconductor")</f>
        <v>ON Semiconductor</v>
      </c>
      <c r="C29988" s="6">
        <v>4000</v>
      </c>
      <c r="D29988" s="7">
        <v>0.64</v>
      </c>
    </row>
    <row r="29989" spans="1:5" x14ac:dyDescent="0.25">
      <c r="A29989" t="str">
        <f>HYPERLINK("https://www.773grp.com/globalSearch/Z0103MARLRFG/page-1", "Z0103MARLRFG")</f>
        <v>Z0103MARLRFG</v>
      </c>
      <c r="B29989" s="3" t="str">
        <f>HYPERLINK("https://www.773grp.com/manufacturer/onsemi?pageNo=835", "ON Semiconductor")</f>
        <v>ON Semiconductor</v>
      </c>
      <c r="C29989" s="6">
        <v>2000</v>
      </c>
      <c r="D29989" s="7">
        <v>0.64</v>
      </c>
    </row>
    <row r="29990" spans="1:5" x14ac:dyDescent="0.25">
      <c r="A29990" t="str">
        <f>HYPERLINK("https://www.773grp.com/globalSearch/Z0103MNT1G/page-1", "Z0103MNT1G")</f>
        <v>Z0103MNT1G</v>
      </c>
      <c r="B29990" s="3" t="str">
        <f>HYPERLINK("https://www.773grp.com/manufacturer/onsemi?pageNo=836", "ON Semiconductor")</f>
        <v>ON Semiconductor</v>
      </c>
      <c r="C29990" s="6">
        <v>74000</v>
      </c>
      <c r="D29990" s="7">
        <v>0.64</v>
      </c>
    </row>
    <row r="29991" spans="1:5" x14ac:dyDescent="0.25">
      <c r="A29991" t="str">
        <f>HYPERLINK("https://www.773grp.com/globalSearch/Z0107MARL1G/page-1", "Z0107MARL1G")</f>
        <v>Z0107MARL1G</v>
      </c>
      <c r="B29991" s="3" t="str">
        <f>HYPERLINK("https://www.773grp.com/manufacturer/onsemi?pageNo=837", "ON Semiconductor")</f>
        <v>ON Semiconductor</v>
      </c>
      <c r="C29991" s="6">
        <v>28000</v>
      </c>
      <c r="D29991" s="7">
        <v>0.64</v>
      </c>
      <c r="E29991" t="s">
        <v>102</v>
      </c>
    </row>
    <row r="29992" spans="1:5" x14ac:dyDescent="0.25">
      <c r="A29992" t="str">
        <f>HYPERLINK("https://www.773grp.com/globalSearch/Z0107MARLRPG/page-1", "Z0107MARLRPG")</f>
        <v>Z0107MARLRPG</v>
      </c>
      <c r="B29992" s="3" t="str">
        <f>HYPERLINK("https://www.773grp.com/manufacturer/onsemi?pageNo=838", "ON Semiconductor")</f>
        <v>ON Semiconductor</v>
      </c>
      <c r="C29992" s="6">
        <v>2000</v>
      </c>
      <c r="D29992" s="7">
        <v>0.64</v>
      </c>
      <c r="E29992" t="s">
        <v>102</v>
      </c>
    </row>
    <row r="29993" spans="1:5" x14ac:dyDescent="0.25">
      <c r="A29993" t="str">
        <f>HYPERLINK("https://www.773grp.com/globalSearch/Z0109MARL1G/page-1", "Z0109MARL1G")</f>
        <v>Z0109MARL1G</v>
      </c>
      <c r="B29993" s="3" t="str">
        <f>HYPERLINK("https://www.773grp.com/manufacturer/onsemi?pageNo=839", "ON Semiconductor")</f>
        <v>ON Semiconductor</v>
      </c>
      <c r="C29993" s="6">
        <v>48000</v>
      </c>
      <c r="D29993" s="7">
        <v>0.64</v>
      </c>
      <c r="E29993" t="s">
        <v>102</v>
      </c>
    </row>
    <row r="29994" spans="1:5" x14ac:dyDescent="0.25">
      <c r="A29994" t="str">
        <f>HYPERLINK("https://www.773grp.com/globalSearch/Z0109MNT1G/page-1", "Z0109MNT1G")</f>
        <v>Z0109MNT1G</v>
      </c>
      <c r="B29994" s="3" t="str">
        <f>HYPERLINK("https://www.773grp.com/manufacturer/onsemi?pageNo=840", "ON Semiconductor")</f>
        <v>ON Semiconductor</v>
      </c>
      <c r="C29994" s="6">
        <v>17000</v>
      </c>
      <c r="D29994" s="7">
        <v>0.64</v>
      </c>
      <c r="E29994" t="s">
        <v>102</v>
      </c>
    </row>
    <row r="29995" spans="1:5" x14ac:dyDescent="0.25">
      <c r="A29995" t="str">
        <f>HYPERLINK("https://www.773grp.com/globalSearch/1.5KE10A/page-1", "1.5KE10A")</f>
        <v>1.5KE10A</v>
      </c>
      <c r="B29995" s="3" t="str">
        <f>HYPERLINK("https://www.773grp.com/manufacturer/onsemi?pageNo=841", "ON Semiconductor")</f>
        <v>ON Semiconductor</v>
      </c>
      <c r="C29995" s="6">
        <v>37</v>
      </c>
      <c r="D29995" s="7">
        <v>0.69</v>
      </c>
      <c r="E29995" t="s">
        <v>96</v>
      </c>
    </row>
    <row r="29996" spans="1:5" x14ac:dyDescent="0.25">
      <c r="A29996" t="str">
        <f>HYPERLINK("https://www.773grp.com/globalSearch/1.5KE10AG/page-1", "1.5KE10AG")</f>
        <v>1.5KE10AG</v>
      </c>
      <c r="B29996" s="3" t="str">
        <f>HYPERLINK("https://www.773grp.com/manufacturer/onsemi?pageNo=842", "ON Semiconductor")</f>
        <v>ON Semiconductor</v>
      </c>
      <c r="C29996" s="6">
        <v>2754</v>
      </c>
      <c r="D29996" s="7">
        <v>0.69</v>
      </c>
      <c r="E29996" t="s">
        <v>96</v>
      </c>
    </row>
    <row r="29997" spans="1:5" x14ac:dyDescent="0.25">
      <c r="A29997" t="str">
        <f>HYPERLINK("https://www.773grp.com/globalSearch/1.5KE11AG/page-1", "1.5KE11AG")</f>
        <v>1.5KE11AG</v>
      </c>
      <c r="B29997" s="3" t="str">
        <f>HYPERLINK("https://www.773grp.com/manufacturer/onsemi?pageNo=843", "ON Semiconductor")</f>
        <v>ON Semiconductor</v>
      </c>
      <c r="C29997" s="6">
        <v>2500</v>
      </c>
      <c r="D29997" s="7">
        <v>0.69</v>
      </c>
      <c r="E29997" t="s">
        <v>96</v>
      </c>
    </row>
    <row r="29998" spans="1:5" x14ac:dyDescent="0.25">
      <c r="A29998" t="str">
        <f>HYPERLINK("https://www.773grp.com/globalSearch/1.5KE11ARL4/page-1", "1.5KE11ARL4")</f>
        <v>1.5KE11ARL4</v>
      </c>
      <c r="B29998" s="3" t="str">
        <f>HYPERLINK("https://www.773grp.com/manufacturer/onsemi?pageNo=844", "ON Semiconductor")</f>
        <v>ON Semiconductor</v>
      </c>
      <c r="C29998" s="6">
        <v>6000</v>
      </c>
      <c r="D29998" s="7">
        <v>0.69</v>
      </c>
      <c r="E29998" t="s">
        <v>96</v>
      </c>
    </row>
    <row r="29999" spans="1:5" x14ac:dyDescent="0.25">
      <c r="A29999" t="str">
        <f>HYPERLINK("https://www.773grp.com/globalSearch/1.5KE12A/page-1", "1.5KE12A")</f>
        <v>1.5KE12A</v>
      </c>
      <c r="B29999" s="3" t="str">
        <f>HYPERLINK("https://www.773grp.com/manufacturer/onsemi?pageNo=845", "ON Semiconductor")</f>
        <v>ON Semiconductor</v>
      </c>
      <c r="C29999" s="6">
        <v>2500</v>
      </c>
      <c r="D29999" s="7">
        <v>0.69</v>
      </c>
      <c r="E29999" t="s">
        <v>96</v>
      </c>
    </row>
    <row r="30000" spans="1:5" x14ac:dyDescent="0.25">
      <c r="A30000" t="str">
        <f>HYPERLINK("https://www.773grp.com/globalSearch/1.5KE12ARL4/page-1", "1.5KE12ARL4")</f>
        <v>1.5KE12ARL4</v>
      </c>
      <c r="B30000" s="3" t="str">
        <f>HYPERLINK("https://www.773grp.com/manufacturer/onsemi?pageNo=846", "ON Semiconductor")</f>
        <v>ON Semiconductor</v>
      </c>
      <c r="C30000" s="6">
        <v>4500</v>
      </c>
      <c r="D30000" s="7">
        <v>0.69</v>
      </c>
      <c r="E30000" t="s">
        <v>96</v>
      </c>
    </row>
    <row r="30001" spans="1:5" x14ac:dyDescent="0.25">
      <c r="A30001" t="str">
        <f>HYPERLINK("https://www.773grp.com/globalSearch/1.5KE15A/page-1", "1.5KE15A")</f>
        <v>1.5KE15A</v>
      </c>
      <c r="B30001" s="3" t="str">
        <f>HYPERLINK("https://www.773grp.com/manufacturer/onsemi?pageNo=847", "ON Semiconductor")</f>
        <v>ON Semiconductor</v>
      </c>
      <c r="C30001" s="6">
        <v>2000</v>
      </c>
      <c r="D30001" s="7">
        <v>0.69</v>
      </c>
      <c r="E30001" t="s">
        <v>96</v>
      </c>
    </row>
    <row r="30002" spans="1:5" x14ac:dyDescent="0.25">
      <c r="A30002" t="str">
        <f>HYPERLINK("https://www.773grp.com/globalSearch/1.5KE16AG/page-1", "1.5KE16AG")</f>
        <v>1.5KE16AG</v>
      </c>
      <c r="B30002" s="3" t="str">
        <f>HYPERLINK("https://www.773grp.com/manufacturer/onsemi?pageNo=848", "ON Semiconductor")</f>
        <v>ON Semiconductor</v>
      </c>
      <c r="C30002" s="6">
        <v>500</v>
      </c>
      <c r="D30002" s="7">
        <v>0.69</v>
      </c>
      <c r="E30002" t="s">
        <v>96</v>
      </c>
    </row>
    <row r="30003" spans="1:5" x14ac:dyDescent="0.25">
      <c r="A30003" t="str">
        <f>HYPERLINK("https://www.773grp.com/globalSearch/1.5KE22ARL4/page-1", "1.5KE22ARL4")</f>
        <v>1.5KE22ARL4</v>
      </c>
      <c r="B30003" s="3" t="str">
        <f>HYPERLINK("https://www.773grp.com/manufacturer/onsemi?pageNo=849", "ON Semiconductor")</f>
        <v>ON Semiconductor</v>
      </c>
      <c r="C30003" s="6">
        <v>1500</v>
      </c>
      <c r="D30003" s="7">
        <v>0.69</v>
      </c>
      <c r="E30003" t="s">
        <v>96</v>
      </c>
    </row>
    <row r="30004" spans="1:5" x14ac:dyDescent="0.25">
      <c r="A30004" t="str">
        <f>HYPERLINK("https://www.773grp.com/globalSearch/1.5KE27A/page-1", "1.5KE27A")</f>
        <v>1.5KE27A</v>
      </c>
      <c r="B30004" s="3" t="str">
        <f>HYPERLINK("https://www.773grp.com/manufacturer/onsemi?pageNo=850", "ON Semiconductor")</f>
        <v>ON Semiconductor</v>
      </c>
      <c r="C30004" s="6">
        <v>29</v>
      </c>
      <c r="D30004" s="7">
        <v>0.69</v>
      </c>
      <c r="E30004" t="s">
        <v>96</v>
      </c>
    </row>
    <row r="30005" spans="1:5" x14ac:dyDescent="0.25">
      <c r="A30005" t="str">
        <f>HYPERLINK("https://www.773grp.com/globalSearch/1.5KE30A/page-1", "1.5KE30A")</f>
        <v>1.5KE30A</v>
      </c>
      <c r="B30005" s="3" t="str">
        <f>HYPERLINK("https://www.773grp.com/manufacturer/onsemi?pageNo=851", "ON Semiconductor")</f>
        <v>ON Semiconductor</v>
      </c>
      <c r="C30005" s="6">
        <v>11</v>
      </c>
      <c r="D30005" s="7">
        <v>0.69</v>
      </c>
      <c r="E30005" t="s">
        <v>96</v>
      </c>
    </row>
    <row r="30006" spans="1:5" x14ac:dyDescent="0.25">
      <c r="A30006" t="str">
        <f>HYPERLINK("https://www.773grp.com/globalSearch/1.5KE30AG/page-1", "1.5KE30AG")</f>
        <v>1.5KE30AG</v>
      </c>
      <c r="B30006" s="3" t="str">
        <f>HYPERLINK("https://www.773grp.com/manufacturer/onsemi?pageNo=852", "ON Semiconductor")</f>
        <v>ON Semiconductor</v>
      </c>
      <c r="C30006" s="6">
        <v>10000</v>
      </c>
      <c r="D30006" s="7">
        <v>0.69</v>
      </c>
    </row>
    <row r="30007" spans="1:5" x14ac:dyDescent="0.25">
      <c r="A30007" t="str">
        <f>HYPERLINK("https://www.773grp.com/globalSearch/1.5KE30ARL4G/page-1", "1.5KE30ARL4G")</f>
        <v>1.5KE30ARL4G</v>
      </c>
      <c r="B30007" s="3" t="str">
        <f>HYPERLINK("https://www.773grp.com/manufacturer/onsemi?pageNo=853", "ON Semiconductor")</f>
        <v>ON Semiconductor</v>
      </c>
      <c r="C30007" s="6">
        <v>7500</v>
      </c>
      <c r="D30007" s="7">
        <v>0.69</v>
      </c>
      <c r="E30007" t="s">
        <v>96</v>
      </c>
    </row>
    <row r="30008" spans="1:5" x14ac:dyDescent="0.25">
      <c r="A30008" t="str">
        <f>HYPERLINK("https://www.773grp.com/globalSearch/1.5KE33ARL4/page-1", "1.5KE33ARL4")</f>
        <v>1.5KE33ARL4</v>
      </c>
      <c r="B30008" s="3" t="str">
        <f>HYPERLINK("https://www.773grp.com/manufacturer/onsemi?pageNo=854", "ON Semiconductor")</f>
        <v>ON Semiconductor</v>
      </c>
      <c r="C30008" s="6">
        <v>3000</v>
      </c>
      <c r="D30008" s="7">
        <v>0.69</v>
      </c>
      <c r="E30008" t="s">
        <v>96</v>
      </c>
    </row>
    <row r="30009" spans="1:5" x14ac:dyDescent="0.25">
      <c r="A30009" t="str">
        <f>HYPERLINK("https://www.773grp.com/globalSearch/1.5KE36AG/page-1", "1.5KE36AG")</f>
        <v>1.5KE36AG</v>
      </c>
      <c r="B30009" s="3" t="str">
        <f>HYPERLINK("https://www.773grp.com/manufacturer/onsemi?pageNo=855", "ON Semiconductor")</f>
        <v>ON Semiconductor</v>
      </c>
      <c r="C30009" s="6">
        <v>17955</v>
      </c>
      <c r="D30009" s="7">
        <v>0.69</v>
      </c>
      <c r="E30009" t="s">
        <v>96</v>
      </c>
    </row>
    <row r="30010" spans="1:5" x14ac:dyDescent="0.25">
      <c r="A30010" t="str">
        <f>HYPERLINK("https://www.773grp.com/globalSearch/1.5KE36ARL4/page-1", "1.5KE36ARL4")</f>
        <v>1.5KE36ARL4</v>
      </c>
      <c r="B30010" s="3" t="str">
        <f>HYPERLINK("https://www.773grp.com/manufacturer/onsemi?pageNo=856", "ON Semiconductor")</f>
        <v>ON Semiconductor</v>
      </c>
      <c r="C30010" s="6">
        <v>1500</v>
      </c>
      <c r="D30010" s="7">
        <v>0.69</v>
      </c>
      <c r="E30010" t="s">
        <v>96</v>
      </c>
    </row>
    <row r="30011" spans="1:5" x14ac:dyDescent="0.25">
      <c r="A30011" t="str">
        <f>HYPERLINK("https://www.773grp.com/globalSearch/1.5KE43AG/page-1", "1.5KE43AG")</f>
        <v>1.5KE43AG</v>
      </c>
      <c r="B30011" s="3" t="str">
        <f>HYPERLINK("https://www.773grp.com/manufacturer/onsemi?pageNo=857", "ON Semiconductor")</f>
        <v>ON Semiconductor</v>
      </c>
      <c r="C30011" s="6">
        <v>20920</v>
      </c>
      <c r="D30011" s="7">
        <v>0.69</v>
      </c>
      <c r="E30011" t="s">
        <v>96</v>
      </c>
    </row>
    <row r="30012" spans="1:5" x14ac:dyDescent="0.25">
      <c r="A30012" t="str">
        <f>HYPERLINK("https://www.773grp.com/globalSearch/1.5KE43ARL4/page-1", "1.5KE43ARL4")</f>
        <v>1.5KE43ARL4</v>
      </c>
      <c r="B30012" s="3" t="str">
        <f>HYPERLINK("https://www.773grp.com/manufacturer/onsemi?pageNo=858", "ON Semiconductor")</f>
        <v>ON Semiconductor</v>
      </c>
      <c r="C30012" s="6">
        <v>1500</v>
      </c>
      <c r="D30012" s="7">
        <v>0.69</v>
      </c>
      <c r="E30012" t="s">
        <v>96</v>
      </c>
    </row>
    <row r="30013" spans="1:5" x14ac:dyDescent="0.25">
      <c r="A30013" t="str">
        <f>HYPERLINK("https://www.773grp.com/globalSearch/1.5KE56ARL4/page-1", "1.5KE56ARL4")</f>
        <v>1.5KE56ARL4</v>
      </c>
      <c r="B30013" s="3" t="str">
        <f>HYPERLINK("https://www.773grp.com/manufacturer/onsemi?pageNo=859", "ON Semiconductor")</f>
        <v>ON Semiconductor</v>
      </c>
      <c r="C30013" s="6">
        <v>15000</v>
      </c>
      <c r="D30013" s="7">
        <v>0.69</v>
      </c>
      <c r="E30013" t="s">
        <v>96</v>
      </c>
    </row>
    <row r="30014" spans="1:5" x14ac:dyDescent="0.25">
      <c r="A30014" t="str">
        <f>HYPERLINK("https://www.773grp.com/globalSearch/1.5KE6.8A/page-1", "1.5KE6.8A")</f>
        <v>1.5KE6.8A</v>
      </c>
      <c r="B30014" s="3" t="str">
        <f>HYPERLINK("https://www.773grp.com/manufacturer/onsemi?pageNo=860", "ON Semiconductor")</f>
        <v>ON Semiconductor</v>
      </c>
      <c r="C30014" s="6">
        <v>317</v>
      </c>
      <c r="D30014" s="7">
        <v>0.69</v>
      </c>
      <c r="E30014" t="s">
        <v>96</v>
      </c>
    </row>
    <row r="30015" spans="1:5" x14ac:dyDescent="0.25">
      <c r="A30015" t="str">
        <f>HYPERLINK("https://www.773grp.com/globalSearch/1.5KE62A/page-1", "1.5KE62A")</f>
        <v>1.5KE62A</v>
      </c>
      <c r="B30015" s="3" t="str">
        <f>HYPERLINK("https://www.773grp.com/manufacturer/onsemi?pageNo=861", "ON Semiconductor")</f>
        <v>ON Semiconductor</v>
      </c>
      <c r="C30015" s="6">
        <v>665</v>
      </c>
      <c r="D30015" s="7">
        <v>0.69</v>
      </c>
      <c r="E30015" t="s">
        <v>96</v>
      </c>
    </row>
    <row r="30016" spans="1:5" x14ac:dyDescent="0.25">
      <c r="A30016" t="str">
        <f>HYPERLINK("https://www.773grp.com/globalSearch/1.5KE62ARL4/page-1", "1.5KE62ARL4")</f>
        <v>1.5KE62ARL4</v>
      </c>
      <c r="B30016" s="3" t="str">
        <f>HYPERLINK("https://www.773grp.com/manufacturer/onsemi?pageNo=862", "ON Semiconductor")</f>
        <v>ON Semiconductor</v>
      </c>
      <c r="C30016" s="6">
        <v>3000</v>
      </c>
      <c r="D30016" s="7">
        <v>0.69</v>
      </c>
      <c r="E30016" t="s">
        <v>96</v>
      </c>
    </row>
    <row r="30017" spans="1:5" x14ac:dyDescent="0.25">
      <c r="A30017" t="str">
        <f>HYPERLINK("https://www.773grp.com/globalSearch/1.5KE68A/page-1", "1.5KE68A")</f>
        <v>1.5KE68A</v>
      </c>
      <c r="B30017" s="3" t="str">
        <f>HYPERLINK("https://www.773grp.com/manufacturer/onsemi?pageNo=863", "ON Semiconductor")</f>
        <v>ON Semiconductor</v>
      </c>
      <c r="C30017" s="6">
        <v>2505</v>
      </c>
      <c r="D30017" s="7">
        <v>0.69</v>
      </c>
      <c r="E30017" t="s">
        <v>96</v>
      </c>
    </row>
    <row r="30018" spans="1:5" x14ac:dyDescent="0.25">
      <c r="A30018" t="str">
        <f>HYPERLINK("https://www.773grp.com/globalSearch/1.5KE75ARL4G/page-1", "1.5KE75ARL4G")</f>
        <v>1.5KE75ARL4G</v>
      </c>
      <c r="B30018" s="3" t="str">
        <f>HYPERLINK("https://www.773grp.com/manufacturer/onsemi?pageNo=864", "ON Semiconductor")</f>
        <v>ON Semiconductor</v>
      </c>
      <c r="C30018" s="6">
        <v>9863</v>
      </c>
      <c r="D30018" s="7">
        <v>0.69</v>
      </c>
      <c r="E30018" t="s">
        <v>96</v>
      </c>
    </row>
    <row r="30019" spans="1:5" x14ac:dyDescent="0.25">
      <c r="A30019" t="str">
        <f>HYPERLINK("https://www.773grp.com/globalSearch/1.5KE8.2AG/page-1", "1.5KE8.2AG")</f>
        <v>1.5KE8.2AG</v>
      </c>
      <c r="B30019" s="3" t="str">
        <f>HYPERLINK("https://www.773grp.com/manufacturer/onsemi?pageNo=865", "ON Semiconductor")</f>
        <v>ON Semiconductor</v>
      </c>
      <c r="C30019" s="6">
        <v>1000</v>
      </c>
      <c r="D30019" s="7">
        <v>0.69</v>
      </c>
      <c r="E30019" t="s">
        <v>96</v>
      </c>
    </row>
    <row r="30020" spans="1:5" x14ac:dyDescent="0.25">
      <c r="A30020" t="str">
        <f>HYPERLINK("https://www.773grp.com/globalSearch/1.5KE82AG/page-1", "1.5KE82AG")</f>
        <v>1.5KE82AG</v>
      </c>
      <c r="B30020" s="3" t="str">
        <f>HYPERLINK("https://www.773grp.com/manufacturer/onsemi?pageNo=866", "ON Semiconductor")</f>
        <v>ON Semiconductor</v>
      </c>
      <c r="C30020" s="6">
        <v>18000</v>
      </c>
      <c r="D30020" s="7">
        <v>0.69</v>
      </c>
      <c r="E30020" t="s">
        <v>96</v>
      </c>
    </row>
    <row r="30021" spans="1:5" x14ac:dyDescent="0.25">
      <c r="A30021" t="str">
        <f>HYPERLINK("https://www.773grp.com/globalSearch/1.5KE9.1ARL4/page-1", "1.5KE9.1ARL4")</f>
        <v>1.5KE9.1ARL4</v>
      </c>
      <c r="B30021" s="3" t="str">
        <f>HYPERLINK("https://www.773grp.com/manufacturer/onsemi?pageNo=867", "ON Semiconductor")</f>
        <v>ON Semiconductor</v>
      </c>
      <c r="C30021" s="6">
        <v>1500</v>
      </c>
      <c r="D30021" s="7">
        <v>0.69</v>
      </c>
      <c r="E30021" t="s">
        <v>96</v>
      </c>
    </row>
    <row r="30022" spans="1:5" x14ac:dyDescent="0.25">
      <c r="A30022" t="str">
        <f>HYPERLINK("https://www.773grp.com/globalSearch/1.5KE91ARL4G/page-1", "1.5KE91ARL4G")</f>
        <v>1.5KE91ARL4G</v>
      </c>
      <c r="B30022" s="3" t="str">
        <f>HYPERLINK("https://www.773grp.com/manufacturer/onsemi?pageNo=868", "ON Semiconductor")</f>
        <v>ON Semiconductor</v>
      </c>
      <c r="C30022" s="6">
        <v>127500</v>
      </c>
      <c r="D30022" s="7">
        <v>0.69</v>
      </c>
      <c r="E30022" t="s">
        <v>96</v>
      </c>
    </row>
    <row r="30023" spans="1:5" x14ac:dyDescent="0.25">
      <c r="A30023" t="str">
        <f>HYPERLINK("https://www.773grp.com/globalSearch/1N5820G/page-1", "1N5820G")</f>
        <v>1N5820G</v>
      </c>
      <c r="B30023" s="3" t="str">
        <f>HYPERLINK("https://www.773grp.com/manufacturer/onsemi?pageNo=869", "ON Semiconductor")</f>
        <v>ON Semiconductor</v>
      </c>
      <c r="C30023" s="6">
        <v>6651</v>
      </c>
      <c r="D30023" s="7">
        <v>0.69</v>
      </c>
      <c r="E30023" t="s">
        <v>103</v>
      </c>
    </row>
    <row r="30024" spans="1:5" x14ac:dyDescent="0.25">
      <c r="A30024" t="str">
        <f>HYPERLINK("https://www.773grp.com/globalSearch/1N5820RLG/page-1", "1N5820RLG")</f>
        <v>1N5820RLG</v>
      </c>
      <c r="B30024" s="3" t="str">
        <f>HYPERLINK("https://www.773grp.com/manufacturer/onsemi?pageNo=870", "ON Semiconductor")</f>
        <v>ON Semiconductor</v>
      </c>
      <c r="C30024" s="6">
        <v>132113</v>
      </c>
      <c r="D30024" s="7">
        <v>0.69</v>
      </c>
      <c r="E30024" t="s">
        <v>103</v>
      </c>
    </row>
    <row r="30025" spans="1:5" x14ac:dyDescent="0.25">
      <c r="A30025" t="str">
        <f>HYPERLINK("https://www.773grp.com/globalSearch/1N5821G/page-1", "1N5821G")</f>
        <v>1N5821G</v>
      </c>
      <c r="B30025" s="3" t="str">
        <f>HYPERLINK("https://www.773grp.com/manufacturer/onsemi?pageNo=871", "ON Semiconductor")</f>
        <v>ON Semiconductor</v>
      </c>
      <c r="C30025" s="6">
        <v>5000</v>
      </c>
      <c r="D30025" s="7">
        <v>0.69</v>
      </c>
    </row>
    <row r="30026" spans="1:5" x14ac:dyDescent="0.25">
      <c r="A30026" t="str">
        <f>HYPERLINK("https://www.773grp.com/globalSearch/1N5822G/page-1", "1N5822G")</f>
        <v>1N5822G</v>
      </c>
      <c r="B30026" s="3" t="str">
        <f>HYPERLINK("https://www.773grp.com/manufacturer/onsemi?pageNo=872", "ON Semiconductor")</f>
        <v>ON Semiconductor</v>
      </c>
      <c r="C30026" s="6">
        <v>21000</v>
      </c>
      <c r="D30026" s="7">
        <v>0.69</v>
      </c>
      <c r="E30026" t="s">
        <v>103</v>
      </c>
    </row>
    <row r="30027" spans="1:5" x14ac:dyDescent="0.25">
      <c r="A30027" t="str">
        <f>HYPERLINK("https://www.773grp.com/globalSearch/1N5822RLG/page-1", "1N5822RLG")</f>
        <v>1N5822RLG</v>
      </c>
      <c r="B30027" s="3" t="str">
        <f>HYPERLINK("https://www.773grp.com/manufacturer/onsemi?pageNo=873", "ON Semiconductor")</f>
        <v>ON Semiconductor</v>
      </c>
      <c r="C30027" s="6">
        <v>23989</v>
      </c>
      <c r="D30027" s="7">
        <v>0.69</v>
      </c>
      <c r="E30027" t="s">
        <v>103</v>
      </c>
    </row>
    <row r="30028" spans="1:5" x14ac:dyDescent="0.25">
      <c r="A30028" t="str">
        <f>HYPERLINK("https://www.773grp.com/globalSearch/1N5933B/page-1", "1N5933B")</f>
        <v>1N5933B</v>
      </c>
      <c r="B30028" s="3" t="str">
        <f>HYPERLINK("https://www.773grp.com/manufacturer/onsemi?pageNo=874", "ON Semiconductor")</f>
        <v>ON Semiconductor</v>
      </c>
      <c r="C30028" s="6">
        <v>3666</v>
      </c>
      <c r="D30028" s="7">
        <v>0.69</v>
      </c>
      <c r="E30028" t="s">
        <v>98</v>
      </c>
    </row>
    <row r="30029" spans="1:5" x14ac:dyDescent="0.25">
      <c r="A30029" t="str">
        <f>HYPERLINK("https://www.773grp.com/globalSearch/1N5954BRL/page-1", "1N5954BRL")</f>
        <v>1N5954BRL</v>
      </c>
      <c r="B30029" s="3" t="str">
        <f>HYPERLINK("https://www.773grp.com/manufacturer/onsemi?pageNo=875", "ON Semiconductor")</f>
        <v>ON Semiconductor</v>
      </c>
      <c r="C30029" s="6">
        <v>4000</v>
      </c>
      <c r="D30029" s="7">
        <v>0.69</v>
      </c>
      <c r="E30029" t="s">
        <v>98</v>
      </c>
    </row>
    <row r="30030" spans="1:5" x14ac:dyDescent="0.25">
      <c r="A30030" t="str">
        <f>HYPERLINK("https://www.773grp.com/globalSearch/1N6267ARL4/page-1", "1N6267ARL4")</f>
        <v>1N6267ARL4</v>
      </c>
      <c r="B30030" s="3" t="str">
        <f>HYPERLINK("https://www.773grp.com/manufacturer/onsemi?pageNo=876", "ON Semiconductor")</f>
        <v>ON Semiconductor</v>
      </c>
      <c r="C30030" s="6">
        <v>6680</v>
      </c>
      <c r="D30030" s="7">
        <v>0.69</v>
      </c>
      <c r="E30030" t="s">
        <v>96</v>
      </c>
    </row>
    <row r="30031" spans="1:5" x14ac:dyDescent="0.25">
      <c r="A30031" t="str">
        <f>HYPERLINK("https://www.773grp.com/globalSearch/1N6268ARL4G/page-1", "1N6268ARL4G")</f>
        <v>1N6268ARL4G</v>
      </c>
      <c r="B30031" s="3" t="str">
        <f>HYPERLINK("https://www.773grp.com/manufacturer/onsemi?pageNo=877", "ON Semiconductor")</f>
        <v>ON Semiconductor</v>
      </c>
      <c r="C30031" s="6">
        <v>4500</v>
      </c>
      <c r="D30031" s="7">
        <v>0.69</v>
      </c>
      <c r="E30031" t="s">
        <v>96</v>
      </c>
    </row>
    <row r="30032" spans="1:5" x14ac:dyDescent="0.25">
      <c r="A30032" t="str">
        <f>HYPERLINK("https://www.773grp.com/globalSearch/1N6271A/page-1", "1N6271A")</f>
        <v>1N6271A</v>
      </c>
      <c r="B30032" s="3" t="str">
        <f>HYPERLINK("https://www.773grp.com/manufacturer/onsemi?pageNo=878", "ON Semiconductor")</f>
        <v>ON Semiconductor</v>
      </c>
      <c r="C30032" s="6">
        <v>8</v>
      </c>
      <c r="D30032" s="7">
        <v>0.69</v>
      </c>
      <c r="E30032" t="s">
        <v>96</v>
      </c>
    </row>
    <row r="30033" spans="1:5" x14ac:dyDescent="0.25">
      <c r="A30033" t="str">
        <f>HYPERLINK("https://www.773grp.com/globalSearch/1N6271AG/page-1", "1N6271AG")</f>
        <v>1N6271AG</v>
      </c>
      <c r="B30033" s="3" t="str">
        <f>HYPERLINK("https://www.773grp.com/manufacturer/onsemi?pageNo=879", "ON Semiconductor")</f>
        <v>ON Semiconductor</v>
      </c>
      <c r="C30033" s="6">
        <v>2530</v>
      </c>
      <c r="D30033" s="7">
        <v>0.69</v>
      </c>
      <c r="E30033" t="s">
        <v>96</v>
      </c>
    </row>
    <row r="30034" spans="1:5" x14ac:dyDescent="0.25">
      <c r="A30034" t="str">
        <f>HYPERLINK("https://www.773grp.com/globalSearch/1N6272AG/page-1", "1N6272AG")</f>
        <v>1N6272AG</v>
      </c>
      <c r="B30034" s="3" t="str">
        <f>HYPERLINK("https://www.773grp.com/manufacturer/onsemi?pageNo=880", "ON Semiconductor")</f>
        <v>ON Semiconductor</v>
      </c>
      <c r="C30034" s="6">
        <v>3935</v>
      </c>
      <c r="D30034" s="7">
        <v>0.69</v>
      </c>
      <c r="E30034" t="s">
        <v>96</v>
      </c>
    </row>
    <row r="30035" spans="1:5" x14ac:dyDescent="0.25">
      <c r="A30035" t="str">
        <f>HYPERLINK("https://www.773grp.com/globalSearch/1N6273ARL4/page-1", "1N6273ARL4")</f>
        <v>1N6273ARL4</v>
      </c>
      <c r="B30035" s="3" t="str">
        <f>HYPERLINK("https://www.773grp.com/manufacturer/onsemi?pageNo=881", "ON Semiconductor")</f>
        <v>ON Semiconductor</v>
      </c>
      <c r="C30035" s="6">
        <v>1500</v>
      </c>
      <c r="D30035" s="7">
        <v>0.69</v>
      </c>
      <c r="E30035" t="s">
        <v>96</v>
      </c>
    </row>
    <row r="30036" spans="1:5" x14ac:dyDescent="0.25">
      <c r="A30036" t="str">
        <f>HYPERLINK("https://www.773grp.com/globalSearch/1N6274A/page-1", "1N6274A")</f>
        <v>1N6274A</v>
      </c>
      <c r="B30036" s="3" t="str">
        <f>HYPERLINK("https://www.773grp.com/manufacturer/onsemi?pageNo=882", "ON Semiconductor")</f>
        <v>ON Semiconductor</v>
      </c>
      <c r="C30036" s="6">
        <v>1435</v>
      </c>
      <c r="D30036" s="7">
        <v>0.69</v>
      </c>
      <c r="E30036" t="s">
        <v>96</v>
      </c>
    </row>
    <row r="30037" spans="1:5" x14ac:dyDescent="0.25">
      <c r="A30037" t="str">
        <f>HYPERLINK("https://www.773grp.com/globalSearch/1N6274ARL4G/page-1", "1N6274ARL4G")</f>
        <v>1N6274ARL4G</v>
      </c>
      <c r="B30037" s="3" t="str">
        <f>HYPERLINK("https://www.773grp.com/manufacturer/onsemi?pageNo=883", "ON Semiconductor")</f>
        <v>ON Semiconductor</v>
      </c>
      <c r="C30037" s="6">
        <v>1500</v>
      </c>
      <c r="D30037" s="7">
        <v>0.69</v>
      </c>
      <c r="E30037" t="s">
        <v>96</v>
      </c>
    </row>
    <row r="30038" spans="1:5" x14ac:dyDescent="0.25">
      <c r="A30038" t="str">
        <f>HYPERLINK("https://www.773grp.com/globalSearch/1N6275AG/page-1", "1N6275AG")</f>
        <v>1N6275AG</v>
      </c>
      <c r="B30038" s="3" t="str">
        <f>HYPERLINK("https://www.773grp.com/manufacturer/onsemi?pageNo=884", "ON Semiconductor")</f>
        <v>ON Semiconductor</v>
      </c>
      <c r="C30038" s="6">
        <v>4108</v>
      </c>
      <c r="D30038" s="7">
        <v>0.69</v>
      </c>
      <c r="E30038" t="s">
        <v>96</v>
      </c>
    </row>
    <row r="30039" spans="1:5" x14ac:dyDescent="0.25">
      <c r="A30039" t="str">
        <f>HYPERLINK("https://www.773grp.com/globalSearch/1N6276A/page-1", "1N6276A")</f>
        <v>1N6276A</v>
      </c>
      <c r="B30039" s="3" t="str">
        <f>HYPERLINK("https://www.773grp.com/manufacturer/onsemi?pageNo=885", "ON Semiconductor")</f>
        <v>ON Semiconductor</v>
      </c>
      <c r="C30039" s="6">
        <v>2000</v>
      </c>
      <c r="D30039" s="7">
        <v>0.69</v>
      </c>
      <c r="E30039" t="s">
        <v>96</v>
      </c>
    </row>
    <row r="30040" spans="1:5" x14ac:dyDescent="0.25">
      <c r="A30040" t="str">
        <f>HYPERLINK("https://www.773grp.com/globalSearch/1N6276ARL4/page-1", "1N6276ARL4")</f>
        <v>1N6276ARL4</v>
      </c>
      <c r="B30040" s="3" t="str">
        <f>HYPERLINK("https://www.773grp.com/manufacturer/onsemi?pageNo=886", "ON Semiconductor")</f>
        <v>ON Semiconductor</v>
      </c>
      <c r="C30040" s="6">
        <v>16500</v>
      </c>
      <c r="D30040" s="7">
        <v>0.69</v>
      </c>
      <c r="E30040" t="s">
        <v>96</v>
      </c>
    </row>
    <row r="30041" spans="1:5" x14ac:dyDescent="0.25">
      <c r="A30041" t="str">
        <f>HYPERLINK("https://www.773grp.com/globalSearch/1N6277AG/page-1", "1N6277AG")</f>
        <v>1N6277AG</v>
      </c>
      <c r="B30041" s="3" t="str">
        <f>HYPERLINK("https://www.773grp.com/manufacturer/onsemi?pageNo=887", "ON Semiconductor")</f>
        <v>ON Semiconductor</v>
      </c>
      <c r="C30041" s="6">
        <v>5503</v>
      </c>
      <c r="D30041" s="7">
        <v>0.69</v>
      </c>
      <c r="E30041" t="s">
        <v>96</v>
      </c>
    </row>
    <row r="30042" spans="1:5" x14ac:dyDescent="0.25">
      <c r="A30042" t="str">
        <f>HYPERLINK("https://www.773grp.com/globalSearch/1N6279A/page-1", "1N6279A")</f>
        <v>1N6279A</v>
      </c>
      <c r="B30042" s="3" t="str">
        <f>HYPERLINK("https://www.773grp.com/manufacturer/onsemi?pageNo=888", "ON Semiconductor")</f>
        <v>ON Semiconductor</v>
      </c>
      <c r="C30042" s="6">
        <v>505</v>
      </c>
      <c r="D30042" s="7">
        <v>0.69</v>
      </c>
      <c r="E30042" t="s">
        <v>96</v>
      </c>
    </row>
    <row r="30043" spans="1:5" x14ac:dyDescent="0.25">
      <c r="A30043" t="str">
        <f>HYPERLINK("https://www.773grp.com/globalSearch/1N6280AG/page-1", "1N6280AG")</f>
        <v>1N6280AG</v>
      </c>
      <c r="B30043" s="3" t="str">
        <f>HYPERLINK("https://www.773grp.com/manufacturer/onsemi?pageNo=889", "ON Semiconductor")</f>
        <v>ON Semiconductor</v>
      </c>
      <c r="C30043" s="6">
        <v>500</v>
      </c>
      <c r="D30043" s="7">
        <v>0.69</v>
      </c>
      <c r="E30043" t="s">
        <v>96</v>
      </c>
    </row>
    <row r="30044" spans="1:5" x14ac:dyDescent="0.25">
      <c r="A30044" t="str">
        <f>HYPERLINK("https://www.773grp.com/globalSearch/1N6282AG/page-1", "1N6282AG")</f>
        <v>1N6282AG</v>
      </c>
      <c r="B30044" s="3" t="str">
        <f>HYPERLINK("https://www.773grp.com/manufacturer/onsemi?pageNo=890", "ON Semiconductor")</f>
        <v>ON Semiconductor</v>
      </c>
      <c r="C30044" s="6">
        <v>11500</v>
      </c>
      <c r="D30044" s="7">
        <v>0.69</v>
      </c>
      <c r="E30044" t="s">
        <v>96</v>
      </c>
    </row>
    <row r="30045" spans="1:5" x14ac:dyDescent="0.25">
      <c r="A30045" t="str">
        <f>HYPERLINK("https://www.773grp.com/globalSearch/1N6282ARL4G/page-1", "1N6282ARL4G")</f>
        <v>1N6282ARL4G</v>
      </c>
      <c r="B30045" s="3" t="str">
        <f>HYPERLINK("https://www.773grp.com/manufacturer/onsemi?pageNo=891", "ON Semiconductor")</f>
        <v>ON Semiconductor</v>
      </c>
      <c r="C30045" s="6">
        <v>67500</v>
      </c>
      <c r="D30045" s="7">
        <v>0.69</v>
      </c>
      <c r="E30045" t="s">
        <v>96</v>
      </c>
    </row>
    <row r="30046" spans="1:5" x14ac:dyDescent="0.25">
      <c r="A30046" t="str">
        <f>HYPERLINK("https://www.773grp.com/globalSearch/1N6284AG/page-1", "1N6284AG")</f>
        <v>1N6284AG</v>
      </c>
      <c r="B30046" s="3" t="str">
        <f>HYPERLINK("https://www.773grp.com/manufacturer/onsemi?pageNo=892", "ON Semiconductor")</f>
        <v>ON Semiconductor</v>
      </c>
      <c r="C30046" s="6">
        <v>10633</v>
      </c>
      <c r="D30046" s="7">
        <v>0.69</v>
      </c>
      <c r="E30046" t="s">
        <v>96</v>
      </c>
    </row>
    <row r="30047" spans="1:5" x14ac:dyDescent="0.25">
      <c r="A30047" t="str">
        <f>HYPERLINK("https://www.773grp.com/globalSearch/1N6284ARL4G/page-1", "1N6284ARL4G")</f>
        <v>1N6284ARL4G</v>
      </c>
      <c r="B30047" s="3" t="str">
        <f>HYPERLINK("https://www.773grp.com/manufacturer/onsemi?pageNo=893", "ON Semiconductor")</f>
        <v>ON Semiconductor</v>
      </c>
      <c r="C30047" s="6">
        <v>3000</v>
      </c>
      <c r="D30047" s="7">
        <v>0.69</v>
      </c>
    </row>
    <row r="30048" spans="1:5" x14ac:dyDescent="0.25">
      <c r="A30048" t="str">
        <f>HYPERLINK("https://www.773grp.com/globalSearch/1N6286ARL4/page-1", "1N6286ARL4")</f>
        <v>1N6286ARL4</v>
      </c>
      <c r="B30048" s="3" t="str">
        <f>HYPERLINK("https://www.773grp.com/manufacturer/onsemi?pageNo=894", "ON Semiconductor")</f>
        <v>ON Semiconductor</v>
      </c>
      <c r="C30048" s="6">
        <v>1500</v>
      </c>
      <c r="D30048" s="7">
        <v>0.69</v>
      </c>
      <c r="E30048" t="s">
        <v>96</v>
      </c>
    </row>
    <row r="30049" spans="1:5" x14ac:dyDescent="0.25">
      <c r="A30049" t="str">
        <f>HYPERLINK("https://www.773grp.com/globalSearch/1N6290AG/page-1", "1N6290AG")</f>
        <v>1N6290AG</v>
      </c>
      <c r="B30049" s="3" t="str">
        <f>HYPERLINK("https://www.773grp.com/manufacturer/onsemi?pageNo=895", "ON Semiconductor")</f>
        <v>ON Semiconductor</v>
      </c>
      <c r="C30049" s="6">
        <v>10560</v>
      </c>
      <c r="D30049" s="7">
        <v>0.69</v>
      </c>
      <c r="E30049" t="s">
        <v>96</v>
      </c>
    </row>
    <row r="30050" spans="1:5" x14ac:dyDescent="0.25">
      <c r="A30050" t="str">
        <f>HYPERLINK("https://www.773grp.com/globalSearch/1N6290ARL4/page-1", "1N6290ARL4")</f>
        <v>1N6290ARL4</v>
      </c>
      <c r="B30050" s="3" t="str">
        <f>HYPERLINK("https://www.773grp.com/manufacturer/onsemi?pageNo=896", "ON Semiconductor")</f>
        <v>ON Semiconductor</v>
      </c>
      <c r="C30050" s="6">
        <v>1500</v>
      </c>
      <c r="D30050" s="7">
        <v>0.69</v>
      </c>
      <c r="E30050" t="s">
        <v>96</v>
      </c>
    </row>
    <row r="30051" spans="1:5" x14ac:dyDescent="0.25">
      <c r="A30051" t="str">
        <f>HYPERLINK("https://www.773grp.com/globalSearch/1N6291A/page-1", "1N6291A")</f>
        <v>1N6291A</v>
      </c>
      <c r="B30051" s="3" t="str">
        <f>HYPERLINK("https://www.773grp.com/manufacturer/onsemi?pageNo=897", "ON Semiconductor")</f>
        <v>ON Semiconductor</v>
      </c>
      <c r="C30051" s="6">
        <v>4401</v>
      </c>
      <c r="D30051" s="7">
        <v>0.69</v>
      </c>
      <c r="E30051" t="s">
        <v>96</v>
      </c>
    </row>
    <row r="30052" spans="1:5" x14ac:dyDescent="0.25">
      <c r="A30052" t="str">
        <f>HYPERLINK("https://www.773grp.com/globalSearch/1N6293ARL4G/page-1", "1N6293ARL4G")</f>
        <v>1N6293ARL4G</v>
      </c>
      <c r="B30052" s="3" t="str">
        <f>HYPERLINK("https://www.773grp.com/manufacturer/onsemi?pageNo=898", "ON Semiconductor")</f>
        <v>ON Semiconductor</v>
      </c>
      <c r="C30052" s="6">
        <v>6000</v>
      </c>
      <c r="D30052" s="7">
        <v>0.69</v>
      </c>
      <c r="E30052" t="s">
        <v>96</v>
      </c>
    </row>
    <row r="30053" spans="1:5" x14ac:dyDescent="0.25">
      <c r="A30053" t="str">
        <f>HYPERLINK("https://www.773grp.com/globalSearch/1N6294AG/page-1", "1N6294AG")</f>
        <v>1N6294AG</v>
      </c>
      <c r="B30053" s="3" t="str">
        <f>HYPERLINK("https://www.773grp.com/manufacturer/onsemi?pageNo=899", "ON Semiconductor")</f>
        <v>ON Semiconductor</v>
      </c>
      <c r="C30053" s="6">
        <v>500</v>
      </c>
      <c r="D30053" s="7">
        <v>0.69</v>
      </c>
      <c r="E30053" t="s">
        <v>96</v>
      </c>
    </row>
    <row r="30054" spans="1:5" x14ac:dyDescent="0.25">
      <c r="A30054" t="str">
        <f>HYPERLINK("https://www.773grp.com/globalSearch/1N6294ARL4G/page-1", "1N6294ARL4G")</f>
        <v>1N6294ARL4G</v>
      </c>
      <c r="B30054" s="3" t="str">
        <f>HYPERLINK("https://www.773grp.com/manufacturer/onsemi?pageNo=900", "ON Semiconductor")</f>
        <v>ON Semiconductor</v>
      </c>
      <c r="C30054" s="6">
        <v>3000</v>
      </c>
      <c r="D30054" s="7">
        <v>0.69</v>
      </c>
      <c r="E30054" t="s">
        <v>96</v>
      </c>
    </row>
    <row r="30055" spans="1:5" x14ac:dyDescent="0.25">
      <c r="A30055" t="str">
        <f>HYPERLINK("https://www.773grp.com/globalSearch/1N6375/page-1", "1N6375")</f>
        <v>1N6375</v>
      </c>
      <c r="B30055" s="3" t="str">
        <f>HYPERLINK("https://www.773grp.com/manufacturer/onsemi?pageNo=901", "ON Semiconductor")</f>
        <v>ON Semiconductor</v>
      </c>
      <c r="C30055" s="6">
        <v>705</v>
      </c>
      <c r="D30055" s="7">
        <v>0.69</v>
      </c>
      <c r="E30055" t="s">
        <v>96</v>
      </c>
    </row>
    <row r="30056" spans="1:5" x14ac:dyDescent="0.25">
      <c r="A30056" t="str">
        <f>HYPERLINK("https://www.773grp.com/globalSearch/1N6375G/page-1", "1N6375G")</f>
        <v>1N6375G</v>
      </c>
      <c r="B30056" s="3" t="str">
        <f>HYPERLINK("https://www.773grp.com/manufacturer/onsemi?pageNo=902", "ON Semiconductor")</f>
        <v>ON Semiconductor</v>
      </c>
      <c r="C30056" s="6">
        <v>1410</v>
      </c>
      <c r="D30056" s="7">
        <v>0.69</v>
      </c>
      <c r="E30056" t="s">
        <v>96</v>
      </c>
    </row>
    <row r="30057" spans="1:5" x14ac:dyDescent="0.25">
      <c r="A30057" t="str">
        <f>HYPERLINK("https://www.773grp.com/globalSearch/1N6380RL4/page-1", "1N6380RL4")</f>
        <v>1N6380RL4</v>
      </c>
      <c r="B30057" s="3" t="str">
        <f>HYPERLINK("https://www.773grp.com/manufacturer/onsemi?pageNo=903", "ON Semiconductor")</f>
        <v>ON Semiconductor</v>
      </c>
      <c r="C30057" s="6">
        <v>3000</v>
      </c>
      <c r="D30057" s="7">
        <v>0.69</v>
      </c>
      <c r="E30057" t="s">
        <v>96</v>
      </c>
    </row>
    <row r="30058" spans="1:5" x14ac:dyDescent="0.25">
      <c r="A30058" t="str">
        <f>HYPERLINK("https://www.773grp.com/globalSearch/1PMT12AT1G/page-1", "1PMT12AT1G")</f>
        <v>1PMT12AT1G</v>
      </c>
      <c r="B30058" s="3" t="str">
        <f>HYPERLINK("https://www.773grp.com/manufacturer/onsemi?pageNo=904", "ON Semiconductor")</f>
        <v>ON Semiconductor</v>
      </c>
      <c r="C30058" s="6">
        <v>5900</v>
      </c>
      <c r="D30058" s="7">
        <v>0.69</v>
      </c>
      <c r="E30058" t="s">
        <v>96</v>
      </c>
    </row>
    <row r="30059" spans="1:5" x14ac:dyDescent="0.25">
      <c r="A30059" t="str">
        <f>HYPERLINK("https://www.773grp.com/globalSearch/1PMT12AT3G/page-1", "1PMT12AT3G")</f>
        <v>1PMT12AT3G</v>
      </c>
      <c r="B30059" s="3" t="str">
        <f>HYPERLINK("https://www.773grp.com/manufacturer/onsemi?pageNo=905", "ON Semiconductor")</f>
        <v>ON Semiconductor</v>
      </c>
      <c r="C30059" s="6">
        <v>12000</v>
      </c>
      <c r="D30059" s="7">
        <v>0.69</v>
      </c>
      <c r="E30059" t="s">
        <v>96</v>
      </c>
    </row>
    <row r="30060" spans="1:5" x14ac:dyDescent="0.25">
      <c r="A30060" t="str">
        <f>HYPERLINK("https://www.773grp.com/globalSearch/1PMT16AT3G/page-1", "1PMT16AT3G")</f>
        <v>1PMT16AT3G</v>
      </c>
      <c r="B30060" s="3" t="str">
        <f>HYPERLINK("https://www.773grp.com/manufacturer/onsemi?pageNo=906", "ON Semiconductor")</f>
        <v>ON Semiconductor</v>
      </c>
      <c r="C30060" s="6">
        <v>2508000</v>
      </c>
      <c r="D30060" s="7">
        <v>0.69</v>
      </c>
      <c r="E30060" t="s">
        <v>96</v>
      </c>
    </row>
    <row r="30061" spans="1:5" x14ac:dyDescent="0.25">
      <c r="A30061" t="str">
        <f>HYPERLINK("https://www.773grp.com/globalSearch/1PMT24AT1/page-1", "1PMT24AT1")</f>
        <v>1PMT24AT1</v>
      </c>
      <c r="B30061" s="3" t="str">
        <f>HYPERLINK("https://www.773grp.com/manufacturer/onsemi?pageNo=907", "ON Semiconductor")</f>
        <v>ON Semiconductor</v>
      </c>
      <c r="C30061" s="6">
        <v>3000</v>
      </c>
      <c r="D30061" s="7">
        <v>0.69</v>
      </c>
      <c r="E30061" t="s">
        <v>96</v>
      </c>
    </row>
    <row r="30062" spans="1:5" x14ac:dyDescent="0.25">
      <c r="A30062" t="str">
        <f>HYPERLINK("https://www.773grp.com/globalSearch/1PMT36AT1/page-1", "1PMT36AT1")</f>
        <v>1PMT36AT1</v>
      </c>
      <c r="B30062" s="3" t="str">
        <f>HYPERLINK("https://www.773grp.com/manufacturer/onsemi?pageNo=908", "ON Semiconductor")</f>
        <v>ON Semiconductor</v>
      </c>
      <c r="C30062" s="6">
        <v>9000</v>
      </c>
      <c r="D30062" s="7">
        <v>0.69</v>
      </c>
      <c r="E30062" t="s">
        <v>96</v>
      </c>
    </row>
    <row r="30063" spans="1:5" x14ac:dyDescent="0.25">
      <c r="A30063" t="str">
        <f>HYPERLINK("https://www.773grp.com/globalSearch/1PMT5.0AT1G/page-1", "1PMT5.0AT1G")</f>
        <v>1PMT5.0AT1G</v>
      </c>
      <c r="B30063" s="3" t="str">
        <f>HYPERLINK("https://www.773grp.com/manufacturer/onsemi?pageNo=909", "ON Semiconductor")</f>
        <v>ON Semiconductor</v>
      </c>
      <c r="C30063" s="6">
        <v>29823</v>
      </c>
      <c r="D30063" s="7">
        <v>0.69</v>
      </c>
      <c r="E30063" t="s">
        <v>96</v>
      </c>
    </row>
    <row r="30064" spans="1:5" x14ac:dyDescent="0.25">
      <c r="A30064" t="str">
        <f>HYPERLINK("https://www.773grp.com/globalSearch/1PMT5.0AT3G/page-1", "1PMT5.0AT3G")</f>
        <v>1PMT5.0AT3G</v>
      </c>
      <c r="B30064" s="3" t="str">
        <f>HYPERLINK("https://www.773grp.com/manufacturer/onsemi?pageNo=910", "ON Semiconductor")</f>
        <v>ON Semiconductor</v>
      </c>
      <c r="C30064" s="6">
        <v>12620</v>
      </c>
      <c r="D30064" s="7">
        <v>0.69</v>
      </c>
      <c r="E30064" t="s">
        <v>96</v>
      </c>
    </row>
    <row r="30065" spans="1:5" x14ac:dyDescent="0.25">
      <c r="A30065" t="str">
        <f>HYPERLINK("https://www.773grp.com/globalSearch/1PMT5920BT1G/page-1", "1PMT5920BT1G")</f>
        <v>1PMT5920BT1G</v>
      </c>
      <c r="B30065" s="3" t="str">
        <f>HYPERLINK("https://www.773grp.com/manufacturer/onsemi?pageNo=911", "ON Semiconductor")</f>
        <v>ON Semiconductor</v>
      </c>
      <c r="C30065" s="6">
        <v>9000</v>
      </c>
      <c r="D30065" s="7">
        <v>0.69</v>
      </c>
    </row>
    <row r="30066" spans="1:5" x14ac:dyDescent="0.25">
      <c r="A30066" t="str">
        <f>HYPERLINK("https://www.773grp.com/globalSearch/1PMT5921BT1G/page-1", "1PMT5921BT1G")</f>
        <v>1PMT5921BT1G</v>
      </c>
      <c r="B30066" s="3" t="str">
        <f>HYPERLINK("https://www.773grp.com/manufacturer/onsemi?pageNo=912", "ON Semiconductor")</f>
        <v>ON Semiconductor</v>
      </c>
      <c r="C30066" s="6">
        <v>3000</v>
      </c>
      <c r="D30066" s="7">
        <v>0.69</v>
      </c>
    </row>
    <row r="30067" spans="1:5" x14ac:dyDescent="0.25">
      <c r="A30067" t="str">
        <f>HYPERLINK("https://www.773grp.com/globalSearch/1PMT5927BT1G/page-1", "1PMT5927BT1G")</f>
        <v>1PMT5927BT1G</v>
      </c>
      <c r="B30067" s="3" t="str">
        <f>HYPERLINK("https://www.773grp.com/manufacturer/onsemi?pageNo=913", "ON Semiconductor")</f>
        <v>ON Semiconductor</v>
      </c>
      <c r="C30067" s="6">
        <v>4771</v>
      </c>
      <c r="D30067" s="7">
        <v>0.69</v>
      </c>
      <c r="E30067" t="s">
        <v>98</v>
      </c>
    </row>
    <row r="30068" spans="1:5" x14ac:dyDescent="0.25">
      <c r="A30068" t="str">
        <f>HYPERLINK("https://www.773grp.com/globalSearch/2N4921/page-1", "2N4921")</f>
        <v>2N4921</v>
      </c>
      <c r="B30068" s="3" t="str">
        <f>HYPERLINK("https://www.773grp.com/manufacturer/onsemi?pageNo=914", "ON Semiconductor")</f>
        <v>ON Semiconductor</v>
      </c>
      <c r="C30068" s="6">
        <v>784</v>
      </c>
      <c r="D30068" s="7">
        <v>0.69</v>
      </c>
      <c r="E30068" t="s">
        <v>59</v>
      </c>
    </row>
    <row r="30069" spans="1:5" x14ac:dyDescent="0.25">
      <c r="A30069" t="str">
        <f>HYPERLINK("https://www.773grp.com/globalSearch/2N4922/page-1", "2N4922")</f>
        <v>2N4922</v>
      </c>
      <c r="B30069" s="3" t="str">
        <f>HYPERLINK("https://www.773grp.com/manufacturer/onsemi?pageNo=915", "ON Semiconductor")</f>
        <v>ON Semiconductor</v>
      </c>
      <c r="C30069" s="6">
        <v>16347</v>
      </c>
      <c r="D30069" s="7">
        <v>0.69</v>
      </c>
      <c r="E30069" t="s">
        <v>69</v>
      </c>
    </row>
    <row r="30070" spans="1:5" x14ac:dyDescent="0.25">
      <c r="A30070" t="str">
        <f>HYPERLINK("https://www.773grp.com/globalSearch/2SA1705T-AN/page-1", "2SA1705T-AN")</f>
        <v>2SA1705T-AN</v>
      </c>
      <c r="B30070" s="3" t="str">
        <f>HYPERLINK("https://www.773grp.com/manufacturer/onsemi?pageNo=916", "ON Semiconductor")</f>
        <v>ON Semiconductor</v>
      </c>
      <c r="C30070" s="6">
        <v>5000</v>
      </c>
      <c r="D30070" s="7">
        <v>0.69</v>
      </c>
    </row>
    <row r="30071" spans="1:5" x14ac:dyDescent="0.25">
      <c r="A30071" t="str">
        <f>HYPERLINK("https://www.773grp.com/globalSearch/2SB1123S-TD-E/page-1", "2SB1123S-TD-E")</f>
        <v>2SB1123S-TD-E</v>
      </c>
      <c r="B30071" s="3" t="str">
        <f>HYPERLINK("https://www.773grp.com/manufacturer/onsemi?pageNo=917", "ON Semiconductor")</f>
        <v>ON Semiconductor</v>
      </c>
      <c r="C30071" s="6">
        <v>3000</v>
      </c>
      <c r="D30071" s="7">
        <v>0.69</v>
      </c>
    </row>
    <row r="30072" spans="1:5" x14ac:dyDescent="0.25">
      <c r="A30072" t="str">
        <f>HYPERLINK("https://www.773grp.com/globalSearch/74FS3126DTR2/page-1", "74FS3126DTR2")</f>
        <v>74FS3126DTR2</v>
      </c>
      <c r="B30072" s="3" t="str">
        <f>HYPERLINK("https://www.773grp.com/manufacturer/onsemi?pageNo=918", "ON Semiconductor")</f>
        <v>ON Semiconductor</v>
      </c>
      <c r="C30072" s="6">
        <v>2500</v>
      </c>
      <c r="D30072" s="7">
        <v>0.69</v>
      </c>
    </row>
    <row r="30073" spans="1:5" x14ac:dyDescent="0.25">
      <c r="A30073" t="str">
        <f>HYPERLINK("https://www.773grp.com/globalSearch/74FST3125D/page-1", "74FST3125D")</f>
        <v>74FST3125D</v>
      </c>
      <c r="B30073" s="3" t="str">
        <f>HYPERLINK("https://www.773grp.com/manufacturer/onsemi?pageNo=919", "ON Semiconductor")</f>
        <v>ON Semiconductor</v>
      </c>
      <c r="C30073" s="6">
        <v>1375</v>
      </c>
      <c r="D30073" s="7">
        <v>0.69</v>
      </c>
      <c r="E30073" t="s">
        <v>14</v>
      </c>
    </row>
    <row r="30074" spans="1:5" x14ac:dyDescent="0.25">
      <c r="A30074" t="str">
        <f>HYPERLINK("https://www.773grp.com/globalSearch/74FST3125DR2/page-1", "74FST3125DR2")</f>
        <v>74FST3125DR2</v>
      </c>
      <c r="B30074" s="3" t="str">
        <f>HYPERLINK("https://www.773grp.com/manufacturer/onsemi?pageNo=920", "ON Semiconductor")</f>
        <v>ON Semiconductor</v>
      </c>
      <c r="C30074" s="6">
        <v>7500</v>
      </c>
      <c r="D30074" s="7">
        <v>0.69</v>
      </c>
      <c r="E30074" t="s">
        <v>14</v>
      </c>
    </row>
    <row r="30075" spans="1:5" x14ac:dyDescent="0.25">
      <c r="A30075" t="str">
        <f>HYPERLINK("https://www.773grp.com/globalSearch/74FST3125DTR2/page-1", "74FST3125DTR2")</f>
        <v>74FST3125DTR2</v>
      </c>
      <c r="B30075" s="3" t="str">
        <f>HYPERLINK("https://www.773grp.com/manufacturer/onsemi?pageNo=921", "ON Semiconductor")</f>
        <v>ON Semiconductor</v>
      </c>
      <c r="C30075" s="6">
        <v>19720</v>
      </c>
      <c r="D30075" s="7">
        <v>0.69</v>
      </c>
      <c r="E30075" t="s">
        <v>14</v>
      </c>
    </row>
    <row r="30076" spans="1:5" x14ac:dyDescent="0.25">
      <c r="A30076" t="str">
        <f>HYPERLINK("https://www.773grp.com/globalSearch/74FST3126D/page-1", "74FST3126D")</f>
        <v>74FST3126D</v>
      </c>
      <c r="B30076" s="3" t="str">
        <f>HYPERLINK("https://www.773grp.com/manufacturer/onsemi?pageNo=922", "ON Semiconductor")</f>
        <v>ON Semiconductor</v>
      </c>
      <c r="C30076" s="6">
        <v>98285</v>
      </c>
      <c r="D30076" s="7">
        <v>0.69</v>
      </c>
      <c r="E30076" t="s">
        <v>14</v>
      </c>
    </row>
    <row r="30077" spans="1:5" x14ac:dyDescent="0.25">
      <c r="A30077" t="str">
        <f>HYPERLINK("https://www.773grp.com/globalSearch/74FST3126DT/page-1", "74FST3126DT")</f>
        <v>74FST3126DT</v>
      </c>
      <c r="B30077" s="3" t="str">
        <f>HYPERLINK("https://www.773grp.com/manufacturer/onsemi?pageNo=923", "ON Semiconductor")</f>
        <v>ON Semiconductor</v>
      </c>
      <c r="C30077" s="6">
        <v>6984</v>
      </c>
      <c r="D30077" s="7">
        <v>0.69</v>
      </c>
      <c r="E30077" t="s">
        <v>14</v>
      </c>
    </row>
    <row r="30078" spans="1:5" x14ac:dyDescent="0.25">
      <c r="A30078" t="str">
        <f>HYPERLINK("https://www.773grp.com/globalSearch/74FST3126DTR2/page-1", "74FST3126DTR2")</f>
        <v>74FST3126DTR2</v>
      </c>
      <c r="B30078" s="3" t="str">
        <f>HYPERLINK("https://www.773grp.com/manufacturer/onsemi?pageNo=924", "ON Semiconductor")</f>
        <v>ON Semiconductor</v>
      </c>
      <c r="C30078" s="6">
        <v>12500</v>
      </c>
      <c r="D30078" s="7">
        <v>0.69</v>
      </c>
      <c r="E30078" t="s">
        <v>14</v>
      </c>
    </row>
    <row r="30079" spans="1:5" x14ac:dyDescent="0.25">
      <c r="A30079" t="str">
        <f>HYPERLINK("https://www.773grp.com/globalSearch/74FST3244QS/page-1", "74FST3244QS")</f>
        <v>74FST3244QS</v>
      </c>
      <c r="B30079" s="3" t="str">
        <f>HYPERLINK("https://www.773grp.com/manufacturer/onsemi?pageNo=925", "ON Semiconductor")</f>
        <v>ON Semiconductor</v>
      </c>
      <c r="C30079" s="6">
        <v>16660</v>
      </c>
      <c r="D30079" s="7">
        <v>0.69</v>
      </c>
      <c r="E30079" t="s">
        <v>14</v>
      </c>
    </row>
    <row r="30080" spans="1:5" x14ac:dyDescent="0.25">
      <c r="A30080" t="str">
        <f>HYPERLINK("https://www.773grp.com/globalSearch/74FST3245DW/page-1", "74FST3245DW")</f>
        <v>74FST3245DW</v>
      </c>
      <c r="B30080" s="3" t="str">
        <f>HYPERLINK("https://www.773grp.com/manufacturer/onsemi?pageNo=926", "ON Semiconductor")</f>
        <v>ON Semiconductor</v>
      </c>
      <c r="C30080" s="6">
        <v>1876</v>
      </c>
      <c r="D30080" s="7">
        <v>0.69</v>
      </c>
      <c r="E30080" t="s">
        <v>14</v>
      </c>
    </row>
    <row r="30081" spans="1:5" x14ac:dyDescent="0.25">
      <c r="A30081" t="str">
        <f>HYPERLINK("https://www.773grp.com/globalSearch/74FST3245DWR2/page-1", "74FST3245DWR2")</f>
        <v>74FST3245DWR2</v>
      </c>
      <c r="B30081" s="3" t="str">
        <f>HYPERLINK("https://www.773grp.com/manufacturer/onsemi?pageNo=927", "ON Semiconductor")</f>
        <v>ON Semiconductor</v>
      </c>
      <c r="C30081" s="6">
        <v>9000</v>
      </c>
      <c r="D30081" s="7">
        <v>0.69</v>
      </c>
      <c r="E30081" t="s">
        <v>14</v>
      </c>
    </row>
    <row r="30082" spans="1:5" x14ac:dyDescent="0.25">
      <c r="A30082" t="str">
        <f>HYPERLINK("https://www.773grp.com/globalSearch/74FST3245QS/page-1", "74FST3245QS")</f>
        <v>74FST3245QS</v>
      </c>
      <c r="B30082" s="3" t="str">
        <f>HYPERLINK("https://www.773grp.com/manufacturer/onsemi?pageNo=928", "ON Semiconductor")</f>
        <v>ON Semiconductor</v>
      </c>
      <c r="C30082" s="6">
        <v>16610</v>
      </c>
      <c r="D30082" s="7">
        <v>0.69</v>
      </c>
      <c r="E30082" t="s">
        <v>14</v>
      </c>
    </row>
    <row r="30083" spans="1:5" x14ac:dyDescent="0.25">
      <c r="A30083" t="str">
        <f>HYPERLINK("https://www.773grp.com/globalSearch/74FST3245QSR/page-1", "74FST3245QSR")</f>
        <v>74FST3245QSR</v>
      </c>
      <c r="B30083" s="3" t="str">
        <f>HYPERLINK("https://www.773grp.com/manufacturer/onsemi?pageNo=929", "ON Semiconductor")</f>
        <v>ON Semiconductor</v>
      </c>
      <c r="C30083" s="6">
        <v>25000</v>
      </c>
      <c r="D30083" s="7">
        <v>0.69</v>
      </c>
      <c r="E30083" t="s">
        <v>14</v>
      </c>
    </row>
    <row r="30084" spans="1:5" x14ac:dyDescent="0.25">
      <c r="A30084" t="str">
        <f>HYPERLINK("https://www.773grp.com/globalSearch/74FST3251D/page-1", "74FST3251D")</f>
        <v>74FST3251D</v>
      </c>
      <c r="B30084" s="3" t="str">
        <f>HYPERLINK("https://www.773grp.com/manufacturer/onsemi?pageNo=930", "ON Semiconductor")</f>
        <v>ON Semiconductor</v>
      </c>
      <c r="C30084" s="6">
        <v>45342</v>
      </c>
      <c r="D30084" s="7">
        <v>0.69</v>
      </c>
      <c r="E30084" t="s">
        <v>20</v>
      </c>
    </row>
    <row r="30085" spans="1:5" x14ac:dyDescent="0.25">
      <c r="A30085" t="str">
        <f>HYPERLINK("https://www.773grp.com/globalSearch/74FST3251DR2/page-1", "74FST3251DR2")</f>
        <v>74FST3251DR2</v>
      </c>
      <c r="B30085" s="3" t="str">
        <f>HYPERLINK("https://www.773grp.com/manufacturer/onsemi?pageNo=931", "ON Semiconductor")</f>
        <v>ON Semiconductor</v>
      </c>
      <c r="C30085" s="6">
        <v>35000</v>
      </c>
      <c r="D30085" s="7">
        <v>0.69</v>
      </c>
      <c r="E30085" t="s">
        <v>20</v>
      </c>
    </row>
    <row r="30086" spans="1:5" x14ac:dyDescent="0.25">
      <c r="A30086" t="str">
        <f>HYPERLINK("https://www.773grp.com/globalSearch/74FST3251DT/page-1", "74FST3251DT")</f>
        <v>74FST3251DT</v>
      </c>
      <c r="B30086" s="3" t="str">
        <f>HYPERLINK("https://www.773grp.com/manufacturer/onsemi?pageNo=932", "ON Semiconductor")</f>
        <v>ON Semiconductor</v>
      </c>
      <c r="C30086" s="6">
        <v>3648</v>
      </c>
      <c r="D30086" s="7">
        <v>0.69</v>
      </c>
      <c r="E30086" t="s">
        <v>20</v>
      </c>
    </row>
    <row r="30087" spans="1:5" x14ac:dyDescent="0.25">
      <c r="A30087" t="str">
        <f>HYPERLINK("https://www.773grp.com/globalSearch/74FST3251DTR2/page-1", "74FST3251DTR2")</f>
        <v>74FST3251DTR2</v>
      </c>
      <c r="B30087" s="3" t="str">
        <f>HYPERLINK("https://www.773grp.com/manufacturer/onsemi?pageNo=933", "ON Semiconductor")</f>
        <v>ON Semiconductor</v>
      </c>
      <c r="C30087" s="6">
        <v>22500</v>
      </c>
      <c r="D30087" s="7">
        <v>0.69</v>
      </c>
      <c r="E30087" t="s">
        <v>20</v>
      </c>
    </row>
    <row r="30088" spans="1:5" x14ac:dyDescent="0.25">
      <c r="A30088" t="str">
        <f>HYPERLINK("https://www.773grp.com/globalSearch/74FST3253D/page-1", "74FST3253D")</f>
        <v>74FST3253D</v>
      </c>
      <c r="B30088" s="3" t="str">
        <f>HYPERLINK("https://www.773grp.com/manufacturer/onsemi?pageNo=934", "ON Semiconductor")</f>
        <v>ON Semiconductor</v>
      </c>
      <c r="C30088" s="6">
        <v>30735</v>
      </c>
      <c r="D30088" s="7">
        <v>0.69</v>
      </c>
      <c r="E30088" t="s">
        <v>20</v>
      </c>
    </row>
    <row r="30089" spans="1:5" x14ac:dyDescent="0.25">
      <c r="A30089" t="str">
        <f>HYPERLINK("https://www.773grp.com/globalSearch/74FST3253DR2/page-1", "74FST3253DR2")</f>
        <v>74FST3253DR2</v>
      </c>
      <c r="B30089" s="3" t="str">
        <f>HYPERLINK("https://www.773grp.com/manufacturer/onsemi?pageNo=935", "ON Semiconductor")</f>
        <v>ON Semiconductor</v>
      </c>
      <c r="C30089" s="6">
        <v>27500</v>
      </c>
      <c r="D30089" s="7">
        <v>0.69</v>
      </c>
      <c r="E30089" t="s">
        <v>20</v>
      </c>
    </row>
    <row r="30090" spans="1:5" x14ac:dyDescent="0.25">
      <c r="A30090" t="str">
        <f>HYPERLINK("https://www.773grp.com/globalSearch/74FST3253DT/page-1", "74FST3253DT")</f>
        <v>74FST3253DT</v>
      </c>
      <c r="B30090" s="3" t="str">
        <f>HYPERLINK("https://www.773grp.com/manufacturer/onsemi?pageNo=936", "ON Semiconductor")</f>
        <v>ON Semiconductor</v>
      </c>
      <c r="C30090" s="6">
        <v>576</v>
      </c>
      <c r="D30090" s="7">
        <v>0.69</v>
      </c>
      <c r="E30090" t="s">
        <v>20</v>
      </c>
    </row>
    <row r="30091" spans="1:5" x14ac:dyDescent="0.25">
      <c r="A30091" t="str">
        <f>HYPERLINK("https://www.773grp.com/globalSearch/74FST3253DTR2/page-1", "74FST3253DTR2")</f>
        <v>74FST3253DTR2</v>
      </c>
      <c r="B30091" s="3" t="str">
        <f>HYPERLINK("https://www.773grp.com/manufacturer/onsemi?pageNo=937", "ON Semiconductor")</f>
        <v>ON Semiconductor</v>
      </c>
      <c r="C30091" s="6">
        <v>10000</v>
      </c>
      <c r="D30091" s="7">
        <v>0.69</v>
      </c>
      <c r="E30091" t="s">
        <v>20</v>
      </c>
    </row>
    <row r="30092" spans="1:5" x14ac:dyDescent="0.25">
      <c r="A30092" t="str">
        <f>HYPERLINK("https://www.773grp.com/globalSearch/74FST3257DR2G/page-1", "74FST3257DR2G")</f>
        <v>74FST3257DR2G</v>
      </c>
      <c r="B30092" s="3" t="str">
        <f>HYPERLINK("https://www.773grp.com/manufacturer/onsemi?pageNo=938", "ON Semiconductor")</f>
        <v>ON Semiconductor</v>
      </c>
      <c r="C30092" s="6">
        <v>76122</v>
      </c>
      <c r="D30092" s="7">
        <v>0.69</v>
      </c>
      <c r="E30092" t="s">
        <v>20</v>
      </c>
    </row>
    <row r="30093" spans="1:5" x14ac:dyDescent="0.25">
      <c r="A30093" t="str">
        <f>HYPERLINK("https://www.773grp.com/globalSearch/74FST3257DTR2G/page-1", "74FST3257DTR2G")</f>
        <v>74FST3257DTR2G</v>
      </c>
      <c r="B30093" s="3" t="str">
        <f>HYPERLINK("https://www.773grp.com/manufacturer/onsemi?pageNo=939", "ON Semiconductor")</f>
        <v>ON Semiconductor</v>
      </c>
      <c r="C30093" s="6">
        <v>173282</v>
      </c>
      <c r="D30093" s="7">
        <v>0.69</v>
      </c>
      <c r="E30093" t="s">
        <v>20</v>
      </c>
    </row>
    <row r="30094" spans="1:5" x14ac:dyDescent="0.25">
      <c r="A30094" t="str">
        <f>HYPERLINK("https://www.773grp.com/globalSearch/74FST3345QS/page-1", "74FST3345QS")</f>
        <v>74FST3345QS</v>
      </c>
      <c r="B30094" s="3" t="str">
        <f>HYPERLINK("https://www.773grp.com/manufacturer/onsemi?pageNo=940", "ON Semiconductor")</f>
        <v>ON Semiconductor</v>
      </c>
      <c r="C30094" s="6">
        <v>605</v>
      </c>
      <c r="D30094" s="7">
        <v>0.69</v>
      </c>
      <c r="E30094" t="s">
        <v>14</v>
      </c>
    </row>
    <row r="30095" spans="1:5" x14ac:dyDescent="0.25">
      <c r="A30095" t="str">
        <f>HYPERLINK("https://www.773grp.com/globalSearch/74FST3345QSR/page-1", "74FST3345QSR")</f>
        <v>74FST3345QSR</v>
      </c>
      <c r="B30095" s="3" t="str">
        <f>HYPERLINK("https://www.773grp.com/manufacturer/onsemi?pageNo=941", "ON Semiconductor")</f>
        <v>ON Semiconductor</v>
      </c>
      <c r="C30095" s="6">
        <v>27500</v>
      </c>
      <c r="D30095" s="7">
        <v>0.69</v>
      </c>
      <c r="E30095" t="s">
        <v>14</v>
      </c>
    </row>
    <row r="30096" spans="1:5" x14ac:dyDescent="0.25">
      <c r="A30096" t="str">
        <f>HYPERLINK("https://www.773grp.com/globalSearch/74HC574DTR2G/page-1", "74HC574DTR2G")</f>
        <v>74HC574DTR2G</v>
      </c>
      <c r="B30096" s="3" t="str">
        <f>HYPERLINK("https://www.773grp.com/manufacturer/onsemi?pageNo=942", "ON Semiconductor")</f>
        <v>ON Semiconductor</v>
      </c>
      <c r="C30096" s="6">
        <v>100000</v>
      </c>
      <c r="D30096" s="7">
        <v>0.69</v>
      </c>
      <c r="E30096" t="s">
        <v>14</v>
      </c>
    </row>
    <row r="30097" spans="1:5" x14ac:dyDescent="0.25">
      <c r="A30097" t="str">
        <f>HYPERLINK("https://www.773grp.com/globalSearch/7WB3125AMX1TCG/page-1", "7WB3125AMX1TCG")</f>
        <v>7WB3125AMX1TCG</v>
      </c>
      <c r="B30097" s="3" t="str">
        <f>HYPERLINK("https://www.773grp.com/manufacturer/onsemi?pageNo=943", "ON Semiconductor")</f>
        <v>ON Semiconductor</v>
      </c>
      <c r="C30097" s="6">
        <v>6000</v>
      </c>
      <c r="D30097" s="7">
        <v>0.69</v>
      </c>
      <c r="E30097" t="s">
        <v>14</v>
      </c>
    </row>
    <row r="30098" spans="1:5" x14ac:dyDescent="0.25">
      <c r="A30098" t="str">
        <f>HYPERLINK("https://www.773grp.com/globalSearch/7WB3125BMX1TCG/page-1", "7WB3125BMX1TCG")</f>
        <v>7WB3125BMX1TCG</v>
      </c>
      <c r="B30098" s="3" t="str">
        <f>HYPERLINK("https://www.773grp.com/manufacturer/onsemi?pageNo=944", "ON Semiconductor")</f>
        <v>ON Semiconductor</v>
      </c>
      <c r="C30098" s="6">
        <v>5650</v>
      </c>
      <c r="D30098" s="7">
        <v>0.69</v>
      </c>
      <c r="E30098" t="s">
        <v>14</v>
      </c>
    </row>
    <row r="30099" spans="1:5" x14ac:dyDescent="0.25">
      <c r="A30099" t="str">
        <f>HYPERLINK("https://www.773grp.com/globalSearch/7WB3125CMX1TCG/page-1", "7WB3125CMX1TCG")</f>
        <v>7WB3125CMX1TCG</v>
      </c>
      <c r="B30099" s="3" t="str">
        <f>HYPERLINK("https://www.773grp.com/manufacturer/onsemi?pageNo=945", "ON Semiconductor")</f>
        <v>ON Semiconductor</v>
      </c>
      <c r="C30099" s="6">
        <v>3000</v>
      </c>
      <c r="D30099" s="7">
        <v>0.69</v>
      </c>
      <c r="E30099" t="s">
        <v>14</v>
      </c>
    </row>
    <row r="30100" spans="1:5" x14ac:dyDescent="0.25">
      <c r="A30100" t="str">
        <f>HYPERLINK("https://www.773grp.com/globalSearch/7WB3125MUTAG/page-1", "7WB3125MUTAG")</f>
        <v>7WB3125MUTAG</v>
      </c>
      <c r="B30100" s="3" t="str">
        <f>HYPERLINK("https://www.773grp.com/manufacturer/onsemi?pageNo=946", "ON Semiconductor")</f>
        <v>ON Semiconductor</v>
      </c>
      <c r="C30100" s="6">
        <v>8975</v>
      </c>
      <c r="D30100" s="7">
        <v>0.69</v>
      </c>
      <c r="E30100" t="s">
        <v>14</v>
      </c>
    </row>
    <row r="30101" spans="1:5" x14ac:dyDescent="0.25">
      <c r="A30101" t="str">
        <f>HYPERLINK("https://www.773grp.com/globalSearch/7WB3126AMX1TCG/page-1", "7WB3126AMX1TCG")</f>
        <v>7WB3126AMX1TCG</v>
      </c>
      <c r="B30101" s="3" t="str">
        <f>HYPERLINK("https://www.773grp.com/manufacturer/onsemi?pageNo=947", "ON Semiconductor")</f>
        <v>ON Semiconductor</v>
      </c>
      <c r="C30101" s="6">
        <v>6000</v>
      </c>
      <c r="D30101" s="7">
        <v>0.69</v>
      </c>
      <c r="E30101" t="s">
        <v>14</v>
      </c>
    </row>
    <row r="30102" spans="1:5" x14ac:dyDescent="0.25">
      <c r="A30102" t="str">
        <f>HYPERLINK("https://www.773grp.com/globalSearch/7WB3126BMX1TCG/page-1", "7WB3126BMX1TCG")</f>
        <v>7WB3126BMX1TCG</v>
      </c>
      <c r="B30102" s="3" t="str">
        <f>HYPERLINK("https://www.773grp.com/manufacturer/onsemi?pageNo=948", "ON Semiconductor")</f>
        <v>ON Semiconductor</v>
      </c>
      <c r="C30102" s="6">
        <v>6000</v>
      </c>
      <c r="D30102" s="7">
        <v>0.69</v>
      </c>
      <c r="E30102" t="s">
        <v>14</v>
      </c>
    </row>
    <row r="30103" spans="1:5" x14ac:dyDescent="0.25">
      <c r="A30103" t="str">
        <f>HYPERLINK("https://www.773grp.com/globalSearch/7WB3126CMX1TCG/page-1", "7WB3126CMX1TCG")</f>
        <v>7WB3126CMX1TCG</v>
      </c>
      <c r="B30103" s="3" t="str">
        <f>HYPERLINK("https://www.773grp.com/manufacturer/onsemi?pageNo=949", "ON Semiconductor")</f>
        <v>ON Semiconductor</v>
      </c>
      <c r="C30103" s="6">
        <v>6000</v>
      </c>
      <c r="D30103" s="7">
        <v>0.69</v>
      </c>
      <c r="E30103" t="s">
        <v>14</v>
      </c>
    </row>
    <row r="30104" spans="1:5" x14ac:dyDescent="0.25">
      <c r="A30104" t="str">
        <f>HYPERLINK("https://www.773grp.com/globalSearch/7WB3126MUTAG/page-1", "7WB3126MUTAG")</f>
        <v>7WB3126MUTAG</v>
      </c>
      <c r="B30104" s="3" t="str">
        <f>HYPERLINK("https://www.773grp.com/manufacturer/onsemi?pageNo=950", "ON Semiconductor")</f>
        <v>ON Semiconductor</v>
      </c>
      <c r="C30104" s="6">
        <v>5990</v>
      </c>
      <c r="D30104" s="7">
        <v>0.69</v>
      </c>
      <c r="E30104" t="s">
        <v>14</v>
      </c>
    </row>
    <row r="30105" spans="1:5" x14ac:dyDescent="0.25">
      <c r="A30105" t="str">
        <f>HYPERLINK("https://www.773grp.com/globalSearch/7WBD3125AMUTCG/page-1", "7WBD3125AMUTCG")</f>
        <v>7WBD3125AMUTCG</v>
      </c>
      <c r="B30105" s="3" t="str">
        <f>HYPERLINK("https://www.773grp.com/manufacturer/onsemi?pageNo=951", "ON Semiconductor")</f>
        <v>ON Semiconductor</v>
      </c>
      <c r="C30105" s="6">
        <v>3259</v>
      </c>
      <c r="D30105" s="7">
        <v>0.69</v>
      </c>
      <c r="E30105" t="s">
        <v>14</v>
      </c>
    </row>
    <row r="30106" spans="1:5" x14ac:dyDescent="0.25">
      <c r="A30106" t="str">
        <f>HYPERLINK("https://www.773grp.com/globalSearch/7WBD3125USG/page-1", "7WBD3125USG")</f>
        <v>7WBD3125USG</v>
      </c>
      <c r="B30106" s="3" t="str">
        <f>HYPERLINK("https://www.773grp.com/manufacturer/onsemi?pageNo=952", "ON Semiconductor")</f>
        <v>ON Semiconductor</v>
      </c>
      <c r="C30106" s="6">
        <v>5900</v>
      </c>
      <c r="D30106" s="7">
        <v>0.69</v>
      </c>
      <c r="E30106" t="s">
        <v>14</v>
      </c>
    </row>
    <row r="30107" spans="1:5" x14ac:dyDescent="0.25">
      <c r="A30107" t="str">
        <f>HYPERLINK("https://www.773grp.com/globalSearch/7WBD3126AMUTCG/page-1", "7WBD3126AMUTCG")</f>
        <v>7WBD3126AMUTCG</v>
      </c>
      <c r="B30107" s="3" t="str">
        <f>HYPERLINK("https://www.773grp.com/manufacturer/onsemi?pageNo=953", "ON Semiconductor")</f>
        <v>ON Semiconductor</v>
      </c>
      <c r="C30107" s="6">
        <v>3000</v>
      </c>
      <c r="D30107" s="7">
        <v>0.69</v>
      </c>
      <c r="E30107" t="s">
        <v>14</v>
      </c>
    </row>
    <row r="30108" spans="1:5" x14ac:dyDescent="0.25">
      <c r="A30108" t="str">
        <f>HYPERLINK("https://www.773grp.com/globalSearch/7WBD3126USG/page-1", "7WBD3126USG")</f>
        <v>7WBD3126USG</v>
      </c>
      <c r="B30108" s="3" t="str">
        <f>HYPERLINK("https://www.773grp.com/manufacturer/onsemi?pageNo=954", "ON Semiconductor")</f>
        <v>ON Semiconductor</v>
      </c>
      <c r="C30108" s="6">
        <v>9000</v>
      </c>
      <c r="D30108" s="7">
        <v>0.69</v>
      </c>
      <c r="E30108" t="s">
        <v>14</v>
      </c>
    </row>
    <row r="30109" spans="1:5" x14ac:dyDescent="0.25">
      <c r="A30109" t="str">
        <f>HYPERLINK("https://www.773grp.com/globalSearch/7WBD3305USG/page-1", "7WBD3305USG")</f>
        <v>7WBD3305USG</v>
      </c>
      <c r="B30109" s="3" t="str">
        <f>HYPERLINK("https://www.773grp.com/manufacturer/onsemi?pageNo=955", "ON Semiconductor")</f>
        <v>ON Semiconductor</v>
      </c>
      <c r="C30109" s="6">
        <v>3000</v>
      </c>
      <c r="D30109" s="7">
        <v>0.69</v>
      </c>
      <c r="E30109" t="s">
        <v>14</v>
      </c>
    </row>
    <row r="30110" spans="1:5" x14ac:dyDescent="0.25">
      <c r="A30110" t="str">
        <f>HYPERLINK("https://www.773grp.com/globalSearch/7WBD3306AMUTCG/page-1", "7WBD3306AMUTCG")</f>
        <v>7WBD3306AMUTCG</v>
      </c>
      <c r="B30110" s="3" t="str">
        <f>HYPERLINK("https://www.773grp.com/manufacturer/onsemi?pageNo=956", "ON Semiconductor")</f>
        <v>ON Semiconductor</v>
      </c>
      <c r="C30110" s="6">
        <v>3000</v>
      </c>
      <c r="D30110" s="7">
        <v>0.69</v>
      </c>
      <c r="E30110" t="s">
        <v>14</v>
      </c>
    </row>
    <row r="30111" spans="1:5" x14ac:dyDescent="0.25">
      <c r="A30111" t="str">
        <f>HYPERLINK("https://www.773grp.com/globalSearch/7WBD3306USG/page-1", "7WBD3306USG")</f>
        <v>7WBD3306USG</v>
      </c>
      <c r="B30111" s="3" t="str">
        <f>HYPERLINK("https://www.773grp.com/manufacturer/onsemi?pageNo=957", "ON Semiconductor")</f>
        <v>ON Semiconductor</v>
      </c>
      <c r="C30111" s="6">
        <v>93000</v>
      </c>
      <c r="D30111" s="7">
        <v>0.69</v>
      </c>
      <c r="E30111" t="s">
        <v>14</v>
      </c>
    </row>
    <row r="30112" spans="1:5" x14ac:dyDescent="0.25">
      <c r="A30112" t="str">
        <f>HYPERLINK("https://www.773grp.com/globalSearch/BD179/page-1", "BD179")</f>
        <v>BD179</v>
      </c>
      <c r="B30112" s="3" t="str">
        <f>HYPERLINK("https://www.773grp.com/manufacturer/onsemi?pageNo=958", "ON Semiconductor")</f>
        <v>ON Semiconductor</v>
      </c>
      <c r="C30112" s="6">
        <v>1500</v>
      </c>
      <c r="D30112" s="7">
        <v>0.69</v>
      </c>
      <c r="E30112" t="s">
        <v>59</v>
      </c>
    </row>
    <row r="30113" spans="1:5" x14ac:dyDescent="0.25">
      <c r="A30113" t="str">
        <f>HYPERLINK("https://www.773grp.com/globalSearch/BDX34B/page-1", "BDX34B")</f>
        <v>BDX34B</v>
      </c>
      <c r="B30113" s="3" t="str">
        <f>HYPERLINK("https://www.773grp.com/manufacturer/onsemi?pageNo=959", "ON Semiconductor")</f>
        <v>ON Semiconductor</v>
      </c>
      <c r="C30113" s="6">
        <v>1265</v>
      </c>
      <c r="D30113" s="7">
        <v>0.69</v>
      </c>
      <c r="E30113" t="s">
        <v>59</v>
      </c>
    </row>
    <row r="30114" spans="1:5" x14ac:dyDescent="0.25">
      <c r="A30114" t="str">
        <f>HYPERLINK("https://www.773grp.com/globalSearch/BDX34C/page-1", "BDX34C")</f>
        <v>BDX34C</v>
      </c>
      <c r="B30114" s="3" t="str">
        <f>HYPERLINK("https://www.773grp.com/manufacturer/onsemi?pageNo=960", "ON Semiconductor")</f>
        <v>ON Semiconductor</v>
      </c>
      <c r="C30114" s="6">
        <v>1553</v>
      </c>
      <c r="D30114" s="7">
        <v>0.69</v>
      </c>
      <c r="E30114" t="s">
        <v>59</v>
      </c>
    </row>
    <row r="30115" spans="1:5" x14ac:dyDescent="0.25">
      <c r="A30115" t="str">
        <f>HYPERLINK("https://www.773grp.com/globalSearch/CAT24C02WI-G/page-1", "CAT24C02WI-G")</f>
        <v>CAT24C02WI-G</v>
      </c>
      <c r="B30115" s="3" t="str">
        <f>HYPERLINK("https://www.773grp.com/manufacturer/onsemi?pageNo=961", "ON Semiconductor")</f>
        <v>ON Semiconductor</v>
      </c>
      <c r="C30115" s="6">
        <v>200</v>
      </c>
      <c r="D30115" s="7">
        <v>0.69</v>
      </c>
    </row>
    <row r="30116" spans="1:5" x14ac:dyDescent="0.25">
      <c r="A30116" t="str">
        <f>HYPERLINK("https://www.773grp.com/globalSearch/CAT24C02WI-G/page-1", "CAT24C02WI-G")</f>
        <v>CAT24C02WI-G</v>
      </c>
      <c r="B30116" s="3" t="str">
        <f>HYPERLINK("https://www.773grp.com/manufacturer/onsemi?pageNo=962", "ON Semiconductor")</f>
        <v>ON Semiconductor</v>
      </c>
      <c r="C30116" s="6">
        <v>8246</v>
      </c>
      <c r="D30116" s="7">
        <v>0.69</v>
      </c>
    </row>
    <row r="30117" spans="1:5" x14ac:dyDescent="0.25">
      <c r="A30117" t="str">
        <f>HYPERLINK("https://www.773grp.com/globalSearch/CAT24C02WI-G/page-1", "CAT24C02WI-G")</f>
        <v>CAT24C02WI-G</v>
      </c>
      <c r="B30117" s="3" t="str">
        <f>HYPERLINK("https://www.773grp.com/manufacturer/onsemi?pageNo=963", "ON Semiconductor")</f>
        <v>ON Semiconductor</v>
      </c>
      <c r="C30117" s="6">
        <v>3340</v>
      </c>
      <c r="D30117" s="7">
        <v>0.69</v>
      </c>
    </row>
    <row r="30118" spans="1:5" x14ac:dyDescent="0.25">
      <c r="A30118" t="str">
        <f>HYPERLINK("https://www.773grp.com/globalSearch/CAT24C04VP2I-GT3/page-1", "CAT24C04VP2I-GT3")</f>
        <v>CAT24C04VP2I-GT3</v>
      </c>
      <c r="B30118" s="3" t="str">
        <f>HYPERLINK("https://www.773grp.com/manufacturer/onsemi?pageNo=964", "ON Semiconductor")</f>
        <v>ON Semiconductor</v>
      </c>
      <c r="C30118" s="6">
        <v>12000</v>
      </c>
      <c r="D30118" s="7">
        <v>0.69</v>
      </c>
      <c r="E30118" t="s">
        <v>64</v>
      </c>
    </row>
    <row r="30119" spans="1:5" x14ac:dyDescent="0.25">
      <c r="A30119" t="str">
        <f>HYPERLINK("https://www.773grp.com/globalSearch/CAT24C04WI-G/page-1", "CAT24C04WI-G")</f>
        <v>CAT24C04WI-G</v>
      </c>
      <c r="B30119" s="3" t="str">
        <f>HYPERLINK("https://www.773grp.com/manufacturer/onsemi?pageNo=965", "ON Semiconductor")</f>
        <v>ON Semiconductor</v>
      </c>
      <c r="C30119" s="6">
        <v>25454</v>
      </c>
      <c r="D30119" s="7">
        <v>0.69</v>
      </c>
    </row>
    <row r="30120" spans="1:5" x14ac:dyDescent="0.25">
      <c r="A30120" t="str">
        <f>HYPERLINK("https://www.773grp.com/globalSearch/CAT24C04ZI-GT3/page-1", "CAT24C04ZI-GT3")</f>
        <v>CAT24C04ZI-GT3</v>
      </c>
      <c r="B30120" s="3" t="str">
        <f>HYPERLINK("https://www.773grp.com/manufacturer/onsemi?pageNo=966", "ON Semiconductor")</f>
        <v>ON Semiconductor</v>
      </c>
      <c r="C30120" s="6">
        <v>3000</v>
      </c>
      <c r="D30120" s="7">
        <v>0.69</v>
      </c>
      <c r="E30120" t="s">
        <v>64</v>
      </c>
    </row>
    <row r="30121" spans="1:5" x14ac:dyDescent="0.25">
      <c r="A30121" t="str">
        <f>HYPERLINK("https://www.773grp.com/globalSearch/CAT24C08LI/page-1", "CAT24C08LI")</f>
        <v>CAT24C08LI</v>
      </c>
      <c r="B30121" s="3" t="str">
        <f>HYPERLINK("https://www.773grp.com/manufacturer/onsemi?pageNo=967", "ON Semiconductor")</f>
        <v>ON Semiconductor</v>
      </c>
      <c r="C30121" s="6">
        <v>1350</v>
      </c>
      <c r="D30121" s="7">
        <v>0.69</v>
      </c>
      <c r="E30121" t="s">
        <v>64</v>
      </c>
    </row>
    <row r="30122" spans="1:5" x14ac:dyDescent="0.25">
      <c r="A30122" t="str">
        <f>HYPERLINK("https://www.773grp.com/globalSearch/CAT24C08LI-G/page-1", "CAT24C08LI-G")</f>
        <v>CAT24C08LI-G</v>
      </c>
      <c r="B30122" s="3" t="str">
        <f>HYPERLINK("https://www.773grp.com/manufacturer/onsemi?pageNo=968", "ON Semiconductor")</f>
        <v>ON Semiconductor</v>
      </c>
      <c r="C30122" s="6">
        <v>15841</v>
      </c>
      <c r="D30122" s="7">
        <v>0.69</v>
      </c>
      <c r="E30122" t="s">
        <v>64</v>
      </c>
    </row>
    <row r="30123" spans="1:5" x14ac:dyDescent="0.25">
      <c r="A30123" t="str">
        <f>HYPERLINK("https://www.773grp.com/globalSearch/CAT34C02YI-GT5A/page-1", "CAT34C02YI-GT5A")</f>
        <v>CAT34C02YI-GT5A</v>
      </c>
      <c r="B30123" s="3" t="str">
        <f>HYPERLINK("https://www.773grp.com/manufacturer/onsemi?pageNo=969", "ON Semiconductor")</f>
        <v>ON Semiconductor</v>
      </c>
      <c r="C30123" s="6">
        <v>20000</v>
      </c>
      <c r="D30123" s="7">
        <v>0.69</v>
      </c>
      <c r="E30123" t="s">
        <v>64</v>
      </c>
    </row>
    <row r="30124" spans="1:5" x14ac:dyDescent="0.25">
      <c r="A30124" t="str">
        <f>HYPERLINK("https://www.773grp.com/globalSearch/CAT34C02YI-GT5A/page-1", "CAT34C02YI-GT5A")</f>
        <v>CAT34C02YI-GT5A</v>
      </c>
      <c r="B30124" s="3" t="str">
        <f>HYPERLINK("https://www.773grp.com/manufacturer/onsemi?pageNo=970", "ON Semiconductor")</f>
        <v>ON Semiconductor</v>
      </c>
      <c r="C30124" s="6">
        <v>87590</v>
      </c>
      <c r="D30124" s="7">
        <v>0.69</v>
      </c>
      <c r="E30124" t="s">
        <v>64</v>
      </c>
    </row>
    <row r="30125" spans="1:5" x14ac:dyDescent="0.25">
      <c r="A30125" t="str">
        <f>HYPERLINK("https://www.773grp.com/globalSearch/CAT809LSDI-GT3/page-1", "CAT809LSDI-GT3")</f>
        <v>CAT809LSDI-GT3</v>
      </c>
      <c r="B30125" s="3" t="str">
        <f>HYPERLINK("https://www.773grp.com/manufacturer/onsemi?pageNo=971", "ON Semiconductor")</f>
        <v>ON Semiconductor</v>
      </c>
      <c r="C30125" s="6">
        <v>9000</v>
      </c>
      <c r="D30125" s="7">
        <v>0.69</v>
      </c>
    </row>
    <row r="30126" spans="1:5" x14ac:dyDescent="0.25">
      <c r="A30126" t="str">
        <f>HYPERLINK("https://www.773grp.com/globalSearch/CAT809TSDI-T3/page-1", "CAT809TSDI-T3")</f>
        <v>CAT809TSDI-T3</v>
      </c>
      <c r="B30126" s="3" t="str">
        <f>HYPERLINK("https://www.773grp.com/manufacturer/onsemi?pageNo=972", "ON Semiconductor")</f>
        <v>ON Semiconductor</v>
      </c>
      <c r="C30126" s="6">
        <v>18080</v>
      </c>
      <c r="D30126" s="7">
        <v>0.69</v>
      </c>
    </row>
    <row r="30127" spans="1:5" x14ac:dyDescent="0.25">
      <c r="A30127" t="str">
        <f>HYPERLINK("https://www.773grp.com/globalSearch/CAT810JSDI-GT3/page-1", "CAT810JSDI-GT3")</f>
        <v>CAT810JSDI-GT3</v>
      </c>
      <c r="B30127" s="3" t="str">
        <f>HYPERLINK("https://www.773grp.com/manufacturer/onsemi?pageNo=973", "ON Semiconductor")</f>
        <v>ON Semiconductor</v>
      </c>
      <c r="C30127" s="6">
        <v>6000</v>
      </c>
      <c r="D30127" s="7">
        <v>0.69</v>
      </c>
    </row>
    <row r="30128" spans="1:5" x14ac:dyDescent="0.25">
      <c r="A30128" t="str">
        <f>HYPERLINK("https://www.773grp.com/globalSearch/CAT810SSDI-GT3/page-1", "CAT810SSDI-GT3")</f>
        <v>CAT810SSDI-GT3</v>
      </c>
      <c r="B30128" s="3" t="str">
        <f>HYPERLINK("https://www.773grp.com/manufacturer/onsemi?pageNo=974", "ON Semiconductor")</f>
        <v>ON Semiconductor</v>
      </c>
      <c r="C30128" s="6">
        <v>39000</v>
      </c>
      <c r="D30128" s="7">
        <v>0.69</v>
      </c>
    </row>
    <row r="30129" spans="1:5" x14ac:dyDescent="0.25">
      <c r="A30129" t="str">
        <f>HYPERLINK("https://www.773grp.com/globalSearch/CAT810TTBI-GT3/page-1", "CAT810TTBI-GT3")</f>
        <v>CAT810TTBI-GT3</v>
      </c>
      <c r="B30129" s="3" t="str">
        <f>HYPERLINK("https://www.773grp.com/manufacturer/onsemi?pageNo=975", "ON Semiconductor")</f>
        <v>ON Semiconductor</v>
      </c>
      <c r="C30129" s="6">
        <v>3000</v>
      </c>
      <c r="D30129" s="7">
        <v>0.69</v>
      </c>
      <c r="E30129" t="s">
        <v>30</v>
      </c>
    </row>
    <row r="30130" spans="1:5" x14ac:dyDescent="0.25">
      <c r="A30130" t="str">
        <f>HYPERLINK("https://www.773grp.com/globalSearch/CAT811ZTBI-GT3/page-1", "CAT811ZTBI-GT3")</f>
        <v>CAT811ZTBI-GT3</v>
      </c>
      <c r="B30130" s="3" t="str">
        <f>HYPERLINK("https://www.773grp.com/manufacturer/onsemi?pageNo=976", "ON Semiconductor")</f>
        <v>ON Semiconductor</v>
      </c>
      <c r="C30130" s="6">
        <v>48000</v>
      </c>
      <c r="D30130" s="7">
        <v>0.69</v>
      </c>
    </row>
    <row r="30131" spans="1:5" x14ac:dyDescent="0.25">
      <c r="A30131" t="str">
        <f>HYPERLINK("https://www.773grp.com/globalSearch/CAT812JTBI-GT3/page-1", "CAT812JTBI-GT3")</f>
        <v>CAT812JTBI-GT3</v>
      </c>
      <c r="B30131" s="3" t="str">
        <f>HYPERLINK("https://www.773grp.com/manufacturer/onsemi?pageNo=977", "ON Semiconductor")</f>
        <v>ON Semiconductor</v>
      </c>
      <c r="C30131" s="6">
        <v>12000</v>
      </c>
      <c r="D30131" s="7">
        <v>0.69</v>
      </c>
    </row>
    <row r="30132" spans="1:5" x14ac:dyDescent="0.25">
      <c r="A30132" t="str">
        <f>HYPERLINK("https://www.773grp.com/globalSearch/CAT812STBI-GT3/page-1", "CAT812STBI-GT3")</f>
        <v>CAT812STBI-GT3</v>
      </c>
      <c r="B30132" s="3" t="str">
        <f>HYPERLINK("https://www.773grp.com/manufacturer/onsemi?pageNo=978", "ON Semiconductor")</f>
        <v>ON Semiconductor</v>
      </c>
      <c r="C30132" s="6">
        <v>6000</v>
      </c>
      <c r="D30132" s="7">
        <v>0.69</v>
      </c>
    </row>
    <row r="30133" spans="1:5" x14ac:dyDescent="0.25">
      <c r="A30133" t="str">
        <f>HYPERLINK("https://www.773grp.com/globalSearch/CAT93C66YI-GT3/page-1", "CAT93C66YI-GT3")</f>
        <v>CAT93C66YI-GT3</v>
      </c>
      <c r="B30133" s="3" t="str">
        <f>HYPERLINK("https://www.773grp.com/manufacturer/onsemi?pageNo=979", "ON Semiconductor")</f>
        <v>ON Semiconductor</v>
      </c>
      <c r="C30133" s="6">
        <v>6000</v>
      </c>
      <c r="D30133" s="7">
        <v>0.69</v>
      </c>
    </row>
    <row r="30134" spans="1:5" x14ac:dyDescent="0.25">
      <c r="A30134" t="str">
        <f>HYPERLINK("https://www.773grp.com/globalSearch/CM1244-04CP/page-1", "CM1244-04CP")</f>
        <v>CM1244-04CP</v>
      </c>
      <c r="B30134" s="3" t="str">
        <f>HYPERLINK("https://www.773grp.com/manufacturer/onsemi?pageNo=980", "ON Semiconductor")</f>
        <v>ON Semiconductor</v>
      </c>
      <c r="C30134" s="6">
        <v>24500</v>
      </c>
      <c r="D30134" s="7">
        <v>0.69</v>
      </c>
      <c r="E30134" t="s">
        <v>96</v>
      </c>
    </row>
    <row r="30135" spans="1:5" x14ac:dyDescent="0.25">
      <c r="A30135" t="str">
        <f>HYPERLINK("https://www.773grp.com/globalSearch/CM1244-04CP/page-1", "CM1244-04CP")</f>
        <v>CM1244-04CP</v>
      </c>
      <c r="B30135" s="3" t="str">
        <f>HYPERLINK("https://www.773grp.com/manufacturer/onsemi?pageNo=981", "ON Semiconductor")</f>
        <v>ON Semiconductor</v>
      </c>
      <c r="C30135" s="6">
        <v>108500</v>
      </c>
      <c r="D30135" s="7">
        <v>0.69</v>
      </c>
      <c r="E30135" t="s">
        <v>96</v>
      </c>
    </row>
    <row r="30136" spans="1:5" x14ac:dyDescent="0.25">
      <c r="A30136" t="str">
        <f>HYPERLINK("https://www.773grp.com/globalSearch/CM1248-08DE/page-1", "CM1248-08DE")</f>
        <v>CM1248-08DE</v>
      </c>
      <c r="B30136" s="3" t="str">
        <f>HYPERLINK("https://www.773grp.com/manufacturer/onsemi?pageNo=982", "ON Semiconductor")</f>
        <v>ON Semiconductor</v>
      </c>
      <c r="C30136" s="6">
        <v>12000</v>
      </c>
      <c r="D30136" s="7">
        <v>0.69</v>
      </c>
      <c r="E30136" t="s">
        <v>96</v>
      </c>
    </row>
    <row r="30137" spans="1:5" x14ac:dyDescent="0.25">
      <c r="A30137" t="str">
        <f>HYPERLINK("https://www.773grp.com/globalSearch/CM1402-03CP/page-1", "CM1402-03CP")</f>
        <v>CM1402-03CP</v>
      </c>
      <c r="B30137" s="3" t="str">
        <f>HYPERLINK("https://www.773grp.com/manufacturer/onsemi?pageNo=983", "ON Semiconductor")</f>
        <v>ON Semiconductor</v>
      </c>
      <c r="C30137" s="6">
        <v>7172</v>
      </c>
      <c r="D30137" s="7">
        <v>0.69</v>
      </c>
      <c r="E30137" t="s">
        <v>100</v>
      </c>
    </row>
    <row r="30138" spans="1:5" x14ac:dyDescent="0.25">
      <c r="A30138" t="str">
        <f>HYPERLINK("https://www.773grp.com/globalSearch/CM1492-06DE/page-1", "CM1492-06DE")</f>
        <v>CM1492-06DE</v>
      </c>
      <c r="B30138" s="3" t="str">
        <f>HYPERLINK("https://www.773grp.com/manufacturer/onsemi?pageNo=984", "ON Semiconductor")</f>
        <v>ON Semiconductor</v>
      </c>
      <c r="C30138" s="6">
        <v>135000</v>
      </c>
      <c r="D30138" s="7">
        <v>0.69</v>
      </c>
      <c r="E30138" t="s">
        <v>100</v>
      </c>
    </row>
    <row r="30139" spans="1:5" x14ac:dyDescent="0.25">
      <c r="A30139" t="str">
        <f>HYPERLINK("https://www.773grp.com/globalSearch/CM1621-06DE/page-1", "CM1621-06DE")</f>
        <v>CM1621-06DE</v>
      </c>
      <c r="B30139" s="3" t="str">
        <f>HYPERLINK("https://www.773grp.com/manufacturer/onsemi?pageNo=985", "ON Semiconductor")</f>
        <v>ON Semiconductor</v>
      </c>
      <c r="C30139" s="6">
        <v>201000</v>
      </c>
      <c r="D30139" s="7">
        <v>0.69</v>
      </c>
      <c r="E30139" t="s">
        <v>96</v>
      </c>
    </row>
    <row r="30140" spans="1:5" x14ac:dyDescent="0.25">
      <c r="A30140" t="str">
        <f>HYPERLINK("https://www.773grp.com/globalSearch/CM1631-06DE/page-1", "CM1631-06DE")</f>
        <v>CM1631-06DE</v>
      </c>
      <c r="B30140" s="3" t="str">
        <f>HYPERLINK("https://www.773grp.com/manufacturer/onsemi?pageNo=986", "ON Semiconductor")</f>
        <v>ON Semiconductor</v>
      </c>
      <c r="C30140" s="6">
        <v>3000</v>
      </c>
      <c r="D30140" s="7">
        <v>0.69</v>
      </c>
      <c r="E30140" t="s">
        <v>100</v>
      </c>
    </row>
    <row r="30141" spans="1:5" x14ac:dyDescent="0.25">
      <c r="A30141" t="str">
        <f>HYPERLINK("https://www.773grp.com/globalSearch/CM1690-04DE/page-1", "CM1690-04DE")</f>
        <v>CM1690-04DE</v>
      </c>
      <c r="B30141" s="3" t="str">
        <f>HYPERLINK("https://www.773grp.com/manufacturer/onsemi?pageNo=987", "ON Semiconductor")</f>
        <v>ON Semiconductor</v>
      </c>
      <c r="C30141" s="6">
        <v>113975</v>
      </c>
      <c r="D30141" s="7">
        <v>0.69</v>
      </c>
      <c r="E30141" t="s">
        <v>100</v>
      </c>
    </row>
    <row r="30142" spans="1:5" x14ac:dyDescent="0.25">
      <c r="A30142" t="str">
        <f>HYPERLINK("https://www.773grp.com/globalSearch/CM1692-04DE/page-1", "CM1692-04DE")</f>
        <v>CM1692-04DE</v>
      </c>
      <c r="B30142" s="3" t="str">
        <f>HYPERLINK("https://www.773grp.com/manufacturer/onsemi?pageNo=988", "ON Semiconductor")</f>
        <v>ON Semiconductor</v>
      </c>
      <c r="C30142" s="6">
        <v>162200</v>
      </c>
      <c r="D30142" s="7">
        <v>0.69</v>
      </c>
      <c r="E30142" t="s">
        <v>100</v>
      </c>
    </row>
    <row r="30143" spans="1:5" x14ac:dyDescent="0.25">
      <c r="A30143" t="str">
        <f>HYPERLINK("https://www.773grp.com/globalSearch/CM6100/page-1", "CM6100")</f>
        <v>CM6100</v>
      </c>
      <c r="B30143" s="3" t="str">
        <f>HYPERLINK("https://www.773grp.com/manufacturer/onsemi?pageNo=989", "ON Semiconductor")</f>
        <v>ON Semiconductor</v>
      </c>
      <c r="C30143" s="6">
        <v>9600</v>
      </c>
      <c r="D30143" s="7">
        <v>0.69</v>
      </c>
      <c r="E30143" t="s">
        <v>96</v>
      </c>
    </row>
    <row r="30144" spans="1:5" x14ac:dyDescent="0.25">
      <c r="A30144" t="str">
        <f>HYPERLINK("https://www.773grp.com/globalSearch/ECH8601M-C-TL-HX/page-1", "ECH8601M-C-TL-HX")</f>
        <v>ECH8601M-C-TL-HX</v>
      </c>
      <c r="B30144" s="3" t="str">
        <f>HYPERLINK("https://www.773grp.com/manufacturer/onsemi?pageNo=990", "ON Semiconductor")</f>
        <v>ON Semiconductor</v>
      </c>
      <c r="C30144" s="6">
        <v>33000</v>
      </c>
      <c r="D30144" s="7">
        <v>0.69</v>
      </c>
    </row>
    <row r="30145" spans="1:5" x14ac:dyDescent="0.25">
      <c r="A30145" t="str">
        <f>HYPERLINK("https://www.773grp.com/globalSearch/EMI7204MUTAG/page-1", "EMI7204MUTAG")</f>
        <v>EMI7204MUTAG</v>
      </c>
      <c r="B30145" s="3" t="str">
        <f>HYPERLINK("https://www.773grp.com/manufacturer/onsemi?pageNo=991", "ON Semiconductor")</f>
        <v>ON Semiconductor</v>
      </c>
      <c r="C30145" s="6">
        <v>66000</v>
      </c>
      <c r="D30145" s="7">
        <v>0.69</v>
      </c>
      <c r="E30145" t="s">
        <v>100</v>
      </c>
    </row>
    <row r="30146" spans="1:5" x14ac:dyDescent="0.25">
      <c r="A30146" t="str">
        <f>HYPERLINK("https://www.773grp.com/globalSearch/ESD7104MUTAG/page-1", "ESD7104MUTAG")</f>
        <v>ESD7104MUTAG</v>
      </c>
      <c r="B30146" s="3" t="str">
        <f>HYPERLINK("https://www.773grp.com/manufacturer/onsemi?pageNo=992", "ON Semiconductor")</f>
        <v>ON Semiconductor</v>
      </c>
      <c r="C30146" s="6">
        <v>18476</v>
      </c>
      <c r="D30146" s="7">
        <v>0.69</v>
      </c>
    </row>
    <row r="30147" spans="1:5" x14ac:dyDescent="0.25">
      <c r="A30147" t="str">
        <f>HYPERLINK("https://www.773grp.com/globalSearch/ESDR0502NMUTBG/page-1", "ESDR0502NMUTBG")</f>
        <v>ESDR0502NMUTBG</v>
      </c>
      <c r="B30147" s="3" t="str">
        <f>HYPERLINK("https://www.773grp.com/manufacturer/onsemi?pageNo=993", "ON Semiconductor")</f>
        <v>ON Semiconductor</v>
      </c>
      <c r="C30147" s="6">
        <v>50454</v>
      </c>
      <c r="D30147" s="7">
        <v>0.69</v>
      </c>
      <c r="E30147" t="s">
        <v>96</v>
      </c>
    </row>
    <row r="30148" spans="1:5" x14ac:dyDescent="0.25">
      <c r="A30148" t="str">
        <f>HYPERLINK("https://www.773grp.com/globalSearch/ICTE-10RL4G/page-1", "ICTE-10RL4G")</f>
        <v>ICTE-10RL4G</v>
      </c>
      <c r="B30148" s="3" t="str">
        <f>HYPERLINK("https://www.773grp.com/manufacturer/onsemi?pageNo=994", "ON Semiconductor")</f>
        <v>ON Semiconductor</v>
      </c>
      <c r="C30148" s="6">
        <v>3000</v>
      </c>
      <c r="D30148" s="7">
        <v>0.69</v>
      </c>
      <c r="E30148" t="s">
        <v>96</v>
      </c>
    </row>
    <row r="30149" spans="1:5" x14ac:dyDescent="0.25">
      <c r="A30149" t="str">
        <f>HYPERLINK("https://www.773grp.com/globalSearch/IRF510/page-1", "IRF510")</f>
        <v>IRF510</v>
      </c>
      <c r="B30149" s="3" t="str">
        <f>HYPERLINK("https://www.773grp.com/manufacturer/onsemi?pageNo=995", "ON Semiconductor")</f>
        <v>ON Semiconductor</v>
      </c>
      <c r="C30149" s="6">
        <v>90</v>
      </c>
      <c r="D30149" s="7">
        <v>0.69</v>
      </c>
      <c r="E30149" t="s">
        <v>105</v>
      </c>
    </row>
    <row r="30150" spans="1:5" x14ac:dyDescent="0.25">
      <c r="A30150" t="str">
        <f>HYPERLINK("https://www.773grp.com/globalSearch/LM2901DG/page-1", "LM2901DG")</f>
        <v>LM2901DG</v>
      </c>
      <c r="B30150" s="3" t="str">
        <f>HYPERLINK("https://www.773grp.com/manufacturer/onsemi?pageNo=996", "ON Semiconductor")</f>
        <v>ON Semiconductor</v>
      </c>
      <c r="C30150" s="6">
        <v>5645</v>
      </c>
      <c r="D30150" s="7">
        <v>0.69</v>
      </c>
      <c r="E30150" t="s">
        <v>9</v>
      </c>
    </row>
    <row r="30151" spans="1:5" x14ac:dyDescent="0.25">
      <c r="A30151" t="str">
        <f>HYPERLINK("https://www.773grp.com/globalSearch/LM2901DR2G/page-1", "LM2901DR2G")</f>
        <v>LM2901DR2G</v>
      </c>
      <c r="B30151" s="3" t="str">
        <f>HYPERLINK("https://www.773grp.com/manufacturer/onsemi?pageNo=997", "ON Semiconductor")</f>
        <v>ON Semiconductor</v>
      </c>
      <c r="C30151" s="6">
        <v>204850</v>
      </c>
      <c r="D30151" s="7">
        <v>0.69</v>
      </c>
      <c r="E30151" t="s">
        <v>9</v>
      </c>
    </row>
    <row r="30152" spans="1:5" x14ac:dyDescent="0.25">
      <c r="A30152" t="str">
        <f>HYPERLINK("https://www.773grp.com/globalSearch/LM2902DG/page-1", "LM2902DG")</f>
        <v>LM2902DG</v>
      </c>
      <c r="B30152" s="3" t="str">
        <f>HYPERLINK("https://www.773grp.com/manufacturer/onsemi?pageNo=998", "ON Semiconductor")</f>
        <v>ON Semiconductor</v>
      </c>
      <c r="C30152" s="6">
        <v>16794</v>
      </c>
      <c r="D30152" s="7">
        <v>0.69</v>
      </c>
      <c r="E30152" t="s">
        <v>13</v>
      </c>
    </row>
    <row r="30153" spans="1:5" x14ac:dyDescent="0.25">
      <c r="A30153" t="str">
        <f>HYPERLINK("https://www.773grp.com/globalSearch/LM2902DR2G/page-1", "LM2902DR2G")</f>
        <v>LM2902DR2G</v>
      </c>
      <c r="B30153" s="3" t="str">
        <f>HYPERLINK("https://www.773grp.com/manufacturer/onsemi?pageNo=999", "ON Semiconductor")</f>
        <v>ON Semiconductor</v>
      </c>
      <c r="C30153" s="6">
        <v>1102500</v>
      </c>
      <c r="D30153" s="7">
        <v>0.69</v>
      </c>
      <c r="E30153" t="s">
        <v>13</v>
      </c>
    </row>
    <row r="30154" spans="1:5" x14ac:dyDescent="0.25">
      <c r="A30154" t="str">
        <f>HYPERLINK("https://www.773grp.com/globalSearch/LM2902VNG/page-1", "LM2902VNG")</f>
        <v>LM2902VNG</v>
      </c>
      <c r="B30154" s="3" t="str">
        <f>HYPERLINK("https://www.773grp.com/manufacturer/onsemi?pageNo=1000", "ON Semiconductor")</f>
        <v>ON Semiconductor</v>
      </c>
      <c r="C30154" s="6">
        <v>6497</v>
      </c>
      <c r="D30154" s="7">
        <v>0.69</v>
      </c>
      <c r="E30154" t="s">
        <v>13</v>
      </c>
    </row>
    <row r="30155" spans="1:5" x14ac:dyDescent="0.25">
      <c r="A30155" t="str">
        <f>HYPERLINK("https://www.773grp.com/globalSearch/LM2931AZ-5.0/page-1", "LM2931AZ-5.0")</f>
        <v>LM2931AZ-5.0</v>
      </c>
      <c r="B30155" s="3" t="str">
        <f>HYPERLINK("https://www.773grp.com/manufacturer/onsemi?pageNo=1001", "ON Semiconductor")</f>
        <v>ON Semiconductor</v>
      </c>
      <c r="C30155" s="6">
        <v>2602</v>
      </c>
      <c r="D30155" s="7">
        <v>0.69</v>
      </c>
      <c r="E30155" t="s">
        <v>19</v>
      </c>
    </row>
    <row r="30156" spans="1:5" x14ac:dyDescent="0.25">
      <c r="A30156" t="str">
        <f>HYPERLINK("https://www.773grp.com/globalSearch/LM2931AZ-5.0RA/page-1", "LM2931AZ-5.0RA")</f>
        <v>LM2931AZ-5.0RA</v>
      </c>
      <c r="B30156" s="3" t="str">
        <f>HYPERLINK("https://www.773grp.com/manufacturer/onsemi?pageNo=1002", "ON Semiconductor")</f>
        <v>ON Semiconductor</v>
      </c>
      <c r="C30156" s="6">
        <v>23881</v>
      </c>
      <c r="D30156" s="7">
        <v>0.69</v>
      </c>
      <c r="E30156" t="s">
        <v>19</v>
      </c>
    </row>
    <row r="30157" spans="1:5" x14ac:dyDescent="0.25">
      <c r="A30157" t="str">
        <f>HYPERLINK("https://www.773grp.com/globalSearch/LM311DR2/page-1", "LM311DR2")</f>
        <v>LM311DR2</v>
      </c>
      <c r="B30157" s="3" t="str">
        <f>HYPERLINK("https://www.773grp.com/manufacturer/onsemi?pageNo=1003", "ON Semiconductor")</f>
        <v>ON Semiconductor</v>
      </c>
      <c r="C30157" s="6">
        <v>4464</v>
      </c>
      <c r="D30157" s="7">
        <v>0.69</v>
      </c>
      <c r="E30157" t="s">
        <v>9</v>
      </c>
    </row>
    <row r="30158" spans="1:5" x14ac:dyDescent="0.25">
      <c r="A30158" t="str">
        <f>HYPERLINK("https://www.773grp.com/globalSearch/LM317T/page-1", "LM317T")</f>
        <v>LM317T</v>
      </c>
      <c r="B30158" s="3" t="str">
        <f>HYPERLINK("https://www.773grp.com/manufacturer/onsemi?pageNo=1004", "ON Semiconductor")</f>
        <v>ON Semiconductor</v>
      </c>
      <c r="C30158" s="6">
        <v>22457</v>
      </c>
      <c r="D30158" s="7">
        <v>0.69</v>
      </c>
      <c r="E30158" t="s">
        <v>22</v>
      </c>
    </row>
    <row r="30159" spans="1:5" x14ac:dyDescent="0.25">
      <c r="A30159" t="str">
        <f>HYPERLINK("https://www.773grp.com/globalSearch/LM324AD/page-1", "LM324AD")</f>
        <v>LM324AD</v>
      </c>
      <c r="B30159" s="3" t="str">
        <f>HYPERLINK("https://www.773grp.com/manufacturer/onsemi?pageNo=1005", "ON Semiconductor")</f>
        <v>ON Semiconductor</v>
      </c>
      <c r="C30159" s="6">
        <v>1375</v>
      </c>
      <c r="D30159" s="7">
        <v>0.69</v>
      </c>
      <c r="E30159" t="s">
        <v>13</v>
      </c>
    </row>
    <row r="30160" spans="1:5" x14ac:dyDescent="0.25">
      <c r="A30160" t="str">
        <f>HYPERLINK("https://www.773grp.com/globalSearch/LM358NG/page-1", "LM358NG")</f>
        <v>LM358NG</v>
      </c>
      <c r="B30160" s="3" t="str">
        <f>HYPERLINK("https://www.773grp.com/manufacturer/onsemi?pageNo=1006", "ON Semiconductor")</f>
        <v>ON Semiconductor</v>
      </c>
      <c r="C30160" s="6">
        <v>87798</v>
      </c>
      <c r="D30160" s="7">
        <v>0.69</v>
      </c>
      <c r="E30160" t="s">
        <v>13</v>
      </c>
    </row>
    <row r="30161" spans="1:5" x14ac:dyDescent="0.25">
      <c r="A30161" t="str">
        <f>HYPERLINK("https://www.773grp.com/globalSearch/LM385Z-2.5/page-1", "LM385Z-2.5")</f>
        <v>LM385Z-2.5</v>
      </c>
      <c r="B30161" s="3" t="str">
        <f>HYPERLINK("https://www.773grp.com/manufacturer/onsemi?pageNo=1007", "ON Semiconductor")</f>
        <v>ON Semiconductor</v>
      </c>
      <c r="C30161" s="6">
        <v>1007</v>
      </c>
      <c r="D30161" s="7">
        <v>0.69</v>
      </c>
      <c r="E30161" t="s">
        <v>17</v>
      </c>
    </row>
    <row r="30162" spans="1:5" x14ac:dyDescent="0.25">
      <c r="A30162" t="str">
        <f>HYPERLINK("https://www.773grp.com/globalSearch/LM385Z-2.5RP/page-1", "LM385Z-2.5RP")</f>
        <v>LM385Z-2.5RP</v>
      </c>
      <c r="B30162" s="3" t="str">
        <f>HYPERLINK("https://www.773grp.com/manufacturer/onsemi?pageNo=1008", "ON Semiconductor")</f>
        <v>ON Semiconductor</v>
      </c>
      <c r="C30162" s="6">
        <v>2000</v>
      </c>
      <c r="D30162" s="7">
        <v>0.69</v>
      </c>
      <c r="E30162" t="s">
        <v>17</v>
      </c>
    </row>
    <row r="30163" spans="1:5" x14ac:dyDescent="0.25">
      <c r="A30163" t="str">
        <f>HYPERLINK("https://www.773grp.com/globalSearch/LM393N/page-1", "LM393N")</f>
        <v>LM393N</v>
      </c>
      <c r="B30163" s="3" t="str">
        <f>HYPERLINK("https://www.773grp.com/manufacturer/onsemi?pageNo=1009", "ON Semiconductor")</f>
        <v>ON Semiconductor</v>
      </c>
      <c r="C30163" s="6">
        <v>10050</v>
      </c>
      <c r="D30163" s="7">
        <v>0.69</v>
      </c>
      <c r="E30163" t="s">
        <v>9</v>
      </c>
    </row>
    <row r="30164" spans="1:5" x14ac:dyDescent="0.25">
      <c r="A30164" t="str">
        <f>HYPERLINK("https://www.773grp.com/globalSearch/LM393NG/page-1", "LM393NG")</f>
        <v>LM393NG</v>
      </c>
      <c r="B30164" s="3" t="str">
        <f>HYPERLINK("https://www.773grp.com/manufacturer/onsemi?pageNo=1010", "ON Semiconductor")</f>
        <v>ON Semiconductor</v>
      </c>
      <c r="C30164" s="6">
        <v>416990</v>
      </c>
      <c r="D30164" s="7">
        <v>0.69</v>
      </c>
      <c r="E30164" t="s">
        <v>9</v>
      </c>
    </row>
    <row r="30165" spans="1:5" x14ac:dyDescent="0.25">
      <c r="A30165" t="str">
        <f>HYPERLINK("https://www.773grp.com/globalSearch/LV51142T-TE-F-E/page-1", "LV51142T-TE-F-E")</f>
        <v>LV51142T-TE-F-E</v>
      </c>
      <c r="B30165" s="3" t="str">
        <f>HYPERLINK("https://www.773grp.com/manufacturer/onsemi?pageNo=1011", "ON Semiconductor")</f>
        <v>ON Semiconductor</v>
      </c>
      <c r="C30165" s="6">
        <v>100</v>
      </c>
      <c r="D30165" s="7">
        <v>0.69</v>
      </c>
    </row>
    <row r="30166" spans="1:5" x14ac:dyDescent="0.25">
      <c r="A30166" t="str">
        <f>HYPERLINK("https://www.773grp.com/globalSearch/M74VHCT126ADTR2G/page-1", "M74VHCT126ADTR2G")</f>
        <v>M74VHCT126ADTR2G</v>
      </c>
      <c r="B30166" s="3" t="str">
        <f>HYPERLINK("https://www.773grp.com/manufacturer/onsemi?pageNo=1012", "ON Semiconductor")</f>
        <v>ON Semiconductor</v>
      </c>
      <c r="C30166" s="6">
        <v>5000</v>
      </c>
      <c r="D30166" s="7">
        <v>0.69</v>
      </c>
    </row>
    <row r="30167" spans="1:5" x14ac:dyDescent="0.25">
      <c r="A30167" t="str">
        <f>HYPERLINK("https://www.773grp.com/globalSearch/MAX803SQ120T1G/page-1", "MAX803SQ120T1G")</f>
        <v>MAX803SQ120T1G</v>
      </c>
      <c r="B30167" s="3" t="str">
        <f>HYPERLINK("https://www.773grp.com/manufacturer/onsemi?pageNo=1013", "ON Semiconductor")</f>
        <v>ON Semiconductor</v>
      </c>
      <c r="C30167" s="6">
        <v>2990</v>
      </c>
      <c r="D30167" s="7">
        <v>0.69</v>
      </c>
    </row>
    <row r="30168" spans="1:5" x14ac:dyDescent="0.25">
      <c r="A30168" t="str">
        <f>HYPERLINK("https://www.773grp.com/globalSearch/MAX809SN120T1G/page-1", "MAX809SN120T1G")</f>
        <v>MAX809SN120T1G</v>
      </c>
      <c r="B30168" s="3" t="str">
        <f>HYPERLINK("https://www.773grp.com/manufacturer/onsemi?pageNo=1014", "ON Semiconductor")</f>
        <v>ON Semiconductor</v>
      </c>
      <c r="C30168" s="6">
        <v>39000</v>
      </c>
      <c r="D30168" s="7">
        <v>0.69</v>
      </c>
      <c r="E30168" t="s">
        <v>30</v>
      </c>
    </row>
    <row r="30169" spans="1:5" x14ac:dyDescent="0.25">
      <c r="A30169" t="str">
        <f>HYPERLINK("https://www.773grp.com/globalSearch/MAX809SN490T1G/page-1", "MAX809SN490T1G")</f>
        <v>MAX809SN490T1G</v>
      </c>
      <c r="B30169" s="3" t="str">
        <f>HYPERLINK("https://www.773grp.com/manufacturer/onsemi?pageNo=1015", "ON Semiconductor")</f>
        <v>ON Semiconductor</v>
      </c>
      <c r="C30169" s="6">
        <v>18000</v>
      </c>
      <c r="D30169" s="7">
        <v>0.69</v>
      </c>
      <c r="E30169" t="s">
        <v>30</v>
      </c>
    </row>
    <row r="30170" spans="1:5" x14ac:dyDescent="0.25">
      <c r="A30170" t="str">
        <f>HYPERLINK("https://www.773grp.com/globalSearch/MAX809SQ120T1G/page-1", "MAX809SQ120T1G")</f>
        <v>MAX809SQ120T1G</v>
      </c>
      <c r="B30170" s="3" t="str">
        <f>HYPERLINK("https://www.773grp.com/manufacturer/onsemi?pageNo=1016", "ON Semiconductor")</f>
        <v>ON Semiconductor</v>
      </c>
      <c r="C30170" s="6">
        <v>12000</v>
      </c>
      <c r="D30170" s="7">
        <v>0.69</v>
      </c>
    </row>
    <row r="30171" spans="1:5" x14ac:dyDescent="0.25">
      <c r="A30171" t="str">
        <f>HYPERLINK("https://www.773grp.com/globalSearch/MAX809SQ293T1G/page-1", "MAX809SQ293T1G")</f>
        <v>MAX809SQ293T1G</v>
      </c>
      <c r="B30171" s="3" t="str">
        <f>HYPERLINK("https://www.773grp.com/manufacturer/onsemi?pageNo=1017", "ON Semiconductor")</f>
        <v>ON Semiconductor</v>
      </c>
      <c r="C30171" s="6">
        <v>45000</v>
      </c>
      <c r="D30171" s="7">
        <v>0.69</v>
      </c>
      <c r="E30171" t="s">
        <v>30</v>
      </c>
    </row>
    <row r="30172" spans="1:5" x14ac:dyDescent="0.25">
      <c r="A30172" t="str">
        <f>HYPERLINK("https://www.773grp.com/globalSearch/MAX809SQ400T1G/page-1", "MAX809SQ400T1G")</f>
        <v>MAX809SQ400T1G</v>
      </c>
      <c r="B30172" s="3" t="str">
        <f>HYPERLINK("https://www.773grp.com/manufacturer/onsemi?pageNo=1018", "ON Semiconductor")</f>
        <v>ON Semiconductor</v>
      </c>
      <c r="C30172" s="6">
        <v>1266738</v>
      </c>
      <c r="D30172" s="7">
        <v>0.69</v>
      </c>
      <c r="E30172" t="s">
        <v>30</v>
      </c>
    </row>
    <row r="30173" spans="1:5" x14ac:dyDescent="0.25">
      <c r="A30173" t="str">
        <f>HYPERLINK("https://www.773grp.com/globalSearch/MAX809SQ463T1G/page-1", "MAX809SQ463T1G")</f>
        <v>MAX809SQ463T1G</v>
      </c>
      <c r="B30173" s="3" t="str">
        <f>HYPERLINK("https://www.773grp.com/manufacturer/onsemi?pageNo=1019", "ON Semiconductor")</f>
        <v>ON Semiconductor</v>
      </c>
      <c r="C30173" s="6">
        <v>81000</v>
      </c>
      <c r="D30173" s="7">
        <v>0.69</v>
      </c>
      <c r="E30173" t="s">
        <v>30</v>
      </c>
    </row>
    <row r="30174" spans="1:5" x14ac:dyDescent="0.25">
      <c r="A30174" t="str">
        <f>HYPERLINK("https://www.773grp.com/globalSearch/MAX810RTRG/page-1", "MAX810RTRG")</f>
        <v>MAX810RTRG</v>
      </c>
      <c r="B30174" s="3" t="str">
        <f>HYPERLINK("https://www.773grp.com/manufacturer/onsemi?pageNo=1020", "ON Semiconductor")</f>
        <v>ON Semiconductor</v>
      </c>
      <c r="C30174" s="6">
        <v>72000</v>
      </c>
      <c r="D30174" s="7">
        <v>0.69</v>
      </c>
      <c r="E30174" t="s">
        <v>30</v>
      </c>
    </row>
    <row r="30175" spans="1:5" x14ac:dyDescent="0.25">
      <c r="A30175" t="str">
        <f>HYPERLINK("https://www.773grp.com/globalSearch/MAX810SN120T1G/page-1", "MAX810SN120T1G")</f>
        <v>MAX810SN120T1G</v>
      </c>
      <c r="B30175" s="3" t="str">
        <f>HYPERLINK("https://www.773grp.com/manufacturer/onsemi?pageNo=1021", "ON Semiconductor")</f>
        <v>ON Semiconductor</v>
      </c>
      <c r="C30175" s="6">
        <v>15000</v>
      </c>
      <c r="D30175" s="7">
        <v>0.69</v>
      </c>
    </row>
    <row r="30176" spans="1:5" x14ac:dyDescent="0.25">
      <c r="A30176" t="str">
        <f>HYPERLINK("https://www.773grp.com/globalSearch/MAX810SN293D1T1G/page-1", "MAX810SN293D1T1G")</f>
        <v>MAX810SN293D1T1G</v>
      </c>
      <c r="B30176" s="3" t="str">
        <f>HYPERLINK("https://www.773grp.com/manufacturer/onsemi?pageNo=1022", "ON Semiconductor")</f>
        <v>ON Semiconductor</v>
      </c>
      <c r="C30176" s="6">
        <v>3000</v>
      </c>
      <c r="D30176" s="7">
        <v>0.69</v>
      </c>
    </row>
    <row r="30177" spans="1:5" x14ac:dyDescent="0.25">
      <c r="A30177" t="str">
        <f>HYPERLINK("https://www.773grp.com/globalSearch/MAX810SQ263T1G/page-1", "MAX810SQ263T1G")</f>
        <v>MAX810SQ263T1G</v>
      </c>
      <c r="B30177" s="3" t="str">
        <f>HYPERLINK("https://www.773grp.com/manufacturer/onsemi?pageNo=1023", "ON Semiconductor")</f>
        <v>ON Semiconductor</v>
      </c>
      <c r="C30177" s="6">
        <v>45000</v>
      </c>
      <c r="D30177" s="7">
        <v>0.69</v>
      </c>
    </row>
    <row r="30178" spans="1:5" x14ac:dyDescent="0.25">
      <c r="A30178" t="str">
        <f>HYPERLINK("https://www.773grp.com/globalSearch/MAX810STRG/page-1", "MAX810STRG")</f>
        <v>MAX810STRG</v>
      </c>
      <c r="B30178" s="3" t="str">
        <f>HYPERLINK("https://www.773grp.com/manufacturer/onsemi?pageNo=1024", "ON Semiconductor")</f>
        <v>ON Semiconductor</v>
      </c>
      <c r="C30178" s="6">
        <v>13990</v>
      </c>
      <c r="D30178" s="7">
        <v>0.69</v>
      </c>
      <c r="E30178" t="s">
        <v>30</v>
      </c>
    </row>
    <row r="30179" spans="1:5" x14ac:dyDescent="0.25">
      <c r="A30179" t="str">
        <f>HYPERLINK("https://www.773grp.com/globalSearch/MAX810TTRG/page-1", "MAX810TTRG")</f>
        <v>MAX810TTRG</v>
      </c>
      <c r="B30179" s="3" t="str">
        <f>HYPERLINK("https://www.773grp.com/manufacturer/onsemi?pageNo=1025", "ON Semiconductor")</f>
        <v>ON Semiconductor</v>
      </c>
      <c r="C30179" s="6">
        <v>3370</v>
      </c>
      <c r="D30179" s="7">
        <v>0.69</v>
      </c>
      <c r="E30179" t="s">
        <v>30</v>
      </c>
    </row>
    <row r="30180" spans="1:5" x14ac:dyDescent="0.25">
      <c r="A30180" t="str">
        <f>HYPERLINK("https://www.773grp.com/globalSearch/MBT35200MT1/page-1", "MBT35200MT1")</f>
        <v>MBT35200MT1</v>
      </c>
      <c r="B30180" s="3" t="str">
        <f>HYPERLINK("https://www.773grp.com/manufacturer/onsemi?pageNo=1026", "ON Semiconductor")</f>
        <v>ON Semiconductor</v>
      </c>
      <c r="C30180" s="6">
        <v>33000</v>
      </c>
      <c r="D30180" s="7">
        <v>0.69</v>
      </c>
    </row>
    <row r="30181" spans="1:5" x14ac:dyDescent="0.25">
      <c r="A30181" t="str">
        <f>HYPERLINK("https://www.773grp.com/globalSearch/MC14001BDTR2G/page-1", "MC14001BDTR2G")</f>
        <v>MC14001BDTR2G</v>
      </c>
      <c r="B30181" s="3" t="str">
        <f>HYPERLINK("https://www.773grp.com/manufacturer/onsemi?pageNo=1027", "ON Semiconductor")</f>
        <v>ON Semiconductor</v>
      </c>
      <c r="C30181" s="6">
        <v>3685</v>
      </c>
      <c r="D30181" s="7">
        <v>0.69</v>
      </c>
      <c r="E30181" t="s">
        <v>31</v>
      </c>
    </row>
    <row r="30182" spans="1:5" x14ac:dyDescent="0.25">
      <c r="A30182" t="str">
        <f>HYPERLINK("https://www.773grp.com/globalSearch/MC14001UBDR2/page-1", "MC14001UBDR2")</f>
        <v>MC14001UBDR2</v>
      </c>
      <c r="B30182" s="3" t="str">
        <f>HYPERLINK("https://www.773grp.com/manufacturer/onsemi?pageNo=1028", "ON Semiconductor")</f>
        <v>ON Semiconductor</v>
      </c>
      <c r="C30182" s="6">
        <v>6066</v>
      </c>
      <c r="D30182" s="7">
        <v>0.69</v>
      </c>
      <c r="E30182" t="s">
        <v>31</v>
      </c>
    </row>
    <row r="30183" spans="1:5" x14ac:dyDescent="0.25">
      <c r="A30183" t="str">
        <f>HYPERLINK("https://www.773grp.com/globalSearch/MC14011BDTR2G/page-1", "MC14011BDTR2G")</f>
        <v>MC14011BDTR2G</v>
      </c>
      <c r="B30183" s="3" t="str">
        <f>HYPERLINK("https://www.773grp.com/manufacturer/onsemi?pageNo=1029", "ON Semiconductor")</f>
        <v>ON Semiconductor</v>
      </c>
      <c r="C30183" s="6">
        <v>43119</v>
      </c>
      <c r="D30183" s="7">
        <v>0.69</v>
      </c>
      <c r="E30183" t="s">
        <v>31</v>
      </c>
    </row>
    <row r="30184" spans="1:5" x14ac:dyDescent="0.25">
      <c r="A30184" t="str">
        <f>HYPERLINK("https://www.773grp.com/globalSearch/MC14013BDT/page-1", "MC14013BDT")</f>
        <v>MC14013BDT</v>
      </c>
      <c r="B30184" s="3" t="str">
        <f>HYPERLINK("https://www.773grp.com/manufacturer/onsemi?pageNo=1030", "ON Semiconductor")</f>
        <v>ON Semiconductor</v>
      </c>
      <c r="C30184" s="6">
        <v>2515</v>
      </c>
      <c r="D30184" s="7">
        <v>0.69</v>
      </c>
      <c r="E30184" t="s">
        <v>35</v>
      </c>
    </row>
    <row r="30185" spans="1:5" x14ac:dyDescent="0.25">
      <c r="A30185" t="str">
        <f>HYPERLINK("https://www.773grp.com/globalSearch/MC14014BF/page-1", "MC14014BF")</f>
        <v>MC14014BF</v>
      </c>
      <c r="B30185" s="3" t="str">
        <f>HYPERLINK("https://www.773grp.com/manufacturer/onsemi?pageNo=1031", "ON Semiconductor")</f>
        <v>ON Semiconductor</v>
      </c>
      <c r="C30185" s="6">
        <v>26868</v>
      </c>
      <c r="D30185" s="7">
        <v>0.69</v>
      </c>
      <c r="E30185" t="s">
        <v>32</v>
      </c>
    </row>
    <row r="30186" spans="1:5" x14ac:dyDescent="0.25">
      <c r="A30186" t="str">
        <f>HYPERLINK("https://www.773grp.com/globalSearch/MC14014BFEL/page-1", "MC14014BFEL")</f>
        <v>MC14014BFEL</v>
      </c>
      <c r="B30186" s="3" t="str">
        <f>HYPERLINK("https://www.773grp.com/manufacturer/onsemi?pageNo=1032", "ON Semiconductor")</f>
        <v>ON Semiconductor</v>
      </c>
      <c r="C30186" s="6">
        <v>2000</v>
      </c>
      <c r="D30186" s="7">
        <v>0.69</v>
      </c>
      <c r="E30186" t="s">
        <v>32</v>
      </c>
    </row>
    <row r="30187" spans="1:5" x14ac:dyDescent="0.25">
      <c r="A30187" t="str">
        <f>HYPERLINK("https://www.773grp.com/globalSearch/MC14015BF/page-1", "MC14015BF")</f>
        <v>MC14015BF</v>
      </c>
      <c r="B30187" s="3" t="str">
        <f>HYPERLINK("https://www.773grp.com/manufacturer/onsemi?pageNo=1033", "ON Semiconductor")</f>
        <v>ON Semiconductor</v>
      </c>
      <c r="C30187" s="6">
        <v>1350</v>
      </c>
      <c r="D30187" s="7">
        <v>0.69</v>
      </c>
      <c r="E30187" t="s">
        <v>32</v>
      </c>
    </row>
    <row r="30188" spans="1:5" x14ac:dyDescent="0.25">
      <c r="A30188" t="str">
        <f>HYPERLINK("https://www.773grp.com/globalSearch/MC14015BFEL/page-1", "MC14015BFEL")</f>
        <v>MC14015BFEL</v>
      </c>
      <c r="B30188" s="3" t="str">
        <f>HYPERLINK("https://www.773grp.com/manufacturer/onsemi?pageNo=1034", "ON Semiconductor")</f>
        <v>ON Semiconductor</v>
      </c>
      <c r="C30188" s="6">
        <v>4000</v>
      </c>
      <c r="D30188" s="7">
        <v>0.69</v>
      </c>
      <c r="E30188" t="s">
        <v>32</v>
      </c>
    </row>
    <row r="30189" spans="1:5" x14ac:dyDescent="0.25">
      <c r="A30189" t="str">
        <f>HYPERLINK("https://www.773grp.com/globalSearch/MC14016BF/page-1", "MC14016BF")</f>
        <v>MC14016BF</v>
      </c>
      <c r="B30189" s="3" t="str">
        <f>HYPERLINK("https://www.773grp.com/manufacturer/onsemi?pageNo=1035", "ON Semiconductor")</f>
        <v>ON Semiconductor</v>
      </c>
      <c r="C30189" s="6">
        <v>2946</v>
      </c>
      <c r="D30189" s="7">
        <v>0.69</v>
      </c>
      <c r="E30189" t="s">
        <v>56</v>
      </c>
    </row>
    <row r="30190" spans="1:5" x14ac:dyDescent="0.25">
      <c r="A30190" t="str">
        <f>HYPERLINK("https://www.773grp.com/globalSearch/MC14016BFL1/page-1", "MC14016BFL1")</f>
        <v>MC14016BFL1</v>
      </c>
      <c r="B30190" s="3" t="str">
        <f>HYPERLINK("https://www.773grp.com/manufacturer/onsemi?pageNo=1036", "ON Semiconductor")</f>
        <v>ON Semiconductor</v>
      </c>
      <c r="C30190" s="6">
        <v>1000</v>
      </c>
      <c r="D30190" s="7">
        <v>0.69</v>
      </c>
    </row>
    <row r="30191" spans="1:5" x14ac:dyDescent="0.25">
      <c r="A30191" t="str">
        <f>HYPERLINK("https://www.773grp.com/globalSearch/MC14024BF/page-1", "MC14024BF")</f>
        <v>MC14024BF</v>
      </c>
      <c r="B30191" s="3" t="str">
        <f>HYPERLINK("https://www.773grp.com/manufacturer/onsemi?pageNo=1037", "ON Semiconductor")</f>
        <v>ON Semiconductor</v>
      </c>
      <c r="C30191" s="6">
        <v>2350</v>
      </c>
      <c r="D30191" s="7">
        <v>0.69</v>
      </c>
      <c r="E30191" t="s">
        <v>26</v>
      </c>
    </row>
    <row r="30192" spans="1:5" x14ac:dyDescent="0.25">
      <c r="A30192" t="str">
        <f>HYPERLINK("https://www.773grp.com/globalSearch/MC14024BFL1/page-1", "MC14024BFL1")</f>
        <v>MC14024BFL1</v>
      </c>
      <c r="B30192" s="3" t="str">
        <f>HYPERLINK("https://www.773grp.com/manufacturer/onsemi?pageNo=1038", "ON Semiconductor")</f>
        <v>ON Semiconductor</v>
      </c>
      <c r="C30192" s="6">
        <v>2000</v>
      </c>
      <c r="D30192" s="7">
        <v>0.69</v>
      </c>
      <c r="E30192" t="s">
        <v>26</v>
      </c>
    </row>
    <row r="30193" spans="1:5" x14ac:dyDescent="0.25">
      <c r="A30193" t="str">
        <f>HYPERLINK("https://www.773grp.com/globalSearch/MC14024BFL2/page-1", "MC14024BFL2")</f>
        <v>MC14024BFL2</v>
      </c>
      <c r="B30193" s="3" t="str">
        <f>HYPERLINK("https://www.773grp.com/manufacturer/onsemi?pageNo=1039", "ON Semiconductor")</f>
        <v>ON Semiconductor</v>
      </c>
      <c r="C30193" s="6">
        <v>6000</v>
      </c>
      <c r="D30193" s="7">
        <v>0.69</v>
      </c>
      <c r="E30193" t="s">
        <v>26</v>
      </c>
    </row>
    <row r="30194" spans="1:5" x14ac:dyDescent="0.25">
      <c r="A30194" t="str">
        <f>HYPERLINK("https://www.773grp.com/globalSearch/MC14024BFR1/page-1", "MC14024BFR1")</f>
        <v>MC14024BFR1</v>
      </c>
      <c r="B30194" s="3" t="str">
        <f>HYPERLINK("https://www.773grp.com/manufacturer/onsemi?pageNo=1040", "ON Semiconductor")</f>
        <v>ON Semiconductor</v>
      </c>
      <c r="C30194" s="6">
        <v>8000</v>
      </c>
      <c r="D30194" s="7">
        <v>0.69</v>
      </c>
      <c r="E30194" t="s">
        <v>26</v>
      </c>
    </row>
    <row r="30195" spans="1:5" x14ac:dyDescent="0.25">
      <c r="A30195" t="str">
        <f>HYPERLINK("https://www.773grp.com/globalSearch/MC14027BF/page-1", "MC14027BF")</f>
        <v>MC14027BF</v>
      </c>
      <c r="B30195" s="3" t="str">
        <f>HYPERLINK("https://www.773grp.com/manufacturer/onsemi?pageNo=1041", "ON Semiconductor")</f>
        <v>ON Semiconductor</v>
      </c>
      <c r="C30195" s="6">
        <v>1826</v>
      </c>
      <c r="D30195" s="7">
        <v>0.69</v>
      </c>
      <c r="E30195" t="s">
        <v>35</v>
      </c>
    </row>
    <row r="30196" spans="1:5" x14ac:dyDescent="0.25">
      <c r="A30196" t="str">
        <f>HYPERLINK("https://www.773grp.com/globalSearch/MC14027BFL1/page-1", "MC14027BFL1")</f>
        <v>MC14027BFL1</v>
      </c>
      <c r="B30196" s="3" t="str">
        <f>HYPERLINK("https://www.773grp.com/manufacturer/onsemi?pageNo=1042", "ON Semiconductor")</f>
        <v>ON Semiconductor</v>
      </c>
      <c r="C30196" s="6">
        <v>9000</v>
      </c>
      <c r="D30196" s="7">
        <v>0.69</v>
      </c>
      <c r="E30196" t="s">
        <v>35</v>
      </c>
    </row>
    <row r="30197" spans="1:5" x14ac:dyDescent="0.25">
      <c r="A30197" t="str">
        <f>HYPERLINK("https://www.773grp.com/globalSearch/MC14046BCP/page-1", "MC14046BCP")</f>
        <v>MC14046BCP</v>
      </c>
      <c r="B30197" s="3" t="str">
        <f>HYPERLINK("https://www.773grp.com/manufacturer/onsemi?pageNo=1043", "ON Semiconductor")</f>
        <v>ON Semiconductor</v>
      </c>
      <c r="C30197" s="6">
        <v>13608</v>
      </c>
      <c r="D30197" s="7">
        <v>0.69</v>
      </c>
      <c r="E30197" t="s">
        <v>38</v>
      </c>
    </row>
    <row r="30198" spans="1:5" x14ac:dyDescent="0.25">
      <c r="A30198" t="str">
        <f>HYPERLINK("https://www.773grp.com/globalSearch/MC14046BF/page-1", "MC14046BF")</f>
        <v>MC14046BF</v>
      </c>
      <c r="B30198" s="3" t="str">
        <f>HYPERLINK("https://www.773grp.com/manufacturer/onsemi?pageNo=1044", "ON Semiconductor")</f>
        <v>ON Semiconductor</v>
      </c>
      <c r="C30198" s="6">
        <v>4900</v>
      </c>
      <c r="D30198" s="7">
        <v>0.69</v>
      </c>
      <c r="E30198" t="s">
        <v>38</v>
      </c>
    </row>
    <row r="30199" spans="1:5" x14ac:dyDescent="0.25">
      <c r="A30199" t="str">
        <f>HYPERLINK("https://www.773grp.com/globalSearch/MC14046BFEL/page-1", "MC14046BFEL")</f>
        <v>MC14046BFEL</v>
      </c>
      <c r="B30199" s="3" t="str">
        <f>HYPERLINK("https://www.773grp.com/manufacturer/onsemi?pageNo=1045", "ON Semiconductor")</f>
        <v>ON Semiconductor</v>
      </c>
      <c r="C30199" s="6">
        <v>2000</v>
      </c>
      <c r="D30199" s="7">
        <v>0.69</v>
      </c>
      <c r="E30199" t="s">
        <v>38</v>
      </c>
    </row>
    <row r="30200" spans="1:5" x14ac:dyDescent="0.25">
      <c r="A30200" t="str">
        <f>HYPERLINK("https://www.773grp.com/globalSearch/MC14049BF/page-1", "MC14049BF")</f>
        <v>MC14049BF</v>
      </c>
      <c r="B30200" s="3" t="str">
        <f>HYPERLINK("https://www.773grp.com/manufacturer/onsemi?pageNo=1046", "ON Semiconductor")</f>
        <v>ON Semiconductor</v>
      </c>
      <c r="C30200" s="6">
        <v>1050</v>
      </c>
      <c r="D30200" s="7">
        <v>0.69</v>
      </c>
      <c r="E30200" t="s">
        <v>31</v>
      </c>
    </row>
    <row r="30201" spans="1:5" x14ac:dyDescent="0.25">
      <c r="A30201" t="str">
        <f>HYPERLINK("https://www.773grp.com/globalSearch/MC14049BFL1/page-1", "MC14049BFL1")</f>
        <v>MC14049BFL1</v>
      </c>
      <c r="B30201" s="3" t="str">
        <f>HYPERLINK("https://www.773grp.com/manufacturer/onsemi?pageNo=1047", "ON Semiconductor")</f>
        <v>ON Semiconductor</v>
      </c>
      <c r="C30201" s="6">
        <v>6000</v>
      </c>
      <c r="D30201" s="7">
        <v>0.69</v>
      </c>
      <c r="E30201" t="s">
        <v>31</v>
      </c>
    </row>
    <row r="30202" spans="1:5" x14ac:dyDescent="0.25">
      <c r="A30202" t="str">
        <f>HYPERLINK("https://www.773grp.com/globalSearch/MC14049UBF/page-1", "MC14049UBF")</f>
        <v>MC14049UBF</v>
      </c>
      <c r="B30202" s="3" t="str">
        <f>HYPERLINK("https://www.773grp.com/manufacturer/onsemi?pageNo=1048", "ON Semiconductor")</f>
        <v>ON Semiconductor</v>
      </c>
      <c r="C30202" s="6">
        <v>3800</v>
      </c>
      <c r="D30202" s="7">
        <v>0.69</v>
      </c>
      <c r="E30202" t="s">
        <v>31</v>
      </c>
    </row>
    <row r="30203" spans="1:5" x14ac:dyDescent="0.25">
      <c r="A30203" t="str">
        <f>HYPERLINK("https://www.773grp.com/globalSearch/MC14049UBFL1/page-1", "MC14049UBFL1")</f>
        <v>MC14049UBFL1</v>
      </c>
      <c r="B30203" s="3" t="str">
        <f>HYPERLINK("https://www.773grp.com/manufacturer/onsemi?pageNo=1049", "ON Semiconductor")</f>
        <v>ON Semiconductor</v>
      </c>
      <c r="C30203" s="6">
        <v>51000</v>
      </c>
      <c r="D30203" s="7">
        <v>0.69</v>
      </c>
    </row>
    <row r="30204" spans="1:5" x14ac:dyDescent="0.25">
      <c r="A30204" t="str">
        <f>HYPERLINK("https://www.773grp.com/globalSearch/MC14049UBFR1/page-1", "MC14049UBFR1")</f>
        <v>MC14049UBFR1</v>
      </c>
      <c r="B30204" s="3" t="str">
        <f>HYPERLINK("https://www.773grp.com/manufacturer/onsemi?pageNo=1050", "ON Semiconductor")</f>
        <v>ON Semiconductor</v>
      </c>
      <c r="C30204" s="6">
        <v>5000</v>
      </c>
      <c r="D30204" s="7">
        <v>0.69</v>
      </c>
      <c r="E30204" t="s">
        <v>31</v>
      </c>
    </row>
    <row r="30205" spans="1:5" x14ac:dyDescent="0.25">
      <c r="A30205" t="str">
        <f>HYPERLINK("https://www.773grp.com/globalSearch/MC14049UBL2/page-1", "MC14049UBL2")</f>
        <v>MC14049UBL2</v>
      </c>
      <c r="B30205" s="3" t="str">
        <f>HYPERLINK("https://www.773grp.com/manufacturer/onsemi?pageNo=1051", "ON Semiconductor")</f>
        <v>ON Semiconductor</v>
      </c>
      <c r="C30205" s="6">
        <v>2000</v>
      </c>
      <c r="D30205" s="7">
        <v>0.69</v>
      </c>
    </row>
    <row r="30206" spans="1:5" x14ac:dyDescent="0.25">
      <c r="A30206" t="str">
        <f>HYPERLINK("https://www.773grp.com/globalSearch/MC14050BDTEL/page-1", "MC14050BDTEL")</f>
        <v>MC14050BDTEL</v>
      </c>
      <c r="B30206" s="3" t="str">
        <f>HYPERLINK("https://www.773grp.com/manufacturer/onsemi?pageNo=1052", "ON Semiconductor")</f>
        <v>ON Semiconductor</v>
      </c>
      <c r="C30206" s="6">
        <v>3900</v>
      </c>
      <c r="D30206" s="7">
        <v>0.69</v>
      </c>
      <c r="E30206" t="s">
        <v>31</v>
      </c>
    </row>
    <row r="30207" spans="1:5" x14ac:dyDescent="0.25">
      <c r="A30207" t="str">
        <f>HYPERLINK("https://www.773grp.com/globalSearch/MC14050BFL1/page-1", "MC14050BFL1")</f>
        <v>MC14050BFL1</v>
      </c>
      <c r="B30207" s="3" t="str">
        <f>HYPERLINK("https://www.773grp.com/manufacturer/onsemi?pageNo=1053", "ON Semiconductor")</f>
        <v>ON Semiconductor</v>
      </c>
      <c r="C30207" s="6">
        <v>1000</v>
      </c>
      <c r="D30207" s="7">
        <v>0.69</v>
      </c>
      <c r="E30207" t="s">
        <v>31</v>
      </c>
    </row>
    <row r="30208" spans="1:5" x14ac:dyDescent="0.25">
      <c r="A30208" t="str">
        <f>HYPERLINK("https://www.773grp.com/globalSearch/MC14051BFL1/page-1", "MC14051BFL1")</f>
        <v>MC14051BFL1</v>
      </c>
      <c r="B30208" s="3" t="str">
        <f>HYPERLINK("https://www.773grp.com/manufacturer/onsemi?pageNo=1054", "ON Semiconductor")</f>
        <v>ON Semiconductor</v>
      </c>
      <c r="C30208" s="6">
        <v>2000</v>
      </c>
      <c r="D30208" s="7">
        <v>0.69</v>
      </c>
      <c r="E30208" t="s">
        <v>56</v>
      </c>
    </row>
    <row r="30209" spans="1:5" x14ac:dyDescent="0.25">
      <c r="A30209" t="str">
        <f>HYPERLINK("https://www.773grp.com/globalSearch/MC14051BFL2/page-1", "MC14051BFL2")</f>
        <v>MC14051BFL2</v>
      </c>
      <c r="B30209" s="3" t="str">
        <f>HYPERLINK("https://www.773grp.com/manufacturer/onsemi?pageNo=1055", "ON Semiconductor")</f>
        <v>ON Semiconductor</v>
      </c>
      <c r="C30209" s="6">
        <v>4000</v>
      </c>
      <c r="D30209" s="7">
        <v>0.69</v>
      </c>
      <c r="E30209" t="s">
        <v>56</v>
      </c>
    </row>
    <row r="30210" spans="1:5" x14ac:dyDescent="0.25">
      <c r="A30210" t="str">
        <f>HYPERLINK("https://www.773grp.com/globalSearch/MC14051BFR1/page-1", "MC14051BFR1")</f>
        <v>MC14051BFR1</v>
      </c>
      <c r="B30210" s="3" t="str">
        <f>HYPERLINK("https://www.773grp.com/manufacturer/onsemi?pageNo=1056", "ON Semiconductor")</f>
        <v>ON Semiconductor</v>
      </c>
      <c r="C30210" s="6">
        <v>8000</v>
      </c>
      <c r="D30210" s="7">
        <v>0.69</v>
      </c>
      <c r="E30210" t="s">
        <v>56</v>
      </c>
    </row>
    <row r="30211" spans="1:5" x14ac:dyDescent="0.25">
      <c r="A30211" t="str">
        <f>HYPERLINK("https://www.773grp.com/globalSearch/MC14052BFL1/page-1", "MC14052BFL1")</f>
        <v>MC14052BFL1</v>
      </c>
      <c r="B30211" s="3" t="str">
        <f>HYPERLINK("https://www.773grp.com/manufacturer/onsemi?pageNo=1057", "ON Semiconductor")</f>
        <v>ON Semiconductor</v>
      </c>
      <c r="C30211" s="6">
        <v>6000</v>
      </c>
      <c r="D30211" s="7">
        <v>0.69</v>
      </c>
      <c r="E30211" t="s">
        <v>56</v>
      </c>
    </row>
    <row r="30212" spans="1:5" x14ac:dyDescent="0.25">
      <c r="A30212" t="str">
        <f>HYPERLINK("https://www.773grp.com/globalSearch/MC14052BFL2/page-1", "MC14052BFL2")</f>
        <v>MC14052BFL2</v>
      </c>
      <c r="B30212" s="3" t="str">
        <f>HYPERLINK("https://www.773grp.com/manufacturer/onsemi?pageNo=1058", "ON Semiconductor")</f>
        <v>ON Semiconductor</v>
      </c>
      <c r="C30212" s="6">
        <v>12000</v>
      </c>
      <c r="D30212" s="7">
        <v>0.69</v>
      </c>
      <c r="E30212" t="s">
        <v>56</v>
      </c>
    </row>
    <row r="30213" spans="1:5" x14ac:dyDescent="0.25">
      <c r="A30213" t="str">
        <f>HYPERLINK("https://www.773grp.com/globalSearch/MC14052BFR1/page-1", "MC14052BFR1")</f>
        <v>MC14052BFR1</v>
      </c>
      <c r="B30213" s="3" t="str">
        <f>HYPERLINK("https://www.773grp.com/manufacturer/onsemi?pageNo=1059", "ON Semiconductor")</f>
        <v>ON Semiconductor</v>
      </c>
      <c r="C30213" s="6">
        <v>8000</v>
      </c>
      <c r="D30213" s="7">
        <v>0.69</v>
      </c>
      <c r="E30213" t="s">
        <v>56</v>
      </c>
    </row>
    <row r="30214" spans="1:5" x14ac:dyDescent="0.25">
      <c r="A30214" t="str">
        <f>HYPERLINK("https://www.773grp.com/globalSearch/MC14052BFR2/page-1", "MC14052BFR2")</f>
        <v>MC14052BFR2</v>
      </c>
      <c r="B30214" s="3" t="str">
        <f>HYPERLINK("https://www.773grp.com/manufacturer/onsemi?pageNo=1060", "ON Semiconductor")</f>
        <v>ON Semiconductor</v>
      </c>
      <c r="C30214" s="6">
        <v>2000</v>
      </c>
      <c r="D30214" s="7">
        <v>0.69</v>
      </c>
      <c r="E30214" t="s">
        <v>56</v>
      </c>
    </row>
    <row r="30215" spans="1:5" x14ac:dyDescent="0.25">
      <c r="A30215" t="str">
        <f>HYPERLINK("https://www.773grp.com/globalSearch/MC14060BDT/page-1", "MC14060BDT")</f>
        <v>MC14060BDT</v>
      </c>
      <c r="B30215" s="3" t="str">
        <f>HYPERLINK("https://www.773grp.com/manufacturer/onsemi?pageNo=1061", "ON Semiconductor")</f>
        <v>ON Semiconductor</v>
      </c>
      <c r="C30215" s="6">
        <v>5109</v>
      </c>
      <c r="D30215" s="7">
        <v>0.69</v>
      </c>
      <c r="E30215" t="s">
        <v>26</v>
      </c>
    </row>
    <row r="30216" spans="1:5" x14ac:dyDescent="0.25">
      <c r="A30216" t="str">
        <f>HYPERLINK("https://www.773grp.com/globalSearch/MC14069UBD/page-1", "MC14069UBD")</f>
        <v>MC14069UBD</v>
      </c>
      <c r="B30216" s="3" t="str">
        <f>HYPERLINK("https://www.773grp.com/manufacturer/onsemi?pageNo=1062", "ON Semiconductor")</f>
        <v>ON Semiconductor</v>
      </c>
      <c r="C30216" s="6">
        <v>9240</v>
      </c>
      <c r="D30216" s="7">
        <v>0.69</v>
      </c>
      <c r="E30216" t="s">
        <v>31</v>
      </c>
    </row>
    <row r="30217" spans="1:5" x14ac:dyDescent="0.25">
      <c r="A30217" t="str">
        <f>HYPERLINK("https://www.773grp.com/globalSearch/MC14069UBDTR2G/page-1", "MC14069UBDTR2G")</f>
        <v>MC14069UBDTR2G</v>
      </c>
      <c r="B30217" s="3" t="str">
        <f>HYPERLINK("https://www.773grp.com/manufacturer/onsemi?pageNo=1063", "ON Semiconductor")</f>
        <v>ON Semiconductor</v>
      </c>
      <c r="C30217" s="6">
        <v>4353</v>
      </c>
      <c r="D30217" s="7">
        <v>0.69</v>
      </c>
      <c r="E30217" t="s">
        <v>31</v>
      </c>
    </row>
    <row r="30218" spans="1:5" x14ac:dyDescent="0.25">
      <c r="A30218" t="str">
        <f>HYPERLINK("https://www.773grp.com/globalSearch/MC14070BD/page-1", "MC14070BD")</f>
        <v>MC14070BD</v>
      </c>
      <c r="B30218" s="3" t="str">
        <f>HYPERLINK("https://www.773grp.com/manufacturer/onsemi?pageNo=1064", "ON Semiconductor")</f>
        <v>ON Semiconductor</v>
      </c>
      <c r="C30218" s="6">
        <v>2805</v>
      </c>
      <c r="D30218" s="7">
        <v>0.69</v>
      </c>
    </row>
    <row r="30219" spans="1:5" x14ac:dyDescent="0.25">
      <c r="A30219" t="str">
        <f>HYPERLINK("https://www.773grp.com/globalSearch/MC14071BDTG/page-1", "MC14071BDTG")</f>
        <v>MC14071BDTG</v>
      </c>
      <c r="B30219" s="3" t="str">
        <f>HYPERLINK("https://www.773grp.com/manufacturer/onsemi?pageNo=1065", "ON Semiconductor")</f>
        <v>ON Semiconductor</v>
      </c>
      <c r="C30219" s="6">
        <v>20544</v>
      </c>
      <c r="D30219" s="7">
        <v>0.69</v>
      </c>
      <c r="E30219" t="s">
        <v>31</v>
      </c>
    </row>
    <row r="30220" spans="1:5" x14ac:dyDescent="0.25">
      <c r="A30220" t="str">
        <f>HYPERLINK("https://www.773grp.com/globalSearch/MC14071BDTR2G/page-1", "MC14071BDTR2G")</f>
        <v>MC14071BDTR2G</v>
      </c>
      <c r="B30220" s="3" t="str">
        <f>HYPERLINK("https://www.773grp.com/manufacturer/onsemi?pageNo=1066", "ON Semiconductor")</f>
        <v>ON Semiconductor</v>
      </c>
      <c r="C30220" s="6">
        <v>2500</v>
      </c>
      <c r="D30220" s="7">
        <v>0.69</v>
      </c>
      <c r="E30220" t="s">
        <v>31</v>
      </c>
    </row>
    <row r="30221" spans="1:5" x14ac:dyDescent="0.25">
      <c r="A30221" t="str">
        <f>HYPERLINK("https://www.773grp.com/globalSearch/MC14073BD/page-1", "MC14073BD")</f>
        <v>MC14073BD</v>
      </c>
      <c r="B30221" s="3" t="str">
        <f>HYPERLINK("https://www.773grp.com/manufacturer/onsemi?pageNo=1067", "ON Semiconductor")</f>
        <v>ON Semiconductor</v>
      </c>
      <c r="C30221" s="6">
        <v>4180</v>
      </c>
      <c r="D30221" s="7">
        <v>0.69</v>
      </c>
      <c r="E30221" t="s">
        <v>31</v>
      </c>
    </row>
    <row r="30222" spans="1:5" x14ac:dyDescent="0.25">
      <c r="A30222" t="str">
        <f>HYPERLINK("https://www.773grp.com/globalSearch/MC14081BD/page-1", "MC14081BD")</f>
        <v>MC14081BD</v>
      </c>
      <c r="B30222" s="3" t="str">
        <f>HYPERLINK("https://www.773grp.com/manufacturer/onsemi?pageNo=1068", "ON Semiconductor")</f>
        <v>ON Semiconductor</v>
      </c>
      <c r="C30222" s="6">
        <v>11550</v>
      </c>
      <c r="D30222" s="7">
        <v>0.69</v>
      </c>
      <c r="E30222" t="s">
        <v>31</v>
      </c>
    </row>
    <row r="30223" spans="1:5" x14ac:dyDescent="0.25">
      <c r="A30223" t="str">
        <f>HYPERLINK("https://www.773grp.com/globalSearch/MC14081BDTR2G/page-1", "MC14081BDTR2G")</f>
        <v>MC14081BDTR2G</v>
      </c>
      <c r="B30223" s="3" t="str">
        <f>HYPERLINK("https://www.773grp.com/manufacturer/onsemi?pageNo=1069", "ON Semiconductor")</f>
        <v>ON Semiconductor</v>
      </c>
      <c r="C30223" s="6">
        <v>48757</v>
      </c>
      <c r="D30223" s="7">
        <v>0.69</v>
      </c>
      <c r="E30223" t="s">
        <v>31</v>
      </c>
    </row>
    <row r="30224" spans="1:5" x14ac:dyDescent="0.25">
      <c r="A30224" t="str">
        <f>HYPERLINK("https://www.773grp.com/globalSearch/MC14093BDG/page-1", "MC14093BDG")</f>
        <v>MC14093BDG</v>
      </c>
      <c r="B30224" s="3" t="str">
        <f>HYPERLINK("https://www.773grp.com/manufacturer/onsemi?pageNo=1070", "ON Semiconductor")</f>
        <v>ON Semiconductor</v>
      </c>
      <c r="C30224" s="6">
        <v>22640</v>
      </c>
      <c r="D30224" s="7">
        <v>0.69</v>
      </c>
      <c r="E30224" t="s">
        <v>31</v>
      </c>
    </row>
    <row r="30225" spans="1:5" x14ac:dyDescent="0.25">
      <c r="A30225" t="str">
        <f>HYPERLINK("https://www.773grp.com/globalSearch/MC14093BDR2G/page-1", "MC14093BDR2G")</f>
        <v>MC14093BDR2G</v>
      </c>
      <c r="B30225" s="3" t="str">
        <f>HYPERLINK("https://www.773grp.com/manufacturer/onsemi?pageNo=1071", "ON Semiconductor")</f>
        <v>ON Semiconductor</v>
      </c>
      <c r="C30225" s="6">
        <v>64072</v>
      </c>
      <c r="D30225" s="7">
        <v>0.69</v>
      </c>
      <c r="E30225" t="s">
        <v>31</v>
      </c>
    </row>
    <row r="30226" spans="1:5" x14ac:dyDescent="0.25">
      <c r="A30226" t="str">
        <f>HYPERLINK("https://www.773grp.com/globalSearch/MC14093BDTR2G/page-1", "MC14093BDTR2G")</f>
        <v>MC14093BDTR2G</v>
      </c>
      <c r="B30226" s="3" t="str">
        <f>HYPERLINK("https://www.773grp.com/manufacturer/onsemi?pageNo=1072", "ON Semiconductor")</f>
        <v>ON Semiconductor</v>
      </c>
      <c r="C30226" s="6">
        <v>18808</v>
      </c>
      <c r="D30226" s="7">
        <v>0.69</v>
      </c>
      <c r="E30226" t="s">
        <v>31</v>
      </c>
    </row>
    <row r="30227" spans="1:5" x14ac:dyDescent="0.25">
      <c r="A30227" t="str">
        <f>HYPERLINK("https://www.773grp.com/globalSearch/MC14511BDW/page-1", "MC14511BDW")</f>
        <v>MC14511BDW</v>
      </c>
      <c r="B30227" s="3" t="str">
        <f>HYPERLINK("https://www.773grp.com/manufacturer/onsemi?pageNo=1073", "ON Semiconductor")</f>
        <v>ON Semiconductor</v>
      </c>
      <c r="C30227" s="6">
        <v>2432</v>
      </c>
      <c r="D30227" s="7">
        <v>0.69</v>
      </c>
      <c r="E30227" t="s">
        <v>36</v>
      </c>
    </row>
    <row r="30228" spans="1:5" x14ac:dyDescent="0.25">
      <c r="A30228" t="str">
        <f>HYPERLINK("https://www.773grp.com/globalSearch/MC14511BF/page-1", "MC14511BF")</f>
        <v>MC14511BF</v>
      </c>
      <c r="B30228" s="3" t="str">
        <f>HYPERLINK("https://www.773grp.com/manufacturer/onsemi?pageNo=1074", "ON Semiconductor")</f>
        <v>ON Semiconductor</v>
      </c>
      <c r="C30228" s="6">
        <v>197</v>
      </c>
      <c r="D30228" s="7">
        <v>0.69</v>
      </c>
      <c r="E30228" t="s">
        <v>36</v>
      </c>
    </row>
    <row r="30229" spans="1:5" x14ac:dyDescent="0.25">
      <c r="A30229" t="str">
        <f>HYPERLINK("https://www.773grp.com/globalSearch/MC14520BF/page-1", "MC14520BF")</f>
        <v>MC14520BF</v>
      </c>
      <c r="B30229" s="3" t="str">
        <f>HYPERLINK("https://www.773grp.com/manufacturer/onsemi?pageNo=1075", "ON Semiconductor")</f>
        <v>ON Semiconductor</v>
      </c>
      <c r="C30229" s="6">
        <v>727</v>
      </c>
      <c r="D30229" s="7">
        <v>0.69</v>
      </c>
    </row>
    <row r="30230" spans="1:5" x14ac:dyDescent="0.25">
      <c r="A30230" t="str">
        <f>HYPERLINK("https://www.773grp.com/globalSearch/MC14532BCP/page-1", "MC14532BCP")</f>
        <v>MC14532BCP</v>
      </c>
      <c r="B30230" s="3" t="str">
        <f>HYPERLINK("https://www.773grp.com/manufacturer/onsemi?pageNo=1076", "ON Semiconductor")</f>
        <v>ON Semiconductor</v>
      </c>
      <c r="C30230" s="6">
        <v>1212</v>
      </c>
      <c r="D30230" s="7">
        <v>0.69</v>
      </c>
      <c r="E30230" t="s">
        <v>43</v>
      </c>
    </row>
    <row r="30231" spans="1:5" x14ac:dyDescent="0.25">
      <c r="A30231" t="str">
        <f>HYPERLINK("https://www.773grp.com/globalSearch/MC14532BD/page-1", "MC14532BD")</f>
        <v>MC14532BD</v>
      </c>
      <c r="B30231" s="3" t="str">
        <f>HYPERLINK("https://www.773grp.com/manufacturer/onsemi?pageNo=1077", "ON Semiconductor")</f>
        <v>ON Semiconductor</v>
      </c>
      <c r="C30231" s="6">
        <v>5870</v>
      </c>
      <c r="D30231" s="7">
        <v>0.69</v>
      </c>
      <c r="E30231" t="s">
        <v>43</v>
      </c>
    </row>
    <row r="30232" spans="1:5" x14ac:dyDescent="0.25">
      <c r="A30232" t="str">
        <f>HYPERLINK("https://www.773grp.com/globalSearch/MC14532BDR2/page-1", "MC14532BDR2")</f>
        <v>MC14532BDR2</v>
      </c>
      <c r="B30232" s="3" t="str">
        <f>HYPERLINK("https://www.773grp.com/manufacturer/onsemi?pageNo=1078", "ON Semiconductor")</f>
        <v>ON Semiconductor</v>
      </c>
      <c r="C30232" s="6">
        <v>12500</v>
      </c>
      <c r="D30232" s="7">
        <v>0.69</v>
      </c>
      <c r="E30232" t="s">
        <v>43</v>
      </c>
    </row>
    <row r="30233" spans="1:5" x14ac:dyDescent="0.25">
      <c r="A30233" t="str">
        <f>HYPERLINK("https://www.773grp.com/globalSearch/MC14555BCP/page-1", "MC14555BCP")</f>
        <v>MC14555BCP</v>
      </c>
      <c r="B30233" s="3" t="str">
        <f>HYPERLINK("https://www.773grp.com/manufacturer/onsemi?pageNo=1079", "ON Semiconductor")</f>
        <v>ON Semiconductor</v>
      </c>
      <c r="C30233" s="6">
        <v>1075</v>
      </c>
      <c r="D30233" s="7">
        <v>0.69</v>
      </c>
      <c r="E30233" t="s">
        <v>36</v>
      </c>
    </row>
    <row r="30234" spans="1:5" x14ac:dyDescent="0.25">
      <c r="A30234" t="str">
        <f>HYPERLINK("https://www.773grp.com/globalSearch/MC14584BFR1/page-1", "MC14584BFR1")</f>
        <v>MC14584BFR1</v>
      </c>
      <c r="B30234" s="3" t="str">
        <f>HYPERLINK("https://www.773grp.com/manufacturer/onsemi?pageNo=1080", "ON Semiconductor")</f>
        <v>ON Semiconductor</v>
      </c>
      <c r="C30234" s="6">
        <v>3000</v>
      </c>
      <c r="D30234" s="7">
        <v>0.69</v>
      </c>
      <c r="E30234" t="s">
        <v>31</v>
      </c>
    </row>
    <row r="30235" spans="1:5" x14ac:dyDescent="0.25">
      <c r="A30235" t="str">
        <f>HYPERLINK("https://www.773grp.com/globalSearch/MC1488M/page-1", "MC1488M")</f>
        <v>MC1488M</v>
      </c>
      <c r="B30235" s="3" t="str">
        <f>HYPERLINK("https://www.773grp.com/manufacturer/onsemi?pageNo=1081", "ON Semiconductor")</f>
        <v>ON Semiconductor</v>
      </c>
      <c r="C30235" s="6">
        <v>3688</v>
      </c>
      <c r="D30235" s="7">
        <v>0.69</v>
      </c>
      <c r="E30235" t="s">
        <v>21</v>
      </c>
    </row>
    <row r="30236" spans="1:5" x14ac:dyDescent="0.25">
      <c r="A30236" t="str">
        <f>HYPERLINK("https://www.773grp.com/globalSearch/MC1488P/page-1", "MC1488P")</f>
        <v>MC1488P</v>
      </c>
      <c r="B30236" s="3" t="str">
        <f>HYPERLINK("https://www.773grp.com/manufacturer/onsemi?pageNo=1082", "ON Semiconductor")</f>
        <v>ON Semiconductor</v>
      </c>
      <c r="C30236" s="6">
        <v>7789</v>
      </c>
      <c r="D30236" s="7">
        <v>0.69</v>
      </c>
      <c r="E30236" t="s">
        <v>21</v>
      </c>
    </row>
    <row r="30237" spans="1:5" x14ac:dyDescent="0.25">
      <c r="A30237" t="str">
        <f>HYPERLINK("https://www.773grp.com/globalSearch/MC1489AD/page-1", "MC1489AD")</f>
        <v>MC1489AD</v>
      </c>
      <c r="B30237" s="3" t="str">
        <f>HYPERLINK("https://www.773grp.com/manufacturer/onsemi?pageNo=1083", "ON Semiconductor")</f>
        <v>ON Semiconductor</v>
      </c>
      <c r="C30237" s="6">
        <v>23418</v>
      </c>
      <c r="D30237" s="7">
        <v>0.69</v>
      </c>
      <c r="E30237" t="s">
        <v>21</v>
      </c>
    </row>
    <row r="30238" spans="1:5" x14ac:dyDescent="0.25">
      <c r="A30238" t="str">
        <f>HYPERLINK("https://www.773grp.com/globalSearch/MC1489AM/page-1", "MC1489AM")</f>
        <v>MC1489AM</v>
      </c>
      <c r="B30238" s="3" t="str">
        <f>HYPERLINK("https://www.773grp.com/manufacturer/onsemi?pageNo=1084", "ON Semiconductor")</f>
        <v>ON Semiconductor</v>
      </c>
      <c r="C30238" s="6">
        <v>1636</v>
      </c>
      <c r="D30238" s="7">
        <v>0.69</v>
      </c>
      <c r="E30238" t="s">
        <v>21</v>
      </c>
    </row>
    <row r="30239" spans="1:5" x14ac:dyDescent="0.25">
      <c r="A30239" t="str">
        <f>HYPERLINK("https://www.773grp.com/globalSearch/MC1489M/page-1", "MC1489M")</f>
        <v>MC1489M</v>
      </c>
      <c r="B30239" s="3" t="str">
        <f>HYPERLINK("https://www.773grp.com/manufacturer/onsemi?pageNo=1085", "ON Semiconductor")</f>
        <v>ON Semiconductor</v>
      </c>
      <c r="C30239" s="6">
        <v>3150</v>
      </c>
      <c r="D30239" s="7">
        <v>0.69</v>
      </c>
      <c r="E30239" t="s">
        <v>21</v>
      </c>
    </row>
    <row r="30240" spans="1:5" x14ac:dyDescent="0.25">
      <c r="A30240" t="str">
        <f>HYPERLINK("https://www.773grp.com/globalSearch/MC34164DM-3R2G/page-1", "MC34164DM-3R2G")</f>
        <v>MC34164DM-3R2G</v>
      </c>
      <c r="B30240" s="3" t="str">
        <f>HYPERLINK("https://www.773grp.com/manufacturer/onsemi?pageNo=1086", "ON Semiconductor")</f>
        <v>ON Semiconductor</v>
      </c>
      <c r="C30240" s="6">
        <v>7475</v>
      </c>
      <c r="D30240" s="7">
        <v>0.69</v>
      </c>
      <c r="E30240" t="s">
        <v>30</v>
      </c>
    </row>
    <row r="30241" spans="1:5" x14ac:dyDescent="0.25">
      <c r="A30241" t="str">
        <f>HYPERLINK("https://www.773grp.com/globalSearch/MC74AC00D/page-1", "MC74AC00D")</f>
        <v>MC74AC00D</v>
      </c>
      <c r="B30241" s="3" t="str">
        <f>HYPERLINK("https://www.773grp.com/manufacturer/onsemi?pageNo=1087", "ON Semiconductor")</f>
        <v>ON Semiconductor</v>
      </c>
      <c r="C30241" s="6">
        <v>7781</v>
      </c>
      <c r="D30241" s="7">
        <v>0.69</v>
      </c>
      <c r="E30241" t="s">
        <v>31</v>
      </c>
    </row>
    <row r="30242" spans="1:5" x14ac:dyDescent="0.25">
      <c r="A30242" t="str">
        <f>HYPERLINK("https://www.773grp.com/globalSearch/MC74AC00DR2/page-1", "MC74AC00DR2")</f>
        <v>MC74AC00DR2</v>
      </c>
      <c r="B30242" s="3" t="str">
        <f>HYPERLINK("https://www.773grp.com/manufacturer/onsemi?pageNo=1088", "ON Semiconductor")</f>
        <v>ON Semiconductor</v>
      </c>
      <c r="C30242" s="6">
        <v>1088</v>
      </c>
      <c r="D30242" s="7">
        <v>0.69</v>
      </c>
      <c r="E30242" t="s">
        <v>31</v>
      </c>
    </row>
    <row r="30243" spans="1:5" x14ac:dyDescent="0.25">
      <c r="A30243" t="str">
        <f>HYPERLINK("https://www.773grp.com/globalSearch/MC74AC04DR2/page-1", "MC74AC04DR2")</f>
        <v>MC74AC04DR2</v>
      </c>
      <c r="B30243" s="3" t="str">
        <f>HYPERLINK("https://www.773grp.com/manufacturer/onsemi?pageNo=1089", "ON Semiconductor")</f>
        <v>ON Semiconductor</v>
      </c>
      <c r="C30243" s="6">
        <v>69</v>
      </c>
      <c r="D30243" s="7">
        <v>0.69</v>
      </c>
      <c r="E30243" t="s">
        <v>31</v>
      </c>
    </row>
    <row r="30244" spans="1:5" x14ac:dyDescent="0.25">
      <c r="A30244" t="str">
        <f>HYPERLINK("https://www.773grp.com/globalSearch/MC74AC08DR2/page-1", "MC74AC08DR2")</f>
        <v>MC74AC08DR2</v>
      </c>
      <c r="B30244" s="3" t="str">
        <f>HYPERLINK("https://www.773grp.com/manufacturer/onsemi?pageNo=1090", "ON Semiconductor")</f>
        <v>ON Semiconductor</v>
      </c>
      <c r="C30244" s="6">
        <v>12118</v>
      </c>
      <c r="D30244" s="7">
        <v>0.69</v>
      </c>
      <c r="E30244" t="s">
        <v>31</v>
      </c>
    </row>
    <row r="30245" spans="1:5" x14ac:dyDescent="0.25">
      <c r="A30245" t="str">
        <f>HYPERLINK("https://www.773grp.com/globalSearch/MC74AC126D/page-1", "MC74AC126D")</f>
        <v>MC74AC126D</v>
      </c>
      <c r="B30245" s="3" t="str">
        <f>HYPERLINK("https://www.773grp.com/manufacturer/onsemi?pageNo=1091", "ON Semiconductor")</f>
        <v>ON Semiconductor</v>
      </c>
      <c r="C30245" s="6">
        <v>2000</v>
      </c>
      <c r="D30245" s="7">
        <v>0.69</v>
      </c>
      <c r="E30245" t="s">
        <v>14</v>
      </c>
    </row>
    <row r="30246" spans="1:5" x14ac:dyDescent="0.25">
      <c r="A30246" t="str">
        <f>HYPERLINK("https://www.773grp.com/globalSearch/MC74AC126N/page-1", "MC74AC126N")</f>
        <v>MC74AC126N</v>
      </c>
      <c r="B30246" s="3" t="str">
        <f>HYPERLINK("https://www.773grp.com/manufacturer/onsemi?pageNo=1092", "ON Semiconductor")</f>
        <v>ON Semiconductor</v>
      </c>
      <c r="C30246" s="6">
        <v>1012</v>
      </c>
      <c r="D30246" s="7">
        <v>0.69</v>
      </c>
      <c r="E30246" t="s">
        <v>14</v>
      </c>
    </row>
    <row r="30247" spans="1:5" x14ac:dyDescent="0.25">
      <c r="A30247" t="str">
        <f>HYPERLINK("https://www.773grp.com/globalSearch/MC74AC14DG/page-1", "MC74AC14DG")</f>
        <v>MC74AC14DG</v>
      </c>
      <c r="B30247" s="3" t="str">
        <f>HYPERLINK("https://www.773grp.com/manufacturer/onsemi?pageNo=1093", "ON Semiconductor")</f>
        <v>ON Semiconductor</v>
      </c>
      <c r="C30247" s="6">
        <v>20350</v>
      </c>
      <c r="D30247" s="7">
        <v>0.69</v>
      </c>
      <c r="E30247" t="s">
        <v>31</v>
      </c>
    </row>
    <row r="30248" spans="1:5" x14ac:dyDescent="0.25">
      <c r="A30248" t="str">
        <f>HYPERLINK("https://www.773grp.com/globalSearch/MC74AC14DR2G/page-1", "MC74AC14DR2G")</f>
        <v>MC74AC14DR2G</v>
      </c>
      <c r="B30248" s="3" t="str">
        <f>HYPERLINK("https://www.773grp.com/manufacturer/onsemi?pageNo=1094", "ON Semiconductor")</f>
        <v>ON Semiconductor</v>
      </c>
      <c r="C30248" s="6">
        <v>22500</v>
      </c>
      <c r="D30248" s="7">
        <v>0.69</v>
      </c>
      <c r="E30248" t="s">
        <v>31</v>
      </c>
    </row>
    <row r="30249" spans="1:5" x14ac:dyDescent="0.25">
      <c r="A30249" t="str">
        <f>HYPERLINK("https://www.773grp.com/globalSearch/MC74AC151D/page-1", "MC74AC151D")</f>
        <v>MC74AC151D</v>
      </c>
      <c r="B30249" s="3" t="str">
        <f>HYPERLINK("https://www.773grp.com/manufacturer/onsemi?pageNo=1095", "ON Semiconductor")</f>
        <v>ON Semiconductor</v>
      </c>
      <c r="C30249" s="6">
        <v>35951</v>
      </c>
      <c r="D30249" s="7">
        <v>0.69</v>
      </c>
      <c r="E30249" t="s">
        <v>20</v>
      </c>
    </row>
    <row r="30250" spans="1:5" x14ac:dyDescent="0.25">
      <c r="A30250" t="str">
        <f>HYPERLINK("https://www.773grp.com/globalSearch/MC74AC153DR2/page-1", "MC74AC153DR2")</f>
        <v>MC74AC153DR2</v>
      </c>
      <c r="B30250" s="3" t="str">
        <f>HYPERLINK("https://www.773grp.com/manufacturer/onsemi?pageNo=1096", "ON Semiconductor")</f>
        <v>ON Semiconductor</v>
      </c>
      <c r="C30250" s="6">
        <v>3500</v>
      </c>
      <c r="D30250" s="7">
        <v>0.69</v>
      </c>
      <c r="E30250" t="s">
        <v>20</v>
      </c>
    </row>
    <row r="30251" spans="1:5" x14ac:dyDescent="0.25">
      <c r="A30251" t="str">
        <f>HYPERLINK("https://www.773grp.com/globalSearch/MC74AC163D/page-1", "MC74AC163D")</f>
        <v>MC74AC163D</v>
      </c>
      <c r="B30251" s="3" t="str">
        <f>HYPERLINK("https://www.773grp.com/manufacturer/onsemi?pageNo=1097", "ON Semiconductor")</f>
        <v>ON Semiconductor</v>
      </c>
      <c r="C30251" s="6">
        <v>17945</v>
      </c>
      <c r="D30251" s="7">
        <v>0.69</v>
      </c>
      <c r="E30251" t="s">
        <v>26</v>
      </c>
    </row>
    <row r="30252" spans="1:5" x14ac:dyDescent="0.25">
      <c r="A30252" t="str">
        <f>HYPERLINK("https://www.773grp.com/globalSearch/MC74AC32MELG/page-1", "MC74AC32MELG")</f>
        <v>MC74AC32MELG</v>
      </c>
      <c r="B30252" s="3" t="str">
        <f>HYPERLINK("https://www.773grp.com/manufacturer/onsemi?pageNo=1098", "ON Semiconductor")</f>
        <v>ON Semiconductor</v>
      </c>
      <c r="C30252" s="6">
        <v>7677</v>
      </c>
      <c r="D30252" s="7">
        <v>0.69</v>
      </c>
      <c r="E30252" t="s">
        <v>31</v>
      </c>
    </row>
    <row r="30253" spans="1:5" x14ac:dyDescent="0.25">
      <c r="A30253" t="str">
        <f>HYPERLINK("https://www.773grp.com/globalSearch/MC74AC377DT/page-1", "MC74AC377DT")</f>
        <v>MC74AC377DT</v>
      </c>
      <c r="B30253" s="3" t="str">
        <f>HYPERLINK("https://www.773grp.com/manufacturer/onsemi?pageNo=1099", "ON Semiconductor")</f>
        <v>ON Semiconductor</v>
      </c>
      <c r="C30253" s="6">
        <v>8325</v>
      </c>
      <c r="D30253" s="7">
        <v>0.69</v>
      </c>
      <c r="E30253" t="s">
        <v>35</v>
      </c>
    </row>
    <row r="30254" spans="1:5" x14ac:dyDescent="0.25">
      <c r="A30254" t="str">
        <f>HYPERLINK("https://www.773grp.com/globalSearch/MC74AC377DW/page-1", "MC74AC377DW")</f>
        <v>MC74AC377DW</v>
      </c>
      <c r="B30254" s="3" t="str">
        <f>HYPERLINK("https://www.773grp.com/manufacturer/onsemi?pageNo=1100", "ON Semiconductor")</f>
        <v>ON Semiconductor</v>
      </c>
      <c r="C30254" s="6">
        <v>608</v>
      </c>
      <c r="D30254" s="7">
        <v>0.69</v>
      </c>
      <c r="E30254" t="s">
        <v>35</v>
      </c>
    </row>
    <row r="30255" spans="1:5" x14ac:dyDescent="0.25">
      <c r="A30255" t="str">
        <f>HYPERLINK("https://www.773grp.com/globalSearch/MC74AC377DWR2/page-1", "MC74AC377DWR2")</f>
        <v>MC74AC377DWR2</v>
      </c>
      <c r="B30255" s="3" t="str">
        <f>HYPERLINK("https://www.773grp.com/manufacturer/onsemi?pageNo=1101", "ON Semiconductor")</f>
        <v>ON Semiconductor</v>
      </c>
      <c r="C30255" s="6">
        <v>2000</v>
      </c>
      <c r="D30255" s="7">
        <v>0.69</v>
      </c>
      <c r="E30255" t="s">
        <v>35</v>
      </c>
    </row>
    <row r="30256" spans="1:5" x14ac:dyDescent="0.25">
      <c r="A30256" t="str">
        <f>HYPERLINK("https://www.773grp.com/globalSearch/MC74AC540N/page-1", "MC74AC540N")</f>
        <v>MC74AC540N</v>
      </c>
      <c r="B30256" s="3" t="str">
        <f>HYPERLINK("https://www.773grp.com/manufacturer/onsemi?pageNo=1102", "ON Semiconductor")</f>
        <v>ON Semiconductor</v>
      </c>
      <c r="C30256" s="6">
        <v>774</v>
      </c>
      <c r="D30256" s="7">
        <v>0.69</v>
      </c>
      <c r="E30256" t="s">
        <v>14</v>
      </c>
    </row>
    <row r="30257" spans="1:5" x14ac:dyDescent="0.25">
      <c r="A30257" t="str">
        <f>HYPERLINK("https://www.773grp.com/globalSearch/MC74AC541M/page-1", "MC74AC541M")</f>
        <v>MC74AC541M</v>
      </c>
      <c r="B30257" s="3" t="str">
        <f>HYPERLINK("https://www.773grp.com/manufacturer/onsemi?pageNo=1103", "ON Semiconductor")</f>
        <v>ON Semiconductor</v>
      </c>
      <c r="C30257" s="6">
        <v>1075</v>
      </c>
      <c r="D30257" s="7">
        <v>0.69</v>
      </c>
      <c r="E30257" t="s">
        <v>14</v>
      </c>
    </row>
    <row r="30258" spans="1:5" x14ac:dyDescent="0.25">
      <c r="A30258" t="str">
        <f>HYPERLINK("https://www.773grp.com/globalSearch/MC74AC541MEL/page-1", "MC74AC541MEL")</f>
        <v>MC74AC541MEL</v>
      </c>
      <c r="B30258" s="3" t="str">
        <f>HYPERLINK("https://www.773grp.com/manufacturer/onsemi?pageNo=1104", "ON Semiconductor")</f>
        <v>ON Semiconductor</v>
      </c>
      <c r="C30258" s="6">
        <v>8958</v>
      </c>
      <c r="D30258" s="7">
        <v>0.69</v>
      </c>
      <c r="E30258" t="s">
        <v>14</v>
      </c>
    </row>
    <row r="30259" spans="1:5" x14ac:dyDescent="0.25">
      <c r="A30259" t="str">
        <f>HYPERLINK("https://www.773grp.com/globalSearch/MC74AC541N/page-1", "MC74AC541N")</f>
        <v>MC74AC541N</v>
      </c>
      <c r="B30259" s="3" t="str">
        <f>HYPERLINK("https://www.773grp.com/manufacturer/onsemi?pageNo=1105", "ON Semiconductor")</f>
        <v>ON Semiconductor</v>
      </c>
      <c r="C30259" s="6">
        <v>978</v>
      </c>
      <c r="D30259" s="7">
        <v>0.69</v>
      </c>
      <c r="E30259" t="s">
        <v>14</v>
      </c>
    </row>
    <row r="30260" spans="1:5" x14ac:dyDescent="0.25">
      <c r="A30260" t="str">
        <f>HYPERLINK("https://www.773grp.com/globalSearch/MC74AC74DG/page-1", "MC74AC74DG")</f>
        <v>MC74AC74DG</v>
      </c>
      <c r="B30260" s="3" t="str">
        <f>HYPERLINK("https://www.773grp.com/manufacturer/onsemi?pageNo=1106", "ON Semiconductor")</f>
        <v>ON Semiconductor</v>
      </c>
      <c r="C30260" s="6">
        <v>33378</v>
      </c>
      <c r="D30260" s="7">
        <v>0.69</v>
      </c>
      <c r="E30260" t="s">
        <v>35</v>
      </c>
    </row>
    <row r="30261" spans="1:5" x14ac:dyDescent="0.25">
      <c r="A30261" t="str">
        <f>HYPERLINK("https://www.773grp.com/globalSearch/MC74AC74DR2G/page-1", "MC74AC74DR2G")</f>
        <v>MC74AC74DR2G</v>
      </c>
      <c r="B30261" s="3" t="str">
        <f>HYPERLINK("https://www.773grp.com/manufacturer/onsemi?pageNo=1107", "ON Semiconductor")</f>
        <v>ON Semiconductor</v>
      </c>
      <c r="C30261" s="6">
        <v>5118</v>
      </c>
      <c r="D30261" s="7">
        <v>0.69</v>
      </c>
      <c r="E30261" t="s">
        <v>35</v>
      </c>
    </row>
    <row r="30262" spans="1:5" x14ac:dyDescent="0.25">
      <c r="A30262" t="str">
        <f>HYPERLINK("https://www.773grp.com/globalSearch/MC74AC74MELG/page-1", "MC74AC74MELG")</f>
        <v>MC74AC74MELG</v>
      </c>
      <c r="B30262" s="3" t="str">
        <f>HYPERLINK("https://www.773grp.com/manufacturer/onsemi?pageNo=1108", "ON Semiconductor")</f>
        <v>ON Semiconductor</v>
      </c>
      <c r="C30262" s="6">
        <v>5169</v>
      </c>
      <c r="D30262" s="7">
        <v>0.69</v>
      </c>
      <c r="E30262" t="s">
        <v>35</v>
      </c>
    </row>
    <row r="30263" spans="1:5" x14ac:dyDescent="0.25">
      <c r="A30263" t="str">
        <f>HYPERLINK("https://www.773grp.com/globalSearch/MC74AC86DG/page-1", "MC74AC86DG")</f>
        <v>MC74AC86DG</v>
      </c>
      <c r="B30263" s="3" t="str">
        <f>HYPERLINK("https://www.773grp.com/manufacturer/onsemi?pageNo=1109", "ON Semiconductor")</f>
        <v>ON Semiconductor</v>
      </c>
      <c r="C30263" s="6">
        <v>16867</v>
      </c>
      <c r="D30263" s="7">
        <v>0.69</v>
      </c>
      <c r="E30263" t="s">
        <v>31</v>
      </c>
    </row>
    <row r="30264" spans="1:5" x14ac:dyDescent="0.25">
      <c r="A30264" t="str">
        <f>HYPERLINK("https://www.773grp.com/globalSearch/MC74AC86DR2G/page-1", "MC74AC86DR2G")</f>
        <v>MC74AC86DR2G</v>
      </c>
      <c r="B30264" s="3" t="str">
        <f>HYPERLINK("https://www.773grp.com/manufacturer/onsemi?pageNo=1110", "ON Semiconductor")</f>
        <v>ON Semiconductor</v>
      </c>
      <c r="C30264" s="6">
        <v>9800</v>
      </c>
      <c r="D30264" s="7">
        <v>0.69</v>
      </c>
      <c r="E30264" t="s">
        <v>31</v>
      </c>
    </row>
    <row r="30265" spans="1:5" x14ac:dyDescent="0.25">
      <c r="A30265" t="str">
        <f>HYPERLINK("https://www.773grp.com/globalSearch/MC74ACT126D/page-1", "MC74ACT126D")</f>
        <v>MC74ACT126D</v>
      </c>
      <c r="B30265" s="3" t="str">
        <f>HYPERLINK("https://www.773grp.com/manufacturer/onsemi?pageNo=1111", "ON Semiconductor")</f>
        <v>ON Semiconductor</v>
      </c>
      <c r="C30265" s="6">
        <v>5576</v>
      </c>
      <c r="D30265" s="7">
        <v>0.69</v>
      </c>
      <c r="E30265" t="s">
        <v>14</v>
      </c>
    </row>
    <row r="30266" spans="1:5" x14ac:dyDescent="0.25">
      <c r="A30266" t="str">
        <f>HYPERLINK("https://www.773grp.com/globalSearch/MC74ACT126DR2/page-1", "MC74ACT126DR2")</f>
        <v>MC74ACT126DR2</v>
      </c>
      <c r="B30266" s="3" t="str">
        <f>HYPERLINK("https://www.773grp.com/manufacturer/onsemi?pageNo=1112", "ON Semiconductor")</f>
        <v>ON Semiconductor</v>
      </c>
      <c r="C30266" s="6">
        <v>9000</v>
      </c>
      <c r="D30266" s="7">
        <v>0.69</v>
      </c>
      <c r="E30266" t="s">
        <v>14</v>
      </c>
    </row>
    <row r="30267" spans="1:5" x14ac:dyDescent="0.25">
      <c r="A30267" t="str">
        <f>HYPERLINK("https://www.773grp.com/globalSearch/MC74ACT126ML1/page-1", "MC74ACT126ML1")</f>
        <v>MC74ACT126ML1</v>
      </c>
      <c r="B30267" s="3" t="str">
        <f>HYPERLINK("https://www.773grp.com/manufacturer/onsemi?pageNo=1113", "ON Semiconductor")</f>
        <v>ON Semiconductor</v>
      </c>
      <c r="C30267" s="6">
        <v>4000</v>
      </c>
      <c r="D30267" s="7">
        <v>0.69</v>
      </c>
    </row>
    <row r="30268" spans="1:5" x14ac:dyDescent="0.25">
      <c r="A30268" t="str">
        <f>HYPERLINK("https://www.773grp.com/globalSearch/MC74ACT14D/page-1", "MC74ACT14D")</f>
        <v>MC74ACT14D</v>
      </c>
      <c r="B30268" s="3" t="str">
        <f>HYPERLINK("https://www.773grp.com/manufacturer/onsemi?pageNo=1114", "ON Semiconductor")</f>
        <v>ON Semiconductor</v>
      </c>
      <c r="C30268" s="6">
        <v>3710</v>
      </c>
      <c r="D30268" s="7">
        <v>0.69</v>
      </c>
    </row>
    <row r="30269" spans="1:5" x14ac:dyDescent="0.25">
      <c r="A30269" t="str">
        <f>HYPERLINK("https://www.773grp.com/globalSearch/MC74ACT14DG/page-1", "MC74ACT14DG")</f>
        <v>MC74ACT14DG</v>
      </c>
      <c r="B30269" s="3" t="str">
        <f>HYPERLINK("https://www.773grp.com/manufacturer/onsemi?pageNo=1115", "ON Semiconductor")</f>
        <v>ON Semiconductor</v>
      </c>
      <c r="C30269" s="6">
        <v>1760</v>
      </c>
      <c r="D30269" s="7">
        <v>0.69</v>
      </c>
    </row>
    <row r="30270" spans="1:5" x14ac:dyDescent="0.25">
      <c r="A30270" t="str">
        <f>HYPERLINK("https://www.773grp.com/globalSearch/MC74ACT14DR2G/page-1", "MC74ACT14DR2G")</f>
        <v>MC74ACT14DR2G</v>
      </c>
      <c r="B30270" s="3" t="str">
        <f>HYPERLINK("https://www.773grp.com/manufacturer/onsemi?pageNo=1116", "ON Semiconductor")</f>
        <v>ON Semiconductor</v>
      </c>
      <c r="C30270" s="6">
        <v>44500</v>
      </c>
      <c r="D30270" s="7">
        <v>0.69</v>
      </c>
      <c r="E30270" t="s">
        <v>31</v>
      </c>
    </row>
    <row r="30271" spans="1:5" x14ac:dyDescent="0.25">
      <c r="A30271" t="str">
        <f>HYPERLINK("https://www.773grp.com/globalSearch/MC74ACT153N/page-1", "MC74ACT153N")</f>
        <v>MC74ACT153N</v>
      </c>
      <c r="B30271" s="3" t="str">
        <f>HYPERLINK("https://www.773grp.com/manufacturer/onsemi?pageNo=1117", "ON Semiconductor")</f>
        <v>ON Semiconductor</v>
      </c>
      <c r="C30271" s="6">
        <v>8760</v>
      </c>
      <c r="D30271" s="7">
        <v>0.69</v>
      </c>
      <c r="E30271" t="s">
        <v>20</v>
      </c>
    </row>
    <row r="30272" spans="1:5" x14ac:dyDescent="0.25">
      <c r="A30272" t="str">
        <f>HYPERLINK("https://www.773grp.com/globalSearch/MC74ACT174D/page-1", "MC74ACT174D")</f>
        <v>MC74ACT174D</v>
      </c>
      <c r="B30272" s="3" t="str">
        <f>HYPERLINK("https://www.773grp.com/manufacturer/onsemi?pageNo=1118", "ON Semiconductor")</f>
        <v>ON Semiconductor</v>
      </c>
      <c r="C30272" s="6">
        <v>7786</v>
      </c>
      <c r="D30272" s="7">
        <v>0.69</v>
      </c>
      <c r="E30272" t="s">
        <v>35</v>
      </c>
    </row>
    <row r="30273" spans="1:5" x14ac:dyDescent="0.25">
      <c r="A30273" t="str">
        <f>HYPERLINK("https://www.773grp.com/globalSearch/MC74ACT273DT/page-1", "MC74ACT273DT")</f>
        <v>MC74ACT273DT</v>
      </c>
      <c r="B30273" s="3" t="str">
        <f>HYPERLINK("https://www.773grp.com/manufacturer/onsemi?pageNo=1119", "ON Semiconductor")</f>
        <v>ON Semiconductor</v>
      </c>
      <c r="C30273" s="6">
        <v>7350</v>
      </c>
      <c r="D30273" s="7">
        <v>0.69</v>
      </c>
      <c r="E30273" t="s">
        <v>35</v>
      </c>
    </row>
    <row r="30274" spans="1:5" x14ac:dyDescent="0.25">
      <c r="A30274" t="str">
        <f>HYPERLINK("https://www.773grp.com/globalSearch/MC74ACT541M/page-1", "MC74ACT541M")</f>
        <v>MC74ACT541M</v>
      </c>
      <c r="B30274" s="3" t="str">
        <f>HYPERLINK("https://www.773grp.com/manufacturer/onsemi?pageNo=1120", "ON Semiconductor")</f>
        <v>ON Semiconductor</v>
      </c>
      <c r="C30274" s="6">
        <v>6780</v>
      </c>
      <c r="D30274" s="7">
        <v>0.69</v>
      </c>
      <c r="E30274" t="s">
        <v>14</v>
      </c>
    </row>
    <row r="30275" spans="1:5" x14ac:dyDescent="0.25">
      <c r="A30275" t="str">
        <f>HYPERLINK("https://www.773grp.com/globalSearch/MC74ACT541MEL/page-1", "MC74ACT541MEL")</f>
        <v>MC74ACT541MEL</v>
      </c>
      <c r="B30275" s="3" t="str">
        <f>HYPERLINK("https://www.773grp.com/manufacturer/onsemi?pageNo=1121", "ON Semiconductor")</f>
        <v>ON Semiconductor</v>
      </c>
      <c r="C30275" s="6">
        <v>2000</v>
      </c>
      <c r="D30275" s="7">
        <v>0.69</v>
      </c>
      <c r="E30275" t="s">
        <v>14</v>
      </c>
    </row>
    <row r="30276" spans="1:5" x14ac:dyDescent="0.25">
      <c r="A30276" t="str">
        <f>HYPERLINK("https://www.773grp.com/globalSearch/MC74ACT564N/page-1", "MC74ACT564N")</f>
        <v>MC74ACT564N</v>
      </c>
      <c r="B30276" s="3" t="str">
        <f>HYPERLINK("https://www.773grp.com/manufacturer/onsemi?pageNo=1122", "ON Semiconductor")</f>
        <v>ON Semiconductor</v>
      </c>
      <c r="C30276" s="6">
        <v>7373</v>
      </c>
      <c r="D30276" s="7">
        <v>0.69</v>
      </c>
      <c r="E30276" t="s">
        <v>14</v>
      </c>
    </row>
    <row r="30277" spans="1:5" x14ac:dyDescent="0.25">
      <c r="A30277" t="str">
        <f>HYPERLINK("https://www.773grp.com/globalSearch/MC74ACT74DG/page-1", "MC74ACT74DG")</f>
        <v>MC74ACT74DG</v>
      </c>
      <c r="B30277" s="3" t="str">
        <f>HYPERLINK("https://www.773grp.com/manufacturer/onsemi?pageNo=1123", "ON Semiconductor")</f>
        <v>ON Semiconductor</v>
      </c>
      <c r="C30277" s="6">
        <v>7774</v>
      </c>
      <c r="D30277" s="7">
        <v>0.69</v>
      </c>
      <c r="E30277" t="s">
        <v>35</v>
      </c>
    </row>
    <row r="30278" spans="1:5" x14ac:dyDescent="0.25">
      <c r="A30278" t="str">
        <f>HYPERLINK("https://www.773grp.com/globalSearch/MC74ACT74DR2/page-1", "MC74ACT74DR2")</f>
        <v>MC74ACT74DR2</v>
      </c>
      <c r="B30278" s="3" t="str">
        <f>HYPERLINK("https://www.773grp.com/manufacturer/onsemi?pageNo=1124", "ON Semiconductor")</f>
        <v>ON Semiconductor</v>
      </c>
      <c r="C30278" s="6">
        <v>4079</v>
      </c>
      <c r="D30278" s="7">
        <v>0.69</v>
      </c>
      <c r="E30278" t="s">
        <v>35</v>
      </c>
    </row>
    <row r="30279" spans="1:5" x14ac:dyDescent="0.25">
      <c r="A30279" t="str">
        <f>HYPERLINK("https://www.773grp.com/globalSearch/MC74ACT74DR2G/page-1", "MC74ACT74DR2G")</f>
        <v>MC74ACT74DR2G</v>
      </c>
      <c r="B30279" s="3" t="str">
        <f>HYPERLINK("https://www.773grp.com/manufacturer/onsemi?pageNo=1125", "ON Semiconductor")</f>
        <v>ON Semiconductor</v>
      </c>
      <c r="C30279" s="6">
        <v>12695</v>
      </c>
      <c r="D30279" s="7">
        <v>0.69</v>
      </c>
      <c r="E30279" t="s">
        <v>35</v>
      </c>
    </row>
    <row r="30280" spans="1:5" x14ac:dyDescent="0.25">
      <c r="A30280" t="str">
        <f>HYPERLINK("https://www.773grp.com/globalSearch/MC74ACT86DG/page-1", "MC74ACT86DG")</f>
        <v>MC74ACT86DG</v>
      </c>
      <c r="B30280" s="3" t="str">
        <f>HYPERLINK("https://www.773grp.com/manufacturer/onsemi?pageNo=1126", "ON Semiconductor")</f>
        <v>ON Semiconductor</v>
      </c>
      <c r="C30280" s="6">
        <v>5805</v>
      </c>
      <c r="D30280" s="7">
        <v>0.69</v>
      </c>
      <c r="E30280" t="s">
        <v>31</v>
      </c>
    </row>
    <row r="30281" spans="1:5" x14ac:dyDescent="0.25">
      <c r="A30281" t="str">
        <f>HYPERLINK("https://www.773grp.com/globalSearch/MC74ACT86DR2G/page-1", "MC74ACT86DR2G")</f>
        <v>MC74ACT86DR2G</v>
      </c>
      <c r="B30281" s="3" t="str">
        <f>HYPERLINK("https://www.773grp.com/manufacturer/onsemi?pageNo=1127", "ON Semiconductor")</f>
        <v>ON Semiconductor</v>
      </c>
      <c r="C30281" s="6">
        <v>35480</v>
      </c>
      <c r="D30281" s="7">
        <v>0.69</v>
      </c>
      <c r="E30281" t="s">
        <v>31</v>
      </c>
    </row>
    <row r="30282" spans="1:5" x14ac:dyDescent="0.25">
      <c r="A30282" t="str">
        <f>HYPERLINK("https://www.773grp.com/globalSearch/MC74ACT86MELG/page-1", "MC74ACT86MELG")</f>
        <v>MC74ACT86MELG</v>
      </c>
      <c r="B30282" s="3" t="str">
        <f>HYPERLINK("https://www.773grp.com/manufacturer/onsemi?pageNo=1128", "ON Semiconductor")</f>
        <v>ON Semiconductor</v>
      </c>
      <c r="C30282" s="6">
        <v>10000</v>
      </c>
      <c r="D30282" s="7">
        <v>0.69</v>
      </c>
      <c r="E30282" t="s">
        <v>31</v>
      </c>
    </row>
    <row r="30283" spans="1:5" x14ac:dyDescent="0.25">
      <c r="A30283" t="str">
        <f>HYPERLINK("https://www.773grp.com/globalSearch/MC74F38ML1/page-1", "MC74F38ML1")</f>
        <v>MC74F38ML1</v>
      </c>
      <c r="B30283" s="3" t="str">
        <f>HYPERLINK("https://www.773grp.com/manufacturer/onsemi?pageNo=1129", "ON Semiconductor")</f>
        <v>ON Semiconductor</v>
      </c>
      <c r="C30283" s="6">
        <v>3999</v>
      </c>
      <c r="D30283" s="7">
        <v>0.69</v>
      </c>
    </row>
    <row r="30284" spans="1:5" x14ac:dyDescent="0.25">
      <c r="A30284" t="str">
        <f>HYPERLINK("https://www.773grp.com/globalSearch/MC74F38MR1/page-1", "MC74F38MR1")</f>
        <v>MC74F38MR1</v>
      </c>
      <c r="B30284" s="3" t="str">
        <f>HYPERLINK("https://www.773grp.com/manufacturer/onsemi?pageNo=1130", "ON Semiconductor")</f>
        <v>ON Semiconductor</v>
      </c>
      <c r="C30284" s="6">
        <v>3000</v>
      </c>
      <c r="D30284" s="7">
        <v>0.69</v>
      </c>
    </row>
    <row r="30285" spans="1:5" x14ac:dyDescent="0.25">
      <c r="A30285" t="str">
        <f>HYPERLINK("https://www.773grp.com/globalSearch/MC74HC139AFEL/page-1", "MC74HC139AFEL")</f>
        <v>MC74HC139AFEL</v>
      </c>
      <c r="B30285" s="3" t="str">
        <f>HYPERLINK("https://www.773grp.com/manufacturer/onsemi?pageNo=1131", "ON Semiconductor")</f>
        <v>ON Semiconductor</v>
      </c>
      <c r="C30285" s="6">
        <v>10904</v>
      </c>
      <c r="D30285" s="7">
        <v>0.69</v>
      </c>
      <c r="E30285" t="s">
        <v>36</v>
      </c>
    </row>
    <row r="30286" spans="1:5" x14ac:dyDescent="0.25">
      <c r="A30286" t="str">
        <f>HYPERLINK("https://www.773grp.com/globalSearch/MC74HC14AD/page-1", "MC74HC14AD")</f>
        <v>MC74HC14AD</v>
      </c>
      <c r="B30286" s="3" t="str">
        <f>HYPERLINK("https://www.773grp.com/manufacturer/onsemi?pageNo=1132", "ON Semiconductor")</f>
        <v>ON Semiconductor</v>
      </c>
      <c r="C30286" s="6">
        <v>10</v>
      </c>
      <c r="D30286" s="7">
        <v>0.69</v>
      </c>
      <c r="E30286" t="s">
        <v>31</v>
      </c>
    </row>
    <row r="30287" spans="1:5" x14ac:dyDescent="0.25">
      <c r="A30287" t="str">
        <f>HYPERLINK("https://www.773grp.com/globalSearch/MC74HC14ADR2/page-1", "MC74HC14ADR2")</f>
        <v>MC74HC14ADR2</v>
      </c>
      <c r="B30287" s="3" t="str">
        <f>HYPERLINK("https://www.773grp.com/manufacturer/onsemi?pageNo=1133", "ON Semiconductor")</f>
        <v>ON Semiconductor</v>
      </c>
      <c r="C30287" s="6">
        <v>16983</v>
      </c>
      <c r="D30287" s="7">
        <v>0.69</v>
      </c>
    </row>
    <row r="30288" spans="1:5" x14ac:dyDescent="0.25">
      <c r="A30288" t="str">
        <f>HYPERLINK("https://www.773grp.com/globalSearch/MC74HC14ADTR2/page-1", "MC74HC14ADTR2")</f>
        <v>MC74HC14ADTR2</v>
      </c>
      <c r="B30288" s="3" t="str">
        <f>HYPERLINK("https://www.773grp.com/manufacturer/onsemi?pageNo=1134", "ON Semiconductor")</f>
        <v>ON Semiconductor</v>
      </c>
      <c r="C30288" s="6">
        <v>72500</v>
      </c>
      <c r="D30288" s="7">
        <v>0.69</v>
      </c>
    </row>
    <row r="30289" spans="1:5" x14ac:dyDescent="0.25">
      <c r="A30289" t="str">
        <f>HYPERLINK("https://www.773grp.com/globalSearch/MC74HC153D/page-1", "MC74HC153D")</f>
        <v>MC74HC153D</v>
      </c>
      <c r="B30289" s="3" t="str">
        <f>HYPERLINK("https://www.773grp.com/manufacturer/onsemi?pageNo=1135", "ON Semiconductor")</f>
        <v>ON Semiconductor</v>
      </c>
      <c r="C30289" s="6">
        <v>9234</v>
      </c>
      <c r="D30289" s="7">
        <v>0.69</v>
      </c>
      <c r="E30289" t="s">
        <v>20</v>
      </c>
    </row>
    <row r="30290" spans="1:5" x14ac:dyDescent="0.25">
      <c r="A30290" t="str">
        <f>HYPERLINK("https://www.773grp.com/globalSearch/MC74HC153FL1/page-1", "MC74HC153FL1")</f>
        <v>MC74HC153FL1</v>
      </c>
      <c r="B30290" s="3" t="str">
        <f>HYPERLINK("https://www.773grp.com/manufacturer/onsemi?pageNo=1136", "ON Semiconductor")</f>
        <v>ON Semiconductor</v>
      </c>
      <c r="C30290" s="6">
        <v>1000</v>
      </c>
      <c r="D30290" s="7">
        <v>0.69</v>
      </c>
    </row>
    <row r="30291" spans="1:5" x14ac:dyDescent="0.25">
      <c r="A30291" t="str">
        <f>HYPERLINK("https://www.773grp.com/globalSearch/MC74HC153FR1/page-1", "MC74HC153FR1")</f>
        <v>MC74HC153FR1</v>
      </c>
      <c r="B30291" s="3" t="str">
        <f>HYPERLINK("https://www.773grp.com/manufacturer/onsemi?pageNo=1137", "ON Semiconductor")</f>
        <v>ON Semiconductor</v>
      </c>
      <c r="C30291" s="6">
        <v>2000</v>
      </c>
      <c r="D30291" s="7">
        <v>0.69</v>
      </c>
    </row>
    <row r="30292" spans="1:5" x14ac:dyDescent="0.25">
      <c r="A30292" t="str">
        <f>HYPERLINK("https://www.773grp.com/globalSearch/MC74HC153FR2/page-1", "MC74HC153FR2")</f>
        <v>MC74HC153FR2</v>
      </c>
      <c r="B30292" s="3" t="str">
        <f>HYPERLINK("https://www.773grp.com/manufacturer/onsemi?pageNo=1138", "ON Semiconductor")</f>
        <v>ON Semiconductor</v>
      </c>
      <c r="C30292" s="6">
        <v>2000</v>
      </c>
      <c r="D30292" s="7">
        <v>0.69</v>
      </c>
    </row>
    <row r="30293" spans="1:5" x14ac:dyDescent="0.25">
      <c r="A30293" t="str">
        <f>HYPERLINK("https://www.773grp.com/globalSearch/MC74HC161AF/page-1", "MC74HC161AF")</f>
        <v>MC74HC161AF</v>
      </c>
      <c r="B30293" s="3" t="str">
        <f>HYPERLINK("https://www.773grp.com/manufacturer/onsemi?pageNo=1139", "ON Semiconductor")</f>
        <v>ON Semiconductor</v>
      </c>
      <c r="C30293" s="6">
        <v>1100</v>
      </c>
      <c r="D30293" s="7">
        <v>0.69</v>
      </c>
    </row>
    <row r="30294" spans="1:5" x14ac:dyDescent="0.25">
      <c r="A30294" t="str">
        <f>HYPERLINK("https://www.773grp.com/globalSearch/MC74HC163AN/page-1", "MC74HC163AN")</f>
        <v>MC74HC163AN</v>
      </c>
      <c r="B30294" s="3" t="str">
        <f>HYPERLINK("https://www.773grp.com/manufacturer/onsemi?pageNo=1140", "ON Semiconductor")</f>
        <v>ON Semiconductor</v>
      </c>
      <c r="C30294" s="6">
        <v>4890</v>
      </c>
      <c r="D30294" s="7">
        <v>0.69</v>
      </c>
      <c r="E30294" t="s">
        <v>26</v>
      </c>
    </row>
    <row r="30295" spans="1:5" x14ac:dyDescent="0.25">
      <c r="A30295" t="str">
        <f>HYPERLINK("https://www.773grp.com/globalSearch/MC74HC245AH/page-1", "MC74HC245AH")</f>
        <v>MC74HC245AH</v>
      </c>
      <c r="B30295" s="3" t="str">
        <f>HYPERLINK("https://www.773grp.com/manufacturer/onsemi?pageNo=1141", "ON Semiconductor")</f>
        <v>ON Semiconductor</v>
      </c>
      <c r="C30295" s="6">
        <v>5040</v>
      </c>
      <c r="D30295" s="7">
        <v>0.69</v>
      </c>
    </row>
    <row r="30296" spans="1:5" x14ac:dyDescent="0.25">
      <c r="A30296" t="str">
        <f>HYPERLINK("https://www.773grp.com/globalSearch/MC74HC245AN/page-1", "MC74HC245AN")</f>
        <v>MC74HC245AN</v>
      </c>
      <c r="B30296" s="3" t="str">
        <f>HYPERLINK("https://www.773grp.com/manufacturer/onsemi?pageNo=1142", "ON Semiconductor")</f>
        <v>ON Semiconductor</v>
      </c>
      <c r="C30296" s="6">
        <v>22397</v>
      </c>
      <c r="D30296" s="7">
        <v>0.69</v>
      </c>
      <c r="E30296" t="s">
        <v>14</v>
      </c>
    </row>
    <row r="30297" spans="1:5" x14ac:dyDescent="0.25">
      <c r="A30297" t="str">
        <f>HYPERLINK("https://www.773grp.com/globalSearch/MC74HC273AH/page-1", "MC74HC273AH")</f>
        <v>MC74HC273AH</v>
      </c>
      <c r="B30297" s="3" t="str">
        <f>HYPERLINK("https://www.773grp.com/manufacturer/onsemi?pageNo=1143", "ON Semiconductor")</f>
        <v>ON Semiconductor</v>
      </c>
      <c r="C30297" s="6">
        <v>3407</v>
      </c>
      <c r="D30297" s="7">
        <v>0.69</v>
      </c>
      <c r="E30297" t="s">
        <v>35</v>
      </c>
    </row>
    <row r="30298" spans="1:5" x14ac:dyDescent="0.25">
      <c r="A30298" t="str">
        <f>HYPERLINK("https://www.773grp.com/globalSearch/MC74HC273AN/page-1", "MC74HC273AN")</f>
        <v>MC74HC273AN</v>
      </c>
      <c r="B30298" s="3" t="str">
        <f>HYPERLINK("https://www.773grp.com/manufacturer/onsemi?pageNo=1144", "ON Semiconductor")</f>
        <v>ON Semiconductor</v>
      </c>
      <c r="C30298" s="6">
        <v>23588</v>
      </c>
      <c r="D30298" s="7">
        <v>0.69</v>
      </c>
      <c r="E30298" t="s">
        <v>35</v>
      </c>
    </row>
    <row r="30299" spans="1:5" x14ac:dyDescent="0.25">
      <c r="A30299" t="str">
        <f>HYPERLINK("https://www.773grp.com/globalSearch/MC74HC374AH/page-1", "MC74HC374AH")</f>
        <v>MC74HC374AH</v>
      </c>
      <c r="B30299" s="3" t="str">
        <f>HYPERLINK("https://www.773grp.com/manufacturer/onsemi?pageNo=1145", "ON Semiconductor")</f>
        <v>ON Semiconductor</v>
      </c>
      <c r="C30299" s="6">
        <v>3960</v>
      </c>
      <c r="D30299" s="7">
        <v>0.69</v>
      </c>
    </row>
    <row r="30300" spans="1:5" x14ac:dyDescent="0.25">
      <c r="A30300" t="str">
        <f>HYPERLINK("https://www.773grp.com/globalSearch/MC74HC390ADT/page-1", "MC74HC390ADT")</f>
        <v>MC74HC390ADT</v>
      </c>
      <c r="B30300" s="3" t="str">
        <f>HYPERLINK("https://www.773grp.com/manufacturer/onsemi?pageNo=1146", "ON Semiconductor")</f>
        <v>ON Semiconductor</v>
      </c>
      <c r="C30300" s="6">
        <v>5280</v>
      </c>
      <c r="D30300" s="7">
        <v>0.69</v>
      </c>
      <c r="E30300" t="s">
        <v>26</v>
      </c>
    </row>
    <row r="30301" spans="1:5" x14ac:dyDescent="0.25">
      <c r="A30301" t="str">
        <f>HYPERLINK("https://www.773grp.com/globalSearch/MC74HC4051AD/page-1", "MC74HC4051AD")</f>
        <v>MC74HC4051AD</v>
      </c>
      <c r="B30301" s="3" t="str">
        <f>HYPERLINK("https://www.773grp.com/manufacturer/onsemi?pageNo=1147", "ON Semiconductor")</f>
        <v>ON Semiconductor</v>
      </c>
      <c r="C30301" s="6">
        <v>254</v>
      </c>
      <c r="D30301" s="7">
        <v>0.69</v>
      </c>
      <c r="E30301" t="s">
        <v>56</v>
      </c>
    </row>
    <row r="30302" spans="1:5" x14ac:dyDescent="0.25">
      <c r="A30302" t="str">
        <f>HYPERLINK("https://www.773grp.com/globalSearch/MC74HC4051ADR2/page-1", "MC74HC4051ADR2")</f>
        <v>MC74HC4051ADR2</v>
      </c>
      <c r="B30302" s="3" t="str">
        <f>HYPERLINK("https://www.773grp.com/manufacturer/onsemi?pageNo=1148", "ON Semiconductor")</f>
        <v>ON Semiconductor</v>
      </c>
      <c r="C30302" s="6">
        <v>41377</v>
      </c>
      <c r="D30302" s="7">
        <v>0.69</v>
      </c>
      <c r="E30302" t="s">
        <v>56</v>
      </c>
    </row>
    <row r="30303" spans="1:5" x14ac:dyDescent="0.25">
      <c r="A30303" t="str">
        <f>HYPERLINK("https://www.773grp.com/globalSearch/MC74HC4051ADT/page-1", "MC74HC4051ADT")</f>
        <v>MC74HC4051ADT</v>
      </c>
      <c r="B30303" s="3" t="str">
        <f>HYPERLINK("https://www.773grp.com/manufacturer/onsemi?pageNo=1149", "ON Semiconductor")</f>
        <v>ON Semiconductor</v>
      </c>
      <c r="C30303" s="6">
        <v>1056</v>
      </c>
      <c r="D30303" s="7">
        <v>0.69</v>
      </c>
      <c r="E30303" t="s">
        <v>56</v>
      </c>
    </row>
    <row r="30304" spans="1:5" x14ac:dyDescent="0.25">
      <c r="A30304" t="str">
        <f>HYPERLINK("https://www.773grp.com/globalSearch/MC74HC4052ADR2/page-1", "MC74HC4052ADR2")</f>
        <v>MC74HC4052ADR2</v>
      </c>
      <c r="B30304" s="3" t="str">
        <f>HYPERLINK("https://www.773grp.com/manufacturer/onsemi?pageNo=1150", "ON Semiconductor")</f>
        <v>ON Semiconductor</v>
      </c>
      <c r="C30304" s="6">
        <v>14300</v>
      </c>
      <c r="D30304" s="7">
        <v>0.69</v>
      </c>
      <c r="E30304" t="s">
        <v>56</v>
      </c>
    </row>
    <row r="30305" spans="1:5" x14ac:dyDescent="0.25">
      <c r="A30305" t="str">
        <f>HYPERLINK("https://www.773grp.com/globalSearch/MC74HC4053AD/page-1", "MC74HC4053AD")</f>
        <v>MC74HC4053AD</v>
      </c>
      <c r="B30305" s="3" t="str">
        <f>HYPERLINK("https://www.773grp.com/manufacturer/onsemi?pageNo=1151", "ON Semiconductor")</f>
        <v>ON Semiconductor</v>
      </c>
      <c r="C30305" s="6">
        <v>11311</v>
      </c>
      <c r="D30305" s="7">
        <v>0.69</v>
      </c>
      <c r="E30305" t="s">
        <v>56</v>
      </c>
    </row>
    <row r="30306" spans="1:5" x14ac:dyDescent="0.25">
      <c r="A30306" t="str">
        <f>HYPERLINK("https://www.773grp.com/globalSearch/MC74HC4053ADR2/page-1", "MC74HC4053ADR2")</f>
        <v>MC74HC4053ADR2</v>
      </c>
      <c r="B30306" s="3" t="str">
        <f>HYPERLINK("https://www.773grp.com/manufacturer/onsemi?pageNo=1152", "ON Semiconductor")</f>
        <v>ON Semiconductor</v>
      </c>
      <c r="C30306" s="6">
        <v>7500</v>
      </c>
      <c r="D30306" s="7">
        <v>0.69</v>
      </c>
      <c r="E30306" t="s">
        <v>56</v>
      </c>
    </row>
    <row r="30307" spans="1:5" x14ac:dyDescent="0.25">
      <c r="A30307" t="str">
        <f>HYPERLINK("https://www.773grp.com/globalSearch/MC74HC4066ADG/page-1", "MC74HC4066ADG")</f>
        <v>MC74HC4066ADG</v>
      </c>
      <c r="B30307" s="3" t="str">
        <f>HYPERLINK("https://www.773grp.com/manufacturer/onsemi?pageNo=1153", "ON Semiconductor")</f>
        <v>ON Semiconductor</v>
      </c>
      <c r="C30307" s="6">
        <v>5714</v>
      </c>
      <c r="D30307" s="7">
        <v>0.69</v>
      </c>
      <c r="E30307" t="s">
        <v>56</v>
      </c>
    </row>
    <row r="30308" spans="1:5" x14ac:dyDescent="0.25">
      <c r="A30308" t="str">
        <f>HYPERLINK("https://www.773grp.com/globalSearch/MC74HC4066ADR2/page-1", "MC74HC4066ADR2")</f>
        <v>MC74HC4066ADR2</v>
      </c>
      <c r="B30308" s="3" t="str">
        <f>HYPERLINK("https://www.773grp.com/manufacturer/onsemi?pageNo=1154", "ON Semiconductor")</f>
        <v>ON Semiconductor</v>
      </c>
      <c r="C30308" s="6">
        <v>1702</v>
      </c>
      <c r="D30308" s="7">
        <v>0.69</v>
      </c>
    </row>
    <row r="30309" spans="1:5" x14ac:dyDescent="0.25">
      <c r="A30309" t="str">
        <f>HYPERLINK("https://www.773grp.com/globalSearch/MC74HC4066ADR2G/page-1", "MC74HC4066ADR2G")</f>
        <v>MC74HC4066ADR2G</v>
      </c>
      <c r="B30309" s="3" t="str">
        <f>HYPERLINK("https://www.773grp.com/manufacturer/onsemi?pageNo=1155", "ON Semiconductor")</f>
        <v>ON Semiconductor</v>
      </c>
      <c r="C30309" s="6">
        <v>5363</v>
      </c>
      <c r="D30309" s="7">
        <v>0.69</v>
      </c>
      <c r="E30309" t="s">
        <v>56</v>
      </c>
    </row>
    <row r="30310" spans="1:5" x14ac:dyDescent="0.25">
      <c r="A30310" t="str">
        <f>HYPERLINK("https://www.773grp.com/globalSearch/MC74HC4066ADTR2G/page-1", "MC74HC4066ADTR2G")</f>
        <v>MC74HC4066ADTR2G</v>
      </c>
      <c r="B30310" s="3" t="str">
        <f>HYPERLINK("https://www.773grp.com/manufacturer/onsemi?pageNo=1156", "ON Semiconductor")</f>
        <v>ON Semiconductor</v>
      </c>
      <c r="C30310" s="6">
        <v>790000</v>
      </c>
      <c r="D30310" s="7">
        <v>0.69</v>
      </c>
      <c r="E30310" t="s">
        <v>56</v>
      </c>
    </row>
    <row r="30311" spans="1:5" x14ac:dyDescent="0.25">
      <c r="A30311" t="str">
        <f>HYPERLINK("https://www.773grp.com/globalSearch/MC74HC4066AF/page-1", "MC74HC4066AF")</f>
        <v>MC74HC4066AF</v>
      </c>
      <c r="B30311" s="3" t="str">
        <f>HYPERLINK("https://www.773grp.com/manufacturer/onsemi?pageNo=1157", "ON Semiconductor")</f>
        <v>ON Semiconductor</v>
      </c>
      <c r="C30311" s="6">
        <v>12200</v>
      </c>
      <c r="D30311" s="7">
        <v>0.69</v>
      </c>
      <c r="E30311" t="s">
        <v>56</v>
      </c>
    </row>
    <row r="30312" spans="1:5" x14ac:dyDescent="0.25">
      <c r="A30312" t="str">
        <f>HYPERLINK("https://www.773grp.com/globalSearch/MC74HC4066F/page-1", "MC74HC4066F")</f>
        <v>MC74HC4066F</v>
      </c>
      <c r="B30312" s="3" t="str">
        <f>HYPERLINK("https://www.773grp.com/manufacturer/onsemi?pageNo=1158", "ON Semiconductor")</f>
        <v>ON Semiconductor</v>
      </c>
      <c r="C30312" s="6">
        <v>3310</v>
      </c>
      <c r="D30312" s="7">
        <v>0.69</v>
      </c>
    </row>
    <row r="30313" spans="1:5" x14ac:dyDescent="0.25">
      <c r="A30313" t="str">
        <f>HYPERLINK("https://www.773grp.com/globalSearch/MC74HC4066FL1/page-1", "MC74HC4066FL1")</f>
        <v>MC74HC4066FL1</v>
      </c>
      <c r="B30313" s="3" t="str">
        <f>HYPERLINK("https://www.773grp.com/manufacturer/onsemi?pageNo=1159", "ON Semiconductor")</f>
        <v>ON Semiconductor</v>
      </c>
      <c r="C30313" s="6">
        <v>3000</v>
      </c>
      <c r="D30313" s="7">
        <v>0.69</v>
      </c>
    </row>
    <row r="30314" spans="1:5" x14ac:dyDescent="0.25">
      <c r="A30314" t="str">
        <f>HYPERLINK("https://www.773grp.com/globalSearch/MC74HC4066FL2/page-1", "MC74HC4066FL2")</f>
        <v>MC74HC4066FL2</v>
      </c>
      <c r="B30314" s="3" t="str">
        <f>HYPERLINK("https://www.773grp.com/manufacturer/onsemi?pageNo=1160", "ON Semiconductor")</f>
        <v>ON Semiconductor</v>
      </c>
      <c r="C30314" s="6">
        <v>6000</v>
      </c>
      <c r="D30314" s="7">
        <v>0.69</v>
      </c>
    </row>
    <row r="30315" spans="1:5" x14ac:dyDescent="0.25">
      <c r="A30315" t="str">
        <f>HYPERLINK("https://www.773grp.com/globalSearch/MC74HC4066FR2/page-1", "MC74HC4066FR2")</f>
        <v>MC74HC4066FR2</v>
      </c>
      <c r="B30315" s="3" t="str">
        <f>HYPERLINK("https://www.773grp.com/manufacturer/onsemi?pageNo=1161", "ON Semiconductor")</f>
        <v>ON Semiconductor</v>
      </c>
      <c r="C30315" s="6">
        <v>102000</v>
      </c>
      <c r="D30315" s="7">
        <v>0.69</v>
      </c>
    </row>
    <row r="30316" spans="1:5" x14ac:dyDescent="0.25">
      <c r="A30316" t="str">
        <f>HYPERLINK("https://www.773grp.com/globalSearch/MC74HC4075D/page-1", "MC74HC4075D")</f>
        <v>MC74HC4075D</v>
      </c>
      <c r="B30316" s="3" t="str">
        <f>HYPERLINK("https://www.773grp.com/manufacturer/onsemi?pageNo=1162", "ON Semiconductor")</f>
        <v>ON Semiconductor</v>
      </c>
      <c r="C30316" s="6">
        <v>1892</v>
      </c>
      <c r="D30316" s="7">
        <v>0.69</v>
      </c>
      <c r="E30316" t="s">
        <v>31</v>
      </c>
    </row>
    <row r="30317" spans="1:5" x14ac:dyDescent="0.25">
      <c r="A30317" t="str">
        <f>HYPERLINK("https://www.773grp.com/globalSearch/MC74HC4316AD/page-1", "MC74HC4316AD")</f>
        <v>MC74HC4316AD</v>
      </c>
      <c r="B30317" s="3" t="str">
        <f>HYPERLINK("https://www.773grp.com/manufacturer/onsemi?pageNo=1163", "ON Semiconductor")</f>
        <v>ON Semiconductor</v>
      </c>
      <c r="C30317" s="6">
        <v>10088</v>
      </c>
      <c r="D30317" s="7">
        <v>0.69</v>
      </c>
      <c r="E30317" t="s">
        <v>56</v>
      </c>
    </row>
    <row r="30318" spans="1:5" x14ac:dyDescent="0.25">
      <c r="A30318" t="str">
        <f>HYPERLINK("https://www.773grp.com/globalSearch/MC74HC540ADT/page-1", "MC74HC540ADT")</f>
        <v>MC74HC540ADT</v>
      </c>
      <c r="B30318" s="3" t="str">
        <f>HYPERLINK("https://www.773grp.com/manufacturer/onsemi?pageNo=1164", "ON Semiconductor")</f>
        <v>ON Semiconductor</v>
      </c>
      <c r="C30318" s="6">
        <v>9369</v>
      </c>
      <c r="D30318" s="7">
        <v>0.69</v>
      </c>
      <c r="E30318" t="s">
        <v>14</v>
      </c>
    </row>
    <row r="30319" spans="1:5" x14ac:dyDescent="0.25">
      <c r="A30319" t="str">
        <f>HYPERLINK("https://www.773grp.com/globalSearch/MC74HC540ADW/page-1", "MC74HC540ADW")</f>
        <v>MC74HC540ADW</v>
      </c>
      <c r="B30319" s="3" t="str">
        <f>HYPERLINK("https://www.773grp.com/manufacturer/onsemi?pageNo=1165", "ON Semiconductor")</f>
        <v>ON Semiconductor</v>
      </c>
      <c r="C30319" s="6">
        <v>1773</v>
      </c>
      <c r="D30319" s="7">
        <v>0.69</v>
      </c>
      <c r="E30319" t="s">
        <v>14</v>
      </c>
    </row>
    <row r="30320" spans="1:5" x14ac:dyDescent="0.25">
      <c r="A30320" t="str">
        <f>HYPERLINK("https://www.773grp.com/globalSearch/MC74HC541ADT/page-1", "MC74HC541ADT")</f>
        <v>MC74HC541ADT</v>
      </c>
      <c r="B30320" s="3" t="str">
        <f>HYPERLINK("https://www.773grp.com/manufacturer/onsemi?pageNo=1166", "ON Semiconductor")</f>
        <v>ON Semiconductor</v>
      </c>
      <c r="C30320" s="6">
        <v>29625</v>
      </c>
      <c r="D30320" s="7">
        <v>0.69</v>
      </c>
      <c r="E30320" t="s">
        <v>14</v>
      </c>
    </row>
    <row r="30321" spans="1:5" x14ac:dyDescent="0.25">
      <c r="A30321" t="str">
        <f>HYPERLINK("https://www.773grp.com/globalSearch/MC74HC573AH/page-1", "MC74HC573AH")</f>
        <v>MC74HC573AH</v>
      </c>
      <c r="B30321" s="3" t="str">
        <f>HYPERLINK("https://www.773grp.com/manufacturer/onsemi?pageNo=1167", "ON Semiconductor")</f>
        <v>ON Semiconductor</v>
      </c>
      <c r="C30321" s="6">
        <v>1860</v>
      </c>
      <c r="D30321" s="7">
        <v>0.69</v>
      </c>
    </row>
    <row r="30322" spans="1:5" x14ac:dyDescent="0.25">
      <c r="A30322" t="str">
        <f>HYPERLINK("https://www.773grp.com/globalSearch/MC74HC573AN/page-1", "MC74HC573AN")</f>
        <v>MC74HC573AN</v>
      </c>
      <c r="B30322" s="3" t="str">
        <f>HYPERLINK("https://www.773grp.com/manufacturer/onsemi?pageNo=1168", "ON Semiconductor")</f>
        <v>ON Semiconductor</v>
      </c>
      <c r="C30322" s="6">
        <v>24440</v>
      </c>
      <c r="D30322" s="7">
        <v>0.69</v>
      </c>
      <c r="E30322" t="s">
        <v>14</v>
      </c>
    </row>
    <row r="30323" spans="1:5" x14ac:dyDescent="0.25">
      <c r="A30323" t="str">
        <f>HYPERLINK("https://www.773grp.com/globalSearch/MC74HC574AH/page-1", "MC74HC574AH")</f>
        <v>MC74HC574AH</v>
      </c>
      <c r="B30323" s="3" t="str">
        <f>HYPERLINK("https://www.773grp.com/manufacturer/onsemi?pageNo=1169", "ON Semiconductor")</f>
        <v>ON Semiconductor</v>
      </c>
      <c r="C30323" s="6">
        <v>222</v>
      </c>
      <c r="D30323" s="7">
        <v>0.69</v>
      </c>
    </row>
    <row r="30324" spans="1:5" x14ac:dyDescent="0.25">
      <c r="A30324" t="str">
        <f>HYPERLINK("https://www.773grp.com/globalSearch/MC74HC574AN/page-1", "MC74HC574AN")</f>
        <v>MC74HC574AN</v>
      </c>
      <c r="B30324" s="3" t="str">
        <f>HYPERLINK("https://www.773grp.com/manufacturer/onsemi?pageNo=1170", "ON Semiconductor")</f>
        <v>ON Semiconductor</v>
      </c>
      <c r="C30324" s="6">
        <v>2738</v>
      </c>
      <c r="D30324" s="7">
        <v>0.69</v>
      </c>
      <c r="E30324" t="s">
        <v>14</v>
      </c>
    </row>
    <row r="30325" spans="1:5" x14ac:dyDescent="0.25">
      <c r="A30325" t="str">
        <f>HYPERLINK("https://www.773grp.com/globalSearch/MC74HC74ADR2/page-1", "MC74HC74ADR2")</f>
        <v>MC74HC74ADR2</v>
      </c>
      <c r="B30325" s="3" t="str">
        <f>HYPERLINK("https://www.773grp.com/manufacturer/onsemi?pageNo=1171", "ON Semiconductor")</f>
        <v>ON Semiconductor</v>
      </c>
      <c r="C30325" s="6">
        <v>60404</v>
      </c>
      <c r="D30325" s="7">
        <v>0.69</v>
      </c>
    </row>
    <row r="30326" spans="1:5" x14ac:dyDescent="0.25">
      <c r="A30326" t="str">
        <f>HYPERLINK("https://www.773grp.com/globalSearch/MC74HC85F/page-1", "MC74HC85F")</f>
        <v>MC74HC85F</v>
      </c>
      <c r="B30326" s="3" t="str">
        <f>HYPERLINK("https://www.773grp.com/manufacturer/onsemi?pageNo=1172", "ON Semiconductor")</f>
        <v>ON Semiconductor</v>
      </c>
      <c r="C30326" s="6">
        <v>45</v>
      </c>
      <c r="D30326" s="7">
        <v>0.69</v>
      </c>
    </row>
    <row r="30327" spans="1:5" x14ac:dyDescent="0.25">
      <c r="A30327" t="str">
        <f>HYPERLINK("https://www.773grp.com/globalSearch/MC74HC85FL1/page-1", "MC74HC85FL1")</f>
        <v>MC74HC85FL1</v>
      </c>
      <c r="B30327" s="3" t="str">
        <f>HYPERLINK("https://www.773grp.com/manufacturer/onsemi?pageNo=1173", "ON Semiconductor")</f>
        <v>ON Semiconductor</v>
      </c>
      <c r="C30327" s="6">
        <v>3000</v>
      </c>
      <c r="D30327" s="7">
        <v>0.69</v>
      </c>
    </row>
    <row r="30328" spans="1:5" x14ac:dyDescent="0.25">
      <c r="A30328" t="str">
        <f>HYPERLINK("https://www.773grp.com/globalSearch/MC74HC85N/page-1", "MC74HC85N")</f>
        <v>MC74HC85N</v>
      </c>
      <c r="B30328" s="3" t="str">
        <f>HYPERLINK("https://www.773grp.com/manufacturer/onsemi?pageNo=1174", "ON Semiconductor")</f>
        <v>ON Semiconductor</v>
      </c>
      <c r="C30328" s="6">
        <v>12</v>
      </c>
      <c r="D30328" s="7">
        <v>0.69</v>
      </c>
      <c r="E30328" t="s">
        <v>43</v>
      </c>
    </row>
    <row r="30329" spans="1:5" x14ac:dyDescent="0.25">
      <c r="A30329" t="str">
        <f>HYPERLINK("https://www.773grp.com/globalSearch/MC74HCT138ADT/page-1", "MC74HCT138ADT")</f>
        <v>MC74HCT138ADT</v>
      </c>
      <c r="B30329" s="3" t="str">
        <f>HYPERLINK("https://www.773grp.com/manufacturer/onsemi?pageNo=1175", "ON Semiconductor")</f>
        <v>ON Semiconductor</v>
      </c>
      <c r="C30329" s="6">
        <v>710</v>
      </c>
      <c r="D30329" s="7">
        <v>0.69</v>
      </c>
      <c r="E30329" t="s">
        <v>36</v>
      </c>
    </row>
    <row r="30330" spans="1:5" x14ac:dyDescent="0.25">
      <c r="A30330" t="str">
        <f>HYPERLINK("https://www.773grp.com/globalSearch/MC74HCT14ADG/page-1", "MC74HCT14ADG")</f>
        <v>MC74HCT14ADG</v>
      </c>
      <c r="B30330" s="3" t="str">
        <f>HYPERLINK("https://www.773grp.com/manufacturer/onsemi?pageNo=1176", "ON Semiconductor")</f>
        <v>ON Semiconductor</v>
      </c>
      <c r="C30330" s="6">
        <v>1430</v>
      </c>
      <c r="D30330" s="7">
        <v>0.69</v>
      </c>
      <c r="E30330" t="s">
        <v>31</v>
      </c>
    </row>
    <row r="30331" spans="1:5" x14ac:dyDescent="0.25">
      <c r="A30331" t="str">
        <f>HYPERLINK("https://www.773grp.com/globalSearch/MC74HCT273AN/page-1", "MC74HCT273AN")</f>
        <v>MC74HCT273AN</v>
      </c>
      <c r="B30331" s="3" t="str">
        <f>HYPERLINK("https://www.773grp.com/manufacturer/onsemi?pageNo=1177", "ON Semiconductor")</f>
        <v>ON Semiconductor</v>
      </c>
      <c r="C30331" s="6">
        <v>1078</v>
      </c>
      <c r="D30331" s="7">
        <v>0.69</v>
      </c>
      <c r="E30331" t="s">
        <v>35</v>
      </c>
    </row>
    <row r="30332" spans="1:5" x14ac:dyDescent="0.25">
      <c r="A30332" t="str">
        <f>HYPERLINK("https://www.773grp.com/globalSearch/MC74HCT373AN/page-1", "MC74HCT373AN")</f>
        <v>MC74HCT373AN</v>
      </c>
      <c r="B30332" s="3" t="str">
        <f>HYPERLINK("https://www.773grp.com/manufacturer/onsemi?pageNo=1178", "ON Semiconductor")</f>
        <v>ON Semiconductor</v>
      </c>
      <c r="C30332" s="6">
        <v>1318</v>
      </c>
      <c r="D30332" s="7">
        <v>0.69</v>
      </c>
      <c r="E30332" t="s">
        <v>14</v>
      </c>
    </row>
    <row r="30333" spans="1:5" x14ac:dyDescent="0.25">
      <c r="A30333" t="str">
        <f>HYPERLINK("https://www.773grp.com/globalSearch/MC74HCT374AN/page-1", "MC74HCT374AN")</f>
        <v>MC74HCT374AN</v>
      </c>
      <c r="B30333" s="3" t="str">
        <f>HYPERLINK("https://www.773grp.com/manufacturer/onsemi?pageNo=1179", "ON Semiconductor")</f>
        <v>ON Semiconductor</v>
      </c>
      <c r="C30333" s="6">
        <v>2312</v>
      </c>
      <c r="D30333" s="7">
        <v>0.69</v>
      </c>
      <c r="E30333" t="s">
        <v>14</v>
      </c>
    </row>
    <row r="30334" spans="1:5" x14ac:dyDescent="0.25">
      <c r="A30334" t="str">
        <f>HYPERLINK("https://www.773grp.com/globalSearch/MC74HCT541ADTR2/page-1", "MC74HCT541ADTR2")</f>
        <v>MC74HCT541ADTR2</v>
      </c>
      <c r="B30334" s="3" t="str">
        <f>HYPERLINK("https://www.773grp.com/manufacturer/onsemi?pageNo=1180", "ON Semiconductor")</f>
        <v>ON Semiconductor</v>
      </c>
      <c r="C30334" s="6">
        <v>5000</v>
      </c>
      <c r="D30334" s="7">
        <v>0.69</v>
      </c>
      <c r="E30334" t="s">
        <v>14</v>
      </c>
    </row>
    <row r="30335" spans="1:5" x14ac:dyDescent="0.25">
      <c r="A30335" t="str">
        <f>HYPERLINK("https://www.773grp.com/globalSearch/MC74HCT541AF/page-1", "MC74HCT541AF")</f>
        <v>MC74HCT541AF</v>
      </c>
      <c r="B30335" s="3" t="str">
        <f>HYPERLINK("https://www.773grp.com/manufacturer/onsemi?pageNo=1181", "ON Semiconductor")</f>
        <v>ON Semiconductor</v>
      </c>
      <c r="C30335" s="6">
        <v>1977</v>
      </c>
      <c r="D30335" s="7">
        <v>0.69</v>
      </c>
    </row>
    <row r="30336" spans="1:5" x14ac:dyDescent="0.25">
      <c r="A30336" t="str">
        <f>HYPERLINK("https://www.773grp.com/globalSearch/MC74HCT541AN/page-1", "MC74HCT541AN")</f>
        <v>MC74HCT541AN</v>
      </c>
      <c r="B30336" s="3" t="str">
        <f>HYPERLINK("https://www.773grp.com/manufacturer/onsemi?pageNo=1182", "ON Semiconductor")</f>
        <v>ON Semiconductor</v>
      </c>
      <c r="C30336" s="6">
        <v>776</v>
      </c>
      <c r="D30336" s="7">
        <v>0.69</v>
      </c>
      <c r="E30336" t="s">
        <v>14</v>
      </c>
    </row>
    <row r="30337" spans="1:5" x14ac:dyDescent="0.25">
      <c r="A30337" t="str">
        <f>HYPERLINK("https://www.773grp.com/globalSearch/MC74HCT573AN/page-1", "MC74HCT573AN")</f>
        <v>MC74HCT573AN</v>
      </c>
      <c r="B30337" s="3" t="str">
        <f>HYPERLINK("https://www.773grp.com/manufacturer/onsemi?pageNo=1183", "ON Semiconductor")</f>
        <v>ON Semiconductor</v>
      </c>
      <c r="C30337" s="6">
        <v>9404</v>
      </c>
      <c r="D30337" s="7">
        <v>0.69</v>
      </c>
      <c r="E30337" t="s">
        <v>14</v>
      </c>
    </row>
    <row r="30338" spans="1:5" x14ac:dyDescent="0.25">
      <c r="A30338" t="str">
        <f>HYPERLINK("https://www.773grp.com/globalSearch/MC74HCT574AN/page-1", "MC74HCT574AN")</f>
        <v>MC74HCT574AN</v>
      </c>
      <c r="B30338" s="3" t="str">
        <f>HYPERLINK("https://www.773grp.com/manufacturer/onsemi?pageNo=1184", "ON Semiconductor")</f>
        <v>ON Semiconductor</v>
      </c>
      <c r="C30338" s="6">
        <v>254</v>
      </c>
      <c r="D30338" s="7">
        <v>0.69</v>
      </c>
      <c r="E30338" t="s">
        <v>14</v>
      </c>
    </row>
    <row r="30339" spans="1:5" x14ac:dyDescent="0.25">
      <c r="A30339" t="str">
        <f>HYPERLINK("https://www.773grp.com/globalSearch/MC74HCT74ADG/page-1", "MC74HCT74ADG")</f>
        <v>MC74HCT74ADG</v>
      </c>
      <c r="B30339" s="3" t="str">
        <f>HYPERLINK("https://www.773grp.com/manufacturer/onsemi?pageNo=1185", "ON Semiconductor")</f>
        <v>ON Semiconductor</v>
      </c>
      <c r="C30339" s="6">
        <v>18525</v>
      </c>
      <c r="D30339" s="7">
        <v>0.69</v>
      </c>
      <c r="E30339" t="s">
        <v>35</v>
      </c>
    </row>
    <row r="30340" spans="1:5" x14ac:dyDescent="0.25">
      <c r="A30340" t="str">
        <f>HYPERLINK("https://www.773grp.com/globalSearch/MC74LCX240DT/page-1", "MC74LCX240DT")</f>
        <v>MC74LCX240DT</v>
      </c>
      <c r="B30340" s="3" t="str">
        <f>HYPERLINK("https://www.773grp.com/manufacturer/onsemi?pageNo=1186", "ON Semiconductor")</f>
        <v>ON Semiconductor</v>
      </c>
      <c r="C30340" s="6">
        <v>3958</v>
      </c>
      <c r="D30340" s="7">
        <v>0.69</v>
      </c>
      <c r="E30340" t="s">
        <v>14</v>
      </c>
    </row>
    <row r="30341" spans="1:5" x14ac:dyDescent="0.25">
      <c r="A30341" t="str">
        <f>HYPERLINK("https://www.773grp.com/globalSearch/MC74LCX245M/page-1", "MC74LCX245M")</f>
        <v>MC74LCX245M</v>
      </c>
      <c r="B30341" s="3" t="str">
        <f>HYPERLINK("https://www.773grp.com/manufacturer/onsemi?pageNo=1187", "ON Semiconductor")</f>
        <v>ON Semiconductor</v>
      </c>
      <c r="C30341" s="6">
        <v>1120</v>
      </c>
      <c r="D30341" s="7">
        <v>0.69</v>
      </c>
      <c r="E30341" t="s">
        <v>14</v>
      </c>
    </row>
    <row r="30342" spans="1:5" x14ac:dyDescent="0.25">
      <c r="A30342" t="str">
        <f>HYPERLINK("https://www.773grp.com/globalSearch/MC74LCX245MEL/page-1", "MC74LCX245MEL")</f>
        <v>MC74LCX245MEL</v>
      </c>
      <c r="B30342" s="3" t="str">
        <f>HYPERLINK("https://www.773grp.com/manufacturer/onsemi?pageNo=1188", "ON Semiconductor")</f>
        <v>ON Semiconductor</v>
      </c>
      <c r="C30342" s="6">
        <v>16126</v>
      </c>
      <c r="D30342" s="7">
        <v>0.69</v>
      </c>
      <c r="E30342" t="s">
        <v>14</v>
      </c>
    </row>
    <row r="30343" spans="1:5" x14ac:dyDescent="0.25">
      <c r="A30343" t="str">
        <f>HYPERLINK("https://www.773grp.com/globalSearch/MC74LCX374MEL/page-1", "MC74LCX374MEL")</f>
        <v>MC74LCX374MEL</v>
      </c>
      <c r="B30343" s="3" t="str">
        <f>HYPERLINK("https://www.773grp.com/manufacturer/onsemi?pageNo=1189", "ON Semiconductor")</f>
        <v>ON Semiconductor</v>
      </c>
      <c r="C30343" s="6">
        <v>4000</v>
      </c>
      <c r="D30343" s="7">
        <v>0.69</v>
      </c>
      <c r="E30343" t="s">
        <v>14</v>
      </c>
    </row>
    <row r="30344" spans="1:5" x14ac:dyDescent="0.25">
      <c r="A30344" t="str">
        <f>HYPERLINK("https://www.773grp.com/globalSearch/MC74LVX125DG/page-1", "MC74LVX125DG")</f>
        <v>MC74LVX125DG</v>
      </c>
      <c r="B30344" s="3" t="str">
        <f>HYPERLINK("https://www.773grp.com/manufacturer/onsemi?pageNo=1190", "ON Semiconductor")</f>
        <v>ON Semiconductor</v>
      </c>
      <c r="C30344" s="6">
        <v>28550</v>
      </c>
      <c r="D30344" s="7">
        <v>0.69</v>
      </c>
      <c r="E30344" t="s">
        <v>14</v>
      </c>
    </row>
    <row r="30345" spans="1:5" x14ac:dyDescent="0.25">
      <c r="A30345" t="str">
        <f>HYPERLINK("https://www.773grp.com/globalSearch/MC74LVX125DR2G/page-1", "MC74LVX125DR2G")</f>
        <v>MC74LVX125DR2G</v>
      </c>
      <c r="B30345" s="3" t="str">
        <f>HYPERLINK("https://www.773grp.com/manufacturer/onsemi?pageNo=1191", "ON Semiconductor")</f>
        <v>ON Semiconductor</v>
      </c>
      <c r="C30345" s="6">
        <v>7064</v>
      </c>
      <c r="D30345" s="7">
        <v>0.69</v>
      </c>
      <c r="E30345" t="s">
        <v>14</v>
      </c>
    </row>
    <row r="30346" spans="1:5" x14ac:dyDescent="0.25">
      <c r="A30346" t="str">
        <f>HYPERLINK("https://www.773grp.com/globalSearch/MC74LVX125DTG/page-1", "MC74LVX125DTG")</f>
        <v>MC74LVX125DTG</v>
      </c>
      <c r="B30346" s="3" t="str">
        <f>HYPERLINK("https://www.773grp.com/manufacturer/onsemi?pageNo=1192", "ON Semiconductor")</f>
        <v>ON Semiconductor</v>
      </c>
      <c r="C30346" s="6">
        <v>5548</v>
      </c>
      <c r="D30346" s="7">
        <v>0.69</v>
      </c>
      <c r="E30346" t="s">
        <v>14</v>
      </c>
    </row>
    <row r="30347" spans="1:5" x14ac:dyDescent="0.25">
      <c r="A30347" t="str">
        <f>HYPERLINK("https://www.773grp.com/globalSearch/MC74LVX125DTR2G/page-1", "MC74LVX125DTR2G")</f>
        <v>MC74LVX125DTR2G</v>
      </c>
      <c r="B30347" s="3" t="str">
        <f>HYPERLINK("https://www.773grp.com/manufacturer/onsemi?pageNo=1193", "ON Semiconductor")</f>
        <v>ON Semiconductor</v>
      </c>
      <c r="C30347" s="6">
        <v>22202</v>
      </c>
      <c r="D30347" s="7">
        <v>0.69</v>
      </c>
      <c r="E30347" t="s">
        <v>14</v>
      </c>
    </row>
    <row r="30348" spans="1:5" x14ac:dyDescent="0.25">
      <c r="A30348" t="str">
        <f>HYPERLINK("https://www.773grp.com/globalSearch/MC74LVX132DR2G/page-1", "MC74LVX132DR2G")</f>
        <v>MC74LVX132DR2G</v>
      </c>
      <c r="B30348" s="3" t="str">
        <f>HYPERLINK("https://www.773grp.com/manufacturer/onsemi?pageNo=1194", "ON Semiconductor")</f>
        <v>ON Semiconductor</v>
      </c>
      <c r="C30348" s="6">
        <v>20920</v>
      </c>
      <c r="D30348" s="7">
        <v>0.69</v>
      </c>
      <c r="E30348" t="s">
        <v>31</v>
      </c>
    </row>
    <row r="30349" spans="1:5" x14ac:dyDescent="0.25">
      <c r="A30349" t="str">
        <f>HYPERLINK("https://www.773grp.com/globalSearch/MC74LVX132DTG/page-1", "MC74LVX132DTG")</f>
        <v>MC74LVX132DTG</v>
      </c>
      <c r="B30349" s="3" t="str">
        <f>HYPERLINK("https://www.773grp.com/manufacturer/onsemi?pageNo=1195", "ON Semiconductor")</f>
        <v>ON Semiconductor</v>
      </c>
      <c r="C30349" s="6">
        <v>23136</v>
      </c>
      <c r="D30349" s="7">
        <v>0.69</v>
      </c>
      <c r="E30349" t="s">
        <v>31</v>
      </c>
    </row>
    <row r="30350" spans="1:5" x14ac:dyDescent="0.25">
      <c r="A30350" t="str">
        <f>HYPERLINK("https://www.773grp.com/globalSearch/MC74LVX132DTR2G/page-1", "MC74LVX132DTR2G")</f>
        <v>MC74LVX132DTR2G</v>
      </c>
      <c r="B30350" s="3" t="str">
        <f>HYPERLINK("https://www.773grp.com/manufacturer/onsemi?pageNo=1196", "ON Semiconductor")</f>
        <v>ON Semiconductor</v>
      </c>
      <c r="C30350" s="6">
        <v>24120</v>
      </c>
      <c r="D30350" s="7">
        <v>0.69</v>
      </c>
      <c r="E30350" t="s">
        <v>31</v>
      </c>
    </row>
    <row r="30351" spans="1:5" x14ac:dyDescent="0.25">
      <c r="A30351" t="str">
        <f>HYPERLINK("https://www.773grp.com/globalSearch/MC74LVX4052MEL/page-1", "MC74LVX4052MEL")</f>
        <v>MC74LVX4052MEL</v>
      </c>
      <c r="B30351" s="3" t="str">
        <f>HYPERLINK("https://www.773grp.com/manufacturer/onsemi?pageNo=1197", "ON Semiconductor")</f>
        <v>ON Semiconductor</v>
      </c>
      <c r="C30351" s="6">
        <v>1041</v>
      </c>
      <c r="D30351" s="7">
        <v>0.69</v>
      </c>
      <c r="E30351" t="s">
        <v>56</v>
      </c>
    </row>
    <row r="30352" spans="1:5" x14ac:dyDescent="0.25">
      <c r="A30352" t="str">
        <f>HYPERLINK("https://www.773grp.com/globalSearch/MC74LVX541MEL/page-1", "MC74LVX541MEL")</f>
        <v>MC74LVX541MEL</v>
      </c>
      <c r="B30352" s="3" t="str">
        <f>HYPERLINK("https://www.773grp.com/manufacturer/onsemi?pageNo=1198", "ON Semiconductor")</f>
        <v>ON Semiconductor</v>
      </c>
      <c r="C30352" s="6">
        <v>24000</v>
      </c>
      <c r="D30352" s="7">
        <v>0.69</v>
      </c>
      <c r="E30352" t="s">
        <v>14</v>
      </c>
    </row>
    <row r="30353" spans="1:5" x14ac:dyDescent="0.25">
      <c r="A30353" t="str">
        <f>HYPERLINK("https://www.773grp.com/globalSearch/MC74LVXT4052M/page-1", "MC74LVXT4052M")</f>
        <v>MC74LVXT4052M</v>
      </c>
      <c r="B30353" s="3" t="str">
        <f>HYPERLINK("https://www.773grp.com/manufacturer/onsemi?pageNo=1199", "ON Semiconductor")</f>
        <v>ON Semiconductor</v>
      </c>
      <c r="C30353" s="6">
        <v>8300</v>
      </c>
      <c r="D30353" s="7">
        <v>0.69</v>
      </c>
      <c r="E30353" t="s">
        <v>56</v>
      </c>
    </row>
    <row r="30354" spans="1:5" x14ac:dyDescent="0.25">
      <c r="A30354" t="str">
        <f>HYPERLINK("https://www.773grp.com/globalSearch/MC74VHC125DG/page-1", "MC74VHC125DG")</f>
        <v>MC74VHC125DG</v>
      </c>
      <c r="B30354" s="3" t="str">
        <f>HYPERLINK("https://www.773grp.com/manufacturer/onsemi?pageNo=1200", "ON Semiconductor")</f>
        <v>ON Semiconductor</v>
      </c>
      <c r="C30354" s="6">
        <v>7920</v>
      </c>
      <c r="D30354" s="7">
        <v>0.69</v>
      </c>
      <c r="E30354" t="s">
        <v>14</v>
      </c>
    </row>
    <row r="30355" spans="1:5" x14ac:dyDescent="0.25">
      <c r="A30355" t="str">
        <f>HYPERLINK("https://www.773grp.com/globalSearch/MC74VHC125DR2G/page-1", "MC74VHC125DR2G")</f>
        <v>MC74VHC125DR2G</v>
      </c>
      <c r="B30355" s="3" t="str">
        <f>HYPERLINK("https://www.773grp.com/manufacturer/onsemi?pageNo=1201", "ON Semiconductor")</f>
        <v>ON Semiconductor</v>
      </c>
      <c r="C30355" s="6">
        <v>16384</v>
      </c>
      <c r="D30355" s="7">
        <v>0.69</v>
      </c>
      <c r="E30355" t="s">
        <v>14</v>
      </c>
    </row>
    <row r="30356" spans="1:5" x14ac:dyDescent="0.25">
      <c r="A30356" t="str">
        <f>HYPERLINK("https://www.773grp.com/globalSearch/MC74VHC125DTR2G/page-1", "MC74VHC125DTR2G")</f>
        <v>MC74VHC125DTR2G</v>
      </c>
      <c r="B30356" s="3" t="str">
        <f>HYPERLINK("https://www.773grp.com/manufacturer/onsemi?pageNo=1202", "ON Semiconductor")</f>
        <v>ON Semiconductor</v>
      </c>
      <c r="C30356" s="6">
        <v>16647</v>
      </c>
      <c r="D30356" s="7">
        <v>0.69</v>
      </c>
      <c r="E30356" t="s">
        <v>14</v>
      </c>
    </row>
    <row r="30357" spans="1:5" x14ac:dyDescent="0.25">
      <c r="A30357" t="str">
        <f>HYPERLINK("https://www.773grp.com/globalSearch/MC74VHC126DR2G/page-1", "MC74VHC126DR2G")</f>
        <v>MC74VHC126DR2G</v>
      </c>
      <c r="B30357" s="3" t="str">
        <f>HYPERLINK("https://www.773grp.com/manufacturer/onsemi?pageNo=1203", "ON Semiconductor")</f>
        <v>ON Semiconductor</v>
      </c>
      <c r="C30357" s="6">
        <v>2500</v>
      </c>
      <c r="D30357" s="7">
        <v>0.69</v>
      </c>
      <c r="E30357" t="s">
        <v>14</v>
      </c>
    </row>
    <row r="30358" spans="1:5" x14ac:dyDescent="0.25">
      <c r="A30358" t="str">
        <f>HYPERLINK("https://www.773grp.com/globalSearch/MC74VHC126DTR2G/page-1", "MC74VHC126DTR2G")</f>
        <v>MC74VHC126DTR2G</v>
      </c>
      <c r="B30358" s="3" t="str">
        <f>HYPERLINK("https://www.773grp.com/manufacturer/onsemi?pageNo=1204", "ON Semiconductor")</f>
        <v>ON Semiconductor</v>
      </c>
      <c r="C30358" s="6">
        <v>10000</v>
      </c>
      <c r="D30358" s="7">
        <v>0.69</v>
      </c>
      <c r="E30358" t="s">
        <v>14</v>
      </c>
    </row>
    <row r="30359" spans="1:5" x14ac:dyDescent="0.25">
      <c r="A30359" t="str">
        <f>HYPERLINK("https://www.773grp.com/globalSearch/MC74VHC132DG/page-1", "MC74VHC132DG")</f>
        <v>MC74VHC132DG</v>
      </c>
      <c r="B30359" s="3" t="str">
        <f>HYPERLINK("https://www.773grp.com/manufacturer/onsemi?pageNo=1205", "ON Semiconductor")</f>
        <v>ON Semiconductor</v>
      </c>
      <c r="C30359" s="6">
        <v>41350</v>
      </c>
      <c r="D30359" s="7">
        <v>0.69</v>
      </c>
      <c r="E30359" t="s">
        <v>31</v>
      </c>
    </row>
    <row r="30360" spans="1:5" x14ac:dyDescent="0.25">
      <c r="A30360" t="str">
        <f>HYPERLINK("https://www.773grp.com/globalSearch/MC74VHC132DR2G/page-1", "MC74VHC132DR2G")</f>
        <v>MC74VHC132DR2G</v>
      </c>
      <c r="B30360" s="3" t="str">
        <f>HYPERLINK("https://www.773grp.com/manufacturer/onsemi?pageNo=1206", "ON Semiconductor")</f>
        <v>ON Semiconductor</v>
      </c>
      <c r="C30360" s="6">
        <v>2500</v>
      </c>
      <c r="D30360" s="7">
        <v>0.69</v>
      </c>
      <c r="E30360" t="s">
        <v>31</v>
      </c>
    </row>
    <row r="30361" spans="1:5" x14ac:dyDescent="0.25">
      <c r="A30361" t="str">
        <f>HYPERLINK("https://www.773grp.com/globalSearch/MC74VHC132DTR2G/page-1", "MC74VHC132DTR2G")</f>
        <v>MC74VHC132DTR2G</v>
      </c>
      <c r="B30361" s="3" t="str">
        <f>HYPERLINK("https://www.773grp.com/manufacturer/onsemi?pageNo=1207", "ON Semiconductor")</f>
        <v>ON Semiconductor</v>
      </c>
      <c r="C30361" s="6">
        <v>27575</v>
      </c>
      <c r="D30361" s="7">
        <v>0.69</v>
      </c>
      <c r="E30361" t="s">
        <v>31</v>
      </c>
    </row>
    <row r="30362" spans="1:5" x14ac:dyDescent="0.25">
      <c r="A30362" t="str">
        <f>HYPERLINK("https://www.773grp.com/globalSearch/MC74VHC540DT/page-1", "MC74VHC540DT")</f>
        <v>MC74VHC540DT</v>
      </c>
      <c r="B30362" s="3" t="str">
        <f>HYPERLINK("https://www.773grp.com/manufacturer/onsemi?pageNo=1208", "ON Semiconductor")</f>
        <v>ON Semiconductor</v>
      </c>
      <c r="C30362" s="6">
        <v>9225</v>
      </c>
      <c r="D30362" s="7">
        <v>0.69</v>
      </c>
      <c r="E30362" t="s">
        <v>14</v>
      </c>
    </row>
    <row r="30363" spans="1:5" x14ac:dyDescent="0.25">
      <c r="A30363" t="str">
        <f>HYPERLINK("https://www.773grp.com/globalSearch/MC74VHC541DW/page-1", "MC74VHC541DW")</f>
        <v>MC74VHC541DW</v>
      </c>
      <c r="B30363" s="3" t="str">
        <f>HYPERLINK("https://www.773grp.com/manufacturer/onsemi?pageNo=1209", "ON Semiconductor")</f>
        <v>ON Semiconductor</v>
      </c>
      <c r="C30363" s="6">
        <v>795</v>
      </c>
      <c r="D30363" s="7">
        <v>0.69</v>
      </c>
      <c r="E30363" t="s">
        <v>14</v>
      </c>
    </row>
    <row r="30364" spans="1:5" x14ac:dyDescent="0.25">
      <c r="A30364" t="str">
        <f>HYPERLINK("https://www.773grp.com/globalSearch/MC74VHCT125ADR2G/page-1", "MC74VHCT125ADR2G")</f>
        <v>MC74VHCT125ADR2G</v>
      </c>
      <c r="B30364" s="3" t="str">
        <f>HYPERLINK("https://www.773grp.com/manufacturer/onsemi?pageNo=1210", "ON Semiconductor")</f>
        <v>ON Semiconductor</v>
      </c>
      <c r="C30364" s="6">
        <v>289812</v>
      </c>
      <c r="D30364" s="7">
        <v>0.69</v>
      </c>
      <c r="E30364" t="s">
        <v>14</v>
      </c>
    </row>
    <row r="30365" spans="1:5" x14ac:dyDescent="0.25">
      <c r="A30365" t="str">
        <f>HYPERLINK("https://www.773grp.com/globalSearch/MC74VHCT125ADTRG/page-1", "MC74VHCT125ADTRG")</f>
        <v>MC74VHCT125ADTRG</v>
      </c>
      <c r="B30365" s="3" t="str">
        <f>HYPERLINK("https://www.773grp.com/manufacturer/onsemi?pageNo=1211", "ON Semiconductor")</f>
        <v>ON Semiconductor</v>
      </c>
      <c r="C30365" s="6">
        <v>71970</v>
      </c>
      <c r="D30365" s="7">
        <v>0.69</v>
      </c>
      <c r="E30365" t="s">
        <v>14</v>
      </c>
    </row>
    <row r="30366" spans="1:5" x14ac:dyDescent="0.25">
      <c r="A30366" t="str">
        <f>HYPERLINK("https://www.773grp.com/globalSearch/MC74VHCT126ADR2G/page-1", "MC74VHCT126ADR2G")</f>
        <v>MC74VHCT126ADR2G</v>
      </c>
      <c r="B30366" s="3" t="str">
        <f>HYPERLINK("https://www.773grp.com/manufacturer/onsemi?pageNo=1212", "ON Semiconductor")</f>
        <v>ON Semiconductor</v>
      </c>
      <c r="C30366" s="6">
        <v>16635</v>
      </c>
      <c r="D30366" s="7">
        <v>0.69</v>
      </c>
      <c r="E30366" t="s">
        <v>14</v>
      </c>
    </row>
    <row r="30367" spans="1:5" x14ac:dyDescent="0.25">
      <c r="A30367" t="str">
        <f>HYPERLINK("https://www.773grp.com/globalSearch/MC74VHCT132ADR2G/page-1", "MC74VHCT132ADR2G")</f>
        <v>MC74VHCT132ADR2G</v>
      </c>
      <c r="B30367" s="3" t="str">
        <f>HYPERLINK("https://www.773grp.com/manufacturer/onsemi?pageNo=1213", "ON Semiconductor")</f>
        <v>ON Semiconductor</v>
      </c>
      <c r="C30367" s="6">
        <v>17070</v>
      </c>
      <c r="D30367" s="7">
        <v>0.69</v>
      </c>
      <c r="E30367" t="s">
        <v>31</v>
      </c>
    </row>
    <row r="30368" spans="1:5" x14ac:dyDescent="0.25">
      <c r="A30368" t="str">
        <f>HYPERLINK("https://www.773grp.com/globalSearch/MC74VHCT132ADTRG/page-1", "MC74VHCT132ADTRG")</f>
        <v>MC74VHCT132ADTRG</v>
      </c>
      <c r="B30368" s="3" t="str">
        <f>HYPERLINK("https://www.773grp.com/manufacturer/onsemi?pageNo=1214", "ON Semiconductor")</f>
        <v>ON Semiconductor</v>
      </c>
      <c r="C30368" s="6">
        <v>23815</v>
      </c>
      <c r="D30368" s="7">
        <v>0.69</v>
      </c>
      <c r="E30368" t="s">
        <v>31</v>
      </c>
    </row>
    <row r="30369" spans="1:5" x14ac:dyDescent="0.25">
      <c r="A30369" t="str">
        <f>HYPERLINK("https://www.773grp.com/globalSearch/MC74VHCT540ADT/page-1", "MC74VHCT540ADT")</f>
        <v>MC74VHCT540ADT</v>
      </c>
      <c r="B30369" s="3" t="str">
        <f>HYPERLINK("https://www.773grp.com/manufacturer/onsemi?pageNo=1215", "ON Semiconductor")</f>
        <v>ON Semiconductor</v>
      </c>
      <c r="C30369" s="6">
        <v>6050</v>
      </c>
      <c r="D30369" s="7">
        <v>0.69</v>
      </c>
      <c r="E30369" t="s">
        <v>14</v>
      </c>
    </row>
    <row r="30370" spans="1:5" x14ac:dyDescent="0.25">
      <c r="A30370" t="str">
        <f>HYPERLINK("https://www.773grp.com/globalSearch/MC74VHCT541ADW/page-1", "MC74VHCT541ADW")</f>
        <v>MC74VHCT541ADW</v>
      </c>
      <c r="B30370" s="3" t="str">
        <f>HYPERLINK("https://www.773grp.com/manufacturer/onsemi?pageNo=1216", "ON Semiconductor")</f>
        <v>ON Semiconductor</v>
      </c>
      <c r="C30370" s="6">
        <v>874</v>
      </c>
      <c r="D30370" s="7">
        <v>0.69</v>
      </c>
      <c r="E30370" t="s">
        <v>14</v>
      </c>
    </row>
    <row r="30371" spans="1:5" x14ac:dyDescent="0.25">
      <c r="A30371" t="str">
        <f>HYPERLINK("https://www.773grp.com/globalSearch/MC7806ACTG/page-1", "MC7806ACTG")</f>
        <v>MC7806ACTG</v>
      </c>
      <c r="B30371" s="3" t="str">
        <f>HYPERLINK("https://www.773grp.com/manufacturer/onsemi?pageNo=1217", "ON Semiconductor")</f>
        <v>ON Semiconductor</v>
      </c>
      <c r="C30371" s="6">
        <v>7698</v>
      </c>
      <c r="D30371" s="7">
        <v>0.69</v>
      </c>
      <c r="E30371" t="s">
        <v>28</v>
      </c>
    </row>
    <row r="30372" spans="1:5" x14ac:dyDescent="0.25">
      <c r="A30372" t="str">
        <f>HYPERLINK("https://www.773grp.com/globalSearch/MC78M08BT/page-1", "MC78M08BT")</f>
        <v>MC78M08BT</v>
      </c>
      <c r="B30372" s="3" t="str">
        <f>HYPERLINK("https://www.773grp.com/manufacturer/onsemi?pageNo=1218", "ON Semiconductor")</f>
        <v>ON Semiconductor</v>
      </c>
      <c r="C30372" s="6">
        <v>26</v>
      </c>
      <c r="D30372" s="7">
        <v>0.69</v>
      </c>
      <c r="E30372" t="s">
        <v>28</v>
      </c>
    </row>
    <row r="30373" spans="1:5" x14ac:dyDescent="0.25">
      <c r="A30373" t="str">
        <f>HYPERLINK("https://www.773grp.com/globalSearch/MC78M15ACT/page-1", "MC78M15ACT")</f>
        <v>MC78M15ACT</v>
      </c>
      <c r="B30373" s="3" t="str">
        <f>HYPERLINK("https://www.773grp.com/manufacturer/onsemi?pageNo=1219", "ON Semiconductor")</f>
        <v>ON Semiconductor</v>
      </c>
      <c r="C30373" s="6">
        <v>2100</v>
      </c>
      <c r="D30373" s="7">
        <v>0.69</v>
      </c>
      <c r="E30373" t="s">
        <v>28</v>
      </c>
    </row>
    <row r="30374" spans="1:5" x14ac:dyDescent="0.25">
      <c r="A30374" t="str">
        <f>HYPERLINK("https://www.773grp.com/globalSearch/MC78PC18NTR/page-1", "MC78PC18NTR")</f>
        <v>MC78PC18NTR</v>
      </c>
      <c r="B30374" s="3" t="str">
        <f>HYPERLINK("https://www.773grp.com/manufacturer/onsemi?pageNo=1220", "ON Semiconductor")</f>
        <v>ON Semiconductor</v>
      </c>
      <c r="C30374" s="6">
        <v>3000</v>
      </c>
      <c r="D30374" s="7">
        <v>0.69</v>
      </c>
      <c r="E30374" t="s">
        <v>19</v>
      </c>
    </row>
    <row r="30375" spans="1:5" x14ac:dyDescent="0.25">
      <c r="A30375" t="str">
        <f>HYPERLINK("https://www.773grp.com/globalSearch/MC78PC25NTR/page-1", "MC78PC25NTR")</f>
        <v>MC78PC25NTR</v>
      </c>
      <c r="B30375" s="3" t="str">
        <f>HYPERLINK("https://www.773grp.com/manufacturer/onsemi?pageNo=1221", "ON Semiconductor")</f>
        <v>ON Semiconductor</v>
      </c>
      <c r="C30375" s="6">
        <v>39637</v>
      </c>
      <c r="D30375" s="7">
        <v>0.69</v>
      </c>
      <c r="E30375" t="s">
        <v>19</v>
      </c>
    </row>
    <row r="30376" spans="1:5" x14ac:dyDescent="0.25">
      <c r="A30376" t="str">
        <f>HYPERLINK("https://www.773grp.com/globalSearch/MC78PC30NTR/page-1", "MC78PC30NTR")</f>
        <v>MC78PC30NTR</v>
      </c>
      <c r="B30376" s="3" t="str">
        <f>HYPERLINK("https://www.773grp.com/manufacturer/onsemi?pageNo=1222", "ON Semiconductor")</f>
        <v>ON Semiconductor</v>
      </c>
      <c r="C30376" s="6">
        <v>6425</v>
      </c>
      <c r="D30376" s="7">
        <v>0.69</v>
      </c>
      <c r="E30376" t="s">
        <v>19</v>
      </c>
    </row>
    <row r="30377" spans="1:5" x14ac:dyDescent="0.25">
      <c r="A30377" t="str">
        <f>HYPERLINK("https://www.773grp.com/globalSearch/MC78PC33NTR/page-1", "MC78PC33NTR")</f>
        <v>MC78PC33NTR</v>
      </c>
      <c r="B30377" s="3" t="str">
        <f>HYPERLINK("https://www.773grp.com/manufacturer/onsemi?pageNo=1223", "ON Semiconductor")</f>
        <v>ON Semiconductor</v>
      </c>
      <c r="C30377" s="6">
        <v>256396</v>
      </c>
      <c r="D30377" s="7">
        <v>0.69</v>
      </c>
      <c r="E30377" t="s">
        <v>19</v>
      </c>
    </row>
    <row r="30378" spans="1:5" x14ac:dyDescent="0.25">
      <c r="A30378" t="str">
        <f>HYPERLINK("https://www.773grp.com/globalSearch/MC78PC50NTR/page-1", "MC78PC50NTR")</f>
        <v>MC78PC50NTR</v>
      </c>
      <c r="B30378" s="3" t="str">
        <f>HYPERLINK("https://www.773grp.com/manufacturer/onsemi?pageNo=1224", "ON Semiconductor")</f>
        <v>ON Semiconductor</v>
      </c>
      <c r="C30378" s="6">
        <v>45000</v>
      </c>
      <c r="D30378" s="7">
        <v>0.69</v>
      </c>
      <c r="E30378" t="s">
        <v>19</v>
      </c>
    </row>
    <row r="30379" spans="1:5" x14ac:dyDescent="0.25">
      <c r="A30379" t="str">
        <f>HYPERLINK("https://www.773grp.com/globalSearch/MC7905.2CT/page-1", "MC7905.2CT")</f>
        <v>MC7905.2CT</v>
      </c>
      <c r="B30379" s="3" t="str">
        <f>HYPERLINK("https://www.773grp.com/manufacturer/onsemi?pageNo=1225", "ON Semiconductor")</f>
        <v>ON Semiconductor</v>
      </c>
      <c r="C30379" s="6">
        <v>10915</v>
      </c>
      <c r="D30379" s="7">
        <v>0.69</v>
      </c>
      <c r="E30379" t="s">
        <v>65</v>
      </c>
    </row>
    <row r="30380" spans="1:5" x14ac:dyDescent="0.25">
      <c r="A30380" t="str">
        <f>HYPERLINK("https://www.773grp.com/globalSearch/MC7908ACTG/page-1", "MC7908ACTG")</f>
        <v>MC7908ACTG</v>
      </c>
      <c r="B30380" s="3" t="str">
        <f>HYPERLINK("https://www.773grp.com/manufacturer/onsemi?pageNo=1226", "ON Semiconductor")</f>
        <v>ON Semiconductor</v>
      </c>
      <c r="C30380" s="6">
        <v>6400</v>
      </c>
      <c r="D30380" s="7">
        <v>0.69</v>
      </c>
      <c r="E30380" t="s">
        <v>65</v>
      </c>
    </row>
    <row r="30381" spans="1:5" x14ac:dyDescent="0.25">
      <c r="A30381" t="str">
        <f>HYPERLINK("https://www.773grp.com/globalSearch/MC7924BTG/page-1", "MC7924BTG")</f>
        <v>MC7924BTG</v>
      </c>
      <c r="B30381" s="3" t="str">
        <f>HYPERLINK("https://www.773grp.com/manufacturer/onsemi?pageNo=1227", "ON Semiconductor")</f>
        <v>ON Semiconductor</v>
      </c>
      <c r="C30381" s="6">
        <v>2700</v>
      </c>
      <c r="D30381" s="7">
        <v>0.69</v>
      </c>
      <c r="E30381" t="s">
        <v>65</v>
      </c>
    </row>
    <row r="30382" spans="1:5" x14ac:dyDescent="0.25">
      <c r="A30382" t="str">
        <f>HYPERLINK("https://www.773grp.com/globalSearch/MC79M05BT/page-1", "MC79M05BT")</f>
        <v>MC79M05BT</v>
      </c>
      <c r="B30382" s="3" t="str">
        <f>HYPERLINK("https://www.773grp.com/manufacturer/onsemi?pageNo=1228", "ON Semiconductor")</f>
        <v>ON Semiconductor</v>
      </c>
      <c r="C30382" s="6">
        <v>2000</v>
      </c>
      <c r="D30382" s="7">
        <v>0.69</v>
      </c>
      <c r="E30382" t="s">
        <v>65</v>
      </c>
    </row>
    <row r="30383" spans="1:5" x14ac:dyDescent="0.25">
      <c r="A30383" t="str">
        <f>HYPERLINK("https://www.773grp.com/globalSearch/MC79M08BT/page-1", "MC79M08BT")</f>
        <v>MC79M08BT</v>
      </c>
      <c r="B30383" s="3" t="str">
        <f>HYPERLINK("https://www.773grp.com/manufacturer/onsemi?pageNo=1229", "ON Semiconductor")</f>
        <v>ON Semiconductor</v>
      </c>
      <c r="C30383" s="6">
        <v>550</v>
      </c>
      <c r="D30383" s="7">
        <v>0.69</v>
      </c>
      <c r="E30383" t="s">
        <v>65</v>
      </c>
    </row>
    <row r="30384" spans="1:5" x14ac:dyDescent="0.25">
      <c r="A30384" t="str">
        <f>HYPERLINK("https://www.773grp.com/globalSearch/MMBD352LT1/page-1", "MMBD352LT1")</f>
        <v>MMBD352LT1</v>
      </c>
      <c r="B30384" s="3" t="str">
        <f>HYPERLINK("https://www.773grp.com/manufacturer/onsemi?pageNo=1230", "ON Semiconductor")</f>
        <v>ON Semiconductor</v>
      </c>
      <c r="C30384" s="6">
        <v>75000</v>
      </c>
      <c r="D30384" s="7">
        <v>0.69</v>
      </c>
    </row>
    <row r="30385" spans="1:5" x14ac:dyDescent="0.25">
      <c r="A30385" t="str">
        <f>HYPERLINK("https://www.773grp.com/globalSearch/MMBT6517LT1G/page-1", "MMBT6517LT1G")</f>
        <v>MMBT6517LT1G</v>
      </c>
      <c r="B30385" s="3" t="str">
        <f>HYPERLINK("https://www.773grp.com/manufacturer/onsemi?pageNo=1231", "ON Semiconductor")</f>
        <v>ON Semiconductor</v>
      </c>
      <c r="C30385" s="6">
        <v>16</v>
      </c>
      <c r="D30385" s="7">
        <v>0.69</v>
      </c>
      <c r="E30385" t="s">
        <v>69</v>
      </c>
    </row>
    <row r="30386" spans="1:5" x14ac:dyDescent="0.25">
      <c r="A30386" t="str">
        <f>HYPERLINK("https://www.773grp.com/globalSearch/MMFT1N20T1/page-1", "MMFT1N20T1")</f>
        <v>MMFT1N20T1</v>
      </c>
      <c r="B30386" s="3" t="str">
        <f>HYPERLINK("https://www.773grp.com/manufacturer/onsemi?pageNo=1232", "ON Semiconductor")</f>
        <v>ON Semiconductor</v>
      </c>
      <c r="C30386" s="6">
        <v>275</v>
      </c>
      <c r="D30386" s="7">
        <v>0.69</v>
      </c>
    </row>
    <row r="30387" spans="1:5" x14ac:dyDescent="0.25">
      <c r="A30387" t="str">
        <f>HYPERLINK("https://www.773grp.com/globalSearch/MMJT9410T1G/page-1", "MMJT9410T1G")</f>
        <v>MMJT9410T1G</v>
      </c>
      <c r="B30387" s="3" t="str">
        <f>HYPERLINK("https://www.773grp.com/manufacturer/onsemi?pageNo=1233", "ON Semiconductor")</f>
        <v>ON Semiconductor</v>
      </c>
      <c r="C30387" s="6">
        <v>2666</v>
      </c>
      <c r="D30387" s="7">
        <v>0.69</v>
      </c>
      <c r="E30387" t="s">
        <v>69</v>
      </c>
    </row>
    <row r="30388" spans="1:5" x14ac:dyDescent="0.25">
      <c r="A30388" t="str">
        <f>HYPERLINK("https://www.773grp.com/globalSearch/MPTE-005G/page-1", "MPTE-005G")</f>
        <v>MPTE-005G</v>
      </c>
      <c r="B30388" s="3" t="str">
        <f>HYPERLINK("https://www.773grp.com/manufacturer/onsemi?pageNo=1234", "ON Semiconductor")</f>
        <v>ON Semiconductor</v>
      </c>
      <c r="C30388" s="6">
        <v>166</v>
      </c>
      <c r="D30388" s="7">
        <v>0.69</v>
      </c>
    </row>
    <row r="30389" spans="1:5" x14ac:dyDescent="0.25">
      <c r="A30389" t="str">
        <f>HYPERLINK("https://www.773grp.com/globalSearch/MPTE-010G/page-1", "MPTE-010G")</f>
        <v>MPTE-010G</v>
      </c>
      <c r="B30389" s="3" t="str">
        <f>HYPERLINK("https://www.773grp.com/manufacturer/onsemi?pageNo=1235", "ON Semiconductor")</f>
        <v>ON Semiconductor</v>
      </c>
      <c r="C30389" s="6">
        <v>1490</v>
      </c>
      <c r="D30389" s="7">
        <v>0.69</v>
      </c>
    </row>
    <row r="30390" spans="1:5" x14ac:dyDescent="0.25">
      <c r="A30390" t="str">
        <f>HYPERLINK("https://www.773grp.com/globalSearch/MPTE-015/page-1", "MPTE-015")</f>
        <v>MPTE-015</v>
      </c>
      <c r="B30390" s="3" t="str">
        <f>HYPERLINK("https://www.773grp.com/manufacturer/onsemi?pageNo=1236", "ON Semiconductor")</f>
        <v>ON Semiconductor</v>
      </c>
      <c r="C30390" s="6">
        <v>500</v>
      </c>
      <c r="D30390" s="7">
        <v>0.69</v>
      </c>
    </row>
    <row r="30391" spans="1:5" x14ac:dyDescent="0.25">
      <c r="A30391" t="str">
        <f>HYPERLINK("https://www.773grp.com/globalSearch/MPTE-015G/page-1", "MPTE-015G")</f>
        <v>MPTE-015G</v>
      </c>
      <c r="B30391" s="3" t="str">
        <f>HYPERLINK("https://www.773grp.com/manufacturer/onsemi?pageNo=1237", "ON Semiconductor")</f>
        <v>ON Semiconductor</v>
      </c>
      <c r="C30391" s="6">
        <v>5000</v>
      </c>
      <c r="D30391" s="7">
        <v>0.69</v>
      </c>
    </row>
    <row r="30392" spans="1:5" x14ac:dyDescent="0.25">
      <c r="A30392" t="str">
        <f>HYPERLINK("https://www.773grp.com/globalSearch/MPTE-018/page-1", "MPTE-018")</f>
        <v>MPTE-018</v>
      </c>
      <c r="B30392" s="3" t="str">
        <f>HYPERLINK("https://www.773grp.com/manufacturer/onsemi?pageNo=1238", "ON Semiconductor")</f>
        <v>ON Semiconductor</v>
      </c>
      <c r="C30392" s="6">
        <v>2500</v>
      </c>
      <c r="D30392" s="7">
        <v>0.69</v>
      </c>
    </row>
    <row r="30393" spans="1:5" x14ac:dyDescent="0.25">
      <c r="A30393" t="str">
        <f>HYPERLINK("https://www.773grp.com/globalSearch/MPTE-12RL4/page-1", "MPTE-12RL4")</f>
        <v>MPTE-12RL4</v>
      </c>
      <c r="B30393" s="3" t="str">
        <f>HYPERLINK("https://www.773grp.com/manufacturer/onsemi?pageNo=1239", "ON Semiconductor")</f>
        <v>ON Semiconductor</v>
      </c>
      <c r="C30393" s="6">
        <v>1500</v>
      </c>
      <c r="D30393" s="7">
        <v>0.69</v>
      </c>
      <c r="E30393" t="s">
        <v>96</v>
      </c>
    </row>
    <row r="30394" spans="1:5" x14ac:dyDescent="0.25">
      <c r="A30394" t="str">
        <f>HYPERLINK("https://www.773grp.com/globalSearch/MPTE-12RL4G/page-1", "MPTE-12RL4G")</f>
        <v>MPTE-12RL4G</v>
      </c>
      <c r="B30394" s="3" t="str">
        <f>HYPERLINK("https://www.773grp.com/manufacturer/onsemi?pageNo=1240", "ON Semiconductor")</f>
        <v>ON Semiconductor</v>
      </c>
      <c r="C30394" s="6">
        <v>1500</v>
      </c>
      <c r="D30394" s="7">
        <v>0.69</v>
      </c>
      <c r="E30394" t="s">
        <v>96</v>
      </c>
    </row>
    <row r="30395" spans="1:5" x14ac:dyDescent="0.25">
      <c r="A30395" t="str">
        <f>HYPERLINK("https://www.773grp.com/globalSearch/MT12AT1G/page-1", "MT12AT1G")</f>
        <v>MT12AT1G</v>
      </c>
      <c r="B30395" s="3" t="str">
        <f>HYPERLINK("https://www.773grp.com/manufacturer/onsemi?pageNo=1241", "ON Semiconductor")</f>
        <v>ON Semiconductor</v>
      </c>
      <c r="C30395" s="6">
        <v>30000</v>
      </c>
      <c r="D30395" s="7">
        <v>0.69</v>
      </c>
    </row>
    <row r="30396" spans="1:5" x14ac:dyDescent="0.25">
      <c r="A30396" t="str">
        <f>HYPERLINK("https://www.773grp.com/globalSearch/MT16AT3G/page-1", "MT16AT3G")</f>
        <v>MT16AT3G</v>
      </c>
      <c r="B30396" s="3" t="str">
        <f>HYPERLINK("https://www.773grp.com/manufacturer/onsemi?pageNo=1242", "ON Semiconductor")</f>
        <v>ON Semiconductor</v>
      </c>
      <c r="C30396" s="6">
        <v>84000</v>
      </c>
      <c r="D30396" s="7">
        <v>0.69</v>
      </c>
    </row>
    <row r="30397" spans="1:5" x14ac:dyDescent="0.25">
      <c r="A30397" t="str">
        <f>HYPERLINK("https://www.773grp.com/globalSearch/MT22AT1G/page-1", "MT22AT1G")</f>
        <v>MT22AT1G</v>
      </c>
      <c r="B30397" s="3" t="str">
        <f>HYPERLINK("https://www.773grp.com/manufacturer/onsemi?pageNo=1243", "ON Semiconductor")</f>
        <v>ON Semiconductor</v>
      </c>
      <c r="C30397" s="6">
        <v>23993</v>
      </c>
      <c r="D30397" s="7">
        <v>0.69</v>
      </c>
    </row>
    <row r="30398" spans="1:5" x14ac:dyDescent="0.25">
      <c r="A30398" t="str">
        <f>HYPERLINK("https://www.773grp.com/globalSearch/MT26AT1G/page-1", "MT26AT1G")</f>
        <v>MT26AT1G</v>
      </c>
      <c r="B30398" s="3" t="str">
        <f>HYPERLINK("https://www.773grp.com/manufacturer/onsemi?pageNo=1244", "ON Semiconductor")</f>
        <v>ON Semiconductor</v>
      </c>
      <c r="C30398" s="6">
        <v>14980</v>
      </c>
      <c r="D30398" s="7">
        <v>0.69</v>
      </c>
    </row>
    <row r="30399" spans="1:5" x14ac:dyDescent="0.25">
      <c r="A30399" t="str">
        <f>HYPERLINK("https://www.773grp.com/globalSearch/MT33AT3G/page-1", "MT33AT3G")</f>
        <v>MT33AT3G</v>
      </c>
      <c r="B30399" s="3" t="str">
        <f>HYPERLINK("https://www.773grp.com/manufacturer/onsemi?pageNo=1245", "ON Semiconductor")</f>
        <v>ON Semiconductor</v>
      </c>
      <c r="C30399" s="6">
        <v>24000</v>
      </c>
      <c r="D30399" s="7">
        <v>0.69</v>
      </c>
    </row>
    <row r="30400" spans="1:5" x14ac:dyDescent="0.25">
      <c r="A30400" t="str">
        <f>HYPERLINK("https://www.773grp.com/globalSearch/MT5924BT1G/page-1", "MT5924BT1G")</f>
        <v>MT5924BT1G</v>
      </c>
      <c r="B30400" s="3" t="str">
        <f>HYPERLINK("https://www.773grp.com/manufacturer/onsemi?pageNo=1246", "ON Semiconductor")</f>
        <v>ON Semiconductor</v>
      </c>
      <c r="C30400" s="6">
        <v>3000</v>
      </c>
      <c r="D30400" s="7">
        <v>0.69</v>
      </c>
    </row>
    <row r="30401" spans="1:5" x14ac:dyDescent="0.25">
      <c r="A30401" t="str">
        <f>HYPERLINK("https://www.773grp.com/globalSearch/MTD5P06V1/page-1", "MTD5P06V1")</f>
        <v>MTD5P06V1</v>
      </c>
      <c r="B30401" s="3" t="str">
        <f>HYPERLINK("https://www.773grp.com/manufacturer/onsemi?pageNo=1247", "ON Semiconductor")</f>
        <v>ON Semiconductor</v>
      </c>
      <c r="C30401" s="6">
        <v>4783</v>
      </c>
      <c r="D30401" s="7">
        <v>0.69</v>
      </c>
      <c r="E30401" t="s">
        <v>105</v>
      </c>
    </row>
    <row r="30402" spans="1:5" x14ac:dyDescent="0.25">
      <c r="A30402" t="str">
        <f>HYPERLINK("https://www.773grp.com/globalSearch/MURA105T3G/page-1", "MURA105T3G")</f>
        <v>MURA105T3G</v>
      </c>
      <c r="B30402" s="3" t="str">
        <f>HYPERLINK("https://www.773grp.com/manufacturer/onsemi?pageNo=1248", "ON Semiconductor")</f>
        <v>ON Semiconductor</v>
      </c>
      <c r="C30402" s="6">
        <v>20000</v>
      </c>
      <c r="D30402" s="7">
        <v>0.69</v>
      </c>
    </row>
    <row r="30403" spans="1:5" x14ac:dyDescent="0.25">
      <c r="A30403" t="str">
        <f>HYPERLINK("https://www.773grp.com/globalSearch/MURA110T3G/page-1", "MURA110T3G")</f>
        <v>MURA110T3G</v>
      </c>
      <c r="B30403" s="3" t="str">
        <f>HYPERLINK("https://www.773grp.com/manufacturer/onsemi?pageNo=1249", "ON Semiconductor")</f>
        <v>ON Semiconductor</v>
      </c>
      <c r="C30403" s="6">
        <v>10000</v>
      </c>
      <c r="D30403" s="7">
        <v>0.69</v>
      </c>
      <c r="E30403" t="s">
        <v>103</v>
      </c>
    </row>
    <row r="30404" spans="1:5" x14ac:dyDescent="0.25">
      <c r="A30404" t="str">
        <f>HYPERLINK("https://www.773grp.com/globalSearch/MURA115T3G/page-1", "MURA115T3G")</f>
        <v>MURA115T3G</v>
      </c>
      <c r="B30404" s="3" t="str">
        <f>HYPERLINK("https://www.773grp.com/manufacturer/onsemi?pageNo=1250", "ON Semiconductor")</f>
        <v>ON Semiconductor</v>
      </c>
      <c r="C30404" s="6">
        <v>1451923</v>
      </c>
      <c r="D30404" s="7">
        <v>0.69</v>
      </c>
      <c r="E30404" t="s">
        <v>103</v>
      </c>
    </row>
    <row r="30405" spans="1:5" x14ac:dyDescent="0.25">
      <c r="A30405" t="str">
        <f>HYPERLINK("https://www.773grp.com/globalSearch/MURA120T3G/page-1", "MURA120T3G")</f>
        <v>MURA120T3G</v>
      </c>
      <c r="B30405" s="3" t="str">
        <f>HYPERLINK("https://www.773grp.com/manufacturer/onsemi?pageNo=1251", "ON Semiconductor")</f>
        <v>ON Semiconductor</v>
      </c>
      <c r="C30405" s="6">
        <v>179765</v>
      </c>
      <c r="D30405" s="7">
        <v>0.69</v>
      </c>
      <c r="E30405" t="s">
        <v>103</v>
      </c>
    </row>
    <row r="30406" spans="1:5" x14ac:dyDescent="0.25">
      <c r="A30406" t="str">
        <f>HYPERLINK("https://www.773grp.com/globalSearch/MURA140T3G/page-1", "MURA140T3G")</f>
        <v>MURA140T3G</v>
      </c>
      <c r="B30406" s="3" t="str">
        <f>HYPERLINK("https://www.773grp.com/manufacturer/onsemi?pageNo=1252", "ON Semiconductor")</f>
        <v>ON Semiconductor</v>
      </c>
      <c r="C30406" s="6">
        <v>984640</v>
      </c>
      <c r="D30406" s="7">
        <v>0.69</v>
      </c>
      <c r="E30406" t="s">
        <v>103</v>
      </c>
    </row>
    <row r="30407" spans="1:5" x14ac:dyDescent="0.25">
      <c r="A30407" t="str">
        <f>HYPERLINK("https://www.773grp.com/globalSearch/MURA160T3G/page-1", "MURA160T3G")</f>
        <v>MURA160T3G</v>
      </c>
      <c r="B30407" s="3" t="str">
        <f>HYPERLINK("https://www.773grp.com/manufacturer/onsemi?pageNo=1253", "ON Semiconductor")</f>
        <v>ON Semiconductor</v>
      </c>
      <c r="C30407" s="6">
        <v>235000</v>
      </c>
      <c r="D30407" s="7">
        <v>0.69</v>
      </c>
      <c r="E30407" t="s">
        <v>103</v>
      </c>
    </row>
    <row r="30408" spans="1:5" x14ac:dyDescent="0.25">
      <c r="A30408" t="str">
        <f>HYPERLINK("https://www.773grp.com/globalSearch/NCP1117DT12/page-1", "NCP1117DT12")</f>
        <v>NCP1117DT12</v>
      </c>
      <c r="B30408" s="3" t="str">
        <f>HYPERLINK("https://www.773grp.com/manufacturer/onsemi?pageNo=1254", "ON Semiconductor")</f>
        <v>ON Semiconductor</v>
      </c>
      <c r="C30408" s="6">
        <v>300</v>
      </c>
      <c r="D30408" s="7">
        <v>0.69</v>
      </c>
      <c r="E30408" t="s">
        <v>19</v>
      </c>
    </row>
    <row r="30409" spans="1:5" x14ac:dyDescent="0.25">
      <c r="A30409" t="str">
        <f>HYPERLINK("https://www.773grp.com/globalSearch/NCP1117DT12RK/page-1", "NCP1117DT12RK")</f>
        <v>NCP1117DT12RK</v>
      </c>
      <c r="B30409" s="3" t="str">
        <f>HYPERLINK("https://www.773grp.com/manufacturer/onsemi?pageNo=1255", "ON Semiconductor")</f>
        <v>ON Semiconductor</v>
      </c>
      <c r="C30409" s="6">
        <v>2490</v>
      </c>
      <c r="D30409" s="7">
        <v>0.69</v>
      </c>
      <c r="E30409" t="s">
        <v>19</v>
      </c>
    </row>
    <row r="30410" spans="1:5" x14ac:dyDescent="0.25">
      <c r="A30410" t="str">
        <f>HYPERLINK("https://www.773grp.com/globalSearch/NCP1117DT18T5/page-1", "NCP1117DT18T5")</f>
        <v>NCP1117DT18T5</v>
      </c>
      <c r="B30410" s="3" t="str">
        <f>HYPERLINK("https://www.773grp.com/manufacturer/onsemi?pageNo=1256", "ON Semiconductor")</f>
        <v>ON Semiconductor</v>
      </c>
      <c r="C30410" s="6">
        <v>10000</v>
      </c>
      <c r="D30410" s="7">
        <v>0.69</v>
      </c>
      <c r="E30410" t="s">
        <v>19</v>
      </c>
    </row>
    <row r="30411" spans="1:5" x14ac:dyDescent="0.25">
      <c r="A30411" t="str">
        <f>HYPERLINK("https://www.773grp.com/globalSearch/NCP1117DT20/page-1", "NCP1117DT20")</f>
        <v>NCP1117DT20</v>
      </c>
      <c r="B30411" s="3" t="str">
        <f>HYPERLINK("https://www.773grp.com/manufacturer/onsemi?pageNo=1257", "ON Semiconductor")</f>
        <v>ON Semiconductor</v>
      </c>
      <c r="C30411" s="6">
        <v>1252</v>
      </c>
      <c r="D30411" s="7">
        <v>0.69</v>
      </c>
      <c r="E30411" t="s">
        <v>19</v>
      </c>
    </row>
    <row r="30412" spans="1:5" x14ac:dyDescent="0.25">
      <c r="A30412" t="str">
        <f>HYPERLINK("https://www.773grp.com/globalSearch/NCP1117DT20RK/page-1", "NCP1117DT20RK")</f>
        <v>NCP1117DT20RK</v>
      </c>
      <c r="B30412" s="3" t="str">
        <f>HYPERLINK("https://www.773grp.com/manufacturer/onsemi?pageNo=1258", "ON Semiconductor")</f>
        <v>ON Semiconductor</v>
      </c>
      <c r="C30412" s="6">
        <v>5000</v>
      </c>
      <c r="D30412" s="7">
        <v>0.69</v>
      </c>
      <c r="E30412" t="s">
        <v>19</v>
      </c>
    </row>
    <row r="30413" spans="1:5" x14ac:dyDescent="0.25">
      <c r="A30413" t="str">
        <f>HYPERLINK("https://www.773grp.com/globalSearch/NCP1117DT25RK/page-1", "NCP1117DT25RK")</f>
        <v>NCP1117DT25RK</v>
      </c>
      <c r="B30413" s="3" t="str">
        <f>HYPERLINK("https://www.773grp.com/manufacturer/onsemi?pageNo=1259", "ON Semiconductor")</f>
        <v>ON Semiconductor</v>
      </c>
      <c r="C30413" s="6">
        <v>17270</v>
      </c>
      <c r="D30413" s="7">
        <v>0.69</v>
      </c>
      <c r="E30413" t="s">
        <v>19</v>
      </c>
    </row>
    <row r="30414" spans="1:5" x14ac:dyDescent="0.25">
      <c r="A30414" t="str">
        <f>HYPERLINK("https://www.773grp.com/globalSearch/NCP1117DT25T5/page-1", "NCP1117DT25T5")</f>
        <v>NCP1117DT25T5</v>
      </c>
      <c r="B30414" s="3" t="str">
        <f>HYPERLINK("https://www.773grp.com/manufacturer/onsemi?pageNo=1260", "ON Semiconductor")</f>
        <v>ON Semiconductor</v>
      </c>
      <c r="C30414" s="6">
        <v>2500</v>
      </c>
      <c r="D30414" s="7">
        <v>0.69</v>
      </c>
      <c r="E30414" t="s">
        <v>19</v>
      </c>
    </row>
    <row r="30415" spans="1:5" x14ac:dyDescent="0.25">
      <c r="A30415" t="str">
        <f>HYPERLINK("https://www.773grp.com/globalSearch/NCP1117DT285RK/page-1", "NCP1117DT285RK")</f>
        <v>NCP1117DT285RK</v>
      </c>
      <c r="B30415" s="3" t="str">
        <f>HYPERLINK("https://www.773grp.com/manufacturer/onsemi?pageNo=1261", "ON Semiconductor")</f>
        <v>ON Semiconductor</v>
      </c>
      <c r="C30415" s="6">
        <v>5000</v>
      </c>
      <c r="D30415" s="7">
        <v>0.69</v>
      </c>
      <c r="E30415" t="s">
        <v>19</v>
      </c>
    </row>
    <row r="30416" spans="1:5" x14ac:dyDescent="0.25">
      <c r="A30416" t="str">
        <f>HYPERLINK("https://www.773grp.com/globalSearch/NCP1117DT33/page-1", "NCP1117DT33")</f>
        <v>NCP1117DT33</v>
      </c>
      <c r="B30416" s="3" t="str">
        <f>HYPERLINK("https://www.773grp.com/manufacturer/onsemi?pageNo=1262", "ON Semiconductor")</f>
        <v>ON Semiconductor</v>
      </c>
      <c r="C30416" s="6">
        <v>130125</v>
      </c>
      <c r="D30416" s="7">
        <v>0.69</v>
      </c>
      <c r="E30416" t="s">
        <v>19</v>
      </c>
    </row>
    <row r="30417" spans="1:5" x14ac:dyDescent="0.25">
      <c r="A30417" t="str">
        <f>HYPERLINK("https://www.773grp.com/globalSearch/NCP1117DT33RK/page-1", "NCP1117DT33RK")</f>
        <v>NCP1117DT33RK</v>
      </c>
      <c r="B30417" s="3" t="str">
        <f>HYPERLINK("https://www.773grp.com/manufacturer/onsemi?pageNo=1263", "ON Semiconductor")</f>
        <v>ON Semiconductor</v>
      </c>
      <c r="C30417" s="6">
        <v>7500</v>
      </c>
      <c r="D30417" s="7">
        <v>0.69</v>
      </c>
      <c r="E30417" t="s">
        <v>19</v>
      </c>
    </row>
    <row r="30418" spans="1:5" x14ac:dyDescent="0.25">
      <c r="A30418" t="str">
        <f>HYPERLINK("https://www.773grp.com/globalSearch/NCP1117DT33T5/page-1", "NCP1117DT33T5")</f>
        <v>NCP1117DT33T5</v>
      </c>
      <c r="B30418" s="3" t="str">
        <f>HYPERLINK("https://www.773grp.com/manufacturer/onsemi?pageNo=1264", "ON Semiconductor")</f>
        <v>ON Semiconductor</v>
      </c>
      <c r="C30418" s="6">
        <v>5000</v>
      </c>
      <c r="D30418" s="7">
        <v>0.69</v>
      </c>
      <c r="E30418" t="s">
        <v>19</v>
      </c>
    </row>
    <row r="30419" spans="1:5" x14ac:dyDescent="0.25">
      <c r="A30419" t="str">
        <f>HYPERLINK("https://www.773grp.com/globalSearch/NCP1117LPST15T3G/page-1", "NCP1117LPST15T3G")</f>
        <v>NCP1117LPST15T3G</v>
      </c>
      <c r="B30419" s="3" t="str">
        <f>HYPERLINK("https://www.773grp.com/manufacturer/onsemi?pageNo=1265", "ON Semiconductor")</f>
        <v>ON Semiconductor</v>
      </c>
      <c r="C30419" s="6">
        <v>8000</v>
      </c>
      <c r="D30419" s="7">
        <v>0.69</v>
      </c>
    </row>
    <row r="30420" spans="1:5" x14ac:dyDescent="0.25">
      <c r="A30420" t="str">
        <f>HYPERLINK("https://www.773grp.com/globalSearch/NCP1117LPST18T3G/page-1", "NCP1117LPST18T3G")</f>
        <v>NCP1117LPST18T3G</v>
      </c>
      <c r="B30420" s="3" t="str">
        <f>HYPERLINK("https://www.773grp.com/manufacturer/onsemi?pageNo=1266", "ON Semiconductor")</f>
        <v>ON Semiconductor</v>
      </c>
      <c r="C30420" s="6">
        <v>247842</v>
      </c>
      <c r="D30420" s="7">
        <v>0.69</v>
      </c>
      <c r="E30420" t="s">
        <v>19</v>
      </c>
    </row>
    <row r="30421" spans="1:5" x14ac:dyDescent="0.25">
      <c r="A30421" t="str">
        <f>HYPERLINK("https://www.773grp.com/globalSearch/NCP1117LPST25T3G/page-1", "NCP1117LPST25T3G")</f>
        <v>NCP1117LPST25T3G</v>
      </c>
      <c r="B30421" s="3" t="str">
        <f>HYPERLINK("https://www.773grp.com/manufacturer/onsemi?pageNo=1267", "ON Semiconductor")</f>
        <v>ON Semiconductor</v>
      </c>
      <c r="C30421" s="6">
        <v>20000</v>
      </c>
      <c r="D30421" s="7">
        <v>0.69</v>
      </c>
      <c r="E30421" t="s">
        <v>19</v>
      </c>
    </row>
    <row r="30422" spans="1:5" x14ac:dyDescent="0.25">
      <c r="A30422" t="str">
        <f>HYPERLINK("https://www.773grp.com/globalSearch/NCP1117LPST33T3G/page-1", "NCP1117LPST33T3G")</f>
        <v>NCP1117LPST33T3G</v>
      </c>
      <c r="B30422" s="3" t="str">
        <f>HYPERLINK("https://www.773grp.com/manufacturer/onsemi?pageNo=1268", "ON Semiconductor")</f>
        <v>ON Semiconductor</v>
      </c>
      <c r="C30422" s="6">
        <v>11620</v>
      </c>
      <c r="D30422" s="7">
        <v>0.69</v>
      </c>
      <c r="E30422" t="s">
        <v>19</v>
      </c>
    </row>
    <row r="30423" spans="1:5" x14ac:dyDescent="0.25">
      <c r="A30423" t="str">
        <f>HYPERLINK("https://www.773grp.com/globalSearch/NCP1117LPSTADT3G/page-1", "NCP1117LPSTADT3G")</f>
        <v>NCP1117LPSTADT3G</v>
      </c>
      <c r="B30423" s="3" t="str">
        <f>HYPERLINK("https://www.773grp.com/manufacturer/onsemi?pageNo=1269", "ON Semiconductor")</f>
        <v>ON Semiconductor</v>
      </c>
      <c r="C30423" s="6">
        <v>100000</v>
      </c>
      <c r="D30423" s="7">
        <v>0.69</v>
      </c>
      <c r="E30423" t="s">
        <v>25</v>
      </c>
    </row>
    <row r="30424" spans="1:5" x14ac:dyDescent="0.25">
      <c r="A30424" t="str">
        <f>HYPERLINK("https://www.773grp.com/globalSearch/NCP1579DR2G/page-1", "NCP1579DR2G")</f>
        <v>NCP1579DR2G</v>
      </c>
      <c r="B30424" s="3" t="str">
        <f>HYPERLINK("https://www.773grp.com/manufacturer/onsemi?pageNo=1270", "ON Semiconductor")</f>
        <v>ON Semiconductor</v>
      </c>
      <c r="C30424" s="6">
        <v>9500</v>
      </c>
      <c r="D30424" s="7">
        <v>0.69</v>
      </c>
      <c r="E30424" t="s">
        <v>7</v>
      </c>
    </row>
    <row r="30425" spans="1:5" x14ac:dyDescent="0.25">
      <c r="A30425" t="str">
        <f>HYPERLINK("https://www.773grp.com/globalSearch/NCP304HSQ18T1/page-1", "NCP304HSQ18T1")</f>
        <v>NCP304HSQ18T1</v>
      </c>
      <c r="B30425" s="3" t="str">
        <f>HYPERLINK("https://www.773grp.com/manufacturer/onsemi?pageNo=1271", "ON Semiconductor")</f>
        <v>ON Semiconductor</v>
      </c>
      <c r="C30425" s="6">
        <v>21000</v>
      </c>
      <c r="D30425" s="7">
        <v>0.69</v>
      </c>
      <c r="E30425" t="s">
        <v>30</v>
      </c>
    </row>
    <row r="30426" spans="1:5" x14ac:dyDescent="0.25">
      <c r="A30426" t="str">
        <f>HYPERLINK("https://www.773grp.com/globalSearch/NCP304HSQ22T1/page-1", "NCP304HSQ22T1")</f>
        <v>NCP304HSQ22T1</v>
      </c>
      <c r="B30426" s="3" t="str">
        <f>HYPERLINK("https://www.773grp.com/manufacturer/onsemi?pageNo=1272", "ON Semiconductor")</f>
        <v>ON Semiconductor</v>
      </c>
      <c r="C30426" s="6">
        <v>234000</v>
      </c>
      <c r="D30426" s="7">
        <v>0.69</v>
      </c>
      <c r="E30426" t="s">
        <v>30</v>
      </c>
    </row>
    <row r="30427" spans="1:5" x14ac:dyDescent="0.25">
      <c r="A30427" t="str">
        <f>HYPERLINK("https://www.773grp.com/globalSearch/NCP304HSQ29T1/page-1", "NCP304HSQ29T1")</f>
        <v>NCP304HSQ29T1</v>
      </c>
      <c r="B30427" s="3" t="str">
        <f>HYPERLINK("https://www.773grp.com/manufacturer/onsemi?pageNo=1273", "ON Semiconductor")</f>
        <v>ON Semiconductor</v>
      </c>
      <c r="C30427" s="6">
        <v>29450</v>
      </c>
      <c r="D30427" s="7">
        <v>0.69</v>
      </c>
      <c r="E30427" t="s">
        <v>30</v>
      </c>
    </row>
    <row r="30428" spans="1:5" x14ac:dyDescent="0.25">
      <c r="A30428" t="str">
        <f>HYPERLINK("https://www.773grp.com/globalSearch/NCP304HSQ45T1/page-1", "NCP304HSQ45T1")</f>
        <v>NCP304HSQ45T1</v>
      </c>
      <c r="B30428" s="3" t="str">
        <f>HYPERLINK("https://www.773grp.com/manufacturer/onsemi?pageNo=1274", "ON Semiconductor")</f>
        <v>ON Semiconductor</v>
      </c>
      <c r="C30428" s="6">
        <v>57000</v>
      </c>
      <c r="D30428" s="7">
        <v>0.69</v>
      </c>
      <c r="E30428" t="s">
        <v>30</v>
      </c>
    </row>
    <row r="30429" spans="1:5" x14ac:dyDescent="0.25">
      <c r="A30429" t="str">
        <f>HYPERLINK("https://www.773grp.com/globalSearch/NCP304HSQ47T1/page-1", "NCP304HSQ47T1")</f>
        <v>NCP304HSQ47T1</v>
      </c>
      <c r="B30429" s="3" t="str">
        <f>HYPERLINK("https://www.773grp.com/manufacturer/onsemi?pageNo=1275", "ON Semiconductor")</f>
        <v>ON Semiconductor</v>
      </c>
      <c r="C30429" s="6">
        <v>3000</v>
      </c>
      <c r="D30429" s="7">
        <v>0.69</v>
      </c>
      <c r="E30429" t="s">
        <v>30</v>
      </c>
    </row>
    <row r="30430" spans="1:5" x14ac:dyDescent="0.25">
      <c r="A30430" t="str">
        <f>HYPERLINK("https://www.773grp.com/globalSearch/NCP304LSQ09T1/page-1", "NCP304LSQ09T1")</f>
        <v>NCP304LSQ09T1</v>
      </c>
      <c r="B30430" s="3" t="str">
        <f>HYPERLINK("https://www.773grp.com/manufacturer/onsemi?pageNo=1276", "ON Semiconductor")</f>
        <v>ON Semiconductor</v>
      </c>
      <c r="C30430" s="6">
        <v>210000</v>
      </c>
      <c r="D30430" s="7">
        <v>0.69</v>
      </c>
      <c r="E30430" t="s">
        <v>30</v>
      </c>
    </row>
    <row r="30431" spans="1:5" x14ac:dyDescent="0.25">
      <c r="A30431" t="str">
        <f>HYPERLINK("https://www.773grp.com/globalSearch/NCP304LSQ18T1/page-1", "NCP304LSQ18T1")</f>
        <v>NCP304LSQ18T1</v>
      </c>
      <c r="B30431" s="3" t="str">
        <f>HYPERLINK("https://www.773grp.com/manufacturer/onsemi?pageNo=1277", "ON Semiconductor")</f>
        <v>ON Semiconductor</v>
      </c>
      <c r="C30431" s="6">
        <v>21000</v>
      </c>
      <c r="D30431" s="7">
        <v>0.69</v>
      </c>
      <c r="E30431" t="s">
        <v>30</v>
      </c>
    </row>
    <row r="30432" spans="1:5" x14ac:dyDescent="0.25">
      <c r="A30432" t="str">
        <f>HYPERLINK("https://www.773grp.com/globalSearch/NCP304LSQ20T1/page-1", "NCP304LSQ20T1")</f>
        <v>NCP304LSQ20T1</v>
      </c>
      <c r="B30432" s="3" t="str">
        <f>HYPERLINK("https://www.773grp.com/manufacturer/onsemi?pageNo=1278", "ON Semiconductor")</f>
        <v>ON Semiconductor</v>
      </c>
      <c r="C30432" s="6">
        <v>9000</v>
      </c>
      <c r="D30432" s="7">
        <v>0.69</v>
      </c>
      <c r="E30432" t="s">
        <v>30</v>
      </c>
    </row>
    <row r="30433" spans="1:5" x14ac:dyDescent="0.25">
      <c r="A30433" t="str">
        <f>HYPERLINK("https://www.773grp.com/globalSearch/NCP304LSQ23T1/page-1", "NCP304LSQ23T1")</f>
        <v>NCP304LSQ23T1</v>
      </c>
      <c r="B30433" s="3" t="str">
        <f>HYPERLINK("https://www.773grp.com/manufacturer/onsemi?pageNo=1279", "ON Semiconductor")</f>
        <v>ON Semiconductor</v>
      </c>
      <c r="C30433" s="6">
        <v>45856</v>
      </c>
      <c r="D30433" s="7">
        <v>0.69</v>
      </c>
      <c r="E30433" t="s">
        <v>30</v>
      </c>
    </row>
    <row r="30434" spans="1:5" x14ac:dyDescent="0.25">
      <c r="A30434" t="str">
        <f>HYPERLINK("https://www.773grp.com/globalSearch/NCP304LSQ25T1/page-1", "NCP304LSQ25T1")</f>
        <v>NCP304LSQ25T1</v>
      </c>
      <c r="B30434" s="3" t="str">
        <f>HYPERLINK("https://www.773grp.com/manufacturer/onsemi?pageNo=1280", "ON Semiconductor")</f>
        <v>ON Semiconductor</v>
      </c>
      <c r="C30434" s="6">
        <v>18272</v>
      </c>
      <c r="D30434" s="7">
        <v>0.69</v>
      </c>
      <c r="E30434" t="s">
        <v>30</v>
      </c>
    </row>
    <row r="30435" spans="1:5" x14ac:dyDescent="0.25">
      <c r="A30435" t="str">
        <f>HYPERLINK("https://www.773grp.com/globalSearch/NCP304LSQ29T1/page-1", "NCP304LSQ29T1")</f>
        <v>NCP304LSQ29T1</v>
      </c>
      <c r="B30435" s="3" t="str">
        <f>HYPERLINK("https://www.773grp.com/manufacturer/onsemi?pageNo=1281", "ON Semiconductor")</f>
        <v>ON Semiconductor</v>
      </c>
      <c r="C30435" s="6">
        <v>42408</v>
      </c>
      <c r="D30435" s="7">
        <v>0.69</v>
      </c>
      <c r="E30435" t="s">
        <v>30</v>
      </c>
    </row>
    <row r="30436" spans="1:5" x14ac:dyDescent="0.25">
      <c r="A30436" t="str">
        <f>HYPERLINK("https://www.773grp.com/globalSearch/NCP304LSQ33T1/page-1", "NCP304LSQ33T1")</f>
        <v>NCP304LSQ33T1</v>
      </c>
      <c r="B30436" s="3" t="str">
        <f>HYPERLINK("https://www.773grp.com/manufacturer/onsemi?pageNo=1282", "ON Semiconductor")</f>
        <v>ON Semiconductor</v>
      </c>
      <c r="C30436" s="6">
        <v>12000</v>
      </c>
      <c r="D30436" s="7">
        <v>0.69</v>
      </c>
      <c r="E30436" t="s">
        <v>30</v>
      </c>
    </row>
    <row r="30437" spans="1:5" x14ac:dyDescent="0.25">
      <c r="A30437" t="str">
        <f>HYPERLINK("https://www.773grp.com/globalSearch/NCP304LSQ37T1/page-1", "NCP304LSQ37T1")</f>
        <v>NCP304LSQ37T1</v>
      </c>
      <c r="B30437" s="3" t="str">
        <f>HYPERLINK("https://www.773grp.com/manufacturer/onsemi?pageNo=1283", "ON Semiconductor")</f>
        <v>ON Semiconductor</v>
      </c>
      <c r="C30437" s="6">
        <v>38361</v>
      </c>
      <c r="D30437" s="7">
        <v>0.69</v>
      </c>
      <c r="E30437" t="s">
        <v>30</v>
      </c>
    </row>
    <row r="30438" spans="1:5" x14ac:dyDescent="0.25">
      <c r="A30438" t="str">
        <f>HYPERLINK("https://www.773grp.com/globalSearch/NCP304LSQ38T1/page-1", "NCP304LSQ38T1")</f>
        <v>NCP304LSQ38T1</v>
      </c>
      <c r="B30438" s="3" t="str">
        <f>HYPERLINK("https://www.773grp.com/manufacturer/onsemi?pageNo=1284", "ON Semiconductor")</f>
        <v>ON Semiconductor</v>
      </c>
      <c r="C30438" s="6">
        <v>15000</v>
      </c>
      <c r="D30438" s="7">
        <v>0.69</v>
      </c>
      <c r="E30438" t="s">
        <v>30</v>
      </c>
    </row>
    <row r="30439" spans="1:5" x14ac:dyDescent="0.25">
      <c r="A30439" t="str">
        <f>HYPERLINK("https://www.773grp.com/globalSearch/NCP304LSQ42T1/page-1", "NCP304LSQ42T1")</f>
        <v>NCP304LSQ42T1</v>
      </c>
      <c r="B30439" s="3" t="str">
        <f>HYPERLINK("https://www.773grp.com/manufacturer/onsemi?pageNo=1285", "ON Semiconductor")</f>
        <v>ON Semiconductor</v>
      </c>
      <c r="C30439" s="6">
        <v>24000</v>
      </c>
      <c r="D30439" s="7">
        <v>0.69</v>
      </c>
      <c r="E30439" t="s">
        <v>30</v>
      </c>
    </row>
    <row r="30440" spans="1:5" x14ac:dyDescent="0.25">
      <c r="A30440" t="str">
        <f>HYPERLINK("https://www.773grp.com/globalSearch/NCP304LSQ43T1/page-1", "NCP304LSQ43T1")</f>
        <v>NCP304LSQ43T1</v>
      </c>
      <c r="B30440" s="3" t="str">
        <f>HYPERLINK("https://www.773grp.com/manufacturer/onsemi?pageNo=1286", "ON Semiconductor")</f>
        <v>ON Semiconductor</v>
      </c>
      <c r="C30440" s="6">
        <v>406509</v>
      </c>
      <c r="D30440" s="7">
        <v>0.69</v>
      </c>
      <c r="E30440" t="s">
        <v>30</v>
      </c>
    </row>
    <row r="30441" spans="1:5" x14ac:dyDescent="0.25">
      <c r="A30441" t="str">
        <f>HYPERLINK("https://www.773grp.com/globalSearch/NCP304LSQ46T1/page-1", "NCP304LSQ46T1")</f>
        <v>NCP304LSQ46T1</v>
      </c>
      <c r="B30441" s="3" t="str">
        <f>HYPERLINK("https://www.773grp.com/manufacturer/onsemi?pageNo=1287", "ON Semiconductor")</f>
        <v>ON Semiconductor</v>
      </c>
      <c r="C30441" s="6">
        <v>45603</v>
      </c>
      <c r="D30441" s="7">
        <v>0.69</v>
      </c>
      <c r="E30441" t="s">
        <v>30</v>
      </c>
    </row>
    <row r="30442" spans="1:5" x14ac:dyDescent="0.25">
      <c r="A30442" t="str">
        <f>HYPERLINK("https://www.773grp.com/globalSearch/NCP305LSQ11T1/page-1", "NCP305LSQ11T1")</f>
        <v>NCP305LSQ11T1</v>
      </c>
      <c r="B30442" s="3" t="str">
        <f>HYPERLINK("https://www.773grp.com/manufacturer/onsemi?pageNo=1288", "ON Semiconductor")</f>
        <v>ON Semiconductor</v>
      </c>
      <c r="C30442" s="6">
        <v>17950</v>
      </c>
      <c r="D30442" s="7">
        <v>0.69</v>
      </c>
      <c r="E30442" t="s">
        <v>30</v>
      </c>
    </row>
    <row r="30443" spans="1:5" x14ac:dyDescent="0.25">
      <c r="A30443" t="str">
        <f>HYPERLINK("https://www.773grp.com/globalSearch/NCP305LSQ15T1/page-1", "NCP305LSQ15T1")</f>
        <v>NCP305LSQ15T1</v>
      </c>
      <c r="B30443" s="3" t="str">
        <f>HYPERLINK("https://www.773grp.com/manufacturer/onsemi?pageNo=1289", "ON Semiconductor")</f>
        <v>ON Semiconductor</v>
      </c>
      <c r="C30443" s="6">
        <v>663802</v>
      </c>
      <c r="D30443" s="7">
        <v>0.69</v>
      </c>
      <c r="E30443" t="s">
        <v>30</v>
      </c>
    </row>
    <row r="30444" spans="1:5" x14ac:dyDescent="0.25">
      <c r="A30444" t="str">
        <f>HYPERLINK("https://www.773grp.com/globalSearch/NCP305LSQ16T1/page-1", "NCP305LSQ16T1")</f>
        <v>NCP305LSQ16T1</v>
      </c>
      <c r="B30444" s="3" t="str">
        <f>HYPERLINK("https://www.773grp.com/manufacturer/onsemi?pageNo=1290", "ON Semiconductor")</f>
        <v>ON Semiconductor</v>
      </c>
      <c r="C30444" s="6">
        <v>6000</v>
      </c>
      <c r="D30444" s="7">
        <v>0.69</v>
      </c>
      <c r="E30444" t="s">
        <v>30</v>
      </c>
    </row>
    <row r="30445" spans="1:5" x14ac:dyDescent="0.25">
      <c r="A30445" t="str">
        <f>HYPERLINK("https://www.773grp.com/globalSearch/NCP305LSQ17T1/page-1", "NCP305LSQ17T1")</f>
        <v>NCP305LSQ17T1</v>
      </c>
      <c r="B30445" s="3" t="str">
        <f>HYPERLINK("https://www.773grp.com/manufacturer/onsemi?pageNo=1291", "ON Semiconductor")</f>
        <v>ON Semiconductor</v>
      </c>
      <c r="C30445" s="6">
        <v>3850</v>
      </c>
      <c r="D30445" s="7">
        <v>0.69</v>
      </c>
      <c r="E30445" t="s">
        <v>30</v>
      </c>
    </row>
    <row r="30446" spans="1:5" x14ac:dyDescent="0.25">
      <c r="A30446" t="str">
        <f>HYPERLINK("https://www.773grp.com/globalSearch/NCP305LSQ25T1/page-1", "NCP305LSQ25T1")</f>
        <v>NCP305LSQ25T1</v>
      </c>
      <c r="B30446" s="3" t="str">
        <f>HYPERLINK("https://www.773grp.com/manufacturer/onsemi?pageNo=1292", "ON Semiconductor")</f>
        <v>ON Semiconductor</v>
      </c>
      <c r="C30446" s="6">
        <v>196300</v>
      </c>
      <c r="D30446" s="7">
        <v>0.69</v>
      </c>
      <c r="E30446" t="s">
        <v>30</v>
      </c>
    </row>
    <row r="30447" spans="1:5" x14ac:dyDescent="0.25">
      <c r="A30447" t="str">
        <f>HYPERLINK("https://www.773grp.com/globalSearch/NCP305LSQ26T1/page-1", "NCP305LSQ26T1")</f>
        <v>NCP305LSQ26T1</v>
      </c>
      <c r="B30447" s="3" t="str">
        <f>HYPERLINK("https://www.773grp.com/manufacturer/onsemi?pageNo=1293", "ON Semiconductor")</f>
        <v>ON Semiconductor</v>
      </c>
      <c r="C30447" s="6">
        <v>24355</v>
      </c>
      <c r="D30447" s="7">
        <v>0.69</v>
      </c>
      <c r="E30447" t="s">
        <v>30</v>
      </c>
    </row>
    <row r="30448" spans="1:5" x14ac:dyDescent="0.25">
      <c r="A30448" t="str">
        <f>HYPERLINK("https://www.773grp.com/globalSearch/NCP305LSQ29T1/page-1", "NCP305LSQ29T1")</f>
        <v>NCP305LSQ29T1</v>
      </c>
      <c r="B30448" s="3" t="str">
        <f>HYPERLINK("https://www.773grp.com/manufacturer/onsemi?pageNo=1294", "ON Semiconductor")</f>
        <v>ON Semiconductor</v>
      </c>
      <c r="C30448" s="6">
        <v>18000</v>
      </c>
      <c r="D30448" s="7">
        <v>0.69</v>
      </c>
      <c r="E30448" t="s">
        <v>30</v>
      </c>
    </row>
    <row r="30449" spans="1:5" x14ac:dyDescent="0.25">
      <c r="A30449" t="str">
        <f>HYPERLINK("https://www.773grp.com/globalSearch/NCP305LSQ30T1/page-1", "NCP305LSQ30T1")</f>
        <v>NCP305LSQ30T1</v>
      </c>
      <c r="B30449" s="3" t="str">
        <f>HYPERLINK("https://www.773grp.com/manufacturer/onsemi?pageNo=1295", "ON Semiconductor")</f>
        <v>ON Semiconductor</v>
      </c>
      <c r="C30449" s="6">
        <v>96000</v>
      </c>
      <c r="D30449" s="7">
        <v>0.69</v>
      </c>
      <c r="E30449" t="s">
        <v>30</v>
      </c>
    </row>
    <row r="30450" spans="1:5" x14ac:dyDescent="0.25">
      <c r="A30450" t="str">
        <f>HYPERLINK("https://www.773grp.com/globalSearch/NCP305LSQ31T1/page-1", "NCP305LSQ31T1")</f>
        <v>NCP305LSQ31T1</v>
      </c>
      <c r="B30450" s="3" t="str">
        <f>HYPERLINK("https://www.773grp.com/manufacturer/onsemi?pageNo=1296", "ON Semiconductor")</f>
        <v>ON Semiconductor</v>
      </c>
      <c r="C30450" s="6">
        <v>22675</v>
      </c>
      <c r="D30450" s="7">
        <v>0.69</v>
      </c>
      <c r="E30450" t="s">
        <v>30</v>
      </c>
    </row>
    <row r="30451" spans="1:5" x14ac:dyDescent="0.25">
      <c r="A30451" t="str">
        <f>HYPERLINK("https://www.773grp.com/globalSearch/NCP305LSQ32T1/page-1", "NCP305LSQ32T1")</f>
        <v>NCP305LSQ32T1</v>
      </c>
      <c r="B30451" s="3" t="str">
        <f>HYPERLINK("https://www.773grp.com/manufacturer/onsemi?pageNo=1297", "ON Semiconductor")</f>
        <v>ON Semiconductor</v>
      </c>
      <c r="C30451" s="6">
        <v>18000</v>
      </c>
      <c r="D30451" s="7">
        <v>0.69</v>
      </c>
      <c r="E30451" t="s">
        <v>30</v>
      </c>
    </row>
    <row r="30452" spans="1:5" x14ac:dyDescent="0.25">
      <c r="A30452" t="str">
        <f>HYPERLINK("https://www.773grp.com/globalSearch/NCP305LSQ33T1/page-1", "NCP305LSQ33T1")</f>
        <v>NCP305LSQ33T1</v>
      </c>
      <c r="B30452" s="3" t="str">
        <f>HYPERLINK("https://www.773grp.com/manufacturer/onsemi?pageNo=1298", "ON Semiconductor")</f>
        <v>ON Semiconductor</v>
      </c>
      <c r="C30452" s="6">
        <v>6000</v>
      </c>
      <c r="D30452" s="7">
        <v>0.69</v>
      </c>
      <c r="E30452" t="s">
        <v>30</v>
      </c>
    </row>
    <row r="30453" spans="1:5" x14ac:dyDescent="0.25">
      <c r="A30453" t="str">
        <f>HYPERLINK("https://www.773grp.com/globalSearch/NCP305LSQ35T1/page-1", "NCP305LSQ35T1")</f>
        <v>NCP305LSQ35T1</v>
      </c>
      <c r="B30453" s="3" t="str">
        <f>HYPERLINK("https://www.773grp.com/manufacturer/onsemi?pageNo=1299", "ON Semiconductor")</f>
        <v>ON Semiconductor</v>
      </c>
      <c r="C30453" s="6">
        <v>43858</v>
      </c>
      <c r="D30453" s="7">
        <v>0.69</v>
      </c>
      <c r="E30453" t="s">
        <v>30</v>
      </c>
    </row>
    <row r="30454" spans="1:5" x14ac:dyDescent="0.25">
      <c r="A30454" t="str">
        <f>HYPERLINK("https://www.773grp.com/globalSearch/NCP305LSQ36T1/page-1", "NCP305LSQ36T1")</f>
        <v>NCP305LSQ36T1</v>
      </c>
      <c r="B30454" s="3" t="str">
        <f>HYPERLINK("https://www.773grp.com/manufacturer/onsemi?pageNo=1300", "ON Semiconductor")</f>
        <v>ON Semiconductor</v>
      </c>
      <c r="C30454" s="6">
        <v>25013</v>
      </c>
      <c r="D30454" s="7">
        <v>0.69</v>
      </c>
      <c r="E30454" t="s">
        <v>30</v>
      </c>
    </row>
    <row r="30455" spans="1:5" x14ac:dyDescent="0.25">
      <c r="A30455" t="str">
        <f>HYPERLINK("https://www.773grp.com/globalSearch/NCP305LSQ37T1/page-1", "NCP305LSQ37T1")</f>
        <v>NCP305LSQ37T1</v>
      </c>
      <c r="B30455" s="3" t="str">
        <f>HYPERLINK("https://www.773grp.com/manufacturer/onsemi?pageNo=1301", "ON Semiconductor")</f>
        <v>ON Semiconductor</v>
      </c>
      <c r="C30455" s="6">
        <v>22815</v>
      </c>
      <c r="D30455" s="7">
        <v>0.69</v>
      </c>
      <c r="E30455" t="s">
        <v>30</v>
      </c>
    </row>
    <row r="30456" spans="1:5" x14ac:dyDescent="0.25">
      <c r="A30456" t="str">
        <f>HYPERLINK("https://www.773grp.com/globalSearch/NCP305LSQ40T1/page-1", "NCP305LSQ40T1")</f>
        <v>NCP305LSQ40T1</v>
      </c>
      <c r="B30456" s="3" t="str">
        <f>HYPERLINK("https://www.773grp.com/manufacturer/onsemi?pageNo=1302", "ON Semiconductor")</f>
        <v>ON Semiconductor</v>
      </c>
      <c r="C30456" s="6">
        <v>39000</v>
      </c>
      <c r="D30456" s="7">
        <v>0.69</v>
      </c>
      <c r="E30456" t="s">
        <v>30</v>
      </c>
    </row>
    <row r="30457" spans="1:5" x14ac:dyDescent="0.25">
      <c r="A30457" t="str">
        <f>HYPERLINK("https://www.773grp.com/globalSearch/NCP305LSQ44T1/page-1", "NCP305LSQ44T1")</f>
        <v>NCP305LSQ44T1</v>
      </c>
      <c r="B30457" s="3" t="str">
        <f>HYPERLINK("https://www.773grp.com/manufacturer/onsemi?pageNo=1303", "ON Semiconductor")</f>
        <v>ON Semiconductor</v>
      </c>
      <c r="C30457" s="6">
        <v>58950</v>
      </c>
      <c r="D30457" s="7">
        <v>0.69</v>
      </c>
      <c r="E30457" t="s">
        <v>30</v>
      </c>
    </row>
    <row r="30458" spans="1:5" x14ac:dyDescent="0.25">
      <c r="A30458" t="str">
        <f>HYPERLINK("https://www.773grp.com/globalSearch/NCP305LSQ45T1/page-1", "NCP305LSQ45T1")</f>
        <v>NCP305LSQ45T1</v>
      </c>
      <c r="B30458" s="3" t="str">
        <f>HYPERLINK("https://www.773grp.com/manufacturer/onsemi?pageNo=1304", "ON Semiconductor")</f>
        <v>ON Semiconductor</v>
      </c>
      <c r="C30458" s="6">
        <v>3010</v>
      </c>
      <c r="D30458" s="7">
        <v>0.69</v>
      </c>
      <c r="E30458" t="s">
        <v>30</v>
      </c>
    </row>
    <row r="30459" spans="1:5" x14ac:dyDescent="0.25">
      <c r="A30459" t="str">
        <f>HYPERLINK("https://www.773grp.com/globalSearch/NCP305LSQ47T1/page-1", "NCP305LSQ47T1")</f>
        <v>NCP305LSQ47T1</v>
      </c>
      <c r="B30459" s="3" t="str">
        <f>HYPERLINK("https://www.773grp.com/manufacturer/onsemi?pageNo=1305", "ON Semiconductor")</f>
        <v>ON Semiconductor</v>
      </c>
      <c r="C30459" s="6">
        <v>6000</v>
      </c>
      <c r="D30459" s="7">
        <v>0.69</v>
      </c>
      <c r="E30459" t="s">
        <v>30</v>
      </c>
    </row>
    <row r="30460" spans="1:5" x14ac:dyDescent="0.25">
      <c r="A30460" t="str">
        <f>HYPERLINK("https://www.773grp.com/globalSearch/NCP305LSQ49T1/page-1", "NCP305LSQ49T1")</f>
        <v>NCP305LSQ49T1</v>
      </c>
      <c r="B30460" s="3" t="str">
        <f>HYPERLINK("https://www.773grp.com/manufacturer/onsemi?pageNo=1306", "ON Semiconductor")</f>
        <v>ON Semiconductor</v>
      </c>
      <c r="C30460" s="6">
        <v>3000</v>
      </c>
      <c r="D30460" s="7">
        <v>0.69</v>
      </c>
      <c r="E30460" t="s">
        <v>30</v>
      </c>
    </row>
    <row r="30461" spans="1:5" x14ac:dyDescent="0.25">
      <c r="A30461" t="str">
        <f>HYPERLINK("https://www.773grp.com/globalSearch/NCP802SAN1T1G/page-1", "NCP802SAN1T1G")</f>
        <v>NCP802SAN1T1G</v>
      </c>
      <c r="B30461" s="3" t="str">
        <f>HYPERLINK("https://www.773grp.com/manufacturer/onsemi?pageNo=1307", "ON Semiconductor")</f>
        <v>ON Semiconductor</v>
      </c>
      <c r="C30461" s="6">
        <v>12961</v>
      </c>
      <c r="D30461" s="7">
        <v>0.69</v>
      </c>
      <c r="E30461" t="s">
        <v>30</v>
      </c>
    </row>
    <row r="30462" spans="1:5" x14ac:dyDescent="0.25">
      <c r="A30462" t="str">
        <f>HYPERLINK("https://www.773grp.com/globalSearch/NCP802SAN5T1/page-1", "NCP802SAN5T1")</f>
        <v>NCP802SAN5T1</v>
      </c>
      <c r="B30462" s="3" t="str">
        <f>HYPERLINK("https://www.773grp.com/manufacturer/onsemi?pageNo=1308", "ON Semiconductor")</f>
        <v>ON Semiconductor</v>
      </c>
      <c r="C30462" s="6">
        <v>45000</v>
      </c>
      <c r="D30462" s="7">
        <v>0.69</v>
      </c>
      <c r="E30462" t="s">
        <v>30</v>
      </c>
    </row>
    <row r="30463" spans="1:5" x14ac:dyDescent="0.25">
      <c r="A30463" t="str">
        <f>HYPERLINK("https://www.773grp.com/globalSearch/NCP803SN293D2T1G/page-1", "NCP803SN293D2T1G")</f>
        <v>NCP803SN293D2T1G</v>
      </c>
      <c r="B30463" s="3" t="str">
        <f>HYPERLINK("https://www.773grp.com/manufacturer/onsemi?pageNo=1309", "ON Semiconductor")</f>
        <v>ON Semiconductor</v>
      </c>
      <c r="C30463" s="6">
        <v>118000</v>
      </c>
      <c r="D30463" s="7">
        <v>0.69</v>
      </c>
      <c r="E30463" t="s">
        <v>30</v>
      </c>
    </row>
    <row r="30464" spans="1:5" x14ac:dyDescent="0.25">
      <c r="A30464" t="str">
        <f>HYPERLINK("https://www.773grp.com/globalSearch/NCP803SN400T1G/page-1", "NCP803SN400T1G")</f>
        <v>NCP803SN400T1G</v>
      </c>
      <c r="B30464" s="3" t="str">
        <f>HYPERLINK("https://www.773grp.com/manufacturer/onsemi?pageNo=1310", "ON Semiconductor")</f>
        <v>ON Semiconductor</v>
      </c>
      <c r="C30464" s="6">
        <v>11350</v>
      </c>
      <c r="D30464" s="7">
        <v>0.69</v>
      </c>
      <c r="E30464" t="s">
        <v>30</v>
      </c>
    </row>
    <row r="30465" spans="1:5" x14ac:dyDescent="0.25">
      <c r="A30465" t="str">
        <f>HYPERLINK("https://www.773grp.com/globalSearch/NCS2553DG/page-1", "NCS2553DG")</f>
        <v>NCS2553DG</v>
      </c>
      <c r="B30465" s="3" t="str">
        <f>HYPERLINK("https://www.773grp.com/manufacturer/onsemi?pageNo=1311", "ON Semiconductor")</f>
        <v>ON Semiconductor</v>
      </c>
      <c r="C30465" s="6">
        <v>6272</v>
      </c>
      <c r="D30465" s="7">
        <v>0.69</v>
      </c>
      <c r="E30465" t="s">
        <v>18</v>
      </c>
    </row>
    <row r="30466" spans="1:5" x14ac:dyDescent="0.25">
      <c r="A30466" t="str">
        <f>HYPERLINK("https://www.773grp.com/globalSearch/NCS2553DR2G/page-1", "NCS2553DR2G")</f>
        <v>NCS2553DR2G</v>
      </c>
      <c r="B30466" s="3" t="str">
        <f>HYPERLINK("https://www.773grp.com/manufacturer/onsemi?pageNo=1312", "ON Semiconductor")</f>
        <v>ON Semiconductor</v>
      </c>
      <c r="C30466" s="6">
        <v>49461</v>
      </c>
      <c r="D30466" s="7">
        <v>0.69</v>
      </c>
      <c r="E30466" t="s">
        <v>18</v>
      </c>
    </row>
    <row r="30467" spans="1:5" x14ac:dyDescent="0.25">
      <c r="A30467" t="str">
        <f>HYPERLINK("https://www.773grp.com/globalSearch/NCV553SQ50T1/page-1", "NCV553SQ50T1")</f>
        <v>NCV553SQ50T1</v>
      </c>
      <c r="B30467" s="3" t="str">
        <f>HYPERLINK("https://www.773grp.com/manufacturer/onsemi?pageNo=1313", "ON Semiconductor")</f>
        <v>ON Semiconductor</v>
      </c>
      <c r="C30467" s="6">
        <v>9000</v>
      </c>
      <c r="D30467" s="7">
        <v>0.69</v>
      </c>
      <c r="E30467" t="s">
        <v>19</v>
      </c>
    </row>
    <row r="30468" spans="1:5" x14ac:dyDescent="0.25">
      <c r="A30468" t="str">
        <f>HYPERLINK("https://www.773grp.com/globalSearch/NIS1050MNTBG/page-1", "NIS1050MNTBG")</f>
        <v>NIS1050MNTBG</v>
      </c>
      <c r="B30468" s="3" t="str">
        <f>HYPERLINK("https://www.773grp.com/manufacturer/onsemi?pageNo=1314", "ON Semiconductor")</f>
        <v>ON Semiconductor</v>
      </c>
      <c r="C30468" s="6">
        <v>162000</v>
      </c>
      <c r="D30468" s="7">
        <v>0.69</v>
      </c>
      <c r="E30468" t="s">
        <v>30</v>
      </c>
    </row>
    <row r="30469" spans="1:5" x14ac:dyDescent="0.25">
      <c r="A30469" t="str">
        <f>HYPERLINK("https://www.773grp.com/globalSearch/NLU1G04MUTCG/page-1", "NLU1G04MUTCG")</f>
        <v>NLU1G04MUTCG</v>
      </c>
      <c r="B30469" s="3" t="str">
        <f>HYPERLINK("https://www.773grp.com/manufacturer/onsemi?pageNo=1315", "ON Semiconductor")</f>
        <v>ON Semiconductor</v>
      </c>
      <c r="C30469" s="6">
        <v>102000</v>
      </c>
      <c r="D30469" s="7">
        <v>0.69</v>
      </c>
      <c r="E30469" t="s">
        <v>31</v>
      </c>
    </row>
    <row r="30470" spans="1:5" x14ac:dyDescent="0.25">
      <c r="A30470" t="str">
        <f>HYPERLINK("https://www.773grp.com/globalSearch/NLU1G07MUTCG/page-1", "NLU1G07MUTCG")</f>
        <v>NLU1G07MUTCG</v>
      </c>
      <c r="B30470" s="3" t="str">
        <f>HYPERLINK("https://www.773grp.com/manufacturer/onsemi?pageNo=1316", "ON Semiconductor")</f>
        <v>ON Semiconductor</v>
      </c>
      <c r="C30470" s="6">
        <v>45000</v>
      </c>
      <c r="D30470" s="7">
        <v>0.69</v>
      </c>
      <c r="E30470" t="s">
        <v>31</v>
      </c>
    </row>
    <row r="30471" spans="1:5" x14ac:dyDescent="0.25">
      <c r="A30471" t="str">
        <f>HYPERLINK("https://www.773grp.com/globalSearch/NLU1G08MUTCG/page-1", "NLU1G08MUTCG")</f>
        <v>NLU1G08MUTCG</v>
      </c>
      <c r="B30471" s="3" t="str">
        <f>HYPERLINK("https://www.773grp.com/manufacturer/onsemi?pageNo=1317", "ON Semiconductor")</f>
        <v>ON Semiconductor</v>
      </c>
      <c r="C30471" s="6">
        <v>21000</v>
      </c>
      <c r="D30471" s="7">
        <v>0.69</v>
      </c>
      <c r="E30471" t="s">
        <v>31</v>
      </c>
    </row>
    <row r="30472" spans="1:5" x14ac:dyDescent="0.25">
      <c r="A30472" t="str">
        <f>HYPERLINK("https://www.773grp.com/globalSearch/NLU1G14MUTCG/page-1", "NLU1G14MUTCG")</f>
        <v>NLU1G14MUTCG</v>
      </c>
      <c r="B30472" s="3" t="str">
        <f>HYPERLINK("https://www.773grp.com/manufacturer/onsemi?pageNo=1318", "ON Semiconductor")</f>
        <v>ON Semiconductor</v>
      </c>
      <c r="C30472" s="6">
        <v>52053</v>
      </c>
      <c r="D30472" s="7">
        <v>0.69</v>
      </c>
      <c r="E30472" t="s">
        <v>31</v>
      </c>
    </row>
    <row r="30473" spans="1:5" x14ac:dyDescent="0.25">
      <c r="A30473" t="str">
        <f>HYPERLINK("https://www.773grp.com/globalSearch/NLU1G32MUTCG/page-1", "NLU1G32MUTCG")</f>
        <v>NLU1G32MUTCG</v>
      </c>
      <c r="B30473" s="3" t="str">
        <f>HYPERLINK("https://www.773grp.com/manufacturer/onsemi?pageNo=1319", "ON Semiconductor")</f>
        <v>ON Semiconductor</v>
      </c>
      <c r="C30473" s="6">
        <v>92853</v>
      </c>
      <c r="D30473" s="7">
        <v>0.69</v>
      </c>
      <c r="E30473" t="s">
        <v>31</v>
      </c>
    </row>
    <row r="30474" spans="1:5" x14ac:dyDescent="0.25">
      <c r="A30474" t="str">
        <f>HYPERLINK("https://www.773grp.com/globalSearch/NLU1G86MUTCG/page-1", "NLU1G86MUTCG")</f>
        <v>NLU1G86MUTCG</v>
      </c>
      <c r="B30474" s="3" t="str">
        <f>HYPERLINK("https://www.773grp.com/manufacturer/onsemi?pageNo=1320", "ON Semiconductor")</f>
        <v>ON Semiconductor</v>
      </c>
      <c r="C30474" s="6">
        <v>82177</v>
      </c>
      <c r="D30474" s="7">
        <v>0.69</v>
      </c>
      <c r="E30474" t="s">
        <v>31</v>
      </c>
    </row>
    <row r="30475" spans="1:5" x14ac:dyDescent="0.25">
      <c r="A30475" t="str">
        <f>HYPERLINK("https://www.773grp.com/globalSearch/NLU1GT04MUTCG/page-1", "NLU1GT04MUTCG")</f>
        <v>NLU1GT04MUTCG</v>
      </c>
      <c r="B30475" s="3" t="str">
        <f>HYPERLINK("https://www.773grp.com/manufacturer/onsemi?pageNo=1321", "ON Semiconductor")</f>
        <v>ON Semiconductor</v>
      </c>
      <c r="C30475" s="6">
        <v>66000</v>
      </c>
      <c r="D30475" s="7">
        <v>0.69</v>
      </c>
      <c r="E30475" t="s">
        <v>31</v>
      </c>
    </row>
    <row r="30476" spans="1:5" x14ac:dyDescent="0.25">
      <c r="A30476" t="str">
        <f>HYPERLINK("https://www.773grp.com/globalSearch/NLU1GT126MUTCG/page-1", "NLU1GT126MUTCG")</f>
        <v>NLU1GT126MUTCG</v>
      </c>
      <c r="B30476" s="3" t="str">
        <f>HYPERLINK("https://www.773grp.com/manufacturer/onsemi?pageNo=1322", "ON Semiconductor")</f>
        <v>ON Semiconductor</v>
      </c>
      <c r="C30476" s="6">
        <v>52000</v>
      </c>
      <c r="D30476" s="7">
        <v>0.69</v>
      </c>
      <c r="E30476" t="s">
        <v>31</v>
      </c>
    </row>
    <row r="30477" spans="1:5" x14ac:dyDescent="0.25">
      <c r="A30477" t="str">
        <f>HYPERLINK("https://www.773grp.com/globalSearch/NLU1GT14MUTCG/page-1", "NLU1GT14MUTCG")</f>
        <v>NLU1GT14MUTCG</v>
      </c>
      <c r="B30477" s="3" t="str">
        <f>HYPERLINK("https://www.773grp.com/manufacturer/onsemi?pageNo=1323", "ON Semiconductor")</f>
        <v>ON Semiconductor</v>
      </c>
      <c r="C30477" s="6">
        <v>92957</v>
      </c>
      <c r="D30477" s="7">
        <v>0.69</v>
      </c>
      <c r="E30477" t="s">
        <v>31</v>
      </c>
    </row>
    <row r="30478" spans="1:5" x14ac:dyDescent="0.25">
      <c r="A30478" t="str">
        <f>HYPERLINK("https://www.773grp.com/globalSearch/NLU1GT32MUTCG/page-1", "NLU1GT32MUTCG")</f>
        <v>NLU1GT32MUTCG</v>
      </c>
      <c r="B30478" s="3" t="str">
        <f>HYPERLINK("https://www.773grp.com/manufacturer/onsemi?pageNo=1324", "ON Semiconductor")</f>
        <v>ON Semiconductor</v>
      </c>
      <c r="C30478" s="6">
        <v>207000</v>
      </c>
      <c r="D30478" s="7">
        <v>0.69</v>
      </c>
      <c r="E30478" t="s">
        <v>31</v>
      </c>
    </row>
    <row r="30479" spans="1:5" x14ac:dyDescent="0.25">
      <c r="A30479" t="str">
        <f>HYPERLINK("https://www.773grp.com/globalSearch/NLU1GT50MUTCG/page-1", "NLU1GT50MUTCG")</f>
        <v>NLU1GT50MUTCG</v>
      </c>
      <c r="B30479" s="3" t="str">
        <f>HYPERLINK("https://www.773grp.com/manufacturer/onsemi?pageNo=1325", "ON Semiconductor")</f>
        <v>ON Semiconductor</v>
      </c>
      <c r="C30479" s="6">
        <v>147000</v>
      </c>
      <c r="D30479" s="7">
        <v>0.69</v>
      </c>
      <c r="E30479" t="s">
        <v>31</v>
      </c>
    </row>
    <row r="30480" spans="1:5" x14ac:dyDescent="0.25">
      <c r="A30480" t="str">
        <f>HYPERLINK("https://www.773grp.com/globalSearch/NLU1GT86MUTCG/page-1", "NLU1GT86MUTCG")</f>
        <v>NLU1GT86MUTCG</v>
      </c>
      <c r="B30480" s="3" t="str">
        <f>HYPERLINK("https://www.773grp.com/manufacturer/onsemi?pageNo=1326", "ON Semiconductor")</f>
        <v>ON Semiconductor</v>
      </c>
      <c r="C30480" s="6">
        <v>38750</v>
      </c>
      <c r="D30480" s="7">
        <v>0.69</v>
      </c>
      <c r="E30480" t="s">
        <v>31</v>
      </c>
    </row>
    <row r="30481" spans="1:5" x14ac:dyDescent="0.25">
      <c r="A30481" t="str">
        <f>HYPERLINK("https://www.773grp.com/globalSearch/NLU1GU04MUTCG/page-1", "NLU1GU04MUTCG")</f>
        <v>NLU1GU04MUTCG</v>
      </c>
      <c r="B30481" s="3" t="str">
        <f>HYPERLINK("https://www.773grp.com/manufacturer/onsemi?pageNo=1327", "ON Semiconductor")</f>
        <v>ON Semiconductor</v>
      </c>
      <c r="C30481" s="6">
        <v>142758</v>
      </c>
      <c r="D30481" s="7">
        <v>0.69</v>
      </c>
      <c r="E30481" t="s">
        <v>31</v>
      </c>
    </row>
    <row r="30482" spans="1:5" x14ac:dyDescent="0.25">
      <c r="A30482" t="str">
        <f>HYPERLINK("https://www.773grp.com/globalSearch/NLV14069UBDR2/page-1", "NLV14069UBDR2")</f>
        <v>NLV14069UBDR2</v>
      </c>
      <c r="B30482" s="3" t="str">
        <f>HYPERLINK("https://www.773grp.com/manufacturer/onsemi?pageNo=1328", "ON Semiconductor")</f>
        <v>ON Semiconductor</v>
      </c>
      <c r="C30482" s="6">
        <v>10148</v>
      </c>
      <c r="D30482" s="7">
        <v>0.69</v>
      </c>
    </row>
    <row r="30483" spans="1:5" x14ac:dyDescent="0.25">
      <c r="A30483" t="str">
        <f>HYPERLINK("https://www.773grp.com/globalSearch/NLV74HC02ADTR2G/page-1", "NLV74HC02ADTR2G")</f>
        <v>NLV74HC02ADTR2G</v>
      </c>
      <c r="B30483" s="3" t="str">
        <f>HYPERLINK("https://www.773grp.com/manufacturer/onsemi?pageNo=1329", "ON Semiconductor")</f>
        <v>ON Semiconductor</v>
      </c>
      <c r="C30483" s="6">
        <v>3248</v>
      </c>
      <c r="D30483" s="7">
        <v>0.69</v>
      </c>
    </row>
    <row r="30484" spans="1:5" x14ac:dyDescent="0.25">
      <c r="A30484" t="str">
        <f>HYPERLINK("https://www.773grp.com/globalSearch/NLV74HC32ADTR2G/page-1", "NLV74HC32ADTR2G")</f>
        <v>NLV74HC32ADTR2G</v>
      </c>
      <c r="B30484" s="3" t="str">
        <f>HYPERLINK("https://www.773grp.com/manufacturer/onsemi?pageNo=1330", "ON Semiconductor")</f>
        <v>ON Semiconductor</v>
      </c>
      <c r="C30484" s="6">
        <v>52500</v>
      </c>
      <c r="D30484" s="7">
        <v>0.69</v>
      </c>
    </row>
    <row r="30485" spans="1:5" x14ac:dyDescent="0.25">
      <c r="A30485" t="str">
        <f>HYPERLINK("https://www.773grp.com/globalSearch/NRVBS2040LT3G/page-1", "NRVBS2040LT3G")</f>
        <v>NRVBS2040LT3G</v>
      </c>
      <c r="B30485" s="3" t="str">
        <f>HYPERLINK("https://www.773grp.com/manufacturer/onsemi?pageNo=1331", "ON Semiconductor")</f>
        <v>ON Semiconductor</v>
      </c>
      <c r="C30485" s="6">
        <v>2500</v>
      </c>
      <c r="D30485" s="7">
        <v>0.69</v>
      </c>
    </row>
    <row r="30486" spans="1:5" x14ac:dyDescent="0.25">
      <c r="A30486" t="str">
        <f>HYPERLINK("https://www.773grp.com/globalSearch/NRVBS240LT3G/page-1", "NRVBS240LT3G")</f>
        <v>NRVBS240LT3G</v>
      </c>
      <c r="B30486" s="3" t="str">
        <f>HYPERLINK("https://www.773grp.com/manufacturer/onsemi?pageNo=1332", "ON Semiconductor")</f>
        <v>ON Semiconductor</v>
      </c>
      <c r="C30486" s="6">
        <v>2500</v>
      </c>
      <c r="D30486" s="7">
        <v>0.69</v>
      </c>
    </row>
    <row r="30487" spans="1:5" x14ac:dyDescent="0.25">
      <c r="A30487" t="str">
        <f>HYPERLINK("https://www.773grp.com/globalSearch/NSI45025AZT1G/page-1", "NSI45025AZT1G")</f>
        <v>NSI45025AZT1G</v>
      </c>
      <c r="B30487" s="3" t="str">
        <f>HYPERLINK("https://www.773grp.com/manufacturer/onsemi?pageNo=1333", "ON Semiconductor")</f>
        <v>ON Semiconductor</v>
      </c>
      <c r="C30487" s="6">
        <v>108242</v>
      </c>
      <c r="D30487" s="7">
        <v>0.69</v>
      </c>
      <c r="E30487" t="s">
        <v>10</v>
      </c>
    </row>
    <row r="30488" spans="1:5" x14ac:dyDescent="0.25">
      <c r="A30488" t="str">
        <f>HYPERLINK("https://www.773grp.com/globalSearch/NSS1C200MZ4T1G/page-1", "NSS1C200MZ4T1G")</f>
        <v>NSS1C200MZ4T1G</v>
      </c>
      <c r="B30488" s="3" t="str">
        <f>HYPERLINK("https://www.773grp.com/manufacturer/onsemi?pageNo=1334", "ON Semiconductor")</f>
        <v>ON Semiconductor</v>
      </c>
      <c r="C30488" s="6">
        <v>25090</v>
      </c>
      <c r="D30488" s="7">
        <v>0.69</v>
      </c>
    </row>
    <row r="30489" spans="1:5" x14ac:dyDescent="0.25">
      <c r="A30489" t="str">
        <f>HYPERLINK("https://www.773grp.com/globalSearch/NSS1C200MZ4T3G/page-1", "NSS1C200MZ4T3G")</f>
        <v>NSS1C200MZ4T3G</v>
      </c>
      <c r="B30489" s="3" t="str">
        <f>HYPERLINK("https://www.773grp.com/manufacturer/onsemi?pageNo=1335", "ON Semiconductor")</f>
        <v>ON Semiconductor</v>
      </c>
      <c r="C30489" s="6">
        <v>28500</v>
      </c>
      <c r="D30489" s="7">
        <v>0.69</v>
      </c>
    </row>
    <row r="30490" spans="1:5" x14ac:dyDescent="0.25">
      <c r="A30490" t="str">
        <f>HYPERLINK("https://www.773grp.com/globalSearch/NSS60600MZ4T3G/page-1", "NSS60600MZ4T3G")</f>
        <v>NSS60600MZ4T3G</v>
      </c>
      <c r="B30490" s="3" t="str">
        <f>HYPERLINK("https://www.773grp.com/manufacturer/onsemi?pageNo=1336", "ON Semiconductor")</f>
        <v>ON Semiconductor</v>
      </c>
      <c r="C30490" s="6">
        <v>84150</v>
      </c>
      <c r="D30490" s="7">
        <v>0.69</v>
      </c>
      <c r="E30490" t="s">
        <v>69</v>
      </c>
    </row>
    <row r="30491" spans="1:5" x14ac:dyDescent="0.25">
      <c r="A30491" t="str">
        <f>HYPERLINK("https://www.773grp.com/globalSearch/NSS60601MZ4T1G/page-1", "NSS60601MZ4T1G")</f>
        <v>NSS60601MZ4T1G</v>
      </c>
      <c r="B30491" s="3" t="str">
        <f>HYPERLINK("https://www.773grp.com/manufacturer/onsemi?pageNo=1337", "ON Semiconductor")</f>
        <v>ON Semiconductor</v>
      </c>
      <c r="C30491" s="6">
        <v>2129</v>
      </c>
      <c r="D30491" s="7">
        <v>0.69</v>
      </c>
    </row>
    <row r="30492" spans="1:5" x14ac:dyDescent="0.25">
      <c r="A30492" t="str">
        <f>HYPERLINK("https://www.773grp.com/globalSearch/NSS60601MZ4T3G/page-1", "NSS60601MZ4T3G")</f>
        <v>NSS60601MZ4T3G</v>
      </c>
      <c r="B30492" s="3" t="str">
        <f>HYPERLINK("https://www.773grp.com/manufacturer/onsemi?pageNo=1338", "ON Semiconductor")</f>
        <v>ON Semiconductor</v>
      </c>
      <c r="C30492" s="6">
        <v>24000</v>
      </c>
      <c r="D30492" s="7">
        <v>0.69</v>
      </c>
    </row>
    <row r="30493" spans="1:5" x14ac:dyDescent="0.25">
      <c r="A30493" t="str">
        <f>HYPERLINK("https://www.773grp.com/globalSearch/NSVMMBT589LT1G/page-1", "NSVMMBT589LT1G")</f>
        <v>NSVMMBT589LT1G</v>
      </c>
      <c r="B30493" s="3" t="str">
        <f>HYPERLINK("https://www.773grp.com/manufacturer/onsemi?pageNo=1339", "ON Semiconductor")</f>
        <v>ON Semiconductor</v>
      </c>
      <c r="C30493" s="6">
        <v>3000</v>
      </c>
      <c r="D30493" s="7">
        <v>0.69</v>
      </c>
    </row>
    <row r="30494" spans="1:5" x14ac:dyDescent="0.25">
      <c r="A30494" t="str">
        <f>HYPERLINK("https://www.773grp.com/globalSearch/NTD20N03L27-001/page-1", "NTD20N03L27-001")</f>
        <v>NTD20N03L27-001</v>
      </c>
      <c r="B30494" s="3" t="str">
        <f>HYPERLINK("https://www.773grp.com/manufacturer/onsemi?pageNo=1340", "ON Semiconductor")</f>
        <v>ON Semiconductor</v>
      </c>
      <c r="C30494" s="6">
        <v>10315</v>
      </c>
      <c r="D30494" s="7">
        <v>0.69</v>
      </c>
    </row>
    <row r="30495" spans="1:5" x14ac:dyDescent="0.25">
      <c r="A30495" t="str">
        <f>HYPERLINK("https://www.773grp.com/globalSearch/NTD24N06-001/page-1", "NTD24N06-001")</f>
        <v>NTD24N06-001</v>
      </c>
      <c r="B30495" s="3" t="str">
        <f>HYPERLINK("https://www.773grp.com/manufacturer/onsemi?pageNo=1341", "ON Semiconductor")</f>
        <v>ON Semiconductor</v>
      </c>
      <c r="C30495" s="6">
        <v>146</v>
      </c>
      <c r="D30495" s="7">
        <v>0.69</v>
      </c>
    </row>
    <row r="30496" spans="1:5" x14ac:dyDescent="0.25">
      <c r="A30496" t="str">
        <f>HYPERLINK("https://www.773grp.com/globalSearch/NTD24N06-1G/page-1", "NTD24N06-1G")</f>
        <v>NTD24N06-1G</v>
      </c>
      <c r="B30496" s="3" t="str">
        <f>HYPERLINK("https://www.773grp.com/manufacturer/onsemi?pageNo=1342", "ON Semiconductor")</f>
        <v>ON Semiconductor</v>
      </c>
      <c r="C30496" s="6">
        <v>3148</v>
      </c>
      <c r="D30496" s="7">
        <v>0.69</v>
      </c>
    </row>
    <row r="30497" spans="1:5" x14ac:dyDescent="0.25">
      <c r="A30497" t="str">
        <f>HYPERLINK("https://www.773grp.com/globalSearch/NTD30N02G/page-1", "NTD30N02G")</f>
        <v>NTD30N02G</v>
      </c>
      <c r="B30497" s="3" t="str">
        <f>HYPERLINK("https://www.773grp.com/manufacturer/onsemi?pageNo=1343", "ON Semiconductor")</f>
        <v>ON Semiconductor</v>
      </c>
      <c r="C30497" s="6">
        <v>4800</v>
      </c>
      <c r="D30497" s="7">
        <v>0.69</v>
      </c>
      <c r="E30497" t="s">
        <v>105</v>
      </c>
    </row>
    <row r="30498" spans="1:5" x14ac:dyDescent="0.25">
      <c r="A30498" t="str">
        <f>HYPERLINK("https://www.773grp.com/globalSearch/NTD3817N-1G/page-1", "NTD3817N-1G")</f>
        <v>NTD3817N-1G</v>
      </c>
      <c r="B30498" s="3" t="str">
        <f>HYPERLINK("https://www.773grp.com/manufacturer/onsemi?pageNo=1344", "ON Semiconductor")</f>
        <v>ON Semiconductor</v>
      </c>
      <c r="C30498" s="6">
        <v>14400</v>
      </c>
      <c r="D30498" s="7">
        <v>0.69</v>
      </c>
      <c r="E30498" t="s">
        <v>105</v>
      </c>
    </row>
    <row r="30499" spans="1:5" x14ac:dyDescent="0.25">
      <c r="A30499" t="str">
        <f>HYPERLINK("https://www.773grp.com/globalSearch/NTD3817N-35G/page-1", "NTD3817N-35G")</f>
        <v>NTD3817N-35G</v>
      </c>
      <c r="B30499" s="3" t="str">
        <f>HYPERLINK("https://www.773grp.com/manufacturer/onsemi?pageNo=1345", "ON Semiconductor")</f>
        <v>ON Semiconductor</v>
      </c>
      <c r="C30499" s="6">
        <v>15525</v>
      </c>
      <c r="D30499" s="7">
        <v>0.69</v>
      </c>
      <c r="E30499" t="s">
        <v>105</v>
      </c>
    </row>
    <row r="30500" spans="1:5" x14ac:dyDescent="0.25">
      <c r="A30500" t="str">
        <f>HYPERLINK("https://www.773grp.com/globalSearch/NTD4804NA-1G/page-1", "NTD4804NA-1G")</f>
        <v>NTD4804NA-1G</v>
      </c>
      <c r="B30500" s="3" t="str">
        <f>HYPERLINK("https://www.773grp.com/manufacturer/onsemi?pageNo=1346", "ON Semiconductor")</f>
        <v>ON Semiconductor</v>
      </c>
      <c r="C30500" s="6">
        <v>975</v>
      </c>
      <c r="D30500" s="7">
        <v>0.69</v>
      </c>
    </row>
    <row r="30501" spans="1:5" x14ac:dyDescent="0.25">
      <c r="A30501" t="str">
        <f>HYPERLINK("https://www.773grp.com/globalSearch/NTD4804NA-35G/page-1", "NTD4804NA-35G")</f>
        <v>NTD4804NA-35G</v>
      </c>
      <c r="B30501" s="3" t="str">
        <f>HYPERLINK("https://www.773grp.com/manufacturer/onsemi?pageNo=1347", "ON Semiconductor")</f>
        <v>ON Semiconductor</v>
      </c>
      <c r="C30501" s="6">
        <v>1500</v>
      </c>
      <c r="D30501" s="7">
        <v>0.69</v>
      </c>
    </row>
    <row r="30502" spans="1:5" x14ac:dyDescent="0.25">
      <c r="A30502" t="str">
        <f>HYPERLINK("https://www.773grp.com/globalSearch/NTD4809NH-1G/page-1", "NTD4809NH-1G")</f>
        <v>NTD4809NH-1G</v>
      </c>
      <c r="B30502" s="3" t="str">
        <f>HYPERLINK("https://www.773grp.com/manufacturer/onsemi?pageNo=1348", "ON Semiconductor")</f>
        <v>ON Semiconductor</v>
      </c>
      <c r="C30502" s="6">
        <v>6624</v>
      </c>
      <c r="D30502" s="7">
        <v>0.69</v>
      </c>
      <c r="E30502" t="s">
        <v>105</v>
      </c>
    </row>
    <row r="30503" spans="1:5" x14ac:dyDescent="0.25">
      <c r="A30503" t="str">
        <f>HYPERLINK("https://www.773grp.com/globalSearch/NTD4809NH-35G/page-1", "NTD4809NH-35G")</f>
        <v>NTD4809NH-35G</v>
      </c>
      <c r="B30503" s="3" t="str">
        <f>HYPERLINK("https://www.773grp.com/manufacturer/onsemi?pageNo=1", "ON Semiconductor")</f>
        <v>ON Semiconductor</v>
      </c>
      <c r="C30503" s="6">
        <v>58847</v>
      </c>
      <c r="D30503" s="7">
        <v>0.69</v>
      </c>
      <c r="E30503" t="s">
        <v>105</v>
      </c>
    </row>
    <row r="30504" spans="1:5" x14ac:dyDescent="0.25">
      <c r="A30504" t="str">
        <f>HYPERLINK("https://www.773grp.com/globalSearch/NTD4813NHT4G/page-1", "NTD4813NHT4G")</f>
        <v>NTD4813NHT4G</v>
      </c>
      <c r="B30504" s="3" t="str">
        <f>HYPERLINK("https://www.773grp.com/manufacturer/onsemi?pageNo=2", "ON Semiconductor")</f>
        <v>ON Semiconductor</v>
      </c>
      <c r="C30504" s="6">
        <v>802830</v>
      </c>
      <c r="D30504" s="7">
        <v>0.69</v>
      </c>
      <c r="E30504" t="s">
        <v>105</v>
      </c>
    </row>
    <row r="30505" spans="1:5" x14ac:dyDescent="0.25">
      <c r="A30505" t="str">
        <f>HYPERLINK("https://www.773grp.com/globalSearch/NTD4815N-1G/page-1", "NTD4815N-1G")</f>
        <v>NTD4815N-1G</v>
      </c>
      <c r="B30505" s="3" t="str">
        <f>HYPERLINK("https://www.773grp.com/manufacturer/onsemi?pageNo=3", "ON Semiconductor")</f>
        <v>ON Semiconductor</v>
      </c>
      <c r="C30505" s="6">
        <v>3150</v>
      </c>
      <c r="D30505" s="7">
        <v>0.69</v>
      </c>
      <c r="E30505" t="s">
        <v>105</v>
      </c>
    </row>
    <row r="30506" spans="1:5" x14ac:dyDescent="0.25">
      <c r="A30506" t="str">
        <f>HYPERLINK("https://www.773grp.com/globalSearch/NTD4815N-35G/page-1", "NTD4815N-35G")</f>
        <v>NTD4815N-35G</v>
      </c>
      <c r="B30506" s="3" t="str">
        <f>HYPERLINK("https://www.773grp.com/manufacturer/onsemi?pageNo=4", "ON Semiconductor")</f>
        <v>ON Semiconductor</v>
      </c>
      <c r="C30506" s="6">
        <v>14650</v>
      </c>
      <c r="D30506" s="7">
        <v>0.69</v>
      </c>
      <c r="E30506" t="s">
        <v>105</v>
      </c>
    </row>
    <row r="30507" spans="1:5" x14ac:dyDescent="0.25">
      <c r="A30507" t="str">
        <f>HYPERLINK("https://www.773grp.com/globalSearch/NTD4815NT4G/page-1", "NTD4815NT4G")</f>
        <v>NTD4815NT4G</v>
      </c>
      <c r="B30507" s="3" t="str">
        <f>HYPERLINK("https://www.773grp.com/manufacturer/onsemi?pageNo=5", "ON Semiconductor")</f>
        <v>ON Semiconductor</v>
      </c>
      <c r="C30507" s="6">
        <v>35800</v>
      </c>
      <c r="D30507" s="7">
        <v>0.69</v>
      </c>
      <c r="E30507" t="s">
        <v>105</v>
      </c>
    </row>
    <row r="30508" spans="1:5" x14ac:dyDescent="0.25">
      <c r="A30508" t="str">
        <f>HYPERLINK("https://www.773grp.com/globalSearch/NTD4909N-1G/page-1", "NTD4909N-1G")</f>
        <v>NTD4909N-1G</v>
      </c>
      <c r="B30508" s="3" t="str">
        <f>HYPERLINK("https://www.773grp.com/manufacturer/onsemi?pageNo=6", "ON Semiconductor")</f>
        <v>ON Semiconductor</v>
      </c>
      <c r="C30508" s="6">
        <v>6000</v>
      </c>
      <c r="D30508" s="7">
        <v>0.69</v>
      </c>
    </row>
    <row r="30509" spans="1:5" x14ac:dyDescent="0.25">
      <c r="A30509" t="str">
        <f>HYPERLINK("https://www.773grp.com/globalSearch/NTD4909N-35G/page-1", "NTD4909N-35G")</f>
        <v>NTD4909N-35G</v>
      </c>
      <c r="B30509" s="3" t="str">
        <f>HYPERLINK("https://www.773grp.com/manufacturer/onsemi?pageNo=7", "ON Semiconductor")</f>
        <v>ON Semiconductor</v>
      </c>
      <c r="C30509" s="6">
        <v>7200</v>
      </c>
      <c r="D30509" s="7">
        <v>0.69</v>
      </c>
    </row>
    <row r="30510" spans="1:5" x14ac:dyDescent="0.25">
      <c r="A30510" t="str">
        <f>HYPERLINK("https://www.773grp.com/globalSearch/NTD4909NT4G/page-1", "NTD4909NT4G")</f>
        <v>NTD4909NT4G</v>
      </c>
      <c r="B30510" s="3" t="str">
        <f>HYPERLINK("https://www.773grp.com/manufacturer/onsemi?pageNo=8", "ON Semiconductor")</f>
        <v>ON Semiconductor</v>
      </c>
      <c r="C30510" s="6">
        <v>65654</v>
      </c>
      <c r="D30510" s="7">
        <v>0.69</v>
      </c>
      <c r="E30510" t="s">
        <v>105</v>
      </c>
    </row>
    <row r="30511" spans="1:5" x14ac:dyDescent="0.25">
      <c r="A30511" t="str">
        <f>HYPERLINK("https://www.773grp.com/globalSearch/NTD4909NT4H/page-1", "NTD4909NT4H")</f>
        <v>NTD4909NT4H</v>
      </c>
      <c r="B30511" s="3" t="str">
        <f>HYPERLINK("https://www.773grp.com/manufacturer/onsemi?pageNo=9", "ON Semiconductor")</f>
        <v>ON Semiconductor</v>
      </c>
      <c r="C30511" s="6">
        <v>30000</v>
      </c>
      <c r="D30511" s="7">
        <v>0.69</v>
      </c>
    </row>
    <row r="30512" spans="1:5" x14ac:dyDescent="0.25">
      <c r="A30512" t="str">
        <f>HYPERLINK("https://www.773grp.com/globalSearch/NTD4910N-35G/page-1", "NTD4910N-35G")</f>
        <v>NTD4910N-35G</v>
      </c>
      <c r="B30512" s="3" t="str">
        <f>HYPERLINK("https://www.773grp.com/manufacturer/onsemi?pageNo=10", "ON Semiconductor")</f>
        <v>ON Semiconductor</v>
      </c>
      <c r="C30512" s="6">
        <v>12225</v>
      </c>
      <c r="D30512" s="7">
        <v>0.69</v>
      </c>
    </row>
    <row r="30513" spans="1:5" x14ac:dyDescent="0.25">
      <c r="A30513" t="str">
        <f>HYPERLINK("https://www.773grp.com/globalSearch/NTD4910NT4G/page-1", "NTD4910NT4G")</f>
        <v>NTD4910NT4G</v>
      </c>
      <c r="B30513" s="3" t="str">
        <f>HYPERLINK("https://www.773grp.com/manufacturer/onsemi?pageNo=11", "ON Semiconductor")</f>
        <v>ON Semiconductor</v>
      </c>
      <c r="C30513" s="6">
        <v>122500</v>
      </c>
      <c r="D30513" s="7">
        <v>0.69</v>
      </c>
      <c r="E30513" t="s">
        <v>105</v>
      </c>
    </row>
    <row r="30514" spans="1:5" x14ac:dyDescent="0.25">
      <c r="A30514" t="str">
        <f>HYPERLINK("https://www.773grp.com/globalSearch/NTD4959NHT4G/page-1", "NTD4959NHT4G")</f>
        <v>NTD4959NHT4G</v>
      </c>
      <c r="B30514" s="3" t="str">
        <f>HYPERLINK("https://www.773grp.com/manufacturer/onsemi?pageNo=12", "ON Semiconductor")</f>
        <v>ON Semiconductor</v>
      </c>
      <c r="C30514" s="6">
        <v>7500</v>
      </c>
      <c r="D30514" s="7">
        <v>0.69</v>
      </c>
    </row>
    <row r="30515" spans="1:5" x14ac:dyDescent="0.25">
      <c r="A30515" t="str">
        <f>HYPERLINK("https://www.773grp.com/globalSearch/NTD4963N-35G/page-1", "NTD4963N-35G")</f>
        <v>NTD4963N-35G</v>
      </c>
      <c r="B30515" s="3" t="str">
        <f>HYPERLINK("https://www.773grp.com/manufacturer/onsemi?pageNo=13", "ON Semiconductor")</f>
        <v>ON Semiconductor</v>
      </c>
      <c r="C30515" s="6">
        <v>6100</v>
      </c>
      <c r="D30515" s="7">
        <v>0.69</v>
      </c>
    </row>
    <row r="30516" spans="1:5" x14ac:dyDescent="0.25">
      <c r="A30516" t="str">
        <f>HYPERLINK("https://www.773grp.com/globalSearch/NTF3055-160T1/page-1", "NTF3055-160T1")</f>
        <v>NTF3055-160T1</v>
      </c>
      <c r="B30516" s="3" t="str">
        <f>HYPERLINK("https://www.773grp.com/manufacturer/onsemi?pageNo=14", "ON Semiconductor")</f>
        <v>ON Semiconductor</v>
      </c>
      <c r="C30516" s="6">
        <v>51693</v>
      </c>
      <c r="D30516" s="7">
        <v>0.69</v>
      </c>
      <c r="E30516" t="s">
        <v>105</v>
      </c>
    </row>
    <row r="30517" spans="1:5" x14ac:dyDescent="0.25">
      <c r="A30517" t="str">
        <f>HYPERLINK("https://www.773grp.com/globalSearch/NTF3055-160T3/page-1", "NTF3055-160T3")</f>
        <v>NTF3055-160T3</v>
      </c>
      <c r="B30517" s="3" t="str">
        <f>HYPERLINK("https://www.773grp.com/manufacturer/onsemi?pageNo=15", "ON Semiconductor")</f>
        <v>ON Semiconductor</v>
      </c>
      <c r="C30517" s="6">
        <v>6214</v>
      </c>
      <c r="D30517" s="7">
        <v>0.69</v>
      </c>
      <c r="E30517" t="s">
        <v>105</v>
      </c>
    </row>
    <row r="30518" spans="1:5" x14ac:dyDescent="0.25">
      <c r="A30518" t="str">
        <f>HYPERLINK("https://www.773grp.com/globalSearch/NTHD3101FT1G/page-1", "NTHD3101FT1G")</f>
        <v>NTHD3101FT1G</v>
      </c>
      <c r="B30518" s="3" t="str">
        <f>HYPERLINK("https://www.773grp.com/manufacturer/onsemi?pageNo=16", "ON Semiconductor")</f>
        <v>ON Semiconductor</v>
      </c>
      <c r="C30518" s="6">
        <v>478837</v>
      </c>
      <c r="D30518" s="7">
        <v>0.69</v>
      </c>
      <c r="E30518" t="s">
        <v>105</v>
      </c>
    </row>
    <row r="30519" spans="1:5" x14ac:dyDescent="0.25">
      <c r="A30519" t="str">
        <f>HYPERLINK("https://www.773grp.com/globalSearch/NTLJD3115PTAG/page-1", "NTLJD3115PTAG")</f>
        <v>NTLJD3115PTAG</v>
      </c>
      <c r="B30519" s="3" t="str">
        <f>HYPERLINK("https://www.773grp.com/manufacturer/onsemi?pageNo=17", "ON Semiconductor")</f>
        <v>ON Semiconductor</v>
      </c>
      <c r="C30519" s="6">
        <v>6000</v>
      </c>
      <c r="D30519" s="7">
        <v>0.69</v>
      </c>
      <c r="E30519" t="s">
        <v>105</v>
      </c>
    </row>
    <row r="30520" spans="1:5" x14ac:dyDescent="0.25">
      <c r="A30520" t="str">
        <f>HYPERLINK("https://www.773grp.com/globalSearch/NTLJS4159NT1G/page-1", "NTLJS4159NT1G")</f>
        <v>NTLJS4159NT1G</v>
      </c>
      <c r="B30520" s="3" t="str">
        <f>HYPERLINK("https://www.773grp.com/manufacturer/onsemi?pageNo=18", "ON Semiconductor")</f>
        <v>ON Semiconductor</v>
      </c>
      <c r="C30520" s="6">
        <v>3000</v>
      </c>
      <c r="D30520" s="7">
        <v>0.69</v>
      </c>
      <c r="E30520" t="s">
        <v>105</v>
      </c>
    </row>
    <row r="30521" spans="1:5" x14ac:dyDescent="0.25">
      <c r="A30521" t="str">
        <f>HYPERLINK("https://www.773grp.com/globalSearch/NTMD2P01R2/page-1", "NTMD2P01R2")</f>
        <v>NTMD2P01R2</v>
      </c>
      <c r="B30521" s="3" t="str">
        <f>HYPERLINK("https://www.773grp.com/manufacturer/onsemi?pageNo=19", "ON Semiconductor")</f>
        <v>ON Semiconductor</v>
      </c>
      <c r="C30521" s="6">
        <v>619</v>
      </c>
      <c r="D30521" s="7">
        <v>0.69</v>
      </c>
      <c r="E30521" t="s">
        <v>105</v>
      </c>
    </row>
    <row r="30522" spans="1:5" x14ac:dyDescent="0.25">
      <c r="A30522" t="str">
        <f>HYPERLINK("https://www.773grp.com/globalSearch/NTMD4N03R2/page-1", "NTMD4N03R2")</f>
        <v>NTMD4N03R2</v>
      </c>
      <c r="B30522" s="3" t="str">
        <f>HYPERLINK("https://www.773grp.com/manufacturer/onsemi?pageNo=20", "ON Semiconductor")</f>
        <v>ON Semiconductor</v>
      </c>
      <c r="C30522" s="6">
        <v>15</v>
      </c>
      <c r="D30522" s="7">
        <v>0.69</v>
      </c>
      <c r="E30522" t="s">
        <v>105</v>
      </c>
    </row>
    <row r="30523" spans="1:5" x14ac:dyDescent="0.25">
      <c r="A30523" t="str">
        <f>HYPERLINK("https://www.773grp.com/globalSearch/NTMS3P03R2/page-1", "NTMS3P03R2")</f>
        <v>NTMS3P03R2</v>
      </c>
      <c r="B30523" s="3" t="str">
        <f>HYPERLINK("https://www.773grp.com/manufacturer/onsemi?pageNo=21", "ON Semiconductor")</f>
        <v>ON Semiconductor</v>
      </c>
      <c r="C30523" s="6">
        <v>47399</v>
      </c>
      <c r="D30523" s="7">
        <v>0.69</v>
      </c>
      <c r="E30523" t="s">
        <v>106</v>
      </c>
    </row>
    <row r="30524" spans="1:5" x14ac:dyDescent="0.25">
      <c r="A30524" t="str">
        <f>HYPERLINK("https://www.773grp.com/globalSearch/NTMS4N01R2/page-1", "NTMS4N01R2")</f>
        <v>NTMS4N01R2</v>
      </c>
      <c r="B30524" s="3" t="str">
        <f>HYPERLINK("https://www.773grp.com/manufacturer/onsemi?pageNo=22", "ON Semiconductor")</f>
        <v>ON Semiconductor</v>
      </c>
      <c r="C30524" s="6">
        <v>17191</v>
      </c>
      <c r="D30524" s="7">
        <v>0.69</v>
      </c>
      <c r="E30524" t="s">
        <v>106</v>
      </c>
    </row>
    <row r="30525" spans="1:5" x14ac:dyDescent="0.25">
      <c r="A30525" t="str">
        <f>HYPERLINK("https://www.773grp.com/globalSearch/NUF8401MNT4G/page-1", "NUF8401MNT4G")</f>
        <v>NUF8401MNT4G</v>
      </c>
      <c r="B30525" s="3" t="str">
        <f>HYPERLINK("https://www.773grp.com/manufacturer/onsemi?pageNo=23", "ON Semiconductor")</f>
        <v>ON Semiconductor</v>
      </c>
      <c r="C30525" s="6">
        <v>762365</v>
      </c>
      <c r="D30525" s="7">
        <v>0.69</v>
      </c>
      <c r="E30525" t="s">
        <v>100</v>
      </c>
    </row>
    <row r="30526" spans="1:5" x14ac:dyDescent="0.25">
      <c r="A30526" t="str">
        <f>HYPERLINK("https://www.773grp.com/globalSearch/NUF8600MNTXG/page-1", "NUF8600MNTXG")</f>
        <v>NUF8600MNTXG</v>
      </c>
      <c r="B30526" s="3" t="str">
        <f>HYPERLINK("https://www.773grp.com/manufacturer/onsemi?pageNo=24", "ON Semiconductor")</f>
        <v>ON Semiconductor</v>
      </c>
      <c r="C30526" s="6">
        <v>23000</v>
      </c>
      <c r="D30526" s="7">
        <v>0.69</v>
      </c>
      <c r="E30526" t="s">
        <v>100</v>
      </c>
    </row>
    <row r="30527" spans="1:5" x14ac:dyDescent="0.25">
      <c r="A30527" t="str">
        <f>HYPERLINK("https://www.773grp.com/globalSearch/NUF8610MNTXG/page-1", "NUF8610MNTXG")</f>
        <v>NUF8610MNTXG</v>
      </c>
      <c r="B30527" s="3" t="str">
        <f>HYPERLINK("https://www.773grp.com/manufacturer/onsemi?pageNo=25", "ON Semiconductor")</f>
        <v>ON Semiconductor</v>
      </c>
      <c r="C30527" s="6">
        <v>24000</v>
      </c>
      <c r="D30527" s="7">
        <v>0.69</v>
      </c>
      <c r="E30527" t="s">
        <v>100</v>
      </c>
    </row>
    <row r="30528" spans="1:5" x14ac:dyDescent="0.25">
      <c r="A30528" t="str">
        <f>HYPERLINK("https://www.773grp.com/globalSearch/NUP4302MR6T1/page-1", "NUP4302MR6T1")</f>
        <v>NUP4302MR6T1</v>
      </c>
      <c r="B30528" s="3" t="str">
        <f>HYPERLINK("https://www.773grp.com/manufacturer/onsemi?pageNo=26", "ON Semiconductor")</f>
        <v>ON Semiconductor</v>
      </c>
      <c r="C30528" s="6">
        <v>446</v>
      </c>
      <c r="D30528" s="7">
        <v>0.69</v>
      </c>
      <c r="E30528" t="s">
        <v>96</v>
      </c>
    </row>
    <row r="30529" spans="1:5" x14ac:dyDescent="0.25">
      <c r="A30529" t="str">
        <f>HYPERLINK("https://www.773grp.com/globalSearch/NUP5120X6T1/page-1", "NUP5120X6T1")</f>
        <v>NUP5120X6T1</v>
      </c>
      <c r="B30529" s="3" t="str">
        <f>HYPERLINK("https://www.773grp.com/manufacturer/onsemi?pageNo=27", "ON Semiconductor")</f>
        <v>ON Semiconductor</v>
      </c>
      <c r="C30529" s="6">
        <v>3970</v>
      </c>
      <c r="D30529" s="7">
        <v>0.69</v>
      </c>
      <c r="E30529" t="s">
        <v>96</v>
      </c>
    </row>
    <row r="30530" spans="1:5" x14ac:dyDescent="0.25">
      <c r="A30530" t="str">
        <f>HYPERLINK("https://www.773grp.com/globalSearch/NUP8010MNT1G/page-1", "NUP8010MNT1G")</f>
        <v>NUP8010MNT1G</v>
      </c>
      <c r="B30530" s="3" t="str">
        <f>HYPERLINK("https://www.773grp.com/manufacturer/onsemi?pageNo=28", "ON Semiconductor")</f>
        <v>ON Semiconductor</v>
      </c>
      <c r="C30530" s="6">
        <v>32713</v>
      </c>
      <c r="D30530" s="7">
        <v>0.69</v>
      </c>
      <c r="E30530" t="s">
        <v>96</v>
      </c>
    </row>
    <row r="30531" spans="1:5" x14ac:dyDescent="0.25">
      <c r="A30531" t="str">
        <f>HYPERLINK("https://www.773grp.com/globalSearch/SA14052BD/page-1", "SA14052BD")</f>
        <v>SA14052BD</v>
      </c>
      <c r="B30531" s="3" t="str">
        <f>HYPERLINK("https://www.773grp.com/manufacturer/onsemi?pageNo=29", "ON Semiconductor")</f>
        <v>ON Semiconductor</v>
      </c>
      <c r="C30531" s="6">
        <v>1008</v>
      </c>
      <c r="D30531" s="7">
        <v>0.69</v>
      </c>
    </row>
    <row r="30532" spans="1:5" x14ac:dyDescent="0.25">
      <c r="A30532" t="str">
        <f>HYPERLINK("https://www.773grp.com/globalSearch/SA14584BDR2/page-1", "SA14584BDR2")</f>
        <v>SA14584BDR2</v>
      </c>
      <c r="B30532" s="3" t="str">
        <f>HYPERLINK("https://www.773grp.com/manufacturer/onsemi?pageNo=30", "ON Semiconductor")</f>
        <v>ON Semiconductor</v>
      </c>
      <c r="C30532" s="6">
        <v>7500</v>
      </c>
      <c r="D30532" s="7">
        <v>0.69</v>
      </c>
    </row>
    <row r="30533" spans="1:5" x14ac:dyDescent="0.25">
      <c r="A30533" t="str">
        <f>HYPERLINK("https://www.773grp.com/globalSearch/SA90A/page-1", "SA90A")</f>
        <v>SA90A</v>
      </c>
      <c r="B30533" s="3" t="str">
        <f>HYPERLINK("https://www.773grp.com/manufacturer/onsemi?pageNo=31", "ON Semiconductor")</f>
        <v>ON Semiconductor</v>
      </c>
      <c r="C30533" s="6">
        <v>11</v>
      </c>
      <c r="D30533" s="7">
        <v>0.69</v>
      </c>
      <c r="E30533" t="s">
        <v>96</v>
      </c>
    </row>
    <row r="30534" spans="1:5" x14ac:dyDescent="0.25">
      <c r="A30534" t="str">
        <f>HYPERLINK("https://www.773grp.com/globalSearch/SC2901DR2G/page-1", "SC2901DR2G")</f>
        <v>SC2901DR2G</v>
      </c>
      <c r="B30534" s="3" t="str">
        <f>HYPERLINK("https://www.773grp.com/manufacturer/onsemi?pageNo=32", "ON Semiconductor")</f>
        <v>ON Semiconductor</v>
      </c>
      <c r="C30534" s="6">
        <v>3801</v>
      </c>
      <c r="D30534" s="7">
        <v>0.69</v>
      </c>
    </row>
    <row r="30535" spans="1:5" x14ac:dyDescent="0.25">
      <c r="A30535" t="str">
        <f>HYPERLINK("https://www.773grp.com/globalSearch/SC2902DG/page-1", "SC2902DG")</f>
        <v>SC2902DG</v>
      </c>
      <c r="B30535" s="3" t="str">
        <f>HYPERLINK("https://www.773grp.com/manufacturer/onsemi?pageNo=33", "ON Semiconductor")</f>
        <v>ON Semiconductor</v>
      </c>
      <c r="C30535" s="6">
        <v>1155</v>
      </c>
      <c r="D30535" s="7">
        <v>0.69</v>
      </c>
    </row>
    <row r="30536" spans="1:5" x14ac:dyDescent="0.25">
      <c r="A30536" t="str">
        <f>HYPERLINK("https://www.773grp.com/globalSearch/SC2902DR2G/page-1", "SC2902DR2G")</f>
        <v>SC2902DR2G</v>
      </c>
      <c r="B30536" s="3" t="str">
        <f>HYPERLINK("https://www.773grp.com/manufacturer/onsemi?pageNo=34", "ON Semiconductor")</f>
        <v>ON Semiconductor</v>
      </c>
      <c r="C30536" s="6">
        <v>6673</v>
      </c>
      <c r="D30536" s="7">
        <v>0.69</v>
      </c>
    </row>
    <row r="30537" spans="1:5" x14ac:dyDescent="0.25">
      <c r="A30537" t="str">
        <f>HYPERLINK("https://www.773grp.com/globalSearch/SC2903DG/page-1", "SC2903DG")</f>
        <v>SC2903DG</v>
      </c>
      <c r="B30537" s="3" t="str">
        <f>HYPERLINK("https://www.773grp.com/manufacturer/onsemi?pageNo=35", "ON Semiconductor")</f>
        <v>ON Semiconductor</v>
      </c>
      <c r="C30537" s="6">
        <v>2156</v>
      </c>
      <c r="D30537" s="7">
        <v>0.69</v>
      </c>
    </row>
    <row r="30538" spans="1:5" x14ac:dyDescent="0.25">
      <c r="A30538" t="str">
        <f>HYPERLINK("https://www.773grp.com/globalSearch/SC2904DR2G/page-1", "SC2904DR2G")</f>
        <v>SC2904DR2G</v>
      </c>
      <c r="B30538" s="3" t="str">
        <f>HYPERLINK("https://www.773grp.com/manufacturer/onsemi?pageNo=36", "ON Semiconductor")</f>
        <v>ON Semiconductor</v>
      </c>
      <c r="C30538" s="6">
        <v>4066</v>
      </c>
      <c r="D30538" s="7">
        <v>0.69</v>
      </c>
    </row>
    <row r="30539" spans="1:5" x14ac:dyDescent="0.25">
      <c r="A30539" t="str">
        <f>HYPERLINK("https://www.773grp.com/globalSearch/SC74730D1R2/page-1", "SC74730D1R2")</f>
        <v>SC74730D1R2</v>
      </c>
      <c r="B30539" s="3" t="str">
        <f>HYPERLINK("https://www.773grp.com/manufacturer/onsemi?pageNo=37", "ON Semiconductor")</f>
        <v>ON Semiconductor</v>
      </c>
      <c r="C30539" s="6">
        <v>11862</v>
      </c>
      <c r="D30539" s="7">
        <v>0.69</v>
      </c>
    </row>
    <row r="30540" spans="1:5" x14ac:dyDescent="0.25">
      <c r="A30540" t="str">
        <f>HYPERLINK("https://www.773grp.com/globalSearch/SCR5162-005/page-1", "SCR5162-005")</f>
        <v>SCR5162-005</v>
      </c>
      <c r="B30540" s="3" t="str">
        <f>HYPERLINK("https://www.773grp.com/manufacturer/onsemi?pageNo=38", "ON Semiconductor")</f>
        <v>ON Semiconductor</v>
      </c>
      <c r="C30540" s="6">
        <v>105000</v>
      </c>
      <c r="D30540" s="7">
        <v>0.69</v>
      </c>
    </row>
    <row r="30541" spans="1:5" x14ac:dyDescent="0.25">
      <c r="A30541" t="str">
        <f>HYPERLINK("https://www.773grp.com/globalSearch/SN74LS04DR2/page-1", "SN74LS04DR2")</f>
        <v>SN74LS04DR2</v>
      </c>
      <c r="B30541" s="3" t="str">
        <f>HYPERLINK("https://www.773grp.com/manufacturer/onsemi?pageNo=39", "ON Semiconductor")</f>
        <v>ON Semiconductor</v>
      </c>
      <c r="C30541" s="6">
        <v>93</v>
      </c>
      <c r="D30541" s="7">
        <v>0.69</v>
      </c>
      <c r="E30541" t="s">
        <v>31</v>
      </c>
    </row>
    <row r="30542" spans="1:5" x14ac:dyDescent="0.25">
      <c r="A30542" t="str">
        <f>HYPERLINK("https://www.773grp.com/globalSearch/SN74LS107AN/page-1", "SN74LS107AN")</f>
        <v>SN74LS107AN</v>
      </c>
      <c r="B30542" s="3" t="str">
        <f>HYPERLINK("https://www.773grp.com/manufacturer/onsemi?pageNo=40", "ON Semiconductor")</f>
        <v>ON Semiconductor</v>
      </c>
      <c r="C30542" s="6">
        <v>376</v>
      </c>
      <c r="D30542" s="7">
        <v>0.69</v>
      </c>
      <c r="E30542" t="s">
        <v>35</v>
      </c>
    </row>
    <row r="30543" spans="1:5" x14ac:dyDescent="0.25">
      <c r="A30543" t="str">
        <f>HYPERLINK("https://www.773grp.com/globalSearch/SN74LS112AMEL/page-1", "SN74LS112AMEL")</f>
        <v>SN74LS112AMEL</v>
      </c>
      <c r="B30543" s="3" t="str">
        <f>HYPERLINK("https://www.773grp.com/manufacturer/onsemi?pageNo=41", "ON Semiconductor")</f>
        <v>ON Semiconductor</v>
      </c>
      <c r="C30543" s="6">
        <v>2000</v>
      </c>
      <c r="D30543" s="7">
        <v>0.69</v>
      </c>
    </row>
    <row r="30544" spans="1:5" x14ac:dyDescent="0.25">
      <c r="A30544" t="str">
        <f>HYPERLINK("https://www.773grp.com/globalSearch/SN74LS112AN/page-1", "SN74LS112AN")</f>
        <v>SN74LS112AN</v>
      </c>
      <c r="B30544" s="3" t="str">
        <f>HYPERLINK("https://www.773grp.com/manufacturer/onsemi?pageNo=42", "ON Semiconductor")</f>
        <v>ON Semiconductor</v>
      </c>
      <c r="C30544" s="6">
        <v>2885</v>
      </c>
      <c r="D30544" s="7">
        <v>0.69</v>
      </c>
      <c r="E30544" t="s">
        <v>35</v>
      </c>
    </row>
    <row r="30545" spans="1:5" x14ac:dyDescent="0.25">
      <c r="A30545" t="str">
        <f>HYPERLINK("https://www.773grp.com/globalSearch/SN74LS125AD/page-1", "SN74LS125AD")</f>
        <v>SN74LS125AD</v>
      </c>
      <c r="B30545" s="3" t="str">
        <f>HYPERLINK("https://www.773grp.com/manufacturer/onsemi?pageNo=43", "ON Semiconductor")</f>
        <v>ON Semiconductor</v>
      </c>
      <c r="C30545" s="6">
        <v>172849</v>
      </c>
      <c r="D30545" s="7">
        <v>0.69</v>
      </c>
      <c r="E30545" t="s">
        <v>14</v>
      </c>
    </row>
    <row r="30546" spans="1:5" x14ac:dyDescent="0.25">
      <c r="A30546" t="str">
        <f>HYPERLINK("https://www.773grp.com/globalSearch/SN74LS125AML1/page-1", "SN74LS125AML1")</f>
        <v>SN74LS125AML1</v>
      </c>
      <c r="B30546" s="3" t="str">
        <f>HYPERLINK("https://www.773grp.com/manufacturer/onsemi?pageNo=44", "ON Semiconductor")</f>
        <v>ON Semiconductor</v>
      </c>
      <c r="C30546" s="6">
        <v>5000</v>
      </c>
      <c r="D30546" s="7">
        <v>0.69</v>
      </c>
    </row>
    <row r="30547" spans="1:5" x14ac:dyDescent="0.25">
      <c r="A30547" t="str">
        <f>HYPERLINK("https://www.773grp.com/globalSearch/SN74LS125AMR1/page-1", "SN74LS125AMR1")</f>
        <v>SN74LS125AMR1</v>
      </c>
      <c r="B30547" s="3" t="str">
        <f>HYPERLINK("https://www.773grp.com/manufacturer/onsemi?pageNo=45", "ON Semiconductor")</f>
        <v>ON Semiconductor</v>
      </c>
      <c r="C30547" s="6">
        <v>63000</v>
      </c>
      <c r="D30547" s="7">
        <v>0.69</v>
      </c>
      <c r="E30547" t="s">
        <v>14</v>
      </c>
    </row>
    <row r="30548" spans="1:5" x14ac:dyDescent="0.25">
      <c r="A30548" t="str">
        <f>HYPERLINK("https://www.773grp.com/globalSearch/SN74LS125AN/page-1", "SN74LS125AN")</f>
        <v>SN74LS125AN</v>
      </c>
      <c r="B30548" s="3" t="str">
        <f>HYPERLINK("https://www.773grp.com/manufacturer/onsemi?pageNo=46", "ON Semiconductor")</f>
        <v>ON Semiconductor</v>
      </c>
      <c r="C30548" s="6">
        <v>1129</v>
      </c>
      <c r="D30548" s="7">
        <v>0.69</v>
      </c>
      <c r="E30548" t="s">
        <v>14</v>
      </c>
    </row>
    <row r="30549" spans="1:5" x14ac:dyDescent="0.25">
      <c r="A30549" t="str">
        <f>HYPERLINK("https://www.773grp.com/globalSearch/SN74LS126AD/page-1", "SN74LS126AD")</f>
        <v>SN74LS126AD</v>
      </c>
      <c r="B30549" s="3" t="str">
        <f>HYPERLINK("https://www.773grp.com/manufacturer/onsemi?pageNo=47", "ON Semiconductor")</f>
        <v>ON Semiconductor</v>
      </c>
      <c r="C30549" s="6">
        <v>6324</v>
      </c>
      <c r="D30549" s="7">
        <v>0.69</v>
      </c>
      <c r="E30549" t="s">
        <v>14</v>
      </c>
    </row>
    <row r="30550" spans="1:5" x14ac:dyDescent="0.25">
      <c r="A30550" t="str">
        <f>HYPERLINK("https://www.773grp.com/globalSearch/SN74LS126ADR2/page-1", "SN74LS126ADR2")</f>
        <v>SN74LS126ADR2</v>
      </c>
      <c r="B30550" s="3" t="str">
        <f>HYPERLINK("https://www.773grp.com/manufacturer/onsemi?pageNo=48", "ON Semiconductor")</f>
        <v>ON Semiconductor</v>
      </c>
      <c r="C30550" s="6">
        <v>42500</v>
      </c>
      <c r="D30550" s="7">
        <v>0.69</v>
      </c>
      <c r="E30550" t="s">
        <v>14</v>
      </c>
    </row>
    <row r="30551" spans="1:5" x14ac:dyDescent="0.25">
      <c r="A30551" t="str">
        <f>HYPERLINK("https://www.773grp.com/globalSearch/SN74LS126AM/page-1", "SN74LS126AM")</f>
        <v>SN74LS126AM</v>
      </c>
      <c r="B30551" s="3" t="str">
        <f>HYPERLINK("https://www.773grp.com/manufacturer/onsemi?pageNo=49", "ON Semiconductor")</f>
        <v>ON Semiconductor</v>
      </c>
      <c r="C30551" s="6">
        <v>201</v>
      </c>
      <c r="D30551" s="7">
        <v>0.69</v>
      </c>
      <c r="E30551" t="s">
        <v>14</v>
      </c>
    </row>
    <row r="30552" spans="1:5" x14ac:dyDescent="0.25">
      <c r="A30552" t="str">
        <f>HYPERLINK("https://www.773grp.com/globalSearch/SN74LS126AN/page-1", "SN74LS126AN")</f>
        <v>SN74LS126AN</v>
      </c>
      <c r="B30552" s="3" t="str">
        <f>HYPERLINK("https://www.773grp.com/manufacturer/onsemi?pageNo=50", "ON Semiconductor")</f>
        <v>ON Semiconductor</v>
      </c>
      <c r="C30552" s="6">
        <v>5200</v>
      </c>
      <c r="D30552" s="7">
        <v>0.69</v>
      </c>
      <c r="E30552" t="s">
        <v>14</v>
      </c>
    </row>
    <row r="30553" spans="1:5" x14ac:dyDescent="0.25">
      <c r="A30553" t="str">
        <f>HYPERLINK("https://www.773grp.com/globalSearch/SN74LS132MR1/page-1", "SN74LS132MR1")</f>
        <v>SN74LS132MR1</v>
      </c>
      <c r="B30553" s="3" t="str">
        <f>HYPERLINK("https://www.773grp.com/manufacturer/onsemi?pageNo=51", "ON Semiconductor")</f>
        <v>ON Semiconductor</v>
      </c>
      <c r="C30553" s="6">
        <v>7000</v>
      </c>
      <c r="D30553" s="7">
        <v>0.69</v>
      </c>
    </row>
    <row r="30554" spans="1:5" x14ac:dyDescent="0.25">
      <c r="A30554" t="str">
        <f>HYPERLINK("https://www.773grp.com/globalSearch/SN74LS138D/page-1", "SN74LS138D")</f>
        <v>SN74LS138D</v>
      </c>
      <c r="B30554" s="3" t="str">
        <f>HYPERLINK("https://www.773grp.com/manufacturer/onsemi?pageNo=52", "ON Semiconductor")</f>
        <v>ON Semiconductor</v>
      </c>
      <c r="C30554" s="6">
        <v>13689</v>
      </c>
      <c r="D30554" s="7">
        <v>0.69</v>
      </c>
      <c r="E30554" t="s">
        <v>36</v>
      </c>
    </row>
    <row r="30555" spans="1:5" x14ac:dyDescent="0.25">
      <c r="A30555" t="str">
        <f>HYPERLINK("https://www.773grp.com/globalSearch/SN74LS138M/page-1", "SN74LS138M")</f>
        <v>SN74LS138M</v>
      </c>
      <c r="B30555" s="3" t="str">
        <f>HYPERLINK("https://www.773grp.com/manufacturer/onsemi?pageNo=53", "ON Semiconductor")</f>
        <v>ON Semiconductor</v>
      </c>
      <c r="C30555" s="6">
        <v>3052</v>
      </c>
      <c r="D30555" s="7">
        <v>0.69</v>
      </c>
      <c r="E30555" t="s">
        <v>36</v>
      </c>
    </row>
    <row r="30556" spans="1:5" x14ac:dyDescent="0.25">
      <c r="A30556" t="str">
        <f>HYPERLINK("https://www.773grp.com/globalSearch/SN74LS138ML1/page-1", "SN74LS138ML1")</f>
        <v>SN74LS138ML1</v>
      </c>
      <c r="B30556" s="3" t="str">
        <f>HYPERLINK("https://www.773grp.com/manufacturer/onsemi?pageNo=54", "ON Semiconductor")</f>
        <v>ON Semiconductor</v>
      </c>
      <c r="C30556" s="6">
        <v>3000</v>
      </c>
      <c r="D30556" s="7">
        <v>0.69</v>
      </c>
    </row>
    <row r="30557" spans="1:5" x14ac:dyDescent="0.25">
      <c r="A30557" t="str">
        <f>HYPERLINK("https://www.773grp.com/globalSearch/SN74LS138MR1/page-1", "SN74LS138MR1")</f>
        <v>SN74LS138MR1</v>
      </c>
      <c r="B30557" s="3" t="str">
        <f>HYPERLINK("https://www.773grp.com/manufacturer/onsemi?pageNo=55", "ON Semiconductor")</f>
        <v>ON Semiconductor</v>
      </c>
      <c r="C30557" s="6">
        <v>66000</v>
      </c>
      <c r="D30557" s="7">
        <v>0.69</v>
      </c>
      <c r="E30557" t="s">
        <v>36</v>
      </c>
    </row>
    <row r="30558" spans="1:5" x14ac:dyDescent="0.25">
      <c r="A30558" t="str">
        <f>HYPERLINK("https://www.773grp.com/globalSearch/SN74LS139D/page-1", "SN74LS139D")</f>
        <v>SN74LS139D</v>
      </c>
      <c r="B30558" s="3" t="str">
        <f>HYPERLINK("https://www.773grp.com/manufacturer/onsemi?pageNo=56", "ON Semiconductor")</f>
        <v>ON Semiconductor</v>
      </c>
      <c r="C30558" s="6">
        <v>6552</v>
      </c>
      <c r="D30558" s="7">
        <v>0.69</v>
      </c>
      <c r="E30558" t="s">
        <v>36</v>
      </c>
    </row>
    <row r="30559" spans="1:5" x14ac:dyDescent="0.25">
      <c r="A30559" t="str">
        <f>HYPERLINK("https://www.773grp.com/globalSearch/SN74LS155D/page-1", "SN74LS155D")</f>
        <v>SN74LS155D</v>
      </c>
      <c r="B30559" s="3" t="str">
        <f>HYPERLINK("https://www.773grp.com/manufacturer/onsemi?pageNo=57", "ON Semiconductor")</f>
        <v>ON Semiconductor</v>
      </c>
      <c r="C30559" s="6">
        <v>276</v>
      </c>
      <c r="D30559" s="7">
        <v>0.69</v>
      </c>
      <c r="E30559" t="s">
        <v>36</v>
      </c>
    </row>
    <row r="30560" spans="1:5" x14ac:dyDescent="0.25">
      <c r="A30560" t="str">
        <f>HYPERLINK("https://www.773grp.com/globalSearch/SN74LS155MEL/page-1", "SN74LS155MEL")</f>
        <v>SN74LS155MEL</v>
      </c>
      <c r="B30560" s="3" t="str">
        <f>HYPERLINK("https://www.773grp.com/manufacturer/onsemi?pageNo=58", "ON Semiconductor")</f>
        <v>ON Semiconductor</v>
      </c>
      <c r="C30560" s="6">
        <v>12000</v>
      </c>
      <c r="D30560" s="7">
        <v>0.69</v>
      </c>
    </row>
    <row r="30561" spans="1:5" x14ac:dyDescent="0.25">
      <c r="A30561" t="str">
        <f>HYPERLINK("https://www.773grp.com/globalSearch/SN74LS155ML1/page-1", "SN74LS155ML1")</f>
        <v>SN74LS155ML1</v>
      </c>
      <c r="B30561" s="3" t="str">
        <f>HYPERLINK("https://www.773grp.com/manufacturer/onsemi?pageNo=59", "ON Semiconductor")</f>
        <v>ON Semiconductor</v>
      </c>
      <c r="C30561" s="6">
        <v>3000</v>
      </c>
      <c r="D30561" s="7">
        <v>0.69</v>
      </c>
    </row>
    <row r="30562" spans="1:5" x14ac:dyDescent="0.25">
      <c r="A30562" t="str">
        <f>HYPERLINK("https://www.773grp.com/globalSearch/SN74LS155N/page-1", "SN74LS155N")</f>
        <v>SN74LS155N</v>
      </c>
      <c r="B30562" s="3" t="str">
        <f>HYPERLINK("https://www.773grp.com/manufacturer/onsemi?pageNo=60", "ON Semiconductor")</f>
        <v>ON Semiconductor</v>
      </c>
      <c r="C30562" s="6">
        <v>9431</v>
      </c>
      <c r="D30562" s="7">
        <v>0.69</v>
      </c>
      <c r="E30562" t="s">
        <v>36</v>
      </c>
    </row>
    <row r="30563" spans="1:5" x14ac:dyDescent="0.25">
      <c r="A30563" t="str">
        <f>HYPERLINK("https://www.773grp.com/globalSearch/SN74LS156D/page-1", "SN74LS156D")</f>
        <v>SN74LS156D</v>
      </c>
      <c r="B30563" s="3" t="str">
        <f>HYPERLINK("https://www.773grp.com/manufacturer/onsemi?pageNo=61", "ON Semiconductor")</f>
        <v>ON Semiconductor</v>
      </c>
      <c r="C30563" s="6">
        <v>752</v>
      </c>
      <c r="D30563" s="7">
        <v>0.69</v>
      </c>
      <c r="E30563" t="s">
        <v>36</v>
      </c>
    </row>
    <row r="30564" spans="1:5" x14ac:dyDescent="0.25">
      <c r="A30564" t="str">
        <f>HYPERLINK("https://www.773grp.com/globalSearch/SN74LS157D/page-1", "SN74LS157D")</f>
        <v>SN74LS157D</v>
      </c>
      <c r="B30564" s="3" t="str">
        <f>HYPERLINK("https://www.773grp.com/manufacturer/onsemi?pageNo=62", "ON Semiconductor")</f>
        <v>ON Semiconductor</v>
      </c>
      <c r="C30564" s="6">
        <v>2496</v>
      </c>
      <c r="D30564" s="7">
        <v>0.69</v>
      </c>
      <c r="E30564" t="s">
        <v>20</v>
      </c>
    </row>
    <row r="30565" spans="1:5" x14ac:dyDescent="0.25">
      <c r="A30565" t="str">
        <f>HYPERLINK("https://www.773grp.com/globalSearch/SN74LS157M/page-1", "SN74LS157M")</f>
        <v>SN74LS157M</v>
      </c>
      <c r="B30565" s="3" t="str">
        <f>HYPERLINK("https://www.773grp.com/manufacturer/onsemi?pageNo=63", "ON Semiconductor")</f>
        <v>ON Semiconductor</v>
      </c>
      <c r="C30565" s="6">
        <v>450</v>
      </c>
      <c r="D30565" s="7">
        <v>0.69</v>
      </c>
      <c r="E30565" t="s">
        <v>20</v>
      </c>
    </row>
    <row r="30566" spans="1:5" x14ac:dyDescent="0.25">
      <c r="A30566" t="str">
        <f>HYPERLINK("https://www.773grp.com/globalSearch/SN74LS157ML1/page-1", "SN74LS157ML1")</f>
        <v>SN74LS157ML1</v>
      </c>
      <c r="B30566" s="3" t="str">
        <f>HYPERLINK("https://www.773grp.com/manufacturer/onsemi?pageNo=64", "ON Semiconductor")</f>
        <v>ON Semiconductor</v>
      </c>
      <c r="C30566" s="6">
        <v>16000</v>
      </c>
      <c r="D30566" s="7">
        <v>0.69</v>
      </c>
    </row>
    <row r="30567" spans="1:5" x14ac:dyDescent="0.25">
      <c r="A30567" t="str">
        <f>HYPERLINK("https://www.773grp.com/globalSearch/SN74LS157MR1/page-1", "SN74LS157MR1")</f>
        <v>SN74LS157MR1</v>
      </c>
      <c r="B30567" s="3" t="str">
        <f>HYPERLINK("https://www.773grp.com/manufacturer/onsemi?pageNo=65", "ON Semiconductor")</f>
        <v>ON Semiconductor</v>
      </c>
      <c r="C30567" s="6">
        <v>5000</v>
      </c>
      <c r="D30567" s="7">
        <v>0.69</v>
      </c>
      <c r="E30567" t="s">
        <v>20</v>
      </c>
    </row>
    <row r="30568" spans="1:5" x14ac:dyDescent="0.25">
      <c r="A30568" t="str">
        <f>HYPERLINK("https://www.773grp.com/globalSearch/SN74LS158M/page-1", "SN74LS158M")</f>
        <v>SN74LS158M</v>
      </c>
      <c r="B30568" s="3" t="str">
        <f>HYPERLINK("https://www.773grp.com/manufacturer/onsemi?pageNo=66", "ON Semiconductor")</f>
        <v>ON Semiconductor</v>
      </c>
      <c r="C30568" s="6">
        <v>2500</v>
      </c>
      <c r="D30568" s="7">
        <v>0.69</v>
      </c>
    </row>
    <row r="30569" spans="1:5" x14ac:dyDescent="0.25">
      <c r="A30569" t="str">
        <f>HYPERLINK("https://www.773grp.com/globalSearch/SN74LS158MEL/page-1", "SN74LS158MEL")</f>
        <v>SN74LS158MEL</v>
      </c>
      <c r="B30569" s="3" t="str">
        <f>HYPERLINK("https://www.773grp.com/manufacturer/onsemi?pageNo=67", "ON Semiconductor")</f>
        <v>ON Semiconductor</v>
      </c>
      <c r="C30569" s="6">
        <v>4000</v>
      </c>
      <c r="D30569" s="7">
        <v>0.69</v>
      </c>
    </row>
    <row r="30570" spans="1:5" x14ac:dyDescent="0.25">
      <c r="A30570" t="str">
        <f>HYPERLINK("https://www.773grp.com/globalSearch/SN74LS158ML1/page-1", "SN74LS158ML1")</f>
        <v>SN74LS158ML1</v>
      </c>
      <c r="B30570" s="3" t="str">
        <f>HYPERLINK("https://www.773grp.com/manufacturer/onsemi?pageNo=68", "ON Semiconductor")</f>
        <v>ON Semiconductor</v>
      </c>
      <c r="C30570" s="6">
        <v>4000</v>
      </c>
      <c r="D30570" s="7">
        <v>0.69</v>
      </c>
    </row>
    <row r="30571" spans="1:5" x14ac:dyDescent="0.25">
      <c r="A30571" t="str">
        <f>HYPERLINK("https://www.773grp.com/globalSearch/SN74LS158N/page-1", "SN74LS158N")</f>
        <v>SN74LS158N</v>
      </c>
      <c r="B30571" s="3" t="str">
        <f>HYPERLINK("https://www.773grp.com/manufacturer/onsemi?pageNo=69", "ON Semiconductor")</f>
        <v>ON Semiconductor</v>
      </c>
      <c r="C30571" s="6">
        <v>137</v>
      </c>
      <c r="D30571" s="7">
        <v>0.69</v>
      </c>
      <c r="E30571" t="s">
        <v>20</v>
      </c>
    </row>
    <row r="30572" spans="1:5" x14ac:dyDescent="0.25">
      <c r="A30572" t="str">
        <f>HYPERLINK("https://www.773grp.com/globalSearch/SN74LS161AD/page-1", "SN74LS161AD")</f>
        <v>SN74LS161AD</v>
      </c>
      <c r="B30572" s="3" t="str">
        <f>HYPERLINK("https://www.773grp.com/manufacturer/onsemi?pageNo=70", "ON Semiconductor")</f>
        <v>ON Semiconductor</v>
      </c>
      <c r="C30572" s="6">
        <v>1324</v>
      </c>
      <c r="D30572" s="7">
        <v>0.69</v>
      </c>
      <c r="E30572" t="s">
        <v>26</v>
      </c>
    </row>
    <row r="30573" spans="1:5" x14ac:dyDescent="0.25">
      <c r="A30573" t="str">
        <f>HYPERLINK("https://www.773grp.com/globalSearch/SN74LS161ADR2/page-1", "SN74LS161ADR2")</f>
        <v>SN74LS161ADR2</v>
      </c>
      <c r="B30573" s="3" t="str">
        <f>HYPERLINK("https://www.773grp.com/manufacturer/onsemi?pageNo=71", "ON Semiconductor")</f>
        <v>ON Semiconductor</v>
      </c>
      <c r="C30573" s="6">
        <v>2500</v>
      </c>
      <c r="D30573" s="7">
        <v>0.69</v>
      </c>
      <c r="E30573" t="s">
        <v>26</v>
      </c>
    </row>
    <row r="30574" spans="1:5" x14ac:dyDescent="0.25">
      <c r="A30574" t="str">
        <f>HYPERLINK("https://www.773grp.com/globalSearch/SN74LS161AMEL/page-1", "SN74LS161AMEL")</f>
        <v>SN74LS161AMEL</v>
      </c>
      <c r="B30574" s="3" t="str">
        <f>HYPERLINK("https://www.773grp.com/manufacturer/onsemi?pageNo=72", "ON Semiconductor")</f>
        <v>ON Semiconductor</v>
      </c>
      <c r="C30574" s="6">
        <v>2000</v>
      </c>
      <c r="D30574" s="7">
        <v>0.69</v>
      </c>
      <c r="E30574" t="s">
        <v>26</v>
      </c>
    </row>
    <row r="30575" spans="1:5" x14ac:dyDescent="0.25">
      <c r="A30575" t="str">
        <f>HYPERLINK("https://www.773grp.com/globalSearch/SN74LS161AML/page-1", "SN74LS161AML")</f>
        <v>SN74LS161AML</v>
      </c>
      <c r="B30575" s="3" t="str">
        <f>HYPERLINK("https://www.773grp.com/manufacturer/onsemi?pageNo=73", "ON Semiconductor")</f>
        <v>ON Semiconductor</v>
      </c>
      <c r="C30575" s="6">
        <v>3000</v>
      </c>
      <c r="D30575" s="7">
        <v>0.69</v>
      </c>
    </row>
    <row r="30576" spans="1:5" x14ac:dyDescent="0.25">
      <c r="A30576" t="str">
        <f>HYPERLINK("https://www.773grp.com/globalSearch/SN74LS161AMR1/page-1", "SN74LS161AMR1")</f>
        <v>SN74LS161AMR1</v>
      </c>
      <c r="B30576" s="3" t="str">
        <f>HYPERLINK("https://www.773grp.com/manufacturer/onsemi?pageNo=74", "ON Semiconductor")</f>
        <v>ON Semiconductor</v>
      </c>
      <c r="C30576" s="6">
        <v>4000</v>
      </c>
      <c r="D30576" s="7">
        <v>0.69</v>
      </c>
      <c r="E30576" t="s">
        <v>26</v>
      </c>
    </row>
    <row r="30577" spans="1:5" x14ac:dyDescent="0.25">
      <c r="A30577" t="str">
        <f>HYPERLINK("https://www.773grp.com/globalSearch/SN74LS163AD/page-1", "SN74LS163AD")</f>
        <v>SN74LS163AD</v>
      </c>
      <c r="B30577" s="3" t="str">
        <f>HYPERLINK("https://www.773grp.com/manufacturer/onsemi?pageNo=75", "ON Semiconductor")</f>
        <v>ON Semiconductor</v>
      </c>
      <c r="C30577" s="6">
        <v>144</v>
      </c>
      <c r="D30577" s="7">
        <v>0.69</v>
      </c>
      <c r="E30577" t="s">
        <v>26</v>
      </c>
    </row>
    <row r="30578" spans="1:5" x14ac:dyDescent="0.25">
      <c r="A30578" t="str">
        <f>HYPERLINK("https://www.773grp.com/globalSearch/SN74LS163AM/page-1", "SN74LS163AM")</f>
        <v>SN74LS163AM</v>
      </c>
      <c r="B30578" s="3" t="str">
        <f>HYPERLINK("https://www.773grp.com/manufacturer/onsemi?pageNo=76", "ON Semiconductor")</f>
        <v>ON Semiconductor</v>
      </c>
      <c r="C30578" s="6">
        <v>2600</v>
      </c>
      <c r="D30578" s="7">
        <v>0.69</v>
      </c>
      <c r="E30578" t="s">
        <v>26</v>
      </c>
    </row>
    <row r="30579" spans="1:5" x14ac:dyDescent="0.25">
      <c r="A30579" t="str">
        <f>HYPERLINK("https://www.773grp.com/globalSearch/SN74LS163AML1/page-1", "SN74LS163AML1")</f>
        <v>SN74LS163AML1</v>
      </c>
      <c r="B30579" s="3" t="str">
        <f>HYPERLINK("https://www.773grp.com/manufacturer/onsemi?pageNo=77", "ON Semiconductor")</f>
        <v>ON Semiconductor</v>
      </c>
      <c r="C30579" s="6">
        <v>3000</v>
      </c>
      <c r="D30579" s="7">
        <v>0.69</v>
      </c>
    </row>
    <row r="30580" spans="1:5" x14ac:dyDescent="0.25">
      <c r="A30580" t="str">
        <f>HYPERLINK("https://www.773grp.com/globalSearch/SN74LS240N/page-1", "SN74LS240N")</f>
        <v>SN74LS240N</v>
      </c>
      <c r="B30580" s="3" t="str">
        <f>HYPERLINK("https://www.773grp.com/manufacturer/onsemi?pageNo=78", "ON Semiconductor")</f>
        <v>ON Semiconductor</v>
      </c>
      <c r="C30580" s="6">
        <v>2846</v>
      </c>
      <c r="D30580" s="7">
        <v>0.69</v>
      </c>
      <c r="E30580" t="s">
        <v>14</v>
      </c>
    </row>
    <row r="30581" spans="1:5" x14ac:dyDescent="0.25">
      <c r="A30581" t="str">
        <f>HYPERLINK("https://www.773grp.com/globalSearch/SN74LS251D/page-1", "SN74LS251D")</f>
        <v>SN74LS251D</v>
      </c>
      <c r="B30581" s="3" t="str">
        <f>HYPERLINK("https://www.773grp.com/manufacturer/onsemi?pageNo=79", "ON Semiconductor")</f>
        <v>ON Semiconductor</v>
      </c>
      <c r="C30581" s="6">
        <v>4584</v>
      </c>
      <c r="D30581" s="7">
        <v>0.69</v>
      </c>
      <c r="E30581" t="s">
        <v>20</v>
      </c>
    </row>
    <row r="30582" spans="1:5" x14ac:dyDescent="0.25">
      <c r="A30582" t="str">
        <f>HYPERLINK("https://www.773grp.com/globalSearch/SN74LS251MEL/page-1", "SN74LS251MEL")</f>
        <v>SN74LS251MEL</v>
      </c>
      <c r="B30582" s="3" t="str">
        <f>HYPERLINK("https://www.773grp.com/manufacturer/onsemi?pageNo=80", "ON Semiconductor")</f>
        <v>ON Semiconductor</v>
      </c>
      <c r="C30582" s="6">
        <v>2000</v>
      </c>
      <c r="D30582" s="7">
        <v>0.69</v>
      </c>
      <c r="E30582" t="s">
        <v>20</v>
      </c>
    </row>
    <row r="30583" spans="1:5" x14ac:dyDescent="0.25">
      <c r="A30583" t="str">
        <f>HYPERLINK("https://www.773grp.com/globalSearch/SN74LS257BD/page-1", "SN74LS257BD")</f>
        <v>SN74LS257BD</v>
      </c>
      <c r="B30583" s="3" t="str">
        <f>HYPERLINK("https://www.773grp.com/manufacturer/onsemi?pageNo=81", "ON Semiconductor")</f>
        <v>ON Semiconductor</v>
      </c>
      <c r="C30583" s="6">
        <v>1118</v>
      </c>
      <c r="D30583" s="7">
        <v>0.69</v>
      </c>
      <c r="E30583" t="s">
        <v>20</v>
      </c>
    </row>
    <row r="30584" spans="1:5" x14ac:dyDescent="0.25">
      <c r="A30584" t="str">
        <f>HYPERLINK("https://www.773grp.com/globalSearch/SN74LS257BMEL/page-1", "SN74LS257BMEL")</f>
        <v>SN74LS257BMEL</v>
      </c>
      <c r="B30584" s="3" t="str">
        <f>HYPERLINK("https://www.773grp.com/manufacturer/onsemi?pageNo=82", "ON Semiconductor")</f>
        <v>ON Semiconductor</v>
      </c>
      <c r="C30584" s="6">
        <v>2000</v>
      </c>
      <c r="D30584" s="7">
        <v>0.69</v>
      </c>
      <c r="E30584" t="s">
        <v>20</v>
      </c>
    </row>
    <row r="30585" spans="1:5" x14ac:dyDescent="0.25">
      <c r="A30585" t="str">
        <f>HYPERLINK("https://www.773grp.com/globalSearch/SN74LS257BMR1/page-1", "SN74LS257BMR1")</f>
        <v>SN74LS257BMR1</v>
      </c>
      <c r="B30585" s="3" t="str">
        <f>HYPERLINK("https://www.773grp.com/manufacturer/onsemi?pageNo=83", "ON Semiconductor")</f>
        <v>ON Semiconductor</v>
      </c>
      <c r="C30585" s="6">
        <v>2000</v>
      </c>
      <c r="D30585" s="7">
        <v>0.69</v>
      </c>
      <c r="E30585" t="s">
        <v>20</v>
      </c>
    </row>
    <row r="30586" spans="1:5" x14ac:dyDescent="0.25">
      <c r="A30586" t="str">
        <f>HYPERLINK("https://www.773grp.com/globalSearch/SN74LS258BD/page-1", "SN74LS258BD")</f>
        <v>SN74LS258BD</v>
      </c>
      <c r="B30586" s="3" t="str">
        <f>HYPERLINK("https://www.773grp.com/manufacturer/onsemi?pageNo=84", "ON Semiconductor")</f>
        <v>ON Semiconductor</v>
      </c>
      <c r="C30586" s="6">
        <v>11328</v>
      </c>
      <c r="D30586" s="7">
        <v>0.69</v>
      </c>
      <c r="E30586" t="s">
        <v>20</v>
      </c>
    </row>
    <row r="30587" spans="1:5" x14ac:dyDescent="0.25">
      <c r="A30587" t="str">
        <f>HYPERLINK("https://www.773grp.com/globalSearch/SN74LS258BDR2/page-1", "SN74LS258BDR2")</f>
        <v>SN74LS258BDR2</v>
      </c>
      <c r="B30587" s="3" t="str">
        <f>HYPERLINK("https://www.773grp.com/manufacturer/onsemi?pageNo=85", "ON Semiconductor")</f>
        <v>ON Semiconductor</v>
      </c>
      <c r="C30587" s="6">
        <v>27500</v>
      </c>
      <c r="D30587" s="7">
        <v>0.69</v>
      </c>
      <c r="E30587" t="s">
        <v>20</v>
      </c>
    </row>
    <row r="30588" spans="1:5" x14ac:dyDescent="0.25">
      <c r="A30588" t="str">
        <f>HYPERLINK("https://www.773grp.com/globalSearch/SN74LS258BML1/page-1", "SN74LS258BML1")</f>
        <v>SN74LS258BML1</v>
      </c>
      <c r="B30588" s="3" t="str">
        <f>HYPERLINK("https://www.773grp.com/manufacturer/onsemi?pageNo=86", "ON Semiconductor")</f>
        <v>ON Semiconductor</v>
      </c>
      <c r="C30588" s="6">
        <v>5000</v>
      </c>
      <c r="D30588" s="7">
        <v>0.69</v>
      </c>
    </row>
    <row r="30589" spans="1:5" x14ac:dyDescent="0.25">
      <c r="A30589" t="str">
        <f>HYPERLINK("https://www.773grp.com/globalSearch/SN74LS2600D/page-1", "SN74LS2600D")</f>
        <v>SN74LS2600D</v>
      </c>
      <c r="B30589" s="3" t="str">
        <f>HYPERLINK("https://www.773grp.com/manufacturer/onsemi?pageNo=87", "ON Semiconductor")</f>
        <v>ON Semiconductor</v>
      </c>
      <c r="C30589" s="6">
        <v>1660</v>
      </c>
      <c r="D30589" s="7">
        <v>0.69</v>
      </c>
    </row>
    <row r="30590" spans="1:5" x14ac:dyDescent="0.25">
      <c r="A30590" t="str">
        <f>HYPERLINK("https://www.773grp.com/globalSearch/SN74LS266N/page-1", "SN74LS266N")</f>
        <v>SN74LS266N</v>
      </c>
      <c r="B30590" s="3" t="str">
        <f>HYPERLINK("https://www.773grp.com/manufacturer/onsemi?pageNo=88", "ON Semiconductor")</f>
        <v>ON Semiconductor</v>
      </c>
      <c r="C30590" s="6">
        <v>555</v>
      </c>
      <c r="D30590" s="7">
        <v>0.69</v>
      </c>
      <c r="E30590" t="s">
        <v>31</v>
      </c>
    </row>
    <row r="30591" spans="1:5" x14ac:dyDescent="0.25">
      <c r="A30591" t="str">
        <f>HYPERLINK("https://www.773grp.com/globalSearch/SN74LS85D/page-1", "SN74LS85D")</f>
        <v>SN74LS85D</v>
      </c>
      <c r="B30591" s="3" t="str">
        <f>HYPERLINK("https://www.773grp.com/manufacturer/onsemi?pageNo=89", "ON Semiconductor")</f>
        <v>ON Semiconductor</v>
      </c>
      <c r="C30591" s="6">
        <v>536</v>
      </c>
      <c r="D30591" s="7">
        <v>0.69</v>
      </c>
      <c r="E30591" t="s">
        <v>43</v>
      </c>
    </row>
    <row r="30592" spans="1:5" x14ac:dyDescent="0.25">
      <c r="A30592" t="str">
        <f>HYPERLINK("https://www.773grp.com/globalSearch/SN74LS85MEL/page-1", "SN74LS85MEL")</f>
        <v>SN74LS85MEL</v>
      </c>
      <c r="B30592" s="3" t="str">
        <f>HYPERLINK("https://www.773grp.com/manufacturer/onsemi?pageNo=90", "ON Semiconductor")</f>
        <v>ON Semiconductor</v>
      </c>
      <c r="C30592" s="6">
        <v>2000</v>
      </c>
      <c r="D30592" s="7">
        <v>0.69</v>
      </c>
      <c r="E30592" t="s">
        <v>43</v>
      </c>
    </row>
    <row r="30593" spans="1:5" x14ac:dyDescent="0.25">
      <c r="A30593" t="str">
        <f>HYPERLINK("https://www.773grp.com/globalSearch/SN74LS85ML1/page-1", "SN74LS85ML1")</f>
        <v>SN74LS85ML1</v>
      </c>
      <c r="B30593" s="3" t="str">
        <f>HYPERLINK("https://www.773grp.com/manufacturer/onsemi?pageNo=91", "ON Semiconductor")</f>
        <v>ON Semiconductor</v>
      </c>
      <c r="C30593" s="6">
        <v>6000</v>
      </c>
      <c r="D30593" s="7">
        <v>0.69</v>
      </c>
    </row>
    <row r="30594" spans="1:5" x14ac:dyDescent="0.25">
      <c r="A30594" t="str">
        <f>HYPERLINK("https://www.773grp.com/globalSearch/SZ1SMB5.0AT3G/page-1", "SZ1SMB5.0AT3G")</f>
        <v>SZ1SMB5.0AT3G</v>
      </c>
      <c r="B30594" s="3" t="str">
        <f>HYPERLINK("https://www.773grp.com/manufacturer/onsemi?pageNo=92", "ON Semiconductor")</f>
        <v>ON Semiconductor</v>
      </c>
      <c r="C30594" s="6">
        <v>12500</v>
      </c>
      <c r="D30594" s="7">
        <v>0.69</v>
      </c>
    </row>
    <row r="30595" spans="1:5" x14ac:dyDescent="0.25">
      <c r="A30595" t="str">
        <f>HYPERLINK("https://www.773grp.com/globalSearch/SZ30016-86RL/page-1", "SZ30016-86RL")</f>
        <v>SZ30016-86RL</v>
      </c>
      <c r="B30595" s="3" t="str">
        <f>HYPERLINK("https://www.773grp.com/manufacturer/onsemi?pageNo=93", "ON Semiconductor")</f>
        <v>ON Semiconductor</v>
      </c>
      <c r="C30595" s="6">
        <v>5000</v>
      </c>
      <c r="D30595" s="7">
        <v>0.69</v>
      </c>
    </row>
    <row r="30596" spans="1:5" x14ac:dyDescent="0.25">
      <c r="A30596" t="str">
        <f>HYPERLINK("https://www.773grp.com/globalSearch/TIP116/page-1", "TIP116")</f>
        <v>TIP116</v>
      </c>
      <c r="B30596" s="3" t="str">
        <f>HYPERLINK("https://www.773grp.com/manufacturer/onsemi?pageNo=94", "ON Semiconductor")</f>
        <v>ON Semiconductor</v>
      </c>
      <c r="C30596" s="6">
        <v>1350</v>
      </c>
      <c r="D30596" s="7">
        <v>0.69</v>
      </c>
      <c r="E30596" t="s">
        <v>59</v>
      </c>
    </row>
    <row r="30597" spans="1:5" x14ac:dyDescent="0.25">
      <c r="A30597" t="str">
        <f>HYPERLINK("https://www.773grp.com/globalSearch/TIP125/page-1", "TIP125")</f>
        <v>TIP125</v>
      </c>
      <c r="B30597" s="3" t="str">
        <f>HYPERLINK("https://www.773grp.com/manufacturer/onsemi?pageNo=95", "ON Semiconductor")</f>
        <v>ON Semiconductor</v>
      </c>
      <c r="C30597" s="6">
        <v>4550</v>
      </c>
      <c r="D30597" s="7">
        <v>0.69</v>
      </c>
      <c r="E30597" t="s">
        <v>59</v>
      </c>
    </row>
    <row r="30598" spans="1:5" x14ac:dyDescent="0.25">
      <c r="A30598" t="str">
        <f>HYPERLINK("https://www.773grp.com/globalSearch/TIP126/page-1", "TIP126")</f>
        <v>TIP126</v>
      </c>
      <c r="B30598" s="3" t="str">
        <f>HYPERLINK("https://www.773grp.com/manufacturer/onsemi?pageNo=96", "ON Semiconductor")</f>
        <v>ON Semiconductor</v>
      </c>
      <c r="C30598" s="6">
        <v>7312</v>
      </c>
      <c r="D30598" s="7">
        <v>0.69</v>
      </c>
      <c r="E30598" t="s">
        <v>59</v>
      </c>
    </row>
    <row r="30599" spans="1:5" x14ac:dyDescent="0.25">
      <c r="A30599" t="str">
        <f>HYPERLINK("https://www.773grp.com/globalSearch/TIP127/page-1", "TIP127")</f>
        <v>TIP127</v>
      </c>
      <c r="B30599" s="3" t="str">
        <f>HYPERLINK("https://www.773grp.com/manufacturer/onsemi?pageNo=97", "ON Semiconductor")</f>
        <v>ON Semiconductor</v>
      </c>
      <c r="C30599" s="6">
        <v>610</v>
      </c>
      <c r="D30599" s="7">
        <v>0.69</v>
      </c>
      <c r="E30599" t="s">
        <v>59</v>
      </c>
    </row>
    <row r="30600" spans="1:5" x14ac:dyDescent="0.25">
      <c r="A30600" t="str">
        <f>HYPERLINK("https://www.773grp.com/globalSearch/TL431BCDMR2G/page-1", "TL431BCDMR2G")</f>
        <v>TL431BCDMR2G</v>
      </c>
      <c r="B30600" s="3" t="str">
        <f>HYPERLINK("https://www.773grp.com/manufacturer/onsemi?pageNo=98", "ON Semiconductor")</f>
        <v>ON Semiconductor</v>
      </c>
      <c r="C30600" s="6">
        <v>15938</v>
      </c>
      <c r="D30600" s="7">
        <v>0.69</v>
      </c>
      <c r="E30600" t="s">
        <v>17</v>
      </c>
    </row>
    <row r="30601" spans="1:5" x14ac:dyDescent="0.25">
      <c r="A30601" t="str">
        <f>HYPERLINK("https://www.773grp.com/globalSearch/TL431BCDR2G/page-1", "TL431BCDR2G")</f>
        <v>TL431BCDR2G</v>
      </c>
      <c r="B30601" s="3" t="str">
        <f>HYPERLINK("https://www.773grp.com/manufacturer/onsemi?pageNo=99", "ON Semiconductor")</f>
        <v>ON Semiconductor</v>
      </c>
      <c r="C30601" s="6">
        <v>17844</v>
      </c>
      <c r="D30601" s="7">
        <v>0.69</v>
      </c>
      <c r="E30601" t="s">
        <v>17</v>
      </c>
    </row>
    <row r="30602" spans="1:5" x14ac:dyDescent="0.25">
      <c r="A30602" t="str">
        <f>HYPERLINK("https://www.773grp.com/globalSearch/TL431BCLPG/page-1", "TL431BCLPG")</f>
        <v>TL431BCLPG</v>
      </c>
      <c r="B30602" s="3" t="str">
        <f>HYPERLINK("https://www.773grp.com/manufacturer/onsemi?pageNo=100", "ON Semiconductor")</f>
        <v>ON Semiconductor</v>
      </c>
      <c r="C30602" s="6">
        <v>16293</v>
      </c>
      <c r="D30602" s="7">
        <v>0.69</v>
      </c>
      <c r="E30602" t="s">
        <v>17</v>
      </c>
    </row>
    <row r="30603" spans="1:5" x14ac:dyDescent="0.25">
      <c r="A30603" t="str">
        <f>HYPERLINK("https://www.773grp.com/globalSearch/TL431BCLPRMG/page-1", "TL431BCLPRMG")</f>
        <v>TL431BCLPRMG</v>
      </c>
      <c r="B30603" s="3" t="str">
        <f>HYPERLINK("https://www.773grp.com/manufacturer/onsemi?pageNo=101", "ON Semiconductor")</f>
        <v>ON Semiconductor</v>
      </c>
      <c r="C30603" s="6">
        <v>30000</v>
      </c>
      <c r="D30603" s="7">
        <v>0.69</v>
      </c>
    </row>
    <row r="30604" spans="1:5" x14ac:dyDescent="0.25">
      <c r="A30604" t="str">
        <f>HYPERLINK("https://www.773grp.com/globalSearch/NC74ACT02NG/page-1", "NC74ACT02NG")</f>
        <v>NC74ACT02NG</v>
      </c>
      <c r="B30604" s="3" t="str">
        <f>HYPERLINK("https://www.773grp.com/manufacturer/onsemi?pageNo=102", "ON Semiconductor")</f>
        <v>ON Semiconductor</v>
      </c>
      <c r="C30604" s="6">
        <v>800</v>
      </c>
      <c r="D30604" s="7">
        <v>0.71</v>
      </c>
    </row>
    <row r="30605" spans="1:5" x14ac:dyDescent="0.25">
      <c r="A30605" t="str">
        <f>HYPERLINK("https://www.773grp.com/globalSearch/1.5KE100CARL4/page-1", "1.5KE100CARL4")</f>
        <v>1.5KE100CARL4</v>
      </c>
      <c r="B30605" s="3" t="str">
        <f>HYPERLINK("https://www.773grp.com/manufacturer/onsemi?pageNo=103", "ON Semiconductor")</f>
        <v>ON Semiconductor</v>
      </c>
      <c r="C30605" s="6">
        <v>21500</v>
      </c>
      <c r="D30605" s="7">
        <v>0.74</v>
      </c>
      <c r="E30605" t="s">
        <v>96</v>
      </c>
    </row>
    <row r="30606" spans="1:5" x14ac:dyDescent="0.25">
      <c r="A30606" t="str">
        <f>HYPERLINK("https://www.773grp.com/globalSearch/1.5KE10CA/page-1", "1.5KE10CA")</f>
        <v>1.5KE10CA</v>
      </c>
      <c r="B30606" s="3" t="str">
        <f>HYPERLINK("https://www.773grp.com/manufacturer/onsemi?pageNo=104", "ON Semiconductor")</f>
        <v>ON Semiconductor</v>
      </c>
      <c r="C30606" s="6">
        <v>8437</v>
      </c>
      <c r="D30606" s="7">
        <v>0.74</v>
      </c>
      <c r="E30606" t="s">
        <v>96</v>
      </c>
    </row>
    <row r="30607" spans="1:5" x14ac:dyDescent="0.25">
      <c r="A30607" t="str">
        <f>HYPERLINK("https://www.773grp.com/globalSearch/1.5KE10CARL4/page-1", "1.5KE10CARL4")</f>
        <v>1.5KE10CARL4</v>
      </c>
      <c r="B30607" s="3" t="str">
        <f>HYPERLINK("https://www.773grp.com/manufacturer/onsemi?pageNo=105", "ON Semiconductor")</f>
        <v>ON Semiconductor</v>
      </c>
      <c r="C30607" s="6">
        <v>9000</v>
      </c>
      <c r="D30607" s="7">
        <v>0.74</v>
      </c>
      <c r="E30607" t="s">
        <v>96</v>
      </c>
    </row>
    <row r="30608" spans="1:5" x14ac:dyDescent="0.25">
      <c r="A30608" t="str">
        <f>HYPERLINK("https://www.773grp.com/globalSearch/1.5KE120CARL4/page-1", "1.5KE120CARL4")</f>
        <v>1.5KE120CARL4</v>
      </c>
      <c r="B30608" s="3" t="str">
        <f>HYPERLINK("https://www.773grp.com/manufacturer/onsemi?pageNo=106", "ON Semiconductor")</f>
        <v>ON Semiconductor</v>
      </c>
      <c r="C30608" s="6">
        <v>3000</v>
      </c>
      <c r="D30608" s="7">
        <v>0.74</v>
      </c>
      <c r="E30608" t="s">
        <v>96</v>
      </c>
    </row>
    <row r="30609" spans="1:5" x14ac:dyDescent="0.25">
      <c r="A30609" t="str">
        <f>HYPERLINK("https://www.773grp.com/globalSearch/1.5KE13ARL4G/page-1", "1.5KE13ARL4G")</f>
        <v>1.5KE13ARL4G</v>
      </c>
      <c r="B30609" s="3" t="str">
        <f>HYPERLINK("https://www.773grp.com/manufacturer/onsemi?pageNo=107", "ON Semiconductor")</f>
        <v>ON Semiconductor</v>
      </c>
      <c r="C30609" s="6">
        <v>231730</v>
      </c>
      <c r="D30609" s="7">
        <v>0.74</v>
      </c>
      <c r="E30609" t="s">
        <v>96</v>
      </c>
    </row>
    <row r="30610" spans="1:5" x14ac:dyDescent="0.25">
      <c r="A30610" t="str">
        <f>HYPERLINK("https://www.773grp.com/globalSearch/1.5KE15CA/page-1", "1.5KE15CA")</f>
        <v>1.5KE15CA</v>
      </c>
      <c r="B30610" s="3" t="str">
        <f>HYPERLINK("https://www.773grp.com/manufacturer/onsemi?pageNo=108", "ON Semiconductor")</f>
        <v>ON Semiconductor</v>
      </c>
      <c r="C30610" s="6">
        <v>35550</v>
      </c>
      <c r="D30610" s="7">
        <v>0.74</v>
      </c>
      <c r="E30610" t="s">
        <v>96</v>
      </c>
    </row>
    <row r="30611" spans="1:5" x14ac:dyDescent="0.25">
      <c r="A30611" t="str">
        <f>HYPERLINK("https://www.773grp.com/globalSearch/1.5KE15CARL4/page-1", "1.5KE15CARL4")</f>
        <v>1.5KE15CARL4</v>
      </c>
      <c r="B30611" s="3" t="str">
        <f>HYPERLINK("https://www.773grp.com/manufacturer/onsemi?pageNo=109", "ON Semiconductor")</f>
        <v>ON Semiconductor</v>
      </c>
      <c r="C30611" s="6">
        <v>9000</v>
      </c>
      <c r="D30611" s="7">
        <v>0.74</v>
      </c>
      <c r="E30611" t="s">
        <v>96</v>
      </c>
    </row>
    <row r="30612" spans="1:5" x14ac:dyDescent="0.25">
      <c r="A30612" t="str">
        <f>HYPERLINK("https://www.773grp.com/globalSearch/1.5KE16ARL4G/page-1", "1.5KE16ARL4G")</f>
        <v>1.5KE16ARL4G</v>
      </c>
      <c r="B30612" s="3" t="str">
        <f>HYPERLINK("https://www.773grp.com/manufacturer/onsemi?pageNo=110", "ON Semiconductor")</f>
        <v>ON Semiconductor</v>
      </c>
      <c r="C30612" s="6">
        <v>9090</v>
      </c>
      <c r="D30612" s="7">
        <v>0.74</v>
      </c>
      <c r="E30612" t="s">
        <v>96</v>
      </c>
    </row>
    <row r="30613" spans="1:5" x14ac:dyDescent="0.25">
      <c r="A30613" t="str">
        <f>HYPERLINK("https://www.773grp.com/globalSearch/1.5KE16CA/page-1", "1.5KE16CA")</f>
        <v>1.5KE16CA</v>
      </c>
      <c r="B30613" s="3" t="str">
        <f>HYPERLINK("https://www.773grp.com/manufacturer/onsemi?pageNo=111", "ON Semiconductor")</f>
        <v>ON Semiconductor</v>
      </c>
      <c r="C30613" s="6">
        <v>1027</v>
      </c>
      <c r="D30613" s="7">
        <v>0.74</v>
      </c>
      <c r="E30613" t="s">
        <v>96</v>
      </c>
    </row>
    <row r="30614" spans="1:5" x14ac:dyDescent="0.25">
      <c r="A30614" t="str">
        <f>HYPERLINK("https://www.773grp.com/globalSearch/1.5KE180ARL4/page-1", "1.5KE180ARL4")</f>
        <v>1.5KE180ARL4</v>
      </c>
      <c r="B30614" s="3" t="str">
        <f>HYPERLINK("https://www.773grp.com/manufacturer/onsemi?pageNo=112", "ON Semiconductor")</f>
        <v>ON Semiconductor</v>
      </c>
      <c r="C30614" s="6">
        <v>4500</v>
      </c>
      <c r="D30614" s="7">
        <v>0.74</v>
      </c>
      <c r="E30614" t="s">
        <v>96</v>
      </c>
    </row>
    <row r="30615" spans="1:5" x14ac:dyDescent="0.25">
      <c r="A30615" t="str">
        <f>HYPERLINK("https://www.773grp.com/globalSearch/1.5KE180CARL4/page-1", "1.5KE180CARL4")</f>
        <v>1.5KE180CARL4</v>
      </c>
      <c r="B30615" s="3" t="str">
        <f>HYPERLINK("https://www.773grp.com/manufacturer/onsemi?pageNo=113", "ON Semiconductor")</f>
        <v>ON Semiconductor</v>
      </c>
      <c r="C30615" s="6">
        <v>4500</v>
      </c>
      <c r="D30615" s="7">
        <v>0.74</v>
      </c>
      <c r="E30615" t="s">
        <v>96</v>
      </c>
    </row>
    <row r="30616" spans="1:5" x14ac:dyDescent="0.25">
      <c r="A30616" t="str">
        <f>HYPERLINK("https://www.773grp.com/globalSearch/1.5KE18ARL4G/page-1", "1.5KE18ARL4G")</f>
        <v>1.5KE18ARL4G</v>
      </c>
      <c r="B30616" s="3" t="str">
        <f>HYPERLINK("https://www.773grp.com/manufacturer/onsemi?pageNo=114", "ON Semiconductor")</f>
        <v>ON Semiconductor</v>
      </c>
      <c r="C30616" s="6">
        <v>22500</v>
      </c>
      <c r="D30616" s="7">
        <v>0.74</v>
      </c>
      <c r="E30616" t="s">
        <v>96</v>
      </c>
    </row>
    <row r="30617" spans="1:5" x14ac:dyDescent="0.25">
      <c r="A30617" t="str">
        <f>HYPERLINK("https://www.773grp.com/globalSearch/1.5KE20CA/page-1", "1.5KE20CA")</f>
        <v>1.5KE20CA</v>
      </c>
      <c r="B30617" s="3" t="str">
        <f>HYPERLINK("https://www.773grp.com/manufacturer/onsemi?pageNo=115", "ON Semiconductor")</f>
        <v>ON Semiconductor</v>
      </c>
      <c r="C30617" s="6">
        <v>377</v>
      </c>
      <c r="D30617" s="7">
        <v>0.74</v>
      </c>
      <c r="E30617" t="s">
        <v>96</v>
      </c>
    </row>
    <row r="30618" spans="1:5" x14ac:dyDescent="0.25">
      <c r="A30618" t="str">
        <f>HYPERLINK("https://www.773grp.com/globalSearch/1.5KE220A/page-1", "1.5KE220A")</f>
        <v>1.5KE220A</v>
      </c>
      <c r="B30618" s="3" t="str">
        <f>HYPERLINK("https://www.773grp.com/manufacturer/onsemi?pageNo=116", "ON Semiconductor")</f>
        <v>ON Semiconductor</v>
      </c>
      <c r="C30618" s="6">
        <v>8628</v>
      </c>
      <c r="D30618" s="7">
        <v>0.74</v>
      </c>
      <c r="E30618" t="s">
        <v>96</v>
      </c>
    </row>
    <row r="30619" spans="1:5" x14ac:dyDescent="0.25">
      <c r="A30619" t="str">
        <f>HYPERLINK("https://www.773grp.com/globalSearch/1.5KE22CA/page-1", "1.5KE22CA")</f>
        <v>1.5KE22CA</v>
      </c>
      <c r="B30619" s="3" t="str">
        <f>HYPERLINK("https://www.773grp.com/manufacturer/onsemi?pageNo=117", "ON Semiconductor")</f>
        <v>ON Semiconductor</v>
      </c>
      <c r="C30619" s="6">
        <v>2000</v>
      </c>
      <c r="D30619" s="7">
        <v>0.74</v>
      </c>
      <c r="E30619" t="s">
        <v>96</v>
      </c>
    </row>
    <row r="30620" spans="1:5" x14ac:dyDescent="0.25">
      <c r="A30620" t="str">
        <f>HYPERLINK("https://www.773grp.com/globalSearch/1.5KE22CARL4/page-1", "1.5KE22CARL4")</f>
        <v>1.5KE22CARL4</v>
      </c>
      <c r="B30620" s="3" t="str">
        <f>HYPERLINK("https://www.773grp.com/manufacturer/onsemi?pageNo=118", "ON Semiconductor")</f>
        <v>ON Semiconductor</v>
      </c>
      <c r="C30620" s="6">
        <v>6000</v>
      </c>
      <c r="D30620" s="7">
        <v>0.74</v>
      </c>
      <c r="E30620" t="s">
        <v>96</v>
      </c>
    </row>
    <row r="30621" spans="1:5" x14ac:dyDescent="0.25">
      <c r="A30621" t="str">
        <f>HYPERLINK("https://www.773grp.com/globalSearch/1.5KE24CARL4/page-1", "1.5KE24CARL4")</f>
        <v>1.5KE24CARL4</v>
      </c>
      <c r="B30621" s="3" t="str">
        <f>HYPERLINK("https://www.773grp.com/manufacturer/onsemi?pageNo=119", "ON Semiconductor")</f>
        <v>ON Semiconductor</v>
      </c>
      <c r="C30621" s="6">
        <v>19500</v>
      </c>
      <c r="D30621" s="7">
        <v>0.74</v>
      </c>
      <c r="E30621" t="s">
        <v>96</v>
      </c>
    </row>
    <row r="30622" spans="1:5" x14ac:dyDescent="0.25">
      <c r="A30622" t="str">
        <f>HYPERLINK("https://www.773grp.com/globalSearch/1.5KE27ARL4G/page-1", "1.5KE27ARL4G")</f>
        <v>1.5KE27ARL4G</v>
      </c>
      <c r="B30622" s="3" t="str">
        <f>HYPERLINK("https://www.773grp.com/manufacturer/onsemi?pageNo=120", "ON Semiconductor")</f>
        <v>ON Semiconductor</v>
      </c>
      <c r="C30622" s="6">
        <v>48000</v>
      </c>
      <c r="D30622" s="7">
        <v>0.74</v>
      </c>
      <c r="E30622" t="s">
        <v>96</v>
      </c>
    </row>
    <row r="30623" spans="1:5" x14ac:dyDescent="0.25">
      <c r="A30623" t="str">
        <f>HYPERLINK("https://www.773grp.com/globalSearch/1.5KE27CA/page-1", "1.5KE27CA")</f>
        <v>1.5KE27CA</v>
      </c>
      <c r="B30623" s="3" t="str">
        <f>HYPERLINK("https://www.773grp.com/manufacturer/onsemi?pageNo=121", "ON Semiconductor")</f>
        <v>ON Semiconductor</v>
      </c>
      <c r="C30623" s="6">
        <v>11433</v>
      </c>
      <c r="D30623" s="7">
        <v>0.74</v>
      </c>
      <c r="E30623" t="s">
        <v>96</v>
      </c>
    </row>
    <row r="30624" spans="1:5" x14ac:dyDescent="0.25">
      <c r="A30624" t="str">
        <f>HYPERLINK("https://www.773grp.com/globalSearch/1.5KE30CA/page-1", "1.5KE30CA")</f>
        <v>1.5KE30CA</v>
      </c>
      <c r="B30624" s="3" t="str">
        <f>HYPERLINK("https://www.773grp.com/manufacturer/onsemi?pageNo=122", "ON Semiconductor")</f>
        <v>ON Semiconductor</v>
      </c>
      <c r="C30624" s="6">
        <v>14000</v>
      </c>
      <c r="D30624" s="7">
        <v>0.74</v>
      </c>
      <c r="E30624" t="s">
        <v>96</v>
      </c>
    </row>
    <row r="30625" spans="1:5" x14ac:dyDescent="0.25">
      <c r="A30625" t="str">
        <f>HYPERLINK("https://www.773grp.com/globalSearch/1.5KE33CA/page-1", "1.5KE33CA")</f>
        <v>1.5KE33CA</v>
      </c>
      <c r="B30625" s="3" t="str">
        <f>HYPERLINK("https://www.773grp.com/manufacturer/onsemi?pageNo=123", "ON Semiconductor")</f>
        <v>ON Semiconductor</v>
      </c>
      <c r="C30625" s="6">
        <v>12000</v>
      </c>
      <c r="D30625" s="7">
        <v>0.74</v>
      </c>
      <c r="E30625" t="s">
        <v>96</v>
      </c>
    </row>
    <row r="30626" spans="1:5" x14ac:dyDescent="0.25">
      <c r="A30626" t="str">
        <f>HYPERLINK("https://www.773grp.com/globalSearch/1.5KE36ARL4G/page-1", "1.5KE36ARL4G")</f>
        <v>1.5KE36ARL4G</v>
      </c>
      <c r="B30626" s="3" t="str">
        <f>HYPERLINK("https://www.773grp.com/manufacturer/onsemi?pageNo=124", "ON Semiconductor")</f>
        <v>ON Semiconductor</v>
      </c>
      <c r="C30626" s="6">
        <v>3000</v>
      </c>
      <c r="D30626" s="7">
        <v>0.74</v>
      </c>
      <c r="E30626" t="s">
        <v>96</v>
      </c>
    </row>
    <row r="30627" spans="1:5" x14ac:dyDescent="0.25">
      <c r="A30627" t="str">
        <f>HYPERLINK("https://www.773grp.com/globalSearch/1.5KE36ARL4G/page-1", "1.5KE36ARL4G")</f>
        <v>1.5KE36ARL4G</v>
      </c>
      <c r="B30627" s="3" t="str">
        <f>HYPERLINK("https://www.773grp.com/manufacturer/onsemi?pageNo=125", "ON Semiconductor")</f>
        <v>ON Semiconductor</v>
      </c>
      <c r="C30627" s="6">
        <v>19500</v>
      </c>
      <c r="D30627" s="7">
        <v>0.74</v>
      </c>
      <c r="E30627" t="s">
        <v>96</v>
      </c>
    </row>
    <row r="30628" spans="1:5" x14ac:dyDescent="0.25">
      <c r="A30628" t="str">
        <f>HYPERLINK("https://www.773grp.com/globalSearch/1.5KE36CA/page-1", "1.5KE36CA")</f>
        <v>1.5KE36CA</v>
      </c>
      <c r="B30628" s="3" t="str">
        <f>HYPERLINK("https://www.773grp.com/manufacturer/onsemi?pageNo=126", "ON Semiconductor")</f>
        <v>ON Semiconductor</v>
      </c>
      <c r="C30628" s="6">
        <v>19000</v>
      </c>
      <c r="D30628" s="7">
        <v>0.74</v>
      </c>
      <c r="E30628" t="s">
        <v>96</v>
      </c>
    </row>
    <row r="30629" spans="1:5" x14ac:dyDescent="0.25">
      <c r="A30629" t="str">
        <f>HYPERLINK("https://www.773grp.com/globalSearch/1.5KE36CARL4/page-1", "1.5KE36CARL4")</f>
        <v>1.5KE36CARL4</v>
      </c>
      <c r="B30629" s="3" t="str">
        <f>HYPERLINK("https://www.773grp.com/manufacturer/onsemi?pageNo=127", "ON Semiconductor")</f>
        <v>ON Semiconductor</v>
      </c>
      <c r="C30629" s="6">
        <v>5745</v>
      </c>
      <c r="D30629" s="7">
        <v>0.74</v>
      </c>
      <c r="E30629" t="s">
        <v>96</v>
      </c>
    </row>
    <row r="30630" spans="1:5" x14ac:dyDescent="0.25">
      <c r="A30630" t="str">
        <f>HYPERLINK("https://www.773grp.com/globalSearch/1.5KE43CA/page-1", "1.5KE43CA")</f>
        <v>1.5KE43CA</v>
      </c>
      <c r="B30630" s="3" t="str">
        <f>HYPERLINK("https://www.773grp.com/manufacturer/onsemi?pageNo=128", "ON Semiconductor")</f>
        <v>ON Semiconductor</v>
      </c>
      <c r="C30630" s="6">
        <v>8815</v>
      </c>
      <c r="D30630" s="7">
        <v>0.74</v>
      </c>
      <c r="E30630" t="s">
        <v>96</v>
      </c>
    </row>
    <row r="30631" spans="1:5" x14ac:dyDescent="0.25">
      <c r="A30631" t="str">
        <f>HYPERLINK("https://www.773grp.com/globalSearch/1.5KE43CARL4/page-1", "1.5KE43CARL4")</f>
        <v>1.5KE43CARL4</v>
      </c>
      <c r="B30631" s="3" t="str">
        <f>HYPERLINK("https://www.773grp.com/manufacturer/onsemi?pageNo=129", "ON Semiconductor")</f>
        <v>ON Semiconductor</v>
      </c>
      <c r="C30631" s="6">
        <v>7500</v>
      </c>
      <c r="D30631" s="7">
        <v>0.74</v>
      </c>
      <c r="E30631" t="s">
        <v>96</v>
      </c>
    </row>
    <row r="30632" spans="1:5" x14ac:dyDescent="0.25">
      <c r="A30632" t="str">
        <f>HYPERLINK("https://www.773grp.com/globalSearch/1.5KE56ARL4G/page-1", "1.5KE56ARL4G")</f>
        <v>1.5KE56ARL4G</v>
      </c>
      <c r="B30632" s="3" t="str">
        <f>HYPERLINK("https://www.773grp.com/manufacturer/onsemi?pageNo=130", "ON Semiconductor")</f>
        <v>ON Semiconductor</v>
      </c>
      <c r="C30632" s="6">
        <v>6000</v>
      </c>
      <c r="D30632" s="7">
        <v>0.74</v>
      </c>
      <c r="E30632" t="s">
        <v>96</v>
      </c>
    </row>
    <row r="30633" spans="1:5" x14ac:dyDescent="0.25">
      <c r="A30633" t="str">
        <f>HYPERLINK("https://www.773grp.com/globalSearch/1.5KE6.8AG/page-1", "1.5KE6.8AG")</f>
        <v>1.5KE6.8AG</v>
      </c>
      <c r="B30633" s="3" t="str">
        <f>HYPERLINK("https://www.773grp.com/manufacturer/onsemi?pageNo=131", "ON Semiconductor")</f>
        <v>ON Semiconductor</v>
      </c>
      <c r="C30633" s="6">
        <v>1977</v>
      </c>
      <c r="D30633" s="7">
        <v>0.74</v>
      </c>
      <c r="E30633" t="s">
        <v>96</v>
      </c>
    </row>
    <row r="30634" spans="1:5" x14ac:dyDescent="0.25">
      <c r="A30634" t="str">
        <f>HYPERLINK("https://www.773grp.com/globalSearch/1.5KE6.8ARL4G/page-1", "1.5KE6.8ARL4G")</f>
        <v>1.5KE6.8ARL4G</v>
      </c>
      <c r="B30634" s="3" t="str">
        <f>HYPERLINK("https://www.773grp.com/manufacturer/onsemi?pageNo=132", "ON Semiconductor")</f>
        <v>ON Semiconductor</v>
      </c>
      <c r="C30634" s="6">
        <v>6000</v>
      </c>
      <c r="D30634" s="7">
        <v>0.74</v>
      </c>
      <c r="E30634" t="s">
        <v>96</v>
      </c>
    </row>
    <row r="30635" spans="1:5" x14ac:dyDescent="0.25">
      <c r="A30635" t="str">
        <f>HYPERLINK("https://www.773grp.com/globalSearch/1.5KE62CA/page-1", "1.5KE62CA")</f>
        <v>1.5KE62CA</v>
      </c>
      <c r="B30635" s="3" t="str">
        <f>HYPERLINK("https://www.773grp.com/manufacturer/onsemi?pageNo=133", "ON Semiconductor")</f>
        <v>ON Semiconductor</v>
      </c>
      <c r="C30635" s="6">
        <v>5</v>
      </c>
      <c r="D30635" s="7">
        <v>0.74</v>
      </c>
      <c r="E30635" t="s">
        <v>96</v>
      </c>
    </row>
    <row r="30636" spans="1:5" x14ac:dyDescent="0.25">
      <c r="A30636" t="str">
        <f>HYPERLINK("https://www.773grp.com/globalSearch/1.5KE7.5CA/page-1", "1.5KE7.5CA")</f>
        <v>1.5KE7.5CA</v>
      </c>
      <c r="B30636" s="3" t="str">
        <f>HYPERLINK("https://www.773grp.com/manufacturer/onsemi?pageNo=134", "ON Semiconductor")</f>
        <v>ON Semiconductor</v>
      </c>
      <c r="C30636" s="6">
        <v>1550</v>
      </c>
      <c r="D30636" s="7">
        <v>0.74</v>
      </c>
      <c r="E30636" t="s">
        <v>96</v>
      </c>
    </row>
    <row r="30637" spans="1:5" x14ac:dyDescent="0.25">
      <c r="A30637" t="str">
        <f>HYPERLINK("https://www.773grp.com/globalSearch/1.5KE7.5CARL4/page-1", "1.5KE7.5CARL4")</f>
        <v>1.5KE7.5CARL4</v>
      </c>
      <c r="B30637" s="3" t="str">
        <f>HYPERLINK("https://www.773grp.com/manufacturer/onsemi?pageNo=135", "ON Semiconductor")</f>
        <v>ON Semiconductor</v>
      </c>
      <c r="C30637" s="6">
        <v>9000</v>
      </c>
      <c r="D30637" s="7">
        <v>0.74</v>
      </c>
      <c r="E30637" t="s">
        <v>96</v>
      </c>
    </row>
    <row r="30638" spans="1:5" x14ac:dyDescent="0.25">
      <c r="A30638" t="str">
        <f>HYPERLINK("https://www.773grp.com/globalSearch/1N4695/page-1", "1N4695")</f>
        <v>1N4695</v>
      </c>
      <c r="B30638" s="3" t="str">
        <f>HYPERLINK("https://www.773grp.com/manufacturer/onsemi?pageNo=136", "ON Semiconductor")</f>
        <v>ON Semiconductor</v>
      </c>
      <c r="C30638" s="6">
        <v>5087</v>
      </c>
      <c r="D30638" s="7">
        <v>0.74</v>
      </c>
      <c r="E30638" t="s">
        <v>98</v>
      </c>
    </row>
    <row r="30639" spans="1:5" x14ac:dyDescent="0.25">
      <c r="A30639" t="str">
        <f>HYPERLINK("https://www.773grp.com/globalSearch/1N4696/page-1", "1N4696")</f>
        <v>1N4696</v>
      </c>
      <c r="B30639" s="3" t="str">
        <f>HYPERLINK("https://www.773grp.com/manufacturer/onsemi?pageNo=137", "ON Semiconductor")</f>
        <v>ON Semiconductor</v>
      </c>
      <c r="C30639" s="6">
        <v>1</v>
      </c>
      <c r="D30639" s="7">
        <v>0.74</v>
      </c>
      <c r="E30639" t="s">
        <v>98</v>
      </c>
    </row>
    <row r="30640" spans="1:5" x14ac:dyDescent="0.25">
      <c r="A30640" t="str">
        <f>HYPERLINK("https://www.773grp.com/globalSearch/1N6267ARL4G/page-1", "1N6267ARL4G")</f>
        <v>1N6267ARL4G</v>
      </c>
      <c r="B30640" s="3" t="str">
        <f>HYPERLINK("https://www.773grp.com/manufacturer/onsemi?pageNo=138", "ON Semiconductor")</f>
        <v>ON Semiconductor</v>
      </c>
      <c r="C30640" s="6">
        <v>1084</v>
      </c>
      <c r="D30640" s="7">
        <v>0.74</v>
      </c>
    </row>
    <row r="30641" spans="1:5" x14ac:dyDescent="0.25">
      <c r="A30641" t="str">
        <f>HYPERLINK("https://www.773grp.com/globalSearch/1N6270A/page-1", "1N6270A")</f>
        <v>1N6270A</v>
      </c>
      <c r="B30641" s="3" t="str">
        <f>HYPERLINK("https://www.773grp.com/manufacturer/onsemi?pageNo=139", "ON Semiconductor")</f>
        <v>ON Semiconductor</v>
      </c>
      <c r="C30641" s="6">
        <v>638</v>
      </c>
      <c r="D30641" s="7">
        <v>0.74</v>
      </c>
      <c r="E30641" t="s">
        <v>96</v>
      </c>
    </row>
    <row r="30642" spans="1:5" x14ac:dyDescent="0.25">
      <c r="A30642" t="str">
        <f>HYPERLINK("https://www.773grp.com/globalSearch/1N6288ARL4G/page-1", "1N6288ARL4G")</f>
        <v>1N6288ARL4G</v>
      </c>
      <c r="B30642" s="3" t="str">
        <f>HYPERLINK("https://www.773grp.com/manufacturer/onsemi?pageNo=140", "ON Semiconductor")</f>
        <v>ON Semiconductor</v>
      </c>
      <c r="C30642" s="6">
        <v>3000</v>
      </c>
      <c r="D30642" s="7">
        <v>0.74</v>
      </c>
      <c r="E30642" t="s">
        <v>96</v>
      </c>
    </row>
    <row r="30643" spans="1:5" x14ac:dyDescent="0.25">
      <c r="A30643" t="str">
        <f>HYPERLINK("https://www.773grp.com/globalSearch/1SMB5914BT3G/page-1", "1SMB5914BT3G")</f>
        <v>1SMB5914BT3G</v>
      </c>
      <c r="B30643" s="3" t="str">
        <f>HYPERLINK("https://www.773grp.com/manufacturer/onsemi?pageNo=141", "ON Semiconductor")</f>
        <v>ON Semiconductor</v>
      </c>
      <c r="C30643" s="6">
        <v>14711</v>
      </c>
      <c r="D30643" s="7">
        <v>0.74</v>
      </c>
      <c r="E30643" t="s">
        <v>98</v>
      </c>
    </row>
    <row r="30644" spans="1:5" x14ac:dyDescent="0.25">
      <c r="A30644" t="str">
        <f>HYPERLINK("https://www.773grp.com/globalSearch/1SMB5915BT3G/page-1", "1SMB5915BT3G")</f>
        <v>1SMB5915BT3G</v>
      </c>
      <c r="B30644" s="3" t="str">
        <f>HYPERLINK("https://www.773grp.com/manufacturer/onsemi?pageNo=142", "ON Semiconductor")</f>
        <v>ON Semiconductor</v>
      </c>
      <c r="C30644" s="6">
        <v>644</v>
      </c>
      <c r="D30644" s="7">
        <v>0.74</v>
      </c>
      <c r="E30644" t="s">
        <v>98</v>
      </c>
    </row>
    <row r="30645" spans="1:5" x14ac:dyDescent="0.25">
      <c r="A30645" t="str">
        <f>HYPERLINK("https://www.773grp.com/globalSearch/1SMB5916BT3G/page-1", "1SMB5916BT3G")</f>
        <v>1SMB5916BT3G</v>
      </c>
      <c r="B30645" s="3" t="str">
        <f>HYPERLINK("https://www.773grp.com/manufacturer/onsemi?pageNo=143", "ON Semiconductor")</f>
        <v>ON Semiconductor</v>
      </c>
      <c r="C30645" s="6">
        <v>19484</v>
      </c>
      <c r="D30645" s="7">
        <v>0.74</v>
      </c>
      <c r="E30645" t="s">
        <v>98</v>
      </c>
    </row>
    <row r="30646" spans="1:5" x14ac:dyDescent="0.25">
      <c r="A30646" t="str">
        <f>HYPERLINK("https://www.773grp.com/globalSearch/1SMB5926BT3G/page-1", "1SMB5926BT3G")</f>
        <v>1SMB5926BT3G</v>
      </c>
      <c r="B30646" s="3" t="str">
        <f>HYPERLINK("https://www.773grp.com/manufacturer/onsemi?pageNo=144", "ON Semiconductor")</f>
        <v>ON Semiconductor</v>
      </c>
      <c r="C30646" s="6">
        <v>155000</v>
      </c>
      <c r="D30646" s="7">
        <v>0.74</v>
      </c>
      <c r="E30646" t="s">
        <v>98</v>
      </c>
    </row>
    <row r="30647" spans="1:5" x14ac:dyDescent="0.25">
      <c r="A30647" t="str">
        <f>HYPERLINK("https://www.773grp.com/globalSearch/1SMB5927BT3G/page-1", "1SMB5927BT3G")</f>
        <v>1SMB5927BT3G</v>
      </c>
      <c r="B30647" s="3" t="str">
        <f>HYPERLINK("https://www.773grp.com/manufacturer/onsemi?pageNo=145", "ON Semiconductor")</f>
        <v>ON Semiconductor</v>
      </c>
      <c r="C30647" s="6">
        <v>328422</v>
      </c>
      <c r="D30647" s="7">
        <v>0.74</v>
      </c>
      <c r="E30647" t="s">
        <v>98</v>
      </c>
    </row>
    <row r="30648" spans="1:5" x14ac:dyDescent="0.25">
      <c r="A30648" t="str">
        <f>HYPERLINK("https://www.773grp.com/globalSearch/1SMB5933BT3G/page-1", "1SMB5933BT3G")</f>
        <v>1SMB5933BT3G</v>
      </c>
      <c r="B30648" s="3" t="str">
        <f>HYPERLINK("https://www.773grp.com/manufacturer/onsemi?pageNo=146", "ON Semiconductor")</f>
        <v>ON Semiconductor</v>
      </c>
      <c r="C30648" s="6">
        <v>5000</v>
      </c>
      <c r="D30648" s="7">
        <v>0.74</v>
      </c>
      <c r="E30648" t="s">
        <v>98</v>
      </c>
    </row>
    <row r="30649" spans="1:5" x14ac:dyDescent="0.25">
      <c r="A30649" t="str">
        <f>HYPERLINK("https://www.773grp.com/globalSearch/1SMB5937BT3G/page-1", "1SMB5937BT3G")</f>
        <v>1SMB5937BT3G</v>
      </c>
      <c r="B30649" s="3" t="str">
        <f>HYPERLINK("https://www.773grp.com/manufacturer/onsemi?pageNo=147", "ON Semiconductor")</f>
        <v>ON Semiconductor</v>
      </c>
      <c r="C30649" s="6">
        <v>7500</v>
      </c>
      <c r="D30649" s="7">
        <v>0.74</v>
      </c>
      <c r="E30649" t="s">
        <v>98</v>
      </c>
    </row>
    <row r="30650" spans="1:5" x14ac:dyDescent="0.25">
      <c r="A30650" t="str">
        <f>HYPERLINK("https://www.773grp.com/globalSearch/1SMB5938BT3G/page-1", "1SMB5938BT3G")</f>
        <v>1SMB5938BT3G</v>
      </c>
      <c r="B30650" s="3" t="str">
        <f>HYPERLINK("https://www.773grp.com/manufacturer/onsemi?pageNo=148", "ON Semiconductor")</f>
        <v>ON Semiconductor</v>
      </c>
      <c r="C30650" s="6">
        <v>67468</v>
      </c>
      <c r="D30650" s="7">
        <v>0.74</v>
      </c>
      <c r="E30650" t="s">
        <v>98</v>
      </c>
    </row>
    <row r="30651" spans="1:5" x14ac:dyDescent="0.25">
      <c r="A30651" t="str">
        <f>HYPERLINK("https://www.773grp.com/globalSearch/1SMB5939BT3G/page-1", "1SMB5939BT3G")</f>
        <v>1SMB5939BT3G</v>
      </c>
      <c r="B30651" s="3" t="str">
        <f>HYPERLINK("https://www.773grp.com/manufacturer/onsemi?pageNo=149", "ON Semiconductor")</f>
        <v>ON Semiconductor</v>
      </c>
      <c r="C30651" s="6">
        <v>305000</v>
      </c>
      <c r="D30651" s="7">
        <v>0.74</v>
      </c>
      <c r="E30651" t="s">
        <v>98</v>
      </c>
    </row>
    <row r="30652" spans="1:5" x14ac:dyDescent="0.25">
      <c r="A30652" t="str">
        <f>HYPERLINK("https://www.773grp.com/globalSearch/1SMB5940BT3G/page-1", "1SMB5940BT3G")</f>
        <v>1SMB5940BT3G</v>
      </c>
      <c r="B30652" s="3" t="str">
        <f>HYPERLINK("https://www.773grp.com/manufacturer/onsemi?pageNo=150", "ON Semiconductor")</f>
        <v>ON Semiconductor</v>
      </c>
      <c r="C30652" s="6">
        <v>40000</v>
      </c>
      <c r="D30652" s="7">
        <v>0.74</v>
      </c>
      <c r="E30652" t="s">
        <v>98</v>
      </c>
    </row>
    <row r="30653" spans="1:5" x14ac:dyDescent="0.25">
      <c r="A30653" t="str">
        <f>HYPERLINK("https://www.773grp.com/globalSearch/1SMB5942BT3G/page-1", "1SMB5942BT3G")</f>
        <v>1SMB5942BT3G</v>
      </c>
      <c r="B30653" s="3" t="str">
        <f>HYPERLINK("https://www.773grp.com/manufacturer/onsemi?pageNo=151", "ON Semiconductor")</f>
        <v>ON Semiconductor</v>
      </c>
      <c r="C30653" s="6">
        <v>12500</v>
      </c>
      <c r="D30653" s="7">
        <v>0.74</v>
      </c>
      <c r="E30653" t="s">
        <v>98</v>
      </c>
    </row>
    <row r="30654" spans="1:5" x14ac:dyDescent="0.25">
      <c r="A30654" t="str">
        <f>HYPERLINK("https://www.773grp.com/globalSearch/1SMB5943BT3G/page-1", "1SMB5943BT3G")</f>
        <v>1SMB5943BT3G</v>
      </c>
      <c r="B30654" s="3" t="str">
        <f>HYPERLINK("https://www.773grp.com/manufacturer/onsemi?pageNo=152", "ON Semiconductor")</f>
        <v>ON Semiconductor</v>
      </c>
      <c r="C30654" s="6">
        <v>608</v>
      </c>
      <c r="D30654" s="7">
        <v>0.74</v>
      </c>
      <c r="E30654" t="s">
        <v>98</v>
      </c>
    </row>
    <row r="30655" spans="1:5" x14ac:dyDescent="0.25">
      <c r="A30655" t="str">
        <f>HYPERLINK("https://www.773grp.com/globalSearch/1SMB5944BT3G/page-1", "1SMB5944BT3G")</f>
        <v>1SMB5944BT3G</v>
      </c>
      <c r="B30655" s="3" t="str">
        <f>HYPERLINK("https://www.773grp.com/manufacturer/onsemi?pageNo=153", "ON Semiconductor")</f>
        <v>ON Semiconductor</v>
      </c>
      <c r="C30655" s="6">
        <v>41259</v>
      </c>
      <c r="D30655" s="7">
        <v>0.74</v>
      </c>
      <c r="E30655" t="s">
        <v>98</v>
      </c>
    </row>
    <row r="30656" spans="1:5" x14ac:dyDescent="0.25">
      <c r="A30656" t="str">
        <f>HYPERLINK("https://www.773grp.com/globalSearch/1SMB5945BT3G/page-1", "1SMB5945BT3G")</f>
        <v>1SMB5945BT3G</v>
      </c>
      <c r="B30656" s="3" t="str">
        <f>HYPERLINK("https://www.773grp.com/manufacturer/onsemi?pageNo=154", "ON Semiconductor")</f>
        <v>ON Semiconductor</v>
      </c>
      <c r="C30656" s="6">
        <v>44031</v>
      </c>
      <c r="D30656" s="7">
        <v>0.74</v>
      </c>
      <c r="E30656" t="s">
        <v>98</v>
      </c>
    </row>
    <row r="30657" spans="1:5" x14ac:dyDescent="0.25">
      <c r="A30657" t="str">
        <f>HYPERLINK("https://www.773grp.com/globalSearch/1SMB5946BT3G/page-1", "1SMB5946BT3G")</f>
        <v>1SMB5946BT3G</v>
      </c>
      <c r="B30657" s="3" t="str">
        <f>HYPERLINK("https://www.773grp.com/manufacturer/onsemi?pageNo=155", "ON Semiconductor")</f>
        <v>ON Semiconductor</v>
      </c>
      <c r="C30657" s="6">
        <v>19805</v>
      </c>
      <c r="D30657" s="7">
        <v>0.74</v>
      </c>
      <c r="E30657" t="s">
        <v>98</v>
      </c>
    </row>
    <row r="30658" spans="1:5" x14ac:dyDescent="0.25">
      <c r="A30658" t="str">
        <f>HYPERLINK("https://www.773grp.com/globalSearch/1SMB5947BT3G/page-1", "1SMB5947BT3G")</f>
        <v>1SMB5947BT3G</v>
      </c>
      <c r="B30658" s="3" t="str">
        <f>HYPERLINK("https://www.773grp.com/manufacturer/onsemi?pageNo=156", "ON Semiconductor")</f>
        <v>ON Semiconductor</v>
      </c>
      <c r="C30658" s="6">
        <v>22420</v>
      </c>
      <c r="D30658" s="7">
        <v>0.74</v>
      </c>
      <c r="E30658" t="s">
        <v>98</v>
      </c>
    </row>
    <row r="30659" spans="1:5" x14ac:dyDescent="0.25">
      <c r="A30659" t="str">
        <f>HYPERLINK("https://www.773grp.com/globalSearch/1SMB5948BT3G/page-1", "1SMB5948BT3G")</f>
        <v>1SMB5948BT3G</v>
      </c>
      <c r="B30659" s="3" t="str">
        <f>HYPERLINK("https://www.773grp.com/manufacturer/onsemi?pageNo=157", "ON Semiconductor")</f>
        <v>ON Semiconductor</v>
      </c>
      <c r="C30659" s="6">
        <v>35000</v>
      </c>
      <c r="D30659" s="7">
        <v>0.74</v>
      </c>
      <c r="E30659" t="s">
        <v>98</v>
      </c>
    </row>
    <row r="30660" spans="1:5" x14ac:dyDescent="0.25">
      <c r="A30660" t="str">
        <f>HYPERLINK("https://www.773grp.com/globalSearch/1SMB5949BT3G/page-1", "1SMB5949BT3G")</f>
        <v>1SMB5949BT3G</v>
      </c>
      <c r="B30660" s="3" t="str">
        <f>HYPERLINK("https://www.773grp.com/manufacturer/onsemi?pageNo=158", "ON Semiconductor")</f>
        <v>ON Semiconductor</v>
      </c>
      <c r="C30660" s="6">
        <v>94465</v>
      </c>
      <c r="D30660" s="7">
        <v>0.74</v>
      </c>
      <c r="E30660" t="s">
        <v>98</v>
      </c>
    </row>
    <row r="30661" spans="1:5" x14ac:dyDescent="0.25">
      <c r="A30661" t="str">
        <f>HYPERLINK("https://www.773grp.com/globalSearch/1SMB5951BT3G/page-1", "1SMB5951BT3G")</f>
        <v>1SMB5951BT3G</v>
      </c>
      <c r="B30661" s="3" t="str">
        <f>HYPERLINK("https://www.773grp.com/manufacturer/onsemi?pageNo=159", "ON Semiconductor")</f>
        <v>ON Semiconductor</v>
      </c>
      <c r="C30661" s="6">
        <v>2500</v>
      </c>
      <c r="D30661" s="7">
        <v>0.74</v>
      </c>
      <c r="E30661" t="s">
        <v>98</v>
      </c>
    </row>
    <row r="30662" spans="1:5" x14ac:dyDescent="0.25">
      <c r="A30662" t="str">
        <f>HYPERLINK("https://www.773grp.com/globalSearch/1SMB5952BT3G/page-1", "1SMB5952BT3G")</f>
        <v>1SMB5952BT3G</v>
      </c>
      <c r="B30662" s="3" t="str">
        <f>HYPERLINK("https://www.773grp.com/manufacturer/onsemi?pageNo=160", "ON Semiconductor")</f>
        <v>ON Semiconductor</v>
      </c>
      <c r="C30662" s="6">
        <v>18590</v>
      </c>
      <c r="D30662" s="7">
        <v>0.74</v>
      </c>
      <c r="E30662" t="s">
        <v>98</v>
      </c>
    </row>
    <row r="30663" spans="1:5" x14ac:dyDescent="0.25">
      <c r="A30663" t="str">
        <f>HYPERLINK("https://www.773grp.com/globalSearch/1SMB5954BT3G/page-1", "1SMB5954BT3G")</f>
        <v>1SMB5954BT3G</v>
      </c>
      <c r="B30663" s="3" t="str">
        <f>HYPERLINK("https://www.773grp.com/manufacturer/onsemi?pageNo=161", "ON Semiconductor")</f>
        <v>ON Semiconductor</v>
      </c>
      <c r="C30663" s="6">
        <v>25000</v>
      </c>
      <c r="D30663" s="7">
        <v>0.74</v>
      </c>
      <c r="E30663" t="s">
        <v>98</v>
      </c>
    </row>
    <row r="30664" spans="1:5" x14ac:dyDescent="0.25">
      <c r="A30664" t="str">
        <f>HYPERLINK("https://www.773grp.com/globalSearch/1SMB5955BT3G/page-1", "1SMB5955BT3G")</f>
        <v>1SMB5955BT3G</v>
      </c>
      <c r="B30664" s="3" t="str">
        <f>HYPERLINK("https://www.773grp.com/manufacturer/onsemi?pageNo=162", "ON Semiconductor")</f>
        <v>ON Semiconductor</v>
      </c>
      <c r="C30664" s="6">
        <v>20000</v>
      </c>
      <c r="D30664" s="7">
        <v>0.74</v>
      </c>
      <c r="E30664" t="s">
        <v>98</v>
      </c>
    </row>
    <row r="30665" spans="1:5" x14ac:dyDescent="0.25">
      <c r="A30665" t="str">
        <f>HYPERLINK("https://www.773grp.com/globalSearch/2N5191/page-1", "2N5191")</f>
        <v>2N5191</v>
      </c>
      <c r="B30665" s="3" t="str">
        <f>HYPERLINK("https://www.773grp.com/manufacturer/onsemi?pageNo=163", "ON Semiconductor")</f>
        <v>ON Semiconductor</v>
      </c>
      <c r="C30665" s="6">
        <v>2292</v>
      </c>
      <c r="D30665" s="7">
        <v>0.74</v>
      </c>
      <c r="E30665" t="s">
        <v>59</v>
      </c>
    </row>
    <row r="30666" spans="1:5" x14ac:dyDescent="0.25">
      <c r="A30666" t="str">
        <f>HYPERLINK("https://www.773grp.com/globalSearch/2N5192/page-1", "2N5192")</f>
        <v>2N5192</v>
      </c>
      <c r="B30666" s="3" t="str">
        <f>HYPERLINK("https://www.773grp.com/manufacturer/onsemi?pageNo=164", "ON Semiconductor")</f>
        <v>ON Semiconductor</v>
      </c>
      <c r="C30666" s="6">
        <v>1211</v>
      </c>
      <c r="D30666" s="7">
        <v>0.74</v>
      </c>
      <c r="E30666" t="s">
        <v>59</v>
      </c>
    </row>
    <row r="30667" spans="1:5" x14ac:dyDescent="0.25">
      <c r="A30667" t="str">
        <f>HYPERLINK("https://www.773grp.com/globalSearch/2N6045/page-1", "2N6045")</f>
        <v>2N6045</v>
      </c>
      <c r="B30667" s="3" t="str">
        <f>HYPERLINK("https://www.773grp.com/manufacturer/onsemi?pageNo=165", "ON Semiconductor")</f>
        <v>ON Semiconductor</v>
      </c>
      <c r="C30667" s="6">
        <v>366</v>
      </c>
      <c r="D30667" s="7">
        <v>0.74</v>
      </c>
      <c r="E30667" t="s">
        <v>59</v>
      </c>
    </row>
    <row r="30668" spans="1:5" x14ac:dyDescent="0.25">
      <c r="A30668" t="str">
        <f>HYPERLINK("https://www.773grp.com/globalSearch/2N6515RLRMG/page-1", "2N6515RLRMG")</f>
        <v>2N6515RLRMG</v>
      </c>
      <c r="B30668" s="3" t="str">
        <f>HYPERLINK("https://www.773grp.com/manufacturer/onsemi?pageNo=166", "ON Semiconductor")</f>
        <v>ON Semiconductor</v>
      </c>
      <c r="C30668" s="6">
        <v>20410</v>
      </c>
      <c r="D30668" s="7">
        <v>0.74</v>
      </c>
      <c r="E30668" t="s">
        <v>69</v>
      </c>
    </row>
    <row r="30669" spans="1:5" x14ac:dyDescent="0.25">
      <c r="A30669" t="str">
        <f>HYPERLINK("https://www.773grp.com/globalSearch/2N6519RLRA/page-1", "2N6519RLRA")</f>
        <v>2N6519RLRA</v>
      </c>
      <c r="B30669" s="3" t="str">
        <f>HYPERLINK("https://www.773grp.com/manufacturer/onsemi?pageNo=167", "ON Semiconductor")</f>
        <v>ON Semiconductor</v>
      </c>
      <c r="C30669" s="6">
        <v>12000</v>
      </c>
      <c r="D30669" s="7">
        <v>0.74</v>
      </c>
      <c r="E30669" t="s">
        <v>69</v>
      </c>
    </row>
    <row r="30670" spans="1:5" x14ac:dyDescent="0.25">
      <c r="A30670" t="str">
        <f>HYPERLINK("https://www.773grp.com/globalSearch/2SC4488S-AN/page-1", "2SC4488S-AN")</f>
        <v>2SC4488S-AN</v>
      </c>
      <c r="B30670" s="3" t="str">
        <f>HYPERLINK("https://www.773grp.com/manufacturer/onsemi?pageNo=168", "ON Semiconductor")</f>
        <v>ON Semiconductor</v>
      </c>
      <c r="C30670" s="6">
        <v>2500</v>
      </c>
      <c r="D30670" s="7">
        <v>0.74</v>
      </c>
    </row>
    <row r="30671" spans="1:5" x14ac:dyDescent="0.25">
      <c r="A30671" t="str">
        <f>HYPERLINK("https://www.773grp.com/globalSearch/2SD1623S-TD-E/page-1", "2SD1623S-TD-E")</f>
        <v>2SD1623S-TD-E</v>
      </c>
      <c r="B30671" s="3" t="str">
        <f>HYPERLINK("https://www.773grp.com/manufacturer/onsemi?pageNo=169", "ON Semiconductor")</f>
        <v>ON Semiconductor</v>
      </c>
      <c r="C30671" s="6">
        <v>3000</v>
      </c>
      <c r="D30671" s="7">
        <v>0.74</v>
      </c>
    </row>
    <row r="30672" spans="1:5" x14ac:dyDescent="0.25">
      <c r="A30672" t="str">
        <f>HYPERLINK("https://www.773grp.com/globalSearch/2SD1623T-TD-E/page-1", "2SD1623T-TD-E")</f>
        <v>2SD1623T-TD-E</v>
      </c>
      <c r="B30672" s="3" t="str">
        <f>HYPERLINK("https://www.773grp.com/manufacturer/onsemi?pageNo=170", "ON Semiconductor")</f>
        <v>ON Semiconductor</v>
      </c>
      <c r="C30672" s="6">
        <v>4000</v>
      </c>
      <c r="D30672" s="7">
        <v>0.74</v>
      </c>
    </row>
    <row r="30673" spans="1:5" x14ac:dyDescent="0.25">
      <c r="A30673" t="str">
        <f>HYPERLINK("https://www.773grp.com/globalSearch/2SD1624T-TD-E/page-1", "2SD1624T-TD-E")</f>
        <v>2SD1624T-TD-E</v>
      </c>
      <c r="B30673" s="3" t="str">
        <f>HYPERLINK("https://www.773grp.com/manufacturer/onsemi?pageNo=171", "ON Semiconductor")</f>
        <v>ON Semiconductor</v>
      </c>
      <c r="C30673" s="6">
        <v>3000</v>
      </c>
      <c r="D30673" s="7">
        <v>0.74</v>
      </c>
    </row>
    <row r="30674" spans="1:5" x14ac:dyDescent="0.25">
      <c r="A30674" t="str">
        <f>HYPERLINK("https://www.773grp.com/globalSearch/2SD2050-E/page-1", "2SD2050-E")</f>
        <v>2SD2050-E</v>
      </c>
      <c r="B30674" s="3" t="str">
        <f>HYPERLINK("https://www.773grp.com/manufacturer/onsemi?pageNo=172", "ON Semiconductor")</f>
        <v>ON Semiconductor</v>
      </c>
      <c r="C30674" s="6">
        <v>1000</v>
      </c>
      <c r="D30674" s="7">
        <v>0.74</v>
      </c>
    </row>
    <row r="30675" spans="1:5" x14ac:dyDescent="0.25">
      <c r="A30675" t="str">
        <f>HYPERLINK("https://www.773grp.com/globalSearch/74FST3257D/page-1", "74FST3257D")</f>
        <v>74FST3257D</v>
      </c>
      <c r="B30675" s="3" t="str">
        <f>HYPERLINK("https://www.773grp.com/manufacturer/onsemi?pageNo=173", "ON Semiconductor")</f>
        <v>ON Semiconductor</v>
      </c>
      <c r="C30675" s="6">
        <v>10654</v>
      </c>
      <c r="D30675" s="7">
        <v>0.74</v>
      </c>
      <c r="E30675" t="s">
        <v>20</v>
      </c>
    </row>
    <row r="30676" spans="1:5" x14ac:dyDescent="0.25">
      <c r="A30676" t="str">
        <f>HYPERLINK("https://www.773grp.com/globalSearch/7WB3305AMX1TCG/page-1", "7WB3305AMX1TCG")</f>
        <v>7WB3305AMX1TCG</v>
      </c>
      <c r="B30676" s="3" t="str">
        <f>HYPERLINK("https://www.773grp.com/manufacturer/onsemi?pageNo=174", "ON Semiconductor")</f>
        <v>ON Semiconductor</v>
      </c>
      <c r="C30676" s="6">
        <v>9000</v>
      </c>
      <c r="D30676" s="7">
        <v>0.74</v>
      </c>
      <c r="E30676" t="s">
        <v>14</v>
      </c>
    </row>
    <row r="30677" spans="1:5" x14ac:dyDescent="0.25">
      <c r="A30677" t="str">
        <f>HYPERLINK("https://www.773grp.com/globalSearch/7WB3305BMX1TCG/page-1", "7WB3305BMX1TCG")</f>
        <v>7WB3305BMX1TCG</v>
      </c>
      <c r="B30677" s="3" t="str">
        <f>HYPERLINK("https://www.773grp.com/manufacturer/onsemi?pageNo=175", "ON Semiconductor")</f>
        <v>ON Semiconductor</v>
      </c>
      <c r="C30677" s="6">
        <v>9000</v>
      </c>
      <c r="D30677" s="7">
        <v>0.74</v>
      </c>
      <c r="E30677" t="s">
        <v>14</v>
      </c>
    </row>
    <row r="30678" spans="1:5" x14ac:dyDescent="0.25">
      <c r="A30678" t="str">
        <f>HYPERLINK("https://www.773grp.com/globalSearch/7WB3305CMX1TCG/page-1", "7WB3305CMX1TCG")</f>
        <v>7WB3305CMX1TCG</v>
      </c>
      <c r="B30678" s="3" t="str">
        <f>HYPERLINK("https://www.773grp.com/manufacturer/onsemi?pageNo=176", "ON Semiconductor")</f>
        <v>ON Semiconductor</v>
      </c>
      <c r="C30678" s="6">
        <v>5990</v>
      </c>
      <c r="D30678" s="7">
        <v>0.74</v>
      </c>
      <c r="E30678" t="s">
        <v>14</v>
      </c>
    </row>
    <row r="30679" spans="1:5" x14ac:dyDescent="0.25">
      <c r="A30679" t="str">
        <f>HYPERLINK("https://www.773grp.com/globalSearch/7WB3305MUTAG/page-1", "7WB3305MUTAG")</f>
        <v>7WB3305MUTAG</v>
      </c>
      <c r="B30679" s="3" t="str">
        <f>HYPERLINK("https://www.773grp.com/manufacturer/onsemi?pageNo=177", "ON Semiconductor")</f>
        <v>ON Semiconductor</v>
      </c>
      <c r="C30679" s="6">
        <v>9000</v>
      </c>
      <c r="D30679" s="7">
        <v>0.74</v>
      </c>
      <c r="E30679" t="s">
        <v>14</v>
      </c>
    </row>
    <row r="30680" spans="1:5" x14ac:dyDescent="0.25">
      <c r="A30680" t="str">
        <f>HYPERLINK("https://www.773grp.com/globalSearch/7WB3306AMX1TCG/page-1", "7WB3306AMX1TCG")</f>
        <v>7WB3306AMX1TCG</v>
      </c>
      <c r="B30680" s="3" t="str">
        <f>HYPERLINK("https://www.773grp.com/manufacturer/onsemi?pageNo=178", "ON Semiconductor")</f>
        <v>ON Semiconductor</v>
      </c>
      <c r="C30680" s="6">
        <v>9000</v>
      </c>
      <c r="D30680" s="7">
        <v>0.74</v>
      </c>
      <c r="E30680" t="s">
        <v>14</v>
      </c>
    </row>
    <row r="30681" spans="1:5" x14ac:dyDescent="0.25">
      <c r="A30681" t="str">
        <f>HYPERLINK("https://www.773grp.com/globalSearch/7WB3306BMX1TCG/page-1", "7WB3306BMX1TCG")</f>
        <v>7WB3306BMX1TCG</v>
      </c>
      <c r="B30681" s="3" t="str">
        <f>HYPERLINK("https://www.773grp.com/manufacturer/onsemi?pageNo=179", "ON Semiconductor")</f>
        <v>ON Semiconductor</v>
      </c>
      <c r="C30681" s="6">
        <v>6000</v>
      </c>
      <c r="D30681" s="7">
        <v>0.74</v>
      </c>
      <c r="E30681" t="s">
        <v>14</v>
      </c>
    </row>
    <row r="30682" spans="1:5" x14ac:dyDescent="0.25">
      <c r="A30682" t="str">
        <f>HYPERLINK("https://www.773grp.com/globalSearch/7WB3306CMX1TCG/page-1", "7WB3306CMX1TCG")</f>
        <v>7WB3306CMX1TCG</v>
      </c>
      <c r="B30682" s="3" t="str">
        <f>HYPERLINK("https://www.773grp.com/manufacturer/onsemi?pageNo=180", "ON Semiconductor")</f>
        <v>ON Semiconductor</v>
      </c>
      <c r="C30682" s="6">
        <v>6000</v>
      </c>
      <c r="D30682" s="7">
        <v>0.74</v>
      </c>
      <c r="E30682" t="s">
        <v>14</v>
      </c>
    </row>
    <row r="30683" spans="1:5" x14ac:dyDescent="0.25">
      <c r="A30683" t="str">
        <f>HYPERLINK("https://www.773grp.com/globalSearch/7WB3306MUTAG/page-1", "7WB3306MUTAG")</f>
        <v>7WB3306MUTAG</v>
      </c>
      <c r="B30683" s="3" t="str">
        <f>HYPERLINK("https://www.773grp.com/manufacturer/onsemi?pageNo=181", "ON Semiconductor")</f>
        <v>ON Semiconductor</v>
      </c>
      <c r="C30683" s="6">
        <v>8900</v>
      </c>
      <c r="D30683" s="7">
        <v>0.74</v>
      </c>
      <c r="E30683" t="s">
        <v>14</v>
      </c>
    </row>
    <row r="30684" spans="1:5" x14ac:dyDescent="0.25">
      <c r="A30684" t="str">
        <f>HYPERLINK("https://www.773grp.com/globalSearch/7WB383AMX1TCG/page-1", "7WB383AMX1TCG")</f>
        <v>7WB383AMX1TCG</v>
      </c>
      <c r="B30684" s="3" t="str">
        <f>HYPERLINK("https://www.773grp.com/manufacturer/onsemi?pageNo=182", "ON Semiconductor")</f>
        <v>ON Semiconductor</v>
      </c>
      <c r="C30684" s="6">
        <v>6000</v>
      </c>
      <c r="D30684" s="7">
        <v>0.74</v>
      </c>
      <c r="E30684" t="s">
        <v>56</v>
      </c>
    </row>
    <row r="30685" spans="1:5" x14ac:dyDescent="0.25">
      <c r="A30685" t="str">
        <f>HYPERLINK("https://www.773grp.com/globalSearch/7WB383BMX1TCG/page-1", "7WB383BMX1TCG")</f>
        <v>7WB383BMX1TCG</v>
      </c>
      <c r="B30685" s="3" t="str">
        <f>HYPERLINK("https://www.773grp.com/manufacturer/onsemi?pageNo=183", "ON Semiconductor")</f>
        <v>ON Semiconductor</v>
      </c>
      <c r="C30685" s="6">
        <v>5990</v>
      </c>
      <c r="D30685" s="7">
        <v>0.74</v>
      </c>
      <c r="E30685" t="s">
        <v>56</v>
      </c>
    </row>
    <row r="30686" spans="1:5" x14ac:dyDescent="0.25">
      <c r="A30686" t="str">
        <f>HYPERLINK("https://www.773grp.com/globalSearch/7WB383CMX1TCG/page-1", "7WB383CMX1TCG")</f>
        <v>7WB383CMX1TCG</v>
      </c>
      <c r="B30686" s="3" t="str">
        <f>HYPERLINK("https://www.773grp.com/manufacturer/onsemi?pageNo=184", "ON Semiconductor")</f>
        <v>ON Semiconductor</v>
      </c>
      <c r="C30686" s="6">
        <v>6000</v>
      </c>
      <c r="D30686" s="7">
        <v>0.74</v>
      </c>
      <c r="E30686" t="s">
        <v>56</v>
      </c>
    </row>
    <row r="30687" spans="1:5" x14ac:dyDescent="0.25">
      <c r="A30687" t="str">
        <f>HYPERLINK("https://www.773grp.com/globalSearch/7WB383MUTAG/page-1", "7WB383MUTAG")</f>
        <v>7WB383MUTAG</v>
      </c>
      <c r="B30687" s="3" t="str">
        <f>HYPERLINK("https://www.773grp.com/manufacturer/onsemi?pageNo=185", "ON Semiconductor")</f>
        <v>ON Semiconductor</v>
      </c>
      <c r="C30687" s="6">
        <v>9000</v>
      </c>
      <c r="D30687" s="7">
        <v>0.74</v>
      </c>
      <c r="E30687" t="s">
        <v>56</v>
      </c>
    </row>
    <row r="30688" spans="1:5" x14ac:dyDescent="0.25">
      <c r="A30688" t="str">
        <f>HYPERLINK("https://www.773grp.com/globalSearch/7WBD3125MUTAG/page-1", "7WBD3125MUTAG")</f>
        <v>7WBD3125MUTAG</v>
      </c>
      <c r="B30688" s="3" t="str">
        <f>HYPERLINK("https://www.773grp.com/manufacturer/onsemi?pageNo=186", "ON Semiconductor")</f>
        <v>ON Semiconductor</v>
      </c>
      <c r="C30688" s="6">
        <v>12000</v>
      </c>
      <c r="D30688" s="7">
        <v>0.74</v>
      </c>
      <c r="E30688" t="s">
        <v>14</v>
      </c>
    </row>
    <row r="30689" spans="1:5" x14ac:dyDescent="0.25">
      <c r="A30689" t="str">
        <f>HYPERLINK("https://www.773grp.com/globalSearch/7WBD3126MUTAG/page-1", "7WBD3126MUTAG")</f>
        <v>7WBD3126MUTAG</v>
      </c>
      <c r="B30689" s="3" t="str">
        <f>HYPERLINK("https://www.773grp.com/manufacturer/onsemi?pageNo=187", "ON Semiconductor")</f>
        <v>ON Semiconductor</v>
      </c>
      <c r="C30689" s="6">
        <v>9000</v>
      </c>
      <c r="D30689" s="7">
        <v>0.74</v>
      </c>
      <c r="E30689" t="s">
        <v>14</v>
      </c>
    </row>
    <row r="30690" spans="1:5" x14ac:dyDescent="0.25">
      <c r="A30690" t="str">
        <f>HYPERLINK("https://www.773grp.com/globalSearch/7WBD3305AMUTCG/page-1", "7WBD3305AMUTCG")</f>
        <v>7WBD3305AMUTCG</v>
      </c>
      <c r="B30690" s="3" t="str">
        <f>HYPERLINK("https://www.773grp.com/manufacturer/onsemi?pageNo=188", "ON Semiconductor")</f>
        <v>ON Semiconductor</v>
      </c>
      <c r="C30690" s="6">
        <v>9000</v>
      </c>
      <c r="D30690" s="7">
        <v>0.74</v>
      </c>
      <c r="E30690" t="s">
        <v>14</v>
      </c>
    </row>
    <row r="30691" spans="1:5" x14ac:dyDescent="0.25">
      <c r="A30691" t="str">
        <f>HYPERLINK("https://www.773grp.com/globalSearch/7WBD3305MUTAG/page-1", "7WBD3305MUTAG")</f>
        <v>7WBD3305MUTAG</v>
      </c>
      <c r="B30691" s="3" t="str">
        <f>HYPERLINK("https://www.773grp.com/manufacturer/onsemi?pageNo=189", "ON Semiconductor")</f>
        <v>ON Semiconductor</v>
      </c>
      <c r="C30691" s="6">
        <v>12000</v>
      </c>
      <c r="D30691" s="7">
        <v>0.74</v>
      </c>
      <c r="E30691" t="s">
        <v>14</v>
      </c>
    </row>
    <row r="30692" spans="1:5" x14ac:dyDescent="0.25">
      <c r="A30692" t="str">
        <f>HYPERLINK("https://www.773grp.com/globalSearch/7WBD3306MUTAG/page-1", "7WBD3306MUTAG")</f>
        <v>7WBD3306MUTAG</v>
      </c>
      <c r="B30692" s="3" t="str">
        <f>HYPERLINK("https://www.773grp.com/manufacturer/onsemi?pageNo=190", "ON Semiconductor")</f>
        <v>ON Semiconductor</v>
      </c>
      <c r="C30692" s="6">
        <v>12000</v>
      </c>
      <c r="D30692" s="7">
        <v>0.74</v>
      </c>
      <c r="E30692" t="s">
        <v>14</v>
      </c>
    </row>
    <row r="30693" spans="1:5" x14ac:dyDescent="0.25">
      <c r="A30693" t="str">
        <f>HYPERLINK("https://www.773grp.com/globalSearch/7WBD383AMUTCG/page-1", "7WBD383AMUTCG")</f>
        <v>7WBD383AMUTCG</v>
      </c>
      <c r="B30693" s="3" t="str">
        <f>HYPERLINK("https://www.773grp.com/manufacturer/onsemi?pageNo=191", "ON Semiconductor")</f>
        <v>ON Semiconductor</v>
      </c>
      <c r="C30693" s="6">
        <v>9000</v>
      </c>
      <c r="D30693" s="7">
        <v>0.74</v>
      </c>
      <c r="E30693" t="s">
        <v>14</v>
      </c>
    </row>
    <row r="30694" spans="1:5" x14ac:dyDescent="0.25">
      <c r="A30694" t="str">
        <f>HYPERLINK("https://www.773grp.com/globalSearch/7WBD383MUTAG/page-1", "7WBD383MUTAG")</f>
        <v>7WBD383MUTAG</v>
      </c>
      <c r="B30694" s="3" t="str">
        <f>HYPERLINK("https://www.773grp.com/manufacturer/onsemi?pageNo=192", "ON Semiconductor")</f>
        <v>ON Semiconductor</v>
      </c>
      <c r="C30694" s="6">
        <v>11485</v>
      </c>
      <c r="D30694" s="7">
        <v>0.74</v>
      </c>
      <c r="E30694" t="s">
        <v>14</v>
      </c>
    </row>
    <row r="30695" spans="1:5" x14ac:dyDescent="0.25">
      <c r="A30695" t="str">
        <f>HYPERLINK("https://www.773grp.com/globalSearch/7WBD383USG/page-1", "7WBD383USG")</f>
        <v>7WBD383USG</v>
      </c>
      <c r="B30695" s="3" t="str">
        <f>HYPERLINK("https://www.773grp.com/manufacturer/onsemi?pageNo=193", "ON Semiconductor")</f>
        <v>ON Semiconductor</v>
      </c>
      <c r="C30695" s="6">
        <v>2925</v>
      </c>
      <c r="D30695" s="7">
        <v>0.74</v>
      </c>
      <c r="E30695" t="s">
        <v>14</v>
      </c>
    </row>
    <row r="30696" spans="1:5" x14ac:dyDescent="0.25">
      <c r="A30696" t="str">
        <f>HYPERLINK("https://www.773grp.com/globalSearch/ADP3110AKCPZ-RL/page-1", "ADP3110AKCPZ-RL")</f>
        <v>ADP3110AKCPZ-RL</v>
      </c>
      <c r="B30696" s="3" t="str">
        <f>HYPERLINK("https://www.773grp.com/manufacturer/onsemi?pageNo=194", "ON Semiconductor")</f>
        <v>ON Semiconductor</v>
      </c>
      <c r="C30696" s="6">
        <v>3000</v>
      </c>
      <c r="D30696" s="7">
        <v>0.74</v>
      </c>
      <c r="E30696" t="s">
        <v>16</v>
      </c>
    </row>
    <row r="30697" spans="1:5" x14ac:dyDescent="0.25">
      <c r="A30697" t="str">
        <f>HYPERLINK("https://www.773grp.com/globalSearch/ADP3110AKRZ-RL/page-1", "ADP3110AKRZ-RL")</f>
        <v>ADP3110AKRZ-RL</v>
      </c>
      <c r="B30697" s="3" t="str">
        <f>HYPERLINK("https://www.773grp.com/manufacturer/onsemi?pageNo=195", "ON Semiconductor")</f>
        <v>ON Semiconductor</v>
      </c>
      <c r="C30697" s="6">
        <v>4926</v>
      </c>
      <c r="D30697" s="7">
        <v>0.74</v>
      </c>
      <c r="E30697" t="s">
        <v>16</v>
      </c>
    </row>
    <row r="30698" spans="1:5" x14ac:dyDescent="0.25">
      <c r="A30698" t="str">
        <f>HYPERLINK("https://www.773grp.com/globalSearch/ASM810SEURF-T/page-1", "ASM810SEURF-T")</f>
        <v>ASM810SEURF-T</v>
      </c>
      <c r="B30698" s="3" t="str">
        <f>HYPERLINK("https://www.773grp.com/manufacturer/onsemi?pageNo=196", "ON Semiconductor")</f>
        <v>ON Semiconductor</v>
      </c>
      <c r="C30698" s="6">
        <v>18000</v>
      </c>
      <c r="D30698" s="7">
        <v>0.74</v>
      </c>
    </row>
    <row r="30699" spans="1:5" x14ac:dyDescent="0.25">
      <c r="A30699" t="str">
        <f>HYPERLINK("https://www.773grp.com/globalSearch/ASM811LEUSF-T/page-1", "ASM811LEUSF-T")</f>
        <v>ASM811LEUSF-T</v>
      </c>
      <c r="B30699" s="3" t="str">
        <f>HYPERLINK("https://www.773grp.com/manufacturer/onsemi?pageNo=197", "ON Semiconductor")</f>
        <v>ON Semiconductor</v>
      </c>
      <c r="C30699" s="6">
        <v>6000</v>
      </c>
      <c r="D30699" s="7">
        <v>0.74</v>
      </c>
    </row>
    <row r="30700" spans="1:5" x14ac:dyDescent="0.25">
      <c r="A30700" t="str">
        <f>HYPERLINK("https://www.773grp.com/globalSearch/ASM811REUSF-T/page-1", "ASM811REUSF-T")</f>
        <v>ASM811REUSF-T</v>
      </c>
      <c r="B30700" s="3" t="str">
        <f>HYPERLINK("https://www.773grp.com/manufacturer/onsemi?pageNo=198", "ON Semiconductor")</f>
        <v>ON Semiconductor</v>
      </c>
      <c r="C30700" s="6">
        <v>2000</v>
      </c>
      <c r="D30700" s="7">
        <v>0.74</v>
      </c>
    </row>
    <row r="30701" spans="1:5" x14ac:dyDescent="0.25">
      <c r="A30701" t="str">
        <f>HYPERLINK("https://www.773grp.com/globalSearch/ASM811SEUSF-T/page-1", "ASM811SEUSF-T")</f>
        <v>ASM811SEUSF-T</v>
      </c>
      <c r="B30701" s="3" t="str">
        <f>HYPERLINK("https://www.773grp.com/manufacturer/onsemi?pageNo=199", "ON Semiconductor")</f>
        <v>ON Semiconductor</v>
      </c>
      <c r="C30701" s="6">
        <v>7648</v>
      </c>
      <c r="D30701" s="7">
        <v>0.74</v>
      </c>
      <c r="E30701" t="s">
        <v>30</v>
      </c>
    </row>
    <row r="30702" spans="1:5" x14ac:dyDescent="0.25">
      <c r="A30702" t="str">
        <f>HYPERLINK("https://www.773grp.com/globalSearch/ASM811TEUSF-T/page-1", "ASM811TEUSF-T")</f>
        <v>ASM811TEUSF-T</v>
      </c>
      <c r="B30702" s="3" t="str">
        <f>HYPERLINK("https://www.773grp.com/manufacturer/onsemi?pageNo=200", "ON Semiconductor")</f>
        <v>ON Semiconductor</v>
      </c>
      <c r="C30702" s="6">
        <v>5680</v>
      </c>
      <c r="D30702" s="7">
        <v>0.74</v>
      </c>
      <c r="E30702" t="s">
        <v>30</v>
      </c>
    </row>
    <row r="30703" spans="1:5" x14ac:dyDescent="0.25">
      <c r="A30703" t="str">
        <f>HYPERLINK("https://www.773grp.com/globalSearch/BC140-016/page-1", "BC140-016")</f>
        <v>BC140-016</v>
      </c>
      <c r="B30703" s="3" t="str">
        <f>HYPERLINK("https://www.773grp.com/manufacturer/onsemi?pageNo=201", "ON Semiconductor")</f>
        <v>ON Semiconductor</v>
      </c>
      <c r="C30703" s="6">
        <v>4875</v>
      </c>
      <c r="D30703" s="7">
        <v>0.74</v>
      </c>
    </row>
    <row r="30704" spans="1:5" x14ac:dyDescent="0.25">
      <c r="A30704" t="str">
        <f>HYPERLINK("https://www.773grp.com/globalSearch/BC184RL1/page-1", "BC184RL1")</f>
        <v>BC184RL1</v>
      </c>
      <c r="B30704" s="3" t="str">
        <f>HYPERLINK("https://www.773grp.com/manufacturer/onsemi?pageNo=202", "ON Semiconductor")</f>
        <v>ON Semiconductor</v>
      </c>
      <c r="C30704" s="6">
        <v>20000</v>
      </c>
      <c r="D30704" s="7">
        <v>0.74</v>
      </c>
      <c r="E30704" t="s">
        <v>69</v>
      </c>
    </row>
    <row r="30705" spans="1:5" x14ac:dyDescent="0.25">
      <c r="A30705" t="str">
        <f>HYPERLINK("https://www.773grp.com/globalSearch/BDW42/page-1", "BDW42")</f>
        <v>BDW42</v>
      </c>
      <c r="B30705" s="3" t="str">
        <f>HYPERLINK("https://www.773grp.com/manufacturer/onsemi?pageNo=203", "ON Semiconductor")</f>
        <v>ON Semiconductor</v>
      </c>
      <c r="C30705" s="6">
        <v>1561</v>
      </c>
      <c r="D30705" s="7">
        <v>0.74</v>
      </c>
      <c r="E30705" t="s">
        <v>59</v>
      </c>
    </row>
    <row r="30706" spans="1:5" x14ac:dyDescent="0.25">
      <c r="A30706" t="str">
        <f>HYPERLINK("https://www.773grp.com/globalSearch/CAT24C08HU4I-GT3/page-1", "CAT24C08HU4I-GT3")</f>
        <v>CAT24C08HU4I-GT3</v>
      </c>
      <c r="B30706" s="3" t="str">
        <f>HYPERLINK("https://www.773grp.com/manufacturer/onsemi?pageNo=204", "ON Semiconductor")</f>
        <v>ON Semiconductor</v>
      </c>
      <c r="C30706" s="6">
        <v>1788</v>
      </c>
      <c r="D30706" s="7">
        <v>0.74</v>
      </c>
    </row>
    <row r="30707" spans="1:5" x14ac:dyDescent="0.25">
      <c r="A30707" t="str">
        <f>HYPERLINK("https://www.773grp.com/globalSearch/CAT24C08ZI-GT3/page-1", "CAT24C08ZI-GT3")</f>
        <v>CAT24C08ZI-GT3</v>
      </c>
      <c r="B30707" s="3" t="str">
        <f>HYPERLINK("https://www.773grp.com/manufacturer/onsemi?pageNo=205", "ON Semiconductor")</f>
        <v>ON Semiconductor</v>
      </c>
      <c r="C30707" s="6">
        <v>44375</v>
      </c>
      <c r="D30707" s="7">
        <v>0.74</v>
      </c>
      <c r="E30707" t="s">
        <v>64</v>
      </c>
    </row>
    <row r="30708" spans="1:5" x14ac:dyDescent="0.25">
      <c r="A30708" t="str">
        <f>HYPERLINK("https://www.773grp.com/globalSearch/CAT24C16LI-G/page-1", "CAT24C16LI-G")</f>
        <v>CAT24C16LI-G</v>
      </c>
      <c r="B30708" s="3" t="str">
        <f>HYPERLINK("https://www.773grp.com/manufacturer/onsemi?pageNo=206", "ON Semiconductor")</f>
        <v>ON Semiconductor</v>
      </c>
      <c r="C30708" s="6">
        <v>124300</v>
      </c>
      <c r="D30708" s="7">
        <v>0.74</v>
      </c>
      <c r="E30708" t="s">
        <v>64</v>
      </c>
    </row>
    <row r="30709" spans="1:5" x14ac:dyDescent="0.25">
      <c r="A30709" t="str">
        <f>HYPERLINK("https://www.773grp.com/globalSearch/CAT24C32WI-GT3/page-1", "CAT24C32WI-GT3")</f>
        <v>CAT24C32WI-GT3</v>
      </c>
      <c r="B30709" s="3" t="str">
        <f>HYPERLINK("https://www.773grp.com/manufacturer/onsemi?pageNo=207", "ON Semiconductor")</f>
        <v>ON Semiconductor</v>
      </c>
      <c r="C30709" s="6">
        <v>279000</v>
      </c>
      <c r="D30709" s="7">
        <v>0.74</v>
      </c>
      <c r="E30709" t="s">
        <v>64</v>
      </c>
    </row>
    <row r="30710" spans="1:5" x14ac:dyDescent="0.25">
      <c r="A30710" t="str">
        <f>HYPERLINK("https://www.773grp.com/globalSearch/CAT24C32WI-GT3/page-1", "CAT24C32WI-GT3")</f>
        <v>CAT24C32WI-GT3</v>
      </c>
      <c r="B30710" s="3" t="str">
        <f>HYPERLINK("https://www.773grp.com/manufacturer/onsemi?pageNo=208", "ON Semiconductor")</f>
        <v>ON Semiconductor</v>
      </c>
      <c r="C30710" s="6">
        <v>126000</v>
      </c>
      <c r="D30710" s="7">
        <v>0.74</v>
      </c>
      <c r="E30710" t="s">
        <v>64</v>
      </c>
    </row>
    <row r="30711" spans="1:5" x14ac:dyDescent="0.25">
      <c r="A30711" t="str">
        <f>HYPERLINK("https://www.773grp.com/globalSearch/CAT24C32YI-GT3/page-1", "CAT24C32YI-GT3")</f>
        <v>CAT24C32YI-GT3</v>
      </c>
      <c r="B30711" s="3" t="str">
        <f>HYPERLINK("https://www.773grp.com/manufacturer/onsemi?pageNo=209", "ON Semiconductor")</f>
        <v>ON Semiconductor</v>
      </c>
      <c r="C30711" s="6">
        <v>3000</v>
      </c>
      <c r="D30711" s="7">
        <v>0.74</v>
      </c>
    </row>
    <row r="30712" spans="1:5" x14ac:dyDescent="0.25">
      <c r="A30712" t="str">
        <f>HYPERLINK("https://www.773grp.com/globalSearch/CAT25020YI-GT3/page-1", "CAT25020YI-GT3")</f>
        <v>CAT25020YI-GT3</v>
      </c>
      <c r="B30712" s="3" t="str">
        <f>HYPERLINK("https://www.773grp.com/manufacturer/onsemi?pageNo=210", "ON Semiconductor")</f>
        <v>ON Semiconductor</v>
      </c>
      <c r="C30712" s="6">
        <v>435000</v>
      </c>
      <c r="D30712" s="7">
        <v>0.74</v>
      </c>
      <c r="E30712" t="s">
        <v>64</v>
      </c>
    </row>
    <row r="30713" spans="1:5" x14ac:dyDescent="0.25">
      <c r="A30713" t="str">
        <f>HYPERLINK("https://www.773grp.com/globalSearch/CAT25040VI-G/page-1", "CAT25040VI-G")</f>
        <v>CAT25040VI-G</v>
      </c>
      <c r="B30713" s="3" t="str">
        <f>HYPERLINK("https://www.773grp.com/manufacturer/onsemi?pageNo=211", "ON Semiconductor")</f>
        <v>ON Semiconductor</v>
      </c>
      <c r="C30713" s="6">
        <v>3000</v>
      </c>
      <c r="D30713" s="7">
        <v>0.74</v>
      </c>
    </row>
    <row r="30714" spans="1:5" x14ac:dyDescent="0.25">
      <c r="A30714" t="str">
        <f>HYPERLINK("https://www.773grp.com/globalSearch/CAT25040YI-G/page-1", "CAT25040YI-G")</f>
        <v>CAT25040YI-G</v>
      </c>
      <c r="B30714" s="3" t="str">
        <f>HYPERLINK("https://www.773grp.com/manufacturer/onsemi?pageNo=212", "ON Semiconductor")</f>
        <v>ON Semiconductor</v>
      </c>
      <c r="C30714" s="6">
        <v>6400</v>
      </c>
      <c r="D30714" s="7">
        <v>0.74</v>
      </c>
    </row>
    <row r="30715" spans="1:5" x14ac:dyDescent="0.25">
      <c r="A30715" t="str">
        <f>HYPERLINK("https://www.773grp.com/globalSearch/CAT93C46XI-T2/page-1", "CAT93C46XI-T2")</f>
        <v>CAT93C46XI-T2</v>
      </c>
      <c r="B30715" s="3" t="str">
        <f>HYPERLINK("https://www.773grp.com/manufacturer/onsemi?pageNo=213", "ON Semiconductor")</f>
        <v>ON Semiconductor</v>
      </c>
      <c r="C30715" s="6">
        <v>2000</v>
      </c>
      <c r="D30715" s="7">
        <v>0.74</v>
      </c>
    </row>
    <row r="30716" spans="1:5" x14ac:dyDescent="0.25">
      <c r="A30716" t="str">
        <f>HYPERLINK("https://www.773grp.com/globalSearch/CAV24C02WE-GT3/page-1", "CAV24C02WE-GT3")</f>
        <v>CAV24C02WE-GT3</v>
      </c>
      <c r="B30716" s="3" t="str">
        <f>HYPERLINK("https://www.773grp.com/manufacturer/onsemi?pageNo=214", "ON Semiconductor")</f>
        <v>ON Semiconductor</v>
      </c>
      <c r="C30716" s="6">
        <v>6000</v>
      </c>
      <c r="D30716" s="7">
        <v>0.74</v>
      </c>
    </row>
    <row r="30717" spans="1:5" x14ac:dyDescent="0.25">
      <c r="A30717" t="str">
        <f>HYPERLINK("https://www.773grp.com/globalSearch/CM1409-08DE/page-1", "CM1409-08DE")</f>
        <v>CM1409-08DE</v>
      </c>
      <c r="B30717" s="3" t="str">
        <f>HYPERLINK("https://www.773grp.com/manufacturer/onsemi?pageNo=215", "ON Semiconductor")</f>
        <v>ON Semiconductor</v>
      </c>
      <c r="C30717" s="6">
        <v>1125993</v>
      </c>
      <c r="D30717" s="7">
        <v>0.74</v>
      </c>
      <c r="E30717" t="s">
        <v>100</v>
      </c>
    </row>
    <row r="30718" spans="1:5" x14ac:dyDescent="0.25">
      <c r="A30718" t="str">
        <f>HYPERLINK("https://www.773grp.com/globalSearch/CM1624-08DE/page-1", "CM1624-08DE")</f>
        <v>CM1624-08DE</v>
      </c>
      <c r="B30718" s="3" t="str">
        <f>HYPERLINK("https://www.773grp.com/manufacturer/onsemi?pageNo=216", "ON Semiconductor")</f>
        <v>ON Semiconductor</v>
      </c>
      <c r="C30718" s="6">
        <v>74290</v>
      </c>
      <c r="D30718" s="7">
        <v>0.74</v>
      </c>
      <c r="E30718" t="s">
        <v>100</v>
      </c>
    </row>
    <row r="30719" spans="1:5" x14ac:dyDescent="0.25">
      <c r="A30719" t="str">
        <f>HYPERLINK("https://www.773grp.com/globalSearch/CM1630-06DE/page-1", "CM1630-06DE")</f>
        <v>CM1630-06DE</v>
      </c>
      <c r="B30719" s="3" t="str">
        <f>HYPERLINK("https://www.773grp.com/manufacturer/onsemi?pageNo=217", "ON Semiconductor")</f>
        <v>ON Semiconductor</v>
      </c>
      <c r="C30719" s="6">
        <v>3000</v>
      </c>
      <c r="D30719" s="7">
        <v>0.74</v>
      </c>
      <c r="E30719" t="s">
        <v>100</v>
      </c>
    </row>
    <row r="30720" spans="1:5" x14ac:dyDescent="0.25">
      <c r="A30720" t="str">
        <f>HYPERLINK("https://www.773grp.com/globalSearch/CM1630-08DE/page-1", "CM1630-08DE")</f>
        <v>CM1630-08DE</v>
      </c>
      <c r="B30720" s="3" t="str">
        <f>HYPERLINK("https://www.773grp.com/manufacturer/onsemi?pageNo=218", "ON Semiconductor")</f>
        <v>ON Semiconductor</v>
      </c>
      <c r="C30720" s="6">
        <v>36000</v>
      </c>
      <c r="D30720" s="7">
        <v>0.74</v>
      </c>
      <c r="E30720" t="s">
        <v>100</v>
      </c>
    </row>
    <row r="30721" spans="1:5" x14ac:dyDescent="0.25">
      <c r="A30721" t="str">
        <f>HYPERLINK("https://www.773grp.com/globalSearch/CM1693-04DE/page-1", "CM1693-04DE")</f>
        <v>CM1693-04DE</v>
      </c>
      <c r="B30721" s="3" t="str">
        <f>HYPERLINK("https://www.773grp.com/manufacturer/onsemi?pageNo=219", "ON Semiconductor")</f>
        <v>ON Semiconductor</v>
      </c>
      <c r="C30721" s="6">
        <v>891000</v>
      </c>
      <c r="D30721" s="7">
        <v>0.74</v>
      </c>
    </row>
    <row r="30722" spans="1:5" x14ac:dyDescent="0.25">
      <c r="A30722" t="str">
        <f>HYPERLINK("https://www.773grp.com/globalSearch/CM6317/page-1", "CM6317")</f>
        <v>CM6317</v>
      </c>
      <c r="B30722" s="3" t="str">
        <f>HYPERLINK("https://www.773grp.com/manufacturer/onsemi?pageNo=220", "ON Semiconductor")</f>
        <v>ON Semiconductor</v>
      </c>
      <c r="C30722" s="6">
        <v>5000</v>
      </c>
      <c r="D30722" s="7">
        <v>0.74</v>
      </c>
    </row>
    <row r="30723" spans="1:5" x14ac:dyDescent="0.25">
      <c r="A30723" t="str">
        <f>HYPERLINK("https://www.773grp.com/globalSearch/CPH5901G-TL-E/page-1", "CPH5901G-TL-E")</f>
        <v>CPH5901G-TL-E</v>
      </c>
      <c r="B30723" s="3" t="str">
        <f>HYPERLINK("https://www.773grp.com/manufacturer/onsemi?pageNo=221", "ON Semiconductor")</f>
        <v>ON Semiconductor</v>
      </c>
      <c r="C30723" s="6">
        <v>30000</v>
      </c>
      <c r="D30723" s="7">
        <v>0.74</v>
      </c>
    </row>
    <row r="30724" spans="1:5" x14ac:dyDescent="0.25">
      <c r="A30724" t="str">
        <f>HYPERLINK("https://www.773grp.com/globalSearch/EMI7208MUTAG/page-1", "EMI7208MUTAG")</f>
        <v>EMI7208MUTAG</v>
      </c>
      <c r="B30724" s="3" t="str">
        <f>HYPERLINK("https://www.773grp.com/manufacturer/onsemi?pageNo=222", "ON Semiconductor")</f>
        <v>ON Semiconductor</v>
      </c>
      <c r="C30724" s="6">
        <v>36000</v>
      </c>
      <c r="D30724" s="7">
        <v>0.74</v>
      </c>
      <c r="E30724" t="s">
        <v>100</v>
      </c>
    </row>
    <row r="30725" spans="1:5" x14ac:dyDescent="0.25">
      <c r="A30725" t="str">
        <f>HYPERLINK("https://www.773grp.com/globalSearch/LM211D/page-1", "LM211D")</f>
        <v>LM211D</v>
      </c>
      <c r="B30725" s="3" t="str">
        <f>HYPERLINK("https://www.773grp.com/manufacturer/onsemi?pageNo=223", "ON Semiconductor")</f>
        <v>ON Semiconductor</v>
      </c>
      <c r="C30725" s="6">
        <v>1085</v>
      </c>
      <c r="D30725" s="7">
        <v>0.74</v>
      </c>
      <c r="E30725" t="s">
        <v>9</v>
      </c>
    </row>
    <row r="30726" spans="1:5" x14ac:dyDescent="0.25">
      <c r="A30726" t="str">
        <f>HYPERLINK("https://www.773grp.com/globalSearch/LM285Z-1.2/page-1", "LM285Z-1.2")</f>
        <v>LM285Z-1.2</v>
      </c>
      <c r="B30726" s="3" t="str">
        <f>HYPERLINK("https://www.773grp.com/manufacturer/onsemi?pageNo=224", "ON Semiconductor")</f>
        <v>ON Semiconductor</v>
      </c>
      <c r="C30726" s="6">
        <v>950</v>
      </c>
      <c r="D30726" s="7">
        <v>0.74</v>
      </c>
      <c r="E30726" t="s">
        <v>17</v>
      </c>
    </row>
    <row r="30727" spans="1:5" x14ac:dyDescent="0.25">
      <c r="A30727" t="str">
        <f>HYPERLINK("https://www.773grp.com/globalSearch/LM2901DR2/page-1", "LM2901DR2")</f>
        <v>LM2901DR2</v>
      </c>
      <c r="B30727" s="3" t="str">
        <f>HYPERLINK("https://www.773grp.com/manufacturer/onsemi?pageNo=225", "ON Semiconductor")</f>
        <v>ON Semiconductor</v>
      </c>
      <c r="C30727" s="6">
        <v>5000</v>
      </c>
      <c r="D30727" s="7">
        <v>0.74</v>
      </c>
      <c r="E30727" t="s">
        <v>9</v>
      </c>
    </row>
    <row r="30728" spans="1:5" x14ac:dyDescent="0.25">
      <c r="A30728" t="str">
        <f>HYPERLINK("https://www.773grp.com/globalSearch/LM2902DR2/page-1", "LM2902DR2")</f>
        <v>LM2902DR2</v>
      </c>
      <c r="B30728" s="3" t="str">
        <f>HYPERLINK("https://www.773grp.com/manufacturer/onsemi?pageNo=226", "ON Semiconductor")</f>
        <v>ON Semiconductor</v>
      </c>
      <c r="C30728" s="6">
        <v>2652</v>
      </c>
      <c r="D30728" s="7">
        <v>0.74</v>
      </c>
      <c r="E30728" t="s">
        <v>13</v>
      </c>
    </row>
    <row r="30729" spans="1:5" x14ac:dyDescent="0.25">
      <c r="A30729" t="str">
        <f>HYPERLINK("https://www.773grp.com/globalSearch/LM2904D/page-1", "LM2904D")</f>
        <v>LM2904D</v>
      </c>
      <c r="B30729" s="3" t="str">
        <f>HYPERLINK("https://www.773grp.com/manufacturer/onsemi?pageNo=227", "ON Semiconductor")</f>
        <v>ON Semiconductor</v>
      </c>
      <c r="C30729" s="6">
        <v>29596</v>
      </c>
      <c r="D30729" s="7">
        <v>0.74</v>
      </c>
      <c r="E30729" t="s">
        <v>13</v>
      </c>
    </row>
    <row r="30730" spans="1:5" x14ac:dyDescent="0.25">
      <c r="A30730" t="str">
        <f>HYPERLINK("https://www.773grp.com/globalSearch/LM301A/page-1", "LM301A")</f>
        <v>LM301A</v>
      </c>
      <c r="B30730" s="3" t="str">
        <f>HYPERLINK("https://www.773grp.com/manufacturer/onsemi?pageNo=228", "ON Semiconductor")</f>
        <v>ON Semiconductor</v>
      </c>
      <c r="C30730" s="6">
        <v>5194</v>
      </c>
      <c r="D30730" s="7">
        <v>0.74</v>
      </c>
    </row>
    <row r="30731" spans="1:5" x14ac:dyDescent="0.25">
      <c r="A30731" t="str">
        <f>HYPERLINK("https://www.773grp.com/globalSearch/LM301AD/page-1", "LM301AD")</f>
        <v>LM301AD</v>
      </c>
      <c r="B30731" s="3" t="str">
        <f>HYPERLINK("https://www.773grp.com/manufacturer/onsemi?pageNo=229", "ON Semiconductor")</f>
        <v>ON Semiconductor</v>
      </c>
      <c r="C30731" s="6">
        <v>950</v>
      </c>
      <c r="D30731" s="7">
        <v>0.74</v>
      </c>
      <c r="E30731" t="s">
        <v>13</v>
      </c>
    </row>
    <row r="30732" spans="1:5" x14ac:dyDescent="0.25">
      <c r="A30732" t="str">
        <f>HYPERLINK("https://www.773grp.com/globalSearch/LM301AN/page-1", "LM301AN")</f>
        <v>LM301AN</v>
      </c>
      <c r="B30732" s="3" t="str">
        <f>HYPERLINK("https://www.773grp.com/manufacturer/onsemi?pageNo=230", "ON Semiconductor")</f>
        <v>ON Semiconductor</v>
      </c>
      <c r="C30732" s="6">
        <v>3250</v>
      </c>
      <c r="D30732" s="7">
        <v>0.74</v>
      </c>
      <c r="E30732" t="s">
        <v>13</v>
      </c>
    </row>
    <row r="30733" spans="1:5" x14ac:dyDescent="0.25">
      <c r="A30733" t="str">
        <f>HYPERLINK("https://www.773grp.com/globalSearch/LM317LBD/page-1", "LM317LBD")</f>
        <v>LM317LBD</v>
      </c>
      <c r="B30733" s="3" t="str">
        <f>HYPERLINK("https://www.773grp.com/manufacturer/onsemi?pageNo=231", "ON Semiconductor")</f>
        <v>ON Semiconductor</v>
      </c>
      <c r="C30733" s="6">
        <v>7938</v>
      </c>
      <c r="D30733" s="7">
        <v>0.74</v>
      </c>
      <c r="E30733" t="s">
        <v>22</v>
      </c>
    </row>
    <row r="30734" spans="1:5" x14ac:dyDescent="0.25">
      <c r="A30734" t="str">
        <f>HYPERLINK("https://www.773grp.com/globalSearch/LM317LD/page-1", "LM317LD")</f>
        <v>LM317LD</v>
      </c>
      <c r="B30734" s="3" t="str">
        <f>HYPERLINK("https://www.773grp.com/manufacturer/onsemi?pageNo=232", "ON Semiconductor")</f>
        <v>ON Semiconductor</v>
      </c>
      <c r="C30734" s="6">
        <v>3712</v>
      </c>
      <c r="D30734" s="7">
        <v>0.74</v>
      </c>
      <c r="E30734" t="s">
        <v>22</v>
      </c>
    </row>
    <row r="30735" spans="1:5" x14ac:dyDescent="0.25">
      <c r="A30735" t="str">
        <f>HYPERLINK("https://www.773grp.com/globalSearch/LM317LDR2/page-1", "LM317LDR2")</f>
        <v>LM317LDR2</v>
      </c>
      <c r="B30735" s="3" t="str">
        <f>HYPERLINK("https://www.773grp.com/manufacturer/onsemi?pageNo=233", "ON Semiconductor")</f>
        <v>ON Semiconductor</v>
      </c>
      <c r="C30735" s="6">
        <v>7594</v>
      </c>
      <c r="D30735" s="7">
        <v>0.74</v>
      </c>
      <c r="E30735" t="s">
        <v>22</v>
      </c>
    </row>
    <row r="30736" spans="1:5" x14ac:dyDescent="0.25">
      <c r="A30736" t="str">
        <f>HYPERLINK("https://www.773grp.com/globalSearch/LM317MT/page-1", "LM317MT")</f>
        <v>LM317MT</v>
      </c>
      <c r="B30736" s="3" t="str">
        <f>HYPERLINK("https://www.773grp.com/manufacturer/onsemi?pageNo=234", "ON Semiconductor")</f>
        <v>ON Semiconductor</v>
      </c>
      <c r="C30736" s="6">
        <v>66169</v>
      </c>
      <c r="D30736" s="7">
        <v>0.74</v>
      </c>
      <c r="E30736" t="s">
        <v>22</v>
      </c>
    </row>
    <row r="30737" spans="1:5" x14ac:dyDescent="0.25">
      <c r="A30737" t="str">
        <f>HYPERLINK("https://www.773grp.com/globalSearch/LM324N/page-1", "LM324N")</f>
        <v>LM324N</v>
      </c>
      <c r="B30737" s="3" t="str">
        <f>HYPERLINK("https://www.773grp.com/manufacturer/onsemi?pageNo=235", "ON Semiconductor")</f>
        <v>ON Semiconductor</v>
      </c>
      <c r="C30737" s="6">
        <v>790</v>
      </c>
      <c r="D30737" s="7">
        <v>0.74</v>
      </c>
      <c r="E30737" t="s">
        <v>13</v>
      </c>
    </row>
    <row r="30738" spans="1:5" x14ac:dyDescent="0.25">
      <c r="A30738" t="str">
        <f>HYPERLINK("https://www.773grp.com/globalSearch/LM324NG/page-1", "LM324NG")</f>
        <v>LM324NG</v>
      </c>
      <c r="B30738" s="3" t="str">
        <f>HYPERLINK("https://www.773grp.com/manufacturer/onsemi?pageNo=236", "ON Semiconductor")</f>
        <v>ON Semiconductor</v>
      </c>
      <c r="C30738" s="6">
        <v>219714</v>
      </c>
      <c r="D30738" s="7">
        <v>0.74</v>
      </c>
      <c r="E30738" t="s">
        <v>13</v>
      </c>
    </row>
    <row r="30739" spans="1:5" x14ac:dyDescent="0.25">
      <c r="A30739" t="str">
        <f>HYPERLINK("https://www.773grp.com/globalSearch/LM339N/page-1", "LM339N")</f>
        <v>LM339N</v>
      </c>
      <c r="B30739" s="3" t="str">
        <f>HYPERLINK("https://www.773grp.com/manufacturer/onsemi?pageNo=237", "ON Semiconductor")</f>
        <v>ON Semiconductor</v>
      </c>
      <c r="C30739" s="6">
        <v>2625</v>
      </c>
      <c r="D30739" s="7">
        <v>0.74</v>
      </c>
      <c r="E30739" t="s">
        <v>9</v>
      </c>
    </row>
    <row r="30740" spans="1:5" x14ac:dyDescent="0.25">
      <c r="A30740" t="str">
        <f>HYPERLINK("https://www.773grp.com/globalSearch/LM339NG/page-1", "LM339NG")</f>
        <v>LM339NG</v>
      </c>
      <c r="B30740" s="3" t="str">
        <f>HYPERLINK("https://www.773grp.com/manufacturer/onsemi?pageNo=238", "ON Semiconductor")</f>
        <v>ON Semiconductor</v>
      </c>
      <c r="C30740" s="6">
        <v>491036</v>
      </c>
      <c r="D30740" s="7">
        <v>0.74</v>
      </c>
      <c r="E30740" t="s">
        <v>9</v>
      </c>
    </row>
    <row r="30741" spans="1:5" x14ac:dyDescent="0.25">
      <c r="A30741" t="str">
        <f>HYPERLINK("https://www.773grp.com/globalSearch/LM358ADR2G/page-1", "LM358ADR2G")</f>
        <v>LM358ADR2G</v>
      </c>
      <c r="B30741" s="3" t="str">
        <f>HYPERLINK("https://www.773grp.com/manufacturer/onsemi?pageNo=239", "ON Semiconductor")</f>
        <v>ON Semiconductor</v>
      </c>
      <c r="C30741" s="6">
        <v>30751</v>
      </c>
      <c r="D30741" s="7">
        <v>0.74</v>
      </c>
      <c r="E30741" t="s">
        <v>13</v>
      </c>
    </row>
    <row r="30742" spans="1:5" x14ac:dyDescent="0.25">
      <c r="A30742" t="str">
        <f>HYPERLINK("https://www.773grp.com/globalSearch/LM358ADR2GH/page-1", "LM358ADR2GH")</f>
        <v>LM358ADR2GH</v>
      </c>
      <c r="B30742" s="3" t="str">
        <f>HYPERLINK("https://www.773grp.com/manufacturer/onsemi?pageNo=240", "ON Semiconductor")</f>
        <v>ON Semiconductor</v>
      </c>
      <c r="C30742" s="6">
        <v>2500</v>
      </c>
      <c r="D30742" s="7">
        <v>0.74</v>
      </c>
    </row>
    <row r="30743" spans="1:5" x14ac:dyDescent="0.25">
      <c r="A30743" t="str">
        <f>HYPERLINK("https://www.773grp.com/globalSearch/LM358DMR2G/page-1", "LM358DMR2G")</f>
        <v>LM358DMR2G</v>
      </c>
      <c r="B30743" s="3" t="str">
        <f>HYPERLINK("https://www.773grp.com/manufacturer/onsemi?pageNo=241", "ON Semiconductor")</f>
        <v>ON Semiconductor</v>
      </c>
      <c r="C30743" s="6">
        <v>196000</v>
      </c>
      <c r="D30743" s="7">
        <v>0.74</v>
      </c>
      <c r="E30743" t="s">
        <v>13</v>
      </c>
    </row>
    <row r="30744" spans="1:5" x14ac:dyDescent="0.25">
      <c r="A30744" t="str">
        <f>HYPERLINK("https://www.773grp.com/globalSearch/LM393DMR2G/page-1", "LM393DMR2G")</f>
        <v>LM393DMR2G</v>
      </c>
      <c r="B30744" s="3" t="str">
        <f>HYPERLINK("https://www.773grp.com/manufacturer/onsemi?pageNo=242", "ON Semiconductor")</f>
        <v>ON Semiconductor</v>
      </c>
      <c r="C30744" s="6">
        <v>36000</v>
      </c>
      <c r="D30744" s="7">
        <v>0.74</v>
      </c>
      <c r="E30744" t="s">
        <v>9</v>
      </c>
    </row>
    <row r="30745" spans="1:5" x14ac:dyDescent="0.25">
      <c r="A30745" t="str">
        <f>HYPERLINK("https://www.773grp.com/globalSearch/M74VHCT257ADTR2G/page-1", "M74VHCT257ADTR2G")</f>
        <v>M74VHCT257ADTR2G</v>
      </c>
      <c r="B30745" s="3" t="str">
        <f>HYPERLINK("https://www.773grp.com/manufacturer/onsemi?pageNo=243", "ON Semiconductor")</f>
        <v>ON Semiconductor</v>
      </c>
      <c r="C30745" s="6">
        <v>37400</v>
      </c>
      <c r="D30745" s="7">
        <v>0.74</v>
      </c>
    </row>
    <row r="30746" spans="1:5" x14ac:dyDescent="0.25">
      <c r="A30746" t="str">
        <f>HYPERLINK("https://www.773grp.com/globalSearch/MAC997B6G/page-1", "MAC997B6G")</f>
        <v>MAC997B6G</v>
      </c>
      <c r="B30746" s="3" t="str">
        <f>HYPERLINK("https://www.773grp.com/manufacturer/onsemi?pageNo=244", "ON Semiconductor")</f>
        <v>ON Semiconductor</v>
      </c>
      <c r="C30746" s="6">
        <v>5000</v>
      </c>
      <c r="D30746" s="7">
        <v>0.74</v>
      </c>
      <c r="E30746" t="s">
        <v>102</v>
      </c>
    </row>
    <row r="30747" spans="1:5" x14ac:dyDescent="0.25">
      <c r="A30747" t="str">
        <f>HYPERLINK("https://www.773grp.com/globalSearch/MAC997B8G/page-1", "MAC997B8G")</f>
        <v>MAC997B8G</v>
      </c>
      <c r="B30747" s="3" t="str">
        <f>HYPERLINK("https://www.773grp.com/manufacturer/onsemi?pageNo=245", "ON Semiconductor")</f>
        <v>ON Semiconductor</v>
      </c>
      <c r="C30747" s="6">
        <v>97900</v>
      </c>
      <c r="D30747" s="7">
        <v>0.74</v>
      </c>
      <c r="E30747" t="s">
        <v>102</v>
      </c>
    </row>
    <row r="30748" spans="1:5" x14ac:dyDescent="0.25">
      <c r="A30748" t="str">
        <f>HYPERLINK("https://www.773grp.com/globalSearch/MBR3100/page-1", "MBR3100")</f>
        <v>MBR3100</v>
      </c>
      <c r="B30748" s="3" t="str">
        <f>HYPERLINK("https://www.773grp.com/manufacturer/onsemi?pageNo=246", "ON Semiconductor")</f>
        <v>ON Semiconductor</v>
      </c>
      <c r="C30748" s="6">
        <v>8382</v>
      </c>
      <c r="D30748" s="7">
        <v>0.74</v>
      </c>
      <c r="E30748" t="s">
        <v>103</v>
      </c>
    </row>
    <row r="30749" spans="1:5" x14ac:dyDescent="0.25">
      <c r="A30749" t="str">
        <f>HYPERLINK("https://www.773grp.com/globalSearch/MBR3100RL/page-1", "MBR3100RL")</f>
        <v>MBR3100RL</v>
      </c>
      <c r="B30749" s="3" t="str">
        <f>HYPERLINK("https://www.773grp.com/manufacturer/onsemi?pageNo=247", "ON Semiconductor")</f>
        <v>ON Semiconductor</v>
      </c>
      <c r="C30749" s="6">
        <v>20988</v>
      </c>
      <c r="D30749" s="7">
        <v>0.74</v>
      </c>
      <c r="E30749" t="s">
        <v>103</v>
      </c>
    </row>
    <row r="30750" spans="1:5" x14ac:dyDescent="0.25">
      <c r="A30750" t="str">
        <f>HYPERLINK("https://www.773grp.com/globalSearch/MBRM120ET1G/page-1", "MBRM120ET1G")</f>
        <v>MBRM120ET1G</v>
      </c>
      <c r="B30750" s="3" t="str">
        <f>HYPERLINK("https://www.773grp.com/manufacturer/onsemi?pageNo=248", "ON Semiconductor")</f>
        <v>ON Semiconductor</v>
      </c>
      <c r="C30750" s="6">
        <v>392569</v>
      </c>
      <c r="D30750" s="7">
        <v>0.74</v>
      </c>
      <c r="E30750" t="s">
        <v>94</v>
      </c>
    </row>
    <row r="30751" spans="1:5" x14ac:dyDescent="0.25">
      <c r="A30751" t="str">
        <f>HYPERLINK("https://www.773grp.com/globalSearch/MBRM120ET3G/page-1", "MBRM120ET3G")</f>
        <v>MBRM120ET3G</v>
      </c>
      <c r="B30751" s="3" t="str">
        <f>HYPERLINK("https://www.773grp.com/manufacturer/onsemi?pageNo=249", "ON Semiconductor")</f>
        <v>ON Semiconductor</v>
      </c>
      <c r="C30751" s="6">
        <v>63407</v>
      </c>
      <c r="D30751" s="7">
        <v>0.74</v>
      </c>
      <c r="E30751" t="s">
        <v>94</v>
      </c>
    </row>
    <row r="30752" spans="1:5" x14ac:dyDescent="0.25">
      <c r="A30752" t="str">
        <f>HYPERLINK("https://www.773grp.com/globalSearch/MBRS340T3H/page-1", "MBRS340T3H")</f>
        <v>MBRS340T3H</v>
      </c>
      <c r="B30752" s="3" t="str">
        <f>HYPERLINK("https://www.773grp.com/manufacturer/onsemi?pageNo=250", "ON Semiconductor")</f>
        <v>ON Semiconductor</v>
      </c>
      <c r="C30752" s="6">
        <v>2500</v>
      </c>
      <c r="D30752" s="7">
        <v>0.74</v>
      </c>
    </row>
    <row r="30753" spans="1:5" x14ac:dyDescent="0.25">
      <c r="A30753" t="str">
        <f>HYPERLINK("https://www.773grp.com/globalSearch/MC14001BCP/page-1", "MC14001BCP")</f>
        <v>MC14001BCP</v>
      </c>
      <c r="B30753" s="3" t="str">
        <f>HYPERLINK("https://www.773grp.com/manufacturer/onsemi?pageNo=251", "ON Semiconductor")</f>
        <v>ON Semiconductor</v>
      </c>
      <c r="C30753" s="6">
        <v>3222</v>
      </c>
      <c r="D30753" s="7">
        <v>0.74</v>
      </c>
      <c r="E30753" t="s">
        <v>31</v>
      </c>
    </row>
    <row r="30754" spans="1:5" x14ac:dyDescent="0.25">
      <c r="A30754" t="str">
        <f>HYPERLINK("https://www.773grp.com/globalSearch/MC14001BDG/page-1", "MC14001BDG")</f>
        <v>MC14001BDG</v>
      </c>
      <c r="B30754" s="3" t="str">
        <f>HYPERLINK("https://www.773grp.com/manufacturer/onsemi?pageNo=252", "ON Semiconductor")</f>
        <v>ON Semiconductor</v>
      </c>
      <c r="C30754" s="6">
        <v>10540</v>
      </c>
      <c r="D30754" s="7">
        <v>0.74</v>
      </c>
      <c r="E30754" t="s">
        <v>31</v>
      </c>
    </row>
    <row r="30755" spans="1:5" x14ac:dyDescent="0.25">
      <c r="A30755" t="str">
        <f>HYPERLINK("https://www.773grp.com/globalSearch/MC14001BDR2G/page-1", "MC14001BDR2G")</f>
        <v>MC14001BDR2G</v>
      </c>
      <c r="B30755" s="3" t="str">
        <f>HYPERLINK("https://www.773grp.com/manufacturer/onsemi?pageNo=253", "ON Semiconductor")</f>
        <v>ON Semiconductor</v>
      </c>
      <c r="C30755" s="6">
        <v>49651</v>
      </c>
      <c r="D30755" s="7">
        <v>0.74</v>
      </c>
      <c r="E30755" t="s">
        <v>31</v>
      </c>
    </row>
    <row r="30756" spans="1:5" x14ac:dyDescent="0.25">
      <c r="A30756" t="str">
        <f>HYPERLINK("https://www.773grp.com/globalSearch/MC14001UBCPG/page-1", "MC14001UBCPG")</f>
        <v>MC14001UBCPG</v>
      </c>
      <c r="B30756" s="3" t="str">
        <f>HYPERLINK("https://www.773grp.com/manufacturer/onsemi?pageNo=254", "ON Semiconductor")</f>
        <v>ON Semiconductor</v>
      </c>
      <c r="C30756" s="6">
        <v>4455</v>
      </c>
      <c r="D30756" s="7">
        <v>0.74</v>
      </c>
      <c r="E30756" t="s">
        <v>31</v>
      </c>
    </row>
    <row r="30757" spans="1:5" x14ac:dyDescent="0.25">
      <c r="A30757" t="str">
        <f>HYPERLINK("https://www.773grp.com/globalSearch/MC14001UBDG/page-1", "MC14001UBDG")</f>
        <v>MC14001UBDG</v>
      </c>
      <c r="B30757" s="3" t="str">
        <f>HYPERLINK("https://www.773grp.com/manufacturer/onsemi?pageNo=255", "ON Semiconductor")</f>
        <v>ON Semiconductor</v>
      </c>
      <c r="C30757" s="6">
        <v>4840</v>
      </c>
      <c r="D30757" s="7">
        <v>0.74</v>
      </c>
    </row>
    <row r="30758" spans="1:5" x14ac:dyDescent="0.25">
      <c r="A30758" t="str">
        <f>HYPERLINK("https://www.773grp.com/globalSearch/MC14001UBDR2G/page-1", "MC14001UBDR2G")</f>
        <v>MC14001UBDR2G</v>
      </c>
      <c r="B30758" s="3" t="str">
        <f>HYPERLINK("https://www.773grp.com/manufacturer/onsemi?pageNo=256", "ON Semiconductor")</f>
        <v>ON Semiconductor</v>
      </c>
      <c r="C30758" s="6">
        <v>2636</v>
      </c>
      <c r="D30758" s="7">
        <v>0.74</v>
      </c>
    </row>
    <row r="30759" spans="1:5" x14ac:dyDescent="0.25">
      <c r="A30759" t="str">
        <f>HYPERLINK("https://www.773grp.com/globalSearch/MC14007UBCPG/page-1", "MC14007UBCPG")</f>
        <v>MC14007UBCPG</v>
      </c>
      <c r="B30759" s="3" t="str">
        <f>HYPERLINK("https://www.773grp.com/manufacturer/onsemi?pageNo=257", "ON Semiconductor")</f>
        <v>ON Semiconductor</v>
      </c>
      <c r="C30759" s="6">
        <v>10619</v>
      </c>
      <c r="D30759" s="7">
        <v>0.74</v>
      </c>
      <c r="E30759" t="s">
        <v>31</v>
      </c>
    </row>
    <row r="30760" spans="1:5" x14ac:dyDescent="0.25">
      <c r="A30760" t="str">
        <f>HYPERLINK("https://www.773grp.com/globalSearch/MC14007UBDG/page-1", "MC14007UBDG")</f>
        <v>MC14007UBDG</v>
      </c>
      <c r="B30760" s="3" t="str">
        <f>HYPERLINK("https://www.773grp.com/manufacturer/onsemi?pageNo=258", "ON Semiconductor")</f>
        <v>ON Semiconductor</v>
      </c>
      <c r="C30760" s="6">
        <v>4510</v>
      </c>
      <c r="D30760" s="7">
        <v>0.74</v>
      </c>
      <c r="E30760" t="s">
        <v>31</v>
      </c>
    </row>
    <row r="30761" spans="1:5" x14ac:dyDescent="0.25">
      <c r="A30761" t="str">
        <f>HYPERLINK("https://www.773grp.com/globalSearch/MC14007UBDR2G/page-1", "MC14007UBDR2G")</f>
        <v>MC14007UBDR2G</v>
      </c>
      <c r="B30761" s="3" t="str">
        <f>HYPERLINK("https://www.773grp.com/manufacturer/onsemi?pageNo=259", "ON Semiconductor")</f>
        <v>ON Semiconductor</v>
      </c>
      <c r="C30761" s="6">
        <v>17495</v>
      </c>
      <c r="D30761" s="7">
        <v>0.74</v>
      </c>
      <c r="E30761" t="s">
        <v>31</v>
      </c>
    </row>
    <row r="30762" spans="1:5" x14ac:dyDescent="0.25">
      <c r="A30762" t="str">
        <f>HYPERLINK("https://www.773grp.com/globalSearch/MC14011BCP/page-1", "MC14011BCP")</f>
        <v>MC14011BCP</v>
      </c>
      <c r="B30762" s="3" t="str">
        <f>HYPERLINK("https://www.773grp.com/manufacturer/onsemi?pageNo=260", "ON Semiconductor")</f>
        <v>ON Semiconductor</v>
      </c>
      <c r="C30762" s="6">
        <v>20173</v>
      </c>
      <c r="D30762" s="7">
        <v>0.74</v>
      </c>
      <c r="E30762" t="s">
        <v>31</v>
      </c>
    </row>
    <row r="30763" spans="1:5" x14ac:dyDescent="0.25">
      <c r="A30763" t="str">
        <f>HYPERLINK("https://www.773grp.com/globalSearch/MC14011BCPG/page-1", "MC14011BCPG")</f>
        <v>MC14011BCPG</v>
      </c>
      <c r="B30763" s="3" t="str">
        <f>HYPERLINK("https://www.773grp.com/manufacturer/onsemi?pageNo=261", "ON Semiconductor")</f>
        <v>ON Semiconductor</v>
      </c>
      <c r="C30763" s="6">
        <v>595</v>
      </c>
      <c r="D30763" s="7">
        <v>0.74</v>
      </c>
      <c r="E30763" t="s">
        <v>31</v>
      </c>
    </row>
    <row r="30764" spans="1:5" x14ac:dyDescent="0.25">
      <c r="A30764" t="str">
        <f>HYPERLINK("https://www.773grp.com/globalSearch/MC14011BDG/page-1", "MC14011BDG")</f>
        <v>MC14011BDG</v>
      </c>
      <c r="B30764" s="3" t="str">
        <f>HYPERLINK("https://www.773grp.com/manufacturer/onsemi?pageNo=262", "ON Semiconductor")</f>
        <v>ON Semiconductor</v>
      </c>
      <c r="C30764" s="6">
        <v>4645</v>
      </c>
      <c r="D30764" s="7">
        <v>0.74</v>
      </c>
    </row>
    <row r="30765" spans="1:5" x14ac:dyDescent="0.25">
      <c r="A30765" t="str">
        <f>HYPERLINK("https://www.773grp.com/globalSearch/MC14011BDR2G/page-1", "MC14011BDR2G")</f>
        <v>MC14011BDR2G</v>
      </c>
      <c r="B30765" s="3" t="str">
        <f>HYPERLINK("https://www.773grp.com/manufacturer/onsemi?pageNo=263", "ON Semiconductor")</f>
        <v>ON Semiconductor</v>
      </c>
      <c r="C30765" s="6">
        <v>76387</v>
      </c>
      <c r="D30765" s="7">
        <v>0.74</v>
      </c>
      <c r="E30765" t="s">
        <v>31</v>
      </c>
    </row>
    <row r="30766" spans="1:5" x14ac:dyDescent="0.25">
      <c r="A30766" t="str">
        <f>HYPERLINK("https://www.773grp.com/globalSearch/MC14011UBCPG/page-1", "MC14011UBCPG")</f>
        <v>MC14011UBCPG</v>
      </c>
      <c r="B30766" s="3" t="str">
        <f>HYPERLINK("https://www.773grp.com/manufacturer/onsemi?pageNo=264", "ON Semiconductor")</f>
        <v>ON Semiconductor</v>
      </c>
      <c r="C30766" s="6">
        <v>9051</v>
      </c>
      <c r="D30766" s="7">
        <v>0.74</v>
      </c>
      <c r="E30766" t="s">
        <v>31</v>
      </c>
    </row>
    <row r="30767" spans="1:5" x14ac:dyDescent="0.25">
      <c r="A30767" t="str">
        <f>HYPERLINK("https://www.773grp.com/globalSearch/MC14011UBDG/page-1", "MC14011UBDG")</f>
        <v>MC14011UBDG</v>
      </c>
      <c r="B30767" s="3" t="str">
        <f>HYPERLINK("https://www.773grp.com/manufacturer/onsemi?pageNo=265", "ON Semiconductor")</f>
        <v>ON Semiconductor</v>
      </c>
      <c r="C30767" s="6">
        <v>4790</v>
      </c>
      <c r="D30767" s="7">
        <v>0.74</v>
      </c>
      <c r="E30767" t="s">
        <v>31</v>
      </c>
    </row>
    <row r="30768" spans="1:5" x14ac:dyDescent="0.25">
      <c r="A30768" t="str">
        <f>HYPERLINK("https://www.773grp.com/globalSearch/MC14011UBDR2G/page-1", "MC14011UBDR2G")</f>
        <v>MC14011UBDR2G</v>
      </c>
      <c r="B30768" s="3" t="str">
        <f>HYPERLINK("https://www.773grp.com/manufacturer/onsemi?pageNo=266", "ON Semiconductor")</f>
        <v>ON Semiconductor</v>
      </c>
      <c r="C30768" s="6">
        <v>20234</v>
      </c>
      <c r="D30768" s="7">
        <v>0.74</v>
      </c>
      <c r="E30768" t="s">
        <v>31</v>
      </c>
    </row>
    <row r="30769" spans="1:5" x14ac:dyDescent="0.25">
      <c r="A30769" t="str">
        <f>HYPERLINK("https://www.773grp.com/globalSearch/MC14012BCPG/page-1", "MC14012BCPG")</f>
        <v>MC14012BCPG</v>
      </c>
      <c r="B30769" s="3" t="str">
        <f>HYPERLINK("https://www.773grp.com/manufacturer/onsemi?pageNo=267", "ON Semiconductor")</f>
        <v>ON Semiconductor</v>
      </c>
      <c r="C30769" s="6">
        <v>5391</v>
      </c>
      <c r="D30769" s="7">
        <v>0.74</v>
      </c>
      <c r="E30769" t="s">
        <v>31</v>
      </c>
    </row>
    <row r="30770" spans="1:5" x14ac:dyDescent="0.25">
      <c r="A30770" t="str">
        <f>HYPERLINK("https://www.773grp.com/globalSearch/MC14012BDG/page-1", "MC14012BDG")</f>
        <v>MC14012BDG</v>
      </c>
      <c r="B30770" s="3" t="str">
        <f>HYPERLINK("https://www.773grp.com/manufacturer/onsemi?pageNo=268", "ON Semiconductor")</f>
        <v>ON Semiconductor</v>
      </c>
      <c r="C30770" s="6">
        <v>20968</v>
      </c>
      <c r="D30770" s="7">
        <v>0.74</v>
      </c>
      <c r="E30770" t="s">
        <v>31</v>
      </c>
    </row>
    <row r="30771" spans="1:5" x14ac:dyDescent="0.25">
      <c r="A30771" t="str">
        <f>HYPERLINK("https://www.773grp.com/globalSearch/MC14012BDR2G/page-1", "MC14012BDR2G")</f>
        <v>MC14012BDR2G</v>
      </c>
      <c r="B30771" s="3" t="str">
        <f>HYPERLINK("https://www.773grp.com/manufacturer/onsemi?pageNo=269", "ON Semiconductor")</f>
        <v>ON Semiconductor</v>
      </c>
      <c r="C30771" s="6">
        <v>14300</v>
      </c>
      <c r="D30771" s="7">
        <v>0.74</v>
      </c>
      <c r="E30771" t="s">
        <v>31</v>
      </c>
    </row>
    <row r="30772" spans="1:5" x14ac:dyDescent="0.25">
      <c r="A30772" t="str">
        <f>HYPERLINK("https://www.773grp.com/globalSearch/MC14013BDG/page-1", "MC14013BDG")</f>
        <v>MC14013BDG</v>
      </c>
      <c r="B30772" s="3" t="str">
        <f>HYPERLINK("https://www.773grp.com/manufacturer/onsemi?pageNo=270", "ON Semiconductor")</f>
        <v>ON Semiconductor</v>
      </c>
      <c r="C30772" s="6">
        <v>11530</v>
      </c>
      <c r="D30772" s="7">
        <v>0.74</v>
      </c>
      <c r="E30772" t="s">
        <v>35</v>
      </c>
    </row>
    <row r="30773" spans="1:5" x14ac:dyDescent="0.25">
      <c r="A30773" t="str">
        <f>HYPERLINK("https://www.773grp.com/globalSearch/MC14013BDR2G/page-1", "MC14013BDR2G")</f>
        <v>MC14013BDR2G</v>
      </c>
      <c r="B30773" s="3" t="str">
        <f>HYPERLINK("https://www.773grp.com/manufacturer/onsemi?pageNo=271", "ON Semiconductor")</f>
        <v>ON Semiconductor</v>
      </c>
      <c r="C30773" s="6">
        <v>67510</v>
      </c>
      <c r="D30773" s="7">
        <v>0.74</v>
      </c>
      <c r="E30773" t="s">
        <v>35</v>
      </c>
    </row>
    <row r="30774" spans="1:5" x14ac:dyDescent="0.25">
      <c r="A30774" t="str">
        <f>HYPERLINK("https://www.773grp.com/globalSearch/MC14013BDTR2/page-1", "MC14013BDTR2")</f>
        <v>MC14013BDTR2</v>
      </c>
      <c r="B30774" s="3" t="str">
        <f>HYPERLINK("https://www.773grp.com/manufacturer/onsemi?pageNo=272", "ON Semiconductor")</f>
        <v>ON Semiconductor</v>
      </c>
      <c r="C30774" s="6">
        <v>3550</v>
      </c>
      <c r="D30774" s="7">
        <v>0.74</v>
      </c>
      <c r="E30774" t="s">
        <v>35</v>
      </c>
    </row>
    <row r="30775" spans="1:5" x14ac:dyDescent="0.25">
      <c r="A30775" t="str">
        <f>HYPERLINK("https://www.773grp.com/globalSearch/MC14013BDTR2G/page-1", "MC14013BDTR2G")</f>
        <v>MC14013BDTR2G</v>
      </c>
      <c r="B30775" s="3" t="str">
        <f>HYPERLINK("https://www.773grp.com/manufacturer/onsemi?pageNo=273", "ON Semiconductor")</f>
        <v>ON Semiconductor</v>
      </c>
      <c r="C30775" s="6">
        <v>365691</v>
      </c>
      <c r="D30775" s="7">
        <v>0.74</v>
      </c>
      <c r="E30775" t="s">
        <v>35</v>
      </c>
    </row>
    <row r="30776" spans="1:5" x14ac:dyDescent="0.25">
      <c r="A30776" t="str">
        <f>HYPERLINK("https://www.773grp.com/globalSearch/MC14023BCP/page-1", "MC14023BCP")</f>
        <v>MC14023BCP</v>
      </c>
      <c r="B30776" s="3" t="str">
        <f>HYPERLINK("https://www.773grp.com/manufacturer/onsemi?pageNo=274", "ON Semiconductor")</f>
        <v>ON Semiconductor</v>
      </c>
      <c r="C30776" s="6">
        <v>1986</v>
      </c>
      <c r="D30776" s="7">
        <v>0.74</v>
      </c>
      <c r="E30776" t="s">
        <v>31</v>
      </c>
    </row>
    <row r="30777" spans="1:5" x14ac:dyDescent="0.25">
      <c r="A30777" t="str">
        <f>HYPERLINK("https://www.773grp.com/globalSearch/MC14023BCPG/page-1", "MC14023BCPG")</f>
        <v>MC14023BCPG</v>
      </c>
      <c r="B30777" s="3" t="str">
        <f>HYPERLINK("https://www.773grp.com/manufacturer/onsemi?pageNo=275", "ON Semiconductor")</f>
        <v>ON Semiconductor</v>
      </c>
      <c r="C30777" s="6">
        <v>54182</v>
      </c>
      <c r="D30777" s="7">
        <v>0.74</v>
      </c>
      <c r="E30777" t="s">
        <v>31</v>
      </c>
    </row>
    <row r="30778" spans="1:5" x14ac:dyDescent="0.25">
      <c r="A30778" t="str">
        <f>HYPERLINK("https://www.773grp.com/globalSearch/MC14023BDG/page-1", "MC14023BDG")</f>
        <v>MC14023BDG</v>
      </c>
      <c r="B30778" s="3" t="str">
        <f>HYPERLINK("https://www.773grp.com/manufacturer/onsemi?pageNo=276", "ON Semiconductor")</f>
        <v>ON Semiconductor</v>
      </c>
      <c r="C30778" s="6">
        <v>6795</v>
      </c>
      <c r="D30778" s="7">
        <v>0.74</v>
      </c>
      <c r="E30778" t="s">
        <v>31</v>
      </c>
    </row>
    <row r="30779" spans="1:5" x14ac:dyDescent="0.25">
      <c r="A30779" t="str">
        <f>HYPERLINK("https://www.773grp.com/globalSearch/MC14023BDR2G/page-1", "MC14023BDR2G")</f>
        <v>MC14023BDR2G</v>
      </c>
      <c r="B30779" s="3" t="str">
        <f>HYPERLINK("https://www.773grp.com/manufacturer/onsemi?pageNo=277", "ON Semiconductor")</f>
        <v>ON Semiconductor</v>
      </c>
      <c r="C30779" s="6">
        <v>10369</v>
      </c>
      <c r="D30779" s="7">
        <v>0.74</v>
      </c>
      <c r="E30779" t="s">
        <v>31</v>
      </c>
    </row>
    <row r="30780" spans="1:5" x14ac:dyDescent="0.25">
      <c r="A30780" t="str">
        <f>HYPERLINK("https://www.773grp.com/globalSearch/MC14025BCPG/page-1", "MC14025BCPG")</f>
        <v>MC14025BCPG</v>
      </c>
      <c r="B30780" s="3" t="str">
        <f>HYPERLINK("https://www.773grp.com/manufacturer/onsemi?pageNo=278", "ON Semiconductor")</f>
        <v>ON Semiconductor</v>
      </c>
      <c r="C30780" s="6">
        <v>4434</v>
      </c>
      <c r="D30780" s="7">
        <v>0.74</v>
      </c>
      <c r="E30780" t="s">
        <v>31</v>
      </c>
    </row>
    <row r="30781" spans="1:5" x14ac:dyDescent="0.25">
      <c r="A30781" t="str">
        <f>HYPERLINK("https://www.773grp.com/globalSearch/MC14025BDG/page-1", "MC14025BDG")</f>
        <v>MC14025BDG</v>
      </c>
      <c r="B30781" s="3" t="str">
        <f>HYPERLINK("https://www.773grp.com/manufacturer/onsemi?pageNo=279", "ON Semiconductor")</f>
        <v>ON Semiconductor</v>
      </c>
      <c r="C30781" s="6">
        <v>7590</v>
      </c>
      <c r="D30781" s="7">
        <v>0.74</v>
      </c>
      <c r="E30781" t="s">
        <v>31</v>
      </c>
    </row>
    <row r="30782" spans="1:5" x14ac:dyDescent="0.25">
      <c r="A30782" t="str">
        <f>HYPERLINK("https://www.773grp.com/globalSearch/MC14025BDR2G/page-1", "MC14025BDR2G")</f>
        <v>MC14025BDR2G</v>
      </c>
      <c r="B30782" s="3" t="str">
        <f>HYPERLINK("https://www.773grp.com/manufacturer/onsemi?pageNo=280", "ON Semiconductor")</f>
        <v>ON Semiconductor</v>
      </c>
      <c r="C30782" s="6">
        <v>7400</v>
      </c>
      <c r="D30782" s="7">
        <v>0.74</v>
      </c>
      <c r="E30782" t="s">
        <v>31</v>
      </c>
    </row>
    <row r="30783" spans="1:5" x14ac:dyDescent="0.25">
      <c r="A30783" t="str">
        <f>HYPERLINK("https://www.773grp.com/globalSearch/MC14027BDG/page-1", "MC14027BDG")</f>
        <v>MC14027BDG</v>
      </c>
      <c r="B30783" s="3" t="str">
        <f>HYPERLINK("https://www.773grp.com/manufacturer/onsemi?pageNo=281", "ON Semiconductor")</f>
        <v>ON Semiconductor</v>
      </c>
      <c r="C30783" s="6">
        <v>7176</v>
      </c>
      <c r="D30783" s="7">
        <v>0.74</v>
      </c>
      <c r="E30783" t="s">
        <v>35</v>
      </c>
    </row>
    <row r="30784" spans="1:5" x14ac:dyDescent="0.25">
      <c r="A30784" t="str">
        <f>HYPERLINK("https://www.773grp.com/globalSearch/MC14027BDR2G/page-1", "MC14027BDR2G")</f>
        <v>MC14027BDR2G</v>
      </c>
      <c r="B30784" s="3" t="str">
        <f>HYPERLINK("https://www.773grp.com/manufacturer/onsemi?pageNo=282", "ON Semiconductor")</f>
        <v>ON Semiconductor</v>
      </c>
      <c r="C30784" s="6">
        <v>44657</v>
      </c>
      <c r="D30784" s="7">
        <v>0.74</v>
      </c>
      <c r="E30784" t="s">
        <v>35</v>
      </c>
    </row>
    <row r="30785" spans="1:5" x14ac:dyDescent="0.25">
      <c r="A30785" t="str">
        <f>HYPERLINK("https://www.773grp.com/globalSearch/MC14069UBCPG/page-1", "MC14069UBCPG")</f>
        <v>MC14069UBCPG</v>
      </c>
      <c r="B30785" s="3" t="str">
        <f>HYPERLINK("https://www.773grp.com/manufacturer/onsemi?pageNo=283", "ON Semiconductor")</f>
        <v>ON Semiconductor</v>
      </c>
      <c r="C30785" s="6">
        <v>5265</v>
      </c>
      <c r="D30785" s="7">
        <v>0.74</v>
      </c>
      <c r="E30785" t="s">
        <v>31</v>
      </c>
    </row>
    <row r="30786" spans="1:5" x14ac:dyDescent="0.25">
      <c r="A30786" t="str">
        <f>HYPERLINK("https://www.773grp.com/globalSearch/MC14069UBDG/page-1", "MC14069UBDG")</f>
        <v>MC14069UBDG</v>
      </c>
      <c r="B30786" s="3" t="str">
        <f>HYPERLINK("https://www.773grp.com/manufacturer/onsemi?pageNo=284", "ON Semiconductor")</f>
        <v>ON Semiconductor</v>
      </c>
      <c r="C30786" s="6">
        <v>24074</v>
      </c>
      <c r="D30786" s="7">
        <v>0.74</v>
      </c>
      <c r="E30786" t="s">
        <v>31</v>
      </c>
    </row>
    <row r="30787" spans="1:5" x14ac:dyDescent="0.25">
      <c r="A30787" t="str">
        <f>HYPERLINK("https://www.773grp.com/globalSearch/MC14069UBDR2G/page-1", "MC14069UBDR2G")</f>
        <v>MC14069UBDR2G</v>
      </c>
      <c r="B30787" s="3" t="str">
        <f>HYPERLINK("https://www.773grp.com/manufacturer/onsemi?pageNo=285", "ON Semiconductor")</f>
        <v>ON Semiconductor</v>
      </c>
      <c r="C30787" s="6">
        <v>108855</v>
      </c>
      <c r="D30787" s="7">
        <v>0.74</v>
      </c>
      <c r="E30787" t="s">
        <v>31</v>
      </c>
    </row>
    <row r="30788" spans="1:5" x14ac:dyDescent="0.25">
      <c r="A30788" t="str">
        <f>HYPERLINK("https://www.773grp.com/globalSearch/MC14070BCPG/page-1", "MC14070BCPG")</f>
        <v>MC14070BCPG</v>
      </c>
      <c r="B30788" s="3" t="str">
        <f>HYPERLINK("https://www.773grp.com/manufacturer/onsemi?pageNo=286", "ON Semiconductor")</f>
        <v>ON Semiconductor</v>
      </c>
      <c r="C30788" s="6">
        <v>9045</v>
      </c>
      <c r="D30788" s="7">
        <v>0.74</v>
      </c>
      <c r="E30788" t="s">
        <v>31</v>
      </c>
    </row>
    <row r="30789" spans="1:5" x14ac:dyDescent="0.25">
      <c r="A30789" t="str">
        <f>HYPERLINK("https://www.773grp.com/globalSearch/MC14070BDG/page-1", "MC14070BDG")</f>
        <v>MC14070BDG</v>
      </c>
      <c r="B30789" s="3" t="str">
        <f>HYPERLINK("https://www.773grp.com/manufacturer/onsemi?pageNo=287", "ON Semiconductor")</f>
        <v>ON Semiconductor</v>
      </c>
      <c r="C30789" s="6">
        <v>10826</v>
      </c>
      <c r="D30789" s="7">
        <v>0.74</v>
      </c>
      <c r="E30789" t="s">
        <v>31</v>
      </c>
    </row>
    <row r="30790" spans="1:5" x14ac:dyDescent="0.25">
      <c r="A30790" t="str">
        <f>HYPERLINK("https://www.773grp.com/globalSearch/MC14070BDR2G/page-1", "MC14070BDR2G")</f>
        <v>MC14070BDR2G</v>
      </c>
      <c r="B30790" s="3" t="str">
        <f>HYPERLINK("https://www.773grp.com/manufacturer/onsemi?pageNo=288", "ON Semiconductor")</f>
        <v>ON Semiconductor</v>
      </c>
      <c r="C30790" s="6">
        <v>50000</v>
      </c>
      <c r="D30790" s="7">
        <v>0.74</v>
      </c>
      <c r="E30790" t="s">
        <v>31</v>
      </c>
    </row>
    <row r="30791" spans="1:5" x14ac:dyDescent="0.25">
      <c r="A30791" t="str">
        <f>HYPERLINK("https://www.773grp.com/globalSearch/MC14071BCPG/page-1", "MC14071BCPG")</f>
        <v>MC14071BCPG</v>
      </c>
      <c r="B30791" s="3" t="str">
        <f>HYPERLINK("https://www.773grp.com/manufacturer/onsemi?pageNo=289", "ON Semiconductor")</f>
        <v>ON Semiconductor</v>
      </c>
      <c r="C30791" s="6">
        <v>10795</v>
      </c>
      <c r="D30791" s="7">
        <v>0.74</v>
      </c>
      <c r="E30791" t="s">
        <v>31</v>
      </c>
    </row>
    <row r="30792" spans="1:5" x14ac:dyDescent="0.25">
      <c r="A30792" t="str">
        <f>HYPERLINK("https://www.773grp.com/globalSearch/MC14071BDR2G/page-1", "MC14071BDR2G")</f>
        <v>MC14071BDR2G</v>
      </c>
      <c r="B30792" s="3" t="str">
        <f>HYPERLINK("https://www.773grp.com/manufacturer/onsemi?pageNo=290", "ON Semiconductor")</f>
        <v>ON Semiconductor</v>
      </c>
      <c r="C30792" s="6">
        <v>95998</v>
      </c>
      <c r="D30792" s="7">
        <v>0.74</v>
      </c>
      <c r="E30792" t="s">
        <v>31</v>
      </c>
    </row>
    <row r="30793" spans="1:5" x14ac:dyDescent="0.25">
      <c r="A30793" t="str">
        <f>HYPERLINK("https://www.773grp.com/globalSearch/MC14073BCPG/page-1", "MC14073BCPG")</f>
        <v>MC14073BCPG</v>
      </c>
      <c r="B30793" s="3" t="str">
        <f>HYPERLINK("https://www.773grp.com/manufacturer/onsemi?pageNo=291", "ON Semiconductor")</f>
        <v>ON Semiconductor</v>
      </c>
      <c r="C30793" s="6">
        <v>17935</v>
      </c>
      <c r="D30793" s="7">
        <v>0.74</v>
      </c>
      <c r="E30793" t="s">
        <v>31</v>
      </c>
    </row>
    <row r="30794" spans="1:5" x14ac:dyDescent="0.25">
      <c r="A30794" t="str">
        <f>HYPERLINK("https://www.773grp.com/globalSearch/MC14073BDG/page-1", "MC14073BDG")</f>
        <v>MC14073BDG</v>
      </c>
      <c r="B30794" s="3" t="str">
        <f>HYPERLINK("https://www.773grp.com/manufacturer/onsemi?pageNo=292", "ON Semiconductor")</f>
        <v>ON Semiconductor</v>
      </c>
      <c r="C30794" s="6">
        <v>38773</v>
      </c>
      <c r="D30794" s="7">
        <v>0.74</v>
      </c>
      <c r="E30794" t="s">
        <v>31</v>
      </c>
    </row>
    <row r="30795" spans="1:5" x14ac:dyDescent="0.25">
      <c r="A30795" t="str">
        <f>HYPERLINK("https://www.773grp.com/globalSearch/MC14073BDR2G/page-1", "MC14073BDR2G")</f>
        <v>MC14073BDR2G</v>
      </c>
      <c r="B30795" s="3" t="str">
        <f>HYPERLINK("https://www.773grp.com/manufacturer/onsemi?pageNo=293", "ON Semiconductor")</f>
        <v>ON Semiconductor</v>
      </c>
      <c r="C30795" s="6">
        <v>7245</v>
      </c>
      <c r="D30795" s="7">
        <v>0.74</v>
      </c>
    </row>
    <row r="30796" spans="1:5" x14ac:dyDescent="0.25">
      <c r="A30796" t="str">
        <f>HYPERLINK("https://www.773grp.com/globalSearch/MC14077BCPG/page-1", "MC14077BCPG")</f>
        <v>MC14077BCPG</v>
      </c>
      <c r="B30796" s="3" t="str">
        <f>HYPERLINK("https://www.773grp.com/manufacturer/onsemi?pageNo=294", "ON Semiconductor")</f>
        <v>ON Semiconductor</v>
      </c>
      <c r="C30796" s="6">
        <v>31509</v>
      </c>
      <c r="D30796" s="7">
        <v>0.74</v>
      </c>
      <c r="E30796" t="s">
        <v>31</v>
      </c>
    </row>
    <row r="30797" spans="1:5" x14ac:dyDescent="0.25">
      <c r="A30797" t="str">
        <f>HYPERLINK("https://www.773grp.com/globalSearch/MC14077BDG/page-1", "MC14077BDG")</f>
        <v>MC14077BDG</v>
      </c>
      <c r="B30797" s="3" t="str">
        <f>HYPERLINK("https://www.773grp.com/manufacturer/onsemi?pageNo=295", "ON Semiconductor")</f>
        <v>ON Semiconductor</v>
      </c>
      <c r="C30797" s="6">
        <v>9224</v>
      </c>
      <c r="D30797" s="7">
        <v>0.74</v>
      </c>
      <c r="E30797" t="s">
        <v>31</v>
      </c>
    </row>
    <row r="30798" spans="1:5" x14ac:dyDescent="0.25">
      <c r="A30798" t="str">
        <f>HYPERLINK("https://www.773grp.com/globalSearch/MC14077BDR2G/page-1", "MC14077BDR2G")</f>
        <v>MC14077BDR2G</v>
      </c>
      <c r="B30798" s="3" t="str">
        <f>HYPERLINK("https://www.773grp.com/manufacturer/onsemi?pageNo=296", "ON Semiconductor")</f>
        <v>ON Semiconductor</v>
      </c>
      <c r="C30798" s="6">
        <v>31836</v>
      </c>
      <c r="D30798" s="7">
        <v>0.74</v>
      </c>
      <c r="E30798" t="s">
        <v>31</v>
      </c>
    </row>
    <row r="30799" spans="1:5" x14ac:dyDescent="0.25">
      <c r="A30799" t="str">
        <f>HYPERLINK("https://www.773grp.com/globalSearch/MC14081BDG/page-1", "MC14081BDG")</f>
        <v>MC14081BDG</v>
      </c>
      <c r="B30799" s="3" t="str">
        <f>HYPERLINK("https://www.773grp.com/manufacturer/onsemi?pageNo=297", "ON Semiconductor")</f>
        <v>ON Semiconductor</v>
      </c>
      <c r="C30799" s="6">
        <v>2808</v>
      </c>
      <c r="D30799" s="7">
        <v>0.74</v>
      </c>
      <c r="E30799" t="s">
        <v>31</v>
      </c>
    </row>
    <row r="30800" spans="1:5" x14ac:dyDescent="0.25">
      <c r="A30800" t="str">
        <f>HYPERLINK("https://www.773grp.com/globalSearch/MC14081BDR2G/page-1", "MC14081BDR2G")</f>
        <v>MC14081BDR2G</v>
      </c>
      <c r="B30800" s="3" t="str">
        <f>HYPERLINK("https://www.773grp.com/manufacturer/onsemi?pageNo=298", "ON Semiconductor")</f>
        <v>ON Semiconductor</v>
      </c>
      <c r="C30800" s="6">
        <v>128062</v>
      </c>
      <c r="D30800" s="7">
        <v>0.74</v>
      </c>
      <c r="E30800" t="s">
        <v>31</v>
      </c>
    </row>
    <row r="30801" spans="1:5" x14ac:dyDescent="0.25">
      <c r="A30801" t="str">
        <f>HYPERLINK("https://www.773grp.com/globalSearch/MC14082BCPG/page-1", "MC14082BCPG")</f>
        <v>MC14082BCPG</v>
      </c>
      <c r="B30801" s="3" t="str">
        <f>HYPERLINK("https://www.773grp.com/manufacturer/onsemi?pageNo=299", "ON Semiconductor")</f>
        <v>ON Semiconductor</v>
      </c>
      <c r="C30801" s="6">
        <v>47061</v>
      </c>
      <c r="D30801" s="7">
        <v>0.74</v>
      </c>
      <c r="E30801" t="s">
        <v>31</v>
      </c>
    </row>
    <row r="30802" spans="1:5" x14ac:dyDescent="0.25">
      <c r="A30802" t="str">
        <f>HYPERLINK("https://www.773grp.com/globalSearch/MC14082BDG/page-1", "MC14082BDG")</f>
        <v>MC14082BDG</v>
      </c>
      <c r="B30802" s="3" t="str">
        <f>HYPERLINK("https://www.773grp.com/manufacturer/onsemi?pageNo=300", "ON Semiconductor")</f>
        <v>ON Semiconductor</v>
      </c>
      <c r="C30802" s="6">
        <v>19855</v>
      </c>
      <c r="D30802" s="7">
        <v>0.74</v>
      </c>
      <c r="E30802" t="s">
        <v>31</v>
      </c>
    </row>
    <row r="30803" spans="1:5" x14ac:dyDescent="0.25">
      <c r="A30803" t="str">
        <f>HYPERLINK("https://www.773grp.com/globalSearch/MC14082BDR2G/page-1", "MC14082BDR2G")</f>
        <v>MC14082BDR2G</v>
      </c>
      <c r="B30803" s="3" t="str">
        <f>HYPERLINK("https://www.773grp.com/manufacturer/onsemi?pageNo=301", "ON Semiconductor")</f>
        <v>ON Semiconductor</v>
      </c>
      <c r="C30803" s="6">
        <v>1848</v>
      </c>
      <c r="D30803" s="7">
        <v>0.74</v>
      </c>
    </row>
    <row r="30804" spans="1:5" x14ac:dyDescent="0.25">
      <c r="A30804" t="str">
        <f>HYPERLINK("https://www.773grp.com/globalSearch/MC1413P/page-1", "MC1413P")</f>
        <v>MC1413P</v>
      </c>
      <c r="B30804" s="3" t="str">
        <f>HYPERLINK("https://www.773grp.com/manufacturer/onsemi?pageNo=302", "ON Semiconductor")</f>
        <v>ON Semiconductor</v>
      </c>
      <c r="C30804" s="6">
        <v>7104</v>
      </c>
      <c r="D30804" s="7">
        <v>0.74</v>
      </c>
      <c r="E30804" t="s">
        <v>59</v>
      </c>
    </row>
    <row r="30805" spans="1:5" x14ac:dyDescent="0.25">
      <c r="A30805" t="str">
        <f>HYPERLINK("https://www.773grp.com/globalSearch/MC14555BF/page-1", "MC14555BF")</f>
        <v>MC14555BF</v>
      </c>
      <c r="B30805" s="3" t="str">
        <f>HYPERLINK("https://www.773grp.com/manufacturer/onsemi?pageNo=303", "ON Semiconductor")</f>
        <v>ON Semiconductor</v>
      </c>
      <c r="C30805" s="6">
        <v>1177</v>
      </c>
      <c r="D30805" s="7">
        <v>0.74</v>
      </c>
      <c r="E30805" t="s">
        <v>36</v>
      </c>
    </row>
    <row r="30806" spans="1:5" x14ac:dyDescent="0.25">
      <c r="A30806" t="str">
        <f>HYPERLINK("https://www.773grp.com/globalSearch/MC14556BD/page-1", "MC14556BD")</f>
        <v>MC14556BD</v>
      </c>
      <c r="B30806" s="3" t="str">
        <f>HYPERLINK("https://www.773grp.com/manufacturer/onsemi?pageNo=304", "ON Semiconductor")</f>
        <v>ON Semiconductor</v>
      </c>
      <c r="C30806" s="6">
        <v>3879</v>
      </c>
      <c r="D30806" s="7">
        <v>0.74</v>
      </c>
      <c r="E30806" t="s">
        <v>36</v>
      </c>
    </row>
    <row r="30807" spans="1:5" x14ac:dyDescent="0.25">
      <c r="A30807" t="str">
        <f>HYPERLINK("https://www.773grp.com/globalSearch/MC3303D/page-1", "MC3303D")</f>
        <v>MC3303D</v>
      </c>
      <c r="B30807" s="3" t="str">
        <f>HYPERLINK("https://www.773grp.com/manufacturer/onsemi?pageNo=305", "ON Semiconductor")</f>
        <v>ON Semiconductor</v>
      </c>
      <c r="C30807" s="6">
        <v>10</v>
      </c>
      <c r="D30807" s="7">
        <v>0.74</v>
      </c>
      <c r="E30807" t="s">
        <v>13</v>
      </c>
    </row>
    <row r="30808" spans="1:5" x14ac:dyDescent="0.25">
      <c r="A30808" t="str">
        <f>HYPERLINK("https://www.773grp.com/globalSearch/MC3303DR2/page-1", "MC3303DR2")</f>
        <v>MC3303DR2</v>
      </c>
      <c r="B30808" s="3" t="str">
        <f>HYPERLINK("https://www.773grp.com/manufacturer/onsemi?pageNo=306", "ON Semiconductor")</f>
        <v>ON Semiconductor</v>
      </c>
      <c r="C30808" s="6">
        <v>5090</v>
      </c>
      <c r="D30808" s="7">
        <v>0.74</v>
      </c>
      <c r="E30808" t="s">
        <v>13</v>
      </c>
    </row>
    <row r="30809" spans="1:5" x14ac:dyDescent="0.25">
      <c r="A30809" t="str">
        <f>HYPERLINK("https://www.773grp.com/globalSearch/MC34063ADR2/page-1", "MC34063ADR2")</f>
        <v>MC34063ADR2</v>
      </c>
      <c r="B30809" s="3" t="str">
        <f>HYPERLINK("https://www.773grp.com/manufacturer/onsemi?pageNo=307", "ON Semiconductor")</f>
        <v>ON Semiconductor</v>
      </c>
      <c r="C30809" s="6">
        <v>30</v>
      </c>
      <c r="D30809" s="7">
        <v>0.74</v>
      </c>
      <c r="E30809" t="s">
        <v>7</v>
      </c>
    </row>
    <row r="30810" spans="1:5" x14ac:dyDescent="0.25">
      <c r="A30810" t="str">
        <f>HYPERLINK("https://www.773grp.com/globalSearch/MC34071AP/page-1", "MC34071AP")</f>
        <v>MC34071AP</v>
      </c>
      <c r="B30810" s="3" t="str">
        <f>HYPERLINK("https://www.773grp.com/manufacturer/onsemi?pageNo=308", "ON Semiconductor")</f>
        <v>ON Semiconductor</v>
      </c>
      <c r="C30810" s="6">
        <v>1890</v>
      </c>
      <c r="D30810" s="7">
        <v>0.74</v>
      </c>
      <c r="E30810" t="s">
        <v>13</v>
      </c>
    </row>
    <row r="30811" spans="1:5" x14ac:dyDescent="0.25">
      <c r="A30811" t="str">
        <f>HYPERLINK("https://www.773grp.com/globalSearch/MC34071D/page-1", "MC34071D")</f>
        <v>MC34071D</v>
      </c>
      <c r="B30811" s="3" t="str">
        <f>HYPERLINK("https://www.773grp.com/manufacturer/onsemi?pageNo=309", "ON Semiconductor")</f>
        <v>ON Semiconductor</v>
      </c>
      <c r="C30811" s="6">
        <v>3573</v>
      </c>
      <c r="D30811" s="7">
        <v>0.74</v>
      </c>
      <c r="E30811" t="s">
        <v>13</v>
      </c>
    </row>
    <row r="30812" spans="1:5" x14ac:dyDescent="0.25">
      <c r="A30812" t="str">
        <f>HYPERLINK("https://www.773grp.com/globalSearch/MC34071P/page-1", "MC34071P")</f>
        <v>MC34071P</v>
      </c>
      <c r="B30812" s="3" t="str">
        <f>HYPERLINK("https://www.773grp.com/manufacturer/onsemi?pageNo=310", "ON Semiconductor")</f>
        <v>ON Semiconductor</v>
      </c>
      <c r="C30812" s="6">
        <v>261</v>
      </c>
      <c r="D30812" s="7">
        <v>0.74</v>
      </c>
      <c r="E30812" t="s">
        <v>13</v>
      </c>
    </row>
    <row r="30813" spans="1:5" x14ac:dyDescent="0.25">
      <c r="A30813" t="str">
        <f>HYPERLINK("https://www.773grp.com/globalSearch/MC74AC14DTR2G/page-1", "MC74AC14DTR2G")</f>
        <v>MC74AC14DTR2G</v>
      </c>
      <c r="B30813" s="3" t="str">
        <f>HYPERLINK("https://www.773grp.com/manufacturer/onsemi?pageNo=311", "ON Semiconductor")</f>
        <v>ON Semiconductor</v>
      </c>
      <c r="C30813" s="6">
        <v>17500</v>
      </c>
      <c r="D30813" s="7">
        <v>0.74</v>
      </c>
      <c r="E30813" t="s">
        <v>31</v>
      </c>
    </row>
    <row r="30814" spans="1:5" x14ac:dyDescent="0.25">
      <c r="A30814" t="str">
        <f>HYPERLINK("https://www.773grp.com/globalSearch/MC74AC74DTR2G/page-1", "MC74AC74DTR2G")</f>
        <v>MC74AC74DTR2G</v>
      </c>
      <c r="B30814" s="3" t="str">
        <f>HYPERLINK("https://www.773grp.com/manufacturer/onsemi?pageNo=312", "ON Semiconductor")</f>
        <v>ON Semiconductor</v>
      </c>
      <c r="C30814" s="6">
        <v>6227</v>
      </c>
      <c r="D30814" s="7">
        <v>0.74</v>
      </c>
      <c r="E30814" t="s">
        <v>35</v>
      </c>
    </row>
    <row r="30815" spans="1:5" x14ac:dyDescent="0.25">
      <c r="A30815" t="str">
        <f>HYPERLINK("https://www.773grp.com/globalSearch/MC74ACT14DTR2G/page-1", "MC74ACT14DTR2G")</f>
        <v>MC74ACT14DTR2G</v>
      </c>
      <c r="B30815" s="3" t="str">
        <f>HYPERLINK("https://www.773grp.com/manufacturer/onsemi?pageNo=313", "ON Semiconductor")</f>
        <v>ON Semiconductor</v>
      </c>
      <c r="C30815" s="6">
        <v>56500</v>
      </c>
      <c r="D30815" s="7">
        <v>0.74</v>
      </c>
      <c r="E30815" t="s">
        <v>31</v>
      </c>
    </row>
    <row r="30816" spans="1:5" x14ac:dyDescent="0.25">
      <c r="A30816" t="str">
        <f>HYPERLINK("https://www.773grp.com/globalSearch/MC74ACT253N/page-1", "MC74ACT253N")</f>
        <v>MC74ACT253N</v>
      </c>
      <c r="B30816" s="3" t="str">
        <f>HYPERLINK("https://www.773grp.com/manufacturer/onsemi?pageNo=314", "ON Semiconductor")</f>
        <v>ON Semiconductor</v>
      </c>
      <c r="C30816" s="6">
        <v>1125</v>
      </c>
      <c r="D30816" s="7">
        <v>0.74</v>
      </c>
      <c r="E30816" t="s">
        <v>20</v>
      </c>
    </row>
    <row r="30817" spans="1:5" x14ac:dyDescent="0.25">
      <c r="A30817" t="str">
        <f>HYPERLINK("https://www.773grp.com/globalSearch/MC74ACT74DTR2G/page-1", "MC74ACT74DTR2G")</f>
        <v>MC74ACT74DTR2G</v>
      </c>
      <c r="B30817" s="3" t="str">
        <f>HYPERLINK("https://www.773grp.com/manufacturer/onsemi?pageNo=315", "ON Semiconductor")</f>
        <v>ON Semiconductor</v>
      </c>
      <c r="C30817" s="6">
        <v>2500</v>
      </c>
      <c r="D30817" s="7">
        <v>0.74</v>
      </c>
      <c r="E30817" t="s">
        <v>35</v>
      </c>
    </row>
    <row r="30818" spans="1:5" x14ac:dyDescent="0.25">
      <c r="A30818" t="str">
        <f>HYPERLINK("https://www.773grp.com/globalSearch/MC74ACT86DTR2G/page-1", "MC74ACT86DTR2G")</f>
        <v>MC74ACT86DTR2G</v>
      </c>
      <c r="B30818" s="3" t="str">
        <f>HYPERLINK("https://www.773grp.com/manufacturer/onsemi?pageNo=316", "ON Semiconductor")</f>
        <v>ON Semiconductor</v>
      </c>
      <c r="C30818" s="6">
        <v>20000</v>
      </c>
      <c r="D30818" s="7">
        <v>0.74</v>
      </c>
      <c r="E30818" t="s">
        <v>31</v>
      </c>
    </row>
    <row r="30819" spans="1:5" x14ac:dyDescent="0.25">
      <c r="A30819" t="str">
        <f>HYPERLINK("https://www.773grp.com/globalSearch/MC74F139DR2/page-1", "MC74F139DR2")</f>
        <v>MC74F139DR2</v>
      </c>
      <c r="B30819" s="3" t="str">
        <f>HYPERLINK("https://www.773grp.com/manufacturer/onsemi?pageNo=317", "ON Semiconductor")</f>
        <v>ON Semiconductor</v>
      </c>
      <c r="C30819" s="6">
        <v>714</v>
      </c>
      <c r="D30819" s="7">
        <v>0.74</v>
      </c>
      <c r="E30819" t="s">
        <v>36</v>
      </c>
    </row>
    <row r="30820" spans="1:5" x14ac:dyDescent="0.25">
      <c r="A30820" t="str">
        <f>HYPERLINK("https://www.773grp.com/globalSearch/MC74F175D/page-1", "MC74F175D")</f>
        <v>MC74F175D</v>
      </c>
      <c r="B30820" s="3" t="str">
        <f>HYPERLINK("https://www.773grp.com/manufacturer/onsemi?pageNo=318", "ON Semiconductor")</f>
        <v>ON Semiconductor</v>
      </c>
      <c r="C30820" s="6">
        <v>1391</v>
      </c>
      <c r="D30820" s="7">
        <v>0.74</v>
      </c>
      <c r="E30820" t="s">
        <v>35</v>
      </c>
    </row>
    <row r="30821" spans="1:5" x14ac:dyDescent="0.25">
      <c r="A30821" t="str">
        <f>HYPERLINK("https://www.773grp.com/globalSearch/MC74F257AD/page-1", "MC74F257AD")</f>
        <v>MC74F257AD</v>
      </c>
      <c r="B30821" s="3" t="str">
        <f>HYPERLINK("https://www.773grp.com/manufacturer/onsemi?pageNo=319", "ON Semiconductor")</f>
        <v>ON Semiconductor</v>
      </c>
      <c r="C30821" s="6">
        <v>4254</v>
      </c>
      <c r="D30821" s="7">
        <v>0.74</v>
      </c>
      <c r="E30821" t="s">
        <v>20</v>
      </c>
    </row>
    <row r="30822" spans="1:5" x14ac:dyDescent="0.25">
      <c r="A30822" t="str">
        <f>HYPERLINK("https://www.773grp.com/globalSearch/MC74HC00ADG/page-1", "MC74HC00ADG")</f>
        <v>MC74HC00ADG</v>
      </c>
      <c r="B30822" s="3" t="str">
        <f>HYPERLINK("https://www.773grp.com/manufacturer/onsemi?pageNo=320", "ON Semiconductor")</f>
        <v>ON Semiconductor</v>
      </c>
      <c r="C30822" s="6">
        <v>39040</v>
      </c>
      <c r="D30822" s="7">
        <v>0.74</v>
      </c>
      <c r="E30822" t="s">
        <v>31</v>
      </c>
    </row>
    <row r="30823" spans="1:5" x14ac:dyDescent="0.25">
      <c r="A30823" t="str">
        <f>HYPERLINK("https://www.773grp.com/globalSearch/MC74HC00ADR2G/page-1", "MC74HC00ADR2G")</f>
        <v>MC74HC00ADR2G</v>
      </c>
      <c r="B30823" s="3" t="str">
        <f>HYPERLINK("https://www.773grp.com/manufacturer/onsemi?pageNo=321", "ON Semiconductor")</f>
        <v>ON Semiconductor</v>
      </c>
      <c r="C30823" s="6">
        <v>82778</v>
      </c>
      <c r="D30823" s="7">
        <v>0.74</v>
      </c>
      <c r="E30823" t="s">
        <v>31</v>
      </c>
    </row>
    <row r="30824" spans="1:5" x14ac:dyDescent="0.25">
      <c r="A30824" t="str">
        <f>HYPERLINK("https://www.773grp.com/globalSearch/MC74HC00ADTR2G/page-1", "MC74HC00ADTR2G")</f>
        <v>MC74HC00ADTR2G</v>
      </c>
      <c r="B30824" s="3" t="str">
        <f>HYPERLINK("https://www.773grp.com/manufacturer/onsemi?pageNo=322", "ON Semiconductor")</f>
        <v>ON Semiconductor</v>
      </c>
      <c r="C30824" s="6">
        <v>40000</v>
      </c>
      <c r="D30824" s="7">
        <v>0.74</v>
      </c>
      <c r="E30824" t="s">
        <v>31</v>
      </c>
    </row>
    <row r="30825" spans="1:5" x14ac:dyDescent="0.25">
      <c r="A30825" t="str">
        <f>HYPERLINK("https://www.773grp.com/globalSearch/MC74HC02ADG/page-1", "MC74HC02ADG")</f>
        <v>MC74HC02ADG</v>
      </c>
      <c r="B30825" s="3" t="str">
        <f>HYPERLINK("https://www.773grp.com/manufacturer/onsemi?pageNo=323", "ON Semiconductor")</f>
        <v>ON Semiconductor</v>
      </c>
      <c r="C30825" s="6">
        <v>43775</v>
      </c>
      <c r="D30825" s="7">
        <v>0.74</v>
      </c>
      <c r="E30825" t="s">
        <v>31</v>
      </c>
    </row>
    <row r="30826" spans="1:5" x14ac:dyDescent="0.25">
      <c r="A30826" t="str">
        <f>HYPERLINK("https://www.773grp.com/globalSearch/MC74HC02ADR2G/page-1", "MC74HC02ADR2G")</f>
        <v>MC74HC02ADR2G</v>
      </c>
      <c r="B30826" s="3" t="str">
        <f>HYPERLINK("https://www.773grp.com/manufacturer/onsemi?pageNo=324", "ON Semiconductor")</f>
        <v>ON Semiconductor</v>
      </c>
      <c r="C30826" s="6">
        <v>1303298</v>
      </c>
      <c r="D30826" s="7">
        <v>0.74</v>
      </c>
      <c r="E30826" t="s">
        <v>31</v>
      </c>
    </row>
    <row r="30827" spans="1:5" x14ac:dyDescent="0.25">
      <c r="A30827" t="str">
        <f>HYPERLINK("https://www.773grp.com/globalSearch/MC74HC02ADTR2G/page-1", "MC74HC02ADTR2G")</f>
        <v>MC74HC02ADTR2G</v>
      </c>
      <c r="B30827" s="3" t="str">
        <f>HYPERLINK("https://www.773grp.com/manufacturer/onsemi?pageNo=325", "ON Semiconductor")</f>
        <v>ON Semiconductor</v>
      </c>
      <c r="C30827" s="6">
        <v>27500</v>
      </c>
      <c r="D30827" s="7">
        <v>0.74</v>
      </c>
      <c r="E30827" t="s">
        <v>31</v>
      </c>
    </row>
    <row r="30828" spans="1:5" x14ac:dyDescent="0.25">
      <c r="A30828" t="str">
        <f>HYPERLINK("https://www.773grp.com/globalSearch/MC74HC03ADG/page-1", "MC74HC03ADG")</f>
        <v>MC74HC03ADG</v>
      </c>
      <c r="B30828" s="3" t="str">
        <f>HYPERLINK("https://www.773grp.com/manufacturer/onsemi?pageNo=326", "ON Semiconductor")</f>
        <v>ON Semiconductor</v>
      </c>
      <c r="C30828" s="6">
        <v>14897</v>
      </c>
      <c r="D30828" s="7">
        <v>0.74</v>
      </c>
      <c r="E30828" t="s">
        <v>31</v>
      </c>
    </row>
    <row r="30829" spans="1:5" x14ac:dyDescent="0.25">
      <c r="A30829" t="str">
        <f>HYPERLINK("https://www.773grp.com/globalSearch/MC74HC03ADR2G/page-1", "MC74HC03ADR2G")</f>
        <v>MC74HC03ADR2G</v>
      </c>
      <c r="B30829" s="3" t="str">
        <f>HYPERLINK("https://www.773grp.com/manufacturer/onsemi?pageNo=327", "ON Semiconductor")</f>
        <v>ON Semiconductor</v>
      </c>
      <c r="C30829" s="6">
        <v>12500</v>
      </c>
      <c r="D30829" s="7">
        <v>0.74</v>
      </c>
      <c r="E30829" t="s">
        <v>31</v>
      </c>
    </row>
    <row r="30830" spans="1:5" x14ac:dyDescent="0.25">
      <c r="A30830" t="str">
        <f>HYPERLINK("https://www.773grp.com/globalSearch/MC74HC03ADTR2G/page-1", "MC74HC03ADTR2G")</f>
        <v>MC74HC03ADTR2G</v>
      </c>
      <c r="B30830" s="3" t="str">
        <f>HYPERLINK("https://www.773grp.com/manufacturer/onsemi?pageNo=328", "ON Semiconductor")</f>
        <v>ON Semiconductor</v>
      </c>
      <c r="C30830" s="6">
        <v>21104</v>
      </c>
      <c r="D30830" s="7">
        <v>0.74</v>
      </c>
      <c r="E30830" t="s">
        <v>31</v>
      </c>
    </row>
    <row r="30831" spans="1:5" x14ac:dyDescent="0.25">
      <c r="A30831" t="str">
        <f>HYPERLINK("https://www.773grp.com/globalSearch/MC74HC04ADG/page-1", "MC74HC04ADG")</f>
        <v>MC74HC04ADG</v>
      </c>
      <c r="B30831" s="3" t="str">
        <f>HYPERLINK("https://www.773grp.com/manufacturer/onsemi?pageNo=329", "ON Semiconductor")</f>
        <v>ON Semiconductor</v>
      </c>
      <c r="C30831" s="6">
        <v>25680</v>
      </c>
      <c r="D30831" s="7">
        <v>0.74</v>
      </c>
      <c r="E30831" t="s">
        <v>31</v>
      </c>
    </row>
    <row r="30832" spans="1:5" x14ac:dyDescent="0.25">
      <c r="A30832" t="str">
        <f>HYPERLINK("https://www.773grp.com/globalSearch/MC74HC04ADR2/page-1", "MC74HC04ADR2")</f>
        <v>MC74HC04ADR2</v>
      </c>
      <c r="B30832" s="3" t="str">
        <f>HYPERLINK("https://www.773grp.com/manufacturer/onsemi?pageNo=330", "ON Semiconductor")</f>
        <v>ON Semiconductor</v>
      </c>
      <c r="C30832" s="6">
        <v>9800</v>
      </c>
      <c r="D30832" s="7">
        <v>0.74</v>
      </c>
      <c r="E30832" t="s">
        <v>31</v>
      </c>
    </row>
    <row r="30833" spans="1:5" x14ac:dyDescent="0.25">
      <c r="A30833" t="str">
        <f>HYPERLINK("https://www.773grp.com/globalSearch/MC74HC04ADR2G/page-1", "MC74HC04ADR2G")</f>
        <v>MC74HC04ADR2G</v>
      </c>
      <c r="B30833" s="3" t="str">
        <f>HYPERLINK("https://www.773grp.com/manufacturer/onsemi?pageNo=331", "ON Semiconductor")</f>
        <v>ON Semiconductor</v>
      </c>
      <c r="C30833" s="6">
        <v>239698</v>
      </c>
      <c r="D30833" s="7">
        <v>0.74</v>
      </c>
      <c r="E30833" t="s">
        <v>31</v>
      </c>
    </row>
    <row r="30834" spans="1:5" x14ac:dyDescent="0.25">
      <c r="A30834" t="str">
        <f>HYPERLINK("https://www.773grp.com/globalSearch/MC74HC04ADTR2G/page-1", "MC74HC04ADTR2G")</f>
        <v>MC74HC04ADTR2G</v>
      </c>
      <c r="B30834" s="3" t="str">
        <f>HYPERLINK("https://www.773grp.com/manufacturer/onsemi?pageNo=332", "ON Semiconductor")</f>
        <v>ON Semiconductor</v>
      </c>
      <c r="C30834" s="6">
        <v>10042</v>
      </c>
      <c r="D30834" s="7">
        <v>0.74</v>
      </c>
      <c r="E30834" t="s">
        <v>31</v>
      </c>
    </row>
    <row r="30835" spans="1:5" x14ac:dyDescent="0.25">
      <c r="A30835" t="str">
        <f>HYPERLINK("https://www.773grp.com/globalSearch/MC74HC08ADG/page-1", "MC74HC08ADG")</f>
        <v>MC74HC08ADG</v>
      </c>
      <c r="B30835" s="3" t="str">
        <f>HYPERLINK("https://www.773grp.com/manufacturer/onsemi?pageNo=333", "ON Semiconductor")</f>
        <v>ON Semiconductor</v>
      </c>
      <c r="C30835" s="6">
        <v>17990</v>
      </c>
      <c r="D30835" s="7">
        <v>0.74</v>
      </c>
      <c r="E30835" t="s">
        <v>31</v>
      </c>
    </row>
    <row r="30836" spans="1:5" x14ac:dyDescent="0.25">
      <c r="A30836" t="str">
        <f>HYPERLINK("https://www.773grp.com/globalSearch/MC74HC08ADR2G/page-1", "MC74HC08ADR2G")</f>
        <v>MC74HC08ADR2G</v>
      </c>
      <c r="B30836" s="3" t="str">
        <f>HYPERLINK("https://www.773grp.com/manufacturer/onsemi?pageNo=334", "ON Semiconductor")</f>
        <v>ON Semiconductor</v>
      </c>
      <c r="C30836" s="6">
        <v>12500</v>
      </c>
      <c r="D30836" s="7">
        <v>0.74</v>
      </c>
      <c r="E30836" t="s">
        <v>31</v>
      </c>
    </row>
    <row r="30837" spans="1:5" x14ac:dyDescent="0.25">
      <c r="A30837" t="str">
        <f>HYPERLINK("https://www.773grp.com/globalSearch/MC74HC08ADTR2G/page-1", "MC74HC08ADTR2G")</f>
        <v>MC74HC08ADTR2G</v>
      </c>
      <c r="B30837" s="3" t="str">
        <f>HYPERLINK("https://www.773grp.com/manufacturer/onsemi?pageNo=335", "ON Semiconductor")</f>
        <v>ON Semiconductor</v>
      </c>
      <c r="C30837" s="6">
        <v>2090</v>
      </c>
      <c r="D30837" s="7">
        <v>0.74</v>
      </c>
      <c r="E30837" t="s">
        <v>31</v>
      </c>
    </row>
    <row r="30838" spans="1:5" x14ac:dyDescent="0.25">
      <c r="A30838" t="str">
        <f>HYPERLINK("https://www.773grp.com/globalSearch/MC74HC10ADG/page-1", "MC74HC10ADG")</f>
        <v>MC74HC10ADG</v>
      </c>
      <c r="B30838" s="3" t="str">
        <f>HYPERLINK("https://www.773grp.com/manufacturer/onsemi?pageNo=336", "ON Semiconductor")</f>
        <v>ON Semiconductor</v>
      </c>
      <c r="C30838" s="6">
        <v>38373</v>
      </c>
      <c r="D30838" s="7">
        <v>0.74</v>
      </c>
      <c r="E30838" t="s">
        <v>31</v>
      </c>
    </row>
    <row r="30839" spans="1:5" x14ac:dyDescent="0.25">
      <c r="A30839" t="str">
        <f>HYPERLINK("https://www.773grp.com/globalSearch/MC74HC10ADR2G/page-1", "MC74HC10ADR2G")</f>
        <v>MC74HC10ADR2G</v>
      </c>
      <c r="B30839" s="3" t="str">
        <f>HYPERLINK("https://www.773grp.com/manufacturer/onsemi?pageNo=337", "ON Semiconductor")</f>
        <v>ON Semiconductor</v>
      </c>
      <c r="C30839" s="6">
        <v>44985</v>
      </c>
      <c r="D30839" s="7">
        <v>0.74</v>
      </c>
      <c r="E30839" t="s">
        <v>31</v>
      </c>
    </row>
    <row r="30840" spans="1:5" x14ac:dyDescent="0.25">
      <c r="A30840" t="str">
        <f>HYPERLINK("https://www.773grp.com/globalSearch/MC74HC10ADTG/page-1", "MC74HC10ADTG")</f>
        <v>MC74HC10ADTG</v>
      </c>
      <c r="B30840" s="3" t="str">
        <f>HYPERLINK("https://www.773grp.com/manufacturer/onsemi?pageNo=338", "ON Semiconductor")</f>
        <v>ON Semiconductor</v>
      </c>
      <c r="C30840" s="6">
        <v>43362</v>
      </c>
      <c r="D30840" s="7">
        <v>0.74</v>
      </c>
    </row>
    <row r="30841" spans="1:5" x14ac:dyDescent="0.25">
      <c r="A30841" t="str">
        <f>HYPERLINK("https://www.773grp.com/globalSearch/MC74HC10ADTR2G/page-1", "MC74HC10ADTR2G")</f>
        <v>MC74HC10ADTR2G</v>
      </c>
      <c r="B30841" s="3" t="str">
        <f>HYPERLINK("https://www.773grp.com/manufacturer/onsemi?pageNo=339", "ON Semiconductor")</f>
        <v>ON Semiconductor</v>
      </c>
      <c r="C30841" s="6">
        <v>39403</v>
      </c>
      <c r="D30841" s="7">
        <v>0.74</v>
      </c>
      <c r="E30841" t="s">
        <v>31</v>
      </c>
    </row>
    <row r="30842" spans="1:5" x14ac:dyDescent="0.25">
      <c r="A30842" t="str">
        <f>HYPERLINK("https://www.773grp.com/globalSearch/MC74HC11ADG/page-1", "MC74HC11ADG")</f>
        <v>MC74HC11ADG</v>
      </c>
      <c r="B30842" s="3" t="str">
        <f>HYPERLINK("https://www.773grp.com/manufacturer/onsemi?pageNo=340", "ON Semiconductor")</f>
        <v>ON Semiconductor</v>
      </c>
      <c r="C30842" s="6">
        <v>4090</v>
      </c>
      <c r="D30842" s="7">
        <v>0.74</v>
      </c>
    </row>
    <row r="30843" spans="1:5" x14ac:dyDescent="0.25">
      <c r="A30843" t="str">
        <f>HYPERLINK("https://www.773grp.com/globalSearch/MC74HC11ADTG/page-1", "MC74HC11ADTG")</f>
        <v>MC74HC11ADTG</v>
      </c>
      <c r="B30843" s="3" t="str">
        <f>HYPERLINK("https://www.773grp.com/manufacturer/onsemi?pageNo=341", "ON Semiconductor")</f>
        <v>ON Semiconductor</v>
      </c>
      <c r="C30843" s="6">
        <v>2400</v>
      </c>
      <c r="D30843" s="7">
        <v>0.74</v>
      </c>
    </row>
    <row r="30844" spans="1:5" x14ac:dyDescent="0.25">
      <c r="A30844" t="str">
        <f>HYPERLINK("https://www.773grp.com/globalSearch/MC74HC11ADTR2G/page-1", "MC74HC11ADTR2G")</f>
        <v>MC74HC11ADTR2G</v>
      </c>
      <c r="B30844" s="3" t="str">
        <f>HYPERLINK("https://www.773grp.com/manufacturer/onsemi?pageNo=342", "ON Semiconductor")</f>
        <v>ON Semiconductor</v>
      </c>
      <c r="C30844" s="6">
        <v>11022</v>
      </c>
      <c r="D30844" s="7">
        <v>0.74</v>
      </c>
      <c r="E30844" t="s">
        <v>31</v>
      </c>
    </row>
    <row r="30845" spans="1:5" x14ac:dyDescent="0.25">
      <c r="A30845" t="str">
        <f>HYPERLINK("https://www.773grp.com/globalSearch/MC74HC139ADTR2G/page-1", "MC74HC139ADTR2G")</f>
        <v>MC74HC139ADTR2G</v>
      </c>
      <c r="B30845" s="3" t="str">
        <f>HYPERLINK("https://www.773grp.com/manufacturer/onsemi?pageNo=343", "ON Semiconductor")</f>
        <v>ON Semiconductor</v>
      </c>
      <c r="C30845" s="6">
        <v>12223</v>
      </c>
      <c r="D30845" s="7">
        <v>0.74</v>
      </c>
      <c r="E30845" t="s">
        <v>36</v>
      </c>
    </row>
    <row r="30846" spans="1:5" x14ac:dyDescent="0.25">
      <c r="A30846" t="str">
        <f>HYPERLINK("https://www.773grp.com/globalSearch/MC74HC14ADG/page-1", "MC74HC14ADG")</f>
        <v>MC74HC14ADG</v>
      </c>
      <c r="B30846" s="3" t="str">
        <f>HYPERLINK("https://www.773grp.com/manufacturer/onsemi?pageNo=344", "ON Semiconductor")</f>
        <v>ON Semiconductor</v>
      </c>
      <c r="C30846" s="6">
        <v>9302</v>
      </c>
      <c r="D30846" s="7">
        <v>0.74</v>
      </c>
      <c r="E30846" t="s">
        <v>31</v>
      </c>
    </row>
    <row r="30847" spans="1:5" x14ac:dyDescent="0.25">
      <c r="A30847" t="str">
        <f>HYPERLINK("https://www.773grp.com/globalSearch/MC74HC14ADR2G/page-1", "MC74HC14ADR2G")</f>
        <v>MC74HC14ADR2G</v>
      </c>
      <c r="B30847" s="3" t="str">
        <f>HYPERLINK("https://www.773grp.com/manufacturer/onsemi?pageNo=345", "ON Semiconductor")</f>
        <v>ON Semiconductor</v>
      </c>
      <c r="C30847" s="6">
        <v>5000</v>
      </c>
      <c r="D30847" s="7">
        <v>0.74</v>
      </c>
      <c r="E30847" t="s">
        <v>31</v>
      </c>
    </row>
    <row r="30848" spans="1:5" x14ac:dyDescent="0.25">
      <c r="A30848" t="str">
        <f>HYPERLINK("https://www.773grp.com/globalSearch/MC74HC14ADTG/page-1", "MC74HC14ADTG")</f>
        <v>MC74HC14ADTG</v>
      </c>
      <c r="B30848" s="3" t="str">
        <f>HYPERLINK("https://www.773grp.com/manufacturer/onsemi?pageNo=346", "ON Semiconductor")</f>
        <v>ON Semiconductor</v>
      </c>
      <c r="C30848" s="6">
        <v>3168</v>
      </c>
      <c r="D30848" s="7">
        <v>0.74</v>
      </c>
      <c r="E30848" t="s">
        <v>31</v>
      </c>
    </row>
    <row r="30849" spans="1:5" x14ac:dyDescent="0.25">
      <c r="A30849" t="str">
        <f>HYPERLINK("https://www.773grp.com/globalSearch/MC74HC14ADTR2G/page-1", "MC74HC14ADTR2G")</f>
        <v>MC74HC14ADTR2G</v>
      </c>
      <c r="B30849" s="3" t="str">
        <f>HYPERLINK("https://www.773grp.com/manufacturer/onsemi?pageNo=347", "ON Semiconductor")</f>
        <v>ON Semiconductor</v>
      </c>
      <c r="C30849" s="6">
        <v>76581</v>
      </c>
      <c r="D30849" s="7">
        <v>0.74</v>
      </c>
      <c r="E30849" t="s">
        <v>31</v>
      </c>
    </row>
    <row r="30850" spans="1:5" x14ac:dyDescent="0.25">
      <c r="A30850" t="str">
        <f>HYPERLINK("https://www.773grp.com/globalSearch/MC74HC157ADR2/page-1", "MC74HC157ADR2")</f>
        <v>MC74HC157ADR2</v>
      </c>
      <c r="B30850" s="3" t="str">
        <f>HYPERLINK("https://www.773grp.com/manufacturer/onsemi?pageNo=348", "ON Semiconductor")</f>
        <v>ON Semiconductor</v>
      </c>
      <c r="C30850" s="6">
        <v>2500</v>
      </c>
      <c r="D30850" s="7">
        <v>0.74</v>
      </c>
      <c r="E30850" t="s">
        <v>20</v>
      </c>
    </row>
    <row r="30851" spans="1:5" x14ac:dyDescent="0.25">
      <c r="A30851" t="str">
        <f>HYPERLINK("https://www.773grp.com/globalSearch/MC74HC20ADR2G/page-1", "MC74HC20ADR2G")</f>
        <v>MC74HC20ADR2G</v>
      </c>
      <c r="B30851" s="3" t="str">
        <f>HYPERLINK("https://www.773grp.com/manufacturer/onsemi?pageNo=349", "ON Semiconductor")</f>
        <v>ON Semiconductor</v>
      </c>
      <c r="C30851" s="6">
        <v>5000</v>
      </c>
      <c r="D30851" s="7">
        <v>0.74</v>
      </c>
    </row>
    <row r="30852" spans="1:5" x14ac:dyDescent="0.25">
      <c r="A30852" t="str">
        <f>HYPERLINK("https://www.773grp.com/globalSearch/MC74HC251F/page-1", "MC74HC251F")</f>
        <v>MC74HC251F</v>
      </c>
      <c r="B30852" s="3" t="str">
        <f>HYPERLINK("https://www.773grp.com/manufacturer/onsemi?pageNo=350", "ON Semiconductor")</f>
        <v>ON Semiconductor</v>
      </c>
      <c r="C30852" s="6">
        <v>1991</v>
      </c>
      <c r="D30852" s="7">
        <v>0.74</v>
      </c>
    </row>
    <row r="30853" spans="1:5" x14ac:dyDescent="0.25">
      <c r="A30853" t="str">
        <f>HYPERLINK("https://www.773grp.com/globalSearch/MC74HC251FL1/page-1", "MC74HC251FL1")</f>
        <v>MC74HC251FL1</v>
      </c>
      <c r="B30853" s="3" t="str">
        <f>HYPERLINK("https://www.773grp.com/manufacturer/onsemi?pageNo=351", "ON Semiconductor")</f>
        <v>ON Semiconductor</v>
      </c>
      <c r="C30853" s="6">
        <v>7000</v>
      </c>
      <c r="D30853" s="7">
        <v>0.74</v>
      </c>
    </row>
    <row r="30854" spans="1:5" x14ac:dyDescent="0.25">
      <c r="A30854" t="str">
        <f>HYPERLINK("https://www.773grp.com/globalSearch/MC74HC251N/page-1", "MC74HC251N")</f>
        <v>MC74HC251N</v>
      </c>
      <c r="B30854" s="3" t="str">
        <f>HYPERLINK("https://www.773grp.com/manufacturer/onsemi?pageNo=352", "ON Semiconductor")</f>
        <v>ON Semiconductor</v>
      </c>
      <c r="C30854" s="6">
        <v>17749</v>
      </c>
      <c r="D30854" s="7">
        <v>0.74</v>
      </c>
      <c r="E30854" t="s">
        <v>20</v>
      </c>
    </row>
    <row r="30855" spans="1:5" x14ac:dyDescent="0.25">
      <c r="A30855" t="str">
        <f>HYPERLINK("https://www.773grp.com/globalSearch/MC74HC253F/page-1", "MC74HC253F")</f>
        <v>MC74HC253F</v>
      </c>
      <c r="B30855" s="3" t="str">
        <f>HYPERLINK("https://www.773grp.com/manufacturer/onsemi?pageNo=353", "ON Semiconductor")</f>
        <v>ON Semiconductor</v>
      </c>
      <c r="C30855" s="6">
        <v>1224</v>
      </c>
      <c r="D30855" s="7">
        <v>0.74</v>
      </c>
    </row>
    <row r="30856" spans="1:5" x14ac:dyDescent="0.25">
      <c r="A30856" t="str">
        <f>HYPERLINK("https://www.773grp.com/globalSearch/MC74HC253FR2/page-1", "MC74HC253FR2")</f>
        <v>MC74HC253FR2</v>
      </c>
      <c r="B30856" s="3" t="str">
        <f>HYPERLINK("https://www.773grp.com/manufacturer/onsemi?pageNo=354", "ON Semiconductor")</f>
        <v>ON Semiconductor</v>
      </c>
      <c r="C30856" s="6">
        <v>2000</v>
      </c>
      <c r="D30856" s="7">
        <v>0.74</v>
      </c>
    </row>
    <row r="30857" spans="1:5" x14ac:dyDescent="0.25">
      <c r="A30857" t="str">
        <f>HYPERLINK("https://www.773grp.com/globalSearch/MC74HC259ADTR2/page-1", "MC74HC259ADTR2")</f>
        <v>MC74HC259ADTR2</v>
      </c>
      <c r="B30857" s="3" t="str">
        <f>HYPERLINK("https://www.773grp.com/manufacturer/onsemi?pageNo=355", "ON Semiconductor")</f>
        <v>ON Semiconductor</v>
      </c>
      <c r="C30857" s="6">
        <v>2500</v>
      </c>
      <c r="D30857" s="7">
        <v>0.74</v>
      </c>
      <c r="E30857" t="s">
        <v>35</v>
      </c>
    </row>
    <row r="30858" spans="1:5" x14ac:dyDescent="0.25">
      <c r="A30858" t="str">
        <f>HYPERLINK("https://www.773grp.com/globalSearch/MC74HC259D/page-1", "MC74HC259D")</f>
        <v>MC74HC259D</v>
      </c>
      <c r="B30858" s="3" t="str">
        <f>HYPERLINK("https://www.773grp.com/manufacturer/onsemi?pageNo=356", "ON Semiconductor")</f>
        <v>ON Semiconductor</v>
      </c>
      <c r="C30858" s="6">
        <v>4450</v>
      </c>
      <c r="D30858" s="7">
        <v>0.74</v>
      </c>
      <c r="E30858" t="s">
        <v>35</v>
      </c>
    </row>
    <row r="30859" spans="1:5" x14ac:dyDescent="0.25">
      <c r="A30859" t="str">
        <f>HYPERLINK("https://www.773grp.com/globalSearch/MC74HC259DT/page-1", "MC74HC259DT")</f>
        <v>MC74HC259DT</v>
      </c>
      <c r="B30859" s="3" t="str">
        <f>HYPERLINK("https://www.773grp.com/manufacturer/onsemi?pageNo=357", "ON Semiconductor")</f>
        <v>ON Semiconductor</v>
      </c>
      <c r="C30859" s="6">
        <v>4167</v>
      </c>
      <c r="D30859" s="7">
        <v>0.74</v>
      </c>
    </row>
    <row r="30860" spans="1:5" x14ac:dyDescent="0.25">
      <c r="A30860" t="str">
        <f>HYPERLINK("https://www.773grp.com/globalSearch/MC74HC259F/page-1", "MC74HC259F")</f>
        <v>MC74HC259F</v>
      </c>
      <c r="B30860" s="3" t="str">
        <f>HYPERLINK("https://www.773grp.com/manufacturer/onsemi?pageNo=358", "ON Semiconductor")</f>
        <v>ON Semiconductor</v>
      </c>
      <c r="C30860" s="6">
        <v>2064</v>
      </c>
      <c r="D30860" s="7">
        <v>0.74</v>
      </c>
    </row>
    <row r="30861" spans="1:5" x14ac:dyDescent="0.25">
      <c r="A30861" t="str">
        <f>HYPERLINK("https://www.773grp.com/globalSearch/MC74HC259FL1/page-1", "MC74HC259FL1")</f>
        <v>MC74HC259FL1</v>
      </c>
      <c r="B30861" s="3" t="str">
        <f>HYPERLINK("https://www.773grp.com/manufacturer/onsemi?pageNo=359", "ON Semiconductor")</f>
        <v>ON Semiconductor</v>
      </c>
      <c r="C30861" s="6">
        <v>2000</v>
      </c>
      <c r="D30861" s="7">
        <v>0.74</v>
      </c>
    </row>
    <row r="30862" spans="1:5" x14ac:dyDescent="0.25">
      <c r="A30862" t="str">
        <f>HYPERLINK("https://www.773grp.com/globalSearch/MC74HC30ADTR2G/page-1", "MC74HC30ADTR2G")</f>
        <v>MC74HC30ADTR2G</v>
      </c>
      <c r="B30862" s="3" t="str">
        <f>HYPERLINK("https://www.773grp.com/manufacturer/onsemi?pageNo=360", "ON Semiconductor")</f>
        <v>ON Semiconductor</v>
      </c>
      <c r="C30862" s="6">
        <v>5000</v>
      </c>
      <c r="D30862" s="7">
        <v>0.74</v>
      </c>
    </row>
    <row r="30863" spans="1:5" x14ac:dyDescent="0.25">
      <c r="A30863" t="str">
        <f>HYPERLINK("https://www.773grp.com/globalSearch/MC74HC32ADG/page-1", "MC74HC32ADG")</f>
        <v>MC74HC32ADG</v>
      </c>
      <c r="B30863" s="3" t="str">
        <f>HYPERLINK("https://www.773grp.com/manufacturer/onsemi?pageNo=361", "ON Semiconductor")</f>
        <v>ON Semiconductor</v>
      </c>
      <c r="C30863" s="6">
        <v>23388</v>
      </c>
      <c r="D30863" s="7">
        <v>0.74</v>
      </c>
      <c r="E30863" t="s">
        <v>31</v>
      </c>
    </row>
    <row r="30864" spans="1:5" x14ac:dyDescent="0.25">
      <c r="A30864" t="str">
        <f>HYPERLINK("https://www.773grp.com/globalSearch/MC74HC32ADR2G/page-1", "MC74HC32ADR2G")</f>
        <v>MC74HC32ADR2G</v>
      </c>
      <c r="B30864" s="3" t="str">
        <f>HYPERLINK("https://www.773grp.com/manufacturer/onsemi?pageNo=362", "ON Semiconductor")</f>
        <v>ON Semiconductor</v>
      </c>
      <c r="C30864" s="6">
        <v>76194</v>
      </c>
      <c r="D30864" s="7">
        <v>0.74</v>
      </c>
      <c r="E30864" t="s">
        <v>31</v>
      </c>
    </row>
    <row r="30865" spans="1:5" x14ac:dyDescent="0.25">
      <c r="A30865" t="str">
        <f>HYPERLINK("https://www.773grp.com/globalSearch/MC74HC32ADTR2G/page-1", "MC74HC32ADTR2G")</f>
        <v>MC74HC32ADTR2G</v>
      </c>
      <c r="B30865" s="3" t="str">
        <f>HYPERLINK("https://www.773grp.com/manufacturer/onsemi?pageNo=363", "ON Semiconductor")</f>
        <v>ON Semiconductor</v>
      </c>
      <c r="C30865" s="6">
        <v>49615</v>
      </c>
      <c r="D30865" s="7">
        <v>0.74</v>
      </c>
      <c r="E30865" t="s">
        <v>31</v>
      </c>
    </row>
    <row r="30866" spans="1:5" x14ac:dyDescent="0.25">
      <c r="A30866" t="str">
        <f>HYPERLINK("https://www.773grp.com/globalSearch/MC74HC4020AFEL/page-1", "MC74HC4020AFEL")</f>
        <v>MC74HC4020AFEL</v>
      </c>
      <c r="B30866" s="3" t="str">
        <f>HYPERLINK("https://www.773grp.com/manufacturer/onsemi?pageNo=364", "ON Semiconductor")</f>
        <v>ON Semiconductor</v>
      </c>
      <c r="C30866" s="6">
        <v>2000</v>
      </c>
      <c r="D30866" s="7">
        <v>0.74</v>
      </c>
      <c r="E30866" t="s">
        <v>26</v>
      </c>
    </row>
    <row r="30867" spans="1:5" x14ac:dyDescent="0.25">
      <c r="A30867" t="str">
        <f>HYPERLINK("https://www.773grp.com/globalSearch/MC74HC73ADG/page-1", "MC74HC73ADG")</f>
        <v>MC74HC73ADG</v>
      </c>
      <c r="B30867" s="3" t="str">
        <f>HYPERLINK("https://www.773grp.com/manufacturer/onsemi?pageNo=365", "ON Semiconductor")</f>
        <v>ON Semiconductor</v>
      </c>
      <c r="C30867" s="6">
        <v>13657</v>
      </c>
      <c r="D30867" s="7">
        <v>0.74</v>
      </c>
    </row>
    <row r="30868" spans="1:5" x14ac:dyDescent="0.25">
      <c r="A30868" t="str">
        <f>HYPERLINK("https://www.773grp.com/globalSearch/MC74HC73ADR2G/page-1", "MC74HC73ADR2G")</f>
        <v>MC74HC73ADR2G</v>
      </c>
      <c r="B30868" s="3" t="str">
        <f>HYPERLINK("https://www.773grp.com/manufacturer/onsemi?pageNo=366", "ON Semiconductor")</f>
        <v>ON Semiconductor</v>
      </c>
      <c r="C30868" s="6">
        <v>2500</v>
      </c>
      <c r="D30868" s="7">
        <v>0.74</v>
      </c>
    </row>
    <row r="30869" spans="1:5" x14ac:dyDescent="0.25">
      <c r="A30869" t="str">
        <f>HYPERLINK("https://www.773grp.com/globalSearch/MC74HC73ADTG/page-1", "MC74HC73ADTG")</f>
        <v>MC74HC73ADTG</v>
      </c>
      <c r="B30869" s="3" t="str">
        <f>HYPERLINK("https://www.773grp.com/manufacturer/onsemi?pageNo=367", "ON Semiconductor")</f>
        <v>ON Semiconductor</v>
      </c>
      <c r="C30869" s="6">
        <v>13129</v>
      </c>
      <c r="D30869" s="7">
        <v>0.74</v>
      </c>
    </row>
    <row r="30870" spans="1:5" x14ac:dyDescent="0.25">
      <c r="A30870" t="str">
        <f>HYPERLINK("https://www.773grp.com/globalSearch/MC74HC73ADTR2G/page-1", "MC74HC73ADTR2G")</f>
        <v>MC74HC73ADTR2G</v>
      </c>
      <c r="B30870" s="3" t="str">
        <f>HYPERLINK("https://www.773grp.com/manufacturer/onsemi?pageNo=368", "ON Semiconductor")</f>
        <v>ON Semiconductor</v>
      </c>
      <c r="C30870" s="6">
        <v>19339</v>
      </c>
      <c r="D30870" s="7">
        <v>0.74</v>
      </c>
      <c r="E30870" t="s">
        <v>35</v>
      </c>
    </row>
    <row r="30871" spans="1:5" x14ac:dyDescent="0.25">
      <c r="A30871" t="str">
        <f>HYPERLINK("https://www.773grp.com/globalSearch/MC74HC74ADG/page-1", "MC74HC74ADG")</f>
        <v>MC74HC74ADG</v>
      </c>
      <c r="B30871" s="3" t="str">
        <f>HYPERLINK("https://www.773grp.com/manufacturer/onsemi?pageNo=369", "ON Semiconductor")</f>
        <v>ON Semiconductor</v>
      </c>
      <c r="C30871" s="6">
        <v>24420</v>
      </c>
      <c r="D30871" s="7">
        <v>0.74</v>
      </c>
      <c r="E30871" t="s">
        <v>35</v>
      </c>
    </row>
    <row r="30872" spans="1:5" x14ac:dyDescent="0.25">
      <c r="A30872" t="str">
        <f>HYPERLINK("https://www.773grp.com/globalSearch/MC74HC74ADR2G/page-1", "MC74HC74ADR2G")</f>
        <v>MC74HC74ADR2G</v>
      </c>
      <c r="B30872" s="3" t="str">
        <f>HYPERLINK("https://www.773grp.com/manufacturer/onsemi?pageNo=370", "ON Semiconductor")</f>
        <v>ON Semiconductor</v>
      </c>
      <c r="C30872" s="6">
        <v>22314</v>
      </c>
      <c r="D30872" s="7">
        <v>0.74</v>
      </c>
      <c r="E30872" t="s">
        <v>35</v>
      </c>
    </row>
    <row r="30873" spans="1:5" x14ac:dyDescent="0.25">
      <c r="A30873" t="str">
        <f>HYPERLINK("https://www.773grp.com/globalSearch/MC74HC74ADTR2G/page-1", "MC74HC74ADTR2G")</f>
        <v>MC74HC74ADTR2G</v>
      </c>
      <c r="B30873" s="3" t="str">
        <f>HYPERLINK("https://www.773grp.com/manufacturer/onsemi?pageNo=371", "ON Semiconductor")</f>
        <v>ON Semiconductor</v>
      </c>
      <c r="C30873" s="6">
        <v>19880</v>
      </c>
      <c r="D30873" s="7">
        <v>0.74</v>
      </c>
      <c r="E30873" t="s">
        <v>35</v>
      </c>
    </row>
    <row r="30874" spans="1:5" x14ac:dyDescent="0.25">
      <c r="A30874" t="str">
        <f>HYPERLINK("https://www.773grp.com/globalSearch/MC74HC86ADG/page-1", "MC74HC86ADG")</f>
        <v>MC74HC86ADG</v>
      </c>
      <c r="B30874" s="3" t="str">
        <f>HYPERLINK("https://www.773grp.com/manufacturer/onsemi?pageNo=372", "ON Semiconductor")</f>
        <v>ON Semiconductor</v>
      </c>
      <c r="C30874" s="6">
        <v>22979</v>
      </c>
      <c r="D30874" s="7">
        <v>0.74</v>
      </c>
      <c r="E30874" t="s">
        <v>31</v>
      </c>
    </row>
    <row r="30875" spans="1:5" x14ac:dyDescent="0.25">
      <c r="A30875" t="str">
        <f>HYPERLINK("https://www.773grp.com/globalSearch/MC74HC86ADR2G/page-1", "MC74HC86ADR2G")</f>
        <v>MC74HC86ADR2G</v>
      </c>
      <c r="B30875" s="3" t="str">
        <f>HYPERLINK("https://www.773grp.com/manufacturer/onsemi?pageNo=373", "ON Semiconductor")</f>
        <v>ON Semiconductor</v>
      </c>
      <c r="C30875" s="6">
        <v>19957</v>
      </c>
      <c r="D30875" s="7">
        <v>0.74</v>
      </c>
      <c r="E30875" t="s">
        <v>31</v>
      </c>
    </row>
    <row r="30876" spans="1:5" x14ac:dyDescent="0.25">
      <c r="A30876" t="str">
        <f>HYPERLINK("https://www.773grp.com/globalSearch/MC74HC86ADTR2G/page-1", "MC74HC86ADTR2G")</f>
        <v>MC74HC86ADTR2G</v>
      </c>
      <c r="B30876" s="3" t="str">
        <f>HYPERLINK("https://www.773grp.com/manufacturer/onsemi?pageNo=374", "ON Semiconductor")</f>
        <v>ON Semiconductor</v>
      </c>
      <c r="C30876" s="6">
        <v>9255</v>
      </c>
      <c r="D30876" s="7">
        <v>0.74</v>
      </c>
      <c r="E30876" t="s">
        <v>31</v>
      </c>
    </row>
    <row r="30877" spans="1:5" x14ac:dyDescent="0.25">
      <c r="A30877" t="str">
        <f>HYPERLINK("https://www.773grp.com/globalSearch/MC74HC86ANG/page-1", "MC74HC86ANG")</f>
        <v>MC74HC86ANG</v>
      </c>
      <c r="B30877" s="3" t="str">
        <f>HYPERLINK("https://www.773grp.com/manufacturer/onsemi?pageNo=375", "ON Semiconductor")</f>
        <v>ON Semiconductor</v>
      </c>
      <c r="C30877" s="6">
        <v>20125</v>
      </c>
      <c r="D30877" s="7">
        <v>0.74</v>
      </c>
      <c r="E30877" t="s">
        <v>31</v>
      </c>
    </row>
    <row r="30878" spans="1:5" x14ac:dyDescent="0.25">
      <c r="A30878" t="str">
        <f>HYPERLINK("https://www.773grp.com/globalSearch/MC74HCT04ADG/page-1", "MC74HCT04ADG")</f>
        <v>MC74HCT04ADG</v>
      </c>
      <c r="B30878" s="3" t="str">
        <f>HYPERLINK("https://www.773grp.com/manufacturer/onsemi?pageNo=376", "ON Semiconductor")</f>
        <v>ON Semiconductor</v>
      </c>
      <c r="C30878" s="6">
        <v>11772</v>
      </c>
      <c r="D30878" s="7">
        <v>0.74</v>
      </c>
      <c r="E30878" t="s">
        <v>31</v>
      </c>
    </row>
    <row r="30879" spans="1:5" x14ac:dyDescent="0.25">
      <c r="A30879" t="str">
        <f>HYPERLINK("https://www.773grp.com/globalSearch/MC74HCT04ADR2G/page-1", "MC74HCT04ADR2G")</f>
        <v>MC74HCT04ADR2G</v>
      </c>
      <c r="B30879" s="3" t="str">
        <f>HYPERLINK("https://www.773grp.com/manufacturer/onsemi?pageNo=377", "ON Semiconductor")</f>
        <v>ON Semiconductor</v>
      </c>
      <c r="C30879" s="6">
        <v>60000</v>
      </c>
      <c r="D30879" s="7">
        <v>0.74</v>
      </c>
      <c r="E30879" t="s">
        <v>31</v>
      </c>
    </row>
    <row r="30880" spans="1:5" x14ac:dyDescent="0.25">
      <c r="A30880" t="str">
        <f>HYPERLINK("https://www.773grp.com/globalSearch/MC74HCT04ADTR2G/page-1", "MC74HCT04ADTR2G")</f>
        <v>MC74HCT04ADTR2G</v>
      </c>
      <c r="B30880" s="3" t="str">
        <f>HYPERLINK("https://www.773grp.com/manufacturer/onsemi?pageNo=378", "ON Semiconductor")</f>
        <v>ON Semiconductor</v>
      </c>
      <c r="C30880" s="6">
        <v>26992</v>
      </c>
      <c r="D30880" s="7">
        <v>0.74</v>
      </c>
      <c r="E30880" t="s">
        <v>31</v>
      </c>
    </row>
    <row r="30881" spans="1:5" x14ac:dyDescent="0.25">
      <c r="A30881" t="str">
        <f>HYPERLINK("https://www.773grp.com/globalSearch/MC74HCT138ADG/page-1", "MC74HCT138ADG")</f>
        <v>MC74HCT138ADG</v>
      </c>
      <c r="B30881" s="3" t="str">
        <f>HYPERLINK("https://www.773grp.com/manufacturer/onsemi?pageNo=379", "ON Semiconductor")</f>
        <v>ON Semiconductor</v>
      </c>
      <c r="C30881" s="6">
        <v>5129</v>
      </c>
      <c r="D30881" s="7">
        <v>0.74</v>
      </c>
      <c r="E30881" t="s">
        <v>36</v>
      </c>
    </row>
    <row r="30882" spans="1:5" x14ac:dyDescent="0.25">
      <c r="A30882" t="str">
        <f>HYPERLINK("https://www.773grp.com/globalSearch/MC74HCT14ADR2G/page-1", "MC74HCT14ADR2G")</f>
        <v>MC74HCT14ADR2G</v>
      </c>
      <c r="B30882" s="3" t="str">
        <f>HYPERLINK("https://www.773grp.com/manufacturer/onsemi?pageNo=380", "ON Semiconductor")</f>
        <v>ON Semiconductor</v>
      </c>
      <c r="C30882" s="6">
        <v>208481</v>
      </c>
      <c r="D30882" s="7">
        <v>0.74</v>
      </c>
      <c r="E30882" t="s">
        <v>31</v>
      </c>
    </row>
    <row r="30883" spans="1:5" x14ac:dyDescent="0.25">
      <c r="A30883" t="str">
        <f>HYPERLINK("https://www.773grp.com/globalSearch/MC74HCT14ADTR2G/page-1", "MC74HCT14ADTR2G")</f>
        <v>MC74HCT14ADTR2G</v>
      </c>
      <c r="B30883" s="3" t="str">
        <f>HYPERLINK("https://www.773grp.com/manufacturer/onsemi?pageNo=381", "ON Semiconductor")</f>
        <v>ON Semiconductor</v>
      </c>
      <c r="C30883" s="6">
        <v>25676</v>
      </c>
      <c r="D30883" s="7">
        <v>0.74</v>
      </c>
      <c r="E30883" t="s">
        <v>31</v>
      </c>
    </row>
    <row r="30884" spans="1:5" x14ac:dyDescent="0.25">
      <c r="A30884" t="str">
        <f>HYPERLINK("https://www.773grp.com/globalSearch/MC74HCT366ADR2G/page-1", "MC74HCT366ADR2G")</f>
        <v>MC74HCT366ADR2G</v>
      </c>
      <c r="B30884" s="3" t="str">
        <f>HYPERLINK("https://www.773grp.com/manufacturer/onsemi?pageNo=382", "ON Semiconductor")</f>
        <v>ON Semiconductor</v>
      </c>
      <c r="C30884" s="6">
        <v>4000</v>
      </c>
      <c r="D30884" s="7">
        <v>0.74</v>
      </c>
    </row>
    <row r="30885" spans="1:5" x14ac:dyDescent="0.25">
      <c r="A30885" t="str">
        <f>HYPERLINK("https://www.773grp.com/globalSearch/MC74HCT366ADTR2G/page-1", "MC74HCT366ADTR2G")</f>
        <v>MC74HCT366ADTR2G</v>
      </c>
      <c r="B30885" s="3" t="str">
        <f>HYPERLINK("https://www.773grp.com/manufacturer/onsemi?pageNo=383", "ON Semiconductor")</f>
        <v>ON Semiconductor</v>
      </c>
      <c r="C30885" s="6">
        <v>2500</v>
      </c>
      <c r="D30885" s="7">
        <v>0.74</v>
      </c>
      <c r="E30885" t="s">
        <v>31</v>
      </c>
    </row>
    <row r="30886" spans="1:5" x14ac:dyDescent="0.25">
      <c r="A30886" t="str">
        <f>HYPERLINK("https://www.773grp.com/globalSearch/MC74HCT74ADR2G/page-1", "MC74HCT74ADR2G")</f>
        <v>MC74HCT74ADR2G</v>
      </c>
      <c r="B30886" s="3" t="str">
        <f>HYPERLINK("https://www.773grp.com/manufacturer/onsemi?pageNo=384", "ON Semiconductor")</f>
        <v>ON Semiconductor</v>
      </c>
      <c r="C30886" s="6">
        <v>84244</v>
      </c>
      <c r="D30886" s="7">
        <v>0.74</v>
      </c>
      <c r="E30886" t="s">
        <v>35</v>
      </c>
    </row>
    <row r="30887" spans="1:5" x14ac:dyDescent="0.25">
      <c r="A30887" t="str">
        <f>HYPERLINK("https://www.773grp.com/globalSearch/MC74HCT86ADG/page-1", "MC74HCT86ADG")</f>
        <v>MC74HCT86ADG</v>
      </c>
      <c r="B30887" s="3" t="str">
        <f>HYPERLINK("https://www.773grp.com/manufacturer/onsemi?pageNo=385", "ON Semiconductor")</f>
        <v>ON Semiconductor</v>
      </c>
      <c r="C30887" s="6">
        <v>34926</v>
      </c>
      <c r="D30887" s="7">
        <v>0.74</v>
      </c>
      <c r="E30887" t="s">
        <v>31</v>
      </c>
    </row>
    <row r="30888" spans="1:5" x14ac:dyDescent="0.25">
      <c r="A30888" t="str">
        <f>HYPERLINK("https://www.773grp.com/globalSearch/MC74HCT86ADTR2G/page-1", "MC74HCT86ADTR2G")</f>
        <v>MC74HCT86ADTR2G</v>
      </c>
      <c r="B30888" s="3" t="str">
        <f>HYPERLINK("https://www.773grp.com/manufacturer/onsemi?pageNo=386", "ON Semiconductor")</f>
        <v>ON Semiconductor</v>
      </c>
      <c r="C30888" s="6">
        <v>34910</v>
      </c>
      <c r="D30888" s="7">
        <v>0.74</v>
      </c>
      <c r="E30888" t="s">
        <v>31</v>
      </c>
    </row>
    <row r="30889" spans="1:5" x14ac:dyDescent="0.25">
      <c r="A30889" t="str">
        <f>HYPERLINK("https://www.773grp.com/globalSearch/MC74HCU04ADG/page-1", "MC74HCU04ADG")</f>
        <v>MC74HCU04ADG</v>
      </c>
      <c r="B30889" s="3" t="str">
        <f>HYPERLINK("https://www.773grp.com/manufacturer/onsemi?pageNo=387", "ON Semiconductor")</f>
        <v>ON Semiconductor</v>
      </c>
      <c r="C30889" s="6">
        <v>82653</v>
      </c>
      <c r="D30889" s="7">
        <v>0.74</v>
      </c>
      <c r="E30889" t="s">
        <v>31</v>
      </c>
    </row>
    <row r="30890" spans="1:5" x14ac:dyDescent="0.25">
      <c r="A30890" t="str">
        <f>HYPERLINK("https://www.773grp.com/globalSearch/MC74HCU04ADR2G/page-1", "MC74HCU04ADR2G")</f>
        <v>MC74HCU04ADR2G</v>
      </c>
      <c r="B30890" s="3" t="str">
        <f>HYPERLINK("https://www.773grp.com/manufacturer/onsemi?pageNo=388", "ON Semiconductor")</f>
        <v>ON Semiconductor</v>
      </c>
      <c r="C30890" s="6">
        <v>46500</v>
      </c>
      <c r="D30890" s="7">
        <v>0.74</v>
      </c>
      <c r="E30890" t="s">
        <v>31</v>
      </c>
    </row>
    <row r="30891" spans="1:5" x14ac:dyDescent="0.25">
      <c r="A30891" t="str">
        <f>HYPERLINK("https://www.773grp.com/globalSearch/MC74HCU04ADTR2G/page-1", "MC74HCU04ADTR2G")</f>
        <v>MC74HCU04ADTR2G</v>
      </c>
      <c r="B30891" s="3" t="str">
        <f>HYPERLINK("https://www.773grp.com/manufacturer/onsemi?pageNo=389", "ON Semiconductor")</f>
        <v>ON Semiconductor</v>
      </c>
      <c r="C30891" s="6">
        <v>2500</v>
      </c>
      <c r="D30891" s="7">
        <v>0.74</v>
      </c>
      <c r="E30891" t="s">
        <v>31</v>
      </c>
    </row>
    <row r="30892" spans="1:5" x14ac:dyDescent="0.25">
      <c r="A30892" t="str">
        <f>HYPERLINK("https://www.773grp.com/globalSearch/MC74LCX00DG/page-1", "MC74LCX00DG")</f>
        <v>MC74LCX00DG</v>
      </c>
      <c r="B30892" s="3" t="str">
        <f>HYPERLINK("https://www.773grp.com/manufacturer/onsemi?pageNo=390", "ON Semiconductor")</f>
        <v>ON Semiconductor</v>
      </c>
      <c r="C30892" s="6">
        <v>36575</v>
      </c>
      <c r="D30892" s="7">
        <v>0.74</v>
      </c>
      <c r="E30892" t="s">
        <v>31</v>
      </c>
    </row>
    <row r="30893" spans="1:5" x14ac:dyDescent="0.25">
      <c r="A30893" t="str">
        <f>HYPERLINK("https://www.773grp.com/globalSearch/MC74LCX00DR2G/page-1", "MC74LCX00DR2G")</f>
        <v>MC74LCX00DR2G</v>
      </c>
      <c r="B30893" s="3" t="str">
        <f>HYPERLINK("https://www.773grp.com/manufacturer/onsemi?pageNo=391", "ON Semiconductor")</f>
        <v>ON Semiconductor</v>
      </c>
      <c r="C30893" s="6">
        <v>24381</v>
      </c>
      <c r="D30893" s="7">
        <v>0.74</v>
      </c>
      <c r="E30893" t="s">
        <v>31</v>
      </c>
    </row>
    <row r="30894" spans="1:5" x14ac:dyDescent="0.25">
      <c r="A30894" t="str">
        <f>HYPERLINK("https://www.773grp.com/globalSearch/MC74LCX00DTG/page-1", "MC74LCX00DTG")</f>
        <v>MC74LCX00DTG</v>
      </c>
      <c r="B30894" s="3" t="str">
        <f>HYPERLINK("https://www.773grp.com/manufacturer/onsemi?pageNo=392", "ON Semiconductor")</f>
        <v>ON Semiconductor</v>
      </c>
      <c r="C30894" s="6">
        <v>37963</v>
      </c>
      <c r="D30894" s="7">
        <v>0.74</v>
      </c>
      <c r="E30894" t="s">
        <v>31</v>
      </c>
    </row>
    <row r="30895" spans="1:5" x14ac:dyDescent="0.25">
      <c r="A30895" t="str">
        <f>HYPERLINK("https://www.773grp.com/globalSearch/MC74LCX00DTR2G/page-1", "MC74LCX00DTR2G")</f>
        <v>MC74LCX00DTR2G</v>
      </c>
      <c r="B30895" s="3" t="str">
        <f>HYPERLINK("https://www.773grp.com/manufacturer/onsemi?pageNo=393", "ON Semiconductor")</f>
        <v>ON Semiconductor</v>
      </c>
      <c r="C30895" s="6">
        <v>158826</v>
      </c>
      <c r="D30895" s="7">
        <v>0.74</v>
      </c>
    </row>
    <row r="30896" spans="1:5" x14ac:dyDescent="0.25">
      <c r="A30896" t="str">
        <f>HYPERLINK("https://www.773grp.com/globalSearch/MC74LCX02DG/page-1", "MC74LCX02DG")</f>
        <v>MC74LCX02DG</v>
      </c>
      <c r="B30896" s="3" t="str">
        <f>HYPERLINK("https://www.773grp.com/manufacturer/onsemi?pageNo=394", "ON Semiconductor")</f>
        <v>ON Semiconductor</v>
      </c>
      <c r="C30896" s="6">
        <v>23045</v>
      </c>
      <c r="D30896" s="7">
        <v>0.74</v>
      </c>
      <c r="E30896" t="s">
        <v>31</v>
      </c>
    </row>
    <row r="30897" spans="1:5" x14ac:dyDescent="0.25">
      <c r="A30897" t="str">
        <f>HYPERLINK("https://www.773grp.com/globalSearch/MC74LCX02DR2G/page-1", "MC74LCX02DR2G")</f>
        <v>MC74LCX02DR2G</v>
      </c>
      <c r="B30897" s="3" t="str">
        <f>HYPERLINK("https://www.773grp.com/manufacturer/onsemi?pageNo=395", "ON Semiconductor")</f>
        <v>ON Semiconductor</v>
      </c>
      <c r="C30897" s="6">
        <v>16927</v>
      </c>
      <c r="D30897" s="7">
        <v>0.74</v>
      </c>
      <c r="E30897" t="s">
        <v>31</v>
      </c>
    </row>
    <row r="30898" spans="1:5" x14ac:dyDescent="0.25">
      <c r="A30898" t="str">
        <f>HYPERLINK("https://www.773grp.com/globalSearch/MC74LCX02DTG/page-1", "MC74LCX02DTG")</f>
        <v>MC74LCX02DTG</v>
      </c>
      <c r="B30898" s="3" t="str">
        <f>HYPERLINK("https://www.773grp.com/manufacturer/onsemi?pageNo=396", "ON Semiconductor")</f>
        <v>ON Semiconductor</v>
      </c>
      <c r="C30898" s="6">
        <v>20640</v>
      </c>
      <c r="D30898" s="7">
        <v>0.74</v>
      </c>
      <c r="E30898" t="s">
        <v>31</v>
      </c>
    </row>
    <row r="30899" spans="1:5" x14ac:dyDescent="0.25">
      <c r="A30899" t="str">
        <f>HYPERLINK("https://www.773grp.com/globalSearch/MC74LCX02DTR2G/page-1", "MC74LCX02DTR2G")</f>
        <v>MC74LCX02DTR2G</v>
      </c>
      <c r="B30899" s="3" t="str">
        <f>HYPERLINK("https://www.773grp.com/manufacturer/onsemi?pageNo=397", "ON Semiconductor")</f>
        <v>ON Semiconductor</v>
      </c>
      <c r="C30899" s="6">
        <v>31645</v>
      </c>
      <c r="D30899" s="7">
        <v>0.74</v>
      </c>
      <c r="E30899" t="s">
        <v>31</v>
      </c>
    </row>
    <row r="30900" spans="1:5" x14ac:dyDescent="0.25">
      <c r="A30900" t="str">
        <f>HYPERLINK("https://www.773grp.com/globalSearch/MC74LCX04DG/page-1", "MC74LCX04DG")</f>
        <v>MC74LCX04DG</v>
      </c>
      <c r="B30900" s="3" t="str">
        <f>HYPERLINK("https://www.773grp.com/manufacturer/onsemi?pageNo=398", "ON Semiconductor")</f>
        <v>ON Semiconductor</v>
      </c>
      <c r="C30900" s="6">
        <v>9965</v>
      </c>
      <c r="D30900" s="7">
        <v>0.74</v>
      </c>
      <c r="E30900" t="s">
        <v>31</v>
      </c>
    </row>
    <row r="30901" spans="1:5" x14ac:dyDescent="0.25">
      <c r="A30901" t="str">
        <f>HYPERLINK("https://www.773grp.com/globalSearch/MC74LCX04DR2/page-1", "MC74LCX04DR2")</f>
        <v>MC74LCX04DR2</v>
      </c>
      <c r="B30901" s="3" t="str">
        <f>HYPERLINK("https://www.773grp.com/manufacturer/onsemi?pageNo=399", "ON Semiconductor")</f>
        <v>ON Semiconductor</v>
      </c>
      <c r="C30901" s="6">
        <v>2500</v>
      </c>
      <c r="D30901" s="7">
        <v>0.74</v>
      </c>
      <c r="E30901" t="s">
        <v>31</v>
      </c>
    </row>
    <row r="30902" spans="1:5" x14ac:dyDescent="0.25">
      <c r="A30902" t="str">
        <f>HYPERLINK("https://www.773grp.com/globalSearch/MC74LCX04DR2G/page-1", "MC74LCX04DR2G")</f>
        <v>MC74LCX04DR2G</v>
      </c>
      <c r="B30902" s="3" t="str">
        <f>HYPERLINK("https://www.773grp.com/manufacturer/onsemi?pageNo=400", "ON Semiconductor")</f>
        <v>ON Semiconductor</v>
      </c>
      <c r="C30902" s="6">
        <v>9441</v>
      </c>
      <c r="D30902" s="7">
        <v>0.74</v>
      </c>
      <c r="E30902" t="s">
        <v>31</v>
      </c>
    </row>
    <row r="30903" spans="1:5" x14ac:dyDescent="0.25">
      <c r="A30903" t="str">
        <f>HYPERLINK("https://www.773grp.com/globalSearch/MC74LCX04DTG/page-1", "MC74LCX04DTG")</f>
        <v>MC74LCX04DTG</v>
      </c>
      <c r="B30903" s="3" t="str">
        <f>HYPERLINK("https://www.773grp.com/manufacturer/onsemi?pageNo=401", "ON Semiconductor")</f>
        <v>ON Semiconductor</v>
      </c>
      <c r="C30903" s="6">
        <v>18124</v>
      </c>
      <c r="D30903" s="7">
        <v>0.74</v>
      </c>
      <c r="E30903" t="s">
        <v>31</v>
      </c>
    </row>
    <row r="30904" spans="1:5" x14ac:dyDescent="0.25">
      <c r="A30904" t="str">
        <f>HYPERLINK("https://www.773grp.com/globalSearch/MC74LCX04DTR2G/page-1", "MC74LCX04DTR2G")</f>
        <v>MC74LCX04DTR2G</v>
      </c>
      <c r="B30904" s="3" t="str">
        <f>HYPERLINK("https://www.773grp.com/manufacturer/onsemi?pageNo=402", "ON Semiconductor")</f>
        <v>ON Semiconductor</v>
      </c>
      <c r="C30904" s="6">
        <v>23819</v>
      </c>
      <c r="D30904" s="7">
        <v>0.74</v>
      </c>
      <c r="E30904" t="s">
        <v>31</v>
      </c>
    </row>
    <row r="30905" spans="1:5" x14ac:dyDescent="0.25">
      <c r="A30905" t="str">
        <f>HYPERLINK("https://www.773grp.com/globalSearch/MC74LCX06DG/page-1", "MC74LCX06DG")</f>
        <v>MC74LCX06DG</v>
      </c>
      <c r="B30905" s="3" t="str">
        <f>HYPERLINK("https://www.773grp.com/manufacturer/onsemi?pageNo=403", "ON Semiconductor")</f>
        <v>ON Semiconductor</v>
      </c>
      <c r="C30905" s="6">
        <v>3795</v>
      </c>
      <c r="D30905" s="7">
        <v>0.74</v>
      </c>
      <c r="E30905" t="s">
        <v>31</v>
      </c>
    </row>
    <row r="30906" spans="1:5" x14ac:dyDescent="0.25">
      <c r="A30906" t="str">
        <f>HYPERLINK("https://www.773grp.com/globalSearch/MC74LCX06DR2G/page-1", "MC74LCX06DR2G")</f>
        <v>MC74LCX06DR2G</v>
      </c>
      <c r="B30906" s="3" t="str">
        <f>HYPERLINK("https://www.773grp.com/manufacturer/onsemi?pageNo=404", "ON Semiconductor")</f>
        <v>ON Semiconductor</v>
      </c>
      <c r="C30906" s="6">
        <v>84430</v>
      </c>
      <c r="D30906" s="7">
        <v>0.74</v>
      </c>
      <c r="E30906" t="s">
        <v>31</v>
      </c>
    </row>
    <row r="30907" spans="1:5" x14ac:dyDescent="0.25">
      <c r="A30907" t="str">
        <f>HYPERLINK("https://www.773grp.com/globalSearch/MC74LCX06DTG/page-1", "MC74LCX06DTG")</f>
        <v>MC74LCX06DTG</v>
      </c>
      <c r="B30907" s="3" t="str">
        <f>HYPERLINK("https://www.773grp.com/manufacturer/onsemi?pageNo=405", "ON Semiconductor")</f>
        <v>ON Semiconductor</v>
      </c>
      <c r="C30907" s="6">
        <v>30205</v>
      </c>
      <c r="D30907" s="7">
        <v>0.74</v>
      </c>
      <c r="E30907" t="s">
        <v>31</v>
      </c>
    </row>
    <row r="30908" spans="1:5" x14ac:dyDescent="0.25">
      <c r="A30908" t="str">
        <f>HYPERLINK("https://www.773grp.com/globalSearch/MC74LCX06DTR2G/page-1", "MC74LCX06DTR2G")</f>
        <v>MC74LCX06DTR2G</v>
      </c>
      <c r="B30908" s="3" t="str">
        <f>HYPERLINK("https://www.773grp.com/manufacturer/onsemi?pageNo=406", "ON Semiconductor")</f>
        <v>ON Semiconductor</v>
      </c>
      <c r="C30908" s="6">
        <v>31825</v>
      </c>
      <c r="D30908" s="7">
        <v>0.74</v>
      </c>
      <c r="E30908" t="s">
        <v>31</v>
      </c>
    </row>
    <row r="30909" spans="1:5" x14ac:dyDescent="0.25">
      <c r="A30909" t="str">
        <f>HYPERLINK("https://www.773grp.com/globalSearch/MC74LCX06MG/page-1", "MC74LCX06MG")</f>
        <v>MC74LCX06MG</v>
      </c>
      <c r="B30909" s="3" t="str">
        <f>HYPERLINK("https://www.773grp.com/manufacturer/onsemi?pageNo=407", "ON Semiconductor")</f>
        <v>ON Semiconductor</v>
      </c>
      <c r="C30909" s="6">
        <v>25150</v>
      </c>
      <c r="D30909" s="7">
        <v>0.74</v>
      </c>
      <c r="E30909" t="s">
        <v>31</v>
      </c>
    </row>
    <row r="30910" spans="1:5" x14ac:dyDescent="0.25">
      <c r="A30910" t="str">
        <f>HYPERLINK("https://www.773grp.com/globalSearch/MC74LCX07DG/page-1", "MC74LCX07DG")</f>
        <v>MC74LCX07DG</v>
      </c>
      <c r="B30910" s="3" t="str">
        <f>HYPERLINK("https://www.773grp.com/manufacturer/onsemi?pageNo=408", "ON Semiconductor")</f>
        <v>ON Semiconductor</v>
      </c>
      <c r="C30910" s="6">
        <v>9850</v>
      </c>
      <c r="D30910" s="7">
        <v>0.74</v>
      </c>
      <c r="E30910" t="s">
        <v>31</v>
      </c>
    </row>
    <row r="30911" spans="1:5" x14ac:dyDescent="0.25">
      <c r="A30911" t="str">
        <f>HYPERLINK("https://www.773grp.com/globalSearch/MC74LCX07DR2G/page-1", "MC74LCX07DR2G")</f>
        <v>MC74LCX07DR2G</v>
      </c>
      <c r="B30911" s="3" t="str">
        <f>HYPERLINK("https://www.773grp.com/manufacturer/onsemi?pageNo=409", "ON Semiconductor")</f>
        <v>ON Semiconductor</v>
      </c>
      <c r="C30911" s="6">
        <v>423410</v>
      </c>
      <c r="D30911" s="7">
        <v>0.74</v>
      </c>
      <c r="E30911" t="s">
        <v>31</v>
      </c>
    </row>
    <row r="30912" spans="1:5" x14ac:dyDescent="0.25">
      <c r="A30912" t="str">
        <f>HYPERLINK("https://www.773grp.com/globalSearch/MC74LCX07DTG/page-1", "MC74LCX07DTG")</f>
        <v>MC74LCX07DTG</v>
      </c>
      <c r="B30912" s="3" t="str">
        <f>HYPERLINK("https://www.773grp.com/manufacturer/onsemi?pageNo=410", "ON Semiconductor")</f>
        <v>ON Semiconductor</v>
      </c>
      <c r="C30912" s="6">
        <v>5280</v>
      </c>
      <c r="D30912" s="7">
        <v>0.74</v>
      </c>
      <c r="E30912" t="s">
        <v>31</v>
      </c>
    </row>
    <row r="30913" spans="1:5" x14ac:dyDescent="0.25">
      <c r="A30913" t="str">
        <f>HYPERLINK("https://www.773grp.com/globalSearch/MC74LCX07DTR2G/page-1", "MC74LCX07DTR2G")</f>
        <v>MC74LCX07DTR2G</v>
      </c>
      <c r="B30913" s="3" t="str">
        <f>HYPERLINK("https://www.773grp.com/manufacturer/onsemi?pageNo=411", "ON Semiconductor")</f>
        <v>ON Semiconductor</v>
      </c>
      <c r="C30913" s="6">
        <v>45056</v>
      </c>
      <c r="D30913" s="7">
        <v>0.74</v>
      </c>
      <c r="E30913" t="s">
        <v>31</v>
      </c>
    </row>
    <row r="30914" spans="1:5" x14ac:dyDescent="0.25">
      <c r="A30914" t="str">
        <f>HYPERLINK("https://www.773grp.com/globalSearch/MC74LCX07DTR2GH/page-1", "MC74LCX07DTR2GH")</f>
        <v>MC74LCX07DTR2GH</v>
      </c>
      <c r="B30914" s="3" t="str">
        <f>HYPERLINK("https://www.773grp.com/manufacturer/onsemi?pageNo=412", "ON Semiconductor")</f>
        <v>ON Semiconductor</v>
      </c>
      <c r="C30914" s="6">
        <v>24980</v>
      </c>
      <c r="D30914" s="7">
        <v>0.74</v>
      </c>
    </row>
    <row r="30915" spans="1:5" x14ac:dyDescent="0.25">
      <c r="A30915" t="str">
        <f>HYPERLINK("https://www.773grp.com/globalSearch/MC74LCX08DG/page-1", "MC74LCX08DG")</f>
        <v>MC74LCX08DG</v>
      </c>
      <c r="B30915" s="3" t="str">
        <f>HYPERLINK("https://www.773grp.com/manufacturer/onsemi?pageNo=413", "ON Semiconductor")</f>
        <v>ON Semiconductor</v>
      </c>
      <c r="C30915" s="6">
        <v>14960</v>
      </c>
      <c r="D30915" s="7">
        <v>0.74</v>
      </c>
      <c r="E30915" t="s">
        <v>31</v>
      </c>
    </row>
    <row r="30916" spans="1:5" x14ac:dyDescent="0.25">
      <c r="A30916" t="str">
        <f>HYPERLINK("https://www.773grp.com/globalSearch/MC74LCX08DR2/page-1", "MC74LCX08DR2")</f>
        <v>MC74LCX08DR2</v>
      </c>
      <c r="B30916" s="3" t="str">
        <f>HYPERLINK("https://www.773grp.com/manufacturer/onsemi?pageNo=414", "ON Semiconductor")</f>
        <v>ON Semiconductor</v>
      </c>
      <c r="C30916" s="6">
        <v>15000</v>
      </c>
      <c r="D30916" s="7">
        <v>0.74</v>
      </c>
      <c r="E30916" t="s">
        <v>31</v>
      </c>
    </row>
    <row r="30917" spans="1:5" x14ac:dyDescent="0.25">
      <c r="A30917" t="str">
        <f>HYPERLINK("https://www.773grp.com/globalSearch/MC74LCX08DR2G/page-1", "MC74LCX08DR2G")</f>
        <v>MC74LCX08DR2G</v>
      </c>
      <c r="B30917" s="3" t="str">
        <f>HYPERLINK("https://www.773grp.com/manufacturer/onsemi?pageNo=415", "ON Semiconductor")</f>
        <v>ON Semiconductor</v>
      </c>
      <c r="C30917" s="6">
        <v>37500</v>
      </c>
      <c r="D30917" s="7">
        <v>0.74</v>
      </c>
      <c r="E30917" t="s">
        <v>31</v>
      </c>
    </row>
    <row r="30918" spans="1:5" x14ac:dyDescent="0.25">
      <c r="A30918" t="str">
        <f>HYPERLINK("https://www.773grp.com/globalSearch/MC74LCX08DTG/page-1", "MC74LCX08DTG")</f>
        <v>MC74LCX08DTG</v>
      </c>
      <c r="B30918" s="3" t="str">
        <f>HYPERLINK("https://www.773grp.com/manufacturer/onsemi?pageNo=416", "ON Semiconductor")</f>
        <v>ON Semiconductor</v>
      </c>
      <c r="C30918" s="6">
        <v>36989</v>
      </c>
      <c r="D30918" s="7">
        <v>0.74</v>
      </c>
      <c r="E30918" t="s">
        <v>31</v>
      </c>
    </row>
    <row r="30919" spans="1:5" x14ac:dyDescent="0.25">
      <c r="A30919" t="str">
        <f>HYPERLINK("https://www.773grp.com/globalSearch/MC74LCX08DTR2G/page-1", "MC74LCX08DTR2G")</f>
        <v>MC74LCX08DTR2G</v>
      </c>
      <c r="B30919" s="3" t="str">
        <f>HYPERLINK("https://www.773grp.com/manufacturer/onsemi?pageNo=417", "ON Semiconductor")</f>
        <v>ON Semiconductor</v>
      </c>
      <c r="C30919" s="6">
        <v>122397</v>
      </c>
      <c r="D30919" s="7">
        <v>0.74</v>
      </c>
      <c r="E30919" t="s">
        <v>31</v>
      </c>
    </row>
    <row r="30920" spans="1:5" x14ac:dyDescent="0.25">
      <c r="A30920" t="str">
        <f>HYPERLINK("https://www.773grp.com/globalSearch/MC74LCX125MEL/page-1", "MC74LCX125MEL")</f>
        <v>MC74LCX125MEL</v>
      </c>
      <c r="B30920" s="3" t="str">
        <f>HYPERLINK("https://www.773grp.com/manufacturer/onsemi?pageNo=418", "ON Semiconductor")</f>
        <v>ON Semiconductor</v>
      </c>
      <c r="C30920" s="6">
        <v>8000</v>
      </c>
      <c r="D30920" s="7">
        <v>0.74</v>
      </c>
      <c r="E30920" t="s">
        <v>14</v>
      </c>
    </row>
    <row r="30921" spans="1:5" x14ac:dyDescent="0.25">
      <c r="A30921" t="str">
        <f>HYPERLINK("https://www.773grp.com/globalSearch/MC74LCX14DG/page-1", "MC74LCX14DG")</f>
        <v>MC74LCX14DG</v>
      </c>
      <c r="B30921" s="3" t="str">
        <f>HYPERLINK("https://www.773grp.com/manufacturer/onsemi?pageNo=419", "ON Semiconductor")</f>
        <v>ON Semiconductor</v>
      </c>
      <c r="C30921" s="6">
        <v>18200</v>
      </c>
      <c r="D30921" s="7">
        <v>0.74</v>
      </c>
      <c r="E30921" t="s">
        <v>31</v>
      </c>
    </row>
    <row r="30922" spans="1:5" x14ac:dyDescent="0.25">
      <c r="A30922" t="str">
        <f>HYPERLINK("https://www.773grp.com/globalSearch/MC74LCX14DR2G/page-1", "MC74LCX14DR2G")</f>
        <v>MC74LCX14DR2G</v>
      </c>
      <c r="B30922" s="3" t="str">
        <f>HYPERLINK("https://www.773grp.com/manufacturer/onsemi?pageNo=420", "ON Semiconductor")</f>
        <v>ON Semiconductor</v>
      </c>
      <c r="C30922" s="6">
        <v>11750</v>
      </c>
      <c r="D30922" s="7">
        <v>0.74</v>
      </c>
      <c r="E30922" t="s">
        <v>31</v>
      </c>
    </row>
    <row r="30923" spans="1:5" x14ac:dyDescent="0.25">
      <c r="A30923" t="str">
        <f>HYPERLINK("https://www.773grp.com/globalSearch/MC74LCX14DTG/page-1", "MC74LCX14DTG")</f>
        <v>MC74LCX14DTG</v>
      </c>
      <c r="B30923" s="3" t="str">
        <f>HYPERLINK("https://www.773grp.com/manufacturer/onsemi?pageNo=421", "ON Semiconductor")</f>
        <v>ON Semiconductor</v>
      </c>
      <c r="C30923" s="6">
        <v>2112</v>
      </c>
      <c r="D30923" s="7">
        <v>0.74</v>
      </c>
      <c r="E30923" t="s">
        <v>31</v>
      </c>
    </row>
    <row r="30924" spans="1:5" x14ac:dyDescent="0.25">
      <c r="A30924" t="str">
        <f>HYPERLINK("https://www.773grp.com/globalSearch/MC74LCX14DTR2G/page-1", "MC74LCX14DTR2G")</f>
        <v>MC74LCX14DTR2G</v>
      </c>
      <c r="B30924" s="3" t="str">
        <f>HYPERLINK("https://www.773grp.com/manufacturer/onsemi?pageNo=422", "ON Semiconductor")</f>
        <v>ON Semiconductor</v>
      </c>
      <c r="C30924" s="6">
        <v>12500</v>
      </c>
      <c r="D30924" s="7">
        <v>0.74</v>
      </c>
      <c r="E30924" t="s">
        <v>31</v>
      </c>
    </row>
    <row r="30925" spans="1:5" x14ac:dyDescent="0.25">
      <c r="A30925" t="str">
        <f>HYPERLINK("https://www.773grp.com/globalSearch/MC74LCX157MEL/page-1", "MC74LCX157MEL")</f>
        <v>MC74LCX157MEL</v>
      </c>
      <c r="B30925" s="3" t="str">
        <f>HYPERLINK("https://www.773grp.com/manufacturer/onsemi?pageNo=423", "ON Semiconductor")</f>
        <v>ON Semiconductor</v>
      </c>
      <c r="C30925" s="6">
        <v>10000</v>
      </c>
      <c r="D30925" s="7">
        <v>0.74</v>
      </c>
      <c r="E30925" t="s">
        <v>20</v>
      </c>
    </row>
    <row r="30926" spans="1:5" x14ac:dyDescent="0.25">
      <c r="A30926" t="str">
        <f>HYPERLINK("https://www.773grp.com/globalSearch/MC74LCX32DR2G/page-1", "MC74LCX32DR2G")</f>
        <v>MC74LCX32DR2G</v>
      </c>
      <c r="B30926" s="3" t="str">
        <f>HYPERLINK("https://www.773grp.com/manufacturer/onsemi?pageNo=424", "ON Semiconductor")</f>
        <v>ON Semiconductor</v>
      </c>
      <c r="C30926" s="6">
        <v>67518</v>
      </c>
      <c r="D30926" s="7">
        <v>0.74</v>
      </c>
      <c r="E30926" t="s">
        <v>31</v>
      </c>
    </row>
    <row r="30927" spans="1:5" x14ac:dyDescent="0.25">
      <c r="A30927" t="str">
        <f>HYPERLINK("https://www.773grp.com/globalSearch/MC74LCX32DTG/page-1", "MC74LCX32DTG")</f>
        <v>MC74LCX32DTG</v>
      </c>
      <c r="B30927" s="3" t="str">
        <f>HYPERLINK("https://www.773grp.com/manufacturer/onsemi?pageNo=425", "ON Semiconductor")</f>
        <v>ON Semiconductor</v>
      </c>
      <c r="C30927" s="6">
        <v>24191</v>
      </c>
      <c r="D30927" s="7">
        <v>0.74</v>
      </c>
      <c r="E30927" t="s">
        <v>31</v>
      </c>
    </row>
    <row r="30928" spans="1:5" x14ac:dyDescent="0.25">
      <c r="A30928" t="str">
        <f>HYPERLINK("https://www.773grp.com/globalSearch/MC74LCX32DTR2G/page-1", "MC74LCX32DTR2G")</f>
        <v>MC74LCX32DTR2G</v>
      </c>
      <c r="B30928" s="3" t="str">
        <f>HYPERLINK("https://www.773grp.com/manufacturer/onsemi?pageNo=426", "ON Semiconductor")</f>
        <v>ON Semiconductor</v>
      </c>
      <c r="C30928" s="6">
        <v>65000</v>
      </c>
      <c r="D30928" s="7">
        <v>0.74</v>
      </c>
      <c r="E30928" t="s">
        <v>31</v>
      </c>
    </row>
    <row r="30929" spans="1:5" x14ac:dyDescent="0.25">
      <c r="A30929" t="str">
        <f>HYPERLINK("https://www.773grp.com/globalSearch/MC74LCX74DG/page-1", "MC74LCX74DG")</f>
        <v>MC74LCX74DG</v>
      </c>
      <c r="B30929" s="3" t="str">
        <f>HYPERLINK("https://www.773grp.com/manufacturer/onsemi?pageNo=427", "ON Semiconductor")</f>
        <v>ON Semiconductor</v>
      </c>
      <c r="C30929" s="6">
        <v>8292</v>
      </c>
      <c r="D30929" s="7">
        <v>0.74</v>
      </c>
      <c r="E30929" t="s">
        <v>35</v>
      </c>
    </row>
    <row r="30930" spans="1:5" x14ac:dyDescent="0.25">
      <c r="A30930" t="str">
        <f>HYPERLINK("https://www.773grp.com/globalSearch/MC74LCX74DR2G/page-1", "MC74LCX74DR2G")</f>
        <v>MC74LCX74DR2G</v>
      </c>
      <c r="B30930" s="3" t="str">
        <f>HYPERLINK("https://www.773grp.com/manufacturer/onsemi?pageNo=428", "ON Semiconductor")</f>
        <v>ON Semiconductor</v>
      </c>
      <c r="C30930" s="6">
        <v>21113</v>
      </c>
      <c r="D30930" s="7">
        <v>0.74</v>
      </c>
      <c r="E30930" t="s">
        <v>35</v>
      </c>
    </row>
    <row r="30931" spans="1:5" x14ac:dyDescent="0.25">
      <c r="A30931" t="str">
        <f>HYPERLINK("https://www.773grp.com/globalSearch/MC74LCX74DTG/page-1", "MC74LCX74DTG")</f>
        <v>MC74LCX74DTG</v>
      </c>
      <c r="B30931" s="3" t="str">
        <f>HYPERLINK("https://www.773grp.com/manufacturer/onsemi?pageNo=429", "ON Semiconductor")</f>
        <v>ON Semiconductor</v>
      </c>
      <c r="C30931" s="6">
        <v>15932</v>
      </c>
      <c r="D30931" s="7">
        <v>0.74</v>
      </c>
      <c r="E30931" t="s">
        <v>35</v>
      </c>
    </row>
    <row r="30932" spans="1:5" x14ac:dyDescent="0.25">
      <c r="A30932" t="str">
        <f>HYPERLINK("https://www.773grp.com/globalSearch/MC74LCX74DTR2G/page-1", "MC74LCX74DTR2G")</f>
        <v>MC74LCX74DTR2G</v>
      </c>
      <c r="B30932" s="3" t="str">
        <f>HYPERLINK("https://www.773grp.com/manufacturer/onsemi?pageNo=430", "ON Semiconductor")</f>
        <v>ON Semiconductor</v>
      </c>
      <c r="C30932" s="6">
        <v>244890</v>
      </c>
      <c r="D30932" s="7">
        <v>0.74</v>
      </c>
      <c r="E30932" t="s">
        <v>35</v>
      </c>
    </row>
    <row r="30933" spans="1:5" x14ac:dyDescent="0.25">
      <c r="A30933" t="str">
        <f>HYPERLINK("https://www.773grp.com/globalSearch/MC74LCX74DTR2H/page-1", "MC74LCX74DTR2H")</f>
        <v>MC74LCX74DTR2H</v>
      </c>
      <c r="B30933" s="3" t="str">
        <f>HYPERLINK("https://www.773grp.com/manufacturer/onsemi?pageNo=431", "ON Semiconductor")</f>
        <v>ON Semiconductor</v>
      </c>
      <c r="C30933" s="6">
        <v>22300</v>
      </c>
      <c r="D30933" s="7">
        <v>0.74</v>
      </c>
    </row>
    <row r="30934" spans="1:5" x14ac:dyDescent="0.25">
      <c r="A30934" t="str">
        <f>HYPERLINK("https://www.773grp.com/globalSearch/MC74LCX86DR2G/page-1", "MC74LCX86DR2G")</f>
        <v>MC74LCX86DR2G</v>
      </c>
      <c r="B30934" s="3" t="str">
        <f>HYPERLINK("https://www.773grp.com/manufacturer/onsemi?pageNo=432", "ON Semiconductor")</f>
        <v>ON Semiconductor</v>
      </c>
      <c r="C30934" s="6">
        <v>23580</v>
      </c>
      <c r="D30934" s="7">
        <v>0.74</v>
      </c>
      <c r="E30934" t="s">
        <v>31</v>
      </c>
    </row>
    <row r="30935" spans="1:5" x14ac:dyDescent="0.25">
      <c r="A30935" t="str">
        <f>HYPERLINK("https://www.773grp.com/globalSearch/MC74LCX86DTR2G/page-1", "MC74LCX86DTR2G")</f>
        <v>MC74LCX86DTR2G</v>
      </c>
      <c r="B30935" s="3" t="str">
        <f>HYPERLINK("https://www.773grp.com/manufacturer/onsemi?pageNo=433", "ON Semiconductor")</f>
        <v>ON Semiconductor</v>
      </c>
      <c r="C30935" s="6">
        <v>4775</v>
      </c>
      <c r="D30935" s="7">
        <v>0.74</v>
      </c>
      <c r="E30935" t="s">
        <v>31</v>
      </c>
    </row>
    <row r="30936" spans="1:5" x14ac:dyDescent="0.25">
      <c r="A30936" t="str">
        <f>HYPERLINK("https://www.773grp.com/globalSearch/MC74LCXU04DTR2G/page-1", "MC74LCXU04DTR2G")</f>
        <v>MC74LCXU04DTR2G</v>
      </c>
      <c r="B30936" s="3" t="str">
        <f>HYPERLINK("https://www.773grp.com/manufacturer/onsemi?pageNo=434", "ON Semiconductor")</f>
        <v>ON Semiconductor</v>
      </c>
      <c r="C30936" s="6">
        <v>17475</v>
      </c>
      <c r="D30936" s="7">
        <v>0.74</v>
      </c>
      <c r="E30936" t="s">
        <v>31</v>
      </c>
    </row>
    <row r="30937" spans="1:5" x14ac:dyDescent="0.25">
      <c r="A30937" t="str">
        <f>HYPERLINK("https://www.773grp.com/globalSearch/MC74LVX138DR2G/page-1", "MC74LVX138DR2G")</f>
        <v>MC74LVX138DR2G</v>
      </c>
      <c r="B30937" s="3" t="str">
        <f>HYPERLINK("https://www.773grp.com/manufacturer/onsemi?pageNo=435", "ON Semiconductor")</f>
        <v>ON Semiconductor</v>
      </c>
      <c r="C30937" s="6">
        <v>14112</v>
      </c>
      <c r="D30937" s="7">
        <v>0.74</v>
      </c>
      <c r="E30937" t="s">
        <v>36</v>
      </c>
    </row>
    <row r="30938" spans="1:5" x14ac:dyDescent="0.25">
      <c r="A30938" t="str">
        <f>HYPERLINK("https://www.773grp.com/globalSearch/MC74LVX138DTR2G/page-1", "MC74LVX138DTR2G")</f>
        <v>MC74LVX138DTR2G</v>
      </c>
      <c r="B30938" s="3" t="str">
        <f>HYPERLINK("https://www.773grp.com/manufacturer/onsemi?pageNo=436", "ON Semiconductor")</f>
        <v>ON Semiconductor</v>
      </c>
      <c r="C30938" s="6">
        <v>10901</v>
      </c>
      <c r="D30938" s="7">
        <v>0.74</v>
      </c>
      <c r="E30938" t="s">
        <v>36</v>
      </c>
    </row>
    <row r="30939" spans="1:5" x14ac:dyDescent="0.25">
      <c r="A30939" t="str">
        <f>HYPERLINK("https://www.773grp.com/globalSearch/MC74LVX139DR2G/page-1", "MC74LVX139DR2G")</f>
        <v>MC74LVX139DR2G</v>
      </c>
      <c r="B30939" s="3" t="str">
        <f>HYPERLINK("https://www.773grp.com/manufacturer/onsemi?pageNo=437", "ON Semiconductor")</f>
        <v>ON Semiconductor</v>
      </c>
      <c r="C30939" s="6">
        <v>90825</v>
      </c>
      <c r="D30939" s="7">
        <v>0.74</v>
      </c>
      <c r="E30939" t="s">
        <v>36</v>
      </c>
    </row>
    <row r="30940" spans="1:5" x14ac:dyDescent="0.25">
      <c r="A30940" t="str">
        <f>HYPERLINK("https://www.773grp.com/globalSearch/MC74LVX139DTR2G/page-1", "MC74LVX139DTR2G")</f>
        <v>MC74LVX139DTR2G</v>
      </c>
      <c r="B30940" s="3" t="str">
        <f>HYPERLINK("https://www.773grp.com/manufacturer/onsemi?pageNo=438", "ON Semiconductor")</f>
        <v>ON Semiconductor</v>
      </c>
      <c r="C30940" s="6">
        <v>62900</v>
      </c>
      <c r="D30940" s="7">
        <v>0.74</v>
      </c>
      <c r="E30940" t="s">
        <v>36</v>
      </c>
    </row>
    <row r="30941" spans="1:5" x14ac:dyDescent="0.25">
      <c r="A30941" t="str">
        <f>HYPERLINK("https://www.773grp.com/globalSearch/MC74LVX157DR2G/page-1", "MC74LVX157DR2G")</f>
        <v>MC74LVX157DR2G</v>
      </c>
      <c r="B30941" s="3" t="str">
        <f>HYPERLINK("https://www.773grp.com/manufacturer/onsemi?pageNo=439", "ON Semiconductor")</f>
        <v>ON Semiconductor</v>
      </c>
      <c r="C30941" s="6">
        <v>10000</v>
      </c>
      <c r="D30941" s="7">
        <v>0.74</v>
      </c>
      <c r="E30941" t="s">
        <v>20</v>
      </c>
    </row>
    <row r="30942" spans="1:5" x14ac:dyDescent="0.25">
      <c r="A30942" t="str">
        <f>HYPERLINK("https://www.773grp.com/globalSearch/MC74LVX157DTR2G/page-1", "MC74LVX157DTR2G")</f>
        <v>MC74LVX157DTR2G</v>
      </c>
      <c r="B30942" s="3" t="str">
        <f>HYPERLINK("https://www.773grp.com/manufacturer/onsemi?pageNo=440", "ON Semiconductor")</f>
        <v>ON Semiconductor</v>
      </c>
      <c r="C30942" s="6">
        <v>1850</v>
      </c>
      <c r="D30942" s="7">
        <v>0.74</v>
      </c>
      <c r="E30942" t="s">
        <v>20</v>
      </c>
    </row>
    <row r="30943" spans="1:5" x14ac:dyDescent="0.25">
      <c r="A30943" t="str">
        <f>HYPERLINK("https://www.773grp.com/globalSearch/MC74LVX240DW/page-1", "MC74LVX240DW")</f>
        <v>MC74LVX240DW</v>
      </c>
      <c r="B30943" s="3" t="str">
        <f>HYPERLINK("https://www.773grp.com/manufacturer/onsemi?pageNo=441", "ON Semiconductor")</f>
        <v>ON Semiconductor</v>
      </c>
      <c r="C30943" s="6">
        <v>2014</v>
      </c>
      <c r="D30943" s="7">
        <v>0.74</v>
      </c>
      <c r="E30943" t="s">
        <v>14</v>
      </c>
    </row>
    <row r="30944" spans="1:5" x14ac:dyDescent="0.25">
      <c r="A30944" t="str">
        <f>HYPERLINK("https://www.773grp.com/globalSearch/MC74LVX257DG/page-1", "MC74LVX257DG")</f>
        <v>MC74LVX257DG</v>
      </c>
      <c r="B30944" s="3" t="str">
        <f>HYPERLINK("https://www.773grp.com/manufacturer/onsemi?pageNo=442", "ON Semiconductor")</f>
        <v>ON Semiconductor</v>
      </c>
      <c r="C30944" s="6">
        <v>24124</v>
      </c>
      <c r="D30944" s="7">
        <v>0.74</v>
      </c>
      <c r="E30944" t="s">
        <v>20</v>
      </c>
    </row>
    <row r="30945" spans="1:5" x14ac:dyDescent="0.25">
      <c r="A30945" t="str">
        <f>HYPERLINK("https://www.773grp.com/globalSearch/MC74LVX257DR2G/page-1", "MC74LVX257DR2G")</f>
        <v>MC74LVX257DR2G</v>
      </c>
      <c r="B30945" s="3" t="str">
        <f>HYPERLINK("https://www.773grp.com/manufacturer/onsemi?pageNo=443", "ON Semiconductor")</f>
        <v>ON Semiconductor</v>
      </c>
      <c r="C30945" s="6">
        <v>32500</v>
      </c>
      <c r="D30945" s="7">
        <v>0.74</v>
      </c>
      <c r="E30945" t="s">
        <v>20</v>
      </c>
    </row>
    <row r="30946" spans="1:5" x14ac:dyDescent="0.25">
      <c r="A30946" t="str">
        <f>HYPERLINK("https://www.773grp.com/globalSearch/MC74LVX257DTG/page-1", "MC74LVX257DTG")</f>
        <v>MC74LVX257DTG</v>
      </c>
      <c r="B30946" s="3" t="str">
        <f>HYPERLINK("https://www.773grp.com/manufacturer/onsemi?pageNo=444", "ON Semiconductor")</f>
        <v>ON Semiconductor</v>
      </c>
      <c r="C30946" s="6">
        <v>61906</v>
      </c>
      <c r="D30946" s="7">
        <v>0.74</v>
      </c>
      <c r="E30946" t="s">
        <v>20</v>
      </c>
    </row>
    <row r="30947" spans="1:5" x14ac:dyDescent="0.25">
      <c r="A30947" t="str">
        <f>HYPERLINK("https://www.773grp.com/globalSearch/MC74LVX257DTR2G/page-1", "MC74LVX257DTR2G")</f>
        <v>MC74LVX257DTR2G</v>
      </c>
      <c r="B30947" s="3" t="str">
        <f>HYPERLINK("https://www.773grp.com/manufacturer/onsemi?pageNo=445", "ON Semiconductor")</f>
        <v>ON Semiconductor</v>
      </c>
      <c r="C30947" s="6">
        <v>40000</v>
      </c>
      <c r="D30947" s="7">
        <v>0.74</v>
      </c>
      <c r="E30947" t="s">
        <v>20</v>
      </c>
    </row>
    <row r="30948" spans="1:5" x14ac:dyDescent="0.25">
      <c r="A30948" t="str">
        <f>HYPERLINK("https://www.773grp.com/globalSearch/MC74LVX259DG/page-1", "MC74LVX259DG")</f>
        <v>MC74LVX259DG</v>
      </c>
      <c r="B30948" s="3" t="str">
        <f>HYPERLINK("https://www.773grp.com/manufacturer/onsemi?pageNo=446", "ON Semiconductor")</f>
        <v>ON Semiconductor</v>
      </c>
      <c r="C30948" s="6">
        <v>24784</v>
      </c>
      <c r="D30948" s="7">
        <v>0.74</v>
      </c>
      <c r="E30948" t="s">
        <v>36</v>
      </c>
    </row>
    <row r="30949" spans="1:5" x14ac:dyDescent="0.25">
      <c r="A30949" t="str">
        <f>HYPERLINK("https://www.773grp.com/globalSearch/MC74LVX259DR2G/page-1", "MC74LVX259DR2G")</f>
        <v>MC74LVX259DR2G</v>
      </c>
      <c r="B30949" s="3" t="str">
        <f>HYPERLINK("https://www.773grp.com/manufacturer/onsemi?pageNo=447", "ON Semiconductor")</f>
        <v>ON Semiconductor</v>
      </c>
      <c r="C30949" s="6">
        <v>65000</v>
      </c>
      <c r="D30949" s="7">
        <v>0.74</v>
      </c>
      <c r="E30949" t="s">
        <v>36</v>
      </c>
    </row>
    <row r="30950" spans="1:5" x14ac:dyDescent="0.25">
      <c r="A30950" t="str">
        <f>HYPERLINK("https://www.773grp.com/globalSearch/MC74LVX259DTG/page-1", "MC74LVX259DTG")</f>
        <v>MC74LVX259DTG</v>
      </c>
      <c r="B30950" s="3" t="str">
        <f>HYPERLINK("https://www.773grp.com/manufacturer/onsemi?pageNo=448", "ON Semiconductor")</f>
        <v>ON Semiconductor</v>
      </c>
      <c r="C30950" s="6">
        <v>18048</v>
      </c>
      <c r="D30950" s="7">
        <v>0.74</v>
      </c>
      <c r="E30950" t="s">
        <v>36</v>
      </c>
    </row>
    <row r="30951" spans="1:5" x14ac:dyDescent="0.25">
      <c r="A30951" t="str">
        <f>HYPERLINK("https://www.773grp.com/globalSearch/MC74LVX259DTR2G/page-1", "MC74LVX259DTR2G")</f>
        <v>MC74LVX259DTR2G</v>
      </c>
      <c r="B30951" s="3" t="str">
        <f>HYPERLINK("https://www.773grp.com/manufacturer/onsemi?pageNo=449", "ON Semiconductor")</f>
        <v>ON Semiconductor</v>
      </c>
      <c r="C30951" s="6">
        <v>9750</v>
      </c>
      <c r="D30951" s="7">
        <v>0.74</v>
      </c>
      <c r="E30951" t="s">
        <v>36</v>
      </c>
    </row>
    <row r="30952" spans="1:5" x14ac:dyDescent="0.25">
      <c r="A30952" t="str">
        <f>HYPERLINK("https://www.773grp.com/globalSearch/MC74LVX373DW/page-1", "MC74LVX373DW")</f>
        <v>MC74LVX373DW</v>
      </c>
      <c r="B30952" s="3" t="str">
        <f>HYPERLINK("https://www.773grp.com/manufacturer/onsemi?pageNo=450", "ON Semiconductor")</f>
        <v>ON Semiconductor</v>
      </c>
      <c r="C30952" s="6">
        <v>11324</v>
      </c>
      <c r="D30952" s="7">
        <v>0.74</v>
      </c>
      <c r="E30952" t="s">
        <v>14</v>
      </c>
    </row>
    <row r="30953" spans="1:5" x14ac:dyDescent="0.25">
      <c r="A30953" t="str">
        <f>HYPERLINK("https://www.773grp.com/globalSearch/MC74LVX374DT/page-1", "MC74LVX374DT")</f>
        <v>MC74LVX374DT</v>
      </c>
      <c r="B30953" s="3" t="str">
        <f>HYPERLINK("https://www.773grp.com/manufacturer/onsemi?pageNo=451", "ON Semiconductor")</f>
        <v>ON Semiconductor</v>
      </c>
      <c r="C30953" s="6">
        <v>12093</v>
      </c>
      <c r="D30953" s="7">
        <v>0.74</v>
      </c>
      <c r="E30953" t="s">
        <v>14</v>
      </c>
    </row>
    <row r="30954" spans="1:5" x14ac:dyDescent="0.25">
      <c r="A30954" t="str">
        <f>HYPERLINK("https://www.773grp.com/globalSearch/MC74LVX573DW/page-1", "MC74LVX573DW")</f>
        <v>MC74LVX573DW</v>
      </c>
      <c r="B30954" s="3" t="str">
        <f>HYPERLINK("https://www.773grp.com/manufacturer/onsemi?pageNo=452", "ON Semiconductor")</f>
        <v>ON Semiconductor</v>
      </c>
      <c r="C30954" s="6">
        <v>5298</v>
      </c>
      <c r="D30954" s="7">
        <v>0.74</v>
      </c>
      <c r="E30954" t="s">
        <v>14</v>
      </c>
    </row>
    <row r="30955" spans="1:5" x14ac:dyDescent="0.25">
      <c r="A30955" t="str">
        <f>HYPERLINK("https://www.773grp.com/globalSearch/MC74VHC138DG/page-1", "MC74VHC138DG")</f>
        <v>MC74VHC138DG</v>
      </c>
      <c r="B30955" s="3" t="str">
        <f>HYPERLINK("https://www.773grp.com/manufacturer/onsemi?pageNo=453", "ON Semiconductor")</f>
        <v>ON Semiconductor</v>
      </c>
      <c r="C30955" s="6">
        <v>13486</v>
      </c>
      <c r="D30955" s="7">
        <v>0.74</v>
      </c>
      <c r="E30955" t="s">
        <v>36</v>
      </c>
    </row>
    <row r="30956" spans="1:5" x14ac:dyDescent="0.25">
      <c r="A30956" t="str">
        <f>HYPERLINK("https://www.773grp.com/globalSearch/MC74VHC138DR2G/page-1", "MC74VHC138DR2G")</f>
        <v>MC74VHC138DR2G</v>
      </c>
      <c r="B30956" s="3" t="str">
        <f>HYPERLINK("https://www.773grp.com/manufacturer/onsemi?pageNo=454", "ON Semiconductor")</f>
        <v>ON Semiconductor</v>
      </c>
      <c r="C30956" s="6">
        <v>23831</v>
      </c>
      <c r="D30956" s="7">
        <v>0.74</v>
      </c>
      <c r="E30956" t="s">
        <v>36</v>
      </c>
    </row>
    <row r="30957" spans="1:5" x14ac:dyDescent="0.25">
      <c r="A30957" t="str">
        <f>HYPERLINK("https://www.773grp.com/globalSearch/MC74VHC138DTR2G/page-1", "MC74VHC138DTR2G")</f>
        <v>MC74VHC138DTR2G</v>
      </c>
      <c r="B30957" s="3" t="str">
        <f>HYPERLINK("https://www.773grp.com/manufacturer/onsemi?pageNo=455", "ON Semiconductor")</f>
        <v>ON Semiconductor</v>
      </c>
      <c r="C30957" s="6">
        <v>9665</v>
      </c>
      <c r="D30957" s="7">
        <v>0.74</v>
      </c>
      <c r="E30957" t="s">
        <v>36</v>
      </c>
    </row>
    <row r="30958" spans="1:5" x14ac:dyDescent="0.25">
      <c r="A30958" t="str">
        <f>HYPERLINK("https://www.773grp.com/globalSearch/MC74VHC139DR2G/page-1", "MC74VHC139DR2G")</f>
        <v>MC74VHC139DR2G</v>
      </c>
      <c r="B30958" s="3" t="str">
        <f>HYPERLINK("https://www.773grp.com/manufacturer/onsemi?pageNo=456", "ON Semiconductor")</f>
        <v>ON Semiconductor</v>
      </c>
      <c r="C30958" s="6">
        <v>75389</v>
      </c>
      <c r="D30958" s="7">
        <v>0.74</v>
      </c>
      <c r="E30958" t="s">
        <v>36</v>
      </c>
    </row>
    <row r="30959" spans="1:5" x14ac:dyDescent="0.25">
      <c r="A30959" t="str">
        <f>HYPERLINK("https://www.773grp.com/globalSearch/MC74VHC139DTR2G/page-1", "MC74VHC139DTR2G")</f>
        <v>MC74VHC139DTR2G</v>
      </c>
      <c r="B30959" s="3" t="str">
        <f>HYPERLINK("https://www.773grp.com/manufacturer/onsemi?pageNo=457", "ON Semiconductor")</f>
        <v>ON Semiconductor</v>
      </c>
      <c r="C30959" s="6">
        <v>89632</v>
      </c>
      <c r="D30959" s="7">
        <v>0.74</v>
      </c>
      <c r="E30959" t="s">
        <v>36</v>
      </c>
    </row>
    <row r="30960" spans="1:5" x14ac:dyDescent="0.25">
      <c r="A30960" t="str">
        <f>HYPERLINK("https://www.773grp.com/globalSearch/MC74VHC240DW/page-1", "MC74VHC240DW")</f>
        <v>MC74VHC240DW</v>
      </c>
      <c r="B30960" s="3" t="str">
        <f>HYPERLINK("https://www.773grp.com/manufacturer/onsemi?pageNo=458", "ON Semiconductor")</f>
        <v>ON Semiconductor</v>
      </c>
      <c r="C30960" s="6">
        <v>7904</v>
      </c>
      <c r="D30960" s="7">
        <v>0.74</v>
      </c>
      <c r="E30960" t="s">
        <v>14</v>
      </c>
    </row>
    <row r="30961" spans="1:5" x14ac:dyDescent="0.25">
      <c r="A30961" t="str">
        <f>HYPERLINK("https://www.773grp.com/globalSearch/MC74VHC240M/page-1", "MC74VHC240M")</f>
        <v>MC74VHC240M</v>
      </c>
      <c r="B30961" s="3" t="str">
        <f>HYPERLINK("https://www.773grp.com/manufacturer/onsemi?pageNo=459", "ON Semiconductor")</f>
        <v>ON Semiconductor</v>
      </c>
      <c r="C30961" s="6">
        <v>640</v>
      </c>
      <c r="D30961" s="7">
        <v>0.74</v>
      </c>
      <c r="E30961" t="s">
        <v>14</v>
      </c>
    </row>
    <row r="30962" spans="1:5" x14ac:dyDescent="0.25">
      <c r="A30962" t="str">
        <f>HYPERLINK("https://www.773grp.com/globalSearch/MC74VHC240MEL/page-1", "MC74VHC240MEL")</f>
        <v>MC74VHC240MEL</v>
      </c>
      <c r="B30962" s="3" t="str">
        <f>HYPERLINK("https://www.773grp.com/manufacturer/onsemi?pageNo=460", "ON Semiconductor")</f>
        <v>ON Semiconductor</v>
      </c>
      <c r="C30962" s="6">
        <v>4000</v>
      </c>
      <c r="D30962" s="7">
        <v>0.74</v>
      </c>
      <c r="E30962" t="s">
        <v>14</v>
      </c>
    </row>
    <row r="30963" spans="1:5" x14ac:dyDescent="0.25">
      <c r="A30963" t="str">
        <f>HYPERLINK("https://www.773grp.com/globalSearch/MC74VHC244M/page-1", "MC74VHC244M")</f>
        <v>MC74VHC244M</v>
      </c>
      <c r="B30963" s="3" t="str">
        <f>HYPERLINK("https://www.773grp.com/manufacturer/onsemi?pageNo=461", "ON Semiconductor")</f>
        <v>ON Semiconductor</v>
      </c>
      <c r="C30963" s="6">
        <v>1527</v>
      </c>
      <c r="D30963" s="7">
        <v>0.74</v>
      </c>
      <c r="E30963" t="s">
        <v>14</v>
      </c>
    </row>
    <row r="30964" spans="1:5" x14ac:dyDescent="0.25">
      <c r="A30964" t="str">
        <f>HYPERLINK("https://www.773grp.com/globalSearch/MC74VHC245M/page-1", "MC74VHC245M")</f>
        <v>MC74VHC245M</v>
      </c>
      <c r="B30964" s="3" t="str">
        <f>HYPERLINK("https://www.773grp.com/manufacturer/onsemi?pageNo=462", "ON Semiconductor")</f>
        <v>ON Semiconductor</v>
      </c>
      <c r="C30964" s="6">
        <v>16240</v>
      </c>
      <c r="D30964" s="7">
        <v>0.74</v>
      </c>
      <c r="E30964" t="s">
        <v>14</v>
      </c>
    </row>
    <row r="30965" spans="1:5" x14ac:dyDescent="0.25">
      <c r="A30965" t="str">
        <f>HYPERLINK("https://www.773grp.com/globalSearch/MC74VHC245MEL/page-1", "MC74VHC245MEL")</f>
        <v>MC74VHC245MEL</v>
      </c>
      <c r="B30965" s="3" t="str">
        <f>HYPERLINK("https://www.773grp.com/manufacturer/onsemi?pageNo=463", "ON Semiconductor")</f>
        <v>ON Semiconductor</v>
      </c>
      <c r="C30965" s="6">
        <v>10000</v>
      </c>
      <c r="D30965" s="7">
        <v>0.74</v>
      </c>
      <c r="E30965" t="s">
        <v>14</v>
      </c>
    </row>
    <row r="30966" spans="1:5" x14ac:dyDescent="0.25">
      <c r="A30966" t="str">
        <f>HYPERLINK("https://www.773grp.com/globalSearch/MC74VHC257DG/page-1", "MC74VHC257DG")</f>
        <v>MC74VHC257DG</v>
      </c>
      <c r="B30966" s="3" t="str">
        <f>HYPERLINK("https://www.773grp.com/manufacturer/onsemi?pageNo=464", "ON Semiconductor")</f>
        <v>ON Semiconductor</v>
      </c>
      <c r="C30966" s="6">
        <v>25780</v>
      </c>
      <c r="D30966" s="7">
        <v>0.74</v>
      </c>
      <c r="E30966" t="s">
        <v>20</v>
      </c>
    </row>
    <row r="30967" spans="1:5" x14ac:dyDescent="0.25">
      <c r="A30967" t="str">
        <f>HYPERLINK("https://www.773grp.com/globalSearch/MC74VHC257DR2G/page-1", "MC74VHC257DR2G")</f>
        <v>MC74VHC257DR2G</v>
      </c>
      <c r="B30967" s="3" t="str">
        <f>HYPERLINK("https://www.773grp.com/manufacturer/onsemi?pageNo=465", "ON Semiconductor")</f>
        <v>ON Semiconductor</v>
      </c>
      <c r="C30967" s="6">
        <v>5000</v>
      </c>
      <c r="D30967" s="7">
        <v>0.74</v>
      </c>
      <c r="E30967" t="s">
        <v>20</v>
      </c>
    </row>
    <row r="30968" spans="1:5" x14ac:dyDescent="0.25">
      <c r="A30968" t="str">
        <f>HYPERLINK("https://www.773grp.com/globalSearch/MC74VHC257DTG/page-1", "MC74VHC257DTG")</f>
        <v>MC74VHC257DTG</v>
      </c>
      <c r="B30968" s="3" t="str">
        <f>HYPERLINK("https://www.773grp.com/manufacturer/onsemi?pageNo=466", "ON Semiconductor")</f>
        <v>ON Semiconductor</v>
      </c>
      <c r="C30968" s="6">
        <v>9234</v>
      </c>
      <c r="D30968" s="7">
        <v>0.74</v>
      </c>
      <c r="E30968" t="s">
        <v>20</v>
      </c>
    </row>
    <row r="30969" spans="1:5" x14ac:dyDescent="0.25">
      <c r="A30969" t="str">
        <f>HYPERLINK("https://www.773grp.com/globalSearch/MC74VHC257DTR2G/page-1", "MC74VHC257DTR2G")</f>
        <v>MC74VHC257DTR2G</v>
      </c>
      <c r="B30969" s="3" t="str">
        <f>HYPERLINK("https://www.773grp.com/manufacturer/onsemi?pageNo=467", "ON Semiconductor")</f>
        <v>ON Semiconductor</v>
      </c>
      <c r="C30969" s="6">
        <v>2500</v>
      </c>
      <c r="D30969" s="7">
        <v>0.74</v>
      </c>
    </row>
    <row r="30970" spans="1:5" x14ac:dyDescent="0.25">
      <c r="A30970" t="str">
        <f>HYPERLINK("https://www.773grp.com/globalSearch/MC74VHC259DG/page-1", "MC74VHC259DG")</f>
        <v>MC74VHC259DG</v>
      </c>
      <c r="B30970" s="3" t="str">
        <f>HYPERLINK("https://www.773grp.com/manufacturer/onsemi?pageNo=468", "ON Semiconductor")</f>
        <v>ON Semiconductor</v>
      </c>
      <c r="C30970" s="6">
        <v>5088</v>
      </c>
      <c r="D30970" s="7">
        <v>0.74</v>
      </c>
      <c r="E30970" t="s">
        <v>36</v>
      </c>
    </row>
    <row r="30971" spans="1:5" x14ac:dyDescent="0.25">
      <c r="A30971" t="str">
        <f>HYPERLINK("https://www.773grp.com/globalSearch/MC74VHC259DR2G/page-1", "MC74VHC259DR2G")</f>
        <v>MC74VHC259DR2G</v>
      </c>
      <c r="B30971" s="3" t="str">
        <f>HYPERLINK("https://www.773grp.com/manufacturer/onsemi?pageNo=469", "ON Semiconductor")</f>
        <v>ON Semiconductor</v>
      </c>
      <c r="C30971" s="6">
        <v>14890</v>
      </c>
      <c r="D30971" s="7">
        <v>0.74</v>
      </c>
      <c r="E30971" t="s">
        <v>36</v>
      </c>
    </row>
    <row r="30972" spans="1:5" x14ac:dyDescent="0.25">
      <c r="A30972" t="str">
        <f>HYPERLINK("https://www.773grp.com/globalSearch/MC74VHC259DTG/page-1", "MC74VHC259DTG")</f>
        <v>MC74VHC259DTG</v>
      </c>
      <c r="B30972" s="3" t="str">
        <f>HYPERLINK("https://www.773grp.com/manufacturer/onsemi?pageNo=470", "ON Semiconductor")</f>
        <v>ON Semiconductor</v>
      </c>
      <c r="C30972" s="6">
        <v>52280</v>
      </c>
      <c r="D30972" s="7">
        <v>0.74</v>
      </c>
      <c r="E30972" t="s">
        <v>36</v>
      </c>
    </row>
    <row r="30973" spans="1:5" x14ac:dyDescent="0.25">
      <c r="A30973" t="str">
        <f>HYPERLINK("https://www.773grp.com/globalSearch/MC74VHC259DTR2G/page-1", "MC74VHC259DTR2G")</f>
        <v>MC74VHC259DTR2G</v>
      </c>
      <c r="B30973" s="3" t="str">
        <f>HYPERLINK("https://www.773grp.com/manufacturer/onsemi?pageNo=471", "ON Semiconductor")</f>
        <v>ON Semiconductor</v>
      </c>
      <c r="C30973" s="6">
        <v>9176</v>
      </c>
      <c r="D30973" s="7">
        <v>0.74</v>
      </c>
      <c r="E30973" t="s">
        <v>36</v>
      </c>
    </row>
    <row r="30974" spans="1:5" x14ac:dyDescent="0.25">
      <c r="A30974" t="str">
        <f>HYPERLINK("https://www.773grp.com/globalSearch/MC74VHC373DW/page-1", "MC74VHC373DW")</f>
        <v>MC74VHC373DW</v>
      </c>
      <c r="B30974" s="3" t="str">
        <f>HYPERLINK("https://www.773grp.com/manufacturer/onsemi?pageNo=472", "ON Semiconductor")</f>
        <v>ON Semiconductor</v>
      </c>
      <c r="C30974" s="6">
        <v>570</v>
      </c>
      <c r="D30974" s="7">
        <v>0.74</v>
      </c>
      <c r="E30974" t="s">
        <v>14</v>
      </c>
    </row>
    <row r="30975" spans="1:5" x14ac:dyDescent="0.25">
      <c r="A30975" t="str">
        <f>HYPERLINK("https://www.773grp.com/globalSearch/MC74VHC373M/page-1", "MC74VHC373M")</f>
        <v>MC74VHC373M</v>
      </c>
      <c r="B30975" s="3" t="str">
        <f>HYPERLINK("https://www.773grp.com/manufacturer/onsemi?pageNo=473", "ON Semiconductor")</f>
        <v>ON Semiconductor</v>
      </c>
      <c r="C30975" s="6">
        <v>9040</v>
      </c>
      <c r="D30975" s="7">
        <v>0.74</v>
      </c>
      <c r="E30975" t="s">
        <v>14</v>
      </c>
    </row>
    <row r="30976" spans="1:5" x14ac:dyDescent="0.25">
      <c r="A30976" t="str">
        <f>HYPERLINK("https://www.773grp.com/globalSearch/MC74VHC374M/page-1", "MC74VHC374M")</f>
        <v>MC74VHC374M</v>
      </c>
      <c r="B30976" s="3" t="str">
        <f>HYPERLINK("https://www.773grp.com/manufacturer/onsemi?pageNo=474", "ON Semiconductor")</f>
        <v>ON Semiconductor</v>
      </c>
      <c r="C30976" s="6">
        <v>11860</v>
      </c>
      <c r="D30976" s="7">
        <v>0.74</v>
      </c>
      <c r="E30976" t="s">
        <v>14</v>
      </c>
    </row>
    <row r="30977" spans="1:5" x14ac:dyDescent="0.25">
      <c r="A30977" t="str">
        <f>HYPERLINK("https://www.773grp.com/globalSearch/MC74VHC374MEL/page-1", "MC74VHC374MEL")</f>
        <v>MC74VHC374MEL</v>
      </c>
      <c r="B30977" s="3" t="str">
        <f>HYPERLINK("https://www.773grp.com/manufacturer/onsemi?pageNo=475", "ON Semiconductor")</f>
        <v>ON Semiconductor</v>
      </c>
      <c r="C30977" s="6">
        <v>2000</v>
      </c>
      <c r="D30977" s="7">
        <v>0.74</v>
      </c>
      <c r="E30977" t="s">
        <v>14</v>
      </c>
    </row>
    <row r="30978" spans="1:5" x14ac:dyDescent="0.25">
      <c r="A30978" t="str">
        <f>HYPERLINK("https://www.773grp.com/globalSearch/MC74VHC540MEL/page-1", "MC74VHC540MEL")</f>
        <v>MC74VHC540MEL</v>
      </c>
      <c r="B30978" s="3" t="str">
        <f>HYPERLINK("https://www.773grp.com/manufacturer/onsemi?pageNo=476", "ON Semiconductor")</f>
        <v>ON Semiconductor</v>
      </c>
      <c r="C30978" s="6">
        <v>2000</v>
      </c>
      <c r="D30978" s="7">
        <v>0.74</v>
      </c>
      <c r="E30978" t="s">
        <v>14</v>
      </c>
    </row>
    <row r="30979" spans="1:5" x14ac:dyDescent="0.25">
      <c r="A30979" t="str">
        <f>HYPERLINK("https://www.773grp.com/globalSearch/MC74VHC573M/page-1", "MC74VHC573M")</f>
        <v>MC74VHC573M</v>
      </c>
      <c r="B30979" s="3" t="str">
        <f>HYPERLINK("https://www.773grp.com/manufacturer/onsemi?pageNo=477", "ON Semiconductor")</f>
        <v>ON Semiconductor</v>
      </c>
      <c r="C30979" s="6">
        <v>12265</v>
      </c>
      <c r="D30979" s="7">
        <v>0.74</v>
      </c>
      <c r="E30979" t="s">
        <v>14</v>
      </c>
    </row>
    <row r="30980" spans="1:5" x14ac:dyDescent="0.25">
      <c r="A30980" t="str">
        <f>HYPERLINK("https://www.773grp.com/globalSearch/MC74VHC574M/page-1", "MC74VHC574M")</f>
        <v>MC74VHC574M</v>
      </c>
      <c r="B30980" s="3" t="str">
        <f>HYPERLINK("https://www.773grp.com/manufacturer/onsemi?pageNo=478", "ON Semiconductor")</f>
        <v>ON Semiconductor</v>
      </c>
      <c r="C30980" s="6">
        <v>6080</v>
      </c>
      <c r="D30980" s="7">
        <v>0.74</v>
      </c>
      <c r="E30980" t="s">
        <v>14</v>
      </c>
    </row>
    <row r="30981" spans="1:5" x14ac:dyDescent="0.25">
      <c r="A30981" t="str">
        <f>HYPERLINK("https://www.773grp.com/globalSearch/MC74VHC574MEL/page-1", "MC74VHC574MEL")</f>
        <v>MC74VHC574MEL</v>
      </c>
      <c r="B30981" s="3" t="str">
        <f>HYPERLINK("https://www.773grp.com/manufacturer/onsemi?pageNo=479", "ON Semiconductor")</f>
        <v>ON Semiconductor</v>
      </c>
      <c r="C30981" s="6">
        <v>8000</v>
      </c>
      <c r="D30981" s="7">
        <v>0.74</v>
      </c>
      <c r="E30981" t="s">
        <v>14</v>
      </c>
    </row>
    <row r="30982" spans="1:5" x14ac:dyDescent="0.25">
      <c r="A30982" t="str">
        <f>HYPERLINK("https://www.773grp.com/globalSearch/MC74VHC595D/page-1", "MC74VHC595D")</f>
        <v>MC74VHC595D</v>
      </c>
      <c r="B30982" s="3" t="str">
        <f>HYPERLINK("https://www.773grp.com/manufacturer/onsemi?pageNo=480", "ON Semiconductor")</f>
        <v>ON Semiconductor</v>
      </c>
      <c r="C30982" s="6">
        <v>5500</v>
      </c>
      <c r="D30982" s="7">
        <v>0.74</v>
      </c>
      <c r="E30982" t="s">
        <v>32</v>
      </c>
    </row>
    <row r="30983" spans="1:5" x14ac:dyDescent="0.25">
      <c r="A30983" t="str">
        <f>HYPERLINK("https://www.773grp.com/globalSearch/MC74VHCT138ADTRG/page-1", "MC74VHCT138ADTRG")</f>
        <v>MC74VHCT138ADTRG</v>
      </c>
      <c r="B30983" s="3" t="str">
        <f>HYPERLINK("https://www.773grp.com/manufacturer/onsemi?pageNo=481", "ON Semiconductor")</f>
        <v>ON Semiconductor</v>
      </c>
      <c r="C30983" s="6">
        <v>470</v>
      </c>
      <c r="D30983" s="7">
        <v>0.74</v>
      </c>
    </row>
    <row r="30984" spans="1:5" x14ac:dyDescent="0.25">
      <c r="A30984" t="str">
        <f>HYPERLINK("https://www.773grp.com/globalSearch/MC74VHCT139ADG/page-1", "MC74VHCT139ADG")</f>
        <v>MC74VHCT139ADG</v>
      </c>
      <c r="B30984" s="3" t="str">
        <f>HYPERLINK("https://www.773grp.com/manufacturer/onsemi?pageNo=482", "ON Semiconductor")</f>
        <v>ON Semiconductor</v>
      </c>
      <c r="C30984" s="6">
        <v>9120</v>
      </c>
      <c r="D30984" s="7">
        <v>0.74</v>
      </c>
      <c r="E30984" t="s">
        <v>36</v>
      </c>
    </row>
    <row r="30985" spans="1:5" x14ac:dyDescent="0.25">
      <c r="A30985" t="str">
        <f>HYPERLINK("https://www.773grp.com/globalSearch/MC74VHCT139ADR2G/page-1", "MC74VHCT139ADR2G")</f>
        <v>MC74VHCT139ADR2G</v>
      </c>
      <c r="B30985" s="3" t="str">
        <f>HYPERLINK("https://www.773grp.com/manufacturer/onsemi?pageNo=483", "ON Semiconductor")</f>
        <v>ON Semiconductor</v>
      </c>
      <c r="C30985" s="6">
        <v>4095</v>
      </c>
      <c r="D30985" s="7">
        <v>0.74</v>
      </c>
      <c r="E30985" t="s">
        <v>36</v>
      </c>
    </row>
    <row r="30986" spans="1:5" x14ac:dyDescent="0.25">
      <c r="A30986" t="str">
        <f>HYPERLINK("https://www.773grp.com/globalSearch/MC74VHCT139ADTG/page-1", "MC74VHCT139ADTG")</f>
        <v>MC74VHCT139ADTG</v>
      </c>
      <c r="B30986" s="3" t="str">
        <f>HYPERLINK("https://www.773grp.com/manufacturer/onsemi?pageNo=484", "ON Semiconductor")</f>
        <v>ON Semiconductor</v>
      </c>
      <c r="C30986" s="6">
        <v>2496</v>
      </c>
      <c r="D30986" s="7">
        <v>0.74</v>
      </c>
      <c r="E30986" t="s">
        <v>36</v>
      </c>
    </row>
    <row r="30987" spans="1:5" x14ac:dyDescent="0.25">
      <c r="A30987" t="str">
        <f>HYPERLINK("https://www.773grp.com/globalSearch/MC74VHCT139ADTRG/page-1", "MC74VHCT139ADTRG")</f>
        <v>MC74VHCT139ADTRG</v>
      </c>
      <c r="B30987" s="3" t="str">
        <f>HYPERLINK("https://www.773grp.com/manufacturer/onsemi?pageNo=485", "ON Semiconductor")</f>
        <v>ON Semiconductor</v>
      </c>
      <c r="C30987" s="6">
        <v>24900</v>
      </c>
      <c r="D30987" s="7">
        <v>0.74</v>
      </c>
      <c r="E30987" t="s">
        <v>36</v>
      </c>
    </row>
    <row r="30988" spans="1:5" x14ac:dyDescent="0.25">
      <c r="A30988" t="str">
        <f>HYPERLINK("https://www.773grp.com/globalSearch/MC74VHCT240AM/page-1", "MC74VHCT240AM")</f>
        <v>MC74VHCT240AM</v>
      </c>
      <c r="B30988" s="3" t="str">
        <f>HYPERLINK("https://www.773grp.com/manufacturer/onsemi?pageNo=486", "ON Semiconductor")</f>
        <v>ON Semiconductor</v>
      </c>
      <c r="C30988" s="6">
        <v>2000</v>
      </c>
      <c r="D30988" s="7">
        <v>0.74</v>
      </c>
      <c r="E30988" t="s">
        <v>14</v>
      </c>
    </row>
    <row r="30989" spans="1:5" x14ac:dyDescent="0.25">
      <c r="A30989" t="str">
        <f>HYPERLINK("https://www.773grp.com/globalSearch/MC74VHCT245AM/page-1", "MC74VHCT245AM")</f>
        <v>MC74VHCT245AM</v>
      </c>
      <c r="B30989" s="3" t="str">
        <f>HYPERLINK("https://www.773grp.com/manufacturer/onsemi?pageNo=487", "ON Semiconductor")</f>
        <v>ON Semiconductor</v>
      </c>
      <c r="C30989" s="6">
        <v>9692</v>
      </c>
      <c r="D30989" s="7">
        <v>0.74</v>
      </c>
      <c r="E30989" t="s">
        <v>14</v>
      </c>
    </row>
    <row r="30990" spans="1:5" x14ac:dyDescent="0.25">
      <c r="A30990" t="str">
        <f>HYPERLINK("https://www.773grp.com/globalSearch/MC74VHCT245AM/page-1", "MC74VHCT245AM")</f>
        <v>MC74VHCT245AM</v>
      </c>
      <c r="B30990" s="3" t="str">
        <f>HYPERLINK("https://www.773grp.com/manufacturer/onsemi?pageNo=488", "ON Semiconductor")</f>
        <v>ON Semiconductor</v>
      </c>
      <c r="C30990" s="6">
        <v>5480</v>
      </c>
      <c r="D30990" s="7">
        <v>0.74</v>
      </c>
      <c r="E30990" t="s">
        <v>14</v>
      </c>
    </row>
    <row r="30991" spans="1:5" x14ac:dyDescent="0.25">
      <c r="A30991" t="str">
        <f>HYPERLINK("https://www.773grp.com/globalSearch/MC74VHCT257ADG/page-1", "MC74VHCT257ADG")</f>
        <v>MC74VHCT257ADG</v>
      </c>
      <c r="B30991" s="3" t="str">
        <f>HYPERLINK("https://www.773grp.com/manufacturer/onsemi?pageNo=489", "ON Semiconductor")</f>
        <v>ON Semiconductor</v>
      </c>
      <c r="C30991" s="6">
        <v>27696</v>
      </c>
      <c r="D30991" s="7">
        <v>0.74</v>
      </c>
      <c r="E30991" t="s">
        <v>20</v>
      </c>
    </row>
    <row r="30992" spans="1:5" x14ac:dyDescent="0.25">
      <c r="A30992" t="str">
        <f>HYPERLINK("https://www.773grp.com/globalSearch/MC74VHCT257ADR2G/page-1", "MC74VHCT257ADR2G")</f>
        <v>MC74VHCT257ADR2G</v>
      </c>
      <c r="B30992" s="3" t="str">
        <f>HYPERLINK("https://www.773grp.com/manufacturer/onsemi?pageNo=490", "ON Semiconductor")</f>
        <v>ON Semiconductor</v>
      </c>
      <c r="C30992" s="6">
        <v>20000</v>
      </c>
      <c r="D30992" s="7">
        <v>0.74</v>
      </c>
      <c r="E30992" t="s">
        <v>20</v>
      </c>
    </row>
    <row r="30993" spans="1:5" x14ac:dyDescent="0.25">
      <c r="A30993" t="str">
        <f>HYPERLINK("https://www.773grp.com/globalSearch/MC74VHCT257ADTR2/page-1", "MC74VHCT257ADTR2")</f>
        <v>MC74VHCT257ADTR2</v>
      </c>
      <c r="B30993" s="3" t="str">
        <f>HYPERLINK("https://www.773grp.com/manufacturer/onsemi?pageNo=491", "ON Semiconductor")</f>
        <v>ON Semiconductor</v>
      </c>
      <c r="C30993" s="6">
        <v>2500</v>
      </c>
      <c r="D30993" s="7">
        <v>0.74</v>
      </c>
      <c r="E30993" t="s">
        <v>20</v>
      </c>
    </row>
    <row r="30994" spans="1:5" x14ac:dyDescent="0.25">
      <c r="A30994" t="str">
        <f>HYPERLINK("https://www.773grp.com/globalSearch/MC74VHCT259ADG/page-1", "MC74VHCT259ADG")</f>
        <v>MC74VHCT259ADG</v>
      </c>
      <c r="B30994" s="3" t="str">
        <f>HYPERLINK("https://www.773grp.com/manufacturer/onsemi?pageNo=492", "ON Semiconductor")</f>
        <v>ON Semiconductor</v>
      </c>
      <c r="C30994" s="6">
        <v>2880</v>
      </c>
      <c r="D30994" s="7">
        <v>0.74</v>
      </c>
      <c r="E30994" t="s">
        <v>36</v>
      </c>
    </row>
    <row r="30995" spans="1:5" x14ac:dyDescent="0.25">
      <c r="A30995" t="str">
        <f>HYPERLINK("https://www.773grp.com/globalSearch/MC74VHCT259ADR2G/page-1", "MC74VHCT259ADR2G")</f>
        <v>MC74VHCT259ADR2G</v>
      </c>
      <c r="B30995" s="3" t="str">
        <f>HYPERLINK("https://www.773grp.com/manufacturer/onsemi?pageNo=493", "ON Semiconductor")</f>
        <v>ON Semiconductor</v>
      </c>
      <c r="C30995" s="6">
        <v>62500</v>
      </c>
      <c r="D30995" s="7">
        <v>0.74</v>
      </c>
      <c r="E30995" t="s">
        <v>36</v>
      </c>
    </row>
    <row r="30996" spans="1:5" x14ac:dyDescent="0.25">
      <c r="A30996" t="str">
        <f>HYPERLINK("https://www.773grp.com/globalSearch/MC74VHCT259ADTG/page-1", "MC74VHCT259ADTG")</f>
        <v>MC74VHCT259ADTG</v>
      </c>
      <c r="B30996" s="3" t="str">
        <f>HYPERLINK("https://www.773grp.com/manufacturer/onsemi?pageNo=494", "ON Semiconductor")</f>
        <v>ON Semiconductor</v>
      </c>
      <c r="C30996" s="6">
        <v>7872</v>
      </c>
      <c r="D30996" s="7">
        <v>0.74</v>
      </c>
      <c r="E30996" t="s">
        <v>36</v>
      </c>
    </row>
    <row r="30997" spans="1:5" x14ac:dyDescent="0.25">
      <c r="A30997" t="str">
        <f>HYPERLINK("https://www.773grp.com/globalSearch/MC74VHCT259ADTRG/page-1", "MC74VHCT259ADTRG")</f>
        <v>MC74VHCT259ADTRG</v>
      </c>
      <c r="B30997" s="3" t="str">
        <f>HYPERLINK("https://www.773grp.com/manufacturer/onsemi?pageNo=495", "ON Semiconductor")</f>
        <v>ON Semiconductor</v>
      </c>
      <c r="C30997" s="6">
        <v>9621</v>
      </c>
      <c r="D30997" s="7">
        <v>0.74</v>
      </c>
      <c r="E30997" t="s">
        <v>36</v>
      </c>
    </row>
    <row r="30998" spans="1:5" x14ac:dyDescent="0.25">
      <c r="A30998" t="str">
        <f>HYPERLINK("https://www.773grp.com/globalSearch/MC74VHCT373AM/page-1", "MC74VHCT373AM")</f>
        <v>MC74VHCT373AM</v>
      </c>
      <c r="B30998" s="3" t="str">
        <f>HYPERLINK("https://www.773grp.com/manufacturer/onsemi?pageNo=496", "ON Semiconductor")</f>
        <v>ON Semiconductor</v>
      </c>
      <c r="C30998" s="6">
        <v>9480</v>
      </c>
      <c r="D30998" s="7">
        <v>0.74</v>
      </c>
      <c r="E30998" t="s">
        <v>14</v>
      </c>
    </row>
    <row r="30999" spans="1:5" x14ac:dyDescent="0.25">
      <c r="A30999" t="str">
        <f>HYPERLINK("https://www.773grp.com/globalSearch/MC74VHCT373AMEL/page-1", "MC74VHCT373AMEL")</f>
        <v>MC74VHCT373AMEL</v>
      </c>
      <c r="B30999" s="3" t="str">
        <f>HYPERLINK("https://www.773grp.com/manufacturer/onsemi?pageNo=497", "ON Semiconductor")</f>
        <v>ON Semiconductor</v>
      </c>
      <c r="C30999" s="6">
        <v>8000</v>
      </c>
      <c r="D30999" s="7">
        <v>0.74</v>
      </c>
      <c r="E30999" t="s">
        <v>14</v>
      </c>
    </row>
    <row r="31000" spans="1:5" x14ac:dyDescent="0.25">
      <c r="A31000" t="str">
        <f>HYPERLINK("https://www.773grp.com/globalSearch/MC74VHCT374AM/page-1", "MC74VHCT374AM")</f>
        <v>MC74VHCT374AM</v>
      </c>
      <c r="B31000" s="3" t="str">
        <f>HYPERLINK("https://www.773grp.com/manufacturer/onsemi?pageNo=498", "ON Semiconductor")</f>
        <v>ON Semiconductor</v>
      </c>
      <c r="C31000" s="6">
        <v>8080</v>
      </c>
      <c r="D31000" s="7">
        <v>0.74</v>
      </c>
      <c r="E31000" t="s">
        <v>14</v>
      </c>
    </row>
    <row r="31001" spans="1:5" x14ac:dyDescent="0.25">
      <c r="A31001" t="str">
        <f>HYPERLINK("https://www.773grp.com/globalSearch/MC74VHCT573AM/page-1", "MC74VHCT573AM")</f>
        <v>MC74VHCT573AM</v>
      </c>
      <c r="B31001" s="3" t="str">
        <f>HYPERLINK("https://www.773grp.com/manufacturer/onsemi?pageNo=499", "ON Semiconductor")</f>
        <v>ON Semiconductor</v>
      </c>
      <c r="C31001" s="6">
        <v>13040</v>
      </c>
      <c r="D31001" s="7">
        <v>0.74</v>
      </c>
      <c r="E31001" t="s">
        <v>14</v>
      </c>
    </row>
    <row r="31002" spans="1:5" x14ac:dyDescent="0.25">
      <c r="A31002" t="str">
        <f>HYPERLINK("https://www.773grp.com/globalSearch/MC74VHCT573AMEL/page-1", "MC74VHCT573AMEL")</f>
        <v>MC74VHCT573AMEL</v>
      </c>
      <c r="B31002" s="3" t="str">
        <f>HYPERLINK("https://www.773grp.com/manufacturer/onsemi?pageNo=500", "ON Semiconductor")</f>
        <v>ON Semiconductor</v>
      </c>
      <c r="C31002" s="6">
        <v>8000</v>
      </c>
      <c r="D31002" s="7">
        <v>0.74</v>
      </c>
      <c r="E31002" t="s">
        <v>14</v>
      </c>
    </row>
    <row r="31003" spans="1:5" x14ac:dyDescent="0.25">
      <c r="A31003" t="str">
        <f>HYPERLINK("https://www.773grp.com/globalSearch/MC74VHCT574AM/page-1", "MC74VHCT574AM")</f>
        <v>MC74VHCT574AM</v>
      </c>
      <c r="B31003" s="3" t="str">
        <f>HYPERLINK("https://www.773grp.com/manufacturer/onsemi?pageNo=501", "ON Semiconductor")</f>
        <v>ON Semiconductor</v>
      </c>
      <c r="C31003" s="6">
        <v>10520</v>
      </c>
      <c r="D31003" s="7">
        <v>0.74</v>
      </c>
      <c r="E31003" t="s">
        <v>14</v>
      </c>
    </row>
    <row r="31004" spans="1:5" x14ac:dyDescent="0.25">
      <c r="A31004" t="str">
        <f>HYPERLINK("https://www.773grp.com/globalSearch/MC74VHCT574AMEL/page-1", "MC74VHCT574AMEL")</f>
        <v>MC74VHCT574AMEL</v>
      </c>
      <c r="B31004" s="3" t="str">
        <f>HYPERLINK("https://www.773grp.com/manufacturer/onsemi?pageNo=502", "ON Semiconductor")</f>
        <v>ON Semiconductor</v>
      </c>
      <c r="C31004" s="6">
        <v>8000</v>
      </c>
      <c r="D31004" s="7">
        <v>0.74</v>
      </c>
      <c r="E31004" t="s">
        <v>14</v>
      </c>
    </row>
    <row r="31005" spans="1:5" x14ac:dyDescent="0.25">
      <c r="A31005" t="str">
        <f>HYPERLINK("https://www.773grp.com/globalSearch/MC7808ABT/page-1", "MC7808ABT")</f>
        <v>MC7808ABT</v>
      </c>
      <c r="B31005" s="3" t="str">
        <f>HYPERLINK("https://www.773grp.com/manufacturer/onsemi?pageNo=503", "ON Semiconductor")</f>
        <v>ON Semiconductor</v>
      </c>
      <c r="C31005" s="6">
        <v>5250</v>
      </c>
      <c r="D31005" s="7">
        <v>0.74</v>
      </c>
      <c r="E31005" t="s">
        <v>28</v>
      </c>
    </row>
    <row r="31006" spans="1:5" x14ac:dyDescent="0.25">
      <c r="A31006" t="str">
        <f>HYPERLINK("https://www.773grp.com/globalSearch/MC7815ABT/page-1", "MC7815ABT")</f>
        <v>MC7815ABT</v>
      </c>
      <c r="B31006" s="3" t="str">
        <f>HYPERLINK("https://www.773grp.com/manufacturer/onsemi?pageNo=504", "ON Semiconductor")</f>
        <v>ON Semiconductor</v>
      </c>
      <c r="C31006" s="6">
        <v>16793</v>
      </c>
      <c r="D31006" s="7">
        <v>0.74</v>
      </c>
      <c r="E31006" t="s">
        <v>28</v>
      </c>
    </row>
    <row r="31007" spans="1:5" x14ac:dyDescent="0.25">
      <c r="A31007" t="str">
        <f>HYPERLINK("https://www.773grp.com/globalSearch/MC78LC15NTR/page-1", "MC78LC15NTR")</f>
        <v>MC78LC15NTR</v>
      </c>
      <c r="B31007" s="3" t="str">
        <f>HYPERLINK("https://www.773grp.com/manufacturer/onsemi?pageNo=505", "ON Semiconductor")</f>
        <v>ON Semiconductor</v>
      </c>
      <c r="C31007" s="6">
        <v>26939</v>
      </c>
      <c r="D31007" s="7">
        <v>0.74</v>
      </c>
      <c r="E31007" t="s">
        <v>19</v>
      </c>
    </row>
    <row r="31008" spans="1:5" x14ac:dyDescent="0.25">
      <c r="A31008" t="str">
        <f>HYPERLINK("https://www.773grp.com/globalSearch/MC78LC18NTR/page-1", "MC78LC18NTR")</f>
        <v>MC78LC18NTR</v>
      </c>
      <c r="B31008" s="3" t="str">
        <f>HYPERLINK("https://www.773grp.com/manufacturer/onsemi?pageNo=506", "ON Semiconductor")</f>
        <v>ON Semiconductor</v>
      </c>
      <c r="C31008" s="6">
        <v>44966</v>
      </c>
      <c r="D31008" s="7">
        <v>0.74</v>
      </c>
      <c r="E31008" t="s">
        <v>19</v>
      </c>
    </row>
    <row r="31009" spans="1:5" x14ac:dyDescent="0.25">
      <c r="A31009" t="str">
        <f>HYPERLINK("https://www.773grp.com/globalSearch/MC78LC28NTR/page-1", "MC78LC28NTR")</f>
        <v>MC78LC28NTR</v>
      </c>
      <c r="B31009" s="3" t="str">
        <f>HYPERLINK("https://www.773grp.com/manufacturer/onsemi?pageNo=507", "ON Semiconductor")</f>
        <v>ON Semiconductor</v>
      </c>
      <c r="C31009" s="6">
        <v>700</v>
      </c>
      <c r="D31009" s="7">
        <v>0.74</v>
      </c>
      <c r="E31009" t="s">
        <v>19</v>
      </c>
    </row>
    <row r="31010" spans="1:5" x14ac:dyDescent="0.25">
      <c r="A31010" t="str">
        <f>HYPERLINK("https://www.773grp.com/globalSearch/MC78LC40HT1/page-1", "MC78LC40HT1")</f>
        <v>MC78LC40HT1</v>
      </c>
      <c r="B31010" s="3" t="str">
        <f>HYPERLINK("https://www.773grp.com/manufacturer/onsemi?pageNo=508", "ON Semiconductor")</f>
        <v>ON Semiconductor</v>
      </c>
      <c r="C31010" s="6">
        <v>26000</v>
      </c>
      <c r="D31010" s="7">
        <v>0.74</v>
      </c>
      <c r="E31010" t="s">
        <v>19</v>
      </c>
    </row>
    <row r="31011" spans="1:5" x14ac:dyDescent="0.25">
      <c r="A31011" t="str">
        <f>HYPERLINK("https://www.773grp.com/globalSearch/MC78LC40NTR/page-1", "MC78LC40NTR")</f>
        <v>MC78LC40NTR</v>
      </c>
      <c r="B31011" s="3" t="str">
        <f>HYPERLINK("https://www.773grp.com/manufacturer/onsemi?pageNo=509", "ON Semiconductor")</f>
        <v>ON Semiconductor</v>
      </c>
      <c r="C31011" s="6">
        <v>33000</v>
      </c>
      <c r="D31011" s="7">
        <v>0.74</v>
      </c>
      <c r="E31011" t="s">
        <v>19</v>
      </c>
    </row>
    <row r="31012" spans="1:5" x14ac:dyDescent="0.25">
      <c r="A31012" t="str">
        <f>HYPERLINK("https://www.773grp.com/globalSearch/MC78LC50HT1/page-1", "MC78LC50HT1")</f>
        <v>MC78LC50HT1</v>
      </c>
      <c r="B31012" s="3" t="str">
        <f>HYPERLINK("https://www.773grp.com/manufacturer/onsemi?pageNo=510", "ON Semiconductor")</f>
        <v>ON Semiconductor</v>
      </c>
      <c r="C31012" s="6">
        <v>21000</v>
      </c>
      <c r="D31012" s="7">
        <v>0.74</v>
      </c>
      <c r="E31012" t="s">
        <v>19</v>
      </c>
    </row>
    <row r="31013" spans="1:5" x14ac:dyDescent="0.25">
      <c r="A31013" t="str">
        <f>HYPERLINK("https://www.773grp.com/globalSearch/MC79M05BTG/page-1", "MC79M05BTG")</f>
        <v>MC79M05BTG</v>
      </c>
      <c r="B31013" s="3" t="str">
        <f>HYPERLINK("https://www.773grp.com/manufacturer/onsemi?pageNo=511", "ON Semiconductor")</f>
        <v>ON Semiconductor</v>
      </c>
      <c r="C31013" s="6">
        <v>1025</v>
      </c>
      <c r="D31013" s="7">
        <v>0.74</v>
      </c>
      <c r="E31013" t="s">
        <v>65</v>
      </c>
    </row>
    <row r="31014" spans="1:5" x14ac:dyDescent="0.25">
      <c r="A31014" t="str">
        <f>HYPERLINK("https://www.773grp.com/globalSearch/MC79M08BTG/page-1", "MC79M08BTG")</f>
        <v>MC79M08BTG</v>
      </c>
      <c r="B31014" s="3" t="str">
        <f>HYPERLINK("https://www.773grp.com/manufacturer/onsemi?pageNo=512", "ON Semiconductor")</f>
        <v>ON Semiconductor</v>
      </c>
      <c r="C31014" s="6">
        <v>1000</v>
      </c>
      <c r="D31014" s="7">
        <v>0.74</v>
      </c>
      <c r="E31014" t="s">
        <v>65</v>
      </c>
    </row>
    <row r="31015" spans="1:5" x14ac:dyDescent="0.25">
      <c r="A31015" t="str">
        <f>HYPERLINK("https://www.773grp.com/globalSearch/MCR08MT1G/page-1", "MCR08MT1G")</f>
        <v>MCR08MT1G</v>
      </c>
      <c r="B31015" s="3" t="str">
        <f>HYPERLINK("https://www.773grp.com/manufacturer/onsemi?pageNo=513", "ON Semiconductor")</f>
        <v>ON Semiconductor</v>
      </c>
      <c r="C31015" s="6">
        <v>102248</v>
      </c>
      <c r="D31015" s="7">
        <v>0.74</v>
      </c>
      <c r="E31015" t="s">
        <v>97</v>
      </c>
    </row>
    <row r="31016" spans="1:5" x14ac:dyDescent="0.25">
      <c r="A31016" t="str">
        <f>HYPERLINK("https://www.773grp.com/globalSearch/MGSF3433VT1/page-1", "MGSF3433VT1")</f>
        <v>MGSF3433VT1</v>
      </c>
      <c r="B31016" s="3" t="str">
        <f>HYPERLINK("https://www.773grp.com/manufacturer/onsemi?pageNo=514", "ON Semiconductor")</f>
        <v>ON Semiconductor</v>
      </c>
      <c r="C31016" s="6">
        <v>33000</v>
      </c>
      <c r="D31016" s="7">
        <v>0.74</v>
      </c>
    </row>
    <row r="31017" spans="1:5" x14ac:dyDescent="0.25">
      <c r="A31017" t="str">
        <f>HYPERLINK("https://www.773grp.com/globalSearch/MGSF3433VT1/page-1", "MGSF3433VT1")</f>
        <v>MGSF3433VT1</v>
      </c>
      <c r="B31017" s="3" t="str">
        <f>HYPERLINK("https://www.773grp.com/manufacturer/onsemi?pageNo=515", "ON Semiconductor")</f>
        <v>ON Semiconductor</v>
      </c>
      <c r="C31017" s="6">
        <v>2900</v>
      </c>
      <c r="D31017" s="7">
        <v>0.74</v>
      </c>
    </row>
    <row r="31018" spans="1:5" x14ac:dyDescent="0.25">
      <c r="A31018" t="str">
        <f>HYPERLINK("https://www.773grp.com/globalSearch/MJD210RL/page-1", "MJD210RL")</f>
        <v>MJD210RL</v>
      </c>
      <c r="B31018" s="3" t="str">
        <f>HYPERLINK("https://www.773grp.com/manufacturer/onsemi?pageNo=516", "ON Semiconductor")</f>
        <v>ON Semiconductor</v>
      </c>
      <c r="C31018" s="6">
        <v>15900</v>
      </c>
      <c r="D31018" s="7">
        <v>0.74</v>
      </c>
      <c r="E31018" t="s">
        <v>59</v>
      </c>
    </row>
    <row r="31019" spans="1:5" x14ac:dyDescent="0.25">
      <c r="A31019" t="str">
        <f>HYPERLINK("https://www.773grp.com/globalSearch/MJD350T4/page-1", "MJD350T4")</f>
        <v>MJD350T4</v>
      </c>
      <c r="B31019" s="3" t="str">
        <f>HYPERLINK("https://www.773grp.com/manufacturer/onsemi?pageNo=517", "ON Semiconductor")</f>
        <v>ON Semiconductor</v>
      </c>
      <c r="C31019" s="6">
        <v>250048</v>
      </c>
      <c r="D31019" s="7">
        <v>0.74</v>
      </c>
      <c r="E31019" t="s">
        <v>59</v>
      </c>
    </row>
    <row r="31020" spans="1:5" x14ac:dyDescent="0.25">
      <c r="A31020" t="str">
        <f>HYPERLINK("https://www.773grp.com/globalSearch/MMBFJ310LT1/page-1", "MMBFJ310LT1")</f>
        <v>MMBFJ310LT1</v>
      </c>
      <c r="B31020" s="3" t="str">
        <f>HYPERLINK("https://www.773grp.com/manufacturer/onsemi?pageNo=518", "ON Semiconductor")</f>
        <v>ON Semiconductor</v>
      </c>
      <c r="C31020" s="6">
        <v>3000</v>
      </c>
      <c r="D31020" s="7">
        <v>0.74</v>
      </c>
      <c r="E31020" t="s">
        <v>104</v>
      </c>
    </row>
    <row r="31021" spans="1:5" x14ac:dyDescent="0.25">
      <c r="A31021" t="str">
        <f>HYPERLINK("https://www.773grp.com/globalSearch/MMFT960T1G/page-1", "MMFT960T1G")</f>
        <v>MMFT960T1G</v>
      </c>
      <c r="B31021" s="3" t="str">
        <f>HYPERLINK("https://www.773grp.com/manufacturer/onsemi?pageNo=519", "ON Semiconductor")</f>
        <v>ON Semiconductor</v>
      </c>
      <c r="C31021" s="6">
        <v>3000</v>
      </c>
      <c r="D31021" s="7">
        <v>0.74</v>
      </c>
    </row>
    <row r="31022" spans="1:5" x14ac:dyDescent="0.25">
      <c r="A31022" t="str">
        <f>HYPERLINK("https://www.773grp.com/globalSearch/MMSD301T1/page-1", "MMSD301T1")</f>
        <v>MMSD301T1</v>
      </c>
      <c r="B31022" s="3" t="str">
        <f>HYPERLINK("https://www.773grp.com/manufacturer/onsemi?pageNo=520", "ON Semiconductor")</f>
        <v>ON Semiconductor</v>
      </c>
      <c r="C31022" s="6">
        <v>60000</v>
      </c>
      <c r="D31022" s="7">
        <v>0.74</v>
      </c>
    </row>
    <row r="31023" spans="1:5" x14ac:dyDescent="0.25">
      <c r="A31023" t="str">
        <f>HYPERLINK("https://www.773grp.com/globalSearch/MMT08B064T3G/page-1", "MMT08B064T3G")</f>
        <v>MMT08B064T3G</v>
      </c>
      <c r="B31023" s="3" t="str">
        <f>HYPERLINK("https://www.773grp.com/manufacturer/onsemi?pageNo=521", "ON Semiconductor")</f>
        <v>ON Semiconductor</v>
      </c>
      <c r="C31023" s="6">
        <v>2500</v>
      </c>
      <c r="D31023" s="7">
        <v>0.74</v>
      </c>
    </row>
    <row r="31024" spans="1:5" x14ac:dyDescent="0.25">
      <c r="A31024" t="str">
        <f>HYPERLINK("https://www.773grp.com/globalSearch/MMT08B260T3G/page-1", "MMT08B260T3G")</f>
        <v>MMT08B260T3G</v>
      </c>
      <c r="B31024" s="3" t="str">
        <f>HYPERLINK("https://www.773grp.com/manufacturer/onsemi?pageNo=522", "ON Semiconductor")</f>
        <v>ON Semiconductor</v>
      </c>
      <c r="C31024" s="6">
        <v>10000</v>
      </c>
      <c r="D31024" s="7">
        <v>0.74</v>
      </c>
      <c r="E31024" t="s">
        <v>109</v>
      </c>
    </row>
    <row r="31025" spans="1:5" x14ac:dyDescent="0.25">
      <c r="A31025" t="str">
        <f>HYPERLINK("https://www.773grp.com/globalSearch/MMT08B310T3G/page-1", "MMT08B310T3G")</f>
        <v>MMT08B310T3G</v>
      </c>
      <c r="B31025" s="3" t="str">
        <f>HYPERLINK("https://www.773grp.com/manufacturer/onsemi?pageNo=523", "ON Semiconductor")</f>
        <v>ON Semiconductor</v>
      </c>
      <c r="C31025" s="6">
        <v>5000</v>
      </c>
      <c r="D31025" s="7">
        <v>0.74</v>
      </c>
      <c r="E31025" t="s">
        <v>109</v>
      </c>
    </row>
    <row r="31026" spans="1:5" x14ac:dyDescent="0.25">
      <c r="A31026" t="str">
        <f>HYPERLINK("https://www.773grp.com/globalSearch/MMT08B350T3G/page-1", "MMT08B350T3G")</f>
        <v>MMT08B350T3G</v>
      </c>
      <c r="B31026" s="3" t="str">
        <f>HYPERLINK("https://www.773grp.com/manufacturer/onsemi?pageNo=524", "ON Semiconductor")</f>
        <v>ON Semiconductor</v>
      </c>
      <c r="C31026" s="6">
        <v>15000</v>
      </c>
      <c r="D31026" s="7">
        <v>0.74</v>
      </c>
      <c r="E31026" t="s">
        <v>109</v>
      </c>
    </row>
    <row r="31027" spans="1:5" x14ac:dyDescent="0.25">
      <c r="A31027" t="str">
        <f>HYPERLINK("https://www.773grp.com/globalSearch/MURA160T3H/page-1", "MURA160T3H")</f>
        <v>MURA160T3H</v>
      </c>
      <c r="B31027" s="3" t="str">
        <f>HYPERLINK("https://www.773grp.com/manufacturer/onsemi?pageNo=525", "ON Semiconductor")</f>
        <v>ON Semiconductor</v>
      </c>
      <c r="C31027" s="6">
        <v>5000</v>
      </c>
      <c r="D31027" s="7">
        <v>0.74</v>
      </c>
    </row>
    <row r="31028" spans="1:5" x14ac:dyDescent="0.25">
      <c r="A31028" t="str">
        <f>HYPERLINK("https://www.773grp.com/globalSearch/NCP1117DT18RK/page-1", "NCP1117DT18RK")</f>
        <v>NCP1117DT18RK</v>
      </c>
      <c r="B31028" s="3" t="str">
        <f>HYPERLINK("https://www.773grp.com/manufacturer/onsemi?pageNo=526", "ON Semiconductor")</f>
        <v>ON Semiconductor</v>
      </c>
      <c r="C31028" s="6">
        <v>5000</v>
      </c>
      <c r="D31028" s="7">
        <v>0.74</v>
      </c>
      <c r="E31028" t="s">
        <v>19</v>
      </c>
    </row>
    <row r="31029" spans="1:5" x14ac:dyDescent="0.25">
      <c r="A31029" t="str">
        <f>HYPERLINK("https://www.773grp.com/globalSearch/NCP1117DTARK/page-1", "NCP1117DTARK")</f>
        <v>NCP1117DTARK</v>
      </c>
      <c r="B31029" s="3" t="str">
        <f>HYPERLINK("https://www.773grp.com/manufacturer/onsemi?pageNo=527", "ON Semiconductor")</f>
        <v>ON Semiconductor</v>
      </c>
      <c r="C31029" s="6">
        <v>55000</v>
      </c>
      <c r="D31029" s="7">
        <v>0.74</v>
      </c>
      <c r="E31029" t="s">
        <v>25</v>
      </c>
    </row>
    <row r="31030" spans="1:5" x14ac:dyDescent="0.25">
      <c r="A31030" t="str">
        <f>HYPERLINK("https://www.773grp.com/globalSearch/NCP1117ST12T3/page-1", "NCP1117ST12T3")</f>
        <v>NCP1117ST12T3</v>
      </c>
      <c r="B31030" s="3" t="str">
        <f>HYPERLINK("https://www.773grp.com/manufacturer/onsemi?pageNo=528", "ON Semiconductor")</f>
        <v>ON Semiconductor</v>
      </c>
      <c r="C31030" s="6">
        <v>3995</v>
      </c>
      <c r="D31030" s="7">
        <v>0.74</v>
      </c>
      <c r="E31030" t="s">
        <v>19</v>
      </c>
    </row>
    <row r="31031" spans="1:5" x14ac:dyDescent="0.25">
      <c r="A31031" t="str">
        <f>HYPERLINK("https://www.773grp.com/globalSearch/NCP1117ST15T3/page-1", "NCP1117ST15T3")</f>
        <v>NCP1117ST15T3</v>
      </c>
      <c r="B31031" s="3" t="str">
        <f>HYPERLINK("https://www.773grp.com/manufacturer/onsemi?pageNo=529", "ON Semiconductor")</f>
        <v>ON Semiconductor</v>
      </c>
      <c r="C31031" s="6">
        <v>3780</v>
      </c>
      <c r="D31031" s="7">
        <v>0.74</v>
      </c>
      <c r="E31031" t="s">
        <v>19</v>
      </c>
    </row>
    <row r="31032" spans="1:5" x14ac:dyDescent="0.25">
      <c r="A31032" t="str">
        <f>HYPERLINK("https://www.773grp.com/globalSearch/NCP1117ST18T3/page-1", "NCP1117ST18T3")</f>
        <v>NCP1117ST18T3</v>
      </c>
      <c r="B31032" s="3" t="str">
        <f>HYPERLINK("https://www.773grp.com/manufacturer/onsemi?pageNo=530", "ON Semiconductor")</f>
        <v>ON Semiconductor</v>
      </c>
      <c r="C31032" s="6">
        <v>3944</v>
      </c>
      <c r="D31032" s="7">
        <v>0.74</v>
      </c>
      <c r="E31032" t="s">
        <v>19</v>
      </c>
    </row>
    <row r="31033" spans="1:5" x14ac:dyDescent="0.25">
      <c r="A31033" t="str">
        <f>HYPERLINK("https://www.773grp.com/globalSearch/NCP1117ST20T3/page-1", "NCP1117ST20T3")</f>
        <v>NCP1117ST20T3</v>
      </c>
      <c r="B31033" s="3" t="str">
        <f>HYPERLINK("https://www.773grp.com/manufacturer/onsemi?pageNo=531", "ON Semiconductor")</f>
        <v>ON Semiconductor</v>
      </c>
      <c r="C31033" s="6">
        <v>8000</v>
      </c>
      <c r="D31033" s="7">
        <v>0.74</v>
      </c>
      <c r="E31033" t="s">
        <v>19</v>
      </c>
    </row>
    <row r="31034" spans="1:5" x14ac:dyDescent="0.25">
      <c r="A31034" t="str">
        <f>HYPERLINK("https://www.773grp.com/globalSearch/NCP1117ST25T3/page-1", "NCP1117ST25T3")</f>
        <v>NCP1117ST25T3</v>
      </c>
      <c r="B31034" s="3" t="str">
        <f>HYPERLINK("https://www.773grp.com/manufacturer/onsemi?pageNo=532", "ON Semiconductor")</f>
        <v>ON Semiconductor</v>
      </c>
      <c r="C31034" s="6">
        <v>4000</v>
      </c>
      <c r="D31034" s="7">
        <v>0.74</v>
      </c>
      <c r="E31034" t="s">
        <v>19</v>
      </c>
    </row>
    <row r="31035" spans="1:5" x14ac:dyDescent="0.25">
      <c r="A31035" t="str">
        <f>HYPERLINK("https://www.773grp.com/globalSearch/NCP1117ST285T3/page-1", "NCP1117ST285T3")</f>
        <v>NCP1117ST285T3</v>
      </c>
      <c r="B31035" s="3" t="str">
        <f>HYPERLINK("https://www.773grp.com/manufacturer/onsemi?pageNo=533", "ON Semiconductor")</f>
        <v>ON Semiconductor</v>
      </c>
      <c r="C31035" s="6">
        <v>4000</v>
      </c>
      <c r="D31035" s="7">
        <v>0.74</v>
      </c>
      <c r="E31035" t="s">
        <v>19</v>
      </c>
    </row>
    <row r="31036" spans="1:5" x14ac:dyDescent="0.25">
      <c r="A31036" t="str">
        <f>HYPERLINK("https://www.773grp.com/globalSearch/NCP1117ST33T3/page-1", "NCP1117ST33T3")</f>
        <v>NCP1117ST33T3</v>
      </c>
      <c r="B31036" s="3" t="str">
        <f>HYPERLINK("https://www.773grp.com/manufacturer/onsemi?pageNo=534", "ON Semiconductor")</f>
        <v>ON Semiconductor</v>
      </c>
      <c r="C31036" s="6">
        <v>161040</v>
      </c>
      <c r="D31036" s="7">
        <v>0.74</v>
      </c>
      <c r="E31036" t="s">
        <v>19</v>
      </c>
    </row>
    <row r="31037" spans="1:5" x14ac:dyDescent="0.25">
      <c r="A31037" t="str">
        <f>HYPERLINK("https://www.773grp.com/globalSearch/NCP1117ST50T3/page-1", "NCP1117ST50T3")</f>
        <v>NCP1117ST50T3</v>
      </c>
      <c r="B31037" s="3" t="str">
        <f>HYPERLINK("https://www.773grp.com/manufacturer/onsemi?pageNo=535", "ON Semiconductor")</f>
        <v>ON Semiconductor</v>
      </c>
      <c r="C31037" s="6">
        <v>203404</v>
      </c>
      <c r="D31037" s="7">
        <v>0.74</v>
      </c>
      <c r="E31037" t="s">
        <v>19</v>
      </c>
    </row>
    <row r="31038" spans="1:5" x14ac:dyDescent="0.25">
      <c r="A31038" t="str">
        <f>HYPERLINK("https://www.773grp.com/globalSearch/NCP1117STAT3/page-1", "NCP1117STAT3")</f>
        <v>NCP1117STAT3</v>
      </c>
      <c r="B31038" s="3" t="str">
        <f>HYPERLINK("https://www.773grp.com/manufacturer/onsemi?pageNo=536", "ON Semiconductor")</f>
        <v>ON Semiconductor</v>
      </c>
      <c r="C31038" s="6">
        <v>88096</v>
      </c>
      <c r="D31038" s="7">
        <v>0.74</v>
      </c>
      <c r="E31038" t="s">
        <v>25</v>
      </c>
    </row>
    <row r="31039" spans="1:5" x14ac:dyDescent="0.25">
      <c r="A31039" t="str">
        <f>HYPERLINK("https://www.773grp.com/globalSearch/NCP1250BSN65T1G/page-1", "NCP1250BSN65T1G")</f>
        <v>NCP1250BSN65T1G</v>
      </c>
      <c r="B31039" s="3" t="str">
        <f>HYPERLINK("https://www.773grp.com/manufacturer/onsemi?pageNo=537", "ON Semiconductor")</f>
        <v>ON Semiconductor</v>
      </c>
      <c r="C31039" s="6">
        <v>9000</v>
      </c>
      <c r="D31039" s="7">
        <v>0.74</v>
      </c>
    </row>
    <row r="31040" spans="1:5" x14ac:dyDescent="0.25">
      <c r="A31040" t="str">
        <f>HYPERLINK("https://www.773grp.com/globalSearch/NCP1251ASN100T1G/page-1", "NCP1251ASN100T1G")</f>
        <v>NCP1251ASN100T1G</v>
      </c>
      <c r="B31040" s="3" t="str">
        <f>HYPERLINK("https://www.773grp.com/manufacturer/onsemi?pageNo=538", "ON Semiconductor")</f>
        <v>ON Semiconductor</v>
      </c>
      <c r="C31040" s="6">
        <v>15000</v>
      </c>
      <c r="D31040" s="7">
        <v>0.74</v>
      </c>
    </row>
    <row r="31041" spans="1:5" x14ac:dyDescent="0.25">
      <c r="A31041" t="str">
        <f>HYPERLINK("https://www.773grp.com/globalSearch/NCP1251BSN65T1G/page-1", "NCP1251BSN65T1G")</f>
        <v>NCP1251BSN65T1G</v>
      </c>
      <c r="B31041" s="3" t="str">
        <f>HYPERLINK("https://www.773grp.com/manufacturer/onsemi?pageNo=539", "ON Semiconductor")</f>
        <v>ON Semiconductor</v>
      </c>
      <c r="C31041" s="6">
        <v>1153</v>
      </c>
      <c r="D31041" s="7">
        <v>0.74</v>
      </c>
    </row>
    <row r="31042" spans="1:5" x14ac:dyDescent="0.25">
      <c r="A31042" t="str">
        <f>HYPERLINK("https://www.773grp.com/globalSearch/NCP2890AFCT2G/page-1", "NCP2890AFCT2G")</f>
        <v>NCP2890AFCT2G</v>
      </c>
      <c r="B31042" s="3" t="str">
        <f>HYPERLINK("https://www.773grp.com/manufacturer/onsemi?pageNo=540", "ON Semiconductor")</f>
        <v>ON Semiconductor</v>
      </c>
      <c r="C31042" s="6">
        <v>112658</v>
      </c>
      <c r="D31042" s="7">
        <v>0.74</v>
      </c>
      <c r="E31042" t="s">
        <v>18</v>
      </c>
    </row>
    <row r="31043" spans="1:5" x14ac:dyDescent="0.25">
      <c r="A31043" t="str">
        <f>HYPERLINK("https://www.773grp.com/globalSearch/NCP2892AFCT2G/page-1", "NCP2892AFCT2G")</f>
        <v>NCP2892AFCT2G</v>
      </c>
      <c r="B31043" s="3" t="str">
        <f>HYPERLINK("https://www.773grp.com/manufacturer/onsemi?pageNo=541", "ON Semiconductor")</f>
        <v>ON Semiconductor</v>
      </c>
      <c r="C31043" s="6">
        <v>487009</v>
      </c>
      <c r="D31043" s="7">
        <v>0.74</v>
      </c>
      <c r="E31043" t="s">
        <v>18</v>
      </c>
    </row>
    <row r="31044" spans="1:5" x14ac:dyDescent="0.25">
      <c r="A31044" t="str">
        <f>HYPERLINK("https://www.773grp.com/globalSearch/NCP2892BFCT2G/page-1", "NCP2892BFCT2G")</f>
        <v>NCP2892BFCT2G</v>
      </c>
      <c r="B31044" s="3" t="str">
        <f>HYPERLINK("https://www.773grp.com/manufacturer/onsemi?pageNo=542", "ON Semiconductor")</f>
        <v>ON Semiconductor</v>
      </c>
      <c r="C31044" s="6">
        <v>2256000</v>
      </c>
      <c r="D31044" s="7">
        <v>0.74</v>
      </c>
      <c r="E31044" t="s">
        <v>18</v>
      </c>
    </row>
    <row r="31045" spans="1:5" x14ac:dyDescent="0.25">
      <c r="A31045" t="str">
        <f>HYPERLINK("https://www.773grp.com/globalSearch/NCP2990FCT2G/page-1", "NCP2990FCT2G")</f>
        <v>NCP2990FCT2G</v>
      </c>
      <c r="B31045" s="3" t="str">
        <f>HYPERLINK("https://www.773grp.com/manufacturer/onsemi?pageNo=543", "ON Semiconductor")</f>
        <v>ON Semiconductor</v>
      </c>
      <c r="C31045" s="6">
        <v>5190000</v>
      </c>
      <c r="D31045" s="7">
        <v>0.74</v>
      </c>
      <c r="E31045" t="s">
        <v>18</v>
      </c>
    </row>
    <row r="31046" spans="1:5" x14ac:dyDescent="0.25">
      <c r="A31046" t="str">
        <f>HYPERLINK("https://www.773grp.com/globalSearch/NCP2991FCT2G/page-1", "NCP2991FCT2G")</f>
        <v>NCP2991FCT2G</v>
      </c>
      <c r="B31046" s="3" t="str">
        <f>HYPERLINK("https://www.773grp.com/manufacturer/onsemi?pageNo=544", "ON Semiconductor")</f>
        <v>ON Semiconductor</v>
      </c>
      <c r="C31046" s="6">
        <v>96594</v>
      </c>
      <c r="D31046" s="7">
        <v>0.74</v>
      </c>
      <c r="E31046" t="s">
        <v>18</v>
      </c>
    </row>
    <row r="31047" spans="1:5" x14ac:dyDescent="0.25">
      <c r="A31047" t="str">
        <f>HYPERLINK("https://www.773grp.com/globalSearch/NCP300HSN09T1/page-1", "NCP300HSN09T1")</f>
        <v>NCP300HSN09T1</v>
      </c>
      <c r="B31047" s="3" t="str">
        <f>HYPERLINK("https://www.773grp.com/manufacturer/onsemi?pageNo=545", "ON Semiconductor")</f>
        <v>ON Semiconductor</v>
      </c>
      <c r="C31047" s="6">
        <v>6000</v>
      </c>
      <c r="D31047" s="7">
        <v>0.74</v>
      </c>
      <c r="E31047" t="s">
        <v>30</v>
      </c>
    </row>
    <row r="31048" spans="1:5" x14ac:dyDescent="0.25">
      <c r="A31048" t="str">
        <f>HYPERLINK("https://www.773grp.com/globalSearch/NCP300LSN34T1/page-1", "NCP300LSN34T1")</f>
        <v>NCP300LSN34T1</v>
      </c>
      <c r="B31048" s="3" t="str">
        <f>HYPERLINK("https://www.773grp.com/manufacturer/onsemi?pageNo=546", "ON Semiconductor")</f>
        <v>ON Semiconductor</v>
      </c>
      <c r="C31048" s="6">
        <v>3000</v>
      </c>
      <c r="D31048" s="7">
        <v>0.74</v>
      </c>
      <c r="E31048" t="s">
        <v>30</v>
      </c>
    </row>
    <row r="31049" spans="1:5" x14ac:dyDescent="0.25">
      <c r="A31049" t="str">
        <f>HYPERLINK("https://www.773grp.com/globalSearch/NCP300LSN46T1/page-1", "NCP300LSN46T1")</f>
        <v>NCP300LSN46T1</v>
      </c>
      <c r="B31049" s="3" t="str">
        <f>HYPERLINK("https://www.773grp.com/manufacturer/onsemi?pageNo=547", "ON Semiconductor")</f>
        <v>ON Semiconductor</v>
      </c>
      <c r="C31049" s="6">
        <v>15000</v>
      </c>
      <c r="D31049" s="7">
        <v>0.74</v>
      </c>
      <c r="E31049" t="s">
        <v>30</v>
      </c>
    </row>
    <row r="31050" spans="1:5" x14ac:dyDescent="0.25">
      <c r="A31050" t="str">
        <f>HYPERLINK("https://www.773grp.com/globalSearch/NCP300LSN47T1/page-1", "NCP300LSN47T1")</f>
        <v>NCP300LSN47T1</v>
      </c>
      <c r="B31050" s="3" t="str">
        <f>HYPERLINK("https://www.773grp.com/manufacturer/onsemi?pageNo=548", "ON Semiconductor")</f>
        <v>ON Semiconductor</v>
      </c>
      <c r="C31050" s="6">
        <v>15000</v>
      </c>
      <c r="D31050" s="7">
        <v>0.74</v>
      </c>
      <c r="E31050" t="s">
        <v>30</v>
      </c>
    </row>
    <row r="31051" spans="1:5" x14ac:dyDescent="0.25">
      <c r="A31051" t="str">
        <f>HYPERLINK("https://www.773grp.com/globalSearch/NCP301HSN09T1/page-1", "NCP301HSN09T1")</f>
        <v>NCP301HSN09T1</v>
      </c>
      <c r="B31051" s="3" t="str">
        <f>HYPERLINK("https://www.773grp.com/manufacturer/onsemi?pageNo=549", "ON Semiconductor")</f>
        <v>ON Semiconductor</v>
      </c>
      <c r="C31051" s="6">
        <v>6000</v>
      </c>
      <c r="D31051" s="7">
        <v>0.74</v>
      </c>
      <c r="E31051" t="s">
        <v>30</v>
      </c>
    </row>
    <row r="31052" spans="1:5" x14ac:dyDescent="0.25">
      <c r="A31052" t="str">
        <f>HYPERLINK("https://www.773grp.com/globalSearch/NCP301HSN18T1/page-1", "NCP301HSN18T1")</f>
        <v>NCP301HSN18T1</v>
      </c>
      <c r="B31052" s="3" t="str">
        <f>HYPERLINK("https://www.773grp.com/manufacturer/onsemi?pageNo=550", "ON Semiconductor")</f>
        <v>ON Semiconductor</v>
      </c>
      <c r="C31052" s="6">
        <v>3000</v>
      </c>
      <c r="D31052" s="7">
        <v>0.74</v>
      </c>
      <c r="E31052" t="s">
        <v>30</v>
      </c>
    </row>
    <row r="31053" spans="1:5" x14ac:dyDescent="0.25">
      <c r="A31053" t="str">
        <f>HYPERLINK("https://www.773grp.com/globalSearch/NCP301HSN22T1/page-1", "NCP301HSN22T1")</f>
        <v>NCP301HSN22T1</v>
      </c>
      <c r="B31053" s="3" t="str">
        <f>HYPERLINK("https://www.773grp.com/manufacturer/onsemi?pageNo=551", "ON Semiconductor")</f>
        <v>ON Semiconductor</v>
      </c>
      <c r="C31053" s="6">
        <v>3000</v>
      </c>
      <c r="D31053" s="7">
        <v>0.74</v>
      </c>
      <c r="E31053" t="s">
        <v>30</v>
      </c>
    </row>
    <row r="31054" spans="1:5" x14ac:dyDescent="0.25">
      <c r="A31054" t="str">
        <f>HYPERLINK("https://www.773grp.com/globalSearch/NCP301HSN45T1/page-1", "NCP301HSN45T1")</f>
        <v>NCP301HSN45T1</v>
      </c>
      <c r="B31054" s="3" t="str">
        <f>HYPERLINK("https://www.773grp.com/manufacturer/onsemi?pageNo=552", "ON Semiconductor")</f>
        <v>ON Semiconductor</v>
      </c>
      <c r="C31054" s="6">
        <v>9000</v>
      </c>
      <c r="D31054" s="7">
        <v>0.74</v>
      </c>
      <c r="E31054" t="s">
        <v>30</v>
      </c>
    </row>
    <row r="31055" spans="1:5" x14ac:dyDescent="0.25">
      <c r="A31055" t="str">
        <f>HYPERLINK("https://www.773grp.com/globalSearch/NCP301LSN16T1/page-1", "NCP301LSN16T1")</f>
        <v>NCP301LSN16T1</v>
      </c>
      <c r="B31055" s="3" t="str">
        <f>HYPERLINK("https://www.773grp.com/manufacturer/onsemi?pageNo=553", "ON Semiconductor")</f>
        <v>ON Semiconductor</v>
      </c>
      <c r="C31055" s="6">
        <v>36000</v>
      </c>
      <c r="D31055" s="7">
        <v>0.74</v>
      </c>
      <c r="E31055" t="s">
        <v>30</v>
      </c>
    </row>
    <row r="31056" spans="1:5" x14ac:dyDescent="0.25">
      <c r="A31056" t="str">
        <f>HYPERLINK("https://www.773grp.com/globalSearch/NCP301LSN26T1/page-1", "NCP301LSN26T1")</f>
        <v>NCP301LSN26T1</v>
      </c>
      <c r="B31056" s="3" t="str">
        <f>HYPERLINK("https://www.773grp.com/manufacturer/onsemi?pageNo=554", "ON Semiconductor")</f>
        <v>ON Semiconductor</v>
      </c>
      <c r="C31056" s="6">
        <v>22900</v>
      </c>
      <c r="D31056" s="7">
        <v>0.74</v>
      </c>
      <c r="E31056" t="s">
        <v>30</v>
      </c>
    </row>
    <row r="31057" spans="1:5" x14ac:dyDescent="0.25">
      <c r="A31057" t="str">
        <f>HYPERLINK("https://www.773grp.com/globalSearch/NCP301LSN27T1/page-1", "NCP301LSN27T1")</f>
        <v>NCP301LSN27T1</v>
      </c>
      <c r="B31057" s="3" t="str">
        <f>HYPERLINK("https://www.773grp.com/manufacturer/onsemi?pageNo=555", "ON Semiconductor")</f>
        <v>ON Semiconductor</v>
      </c>
      <c r="C31057" s="6">
        <v>2065</v>
      </c>
      <c r="D31057" s="7">
        <v>0.74</v>
      </c>
      <c r="E31057" t="s">
        <v>30</v>
      </c>
    </row>
    <row r="31058" spans="1:5" x14ac:dyDescent="0.25">
      <c r="A31058" t="str">
        <f>HYPERLINK("https://www.773grp.com/globalSearch/NCP301LSN31T1/page-1", "NCP301LSN31T1")</f>
        <v>NCP301LSN31T1</v>
      </c>
      <c r="B31058" s="3" t="str">
        <f>HYPERLINK("https://www.773grp.com/manufacturer/onsemi?pageNo=556", "ON Semiconductor")</f>
        <v>ON Semiconductor</v>
      </c>
      <c r="C31058" s="6">
        <v>13271</v>
      </c>
      <c r="D31058" s="7">
        <v>0.74</v>
      </c>
      <c r="E31058" t="s">
        <v>30</v>
      </c>
    </row>
    <row r="31059" spans="1:5" x14ac:dyDescent="0.25">
      <c r="A31059" t="str">
        <f>HYPERLINK("https://www.773grp.com/globalSearch/NCP301LSN32T1/page-1", "NCP301LSN32T1")</f>
        <v>NCP301LSN32T1</v>
      </c>
      <c r="B31059" s="3" t="str">
        <f>HYPERLINK("https://www.773grp.com/manufacturer/onsemi?pageNo=557", "ON Semiconductor")</f>
        <v>ON Semiconductor</v>
      </c>
      <c r="C31059" s="6">
        <v>15000</v>
      </c>
      <c r="D31059" s="7">
        <v>0.74</v>
      </c>
      <c r="E31059" t="s">
        <v>30</v>
      </c>
    </row>
    <row r="31060" spans="1:5" x14ac:dyDescent="0.25">
      <c r="A31060" t="str">
        <f>HYPERLINK("https://www.773grp.com/globalSearch/NCP301LSN33T1/page-1", "NCP301LSN33T1")</f>
        <v>NCP301LSN33T1</v>
      </c>
      <c r="B31060" s="3" t="str">
        <f>HYPERLINK("https://www.773grp.com/manufacturer/onsemi?pageNo=558", "ON Semiconductor")</f>
        <v>ON Semiconductor</v>
      </c>
      <c r="C31060" s="6">
        <v>17940</v>
      </c>
      <c r="D31060" s="7">
        <v>0.74</v>
      </c>
      <c r="E31060" t="s">
        <v>30</v>
      </c>
    </row>
    <row r="31061" spans="1:5" x14ac:dyDescent="0.25">
      <c r="A31061" t="str">
        <f>HYPERLINK("https://www.773grp.com/globalSearch/NCP301LSN34T1/page-1", "NCP301LSN34T1")</f>
        <v>NCP301LSN34T1</v>
      </c>
      <c r="B31061" s="3" t="str">
        <f>HYPERLINK("https://www.773grp.com/manufacturer/onsemi?pageNo=559", "ON Semiconductor")</f>
        <v>ON Semiconductor</v>
      </c>
      <c r="C31061" s="6">
        <v>6000</v>
      </c>
      <c r="D31061" s="7">
        <v>0.74</v>
      </c>
      <c r="E31061" t="s">
        <v>30</v>
      </c>
    </row>
    <row r="31062" spans="1:5" x14ac:dyDescent="0.25">
      <c r="A31062" t="str">
        <f>HYPERLINK("https://www.773grp.com/globalSearch/NCP301LSN40T1/page-1", "NCP301LSN40T1")</f>
        <v>NCP301LSN40T1</v>
      </c>
      <c r="B31062" s="3" t="str">
        <f>HYPERLINK("https://www.773grp.com/manufacturer/onsemi?pageNo=560", "ON Semiconductor")</f>
        <v>ON Semiconductor</v>
      </c>
      <c r="C31062" s="6">
        <v>1377</v>
      </c>
      <c r="D31062" s="7">
        <v>0.74</v>
      </c>
      <c r="E31062" t="s">
        <v>30</v>
      </c>
    </row>
    <row r="31063" spans="1:5" x14ac:dyDescent="0.25">
      <c r="A31063" t="str">
        <f>HYPERLINK("https://www.773grp.com/globalSearch/NCP301LSN46T1/page-1", "NCP301LSN46T1")</f>
        <v>NCP301LSN46T1</v>
      </c>
      <c r="B31063" s="3" t="str">
        <f>HYPERLINK("https://www.773grp.com/manufacturer/onsemi?pageNo=561", "ON Semiconductor")</f>
        <v>ON Semiconductor</v>
      </c>
      <c r="C31063" s="6">
        <v>21000</v>
      </c>
      <c r="D31063" s="7">
        <v>0.74</v>
      </c>
      <c r="E31063" t="s">
        <v>30</v>
      </c>
    </row>
    <row r="31064" spans="1:5" x14ac:dyDescent="0.25">
      <c r="A31064" t="str">
        <f>HYPERLINK("https://www.773grp.com/globalSearch/NCP301LSN47T1/page-1", "NCP301LSN47T1")</f>
        <v>NCP301LSN47T1</v>
      </c>
      <c r="B31064" s="3" t="str">
        <f>HYPERLINK("https://www.773grp.com/manufacturer/onsemi?pageNo=562", "ON Semiconductor")</f>
        <v>ON Semiconductor</v>
      </c>
      <c r="C31064" s="6">
        <v>96000</v>
      </c>
      <c r="D31064" s="7">
        <v>0.74</v>
      </c>
      <c r="E31064" t="s">
        <v>30</v>
      </c>
    </row>
    <row r="31065" spans="1:5" x14ac:dyDescent="0.25">
      <c r="A31065" t="str">
        <f>HYPERLINK("https://www.773grp.com/globalSearch/NCP302HSN09T1/page-1", "NCP302HSN09T1")</f>
        <v>NCP302HSN09T1</v>
      </c>
      <c r="B31065" s="3" t="str">
        <f>HYPERLINK("https://www.773grp.com/manufacturer/onsemi?pageNo=563", "ON Semiconductor")</f>
        <v>ON Semiconductor</v>
      </c>
      <c r="C31065" s="6">
        <v>9000</v>
      </c>
      <c r="D31065" s="7">
        <v>0.74</v>
      </c>
      <c r="E31065" t="s">
        <v>30</v>
      </c>
    </row>
    <row r="31066" spans="1:5" x14ac:dyDescent="0.25">
      <c r="A31066" t="str">
        <f>HYPERLINK("https://www.773grp.com/globalSearch/NCP302HSN27T1/page-1", "NCP302HSN27T1")</f>
        <v>NCP302HSN27T1</v>
      </c>
      <c r="B31066" s="3" t="str">
        <f>HYPERLINK("https://www.773grp.com/manufacturer/onsemi?pageNo=564", "ON Semiconductor")</f>
        <v>ON Semiconductor</v>
      </c>
      <c r="C31066" s="6">
        <v>6000</v>
      </c>
      <c r="D31066" s="7">
        <v>0.74</v>
      </c>
      <c r="E31066" t="s">
        <v>30</v>
      </c>
    </row>
    <row r="31067" spans="1:5" x14ac:dyDescent="0.25">
      <c r="A31067" t="str">
        <f>HYPERLINK("https://www.773grp.com/globalSearch/NCP302LSN09T1/page-1", "NCP302LSN09T1")</f>
        <v>NCP302LSN09T1</v>
      </c>
      <c r="B31067" s="3" t="str">
        <f>HYPERLINK("https://www.773grp.com/manufacturer/onsemi?pageNo=565", "ON Semiconductor")</f>
        <v>ON Semiconductor</v>
      </c>
      <c r="C31067" s="6">
        <v>36300</v>
      </c>
      <c r="D31067" s="7">
        <v>0.74</v>
      </c>
      <c r="E31067" t="s">
        <v>30</v>
      </c>
    </row>
    <row r="31068" spans="1:5" x14ac:dyDescent="0.25">
      <c r="A31068" t="str">
        <f>HYPERLINK("https://www.773grp.com/globalSearch/NCP302LSN38T1/page-1", "NCP302LSN38T1")</f>
        <v>NCP302LSN38T1</v>
      </c>
      <c r="B31068" s="3" t="str">
        <f>HYPERLINK("https://www.773grp.com/manufacturer/onsemi?pageNo=566", "ON Semiconductor")</f>
        <v>ON Semiconductor</v>
      </c>
      <c r="C31068" s="6">
        <v>11950</v>
      </c>
      <c r="D31068" s="7">
        <v>0.74</v>
      </c>
      <c r="E31068" t="s">
        <v>30</v>
      </c>
    </row>
    <row r="31069" spans="1:5" x14ac:dyDescent="0.25">
      <c r="A31069" t="str">
        <f>HYPERLINK("https://www.773grp.com/globalSearch/NCP302LSN40T1/page-1", "NCP302LSN40T1")</f>
        <v>NCP302LSN40T1</v>
      </c>
      <c r="B31069" s="3" t="str">
        <f>HYPERLINK("https://www.773grp.com/manufacturer/onsemi?pageNo=567", "ON Semiconductor")</f>
        <v>ON Semiconductor</v>
      </c>
      <c r="C31069" s="6">
        <v>58333</v>
      </c>
      <c r="D31069" s="7">
        <v>0.74</v>
      </c>
      <c r="E31069" t="s">
        <v>30</v>
      </c>
    </row>
    <row r="31070" spans="1:5" x14ac:dyDescent="0.25">
      <c r="A31070" t="str">
        <f>HYPERLINK("https://www.773grp.com/globalSearch/NCP302LSN45T1/page-1", "NCP302LSN45T1")</f>
        <v>NCP302LSN45T1</v>
      </c>
      <c r="B31070" s="3" t="str">
        <f>HYPERLINK("https://www.773grp.com/manufacturer/onsemi?pageNo=568", "ON Semiconductor")</f>
        <v>ON Semiconductor</v>
      </c>
      <c r="C31070" s="6">
        <v>21000</v>
      </c>
      <c r="D31070" s="7">
        <v>0.74</v>
      </c>
      <c r="E31070" t="s">
        <v>30</v>
      </c>
    </row>
    <row r="31071" spans="1:5" x14ac:dyDescent="0.25">
      <c r="A31071" t="str">
        <f>HYPERLINK("https://www.773grp.com/globalSearch/NCP303LSN11T1/page-1", "NCP303LSN11T1")</f>
        <v>NCP303LSN11T1</v>
      </c>
      <c r="B31071" s="3" t="str">
        <f>HYPERLINK("https://www.773grp.com/manufacturer/onsemi?pageNo=569", "ON Semiconductor")</f>
        <v>ON Semiconductor</v>
      </c>
      <c r="C31071" s="6">
        <v>12450</v>
      </c>
      <c r="D31071" s="7">
        <v>0.74</v>
      </c>
      <c r="E31071" t="s">
        <v>30</v>
      </c>
    </row>
    <row r="31072" spans="1:5" x14ac:dyDescent="0.25">
      <c r="A31072" t="str">
        <f>HYPERLINK("https://www.773grp.com/globalSearch/NCP303LSN13T1/page-1", "NCP303LSN13T1")</f>
        <v>NCP303LSN13T1</v>
      </c>
      <c r="B31072" s="3" t="str">
        <f>HYPERLINK("https://www.773grp.com/manufacturer/onsemi?pageNo=570", "ON Semiconductor")</f>
        <v>ON Semiconductor</v>
      </c>
      <c r="C31072" s="6">
        <v>16238</v>
      </c>
      <c r="D31072" s="7">
        <v>0.74</v>
      </c>
      <c r="E31072" t="s">
        <v>30</v>
      </c>
    </row>
    <row r="31073" spans="1:5" x14ac:dyDescent="0.25">
      <c r="A31073" t="str">
        <f>HYPERLINK("https://www.773grp.com/globalSearch/NCP303LSN14T1/page-1", "NCP303LSN14T1")</f>
        <v>NCP303LSN14T1</v>
      </c>
      <c r="B31073" s="3" t="str">
        <f>HYPERLINK("https://www.773grp.com/manufacturer/onsemi?pageNo=571", "ON Semiconductor")</f>
        <v>ON Semiconductor</v>
      </c>
      <c r="C31073" s="6">
        <v>38649</v>
      </c>
      <c r="D31073" s="7">
        <v>0.74</v>
      </c>
      <c r="E31073" t="s">
        <v>30</v>
      </c>
    </row>
    <row r="31074" spans="1:5" x14ac:dyDescent="0.25">
      <c r="A31074" t="str">
        <f>HYPERLINK("https://www.773grp.com/globalSearch/NCP303LSN22T1/page-1", "NCP303LSN22T1")</f>
        <v>NCP303LSN22T1</v>
      </c>
      <c r="B31074" s="3" t="str">
        <f>HYPERLINK("https://www.773grp.com/manufacturer/onsemi?pageNo=572", "ON Semiconductor")</f>
        <v>ON Semiconductor</v>
      </c>
      <c r="C31074" s="6">
        <v>3000</v>
      </c>
      <c r="D31074" s="7">
        <v>0.74</v>
      </c>
      <c r="E31074" t="s">
        <v>30</v>
      </c>
    </row>
    <row r="31075" spans="1:5" x14ac:dyDescent="0.25">
      <c r="A31075" t="str">
        <f>HYPERLINK("https://www.773grp.com/globalSearch/NCP303LSN23T1/page-1", "NCP303LSN23T1")</f>
        <v>NCP303LSN23T1</v>
      </c>
      <c r="B31075" s="3" t="str">
        <f>HYPERLINK("https://www.773grp.com/manufacturer/onsemi?pageNo=573", "ON Semiconductor")</f>
        <v>ON Semiconductor</v>
      </c>
      <c r="C31075" s="6">
        <v>16230</v>
      </c>
      <c r="D31075" s="7">
        <v>0.74</v>
      </c>
      <c r="E31075" t="s">
        <v>30</v>
      </c>
    </row>
    <row r="31076" spans="1:5" x14ac:dyDescent="0.25">
      <c r="A31076" t="str">
        <f>HYPERLINK("https://www.773grp.com/globalSearch/NCP303LSN25T1/page-1", "NCP303LSN25T1")</f>
        <v>NCP303LSN25T1</v>
      </c>
      <c r="B31076" s="3" t="str">
        <f>HYPERLINK("https://www.773grp.com/manufacturer/onsemi?pageNo=574", "ON Semiconductor")</f>
        <v>ON Semiconductor</v>
      </c>
      <c r="C31076" s="6">
        <v>106980</v>
      </c>
      <c r="D31076" s="7">
        <v>0.74</v>
      </c>
      <c r="E31076" t="s">
        <v>30</v>
      </c>
    </row>
    <row r="31077" spans="1:5" x14ac:dyDescent="0.25">
      <c r="A31077" t="str">
        <f>HYPERLINK("https://www.773grp.com/globalSearch/NCP303LSN27T1/page-1", "NCP303LSN27T1")</f>
        <v>NCP303LSN27T1</v>
      </c>
      <c r="B31077" s="3" t="str">
        <f>HYPERLINK("https://www.773grp.com/manufacturer/onsemi?pageNo=575", "ON Semiconductor")</f>
        <v>ON Semiconductor</v>
      </c>
      <c r="C31077" s="6">
        <v>1479</v>
      </c>
      <c r="D31077" s="7">
        <v>0.74</v>
      </c>
      <c r="E31077" t="s">
        <v>30</v>
      </c>
    </row>
    <row r="31078" spans="1:5" x14ac:dyDescent="0.25">
      <c r="A31078" t="str">
        <f>HYPERLINK("https://www.773grp.com/globalSearch/NCP303LSN33T1/page-1", "NCP303LSN33T1")</f>
        <v>NCP303LSN33T1</v>
      </c>
      <c r="B31078" s="3" t="str">
        <f>HYPERLINK("https://www.773grp.com/manufacturer/onsemi?pageNo=576", "ON Semiconductor")</f>
        <v>ON Semiconductor</v>
      </c>
      <c r="C31078" s="6">
        <v>32850</v>
      </c>
      <c r="D31078" s="7">
        <v>0.74</v>
      </c>
      <c r="E31078" t="s">
        <v>30</v>
      </c>
    </row>
    <row r="31079" spans="1:5" x14ac:dyDescent="0.25">
      <c r="A31079" t="str">
        <f>HYPERLINK("https://www.773grp.com/globalSearch/NCP303LSN36T1/page-1", "NCP303LSN36T1")</f>
        <v>NCP303LSN36T1</v>
      </c>
      <c r="B31079" s="3" t="str">
        <f>HYPERLINK("https://www.773grp.com/manufacturer/onsemi?pageNo=577", "ON Semiconductor")</f>
        <v>ON Semiconductor</v>
      </c>
      <c r="C31079" s="6">
        <v>29950</v>
      </c>
      <c r="D31079" s="7">
        <v>0.74</v>
      </c>
      <c r="E31079" t="s">
        <v>30</v>
      </c>
    </row>
    <row r="31080" spans="1:5" x14ac:dyDescent="0.25">
      <c r="A31080" t="str">
        <f>HYPERLINK("https://www.773grp.com/globalSearch/NCP303LSN44T1/page-1", "NCP303LSN44T1")</f>
        <v>NCP303LSN44T1</v>
      </c>
      <c r="B31080" s="3" t="str">
        <f>HYPERLINK("https://www.773grp.com/manufacturer/onsemi?pageNo=578", "ON Semiconductor")</f>
        <v>ON Semiconductor</v>
      </c>
      <c r="C31080" s="6">
        <v>9000</v>
      </c>
      <c r="D31080" s="7">
        <v>0.74</v>
      </c>
      <c r="E31080" t="s">
        <v>30</v>
      </c>
    </row>
    <row r="31081" spans="1:5" x14ac:dyDescent="0.25">
      <c r="A31081" t="str">
        <f>HYPERLINK("https://www.773grp.com/globalSearch/NCP303LSN46T1/page-1", "NCP303LSN46T1")</f>
        <v>NCP303LSN46T1</v>
      </c>
      <c r="B31081" s="3" t="str">
        <f>HYPERLINK("https://www.773grp.com/manufacturer/onsemi?pageNo=579", "ON Semiconductor")</f>
        <v>ON Semiconductor</v>
      </c>
      <c r="C31081" s="6">
        <v>24000</v>
      </c>
      <c r="D31081" s="7">
        <v>0.74</v>
      </c>
      <c r="E31081" t="s">
        <v>30</v>
      </c>
    </row>
    <row r="31082" spans="1:5" x14ac:dyDescent="0.25">
      <c r="A31082" t="str">
        <f>HYPERLINK("https://www.773grp.com/globalSearch/NCP303LSN49T1/page-1", "NCP303LSN49T1")</f>
        <v>NCP303LSN49T1</v>
      </c>
      <c r="B31082" s="3" t="str">
        <f>HYPERLINK("https://www.773grp.com/manufacturer/onsemi?pageNo=580", "ON Semiconductor")</f>
        <v>ON Semiconductor</v>
      </c>
      <c r="C31082" s="6">
        <v>15510</v>
      </c>
      <c r="D31082" s="7">
        <v>0.74</v>
      </c>
      <c r="E31082" t="s">
        <v>30</v>
      </c>
    </row>
    <row r="31083" spans="1:5" x14ac:dyDescent="0.25">
      <c r="A31083" t="str">
        <f>HYPERLINK("https://www.773grp.com/globalSearch/NCP5359ADR2G/page-1", "NCP5359ADR2G")</f>
        <v>NCP5359ADR2G</v>
      </c>
      <c r="B31083" s="3" t="str">
        <f>HYPERLINK("https://www.773grp.com/manufacturer/onsemi?pageNo=581", "ON Semiconductor")</f>
        <v>ON Semiconductor</v>
      </c>
      <c r="C31083" s="6">
        <v>210000</v>
      </c>
      <c r="D31083" s="7">
        <v>0.74</v>
      </c>
      <c r="E31083" t="s">
        <v>7</v>
      </c>
    </row>
    <row r="31084" spans="1:5" x14ac:dyDescent="0.25">
      <c r="A31084" t="str">
        <f>HYPERLINK("https://www.773grp.com/globalSearch/NCP5359DR2G/page-1", "NCP5359DR2G")</f>
        <v>NCP5359DR2G</v>
      </c>
      <c r="B31084" s="3" t="str">
        <f>HYPERLINK("https://www.773grp.com/manufacturer/onsemi?pageNo=582", "ON Semiconductor")</f>
        <v>ON Semiconductor</v>
      </c>
      <c r="C31084" s="6">
        <v>8341</v>
      </c>
      <c r="D31084" s="7">
        <v>0.74</v>
      </c>
      <c r="E31084" t="s">
        <v>16</v>
      </c>
    </row>
    <row r="31085" spans="1:5" x14ac:dyDescent="0.25">
      <c r="A31085" t="str">
        <f>HYPERLINK("https://www.773grp.com/globalSearch/NCP583XV15T1G/page-1", "NCP583XV15T1G")</f>
        <v>NCP583XV15T1G</v>
      </c>
      <c r="B31085" s="3" t="str">
        <f>HYPERLINK("https://www.773grp.com/manufacturer/onsemi?pageNo=583", "ON Semiconductor")</f>
        <v>ON Semiconductor</v>
      </c>
      <c r="C31085" s="6">
        <v>3998</v>
      </c>
      <c r="D31085" s="7">
        <v>0.74</v>
      </c>
      <c r="E31085" t="s">
        <v>19</v>
      </c>
    </row>
    <row r="31086" spans="1:5" x14ac:dyDescent="0.25">
      <c r="A31086" t="str">
        <f>HYPERLINK("https://www.773grp.com/globalSearch/NCS2561SQT1G/page-1", "NCS2561SQT1G")</f>
        <v>NCS2561SQT1G</v>
      </c>
      <c r="B31086" s="3" t="str">
        <f>HYPERLINK("https://www.773grp.com/manufacturer/onsemi?pageNo=584", "ON Semiconductor")</f>
        <v>ON Semiconductor</v>
      </c>
      <c r="C31086" s="6">
        <v>60000</v>
      </c>
      <c r="D31086" s="7">
        <v>0.74</v>
      </c>
      <c r="E31086" t="s">
        <v>18</v>
      </c>
    </row>
    <row r="31087" spans="1:5" x14ac:dyDescent="0.25">
      <c r="A31087" t="str">
        <f>HYPERLINK("https://www.773grp.com/globalSearch/NE592D8/page-1", "NE592D8")</f>
        <v>NE592D8</v>
      </c>
      <c r="B31087" s="3" t="str">
        <f>HYPERLINK("https://www.773grp.com/manufacturer/onsemi?pageNo=585", "ON Semiconductor")</f>
        <v>ON Semiconductor</v>
      </c>
      <c r="C31087" s="6">
        <v>88</v>
      </c>
      <c r="D31087" s="7">
        <v>0.74</v>
      </c>
      <c r="E31087" t="s">
        <v>18</v>
      </c>
    </row>
    <row r="31088" spans="1:5" x14ac:dyDescent="0.25">
      <c r="A31088" t="str">
        <f>HYPERLINK("https://www.773grp.com/globalSearch/NJVBDW42/page-1", "NJVBDW42")</f>
        <v>NJVBDW42</v>
      </c>
      <c r="B31088" s="3" t="str">
        <f>HYPERLINK("https://www.773grp.com/manufacturer/onsemi?pageNo=586", "ON Semiconductor")</f>
        <v>ON Semiconductor</v>
      </c>
      <c r="C31088" s="6">
        <v>61</v>
      </c>
      <c r="D31088" s="7">
        <v>0.74</v>
      </c>
    </row>
    <row r="31089" spans="1:5" x14ac:dyDescent="0.25">
      <c r="A31089" t="str">
        <f>HYPERLINK("https://www.773grp.com/globalSearch/NL7SZ18DFT2G/page-1", "NL7SZ18DFT2G")</f>
        <v>NL7SZ18DFT2G</v>
      </c>
      <c r="B31089" s="3" t="str">
        <f>HYPERLINK("https://www.773grp.com/manufacturer/onsemi?pageNo=587", "ON Semiconductor")</f>
        <v>ON Semiconductor</v>
      </c>
      <c r="C31089" s="6">
        <v>30000</v>
      </c>
      <c r="D31089" s="7">
        <v>0.74</v>
      </c>
      <c r="E31089" t="s">
        <v>36</v>
      </c>
    </row>
    <row r="31090" spans="1:5" x14ac:dyDescent="0.25">
      <c r="A31090" t="str">
        <f>HYPERLINK("https://www.773grp.com/globalSearch/NL7SZ19DFT2G/page-1", "NL7SZ19DFT2G")</f>
        <v>NL7SZ19DFT2G</v>
      </c>
      <c r="B31090" s="3" t="str">
        <f>HYPERLINK("https://www.773grp.com/manufacturer/onsemi?pageNo=588", "ON Semiconductor")</f>
        <v>ON Semiconductor</v>
      </c>
      <c r="C31090" s="6">
        <v>2176617</v>
      </c>
      <c r="D31090" s="7">
        <v>0.74</v>
      </c>
      <c r="E31090" t="s">
        <v>36</v>
      </c>
    </row>
    <row r="31091" spans="1:5" x14ac:dyDescent="0.25">
      <c r="A31091" t="str">
        <f>HYPERLINK("https://www.773grp.com/globalSearch/NLV14001BDG/page-1", "NLV14001BDG")</f>
        <v>NLV14001BDG</v>
      </c>
      <c r="B31091" s="3" t="str">
        <f>HYPERLINK("https://www.773grp.com/manufacturer/onsemi?pageNo=589", "ON Semiconductor")</f>
        <v>ON Semiconductor</v>
      </c>
      <c r="C31091" s="6">
        <v>60</v>
      </c>
      <c r="D31091" s="7">
        <v>0.74</v>
      </c>
    </row>
    <row r="31092" spans="1:5" x14ac:dyDescent="0.25">
      <c r="A31092" t="str">
        <f>HYPERLINK("https://www.773grp.com/globalSearch/NLV14001BDR2G/page-1", "NLV14001BDR2G")</f>
        <v>NLV14001BDR2G</v>
      </c>
      <c r="B31092" s="3" t="str">
        <f>HYPERLINK("https://www.773grp.com/manufacturer/onsemi?pageNo=590", "ON Semiconductor")</f>
        <v>ON Semiconductor</v>
      </c>
      <c r="C31092" s="6">
        <v>305000</v>
      </c>
      <c r="D31092" s="7">
        <v>0.74</v>
      </c>
    </row>
    <row r="31093" spans="1:5" x14ac:dyDescent="0.25">
      <c r="A31093" t="str">
        <f>HYPERLINK("https://www.773grp.com/globalSearch/NLV14001UBDR2G/page-1", "NLV14001UBDR2G")</f>
        <v>NLV14001UBDR2G</v>
      </c>
      <c r="B31093" s="3" t="str">
        <f>HYPERLINK("https://www.773grp.com/manufacturer/onsemi?pageNo=591", "ON Semiconductor")</f>
        <v>ON Semiconductor</v>
      </c>
      <c r="C31093" s="6">
        <v>2400</v>
      </c>
      <c r="D31093" s="7">
        <v>0.74</v>
      </c>
    </row>
    <row r="31094" spans="1:5" x14ac:dyDescent="0.25">
      <c r="A31094" t="str">
        <f>HYPERLINK("https://www.773grp.com/globalSearch/NLV14007UBDR2G/page-1", "NLV14007UBDR2G")</f>
        <v>NLV14007UBDR2G</v>
      </c>
      <c r="B31094" s="3" t="str">
        <f>HYPERLINK("https://www.773grp.com/manufacturer/onsemi?pageNo=592", "ON Semiconductor")</f>
        <v>ON Semiconductor</v>
      </c>
      <c r="C31094" s="6">
        <v>482500</v>
      </c>
      <c r="D31094" s="7">
        <v>0.74</v>
      </c>
    </row>
    <row r="31095" spans="1:5" x14ac:dyDescent="0.25">
      <c r="A31095" t="str">
        <f>HYPERLINK("https://www.773grp.com/globalSearch/NLV14011BDR2G/page-1", "NLV14011BDR2G")</f>
        <v>NLV14011BDR2G</v>
      </c>
      <c r="B31095" s="3" t="str">
        <f>HYPERLINK("https://www.773grp.com/manufacturer/onsemi?pageNo=593", "ON Semiconductor")</f>
        <v>ON Semiconductor</v>
      </c>
      <c r="C31095" s="6">
        <v>1848</v>
      </c>
      <c r="D31095" s="7">
        <v>0.74</v>
      </c>
    </row>
    <row r="31096" spans="1:5" x14ac:dyDescent="0.25">
      <c r="A31096" t="str">
        <f>HYPERLINK("https://www.773grp.com/globalSearch/NLV14011UBDR2G/page-1", "NLV14011UBDR2G")</f>
        <v>NLV14011UBDR2G</v>
      </c>
      <c r="B31096" s="3" t="str">
        <f>HYPERLINK("https://www.773grp.com/manufacturer/onsemi?pageNo=594", "ON Semiconductor")</f>
        <v>ON Semiconductor</v>
      </c>
      <c r="C31096" s="6">
        <v>5000</v>
      </c>
      <c r="D31096" s="7">
        <v>0.74</v>
      </c>
    </row>
    <row r="31097" spans="1:5" x14ac:dyDescent="0.25">
      <c r="A31097" t="str">
        <f>HYPERLINK("https://www.773grp.com/globalSearch/NLV14012BDR2G/page-1", "NLV14012BDR2G")</f>
        <v>NLV14012BDR2G</v>
      </c>
      <c r="B31097" s="3" t="str">
        <f>HYPERLINK("https://www.773grp.com/manufacturer/onsemi?pageNo=595", "ON Semiconductor")</f>
        <v>ON Semiconductor</v>
      </c>
      <c r="C31097" s="6">
        <v>2200</v>
      </c>
      <c r="D31097" s="7">
        <v>0.74</v>
      </c>
    </row>
    <row r="31098" spans="1:5" x14ac:dyDescent="0.25">
      <c r="A31098" t="str">
        <f>HYPERLINK("https://www.773grp.com/globalSearch/NLV14023BDR2G/page-1", "NLV14023BDR2G")</f>
        <v>NLV14023BDR2G</v>
      </c>
      <c r="B31098" s="3" t="str">
        <f>HYPERLINK("https://www.773grp.com/manufacturer/onsemi?pageNo=596", "ON Semiconductor")</f>
        <v>ON Semiconductor</v>
      </c>
      <c r="C31098" s="6">
        <v>2345</v>
      </c>
      <c r="D31098" s="7">
        <v>0.74</v>
      </c>
    </row>
    <row r="31099" spans="1:5" x14ac:dyDescent="0.25">
      <c r="A31099" t="str">
        <f>HYPERLINK("https://www.773grp.com/globalSearch/NLV14069UBDG/page-1", "NLV14069UBDG")</f>
        <v>NLV14069UBDG</v>
      </c>
      <c r="B31099" s="3" t="str">
        <f>HYPERLINK("https://www.773grp.com/manufacturer/onsemi?pageNo=597", "ON Semiconductor")</f>
        <v>ON Semiconductor</v>
      </c>
      <c r="C31099" s="6">
        <v>10</v>
      </c>
      <c r="D31099" s="7">
        <v>0.74</v>
      </c>
    </row>
    <row r="31100" spans="1:5" x14ac:dyDescent="0.25">
      <c r="A31100" t="str">
        <f>HYPERLINK("https://www.773grp.com/globalSearch/NLV14069UBDR2G/page-1", "NLV14069UBDR2G")</f>
        <v>NLV14069UBDR2G</v>
      </c>
      <c r="B31100" s="3" t="str">
        <f>HYPERLINK("https://www.773grp.com/manufacturer/onsemi?pageNo=598", "ON Semiconductor")</f>
        <v>ON Semiconductor</v>
      </c>
      <c r="C31100" s="6">
        <v>1803</v>
      </c>
      <c r="D31100" s="7">
        <v>0.74</v>
      </c>
    </row>
    <row r="31101" spans="1:5" x14ac:dyDescent="0.25">
      <c r="A31101" t="str">
        <f>HYPERLINK("https://www.773grp.com/globalSearch/NLV14070BDR2G/page-1", "NLV14070BDR2G")</f>
        <v>NLV14070BDR2G</v>
      </c>
      <c r="B31101" s="3" t="str">
        <f>HYPERLINK("https://www.773grp.com/manufacturer/onsemi?pageNo=599", "ON Semiconductor")</f>
        <v>ON Semiconductor</v>
      </c>
      <c r="C31101" s="6">
        <v>35261</v>
      </c>
      <c r="D31101" s="7">
        <v>0.74</v>
      </c>
    </row>
    <row r="31102" spans="1:5" x14ac:dyDescent="0.25">
      <c r="A31102" t="str">
        <f>HYPERLINK("https://www.773grp.com/globalSearch/NLV14071BDG/page-1", "NLV14071BDG")</f>
        <v>NLV14071BDG</v>
      </c>
      <c r="B31102" s="3" t="str">
        <f>HYPERLINK("https://www.773grp.com/manufacturer/onsemi?pageNo=600", "ON Semiconductor")</f>
        <v>ON Semiconductor</v>
      </c>
      <c r="C31102" s="6">
        <v>45</v>
      </c>
      <c r="D31102" s="7">
        <v>0.74</v>
      </c>
    </row>
    <row r="31103" spans="1:5" x14ac:dyDescent="0.25">
      <c r="A31103" t="str">
        <f>HYPERLINK("https://www.773grp.com/globalSearch/NLV14077BDR2G/page-1", "NLV14077BDR2G")</f>
        <v>NLV14077BDR2G</v>
      </c>
      <c r="B31103" s="3" t="str">
        <f>HYPERLINK("https://www.773grp.com/manufacturer/onsemi?pageNo=601", "ON Semiconductor")</f>
        <v>ON Semiconductor</v>
      </c>
      <c r="C31103" s="6">
        <v>11752</v>
      </c>
      <c r="D31103" s="7">
        <v>0.74</v>
      </c>
    </row>
    <row r="31104" spans="1:5" x14ac:dyDescent="0.25">
      <c r="A31104" t="str">
        <f>HYPERLINK("https://www.773grp.com/globalSearch/NLV14081BDG/page-1", "NLV14081BDG")</f>
        <v>NLV14081BDG</v>
      </c>
      <c r="B31104" s="3" t="str">
        <f>HYPERLINK("https://www.773grp.com/manufacturer/onsemi?pageNo=602", "ON Semiconductor")</f>
        <v>ON Semiconductor</v>
      </c>
      <c r="C31104" s="6">
        <v>15</v>
      </c>
      <c r="D31104" s="7">
        <v>0.74</v>
      </c>
    </row>
    <row r="31105" spans="1:5" x14ac:dyDescent="0.25">
      <c r="A31105" t="str">
        <f>HYPERLINK("https://www.773grp.com/globalSearch/NLV14081BDR2G/page-1", "NLV14081BDR2G")</f>
        <v>NLV14081BDR2G</v>
      </c>
      <c r="B31105" s="3" t="str">
        <f>HYPERLINK("https://www.773grp.com/manufacturer/onsemi?pageNo=603", "ON Semiconductor")</f>
        <v>ON Semiconductor</v>
      </c>
      <c r="C31105" s="6">
        <v>1267</v>
      </c>
      <c r="D31105" s="7">
        <v>0.74</v>
      </c>
    </row>
    <row r="31106" spans="1:5" x14ac:dyDescent="0.25">
      <c r="A31106" t="str">
        <f>HYPERLINK("https://www.773grp.com/globalSearch/NLV14081BDTR2G/page-1", "NLV14081BDTR2G")</f>
        <v>NLV14081BDTR2G</v>
      </c>
      <c r="B31106" s="3" t="str">
        <f>HYPERLINK("https://www.773grp.com/manufacturer/onsemi?pageNo=604", "ON Semiconductor")</f>
        <v>ON Semiconductor</v>
      </c>
      <c r="C31106" s="6">
        <v>44</v>
      </c>
      <c r="D31106" s="7">
        <v>0.74</v>
      </c>
    </row>
    <row r="31107" spans="1:5" x14ac:dyDescent="0.25">
      <c r="A31107" t="str">
        <f>HYPERLINK("https://www.773grp.com/globalSearch/NLV14082BDG/page-1", "NLV14082BDG")</f>
        <v>NLV14082BDG</v>
      </c>
      <c r="B31107" s="3" t="str">
        <f>HYPERLINK("https://www.773grp.com/manufacturer/onsemi?pageNo=605", "ON Semiconductor")</f>
        <v>ON Semiconductor</v>
      </c>
      <c r="C31107" s="6">
        <v>6265</v>
      </c>
      <c r="D31107" s="7">
        <v>0.74</v>
      </c>
    </row>
    <row r="31108" spans="1:5" x14ac:dyDescent="0.25">
      <c r="A31108" t="str">
        <f>HYPERLINK("https://www.773grp.com/globalSearch/NLV74HC04ANG/page-1", "NLV74HC04ANG")</f>
        <v>NLV74HC04ANG</v>
      </c>
      <c r="B31108" s="3" t="str">
        <f>HYPERLINK("https://www.773grp.com/manufacturer/onsemi?pageNo=606", "ON Semiconductor")</f>
        <v>ON Semiconductor</v>
      </c>
      <c r="C31108" s="6">
        <v>4024</v>
      </c>
      <c r="D31108" s="7">
        <v>0.74</v>
      </c>
    </row>
    <row r="31109" spans="1:5" x14ac:dyDescent="0.25">
      <c r="A31109" t="str">
        <f>HYPERLINK("https://www.773grp.com/globalSearch/NLV74HC157ADR2G/page-1", "NLV74HC157ADR2G")</f>
        <v>NLV74HC157ADR2G</v>
      </c>
      <c r="B31109" s="3" t="str">
        <f>HYPERLINK("https://www.773grp.com/manufacturer/onsemi?pageNo=607", "ON Semiconductor")</f>
        <v>ON Semiconductor</v>
      </c>
      <c r="C31109" s="6">
        <v>610</v>
      </c>
      <c r="D31109" s="7">
        <v>0.74</v>
      </c>
    </row>
    <row r="31110" spans="1:5" x14ac:dyDescent="0.25">
      <c r="A31110" t="str">
        <f>HYPERLINK("https://www.773grp.com/globalSearch/NLV74HC4066ADR2G/page-1", "NLV74HC4066ADR2G")</f>
        <v>NLV74HC4066ADR2G</v>
      </c>
      <c r="B31110" s="3" t="str">
        <f>HYPERLINK("https://www.773grp.com/manufacturer/onsemi?pageNo=608", "ON Semiconductor")</f>
        <v>ON Semiconductor</v>
      </c>
      <c r="C31110" s="6">
        <v>5931</v>
      </c>
      <c r="D31110" s="7">
        <v>0.74</v>
      </c>
    </row>
    <row r="31111" spans="1:5" x14ac:dyDescent="0.25">
      <c r="A31111" t="str">
        <f>HYPERLINK("https://www.773grp.com/globalSearch/NSB9435T1G/page-1", "NSB9435T1G")</f>
        <v>NSB9435T1G</v>
      </c>
      <c r="B31111" s="3" t="str">
        <f>HYPERLINK("https://www.773grp.com/manufacturer/onsemi?pageNo=609", "ON Semiconductor")</f>
        <v>ON Semiconductor</v>
      </c>
      <c r="C31111" s="6">
        <v>2000</v>
      </c>
      <c r="D31111" s="7">
        <v>0.74</v>
      </c>
    </row>
    <row r="31112" spans="1:5" x14ac:dyDescent="0.25">
      <c r="A31112" t="str">
        <f>HYPERLINK("https://www.773grp.com/globalSearch/NSIC2030BT3G/page-1", "NSIC2030BT3G")</f>
        <v>NSIC2030BT3G</v>
      </c>
      <c r="B31112" s="3" t="str">
        <f>HYPERLINK("https://www.773grp.com/manufacturer/onsemi?pageNo=610", "ON Semiconductor")</f>
        <v>ON Semiconductor</v>
      </c>
      <c r="C31112" s="6">
        <v>5000</v>
      </c>
      <c r="D31112" s="7">
        <v>0.74</v>
      </c>
    </row>
    <row r="31113" spans="1:5" x14ac:dyDescent="0.25">
      <c r="A31113" t="str">
        <f>HYPERLINK("https://www.773grp.com/globalSearch/NSS12600CF8T1G/page-1", "NSS12600CF8T1G")</f>
        <v>NSS12600CF8T1G</v>
      </c>
      <c r="B31113" s="3" t="str">
        <f>HYPERLINK("https://www.773grp.com/manufacturer/onsemi?pageNo=611", "ON Semiconductor")</f>
        <v>ON Semiconductor</v>
      </c>
      <c r="C31113" s="6">
        <v>355368</v>
      </c>
      <c r="D31113" s="7">
        <v>0.74</v>
      </c>
      <c r="E31113" t="s">
        <v>69</v>
      </c>
    </row>
    <row r="31114" spans="1:5" x14ac:dyDescent="0.25">
      <c r="A31114" t="str">
        <f>HYPERLINK("https://www.773grp.com/globalSearch/NSS20200W6T1G/page-1", "NSS20200W6T1G")</f>
        <v>NSS20200W6T1G</v>
      </c>
      <c r="B31114" s="3" t="str">
        <f>HYPERLINK("https://www.773grp.com/manufacturer/onsemi?pageNo=612", "ON Semiconductor")</f>
        <v>ON Semiconductor</v>
      </c>
      <c r="C31114" s="6">
        <v>20185</v>
      </c>
      <c r="D31114" s="7">
        <v>0.74</v>
      </c>
      <c r="E31114" t="s">
        <v>69</v>
      </c>
    </row>
    <row r="31115" spans="1:5" x14ac:dyDescent="0.25">
      <c r="A31115" t="str">
        <f>HYPERLINK("https://www.773grp.com/globalSearch/NSS20600CF8T1G/page-1", "NSS20600CF8T1G")</f>
        <v>NSS20600CF8T1G</v>
      </c>
      <c r="B31115" s="3" t="str">
        <f>HYPERLINK("https://www.773grp.com/manufacturer/onsemi?pageNo=613", "ON Semiconductor")</f>
        <v>ON Semiconductor</v>
      </c>
      <c r="C31115" s="6">
        <v>362823</v>
      </c>
      <c r="D31115" s="7">
        <v>0.74</v>
      </c>
      <c r="E31115" t="s">
        <v>69</v>
      </c>
    </row>
    <row r="31116" spans="1:5" x14ac:dyDescent="0.25">
      <c r="A31116" t="str">
        <f>HYPERLINK("https://www.773grp.com/globalSearch/NSS40300MZ4T1G/page-1", "NSS40300MZ4T1G")</f>
        <v>NSS40300MZ4T1G</v>
      </c>
      <c r="B31116" s="3" t="str">
        <f>HYPERLINK("https://www.773grp.com/manufacturer/onsemi?pageNo=614", "ON Semiconductor")</f>
        <v>ON Semiconductor</v>
      </c>
      <c r="C31116" s="6">
        <v>6000</v>
      </c>
      <c r="D31116" s="7">
        <v>0.74</v>
      </c>
      <c r="E31116" t="s">
        <v>69</v>
      </c>
    </row>
    <row r="31117" spans="1:5" x14ac:dyDescent="0.25">
      <c r="A31117" t="str">
        <f>HYPERLINK("https://www.773grp.com/globalSearch/NSS40400CF8T1G/page-1", "NSS40400CF8T1G")</f>
        <v>NSS40400CF8T1G</v>
      </c>
      <c r="B31117" s="3" t="str">
        <f>HYPERLINK("https://www.773grp.com/manufacturer/onsemi?pageNo=615", "ON Semiconductor")</f>
        <v>ON Semiconductor</v>
      </c>
      <c r="C31117" s="6">
        <v>6000</v>
      </c>
      <c r="D31117" s="7">
        <v>0.74</v>
      </c>
      <c r="E31117" t="s">
        <v>69</v>
      </c>
    </row>
    <row r="31118" spans="1:5" x14ac:dyDescent="0.25">
      <c r="A31118" t="str">
        <f>HYPERLINK("https://www.773grp.com/globalSearch/NTD20N06L-1G/page-1", "NTD20N06L-1G")</f>
        <v>NTD20N06L-1G</v>
      </c>
      <c r="B31118" s="3" t="str">
        <f>HYPERLINK("https://www.773grp.com/manufacturer/onsemi?pageNo=616", "ON Semiconductor")</f>
        <v>ON Semiconductor</v>
      </c>
      <c r="C31118" s="6">
        <v>4393</v>
      </c>
      <c r="D31118" s="7">
        <v>0.74</v>
      </c>
      <c r="E31118" t="s">
        <v>105</v>
      </c>
    </row>
    <row r="31119" spans="1:5" x14ac:dyDescent="0.25">
      <c r="A31119" t="str">
        <f>HYPERLINK("https://www.773grp.com/globalSearch/NTD24N06L-001/page-1", "NTD24N06L-001")</f>
        <v>NTD24N06L-001</v>
      </c>
      <c r="B31119" s="3" t="str">
        <f>HYPERLINK("https://www.773grp.com/manufacturer/onsemi?pageNo=617", "ON Semiconductor")</f>
        <v>ON Semiconductor</v>
      </c>
      <c r="C31119" s="6">
        <v>8795</v>
      </c>
      <c r="D31119" s="7">
        <v>0.74</v>
      </c>
    </row>
    <row r="31120" spans="1:5" x14ac:dyDescent="0.25">
      <c r="A31120" t="str">
        <f>HYPERLINK("https://www.773grp.com/globalSearch/NTD3055-150-1G/page-1", "NTD3055-150-1G")</f>
        <v>NTD3055-150-1G</v>
      </c>
      <c r="B31120" s="3" t="str">
        <f>HYPERLINK("https://www.773grp.com/manufacturer/onsemi?pageNo=618", "ON Semiconductor")</f>
        <v>ON Semiconductor</v>
      </c>
      <c r="C31120" s="6">
        <v>14901</v>
      </c>
      <c r="D31120" s="7">
        <v>0.74</v>
      </c>
      <c r="E31120" t="s">
        <v>105</v>
      </c>
    </row>
    <row r="31121" spans="1:5" x14ac:dyDescent="0.25">
      <c r="A31121" t="str">
        <f>HYPERLINK("https://www.773grp.com/globalSearch/NTD4809N-35H/page-1", "NTD4809N-35H")</f>
        <v>NTD4809N-35H</v>
      </c>
      <c r="B31121" s="3" t="str">
        <f>HYPERLINK("https://www.773grp.com/manufacturer/onsemi?pageNo=619", "ON Semiconductor")</f>
        <v>ON Semiconductor</v>
      </c>
      <c r="C31121" s="6">
        <v>100425</v>
      </c>
      <c r="D31121" s="7">
        <v>0.74</v>
      </c>
    </row>
    <row r="31122" spans="1:5" x14ac:dyDescent="0.25">
      <c r="A31122" t="str">
        <f>HYPERLINK("https://www.773grp.com/globalSearch/NTD4809NA-35G/page-1", "NTD4809NA-35G")</f>
        <v>NTD4809NA-35G</v>
      </c>
      <c r="B31122" s="3" t="str">
        <f>HYPERLINK("https://www.773grp.com/manufacturer/onsemi?pageNo=620", "ON Semiconductor")</f>
        <v>ON Semiconductor</v>
      </c>
      <c r="C31122" s="6">
        <v>2840</v>
      </c>
      <c r="D31122" s="7">
        <v>0.74</v>
      </c>
    </row>
    <row r="31123" spans="1:5" x14ac:dyDescent="0.25">
      <c r="A31123" t="str">
        <f>HYPERLINK("https://www.773grp.com/globalSearch/NTD4809NT4H/page-1", "NTD4809NT4H")</f>
        <v>NTD4809NT4H</v>
      </c>
      <c r="B31123" s="3" t="str">
        <f>HYPERLINK("https://www.773grp.com/manufacturer/onsemi?pageNo=621", "ON Semiconductor")</f>
        <v>ON Semiconductor</v>
      </c>
      <c r="C31123" s="6">
        <v>30000</v>
      </c>
      <c r="D31123" s="7">
        <v>0.74</v>
      </c>
    </row>
    <row r="31124" spans="1:5" x14ac:dyDescent="0.25">
      <c r="A31124" t="str">
        <f>HYPERLINK("https://www.773grp.com/globalSearch/NTD4810N-1G/page-1", "NTD4810N-1G")</f>
        <v>NTD4810N-1G</v>
      </c>
      <c r="B31124" s="3" t="str">
        <f>HYPERLINK("https://www.773grp.com/manufacturer/onsemi?pageNo=622", "ON Semiconductor")</f>
        <v>ON Semiconductor</v>
      </c>
      <c r="C31124" s="6">
        <v>9550</v>
      </c>
      <c r="D31124" s="7">
        <v>0.74</v>
      </c>
      <c r="E31124" t="s">
        <v>105</v>
      </c>
    </row>
    <row r="31125" spans="1:5" x14ac:dyDescent="0.25">
      <c r="A31125" t="str">
        <f>HYPERLINK("https://www.773grp.com/globalSearch/NTD4810N-35G/page-1", "NTD4810N-35G")</f>
        <v>NTD4810N-35G</v>
      </c>
      <c r="B31125" s="3" t="str">
        <f>HYPERLINK("https://www.773grp.com/manufacturer/onsemi?pageNo=623", "ON Semiconductor")</f>
        <v>ON Semiconductor</v>
      </c>
      <c r="C31125" s="6">
        <v>5250</v>
      </c>
      <c r="D31125" s="7">
        <v>0.74</v>
      </c>
      <c r="E31125" t="s">
        <v>105</v>
      </c>
    </row>
    <row r="31126" spans="1:5" x14ac:dyDescent="0.25">
      <c r="A31126" t="str">
        <f>HYPERLINK("https://www.773grp.com/globalSearch/NTD4810NT4G/page-1", "NTD4810NT4G")</f>
        <v>NTD4810NT4G</v>
      </c>
      <c r="B31126" s="3" t="str">
        <f>HYPERLINK("https://www.773grp.com/manufacturer/onsemi?pageNo=624", "ON Semiconductor")</f>
        <v>ON Semiconductor</v>
      </c>
      <c r="C31126" s="6">
        <v>17400</v>
      </c>
      <c r="D31126" s="7">
        <v>0.74</v>
      </c>
      <c r="E31126" t="s">
        <v>105</v>
      </c>
    </row>
    <row r="31127" spans="1:5" x14ac:dyDescent="0.25">
      <c r="A31127" t="str">
        <f>HYPERLINK("https://www.773grp.com/globalSearch/NTD4858N-35H/page-1", "NTD4858N-35H")</f>
        <v>NTD4858N-35H</v>
      </c>
      <c r="B31127" s="3" t="str">
        <f>HYPERLINK("https://www.773grp.com/manufacturer/onsemi?pageNo=625", "ON Semiconductor")</f>
        <v>ON Semiconductor</v>
      </c>
      <c r="C31127" s="6">
        <v>600</v>
      </c>
      <c r="D31127" s="7">
        <v>0.74</v>
      </c>
    </row>
    <row r="31128" spans="1:5" x14ac:dyDescent="0.25">
      <c r="A31128" t="str">
        <f>HYPERLINK("https://www.773grp.com/globalSearch/NTD4863N-1G/page-1", "NTD4863N-1G")</f>
        <v>NTD4863N-1G</v>
      </c>
      <c r="B31128" s="3" t="str">
        <f>HYPERLINK("https://www.773grp.com/manufacturer/onsemi?pageNo=626", "ON Semiconductor")</f>
        <v>ON Semiconductor</v>
      </c>
      <c r="C31128" s="6">
        <v>8475</v>
      </c>
      <c r="D31128" s="7">
        <v>0.74</v>
      </c>
      <c r="E31128" t="s">
        <v>105</v>
      </c>
    </row>
    <row r="31129" spans="1:5" x14ac:dyDescent="0.25">
      <c r="A31129" t="str">
        <f>HYPERLINK("https://www.773grp.com/globalSearch/NTD4909NAT4H/page-1", "NTD4909NAT4H")</f>
        <v>NTD4909NAT4H</v>
      </c>
      <c r="B31129" s="3" t="str">
        <f>HYPERLINK("https://www.773grp.com/manufacturer/onsemi?pageNo=627", "ON Semiconductor")</f>
        <v>ON Semiconductor</v>
      </c>
      <c r="C31129" s="6">
        <v>155000</v>
      </c>
      <c r="D31129" s="7">
        <v>0.74</v>
      </c>
    </row>
    <row r="31130" spans="1:5" x14ac:dyDescent="0.25">
      <c r="A31130" t="str">
        <f>HYPERLINK("https://www.773grp.com/globalSearch/NTD4969N-1G/page-1", "NTD4969N-1G")</f>
        <v>NTD4969N-1G</v>
      </c>
      <c r="B31130" s="3" t="str">
        <f>HYPERLINK("https://www.773grp.com/manufacturer/onsemi?pageNo=628", "ON Semiconductor")</f>
        <v>ON Semiconductor</v>
      </c>
      <c r="C31130" s="6">
        <v>3047</v>
      </c>
      <c r="D31130" s="7">
        <v>0.74</v>
      </c>
    </row>
    <row r="31131" spans="1:5" x14ac:dyDescent="0.25">
      <c r="A31131" t="str">
        <f>HYPERLINK("https://www.773grp.com/globalSearch/NTD4969NT4G/page-1", "NTD4969NT4G")</f>
        <v>NTD4969NT4G</v>
      </c>
      <c r="B31131" s="3" t="str">
        <f>HYPERLINK("https://www.773grp.com/manufacturer/onsemi?pageNo=629", "ON Semiconductor")</f>
        <v>ON Semiconductor</v>
      </c>
      <c r="C31131" s="6">
        <v>87500</v>
      </c>
      <c r="D31131" s="7">
        <v>0.74</v>
      </c>
      <c r="E31131" t="s">
        <v>105</v>
      </c>
    </row>
    <row r="31132" spans="1:5" x14ac:dyDescent="0.25">
      <c r="A31132" t="str">
        <f>HYPERLINK("https://www.773grp.com/globalSearch/NTD50N03RG/page-1", "NTD50N03RG")</f>
        <v>NTD50N03RG</v>
      </c>
      <c r="B31132" s="3" t="str">
        <f>HYPERLINK("https://www.773grp.com/manufacturer/onsemi?pageNo=630", "ON Semiconductor")</f>
        <v>ON Semiconductor</v>
      </c>
      <c r="C31132" s="6">
        <v>4875</v>
      </c>
      <c r="D31132" s="7">
        <v>0.74</v>
      </c>
      <c r="E31132" t="s">
        <v>105</v>
      </c>
    </row>
    <row r="31133" spans="1:5" x14ac:dyDescent="0.25">
      <c r="A31133" t="str">
        <f>HYPERLINK("https://www.773grp.com/globalSearch/NTF3055L175T1G/page-1", "NTF3055L175T1G")</f>
        <v>NTF3055L175T1G</v>
      </c>
      <c r="B31133" s="3" t="str">
        <f>HYPERLINK("https://www.773grp.com/manufacturer/onsemi?pageNo=631", "ON Semiconductor")</f>
        <v>ON Semiconductor</v>
      </c>
      <c r="C31133" s="6">
        <v>11087</v>
      </c>
      <c r="D31133" s="7">
        <v>0.74</v>
      </c>
    </row>
    <row r="31134" spans="1:5" x14ac:dyDescent="0.25">
      <c r="A31134" t="str">
        <f>HYPERLINK("https://www.773grp.com/globalSearch/NTHD3133PFT1G/page-1", "NTHD3133PFT1G")</f>
        <v>NTHD3133PFT1G</v>
      </c>
      <c r="B31134" s="3" t="str">
        <f>HYPERLINK("https://www.773grp.com/manufacturer/onsemi?pageNo=632", "ON Semiconductor")</f>
        <v>ON Semiconductor</v>
      </c>
      <c r="C31134" s="6">
        <v>101432</v>
      </c>
      <c r="D31134" s="7">
        <v>0.74</v>
      </c>
      <c r="E31134" t="s">
        <v>106</v>
      </c>
    </row>
    <row r="31135" spans="1:5" x14ac:dyDescent="0.25">
      <c r="A31135" t="str">
        <f>HYPERLINK("https://www.773grp.com/globalSearch/NTHD4N02FT1G/page-1", "NTHD4N02FT1G")</f>
        <v>NTHD4N02FT1G</v>
      </c>
      <c r="B31135" s="3" t="str">
        <f>HYPERLINK("https://www.773grp.com/manufacturer/onsemi?pageNo=633", "ON Semiconductor")</f>
        <v>ON Semiconductor</v>
      </c>
      <c r="C31135" s="6">
        <v>238224</v>
      </c>
      <c r="D31135" s="7">
        <v>0.74</v>
      </c>
      <c r="E31135" t="s">
        <v>106</v>
      </c>
    </row>
    <row r="31136" spans="1:5" x14ac:dyDescent="0.25">
      <c r="A31136" t="str">
        <f>HYPERLINK("https://www.773grp.com/globalSearch/NTHS4111PT1/page-1", "NTHS4111PT1")</f>
        <v>NTHS4111PT1</v>
      </c>
      <c r="B31136" s="3" t="str">
        <f>HYPERLINK("https://www.773grp.com/manufacturer/onsemi?pageNo=634", "ON Semiconductor")</f>
        <v>ON Semiconductor</v>
      </c>
      <c r="C31136" s="6">
        <v>27000</v>
      </c>
      <c r="D31136" s="7">
        <v>0.74</v>
      </c>
      <c r="E31136" t="s">
        <v>106</v>
      </c>
    </row>
    <row r="31137" spans="1:5" x14ac:dyDescent="0.25">
      <c r="A31137" t="str">
        <f>HYPERLINK("https://www.773grp.com/globalSearch/NTHS4111PT1G/page-1", "NTHS4111PT1G")</f>
        <v>NTHS4111PT1G</v>
      </c>
      <c r="B31137" s="3" t="str">
        <f>HYPERLINK("https://www.773grp.com/manufacturer/onsemi?pageNo=635", "ON Semiconductor")</f>
        <v>ON Semiconductor</v>
      </c>
      <c r="C31137" s="6">
        <v>3615</v>
      </c>
      <c r="D31137" s="7">
        <v>0.74</v>
      </c>
      <c r="E31137" t="s">
        <v>106</v>
      </c>
    </row>
    <row r="31138" spans="1:5" x14ac:dyDescent="0.25">
      <c r="A31138" t="str">
        <f>HYPERLINK("https://www.773grp.com/globalSearch/NTHS5404T1G/page-1", "NTHS5404T1G")</f>
        <v>NTHS5404T1G</v>
      </c>
      <c r="B31138" s="3" t="str">
        <f>HYPERLINK("https://www.773grp.com/manufacturer/onsemi?pageNo=636", "ON Semiconductor")</f>
        <v>ON Semiconductor</v>
      </c>
      <c r="C31138" s="6">
        <v>105167</v>
      </c>
      <c r="D31138" s="7">
        <v>0.74</v>
      </c>
      <c r="E31138" t="s">
        <v>106</v>
      </c>
    </row>
    <row r="31139" spans="1:5" x14ac:dyDescent="0.25">
      <c r="A31139" t="str">
        <f>HYPERLINK("https://www.773grp.com/globalSearch/NTHS5441T1G/page-1", "NTHS5441T1G")</f>
        <v>NTHS5441T1G</v>
      </c>
      <c r="B31139" s="3" t="str">
        <f>HYPERLINK("https://www.773grp.com/manufacturer/onsemi?pageNo=637", "ON Semiconductor")</f>
        <v>ON Semiconductor</v>
      </c>
      <c r="C31139" s="6">
        <v>193</v>
      </c>
      <c r="D31139" s="7">
        <v>0.74</v>
      </c>
      <c r="E31139" t="s">
        <v>106</v>
      </c>
    </row>
    <row r="31140" spans="1:5" x14ac:dyDescent="0.25">
      <c r="A31140" t="str">
        <f>HYPERLINK("https://www.773grp.com/globalSearch/NTHS5445T1/page-1", "NTHS5445T1")</f>
        <v>NTHS5445T1</v>
      </c>
      <c r="B31140" s="3" t="str">
        <f>HYPERLINK("https://www.773grp.com/manufacturer/onsemi?pageNo=638", "ON Semiconductor")</f>
        <v>ON Semiconductor</v>
      </c>
      <c r="C31140" s="6">
        <v>12000</v>
      </c>
      <c r="D31140" s="7">
        <v>0.74</v>
      </c>
      <c r="E31140" t="s">
        <v>106</v>
      </c>
    </row>
    <row r="31141" spans="1:5" x14ac:dyDescent="0.25">
      <c r="A31141" t="str">
        <f>HYPERLINK("https://www.773grp.com/globalSearch/NTMD4184PFR2G/page-1", "NTMD4184PFR2G")</f>
        <v>NTMD4184PFR2G</v>
      </c>
      <c r="B31141" s="3" t="str">
        <f>HYPERLINK("https://www.773grp.com/manufacturer/onsemi?pageNo=639", "ON Semiconductor")</f>
        <v>ON Semiconductor</v>
      </c>
      <c r="C31141" s="6">
        <v>11880</v>
      </c>
      <c r="D31141" s="7">
        <v>0.74</v>
      </c>
      <c r="E31141" t="s">
        <v>106</v>
      </c>
    </row>
    <row r="31142" spans="1:5" x14ac:dyDescent="0.25">
      <c r="A31142" t="str">
        <f>HYPERLINK("https://www.773grp.com/globalSearch/NTMS4176PR2G/page-1", "NTMS4176PR2G")</f>
        <v>NTMS4176PR2G</v>
      </c>
      <c r="B31142" s="3" t="str">
        <f>HYPERLINK("https://www.773grp.com/manufacturer/onsemi?pageNo=640", "ON Semiconductor")</f>
        <v>ON Semiconductor</v>
      </c>
      <c r="C31142" s="6">
        <v>27554</v>
      </c>
      <c r="D31142" s="7">
        <v>0.74</v>
      </c>
      <c r="E31142" t="s">
        <v>106</v>
      </c>
    </row>
    <row r="31143" spans="1:5" x14ac:dyDescent="0.25">
      <c r="A31143" t="str">
        <f>HYPERLINK("https://www.773grp.com/globalSearch/NTMSD2P102LR2/page-1", "NTMSD2P102LR2")</f>
        <v>NTMSD2P102LR2</v>
      </c>
      <c r="B31143" s="3" t="str">
        <f>HYPERLINK("https://www.773grp.com/manufacturer/onsemi?pageNo=641", "ON Semiconductor")</f>
        <v>ON Semiconductor</v>
      </c>
      <c r="C31143" s="6">
        <v>2492</v>
      </c>
      <c r="D31143" s="7">
        <v>0.74</v>
      </c>
      <c r="E31143" t="s">
        <v>106</v>
      </c>
    </row>
    <row r="31144" spans="1:5" x14ac:dyDescent="0.25">
      <c r="A31144" t="str">
        <f>HYPERLINK("https://www.773grp.com/globalSearch/NTMSD2P102LR2G/page-1", "NTMSD2P102LR2G")</f>
        <v>NTMSD2P102LR2G</v>
      </c>
      <c r="B31144" s="3" t="str">
        <f>HYPERLINK("https://www.773grp.com/manufacturer/onsemi?pageNo=642", "ON Semiconductor")</f>
        <v>ON Semiconductor</v>
      </c>
      <c r="C31144" s="6">
        <v>7500</v>
      </c>
      <c r="D31144" s="7">
        <v>0.74</v>
      </c>
      <c r="E31144" t="s">
        <v>106</v>
      </c>
    </row>
    <row r="31145" spans="1:5" x14ac:dyDescent="0.25">
      <c r="A31145" t="str">
        <f>HYPERLINK("https://www.773grp.com/globalSearch/NTMSD2P102R2/page-1", "NTMSD2P102R2")</f>
        <v>NTMSD2P102R2</v>
      </c>
      <c r="B31145" s="3" t="str">
        <f>HYPERLINK("https://www.773grp.com/manufacturer/onsemi?pageNo=643", "ON Semiconductor")</f>
        <v>ON Semiconductor</v>
      </c>
      <c r="C31145" s="6">
        <v>2500</v>
      </c>
      <c r="D31145" s="7">
        <v>0.74</v>
      </c>
    </row>
    <row r="31146" spans="1:5" x14ac:dyDescent="0.25">
      <c r="A31146" t="str">
        <f>HYPERLINK("https://www.773grp.com/globalSearch/NTMSD2P102R2SG/page-1", "NTMSD2P102R2SG")</f>
        <v>NTMSD2P102R2SG</v>
      </c>
      <c r="B31146" s="3" t="str">
        <f>HYPERLINK("https://www.773grp.com/manufacturer/onsemi?pageNo=644", "ON Semiconductor")</f>
        <v>ON Semiconductor</v>
      </c>
      <c r="C31146" s="6">
        <v>17500</v>
      </c>
      <c r="D31146" s="7">
        <v>0.74</v>
      </c>
    </row>
    <row r="31147" spans="1:5" x14ac:dyDescent="0.25">
      <c r="A31147" t="str">
        <f>HYPERLINK("https://www.773grp.com/globalSearch/NTMSD3P102R2/page-1", "NTMSD3P102R2")</f>
        <v>NTMSD3P102R2</v>
      </c>
      <c r="B31147" s="3" t="str">
        <f>HYPERLINK("https://www.773grp.com/manufacturer/onsemi?pageNo=645", "ON Semiconductor")</f>
        <v>ON Semiconductor</v>
      </c>
      <c r="C31147" s="6">
        <v>2466</v>
      </c>
      <c r="D31147" s="7">
        <v>0.74</v>
      </c>
      <c r="E31147" t="s">
        <v>106</v>
      </c>
    </row>
    <row r="31148" spans="1:5" x14ac:dyDescent="0.25">
      <c r="A31148" t="str">
        <f>HYPERLINK("https://www.773grp.com/globalSearch/NTP65N02R/page-1", "NTP65N02R")</f>
        <v>NTP65N02R</v>
      </c>
      <c r="B31148" s="3" t="str">
        <f>HYPERLINK("https://www.773grp.com/manufacturer/onsemi?pageNo=646", "ON Semiconductor")</f>
        <v>ON Semiconductor</v>
      </c>
      <c r="C31148" s="6">
        <v>16392</v>
      </c>
      <c r="D31148" s="7">
        <v>0.74</v>
      </c>
      <c r="E31148" t="s">
        <v>105</v>
      </c>
    </row>
    <row r="31149" spans="1:5" x14ac:dyDescent="0.25">
      <c r="A31149" t="str">
        <f>HYPERLINK("https://www.773grp.com/globalSearch/NTQD6968N/page-1", "NTQD6968N")</f>
        <v>NTQD6968N</v>
      </c>
      <c r="B31149" s="3" t="str">
        <f>HYPERLINK("https://www.773grp.com/manufacturer/onsemi?pageNo=647", "ON Semiconductor")</f>
        <v>ON Semiconductor</v>
      </c>
      <c r="C31149" s="6">
        <v>39</v>
      </c>
      <c r="D31149" s="7">
        <v>0.74</v>
      </c>
      <c r="E31149" t="s">
        <v>105</v>
      </c>
    </row>
    <row r="31150" spans="1:5" x14ac:dyDescent="0.25">
      <c r="A31150" t="str">
        <f>HYPERLINK("https://www.773grp.com/globalSearch/NTQD6968NR2/page-1", "NTQD6968NR2")</f>
        <v>NTQD6968NR2</v>
      </c>
      <c r="B31150" s="3" t="str">
        <f>HYPERLINK("https://www.773grp.com/manufacturer/onsemi?pageNo=648", "ON Semiconductor")</f>
        <v>ON Semiconductor</v>
      </c>
      <c r="C31150" s="6">
        <v>8000</v>
      </c>
      <c r="D31150" s="7">
        <v>0.74</v>
      </c>
      <c r="E31150" t="s">
        <v>105</v>
      </c>
    </row>
    <row r="31151" spans="1:5" x14ac:dyDescent="0.25">
      <c r="A31151" t="str">
        <f>HYPERLINK("https://www.773grp.com/globalSearch/NTVD20N03L27T4G/page-1", "NTVD20N03L27T4G")</f>
        <v>NTVD20N03L27T4G</v>
      </c>
      <c r="B31151" s="3" t="str">
        <f>HYPERLINK("https://www.773grp.com/manufacturer/onsemi?pageNo=649", "ON Semiconductor")</f>
        <v>ON Semiconductor</v>
      </c>
      <c r="C31151" s="6">
        <v>2500</v>
      </c>
      <c r="D31151" s="7">
        <v>0.74</v>
      </c>
    </row>
    <row r="31152" spans="1:5" x14ac:dyDescent="0.25">
      <c r="A31152" t="str">
        <f>HYPERLINK("https://www.773grp.com/globalSearch/NUD3124LT1/page-1", "NUD3124LT1")</f>
        <v>NUD3124LT1</v>
      </c>
      <c r="B31152" s="3" t="str">
        <f>HYPERLINK("https://www.773grp.com/manufacturer/onsemi?pageNo=650", "ON Semiconductor")</f>
        <v>ON Semiconductor</v>
      </c>
      <c r="C31152" s="6">
        <v>2792</v>
      </c>
      <c r="D31152" s="7">
        <v>0.74</v>
      </c>
      <c r="E31152" t="s">
        <v>106</v>
      </c>
    </row>
    <row r="31153" spans="1:5" x14ac:dyDescent="0.25">
      <c r="A31153" t="str">
        <f>HYPERLINK("https://www.773grp.com/globalSearch/NUF2220XV6T1/page-1", "NUF2220XV6T1")</f>
        <v>NUF2220XV6T1</v>
      </c>
      <c r="B31153" s="3" t="str">
        <f>HYPERLINK("https://www.773grp.com/manufacturer/onsemi?pageNo=651", "ON Semiconductor")</f>
        <v>ON Semiconductor</v>
      </c>
      <c r="C31153" s="6">
        <v>64000</v>
      </c>
      <c r="D31153" s="7">
        <v>0.74</v>
      </c>
      <c r="E31153" t="s">
        <v>100</v>
      </c>
    </row>
    <row r="31154" spans="1:5" x14ac:dyDescent="0.25">
      <c r="A31154" t="str">
        <f>HYPERLINK("https://www.773grp.com/globalSearch/NUF8410MNT4G/page-1", "NUF8410MNT4G")</f>
        <v>NUF8410MNT4G</v>
      </c>
      <c r="B31154" s="3" t="str">
        <f>HYPERLINK("https://www.773grp.com/manufacturer/onsemi?pageNo=652", "ON Semiconductor")</f>
        <v>ON Semiconductor</v>
      </c>
      <c r="C31154" s="6">
        <v>501125</v>
      </c>
      <c r="D31154" s="7">
        <v>0.74</v>
      </c>
      <c r="E31154" t="s">
        <v>100</v>
      </c>
    </row>
    <row r="31155" spans="1:5" x14ac:dyDescent="0.25">
      <c r="A31155" t="str">
        <f>HYPERLINK("https://www.773grp.com/globalSearch/NUP4103FCT1/page-1", "NUP4103FCT1")</f>
        <v>NUP4103FCT1</v>
      </c>
      <c r="B31155" s="3" t="str">
        <f>HYPERLINK("https://www.773grp.com/manufacturer/onsemi?pageNo=653", "ON Semiconductor")</f>
        <v>ON Semiconductor</v>
      </c>
      <c r="C31155" s="6">
        <v>1299000</v>
      </c>
      <c r="D31155" s="7">
        <v>0.74</v>
      </c>
      <c r="E31155" t="s">
        <v>100</v>
      </c>
    </row>
    <row r="31156" spans="1:5" x14ac:dyDescent="0.25">
      <c r="A31156" t="str">
        <f>HYPERLINK("https://www.773grp.com/globalSearch/NUS2401SNT1/page-1", "NUS2401SNT1")</f>
        <v>NUS2401SNT1</v>
      </c>
      <c r="B31156" s="3" t="str">
        <f>HYPERLINK("https://www.773grp.com/manufacturer/onsemi?pageNo=654", "ON Semiconductor")</f>
        <v>ON Semiconductor</v>
      </c>
      <c r="C31156" s="6">
        <v>5990</v>
      </c>
      <c r="D31156" s="7">
        <v>0.74</v>
      </c>
      <c r="E31156" t="s">
        <v>69</v>
      </c>
    </row>
    <row r="31157" spans="1:5" x14ac:dyDescent="0.25">
      <c r="A31157" t="str">
        <f>HYPERLINK("https://www.773grp.com/globalSearch/SC28829PK165/page-1", "SC28829PK165")</f>
        <v>SC28829PK165</v>
      </c>
      <c r="B31157" s="3" t="str">
        <f>HYPERLINK("https://www.773grp.com/manufacturer/onsemi?pageNo=655", "ON Semiconductor")</f>
        <v>ON Semiconductor</v>
      </c>
      <c r="C31157" s="6">
        <v>1175</v>
      </c>
      <c r="D31157" s="7">
        <v>0.74</v>
      </c>
    </row>
    <row r="31158" spans="1:5" x14ac:dyDescent="0.25">
      <c r="A31158" t="str">
        <f>HYPERLINK("https://www.773grp.com/globalSearch/SC28829PK259/page-1", "SC28829PK259")</f>
        <v>SC28829PK259</v>
      </c>
      <c r="B31158" s="3" t="str">
        <f>HYPERLINK("https://www.773grp.com/manufacturer/onsemi?pageNo=656", "ON Semiconductor")</f>
        <v>ON Semiconductor</v>
      </c>
      <c r="C31158" s="6">
        <v>4750</v>
      </c>
      <c r="D31158" s="7">
        <v>0.74</v>
      </c>
    </row>
    <row r="31159" spans="1:5" x14ac:dyDescent="0.25">
      <c r="A31159" t="str">
        <f>HYPERLINK("https://www.773grp.com/globalSearch/SC65895PK280/page-1", "SC65895PK280")</f>
        <v>SC65895PK280</v>
      </c>
      <c r="B31159" s="3" t="str">
        <f>HYPERLINK("https://www.773grp.com/manufacturer/onsemi?pageNo=657", "ON Semiconductor")</f>
        <v>ON Semiconductor</v>
      </c>
      <c r="C31159" s="6">
        <v>5375</v>
      </c>
      <c r="D31159" s="7">
        <v>0.74</v>
      </c>
    </row>
    <row r="31160" spans="1:5" x14ac:dyDescent="0.25">
      <c r="A31160" t="str">
        <f>HYPERLINK("https://www.773grp.com/globalSearch/SC68253PK073/page-1", "SC68253PK073")</f>
        <v>SC68253PK073</v>
      </c>
      <c r="B31160" s="3" t="str">
        <f>HYPERLINK("https://www.773grp.com/manufacturer/onsemi?pageNo=658", "ON Semiconductor")</f>
        <v>ON Semiconductor</v>
      </c>
      <c r="C31160" s="6">
        <v>2850</v>
      </c>
      <c r="D31160" s="7">
        <v>0.74</v>
      </c>
    </row>
    <row r="31161" spans="1:5" x14ac:dyDescent="0.25">
      <c r="A31161" t="str">
        <f>HYPERLINK("https://www.773grp.com/globalSearch/SCV301LSN28T1/page-1", "SCV301LSN28T1")</f>
        <v>SCV301LSN28T1</v>
      </c>
      <c r="B31161" s="3" t="str">
        <f>HYPERLINK("https://www.773grp.com/manufacturer/onsemi?pageNo=659", "ON Semiconductor")</f>
        <v>ON Semiconductor</v>
      </c>
      <c r="C31161" s="6">
        <v>9000</v>
      </c>
      <c r="D31161" s="7">
        <v>0.74</v>
      </c>
    </row>
    <row r="31162" spans="1:5" x14ac:dyDescent="0.25">
      <c r="A31162" t="str">
        <f>HYPERLINK("https://www.773grp.com/globalSearch/SCV303LSN44T1/page-1", "SCV303LSN44T1")</f>
        <v>SCV303LSN44T1</v>
      </c>
      <c r="B31162" s="3" t="str">
        <f>HYPERLINK("https://www.773grp.com/manufacturer/onsemi?pageNo=660", "ON Semiconductor")</f>
        <v>ON Semiconductor</v>
      </c>
      <c r="C31162" s="6">
        <v>3000</v>
      </c>
      <c r="D31162" s="7">
        <v>0.74</v>
      </c>
    </row>
    <row r="31163" spans="1:5" x14ac:dyDescent="0.25">
      <c r="A31163" t="str">
        <f>HYPERLINK("https://www.773grp.com/globalSearch/SMT08B310T3G/page-1", "SMT08B310T3G")</f>
        <v>SMT08B310T3G</v>
      </c>
      <c r="B31163" s="3" t="str">
        <f>HYPERLINK("https://www.773grp.com/manufacturer/onsemi?pageNo=661", "ON Semiconductor")</f>
        <v>ON Semiconductor</v>
      </c>
      <c r="C31163" s="6">
        <v>7500</v>
      </c>
      <c r="D31163" s="7">
        <v>0.74</v>
      </c>
    </row>
    <row r="31164" spans="1:5" x14ac:dyDescent="0.25">
      <c r="A31164" t="str">
        <f>HYPERLINK("https://www.773grp.com/globalSearch/SN74LS107AD/page-1", "SN74LS107AD")</f>
        <v>SN74LS107AD</v>
      </c>
      <c r="B31164" s="3" t="str">
        <f>HYPERLINK("https://www.773grp.com/manufacturer/onsemi?pageNo=662", "ON Semiconductor")</f>
        <v>ON Semiconductor</v>
      </c>
      <c r="C31164" s="6">
        <v>3140</v>
      </c>
      <c r="D31164" s="7">
        <v>0.74</v>
      </c>
      <c r="E31164" t="s">
        <v>35</v>
      </c>
    </row>
    <row r="31165" spans="1:5" x14ac:dyDescent="0.25">
      <c r="A31165" t="str">
        <f>HYPERLINK("https://www.773grp.com/globalSearch/SN74LS151D/page-1", "SN74LS151D")</f>
        <v>SN74LS151D</v>
      </c>
      <c r="B31165" s="3" t="str">
        <f>HYPERLINK("https://www.773grp.com/manufacturer/onsemi?pageNo=663", "ON Semiconductor")</f>
        <v>ON Semiconductor</v>
      </c>
      <c r="C31165" s="6">
        <v>1072</v>
      </c>
      <c r="D31165" s="7">
        <v>0.74</v>
      </c>
      <c r="E31165" t="s">
        <v>20</v>
      </c>
    </row>
    <row r="31166" spans="1:5" x14ac:dyDescent="0.25">
      <c r="A31166" t="str">
        <f>HYPERLINK("https://www.773grp.com/globalSearch/SN74LS151DR2/page-1", "SN74LS151DR2")</f>
        <v>SN74LS151DR2</v>
      </c>
      <c r="B31166" s="3" t="str">
        <f>HYPERLINK("https://www.773grp.com/manufacturer/onsemi?pageNo=664", "ON Semiconductor")</f>
        <v>ON Semiconductor</v>
      </c>
      <c r="C31166" s="6">
        <v>12500</v>
      </c>
      <c r="D31166" s="7">
        <v>0.74</v>
      </c>
      <c r="E31166" t="s">
        <v>20</v>
      </c>
    </row>
    <row r="31167" spans="1:5" x14ac:dyDescent="0.25">
      <c r="A31167" t="str">
        <f>HYPERLINK("https://www.773grp.com/globalSearch/SN74LS151M/page-1", "SN74LS151M")</f>
        <v>SN74LS151M</v>
      </c>
      <c r="B31167" s="3" t="str">
        <f>HYPERLINK("https://www.773grp.com/manufacturer/onsemi?pageNo=665", "ON Semiconductor")</f>
        <v>ON Semiconductor</v>
      </c>
      <c r="C31167" s="6">
        <v>2700</v>
      </c>
      <c r="D31167" s="7">
        <v>0.74</v>
      </c>
      <c r="E31167" t="s">
        <v>20</v>
      </c>
    </row>
    <row r="31168" spans="1:5" x14ac:dyDescent="0.25">
      <c r="A31168" t="str">
        <f>HYPERLINK("https://www.773grp.com/globalSearch/SN74LS151M/page-1", "SN74LS151M")</f>
        <v>SN74LS151M</v>
      </c>
      <c r="B31168" s="3" t="str">
        <f>HYPERLINK("https://www.773grp.com/manufacturer/onsemi?pageNo=666", "ON Semiconductor")</f>
        <v>ON Semiconductor</v>
      </c>
      <c r="C31168" s="6">
        <v>4450</v>
      </c>
      <c r="D31168" s="7">
        <v>0.74</v>
      </c>
      <c r="E31168" t="s">
        <v>20</v>
      </c>
    </row>
    <row r="31169" spans="1:5" x14ac:dyDescent="0.25">
      <c r="A31169" t="str">
        <f>HYPERLINK("https://www.773grp.com/globalSearch/SN74LS151ML1/page-1", "SN74LS151ML1")</f>
        <v>SN74LS151ML1</v>
      </c>
      <c r="B31169" s="3" t="str">
        <f>HYPERLINK("https://www.773grp.com/manufacturer/onsemi?pageNo=667", "ON Semiconductor")</f>
        <v>ON Semiconductor</v>
      </c>
      <c r="C31169" s="6">
        <v>3000</v>
      </c>
      <c r="D31169" s="7">
        <v>0.74</v>
      </c>
    </row>
    <row r="31170" spans="1:5" x14ac:dyDescent="0.25">
      <c r="A31170" t="str">
        <f>HYPERLINK("https://www.773grp.com/globalSearch/SN74LS153D/page-1", "SN74LS153D")</f>
        <v>SN74LS153D</v>
      </c>
      <c r="B31170" s="3" t="str">
        <f>HYPERLINK("https://www.773grp.com/manufacturer/onsemi?pageNo=668", "ON Semiconductor")</f>
        <v>ON Semiconductor</v>
      </c>
      <c r="C31170" s="6">
        <v>1438</v>
      </c>
      <c r="D31170" s="7">
        <v>0.74</v>
      </c>
      <c r="E31170" t="s">
        <v>20</v>
      </c>
    </row>
    <row r="31171" spans="1:5" x14ac:dyDescent="0.25">
      <c r="A31171" t="str">
        <f>HYPERLINK("https://www.773grp.com/globalSearch/SN74LS153M/page-1", "SN74LS153M")</f>
        <v>SN74LS153M</v>
      </c>
      <c r="B31171" s="3" t="str">
        <f>HYPERLINK("https://www.773grp.com/manufacturer/onsemi?pageNo=669", "ON Semiconductor")</f>
        <v>ON Semiconductor</v>
      </c>
      <c r="C31171" s="6">
        <v>2350</v>
      </c>
      <c r="D31171" s="7">
        <v>0.74</v>
      </c>
      <c r="E31171" t="s">
        <v>20</v>
      </c>
    </row>
    <row r="31172" spans="1:5" x14ac:dyDescent="0.25">
      <c r="A31172" t="str">
        <f>HYPERLINK("https://www.773grp.com/globalSearch/SN74LS153MEL/page-1", "SN74LS153MEL")</f>
        <v>SN74LS153MEL</v>
      </c>
      <c r="B31172" s="3" t="str">
        <f>HYPERLINK("https://www.773grp.com/manufacturer/onsemi?pageNo=670", "ON Semiconductor")</f>
        <v>ON Semiconductor</v>
      </c>
      <c r="C31172" s="6">
        <v>4000</v>
      </c>
      <c r="D31172" s="7">
        <v>0.74</v>
      </c>
      <c r="E31172" t="s">
        <v>20</v>
      </c>
    </row>
    <row r="31173" spans="1:5" x14ac:dyDescent="0.25">
      <c r="A31173" t="str">
        <f>HYPERLINK("https://www.773grp.com/globalSearch/SN74LS153MR1/page-1", "SN74LS153MR1")</f>
        <v>SN74LS153MR1</v>
      </c>
      <c r="B31173" s="3" t="str">
        <f>HYPERLINK("https://www.773grp.com/manufacturer/onsemi?pageNo=671", "ON Semiconductor")</f>
        <v>ON Semiconductor</v>
      </c>
      <c r="C31173" s="6">
        <v>4000</v>
      </c>
      <c r="D31173" s="7">
        <v>0.74</v>
      </c>
      <c r="E31173" t="s">
        <v>20</v>
      </c>
    </row>
    <row r="31174" spans="1:5" x14ac:dyDescent="0.25">
      <c r="A31174" t="str">
        <f>HYPERLINK("https://www.773grp.com/globalSearch/SN74LS156N/page-1", "SN74LS156N")</f>
        <v>SN74LS156N</v>
      </c>
      <c r="B31174" s="3" t="str">
        <f>HYPERLINK("https://www.773grp.com/manufacturer/onsemi?pageNo=672", "ON Semiconductor")</f>
        <v>ON Semiconductor</v>
      </c>
      <c r="C31174" s="6">
        <v>5477</v>
      </c>
      <c r="D31174" s="7">
        <v>0.74</v>
      </c>
      <c r="E31174" t="s">
        <v>36</v>
      </c>
    </row>
    <row r="31175" spans="1:5" x14ac:dyDescent="0.25">
      <c r="A31175" t="str">
        <f>HYPERLINK("https://www.773grp.com/globalSearch/SN74LS157N/page-1", "SN74LS157N")</f>
        <v>SN74LS157N</v>
      </c>
      <c r="B31175" s="3" t="str">
        <f>HYPERLINK("https://www.773grp.com/manufacturer/onsemi?pageNo=673", "ON Semiconductor")</f>
        <v>ON Semiconductor</v>
      </c>
      <c r="C31175" s="6">
        <v>8771</v>
      </c>
      <c r="D31175" s="7">
        <v>0.74</v>
      </c>
      <c r="E31175" t="s">
        <v>20</v>
      </c>
    </row>
    <row r="31176" spans="1:5" x14ac:dyDescent="0.25">
      <c r="A31176" t="str">
        <f>HYPERLINK("https://www.773grp.com/globalSearch/SN74LS161AN/page-1", "SN74LS161AN")</f>
        <v>SN74LS161AN</v>
      </c>
      <c r="B31176" s="3" t="str">
        <f>HYPERLINK("https://www.773grp.com/manufacturer/onsemi?pageNo=674", "ON Semiconductor")</f>
        <v>ON Semiconductor</v>
      </c>
      <c r="C31176" s="6">
        <v>10724</v>
      </c>
      <c r="D31176" s="7">
        <v>0.74</v>
      </c>
      <c r="E31176" t="s">
        <v>26</v>
      </c>
    </row>
    <row r="31177" spans="1:5" x14ac:dyDescent="0.25">
      <c r="A31177" t="str">
        <f>HYPERLINK("https://www.773grp.com/globalSearch/SN74LS161AN/page-1", "SN74LS161AN")</f>
        <v>SN74LS161AN</v>
      </c>
      <c r="B31177" s="3" t="str">
        <f>HYPERLINK("https://www.773grp.com/manufacturer/onsemi?pageNo=675", "ON Semiconductor")</f>
        <v>ON Semiconductor</v>
      </c>
      <c r="C31177" s="6">
        <v>1975</v>
      </c>
      <c r="D31177" s="7">
        <v>0.74</v>
      </c>
      <c r="E31177" t="s">
        <v>26</v>
      </c>
    </row>
    <row r="31178" spans="1:5" x14ac:dyDescent="0.25">
      <c r="A31178" t="str">
        <f>HYPERLINK("https://www.773grp.com/globalSearch/SN74LS163AN/page-1", "SN74LS163AN")</f>
        <v>SN74LS163AN</v>
      </c>
      <c r="B31178" s="3" t="str">
        <f>HYPERLINK("https://www.773grp.com/manufacturer/onsemi?pageNo=676", "ON Semiconductor")</f>
        <v>ON Semiconductor</v>
      </c>
      <c r="C31178" s="6">
        <v>200</v>
      </c>
      <c r="D31178" s="7">
        <v>0.74</v>
      </c>
      <c r="E31178" t="s">
        <v>26</v>
      </c>
    </row>
    <row r="31179" spans="1:5" x14ac:dyDescent="0.25">
      <c r="A31179" t="str">
        <f>HYPERLINK("https://www.773grp.com/globalSearch/SN74LS164MR1/page-1", "SN74LS164MR1")</f>
        <v>SN74LS164MR1</v>
      </c>
      <c r="B31179" s="3" t="str">
        <f>HYPERLINK("https://www.773grp.com/manufacturer/onsemi?pageNo=677", "ON Semiconductor")</f>
        <v>ON Semiconductor</v>
      </c>
      <c r="C31179" s="6">
        <v>1000</v>
      </c>
      <c r="D31179" s="7">
        <v>0.74</v>
      </c>
      <c r="E31179" t="s">
        <v>32</v>
      </c>
    </row>
    <row r="31180" spans="1:5" x14ac:dyDescent="0.25">
      <c r="A31180" t="str">
        <f>HYPERLINK("https://www.773grp.com/globalSearch/SN74LS251N/page-1", "SN74LS251N")</f>
        <v>SN74LS251N</v>
      </c>
      <c r="B31180" s="3" t="str">
        <f>HYPERLINK("https://www.773grp.com/manufacturer/onsemi?pageNo=678", "ON Semiconductor")</f>
        <v>ON Semiconductor</v>
      </c>
      <c r="C31180" s="6">
        <v>2262</v>
      </c>
      <c r="D31180" s="7">
        <v>0.74</v>
      </c>
      <c r="E31180" t="s">
        <v>20</v>
      </c>
    </row>
    <row r="31181" spans="1:5" x14ac:dyDescent="0.25">
      <c r="A31181" t="str">
        <f>HYPERLINK("https://www.773grp.com/globalSearch/SN74LS253N/page-1", "SN74LS253N")</f>
        <v>SN74LS253N</v>
      </c>
      <c r="B31181" s="3" t="str">
        <f>HYPERLINK("https://www.773grp.com/manufacturer/onsemi?pageNo=679", "ON Semiconductor")</f>
        <v>ON Semiconductor</v>
      </c>
      <c r="C31181" s="6">
        <v>10600</v>
      </c>
      <c r="D31181" s="7">
        <v>0.74</v>
      </c>
      <c r="E31181" t="s">
        <v>20</v>
      </c>
    </row>
    <row r="31182" spans="1:5" x14ac:dyDescent="0.25">
      <c r="A31182" t="str">
        <f>HYPERLINK("https://www.773grp.com/globalSearch/SN74LS257BN/page-1", "SN74LS257BN")</f>
        <v>SN74LS257BN</v>
      </c>
      <c r="B31182" s="3" t="str">
        <f>HYPERLINK("https://www.773grp.com/manufacturer/onsemi?pageNo=680", "ON Semiconductor")</f>
        <v>ON Semiconductor</v>
      </c>
      <c r="C31182" s="6">
        <v>2325</v>
      </c>
      <c r="D31182" s="7">
        <v>0.74</v>
      </c>
      <c r="E31182" t="s">
        <v>20</v>
      </c>
    </row>
    <row r="31183" spans="1:5" x14ac:dyDescent="0.25">
      <c r="A31183" t="str">
        <f>HYPERLINK("https://www.773grp.com/globalSearch/SN74LS258BN/page-1", "SN74LS258BN")</f>
        <v>SN74LS258BN</v>
      </c>
      <c r="B31183" s="3" t="str">
        <f>HYPERLINK("https://www.773grp.com/manufacturer/onsemi?pageNo=681", "ON Semiconductor")</f>
        <v>ON Semiconductor</v>
      </c>
      <c r="C31183" s="6">
        <v>2844</v>
      </c>
      <c r="D31183" s="7">
        <v>0.74</v>
      </c>
      <c r="E31183" t="s">
        <v>20</v>
      </c>
    </row>
    <row r="31184" spans="1:5" x14ac:dyDescent="0.25">
      <c r="A31184" t="str">
        <f>HYPERLINK("https://www.773grp.com/globalSearch/SN74LS279M/page-1", "SN74LS279M")</f>
        <v>SN74LS279M</v>
      </c>
      <c r="B31184" s="3" t="str">
        <f>HYPERLINK("https://www.773grp.com/manufacturer/onsemi?pageNo=682", "ON Semiconductor")</f>
        <v>ON Semiconductor</v>
      </c>
      <c r="C31184" s="6">
        <v>3250</v>
      </c>
      <c r="D31184" s="7">
        <v>0.74</v>
      </c>
    </row>
    <row r="31185" spans="1:5" x14ac:dyDescent="0.25">
      <c r="A31185" t="str">
        <f>HYPERLINK("https://www.773grp.com/globalSearch/SN74LS279N/page-1", "SN74LS279N")</f>
        <v>SN74LS279N</v>
      </c>
      <c r="B31185" s="3" t="str">
        <f>HYPERLINK("https://www.773grp.com/manufacturer/onsemi?pageNo=683", "ON Semiconductor")</f>
        <v>ON Semiconductor</v>
      </c>
      <c r="C31185" s="6">
        <v>15579</v>
      </c>
      <c r="D31185" s="7">
        <v>0.74</v>
      </c>
      <c r="E31185" t="s">
        <v>35</v>
      </c>
    </row>
    <row r="31186" spans="1:5" x14ac:dyDescent="0.25">
      <c r="A31186" t="str">
        <f>HYPERLINK("https://www.773grp.com/globalSearch/SN74LS365AD/page-1", "SN74LS365AD")</f>
        <v>SN74LS365AD</v>
      </c>
      <c r="B31186" s="3" t="str">
        <f>HYPERLINK("https://www.773grp.com/manufacturer/onsemi?pageNo=684", "ON Semiconductor")</f>
        <v>ON Semiconductor</v>
      </c>
      <c r="C31186" s="6">
        <v>610</v>
      </c>
      <c r="D31186" s="7">
        <v>0.74</v>
      </c>
      <c r="E31186" t="s">
        <v>14</v>
      </c>
    </row>
    <row r="31187" spans="1:5" x14ac:dyDescent="0.25">
      <c r="A31187" t="str">
        <f>HYPERLINK("https://www.773grp.com/globalSearch/SN74LS367AD/page-1", "SN74LS367AD")</f>
        <v>SN74LS367AD</v>
      </c>
      <c r="B31187" s="3" t="str">
        <f>HYPERLINK("https://www.773grp.com/manufacturer/onsemi?pageNo=685", "ON Semiconductor")</f>
        <v>ON Semiconductor</v>
      </c>
      <c r="C31187" s="6">
        <v>582</v>
      </c>
      <c r="D31187" s="7">
        <v>0.74</v>
      </c>
      <c r="E31187" t="s">
        <v>14</v>
      </c>
    </row>
    <row r="31188" spans="1:5" x14ac:dyDescent="0.25">
      <c r="A31188" t="str">
        <f>HYPERLINK("https://www.773grp.com/globalSearch/SN74LS367ADR2/page-1", "SN74LS367ADR2")</f>
        <v>SN74LS367ADR2</v>
      </c>
      <c r="B31188" s="3" t="str">
        <f>HYPERLINK("https://www.773grp.com/manufacturer/onsemi?pageNo=686", "ON Semiconductor")</f>
        <v>ON Semiconductor</v>
      </c>
      <c r="C31188" s="6">
        <v>50000</v>
      </c>
      <c r="D31188" s="7">
        <v>0.74</v>
      </c>
      <c r="E31188" t="s">
        <v>14</v>
      </c>
    </row>
    <row r="31189" spans="1:5" x14ac:dyDescent="0.25">
      <c r="A31189" t="str">
        <f>HYPERLINK("https://www.773grp.com/globalSearch/SN74LS367AML1/page-1", "SN74LS367AML1")</f>
        <v>SN74LS367AML1</v>
      </c>
      <c r="B31189" s="3" t="str">
        <f>HYPERLINK("https://www.773grp.com/manufacturer/onsemi?pageNo=687", "ON Semiconductor")</f>
        <v>ON Semiconductor</v>
      </c>
      <c r="C31189" s="6">
        <v>2000</v>
      </c>
      <c r="D31189" s="7">
        <v>0.74</v>
      </c>
    </row>
    <row r="31190" spans="1:5" x14ac:dyDescent="0.25">
      <c r="A31190" t="str">
        <f>HYPERLINK("https://www.773grp.com/globalSearch/SN74LS368AD/page-1", "SN74LS368AD")</f>
        <v>SN74LS368AD</v>
      </c>
      <c r="B31190" s="3" t="str">
        <f>HYPERLINK("https://www.773grp.com/manufacturer/onsemi?pageNo=688", "ON Semiconductor")</f>
        <v>ON Semiconductor</v>
      </c>
      <c r="C31190" s="6">
        <v>7929</v>
      </c>
      <c r="D31190" s="7">
        <v>0.74</v>
      </c>
      <c r="E31190" t="s">
        <v>14</v>
      </c>
    </row>
    <row r="31191" spans="1:5" x14ac:dyDescent="0.25">
      <c r="A31191" t="str">
        <f>HYPERLINK("https://www.773grp.com/globalSearch/SN74LS368ADR2/page-1", "SN74LS368ADR2")</f>
        <v>SN74LS368ADR2</v>
      </c>
      <c r="B31191" s="3" t="str">
        <f>HYPERLINK("https://www.773grp.com/manufacturer/onsemi?pageNo=689", "ON Semiconductor")</f>
        <v>ON Semiconductor</v>
      </c>
      <c r="C31191" s="6">
        <v>2500</v>
      </c>
      <c r="D31191" s="7">
        <v>0.74</v>
      </c>
      <c r="E31191" t="s">
        <v>14</v>
      </c>
    </row>
    <row r="31192" spans="1:5" x14ac:dyDescent="0.25">
      <c r="A31192" t="str">
        <f>HYPERLINK("https://www.773grp.com/globalSearch/SN74LS368AML1/page-1", "SN74LS368AML1")</f>
        <v>SN74LS368AML1</v>
      </c>
      <c r="B31192" s="3" t="str">
        <f>HYPERLINK("https://www.773grp.com/manufacturer/onsemi?pageNo=690", "ON Semiconductor")</f>
        <v>ON Semiconductor</v>
      </c>
      <c r="C31192" s="6">
        <v>1000</v>
      </c>
      <c r="D31192" s="7">
        <v>0.74</v>
      </c>
    </row>
    <row r="31193" spans="1:5" x14ac:dyDescent="0.25">
      <c r="A31193" t="str">
        <f>HYPERLINK("https://www.773grp.com/globalSearch/SN74LS368AMR1/page-1", "SN74LS368AMR1")</f>
        <v>SN74LS368AMR1</v>
      </c>
      <c r="B31193" s="3" t="str">
        <f>HYPERLINK("https://www.773grp.com/manufacturer/onsemi?pageNo=691", "ON Semiconductor")</f>
        <v>ON Semiconductor</v>
      </c>
      <c r="C31193" s="6">
        <v>58000</v>
      </c>
      <c r="D31193" s="7">
        <v>0.74</v>
      </c>
    </row>
    <row r="31194" spans="1:5" x14ac:dyDescent="0.25">
      <c r="A31194" t="str">
        <f>HYPERLINK("https://www.773grp.com/globalSearch/SN74LS85N/page-1", "SN74LS85N")</f>
        <v>SN74LS85N</v>
      </c>
      <c r="B31194" s="3" t="str">
        <f>HYPERLINK("https://www.773grp.com/manufacturer/onsemi?pageNo=692", "ON Semiconductor")</f>
        <v>ON Semiconductor</v>
      </c>
      <c r="C31194" s="6">
        <v>9064</v>
      </c>
      <c r="D31194" s="7">
        <v>0.74</v>
      </c>
      <c r="E31194" t="s">
        <v>43</v>
      </c>
    </row>
    <row r="31195" spans="1:5" x14ac:dyDescent="0.25">
      <c r="A31195" t="str">
        <f>HYPERLINK("https://www.773grp.com/globalSearch/SNP3100SBT3G/page-1", "SNP3100SBT3G")</f>
        <v>SNP3100SBT3G</v>
      </c>
      <c r="B31195" s="3" t="str">
        <f>HYPERLINK("https://www.773grp.com/manufacturer/onsemi?pageNo=693", "ON Semiconductor")</f>
        <v>ON Semiconductor</v>
      </c>
      <c r="C31195" s="6">
        <v>150000</v>
      </c>
      <c r="D31195" s="7">
        <v>0.74</v>
      </c>
    </row>
    <row r="31196" spans="1:5" x14ac:dyDescent="0.25">
      <c r="A31196" t="str">
        <f>HYPERLINK("https://www.773grp.com/globalSearch/TE02196T/page-1", "TE02196T")</f>
        <v>TE02196T</v>
      </c>
      <c r="B31196" s="3" t="str">
        <f>HYPERLINK("https://www.773grp.com/manufacturer/onsemi?pageNo=694", "ON Semiconductor")</f>
        <v>ON Semiconductor</v>
      </c>
      <c r="C31196" s="6">
        <v>19100</v>
      </c>
      <c r="D31196" s="7">
        <v>0.74</v>
      </c>
    </row>
    <row r="31197" spans="1:5" x14ac:dyDescent="0.25">
      <c r="A31197" t="str">
        <f>HYPERLINK("https://www.773grp.com/globalSearch/TIP102/page-1", "TIP102")</f>
        <v>TIP102</v>
      </c>
      <c r="B31197" s="3" t="str">
        <f>HYPERLINK("https://www.773grp.com/manufacturer/onsemi?pageNo=695", "ON Semiconductor")</f>
        <v>ON Semiconductor</v>
      </c>
      <c r="C31197" s="6">
        <v>4</v>
      </c>
      <c r="D31197" s="7">
        <v>0.74</v>
      </c>
      <c r="E31197" t="s">
        <v>59</v>
      </c>
    </row>
    <row r="31198" spans="1:5" x14ac:dyDescent="0.25">
      <c r="A31198" t="str">
        <f>HYPERLINK("https://www.773grp.com/globalSearch/TL431AIDR2G/page-1", "TL431AIDR2G")</f>
        <v>TL431AIDR2G</v>
      </c>
      <c r="B31198" s="3" t="str">
        <f>HYPERLINK("https://www.773grp.com/manufacturer/onsemi?pageNo=696", "ON Semiconductor")</f>
        <v>ON Semiconductor</v>
      </c>
      <c r="C31198" s="6">
        <v>218280</v>
      </c>
      <c r="D31198" s="7">
        <v>0.74</v>
      </c>
      <c r="E31198" t="s">
        <v>17</v>
      </c>
    </row>
    <row r="31199" spans="1:5" x14ac:dyDescent="0.25">
      <c r="A31199" t="str">
        <f>HYPERLINK("https://www.773grp.com/globalSearch/TL431AILPG/page-1", "TL431AILPG")</f>
        <v>TL431AILPG</v>
      </c>
      <c r="B31199" s="3" t="str">
        <f>HYPERLINK("https://www.773grp.com/manufacturer/onsemi?pageNo=697", "ON Semiconductor")</f>
        <v>ON Semiconductor</v>
      </c>
      <c r="C31199" s="6">
        <v>477508</v>
      </c>
      <c r="D31199" s="7">
        <v>0.74</v>
      </c>
      <c r="E31199" t="s">
        <v>17</v>
      </c>
    </row>
    <row r="31200" spans="1:5" x14ac:dyDescent="0.25">
      <c r="A31200" t="str">
        <f>HYPERLINK("https://www.773grp.com/globalSearch/TL431AILPRAG/page-1", "TL431AILPRAG")</f>
        <v>TL431AILPRAG</v>
      </c>
      <c r="B31200" s="3" t="str">
        <f>HYPERLINK("https://www.773grp.com/manufacturer/onsemi?pageNo=698", "ON Semiconductor")</f>
        <v>ON Semiconductor</v>
      </c>
      <c r="C31200" s="6">
        <v>40000</v>
      </c>
      <c r="D31200" s="7">
        <v>0.74</v>
      </c>
      <c r="E31200" t="s">
        <v>17</v>
      </c>
    </row>
    <row r="31201" spans="1:5" x14ac:dyDescent="0.25">
      <c r="A31201" t="str">
        <f>HYPERLINK("https://www.773grp.com/globalSearch/TL431BCP/page-1", "TL431BCP")</f>
        <v>TL431BCP</v>
      </c>
      <c r="B31201" s="3" t="str">
        <f>HYPERLINK("https://www.773grp.com/manufacturer/onsemi?pageNo=699", "ON Semiconductor")</f>
        <v>ON Semiconductor</v>
      </c>
      <c r="C31201" s="6">
        <v>3050</v>
      </c>
      <c r="D31201" s="7">
        <v>0.74</v>
      </c>
      <c r="E31201" t="s">
        <v>17</v>
      </c>
    </row>
    <row r="31202" spans="1:5" x14ac:dyDescent="0.25">
      <c r="A31202" t="str">
        <f>HYPERLINK("https://www.773grp.com/globalSearch/TL431BVDG/page-1", "TL431BVDG")</f>
        <v>TL431BVDG</v>
      </c>
      <c r="B31202" s="3" t="str">
        <f>HYPERLINK("https://www.773grp.com/manufacturer/onsemi?pageNo=700", "ON Semiconductor")</f>
        <v>ON Semiconductor</v>
      </c>
      <c r="C31202" s="6">
        <v>9549</v>
      </c>
      <c r="D31202" s="7">
        <v>0.74</v>
      </c>
      <c r="E31202" t="s">
        <v>17</v>
      </c>
    </row>
    <row r="31203" spans="1:5" x14ac:dyDescent="0.25">
      <c r="A31203" t="str">
        <f>HYPERLINK("https://www.773grp.com/globalSearch/TL431CP/page-1", "TL431CP")</f>
        <v>TL431CP</v>
      </c>
      <c r="B31203" s="3" t="str">
        <f>HYPERLINK("https://www.773grp.com/manufacturer/onsemi?pageNo=701", "ON Semiconductor")</f>
        <v>ON Semiconductor</v>
      </c>
      <c r="C31203" s="6">
        <v>181</v>
      </c>
      <c r="D31203" s="7">
        <v>0.74</v>
      </c>
      <c r="E31203" t="s">
        <v>17</v>
      </c>
    </row>
    <row r="31204" spans="1:5" x14ac:dyDescent="0.25">
      <c r="A31204" t="str">
        <f>HYPERLINK("https://www.773grp.com/globalSearch/1.5KE10ARL4G/page-1", "1.5KE10ARL4G")</f>
        <v>1.5KE10ARL4G</v>
      </c>
      <c r="B31204" s="3" t="str">
        <f>HYPERLINK("https://www.773grp.com/manufacturer/onsemi?pageNo=702", "ON Semiconductor")</f>
        <v>ON Semiconductor</v>
      </c>
      <c r="C31204" s="6">
        <v>1500</v>
      </c>
      <c r="D31204" s="7">
        <v>0.79</v>
      </c>
    </row>
    <row r="31205" spans="1:5" x14ac:dyDescent="0.25">
      <c r="A31205" t="str">
        <f>HYPERLINK("https://www.773grp.com/globalSearch/1.5KE12ARL4G/page-1", "1.5KE12ARL4G")</f>
        <v>1.5KE12ARL4G</v>
      </c>
      <c r="B31205" s="3" t="str">
        <f>HYPERLINK("https://www.773grp.com/manufacturer/onsemi?pageNo=703", "ON Semiconductor")</f>
        <v>ON Semiconductor</v>
      </c>
      <c r="C31205" s="6">
        <v>47590</v>
      </c>
      <c r="D31205" s="7">
        <v>0.79</v>
      </c>
      <c r="E31205" t="s">
        <v>96</v>
      </c>
    </row>
    <row r="31206" spans="1:5" x14ac:dyDescent="0.25">
      <c r="A31206" t="str">
        <f>HYPERLINK("https://www.773grp.com/globalSearch/1.5KE15AG/page-1", "1.5KE15AG")</f>
        <v>1.5KE15AG</v>
      </c>
      <c r="B31206" s="3" t="str">
        <f>HYPERLINK("https://www.773grp.com/manufacturer/onsemi?pageNo=704", "ON Semiconductor")</f>
        <v>ON Semiconductor</v>
      </c>
      <c r="C31206" s="6">
        <v>18014</v>
      </c>
      <c r="D31206" s="7">
        <v>0.79</v>
      </c>
      <c r="E31206" t="s">
        <v>96</v>
      </c>
    </row>
    <row r="31207" spans="1:5" x14ac:dyDescent="0.25">
      <c r="A31207" t="str">
        <f>HYPERLINK("https://www.773grp.com/globalSearch/1.5KE15ARL4G/page-1", "1.5KE15ARL4G")</f>
        <v>1.5KE15ARL4G</v>
      </c>
      <c r="B31207" s="3" t="str">
        <f>HYPERLINK("https://www.773grp.com/manufacturer/onsemi?pageNo=705", "ON Semiconductor")</f>
        <v>ON Semiconductor</v>
      </c>
      <c r="C31207" s="6">
        <v>4500</v>
      </c>
      <c r="D31207" s="7">
        <v>0.79</v>
      </c>
    </row>
    <row r="31208" spans="1:5" x14ac:dyDescent="0.25">
      <c r="A31208" t="str">
        <f>HYPERLINK("https://www.773grp.com/globalSearch/1.5KE20AG/page-1", "1.5KE20AG")</f>
        <v>1.5KE20AG</v>
      </c>
      <c r="B31208" s="3" t="str">
        <f>HYPERLINK("https://www.773grp.com/manufacturer/onsemi?pageNo=706", "ON Semiconductor")</f>
        <v>ON Semiconductor</v>
      </c>
      <c r="C31208" s="6">
        <v>6177</v>
      </c>
      <c r="D31208" s="7">
        <v>0.79</v>
      </c>
      <c r="E31208" t="s">
        <v>96</v>
      </c>
    </row>
    <row r="31209" spans="1:5" x14ac:dyDescent="0.25">
      <c r="A31209" t="str">
        <f>HYPERLINK("https://www.773grp.com/globalSearch/1.5KE20ARL4G/page-1", "1.5KE20ARL4G")</f>
        <v>1.5KE20ARL4G</v>
      </c>
      <c r="B31209" s="3" t="str">
        <f>HYPERLINK("https://www.773grp.com/manufacturer/onsemi?pageNo=707", "ON Semiconductor")</f>
        <v>ON Semiconductor</v>
      </c>
      <c r="C31209" s="6">
        <v>15000</v>
      </c>
      <c r="D31209" s="7">
        <v>0.79</v>
      </c>
      <c r="E31209" t="s">
        <v>96</v>
      </c>
    </row>
    <row r="31210" spans="1:5" x14ac:dyDescent="0.25">
      <c r="A31210" t="str">
        <f>HYPERLINK("https://www.773grp.com/globalSearch/1.5KE33AG/page-1", "1.5KE33AG")</f>
        <v>1.5KE33AG</v>
      </c>
      <c r="B31210" s="3" t="str">
        <f>HYPERLINK("https://www.773grp.com/manufacturer/onsemi?pageNo=708", "ON Semiconductor")</f>
        <v>ON Semiconductor</v>
      </c>
      <c r="C31210" s="6">
        <v>13000</v>
      </c>
      <c r="D31210" s="7">
        <v>0.79</v>
      </c>
      <c r="E31210" t="s">
        <v>96</v>
      </c>
    </row>
    <row r="31211" spans="1:5" x14ac:dyDescent="0.25">
      <c r="A31211" t="str">
        <f>HYPERLINK("https://www.773grp.com/globalSearch/1.5KE39ARL4G/page-1", "1.5KE39ARL4G")</f>
        <v>1.5KE39ARL4G</v>
      </c>
      <c r="B31211" s="3" t="str">
        <f>HYPERLINK("https://www.773grp.com/manufacturer/onsemi?pageNo=709", "ON Semiconductor")</f>
        <v>ON Semiconductor</v>
      </c>
      <c r="C31211" s="6">
        <v>10500</v>
      </c>
      <c r="D31211" s="7">
        <v>0.79</v>
      </c>
      <c r="E31211" t="s">
        <v>96</v>
      </c>
    </row>
    <row r="31212" spans="1:5" x14ac:dyDescent="0.25">
      <c r="A31212" t="str">
        <f>HYPERLINK("https://www.773grp.com/globalSearch/1.5KE47AG/page-1", "1.5KE47AG")</f>
        <v>1.5KE47AG</v>
      </c>
      <c r="B31212" s="3" t="str">
        <f>HYPERLINK("https://www.773grp.com/manufacturer/onsemi?pageNo=710", "ON Semiconductor")</f>
        <v>ON Semiconductor</v>
      </c>
      <c r="C31212" s="6">
        <v>18799</v>
      </c>
      <c r="D31212" s="7">
        <v>0.79</v>
      </c>
      <c r="E31212" t="s">
        <v>96</v>
      </c>
    </row>
    <row r="31213" spans="1:5" x14ac:dyDescent="0.25">
      <c r="A31213" t="str">
        <f>HYPERLINK("https://www.773grp.com/globalSearch/1.5KE47ARL4G/page-1", "1.5KE47ARL4G")</f>
        <v>1.5KE47ARL4G</v>
      </c>
      <c r="B31213" s="3" t="str">
        <f>HYPERLINK("https://www.773grp.com/manufacturer/onsemi?pageNo=711", "ON Semiconductor")</f>
        <v>ON Semiconductor</v>
      </c>
      <c r="C31213" s="6">
        <v>2942</v>
      </c>
      <c r="D31213" s="7">
        <v>0.79</v>
      </c>
    </row>
    <row r="31214" spans="1:5" x14ac:dyDescent="0.25">
      <c r="A31214" t="str">
        <f>HYPERLINK("https://www.773grp.com/globalSearch/1.5KE51ARL4G/page-1", "1.5KE51ARL4G")</f>
        <v>1.5KE51ARL4G</v>
      </c>
      <c r="B31214" s="3" t="str">
        <f>HYPERLINK("https://www.773grp.com/manufacturer/onsemi?pageNo=712", "ON Semiconductor")</f>
        <v>ON Semiconductor</v>
      </c>
      <c r="C31214" s="6">
        <v>3000</v>
      </c>
      <c r="D31214" s="7">
        <v>0.79</v>
      </c>
      <c r="E31214" t="s">
        <v>96</v>
      </c>
    </row>
    <row r="31215" spans="1:5" x14ac:dyDescent="0.25">
      <c r="A31215" t="str">
        <f>HYPERLINK("https://www.773grp.com/globalSearch/1.5KE62AG/page-1", "1.5KE62AG")</f>
        <v>1.5KE62AG</v>
      </c>
      <c r="B31215" s="3" t="str">
        <f>HYPERLINK("https://www.773grp.com/manufacturer/onsemi?pageNo=713", "ON Semiconductor")</f>
        <v>ON Semiconductor</v>
      </c>
      <c r="C31215" s="6">
        <v>14072</v>
      </c>
      <c r="D31215" s="7">
        <v>0.79</v>
      </c>
      <c r="E31215" t="s">
        <v>96</v>
      </c>
    </row>
    <row r="31216" spans="1:5" x14ac:dyDescent="0.25">
      <c r="A31216" t="str">
        <f>HYPERLINK("https://www.773grp.com/globalSearch/1.5KE62ARL4G/page-1", "1.5KE62ARL4G")</f>
        <v>1.5KE62ARL4G</v>
      </c>
      <c r="B31216" s="3" t="str">
        <f>HYPERLINK("https://www.773grp.com/manufacturer/onsemi?pageNo=714", "ON Semiconductor")</f>
        <v>ON Semiconductor</v>
      </c>
      <c r="C31216" s="6">
        <v>6319</v>
      </c>
      <c r="D31216" s="7">
        <v>0.79</v>
      </c>
      <c r="E31216" t="s">
        <v>96</v>
      </c>
    </row>
    <row r="31217" spans="1:5" x14ac:dyDescent="0.25">
      <c r="A31217" t="str">
        <f>HYPERLINK("https://www.773grp.com/globalSearch/1.5KE68AG/page-1", "1.5KE68AG")</f>
        <v>1.5KE68AG</v>
      </c>
      <c r="B31217" s="3" t="str">
        <f>HYPERLINK("https://www.773grp.com/manufacturer/onsemi?pageNo=715", "ON Semiconductor")</f>
        <v>ON Semiconductor</v>
      </c>
      <c r="C31217" s="6">
        <v>11331</v>
      </c>
      <c r="D31217" s="7">
        <v>0.79</v>
      </c>
      <c r="E31217" t="s">
        <v>96</v>
      </c>
    </row>
    <row r="31218" spans="1:5" x14ac:dyDescent="0.25">
      <c r="A31218" t="str">
        <f>HYPERLINK("https://www.773grp.com/globalSearch/1.5KE68ARL4G/page-1", "1.5KE68ARL4G")</f>
        <v>1.5KE68ARL4G</v>
      </c>
      <c r="B31218" s="3" t="str">
        <f>HYPERLINK("https://www.773grp.com/manufacturer/onsemi?pageNo=716", "ON Semiconductor")</f>
        <v>ON Semiconductor</v>
      </c>
      <c r="C31218" s="6">
        <v>2997</v>
      </c>
      <c r="D31218" s="7">
        <v>0.79</v>
      </c>
      <c r="E31218" t="s">
        <v>96</v>
      </c>
    </row>
    <row r="31219" spans="1:5" x14ac:dyDescent="0.25">
      <c r="A31219" t="str">
        <f>HYPERLINK("https://www.773grp.com/globalSearch/1.5KE82ARL4G/page-1", "1.5KE82ARL4G")</f>
        <v>1.5KE82ARL4G</v>
      </c>
      <c r="B31219" s="3" t="str">
        <f>HYPERLINK("https://www.773grp.com/manufacturer/onsemi?pageNo=717", "ON Semiconductor")</f>
        <v>ON Semiconductor</v>
      </c>
      <c r="C31219" s="6">
        <v>1500</v>
      </c>
      <c r="D31219" s="7">
        <v>0.79</v>
      </c>
      <c r="E31219" t="s">
        <v>96</v>
      </c>
    </row>
    <row r="31220" spans="1:5" x14ac:dyDescent="0.25">
      <c r="A31220" t="str">
        <f>HYPERLINK("https://www.773grp.com/globalSearch/1.5KE9.1ARL4G/page-1", "1.5KE9.1ARL4G")</f>
        <v>1.5KE9.1ARL4G</v>
      </c>
      <c r="B31220" s="3" t="str">
        <f>HYPERLINK("https://www.773grp.com/manufacturer/onsemi?pageNo=718", "ON Semiconductor")</f>
        <v>ON Semiconductor</v>
      </c>
      <c r="C31220" s="6">
        <v>491</v>
      </c>
      <c r="D31220" s="7">
        <v>0.79</v>
      </c>
      <c r="E31220" t="s">
        <v>96</v>
      </c>
    </row>
    <row r="31221" spans="1:5" x14ac:dyDescent="0.25">
      <c r="A31221" t="str">
        <f>HYPERLINK("https://www.773grp.com/globalSearch/1N6274AG/page-1", "1N6274AG")</f>
        <v>1N6274AG</v>
      </c>
      <c r="B31221" s="3" t="str">
        <f>HYPERLINK("https://www.773grp.com/manufacturer/onsemi?pageNo=719", "ON Semiconductor")</f>
        <v>ON Semiconductor</v>
      </c>
      <c r="C31221" s="6">
        <v>7576</v>
      </c>
      <c r="D31221" s="7">
        <v>0.79</v>
      </c>
      <c r="E31221" t="s">
        <v>96</v>
      </c>
    </row>
    <row r="31222" spans="1:5" x14ac:dyDescent="0.25">
      <c r="A31222" t="str">
        <f>HYPERLINK("https://www.773grp.com/globalSearch/1N6276AG/page-1", "1N6276AG")</f>
        <v>1N6276AG</v>
      </c>
      <c r="B31222" s="3" t="str">
        <f>HYPERLINK("https://www.773grp.com/manufacturer/onsemi?pageNo=720", "ON Semiconductor")</f>
        <v>ON Semiconductor</v>
      </c>
      <c r="C31222" s="6">
        <v>10097</v>
      </c>
      <c r="D31222" s="7">
        <v>0.79</v>
      </c>
      <c r="E31222" t="s">
        <v>96</v>
      </c>
    </row>
    <row r="31223" spans="1:5" x14ac:dyDescent="0.25">
      <c r="A31223" t="str">
        <f>HYPERLINK("https://www.773grp.com/globalSearch/1N6276ARL4G/page-1", "1N6276ARL4G")</f>
        <v>1N6276ARL4G</v>
      </c>
      <c r="B31223" s="3" t="str">
        <f>HYPERLINK("https://www.773grp.com/manufacturer/onsemi?pageNo=721", "ON Semiconductor")</f>
        <v>ON Semiconductor</v>
      </c>
      <c r="C31223" s="6">
        <v>7500</v>
      </c>
      <c r="D31223" s="7">
        <v>0.79</v>
      </c>
      <c r="E31223" t="s">
        <v>96</v>
      </c>
    </row>
    <row r="31224" spans="1:5" x14ac:dyDescent="0.25">
      <c r="A31224" t="str">
        <f>HYPERLINK("https://www.773grp.com/globalSearch/1N6277ARL4G/page-1", "1N6277ARL4G")</f>
        <v>1N6277ARL4G</v>
      </c>
      <c r="B31224" s="3" t="str">
        <f>HYPERLINK("https://www.773grp.com/manufacturer/onsemi?pageNo=722", "ON Semiconductor")</f>
        <v>ON Semiconductor</v>
      </c>
      <c r="C31224" s="6">
        <v>9000</v>
      </c>
      <c r="D31224" s="7">
        <v>0.79</v>
      </c>
      <c r="E31224" t="s">
        <v>96</v>
      </c>
    </row>
    <row r="31225" spans="1:5" x14ac:dyDescent="0.25">
      <c r="A31225" t="str">
        <f>HYPERLINK("https://www.773grp.com/globalSearch/1N6278AG/page-1", "1N6278AG")</f>
        <v>1N6278AG</v>
      </c>
      <c r="B31225" s="3" t="str">
        <f>HYPERLINK("https://www.773grp.com/manufacturer/onsemi?pageNo=723", "ON Semiconductor")</f>
        <v>ON Semiconductor</v>
      </c>
      <c r="C31225" s="6">
        <v>6000</v>
      </c>
      <c r="D31225" s="7">
        <v>0.79</v>
      </c>
    </row>
    <row r="31226" spans="1:5" x14ac:dyDescent="0.25">
      <c r="A31226" t="str">
        <f>HYPERLINK("https://www.773grp.com/globalSearch/1N6279AG/page-1", "1N6279AG")</f>
        <v>1N6279AG</v>
      </c>
      <c r="B31226" s="3" t="str">
        <f>HYPERLINK("https://www.773grp.com/manufacturer/onsemi?pageNo=724", "ON Semiconductor")</f>
        <v>ON Semiconductor</v>
      </c>
      <c r="C31226" s="6">
        <v>7340</v>
      </c>
      <c r="D31226" s="7">
        <v>0.79</v>
      </c>
      <c r="E31226" t="s">
        <v>96</v>
      </c>
    </row>
    <row r="31227" spans="1:5" x14ac:dyDescent="0.25">
      <c r="A31227" t="str">
        <f>HYPERLINK("https://www.773grp.com/globalSearch/1N6280ARL4G/page-1", "1N6280ARL4G")</f>
        <v>1N6280ARL4G</v>
      </c>
      <c r="B31227" s="3" t="str">
        <f>HYPERLINK("https://www.773grp.com/manufacturer/onsemi?pageNo=725", "ON Semiconductor")</f>
        <v>ON Semiconductor</v>
      </c>
      <c r="C31227" s="6">
        <v>4500</v>
      </c>
      <c r="D31227" s="7">
        <v>0.79</v>
      </c>
      <c r="E31227" t="s">
        <v>96</v>
      </c>
    </row>
    <row r="31228" spans="1:5" x14ac:dyDescent="0.25">
      <c r="A31228" t="str">
        <f>HYPERLINK("https://www.773grp.com/globalSearch/1N6281AG/page-1", "1N6281AG")</f>
        <v>1N6281AG</v>
      </c>
      <c r="B31228" s="3" t="str">
        <f>HYPERLINK("https://www.773grp.com/manufacturer/onsemi?pageNo=726", "ON Semiconductor")</f>
        <v>ON Semiconductor</v>
      </c>
      <c r="C31228" s="6">
        <v>7756</v>
      </c>
      <c r="D31228" s="7">
        <v>0.79</v>
      </c>
      <c r="E31228" t="s">
        <v>96</v>
      </c>
    </row>
    <row r="31229" spans="1:5" x14ac:dyDescent="0.25">
      <c r="A31229" t="str">
        <f>HYPERLINK("https://www.773grp.com/globalSearch/1N6283AG/page-1", "1N6283AG")</f>
        <v>1N6283AG</v>
      </c>
      <c r="B31229" s="3" t="str">
        <f>HYPERLINK("https://www.773grp.com/manufacturer/onsemi?pageNo=727", "ON Semiconductor")</f>
        <v>ON Semiconductor</v>
      </c>
      <c r="C31229" s="6">
        <v>13364</v>
      </c>
      <c r="D31229" s="7">
        <v>0.79</v>
      </c>
      <c r="E31229" t="s">
        <v>96</v>
      </c>
    </row>
    <row r="31230" spans="1:5" x14ac:dyDescent="0.25">
      <c r="A31230" t="str">
        <f>HYPERLINK("https://www.773grp.com/globalSearch/1N6286AG/page-1", "1N6286AG")</f>
        <v>1N6286AG</v>
      </c>
      <c r="B31230" s="3" t="str">
        <f>HYPERLINK("https://www.773grp.com/manufacturer/onsemi?pageNo=728", "ON Semiconductor")</f>
        <v>ON Semiconductor</v>
      </c>
      <c r="C31230" s="6">
        <v>3250</v>
      </c>
      <c r="D31230" s="7">
        <v>0.79</v>
      </c>
      <c r="E31230" t="s">
        <v>96</v>
      </c>
    </row>
    <row r="31231" spans="1:5" x14ac:dyDescent="0.25">
      <c r="A31231" t="str">
        <f>HYPERLINK("https://www.773grp.com/globalSearch/1N6287AG/page-1", "1N6287AG")</f>
        <v>1N6287AG</v>
      </c>
      <c r="B31231" s="3" t="str">
        <f>HYPERLINK("https://www.773grp.com/manufacturer/onsemi?pageNo=729", "ON Semiconductor")</f>
        <v>ON Semiconductor</v>
      </c>
      <c r="C31231" s="6">
        <v>4300</v>
      </c>
      <c r="D31231" s="7">
        <v>0.79</v>
      </c>
      <c r="E31231" t="s">
        <v>96</v>
      </c>
    </row>
    <row r="31232" spans="1:5" x14ac:dyDescent="0.25">
      <c r="A31232" t="str">
        <f>HYPERLINK("https://www.773grp.com/globalSearch/1N6287ARL4G/page-1", "1N6287ARL4G")</f>
        <v>1N6287ARL4G</v>
      </c>
      <c r="B31232" s="3" t="str">
        <f>HYPERLINK("https://www.773grp.com/manufacturer/onsemi?pageNo=730", "ON Semiconductor")</f>
        <v>ON Semiconductor</v>
      </c>
      <c r="C31232" s="6">
        <v>1500</v>
      </c>
      <c r="D31232" s="7">
        <v>0.79</v>
      </c>
      <c r="E31232" t="s">
        <v>96</v>
      </c>
    </row>
    <row r="31233" spans="1:5" x14ac:dyDescent="0.25">
      <c r="A31233" t="str">
        <f>HYPERLINK("https://www.773grp.com/globalSearch/1N6288AG/page-1", "1N6288AG")</f>
        <v>1N6288AG</v>
      </c>
      <c r="B31233" s="3" t="str">
        <f>HYPERLINK("https://www.773grp.com/manufacturer/onsemi?pageNo=731", "ON Semiconductor")</f>
        <v>ON Semiconductor</v>
      </c>
      <c r="C31233" s="6">
        <v>12535</v>
      </c>
      <c r="D31233" s="7">
        <v>0.79</v>
      </c>
      <c r="E31233" t="s">
        <v>96</v>
      </c>
    </row>
    <row r="31234" spans="1:5" x14ac:dyDescent="0.25">
      <c r="A31234" t="str">
        <f>HYPERLINK("https://www.773grp.com/globalSearch/1N6289ARL4G/page-1", "1N6289ARL4G")</f>
        <v>1N6289ARL4G</v>
      </c>
      <c r="B31234" s="3" t="str">
        <f>HYPERLINK("https://www.773grp.com/manufacturer/onsemi?pageNo=732", "ON Semiconductor")</f>
        <v>ON Semiconductor</v>
      </c>
      <c r="C31234" s="6">
        <v>3000</v>
      </c>
      <c r="D31234" s="7">
        <v>0.79</v>
      </c>
    </row>
    <row r="31235" spans="1:5" x14ac:dyDescent="0.25">
      <c r="A31235" t="str">
        <f>HYPERLINK("https://www.773grp.com/globalSearch/1N6291AG/page-1", "1N6291AG")</f>
        <v>1N6291AG</v>
      </c>
      <c r="B31235" s="3" t="str">
        <f>HYPERLINK("https://www.773grp.com/manufacturer/onsemi?pageNo=733", "ON Semiconductor")</f>
        <v>ON Semiconductor</v>
      </c>
      <c r="C31235" s="6">
        <v>3249</v>
      </c>
      <c r="D31235" s="7">
        <v>0.79</v>
      </c>
      <c r="E31235" t="s">
        <v>96</v>
      </c>
    </row>
    <row r="31236" spans="1:5" x14ac:dyDescent="0.25">
      <c r="A31236" t="str">
        <f>HYPERLINK("https://www.773grp.com/globalSearch/1N6291ARL4G/page-1", "1N6291ARL4G")</f>
        <v>1N6291ARL4G</v>
      </c>
      <c r="B31236" s="3" t="str">
        <f>HYPERLINK("https://www.773grp.com/manufacturer/onsemi?pageNo=734", "ON Semiconductor")</f>
        <v>ON Semiconductor</v>
      </c>
      <c r="C31236" s="6">
        <v>7943</v>
      </c>
      <c r="D31236" s="7">
        <v>0.79</v>
      </c>
      <c r="E31236" t="s">
        <v>96</v>
      </c>
    </row>
    <row r="31237" spans="1:5" x14ac:dyDescent="0.25">
      <c r="A31237" t="str">
        <f>HYPERLINK("https://www.773grp.com/globalSearch/1N6292AG/page-1", "1N6292AG")</f>
        <v>1N6292AG</v>
      </c>
      <c r="B31237" s="3" t="str">
        <f>HYPERLINK("https://www.773grp.com/manufacturer/onsemi?pageNo=735", "ON Semiconductor")</f>
        <v>ON Semiconductor</v>
      </c>
      <c r="C31237" s="6">
        <v>7000</v>
      </c>
      <c r="D31237" s="7">
        <v>0.79</v>
      </c>
      <c r="E31237" t="s">
        <v>96</v>
      </c>
    </row>
    <row r="31238" spans="1:5" x14ac:dyDescent="0.25">
      <c r="A31238" t="str">
        <f>HYPERLINK("https://www.773grp.com/globalSearch/1N6292ARL4G/page-1", "1N6292ARL4G")</f>
        <v>1N6292ARL4G</v>
      </c>
      <c r="B31238" s="3" t="str">
        <f>HYPERLINK("https://www.773grp.com/manufacturer/onsemi?pageNo=736", "ON Semiconductor")</f>
        <v>ON Semiconductor</v>
      </c>
      <c r="C31238" s="6">
        <v>7500</v>
      </c>
      <c r="D31238" s="7">
        <v>0.79</v>
      </c>
      <c r="E31238" t="s">
        <v>96</v>
      </c>
    </row>
    <row r="31239" spans="1:5" x14ac:dyDescent="0.25">
      <c r="A31239" t="str">
        <f>HYPERLINK("https://www.773grp.com/globalSearch/1N6376G/page-1", "1N6376G")</f>
        <v>1N6376G</v>
      </c>
      <c r="B31239" s="3" t="str">
        <f>HYPERLINK("https://www.773grp.com/manufacturer/onsemi?pageNo=737", "ON Semiconductor")</f>
        <v>ON Semiconductor</v>
      </c>
      <c r="C31239" s="6">
        <v>6000</v>
      </c>
      <c r="D31239" s="7">
        <v>0.79</v>
      </c>
      <c r="E31239" t="s">
        <v>96</v>
      </c>
    </row>
    <row r="31240" spans="1:5" x14ac:dyDescent="0.25">
      <c r="A31240" t="str">
        <f>HYPERLINK("https://www.773grp.com/globalSearch/1N6376RL4G/page-1", "1N6376RL4G")</f>
        <v>1N6376RL4G</v>
      </c>
      <c r="B31240" s="3" t="str">
        <f>HYPERLINK("https://www.773grp.com/manufacturer/onsemi?pageNo=738", "ON Semiconductor")</f>
        <v>ON Semiconductor</v>
      </c>
      <c r="C31240" s="6">
        <v>6000</v>
      </c>
      <c r="D31240" s="7">
        <v>0.79</v>
      </c>
      <c r="E31240" t="s">
        <v>96</v>
      </c>
    </row>
    <row r="31241" spans="1:5" x14ac:dyDescent="0.25">
      <c r="A31241" t="str">
        <f>HYPERLINK("https://www.773grp.com/globalSearch/1N6380G/page-1", "1N6380G")</f>
        <v>1N6380G</v>
      </c>
      <c r="B31241" s="3" t="str">
        <f>HYPERLINK("https://www.773grp.com/manufacturer/onsemi?pageNo=739", "ON Semiconductor")</f>
        <v>ON Semiconductor</v>
      </c>
      <c r="C31241" s="6">
        <v>1000</v>
      </c>
      <c r="D31241" s="7">
        <v>0.79</v>
      </c>
    </row>
    <row r="31242" spans="1:5" x14ac:dyDescent="0.25">
      <c r="A31242" t="str">
        <f>HYPERLINK("https://www.773grp.com/globalSearch/1N6380RL4G/page-1", "1N6380RL4G")</f>
        <v>1N6380RL4G</v>
      </c>
      <c r="B31242" s="3" t="str">
        <f>HYPERLINK("https://www.773grp.com/manufacturer/onsemi?pageNo=740", "ON Semiconductor")</f>
        <v>ON Semiconductor</v>
      </c>
      <c r="C31242" s="6">
        <v>13427</v>
      </c>
      <c r="D31242" s="7">
        <v>0.79</v>
      </c>
      <c r="E31242" t="s">
        <v>96</v>
      </c>
    </row>
    <row r="31243" spans="1:5" x14ac:dyDescent="0.25">
      <c r="A31243" t="str">
        <f>HYPERLINK("https://www.773grp.com/globalSearch/1SMB5917BT3G/page-1", "1SMB5917BT3G")</f>
        <v>1SMB5917BT3G</v>
      </c>
      <c r="B31243" s="3" t="str">
        <f>HYPERLINK("https://www.773grp.com/manufacturer/onsemi?pageNo=741", "ON Semiconductor")</f>
        <v>ON Semiconductor</v>
      </c>
      <c r="C31243" s="6">
        <v>5000</v>
      </c>
      <c r="D31243" s="7">
        <v>0.79</v>
      </c>
      <c r="E31243" t="s">
        <v>98</v>
      </c>
    </row>
    <row r="31244" spans="1:5" x14ac:dyDescent="0.25">
      <c r="A31244" t="str">
        <f>HYPERLINK("https://www.773grp.com/globalSearch/1SMB5920BT3G/page-1", "1SMB5920BT3G")</f>
        <v>1SMB5920BT3G</v>
      </c>
      <c r="B31244" s="3" t="str">
        <f>HYPERLINK("https://www.773grp.com/manufacturer/onsemi?pageNo=742", "ON Semiconductor")</f>
        <v>ON Semiconductor</v>
      </c>
      <c r="C31244" s="6">
        <v>27</v>
      </c>
      <c r="D31244" s="7">
        <v>0.79</v>
      </c>
    </row>
    <row r="31245" spans="1:5" x14ac:dyDescent="0.25">
      <c r="A31245" t="str">
        <f>HYPERLINK("https://www.773grp.com/globalSearch/1SMB5921BT3G/page-1", "1SMB5921BT3G")</f>
        <v>1SMB5921BT3G</v>
      </c>
      <c r="B31245" s="3" t="str">
        <f>HYPERLINK("https://www.773grp.com/manufacturer/onsemi?pageNo=743", "ON Semiconductor")</f>
        <v>ON Semiconductor</v>
      </c>
      <c r="C31245" s="6">
        <v>1760</v>
      </c>
      <c r="D31245" s="7">
        <v>0.79</v>
      </c>
      <c r="E31245" t="s">
        <v>98</v>
      </c>
    </row>
    <row r="31246" spans="1:5" x14ac:dyDescent="0.25">
      <c r="A31246" t="str">
        <f>HYPERLINK("https://www.773grp.com/globalSearch/1SMB5925BT3G/page-1", "1SMB5925BT3G")</f>
        <v>1SMB5925BT3G</v>
      </c>
      <c r="B31246" s="3" t="str">
        <f>HYPERLINK("https://www.773grp.com/manufacturer/onsemi?pageNo=744", "ON Semiconductor")</f>
        <v>ON Semiconductor</v>
      </c>
      <c r="C31246" s="6">
        <v>90185</v>
      </c>
      <c r="D31246" s="7">
        <v>0.79</v>
      </c>
      <c r="E31246" t="s">
        <v>98</v>
      </c>
    </row>
    <row r="31247" spans="1:5" x14ac:dyDescent="0.25">
      <c r="A31247" t="str">
        <f>HYPERLINK("https://www.773grp.com/globalSearch/1SMB5928BT3G/page-1", "1SMB5928BT3G")</f>
        <v>1SMB5928BT3G</v>
      </c>
      <c r="B31247" s="3" t="str">
        <f>HYPERLINK("https://www.773grp.com/manufacturer/onsemi?pageNo=745", "ON Semiconductor")</f>
        <v>ON Semiconductor</v>
      </c>
      <c r="C31247" s="6">
        <v>152400</v>
      </c>
      <c r="D31247" s="7">
        <v>0.79</v>
      </c>
      <c r="E31247" t="s">
        <v>98</v>
      </c>
    </row>
    <row r="31248" spans="1:5" x14ac:dyDescent="0.25">
      <c r="A31248" t="str">
        <f>HYPERLINK("https://www.773grp.com/globalSearch/1SMB5929BT3G/page-1", "1SMB5929BT3G")</f>
        <v>1SMB5929BT3G</v>
      </c>
      <c r="B31248" s="3" t="str">
        <f>HYPERLINK("https://www.773grp.com/manufacturer/onsemi?pageNo=746", "ON Semiconductor")</f>
        <v>ON Semiconductor</v>
      </c>
      <c r="C31248" s="6">
        <v>21350</v>
      </c>
      <c r="D31248" s="7">
        <v>0.79</v>
      </c>
      <c r="E31248" t="s">
        <v>98</v>
      </c>
    </row>
    <row r="31249" spans="1:5" x14ac:dyDescent="0.25">
      <c r="A31249" t="str">
        <f>HYPERLINK("https://www.773grp.com/globalSearch/1SMB5930BT3G/page-1", "1SMB5930BT3G")</f>
        <v>1SMB5930BT3G</v>
      </c>
      <c r="B31249" s="3" t="str">
        <f>HYPERLINK("https://www.773grp.com/manufacturer/onsemi?pageNo=747", "ON Semiconductor")</f>
        <v>ON Semiconductor</v>
      </c>
      <c r="C31249" s="6">
        <v>37976</v>
      </c>
      <c r="D31249" s="7">
        <v>0.79</v>
      </c>
      <c r="E31249" t="s">
        <v>98</v>
      </c>
    </row>
    <row r="31250" spans="1:5" x14ac:dyDescent="0.25">
      <c r="A31250" t="str">
        <f>HYPERLINK("https://www.773grp.com/globalSearch/1SMB5932BT3G/page-1", "1SMB5932BT3G")</f>
        <v>1SMB5932BT3G</v>
      </c>
      <c r="B31250" s="3" t="str">
        <f>HYPERLINK("https://www.773grp.com/manufacturer/onsemi?pageNo=748", "ON Semiconductor")</f>
        <v>ON Semiconductor</v>
      </c>
      <c r="C31250" s="6">
        <v>90000</v>
      </c>
      <c r="D31250" s="7">
        <v>0.79</v>
      </c>
      <c r="E31250" t="s">
        <v>98</v>
      </c>
    </row>
    <row r="31251" spans="1:5" x14ac:dyDescent="0.25">
      <c r="A31251" t="str">
        <f>HYPERLINK("https://www.773grp.com/globalSearch/1SMB5934BT3G/page-1", "1SMB5934BT3G")</f>
        <v>1SMB5934BT3G</v>
      </c>
      <c r="B31251" s="3" t="str">
        <f>HYPERLINK("https://www.773grp.com/manufacturer/onsemi?pageNo=749", "ON Semiconductor")</f>
        <v>ON Semiconductor</v>
      </c>
      <c r="C31251" s="6">
        <v>34575</v>
      </c>
      <c r="D31251" s="7">
        <v>0.79</v>
      </c>
      <c r="E31251" t="s">
        <v>98</v>
      </c>
    </row>
    <row r="31252" spans="1:5" x14ac:dyDescent="0.25">
      <c r="A31252" t="str">
        <f>HYPERLINK("https://www.773grp.com/globalSearch/1SMB5935BT3G/page-1", "1SMB5935BT3G")</f>
        <v>1SMB5935BT3G</v>
      </c>
      <c r="B31252" s="3" t="str">
        <f>HYPERLINK("https://www.773grp.com/manufacturer/onsemi?pageNo=750", "ON Semiconductor")</f>
        <v>ON Semiconductor</v>
      </c>
      <c r="C31252" s="6">
        <v>74793</v>
      </c>
      <c r="D31252" s="7">
        <v>0.79</v>
      </c>
      <c r="E31252" t="s">
        <v>98</v>
      </c>
    </row>
    <row r="31253" spans="1:5" x14ac:dyDescent="0.25">
      <c r="A31253" t="str">
        <f>HYPERLINK("https://www.773grp.com/globalSearch/1SMB5936BT3G/page-1", "1SMB5936BT3G")</f>
        <v>1SMB5936BT3G</v>
      </c>
      <c r="B31253" s="3" t="str">
        <f>HYPERLINK("https://www.773grp.com/manufacturer/onsemi?pageNo=751", "ON Semiconductor")</f>
        <v>ON Semiconductor</v>
      </c>
      <c r="C31253" s="6">
        <v>114543</v>
      </c>
      <c r="D31253" s="7">
        <v>0.79</v>
      </c>
      <c r="E31253" t="s">
        <v>98</v>
      </c>
    </row>
    <row r="31254" spans="1:5" x14ac:dyDescent="0.25">
      <c r="A31254" t="str">
        <f>HYPERLINK("https://www.773grp.com/globalSearch/1SMB5941BT3G/page-1", "1SMB5941BT3G")</f>
        <v>1SMB5941BT3G</v>
      </c>
      <c r="B31254" s="3" t="str">
        <f>HYPERLINK("https://www.773grp.com/manufacturer/onsemi?pageNo=752", "ON Semiconductor")</f>
        <v>ON Semiconductor</v>
      </c>
      <c r="C31254" s="6">
        <v>23807</v>
      </c>
      <c r="D31254" s="7">
        <v>0.79</v>
      </c>
      <c r="E31254" t="s">
        <v>98</v>
      </c>
    </row>
    <row r="31255" spans="1:5" x14ac:dyDescent="0.25">
      <c r="A31255" t="str">
        <f>HYPERLINK("https://www.773grp.com/globalSearch/1SMB5956BT3G/page-1", "1SMB5956BT3G")</f>
        <v>1SMB5956BT3G</v>
      </c>
      <c r="B31255" s="3" t="str">
        <f>HYPERLINK("https://www.773grp.com/manufacturer/onsemi?pageNo=753", "ON Semiconductor")</f>
        <v>ON Semiconductor</v>
      </c>
      <c r="C31255" s="6">
        <v>23204</v>
      </c>
      <c r="D31255" s="7">
        <v>0.79</v>
      </c>
      <c r="E31255" t="s">
        <v>98</v>
      </c>
    </row>
    <row r="31256" spans="1:5" x14ac:dyDescent="0.25">
      <c r="A31256" t="str">
        <f>HYPERLINK("https://www.773grp.com/globalSearch/2N4264/page-1", "2N4264")</f>
        <v>2N4264</v>
      </c>
      <c r="B31256" s="3" t="str">
        <f>HYPERLINK("https://www.773grp.com/manufacturer/onsemi?pageNo=754", "ON Semiconductor")</f>
        <v>ON Semiconductor</v>
      </c>
      <c r="C31256" s="6">
        <v>2490</v>
      </c>
      <c r="D31256" s="7">
        <v>0.79</v>
      </c>
      <c r="E31256" t="s">
        <v>69</v>
      </c>
    </row>
    <row r="31257" spans="1:5" x14ac:dyDescent="0.25">
      <c r="A31257" t="str">
        <f>HYPERLINK("https://www.773grp.com/globalSearch/2N6288/page-1", "2N6288")</f>
        <v>2N6288</v>
      </c>
      <c r="B31257" s="3" t="str">
        <f>HYPERLINK("https://www.773grp.com/manufacturer/onsemi?pageNo=755", "ON Semiconductor")</f>
        <v>ON Semiconductor</v>
      </c>
      <c r="C31257" s="6">
        <v>300</v>
      </c>
      <c r="D31257" s="7">
        <v>0.79</v>
      </c>
      <c r="E31257" t="s">
        <v>59</v>
      </c>
    </row>
    <row r="31258" spans="1:5" x14ac:dyDescent="0.25">
      <c r="A31258" t="str">
        <f>HYPERLINK("https://www.773grp.com/globalSearch/2N6520RLRAG/page-1", "2N6520RLRAG")</f>
        <v>2N6520RLRAG</v>
      </c>
      <c r="B31258" s="3" t="str">
        <f>HYPERLINK("https://www.773grp.com/manufacturer/onsemi?pageNo=756", "ON Semiconductor")</f>
        <v>ON Semiconductor</v>
      </c>
      <c r="C31258" s="6">
        <v>150527</v>
      </c>
      <c r="D31258" s="7">
        <v>0.79</v>
      </c>
      <c r="E31258" t="s">
        <v>69</v>
      </c>
    </row>
    <row r="31259" spans="1:5" x14ac:dyDescent="0.25">
      <c r="A31259" t="str">
        <f>HYPERLINK("https://www.773grp.com/globalSearch/2SA1708S-AN/page-1", "2SA1708S-AN")</f>
        <v>2SA1708S-AN</v>
      </c>
      <c r="B31259" s="3" t="str">
        <f>HYPERLINK("https://www.773grp.com/manufacturer/onsemi?pageNo=757", "ON Semiconductor")</f>
        <v>ON Semiconductor</v>
      </c>
      <c r="C31259" s="6">
        <v>75000</v>
      </c>
      <c r="D31259" s="7">
        <v>0.79</v>
      </c>
    </row>
    <row r="31260" spans="1:5" x14ac:dyDescent="0.25">
      <c r="A31260" t="str">
        <f>HYPERLINK("https://www.773grp.com/globalSearch/2SA2013-TD-E/page-1", "2SA2013-TD-E")</f>
        <v>2SA2013-TD-E</v>
      </c>
      <c r="B31260" s="3" t="str">
        <f>HYPERLINK("https://www.773grp.com/manufacturer/onsemi?pageNo=758", "ON Semiconductor")</f>
        <v>ON Semiconductor</v>
      </c>
      <c r="C31260" s="6">
        <v>3000</v>
      </c>
      <c r="D31260" s="7">
        <v>0.79</v>
      </c>
    </row>
    <row r="31261" spans="1:5" x14ac:dyDescent="0.25">
      <c r="A31261" t="str">
        <f>HYPERLINK("https://www.773grp.com/globalSearch/2SA2125-TD-E/page-1", "2SA2125-TD-E")</f>
        <v>2SA2125-TD-E</v>
      </c>
      <c r="B31261" s="3" t="str">
        <f>HYPERLINK("https://www.773grp.com/manufacturer/onsemi?pageNo=759", "ON Semiconductor")</f>
        <v>ON Semiconductor</v>
      </c>
      <c r="C31261" s="6">
        <v>4000</v>
      </c>
      <c r="D31261" s="7">
        <v>0.79</v>
      </c>
    </row>
    <row r="31262" spans="1:5" x14ac:dyDescent="0.25">
      <c r="A31262" t="str">
        <f>HYPERLINK("https://www.773grp.com/globalSearch/2SC6095-TD-E/page-1", "2SC6095-TD-E")</f>
        <v>2SC6095-TD-E</v>
      </c>
      <c r="B31262" s="3" t="str">
        <f>HYPERLINK("https://www.773grp.com/manufacturer/onsemi?pageNo=760", "ON Semiconductor")</f>
        <v>ON Semiconductor</v>
      </c>
      <c r="C31262" s="6">
        <v>3000</v>
      </c>
      <c r="D31262" s="7">
        <v>0.79</v>
      </c>
    </row>
    <row r="31263" spans="1:5" x14ac:dyDescent="0.25">
      <c r="A31263" t="str">
        <f>HYPERLINK("https://www.773grp.com/globalSearch/2SD1628F-TD-E/page-1", "2SD1628F-TD-E")</f>
        <v>2SD1628F-TD-E</v>
      </c>
      <c r="B31263" s="3" t="str">
        <f>HYPERLINK("https://www.773grp.com/manufacturer/onsemi?pageNo=761", "ON Semiconductor")</f>
        <v>ON Semiconductor</v>
      </c>
      <c r="C31263" s="6">
        <v>1000</v>
      </c>
      <c r="D31263" s="7">
        <v>0.79</v>
      </c>
    </row>
    <row r="31264" spans="1:5" x14ac:dyDescent="0.25">
      <c r="A31264" t="str">
        <f>HYPERLINK("https://www.773grp.com/globalSearch/2SD1628F-TD-H/page-1", "2SD1628F-TD-H")</f>
        <v>2SD1628F-TD-H</v>
      </c>
      <c r="B31264" s="3" t="str">
        <f>HYPERLINK("https://www.773grp.com/manufacturer/onsemi?pageNo=762", "ON Semiconductor")</f>
        <v>ON Semiconductor</v>
      </c>
      <c r="C31264" s="6">
        <v>14000</v>
      </c>
      <c r="D31264" s="7">
        <v>0.79</v>
      </c>
    </row>
    <row r="31265" spans="1:5" x14ac:dyDescent="0.25">
      <c r="A31265" t="str">
        <f>HYPERLINK("https://www.773grp.com/globalSearch/2SK932-23-TB-E/page-1", "2SK932-23-TB-E")</f>
        <v>2SK932-23-TB-E</v>
      </c>
      <c r="B31265" s="3" t="str">
        <f>HYPERLINK("https://www.773grp.com/manufacturer/onsemi?pageNo=763", "ON Semiconductor")</f>
        <v>ON Semiconductor</v>
      </c>
      <c r="C31265" s="6">
        <v>3000</v>
      </c>
      <c r="D31265" s="7">
        <v>0.79</v>
      </c>
    </row>
    <row r="31266" spans="1:5" x14ac:dyDescent="0.25">
      <c r="A31266" t="str">
        <f>HYPERLINK("https://www.773grp.com/globalSearch/74FST3125QS/page-1", "74FST3125QS")</f>
        <v>74FST3125QS</v>
      </c>
      <c r="B31266" s="3" t="str">
        <f>HYPERLINK("https://www.773grp.com/manufacturer/onsemi?pageNo=764", "ON Semiconductor")</f>
        <v>ON Semiconductor</v>
      </c>
      <c r="C31266" s="6">
        <v>24696</v>
      </c>
      <c r="D31266" s="7">
        <v>0.79</v>
      </c>
      <c r="E31266" t="s">
        <v>14</v>
      </c>
    </row>
    <row r="31267" spans="1:5" x14ac:dyDescent="0.25">
      <c r="A31267" t="str">
        <f>HYPERLINK("https://www.773grp.com/globalSearch/74FST3125QSR/page-1", "74FST3125QSR")</f>
        <v>74FST3125QSR</v>
      </c>
      <c r="B31267" s="3" t="str">
        <f>HYPERLINK("https://www.773grp.com/manufacturer/onsemi?pageNo=765", "ON Semiconductor")</f>
        <v>ON Semiconductor</v>
      </c>
      <c r="C31267" s="6">
        <v>71129</v>
      </c>
      <c r="D31267" s="7">
        <v>0.79</v>
      </c>
      <c r="E31267" t="s">
        <v>14</v>
      </c>
    </row>
    <row r="31268" spans="1:5" x14ac:dyDescent="0.25">
      <c r="A31268" t="str">
        <f>HYPERLINK("https://www.773grp.com/globalSearch/74FST3126QS/page-1", "74FST3126QS")</f>
        <v>74FST3126QS</v>
      </c>
      <c r="B31268" s="3" t="str">
        <f>HYPERLINK("https://www.773grp.com/manufacturer/onsemi?pageNo=766", "ON Semiconductor")</f>
        <v>ON Semiconductor</v>
      </c>
      <c r="C31268" s="6">
        <v>17346</v>
      </c>
      <c r="D31268" s="7">
        <v>0.79</v>
      </c>
      <c r="E31268" t="s">
        <v>14</v>
      </c>
    </row>
    <row r="31269" spans="1:5" x14ac:dyDescent="0.25">
      <c r="A31269" t="str">
        <f>HYPERLINK("https://www.773grp.com/globalSearch/74FST3126QSR/page-1", "74FST3126QSR")</f>
        <v>74FST3126QSR</v>
      </c>
      <c r="B31269" s="3" t="str">
        <f>HYPERLINK("https://www.773grp.com/manufacturer/onsemi?pageNo=767", "ON Semiconductor")</f>
        <v>ON Semiconductor</v>
      </c>
      <c r="C31269" s="6">
        <v>40000</v>
      </c>
      <c r="D31269" s="7">
        <v>0.79</v>
      </c>
      <c r="E31269" t="s">
        <v>14</v>
      </c>
    </row>
    <row r="31270" spans="1:5" x14ac:dyDescent="0.25">
      <c r="A31270" t="str">
        <f>HYPERLINK("https://www.773grp.com/globalSearch/74FST3244DT/page-1", "74FST3244DT")</f>
        <v>74FST3244DT</v>
      </c>
      <c r="B31270" s="3" t="str">
        <f>HYPERLINK("https://www.773grp.com/manufacturer/onsemi?pageNo=768", "ON Semiconductor")</f>
        <v>ON Semiconductor</v>
      </c>
      <c r="C31270" s="6">
        <v>45000</v>
      </c>
      <c r="D31270" s="7">
        <v>0.79</v>
      </c>
      <c r="E31270" t="s">
        <v>14</v>
      </c>
    </row>
    <row r="31271" spans="1:5" x14ac:dyDescent="0.25">
      <c r="A31271" t="str">
        <f>HYPERLINK("https://www.773grp.com/globalSearch/74FST3244DTR2/page-1", "74FST3244DTR2")</f>
        <v>74FST3244DTR2</v>
      </c>
      <c r="B31271" s="3" t="str">
        <f>HYPERLINK("https://www.773grp.com/manufacturer/onsemi?pageNo=769", "ON Semiconductor")</f>
        <v>ON Semiconductor</v>
      </c>
      <c r="C31271" s="6">
        <v>15000</v>
      </c>
      <c r="D31271" s="7">
        <v>0.79</v>
      </c>
      <c r="E31271" t="s">
        <v>14</v>
      </c>
    </row>
    <row r="31272" spans="1:5" x14ac:dyDescent="0.25">
      <c r="A31272" t="str">
        <f>HYPERLINK("https://www.773grp.com/globalSearch/74FST3244DW/page-1", "74FST3244DW")</f>
        <v>74FST3244DW</v>
      </c>
      <c r="B31272" s="3" t="str">
        <f>HYPERLINK("https://www.773grp.com/manufacturer/onsemi?pageNo=770", "ON Semiconductor")</f>
        <v>ON Semiconductor</v>
      </c>
      <c r="C31272" s="6">
        <v>19470</v>
      </c>
      <c r="D31272" s="7">
        <v>0.79</v>
      </c>
      <c r="E31272" t="s">
        <v>14</v>
      </c>
    </row>
    <row r="31273" spans="1:5" x14ac:dyDescent="0.25">
      <c r="A31273" t="str">
        <f>HYPERLINK("https://www.773grp.com/globalSearch/74FST3244DWR2/page-1", "74FST3244DWR2")</f>
        <v>74FST3244DWR2</v>
      </c>
      <c r="B31273" s="3" t="str">
        <f>HYPERLINK("https://www.773grp.com/manufacturer/onsemi?pageNo=771", "ON Semiconductor")</f>
        <v>ON Semiconductor</v>
      </c>
      <c r="C31273" s="6">
        <v>29000</v>
      </c>
      <c r="D31273" s="7">
        <v>0.79</v>
      </c>
      <c r="E31273" t="s">
        <v>14</v>
      </c>
    </row>
    <row r="31274" spans="1:5" x14ac:dyDescent="0.25">
      <c r="A31274" t="str">
        <f>HYPERLINK("https://www.773grp.com/globalSearch/74FST3244QSR/page-1", "74FST3244QSR")</f>
        <v>74FST3244QSR</v>
      </c>
      <c r="B31274" s="3" t="str">
        <f>HYPERLINK("https://www.773grp.com/manufacturer/onsemi?pageNo=772", "ON Semiconductor")</f>
        <v>ON Semiconductor</v>
      </c>
      <c r="C31274" s="6">
        <v>25000</v>
      </c>
      <c r="D31274" s="7">
        <v>0.79</v>
      </c>
      <c r="E31274" t="s">
        <v>14</v>
      </c>
    </row>
    <row r="31275" spans="1:5" x14ac:dyDescent="0.25">
      <c r="A31275" t="str">
        <f>HYPERLINK("https://www.773grp.com/globalSearch/74FST3245DT/page-1", "74FST3245DT")</f>
        <v>74FST3245DT</v>
      </c>
      <c r="B31275" s="3" t="str">
        <f>HYPERLINK("https://www.773grp.com/manufacturer/onsemi?pageNo=773", "ON Semiconductor")</f>
        <v>ON Semiconductor</v>
      </c>
      <c r="C31275" s="6">
        <v>34575</v>
      </c>
      <c r="D31275" s="7">
        <v>0.79</v>
      </c>
      <c r="E31275" t="s">
        <v>14</v>
      </c>
    </row>
    <row r="31276" spans="1:5" x14ac:dyDescent="0.25">
      <c r="A31276" t="str">
        <f>HYPERLINK("https://www.773grp.com/globalSearch/74FST3245DTR2/page-1", "74FST3245DTR2")</f>
        <v>74FST3245DTR2</v>
      </c>
      <c r="B31276" s="3" t="str">
        <f>HYPERLINK("https://www.773grp.com/manufacturer/onsemi?pageNo=774", "ON Semiconductor")</f>
        <v>ON Semiconductor</v>
      </c>
      <c r="C31276" s="6">
        <v>7500</v>
      </c>
      <c r="D31276" s="7">
        <v>0.79</v>
      </c>
      <c r="E31276" t="s">
        <v>14</v>
      </c>
    </row>
    <row r="31277" spans="1:5" x14ac:dyDescent="0.25">
      <c r="A31277" t="str">
        <f>HYPERLINK("https://www.773grp.com/globalSearch/74FST3251QS/page-1", "74FST3251QS")</f>
        <v>74FST3251QS</v>
      </c>
      <c r="B31277" s="3" t="str">
        <f>HYPERLINK("https://www.773grp.com/manufacturer/onsemi?pageNo=775", "ON Semiconductor")</f>
        <v>ON Semiconductor</v>
      </c>
      <c r="C31277" s="6">
        <v>21658</v>
      </c>
      <c r="D31277" s="7">
        <v>0.79</v>
      </c>
      <c r="E31277" t="s">
        <v>20</v>
      </c>
    </row>
    <row r="31278" spans="1:5" x14ac:dyDescent="0.25">
      <c r="A31278" t="str">
        <f>HYPERLINK("https://www.773grp.com/globalSearch/74FST3251QSR/page-1", "74FST3251QSR")</f>
        <v>74FST3251QSR</v>
      </c>
      <c r="B31278" s="3" t="str">
        <f>HYPERLINK("https://www.773grp.com/manufacturer/onsemi?pageNo=776", "ON Semiconductor")</f>
        <v>ON Semiconductor</v>
      </c>
      <c r="C31278" s="6">
        <v>10000</v>
      </c>
      <c r="D31278" s="7">
        <v>0.79</v>
      </c>
      <c r="E31278" t="s">
        <v>20</v>
      </c>
    </row>
    <row r="31279" spans="1:5" x14ac:dyDescent="0.25">
      <c r="A31279" t="str">
        <f>HYPERLINK("https://www.773grp.com/globalSearch/74FST3253QS/page-1", "74FST3253QS")</f>
        <v>74FST3253QS</v>
      </c>
      <c r="B31279" s="3" t="str">
        <f>HYPERLINK("https://www.773grp.com/manufacturer/onsemi?pageNo=777", "ON Semiconductor")</f>
        <v>ON Semiconductor</v>
      </c>
      <c r="C31279" s="6">
        <v>16758</v>
      </c>
      <c r="D31279" s="7">
        <v>0.79</v>
      </c>
      <c r="E31279" t="s">
        <v>20</v>
      </c>
    </row>
    <row r="31280" spans="1:5" x14ac:dyDescent="0.25">
      <c r="A31280" t="str">
        <f>HYPERLINK("https://www.773grp.com/globalSearch/74FST3253QSR/page-1", "74FST3253QSR")</f>
        <v>74FST3253QSR</v>
      </c>
      <c r="B31280" s="3" t="str">
        <f>HYPERLINK("https://www.773grp.com/manufacturer/onsemi?pageNo=778", "ON Semiconductor")</f>
        <v>ON Semiconductor</v>
      </c>
      <c r="C31280" s="6">
        <v>27500</v>
      </c>
      <c r="D31280" s="7">
        <v>0.79</v>
      </c>
      <c r="E31280" t="s">
        <v>20</v>
      </c>
    </row>
    <row r="31281" spans="1:5" x14ac:dyDescent="0.25">
      <c r="A31281" t="str">
        <f>HYPERLINK("https://www.773grp.com/globalSearch/74FST3257MNTWG/page-1", "74FST3257MNTWG")</f>
        <v>74FST3257MNTWG</v>
      </c>
      <c r="B31281" s="3" t="str">
        <f>HYPERLINK("https://www.773grp.com/manufacturer/onsemi?pageNo=779", "ON Semiconductor")</f>
        <v>ON Semiconductor</v>
      </c>
      <c r="C31281" s="6">
        <v>9000</v>
      </c>
      <c r="D31281" s="7">
        <v>0.79</v>
      </c>
    </row>
    <row r="31282" spans="1:5" x14ac:dyDescent="0.25">
      <c r="A31282" t="str">
        <f>HYPERLINK("https://www.773grp.com/globalSearch/74FST3257QS/page-1", "74FST3257QS")</f>
        <v>74FST3257QS</v>
      </c>
      <c r="B31282" s="3" t="str">
        <f>HYPERLINK("https://www.773grp.com/manufacturer/onsemi?pageNo=780", "ON Semiconductor")</f>
        <v>ON Semiconductor</v>
      </c>
      <c r="C31282" s="6">
        <v>16672</v>
      </c>
      <c r="D31282" s="7">
        <v>0.79</v>
      </c>
      <c r="E31282" t="s">
        <v>20</v>
      </c>
    </row>
    <row r="31283" spans="1:5" x14ac:dyDescent="0.25">
      <c r="A31283" t="str">
        <f>HYPERLINK("https://www.773grp.com/globalSearch/74FST3257QSR/page-1", "74FST3257QSR")</f>
        <v>74FST3257QSR</v>
      </c>
      <c r="B31283" s="3" t="str">
        <f>HYPERLINK("https://www.773grp.com/manufacturer/onsemi?pageNo=781", "ON Semiconductor")</f>
        <v>ON Semiconductor</v>
      </c>
      <c r="C31283" s="6">
        <v>17500</v>
      </c>
      <c r="D31283" s="7">
        <v>0.79</v>
      </c>
      <c r="E31283" t="s">
        <v>20</v>
      </c>
    </row>
    <row r="31284" spans="1:5" x14ac:dyDescent="0.25">
      <c r="A31284" t="str">
        <f>HYPERLINK("https://www.773grp.com/globalSearch/74FST3345DT/page-1", "74FST3345DT")</f>
        <v>74FST3345DT</v>
      </c>
      <c r="B31284" s="3" t="str">
        <f>HYPERLINK("https://www.773grp.com/manufacturer/onsemi?pageNo=782", "ON Semiconductor")</f>
        <v>ON Semiconductor</v>
      </c>
      <c r="C31284" s="6">
        <v>27075</v>
      </c>
      <c r="D31284" s="7">
        <v>0.79</v>
      </c>
      <c r="E31284" t="s">
        <v>14</v>
      </c>
    </row>
    <row r="31285" spans="1:5" x14ac:dyDescent="0.25">
      <c r="A31285" t="str">
        <f>HYPERLINK("https://www.773grp.com/globalSearch/74FST3345DTR2/page-1", "74FST3345DTR2")</f>
        <v>74FST3345DTR2</v>
      </c>
      <c r="B31285" s="3" t="str">
        <f>HYPERLINK("https://www.773grp.com/manufacturer/onsemi?pageNo=783", "ON Semiconductor")</f>
        <v>ON Semiconductor</v>
      </c>
      <c r="C31285" s="6">
        <v>17500</v>
      </c>
      <c r="D31285" s="7">
        <v>0.79</v>
      </c>
      <c r="E31285" t="s">
        <v>14</v>
      </c>
    </row>
    <row r="31286" spans="1:5" x14ac:dyDescent="0.25">
      <c r="A31286" t="str">
        <f>HYPERLINK("https://www.773grp.com/globalSearch/74FST3345DW/page-1", "74FST3345DW")</f>
        <v>74FST3345DW</v>
      </c>
      <c r="B31286" s="3" t="str">
        <f>HYPERLINK("https://www.773grp.com/manufacturer/onsemi?pageNo=784", "ON Semiconductor")</f>
        <v>ON Semiconductor</v>
      </c>
      <c r="C31286" s="6">
        <v>342</v>
      </c>
      <c r="D31286" s="7">
        <v>0.79</v>
      </c>
      <c r="E31286" t="s">
        <v>14</v>
      </c>
    </row>
    <row r="31287" spans="1:5" x14ac:dyDescent="0.25">
      <c r="A31287" t="str">
        <f>HYPERLINK("https://www.773grp.com/globalSearch/74FST3345DWR2/page-1", "74FST3345DWR2")</f>
        <v>74FST3345DWR2</v>
      </c>
      <c r="B31287" s="3" t="str">
        <f>HYPERLINK("https://www.773grp.com/manufacturer/onsemi?pageNo=785", "ON Semiconductor")</f>
        <v>ON Semiconductor</v>
      </c>
      <c r="C31287" s="6">
        <v>27000</v>
      </c>
      <c r="D31287" s="7">
        <v>0.79</v>
      </c>
      <c r="E31287" t="s">
        <v>14</v>
      </c>
    </row>
    <row r="31288" spans="1:5" x14ac:dyDescent="0.25">
      <c r="A31288" t="str">
        <f>HYPERLINK("https://www.773grp.com/globalSearch/BAS40LT1/page-1", "BAS40LT1")</f>
        <v>BAS40LT1</v>
      </c>
      <c r="B31288" s="3" t="str">
        <f>HYPERLINK("https://www.773grp.com/manufacturer/onsemi?pageNo=786", "ON Semiconductor")</f>
        <v>ON Semiconductor</v>
      </c>
      <c r="C31288" s="6">
        <v>12000</v>
      </c>
      <c r="D31288" s="7">
        <v>0.79</v>
      </c>
      <c r="E31288" t="s">
        <v>94</v>
      </c>
    </row>
    <row r="31289" spans="1:5" x14ac:dyDescent="0.25">
      <c r="A31289" t="str">
        <f>HYPERLINK("https://www.773grp.com/globalSearch/BD785/page-1", "BD785")</f>
        <v>BD785</v>
      </c>
      <c r="B31289" s="3" t="str">
        <f>HYPERLINK("https://www.773grp.com/manufacturer/onsemi?pageNo=787", "ON Semiconductor")</f>
        <v>ON Semiconductor</v>
      </c>
      <c r="C31289" s="6">
        <v>15168</v>
      </c>
      <c r="D31289" s="7">
        <v>0.79</v>
      </c>
    </row>
    <row r="31290" spans="1:5" x14ac:dyDescent="0.25">
      <c r="A31290" t="str">
        <f>HYPERLINK("https://www.773grp.com/globalSearch/BDX33C/page-1", "BDX33C")</f>
        <v>BDX33C</v>
      </c>
      <c r="B31290" s="3" t="str">
        <f>HYPERLINK("https://www.773grp.com/manufacturer/onsemi?pageNo=788", "ON Semiconductor")</f>
        <v>ON Semiconductor</v>
      </c>
      <c r="C31290" s="6">
        <v>5537</v>
      </c>
      <c r="D31290" s="7">
        <v>0.79</v>
      </c>
      <c r="E31290" t="s">
        <v>59</v>
      </c>
    </row>
    <row r="31291" spans="1:5" x14ac:dyDescent="0.25">
      <c r="A31291" t="str">
        <f>HYPERLINK("https://www.773grp.com/globalSearch/BDX53B/page-1", "BDX53B")</f>
        <v>BDX53B</v>
      </c>
      <c r="B31291" s="3" t="str">
        <f>HYPERLINK("https://www.773grp.com/manufacturer/onsemi?pageNo=789", "ON Semiconductor")</f>
        <v>ON Semiconductor</v>
      </c>
      <c r="C31291" s="6">
        <v>50</v>
      </c>
      <c r="D31291" s="7">
        <v>0.79</v>
      </c>
      <c r="E31291" t="s">
        <v>59</v>
      </c>
    </row>
    <row r="31292" spans="1:5" x14ac:dyDescent="0.25">
      <c r="A31292" t="str">
        <f>HYPERLINK("https://www.773grp.com/globalSearch/BDX53C/page-1", "BDX53C")</f>
        <v>BDX53C</v>
      </c>
      <c r="B31292" s="3" t="str">
        <f>HYPERLINK("https://www.773grp.com/manufacturer/onsemi?pageNo=790", "ON Semiconductor")</f>
        <v>ON Semiconductor</v>
      </c>
      <c r="C31292" s="6">
        <v>872</v>
      </c>
      <c r="D31292" s="7">
        <v>0.79</v>
      </c>
      <c r="E31292" t="s">
        <v>59</v>
      </c>
    </row>
    <row r="31293" spans="1:5" x14ac:dyDescent="0.25">
      <c r="A31293" t="str">
        <f>HYPERLINK("https://www.773grp.com/globalSearch/BDX54C/page-1", "BDX54C")</f>
        <v>BDX54C</v>
      </c>
      <c r="B31293" s="3" t="str">
        <f>HYPERLINK("https://www.773grp.com/manufacturer/onsemi?pageNo=791", "ON Semiconductor")</f>
        <v>ON Semiconductor</v>
      </c>
      <c r="C31293" s="6">
        <v>2494</v>
      </c>
      <c r="D31293" s="7">
        <v>0.79</v>
      </c>
      <c r="E31293" t="s">
        <v>59</v>
      </c>
    </row>
    <row r="31294" spans="1:5" x14ac:dyDescent="0.25">
      <c r="A31294" t="str">
        <f>HYPERLINK("https://www.773grp.com/globalSearch/BFR30LT1G/page-1", "BFR30LT1G")</f>
        <v>BFR30LT1G</v>
      </c>
      <c r="B31294" s="3" t="str">
        <f>HYPERLINK("https://www.773grp.com/manufacturer/onsemi?pageNo=792", "ON Semiconductor")</f>
        <v>ON Semiconductor</v>
      </c>
      <c r="C31294" s="6">
        <v>42000</v>
      </c>
      <c r="D31294" s="7">
        <v>0.79</v>
      </c>
      <c r="E31294" t="s">
        <v>106</v>
      </c>
    </row>
    <row r="31295" spans="1:5" x14ac:dyDescent="0.25">
      <c r="A31295" t="str">
        <f>HYPERLINK("https://www.773grp.com/globalSearch/CAT24AA08WI-G/page-1", "CAT24AA08WI-G")</f>
        <v>CAT24AA08WI-G</v>
      </c>
      <c r="B31295" s="3" t="str">
        <f>HYPERLINK("https://www.773grp.com/manufacturer/onsemi?pageNo=793", "ON Semiconductor")</f>
        <v>ON Semiconductor</v>
      </c>
      <c r="C31295" s="6">
        <v>6900</v>
      </c>
      <c r="D31295" s="7">
        <v>0.79</v>
      </c>
    </row>
    <row r="31296" spans="1:5" x14ac:dyDescent="0.25">
      <c r="A31296" t="str">
        <f>HYPERLINK("https://www.773grp.com/globalSearch/CAT24AA08WI-GT3/page-1", "CAT24AA08WI-GT3")</f>
        <v>CAT24AA08WI-GT3</v>
      </c>
      <c r="B31296" s="3" t="str">
        <f>HYPERLINK("https://www.773grp.com/manufacturer/onsemi?pageNo=794", "ON Semiconductor")</f>
        <v>ON Semiconductor</v>
      </c>
      <c r="C31296" s="6">
        <v>48000</v>
      </c>
      <c r="D31296" s="7">
        <v>0.79</v>
      </c>
      <c r="E31296" t="s">
        <v>64</v>
      </c>
    </row>
    <row r="31297" spans="1:5" x14ac:dyDescent="0.25">
      <c r="A31297" t="str">
        <f>HYPERLINK("https://www.773grp.com/globalSearch/CAT24C01VP2I-GT3/page-1", "CAT24C01VP2I-GT3")</f>
        <v>CAT24C01VP2I-GT3</v>
      </c>
      <c r="B31297" s="3" t="str">
        <f>HYPERLINK("https://www.773grp.com/manufacturer/onsemi?pageNo=795", "ON Semiconductor")</f>
        <v>ON Semiconductor</v>
      </c>
      <c r="C31297" s="6">
        <v>12000</v>
      </c>
      <c r="D31297" s="7">
        <v>0.79</v>
      </c>
      <c r="E31297" t="s">
        <v>64</v>
      </c>
    </row>
    <row r="31298" spans="1:5" x14ac:dyDescent="0.25">
      <c r="A31298" t="str">
        <f>HYPERLINK("https://www.773grp.com/globalSearch/CAT24C03YI-GT3/page-1", "CAT24C03YI-GT3")</f>
        <v>CAT24C03YI-GT3</v>
      </c>
      <c r="B31298" s="3" t="str">
        <f>HYPERLINK("https://www.773grp.com/manufacturer/onsemi?pageNo=796", "ON Semiconductor")</f>
        <v>ON Semiconductor</v>
      </c>
      <c r="C31298" s="6">
        <v>3000</v>
      </c>
      <c r="D31298" s="7">
        <v>0.79</v>
      </c>
      <c r="E31298" t="s">
        <v>64</v>
      </c>
    </row>
    <row r="31299" spans="1:5" x14ac:dyDescent="0.25">
      <c r="A31299" t="str">
        <f>HYPERLINK("https://www.773grp.com/globalSearch/CAT24C03YI-GT3/page-1", "CAT24C03YI-GT3")</f>
        <v>CAT24C03YI-GT3</v>
      </c>
      <c r="B31299" s="3" t="str">
        <f>HYPERLINK("https://www.773grp.com/manufacturer/onsemi?pageNo=797", "ON Semiconductor")</f>
        <v>ON Semiconductor</v>
      </c>
      <c r="C31299" s="6">
        <v>12046</v>
      </c>
      <c r="D31299" s="7">
        <v>0.79</v>
      </c>
      <c r="E31299" t="s">
        <v>64</v>
      </c>
    </row>
    <row r="31300" spans="1:5" x14ac:dyDescent="0.25">
      <c r="A31300" t="str">
        <f>HYPERLINK("https://www.773grp.com/globalSearch/CAT24C16HU4I-GT3/page-1", "CAT24C16HU4I-GT3")</f>
        <v>CAT24C16HU4I-GT3</v>
      </c>
      <c r="B31300" s="3" t="str">
        <f>HYPERLINK("https://www.773grp.com/manufacturer/onsemi?pageNo=798", "ON Semiconductor")</f>
        <v>ON Semiconductor</v>
      </c>
      <c r="C31300" s="6">
        <v>21000</v>
      </c>
      <c r="D31300" s="7">
        <v>0.79</v>
      </c>
    </row>
    <row r="31301" spans="1:5" x14ac:dyDescent="0.25">
      <c r="A31301" t="str">
        <f>HYPERLINK("https://www.773grp.com/globalSearch/CAT24C16VP2I-GT3/page-1", "CAT24C16VP2I-GT3")</f>
        <v>CAT24C16VP2I-GT3</v>
      </c>
      <c r="B31301" s="3" t="str">
        <f>HYPERLINK("https://www.773grp.com/manufacturer/onsemi?pageNo=799", "ON Semiconductor")</f>
        <v>ON Semiconductor</v>
      </c>
      <c r="C31301" s="6">
        <v>666000</v>
      </c>
      <c r="D31301" s="7">
        <v>0.79</v>
      </c>
      <c r="E31301" t="s">
        <v>64</v>
      </c>
    </row>
    <row r="31302" spans="1:5" x14ac:dyDescent="0.25">
      <c r="A31302" t="str">
        <f>HYPERLINK("https://www.773grp.com/globalSearch/CAT25010VP2I-GT3/page-1", "CAT25010VP2I-GT3")</f>
        <v>CAT25010VP2I-GT3</v>
      </c>
      <c r="B31302" s="3" t="str">
        <f>HYPERLINK("https://www.773grp.com/manufacturer/onsemi?pageNo=800", "ON Semiconductor")</f>
        <v>ON Semiconductor</v>
      </c>
      <c r="C31302" s="6">
        <v>3000</v>
      </c>
      <c r="D31302" s="7">
        <v>0.79</v>
      </c>
    </row>
    <row r="31303" spans="1:5" x14ac:dyDescent="0.25">
      <c r="A31303" t="str">
        <f>HYPERLINK("https://www.773grp.com/globalSearch/CAT25040VI-GT3/page-1", "CAT25040VI-GT3")</f>
        <v>CAT25040VI-GT3</v>
      </c>
      <c r="B31303" s="3" t="str">
        <f>HYPERLINK("https://www.773grp.com/manufacturer/onsemi?pageNo=801", "ON Semiconductor")</f>
        <v>ON Semiconductor</v>
      </c>
      <c r="C31303" s="6">
        <v>3000</v>
      </c>
      <c r="D31303" s="7">
        <v>0.79</v>
      </c>
    </row>
    <row r="31304" spans="1:5" x14ac:dyDescent="0.25">
      <c r="A31304" t="str">
        <f>HYPERLINK("https://www.773grp.com/globalSearch/CAT25040YI-GT3/page-1", "CAT25040YI-GT3")</f>
        <v>CAT25040YI-GT3</v>
      </c>
      <c r="B31304" s="3" t="str">
        <f>HYPERLINK("https://www.773grp.com/manufacturer/onsemi?pageNo=802", "ON Semiconductor")</f>
        <v>ON Semiconductor</v>
      </c>
      <c r="C31304" s="6">
        <v>6000</v>
      </c>
      <c r="D31304" s="7">
        <v>0.79</v>
      </c>
    </row>
    <row r="31305" spans="1:5" x14ac:dyDescent="0.25">
      <c r="A31305" t="str">
        <f>HYPERLINK("https://www.773grp.com/globalSearch/CAT34C02HU4IGT4A/page-1", "CAT34C02HU4IGT4A")</f>
        <v>CAT34C02HU4IGT4A</v>
      </c>
      <c r="B31305" s="3" t="str">
        <f>HYPERLINK("https://www.773grp.com/manufacturer/onsemi?pageNo=803", "ON Semiconductor")</f>
        <v>ON Semiconductor</v>
      </c>
      <c r="C31305" s="6">
        <v>20000</v>
      </c>
      <c r="D31305" s="7">
        <v>0.79</v>
      </c>
    </row>
    <row r="31306" spans="1:5" x14ac:dyDescent="0.25">
      <c r="A31306" t="str">
        <f>HYPERLINK("https://www.773grp.com/globalSearch/CAT34C02VP2IGT4A/page-1", "CAT34C02VP2IGT4A")</f>
        <v>CAT34C02VP2IGT4A</v>
      </c>
      <c r="B31306" s="3" t="str">
        <f>HYPERLINK("https://www.773grp.com/manufacturer/onsemi?pageNo=804", "ON Semiconductor")</f>
        <v>ON Semiconductor</v>
      </c>
      <c r="C31306" s="6">
        <v>2088459</v>
      </c>
      <c r="D31306" s="7">
        <v>0.79</v>
      </c>
    </row>
    <row r="31307" spans="1:5" x14ac:dyDescent="0.25">
      <c r="A31307" t="str">
        <f>HYPERLINK("https://www.773grp.com/globalSearch/CAT93C46VI-G/page-1", "CAT93C46VI-G")</f>
        <v>CAT93C46VI-G</v>
      </c>
      <c r="B31307" s="3" t="str">
        <f>HYPERLINK("https://www.773grp.com/manufacturer/onsemi?pageNo=805", "ON Semiconductor")</f>
        <v>ON Semiconductor</v>
      </c>
      <c r="C31307" s="6">
        <v>18312</v>
      </c>
      <c r="D31307" s="7">
        <v>0.79</v>
      </c>
    </row>
    <row r="31308" spans="1:5" x14ac:dyDescent="0.25">
      <c r="A31308" t="str">
        <f>HYPERLINK("https://www.773grp.com/globalSearch/CAV24C04WE-GT3/page-1", "CAV24C04WE-GT3")</f>
        <v>CAV24C04WE-GT3</v>
      </c>
      <c r="B31308" s="3" t="str">
        <f>HYPERLINK("https://www.773grp.com/manufacturer/onsemi?pageNo=806", "ON Semiconductor")</f>
        <v>ON Semiconductor</v>
      </c>
      <c r="C31308" s="6">
        <v>75000</v>
      </c>
      <c r="D31308" s="7">
        <v>0.79</v>
      </c>
    </row>
    <row r="31309" spans="1:5" x14ac:dyDescent="0.25">
      <c r="A31309" t="str">
        <f>HYPERLINK("https://www.773grp.com/globalSearch/CM1224-04SO/page-1", "CM1224-04SO")</f>
        <v>CM1224-04SO</v>
      </c>
      <c r="B31309" s="3" t="str">
        <f>HYPERLINK("https://www.773grp.com/manufacturer/onsemi?pageNo=807", "ON Semiconductor")</f>
        <v>ON Semiconductor</v>
      </c>
      <c r="C31309" s="6">
        <v>3000</v>
      </c>
      <c r="D31309" s="7">
        <v>0.79</v>
      </c>
      <c r="E31309" t="s">
        <v>96</v>
      </c>
    </row>
    <row r="31310" spans="1:5" x14ac:dyDescent="0.25">
      <c r="A31310" t="str">
        <f>HYPERLINK("https://www.773grp.com/globalSearch/CM1248-04QG/page-1", "CM1248-04QG")</f>
        <v>CM1248-04QG</v>
      </c>
      <c r="B31310" s="3" t="str">
        <f>HYPERLINK("https://www.773grp.com/manufacturer/onsemi?pageNo=808", "ON Semiconductor")</f>
        <v>ON Semiconductor</v>
      </c>
      <c r="C31310" s="6">
        <v>2800</v>
      </c>
      <c r="D31310" s="7">
        <v>0.79</v>
      </c>
      <c r="E31310" t="s">
        <v>96</v>
      </c>
    </row>
    <row r="31311" spans="1:5" x14ac:dyDescent="0.25">
      <c r="A31311" t="str">
        <f>HYPERLINK("https://www.773grp.com/globalSearch/CM1401-32CP/page-1", "CM1401-32CP")</f>
        <v>CM1401-32CP</v>
      </c>
      <c r="B31311" s="3" t="str">
        <f>HYPERLINK("https://www.773grp.com/manufacturer/onsemi?pageNo=809", "ON Semiconductor")</f>
        <v>ON Semiconductor</v>
      </c>
      <c r="C31311" s="6">
        <v>3500</v>
      </c>
      <c r="D31311" s="7">
        <v>0.79</v>
      </c>
      <c r="E31311" t="s">
        <v>100</v>
      </c>
    </row>
    <row r="31312" spans="1:5" x14ac:dyDescent="0.25">
      <c r="A31312" t="str">
        <f>HYPERLINK("https://www.773grp.com/globalSearch/CM1406-04DE/page-1", "CM1406-04DE")</f>
        <v>CM1406-04DE</v>
      </c>
      <c r="B31312" s="3" t="str">
        <f>HYPERLINK("https://www.773grp.com/manufacturer/onsemi?pageNo=810", "ON Semiconductor")</f>
        <v>ON Semiconductor</v>
      </c>
      <c r="C31312" s="6">
        <v>21000</v>
      </c>
      <c r="D31312" s="7">
        <v>0.79</v>
      </c>
      <c r="E31312" t="s">
        <v>100</v>
      </c>
    </row>
    <row r="31313" spans="1:5" x14ac:dyDescent="0.25">
      <c r="A31313" t="str">
        <f>HYPERLINK("https://www.773grp.com/globalSearch/CM1406-08DE/page-1", "CM1406-08DE")</f>
        <v>CM1406-08DE</v>
      </c>
      <c r="B31313" s="3" t="str">
        <f>HYPERLINK("https://www.773grp.com/manufacturer/onsemi?pageNo=811", "ON Semiconductor")</f>
        <v>ON Semiconductor</v>
      </c>
      <c r="C31313" s="6">
        <v>66012</v>
      </c>
      <c r="D31313" s="7">
        <v>0.79</v>
      </c>
    </row>
    <row r="31314" spans="1:5" x14ac:dyDescent="0.25">
      <c r="A31314" t="str">
        <f>HYPERLINK("https://www.773grp.com/globalSearch/CM1411-03CP/page-1", "CM1411-03CP")</f>
        <v>CM1411-03CP</v>
      </c>
      <c r="B31314" s="3" t="str">
        <f>HYPERLINK("https://www.773grp.com/manufacturer/onsemi?pageNo=812", "ON Semiconductor")</f>
        <v>ON Semiconductor</v>
      </c>
      <c r="C31314" s="6">
        <v>80500</v>
      </c>
      <c r="D31314" s="7">
        <v>0.79</v>
      </c>
      <c r="E31314" t="s">
        <v>100</v>
      </c>
    </row>
    <row r="31315" spans="1:5" x14ac:dyDescent="0.25">
      <c r="A31315" t="str">
        <f>HYPERLINK("https://www.773grp.com/globalSearch/CM1412-03CP/page-1", "CM1412-03CP")</f>
        <v>CM1412-03CP</v>
      </c>
      <c r="B31315" s="3" t="str">
        <f>HYPERLINK("https://www.773grp.com/manufacturer/onsemi?pageNo=813", "ON Semiconductor")</f>
        <v>ON Semiconductor</v>
      </c>
      <c r="C31315" s="6">
        <v>18260</v>
      </c>
      <c r="D31315" s="7">
        <v>0.79</v>
      </c>
      <c r="E31315" t="s">
        <v>100</v>
      </c>
    </row>
    <row r="31316" spans="1:5" x14ac:dyDescent="0.25">
      <c r="A31316" t="str">
        <f>HYPERLINK("https://www.773grp.com/globalSearch/CM1420-03CP/page-1", "CM1420-03CP")</f>
        <v>CM1420-03CP</v>
      </c>
      <c r="B31316" s="3" t="str">
        <f>HYPERLINK("https://www.773grp.com/manufacturer/onsemi?pageNo=814", "ON Semiconductor")</f>
        <v>ON Semiconductor</v>
      </c>
      <c r="C31316" s="6">
        <v>3500</v>
      </c>
      <c r="D31316" s="7">
        <v>0.79</v>
      </c>
      <c r="E31316" t="s">
        <v>100</v>
      </c>
    </row>
    <row r="31317" spans="1:5" x14ac:dyDescent="0.25">
      <c r="A31317" t="str">
        <f>HYPERLINK("https://www.773grp.com/globalSearch/CM1426-06CP/page-1", "CM1426-06CP")</f>
        <v>CM1426-06CP</v>
      </c>
      <c r="B31317" s="3" t="str">
        <f>HYPERLINK("https://www.773grp.com/manufacturer/onsemi?pageNo=815", "ON Semiconductor")</f>
        <v>ON Semiconductor</v>
      </c>
      <c r="C31317" s="6">
        <v>3500</v>
      </c>
      <c r="D31317" s="7">
        <v>0.79</v>
      </c>
      <c r="E31317" t="s">
        <v>100</v>
      </c>
    </row>
    <row r="31318" spans="1:5" x14ac:dyDescent="0.25">
      <c r="A31318" t="str">
        <f>HYPERLINK("https://www.773grp.com/globalSearch/CM1430-06DE/page-1", "CM1430-06DE")</f>
        <v>CM1430-06DE</v>
      </c>
      <c r="B31318" s="3" t="str">
        <f>HYPERLINK("https://www.773grp.com/manufacturer/onsemi?pageNo=816", "ON Semiconductor")</f>
        <v>ON Semiconductor</v>
      </c>
      <c r="C31318" s="6">
        <v>525000</v>
      </c>
      <c r="D31318" s="7">
        <v>0.79</v>
      </c>
      <c r="E31318" t="s">
        <v>100</v>
      </c>
    </row>
    <row r="31319" spans="1:5" x14ac:dyDescent="0.25">
      <c r="A31319" t="str">
        <f>HYPERLINK("https://www.773grp.com/globalSearch/CM1430-08DE/page-1", "CM1430-08DE")</f>
        <v>CM1430-08DE</v>
      </c>
      <c r="B31319" s="3" t="str">
        <f>HYPERLINK("https://www.773grp.com/manufacturer/onsemi?pageNo=817", "ON Semiconductor")</f>
        <v>ON Semiconductor</v>
      </c>
      <c r="C31319" s="6">
        <v>362000</v>
      </c>
      <c r="D31319" s="7">
        <v>0.79</v>
      </c>
      <c r="E31319" t="s">
        <v>100</v>
      </c>
    </row>
    <row r="31320" spans="1:5" x14ac:dyDescent="0.25">
      <c r="A31320" t="str">
        <f>HYPERLINK("https://www.773grp.com/globalSearch/CM1436-04DE/page-1", "CM1436-04DE")</f>
        <v>CM1436-04DE</v>
      </c>
      <c r="B31320" s="3" t="str">
        <f>HYPERLINK("https://www.773grp.com/manufacturer/onsemi?pageNo=818", "ON Semiconductor")</f>
        <v>ON Semiconductor</v>
      </c>
      <c r="C31320" s="6">
        <v>138000</v>
      </c>
      <c r="D31320" s="7">
        <v>0.79</v>
      </c>
    </row>
    <row r="31321" spans="1:5" x14ac:dyDescent="0.25">
      <c r="A31321" t="str">
        <f>HYPERLINK("https://www.773grp.com/globalSearch/CM1442-06CP/page-1", "CM1442-06CP")</f>
        <v>CM1442-06CP</v>
      </c>
      <c r="B31321" s="3" t="str">
        <f>HYPERLINK("https://www.773grp.com/manufacturer/onsemi?pageNo=819", "ON Semiconductor")</f>
        <v>ON Semiconductor</v>
      </c>
      <c r="C31321" s="6">
        <v>139980</v>
      </c>
      <c r="D31321" s="7">
        <v>0.79</v>
      </c>
      <c r="E31321" t="s">
        <v>100</v>
      </c>
    </row>
    <row r="31322" spans="1:5" x14ac:dyDescent="0.25">
      <c r="A31322" t="str">
        <f>HYPERLINK("https://www.773grp.com/globalSearch/CM1442-06LP/page-1", "CM1442-06LP")</f>
        <v>CM1442-06LP</v>
      </c>
      <c r="B31322" s="3" t="str">
        <f>HYPERLINK("https://www.773grp.com/manufacturer/onsemi?pageNo=820", "ON Semiconductor")</f>
        <v>ON Semiconductor</v>
      </c>
      <c r="C31322" s="6">
        <v>1099000</v>
      </c>
      <c r="D31322" s="7">
        <v>0.79</v>
      </c>
      <c r="E31322" t="s">
        <v>100</v>
      </c>
    </row>
    <row r="31323" spans="1:5" x14ac:dyDescent="0.25">
      <c r="A31323" t="str">
        <f>HYPERLINK("https://www.773grp.com/globalSearch/CM1457-08CP/page-1", "CM1457-08CP")</f>
        <v>CM1457-08CP</v>
      </c>
      <c r="B31323" s="3" t="str">
        <f>HYPERLINK("https://www.773grp.com/manufacturer/onsemi?pageNo=821", "ON Semiconductor")</f>
        <v>ON Semiconductor</v>
      </c>
      <c r="C31323" s="6">
        <v>2390</v>
      </c>
      <c r="D31323" s="7">
        <v>0.79</v>
      </c>
      <c r="E31323" t="s">
        <v>100</v>
      </c>
    </row>
    <row r="31324" spans="1:5" x14ac:dyDescent="0.25">
      <c r="A31324" t="str">
        <f>HYPERLINK("https://www.773grp.com/globalSearch/CSPEMI205G/page-1", "CSPEMI205G")</f>
        <v>CSPEMI205G</v>
      </c>
      <c r="B31324" s="3" t="str">
        <f>HYPERLINK("https://www.773grp.com/manufacturer/onsemi?pageNo=822", "ON Semiconductor")</f>
        <v>ON Semiconductor</v>
      </c>
      <c r="C31324" s="6">
        <v>133000</v>
      </c>
      <c r="D31324" s="7">
        <v>0.79</v>
      </c>
      <c r="E31324" t="s">
        <v>100</v>
      </c>
    </row>
    <row r="31325" spans="1:5" x14ac:dyDescent="0.25">
      <c r="A31325" t="str">
        <f>HYPERLINK("https://www.773grp.com/globalSearch/CSPEMI306AG/page-1", "CSPEMI306AG")</f>
        <v>CSPEMI306AG</v>
      </c>
      <c r="B31325" s="3" t="str">
        <f>HYPERLINK("https://www.773grp.com/manufacturer/onsemi?pageNo=823", "ON Semiconductor")</f>
        <v>ON Semiconductor</v>
      </c>
      <c r="C31325" s="6">
        <v>8250</v>
      </c>
      <c r="D31325" s="7">
        <v>0.79</v>
      </c>
      <c r="E31325" t="s">
        <v>100</v>
      </c>
    </row>
    <row r="31326" spans="1:5" x14ac:dyDescent="0.25">
      <c r="A31326" t="str">
        <f>HYPERLINK("https://www.773grp.com/globalSearch/CSPEMI307AG/page-1", "CSPEMI307AG")</f>
        <v>CSPEMI307AG</v>
      </c>
      <c r="B31326" s="3" t="str">
        <f>HYPERLINK("https://www.773grp.com/manufacturer/onsemi?pageNo=824", "ON Semiconductor")</f>
        <v>ON Semiconductor</v>
      </c>
      <c r="C31326" s="6">
        <v>3500</v>
      </c>
      <c r="D31326" s="7">
        <v>0.79</v>
      </c>
      <c r="E31326" t="s">
        <v>100</v>
      </c>
    </row>
    <row r="31327" spans="1:5" x14ac:dyDescent="0.25">
      <c r="A31327" t="str">
        <f>HYPERLINK("https://www.773grp.com/globalSearch/ECH8657-TL-H/page-1", "ECH8657-TL-H")</f>
        <v>ECH8657-TL-H</v>
      </c>
      <c r="B31327" s="3" t="str">
        <f>HYPERLINK("https://www.773grp.com/manufacturer/onsemi?pageNo=825", "ON Semiconductor")</f>
        <v>ON Semiconductor</v>
      </c>
      <c r="C31327" s="6">
        <v>48000</v>
      </c>
      <c r="D31327" s="7">
        <v>0.79</v>
      </c>
    </row>
    <row r="31328" spans="1:5" x14ac:dyDescent="0.25">
      <c r="A31328" t="str">
        <f>HYPERLINK("https://www.773grp.com/globalSearch/EMH2308-TL-E/page-1", "EMH2308-TL-E")</f>
        <v>EMH2308-TL-E</v>
      </c>
      <c r="B31328" s="3" t="str">
        <f>HYPERLINK("https://www.773grp.com/manufacturer/onsemi?pageNo=826", "ON Semiconductor")</f>
        <v>ON Semiconductor</v>
      </c>
      <c r="C31328" s="6">
        <v>3000</v>
      </c>
      <c r="D31328" s="7">
        <v>0.79</v>
      </c>
    </row>
    <row r="31329" spans="1:5" x14ac:dyDescent="0.25">
      <c r="A31329" t="str">
        <f>HYPERLINK("https://www.773grp.com/globalSearch/ESD8006MUTAG/page-1", "ESD8006MUTAG")</f>
        <v>ESD8006MUTAG</v>
      </c>
      <c r="B31329" s="3" t="str">
        <f>HYPERLINK("https://www.773grp.com/manufacturer/onsemi?pageNo=827", "ON Semiconductor")</f>
        <v>ON Semiconductor</v>
      </c>
      <c r="C31329" s="6">
        <v>66000</v>
      </c>
      <c r="D31329" s="7">
        <v>0.79</v>
      </c>
    </row>
    <row r="31330" spans="1:5" x14ac:dyDescent="0.25">
      <c r="A31330" t="str">
        <f>HYPERLINK("https://www.773grp.com/globalSearch/JLC1147F/page-1", "JLC1147F")</f>
        <v>JLC1147F</v>
      </c>
      <c r="B31330" s="3" t="str">
        <f>HYPERLINK("https://www.773grp.com/manufacturer/onsemi?pageNo=828", "ON Semiconductor")</f>
        <v>ON Semiconductor</v>
      </c>
      <c r="C31330" s="6">
        <v>12880</v>
      </c>
      <c r="D31330" s="7">
        <v>0.79</v>
      </c>
    </row>
    <row r="31331" spans="1:5" x14ac:dyDescent="0.25">
      <c r="A31331" t="str">
        <f>HYPERLINK("https://www.773grp.com/globalSearch/LM224D/page-1", "LM224D")</f>
        <v>LM224D</v>
      </c>
      <c r="B31331" s="3" t="str">
        <f>HYPERLINK("https://www.773grp.com/manufacturer/onsemi?pageNo=829", "ON Semiconductor")</f>
        <v>ON Semiconductor</v>
      </c>
      <c r="C31331" s="6">
        <v>22165</v>
      </c>
      <c r="D31331" s="7">
        <v>0.79</v>
      </c>
      <c r="E31331" t="s">
        <v>13</v>
      </c>
    </row>
    <row r="31332" spans="1:5" x14ac:dyDescent="0.25">
      <c r="A31332" t="str">
        <f>HYPERLINK("https://www.773grp.com/globalSearch/LM224DG/page-1", "LM224DG")</f>
        <v>LM224DG</v>
      </c>
      <c r="B31332" s="3" t="str">
        <f>HYPERLINK("https://www.773grp.com/manufacturer/onsemi?pageNo=830", "ON Semiconductor")</f>
        <v>ON Semiconductor</v>
      </c>
      <c r="C31332" s="6">
        <v>37631</v>
      </c>
      <c r="D31332" s="7">
        <v>0.79</v>
      </c>
      <c r="E31332" t="s">
        <v>13</v>
      </c>
    </row>
    <row r="31333" spans="1:5" x14ac:dyDescent="0.25">
      <c r="A31333" t="str">
        <f>HYPERLINK("https://www.773grp.com/globalSearch/LM224DR2/page-1", "LM224DR2")</f>
        <v>LM224DR2</v>
      </c>
      <c r="B31333" s="3" t="str">
        <f>HYPERLINK("https://www.773grp.com/manufacturer/onsemi?pageNo=831", "ON Semiconductor")</f>
        <v>ON Semiconductor</v>
      </c>
      <c r="C31333" s="6">
        <v>10000</v>
      </c>
      <c r="D31333" s="7">
        <v>0.79</v>
      </c>
      <c r="E31333" t="s">
        <v>13</v>
      </c>
    </row>
    <row r="31334" spans="1:5" x14ac:dyDescent="0.25">
      <c r="A31334" t="str">
        <f>HYPERLINK("https://www.773grp.com/globalSearch/LM224DR2G/page-1", "LM224DR2G")</f>
        <v>LM224DR2G</v>
      </c>
      <c r="B31334" s="3" t="str">
        <f>HYPERLINK("https://www.773grp.com/manufacturer/onsemi?pageNo=832", "ON Semiconductor")</f>
        <v>ON Semiconductor</v>
      </c>
      <c r="C31334" s="6">
        <v>28490</v>
      </c>
      <c r="D31334" s="7">
        <v>0.79</v>
      </c>
      <c r="E31334" t="s">
        <v>13</v>
      </c>
    </row>
    <row r="31335" spans="1:5" x14ac:dyDescent="0.25">
      <c r="A31335" t="str">
        <f>HYPERLINK("https://www.773grp.com/globalSearch/LM224NG/page-1", "LM224NG")</f>
        <v>LM224NG</v>
      </c>
      <c r="B31335" s="3" t="str">
        <f>HYPERLINK("https://www.773grp.com/manufacturer/onsemi?pageNo=833", "ON Semiconductor")</f>
        <v>ON Semiconductor</v>
      </c>
      <c r="C31335" s="6">
        <v>35853</v>
      </c>
      <c r="D31335" s="7">
        <v>0.79</v>
      </c>
      <c r="E31335" t="s">
        <v>13</v>
      </c>
    </row>
    <row r="31336" spans="1:5" x14ac:dyDescent="0.25">
      <c r="A31336" t="str">
        <f>HYPERLINK("https://www.773grp.com/globalSearch/LM239AD/page-1", "LM239AD")</f>
        <v>LM239AD</v>
      </c>
      <c r="B31336" s="3" t="str">
        <f>HYPERLINK("https://www.773grp.com/manufacturer/onsemi?pageNo=834", "ON Semiconductor")</f>
        <v>ON Semiconductor</v>
      </c>
      <c r="C31336" s="6">
        <v>123</v>
      </c>
      <c r="D31336" s="7">
        <v>0.79</v>
      </c>
      <c r="E31336" t="s">
        <v>9</v>
      </c>
    </row>
    <row r="31337" spans="1:5" x14ac:dyDescent="0.25">
      <c r="A31337" t="str">
        <f>HYPERLINK("https://www.773grp.com/globalSearch/LM239AN/page-1", "LM239AN")</f>
        <v>LM239AN</v>
      </c>
      <c r="B31337" s="3" t="str">
        <f>HYPERLINK("https://www.773grp.com/manufacturer/onsemi?pageNo=835", "ON Semiconductor")</f>
        <v>ON Semiconductor</v>
      </c>
      <c r="C31337" s="6">
        <v>3325</v>
      </c>
      <c r="D31337" s="7">
        <v>0.79</v>
      </c>
      <c r="E31337" t="s">
        <v>9</v>
      </c>
    </row>
    <row r="31338" spans="1:5" x14ac:dyDescent="0.25">
      <c r="A31338" t="str">
        <f>HYPERLINK("https://www.773grp.com/globalSearch/LM239DG/page-1", "LM239DG")</f>
        <v>LM239DG</v>
      </c>
      <c r="B31338" s="3" t="str">
        <f>HYPERLINK("https://www.773grp.com/manufacturer/onsemi?pageNo=836", "ON Semiconductor")</f>
        <v>ON Semiconductor</v>
      </c>
      <c r="C31338" s="6">
        <v>91473</v>
      </c>
      <c r="D31338" s="7">
        <v>0.79</v>
      </c>
      <c r="E31338" t="s">
        <v>9</v>
      </c>
    </row>
    <row r="31339" spans="1:5" x14ac:dyDescent="0.25">
      <c r="A31339" t="str">
        <f>HYPERLINK("https://www.773grp.com/globalSearch/LM239DR2G/page-1", "LM239DR2G")</f>
        <v>LM239DR2G</v>
      </c>
      <c r="B31339" s="3" t="str">
        <f>HYPERLINK("https://www.773grp.com/manufacturer/onsemi?pageNo=837", "ON Semiconductor")</f>
        <v>ON Semiconductor</v>
      </c>
      <c r="C31339" s="6">
        <v>163634</v>
      </c>
      <c r="D31339" s="7">
        <v>0.79</v>
      </c>
      <c r="E31339" t="s">
        <v>9</v>
      </c>
    </row>
    <row r="31340" spans="1:5" x14ac:dyDescent="0.25">
      <c r="A31340" t="str">
        <f>HYPERLINK("https://www.773grp.com/globalSearch/LM239NG/page-1", "LM239NG")</f>
        <v>LM239NG</v>
      </c>
      <c r="B31340" s="3" t="str">
        <f>HYPERLINK("https://www.773grp.com/manufacturer/onsemi?pageNo=838", "ON Semiconductor")</f>
        <v>ON Semiconductor</v>
      </c>
      <c r="C31340" s="6">
        <v>46806</v>
      </c>
      <c r="D31340" s="7">
        <v>0.79</v>
      </c>
      <c r="E31340" t="s">
        <v>9</v>
      </c>
    </row>
    <row r="31341" spans="1:5" x14ac:dyDescent="0.25">
      <c r="A31341" t="str">
        <f>HYPERLINK("https://www.773grp.com/globalSearch/LM258DG/page-1", "LM258DG")</f>
        <v>LM258DG</v>
      </c>
      <c r="B31341" s="3" t="str">
        <f>HYPERLINK("https://www.773grp.com/manufacturer/onsemi?pageNo=839", "ON Semiconductor")</f>
        <v>ON Semiconductor</v>
      </c>
      <c r="C31341" s="6">
        <v>17346</v>
      </c>
      <c r="D31341" s="7">
        <v>0.79</v>
      </c>
      <c r="E31341" t="s">
        <v>13</v>
      </c>
    </row>
    <row r="31342" spans="1:5" x14ac:dyDescent="0.25">
      <c r="A31342" t="str">
        <f>HYPERLINK("https://www.773grp.com/globalSearch/LM258DMR2G/page-1", "LM258DMR2G")</f>
        <v>LM258DMR2G</v>
      </c>
      <c r="B31342" s="3" t="str">
        <f>HYPERLINK("https://www.773grp.com/manufacturer/onsemi?pageNo=840", "ON Semiconductor")</f>
        <v>ON Semiconductor</v>
      </c>
      <c r="C31342" s="6">
        <v>184000</v>
      </c>
      <c r="D31342" s="7">
        <v>0.79</v>
      </c>
      <c r="E31342" t="s">
        <v>13</v>
      </c>
    </row>
    <row r="31343" spans="1:5" x14ac:dyDescent="0.25">
      <c r="A31343" t="str">
        <f>HYPERLINK("https://www.773grp.com/globalSearch/LM258DR2G/page-1", "LM258DR2G")</f>
        <v>LM258DR2G</v>
      </c>
      <c r="B31343" s="3" t="str">
        <f>HYPERLINK("https://www.773grp.com/manufacturer/onsemi?pageNo=841", "ON Semiconductor")</f>
        <v>ON Semiconductor</v>
      </c>
      <c r="C31343" s="6">
        <v>69554</v>
      </c>
      <c r="D31343" s="7">
        <v>0.79</v>
      </c>
      <c r="E31343" t="s">
        <v>13</v>
      </c>
    </row>
    <row r="31344" spans="1:5" x14ac:dyDescent="0.25">
      <c r="A31344" t="str">
        <f>HYPERLINK("https://www.773grp.com/globalSearch/LM258N/page-1", "LM258N")</f>
        <v>LM258N</v>
      </c>
      <c r="B31344" s="3" t="str">
        <f>HYPERLINK("https://www.773grp.com/manufacturer/onsemi?pageNo=842", "ON Semiconductor")</f>
        <v>ON Semiconductor</v>
      </c>
      <c r="C31344" s="6">
        <v>4280</v>
      </c>
      <c r="D31344" s="7">
        <v>0.79</v>
      </c>
      <c r="E31344" t="s">
        <v>13</v>
      </c>
    </row>
    <row r="31345" spans="1:5" x14ac:dyDescent="0.25">
      <c r="A31345" t="str">
        <f>HYPERLINK("https://www.773grp.com/globalSearch/LM258NG/page-1", "LM258NG")</f>
        <v>LM258NG</v>
      </c>
      <c r="B31345" s="3" t="str">
        <f>HYPERLINK("https://www.773grp.com/manufacturer/onsemi?pageNo=843", "ON Semiconductor")</f>
        <v>ON Semiconductor</v>
      </c>
      <c r="C31345" s="6">
        <v>20375</v>
      </c>
      <c r="D31345" s="7">
        <v>0.79</v>
      </c>
      <c r="E31345" t="s">
        <v>13</v>
      </c>
    </row>
    <row r="31346" spans="1:5" x14ac:dyDescent="0.25">
      <c r="A31346" t="str">
        <f>HYPERLINK("https://www.773grp.com/globalSearch/LM2902DTBG/page-1", "LM2902DTBG")</f>
        <v>LM2902DTBG</v>
      </c>
      <c r="B31346" s="3" t="str">
        <f>HYPERLINK("https://www.773grp.com/manufacturer/onsemi?pageNo=844", "ON Semiconductor")</f>
        <v>ON Semiconductor</v>
      </c>
      <c r="C31346" s="6">
        <v>61</v>
      </c>
      <c r="D31346" s="7">
        <v>0.79</v>
      </c>
      <c r="E31346" t="s">
        <v>13</v>
      </c>
    </row>
    <row r="31347" spans="1:5" x14ac:dyDescent="0.25">
      <c r="A31347" t="str">
        <f>HYPERLINK("https://www.773grp.com/globalSearch/LM2902DTBR2G/page-1", "LM2902DTBR2G")</f>
        <v>LM2902DTBR2G</v>
      </c>
      <c r="B31347" s="3" t="str">
        <f>HYPERLINK("https://www.773grp.com/manufacturer/onsemi?pageNo=845", "ON Semiconductor")</f>
        <v>ON Semiconductor</v>
      </c>
      <c r="C31347" s="6">
        <v>25000</v>
      </c>
      <c r="D31347" s="7">
        <v>0.79</v>
      </c>
    </row>
    <row r="31348" spans="1:5" x14ac:dyDescent="0.25">
      <c r="A31348" t="str">
        <f>HYPERLINK("https://www.773grp.com/globalSearch/LM2904AN/page-1", "LM2904AN")</f>
        <v>LM2904AN</v>
      </c>
      <c r="B31348" s="3" t="str">
        <f>HYPERLINK("https://www.773grp.com/manufacturer/onsemi?pageNo=846", "ON Semiconductor")</f>
        <v>ON Semiconductor</v>
      </c>
      <c r="C31348" s="6">
        <v>1930</v>
      </c>
      <c r="D31348" s="7">
        <v>0.79</v>
      </c>
      <c r="E31348" t="s">
        <v>13</v>
      </c>
    </row>
    <row r="31349" spans="1:5" x14ac:dyDescent="0.25">
      <c r="A31349" t="str">
        <f>HYPERLINK("https://www.773grp.com/globalSearch/LM293DG/page-1", "LM293DG")</f>
        <v>LM293DG</v>
      </c>
      <c r="B31349" s="3" t="str">
        <f>HYPERLINK("https://www.773grp.com/manufacturer/onsemi?pageNo=847", "ON Semiconductor")</f>
        <v>ON Semiconductor</v>
      </c>
      <c r="C31349" s="6">
        <v>14514</v>
      </c>
      <c r="D31349" s="7">
        <v>0.79</v>
      </c>
      <c r="E31349" t="s">
        <v>9</v>
      </c>
    </row>
    <row r="31350" spans="1:5" x14ac:dyDescent="0.25">
      <c r="A31350" t="str">
        <f>HYPERLINK("https://www.773grp.com/globalSearch/LM293DMR2G/page-1", "LM293DMR2G")</f>
        <v>LM293DMR2G</v>
      </c>
      <c r="B31350" s="3" t="str">
        <f>HYPERLINK("https://www.773grp.com/manufacturer/onsemi?pageNo=848", "ON Semiconductor")</f>
        <v>ON Semiconductor</v>
      </c>
      <c r="C31350" s="6">
        <v>13650</v>
      </c>
      <c r="D31350" s="7">
        <v>0.79</v>
      </c>
      <c r="E31350" t="s">
        <v>9</v>
      </c>
    </row>
    <row r="31351" spans="1:5" x14ac:dyDescent="0.25">
      <c r="A31351" t="str">
        <f>HYPERLINK("https://www.773grp.com/globalSearch/LM293DR2G/page-1", "LM293DR2G")</f>
        <v>LM293DR2G</v>
      </c>
      <c r="B31351" s="3" t="str">
        <f>HYPERLINK("https://www.773grp.com/manufacturer/onsemi?pageNo=849", "ON Semiconductor")</f>
        <v>ON Semiconductor</v>
      </c>
      <c r="C31351" s="6">
        <v>117875</v>
      </c>
      <c r="D31351" s="7">
        <v>0.79</v>
      </c>
      <c r="E31351" t="s">
        <v>9</v>
      </c>
    </row>
    <row r="31352" spans="1:5" x14ac:dyDescent="0.25">
      <c r="A31352" t="str">
        <f>HYPERLINK("https://www.773grp.com/globalSearch/LM317MBT/page-1", "LM317MBT")</f>
        <v>LM317MBT</v>
      </c>
      <c r="B31352" s="3" t="str">
        <f>HYPERLINK("https://www.773grp.com/manufacturer/onsemi?pageNo=850", "ON Semiconductor")</f>
        <v>ON Semiconductor</v>
      </c>
      <c r="C31352" s="6">
        <v>492</v>
      </c>
      <c r="D31352" s="7">
        <v>0.79</v>
      </c>
      <c r="E31352" t="s">
        <v>22</v>
      </c>
    </row>
    <row r="31353" spans="1:5" x14ac:dyDescent="0.25">
      <c r="A31353" t="str">
        <f>HYPERLINK("https://www.773grp.com/globalSearch/LM339AD/page-1", "LM339AD")</f>
        <v>LM339AD</v>
      </c>
      <c r="B31353" s="3" t="str">
        <f>HYPERLINK("https://www.773grp.com/manufacturer/onsemi?pageNo=851", "ON Semiconductor")</f>
        <v>ON Semiconductor</v>
      </c>
      <c r="C31353" s="6">
        <v>42668</v>
      </c>
      <c r="D31353" s="7">
        <v>0.79</v>
      </c>
      <c r="E31353" t="s">
        <v>9</v>
      </c>
    </row>
    <row r="31354" spans="1:5" x14ac:dyDescent="0.25">
      <c r="A31354" t="str">
        <f>HYPERLINK("https://www.773grp.com/globalSearch/LM339AD/page-1", "LM339AD")</f>
        <v>LM339AD</v>
      </c>
      <c r="B31354" s="3" t="str">
        <f>HYPERLINK("https://www.773grp.com/manufacturer/onsemi?pageNo=852", "ON Semiconductor")</f>
        <v>ON Semiconductor</v>
      </c>
      <c r="C31354" s="6">
        <v>6160</v>
      </c>
      <c r="D31354" s="7">
        <v>0.79</v>
      </c>
      <c r="E31354" t="s">
        <v>9</v>
      </c>
    </row>
    <row r="31355" spans="1:5" x14ac:dyDescent="0.25">
      <c r="A31355" t="str">
        <f>HYPERLINK("https://www.773grp.com/globalSearch/LV51140T-TE-F-E/page-1", "LV51140T-TE-F-E")</f>
        <v>LV51140T-TE-F-E</v>
      </c>
      <c r="B31355" s="3" t="str">
        <f>HYPERLINK("https://www.773grp.com/manufacturer/onsemi?pageNo=853", "ON Semiconductor")</f>
        <v>ON Semiconductor</v>
      </c>
      <c r="C31355" s="6">
        <v>1000</v>
      </c>
      <c r="D31355" s="7">
        <v>0.79</v>
      </c>
    </row>
    <row r="31356" spans="1:5" x14ac:dyDescent="0.25">
      <c r="A31356" t="str">
        <f>HYPERLINK("https://www.773grp.com/globalSearch/LV51143T-TE-F-E/page-1", "LV51143T-TE-F-E")</f>
        <v>LV51143T-TE-F-E</v>
      </c>
      <c r="B31356" s="3" t="str">
        <f>HYPERLINK("https://www.773grp.com/manufacturer/onsemi?pageNo=854", "ON Semiconductor")</f>
        <v>ON Semiconductor</v>
      </c>
      <c r="C31356" s="6">
        <v>21100</v>
      </c>
      <c r="D31356" s="7">
        <v>0.79</v>
      </c>
    </row>
    <row r="31357" spans="1:5" x14ac:dyDescent="0.25">
      <c r="A31357" t="str">
        <f>HYPERLINK("https://www.773grp.com/globalSearch/MAX708CUA-T/page-1", "MAX708CUA-T")</f>
        <v>MAX708CUA-T</v>
      </c>
      <c r="B31357" s="3" t="str">
        <f>HYPERLINK("https://www.773grp.com/manufacturer/onsemi?pageNo=855", "ON Semiconductor")</f>
        <v>ON Semiconductor</v>
      </c>
      <c r="C31357" s="6">
        <v>7940</v>
      </c>
      <c r="D31357" s="7">
        <v>0.79</v>
      </c>
      <c r="E31357" t="s">
        <v>30</v>
      </c>
    </row>
    <row r="31358" spans="1:5" x14ac:dyDescent="0.25">
      <c r="A31358" t="str">
        <f>HYPERLINK("https://www.773grp.com/globalSearch/MAX708RESA-T/page-1", "MAX708RESA-T")</f>
        <v>MAX708RESA-T</v>
      </c>
      <c r="B31358" s="3" t="str">
        <f>HYPERLINK("https://www.773grp.com/manufacturer/onsemi?pageNo=856", "ON Semiconductor")</f>
        <v>ON Semiconductor</v>
      </c>
      <c r="C31358" s="6">
        <v>4922</v>
      </c>
      <c r="D31358" s="7">
        <v>0.79</v>
      </c>
      <c r="E31358" t="s">
        <v>30</v>
      </c>
    </row>
    <row r="31359" spans="1:5" x14ac:dyDescent="0.25">
      <c r="A31359" t="str">
        <f>HYPERLINK("https://www.773grp.com/globalSearch/MBR2035CT/page-1", "MBR2035CT")</f>
        <v>MBR2035CT</v>
      </c>
      <c r="B31359" s="3" t="str">
        <f>HYPERLINK("https://www.773grp.com/manufacturer/onsemi?pageNo=857", "ON Semiconductor")</f>
        <v>ON Semiconductor</v>
      </c>
      <c r="C31359" s="6">
        <v>600</v>
      </c>
      <c r="D31359" s="7">
        <v>0.79</v>
      </c>
      <c r="E31359" t="s">
        <v>103</v>
      </c>
    </row>
    <row r="31360" spans="1:5" x14ac:dyDescent="0.25">
      <c r="A31360" t="str">
        <f>HYPERLINK("https://www.773grp.com/globalSearch/MBR350/page-1", "MBR350")</f>
        <v>MBR350</v>
      </c>
      <c r="B31360" s="3" t="str">
        <f>HYPERLINK("https://www.773grp.com/manufacturer/onsemi?pageNo=858", "ON Semiconductor")</f>
        <v>ON Semiconductor</v>
      </c>
      <c r="C31360" s="6">
        <v>1400</v>
      </c>
      <c r="D31360" s="7">
        <v>0.79</v>
      </c>
      <c r="E31360" t="s">
        <v>103</v>
      </c>
    </row>
    <row r="31361" spans="1:5" x14ac:dyDescent="0.25">
      <c r="A31361" t="str">
        <f>HYPERLINK("https://www.773grp.com/globalSearch/MBR845/page-1", "MBR845")</f>
        <v>MBR845</v>
      </c>
      <c r="B31361" s="3" t="str">
        <f>HYPERLINK("https://www.773grp.com/manufacturer/onsemi?pageNo=859", "ON Semiconductor")</f>
        <v>ON Semiconductor</v>
      </c>
      <c r="C31361" s="6">
        <v>2722</v>
      </c>
      <c r="D31361" s="7">
        <v>0.79</v>
      </c>
      <c r="E31361" t="s">
        <v>103</v>
      </c>
    </row>
    <row r="31362" spans="1:5" x14ac:dyDescent="0.25">
      <c r="A31362" t="str">
        <f>HYPERLINK("https://www.773grp.com/globalSearch/MBR845RL/page-1", "MBR845RL")</f>
        <v>MBR845RL</v>
      </c>
      <c r="B31362" s="3" t="str">
        <f>HYPERLINK("https://www.773grp.com/manufacturer/onsemi?pageNo=860", "ON Semiconductor")</f>
        <v>ON Semiconductor</v>
      </c>
      <c r="C31362" s="6">
        <v>1500</v>
      </c>
      <c r="D31362" s="7">
        <v>0.79</v>
      </c>
      <c r="E31362" t="s">
        <v>103</v>
      </c>
    </row>
    <row r="31363" spans="1:5" x14ac:dyDescent="0.25">
      <c r="A31363" t="str">
        <f>HYPERLINK("https://www.773grp.com/globalSearch/MBRD320T4/page-1", "MBRD320T4")</f>
        <v>MBRD320T4</v>
      </c>
      <c r="B31363" s="3" t="str">
        <f>HYPERLINK("https://www.773grp.com/manufacturer/onsemi?pageNo=861", "ON Semiconductor")</f>
        <v>ON Semiconductor</v>
      </c>
      <c r="C31363" s="6">
        <v>104450</v>
      </c>
      <c r="D31363" s="7">
        <v>0.79</v>
      </c>
      <c r="E31363" t="s">
        <v>103</v>
      </c>
    </row>
    <row r="31364" spans="1:5" x14ac:dyDescent="0.25">
      <c r="A31364" t="str">
        <f>HYPERLINK("https://www.773grp.com/globalSearch/MBRD340T4/page-1", "MBRD340T4")</f>
        <v>MBRD340T4</v>
      </c>
      <c r="B31364" s="3" t="str">
        <f>HYPERLINK("https://www.773grp.com/manufacturer/onsemi?pageNo=862", "ON Semiconductor")</f>
        <v>ON Semiconductor</v>
      </c>
      <c r="C31364" s="6">
        <v>276205</v>
      </c>
      <c r="D31364" s="7">
        <v>0.79</v>
      </c>
      <c r="E31364" t="s">
        <v>103</v>
      </c>
    </row>
    <row r="31365" spans="1:5" x14ac:dyDescent="0.25">
      <c r="A31365" t="str">
        <f>HYPERLINK("https://www.773grp.com/globalSearch/MBRS340T3G/page-1", "MBRS340T3G")</f>
        <v>MBRS340T3G</v>
      </c>
      <c r="B31365" s="3" t="str">
        <f>HYPERLINK("https://www.773grp.com/manufacturer/onsemi?pageNo=863", "ON Semiconductor")</f>
        <v>ON Semiconductor</v>
      </c>
      <c r="C31365" s="6">
        <v>37820</v>
      </c>
      <c r="D31365" s="7">
        <v>0.79</v>
      </c>
      <c r="E31365" t="s">
        <v>103</v>
      </c>
    </row>
    <row r="31366" spans="1:5" x14ac:dyDescent="0.25">
      <c r="A31366" t="str">
        <f>HYPERLINK("https://www.773grp.com/globalSearch/MC10211FNR2/page-1", "MC10211FNR2")</f>
        <v>MC10211FNR2</v>
      </c>
      <c r="B31366" s="3" t="str">
        <f>HYPERLINK("https://www.773grp.com/manufacturer/onsemi?pageNo=864", "ON Semiconductor")</f>
        <v>ON Semiconductor</v>
      </c>
      <c r="C31366" s="6">
        <v>5000</v>
      </c>
      <c r="D31366" s="7">
        <v>0.79</v>
      </c>
      <c r="E31366" t="s">
        <v>31</v>
      </c>
    </row>
    <row r="31367" spans="1:5" x14ac:dyDescent="0.25">
      <c r="A31367" t="str">
        <f>HYPERLINK("https://www.773grp.com/globalSearch/MC14001BFELG/page-1", "MC14001BFELG")</f>
        <v>MC14001BFELG</v>
      </c>
      <c r="B31367" s="3" t="str">
        <f>HYPERLINK("https://www.773grp.com/manufacturer/onsemi?pageNo=865", "ON Semiconductor")</f>
        <v>ON Semiconductor</v>
      </c>
      <c r="C31367" s="6">
        <v>1477</v>
      </c>
      <c r="D31367" s="7">
        <v>0.79</v>
      </c>
      <c r="E31367" t="s">
        <v>31</v>
      </c>
    </row>
    <row r="31368" spans="1:5" x14ac:dyDescent="0.25">
      <c r="A31368" t="str">
        <f>HYPERLINK("https://www.773grp.com/globalSearch/MC14008BF/page-1", "MC14008BF")</f>
        <v>MC14008BF</v>
      </c>
      <c r="B31368" s="3" t="str">
        <f>HYPERLINK("https://www.773grp.com/manufacturer/onsemi?pageNo=866", "ON Semiconductor")</f>
        <v>ON Semiconductor</v>
      </c>
      <c r="C31368" s="6">
        <v>2100</v>
      </c>
      <c r="D31368" s="7">
        <v>0.79</v>
      </c>
      <c r="E31368" t="s">
        <v>43</v>
      </c>
    </row>
    <row r="31369" spans="1:5" x14ac:dyDescent="0.25">
      <c r="A31369" t="str">
        <f>HYPERLINK("https://www.773grp.com/globalSearch/MC14011BFG/page-1", "MC14011BFG")</f>
        <v>MC14011BFG</v>
      </c>
      <c r="B31369" s="3" t="str">
        <f>HYPERLINK("https://www.773grp.com/manufacturer/onsemi?pageNo=867", "ON Semiconductor")</f>
        <v>ON Semiconductor</v>
      </c>
      <c r="C31369" s="6">
        <v>4388</v>
      </c>
      <c r="D31369" s="7">
        <v>0.79</v>
      </c>
      <c r="E31369" t="s">
        <v>31</v>
      </c>
    </row>
    <row r="31370" spans="1:5" x14ac:dyDescent="0.25">
      <c r="A31370" t="str">
        <f>HYPERLINK("https://www.773grp.com/globalSearch/MC14016BDG/page-1", "MC14016BDG")</f>
        <v>MC14016BDG</v>
      </c>
      <c r="B31370" s="3" t="str">
        <f>HYPERLINK("https://www.773grp.com/manufacturer/onsemi?pageNo=868", "ON Semiconductor")</f>
        <v>ON Semiconductor</v>
      </c>
      <c r="C31370" s="6">
        <v>9730</v>
      </c>
      <c r="D31370" s="7">
        <v>0.79</v>
      </c>
      <c r="E31370" t="s">
        <v>56</v>
      </c>
    </row>
    <row r="31371" spans="1:5" x14ac:dyDescent="0.25">
      <c r="A31371" t="str">
        <f>HYPERLINK("https://www.773grp.com/globalSearch/MC14016BDR2/page-1", "MC14016BDR2")</f>
        <v>MC14016BDR2</v>
      </c>
      <c r="B31371" s="3" t="str">
        <f>HYPERLINK("https://www.773grp.com/manufacturer/onsemi?pageNo=869", "ON Semiconductor")</f>
        <v>ON Semiconductor</v>
      </c>
      <c r="C31371" s="6">
        <v>12500</v>
      </c>
      <c r="D31371" s="7">
        <v>0.79</v>
      </c>
      <c r="E31371" t="s">
        <v>56</v>
      </c>
    </row>
    <row r="31372" spans="1:5" x14ac:dyDescent="0.25">
      <c r="A31372" t="str">
        <f>HYPERLINK("https://www.773grp.com/globalSearch/MC14016BDR2G/page-1", "MC14016BDR2G")</f>
        <v>MC14016BDR2G</v>
      </c>
      <c r="B31372" s="3" t="str">
        <f>HYPERLINK("https://www.773grp.com/manufacturer/onsemi?pageNo=870", "ON Semiconductor")</f>
        <v>ON Semiconductor</v>
      </c>
      <c r="C31372" s="6">
        <v>5423</v>
      </c>
      <c r="D31372" s="7">
        <v>0.79</v>
      </c>
      <c r="E31372" t="s">
        <v>56</v>
      </c>
    </row>
    <row r="31373" spans="1:5" x14ac:dyDescent="0.25">
      <c r="A31373" t="str">
        <f>HYPERLINK("https://www.773grp.com/globalSearch/MC14017BF/page-1", "MC14017BF")</f>
        <v>MC14017BF</v>
      </c>
      <c r="B31373" s="3" t="str">
        <f>HYPERLINK("https://www.773grp.com/manufacturer/onsemi?pageNo=871", "ON Semiconductor")</f>
        <v>ON Semiconductor</v>
      </c>
      <c r="C31373" s="6">
        <v>500</v>
      </c>
      <c r="D31373" s="7">
        <v>0.79</v>
      </c>
      <c r="E31373" t="s">
        <v>26</v>
      </c>
    </row>
    <row r="31374" spans="1:5" x14ac:dyDescent="0.25">
      <c r="A31374" t="str">
        <f>HYPERLINK("https://www.773grp.com/globalSearch/MC14017BFR2/page-1", "MC14017BFR2")</f>
        <v>MC14017BFR2</v>
      </c>
      <c r="B31374" s="3" t="str">
        <f>HYPERLINK("https://www.773grp.com/manufacturer/onsemi?pageNo=872", "ON Semiconductor")</f>
        <v>ON Semiconductor</v>
      </c>
      <c r="C31374" s="6">
        <v>2000</v>
      </c>
      <c r="D31374" s="7">
        <v>0.79</v>
      </c>
      <c r="E31374" t="s">
        <v>26</v>
      </c>
    </row>
    <row r="31375" spans="1:5" x14ac:dyDescent="0.25">
      <c r="A31375" t="str">
        <f>HYPERLINK("https://www.773grp.com/globalSearch/MC14021BF/page-1", "MC14021BF")</f>
        <v>MC14021BF</v>
      </c>
      <c r="B31375" s="3" t="str">
        <f>HYPERLINK("https://www.773grp.com/manufacturer/onsemi?pageNo=873", "ON Semiconductor")</f>
        <v>ON Semiconductor</v>
      </c>
      <c r="C31375" s="6">
        <v>2192</v>
      </c>
      <c r="D31375" s="7">
        <v>0.79</v>
      </c>
      <c r="E31375" t="s">
        <v>32</v>
      </c>
    </row>
    <row r="31376" spans="1:5" x14ac:dyDescent="0.25">
      <c r="A31376" t="str">
        <f>HYPERLINK("https://www.773grp.com/globalSearch/MC14021BFR1/page-1", "MC14021BFR1")</f>
        <v>MC14021BFR1</v>
      </c>
      <c r="B31376" s="3" t="str">
        <f>HYPERLINK("https://www.773grp.com/manufacturer/onsemi?pageNo=874", "ON Semiconductor")</f>
        <v>ON Semiconductor</v>
      </c>
      <c r="C31376" s="6">
        <v>21000</v>
      </c>
      <c r="D31376" s="7">
        <v>0.79</v>
      </c>
      <c r="E31376" t="s">
        <v>32</v>
      </c>
    </row>
    <row r="31377" spans="1:5" x14ac:dyDescent="0.25">
      <c r="A31377" t="str">
        <f>HYPERLINK("https://www.773grp.com/globalSearch/MC14024BDG/page-1", "MC14024BDG")</f>
        <v>MC14024BDG</v>
      </c>
      <c r="B31377" s="3" t="str">
        <f>HYPERLINK("https://www.773grp.com/manufacturer/onsemi?pageNo=875", "ON Semiconductor")</f>
        <v>ON Semiconductor</v>
      </c>
      <c r="C31377" s="6">
        <v>1795</v>
      </c>
      <c r="D31377" s="7">
        <v>0.79</v>
      </c>
      <c r="E31377" t="s">
        <v>26</v>
      </c>
    </row>
    <row r="31378" spans="1:5" x14ac:dyDescent="0.25">
      <c r="A31378" t="str">
        <f>HYPERLINK("https://www.773grp.com/globalSearch/MC14024BDR2/page-1", "MC14024BDR2")</f>
        <v>MC14024BDR2</v>
      </c>
      <c r="B31378" s="3" t="str">
        <f>HYPERLINK("https://www.773grp.com/manufacturer/onsemi?pageNo=876", "ON Semiconductor")</f>
        <v>ON Semiconductor</v>
      </c>
      <c r="C31378" s="6">
        <v>12500</v>
      </c>
      <c r="D31378" s="7">
        <v>0.79</v>
      </c>
      <c r="E31378" t="s">
        <v>26</v>
      </c>
    </row>
    <row r="31379" spans="1:5" x14ac:dyDescent="0.25">
      <c r="A31379" t="str">
        <f>HYPERLINK("https://www.773grp.com/globalSearch/MC14024BDR2G/page-1", "MC14024BDR2G")</f>
        <v>MC14024BDR2G</v>
      </c>
      <c r="B31379" s="3" t="str">
        <f>HYPERLINK("https://www.773grp.com/manufacturer/onsemi?pageNo=877", "ON Semiconductor")</f>
        <v>ON Semiconductor</v>
      </c>
      <c r="C31379" s="6">
        <v>3720</v>
      </c>
      <c r="D31379" s="7">
        <v>0.79</v>
      </c>
    </row>
    <row r="31380" spans="1:5" x14ac:dyDescent="0.25">
      <c r="A31380" t="str">
        <f>HYPERLINK("https://www.773grp.com/globalSearch/MC14040BFL1/page-1", "MC14040BFL1")</f>
        <v>MC14040BFL1</v>
      </c>
      <c r="B31380" s="3" t="str">
        <f>HYPERLINK("https://www.773grp.com/manufacturer/onsemi?pageNo=878", "ON Semiconductor")</f>
        <v>ON Semiconductor</v>
      </c>
      <c r="C31380" s="6">
        <v>7000</v>
      </c>
      <c r="D31380" s="7">
        <v>0.79</v>
      </c>
      <c r="E31380" t="s">
        <v>26</v>
      </c>
    </row>
    <row r="31381" spans="1:5" x14ac:dyDescent="0.25">
      <c r="A31381" t="str">
        <f>HYPERLINK("https://www.773grp.com/globalSearch/MC14040BFL2/page-1", "MC14040BFL2")</f>
        <v>MC14040BFL2</v>
      </c>
      <c r="B31381" s="3" t="str">
        <f>HYPERLINK("https://www.773grp.com/manufacturer/onsemi?pageNo=879", "ON Semiconductor")</f>
        <v>ON Semiconductor</v>
      </c>
      <c r="C31381" s="6">
        <v>2000</v>
      </c>
      <c r="D31381" s="7">
        <v>0.79</v>
      </c>
      <c r="E31381" t="s">
        <v>26</v>
      </c>
    </row>
    <row r="31382" spans="1:5" x14ac:dyDescent="0.25">
      <c r="A31382" t="str">
        <f>HYPERLINK("https://www.773grp.com/globalSearch/MC14040BFR1/page-1", "MC14040BFR1")</f>
        <v>MC14040BFR1</v>
      </c>
      <c r="B31382" s="3" t="str">
        <f>HYPERLINK("https://www.773grp.com/manufacturer/onsemi?pageNo=880", "ON Semiconductor")</f>
        <v>ON Semiconductor</v>
      </c>
      <c r="C31382" s="6">
        <v>3000</v>
      </c>
      <c r="D31382" s="7">
        <v>0.79</v>
      </c>
      <c r="E31382" t="s">
        <v>26</v>
      </c>
    </row>
    <row r="31383" spans="1:5" x14ac:dyDescent="0.25">
      <c r="A31383" t="str">
        <f>HYPERLINK("https://www.773grp.com/globalSearch/MC14042BFEL/page-1", "MC14042BFEL")</f>
        <v>MC14042BFEL</v>
      </c>
      <c r="B31383" s="3" t="str">
        <f>HYPERLINK("https://www.773grp.com/manufacturer/onsemi?pageNo=881", "ON Semiconductor")</f>
        <v>ON Semiconductor</v>
      </c>
      <c r="C31383" s="6">
        <v>2000</v>
      </c>
      <c r="D31383" s="7">
        <v>0.79</v>
      </c>
      <c r="E31383" t="s">
        <v>35</v>
      </c>
    </row>
    <row r="31384" spans="1:5" x14ac:dyDescent="0.25">
      <c r="A31384" t="str">
        <f>HYPERLINK("https://www.773grp.com/globalSearch/MC14043BF/page-1", "MC14043BF")</f>
        <v>MC14043BF</v>
      </c>
      <c r="B31384" s="3" t="str">
        <f>HYPERLINK("https://www.773grp.com/manufacturer/onsemi?pageNo=882", "ON Semiconductor")</f>
        <v>ON Semiconductor</v>
      </c>
      <c r="C31384" s="6">
        <v>80</v>
      </c>
      <c r="D31384" s="7">
        <v>0.79</v>
      </c>
      <c r="E31384" t="s">
        <v>35</v>
      </c>
    </row>
    <row r="31385" spans="1:5" x14ac:dyDescent="0.25">
      <c r="A31385" t="str">
        <f>HYPERLINK("https://www.773grp.com/globalSearch/MC14052BDT/page-1", "MC14052BDT")</f>
        <v>MC14052BDT</v>
      </c>
      <c r="B31385" s="3" t="str">
        <f>HYPERLINK("https://www.773grp.com/manufacturer/onsemi?pageNo=883", "ON Semiconductor")</f>
        <v>ON Semiconductor</v>
      </c>
      <c r="C31385" s="6">
        <v>3820</v>
      </c>
      <c r="D31385" s="7">
        <v>0.79</v>
      </c>
      <c r="E31385" t="s">
        <v>56</v>
      </c>
    </row>
    <row r="31386" spans="1:5" x14ac:dyDescent="0.25">
      <c r="A31386" t="str">
        <f>HYPERLINK("https://www.773grp.com/globalSearch/MC14060BF/page-1", "MC14060BF")</f>
        <v>MC14060BF</v>
      </c>
      <c r="B31386" s="3" t="str">
        <f>HYPERLINK("https://www.773grp.com/manufacturer/onsemi?pageNo=884", "ON Semiconductor")</f>
        <v>ON Semiconductor</v>
      </c>
      <c r="C31386" s="6">
        <v>200</v>
      </c>
      <c r="D31386" s="7">
        <v>0.79</v>
      </c>
      <c r="E31386" t="s">
        <v>26</v>
      </c>
    </row>
    <row r="31387" spans="1:5" x14ac:dyDescent="0.25">
      <c r="A31387" t="str">
        <f>HYPERLINK("https://www.773grp.com/globalSearch/MC14066BDG/page-1", "MC14066BDG")</f>
        <v>MC14066BDG</v>
      </c>
      <c r="B31387" s="3" t="str">
        <f>HYPERLINK("https://www.773grp.com/manufacturer/onsemi?pageNo=885", "ON Semiconductor")</f>
        <v>ON Semiconductor</v>
      </c>
      <c r="C31387" s="6">
        <v>9303</v>
      </c>
      <c r="D31387" s="7">
        <v>0.79</v>
      </c>
      <c r="E31387" t="s">
        <v>56</v>
      </c>
    </row>
    <row r="31388" spans="1:5" x14ac:dyDescent="0.25">
      <c r="A31388" t="str">
        <f>HYPERLINK("https://www.773grp.com/globalSearch/MC14066BDR2G/page-1", "MC14066BDR2G")</f>
        <v>MC14066BDR2G</v>
      </c>
      <c r="B31388" s="3" t="str">
        <f>HYPERLINK("https://www.773grp.com/manufacturer/onsemi?pageNo=886", "ON Semiconductor")</f>
        <v>ON Semiconductor</v>
      </c>
      <c r="C31388" s="6">
        <v>72496</v>
      </c>
      <c r="D31388" s="7">
        <v>0.79</v>
      </c>
      <c r="E31388" t="s">
        <v>56</v>
      </c>
    </row>
    <row r="31389" spans="1:5" x14ac:dyDescent="0.25">
      <c r="A31389" t="str">
        <f>HYPERLINK("https://www.773grp.com/globalSearch/MC14066BDTR2G/page-1", "MC14066BDTR2G")</f>
        <v>MC14066BDTR2G</v>
      </c>
      <c r="B31389" s="3" t="str">
        <f>HYPERLINK("https://www.773grp.com/manufacturer/onsemi?pageNo=887", "ON Semiconductor")</f>
        <v>ON Semiconductor</v>
      </c>
      <c r="C31389" s="6">
        <v>71283</v>
      </c>
      <c r="D31389" s="7">
        <v>0.79</v>
      </c>
      <c r="E31389" t="s">
        <v>56</v>
      </c>
    </row>
    <row r="31390" spans="1:5" x14ac:dyDescent="0.25">
      <c r="A31390" t="str">
        <f>HYPERLINK("https://www.773grp.com/globalSearch/MC14069UBFELG/page-1", "MC14069UBFELG")</f>
        <v>MC14069UBFELG</v>
      </c>
      <c r="B31390" s="3" t="str">
        <f>HYPERLINK("https://www.773grp.com/manufacturer/onsemi?pageNo=888", "ON Semiconductor")</f>
        <v>ON Semiconductor</v>
      </c>
      <c r="C31390" s="6">
        <v>10550</v>
      </c>
      <c r="D31390" s="7">
        <v>0.79</v>
      </c>
      <c r="E31390" t="s">
        <v>31</v>
      </c>
    </row>
    <row r="31391" spans="1:5" x14ac:dyDescent="0.25">
      <c r="A31391" t="str">
        <f>HYPERLINK("https://www.773grp.com/globalSearch/MC14081BFELG/page-1", "MC14081BFELG")</f>
        <v>MC14081BFELG</v>
      </c>
      <c r="B31391" s="3" t="str">
        <f>HYPERLINK("https://www.773grp.com/manufacturer/onsemi?pageNo=889", "ON Semiconductor")</f>
        <v>ON Semiconductor</v>
      </c>
      <c r="C31391" s="6">
        <v>5000</v>
      </c>
      <c r="D31391" s="7">
        <v>0.79</v>
      </c>
      <c r="E31391" t="s">
        <v>31</v>
      </c>
    </row>
    <row r="31392" spans="1:5" x14ac:dyDescent="0.25">
      <c r="A31392" t="str">
        <f>HYPERLINK("https://www.773grp.com/globalSearch/MC14093BFELG/page-1", "MC14093BFELG")</f>
        <v>MC14093BFELG</v>
      </c>
      <c r="B31392" s="3" t="str">
        <f>HYPERLINK("https://www.773grp.com/manufacturer/onsemi?pageNo=890", "ON Semiconductor")</f>
        <v>ON Semiconductor</v>
      </c>
      <c r="C31392" s="6">
        <v>797</v>
      </c>
      <c r="D31392" s="7">
        <v>0.79</v>
      </c>
      <c r="E31392" t="s">
        <v>31</v>
      </c>
    </row>
    <row r="31393" spans="1:5" x14ac:dyDescent="0.25">
      <c r="A31393" t="str">
        <f>HYPERLINK("https://www.773grp.com/globalSearch/MC14106BDG/page-1", "MC14106BDG")</f>
        <v>MC14106BDG</v>
      </c>
      <c r="B31393" s="3" t="str">
        <f>HYPERLINK("https://www.773grp.com/manufacturer/onsemi?pageNo=891", "ON Semiconductor")</f>
        <v>ON Semiconductor</v>
      </c>
      <c r="C31393" s="6">
        <v>5995</v>
      </c>
      <c r="D31393" s="7">
        <v>0.79</v>
      </c>
    </row>
    <row r="31394" spans="1:5" x14ac:dyDescent="0.25">
      <c r="A31394" t="str">
        <f>HYPERLINK("https://www.773grp.com/globalSearch/MC14106BDR2G/page-1", "MC14106BDR2G")</f>
        <v>MC14106BDR2G</v>
      </c>
      <c r="B31394" s="3" t="str">
        <f>HYPERLINK("https://www.773grp.com/manufacturer/onsemi?pageNo=892", "ON Semiconductor")</f>
        <v>ON Semiconductor</v>
      </c>
      <c r="C31394" s="6">
        <v>2500</v>
      </c>
      <c r="D31394" s="7">
        <v>0.79</v>
      </c>
    </row>
    <row r="31395" spans="1:5" x14ac:dyDescent="0.25">
      <c r="A31395" t="str">
        <f>HYPERLINK("https://www.773grp.com/globalSearch/MC14106BDTR2G/page-1", "MC14106BDTR2G")</f>
        <v>MC14106BDTR2G</v>
      </c>
      <c r="B31395" s="3" t="str">
        <f>HYPERLINK("https://www.773grp.com/manufacturer/onsemi?pageNo=893", "ON Semiconductor")</f>
        <v>ON Semiconductor</v>
      </c>
      <c r="C31395" s="6">
        <v>1425</v>
      </c>
      <c r="D31395" s="7">
        <v>0.79</v>
      </c>
      <c r="E31395" t="s">
        <v>31</v>
      </c>
    </row>
    <row r="31396" spans="1:5" x14ac:dyDescent="0.25">
      <c r="A31396" t="str">
        <f>HYPERLINK("https://www.773grp.com/globalSearch/MC14584BDR2/page-1", "MC14584BDR2")</f>
        <v>MC14584BDR2</v>
      </c>
      <c r="B31396" s="3" t="str">
        <f>HYPERLINK("https://www.773grp.com/manufacturer/onsemi?pageNo=894", "ON Semiconductor")</f>
        <v>ON Semiconductor</v>
      </c>
      <c r="C31396" s="6">
        <v>2500</v>
      </c>
      <c r="D31396" s="7">
        <v>0.79</v>
      </c>
    </row>
    <row r="31397" spans="1:5" x14ac:dyDescent="0.25">
      <c r="A31397" t="str">
        <f>HYPERLINK("https://www.773grp.com/globalSearch/MC14584BDT/page-1", "MC14584BDT")</f>
        <v>MC14584BDT</v>
      </c>
      <c r="B31397" s="3" t="str">
        <f>HYPERLINK("https://www.773grp.com/manufacturer/onsemi?pageNo=895", "ON Semiconductor")</f>
        <v>ON Semiconductor</v>
      </c>
      <c r="C31397" s="6">
        <v>2226</v>
      </c>
      <c r="D31397" s="7">
        <v>0.79</v>
      </c>
      <c r="E31397" t="s">
        <v>31</v>
      </c>
    </row>
    <row r="31398" spans="1:5" x14ac:dyDescent="0.25">
      <c r="A31398" t="str">
        <f>HYPERLINK("https://www.773grp.com/globalSearch/MC1489AML2/page-1", "MC1489AML2")</f>
        <v>MC1489AML2</v>
      </c>
      <c r="B31398" s="3" t="str">
        <f>HYPERLINK("https://www.773grp.com/manufacturer/onsemi?pageNo=896", "ON Semiconductor")</f>
        <v>ON Semiconductor</v>
      </c>
      <c r="C31398" s="6">
        <v>2000</v>
      </c>
      <c r="D31398" s="7">
        <v>0.79</v>
      </c>
      <c r="E31398" t="s">
        <v>21</v>
      </c>
    </row>
    <row r="31399" spans="1:5" x14ac:dyDescent="0.25">
      <c r="A31399" t="str">
        <f>HYPERLINK("https://www.773grp.com/globalSearch/MC1489AMR1/page-1", "MC1489AMR1")</f>
        <v>MC1489AMR1</v>
      </c>
      <c r="B31399" s="3" t="str">
        <f>HYPERLINK("https://www.773grp.com/manufacturer/onsemi?pageNo=897", "ON Semiconductor")</f>
        <v>ON Semiconductor</v>
      </c>
      <c r="C31399" s="6">
        <v>1000</v>
      </c>
      <c r="D31399" s="7">
        <v>0.79</v>
      </c>
      <c r="E31399" t="s">
        <v>21</v>
      </c>
    </row>
    <row r="31400" spans="1:5" x14ac:dyDescent="0.25">
      <c r="A31400" t="str">
        <f>HYPERLINK("https://www.773grp.com/globalSearch/MC1489AMR2/page-1", "MC1489AMR2")</f>
        <v>MC1489AMR2</v>
      </c>
      <c r="B31400" s="3" t="str">
        <f>HYPERLINK("https://www.773grp.com/manufacturer/onsemi?pageNo=898", "ON Semiconductor")</f>
        <v>ON Semiconductor</v>
      </c>
      <c r="C31400" s="6">
        <v>6000</v>
      </c>
      <c r="D31400" s="7">
        <v>0.79</v>
      </c>
      <c r="E31400" t="s">
        <v>21</v>
      </c>
    </row>
    <row r="31401" spans="1:5" x14ac:dyDescent="0.25">
      <c r="A31401" t="str">
        <f>HYPERLINK("https://www.773grp.com/globalSearch/MC1489MR1/page-1", "MC1489MR1")</f>
        <v>MC1489MR1</v>
      </c>
      <c r="B31401" s="3" t="str">
        <f>HYPERLINK("https://www.773grp.com/manufacturer/onsemi?pageNo=899", "ON Semiconductor")</f>
        <v>ON Semiconductor</v>
      </c>
      <c r="C31401" s="6">
        <v>11000</v>
      </c>
      <c r="D31401" s="7">
        <v>0.79</v>
      </c>
      <c r="E31401" t="s">
        <v>21</v>
      </c>
    </row>
    <row r="31402" spans="1:5" x14ac:dyDescent="0.25">
      <c r="A31402" t="str">
        <f>HYPERLINK("https://www.773grp.com/globalSearch/MC3302D/page-1", "MC3302D")</f>
        <v>MC3302D</v>
      </c>
      <c r="B31402" s="3" t="str">
        <f>HYPERLINK("https://www.773grp.com/manufacturer/onsemi?pageNo=900", "ON Semiconductor")</f>
        <v>ON Semiconductor</v>
      </c>
      <c r="C31402" s="6">
        <v>3135</v>
      </c>
      <c r="D31402" s="7">
        <v>0.79</v>
      </c>
      <c r="E31402" t="s">
        <v>9</v>
      </c>
    </row>
    <row r="31403" spans="1:5" x14ac:dyDescent="0.25">
      <c r="A31403" t="str">
        <f>HYPERLINK("https://www.773grp.com/globalSearch/MC3302DTBR2G/page-1", "MC3302DTBR2G")</f>
        <v>MC3302DTBR2G</v>
      </c>
      <c r="B31403" s="3" t="str">
        <f>HYPERLINK("https://www.773grp.com/manufacturer/onsemi?pageNo=901", "ON Semiconductor")</f>
        <v>ON Semiconductor</v>
      </c>
      <c r="C31403" s="6">
        <v>9302</v>
      </c>
      <c r="D31403" s="7">
        <v>0.79</v>
      </c>
      <c r="E31403" t="s">
        <v>9</v>
      </c>
    </row>
    <row r="31404" spans="1:5" x14ac:dyDescent="0.25">
      <c r="A31404" t="str">
        <f>HYPERLINK("https://www.773grp.com/globalSearch/MC3302P/page-1", "MC3302P")</f>
        <v>MC3302P</v>
      </c>
      <c r="B31404" s="3" t="str">
        <f>HYPERLINK("https://www.773grp.com/manufacturer/onsemi?pageNo=902", "ON Semiconductor")</f>
        <v>ON Semiconductor</v>
      </c>
      <c r="C31404" s="6">
        <v>1631</v>
      </c>
      <c r="D31404" s="7">
        <v>0.79</v>
      </c>
      <c r="E31404" t="s">
        <v>9</v>
      </c>
    </row>
    <row r="31405" spans="1:5" x14ac:dyDescent="0.25">
      <c r="A31405" t="str">
        <f>HYPERLINK("https://www.773grp.com/globalSearch/MC33261P/page-1", "MC33261P")</f>
        <v>MC33261P</v>
      </c>
      <c r="B31405" s="3" t="str">
        <f>HYPERLINK("https://www.773grp.com/manufacturer/onsemi?pageNo=903", "ON Semiconductor")</f>
        <v>ON Semiconductor</v>
      </c>
      <c r="C31405" s="6">
        <v>13810</v>
      </c>
      <c r="D31405" s="7">
        <v>0.79</v>
      </c>
      <c r="E31405" t="s">
        <v>7</v>
      </c>
    </row>
    <row r="31406" spans="1:5" x14ac:dyDescent="0.25">
      <c r="A31406" t="str">
        <f>HYPERLINK("https://www.773grp.com/globalSearch/MC33275D-2.5/page-1", "MC33275D-2.5")</f>
        <v>MC33275D-2.5</v>
      </c>
      <c r="B31406" s="3" t="str">
        <f>HYPERLINK("https://www.773grp.com/manufacturer/onsemi?pageNo=904", "ON Semiconductor")</f>
        <v>ON Semiconductor</v>
      </c>
      <c r="C31406" s="6">
        <v>1598</v>
      </c>
      <c r="D31406" s="7">
        <v>0.79</v>
      </c>
      <c r="E31406" t="s">
        <v>19</v>
      </c>
    </row>
    <row r="31407" spans="1:5" x14ac:dyDescent="0.25">
      <c r="A31407" t="str">
        <f>HYPERLINK("https://www.773grp.com/globalSearch/MC33275D-2.5R2/page-1", "MC33275D-2.5R2")</f>
        <v>MC33275D-2.5R2</v>
      </c>
      <c r="B31407" s="3" t="str">
        <f>HYPERLINK("https://www.773grp.com/manufacturer/onsemi?pageNo=905", "ON Semiconductor")</f>
        <v>ON Semiconductor</v>
      </c>
      <c r="C31407" s="6">
        <v>2485</v>
      </c>
      <c r="D31407" s="7">
        <v>0.79</v>
      </c>
      <c r="E31407" t="s">
        <v>19</v>
      </c>
    </row>
    <row r="31408" spans="1:5" x14ac:dyDescent="0.25">
      <c r="A31408" t="str">
        <f>HYPERLINK("https://www.773grp.com/globalSearch/MC33275ST-2.5T3/page-1", "MC33275ST-2.5T3")</f>
        <v>MC33275ST-2.5T3</v>
      </c>
      <c r="B31408" s="3" t="str">
        <f>HYPERLINK("https://www.773grp.com/manufacturer/onsemi?pageNo=906", "ON Semiconductor")</f>
        <v>ON Semiconductor</v>
      </c>
      <c r="C31408" s="6">
        <v>35912</v>
      </c>
      <c r="D31408" s="7">
        <v>0.79</v>
      </c>
      <c r="E31408" t="s">
        <v>19</v>
      </c>
    </row>
    <row r="31409" spans="1:5" x14ac:dyDescent="0.25">
      <c r="A31409" t="str">
        <f>HYPERLINK("https://www.773grp.com/globalSearch/MC3346D/page-1", "MC3346D")</f>
        <v>MC3346D</v>
      </c>
      <c r="B31409" s="3" t="str">
        <f>HYPERLINK("https://www.773grp.com/manufacturer/onsemi?pageNo=907", "ON Semiconductor")</f>
        <v>ON Semiconductor</v>
      </c>
      <c r="C31409" s="6">
        <v>133</v>
      </c>
      <c r="D31409" s="7">
        <v>0.79</v>
      </c>
      <c r="E31409" t="s">
        <v>114</v>
      </c>
    </row>
    <row r="31410" spans="1:5" x14ac:dyDescent="0.25">
      <c r="A31410" t="str">
        <f>HYPERLINK("https://www.773grp.com/globalSearch/MC3346D/page-1", "MC3346D")</f>
        <v>MC3346D</v>
      </c>
      <c r="B31410" s="3" t="str">
        <f>HYPERLINK("https://www.773grp.com/manufacturer/onsemi?pageNo=908", "ON Semiconductor")</f>
        <v>ON Semiconductor</v>
      </c>
      <c r="C31410" s="6">
        <v>370</v>
      </c>
      <c r="D31410" s="7">
        <v>0.79</v>
      </c>
      <c r="E31410" t="s">
        <v>114</v>
      </c>
    </row>
    <row r="31411" spans="1:5" x14ac:dyDescent="0.25">
      <c r="A31411" t="str">
        <f>HYPERLINK("https://www.773grp.com/globalSearch/MC3346DR2/page-1", "MC3346DR2")</f>
        <v>MC3346DR2</v>
      </c>
      <c r="B31411" s="3" t="str">
        <f>HYPERLINK("https://www.773grp.com/manufacturer/onsemi?pageNo=909", "ON Semiconductor")</f>
        <v>ON Semiconductor</v>
      </c>
      <c r="C31411" s="6">
        <v>227300</v>
      </c>
      <c r="D31411" s="7">
        <v>0.79</v>
      </c>
      <c r="E31411" t="s">
        <v>114</v>
      </c>
    </row>
    <row r="31412" spans="1:5" x14ac:dyDescent="0.25">
      <c r="A31412" t="str">
        <f>HYPERLINK("https://www.773grp.com/globalSearch/MC34071ADR2/page-1", "MC34071ADR2")</f>
        <v>MC34071ADR2</v>
      </c>
      <c r="B31412" s="3" t="str">
        <f>HYPERLINK("https://www.773grp.com/manufacturer/onsemi?pageNo=910", "ON Semiconductor")</f>
        <v>ON Semiconductor</v>
      </c>
      <c r="C31412" s="6">
        <v>1820</v>
      </c>
      <c r="D31412" s="7">
        <v>0.79</v>
      </c>
      <c r="E31412" t="s">
        <v>13</v>
      </c>
    </row>
    <row r="31413" spans="1:5" x14ac:dyDescent="0.25">
      <c r="A31413" t="str">
        <f>HYPERLINK("https://www.773grp.com/globalSearch/MC34071DR2/page-1", "MC34071DR2")</f>
        <v>MC34071DR2</v>
      </c>
      <c r="B31413" s="3" t="str">
        <f>HYPERLINK("https://www.773grp.com/manufacturer/onsemi?pageNo=911", "ON Semiconductor")</f>
        <v>ON Semiconductor</v>
      </c>
      <c r="C31413" s="6">
        <v>25000</v>
      </c>
      <c r="D31413" s="7">
        <v>0.79</v>
      </c>
      <c r="E31413" t="s">
        <v>13</v>
      </c>
    </row>
    <row r="31414" spans="1:5" x14ac:dyDescent="0.25">
      <c r="A31414" t="str">
        <f>HYPERLINK("https://www.773grp.com/globalSearch/MC34072AD/page-1", "MC34072AD")</f>
        <v>MC34072AD</v>
      </c>
      <c r="B31414" s="3" t="str">
        <f>HYPERLINK("https://www.773grp.com/manufacturer/onsemi?pageNo=912", "ON Semiconductor")</f>
        <v>ON Semiconductor</v>
      </c>
      <c r="C31414" s="6">
        <v>259</v>
      </c>
      <c r="D31414" s="7">
        <v>0.79</v>
      </c>
      <c r="E31414" t="s">
        <v>13</v>
      </c>
    </row>
    <row r="31415" spans="1:5" x14ac:dyDescent="0.25">
      <c r="A31415" t="str">
        <f>HYPERLINK("https://www.773grp.com/globalSearch/MC34072AP/page-1", "MC34072AP")</f>
        <v>MC34072AP</v>
      </c>
      <c r="B31415" s="3" t="str">
        <f>HYPERLINK("https://www.773grp.com/manufacturer/onsemi?pageNo=913", "ON Semiconductor")</f>
        <v>ON Semiconductor</v>
      </c>
      <c r="C31415" s="6">
        <v>430</v>
      </c>
      <c r="D31415" s="7">
        <v>0.79</v>
      </c>
      <c r="E31415" t="s">
        <v>13</v>
      </c>
    </row>
    <row r="31416" spans="1:5" x14ac:dyDescent="0.25">
      <c r="A31416" t="str">
        <f>HYPERLINK("https://www.773grp.com/globalSearch/MC34072D/page-1", "MC34072D")</f>
        <v>MC34072D</v>
      </c>
      <c r="B31416" s="3" t="str">
        <f>HYPERLINK("https://www.773grp.com/manufacturer/onsemi?pageNo=914", "ON Semiconductor")</f>
        <v>ON Semiconductor</v>
      </c>
      <c r="C31416" s="6">
        <v>3610</v>
      </c>
      <c r="D31416" s="7">
        <v>0.79</v>
      </c>
      <c r="E31416" t="s">
        <v>13</v>
      </c>
    </row>
    <row r="31417" spans="1:5" x14ac:dyDescent="0.25">
      <c r="A31417" t="str">
        <f>HYPERLINK("https://www.773grp.com/globalSearch/MC34072DR2/page-1", "MC34072DR2")</f>
        <v>MC34072DR2</v>
      </c>
      <c r="B31417" s="3" t="str">
        <f>HYPERLINK("https://www.773grp.com/manufacturer/onsemi?pageNo=915", "ON Semiconductor")</f>
        <v>ON Semiconductor</v>
      </c>
      <c r="C31417" s="6">
        <v>58401</v>
      </c>
      <c r="D31417" s="7">
        <v>0.79</v>
      </c>
      <c r="E31417" t="s">
        <v>13</v>
      </c>
    </row>
    <row r="31418" spans="1:5" x14ac:dyDescent="0.25">
      <c r="A31418" t="str">
        <f>HYPERLINK("https://www.773grp.com/globalSearch/MC34072P/page-1", "MC34072P")</f>
        <v>MC34072P</v>
      </c>
      <c r="B31418" s="3" t="str">
        <f>HYPERLINK("https://www.773grp.com/manufacturer/onsemi?pageNo=916", "ON Semiconductor")</f>
        <v>ON Semiconductor</v>
      </c>
      <c r="C31418" s="6">
        <v>2043</v>
      </c>
      <c r="D31418" s="7">
        <v>0.79</v>
      </c>
      <c r="E31418" t="s">
        <v>13</v>
      </c>
    </row>
    <row r="31419" spans="1:5" x14ac:dyDescent="0.25">
      <c r="A31419" t="str">
        <f>HYPERLINK("https://www.773grp.com/globalSearch/MC34262D/page-1", "MC34262D")</f>
        <v>MC34262D</v>
      </c>
      <c r="B31419" s="3" t="str">
        <f>HYPERLINK("https://www.773grp.com/manufacturer/onsemi?pageNo=917", "ON Semiconductor")</f>
        <v>ON Semiconductor</v>
      </c>
      <c r="C31419" s="6">
        <v>66</v>
      </c>
      <c r="D31419" s="7">
        <v>0.79</v>
      </c>
      <c r="E31419" t="s">
        <v>7</v>
      </c>
    </row>
    <row r="31420" spans="1:5" x14ac:dyDescent="0.25">
      <c r="A31420" t="str">
        <f>HYPERLINK("https://www.773grp.com/globalSearch/MC4558VD/page-1", "MC4558VD")</f>
        <v>MC4558VD</v>
      </c>
      <c r="B31420" s="3" t="str">
        <f>HYPERLINK("https://www.773grp.com/manufacturer/onsemi?pageNo=918", "ON Semiconductor")</f>
        <v>ON Semiconductor</v>
      </c>
      <c r="C31420" s="6">
        <v>5368</v>
      </c>
      <c r="D31420" s="7">
        <v>0.79</v>
      </c>
      <c r="E31420" t="s">
        <v>13</v>
      </c>
    </row>
    <row r="31421" spans="1:5" x14ac:dyDescent="0.25">
      <c r="A31421" t="str">
        <f>HYPERLINK("https://www.773grp.com/globalSearch/MC74AC138DT/page-1", "MC74AC138DT")</f>
        <v>MC74AC138DT</v>
      </c>
      <c r="B31421" s="3" t="str">
        <f>HYPERLINK("https://www.773grp.com/manufacturer/onsemi?pageNo=919", "ON Semiconductor")</f>
        <v>ON Semiconductor</v>
      </c>
      <c r="C31421" s="6">
        <v>9216</v>
      </c>
      <c r="D31421" s="7">
        <v>0.79</v>
      </c>
      <c r="E31421" t="s">
        <v>36</v>
      </c>
    </row>
    <row r="31422" spans="1:5" x14ac:dyDescent="0.25">
      <c r="A31422" t="str">
        <f>HYPERLINK("https://www.773grp.com/globalSearch/MC74AC138DT/page-1", "MC74AC138DT")</f>
        <v>MC74AC138DT</v>
      </c>
      <c r="B31422" s="3" t="str">
        <f>HYPERLINK("https://www.773grp.com/manufacturer/onsemi?pageNo=920", "ON Semiconductor")</f>
        <v>ON Semiconductor</v>
      </c>
      <c r="C31422" s="6">
        <v>3744</v>
      </c>
      <c r="D31422" s="7">
        <v>0.79</v>
      </c>
      <c r="E31422" t="s">
        <v>36</v>
      </c>
    </row>
    <row r="31423" spans="1:5" x14ac:dyDescent="0.25">
      <c r="A31423" t="str">
        <f>HYPERLINK("https://www.773grp.com/globalSearch/MC74AC138ML1/page-1", "MC74AC138ML1")</f>
        <v>MC74AC138ML1</v>
      </c>
      <c r="B31423" s="3" t="str">
        <f>HYPERLINK("https://www.773grp.com/manufacturer/onsemi?pageNo=921", "ON Semiconductor")</f>
        <v>ON Semiconductor</v>
      </c>
      <c r="C31423" s="6">
        <v>4000</v>
      </c>
      <c r="D31423" s="7">
        <v>0.79</v>
      </c>
    </row>
    <row r="31424" spans="1:5" x14ac:dyDescent="0.25">
      <c r="A31424" t="str">
        <f>HYPERLINK("https://www.773grp.com/globalSearch/MC74AC138MR1/page-1", "MC74AC138MR1")</f>
        <v>MC74AC138MR1</v>
      </c>
      <c r="B31424" s="3" t="str">
        <f>HYPERLINK("https://www.773grp.com/manufacturer/onsemi?pageNo=922", "ON Semiconductor")</f>
        <v>ON Semiconductor</v>
      </c>
      <c r="C31424" s="6">
        <v>3000</v>
      </c>
      <c r="D31424" s="7">
        <v>0.79</v>
      </c>
      <c r="E31424" t="s">
        <v>36</v>
      </c>
    </row>
    <row r="31425" spans="1:5" x14ac:dyDescent="0.25">
      <c r="A31425" t="str">
        <f>HYPERLINK("https://www.773grp.com/globalSearch/MC74AC139DT/page-1", "MC74AC139DT")</f>
        <v>MC74AC139DT</v>
      </c>
      <c r="B31425" s="3" t="str">
        <f>HYPERLINK("https://www.773grp.com/manufacturer/onsemi?pageNo=923", "ON Semiconductor")</f>
        <v>ON Semiconductor</v>
      </c>
      <c r="C31425" s="6">
        <v>2688</v>
      </c>
      <c r="D31425" s="7">
        <v>0.79</v>
      </c>
      <c r="E31425" t="s">
        <v>36</v>
      </c>
    </row>
    <row r="31426" spans="1:5" x14ac:dyDescent="0.25">
      <c r="A31426" t="str">
        <f>HYPERLINK("https://www.773grp.com/globalSearch/MC74AC139M/page-1", "MC74AC139M")</f>
        <v>MC74AC139M</v>
      </c>
      <c r="B31426" s="3" t="str">
        <f>HYPERLINK("https://www.773grp.com/manufacturer/onsemi?pageNo=924", "ON Semiconductor")</f>
        <v>ON Semiconductor</v>
      </c>
      <c r="C31426" s="6">
        <v>250</v>
      </c>
      <c r="D31426" s="7">
        <v>0.79</v>
      </c>
      <c r="E31426" t="s">
        <v>36</v>
      </c>
    </row>
    <row r="31427" spans="1:5" x14ac:dyDescent="0.25">
      <c r="A31427" t="str">
        <f>HYPERLINK("https://www.773grp.com/globalSearch/MC74AC139ML1/page-1", "MC74AC139ML1")</f>
        <v>MC74AC139ML1</v>
      </c>
      <c r="B31427" s="3" t="str">
        <f>HYPERLINK("https://www.773grp.com/manufacturer/onsemi?pageNo=925", "ON Semiconductor")</f>
        <v>ON Semiconductor</v>
      </c>
      <c r="C31427" s="6">
        <v>9000</v>
      </c>
      <c r="D31427" s="7">
        <v>0.79</v>
      </c>
    </row>
    <row r="31428" spans="1:5" x14ac:dyDescent="0.25">
      <c r="A31428" t="str">
        <f>HYPERLINK("https://www.773grp.com/globalSearch/MC74AC151DR2/page-1", "MC74AC151DR2")</f>
        <v>MC74AC151DR2</v>
      </c>
      <c r="B31428" s="3" t="str">
        <f>HYPERLINK("https://www.773grp.com/manufacturer/onsemi?pageNo=926", "ON Semiconductor")</f>
        <v>ON Semiconductor</v>
      </c>
      <c r="C31428" s="6">
        <v>12500</v>
      </c>
      <c r="D31428" s="7">
        <v>0.79</v>
      </c>
      <c r="E31428" t="s">
        <v>20</v>
      </c>
    </row>
    <row r="31429" spans="1:5" x14ac:dyDescent="0.25">
      <c r="A31429" t="str">
        <f>HYPERLINK("https://www.773grp.com/globalSearch/MC74AC153D/page-1", "MC74AC153D")</f>
        <v>MC74AC153D</v>
      </c>
      <c r="B31429" s="3" t="str">
        <f>HYPERLINK("https://www.773grp.com/manufacturer/onsemi?pageNo=927", "ON Semiconductor")</f>
        <v>ON Semiconductor</v>
      </c>
      <c r="C31429" s="6">
        <v>2237</v>
      </c>
      <c r="D31429" s="7">
        <v>0.79</v>
      </c>
      <c r="E31429" t="s">
        <v>20</v>
      </c>
    </row>
    <row r="31430" spans="1:5" x14ac:dyDescent="0.25">
      <c r="A31430" t="str">
        <f>HYPERLINK("https://www.773grp.com/globalSearch/MC74AC157M/page-1", "MC74AC157M")</f>
        <v>MC74AC157M</v>
      </c>
      <c r="B31430" s="3" t="str">
        <f>HYPERLINK("https://www.773grp.com/manufacturer/onsemi?pageNo=928", "ON Semiconductor")</f>
        <v>ON Semiconductor</v>
      </c>
      <c r="C31430" s="6">
        <v>4200</v>
      </c>
      <c r="D31430" s="7">
        <v>0.79</v>
      </c>
      <c r="E31430" t="s">
        <v>20</v>
      </c>
    </row>
    <row r="31431" spans="1:5" x14ac:dyDescent="0.25">
      <c r="A31431" t="str">
        <f>HYPERLINK("https://www.773grp.com/globalSearch/MC74AC157ML1/page-1", "MC74AC157ML1")</f>
        <v>MC74AC157ML1</v>
      </c>
      <c r="B31431" s="3" t="str">
        <f>HYPERLINK("https://www.773grp.com/manufacturer/onsemi?pageNo=929", "ON Semiconductor")</f>
        <v>ON Semiconductor</v>
      </c>
      <c r="C31431" s="6">
        <v>5000</v>
      </c>
      <c r="D31431" s="7">
        <v>0.79</v>
      </c>
    </row>
    <row r="31432" spans="1:5" x14ac:dyDescent="0.25">
      <c r="A31432" t="str">
        <f>HYPERLINK("https://www.773grp.com/globalSearch/MC74AC175DR2/page-1", "MC74AC175DR2")</f>
        <v>MC74AC175DR2</v>
      </c>
      <c r="B31432" s="3" t="str">
        <f>HYPERLINK("https://www.773grp.com/manufacturer/onsemi?pageNo=930", "ON Semiconductor")</f>
        <v>ON Semiconductor</v>
      </c>
      <c r="C31432" s="6">
        <v>15000</v>
      </c>
      <c r="D31432" s="7">
        <v>0.79</v>
      </c>
      <c r="E31432" t="s">
        <v>35</v>
      </c>
    </row>
    <row r="31433" spans="1:5" x14ac:dyDescent="0.25">
      <c r="A31433" t="str">
        <f>HYPERLINK("https://www.773grp.com/globalSearch/MC74AC240M/page-1", "MC74AC240M")</f>
        <v>MC74AC240M</v>
      </c>
      <c r="B31433" s="3" t="str">
        <f>HYPERLINK("https://www.773grp.com/manufacturer/onsemi?pageNo=931", "ON Semiconductor")</f>
        <v>ON Semiconductor</v>
      </c>
      <c r="C31433" s="6">
        <v>13380</v>
      </c>
      <c r="D31433" s="7">
        <v>0.79</v>
      </c>
      <c r="E31433" t="s">
        <v>14</v>
      </c>
    </row>
    <row r="31434" spans="1:5" x14ac:dyDescent="0.25">
      <c r="A31434" t="str">
        <f>HYPERLINK("https://www.773grp.com/globalSearch/MC74AC240ML1/page-1", "MC74AC240ML1")</f>
        <v>MC74AC240ML1</v>
      </c>
      <c r="B31434" s="3" t="str">
        <f>HYPERLINK("https://www.773grp.com/manufacturer/onsemi?pageNo=932", "ON Semiconductor")</f>
        <v>ON Semiconductor</v>
      </c>
      <c r="C31434" s="6">
        <v>6000</v>
      </c>
      <c r="D31434" s="7">
        <v>0.79</v>
      </c>
    </row>
    <row r="31435" spans="1:5" x14ac:dyDescent="0.25">
      <c r="A31435" t="str">
        <f>HYPERLINK("https://www.773grp.com/globalSearch/MC74AC244M/page-1", "MC74AC244M")</f>
        <v>MC74AC244M</v>
      </c>
      <c r="B31435" s="3" t="str">
        <f>HYPERLINK("https://www.773grp.com/manufacturer/onsemi?pageNo=933", "ON Semiconductor")</f>
        <v>ON Semiconductor</v>
      </c>
      <c r="C31435" s="6">
        <v>8170</v>
      </c>
      <c r="D31435" s="7">
        <v>0.79</v>
      </c>
      <c r="E31435" t="s">
        <v>14</v>
      </c>
    </row>
    <row r="31436" spans="1:5" x14ac:dyDescent="0.25">
      <c r="A31436" t="str">
        <f>HYPERLINK("https://www.773grp.com/globalSearch/MC74AC244ML1/page-1", "MC74AC244ML1")</f>
        <v>MC74AC244ML1</v>
      </c>
      <c r="B31436" s="3" t="str">
        <f>HYPERLINK("https://www.773grp.com/manufacturer/onsemi?pageNo=934", "ON Semiconductor")</f>
        <v>ON Semiconductor</v>
      </c>
      <c r="C31436" s="6">
        <v>59000</v>
      </c>
      <c r="D31436" s="7">
        <v>0.79</v>
      </c>
    </row>
    <row r="31437" spans="1:5" x14ac:dyDescent="0.25">
      <c r="A31437" t="str">
        <f>HYPERLINK("https://www.773grp.com/globalSearch/MC74AC245ML1/page-1", "MC74AC245ML1")</f>
        <v>MC74AC245ML1</v>
      </c>
      <c r="B31437" s="3" t="str">
        <f>HYPERLINK("https://www.773grp.com/manufacturer/onsemi?pageNo=935", "ON Semiconductor")</f>
        <v>ON Semiconductor</v>
      </c>
      <c r="C31437" s="6">
        <v>8000</v>
      </c>
      <c r="D31437" s="7">
        <v>0.79</v>
      </c>
    </row>
    <row r="31438" spans="1:5" x14ac:dyDescent="0.25">
      <c r="A31438" t="str">
        <f>HYPERLINK("https://www.773grp.com/globalSearch/MC74AC245MR1/page-1", "MC74AC245MR1")</f>
        <v>MC74AC245MR1</v>
      </c>
      <c r="B31438" s="3" t="str">
        <f>HYPERLINK("https://www.773grp.com/manufacturer/onsemi?pageNo=936", "ON Semiconductor")</f>
        <v>ON Semiconductor</v>
      </c>
      <c r="C31438" s="6">
        <v>5000</v>
      </c>
      <c r="D31438" s="7">
        <v>0.79</v>
      </c>
      <c r="E31438" t="s">
        <v>14</v>
      </c>
    </row>
    <row r="31439" spans="1:5" x14ac:dyDescent="0.25">
      <c r="A31439" t="str">
        <f>HYPERLINK("https://www.773grp.com/globalSearch/MC74AC273M/page-1", "MC74AC273M")</f>
        <v>MC74AC273M</v>
      </c>
      <c r="B31439" s="3" t="str">
        <f>HYPERLINK("https://www.773grp.com/manufacturer/onsemi?pageNo=937", "ON Semiconductor")</f>
        <v>ON Semiconductor</v>
      </c>
      <c r="C31439" s="6">
        <v>134</v>
      </c>
      <c r="D31439" s="7">
        <v>0.79</v>
      </c>
      <c r="E31439" t="s">
        <v>35</v>
      </c>
    </row>
    <row r="31440" spans="1:5" x14ac:dyDescent="0.25">
      <c r="A31440" t="str">
        <f>HYPERLINK("https://www.773grp.com/globalSearch/MC74AC273ML1/page-1", "MC74AC273ML1")</f>
        <v>MC74AC273ML1</v>
      </c>
      <c r="B31440" s="3" t="str">
        <f>HYPERLINK("https://www.773grp.com/manufacturer/onsemi?pageNo=938", "ON Semiconductor")</f>
        <v>ON Semiconductor</v>
      </c>
      <c r="C31440" s="6">
        <v>42000</v>
      </c>
      <c r="D31440" s="7">
        <v>0.79</v>
      </c>
    </row>
    <row r="31441" spans="1:5" x14ac:dyDescent="0.25">
      <c r="A31441" t="str">
        <f>HYPERLINK("https://www.773grp.com/globalSearch/MC74AC373M/page-1", "MC74AC373M")</f>
        <v>MC74AC373M</v>
      </c>
      <c r="B31441" s="3" t="str">
        <f>HYPERLINK("https://www.773grp.com/manufacturer/onsemi?pageNo=939", "ON Semiconductor")</f>
        <v>ON Semiconductor</v>
      </c>
      <c r="C31441" s="6">
        <v>10680</v>
      </c>
      <c r="D31441" s="7">
        <v>0.79</v>
      </c>
      <c r="E31441" t="s">
        <v>14</v>
      </c>
    </row>
    <row r="31442" spans="1:5" x14ac:dyDescent="0.25">
      <c r="A31442" t="str">
        <f>HYPERLINK("https://www.773grp.com/globalSearch/MC74AC373ML1/page-1", "MC74AC373ML1")</f>
        <v>MC74AC373ML1</v>
      </c>
      <c r="B31442" s="3" t="str">
        <f>HYPERLINK("https://www.773grp.com/manufacturer/onsemi?pageNo=940", "ON Semiconductor")</f>
        <v>ON Semiconductor</v>
      </c>
      <c r="C31442" s="6">
        <v>19000</v>
      </c>
      <c r="D31442" s="7">
        <v>0.79</v>
      </c>
    </row>
    <row r="31443" spans="1:5" x14ac:dyDescent="0.25">
      <c r="A31443" t="str">
        <f>HYPERLINK("https://www.773grp.com/globalSearch/MC74AC374ML1/page-1", "MC74AC374ML1")</f>
        <v>MC74AC374ML1</v>
      </c>
      <c r="B31443" s="3" t="str">
        <f>HYPERLINK("https://www.773grp.com/manufacturer/onsemi?pageNo=941", "ON Semiconductor")</f>
        <v>ON Semiconductor</v>
      </c>
      <c r="C31443" s="6">
        <v>5000</v>
      </c>
      <c r="D31443" s="7">
        <v>0.79</v>
      </c>
    </row>
    <row r="31444" spans="1:5" x14ac:dyDescent="0.25">
      <c r="A31444" t="str">
        <f>HYPERLINK("https://www.773grp.com/globalSearch/MC74AC573M/page-1", "MC74AC573M")</f>
        <v>MC74AC573M</v>
      </c>
      <c r="B31444" s="3" t="str">
        <f>HYPERLINK("https://www.773grp.com/manufacturer/onsemi?pageNo=942", "ON Semiconductor")</f>
        <v>ON Semiconductor</v>
      </c>
      <c r="C31444" s="6">
        <v>7480</v>
      </c>
      <c r="D31444" s="7">
        <v>0.79</v>
      </c>
      <c r="E31444" t="s">
        <v>14</v>
      </c>
    </row>
    <row r="31445" spans="1:5" x14ac:dyDescent="0.25">
      <c r="A31445" t="str">
        <f>HYPERLINK("https://www.773grp.com/globalSearch/MC74AC573ML1/page-1", "MC74AC573ML1")</f>
        <v>MC74AC573ML1</v>
      </c>
      <c r="B31445" s="3" t="str">
        <f>HYPERLINK("https://www.773grp.com/manufacturer/onsemi?pageNo=943", "ON Semiconductor")</f>
        <v>ON Semiconductor</v>
      </c>
      <c r="C31445" s="6">
        <v>1000</v>
      </c>
      <c r="D31445" s="7">
        <v>0.79</v>
      </c>
    </row>
    <row r="31446" spans="1:5" x14ac:dyDescent="0.25">
      <c r="A31446" t="str">
        <f>HYPERLINK("https://www.773grp.com/globalSearch/MC74ACT125M/page-1", "MC74ACT125M")</f>
        <v>MC74ACT125M</v>
      </c>
      <c r="B31446" s="3" t="str">
        <f>HYPERLINK("https://www.773grp.com/manufacturer/onsemi?pageNo=944", "ON Semiconductor")</f>
        <v>ON Semiconductor</v>
      </c>
      <c r="C31446" s="6">
        <v>9900</v>
      </c>
      <c r="D31446" s="7">
        <v>0.79</v>
      </c>
      <c r="E31446" t="s">
        <v>14</v>
      </c>
    </row>
    <row r="31447" spans="1:5" x14ac:dyDescent="0.25">
      <c r="A31447" t="str">
        <f>HYPERLINK("https://www.773grp.com/globalSearch/MC74ACT125ML1/page-1", "MC74ACT125ML1")</f>
        <v>MC74ACT125ML1</v>
      </c>
      <c r="B31447" s="3" t="str">
        <f>HYPERLINK("https://www.773grp.com/manufacturer/onsemi?pageNo=945", "ON Semiconductor")</f>
        <v>ON Semiconductor</v>
      </c>
      <c r="C31447" s="6">
        <v>12000</v>
      </c>
      <c r="D31447" s="7">
        <v>0.79</v>
      </c>
      <c r="E31447" t="s">
        <v>14</v>
      </c>
    </row>
    <row r="31448" spans="1:5" x14ac:dyDescent="0.25">
      <c r="A31448" t="str">
        <f>HYPERLINK("https://www.773grp.com/globalSearch/MC74ACT138MEL/page-1", "MC74ACT138MEL")</f>
        <v>MC74ACT138MEL</v>
      </c>
      <c r="B31448" s="3" t="str">
        <f>HYPERLINK("https://www.773grp.com/manufacturer/onsemi?pageNo=946", "ON Semiconductor")</f>
        <v>ON Semiconductor</v>
      </c>
      <c r="C31448" s="6">
        <v>12000</v>
      </c>
      <c r="D31448" s="7">
        <v>0.79</v>
      </c>
      <c r="E31448" t="s">
        <v>36</v>
      </c>
    </row>
    <row r="31449" spans="1:5" x14ac:dyDescent="0.25">
      <c r="A31449" t="str">
        <f>HYPERLINK("https://www.773grp.com/globalSearch/MC74ACT138ML1/page-1", "MC74ACT138ML1")</f>
        <v>MC74ACT138ML1</v>
      </c>
      <c r="B31449" s="3" t="str">
        <f>HYPERLINK("https://www.773grp.com/manufacturer/onsemi?pageNo=947", "ON Semiconductor")</f>
        <v>ON Semiconductor</v>
      </c>
      <c r="C31449" s="6">
        <v>6000</v>
      </c>
      <c r="D31449" s="7">
        <v>0.79</v>
      </c>
      <c r="E31449" t="s">
        <v>36</v>
      </c>
    </row>
    <row r="31450" spans="1:5" x14ac:dyDescent="0.25">
      <c r="A31450" t="str">
        <f>HYPERLINK("https://www.773grp.com/globalSearch/MC74ACT139M/page-1", "MC74ACT139M")</f>
        <v>MC74ACT139M</v>
      </c>
      <c r="B31450" s="3" t="str">
        <f>HYPERLINK("https://www.773grp.com/manufacturer/onsemi?pageNo=948", "ON Semiconductor")</f>
        <v>ON Semiconductor</v>
      </c>
      <c r="C31450" s="6">
        <v>18700</v>
      </c>
      <c r="D31450" s="7">
        <v>0.79</v>
      </c>
      <c r="E31450" t="s">
        <v>36</v>
      </c>
    </row>
    <row r="31451" spans="1:5" x14ac:dyDescent="0.25">
      <c r="A31451" t="str">
        <f>HYPERLINK("https://www.773grp.com/globalSearch/MC74ACT139ML1/page-1", "MC74ACT139ML1")</f>
        <v>MC74ACT139ML1</v>
      </c>
      <c r="B31451" s="3" t="str">
        <f>HYPERLINK("https://www.773grp.com/manufacturer/onsemi?pageNo=949", "ON Semiconductor")</f>
        <v>ON Semiconductor</v>
      </c>
      <c r="C31451" s="6">
        <v>2000</v>
      </c>
      <c r="D31451" s="7">
        <v>0.79</v>
      </c>
    </row>
    <row r="31452" spans="1:5" x14ac:dyDescent="0.25">
      <c r="A31452" t="str">
        <f>HYPERLINK("https://www.773grp.com/globalSearch/MC74ACT151DR2/page-1", "MC74ACT151DR2")</f>
        <v>MC74ACT151DR2</v>
      </c>
      <c r="B31452" s="3" t="str">
        <f>HYPERLINK("https://www.773grp.com/manufacturer/onsemi?pageNo=950", "ON Semiconductor")</f>
        <v>ON Semiconductor</v>
      </c>
      <c r="C31452" s="6">
        <v>117500</v>
      </c>
      <c r="D31452" s="7">
        <v>0.79</v>
      </c>
      <c r="E31452" t="s">
        <v>20</v>
      </c>
    </row>
    <row r="31453" spans="1:5" x14ac:dyDescent="0.25">
      <c r="A31453" t="str">
        <f>HYPERLINK("https://www.773grp.com/globalSearch/MC74ACT151M/page-1", "MC74ACT151M")</f>
        <v>MC74ACT151M</v>
      </c>
      <c r="B31453" s="3" t="str">
        <f>HYPERLINK("https://www.773grp.com/manufacturer/onsemi?pageNo=951", "ON Semiconductor")</f>
        <v>ON Semiconductor</v>
      </c>
      <c r="C31453" s="6">
        <v>4950</v>
      </c>
      <c r="D31453" s="7">
        <v>0.79</v>
      </c>
      <c r="E31453" t="s">
        <v>20</v>
      </c>
    </row>
    <row r="31454" spans="1:5" x14ac:dyDescent="0.25">
      <c r="A31454" t="str">
        <f>HYPERLINK("https://www.773grp.com/globalSearch/MC74ACT151ML1/page-1", "MC74ACT151ML1")</f>
        <v>MC74ACT151ML1</v>
      </c>
      <c r="B31454" s="3" t="str">
        <f>HYPERLINK("https://www.773grp.com/manufacturer/onsemi?pageNo=952", "ON Semiconductor")</f>
        <v>ON Semiconductor</v>
      </c>
      <c r="C31454" s="6">
        <v>1000</v>
      </c>
      <c r="D31454" s="7">
        <v>0.79</v>
      </c>
    </row>
    <row r="31455" spans="1:5" x14ac:dyDescent="0.25">
      <c r="A31455" t="str">
        <f>HYPERLINK("https://www.773grp.com/globalSearch/MC74ACT153M/page-1", "MC74ACT153M")</f>
        <v>MC74ACT153M</v>
      </c>
      <c r="B31455" s="3" t="str">
        <f>HYPERLINK("https://www.773grp.com/manufacturer/onsemi?pageNo=953", "ON Semiconductor")</f>
        <v>ON Semiconductor</v>
      </c>
      <c r="C31455" s="6">
        <v>7367</v>
      </c>
      <c r="D31455" s="7">
        <v>0.79</v>
      </c>
      <c r="E31455" t="s">
        <v>20</v>
      </c>
    </row>
    <row r="31456" spans="1:5" x14ac:dyDescent="0.25">
      <c r="A31456" t="str">
        <f>HYPERLINK("https://www.773grp.com/globalSearch/MC74ACT153MEL/page-1", "MC74ACT153MEL")</f>
        <v>MC74ACT153MEL</v>
      </c>
      <c r="B31456" s="3" t="str">
        <f>HYPERLINK("https://www.773grp.com/manufacturer/onsemi?pageNo=954", "ON Semiconductor")</f>
        <v>ON Semiconductor</v>
      </c>
      <c r="C31456" s="6">
        <v>12000</v>
      </c>
      <c r="D31456" s="7">
        <v>0.79</v>
      </c>
      <c r="E31456" t="s">
        <v>20</v>
      </c>
    </row>
    <row r="31457" spans="1:5" x14ac:dyDescent="0.25">
      <c r="A31457" t="str">
        <f>HYPERLINK("https://www.773grp.com/globalSearch/MC74ACT157ML1/page-1", "MC74ACT157ML1")</f>
        <v>MC74ACT157ML1</v>
      </c>
      <c r="B31457" s="3" t="str">
        <f>HYPERLINK("https://www.773grp.com/manufacturer/onsemi?pageNo=955", "ON Semiconductor")</f>
        <v>ON Semiconductor</v>
      </c>
      <c r="C31457" s="6">
        <v>29000</v>
      </c>
      <c r="D31457" s="7">
        <v>0.79</v>
      </c>
    </row>
    <row r="31458" spans="1:5" x14ac:dyDescent="0.25">
      <c r="A31458" t="str">
        <f>HYPERLINK("https://www.773grp.com/globalSearch/MC74ACT240ML1/page-1", "MC74ACT240ML1")</f>
        <v>MC74ACT240ML1</v>
      </c>
      <c r="B31458" s="3" t="str">
        <f>HYPERLINK("https://www.773grp.com/manufacturer/onsemi?pageNo=956", "ON Semiconductor")</f>
        <v>ON Semiconductor</v>
      </c>
      <c r="C31458" s="6">
        <v>9000</v>
      </c>
      <c r="D31458" s="7">
        <v>0.79</v>
      </c>
    </row>
    <row r="31459" spans="1:5" x14ac:dyDescent="0.25">
      <c r="A31459" t="str">
        <f>HYPERLINK("https://www.773grp.com/globalSearch/MC74ACT240MR1/page-1", "MC74ACT240MR1")</f>
        <v>MC74ACT240MR1</v>
      </c>
      <c r="B31459" s="3" t="str">
        <f>HYPERLINK("https://www.773grp.com/manufacturer/onsemi?pageNo=957", "ON Semiconductor")</f>
        <v>ON Semiconductor</v>
      </c>
      <c r="C31459" s="6">
        <v>6000</v>
      </c>
      <c r="D31459" s="7">
        <v>0.79</v>
      </c>
    </row>
    <row r="31460" spans="1:5" x14ac:dyDescent="0.25">
      <c r="A31460" t="str">
        <f>HYPERLINK("https://www.773grp.com/globalSearch/MC74ACT240MR2/page-1", "MC74ACT240MR2")</f>
        <v>MC74ACT240MR2</v>
      </c>
      <c r="B31460" s="3" t="str">
        <f>HYPERLINK("https://www.773grp.com/manufacturer/onsemi?pageNo=958", "ON Semiconductor")</f>
        <v>ON Semiconductor</v>
      </c>
      <c r="C31460" s="6">
        <v>10000</v>
      </c>
      <c r="D31460" s="7">
        <v>0.79</v>
      </c>
    </row>
    <row r="31461" spans="1:5" x14ac:dyDescent="0.25">
      <c r="A31461" t="str">
        <f>HYPERLINK("https://www.773grp.com/globalSearch/MC74ACT241M/page-1", "MC74ACT241M")</f>
        <v>MC74ACT241M</v>
      </c>
      <c r="B31461" s="3" t="str">
        <f>HYPERLINK("https://www.773grp.com/manufacturer/onsemi?pageNo=959", "ON Semiconductor")</f>
        <v>ON Semiconductor</v>
      </c>
      <c r="C31461" s="6">
        <v>16289</v>
      </c>
      <c r="D31461" s="7">
        <v>0.79</v>
      </c>
      <c r="E31461" t="s">
        <v>14</v>
      </c>
    </row>
    <row r="31462" spans="1:5" x14ac:dyDescent="0.25">
      <c r="A31462" t="str">
        <f>HYPERLINK("https://www.773grp.com/globalSearch/MC74ACT244ML1/page-1", "MC74ACT244ML1")</f>
        <v>MC74ACT244ML1</v>
      </c>
      <c r="B31462" s="3" t="str">
        <f>HYPERLINK("https://www.773grp.com/manufacturer/onsemi?pageNo=960", "ON Semiconductor")</f>
        <v>ON Semiconductor</v>
      </c>
      <c r="C31462" s="6">
        <v>15000</v>
      </c>
      <c r="D31462" s="7">
        <v>0.79</v>
      </c>
    </row>
    <row r="31463" spans="1:5" x14ac:dyDescent="0.25">
      <c r="A31463" t="str">
        <f>HYPERLINK("https://www.773grp.com/globalSearch/MC74ACT244MR2/page-1", "MC74ACT244MR2")</f>
        <v>MC74ACT244MR2</v>
      </c>
      <c r="B31463" s="3" t="str">
        <f>HYPERLINK("https://www.773grp.com/manufacturer/onsemi?pageNo=961", "ON Semiconductor")</f>
        <v>ON Semiconductor</v>
      </c>
      <c r="C31463" s="6">
        <v>4000</v>
      </c>
      <c r="D31463" s="7">
        <v>0.79</v>
      </c>
      <c r="E31463" t="s">
        <v>14</v>
      </c>
    </row>
    <row r="31464" spans="1:5" x14ac:dyDescent="0.25">
      <c r="A31464" t="str">
        <f>HYPERLINK("https://www.773grp.com/globalSearch/MC74ACT245ML1/page-1", "MC74ACT245ML1")</f>
        <v>MC74ACT245ML1</v>
      </c>
      <c r="B31464" s="3" t="str">
        <f>HYPERLINK("https://www.773grp.com/manufacturer/onsemi?pageNo=962", "ON Semiconductor")</f>
        <v>ON Semiconductor</v>
      </c>
      <c r="C31464" s="6">
        <v>7750</v>
      </c>
      <c r="D31464" s="7">
        <v>0.79</v>
      </c>
    </row>
    <row r="31465" spans="1:5" x14ac:dyDescent="0.25">
      <c r="A31465" t="str">
        <f>HYPERLINK("https://www.773grp.com/globalSearch/MC74ACT273ML1/page-1", "MC74ACT273ML1")</f>
        <v>MC74ACT273ML1</v>
      </c>
      <c r="B31465" s="3" t="str">
        <f>HYPERLINK("https://www.773grp.com/manufacturer/onsemi?pageNo=963", "ON Semiconductor")</f>
        <v>ON Semiconductor</v>
      </c>
      <c r="C31465" s="6">
        <v>3800</v>
      </c>
      <c r="D31465" s="7">
        <v>0.79</v>
      </c>
    </row>
    <row r="31466" spans="1:5" x14ac:dyDescent="0.25">
      <c r="A31466" t="str">
        <f>HYPERLINK("https://www.773grp.com/globalSearch/MC74ACT273MR2/page-1", "MC74ACT273MR2")</f>
        <v>MC74ACT273MR2</v>
      </c>
      <c r="B31466" s="3" t="str">
        <f>HYPERLINK("https://www.773grp.com/manufacturer/onsemi?pageNo=964", "ON Semiconductor")</f>
        <v>ON Semiconductor</v>
      </c>
      <c r="C31466" s="6">
        <v>2000</v>
      </c>
      <c r="D31466" s="7">
        <v>0.79</v>
      </c>
      <c r="E31466" t="s">
        <v>35</v>
      </c>
    </row>
    <row r="31467" spans="1:5" x14ac:dyDescent="0.25">
      <c r="A31467" t="str">
        <f>HYPERLINK("https://www.773grp.com/globalSearch/MC74ACT32N/page-1", "MC74ACT32N")</f>
        <v>MC74ACT32N</v>
      </c>
      <c r="B31467" s="3" t="str">
        <f>HYPERLINK("https://www.773grp.com/manufacturer/onsemi?pageNo=965", "ON Semiconductor")</f>
        <v>ON Semiconductor</v>
      </c>
      <c r="C31467" s="6">
        <v>7393</v>
      </c>
      <c r="D31467" s="7">
        <v>0.79</v>
      </c>
      <c r="E31467" t="s">
        <v>31</v>
      </c>
    </row>
    <row r="31468" spans="1:5" x14ac:dyDescent="0.25">
      <c r="A31468" t="str">
        <f>HYPERLINK("https://www.773grp.com/globalSearch/MC74ACT373M/page-1", "MC74ACT373M")</f>
        <v>MC74ACT373M</v>
      </c>
      <c r="B31468" s="3" t="str">
        <f>HYPERLINK("https://www.773grp.com/manufacturer/onsemi?pageNo=966", "ON Semiconductor")</f>
        <v>ON Semiconductor</v>
      </c>
      <c r="C31468" s="6">
        <v>610</v>
      </c>
      <c r="D31468" s="7">
        <v>0.79</v>
      </c>
      <c r="E31468" t="s">
        <v>14</v>
      </c>
    </row>
    <row r="31469" spans="1:5" x14ac:dyDescent="0.25">
      <c r="A31469" t="str">
        <f>HYPERLINK("https://www.773grp.com/globalSearch/MC74ACT373ML1/page-1", "MC74ACT373ML1")</f>
        <v>MC74ACT373ML1</v>
      </c>
      <c r="B31469" s="3" t="str">
        <f>HYPERLINK("https://www.773grp.com/manufacturer/onsemi?pageNo=967", "ON Semiconductor")</f>
        <v>ON Semiconductor</v>
      </c>
      <c r="C31469" s="6">
        <v>2000</v>
      </c>
      <c r="D31469" s="7">
        <v>0.79</v>
      </c>
    </row>
    <row r="31470" spans="1:5" x14ac:dyDescent="0.25">
      <c r="A31470" t="str">
        <f>HYPERLINK("https://www.773grp.com/globalSearch/MC74ACT373MR2/page-1", "MC74ACT373MR2")</f>
        <v>MC74ACT373MR2</v>
      </c>
      <c r="B31470" s="3" t="str">
        <f>HYPERLINK("https://www.773grp.com/manufacturer/onsemi?pageNo=968", "ON Semiconductor")</f>
        <v>ON Semiconductor</v>
      </c>
      <c r="C31470" s="6">
        <v>8000</v>
      </c>
      <c r="D31470" s="7">
        <v>0.79</v>
      </c>
      <c r="E31470" t="s">
        <v>14</v>
      </c>
    </row>
    <row r="31471" spans="1:5" x14ac:dyDescent="0.25">
      <c r="A31471" t="str">
        <f>HYPERLINK("https://www.773grp.com/globalSearch/MC74ACT374M/page-1", "MC74ACT374M")</f>
        <v>MC74ACT374M</v>
      </c>
      <c r="B31471" s="3" t="str">
        <f>HYPERLINK("https://www.773grp.com/manufacturer/onsemi?pageNo=969", "ON Semiconductor")</f>
        <v>ON Semiconductor</v>
      </c>
      <c r="C31471" s="6">
        <v>8740</v>
      </c>
      <c r="D31471" s="7">
        <v>0.79</v>
      </c>
      <c r="E31471" t="s">
        <v>14</v>
      </c>
    </row>
    <row r="31472" spans="1:5" x14ac:dyDescent="0.25">
      <c r="A31472" t="str">
        <f>HYPERLINK("https://www.773grp.com/globalSearch/MC74ACT374ML1/page-1", "MC74ACT374ML1")</f>
        <v>MC74ACT374ML1</v>
      </c>
      <c r="B31472" s="3" t="str">
        <f>HYPERLINK("https://www.773grp.com/manufacturer/onsemi?pageNo=970", "ON Semiconductor")</f>
        <v>ON Semiconductor</v>
      </c>
      <c r="C31472" s="6">
        <v>6000</v>
      </c>
      <c r="D31472" s="7">
        <v>0.79</v>
      </c>
    </row>
    <row r="31473" spans="1:5" x14ac:dyDescent="0.25">
      <c r="A31473" t="str">
        <f>HYPERLINK("https://www.773grp.com/globalSearch/MC74ACT573M/page-1", "MC74ACT573M")</f>
        <v>MC74ACT573M</v>
      </c>
      <c r="B31473" s="3" t="str">
        <f>HYPERLINK("https://www.773grp.com/manufacturer/onsemi?pageNo=971", "ON Semiconductor")</f>
        <v>ON Semiconductor</v>
      </c>
      <c r="C31473" s="6">
        <v>15400</v>
      </c>
      <c r="D31473" s="7">
        <v>0.79</v>
      </c>
      <c r="E31473" t="s">
        <v>14</v>
      </c>
    </row>
    <row r="31474" spans="1:5" x14ac:dyDescent="0.25">
      <c r="A31474" t="str">
        <f>HYPERLINK("https://www.773grp.com/globalSearch/MC74ACT574ML1/page-1", "MC74ACT574ML1")</f>
        <v>MC74ACT574ML1</v>
      </c>
      <c r="B31474" s="3" t="str">
        <f>HYPERLINK("https://www.773grp.com/manufacturer/onsemi?pageNo=972", "ON Semiconductor")</f>
        <v>ON Semiconductor</v>
      </c>
      <c r="C31474" s="6">
        <v>6000</v>
      </c>
      <c r="D31474" s="7">
        <v>0.79</v>
      </c>
    </row>
    <row r="31475" spans="1:5" x14ac:dyDescent="0.25">
      <c r="A31475" t="str">
        <f>HYPERLINK("https://www.773grp.com/globalSearch/MC74CT138MEL/page-1", "MC74CT138MEL")</f>
        <v>MC74CT138MEL</v>
      </c>
      <c r="B31475" s="3" t="str">
        <f>HYPERLINK("https://www.773grp.com/manufacturer/onsemi?pageNo=973", "ON Semiconductor")</f>
        <v>ON Semiconductor</v>
      </c>
      <c r="C31475" s="6">
        <v>2000</v>
      </c>
      <c r="D31475" s="7">
        <v>0.79</v>
      </c>
    </row>
    <row r="31476" spans="1:5" x14ac:dyDescent="0.25">
      <c r="A31476" t="str">
        <f>HYPERLINK("https://www.773grp.com/globalSearch/MC74F157AD/page-1", "MC74F157AD")</f>
        <v>MC74F157AD</v>
      </c>
      <c r="B31476" s="3" t="str">
        <f>HYPERLINK("https://www.773grp.com/manufacturer/onsemi?pageNo=974", "ON Semiconductor")</f>
        <v>ON Semiconductor</v>
      </c>
      <c r="C31476" s="6">
        <v>2244</v>
      </c>
      <c r="D31476" s="7">
        <v>0.79</v>
      </c>
      <c r="E31476" t="s">
        <v>20</v>
      </c>
    </row>
    <row r="31477" spans="1:5" x14ac:dyDescent="0.25">
      <c r="A31477" t="str">
        <f>HYPERLINK("https://www.773grp.com/globalSearch/MC74F240DW/page-1", "MC74F240DW")</f>
        <v>MC74F240DW</v>
      </c>
      <c r="B31477" s="3" t="str">
        <f>HYPERLINK("https://www.773grp.com/manufacturer/onsemi?pageNo=975", "ON Semiconductor")</f>
        <v>ON Semiconductor</v>
      </c>
      <c r="C31477" s="6">
        <v>558</v>
      </c>
      <c r="D31477" s="7">
        <v>0.79</v>
      </c>
      <c r="E31477" t="s">
        <v>14</v>
      </c>
    </row>
    <row r="31478" spans="1:5" x14ac:dyDescent="0.25">
      <c r="A31478" t="str">
        <f>HYPERLINK("https://www.773grp.com/globalSearch/MC74F240M/page-1", "MC74F240M")</f>
        <v>MC74F240M</v>
      </c>
      <c r="B31478" s="3" t="str">
        <f>HYPERLINK("https://www.773grp.com/manufacturer/onsemi?pageNo=976", "ON Semiconductor")</f>
        <v>ON Semiconductor</v>
      </c>
      <c r="C31478" s="6">
        <v>3181</v>
      </c>
      <c r="D31478" s="7">
        <v>0.79</v>
      </c>
    </row>
    <row r="31479" spans="1:5" x14ac:dyDescent="0.25">
      <c r="A31479" t="str">
        <f>HYPERLINK("https://www.773grp.com/globalSearch/MC74F240ML1/page-1", "MC74F240ML1")</f>
        <v>MC74F240ML1</v>
      </c>
      <c r="B31479" s="3" t="str">
        <f>HYPERLINK("https://www.773grp.com/manufacturer/onsemi?pageNo=977", "ON Semiconductor")</f>
        <v>ON Semiconductor</v>
      </c>
      <c r="C31479" s="6">
        <v>4000</v>
      </c>
      <c r="D31479" s="7">
        <v>0.79</v>
      </c>
    </row>
    <row r="31480" spans="1:5" x14ac:dyDescent="0.25">
      <c r="A31480" t="str">
        <f>HYPERLINK("https://www.773grp.com/globalSearch/MC74F240MR1/page-1", "MC74F240MR1")</f>
        <v>MC74F240MR1</v>
      </c>
      <c r="B31480" s="3" t="str">
        <f>HYPERLINK("https://www.773grp.com/manufacturer/onsemi?pageNo=978", "ON Semiconductor")</f>
        <v>ON Semiconductor</v>
      </c>
      <c r="C31480" s="6">
        <v>4000</v>
      </c>
      <c r="D31480" s="7">
        <v>0.79</v>
      </c>
    </row>
    <row r="31481" spans="1:5" x14ac:dyDescent="0.25">
      <c r="A31481" t="str">
        <f>HYPERLINK("https://www.773grp.com/globalSearch/MC74F244DWR2/page-1", "MC74F244DWR2")</f>
        <v>MC74F244DWR2</v>
      </c>
      <c r="B31481" s="3" t="str">
        <f>HYPERLINK("https://www.773grp.com/manufacturer/onsemi?pageNo=979", "ON Semiconductor")</f>
        <v>ON Semiconductor</v>
      </c>
      <c r="C31481" s="6">
        <v>51000</v>
      </c>
      <c r="D31481" s="7">
        <v>0.79</v>
      </c>
      <c r="E31481" t="s">
        <v>14</v>
      </c>
    </row>
    <row r="31482" spans="1:5" x14ac:dyDescent="0.25">
      <c r="A31482" t="str">
        <f>HYPERLINK("https://www.773grp.com/globalSearch/MC74F280MEL/page-1", "MC74F280MEL")</f>
        <v>MC74F280MEL</v>
      </c>
      <c r="B31482" s="3" t="str">
        <f>HYPERLINK("https://www.773grp.com/manufacturer/onsemi?pageNo=980", "ON Semiconductor")</f>
        <v>ON Semiconductor</v>
      </c>
      <c r="C31482" s="6">
        <v>2000</v>
      </c>
      <c r="D31482" s="7">
        <v>0.79</v>
      </c>
    </row>
    <row r="31483" spans="1:5" x14ac:dyDescent="0.25">
      <c r="A31483" t="str">
        <f>HYPERLINK("https://www.773grp.com/globalSearch/MC74F280N/page-1", "MC74F280N")</f>
        <v>MC74F280N</v>
      </c>
      <c r="B31483" s="3" t="str">
        <f>HYPERLINK("https://www.773grp.com/manufacturer/onsemi?pageNo=981", "ON Semiconductor")</f>
        <v>ON Semiconductor</v>
      </c>
      <c r="C31483" s="6">
        <v>35381</v>
      </c>
      <c r="D31483" s="7">
        <v>0.79</v>
      </c>
      <c r="E31483" t="s">
        <v>43</v>
      </c>
    </row>
    <row r="31484" spans="1:5" x14ac:dyDescent="0.25">
      <c r="A31484" t="str">
        <f>HYPERLINK("https://www.773grp.com/globalSearch/MC74F373MR1/page-1", "MC74F373MR1")</f>
        <v>MC74F373MR1</v>
      </c>
      <c r="B31484" s="3" t="str">
        <f>HYPERLINK("https://www.773grp.com/manufacturer/onsemi?pageNo=982", "ON Semiconductor")</f>
        <v>ON Semiconductor</v>
      </c>
      <c r="C31484" s="6">
        <v>1000</v>
      </c>
      <c r="D31484" s="7">
        <v>0.79</v>
      </c>
    </row>
    <row r="31485" spans="1:5" x14ac:dyDescent="0.25">
      <c r="A31485" t="str">
        <f>HYPERLINK("https://www.773grp.com/globalSearch/MC74F374DR2/page-1", "MC74F374DR2")</f>
        <v>MC74F374DR2</v>
      </c>
      <c r="B31485" s="3" t="str">
        <f>HYPERLINK("https://www.773grp.com/manufacturer/onsemi?pageNo=983", "ON Semiconductor")</f>
        <v>ON Semiconductor</v>
      </c>
      <c r="C31485" s="6">
        <v>20000</v>
      </c>
      <c r="D31485" s="7">
        <v>0.79</v>
      </c>
    </row>
    <row r="31486" spans="1:5" x14ac:dyDescent="0.25">
      <c r="A31486" t="str">
        <f>HYPERLINK("https://www.773grp.com/globalSearch/MC74F374DW/page-1", "MC74F374DW")</f>
        <v>MC74F374DW</v>
      </c>
      <c r="B31486" s="3" t="str">
        <f>HYPERLINK("https://www.773grp.com/manufacturer/onsemi?pageNo=984", "ON Semiconductor")</f>
        <v>ON Semiconductor</v>
      </c>
      <c r="C31486" s="6">
        <v>480</v>
      </c>
      <c r="D31486" s="7">
        <v>0.79</v>
      </c>
      <c r="E31486" t="s">
        <v>14</v>
      </c>
    </row>
    <row r="31487" spans="1:5" x14ac:dyDescent="0.25">
      <c r="A31487" t="str">
        <f>HYPERLINK("https://www.773grp.com/globalSearch/MC74HC00AN/page-1", "MC74HC00AN")</f>
        <v>MC74HC00AN</v>
      </c>
      <c r="B31487" s="3" t="str">
        <f>HYPERLINK("https://www.773grp.com/manufacturer/onsemi?pageNo=985", "ON Semiconductor")</f>
        <v>ON Semiconductor</v>
      </c>
      <c r="C31487" s="6">
        <v>80216</v>
      </c>
      <c r="D31487" s="7">
        <v>0.79</v>
      </c>
      <c r="E31487" t="s">
        <v>31</v>
      </c>
    </row>
    <row r="31488" spans="1:5" x14ac:dyDescent="0.25">
      <c r="A31488" t="str">
        <f>HYPERLINK("https://www.773grp.com/globalSearch/MC74HC00ANG/page-1", "MC74HC00ANG")</f>
        <v>MC74HC00ANG</v>
      </c>
      <c r="B31488" s="3" t="str">
        <f>HYPERLINK("https://www.773grp.com/manufacturer/onsemi?pageNo=986", "ON Semiconductor")</f>
        <v>ON Semiconductor</v>
      </c>
      <c r="C31488" s="6">
        <v>25931</v>
      </c>
      <c r="D31488" s="7">
        <v>0.79</v>
      </c>
      <c r="E31488" t="s">
        <v>31</v>
      </c>
    </row>
    <row r="31489" spans="1:5" x14ac:dyDescent="0.25">
      <c r="A31489" t="str">
        <f>HYPERLINK("https://www.773grp.com/globalSearch/MC74HC02ANG/page-1", "MC74HC02ANG")</f>
        <v>MC74HC02ANG</v>
      </c>
      <c r="B31489" s="3" t="str">
        <f>HYPERLINK("https://www.773grp.com/manufacturer/onsemi?pageNo=987", "ON Semiconductor")</f>
        <v>ON Semiconductor</v>
      </c>
      <c r="C31489" s="6">
        <v>2595</v>
      </c>
      <c r="D31489" s="7">
        <v>0.79</v>
      </c>
      <c r="E31489" t="s">
        <v>31</v>
      </c>
    </row>
    <row r="31490" spans="1:5" x14ac:dyDescent="0.25">
      <c r="A31490" t="str">
        <f>HYPERLINK("https://www.773grp.com/globalSearch/MC74HC03ANG/page-1", "MC74HC03ANG")</f>
        <v>MC74HC03ANG</v>
      </c>
      <c r="B31490" s="3" t="str">
        <f>HYPERLINK("https://www.773grp.com/manufacturer/onsemi?pageNo=988", "ON Semiconductor")</f>
        <v>ON Semiconductor</v>
      </c>
      <c r="C31490" s="6">
        <v>32034</v>
      </c>
      <c r="D31490" s="7">
        <v>0.79</v>
      </c>
      <c r="E31490" t="s">
        <v>31</v>
      </c>
    </row>
    <row r="31491" spans="1:5" x14ac:dyDescent="0.25">
      <c r="A31491" t="str">
        <f>HYPERLINK("https://www.773grp.com/globalSearch/MC74HC04AFEL/page-1", "MC74HC04AFEL")</f>
        <v>MC74HC04AFEL</v>
      </c>
      <c r="B31491" s="3" t="str">
        <f>HYPERLINK("https://www.773grp.com/manufacturer/onsemi?pageNo=989", "ON Semiconductor")</f>
        <v>ON Semiconductor</v>
      </c>
      <c r="C31491" s="6">
        <v>23392</v>
      </c>
      <c r="D31491" s="7">
        <v>0.79</v>
      </c>
      <c r="E31491" t="s">
        <v>31</v>
      </c>
    </row>
    <row r="31492" spans="1:5" x14ac:dyDescent="0.25">
      <c r="A31492" t="str">
        <f>HYPERLINK("https://www.773grp.com/globalSearch/MC74HC04ANG/page-1", "MC74HC04ANG")</f>
        <v>MC74HC04ANG</v>
      </c>
      <c r="B31492" s="3" t="str">
        <f>HYPERLINK("https://www.773grp.com/manufacturer/onsemi?pageNo=990", "ON Semiconductor")</f>
        <v>ON Semiconductor</v>
      </c>
      <c r="C31492" s="6">
        <v>406</v>
      </c>
      <c r="D31492" s="7">
        <v>0.79</v>
      </c>
      <c r="E31492" t="s">
        <v>31</v>
      </c>
    </row>
    <row r="31493" spans="1:5" x14ac:dyDescent="0.25">
      <c r="A31493" t="str">
        <f>HYPERLINK("https://www.773grp.com/globalSearch/MC74HC08ANG/page-1", "MC74HC08ANG")</f>
        <v>MC74HC08ANG</v>
      </c>
      <c r="B31493" s="3" t="str">
        <f>HYPERLINK("https://www.773grp.com/manufacturer/onsemi?pageNo=991", "ON Semiconductor")</f>
        <v>ON Semiconductor</v>
      </c>
      <c r="C31493" s="6">
        <v>4346</v>
      </c>
      <c r="D31493" s="7">
        <v>0.79</v>
      </c>
      <c r="E31493" t="s">
        <v>31</v>
      </c>
    </row>
    <row r="31494" spans="1:5" x14ac:dyDescent="0.25">
      <c r="A31494" t="str">
        <f>HYPERLINK("https://www.773grp.com/globalSearch/MC74HC109D/page-1", "MC74HC109D")</f>
        <v>MC74HC109D</v>
      </c>
      <c r="B31494" s="3" t="str">
        <f>HYPERLINK("https://www.773grp.com/manufacturer/onsemi?pageNo=992", "ON Semiconductor")</f>
        <v>ON Semiconductor</v>
      </c>
      <c r="C31494" s="6">
        <v>72</v>
      </c>
      <c r="D31494" s="7">
        <v>0.79</v>
      </c>
      <c r="E31494" t="s">
        <v>35</v>
      </c>
    </row>
    <row r="31495" spans="1:5" x14ac:dyDescent="0.25">
      <c r="A31495" t="str">
        <f>HYPERLINK("https://www.773grp.com/globalSearch/MC74HC109N/page-1", "MC74HC109N")</f>
        <v>MC74HC109N</v>
      </c>
      <c r="B31495" s="3" t="str">
        <f>HYPERLINK("https://www.773grp.com/manufacturer/onsemi?pageNo=993", "ON Semiconductor")</f>
        <v>ON Semiconductor</v>
      </c>
      <c r="C31495" s="6">
        <v>123557</v>
      </c>
      <c r="D31495" s="7">
        <v>0.79</v>
      </c>
      <c r="E31495" t="s">
        <v>35</v>
      </c>
    </row>
    <row r="31496" spans="1:5" x14ac:dyDescent="0.25">
      <c r="A31496" t="str">
        <f>HYPERLINK("https://www.773grp.com/globalSearch/MC74HC112N/page-1", "MC74HC112N")</f>
        <v>MC74HC112N</v>
      </c>
      <c r="B31496" s="3" t="str">
        <f>HYPERLINK("https://www.773grp.com/manufacturer/onsemi?pageNo=994", "ON Semiconductor")</f>
        <v>ON Semiconductor</v>
      </c>
      <c r="C31496" s="6">
        <v>2044</v>
      </c>
      <c r="D31496" s="7">
        <v>0.79</v>
      </c>
      <c r="E31496" t="s">
        <v>35</v>
      </c>
    </row>
    <row r="31497" spans="1:5" x14ac:dyDescent="0.25">
      <c r="A31497" t="str">
        <f>HYPERLINK("https://www.773grp.com/globalSearch/MC74HC133D/page-1", "MC74HC133D")</f>
        <v>MC74HC133D</v>
      </c>
      <c r="B31497" s="3" t="str">
        <f>HYPERLINK("https://www.773grp.com/manufacturer/onsemi?pageNo=995", "ON Semiconductor")</f>
        <v>ON Semiconductor</v>
      </c>
      <c r="C31497" s="6">
        <v>2</v>
      </c>
      <c r="D31497" s="7">
        <v>0.79</v>
      </c>
      <c r="E31497" t="s">
        <v>31</v>
      </c>
    </row>
    <row r="31498" spans="1:5" x14ac:dyDescent="0.25">
      <c r="A31498" t="str">
        <f>HYPERLINK("https://www.773grp.com/globalSearch/MC74HC133F/page-1", "MC74HC133F")</f>
        <v>MC74HC133F</v>
      </c>
      <c r="B31498" s="3" t="str">
        <f>HYPERLINK("https://www.773grp.com/manufacturer/onsemi?pageNo=996", "ON Semiconductor")</f>
        <v>ON Semiconductor</v>
      </c>
      <c r="C31498" s="6">
        <v>880</v>
      </c>
      <c r="D31498" s="7">
        <v>0.79</v>
      </c>
    </row>
    <row r="31499" spans="1:5" x14ac:dyDescent="0.25">
      <c r="A31499" t="str">
        <f>HYPERLINK("https://www.773grp.com/globalSearch/MC74HC133FL1/page-1", "MC74HC133FL1")</f>
        <v>MC74HC133FL1</v>
      </c>
      <c r="B31499" s="3" t="str">
        <f>HYPERLINK("https://www.773grp.com/manufacturer/onsemi?pageNo=997", "ON Semiconductor")</f>
        <v>ON Semiconductor</v>
      </c>
      <c r="C31499" s="6">
        <v>2000</v>
      </c>
      <c r="D31499" s="7">
        <v>0.79</v>
      </c>
    </row>
    <row r="31500" spans="1:5" x14ac:dyDescent="0.25">
      <c r="A31500" t="str">
        <f>HYPERLINK("https://www.773grp.com/globalSearch/MC74HC151F/page-1", "MC74HC151F")</f>
        <v>MC74HC151F</v>
      </c>
      <c r="B31500" s="3" t="str">
        <f>HYPERLINK("https://www.773grp.com/manufacturer/onsemi?pageNo=998", "ON Semiconductor")</f>
        <v>ON Semiconductor</v>
      </c>
      <c r="C31500" s="6">
        <v>5551</v>
      </c>
      <c r="D31500" s="7">
        <v>0.79</v>
      </c>
    </row>
    <row r="31501" spans="1:5" x14ac:dyDescent="0.25">
      <c r="A31501" t="str">
        <f>HYPERLINK("https://www.773grp.com/globalSearch/MC74HC151FL1/page-1", "MC74HC151FL1")</f>
        <v>MC74HC151FL1</v>
      </c>
      <c r="B31501" s="3" t="str">
        <f>HYPERLINK("https://www.773grp.com/manufacturer/onsemi?pageNo=999", "ON Semiconductor")</f>
        <v>ON Semiconductor</v>
      </c>
      <c r="C31501" s="6">
        <v>2000</v>
      </c>
      <c r="D31501" s="7">
        <v>0.79</v>
      </c>
    </row>
    <row r="31502" spans="1:5" x14ac:dyDescent="0.25">
      <c r="A31502" t="str">
        <f>HYPERLINK("https://www.773grp.com/globalSearch/MC74HC165DR2/page-1", "MC74HC165DR2")</f>
        <v>MC74HC165DR2</v>
      </c>
      <c r="B31502" s="3" t="str">
        <f>HYPERLINK("https://www.773grp.com/manufacturer/onsemi?pageNo=1000", "ON Semiconductor")</f>
        <v>ON Semiconductor</v>
      </c>
      <c r="C31502" s="6">
        <v>2500</v>
      </c>
      <c r="D31502" s="7">
        <v>0.79</v>
      </c>
      <c r="E31502" t="s">
        <v>32</v>
      </c>
    </row>
    <row r="31503" spans="1:5" x14ac:dyDescent="0.25">
      <c r="A31503" t="str">
        <f>HYPERLINK("https://www.773grp.com/globalSearch/MC74HC165FL1/page-1", "MC74HC165FL1")</f>
        <v>MC74HC165FL1</v>
      </c>
      <c r="B31503" s="3" t="str">
        <f>HYPERLINK("https://www.773grp.com/manufacturer/onsemi?pageNo=1001", "ON Semiconductor")</f>
        <v>ON Semiconductor</v>
      </c>
      <c r="C31503" s="6">
        <v>3000</v>
      </c>
      <c r="D31503" s="7">
        <v>0.79</v>
      </c>
    </row>
    <row r="31504" spans="1:5" x14ac:dyDescent="0.25">
      <c r="A31504" t="str">
        <f>HYPERLINK("https://www.773grp.com/globalSearch/MC74HC165FR1/page-1", "MC74HC165FR1")</f>
        <v>MC74HC165FR1</v>
      </c>
      <c r="B31504" s="3" t="str">
        <f>HYPERLINK("https://www.773grp.com/manufacturer/onsemi?pageNo=1002", "ON Semiconductor")</f>
        <v>ON Semiconductor</v>
      </c>
      <c r="C31504" s="6">
        <v>1000</v>
      </c>
      <c r="D31504" s="7">
        <v>0.79</v>
      </c>
    </row>
    <row r="31505" spans="1:5" x14ac:dyDescent="0.25">
      <c r="A31505" t="str">
        <f>HYPERLINK("https://www.773grp.com/globalSearch/MC74HC175AFL1/page-1", "MC74HC175AFL1")</f>
        <v>MC74HC175AFL1</v>
      </c>
      <c r="B31505" s="3" t="str">
        <f>HYPERLINK("https://www.773grp.com/manufacturer/onsemi?pageNo=1003", "ON Semiconductor")</f>
        <v>ON Semiconductor</v>
      </c>
      <c r="C31505" s="6">
        <v>6000</v>
      </c>
      <c r="D31505" s="7">
        <v>0.79</v>
      </c>
    </row>
    <row r="31506" spans="1:5" x14ac:dyDescent="0.25">
      <c r="A31506" t="str">
        <f>HYPERLINK("https://www.773grp.com/globalSearch/MC74HC175AFR1/page-1", "MC74HC175AFR1")</f>
        <v>MC74HC175AFR1</v>
      </c>
      <c r="B31506" s="3" t="str">
        <f>HYPERLINK("https://www.773grp.com/manufacturer/onsemi?pageNo=1004", "ON Semiconductor")</f>
        <v>ON Semiconductor</v>
      </c>
      <c r="C31506" s="6">
        <v>5000</v>
      </c>
      <c r="D31506" s="7">
        <v>0.79</v>
      </c>
    </row>
    <row r="31507" spans="1:5" x14ac:dyDescent="0.25">
      <c r="A31507" t="str">
        <f>HYPERLINK("https://www.773grp.com/globalSearch/MC74HC175D/page-1", "MC74HC175D")</f>
        <v>MC74HC175D</v>
      </c>
      <c r="B31507" s="3" t="str">
        <f>HYPERLINK("https://www.773grp.com/manufacturer/onsemi?pageNo=1005", "ON Semiconductor")</f>
        <v>ON Semiconductor</v>
      </c>
      <c r="C31507" s="6">
        <v>7629</v>
      </c>
      <c r="D31507" s="7">
        <v>0.79</v>
      </c>
      <c r="E31507" t="s">
        <v>35</v>
      </c>
    </row>
    <row r="31508" spans="1:5" x14ac:dyDescent="0.25">
      <c r="A31508" t="str">
        <f>HYPERLINK("https://www.773grp.com/globalSearch/MC74HC175DR2/page-1", "MC74HC175DR2")</f>
        <v>MC74HC175DR2</v>
      </c>
      <c r="B31508" s="3" t="str">
        <f>HYPERLINK("https://www.773grp.com/manufacturer/onsemi?pageNo=1006", "ON Semiconductor")</f>
        <v>ON Semiconductor</v>
      </c>
      <c r="C31508" s="6">
        <v>5000</v>
      </c>
      <c r="D31508" s="7">
        <v>0.79</v>
      </c>
      <c r="E31508" t="s">
        <v>35</v>
      </c>
    </row>
    <row r="31509" spans="1:5" x14ac:dyDescent="0.25">
      <c r="A31509" t="str">
        <f>HYPERLINK("https://www.773grp.com/globalSearch/MC74HC175DTR2/page-1", "MC74HC175DTR2")</f>
        <v>MC74HC175DTR2</v>
      </c>
      <c r="B31509" s="3" t="str">
        <f>HYPERLINK("https://www.773grp.com/manufacturer/onsemi?pageNo=1007", "ON Semiconductor")</f>
        <v>ON Semiconductor</v>
      </c>
      <c r="C31509" s="6">
        <v>2500</v>
      </c>
      <c r="D31509" s="7">
        <v>0.79</v>
      </c>
    </row>
    <row r="31510" spans="1:5" x14ac:dyDescent="0.25">
      <c r="A31510" t="str">
        <f>HYPERLINK("https://www.773grp.com/globalSearch/MC74HC175FL2/page-1", "MC74HC175FL2")</f>
        <v>MC74HC175FL2</v>
      </c>
      <c r="B31510" s="3" t="str">
        <f>HYPERLINK("https://www.773grp.com/manufacturer/onsemi?pageNo=1008", "ON Semiconductor")</f>
        <v>ON Semiconductor</v>
      </c>
      <c r="C31510" s="6">
        <v>6000</v>
      </c>
      <c r="D31510" s="7">
        <v>0.79</v>
      </c>
    </row>
    <row r="31511" spans="1:5" x14ac:dyDescent="0.25">
      <c r="A31511" t="str">
        <f>HYPERLINK("https://www.773grp.com/globalSearch/MC74HC175N/page-1", "MC74HC175N")</f>
        <v>MC74HC175N</v>
      </c>
      <c r="B31511" s="3" t="str">
        <f>HYPERLINK("https://www.773grp.com/manufacturer/onsemi?pageNo=1009", "ON Semiconductor")</f>
        <v>ON Semiconductor</v>
      </c>
      <c r="C31511" s="6">
        <v>791</v>
      </c>
      <c r="D31511" s="7">
        <v>0.79</v>
      </c>
      <c r="E31511" t="s">
        <v>35</v>
      </c>
    </row>
    <row r="31512" spans="1:5" x14ac:dyDescent="0.25">
      <c r="A31512" t="str">
        <f>HYPERLINK("https://www.773grp.com/globalSearch/MC74HC237F/page-1", "MC74HC237F")</f>
        <v>MC74HC237F</v>
      </c>
      <c r="B31512" s="3" t="str">
        <f>HYPERLINK("https://www.773grp.com/manufacturer/onsemi?pageNo=1010", "ON Semiconductor")</f>
        <v>ON Semiconductor</v>
      </c>
      <c r="C31512" s="6">
        <v>50</v>
      </c>
      <c r="D31512" s="7">
        <v>0.79</v>
      </c>
    </row>
    <row r="31513" spans="1:5" x14ac:dyDescent="0.25">
      <c r="A31513" t="str">
        <f>HYPERLINK("https://www.773grp.com/globalSearch/MC74HC237FEL/page-1", "MC74HC237FEL")</f>
        <v>MC74HC237FEL</v>
      </c>
      <c r="B31513" s="3" t="str">
        <f>HYPERLINK("https://www.773grp.com/manufacturer/onsemi?pageNo=1011", "ON Semiconductor")</f>
        <v>ON Semiconductor</v>
      </c>
      <c r="C31513" s="6">
        <v>46000</v>
      </c>
      <c r="D31513" s="7">
        <v>0.79</v>
      </c>
    </row>
    <row r="31514" spans="1:5" x14ac:dyDescent="0.25">
      <c r="A31514" t="str">
        <f>HYPERLINK("https://www.773grp.com/globalSearch/MC74HC237FR2/page-1", "MC74HC237FR2")</f>
        <v>MC74HC237FR2</v>
      </c>
      <c r="B31514" s="3" t="str">
        <f>HYPERLINK("https://www.773grp.com/manufacturer/onsemi?pageNo=1012", "ON Semiconductor")</f>
        <v>ON Semiconductor</v>
      </c>
      <c r="C31514" s="6">
        <v>2000</v>
      </c>
      <c r="D31514" s="7">
        <v>0.79</v>
      </c>
    </row>
    <row r="31515" spans="1:5" x14ac:dyDescent="0.25">
      <c r="A31515" t="str">
        <f>HYPERLINK("https://www.773grp.com/globalSearch/MC74HC237N/page-1", "MC74HC237N")</f>
        <v>MC74HC237N</v>
      </c>
      <c r="B31515" s="3" t="str">
        <f>HYPERLINK("https://www.773grp.com/manufacturer/onsemi?pageNo=1013", "ON Semiconductor")</f>
        <v>ON Semiconductor</v>
      </c>
      <c r="C31515" s="6">
        <v>512</v>
      </c>
      <c r="D31515" s="7">
        <v>0.79</v>
      </c>
      <c r="E31515" t="s">
        <v>36</v>
      </c>
    </row>
    <row r="31516" spans="1:5" x14ac:dyDescent="0.25">
      <c r="A31516" t="str">
        <f>HYPERLINK("https://www.773grp.com/globalSearch/MC74HC240AF/page-1", "MC74HC240AF")</f>
        <v>MC74HC240AF</v>
      </c>
      <c r="B31516" s="3" t="str">
        <f>HYPERLINK("https://www.773grp.com/manufacturer/onsemi?pageNo=1014", "ON Semiconductor")</f>
        <v>ON Semiconductor</v>
      </c>
      <c r="C31516" s="6">
        <v>10257</v>
      </c>
      <c r="D31516" s="7">
        <v>0.79</v>
      </c>
      <c r="E31516" t="s">
        <v>14</v>
      </c>
    </row>
    <row r="31517" spans="1:5" x14ac:dyDescent="0.25">
      <c r="A31517" t="str">
        <f>HYPERLINK("https://www.773grp.com/globalSearch/MC74HC240AFL1/page-1", "MC74HC240AFL1")</f>
        <v>MC74HC240AFL1</v>
      </c>
      <c r="B31517" s="3" t="str">
        <f>HYPERLINK("https://www.773grp.com/manufacturer/onsemi?pageNo=1015", "ON Semiconductor")</f>
        <v>ON Semiconductor</v>
      </c>
      <c r="C31517" s="6">
        <v>4000</v>
      </c>
      <c r="D31517" s="7">
        <v>0.79</v>
      </c>
    </row>
    <row r="31518" spans="1:5" x14ac:dyDescent="0.25">
      <c r="A31518" t="str">
        <f>HYPERLINK("https://www.773grp.com/globalSearch/MC74HC240AFL2/page-1", "MC74HC240AFL2")</f>
        <v>MC74HC240AFL2</v>
      </c>
      <c r="B31518" s="3" t="str">
        <f>HYPERLINK("https://www.773grp.com/manufacturer/onsemi?pageNo=1016", "ON Semiconductor")</f>
        <v>ON Semiconductor</v>
      </c>
      <c r="C31518" s="6">
        <v>8000</v>
      </c>
      <c r="D31518" s="7">
        <v>0.79</v>
      </c>
    </row>
    <row r="31519" spans="1:5" x14ac:dyDescent="0.25">
      <c r="A31519" t="str">
        <f>HYPERLINK("https://www.773grp.com/globalSearch/MC74HC241AF/page-1", "MC74HC241AF")</f>
        <v>MC74HC241AF</v>
      </c>
      <c r="B31519" s="3" t="str">
        <f>HYPERLINK("https://www.773grp.com/manufacturer/onsemi?pageNo=1017", "ON Semiconductor")</f>
        <v>ON Semiconductor</v>
      </c>
      <c r="C31519" s="6">
        <v>2747</v>
      </c>
      <c r="D31519" s="7">
        <v>0.79</v>
      </c>
    </row>
    <row r="31520" spans="1:5" x14ac:dyDescent="0.25">
      <c r="A31520" t="str">
        <f>HYPERLINK("https://www.773grp.com/globalSearch/MC74HC241AFEL/page-1", "MC74HC241AFEL")</f>
        <v>MC74HC241AFEL</v>
      </c>
      <c r="B31520" s="3" t="str">
        <f>HYPERLINK("https://www.773grp.com/manufacturer/onsemi?pageNo=1018", "ON Semiconductor")</f>
        <v>ON Semiconductor</v>
      </c>
      <c r="C31520" s="6">
        <v>2000</v>
      </c>
      <c r="D31520" s="7">
        <v>0.79</v>
      </c>
    </row>
    <row r="31521" spans="1:5" x14ac:dyDescent="0.25">
      <c r="A31521" t="str">
        <f>HYPERLINK("https://www.773grp.com/globalSearch/MC74HC241AFR1/page-1", "MC74HC241AFR1")</f>
        <v>MC74HC241AFR1</v>
      </c>
      <c r="B31521" s="3" t="str">
        <f>HYPERLINK("https://www.773grp.com/manufacturer/onsemi?pageNo=1019", "ON Semiconductor")</f>
        <v>ON Semiconductor</v>
      </c>
      <c r="C31521" s="6">
        <v>1000</v>
      </c>
      <c r="D31521" s="7">
        <v>0.79</v>
      </c>
    </row>
    <row r="31522" spans="1:5" x14ac:dyDescent="0.25">
      <c r="A31522" t="str">
        <f>HYPERLINK("https://www.773grp.com/globalSearch/MC74HC241AH/page-1", "MC74HC241AH")</f>
        <v>MC74HC241AH</v>
      </c>
      <c r="B31522" s="3" t="str">
        <f>HYPERLINK("https://www.773grp.com/manufacturer/onsemi?pageNo=1020", "ON Semiconductor")</f>
        <v>ON Semiconductor</v>
      </c>
      <c r="C31522" s="6">
        <v>261</v>
      </c>
      <c r="D31522" s="7">
        <v>0.79</v>
      </c>
    </row>
    <row r="31523" spans="1:5" x14ac:dyDescent="0.25">
      <c r="A31523" t="str">
        <f>HYPERLINK("https://www.773grp.com/globalSearch/MC74HC241AN/page-1", "MC74HC241AN")</f>
        <v>MC74HC241AN</v>
      </c>
      <c r="B31523" s="3" t="str">
        <f>HYPERLINK("https://www.773grp.com/manufacturer/onsemi?pageNo=1021", "ON Semiconductor")</f>
        <v>ON Semiconductor</v>
      </c>
      <c r="C31523" s="6">
        <v>35194</v>
      </c>
      <c r="D31523" s="7">
        <v>0.79</v>
      </c>
      <c r="E31523" t="s">
        <v>14</v>
      </c>
    </row>
    <row r="31524" spans="1:5" x14ac:dyDescent="0.25">
      <c r="A31524" t="str">
        <f>HYPERLINK("https://www.773grp.com/globalSearch/MC74HC244ADTEL/page-1", "MC74HC244ADTEL")</f>
        <v>MC74HC244ADTEL</v>
      </c>
      <c r="B31524" s="3" t="str">
        <f>HYPERLINK("https://www.773grp.com/manufacturer/onsemi?pageNo=1022", "ON Semiconductor")</f>
        <v>ON Semiconductor</v>
      </c>
      <c r="C31524" s="6">
        <v>105750</v>
      </c>
      <c r="D31524" s="7">
        <v>0.79</v>
      </c>
    </row>
    <row r="31525" spans="1:5" x14ac:dyDescent="0.25">
      <c r="A31525" t="str">
        <f>HYPERLINK("https://www.773grp.com/globalSearch/MC74HC244ADTEL/page-1", "MC74HC244ADTEL")</f>
        <v>MC74HC244ADTEL</v>
      </c>
      <c r="B31525" s="3" t="str">
        <f>HYPERLINK("https://www.773grp.com/manufacturer/onsemi?pageNo=1023", "ON Semiconductor")</f>
        <v>ON Semiconductor</v>
      </c>
      <c r="C31525" s="6">
        <v>45686</v>
      </c>
      <c r="D31525" s="7">
        <v>0.79</v>
      </c>
    </row>
    <row r="31526" spans="1:5" x14ac:dyDescent="0.25">
      <c r="A31526" t="str">
        <f>HYPERLINK("https://www.773grp.com/globalSearch/MC74HC244AFL1/page-1", "MC74HC244AFL1")</f>
        <v>MC74HC244AFL1</v>
      </c>
      <c r="B31526" s="3" t="str">
        <f>HYPERLINK("https://www.773grp.com/manufacturer/onsemi?pageNo=1024", "ON Semiconductor")</f>
        <v>ON Semiconductor</v>
      </c>
      <c r="C31526" s="6">
        <v>15955</v>
      </c>
      <c r="D31526" s="7">
        <v>0.79</v>
      </c>
    </row>
    <row r="31527" spans="1:5" x14ac:dyDescent="0.25">
      <c r="A31527" t="str">
        <f>HYPERLINK("https://www.773grp.com/globalSearch/MC74HC244AFL2/page-1", "MC74HC244AFL2")</f>
        <v>MC74HC244AFL2</v>
      </c>
      <c r="B31527" s="3" t="str">
        <f>HYPERLINK("https://www.773grp.com/manufacturer/onsemi?pageNo=1025", "ON Semiconductor")</f>
        <v>ON Semiconductor</v>
      </c>
      <c r="C31527" s="6">
        <v>6000</v>
      </c>
      <c r="D31527" s="7">
        <v>0.79</v>
      </c>
    </row>
    <row r="31528" spans="1:5" x14ac:dyDescent="0.25">
      <c r="A31528" t="str">
        <f>HYPERLINK("https://www.773grp.com/globalSearch/MC74HC244AFR1/page-1", "MC74HC244AFR1")</f>
        <v>MC74HC244AFR1</v>
      </c>
      <c r="B31528" s="3" t="str">
        <f>HYPERLINK("https://www.773grp.com/manufacturer/onsemi?pageNo=1026", "ON Semiconductor")</f>
        <v>ON Semiconductor</v>
      </c>
      <c r="C31528" s="6">
        <v>26000</v>
      </c>
      <c r="D31528" s="7">
        <v>0.79</v>
      </c>
    </row>
    <row r="31529" spans="1:5" x14ac:dyDescent="0.25">
      <c r="A31529" t="str">
        <f>HYPERLINK("https://www.773grp.com/globalSearch/MC74HC244AFR2/page-1", "MC74HC244AFR2")</f>
        <v>MC74HC244AFR2</v>
      </c>
      <c r="B31529" s="3" t="str">
        <f>HYPERLINK("https://www.773grp.com/manufacturer/onsemi?pageNo=1027", "ON Semiconductor")</f>
        <v>ON Semiconductor</v>
      </c>
      <c r="C31529" s="6">
        <v>4000</v>
      </c>
      <c r="D31529" s="7">
        <v>0.79</v>
      </c>
    </row>
    <row r="31530" spans="1:5" x14ac:dyDescent="0.25">
      <c r="A31530" t="str">
        <f>HYPERLINK("https://www.773grp.com/globalSearch/MC74HC244AH/page-1", "MC74HC244AH")</f>
        <v>MC74HC244AH</v>
      </c>
      <c r="B31530" s="3" t="str">
        <f>HYPERLINK("https://www.773grp.com/manufacturer/onsemi?pageNo=1028", "ON Semiconductor")</f>
        <v>ON Semiconductor</v>
      </c>
      <c r="C31530" s="6">
        <v>720</v>
      </c>
      <c r="D31530" s="7">
        <v>0.79</v>
      </c>
    </row>
    <row r="31531" spans="1:5" x14ac:dyDescent="0.25">
      <c r="A31531" t="str">
        <f>HYPERLINK("https://www.773grp.com/globalSearch/MC74HC245ADTEL/page-1", "MC74HC245ADTEL")</f>
        <v>MC74HC245ADTEL</v>
      </c>
      <c r="B31531" s="3" t="str">
        <f>HYPERLINK("https://www.773grp.com/manufacturer/onsemi?pageNo=1029", "ON Semiconductor")</f>
        <v>ON Semiconductor</v>
      </c>
      <c r="C31531" s="6">
        <v>7000</v>
      </c>
      <c r="D31531" s="7">
        <v>0.79</v>
      </c>
    </row>
    <row r="31532" spans="1:5" x14ac:dyDescent="0.25">
      <c r="A31532" t="str">
        <f>HYPERLINK("https://www.773grp.com/globalSearch/MC74HC245AFL1/page-1", "MC74HC245AFL1")</f>
        <v>MC74HC245AFL1</v>
      </c>
      <c r="B31532" s="3" t="str">
        <f>HYPERLINK("https://www.773grp.com/manufacturer/onsemi?pageNo=1030", "ON Semiconductor")</f>
        <v>ON Semiconductor</v>
      </c>
      <c r="C31532" s="6">
        <v>3000</v>
      </c>
      <c r="D31532" s="7">
        <v>0.79</v>
      </c>
    </row>
    <row r="31533" spans="1:5" x14ac:dyDescent="0.25">
      <c r="A31533" t="str">
        <f>HYPERLINK("https://www.773grp.com/globalSearch/MC74HC251D/page-1", "MC74HC251D")</f>
        <v>MC74HC251D</v>
      </c>
      <c r="B31533" s="3" t="str">
        <f>HYPERLINK("https://www.773grp.com/manufacturer/onsemi?pageNo=1031", "ON Semiconductor")</f>
        <v>ON Semiconductor</v>
      </c>
      <c r="C31533" s="6">
        <v>2422</v>
      </c>
      <c r="D31533" s="7">
        <v>0.79</v>
      </c>
      <c r="E31533" t="s">
        <v>20</v>
      </c>
    </row>
    <row r="31534" spans="1:5" x14ac:dyDescent="0.25">
      <c r="A31534" t="str">
        <f>HYPERLINK("https://www.773grp.com/globalSearch/MC74HC32ANG/page-1", "MC74HC32ANG")</f>
        <v>MC74HC32ANG</v>
      </c>
      <c r="B31534" s="3" t="str">
        <f>HYPERLINK("https://www.773grp.com/manufacturer/onsemi?pageNo=1032", "ON Semiconductor")</f>
        <v>ON Semiconductor</v>
      </c>
      <c r="C31534" s="6">
        <v>24048</v>
      </c>
      <c r="D31534" s="7">
        <v>0.79</v>
      </c>
      <c r="E31534" t="s">
        <v>31</v>
      </c>
    </row>
    <row r="31535" spans="1:5" x14ac:dyDescent="0.25">
      <c r="A31535" t="str">
        <f>HYPERLINK("https://www.773grp.com/globalSearch/MC74HC373AFL1/page-1", "MC74HC373AFL1")</f>
        <v>MC74HC373AFL1</v>
      </c>
      <c r="B31535" s="3" t="str">
        <f>HYPERLINK("https://www.773grp.com/manufacturer/onsemi?pageNo=1033", "ON Semiconductor")</f>
        <v>ON Semiconductor</v>
      </c>
      <c r="C31535" s="6">
        <v>17000</v>
      </c>
      <c r="D31535" s="7">
        <v>0.79</v>
      </c>
    </row>
    <row r="31536" spans="1:5" x14ac:dyDescent="0.25">
      <c r="A31536" t="str">
        <f>HYPERLINK("https://www.773grp.com/globalSearch/MC74HC373AFR1/page-1", "MC74HC373AFR1")</f>
        <v>MC74HC373AFR1</v>
      </c>
      <c r="B31536" s="3" t="str">
        <f>HYPERLINK("https://www.773grp.com/manufacturer/onsemi?pageNo=1034", "ON Semiconductor")</f>
        <v>ON Semiconductor</v>
      </c>
      <c r="C31536" s="6">
        <v>11000</v>
      </c>
      <c r="D31536" s="7">
        <v>0.79</v>
      </c>
      <c r="E31536" t="s">
        <v>14</v>
      </c>
    </row>
    <row r="31537" spans="1:5" x14ac:dyDescent="0.25">
      <c r="A31537" t="str">
        <f>HYPERLINK("https://www.773grp.com/globalSearch/MC74HC374AFL1/page-1", "MC74HC374AFL1")</f>
        <v>MC74HC374AFL1</v>
      </c>
      <c r="B31537" s="3" t="str">
        <f>HYPERLINK("https://www.773grp.com/manufacturer/onsemi?pageNo=1035", "ON Semiconductor")</f>
        <v>ON Semiconductor</v>
      </c>
      <c r="C31537" s="6">
        <v>5000</v>
      </c>
      <c r="D31537" s="7">
        <v>0.79</v>
      </c>
    </row>
    <row r="31538" spans="1:5" x14ac:dyDescent="0.25">
      <c r="A31538" t="str">
        <f>HYPERLINK("https://www.773grp.com/globalSearch/MC74HC374AFL2/page-1", "MC74HC374AFL2")</f>
        <v>MC74HC374AFL2</v>
      </c>
      <c r="B31538" s="3" t="str">
        <f>HYPERLINK("https://www.773grp.com/manufacturer/onsemi?pageNo=1036", "ON Semiconductor")</f>
        <v>ON Semiconductor</v>
      </c>
      <c r="C31538" s="6">
        <v>8000</v>
      </c>
      <c r="D31538" s="7">
        <v>0.79</v>
      </c>
    </row>
    <row r="31539" spans="1:5" x14ac:dyDescent="0.25">
      <c r="A31539" t="str">
        <f>HYPERLINK("https://www.773grp.com/globalSearch/MC74HC374AFR1/page-1", "MC74HC374AFR1")</f>
        <v>MC74HC374AFR1</v>
      </c>
      <c r="B31539" s="3" t="str">
        <f>HYPERLINK("https://www.773grp.com/manufacturer/onsemi?pageNo=1037", "ON Semiconductor")</f>
        <v>ON Semiconductor</v>
      </c>
      <c r="C31539" s="6">
        <v>5000</v>
      </c>
      <c r="D31539" s="7">
        <v>0.79</v>
      </c>
    </row>
    <row r="31540" spans="1:5" x14ac:dyDescent="0.25">
      <c r="A31540" t="str">
        <f>HYPERLINK("https://www.773grp.com/globalSearch/MC74HC374AFR2/page-1", "MC74HC374AFR2")</f>
        <v>MC74HC374AFR2</v>
      </c>
      <c r="B31540" s="3" t="str">
        <f>HYPERLINK("https://www.773grp.com/manufacturer/onsemi?pageNo=1038", "ON Semiconductor")</f>
        <v>ON Semiconductor</v>
      </c>
      <c r="C31540" s="6">
        <v>2000</v>
      </c>
      <c r="D31540" s="7">
        <v>0.79</v>
      </c>
    </row>
    <row r="31541" spans="1:5" x14ac:dyDescent="0.25">
      <c r="A31541" t="str">
        <f>HYPERLINK("https://www.773grp.com/globalSearch/MC74HC4040ADG/page-1", "MC74HC4040ADG")</f>
        <v>MC74HC4040ADG</v>
      </c>
      <c r="B31541" s="3" t="str">
        <f>HYPERLINK("https://www.773grp.com/manufacturer/onsemi?pageNo=1039", "ON Semiconductor")</f>
        <v>ON Semiconductor</v>
      </c>
      <c r="C31541" s="6">
        <v>17716</v>
      </c>
      <c r="D31541" s="7">
        <v>0.79</v>
      </c>
      <c r="E31541" t="s">
        <v>26</v>
      </c>
    </row>
    <row r="31542" spans="1:5" x14ac:dyDescent="0.25">
      <c r="A31542" t="str">
        <f>HYPERLINK("https://www.773grp.com/globalSearch/MC74HC4040ADR2/page-1", "MC74HC4040ADR2")</f>
        <v>MC74HC4040ADR2</v>
      </c>
      <c r="B31542" s="3" t="str">
        <f>HYPERLINK("https://www.773grp.com/manufacturer/onsemi?pageNo=1040", "ON Semiconductor")</f>
        <v>ON Semiconductor</v>
      </c>
      <c r="C31542" s="6">
        <v>12500</v>
      </c>
      <c r="D31542" s="7">
        <v>0.79</v>
      </c>
      <c r="E31542" t="s">
        <v>26</v>
      </c>
    </row>
    <row r="31543" spans="1:5" x14ac:dyDescent="0.25">
      <c r="A31543" t="str">
        <f>HYPERLINK("https://www.773grp.com/globalSearch/MC74HC4040ADR2G/page-1", "MC74HC4040ADR2G")</f>
        <v>MC74HC4040ADR2G</v>
      </c>
      <c r="B31543" s="3" t="str">
        <f>HYPERLINK("https://www.773grp.com/manufacturer/onsemi?pageNo=1041", "ON Semiconductor")</f>
        <v>ON Semiconductor</v>
      </c>
      <c r="C31543" s="6">
        <v>37315</v>
      </c>
      <c r="D31543" s="7">
        <v>0.79</v>
      </c>
      <c r="E31543" t="s">
        <v>26</v>
      </c>
    </row>
    <row r="31544" spans="1:5" x14ac:dyDescent="0.25">
      <c r="A31544" t="str">
        <f>HYPERLINK("https://www.773grp.com/globalSearch/MC74HC4040ADTR2G/page-1", "MC74HC4040ADTR2G")</f>
        <v>MC74HC4040ADTR2G</v>
      </c>
      <c r="B31544" s="3" t="str">
        <f>HYPERLINK("https://www.773grp.com/manufacturer/onsemi?pageNo=1042", "ON Semiconductor")</f>
        <v>ON Semiconductor</v>
      </c>
      <c r="C31544" s="6">
        <v>7500</v>
      </c>
      <c r="D31544" s="7">
        <v>0.79</v>
      </c>
      <c r="E31544" t="s">
        <v>26</v>
      </c>
    </row>
    <row r="31545" spans="1:5" x14ac:dyDescent="0.25">
      <c r="A31545" t="str">
        <f>HYPERLINK("https://www.773grp.com/globalSearch/MC74HC4060ADG/page-1", "MC74HC4060ADG")</f>
        <v>MC74HC4060ADG</v>
      </c>
      <c r="B31545" s="3" t="str">
        <f>HYPERLINK("https://www.773grp.com/manufacturer/onsemi?pageNo=1043", "ON Semiconductor")</f>
        <v>ON Semiconductor</v>
      </c>
      <c r="C31545" s="6">
        <v>9752</v>
      </c>
      <c r="D31545" s="7">
        <v>0.79</v>
      </c>
      <c r="E31545" t="s">
        <v>26</v>
      </c>
    </row>
    <row r="31546" spans="1:5" x14ac:dyDescent="0.25">
      <c r="A31546" t="str">
        <f>HYPERLINK("https://www.773grp.com/globalSearch/MC74HC4060ADR2G/page-1", "MC74HC4060ADR2G")</f>
        <v>MC74HC4060ADR2G</v>
      </c>
      <c r="B31546" s="3" t="str">
        <f>HYPERLINK("https://www.773grp.com/manufacturer/onsemi?pageNo=1044", "ON Semiconductor")</f>
        <v>ON Semiconductor</v>
      </c>
      <c r="C31546" s="6">
        <v>24385</v>
      </c>
      <c r="D31546" s="7">
        <v>0.79</v>
      </c>
      <c r="E31546" t="s">
        <v>26</v>
      </c>
    </row>
    <row r="31547" spans="1:5" x14ac:dyDescent="0.25">
      <c r="A31547" t="str">
        <f>HYPERLINK("https://www.773grp.com/globalSearch/MC74HC4060ADTG/page-1", "MC74HC4060ADTG")</f>
        <v>MC74HC4060ADTG</v>
      </c>
      <c r="B31547" s="3" t="str">
        <f>HYPERLINK("https://www.773grp.com/manufacturer/onsemi?pageNo=1045", "ON Semiconductor")</f>
        <v>ON Semiconductor</v>
      </c>
      <c r="C31547" s="6">
        <v>1790</v>
      </c>
      <c r="D31547" s="7">
        <v>0.79</v>
      </c>
      <c r="E31547" t="s">
        <v>26</v>
      </c>
    </row>
    <row r="31548" spans="1:5" x14ac:dyDescent="0.25">
      <c r="A31548" t="str">
        <f>HYPERLINK("https://www.773grp.com/globalSearch/MC74HC4060ADTR2G/page-1", "MC74HC4060ADTR2G")</f>
        <v>MC74HC4060ADTR2G</v>
      </c>
      <c r="B31548" s="3" t="str">
        <f>HYPERLINK("https://www.773grp.com/manufacturer/onsemi?pageNo=1046", "ON Semiconductor")</f>
        <v>ON Semiconductor</v>
      </c>
      <c r="C31548" s="6">
        <v>2500</v>
      </c>
      <c r="D31548" s="7">
        <v>0.79</v>
      </c>
    </row>
    <row r="31549" spans="1:5" x14ac:dyDescent="0.25">
      <c r="A31549" t="str">
        <f>HYPERLINK("https://www.773grp.com/globalSearch/MC74HC4060AF/page-1", "MC74HC4060AF")</f>
        <v>MC74HC4060AF</v>
      </c>
      <c r="B31549" s="3" t="str">
        <f>HYPERLINK("https://www.773grp.com/manufacturer/onsemi?pageNo=1047", "ON Semiconductor")</f>
        <v>ON Semiconductor</v>
      </c>
      <c r="C31549" s="6">
        <v>960</v>
      </c>
      <c r="D31549" s="7">
        <v>0.79</v>
      </c>
    </row>
    <row r="31550" spans="1:5" x14ac:dyDescent="0.25">
      <c r="A31550" t="str">
        <f>HYPERLINK("https://www.773grp.com/globalSearch/MC74HC4066DT/page-1", "MC74HC4066DT")</f>
        <v>MC74HC4066DT</v>
      </c>
      <c r="B31550" s="3" t="str">
        <f>HYPERLINK("https://www.773grp.com/manufacturer/onsemi?pageNo=1048", "ON Semiconductor")</f>
        <v>ON Semiconductor</v>
      </c>
      <c r="C31550" s="6">
        <v>1056</v>
      </c>
      <c r="D31550" s="7">
        <v>0.79</v>
      </c>
      <c r="E31550" t="s">
        <v>56</v>
      </c>
    </row>
    <row r="31551" spans="1:5" x14ac:dyDescent="0.25">
      <c r="A31551" t="str">
        <f>HYPERLINK("https://www.773grp.com/globalSearch/MC74HC4066DT/page-1", "MC74HC4066DT")</f>
        <v>MC74HC4066DT</v>
      </c>
      <c r="B31551" s="3" t="str">
        <f>HYPERLINK("https://www.773grp.com/manufacturer/onsemi?pageNo=1049", "ON Semiconductor")</f>
        <v>ON Semiconductor</v>
      </c>
      <c r="C31551" s="6">
        <v>76</v>
      </c>
      <c r="D31551" s="7">
        <v>0.79</v>
      </c>
      <c r="E31551" t="s">
        <v>56</v>
      </c>
    </row>
    <row r="31552" spans="1:5" x14ac:dyDescent="0.25">
      <c r="A31552" t="str">
        <f>HYPERLINK("https://www.773grp.com/globalSearch/MC74HC4066DTEL/page-1", "MC74HC4066DTEL")</f>
        <v>MC74HC4066DTEL</v>
      </c>
      <c r="B31552" s="3" t="str">
        <f>HYPERLINK("https://www.773grp.com/manufacturer/onsemi?pageNo=1050", "ON Semiconductor")</f>
        <v>ON Semiconductor</v>
      </c>
      <c r="C31552" s="6">
        <v>684000</v>
      </c>
      <c r="D31552" s="7">
        <v>0.79</v>
      </c>
    </row>
    <row r="31553" spans="1:5" x14ac:dyDescent="0.25">
      <c r="A31553" t="str">
        <f>HYPERLINK("https://www.773grp.com/globalSearch/MC74HC573AF/page-1", "MC74HC573AF")</f>
        <v>MC74HC573AF</v>
      </c>
      <c r="B31553" s="3" t="str">
        <f>HYPERLINK("https://www.773grp.com/manufacturer/onsemi?pageNo=1051", "ON Semiconductor")</f>
        <v>ON Semiconductor</v>
      </c>
      <c r="C31553" s="6">
        <v>1766</v>
      </c>
      <c r="D31553" s="7">
        <v>0.79</v>
      </c>
    </row>
    <row r="31554" spans="1:5" x14ac:dyDescent="0.25">
      <c r="A31554" t="str">
        <f>HYPERLINK("https://www.773grp.com/globalSearch/MC74HC573AFL1/page-1", "MC74HC573AFL1")</f>
        <v>MC74HC573AFL1</v>
      </c>
      <c r="B31554" s="3" t="str">
        <f>HYPERLINK("https://www.773grp.com/manufacturer/onsemi?pageNo=1052", "ON Semiconductor")</f>
        <v>ON Semiconductor</v>
      </c>
      <c r="C31554" s="6">
        <v>3000</v>
      </c>
      <c r="D31554" s="7">
        <v>0.79</v>
      </c>
    </row>
    <row r="31555" spans="1:5" x14ac:dyDescent="0.25">
      <c r="A31555" t="str">
        <f>HYPERLINK("https://www.773grp.com/globalSearch/MC74HC574AFR1/page-1", "MC74HC574AFR1")</f>
        <v>MC74HC574AFR1</v>
      </c>
      <c r="B31555" s="3" t="str">
        <f>HYPERLINK("https://www.773grp.com/manufacturer/onsemi?pageNo=1053", "ON Semiconductor")</f>
        <v>ON Semiconductor</v>
      </c>
      <c r="C31555" s="6">
        <v>1000</v>
      </c>
      <c r="D31555" s="7">
        <v>0.79</v>
      </c>
    </row>
    <row r="31556" spans="1:5" x14ac:dyDescent="0.25">
      <c r="A31556" t="str">
        <f>HYPERLINK("https://www.773grp.com/globalSearch/MC74HC589ADG/page-1", "MC74HC589ADG")</f>
        <v>MC74HC589ADG</v>
      </c>
      <c r="B31556" s="3" t="str">
        <f>HYPERLINK("https://www.773grp.com/manufacturer/onsemi?pageNo=1054", "ON Semiconductor")</f>
        <v>ON Semiconductor</v>
      </c>
      <c r="C31556" s="6">
        <v>19430</v>
      </c>
      <c r="D31556" s="7">
        <v>0.79</v>
      </c>
    </row>
    <row r="31557" spans="1:5" x14ac:dyDescent="0.25">
      <c r="A31557" t="str">
        <f>HYPERLINK("https://www.773grp.com/globalSearch/MC74HC589ADR2G/page-1", "MC74HC589ADR2G")</f>
        <v>MC74HC589ADR2G</v>
      </c>
      <c r="B31557" s="3" t="str">
        <f>HYPERLINK("https://www.773grp.com/manufacturer/onsemi?pageNo=1055", "ON Semiconductor")</f>
        <v>ON Semiconductor</v>
      </c>
      <c r="C31557" s="6">
        <v>58018</v>
      </c>
      <c r="D31557" s="7">
        <v>0.79</v>
      </c>
      <c r="E31557" t="s">
        <v>32</v>
      </c>
    </row>
    <row r="31558" spans="1:5" x14ac:dyDescent="0.25">
      <c r="A31558" t="str">
        <f>HYPERLINK("https://www.773grp.com/globalSearch/MC74HC589ADTR2G/page-1", "MC74HC589ADTR2G")</f>
        <v>MC74HC589ADTR2G</v>
      </c>
      <c r="B31558" s="3" t="str">
        <f>HYPERLINK("https://www.773grp.com/manufacturer/onsemi?pageNo=1056", "ON Semiconductor")</f>
        <v>ON Semiconductor</v>
      </c>
      <c r="C31558" s="6">
        <v>132810</v>
      </c>
      <c r="D31558" s="7">
        <v>0.79</v>
      </c>
      <c r="E31558" t="s">
        <v>32</v>
      </c>
    </row>
    <row r="31559" spans="1:5" x14ac:dyDescent="0.25">
      <c r="A31559" t="str">
        <f>HYPERLINK("https://www.773grp.com/globalSearch/MC74HCT04ANG/page-1", "MC74HCT04ANG")</f>
        <v>MC74HCT04ANG</v>
      </c>
      <c r="B31559" s="3" t="str">
        <f>HYPERLINK("https://www.773grp.com/manufacturer/onsemi?pageNo=1057", "ON Semiconductor")</f>
        <v>ON Semiconductor</v>
      </c>
      <c r="C31559" s="6">
        <v>41948</v>
      </c>
      <c r="D31559" s="7">
        <v>0.79</v>
      </c>
      <c r="E31559" t="s">
        <v>31</v>
      </c>
    </row>
    <row r="31560" spans="1:5" x14ac:dyDescent="0.25">
      <c r="A31560" t="str">
        <f>HYPERLINK("https://www.773grp.com/globalSearch/MC74HCT157AN/page-1", "MC74HCT157AN")</f>
        <v>MC74HCT157AN</v>
      </c>
      <c r="B31560" s="3" t="str">
        <f>HYPERLINK("https://www.773grp.com/manufacturer/onsemi?pageNo=1058", "ON Semiconductor")</f>
        <v>ON Semiconductor</v>
      </c>
      <c r="C31560" s="6">
        <v>13375</v>
      </c>
      <c r="D31560" s="7">
        <v>0.79</v>
      </c>
      <c r="E31560" t="s">
        <v>20</v>
      </c>
    </row>
    <row r="31561" spans="1:5" x14ac:dyDescent="0.25">
      <c r="A31561" t="str">
        <f>HYPERLINK("https://www.773grp.com/globalSearch/MC74HCT174AD/page-1", "MC74HCT174AD")</f>
        <v>MC74HCT174AD</v>
      </c>
      <c r="B31561" s="3" t="str">
        <f>HYPERLINK("https://www.773grp.com/manufacturer/onsemi?pageNo=1059", "ON Semiconductor")</f>
        <v>ON Semiconductor</v>
      </c>
      <c r="C31561" s="6">
        <v>1609</v>
      </c>
      <c r="D31561" s="7">
        <v>0.79</v>
      </c>
      <c r="E31561" t="s">
        <v>35</v>
      </c>
    </row>
    <row r="31562" spans="1:5" x14ac:dyDescent="0.25">
      <c r="A31562" t="str">
        <f>HYPERLINK("https://www.773grp.com/globalSearch/MC74HCT174AN/page-1", "MC74HCT174AN")</f>
        <v>MC74HCT174AN</v>
      </c>
      <c r="B31562" s="3" t="str">
        <f>HYPERLINK("https://www.773grp.com/manufacturer/onsemi?pageNo=1060", "ON Semiconductor")</f>
        <v>ON Semiconductor</v>
      </c>
      <c r="C31562" s="6">
        <v>5300</v>
      </c>
      <c r="D31562" s="7">
        <v>0.79</v>
      </c>
      <c r="E31562" t="s">
        <v>35</v>
      </c>
    </row>
    <row r="31563" spans="1:5" x14ac:dyDescent="0.25">
      <c r="A31563" t="str">
        <f>HYPERLINK("https://www.773grp.com/globalSearch/MC74HCT240ADW/page-1", "MC74HCT240ADW")</f>
        <v>MC74HCT240ADW</v>
      </c>
      <c r="B31563" s="3" t="str">
        <f>HYPERLINK("https://www.773grp.com/manufacturer/onsemi?pageNo=1061", "ON Semiconductor")</f>
        <v>ON Semiconductor</v>
      </c>
      <c r="C31563" s="6">
        <v>9811</v>
      </c>
      <c r="D31563" s="7">
        <v>0.79</v>
      </c>
      <c r="E31563" t="s">
        <v>14</v>
      </c>
    </row>
    <row r="31564" spans="1:5" x14ac:dyDescent="0.25">
      <c r="A31564" t="str">
        <f>HYPERLINK("https://www.773grp.com/globalSearch/MC74HCT240ADWR2/page-1", "MC74HCT240ADWR2")</f>
        <v>MC74HCT240ADWR2</v>
      </c>
      <c r="B31564" s="3" t="str">
        <f>HYPERLINK("https://www.773grp.com/manufacturer/onsemi?pageNo=1062", "ON Semiconductor")</f>
        <v>ON Semiconductor</v>
      </c>
      <c r="C31564" s="6">
        <v>1000</v>
      </c>
      <c r="D31564" s="7">
        <v>0.79</v>
      </c>
      <c r="E31564" t="s">
        <v>14</v>
      </c>
    </row>
    <row r="31565" spans="1:5" x14ac:dyDescent="0.25">
      <c r="A31565" t="str">
        <f>HYPERLINK("https://www.773grp.com/globalSearch/MC74HCT240AN/page-1", "MC74HCT240AN")</f>
        <v>MC74HCT240AN</v>
      </c>
      <c r="B31565" s="3" t="str">
        <f>HYPERLINK("https://www.773grp.com/manufacturer/onsemi?pageNo=1063", "ON Semiconductor")</f>
        <v>ON Semiconductor</v>
      </c>
      <c r="C31565" s="6">
        <v>1124</v>
      </c>
      <c r="D31565" s="7">
        <v>0.79</v>
      </c>
      <c r="E31565" t="s">
        <v>14</v>
      </c>
    </row>
    <row r="31566" spans="1:5" x14ac:dyDescent="0.25">
      <c r="A31566" t="str">
        <f>HYPERLINK("https://www.773grp.com/globalSearch/MC74HCT241ADW/page-1", "MC74HCT241ADW")</f>
        <v>MC74HCT241ADW</v>
      </c>
      <c r="B31566" s="3" t="str">
        <f>HYPERLINK("https://www.773grp.com/manufacturer/onsemi?pageNo=1064", "ON Semiconductor")</f>
        <v>ON Semiconductor</v>
      </c>
      <c r="C31566" s="6">
        <v>1009</v>
      </c>
      <c r="D31566" s="7">
        <v>0.79</v>
      </c>
      <c r="E31566" t="s">
        <v>14</v>
      </c>
    </row>
    <row r="31567" spans="1:5" x14ac:dyDescent="0.25">
      <c r="A31567" t="str">
        <f>HYPERLINK("https://www.773grp.com/globalSearch/MC74HCT241ADWR2/page-1", "MC74HCT241ADWR2")</f>
        <v>MC74HCT241ADWR2</v>
      </c>
      <c r="B31567" s="3" t="str">
        <f>HYPERLINK("https://www.773grp.com/manufacturer/onsemi?pageNo=1065", "ON Semiconductor")</f>
        <v>ON Semiconductor</v>
      </c>
      <c r="C31567" s="6">
        <v>8000</v>
      </c>
      <c r="D31567" s="7">
        <v>0.79</v>
      </c>
      <c r="E31567" t="s">
        <v>14</v>
      </c>
    </row>
    <row r="31568" spans="1:5" x14ac:dyDescent="0.25">
      <c r="A31568" t="str">
        <f>HYPERLINK("https://www.773grp.com/globalSearch/MC74HCT241AF/page-1", "MC74HCT241AF")</f>
        <v>MC74HCT241AF</v>
      </c>
      <c r="B31568" s="3" t="str">
        <f>HYPERLINK("https://www.773grp.com/manufacturer/onsemi?pageNo=1066", "ON Semiconductor")</f>
        <v>ON Semiconductor</v>
      </c>
      <c r="C31568" s="6">
        <v>3440</v>
      </c>
      <c r="D31568" s="7">
        <v>0.79</v>
      </c>
    </row>
    <row r="31569" spans="1:5" x14ac:dyDescent="0.25">
      <c r="A31569" t="str">
        <f>HYPERLINK("https://www.773grp.com/globalSearch/MC74HCT241AN/page-1", "MC74HCT241AN")</f>
        <v>MC74HCT241AN</v>
      </c>
      <c r="B31569" s="3" t="str">
        <f>HYPERLINK("https://www.773grp.com/manufacturer/onsemi?pageNo=1067", "ON Semiconductor")</f>
        <v>ON Semiconductor</v>
      </c>
      <c r="C31569" s="6">
        <v>3545</v>
      </c>
      <c r="D31569" s="7">
        <v>0.79</v>
      </c>
      <c r="E31569" t="s">
        <v>14</v>
      </c>
    </row>
    <row r="31570" spans="1:5" x14ac:dyDescent="0.25">
      <c r="A31570" t="str">
        <f>HYPERLINK("https://www.773grp.com/globalSearch/MC74HCT244AFL1/page-1", "MC74HCT244AFL1")</f>
        <v>MC74HCT244AFL1</v>
      </c>
      <c r="B31570" s="3" t="str">
        <f>HYPERLINK("https://www.773grp.com/manufacturer/onsemi?pageNo=1068", "ON Semiconductor")</f>
        <v>ON Semiconductor</v>
      </c>
      <c r="C31570" s="6">
        <v>2000</v>
      </c>
      <c r="D31570" s="7">
        <v>0.79</v>
      </c>
    </row>
    <row r="31571" spans="1:5" x14ac:dyDescent="0.25">
      <c r="A31571" t="str">
        <f>HYPERLINK("https://www.773grp.com/globalSearch/MC74HCT244AFR2/page-1", "MC74HCT244AFR2")</f>
        <v>MC74HCT244AFR2</v>
      </c>
      <c r="B31571" s="3" t="str">
        <f>HYPERLINK("https://www.773grp.com/manufacturer/onsemi?pageNo=1069", "ON Semiconductor")</f>
        <v>ON Semiconductor</v>
      </c>
      <c r="C31571" s="6">
        <v>12000</v>
      </c>
      <c r="D31571" s="7">
        <v>0.79</v>
      </c>
    </row>
    <row r="31572" spans="1:5" x14ac:dyDescent="0.25">
      <c r="A31572" t="str">
        <f>HYPERLINK("https://www.773grp.com/globalSearch/MC74HCT245AF/page-1", "MC74HCT245AF")</f>
        <v>MC74HCT245AF</v>
      </c>
      <c r="B31572" s="3" t="str">
        <f>HYPERLINK("https://www.773grp.com/manufacturer/onsemi?pageNo=1070", "ON Semiconductor")</f>
        <v>ON Semiconductor</v>
      </c>
      <c r="C31572" s="6">
        <v>17346</v>
      </c>
      <c r="D31572" s="7">
        <v>0.79</v>
      </c>
      <c r="E31572" t="s">
        <v>14</v>
      </c>
    </row>
    <row r="31573" spans="1:5" x14ac:dyDescent="0.25">
      <c r="A31573" t="str">
        <f>HYPERLINK("https://www.773grp.com/globalSearch/MC74HCT245AFL1/page-1", "MC74HCT245AFL1")</f>
        <v>MC74HCT245AFL1</v>
      </c>
      <c r="B31573" s="3" t="str">
        <f>HYPERLINK("https://www.773grp.com/manufacturer/onsemi?pageNo=1071", "ON Semiconductor")</f>
        <v>ON Semiconductor</v>
      </c>
      <c r="C31573" s="6">
        <v>2000</v>
      </c>
      <c r="D31573" s="7">
        <v>0.79</v>
      </c>
      <c r="E31573" t="s">
        <v>14</v>
      </c>
    </row>
    <row r="31574" spans="1:5" x14ac:dyDescent="0.25">
      <c r="A31574" t="str">
        <f>HYPERLINK("https://www.773grp.com/globalSearch/MC74HCT374AF/page-1", "MC74HCT374AF")</f>
        <v>MC74HCT374AF</v>
      </c>
      <c r="B31574" s="3" t="str">
        <f>HYPERLINK("https://www.773grp.com/manufacturer/onsemi?pageNo=1072", "ON Semiconductor")</f>
        <v>ON Semiconductor</v>
      </c>
      <c r="C31574" s="6">
        <v>2640</v>
      </c>
      <c r="D31574" s="7">
        <v>0.79</v>
      </c>
    </row>
    <row r="31575" spans="1:5" x14ac:dyDescent="0.25">
      <c r="A31575" t="str">
        <f>HYPERLINK("https://www.773grp.com/globalSearch/MC74HCT374AFL1/page-1", "MC74HCT374AFL1")</f>
        <v>MC74HCT374AFL1</v>
      </c>
      <c r="B31575" s="3" t="str">
        <f>HYPERLINK("https://www.773grp.com/manufacturer/onsemi?pageNo=1073", "ON Semiconductor")</f>
        <v>ON Semiconductor</v>
      </c>
      <c r="C31575" s="6">
        <v>12000</v>
      </c>
      <c r="D31575" s="7">
        <v>0.79</v>
      </c>
    </row>
    <row r="31576" spans="1:5" x14ac:dyDescent="0.25">
      <c r="A31576" t="str">
        <f>HYPERLINK("https://www.773grp.com/globalSearch/MC74HCU04ANG/page-1", "MC74HCU04ANG")</f>
        <v>MC74HCU04ANG</v>
      </c>
      <c r="B31576" s="3" t="str">
        <f>HYPERLINK("https://www.773grp.com/manufacturer/onsemi?pageNo=1074", "ON Semiconductor")</f>
        <v>ON Semiconductor</v>
      </c>
      <c r="C31576" s="6">
        <v>39190</v>
      </c>
      <c r="D31576" s="7">
        <v>0.79</v>
      </c>
      <c r="E31576" t="s">
        <v>31</v>
      </c>
    </row>
    <row r="31577" spans="1:5" x14ac:dyDescent="0.25">
      <c r="A31577" t="str">
        <f>HYPERLINK("https://www.773grp.com/globalSearch/MC74LCX125DTEL/page-1", "MC74LCX125DTEL")</f>
        <v>MC74LCX125DTEL</v>
      </c>
      <c r="B31577" s="3" t="str">
        <f>HYPERLINK("https://www.773grp.com/manufacturer/onsemi?pageNo=1075", "ON Semiconductor")</f>
        <v>ON Semiconductor</v>
      </c>
      <c r="C31577" s="6">
        <v>10000</v>
      </c>
      <c r="D31577" s="7">
        <v>0.79</v>
      </c>
    </row>
    <row r="31578" spans="1:5" x14ac:dyDescent="0.25">
      <c r="A31578" t="str">
        <f>HYPERLINK("https://www.773grp.com/globalSearch/MC74LCX125M/page-1", "MC74LCX125M")</f>
        <v>MC74LCX125M</v>
      </c>
      <c r="B31578" s="3" t="str">
        <f>HYPERLINK("https://www.773grp.com/manufacturer/onsemi?pageNo=1076", "ON Semiconductor")</f>
        <v>ON Semiconductor</v>
      </c>
      <c r="C31578" s="6">
        <v>188</v>
      </c>
      <c r="D31578" s="7">
        <v>0.79</v>
      </c>
      <c r="E31578" t="s">
        <v>14</v>
      </c>
    </row>
    <row r="31579" spans="1:5" x14ac:dyDescent="0.25">
      <c r="A31579" t="str">
        <f>HYPERLINK("https://www.773grp.com/globalSearch/MC74LCX138M/page-1", "MC74LCX138M")</f>
        <v>MC74LCX138M</v>
      </c>
      <c r="B31579" s="3" t="str">
        <f>HYPERLINK("https://www.773grp.com/manufacturer/onsemi?pageNo=1077", "ON Semiconductor")</f>
        <v>ON Semiconductor</v>
      </c>
      <c r="C31579" s="6">
        <v>1500</v>
      </c>
      <c r="D31579" s="7">
        <v>0.79</v>
      </c>
      <c r="E31579" t="s">
        <v>36</v>
      </c>
    </row>
    <row r="31580" spans="1:5" x14ac:dyDescent="0.25">
      <c r="A31580" t="str">
        <f>HYPERLINK("https://www.773grp.com/globalSearch/MC74LCX244M/page-1", "MC74LCX244M")</f>
        <v>MC74LCX244M</v>
      </c>
      <c r="B31580" s="3" t="str">
        <f>HYPERLINK("https://www.773grp.com/manufacturer/onsemi?pageNo=1078", "ON Semiconductor")</f>
        <v>ON Semiconductor</v>
      </c>
      <c r="C31580" s="6">
        <v>1783</v>
      </c>
      <c r="D31580" s="7">
        <v>0.79</v>
      </c>
      <c r="E31580" t="s">
        <v>14</v>
      </c>
    </row>
    <row r="31581" spans="1:5" x14ac:dyDescent="0.25">
      <c r="A31581" t="str">
        <f>HYPERLINK("https://www.773grp.com/globalSearch/MC74LVQ04D/page-1", "MC74LVQ04D")</f>
        <v>MC74LVQ04D</v>
      </c>
      <c r="B31581" s="3" t="str">
        <f>HYPERLINK("https://www.773grp.com/manufacturer/onsemi?pageNo=1079", "ON Semiconductor")</f>
        <v>ON Semiconductor</v>
      </c>
      <c r="C31581" s="6">
        <v>1265</v>
      </c>
      <c r="D31581" s="7">
        <v>0.79</v>
      </c>
      <c r="E31581" t="s">
        <v>31</v>
      </c>
    </row>
    <row r="31582" spans="1:5" x14ac:dyDescent="0.25">
      <c r="A31582" t="str">
        <f>HYPERLINK("https://www.773grp.com/globalSearch/MC74LVX8053DT/page-1", "MC74LVX8053DT")</f>
        <v>MC74LVX8053DT</v>
      </c>
      <c r="B31582" s="3" t="str">
        <f>HYPERLINK("https://www.773grp.com/manufacturer/onsemi?pageNo=1080", "ON Semiconductor")</f>
        <v>ON Semiconductor</v>
      </c>
      <c r="C31582" s="6">
        <v>25824</v>
      </c>
      <c r="D31582" s="7">
        <v>0.79</v>
      </c>
      <c r="E31582" t="s">
        <v>56</v>
      </c>
    </row>
    <row r="31583" spans="1:5" x14ac:dyDescent="0.25">
      <c r="A31583" t="str">
        <f>HYPERLINK("https://www.773grp.com/globalSearch/MC74LVXT8051D/page-1", "MC74LVXT8051D")</f>
        <v>MC74LVXT8051D</v>
      </c>
      <c r="B31583" s="3" t="str">
        <f>HYPERLINK("https://www.773grp.com/manufacturer/onsemi?pageNo=1081", "ON Semiconductor")</f>
        <v>ON Semiconductor</v>
      </c>
      <c r="C31583" s="6">
        <v>1152</v>
      </c>
      <c r="D31583" s="7">
        <v>0.79</v>
      </c>
      <c r="E31583" t="s">
        <v>56</v>
      </c>
    </row>
    <row r="31584" spans="1:5" x14ac:dyDescent="0.25">
      <c r="A31584" t="str">
        <f>HYPERLINK("https://www.773grp.com/globalSearch/MC7805CD2TR4/page-1", "MC7805CD2TR4")</f>
        <v>MC7805CD2TR4</v>
      </c>
      <c r="B31584" s="3" t="str">
        <f>HYPERLINK("https://www.773grp.com/manufacturer/onsemi?pageNo=1082", "ON Semiconductor")</f>
        <v>ON Semiconductor</v>
      </c>
      <c r="C31584" s="6">
        <v>1600</v>
      </c>
      <c r="D31584" s="7">
        <v>0.79</v>
      </c>
      <c r="E31584" t="s">
        <v>28</v>
      </c>
    </row>
    <row r="31585" spans="1:5" x14ac:dyDescent="0.25">
      <c r="A31585" t="str">
        <f>HYPERLINK("https://www.773grp.com/globalSearch/MC7808BDTRK/page-1", "MC7808BDTRK")</f>
        <v>MC7808BDTRK</v>
      </c>
      <c r="B31585" s="3" t="str">
        <f>HYPERLINK("https://www.773grp.com/manufacturer/onsemi?pageNo=1083", "ON Semiconductor")</f>
        <v>ON Semiconductor</v>
      </c>
      <c r="C31585" s="6">
        <v>27500</v>
      </c>
      <c r="D31585" s="7">
        <v>0.79</v>
      </c>
      <c r="E31585" t="s">
        <v>28</v>
      </c>
    </row>
    <row r="31586" spans="1:5" x14ac:dyDescent="0.25">
      <c r="A31586" t="str">
        <f>HYPERLINK("https://www.773grp.com/globalSearch/MC7809CD2TR4/page-1", "MC7809CD2TR4")</f>
        <v>MC7809CD2TR4</v>
      </c>
      <c r="B31586" s="3" t="str">
        <f>HYPERLINK("https://www.773grp.com/manufacturer/onsemi?pageNo=1084", "ON Semiconductor")</f>
        <v>ON Semiconductor</v>
      </c>
      <c r="C31586" s="6">
        <v>4800</v>
      </c>
      <c r="D31586" s="7">
        <v>0.79</v>
      </c>
      <c r="E31586" t="s">
        <v>28</v>
      </c>
    </row>
    <row r="31587" spans="1:5" x14ac:dyDescent="0.25">
      <c r="A31587" t="str">
        <f>HYPERLINK("https://www.773grp.com/globalSearch/MC7812BDTRK/page-1", "MC7812BDTRK")</f>
        <v>MC7812BDTRK</v>
      </c>
      <c r="B31587" s="3" t="str">
        <f>HYPERLINK("https://www.773grp.com/manufacturer/onsemi?pageNo=1085", "ON Semiconductor")</f>
        <v>ON Semiconductor</v>
      </c>
      <c r="C31587" s="6">
        <v>2501</v>
      </c>
      <c r="D31587" s="7">
        <v>0.79</v>
      </c>
      <c r="E31587" t="s">
        <v>28</v>
      </c>
    </row>
    <row r="31588" spans="1:5" x14ac:dyDescent="0.25">
      <c r="A31588" t="str">
        <f>HYPERLINK("https://www.773grp.com/globalSearch/MC7812CD2T/page-1", "MC7812CD2T")</f>
        <v>MC7812CD2T</v>
      </c>
      <c r="B31588" s="3" t="str">
        <f>HYPERLINK("https://www.773grp.com/manufacturer/onsemi?pageNo=1086", "ON Semiconductor")</f>
        <v>ON Semiconductor</v>
      </c>
      <c r="C31588" s="6">
        <v>1252</v>
      </c>
      <c r="D31588" s="7">
        <v>0.79</v>
      </c>
      <c r="E31588" t="s">
        <v>28</v>
      </c>
    </row>
    <row r="31589" spans="1:5" x14ac:dyDescent="0.25">
      <c r="A31589" t="str">
        <f>HYPERLINK("https://www.773grp.com/globalSearch/MC7815CD2TR4/page-1", "MC7815CD2TR4")</f>
        <v>MC7815CD2TR4</v>
      </c>
      <c r="B31589" s="3" t="str">
        <f>HYPERLINK("https://www.773grp.com/manufacturer/onsemi?pageNo=1087", "ON Semiconductor")</f>
        <v>ON Semiconductor</v>
      </c>
      <c r="C31589" s="6">
        <v>2400</v>
      </c>
      <c r="D31589" s="7">
        <v>0.79</v>
      </c>
      <c r="E31589" t="s">
        <v>28</v>
      </c>
    </row>
    <row r="31590" spans="1:5" x14ac:dyDescent="0.25">
      <c r="A31590" t="str">
        <f>HYPERLINK("https://www.773grp.com/globalSearch/MC7824CD2T/page-1", "MC7824CD2T")</f>
        <v>MC7824CD2T</v>
      </c>
      <c r="B31590" s="3" t="str">
        <f>HYPERLINK("https://www.773grp.com/manufacturer/onsemi?pageNo=1088", "ON Semiconductor")</f>
        <v>ON Semiconductor</v>
      </c>
      <c r="C31590" s="6">
        <v>1006</v>
      </c>
      <c r="D31590" s="7">
        <v>0.79</v>
      </c>
      <c r="E31590" t="s">
        <v>28</v>
      </c>
    </row>
    <row r="31591" spans="1:5" x14ac:dyDescent="0.25">
      <c r="A31591" t="str">
        <f>HYPERLINK("https://www.773grp.com/globalSearch/MC78FC30HT1/page-1", "MC78FC30HT1")</f>
        <v>MC78FC30HT1</v>
      </c>
      <c r="B31591" s="3" t="str">
        <f>HYPERLINK("https://www.773grp.com/manufacturer/onsemi?pageNo=1089", "ON Semiconductor")</f>
        <v>ON Semiconductor</v>
      </c>
      <c r="C31591" s="6">
        <v>8700</v>
      </c>
      <c r="D31591" s="7">
        <v>0.79</v>
      </c>
      <c r="E31591" t="s">
        <v>19</v>
      </c>
    </row>
    <row r="31592" spans="1:5" x14ac:dyDescent="0.25">
      <c r="A31592" t="str">
        <f>HYPERLINK("https://www.773grp.com/globalSearch/MC78FC33HT1/page-1", "MC78FC33HT1")</f>
        <v>MC78FC33HT1</v>
      </c>
      <c r="B31592" s="3" t="str">
        <f>HYPERLINK("https://www.773grp.com/manufacturer/onsemi?pageNo=1090", "ON Semiconductor")</f>
        <v>ON Semiconductor</v>
      </c>
      <c r="C31592" s="6">
        <v>132000</v>
      </c>
      <c r="D31592" s="7">
        <v>0.79</v>
      </c>
      <c r="E31592" t="s">
        <v>19</v>
      </c>
    </row>
    <row r="31593" spans="1:5" x14ac:dyDescent="0.25">
      <c r="A31593" t="str">
        <f>HYPERLINK("https://www.773grp.com/globalSearch/MC78LC30HT1/page-1", "MC78LC30HT1")</f>
        <v>MC78LC30HT1</v>
      </c>
      <c r="B31593" s="3" t="str">
        <f>HYPERLINK("https://www.773grp.com/manufacturer/onsemi?pageNo=1091", "ON Semiconductor")</f>
        <v>ON Semiconductor</v>
      </c>
      <c r="C31593" s="6">
        <v>17000</v>
      </c>
      <c r="D31593" s="7">
        <v>0.79</v>
      </c>
      <c r="E31593" t="s">
        <v>19</v>
      </c>
    </row>
    <row r="31594" spans="1:5" x14ac:dyDescent="0.25">
      <c r="A31594" t="str">
        <f>HYPERLINK("https://www.773grp.com/globalSearch/MC78LC33NTR/page-1", "MC78LC33NTR")</f>
        <v>MC78LC33NTR</v>
      </c>
      <c r="B31594" s="3" t="str">
        <f>HYPERLINK("https://www.773grp.com/manufacturer/onsemi?pageNo=1092", "ON Semiconductor")</f>
        <v>ON Semiconductor</v>
      </c>
      <c r="C31594" s="6">
        <v>5</v>
      </c>
      <c r="D31594" s="7">
        <v>0.79</v>
      </c>
      <c r="E31594" t="s">
        <v>19</v>
      </c>
    </row>
    <row r="31595" spans="1:5" x14ac:dyDescent="0.25">
      <c r="A31595" t="str">
        <f>HYPERLINK("https://www.773grp.com/globalSearch/MC78LC50NTR/page-1", "MC78LC50NTR")</f>
        <v>MC78LC50NTR</v>
      </c>
      <c r="B31595" s="3" t="str">
        <f>HYPERLINK("https://www.773grp.com/manufacturer/onsemi?pageNo=1093", "ON Semiconductor")</f>
        <v>ON Semiconductor</v>
      </c>
      <c r="C31595" s="6">
        <v>25000</v>
      </c>
      <c r="D31595" s="7">
        <v>0.79</v>
      </c>
      <c r="E31595" t="s">
        <v>19</v>
      </c>
    </row>
    <row r="31596" spans="1:5" x14ac:dyDescent="0.25">
      <c r="A31596" t="str">
        <f>HYPERLINK("https://www.773grp.com/globalSearch/MC7908CD2TR4/page-1", "MC7908CD2TR4")</f>
        <v>MC7908CD2TR4</v>
      </c>
      <c r="B31596" s="3" t="str">
        <f>HYPERLINK("https://www.773grp.com/manufacturer/onsemi?pageNo=1094", "ON Semiconductor")</f>
        <v>ON Semiconductor</v>
      </c>
      <c r="C31596" s="6">
        <v>1600</v>
      </c>
      <c r="D31596" s="7">
        <v>0.79</v>
      </c>
      <c r="E31596" t="s">
        <v>65</v>
      </c>
    </row>
    <row r="31597" spans="1:5" x14ac:dyDescent="0.25">
      <c r="A31597" t="str">
        <f>HYPERLINK("https://www.773grp.com/globalSearch/MC7912CD2T/page-1", "MC7912CD2T")</f>
        <v>MC7912CD2T</v>
      </c>
      <c r="B31597" s="3" t="str">
        <f>HYPERLINK("https://www.773grp.com/manufacturer/onsemi?pageNo=1095", "ON Semiconductor")</f>
        <v>ON Semiconductor</v>
      </c>
      <c r="C31597" s="6">
        <v>138</v>
      </c>
      <c r="D31597" s="7">
        <v>0.79</v>
      </c>
      <c r="E31597" t="s">
        <v>65</v>
      </c>
    </row>
    <row r="31598" spans="1:5" x14ac:dyDescent="0.25">
      <c r="A31598" t="str">
        <f>HYPERLINK("https://www.773grp.com/globalSearch/MC7912CD2TR4/page-1", "MC7912CD2TR4")</f>
        <v>MC7912CD2TR4</v>
      </c>
      <c r="B31598" s="3" t="str">
        <f>HYPERLINK("https://www.773grp.com/manufacturer/onsemi?pageNo=1096", "ON Semiconductor")</f>
        <v>ON Semiconductor</v>
      </c>
      <c r="C31598" s="6">
        <v>5297</v>
      </c>
      <c r="D31598" s="7">
        <v>0.79</v>
      </c>
      <c r="E31598" t="s">
        <v>65</v>
      </c>
    </row>
    <row r="31599" spans="1:5" x14ac:dyDescent="0.25">
      <c r="A31599" t="str">
        <f>HYPERLINK("https://www.773grp.com/globalSearch/MCHC175AFR1/page-1", "MCHC175AFR1")</f>
        <v>MCHC175AFR1</v>
      </c>
      <c r="B31599" s="3" t="str">
        <f>HYPERLINK("https://www.773grp.com/manufacturer/onsemi?pageNo=1097", "ON Semiconductor")</f>
        <v>ON Semiconductor</v>
      </c>
      <c r="C31599" s="6">
        <v>1000</v>
      </c>
      <c r="D31599" s="7">
        <v>0.79</v>
      </c>
    </row>
    <row r="31600" spans="1:5" x14ac:dyDescent="0.25">
      <c r="A31600" t="str">
        <f>HYPERLINK("https://www.773grp.com/globalSearch/MCR12LMGV0607/page-1", "MCR12LMGV0607")</f>
        <v>MCR12LMGV0607</v>
      </c>
      <c r="B31600" s="3" t="str">
        <f>HYPERLINK("https://www.773grp.com/manufacturer/onsemi?pageNo=1098", "ON Semiconductor")</f>
        <v>ON Semiconductor</v>
      </c>
      <c r="C31600" s="6">
        <v>150</v>
      </c>
      <c r="D31600" s="7">
        <v>0.79</v>
      </c>
    </row>
    <row r="31601" spans="1:5" x14ac:dyDescent="0.25">
      <c r="A31601" t="str">
        <f>HYPERLINK("https://www.773grp.com/globalSearch/MCR22-2RL1G/page-1", "MCR22-2RL1G")</f>
        <v>MCR22-2RL1G</v>
      </c>
      <c r="B31601" s="3" t="str">
        <f>HYPERLINK("https://www.773grp.com/manufacturer/onsemi?pageNo=1099", "ON Semiconductor")</f>
        <v>ON Semiconductor</v>
      </c>
      <c r="C31601" s="6">
        <v>18000</v>
      </c>
      <c r="D31601" s="7">
        <v>0.79</v>
      </c>
    </row>
    <row r="31602" spans="1:5" x14ac:dyDescent="0.25">
      <c r="A31602" t="str">
        <f>HYPERLINK("https://www.773grp.com/globalSearch/MCR22-6RLRAG/page-1", "MCR22-6RLRAG")</f>
        <v>MCR22-6RLRAG</v>
      </c>
      <c r="B31602" s="3" t="str">
        <f>HYPERLINK("https://www.773grp.com/manufacturer/onsemi?pageNo=1100", "ON Semiconductor")</f>
        <v>ON Semiconductor</v>
      </c>
      <c r="C31602" s="6">
        <v>135035</v>
      </c>
      <c r="D31602" s="7">
        <v>0.79</v>
      </c>
      <c r="E31602" t="s">
        <v>97</v>
      </c>
    </row>
    <row r="31603" spans="1:5" x14ac:dyDescent="0.25">
      <c r="A31603" t="str">
        <f>HYPERLINK("https://www.773grp.com/globalSearch/MCR22-6RLRPG/page-1", "MCR22-6RLRPG")</f>
        <v>MCR22-6RLRPG</v>
      </c>
      <c r="B31603" s="3" t="str">
        <f>HYPERLINK("https://www.773grp.com/manufacturer/onsemi?pageNo=1101", "ON Semiconductor")</f>
        <v>ON Semiconductor</v>
      </c>
      <c r="C31603" s="6">
        <v>75975</v>
      </c>
      <c r="D31603" s="7">
        <v>0.79</v>
      </c>
      <c r="E31603" t="s">
        <v>97</v>
      </c>
    </row>
    <row r="31604" spans="1:5" x14ac:dyDescent="0.25">
      <c r="A31604" t="str">
        <f>HYPERLINK("https://www.773grp.com/globalSearch/MCR22-8G/page-1", "MCR22-8G")</f>
        <v>MCR22-8G</v>
      </c>
      <c r="B31604" s="3" t="str">
        <f>HYPERLINK("https://www.773grp.com/manufacturer/onsemi?pageNo=1102", "ON Semiconductor")</f>
        <v>ON Semiconductor</v>
      </c>
      <c r="C31604" s="6">
        <v>946</v>
      </c>
      <c r="D31604" s="7">
        <v>0.79</v>
      </c>
    </row>
    <row r="31605" spans="1:5" x14ac:dyDescent="0.25">
      <c r="A31605" t="str">
        <f>HYPERLINK("https://www.773grp.com/globalSearch/MCR22-8RL1G/page-1", "MCR22-8RL1G")</f>
        <v>MCR22-8RL1G</v>
      </c>
      <c r="B31605" s="3" t="str">
        <f>HYPERLINK("https://www.773grp.com/manufacturer/onsemi?pageNo=1103", "ON Semiconductor")</f>
        <v>ON Semiconductor</v>
      </c>
      <c r="C31605" s="6">
        <v>2784</v>
      </c>
      <c r="D31605" s="7">
        <v>0.79</v>
      </c>
    </row>
    <row r="31606" spans="1:5" x14ac:dyDescent="0.25">
      <c r="A31606" t="str">
        <f>HYPERLINK("https://www.773grp.com/globalSearch/MCR708A1/page-1", "MCR708A1")</f>
        <v>MCR708A1</v>
      </c>
      <c r="B31606" s="3" t="str">
        <f>HYPERLINK("https://www.773grp.com/manufacturer/onsemi?pageNo=1104", "ON Semiconductor")</f>
        <v>ON Semiconductor</v>
      </c>
      <c r="C31606" s="6">
        <v>1500</v>
      </c>
      <c r="D31606" s="7">
        <v>0.79</v>
      </c>
      <c r="E31606" t="s">
        <v>97</v>
      </c>
    </row>
    <row r="31607" spans="1:5" x14ac:dyDescent="0.25">
      <c r="A31607" t="str">
        <f>HYPERLINK("https://www.773grp.com/globalSearch/MJD31C/page-1", "MJD31C")</f>
        <v>MJD31C</v>
      </c>
      <c r="B31607" s="3" t="str">
        <f>HYPERLINK("https://www.773grp.com/manufacturer/onsemi?pageNo=1105", "ON Semiconductor")</f>
        <v>ON Semiconductor</v>
      </c>
      <c r="C31607" s="6">
        <v>2190</v>
      </c>
      <c r="D31607" s="7">
        <v>0.79</v>
      </c>
    </row>
    <row r="31608" spans="1:5" x14ac:dyDescent="0.25">
      <c r="A31608" t="str">
        <f>HYPERLINK("https://www.773grp.com/globalSearch/MJD31CG/page-1", "MJD31CG")</f>
        <v>MJD31CG</v>
      </c>
      <c r="B31608" s="3" t="str">
        <f>HYPERLINK("https://www.773grp.com/manufacturer/onsemi?pageNo=1106", "ON Semiconductor")</f>
        <v>ON Semiconductor</v>
      </c>
      <c r="C31608" s="6">
        <v>33425</v>
      </c>
      <c r="D31608" s="7">
        <v>0.79</v>
      </c>
      <c r="E31608" t="s">
        <v>59</v>
      </c>
    </row>
    <row r="31609" spans="1:5" x14ac:dyDescent="0.25">
      <c r="A31609" t="str">
        <f>HYPERLINK("https://www.773grp.com/globalSearch/MJD31CRLG/page-1", "MJD31CRLG")</f>
        <v>MJD31CRLG</v>
      </c>
      <c r="B31609" s="3" t="str">
        <f>HYPERLINK("https://www.773grp.com/manufacturer/onsemi?pageNo=1107", "ON Semiconductor")</f>
        <v>ON Semiconductor</v>
      </c>
      <c r="C31609" s="6">
        <v>3600</v>
      </c>
      <c r="D31609" s="7">
        <v>0.79</v>
      </c>
    </row>
    <row r="31610" spans="1:5" x14ac:dyDescent="0.25">
      <c r="A31610" t="str">
        <f>HYPERLINK("https://www.773grp.com/globalSearch/MJD31CT4G/page-1", "MJD31CT4G")</f>
        <v>MJD31CT4G</v>
      </c>
      <c r="B31610" s="3" t="str">
        <f>HYPERLINK("https://www.773grp.com/manufacturer/onsemi?pageNo=1108", "ON Semiconductor")</f>
        <v>ON Semiconductor</v>
      </c>
      <c r="C31610" s="6">
        <v>27500</v>
      </c>
      <c r="D31610" s="7">
        <v>0.79</v>
      </c>
      <c r="E31610" t="s">
        <v>59</v>
      </c>
    </row>
    <row r="31611" spans="1:5" x14ac:dyDescent="0.25">
      <c r="A31611" t="str">
        <f>HYPERLINK("https://www.773grp.com/globalSearch/MJD31T4/page-1", "MJD31T4")</f>
        <v>MJD31T4</v>
      </c>
      <c r="B31611" s="3" t="str">
        <f>HYPERLINK("https://www.773grp.com/manufacturer/onsemi?pageNo=1109", "ON Semiconductor")</f>
        <v>ON Semiconductor</v>
      </c>
      <c r="C31611" s="6">
        <v>32500</v>
      </c>
      <c r="D31611" s="7">
        <v>0.79</v>
      </c>
      <c r="E31611" t="s">
        <v>59</v>
      </c>
    </row>
    <row r="31612" spans="1:5" x14ac:dyDescent="0.25">
      <c r="A31612" t="str">
        <f>HYPERLINK("https://www.773grp.com/globalSearch/MJD31T4G/page-1", "MJD31T4G")</f>
        <v>MJD31T4G</v>
      </c>
      <c r="B31612" s="3" t="str">
        <f>HYPERLINK("https://www.773grp.com/manufacturer/onsemi?pageNo=1110", "ON Semiconductor")</f>
        <v>ON Semiconductor</v>
      </c>
      <c r="C31612" s="6">
        <v>2500</v>
      </c>
      <c r="D31612" s="7">
        <v>0.79</v>
      </c>
      <c r="E31612" t="s">
        <v>59</v>
      </c>
    </row>
    <row r="31613" spans="1:5" x14ac:dyDescent="0.25">
      <c r="A31613" t="str">
        <f>HYPERLINK("https://www.773grp.com/globalSearch/MJD32C1/page-1", "MJD32C1")</f>
        <v>MJD32C1</v>
      </c>
      <c r="B31613" s="3" t="str">
        <f>HYPERLINK("https://www.773grp.com/manufacturer/onsemi?pageNo=1111", "ON Semiconductor")</f>
        <v>ON Semiconductor</v>
      </c>
      <c r="C31613" s="6">
        <v>10575</v>
      </c>
      <c r="D31613" s="7">
        <v>0.79</v>
      </c>
      <c r="E31613" t="s">
        <v>59</v>
      </c>
    </row>
    <row r="31614" spans="1:5" x14ac:dyDescent="0.25">
      <c r="A31614" t="str">
        <f>HYPERLINK("https://www.773grp.com/globalSearch/MJD32C1G/page-1", "MJD32C1G")</f>
        <v>MJD32C1G</v>
      </c>
      <c r="B31614" s="3" t="str">
        <f>HYPERLINK("https://www.773grp.com/manufacturer/onsemi?pageNo=1112", "ON Semiconductor")</f>
        <v>ON Semiconductor</v>
      </c>
      <c r="C31614" s="6">
        <v>910</v>
      </c>
      <c r="D31614" s="7">
        <v>0.79</v>
      </c>
      <c r="E31614" t="s">
        <v>59</v>
      </c>
    </row>
    <row r="31615" spans="1:5" x14ac:dyDescent="0.25">
      <c r="A31615" t="str">
        <f>HYPERLINK("https://www.773grp.com/globalSearch/MJD32CG/page-1", "MJD32CG")</f>
        <v>MJD32CG</v>
      </c>
      <c r="B31615" s="3" t="str">
        <f>HYPERLINK("https://www.773grp.com/manufacturer/onsemi?pageNo=1113", "ON Semiconductor")</f>
        <v>ON Semiconductor</v>
      </c>
      <c r="C31615" s="6">
        <v>36530</v>
      </c>
      <c r="D31615" s="7">
        <v>0.79</v>
      </c>
      <c r="E31615" t="s">
        <v>59</v>
      </c>
    </row>
    <row r="31616" spans="1:5" x14ac:dyDescent="0.25">
      <c r="A31616" t="str">
        <f>HYPERLINK("https://www.773grp.com/globalSearch/MJD32CT4G/page-1", "MJD32CT4G")</f>
        <v>MJD32CT4G</v>
      </c>
      <c r="B31616" s="3" t="str">
        <f>HYPERLINK("https://www.773grp.com/manufacturer/onsemi?pageNo=1114", "ON Semiconductor")</f>
        <v>ON Semiconductor</v>
      </c>
      <c r="C31616" s="6">
        <v>22500</v>
      </c>
      <c r="D31616" s="7">
        <v>0.79</v>
      </c>
    </row>
    <row r="31617" spans="1:5" x14ac:dyDescent="0.25">
      <c r="A31617" t="str">
        <f>HYPERLINK("https://www.773grp.com/globalSearch/MJD32T4/page-1", "MJD32T4")</f>
        <v>MJD32T4</v>
      </c>
      <c r="B31617" s="3" t="str">
        <f>HYPERLINK("https://www.773grp.com/manufacturer/onsemi?pageNo=1115", "ON Semiconductor")</f>
        <v>ON Semiconductor</v>
      </c>
      <c r="C31617" s="6">
        <v>13610</v>
      </c>
      <c r="D31617" s="7">
        <v>0.79</v>
      </c>
      <c r="E31617" t="s">
        <v>59</v>
      </c>
    </row>
    <row r="31618" spans="1:5" x14ac:dyDescent="0.25">
      <c r="A31618" t="str">
        <f>HYPERLINK("https://www.773grp.com/globalSearch/MJD32T4G/page-1", "MJD32T4G")</f>
        <v>MJD32T4G</v>
      </c>
      <c r="B31618" s="3" t="str">
        <f>HYPERLINK("https://www.773grp.com/manufacturer/onsemi?pageNo=1116", "ON Semiconductor")</f>
        <v>ON Semiconductor</v>
      </c>
      <c r="C31618" s="6">
        <v>27500</v>
      </c>
      <c r="D31618" s="7">
        <v>0.79</v>
      </c>
      <c r="E31618" t="s">
        <v>59</v>
      </c>
    </row>
    <row r="31619" spans="1:5" x14ac:dyDescent="0.25">
      <c r="A31619" t="str">
        <f>HYPERLINK("https://www.773grp.com/globalSearch/MJD42C1/page-1", "MJD42C1")</f>
        <v>MJD42C1</v>
      </c>
      <c r="B31619" s="3" t="str">
        <f>HYPERLINK("https://www.773grp.com/manufacturer/onsemi?pageNo=1117", "ON Semiconductor")</f>
        <v>ON Semiconductor</v>
      </c>
      <c r="C31619" s="6">
        <v>6036</v>
      </c>
      <c r="D31619" s="7">
        <v>0.79</v>
      </c>
      <c r="E31619" t="s">
        <v>59</v>
      </c>
    </row>
    <row r="31620" spans="1:5" x14ac:dyDescent="0.25">
      <c r="A31620" t="str">
        <f>HYPERLINK("https://www.773grp.com/globalSearch/MJE3055T/page-1", "MJE3055T")</f>
        <v>MJE3055T</v>
      </c>
      <c r="B31620" s="3" t="str">
        <f>HYPERLINK("https://www.773grp.com/manufacturer/onsemi?pageNo=1118", "ON Semiconductor")</f>
        <v>ON Semiconductor</v>
      </c>
      <c r="C31620" s="6">
        <v>3147</v>
      </c>
      <c r="D31620" s="7">
        <v>0.79</v>
      </c>
      <c r="E31620" t="s">
        <v>59</v>
      </c>
    </row>
    <row r="31621" spans="1:5" x14ac:dyDescent="0.25">
      <c r="A31621" t="str">
        <f>HYPERLINK("https://www.773grp.com/globalSearch/MJF32C/page-1", "MJF32C")</f>
        <v>MJF32C</v>
      </c>
      <c r="B31621" s="3" t="str">
        <f>HYPERLINK("https://www.773grp.com/manufacturer/onsemi?pageNo=1119", "ON Semiconductor")</f>
        <v>ON Semiconductor</v>
      </c>
      <c r="C31621" s="6">
        <v>900</v>
      </c>
      <c r="D31621" s="7">
        <v>0.79</v>
      </c>
      <c r="E31621" t="s">
        <v>59</v>
      </c>
    </row>
    <row r="31622" spans="1:5" x14ac:dyDescent="0.25">
      <c r="A31622" t="str">
        <f>HYPERLINK("https://www.773grp.com/globalSearch/MMBF4416LT1G/page-1", "MMBF4416LT1G")</f>
        <v>MMBF4416LT1G</v>
      </c>
      <c r="B31622" s="3" t="str">
        <f>HYPERLINK("https://www.773grp.com/manufacturer/onsemi?pageNo=1120", "ON Semiconductor")</f>
        <v>ON Semiconductor</v>
      </c>
      <c r="C31622" s="6">
        <v>8700</v>
      </c>
      <c r="D31622" s="7">
        <v>0.79</v>
      </c>
      <c r="E31622" t="s">
        <v>104</v>
      </c>
    </row>
    <row r="31623" spans="1:5" x14ac:dyDescent="0.25">
      <c r="A31623" t="str">
        <f>HYPERLINK("https://www.773grp.com/globalSearch/MMBV3401LT1G/page-1", "MMBV3401LT1G")</f>
        <v>MMBV3401LT1G</v>
      </c>
      <c r="B31623" s="3" t="str">
        <f>HYPERLINK("https://www.773grp.com/manufacturer/onsemi?pageNo=1121", "ON Semiconductor")</f>
        <v>ON Semiconductor</v>
      </c>
      <c r="C31623" s="6">
        <v>663715</v>
      </c>
      <c r="D31623" s="7">
        <v>0.79</v>
      </c>
      <c r="E31623" t="s">
        <v>110</v>
      </c>
    </row>
    <row r="31624" spans="1:5" x14ac:dyDescent="0.25">
      <c r="A31624" t="str">
        <f>HYPERLINK("https://www.773grp.com/globalSearch/MMJT350T1G/page-1", "MMJT350T1G")</f>
        <v>MMJT350T1G</v>
      </c>
      <c r="B31624" s="3" t="str">
        <f>HYPERLINK("https://www.773grp.com/manufacturer/onsemi?pageNo=1122", "ON Semiconductor")</f>
        <v>ON Semiconductor</v>
      </c>
      <c r="C31624" s="6">
        <v>2000</v>
      </c>
      <c r="D31624" s="7">
        <v>0.79</v>
      </c>
    </row>
    <row r="31625" spans="1:5" x14ac:dyDescent="0.25">
      <c r="A31625" t="str">
        <f>HYPERLINK("https://www.773grp.com/globalSearch/MMT05A230T3/page-1", "MMT05A230T3")</f>
        <v>MMT05A230T3</v>
      </c>
      <c r="B31625" s="3" t="str">
        <f>HYPERLINK("https://www.773grp.com/manufacturer/onsemi?pageNo=1123", "ON Semiconductor")</f>
        <v>ON Semiconductor</v>
      </c>
      <c r="C31625" s="6">
        <v>37355</v>
      </c>
      <c r="D31625" s="7">
        <v>0.79</v>
      </c>
      <c r="E31625" t="s">
        <v>109</v>
      </c>
    </row>
    <row r="31626" spans="1:5" x14ac:dyDescent="0.25">
      <c r="A31626" t="str">
        <f>HYPERLINK("https://www.773grp.com/globalSearch/MMT05A260T3/page-1", "MMT05A260T3")</f>
        <v>MMT05A260T3</v>
      </c>
      <c r="B31626" s="3" t="str">
        <f>HYPERLINK("https://www.773grp.com/manufacturer/onsemi?pageNo=1124", "ON Semiconductor")</f>
        <v>ON Semiconductor</v>
      </c>
      <c r="C31626" s="6">
        <v>9925</v>
      </c>
      <c r="D31626" s="7">
        <v>0.79</v>
      </c>
      <c r="E31626" t="s">
        <v>109</v>
      </c>
    </row>
    <row r="31627" spans="1:5" x14ac:dyDescent="0.25">
      <c r="A31627" t="str">
        <f>HYPERLINK("https://www.773grp.com/globalSearch/MMT05A310T3/page-1", "MMT05A310T3")</f>
        <v>MMT05A310T3</v>
      </c>
      <c r="B31627" s="3" t="str">
        <f>HYPERLINK("https://www.773grp.com/manufacturer/onsemi?pageNo=1125", "ON Semiconductor")</f>
        <v>ON Semiconductor</v>
      </c>
      <c r="C31627" s="6">
        <v>54820</v>
      </c>
      <c r="D31627" s="7">
        <v>0.79</v>
      </c>
      <c r="E31627" t="s">
        <v>109</v>
      </c>
    </row>
    <row r="31628" spans="1:5" x14ac:dyDescent="0.25">
      <c r="A31628" t="str">
        <f>HYPERLINK("https://www.773grp.com/globalSearch/MMT05B230T3/page-1", "MMT05B230T3")</f>
        <v>MMT05B230T3</v>
      </c>
      <c r="B31628" s="3" t="str">
        <f>HYPERLINK("https://www.773grp.com/manufacturer/onsemi?pageNo=1126", "ON Semiconductor")</f>
        <v>ON Semiconductor</v>
      </c>
      <c r="C31628" s="6">
        <v>5000</v>
      </c>
      <c r="D31628" s="7">
        <v>0.79</v>
      </c>
      <c r="E31628" t="s">
        <v>109</v>
      </c>
    </row>
    <row r="31629" spans="1:5" x14ac:dyDescent="0.25">
      <c r="A31629" t="str">
        <f>HYPERLINK("https://www.773grp.com/globalSearch/MMT05B260T3/page-1", "MMT05B260T3")</f>
        <v>MMT05B260T3</v>
      </c>
      <c r="B31629" s="3" t="str">
        <f>HYPERLINK("https://www.773grp.com/manufacturer/onsemi?pageNo=1127", "ON Semiconductor")</f>
        <v>ON Semiconductor</v>
      </c>
      <c r="C31629" s="6">
        <v>2465</v>
      </c>
      <c r="D31629" s="7">
        <v>0.79</v>
      </c>
      <c r="E31629" t="s">
        <v>109</v>
      </c>
    </row>
    <row r="31630" spans="1:5" x14ac:dyDescent="0.25">
      <c r="A31630" t="str">
        <f>HYPERLINK("https://www.773grp.com/globalSearch/MMT05B310T3/page-1", "MMT05B310T3")</f>
        <v>MMT05B310T3</v>
      </c>
      <c r="B31630" s="3" t="str">
        <f>HYPERLINK("https://www.773grp.com/manufacturer/onsemi?pageNo=1128", "ON Semiconductor")</f>
        <v>ON Semiconductor</v>
      </c>
      <c r="C31630" s="6">
        <v>140000</v>
      </c>
      <c r="D31630" s="7">
        <v>0.79</v>
      </c>
      <c r="E31630" t="s">
        <v>109</v>
      </c>
    </row>
    <row r="31631" spans="1:5" x14ac:dyDescent="0.25">
      <c r="A31631" t="str">
        <f>HYPERLINK("https://www.773grp.com/globalSearch/MMT05B350T3/page-1", "MMT05B350T3")</f>
        <v>MMT05B350T3</v>
      </c>
      <c r="B31631" s="3" t="str">
        <f>HYPERLINK("https://www.773grp.com/manufacturer/onsemi?pageNo=1129", "ON Semiconductor")</f>
        <v>ON Semiconductor</v>
      </c>
      <c r="C31631" s="6">
        <v>7500</v>
      </c>
      <c r="D31631" s="7">
        <v>0.79</v>
      </c>
      <c r="E31631" t="s">
        <v>109</v>
      </c>
    </row>
    <row r="31632" spans="1:5" x14ac:dyDescent="0.25">
      <c r="A31632" t="str">
        <f>HYPERLINK("https://www.773grp.com/globalSearch/MMVL109T1G/page-1", "MMVL109T1G")</f>
        <v>MMVL109T1G</v>
      </c>
      <c r="B31632" s="3" t="str">
        <f>HYPERLINK("https://www.773grp.com/manufacturer/onsemi?pageNo=1130", "ON Semiconductor")</f>
        <v>ON Semiconductor</v>
      </c>
      <c r="C31632" s="6">
        <v>2736</v>
      </c>
      <c r="D31632" s="7">
        <v>0.79</v>
      </c>
      <c r="E31632" t="s">
        <v>101</v>
      </c>
    </row>
    <row r="31633" spans="1:5" x14ac:dyDescent="0.25">
      <c r="A31633" t="str">
        <f>HYPERLINK("https://www.773grp.com/globalSearch/MMVL239T1/page-1", "MMVL239T1")</f>
        <v>MMVL239T1</v>
      </c>
      <c r="B31633" s="3" t="str">
        <f>HYPERLINK("https://www.773grp.com/manufacturer/onsemi?pageNo=1131", "ON Semiconductor")</f>
        <v>ON Semiconductor</v>
      </c>
      <c r="C31633" s="6">
        <v>118</v>
      </c>
      <c r="D31633" s="7">
        <v>0.79</v>
      </c>
    </row>
    <row r="31634" spans="1:5" x14ac:dyDescent="0.25">
      <c r="A31634" t="str">
        <f>HYPERLINK("https://www.773grp.com/globalSearch/MMVL535T1/page-1", "MMVL535T1")</f>
        <v>MMVL535T1</v>
      </c>
      <c r="B31634" s="3" t="str">
        <f>HYPERLINK("https://www.773grp.com/manufacturer/onsemi?pageNo=1132", "ON Semiconductor")</f>
        <v>ON Semiconductor</v>
      </c>
      <c r="C31634" s="6">
        <v>29575</v>
      </c>
      <c r="D31634" s="7">
        <v>0.79</v>
      </c>
      <c r="E31634" t="s">
        <v>101</v>
      </c>
    </row>
    <row r="31635" spans="1:5" x14ac:dyDescent="0.25">
      <c r="A31635" t="str">
        <f>HYPERLINK("https://www.773grp.com/globalSearch/MRS1504T3G/page-1", "MRS1504T3G")</f>
        <v>MRS1504T3G</v>
      </c>
      <c r="B31635" s="3" t="str">
        <f>HYPERLINK("https://www.773grp.com/manufacturer/onsemi?pageNo=1133", "ON Semiconductor")</f>
        <v>ON Semiconductor</v>
      </c>
      <c r="C31635" s="6">
        <v>40000</v>
      </c>
      <c r="D31635" s="7">
        <v>0.79</v>
      </c>
      <c r="E31635" t="s">
        <v>103</v>
      </c>
    </row>
    <row r="31636" spans="1:5" x14ac:dyDescent="0.25">
      <c r="A31636" t="str">
        <f>HYPERLINK("https://www.773grp.com/globalSearch/MTD6N10E1/page-1", "MTD6N10E1")</f>
        <v>MTD6N10E1</v>
      </c>
      <c r="B31636" s="3" t="str">
        <f>HYPERLINK("https://www.773grp.com/manufacturer/onsemi?pageNo=1134", "ON Semiconductor")</f>
        <v>ON Semiconductor</v>
      </c>
      <c r="C31636" s="6">
        <v>19015</v>
      </c>
      <c r="D31636" s="7">
        <v>0.79</v>
      </c>
    </row>
    <row r="31637" spans="1:5" x14ac:dyDescent="0.25">
      <c r="A31637" t="str">
        <f>HYPERLINK("https://www.773grp.com/globalSearch/MUR480E/page-1", "MUR480E")</f>
        <v>MUR480E</v>
      </c>
      <c r="B31637" s="3" t="str">
        <f>HYPERLINK("https://www.773grp.com/manufacturer/onsemi?pageNo=1135", "ON Semiconductor")</f>
        <v>ON Semiconductor</v>
      </c>
      <c r="C31637" s="6">
        <v>18030</v>
      </c>
      <c r="D31637" s="7">
        <v>0.79</v>
      </c>
      <c r="E31637" t="s">
        <v>103</v>
      </c>
    </row>
    <row r="31638" spans="1:5" x14ac:dyDescent="0.25">
      <c r="A31638" t="str">
        <f>HYPERLINK("https://www.773grp.com/globalSearch/MUR480ES/page-1", "MUR480ES")</f>
        <v>MUR480ES</v>
      </c>
      <c r="B31638" s="3" t="str">
        <f>HYPERLINK("https://www.773grp.com/manufacturer/onsemi?pageNo=1136", "ON Semiconductor")</f>
        <v>ON Semiconductor</v>
      </c>
      <c r="C31638" s="6">
        <v>21000</v>
      </c>
      <c r="D31638" s="7">
        <v>0.79</v>
      </c>
      <c r="E31638" t="s">
        <v>103</v>
      </c>
    </row>
    <row r="31639" spans="1:5" x14ac:dyDescent="0.25">
      <c r="A31639" t="str">
        <f>HYPERLINK("https://www.773grp.com/globalSearch/MURS110T3/page-1", "MURS110T3")</f>
        <v>MURS110T3</v>
      </c>
      <c r="B31639" s="3" t="str">
        <f>HYPERLINK("https://www.773grp.com/manufacturer/onsemi?pageNo=1137", "ON Semiconductor")</f>
        <v>ON Semiconductor</v>
      </c>
      <c r="C31639" s="6">
        <v>2500</v>
      </c>
      <c r="D31639" s="7">
        <v>0.79</v>
      </c>
    </row>
    <row r="31640" spans="1:5" x14ac:dyDescent="0.25">
      <c r="A31640" t="str">
        <f>HYPERLINK("https://www.773grp.com/globalSearch/MURS115T3/page-1", "MURS115T3")</f>
        <v>MURS115T3</v>
      </c>
      <c r="B31640" s="3" t="str">
        <f>HYPERLINK("https://www.773grp.com/manufacturer/onsemi?pageNo=1138", "ON Semiconductor")</f>
        <v>ON Semiconductor</v>
      </c>
      <c r="C31640" s="6">
        <v>15000</v>
      </c>
      <c r="D31640" s="7">
        <v>0.79</v>
      </c>
    </row>
    <row r="31641" spans="1:5" x14ac:dyDescent="0.25">
      <c r="A31641" t="str">
        <f>HYPERLINK("https://www.773grp.com/globalSearch/MURS120T3/page-1", "MURS120T3")</f>
        <v>MURS120T3</v>
      </c>
      <c r="B31641" s="3" t="str">
        <f>HYPERLINK("https://www.773grp.com/manufacturer/onsemi?pageNo=1139", "ON Semiconductor")</f>
        <v>ON Semiconductor</v>
      </c>
      <c r="C31641" s="6">
        <v>34000</v>
      </c>
      <c r="D31641" s="7">
        <v>0.79</v>
      </c>
    </row>
    <row r="31642" spans="1:5" x14ac:dyDescent="0.25">
      <c r="A31642" t="str">
        <f>HYPERLINK("https://www.773grp.com/globalSearch/MURS140T3/page-1", "MURS140T3")</f>
        <v>MURS140T3</v>
      </c>
      <c r="B31642" s="3" t="str">
        <f>HYPERLINK("https://www.773grp.com/manufacturer/onsemi?pageNo=1140", "ON Semiconductor")</f>
        <v>ON Semiconductor</v>
      </c>
      <c r="C31642" s="6">
        <v>25000</v>
      </c>
      <c r="D31642" s="7">
        <v>0.79</v>
      </c>
    </row>
    <row r="31643" spans="1:5" x14ac:dyDescent="0.25">
      <c r="A31643" t="str">
        <f>HYPERLINK("https://www.773grp.com/globalSearch/NCP102SNT1G/page-1", "NCP102SNT1G")</f>
        <v>NCP102SNT1G</v>
      </c>
      <c r="B31643" s="3" t="str">
        <f>HYPERLINK("https://www.773grp.com/manufacturer/onsemi?pageNo=1141", "ON Semiconductor")</f>
        <v>ON Semiconductor</v>
      </c>
      <c r="C31643" s="6">
        <v>159000</v>
      </c>
      <c r="D31643" s="7">
        <v>0.79</v>
      </c>
      <c r="E31643" t="s">
        <v>7</v>
      </c>
    </row>
    <row r="31644" spans="1:5" x14ac:dyDescent="0.25">
      <c r="A31644" t="str">
        <f>HYPERLINK("https://www.773grp.com/globalSearch/NCP1117ST12T3G/page-1", "NCP1117ST12T3G")</f>
        <v>NCP1117ST12T3G</v>
      </c>
      <c r="B31644" s="3" t="str">
        <f>HYPERLINK("https://www.773grp.com/manufacturer/onsemi?pageNo=1142", "ON Semiconductor")</f>
        <v>ON Semiconductor</v>
      </c>
      <c r="C31644" s="6">
        <v>411586</v>
      </c>
      <c r="D31644" s="7">
        <v>0.79</v>
      </c>
      <c r="E31644" t="s">
        <v>19</v>
      </c>
    </row>
    <row r="31645" spans="1:5" x14ac:dyDescent="0.25">
      <c r="A31645" t="str">
        <f>HYPERLINK("https://www.773grp.com/globalSearch/NCP1117ST15T3G/page-1", "NCP1117ST15T3G")</f>
        <v>NCP1117ST15T3G</v>
      </c>
      <c r="B31645" s="3" t="str">
        <f>HYPERLINK("https://www.773grp.com/manufacturer/onsemi?pageNo=1143", "ON Semiconductor")</f>
        <v>ON Semiconductor</v>
      </c>
      <c r="C31645" s="6">
        <v>30360</v>
      </c>
      <c r="D31645" s="7">
        <v>0.79</v>
      </c>
      <c r="E31645" t="s">
        <v>19</v>
      </c>
    </row>
    <row r="31646" spans="1:5" x14ac:dyDescent="0.25">
      <c r="A31646" t="str">
        <f>HYPERLINK("https://www.773grp.com/globalSearch/NCP1117ST18T3G/page-1", "NCP1117ST18T3G")</f>
        <v>NCP1117ST18T3G</v>
      </c>
      <c r="B31646" s="3" t="str">
        <f>HYPERLINK("https://www.773grp.com/manufacturer/onsemi?pageNo=1144", "ON Semiconductor")</f>
        <v>ON Semiconductor</v>
      </c>
      <c r="C31646" s="6">
        <v>112614</v>
      </c>
      <c r="D31646" s="7">
        <v>0.79</v>
      </c>
      <c r="E31646" t="s">
        <v>19</v>
      </c>
    </row>
    <row r="31647" spans="1:5" x14ac:dyDescent="0.25">
      <c r="A31647" t="str">
        <f>HYPERLINK("https://www.773grp.com/globalSearch/NCP1117ST20T3G/page-1", "NCP1117ST20T3G")</f>
        <v>NCP1117ST20T3G</v>
      </c>
      <c r="B31647" s="3" t="str">
        <f>HYPERLINK("https://www.773grp.com/manufacturer/onsemi?pageNo=1145", "ON Semiconductor")</f>
        <v>ON Semiconductor</v>
      </c>
      <c r="C31647" s="6">
        <v>151131</v>
      </c>
      <c r="D31647" s="7">
        <v>0.79</v>
      </c>
      <c r="E31647" t="s">
        <v>19</v>
      </c>
    </row>
    <row r="31648" spans="1:5" x14ac:dyDescent="0.25">
      <c r="A31648" t="str">
        <f>HYPERLINK("https://www.773grp.com/globalSearch/NCP1117ST25T3G/page-1", "NCP1117ST25T3G")</f>
        <v>NCP1117ST25T3G</v>
      </c>
      <c r="B31648" s="3" t="str">
        <f>HYPERLINK("https://www.773grp.com/manufacturer/onsemi?pageNo=1146", "ON Semiconductor")</f>
        <v>ON Semiconductor</v>
      </c>
      <c r="C31648" s="6">
        <v>386642</v>
      </c>
      <c r="D31648" s="7">
        <v>0.79</v>
      </c>
      <c r="E31648" t="s">
        <v>19</v>
      </c>
    </row>
    <row r="31649" spans="1:5" x14ac:dyDescent="0.25">
      <c r="A31649" t="str">
        <f>HYPERLINK("https://www.773grp.com/globalSearch/NCP1117ST285T3G/page-1", "NCP1117ST285T3G")</f>
        <v>NCP1117ST285T3G</v>
      </c>
      <c r="B31649" s="3" t="str">
        <f>HYPERLINK("https://www.773grp.com/manufacturer/onsemi?pageNo=1147", "ON Semiconductor")</f>
        <v>ON Semiconductor</v>
      </c>
      <c r="C31649" s="6">
        <v>5786</v>
      </c>
      <c r="D31649" s="7">
        <v>0.79</v>
      </c>
      <c r="E31649" t="s">
        <v>19</v>
      </c>
    </row>
    <row r="31650" spans="1:5" x14ac:dyDescent="0.25">
      <c r="A31650" t="str">
        <f>HYPERLINK("https://www.773grp.com/globalSearch/NCP1117ST33T3G/page-1", "NCP1117ST33T3G")</f>
        <v>NCP1117ST33T3G</v>
      </c>
      <c r="B31650" s="3" t="str">
        <f>HYPERLINK("https://www.773grp.com/manufacturer/onsemi?pageNo=1148", "ON Semiconductor")</f>
        <v>ON Semiconductor</v>
      </c>
      <c r="C31650" s="6">
        <v>320595</v>
      </c>
      <c r="D31650" s="7">
        <v>0.79</v>
      </c>
      <c r="E31650" t="s">
        <v>19</v>
      </c>
    </row>
    <row r="31651" spans="1:5" x14ac:dyDescent="0.25">
      <c r="A31651" t="str">
        <f>HYPERLINK("https://www.773grp.com/globalSearch/NCP1117ST50T3G/page-1", "NCP1117ST50T3G")</f>
        <v>NCP1117ST50T3G</v>
      </c>
      <c r="B31651" s="3" t="str">
        <f>HYPERLINK("https://www.773grp.com/manufacturer/onsemi?pageNo=1149", "ON Semiconductor")</f>
        <v>ON Semiconductor</v>
      </c>
      <c r="C31651" s="6">
        <v>120000</v>
      </c>
      <c r="D31651" s="7">
        <v>0.79</v>
      </c>
      <c r="E31651" t="s">
        <v>19</v>
      </c>
    </row>
    <row r="31652" spans="1:5" x14ac:dyDescent="0.25">
      <c r="A31652" t="str">
        <f>HYPERLINK("https://www.773grp.com/globalSearch/NCP1117STAT3G/page-1", "NCP1117STAT3G")</f>
        <v>NCP1117STAT3G</v>
      </c>
      <c r="B31652" s="3" t="str">
        <f>HYPERLINK("https://www.773grp.com/manufacturer/onsemi?pageNo=1150", "ON Semiconductor")</f>
        <v>ON Semiconductor</v>
      </c>
      <c r="C31652" s="6">
        <v>138917</v>
      </c>
      <c r="D31652" s="7">
        <v>0.79</v>
      </c>
      <c r="E31652" t="s">
        <v>25</v>
      </c>
    </row>
    <row r="31653" spans="1:5" x14ac:dyDescent="0.25">
      <c r="A31653" t="str">
        <f>HYPERLINK("https://www.773grp.com/globalSearch/NCP1200AD60R2G/page-1", "NCP1200AD60R2G")</f>
        <v>NCP1200AD60R2G</v>
      </c>
      <c r="B31653" s="3" t="str">
        <f>HYPERLINK("https://www.773grp.com/manufacturer/onsemi?pageNo=1151", "ON Semiconductor")</f>
        <v>ON Semiconductor</v>
      </c>
      <c r="C31653" s="6">
        <v>3000</v>
      </c>
      <c r="D31653" s="7">
        <v>0.79</v>
      </c>
      <c r="E31653" t="s">
        <v>7</v>
      </c>
    </row>
    <row r="31654" spans="1:5" x14ac:dyDescent="0.25">
      <c r="A31654" t="str">
        <f>HYPERLINK("https://www.773grp.com/globalSearch/NCP1200D100R2/page-1", "NCP1200D100R2")</f>
        <v>NCP1200D100R2</v>
      </c>
      <c r="B31654" s="3" t="str">
        <f>HYPERLINK("https://www.773grp.com/manufacturer/onsemi?pageNo=1152", "ON Semiconductor")</f>
        <v>ON Semiconductor</v>
      </c>
      <c r="C31654" s="6">
        <v>9590</v>
      </c>
      <c r="D31654" s="7">
        <v>0.79</v>
      </c>
      <c r="E31654" t="s">
        <v>7</v>
      </c>
    </row>
    <row r="31655" spans="1:5" x14ac:dyDescent="0.25">
      <c r="A31655" t="str">
        <f>HYPERLINK("https://www.773grp.com/globalSearch/NCP1200D40R2/page-1", "NCP1200D40R2")</f>
        <v>NCP1200D40R2</v>
      </c>
      <c r="B31655" s="3" t="str">
        <f>HYPERLINK("https://www.773grp.com/manufacturer/onsemi?pageNo=1153", "ON Semiconductor")</f>
        <v>ON Semiconductor</v>
      </c>
      <c r="C31655" s="6">
        <v>9983</v>
      </c>
      <c r="D31655" s="7">
        <v>0.79</v>
      </c>
      <c r="E31655" t="s">
        <v>7</v>
      </c>
    </row>
    <row r="31656" spans="1:5" x14ac:dyDescent="0.25">
      <c r="A31656" t="str">
        <f>HYPERLINK("https://www.773grp.com/globalSearch/NCP1200D60R2/page-1", "NCP1200D60R2")</f>
        <v>NCP1200D60R2</v>
      </c>
      <c r="B31656" s="3" t="str">
        <f>HYPERLINK("https://www.773grp.com/manufacturer/onsemi?pageNo=1154", "ON Semiconductor")</f>
        <v>ON Semiconductor</v>
      </c>
      <c r="C31656" s="6">
        <v>2401</v>
      </c>
      <c r="D31656" s="7">
        <v>0.79</v>
      </c>
      <c r="E31656" t="s">
        <v>7</v>
      </c>
    </row>
    <row r="31657" spans="1:5" x14ac:dyDescent="0.25">
      <c r="A31657" t="str">
        <f>HYPERLINK("https://www.773grp.com/globalSearch/NCP1201D100R2/page-1", "NCP1201D100R2")</f>
        <v>NCP1201D100R2</v>
      </c>
      <c r="B31657" s="3" t="str">
        <f>HYPERLINK("https://www.773grp.com/manufacturer/onsemi?pageNo=1155", "ON Semiconductor")</f>
        <v>ON Semiconductor</v>
      </c>
      <c r="C31657" s="6">
        <v>15000</v>
      </c>
      <c r="D31657" s="7">
        <v>0.79</v>
      </c>
      <c r="E31657" t="s">
        <v>7</v>
      </c>
    </row>
    <row r="31658" spans="1:5" x14ac:dyDescent="0.25">
      <c r="A31658" t="str">
        <f>HYPERLINK("https://www.773grp.com/globalSearch/NCP1201D60R2/page-1", "NCP1201D60R2")</f>
        <v>NCP1201D60R2</v>
      </c>
      <c r="B31658" s="3" t="str">
        <f>HYPERLINK("https://www.773grp.com/manufacturer/onsemi?pageNo=1156", "ON Semiconductor")</f>
        <v>ON Semiconductor</v>
      </c>
      <c r="C31658" s="6">
        <v>25000</v>
      </c>
      <c r="D31658" s="7">
        <v>0.79</v>
      </c>
      <c r="E31658" t="s">
        <v>7</v>
      </c>
    </row>
    <row r="31659" spans="1:5" x14ac:dyDescent="0.25">
      <c r="A31659" t="str">
        <f>HYPERLINK("https://www.773grp.com/globalSearch/NCP1201D60R2G/page-1", "NCP1201D60R2G")</f>
        <v>NCP1201D60R2G</v>
      </c>
      <c r="B31659" s="3" t="str">
        <f>HYPERLINK("https://www.773grp.com/manufacturer/onsemi?pageNo=1157", "ON Semiconductor")</f>
        <v>ON Semiconductor</v>
      </c>
      <c r="C31659" s="6">
        <v>12479</v>
      </c>
      <c r="D31659" s="7">
        <v>0.79</v>
      </c>
      <c r="E31659" t="s">
        <v>7</v>
      </c>
    </row>
    <row r="31660" spans="1:5" x14ac:dyDescent="0.25">
      <c r="A31660" t="str">
        <f>HYPERLINK("https://www.773grp.com/globalSearch/NCP1203D100R2/page-1", "NCP1203D100R2")</f>
        <v>NCP1203D100R2</v>
      </c>
      <c r="B31660" s="3" t="str">
        <f>HYPERLINK("https://www.773grp.com/manufacturer/onsemi?pageNo=1158", "ON Semiconductor")</f>
        <v>ON Semiconductor</v>
      </c>
      <c r="C31660" s="6">
        <v>60600</v>
      </c>
      <c r="D31660" s="7">
        <v>0.79</v>
      </c>
      <c r="E31660" t="s">
        <v>7</v>
      </c>
    </row>
    <row r="31661" spans="1:5" x14ac:dyDescent="0.25">
      <c r="A31661" t="str">
        <f>HYPERLINK("https://www.773grp.com/globalSearch/NCP1203D40R2/page-1", "NCP1203D40R2")</f>
        <v>NCP1203D40R2</v>
      </c>
      <c r="B31661" s="3" t="str">
        <f>HYPERLINK("https://www.773grp.com/manufacturer/onsemi?pageNo=1159", "ON Semiconductor")</f>
        <v>ON Semiconductor</v>
      </c>
      <c r="C31661" s="6">
        <v>30000</v>
      </c>
      <c r="D31661" s="7">
        <v>0.79</v>
      </c>
      <c r="E31661" t="s">
        <v>7</v>
      </c>
    </row>
    <row r="31662" spans="1:5" x14ac:dyDescent="0.25">
      <c r="A31662" t="str">
        <f>HYPERLINK("https://www.773grp.com/globalSearch/NCP1203D60R2/page-1", "NCP1203D60R2")</f>
        <v>NCP1203D60R2</v>
      </c>
      <c r="B31662" s="3" t="str">
        <f>HYPERLINK("https://www.773grp.com/manufacturer/onsemi?pageNo=1160", "ON Semiconductor")</f>
        <v>ON Semiconductor</v>
      </c>
      <c r="C31662" s="6">
        <v>100561</v>
      </c>
      <c r="D31662" s="7">
        <v>0.79</v>
      </c>
      <c r="E31662" t="s">
        <v>7</v>
      </c>
    </row>
    <row r="31663" spans="1:5" x14ac:dyDescent="0.25">
      <c r="A31663" t="str">
        <f>HYPERLINK("https://www.773grp.com/globalSearch/NCP1253ASN100T1G/page-1", "NCP1253ASN100T1G")</f>
        <v>NCP1253ASN100T1G</v>
      </c>
      <c r="B31663" s="3" t="str">
        <f>HYPERLINK("https://www.773grp.com/manufacturer/onsemi?pageNo=1161", "ON Semiconductor")</f>
        <v>ON Semiconductor</v>
      </c>
      <c r="C31663" s="6">
        <v>21000</v>
      </c>
      <c r="D31663" s="7">
        <v>0.79</v>
      </c>
    </row>
    <row r="31664" spans="1:5" x14ac:dyDescent="0.25">
      <c r="A31664" t="str">
        <f>HYPERLINK("https://www.773grp.com/globalSearch/NCP1400ASN22T1/page-1", "NCP1400ASN22T1")</f>
        <v>NCP1400ASN22T1</v>
      </c>
      <c r="B31664" s="3" t="str">
        <f>HYPERLINK("https://www.773grp.com/manufacturer/onsemi?pageNo=1162", "ON Semiconductor")</f>
        <v>ON Semiconductor</v>
      </c>
      <c r="C31664" s="6">
        <v>92940</v>
      </c>
      <c r="D31664" s="7">
        <v>0.79</v>
      </c>
      <c r="E31664" t="s">
        <v>7</v>
      </c>
    </row>
    <row r="31665" spans="1:5" x14ac:dyDescent="0.25">
      <c r="A31665" t="str">
        <f>HYPERLINK("https://www.773grp.com/globalSearch/NCP1400ASN30T1/page-1", "NCP1400ASN30T1")</f>
        <v>NCP1400ASN30T1</v>
      </c>
      <c r="B31665" s="3" t="str">
        <f>HYPERLINK("https://www.773grp.com/manufacturer/onsemi?pageNo=1163", "ON Semiconductor")</f>
        <v>ON Semiconductor</v>
      </c>
      <c r="C31665" s="6">
        <v>2912</v>
      </c>
      <c r="D31665" s="7">
        <v>0.79</v>
      </c>
      <c r="E31665" t="s">
        <v>7</v>
      </c>
    </row>
    <row r="31666" spans="1:5" x14ac:dyDescent="0.25">
      <c r="A31666" t="str">
        <f>HYPERLINK("https://www.773grp.com/globalSearch/NCP1400ASN45T1/page-1", "NCP1400ASN45T1")</f>
        <v>NCP1400ASN45T1</v>
      </c>
      <c r="B31666" s="3" t="str">
        <f>HYPERLINK("https://www.773grp.com/manufacturer/onsemi?pageNo=1164", "ON Semiconductor")</f>
        <v>ON Semiconductor</v>
      </c>
      <c r="C31666" s="6">
        <v>24000</v>
      </c>
      <c r="D31666" s="7">
        <v>0.79</v>
      </c>
      <c r="E31666" t="s">
        <v>7</v>
      </c>
    </row>
    <row r="31667" spans="1:5" x14ac:dyDescent="0.25">
      <c r="A31667" t="str">
        <f>HYPERLINK("https://www.773grp.com/globalSearch/NCP300HSN47T1/page-1", "NCP300HSN47T1")</f>
        <v>NCP300HSN47T1</v>
      </c>
      <c r="B31667" s="3" t="str">
        <f>HYPERLINK("https://www.773grp.com/manufacturer/onsemi?pageNo=1165", "ON Semiconductor")</f>
        <v>ON Semiconductor</v>
      </c>
      <c r="C31667" s="6">
        <v>9000</v>
      </c>
      <c r="D31667" s="7">
        <v>0.79</v>
      </c>
      <c r="E31667" t="s">
        <v>30</v>
      </c>
    </row>
    <row r="31668" spans="1:5" x14ac:dyDescent="0.25">
      <c r="A31668" t="str">
        <f>HYPERLINK("https://www.773grp.com/globalSearch/NCP302HSN40T1/page-1", "NCP302HSN40T1")</f>
        <v>NCP302HSN40T1</v>
      </c>
      <c r="B31668" s="3" t="str">
        <f>HYPERLINK("https://www.773grp.com/manufacturer/onsemi?pageNo=1166", "ON Semiconductor")</f>
        <v>ON Semiconductor</v>
      </c>
      <c r="C31668" s="6">
        <v>6000</v>
      </c>
      <c r="D31668" s="7">
        <v>0.79</v>
      </c>
      <c r="E31668" t="s">
        <v>30</v>
      </c>
    </row>
    <row r="31669" spans="1:5" x14ac:dyDescent="0.25">
      <c r="A31669" t="str">
        <f>HYPERLINK("https://www.773grp.com/globalSearch/NCP302LSN43T1/page-1", "NCP302LSN43T1")</f>
        <v>NCP302LSN43T1</v>
      </c>
      <c r="B31669" s="3" t="str">
        <f>HYPERLINK("https://www.773grp.com/manufacturer/onsemi?pageNo=1167", "ON Semiconductor")</f>
        <v>ON Semiconductor</v>
      </c>
      <c r="C31669" s="6">
        <v>21000</v>
      </c>
      <c r="D31669" s="7">
        <v>0.79</v>
      </c>
      <c r="E31669" t="s">
        <v>30</v>
      </c>
    </row>
    <row r="31670" spans="1:5" x14ac:dyDescent="0.25">
      <c r="A31670" t="str">
        <f>HYPERLINK("https://www.773grp.com/globalSearch/NCP303LSN16T1/page-1", "NCP303LSN16T1")</f>
        <v>NCP303LSN16T1</v>
      </c>
      <c r="B31670" s="3" t="str">
        <f>HYPERLINK("https://www.773grp.com/manufacturer/onsemi?pageNo=1168", "ON Semiconductor")</f>
        <v>ON Semiconductor</v>
      </c>
      <c r="C31670" s="6">
        <v>2880</v>
      </c>
      <c r="D31670" s="7">
        <v>0.79</v>
      </c>
      <c r="E31670" t="s">
        <v>30</v>
      </c>
    </row>
    <row r="31671" spans="1:5" x14ac:dyDescent="0.25">
      <c r="A31671" t="str">
        <f>HYPERLINK("https://www.773grp.com/globalSearch/NCP303LSN32T1/page-1", "NCP303LSN32T1")</f>
        <v>NCP303LSN32T1</v>
      </c>
      <c r="B31671" s="3" t="str">
        <f>HYPERLINK("https://www.773grp.com/manufacturer/onsemi?pageNo=1169", "ON Semiconductor")</f>
        <v>ON Semiconductor</v>
      </c>
      <c r="C31671" s="6">
        <v>2950</v>
      </c>
      <c r="D31671" s="7">
        <v>0.79</v>
      </c>
      <c r="E31671" t="s">
        <v>30</v>
      </c>
    </row>
    <row r="31672" spans="1:5" x14ac:dyDescent="0.25">
      <c r="A31672" t="str">
        <f>HYPERLINK("https://www.773grp.com/globalSearch/NCP303LSN34T1/page-1", "NCP303LSN34T1")</f>
        <v>NCP303LSN34T1</v>
      </c>
      <c r="B31672" s="3" t="str">
        <f>HYPERLINK("https://www.773grp.com/manufacturer/onsemi?pageNo=1170", "ON Semiconductor")</f>
        <v>ON Semiconductor</v>
      </c>
      <c r="C31672" s="6">
        <v>11960</v>
      </c>
      <c r="D31672" s="7">
        <v>0.79</v>
      </c>
      <c r="E31672" t="s">
        <v>30</v>
      </c>
    </row>
    <row r="31673" spans="1:5" x14ac:dyDescent="0.25">
      <c r="A31673" t="str">
        <f>HYPERLINK("https://www.773grp.com/globalSearch/NCP303LSN42T1/page-1", "NCP303LSN42T1")</f>
        <v>NCP303LSN42T1</v>
      </c>
      <c r="B31673" s="3" t="str">
        <f>HYPERLINK("https://www.773grp.com/manufacturer/onsemi?pageNo=1171", "ON Semiconductor")</f>
        <v>ON Semiconductor</v>
      </c>
      <c r="C31673" s="6">
        <v>12980</v>
      </c>
      <c r="D31673" s="7">
        <v>0.79</v>
      </c>
      <c r="E31673" t="s">
        <v>30</v>
      </c>
    </row>
    <row r="31674" spans="1:5" x14ac:dyDescent="0.25">
      <c r="A31674" t="str">
        <f>HYPERLINK("https://www.773grp.com/globalSearch/NCP380HMU05AATBG/page-1", "NCP380HMU05AATBG")</f>
        <v>NCP380HMU05AATBG</v>
      </c>
      <c r="B31674" s="3" t="str">
        <f>HYPERLINK("https://www.773grp.com/manufacturer/onsemi?pageNo=1172", "ON Semiconductor")</f>
        <v>ON Semiconductor</v>
      </c>
      <c r="C31674" s="6">
        <v>18000</v>
      </c>
      <c r="D31674" s="7">
        <v>0.79</v>
      </c>
    </row>
    <row r="31675" spans="1:5" x14ac:dyDescent="0.25">
      <c r="A31675" t="str">
        <f>HYPERLINK("https://www.773grp.com/globalSearch/NCP380HMU15AATBG/page-1", "NCP380HMU15AATBG")</f>
        <v>NCP380HMU15AATBG</v>
      </c>
      <c r="B31675" s="3" t="str">
        <f>HYPERLINK("https://www.773grp.com/manufacturer/onsemi?pageNo=1173", "ON Semiconductor")</f>
        <v>ON Semiconductor</v>
      </c>
      <c r="C31675" s="6">
        <v>3000</v>
      </c>
      <c r="D31675" s="7">
        <v>0.79</v>
      </c>
    </row>
    <row r="31676" spans="1:5" x14ac:dyDescent="0.25">
      <c r="A31676" t="str">
        <f>HYPERLINK("https://www.773grp.com/globalSearch/NCP380HMU21AATBG/page-1", "NCP380HMU21AATBG")</f>
        <v>NCP380HMU21AATBG</v>
      </c>
      <c r="B31676" s="3" t="str">
        <f>HYPERLINK("https://www.773grp.com/manufacturer/onsemi?pageNo=1174", "ON Semiconductor")</f>
        <v>ON Semiconductor</v>
      </c>
      <c r="C31676" s="6">
        <v>6000</v>
      </c>
      <c r="D31676" s="7">
        <v>0.79</v>
      </c>
    </row>
    <row r="31677" spans="1:5" x14ac:dyDescent="0.25">
      <c r="A31677" t="str">
        <f>HYPERLINK("https://www.773grp.com/globalSearch/NCP380LMU05AATBG/page-1", "NCP380LMU05AATBG")</f>
        <v>NCP380LMU05AATBG</v>
      </c>
      <c r="B31677" s="3" t="str">
        <f>HYPERLINK("https://www.773grp.com/manufacturer/onsemi?pageNo=1175", "ON Semiconductor")</f>
        <v>ON Semiconductor</v>
      </c>
      <c r="C31677" s="6">
        <v>3000</v>
      </c>
      <c r="D31677" s="7">
        <v>0.79</v>
      </c>
    </row>
    <row r="31678" spans="1:5" x14ac:dyDescent="0.25">
      <c r="A31678" t="str">
        <f>HYPERLINK("https://www.773grp.com/globalSearch/NCP380LMU15AATBG/page-1", "NCP380LMU15AATBG")</f>
        <v>NCP380LMU15AATBG</v>
      </c>
      <c r="B31678" s="3" t="str">
        <f>HYPERLINK("https://www.773grp.com/manufacturer/onsemi?pageNo=1176", "ON Semiconductor")</f>
        <v>ON Semiconductor</v>
      </c>
      <c r="C31678" s="6">
        <v>9000</v>
      </c>
      <c r="D31678" s="7">
        <v>0.79</v>
      </c>
    </row>
    <row r="31679" spans="1:5" x14ac:dyDescent="0.25">
      <c r="A31679" t="str">
        <f>HYPERLINK("https://www.773grp.com/globalSearch/NCP435FCT2G/page-1", "NCP435FCT2G")</f>
        <v>NCP435FCT2G</v>
      </c>
      <c r="B31679" s="3" t="str">
        <f>HYPERLINK("https://www.773grp.com/manufacturer/onsemi?pageNo=1177", "ON Semiconductor")</f>
        <v>ON Semiconductor</v>
      </c>
      <c r="C31679" s="6">
        <v>327000</v>
      </c>
      <c r="D31679" s="7">
        <v>0.79</v>
      </c>
    </row>
    <row r="31680" spans="1:5" x14ac:dyDescent="0.25">
      <c r="A31680" t="str">
        <f>HYPERLINK("https://www.773grp.com/globalSearch/NCP508MT15TBG/page-1", "NCP508MT15TBG")</f>
        <v>NCP508MT15TBG</v>
      </c>
      <c r="B31680" s="3" t="str">
        <f>HYPERLINK("https://www.773grp.com/manufacturer/onsemi?pageNo=1178", "ON Semiconductor")</f>
        <v>ON Semiconductor</v>
      </c>
      <c r="C31680" s="6">
        <v>6000</v>
      </c>
      <c r="D31680" s="7">
        <v>0.79</v>
      </c>
    </row>
    <row r="31681" spans="1:5" x14ac:dyDescent="0.25">
      <c r="A31681" t="str">
        <f>HYPERLINK("https://www.773grp.com/globalSearch/NCP508MT18TBG/page-1", "NCP508MT18TBG")</f>
        <v>NCP508MT18TBG</v>
      </c>
      <c r="B31681" s="3" t="str">
        <f>HYPERLINK("https://www.773grp.com/manufacturer/onsemi?pageNo=1179", "ON Semiconductor")</f>
        <v>ON Semiconductor</v>
      </c>
      <c r="C31681" s="6">
        <v>27000</v>
      </c>
      <c r="D31681" s="7">
        <v>0.79</v>
      </c>
    </row>
    <row r="31682" spans="1:5" x14ac:dyDescent="0.25">
      <c r="A31682" t="str">
        <f>HYPERLINK("https://www.773grp.com/globalSearch/NCP508MT25TBG/page-1", "NCP508MT25TBG")</f>
        <v>NCP508MT25TBG</v>
      </c>
      <c r="B31682" s="3" t="str">
        <f>HYPERLINK("https://www.773grp.com/manufacturer/onsemi?pageNo=1180", "ON Semiconductor")</f>
        <v>ON Semiconductor</v>
      </c>
      <c r="C31682" s="6">
        <v>9000</v>
      </c>
      <c r="D31682" s="7">
        <v>0.79</v>
      </c>
    </row>
    <row r="31683" spans="1:5" x14ac:dyDescent="0.25">
      <c r="A31683" t="str">
        <f>HYPERLINK("https://www.773grp.com/globalSearch/NCP508MT28TBG/page-1", "NCP508MT28TBG")</f>
        <v>NCP508MT28TBG</v>
      </c>
      <c r="B31683" s="3" t="str">
        <f>HYPERLINK("https://www.773grp.com/manufacturer/onsemi?pageNo=1181", "ON Semiconductor")</f>
        <v>ON Semiconductor</v>
      </c>
      <c r="C31683" s="6">
        <v>6000</v>
      </c>
      <c r="D31683" s="7">
        <v>0.79</v>
      </c>
    </row>
    <row r="31684" spans="1:5" x14ac:dyDescent="0.25">
      <c r="A31684" t="str">
        <f>HYPERLINK("https://www.773grp.com/globalSearch/NCP508MT30TBG/page-1", "NCP508MT30TBG")</f>
        <v>NCP508MT30TBG</v>
      </c>
      <c r="B31684" s="3" t="str">
        <f>HYPERLINK("https://www.773grp.com/manufacturer/onsemi?pageNo=1182", "ON Semiconductor")</f>
        <v>ON Semiconductor</v>
      </c>
      <c r="C31684" s="6">
        <v>42000</v>
      </c>
      <c r="D31684" s="7">
        <v>0.79</v>
      </c>
    </row>
    <row r="31685" spans="1:5" x14ac:dyDescent="0.25">
      <c r="A31685" t="str">
        <f>HYPERLINK("https://www.773grp.com/globalSearch/NCP508MT33TBG/page-1", "NCP508MT33TBG")</f>
        <v>NCP508MT33TBG</v>
      </c>
      <c r="B31685" s="3" t="str">
        <f>HYPERLINK("https://www.773grp.com/manufacturer/onsemi?pageNo=1183", "ON Semiconductor")</f>
        <v>ON Semiconductor</v>
      </c>
      <c r="C31685" s="6">
        <v>8000</v>
      </c>
      <c r="D31685" s="7">
        <v>0.79</v>
      </c>
    </row>
    <row r="31686" spans="1:5" x14ac:dyDescent="0.25">
      <c r="A31686" t="str">
        <f>HYPERLINK("https://www.773grp.com/globalSearch/NCP508SQ15T1G/page-1", "NCP508SQ15T1G")</f>
        <v>NCP508SQ15T1G</v>
      </c>
      <c r="B31686" s="3" t="str">
        <f>HYPERLINK("https://www.773grp.com/manufacturer/onsemi?pageNo=1184", "ON Semiconductor")</f>
        <v>ON Semiconductor</v>
      </c>
      <c r="C31686" s="6">
        <v>297000</v>
      </c>
      <c r="D31686" s="7">
        <v>0.79</v>
      </c>
      <c r="E31686" t="s">
        <v>19</v>
      </c>
    </row>
    <row r="31687" spans="1:5" x14ac:dyDescent="0.25">
      <c r="A31687" t="str">
        <f>HYPERLINK("https://www.773grp.com/globalSearch/NCP508SQ18T1G/page-1", "NCP508SQ18T1G")</f>
        <v>NCP508SQ18T1G</v>
      </c>
      <c r="B31687" s="3" t="str">
        <f>HYPERLINK("https://www.773grp.com/manufacturer/onsemi?pageNo=1185", "ON Semiconductor")</f>
        <v>ON Semiconductor</v>
      </c>
      <c r="C31687" s="6">
        <v>2790</v>
      </c>
      <c r="D31687" s="7">
        <v>0.79</v>
      </c>
    </row>
    <row r="31688" spans="1:5" x14ac:dyDescent="0.25">
      <c r="A31688" t="str">
        <f>HYPERLINK("https://www.773grp.com/globalSearch/NCP508SQ25T1G/page-1", "NCP508SQ25T1G")</f>
        <v>NCP508SQ25T1G</v>
      </c>
      <c r="B31688" s="3" t="str">
        <f>HYPERLINK("https://www.773grp.com/manufacturer/onsemi?pageNo=1186", "ON Semiconductor")</f>
        <v>ON Semiconductor</v>
      </c>
      <c r="C31688" s="6">
        <v>6000</v>
      </c>
      <c r="D31688" s="7">
        <v>0.79</v>
      </c>
      <c r="E31688" t="s">
        <v>19</v>
      </c>
    </row>
    <row r="31689" spans="1:5" x14ac:dyDescent="0.25">
      <c r="A31689" t="str">
        <f>HYPERLINK("https://www.773grp.com/globalSearch/NCP508SQ28T1G/page-1", "NCP508SQ28T1G")</f>
        <v>NCP508SQ28T1G</v>
      </c>
      <c r="B31689" s="3" t="str">
        <f>HYPERLINK("https://www.773grp.com/manufacturer/onsemi?pageNo=1187", "ON Semiconductor")</f>
        <v>ON Semiconductor</v>
      </c>
      <c r="C31689" s="6">
        <v>5900</v>
      </c>
      <c r="D31689" s="7">
        <v>0.79</v>
      </c>
    </row>
    <row r="31690" spans="1:5" x14ac:dyDescent="0.25">
      <c r="A31690" t="str">
        <f>HYPERLINK("https://www.773grp.com/globalSearch/NCP508SQ30T1G/page-1", "NCP508SQ30T1G")</f>
        <v>NCP508SQ30T1G</v>
      </c>
      <c r="B31690" s="3" t="str">
        <f>HYPERLINK("https://www.773grp.com/manufacturer/onsemi?pageNo=1188", "ON Semiconductor")</f>
        <v>ON Semiconductor</v>
      </c>
      <c r="C31690" s="6">
        <v>6000</v>
      </c>
      <c r="D31690" s="7">
        <v>0.79</v>
      </c>
      <c r="E31690" t="s">
        <v>19</v>
      </c>
    </row>
    <row r="31691" spans="1:5" x14ac:dyDescent="0.25">
      <c r="A31691" t="str">
        <f>HYPERLINK("https://www.773grp.com/globalSearch/NCP508SQ33T1G/page-1", "NCP508SQ33T1G")</f>
        <v>NCP508SQ33T1G</v>
      </c>
      <c r="B31691" s="3" t="str">
        <f>HYPERLINK("https://www.773grp.com/manufacturer/onsemi?pageNo=1189", "ON Semiconductor")</f>
        <v>ON Semiconductor</v>
      </c>
      <c r="C31691" s="6">
        <v>12000</v>
      </c>
      <c r="D31691" s="7">
        <v>0.79</v>
      </c>
      <c r="E31691" t="s">
        <v>19</v>
      </c>
    </row>
    <row r="31692" spans="1:5" x14ac:dyDescent="0.25">
      <c r="A31692" t="str">
        <f>HYPERLINK("https://www.773grp.com/globalSearch/NCP698SQ18T1G/page-1", "NCP698SQ18T1G")</f>
        <v>NCP698SQ18T1G</v>
      </c>
      <c r="B31692" s="3" t="str">
        <f>HYPERLINK("https://www.773grp.com/manufacturer/onsemi?pageNo=1190", "ON Semiconductor")</f>
        <v>ON Semiconductor</v>
      </c>
      <c r="C31692" s="6">
        <v>9000</v>
      </c>
      <c r="D31692" s="7">
        <v>0.79</v>
      </c>
    </row>
    <row r="31693" spans="1:5" x14ac:dyDescent="0.25">
      <c r="A31693" t="str">
        <f>HYPERLINK("https://www.773grp.com/globalSearch/NCP698SQ25T1G/page-1", "NCP698SQ25T1G")</f>
        <v>NCP698SQ25T1G</v>
      </c>
      <c r="B31693" s="3" t="str">
        <f>HYPERLINK("https://www.773grp.com/manufacturer/onsemi?pageNo=1191", "ON Semiconductor")</f>
        <v>ON Semiconductor</v>
      </c>
      <c r="C31693" s="6">
        <v>3285</v>
      </c>
      <c r="D31693" s="7">
        <v>0.79</v>
      </c>
    </row>
    <row r="31694" spans="1:5" x14ac:dyDescent="0.25">
      <c r="A31694" t="str">
        <f>HYPERLINK("https://www.773grp.com/globalSearch/NCP698SQ35T1G/page-1", "NCP698SQ35T1G")</f>
        <v>NCP698SQ35T1G</v>
      </c>
      <c r="B31694" s="3" t="str">
        <f>HYPERLINK("https://www.773grp.com/manufacturer/onsemi?pageNo=1192", "ON Semiconductor")</f>
        <v>ON Semiconductor</v>
      </c>
      <c r="C31694" s="6">
        <v>3000</v>
      </c>
      <c r="D31694" s="7">
        <v>0.79</v>
      </c>
      <c r="E31694" t="s">
        <v>19</v>
      </c>
    </row>
    <row r="31695" spans="1:5" x14ac:dyDescent="0.25">
      <c r="A31695" t="str">
        <f>HYPERLINK("https://www.773grp.com/globalSearch/NCP698SQ50T1G/page-1", "NCP698SQ50T1G")</f>
        <v>NCP698SQ50T1G</v>
      </c>
      <c r="B31695" s="3" t="str">
        <f>HYPERLINK("https://www.773grp.com/manufacturer/onsemi?pageNo=1193", "ON Semiconductor")</f>
        <v>ON Semiconductor</v>
      </c>
      <c r="C31695" s="6">
        <v>32690</v>
      </c>
      <c r="D31695" s="7">
        <v>0.79</v>
      </c>
      <c r="E31695" t="s">
        <v>19</v>
      </c>
    </row>
    <row r="31696" spans="1:5" x14ac:dyDescent="0.25">
      <c r="A31696" t="str">
        <f>HYPERLINK("https://www.773grp.com/globalSearch/NCP699SN13T1G/page-1", "NCP699SN13T1G")</f>
        <v>NCP699SN13T1G</v>
      </c>
      <c r="B31696" s="3" t="str">
        <f>HYPERLINK("https://www.773grp.com/manufacturer/onsemi?pageNo=1194", "ON Semiconductor")</f>
        <v>ON Semiconductor</v>
      </c>
      <c r="C31696" s="6">
        <v>23700</v>
      </c>
      <c r="D31696" s="7">
        <v>0.79</v>
      </c>
      <c r="E31696" t="s">
        <v>19</v>
      </c>
    </row>
    <row r="31697" spans="1:5" x14ac:dyDescent="0.25">
      <c r="A31697" t="str">
        <f>HYPERLINK("https://www.773grp.com/globalSearch/NCP699SN14T1G/page-1", "NCP699SN14T1G")</f>
        <v>NCP699SN14T1G</v>
      </c>
      <c r="B31697" s="3" t="str">
        <f>HYPERLINK("https://www.773grp.com/manufacturer/onsemi?pageNo=1195", "ON Semiconductor")</f>
        <v>ON Semiconductor</v>
      </c>
      <c r="C31697" s="6">
        <v>332874</v>
      </c>
      <c r="D31697" s="7">
        <v>0.79</v>
      </c>
      <c r="E31697" t="s">
        <v>19</v>
      </c>
    </row>
    <row r="31698" spans="1:5" x14ac:dyDescent="0.25">
      <c r="A31698" t="str">
        <f>HYPERLINK("https://www.773grp.com/globalSearch/NCP699SN15T1G/page-1", "NCP699SN15T1G")</f>
        <v>NCP699SN15T1G</v>
      </c>
      <c r="B31698" s="3" t="str">
        <f>HYPERLINK("https://www.773grp.com/manufacturer/onsemi?pageNo=1196", "ON Semiconductor")</f>
        <v>ON Semiconductor</v>
      </c>
      <c r="C31698" s="6">
        <v>57000</v>
      </c>
      <c r="D31698" s="7">
        <v>0.79</v>
      </c>
      <c r="E31698" t="s">
        <v>19</v>
      </c>
    </row>
    <row r="31699" spans="1:5" x14ac:dyDescent="0.25">
      <c r="A31699" t="str">
        <f>HYPERLINK("https://www.773grp.com/globalSearch/NCP699SN18T1G/page-1", "NCP699SN18T1G")</f>
        <v>NCP699SN18T1G</v>
      </c>
      <c r="B31699" s="3" t="str">
        <f>HYPERLINK("https://www.773grp.com/manufacturer/onsemi?pageNo=1197", "ON Semiconductor")</f>
        <v>ON Semiconductor</v>
      </c>
      <c r="C31699" s="6">
        <v>5780</v>
      </c>
      <c r="D31699" s="7">
        <v>0.79</v>
      </c>
      <c r="E31699" t="s">
        <v>19</v>
      </c>
    </row>
    <row r="31700" spans="1:5" x14ac:dyDescent="0.25">
      <c r="A31700" t="str">
        <f>HYPERLINK("https://www.773grp.com/globalSearch/NCP699SN25T1G/page-1", "NCP699SN25T1G")</f>
        <v>NCP699SN25T1G</v>
      </c>
      <c r="B31700" s="3" t="str">
        <f>HYPERLINK("https://www.773grp.com/manufacturer/onsemi?pageNo=1198", "ON Semiconductor")</f>
        <v>ON Semiconductor</v>
      </c>
      <c r="C31700" s="6">
        <v>56760</v>
      </c>
      <c r="D31700" s="7">
        <v>0.79</v>
      </c>
      <c r="E31700" t="s">
        <v>19</v>
      </c>
    </row>
    <row r="31701" spans="1:5" x14ac:dyDescent="0.25">
      <c r="A31701" t="str">
        <f>HYPERLINK("https://www.773grp.com/globalSearch/NCP699SN28T1G/page-1", "NCP699SN28T1G")</f>
        <v>NCP699SN28T1G</v>
      </c>
      <c r="B31701" s="3" t="str">
        <f>HYPERLINK("https://www.773grp.com/manufacturer/onsemi?pageNo=1199", "ON Semiconductor")</f>
        <v>ON Semiconductor</v>
      </c>
      <c r="C31701" s="6">
        <v>106561</v>
      </c>
      <c r="D31701" s="7">
        <v>0.79</v>
      </c>
      <c r="E31701" t="s">
        <v>19</v>
      </c>
    </row>
    <row r="31702" spans="1:5" x14ac:dyDescent="0.25">
      <c r="A31702" t="str">
        <f>HYPERLINK("https://www.773grp.com/globalSearch/NCP699SN29T1G/page-1", "NCP699SN29T1G")</f>
        <v>NCP699SN29T1G</v>
      </c>
      <c r="B31702" s="3" t="str">
        <f>HYPERLINK("https://www.773grp.com/manufacturer/onsemi?pageNo=1200", "ON Semiconductor")</f>
        <v>ON Semiconductor</v>
      </c>
      <c r="C31702" s="6">
        <v>9000</v>
      </c>
      <c r="D31702" s="7">
        <v>0.79</v>
      </c>
    </row>
    <row r="31703" spans="1:5" x14ac:dyDescent="0.25">
      <c r="A31703" t="str">
        <f>HYPERLINK("https://www.773grp.com/globalSearch/NCP699SN30T1G/page-1", "NCP699SN30T1G")</f>
        <v>NCP699SN30T1G</v>
      </c>
      <c r="B31703" s="3" t="str">
        <f>HYPERLINK("https://www.773grp.com/manufacturer/onsemi?pageNo=1201", "ON Semiconductor")</f>
        <v>ON Semiconductor</v>
      </c>
      <c r="C31703" s="6">
        <v>4889</v>
      </c>
      <c r="D31703" s="7">
        <v>0.79</v>
      </c>
      <c r="E31703" t="s">
        <v>19</v>
      </c>
    </row>
    <row r="31704" spans="1:5" x14ac:dyDescent="0.25">
      <c r="A31704" t="str">
        <f>HYPERLINK("https://www.773grp.com/globalSearch/NCP699SN31T1G/page-1", "NCP699SN31T1G")</f>
        <v>NCP699SN31T1G</v>
      </c>
      <c r="B31704" s="3" t="str">
        <f>HYPERLINK("https://www.773grp.com/manufacturer/onsemi?pageNo=1202", "ON Semiconductor")</f>
        <v>ON Semiconductor</v>
      </c>
      <c r="C31704" s="6">
        <v>20739</v>
      </c>
      <c r="D31704" s="7">
        <v>0.79</v>
      </c>
      <c r="E31704" t="s">
        <v>19</v>
      </c>
    </row>
    <row r="31705" spans="1:5" x14ac:dyDescent="0.25">
      <c r="A31705" t="str">
        <f>HYPERLINK("https://www.773grp.com/globalSearch/NCP699SN34T1G/page-1", "NCP699SN34T1G")</f>
        <v>NCP699SN34T1G</v>
      </c>
      <c r="B31705" s="3" t="str">
        <f>HYPERLINK("https://www.773grp.com/manufacturer/onsemi?pageNo=1203", "ON Semiconductor")</f>
        <v>ON Semiconductor</v>
      </c>
      <c r="C31705" s="6">
        <v>9000</v>
      </c>
      <c r="D31705" s="7">
        <v>0.79</v>
      </c>
      <c r="E31705" t="s">
        <v>19</v>
      </c>
    </row>
    <row r="31706" spans="1:5" x14ac:dyDescent="0.25">
      <c r="A31706" t="str">
        <f>HYPERLINK("https://www.773grp.com/globalSearch/NCP699SN45T1G/page-1", "NCP699SN45T1G")</f>
        <v>NCP699SN45T1G</v>
      </c>
      <c r="B31706" s="3" t="str">
        <f>HYPERLINK("https://www.773grp.com/manufacturer/onsemi?pageNo=1204", "ON Semiconductor")</f>
        <v>ON Semiconductor</v>
      </c>
      <c r="C31706" s="6">
        <v>1101000</v>
      </c>
      <c r="D31706" s="7">
        <v>0.79</v>
      </c>
    </row>
    <row r="31707" spans="1:5" x14ac:dyDescent="0.25">
      <c r="A31707" t="str">
        <f>HYPERLINK("https://www.773grp.com/globalSearch/NCP699SN50T1G/page-1", "NCP699SN50T1G")</f>
        <v>NCP699SN50T1G</v>
      </c>
      <c r="B31707" s="3" t="str">
        <f>HYPERLINK("https://www.773grp.com/manufacturer/onsemi?pageNo=1205", "ON Semiconductor")</f>
        <v>ON Semiconductor</v>
      </c>
      <c r="C31707" s="6">
        <v>53980</v>
      </c>
      <c r="D31707" s="7">
        <v>0.79</v>
      </c>
      <c r="E31707" t="s">
        <v>19</v>
      </c>
    </row>
    <row r="31708" spans="1:5" x14ac:dyDescent="0.25">
      <c r="A31708" t="str">
        <f>HYPERLINK("https://www.773grp.com/globalSearch/NCP706MX22TAG/page-1", "NCP706MX22TAG")</f>
        <v>NCP706MX22TAG</v>
      </c>
      <c r="B31708" s="3" t="str">
        <f>HYPERLINK("https://www.773grp.com/manufacturer/onsemi?pageNo=1206", "ON Semiconductor")</f>
        <v>ON Semiconductor</v>
      </c>
      <c r="C31708" s="6">
        <v>3000</v>
      </c>
      <c r="D31708" s="7">
        <v>0.79</v>
      </c>
    </row>
    <row r="31709" spans="1:5" x14ac:dyDescent="0.25">
      <c r="A31709" t="str">
        <f>HYPERLINK("https://www.773grp.com/globalSearch/NCS2001SN2T1/page-1", "NCS2001SN2T1")</f>
        <v>NCS2001SN2T1</v>
      </c>
      <c r="B31709" s="3" t="str">
        <f>HYPERLINK("https://www.773grp.com/manufacturer/onsemi?pageNo=1207", "ON Semiconductor")</f>
        <v>ON Semiconductor</v>
      </c>
      <c r="C31709" s="6">
        <v>41780</v>
      </c>
      <c r="D31709" s="7">
        <v>0.79</v>
      </c>
      <c r="E31709" t="s">
        <v>13</v>
      </c>
    </row>
    <row r="31710" spans="1:5" x14ac:dyDescent="0.25">
      <c r="A31710" t="str">
        <f>HYPERLINK("https://www.773grp.com/globalSearch/NCS2001SQ2T1/page-1", "NCS2001SQ2T1")</f>
        <v>NCS2001SQ2T1</v>
      </c>
      <c r="B31710" s="3" t="str">
        <f>HYPERLINK("https://www.773grp.com/manufacturer/onsemi?pageNo=1208", "ON Semiconductor")</f>
        <v>ON Semiconductor</v>
      </c>
      <c r="C31710" s="6">
        <v>9000</v>
      </c>
      <c r="D31710" s="7">
        <v>0.79</v>
      </c>
      <c r="E31710" t="s">
        <v>13</v>
      </c>
    </row>
    <row r="31711" spans="1:5" x14ac:dyDescent="0.25">
      <c r="A31711" t="str">
        <f>HYPERLINK("https://www.773grp.com/globalSearch/NCS2200AMUT1G/page-1", "NCS2200AMUT1G")</f>
        <v>NCS2200AMUT1G</v>
      </c>
      <c r="B31711" s="3" t="str">
        <f>HYPERLINK("https://www.773grp.com/manufacturer/onsemi?pageNo=1209", "ON Semiconductor")</f>
        <v>ON Semiconductor</v>
      </c>
      <c r="C31711" s="6">
        <v>111500</v>
      </c>
      <c r="D31711" s="7">
        <v>0.79</v>
      </c>
      <c r="E31711" t="s">
        <v>9</v>
      </c>
    </row>
    <row r="31712" spans="1:5" x14ac:dyDescent="0.25">
      <c r="A31712" t="str">
        <f>HYPERLINK("https://www.773grp.com/globalSearch/NCV1117DT18RK/page-1", "NCV1117DT18RK")</f>
        <v>NCV1117DT18RK</v>
      </c>
      <c r="B31712" s="3" t="str">
        <f>HYPERLINK("https://www.773grp.com/manufacturer/onsemi?pageNo=1210", "ON Semiconductor")</f>
        <v>ON Semiconductor</v>
      </c>
      <c r="C31712" s="6">
        <v>7500</v>
      </c>
      <c r="D31712" s="7">
        <v>0.79</v>
      </c>
    </row>
    <row r="31713" spans="1:5" x14ac:dyDescent="0.25">
      <c r="A31713" t="str">
        <f>HYPERLINK("https://www.773grp.com/globalSearch/NCV1117ST12T3/page-1", "NCV1117ST12T3")</f>
        <v>NCV1117ST12T3</v>
      </c>
      <c r="B31713" s="3" t="str">
        <f>HYPERLINK("https://www.773grp.com/manufacturer/onsemi?pageNo=1211", "ON Semiconductor")</f>
        <v>ON Semiconductor</v>
      </c>
      <c r="C31713" s="6">
        <v>4000</v>
      </c>
      <c r="D31713" s="7">
        <v>0.79</v>
      </c>
      <c r="E31713" t="s">
        <v>19</v>
      </c>
    </row>
    <row r="31714" spans="1:5" x14ac:dyDescent="0.25">
      <c r="A31714" t="str">
        <f>HYPERLINK("https://www.773grp.com/globalSearch/NCV1117ST25T3/page-1", "NCV1117ST25T3")</f>
        <v>NCV1117ST25T3</v>
      </c>
      <c r="B31714" s="3" t="str">
        <f>HYPERLINK("https://www.773grp.com/manufacturer/onsemi?pageNo=1212", "ON Semiconductor")</f>
        <v>ON Semiconductor</v>
      </c>
      <c r="C31714" s="6">
        <v>4000</v>
      </c>
      <c r="D31714" s="7">
        <v>0.79</v>
      </c>
      <c r="E31714" t="s">
        <v>19</v>
      </c>
    </row>
    <row r="31715" spans="1:5" x14ac:dyDescent="0.25">
      <c r="A31715" t="str">
        <f>HYPERLINK("https://www.773grp.com/globalSearch/NCV612SQ18T1G/page-1", "NCV612SQ18T1G")</f>
        <v>NCV612SQ18T1G</v>
      </c>
      <c r="B31715" s="3" t="str">
        <f>HYPERLINK("https://www.773grp.com/manufacturer/onsemi?pageNo=1213", "ON Semiconductor")</f>
        <v>ON Semiconductor</v>
      </c>
      <c r="C31715" s="6">
        <v>17347</v>
      </c>
      <c r="D31715" s="7">
        <v>0.79</v>
      </c>
      <c r="E31715" t="s">
        <v>28</v>
      </c>
    </row>
    <row r="31716" spans="1:5" x14ac:dyDescent="0.25">
      <c r="A31716" t="str">
        <f>HYPERLINK("https://www.773grp.com/globalSearch/NCV612SQ27T1G/page-1", "NCV612SQ27T1G")</f>
        <v>NCV612SQ27T1G</v>
      </c>
      <c r="B31716" s="3" t="str">
        <f>HYPERLINK("https://www.773grp.com/manufacturer/onsemi?pageNo=1214", "ON Semiconductor")</f>
        <v>ON Semiconductor</v>
      </c>
      <c r="C31716" s="6">
        <v>6652</v>
      </c>
      <c r="D31716" s="7">
        <v>0.79</v>
      </c>
      <c r="E31716" t="s">
        <v>28</v>
      </c>
    </row>
    <row r="31717" spans="1:5" x14ac:dyDescent="0.25">
      <c r="A31717" t="str">
        <f>HYPERLINK("https://www.773grp.com/globalSearch/NCV612SQ28T1G/page-1", "NCV612SQ28T1G")</f>
        <v>NCV612SQ28T1G</v>
      </c>
      <c r="B31717" s="3" t="str">
        <f>HYPERLINK("https://www.773grp.com/manufacturer/onsemi?pageNo=1215", "ON Semiconductor")</f>
        <v>ON Semiconductor</v>
      </c>
      <c r="C31717" s="6">
        <v>14459</v>
      </c>
      <c r="D31717" s="7">
        <v>0.79</v>
      </c>
      <c r="E31717" t="s">
        <v>28</v>
      </c>
    </row>
    <row r="31718" spans="1:5" x14ac:dyDescent="0.25">
      <c r="A31718" t="str">
        <f>HYPERLINK("https://www.773grp.com/globalSearch/NCV612SQ31T1G/page-1", "NCV612SQ31T1G")</f>
        <v>NCV612SQ31T1G</v>
      </c>
      <c r="B31718" s="3" t="str">
        <f>HYPERLINK("https://www.773grp.com/manufacturer/onsemi?pageNo=1216", "ON Semiconductor")</f>
        <v>ON Semiconductor</v>
      </c>
      <c r="C31718" s="6">
        <v>22750</v>
      </c>
      <c r="D31718" s="7">
        <v>0.79</v>
      </c>
      <c r="E31718" t="s">
        <v>28</v>
      </c>
    </row>
    <row r="31719" spans="1:5" x14ac:dyDescent="0.25">
      <c r="A31719" t="str">
        <f>HYPERLINK("https://www.773grp.com/globalSearch/NCV612SQ33T1G/page-1", "NCV612SQ33T1G")</f>
        <v>NCV612SQ33T1G</v>
      </c>
      <c r="B31719" s="3" t="str">
        <f>HYPERLINK("https://www.773grp.com/manufacturer/onsemi?pageNo=1217", "ON Semiconductor")</f>
        <v>ON Semiconductor</v>
      </c>
      <c r="C31719" s="6">
        <v>14970</v>
      </c>
      <c r="D31719" s="7">
        <v>0.79</v>
      </c>
      <c r="E31719" t="s">
        <v>28</v>
      </c>
    </row>
    <row r="31720" spans="1:5" x14ac:dyDescent="0.25">
      <c r="A31720" t="str">
        <f>HYPERLINK("https://www.773grp.com/globalSearch/NCV612SQ50T1/page-1", "NCV612SQ50T1")</f>
        <v>NCV612SQ50T1</v>
      </c>
      <c r="B31720" s="3" t="str">
        <f>HYPERLINK("https://www.773grp.com/manufacturer/onsemi?pageNo=1218", "ON Semiconductor")</f>
        <v>ON Semiconductor</v>
      </c>
      <c r="C31720" s="6">
        <v>1759</v>
      </c>
      <c r="D31720" s="7">
        <v>0.79</v>
      </c>
      <c r="E31720" t="s">
        <v>28</v>
      </c>
    </row>
    <row r="31721" spans="1:5" x14ac:dyDescent="0.25">
      <c r="A31721" t="str">
        <f>HYPERLINK("https://www.773grp.com/globalSearch/NE555N/page-1", "NE555N")</f>
        <v>NE555N</v>
      </c>
      <c r="B31721" s="3" t="str">
        <f>HYPERLINK("https://www.773grp.com/manufacturer/onsemi?pageNo=1219", "ON Semiconductor")</f>
        <v>ON Semiconductor</v>
      </c>
      <c r="C31721" s="6">
        <v>2722</v>
      </c>
      <c r="D31721" s="7">
        <v>0.79</v>
      </c>
      <c r="E31721" t="s">
        <v>29</v>
      </c>
    </row>
    <row r="31722" spans="1:5" x14ac:dyDescent="0.25">
      <c r="A31722" t="str">
        <f>HYPERLINK("https://www.773grp.com/globalSearch/NE592D8R2/page-1", "NE592D8R2")</f>
        <v>NE592D8R2</v>
      </c>
      <c r="B31722" s="3" t="str">
        <f>HYPERLINK("https://www.773grp.com/manufacturer/onsemi?pageNo=1220", "ON Semiconductor")</f>
        <v>ON Semiconductor</v>
      </c>
      <c r="C31722" s="6">
        <v>77600</v>
      </c>
      <c r="D31722" s="7">
        <v>0.79</v>
      </c>
      <c r="E31722" t="s">
        <v>18</v>
      </c>
    </row>
    <row r="31723" spans="1:5" x14ac:dyDescent="0.25">
      <c r="A31723" t="str">
        <f>HYPERLINK("https://www.773grp.com/globalSearch/NID9N05CL/page-1", "NID9N05CL")</f>
        <v>NID9N05CL</v>
      </c>
      <c r="B31723" s="3" t="str">
        <f>HYPERLINK("https://www.773grp.com/manufacturer/onsemi?pageNo=1221", "ON Semiconductor")</f>
        <v>ON Semiconductor</v>
      </c>
      <c r="C31723" s="6">
        <v>50</v>
      </c>
      <c r="D31723" s="7">
        <v>0.79</v>
      </c>
      <c r="E31723" t="s">
        <v>105</v>
      </c>
    </row>
    <row r="31724" spans="1:5" x14ac:dyDescent="0.25">
      <c r="A31724" t="str">
        <f>HYPERLINK("https://www.773grp.com/globalSearch/NID9N05CLG/page-1", "NID9N05CLG")</f>
        <v>NID9N05CLG</v>
      </c>
      <c r="B31724" s="3" t="str">
        <f>HYPERLINK("https://www.773grp.com/manufacturer/onsemi?pageNo=1222", "ON Semiconductor")</f>
        <v>ON Semiconductor</v>
      </c>
      <c r="C31724" s="6">
        <v>300</v>
      </c>
      <c r="D31724" s="7">
        <v>0.79</v>
      </c>
      <c r="E31724" t="s">
        <v>105</v>
      </c>
    </row>
    <row r="31725" spans="1:5" x14ac:dyDescent="0.25">
      <c r="A31725" t="str">
        <f>HYPERLINK("https://www.773grp.com/globalSearch/NJVBDX53C/page-1", "NJVBDX53C")</f>
        <v>NJVBDX53C</v>
      </c>
      <c r="B31725" s="3" t="str">
        <f>HYPERLINK("https://www.773grp.com/manufacturer/onsemi?pageNo=1223", "ON Semiconductor")</f>
        <v>ON Semiconductor</v>
      </c>
      <c r="C31725" s="6">
        <v>600</v>
      </c>
      <c r="D31725" s="7">
        <v>0.79</v>
      </c>
    </row>
    <row r="31726" spans="1:5" x14ac:dyDescent="0.25">
      <c r="A31726" t="str">
        <f>HYPERLINK("https://www.773grp.com/globalSearch/NJVMJD42CT4/page-1", "NJVMJD42CT4")</f>
        <v>NJVMJD42CT4</v>
      </c>
      <c r="B31726" s="3" t="str">
        <f>HYPERLINK("https://www.773grp.com/manufacturer/onsemi?pageNo=1224", "ON Semiconductor")</f>
        <v>ON Semiconductor</v>
      </c>
      <c r="C31726" s="6">
        <v>8437</v>
      </c>
      <c r="D31726" s="7">
        <v>0.79</v>
      </c>
    </row>
    <row r="31727" spans="1:5" x14ac:dyDescent="0.25">
      <c r="A31727" t="str">
        <f>HYPERLINK("https://www.773grp.com/globalSearch/NJX1675PDR2G/page-1", "NJX1675PDR2G")</f>
        <v>NJX1675PDR2G</v>
      </c>
      <c r="B31727" s="3" t="str">
        <f>HYPERLINK("https://www.773grp.com/manufacturer/onsemi?pageNo=1225", "ON Semiconductor")</f>
        <v>ON Semiconductor</v>
      </c>
      <c r="C31727" s="6">
        <v>269618</v>
      </c>
      <c r="D31727" s="7">
        <v>0.79</v>
      </c>
      <c r="E31727" t="s">
        <v>59</v>
      </c>
    </row>
    <row r="31728" spans="1:5" x14ac:dyDescent="0.25">
      <c r="A31728" t="str">
        <f>HYPERLINK("https://www.773grp.com/globalSearch/NL17SZ74USG/page-1", "NL17SZ74USG")</f>
        <v>NL17SZ74USG</v>
      </c>
      <c r="B31728" s="3" t="str">
        <f>HYPERLINK("https://www.773grp.com/manufacturer/onsemi?pageNo=1226", "ON Semiconductor")</f>
        <v>ON Semiconductor</v>
      </c>
      <c r="C31728" s="6">
        <v>33170</v>
      </c>
      <c r="D31728" s="7">
        <v>0.79</v>
      </c>
      <c r="E31728" t="s">
        <v>35</v>
      </c>
    </row>
    <row r="31729" spans="1:5" x14ac:dyDescent="0.25">
      <c r="A31729" t="str">
        <f>HYPERLINK("https://www.773grp.com/globalSearch/NL17SZ74USGH/page-1", "NL17SZ74USGH")</f>
        <v>NL17SZ74USGH</v>
      </c>
      <c r="B31729" s="3" t="str">
        <f>HYPERLINK("https://www.773grp.com/manufacturer/onsemi?pageNo=1227", "ON Semiconductor")</f>
        <v>ON Semiconductor</v>
      </c>
      <c r="C31729" s="6">
        <v>9000</v>
      </c>
      <c r="D31729" s="7">
        <v>0.79</v>
      </c>
    </row>
    <row r="31730" spans="1:5" x14ac:dyDescent="0.25">
      <c r="A31730" t="str">
        <f>HYPERLINK("https://www.773grp.com/globalSearch/NLAS1053US/page-1", "NLAS1053US")</f>
        <v>NLAS1053US</v>
      </c>
      <c r="B31730" s="3" t="str">
        <f>HYPERLINK("https://www.773grp.com/manufacturer/onsemi?pageNo=1228", "ON Semiconductor")</f>
        <v>ON Semiconductor</v>
      </c>
      <c r="C31730" s="6">
        <v>2390</v>
      </c>
      <c r="D31730" s="7">
        <v>0.79</v>
      </c>
      <c r="E31730" t="s">
        <v>56</v>
      </c>
    </row>
    <row r="31731" spans="1:5" x14ac:dyDescent="0.25">
      <c r="A31731" t="str">
        <f>HYPERLINK("https://www.773grp.com/globalSearch/NLAS323US/page-1", "NLAS323US")</f>
        <v>NLAS323US</v>
      </c>
      <c r="B31731" s="3" t="str">
        <f>HYPERLINK("https://www.773grp.com/manufacturer/onsemi?pageNo=1229", "ON Semiconductor")</f>
        <v>ON Semiconductor</v>
      </c>
      <c r="C31731" s="6">
        <v>78000</v>
      </c>
      <c r="D31731" s="7">
        <v>0.79</v>
      </c>
      <c r="E31731" t="s">
        <v>56</v>
      </c>
    </row>
    <row r="31732" spans="1:5" x14ac:dyDescent="0.25">
      <c r="A31732" t="str">
        <f>HYPERLINK("https://www.773grp.com/globalSearch/NLAS5223BLMNR2G/page-1", "NLAS5223BLMNR2G")</f>
        <v>NLAS5223BLMNR2G</v>
      </c>
      <c r="B31732" s="3" t="str">
        <f>HYPERLINK("https://www.773grp.com/manufacturer/onsemi?pageNo=1230", "ON Semiconductor")</f>
        <v>ON Semiconductor</v>
      </c>
      <c r="C31732" s="6">
        <v>15000</v>
      </c>
      <c r="D31732" s="7">
        <v>0.79</v>
      </c>
      <c r="E31732" t="s">
        <v>56</v>
      </c>
    </row>
    <row r="31733" spans="1:5" x14ac:dyDescent="0.25">
      <c r="A31733" t="str">
        <f>HYPERLINK("https://www.773grp.com/globalSearch/NLAS5223BMNR2G/page-1", "NLAS5223BMNR2G")</f>
        <v>NLAS5223BMNR2G</v>
      </c>
      <c r="B31733" s="3" t="str">
        <f>HYPERLINK("https://www.773grp.com/manufacturer/onsemi?pageNo=1231", "ON Semiconductor")</f>
        <v>ON Semiconductor</v>
      </c>
      <c r="C31733" s="6">
        <v>121983</v>
      </c>
      <c r="D31733" s="7">
        <v>0.79</v>
      </c>
      <c r="E31733" t="s">
        <v>56</v>
      </c>
    </row>
    <row r="31734" spans="1:5" x14ac:dyDescent="0.25">
      <c r="A31734" t="str">
        <f>HYPERLINK("https://www.773grp.com/globalSearch/NLAS5223BMUR2G/page-1", "NLAS5223BMUR2G")</f>
        <v>NLAS5223BMUR2G</v>
      </c>
      <c r="B31734" s="3" t="str">
        <f>HYPERLINK("https://www.773grp.com/manufacturer/onsemi?pageNo=1232", "ON Semiconductor")</f>
        <v>ON Semiconductor</v>
      </c>
      <c r="C31734" s="6">
        <v>17400</v>
      </c>
      <c r="D31734" s="7">
        <v>0.79</v>
      </c>
      <c r="E31734" t="s">
        <v>56</v>
      </c>
    </row>
    <row r="31735" spans="1:5" x14ac:dyDescent="0.25">
      <c r="A31735" t="str">
        <f>HYPERLINK("https://www.773grp.com/globalSearch/NLU2G06MUTCG/page-1", "NLU2G06MUTCG")</f>
        <v>NLU2G06MUTCG</v>
      </c>
      <c r="B31735" s="3" t="str">
        <f>HYPERLINK("https://www.773grp.com/manufacturer/onsemi?pageNo=1233", "ON Semiconductor")</f>
        <v>ON Semiconductor</v>
      </c>
      <c r="C31735" s="6">
        <v>566079</v>
      </c>
      <c r="D31735" s="7">
        <v>0.79</v>
      </c>
      <c r="E31735" t="s">
        <v>31</v>
      </c>
    </row>
    <row r="31736" spans="1:5" x14ac:dyDescent="0.25">
      <c r="A31736" t="str">
        <f>HYPERLINK("https://www.773grp.com/globalSearch/NLU2G07MUTCG/page-1", "NLU2G07MUTCG")</f>
        <v>NLU2G07MUTCG</v>
      </c>
      <c r="B31736" s="3" t="str">
        <f>HYPERLINK("https://www.773grp.com/manufacturer/onsemi?pageNo=1234", "ON Semiconductor")</f>
        <v>ON Semiconductor</v>
      </c>
      <c r="C31736" s="6">
        <v>90201</v>
      </c>
      <c r="D31736" s="7">
        <v>0.79</v>
      </c>
      <c r="E31736" t="s">
        <v>31</v>
      </c>
    </row>
    <row r="31737" spans="1:5" x14ac:dyDescent="0.25">
      <c r="A31737" t="str">
        <f>HYPERLINK("https://www.773grp.com/globalSearch/NLU2G14MUTCG/page-1", "NLU2G14MUTCG")</f>
        <v>NLU2G14MUTCG</v>
      </c>
      <c r="B31737" s="3" t="str">
        <f>HYPERLINK("https://www.773grp.com/manufacturer/onsemi?pageNo=1235", "ON Semiconductor")</f>
        <v>ON Semiconductor</v>
      </c>
      <c r="C31737" s="6">
        <v>124477</v>
      </c>
      <c r="D31737" s="7">
        <v>0.79</v>
      </c>
      <c r="E31737" t="s">
        <v>31</v>
      </c>
    </row>
    <row r="31738" spans="1:5" x14ac:dyDescent="0.25">
      <c r="A31738" t="str">
        <f>HYPERLINK("https://www.773grp.com/globalSearch/NLU2G16MUTCG/page-1", "NLU2G16MUTCG")</f>
        <v>NLU2G16MUTCG</v>
      </c>
      <c r="B31738" s="3" t="str">
        <f>HYPERLINK("https://www.773grp.com/manufacturer/onsemi?pageNo=1236", "ON Semiconductor")</f>
        <v>ON Semiconductor</v>
      </c>
      <c r="C31738" s="6">
        <v>145739</v>
      </c>
      <c r="D31738" s="7">
        <v>0.79</v>
      </c>
      <c r="E31738" t="s">
        <v>31</v>
      </c>
    </row>
    <row r="31739" spans="1:5" x14ac:dyDescent="0.25">
      <c r="A31739" t="str">
        <f>HYPERLINK("https://www.773grp.com/globalSearch/NLU2G17MUTCG/page-1", "NLU2G17MUTCG")</f>
        <v>NLU2G17MUTCG</v>
      </c>
      <c r="B31739" s="3" t="str">
        <f>HYPERLINK("https://www.773grp.com/manufacturer/onsemi?pageNo=1237", "ON Semiconductor")</f>
        <v>ON Semiconductor</v>
      </c>
      <c r="C31739" s="6">
        <v>89900</v>
      </c>
      <c r="D31739" s="7">
        <v>0.79</v>
      </c>
      <c r="E31739" t="s">
        <v>31</v>
      </c>
    </row>
    <row r="31740" spans="1:5" x14ac:dyDescent="0.25">
      <c r="A31740" t="str">
        <f>HYPERLINK("https://www.773grp.com/globalSearch/NLU2GU04MUTCG/page-1", "NLU2GU04MUTCG")</f>
        <v>NLU2GU04MUTCG</v>
      </c>
      <c r="B31740" s="3" t="str">
        <f>HYPERLINK("https://www.773grp.com/manufacturer/onsemi?pageNo=1238", "ON Semiconductor")</f>
        <v>ON Semiconductor</v>
      </c>
      <c r="C31740" s="6">
        <v>65843</v>
      </c>
      <c r="D31740" s="7">
        <v>0.79</v>
      </c>
      <c r="E31740" t="s">
        <v>31</v>
      </c>
    </row>
    <row r="31741" spans="1:5" x14ac:dyDescent="0.25">
      <c r="A31741" t="str">
        <f>HYPERLINK("https://www.773grp.com/globalSearch/NLV14013BDG/page-1", "NLV14013BDG")</f>
        <v>NLV14013BDG</v>
      </c>
      <c r="B31741" s="3" t="str">
        <f>HYPERLINK("https://www.773grp.com/manufacturer/onsemi?pageNo=1239", "ON Semiconductor")</f>
        <v>ON Semiconductor</v>
      </c>
      <c r="C31741" s="6">
        <v>40</v>
      </c>
      <c r="D31741" s="7">
        <v>0.79</v>
      </c>
    </row>
    <row r="31742" spans="1:5" x14ac:dyDescent="0.25">
      <c r="A31742" t="str">
        <f>HYPERLINK("https://www.773grp.com/globalSearch/NLV14013BDR2G/page-1", "NLV14013BDR2G")</f>
        <v>NLV14013BDR2G</v>
      </c>
      <c r="B31742" s="3" t="str">
        <f>HYPERLINK("https://www.773grp.com/manufacturer/onsemi?pageNo=1240", "ON Semiconductor")</f>
        <v>ON Semiconductor</v>
      </c>
      <c r="C31742" s="6">
        <v>2035</v>
      </c>
      <c r="D31742" s="7">
        <v>0.79</v>
      </c>
    </row>
    <row r="31743" spans="1:5" x14ac:dyDescent="0.25">
      <c r="A31743" t="str">
        <f>HYPERLINK("https://www.773grp.com/globalSearch/NLV14013BDTR2G/page-1", "NLV14013BDTR2G")</f>
        <v>NLV14013BDTR2G</v>
      </c>
      <c r="B31743" s="3" t="str">
        <f>HYPERLINK("https://www.773grp.com/manufacturer/onsemi?pageNo=1241", "ON Semiconductor")</f>
        <v>ON Semiconductor</v>
      </c>
      <c r="C31743" s="6">
        <v>1955</v>
      </c>
      <c r="D31743" s="7">
        <v>0.79</v>
      </c>
    </row>
    <row r="31744" spans="1:5" x14ac:dyDescent="0.25">
      <c r="A31744" t="str">
        <f>HYPERLINK("https://www.773grp.com/globalSearch/NLV14027BDG/page-1", "NLV14027BDG")</f>
        <v>NLV14027BDG</v>
      </c>
      <c r="B31744" s="3" t="str">
        <f>HYPERLINK("https://www.773grp.com/manufacturer/onsemi?pageNo=1242", "ON Semiconductor")</f>
        <v>ON Semiconductor</v>
      </c>
      <c r="C31744" s="6">
        <v>144</v>
      </c>
      <c r="D31744" s="7">
        <v>0.79</v>
      </c>
    </row>
    <row r="31745" spans="1:5" x14ac:dyDescent="0.25">
      <c r="A31745" t="str">
        <f>HYPERLINK("https://www.773grp.com/globalSearch/NRVBM120ET1G/page-1", "NRVBM120ET1G")</f>
        <v>NRVBM120ET1G</v>
      </c>
      <c r="B31745" s="3" t="str">
        <f>HYPERLINK("https://www.773grp.com/manufacturer/onsemi?pageNo=1243", "ON Semiconductor")</f>
        <v>ON Semiconductor</v>
      </c>
      <c r="C31745" s="6">
        <v>15000</v>
      </c>
      <c r="D31745" s="7">
        <v>0.79</v>
      </c>
    </row>
    <row r="31746" spans="1:5" x14ac:dyDescent="0.25">
      <c r="A31746" t="str">
        <f>HYPERLINK("https://www.773grp.com/globalSearch/NSS35200MR6T1G/page-1", "NSS35200MR6T1G")</f>
        <v>NSS35200MR6T1G</v>
      </c>
      <c r="B31746" s="3" t="str">
        <f>HYPERLINK("https://www.773grp.com/manufacturer/onsemi?pageNo=1244", "ON Semiconductor")</f>
        <v>ON Semiconductor</v>
      </c>
      <c r="C31746" s="6">
        <v>277219</v>
      </c>
      <c r="D31746" s="7">
        <v>0.79</v>
      </c>
      <c r="E31746" t="s">
        <v>69</v>
      </c>
    </row>
    <row r="31747" spans="1:5" x14ac:dyDescent="0.25">
      <c r="A31747" t="str">
        <f>HYPERLINK("https://www.773grp.com/globalSearch/NSV60600MZ4T3G/page-1", "NSV60600MZ4T3G")</f>
        <v>NSV60600MZ4T3G</v>
      </c>
      <c r="B31747" s="3" t="str">
        <f>HYPERLINK("https://www.773grp.com/manufacturer/onsemi?pageNo=1245", "ON Semiconductor")</f>
        <v>ON Semiconductor</v>
      </c>
      <c r="C31747" s="6">
        <v>4000</v>
      </c>
      <c r="D31747" s="7">
        <v>0.79</v>
      </c>
    </row>
    <row r="31748" spans="1:5" x14ac:dyDescent="0.25">
      <c r="A31748" t="str">
        <f>HYPERLINK("https://www.773grp.com/globalSearch/NTD12N06L/page-1", "NTD12N06L")</f>
        <v>NTD12N06L</v>
      </c>
      <c r="B31748" s="3" t="str">
        <f>HYPERLINK("https://www.773grp.com/manufacturer/onsemi?pageNo=1246", "ON Semiconductor")</f>
        <v>ON Semiconductor</v>
      </c>
      <c r="C31748" s="6">
        <v>560</v>
      </c>
      <c r="D31748" s="7">
        <v>0.79</v>
      </c>
    </row>
    <row r="31749" spans="1:5" x14ac:dyDescent="0.25">
      <c r="A31749" t="str">
        <f>HYPERLINK("https://www.773grp.com/globalSearch/NTD15N06AV1/page-1", "NTD15N06AV1")</f>
        <v>NTD15N06AV1</v>
      </c>
      <c r="B31749" s="3" t="str">
        <f>HYPERLINK("https://www.773grp.com/manufacturer/onsemi?pageNo=1247", "ON Semiconductor")</f>
        <v>ON Semiconductor</v>
      </c>
      <c r="C31749" s="6">
        <v>300</v>
      </c>
      <c r="D31749" s="7">
        <v>0.79</v>
      </c>
    </row>
    <row r="31750" spans="1:5" x14ac:dyDescent="0.25">
      <c r="A31750" t="str">
        <f>HYPERLINK("https://www.773grp.com/globalSearch/NTD15N06AVT4/page-1", "NTD15N06AVT4")</f>
        <v>NTD15N06AVT4</v>
      </c>
      <c r="B31750" s="3" t="str">
        <f>HYPERLINK("https://www.773grp.com/manufacturer/onsemi?pageNo=1248", "ON Semiconductor")</f>
        <v>ON Semiconductor</v>
      </c>
      <c r="C31750" s="6">
        <v>2500</v>
      </c>
      <c r="D31750" s="7">
        <v>0.79</v>
      </c>
    </row>
    <row r="31751" spans="1:5" x14ac:dyDescent="0.25">
      <c r="A31751" t="str">
        <f>HYPERLINK("https://www.773grp.com/globalSearch/NTD3813N-1G/page-1", "NTD3813N-1G")</f>
        <v>NTD3813N-1G</v>
      </c>
      <c r="B31751" s="3" t="str">
        <f>HYPERLINK("https://www.773grp.com/manufacturer/onsemi?pageNo=1249", "ON Semiconductor")</f>
        <v>ON Semiconductor</v>
      </c>
      <c r="C31751" s="6">
        <v>11100</v>
      </c>
      <c r="D31751" s="7">
        <v>0.79</v>
      </c>
      <c r="E31751" t="s">
        <v>105</v>
      </c>
    </row>
    <row r="31752" spans="1:5" x14ac:dyDescent="0.25">
      <c r="A31752" t="str">
        <f>HYPERLINK("https://www.773grp.com/globalSearch/NTD3813N-35G/page-1", "NTD3813N-35G")</f>
        <v>NTD3813N-35G</v>
      </c>
      <c r="B31752" s="3" t="str">
        <f>HYPERLINK("https://www.773grp.com/manufacturer/onsemi?pageNo=1250", "ON Semiconductor")</f>
        <v>ON Semiconductor</v>
      </c>
      <c r="C31752" s="6">
        <v>11550</v>
      </c>
      <c r="D31752" s="7">
        <v>0.79</v>
      </c>
      <c r="E31752" t="s">
        <v>105</v>
      </c>
    </row>
    <row r="31753" spans="1:5" x14ac:dyDescent="0.25">
      <c r="A31753" t="str">
        <f>HYPERLINK("https://www.773grp.com/globalSearch/NTD3813NT4G/page-1", "NTD3813NT4G")</f>
        <v>NTD3813NT4G</v>
      </c>
      <c r="B31753" s="3" t="str">
        <f>HYPERLINK("https://www.773grp.com/manufacturer/onsemi?pageNo=1251", "ON Semiconductor")</f>
        <v>ON Semiconductor</v>
      </c>
      <c r="C31753" s="6">
        <v>137500</v>
      </c>
      <c r="D31753" s="7">
        <v>0.79</v>
      </c>
      <c r="E31753" t="s">
        <v>105</v>
      </c>
    </row>
    <row r="31754" spans="1:5" x14ac:dyDescent="0.25">
      <c r="A31754" t="str">
        <f>HYPERLINK("https://www.773grp.com/globalSearch/NTD40N03R-1G/page-1", "NTD40N03R-1G")</f>
        <v>NTD40N03R-1G</v>
      </c>
      <c r="B31754" s="3" t="str">
        <f>HYPERLINK("https://www.773grp.com/manufacturer/onsemi?pageNo=1252", "ON Semiconductor")</f>
        <v>ON Semiconductor</v>
      </c>
      <c r="C31754" s="6">
        <v>351580</v>
      </c>
      <c r="D31754" s="7">
        <v>0.79</v>
      </c>
      <c r="E31754" t="s">
        <v>105</v>
      </c>
    </row>
    <row r="31755" spans="1:5" x14ac:dyDescent="0.25">
      <c r="A31755" t="str">
        <f>HYPERLINK("https://www.773grp.com/globalSearch/NTD40N03RT4G/page-1", "NTD40N03RT4G")</f>
        <v>NTD40N03RT4G</v>
      </c>
      <c r="B31755" s="3" t="str">
        <f>HYPERLINK("https://www.773grp.com/manufacturer/onsemi?pageNo=1253", "ON Semiconductor")</f>
        <v>ON Semiconductor</v>
      </c>
      <c r="C31755" s="6">
        <v>15</v>
      </c>
      <c r="D31755" s="7">
        <v>0.79</v>
      </c>
      <c r="E31755" t="s">
        <v>105</v>
      </c>
    </row>
    <row r="31756" spans="1:5" x14ac:dyDescent="0.25">
      <c r="A31756" t="str">
        <f>HYPERLINK("https://www.773grp.com/globalSearch/NTD4404N/page-1", "NTD4404N")</f>
        <v>NTD4404N</v>
      </c>
      <c r="B31756" s="3" t="str">
        <f>HYPERLINK("https://www.773grp.com/manufacturer/onsemi?pageNo=1254", "ON Semiconductor")</f>
        <v>ON Semiconductor</v>
      </c>
      <c r="C31756" s="6">
        <v>750</v>
      </c>
      <c r="D31756" s="7">
        <v>0.79</v>
      </c>
      <c r="E31756" t="s">
        <v>105</v>
      </c>
    </row>
    <row r="31757" spans="1:5" x14ac:dyDescent="0.25">
      <c r="A31757" t="str">
        <f>HYPERLINK("https://www.773grp.com/globalSearch/NTD4404N1/page-1", "NTD4404N1")</f>
        <v>NTD4404N1</v>
      </c>
      <c r="B31757" s="3" t="str">
        <f>HYPERLINK("https://www.773grp.com/manufacturer/onsemi?pageNo=1255", "ON Semiconductor")</f>
        <v>ON Semiconductor</v>
      </c>
      <c r="C31757" s="6">
        <v>121490</v>
      </c>
      <c r="D31757" s="7">
        <v>0.79</v>
      </c>
      <c r="E31757" t="s">
        <v>105</v>
      </c>
    </row>
    <row r="31758" spans="1:5" x14ac:dyDescent="0.25">
      <c r="A31758" t="str">
        <f>HYPERLINK("https://www.773grp.com/globalSearch/NTD4404NT4G/page-1", "NTD4404NT4G")</f>
        <v>NTD4404NT4G</v>
      </c>
      <c r="B31758" s="3" t="str">
        <f>HYPERLINK("https://www.773grp.com/manufacturer/onsemi?pageNo=1256", "ON Semiconductor")</f>
        <v>ON Semiconductor</v>
      </c>
      <c r="C31758" s="6">
        <v>5000</v>
      </c>
      <c r="D31758" s="7">
        <v>0.79</v>
      </c>
    </row>
    <row r="31759" spans="1:5" x14ac:dyDescent="0.25">
      <c r="A31759" t="str">
        <f>HYPERLINK("https://www.773grp.com/globalSearch/NTD4808NT4G/page-1", "NTD4808NT4G")</f>
        <v>NTD4808NT4G</v>
      </c>
      <c r="B31759" s="3" t="str">
        <f>HYPERLINK("https://www.773grp.com/manufacturer/onsemi?pageNo=1257", "ON Semiconductor")</f>
        <v>ON Semiconductor</v>
      </c>
      <c r="C31759" s="6">
        <v>23260</v>
      </c>
      <c r="D31759" s="7">
        <v>0.79</v>
      </c>
      <c r="E31759" t="s">
        <v>105</v>
      </c>
    </row>
    <row r="31760" spans="1:5" x14ac:dyDescent="0.25">
      <c r="A31760" t="str">
        <f>HYPERLINK("https://www.773grp.com/globalSearch/NTD4809N-35G/page-1", "NTD4809N-35G")</f>
        <v>NTD4809N-35G</v>
      </c>
      <c r="B31760" s="3" t="str">
        <f>HYPERLINK("https://www.773grp.com/manufacturer/onsemi?pageNo=1258", "ON Semiconductor")</f>
        <v>ON Semiconductor</v>
      </c>
      <c r="C31760" s="6">
        <v>48375</v>
      </c>
      <c r="D31760" s="7">
        <v>0.79</v>
      </c>
    </row>
    <row r="31761" spans="1:5" x14ac:dyDescent="0.25">
      <c r="A31761" t="str">
        <f>HYPERLINK("https://www.773grp.com/globalSearch/NTD4809NAT4G/page-1", "NTD4809NAT4G")</f>
        <v>NTD4809NAT4G</v>
      </c>
      <c r="B31761" s="3" t="str">
        <f>HYPERLINK("https://www.773grp.com/manufacturer/onsemi?pageNo=1259", "ON Semiconductor")</f>
        <v>ON Semiconductor</v>
      </c>
      <c r="C31761" s="6">
        <v>193200</v>
      </c>
      <c r="D31761" s="7">
        <v>0.79</v>
      </c>
    </row>
    <row r="31762" spans="1:5" x14ac:dyDescent="0.25">
      <c r="A31762" t="str">
        <f>HYPERLINK("https://www.773grp.com/globalSearch/NTD4809NT4G/page-1", "NTD4809NT4G")</f>
        <v>NTD4809NT4G</v>
      </c>
      <c r="B31762" s="3" t="str">
        <f>HYPERLINK("https://www.773grp.com/manufacturer/onsemi?pageNo=1260", "ON Semiconductor")</f>
        <v>ON Semiconductor</v>
      </c>
      <c r="C31762" s="6">
        <v>485</v>
      </c>
      <c r="D31762" s="7">
        <v>0.79</v>
      </c>
      <c r="E31762" t="s">
        <v>105</v>
      </c>
    </row>
    <row r="31763" spans="1:5" x14ac:dyDescent="0.25">
      <c r="A31763" t="str">
        <f>HYPERLINK("https://www.773grp.com/globalSearch/NTD4858NA-35G/page-1", "NTD4858NA-35G")</f>
        <v>NTD4858NA-35G</v>
      </c>
      <c r="B31763" s="3" t="str">
        <f>HYPERLINK("https://www.773grp.com/manufacturer/onsemi?pageNo=1261", "ON Semiconductor")</f>
        <v>ON Semiconductor</v>
      </c>
      <c r="C31763" s="6">
        <v>14400</v>
      </c>
      <c r="D31763" s="7">
        <v>0.79</v>
      </c>
    </row>
    <row r="31764" spans="1:5" x14ac:dyDescent="0.25">
      <c r="A31764" t="str">
        <f>HYPERLINK("https://www.773grp.com/globalSearch/NTD4858NAT4G/page-1", "NTD4858NAT4G")</f>
        <v>NTD4858NAT4G</v>
      </c>
      <c r="B31764" s="3" t="str">
        <f>HYPERLINK("https://www.773grp.com/manufacturer/onsemi?pageNo=1262", "ON Semiconductor")</f>
        <v>ON Semiconductor</v>
      </c>
      <c r="C31764" s="6">
        <v>52950</v>
      </c>
      <c r="D31764" s="7">
        <v>0.79</v>
      </c>
    </row>
    <row r="31765" spans="1:5" x14ac:dyDescent="0.25">
      <c r="A31765" t="str">
        <f>HYPERLINK("https://www.773grp.com/globalSearch/NTD4860N-1G/page-1", "NTD4860N-1G")</f>
        <v>NTD4860N-1G</v>
      </c>
      <c r="B31765" s="3" t="str">
        <f>HYPERLINK("https://www.773grp.com/manufacturer/onsemi?pageNo=1263", "ON Semiconductor")</f>
        <v>ON Semiconductor</v>
      </c>
      <c r="C31765" s="6">
        <v>8475</v>
      </c>
      <c r="D31765" s="7">
        <v>0.79</v>
      </c>
      <c r="E31765" t="s">
        <v>105</v>
      </c>
    </row>
    <row r="31766" spans="1:5" x14ac:dyDescent="0.25">
      <c r="A31766" t="str">
        <f>HYPERLINK("https://www.773grp.com/globalSearch/NTD4906N-1G/page-1", "NTD4906N-1G")</f>
        <v>NTD4906N-1G</v>
      </c>
      <c r="B31766" s="3" t="str">
        <f>HYPERLINK("https://www.773grp.com/manufacturer/onsemi?pageNo=1264", "ON Semiconductor")</f>
        <v>ON Semiconductor</v>
      </c>
      <c r="C31766" s="6">
        <v>12350</v>
      </c>
      <c r="D31766" s="7">
        <v>0.79</v>
      </c>
      <c r="E31766" t="s">
        <v>105</v>
      </c>
    </row>
    <row r="31767" spans="1:5" x14ac:dyDescent="0.25">
      <c r="A31767" t="str">
        <f>HYPERLINK("https://www.773grp.com/globalSearch/NTD4906N-35G/page-1", "NTD4906N-35G")</f>
        <v>NTD4906N-35G</v>
      </c>
      <c r="B31767" s="3" t="str">
        <f>HYPERLINK("https://www.773grp.com/manufacturer/onsemi?pageNo=1265", "ON Semiconductor")</f>
        <v>ON Semiconductor</v>
      </c>
      <c r="C31767" s="6">
        <v>41479</v>
      </c>
      <c r="D31767" s="7">
        <v>0.79</v>
      </c>
      <c r="E31767" t="s">
        <v>105</v>
      </c>
    </row>
    <row r="31768" spans="1:5" x14ac:dyDescent="0.25">
      <c r="A31768" t="str">
        <f>HYPERLINK("https://www.773grp.com/globalSearch/NTD65N03RT4G/page-1", "NTD65N03RT4G")</f>
        <v>NTD65N03RT4G</v>
      </c>
      <c r="B31768" s="3" t="str">
        <f>HYPERLINK("https://www.773grp.com/manufacturer/onsemi?pageNo=1266", "ON Semiconductor")</f>
        <v>ON Semiconductor</v>
      </c>
      <c r="C31768" s="6">
        <v>124788</v>
      </c>
      <c r="D31768" s="7">
        <v>0.79</v>
      </c>
      <c r="E31768" t="s">
        <v>105</v>
      </c>
    </row>
    <row r="31769" spans="1:5" x14ac:dyDescent="0.25">
      <c r="A31769" t="str">
        <f>HYPERLINK("https://www.773grp.com/globalSearch/NTD78N03R-001/page-1", "NTD78N03R-001")</f>
        <v>NTD78N03R-001</v>
      </c>
      <c r="B31769" s="3" t="str">
        <f>HYPERLINK("https://www.773grp.com/manufacturer/onsemi?pageNo=1267", "ON Semiconductor")</f>
        <v>ON Semiconductor</v>
      </c>
      <c r="C31769" s="6">
        <v>2775</v>
      </c>
      <c r="D31769" s="7">
        <v>0.79</v>
      </c>
    </row>
    <row r="31770" spans="1:5" x14ac:dyDescent="0.25">
      <c r="A31770" t="str">
        <f>HYPERLINK("https://www.773grp.com/globalSearch/NTD78N03R-035/page-1", "NTD78N03R-035")</f>
        <v>NTD78N03R-035</v>
      </c>
      <c r="B31770" s="3" t="str">
        <f>HYPERLINK("https://www.773grp.com/manufacturer/onsemi?pageNo=1268", "ON Semiconductor")</f>
        <v>ON Semiconductor</v>
      </c>
      <c r="C31770" s="6">
        <v>2700</v>
      </c>
      <c r="D31770" s="7">
        <v>0.79</v>
      </c>
    </row>
    <row r="31771" spans="1:5" x14ac:dyDescent="0.25">
      <c r="A31771" t="str">
        <f>HYPERLINK("https://www.773grp.com/globalSearch/NTD78N03R-35G/page-1", "NTD78N03R-35G")</f>
        <v>NTD78N03R-35G</v>
      </c>
      <c r="B31771" s="3" t="str">
        <f>HYPERLINK("https://www.773grp.com/manufacturer/onsemi?pageNo=1269", "ON Semiconductor")</f>
        <v>ON Semiconductor</v>
      </c>
      <c r="C31771" s="6">
        <v>2625</v>
      </c>
      <c r="D31771" s="7">
        <v>0.79</v>
      </c>
      <c r="E31771" t="s">
        <v>105</v>
      </c>
    </row>
    <row r="31772" spans="1:5" x14ac:dyDescent="0.25">
      <c r="A31772" t="str">
        <f>HYPERLINK("https://www.773grp.com/globalSearch/NTD78N03RG/page-1", "NTD78N03RG")</f>
        <v>NTD78N03RG</v>
      </c>
      <c r="B31772" s="3" t="str">
        <f>HYPERLINK("https://www.773grp.com/manufacturer/onsemi?pageNo=1270", "ON Semiconductor")</f>
        <v>ON Semiconductor</v>
      </c>
      <c r="C31772" s="6">
        <v>1575</v>
      </c>
      <c r="D31772" s="7">
        <v>0.79</v>
      </c>
      <c r="E31772" t="s">
        <v>105</v>
      </c>
    </row>
    <row r="31773" spans="1:5" x14ac:dyDescent="0.25">
      <c r="A31773" t="str">
        <f>HYPERLINK("https://www.773grp.com/globalSearch/NTGS5120PT1G/page-1", "NTGS5120PT1G")</f>
        <v>NTGS5120PT1G</v>
      </c>
      <c r="B31773" s="3" t="str">
        <f>HYPERLINK("https://www.773grp.com/manufacturer/onsemi?pageNo=1271", "ON Semiconductor")</f>
        <v>ON Semiconductor</v>
      </c>
      <c r="C31773" s="6">
        <v>162865</v>
      </c>
      <c r="D31773" s="7">
        <v>0.79</v>
      </c>
    </row>
    <row r="31774" spans="1:5" x14ac:dyDescent="0.25">
      <c r="A31774" t="str">
        <f>HYPERLINK("https://www.773grp.com/globalSearch/NTHD5904T1/page-1", "NTHD5904T1")</f>
        <v>NTHD5904T1</v>
      </c>
      <c r="B31774" s="3" t="str">
        <f>HYPERLINK("https://www.773grp.com/manufacturer/onsemi?pageNo=1272", "ON Semiconductor")</f>
        <v>ON Semiconductor</v>
      </c>
      <c r="C31774" s="6">
        <v>81000</v>
      </c>
      <c r="D31774" s="7">
        <v>0.79</v>
      </c>
      <c r="E31774" t="s">
        <v>106</v>
      </c>
    </row>
    <row r="31775" spans="1:5" x14ac:dyDescent="0.25">
      <c r="A31775" t="str">
        <f>HYPERLINK("https://www.773grp.com/globalSearch/NTHS5402T1/page-1", "NTHS5402T1")</f>
        <v>NTHS5402T1</v>
      </c>
      <c r="B31775" s="3" t="str">
        <f>HYPERLINK("https://www.773grp.com/manufacturer/onsemi?pageNo=1273", "ON Semiconductor")</f>
        <v>ON Semiconductor</v>
      </c>
      <c r="C31775" s="6">
        <v>21000</v>
      </c>
      <c r="D31775" s="7">
        <v>0.79</v>
      </c>
      <c r="E31775" t="s">
        <v>106</v>
      </c>
    </row>
    <row r="31776" spans="1:5" x14ac:dyDescent="0.25">
      <c r="A31776" t="str">
        <f>HYPERLINK("https://www.773grp.com/globalSearch/NTLJD2105LTBG/page-1", "NTLJD2105LTBG")</f>
        <v>NTLJD2105LTBG</v>
      </c>
      <c r="B31776" s="3" t="str">
        <f>HYPERLINK("https://www.773grp.com/manufacturer/onsemi?pageNo=1274", "ON Semiconductor")</f>
        <v>ON Semiconductor</v>
      </c>
      <c r="C31776" s="6">
        <v>44912</v>
      </c>
      <c r="D31776" s="7">
        <v>0.79</v>
      </c>
      <c r="E31776" t="s">
        <v>105</v>
      </c>
    </row>
    <row r="31777" spans="1:5" x14ac:dyDescent="0.25">
      <c r="A31777" t="str">
        <f>HYPERLINK("https://www.773grp.com/globalSearch/NTLJD3115PT1G/page-1", "NTLJD3115PT1G")</f>
        <v>NTLJD3115PT1G</v>
      </c>
      <c r="B31777" s="3" t="str">
        <f>HYPERLINK("https://www.773grp.com/manufacturer/onsemi?pageNo=1275", "ON Semiconductor")</f>
        <v>ON Semiconductor</v>
      </c>
      <c r="C31777" s="6">
        <v>116660</v>
      </c>
      <c r="D31777" s="7">
        <v>0.79</v>
      </c>
      <c r="E31777" t="s">
        <v>105</v>
      </c>
    </row>
    <row r="31778" spans="1:5" x14ac:dyDescent="0.25">
      <c r="A31778" t="str">
        <f>HYPERLINK("https://www.773grp.com/globalSearch/NTLJD3119CTAG/page-1", "NTLJD3119CTAG")</f>
        <v>NTLJD3119CTAG</v>
      </c>
      <c r="B31778" s="3" t="str">
        <f>HYPERLINK("https://www.773grp.com/manufacturer/onsemi?pageNo=1276", "ON Semiconductor")</f>
        <v>ON Semiconductor</v>
      </c>
      <c r="C31778" s="6">
        <v>36000</v>
      </c>
      <c r="D31778" s="7">
        <v>0.79</v>
      </c>
      <c r="E31778" t="s">
        <v>105</v>
      </c>
    </row>
    <row r="31779" spans="1:5" x14ac:dyDescent="0.25">
      <c r="A31779" t="str">
        <f>HYPERLINK("https://www.773grp.com/globalSearch/NTLJD3119CTBG/page-1", "NTLJD3119CTBG")</f>
        <v>NTLJD3119CTBG</v>
      </c>
      <c r="B31779" s="3" t="str">
        <f>HYPERLINK("https://www.773grp.com/manufacturer/onsemi?pageNo=1277", "ON Semiconductor")</f>
        <v>ON Semiconductor</v>
      </c>
      <c r="C31779" s="6">
        <v>108000</v>
      </c>
      <c r="D31779" s="7">
        <v>0.79</v>
      </c>
      <c r="E31779" t="s">
        <v>105</v>
      </c>
    </row>
    <row r="31780" spans="1:5" x14ac:dyDescent="0.25">
      <c r="A31780" t="str">
        <f>HYPERLINK("https://www.773grp.com/globalSearch/NTLTD7900ZR2/page-1", "NTLTD7900ZR2")</f>
        <v>NTLTD7900ZR2</v>
      </c>
      <c r="B31780" s="3" t="str">
        <f>HYPERLINK("https://www.773grp.com/manufacturer/onsemi?pageNo=1278", "ON Semiconductor")</f>
        <v>ON Semiconductor</v>
      </c>
      <c r="C31780" s="6">
        <v>37000</v>
      </c>
      <c r="D31780" s="7">
        <v>0.79</v>
      </c>
      <c r="E31780" t="s">
        <v>105</v>
      </c>
    </row>
    <row r="31781" spans="1:5" x14ac:dyDescent="0.25">
      <c r="A31781" t="str">
        <f>HYPERLINK("https://www.773grp.com/globalSearch/NTLUF4189NZTAG/page-1", "NTLUF4189NZTAG")</f>
        <v>NTLUF4189NZTAG</v>
      </c>
      <c r="B31781" s="3" t="str">
        <f>HYPERLINK("https://www.773grp.com/manufacturer/onsemi?pageNo=1279", "ON Semiconductor")</f>
        <v>ON Semiconductor</v>
      </c>
      <c r="C31781" s="6">
        <v>12000</v>
      </c>
      <c r="D31781" s="7">
        <v>0.79</v>
      </c>
    </row>
    <row r="31782" spans="1:5" x14ac:dyDescent="0.25">
      <c r="A31782" t="str">
        <f>HYPERLINK("https://www.773grp.com/globalSearch/NTLUF4189NZTBG/page-1", "NTLUF4189NZTBG")</f>
        <v>NTLUF4189NZTBG</v>
      </c>
      <c r="B31782" s="3" t="str">
        <f>HYPERLINK("https://www.773grp.com/manufacturer/onsemi?pageNo=1280", "ON Semiconductor")</f>
        <v>ON Semiconductor</v>
      </c>
      <c r="C31782" s="6">
        <v>459000</v>
      </c>
      <c r="D31782" s="7">
        <v>0.79</v>
      </c>
      <c r="E31782" t="s">
        <v>106</v>
      </c>
    </row>
    <row r="31783" spans="1:5" x14ac:dyDescent="0.25">
      <c r="A31783" t="str">
        <f>HYPERLINK("https://www.773grp.com/globalSearch/NTLUS3A90PZTAG/page-1", "NTLUS3A90PZTAG")</f>
        <v>NTLUS3A90PZTAG</v>
      </c>
      <c r="B31783" s="3" t="str">
        <f>HYPERLINK("https://www.773grp.com/manufacturer/onsemi?pageNo=1281", "ON Semiconductor")</f>
        <v>ON Semiconductor</v>
      </c>
      <c r="C31783" s="6">
        <v>129904</v>
      </c>
      <c r="D31783" s="7">
        <v>0.79</v>
      </c>
      <c r="E31783" t="s">
        <v>106</v>
      </c>
    </row>
    <row r="31784" spans="1:5" x14ac:dyDescent="0.25">
      <c r="A31784" t="str">
        <f>HYPERLINK("https://www.773grp.com/globalSearch/NTLUS3A90PZTBG/page-1", "NTLUS3A90PZTBG")</f>
        <v>NTLUS3A90PZTBG</v>
      </c>
      <c r="B31784" s="3" t="str">
        <f>HYPERLINK("https://www.773grp.com/manufacturer/onsemi?pageNo=1282", "ON Semiconductor")</f>
        <v>ON Semiconductor</v>
      </c>
      <c r="C31784" s="6">
        <v>3000</v>
      </c>
      <c r="D31784" s="7">
        <v>0.79</v>
      </c>
      <c r="E31784" t="s">
        <v>106</v>
      </c>
    </row>
    <row r="31785" spans="1:5" x14ac:dyDescent="0.25">
      <c r="A31785" t="str">
        <f>HYPERLINK("https://www.773grp.com/globalSearch/NTMD6N02R2/page-1", "NTMD6N02R2")</f>
        <v>NTMD6N02R2</v>
      </c>
      <c r="B31785" s="3" t="str">
        <f>HYPERLINK("https://www.773grp.com/manufacturer/onsemi?pageNo=1283", "ON Semiconductor")</f>
        <v>ON Semiconductor</v>
      </c>
      <c r="C31785" s="6">
        <v>27500</v>
      </c>
      <c r="D31785" s="7">
        <v>0.79</v>
      </c>
      <c r="E31785" t="s">
        <v>105</v>
      </c>
    </row>
    <row r="31786" spans="1:5" x14ac:dyDescent="0.25">
      <c r="A31786" t="str">
        <f>HYPERLINK("https://www.773grp.com/globalSearch/NTMFS4927NT1G/page-1", "NTMFS4927NT1G")</f>
        <v>NTMFS4927NT1G</v>
      </c>
      <c r="B31786" s="3" t="str">
        <f>HYPERLINK("https://www.773grp.com/manufacturer/onsemi?pageNo=1284", "ON Semiconductor")</f>
        <v>ON Semiconductor</v>
      </c>
      <c r="C31786" s="6">
        <v>79303</v>
      </c>
      <c r="D31786" s="7">
        <v>0.79</v>
      </c>
      <c r="E31786" t="s">
        <v>106</v>
      </c>
    </row>
    <row r="31787" spans="1:5" x14ac:dyDescent="0.25">
      <c r="A31787" t="str">
        <f>HYPERLINK("https://www.773grp.com/globalSearch/NTMS4872NR2G/page-1", "NTMS4872NR2G")</f>
        <v>NTMS4872NR2G</v>
      </c>
      <c r="B31787" s="3" t="str">
        <f>HYPERLINK("https://www.773grp.com/manufacturer/onsemi?pageNo=1285", "ON Semiconductor")</f>
        <v>ON Semiconductor</v>
      </c>
      <c r="C31787" s="6">
        <v>194350</v>
      </c>
      <c r="D31787" s="7">
        <v>0.79</v>
      </c>
      <c r="E31787" t="s">
        <v>106</v>
      </c>
    </row>
    <row r="31788" spans="1:5" x14ac:dyDescent="0.25">
      <c r="A31788" t="str">
        <f>HYPERLINK("https://www.773grp.com/globalSearch/NTMS7N03R2/page-1", "NTMS7N03R2")</f>
        <v>NTMS7N03R2</v>
      </c>
      <c r="B31788" s="3" t="str">
        <f>HYPERLINK("https://www.773grp.com/manufacturer/onsemi?pageNo=1286", "ON Semiconductor")</f>
        <v>ON Semiconductor</v>
      </c>
      <c r="C31788" s="6">
        <v>87500</v>
      </c>
      <c r="D31788" s="7">
        <v>0.79</v>
      </c>
      <c r="E31788" t="s">
        <v>105</v>
      </c>
    </row>
    <row r="31789" spans="1:5" x14ac:dyDescent="0.25">
      <c r="A31789" t="str">
        <f>HYPERLINK("https://www.773grp.com/globalSearch/NTMSD3P303R2/page-1", "NTMSD3P303R2")</f>
        <v>NTMSD3P303R2</v>
      </c>
      <c r="B31789" s="3" t="str">
        <f>HYPERLINK("https://www.773grp.com/manufacturer/onsemi?pageNo=1287", "ON Semiconductor")</f>
        <v>ON Semiconductor</v>
      </c>
      <c r="C31789" s="6">
        <v>2324</v>
      </c>
      <c r="D31789" s="7">
        <v>0.79</v>
      </c>
      <c r="E31789" t="s">
        <v>106</v>
      </c>
    </row>
    <row r="31790" spans="1:5" x14ac:dyDescent="0.25">
      <c r="A31790" t="str">
        <f>HYPERLINK("https://www.773grp.com/globalSearch/NTP15N06AV/page-1", "NTP15N06AV")</f>
        <v>NTP15N06AV</v>
      </c>
      <c r="B31790" s="3" t="str">
        <f>HYPERLINK("https://www.773grp.com/manufacturer/onsemi?pageNo=1288", "ON Semiconductor")</f>
        <v>ON Semiconductor</v>
      </c>
      <c r="C31790" s="6">
        <v>6800</v>
      </c>
      <c r="D31790" s="7">
        <v>0.79</v>
      </c>
    </row>
    <row r="31791" spans="1:5" x14ac:dyDescent="0.25">
      <c r="A31791" t="str">
        <f>HYPERLINK("https://www.773grp.com/globalSearch/NTP22N06/page-1", "NTP22N06")</f>
        <v>NTP22N06</v>
      </c>
      <c r="B31791" s="3" t="str">
        <f>HYPERLINK("https://www.773grp.com/manufacturer/onsemi?pageNo=1289", "ON Semiconductor")</f>
        <v>ON Semiconductor</v>
      </c>
      <c r="C31791" s="6">
        <v>5520</v>
      </c>
      <c r="D31791" s="7">
        <v>0.79</v>
      </c>
      <c r="E31791" t="s">
        <v>105</v>
      </c>
    </row>
    <row r="31792" spans="1:5" x14ac:dyDescent="0.25">
      <c r="A31792" t="str">
        <f>HYPERLINK("https://www.773grp.com/globalSearch/NTP22N06L/page-1", "NTP22N06L")</f>
        <v>NTP22N06L</v>
      </c>
      <c r="B31792" s="3" t="str">
        <f>HYPERLINK("https://www.773grp.com/manufacturer/onsemi?pageNo=1290", "ON Semiconductor")</f>
        <v>ON Semiconductor</v>
      </c>
      <c r="C31792" s="6">
        <v>6550</v>
      </c>
      <c r="D31792" s="7">
        <v>0.79</v>
      </c>
      <c r="E31792" t="s">
        <v>105</v>
      </c>
    </row>
    <row r="31793" spans="1:5" x14ac:dyDescent="0.25">
      <c r="A31793" t="str">
        <f>HYPERLINK("https://www.773grp.com/globalSearch/NTQD6866R2/page-1", "NTQD6866R2")</f>
        <v>NTQD6866R2</v>
      </c>
      <c r="B31793" s="3" t="str">
        <f>HYPERLINK("https://www.773grp.com/manufacturer/onsemi?pageNo=1291", "ON Semiconductor")</f>
        <v>ON Semiconductor</v>
      </c>
      <c r="C31793" s="6">
        <v>7960</v>
      </c>
      <c r="D31793" s="7">
        <v>0.79</v>
      </c>
      <c r="E31793" t="s">
        <v>106</v>
      </c>
    </row>
    <row r="31794" spans="1:5" x14ac:dyDescent="0.25">
      <c r="A31794" t="str">
        <f>HYPERLINK("https://www.773grp.com/globalSearch/NTQD6866R2G/page-1", "NTQD6866R2G")</f>
        <v>NTQD6866R2G</v>
      </c>
      <c r="B31794" s="3" t="str">
        <f>HYPERLINK("https://www.773grp.com/manufacturer/onsemi?pageNo=1292", "ON Semiconductor")</f>
        <v>ON Semiconductor</v>
      </c>
      <c r="C31794" s="6">
        <v>11244</v>
      </c>
      <c r="D31794" s="7">
        <v>0.79</v>
      </c>
      <c r="E31794" t="s">
        <v>106</v>
      </c>
    </row>
    <row r="31795" spans="1:5" x14ac:dyDescent="0.25">
      <c r="A31795" t="str">
        <f>HYPERLINK("https://www.773grp.com/globalSearch/NTUD3170NZT5G/page-1", "NTUD3170NZT5G")</f>
        <v>NTUD3170NZT5G</v>
      </c>
      <c r="B31795" s="3" t="str">
        <f>HYPERLINK("https://www.773grp.com/manufacturer/onsemi?pageNo=1293", "ON Semiconductor")</f>
        <v>ON Semiconductor</v>
      </c>
      <c r="C31795" s="6">
        <v>1316309</v>
      </c>
      <c r="D31795" s="7">
        <v>0.79</v>
      </c>
    </row>
    <row r="31796" spans="1:5" x14ac:dyDescent="0.25">
      <c r="A31796" t="str">
        <f>HYPERLINK("https://www.773grp.com/globalSearch/NUD3048MT1G/page-1", "NUD3048MT1G")</f>
        <v>NUD3048MT1G</v>
      </c>
      <c r="B31796" s="3" t="str">
        <f>HYPERLINK("https://www.773grp.com/manufacturer/onsemi?pageNo=1294", "ON Semiconductor")</f>
        <v>ON Semiconductor</v>
      </c>
      <c r="C31796" s="6">
        <v>700</v>
      </c>
      <c r="D31796" s="7">
        <v>0.79</v>
      </c>
      <c r="E31796" t="s">
        <v>106</v>
      </c>
    </row>
    <row r="31797" spans="1:5" x14ac:dyDescent="0.25">
      <c r="A31797" t="str">
        <f>HYPERLINK("https://www.773grp.com/globalSearch/NUD4011DR2/page-1", "NUD4011DR2")</f>
        <v>NUD4011DR2</v>
      </c>
      <c r="B31797" s="3" t="str">
        <f>HYPERLINK("https://www.773grp.com/manufacturer/onsemi?pageNo=1295", "ON Semiconductor")</f>
        <v>ON Semiconductor</v>
      </c>
      <c r="C31797" s="6">
        <v>169658</v>
      </c>
      <c r="D31797" s="7">
        <v>0.79</v>
      </c>
      <c r="E31797" t="s">
        <v>10</v>
      </c>
    </row>
    <row r="31798" spans="1:5" x14ac:dyDescent="0.25">
      <c r="A31798" t="str">
        <f>HYPERLINK("https://www.773grp.com/globalSearch/NUF2015W1T2G/page-1", "NUF2015W1T2G")</f>
        <v>NUF2015W1T2G</v>
      </c>
      <c r="B31798" s="3" t="str">
        <f>HYPERLINK("https://www.773grp.com/manufacturer/onsemi?pageNo=1296", "ON Semiconductor")</f>
        <v>ON Semiconductor</v>
      </c>
      <c r="C31798" s="6">
        <v>35835</v>
      </c>
      <c r="D31798" s="7">
        <v>0.79</v>
      </c>
      <c r="E31798" t="s">
        <v>24</v>
      </c>
    </row>
    <row r="31799" spans="1:5" x14ac:dyDescent="0.25">
      <c r="A31799" t="str">
        <f>HYPERLINK("https://www.773grp.com/globalSearch/NUF2070MNT1G/page-1", "NUF2070MNT1G")</f>
        <v>NUF2070MNT1G</v>
      </c>
      <c r="B31799" s="3" t="str">
        <f>HYPERLINK("https://www.773grp.com/manufacturer/onsemi?pageNo=1297", "ON Semiconductor")</f>
        <v>ON Semiconductor</v>
      </c>
      <c r="C31799" s="6">
        <v>6000</v>
      </c>
      <c r="D31799" s="7">
        <v>0.79</v>
      </c>
      <c r="E31799" t="s">
        <v>100</v>
      </c>
    </row>
    <row r="31800" spans="1:5" x14ac:dyDescent="0.25">
      <c r="A31800" t="str">
        <f>HYPERLINK("https://www.773grp.com/globalSearch/NUF4010MUT2G/page-1", "NUF4010MUT2G")</f>
        <v>NUF4010MUT2G</v>
      </c>
      <c r="B31800" s="3" t="str">
        <f>HYPERLINK("https://www.773grp.com/manufacturer/onsemi?pageNo=1298", "ON Semiconductor")</f>
        <v>ON Semiconductor</v>
      </c>
      <c r="C31800" s="6">
        <v>52075</v>
      </c>
      <c r="D31800" s="7">
        <v>0.79</v>
      </c>
      <c r="E31800" t="s">
        <v>100</v>
      </c>
    </row>
    <row r="31801" spans="1:5" x14ac:dyDescent="0.25">
      <c r="A31801" t="str">
        <f>HYPERLINK("https://www.773grp.com/globalSearch/NUF4210MNT1G/page-1", "NUF4210MNT1G")</f>
        <v>NUF4210MNT1G</v>
      </c>
      <c r="B31801" s="3" t="str">
        <f>HYPERLINK("https://www.773grp.com/manufacturer/onsemi?pageNo=1299", "ON Semiconductor")</f>
        <v>ON Semiconductor</v>
      </c>
      <c r="C31801" s="6">
        <v>80212</v>
      </c>
      <c r="D31801" s="7">
        <v>0.79</v>
      </c>
      <c r="E31801" t="s">
        <v>100</v>
      </c>
    </row>
    <row r="31802" spans="1:5" x14ac:dyDescent="0.25">
      <c r="A31802" t="str">
        <f>HYPERLINK("https://www.773grp.com/globalSearch/NUF6106FCT1/page-1", "NUF6106FCT1")</f>
        <v>NUF6106FCT1</v>
      </c>
      <c r="B31802" s="3" t="str">
        <f>HYPERLINK("https://www.773grp.com/manufacturer/onsemi?pageNo=1300", "ON Semiconductor")</f>
        <v>ON Semiconductor</v>
      </c>
      <c r="C31802" s="6">
        <v>864000</v>
      </c>
      <c r="D31802" s="7">
        <v>0.79</v>
      </c>
      <c r="E31802" t="s">
        <v>100</v>
      </c>
    </row>
    <row r="31803" spans="1:5" x14ac:dyDescent="0.25">
      <c r="A31803" t="str">
        <f>HYPERLINK("https://www.773grp.com/globalSearch/NUP4060AXV6T1G/page-1", "NUP4060AXV6T1G")</f>
        <v>NUP4060AXV6T1G</v>
      </c>
      <c r="B31803" s="3" t="str">
        <f>HYPERLINK("https://www.773grp.com/manufacturer/onsemi?pageNo=1301", "ON Semiconductor")</f>
        <v>ON Semiconductor</v>
      </c>
      <c r="C31803" s="6">
        <v>170910</v>
      </c>
      <c r="D31803" s="7">
        <v>0.79</v>
      </c>
      <c r="E31803" t="s">
        <v>96</v>
      </c>
    </row>
    <row r="31804" spans="1:5" x14ac:dyDescent="0.25">
      <c r="A31804" t="str">
        <f>HYPERLINK("https://www.773grp.com/globalSearch/NUP4304MR6T1G/page-1", "NUP4304MR6T1G")</f>
        <v>NUP4304MR6T1G</v>
      </c>
      <c r="B31804" s="3" t="str">
        <f>HYPERLINK("https://www.773grp.com/manufacturer/onsemi?pageNo=1302", "ON Semiconductor")</f>
        <v>ON Semiconductor</v>
      </c>
      <c r="C31804" s="6">
        <v>204000</v>
      </c>
      <c r="D31804" s="7">
        <v>0.79</v>
      </c>
      <c r="E31804" t="s">
        <v>96</v>
      </c>
    </row>
    <row r="31805" spans="1:5" x14ac:dyDescent="0.25">
      <c r="A31805" t="str">
        <f>HYPERLINK("https://www.773grp.com/globalSearch/NUP5150MUTBG/page-1", "NUP5150MUTBG")</f>
        <v>NUP5150MUTBG</v>
      </c>
      <c r="B31805" s="3" t="str">
        <f>HYPERLINK("https://www.773grp.com/manufacturer/onsemi?pageNo=1303", "ON Semiconductor")</f>
        <v>ON Semiconductor</v>
      </c>
      <c r="C31805" s="6">
        <v>114000</v>
      </c>
      <c r="D31805" s="7">
        <v>0.79</v>
      </c>
      <c r="E31805" t="s">
        <v>96</v>
      </c>
    </row>
    <row r="31806" spans="1:5" x14ac:dyDescent="0.25">
      <c r="A31806" t="str">
        <f>HYPERLINK("https://www.773grp.com/globalSearch/NYC222STT1G/page-1", "NYC222STT1G")</f>
        <v>NYC222STT1G</v>
      </c>
      <c r="B31806" s="3" t="str">
        <f>HYPERLINK("https://www.773grp.com/manufacturer/onsemi?pageNo=1304", "ON Semiconductor")</f>
        <v>ON Semiconductor</v>
      </c>
      <c r="C31806" s="6">
        <v>6000</v>
      </c>
      <c r="D31806" s="7">
        <v>0.79</v>
      </c>
    </row>
    <row r="31807" spans="1:5" x14ac:dyDescent="0.25">
      <c r="A31807" t="str">
        <f>HYPERLINK("https://www.773grp.com/globalSearch/PKMBR845RL/page-1", "PKMBR845RL")</f>
        <v>PKMBR845RL</v>
      </c>
      <c r="B31807" s="3" t="str">
        <f>HYPERLINK("https://www.773grp.com/manufacturer/onsemi?pageNo=1305", "ON Semiconductor")</f>
        <v>ON Semiconductor</v>
      </c>
      <c r="C31807" s="6">
        <v>1470</v>
      </c>
      <c r="D31807" s="7">
        <v>0.79</v>
      </c>
    </row>
    <row r="31808" spans="1:5" x14ac:dyDescent="0.25">
      <c r="A31808" t="str">
        <f>HYPERLINK("https://www.773grp.com/globalSearch/SA15AG/page-1", "SA15AG")</f>
        <v>SA15AG</v>
      </c>
      <c r="B31808" s="3" t="str">
        <f>HYPERLINK("https://www.773grp.com/manufacturer/onsemi?pageNo=1306", "ON Semiconductor")</f>
        <v>ON Semiconductor</v>
      </c>
      <c r="C31808" s="6">
        <v>7000</v>
      </c>
      <c r="D31808" s="7">
        <v>0.79</v>
      </c>
      <c r="E31808" t="s">
        <v>96</v>
      </c>
    </row>
    <row r="31809" spans="1:5" x14ac:dyDescent="0.25">
      <c r="A31809" t="str">
        <f>HYPERLINK("https://www.773grp.com/globalSearch/SA15ARLG/page-1", "SA15ARLG")</f>
        <v>SA15ARLG</v>
      </c>
      <c r="B31809" s="3" t="str">
        <f>HYPERLINK("https://www.773grp.com/manufacturer/onsemi?pageNo=1307", "ON Semiconductor")</f>
        <v>ON Semiconductor</v>
      </c>
      <c r="C31809" s="6">
        <v>14285</v>
      </c>
      <c r="D31809" s="7">
        <v>0.79</v>
      </c>
      <c r="E31809" t="s">
        <v>96</v>
      </c>
    </row>
    <row r="31810" spans="1:5" x14ac:dyDescent="0.25">
      <c r="A31810" t="str">
        <f>HYPERLINK("https://www.773grp.com/globalSearch/SA5.0AG/page-1", "SA5.0AG")</f>
        <v>SA5.0AG</v>
      </c>
      <c r="B31810" s="3" t="str">
        <f>HYPERLINK("https://www.773grp.com/manufacturer/onsemi?pageNo=1308", "ON Semiconductor")</f>
        <v>ON Semiconductor</v>
      </c>
      <c r="C31810" s="6">
        <v>5000</v>
      </c>
      <c r="D31810" s="7">
        <v>0.79</v>
      </c>
      <c r="E31810" t="s">
        <v>96</v>
      </c>
    </row>
    <row r="31811" spans="1:5" x14ac:dyDescent="0.25">
      <c r="A31811" t="str">
        <f>HYPERLINK("https://www.773grp.com/globalSearch/SA5.0ARLG/page-1", "SA5.0ARLG")</f>
        <v>SA5.0ARLG</v>
      </c>
      <c r="B31811" s="3" t="str">
        <f>HYPERLINK("https://www.773grp.com/manufacturer/onsemi?pageNo=1309", "ON Semiconductor")</f>
        <v>ON Semiconductor</v>
      </c>
      <c r="C31811" s="6">
        <v>15000</v>
      </c>
      <c r="D31811" s="7">
        <v>0.79</v>
      </c>
      <c r="E31811" t="s">
        <v>96</v>
      </c>
    </row>
    <row r="31812" spans="1:5" x14ac:dyDescent="0.25">
      <c r="A31812" t="str">
        <f>HYPERLINK("https://www.773grp.com/globalSearch/SBRD835LT4/page-1", "SBRD835LT4")</f>
        <v>SBRD835LT4</v>
      </c>
      <c r="B31812" s="3" t="str">
        <f>HYPERLINK("https://www.773grp.com/manufacturer/onsemi?pageNo=1310", "ON Semiconductor")</f>
        <v>ON Semiconductor</v>
      </c>
      <c r="C31812" s="6">
        <v>35000</v>
      </c>
      <c r="D31812" s="7">
        <v>0.79</v>
      </c>
    </row>
    <row r="31813" spans="1:5" x14ac:dyDescent="0.25">
      <c r="A31813" t="str">
        <f>HYPERLINK("https://www.773grp.com/globalSearch/SBRS8340T3G/page-1", "SBRS8340T3G")</f>
        <v>SBRS8340T3G</v>
      </c>
      <c r="B31813" s="3" t="str">
        <f>HYPERLINK("https://www.773grp.com/manufacturer/onsemi?pageNo=1311", "ON Semiconductor")</f>
        <v>ON Semiconductor</v>
      </c>
      <c r="C31813" s="6">
        <v>52500</v>
      </c>
      <c r="D31813" s="7">
        <v>0.79</v>
      </c>
    </row>
    <row r="31814" spans="1:5" x14ac:dyDescent="0.25">
      <c r="A31814" t="str">
        <f>HYPERLINK("https://www.773grp.com/globalSearch/SC239ADR2/page-1", "SC239ADR2")</f>
        <v>SC239ADR2</v>
      </c>
      <c r="B31814" s="3" t="str">
        <f>HYPERLINK("https://www.773grp.com/manufacturer/onsemi?pageNo=1312", "ON Semiconductor")</f>
        <v>ON Semiconductor</v>
      </c>
      <c r="C31814" s="6">
        <v>87500</v>
      </c>
      <c r="D31814" s="7">
        <v>0.79</v>
      </c>
    </row>
    <row r="31815" spans="1:5" x14ac:dyDescent="0.25">
      <c r="A31815" t="str">
        <f>HYPERLINK("https://www.773grp.com/globalSearch/SMBF5460LT1/page-1", "SMBF5460LT1")</f>
        <v>SMBF5460LT1</v>
      </c>
      <c r="B31815" s="3" t="str">
        <f>HYPERLINK("https://www.773grp.com/manufacturer/onsemi?pageNo=1313", "ON Semiconductor")</f>
        <v>ON Semiconductor</v>
      </c>
      <c r="C31815" s="6">
        <v>6000</v>
      </c>
      <c r="D31815" s="7">
        <v>0.79</v>
      </c>
    </row>
    <row r="31816" spans="1:5" x14ac:dyDescent="0.25">
      <c r="A31816" t="str">
        <f>HYPERLINK("https://www.773grp.com/globalSearch/SMMBFJ310LT1/page-1", "SMMBFJ310LT1")</f>
        <v>SMMBFJ310LT1</v>
      </c>
      <c r="B31816" s="3" t="str">
        <f>HYPERLINK("https://www.773grp.com/manufacturer/onsemi?pageNo=1314", "ON Semiconductor")</f>
        <v>ON Semiconductor</v>
      </c>
      <c r="C31816" s="6">
        <v>21868</v>
      </c>
      <c r="D31816" s="7">
        <v>0.79</v>
      </c>
      <c r="E31816" t="s">
        <v>104</v>
      </c>
    </row>
    <row r="31817" spans="1:5" x14ac:dyDescent="0.25">
      <c r="A31817" t="str">
        <f>HYPERLINK("https://www.773grp.com/globalSearch/SN74LS109AN/page-1", "SN74LS109AN")</f>
        <v>SN74LS109AN</v>
      </c>
      <c r="B31817" s="3" t="str">
        <f>HYPERLINK("https://www.773grp.com/manufacturer/onsemi?pageNo=1315", "ON Semiconductor")</f>
        <v>ON Semiconductor</v>
      </c>
      <c r="C31817" s="6">
        <v>9025</v>
      </c>
      <c r="D31817" s="7">
        <v>0.79</v>
      </c>
      <c r="E31817" t="s">
        <v>35</v>
      </c>
    </row>
    <row r="31818" spans="1:5" x14ac:dyDescent="0.25">
      <c r="A31818" t="str">
        <f>HYPERLINK("https://www.773grp.com/globalSearch/SN74LS123ML1/page-1", "SN74LS123ML1")</f>
        <v>SN74LS123ML1</v>
      </c>
      <c r="B31818" s="3" t="str">
        <f>HYPERLINK("https://www.773grp.com/manufacturer/onsemi?pageNo=1316", "ON Semiconductor")</f>
        <v>ON Semiconductor</v>
      </c>
      <c r="C31818" s="6">
        <v>5000</v>
      </c>
      <c r="D31818" s="7">
        <v>0.79</v>
      </c>
    </row>
    <row r="31819" spans="1:5" x14ac:dyDescent="0.25">
      <c r="A31819" t="str">
        <f>HYPERLINK("https://www.773grp.com/globalSearch/SN74LS123MR1/page-1", "SN74LS123MR1")</f>
        <v>SN74LS123MR1</v>
      </c>
      <c r="B31819" s="3" t="str">
        <f>HYPERLINK("https://www.773grp.com/manufacturer/onsemi?pageNo=1317", "ON Semiconductor")</f>
        <v>ON Semiconductor</v>
      </c>
      <c r="C31819" s="6">
        <v>4000</v>
      </c>
      <c r="D31819" s="7">
        <v>0.79</v>
      </c>
      <c r="E31819" t="s">
        <v>54</v>
      </c>
    </row>
    <row r="31820" spans="1:5" x14ac:dyDescent="0.25">
      <c r="A31820" t="str">
        <f>HYPERLINK("https://www.773grp.com/globalSearch/SN74LS133ML1/page-1", "SN74LS133ML1")</f>
        <v>SN74LS133ML1</v>
      </c>
      <c r="B31820" s="3" t="str">
        <f>HYPERLINK("https://www.773grp.com/manufacturer/onsemi?pageNo=1318", "ON Semiconductor")</f>
        <v>ON Semiconductor</v>
      </c>
      <c r="C31820" s="6">
        <v>6000</v>
      </c>
      <c r="D31820" s="7">
        <v>0.79</v>
      </c>
    </row>
    <row r="31821" spans="1:5" x14ac:dyDescent="0.25">
      <c r="A31821" t="str">
        <f>HYPERLINK("https://www.773grp.com/globalSearch/SN74LS136D/page-1", "SN74LS136D")</f>
        <v>SN74LS136D</v>
      </c>
      <c r="B31821" s="3" t="str">
        <f>HYPERLINK("https://www.773grp.com/manufacturer/onsemi?pageNo=1319", "ON Semiconductor")</f>
        <v>ON Semiconductor</v>
      </c>
      <c r="C31821" s="6">
        <v>4834</v>
      </c>
      <c r="D31821" s="7">
        <v>0.79</v>
      </c>
      <c r="E31821" t="s">
        <v>31</v>
      </c>
    </row>
    <row r="31822" spans="1:5" x14ac:dyDescent="0.25">
      <c r="A31822" t="str">
        <f>HYPERLINK("https://www.773grp.com/globalSearch/SN74LS136N/page-1", "SN74LS136N")</f>
        <v>SN74LS136N</v>
      </c>
      <c r="B31822" s="3" t="str">
        <f>HYPERLINK("https://www.773grp.com/manufacturer/onsemi?pageNo=1320", "ON Semiconductor")</f>
        <v>ON Semiconductor</v>
      </c>
      <c r="C31822" s="6">
        <v>2504</v>
      </c>
      <c r="D31822" s="7">
        <v>0.79</v>
      </c>
      <c r="E31822" t="s">
        <v>31</v>
      </c>
    </row>
    <row r="31823" spans="1:5" x14ac:dyDescent="0.25">
      <c r="A31823" t="str">
        <f>HYPERLINK("https://www.773grp.com/globalSearch/SN74LS151N/page-1", "SN74LS151N")</f>
        <v>SN74LS151N</v>
      </c>
      <c r="B31823" s="3" t="str">
        <f>HYPERLINK("https://www.773grp.com/manufacturer/onsemi?pageNo=1321", "ON Semiconductor")</f>
        <v>ON Semiconductor</v>
      </c>
      <c r="C31823" s="6">
        <v>102944</v>
      </c>
      <c r="D31823" s="7">
        <v>0.79</v>
      </c>
      <c r="E31823" t="s">
        <v>20</v>
      </c>
    </row>
    <row r="31824" spans="1:5" x14ac:dyDescent="0.25">
      <c r="A31824" t="str">
        <f>HYPERLINK("https://www.773grp.com/globalSearch/SN74LS153N/page-1", "SN74LS153N")</f>
        <v>SN74LS153N</v>
      </c>
      <c r="B31824" s="3" t="str">
        <f>HYPERLINK("https://www.773grp.com/manufacturer/onsemi?pageNo=1322", "ON Semiconductor")</f>
        <v>ON Semiconductor</v>
      </c>
      <c r="C31824" s="6">
        <v>10383</v>
      </c>
      <c r="D31824" s="7">
        <v>0.79</v>
      </c>
      <c r="E31824" t="s">
        <v>20</v>
      </c>
    </row>
    <row r="31825" spans="1:5" x14ac:dyDescent="0.25">
      <c r="A31825" t="str">
        <f>HYPERLINK("https://www.773grp.com/globalSearch/SN74LS165MR1/page-1", "SN74LS165MR1")</f>
        <v>SN74LS165MR1</v>
      </c>
      <c r="B31825" s="3" t="str">
        <f>HYPERLINK("https://www.773grp.com/manufacturer/onsemi?pageNo=1323", "ON Semiconductor")</f>
        <v>ON Semiconductor</v>
      </c>
      <c r="C31825" s="6">
        <v>7000</v>
      </c>
      <c r="D31825" s="7">
        <v>0.79</v>
      </c>
      <c r="E31825" t="s">
        <v>32</v>
      </c>
    </row>
    <row r="31826" spans="1:5" x14ac:dyDescent="0.25">
      <c r="A31826" t="str">
        <f>HYPERLINK("https://www.773grp.com/globalSearch/SN74LS169N/page-1", "SN74LS169N")</f>
        <v>SN74LS169N</v>
      </c>
      <c r="B31826" s="3" t="str">
        <f>HYPERLINK("https://www.773grp.com/manufacturer/onsemi?pageNo=1324", "ON Semiconductor")</f>
        <v>ON Semiconductor</v>
      </c>
      <c r="C31826" s="6">
        <v>6641</v>
      </c>
      <c r="D31826" s="7">
        <v>0.79</v>
      </c>
      <c r="E31826" t="s">
        <v>26</v>
      </c>
    </row>
    <row r="31827" spans="1:5" x14ac:dyDescent="0.25">
      <c r="A31827" t="str">
        <f>HYPERLINK("https://www.773grp.com/globalSearch/SN74LS174D/page-1", "SN74LS174D")</f>
        <v>SN74LS174D</v>
      </c>
      <c r="B31827" s="3" t="str">
        <f>HYPERLINK("https://www.773grp.com/manufacturer/onsemi?pageNo=1325", "ON Semiconductor")</f>
        <v>ON Semiconductor</v>
      </c>
      <c r="C31827" s="6">
        <v>3312</v>
      </c>
      <c r="D31827" s="7">
        <v>0.79</v>
      </c>
      <c r="E31827" t="s">
        <v>35</v>
      </c>
    </row>
    <row r="31828" spans="1:5" x14ac:dyDescent="0.25">
      <c r="A31828" t="str">
        <f>HYPERLINK("https://www.773grp.com/globalSearch/SN74LS174DR2/page-1", "SN74LS174DR2")</f>
        <v>SN74LS174DR2</v>
      </c>
      <c r="B31828" s="3" t="str">
        <f>HYPERLINK("https://www.773grp.com/manufacturer/onsemi?pageNo=1326", "ON Semiconductor")</f>
        <v>ON Semiconductor</v>
      </c>
      <c r="C31828" s="6">
        <v>2500</v>
      </c>
      <c r="D31828" s="7">
        <v>0.79</v>
      </c>
      <c r="E31828" t="s">
        <v>35</v>
      </c>
    </row>
    <row r="31829" spans="1:5" x14ac:dyDescent="0.25">
      <c r="A31829" t="str">
        <f>HYPERLINK("https://www.773grp.com/globalSearch/SN74LS174M/page-1", "SN74LS174M")</f>
        <v>SN74LS174M</v>
      </c>
      <c r="B31829" s="3" t="str">
        <f>HYPERLINK("https://www.773grp.com/manufacturer/onsemi?pageNo=1327", "ON Semiconductor")</f>
        <v>ON Semiconductor</v>
      </c>
      <c r="C31829" s="6">
        <v>2750</v>
      </c>
      <c r="D31829" s="7">
        <v>0.79</v>
      </c>
      <c r="E31829" t="s">
        <v>35</v>
      </c>
    </row>
    <row r="31830" spans="1:5" x14ac:dyDescent="0.25">
      <c r="A31830" t="str">
        <f>HYPERLINK("https://www.773grp.com/globalSearch/SN74LS175D/page-1", "SN74LS175D")</f>
        <v>SN74LS175D</v>
      </c>
      <c r="B31830" s="3" t="str">
        <f>HYPERLINK("https://www.773grp.com/manufacturer/onsemi?pageNo=1328", "ON Semiconductor")</f>
        <v>ON Semiconductor</v>
      </c>
      <c r="C31830" s="6">
        <v>2344</v>
      </c>
      <c r="D31830" s="7">
        <v>0.79</v>
      </c>
      <c r="E31830" t="s">
        <v>35</v>
      </c>
    </row>
    <row r="31831" spans="1:5" x14ac:dyDescent="0.25">
      <c r="A31831" t="str">
        <f>HYPERLINK("https://www.773grp.com/globalSearch/SN74LS221D/page-1", "SN74LS221D")</f>
        <v>SN74LS221D</v>
      </c>
      <c r="B31831" s="3" t="str">
        <f>HYPERLINK("https://www.773grp.com/manufacturer/onsemi?pageNo=1329", "ON Semiconductor")</f>
        <v>ON Semiconductor</v>
      </c>
      <c r="C31831" s="6">
        <v>451</v>
      </c>
      <c r="D31831" s="7">
        <v>0.79</v>
      </c>
      <c r="E31831" t="s">
        <v>54</v>
      </c>
    </row>
    <row r="31832" spans="1:5" x14ac:dyDescent="0.25">
      <c r="A31832" t="str">
        <f>HYPERLINK("https://www.773grp.com/globalSearch/SN74LS283ML1/page-1", "SN74LS283ML1")</f>
        <v>SN74LS283ML1</v>
      </c>
      <c r="B31832" s="3" t="str">
        <f>HYPERLINK("https://www.773grp.com/manufacturer/onsemi?pageNo=1330", "ON Semiconductor")</f>
        <v>ON Semiconductor</v>
      </c>
      <c r="C31832" s="6">
        <v>1000</v>
      </c>
      <c r="D31832" s="7">
        <v>0.79</v>
      </c>
    </row>
    <row r="31833" spans="1:5" x14ac:dyDescent="0.25">
      <c r="A31833" t="str">
        <f>HYPERLINK("https://www.773grp.com/globalSearch/SN74LS365AN/page-1", "SN74LS365AN")</f>
        <v>SN74LS365AN</v>
      </c>
      <c r="B31833" s="3" t="str">
        <f>HYPERLINK("https://www.773grp.com/manufacturer/onsemi?pageNo=1331", "ON Semiconductor")</f>
        <v>ON Semiconductor</v>
      </c>
      <c r="C31833" s="6">
        <v>2759</v>
      </c>
      <c r="D31833" s="7">
        <v>0.79</v>
      </c>
      <c r="E31833" t="s">
        <v>14</v>
      </c>
    </row>
    <row r="31834" spans="1:5" x14ac:dyDescent="0.25">
      <c r="A31834" t="str">
        <f>HYPERLINK("https://www.773grp.com/globalSearch/SN74LS367AN/page-1", "SN74LS367AN")</f>
        <v>SN74LS367AN</v>
      </c>
      <c r="B31834" s="3" t="str">
        <f>HYPERLINK("https://www.773grp.com/manufacturer/onsemi?pageNo=1332", "ON Semiconductor")</f>
        <v>ON Semiconductor</v>
      </c>
      <c r="C31834" s="6">
        <v>5381</v>
      </c>
      <c r="D31834" s="7">
        <v>0.79</v>
      </c>
      <c r="E31834" t="s">
        <v>14</v>
      </c>
    </row>
    <row r="31835" spans="1:5" x14ac:dyDescent="0.25">
      <c r="A31835" t="str">
        <f>HYPERLINK("https://www.773grp.com/globalSearch/SN74LS368AN/page-1", "SN74LS368AN")</f>
        <v>SN74LS368AN</v>
      </c>
      <c r="B31835" s="3" t="str">
        <f>HYPERLINK("https://www.773grp.com/manufacturer/onsemi?pageNo=1333", "ON Semiconductor")</f>
        <v>ON Semiconductor</v>
      </c>
      <c r="C31835" s="6">
        <v>7750</v>
      </c>
      <c r="D31835" s="7">
        <v>0.79</v>
      </c>
      <c r="E31835" t="s">
        <v>14</v>
      </c>
    </row>
    <row r="31836" spans="1:5" x14ac:dyDescent="0.25">
      <c r="A31836" t="str">
        <f>HYPERLINK("https://www.773grp.com/globalSearch/STF202-22T1/page-1", "STF202-22T1")</f>
        <v>STF202-22T1</v>
      </c>
      <c r="B31836" s="3" t="str">
        <f>HYPERLINK("https://www.773grp.com/manufacturer/onsemi?pageNo=1334", "ON Semiconductor")</f>
        <v>ON Semiconductor</v>
      </c>
      <c r="C31836" s="6">
        <v>11524</v>
      </c>
      <c r="D31836" s="7">
        <v>0.79</v>
      </c>
      <c r="E31836" t="s">
        <v>100</v>
      </c>
    </row>
    <row r="31837" spans="1:5" x14ac:dyDescent="0.25">
      <c r="A31837" t="str">
        <f>HYPERLINK("https://www.773grp.com/globalSearch/SZNCP3712ASNT3G/page-1", "SZNCP3712ASNT3G")</f>
        <v>SZNCP3712ASNT3G</v>
      </c>
      <c r="B31837" s="3" t="str">
        <f>HYPERLINK("https://www.773grp.com/manufacturer/onsemi?pageNo=1335", "ON Semiconductor")</f>
        <v>ON Semiconductor</v>
      </c>
      <c r="C31837" s="6">
        <v>9863</v>
      </c>
      <c r="D31837" s="7">
        <v>0.79</v>
      </c>
    </row>
    <row r="31838" spans="1:5" x14ac:dyDescent="0.25">
      <c r="A31838" t="str">
        <f>HYPERLINK("https://www.773grp.com/globalSearch/TIP110/page-1", "TIP110")</f>
        <v>TIP110</v>
      </c>
      <c r="B31838" s="3" t="str">
        <f>HYPERLINK("https://www.773grp.com/manufacturer/onsemi?pageNo=1336", "ON Semiconductor")</f>
        <v>ON Semiconductor</v>
      </c>
      <c r="C31838" s="6">
        <v>4619</v>
      </c>
      <c r="D31838" s="7">
        <v>0.79</v>
      </c>
      <c r="E31838" t="s">
        <v>59</v>
      </c>
    </row>
    <row r="31839" spans="1:5" x14ac:dyDescent="0.25">
      <c r="A31839" t="str">
        <f>HYPERLINK("https://www.773grp.com/globalSearch/TIP112/page-1", "TIP112")</f>
        <v>TIP112</v>
      </c>
      <c r="B31839" s="3" t="str">
        <f>HYPERLINK("https://www.773grp.com/manufacturer/onsemi?pageNo=1337", "ON Semiconductor")</f>
        <v>ON Semiconductor</v>
      </c>
      <c r="C31839" s="6">
        <v>20064</v>
      </c>
      <c r="D31839" s="7">
        <v>0.79</v>
      </c>
      <c r="E31839" t="s">
        <v>59</v>
      </c>
    </row>
    <row r="31840" spans="1:5" x14ac:dyDescent="0.25">
      <c r="A31840" t="str">
        <f>HYPERLINK("https://www.773grp.com/globalSearch/TIP115/page-1", "TIP115")</f>
        <v>TIP115</v>
      </c>
      <c r="B31840" s="3" t="str">
        <f>HYPERLINK("https://www.773grp.com/manufacturer/onsemi?pageNo=1338", "ON Semiconductor")</f>
        <v>ON Semiconductor</v>
      </c>
      <c r="C31840" s="6">
        <v>7350</v>
      </c>
      <c r="D31840" s="7">
        <v>0.79</v>
      </c>
      <c r="E31840" t="s">
        <v>59</v>
      </c>
    </row>
    <row r="31841" spans="1:5" x14ac:dyDescent="0.25">
      <c r="A31841" t="str">
        <f>HYPERLINK("https://www.773grp.com/globalSearch/TIP117/page-1", "TIP117")</f>
        <v>TIP117</v>
      </c>
      <c r="B31841" s="3" t="str">
        <f>HYPERLINK("https://www.773grp.com/manufacturer/onsemi?pageNo=1339", "ON Semiconductor")</f>
        <v>ON Semiconductor</v>
      </c>
      <c r="C31841" s="6">
        <v>250</v>
      </c>
      <c r="D31841" s="7">
        <v>0.79</v>
      </c>
      <c r="E31841" t="s">
        <v>59</v>
      </c>
    </row>
    <row r="31842" spans="1:5" x14ac:dyDescent="0.25">
      <c r="A31842" t="str">
        <f>HYPERLINK("https://www.773grp.com/globalSearch/TL431BIDMR2G/page-1", "TL431BIDMR2G")</f>
        <v>TL431BIDMR2G</v>
      </c>
      <c r="B31842" s="3" t="str">
        <f>HYPERLINK("https://www.773grp.com/manufacturer/onsemi?pageNo=1340", "ON Semiconductor")</f>
        <v>ON Semiconductor</v>
      </c>
      <c r="C31842" s="6">
        <v>2718</v>
      </c>
      <c r="D31842" s="7">
        <v>0.79</v>
      </c>
      <c r="E31842" t="s">
        <v>17</v>
      </c>
    </row>
    <row r="31843" spans="1:5" x14ac:dyDescent="0.25">
      <c r="A31843" t="str">
        <f>HYPERLINK("https://www.773grp.com/globalSearch/TL431BIP/page-1", "TL431BIP")</f>
        <v>TL431BIP</v>
      </c>
      <c r="B31843" s="3" t="str">
        <f>HYPERLINK("https://www.773grp.com/manufacturer/onsemi?pageNo=1341", "ON Semiconductor")</f>
        <v>ON Semiconductor</v>
      </c>
      <c r="C31843" s="6">
        <v>1000</v>
      </c>
      <c r="D31843" s="7">
        <v>0.79</v>
      </c>
      <c r="E31843" t="s">
        <v>17</v>
      </c>
    </row>
    <row r="31844" spans="1:5" x14ac:dyDescent="0.25">
      <c r="A31844" t="str">
        <f>HYPERLINK("https://www.773grp.com/globalSearch/TY30533R2G/page-1", "TY30533R2G")</f>
        <v>TY30533R2G</v>
      </c>
      <c r="B31844" s="3" t="str">
        <f>HYPERLINK("https://www.773grp.com/manufacturer/onsemi?pageNo=1342", "ON Semiconductor")</f>
        <v>ON Semiconductor</v>
      </c>
      <c r="C31844" s="6">
        <v>4131</v>
      </c>
      <c r="D31844" s="7">
        <v>0.79</v>
      </c>
    </row>
    <row r="31845" spans="1:5" x14ac:dyDescent="0.25">
      <c r="A31845" t="str">
        <f>HYPERLINK("https://www.773grp.com/globalSearch/TY30577DR2G/page-1", "TY30577DR2G")</f>
        <v>TY30577DR2G</v>
      </c>
      <c r="B31845" s="3" t="str">
        <f>HYPERLINK("https://www.773grp.com/manufacturer/onsemi?pageNo=1343", "ON Semiconductor")</f>
        <v>ON Semiconductor</v>
      </c>
      <c r="C31845" s="6">
        <v>2598</v>
      </c>
      <c r="D31845" s="7">
        <v>0.79</v>
      </c>
    </row>
    <row r="31846" spans="1:5" x14ac:dyDescent="0.25">
      <c r="A31846" t="str">
        <f>HYPERLINK("https://www.773grp.com/globalSearch/UC2842BD1G/page-1", "UC2842BD1G")</f>
        <v>UC2842BD1G</v>
      </c>
      <c r="B31846" s="3" t="str">
        <f>HYPERLINK("https://www.773grp.com/manufacturer/onsemi?pageNo=1344", "ON Semiconductor")</f>
        <v>ON Semiconductor</v>
      </c>
      <c r="C31846" s="6">
        <v>872</v>
      </c>
      <c r="D31846" s="7">
        <v>0.79</v>
      </c>
      <c r="E31846" t="s">
        <v>7</v>
      </c>
    </row>
    <row r="31847" spans="1:5" x14ac:dyDescent="0.25">
      <c r="A31847" t="str">
        <f>HYPERLINK("https://www.773grp.com/globalSearch/UC2842BDG/page-1", "UC2842BDG")</f>
        <v>UC2842BDG</v>
      </c>
      <c r="B31847" s="3" t="str">
        <f>HYPERLINK("https://www.773grp.com/manufacturer/onsemi?pageNo=1345", "ON Semiconductor")</f>
        <v>ON Semiconductor</v>
      </c>
      <c r="C31847" s="6">
        <v>2730</v>
      </c>
      <c r="D31847" s="7">
        <v>0.79</v>
      </c>
      <c r="E31847" t="s">
        <v>7</v>
      </c>
    </row>
    <row r="31848" spans="1:5" x14ac:dyDescent="0.25">
      <c r="A31848" t="str">
        <f>HYPERLINK("https://www.773grp.com/globalSearch/UC2843BD1G/page-1", "UC2843BD1G")</f>
        <v>UC2843BD1G</v>
      </c>
      <c r="B31848" s="3" t="str">
        <f>HYPERLINK("https://www.773grp.com/manufacturer/onsemi?pageNo=1346", "ON Semiconductor")</f>
        <v>ON Semiconductor</v>
      </c>
      <c r="C31848" s="6">
        <v>10336</v>
      </c>
      <c r="D31848" s="7">
        <v>0.79</v>
      </c>
      <c r="E31848" t="s">
        <v>7</v>
      </c>
    </row>
    <row r="31849" spans="1:5" x14ac:dyDescent="0.25">
      <c r="A31849" t="str">
        <f>HYPERLINK("https://www.773grp.com/globalSearch/UC2843BDG/page-1", "UC2843BDG")</f>
        <v>UC2843BDG</v>
      </c>
      <c r="B31849" s="3" t="str">
        <f>HYPERLINK("https://www.773grp.com/manufacturer/onsemi?pageNo=1347", "ON Semiconductor")</f>
        <v>ON Semiconductor</v>
      </c>
      <c r="C31849" s="6">
        <v>3073</v>
      </c>
      <c r="D31849" s="7">
        <v>0.79</v>
      </c>
      <c r="E31849" t="s">
        <v>7</v>
      </c>
    </row>
    <row r="31850" spans="1:5" x14ac:dyDescent="0.25">
      <c r="A31850" t="str">
        <f>HYPERLINK("https://www.773grp.com/globalSearch/UC2845BD1G/page-1", "UC2845BD1G")</f>
        <v>UC2845BD1G</v>
      </c>
      <c r="B31850" s="3" t="str">
        <f>HYPERLINK("https://www.773grp.com/manufacturer/onsemi?pageNo=1348", "ON Semiconductor")</f>
        <v>ON Semiconductor</v>
      </c>
      <c r="C31850" s="6">
        <v>18920</v>
      </c>
      <c r="D31850" s="7">
        <v>0.79</v>
      </c>
      <c r="E31850" t="s">
        <v>7</v>
      </c>
    </row>
    <row r="31851" spans="1:5" x14ac:dyDescent="0.25">
      <c r="A31851" t="str">
        <f>HYPERLINK("https://www.773grp.com/globalSearch/UC2845BDG/page-1", "UC2845BDG")</f>
        <v>UC2845BDG</v>
      </c>
      <c r="B31851" s="3" t="s">
        <v>95</v>
      </c>
      <c r="C31851" s="6">
        <v>8965</v>
      </c>
      <c r="D31851" s="7">
        <v>0.79</v>
      </c>
      <c r="E31851" t="s">
        <v>7</v>
      </c>
    </row>
    <row r="31852" spans="1:5" x14ac:dyDescent="0.25">
      <c r="A31852" t="str">
        <f>HYPERLINK("https://www.773grp.com/globalSearch/UC3842BD1G/page-1", "UC3842BD1G")</f>
        <v>UC3842BD1G</v>
      </c>
      <c r="B31852" s="3" t="s">
        <v>95</v>
      </c>
      <c r="C31852" s="6">
        <v>38</v>
      </c>
      <c r="D31852" s="7">
        <v>0.79</v>
      </c>
      <c r="E31852" t="s">
        <v>7</v>
      </c>
    </row>
    <row r="31853" spans="1:5" x14ac:dyDescent="0.25">
      <c r="A31853" t="str">
        <f>HYPERLINK("https://www.773grp.com/globalSearch/UC3842BDG/page-1", "UC3842BDG")</f>
        <v>UC3842BDG</v>
      </c>
      <c r="B31853" s="3" t="s">
        <v>95</v>
      </c>
      <c r="C31853" s="6">
        <v>118</v>
      </c>
      <c r="D31853" s="7">
        <v>0.79</v>
      </c>
      <c r="E31853" t="s">
        <v>7</v>
      </c>
    </row>
    <row r="31854" spans="1:5" x14ac:dyDescent="0.25">
      <c r="A31854" t="str">
        <f>HYPERLINK("https://www.773grp.com/globalSearch/UC3844BD1G/page-1", "UC3844BD1G")</f>
        <v>UC3844BD1G</v>
      </c>
      <c r="B31854" s="3" t="s">
        <v>95</v>
      </c>
      <c r="C31854" s="6">
        <v>2422</v>
      </c>
      <c r="D31854" s="7">
        <v>0.79</v>
      </c>
    </row>
    <row r="31855" spans="1:5" x14ac:dyDescent="0.25">
      <c r="A31855" t="str">
        <f>HYPERLINK("https://www.773grp.com/globalSearch/UC3844BDG/page-1", "UC3844BDG")</f>
        <v>UC3844BDG</v>
      </c>
      <c r="B31855" s="3" t="s">
        <v>95</v>
      </c>
      <c r="C31855" s="6">
        <v>5390</v>
      </c>
      <c r="D31855" s="7">
        <v>0.79</v>
      </c>
      <c r="E31855" t="s">
        <v>7</v>
      </c>
    </row>
    <row r="31856" spans="1:5" x14ac:dyDescent="0.25">
      <c r="A31856" t="str">
        <f>HYPERLINK("https://www.773grp.com/globalSearch/UC3845BDG/page-1", "UC3845BDG")</f>
        <v>UC3845BDG</v>
      </c>
      <c r="B31856" s="3" t="s">
        <v>95</v>
      </c>
      <c r="C31856" s="6">
        <v>15830</v>
      </c>
      <c r="D31856" s="7">
        <v>0.79</v>
      </c>
      <c r="E31856" t="s">
        <v>7</v>
      </c>
    </row>
    <row r="31857" spans="1:5" x14ac:dyDescent="0.25">
      <c r="A31857" t="str">
        <f>HYPERLINK("https://www.773grp.com/globalSearch/ULN2003A/page-1", "ULN2003A")</f>
        <v>ULN2003A</v>
      </c>
      <c r="B31857" s="3" t="s">
        <v>95</v>
      </c>
      <c r="C31857" s="6">
        <v>13547</v>
      </c>
      <c r="D31857" s="7">
        <v>0.79</v>
      </c>
      <c r="E31857" t="s">
        <v>59</v>
      </c>
    </row>
    <row r="31858" spans="1:5" x14ac:dyDescent="0.25">
      <c r="A31858" t="str">
        <f>HYPERLINK("https://www.773grp.com/globalSearch/XCP1203D60R2/page-1", "XCP1203D60R2")</f>
        <v>XCP1203D60R2</v>
      </c>
      <c r="B31858" s="3" t="s">
        <v>95</v>
      </c>
      <c r="C31858" s="6">
        <v>1209</v>
      </c>
      <c r="D31858" s="7">
        <v>0.79</v>
      </c>
    </row>
    <row r="31859" spans="1:5" x14ac:dyDescent="0.25">
      <c r="A31859" t="str">
        <f>HYPERLINK("https://www.773grp.com/globalSearch/1N5336BG/page-1", "1N5336BG")</f>
        <v>1N5336BG</v>
      </c>
      <c r="B31859" s="3" t="s">
        <v>95</v>
      </c>
      <c r="C31859" s="6">
        <v>39149</v>
      </c>
      <c r="D31859" s="7">
        <v>0.85</v>
      </c>
      <c r="E31859" t="s">
        <v>98</v>
      </c>
    </row>
    <row r="31860" spans="1:5" x14ac:dyDescent="0.25">
      <c r="A31860" t="str">
        <f>HYPERLINK("https://www.773grp.com/globalSearch/1N5336BRLG/page-1", "1N5336BRLG")</f>
        <v>1N5336BRLG</v>
      </c>
      <c r="B31860" s="3" t="s">
        <v>95</v>
      </c>
      <c r="C31860" s="6">
        <v>28000</v>
      </c>
      <c r="D31860" s="7">
        <v>0.85</v>
      </c>
      <c r="E31860" t="s">
        <v>98</v>
      </c>
    </row>
    <row r="31861" spans="1:5" x14ac:dyDescent="0.25">
      <c r="A31861" t="str">
        <f>HYPERLINK("https://www.773grp.com/globalSearch/1N5337BG/page-1", "1N5337BG")</f>
        <v>1N5337BG</v>
      </c>
      <c r="B31861" s="3" t="s">
        <v>95</v>
      </c>
      <c r="C31861" s="6">
        <v>5500</v>
      </c>
      <c r="D31861" s="7">
        <v>0.85</v>
      </c>
      <c r="E31861" t="s">
        <v>98</v>
      </c>
    </row>
    <row r="31862" spans="1:5" x14ac:dyDescent="0.25">
      <c r="A31862" t="str">
        <f>HYPERLINK("https://www.773grp.com/globalSearch/1N5337BRLG/page-1", "1N5337BRLG")</f>
        <v>1N5337BRLG</v>
      </c>
      <c r="B31862" s="3" t="s">
        <v>95</v>
      </c>
      <c r="C31862" s="6">
        <v>4000</v>
      </c>
      <c r="D31862" s="7">
        <v>0.85</v>
      </c>
    </row>
    <row r="31863" spans="1:5" x14ac:dyDescent="0.25">
      <c r="A31863" t="str">
        <f>HYPERLINK("https://www.773grp.com/globalSearch/1N5338BG/page-1", "1N5338BG")</f>
        <v>1N5338BG</v>
      </c>
      <c r="B31863" s="3" t="s">
        <v>95</v>
      </c>
      <c r="C31863" s="6">
        <v>2210</v>
      </c>
      <c r="D31863" s="7">
        <v>0.85</v>
      </c>
      <c r="E31863" t="s">
        <v>98</v>
      </c>
    </row>
    <row r="31864" spans="1:5" x14ac:dyDescent="0.25">
      <c r="A31864" t="str">
        <f>HYPERLINK("https://www.773grp.com/globalSearch/1N5338BRLG/page-1", "1N5338BRLG")</f>
        <v>1N5338BRLG</v>
      </c>
      <c r="B31864" s="3" t="s">
        <v>95</v>
      </c>
      <c r="C31864" s="6">
        <v>3736</v>
      </c>
      <c r="D31864" s="7">
        <v>0.85</v>
      </c>
      <c r="E31864" t="s">
        <v>98</v>
      </c>
    </row>
    <row r="31865" spans="1:5" x14ac:dyDescent="0.25">
      <c r="A31865" t="str">
        <f>HYPERLINK("https://www.773grp.com/globalSearch/1N5339BG/page-1", "1N5339BG")</f>
        <v>1N5339BG</v>
      </c>
      <c r="B31865" s="3" t="s">
        <v>95</v>
      </c>
      <c r="C31865" s="6">
        <v>2400</v>
      </c>
      <c r="D31865" s="7">
        <v>0.85</v>
      </c>
    </row>
    <row r="31866" spans="1:5" x14ac:dyDescent="0.25">
      <c r="A31866" t="str">
        <f>HYPERLINK("https://www.773grp.com/globalSearch/1N5339BRLG/page-1", "1N5339BRLG")</f>
        <v>1N5339BRLG</v>
      </c>
      <c r="B31866" s="3" t="s">
        <v>95</v>
      </c>
      <c r="C31866" s="6">
        <v>23800</v>
      </c>
      <c r="D31866" s="7">
        <v>0.85</v>
      </c>
    </row>
    <row r="31867" spans="1:5" x14ac:dyDescent="0.25">
      <c r="A31867" t="str">
        <f>HYPERLINK("https://www.773grp.com/globalSearch/1N5340BG/page-1", "1N5340BG")</f>
        <v>1N5340BG</v>
      </c>
      <c r="B31867" s="3" t="s">
        <v>95</v>
      </c>
      <c r="C31867" s="6">
        <v>7379</v>
      </c>
      <c r="D31867" s="7">
        <v>0.85</v>
      </c>
      <c r="E31867" t="s">
        <v>98</v>
      </c>
    </row>
    <row r="31868" spans="1:5" x14ac:dyDescent="0.25">
      <c r="A31868" t="str">
        <f>HYPERLINK("https://www.773grp.com/globalSearch/1N5340BRLG/page-1", "1N5340BRLG")</f>
        <v>1N5340BRLG</v>
      </c>
      <c r="B31868" s="3" t="s">
        <v>95</v>
      </c>
      <c r="C31868" s="6">
        <v>48000</v>
      </c>
      <c r="D31868" s="7">
        <v>0.85</v>
      </c>
      <c r="E31868" t="s">
        <v>98</v>
      </c>
    </row>
    <row r="31869" spans="1:5" x14ac:dyDescent="0.25">
      <c r="A31869" t="str">
        <f>HYPERLINK("https://www.773grp.com/globalSearch/1N5343BG/page-1", "1N5343BG")</f>
        <v>1N5343BG</v>
      </c>
      <c r="B31869" s="3" t="s">
        <v>95</v>
      </c>
      <c r="C31869" s="6">
        <v>19000</v>
      </c>
      <c r="D31869" s="7">
        <v>0.85</v>
      </c>
      <c r="E31869" t="s">
        <v>98</v>
      </c>
    </row>
    <row r="31870" spans="1:5" x14ac:dyDescent="0.25">
      <c r="A31870" t="str">
        <f>HYPERLINK("https://www.773grp.com/globalSearch/1N5347BG/page-1", "1N5347BG")</f>
        <v>1N5347BG</v>
      </c>
      <c r="B31870" s="3" t="s">
        <v>95</v>
      </c>
      <c r="C31870" s="6">
        <v>47709</v>
      </c>
      <c r="D31870" s="7">
        <v>0.85</v>
      </c>
      <c r="E31870" t="s">
        <v>98</v>
      </c>
    </row>
    <row r="31871" spans="1:5" x14ac:dyDescent="0.25">
      <c r="A31871" t="str">
        <f>HYPERLINK("https://www.773grp.com/globalSearch/1N5347BRLG/page-1", "1N5347BRLG")</f>
        <v>1N5347BRLG</v>
      </c>
      <c r="B31871" s="3" t="s">
        <v>95</v>
      </c>
      <c r="C31871" s="6">
        <v>48000</v>
      </c>
      <c r="D31871" s="7">
        <v>0.85</v>
      </c>
      <c r="E31871" t="s">
        <v>98</v>
      </c>
    </row>
    <row r="31872" spans="1:5" x14ac:dyDescent="0.25">
      <c r="A31872" t="str">
        <f>HYPERLINK("https://www.773grp.com/globalSearch/1N5348BG/page-1", "1N5348BG")</f>
        <v>1N5348BG</v>
      </c>
      <c r="B31872" s="3" t="s">
        <v>95</v>
      </c>
      <c r="C31872" s="6">
        <v>1727</v>
      </c>
      <c r="D31872" s="7">
        <v>0.85</v>
      </c>
      <c r="E31872" t="s">
        <v>98</v>
      </c>
    </row>
    <row r="31873" spans="1:5" x14ac:dyDescent="0.25">
      <c r="A31873" t="str">
        <f>HYPERLINK("https://www.773grp.com/globalSearch/1N5348BRLG/page-1", "1N5348BRLG")</f>
        <v>1N5348BRLG</v>
      </c>
      <c r="B31873" s="3" t="s">
        <v>95</v>
      </c>
      <c r="C31873" s="6">
        <v>412099</v>
      </c>
      <c r="D31873" s="7">
        <v>0.85</v>
      </c>
      <c r="E31873" t="s">
        <v>98</v>
      </c>
    </row>
    <row r="31874" spans="1:5" x14ac:dyDescent="0.25">
      <c r="A31874" t="str">
        <f>HYPERLINK("https://www.773grp.com/globalSearch/1N5349BG/page-1", "1N5349BG")</f>
        <v>1N5349BG</v>
      </c>
      <c r="B31874" s="3" t="s">
        <v>95</v>
      </c>
      <c r="C31874" s="6">
        <v>1000</v>
      </c>
      <c r="D31874" s="7">
        <v>0.85</v>
      </c>
    </row>
    <row r="31875" spans="1:5" x14ac:dyDescent="0.25">
      <c r="A31875" t="str">
        <f>HYPERLINK("https://www.773grp.com/globalSearch/1N5349BRLG/page-1", "1N5349BRLG")</f>
        <v>1N5349BRLG</v>
      </c>
      <c r="B31875" s="3" t="s">
        <v>95</v>
      </c>
      <c r="C31875" s="6">
        <v>18498</v>
      </c>
      <c r="D31875" s="7">
        <v>0.85</v>
      </c>
    </row>
    <row r="31876" spans="1:5" x14ac:dyDescent="0.25">
      <c r="A31876" t="str">
        <f>HYPERLINK("https://www.773grp.com/globalSearch/1N5350BG/page-1", "1N5350BG")</f>
        <v>1N5350BG</v>
      </c>
      <c r="B31876" s="3" t="s">
        <v>95</v>
      </c>
      <c r="C31876" s="6">
        <v>16934</v>
      </c>
      <c r="D31876" s="7">
        <v>0.85</v>
      </c>
      <c r="E31876" t="s">
        <v>98</v>
      </c>
    </row>
    <row r="31877" spans="1:5" x14ac:dyDescent="0.25">
      <c r="A31877" t="str">
        <f>HYPERLINK("https://www.773grp.com/globalSearch/1N5350BRLG/page-1", "1N5350BRLG")</f>
        <v>1N5350BRLG</v>
      </c>
      <c r="B31877" s="3" t="s">
        <v>95</v>
      </c>
      <c r="C31877" s="6">
        <v>36339</v>
      </c>
      <c r="D31877" s="7">
        <v>0.85</v>
      </c>
      <c r="E31877" t="s">
        <v>98</v>
      </c>
    </row>
    <row r="31878" spans="1:5" x14ac:dyDescent="0.25">
      <c r="A31878" t="str">
        <f>HYPERLINK("https://www.773grp.com/globalSearch/1N5351BG/page-1", "1N5351BG")</f>
        <v>1N5351BG</v>
      </c>
      <c r="B31878" s="3" t="s">
        <v>95</v>
      </c>
      <c r="C31878" s="6">
        <v>29297</v>
      </c>
      <c r="D31878" s="7">
        <v>0.85</v>
      </c>
      <c r="E31878" t="s">
        <v>98</v>
      </c>
    </row>
    <row r="31879" spans="1:5" x14ac:dyDescent="0.25">
      <c r="A31879" t="str">
        <f>HYPERLINK("https://www.773grp.com/globalSearch/1N5351BRLG/page-1", "1N5351BRLG")</f>
        <v>1N5351BRLG</v>
      </c>
      <c r="B31879" s="3" t="s">
        <v>95</v>
      </c>
      <c r="C31879" s="6">
        <v>116000</v>
      </c>
      <c r="D31879" s="7">
        <v>0.85</v>
      </c>
      <c r="E31879" t="s">
        <v>98</v>
      </c>
    </row>
    <row r="31880" spans="1:5" x14ac:dyDescent="0.25">
      <c r="A31880" t="str">
        <f>HYPERLINK("https://www.773grp.com/globalSearch/1N5352BG/page-1", "1N5352BG")</f>
        <v>1N5352BG</v>
      </c>
      <c r="B31880" s="3" t="s">
        <v>95</v>
      </c>
      <c r="C31880" s="6">
        <v>11562</v>
      </c>
      <c r="D31880" s="7">
        <v>0.85</v>
      </c>
      <c r="E31880" t="s">
        <v>98</v>
      </c>
    </row>
    <row r="31881" spans="1:5" x14ac:dyDescent="0.25">
      <c r="A31881" t="str">
        <f>HYPERLINK("https://www.773grp.com/globalSearch/1N5352BRLG/page-1", "1N5352BRLG")</f>
        <v>1N5352BRLG</v>
      </c>
      <c r="B31881" s="3" t="s">
        <v>95</v>
      </c>
      <c r="C31881" s="6">
        <v>50548</v>
      </c>
      <c r="D31881" s="7">
        <v>0.85</v>
      </c>
      <c r="E31881" t="s">
        <v>98</v>
      </c>
    </row>
    <row r="31882" spans="1:5" x14ac:dyDescent="0.25">
      <c r="A31882" t="str">
        <f>HYPERLINK("https://www.773grp.com/globalSearch/1N5353BG/page-1", "1N5353BG")</f>
        <v>1N5353BG</v>
      </c>
      <c r="B31882" s="3" t="s">
        <v>95</v>
      </c>
      <c r="C31882" s="6">
        <v>40304</v>
      </c>
      <c r="D31882" s="7">
        <v>0.85</v>
      </c>
      <c r="E31882" t="s">
        <v>98</v>
      </c>
    </row>
    <row r="31883" spans="1:5" x14ac:dyDescent="0.25">
      <c r="A31883" t="str">
        <f>HYPERLINK("https://www.773grp.com/globalSearch/1N5353BRLG/page-1", "1N5353BRLG")</f>
        <v>1N5353BRLG</v>
      </c>
      <c r="B31883" s="3" t="s">
        <v>95</v>
      </c>
      <c r="C31883" s="6">
        <v>162374</v>
      </c>
      <c r="D31883" s="7">
        <v>0.85</v>
      </c>
      <c r="E31883" t="s">
        <v>98</v>
      </c>
    </row>
    <row r="31884" spans="1:5" x14ac:dyDescent="0.25">
      <c r="A31884" t="str">
        <f>HYPERLINK("https://www.773grp.com/globalSearch/1N5354BG/page-1", "1N5354BG")</f>
        <v>1N5354BG</v>
      </c>
      <c r="B31884" s="3" t="s">
        <v>95</v>
      </c>
      <c r="C31884" s="6">
        <v>18357</v>
      </c>
      <c r="D31884" s="7">
        <v>0.85</v>
      </c>
      <c r="E31884" t="s">
        <v>98</v>
      </c>
    </row>
    <row r="31885" spans="1:5" x14ac:dyDescent="0.25">
      <c r="A31885" t="str">
        <f>HYPERLINK("https://www.773grp.com/globalSearch/1N5355BG/page-1", "1N5355BG")</f>
        <v>1N5355BG</v>
      </c>
      <c r="B31885" s="3" t="s">
        <v>95</v>
      </c>
      <c r="C31885" s="6">
        <v>28000</v>
      </c>
      <c r="D31885" s="7">
        <v>0.85</v>
      </c>
      <c r="E31885" t="s">
        <v>98</v>
      </c>
    </row>
    <row r="31886" spans="1:5" x14ac:dyDescent="0.25">
      <c r="A31886" t="str">
        <f>HYPERLINK("https://www.773grp.com/globalSearch/1N5355BRLG/page-1", "1N5355BRLG")</f>
        <v>1N5355BRLG</v>
      </c>
      <c r="B31886" s="3" t="s">
        <v>95</v>
      </c>
      <c r="C31886" s="6">
        <v>114244</v>
      </c>
      <c r="D31886" s="7">
        <v>0.85</v>
      </c>
      <c r="E31886" t="s">
        <v>98</v>
      </c>
    </row>
    <row r="31887" spans="1:5" x14ac:dyDescent="0.25">
      <c r="A31887" t="str">
        <f>HYPERLINK("https://www.773grp.com/globalSearch/1N5357BG/page-1", "1N5357BG")</f>
        <v>1N5357BG</v>
      </c>
      <c r="B31887" s="3" t="s">
        <v>95</v>
      </c>
      <c r="C31887" s="6">
        <v>24270</v>
      </c>
      <c r="D31887" s="7">
        <v>0.85</v>
      </c>
      <c r="E31887" t="s">
        <v>98</v>
      </c>
    </row>
    <row r="31888" spans="1:5" x14ac:dyDescent="0.25">
      <c r="A31888" t="str">
        <f>HYPERLINK("https://www.773grp.com/globalSearch/1N5357BRLG/page-1", "1N5357BRLG")</f>
        <v>1N5357BRLG</v>
      </c>
      <c r="B31888" s="3" t="s">
        <v>95</v>
      </c>
      <c r="C31888" s="6">
        <v>28000</v>
      </c>
      <c r="D31888" s="7">
        <v>0.85</v>
      </c>
    </row>
    <row r="31889" spans="1:5" x14ac:dyDescent="0.25">
      <c r="A31889" t="str">
        <f>HYPERLINK("https://www.773grp.com/globalSearch/1N5358BG/page-1", "1N5358BG")</f>
        <v>1N5358BG</v>
      </c>
      <c r="B31889" s="3" t="s">
        <v>95</v>
      </c>
      <c r="C31889" s="6">
        <v>6000</v>
      </c>
      <c r="D31889" s="7">
        <v>0.85</v>
      </c>
      <c r="E31889" t="s">
        <v>98</v>
      </c>
    </row>
    <row r="31890" spans="1:5" x14ac:dyDescent="0.25">
      <c r="A31890" t="str">
        <f>HYPERLINK("https://www.773grp.com/globalSearch/1N5358BRLG/page-1", "1N5358BRLG")</f>
        <v>1N5358BRLG</v>
      </c>
      <c r="B31890" s="3" t="s">
        <v>95</v>
      </c>
      <c r="C31890" s="6">
        <v>3815</v>
      </c>
      <c r="D31890" s="7">
        <v>0.85</v>
      </c>
    </row>
    <row r="31891" spans="1:5" x14ac:dyDescent="0.25">
      <c r="A31891" t="str">
        <f>HYPERLINK("https://www.773grp.com/globalSearch/1N5359BG/page-1", "1N5359BG")</f>
        <v>1N5359BG</v>
      </c>
      <c r="B31891" s="3" t="s">
        <v>95</v>
      </c>
      <c r="C31891" s="6">
        <v>38385</v>
      </c>
      <c r="D31891" s="7">
        <v>0.85</v>
      </c>
      <c r="E31891" t="s">
        <v>98</v>
      </c>
    </row>
    <row r="31892" spans="1:5" x14ac:dyDescent="0.25">
      <c r="A31892" t="str">
        <f>HYPERLINK("https://www.773grp.com/globalSearch/1N5359BRLG/page-1", "1N5359BRLG")</f>
        <v>1N5359BRLG</v>
      </c>
      <c r="B31892" s="3" t="s">
        <v>95</v>
      </c>
      <c r="C31892" s="6">
        <v>15549</v>
      </c>
      <c r="D31892" s="7">
        <v>0.85</v>
      </c>
      <c r="E31892" t="s">
        <v>98</v>
      </c>
    </row>
    <row r="31893" spans="1:5" x14ac:dyDescent="0.25">
      <c r="A31893" t="str">
        <f>HYPERLINK("https://www.773grp.com/globalSearch/1N5360BG/page-1", "1N5360BG")</f>
        <v>1N5360BG</v>
      </c>
      <c r="B31893" s="3" t="s">
        <v>95</v>
      </c>
      <c r="C31893" s="6">
        <v>32000</v>
      </c>
      <c r="D31893" s="7">
        <v>0.85</v>
      </c>
    </row>
    <row r="31894" spans="1:5" x14ac:dyDescent="0.25">
      <c r="A31894" t="str">
        <f>HYPERLINK("https://www.773grp.com/globalSearch/1N5360BRLG/page-1", "1N5360BRLG")</f>
        <v>1N5360BRLG</v>
      </c>
      <c r="B31894" s="3" t="s">
        <v>95</v>
      </c>
      <c r="C31894" s="6">
        <v>10971</v>
      </c>
      <c r="D31894" s="7">
        <v>0.85</v>
      </c>
    </row>
    <row r="31895" spans="1:5" x14ac:dyDescent="0.25">
      <c r="A31895" t="str">
        <f>HYPERLINK("https://www.773grp.com/globalSearch/1N5361BG/page-1", "1N5361BG")</f>
        <v>1N5361BG</v>
      </c>
      <c r="B31895" s="3" t="s">
        <v>95</v>
      </c>
      <c r="C31895" s="6">
        <v>169500</v>
      </c>
      <c r="D31895" s="7">
        <v>0.85</v>
      </c>
      <c r="E31895" t="s">
        <v>98</v>
      </c>
    </row>
    <row r="31896" spans="1:5" x14ac:dyDescent="0.25">
      <c r="A31896" t="str">
        <f>HYPERLINK("https://www.773grp.com/globalSearch/1N5361BRLG/page-1", "1N5361BRLG")</f>
        <v>1N5361BRLG</v>
      </c>
      <c r="B31896" s="3" t="s">
        <v>95</v>
      </c>
      <c r="C31896" s="6">
        <v>51084</v>
      </c>
      <c r="D31896" s="7">
        <v>0.85</v>
      </c>
      <c r="E31896" t="s">
        <v>98</v>
      </c>
    </row>
    <row r="31897" spans="1:5" x14ac:dyDescent="0.25">
      <c r="A31897" t="str">
        <f>HYPERLINK("https://www.773grp.com/globalSearch/1N5362BG/page-1", "1N5362BG")</f>
        <v>1N5362BG</v>
      </c>
      <c r="B31897" s="3" t="s">
        <v>95</v>
      </c>
      <c r="C31897" s="6">
        <v>12753</v>
      </c>
      <c r="D31897" s="7">
        <v>0.85</v>
      </c>
      <c r="E31897" t="s">
        <v>98</v>
      </c>
    </row>
    <row r="31898" spans="1:5" x14ac:dyDescent="0.25">
      <c r="A31898" t="str">
        <f>HYPERLINK("https://www.773grp.com/globalSearch/1N5362BRLG/page-1", "1N5362BRLG")</f>
        <v>1N5362BRLG</v>
      </c>
      <c r="B31898" s="3" t="s">
        <v>95</v>
      </c>
      <c r="C31898" s="6">
        <v>16695</v>
      </c>
      <c r="D31898" s="7">
        <v>0.85</v>
      </c>
      <c r="E31898" t="s">
        <v>98</v>
      </c>
    </row>
    <row r="31899" spans="1:5" x14ac:dyDescent="0.25">
      <c r="A31899" t="str">
        <f>HYPERLINK("https://www.773grp.com/globalSearch/1N5363BG/page-1", "1N5363BG")</f>
        <v>1N5363BG</v>
      </c>
      <c r="B31899" s="3" t="s">
        <v>95</v>
      </c>
      <c r="C31899" s="6">
        <v>7000</v>
      </c>
      <c r="D31899" s="7">
        <v>0.85</v>
      </c>
      <c r="E31899" t="s">
        <v>98</v>
      </c>
    </row>
    <row r="31900" spans="1:5" x14ac:dyDescent="0.25">
      <c r="A31900" t="str">
        <f>HYPERLINK("https://www.773grp.com/globalSearch/1N5363BRLG/page-1", "1N5363BRLG")</f>
        <v>1N5363BRLG</v>
      </c>
      <c r="B31900" s="3" t="s">
        <v>95</v>
      </c>
      <c r="C31900" s="6">
        <v>68284</v>
      </c>
      <c r="D31900" s="7">
        <v>0.85</v>
      </c>
      <c r="E31900" t="s">
        <v>98</v>
      </c>
    </row>
    <row r="31901" spans="1:5" x14ac:dyDescent="0.25">
      <c r="A31901" t="str">
        <f>HYPERLINK("https://www.773grp.com/globalSearch/1N5364BG/page-1", "1N5364BG")</f>
        <v>1N5364BG</v>
      </c>
      <c r="B31901" s="3" t="s">
        <v>95</v>
      </c>
      <c r="C31901" s="6">
        <v>7000</v>
      </c>
      <c r="D31901" s="7">
        <v>0.85</v>
      </c>
      <c r="E31901" t="s">
        <v>98</v>
      </c>
    </row>
    <row r="31902" spans="1:5" x14ac:dyDescent="0.25">
      <c r="A31902" t="str">
        <f>HYPERLINK("https://www.773grp.com/globalSearch/1N5365BG/page-1", "1N5365BG")</f>
        <v>1N5365BG</v>
      </c>
      <c r="B31902" s="3" t="s">
        <v>95</v>
      </c>
      <c r="C31902" s="6">
        <v>12801</v>
      </c>
      <c r="D31902" s="7">
        <v>0.85</v>
      </c>
      <c r="E31902" t="s">
        <v>98</v>
      </c>
    </row>
    <row r="31903" spans="1:5" x14ac:dyDescent="0.25">
      <c r="A31903" t="str">
        <f>HYPERLINK("https://www.773grp.com/globalSearch/1N5366BG/page-1", "1N5366BG")</f>
        <v>1N5366BG</v>
      </c>
      <c r="B31903" s="3" t="s">
        <v>95</v>
      </c>
      <c r="C31903" s="6">
        <v>4932</v>
      </c>
      <c r="D31903" s="7">
        <v>0.85</v>
      </c>
      <c r="E31903" t="s">
        <v>98</v>
      </c>
    </row>
    <row r="31904" spans="1:5" x14ac:dyDescent="0.25">
      <c r="A31904" t="str">
        <f>HYPERLINK("https://www.773grp.com/globalSearch/1N5366BRLG/page-1", "1N5366BRLG")</f>
        <v>1N5366BRLG</v>
      </c>
      <c r="B31904" s="3" t="s">
        <v>95</v>
      </c>
      <c r="C31904" s="6">
        <v>28250</v>
      </c>
      <c r="D31904" s="7">
        <v>0.85</v>
      </c>
      <c r="E31904" t="s">
        <v>98</v>
      </c>
    </row>
    <row r="31905" spans="1:5" x14ac:dyDescent="0.25">
      <c r="A31905" t="str">
        <f>HYPERLINK("https://www.773grp.com/globalSearch/1N5367BG/page-1", "1N5367BG")</f>
        <v>1N5367BG</v>
      </c>
      <c r="B31905" s="3" t="s">
        <v>95</v>
      </c>
      <c r="C31905" s="6">
        <v>1385</v>
      </c>
      <c r="D31905" s="7">
        <v>0.85</v>
      </c>
      <c r="E31905" t="s">
        <v>98</v>
      </c>
    </row>
    <row r="31906" spans="1:5" x14ac:dyDescent="0.25">
      <c r="A31906" t="str">
        <f>HYPERLINK("https://www.773grp.com/globalSearch/1N5367BRLG/page-1", "1N5367BRLG")</f>
        <v>1N5367BRLG</v>
      </c>
      <c r="B31906" s="3" t="s">
        <v>95</v>
      </c>
      <c r="C31906" s="6">
        <v>4993</v>
      </c>
      <c r="D31906" s="7">
        <v>0.85</v>
      </c>
      <c r="E31906" t="s">
        <v>98</v>
      </c>
    </row>
    <row r="31907" spans="1:5" x14ac:dyDescent="0.25">
      <c r="A31907" t="str">
        <f>HYPERLINK("https://www.773grp.com/globalSearch/1N5368BG/page-1", "1N5368BG")</f>
        <v>1N5368BG</v>
      </c>
      <c r="B31907" s="3" t="s">
        <v>95</v>
      </c>
      <c r="C31907" s="6">
        <v>24234</v>
      </c>
      <c r="D31907" s="7">
        <v>0.85</v>
      </c>
      <c r="E31907" t="s">
        <v>98</v>
      </c>
    </row>
    <row r="31908" spans="1:5" x14ac:dyDescent="0.25">
      <c r="A31908" t="str">
        <f>HYPERLINK("https://www.773grp.com/globalSearch/1N5368BRLG/page-1", "1N5368BRLG")</f>
        <v>1N5368BRLG</v>
      </c>
      <c r="B31908" s="3" t="s">
        <v>95</v>
      </c>
      <c r="C31908" s="6">
        <v>56407</v>
      </c>
      <c r="D31908" s="7">
        <v>0.85</v>
      </c>
      <c r="E31908" t="s">
        <v>98</v>
      </c>
    </row>
    <row r="31909" spans="1:5" x14ac:dyDescent="0.25">
      <c r="A31909" t="str">
        <f>HYPERLINK("https://www.773grp.com/globalSearch/1N5369BG/page-1", "1N5369BG")</f>
        <v>1N5369BG</v>
      </c>
      <c r="B31909" s="3" t="s">
        <v>95</v>
      </c>
      <c r="C31909" s="6">
        <v>11310</v>
      </c>
      <c r="D31909" s="7">
        <v>0.85</v>
      </c>
    </row>
    <row r="31910" spans="1:5" x14ac:dyDescent="0.25">
      <c r="A31910" t="str">
        <f>HYPERLINK("https://www.773grp.com/globalSearch/1N5369BRLG/page-1", "1N5369BRLG")</f>
        <v>1N5369BRLG</v>
      </c>
      <c r="B31910" s="3" t="s">
        <v>95</v>
      </c>
      <c r="C31910" s="6">
        <v>48000</v>
      </c>
      <c r="D31910" s="7">
        <v>0.85</v>
      </c>
      <c r="E31910" t="s">
        <v>98</v>
      </c>
    </row>
    <row r="31911" spans="1:5" x14ac:dyDescent="0.25">
      <c r="A31911" t="str">
        <f>HYPERLINK("https://www.773grp.com/globalSearch/1N5370BG/page-1", "1N5370BG")</f>
        <v>1N5370BG</v>
      </c>
      <c r="B31911" s="3" t="s">
        <v>95</v>
      </c>
      <c r="C31911" s="6">
        <v>15000</v>
      </c>
      <c r="D31911" s="7">
        <v>0.85</v>
      </c>
      <c r="E31911" t="s">
        <v>98</v>
      </c>
    </row>
    <row r="31912" spans="1:5" x14ac:dyDescent="0.25">
      <c r="A31912" t="str">
        <f>HYPERLINK("https://www.773grp.com/globalSearch/1N5370BRLG/page-1", "1N5370BRLG")</f>
        <v>1N5370BRLG</v>
      </c>
      <c r="B31912" s="3" t="s">
        <v>95</v>
      </c>
      <c r="C31912" s="6">
        <v>12000</v>
      </c>
      <c r="D31912" s="7">
        <v>0.85</v>
      </c>
      <c r="E31912" t="s">
        <v>98</v>
      </c>
    </row>
    <row r="31913" spans="1:5" x14ac:dyDescent="0.25">
      <c r="A31913" t="str">
        <f>HYPERLINK("https://www.773grp.com/globalSearch/1N5372BG/page-1", "1N5372BG")</f>
        <v>1N5372BG</v>
      </c>
      <c r="B31913" s="3" t="s">
        <v>95</v>
      </c>
      <c r="C31913" s="6">
        <v>18820</v>
      </c>
      <c r="D31913" s="7">
        <v>0.85</v>
      </c>
      <c r="E31913" t="s">
        <v>98</v>
      </c>
    </row>
    <row r="31914" spans="1:5" x14ac:dyDescent="0.25">
      <c r="A31914" t="str">
        <f>HYPERLINK("https://www.773grp.com/globalSearch/1N5372BRLG/page-1", "1N5372BRLG")</f>
        <v>1N5372BRLG</v>
      </c>
      <c r="B31914" s="3" t="s">
        <v>95</v>
      </c>
      <c r="C31914" s="6">
        <v>4000</v>
      </c>
      <c r="D31914" s="7">
        <v>0.85</v>
      </c>
      <c r="E31914" t="s">
        <v>98</v>
      </c>
    </row>
    <row r="31915" spans="1:5" x14ac:dyDescent="0.25">
      <c r="A31915" t="str">
        <f>HYPERLINK("https://www.773grp.com/globalSearch/1N5373BG/page-1", "1N5373BG")</f>
        <v>1N5373BG</v>
      </c>
      <c r="B31915" s="3" t="s">
        <v>95</v>
      </c>
      <c r="C31915" s="6">
        <v>24772</v>
      </c>
      <c r="D31915" s="7">
        <v>0.85</v>
      </c>
      <c r="E31915" t="s">
        <v>98</v>
      </c>
    </row>
    <row r="31916" spans="1:5" x14ac:dyDescent="0.25">
      <c r="A31916" t="str">
        <f>HYPERLINK("https://www.773grp.com/globalSearch/1N5373BRLG/page-1", "1N5373BRLG")</f>
        <v>1N5373BRLG</v>
      </c>
      <c r="B31916" s="3" t="s">
        <v>95</v>
      </c>
      <c r="C31916" s="6">
        <v>20000</v>
      </c>
      <c r="D31916" s="7">
        <v>0.85</v>
      </c>
      <c r="E31916" t="s">
        <v>98</v>
      </c>
    </row>
    <row r="31917" spans="1:5" x14ac:dyDescent="0.25">
      <c r="A31917" t="str">
        <f>HYPERLINK("https://www.773grp.com/globalSearch/1N5374B/page-1", "1N5374B")</f>
        <v>1N5374B</v>
      </c>
      <c r="B31917" s="3" t="s">
        <v>95</v>
      </c>
      <c r="C31917" s="6">
        <v>12622</v>
      </c>
      <c r="D31917" s="7">
        <v>0.85</v>
      </c>
      <c r="E31917" t="s">
        <v>98</v>
      </c>
    </row>
    <row r="31918" spans="1:5" x14ac:dyDescent="0.25">
      <c r="A31918" t="str">
        <f>HYPERLINK("https://www.773grp.com/globalSearch/1N5374BG/page-1", "1N5374BG")</f>
        <v>1N5374BG</v>
      </c>
      <c r="B31918" s="3" t="s">
        <v>95</v>
      </c>
      <c r="C31918" s="6">
        <v>3284</v>
      </c>
      <c r="D31918" s="7">
        <v>0.85</v>
      </c>
      <c r="E31918" t="s">
        <v>98</v>
      </c>
    </row>
    <row r="31919" spans="1:5" x14ac:dyDescent="0.25">
      <c r="A31919" t="str">
        <f>HYPERLINK("https://www.773grp.com/globalSearch/1N5374BRLG/page-1", "1N5374BRLG")</f>
        <v>1N5374BRLG</v>
      </c>
      <c r="B31919" s="3" t="s">
        <v>95</v>
      </c>
      <c r="C31919" s="6">
        <v>4000</v>
      </c>
      <c r="D31919" s="7">
        <v>0.85</v>
      </c>
    </row>
    <row r="31920" spans="1:5" x14ac:dyDescent="0.25">
      <c r="A31920" t="str">
        <f>HYPERLINK("https://www.773grp.com/globalSearch/1N5375BG/page-1", "1N5375BG")</f>
        <v>1N5375BG</v>
      </c>
      <c r="B31920" s="3" t="s">
        <v>95</v>
      </c>
      <c r="C31920" s="6">
        <v>18217</v>
      </c>
      <c r="D31920" s="7">
        <v>0.85</v>
      </c>
      <c r="E31920" t="s">
        <v>98</v>
      </c>
    </row>
    <row r="31921" spans="1:5" x14ac:dyDescent="0.25">
      <c r="A31921" t="str">
        <f>HYPERLINK("https://www.773grp.com/globalSearch/1N5375BRLG/page-1", "1N5375BRLG")</f>
        <v>1N5375BRLG</v>
      </c>
      <c r="B31921" s="3" t="s">
        <v>95</v>
      </c>
      <c r="C31921" s="6">
        <v>6342</v>
      </c>
      <c r="D31921" s="7">
        <v>0.85</v>
      </c>
    </row>
    <row r="31922" spans="1:5" x14ac:dyDescent="0.25">
      <c r="A31922" t="str">
        <f>HYPERLINK("https://www.773grp.com/globalSearch/1N5378BG/page-1", "1N5378BG")</f>
        <v>1N5378BG</v>
      </c>
      <c r="B31922" s="3" t="s">
        <v>95</v>
      </c>
      <c r="C31922" s="6">
        <v>64000</v>
      </c>
      <c r="D31922" s="7">
        <v>0.85</v>
      </c>
      <c r="E31922" t="s">
        <v>98</v>
      </c>
    </row>
    <row r="31923" spans="1:5" x14ac:dyDescent="0.25">
      <c r="A31923" t="str">
        <f>HYPERLINK("https://www.773grp.com/globalSearch/1N5378BRLG/page-1", "1N5378BRLG")</f>
        <v>1N5378BRLG</v>
      </c>
      <c r="B31923" s="3" t="s">
        <v>95</v>
      </c>
      <c r="C31923" s="6">
        <v>35150</v>
      </c>
      <c r="D31923" s="7">
        <v>0.85</v>
      </c>
      <c r="E31923" t="s">
        <v>98</v>
      </c>
    </row>
    <row r="31924" spans="1:5" x14ac:dyDescent="0.25">
      <c r="A31924" t="str">
        <f>HYPERLINK("https://www.773grp.com/globalSearch/1N5380BG/page-1", "1N5380BG")</f>
        <v>1N5380BG</v>
      </c>
      <c r="B31924" s="3" t="s">
        <v>95</v>
      </c>
      <c r="C31924" s="6">
        <v>74831</v>
      </c>
      <c r="D31924" s="7">
        <v>0.85</v>
      </c>
      <c r="E31924" t="s">
        <v>98</v>
      </c>
    </row>
    <row r="31925" spans="1:5" x14ac:dyDescent="0.25">
      <c r="A31925" t="str">
        <f>HYPERLINK("https://www.773grp.com/globalSearch/1N5380BRLG/page-1", "1N5380BRLG")</f>
        <v>1N5380BRLG</v>
      </c>
      <c r="B31925" s="3" t="s">
        <v>95</v>
      </c>
      <c r="C31925" s="6">
        <v>8000</v>
      </c>
      <c r="D31925" s="7">
        <v>0.85</v>
      </c>
      <c r="E31925" t="s">
        <v>98</v>
      </c>
    </row>
    <row r="31926" spans="1:5" x14ac:dyDescent="0.25">
      <c r="A31926" t="str">
        <f>HYPERLINK("https://www.773grp.com/globalSearch/1N5383BG/page-1", "1N5383BG")</f>
        <v>1N5383BG</v>
      </c>
      <c r="B31926" s="3" t="s">
        <v>95</v>
      </c>
      <c r="C31926" s="6">
        <v>16000</v>
      </c>
      <c r="D31926" s="7">
        <v>0.85</v>
      </c>
      <c r="E31926" t="s">
        <v>98</v>
      </c>
    </row>
    <row r="31927" spans="1:5" x14ac:dyDescent="0.25">
      <c r="A31927" t="str">
        <f>HYPERLINK("https://www.773grp.com/globalSearch/1N5383BRLG/page-1", "1N5383BRLG")</f>
        <v>1N5383BRLG</v>
      </c>
      <c r="B31927" s="3" t="s">
        <v>95</v>
      </c>
      <c r="C31927" s="6">
        <v>562</v>
      </c>
      <c r="D31927" s="7">
        <v>0.85</v>
      </c>
    </row>
    <row r="31928" spans="1:5" x14ac:dyDescent="0.25">
      <c r="A31928" t="str">
        <f>HYPERLINK("https://www.773grp.com/globalSearch/1N5384BG/page-1", "1N5384BG")</f>
        <v>1N5384BG</v>
      </c>
      <c r="B31928" s="3" t="s">
        <v>95</v>
      </c>
      <c r="C31928" s="6">
        <v>20129</v>
      </c>
      <c r="D31928" s="7">
        <v>0.85</v>
      </c>
      <c r="E31928" t="s">
        <v>98</v>
      </c>
    </row>
    <row r="31929" spans="1:5" x14ac:dyDescent="0.25">
      <c r="A31929" t="str">
        <f>HYPERLINK("https://www.773grp.com/globalSearch/1N5384BRLG/page-1", "1N5384BRLG")</f>
        <v>1N5384BRLG</v>
      </c>
      <c r="B31929" s="3" t="s">
        <v>95</v>
      </c>
      <c r="C31929" s="6">
        <v>8779</v>
      </c>
      <c r="D31929" s="7">
        <v>0.85</v>
      </c>
      <c r="E31929" t="s">
        <v>98</v>
      </c>
    </row>
    <row r="31930" spans="1:5" x14ac:dyDescent="0.25">
      <c r="A31930" t="str">
        <f>HYPERLINK("https://www.773grp.com/globalSearch/1N5386BG/page-1", "1N5386BG")</f>
        <v>1N5386BG</v>
      </c>
      <c r="B31930" s="3" t="s">
        <v>95</v>
      </c>
      <c r="C31930" s="6">
        <v>4000</v>
      </c>
      <c r="D31930" s="7">
        <v>0.85</v>
      </c>
      <c r="E31930" t="s">
        <v>98</v>
      </c>
    </row>
    <row r="31931" spans="1:5" x14ac:dyDescent="0.25">
      <c r="A31931" t="str">
        <f>HYPERLINK("https://www.773grp.com/globalSearch/1N5386BRLG/page-1", "1N5386BRLG")</f>
        <v>1N5386BRLG</v>
      </c>
      <c r="B31931" s="3" t="s">
        <v>95</v>
      </c>
      <c r="C31931" s="6">
        <v>7850</v>
      </c>
      <c r="D31931" s="7">
        <v>0.85</v>
      </c>
      <c r="E31931" t="s">
        <v>98</v>
      </c>
    </row>
    <row r="31932" spans="1:5" x14ac:dyDescent="0.25">
      <c r="A31932" t="str">
        <f>HYPERLINK("https://www.773grp.com/globalSearch/1N5388BG/page-1", "1N5388BG")</f>
        <v>1N5388BG</v>
      </c>
      <c r="B31932" s="3" t="s">
        <v>95</v>
      </c>
      <c r="C31932" s="6">
        <v>29000</v>
      </c>
      <c r="D31932" s="7">
        <v>0.85</v>
      </c>
      <c r="E31932" t="s">
        <v>98</v>
      </c>
    </row>
    <row r="31933" spans="1:5" x14ac:dyDescent="0.25">
      <c r="A31933" t="str">
        <f>HYPERLINK("https://www.773grp.com/globalSearch/1N5388BRLG/page-1", "1N5388BRLG")</f>
        <v>1N5388BRLG</v>
      </c>
      <c r="B31933" s="3" t="s">
        <v>95</v>
      </c>
      <c r="C31933" s="6">
        <v>30821</v>
      </c>
      <c r="D31933" s="7">
        <v>0.85</v>
      </c>
      <c r="E31933" t="s">
        <v>98</v>
      </c>
    </row>
    <row r="31934" spans="1:5" x14ac:dyDescent="0.25">
      <c r="A31934" t="str">
        <f>HYPERLINK("https://www.773grp.com/globalSearch/1SMA12AT3H/page-1", "1SMA12AT3H")</f>
        <v>1SMA12AT3H</v>
      </c>
      <c r="B31934" s="3" t="s">
        <v>95</v>
      </c>
      <c r="C31934" s="6">
        <v>5000</v>
      </c>
      <c r="D31934" s="7">
        <v>0.85</v>
      </c>
    </row>
    <row r="31935" spans="1:5" x14ac:dyDescent="0.25">
      <c r="A31935" t="str">
        <f>HYPERLINK("https://www.773grp.com/globalSearch/1SMA5927BT3/page-1", "1SMA5927BT3")</f>
        <v>1SMA5927BT3</v>
      </c>
      <c r="B31935" s="3" t="s">
        <v>95</v>
      </c>
      <c r="C31935" s="6">
        <v>10000</v>
      </c>
      <c r="D31935" s="7">
        <v>0.85</v>
      </c>
    </row>
    <row r="31936" spans="1:5" x14ac:dyDescent="0.25">
      <c r="A31936" t="str">
        <f>HYPERLINK("https://www.773grp.com/globalSearch/1SMA5937BT3/page-1", "1SMA5937BT3")</f>
        <v>1SMA5937BT3</v>
      </c>
      <c r="B31936" s="3" t="s">
        <v>95</v>
      </c>
      <c r="C31936" s="6">
        <v>13500</v>
      </c>
      <c r="D31936" s="7">
        <v>0.85</v>
      </c>
    </row>
    <row r="31937" spans="1:5" x14ac:dyDescent="0.25">
      <c r="A31937" t="str">
        <f>HYPERLINK("https://www.773grp.com/globalSearch/1SMB11CAT3G/page-1", "1SMB11CAT3G")</f>
        <v>1SMB11CAT3G</v>
      </c>
      <c r="B31937" s="3" t="s">
        <v>95</v>
      </c>
      <c r="C31937" s="6">
        <v>2500</v>
      </c>
      <c r="D31937" s="7">
        <v>0.85</v>
      </c>
    </row>
    <row r="31938" spans="1:5" x14ac:dyDescent="0.25">
      <c r="A31938" t="str">
        <f>HYPERLINK("https://www.773grp.com/globalSearch/1SMB13CAT3G/page-1", "1SMB13CAT3G")</f>
        <v>1SMB13CAT3G</v>
      </c>
      <c r="B31938" s="3" t="s">
        <v>95</v>
      </c>
      <c r="C31938" s="6">
        <v>427500</v>
      </c>
      <c r="D31938" s="7">
        <v>0.85</v>
      </c>
      <c r="E31938" t="s">
        <v>96</v>
      </c>
    </row>
    <row r="31939" spans="1:5" x14ac:dyDescent="0.25">
      <c r="A31939" t="str">
        <f>HYPERLINK("https://www.773grp.com/globalSearch/1SMB17CAT3G/page-1", "1SMB17CAT3G")</f>
        <v>1SMB17CAT3G</v>
      </c>
      <c r="B31939" s="3" t="s">
        <v>95</v>
      </c>
      <c r="C31939" s="6">
        <v>2500</v>
      </c>
      <c r="D31939" s="7">
        <v>0.85</v>
      </c>
    </row>
    <row r="31940" spans="1:5" x14ac:dyDescent="0.25">
      <c r="A31940" t="str">
        <f>HYPERLINK("https://www.773grp.com/globalSearch/1SMB26CAT3G/page-1", "1SMB26CAT3G")</f>
        <v>1SMB26CAT3G</v>
      </c>
      <c r="B31940" s="3" t="s">
        <v>95</v>
      </c>
      <c r="C31940" s="6">
        <v>27500</v>
      </c>
      <c r="D31940" s="7">
        <v>0.85</v>
      </c>
      <c r="E31940" t="s">
        <v>96</v>
      </c>
    </row>
    <row r="31941" spans="1:5" x14ac:dyDescent="0.25">
      <c r="A31941" t="str">
        <f>HYPERLINK("https://www.773grp.com/globalSearch/1SMB28CAT3G/page-1", "1SMB28CAT3G")</f>
        <v>1SMB28CAT3G</v>
      </c>
      <c r="B31941" s="3" t="s">
        <v>95</v>
      </c>
      <c r="C31941" s="6">
        <v>7500</v>
      </c>
      <c r="D31941" s="7">
        <v>0.85</v>
      </c>
      <c r="E31941" t="s">
        <v>96</v>
      </c>
    </row>
    <row r="31942" spans="1:5" x14ac:dyDescent="0.25">
      <c r="A31942" t="str">
        <f>HYPERLINK("https://www.773grp.com/globalSearch/1SMB40CAT3G/page-1", "1SMB40CAT3G")</f>
        <v>1SMB40CAT3G</v>
      </c>
      <c r="B31942" s="3" t="s">
        <v>95</v>
      </c>
      <c r="C31942" s="6">
        <v>75000</v>
      </c>
      <c r="D31942" s="7">
        <v>0.85</v>
      </c>
      <c r="E31942" t="s">
        <v>96</v>
      </c>
    </row>
    <row r="31943" spans="1:5" x14ac:dyDescent="0.25">
      <c r="A31943" t="str">
        <f>HYPERLINK("https://www.773grp.com/globalSearch/1SMB43CAT3G/page-1", "1SMB43CAT3G")</f>
        <v>1SMB43CAT3G</v>
      </c>
      <c r="B31943" s="3" t="s">
        <v>95</v>
      </c>
      <c r="C31943" s="6">
        <v>2500</v>
      </c>
      <c r="D31943" s="7">
        <v>0.85</v>
      </c>
    </row>
    <row r="31944" spans="1:5" x14ac:dyDescent="0.25">
      <c r="A31944" t="str">
        <f>HYPERLINK("https://www.773grp.com/globalSearch/1SMB45CAT3G/page-1", "1SMB45CAT3G")</f>
        <v>1SMB45CAT3G</v>
      </c>
      <c r="B31944" s="3" t="s">
        <v>95</v>
      </c>
      <c r="C31944" s="6">
        <v>14775</v>
      </c>
      <c r="D31944" s="7">
        <v>0.85</v>
      </c>
      <c r="E31944" t="s">
        <v>96</v>
      </c>
    </row>
    <row r="31945" spans="1:5" x14ac:dyDescent="0.25">
      <c r="A31945" t="str">
        <f>HYPERLINK("https://www.773grp.com/globalSearch/1SMB51CAT3G/page-1", "1SMB51CAT3G")</f>
        <v>1SMB51CAT3G</v>
      </c>
      <c r="B31945" s="3" t="s">
        <v>95</v>
      </c>
      <c r="C31945" s="6">
        <v>2500</v>
      </c>
      <c r="D31945" s="7">
        <v>0.85</v>
      </c>
    </row>
    <row r="31946" spans="1:5" x14ac:dyDescent="0.25">
      <c r="A31946" t="str">
        <f>HYPERLINK("https://www.773grp.com/globalSearch/1SMB54CAT3G/page-1", "1SMB54CAT3G")</f>
        <v>1SMB54CAT3G</v>
      </c>
      <c r="B31946" s="3" t="s">
        <v>95</v>
      </c>
      <c r="C31946" s="6">
        <v>2500</v>
      </c>
      <c r="D31946" s="7">
        <v>0.85</v>
      </c>
      <c r="E31946" t="s">
        <v>96</v>
      </c>
    </row>
    <row r="31947" spans="1:5" x14ac:dyDescent="0.25">
      <c r="A31947" t="str">
        <f>HYPERLINK("https://www.773grp.com/globalSearch/1SMB58CAT3G/page-1", "1SMB58CAT3G")</f>
        <v>1SMB58CAT3G</v>
      </c>
      <c r="B31947" s="3" t="s">
        <v>95</v>
      </c>
      <c r="C31947" s="6">
        <v>40255</v>
      </c>
      <c r="D31947" s="7">
        <v>0.85</v>
      </c>
      <c r="E31947" t="s">
        <v>96</v>
      </c>
    </row>
    <row r="31948" spans="1:5" x14ac:dyDescent="0.25">
      <c r="A31948" t="str">
        <f>HYPERLINK("https://www.773grp.com/globalSearch/1SMB60CAT3G/page-1", "1SMB60CAT3G")</f>
        <v>1SMB60CAT3G</v>
      </c>
      <c r="B31948" s="3" t="s">
        <v>95</v>
      </c>
      <c r="C31948" s="6">
        <v>10000</v>
      </c>
      <c r="D31948" s="7">
        <v>0.85</v>
      </c>
      <c r="E31948" t="s">
        <v>96</v>
      </c>
    </row>
    <row r="31949" spans="1:5" x14ac:dyDescent="0.25">
      <c r="A31949" t="str">
        <f>HYPERLINK("https://www.773grp.com/globalSearch/1SMB64CAT3G/page-1", "1SMB64CAT3G")</f>
        <v>1SMB64CAT3G</v>
      </c>
      <c r="B31949" s="3" t="s">
        <v>95</v>
      </c>
      <c r="C31949" s="6">
        <v>45000</v>
      </c>
      <c r="D31949" s="7">
        <v>0.85</v>
      </c>
      <c r="E31949" t="s">
        <v>96</v>
      </c>
    </row>
    <row r="31950" spans="1:5" x14ac:dyDescent="0.25">
      <c r="A31950" t="str">
        <f>HYPERLINK("https://www.773grp.com/globalSearch/1SMB75CAT3G/page-1", "1SMB75CAT3G")</f>
        <v>1SMB75CAT3G</v>
      </c>
      <c r="B31950" s="3" t="s">
        <v>95</v>
      </c>
      <c r="C31950" s="6">
        <v>17500</v>
      </c>
      <c r="D31950" s="7">
        <v>0.85</v>
      </c>
      <c r="E31950" t="s">
        <v>96</v>
      </c>
    </row>
    <row r="31951" spans="1:5" x14ac:dyDescent="0.25">
      <c r="A31951" t="str">
        <f>HYPERLINK("https://www.773grp.com/globalSearch/2N2102/page-1", "2N2102")</f>
        <v>2N2102</v>
      </c>
      <c r="B31951" s="3" t="s">
        <v>95</v>
      </c>
      <c r="C31951" s="6">
        <v>8277</v>
      </c>
      <c r="D31951" s="7">
        <v>0.85</v>
      </c>
      <c r="E31951" t="s">
        <v>69</v>
      </c>
    </row>
    <row r="31952" spans="1:5" x14ac:dyDescent="0.25">
      <c r="A31952" t="str">
        <f>HYPERLINK("https://www.773grp.com/globalSearch/2N6043/page-1", "2N6043")</f>
        <v>2N6043</v>
      </c>
      <c r="B31952" s="3" t="s">
        <v>95</v>
      </c>
      <c r="C31952" s="6">
        <v>21</v>
      </c>
      <c r="D31952" s="7">
        <v>0.85</v>
      </c>
      <c r="E31952" t="s">
        <v>59</v>
      </c>
    </row>
    <row r="31953" spans="1:5" x14ac:dyDescent="0.25">
      <c r="A31953" t="str">
        <f>HYPERLINK("https://www.773grp.com/globalSearch/2SA1416S-TD-E/page-1", "2SA1416S-TD-E")</f>
        <v>2SA1416S-TD-E</v>
      </c>
      <c r="B31953" s="3" t="s">
        <v>95</v>
      </c>
      <c r="C31953" s="6">
        <v>300</v>
      </c>
      <c r="D31953" s="7">
        <v>0.85</v>
      </c>
    </row>
    <row r="31954" spans="1:5" x14ac:dyDescent="0.25">
      <c r="A31954" t="str">
        <f>HYPERLINK("https://www.773grp.com/globalSearch/2SC6096-TD-E/page-1", "2SC6096-TD-E")</f>
        <v>2SC6096-TD-E</v>
      </c>
      <c r="B31954" s="3" t="s">
        <v>95</v>
      </c>
      <c r="C31954" s="6">
        <v>2000</v>
      </c>
      <c r="D31954" s="7">
        <v>0.85</v>
      </c>
    </row>
    <row r="31955" spans="1:5" x14ac:dyDescent="0.25">
      <c r="A31955" t="str">
        <f>HYPERLINK("https://www.773grp.com/globalSearch/3EZ13D5G/page-1", "3EZ13D5G")</f>
        <v>3EZ13D5G</v>
      </c>
      <c r="B31955" s="3" t="s">
        <v>95</v>
      </c>
      <c r="C31955" s="6">
        <v>7375</v>
      </c>
      <c r="D31955" s="7">
        <v>0.85</v>
      </c>
      <c r="E31955" t="s">
        <v>98</v>
      </c>
    </row>
    <row r="31956" spans="1:5" x14ac:dyDescent="0.25">
      <c r="A31956" t="str">
        <f>HYPERLINK("https://www.773grp.com/globalSearch/ADP3110AKRZ/page-1", "ADP3110AKRZ")</f>
        <v>ADP3110AKRZ</v>
      </c>
      <c r="B31956" s="3" t="s">
        <v>95</v>
      </c>
      <c r="C31956" s="6">
        <v>17347</v>
      </c>
      <c r="D31956" s="7">
        <v>0.85</v>
      </c>
      <c r="E31956" t="s">
        <v>16</v>
      </c>
    </row>
    <row r="31957" spans="1:5" x14ac:dyDescent="0.25">
      <c r="A31957" t="str">
        <f>HYPERLINK("https://www.773grp.com/globalSearch/CAT24AA04WI-G/page-1", "CAT24AA04WI-G")</f>
        <v>CAT24AA04WI-G</v>
      </c>
      <c r="B31957" s="3" t="s">
        <v>95</v>
      </c>
      <c r="C31957" s="6">
        <v>10500</v>
      </c>
      <c r="D31957" s="7">
        <v>0.85</v>
      </c>
    </row>
    <row r="31958" spans="1:5" x14ac:dyDescent="0.25">
      <c r="A31958" t="str">
        <f>HYPERLINK("https://www.773grp.com/globalSearch/CAT24C16WI-G/page-1", "CAT24C16WI-G")</f>
        <v>CAT24C16WI-G</v>
      </c>
      <c r="B31958" s="3" t="s">
        <v>95</v>
      </c>
      <c r="C31958" s="6">
        <v>2800</v>
      </c>
      <c r="D31958" s="7">
        <v>0.85</v>
      </c>
    </row>
    <row r="31959" spans="1:5" x14ac:dyDescent="0.25">
      <c r="A31959" t="str">
        <f>HYPERLINK("https://www.773grp.com/globalSearch/CAT24C16WI-G/page-1", "CAT24C16WI-G")</f>
        <v>CAT24C16WI-G</v>
      </c>
      <c r="B31959" s="3" t="s">
        <v>95</v>
      </c>
      <c r="C31959" s="6">
        <v>472</v>
      </c>
      <c r="D31959" s="7">
        <v>0.85</v>
      </c>
    </row>
    <row r="31960" spans="1:5" x14ac:dyDescent="0.25">
      <c r="A31960" t="str">
        <f>HYPERLINK("https://www.773grp.com/globalSearch/CAT24C32LI-G/page-1", "CAT24C32LI-G")</f>
        <v>CAT24C32LI-G</v>
      </c>
      <c r="B31960" s="3" t="s">
        <v>95</v>
      </c>
      <c r="C31960" s="6">
        <v>4390</v>
      </c>
      <c r="D31960" s="7">
        <v>0.85</v>
      </c>
      <c r="E31960" t="s">
        <v>64</v>
      </c>
    </row>
    <row r="31961" spans="1:5" x14ac:dyDescent="0.25">
      <c r="A31961" t="str">
        <f>HYPERLINK("https://www.773grp.com/globalSearch/CAT25080VI-GT3/page-1", "CAT25080VI-GT3")</f>
        <v>CAT25080VI-GT3</v>
      </c>
      <c r="B31961" s="3" t="s">
        <v>95</v>
      </c>
      <c r="C31961" s="6">
        <v>4132</v>
      </c>
      <c r="D31961" s="7">
        <v>0.85</v>
      </c>
      <c r="E31961" t="s">
        <v>64</v>
      </c>
    </row>
    <row r="31962" spans="1:5" x14ac:dyDescent="0.25">
      <c r="A31962" t="str">
        <f>HYPERLINK("https://www.773grp.com/globalSearch/CAT25080VI-GT3/page-1", "CAT25080VI-GT3")</f>
        <v>CAT25080VI-GT3</v>
      </c>
      <c r="B31962" s="3" t="s">
        <v>95</v>
      </c>
      <c r="C31962" s="6">
        <v>3000</v>
      </c>
      <c r="D31962" s="7">
        <v>0.85</v>
      </c>
      <c r="E31962" t="s">
        <v>64</v>
      </c>
    </row>
    <row r="31963" spans="1:5" x14ac:dyDescent="0.25">
      <c r="A31963" t="str">
        <f>HYPERLINK("https://www.773grp.com/globalSearch/CAT25080YI-GT3/page-1", "CAT25080YI-GT3")</f>
        <v>CAT25080YI-GT3</v>
      </c>
      <c r="B31963" s="3" t="s">
        <v>95</v>
      </c>
      <c r="C31963" s="6">
        <v>30000</v>
      </c>
      <c r="D31963" s="7">
        <v>0.85</v>
      </c>
    </row>
    <row r="31964" spans="1:5" x14ac:dyDescent="0.25">
      <c r="A31964" t="str">
        <f>HYPERLINK("https://www.773grp.com/globalSearch/CAT64LC40WI-GT3/page-1", "CAT64LC40WI-GT3")</f>
        <v>CAT64LC40WI-GT3</v>
      </c>
      <c r="B31964" s="3" t="s">
        <v>95</v>
      </c>
      <c r="C31964" s="6">
        <v>249000</v>
      </c>
      <c r="D31964" s="7">
        <v>0.85</v>
      </c>
    </row>
    <row r="31965" spans="1:5" x14ac:dyDescent="0.25">
      <c r="A31965" t="str">
        <f>HYPERLINK("https://www.773grp.com/globalSearch/CAT93C46LI-G/page-1", "CAT93C46LI-G")</f>
        <v>CAT93C46LI-G</v>
      </c>
      <c r="B31965" s="3" t="s">
        <v>95</v>
      </c>
      <c r="C31965" s="6">
        <v>6000</v>
      </c>
      <c r="D31965" s="7">
        <v>0.85</v>
      </c>
      <c r="E31965" t="s">
        <v>64</v>
      </c>
    </row>
    <row r="31966" spans="1:5" x14ac:dyDescent="0.25">
      <c r="A31966" t="str">
        <f>HYPERLINK("https://www.773grp.com/globalSearch/CAT93C46LI-G/page-1", "CAT93C46LI-G")</f>
        <v>CAT93C46LI-G</v>
      </c>
      <c r="B31966" s="3" t="s">
        <v>95</v>
      </c>
      <c r="C31966" s="6">
        <v>3350</v>
      </c>
      <c r="D31966" s="7">
        <v>0.85</v>
      </c>
      <c r="E31966" t="s">
        <v>64</v>
      </c>
    </row>
    <row r="31967" spans="1:5" x14ac:dyDescent="0.25">
      <c r="A31967" t="str">
        <f>HYPERLINK("https://www.773grp.com/globalSearch/CAT93C46RVI-G/page-1", "CAT93C46RVI-G")</f>
        <v>CAT93C46RVI-G</v>
      </c>
      <c r="B31967" s="3" t="s">
        <v>95</v>
      </c>
      <c r="C31967" s="6">
        <v>1699</v>
      </c>
      <c r="D31967" s="7">
        <v>0.85</v>
      </c>
    </row>
    <row r="31968" spans="1:5" x14ac:dyDescent="0.25">
      <c r="A31968" t="str">
        <f>HYPERLINK("https://www.773grp.com/globalSearch/CAT93C46RYI-G/page-1", "CAT93C46RYI-G")</f>
        <v>CAT93C46RYI-G</v>
      </c>
      <c r="B31968" s="3" t="s">
        <v>95</v>
      </c>
      <c r="C31968" s="6">
        <v>2600</v>
      </c>
      <c r="D31968" s="7">
        <v>0.85</v>
      </c>
    </row>
    <row r="31969" spans="1:5" x14ac:dyDescent="0.25">
      <c r="A31969" t="str">
        <f>HYPERLINK("https://www.773grp.com/globalSearch/CAT93C46VI/page-1", "CAT93C46VI")</f>
        <v>CAT93C46VI</v>
      </c>
      <c r="B31969" s="3" t="s">
        <v>95</v>
      </c>
      <c r="C31969" s="6">
        <v>2600</v>
      </c>
      <c r="D31969" s="7">
        <v>0.85</v>
      </c>
      <c r="E31969" t="s">
        <v>64</v>
      </c>
    </row>
    <row r="31970" spans="1:5" x14ac:dyDescent="0.25">
      <c r="A31970" t="str">
        <f>HYPERLINK("https://www.773grp.com/globalSearch/CAT93C46VI-T3/page-1", "CAT93C46VI-T3")</f>
        <v>CAT93C46VI-T3</v>
      </c>
      <c r="B31970" s="3" t="s">
        <v>95</v>
      </c>
      <c r="C31970" s="6">
        <v>48000</v>
      </c>
      <c r="D31970" s="7">
        <v>0.85</v>
      </c>
      <c r="E31970" t="s">
        <v>64</v>
      </c>
    </row>
    <row r="31971" spans="1:5" x14ac:dyDescent="0.25">
      <c r="A31971" t="str">
        <f>HYPERLINK("https://www.773grp.com/globalSearch/CAT93C86VI-GT3/page-1", "CAT93C86VI-GT3")</f>
        <v>CAT93C86VI-GT3</v>
      </c>
      <c r="B31971" s="3" t="s">
        <v>95</v>
      </c>
      <c r="C31971" s="6">
        <v>3000</v>
      </c>
      <c r="D31971" s="7">
        <v>0.85</v>
      </c>
    </row>
    <row r="31972" spans="1:5" x14ac:dyDescent="0.25">
      <c r="A31972" t="str">
        <f>HYPERLINK("https://www.773grp.com/globalSearch/CAT93C86VI-GT3/page-1", "CAT93C86VI-GT3")</f>
        <v>CAT93C86VI-GT3</v>
      </c>
      <c r="B31972" s="3" t="s">
        <v>95</v>
      </c>
      <c r="C31972" s="6">
        <v>12140</v>
      </c>
      <c r="D31972" s="7">
        <v>0.85</v>
      </c>
    </row>
    <row r="31973" spans="1:5" x14ac:dyDescent="0.25">
      <c r="A31973" t="str">
        <f>HYPERLINK("https://www.773grp.com/globalSearch/CM1443-04CP/page-1", "CM1443-04CP")</f>
        <v>CM1443-04CP</v>
      </c>
      <c r="B31973" s="3" t="s">
        <v>95</v>
      </c>
      <c r="C31973" s="6">
        <v>21000</v>
      </c>
      <c r="D31973" s="7">
        <v>0.85</v>
      </c>
      <c r="E31973" t="s">
        <v>100</v>
      </c>
    </row>
    <row r="31974" spans="1:5" x14ac:dyDescent="0.25">
      <c r="A31974" t="str">
        <f>HYPERLINK("https://www.773grp.com/globalSearch/CM1631-08DE/page-1", "CM1631-08DE")</f>
        <v>CM1631-08DE</v>
      </c>
      <c r="B31974" s="3" t="s">
        <v>95</v>
      </c>
      <c r="C31974" s="6">
        <v>9000</v>
      </c>
      <c r="D31974" s="7">
        <v>0.85</v>
      </c>
      <c r="E31974" t="s">
        <v>100</v>
      </c>
    </row>
    <row r="31975" spans="1:5" x14ac:dyDescent="0.25">
      <c r="A31975" t="str">
        <f>HYPERLINK("https://www.773grp.com/globalSearch/CM1690-06DE/page-1", "CM1690-06DE")</f>
        <v>CM1690-06DE</v>
      </c>
      <c r="B31975" s="3" t="s">
        <v>95</v>
      </c>
      <c r="C31975" s="6">
        <v>3000</v>
      </c>
      <c r="D31975" s="7">
        <v>0.85</v>
      </c>
      <c r="E31975" t="s">
        <v>100</v>
      </c>
    </row>
    <row r="31976" spans="1:5" x14ac:dyDescent="0.25">
      <c r="A31976" t="str">
        <f>HYPERLINK("https://www.773grp.com/globalSearch/CM6320/page-1", "CM6320")</f>
        <v>CM6320</v>
      </c>
      <c r="B31976" s="3" t="s">
        <v>95</v>
      </c>
      <c r="C31976" s="6">
        <v>5000</v>
      </c>
      <c r="D31976" s="7">
        <v>0.85</v>
      </c>
    </row>
    <row r="31977" spans="1:5" x14ac:dyDescent="0.25">
      <c r="A31977" t="str">
        <f>HYPERLINK("https://www.773grp.com/globalSearch/CM6407/page-1", "CM6407")</f>
        <v>CM6407</v>
      </c>
      <c r="B31977" s="3" t="s">
        <v>95</v>
      </c>
      <c r="C31977" s="6">
        <v>395000</v>
      </c>
      <c r="D31977" s="7">
        <v>0.85</v>
      </c>
    </row>
    <row r="31978" spans="1:5" x14ac:dyDescent="0.25">
      <c r="A31978" t="str">
        <f>HYPERLINK("https://www.773grp.com/globalSearch/CPH6347-TL-H/page-1", "CPH6347-TL-H")</f>
        <v>CPH6347-TL-H</v>
      </c>
      <c r="B31978" s="3" t="s">
        <v>95</v>
      </c>
      <c r="C31978" s="6">
        <v>72000</v>
      </c>
      <c r="D31978" s="7">
        <v>0.85</v>
      </c>
    </row>
    <row r="31979" spans="1:5" x14ac:dyDescent="0.25">
      <c r="A31979" t="str">
        <f>HYPERLINK("https://www.773grp.com/globalSearch/CSPEMI201AG/page-1", "CSPEMI201AG")</f>
        <v>CSPEMI201AG</v>
      </c>
      <c r="B31979" s="3" t="s">
        <v>95</v>
      </c>
      <c r="C31979" s="6">
        <v>38500</v>
      </c>
      <c r="D31979" s="7">
        <v>0.85</v>
      </c>
      <c r="E31979" t="s">
        <v>100</v>
      </c>
    </row>
    <row r="31980" spans="1:5" x14ac:dyDescent="0.25">
      <c r="A31980" t="str">
        <f>HYPERLINK("https://www.773grp.com/globalSearch/CSPEMI202AG/page-1", "CSPEMI202AG")</f>
        <v>CSPEMI202AG</v>
      </c>
      <c r="B31980" s="3" t="s">
        <v>95</v>
      </c>
      <c r="C31980" s="6">
        <v>7930</v>
      </c>
      <c r="D31980" s="7">
        <v>0.85</v>
      </c>
    </row>
    <row r="31981" spans="1:5" x14ac:dyDescent="0.25">
      <c r="A31981" t="str">
        <f>HYPERLINK("https://www.773grp.com/globalSearch/ESDR0524PMUTAG/page-1", "ESDR0524PMUTAG")</f>
        <v>ESDR0524PMUTAG</v>
      </c>
      <c r="B31981" s="3" t="s">
        <v>95</v>
      </c>
      <c r="C31981" s="6">
        <v>221180</v>
      </c>
      <c r="D31981" s="7">
        <v>0.85</v>
      </c>
      <c r="E31981" t="s">
        <v>96</v>
      </c>
    </row>
    <row r="31982" spans="1:5" x14ac:dyDescent="0.25">
      <c r="A31982" t="str">
        <f>HYPERLINK("https://www.773grp.com/globalSearch/ESDR0544MDMR4G/page-1", "ESDR0544MDMR4G")</f>
        <v>ESDR0544MDMR4G</v>
      </c>
      <c r="B31982" s="3" t="s">
        <v>95</v>
      </c>
      <c r="C31982" s="6">
        <v>2000</v>
      </c>
      <c r="D31982" s="7">
        <v>0.85</v>
      </c>
    </row>
    <row r="31983" spans="1:5" x14ac:dyDescent="0.25">
      <c r="A31983" t="str">
        <f>HYPERLINK("https://www.773grp.com/globalSearch/ICTE-12C/page-1", "ICTE-12C")</f>
        <v>ICTE-12C</v>
      </c>
      <c r="B31983" s="3" t="s">
        <v>95</v>
      </c>
      <c r="C31983" s="6">
        <v>2424</v>
      </c>
      <c r="D31983" s="7">
        <v>0.85</v>
      </c>
      <c r="E31983" t="s">
        <v>96</v>
      </c>
    </row>
    <row r="31984" spans="1:5" x14ac:dyDescent="0.25">
      <c r="A31984" t="str">
        <f>HYPERLINK("https://www.773grp.com/globalSearch/ICTE-12CRL4/page-1", "ICTE-12CRL4")</f>
        <v>ICTE-12CRL4</v>
      </c>
      <c r="B31984" s="3" t="s">
        <v>95</v>
      </c>
      <c r="C31984" s="6">
        <v>16500</v>
      </c>
      <c r="D31984" s="7">
        <v>0.85</v>
      </c>
      <c r="E31984" t="s">
        <v>96</v>
      </c>
    </row>
    <row r="31985" spans="1:5" x14ac:dyDescent="0.25">
      <c r="A31985" t="str">
        <f>HYPERLINK("https://www.773grp.com/globalSearch/ICTE-15C/page-1", "ICTE-15C")</f>
        <v>ICTE-15C</v>
      </c>
      <c r="B31985" s="3" t="s">
        <v>95</v>
      </c>
      <c r="C31985" s="6">
        <v>84</v>
      </c>
      <c r="D31985" s="7">
        <v>0.85</v>
      </c>
    </row>
    <row r="31986" spans="1:5" x14ac:dyDescent="0.25">
      <c r="A31986" t="str">
        <f>HYPERLINK("https://www.773grp.com/globalSearch/ICTE-15CRL4/page-1", "ICTE-15CRL4")</f>
        <v>ICTE-15CRL4</v>
      </c>
      <c r="B31986" s="3" t="s">
        <v>95</v>
      </c>
      <c r="C31986" s="6">
        <v>4500</v>
      </c>
      <c r="D31986" s="7">
        <v>0.85</v>
      </c>
      <c r="E31986" t="s">
        <v>96</v>
      </c>
    </row>
    <row r="31987" spans="1:5" x14ac:dyDescent="0.25">
      <c r="A31987" t="str">
        <f>HYPERLINK("https://www.773grp.com/globalSearch/LF347N/page-1", "LF347N")</f>
        <v>LF347N</v>
      </c>
      <c r="B31987" s="3" t="s">
        <v>95</v>
      </c>
      <c r="C31987" s="6">
        <v>26080</v>
      </c>
      <c r="D31987" s="7">
        <v>0.85</v>
      </c>
      <c r="E31987" t="s">
        <v>13</v>
      </c>
    </row>
    <row r="31988" spans="1:5" x14ac:dyDescent="0.25">
      <c r="A31988" t="str">
        <f>HYPERLINK("https://www.773grp.com/globalSearch/LM2901NG/page-1", "LM2901NG")</f>
        <v>LM2901NG</v>
      </c>
      <c r="B31988" s="3" t="s">
        <v>95</v>
      </c>
      <c r="C31988" s="6">
        <v>67475</v>
      </c>
      <c r="D31988" s="7">
        <v>0.85</v>
      </c>
      <c r="E31988" t="s">
        <v>9</v>
      </c>
    </row>
    <row r="31989" spans="1:5" x14ac:dyDescent="0.25">
      <c r="A31989" t="str">
        <f>HYPERLINK("https://www.773grp.com/globalSearch/LM2902NG/page-1", "LM2902NG")</f>
        <v>LM2902NG</v>
      </c>
      <c r="B31989" s="3" t="s">
        <v>95</v>
      </c>
      <c r="C31989" s="6">
        <v>132400</v>
      </c>
      <c r="D31989" s="7">
        <v>0.85</v>
      </c>
      <c r="E31989" t="s">
        <v>13</v>
      </c>
    </row>
    <row r="31990" spans="1:5" x14ac:dyDescent="0.25">
      <c r="A31990" t="str">
        <f>HYPERLINK("https://www.773grp.com/globalSearch/LM2903NG/page-1", "LM2903NG")</f>
        <v>LM2903NG</v>
      </c>
      <c r="B31990" s="3" t="s">
        <v>95</v>
      </c>
      <c r="C31990" s="6">
        <v>571417</v>
      </c>
      <c r="D31990" s="7">
        <v>0.85</v>
      </c>
      <c r="E31990" t="s">
        <v>9</v>
      </c>
    </row>
    <row r="31991" spans="1:5" x14ac:dyDescent="0.25">
      <c r="A31991" t="str">
        <f>HYPERLINK("https://www.773grp.com/globalSearch/LM2904NG/page-1", "LM2904NG")</f>
        <v>LM2904NG</v>
      </c>
      <c r="B31991" s="3" t="s">
        <v>95</v>
      </c>
      <c r="C31991" s="6">
        <v>83025</v>
      </c>
      <c r="D31991" s="7">
        <v>0.85</v>
      </c>
      <c r="E31991" t="s">
        <v>13</v>
      </c>
    </row>
    <row r="31992" spans="1:5" x14ac:dyDescent="0.25">
      <c r="A31992" t="str">
        <f>HYPERLINK("https://www.773grp.com/globalSearch/LM2931CT/page-1", "LM2931CT")</f>
        <v>LM2931CT</v>
      </c>
      <c r="B31992" s="3" t="s">
        <v>95</v>
      </c>
      <c r="C31992" s="6">
        <v>2907</v>
      </c>
      <c r="D31992" s="7">
        <v>0.85</v>
      </c>
      <c r="E31992" t="s">
        <v>25</v>
      </c>
    </row>
    <row r="31993" spans="1:5" x14ac:dyDescent="0.25">
      <c r="A31993" t="str">
        <f>HYPERLINK("https://www.773grp.com/globalSearch/LM317MDT/page-1", "LM317MDT")</f>
        <v>LM317MDT</v>
      </c>
      <c r="B31993" s="3" t="s">
        <v>95</v>
      </c>
      <c r="C31993" s="6">
        <v>3732</v>
      </c>
      <c r="D31993" s="7">
        <v>0.85</v>
      </c>
      <c r="E31993" t="s">
        <v>22</v>
      </c>
    </row>
    <row r="31994" spans="1:5" x14ac:dyDescent="0.25">
      <c r="A31994" t="str">
        <f>HYPERLINK("https://www.773grp.com/globalSearch/MBR3100G/page-1", "MBR3100G")</f>
        <v>MBR3100G</v>
      </c>
      <c r="B31994" s="3" t="s">
        <v>95</v>
      </c>
      <c r="C31994" s="6">
        <v>12840</v>
      </c>
      <c r="D31994" s="7">
        <v>0.85</v>
      </c>
      <c r="E31994" t="s">
        <v>103</v>
      </c>
    </row>
    <row r="31995" spans="1:5" x14ac:dyDescent="0.25">
      <c r="A31995" t="str">
        <f>HYPERLINK("https://www.773grp.com/globalSearch/MBR3100RLG/page-1", "MBR3100RLG")</f>
        <v>MBR3100RLG</v>
      </c>
      <c r="B31995" s="3" t="s">
        <v>95</v>
      </c>
      <c r="C31995" s="6">
        <v>8855</v>
      </c>
      <c r="D31995" s="7">
        <v>0.85</v>
      </c>
      <c r="E31995" t="s">
        <v>103</v>
      </c>
    </row>
    <row r="31996" spans="1:5" x14ac:dyDescent="0.25">
      <c r="A31996" t="str">
        <f>HYPERLINK("https://www.773grp.com/globalSearch/MC14008BD/page-1", "MC14008BD")</f>
        <v>MC14008BD</v>
      </c>
      <c r="B31996" s="3" t="s">
        <v>95</v>
      </c>
      <c r="C31996" s="6">
        <v>1133</v>
      </c>
      <c r="D31996" s="7">
        <v>0.85</v>
      </c>
      <c r="E31996" t="s">
        <v>43</v>
      </c>
    </row>
    <row r="31997" spans="1:5" x14ac:dyDescent="0.25">
      <c r="A31997" t="str">
        <f>HYPERLINK("https://www.773grp.com/globalSearch/MC14049BDR2/page-1", "MC14049BDR2")</f>
        <v>MC14049BDR2</v>
      </c>
      <c r="B31997" s="3" t="s">
        <v>95</v>
      </c>
      <c r="C31997" s="6">
        <v>4296</v>
      </c>
      <c r="D31997" s="7">
        <v>0.85</v>
      </c>
      <c r="E31997" t="s">
        <v>31</v>
      </c>
    </row>
    <row r="31998" spans="1:5" x14ac:dyDescent="0.25">
      <c r="A31998" t="str">
        <f>HYPERLINK("https://www.773grp.com/globalSearch/MC14050BDR2/page-1", "MC14050BDR2")</f>
        <v>MC14050BDR2</v>
      </c>
      <c r="B31998" s="3" t="s">
        <v>95</v>
      </c>
      <c r="C31998" s="6">
        <v>3782</v>
      </c>
      <c r="D31998" s="7">
        <v>0.85</v>
      </c>
      <c r="E31998" t="s">
        <v>31</v>
      </c>
    </row>
    <row r="31999" spans="1:5" x14ac:dyDescent="0.25">
      <c r="A31999" t="str">
        <f>HYPERLINK("https://www.773grp.com/globalSearch/MC14066BFG/page-1", "MC14066BFG")</f>
        <v>MC14066BFG</v>
      </c>
      <c r="B31999" s="3" t="s">
        <v>95</v>
      </c>
      <c r="C31999" s="6">
        <v>3900</v>
      </c>
      <c r="D31999" s="7">
        <v>0.85</v>
      </c>
      <c r="E31999" t="s">
        <v>56</v>
      </c>
    </row>
    <row r="32000" spans="1:5" x14ac:dyDescent="0.25">
      <c r="A32000" t="str">
        <f>HYPERLINK("https://www.773grp.com/globalSearch/MC14099BFELG/page-1", "MC14099BFELG")</f>
        <v>MC14099BFELG</v>
      </c>
      <c r="B32000" s="3" t="s">
        <v>95</v>
      </c>
      <c r="C32000" s="6">
        <v>3256</v>
      </c>
      <c r="D32000" s="7">
        <v>0.85</v>
      </c>
      <c r="E32000" t="s">
        <v>35</v>
      </c>
    </row>
    <row r="32001" spans="1:5" x14ac:dyDescent="0.25">
      <c r="A32001" t="str">
        <f>HYPERLINK("https://www.773grp.com/globalSearch/MC14541BD/page-1", "MC14541BD")</f>
        <v>MC14541BD</v>
      </c>
      <c r="B32001" s="3" t="s">
        <v>95</v>
      </c>
      <c r="C32001" s="6">
        <v>1980</v>
      </c>
      <c r="D32001" s="7">
        <v>0.85</v>
      </c>
      <c r="E32001" t="s">
        <v>82</v>
      </c>
    </row>
    <row r="32002" spans="1:5" x14ac:dyDescent="0.25">
      <c r="A32002" t="str">
        <f>HYPERLINK("https://www.773grp.com/globalSearch/MC14541BDG/page-1", "MC14541BDG")</f>
        <v>MC14541BDG</v>
      </c>
      <c r="B32002" s="3" t="s">
        <v>95</v>
      </c>
      <c r="C32002" s="6">
        <v>727</v>
      </c>
      <c r="D32002" s="7">
        <v>0.85</v>
      </c>
      <c r="E32002" t="s">
        <v>82</v>
      </c>
    </row>
    <row r="32003" spans="1:5" x14ac:dyDescent="0.25">
      <c r="A32003" t="str">
        <f>HYPERLINK("https://www.773grp.com/globalSearch/MC14541BDR2G/page-1", "MC14541BDR2G")</f>
        <v>MC14541BDR2G</v>
      </c>
      <c r="B32003" s="3" t="s">
        <v>95</v>
      </c>
      <c r="C32003" s="6">
        <v>1079445</v>
      </c>
      <c r="D32003" s="7">
        <v>0.85</v>
      </c>
      <c r="E32003" t="s">
        <v>82</v>
      </c>
    </row>
    <row r="32004" spans="1:5" x14ac:dyDescent="0.25">
      <c r="A32004" t="str">
        <f>HYPERLINK("https://www.773grp.com/globalSearch/MC14541BDTR2G/page-1", "MC14541BDTR2G")</f>
        <v>MC14541BDTR2G</v>
      </c>
      <c r="B32004" s="3" t="s">
        <v>95</v>
      </c>
      <c r="C32004" s="6">
        <v>566779</v>
      </c>
      <c r="D32004" s="7">
        <v>0.85</v>
      </c>
      <c r="E32004" t="s">
        <v>82</v>
      </c>
    </row>
    <row r="32005" spans="1:5" x14ac:dyDescent="0.25">
      <c r="A32005" t="str">
        <f>HYPERLINK("https://www.773grp.com/globalSearch/MC14584BFG/page-1", "MC14584BFG")</f>
        <v>MC14584BFG</v>
      </c>
      <c r="B32005" s="3" t="s">
        <v>95</v>
      </c>
      <c r="C32005" s="6">
        <v>42236</v>
      </c>
      <c r="D32005" s="7">
        <v>0.85</v>
      </c>
      <c r="E32005" t="s">
        <v>31</v>
      </c>
    </row>
    <row r="32006" spans="1:5" x14ac:dyDescent="0.25">
      <c r="A32006" t="str">
        <f>HYPERLINK("https://www.773grp.com/globalSearch/MC33171D/page-1", "MC33171D")</f>
        <v>MC33171D</v>
      </c>
      <c r="B32006" s="3" t="s">
        <v>95</v>
      </c>
      <c r="C32006" s="6">
        <v>3732</v>
      </c>
      <c r="D32006" s="7">
        <v>0.85</v>
      </c>
      <c r="E32006" t="s">
        <v>13</v>
      </c>
    </row>
    <row r="32007" spans="1:5" x14ac:dyDescent="0.25">
      <c r="A32007" t="str">
        <f>HYPERLINK("https://www.773grp.com/globalSearch/MC33269D-3.3/page-1", "MC33269D-3.3")</f>
        <v>MC33269D-3.3</v>
      </c>
      <c r="B32007" s="3" t="s">
        <v>95</v>
      </c>
      <c r="C32007" s="6">
        <v>354</v>
      </c>
      <c r="D32007" s="7">
        <v>0.85</v>
      </c>
      <c r="E32007" t="s">
        <v>19</v>
      </c>
    </row>
    <row r="32008" spans="1:5" x14ac:dyDescent="0.25">
      <c r="A32008" t="str">
        <f>HYPERLINK("https://www.773grp.com/globalSearch/MC33269D-5.0/page-1", "MC33269D-5.0")</f>
        <v>MC33269D-5.0</v>
      </c>
      <c r="B32008" s="3" t="s">
        <v>95</v>
      </c>
      <c r="C32008" s="6">
        <v>8373</v>
      </c>
      <c r="D32008" s="7">
        <v>0.85</v>
      </c>
      <c r="E32008" t="s">
        <v>19</v>
      </c>
    </row>
    <row r="32009" spans="1:5" x14ac:dyDescent="0.25">
      <c r="A32009" t="str">
        <f>HYPERLINK("https://www.773grp.com/globalSearch/MC33269DR2-3.3/page-1", "MC33269DR2-3.3")</f>
        <v>MC33269DR2-3.3</v>
      </c>
      <c r="B32009" s="3" t="s">
        <v>95</v>
      </c>
      <c r="C32009" s="6">
        <v>185000</v>
      </c>
      <c r="D32009" s="7">
        <v>0.85</v>
      </c>
      <c r="E32009" t="s">
        <v>19</v>
      </c>
    </row>
    <row r="32010" spans="1:5" x14ac:dyDescent="0.25">
      <c r="A32010" t="str">
        <f>HYPERLINK("https://www.773grp.com/globalSearch/MC33275DT-2.5RK/page-1", "MC33275DT-2.5RK")</f>
        <v>MC33275DT-2.5RK</v>
      </c>
      <c r="B32010" s="3" t="s">
        <v>95</v>
      </c>
      <c r="C32010" s="6">
        <v>2500</v>
      </c>
      <c r="D32010" s="7">
        <v>0.85</v>
      </c>
      <c r="E32010" t="s">
        <v>19</v>
      </c>
    </row>
    <row r="32011" spans="1:5" x14ac:dyDescent="0.25">
      <c r="A32011" t="str">
        <f>HYPERLINK("https://www.773grp.com/globalSearch/MC33275DT-3.0/page-1", "MC33275DT-3.0")</f>
        <v>MC33275DT-3.0</v>
      </c>
      <c r="B32011" s="3" t="s">
        <v>95</v>
      </c>
      <c r="C32011" s="6">
        <v>800</v>
      </c>
      <c r="D32011" s="7">
        <v>0.85</v>
      </c>
      <c r="E32011" t="s">
        <v>19</v>
      </c>
    </row>
    <row r="32012" spans="1:5" x14ac:dyDescent="0.25">
      <c r="A32012" t="str">
        <f>HYPERLINK("https://www.773grp.com/globalSearch/MC33275DT-3.0RK/page-1", "MC33275DT-3.0RK")</f>
        <v>MC33275DT-3.0RK</v>
      </c>
      <c r="B32012" s="3" t="s">
        <v>95</v>
      </c>
      <c r="C32012" s="6">
        <v>3580</v>
      </c>
      <c r="D32012" s="7">
        <v>0.85</v>
      </c>
      <c r="E32012" t="s">
        <v>19</v>
      </c>
    </row>
    <row r="32013" spans="1:5" x14ac:dyDescent="0.25">
      <c r="A32013" t="str">
        <f>HYPERLINK("https://www.773grp.com/globalSearch/MC34071AD/page-1", "MC34071AD")</f>
        <v>MC34071AD</v>
      </c>
      <c r="B32013" s="3" t="s">
        <v>95</v>
      </c>
      <c r="C32013" s="6">
        <v>1470</v>
      </c>
      <c r="D32013" s="7">
        <v>0.85</v>
      </c>
      <c r="E32013" t="s">
        <v>13</v>
      </c>
    </row>
    <row r="32014" spans="1:5" x14ac:dyDescent="0.25">
      <c r="A32014" t="str">
        <f>HYPERLINK("https://www.773grp.com/globalSearch/MC74AC00DG/page-1", "MC74AC00DG")</f>
        <v>MC74AC00DG</v>
      </c>
      <c r="B32014" s="3" t="s">
        <v>95</v>
      </c>
      <c r="C32014" s="6">
        <v>38344</v>
      </c>
      <c r="D32014" s="7">
        <v>0.85</v>
      </c>
      <c r="E32014" t="s">
        <v>31</v>
      </c>
    </row>
    <row r="32015" spans="1:5" x14ac:dyDescent="0.25">
      <c r="A32015" t="str">
        <f>HYPERLINK("https://www.773grp.com/globalSearch/MC74AC00DR2G/page-1", "MC74AC00DR2G")</f>
        <v>MC74AC00DR2G</v>
      </c>
      <c r="B32015" s="3" t="s">
        <v>95</v>
      </c>
      <c r="C32015" s="6">
        <v>12505</v>
      </c>
      <c r="D32015" s="7">
        <v>0.85</v>
      </c>
      <c r="E32015" t="s">
        <v>31</v>
      </c>
    </row>
    <row r="32016" spans="1:5" x14ac:dyDescent="0.25">
      <c r="A32016" t="str">
        <f>HYPERLINK("https://www.773grp.com/globalSearch/MC74AC00DTR2G/page-1", "MC74AC00DTR2G")</f>
        <v>MC74AC00DTR2G</v>
      </c>
      <c r="B32016" s="3" t="s">
        <v>95</v>
      </c>
      <c r="C32016" s="6">
        <v>19230</v>
      </c>
      <c r="D32016" s="7">
        <v>0.85</v>
      </c>
      <c r="E32016" t="s">
        <v>31</v>
      </c>
    </row>
    <row r="32017" spans="1:5" x14ac:dyDescent="0.25">
      <c r="A32017" t="str">
        <f>HYPERLINK("https://www.773grp.com/globalSearch/MC74AC02DG/page-1", "MC74AC02DG")</f>
        <v>MC74AC02DG</v>
      </c>
      <c r="B32017" s="3" t="s">
        <v>95</v>
      </c>
      <c r="C32017" s="6">
        <v>7113</v>
      </c>
      <c r="D32017" s="7">
        <v>0.85</v>
      </c>
    </row>
    <row r="32018" spans="1:5" x14ac:dyDescent="0.25">
      <c r="A32018" t="str">
        <f>HYPERLINK("https://www.773grp.com/globalSearch/MC74AC02DR2G/page-1", "MC74AC02DR2G")</f>
        <v>MC74AC02DR2G</v>
      </c>
      <c r="B32018" s="3" t="s">
        <v>95</v>
      </c>
      <c r="C32018" s="6">
        <v>10236</v>
      </c>
      <c r="D32018" s="7">
        <v>0.85</v>
      </c>
      <c r="E32018" t="s">
        <v>31</v>
      </c>
    </row>
    <row r="32019" spans="1:5" x14ac:dyDescent="0.25">
      <c r="A32019" t="str">
        <f>HYPERLINK("https://www.773grp.com/globalSearch/MC74AC02DTR2G/page-1", "MC74AC02DTR2G")</f>
        <v>MC74AC02DTR2G</v>
      </c>
      <c r="B32019" s="3" t="s">
        <v>95</v>
      </c>
      <c r="C32019" s="6">
        <v>7500</v>
      </c>
      <c r="D32019" s="7">
        <v>0.85</v>
      </c>
    </row>
    <row r="32020" spans="1:5" x14ac:dyDescent="0.25">
      <c r="A32020" t="str">
        <f>HYPERLINK("https://www.773grp.com/globalSearch/MC74AC04DG/page-1", "MC74AC04DG")</f>
        <v>MC74AC04DG</v>
      </c>
      <c r="B32020" s="3" t="s">
        <v>95</v>
      </c>
      <c r="C32020" s="6">
        <v>12672</v>
      </c>
      <c r="D32020" s="7">
        <v>0.85</v>
      </c>
      <c r="E32020" t="s">
        <v>31</v>
      </c>
    </row>
    <row r="32021" spans="1:5" x14ac:dyDescent="0.25">
      <c r="A32021" t="str">
        <f>HYPERLINK("https://www.773grp.com/globalSearch/MC74AC04DR2G/page-1", "MC74AC04DR2G")</f>
        <v>MC74AC04DR2G</v>
      </c>
      <c r="B32021" s="3" t="s">
        <v>95</v>
      </c>
      <c r="C32021" s="6">
        <v>45000</v>
      </c>
      <c r="D32021" s="7">
        <v>0.85</v>
      </c>
      <c r="E32021" t="s">
        <v>31</v>
      </c>
    </row>
    <row r="32022" spans="1:5" x14ac:dyDescent="0.25">
      <c r="A32022" t="str">
        <f>HYPERLINK("https://www.773grp.com/globalSearch/MC74AC04DTR2G/page-1", "MC74AC04DTR2G")</f>
        <v>MC74AC04DTR2G</v>
      </c>
      <c r="B32022" s="3" t="s">
        <v>95</v>
      </c>
      <c r="C32022" s="6">
        <v>6700</v>
      </c>
      <c r="D32022" s="7">
        <v>0.85</v>
      </c>
      <c r="E32022" t="s">
        <v>31</v>
      </c>
    </row>
    <row r="32023" spans="1:5" x14ac:dyDescent="0.25">
      <c r="A32023" t="str">
        <f>HYPERLINK("https://www.773grp.com/globalSearch/MC74AC05DG/page-1", "MC74AC05DG")</f>
        <v>MC74AC05DG</v>
      </c>
      <c r="B32023" s="3" t="s">
        <v>95</v>
      </c>
      <c r="C32023" s="6">
        <v>12954</v>
      </c>
      <c r="D32023" s="7">
        <v>0.85</v>
      </c>
      <c r="E32023" t="s">
        <v>31</v>
      </c>
    </row>
    <row r="32024" spans="1:5" x14ac:dyDescent="0.25">
      <c r="A32024" t="str">
        <f>HYPERLINK("https://www.773grp.com/globalSearch/MC74AC05DR2G/page-1", "MC74AC05DR2G")</f>
        <v>MC74AC05DR2G</v>
      </c>
      <c r="B32024" s="3" t="s">
        <v>95</v>
      </c>
      <c r="C32024" s="6">
        <v>17170</v>
      </c>
      <c r="D32024" s="7">
        <v>0.85</v>
      </c>
      <c r="E32024" t="s">
        <v>31</v>
      </c>
    </row>
    <row r="32025" spans="1:5" x14ac:dyDescent="0.25">
      <c r="A32025" t="str">
        <f>HYPERLINK("https://www.773grp.com/globalSearch/MC74AC08DG/page-1", "MC74AC08DG")</f>
        <v>MC74AC08DG</v>
      </c>
      <c r="B32025" s="3" t="s">
        <v>95</v>
      </c>
      <c r="C32025" s="6">
        <v>3575</v>
      </c>
      <c r="D32025" s="7">
        <v>0.85</v>
      </c>
      <c r="E32025" t="s">
        <v>31</v>
      </c>
    </row>
    <row r="32026" spans="1:5" x14ac:dyDescent="0.25">
      <c r="A32026" t="str">
        <f>HYPERLINK("https://www.773grp.com/globalSearch/MC74AC08DR2G/page-1", "MC74AC08DR2G")</f>
        <v>MC74AC08DR2G</v>
      </c>
      <c r="B32026" s="3" t="s">
        <v>95</v>
      </c>
      <c r="C32026" s="6">
        <v>7500</v>
      </c>
      <c r="D32026" s="7">
        <v>0.85</v>
      </c>
      <c r="E32026" t="s">
        <v>31</v>
      </c>
    </row>
    <row r="32027" spans="1:5" x14ac:dyDescent="0.25">
      <c r="A32027" t="str">
        <f>HYPERLINK("https://www.773grp.com/globalSearch/MC74AC08DTR2G/page-1", "MC74AC08DTR2G")</f>
        <v>MC74AC08DTR2G</v>
      </c>
      <c r="B32027" s="3" t="s">
        <v>95</v>
      </c>
      <c r="C32027" s="6">
        <v>38400</v>
      </c>
      <c r="D32027" s="7">
        <v>0.85</v>
      </c>
      <c r="E32027" t="s">
        <v>31</v>
      </c>
    </row>
    <row r="32028" spans="1:5" x14ac:dyDescent="0.25">
      <c r="A32028" t="str">
        <f>HYPERLINK("https://www.773grp.com/globalSearch/MC74AC10DG/page-1", "MC74AC10DG")</f>
        <v>MC74AC10DG</v>
      </c>
      <c r="B32028" s="3" t="s">
        <v>95</v>
      </c>
      <c r="C32028" s="6">
        <v>28895</v>
      </c>
      <c r="D32028" s="7">
        <v>0.85</v>
      </c>
      <c r="E32028" t="s">
        <v>31</v>
      </c>
    </row>
    <row r="32029" spans="1:5" x14ac:dyDescent="0.25">
      <c r="A32029" t="str">
        <f>HYPERLINK("https://www.773grp.com/globalSearch/MC74AC11DG/page-1", "MC74AC11DG")</f>
        <v>MC74AC11DG</v>
      </c>
      <c r="B32029" s="3" t="s">
        <v>95</v>
      </c>
      <c r="C32029" s="6">
        <v>19150</v>
      </c>
      <c r="D32029" s="7">
        <v>0.85</v>
      </c>
      <c r="E32029" t="s">
        <v>31</v>
      </c>
    </row>
    <row r="32030" spans="1:5" x14ac:dyDescent="0.25">
      <c r="A32030" t="str">
        <f>HYPERLINK("https://www.773grp.com/globalSearch/MC74AC11DR2G/page-1", "MC74AC11DR2G")</f>
        <v>MC74AC11DR2G</v>
      </c>
      <c r="B32030" s="3" t="s">
        <v>95</v>
      </c>
      <c r="C32030" s="6">
        <v>4875</v>
      </c>
      <c r="D32030" s="7">
        <v>0.85</v>
      </c>
      <c r="E32030" t="s">
        <v>31</v>
      </c>
    </row>
    <row r="32031" spans="1:5" x14ac:dyDescent="0.25">
      <c r="A32031" t="str">
        <f>HYPERLINK("https://www.773grp.com/globalSearch/MC74AC151N/page-1", "MC74AC151N")</f>
        <v>MC74AC151N</v>
      </c>
      <c r="B32031" s="3" t="s">
        <v>95</v>
      </c>
      <c r="C32031" s="6">
        <v>1550</v>
      </c>
      <c r="D32031" s="7">
        <v>0.85</v>
      </c>
      <c r="E32031" t="s">
        <v>20</v>
      </c>
    </row>
    <row r="32032" spans="1:5" x14ac:dyDescent="0.25">
      <c r="A32032" t="str">
        <f>HYPERLINK("https://www.773grp.com/globalSearch/MC74AC157DT/page-1", "MC74AC157DT")</f>
        <v>MC74AC157DT</v>
      </c>
      <c r="B32032" s="3" t="s">
        <v>95</v>
      </c>
      <c r="C32032" s="6">
        <v>8928</v>
      </c>
      <c r="D32032" s="7">
        <v>0.85</v>
      </c>
      <c r="E32032" t="s">
        <v>20</v>
      </c>
    </row>
    <row r="32033" spans="1:5" x14ac:dyDescent="0.25">
      <c r="A32033" t="str">
        <f>HYPERLINK("https://www.773grp.com/globalSearch/MC74AC158D/page-1", "MC74AC158D")</f>
        <v>MC74AC158D</v>
      </c>
      <c r="B32033" s="3" t="s">
        <v>95</v>
      </c>
      <c r="C32033" s="6">
        <v>4984</v>
      </c>
      <c r="D32033" s="7">
        <v>0.85</v>
      </c>
      <c r="E32033" t="s">
        <v>20</v>
      </c>
    </row>
    <row r="32034" spans="1:5" x14ac:dyDescent="0.25">
      <c r="A32034" t="str">
        <f>HYPERLINK("https://www.773grp.com/globalSearch/MC74AC20DG/page-1", "MC74AC20DG")</f>
        <v>MC74AC20DG</v>
      </c>
      <c r="B32034" s="3" t="s">
        <v>95</v>
      </c>
      <c r="C32034" s="6">
        <v>7168</v>
      </c>
      <c r="D32034" s="7">
        <v>0.85</v>
      </c>
      <c r="E32034" t="s">
        <v>31</v>
      </c>
    </row>
    <row r="32035" spans="1:5" x14ac:dyDescent="0.25">
      <c r="A32035" t="str">
        <f>HYPERLINK("https://www.773grp.com/globalSearch/MC74AC20DR2G/page-1", "MC74AC20DR2G")</f>
        <v>MC74AC20DR2G</v>
      </c>
      <c r="B32035" s="3" t="s">
        <v>95</v>
      </c>
      <c r="C32035" s="6">
        <v>8324</v>
      </c>
      <c r="D32035" s="7">
        <v>0.85</v>
      </c>
      <c r="E32035" t="s">
        <v>31</v>
      </c>
    </row>
    <row r="32036" spans="1:5" x14ac:dyDescent="0.25">
      <c r="A32036" t="str">
        <f>HYPERLINK("https://www.773grp.com/globalSearch/MC74AC240DT/page-1", "MC74AC240DT")</f>
        <v>MC74AC240DT</v>
      </c>
      <c r="B32036" s="3" t="s">
        <v>95</v>
      </c>
      <c r="C32036" s="6">
        <v>10800</v>
      </c>
      <c r="D32036" s="7">
        <v>0.85</v>
      </c>
      <c r="E32036" t="s">
        <v>14</v>
      </c>
    </row>
    <row r="32037" spans="1:5" x14ac:dyDescent="0.25">
      <c r="A32037" t="str">
        <f>HYPERLINK("https://www.773grp.com/globalSearch/MC74AC244DT/page-1", "MC74AC244DT")</f>
        <v>MC74AC244DT</v>
      </c>
      <c r="B32037" s="3" t="s">
        <v>95</v>
      </c>
      <c r="C32037" s="6">
        <v>12550</v>
      </c>
      <c r="D32037" s="7">
        <v>0.85</v>
      </c>
      <c r="E32037" t="s">
        <v>14</v>
      </c>
    </row>
    <row r="32038" spans="1:5" x14ac:dyDescent="0.25">
      <c r="A32038" t="str">
        <f>HYPERLINK("https://www.773grp.com/globalSearch/MC74AC244DT/page-1", "MC74AC244DT")</f>
        <v>MC74AC244DT</v>
      </c>
      <c r="B32038" s="3" t="s">
        <v>95</v>
      </c>
      <c r="C32038" s="6">
        <v>3150</v>
      </c>
      <c r="D32038" s="7">
        <v>0.85</v>
      </c>
      <c r="E32038" t="s">
        <v>14</v>
      </c>
    </row>
    <row r="32039" spans="1:5" x14ac:dyDescent="0.25">
      <c r="A32039" t="str">
        <f>HYPERLINK("https://www.773grp.com/globalSearch/MC74AC244DTEL/page-1", "MC74AC244DTEL")</f>
        <v>MC74AC244DTEL</v>
      </c>
      <c r="B32039" s="3" t="s">
        <v>95</v>
      </c>
      <c r="C32039" s="6">
        <v>4000</v>
      </c>
      <c r="D32039" s="7">
        <v>0.85</v>
      </c>
    </row>
    <row r="32040" spans="1:5" x14ac:dyDescent="0.25">
      <c r="A32040" t="str">
        <f>HYPERLINK("https://www.773grp.com/globalSearch/MC74AC273DT/page-1", "MC74AC273DT")</f>
        <v>MC74AC273DT</v>
      </c>
      <c r="B32040" s="3" t="s">
        <v>95</v>
      </c>
      <c r="C32040" s="6">
        <v>6525</v>
      </c>
      <c r="D32040" s="7">
        <v>0.85</v>
      </c>
      <c r="E32040" t="s">
        <v>35</v>
      </c>
    </row>
    <row r="32041" spans="1:5" x14ac:dyDescent="0.25">
      <c r="A32041" t="str">
        <f>HYPERLINK("https://www.773grp.com/globalSearch/MC74AC32DG/page-1", "MC74AC32DG")</f>
        <v>MC74AC32DG</v>
      </c>
      <c r="B32041" s="3" t="s">
        <v>95</v>
      </c>
      <c r="C32041" s="6">
        <v>36022</v>
      </c>
      <c r="D32041" s="7">
        <v>0.85</v>
      </c>
      <c r="E32041" t="s">
        <v>31</v>
      </c>
    </row>
    <row r="32042" spans="1:5" x14ac:dyDescent="0.25">
      <c r="A32042" t="str">
        <f>HYPERLINK("https://www.773grp.com/globalSearch/MC74AC32DR2G/page-1", "MC74AC32DR2G")</f>
        <v>MC74AC32DR2G</v>
      </c>
      <c r="B32042" s="3" t="s">
        <v>95</v>
      </c>
      <c r="C32042" s="6">
        <v>4602</v>
      </c>
      <c r="D32042" s="7">
        <v>0.85</v>
      </c>
      <c r="E32042" t="s">
        <v>31</v>
      </c>
    </row>
    <row r="32043" spans="1:5" x14ac:dyDescent="0.25">
      <c r="A32043" t="str">
        <f>HYPERLINK("https://www.773grp.com/globalSearch/MC74AC32DTR2G/page-1", "MC74AC32DTR2G")</f>
        <v>MC74AC32DTR2G</v>
      </c>
      <c r="B32043" s="3" t="s">
        <v>95</v>
      </c>
      <c r="C32043" s="6">
        <v>3930</v>
      </c>
      <c r="D32043" s="7">
        <v>0.85</v>
      </c>
      <c r="E32043" t="s">
        <v>31</v>
      </c>
    </row>
    <row r="32044" spans="1:5" x14ac:dyDescent="0.25">
      <c r="A32044" t="str">
        <f>HYPERLINK("https://www.773grp.com/globalSearch/MC74AC373DTEL/page-1", "MC74AC373DTEL")</f>
        <v>MC74AC373DTEL</v>
      </c>
      <c r="B32044" s="3" t="s">
        <v>95</v>
      </c>
      <c r="C32044" s="6">
        <v>7750</v>
      </c>
      <c r="D32044" s="7">
        <v>0.85</v>
      </c>
    </row>
    <row r="32045" spans="1:5" x14ac:dyDescent="0.25">
      <c r="A32045" t="str">
        <f>HYPERLINK("https://www.773grp.com/globalSearch/MC74AC574DT/page-1", "MC74AC574DT")</f>
        <v>MC74AC574DT</v>
      </c>
      <c r="B32045" s="3" t="s">
        <v>95</v>
      </c>
      <c r="C32045" s="6">
        <v>5925</v>
      </c>
      <c r="D32045" s="7">
        <v>0.85</v>
      </c>
      <c r="E32045" t="s">
        <v>14</v>
      </c>
    </row>
    <row r="32046" spans="1:5" x14ac:dyDescent="0.25">
      <c r="A32046" t="str">
        <f>HYPERLINK("https://www.773grp.com/globalSearch/MC74ACT00DG/page-1", "MC74ACT00DG")</f>
        <v>MC74ACT00DG</v>
      </c>
      <c r="B32046" s="3" t="s">
        <v>95</v>
      </c>
      <c r="C32046" s="6">
        <v>18355</v>
      </c>
      <c r="D32046" s="7">
        <v>0.85</v>
      </c>
      <c r="E32046" t="s">
        <v>31</v>
      </c>
    </row>
    <row r="32047" spans="1:5" x14ac:dyDescent="0.25">
      <c r="A32047" t="str">
        <f>HYPERLINK("https://www.773grp.com/globalSearch/MC74ACT00DR2G/page-1", "MC74ACT00DR2G")</f>
        <v>MC74ACT00DR2G</v>
      </c>
      <c r="B32047" s="3" t="s">
        <v>95</v>
      </c>
      <c r="C32047" s="6">
        <v>12500</v>
      </c>
      <c r="D32047" s="7">
        <v>0.85</v>
      </c>
      <c r="E32047" t="s">
        <v>31</v>
      </c>
    </row>
    <row r="32048" spans="1:5" x14ac:dyDescent="0.25">
      <c r="A32048" t="str">
        <f>HYPERLINK("https://www.773grp.com/globalSearch/MC74ACT00DTR2G/page-1", "MC74ACT00DTR2G")</f>
        <v>MC74ACT00DTR2G</v>
      </c>
      <c r="B32048" s="3" t="s">
        <v>95</v>
      </c>
      <c r="C32048" s="6">
        <v>806</v>
      </c>
      <c r="D32048" s="7">
        <v>0.85</v>
      </c>
      <c r="E32048" t="s">
        <v>31</v>
      </c>
    </row>
    <row r="32049" spans="1:5" x14ac:dyDescent="0.25">
      <c r="A32049" t="str">
        <f>HYPERLINK("https://www.773grp.com/globalSearch/MC74ACT02DG/page-1", "MC74ACT02DG")</f>
        <v>MC74ACT02DG</v>
      </c>
      <c r="B32049" s="3" t="s">
        <v>95</v>
      </c>
      <c r="C32049" s="6">
        <v>5907</v>
      </c>
      <c r="D32049" s="7">
        <v>0.85</v>
      </c>
    </row>
    <row r="32050" spans="1:5" x14ac:dyDescent="0.25">
      <c r="A32050" t="str">
        <f>HYPERLINK("https://www.773grp.com/globalSearch/MC74ACT02DR2G/page-1", "MC74ACT02DR2G")</f>
        <v>MC74ACT02DR2G</v>
      </c>
      <c r="B32050" s="3" t="s">
        <v>95</v>
      </c>
      <c r="C32050" s="6">
        <v>2065</v>
      </c>
      <c r="D32050" s="7">
        <v>0.85</v>
      </c>
    </row>
    <row r="32051" spans="1:5" x14ac:dyDescent="0.25">
      <c r="A32051" t="str">
        <f>HYPERLINK("https://www.773grp.com/globalSearch/MC74ACT02DTR2G/page-1", "MC74ACT02DTR2G")</f>
        <v>MC74ACT02DTR2G</v>
      </c>
      <c r="B32051" s="3" t="s">
        <v>95</v>
      </c>
      <c r="C32051" s="6">
        <v>2500</v>
      </c>
      <c r="D32051" s="7">
        <v>0.85</v>
      </c>
    </row>
    <row r="32052" spans="1:5" x14ac:dyDescent="0.25">
      <c r="A32052" t="str">
        <f>HYPERLINK("https://www.773grp.com/globalSearch/MC74ACT04DG/page-1", "MC74ACT04DG")</f>
        <v>MC74ACT04DG</v>
      </c>
      <c r="B32052" s="3" t="s">
        <v>95</v>
      </c>
      <c r="C32052" s="6">
        <v>16345</v>
      </c>
      <c r="D32052" s="7">
        <v>0.85</v>
      </c>
      <c r="E32052" t="s">
        <v>31</v>
      </c>
    </row>
    <row r="32053" spans="1:5" x14ac:dyDescent="0.25">
      <c r="A32053" t="str">
        <f>HYPERLINK("https://www.773grp.com/globalSearch/MC74ACT04DR2G/page-1", "MC74ACT04DR2G")</f>
        <v>MC74ACT04DR2G</v>
      </c>
      <c r="B32053" s="3" t="s">
        <v>95</v>
      </c>
      <c r="C32053" s="6">
        <v>197380</v>
      </c>
      <c r="D32053" s="7">
        <v>0.85</v>
      </c>
      <c r="E32053" t="s">
        <v>31</v>
      </c>
    </row>
    <row r="32054" spans="1:5" x14ac:dyDescent="0.25">
      <c r="A32054" t="str">
        <f>HYPERLINK("https://www.773grp.com/globalSearch/MC74ACT04DTR2G/page-1", "MC74ACT04DTR2G")</f>
        <v>MC74ACT04DTR2G</v>
      </c>
      <c r="B32054" s="3" t="s">
        <v>95</v>
      </c>
      <c r="C32054" s="6">
        <v>7500</v>
      </c>
      <c r="D32054" s="7">
        <v>0.85</v>
      </c>
      <c r="E32054" t="s">
        <v>31</v>
      </c>
    </row>
    <row r="32055" spans="1:5" x14ac:dyDescent="0.25">
      <c r="A32055" t="str">
        <f>HYPERLINK("https://www.773grp.com/globalSearch/MC74ACT05DG/page-1", "MC74ACT05DG")</f>
        <v>MC74ACT05DG</v>
      </c>
      <c r="B32055" s="3" t="s">
        <v>95</v>
      </c>
      <c r="C32055" s="6">
        <v>10565</v>
      </c>
      <c r="D32055" s="7">
        <v>0.85</v>
      </c>
      <c r="E32055" t="s">
        <v>31</v>
      </c>
    </row>
    <row r="32056" spans="1:5" x14ac:dyDescent="0.25">
      <c r="A32056" t="str">
        <f>HYPERLINK("https://www.773grp.com/globalSearch/MC74ACT05DR2G/page-1", "MC74ACT05DR2G")</f>
        <v>MC74ACT05DR2G</v>
      </c>
      <c r="B32056" s="3" t="s">
        <v>95</v>
      </c>
      <c r="C32056" s="6">
        <v>39175</v>
      </c>
      <c r="D32056" s="7">
        <v>0.85</v>
      </c>
      <c r="E32056" t="s">
        <v>31</v>
      </c>
    </row>
    <row r="32057" spans="1:5" x14ac:dyDescent="0.25">
      <c r="A32057" t="str">
        <f>HYPERLINK("https://www.773grp.com/globalSearch/MC74ACT05DTR2G/page-1", "MC74ACT05DTR2G")</f>
        <v>MC74ACT05DTR2G</v>
      </c>
      <c r="B32057" s="3" t="s">
        <v>95</v>
      </c>
      <c r="C32057" s="6">
        <v>2057</v>
      </c>
      <c r="D32057" s="7">
        <v>0.85</v>
      </c>
      <c r="E32057" t="s">
        <v>31</v>
      </c>
    </row>
    <row r="32058" spans="1:5" x14ac:dyDescent="0.25">
      <c r="A32058" t="str">
        <f>HYPERLINK("https://www.773grp.com/globalSearch/MC74ACT08DG/page-1", "MC74ACT08DG")</f>
        <v>MC74ACT08DG</v>
      </c>
      <c r="B32058" s="3" t="s">
        <v>95</v>
      </c>
      <c r="C32058" s="6">
        <v>15510</v>
      </c>
      <c r="D32058" s="7">
        <v>0.85</v>
      </c>
      <c r="E32058" t="s">
        <v>31</v>
      </c>
    </row>
    <row r="32059" spans="1:5" x14ac:dyDescent="0.25">
      <c r="A32059" t="str">
        <f>HYPERLINK("https://www.773grp.com/globalSearch/MC74ACT08DR2G/page-1", "MC74ACT08DR2G")</f>
        <v>MC74ACT08DR2G</v>
      </c>
      <c r="B32059" s="3" t="s">
        <v>95</v>
      </c>
      <c r="C32059" s="6">
        <v>2500</v>
      </c>
      <c r="D32059" s="7">
        <v>0.85</v>
      </c>
      <c r="E32059" t="s">
        <v>31</v>
      </c>
    </row>
    <row r="32060" spans="1:5" x14ac:dyDescent="0.25">
      <c r="A32060" t="str">
        <f>HYPERLINK("https://www.773grp.com/globalSearch/MC74ACT08DTR2G/page-1", "MC74ACT08DTR2G")</f>
        <v>MC74ACT08DTR2G</v>
      </c>
      <c r="B32060" s="3" t="s">
        <v>95</v>
      </c>
      <c r="C32060" s="6">
        <v>50157</v>
      </c>
      <c r="D32060" s="7">
        <v>0.85</v>
      </c>
      <c r="E32060" t="s">
        <v>31</v>
      </c>
    </row>
    <row r="32061" spans="1:5" x14ac:dyDescent="0.25">
      <c r="A32061" t="str">
        <f>HYPERLINK("https://www.773grp.com/globalSearch/MC74ACT10DR2G/page-1", "MC74ACT10DR2G")</f>
        <v>MC74ACT10DR2G</v>
      </c>
      <c r="B32061" s="3" t="s">
        <v>95</v>
      </c>
      <c r="C32061" s="6">
        <v>14030</v>
      </c>
      <c r="D32061" s="7">
        <v>0.85</v>
      </c>
      <c r="E32061" t="s">
        <v>31</v>
      </c>
    </row>
    <row r="32062" spans="1:5" x14ac:dyDescent="0.25">
      <c r="A32062" t="str">
        <f>HYPERLINK("https://www.773grp.com/globalSearch/MC74ACT10DTR2G/page-1", "MC74ACT10DTR2G")</f>
        <v>MC74ACT10DTR2G</v>
      </c>
      <c r="B32062" s="3" t="s">
        <v>95</v>
      </c>
      <c r="C32062" s="6">
        <v>7375</v>
      </c>
      <c r="D32062" s="7">
        <v>0.85</v>
      </c>
      <c r="E32062" t="s">
        <v>31</v>
      </c>
    </row>
    <row r="32063" spans="1:5" x14ac:dyDescent="0.25">
      <c r="A32063" t="str">
        <f>HYPERLINK("https://www.773grp.com/globalSearch/MC74ACT11DR2G/page-1", "MC74ACT11DR2G")</f>
        <v>MC74ACT11DR2G</v>
      </c>
      <c r="B32063" s="3" t="s">
        <v>95</v>
      </c>
      <c r="C32063" s="6">
        <v>13157</v>
      </c>
      <c r="D32063" s="7">
        <v>0.85</v>
      </c>
      <c r="E32063" t="s">
        <v>31</v>
      </c>
    </row>
    <row r="32064" spans="1:5" x14ac:dyDescent="0.25">
      <c r="A32064" t="str">
        <f>HYPERLINK("https://www.773grp.com/globalSearch/MC74ACT157DT/page-1", "MC74ACT157DT")</f>
        <v>MC74ACT157DT</v>
      </c>
      <c r="B32064" s="3" t="s">
        <v>95</v>
      </c>
      <c r="C32064" s="6">
        <v>2344</v>
      </c>
      <c r="D32064" s="7">
        <v>0.85</v>
      </c>
      <c r="E32064" t="s">
        <v>20</v>
      </c>
    </row>
    <row r="32065" spans="1:5" x14ac:dyDescent="0.25">
      <c r="A32065" t="str">
        <f>HYPERLINK("https://www.773grp.com/globalSearch/MC74ACT157DT/page-1", "MC74ACT157DT")</f>
        <v>MC74ACT157DT</v>
      </c>
      <c r="B32065" s="3" t="s">
        <v>95</v>
      </c>
      <c r="C32065" s="6">
        <v>360</v>
      </c>
      <c r="D32065" s="7">
        <v>0.85</v>
      </c>
      <c r="E32065" t="s">
        <v>20</v>
      </c>
    </row>
    <row r="32066" spans="1:5" x14ac:dyDescent="0.25">
      <c r="A32066" t="str">
        <f>HYPERLINK("https://www.773grp.com/globalSearch/MC74ACT20DG/page-1", "MC74ACT20DG")</f>
        <v>MC74ACT20DG</v>
      </c>
      <c r="B32066" s="3" t="s">
        <v>95</v>
      </c>
      <c r="C32066" s="6">
        <v>11600</v>
      </c>
      <c r="D32066" s="7">
        <v>0.85</v>
      </c>
      <c r="E32066" t="s">
        <v>31</v>
      </c>
    </row>
    <row r="32067" spans="1:5" x14ac:dyDescent="0.25">
      <c r="A32067" t="str">
        <f>HYPERLINK("https://www.773grp.com/globalSearch/MC74ACT20DR2G/page-1", "MC74ACT20DR2G")</f>
        <v>MC74ACT20DR2G</v>
      </c>
      <c r="B32067" s="3" t="s">
        <v>95</v>
      </c>
      <c r="C32067" s="6">
        <v>2385</v>
      </c>
      <c r="D32067" s="7">
        <v>0.85</v>
      </c>
      <c r="E32067" t="s">
        <v>31</v>
      </c>
    </row>
    <row r="32068" spans="1:5" x14ac:dyDescent="0.25">
      <c r="A32068" t="str">
        <f>HYPERLINK("https://www.773grp.com/globalSearch/MC74ACT241DT/page-1", "MC74ACT241DT")</f>
        <v>MC74ACT241DT</v>
      </c>
      <c r="B32068" s="3" t="s">
        <v>95</v>
      </c>
      <c r="C32068" s="6">
        <v>24600</v>
      </c>
      <c r="D32068" s="7">
        <v>0.85</v>
      </c>
      <c r="E32068" t="s">
        <v>14</v>
      </c>
    </row>
    <row r="32069" spans="1:5" x14ac:dyDescent="0.25">
      <c r="A32069" t="str">
        <f>HYPERLINK("https://www.773grp.com/globalSearch/MC74ACT241DT/page-1", "MC74ACT241DT")</f>
        <v>MC74ACT241DT</v>
      </c>
      <c r="B32069" s="3" t="s">
        <v>95</v>
      </c>
      <c r="C32069" s="6">
        <v>2775</v>
      </c>
      <c r="D32069" s="7">
        <v>0.85</v>
      </c>
      <c r="E32069" t="s">
        <v>14</v>
      </c>
    </row>
    <row r="32070" spans="1:5" x14ac:dyDescent="0.25">
      <c r="A32070" t="str">
        <f>HYPERLINK("https://www.773grp.com/globalSearch/MC74ACT32DG/page-1", "MC74ACT32DG")</f>
        <v>MC74ACT32DG</v>
      </c>
      <c r="B32070" s="3" t="s">
        <v>95</v>
      </c>
      <c r="C32070" s="6">
        <v>12850</v>
      </c>
      <c r="D32070" s="7">
        <v>0.85</v>
      </c>
      <c r="E32070" t="s">
        <v>31</v>
      </c>
    </row>
    <row r="32071" spans="1:5" x14ac:dyDescent="0.25">
      <c r="A32071" t="str">
        <f>HYPERLINK("https://www.773grp.com/globalSearch/MC74ACT32DR2G/page-1", "MC74ACT32DR2G")</f>
        <v>MC74ACT32DR2G</v>
      </c>
      <c r="B32071" s="3" t="s">
        <v>95</v>
      </c>
      <c r="C32071" s="6">
        <v>100000</v>
      </c>
      <c r="D32071" s="7">
        <v>0.85</v>
      </c>
      <c r="E32071" t="s">
        <v>31</v>
      </c>
    </row>
    <row r="32072" spans="1:5" x14ac:dyDescent="0.25">
      <c r="A32072" t="str">
        <f>HYPERLINK("https://www.773grp.com/globalSearch/MC74ACT32DTR2G/page-1", "MC74ACT32DTR2G")</f>
        <v>MC74ACT32DTR2G</v>
      </c>
      <c r="B32072" s="3" t="s">
        <v>95</v>
      </c>
      <c r="C32072" s="6">
        <v>7445</v>
      </c>
      <c r="D32072" s="7">
        <v>0.85</v>
      </c>
      <c r="E32072" t="s">
        <v>31</v>
      </c>
    </row>
    <row r="32073" spans="1:5" x14ac:dyDescent="0.25">
      <c r="A32073" t="str">
        <f>HYPERLINK("https://www.773grp.com/globalSearch/MC74ACT373DT/page-1", "MC74ACT373DT")</f>
        <v>MC74ACT373DT</v>
      </c>
      <c r="B32073" s="3" t="s">
        <v>95</v>
      </c>
      <c r="C32073" s="6">
        <v>3450</v>
      </c>
      <c r="D32073" s="7">
        <v>0.85</v>
      </c>
      <c r="E32073" t="s">
        <v>14</v>
      </c>
    </row>
    <row r="32074" spans="1:5" x14ac:dyDescent="0.25">
      <c r="A32074" t="str">
        <f>HYPERLINK("https://www.773grp.com/globalSearch/MC74ACT373DT/page-1", "MC74ACT373DT")</f>
        <v>MC74ACT373DT</v>
      </c>
      <c r="B32074" s="3" t="s">
        <v>95</v>
      </c>
      <c r="C32074" s="6">
        <v>1200</v>
      </c>
      <c r="D32074" s="7">
        <v>0.85</v>
      </c>
      <c r="E32074" t="s">
        <v>14</v>
      </c>
    </row>
    <row r="32075" spans="1:5" x14ac:dyDescent="0.25">
      <c r="A32075" t="str">
        <f>HYPERLINK("https://www.773grp.com/globalSearch/MC74F14M/page-1", "MC74F14M")</f>
        <v>MC74F14M</v>
      </c>
      <c r="B32075" s="3" t="s">
        <v>95</v>
      </c>
      <c r="C32075" s="6">
        <v>3570</v>
      </c>
      <c r="D32075" s="7">
        <v>0.85</v>
      </c>
    </row>
    <row r="32076" spans="1:5" x14ac:dyDescent="0.25">
      <c r="A32076" t="str">
        <f>HYPERLINK("https://www.773grp.com/globalSearch/MC74F14N/page-1", "MC74F14N")</f>
        <v>MC74F14N</v>
      </c>
      <c r="B32076" s="3" t="s">
        <v>95</v>
      </c>
      <c r="C32076" s="6">
        <v>1486</v>
      </c>
      <c r="D32076" s="7">
        <v>0.85</v>
      </c>
      <c r="E32076" t="s">
        <v>31</v>
      </c>
    </row>
    <row r="32077" spans="1:5" x14ac:dyDescent="0.25">
      <c r="A32077" t="str">
        <f>HYPERLINK("https://www.773grp.com/globalSearch/MC74F174D/page-1", "MC74F174D")</f>
        <v>MC74F174D</v>
      </c>
      <c r="B32077" s="3" t="s">
        <v>95</v>
      </c>
      <c r="C32077" s="6">
        <v>13512</v>
      </c>
      <c r="D32077" s="7">
        <v>0.85</v>
      </c>
      <c r="E32077" t="s">
        <v>35</v>
      </c>
    </row>
    <row r="32078" spans="1:5" x14ac:dyDescent="0.25">
      <c r="A32078" t="str">
        <f>HYPERLINK("https://www.773grp.com/globalSearch/MC74F174DR2/page-1", "MC74F174DR2")</f>
        <v>MC74F174DR2</v>
      </c>
      <c r="B32078" s="3" t="s">
        <v>95</v>
      </c>
      <c r="C32078" s="6">
        <v>12500</v>
      </c>
      <c r="D32078" s="7">
        <v>0.85</v>
      </c>
      <c r="E32078" t="s">
        <v>35</v>
      </c>
    </row>
    <row r="32079" spans="1:5" x14ac:dyDescent="0.25">
      <c r="A32079" t="str">
        <f>HYPERLINK("https://www.773grp.com/globalSearch/MC74F244M/page-1", "MC74F244M")</f>
        <v>MC74F244M</v>
      </c>
      <c r="B32079" s="3" t="s">
        <v>95</v>
      </c>
      <c r="C32079" s="6">
        <v>3867</v>
      </c>
      <c r="D32079" s="7">
        <v>0.85</v>
      </c>
    </row>
    <row r="32080" spans="1:5" x14ac:dyDescent="0.25">
      <c r="A32080" t="str">
        <f>HYPERLINK("https://www.773grp.com/globalSearch/MC74F244MR1/page-1", "MC74F244MR1")</f>
        <v>MC74F244MR1</v>
      </c>
      <c r="B32080" s="3" t="s">
        <v>95</v>
      </c>
      <c r="C32080" s="6">
        <v>2000</v>
      </c>
      <c r="D32080" s="7">
        <v>0.85</v>
      </c>
    </row>
    <row r="32081" spans="1:5" x14ac:dyDescent="0.25">
      <c r="A32081" t="str">
        <f>HYPERLINK("https://www.773grp.com/globalSearch/MC74F244N/page-1", "MC74F244N")</f>
        <v>MC74F244N</v>
      </c>
      <c r="B32081" s="3" t="s">
        <v>95</v>
      </c>
      <c r="C32081" s="6">
        <v>9866</v>
      </c>
      <c r="D32081" s="7">
        <v>0.85</v>
      </c>
      <c r="E32081" t="s">
        <v>14</v>
      </c>
    </row>
    <row r="32082" spans="1:5" x14ac:dyDescent="0.25">
      <c r="A32082" t="str">
        <f>HYPERLINK("https://www.773grp.com/globalSearch/MC74F245DWR2/page-1", "MC74F245DWR2")</f>
        <v>MC74F245DWR2</v>
      </c>
      <c r="B32082" s="3" t="s">
        <v>95</v>
      </c>
      <c r="C32082" s="6">
        <v>86000</v>
      </c>
      <c r="D32082" s="7">
        <v>0.85</v>
      </c>
      <c r="E32082" t="s">
        <v>14</v>
      </c>
    </row>
    <row r="32083" spans="1:5" x14ac:dyDescent="0.25">
      <c r="A32083" t="str">
        <f>HYPERLINK("https://www.773grp.com/globalSearch/MC74HC107N/page-1", "MC74HC107N")</f>
        <v>MC74HC107N</v>
      </c>
      <c r="B32083" s="3" t="s">
        <v>95</v>
      </c>
      <c r="C32083" s="6">
        <v>3760</v>
      </c>
      <c r="D32083" s="7">
        <v>0.85</v>
      </c>
      <c r="E32083" t="s">
        <v>35</v>
      </c>
    </row>
    <row r="32084" spans="1:5" x14ac:dyDescent="0.25">
      <c r="A32084" t="str">
        <f>HYPERLINK("https://www.773grp.com/globalSearch/MC74HC163ADG/page-1", "MC74HC163ADG")</f>
        <v>MC74HC163ADG</v>
      </c>
      <c r="B32084" s="3" t="s">
        <v>95</v>
      </c>
      <c r="C32084" s="6">
        <v>2160</v>
      </c>
      <c r="D32084" s="7">
        <v>0.85</v>
      </c>
      <c r="E32084" t="s">
        <v>26</v>
      </c>
    </row>
    <row r="32085" spans="1:5" x14ac:dyDescent="0.25">
      <c r="A32085" t="str">
        <f>HYPERLINK("https://www.773grp.com/globalSearch/MC74HC163ADR/page-1", "MC74HC163ADR")</f>
        <v>MC74HC163ADR</v>
      </c>
      <c r="B32085" s="3" t="s">
        <v>95</v>
      </c>
      <c r="C32085" s="6">
        <v>2500</v>
      </c>
      <c r="D32085" s="7">
        <v>0.85</v>
      </c>
    </row>
    <row r="32086" spans="1:5" x14ac:dyDescent="0.25">
      <c r="A32086" t="str">
        <f>HYPERLINK("https://www.773grp.com/globalSearch/MC74HC163ADR2G/page-1", "MC74HC163ADR2G")</f>
        <v>MC74HC163ADR2G</v>
      </c>
      <c r="B32086" s="3" t="s">
        <v>95</v>
      </c>
      <c r="C32086" s="6">
        <v>5000</v>
      </c>
      <c r="D32086" s="7">
        <v>0.85</v>
      </c>
      <c r="E32086" t="s">
        <v>26</v>
      </c>
    </row>
    <row r="32087" spans="1:5" x14ac:dyDescent="0.25">
      <c r="A32087" t="str">
        <f>HYPERLINK("https://www.773grp.com/globalSearch/MC74HC163ADTG/page-1", "MC74HC163ADTG")</f>
        <v>MC74HC163ADTG</v>
      </c>
      <c r="B32087" s="3" t="s">
        <v>95</v>
      </c>
      <c r="C32087" s="6">
        <v>35232</v>
      </c>
      <c r="D32087" s="7">
        <v>0.85</v>
      </c>
    </row>
    <row r="32088" spans="1:5" x14ac:dyDescent="0.25">
      <c r="A32088" t="str">
        <f>HYPERLINK("https://www.773grp.com/globalSearch/MC74HC163ADTR2G/page-1", "MC74HC163ADTR2G")</f>
        <v>MC74HC163ADTR2G</v>
      </c>
      <c r="B32088" s="3" t="s">
        <v>95</v>
      </c>
      <c r="C32088" s="6">
        <v>36994</v>
      </c>
      <c r="D32088" s="7">
        <v>0.85</v>
      </c>
    </row>
    <row r="32089" spans="1:5" x14ac:dyDescent="0.25">
      <c r="A32089" t="str">
        <f>HYPERLINK("https://www.773grp.com/globalSearch/MC74HC367ADT/page-1", "MC74HC367ADT")</f>
        <v>MC74HC367ADT</v>
      </c>
      <c r="B32089" s="3" t="s">
        <v>95</v>
      </c>
      <c r="C32089" s="6">
        <v>3239</v>
      </c>
      <c r="D32089" s="7">
        <v>0.85</v>
      </c>
      <c r="E32089" t="s">
        <v>14</v>
      </c>
    </row>
    <row r="32090" spans="1:5" x14ac:dyDescent="0.25">
      <c r="A32090" t="str">
        <f>HYPERLINK("https://www.773grp.com/globalSearch/MC74HC367AF/page-1", "MC74HC367AF")</f>
        <v>MC74HC367AF</v>
      </c>
      <c r="B32090" s="3" t="s">
        <v>95</v>
      </c>
      <c r="C32090" s="6">
        <v>281</v>
      </c>
      <c r="D32090" s="7">
        <v>0.85</v>
      </c>
    </row>
    <row r="32091" spans="1:5" x14ac:dyDescent="0.25">
      <c r="A32091" t="str">
        <f>HYPERLINK("https://www.773grp.com/globalSearch/MC74HC367AFL1/page-1", "MC74HC367AFL1")</f>
        <v>MC74HC367AFL1</v>
      </c>
      <c r="B32091" s="3" t="s">
        <v>95</v>
      </c>
      <c r="C32091" s="6">
        <v>8000</v>
      </c>
      <c r="D32091" s="7">
        <v>0.85</v>
      </c>
    </row>
    <row r="32092" spans="1:5" x14ac:dyDescent="0.25">
      <c r="A32092" t="str">
        <f>HYPERLINK("https://www.773grp.com/globalSearch/MC74HC367AFR1/page-1", "MC74HC367AFR1")</f>
        <v>MC74HC367AFR1</v>
      </c>
      <c r="B32092" s="3" t="s">
        <v>95</v>
      </c>
      <c r="C32092" s="6">
        <v>2000</v>
      </c>
      <c r="D32092" s="7">
        <v>0.85</v>
      </c>
    </row>
    <row r="32093" spans="1:5" x14ac:dyDescent="0.25">
      <c r="A32093" t="str">
        <f>HYPERLINK("https://www.773grp.com/globalSearch/MC74HC390AFL1/page-1", "MC74HC390AFL1")</f>
        <v>MC74HC390AFL1</v>
      </c>
      <c r="B32093" s="3" t="s">
        <v>95</v>
      </c>
      <c r="C32093" s="6">
        <v>4000</v>
      </c>
      <c r="D32093" s="7">
        <v>0.85</v>
      </c>
    </row>
    <row r="32094" spans="1:5" x14ac:dyDescent="0.25">
      <c r="A32094" t="str">
        <f>HYPERLINK("https://www.773grp.com/globalSearch/MC74HC390D/page-1", "MC74HC390D")</f>
        <v>MC74HC390D</v>
      </c>
      <c r="B32094" s="3" t="s">
        <v>95</v>
      </c>
      <c r="C32094" s="6">
        <v>6</v>
      </c>
      <c r="D32094" s="7">
        <v>0.85</v>
      </c>
      <c r="E32094" t="s">
        <v>26</v>
      </c>
    </row>
    <row r="32095" spans="1:5" x14ac:dyDescent="0.25">
      <c r="A32095" t="str">
        <f>HYPERLINK("https://www.773grp.com/globalSearch/MC74HC390DR2/page-1", "MC74HC390DR2")</f>
        <v>MC74HC390DR2</v>
      </c>
      <c r="B32095" s="3" t="s">
        <v>95</v>
      </c>
      <c r="C32095" s="6">
        <v>23287</v>
      </c>
      <c r="D32095" s="7">
        <v>0.85</v>
      </c>
      <c r="E32095" t="s">
        <v>26</v>
      </c>
    </row>
    <row r="32096" spans="1:5" x14ac:dyDescent="0.25">
      <c r="A32096" t="str">
        <f>HYPERLINK("https://www.773grp.com/globalSearch/MC74HC393ADG/page-1", "MC74HC393ADG")</f>
        <v>MC74HC393ADG</v>
      </c>
      <c r="B32096" s="3" t="s">
        <v>95</v>
      </c>
      <c r="C32096" s="6">
        <v>812</v>
      </c>
      <c r="D32096" s="7">
        <v>0.85</v>
      </c>
      <c r="E32096" t="s">
        <v>26</v>
      </c>
    </row>
    <row r="32097" spans="1:5" x14ac:dyDescent="0.25">
      <c r="A32097" t="str">
        <f>HYPERLINK("https://www.773grp.com/globalSearch/MC74HC393ADR2/page-1", "MC74HC393ADR2")</f>
        <v>MC74HC393ADR2</v>
      </c>
      <c r="B32097" s="3" t="s">
        <v>95</v>
      </c>
      <c r="C32097" s="6">
        <v>28444</v>
      </c>
      <c r="D32097" s="7">
        <v>0.85</v>
      </c>
      <c r="E32097" t="s">
        <v>26</v>
      </c>
    </row>
    <row r="32098" spans="1:5" x14ac:dyDescent="0.25">
      <c r="A32098" t="str">
        <f>HYPERLINK("https://www.773grp.com/globalSearch/MC74HC393ADR2G/page-1", "MC74HC393ADR2G")</f>
        <v>MC74HC393ADR2G</v>
      </c>
      <c r="B32098" s="3" t="s">
        <v>95</v>
      </c>
      <c r="C32098" s="6">
        <v>45152</v>
      </c>
      <c r="D32098" s="7">
        <v>0.85</v>
      </c>
      <c r="E32098" t="s">
        <v>26</v>
      </c>
    </row>
    <row r="32099" spans="1:5" x14ac:dyDescent="0.25">
      <c r="A32099" t="str">
        <f>HYPERLINK("https://www.773grp.com/globalSearch/MC74HC393ADT/page-1", "MC74HC393ADT")</f>
        <v>MC74HC393ADT</v>
      </c>
      <c r="B32099" s="3" t="s">
        <v>95</v>
      </c>
      <c r="C32099" s="6">
        <v>1023</v>
      </c>
      <c r="D32099" s="7">
        <v>0.85</v>
      </c>
      <c r="E32099" t="s">
        <v>26</v>
      </c>
    </row>
    <row r="32100" spans="1:5" x14ac:dyDescent="0.25">
      <c r="A32100" t="str">
        <f>HYPERLINK("https://www.773grp.com/globalSearch/MC74HC393ADTR2G/page-1", "MC74HC393ADTR2G")</f>
        <v>MC74HC393ADTR2G</v>
      </c>
      <c r="B32100" s="3" t="s">
        <v>95</v>
      </c>
      <c r="C32100" s="6">
        <v>5644</v>
      </c>
      <c r="D32100" s="7">
        <v>0.85</v>
      </c>
      <c r="E32100" t="s">
        <v>26</v>
      </c>
    </row>
    <row r="32101" spans="1:5" x14ac:dyDescent="0.25">
      <c r="A32101" t="str">
        <f>HYPERLINK("https://www.773grp.com/globalSearch/MC74HC393AFL1/page-1", "MC74HC393AFL1")</f>
        <v>MC74HC393AFL1</v>
      </c>
      <c r="B32101" s="3" t="s">
        <v>95</v>
      </c>
      <c r="C32101" s="6">
        <v>1000</v>
      </c>
      <c r="D32101" s="7">
        <v>0.85</v>
      </c>
    </row>
    <row r="32102" spans="1:5" x14ac:dyDescent="0.25">
      <c r="A32102" t="str">
        <f>HYPERLINK("https://www.773grp.com/globalSearch/MC74HC393D/page-1", "MC74HC393D")</f>
        <v>MC74HC393D</v>
      </c>
      <c r="B32102" s="3" t="s">
        <v>95</v>
      </c>
      <c r="C32102" s="6">
        <v>24456</v>
      </c>
      <c r="D32102" s="7">
        <v>0.85</v>
      </c>
      <c r="E32102" t="s">
        <v>26</v>
      </c>
    </row>
    <row r="32103" spans="1:5" x14ac:dyDescent="0.25">
      <c r="A32103" t="str">
        <f>HYPERLINK("https://www.773grp.com/globalSearch/MC74HC393F/page-1", "MC74HC393F")</f>
        <v>MC74HC393F</v>
      </c>
      <c r="B32103" s="3" t="s">
        <v>95</v>
      </c>
      <c r="C32103" s="6">
        <v>9350</v>
      </c>
      <c r="D32103" s="7">
        <v>0.85</v>
      </c>
    </row>
    <row r="32104" spans="1:5" x14ac:dyDescent="0.25">
      <c r="A32104" t="str">
        <f>HYPERLINK("https://www.773grp.com/globalSearch/MC74HC4017F/page-1", "MC74HC4017F")</f>
        <v>MC74HC4017F</v>
      </c>
      <c r="B32104" s="3" t="s">
        <v>95</v>
      </c>
      <c r="C32104" s="6">
        <v>5316</v>
      </c>
      <c r="D32104" s="7">
        <v>0.85</v>
      </c>
    </row>
    <row r="32105" spans="1:5" x14ac:dyDescent="0.25">
      <c r="A32105" t="str">
        <f>HYPERLINK("https://www.773grp.com/globalSearch/MC74HC4017FEL/page-1", "MC74HC4017FEL")</f>
        <v>MC74HC4017FEL</v>
      </c>
      <c r="B32105" s="3" t="s">
        <v>95</v>
      </c>
      <c r="C32105" s="6">
        <v>8000</v>
      </c>
      <c r="D32105" s="7">
        <v>0.85</v>
      </c>
    </row>
    <row r="32106" spans="1:5" x14ac:dyDescent="0.25">
      <c r="A32106" t="str">
        <f>HYPERLINK("https://www.773grp.com/globalSearch/MC74HC4020AFL1/page-1", "MC74HC4020AFL1")</f>
        <v>MC74HC4020AFL1</v>
      </c>
      <c r="B32106" s="3" t="s">
        <v>95</v>
      </c>
      <c r="C32106" s="6">
        <v>5000</v>
      </c>
      <c r="D32106" s="7">
        <v>0.85</v>
      </c>
    </row>
    <row r="32107" spans="1:5" x14ac:dyDescent="0.25">
      <c r="A32107" t="str">
        <f>HYPERLINK("https://www.773grp.com/globalSearch/MC74HC4040AFR2/page-1", "MC74HC4040AFR2")</f>
        <v>MC74HC4040AFR2</v>
      </c>
      <c r="B32107" s="3" t="s">
        <v>95</v>
      </c>
      <c r="C32107" s="6">
        <v>2000</v>
      </c>
      <c r="D32107" s="7">
        <v>0.85</v>
      </c>
    </row>
    <row r="32108" spans="1:5" x14ac:dyDescent="0.25">
      <c r="A32108" t="str">
        <f>HYPERLINK("https://www.773grp.com/globalSearch/MC74HC404AFL2/page-1", "MC74HC404AFL2")</f>
        <v>MC74HC404AFL2</v>
      </c>
      <c r="B32108" s="3" t="s">
        <v>95</v>
      </c>
      <c r="C32108" s="6">
        <v>6000</v>
      </c>
      <c r="D32108" s="7">
        <v>0.85</v>
      </c>
    </row>
    <row r="32109" spans="1:5" x14ac:dyDescent="0.25">
      <c r="A32109" t="str">
        <f>HYPERLINK("https://www.773grp.com/globalSearch/MC74HC40501DW/page-1", "MC74HC40501DW")</f>
        <v>MC74HC40501DW</v>
      </c>
      <c r="B32109" s="3" t="s">
        <v>95</v>
      </c>
      <c r="C32109" s="6">
        <v>671</v>
      </c>
      <c r="D32109" s="7">
        <v>0.85</v>
      </c>
    </row>
    <row r="32110" spans="1:5" x14ac:dyDescent="0.25">
      <c r="A32110" t="str">
        <f>HYPERLINK("https://www.773grp.com/globalSearch/MC74HC4051DR2/page-1", "MC74HC4051DR2")</f>
        <v>MC74HC4051DR2</v>
      </c>
      <c r="B32110" s="3" t="s">
        <v>95</v>
      </c>
      <c r="C32110" s="6">
        <v>14190</v>
      </c>
      <c r="D32110" s="7">
        <v>0.85</v>
      </c>
      <c r="E32110" t="s">
        <v>56</v>
      </c>
    </row>
    <row r="32111" spans="1:5" x14ac:dyDescent="0.25">
      <c r="A32111" t="str">
        <f>HYPERLINK("https://www.773grp.com/globalSearch/MC74HC4051F/page-1", "MC74HC4051F")</f>
        <v>MC74HC4051F</v>
      </c>
      <c r="B32111" s="3" t="s">
        <v>95</v>
      </c>
      <c r="C32111" s="6">
        <v>2176</v>
      </c>
      <c r="D32111" s="7">
        <v>0.85</v>
      </c>
    </row>
    <row r="32112" spans="1:5" x14ac:dyDescent="0.25">
      <c r="A32112" t="str">
        <f>HYPERLINK("https://www.773grp.com/globalSearch/MC74HC4051FEL/page-1", "MC74HC4051FEL")</f>
        <v>MC74HC4051FEL</v>
      </c>
      <c r="B32112" s="3" t="s">
        <v>95</v>
      </c>
      <c r="C32112" s="6">
        <v>34000</v>
      </c>
      <c r="D32112" s="7">
        <v>0.85</v>
      </c>
    </row>
    <row r="32113" spans="1:5" x14ac:dyDescent="0.25">
      <c r="A32113" t="str">
        <f>HYPERLINK("https://www.773grp.com/globalSearch/MC74HC4051N/page-1", "MC74HC4051N")</f>
        <v>MC74HC4051N</v>
      </c>
      <c r="B32113" s="3" t="s">
        <v>95</v>
      </c>
      <c r="C32113" s="6">
        <v>15799</v>
      </c>
      <c r="D32113" s="7">
        <v>0.85</v>
      </c>
      <c r="E32113" t="s">
        <v>56</v>
      </c>
    </row>
    <row r="32114" spans="1:5" x14ac:dyDescent="0.25">
      <c r="A32114" t="str">
        <f>HYPERLINK("https://www.773grp.com/globalSearch/MC74HC4052DR2/page-1", "MC74HC4052DR2")</f>
        <v>MC74HC4052DR2</v>
      </c>
      <c r="B32114" s="3" t="s">
        <v>95</v>
      </c>
      <c r="C32114" s="6">
        <v>100500</v>
      </c>
      <c r="D32114" s="7">
        <v>0.85</v>
      </c>
      <c r="E32114" t="s">
        <v>56</v>
      </c>
    </row>
    <row r="32115" spans="1:5" x14ac:dyDescent="0.25">
      <c r="A32115" t="str">
        <f>HYPERLINK("https://www.773grp.com/globalSearch/MC74HC4052DT/page-1", "MC74HC4052DT")</f>
        <v>MC74HC4052DT</v>
      </c>
      <c r="B32115" s="3" t="s">
        <v>95</v>
      </c>
      <c r="C32115" s="6">
        <v>5275</v>
      </c>
      <c r="D32115" s="7">
        <v>0.85</v>
      </c>
      <c r="E32115" t="s">
        <v>56</v>
      </c>
    </row>
    <row r="32116" spans="1:5" x14ac:dyDescent="0.25">
      <c r="A32116" t="str">
        <f>HYPERLINK("https://www.773grp.com/globalSearch/MC74HC4052DW/page-1", "MC74HC4052DW")</f>
        <v>MC74HC4052DW</v>
      </c>
      <c r="B32116" s="3" t="s">
        <v>95</v>
      </c>
      <c r="C32116" s="6">
        <v>1</v>
      </c>
      <c r="D32116" s="7">
        <v>0.85</v>
      </c>
      <c r="E32116" t="s">
        <v>56</v>
      </c>
    </row>
    <row r="32117" spans="1:5" x14ac:dyDescent="0.25">
      <c r="A32117" t="str">
        <f>HYPERLINK("https://www.773grp.com/globalSearch/MC74HC4052DWR2/page-1", "MC74HC4052DWR2")</f>
        <v>MC74HC4052DWR2</v>
      </c>
      <c r="B32117" s="3" t="s">
        <v>95</v>
      </c>
      <c r="C32117" s="6">
        <v>10900</v>
      </c>
      <c r="D32117" s="7">
        <v>0.85</v>
      </c>
      <c r="E32117" t="s">
        <v>56</v>
      </c>
    </row>
    <row r="32118" spans="1:5" x14ac:dyDescent="0.25">
      <c r="A32118" t="str">
        <f>HYPERLINK("https://www.773grp.com/globalSearch/MC74HC4052F/page-1", "MC74HC4052F")</f>
        <v>MC74HC4052F</v>
      </c>
      <c r="B32118" s="3" t="s">
        <v>95</v>
      </c>
      <c r="C32118" s="6">
        <v>9050</v>
      </c>
      <c r="D32118" s="7">
        <v>0.85</v>
      </c>
    </row>
    <row r="32119" spans="1:5" x14ac:dyDescent="0.25">
      <c r="A32119" t="str">
        <f>HYPERLINK("https://www.773grp.com/globalSearch/MC74HC4052FEL/page-1", "MC74HC4052FEL")</f>
        <v>MC74HC4052FEL</v>
      </c>
      <c r="B32119" s="3" t="s">
        <v>95</v>
      </c>
      <c r="C32119" s="6">
        <v>12000</v>
      </c>
      <c r="D32119" s="7">
        <v>0.85</v>
      </c>
    </row>
    <row r="32120" spans="1:5" x14ac:dyDescent="0.25">
      <c r="A32120" t="str">
        <f>HYPERLINK("https://www.773grp.com/globalSearch/MC74HC4052N/page-1", "MC74HC4052N")</f>
        <v>MC74HC4052N</v>
      </c>
      <c r="B32120" s="3" t="s">
        <v>95</v>
      </c>
      <c r="C32120" s="6">
        <v>1120</v>
      </c>
      <c r="D32120" s="7">
        <v>0.85</v>
      </c>
      <c r="E32120" t="s">
        <v>56</v>
      </c>
    </row>
    <row r="32121" spans="1:5" x14ac:dyDescent="0.25">
      <c r="A32121" t="str">
        <f>HYPERLINK("https://www.773grp.com/globalSearch/MC74HC4053D/page-1", "MC74HC4053D")</f>
        <v>MC74HC4053D</v>
      </c>
      <c r="B32121" s="3" t="s">
        <v>95</v>
      </c>
      <c r="C32121" s="6">
        <v>6725</v>
      </c>
      <c r="D32121" s="7">
        <v>0.85</v>
      </c>
      <c r="E32121" t="s">
        <v>56</v>
      </c>
    </row>
    <row r="32122" spans="1:5" x14ac:dyDescent="0.25">
      <c r="A32122" t="str">
        <f>HYPERLINK("https://www.773grp.com/globalSearch/MC74HC4053DR2/page-1", "MC74HC4053DR2")</f>
        <v>MC74HC4053DR2</v>
      </c>
      <c r="B32122" s="3" t="s">
        <v>95</v>
      </c>
      <c r="C32122" s="6">
        <v>2500</v>
      </c>
      <c r="D32122" s="7">
        <v>0.85</v>
      </c>
      <c r="E32122" t="s">
        <v>56</v>
      </c>
    </row>
    <row r="32123" spans="1:5" x14ac:dyDescent="0.25">
      <c r="A32123" t="str">
        <f>HYPERLINK("https://www.773grp.com/globalSearch/MC74HC4053DT/page-1", "MC74HC4053DT")</f>
        <v>MC74HC4053DT</v>
      </c>
      <c r="B32123" s="3" t="s">
        <v>95</v>
      </c>
      <c r="C32123" s="6">
        <v>12376</v>
      </c>
      <c r="D32123" s="7">
        <v>0.85</v>
      </c>
      <c r="E32123" t="s">
        <v>56</v>
      </c>
    </row>
    <row r="32124" spans="1:5" x14ac:dyDescent="0.25">
      <c r="A32124" t="str">
        <f>HYPERLINK("https://www.773grp.com/globalSearch/MC74HC4053DTEL/page-1", "MC74HC4053DTEL")</f>
        <v>MC74HC4053DTEL</v>
      </c>
      <c r="B32124" s="3" t="s">
        <v>95</v>
      </c>
      <c r="C32124" s="6">
        <v>10000</v>
      </c>
      <c r="D32124" s="7">
        <v>0.85</v>
      </c>
    </row>
    <row r="32125" spans="1:5" x14ac:dyDescent="0.25">
      <c r="A32125" t="str">
        <f>HYPERLINK("https://www.773grp.com/globalSearch/MC74HC4053N/page-1", "MC74HC4053N")</f>
        <v>MC74HC4053N</v>
      </c>
      <c r="B32125" s="3" t="s">
        <v>95</v>
      </c>
      <c r="C32125" s="6">
        <v>4175</v>
      </c>
      <c r="D32125" s="7">
        <v>0.85</v>
      </c>
      <c r="E32125" t="s">
        <v>56</v>
      </c>
    </row>
    <row r="32126" spans="1:5" x14ac:dyDescent="0.25">
      <c r="A32126" t="str">
        <f>HYPERLINK("https://www.773grp.com/globalSearch/MC74HC4060AFL1/page-1", "MC74HC4060AFL1")</f>
        <v>MC74HC4060AFL1</v>
      </c>
      <c r="B32126" s="3" t="s">
        <v>95</v>
      </c>
      <c r="C32126" s="6">
        <v>5000</v>
      </c>
      <c r="D32126" s="7">
        <v>0.85</v>
      </c>
    </row>
    <row r="32127" spans="1:5" x14ac:dyDescent="0.25">
      <c r="A32127" t="str">
        <f>HYPERLINK("https://www.773grp.com/globalSearch/MC74HC4066AFELG/page-1", "MC74HC4066AFELG")</f>
        <v>MC74HC4066AFELG</v>
      </c>
      <c r="B32127" s="3" t="s">
        <v>95</v>
      </c>
      <c r="C32127" s="6">
        <v>5151</v>
      </c>
      <c r="D32127" s="7">
        <v>0.85</v>
      </c>
      <c r="E32127" t="s">
        <v>56</v>
      </c>
    </row>
    <row r="32128" spans="1:5" x14ac:dyDescent="0.25">
      <c r="A32128" t="str">
        <f>HYPERLINK("https://www.773grp.com/globalSearch/MC74HC4538AFL1/page-1", "MC74HC4538AFL1")</f>
        <v>MC74HC4538AFL1</v>
      </c>
      <c r="B32128" s="3" t="s">
        <v>95</v>
      </c>
      <c r="C32128" s="6">
        <v>1000</v>
      </c>
      <c r="D32128" s="7">
        <v>0.85</v>
      </c>
    </row>
    <row r="32129" spans="1:5" x14ac:dyDescent="0.25">
      <c r="A32129" t="str">
        <f>HYPERLINK("https://www.773grp.com/globalSearch/MC74HC4538AFL2/page-1", "MC74HC4538AFL2")</f>
        <v>MC74HC4538AFL2</v>
      </c>
      <c r="B32129" s="3" t="s">
        <v>95</v>
      </c>
      <c r="C32129" s="6">
        <v>2000</v>
      </c>
      <c r="D32129" s="7">
        <v>0.85</v>
      </c>
    </row>
    <row r="32130" spans="1:5" x14ac:dyDescent="0.25">
      <c r="A32130" t="str">
        <f>HYPERLINK("https://www.773grp.com/globalSearch/MC74HC4538AFR1/page-1", "MC74HC4538AFR1")</f>
        <v>MC74HC4538AFR1</v>
      </c>
      <c r="B32130" s="3" t="s">
        <v>95</v>
      </c>
      <c r="C32130" s="6">
        <v>18000</v>
      </c>
      <c r="D32130" s="7">
        <v>0.85</v>
      </c>
    </row>
    <row r="32131" spans="1:5" x14ac:dyDescent="0.25">
      <c r="A32131" t="str">
        <f>HYPERLINK("https://www.773grp.com/globalSearch/MC74HC4538AFR2/page-1", "MC74HC4538AFR2")</f>
        <v>MC74HC4538AFR2</v>
      </c>
      <c r="B32131" s="3" t="s">
        <v>95</v>
      </c>
      <c r="C32131" s="6">
        <v>8000</v>
      </c>
      <c r="D32131" s="7">
        <v>0.85</v>
      </c>
    </row>
    <row r="32132" spans="1:5" x14ac:dyDescent="0.25">
      <c r="A32132" t="str">
        <f>HYPERLINK("https://www.773grp.com/globalSearch/MC74HC573ADTEL/page-1", "MC74HC573ADTEL")</f>
        <v>MC74HC573ADTEL</v>
      </c>
      <c r="B32132" s="3" t="s">
        <v>95</v>
      </c>
      <c r="C32132" s="6">
        <v>5000</v>
      </c>
      <c r="D32132" s="7">
        <v>0.85</v>
      </c>
    </row>
    <row r="32133" spans="1:5" x14ac:dyDescent="0.25">
      <c r="A32133" t="str">
        <f>HYPERLINK("https://www.773grp.com/globalSearch/MC74HC595AD/page-1", "MC74HC595AD")</f>
        <v>MC74HC595AD</v>
      </c>
      <c r="B32133" s="3" t="s">
        <v>95</v>
      </c>
      <c r="C32133" s="6">
        <v>28204</v>
      </c>
      <c r="D32133" s="7">
        <v>0.85</v>
      </c>
    </row>
    <row r="32134" spans="1:5" x14ac:dyDescent="0.25">
      <c r="A32134" t="str">
        <f>HYPERLINK("https://www.773grp.com/globalSearch/MC74HC595ADH/page-1", "MC74HC595ADH")</f>
        <v>MC74HC595ADH</v>
      </c>
      <c r="B32134" s="3" t="s">
        <v>95</v>
      </c>
      <c r="C32134" s="6">
        <v>5240</v>
      </c>
      <c r="D32134" s="7">
        <v>0.85</v>
      </c>
    </row>
    <row r="32135" spans="1:5" x14ac:dyDescent="0.25">
      <c r="A32135" t="str">
        <f>HYPERLINK("https://www.773grp.com/globalSearch/MC74HC7266AD/page-1", "MC74HC7266AD")</f>
        <v>MC74HC7266AD</v>
      </c>
      <c r="B32135" s="3" t="s">
        <v>95</v>
      </c>
      <c r="C32135" s="6">
        <v>13</v>
      </c>
      <c r="D32135" s="7">
        <v>0.85</v>
      </c>
      <c r="E32135" t="s">
        <v>31</v>
      </c>
    </row>
    <row r="32136" spans="1:5" x14ac:dyDescent="0.25">
      <c r="A32136" t="str">
        <f>HYPERLINK("https://www.773grp.com/globalSearch/MC74HC7266AF/page-1", "MC74HC7266AF")</f>
        <v>MC74HC7266AF</v>
      </c>
      <c r="B32136" s="3" t="s">
        <v>95</v>
      </c>
      <c r="C32136" s="6">
        <v>644</v>
      </c>
      <c r="D32136" s="7">
        <v>0.85</v>
      </c>
    </row>
    <row r="32137" spans="1:5" x14ac:dyDescent="0.25">
      <c r="A32137" t="str">
        <f>HYPERLINK("https://www.773grp.com/globalSearch/MC74HC7266AFEL/page-1", "MC74HC7266AFEL")</f>
        <v>MC74HC7266AFEL</v>
      </c>
      <c r="B32137" s="3" t="s">
        <v>95</v>
      </c>
      <c r="C32137" s="6">
        <v>2000</v>
      </c>
      <c r="D32137" s="7">
        <v>0.85</v>
      </c>
    </row>
    <row r="32138" spans="1:5" x14ac:dyDescent="0.25">
      <c r="A32138" t="str">
        <f>HYPERLINK("https://www.773grp.com/globalSearch/MC74HC7266AFR1/page-1", "MC74HC7266AFR1")</f>
        <v>MC74HC7266AFR1</v>
      </c>
      <c r="B32138" s="3" t="s">
        <v>95</v>
      </c>
      <c r="C32138" s="6">
        <v>5000</v>
      </c>
      <c r="D32138" s="7">
        <v>0.85</v>
      </c>
    </row>
    <row r="32139" spans="1:5" x14ac:dyDescent="0.25">
      <c r="A32139" t="str">
        <f>HYPERLINK("https://www.773grp.com/globalSearch/MC74VHC157DR2G/page-1", "MC74VHC157DR2G")</f>
        <v>MC74VHC157DR2G</v>
      </c>
      <c r="B32139" s="3" t="s">
        <v>95</v>
      </c>
      <c r="C32139" s="6">
        <v>19146</v>
      </c>
      <c r="D32139" s="7">
        <v>0.85</v>
      </c>
      <c r="E32139" t="s">
        <v>20</v>
      </c>
    </row>
    <row r="32140" spans="1:5" x14ac:dyDescent="0.25">
      <c r="A32140" t="str">
        <f>HYPERLINK("https://www.773grp.com/globalSearch/MC74VHC157DTR2G/page-1", "MC74VHC157DTR2G")</f>
        <v>MC74VHC157DTR2G</v>
      </c>
      <c r="B32140" s="3" t="s">
        <v>95</v>
      </c>
      <c r="C32140" s="6">
        <v>50000</v>
      </c>
      <c r="D32140" s="7">
        <v>0.85</v>
      </c>
      <c r="E32140" t="s">
        <v>20</v>
      </c>
    </row>
    <row r="32141" spans="1:5" x14ac:dyDescent="0.25">
      <c r="A32141" t="str">
        <f>HYPERLINK("https://www.773grp.com/globalSearch/MC74VHC4051D/page-1", "MC74VHC4051D")</f>
        <v>MC74VHC4051D</v>
      </c>
      <c r="B32141" s="3" t="s">
        <v>95</v>
      </c>
      <c r="C32141" s="6">
        <v>9853</v>
      </c>
      <c r="D32141" s="7">
        <v>0.85</v>
      </c>
      <c r="E32141" t="s">
        <v>56</v>
      </c>
    </row>
    <row r="32142" spans="1:5" x14ac:dyDescent="0.25">
      <c r="A32142" t="str">
        <f>HYPERLINK("https://www.773grp.com/globalSearch/MC74VHC4051DT/page-1", "MC74VHC4051DT")</f>
        <v>MC74VHC4051DT</v>
      </c>
      <c r="B32142" s="3" t="s">
        <v>95</v>
      </c>
      <c r="C32142" s="6">
        <v>1264</v>
      </c>
      <c r="D32142" s="7">
        <v>0.85</v>
      </c>
      <c r="E32142" t="s">
        <v>56</v>
      </c>
    </row>
    <row r="32143" spans="1:5" x14ac:dyDescent="0.25">
      <c r="A32143" t="str">
        <f>HYPERLINK("https://www.773grp.com/globalSearch/MC74VHC4052D/page-1", "MC74VHC4052D")</f>
        <v>MC74VHC4052D</v>
      </c>
      <c r="B32143" s="3" t="s">
        <v>95</v>
      </c>
      <c r="C32143" s="6">
        <v>11664</v>
      </c>
      <c r="D32143" s="7">
        <v>0.85</v>
      </c>
      <c r="E32143" t="s">
        <v>56</v>
      </c>
    </row>
    <row r="32144" spans="1:5" x14ac:dyDescent="0.25">
      <c r="A32144" t="str">
        <f>HYPERLINK("https://www.773grp.com/globalSearch/MC74VHC4053DT/page-1", "MC74VHC4053DT")</f>
        <v>MC74VHC4053DT</v>
      </c>
      <c r="B32144" s="3" t="s">
        <v>95</v>
      </c>
      <c r="C32144" s="6">
        <v>1288</v>
      </c>
      <c r="D32144" s="7">
        <v>0.85</v>
      </c>
      <c r="E32144" t="s">
        <v>56</v>
      </c>
    </row>
    <row r="32145" spans="1:5" x14ac:dyDescent="0.25">
      <c r="A32145" t="str">
        <f>HYPERLINK("https://www.773grp.com/globalSearch/MC74VHC4053DT/page-1", "MC74VHC4053DT")</f>
        <v>MC74VHC4053DT</v>
      </c>
      <c r="B32145" s="3" t="s">
        <v>95</v>
      </c>
      <c r="C32145" s="6">
        <v>960</v>
      </c>
      <c r="D32145" s="7">
        <v>0.85</v>
      </c>
      <c r="E32145" t="s">
        <v>56</v>
      </c>
    </row>
    <row r="32146" spans="1:5" x14ac:dyDescent="0.25">
      <c r="A32146" t="str">
        <f>HYPERLINK("https://www.773grp.com/globalSearch/MC74VHC595DR2/page-1", "MC74VHC595DR2")</f>
        <v>MC74VHC595DR2</v>
      </c>
      <c r="B32146" s="3" t="s">
        <v>95</v>
      </c>
      <c r="C32146" s="6">
        <v>5000</v>
      </c>
      <c r="D32146" s="7">
        <v>0.85</v>
      </c>
      <c r="E32146" t="s">
        <v>32</v>
      </c>
    </row>
    <row r="32147" spans="1:5" x14ac:dyDescent="0.25">
      <c r="A32147" t="str">
        <f>HYPERLINK("https://www.773grp.com/globalSearch/MC74VHC595MEL/page-1", "MC74VHC595MEL")</f>
        <v>MC74VHC595MEL</v>
      </c>
      <c r="B32147" s="3" t="s">
        <v>95</v>
      </c>
      <c r="C32147" s="6">
        <v>2000</v>
      </c>
      <c r="D32147" s="7">
        <v>0.85</v>
      </c>
      <c r="E32147" t="s">
        <v>32</v>
      </c>
    </row>
    <row r="32148" spans="1:5" x14ac:dyDescent="0.25">
      <c r="A32148" t="str">
        <f>HYPERLINK("https://www.773grp.com/globalSearch/MC78L05ACPG/page-1", "MC78L05ACPG")</f>
        <v>MC78L05ACPG</v>
      </c>
      <c r="B32148" s="3" t="s">
        <v>95</v>
      </c>
      <c r="C32148" s="6">
        <v>41708</v>
      </c>
      <c r="D32148" s="7">
        <v>0.85</v>
      </c>
      <c r="E32148" t="s">
        <v>28</v>
      </c>
    </row>
    <row r="32149" spans="1:5" x14ac:dyDescent="0.25">
      <c r="A32149" t="str">
        <f>HYPERLINK("https://www.773grp.com/globalSearch/MC78L05ACPRAG/page-1", "MC78L05ACPRAG")</f>
        <v>MC78L05ACPRAG</v>
      </c>
      <c r="B32149" s="3" t="s">
        <v>95</v>
      </c>
      <c r="C32149" s="6">
        <v>163681</v>
      </c>
      <c r="D32149" s="7">
        <v>0.85</v>
      </c>
      <c r="E32149" t="s">
        <v>28</v>
      </c>
    </row>
    <row r="32150" spans="1:5" x14ac:dyDescent="0.25">
      <c r="A32150" t="str">
        <f>HYPERLINK("https://www.773grp.com/globalSearch/MC78L05ACPREG/page-1", "MC78L05ACPREG")</f>
        <v>MC78L05ACPREG</v>
      </c>
      <c r="B32150" s="3" t="s">
        <v>95</v>
      </c>
      <c r="C32150" s="6">
        <v>14360</v>
      </c>
      <c r="D32150" s="7">
        <v>0.85</v>
      </c>
      <c r="E32150" t="s">
        <v>28</v>
      </c>
    </row>
    <row r="32151" spans="1:5" x14ac:dyDescent="0.25">
      <c r="A32151" t="str">
        <f>HYPERLINK("https://www.773grp.com/globalSearch/MC78L05ACPRMG/page-1", "MC78L05ACPRMG")</f>
        <v>MC78L05ACPRMG</v>
      </c>
      <c r="B32151" s="3" t="s">
        <v>95</v>
      </c>
      <c r="C32151" s="6">
        <v>31815</v>
      </c>
      <c r="D32151" s="7">
        <v>0.85</v>
      </c>
      <c r="E32151" t="s">
        <v>28</v>
      </c>
    </row>
    <row r="32152" spans="1:5" x14ac:dyDescent="0.25">
      <c r="A32152" t="str">
        <f>HYPERLINK("https://www.773grp.com/globalSearch/MC78L05ACPRPG/page-1", "MC78L05ACPRPG")</f>
        <v>MC78L05ACPRPG</v>
      </c>
      <c r="B32152" s="3" t="s">
        <v>95</v>
      </c>
      <c r="C32152" s="6">
        <v>111500</v>
      </c>
      <c r="D32152" s="7">
        <v>0.85</v>
      </c>
      <c r="E32152" t="s">
        <v>28</v>
      </c>
    </row>
    <row r="32153" spans="1:5" x14ac:dyDescent="0.25">
      <c r="A32153" t="str">
        <f>HYPERLINK("https://www.773grp.com/globalSearch/MC78L08ACPG/page-1", "MC78L08ACPG")</f>
        <v>MC78L08ACPG</v>
      </c>
      <c r="B32153" s="3" t="s">
        <v>95</v>
      </c>
      <c r="C32153" s="6">
        <v>102927</v>
      </c>
      <c r="D32153" s="7">
        <v>0.85</v>
      </c>
      <c r="E32153" t="s">
        <v>28</v>
      </c>
    </row>
    <row r="32154" spans="1:5" x14ac:dyDescent="0.25">
      <c r="A32154" t="str">
        <f>HYPERLINK("https://www.773grp.com/globalSearch/MC78L08ACPRAG/page-1", "MC78L08ACPRAG")</f>
        <v>MC78L08ACPRAG</v>
      </c>
      <c r="B32154" s="3" t="s">
        <v>95</v>
      </c>
      <c r="C32154" s="6">
        <v>31458</v>
      </c>
      <c r="D32154" s="7">
        <v>0.85</v>
      </c>
      <c r="E32154" t="s">
        <v>28</v>
      </c>
    </row>
    <row r="32155" spans="1:5" x14ac:dyDescent="0.25">
      <c r="A32155" t="str">
        <f>HYPERLINK("https://www.773grp.com/globalSearch/MC78L08ACPRPG/page-1", "MC78L08ACPRPG")</f>
        <v>MC78L08ACPRPG</v>
      </c>
      <c r="B32155" s="3" t="s">
        <v>95</v>
      </c>
      <c r="C32155" s="6">
        <v>8000</v>
      </c>
      <c r="D32155" s="7">
        <v>0.85</v>
      </c>
      <c r="E32155" t="s">
        <v>28</v>
      </c>
    </row>
    <row r="32156" spans="1:5" x14ac:dyDescent="0.25">
      <c r="A32156" t="str">
        <f>HYPERLINK("https://www.773grp.com/globalSearch/MC78L09ACPG/page-1", "MC78L09ACPG")</f>
        <v>MC78L09ACPG</v>
      </c>
      <c r="B32156" s="3" t="s">
        <v>95</v>
      </c>
      <c r="C32156" s="6">
        <v>27626</v>
      </c>
      <c r="D32156" s="7">
        <v>0.85</v>
      </c>
      <c r="E32156" t="s">
        <v>28</v>
      </c>
    </row>
    <row r="32157" spans="1:5" x14ac:dyDescent="0.25">
      <c r="A32157" t="str">
        <f>HYPERLINK("https://www.773grp.com/globalSearch/MC78L12ACPG/page-1", "MC78L12ACPG")</f>
        <v>MC78L12ACPG</v>
      </c>
      <c r="B32157" s="3" t="s">
        <v>95</v>
      </c>
      <c r="C32157" s="6">
        <v>72468</v>
      </c>
      <c r="D32157" s="7">
        <v>0.85</v>
      </c>
      <c r="E32157" t="s">
        <v>28</v>
      </c>
    </row>
    <row r="32158" spans="1:5" x14ac:dyDescent="0.25">
      <c r="A32158" t="str">
        <f>HYPERLINK("https://www.773grp.com/globalSearch/MC78L12ACPRAG/page-1", "MC78L12ACPRAG")</f>
        <v>MC78L12ACPRAG</v>
      </c>
      <c r="B32158" s="3" t="s">
        <v>95</v>
      </c>
      <c r="C32158" s="6">
        <v>25584</v>
      </c>
      <c r="D32158" s="7">
        <v>0.85</v>
      </c>
      <c r="E32158" t="s">
        <v>28</v>
      </c>
    </row>
    <row r="32159" spans="1:5" x14ac:dyDescent="0.25">
      <c r="A32159" t="str">
        <f>HYPERLINK("https://www.773grp.com/globalSearch/MC78L12ACPREG/page-1", "MC78L12ACPREG")</f>
        <v>MC78L12ACPREG</v>
      </c>
      <c r="B32159" s="3" t="s">
        <v>95</v>
      </c>
      <c r="C32159" s="6">
        <v>6000</v>
      </c>
      <c r="D32159" s="7">
        <v>0.85</v>
      </c>
      <c r="E32159" t="s">
        <v>28</v>
      </c>
    </row>
    <row r="32160" spans="1:5" x14ac:dyDescent="0.25">
      <c r="A32160" t="str">
        <f>HYPERLINK("https://www.773grp.com/globalSearch/MC78L12ACPRMG/page-1", "MC78L12ACPRMG")</f>
        <v>MC78L12ACPRMG</v>
      </c>
      <c r="B32160" s="3" t="s">
        <v>95</v>
      </c>
      <c r="C32160" s="6">
        <v>21615</v>
      </c>
      <c r="D32160" s="7">
        <v>0.85</v>
      </c>
      <c r="E32160" t="s">
        <v>28</v>
      </c>
    </row>
    <row r="32161" spans="1:5" x14ac:dyDescent="0.25">
      <c r="A32161" t="str">
        <f>HYPERLINK("https://www.773grp.com/globalSearch/MC78L12ACPRPG/page-1", "MC78L12ACPRPG")</f>
        <v>MC78L12ACPRPG</v>
      </c>
      <c r="B32161" s="3" t="s">
        <v>95</v>
      </c>
      <c r="C32161" s="6">
        <v>17000</v>
      </c>
      <c r="D32161" s="7">
        <v>0.85</v>
      </c>
      <c r="E32161" t="s">
        <v>28</v>
      </c>
    </row>
    <row r="32162" spans="1:5" x14ac:dyDescent="0.25">
      <c r="A32162" t="str">
        <f>HYPERLINK("https://www.773grp.com/globalSearch/MC78L15ACPG/page-1", "MC78L15ACPG")</f>
        <v>MC78L15ACPG</v>
      </c>
      <c r="B32162" s="3" t="s">
        <v>95</v>
      </c>
      <c r="C32162" s="6">
        <v>103261</v>
      </c>
      <c r="D32162" s="7">
        <v>0.85</v>
      </c>
      <c r="E32162" t="s">
        <v>28</v>
      </c>
    </row>
    <row r="32163" spans="1:5" x14ac:dyDescent="0.25">
      <c r="A32163" t="str">
        <f>HYPERLINK("https://www.773grp.com/globalSearch/MC78L15ACPRAG/page-1", "MC78L15ACPRAG")</f>
        <v>MC78L15ACPRAG</v>
      </c>
      <c r="B32163" s="3" t="s">
        <v>95</v>
      </c>
      <c r="C32163" s="6">
        <v>26000</v>
      </c>
      <c r="D32163" s="7">
        <v>0.85</v>
      </c>
      <c r="E32163" t="s">
        <v>28</v>
      </c>
    </row>
    <row r="32164" spans="1:5" x14ac:dyDescent="0.25">
      <c r="A32164" t="str">
        <f>HYPERLINK("https://www.773grp.com/globalSearch/MC78L15ACPRPG/page-1", "MC78L15ACPRPG")</f>
        <v>MC78L15ACPRPG</v>
      </c>
      <c r="B32164" s="3" t="s">
        <v>95</v>
      </c>
      <c r="C32164" s="6">
        <v>7502</v>
      </c>
      <c r="D32164" s="7">
        <v>0.85</v>
      </c>
      <c r="E32164" t="s">
        <v>28</v>
      </c>
    </row>
    <row r="32165" spans="1:5" x14ac:dyDescent="0.25">
      <c r="A32165" t="str">
        <f>HYPERLINK("https://www.773grp.com/globalSearch/MC78L18ACPG/page-1", "MC78L18ACPG")</f>
        <v>MC78L18ACPG</v>
      </c>
      <c r="B32165" s="3" t="s">
        <v>95</v>
      </c>
      <c r="C32165" s="6">
        <v>20678</v>
      </c>
      <c r="D32165" s="7">
        <v>0.85</v>
      </c>
      <c r="E32165" t="s">
        <v>28</v>
      </c>
    </row>
    <row r="32166" spans="1:5" x14ac:dyDescent="0.25">
      <c r="A32166" t="str">
        <f>HYPERLINK("https://www.773grp.com/globalSearch/MC78L18ACPRAG/page-1", "MC78L18ACPRAG")</f>
        <v>MC78L18ACPRAG</v>
      </c>
      <c r="B32166" s="3" t="s">
        <v>95</v>
      </c>
      <c r="C32166" s="6">
        <v>8000</v>
      </c>
      <c r="D32166" s="7">
        <v>0.85</v>
      </c>
      <c r="E32166" t="s">
        <v>28</v>
      </c>
    </row>
    <row r="32167" spans="1:5" x14ac:dyDescent="0.25">
      <c r="A32167" t="str">
        <f>HYPERLINK("https://www.773grp.com/globalSearch/MC78L18ACPRPG/page-1", "MC78L18ACPRPG")</f>
        <v>MC78L18ACPRPG</v>
      </c>
      <c r="B32167" s="3" t="s">
        <v>95</v>
      </c>
      <c r="C32167" s="6">
        <v>441</v>
      </c>
      <c r="D32167" s="7">
        <v>0.85</v>
      </c>
      <c r="E32167" t="s">
        <v>28</v>
      </c>
    </row>
    <row r="32168" spans="1:5" x14ac:dyDescent="0.25">
      <c r="A32168" t="str">
        <f>HYPERLINK("https://www.773grp.com/globalSearch/MC78L24ACPG/page-1", "MC78L24ACPG")</f>
        <v>MC78L24ACPG</v>
      </c>
      <c r="B32168" s="3" t="s">
        <v>95</v>
      </c>
      <c r="C32168" s="6">
        <v>33813</v>
      </c>
      <c r="D32168" s="7">
        <v>0.85</v>
      </c>
      <c r="E32168" t="s">
        <v>28</v>
      </c>
    </row>
    <row r="32169" spans="1:5" x14ac:dyDescent="0.25">
      <c r="A32169" t="str">
        <f>HYPERLINK("https://www.773grp.com/globalSearch/MC79L05ACPG/page-1", "MC79L05ACPG")</f>
        <v>MC79L05ACPG</v>
      </c>
      <c r="B32169" s="3" t="s">
        <v>95</v>
      </c>
      <c r="C32169" s="6">
        <v>51007</v>
      </c>
      <c r="D32169" s="7">
        <v>0.85</v>
      </c>
      <c r="E32169" t="s">
        <v>65</v>
      </c>
    </row>
    <row r="32170" spans="1:5" x14ac:dyDescent="0.25">
      <c r="A32170" t="str">
        <f>HYPERLINK("https://www.773grp.com/globalSearch/MC79L05ACPRAG/page-1", "MC79L05ACPRAG")</f>
        <v>MC79L05ACPRAG</v>
      </c>
      <c r="B32170" s="3" t="s">
        <v>95</v>
      </c>
      <c r="C32170" s="6">
        <v>808</v>
      </c>
      <c r="D32170" s="7">
        <v>0.85</v>
      </c>
    </row>
    <row r="32171" spans="1:5" x14ac:dyDescent="0.25">
      <c r="A32171" t="str">
        <f>HYPERLINK("https://www.773grp.com/globalSearch/MC79L05ACPRMG/page-1", "MC79L05ACPRMG")</f>
        <v>MC79L05ACPRMG</v>
      </c>
      <c r="B32171" s="3" t="s">
        <v>95</v>
      </c>
      <c r="C32171" s="6">
        <v>18000</v>
      </c>
      <c r="D32171" s="7">
        <v>0.85</v>
      </c>
      <c r="E32171" t="s">
        <v>65</v>
      </c>
    </row>
    <row r="32172" spans="1:5" x14ac:dyDescent="0.25">
      <c r="A32172" t="str">
        <f>HYPERLINK("https://www.773grp.com/globalSearch/MC79L05ACPRPG/page-1", "MC79L05ACPRPG")</f>
        <v>MC79L05ACPRPG</v>
      </c>
      <c r="B32172" s="3" t="s">
        <v>95</v>
      </c>
      <c r="C32172" s="6">
        <v>8000</v>
      </c>
      <c r="D32172" s="7">
        <v>0.85</v>
      </c>
      <c r="E32172" t="s">
        <v>65</v>
      </c>
    </row>
    <row r="32173" spans="1:5" x14ac:dyDescent="0.25">
      <c r="A32173" t="str">
        <f>HYPERLINK("https://www.773grp.com/globalSearch/MC79L12ACPG/page-1", "MC79L12ACPG")</f>
        <v>MC79L12ACPG</v>
      </c>
      <c r="B32173" s="3" t="s">
        <v>95</v>
      </c>
      <c r="C32173" s="6">
        <v>19169</v>
      </c>
      <c r="D32173" s="7">
        <v>0.85</v>
      </c>
      <c r="E32173" t="s">
        <v>65</v>
      </c>
    </row>
    <row r="32174" spans="1:5" x14ac:dyDescent="0.25">
      <c r="A32174" t="str">
        <f>HYPERLINK("https://www.773grp.com/globalSearch/MC79L12ACPRAG/page-1", "MC79L12ACPRAG")</f>
        <v>MC79L12ACPRAG</v>
      </c>
      <c r="B32174" s="3" t="s">
        <v>95</v>
      </c>
      <c r="C32174" s="6">
        <v>6000</v>
      </c>
      <c r="D32174" s="7">
        <v>0.85</v>
      </c>
      <c r="E32174" t="s">
        <v>65</v>
      </c>
    </row>
    <row r="32175" spans="1:5" x14ac:dyDescent="0.25">
      <c r="A32175" t="str">
        <f>HYPERLINK("https://www.773grp.com/globalSearch/MC79L12ACPRPG/page-1", "MC79L12ACPRPG")</f>
        <v>MC79L12ACPRPG</v>
      </c>
      <c r="B32175" s="3" t="s">
        <v>95</v>
      </c>
      <c r="C32175" s="6">
        <v>26000</v>
      </c>
      <c r="D32175" s="7">
        <v>0.85</v>
      </c>
      <c r="E32175" t="s">
        <v>65</v>
      </c>
    </row>
    <row r="32176" spans="1:5" x14ac:dyDescent="0.25">
      <c r="A32176" t="str">
        <f>HYPERLINK("https://www.773grp.com/globalSearch/MC79L15ACPG/page-1", "MC79L15ACPG")</f>
        <v>MC79L15ACPG</v>
      </c>
      <c r="B32176" s="3" t="s">
        <v>95</v>
      </c>
      <c r="C32176" s="6">
        <v>125</v>
      </c>
      <c r="D32176" s="7">
        <v>0.85</v>
      </c>
      <c r="E32176" t="s">
        <v>65</v>
      </c>
    </row>
    <row r="32177" spans="1:5" x14ac:dyDescent="0.25">
      <c r="A32177" t="str">
        <f>HYPERLINK("https://www.773grp.com/globalSearch/MC79L15ACPRAG/page-1", "MC79L15ACPRAG")</f>
        <v>MC79L15ACPRAG</v>
      </c>
      <c r="B32177" s="3" t="s">
        <v>95</v>
      </c>
      <c r="C32177" s="6">
        <v>9800</v>
      </c>
      <c r="D32177" s="7">
        <v>0.85</v>
      </c>
      <c r="E32177" t="s">
        <v>65</v>
      </c>
    </row>
    <row r="32178" spans="1:5" x14ac:dyDescent="0.25">
      <c r="A32178" t="str">
        <f>HYPERLINK("https://www.773grp.com/globalSearch/MC79L15ACPRPG/page-1", "MC79L15ACPRPG")</f>
        <v>MC79L15ACPRPG</v>
      </c>
      <c r="B32178" s="3" t="s">
        <v>95</v>
      </c>
      <c r="C32178" s="6">
        <v>22000</v>
      </c>
      <c r="D32178" s="7">
        <v>0.85</v>
      </c>
      <c r="E32178" t="s">
        <v>65</v>
      </c>
    </row>
    <row r="32179" spans="1:5" x14ac:dyDescent="0.25">
      <c r="A32179" t="str">
        <f>HYPERLINK("https://www.773grp.com/globalSearch/MC79L18ACPG/page-1", "MC79L18ACPG")</f>
        <v>MC79L18ACPG</v>
      </c>
      <c r="B32179" s="3" t="s">
        <v>95</v>
      </c>
      <c r="C32179" s="6">
        <v>16003</v>
      </c>
      <c r="D32179" s="7">
        <v>0.85</v>
      </c>
      <c r="E32179" t="s">
        <v>65</v>
      </c>
    </row>
    <row r="32180" spans="1:5" x14ac:dyDescent="0.25">
      <c r="A32180" t="str">
        <f>HYPERLINK("https://www.773grp.com/globalSearch/MC79L24ACPG/page-1", "MC79L24ACPG")</f>
        <v>MC79L24ACPG</v>
      </c>
      <c r="B32180" s="3" t="s">
        <v>95</v>
      </c>
      <c r="C32180" s="6">
        <v>448</v>
      </c>
      <c r="D32180" s="7">
        <v>0.85</v>
      </c>
      <c r="E32180" t="s">
        <v>65</v>
      </c>
    </row>
    <row r="32181" spans="1:5" x14ac:dyDescent="0.25">
      <c r="A32181" t="str">
        <f>HYPERLINK("https://www.773grp.com/globalSearch/MC79L24ACPRMG/page-1", "MC79L24ACPRMG")</f>
        <v>MC79L24ACPRMG</v>
      </c>
      <c r="B32181" s="3" t="s">
        <v>95</v>
      </c>
      <c r="C32181" s="6">
        <v>2000</v>
      </c>
      <c r="D32181" s="7">
        <v>0.85</v>
      </c>
      <c r="E32181" t="s">
        <v>65</v>
      </c>
    </row>
    <row r="32182" spans="1:5" x14ac:dyDescent="0.25">
      <c r="A32182" t="str">
        <f>HYPERLINK("https://www.773grp.com/globalSearch/MC79L24ACPRPG/page-1", "MC79L24ACPRPG")</f>
        <v>MC79L24ACPRPG</v>
      </c>
      <c r="B32182" s="3" t="s">
        <v>95</v>
      </c>
      <c r="C32182" s="6">
        <v>4924</v>
      </c>
      <c r="D32182" s="7">
        <v>0.85</v>
      </c>
      <c r="E32182" t="s">
        <v>65</v>
      </c>
    </row>
    <row r="32183" spans="1:5" x14ac:dyDescent="0.25">
      <c r="A32183" t="str">
        <f>HYPERLINK("https://www.773grp.com/globalSearch/MCR506-002/page-1", "MCR506-002")</f>
        <v>MCR506-002</v>
      </c>
      <c r="B32183" s="3" t="s">
        <v>95</v>
      </c>
      <c r="C32183" s="6">
        <v>2000</v>
      </c>
      <c r="D32183" s="7">
        <v>0.85</v>
      </c>
    </row>
    <row r="32184" spans="1:5" x14ac:dyDescent="0.25">
      <c r="A32184" t="str">
        <f>HYPERLINK("https://www.773grp.com/globalSearch/MDC3237T1/page-1", "MDC3237T1")</f>
        <v>MDC3237T1</v>
      </c>
      <c r="B32184" s="3" t="s">
        <v>95</v>
      </c>
      <c r="C32184" s="6">
        <v>3000</v>
      </c>
      <c r="D32184" s="7">
        <v>0.85</v>
      </c>
      <c r="E32184" t="s">
        <v>69</v>
      </c>
    </row>
    <row r="32185" spans="1:5" x14ac:dyDescent="0.25">
      <c r="A32185" t="str">
        <f>HYPERLINK("https://www.773grp.com/globalSearch/MJD350G/page-1", "MJD350G")</f>
        <v>MJD350G</v>
      </c>
      <c r="B32185" s="3" t="s">
        <v>95</v>
      </c>
      <c r="C32185" s="6">
        <v>1690</v>
      </c>
      <c r="D32185" s="7">
        <v>0.85</v>
      </c>
      <c r="E32185" t="s">
        <v>59</v>
      </c>
    </row>
    <row r="32186" spans="1:5" x14ac:dyDescent="0.25">
      <c r="A32186" t="str">
        <f>HYPERLINK("https://www.773grp.com/globalSearch/MJD350T4G/page-1", "MJD350T4G")</f>
        <v>MJD350T4G</v>
      </c>
      <c r="B32186" s="3" t="s">
        <v>95</v>
      </c>
      <c r="C32186" s="6">
        <v>49998</v>
      </c>
      <c r="D32186" s="7">
        <v>0.85</v>
      </c>
      <c r="E32186" t="s">
        <v>59</v>
      </c>
    </row>
    <row r="32187" spans="1:5" x14ac:dyDescent="0.25">
      <c r="A32187" t="str">
        <f>HYPERLINK("https://www.773grp.com/globalSearch/MJE350G/page-1", "MJE350G")</f>
        <v>MJE350G</v>
      </c>
      <c r="B32187" s="3" t="s">
        <v>95</v>
      </c>
      <c r="C32187" s="6">
        <v>27040</v>
      </c>
      <c r="D32187" s="7">
        <v>0.85</v>
      </c>
      <c r="E32187" t="s">
        <v>59</v>
      </c>
    </row>
    <row r="32188" spans="1:5" x14ac:dyDescent="0.25">
      <c r="A32188" t="str">
        <f>HYPERLINK("https://www.773grp.com/globalSearch/MPS650G/page-1", "MPS650G")</f>
        <v>MPS650G</v>
      </c>
      <c r="B32188" s="3" t="s">
        <v>95</v>
      </c>
      <c r="C32188" s="6">
        <v>60703</v>
      </c>
      <c r="D32188" s="7">
        <v>0.85</v>
      </c>
      <c r="E32188" t="s">
        <v>69</v>
      </c>
    </row>
    <row r="32189" spans="1:5" x14ac:dyDescent="0.25">
      <c r="A32189" t="str">
        <f>HYPERLINK("https://www.773grp.com/globalSearch/MPS650RLRAG/page-1", "MPS650RLRAG")</f>
        <v>MPS650RLRAG</v>
      </c>
      <c r="B32189" s="3" t="s">
        <v>95</v>
      </c>
      <c r="C32189" s="6">
        <v>913</v>
      </c>
      <c r="D32189" s="7">
        <v>0.85</v>
      </c>
      <c r="E32189" t="s">
        <v>69</v>
      </c>
    </row>
    <row r="32190" spans="1:5" x14ac:dyDescent="0.25">
      <c r="A32190" t="str">
        <f>HYPERLINK("https://www.773grp.com/globalSearch/MPS651G/page-1", "MPS651G")</f>
        <v>MPS651G</v>
      </c>
      <c r="B32190" s="3" t="s">
        <v>95</v>
      </c>
      <c r="C32190" s="6">
        <v>84853</v>
      </c>
      <c r="D32190" s="7">
        <v>0.85</v>
      </c>
      <c r="E32190" t="s">
        <v>69</v>
      </c>
    </row>
    <row r="32191" spans="1:5" x14ac:dyDescent="0.25">
      <c r="A32191" t="str">
        <f>HYPERLINK("https://www.773grp.com/globalSearch/MPS651RLRAG/page-1", "MPS651RLRAG")</f>
        <v>MPS651RLRAG</v>
      </c>
      <c r="B32191" s="3" t="s">
        <v>95</v>
      </c>
      <c r="C32191" s="6">
        <v>48000</v>
      </c>
      <c r="D32191" s="7">
        <v>0.85</v>
      </c>
      <c r="E32191" t="s">
        <v>69</v>
      </c>
    </row>
    <row r="32192" spans="1:5" x14ac:dyDescent="0.25">
      <c r="A32192" t="str">
        <f>HYPERLINK("https://www.773grp.com/globalSearch/MPS651RLRMG/page-1", "MPS651RLRMG")</f>
        <v>MPS651RLRMG</v>
      </c>
      <c r="B32192" s="3" t="s">
        <v>95</v>
      </c>
      <c r="C32192" s="6">
        <v>1850</v>
      </c>
      <c r="D32192" s="7">
        <v>0.85</v>
      </c>
      <c r="E32192" t="s">
        <v>69</v>
      </c>
    </row>
    <row r="32193" spans="1:5" x14ac:dyDescent="0.25">
      <c r="A32193" t="str">
        <f>HYPERLINK("https://www.773grp.com/globalSearch/MPS750RLRPG/page-1", "MPS750RLRPG")</f>
        <v>MPS750RLRPG</v>
      </c>
      <c r="B32193" s="3" t="s">
        <v>95</v>
      </c>
      <c r="C32193" s="6">
        <v>8000</v>
      </c>
      <c r="D32193" s="7">
        <v>0.85</v>
      </c>
    </row>
    <row r="32194" spans="1:5" x14ac:dyDescent="0.25">
      <c r="A32194" t="str">
        <f>HYPERLINK("https://www.773grp.com/globalSearch/MPS751G/page-1", "MPS751G")</f>
        <v>MPS751G</v>
      </c>
      <c r="B32194" s="3" t="s">
        <v>95</v>
      </c>
      <c r="C32194" s="6">
        <v>31090</v>
      </c>
      <c r="D32194" s="7">
        <v>0.85</v>
      </c>
      <c r="E32194" t="s">
        <v>69</v>
      </c>
    </row>
    <row r="32195" spans="1:5" x14ac:dyDescent="0.25">
      <c r="A32195" t="str">
        <f>HYPERLINK("https://www.773grp.com/globalSearch/MPS751RLRAG/page-1", "MPS751RLRAG")</f>
        <v>MPS751RLRAG</v>
      </c>
      <c r="B32195" s="3" t="s">
        <v>95</v>
      </c>
      <c r="C32195" s="6">
        <v>138476</v>
      </c>
      <c r="D32195" s="7">
        <v>0.85</v>
      </c>
      <c r="E32195" t="s">
        <v>69</v>
      </c>
    </row>
    <row r="32196" spans="1:5" x14ac:dyDescent="0.25">
      <c r="A32196" t="str">
        <f>HYPERLINK("https://www.773grp.com/globalSearch/MPS751RLRPG/page-1", "MPS751RLRPG")</f>
        <v>MPS751RLRPG</v>
      </c>
      <c r="B32196" s="3" t="s">
        <v>95</v>
      </c>
      <c r="C32196" s="6">
        <v>3000</v>
      </c>
      <c r="D32196" s="7">
        <v>0.85</v>
      </c>
      <c r="E32196" t="s">
        <v>69</v>
      </c>
    </row>
    <row r="32197" spans="1:5" x14ac:dyDescent="0.25">
      <c r="A32197" t="str">
        <f>HYPERLINK("https://www.773grp.com/globalSearch/MPS751ZL1G/page-1", "MPS751ZL1G")</f>
        <v>MPS751ZL1G</v>
      </c>
      <c r="B32197" s="3" t="s">
        <v>95</v>
      </c>
      <c r="C32197" s="6">
        <v>22000</v>
      </c>
      <c r="D32197" s="7">
        <v>0.85</v>
      </c>
      <c r="E32197" t="s">
        <v>69</v>
      </c>
    </row>
    <row r="32198" spans="1:5" x14ac:dyDescent="0.25">
      <c r="A32198" t="str">
        <f>HYPERLINK("https://www.773grp.com/globalSearch/MPSA44RL1G/page-1", "MPSA44RL1G")</f>
        <v>MPSA44RL1G</v>
      </c>
      <c r="B32198" s="3" t="s">
        <v>95</v>
      </c>
      <c r="C32198" s="6">
        <v>2050</v>
      </c>
      <c r="D32198" s="7">
        <v>0.85</v>
      </c>
    </row>
    <row r="32199" spans="1:5" x14ac:dyDescent="0.25">
      <c r="A32199" t="str">
        <f>HYPERLINK("https://www.773grp.com/globalSearch/MPSA44RLRAG/page-1", "MPSA44RLRAG")</f>
        <v>MPSA44RLRAG</v>
      </c>
      <c r="B32199" s="3" t="s">
        <v>95</v>
      </c>
      <c r="C32199" s="6">
        <v>10000</v>
      </c>
      <c r="D32199" s="7">
        <v>0.85</v>
      </c>
    </row>
    <row r="32200" spans="1:5" x14ac:dyDescent="0.25">
      <c r="A32200" t="str">
        <f>HYPERLINK("https://www.773grp.com/globalSearch/MTDF1N03HDR2/page-1", "MTDF1N03HDR2")</f>
        <v>MTDF1N03HDR2</v>
      </c>
      <c r="B32200" s="3" t="s">
        <v>95</v>
      </c>
      <c r="C32200" s="6">
        <v>5700</v>
      </c>
      <c r="D32200" s="7">
        <v>0.85</v>
      </c>
      <c r="E32200" t="s">
        <v>106</v>
      </c>
    </row>
    <row r="32201" spans="1:5" x14ac:dyDescent="0.25">
      <c r="A32201" t="str">
        <f>HYPERLINK("https://www.773grp.com/globalSearch/MZP4746ARLG/page-1", "MZP4746ARLG")</f>
        <v>MZP4746ARLG</v>
      </c>
      <c r="B32201" s="3" t="s">
        <v>95</v>
      </c>
      <c r="C32201" s="6">
        <v>19179</v>
      </c>
      <c r="D32201" s="7">
        <v>0.85</v>
      </c>
      <c r="E32201" t="s">
        <v>98</v>
      </c>
    </row>
    <row r="32202" spans="1:5" x14ac:dyDescent="0.25">
      <c r="A32202" t="str">
        <f>HYPERLINK("https://www.773grp.com/globalSearch/NCP1450ASN27T1/page-1", "NCP1450ASN27T1")</f>
        <v>NCP1450ASN27T1</v>
      </c>
      <c r="B32202" s="3" t="s">
        <v>95</v>
      </c>
      <c r="C32202" s="6">
        <v>48000</v>
      </c>
      <c r="D32202" s="7">
        <v>0.85</v>
      </c>
      <c r="E32202" t="s">
        <v>7</v>
      </c>
    </row>
    <row r="32203" spans="1:5" x14ac:dyDescent="0.25">
      <c r="A32203" t="str">
        <f>HYPERLINK("https://www.773grp.com/globalSearch/NCP1450ASN30T1/page-1", "NCP1450ASN30T1")</f>
        <v>NCP1450ASN30T1</v>
      </c>
      <c r="B32203" s="3" t="s">
        <v>95</v>
      </c>
      <c r="C32203" s="6">
        <v>2947</v>
      </c>
      <c r="D32203" s="7">
        <v>0.85</v>
      </c>
      <c r="E32203" t="s">
        <v>7</v>
      </c>
    </row>
    <row r="32204" spans="1:5" x14ac:dyDescent="0.25">
      <c r="A32204" t="str">
        <f>HYPERLINK("https://www.773grp.com/globalSearch/NCP1450ASN33T1/page-1", "NCP1450ASN33T1")</f>
        <v>NCP1450ASN33T1</v>
      </c>
      <c r="B32204" s="3" t="s">
        <v>95</v>
      </c>
      <c r="C32204" s="6">
        <v>894</v>
      </c>
      <c r="D32204" s="7">
        <v>0.85</v>
      </c>
      <c r="E32204" t="s">
        <v>7</v>
      </c>
    </row>
    <row r="32205" spans="1:5" x14ac:dyDescent="0.25">
      <c r="A32205" t="str">
        <f>HYPERLINK("https://www.773grp.com/globalSearch/NCP5359AMNR2G/page-1", "NCP5359AMNR2G")</f>
        <v>NCP5359AMNR2G</v>
      </c>
      <c r="B32205" s="3" t="s">
        <v>95</v>
      </c>
      <c r="C32205" s="6">
        <v>6000</v>
      </c>
      <c r="D32205" s="7">
        <v>0.85</v>
      </c>
    </row>
    <row r="32206" spans="1:5" x14ac:dyDescent="0.25">
      <c r="A32206" t="str">
        <f>HYPERLINK("https://www.773grp.com/globalSearch/NCP582LSQ28T1G/page-1", "NCP582LSQ28T1G")</f>
        <v>NCP582LSQ28T1G</v>
      </c>
      <c r="B32206" s="3" t="s">
        <v>95</v>
      </c>
      <c r="C32206" s="6">
        <v>11500</v>
      </c>
      <c r="D32206" s="7">
        <v>0.85</v>
      </c>
      <c r="E32206" t="s">
        <v>19</v>
      </c>
    </row>
    <row r="32207" spans="1:5" x14ac:dyDescent="0.25">
      <c r="A32207" t="str">
        <f>HYPERLINK("https://www.773grp.com/globalSearch/NCP582LSQ30T1G/page-1", "NCP582LSQ30T1G")</f>
        <v>NCP582LSQ30T1G</v>
      </c>
      <c r="B32207" s="3" t="s">
        <v>95</v>
      </c>
      <c r="C32207" s="6">
        <v>5505</v>
      </c>
      <c r="D32207" s="7">
        <v>0.85</v>
      </c>
      <c r="E32207" t="s">
        <v>19</v>
      </c>
    </row>
    <row r="32208" spans="1:5" x14ac:dyDescent="0.25">
      <c r="A32208" t="str">
        <f>HYPERLINK("https://www.773grp.com/globalSearch/NCP7805TG/page-1", "NCP7805TG")</f>
        <v>NCP7805TG</v>
      </c>
      <c r="B32208" s="3" t="s">
        <v>95</v>
      </c>
      <c r="C32208" s="6">
        <v>184499</v>
      </c>
      <c r="D32208" s="7">
        <v>0.85</v>
      </c>
    </row>
    <row r="32209" spans="1:5" x14ac:dyDescent="0.25">
      <c r="A32209" t="str">
        <f>HYPERLINK("https://www.773grp.com/globalSearch/NCP7808TG/page-1", "NCP7808TG")</f>
        <v>NCP7808TG</v>
      </c>
      <c r="B32209" s="3" t="s">
        <v>95</v>
      </c>
      <c r="C32209" s="6">
        <v>3050</v>
      </c>
      <c r="D32209" s="7">
        <v>0.85</v>
      </c>
    </row>
    <row r="32210" spans="1:5" x14ac:dyDescent="0.25">
      <c r="A32210" t="str">
        <f>HYPERLINK("https://www.773grp.com/globalSearch/NCP7812TG/page-1", "NCP7812TG")</f>
        <v>NCP7812TG</v>
      </c>
      <c r="B32210" s="3" t="s">
        <v>95</v>
      </c>
      <c r="C32210" s="6">
        <v>1249373</v>
      </c>
      <c r="D32210" s="7">
        <v>0.85</v>
      </c>
      <c r="E32210" t="s">
        <v>28</v>
      </c>
    </row>
    <row r="32211" spans="1:5" x14ac:dyDescent="0.25">
      <c r="A32211" t="str">
        <f>HYPERLINK("https://www.773grp.com/globalSearch/NCP7815TG/page-1", "NCP7815TG")</f>
        <v>NCP7815TG</v>
      </c>
      <c r="B32211" s="3" t="s">
        <v>95</v>
      </c>
      <c r="C32211" s="6">
        <v>3600</v>
      </c>
      <c r="D32211" s="7">
        <v>0.85</v>
      </c>
    </row>
    <row r="32212" spans="1:5" x14ac:dyDescent="0.25">
      <c r="A32212" t="str">
        <f>HYPERLINK("https://www.773grp.com/globalSearch/NCS2001SN1T1/page-1", "NCS2001SN1T1")</f>
        <v>NCS2001SN1T1</v>
      </c>
      <c r="B32212" s="3" t="s">
        <v>95</v>
      </c>
      <c r="C32212" s="6">
        <v>5927</v>
      </c>
      <c r="D32212" s="7">
        <v>0.85</v>
      </c>
      <c r="E32212" t="s">
        <v>13</v>
      </c>
    </row>
    <row r="32213" spans="1:5" x14ac:dyDescent="0.25">
      <c r="A32213" t="str">
        <f>HYPERLINK("https://www.773grp.com/globalSearch/NCS2002SN1T1/page-1", "NCS2002SN1T1")</f>
        <v>NCS2002SN1T1</v>
      </c>
      <c r="B32213" s="3" t="s">
        <v>95</v>
      </c>
      <c r="C32213" s="6">
        <v>1682</v>
      </c>
      <c r="D32213" s="7">
        <v>0.85</v>
      </c>
      <c r="E32213" t="s">
        <v>13</v>
      </c>
    </row>
    <row r="32214" spans="1:5" x14ac:dyDescent="0.25">
      <c r="A32214" t="str">
        <f>HYPERLINK("https://www.773grp.com/globalSearch/NCS2002SN2T1/page-1", "NCS2002SN2T1")</f>
        <v>NCS2002SN2T1</v>
      </c>
      <c r="B32214" s="3" t="s">
        <v>95</v>
      </c>
      <c r="C32214" s="6">
        <v>5945</v>
      </c>
      <c r="D32214" s="7">
        <v>0.85</v>
      </c>
      <c r="E32214" t="s">
        <v>13</v>
      </c>
    </row>
    <row r="32215" spans="1:5" x14ac:dyDescent="0.25">
      <c r="A32215" t="str">
        <f>HYPERLINK("https://www.773grp.com/globalSearch/NCS2201SN1T1/page-1", "NCS2201SN1T1")</f>
        <v>NCS2201SN1T1</v>
      </c>
      <c r="B32215" s="3" t="s">
        <v>95</v>
      </c>
      <c r="C32215" s="6">
        <v>11995</v>
      </c>
      <c r="D32215" s="7">
        <v>0.85</v>
      </c>
      <c r="E32215" t="s">
        <v>9</v>
      </c>
    </row>
    <row r="32216" spans="1:5" x14ac:dyDescent="0.25">
      <c r="A32216" t="str">
        <f>HYPERLINK("https://www.773grp.com/globalSearch/NCS2201SN1T1G/page-1", "NCS2201SN1T1G")</f>
        <v>NCS2201SN1T1G</v>
      </c>
      <c r="B32216" s="3" t="s">
        <v>95</v>
      </c>
      <c r="C32216" s="6">
        <v>15000</v>
      </c>
      <c r="D32216" s="7">
        <v>0.85</v>
      </c>
      <c r="E32216" t="s">
        <v>9</v>
      </c>
    </row>
    <row r="32217" spans="1:5" x14ac:dyDescent="0.25">
      <c r="A32217" t="str">
        <f>HYPERLINK("https://www.773grp.com/globalSearch/NCS2203SN1T1/page-1", "NCS2203SN1T1")</f>
        <v>NCS2203SN1T1</v>
      </c>
      <c r="B32217" s="3" t="s">
        <v>95</v>
      </c>
      <c r="C32217" s="6">
        <v>3000</v>
      </c>
      <c r="D32217" s="7">
        <v>0.85</v>
      </c>
      <c r="E32217" t="s">
        <v>9</v>
      </c>
    </row>
    <row r="32218" spans="1:5" x14ac:dyDescent="0.25">
      <c r="A32218" t="str">
        <f>HYPERLINK("https://www.773grp.com/globalSearch/NCS2203SN2T1/page-1", "NCS2203SN2T1")</f>
        <v>NCS2203SN2T1</v>
      </c>
      <c r="B32218" s="3" t="s">
        <v>95</v>
      </c>
      <c r="C32218" s="6">
        <v>18000</v>
      </c>
      <c r="D32218" s="7">
        <v>0.85</v>
      </c>
      <c r="E32218" t="s">
        <v>9</v>
      </c>
    </row>
    <row r="32219" spans="1:5" x14ac:dyDescent="0.25">
      <c r="A32219" t="str">
        <f>HYPERLINK("https://www.773grp.com/globalSearch/NCV2904DMR2G/page-1", "NCV2904DMR2G")</f>
        <v>NCV2904DMR2G</v>
      </c>
      <c r="B32219" s="3" t="s">
        <v>95</v>
      </c>
      <c r="C32219" s="6">
        <v>32000</v>
      </c>
      <c r="D32219" s="7">
        <v>0.85</v>
      </c>
    </row>
    <row r="32220" spans="1:5" x14ac:dyDescent="0.25">
      <c r="A32220" t="str">
        <f>HYPERLINK("https://www.773grp.com/globalSearch/NCV301LSN22T1/page-1", "NCV301LSN22T1")</f>
        <v>NCV301LSN22T1</v>
      </c>
      <c r="B32220" s="3" t="s">
        <v>95</v>
      </c>
      <c r="C32220" s="6">
        <v>12000</v>
      </c>
      <c r="D32220" s="7">
        <v>0.85</v>
      </c>
      <c r="E32220" t="s">
        <v>30</v>
      </c>
    </row>
    <row r="32221" spans="1:5" x14ac:dyDescent="0.25">
      <c r="A32221" t="str">
        <f>HYPERLINK("https://www.773grp.com/globalSearch/NLAS4051D/page-1", "NLAS4051D")</f>
        <v>NLAS4051D</v>
      </c>
      <c r="B32221" s="3" t="s">
        <v>95</v>
      </c>
      <c r="C32221" s="6">
        <v>2688</v>
      </c>
      <c r="D32221" s="7">
        <v>0.85</v>
      </c>
    </row>
    <row r="32222" spans="1:5" x14ac:dyDescent="0.25">
      <c r="A32222" t="str">
        <f>HYPERLINK("https://www.773grp.com/globalSearch/NLAS4051DR2/page-1", "NLAS4051DR2")</f>
        <v>NLAS4051DR2</v>
      </c>
      <c r="B32222" s="3" t="s">
        <v>95</v>
      </c>
      <c r="C32222" s="6">
        <v>2500</v>
      </c>
      <c r="D32222" s="7">
        <v>0.85</v>
      </c>
      <c r="E32222" t="s">
        <v>56</v>
      </c>
    </row>
    <row r="32223" spans="1:5" x14ac:dyDescent="0.25">
      <c r="A32223" t="str">
        <f>HYPERLINK("https://www.773grp.com/globalSearch/NLAS4052QSR/page-1", "NLAS4052QSR")</f>
        <v>NLAS4052QSR</v>
      </c>
      <c r="B32223" s="3" t="s">
        <v>95</v>
      </c>
      <c r="C32223" s="6">
        <v>10000</v>
      </c>
      <c r="D32223" s="7">
        <v>0.85</v>
      </c>
      <c r="E32223" t="s">
        <v>56</v>
      </c>
    </row>
    <row r="32224" spans="1:5" x14ac:dyDescent="0.25">
      <c r="A32224" t="str">
        <f>HYPERLINK("https://www.773grp.com/globalSearch/NLAST4052DT/page-1", "NLAST4052DT")</f>
        <v>NLAST4052DT</v>
      </c>
      <c r="B32224" s="3" t="s">
        <v>95</v>
      </c>
      <c r="C32224" s="6">
        <v>720</v>
      </c>
      <c r="D32224" s="7">
        <v>0.85</v>
      </c>
      <c r="E32224" t="s">
        <v>56</v>
      </c>
    </row>
    <row r="32225" spans="1:5" x14ac:dyDescent="0.25">
      <c r="A32225" t="str">
        <f>HYPERLINK("https://www.773grp.com/globalSearch/NLAST4052DTR2/page-1", "NLAST4052DTR2")</f>
        <v>NLAST4052DTR2</v>
      </c>
      <c r="B32225" s="3" t="s">
        <v>95</v>
      </c>
      <c r="C32225" s="6">
        <v>7500</v>
      </c>
      <c r="D32225" s="7">
        <v>0.85</v>
      </c>
      <c r="E32225" t="s">
        <v>56</v>
      </c>
    </row>
    <row r="32226" spans="1:5" x14ac:dyDescent="0.25">
      <c r="A32226" t="str">
        <f>HYPERLINK("https://www.773grp.com/globalSearch/NLAST4052QSR/page-1", "NLAST4052QSR")</f>
        <v>NLAST4052QSR</v>
      </c>
      <c r="B32226" s="3" t="s">
        <v>95</v>
      </c>
      <c r="C32226" s="6">
        <v>12500</v>
      </c>
      <c r="D32226" s="7">
        <v>0.85</v>
      </c>
      <c r="E32226" t="s">
        <v>56</v>
      </c>
    </row>
    <row r="32227" spans="1:5" x14ac:dyDescent="0.25">
      <c r="A32227" t="str">
        <f>HYPERLINK("https://www.773grp.com/globalSearch/NLV14066BDG/page-1", "NLV14066BDG")</f>
        <v>NLV14066BDG</v>
      </c>
      <c r="B32227" s="3" t="s">
        <v>95</v>
      </c>
      <c r="C32227" s="6">
        <v>120</v>
      </c>
      <c r="D32227" s="7">
        <v>0.85</v>
      </c>
    </row>
    <row r="32228" spans="1:5" x14ac:dyDescent="0.25">
      <c r="A32228" t="str">
        <f>HYPERLINK("https://www.773grp.com/globalSearch/NLV14066BDR2G/page-1", "NLV14066BDR2G")</f>
        <v>NLV14066BDR2G</v>
      </c>
      <c r="B32228" s="3" t="s">
        <v>95</v>
      </c>
      <c r="C32228" s="6">
        <v>21394</v>
      </c>
      <c r="D32228" s="7">
        <v>0.85</v>
      </c>
    </row>
    <row r="32229" spans="1:5" x14ac:dyDescent="0.25">
      <c r="A32229" t="str">
        <f>HYPERLINK("https://www.773grp.com/globalSearch/NLV74HC393ANG/page-1", "NLV74HC393ANG")</f>
        <v>NLV74HC393ANG</v>
      </c>
      <c r="B32229" s="3" t="s">
        <v>95</v>
      </c>
      <c r="C32229" s="6">
        <v>4261</v>
      </c>
      <c r="D32229" s="7">
        <v>0.85</v>
      </c>
    </row>
    <row r="32230" spans="1:5" x14ac:dyDescent="0.25">
      <c r="A32230" t="str">
        <f>HYPERLINK("https://www.773grp.com/globalSearch/NP0640SBT3G/page-1", "NP0640SBT3G")</f>
        <v>NP0640SBT3G</v>
      </c>
      <c r="B32230" s="3" t="s">
        <v>95</v>
      </c>
      <c r="C32230" s="6">
        <v>20910</v>
      </c>
      <c r="D32230" s="7">
        <v>0.85</v>
      </c>
    </row>
    <row r="32231" spans="1:5" x14ac:dyDescent="0.25">
      <c r="A32231" t="str">
        <f>HYPERLINK("https://www.773grp.com/globalSearch/NP0720SBT3G/page-1", "NP0720SBT3G")</f>
        <v>NP0720SBT3G</v>
      </c>
      <c r="B32231" s="3" t="s">
        <v>95</v>
      </c>
      <c r="C32231" s="6">
        <v>16487</v>
      </c>
      <c r="D32231" s="7">
        <v>0.85</v>
      </c>
      <c r="E32231" t="s">
        <v>109</v>
      </c>
    </row>
    <row r="32232" spans="1:5" x14ac:dyDescent="0.25">
      <c r="A32232" t="str">
        <f>HYPERLINK("https://www.773grp.com/globalSearch/NP0900SBT3G/page-1", "NP0900SBT3G")</f>
        <v>NP0900SBT3G</v>
      </c>
      <c r="B32232" s="3" t="s">
        <v>95</v>
      </c>
      <c r="C32232" s="6">
        <v>2400</v>
      </c>
      <c r="D32232" s="7">
        <v>0.85</v>
      </c>
    </row>
    <row r="32233" spans="1:5" x14ac:dyDescent="0.25">
      <c r="A32233" t="str">
        <f>HYPERLINK("https://www.773grp.com/globalSearch/NP1100SBT3G/page-1", "NP1100SBT3G")</f>
        <v>NP1100SBT3G</v>
      </c>
      <c r="B32233" s="3" t="s">
        <v>95</v>
      </c>
      <c r="C32233" s="6">
        <v>7300</v>
      </c>
      <c r="D32233" s="7">
        <v>0.85</v>
      </c>
    </row>
    <row r="32234" spans="1:5" x14ac:dyDescent="0.25">
      <c r="A32234" t="str">
        <f>HYPERLINK("https://www.773grp.com/globalSearch/NP1300SBT3G/page-1", "NP1300SBT3G")</f>
        <v>NP1300SBT3G</v>
      </c>
      <c r="B32234" s="3" t="s">
        <v>95</v>
      </c>
      <c r="C32234" s="6">
        <v>4990</v>
      </c>
      <c r="D32234" s="7">
        <v>0.85</v>
      </c>
      <c r="E32234" t="s">
        <v>109</v>
      </c>
    </row>
    <row r="32235" spans="1:5" x14ac:dyDescent="0.25">
      <c r="A32235" t="str">
        <f>HYPERLINK("https://www.773grp.com/globalSearch/NP1500SBT3G/page-1", "NP1500SBT3G")</f>
        <v>NP1500SBT3G</v>
      </c>
      <c r="B32235" s="3" t="s">
        <v>95</v>
      </c>
      <c r="C32235" s="6">
        <v>4985</v>
      </c>
      <c r="D32235" s="7">
        <v>0.85</v>
      </c>
    </row>
    <row r="32236" spans="1:5" x14ac:dyDescent="0.25">
      <c r="A32236" t="str">
        <f>HYPERLINK("https://www.773grp.com/globalSearch/NP1800SBT3G/page-1", "NP1800SBT3G")</f>
        <v>NP1800SBT3G</v>
      </c>
      <c r="B32236" s="3" t="s">
        <v>95</v>
      </c>
      <c r="C32236" s="6">
        <v>3125</v>
      </c>
      <c r="D32236" s="7">
        <v>0.85</v>
      </c>
    </row>
    <row r="32237" spans="1:5" x14ac:dyDescent="0.25">
      <c r="A32237" t="str">
        <f>HYPERLINK("https://www.773grp.com/globalSearch/NP2100SBT3G/page-1", "NP2100SBT3G")</f>
        <v>NP2100SBT3G</v>
      </c>
      <c r="B32237" s="3" t="s">
        <v>95</v>
      </c>
      <c r="C32237" s="6">
        <v>5000</v>
      </c>
      <c r="D32237" s="7">
        <v>0.85</v>
      </c>
      <c r="E32237" t="s">
        <v>109</v>
      </c>
    </row>
    <row r="32238" spans="1:5" x14ac:dyDescent="0.25">
      <c r="A32238" t="str">
        <f>HYPERLINK("https://www.773grp.com/globalSearch/NP2300SBT3G/page-1", "NP2300SBT3G")</f>
        <v>NP2300SBT3G</v>
      </c>
      <c r="B32238" s="3" t="s">
        <v>95</v>
      </c>
      <c r="C32238" s="6">
        <v>12500</v>
      </c>
      <c r="D32238" s="7">
        <v>0.85</v>
      </c>
      <c r="E32238" t="s">
        <v>109</v>
      </c>
    </row>
    <row r="32239" spans="1:5" x14ac:dyDescent="0.25">
      <c r="A32239" t="str">
        <f>HYPERLINK("https://www.773grp.com/globalSearch/NP2600SBT3G/page-1", "NP2600SBT3G")</f>
        <v>NP2600SBT3G</v>
      </c>
      <c r="B32239" s="3" t="s">
        <v>95</v>
      </c>
      <c r="C32239" s="6">
        <v>12500</v>
      </c>
      <c r="D32239" s="7">
        <v>0.85</v>
      </c>
      <c r="E32239" t="s">
        <v>109</v>
      </c>
    </row>
    <row r="32240" spans="1:5" x14ac:dyDescent="0.25">
      <c r="A32240" t="str">
        <f>HYPERLINK("https://www.773grp.com/globalSearch/NP3100SBT3G/page-1", "NP3100SBT3G")</f>
        <v>NP3100SBT3G</v>
      </c>
      <c r="B32240" s="3" t="s">
        <v>95</v>
      </c>
      <c r="C32240" s="6">
        <v>261921</v>
      </c>
      <c r="D32240" s="7">
        <v>0.85</v>
      </c>
      <c r="E32240" t="s">
        <v>109</v>
      </c>
    </row>
    <row r="32241" spans="1:5" x14ac:dyDescent="0.25">
      <c r="A32241" t="str">
        <f>HYPERLINK("https://www.773grp.com/globalSearch/NP3500SBT3G/page-1", "NP3500SBT3G")</f>
        <v>NP3500SBT3G</v>
      </c>
      <c r="B32241" s="3" t="s">
        <v>95</v>
      </c>
      <c r="C32241" s="6">
        <v>87500</v>
      </c>
      <c r="D32241" s="7">
        <v>0.85</v>
      </c>
      <c r="E32241" t="s">
        <v>109</v>
      </c>
    </row>
    <row r="32242" spans="1:5" x14ac:dyDescent="0.25">
      <c r="A32242" t="str">
        <f>HYPERLINK("https://www.773grp.com/globalSearch/NRVBA130LT3/page-1", "NRVBA130LT3")</f>
        <v>NRVBA130LT3</v>
      </c>
      <c r="B32242" s="3" t="s">
        <v>95</v>
      </c>
      <c r="C32242" s="6">
        <v>5000</v>
      </c>
      <c r="D32242" s="7">
        <v>0.85</v>
      </c>
    </row>
    <row r="32243" spans="1:5" x14ac:dyDescent="0.25">
      <c r="A32243" t="str">
        <f>HYPERLINK("https://www.773grp.com/globalSearch/NSS35200CF8T1G/page-1", "NSS35200CF8T1G")</f>
        <v>NSS35200CF8T1G</v>
      </c>
      <c r="B32243" s="3" t="s">
        <v>95</v>
      </c>
      <c r="C32243" s="6">
        <v>508707</v>
      </c>
      <c r="D32243" s="7">
        <v>0.85</v>
      </c>
      <c r="E32243" t="s">
        <v>69</v>
      </c>
    </row>
    <row r="32244" spans="1:5" x14ac:dyDescent="0.25">
      <c r="A32244" t="str">
        <f>HYPERLINK("https://www.773grp.com/globalSearch/NSS35200CF8TIG/page-1", "NSS35200CF8TIG")</f>
        <v>NSS35200CF8TIG</v>
      </c>
      <c r="B32244" s="3" t="s">
        <v>95</v>
      </c>
      <c r="C32244" s="6">
        <v>2736</v>
      </c>
      <c r="D32244" s="7">
        <v>0.85</v>
      </c>
    </row>
    <row r="32245" spans="1:5" x14ac:dyDescent="0.25">
      <c r="A32245" t="str">
        <f>HYPERLINK("https://www.773grp.com/globalSearch/NSS40600CF8T1G/page-1", "NSS40600CF8T1G")</f>
        <v>NSS40600CF8T1G</v>
      </c>
      <c r="B32245" s="3" t="s">
        <v>95</v>
      </c>
      <c r="C32245" s="6">
        <v>147000</v>
      </c>
      <c r="D32245" s="7">
        <v>0.85</v>
      </c>
    </row>
    <row r="32246" spans="1:5" x14ac:dyDescent="0.25">
      <c r="A32246" t="str">
        <f>HYPERLINK("https://www.773grp.com/globalSearch/NSVF2250WT1G/page-1", "NSVF2250WT1G")</f>
        <v>NSVF2250WT1G</v>
      </c>
      <c r="B32246" s="3" t="s">
        <v>95</v>
      </c>
      <c r="C32246" s="6">
        <v>108000</v>
      </c>
      <c r="D32246" s="7">
        <v>0.85</v>
      </c>
    </row>
    <row r="32247" spans="1:5" x14ac:dyDescent="0.25">
      <c r="A32247" t="str">
        <f>HYPERLINK("https://www.773grp.com/globalSearch/NTB13N10G/page-1", "NTB13N10G")</f>
        <v>NTB13N10G</v>
      </c>
      <c r="B32247" s="3" t="s">
        <v>95</v>
      </c>
      <c r="C32247" s="6">
        <v>100</v>
      </c>
      <c r="D32247" s="7">
        <v>0.85</v>
      </c>
      <c r="E32247" t="s">
        <v>105</v>
      </c>
    </row>
    <row r="32248" spans="1:5" x14ac:dyDescent="0.25">
      <c r="A32248" t="str">
        <f>HYPERLINK("https://www.773grp.com/globalSearch/NTB22N06/page-1", "NTB22N06")</f>
        <v>NTB22N06</v>
      </c>
      <c r="B32248" s="3" t="s">
        <v>95</v>
      </c>
      <c r="C32248" s="6">
        <v>2729</v>
      </c>
      <c r="D32248" s="7">
        <v>0.85</v>
      </c>
      <c r="E32248" t="s">
        <v>105</v>
      </c>
    </row>
    <row r="32249" spans="1:5" x14ac:dyDescent="0.25">
      <c r="A32249" t="str">
        <f>HYPERLINK("https://www.773grp.com/globalSearch/NTB22N06L/page-1", "NTB22N06L")</f>
        <v>NTB22N06L</v>
      </c>
      <c r="B32249" s="3" t="s">
        <v>95</v>
      </c>
      <c r="C32249" s="6">
        <v>629</v>
      </c>
      <c r="D32249" s="7">
        <v>0.85</v>
      </c>
      <c r="E32249" t="s">
        <v>105</v>
      </c>
    </row>
    <row r="32250" spans="1:5" x14ac:dyDescent="0.25">
      <c r="A32250" t="str">
        <f>HYPERLINK("https://www.773grp.com/globalSearch/NTB22N06LT4/page-1", "NTB22N06LT4")</f>
        <v>NTB22N06LT4</v>
      </c>
      <c r="B32250" s="3" t="s">
        <v>95</v>
      </c>
      <c r="C32250" s="6">
        <v>1600</v>
      </c>
      <c r="D32250" s="7">
        <v>0.85</v>
      </c>
      <c r="E32250" t="s">
        <v>105</v>
      </c>
    </row>
    <row r="32251" spans="1:5" x14ac:dyDescent="0.25">
      <c r="A32251" t="str">
        <f>HYPERLINK("https://www.773grp.com/globalSearch/NTB22N06T4/page-1", "NTB22N06T4")</f>
        <v>NTB22N06T4</v>
      </c>
      <c r="B32251" s="3" t="s">
        <v>95</v>
      </c>
      <c r="C32251" s="6">
        <v>4800</v>
      </c>
      <c r="D32251" s="7">
        <v>0.85</v>
      </c>
      <c r="E32251" t="s">
        <v>105</v>
      </c>
    </row>
    <row r="32252" spans="1:5" x14ac:dyDescent="0.25">
      <c r="A32252" t="str">
        <f>HYPERLINK("https://www.773grp.com/globalSearch/NTD20N06-001/page-1", "NTD20N06-001")</f>
        <v>NTD20N06-001</v>
      </c>
      <c r="B32252" s="3" t="s">
        <v>95</v>
      </c>
      <c r="C32252" s="6">
        <v>3436</v>
      </c>
      <c r="D32252" s="7">
        <v>0.85</v>
      </c>
    </row>
    <row r="32253" spans="1:5" x14ac:dyDescent="0.25">
      <c r="A32253" t="str">
        <f>HYPERLINK("https://www.773grp.com/globalSearch/NTD20N06-1G/page-1", "NTD20N06-1G")</f>
        <v>NTD20N06-1G</v>
      </c>
      <c r="B32253" s="3" t="s">
        <v>95</v>
      </c>
      <c r="C32253" s="6">
        <v>1425</v>
      </c>
      <c r="D32253" s="7">
        <v>0.85</v>
      </c>
      <c r="E32253" t="s">
        <v>105</v>
      </c>
    </row>
    <row r="32254" spans="1:5" x14ac:dyDescent="0.25">
      <c r="A32254" t="str">
        <f>HYPERLINK("https://www.773grp.com/globalSearch/NTD3055L104-001/page-1", "NTD3055L104-001")</f>
        <v>NTD3055L104-001</v>
      </c>
      <c r="B32254" s="3" t="s">
        <v>95</v>
      </c>
      <c r="C32254" s="6">
        <v>19875</v>
      </c>
      <c r="D32254" s="7">
        <v>0.85</v>
      </c>
    </row>
    <row r="32255" spans="1:5" x14ac:dyDescent="0.25">
      <c r="A32255" t="str">
        <f>HYPERLINK("https://www.773grp.com/globalSearch/NTD3055L170T4G/page-1", "NTD3055L170T4G")</f>
        <v>NTD3055L170T4G</v>
      </c>
      <c r="B32255" s="3" t="s">
        <v>95</v>
      </c>
      <c r="C32255" s="6">
        <v>5466</v>
      </c>
      <c r="D32255" s="7">
        <v>0.85</v>
      </c>
      <c r="E32255" t="s">
        <v>105</v>
      </c>
    </row>
    <row r="32256" spans="1:5" x14ac:dyDescent="0.25">
      <c r="A32256" t="str">
        <f>HYPERLINK("https://www.773grp.com/globalSearch/NTD4302-001/page-1", "NTD4302-001")</f>
        <v>NTD4302-001</v>
      </c>
      <c r="B32256" s="3" t="s">
        <v>95</v>
      </c>
      <c r="C32256" s="6">
        <v>4001</v>
      </c>
      <c r="D32256" s="7">
        <v>0.85</v>
      </c>
      <c r="E32256" t="s">
        <v>105</v>
      </c>
    </row>
    <row r="32257" spans="1:5" x14ac:dyDescent="0.25">
      <c r="A32257" t="str">
        <f>HYPERLINK("https://www.773grp.com/globalSearch/NTD4302-1G/page-1", "NTD4302-1G")</f>
        <v>NTD4302-1G</v>
      </c>
      <c r="B32257" s="3" t="s">
        <v>95</v>
      </c>
      <c r="C32257" s="6">
        <v>34404</v>
      </c>
      <c r="D32257" s="7">
        <v>0.85</v>
      </c>
      <c r="E32257" t="s">
        <v>105</v>
      </c>
    </row>
    <row r="32258" spans="1:5" x14ac:dyDescent="0.25">
      <c r="A32258" t="str">
        <f>HYPERLINK("https://www.773grp.com/globalSearch/NTD4857N-1G/page-1", "NTD4857N-1G")</f>
        <v>NTD4857N-1G</v>
      </c>
      <c r="B32258" s="3" t="s">
        <v>95</v>
      </c>
      <c r="C32258" s="6">
        <v>8400</v>
      </c>
      <c r="D32258" s="7">
        <v>0.85</v>
      </c>
      <c r="E32258" t="s">
        <v>105</v>
      </c>
    </row>
    <row r="32259" spans="1:5" x14ac:dyDescent="0.25">
      <c r="A32259" t="str">
        <f>HYPERLINK("https://www.773grp.com/globalSearch/NTD4857NT4G/page-1", "NTD4857NT4G")</f>
        <v>NTD4857NT4G</v>
      </c>
      <c r="B32259" s="3" t="s">
        <v>95</v>
      </c>
      <c r="C32259" s="6">
        <v>127500</v>
      </c>
      <c r="D32259" s="7">
        <v>0.85</v>
      </c>
      <c r="E32259" t="s">
        <v>105</v>
      </c>
    </row>
    <row r="32260" spans="1:5" x14ac:dyDescent="0.25">
      <c r="A32260" t="str">
        <f>HYPERLINK("https://www.773grp.com/globalSearch/NTD5867NL-1G/page-1", "NTD5867NL-1G")</f>
        <v>NTD5867NL-1G</v>
      </c>
      <c r="B32260" s="3" t="s">
        <v>95</v>
      </c>
      <c r="C32260" s="6">
        <v>39</v>
      </c>
      <c r="D32260" s="7">
        <v>0.85</v>
      </c>
      <c r="E32260" t="s">
        <v>105</v>
      </c>
    </row>
    <row r="32261" spans="1:5" x14ac:dyDescent="0.25">
      <c r="A32261" t="str">
        <f>HYPERLINK("https://www.773grp.com/globalSearch/NTD95N02RG/page-1", "NTD95N02RG")</f>
        <v>NTD95N02RG</v>
      </c>
      <c r="B32261" s="3" t="s">
        <v>95</v>
      </c>
      <c r="C32261" s="6">
        <v>4142</v>
      </c>
      <c r="D32261" s="7">
        <v>0.85</v>
      </c>
      <c r="E32261" t="s">
        <v>105</v>
      </c>
    </row>
    <row r="32262" spans="1:5" x14ac:dyDescent="0.25">
      <c r="A32262" t="str">
        <f>HYPERLINK("https://www.773grp.com/globalSearch/NTHD4401PT1G/page-1", "NTHD4401PT1G")</f>
        <v>NTHD4401PT1G</v>
      </c>
      <c r="B32262" s="3" t="s">
        <v>95</v>
      </c>
      <c r="C32262" s="6">
        <v>1174697</v>
      </c>
      <c r="D32262" s="7">
        <v>0.85</v>
      </c>
      <c r="E32262" t="s">
        <v>106</v>
      </c>
    </row>
    <row r="32263" spans="1:5" x14ac:dyDescent="0.25">
      <c r="A32263" t="str">
        <f>HYPERLINK("https://www.773grp.com/globalSearch/NTHD4401PT3G/page-1", "NTHD4401PT3G")</f>
        <v>NTHD4401PT3G</v>
      </c>
      <c r="B32263" s="3" t="s">
        <v>95</v>
      </c>
      <c r="C32263" s="6">
        <v>100000</v>
      </c>
      <c r="D32263" s="7">
        <v>0.85</v>
      </c>
    </row>
    <row r="32264" spans="1:5" x14ac:dyDescent="0.25">
      <c r="A32264" t="str">
        <f>HYPERLINK("https://www.773grp.com/globalSearch/NTHD4N02FT1/page-1", "NTHD4N02FT1")</f>
        <v>NTHD4N02FT1</v>
      </c>
      <c r="B32264" s="3" t="s">
        <v>95</v>
      </c>
      <c r="C32264" s="6">
        <v>12000</v>
      </c>
      <c r="D32264" s="7">
        <v>0.85</v>
      </c>
      <c r="E32264" t="s">
        <v>106</v>
      </c>
    </row>
    <row r="32265" spans="1:5" x14ac:dyDescent="0.25">
      <c r="A32265" t="str">
        <f>HYPERLINK("https://www.773grp.com/globalSearch/NTLJS2103PTBG/page-1", "NTLJS2103PTBG")</f>
        <v>NTLJS2103PTBG</v>
      </c>
      <c r="B32265" s="3" t="s">
        <v>95</v>
      </c>
      <c r="C32265" s="6">
        <v>45000</v>
      </c>
      <c r="D32265" s="7">
        <v>0.85</v>
      </c>
      <c r="E32265" t="s">
        <v>106</v>
      </c>
    </row>
    <row r="32266" spans="1:5" x14ac:dyDescent="0.25">
      <c r="A32266" t="str">
        <f>HYPERLINK("https://www.773grp.com/globalSearch/NTLUS3192PZTBG/page-1", "NTLUS3192PZTBG")</f>
        <v>NTLUS3192PZTBG</v>
      </c>
      <c r="B32266" s="3" t="s">
        <v>95</v>
      </c>
      <c r="C32266" s="6">
        <v>35000</v>
      </c>
      <c r="D32266" s="7">
        <v>0.85</v>
      </c>
      <c r="E32266" t="s">
        <v>106</v>
      </c>
    </row>
    <row r="32267" spans="1:5" x14ac:dyDescent="0.25">
      <c r="A32267" t="str">
        <f>HYPERLINK("https://www.773grp.com/globalSearch/NTLUS4195PZTAG/page-1", "NTLUS4195PZTAG")</f>
        <v>NTLUS4195PZTAG</v>
      </c>
      <c r="B32267" s="3" t="s">
        <v>95</v>
      </c>
      <c r="C32267" s="6">
        <v>45000</v>
      </c>
      <c r="D32267" s="7">
        <v>0.85</v>
      </c>
      <c r="E32267" t="s">
        <v>105</v>
      </c>
    </row>
    <row r="32268" spans="1:5" x14ac:dyDescent="0.25">
      <c r="A32268" t="str">
        <f>HYPERLINK("https://www.773grp.com/globalSearch/NTLUS4195PZTBG/page-1", "NTLUS4195PZTBG")</f>
        <v>NTLUS4195PZTBG</v>
      </c>
      <c r="B32268" s="3" t="s">
        <v>95</v>
      </c>
      <c r="C32268" s="6">
        <v>21000</v>
      </c>
      <c r="D32268" s="7">
        <v>0.85</v>
      </c>
      <c r="E32268" t="s">
        <v>105</v>
      </c>
    </row>
    <row r="32269" spans="1:5" x14ac:dyDescent="0.25">
      <c r="A32269" t="str">
        <f>HYPERLINK("https://www.773grp.com/globalSearch/NTMD3N08LR2/page-1", "NTMD3N08LR2")</f>
        <v>NTMD3N08LR2</v>
      </c>
      <c r="B32269" s="3" t="s">
        <v>95</v>
      </c>
      <c r="C32269" s="6">
        <v>154453</v>
      </c>
      <c r="D32269" s="7">
        <v>0.85</v>
      </c>
      <c r="E32269" t="s">
        <v>105</v>
      </c>
    </row>
    <row r="32270" spans="1:5" x14ac:dyDescent="0.25">
      <c r="A32270" t="str">
        <f>HYPERLINK("https://www.773grp.com/globalSearch/NTMD3P03R2/page-1", "NTMD3P03R2")</f>
        <v>NTMD3P03R2</v>
      </c>
      <c r="B32270" s="3" t="s">
        <v>95</v>
      </c>
      <c r="C32270" s="6">
        <v>192261</v>
      </c>
      <c r="D32270" s="7">
        <v>0.85</v>
      </c>
      <c r="E32270" t="s">
        <v>106</v>
      </c>
    </row>
    <row r="32271" spans="1:5" x14ac:dyDescent="0.25">
      <c r="A32271" t="str">
        <f>HYPERLINK("https://www.773grp.com/globalSearch/NTMD4840NR2G/page-1", "NTMD4840NR2G")</f>
        <v>NTMD4840NR2G</v>
      </c>
      <c r="B32271" s="3" t="s">
        <v>95</v>
      </c>
      <c r="C32271" s="6">
        <v>356792</v>
      </c>
      <c r="D32271" s="7">
        <v>0.85</v>
      </c>
      <c r="E32271" t="s">
        <v>106</v>
      </c>
    </row>
    <row r="32272" spans="1:5" x14ac:dyDescent="0.25">
      <c r="A32272" t="str">
        <f>HYPERLINK("https://www.773grp.com/globalSearch/NTMD4884NFR2G/page-1", "NTMD4884NFR2G")</f>
        <v>NTMD4884NFR2G</v>
      </c>
      <c r="B32272" s="3" t="s">
        <v>95</v>
      </c>
      <c r="C32272" s="6">
        <v>11895</v>
      </c>
      <c r="D32272" s="7">
        <v>0.85</v>
      </c>
      <c r="E32272" t="s">
        <v>106</v>
      </c>
    </row>
    <row r="32273" spans="1:5" x14ac:dyDescent="0.25">
      <c r="A32273" t="str">
        <f>HYPERLINK("https://www.773grp.com/globalSearch/NTMFS4926NT1G/page-1", "NTMFS4926NT1G")</f>
        <v>NTMFS4926NT1G</v>
      </c>
      <c r="B32273" s="3" t="s">
        <v>95</v>
      </c>
      <c r="C32273" s="6">
        <v>12000</v>
      </c>
      <c r="D32273" s="7">
        <v>0.85</v>
      </c>
      <c r="E32273" t="s">
        <v>106</v>
      </c>
    </row>
    <row r="32274" spans="1:5" x14ac:dyDescent="0.25">
      <c r="A32274" t="str">
        <f>HYPERLINK("https://www.773grp.com/globalSearch/NTMFS4945NT1G/page-1", "NTMFS4945NT1G")</f>
        <v>NTMFS4945NT1G</v>
      </c>
      <c r="B32274" s="3" t="s">
        <v>95</v>
      </c>
      <c r="C32274" s="6">
        <v>229678</v>
      </c>
      <c r="D32274" s="7">
        <v>0.85</v>
      </c>
      <c r="E32274" t="s">
        <v>105</v>
      </c>
    </row>
    <row r="32275" spans="1:5" x14ac:dyDescent="0.25">
      <c r="A32275" t="str">
        <f>HYPERLINK("https://www.773grp.com/globalSearch/NTMS4706NR2G/page-1", "NTMS4706NR2G")</f>
        <v>NTMS4706NR2G</v>
      </c>
      <c r="B32275" s="3" t="s">
        <v>95</v>
      </c>
      <c r="C32275" s="6">
        <v>273293</v>
      </c>
      <c r="D32275" s="7">
        <v>0.85</v>
      </c>
      <c r="E32275" t="s">
        <v>106</v>
      </c>
    </row>
    <row r="32276" spans="1:5" x14ac:dyDescent="0.25">
      <c r="A32276" t="str">
        <f>HYPERLINK("https://www.773grp.com/globalSearch/NTMS4816NR2G/page-1", "NTMS4816NR2G")</f>
        <v>NTMS4816NR2G</v>
      </c>
      <c r="B32276" s="3" t="s">
        <v>95</v>
      </c>
      <c r="C32276" s="6">
        <v>68489</v>
      </c>
      <c r="D32276" s="7">
        <v>0.85</v>
      </c>
      <c r="E32276" t="s">
        <v>105</v>
      </c>
    </row>
    <row r="32277" spans="1:5" x14ac:dyDescent="0.25">
      <c r="A32277" t="str">
        <f>HYPERLINK("https://www.773grp.com/globalSearch/NTMSD6N303R2/page-1", "NTMSD6N303R2")</f>
        <v>NTMSD6N303R2</v>
      </c>
      <c r="B32277" s="3" t="s">
        <v>95</v>
      </c>
      <c r="C32277" s="6">
        <v>26450</v>
      </c>
      <c r="D32277" s="7">
        <v>0.85</v>
      </c>
      <c r="E32277" t="s">
        <v>105</v>
      </c>
    </row>
    <row r="32278" spans="1:5" x14ac:dyDescent="0.25">
      <c r="A32278" t="str">
        <f>HYPERLINK("https://www.773grp.com/globalSearch/NTTD4401FR2G/page-1", "NTTD4401FR2G")</f>
        <v>NTTD4401FR2G</v>
      </c>
      <c r="B32278" s="3" t="s">
        <v>95</v>
      </c>
      <c r="C32278" s="6">
        <v>14108</v>
      </c>
      <c r="D32278" s="7">
        <v>0.85</v>
      </c>
      <c r="E32278" t="s">
        <v>106</v>
      </c>
    </row>
    <row r="32279" spans="1:5" x14ac:dyDescent="0.25">
      <c r="A32279" t="str">
        <f>HYPERLINK("https://www.773grp.com/globalSearch/NTTFS4930NTAG/page-1", "NTTFS4930NTAG")</f>
        <v>NTTFS4930NTAG</v>
      </c>
      <c r="B32279" s="3" t="s">
        <v>95</v>
      </c>
      <c r="C32279" s="6">
        <v>120000</v>
      </c>
      <c r="D32279" s="7">
        <v>0.85</v>
      </c>
    </row>
    <row r="32280" spans="1:5" x14ac:dyDescent="0.25">
      <c r="A32280" t="str">
        <f>HYPERLINK("https://www.773grp.com/globalSearch/NUD3124DMT1/page-1", "NUD3124DMT1")</f>
        <v>NUD3124DMT1</v>
      </c>
      <c r="B32280" s="3" t="s">
        <v>95</v>
      </c>
      <c r="C32280" s="6">
        <v>2362</v>
      </c>
      <c r="D32280" s="7">
        <v>0.85</v>
      </c>
      <c r="E32280" t="s">
        <v>106</v>
      </c>
    </row>
    <row r="32281" spans="1:5" x14ac:dyDescent="0.25">
      <c r="A32281" t="str">
        <f>HYPERLINK("https://www.773grp.com/globalSearch/NUF4000MUT2G/page-1", "NUF4000MUT2G")</f>
        <v>NUF4000MUT2G</v>
      </c>
      <c r="B32281" s="3" t="s">
        <v>95</v>
      </c>
      <c r="C32281" s="6">
        <v>37246</v>
      </c>
      <c r="D32281" s="7">
        <v>0.85</v>
      </c>
      <c r="E32281" t="s">
        <v>100</v>
      </c>
    </row>
    <row r="32282" spans="1:5" x14ac:dyDescent="0.25">
      <c r="A32282" t="str">
        <f>HYPERLINK("https://www.773grp.com/globalSearch/NUF6406MNT1G/page-1", "NUF6406MNT1G")</f>
        <v>NUF6406MNT1G</v>
      </c>
      <c r="B32282" s="3" t="s">
        <v>95</v>
      </c>
      <c r="C32282" s="6">
        <v>283829</v>
      </c>
      <c r="D32282" s="7">
        <v>0.85</v>
      </c>
      <c r="E32282" t="s">
        <v>100</v>
      </c>
    </row>
    <row r="32283" spans="1:5" x14ac:dyDescent="0.25">
      <c r="A32283" t="str">
        <f>HYPERLINK("https://www.773grp.com/globalSearch/P6KE10AG/page-1", "P6KE10AG")</f>
        <v>P6KE10AG</v>
      </c>
      <c r="B32283" s="3" t="s">
        <v>95</v>
      </c>
      <c r="C32283" s="6">
        <v>76774</v>
      </c>
      <c r="D32283" s="7">
        <v>0.85</v>
      </c>
      <c r="E32283" t="s">
        <v>96</v>
      </c>
    </row>
    <row r="32284" spans="1:5" x14ac:dyDescent="0.25">
      <c r="A32284" t="str">
        <f>HYPERLINK("https://www.773grp.com/globalSearch/P6KE10ARLG/page-1", "P6KE10ARLG")</f>
        <v>P6KE10ARLG</v>
      </c>
      <c r="B32284" s="3" t="s">
        <v>95</v>
      </c>
      <c r="C32284" s="6">
        <v>8000</v>
      </c>
      <c r="D32284" s="7">
        <v>0.85</v>
      </c>
    </row>
    <row r="32285" spans="1:5" x14ac:dyDescent="0.25">
      <c r="A32285" t="str">
        <f>HYPERLINK("https://www.773grp.com/globalSearch/P6KE12AG/page-1", "P6KE12AG")</f>
        <v>P6KE12AG</v>
      </c>
      <c r="B32285" s="3" t="s">
        <v>95</v>
      </c>
      <c r="C32285" s="6">
        <v>4178</v>
      </c>
      <c r="D32285" s="7">
        <v>0.85</v>
      </c>
      <c r="E32285" t="s">
        <v>96</v>
      </c>
    </row>
    <row r="32286" spans="1:5" x14ac:dyDescent="0.25">
      <c r="A32286" t="str">
        <f>HYPERLINK("https://www.773grp.com/globalSearch/P6KE12ARLG/page-1", "P6KE12ARLG")</f>
        <v>P6KE12ARLG</v>
      </c>
      <c r="B32286" s="3" t="s">
        <v>95</v>
      </c>
      <c r="C32286" s="6">
        <v>24000</v>
      </c>
      <c r="D32286" s="7">
        <v>0.85</v>
      </c>
      <c r="E32286" t="s">
        <v>96</v>
      </c>
    </row>
    <row r="32287" spans="1:5" x14ac:dyDescent="0.25">
      <c r="A32287" t="str">
        <f>HYPERLINK("https://www.773grp.com/globalSearch/P6KE130AG/page-1", "P6KE130AG")</f>
        <v>P6KE130AG</v>
      </c>
      <c r="B32287" s="3" t="s">
        <v>95</v>
      </c>
      <c r="C32287" s="6">
        <v>8000</v>
      </c>
      <c r="D32287" s="7">
        <v>0.85</v>
      </c>
      <c r="E32287" t="s">
        <v>96</v>
      </c>
    </row>
    <row r="32288" spans="1:5" x14ac:dyDescent="0.25">
      <c r="A32288" t="str">
        <f>HYPERLINK("https://www.773grp.com/globalSearch/P6KE13ARLG/page-1", "P6KE13ARLG")</f>
        <v>P6KE13ARLG</v>
      </c>
      <c r="B32288" s="3" t="s">
        <v>95</v>
      </c>
      <c r="C32288" s="6">
        <v>36000</v>
      </c>
      <c r="D32288" s="7">
        <v>0.85</v>
      </c>
      <c r="E32288" t="s">
        <v>96</v>
      </c>
    </row>
    <row r="32289" spans="1:5" x14ac:dyDescent="0.25">
      <c r="A32289" t="str">
        <f>HYPERLINK("https://www.773grp.com/globalSearch/P6KE150AG/page-1", "P6KE150AG")</f>
        <v>P6KE150AG</v>
      </c>
      <c r="B32289" s="3" t="s">
        <v>95</v>
      </c>
      <c r="C32289" s="6">
        <v>14219</v>
      </c>
      <c r="D32289" s="7">
        <v>0.85</v>
      </c>
      <c r="E32289" t="s">
        <v>96</v>
      </c>
    </row>
    <row r="32290" spans="1:5" x14ac:dyDescent="0.25">
      <c r="A32290" t="str">
        <f>HYPERLINK("https://www.773grp.com/globalSearch/P6KE15AG/page-1", "P6KE15AG")</f>
        <v>P6KE15AG</v>
      </c>
      <c r="B32290" s="3" t="s">
        <v>95</v>
      </c>
      <c r="C32290" s="6">
        <v>12000</v>
      </c>
      <c r="D32290" s="7">
        <v>0.85</v>
      </c>
      <c r="E32290" t="s">
        <v>96</v>
      </c>
    </row>
    <row r="32291" spans="1:5" x14ac:dyDescent="0.25">
      <c r="A32291" t="str">
        <f>HYPERLINK("https://www.773grp.com/globalSearch/P6KE15ARLG/page-1", "P6KE15ARLG")</f>
        <v>P6KE15ARLG</v>
      </c>
      <c r="B32291" s="3" t="s">
        <v>95</v>
      </c>
      <c r="C32291" s="6">
        <v>24000</v>
      </c>
      <c r="D32291" s="7">
        <v>0.85</v>
      </c>
      <c r="E32291" t="s">
        <v>96</v>
      </c>
    </row>
    <row r="32292" spans="1:5" x14ac:dyDescent="0.25">
      <c r="A32292" t="str">
        <f>HYPERLINK("https://www.773grp.com/globalSearch/P6KE18AG/page-1", "P6KE18AG")</f>
        <v>P6KE18AG</v>
      </c>
      <c r="B32292" s="3" t="s">
        <v>95</v>
      </c>
      <c r="C32292" s="6">
        <v>22486</v>
      </c>
      <c r="D32292" s="7">
        <v>0.85</v>
      </c>
      <c r="E32292" t="s">
        <v>96</v>
      </c>
    </row>
    <row r="32293" spans="1:5" x14ac:dyDescent="0.25">
      <c r="A32293" t="str">
        <f>HYPERLINK("https://www.773grp.com/globalSearch/P6KE18ARLG/page-1", "P6KE18ARLG")</f>
        <v>P6KE18ARLG</v>
      </c>
      <c r="B32293" s="3" t="s">
        <v>95</v>
      </c>
      <c r="C32293" s="6">
        <v>23900</v>
      </c>
      <c r="D32293" s="7">
        <v>0.85</v>
      </c>
      <c r="E32293" t="s">
        <v>96</v>
      </c>
    </row>
    <row r="32294" spans="1:5" x14ac:dyDescent="0.25">
      <c r="A32294" t="str">
        <f>HYPERLINK("https://www.773grp.com/globalSearch/P6KE200AG/page-1", "P6KE200AG")</f>
        <v>P6KE200AG</v>
      </c>
      <c r="B32294" s="3" t="s">
        <v>95</v>
      </c>
      <c r="C32294" s="6">
        <v>80126</v>
      </c>
      <c r="D32294" s="7">
        <v>0.85</v>
      </c>
      <c r="E32294" t="s">
        <v>96</v>
      </c>
    </row>
    <row r="32295" spans="1:5" x14ac:dyDescent="0.25">
      <c r="A32295" t="str">
        <f>HYPERLINK("https://www.773grp.com/globalSearch/P6KE200ARLG/page-1", "P6KE200ARLG")</f>
        <v>P6KE200ARLG</v>
      </c>
      <c r="B32295" s="3" t="s">
        <v>95</v>
      </c>
      <c r="C32295" s="6">
        <v>585744</v>
      </c>
      <c r="D32295" s="7">
        <v>0.85</v>
      </c>
      <c r="E32295" t="s">
        <v>96</v>
      </c>
    </row>
    <row r="32296" spans="1:5" x14ac:dyDescent="0.25">
      <c r="A32296" t="str">
        <f>HYPERLINK("https://www.773grp.com/globalSearch/P6KE30AG/page-1", "P6KE30AG")</f>
        <v>P6KE30AG</v>
      </c>
      <c r="B32296" s="3" t="s">
        <v>95</v>
      </c>
      <c r="C32296" s="6">
        <v>8526</v>
      </c>
      <c r="D32296" s="7">
        <v>0.85</v>
      </c>
      <c r="E32296" t="s">
        <v>96</v>
      </c>
    </row>
    <row r="32297" spans="1:5" x14ac:dyDescent="0.25">
      <c r="A32297" t="str">
        <f>HYPERLINK("https://www.773grp.com/globalSearch/P6KE30ARLG/page-1", "P6KE30ARLG")</f>
        <v>P6KE30ARLG</v>
      </c>
      <c r="B32297" s="3" t="s">
        <v>95</v>
      </c>
      <c r="C32297" s="6">
        <v>6030</v>
      </c>
      <c r="D32297" s="7">
        <v>0.85</v>
      </c>
      <c r="E32297" t="s">
        <v>96</v>
      </c>
    </row>
    <row r="32298" spans="1:5" x14ac:dyDescent="0.25">
      <c r="A32298" t="str">
        <f>HYPERLINK("https://www.773grp.com/globalSearch/P6KE33AG/page-1", "P6KE33AG")</f>
        <v>P6KE33AG</v>
      </c>
      <c r="B32298" s="3" t="s">
        <v>95</v>
      </c>
      <c r="C32298" s="6">
        <v>14000</v>
      </c>
      <c r="D32298" s="7">
        <v>0.85</v>
      </c>
      <c r="E32298" t="s">
        <v>96</v>
      </c>
    </row>
    <row r="32299" spans="1:5" x14ac:dyDescent="0.25">
      <c r="A32299" t="str">
        <f>HYPERLINK("https://www.773grp.com/globalSearch/P6KE33ARLG/page-1", "P6KE33ARLG")</f>
        <v>P6KE33ARLG</v>
      </c>
      <c r="B32299" s="3" t="s">
        <v>95</v>
      </c>
      <c r="C32299" s="6">
        <v>16000</v>
      </c>
      <c r="D32299" s="7">
        <v>0.85</v>
      </c>
      <c r="E32299" t="s">
        <v>96</v>
      </c>
    </row>
    <row r="32300" spans="1:5" x14ac:dyDescent="0.25">
      <c r="A32300" t="str">
        <f>HYPERLINK("https://www.773grp.com/globalSearch/P6KE36AG/page-1", "P6KE36AG")</f>
        <v>P6KE36AG</v>
      </c>
      <c r="B32300" s="3" t="s">
        <v>95</v>
      </c>
      <c r="C32300" s="6">
        <v>37109</v>
      </c>
      <c r="D32300" s="7">
        <v>0.85</v>
      </c>
      <c r="E32300" t="s">
        <v>96</v>
      </c>
    </row>
    <row r="32301" spans="1:5" x14ac:dyDescent="0.25">
      <c r="A32301" t="str">
        <f>HYPERLINK("https://www.773grp.com/globalSearch/P6KE39AG/page-1", "P6KE39AG")</f>
        <v>P6KE39AG</v>
      </c>
      <c r="B32301" s="3" t="s">
        <v>95</v>
      </c>
      <c r="C32301" s="6">
        <v>19000</v>
      </c>
      <c r="D32301" s="7">
        <v>0.85</v>
      </c>
      <c r="E32301" t="s">
        <v>96</v>
      </c>
    </row>
    <row r="32302" spans="1:5" x14ac:dyDescent="0.25">
      <c r="A32302" t="str">
        <f>HYPERLINK("https://www.773grp.com/globalSearch/P6KE39ARLG/page-1", "P6KE39ARLG")</f>
        <v>P6KE39ARLG</v>
      </c>
      <c r="B32302" s="3" t="s">
        <v>95</v>
      </c>
      <c r="C32302" s="6">
        <v>4000</v>
      </c>
      <c r="D32302" s="7">
        <v>0.85</v>
      </c>
    </row>
    <row r="32303" spans="1:5" x14ac:dyDescent="0.25">
      <c r="A32303" t="str">
        <f>HYPERLINK("https://www.773grp.com/globalSearch/P6KE43AG/page-1", "P6KE43AG")</f>
        <v>P6KE43AG</v>
      </c>
      <c r="B32303" s="3" t="s">
        <v>95</v>
      </c>
      <c r="C32303" s="6">
        <v>28906</v>
      </c>
      <c r="D32303" s="7">
        <v>0.85</v>
      </c>
      <c r="E32303" t="s">
        <v>96</v>
      </c>
    </row>
    <row r="32304" spans="1:5" x14ac:dyDescent="0.25">
      <c r="A32304" t="str">
        <f>HYPERLINK("https://www.773grp.com/globalSearch/P6KE47ARLG/page-1", "P6KE47ARLG")</f>
        <v>P6KE47ARLG</v>
      </c>
      <c r="B32304" s="3" t="s">
        <v>95</v>
      </c>
      <c r="C32304" s="6">
        <v>8000</v>
      </c>
      <c r="D32304" s="7">
        <v>0.85</v>
      </c>
      <c r="E32304" t="s">
        <v>96</v>
      </c>
    </row>
    <row r="32305" spans="1:5" x14ac:dyDescent="0.25">
      <c r="A32305" t="str">
        <f>HYPERLINK("https://www.773grp.com/globalSearch/P6KE51AG/page-1", "P6KE51AG")</f>
        <v>P6KE51AG</v>
      </c>
      <c r="B32305" s="3" t="s">
        <v>95</v>
      </c>
      <c r="C32305" s="6">
        <v>8950</v>
      </c>
      <c r="D32305" s="7">
        <v>0.85</v>
      </c>
      <c r="E32305" t="s">
        <v>96</v>
      </c>
    </row>
    <row r="32306" spans="1:5" x14ac:dyDescent="0.25">
      <c r="A32306" t="str">
        <f>HYPERLINK("https://www.773grp.com/globalSearch/P6KE51ARLG/page-1", "P6KE51ARLG")</f>
        <v>P6KE51ARLG</v>
      </c>
      <c r="B32306" s="3" t="s">
        <v>95</v>
      </c>
      <c r="C32306" s="6">
        <v>28000</v>
      </c>
      <c r="D32306" s="7">
        <v>0.85</v>
      </c>
      <c r="E32306" t="s">
        <v>96</v>
      </c>
    </row>
    <row r="32307" spans="1:5" x14ac:dyDescent="0.25">
      <c r="A32307" t="str">
        <f>HYPERLINK("https://www.773grp.com/globalSearch/P6KE56AG/page-1", "P6KE56AG")</f>
        <v>P6KE56AG</v>
      </c>
      <c r="B32307" s="3" t="s">
        <v>95</v>
      </c>
      <c r="C32307" s="6">
        <v>3369</v>
      </c>
      <c r="D32307" s="7">
        <v>0.85</v>
      </c>
      <c r="E32307" t="s">
        <v>96</v>
      </c>
    </row>
    <row r="32308" spans="1:5" x14ac:dyDescent="0.25">
      <c r="A32308" t="str">
        <f>HYPERLINK("https://www.773grp.com/globalSearch/P6KE56ARLG/page-1", "P6KE56ARLG")</f>
        <v>P6KE56ARLG</v>
      </c>
      <c r="B32308" s="3" t="s">
        <v>95</v>
      </c>
      <c r="C32308" s="6">
        <v>4000</v>
      </c>
      <c r="D32308" s="7">
        <v>0.85</v>
      </c>
      <c r="E32308" t="s">
        <v>96</v>
      </c>
    </row>
    <row r="32309" spans="1:5" x14ac:dyDescent="0.25">
      <c r="A32309" t="str">
        <f>HYPERLINK("https://www.773grp.com/globalSearch/P6KE6.8AG/page-1", "P6KE6.8AG")</f>
        <v>P6KE6.8AG</v>
      </c>
      <c r="B32309" s="3" t="s">
        <v>95</v>
      </c>
      <c r="C32309" s="6">
        <v>444017</v>
      </c>
      <c r="D32309" s="7">
        <v>0.85</v>
      </c>
      <c r="E32309" t="s">
        <v>96</v>
      </c>
    </row>
    <row r="32310" spans="1:5" x14ac:dyDescent="0.25">
      <c r="A32310" t="str">
        <f>HYPERLINK("https://www.773grp.com/globalSearch/P6KE6.8ARLG/page-1", "P6KE6.8ARLG")</f>
        <v>P6KE6.8ARLG</v>
      </c>
      <c r="B32310" s="3" t="s">
        <v>95</v>
      </c>
      <c r="C32310" s="6">
        <v>18596</v>
      </c>
      <c r="D32310" s="7">
        <v>0.85</v>
      </c>
      <c r="E32310" t="s">
        <v>96</v>
      </c>
    </row>
    <row r="32311" spans="1:5" x14ac:dyDescent="0.25">
      <c r="A32311" t="str">
        <f>HYPERLINK("https://www.773grp.com/globalSearch/P6KE68AG/page-1", "P6KE68AG")</f>
        <v>P6KE68AG</v>
      </c>
      <c r="B32311" s="3" t="s">
        <v>95</v>
      </c>
      <c r="C32311" s="6">
        <v>9025</v>
      </c>
      <c r="D32311" s="7">
        <v>0.85</v>
      </c>
      <c r="E32311" t="s">
        <v>96</v>
      </c>
    </row>
    <row r="32312" spans="1:5" x14ac:dyDescent="0.25">
      <c r="A32312" t="str">
        <f>HYPERLINK("https://www.773grp.com/globalSearch/P6SMB18CAT3G/page-1", "P6SMB18CAT3G")</f>
        <v>P6SMB18CAT3G</v>
      </c>
      <c r="B32312" s="3" t="s">
        <v>95</v>
      </c>
      <c r="C32312" s="6">
        <v>1378</v>
      </c>
      <c r="D32312" s="7">
        <v>0.85</v>
      </c>
      <c r="E32312" t="s">
        <v>96</v>
      </c>
    </row>
    <row r="32313" spans="1:5" x14ac:dyDescent="0.25">
      <c r="A32313" t="str">
        <f>HYPERLINK("https://www.773grp.com/globalSearch/P6SMB20CAT3G/page-1", "P6SMB20CAT3G")</f>
        <v>P6SMB20CAT3G</v>
      </c>
      <c r="B32313" s="3" t="s">
        <v>95</v>
      </c>
      <c r="C32313" s="6">
        <v>87500</v>
      </c>
      <c r="D32313" s="7">
        <v>0.85</v>
      </c>
      <c r="E32313" t="s">
        <v>96</v>
      </c>
    </row>
    <row r="32314" spans="1:5" x14ac:dyDescent="0.25">
      <c r="A32314" t="str">
        <f>HYPERLINK("https://www.773grp.com/globalSearch/P6SMB24CAT3G/page-1", "P6SMB24CAT3G")</f>
        <v>P6SMB24CAT3G</v>
      </c>
      <c r="B32314" s="3" t="s">
        <v>95</v>
      </c>
      <c r="C32314" s="6">
        <v>2250</v>
      </c>
      <c r="D32314" s="7">
        <v>0.85</v>
      </c>
    </row>
    <row r="32315" spans="1:5" x14ac:dyDescent="0.25">
      <c r="A32315" t="str">
        <f>HYPERLINK("https://www.773grp.com/globalSearch/P6SMB27CAT3G/page-1", "P6SMB27CAT3G")</f>
        <v>P6SMB27CAT3G</v>
      </c>
      <c r="B32315" s="3" t="s">
        <v>95</v>
      </c>
      <c r="C32315" s="6">
        <v>7500</v>
      </c>
      <c r="D32315" s="7">
        <v>0.85</v>
      </c>
      <c r="E32315" t="s">
        <v>96</v>
      </c>
    </row>
    <row r="32316" spans="1:5" x14ac:dyDescent="0.25">
      <c r="A32316" t="str">
        <f>HYPERLINK("https://www.773grp.com/globalSearch/P6SMB39CAT3G/page-1", "P6SMB39CAT3G")</f>
        <v>P6SMB39CAT3G</v>
      </c>
      <c r="B32316" s="3" t="s">
        <v>95</v>
      </c>
      <c r="C32316" s="6">
        <v>2500</v>
      </c>
      <c r="D32316" s="7">
        <v>0.85</v>
      </c>
    </row>
    <row r="32317" spans="1:5" x14ac:dyDescent="0.25">
      <c r="A32317" t="str">
        <f>HYPERLINK("https://www.773grp.com/globalSearch/P6SMB43CAT3G/page-1", "P6SMB43CAT3G")</f>
        <v>P6SMB43CAT3G</v>
      </c>
      <c r="B32317" s="3" t="s">
        <v>95</v>
      </c>
      <c r="C32317" s="6">
        <v>3684</v>
      </c>
      <c r="D32317" s="7">
        <v>0.85</v>
      </c>
      <c r="E32317" t="s">
        <v>96</v>
      </c>
    </row>
    <row r="32318" spans="1:5" x14ac:dyDescent="0.25">
      <c r="A32318" t="str">
        <f>HYPERLINK("https://www.773grp.com/globalSearch/P6SMB62CAT3G/page-1", "P6SMB62CAT3G")</f>
        <v>P6SMB62CAT3G</v>
      </c>
      <c r="B32318" s="3" t="s">
        <v>95</v>
      </c>
      <c r="C32318" s="6">
        <v>7500</v>
      </c>
      <c r="D32318" s="7">
        <v>0.85</v>
      </c>
    </row>
    <row r="32319" spans="1:5" x14ac:dyDescent="0.25">
      <c r="A32319" t="str">
        <f>HYPERLINK("https://www.773grp.com/globalSearch/P6SMB68CAT3G/page-1", "P6SMB68CAT3G")</f>
        <v>P6SMB68CAT3G</v>
      </c>
      <c r="B32319" s="3" t="s">
        <v>95</v>
      </c>
      <c r="C32319" s="6">
        <v>10000</v>
      </c>
      <c r="D32319" s="7">
        <v>0.85</v>
      </c>
      <c r="E32319" t="s">
        <v>96</v>
      </c>
    </row>
    <row r="32320" spans="1:5" x14ac:dyDescent="0.25">
      <c r="A32320" t="str">
        <f>HYPERLINK("https://www.773grp.com/globalSearch/P6SMB82CAT3G/page-1", "P6SMB82CAT3G")</f>
        <v>P6SMB82CAT3G</v>
      </c>
      <c r="B32320" s="3" t="s">
        <v>95</v>
      </c>
      <c r="C32320" s="6">
        <v>7500</v>
      </c>
      <c r="D32320" s="7">
        <v>0.85</v>
      </c>
      <c r="E32320" t="s">
        <v>96</v>
      </c>
    </row>
    <row r="32321" spans="1:5" x14ac:dyDescent="0.25">
      <c r="A32321" t="str">
        <f>HYPERLINK("https://www.773grp.com/globalSearch/PZTA14T3/page-1", "PZTA14T3")</f>
        <v>PZTA14T3</v>
      </c>
      <c r="B32321" s="3" t="s">
        <v>95</v>
      </c>
      <c r="C32321" s="6">
        <v>59960</v>
      </c>
      <c r="D32321" s="7">
        <v>0.85</v>
      </c>
      <c r="E32321" t="s">
        <v>69</v>
      </c>
    </row>
    <row r="32322" spans="1:5" x14ac:dyDescent="0.25">
      <c r="A32322" t="str">
        <f>HYPERLINK("https://www.773grp.com/globalSearch/SC2903VDR2G/page-1", "SC2903VDR2G")</f>
        <v>SC2903VDR2G</v>
      </c>
      <c r="B32322" s="3" t="s">
        <v>95</v>
      </c>
      <c r="C32322" s="6">
        <v>4446</v>
      </c>
      <c r="D32322" s="7">
        <v>0.85</v>
      </c>
    </row>
    <row r="32323" spans="1:5" x14ac:dyDescent="0.25">
      <c r="A32323" t="str">
        <f>HYPERLINK("https://www.773grp.com/globalSearch/SC2904VDR2/page-1", "SC2904VDR2")</f>
        <v>SC2904VDR2</v>
      </c>
      <c r="B32323" s="3" t="s">
        <v>95</v>
      </c>
      <c r="C32323" s="6">
        <v>50000</v>
      </c>
      <c r="D32323" s="7">
        <v>0.85</v>
      </c>
    </row>
    <row r="32324" spans="1:5" x14ac:dyDescent="0.25">
      <c r="A32324" t="str">
        <f>HYPERLINK("https://www.773grp.com/globalSearch/SC2904VDR2G/page-1", "SC2904VDR2G")</f>
        <v>SC2904VDR2G</v>
      </c>
      <c r="B32324" s="3" t="s">
        <v>95</v>
      </c>
      <c r="C32324" s="6">
        <v>11157</v>
      </c>
      <c r="D32324" s="7">
        <v>0.85</v>
      </c>
    </row>
    <row r="32325" spans="1:5" x14ac:dyDescent="0.25">
      <c r="A32325" t="str">
        <f>HYPERLINK("https://www.773grp.com/globalSearch/SC358NG/page-1", "SC358NG")</f>
        <v>SC358NG</v>
      </c>
      <c r="B32325" s="3" t="s">
        <v>95</v>
      </c>
      <c r="C32325" s="6">
        <v>350</v>
      </c>
      <c r="D32325" s="7">
        <v>0.85</v>
      </c>
    </row>
    <row r="32326" spans="1:5" x14ac:dyDescent="0.25">
      <c r="A32326" t="str">
        <f>HYPERLINK("https://www.773grp.com/globalSearch/SC65897PK1648/page-1", "SC65897PK1648")</f>
        <v>SC65897PK1648</v>
      </c>
      <c r="B32326" s="3" t="s">
        <v>95</v>
      </c>
      <c r="C32326" s="6">
        <v>500</v>
      </c>
      <c r="D32326" s="7">
        <v>0.85</v>
      </c>
    </row>
    <row r="32327" spans="1:5" x14ac:dyDescent="0.25">
      <c r="A32327" t="str">
        <f>HYPERLINK("https://www.773grp.com/globalSearch/SC79058P/page-1", "SC79058P")</f>
        <v>SC79058P</v>
      </c>
      <c r="B32327" s="3" t="s">
        <v>95</v>
      </c>
      <c r="C32327" s="6">
        <v>1000</v>
      </c>
      <c r="D32327" s="7">
        <v>0.85</v>
      </c>
    </row>
    <row r="32328" spans="1:5" x14ac:dyDescent="0.25">
      <c r="A32328" t="str">
        <f>HYPERLINK("https://www.773grp.com/globalSearch/SCV303LSN44T1G/page-1", "SCV303LSN44T1G")</f>
        <v>SCV303LSN44T1G</v>
      </c>
      <c r="B32328" s="3" t="s">
        <v>95</v>
      </c>
      <c r="C32328" s="6">
        <v>15000</v>
      </c>
      <c r="D32328" s="7">
        <v>0.85</v>
      </c>
    </row>
    <row r="32329" spans="1:5" x14ac:dyDescent="0.25">
      <c r="A32329" t="str">
        <f>HYPERLINK("https://www.773grp.com/globalSearch/SN74LS122D/page-1", "SN74LS122D")</f>
        <v>SN74LS122D</v>
      </c>
      <c r="B32329" s="3" t="s">
        <v>95</v>
      </c>
      <c r="C32329" s="6">
        <v>3395</v>
      </c>
      <c r="D32329" s="7">
        <v>0.85</v>
      </c>
      <c r="E32329" t="s">
        <v>54</v>
      </c>
    </row>
    <row r="32330" spans="1:5" x14ac:dyDescent="0.25">
      <c r="A32330" t="str">
        <f>HYPERLINK("https://www.773grp.com/globalSearch/SN74LS280D/page-1", "SN74LS280D")</f>
        <v>SN74LS280D</v>
      </c>
      <c r="B32330" s="3" t="s">
        <v>95</v>
      </c>
      <c r="C32330" s="6">
        <v>2035</v>
      </c>
      <c r="D32330" s="7">
        <v>0.85</v>
      </c>
      <c r="E32330" t="s">
        <v>43</v>
      </c>
    </row>
    <row r="32331" spans="1:5" x14ac:dyDescent="0.25">
      <c r="A32331" t="str">
        <f>HYPERLINK("https://www.773grp.com/globalSearch/SN74LS280M/page-1", "SN74LS280M")</f>
        <v>SN74LS280M</v>
      </c>
      <c r="B32331" s="3" t="s">
        <v>95</v>
      </c>
      <c r="C32331" s="6">
        <v>2850</v>
      </c>
      <c r="D32331" s="7">
        <v>0.85</v>
      </c>
      <c r="E32331" t="s">
        <v>43</v>
      </c>
    </row>
    <row r="32332" spans="1:5" x14ac:dyDescent="0.25">
      <c r="A32332" t="str">
        <f>HYPERLINK("https://www.773grp.com/globalSearch/SN74LS283D/page-1", "SN74LS283D")</f>
        <v>SN74LS283D</v>
      </c>
      <c r="B32332" s="3" t="s">
        <v>95</v>
      </c>
      <c r="C32332" s="6">
        <v>1406</v>
      </c>
      <c r="D32332" s="7">
        <v>0.85</v>
      </c>
      <c r="E32332" t="s">
        <v>43</v>
      </c>
    </row>
    <row r="32333" spans="1:5" x14ac:dyDescent="0.25">
      <c r="A32333" t="str">
        <f>HYPERLINK("https://www.773grp.com/globalSearch/SN74LS47N/page-1", "SN74LS47N")</f>
        <v>SN74LS47N</v>
      </c>
      <c r="B32333" s="3" t="s">
        <v>95</v>
      </c>
      <c r="C32333" s="6">
        <v>29</v>
      </c>
      <c r="D32333" s="7">
        <v>0.85</v>
      </c>
      <c r="E32333" t="s">
        <v>36</v>
      </c>
    </row>
    <row r="32334" spans="1:5" x14ac:dyDescent="0.25">
      <c r="A32334" t="str">
        <f>HYPERLINK("https://www.773grp.com/globalSearch/TL431BIDG/page-1", "TL431BIDG")</f>
        <v>TL431BIDG</v>
      </c>
      <c r="B32334" s="3" t="s">
        <v>95</v>
      </c>
      <c r="C32334" s="6">
        <v>2201</v>
      </c>
      <c r="D32334" s="7">
        <v>0.85</v>
      </c>
      <c r="E32334" t="s">
        <v>17</v>
      </c>
    </row>
    <row r="32335" spans="1:5" x14ac:dyDescent="0.25">
      <c r="A32335" t="str">
        <f>HYPERLINK("https://www.773grp.com/globalSearch/TL431BIDR2G/page-1", "TL431BIDR2G")</f>
        <v>TL431BIDR2G</v>
      </c>
      <c r="B32335" s="3" t="s">
        <v>95</v>
      </c>
      <c r="C32335" s="6">
        <v>157500</v>
      </c>
      <c r="D32335" s="7">
        <v>0.85</v>
      </c>
      <c r="E32335" t="s">
        <v>17</v>
      </c>
    </row>
    <row r="32336" spans="1:5" x14ac:dyDescent="0.25">
      <c r="A32336" t="str">
        <f>HYPERLINK("https://www.773grp.com/globalSearch/TL431BILPG/page-1", "TL431BILPG")</f>
        <v>TL431BILPG</v>
      </c>
      <c r="B32336" s="3" t="s">
        <v>95</v>
      </c>
      <c r="C32336" s="6">
        <v>18000</v>
      </c>
      <c r="D32336" s="7">
        <v>0.85</v>
      </c>
      <c r="E32336" t="s">
        <v>17</v>
      </c>
    </row>
    <row r="32337" spans="1:5" x14ac:dyDescent="0.25">
      <c r="A32337" t="str">
        <f>HYPERLINK("https://www.773grp.com/globalSearch/TL431BILPRAG/page-1", "TL431BILPRAG")</f>
        <v>TL431BILPRAG</v>
      </c>
      <c r="B32337" s="3" t="s">
        <v>95</v>
      </c>
      <c r="C32337" s="6">
        <v>66000</v>
      </c>
      <c r="D32337" s="7">
        <v>0.85</v>
      </c>
    </row>
    <row r="32338" spans="1:5" x14ac:dyDescent="0.25">
      <c r="A32338" t="str">
        <f>HYPERLINK("https://www.773grp.com/globalSearch/TLV431ASN1T1G/page-1", "TLV431ASN1T1G")</f>
        <v>TLV431ASN1T1G</v>
      </c>
      <c r="B32338" s="3" t="s">
        <v>95</v>
      </c>
      <c r="C32338" s="6">
        <v>6000</v>
      </c>
      <c r="D32338" s="7">
        <v>0.85</v>
      </c>
    </row>
    <row r="32339" spans="1:5" x14ac:dyDescent="0.25">
      <c r="A32339" t="str">
        <f>HYPERLINK("https://www.773grp.com/globalSearch/TLV431ASNT1G/page-1", "TLV431ASNT1G")</f>
        <v>TLV431ASNT1G</v>
      </c>
      <c r="B32339" s="3" t="s">
        <v>95</v>
      </c>
      <c r="C32339" s="6">
        <v>33600</v>
      </c>
      <c r="D32339" s="7">
        <v>0.85</v>
      </c>
      <c r="E32339" t="s">
        <v>17</v>
      </c>
    </row>
    <row r="32340" spans="1:5" x14ac:dyDescent="0.25">
      <c r="A32340" t="str">
        <f>HYPERLINK("https://www.773grp.com/globalSearch/TLV431BSN1T1G/page-1", "TLV431BSN1T1G")</f>
        <v>TLV431BSN1T1G</v>
      </c>
      <c r="B32340" s="3" t="s">
        <v>95</v>
      </c>
      <c r="C32340" s="6">
        <v>7830</v>
      </c>
      <c r="D32340" s="7">
        <v>0.85</v>
      </c>
      <c r="E32340" t="s">
        <v>17</v>
      </c>
    </row>
    <row r="32341" spans="1:5" x14ac:dyDescent="0.25">
      <c r="A32341" t="str">
        <f>HYPERLINK("https://www.773grp.com/globalSearch/VN2406LZL1/page-1", "VN2406LZL1")</f>
        <v>VN2406LZL1</v>
      </c>
      <c r="B32341" s="3" t="s">
        <v>95</v>
      </c>
      <c r="C32341" s="6">
        <v>267150</v>
      </c>
      <c r="D32341" s="7">
        <v>0.85</v>
      </c>
      <c r="E32341" t="s">
        <v>106</v>
      </c>
    </row>
    <row r="32342" spans="1:5" x14ac:dyDescent="0.25">
      <c r="A32342" t="str">
        <f>HYPERLINK("https://www.773grp.com/globalSearch/1SMB100AT3/page-1", "1SMB100AT3")</f>
        <v>1SMB100AT3</v>
      </c>
      <c r="B32342" s="3" t="s">
        <v>95</v>
      </c>
      <c r="C32342" s="6">
        <v>2500</v>
      </c>
      <c r="D32342" s="7">
        <v>0.9</v>
      </c>
      <c r="E32342" t="s">
        <v>96</v>
      </c>
    </row>
    <row r="32343" spans="1:5" x14ac:dyDescent="0.25">
      <c r="A32343" t="str">
        <f>HYPERLINK("https://www.773grp.com/globalSearch/1SMB11AT3G/page-1", "1SMB11AT3G")</f>
        <v>1SMB11AT3G</v>
      </c>
      <c r="B32343" s="3" t="s">
        <v>95</v>
      </c>
      <c r="C32343" s="6">
        <v>15000</v>
      </c>
      <c r="D32343" s="7">
        <v>0.9</v>
      </c>
    </row>
    <row r="32344" spans="1:5" x14ac:dyDescent="0.25">
      <c r="A32344" t="str">
        <f>HYPERLINK("https://www.773grp.com/globalSearch/1SMB15AT3G/page-1", "1SMB15AT3G")</f>
        <v>1SMB15AT3G</v>
      </c>
      <c r="B32344" s="3" t="s">
        <v>95</v>
      </c>
      <c r="C32344" s="6">
        <v>40000</v>
      </c>
      <c r="D32344" s="7">
        <v>0.9</v>
      </c>
      <c r="E32344" t="s">
        <v>96</v>
      </c>
    </row>
    <row r="32345" spans="1:5" x14ac:dyDescent="0.25">
      <c r="A32345" t="str">
        <f>HYPERLINK("https://www.773grp.com/globalSearch/1SMB17AT3G/page-1", "1SMB17AT3G")</f>
        <v>1SMB17AT3G</v>
      </c>
      <c r="B32345" s="3" t="s">
        <v>95</v>
      </c>
      <c r="C32345" s="6">
        <v>38474</v>
      </c>
      <c r="D32345" s="7">
        <v>0.9</v>
      </c>
      <c r="E32345" t="s">
        <v>96</v>
      </c>
    </row>
    <row r="32346" spans="1:5" x14ac:dyDescent="0.25">
      <c r="A32346" t="str">
        <f>HYPERLINK("https://www.773grp.com/globalSearch/1SMB20AT3/page-1", "1SMB20AT3")</f>
        <v>1SMB20AT3</v>
      </c>
      <c r="B32346" s="3" t="s">
        <v>95</v>
      </c>
      <c r="C32346" s="6">
        <v>45000</v>
      </c>
      <c r="D32346" s="7">
        <v>0.9</v>
      </c>
      <c r="E32346" t="s">
        <v>96</v>
      </c>
    </row>
    <row r="32347" spans="1:5" x14ac:dyDescent="0.25">
      <c r="A32347" t="str">
        <f>HYPERLINK("https://www.773grp.com/globalSearch/1SMB43AT3/page-1", "1SMB43AT3")</f>
        <v>1SMB43AT3</v>
      </c>
      <c r="B32347" s="3" t="s">
        <v>95</v>
      </c>
      <c r="C32347" s="6">
        <v>2500</v>
      </c>
      <c r="D32347" s="7">
        <v>0.9</v>
      </c>
      <c r="E32347" t="s">
        <v>96</v>
      </c>
    </row>
    <row r="32348" spans="1:5" x14ac:dyDescent="0.25">
      <c r="A32348" t="str">
        <f>HYPERLINK("https://www.773grp.com/globalSearch/1SMB43AT3G/page-1", "1SMB43AT3G")</f>
        <v>1SMB43AT3G</v>
      </c>
      <c r="B32348" s="3" t="s">
        <v>95</v>
      </c>
      <c r="C32348" s="6">
        <v>22500</v>
      </c>
      <c r="D32348" s="7">
        <v>0.9</v>
      </c>
      <c r="E32348" t="s">
        <v>96</v>
      </c>
    </row>
    <row r="32349" spans="1:5" x14ac:dyDescent="0.25">
      <c r="A32349" t="str">
        <f>HYPERLINK("https://www.773grp.com/globalSearch/1SMB45AT3G/page-1", "1SMB45AT3G")</f>
        <v>1SMB45AT3G</v>
      </c>
      <c r="B32349" s="3" t="s">
        <v>95</v>
      </c>
      <c r="C32349" s="6">
        <v>5000</v>
      </c>
      <c r="D32349" s="7">
        <v>0.9</v>
      </c>
      <c r="E32349" t="s">
        <v>96</v>
      </c>
    </row>
    <row r="32350" spans="1:5" x14ac:dyDescent="0.25">
      <c r="A32350" t="str">
        <f>HYPERLINK("https://www.773grp.com/globalSearch/1SMB48AT3G/page-1", "1SMB48AT3G")</f>
        <v>1SMB48AT3G</v>
      </c>
      <c r="B32350" s="3" t="s">
        <v>95</v>
      </c>
      <c r="C32350" s="6">
        <v>2500</v>
      </c>
      <c r="D32350" s="7">
        <v>0.9</v>
      </c>
      <c r="E32350" t="s">
        <v>96</v>
      </c>
    </row>
    <row r="32351" spans="1:5" x14ac:dyDescent="0.25">
      <c r="A32351" t="str">
        <f>HYPERLINK("https://www.773grp.com/globalSearch/1SMB51AT3G/page-1", "1SMB51AT3G")</f>
        <v>1SMB51AT3G</v>
      </c>
      <c r="B32351" s="3" t="s">
        <v>95</v>
      </c>
      <c r="C32351" s="6">
        <v>22500</v>
      </c>
      <c r="D32351" s="7">
        <v>0.9</v>
      </c>
      <c r="E32351" t="s">
        <v>96</v>
      </c>
    </row>
    <row r="32352" spans="1:5" x14ac:dyDescent="0.25">
      <c r="A32352" t="str">
        <f>HYPERLINK("https://www.773grp.com/globalSearch/1SMB5913BT3/page-1", "1SMB5913BT3")</f>
        <v>1SMB5913BT3</v>
      </c>
      <c r="B32352" s="3" t="s">
        <v>95</v>
      </c>
      <c r="C32352" s="6">
        <v>5000</v>
      </c>
      <c r="D32352" s="7">
        <v>0.9</v>
      </c>
    </row>
    <row r="32353" spans="1:5" x14ac:dyDescent="0.25">
      <c r="A32353" t="str">
        <f>HYPERLINK("https://www.773grp.com/globalSearch/1SMB5914BT3/page-1", "1SMB5914BT3")</f>
        <v>1SMB5914BT3</v>
      </c>
      <c r="B32353" s="3" t="s">
        <v>95</v>
      </c>
      <c r="C32353" s="6">
        <v>10000</v>
      </c>
      <c r="D32353" s="7">
        <v>0.9</v>
      </c>
    </row>
    <row r="32354" spans="1:5" x14ac:dyDescent="0.25">
      <c r="A32354" t="str">
        <f>HYPERLINK("https://www.773grp.com/globalSearch/1SMB5916BT3/page-1", "1SMB5916BT3")</f>
        <v>1SMB5916BT3</v>
      </c>
      <c r="B32354" s="3" t="s">
        <v>95</v>
      </c>
      <c r="C32354" s="6">
        <v>2500</v>
      </c>
      <c r="D32354" s="7">
        <v>0.9</v>
      </c>
      <c r="E32354" t="s">
        <v>98</v>
      </c>
    </row>
    <row r="32355" spans="1:5" x14ac:dyDescent="0.25">
      <c r="A32355" t="str">
        <f>HYPERLINK("https://www.773grp.com/globalSearch/1SMB5917BT3/page-1", "1SMB5917BT3")</f>
        <v>1SMB5917BT3</v>
      </c>
      <c r="B32355" s="3" t="s">
        <v>95</v>
      </c>
      <c r="C32355" s="6">
        <v>10000</v>
      </c>
      <c r="D32355" s="7">
        <v>0.9</v>
      </c>
    </row>
    <row r="32356" spans="1:5" x14ac:dyDescent="0.25">
      <c r="A32356" t="str">
        <f>HYPERLINK("https://www.773grp.com/globalSearch/1SMB5919BT3/page-1", "1SMB5919BT3")</f>
        <v>1SMB5919BT3</v>
      </c>
      <c r="B32356" s="3" t="s">
        <v>95</v>
      </c>
      <c r="C32356" s="6">
        <v>16200</v>
      </c>
      <c r="D32356" s="7">
        <v>0.9</v>
      </c>
    </row>
    <row r="32357" spans="1:5" x14ac:dyDescent="0.25">
      <c r="A32357" t="str">
        <f>HYPERLINK("https://www.773grp.com/globalSearch/1SMB5920BT3/page-1", "1SMB5920BT3")</f>
        <v>1SMB5920BT3</v>
      </c>
      <c r="B32357" s="3" t="s">
        <v>95</v>
      </c>
      <c r="C32357" s="6">
        <v>12500</v>
      </c>
      <c r="D32357" s="7">
        <v>0.9</v>
      </c>
    </row>
    <row r="32358" spans="1:5" x14ac:dyDescent="0.25">
      <c r="A32358" t="str">
        <f>HYPERLINK("https://www.773grp.com/globalSearch/1SMB5925BT3/page-1", "1SMB5925BT3")</f>
        <v>1SMB5925BT3</v>
      </c>
      <c r="B32358" s="3" t="s">
        <v>95</v>
      </c>
      <c r="C32358" s="6">
        <v>12500</v>
      </c>
      <c r="D32358" s="7">
        <v>0.9</v>
      </c>
    </row>
    <row r="32359" spans="1:5" x14ac:dyDescent="0.25">
      <c r="A32359" t="str">
        <f>HYPERLINK("https://www.773grp.com/globalSearch/1SMB5927BT3/page-1", "1SMB5927BT3")</f>
        <v>1SMB5927BT3</v>
      </c>
      <c r="B32359" s="3" t="s">
        <v>95</v>
      </c>
      <c r="C32359" s="6">
        <v>211</v>
      </c>
      <c r="D32359" s="7">
        <v>0.9</v>
      </c>
      <c r="E32359" t="s">
        <v>98</v>
      </c>
    </row>
    <row r="32360" spans="1:5" x14ac:dyDescent="0.25">
      <c r="A32360" t="str">
        <f>HYPERLINK("https://www.773grp.com/globalSearch/1SMB5928BT3/page-1", "1SMB5928BT3")</f>
        <v>1SMB5928BT3</v>
      </c>
      <c r="B32360" s="3" t="s">
        <v>95</v>
      </c>
      <c r="C32360" s="6">
        <v>19528</v>
      </c>
      <c r="D32360" s="7">
        <v>0.9</v>
      </c>
      <c r="E32360" t="s">
        <v>98</v>
      </c>
    </row>
    <row r="32361" spans="1:5" x14ac:dyDescent="0.25">
      <c r="A32361" t="str">
        <f>HYPERLINK("https://www.773grp.com/globalSearch/1SMB5934BT3/page-1", "1SMB5934BT3")</f>
        <v>1SMB5934BT3</v>
      </c>
      <c r="B32361" s="3" t="s">
        <v>95</v>
      </c>
      <c r="C32361" s="6">
        <v>2500</v>
      </c>
      <c r="D32361" s="7">
        <v>0.9</v>
      </c>
    </row>
    <row r="32362" spans="1:5" x14ac:dyDescent="0.25">
      <c r="A32362" t="str">
        <f>HYPERLINK("https://www.773grp.com/globalSearch/1SMB5935BT3/page-1", "1SMB5935BT3")</f>
        <v>1SMB5935BT3</v>
      </c>
      <c r="B32362" s="3" t="s">
        <v>95</v>
      </c>
      <c r="C32362" s="6">
        <v>16911</v>
      </c>
      <c r="D32362" s="7">
        <v>0.9</v>
      </c>
      <c r="E32362" t="s">
        <v>98</v>
      </c>
    </row>
    <row r="32363" spans="1:5" x14ac:dyDescent="0.25">
      <c r="A32363" t="str">
        <f>HYPERLINK("https://www.773grp.com/globalSearch/1SMB5938BT3/page-1", "1SMB5938BT3")</f>
        <v>1SMB5938BT3</v>
      </c>
      <c r="B32363" s="3" t="s">
        <v>95</v>
      </c>
      <c r="C32363" s="6">
        <v>2500</v>
      </c>
      <c r="D32363" s="7">
        <v>0.9</v>
      </c>
      <c r="E32363" t="s">
        <v>98</v>
      </c>
    </row>
    <row r="32364" spans="1:5" x14ac:dyDescent="0.25">
      <c r="A32364" t="str">
        <f>HYPERLINK("https://www.773grp.com/globalSearch/1SMB5939BT3/page-1", "1SMB5939BT3")</f>
        <v>1SMB5939BT3</v>
      </c>
      <c r="B32364" s="3" t="s">
        <v>95</v>
      </c>
      <c r="C32364" s="6">
        <v>15000</v>
      </c>
      <c r="D32364" s="7">
        <v>0.9</v>
      </c>
      <c r="E32364" t="s">
        <v>98</v>
      </c>
    </row>
    <row r="32365" spans="1:5" x14ac:dyDescent="0.25">
      <c r="A32365" t="str">
        <f>HYPERLINK("https://www.773grp.com/globalSearch/1SMB5941BT3/page-1", "1SMB5941BT3")</f>
        <v>1SMB5941BT3</v>
      </c>
      <c r="B32365" s="3" t="s">
        <v>95</v>
      </c>
      <c r="C32365" s="6">
        <v>27500</v>
      </c>
      <c r="D32365" s="7">
        <v>0.9</v>
      </c>
      <c r="E32365" t="s">
        <v>98</v>
      </c>
    </row>
    <row r="32366" spans="1:5" x14ac:dyDescent="0.25">
      <c r="A32366" t="str">
        <f>HYPERLINK("https://www.773grp.com/globalSearch/1SMB5944BT3/page-1", "1SMB5944BT3")</f>
        <v>1SMB5944BT3</v>
      </c>
      <c r="B32366" s="3" t="s">
        <v>95</v>
      </c>
      <c r="C32366" s="6">
        <v>40000</v>
      </c>
      <c r="D32366" s="7">
        <v>0.9</v>
      </c>
      <c r="E32366" t="s">
        <v>98</v>
      </c>
    </row>
    <row r="32367" spans="1:5" x14ac:dyDescent="0.25">
      <c r="A32367" t="str">
        <f>HYPERLINK("https://www.773grp.com/globalSearch/1SMB6.5AT3G/page-1", "1SMB6.5AT3G")</f>
        <v>1SMB6.5AT3G</v>
      </c>
      <c r="B32367" s="3" t="s">
        <v>95</v>
      </c>
      <c r="C32367" s="6">
        <v>17500</v>
      </c>
      <c r="D32367" s="7">
        <v>0.9</v>
      </c>
      <c r="E32367" t="s">
        <v>96</v>
      </c>
    </row>
    <row r="32368" spans="1:5" x14ac:dyDescent="0.25">
      <c r="A32368" t="str">
        <f>HYPERLINK("https://www.773grp.com/globalSearch/1SMB60AT3G/page-1", "1SMB60AT3G")</f>
        <v>1SMB60AT3G</v>
      </c>
      <c r="B32368" s="3" t="s">
        <v>95</v>
      </c>
      <c r="C32368" s="6">
        <v>7500</v>
      </c>
      <c r="D32368" s="7">
        <v>0.9</v>
      </c>
      <c r="E32368" t="s">
        <v>96</v>
      </c>
    </row>
    <row r="32369" spans="1:5" x14ac:dyDescent="0.25">
      <c r="A32369" t="str">
        <f>HYPERLINK("https://www.773grp.com/globalSearch/1SMB7.0AT3/page-1", "1SMB7.0AT3")</f>
        <v>1SMB7.0AT3</v>
      </c>
      <c r="B32369" s="3" t="s">
        <v>95</v>
      </c>
      <c r="C32369" s="6">
        <v>5000</v>
      </c>
      <c r="D32369" s="7">
        <v>0.9</v>
      </c>
      <c r="E32369" t="s">
        <v>96</v>
      </c>
    </row>
    <row r="32370" spans="1:5" x14ac:dyDescent="0.25">
      <c r="A32370" t="str">
        <f>HYPERLINK("https://www.773grp.com/globalSearch/1SMB7.0AT3G/page-1", "1SMB7.0AT3G")</f>
        <v>1SMB7.0AT3G</v>
      </c>
      <c r="B32370" s="3" t="s">
        <v>95</v>
      </c>
      <c r="C32370" s="6">
        <v>73750</v>
      </c>
      <c r="D32370" s="7">
        <v>0.9</v>
      </c>
      <c r="E32370" t="s">
        <v>96</v>
      </c>
    </row>
    <row r="32371" spans="1:5" x14ac:dyDescent="0.25">
      <c r="A32371" t="str">
        <f>HYPERLINK("https://www.773grp.com/globalSearch/1SMB75AT3G/page-1", "1SMB75AT3G")</f>
        <v>1SMB75AT3G</v>
      </c>
      <c r="B32371" s="3" t="s">
        <v>95</v>
      </c>
      <c r="C32371" s="6">
        <v>52500</v>
      </c>
      <c r="D32371" s="7">
        <v>0.9</v>
      </c>
      <c r="E32371" t="s">
        <v>96</v>
      </c>
    </row>
    <row r="32372" spans="1:5" x14ac:dyDescent="0.25">
      <c r="A32372" t="str">
        <f>HYPERLINK("https://www.773grp.com/globalSearch/1SMB9.0AT3G/page-1", "1SMB9.0AT3G")</f>
        <v>1SMB9.0AT3G</v>
      </c>
      <c r="B32372" s="3" t="s">
        <v>95</v>
      </c>
      <c r="C32372" s="6">
        <v>12500</v>
      </c>
      <c r="D32372" s="7">
        <v>0.9</v>
      </c>
      <c r="E32372" t="s">
        <v>96</v>
      </c>
    </row>
    <row r="32373" spans="1:5" x14ac:dyDescent="0.25">
      <c r="A32373" t="str">
        <f>HYPERLINK("https://www.773grp.com/globalSearch/2N1711/page-1", "2N1711")</f>
        <v>2N1711</v>
      </c>
      <c r="B32373" s="3" t="s">
        <v>95</v>
      </c>
      <c r="C32373" s="6">
        <v>65</v>
      </c>
      <c r="D32373" s="7">
        <v>0.9</v>
      </c>
      <c r="E32373" t="s">
        <v>69</v>
      </c>
    </row>
    <row r="32374" spans="1:5" x14ac:dyDescent="0.25">
      <c r="A32374" t="str">
        <f>HYPERLINK("https://www.773grp.com/globalSearch/2N5655G/page-1", "2N5655G")</f>
        <v>2N5655G</v>
      </c>
      <c r="B32374" s="3" t="s">
        <v>95</v>
      </c>
      <c r="C32374" s="6">
        <v>16374</v>
      </c>
      <c r="D32374" s="7">
        <v>0.9</v>
      </c>
      <c r="E32374" t="s">
        <v>59</v>
      </c>
    </row>
    <row r="32375" spans="1:5" x14ac:dyDescent="0.25">
      <c r="A32375" t="str">
        <f>HYPERLINK("https://www.773grp.com/globalSearch/2N5657/page-1", "2N5657")</f>
        <v>2N5657</v>
      </c>
      <c r="B32375" s="3" t="s">
        <v>95</v>
      </c>
      <c r="C32375" s="6">
        <v>1589</v>
      </c>
      <c r="D32375" s="7">
        <v>0.9</v>
      </c>
      <c r="E32375" t="s">
        <v>59</v>
      </c>
    </row>
    <row r="32376" spans="1:5" x14ac:dyDescent="0.25">
      <c r="A32376" t="str">
        <f>HYPERLINK("https://www.773grp.com/globalSearch/2N5657G/page-1", "2N5657G")</f>
        <v>2N5657G</v>
      </c>
      <c r="B32376" s="3" t="s">
        <v>95</v>
      </c>
      <c r="C32376" s="6">
        <v>15648</v>
      </c>
      <c r="D32376" s="7">
        <v>0.9</v>
      </c>
      <c r="E32376" t="s">
        <v>59</v>
      </c>
    </row>
    <row r="32377" spans="1:5" x14ac:dyDescent="0.25">
      <c r="A32377" t="str">
        <f>HYPERLINK("https://www.773grp.com/globalSearch/2N6107/page-1", "2N6107")</f>
        <v>2N6107</v>
      </c>
      <c r="B32377" s="3" t="s">
        <v>95</v>
      </c>
      <c r="C32377" s="6">
        <v>1467</v>
      </c>
      <c r="D32377" s="7">
        <v>0.9</v>
      </c>
      <c r="E32377" t="s">
        <v>59</v>
      </c>
    </row>
    <row r="32378" spans="1:5" x14ac:dyDescent="0.25">
      <c r="A32378" t="str">
        <f>HYPERLINK("https://www.773grp.com/globalSearch/2N6109/page-1", "2N6109")</f>
        <v>2N6109</v>
      </c>
      <c r="B32378" s="3" t="s">
        <v>95</v>
      </c>
      <c r="C32378" s="6">
        <v>3629</v>
      </c>
      <c r="D32378" s="7">
        <v>0.9</v>
      </c>
      <c r="E32378" t="s">
        <v>59</v>
      </c>
    </row>
    <row r="32379" spans="1:5" x14ac:dyDescent="0.25">
      <c r="A32379" t="str">
        <f>HYPERLINK("https://www.773grp.com/globalSearch/2N6487/page-1", "2N6487")</f>
        <v>2N6487</v>
      </c>
      <c r="B32379" s="3" t="s">
        <v>95</v>
      </c>
      <c r="C32379" s="6">
        <v>818</v>
      </c>
      <c r="D32379" s="7">
        <v>0.9</v>
      </c>
      <c r="E32379" t="s">
        <v>59</v>
      </c>
    </row>
    <row r="32380" spans="1:5" x14ac:dyDescent="0.25">
      <c r="A32380" t="str">
        <f>HYPERLINK("https://www.773grp.com/globalSearch/2N6488/page-1", "2N6488")</f>
        <v>2N6488</v>
      </c>
      <c r="B32380" s="3" t="s">
        <v>95</v>
      </c>
      <c r="C32380" s="6">
        <v>87090</v>
      </c>
      <c r="D32380" s="7">
        <v>0.9</v>
      </c>
      <c r="E32380" t="s">
        <v>59</v>
      </c>
    </row>
    <row r="32381" spans="1:5" x14ac:dyDescent="0.25">
      <c r="A32381" t="str">
        <f>HYPERLINK("https://www.773grp.com/globalSearch/2N6667/page-1", "2N6667")</f>
        <v>2N6667</v>
      </c>
      <c r="B32381" s="3" t="s">
        <v>95</v>
      </c>
      <c r="C32381" s="6">
        <v>34</v>
      </c>
      <c r="D32381" s="7">
        <v>0.9</v>
      </c>
      <c r="E32381" t="s">
        <v>59</v>
      </c>
    </row>
    <row r="32382" spans="1:5" x14ac:dyDescent="0.25">
      <c r="A32382" t="str">
        <f>HYPERLINK("https://www.773grp.com/globalSearch/2SK715V/page-1", "2SK715V")</f>
        <v>2SK715V</v>
      </c>
      <c r="B32382" s="3" t="s">
        <v>95</v>
      </c>
      <c r="C32382" s="6">
        <v>1099</v>
      </c>
      <c r="D32382" s="7">
        <v>0.9</v>
      </c>
    </row>
    <row r="32383" spans="1:5" x14ac:dyDescent="0.25">
      <c r="A32383" t="str">
        <f>HYPERLINK("https://www.773grp.com/globalSearch/74FST3383DT/page-1", "74FST3383DT")</f>
        <v>74FST3383DT</v>
      </c>
      <c r="B32383" s="3" t="s">
        <v>95</v>
      </c>
      <c r="C32383" s="6">
        <v>10230</v>
      </c>
      <c r="D32383" s="7">
        <v>0.9</v>
      </c>
      <c r="E32383" t="s">
        <v>14</v>
      </c>
    </row>
    <row r="32384" spans="1:5" x14ac:dyDescent="0.25">
      <c r="A32384" t="str">
        <f>HYPERLINK("https://www.773grp.com/globalSearch/74FST3383DTR2/page-1", "74FST3383DTR2")</f>
        <v>74FST3383DTR2</v>
      </c>
      <c r="B32384" s="3" t="s">
        <v>95</v>
      </c>
      <c r="C32384" s="6">
        <v>17500</v>
      </c>
      <c r="D32384" s="7">
        <v>0.9</v>
      </c>
      <c r="E32384" t="s">
        <v>14</v>
      </c>
    </row>
    <row r="32385" spans="1:5" x14ac:dyDescent="0.25">
      <c r="A32385" t="str">
        <f>HYPERLINK("https://www.773grp.com/globalSearch/74FST3383DW/page-1", "74FST3383DW")</f>
        <v>74FST3383DW</v>
      </c>
      <c r="B32385" s="3" t="s">
        <v>95</v>
      </c>
      <c r="C32385" s="6">
        <v>11250</v>
      </c>
      <c r="D32385" s="7">
        <v>0.9</v>
      </c>
      <c r="E32385" t="s">
        <v>14</v>
      </c>
    </row>
    <row r="32386" spans="1:5" x14ac:dyDescent="0.25">
      <c r="A32386" t="str">
        <f>HYPERLINK("https://www.773grp.com/globalSearch/74FST3383DWR2/page-1", "74FST3383DWR2")</f>
        <v>74FST3383DWR2</v>
      </c>
      <c r="B32386" s="3" t="s">
        <v>95</v>
      </c>
      <c r="C32386" s="6">
        <v>16000</v>
      </c>
      <c r="D32386" s="7">
        <v>0.9</v>
      </c>
      <c r="E32386" t="s">
        <v>14</v>
      </c>
    </row>
    <row r="32387" spans="1:5" x14ac:dyDescent="0.25">
      <c r="A32387" t="str">
        <f>HYPERLINK("https://www.773grp.com/globalSearch/74FST3383QS/page-1", "74FST3383QS")</f>
        <v>74FST3383QS</v>
      </c>
      <c r="B32387" s="3" t="s">
        <v>95</v>
      </c>
      <c r="C32387" s="6">
        <v>9055</v>
      </c>
      <c r="D32387" s="7">
        <v>0.9</v>
      </c>
      <c r="E32387" t="s">
        <v>14</v>
      </c>
    </row>
    <row r="32388" spans="1:5" x14ac:dyDescent="0.25">
      <c r="A32388" t="str">
        <f>HYPERLINK("https://www.773grp.com/globalSearch/74FST3383QSR/page-1", "74FST3383QSR")</f>
        <v>74FST3383QSR</v>
      </c>
      <c r="B32388" s="3" t="s">
        <v>95</v>
      </c>
      <c r="C32388" s="6">
        <v>27500</v>
      </c>
      <c r="D32388" s="7">
        <v>0.9</v>
      </c>
      <c r="E32388" t="s">
        <v>14</v>
      </c>
    </row>
    <row r="32389" spans="1:5" x14ac:dyDescent="0.25">
      <c r="A32389" t="str">
        <f>HYPERLINK("https://www.773grp.com/globalSearch/74FST3384DT/page-1", "74FST3384DT")</f>
        <v>74FST3384DT</v>
      </c>
      <c r="B32389" s="3" t="s">
        <v>95</v>
      </c>
      <c r="C32389" s="6">
        <v>7161</v>
      </c>
      <c r="D32389" s="7">
        <v>0.9</v>
      </c>
      <c r="E32389" t="s">
        <v>14</v>
      </c>
    </row>
    <row r="32390" spans="1:5" x14ac:dyDescent="0.25">
      <c r="A32390" t="str">
        <f>HYPERLINK("https://www.773grp.com/globalSearch/74FST3384DWR2/page-1", "74FST3384DWR2")</f>
        <v>74FST3384DWR2</v>
      </c>
      <c r="B32390" s="3" t="s">
        <v>95</v>
      </c>
      <c r="C32390" s="6">
        <v>6000</v>
      </c>
      <c r="D32390" s="7">
        <v>0.9</v>
      </c>
      <c r="E32390" t="s">
        <v>14</v>
      </c>
    </row>
    <row r="32391" spans="1:5" x14ac:dyDescent="0.25">
      <c r="A32391" t="str">
        <f>HYPERLINK("https://www.773grp.com/globalSearch/74FST3384QS/page-1", "74FST3384QS")</f>
        <v>74FST3384QS</v>
      </c>
      <c r="B32391" s="3" t="s">
        <v>95</v>
      </c>
      <c r="C32391" s="6">
        <v>8965</v>
      </c>
      <c r="D32391" s="7">
        <v>0.9</v>
      </c>
      <c r="E32391" t="s">
        <v>14</v>
      </c>
    </row>
    <row r="32392" spans="1:5" x14ac:dyDescent="0.25">
      <c r="A32392" t="str">
        <f>HYPERLINK("https://www.773grp.com/globalSearch/ADP3120AJCPZ-RL/page-1", "ADP3120AJCPZ-RL")</f>
        <v>ADP3120AJCPZ-RL</v>
      </c>
      <c r="B32392" s="3" t="s">
        <v>95</v>
      </c>
      <c r="C32392" s="6">
        <v>138988</v>
      </c>
      <c r="D32392" s="7">
        <v>0.9</v>
      </c>
      <c r="E32392" t="s">
        <v>16</v>
      </c>
    </row>
    <row r="32393" spans="1:5" x14ac:dyDescent="0.25">
      <c r="A32393" t="str">
        <f>HYPERLINK("https://www.773grp.com/globalSearch/ADP3121JCPZ-RL/page-1", "ADP3121JCPZ-RL")</f>
        <v>ADP3121JCPZ-RL</v>
      </c>
      <c r="B32393" s="3" t="s">
        <v>95</v>
      </c>
      <c r="C32393" s="6">
        <v>103000</v>
      </c>
      <c r="D32393" s="7">
        <v>0.9</v>
      </c>
      <c r="E32393" t="s">
        <v>16</v>
      </c>
    </row>
    <row r="32394" spans="1:5" x14ac:dyDescent="0.25">
      <c r="A32394" t="str">
        <f>HYPERLINK("https://www.773grp.com/globalSearch/BD159G/page-1", "BD159G")</f>
        <v>BD159G</v>
      </c>
      <c r="B32394" s="3" t="s">
        <v>95</v>
      </c>
      <c r="C32394" s="6">
        <v>1000</v>
      </c>
      <c r="D32394" s="7">
        <v>0.9</v>
      </c>
      <c r="E32394" t="s">
        <v>59</v>
      </c>
    </row>
    <row r="32395" spans="1:5" x14ac:dyDescent="0.25">
      <c r="A32395" t="str">
        <f>HYPERLINK("https://www.773grp.com/globalSearch/BD244C/page-1", "BD244C")</f>
        <v>BD244C</v>
      </c>
      <c r="B32395" s="3" t="s">
        <v>95</v>
      </c>
      <c r="C32395" s="6">
        <v>214</v>
      </c>
      <c r="D32395" s="7">
        <v>0.9</v>
      </c>
      <c r="E32395" t="s">
        <v>59</v>
      </c>
    </row>
    <row r="32396" spans="1:5" x14ac:dyDescent="0.25">
      <c r="A32396" t="str">
        <f>HYPERLINK("https://www.773grp.com/globalSearch/BD809/page-1", "BD809")</f>
        <v>BD809</v>
      </c>
      <c r="B32396" s="3" t="s">
        <v>95</v>
      </c>
      <c r="C32396" s="6">
        <v>2350</v>
      </c>
      <c r="D32396" s="7">
        <v>0.9</v>
      </c>
      <c r="E32396" t="s">
        <v>59</v>
      </c>
    </row>
    <row r="32397" spans="1:5" x14ac:dyDescent="0.25">
      <c r="A32397" t="str">
        <f>HYPERLINK("https://www.773grp.com/globalSearch/BUX85/page-1", "BUX85")</f>
        <v>BUX85</v>
      </c>
      <c r="B32397" s="3" t="s">
        <v>95</v>
      </c>
      <c r="C32397" s="6">
        <v>229</v>
      </c>
      <c r="D32397" s="7">
        <v>0.9</v>
      </c>
      <c r="E32397" t="s">
        <v>59</v>
      </c>
    </row>
    <row r="32398" spans="1:5" x14ac:dyDescent="0.25">
      <c r="A32398" t="str">
        <f>HYPERLINK("https://www.773grp.com/globalSearch/CAT24AA16WI-G/page-1", "CAT24AA16WI-G")</f>
        <v>CAT24AA16WI-G</v>
      </c>
      <c r="B32398" s="3" t="s">
        <v>95</v>
      </c>
      <c r="C32398" s="6">
        <v>300</v>
      </c>
      <c r="D32398" s="7">
        <v>0.9</v>
      </c>
    </row>
    <row r="32399" spans="1:5" x14ac:dyDescent="0.25">
      <c r="A32399" t="str">
        <f>HYPERLINK("https://www.773grp.com/globalSearch/CAT24AA16WI-GT3/page-1", "CAT24AA16WI-GT3")</f>
        <v>CAT24AA16WI-GT3</v>
      </c>
      <c r="B32399" s="3" t="s">
        <v>95</v>
      </c>
      <c r="C32399" s="6">
        <v>18000</v>
      </c>
      <c r="D32399" s="7">
        <v>0.9</v>
      </c>
      <c r="E32399" t="s">
        <v>64</v>
      </c>
    </row>
    <row r="32400" spans="1:5" x14ac:dyDescent="0.25">
      <c r="A32400" t="str">
        <f>HYPERLINK("https://www.773grp.com/globalSearch/CAT24C01LI-G/page-1", "CAT24C01LI-G")</f>
        <v>CAT24C01LI-G</v>
      </c>
      <c r="B32400" s="3" t="s">
        <v>95</v>
      </c>
      <c r="C32400" s="6">
        <v>10300</v>
      </c>
      <c r="D32400" s="7">
        <v>0.9</v>
      </c>
      <c r="E32400" t="s">
        <v>64</v>
      </c>
    </row>
    <row r="32401" spans="1:5" x14ac:dyDescent="0.25">
      <c r="A32401" t="str">
        <f>HYPERLINK("https://www.773grp.com/globalSearch/CAT24C02WE-G/page-1", "CAT24C02WE-G")</f>
        <v>CAT24C02WE-G</v>
      </c>
      <c r="B32401" s="3" t="s">
        <v>95</v>
      </c>
      <c r="C32401" s="6">
        <v>1600</v>
      </c>
      <c r="D32401" s="7">
        <v>0.9</v>
      </c>
    </row>
    <row r="32402" spans="1:5" x14ac:dyDescent="0.25">
      <c r="A32402" t="str">
        <f>HYPERLINK("https://www.773grp.com/globalSearch/CAT24C02YE-GT3/page-1", "CAT24C02YE-GT3")</f>
        <v>CAT24C02YE-GT3</v>
      </c>
      <c r="B32402" s="3" t="s">
        <v>95</v>
      </c>
      <c r="C32402" s="6">
        <v>9000</v>
      </c>
      <c r="D32402" s="7">
        <v>0.9</v>
      </c>
      <c r="E32402" t="s">
        <v>64</v>
      </c>
    </row>
    <row r="32403" spans="1:5" x14ac:dyDescent="0.25">
      <c r="A32403" t="str">
        <f>HYPERLINK("https://www.773grp.com/globalSearch/CAT24C02YE-GT3A/page-1", "CAT24C02YE-GT3A")</f>
        <v>CAT24C02YE-GT3A</v>
      </c>
      <c r="B32403" s="3" t="s">
        <v>95</v>
      </c>
      <c r="C32403" s="6">
        <v>1000</v>
      </c>
      <c r="D32403" s="7">
        <v>0.9</v>
      </c>
      <c r="E32403" t="s">
        <v>64</v>
      </c>
    </row>
    <row r="32404" spans="1:5" x14ac:dyDescent="0.25">
      <c r="A32404" t="str">
        <f>HYPERLINK("https://www.773grp.com/globalSearch/CAT24C03WI-G/page-1", "CAT24C03WI-G")</f>
        <v>CAT24C03WI-G</v>
      </c>
      <c r="B32404" s="3" t="s">
        <v>95</v>
      </c>
      <c r="C32404" s="6">
        <v>568</v>
      </c>
      <c r="D32404" s="7">
        <v>0.9</v>
      </c>
    </row>
    <row r="32405" spans="1:5" x14ac:dyDescent="0.25">
      <c r="A32405" t="str">
        <f>HYPERLINK("https://www.773grp.com/globalSearch/CAT24C05WI-GT3/page-1", "CAT24C05WI-GT3")</f>
        <v>CAT24C05WI-GT3</v>
      </c>
      <c r="B32405" s="3" t="s">
        <v>95</v>
      </c>
      <c r="C32405" s="6">
        <v>6000</v>
      </c>
      <c r="D32405" s="7">
        <v>0.9</v>
      </c>
      <c r="E32405" t="s">
        <v>64</v>
      </c>
    </row>
    <row r="32406" spans="1:5" x14ac:dyDescent="0.25">
      <c r="A32406" t="str">
        <f>HYPERLINK("https://www.773grp.com/globalSearch/CAT24C05YI-GT3/page-1", "CAT24C05YI-GT3")</f>
        <v>CAT24C05YI-GT3</v>
      </c>
      <c r="B32406" s="3" t="s">
        <v>95</v>
      </c>
      <c r="C32406" s="6">
        <v>9000</v>
      </c>
      <c r="D32406" s="7">
        <v>0.9</v>
      </c>
      <c r="E32406" t="s">
        <v>64</v>
      </c>
    </row>
    <row r="32407" spans="1:5" x14ac:dyDescent="0.25">
      <c r="A32407" t="str">
        <f>HYPERLINK("https://www.773grp.com/globalSearch/CAT24C32HU3I-GT3/page-1", "CAT24C32HU3I-GT3")</f>
        <v>CAT24C32HU3I-GT3</v>
      </c>
      <c r="B32407" s="3" t="s">
        <v>95</v>
      </c>
      <c r="C32407" s="6">
        <v>3000</v>
      </c>
      <c r="D32407" s="7">
        <v>0.9</v>
      </c>
      <c r="E32407" t="s">
        <v>64</v>
      </c>
    </row>
    <row r="32408" spans="1:5" x14ac:dyDescent="0.25">
      <c r="A32408" t="str">
        <f>HYPERLINK("https://www.773grp.com/globalSearch/CAT24C32HU4I-GT3/page-1", "CAT24C32HU4I-GT3")</f>
        <v>CAT24C32HU4I-GT3</v>
      </c>
      <c r="B32408" s="3" t="s">
        <v>95</v>
      </c>
      <c r="C32408" s="6">
        <v>22425</v>
      </c>
      <c r="D32408" s="7">
        <v>0.9</v>
      </c>
      <c r="E32408" t="s">
        <v>64</v>
      </c>
    </row>
    <row r="32409" spans="1:5" x14ac:dyDescent="0.25">
      <c r="A32409" t="str">
        <f>HYPERLINK("https://www.773grp.com/globalSearch/CAT24C32YI-G/page-1", "CAT24C32YI-G")</f>
        <v>CAT24C32YI-G</v>
      </c>
      <c r="B32409" s="3" t="s">
        <v>95</v>
      </c>
      <c r="C32409" s="6">
        <v>3659</v>
      </c>
      <c r="D32409" s="7">
        <v>0.9</v>
      </c>
    </row>
    <row r="32410" spans="1:5" x14ac:dyDescent="0.25">
      <c r="A32410" t="str">
        <f>HYPERLINK("https://www.773grp.com/globalSearch/CAT24C32YI-G/page-1", "CAT24C32YI-G")</f>
        <v>CAT24C32YI-G</v>
      </c>
      <c r="B32410" s="3" t="s">
        <v>95</v>
      </c>
      <c r="C32410" s="6">
        <v>900</v>
      </c>
      <c r="D32410" s="7">
        <v>0.9</v>
      </c>
    </row>
    <row r="32411" spans="1:5" x14ac:dyDescent="0.25">
      <c r="A32411" t="str">
        <f>HYPERLINK("https://www.773grp.com/globalSearch/CAT25010YI-G/page-1", "CAT25010YI-G")</f>
        <v>CAT25010YI-G</v>
      </c>
      <c r="B32411" s="3" t="s">
        <v>95</v>
      </c>
      <c r="C32411" s="6">
        <v>4962</v>
      </c>
      <c r="D32411" s="7">
        <v>0.9</v>
      </c>
    </row>
    <row r="32412" spans="1:5" x14ac:dyDescent="0.25">
      <c r="A32412" t="str">
        <f>HYPERLINK("https://www.773grp.com/globalSearch/CAT25010YI-GD/page-1", "CAT25010YI-GD")</f>
        <v>CAT25010YI-GD</v>
      </c>
      <c r="B32412" s="3" t="s">
        <v>95</v>
      </c>
      <c r="C32412" s="6">
        <v>4300</v>
      </c>
      <c r="D32412" s="7">
        <v>0.9</v>
      </c>
    </row>
    <row r="32413" spans="1:5" x14ac:dyDescent="0.25">
      <c r="A32413" t="str">
        <f>HYPERLINK("https://www.773grp.com/globalSearch/CAT25020HU4I-GT3/page-1", "CAT25020HU4I-GT3")</f>
        <v>CAT25020HU4I-GT3</v>
      </c>
      <c r="B32413" s="3" t="s">
        <v>95</v>
      </c>
      <c r="C32413" s="6">
        <v>9000</v>
      </c>
      <c r="D32413" s="7">
        <v>0.9</v>
      </c>
    </row>
    <row r="32414" spans="1:5" x14ac:dyDescent="0.25">
      <c r="A32414" t="str">
        <f>HYPERLINK("https://www.773grp.com/globalSearch/CAT808NTDI-32GT3/page-1", "CAT808NTDI-32GT3")</f>
        <v>CAT808NTDI-32GT3</v>
      </c>
      <c r="B32414" s="3" t="s">
        <v>95</v>
      </c>
      <c r="C32414" s="6">
        <v>39000</v>
      </c>
      <c r="D32414" s="7">
        <v>0.9</v>
      </c>
    </row>
    <row r="32415" spans="1:5" x14ac:dyDescent="0.25">
      <c r="A32415" t="str">
        <f>HYPERLINK("https://www.773grp.com/globalSearch/CAT809JSDI-GT3/page-1", "CAT809JSDI-GT3")</f>
        <v>CAT809JSDI-GT3</v>
      </c>
      <c r="B32415" s="3" t="s">
        <v>95</v>
      </c>
      <c r="C32415" s="6">
        <v>3000</v>
      </c>
      <c r="D32415" s="7">
        <v>0.9</v>
      </c>
    </row>
    <row r="32416" spans="1:5" x14ac:dyDescent="0.25">
      <c r="A32416" t="str">
        <f>HYPERLINK("https://www.773grp.com/globalSearch/CAT809LTBI-GT3/page-1", "CAT809LTBI-GT3")</f>
        <v>CAT809LTBI-GT3</v>
      </c>
      <c r="B32416" s="3" t="s">
        <v>95</v>
      </c>
      <c r="C32416" s="6">
        <v>3000</v>
      </c>
      <c r="D32416" s="7">
        <v>0.9</v>
      </c>
    </row>
    <row r="32417" spans="1:5" x14ac:dyDescent="0.25">
      <c r="A32417" t="str">
        <f>HYPERLINK("https://www.773grp.com/globalSearch/CAT809LTBI-T3/page-1", "CAT809LTBI-T3")</f>
        <v>CAT809LTBI-T3</v>
      </c>
      <c r="B32417" s="3" t="s">
        <v>95</v>
      </c>
      <c r="C32417" s="6">
        <v>4517</v>
      </c>
      <c r="D32417" s="7">
        <v>0.9</v>
      </c>
    </row>
    <row r="32418" spans="1:5" x14ac:dyDescent="0.25">
      <c r="A32418" t="str">
        <f>HYPERLINK("https://www.773grp.com/globalSearch/CAT809MSDI-GT3/page-1", "CAT809MSDI-GT3")</f>
        <v>CAT809MSDI-GT3</v>
      </c>
      <c r="B32418" s="3" t="s">
        <v>95</v>
      </c>
      <c r="C32418" s="6">
        <v>58771</v>
      </c>
      <c r="D32418" s="7">
        <v>0.9</v>
      </c>
    </row>
    <row r="32419" spans="1:5" x14ac:dyDescent="0.25">
      <c r="A32419" t="str">
        <f>HYPERLINK("https://www.773grp.com/globalSearch/CAT809MTBI-GT3/page-1", "CAT809MTBI-GT3")</f>
        <v>CAT809MTBI-GT3</v>
      </c>
      <c r="B32419" s="3" t="s">
        <v>95</v>
      </c>
      <c r="C32419" s="6">
        <v>3000</v>
      </c>
      <c r="D32419" s="7">
        <v>0.9</v>
      </c>
    </row>
    <row r="32420" spans="1:5" x14ac:dyDescent="0.25">
      <c r="A32420" t="str">
        <f>HYPERLINK("https://www.773grp.com/globalSearch/CAT809MTBI-T3/page-1", "CAT809MTBI-T3")</f>
        <v>CAT809MTBI-T3</v>
      </c>
      <c r="B32420" s="3" t="s">
        <v>95</v>
      </c>
      <c r="C32420" s="6">
        <v>5796</v>
      </c>
      <c r="D32420" s="7">
        <v>0.9</v>
      </c>
    </row>
    <row r="32421" spans="1:5" x14ac:dyDescent="0.25">
      <c r="A32421" t="str">
        <f>HYPERLINK("https://www.773grp.com/globalSearch/CAT809RTBI-GT3/page-1", "CAT809RTBI-GT3")</f>
        <v>CAT809RTBI-GT3</v>
      </c>
      <c r="B32421" s="3" t="s">
        <v>95</v>
      </c>
      <c r="C32421" s="6">
        <v>51000</v>
      </c>
      <c r="D32421" s="7">
        <v>0.9</v>
      </c>
    </row>
    <row r="32422" spans="1:5" x14ac:dyDescent="0.25">
      <c r="A32422" t="str">
        <f>HYPERLINK("https://www.773grp.com/globalSearch/CAT809RTBI-T3/page-1", "CAT809RTBI-T3")</f>
        <v>CAT809RTBI-T3</v>
      </c>
      <c r="B32422" s="3" t="s">
        <v>95</v>
      </c>
      <c r="C32422" s="6">
        <v>36000</v>
      </c>
      <c r="D32422" s="7">
        <v>0.9</v>
      </c>
    </row>
    <row r="32423" spans="1:5" x14ac:dyDescent="0.25">
      <c r="A32423" t="str">
        <f>HYPERLINK("https://www.773grp.com/globalSearch/CAT809SSDI-GT3/page-1", "CAT809SSDI-GT3")</f>
        <v>CAT809SSDI-GT3</v>
      </c>
      <c r="B32423" s="3" t="s">
        <v>95</v>
      </c>
      <c r="C32423" s="6">
        <v>6000</v>
      </c>
      <c r="D32423" s="7">
        <v>0.9</v>
      </c>
    </row>
    <row r="32424" spans="1:5" x14ac:dyDescent="0.25">
      <c r="A32424" t="str">
        <f>HYPERLINK("https://www.773grp.com/globalSearch/CAT809SSDI-T3/page-1", "CAT809SSDI-T3")</f>
        <v>CAT809SSDI-T3</v>
      </c>
      <c r="B32424" s="3" t="s">
        <v>95</v>
      </c>
      <c r="C32424" s="6">
        <v>33000</v>
      </c>
      <c r="D32424" s="7">
        <v>0.9</v>
      </c>
      <c r="E32424" t="s">
        <v>30</v>
      </c>
    </row>
    <row r="32425" spans="1:5" x14ac:dyDescent="0.25">
      <c r="A32425" t="str">
        <f>HYPERLINK("https://www.773grp.com/globalSearch/CAT809STBI-GT3/page-1", "CAT809STBI-GT3")</f>
        <v>CAT809STBI-GT3</v>
      </c>
      <c r="B32425" s="3" t="s">
        <v>95</v>
      </c>
      <c r="C32425" s="6">
        <v>43332</v>
      </c>
      <c r="D32425" s="7">
        <v>0.9</v>
      </c>
    </row>
    <row r="32426" spans="1:5" x14ac:dyDescent="0.25">
      <c r="A32426" t="str">
        <f>HYPERLINK("https://www.773grp.com/globalSearch/CAT809STBI-T3/page-1", "CAT809STBI-T3")</f>
        <v>CAT809STBI-T3</v>
      </c>
      <c r="B32426" s="3" t="s">
        <v>95</v>
      </c>
      <c r="C32426" s="6">
        <v>3700</v>
      </c>
      <c r="D32426" s="7">
        <v>0.9</v>
      </c>
    </row>
    <row r="32427" spans="1:5" x14ac:dyDescent="0.25">
      <c r="A32427" t="str">
        <f>HYPERLINK("https://www.773grp.com/globalSearch/CAT809TTBI-T3/page-1", "CAT809TTBI-T3")</f>
        <v>CAT809TTBI-T3</v>
      </c>
      <c r="B32427" s="3" t="s">
        <v>95</v>
      </c>
      <c r="C32427" s="6">
        <v>147000</v>
      </c>
      <c r="D32427" s="7">
        <v>0.9</v>
      </c>
    </row>
    <row r="32428" spans="1:5" x14ac:dyDescent="0.25">
      <c r="A32428" t="str">
        <f>HYPERLINK("https://www.773grp.com/globalSearch/CAT809ZTBI-GT3/page-1", "CAT809ZTBI-GT3")</f>
        <v>CAT809ZTBI-GT3</v>
      </c>
      <c r="B32428" s="3" t="s">
        <v>95</v>
      </c>
      <c r="C32428" s="6">
        <v>2965</v>
      </c>
      <c r="D32428" s="7">
        <v>0.9</v>
      </c>
    </row>
    <row r="32429" spans="1:5" x14ac:dyDescent="0.25">
      <c r="A32429" t="str">
        <f>HYPERLINK("https://www.773grp.com/globalSearch/CAT93C46RVP2IGT3/page-1", "CAT93C46RVP2IGT3")</f>
        <v>CAT93C46RVP2IGT3</v>
      </c>
      <c r="B32429" s="3" t="s">
        <v>95</v>
      </c>
      <c r="C32429" s="6">
        <v>36000</v>
      </c>
      <c r="D32429" s="7">
        <v>0.9</v>
      </c>
      <c r="E32429" t="s">
        <v>64</v>
      </c>
    </row>
    <row r="32430" spans="1:5" x14ac:dyDescent="0.25">
      <c r="A32430" t="str">
        <f>HYPERLINK("https://www.773grp.com/globalSearch/CAT93C56LI-G/page-1", "CAT93C56LI-G")</f>
        <v>CAT93C56LI-G</v>
      </c>
      <c r="B32430" s="3" t="s">
        <v>95</v>
      </c>
      <c r="C32430" s="6">
        <v>1650</v>
      </c>
      <c r="D32430" s="7">
        <v>0.9</v>
      </c>
      <c r="E32430" t="s">
        <v>64</v>
      </c>
    </row>
    <row r="32431" spans="1:5" x14ac:dyDescent="0.25">
      <c r="A32431" t="str">
        <f>HYPERLINK("https://www.773grp.com/globalSearch/CAT93C56VI-G/page-1", "CAT93C56VI-G")</f>
        <v>CAT93C56VI-G</v>
      </c>
      <c r="B32431" s="3" t="s">
        <v>95</v>
      </c>
      <c r="C32431" s="6">
        <v>14900</v>
      </c>
      <c r="D32431" s="7">
        <v>0.9</v>
      </c>
    </row>
    <row r="32432" spans="1:5" x14ac:dyDescent="0.25">
      <c r="A32432" t="str">
        <f>HYPERLINK("https://www.773grp.com/globalSearch/CAT93C56YI-G/page-1", "CAT93C56YI-G")</f>
        <v>CAT93C56YI-G</v>
      </c>
      <c r="B32432" s="3" t="s">
        <v>95</v>
      </c>
      <c r="C32432" s="6">
        <v>3900</v>
      </c>
      <c r="D32432" s="7">
        <v>0.9</v>
      </c>
      <c r="E32432" t="s">
        <v>64</v>
      </c>
    </row>
    <row r="32433" spans="1:5" x14ac:dyDescent="0.25">
      <c r="A32433" t="str">
        <f>HYPERLINK("https://www.773grp.com/globalSearch/CAV24C08WE-GT3/page-1", "CAV24C08WE-GT3")</f>
        <v>CAV24C08WE-GT3</v>
      </c>
      <c r="B32433" s="3" t="s">
        <v>95</v>
      </c>
      <c r="C32433" s="6">
        <v>15000</v>
      </c>
      <c r="D32433" s="7">
        <v>0.9</v>
      </c>
    </row>
    <row r="32434" spans="1:5" x14ac:dyDescent="0.25">
      <c r="A32434" t="str">
        <f>HYPERLINK("https://www.773grp.com/globalSearch/CM1263-06DE/page-1", "CM1263-06DE")</f>
        <v>CM1263-06DE</v>
      </c>
      <c r="B32434" s="3" t="s">
        <v>95</v>
      </c>
      <c r="C32434" s="6">
        <v>6000</v>
      </c>
      <c r="D32434" s="7">
        <v>0.9</v>
      </c>
      <c r="E32434" t="s">
        <v>96</v>
      </c>
    </row>
    <row r="32435" spans="1:5" x14ac:dyDescent="0.25">
      <c r="A32435" t="str">
        <f>HYPERLINK("https://www.773grp.com/globalSearch/CM1422-03CP/page-1", "CM1422-03CP")</f>
        <v>CM1422-03CP</v>
      </c>
      <c r="B32435" s="3" t="s">
        <v>95</v>
      </c>
      <c r="C32435" s="6">
        <v>78960</v>
      </c>
      <c r="D32435" s="7">
        <v>0.9</v>
      </c>
    </row>
    <row r="32436" spans="1:5" x14ac:dyDescent="0.25">
      <c r="A32436" t="str">
        <f>HYPERLINK("https://www.773grp.com/globalSearch/CM1693-06DE/page-1", "CM1693-06DE")</f>
        <v>CM1693-06DE</v>
      </c>
      <c r="B32436" s="3" t="s">
        <v>95</v>
      </c>
      <c r="C32436" s="6">
        <v>36000</v>
      </c>
      <c r="D32436" s="7">
        <v>0.9</v>
      </c>
      <c r="E32436" t="s">
        <v>100</v>
      </c>
    </row>
    <row r="32437" spans="1:5" x14ac:dyDescent="0.25">
      <c r="A32437" t="str">
        <f>HYPERLINK("https://www.773grp.com/globalSearch/CM6400A/page-1", "CM6400A")</f>
        <v>CM6400A</v>
      </c>
      <c r="B32437" s="3" t="s">
        <v>95</v>
      </c>
      <c r="C32437" s="6">
        <v>10000</v>
      </c>
      <c r="D32437" s="7">
        <v>0.9</v>
      </c>
    </row>
    <row r="32438" spans="1:5" x14ac:dyDescent="0.25">
      <c r="A32438" t="str">
        <f>HYPERLINK("https://www.773grp.com/globalSearch/J110RLRA/page-1", "J110RLRA")</f>
        <v>J110RLRA</v>
      </c>
      <c r="B32438" s="3" t="s">
        <v>95</v>
      </c>
      <c r="C32438" s="6">
        <v>18000</v>
      </c>
      <c r="D32438" s="7">
        <v>0.9</v>
      </c>
      <c r="E32438" t="s">
        <v>106</v>
      </c>
    </row>
    <row r="32439" spans="1:5" x14ac:dyDescent="0.25">
      <c r="A32439" t="str">
        <f>HYPERLINK("https://www.773grp.com/globalSearch/LM2903VDG/page-1", "LM2903VDG")</f>
        <v>LM2903VDG</v>
      </c>
      <c r="B32439" s="3" t="s">
        <v>95</v>
      </c>
      <c r="C32439" s="6">
        <v>30658</v>
      </c>
      <c r="D32439" s="7">
        <v>0.9</v>
      </c>
      <c r="E32439" t="s">
        <v>9</v>
      </c>
    </row>
    <row r="32440" spans="1:5" x14ac:dyDescent="0.25">
      <c r="A32440" t="str">
        <f>HYPERLINK("https://www.773grp.com/globalSearch/LM2903VDR2G/page-1", "LM2903VDR2G")</f>
        <v>LM2903VDR2G</v>
      </c>
      <c r="B32440" s="3" t="s">
        <v>95</v>
      </c>
      <c r="C32440" s="6">
        <v>50000</v>
      </c>
      <c r="D32440" s="7">
        <v>0.9</v>
      </c>
      <c r="E32440" t="s">
        <v>9</v>
      </c>
    </row>
    <row r="32441" spans="1:5" x14ac:dyDescent="0.25">
      <c r="A32441" t="str">
        <f>HYPERLINK("https://www.773grp.com/globalSearch/LM2904VDG/page-1", "LM2904VDG")</f>
        <v>LM2904VDG</v>
      </c>
      <c r="B32441" s="3" t="s">
        <v>95</v>
      </c>
      <c r="C32441" s="6">
        <v>8428</v>
      </c>
      <c r="D32441" s="7">
        <v>0.9</v>
      </c>
      <c r="E32441" t="s">
        <v>13</v>
      </c>
    </row>
    <row r="32442" spans="1:5" x14ac:dyDescent="0.25">
      <c r="A32442" t="str">
        <f>HYPERLINK("https://www.773grp.com/globalSearch/LM2904VDR2G/page-1", "LM2904VDR2G")</f>
        <v>LM2904VDR2G</v>
      </c>
      <c r="B32442" s="3" t="s">
        <v>95</v>
      </c>
      <c r="C32442" s="6">
        <v>239900</v>
      </c>
      <c r="D32442" s="7">
        <v>0.9</v>
      </c>
      <c r="E32442" t="s">
        <v>13</v>
      </c>
    </row>
    <row r="32443" spans="1:5" x14ac:dyDescent="0.25">
      <c r="A32443" t="str">
        <f>HYPERLINK("https://www.773grp.com/globalSearch/LM317D2TR4/page-1", "LM317D2TR4")</f>
        <v>LM317D2TR4</v>
      </c>
      <c r="B32443" s="3" t="s">
        <v>95</v>
      </c>
      <c r="C32443" s="6">
        <v>31229</v>
      </c>
      <c r="D32443" s="7">
        <v>0.9</v>
      </c>
      <c r="E32443" t="s">
        <v>22</v>
      </c>
    </row>
    <row r="32444" spans="1:5" x14ac:dyDescent="0.25">
      <c r="A32444" t="str">
        <f>HYPERLINK("https://www.773grp.com/globalSearch/LM324DTBG/page-1", "LM324DTBG")</f>
        <v>LM324DTBG</v>
      </c>
      <c r="B32444" s="3" t="s">
        <v>95</v>
      </c>
      <c r="C32444" s="6">
        <v>2432</v>
      </c>
      <c r="D32444" s="7">
        <v>0.9</v>
      </c>
      <c r="E32444" t="s">
        <v>13</v>
      </c>
    </row>
    <row r="32445" spans="1:5" x14ac:dyDescent="0.25">
      <c r="A32445" t="str">
        <f>HYPERLINK("https://www.773grp.com/globalSearch/LM339DTBR2G/page-1", "LM339DTBR2G")</f>
        <v>LM339DTBR2G</v>
      </c>
      <c r="B32445" s="3" t="s">
        <v>95</v>
      </c>
      <c r="C32445" s="6">
        <v>30196</v>
      </c>
      <c r="D32445" s="7">
        <v>0.9</v>
      </c>
      <c r="E32445" t="s">
        <v>9</v>
      </c>
    </row>
    <row r="32446" spans="1:5" x14ac:dyDescent="0.25">
      <c r="A32446" t="str">
        <f>HYPERLINK("https://www.773grp.com/globalSearch/LM833D/page-1", "LM833D")</f>
        <v>LM833D</v>
      </c>
      <c r="B32446" s="3" t="s">
        <v>95</v>
      </c>
      <c r="C32446" s="6">
        <v>6107</v>
      </c>
      <c r="D32446" s="7">
        <v>0.9</v>
      </c>
      <c r="E32446" t="s">
        <v>18</v>
      </c>
    </row>
    <row r="32447" spans="1:5" x14ac:dyDescent="0.25">
      <c r="A32447" t="str">
        <f>HYPERLINK("https://www.773grp.com/globalSearch/LM833DR2/page-1", "LM833DR2")</f>
        <v>LM833DR2</v>
      </c>
      <c r="B32447" s="3" t="s">
        <v>95</v>
      </c>
      <c r="C32447" s="6">
        <v>2305</v>
      </c>
      <c r="D32447" s="7">
        <v>0.9</v>
      </c>
      <c r="E32447" t="s">
        <v>18</v>
      </c>
    </row>
    <row r="32448" spans="1:5" x14ac:dyDescent="0.25">
      <c r="A32448" t="str">
        <f>HYPERLINK("https://www.773grp.com/globalSearch/MAX828SNTR/page-1", "MAX828SNTR")</f>
        <v>MAX828SNTR</v>
      </c>
      <c r="B32448" s="3" t="s">
        <v>95</v>
      </c>
      <c r="C32448" s="6">
        <v>1489300</v>
      </c>
      <c r="D32448" s="7">
        <v>0.9</v>
      </c>
      <c r="E32448" t="s">
        <v>7</v>
      </c>
    </row>
    <row r="32449" spans="1:5" x14ac:dyDescent="0.25">
      <c r="A32449" t="str">
        <f>HYPERLINK("https://www.773grp.com/globalSearch/MAX829SNTR/page-1", "MAX829SNTR")</f>
        <v>MAX829SNTR</v>
      </c>
      <c r="B32449" s="3" t="s">
        <v>95</v>
      </c>
      <c r="C32449" s="6">
        <v>242905</v>
      </c>
      <c r="D32449" s="7">
        <v>0.9</v>
      </c>
      <c r="E32449" t="s">
        <v>7</v>
      </c>
    </row>
    <row r="32450" spans="1:5" x14ac:dyDescent="0.25">
      <c r="A32450" t="str">
        <f>HYPERLINK("https://www.773grp.com/globalSearch/MBRA140T3/page-1", "MBRA140T3")</f>
        <v>MBRA140T3</v>
      </c>
      <c r="B32450" s="3" t="s">
        <v>95</v>
      </c>
      <c r="C32450" s="6">
        <v>5000</v>
      </c>
      <c r="D32450" s="7">
        <v>0.9</v>
      </c>
    </row>
    <row r="32451" spans="1:5" x14ac:dyDescent="0.25">
      <c r="A32451" t="str">
        <f>HYPERLINK("https://www.773grp.com/globalSearch/MBRS1100T3/page-1", "MBRS1100T3")</f>
        <v>MBRS1100T3</v>
      </c>
      <c r="B32451" s="3" t="s">
        <v>95</v>
      </c>
      <c r="C32451" s="6">
        <v>2500</v>
      </c>
      <c r="D32451" s="7">
        <v>0.9</v>
      </c>
    </row>
    <row r="32452" spans="1:5" x14ac:dyDescent="0.25">
      <c r="A32452" t="str">
        <f>HYPERLINK("https://www.773grp.com/globalSearch/MC14022BCP/page-1", "MC14022BCP")</f>
        <v>MC14022BCP</v>
      </c>
      <c r="B32452" s="3" t="s">
        <v>95</v>
      </c>
      <c r="C32452" s="6">
        <v>2871</v>
      </c>
      <c r="D32452" s="7">
        <v>0.9</v>
      </c>
      <c r="E32452" t="s">
        <v>26</v>
      </c>
    </row>
    <row r="32453" spans="1:5" x14ac:dyDescent="0.25">
      <c r="A32453" t="str">
        <f>HYPERLINK("https://www.773grp.com/globalSearch/MC14029BF/page-1", "MC14029BF")</f>
        <v>MC14029BF</v>
      </c>
      <c r="B32453" s="3" t="s">
        <v>95</v>
      </c>
      <c r="C32453" s="6">
        <v>1100</v>
      </c>
      <c r="D32453" s="7">
        <v>0.9</v>
      </c>
      <c r="E32453" t="s">
        <v>26</v>
      </c>
    </row>
    <row r="32454" spans="1:5" x14ac:dyDescent="0.25">
      <c r="A32454" t="str">
        <f>HYPERLINK("https://www.773grp.com/globalSearch/MC14043BFEL/page-1", "MC14043BFEL")</f>
        <v>MC14043BFEL</v>
      </c>
      <c r="B32454" s="3" t="s">
        <v>95</v>
      </c>
      <c r="C32454" s="6">
        <v>4000</v>
      </c>
      <c r="D32454" s="7">
        <v>0.9</v>
      </c>
      <c r="E32454" t="s">
        <v>35</v>
      </c>
    </row>
    <row r="32455" spans="1:5" x14ac:dyDescent="0.25">
      <c r="A32455" t="str">
        <f>HYPERLINK("https://www.773grp.com/globalSearch/MC14049BDG/page-1", "MC14049BDG")</f>
        <v>MC14049BDG</v>
      </c>
      <c r="B32455" s="3" t="s">
        <v>95</v>
      </c>
      <c r="C32455" s="6">
        <v>31462</v>
      </c>
      <c r="D32455" s="7">
        <v>0.9</v>
      </c>
      <c r="E32455" t="s">
        <v>31</v>
      </c>
    </row>
    <row r="32456" spans="1:5" x14ac:dyDescent="0.25">
      <c r="A32456" t="str">
        <f>HYPERLINK("https://www.773grp.com/globalSearch/MC14049BDR2G/page-1", "MC14049BDR2G")</f>
        <v>MC14049BDR2G</v>
      </c>
      <c r="B32456" s="3" t="s">
        <v>95</v>
      </c>
      <c r="C32456" s="6">
        <v>21171</v>
      </c>
      <c r="D32456" s="7">
        <v>0.9</v>
      </c>
      <c r="E32456" t="s">
        <v>31</v>
      </c>
    </row>
    <row r="32457" spans="1:5" x14ac:dyDescent="0.25">
      <c r="A32457" t="str">
        <f>HYPERLINK("https://www.773grp.com/globalSearch/MC14049UBDG/page-1", "MC14049UBDG")</f>
        <v>MC14049UBDG</v>
      </c>
      <c r="B32457" s="3" t="s">
        <v>95</v>
      </c>
      <c r="C32457" s="6">
        <v>7365</v>
      </c>
      <c r="D32457" s="7">
        <v>0.9</v>
      </c>
      <c r="E32457" t="s">
        <v>31</v>
      </c>
    </row>
    <row r="32458" spans="1:5" x14ac:dyDescent="0.25">
      <c r="A32458" t="str">
        <f>HYPERLINK("https://www.773grp.com/globalSearch/MC14049UBDR2G/page-1", "MC14049UBDR2G")</f>
        <v>MC14049UBDR2G</v>
      </c>
      <c r="B32458" s="3" t="s">
        <v>95</v>
      </c>
      <c r="C32458" s="6">
        <v>7659</v>
      </c>
      <c r="D32458" s="7">
        <v>0.9</v>
      </c>
      <c r="E32458" t="s">
        <v>31</v>
      </c>
    </row>
    <row r="32459" spans="1:5" x14ac:dyDescent="0.25">
      <c r="A32459" t="str">
        <f>HYPERLINK("https://www.773grp.com/globalSearch/MC14049UBDTELG/page-1", "MC14049UBDTELG")</f>
        <v>MC14049UBDTELG</v>
      </c>
      <c r="B32459" s="3" t="s">
        <v>95</v>
      </c>
      <c r="C32459" s="6">
        <v>12672</v>
      </c>
      <c r="D32459" s="7">
        <v>0.9</v>
      </c>
      <c r="E32459" t="s">
        <v>31</v>
      </c>
    </row>
    <row r="32460" spans="1:5" x14ac:dyDescent="0.25">
      <c r="A32460" t="str">
        <f>HYPERLINK("https://www.773grp.com/globalSearch/MC14049UBDTR2G/page-1", "MC14049UBDTR2G")</f>
        <v>MC14049UBDTR2G</v>
      </c>
      <c r="B32460" s="3" t="s">
        <v>95</v>
      </c>
      <c r="C32460" s="6">
        <v>7500</v>
      </c>
      <c r="D32460" s="7">
        <v>0.9</v>
      </c>
      <c r="E32460" t="s">
        <v>31</v>
      </c>
    </row>
    <row r="32461" spans="1:5" x14ac:dyDescent="0.25">
      <c r="A32461" t="str">
        <f>HYPERLINK("https://www.773grp.com/globalSearch/MC14050BDG/page-1", "MC14050BDG")</f>
        <v>MC14050BDG</v>
      </c>
      <c r="B32461" s="3" t="s">
        <v>95</v>
      </c>
      <c r="C32461" s="6">
        <v>14304</v>
      </c>
      <c r="D32461" s="7">
        <v>0.9</v>
      </c>
      <c r="E32461" t="s">
        <v>31</v>
      </c>
    </row>
    <row r="32462" spans="1:5" x14ac:dyDescent="0.25">
      <c r="A32462" t="str">
        <f>HYPERLINK("https://www.773grp.com/globalSearch/MC14050BDR2G/page-1", "MC14050BDR2G")</f>
        <v>MC14050BDR2G</v>
      </c>
      <c r="B32462" s="3" t="s">
        <v>95</v>
      </c>
      <c r="C32462" s="6">
        <v>5500</v>
      </c>
      <c r="D32462" s="7">
        <v>0.9</v>
      </c>
      <c r="E32462" t="s">
        <v>31</v>
      </c>
    </row>
    <row r="32463" spans="1:5" x14ac:dyDescent="0.25">
      <c r="A32463" t="str">
        <f>HYPERLINK("https://www.773grp.com/globalSearch/MC14050BDTG/page-1", "MC14050BDTG")</f>
        <v>MC14050BDTG</v>
      </c>
      <c r="B32463" s="3" t="s">
        <v>95</v>
      </c>
      <c r="C32463" s="6">
        <v>11232</v>
      </c>
      <c r="D32463" s="7">
        <v>0.9</v>
      </c>
      <c r="E32463" t="s">
        <v>31</v>
      </c>
    </row>
    <row r="32464" spans="1:5" x14ac:dyDescent="0.25">
      <c r="A32464" t="str">
        <f>HYPERLINK("https://www.773grp.com/globalSearch/MC14050BDTR2G/page-1", "MC14050BDTR2G")</f>
        <v>MC14050BDTR2G</v>
      </c>
      <c r="B32464" s="3" t="s">
        <v>95</v>
      </c>
      <c r="C32464" s="6">
        <v>4497</v>
      </c>
      <c r="D32464" s="7">
        <v>0.9</v>
      </c>
      <c r="E32464" t="s">
        <v>31</v>
      </c>
    </row>
    <row r="32465" spans="1:5" x14ac:dyDescent="0.25">
      <c r="A32465" t="str">
        <f>HYPERLINK("https://www.773grp.com/globalSearch/MC14066BCPG/page-1", "MC14066BCPG")</f>
        <v>MC14066BCPG</v>
      </c>
      <c r="B32465" s="3" t="s">
        <v>95</v>
      </c>
      <c r="C32465" s="6">
        <v>33273</v>
      </c>
      <c r="D32465" s="7">
        <v>0.9</v>
      </c>
      <c r="E32465" t="s">
        <v>56</v>
      </c>
    </row>
    <row r="32466" spans="1:5" x14ac:dyDescent="0.25">
      <c r="A32466" t="str">
        <f>HYPERLINK("https://www.773grp.com/globalSearch/MC14512BF/page-1", "MC14512BF")</f>
        <v>MC14512BF</v>
      </c>
      <c r="B32466" s="3" t="s">
        <v>95</v>
      </c>
      <c r="C32466" s="6">
        <v>2050</v>
      </c>
      <c r="D32466" s="7">
        <v>0.9</v>
      </c>
      <c r="E32466" t="s">
        <v>20</v>
      </c>
    </row>
    <row r="32467" spans="1:5" x14ac:dyDescent="0.25">
      <c r="A32467" t="str">
        <f>HYPERLINK("https://www.773grp.com/globalSearch/MC14512BFEL/page-1", "MC14512BFEL")</f>
        <v>MC14512BFEL</v>
      </c>
      <c r="B32467" s="3" t="s">
        <v>95</v>
      </c>
      <c r="C32467" s="6">
        <v>2000</v>
      </c>
      <c r="D32467" s="7">
        <v>0.9</v>
      </c>
      <c r="E32467" t="s">
        <v>20</v>
      </c>
    </row>
    <row r="32468" spans="1:5" x14ac:dyDescent="0.25">
      <c r="A32468" t="str">
        <f>HYPERLINK("https://www.773grp.com/globalSearch/MC14512BFL1/page-1", "MC14512BFL1")</f>
        <v>MC14512BFL1</v>
      </c>
      <c r="B32468" s="3" t="s">
        <v>95</v>
      </c>
      <c r="C32468" s="6">
        <v>3000</v>
      </c>
      <c r="D32468" s="7">
        <v>0.9</v>
      </c>
      <c r="E32468" t="s">
        <v>20</v>
      </c>
    </row>
    <row r="32469" spans="1:5" x14ac:dyDescent="0.25">
      <c r="A32469" t="str">
        <f>HYPERLINK("https://www.773grp.com/globalSearch/MC14521BCP/page-1", "MC14521BCP")</f>
        <v>MC14521BCP</v>
      </c>
      <c r="B32469" s="3" t="s">
        <v>95</v>
      </c>
      <c r="C32469" s="6">
        <v>3142</v>
      </c>
      <c r="D32469" s="7">
        <v>0.9</v>
      </c>
      <c r="E32469" t="s">
        <v>54</v>
      </c>
    </row>
    <row r="32470" spans="1:5" x14ac:dyDescent="0.25">
      <c r="A32470" t="str">
        <f>HYPERLINK("https://www.773grp.com/globalSearch/MC14521BF/page-1", "MC14521BF")</f>
        <v>MC14521BF</v>
      </c>
      <c r="B32470" s="3" t="s">
        <v>95</v>
      </c>
      <c r="C32470" s="6">
        <v>150</v>
      </c>
      <c r="D32470" s="7">
        <v>0.9</v>
      </c>
      <c r="E32470" t="s">
        <v>54</v>
      </c>
    </row>
    <row r="32471" spans="1:5" x14ac:dyDescent="0.25">
      <c r="A32471" t="str">
        <f>HYPERLINK("https://www.773grp.com/globalSearch/MC14536BCP/page-1", "MC14536BCP")</f>
        <v>MC14536BCP</v>
      </c>
      <c r="B32471" s="3" t="s">
        <v>95</v>
      </c>
      <c r="C32471" s="6">
        <v>48</v>
      </c>
      <c r="D32471" s="7">
        <v>0.9</v>
      </c>
      <c r="E32471" t="s">
        <v>26</v>
      </c>
    </row>
    <row r="32472" spans="1:5" x14ac:dyDescent="0.25">
      <c r="A32472" t="str">
        <f>HYPERLINK("https://www.773grp.com/globalSearch/MC1488D/page-1", "MC1488D")</f>
        <v>MC1488D</v>
      </c>
      <c r="B32472" s="3" t="s">
        <v>95</v>
      </c>
      <c r="C32472" s="6">
        <v>149</v>
      </c>
      <c r="D32472" s="7">
        <v>0.9</v>
      </c>
      <c r="E32472" t="s">
        <v>21</v>
      </c>
    </row>
    <row r="32473" spans="1:5" x14ac:dyDescent="0.25">
      <c r="A32473" t="str">
        <f>HYPERLINK("https://www.773grp.com/globalSearch/MC1489DR2/page-1", "MC1489DR2")</f>
        <v>MC1489DR2</v>
      </c>
      <c r="B32473" s="3" t="s">
        <v>95</v>
      </c>
      <c r="C32473" s="6">
        <v>7500</v>
      </c>
      <c r="D32473" s="7">
        <v>0.9</v>
      </c>
      <c r="E32473" t="s">
        <v>21</v>
      </c>
    </row>
    <row r="32474" spans="1:5" x14ac:dyDescent="0.25">
      <c r="A32474" t="str">
        <f>HYPERLINK("https://www.773grp.com/globalSearch/MC33269DT/page-1", "MC33269DT")</f>
        <v>MC33269DT</v>
      </c>
      <c r="B32474" s="3" t="s">
        <v>95</v>
      </c>
      <c r="C32474" s="6">
        <v>800</v>
      </c>
      <c r="D32474" s="7">
        <v>0.9</v>
      </c>
      <c r="E32474" t="s">
        <v>25</v>
      </c>
    </row>
    <row r="32475" spans="1:5" x14ac:dyDescent="0.25">
      <c r="A32475" t="str">
        <f>HYPERLINK("https://www.773grp.com/globalSearch/MC33269DTRK-012/page-1", "MC33269DTRK-012")</f>
        <v>MC33269DTRK-012</v>
      </c>
      <c r="B32475" s="3" t="s">
        <v>95</v>
      </c>
      <c r="C32475" s="6">
        <v>2500</v>
      </c>
      <c r="D32475" s="7">
        <v>0.9</v>
      </c>
      <c r="E32475" t="s">
        <v>19</v>
      </c>
    </row>
    <row r="32476" spans="1:5" x14ac:dyDescent="0.25">
      <c r="A32476" t="str">
        <f>HYPERLINK("https://www.773grp.com/globalSearch/MC33269T-012/page-1", "MC33269T-012")</f>
        <v>MC33269T-012</v>
      </c>
      <c r="B32476" s="3" t="s">
        <v>95</v>
      </c>
      <c r="C32476" s="6">
        <v>40</v>
      </c>
      <c r="D32476" s="7">
        <v>0.9</v>
      </c>
      <c r="E32476" t="s">
        <v>19</v>
      </c>
    </row>
    <row r="32477" spans="1:5" x14ac:dyDescent="0.25">
      <c r="A32477" t="str">
        <f>HYPERLINK("https://www.773grp.com/globalSearch/MC33275MN-5.0R2/page-1", "MC33275MN-5.0R2")</f>
        <v>MC33275MN-5.0R2</v>
      </c>
      <c r="B32477" s="3" t="s">
        <v>95</v>
      </c>
      <c r="C32477" s="6">
        <v>12000</v>
      </c>
      <c r="D32477" s="7">
        <v>0.9</v>
      </c>
      <c r="E32477" t="s">
        <v>19</v>
      </c>
    </row>
    <row r="32478" spans="1:5" x14ac:dyDescent="0.25">
      <c r="A32478" t="str">
        <f>HYPERLINK("https://www.773grp.com/globalSearch/MC33375D-2.5R2/page-1", "MC33375D-2.5R2")</f>
        <v>MC33375D-2.5R2</v>
      </c>
      <c r="B32478" s="3" t="s">
        <v>95</v>
      </c>
      <c r="C32478" s="6">
        <v>2500</v>
      </c>
      <c r="D32478" s="7">
        <v>0.9</v>
      </c>
      <c r="E32478" t="s">
        <v>19</v>
      </c>
    </row>
    <row r="32479" spans="1:5" x14ac:dyDescent="0.25">
      <c r="A32479" t="str">
        <f>HYPERLINK("https://www.773grp.com/globalSearch/MC33375D-3.0/page-1", "MC33375D-3.0")</f>
        <v>MC33375D-3.0</v>
      </c>
      <c r="B32479" s="3" t="s">
        <v>95</v>
      </c>
      <c r="C32479" s="6">
        <v>1078</v>
      </c>
      <c r="D32479" s="7">
        <v>0.9</v>
      </c>
      <c r="E32479" t="s">
        <v>19</v>
      </c>
    </row>
    <row r="32480" spans="1:5" x14ac:dyDescent="0.25">
      <c r="A32480" t="str">
        <f>HYPERLINK("https://www.773grp.com/globalSearch/MC33375D-3.0R2/page-1", "MC33375D-3.0R2")</f>
        <v>MC33375D-3.0R2</v>
      </c>
      <c r="B32480" s="3" t="s">
        <v>95</v>
      </c>
      <c r="C32480" s="6">
        <v>2490</v>
      </c>
      <c r="D32480" s="7">
        <v>0.9</v>
      </c>
      <c r="E32480" t="s">
        <v>19</v>
      </c>
    </row>
    <row r="32481" spans="1:5" x14ac:dyDescent="0.25">
      <c r="A32481" t="str">
        <f>HYPERLINK("https://www.773grp.com/globalSearch/MC33375ST-2.5T3/page-1", "MC33375ST-2.5T3")</f>
        <v>MC33375ST-2.5T3</v>
      </c>
      <c r="B32481" s="3" t="s">
        <v>95</v>
      </c>
      <c r="C32481" s="6">
        <v>99986</v>
      </c>
      <c r="D32481" s="7">
        <v>0.9</v>
      </c>
      <c r="E32481" t="s">
        <v>19</v>
      </c>
    </row>
    <row r="32482" spans="1:5" x14ac:dyDescent="0.25">
      <c r="A32482" t="str">
        <f>HYPERLINK("https://www.773grp.com/globalSearch/MC33375ST-3.0T3/page-1", "MC33375ST-3.0T3")</f>
        <v>MC33375ST-3.0T3</v>
      </c>
      <c r="B32482" s="3" t="s">
        <v>95</v>
      </c>
      <c r="C32482" s="6">
        <v>3974</v>
      </c>
      <c r="D32482" s="7">
        <v>0.9</v>
      </c>
      <c r="E32482" t="s">
        <v>19</v>
      </c>
    </row>
    <row r="32483" spans="1:5" x14ac:dyDescent="0.25">
      <c r="A32483" t="str">
        <f>HYPERLINK("https://www.773grp.com/globalSearch/MC33375ST-5.0T3/page-1", "MC33375ST-5.0T3")</f>
        <v>MC33375ST-5.0T3</v>
      </c>
      <c r="B32483" s="3" t="s">
        <v>95</v>
      </c>
      <c r="C32483" s="6">
        <v>1820000</v>
      </c>
      <c r="D32483" s="7">
        <v>0.9</v>
      </c>
      <c r="E32483" t="s">
        <v>19</v>
      </c>
    </row>
    <row r="32484" spans="1:5" x14ac:dyDescent="0.25">
      <c r="A32484" t="str">
        <f>HYPERLINK("https://www.773grp.com/globalSearch/MC33567D-001/page-1", "MC33567D-001")</f>
        <v>MC33567D-001</v>
      </c>
      <c r="B32484" s="3" t="s">
        <v>95</v>
      </c>
      <c r="C32484" s="6">
        <v>980</v>
      </c>
      <c r="D32484" s="7">
        <v>0.9</v>
      </c>
    </row>
    <row r="32485" spans="1:5" x14ac:dyDescent="0.25">
      <c r="A32485" t="str">
        <f>HYPERLINK("https://www.773grp.com/globalSearch/MC33567D-1R2/page-1", "MC33567D-1R2")</f>
        <v>MC33567D-1R2</v>
      </c>
      <c r="B32485" s="3" t="s">
        <v>95</v>
      </c>
      <c r="C32485" s="6">
        <v>2500</v>
      </c>
      <c r="D32485" s="7">
        <v>0.9</v>
      </c>
      <c r="E32485" t="s">
        <v>40</v>
      </c>
    </row>
    <row r="32486" spans="1:5" x14ac:dyDescent="0.25">
      <c r="A32486" t="str">
        <f>HYPERLINK("https://www.773grp.com/globalSearch/MC33567D-3R2/page-1", "MC33567D-3R2")</f>
        <v>MC33567D-3R2</v>
      </c>
      <c r="B32486" s="3" t="s">
        <v>95</v>
      </c>
      <c r="C32486" s="6">
        <v>2356</v>
      </c>
      <c r="D32486" s="7">
        <v>0.9</v>
      </c>
      <c r="E32486" t="s">
        <v>40</v>
      </c>
    </row>
    <row r="32487" spans="1:5" x14ac:dyDescent="0.25">
      <c r="A32487" t="str">
        <f>HYPERLINK("https://www.773grp.com/globalSearch/MC34063BD/page-1", "MC34063BD")</f>
        <v>MC34063BD</v>
      </c>
      <c r="B32487" s="3" t="s">
        <v>95</v>
      </c>
      <c r="C32487" s="6">
        <v>1274</v>
      </c>
      <c r="D32487" s="7">
        <v>0.9</v>
      </c>
      <c r="E32487" t="s">
        <v>7</v>
      </c>
    </row>
    <row r="32488" spans="1:5" x14ac:dyDescent="0.25">
      <c r="A32488" t="str">
        <f>HYPERLINK("https://www.773grp.com/globalSearch/MC34072VP/page-1", "MC34072VP")</f>
        <v>MC34072VP</v>
      </c>
      <c r="B32488" s="3" t="s">
        <v>95</v>
      </c>
      <c r="C32488" s="6">
        <v>2029</v>
      </c>
      <c r="D32488" s="7">
        <v>0.9</v>
      </c>
      <c r="E32488" t="s">
        <v>13</v>
      </c>
    </row>
    <row r="32489" spans="1:5" x14ac:dyDescent="0.25">
      <c r="A32489" t="str">
        <f>HYPERLINK("https://www.773grp.com/globalSearch/MC74AC125DG/page-1", "MC74AC125DG")</f>
        <v>MC74AC125DG</v>
      </c>
      <c r="B32489" s="3" t="s">
        <v>95</v>
      </c>
      <c r="C32489" s="6">
        <v>15455</v>
      </c>
      <c r="D32489" s="7">
        <v>0.9</v>
      </c>
      <c r="E32489" t="s">
        <v>14</v>
      </c>
    </row>
    <row r="32490" spans="1:5" x14ac:dyDescent="0.25">
      <c r="A32490" t="str">
        <f>HYPERLINK("https://www.773grp.com/globalSearch/MC74AC125DR2G/page-1", "MC74AC125DR2G")</f>
        <v>MC74AC125DR2G</v>
      </c>
      <c r="B32490" s="3" t="s">
        <v>95</v>
      </c>
      <c r="C32490" s="6">
        <v>26569</v>
      </c>
      <c r="D32490" s="7">
        <v>0.9</v>
      </c>
      <c r="E32490" t="s">
        <v>14</v>
      </c>
    </row>
    <row r="32491" spans="1:5" x14ac:dyDescent="0.25">
      <c r="A32491" t="str">
        <f>HYPERLINK("https://www.773grp.com/globalSearch/MC74AC132D/page-1", "MC74AC132D")</f>
        <v>MC74AC132D</v>
      </c>
      <c r="B32491" s="3" t="s">
        <v>95</v>
      </c>
      <c r="C32491" s="6">
        <v>9475</v>
      </c>
      <c r="D32491" s="7">
        <v>0.9</v>
      </c>
      <c r="E32491" t="s">
        <v>31</v>
      </c>
    </row>
    <row r="32492" spans="1:5" x14ac:dyDescent="0.25">
      <c r="A32492" t="str">
        <f>HYPERLINK("https://www.773grp.com/globalSearch/MC74AC132DR2/page-1", "MC74AC132DR2")</f>
        <v>MC74AC132DR2</v>
      </c>
      <c r="B32492" s="3" t="s">
        <v>95</v>
      </c>
      <c r="C32492" s="6">
        <v>7500</v>
      </c>
      <c r="D32492" s="7">
        <v>0.9</v>
      </c>
      <c r="E32492" t="s">
        <v>31</v>
      </c>
    </row>
    <row r="32493" spans="1:5" x14ac:dyDescent="0.25">
      <c r="A32493" t="str">
        <f>HYPERLINK("https://www.773grp.com/globalSearch/MC74AC161DG/page-1", "MC74AC161DG")</f>
        <v>MC74AC161DG</v>
      </c>
      <c r="B32493" s="3" t="s">
        <v>95</v>
      </c>
      <c r="C32493" s="6">
        <v>1842</v>
      </c>
      <c r="D32493" s="7">
        <v>0.9</v>
      </c>
      <c r="E32493" t="s">
        <v>26</v>
      </c>
    </row>
    <row r="32494" spans="1:5" x14ac:dyDescent="0.25">
      <c r="A32494" t="str">
        <f>HYPERLINK("https://www.773grp.com/globalSearch/MC74AC161DR2G/page-1", "MC74AC161DR2G")</f>
        <v>MC74AC161DR2G</v>
      </c>
      <c r="B32494" s="3" t="s">
        <v>95</v>
      </c>
      <c r="C32494" s="6">
        <v>2500</v>
      </c>
      <c r="D32494" s="7">
        <v>0.9</v>
      </c>
      <c r="E32494" t="s">
        <v>26</v>
      </c>
    </row>
    <row r="32495" spans="1:5" x14ac:dyDescent="0.25">
      <c r="A32495" t="str">
        <f>HYPERLINK("https://www.773grp.com/globalSearch/MC74AC163DR2G/page-1", "MC74AC163DR2G")</f>
        <v>MC74AC163DR2G</v>
      </c>
      <c r="B32495" s="3" t="s">
        <v>95</v>
      </c>
      <c r="C32495" s="6">
        <v>4784</v>
      </c>
      <c r="D32495" s="7">
        <v>0.9</v>
      </c>
      <c r="E32495" t="s">
        <v>26</v>
      </c>
    </row>
    <row r="32496" spans="1:5" x14ac:dyDescent="0.25">
      <c r="A32496" t="str">
        <f>HYPERLINK("https://www.773grp.com/globalSearch/MC74AC240DTR2G/page-1", "MC74AC240DTR2G")</f>
        <v>MC74AC240DTR2G</v>
      </c>
      <c r="B32496" s="3" t="s">
        <v>95</v>
      </c>
      <c r="C32496" s="6">
        <v>2410</v>
      </c>
      <c r="D32496" s="7">
        <v>0.9</v>
      </c>
      <c r="E32496" t="s">
        <v>14</v>
      </c>
    </row>
    <row r="32497" spans="1:5" x14ac:dyDescent="0.25">
      <c r="A32497" t="str">
        <f>HYPERLINK("https://www.773grp.com/globalSearch/MC74AC244DTR2G/page-1", "MC74AC244DTR2G")</f>
        <v>MC74AC244DTR2G</v>
      </c>
      <c r="B32497" s="3" t="s">
        <v>95</v>
      </c>
      <c r="C32497" s="6">
        <v>20992</v>
      </c>
      <c r="D32497" s="7">
        <v>0.9</v>
      </c>
      <c r="E32497" t="s">
        <v>14</v>
      </c>
    </row>
    <row r="32498" spans="1:5" x14ac:dyDescent="0.25">
      <c r="A32498" t="str">
        <f>HYPERLINK("https://www.773grp.com/globalSearch/MC74AC245DTG/page-1", "MC74AC245DTG")</f>
        <v>MC74AC245DTG</v>
      </c>
      <c r="B32498" s="3" t="s">
        <v>95</v>
      </c>
      <c r="C32498" s="6">
        <v>5325</v>
      </c>
      <c r="D32498" s="7">
        <v>0.9</v>
      </c>
      <c r="E32498" t="s">
        <v>14</v>
      </c>
    </row>
    <row r="32499" spans="1:5" x14ac:dyDescent="0.25">
      <c r="A32499" t="str">
        <f>HYPERLINK("https://www.773grp.com/globalSearch/MC74AC273DTR2G/page-1", "MC74AC273DTR2G")</f>
        <v>MC74AC273DTR2G</v>
      </c>
      <c r="B32499" s="3" t="s">
        <v>95</v>
      </c>
      <c r="C32499" s="6">
        <v>54970</v>
      </c>
      <c r="D32499" s="7">
        <v>0.9</v>
      </c>
      <c r="E32499" t="s">
        <v>35</v>
      </c>
    </row>
    <row r="32500" spans="1:5" x14ac:dyDescent="0.25">
      <c r="A32500" t="str">
        <f>HYPERLINK("https://www.773grp.com/globalSearch/MC74AC373DTR2G/page-1", "MC74AC373DTR2G")</f>
        <v>MC74AC373DTR2G</v>
      </c>
      <c r="B32500" s="3" t="s">
        <v>95</v>
      </c>
      <c r="C32500" s="6">
        <v>32500</v>
      </c>
      <c r="D32500" s="7">
        <v>0.9</v>
      </c>
      <c r="E32500" t="s">
        <v>14</v>
      </c>
    </row>
    <row r="32501" spans="1:5" x14ac:dyDescent="0.25">
      <c r="A32501" t="str">
        <f>HYPERLINK("https://www.773grp.com/globalSearch/MC74AC374DTR2G/page-1", "MC74AC374DTR2G")</f>
        <v>MC74AC374DTR2G</v>
      </c>
      <c r="B32501" s="3" t="s">
        <v>95</v>
      </c>
      <c r="C32501" s="6">
        <v>10000</v>
      </c>
      <c r="D32501" s="7">
        <v>0.9</v>
      </c>
      <c r="E32501" t="s">
        <v>14</v>
      </c>
    </row>
    <row r="32502" spans="1:5" x14ac:dyDescent="0.25">
      <c r="A32502" t="str">
        <f>HYPERLINK("https://www.773grp.com/globalSearch/MC74AC573DTR2G/page-1", "MC74AC573DTR2G")</f>
        <v>MC74AC573DTR2G</v>
      </c>
      <c r="B32502" s="3" t="s">
        <v>95</v>
      </c>
      <c r="C32502" s="6">
        <v>15000</v>
      </c>
      <c r="D32502" s="7">
        <v>0.9</v>
      </c>
      <c r="E32502" t="s">
        <v>14</v>
      </c>
    </row>
    <row r="32503" spans="1:5" x14ac:dyDescent="0.25">
      <c r="A32503" t="str">
        <f>HYPERLINK("https://www.773grp.com/globalSearch/MC74ACT125DG/page-1", "MC74ACT125DG")</f>
        <v>MC74ACT125DG</v>
      </c>
      <c r="B32503" s="3" t="s">
        <v>95</v>
      </c>
      <c r="C32503" s="6">
        <v>35</v>
      </c>
      <c r="D32503" s="7">
        <v>0.9</v>
      </c>
      <c r="E32503" t="s">
        <v>14</v>
      </c>
    </row>
    <row r="32504" spans="1:5" x14ac:dyDescent="0.25">
      <c r="A32504" t="str">
        <f>HYPERLINK("https://www.773grp.com/globalSearch/MC74ACT125DR2/page-1", "MC74ACT125DR2")</f>
        <v>MC74ACT125DR2</v>
      </c>
      <c r="B32504" s="3" t="s">
        <v>95</v>
      </c>
      <c r="C32504" s="6">
        <v>6812</v>
      </c>
      <c r="D32504" s="7">
        <v>0.9</v>
      </c>
    </row>
    <row r="32505" spans="1:5" x14ac:dyDescent="0.25">
      <c r="A32505" t="str">
        <f>HYPERLINK("https://www.773grp.com/globalSearch/MC74ACT125DR2G/page-1", "MC74ACT125DR2G")</f>
        <v>MC74ACT125DR2G</v>
      </c>
      <c r="B32505" s="3" t="s">
        <v>95</v>
      </c>
      <c r="C32505" s="6">
        <v>30000</v>
      </c>
      <c r="D32505" s="7">
        <v>0.9</v>
      </c>
    </row>
    <row r="32506" spans="1:5" x14ac:dyDescent="0.25">
      <c r="A32506" t="str">
        <f>HYPERLINK("https://www.773grp.com/globalSearch/MC74ACT125DTR2G/page-1", "MC74ACT125DTR2G")</f>
        <v>MC74ACT125DTR2G</v>
      </c>
      <c r="B32506" s="3" t="s">
        <v>95</v>
      </c>
      <c r="C32506" s="6">
        <v>17500</v>
      </c>
      <c r="D32506" s="7">
        <v>0.9</v>
      </c>
    </row>
    <row r="32507" spans="1:5" x14ac:dyDescent="0.25">
      <c r="A32507" t="str">
        <f>HYPERLINK("https://www.773grp.com/globalSearch/MC74ACT132D/page-1", "MC74ACT132D")</f>
        <v>MC74ACT132D</v>
      </c>
      <c r="B32507" s="3" t="s">
        <v>95</v>
      </c>
      <c r="C32507" s="6">
        <v>215</v>
      </c>
      <c r="D32507" s="7">
        <v>0.9</v>
      </c>
      <c r="E32507" t="s">
        <v>31</v>
      </c>
    </row>
    <row r="32508" spans="1:5" x14ac:dyDescent="0.25">
      <c r="A32508" t="str">
        <f>HYPERLINK("https://www.773grp.com/globalSearch/MC74ACT132DR2/page-1", "MC74ACT132DR2")</f>
        <v>MC74ACT132DR2</v>
      </c>
      <c r="B32508" s="3" t="s">
        <v>95</v>
      </c>
      <c r="C32508" s="6">
        <v>2500</v>
      </c>
      <c r="D32508" s="7">
        <v>0.9</v>
      </c>
      <c r="E32508" t="s">
        <v>31</v>
      </c>
    </row>
    <row r="32509" spans="1:5" x14ac:dyDescent="0.25">
      <c r="A32509" t="str">
        <f>HYPERLINK("https://www.773grp.com/globalSearch/MC74ACT161DG/page-1", "MC74ACT161DG")</f>
        <v>MC74ACT161DG</v>
      </c>
      <c r="B32509" s="3" t="s">
        <v>95</v>
      </c>
      <c r="C32509" s="6">
        <v>7399</v>
      </c>
      <c r="D32509" s="7">
        <v>0.9</v>
      </c>
      <c r="E32509" t="s">
        <v>26</v>
      </c>
    </row>
    <row r="32510" spans="1:5" x14ac:dyDescent="0.25">
      <c r="A32510" t="str">
        <f>HYPERLINK("https://www.773grp.com/globalSearch/MC74ACT161DR2G/page-1", "MC74ACT161DR2G")</f>
        <v>MC74ACT161DR2G</v>
      </c>
      <c r="B32510" s="3" t="s">
        <v>95</v>
      </c>
      <c r="C32510" s="6">
        <v>15000</v>
      </c>
      <c r="D32510" s="7">
        <v>0.9</v>
      </c>
      <c r="E32510" t="s">
        <v>26</v>
      </c>
    </row>
    <row r="32511" spans="1:5" x14ac:dyDescent="0.25">
      <c r="A32511" t="str">
        <f>HYPERLINK("https://www.773grp.com/globalSearch/MC74ACT163DG/page-1", "MC74ACT163DG")</f>
        <v>MC74ACT163DG</v>
      </c>
      <c r="B32511" s="3" t="s">
        <v>95</v>
      </c>
      <c r="C32511" s="6">
        <v>11253</v>
      </c>
      <c r="D32511" s="7">
        <v>0.9</v>
      </c>
      <c r="E32511" t="s">
        <v>26</v>
      </c>
    </row>
    <row r="32512" spans="1:5" x14ac:dyDescent="0.25">
      <c r="A32512" t="str">
        <f>HYPERLINK("https://www.773grp.com/globalSearch/MC74ACT163DR2G/page-1", "MC74ACT163DR2G")</f>
        <v>MC74ACT163DR2G</v>
      </c>
      <c r="B32512" s="3" t="s">
        <v>95</v>
      </c>
      <c r="C32512" s="6">
        <v>35052</v>
      </c>
      <c r="D32512" s="7">
        <v>0.9</v>
      </c>
      <c r="E32512" t="s">
        <v>26</v>
      </c>
    </row>
    <row r="32513" spans="1:5" x14ac:dyDescent="0.25">
      <c r="A32513" t="str">
        <f>HYPERLINK("https://www.773grp.com/globalSearch/MC74ACT240DTR2G/page-1", "MC74ACT240DTR2G")</f>
        <v>MC74ACT240DTR2G</v>
      </c>
      <c r="B32513" s="3" t="s">
        <v>95</v>
      </c>
      <c r="C32513" s="6">
        <v>2500</v>
      </c>
      <c r="D32513" s="7">
        <v>0.9</v>
      </c>
      <c r="E32513" t="s">
        <v>14</v>
      </c>
    </row>
    <row r="32514" spans="1:5" x14ac:dyDescent="0.25">
      <c r="A32514" t="str">
        <f>HYPERLINK("https://www.773grp.com/globalSearch/MC74ACT244DTR2G/page-1", "MC74ACT244DTR2G")</f>
        <v>MC74ACT244DTR2G</v>
      </c>
      <c r="B32514" s="3" t="s">
        <v>95</v>
      </c>
      <c r="C32514" s="6">
        <v>14400</v>
      </c>
      <c r="D32514" s="7">
        <v>0.9</v>
      </c>
      <c r="E32514" t="s">
        <v>14</v>
      </c>
    </row>
    <row r="32515" spans="1:5" x14ac:dyDescent="0.25">
      <c r="A32515" t="str">
        <f>HYPERLINK("https://www.773grp.com/globalSearch/MC74ACT245DTG/page-1", "MC74ACT245DTG")</f>
        <v>MC74ACT245DTG</v>
      </c>
      <c r="B32515" s="3" t="s">
        <v>95</v>
      </c>
      <c r="C32515" s="6">
        <v>5250</v>
      </c>
      <c r="D32515" s="7">
        <v>0.9</v>
      </c>
      <c r="E32515" t="s">
        <v>14</v>
      </c>
    </row>
    <row r="32516" spans="1:5" x14ac:dyDescent="0.25">
      <c r="A32516" t="str">
        <f>HYPERLINK("https://www.773grp.com/globalSearch/MC74ACT245DTR2G/page-1", "MC74ACT245DTR2G")</f>
        <v>MC74ACT245DTR2G</v>
      </c>
      <c r="B32516" s="3" t="s">
        <v>95</v>
      </c>
      <c r="C32516" s="6">
        <v>62500</v>
      </c>
      <c r="D32516" s="7">
        <v>0.9</v>
      </c>
      <c r="E32516" t="s">
        <v>14</v>
      </c>
    </row>
    <row r="32517" spans="1:5" x14ac:dyDescent="0.25">
      <c r="A32517" t="str">
        <f>HYPERLINK("https://www.773grp.com/globalSearch/MC74ACT245DWR2/page-1", "MC74ACT245DWR2")</f>
        <v>MC74ACT245DWR2</v>
      </c>
      <c r="B32517" s="3" t="s">
        <v>95</v>
      </c>
      <c r="C32517" s="6">
        <v>7000</v>
      </c>
      <c r="D32517" s="7">
        <v>0.9</v>
      </c>
      <c r="E32517" t="s">
        <v>14</v>
      </c>
    </row>
    <row r="32518" spans="1:5" x14ac:dyDescent="0.25">
      <c r="A32518" t="str">
        <f>HYPERLINK("https://www.773grp.com/globalSearch/MC74ACT273DTR2G/page-1", "MC74ACT273DTR2G")</f>
        <v>MC74ACT273DTR2G</v>
      </c>
      <c r="B32518" s="3" t="s">
        <v>95</v>
      </c>
      <c r="C32518" s="6">
        <v>50143</v>
      </c>
      <c r="D32518" s="7">
        <v>0.9</v>
      </c>
    </row>
    <row r="32519" spans="1:5" x14ac:dyDescent="0.25">
      <c r="A32519" t="str">
        <f>HYPERLINK("https://www.773grp.com/globalSearch/MC74ACT373DTR2G/page-1", "MC74ACT373DTR2G")</f>
        <v>MC74ACT373DTR2G</v>
      </c>
      <c r="B32519" s="3" t="s">
        <v>95</v>
      </c>
      <c r="C32519" s="6">
        <v>5000</v>
      </c>
      <c r="D32519" s="7">
        <v>0.9</v>
      </c>
      <c r="E32519" t="s">
        <v>14</v>
      </c>
    </row>
    <row r="32520" spans="1:5" x14ac:dyDescent="0.25">
      <c r="A32520" t="str">
        <f>HYPERLINK("https://www.773grp.com/globalSearch/MC74ACT374DTR2G/page-1", "MC74ACT374DTR2G")</f>
        <v>MC74ACT374DTR2G</v>
      </c>
      <c r="B32520" s="3" t="s">
        <v>95</v>
      </c>
      <c r="C32520" s="6">
        <v>109990</v>
      </c>
      <c r="D32520" s="7">
        <v>0.9</v>
      </c>
      <c r="E32520" t="s">
        <v>14</v>
      </c>
    </row>
    <row r="32521" spans="1:5" x14ac:dyDescent="0.25">
      <c r="A32521" t="str">
        <f>HYPERLINK("https://www.773grp.com/globalSearch/MC74ACT573DTR2G/page-1", "MC74ACT573DTR2G")</f>
        <v>MC74ACT573DTR2G</v>
      </c>
      <c r="B32521" s="3" t="s">
        <v>95</v>
      </c>
      <c r="C32521" s="6">
        <v>12500</v>
      </c>
      <c r="D32521" s="7">
        <v>0.9</v>
      </c>
      <c r="E32521" t="s">
        <v>14</v>
      </c>
    </row>
    <row r="32522" spans="1:5" x14ac:dyDescent="0.25">
      <c r="A32522" t="str">
        <f>HYPERLINK("https://www.773grp.com/globalSearch/MC74ACT574DTR2G/page-1", "MC74ACT574DTR2G")</f>
        <v>MC74ACT574DTR2G</v>
      </c>
      <c r="B32522" s="3" t="s">
        <v>95</v>
      </c>
      <c r="C32522" s="6">
        <v>12500</v>
      </c>
      <c r="D32522" s="7">
        <v>0.9</v>
      </c>
      <c r="E32522" t="s">
        <v>14</v>
      </c>
    </row>
    <row r="32523" spans="1:5" x14ac:dyDescent="0.25">
      <c r="A32523" t="str">
        <f>HYPERLINK("https://www.773grp.com/globalSearch/MC74ACT574MEL/page-1", "MC74ACT574MEL")</f>
        <v>MC74ACT574MEL</v>
      </c>
      <c r="B32523" s="3" t="s">
        <v>95</v>
      </c>
      <c r="C32523" s="6">
        <v>2000</v>
      </c>
      <c r="D32523" s="7">
        <v>0.9</v>
      </c>
      <c r="E32523" t="s">
        <v>14</v>
      </c>
    </row>
    <row r="32524" spans="1:5" x14ac:dyDescent="0.25">
      <c r="A32524" t="str">
        <f>HYPERLINK("https://www.773grp.com/globalSearch/MC74F132N/page-1", "MC74F132N")</f>
        <v>MC74F132N</v>
      </c>
      <c r="B32524" s="3" t="s">
        <v>95</v>
      </c>
      <c r="C32524" s="6">
        <v>3124</v>
      </c>
      <c r="D32524" s="7">
        <v>0.9</v>
      </c>
      <c r="E32524" t="s">
        <v>31</v>
      </c>
    </row>
    <row r="32525" spans="1:5" x14ac:dyDescent="0.25">
      <c r="A32525" t="str">
        <f>HYPERLINK("https://www.773grp.com/globalSearch/MC74F240N/page-1", "MC74F240N")</f>
        <v>MC74F240N</v>
      </c>
      <c r="B32525" s="3" t="s">
        <v>95</v>
      </c>
      <c r="C32525" s="6">
        <v>460</v>
      </c>
      <c r="D32525" s="7">
        <v>0.9</v>
      </c>
      <c r="E32525" t="s">
        <v>14</v>
      </c>
    </row>
    <row r="32526" spans="1:5" x14ac:dyDescent="0.25">
      <c r="A32526" t="str">
        <f>HYPERLINK("https://www.773grp.com/globalSearch/MC74F245M/page-1", "MC74F245M")</f>
        <v>MC74F245M</v>
      </c>
      <c r="B32526" s="3" t="s">
        <v>95</v>
      </c>
      <c r="C32526" s="6">
        <v>3859</v>
      </c>
      <c r="D32526" s="7">
        <v>0.9</v>
      </c>
    </row>
    <row r="32527" spans="1:5" x14ac:dyDescent="0.25">
      <c r="A32527" t="str">
        <f>HYPERLINK("https://www.773grp.com/globalSearch/MC74F245ML1/page-1", "MC74F245ML1")</f>
        <v>MC74F245ML1</v>
      </c>
      <c r="B32527" s="3" t="s">
        <v>95</v>
      </c>
      <c r="C32527" s="6">
        <v>1000</v>
      </c>
      <c r="D32527" s="7">
        <v>0.9</v>
      </c>
    </row>
    <row r="32528" spans="1:5" x14ac:dyDescent="0.25">
      <c r="A32528" t="str">
        <f>HYPERLINK("https://www.773grp.com/globalSearch/MC74F283D/page-1", "MC74F283D")</f>
        <v>MC74F283D</v>
      </c>
      <c r="B32528" s="3" t="s">
        <v>95</v>
      </c>
      <c r="C32528" s="6">
        <v>3138</v>
      </c>
      <c r="D32528" s="7">
        <v>0.9</v>
      </c>
      <c r="E32528" t="s">
        <v>43</v>
      </c>
    </row>
    <row r="32529" spans="1:5" x14ac:dyDescent="0.25">
      <c r="A32529" t="str">
        <f>HYPERLINK("https://www.773grp.com/globalSearch/MC74F283M/page-1", "MC74F283M")</f>
        <v>MC74F283M</v>
      </c>
      <c r="B32529" s="3" t="s">
        <v>95</v>
      </c>
      <c r="C32529" s="6">
        <v>700</v>
      </c>
      <c r="D32529" s="7">
        <v>0.9</v>
      </c>
    </row>
    <row r="32530" spans="1:5" x14ac:dyDescent="0.25">
      <c r="A32530" t="str">
        <f>HYPERLINK("https://www.773grp.com/globalSearch/MC74F374N/page-1", "MC74F374N")</f>
        <v>MC74F374N</v>
      </c>
      <c r="B32530" s="3" t="s">
        <v>95</v>
      </c>
      <c r="C32530" s="6">
        <v>5203</v>
      </c>
      <c r="D32530" s="7">
        <v>0.9</v>
      </c>
      <c r="E32530" t="s">
        <v>14</v>
      </c>
    </row>
    <row r="32531" spans="1:5" x14ac:dyDescent="0.25">
      <c r="A32531" t="str">
        <f>HYPERLINK("https://www.773grp.com/globalSearch/MC74F85N/page-1", "MC74F85N")</f>
        <v>MC74F85N</v>
      </c>
      <c r="B32531" s="3" t="s">
        <v>95</v>
      </c>
      <c r="C32531" s="6">
        <v>1545</v>
      </c>
      <c r="D32531" s="7">
        <v>0.9</v>
      </c>
      <c r="E32531" t="s">
        <v>43</v>
      </c>
    </row>
    <row r="32532" spans="1:5" x14ac:dyDescent="0.25">
      <c r="A32532" t="str">
        <f>HYPERLINK("https://www.773grp.com/globalSearch/MC74F86MR1/page-1", "MC74F86MR1")</f>
        <v>MC74F86MR1</v>
      </c>
      <c r="B32532" s="3" t="s">
        <v>95</v>
      </c>
      <c r="C32532" s="6">
        <v>1000</v>
      </c>
      <c r="D32532" s="7">
        <v>0.9</v>
      </c>
    </row>
    <row r="32533" spans="1:5" x14ac:dyDescent="0.25">
      <c r="A32533" t="str">
        <f>HYPERLINK("https://www.773grp.com/globalSearch/MC74F86N/page-1", "MC74F86N")</f>
        <v>MC74F86N</v>
      </c>
      <c r="B32533" s="3" t="s">
        <v>95</v>
      </c>
      <c r="C32533" s="6">
        <v>333</v>
      </c>
      <c r="D32533" s="7">
        <v>0.9</v>
      </c>
      <c r="E32533" t="s">
        <v>31</v>
      </c>
    </row>
    <row r="32534" spans="1:5" x14ac:dyDescent="0.25">
      <c r="A32534" t="str">
        <f>HYPERLINK("https://www.773grp.com/globalSearch/MC74HC00AFELG/page-1", "MC74HC00AFELG")</f>
        <v>MC74HC00AFELG</v>
      </c>
      <c r="B32534" s="3" t="s">
        <v>95</v>
      </c>
      <c r="C32534" s="6">
        <v>17049</v>
      </c>
      <c r="D32534" s="7">
        <v>0.9</v>
      </c>
      <c r="E32534" t="s">
        <v>31</v>
      </c>
    </row>
    <row r="32535" spans="1:5" x14ac:dyDescent="0.25">
      <c r="A32535" t="str">
        <f>HYPERLINK("https://www.773grp.com/globalSearch/MC74HC00AFG/page-1", "MC74HC00AFG")</f>
        <v>MC74HC00AFG</v>
      </c>
      <c r="B32535" s="3" t="s">
        <v>95</v>
      </c>
      <c r="C32535" s="6">
        <v>22800</v>
      </c>
      <c r="D32535" s="7">
        <v>0.9</v>
      </c>
      <c r="E32535" t="s">
        <v>31</v>
      </c>
    </row>
    <row r="32536" spans="1:5" x14ac:dyDescent="0.25">
      <c r="A32536" t="str">
        <f>HYPERLINK("https://www.773grp.com/globalSearch/MC74HC03AFELG/page-1", "MC74HC03AFELG")</f>
        <v>MC74HC03AFELG</v>
      </c>
      <c r="B32536" s="3" t="s">
        <v>95</v>
      </c>
      <c r="C32536" s="6">
        <v>1093</v>
      </c>
      <c r="D32536" s="7">
        <v>0.9</v>
      </c>
    </row>
    <row r="32537" spans="1:5" x14ac:dyDescent="0.25">
      <c r="A32537" t="str">
        <f>HYPERLINK("https://www.773grp.com/globalSearch/MC74HC04AFELG/page-1", "MC74HC04AFELG")</f>
        <v>MC74HC04AFELG</v>
      </c>
      <c r="B32537" s="3" t="s">
        <v>95</v>
      </c>
      <c r="C32537" s="6">
        <v>60748</v>
      </c>
      <c r="D32537" s="7">
        <v>0.9</v>
      </c>
      <c r="E32537" t="s">
        <v>31</v>
      </c>
    </row>
    <row r="32538" spans="1:5" x14ac:dyDescent="0.25">
      <c r="A32538" t="str">
        <f>HYPERLINK("https://www.773grp.com/globalSearch/MC74HC04AFG/page-1", "MC74HC04AFG")</f>
        <v>MC74HC04AFG</v>
      </c>
      <c r="B32538" s="3" t="s">
        <v>95</v>
      </c>
      <c r="C32538" s="6">
        <v>16666</v>
      </c>
      <c r="D32538" s="7">
        <v>0.9</v>
      </c>
      <c r="E32538" t="s">
        <v>31</v>
      </c>
    </row>
    <row r="32539" spans="1:5" x14ac:dyDescent="0.25">
      <c r="A32539" t="str">
        <f>HYPERLINK("https://www.773grp.com/globalSearch/MC74HC08AF/page-1", "MC74HC08AF")</f>
        <v>MC74HC08AF</v>
      </c>
      <c r="B32539" s="3" t="s">
        <v>95</v>
      </c>
      <c r="C32539" s="6">
        <v>350</v>
      </c>
      <c r="D32539" s="7">
        <v>0.9</v>
      </c>
    </row>
    <row r="32540" spans="1:5" x14ac:dyDescent="0.25">
      <c r="A32540" t="str">
        <f>HYPERLINK("https://www.773grp.com/globalSearch/MC74HC08AFELG/page-1", "MC74HC08AFELG")</f>
        <v>MC74HC08AFELG</v>
      </c>
      <c r="B32540" s="3" t="s">
        <v>95</v>
      </c>
      <c r="C32540" s="6">
        <v>11507</v>
      </c>
      <c r="D32540" s="7">
        <v>0.9</v>
      </c>
      <c r="E32540" t="s">
        <v>31</v>
      </c>
    </row>
    <row r="32541" spans="1:5" x14ac:dyDescent="0.25">
      <c r="A32541" t="str">
        <f>HYPERLINK("https://www.773grp.com/globalSearch/MC74HC112FR2/page-1", "MC74HC112FR2")</f>
        <v>MC74HC112FR2</v>
      </c>
      <c r="B32541" s="3" t="s">
        <v>95</v>
      </c>
      <c r="C32541" s="6">
        <v>6000</v>
      </c>
      <c r="D32541" s="7">
        <v>0.9</v>
      </c>
    </row>
    <row r="32542" spans="1:5" x14ac:dyDescent="0.25">
      <c r="A32542" t="str">
        <f>HYPERLINK("https://www.773grp.com/globalSearch/MC74HC125ANG/page-1", "MC74HC125ANG")</f>
        <v>MC74HC125ANG</v>
      </c>
      <c r="B32542" s="3" t="s">
        <v>95</v>
      </c>
      <c r="C32542" s="6">
        <v>51518</v>
      </c>
      <c r="D32542" s="7">
        <v>0.9</v>
      </c>
      <c r="E32542" t="s">
        <v>14</v>
      </c>
    </row>
    <row r="32543" spans="1:5" x14ac:dyDescent="0.25">
      <c r="A32543" t="str">
        <f>HYPERLINK("https://www.773grp.com/globalSearch/MC74HC126ANG/page-1", "MC74HC126ANG")</f>
        <v>MC74HC126ANG</v>
      </c>
      <c r="B32543" s="3" t="s">
        <v>95</v>
      </c>
      <c r="C32543" s="6">
        <v>20147</v>
      </c>
      <c r="D32543" s="7">
        <v>0.9</v>
      </c>
      <c r="E32543" t="s">
        <v>14</v>
      </c>
    </row>
    <row r="32544" spans="1:5" x14ac:dyDescent="0.25">
      <c r="A32544" t="str">
        <f>HYPERLINK("https://www.773grp.com/globalSearch/MC74HC132ANG/page-1", "MC74HC132ANG")</f>
        <v>MC74HC132ANG</v>
      </c>
      <c r="B32544" s="3" t="s">
        <v>95</v>
      </c>
      <c r="C32544" s="6">
        <v>2459</v>
      </c>
      <c r="D32544" s="7">
        <v>0.9</v>
      </c>
      <c r="E32544" t="s">
        <v>31</v>
      </c>
    </row>
    <row r="32545" spans="1:5" x14ac:dyDescent="0.25">
      <c r="A32545" t="str">
        <f>HYPERLINK("https://www.773grp.com/globalSearch/MC74HC138ANG/page-1", "MC74HC138ANG")</f>
        <v>MC74HC138ANG</v>
      </c>
      <c r="B32545" s="3" t="s">
        <v>95</v>
      </c>
      <c r="C32545" s="6">
        <v>6341</v>
      </c>
      <c r="D32545" s="7">
        <v>0.9</v>
      </c>
      <c r="E32545" t="s">
        <v>36</v>
      </c>
    </row>
    <row r="32546" spans="1:5" x14ac:dyDescent="0.25">
      <c r="A32546" t="str">
        <f>HYPERLINK("https://www.773grp.com/globalSearch/MC74HC139AN/page-1", "MC74HC139AN")</f>
        <v>MC74HC139AN</v>
      </c>
      <c r="B32546" s="3" t="s">
        <v>95</v>
      </c>
      <c r="C32546" s="6">
        <v>39950</v>
      </c>
      <c r="D32546" s="7">
        <v>0.9</v>
      </c>
      <c r="E32546" t="s">
        <v>36</v>
      </c>
    </row>
    <row r="32547" spans="1:5" x14ac:dyDescent="0.25">
      <c r="A32547" t="str">
        <f>HYPERLINK("https://www.773grp.com/globalSearch/MC74HC139ANG/page-1", "MC74HC139ANG")</f>
        <v>MC74HC139ANG</v>
      </c>
      <c r="B32547" s="3" t="s">
        <v>95</v>
      </c>
      <c r="C32547" s="6">
        <v>21044</v>
      </c>
      <c r="D32547" s="7">
        <v>0.9</v>
      </c>
      <c r="E32547" t="s">
        <v>36</v>
      </c>
    </row>
    <row r="32548" spans="1:5" x14ac:dyDescent="0.25">
      <c r="A32548" t="str">
        <f>HYPERLINK("https://www.773grp.com/globalSearch/MC74HC157AFELG/page-1", "MC74HC157AFELG")</f>
        <v>MC74HC157AFELG</v>
      </c>
      <c r="B32548" s="3" t="s">
        <v>95</v>
      </c>
      <c r="C32548" s="6">
        <v>29075</v>
      </c>
      <c r="D32548" s="7">
        <v>0.9</v>
      </c>
      <c r="E32548" t="s">
        <v>20</v>
      </c>
    </row>
    <row r="32549" spans="1:5" x14ac:dyDescent="0.25">
      <c r="A32549" t="str">
        <f>HYPERLINK("https://www.773grp.com/globalSearch/MC74HC157ANG/page-1", "MC74HC157ANG")</f>
        <v>MC74HC157ANG</v>
      </c>
      <c r="B32549" s="3" t="s">
        <v>95</v>
      </c>
      <c r="C32549" s="6">
        <v>22215</v>
      </c>
      <c r="D32549" s="7">
        <v>0.9</v>
      </c>
      <c r="E32549" t="s">
        <v>20</v>
      </c>
    </row>
    <row r="32550" spans="1:5" x14ac:dyDescent="0.25">
      <c r="A32550" t="str">
        <f>HYPERLINK("https://www.773grp.com/globalSearch/MC74HC165AD/page-1", "MC74HC165AD")</f>
        <v>MC74HC165AD</v>
      </c>
      <c r="B32550" s="3" t="s">
        <v>95</v>
      </c>
      <c r="C32550" s="6">
        <v>4368</v>
      </c>
      <c r="D32550" s="7">
        <v>0.9</v>
      </c>
      <c r="E32550" t="s">
        <v>32</v>
      </c>
    </row>
    <row r="32551" spans="1:5" x14ac:dyDescent="0.25">
      <c r="A32551" t="str">
        <f>HYPERLINK("https://www.773grp.com/globalSearch/MC74HC165D/page-1", "MC74HC165D")</f>
        <v>MC74HC165D</v>
      </c>
      <c r="B32551" s="3" t="s">
        <v>95</v>
      </c>
      <c r="C32551" s="6">
        <v>883</v>
      </c>
      <c r="D32551" s="7">
        <v>0.9</v>
      </c>
      <c r="E32551" t="s">
        <v>32</v>
      </c>
    </row>
    <row r="32552" spans="1:5" x14ac:dyDescent="0.25">
      <c r="A32552" t="str">
        <f>HYPERLINK("https://www.773grp.com/globalSearch/MC74HC257FR2/page-1", "MC74HC257FR2")</f>
        <v>MC74HC257FR2</v>
      </c>
      <c r="B32552" s="3" t="s">
        <v>95</v>
      </c>
      <c r="C32552" s="6">
        <v>2000</v>
      </c>
      <c r="D32552" s="7">
        <v>0.9</v>
      </c>
    </row>
    <row r="32553" spans="1:5" x14ac:dyDescent="0.25">
      <c r="A32553" t="str">
        <f>HYPERLINK("https://www.773grp.com/globalSearch/MC74HC280D/page-1", "MC74HC280D")</f>
        <v>MC74HC280D</v>
      </c>
      <c r="B32553" s="3" t="s">
        <v>95</v>
      </c>
      <c r="C32553" s="6">
        <v>415</v>
      </c>
      <c r="D32553" s="7">
        <v>0.9</v>
      </c>
      <c r="E32553" t="s">
        <v>43</v>
      </c>
    </row>
    <row r="32554" spans="1:5" x14ac:dyDescent="0.25">
      <c r="A32554" t="str">
        <f>HYPERLINK("https://www.773grp.com/globalSearch/MC74HC280F/page-1", "MC74HC280F")</f>
        <v>MC74HC280F</v>
      </c>
      <c r="B32554" s="3" t="s">
        <v>95</v>
      </c>
      <c r="C32554" s="6">
        <v>700</v>
      </c>
      <c r="D32554" s="7">
        <v>0.9</v>
      </c>
    </row>
    <row r="32555" spans="1:5" x14ac:dyDescent="0.25">
      <c r="A32555" t="str">
        <f>HYPERLINK("https://www.773grp.com/globalSearch/MC74HC280FL1/page-1", "MC74HC280FL1")</f>
        <v>MC74HC280FL1</v>
      </c>
      <c r="B32555" s="3" t="s">
        <v>95</v>
      </c>
      <c r="C32555" s="6">
        <v>2000</v>
      </c>
      <c r="D32555" s="7">
        <v>0.9</v>
      </c>
    </row>
    <row r="32556" spans="1:5" x14ac:dyDescent="0.25">
      <c r="A32556" t="str">
        <f>HYPERLINK("https://www.773grp.com/globalSearch/MC74HC32AF/page-1", "MC74HC32AF")</f>
        <v>MC74HC32AF</v>
      </c>
      <c r="B32556" s="3" t="s">
        <v>95</v>
      </c>
      <c r="C32556" s="6">
        <v>2350</v>
      </c>
      <c r="D32556" s="7">
        <v>0.9</v>
      </c>
    </row>
    <row r="32557" spans="1:5" x14ac:dyDescent="0.25">
      <c r="A32557" t="str">
        <f>HYPERLINK("https://www.773grp.com/globalSearch/MC74HC32AFELG/page-1", "MC74HC32AFELG")</f>
        <v>MC74HC32AFELG</v>
      </c>
      <c r="B32557" s="3" t="s">
        <v>95</v>
      </c>
      <c r="C32557" s="6">
        <v>19966</v>
      </c>
      <c r="D32557" s="7">
        <v>0.9</v>
      </c>
      <c r="E32557" t="s">
        <v>31</v>
      </c>
    </row>
    <row r="32558" spans="1:5" x14ac:dyDescent="0.25">
      <c r="A32558" t="str">
        <f>HYPERLINK("https://www.773grp.com/globalSearch/MC74HC373ADTEL/page-1", "MC74HC373ADTEL")</f>
        <v>MC74HC373ADTEL</v>
      </c>
      <c r="B32558" s="3" t="s">
        <v>95</v>
      </c>
      <c r="C32558" s="6">
        <v>200000</v>
      </c>
      <c r="D32558" s="7">
        <v>0.9</v>
      </c>
    </row>
    <row r="32559" spans="1:5" x14ac:dyDescent="0.25">
      <c r="A32559" t="str">
        <f>HYPERLINK("https://www.773grp.com/globalSearch/MC74HC377ADWG/page-1", "MC74HC377ADWG")</f>
        <v>MC74HC377ADWG</v>
      </c>
      <c r="B32559" s="3" t="s">
        <v>95</v>
      </c>
      <c r="C32559" s="6">
        <v>17290</v>
      </c>
      <c r="D32559" s="7">
        <v>0.9</v>
      </c>
      <c r="E32559" t="s">
        <v>35</v>
      </c>
    </row>
    <row r="32560" spans="1:5" x14ac:dyDescent="0.25">
      <c r="A32560" t="str">
        <f>HYPERLINK("https://www.773grp.com/globalSearch/MC74HC377ADWR2G/page-1", "MC74HC377ADWR2G")</f>
        <v>MC74HC377ADWR2G</v>
      </c>
      <c r="B32560" s="3" t="s">
        <v>95</v>
      </c>
      <c r="C32560" s="6">
        <v>15239</v>
      </c>
      <c r="D32560" s="7">
        <v>0.9</v>
      </c>
      <c r="E32560" t="s">
        <v>35</v>
      </c>
    </row>
    <row r="32561" spans="1:5" x14ac:dyDescent="0.25">
      <c r="A32561" t="str">
        <f>HYPERLINK("https://www.773grp.com/globalSearch/MC74HC390ADG/page-1", "MC74HC390ADG")</f>
        <v>MC74HC390ADG</v>
      </c>
      <c r="B32561" s="3" t="s">
        <v>95</v>
      </c>
      <c r="C32561" s="6">
        <v>1227</v>
      </c>
      <c r="D32561" s="7">
        <v>0.9</v>
      </c>
      <c r="E32561" t="s">
        <v>26</v>
      </c>
    </row>
    <row r="32562" spans="1:5" x14ac:dyDescent="0.25">
      <c r="A32562" t="str">
        <f>HYPERLINK("https://www.773grp.com/globalSearch/MC74HC390ADR2/page-1", "MC74HC390ADR2")</f>
        <v>MC74HC390ADR2</v>
      </c>
      <c r="B32562" s="3" t="s">
        <v>95</v>
      </c>
      <c r="C32562" s="6">
        <v>52450</v>
      </c>
      <c r="D32562" s="7">
        <v>0.9</v>
      </c>
      <c r="E32562" t="s">
        <v>26</v>
      </c>
    </row>
    <row r="32563" spans="1:5" x14ac:dyDescent="0.25">
      <c r="A32563" t="str">
        <f>HYPERLINK("https://www.773grp.com/globalSearch/MC74HC390ADR2G/page-1", "MC74HC390ADR2G")</f>
        <v>MC74HC390ADR2G</v>
      </c>
      <c r="B32563" s="3" t="s">
        <v>95</v>
      </c>
      <c r="C32563" s="6">
        <v>2500</v>
      </c>
      <c r="D32563" s="7">
        <v>0.9</v>
      </c>
      <c r="E32563" t="s">
        <v>26</v>
      </c>
    </row>
    <row r="32564" spans="1:5" x14ac:dyDescent="0.25">
      <c r="A32564" t="str">
        <f>HYPERLINK("https://www.773grp.com/globalSearch/MC74HC390ADTR2G/page-1", "MC74HC390ADTR2G")</f>
        <v>MC74HC390ADTR2G</v>
      </c>
      <c r="B32564" s="3" t="s">
        <v>95</v>
      </c>
      <c r="C32564" s="6">
        <v>7500</v>
      </c>
      <c r="D32564" s="7">
        <v>0.9</v>
      </c>
      <c r="E32564" t="s">
        <v>26</v>
      </c>
    </row>
    <row r="32565" spans="1:5" x14ac:dyDescent="0.25">
      <c r="A32565" t="str">
        <f>HYPERLINK("https://www.773grp.com/globalSearch/MC74HC393N/page-1", "MC74HC393N")</f>
        <v>MC74HC393N</v>
      </c>
      <c r="B32565" s="3" t="s">
        <v>95</v>
      </c>
      <c r="C32565" s="6">
        <v>34216</v>
      </c>
      <c r="D32565" s="7">
        <v>0.9</v>
      </c>
      <c r="E32565" t="s">
        <v>26</v>
      </c>
    </row>
    <row r="32566" spans="1:5" x14ac:dyDescent="0.25">
      <c r="A32566" t="str">
        <f>HYPERLINK("https://www.773grp.com/globalSearch/MC74HC4049F/page-1", "MC74HC4049F")</f>
        <v>MC74HC4049F</v>
      </c>
      <c r="B32566" s="3" t="s">
        <v>95</v>
      </c>
      <c r="C32566" s="6">
        <v>3531</v>
      </c>
      <c r="D32566" s="7">
        <v>0.9</v>
      </c>
    </row>
    <row r="32567" spans="1:5" x14ac:dyDescent="0.25">
      <c r="A32567" t="str">
        <f>HYPERLINK("https://www.773grp.com/globalSearch/MC74HC4049FEL/page-1", "MC74HC4049FEL")</f>
        <v>MC74HC4049FEL</v>
      </c>
      <c r="B32567" s="3" t="s">
        <v>95</v>
      </c>
      <c r="C32567" s="6">
        <v>8000</v>
      </c>
      <c r="D32567" s="7">
        <v>0.9</v>
      </c>
    </row>
    <row r="32568" spans="1:5" x14ac:dyDescent="0.25">
      <c r="A32568" t="str">
        <f>HYPERLINK("https://www.773grp.com/globalSearch/MC74HC4049FR2/page-1", "MC74HC4049FR2")</f>
        <v>MC74HC4049FR2</v>
      </c>
      <c r="B32568" s="3" t="s">
        <v>95</v>
      </c>
      <c r="C32568" s="6">
        <v>2000</v>
      </c>
      <c r="D32568" s="7">
        <v>0.9</v>
      </c>
    </row>
    <row r="32569" spans="1:5" x14ac:dyDescent="0.25">
      <c r="A32569" t="str">
        <f>HYPERLINK("https://www.773grp.com/globalSearch/MC74HC4316D/page-1", "MC74HC4316D")</f>
        <v>MC74HC4316D</v>
      </c>
      <c r="B32569" s="3" t="s">
        <v>95</v>
      </c>
      <c r="C32569" s="6">
        <v>7512</v>
      </c>
      <c r="D32569" s="7">
        <v>0.9</v>
      </c>
      <c r="E32569" t="s">
        <v>56</v>
      </c>
    </row>
    <row r="32570" spans="1:5" x14ac:dyDescent="0.25">
      <c r="A32570" t="str">
        <f>HYPERLINK("https://www.773grp.com/globalSearch/MC74HC4316D/page-1", "MC74HC4316D")</f>
        <v>MC74HC4316D</v>
      </c>
      <c r="B32570" s="3" t="s">
        <v>95</v>
      </c>
      <c r="C32570" s="6">
        <v>40</v>
      </c>
      <c r="D32570" s="7">
        <v>0.9</v>
      </c>
      <c r="E32570" t="s">
        <v>56</v>
      </c>
    </row>
    <row r="32571" spans="1:5" x14ac:dyDescent="0.25">
      <c r="A32571" t="str">
        <f>HYPERLINK("https://www.773grp.com/globalSearch/MC74HC4851ADWR2/page-1", "MC74HC4851ADWR2")</f>
        <v>MC74HC4851ADWR2</v>
      </c>
      <c r="B32571" s="3" t="s">
        <v>95</v>
      </c>
      <c r="C32571" s="6">
        <v>2427</v>
      </c>
      <c r="D32571" s="7">
        <v>0.9</v>
      </c>
      <c r="E32571" t="s">
        <v>56</v>
      </c>
    </row>
    <row r="32572" spans="1:5" x14ac:dyDescent="0.25">
      <c r="A32572" t="str">
        <f>HYPERLINK("https://www.773grp.com/globalSearch/MC74HC4851AN/page-1", "MC74HC4851AN")</f>
        <v>MC74HC4851AN</v>
      </c>
      <c r="B32572" s="3" t="s">
        <v>95</v>
      </c>
      <c r="C32572" s="6">
        <v>3300</v>
      </c>
      <c r="D32572" s="7">
        <v>0.9</v>
      </c>
      <c r="E32572" t="s">
        <v>56</v>
      </c>
    </row>
    <row r="32573" spans="1:5" x14ac:dyDescent="0.25">
      <c r="A32573" t="str">
        <f>HYPERLINK("https://www.773grp.com/globalSearch/MC74HC4852AD/page-1", "MC74HC4852AD")</f>
        <v>MC74HC4852AD</v>
      </c>
      <c r="B32573" s="3" t="s">
        <v>95</v>
      </c>
      <c r="C32573" s="6">
        <v>15456</v>
      </c>
      <c r="D32573" s="7">
        <v>0.9</v>
      </c>
      <c r="E32573" t="s">
        <v>56</v>
      </c>
    </row>
    <row r="32574" spans="1:5" x14ac:dyDescent="0.25">
      <c r="A32574" t="str">
        <f>HYPERLINK("https://www.773grp.com/globalSearch/MC74HC4852AN/page-1", "MC74HC4852AN")</f>
        <v>MC74HC4852AN</v>
      </c>
      <c r="B32574" s="3" t="s">
        <v>95</v>
      </c>
      <c r="C32574" s="6">
        <v>1375</v>
      </c>
      <c r="D32574" s="7">
        <v>0.9</v>
      </c>
      <c r="E32574" t="s">
        <v>56</v>
      </c>
    </row>
    <row r="32575" spans="1:5" x14ac:dyDescent="0.25">
      <c r="A32575" t="str">
        <f>HYPERLINK("https://www.773grp.com/globalSearch/MC74HCT138ANG/page-1", "MC74HCT138ANG")</f>
        <v>MC74HCT138ANG</v>
      </c>
      <c r="B32575" s="3" t="s">
        <v>95</v>
      </c>
      <c r="C32575" s="6">
        <v>12567</v>
      </c>
      <c r="D32575" s="7">
        <v>0.9</v>
      </c>
      <c r="E32575" t="s">
        <v>36</v>
      </c>
    </row>
    <row r="32576" spans="1:5" x14ac:dyDescent="0.25">
      <c r="A32576" t="str">
        <f>HYPERLINK("https://www.773grp.com/globalSearch/MC74HCT163AN/page-1", "MC74HCT163AN")</f>
        <v>MC74HCT163AN</v>
      </c>
      <c r="B32576" s="3" t="s">
        <v>95</v>
      </c>
      <c r="C32576" s="6">
        <v>325</v>
      </c>
      <c r="D32576" s="7">
        <v>0.9</v>
      </c>
      <c r="E32576" t="s">
        <v>26</v>
      </c>
    </row>
    <row r="32577" spans="1:5" x14ac:dyDescent="0.25">
      <c r="A32577" t="str">
        <f>HYPERLINK("https://www.773grp.com/globalSearch/MC74HCU04AFELG/page-1", "MC74HCU04AFELG")</f>
        <v>MC74HCU04AFELG</v>
      </c>
      <c r="B32577" s="3" t="s">
        <v>95</v>
      </c>
      <c r="C32577" s="6">
        <v>11686</v>
      </c>
      <c r="D32577" s="7">
        <v>0.9</v>
      </c>
      <c r="E32577" t="s">
        <v>31</v>
      </c>
    </row>
    <row r="32578" spans="1:5" x14ac:dyDescent="0.25">
      <c r="A32578" t="str">
        <f>HYPERLINK("https://www.773grp.com/globalSearch/MC74VHC4066DR2G/page-1", "MC74VHC4066DR2G")</f>
        <v>MC74VHC4066DR2G</v>
      </c>
      <c r="B32578" s="3" t="s">
        <v>95</v>
      </c>
      <c r="C32578" s="6">
        <v>1381</v>
      </c>
      <c r="D32578" s="7">
        <v>0.9</v>
      </c>
    </row>
    <row r="32579" spans="1:5" x14ac:dyDescent="0.25">
      <c r="A32579" t="str">
        <f>HYPERLINK("https://www.773grp.com/globalSearch/MC74VHC4066DTR2G/page-1", "MC74VHC4066DTR2G")</f>
        <v>MC74VHC4066DTR2G</v>
      </c>
      <c r="B32579" s="3" t="s">
        <v>95</v>
      </c>
      <c r="C32579" s="6">
        <v>4880</v>
      </c>
      <c r="D32579" s="7">
        <v>0.9</v>
      </c>
      <c r="E32579" t="s">
        <v>56</v>
      </c>
    </row>
    <row r="32580" spans="1:5" x14ac:dyDescent="0.25">
      <c r="A32580" t="str">
        <f>HYPERLINK("https://www.773grp.com/globalSearch/MC74VHCT540ADW/page-1", "MC74VHCT540ADW")</f>
        <v>MC74VHCT540ADW</v>
      </c>
      <c r="B32580" s="3" t="s">
        <v>95</v>
      </c>
      <c r="C32580" s="6">
        <v>2003</v>
      </c>
      <c r="D32580" s="7">
        <v>0.9</v>
      </c>
      <c r="E32580" t="s">
        <v>14</v>
      </c>
    </row>
    <row r="32581" spans="1:5" x14ac:dyDescent="0.25">
      <c r="A32581" t="str">
        <f>HYPERLINK("https://www.773grp.com/globalSearch/MC7805ACD2TR4/page-1", "MC7805ACD2TR4")</f>
        <v>MC7805ACD2TR4</v>
      </c>
      <c r="B32581" s="3" t="s">
        <v>95</v>
      </c>
      <c r="C32581" s="6">
        <v>586</v>
      </c>
      <c r="D32581" s="7">
        <v>0.9</v>
      </c>
      <c r="E32581" t="s">
        <v>28</v>
      </c>
    </row>
    <row r="32582" spans="1:5" x14ac:dyDescent="0.25">
      <c r="A32582" t="str">
        <f>HYPERLINK("https://www.773grp.com/globalSearch/MC7806BD2T/page-1", "MC7806BD2T")</f>
        <v>MC7806BD2T</v>
      </c>
      <c r="B32582" s="3" t="s">
        <v>95</v>
      </c>
      <c r="C32582" s="6">
        <v>500</v>
      </c>
      <c r="D32582" s="7">
        <v>0.9</v>
      </c>
      <c r="E32582" t="s">
        <v>28</v>
      </c>
    </row>
    <row r="32583" spans="1:5" x14ac:dyDescent="0.25">
      <c r="A32583" t="str">
        <f>HYPERLINK("https://www.773grp.com/globalSearch/MC7808BD2TR4/page-1", "MC7808BD2TR4")</f>
        <v>MC7808BD2TR4</v>
      </c>
      <c r="B32583" s="3" t="s">
        <v>95</v>
      </c>
      <c r="C32583" s="6">
        <v>7861</v>
      </c>
      <c r="D32583" s="7">
        <v>0.9</v>
      </c>
      <c r="E32583" t="s">
        <v>28</v>
      </c>
    </row>
    <row r="32584" spans="1:5" x14ac:dyDescent="0.25">
      <c r="A32584" t="str">
        <f>HYPERLINK("https://www.773grp.com/globalSearch/MC7812ACD2TR4/page-1", "MC7812ACD2TR4")</f>
        <v>MC7812ACD2TR4</v>
      </c>
      <c r="B32584" s="3" t="s">
        <v>95</v>
      </c>
      <c r="C32584" s="6">
        <v>910</v>
      </c>
      <c r="D32584" s="7">
        <v>0.9</v>
      </c>
      <c r="E32584" t="s">
        <v>28</v>
      </c>
    </row>
    <row r="32585" spans="1:5" x14ac:dyDescent="0.25">
      <c r="A32585" t="str">
        <f>HYPERLINK("https://www.773grp.com/globalSearch/MC7815ACD2T/page-1", "MC7815ACD2T")</f>
        <v>MC7815ACD2T</v>
      </c>
      <c r="B32585" s="3" t="s">
        <v>95</v>
      </c>
      <c r="C32585" s="6">
        <v>1214</v>
      </c>
      <c r="D32585" s="7">
        <v>0.9</v>
      </c>
      <c r="E32585" t="s">
        <v>28</v>
      </c>
    </row>
    <row r="32586" spans="1:5" x14ac:dyDescent="0.25">
      <c r="A32586" t="str">
        <f>HYPERLINK("https://www.773grp.com/globalSearch/MC7824BD2T/page-1", "MC7824BD2T")</f>
        <v>MC7824BD2T</v>
      </c>
      <c r="B32586" s="3" t="s">
        <v>95</v>
      </c>
      <c r="C32586" s="6">
        <v>900</v>
      </c>
      <c r="D32586" s="7">
        <v>0.9</v>
      </c>
      <c r="E32586" t="s">
        <v>28</v>
      </c>
    </row>
    <row r="32587" spans="1:5" x14ac:dyDescent="0.25">
      <c r="A32587" t="str">
        <f>HYPERLINK("https://www.773grp.com/globalSearch/MC78L05ABPG/page-1", "MC78L05ABPG")</f>
        <v>MC78L05ABPG</v>
      </c>
      <c r="B32587" s="3" t="s">
        <v>95</v>
      </c>
      <c r="C32587" s="6">
        <v>94004</v>
      </c>
      <c r="D32587" s="7">
        <v>0.9</v>
      </c>
      <c r="E32587" t="s">
        <v>28</v>
      </c>
    </row>
    <row r="32588" spans="1:5" x14ac:dyDescent="0.25">
      <c r="A32588" t="str">
        <f>HYPERLINK("https://www.773grp.com/globalSearch/MC78L05ABPRAG/page-1", "MC78L05ABPRAG")</f>
        <v>MC78L05ABPRAG</v>
      </c>
      <c r="B32588" s="3" t="s">
        <v>95</v>
      </c>
      <c r="C32588" s="6">
        <v>223891</v>
      </c>
      <c r="D32588" s="7">
        <v>0.9</v>
      </c>
      <c r="E32588" t="s">
        <v>28</v>
      </c>
    </row>
    <row r="32589" spans="1:5" x14ac:dyDescent="0.25">
      <c r="A32589" t="str">
        <f>HYPERLINK("https://www.773grp.com/globalSearch/MC78L05ABPREG/page-1", "MC78L05ABPREG")</f>
        <v>MC78L05ABPREG</v>
      </c>
      <c r="B32589" s="3" t="s">
        <v>95</v>
      </c>
      <c r="C32589" s="6">
        <v>4388</v>
      </c>
      <c r="D32589" s="7">
        <v>0.9</v>
      </c>
      <c r="E32589" t="s">
        <v>28</v>
      </c>
    </row>
    <row r="32590" spans="1:5" x14ac:dyDescent="0.25">
      <c r="A32590" t="str">
        <f>HYPERLINK("https://www.773grp.com/globalSearch/MC78L05ABPRMG/page-1", "MC78L05ABPRMG")</f>
        <v>MC78L05ABPRMG</v>
      </c>
      <c r="B32590" s="3" t="s">
        <v>95</v>
      </c>
      <c r="C32590" s="6">
        <v>24000</v>
      </c>
      <c r="D32590" s="7">
        <v>0.9</v>
      </c>
    </row>
    <row r="32591" spans="1:5" x14ac:dyDescent="0.25">
      <c r="A32591" t="str">
        <f>HYPERLINK("https://www.773grp.com/globalSearch/MC78L05ACDG/page-1", "MC78L05ACDG")</f>
        <v>MC78L05ACDG</v>
      </c>
      <c r="B32591" s="3" t="s">
        <v>95</v>
      </c>
      <c r="C32591" s="6">
        <v>9305</v>
      </c>
      <c r="D32591" s="7">
        <v>0.9</v>
      </c>
      <c r="E32591" t="s">
        <v>28</v>
      </c>
    </row>
    <row r="32592" spans="1:5" x14ac:dyDescent="0.25">
      <c r="A32592" t="str">
        <f>HYPERLINK("https://www.773grp.com/globalSearch/MC78L05ACDR2G/page-1", "MC78L05ACDR2G")</f>
        <v>MC78L05ACDR2G</v>
      </c>
      <c r="B32592" s="3" t="s">
        <v>95</v>
      </c>
      <c r="C32592" s="6">
        <v>293581</v>
      </c>
      <c r="D32592" s="7">
        <v>0.9</v>
      </c>
      <c r="E32592" t="s">
        <v>28</v>
      </c>
    </row>
    <row r="32593" spans="1:5" x14ac:dyDescent="0.25">
      <c r="A32593" t="str">
        <f>HYPERLINK("https://www.773grp.com/globalSearch/MC78L05ACDR2GH/page-1", "MC78L05ACDR2GH")</f>
        <v>MC78L05ACDR2GH</v>
      </c>
      <c r="B32593" s="3" t="s">
        <v>95</v>
      </c>
      <c r="C32593" s="6">
        <v>5000</v>
      </c>
      <c r="D32593" s="7">
        <v>0.9</v>
      </c>
    </row>
    <row r="32594" spans="1:5" x14ac:dyDescent="0.25">
      <c r="A32594" t="str">
        <f>HYPERLINK("https://www.773grp.com/globalSearch/MC78L08ABPG/page-1", "MC78L08ABPG")</f>
        <v>MC78L08ABPG</v>
      </c>
      <c r="B32594" s="3" t="s">
        <v>95</v>
      </c>
      <c r="C32594" s="6">
        <v>4000</v>
      </c>
      <c r="D32594" s="7">
        <v>0.9</v>
      </c>
    </row>
    <row r="32595" spans="1:5" x14ac:dyDescent="0.25">
      <c r="A32595" t="str">
        <f>HYPERLINK("https://www.773grp.com/globalSearch/MC78L08ABPRAG/page-1", "MC78L08ABPRAG")</f>
        <v>MC78L08ABPRAG</v>
      </c>
      <c r="B32595" s="3" t="s">
        <v>95</v>
      </c>
      <c r="C32595" s="6">
        <v>44000</v>
      </c>
      <c r="D32595" s="7">
        <v>0.9</v>
      </c>
    </row>
    <row r="32596" spans="1:5" x14ac:dyDescent="0.25">
      <c r="A32596" t="str">
        <f>HYPERLINK("https://www.773grp.com/globalSearch/MC78L08ACDG/page-1", "MC78L08ACDG")</f>
        <v>MC78L08ACDG</v>
      </c>
      <c r="B32596" s="3" t="s">
        <v>95</v>
      </c>
      <c r="C32596" s="6">
        <v>10094</v>
      </c>
      <c r="D32596" s="7">
        <v>0.9</v>
      </c>
      <c r="E32596" t="s">
        <v>28</v>
      </c>
    </row>
    <row r="32597" spans="1:5" x14ac:dyDescent="0.25">
      <c r="A32597" t="str">
        <f>HYPERLINK("https://www.773grp.com/globalSearch/MC78L08ACDR2G/page-1", "MC78L08ACDR2G")</f>
        <v>MC78L08ACDR2G</v>
      </c>
      <c r="B32597" s="3" t="s">
        <v>95</v>
      </c>
      <c r="C32597" s="6">
        <v>257400</v>
      </c>
      <c r="D32597" s="7">
        <v>0.9</v>
      </c>
      <c r="E32597" t="s">
        <v>28</v>
      </c>
    </row>
    <row r="32598" spans="1:5" x14ac:dyDescent="0.25">
      <c r="A32598" t="str">
        <f>HYPERLINK("https://www.773grp.com/globalSearch/MC78L09ABPRAG/page-1", "MC78L09ABPRAG")</f>
        <v>MC78L09ABPRAG</v>
      </c>
      <c r="B32598" s="3" t="s">
        <v>95</v>
      </c>
      <c r="C32598" s="6">
        <v>38863</v>
      </c>
      <c r="D32598" s="7">
        <v>0.9</v>
      </c>
      <c r="E32598" t="s">
        <v>28</v>
      </c>
    </row>
    <row r="32599" spans="1:5" x14ac:dyDescent="0.25">
      <c r="A32599" t="str">
        <f>HYPERLINK("https://www.773grp.com/globalSearch/MC78L09ABPRPG/page-1", "MC78L09ABPRPG")</f>
        <v>MC78L09ABPRPG</v>
      </c>
      <c r="B32599" s="3" t="s">
        <v>95</v>
      </c>
      <c r="C32599" s="6">
        <v>4000</v>
      </c>
      <c r="D32599" s="7">
        <v>0.9</v>
      </c>
    </row>
    <row r="32600" spans="1:5" x14ac:dyDescent="0.25">
      <c r="A32600" t="str">
        <f>HYPERLINK("https://www.773grp.com/globalSearch/MC78L09ACD/page-1", "MC78L09ACD")</f>
        <v>MC78L09ACD</v>
      </c>
      <c r="B32600" s="3" t="s">
        <v>95</v>
      </c>
      <c r="C32600" s="6">
        <v>3626</v>
      </c>
      <c r="D32600" s="7">
        <v>0.9</v>
      </c>
      <c r="E32600" t="s">
        <v>28</v>
      </c>
    </row>
    <row r="32601" spans="1:5" x14ac:dyDescent="0.25">
      <c r="A32601" t="str">
        <f>HYPERLINK("https://www.773grp.com/globalSearch/MC78L09ACDG/page-1", "MC78L09ACDG")</f>
        <v>MC78L09ACDG</v>
      </c>
      <c r="B32601" s="3" t="s">
        <v>95</v>
      </c>
      <c r="C32601" s="6">
        <v>3502</v>
      </c>
      <c r="D32601" s="7">
        <v>0.9</v>
      </c>
      <c r="E32601" t="s">
        <v>28</v>
      </c>
    </row>
    <row r="32602" spans="1:5" x14ac:dyDescent="0.25">
      <c r="A32602" t="str">
        <f>HYPERLINK("https://www.773grp.com/globalSearch/MC78L09ACDR2G/page-1", "MC78L09ACDR2G")</f>
        <v>MC78L09ACDR2G</v>
      </c>
      <c r="B32602" s="3" t="s">
        <v>95</v>
      </c>
      <c r="C32602" s="6">
        <v>160676</v>
      </c>
      <c r="D32602" s="7">
        <v>0.9</v>
      </c>
      <c r="E32602" t="s">
        <v>28</v>
      </c>
    </row>
    <row r="32603" spans="1:5" x14ac:dyDescent="0.25">
      <c r="A32603" t="str">
        <f>HYPERLINK("https://www.773grp.com/globalSearch/MC78L12ABPG/page-1", "MC78L12ABPG")</f>
        <v>MC78L12ABPG</v>
      </c>
      <c r="B32603" s="3" t="s">
        <v>95</v>
      </c>
      <c r="C32603" s="6">
        <v>70819</v>
      </c>
      <c r="D32603" s="7">
        <v>0.9</v>
      </c>
      <c r="E32603" t="s">
        <v>28</v>
      </c>
    </row>
    <row r="32604" spans="1:5" x14ac:dyDescent="0.25">
      <c r="A32604" t="str">
        <f>HYPERLINK("https://www.773grp.com/globalSearch/MC78L12ABPRPG/page-1", "MC78L12ABPRPG")</f>
        <v>MC78L12ABPRPG</v>
      </c>
      <c r="B32604" s="3" t="s">
        <v>95</v>
      </c>
      <c r="C32604" s="6">
        <v>16000</v>
      </c>
      <c r="D32604" s="7">
        <v>0.9</v>
      </c>
      <c r="E32604" t="s">
        <v>28</v>
      </c>
    </row>
    <row r="32605" spans="1:5" x14ac:dyDescent="0.25">
      <c r="A32605" t="str">
        <f>HYPERLINK("https://www.773grp.com/globalSearch/MC78L12ACDC/page-1", "MC78L12ACDC")</f>
        <v>MC78L12ACDC</v>
      </c>
      <c r="B32605" s="3" t="s">
        <v>95</v>
      </c>
      <c r="C32605" s="6">
        <v>1</v>
      </c>
      <c r="D32605" s="7">
        <v>0.9</v>
      </c>
    </row>
    <row r="32606" spans="1:5" x14ac:dyDescent="0.25">
      <c r="A32606" t="str">
        <f>HYPERLINK("https://www.773grp.com/globalSearch/MC78L12ACDG/page-1", "MC78L12ACDG")</f>
        <v>MC78L12ACDG</v>
      </c>
      <c r="B32606" s="3" t="s">
        <v>95</v>
      </c>
      <c r="C32606" s="6">
        <v>3816</v>
      </c>
      <c r="D32606" s="7">
        <v>0.9</v>
      </c>
      <c r="E32606" t="s">
        <v>28</v>
      </c>
    </row>
    <row r="32607" spans="1:5" x14ac:dyDescent="0.25">
      <c r="A32607" t="str">
        <f>HYPERLINK("https://www.773grp.com/globalSearch/MC78L12ACDR2G/page-1", "MC78L12ACDR2G")</f>
        <v>MC78L12ACDR2G</v>
      </c>
      <c r="B32607" s="3" t="s">
        <v>95</v>
      </c>
      <c r="C32607" s="6">
        <v>7211</v>
      </c>
      <c r="D32607" s="7">
        <v>0.9</v>
      </c>
      <c r="E32607" t="s">
        <v>28</v>
      </c>
    </row>
    <row r="32608" spans="1:5" x14ac:dyDescent="0.25">
      <c r="A32608" t="str">
        <f>HYPERLINK("https://www.773grp.com/globalSearch/MC78L15ABPG/page-1", "MC78L15ABPG")</f>
        <v>MC78L15ABPG</v>
      </c>
      <c r="B32608" s="3" t="s">
        <v>95</v>
      </c>
      <c r="C32608" s="6">
        <v>43473</v>
      </c>
      <c r="D32608" s="7">
        <v>0.9</v>
      </c>
      <c r="E32608" t="s">
        <v>28</v>
      </c>
    </row>
    <row r="32609" spans="1:5" x14ac:dyDescent="0.25">
      <c r="A32609" t="str">
        <f>HYPERLINK("https://www.773grp.com/globalSearch/MC78L15ABPRAG/page-1", "MC78L15ABPRAG")</f>
        <v>MC78L15ABPRAG</v>
      </c>
      <c r="B32609" s="3" t="s">
        <v>95</v>
      </c>
      <c r="C32609" s="6">
        <v>138000</v>
      </c>
      <c r="D32609" s="7">
        <v>0.9</v>
      </c>
      <c r="E32609" t="s">
        <v>28</v>
      </c>
    </row>
    <row r="32610" spans="1:5" x14ac:dyDescent="0.25">
      <c r="A32610" t="str">
        <f>HYPERLINK("https://www.773grp.com/globalSearch/MC78L15ABPRPG/page-1", "MC78L15ABPRPG")</f>
        <v>MC78L15ABPRPG</v>
      </c>
      <c r="B32610" s="3" t="s">
        <v>95</v>
      </c>
      <c r="C32610" s="6">
        <v>5071</v>
      </c>
      <c r="D32610" s="7">
        <v>0.9</v>
      </c>
      <c r="E32610" t="s">
        <v>28</v>
      </c>
    </row>
    <row r="32611" spans="1:5" x14ac:dyDescent="0.25">
      <c r="A32611" t="str">
        <f>HYPERLINK("https://www.773grp.com/globalSearch/MC78L15ACDG/page-1", "MC78L15ACDG")</f>
        <v>MC78L15ACDG</v>
      </c>
      <c r="B32611" s="3" t="s">
        <v>95</v>
      </c>
      <c r="C32611" s="6">
        <v>15990</v>
      </c>
      <c r="D32611" s="7">
        <v>0.9</v>
      </c>
    </row>
    <row r="32612" spans="1:5" x14ac:dyDescent="0.25">
      <c r="A32612" t="str">
        <f>HYPERLINK("https://www.773grp.com/globalSearch/MC78L15ACDR2G/page-1", "MC78L15ACDR2G")</f>
        <v>MC78L15ACDR2G</v>
      </c>
      <c r="B32612" s="3" t="s">
        <v>95</v>
      </c>
      <c r="C32612" s="6">
        <v>354470</v>
      </c>
      <c r="D32612" s="7">
        <v>0.9</v>
      </c>
      <c r="E32612" t="s">
        <v>28</v>
      </c>
    </row>
    <row r="32613" spans="1:5" x14ac:dyDescent="0.25">
      <c r="A32613" t="str">
        <f>HYPERLINK("https://www.773grp.com/globalSearch/MC78L18ABPG/page-1", "MC78L18ABPG")</f>
        <v>MC78L18ABPG</v>
      </c>
      <c r="B32613" s="3" t="s">
        <v>95</v>
      </c>
      <c r="C32613" s="6">
        <v>4000</v>
      </c>
      <c r="D32613" s="7">
        <v>0.9</v>
      </c>
    </row>
    <row r="32614" spans="1:5" x14ac:dyDescent="0.25">
      <c r="A32614" t="str">
        <f>HYPERLINK("https://www.773grp.com/globalSearch/MC78L24ABPG/page-1", "MC78L24ABPG")</f>
        <v>MC78L24ABPG</v>
      </c>
      <c r="B32614" s="3" t="s">
        <v>95</v>
      </c>
      <c r="C32614" s="6">
        <v>10000</v>
      </c>
      <c r="D32614" s="7">
        <v>0.9</v>
      </c>
    </row>
    <row r="32615" spans="1:5" x14ac:dyDescent="0.25">
      <c r="A32615" t="str">
        <f>HYPERLINK("https://www.773grp.com/globalSearch/MC7905ACD2T/page-1", "MC7905ACD2T")</f>
        <v>MC7905ACD2T</v>
      </c>
      <c r="B32615" s="3" t="s">
        <v>95</v>
      </c>
      <c r="C32615" s="6">
        <v>1200</v>
      </c>
      <c r="D32615" s="7">
        <v>0.9</v>
      </c>
      <c r="E32615" t="s">
        <v>65</v>
      </c>
    </row>
    <row r="32616" spans="1:5" x14ac:dyDescent="0.25">
      <c r="A32616" t="str">
        <f>HYPERLINK("https://www.773grp.com/globalSearch/MC7912BD2T/page-1", "MC7912BD2T")</f>
        <v>MC7912BD2T</v>
      </c>
      <c r="B32616" s="3" t="s">
        <v>95</v>
      </c>
      <c r="C32616" s="6">
        <v>225</v>
      </c>
      <c r="D32616" s="7">
        <v>0.9</v>
      </c>
      <c r="E32616" t="s">
        <v>65</v>
      </c>
    </row>
    <row r="32617" spans="1:5" x14ac:dyDescent="0.25">
      <c r="A32617" t="str">
        <f>HYPERLINK("https://www.773grp.com/globalSearch/MC79L05ABPG/page-1", "MC79L05ABPG")</f>
        <v>MC79L05ABPG</v>
      </c>
      <c r="B32617" s="3" t="s">
        <v>95</v>
      </c>
      <c r="C32617" s="6">
        <v>6000</v>
      </c>
      <c r="D32617" s="7">
        <v>0.9</v>
      </c>
      <c r="E32617" t="s">
        <v>65</v>
      </c>
    </row>
    <row r="32618" spans="1:5" x14ac:dyDescent="0.25">
      <c r="A32618" t="str">
        <f>HYPERLINK("https://www.773grp.com/globalSearch/MC79L05ABPRAG/page-1", "MC79L05ABPRAG")</f>
        <v>MC79L05ABPRAG</v>
      </c>
      <c r="B32618" s="3" t="s">
        <v>95</v>
      </c>
      <c r="C32618" s="6">
        <v>946</v>
      </c>
      <c r="D32618" s="7">
        <v>0.9</v>
      </c>
      <c r="E32618" t="s">
        <v>65</v>
      </c>
    </row>
    <row r="32619" spans="1:5" x14ac:dyDescent="0.25">
      <c r="A32619" t="str">
        <f>HYPERLINK("https://www.773grp.com/globalSearch/MC79L05ACDG/page-1", "MC79L05ACDG")</f>
        <v>MC79L05ACDG</v>
      </c>
      <c r="B32619" s="3" t="s">
        <v>95</v>
      </c>
      <c r="C32619" s="6">
        <v>20170</v>
      </c>
      <c r="D32619" s="7">
        <v>0.9</v>
      </c>
      <c r="E32619" t="s">
        <v>65</v>
      </c>
    </row>
    <row r="32620" spans="1:5" x14ac:dyDescent="0.25">
      <c r="A32620" t="str">
        <f>HYPERLINK("https://www.773grp.com/globalSearch/MC79L05ACDR2G/page-1", "MC79L05ACDR2G")</f>
        <v>MC79L05ACDR2G</v>
      </c>
      <c r="B32620" s="3" t="s">
        <v>95</v>
      </c>
      <c r="C32620" s="6">
        <v>180395</v>
      </c>
      <c r="D32620" s="7">
        <v>0.9</v>
      </c>
      <c r="E32620" t="s">
        <v>65</v>
      </c>
    </row>
    <row r="32621" spans="1:5" x14ac:dyDescent="0.25">
      <c r="A32621" t="str">
        <f>HYPERLINK("https://www.773grp.com/globalSearch/MC79L12ABPG/page-1", "MC79L12ABPG")</f>
        <v>MC79L12ABPG</v>
      </c>
      <c r="B32621" s="3" t="s">
        <v>95</v>
      </c>
      <c r="C32621" s="6">
        <v>19845</v>
      </c>
      <c r="D32621" s="7">
        <v>0.9</v>
      </c>
      <c r="E32621" t="s">
        <v>65</v>
      </c>
    </row>
    <row r="32622" spans="1:5" x14ac:dyDescent="0.25">
      <c r="A32622" t="str">
        <f>HYPERLINK("https://www.773grp.com/globalSearch/MC79L12ACDG/page-1", "MC79L12ACDG")</f>
        <v>MC79L12ACDG</v>
      </c>
      <c r="B32622" s="3" t="s">
        <v>95</v>
      </c>
      <c r="C32622" s="6">
        <v>21796</v>
      </c>
      <c r="D32622" s="7">
        <v>0.9</v>
      </c>
      <c r="E32622" t="s">
        <v>65</v>
      </c>
    </row>
    <row r="32623" spans="1:5" x14ac:dyDescent="0.25">
      <c r="A32623" t="str">
        <f>HYPERLINK("https://www.773grp.com/globalSearch/MC79L12ACDR2G/page-1", "MC79L12ACDR2G")</f>
        <v>MC79L12ACDR2G</v>
      </c>
      <c r="B32623" s="3" t="s">
        <v>95</v>
      </c>
      <c r="C32623" s="6">
        <v>5000</v>
      </c>
      <c r="D32623" s="7">
        <v>0.9</v>
      </c>
    </row>
    <row r="32624" spans="1:5" x14ac:dyDescent="0.25">
      <c r="A32624" t="str">
        <f>HYPERLINK("https://www.773grp.com/globalSearch/MC79L15ABPG/page-1", "MC79L15ABPG")</f>
        <v>MC79L15ABPG</v>
      </c>
      <c r="B32624" s="3" t="s">
        <v>95</v>
      </c>
      <c r="C32624" s="6">
        <v>28000</v>
      </c>
      <c r="D32624" s="7">
        <v>0.9</v>
      </c>
    </row>
    <row r="32625" spans="1:5" x14ac:dyDescent="0.25">
      <c r="A32625" t="str">
        <f>HYPERLINK("https://www.773grp.com/globalSearch/MC79L15ABPRPG/page-1", "MC79L15ABPRPG")</f>
        <v>MC79L15ABPRPG</v>
      </c>
      <c r="B32625" s="3" t="s">
        <v>95</v>
      </c>
      <c r="C32625" s="6">
        <v>171</v>
      </c>
      <c r="D32625" s="7">
        <v>0.9</v>
      </c>
      <c r="E32625" t="s">
        <v>65</v>
      </c>
    </row>
    <row r="32626" spans="1:5" x14ac:dyDescent="0.25">
      <c r="A32626" t="str">
        <f>HYPERLINK("https://www.773grp.com/globalSearch/MC79L15ACDG/page-1", "MC79L15ACDG")</f>
        <v>MC79L15ACDG</v>
      </c>
      <c r="B32626" s="3" t="s">
        <v>95</v>
      </c>
      <c r="C32626" s="6">
        <v>19867</v>
      </c>
      <c r="D32626" s="7">
        <v>0.9</v>
      </c>
      <c r="E32626" t="s">
        <v>65</v>
      </c>
    </row>
    <row r="32627" spans="1:5" x14ac:dyDescent="0.25">
      <c r="A32627" t="str">
        <f>HYPERLINK("https://www.773grp.com/globalSearch/MC79L15ACDR2/page-1", "MC79L15ACDR2")</f>
        <v>MC79L15ACDR2</v>
      </c>
      <c r="B32627" s="3" t="s">
        <v>95</v>
      </c>
      <c r="C32627" s="6">
        <v>12500</v>
      </c>
      <c r="D32627" s="7">
        <v>0.9</v>
      </c>
      <c r="E32627" t="s">
        <v>65</v>
      </c>
    </row>
    <row r="32628" spans="1:5" x14ac:dyDescent="0.25">
      <c r="A32628" t="str">
        <f>HYPERLINK("https://www.773grp.com/globalSearch/MC79L15ACDR2G/page-1", "MC79L15ACDR2G")</f>
        <v>MC79L15ACDR2G</v>
      </c>
      <c r="B32628" s="3" t="s">
        <v>95</v>
      </c>
      <c r="C32628" s="6">
        <v>17500</v>
      </c>
      <c r="D32628" s="7">
        <v>0.9</v>
      </c>
      <c r="E32628" t="s">
        <v>65</v>
      </c>
    </row>
    <row r="32629" spans="1:5" x14ac:dyDescent="0.25">
      <c r="A32629" t="str">
        <f>HYPERLINK("https://www.773grp.com/globalSearch/MC79L18ABPRPG/page-1", "MC79L18ABPRPG")</f>
        <v>MC79L18ABPRPG</v>
      </c>
      <c r="B32629" s="3" t="s">
        <v>95</v>
      </c>
      <c r="C32629" s="6">
        <v>2888</v>
      </c>
      <c r="D32629" s="7">
        <v>0.9</v>
      </c>
      <c r="E32629" t="s">
        <v>65</v>
      </c>
    </row>
    <row r="32630" spans="1:5" x14ac:dyDescent="0.25">
      <c r="A32630" t="str">
        <f>HYPERLINK("https://www.773grp.com/globalSearch/MC79L24ABPG/page-1", "MC79L24ABPG")</f>
        <v>MC79L24ABPG</v>
      </c>
      <c r="B32630" s="3" t="s">
        <v>95</v>
      </c>
      <c r="C32630" s="6">
        <v>5508</v>
      </c>
      <c r="D32630" s="7">
        <v>0.9</v>
      </c>
      <c r="E32630" t="s">
        <v>65</v>
      </c>
    </row>
    <row r="32631" spans="1:5" x14ac:dyDescent="0.25">
      <c r="A32631" t="str">
        <f>HYPERLINK("https://www.773grp.com/globalSearch/MJD112-1G/page-1", "MJD112-1G")</f>
        <v>MJD112-1G</v>
      </c>
      <c r="B32631" s="3" t="s">
        <v>95</v>
      </c>
      <c r="C32631" s="6">
        <v>231707</v>
      </c>
      <c r="D32631" s="7">
        <v>0.9</v>
      </c>
      <c r="E32631" t="s">
        <v>59</v>
      </c>
    </row>
    <row r="32632" spans="1:5" x14ac:dyDescent="0.25">
      <c r="A32632" t="str">
        <f>HYPERLINK("https://www.773grp.com/globalSearch/MJD112G/page-1", "MJD112G")</f>
        <v>MJD112G</v>
      </c>
      <c r="B32632" s="3" t="s">
        <v>95</v>
      </c>
      <c r="C32632" s="6">
        <v>88875</v>
      </c>
      <c r="D32632" s="7">
        <v>0.9</v>
      </c>
      <c r="E32632" t="s">
        <v>59</v>
      </c>
    </row>
    <row r="32633" spans="1:5" x14ac:dyDescent="0.25">
      <c r="A32633" t="str">
        <f>HYPERLINK("https://www.773grp.com/globalSearch/MJD112RLG/page-1", "MJD112RLG")</f>
        <v>MJD112RLG</v>
      </c>
      <c r="B32633" s="3" t="s">
        <v>95</v>
      </c>
      <c r="C32633" s="6">
        <v>18669</v>
      </c>
      <c r="D32633" s="7">
        <v>0.9</v>
      </c>
      <c r="E32633" t="s">
        <v>59</v>
      </c>
    </row>
    <row r="32634" spans="1:5" x14ac:dyDescent="0.25">
      <c r="A32634" t="str">
        <f>HYPERLINK("https://www.773grp.com/globalSearch/MJD112T4G/page-1", "MJD112T4G")</f>
        <v>MJD112T4G</v>
      </c>
      <c r="B32634" s="3" t="s">
        <v>95</v>
      </c>
      <c r="C32634" s="6">
        <v>123598</v>
      </c>
      <c r="D32634" s="7">
        <v>0.9</v>
      </c>
      <c r="E32634" t="s">
        <v>59</v>
      </c>
    </row>
    <row r="32635" spans="1:5" x14ac:dyDescent="0.25">
      <c r="A32635" t="str">
        <f>HYPERLINK("https://www.773grp.com/globalSearch/MJD117T4G/page-1", "MJD117T4G")</f>
        <v>MJD117T4G</v>
      </c>
      <c r="B32635" s="3" t="s">
        <v>95</v>
      </c>
      <c r="C32635" s="6">
        <v>5000</v>
      </c>
      <c r="D32635" s="7">
        <v>0.9</v>
      </c>
      <c r="E32635" t="s">
        <v>59</v>
      </c>
    </row>
    <row r="32636" spans="1:5" x14ac:dyDescent="0.25">
      <c r="A32636" t="str">
        <f>HYPERLINK("https://www.773grp.com/globalSearch/MJD122G/page-1", "MJD122G")</f>
        <v>MJD122G</v>
      </c>
      <c r="B32636" s="3" t="s">
        <v>95</v>
      </c>
      <c r="C32636" s="6">
        <v>10175</v>
      </c>
      <c r="D32636" s="7">
        <v>0.9</v>
      </c>
      <c r="E32636" t="s">
        <v>59</v>
      </c>
    </row>
    <row r="32637" spans="1:5" x14ac:dyDescent="0.25">
      <c r="A32637" t="str">
        <f>HYPERLINK("https://www.773grp.com/globalSearch/MJD122T4/page-1", "MJD122T4")</f>
        <v>MJD122T4</v>
      </c>
      <c r="B32637" s="3" t="s">
        <v>95</v>
      </c>
      <c r="C32637" s="6">
        <v>2500</v>
      </c>
      <c r="D32637" s="7">
        <v>0.9</v>
      </c>
    </row>
    <row r="32638" spans="1:5" x14ac:dyDescent="0.25">
      <c r="A32638" t="str">
        <f>HYPERLINK("https://www.773grp.com/globalSearch/MJD127/page-1", "MJD127")</f>
        <v>MJD127</v>
      </c>
      <c r="B32638" s="3" t="s">
        <v>95</v>
      </c>
      <c r="C32638" s="6">
        <v>1150</v>
      </c>
      <c r="D32638" s="7">
        <v>0.9</v>
      </c>
      <c r="E32638" t="s">
        <v>59</v>
      </c>
    </row>
    <row r="32639" spans="1:5" x14ac:dyDescent="0.25">
      <c r="A32639" t="str">
        <f>HYPERLINK("https://www.773grp.com/globalSearch/MJD127G/page-1", "MJD127G")</f>
        <v>MJD127G</v>
      </c>
      <c r="B32639" s="3" t="s">
        <v>95</v>
      </c>
      <c r="C32639" s="6">
        <v>8775</v>
      </c>
      <c r="D32639" s="7">
        <v>0.9</v>
      </c>
      <c r="E32639" t="s">
        <v>59</v>
      </c>
    </row>
    <row r="32640" spans="1:5" x14ac:dyDescent="0.25">
      <c r="A32640" t="str">
        <f>HYPERLINK("https://www.773grp.com/globalSearch/MJD127T4G/page-1", "MJD127T4G")</f>
        <v>MJD127T4G</v>
      </c>
      <c r="B32640" s="3" t="s">
        <v>95</v>
      </c>
      <c r="C32640" s="6">
        <v>62500</v>
      </c>
      <c r="D32640" s="7">
        <v>0.9</v>
      </c>
      <c r="E32640" t="s">
        <v>59</v>
      </c>
    </row>
    <row r="32641" spans="1:5" x14ac:dyDescent="0.25">
      <c r="A32641" t="str">
        <f>HYPERLINK("https://www.773grp.com/globalSearch/MJD210G/page-1", "MJD210G")</f>
        <v>MJD210G</v>
      </c>
      <c r="B32641" s="3" t="s">
        <v>95</v>
      </c>
      <c r="C32641" s="6">
        <v>2750</v>
      </c>
      <c r="D32641" s="7">
        <v>0.9</v>
      </c>
    </row>
    <row r="32642" spans="1:5" x14ac:dyDescent="0.25">
      <c r="A32642" t="str">
        <f>HYPERLINK("https://www.773grp.com/globalSearch/MJD210T4G/page-1", "MJD210T4G")</f>
        <v>MJD210T4G</v>
      </c>
      <c r="B32642" s="3" t="s">
        <v>95</v>
      </c>
      <c r="C32642" s="6">
        <v>7500</v>
      </c>
      <c r="D32642" s="7">
        <v>0.9</v>
      </c>
      <c r="E32642" t="s">
        <v>59</v>
      </c>
    </row>
    <row r="32643" spans="1:5" x14ac:dyDescent="0.25">
      <c r="A32643" t="str">
        <f>HYPERLINK("https://www.773grp.com/globalSearch/MJD32RLG/page-1", "MJD32RLG")</f>
        <v>MJD32RLG</v>
      </c>
      <c r="B32643" s="3" t="s">
        <v>95</v>
      </c>
      <c r="C32643" s="6">
        <v>27000</v>
      </c>
      <c r="D32643" s="7">
        <v>0.9</v>
      </c>
      <c r="E32643" t="s">
        <v>59</v>
      </c>
    </row>
    <row r="32644" spans="1:5" x14ac:dyDescent="0.25">
      <c r="A32644" t="str">
        <f>HYPERLINK("https://www.773grp.com/globalSearch/MJD340G/page-1", "MJD340G")</f>
        <v>MJD340G</v>
      </c>
      <c r="B32644" s="3" t="s">
        <v>95</v>
      </c>
      <c r="C32644" s="6">
        <v>7050</v>
      </c>
      <c r="D32644" s="7">
        <v>0.9</v>
      </c>
    </row>
    <row r="32645" spans="1:5" x14ac:dyDescent="0.25">
      <c r="A32645" t="str">
        <f>HYPERLINK("https://www.773grp.com/globalSearch/MJD340T4/page-1", "MJD340T4")</f>
        <v>MJD340T4</v>
      </c>
      <c r="B32645" s="3" t="s">
        <v>95</v>
      </c>
      <c r="C32645" s="6">
        <v>7500</v>
      </c>
      <c r="D32645" s="7">
        <v>0.9</v>
      </c>
      <c r="E32645" t="s">
        <v>59</v>
      </c>
    </row>
    <row r="32646" spans="1:5" x14ac:dyDescent="0.25">
      <c r="A32646" t="str">
        <f>HYPERLINK("https://www.773grp.com/globalSearch/MJD44H11T4/page-1", "MJD44H11T4")</f>
        <v>MJD44H11T4</v>
      </c>
      <c r="B32646" s="3" t="s">
        <v>95</v>
      </c>
      <c r="C32646" s="6">
        <v>17924</v>
      </c>
      <c r="D32646" s="7">
        <v>0.9</v>
      </c>
      <c r="E32646" t="s">
        <v>59</v>
      </c>
    </row>
    <row r="32647" spans="1:5" x14ac:dyDescent="0.25">
      <c r="A32647" t="str">
        <f>HYPERLINK("https://www.773grp.com/globalSearch/MJE15028/page-1", "MJE15028")</f>
        <v>MJE15028</v>
      </c>
      <c r="B32647" s="3" t="s">
        <v>95</v>
      </c>
      <c r="C32647" s="6">
        <v>565</v>
      </c>
      <c r="D32647" s="7">
        <v>0.9</v>
      </c>
      <c r="E32647" t="s">
        <v>59</v>
      </c>
    </row>
    <row r="32648" spans="1:5" x14ac:dyDescent="0.25">
      <c r="A32648" t="str">
        <f>HYPERLINK("https://www.773grp.com/globalSearch/MJE3439G/page-1", "MJE3439G")</f>
        <v>MJE3439G</v>
      </c>
      <c r="B32648" s="3" t="s">
        <v>95</v>
      </c>
      <c r="C32648" s="6">
        <v>13500</v>
      </c>
      <c r="D32648" s="7">
        <v>0.9</v>
      </c>
      <c r="E32648" t="s">
        <v>59</v>
      </c>
    </row>
    <row r="32649" spans="1:5" x14ac:dyDescent="0.25">
      <c r="A32649" t="str">
        <f>HYPERLINK("https://www.773grp.com/globalSearch/MMT10B230T3G/page-1", "MMT10B230T3G")</f>
        <v>MMT10B230T3G</v>
      </c>
      <c r="B32649" s="3" t="s">
        <v>95</v>
      </c>
      <c r="C32649" s="6">
        <v>31935</v>
      </c>
      <c r="D32649" s="7">
        <v>0.9</v>
      </c>
      <c r="E32649" t="s">
        <v>109</v>
      </c>
    </row>
    <row r="32650" spans="1:5" x14ac:dyDescent="0.25">
      <c r="A32650" t="str">
        <f>HYPERLINK("https://www.773grp.com/globalSearch/MMT10B310T3G/page-1", "MMT10B310T3G")</f>
        <v>MMT10B310T3G</v>
      </c>
      <c r="B32650" s="3" t="s">
        <v>95</v>
      </c>
      <c r="C32650" s="6">
        <v>6260</v>
      </c>
      <c r="D32650" s="7">
        <v>0.9</v>
      </c>
      <c r="E32650" t="s">
        <v>109</v>
      </c>
    </row>
    <row r="32651" spans="1:5" x14ac:dyDescent="0.25">
      <c r="A32651" t="str">
        <f>HYPERLINK("https://www.773grp.com/globalSearch/MMT10B350T3G/page-1", "MMT10B350T3G")</f>
        <v>MMT10B350T3G</v>
      </c>
      <c r="B32651" s="3" t="s">
        <v>95</v>
      </c>
      <c r="C32651" s="6">
        <v>9778</v>
      </c>
      <c r="D32651" s="7">
        <v>0.9</v>
      </c>
      <c r="E32651" t="s">
        <v>109</v>
      </c>
    </row>
    <row r="32652" spans="1:5" x14ac:dyDescent="0.25">
      <c r="A32652" t="str">
        <f>HYPERLINK("https://www.773grp.com/globalSearch/MR750/page-1", "MR750")</f>
        <v>MR750</v>
      </c>
      <c r="B32652" s="3" t="s">
        <v>95</v>
      </c>
      <c r="C32652" s="6">
        <v>1</v>
      </c>
      <c r="D32652" s="7">
        <v>0.9</v>
      </c>
      <c r="E32652" t="s">
        <v>103</v>
      </c>
    </row>
    <row r="32653" spans="1:5" x14ac:dyDescent="0.25">
      <c r="A32653" t="str">
        <f>HYPERLINK("https://www.773grp.com/globalSearch/MR750G/page-1", "MR750G")</f>
        <v>MR750G</v>
      </c>
      <c r="B32653" s="3" t="s">
        <v>95</v>
      </c>
      <c r="C32653" s="6">
        <v>25</v>
      </c>
      <c r="D32653" s="7">
        <v>0.9</v>
      </c>
      <c r="E32653" t="s">
        <v>103</v>
      </c>
    </row>
    <row r="32654" spans="1:5" x14ac:dyDescent="0.25">
      <c r="A32654" t="str">
        <f>HYPERLINK("https://www.773grp.com/globalSearch/MTD6N20E/page-1", "MTD6N20E")</f>
        <v>MTD6N20E</v>
      </c>
      <c r="B32654" s="3" t="s">
        <v>95</v>
      </c>
      <c r="C32654" s="6">
        <v>10153</v>
      </c>
      <c r="D32654" s="7">
        <v>0.9</v>
      </c>
      <c r="E32654" t="s">
        <v>105</v>
      </c>
    </row>
    <row r="32655" spans="1:5" x14ac:dyDescent="0.25">
      <c r="A32655" t="str">
        <f>HYPERLINK("https://www.773grp.com/globalSearch/MTD6N20E1/page-1", "MTD6N20E1")</f>
        <v>MTD6N20E1</v>
      </c>
      <c r="B32655" s="3" t="s">
        <v>95</v>
      </c>
      <c r="C32655" s="6">
        <v>48950</v>
      </c>
      <c r="D32655" s="7">
        <v>0.9</v>
      </c>
      <c r="E32655" t="s">
        <v>105</v>
      </c>
    </row>
    <row r="32656" spans="1:5" x14ac:dyDescent="0.25">
      <c r="A32656" t="str">
        <f>HYPERLINK("https://www.773grp.com/globalSearch/MTP1N50E/page-1", "MTP1N50E")</f>
        <v>MTP1N50E</v>
      </c>
      <c r="B32656" s="3" t="s">
        <v>95</v>
      </c>
      <c r="C32656" s="6">
        <v>2149</v>
      </c>
      <c r="D32656" s="7">
        <v>0.9</v>
      </c>
      <c r="E32656" t="s">
        <v>105</v>
      </c>
    </row>
    <row r="32657" spans="1:5" x14ac:dyDescent="0.25">
      <c r="A32657" t="str">
        <f>HYPERLINK("https://www.773grp.com/globalSearch/MZP4729ARLG/page-1", "MZP4729ARLG")</f>
        <v>MZP4729ARLG</v>
      </c>
      <c r="B32657" s="3" t="s">
        <v>95</v>
      </c>
      <c r="C32657" s="6">
        <v>17790</v>
      </c>
      <c r="D32657" s="7">
        <v>0.9</v>
      </c>
      <c r="E32657" t="s">
        <v>98</v>
      </c>
    </row>
    <row r="32658" spans="1:5" x14ac:dyDescent="0.25">
      <c r="A32658" t="str">
        <f>HYPERLINK("https://www.773grp.com/globalSearch/MZP4735ARLG/page-1", "MZP4735ARLG")</f>
        <v>MZP4735ARLG</v>
      </c>
      <c r="B32658" s="3" t="s">
        <v>95</v>
      </c>
      <c r="C32658" s="6">
        <v>21644</v>
      </c>
      <c r="D32658" s="7">
        <v>0.9</v>
      </c>
      <c r="E32658" t="s">
        <v>98</v>
      </c>
    </row>
    <row r="32659" spans="1:5" x14ac:dyDescent="0.25">
      <c r="A32659" t="str">
        <f>HYPERLINK("https://www.773grp.com/globalSearch/MZP4749ARLG/page-1", "MZP4749ARLG")</f>
        <v>MZP4749ARLG</v>
      </c>
      <c r="B32659" s="3" t="s">
        <v>95</v>
      </c>
      <c r="C32659" s="6">
        <v>54000</v>
      </c>
      <c r="D32659" s="7">
        <v>0.9</v>
      </c>
      <c r="E32659" t="s">
        <v>98</v>
      </c>
    </row>
    <row r="32660" spans="1:5" x14ac:dyDescent="0.25">
      <c r="A32660" t="str">
        <f>HYPERLINK("https://www.773grp.com/globalSearch/MZP4749ATAG/page-1", "MZP4749ATAG")</f>
        <v>MZP4749ATAG</v>
      </c>
      <c r="B32660" s="3" t="s">
        <v>95</v>
      </c>
      <c r="C32660" s="6">
        <v>14190</v>
      </c>
      <c r="D32660" s="7">
        <v>0.9</v>
      </c>
      <c r="E32660" t="s">
        <v>98</v>
      </c>
    </row>
    <row r="32661" spans="1:5" x14ac:dyDescent="0.25">
      <c r="A32661" t="str">
        <f>HYPERLINK("https://www.773grp.com/globalSearch/NCP1200P40/page-1", "NCP1200P40")</f>
        <v>NCP1200P40</v>
      </c>
      <c r="B32661" s="3" t="s">
        <v>95</v>
      </c>
      <c r="C32661" s="6">
        <v>143445</v>
      </c>
      <c r="D32661" s="7">
        <v>0.9</v>
      </c>
      <c r="E32661" t="s">
        <v>7</v>
      </c>
    </row>
    <row r="32662" spans="1:5" x14ac:dyDescent="0.25">
      <c r="A32662" t="str">
        <f>HYPERLINK("https://www.773grp.com/globalSearch/NCP1200P60/page-1", "NCP1200P60")</f>
        <v>NCP1200P60</v>
      </c>
      <c r="B32662" s="3" t="s">
        <v>95</v>
      </c>
      <c r="C32662" s="6">
        <v>256668</v>
      </c>
      <c r="D32662" s="7">
        <v>0.9</v>
      </c>
      <c r="E32662" t="s">
        <v>7</v>
      </c>
    </row>
    <row r="32663" spans="1:5" x14ac:dyDescent="0.25">
      <c r="A32663" t="str">
        <f>HYPERLINK("https://www.773grp.com/globalSearch/NCP1201P100/page-1", "NCP1201P100")</f>
        <v>NCP1201P100</v>
      </c>
      <c r="B32663" s="3" t="s">
        <v>95</v>
      </c>
      <c r="C32663" s="6">
        <v>2990</v>
      </c>
      <c r="D32663" s="7">
        <v>0.9</v>
      </c>
      <c r="E32663" t="s">
        <v>7</v>
      </c>
    </row>
    <row r="32664" spans="1:5" x14ac:dyDescent="0.25">
      <c r="A32664" t="str">
        <f>HYPERLINK("https://www.773grp.com/globalSearch/NCP1201P60/page-1", "NCP1201P60")</f>
        <v>NCP1201P60</v>
      </c>
      <c r="B32664" s="3" t="s">
        <v>95</v>
      </c>
      <c r="C32664" s="6">
        <v>4990</v>
      </c>
      <c r="D32664" s="7">
        <v>0.9</v>
      </c>
      <c r="E32664" t="s">
        <v>7</v>
      </c>
    </row>
    <row r="32665" spans="1:5" x14ac:dyDescent="0.25">
      <c r="A32665" t="str">
        <f>HYPERLINK("https://www.773grp.com/globalSearch/NCP1203P100/page-1", "NCP1203P100")</f>
        <v>NCP1203P100</v>
      </c>
      <c r="B32665" s="3" t="s">
        <v>95</v>
      </c>
      <c r="C32665" s="6">
        <v>2170</v>
      </c>
      <c r="D32665" s="7">
        <v>0.9</v>
      </c>
      <c r="E32665" t="s">
        <v>7</v>
      </c>
    </row>
    <row r="32666" spans="1:5" x14ac:dyDescent="0.25">
      <c r="A32666" t="str">
        <f>HYPERLINK("https://www.773grp.com/globalSearch/NCP1203P40/page-1", "NCP1203P40")</f>
        <v>NCP1203P40</v>
      </c>
      <c r="B32666" s="3" t="s">
        <v>95</v>
      </c>
      <c r="C32666" s="6">
        <v>7000</v>
      </c>
      <c r="D32666" s="7">
        <v>0.9</v>
      </c>
      <c r="E32666" t="s">
        <v>7</v>
      </c>
    </row>
    <row r="32667" spans="1:5" x14ac:dyDescent="0.25">
      <c r="A32667" t="str">
        <f>HYPERLINK("https://www.773grp.com/globalSearch/NCP1203P60/page-1", "NCP1203P60")</f>
        <v>NCP1203P60</v>
      </c>
      <c r="B32667" s="3" t="s">
        <v>95</v>
      </c>
      <c r="C32667" s="6">
        <v>15</v>
      </c>
      <c r="D32667" s="7">
        <v>0.9</v>
      </c>
      <c r="E32667" t="s">
        <v>7</v>
      </c>
    </row>
    <row r="32668" spans="1:5" x14ac:dyDescent="0.25">
      <c r="A32668" t="str">
        <f>HYPERLINK("https://www.773grp.com/globalSearch/NCP1402SN19T1/page-1", "NCP1402SN19T1")</f>
        <v>NCP1402SN19T1</v>
      </c>
      <c r="B32668" s="3" t="s">
        <v>95</v>
      </c>
      <c r="C32668" s="6">
        <v>5900</v>
      </c>
      <c r="D32668" s="7">
        <v>0.9</v>
      </c>
      <c r="E32668" t="s">
        <v>7</v>
      </c>
    </row>
    <row r="32669" spans="1:5" x14ac:dyDescent="0.25">
      <c r="A32669" t="str">
        <f>HYPERLINK("https://www.773grp.com/globalSearch/NCP1402SN40T1/page-1", "NCP1402SN40T1")</f>
        <v>NCP1402SN40T1</v>
      </c>
      <c r="B32669" s="3" t="s">
        <v>95</v>
      </c>
      <c r="C32669" s="6">
        <v>69000</v>
      </c>
      <c r="D32669" s="7">
        <v>0.9</v>
      </c>
      <c r="E32669" t="s">
        <v>7</v>
      </c>
    </row>
    <row r="32670" spans="1:5" x14ac:dyDescent="0.25">
      <c r="A32670" t="str">
        <f>HYPERLINK("https://www.773grp.com/globalSearch/NCP3335DMR2330G/page-1", "NCP3335DMR2330G")</f>
        <v>NCP3335DMR2330G</v>
      </c>
      <c r="B32670" s="3" t="s">
        <v>95</v>
      </c>
      <c r="C32670" s="6">
        <v>9000</v>
      </c>
      <c r="D32670" s="7">
        <v>0.9</v>
      </c>
      <c r="E32670" t="s">
        <v>19</v>
      </c>
    </row>
    <row r="32671" spans="1:5" x14ac:dyDescent="0.25">
      <c r="A32671" t="str">
        <f>HYPERLINK("https://www.773grp.com/globalSearch/NCP3418APDR2/page-1", "NCP3418APDR2")</f>
        <v>NCP3418APDR2</v>
      </c>
      <c r="B32671" s="3" t="s">
        <v>95</v>
      </c>
      <c r="C32671" s="6">
        <v>2500</v>
      </c>
      <c r="D32671" s="7">
        <v>0.9</v>
      </c>
      <c r="E32671" t="s">
        <v>16</v>
      </c>
    </row>
    <row r="32672" spans="1:5" x14ac:dyDescent="0.25">
      <c r="A32672" t="str">
        <f>HYPERLINK("https://www.773grp.com/globalSearch/NCP345SNT1/page-1", "NCP345SNT1")</f>
        <v>NCP345SNT1</v>
      </c>
      <c r="B32672" s="3" t="s">
        <v>95</v>
      </c>
      <c r="C32672" s="6">
        <v>260</v>
      </c>
      <c r="D32672" s="7">
        <v>0.9</v>
      </c>
      <c r="E32672" t="s">
        <v>30</v>
      </c>
    </row>
    <row r="32673" spans="1:5" x14ac:dyDescent="0.25">
      <c r="A32673" t="str">
        <f>HYPERLINK("https://www.773grp.com/globalSearch/NCP4300AD/page-1", "NCP4300AD")</f>
        <v>NCP4300AD</v>
      </c>
      <c r="B32673" s="3" t="s">
        <v>95</v>
      </c>
      <c r="C32673" s="6">
        <v>96</v>
      </c>
      <c r="D32673" s="7">
        <v>0.9</v>
      </c>
      <c r="E32673" t="s">
        <v>13</v>
      </c>
    </row>
    <row r="32674" spans="1:5" x14ac:dyDescent="0.25">
      <c r="A32674" t="str">
        <f>HYPERLINK("https://www.773grp.com/globalSearch/NCP4300ADR2/page-1", "NCP4300ADR2")</f>
        <v>NCP4300ADR2</v>
      </c>
      <c r="B32674" s="3" t="s">
        <v>95</v>
      </c>
      <c r="C32674" s="6">
        <v>7530</v>
      </c>
      <c r="D32674" s="7">
        <v>0.9</v>
      </c>
      <c r="E32674" t="s">
        <v>13</v>
      </c>
    </row>
    <row r="32675" spans="1:5" x14ac:dyDescent="0.25">
      <c r="A32675" t="str">
        <f>HYPERLINK("https://www.773grp.com/globalSearch/NCP502SN28T1G/page-1", "NCP502SN28T1G")</f>
        <v>NCP502SN28T1G</v>
      </c>
      <c r="B32675" s="3" t="s">
        <v>95</v>
      </c>
      <c r="C32675" s="6">
        <v>14938</v>
      </c>
      <c r="D32675" s="7">
        <v>0.9</v>
      </c>
      <c r="E32675" t="s">
        <v>19</v>
      </c>
    </row>
    <row r="32676" spans="1:5" x14ac:dyDescent="0.25">
      <c r="A32676" t="str">
        <f>HYPERLINK("https://www.773grp.com/globalSearch/NCP502SN29T1G/page-1", "NCP502SN29T1G")</f>
        <v>NCP502SN29T1G</v>
      </c>
      <c r="B32676" s="3" t="s">
        <v>95</v>
      </c>
      <c r="C32676" s="6">
        <v>318000</v>
      </c>
      <c r="D32676" s="7">
        <v>0.9</v>
      </c>
      <c r="E32676" t="s">
        <v>19</v>
      </c>
    </row>
    <row r="32677" spans="1:5" x14ac:dyDescent="0.25">
      <c r="A32677" t="str">
        <f>HYPERLINK("https://www.773grp.com/globalSearch/NCP502SN30T1G/page-1", "NCP502SN30T1G")</f>
        <v>NCP502SN30T1G</v>
      </c>
      <c r="B32677" s="3" t="s">
        <v>95</v>
      </c>
      <c r="C32677" s="6">
        <v>790</v>
      </c>
      <c r="D32677" s="7">
        <v>0.9</v>
      </c>
      <c r="E32677" t="s">
        <v>19</v>
      </c>
    </row>
    <row r="32678" spans="1:5" x14ac:dyDescent="0.25">
      <c r="A32678" t="str">
        <f>HYPERLINK("https://www.773grp.com/globalSearch/NCP502SN31T1G/page-1", "NCP502SN31T1G")</f>
        <v>NCP502SN31T1G</v>
      </c>
      <c r="B32678" s="3" t="s">
        <v>95</v>
      </c>
      <c r="C32678" s="6">
        <v>11995</v>
      </c>
      <c r="D32678" s="7">
        <v>0.9</v>
      </c>
      <c r="E32678" t="s">
        <v>19</v>
      </c>
    </row>
    <row r="32679" spans="1:5" x14ac:dyDescent="0.25">
      <c r="A32679" t="str">
        <f>HYPERLINK("https://www.773grp.com/globalSearch/NCP502SN33T1G/page-1", "NCP502SN33T1G")</f>
        <v>NCP502SN33T1G</v>
      </c>
      <c r="B32679" s="3" t="s">
        <v>95</v>
      </c>
      <c r="C32679" s="6">
        <v>3000</v>
      </c>
      <c r="D32679" s="7">
        <v>0.9</v>
      </c>
      <c r="E32679" t="s">
        <v>19</v>
      </c>
    </row>
    <row r="32680" spans="1:5" x14ac:dyDescent="0.25">
      <c r="A32680" t="str">
        <f>HYPERLINK("https://www.773grp.com/globalSearch/NCP502SN34T1G/page-1", "NCP502SN34T1G")</f>
        <v>NCP502SN34T1G</v>
      </c>
      <c r="B32680" s="3" t="s">
        <v>95</v>
      </c>
      <c r="C32680" s="6">
        <v>11985</v>
      </c>
      <c r="D32680" s="7">
        <v>0.9</v>
      </c>
      <c r="E32680" t="s">
        <v>19</v>
      </c>
    </row>
    <row r="32681" spans="1:5" x14ac:dyDescent="0.25">
      <c r="A32681" t="str">
        <f>HYPERLINK("https://www.773grp.com/globalSearch/NCP502SN35T1G/page-1", "NCP502SN35T1G")</f>
        <v>NCP502SN35T1G</v>
      </c>
      <c r="B32681" s="3" t="s">
        <v>95</v>
      </c>
      <c r="C32681" s="6">
        <v>9000</v>
      </c>
      <c r="D32681" s="7">
        <v>0.9</v>
      </c>
      <c r="E32681" t="s">
        <v>19</v>
      </c>
    </row>
    <row r="32682" spans="1:5" x14ac:dyDescent="0.25">
      <c r="A32682" t="str">
        <f>HYPERLINK("https://www.773grp.com/globalSearch/NCP502SN36T1G/page-1", "NCP502SN36T1G")</f>
        <v>NCP502SN36T1G</v>
      </c>
      <c r="B32682" s="3" t="s">
        <v>95</v>
      </c>
      <c r="C32682" s="6">
        <v>57000</v>
      </c>
      <c r="D32682" s="7">
        <v>0.9</v>
      </c>
      <c r="E32682" t="s">
        <v>19</v>
      </c>
    </row>
    <row r="32683" spans="1:5" x14ac:dyDescent="0.25">
      <c r="A32683" t="str">
        <f>HYPERLINK("https://www.773grp.com/globalSearch/NCP502SN50T1G/page-1", "NCP502SN50T1G")</f>
        <v>NCP502SN50T1G</v>
      </c>
      <c r="B32683" s="3" t="s">
        <v>95</v>
      </c>
      <c r="C32683" s="6">
        <v>3000</v>
      </c>
      <c r="D32683" s="7">
        <v>0.9</v>
      </c>
    </row>
    <row r="32684" spans="1:5" x14ac:dyDescent="0.25">
      <c r="A32684" t="str">
        <f>HYPERLINK("https://www.773grp.com/globalSearch/NCP553SQ15T1G/page-1", "NCP553SQ15T1G")</f>
        <v>NCP553SQ15T1G</v>
      </c>
      <c r="B32684" s="3" t="s">
        <v>95</v>
      </c>
      <c r="C32684" s="6">
        <v>1000</v>
      </c>
      <c r="D32684" s="7">
        <v>0.9</v>
      </c>
      <c r="E32684" t="s">
        <v>19</v>
      </c>
    </row>
    <row r="32685" spans="1:5" x14ac:dyDescent="0.25">
      <c r="A32685" t="str">
        <f>HYPERLINK("https://www.773grp.com/globalSearch/NCP553SQ25T1G/page-1", "NCP553SQ25T1G")</f>
        <v>NCP553SQ25T1G</v>
      </c>
      <c r="B32685" s="3" t="s">
        <v>95</v>
      </c>
      <c r="C32685" s="6">
        <v>20994</v>
      </c>
      <c r="D32685" s="7">
        <v>0.9</v>
      </c>
      <c r="E32685" t="s">
        <v>19</v>
      </c>
    </row>
    <row r="32686" spans="1:5" x14ac:dyDescent="0.25">
      <c r="A32686" t="str">
        <f>HYPERLINK("https://www.773grp.com/globalSearch/NCP553SQ27T1G/page-1", "NCP553SQ27T1G")</f>
        <v>NCP553SQ27T1G</v>
      </c>
      <c r="B32686" s="3" t="s">
        <v>95</v>
      </c>
      <c r="C32686" s="6">
        <v>12000</v>
      </c>
      <c r="D32686" s="7">
        <v>0.9</v>
      </c>
      <c r="E32686" t="s">
        <v>19</v>
      </c>
    </row>
    <row r="32687" spans="1:5" x14ac:dyDescent="0.25">
      <c r="A32687" t="str">
        <f>HYPERLINK("https://www.773grp.com/globalSearch/NCP553SQ30T1/page-1", "NCP553SQ30T1")</f>
        <v>NCP553SQ30T1</v>
      </c>
      <c r="B32687" s="3" t="s">
        <v>95</v>
      </c>
      <c r="C32687" s="6">
        <v>1480</v>
      </c>
      <c r="D32687" s="7">
        <v>0.9</v>
      </c>
      <c r="E32687" t="s">
        <v>19</v>
      </c>
    </row>
    <row r="32688" spans="1:5" x14ac:dyDescent="0.25">
      <c r="A32688" t="str">
        <f>HYPERLINK("https://www.773grp.com/globalSearch/NCP553SQ33T1G/page-1", "NCP553SQ33T1G")</f>
        <v>NCP553SQ33T1G</v>
      </c>
      <c r="B32688" s="3" t="s">
        <v>95</v>
      </c>
      <c r="C32688" s="6">
        <v>39000</v>
      </c>
      <c r="D32688" s="7">
        <v>0.9</v>
      </c>
      <c r="E32688" t="s">
        <v>19</v>
      </c>
    </row>
    <row r="32689" spans="1:5" x14ac:dyDescent="0.25">
      <c r="A32689" t="str">
        <f>HYPERLINK("https://www.773grp.com/globalSearch/NCP553SQ50T1G/page-1", "NCP553SQ50T1G")</f>
        <v>NCP553SQ50T1G</v>
      </c>
      <c r="B32689" s="3" t="s">
        <v>95</v>
      </c>
      <c r="C32689" s="6">
        <v>35674</v>
      </c>
      <c r="D32689" s="7">
        <v>0.9</v>
      </c>
      <c r="E32689" t="s">
        <v>19</v>
      </c>
    </row>
    <row r="32690" spans="1:5" x14ac:dyDescent="0.25">
      <c r="A32690" t="str">
        <f>HYPERLINK("https://www.773grp.com/globalSearch/NCP562SQ15T1G/page-1", "NCP562SQ15T1G")</f>
        <v>NCP562SQ15T1G</v>
      </c>
      <c r="B32690" s="3" t="s">
        <v>95</v>
      </c>
      <c r="C32690" s="6">
        <v>80500</v>
      </c>
      <c r="D32690" s="7">
        <v>0.9</v>
      </c>
      <c r="E32690" t="s">
        <v>19</v>
      </c>
    </row>
    <row r="32691" spans="1:5" x14ac:dyDescent="0.25">
      <c r="A32691" t="str">
        <f>HYPERLINK("https://www.773grp.com/globalSearch/NCP562SQ18T1G/page-1", "NCP562SQ18T1G")</f>
        <v>NCP562SQ18T1G</v>
      </c>
      <c r="B32691" s="3" t="s">
        <v>95</v>
      </c>
      <c r="C32691" s="6">
        <v>653000</v>
      </c>
      <c r="D32691" s="7">
        <v>0.9</v>
      </c>
      <c r="E32691" t="s">
        <v>19</v>
      </c>
    </row>
    <row r="32692" spans="1:5" x14ac:dyDescent="0.25">
      <c r="A32692" t="str">
        <f>HYPERLINK("https://www.773grp.com/globalSearch/NCP562SQ21T1G/page-1", "NCP562SQ21T1G")</f>
        <v>NCP562SQ21T1G</v>
      </c>
      <c r="B32692" s="3" t="s">
        <v>95</v>
      </c>
      <c r="C32692" s="6">
        <v>6000</v>
      </c>
      <c r="D32692" s="7">
        <v>0.9</v>
      </c>
      <c r="E32692" t="s">
        <v>19</v>
      </c>
    </row>
    <row r="32693" spans="1:5" x14ac:dyDescent="0.25">
      <c r="A32693" t="str">
        <f>HYPERLINK("https://www.773grp.com/globalSearch/NCP562SQ27T1G/page-1", "NCP562SQ27T1G")</f>
        <v>NCP562SQ27T1G</v>
      </c>
      <c r="B32693" s="3" t="s">
        <v>95</v>
      </c>
      <c r="C32693" s="6">
        <v>18000</v>
      </c>
      <c r="D32693" s="7">
        <v>0.9</v>
      </c>
      <c r="E32693" t="s">
        <v>19</v>
      </c>
    </row>
    <row r="32694" spans="1:5" x14ac:dyDescent="0.25">
      <c r="A32694" t="str">
        <f>HYPERLINK("https://www.773grp.com/globalSearch/NCP562SQ28T1G/page-1", "NCP562SQ28T1G")</f>
        <v>NCP562SQ28T1G</v>
      </c>
      <c r="B32694" s="3" t="s">
        <v>95</v>
      </c>
      <c r="C32694" s="6">
        <v>689700</v>
      </c>
      <c r="D32694" s="7">
        <v>0.9</v>
      </c>
      <c r="E32694" t="s">
        <v>19</v>
      </c>
    </row>
    <row r="32695" spans="1:5" x14ac:dyDescent="0.25">
      <c r="A32695" t="str">
        <f>HYPERLINK("https://www.773grp.com/globalSearch/NCP562SQ30T1G/page-1", "NCP562SQ30T1G")</f>
        <v>NCP562SQ30T1G</v>
      </c>
      <c r="B32695" s="3" t="s">
        <v>95</v>
      </c>
      <c r="C32695" s="6">
        <v>30000</v>
      </c>
      <c r="D32695" s="7">
        <v>0.9</v>
      </c>
      <c r="E32695" t="s">
        <v>19</v>
      </c>
    </row>
    <row r="32696" spans="1:5" x14ac:dyDescent="0.25">
      <c r="A32696" t="str">
        <f>HYPERLINK("https://www.773grp.com/globalSearch/NCP562SQ33T1G/page-1", "NCP562SQ33T1G")</f>
        <v>NCP562SQ33T1G</v>
      </c>
      <c r="B32696" s="3" t="s">
        <v>95</v>
      </c>
      <c r="C32696" s="6">
        <v>11674</v>
      </c>
      <c r="D32696" s="7">
        <v>0.9</v>
      </c>
      <c r="E32696" t="s">
        <v>19</v>
      </c>
    </row>
    <row r="32697" spans="1:5" x14ac:dyDescent="0.25">
      <c r="A32697" t="str">
        <f>HYPERLINK("https://www.773grp.com/globalSearch/NCP562SQ35T1G/page-1", "NCP562SQ35T1G")</f>
        <v>NCP562SQ35T1G</v>
      </c>
      <c r="B32697" s="3" t="s">
        <v>95</v>
      </c>
      <c r="C32697" s="6">
        <v>15375</v>
      </c>
      <c r="D32697" s="7">
        <v>0.9</v>
      </c>
    </row>
    <row r="32698" spans="1:5" x14ac:dyDescent="0.25">
      <c r="A32698" t="str">
        <f>HYPERLINK("https://www.773grp.com/globalSearch/NCP562SQ50T1G/page-1", "NCP562SQ50T1G")</f>
        <v>NCP562SQ50T1G</v>
      </c>
      <c r="B32698" s="3" t="s">
        <v>95</v>
      </c>
      <c r="C32698" s="6">
        <v>23990</v>
      </c>
      <c r="D32698" s="7">
        <v>0.9</v>
      </c>
      <c r="E32698" t="s">
        <v>19</v>
      </c>
    </row>
    <row r="32699" spans="1:5" x14ac:dyDescent="0.25">
      <c r="A32699" t="str">
        <f>HYPERLINK("https://www.773grp.com/globalSearch/NCP563SQ18T1G/page-1", "NCP563SQ18T1G")</f>
        <v>NCP563SQ18T1G</v>
      </c>
      <c r="B32699" s="3" t="s">
        <v>95</v>
      </c>
      <c r="C32699" s="6">
        <v>185835</v>
      </c>
      <c r="D32699" s="7">
        <v>0.9</v>
      </c>
      <c r="E32699" t="s">
        <v>19</v>
      </c>
    </row>
    <row r="32700" spans="1:5" x14ac:dyDescent="0.25">
      <c r="A32700" t="str">
        <f>HYPERLINK("https://www.773grp.com/globalSearch/NCP563SQ25T1G/page-1", "NCP563SQ25T1G")</f>
        <v>NCP563SQ25T1G</v>
      </c>
      <c r="B32700" s="3" t="s">
        <v>95</v>
      </c>
      <c r="C32700" s="6">
        <v>241618</v>
      </c>
      <c r="D32700" s="7">
        <v>0.9</v>
      </c>
      <c r="E32700" t="s">
        <v>19</v>
      </c>
    </row>
    <row r="32701" spans="1:5" x14ac:dyDescent="0.25">
      <c r="A32701" t="str">
        <f>HYPERLINK("https://www.773grp.com/globalSearch/NCP563SQ27T1G/page-1", "NCP563SQ27T1G")</f>
        <v>NCP563SQ27T1G</v>
      </c>
      <c r="B32701" s="3" t="s">
        <v>95</v>
      </c>
      <c r="C32701" s="6">
        <v>29500</v>
      </c>
      <c r="D32701" s="7">
        <v>0.9</v>
      </c>
      <c r="E32701" t="s">
        <v>19</v>
      </c>
    </row>
    <row r="32702" spans="1:5" x14ac:dyDescent="0.25">
      <c r="A32702" t="str">
        <f>HYPERLINK("https://www.773grp.com/globalSearch/NCP563SQ30T1G/page-1", "NCP563SQ30T1G")</f>
        <v>NCP563SQ30T1G</v>
      </c>
      <c r="B32702" s="3" t="s">
        <v>95</v>
      </c>
      <c r="C32702" s="6">
        <v>3000</v>
      </c>
      <c r="D32702" s="7">
        <v>0.9</v>
      </c>
    </row>
    <row r="32703" spans="1:5" x14ac:dyDescent="0.25">
      <c r="A32703" t="str">
        <f>HYPERLINK("https://www.773grp.com/globalSearch/NCP563SQ50T1G/page-1", "NCP563SQ50T1G")</f>
        <v>NCP563SQ50T1G</v>
      </c>
      <c r="B32703" s="3" t="s">
        <v>95</v>
      </c>
      <c r="C32703" s="6">
        <v>30000</v>
      </c>
      <c r="D32703" s="7">
        <v>0.9</v>
      </c>
      <c r="E32703" t="s">
        <v>19</v>
      </c>
    </row>
    <row r="32704" spans="1:5" x14ac:dyDescent="0.25">
      <c r="A32704" t="str">
        <f>HYPERLINK("https://www.773grp.com/globalSearch/NCP663SQ15T1G/page-1", "NCP663SQ15T1G")</f>
        <v>NCP663SQ15T1G</v>
      </c>
      <c r="B32704" s="3" t="s">
        <v>95</v>
      </c>
      <c r="C32704" s="6">
        <v>8260</v>
      </c>
      <c r="D32704" s="7">
        <v>0.9</v>
      </c>
      <c r="E32704" t="s">
        <v>19</v>
      </c>
    </row>
    <row r="32705" spans="1:5" x14ac:dyDescent="0.25">
      <c r="A32705" t="str">
        <f>HYPERLINK("https://www.773grp.com/globalSearch/NCP663SQ18T1G/page-1", "NCP663SQ18T1G")</f>
        <v>NCP663SQ18T1G</v>
      </c>
      <c r="B32705" s="3" t="s">
        <v>95</v>
      </c>
      <c r="C32705" s="6">
        <v>29554</v>
      </c>
      <c r="D32705" s="7">
        <v>0.9</v>
      </c>
      <c r="E32705" t="s">
        <v>19</v>
      </c>
    </row>
    <row r="32706" spans="1:5" x14ac:dyDescent="0.25">
      <c r="A32706" t="str">
        <f>HYPERLINK("https://www.773grp.com/globalSearch/NCP663SQ25T1G/page-1", "NCP663SQ25T1G")</f>
        <v>NCP663SQ25T1G</v>
      </c>
      <c r="B32706" s="3" t="s">
        <v>95</v>
      </c>
      <c r="C32706" s="6">
        <v>26825</v>
      </c>
      <c r="D32706" s="7">
        <v>0.9</v>
      </c>
      <c r="E32706" t="s">
        <v>19</v>
      </c>
    </row>
    <row r="32707" spans="1:5" x14ac:dyDescent="0.25">
      <c r="A32707" t="str">
        <f>HYPERLINK("https://www.773grp.com/globalSearch/NCP663SQ27T1G/page-1", "NCP663SQ27T1G")</f>
        <v>NCP663SQ27T1G</v>
      </c>
      <c r="B32707" s="3" t="s">
        <v>95</v>
      </c>
      <c r="C32707" s="6">
        <v>20357</v>
      </c>
      <c r="D32707" s="7">
        <v>0.9</v>
      </c>
      <c r="E32707" t="s">
        <v>19</v>
      </c>
    </row>
    <row r="32708" spans="1:5" x14ac:dyDescent="0.25">
      <c r="A32708" t="str">
        <f>HYPERLINK("https://www.773grp.com/globalSearch/NCP663SQ28T1G/page-1", "NCP663SQ28T1G")</f>
        <v>NCP663SQ28T1G</v>
      </c>
      <c r="B32708" s="3" t="s">
        <v>95</v>
      </c>
      <c r="C32708" s="6">
        <v>53900</v>
      </c>
      <c r="D32708" s="7">
        <v>0.9</v>
      </c>
      <c r="E32708" t="s">
        <v>19</v>
      </c>
    </row>
    <row r="32709" spans="1:5" x14ac:dyDescent="0.25">
      <c r="A32709" t="str">
        <f>HYPERLINK("https://www.773grp.com/globalSearch/NCP663SQ30T1G/page-1", "NCP663SQ30T1G")</f>
        <v>NCP663SQ30T1G</v>
      </c>
      <c r="B32709" s="3" t="s">
        <v>95</v>
      </c>
      <c r="C32709" s="6">
        <v>38946</v>
      </c>
      <c r="D32709" s="7">
        <v>0.9</v>
      </c>
      <c r="E32709" t="s">
        <v>19</v>
      </c>
    </row>
    <row r="32710" spans="1:5" x14ac:dyDescent="0.25">
      <c r="A32710" t="str">
        <f>HYPERLINK("https://www.773grp.com/globalSearch/NCP663SQ33T1G/page-1", "NCP663SQ33T1G")</f>
        <v>NCP663SQ33T1G</v>
      </c>
      <c r="B32710" s="3" t="s">
        <v>95</v>
      </c>
      <c r="C32710" s="6">
        <v>17830</v>
      </c>
      <c r="D32710" s="7">
        <v>0.9</v>
      </c>
      <c r="E32710" t="s">
        <v>19</v>
      </c>
    </row>
    <row r="32711" spans="1:5" x14ac:dyDescent="0.25">
      <c r="A32711" t="str">
        <f>HYPERLINK("https://www.773grp.com/globalSearch/NCP663SQ50T1G/page-1", "NCP663SQ50T1G")</f>
        <v>NCP663SQ50T1G</v>
      </c>
      <c r="B32711" s="3" t="s">
        <v>95</v>
      </c>
      <c r="C32711" s="6">
        <v>20625</v>
      </c>
      <c r="D32711" s="7">
        <v>0.9</v>
      </c>
      <c r="E32711" t="s">
        <v>19</v>
      </c>
    </row>
    <row r="32712" spans="1:5" x14ac:dyDescent="0.25">
      <c r="A32712" t="str">
        <f>HYPERLINK("https://www.773grp.com/globalSearch/NCS2200SN1T1/page-1", "NCS2200SN1T1")</f>
        <v>NCS2200SN1T1</v>
      </c>
      <c r="B32712" s="3" t="s">
        <v>95</v>
      </c>
      <c r="C32712" s="6">
        <v>25</v>
      </c>
      <c r="D32712" s="7">
        <v>0.9</v>
      </c>
      <c r="E32712" t="s">
        <v>9</v>
      </c>
    </row>
    <row r="32713" spans="1:5" x14ac:dyDescent="0.25">
      <c r="A32713" t="str">
        <f>HYPERLINK("https://www.773grp.com/globalSearch/NCT75DR2G/page-1", "NCT75DR2G")</f>
        <v>NCT75DR2G</v>
      </c>
      <c r="B32713" s="3" t="s">
        <v>95</v>
      </c>
      <c r="C32713" s="6">
        <v>90000</v>
      </c>
      <c r="D32713" s="7">
        <v>0.9</v>
      </c>
    </row>
    <row r="32714" spans="1:5" x14ac:dyDescent="0.25">
      <c r="A32714" t="str">
        <f>HYPERLINK("https://www.773grp.com/globalSearch/NCV2902DTBR2G/page-1", "NCV2902DTBR2G")</f>
        <v>NCV2902DTBR2G</v>
      </c>
      <c r="B32714" s="3" t="s">
        <v>95</v>
      </c>
      <c r="C32714" s="6">
        <v>8059</v>
      </c>
      <c r="D32714" s="7">
        <v>0.9</v>
      </c>
    </row>
    <row r="32715" spans="1:5" x14ac:dyDescent="0.25">
      <c r="A32715" t="str">
        <f>HYPERLINK("https://www.773grp.com/globalSearch/NCV2951ACD-3.3R2/page-1", "NCV2951ACD-3.3R2")</f>
        <v>NCV2951ACD-3.3R2</v>
      </c>
      <c r="B32715" s="3" t="s">
        <v>95</v>
      </c>
      <c r="C32715" s="6">
        <v>1</v>
      </c>
      <c r="D32715" s="7">
        <v>0.9</v>
      </c>
      <c r="E32715" t="s">
        <v>19</v>
      </c>
    </row>
    <row r="32716" spans="1:5" x14ac:dyDescent="0.25">
      <c r="A32716" t="str">
        <f>HYPERLINK("https://www.773grp.com/globalSearch/NCV2951ACDR2/page-1", "NCV2951ACDR2")</f>
        <v>NCV2951ACDR2</v>
      </c>
      <c r="B32716" s="3" t="s">
        <v>95</v>
      </c>
      <c r="C32716" s="6">
        <v>3555</v>
      </c>
      <c r="D32716" s="7">
        <v>0.9</v>
      </c>
      <c r="E32716" t="s">
        <v>27</v>
      </c>
    </row>
    <row r="32717" spans="1:5" x14ac:dyDescent="0.25">
      <c r="A32717" t="str">
        <f>HYPERLINK("https://www.773grp.com/globalSearch/NCV2951CDR2/page-1", "NCV2951CDR2")</f>
        <v>NCV2951CDR2</v>
      </c>
      <c r="B32717" s="3" t="s">
        <v>95</v>
      </c>
      <c r="C32717" s="6">
        <v>4915</v>
      </c>
      <c r="D32717" s="7">
        <v>0.9</v>
      </c>
      <c r="E32717" t="s">
        <v>27</v>
      </c>
    </row>
    <row r="32718" spans="1:5" x14ac:dyDescent="0.25">
      <c r="A32718" t="str">
        <f>HYPERLINK("https://www.773grp.com/globalSearch/NCV78L05ABPREG/page-1", "NCV78L05ABPREG")</f>
        <v>NCV78L05ABPREG</v>
      </c>
      <c r="B32718" s="3" t="s">
        <v>95</v>
      </c>
      <c r="C32718" s="6">
        <v>1186</v>
      </c>
      <c r="D32718" s="7">
        <v>0.9</v>
      </c>
      <c r="E32718" t="s">
        <v>28</v>
      </c>
    </row>
    <row r="32719" spans="1:5" x14ac:dyDescent="0.25">
      <c r="A32719" t="str">
        <f>HYPERLINK("https://www.773grp.com/globalSearch/NJV2N6109G/page-1", "NJV2N6109G")</f>
        <v>NJV2N6109G</v>
      </c>
      <c r="B32719" s="3" t="s">
        <v>95</v>
      </c>
      <c r="C32719" s="6">
        <v>8122</v>
      </c>
      <c r="D32719" s="7">
        <v>0.9</v>
      </c>
    </row>
    <row r="32720" spans="1:5" x14ac:dyDescent="0.25">
      <c r="A32720" t="str">
        <f>HYPERLINK("https://www.773grp.com/globalSearch/NJVMJD44H11T4/page-1", "NJVMJD44H11T4")</f>
        <v>NJVMJD44H11T4</v>
      </c>
      <c r="B32720" s="3" t="s">
        <v>95</v>
      </c>
      <c r="C32720" s="6">
        <v>6029</v>
      </c>
      <c r="D32720" s="7">
        <v>0.9</v>
      </c>
    </row>
    <row r="32721" spans="1:5" x14ac:dyDescent="0.25">
      <c r="A32721" t="str">
        <f>HYPERLINK("https://www.773grp.com/globalSearch/NL37WZ04USG/page-1", "NL37WZ04USG")</f>
        <v>NL37WZ04USG</v>
      </c>
      <c r="B32721" s="3" t="s">
        <v>95</v>
      </c>
      <c r="C32721" s="6">
        <v>4888</v>
      </c>
      <c r="D32721" s="7">
        <v>0.9</v>
      </c>
      <c r="E32721" t="s">
        <v>31</v>
      </c>
    </row>
    <row r="32722" spans="1:5" x14ac:dyDescent="0.25">
      <c r="A32722" t="str">
        <f>HYPERLINK("https://www.773grp.com/globalSearch/NL37WZ06USG/page-1", "NL37WZ06USG")</f>
        <v>NL37WZ06USG</v>
      </c>
      <c r="B32722" s="3" t="s">
        <v>95</v>
      </c>
      <c r="C32722" s="6">
        <v>89284</v>
      </c>
      <c r="D32722" s="7">
        <v>0.9</v>
      </c>
      <c r="E32722" t="s">
        <v>31</v>
      </c>
    </row>
    <row r="32723" spans="1:5" x14ac:dyDescent="0.25">
      <c r="A32723" t="str">
        <f>HYPERLINK("https://www.773grp.com/globalSearch/NL37WZ07USG/page-1", "NL37WZ07USG")</f>
        <v>NL37WZ07USG</v>
      </c>
      <c r="B32723" s="3" t="s">
        <v>95</v>
      </c>
      <c r="C32723" s="6">
        <v>12190</v>
      </c>
      <c r="D32723" s="7">
        <v>0.9</v>
      </c>
      <c r="E32723" t="s">
        <v>31</v>
      </c>
    </row>
    <row r="32724" spans="1:5" x14ac:dyDescent="0.25">
      <c r="A32724" t="str">
        <f>HYPERLINK("https://www.773grp.com/globalSearch/NL37WZ14USG/page-1", "NL37WZ14USG")</f>
        <v>NL37WZ14USG</v>
      </c>
      <c r="B32724" s="3" t="s">
        <v>95</v>
      </c>
      <c r="C32724" s="6">
        <v>461865</v>
      </c>
      <c r="D32724" s="7">
        <v>0.9</v>
      </c>
      <c r="E32724" t="s">
        <v>31</v>
      </c>
    </row>
    <row r="32725" spans="1:5" x14ac:dyDescent="0.25">
      <c r="A32725" t="str">
        <f>HYPERLINK("https://www.773grp.com/globalSearch/NL37WZ16USG/page-1", "NL37WZ16USG")</f>
        <v>NL37WZ16USG</v>
      </c>
      <c r="B32725" s="3" t="s">
        <v>95</v>
      </c>
      <c r="C32725" s="6">
        <v>46143</v>
      </c>
      <c r="D32725" s="7">
        <v>0.9</v>
      </c>
      <c r="E32725" t="s">
        <v>31</v>
      </c>
    </row>
    <row r="32726" spans="1:5" x14ac:dyDescent="0.25">
      <c r="A32726" t="str">
        <f>HYPERLINK("https://www.773grp.com/globalSearch/NL37WZ17USG/page-1", "NL37WZ17USG")</f>
        <v>NL37WZ17USG</v>
      </c>
      <c r="B32726" s="3" t="s">
        <v>95</v>
      </c>
      <c r="C32726" s="6">
        <v>89475</v>
      </c>
      <c r="D32726" s="7">
        <v>0.9</v>
      </c>
      <c r="E32726" t="s">
        <v>31</v>
      </c>
    </row>
    <row r="32727" spans="1:5" x14ac:dyDescent="0.25">
      <c r="A32727" t="str">
        <f>HYPERLINK("https://www.773grp.com/globalSearch/NLU3G14MUTAG/page-1", "NLU3G14MUTAG")</f>
        <v>NLU3G14MUTAG</v>
      </c>
      <c r="B32727" s="3" t="s">
        <v>95</v>
      </c>
      <c r="C32727" s="6">
        <v>144965</v>
      </c>
      <c r="D32727" s="7">
        <v>0.9</v>
      </c>
      <c r="E32727" t="s">
        <v>31</v>
      </c>
    </row>
    <row r="32728" spans="1:5" x14ac:dyDescent="0.25">
      <c r="A32728" t="str">
        <f>HYPERLINK("https://www.773grp.com/globalSearch/NLU3G16MUTAG/page-1", "NLU3G16MUTAG")</f>
        <v>NLU3G16MUTAG</v>
      </c>
      <c r="B32728" s="3" t="s">
        <v>95</v>
      </c>
      <c r="C32728" s="6">
        <v>197450</v>
      </c>
      <c r="D32728" s="7">
        <v>0.9</v>
      </c>
      <c r="E32728" t="s">
        <v>31</v>
      </c>
    </row>
    <row r="32729" spans="1:5" x14ac:dyDescent="0.25">
      <c r="A32729" t="str">
        <f>HYPERLINK("https://www.773grp.com/globalSearch/NLU3G17MUTAG/page-1", "NLU3G17MUTAG")</f>
        <v>NLU3G17MUTAG</v>
      </c>
      <c r="B32729" s="3" t="s">
        <v>95</v>
      </c>
      <c r="C32729" s="6">
        <v>207000</v>
      </c>
      <c r="D32729" s="7">
        <v>0.9</v>
      </c>
      <c r="E32729" t="s">
        <v>31</v>
      </c>
    </row>
    <row r="32730" spans="1:5" x14ac:dyDescent="0.25">
      <c r="A32730" t="str">
        <f>HYPERLINK("https://www.773grp.com/globalSearch/NLV14024BDG/page-1", "NLV14024BDG")</f>
        <v>NLV14024BDG</v>
      </c>
      <c r="B32730" s="3" t="s">
        <v>95</v>
      </c>
      <c r="C32730" s="6">
        <v>38</v>
      </c>
      <c r="D32730" s="7">
        <v>0.9</v>
      </c>
    </row>
    <row r="32731" spans="1:5" x14ac:dyDescent="0.25">
      <c r="A32731" t="str">
        <f>HYPERLINK("https://www.773grp.com/globalSearch/NLV14024BDR2G/page-1", "NLV14024BDR2G")</f>
        <v>NLV14024BDR2G</v>
      </c>
      <c r="B32731" s="3" t="s">
        <v>95</v>
      </c>
      <c r="C32731" s="6">
        <v>7500</v>
      </c>
      <c r="D32731" s="7">
        <v>0.9</v>
      </c>
    </row>
    <row r="32732" spans="1:5" x14ac:dyDescent="0.25">
      <c r="A32732" t="str">
        <f>HYPERLINK("https://www.773grp.com/globalSearch/NLV14106BDG/page-1", "NLV14106BDG")</f>
        <v>NLV14106BDG</v>
      </c>
      <c r="B32732" s="3" t="s">
        <v>95</v>
      </c>
      <c r="C32732" s="6">
        <v>45</v>
      </c>
      <c r="D32732" s="7">
        <v>0.9</v>
      </c>
    </row>
    <row r="32733" spans="1:5" x14ac:dyDescent="0.25">
      <c r="A32733" t="str">
        <f>HYPERLINK("https://www.773grp.com/globalSearch/NLV14106BDR2G/page-1", "NLV14106BDR2G")</f>
        <v>NLV14106BDR2G</v>
      </c>
      <c r="B32733" s="3" t="s">
        <v>95</v>
      </c>
      <c r="C32733" s="6">
        <v>1835</v>
      </c>
      <c r="D32733" s="7">
        <v>0.9</v>
      </c>
    </row>
    <row r="32734" spans="1:5" x14ac:dyDescent="0.25">
      <c r="A32734" t="str">
        <f>HYPERLINK("https://www.773grp.com/globalSearch/NLV14584BDG/page-1", "NLV14584BDG")</f>
        <v>NLV14584BDG</v>
      </c>
      <c r="B32734" s="3" t="s">
        <v>95</v>
      </c>
      <c r="C32734" s="6">
        <v>20</v>
      </c>
      <c r="D32734" s="7">
        <v>0.9</v>
      </c>
    </row>
    <row r="32735" spans="1:5" x14ac:dyDescent="0.25">
      <c r="A32735" t="str">
        <f>HYPERLINK("https://www.773grp.com/globalSearch/NLV14584BDR2G/page-1", "NLV14584BDR2G")</f>
        <v>NLV14584BDR2G</v>
      </c>
      <c r="B32735" s="3" t="s">
        <v>95</v>
      </c>
      <c r="C32735" s="6">
        <v>101570</v>
      </c>
      <c r="D32735" s="7">
        <v>0.9</v>
      </c>
    </row>
    <row r="32736" spans="1:5" x14ac:dyDescent="0.25">
      <c r="A32736" t="str">
        <f>HYPERLINK("https://www.773grp.com/globalSearch/NLV14584BDTR2G/page-1", "NLV14584BDTR2G")</f>
        <v>NLV14584BDTR2G</v>
      </c>
      <c r="B32736" s="3" t="s">
        <v>95</v>
      </c>
      <c r="C32736" s="6">
        <v>35000</v>
      </c>
      <c r="D32736" s="7">
        <v>0.9</v>
      </c>
    </row>
    <row r="32737" spans="1:5" x14ac:dyDescent="0.25">
      <c r="A32737" t="str">
        <f>HYPERLINK("https://www.773grp.com/globalSearch/NP1500SCT3G/page-1", "NP1500SCT3G")</f>
        <v>NP1500SCT3G</v>
      </c>
      <c r="B32737" s="3" t="s">
        <v>95</v>
      </c>
      <c r="C32737" s="6">
        <v>2500</v>
      </c>
      <c r="D32737" s="7">
        <v>0.9</v>
      </c>
    </row>
    <row r="32738" spans="1:5" x14ac:dyDescent="0.25">
      <c r="A32738" t="str">
        <f>HYPERLINK("https://www.773grp.com/globalSearch/NSB13ANT3G/page-1", "NSB13ANT3G")</f>
        <v>NSB13ANT3G</v>
      </c>
      <c r="B32738" s="3" t="s">
        <v>95</v>
      </c>
      <c r="C32738" s="6">
        <v>5000</v>
      </c>
      <c r="D32738" s="7">
        <v>0.9</v>
      </c>
      <c r="E32738" t="s">
        <v>96</v>
      </c>
    </row>
    <row r="32739" spans="1:5" x14ac:dyDescent="0.25">
      <c r="A32739" t="str">
        <f>HYPERLINK("https://www.773grp.com/globalSearch/NSS60200LT1G/page-1", "NSS60200LT1G")</f>
        <v>NSS60200LT1G</v>
      </c>
      <c r="B32739" s="3" t="s">
        <v>95</v>
      </c>
      <c r="C32739" s="6">
        <v>3000</v>
      </c>
      <c r="D32739" s="7">
        <v>0.9</v>
      </c>
    </row>
    <row r="32740" spans="1:5" x14ac:dyDescent="0.25">
      <c r="A32740" t="str">
        <f>HYPERLINK("https://www.773grp.com/globalSearch/NSS60201LT1G/page-1", "NSS60201LT1G")</f>
        <v>NSS60201LT1G</v>
      </c>
      <c r="B32740" s="3" t="s">
        <v>95</v>
      </c>
      <c r="C32740" s="6">
        <v>3000</v>
      </c>
      <c r="D32740" s="7">
        <v>0.9</v>
      </c>
    </row>
    <row r="32741" spans="1:5" x14ac:dyDescent="0.25">
      <c r="A32741" t="str">
        <f>HYPERLINK("https://www.773grp.com/globalSearch/NST30010MXV6T1G/page-1", "NST30010MXV6T1G")</f>
        <v>NST30010MXV6T1G</v>
      </c>
      <c r="B32741" s="3" t="s">
        <v>95</v>
      </c>
      <c r="C32741" s="6">
        <v>23339</v>
      </c>
      <c r="D32741" s="7">
        <v>0.9</v>
      </c>
    </row>
    <row r="32742" spans="1:5" x14ac:dyDescent="0.25">
      <c r="A32742" t="str">
        <f>HYPERLINK("https://www.773grp.com/globalSearch/NSV40301MZ4T1G/page-1", "NSV40301MZ4T1G")</f>
        <v>NSV40301MZ4T1G</v>
      </c>
      <c r="B32742" s="3" t="s">
        <v>95</v>
      </c>
      <c r="C32742" s="6">
        <v>1000</v>
      </c>
      <c r="D32742" s="7">
        <v>0.9</v>
      </c>
    </row>
    <row r="32743" spans="1:5" x14ac:dyDescent="0.25">
      <c r="A32743" t="str">
        <f>HYPERLINK("https://www.773grp.com/globalSearch/NTB18N06T4/page-1", "NTB18N06T4")</f>
        <v>NTB18N06T4</v>
      </c>
      <c r="B32743" s="3" t="s">
        <v>95</v>
      </c>
      <c r="C32743" s="6">
        <v>18686</v>
      </c>
      <c r="D32743" s="7">
        <v>0.9</v>
      </c>
      <c r="E32743" t="s">
        <v>105</v>
      </c>
    </row>
    <row r="32744" spans="1:5" x14ac:dyDescent="0.25">
      <c r="A32744" t="str">
        <f>HYPERLINK("https://www.773grp.com/globalSearch/NTB23N03RT4G/page-1", "NTB23N03RT4G")</f>
        <v>NTB23N03RT4G</v>
      </c>
      <c r="B32744" s="3" t="s">
        <v>95</v>
      </c>
      <c r="C32744" s="6">
        <v>14294</v>
      </c>
      <c r="D32744" s="7">
        <v>0.9</v>
      </c>
      <c r="E32744" t="s">
        <v>105</v>
      </c>
    </row>
    <row r="32745" spans="1:5" x14ac:dyDescent="0.25">
      <c r="A32745" t="str">
        <f>HYPERLINK("https://www.773grp.com/globalSearch/NTB75N03R/page-1", "NTB75N03R")</f>
        <v>NTB75N03R</v>
      </c>
      <c r="B32745" s="3" t="s">
        <v>95</v>
      </c>
      <c r="C32745" s="6">
        <v>1050</v>
      </c>
      <c r="D32745" s="7">
        <v>0.9</v>
      </c>
      <c r="E32745" t="s">
        <v>105</v>
      </c>
    </row>
    <row r="32746" spans="1:5" x14ac:dyDescent="0.25">
      <c r="A32746" t="str">
        <f>HYPERLINK("https://www.773grp.com/globalSearch/NTD3055AV1/page-1", "NTD3055AV1")</f>
        <v>NTD3055AV1</v>
      </c>
      <c r="B32746" s="3" t="s">
        <v>95</v>
      </c>
      <c r="C32746" s="6">
        <v>2625</v>
      </c>
      <c r="D32746" s="7">
        <v>0.9</v>
      </c>
    </row>
    <row r="32747" spans="1:5" x14ac:dyDescent="0.25">
      <c r="A32747" t="str">
        <f>HYPERLINK("https://www.773grp.com/globalSearch/NTD3055AVL1/page-1", "NTD3055AVL1")</f>
        <v>NTD3055AVL1</v>
      </c>
      <c r="B32747" s="3" t="s">
        <v>95</v>
      </c>
      <c r="C32747" s="6">
        <v>150</v>
      </c>
      <c r="D32747" s="7">
        <v>0.9</v>
      </c>
    </row>
    <row r="32748" spans="1:5" x14ac:dyDescent="0.25">
      <c r="A32748" t="str">
        <f>HYPERLINK("https://www.773grp.com/globalSearch/NTD3055AVT4/page-1", "NTD3055AVT4")</f>
        <v>NTD3055AVT4</v>
      </c>
      <c r="B32748" s="3" t="s">
        <v>95</v>
      </c>
      <c r="C32748" s="6">
        <v>5000</v>
      </c>
      <c r="D32748" s="7">
        <v>0.9</v>
      </c>
    </row>
    <row r="32749" spans="1:5" x14ac:dyDescent="0.25">
      <c r="A32749" t="str">
        <f>HYPERLINK("https://www.773grp.com/globalSearch/NTD4809NHT4G/page-1", "NTD4809NHT4G")</f>
        <v>NTD4809NHT4G</v>
      </c>
      <c r="B32749" s="3" t="s">
        <v>95</v>
      </c>
      <c r="C32749" s="6">
        <v>166475</v>
      </c>
      <c r="D32749" s="7">
        <v>0.9</v>
      </c>
      <c r="E32749" t="s">
        <v>105</v>
      </c>
    </row>
    <row r="32750" spans="1:5" x14ac:dyDescent="0.25">
      <c r="A32750" t="str">
        <f>HYPERLINK("https://www.773grp.com/globalSearch/NTD4856NT4G/page-1", "NTD4856NT4G")</f>
        <v>NTD4856NT4G</v>
      </c>
      <c r="B32750" s="3" t="s">
        <v>95</v>
      </c>
      <c r="C32750" s="6">
        <v>2812</v>
      </c>
      <c r="D32750" s="7">
        <v>0.9</v>
      </c>
    </row>
    <row r="32751" spans="1:5" x14ac:dyDescent="0.25">
      <c r="A32751" t="str">
        <f>HYPERLINK("https://www.773grp.com/globalSearch/NTD4858N-1G/page-1", "NTD4858N-1G")</f>
        <v>NTD4858N-1G</v>
      </c>
      <c r="B32751" s="3" t="s">
        <v>95</v>
      </c>
      <c r="C32751" s="6">
        <v>4875</v>
      </c>
      <c r="D32751" s="7">
        <v>0.9</v>
      </c>
      <c r="E32751" t="s">
        <v>105</v>
      </c>
    </row>
    <row r="32752" spans="1:5" x14ac:dyDescent="0.25">
      <c r="A32752" t="str">
        <f>HYPERLINK("https://www.773grp.com/globalSearch/NTD4858NT4G/page-1", "NTD4858NT4G")</f>
        <v>NTD4858NT4G</v>
      </c>
      <c r="B32752" s="3" t="s">
        <v>95</v>
      </c>
      <c r="C32752" s="6">
        <v>8552</v>
      </c>
      <c r="D32752" s="7">
        <v>0.9</v>
      </c>
      <c r="E32752" t="s">
        <v>105</v>
      </c>
    </row>
    <row r="32753" spans="1:5" x14ac:dyDescent="0.25">
      <c r="A32753" t="str">
        <f>HYPERLINK("https://www.773grp.com/globalSearch/NTD5407NT4G/page-1", "NTD5407NT4G")</f>
        <v>NTD5407NT4G</v>
      </c>
      <c r="B32753" s="3" t="s">
        <v>95</v>
      </c>
      <c r="C32753" s="6">
        <v>2500</v>
      </c>
      <c r="D32753" s="7">
        <v>0.9</v>
      </c>
      <c r="E32753" t="s">
        <v>105</v>
      </c>
    </row>
    <row r="32754" spans="1:5" x14ac:dyDescent="0.25">
      <c r="A32754" t="str">
        <f>HYPERLINK("https://www.773grp.com/globalSearch/NTHD3102CT1G/page-1", "NTHD3102CT1G")</f>
        <v>NTHD3102CT1G</v>
      </c>
      <c r="B32754" s="3" t="s">
        <v>95</v>
      </c>
      <c r="C32754" s="6">
        <v>13385</v>
      </c>
      <c r="D32754" s="7">
        <v>0.9</v>
      </c>
      <c r="E32754" t="s">
        <v>105</v>
      </c>
    </row>
    <row r="32755" spans="1:5" x14ac:dyDescent="0.25">
      <c r="A32755" t="str">
        <f>HYPERLINK("https://www.773grp.com/globalSearch/NTHD5904NT1G/page-1", "NTHD5904NT1G")</f>
        <v>NTHD5904NT1G</v>
      </c>
      <c r="B32755" s="3" t="s">
        <v>95</v>
      </c>
      <c r="C32755" s="6">
        <v>5663</v>
      </c>
      <c r="D32755" s="7">
        <v>0.9</v>
      </c>
      <c r="E32755" t="s">
        <v>106</v>
      </c>
    </row>
    <row r="32756" spans="1:5" x14ac:dyDescent="0.25">
      <c r="A32756" t="str">
        <f>HYPERLINK("https://www.773grp.com/globalSearch/NTMD6P02R2/page-1", "NTMD6P02R2")</f>
        <v>NTMD6P02R2</v>
      </c>
      <c r="B32756" s="3" t="s">
        <v>95</v>
      </c>
      <c r="C32756" s="6">
        <v>85</v>
      </c>
      <c r="D32756" s="7">
        <v>0.9</v>
      </c>
      <c r="E32756" t="s">
        <v>106</v>
      </c>
    </row>
    <row r="32757" spans="1:5" x14ac:dyDescent="0.25">
      <c r="A32757" t="str">
        <f>HYPERLINK("https://www.773grp.com/globalSearch/NTMFS4708NT1G/page-1", "NTMFS4708NT1G")</f>
        <v>NTMFS4708NT1G</v>
      </c>
      <c r="B32757" s="3" t="s">
        <v>95</v>
      </c>
      <c r="C32757" s="6">
        <v>64433</v>
      </c>
      <c r="D32757" s="7">
        <v>0.9</v>
      </c>
      <c r="E32757" t="s">
        <v>106</v>
      </c>
    </row>
    <row r="32758" spans="1:5" x14ac:dyDescent="0.25">
      <c r="A32758" t="str">
        <f>HYPERLINK("https://www.773grp.com/globalSearch/NTMFS4708NT3G/page-1", "NTMFS4708NT3G")</f>
        <v>NTMFS4708NT3G</v>
      </c>
      <c r="B32758" s="3" t="s">
        <v>95</v>
      </c>
      <c r="C32758" s="6">
        <v>5000</v>
      </c>
      <c r="D32758" s="7">
        <v>0.9</v>
      </c>
      <c r="E32758" t="s">
        <v>106</v>
      </c>
    </row>
    <row r="32759" spans="1:5" x14ac:dyDescent="0.25">
      <c r="A32759" t="str">
        <f>HYPERLINK("https://www.773grp.com/globalSearch/NTMFS4925NT1G/page-1", "NTMFS4925NT1G")</f>
        <v>NTMFS4925NT1G</v>
      </c>
      <c r="B32759" s="3" t="s">
        <v>95</v>
      </c>
      <c r="C32759" s="6">
        <v>4500</v>
      </c>
      <c r="D32759" s="7">
        <v>0.9</v>
      </c>
    </row>
    <row r="32760" spans="1:5" x14ac:dyDescent="0.25">
      <c r="A32760" t="str">
        <f>HYPERLINK("https://www.773grp.com/globalSearch/NTMFS4941NT1G/page-1", "NTMFS4941NT1G")</f>
        <v>NTMFS4941NT1G</v>
      </c>
      <c r="B32760" s="3" t="s">
        <v>95</v>
      </c>
      <c r="C32760" s="6">
        <v>179890</v>
      </c>
      <c r="D32760" s="7">
        <v>0.9</v>
      </c>
      <c r="E32760" t="s">
        <v>105</v>
      </c>
    </row>
    <row r="32761" spans="1:5" x14ac:dyDescent="0.25">
      <c r="A32761" t="str">
        <f>HYPERLINK("https://www.773grp.com/globalSearch/NTMS4705NR2G/page-1", "NTMS4705NR2G")</f>
        <v>NTMS4705NR2G</v>
      </c>
      <c r="B32761" s="3" t="s">
        <v>95</v>
      </c>
      <c r="C32761" s="6">
        <v>21419</v>
      </c>
      <c r="D32761" s="7">
        <v>0.9</v>
      </c>
      <c r="E32761" t="s">
        <v>106</v>
      </c>
    </row>
    <row r="32762" spans="1:5" x14ac:dyDescent="0.25">
      <c r="A32762" t="str">
        <f>HYPERLINK("https://www.773grp.com/globalSearch/NTUD3171PZT5G/page-1", "NTUD3171PZT5G")</f>
        <v>NTUD3171PZT5G</v>
      </c>
      <c r="B32762" s="3" t="s">
        <v>95</v>
      </c>
      <c r="C32762" s="6">
        <v>39750</v>
      </c>
      <c r="D32762" s="7">
        <v>0.9</v>
      </c>
      <c r="E32762" t="s">
        <v>106</v>
      </c>
    </row>
    <row r="32763" spans="1:5" x14ac:dyDescent="0.25">
      <c r="A32763" t="str">
        <f>HYPERLINK("https://www.773grp.com/globalSearch/NUF2114MNT1G/page-1", "NUF2114MNT1G")</f>
        <v>NUF2114MNT1G</v>
      </c>
      <c r="B32763" s="3" t="s">
        <v>95</v>
      </c>
      <c r="C32763" s="6">
        <v>280196</v>
      </c>
      <c r="D32763" s="7">
        <v>0.9</v>
      </c>
      <c r="E32763" t="s">
        <v>100</v>
      </c>
    </row>
    <row r="32764" spans="1:5" x14ac:dyDescent="0.25">
      <c r="A32764" t="str">
        <f>HYPERLINK("https://www.773grp.com/globalSearch/NUF2116MNT1G/page-1", "NUF2116MNT1G")</f>
        <v>NUF2116MNT1G</v>
      </c>
      <c r="B32764" s="3" t="s">
        <v>95</v>
      </c>
      <c r="C32764" s="6">
        <v>59490</v>
      </c>
      <c r="D32764" s="7">
        <v>0.9</v>
      </c>
      <c r="E32764" t="s">
        <v>100</v>
      </c>
    </row>
    <row r="32765" spans="1:5" x14ac:dyDescent="0.25">
      <c r="A32765" t="str">
        <f>HYPERLINK("https://www.773grp.com/globalSearch/NUF6400MNTBG/page-1", "NUF6400MNTBG")</f>
        <v>NUF6400MNTBG</v>
      </c>
      <c r="B32765" s="3" t="s">
        <v>95</v>
      </c>
      <c r="C32765" s="6">
        <v>927000</v>
      </c>
      <c r="D32765" s="7">
        <v>0.9</v>
      </c>
      <c r="E32765" t="s">
        <v>100</v>
      </c>
    </row>
    <row r="32766" spans="1:5" x14ac:dyDescent="0.25">
      <c r="A32766" t="str">
        <f>HYPERLINK("https://www.773grp.com/globalSearch/NUF6410MNT1G/page-1", "NUF6410MNT1G")</f>
        <v>NUF6410MNT1G</v>
      </c>
      <c r="B32766" s="3" t="s">
        <v>95</v>
      </c>
      <c r="C32766" s="6">
        <v>728087</v>
      </c>
      <c r="D32766" s="7">
        <v>0.9</v>
      </c>
      <c r="E32766" t="s">
        <v>100</v>
      </c>
    </row>
    <row r="32767" spans="1:5" x14ac:dyDescent="0.25">
      <c r="A32767" t="str">
        <f>HYPERLINK("https://www.773grp.com/globalSearch/NUS1204MNT1G/page-1", "NUS1204MNT1G")</f>
        <v>NUS1204MNT1G</v>
      </c>
      <c r="B32767" s="3" t="s">
        <v>95</v>
      </c>
      <c r="C32767" s="6">
        <v>18000</v>
      </c>
      <c r="D32767" s="7">
        <v>0.9</v>
      </c>
      <c r="E32767" t="s">
        <v>30</v>
      </c>
    </row>
    <row r="32768" spans="1:5" x14ac:dyDescent="0.25">
      <c r="A32768" t="str">
        <f>HYPERLINK("https://www.773grp.com/globalSearch/NUS2401SNT1G/page-1", "NUS2401SNT1G")</f>
        <v>NUS2401SNT1G</v>
      </c>
      <c r="B32768" s="3" t="s">
        <v>95</v>
      </c>
      <c r="C32768" s="6">
        <v>1314000</v>
      </c>
      <c r="D32768" s="7">
        <v>0.9</v>
      </c>
      <c r="E32768" t="s">
        <v>69</v>
      </c>
    </row>
    <row r="32769" spans="1:5" x14ac:dyDescent="0.25">
      <c r="A32769" t="str">
        <f>HYPERLINK("https://www.773grp.com/globalSearch/P6KE24ARL/page-1", "P6KE24ARL")</f>
        <v>P6KE24ARL</v>
      </c>
      <c r="B32769" s="3" t="s">
        <v>95</v>
      </c>
      <c r="C32769" s="6">
        <v>4000</v>
      </c>
      <c r="D32769" s="7">
        <v>0.9</v>
      </c>
      <c r="E32769" t="s">
        <v>96</v>
      </c>
    </row>
    <row r="32770" spans="1:5" x14ac:dyDescent="0.25">
      <c r="A32770" t="str">
        <f>HYPERLINK("https://www.773grp.com/globalSearch/P6SMB12AT3G/page-1", "P6SMB12AT3G")</f>
        <v>P6SMB12AT3G</v>
      </c>
      <c r="B32770" s="3" t="s">
        <v>95</v>
      </c>
      <c r="C32770" s="6">
        <v>77500</v>
      </c>
      <c r="D32770" s="7">
        <v>0.9</v>
      </c>
      <c r="E32770" t="s">
        <v>96</v>
      </c>
    </row>
    <row r="32771" spans="1:5" x14ac:dyDescent="0.25">
      <c r="A32771" t="str">
        <f>HYPERLINK("https://www.773grp.com/globalSearch/P6SMB160AT3/page-1", "P6SMB160AT3")</f>
        <v>P6SMB160AT3</v>
      </c>
      <c r="B32771" s="3" t="s">
        <v>95</v>
      </c>
      <c r="C32771" s="6">
        <v>2500</v>
      </c>
      <c r="D32771" s="7">
        <v>0.9</v>
      </c>
      <c r="E32771" t="s">
        <v>96</v>
      </c>
    </row>
    <row r="32772" spans="1:5" x14ac:dyDescent="0.25">
      <c r="A32772" t="str">
        <f>HYPERLINK("https://www.773grp.com/globalSearch/P6SMB16AT3G/page-1", "P6SMB16AT3G")</f>
        <v>P6SMB16AT3G</v>
      </c>
      <c r="B32772" s="3" t="s">
        <v>95</v>
      </c>
      <c r="C32772" s="6">
        <v>2500</v>
      </c>
      <c r="D32772" s="7">
        <v>0.9</v>
      </c>
    </row>
    <row r="32773" spans="1:5" x14ac:dyDescent="0.25">
      <c r="A32773" t="str">
        <f>HYPERLINK("https://www.773grp.com/globalSearch/P6SMB24AT3G/page-1", "P6SMB24AT3G")</f>
        <v>P6SMB24AT3G</v>
      </c>
      <c r="B32773" s="3" t="s">
        <v>95</v>
      </c>
      <c r="C32773" s="6">
        <v>172500</v>
      </c>
      <c r="D32773" s="7">
        <v>0.9</v>
      </c>
      <c r="E32773" t="s">
        <v>96</v>
      </c>
    </row>
    <row r="32774" spans="1:5" x14ac:dyDescent="0.25">
      <c r="A32774" t="str">
        <f>HYPERLINK("https://www.773grp.com/globalSearch/P6SMB47AT3G/page-1", "P6SMB47AT3G")</f>
        <v>P6SMB47AT3G</v>
      </c>
      <c r="B32774" s="3" t="s">
        <v>95</v>
      </c>
      <c r="C32774" s="6">
        <v>14411</v>
      </c>
      <c r="D32774" s="7">
        <v>0.9</v>
      </c>
      <c r="E32774" t="s">
        <v>96</v>
      </c>
    </row>
    <row r="32775" spans="1:5" x14ac:dyDescent="0.25">
      <c r="A32775" t="str">
        <f>HYPERLINK("https://www.773grp.com/globalSearch/P6SMB56AT3G/page-1", "P6SMB56AT3G")</f>
        <v>P6SMB56AT3G</v>
      </c>
      <c r="B32775" s="3" t="s">
        <v>95</v>
      </c>
      <c r="C32775" s="6">
        <v>12500</v>
      </c>
      <c r="D32775" s="7">
        <v>0.9</v>
      </c>
      <c r="E32775" t="s">
        <v>96</v>
      </c>
    </row>
    <row r="32776" spans="1:5" x14ac:dyDescent="0.25">
      <c r="A32776" t="str">
        <f>HYPERLINK("https://www.773grp.com/globalSearch/P6SMB62AT3G/page-1", "P6SMB62AT3G")</f>
        <v>P6SMB62AT3G</v>
      </c>
      <c r="B32776" s="3" t="s">
        <v>95</v>
      </c>
      <c r="C32776" s="6">
        <v>6708</v>
      </c>
      <c r="D32776" s="7">
        <v>0.9</v>
      </c>
      <c r="E32776" t="s">
        <v>96</v>
      </c>
    </row>
    <row r="32777" spans="1:5" x14ac:dyDescent="0.25">
      <c r="A32777" t="str">
        <f>HYPERLINK("https://www.773grp.com/globalSearch/P6SMB7.5AT3G/page-1", "P6SMB7.5AT3G")</f>
        <v>P6SMB7.5AT3G</v>
      </c>
      <c r="B32777" s="3" t="s">
        <v>95</v>
      </c>
      <c r="C32777" s="6">
        <v>17500</v>
      </c>
      <c r="D32777" s="7">
        <v>0.9</v>
      </c>
      <c r="E32777" t="s">
        <v>96</v>
      </c>
    </row>
    <row r="32778" spans="1:5" x14ac:dyDescent="0.25">
      <c r="A32778" t="str">
        <f>HYPERLINK("https://www.773grp.com/globalSearch/P6SMB75AT3G/page-1", "P6SMB75AT3G")</f>
        <v>P6SMB75AT3G</v>
      </c>
      <c r="B32778" s="3" t="s">
        <v>95</v>
      </c>
      <c r="C32778" s="6">
        <v>65000</v>
      </c>
      <c r="D32778" s="7">
        <v>0.9</v>
      </c>
      <c r="E32778" t="s">
        <v>96</v>
      </c>
    </row>
    <row r="32779" spans="1:5" x14ac:dyDescent="0.25">
      <c r="A32779" t="str">
        <f>HYPERLINK("https://www.773grp.com/globalSearch/P6SMB8.2AT3G/page-1", "P6SMB8.2AT3G")</f>
        <v>P6SMB8.2AT3G</v>
      </c>
      <c r="B32779" s="3" t="s">
        <v>95</v>
      </c>
      <c r="C32779" s="6">
        <v>19775</v>
      </c>
      <c r="D32779" s="7">
        <v>0.9</v>
      </c>
      <c r="E32779" t="s">
        <v>96</v>
      </c>
    </row>
    <row r="32780" spans="1:5" x14ac:dyDescent="0.25">
      <c r="A32780" t="str">
        <f>HYPERLINK("https://www.773grp.com/globalSearch/P6SMB91AT3/page-1", "P6SMB91AT3")</f>
        <v>P6SMB91AT3</v>
      </c>
      <c r="B32780" s="3" t="s">
        <v>95</v>
      </c>
      <c r="C32780" s="6">
        <v>2500</v>
      </c>
      <c r="D32780" s="7">
        <v>0.9</v>
      </c>
      <c r="E32780" t="s">
        <v>96</v>
      </c>
    </row>
    <row r="32781" spans="1:5" x14ac:dyDescent="0.25">
      <c r="A32781" t="str">
        <f>HYPERLINK("https://www.773grp.com/globalSearch/PZT2222AT1G/page-1", "PZT2222AT1G")</f>
        <v>PZT2222AT1G</v>
      </c>
      <c r="B32781" s="3" t="s">
        <v>95</v>
      </c>
      <c r="C32781" s="6">
        <v>108105</v>
      </c>
      <c r="D32781" s="7">
        <v>0.9</v>
      </c>
      <c r="E32781" t="s">
        <v>69</v>
      </c>
    </row>
    <row r="32782" spans="1:5" x14ac:dyDescent="0.25">
      <c r="A32782" t="str">
        <f>HYPERLINK("https://www.773grp.com/globalSearch/SA14512BDR2/page-1", "SA14512BDR2")</f>
        <v>SA14512BDR2</v>
      </c>
      <c r="B32782" s="3" t="s">
        <v>95</v>
      </c>
      <c r="C32782" s="6">
        <v>15000</v>
      </c>
      <c r="D32782" s="7">
        <v>0.9</v>
      </c>
    </row>
    <row r="32783" spans="1:5" x14ac:dyDescent="0.25">
      <c r="A32783" t="str">
        <f>HYPERLINK("https://www.773grp.com/globalSearch/SBS818-TL-E/page-1", "SBS818-TL-E")</f>
        <v>SBS818-TL-E</v>
      </c>
      <c r="B32783" s="3" t="s">
        <v>95</v>
      </c>
      <c r="C32783" s="6">
        <v>3000</v>
      </c>
      <c r="D32783" s="7">
        <v>0.9</v>
      </c>
    </row>
    <row r="32784" spans="1:5" x14ac:dyDescent="0.25">
      <c r="A32784" t="str">
        <f>HYPERLINK("https://www.773grp.com/globalSearch/SMBJ12AONT3/page-1", "SMBJ12AONT3")</f>
        <v>SMBJ12AONT3</v>
      </c>
      <c r="B32784" s="3" t="s">
        <v>95</v>
      </c>
      <c r="C32784" s="6">
        <v>12475</v>
      </c>
      <c r="D32784" s="7">
        <v>0.9</v>
      </c>
      <c r="E32784" t="s">
        <v>96</v>
      </c>
    </row>
    <row r="32785" spans="1:5" x14ac:dyDescent="0.25">
      <c r="A32785" t="str">
        <f>HYPERLINK("https://www.773grp.com/globalSearch/SMBJ12AONT3G/page-1", "SMBJ12AONT3G")</f>
        <v>SMBJ12AONT3G</v>
      </c>
      <c r="B32785" s="3" t="s">
        <v>95</v>
      </c>
      <c r="C32785" s="6">
        <v>8731</v>
      </c>
      <c r="D32785" s="7">
        <v>0.9</v>
      </c>
      <c r="E32785" t="s">
        <v>96</v>
      </c>
    </row>
    <row r="32786" spans="1:5" x14ac:dyDescent="0.25">
      <c r="A32786" t="str">
        <f>HYPERLINK("https://www.773grp.com/globalSearch/SN74LS123M/page-1", "SN74LS123M")</f>
        <v>SN74LS123M</v>
      </c>
      <c r="B32786" s="3" t="s">
        <v>95</v>
      </c>
      <c r="C32786" s="6">
        <v>2490</v>
      </c>
      <c r="D32786" s="7">
        <v>0.9</v>
      </c>
      <c r="E32786" t="s">
        <v>54</v>
      </c>
    </row>
    <row r="32787" spans="1:5" x14ac:dyDescent="0.25">
      <c r="A32787" t="str">
        <f>HYPERLINK("https://www.773grp.com/globalSearch/SN74LS240DW/page-1", "SN74LS240DW")</f>
        <v>SN74LS240DW</v>
      </c>
      <c r="B32787" s="3" t="s">
        <v>95</v>
      </c>
      <c r="C32787" s="6">
        <v>1431</v>
      </c>
      <c r="D32787" s="7">
        <v>0.9</v>
      </c>
      <c r="E32787" t="s">
        <v>14</v>
      </c>
    </row>
    <row r="32788" spans="1:5" x14ac:dyDescent="0.25">
      <c r="A32788" t="str">
        <f>HYPERLINK("https://www.773grp.com/globalSearch/SN74LS240DWR2/page-1", "SN74LS240DWR2")</f>
        <v>SN74LS240DWR2</v>
      </c>
      <c r="B32788" s="3" t="s">
        <v>95</v>
      </c>
      <c r="C32788" s="6">
        <v>19000</v>
      </c>
      <c r="D32788" s="7">
        <v>0.9</v>
      </c>
      <c r="E32788" t="s">
        <v>14</v>
      </c>
    </row>
    <row r="32789" spans="1:5" x14ac:dyDescent="0.25">
      <c r="A32789" t="str">
        <f>HYPERLINK("https://www.773grp.com/globalSearch/SN74LS240H/page-1", "SN74LS240H")</f>
        <v>SN74LS240H</v>
      </c>
      <c r="B32789" s="3" t="s">
        <v>95</v>
      </c>
      <c r="C32789" s="6">
        <v>1440</v>
      </c>
      <c r="D32789" s="7">
        <v>0.9</v>
      </c>
    </row>
    <row r="32790" spans="1:5" x14ac:dyDescent="0.25">
      <c r="A32790" t="str">
        <f>HYPERLINK("https://www.773grp.com/globalSearch/SN74LS240M/page-1", "SN74LS240M")</f>
        <v>SN74LS240M</v>
      </c>
      <c r="B32790" s="3" t="s">
        <v>95</v>
      </c>
      <c r="C32790" s="6">
        <v>3200</v>
      </c>
      <c r="D32790" s="7">
        <v>0.9</v>
      </c>
      <c r="E32790" t="s">
        <v>14</v>
      </c>
    </row>
    <row r="32791" spans="1:5" x14ac:dyDescent="0.25">
      <c r="A32791" t="str">
        <f>HYPERLINK("https://www.773grp.com/globalSearch/SN74LS240ML1/page-1", "SN74LS240ML1")</f>
        <v>SN74LS240ML1</v>
      </c>
      <c r="B32791" s="3" t="s">
        <v>95</v>
      </c>
      <c r="C32791" s="6">
        <v>43000</v>
      </c>
      <c r="D32791" s="7">
        <v>0.9</v>
      </c>
    </row>
    <row r="32792" spans="1:5" x14ac:dyDescent="0.25">
      <c r="A32792" t="str">
        <f>HYPERLINK("https://www.773grp.com/globalSearch/SN74LS240MR1/page-1", "SN74LS240MR1")</f>
        <v>SN74LS240MR1</v>
      </c>
      <c r="B32792" s="3" t="s">
        <v>95</v>
      </c>
      <c r="C32792" s="6">
        <v>2000</v>
      </c>
      <c r="D32792" s="7">
        <v>0.9</v>
      </c>
      <c r="E32792" t="s">
        <v>14</v>
      </c>
    </row>
    <row r="32793" spans="1:5" x14ac:dyDescent="0.25">
      <c r="A32793" t="str">
        <f>HYPERLINK("https://www.773grp.com/globalSearch/SN74LS244DW/page-1", "SN74LS244DW")</f>
        <v>SN74LS244DW</v>
      </c>
      <c r="B32793" s="3" t="s">
        <v>95</v>
      </c>
      <c r="C32793" s="6">
        <v>6155</v>
      </c>
      <c r="D32793" s="7">
        <v>0.9</v>
      </c>
      <c r="E32793" t="s">
        <v>14</v>
      </c>
    </row>
    <row r="32794" spans="1:5" x14ac:dyDescent="0.25">
      <c r="A32794" t="str">
        <f>HYPERLINK("https://www.773grp.com/globalSearch/SN74LS244ML1/page-1", "SN74LS244ML1")</f>
        <v>SN74LS244ML1</v>
      </c>
      <c r="B32794" s="3" t="s">
        <v>95</v>
      </c>
      <c r="C32794" s="6">
        <v>55000</v>
      </c>
      <c r="D32794" s="7">
        <v>0.9</v>
      </c>
    </row>
    <row r="32795" spans="1:5" x14ac:dyDescent="0.25">
      <c r="A32795" t="str">
        <f>HYPERLINK("https://www.773grp.com/globalSearch/SN74LS245ML1/page-1", "SN74LS245ML1")</f>
        <v>SN74LS245ML1</v>
      </c>
      <c r="B32795" s="3" t="s">
        <v>95</v>
      </c>
      <c r="C32795" s="6">
        <v>38000</v>
      </c>
      <c r="D32795" s="7">
        <v>0.9</v>
      </c>
    </row>
    <row r="32796" spans="1:5" x14ac:dyDescent="0.25">
      <c r="A32796" t="str">
        <f>HYPERLINK("https://www.773grp.com/globalSearch/SN74LS245MR1/page-1", "SN74LS245MR1")</f>
        <v>SN74LS245MR1</v>
      </c>
      <c r="B32796" s="3" t="s">
        <v>95</v>
      </c>
      <c r="C32796" s="6">
        <v>7000</v>
      </c>
      <c r="D32796" s="7">
        <v>0.9</v>
      </c>
      <c r="E32796" t="s">
        <v>14</v>
      </c>
    </row>
    <row r="32797" spans="1:5" x14ac:dyDescent="0.25">
      <c r="A32797" t="str">
        <f>HYPERLINK("https://www.773grp.com/globalSearch/SN74LS273H/page-1", "SN74LS273H")</f>
        <v>SN74LS273H</v>
      </c>
      <c r="B32797" s="3" t="s">
        <v>95</v>
      </c>
      <c r="C32797" s="6">
        <v>10544</v>
      </c>
      <c r="D32797" s="7">
        <v>0.9</v>
      </c>
    </row>
    <row r="32798" spans="1:5" x14ac:dyDescent="0.25">
      <c r="A32798" t="str">
        <f>HYPERLINK("https://www.773grp.com/globalSearch/SN74LS273MR1/page-1", "SN74LS273MR1")</f>
        <v>SN74LS273MR1</v>
      </c>
      <c r="B32798" s="3" t="s">
        <v>95</v>
      </c>
      <c r="C32798" s="6">
        <v>3000</v>
      </c>
      <c r="D32798" s="7">
        <v>0.9</v>
      </c>
      <c r="E32798" t="s">
        <v>35</v>
      </c>
    </row>
    <row r="32799" spans="1:5" x14ac:dyDescent="0.25">
      <c r="A32799" t="str">
        <f>HYPERLINK("https://www.773grp.com/globalSearch/SN74LS279D/page-1", "SN74LS279D")</f>
        <v>SN74LS279D</v>
      </c>
      <c r="B32799" s="3" t="s">
        <v>95</v>
      </c>
      <c r="C32799" s="6">
        <v>4916</v>
      </c>
      <c r="D32799" s="7">
        <v>0.9</v>
      </c>
      <c r="E32799" t="s">
        <v>35</v>
      </c>
    </row>
    <row r="32800" spans="1:5" x14ac:dyDescent="0.25">
      <c r="A32800" t="str">
        <f>HYPERLINK("https://www.773grp.com/globalSearch/SN74LS279DR2/page-1", "SN74LS279DR2")</f>
        <v>SN74LS279DR2</v>
      </c>
      <c r="B32800" s="3" t="s">
        <v>95</v>
      </c>
      <c r="C32800" s="6">
        <v>2500</v>
      </c>
      <c r="D32800" s="7">
        <v>0.9</v>
      </c>
      <c r="E32800" t="s">
        <v>35</v>
      </c>
    </row>
    <row r="32801" spans="1:5" x14ac:dyDescent="0.25">
      <c r="A32801" t="str">
        <f>HYPERLINK("https://www.773grp.com/globalSearch/SN74LS280N/page-1", "SN74LS280N")</f>
        <v>SN74LS280N</v>
      </c>
      <c r="B32801" s="3" t="s">
        <v>95</v>
      </c>
      <c r="C32801" s="6">
        <v>550</v>
      </c>
      <c r="D32801" s="7">
        <v>0.9</v>
      </c>
      <c r="E32801" t="s">
        <v>43</v>
      </c>
    </row>
    <row r="32802" spans="1:5" x14ac:dyDescent="0.25">
      <c r="A32802" t="str">
        <f>HYPERLINK("https://www.773grp.com/globalSearch/SN74LS373ML1/page-1", "SN74LS373ML1")</f>
        <v>SN74LS373ML1</v>
      </c>
      <c r="B32802" s="3" t="s">
        <v>95</v>
      </c>
      <c r="C32802" s="6">
        <v>3000</v>
      </c>
      <c r="D32802" s="7">
        <v>0.9</v>
      </c>
    </row>
    <row r="32803" spans="1:5" x14ac:dyDescent="0.25">
      <c r="A32803" t="str">
        <f>HYPERLINK("https://www.773grp.com/globalSearch/SN74LS374H/page-1", "SN74LS374H")</f>
        <v>SN74LS374H</v>
      </c>
      <c r="B32803" s="3" t="s">
        <v>95</v>
      </c>
      <c r="C32803" s="6">
        <v>1080</v>
      </c>
      <c r="D32803" s="7">
        <v>0.9</v>
      </c>
    </row>
    <row r="32804" spans="1:5" x14ac:dyDescent="0.25">
      <c r="A32804" t="str">
        <f>HYPERLINK("https://www.773grp.com/globalSearch/SN74LS374MC1/page-1", "SN74LS374MC1")</f>
        <v>SN74LS374MC1</v>
      </c>
      <c r="B32804" s="3" t="s">
        <v>95</v>
      </c>
      <c r="C32804" s="6">
        <v>13000</v>
      </c>
      <c r="D32804" s="7">
        <v>0.9</v>
      </c>
    </row>
    <row r="32805" spans="1:5" x14ac:dyDescent="0.25">
      <c r="A32805" t="str">
        <f>HYPERLINK("https://www.773grp.com/globalSearch/SN74LS375N/page-1", "SN74LS375N")</f>
        <v>SN74LS375N</v>
      </c>
      <c r="B32805" s="3" t="s">
        <v>95</v>
      </c>
      <c r="C32805" s="6">
        <v>5279</v>
      </c>
      <c r="D32805" s="7">
        <v>0.9</v>
      </c>
      <c r="E32805" t="s">
        <v>35</v>
      </c>
    </row>
    <row r="32806" spans="1:5" x14ac:dyDescent="0.25">
      <c r="A32806" t="str">
        <f>HYPERLINK("https://www.773grp.com/globalSearch/SN74LS390N/page-1", "SN74LS390N")</f>
        <v>SN74LS390N</v>
      </c>
      <c r="B32806" s="3" t="s">
        <v>95</v>
      </c>
      <c r="C32806" s="6">
        <v>42</v>
      </c>
      <c r="D32806" s="7">
        <v>0.9</v>
      </c>
      <c r="E32806" t="s">
        <v>26</v>
      </c>
    </row>
    <row r="32807" spans="1:5" x14ac:dyDescent="0.25">
      <c r="A32807" t="str">
        <f>HYPERLINK("https://www.773grp.com/globalSearch/SN74LS92D/page-1", "SN74LS92D")</f>
        <v>SN74LS92D</v>
      </c>
      <c r="B32807" s="3" t="s">
        <v>95</v>
      </c>
      <c r="C32807" s="6">
        <v>6561</v>
      </c>
      <c r="D32807" s="7">
        <v>0.9</v>
      </c>
      <c r="E32807" t="s">
        <v>26</v>
      </c>
    </row>
    <row r="32808" spans="1:5" x14ac:dyDescent="0.25">
      <c r="A32808" t="str">
        <f>HYPERLINK("https://www.773grp.com/globalSearch/SN74LS92DR2/page-1", "SN74LS92DR2")</f>
        <v>SN74LS92DR2</v>
      </c>
      <c r="B32808" s="3" t="s">
        <v>95</v>
      </c>
      <c r="C32808" s="6">
        <v>15000</v>
      </c>
      <c r="D32808" s="7">
        <v>0.9</v>
      </c>
      <c r="E32808" t="s">
        <v>26</v>
      </c>
    </row>
    <row r="32809" spans="1:5" x14ac:dyDescent="0.25">
      <c r="A32809" t="str">
        <f>HYPERLINK("https://www.773grp.com/globalSearch/SN74LS92ML1/page-1", "SN74LS92ML1")</f>
        <v>SN74LS92ML1</v>
      </c>
      <c r="B32809" s="3" t="s">
        <v>95</v>
      </c>
      <c r="C32809" s="6">
        <v>5550</v>
      </c>
      <c r="D32809" s="7">
        <v>0.9</v>
      </c>
    </row>
    <row r="32810" spans="1:5" x14ac:dyDescent="0.25">
      <c r="A32810" t="str">
        <f>HYPERLINK("https://www.773grp.com/globalSearch/SN74LS92N/page-1", "SN74LS92N")</f>
        <v>SN74LS92N</v>
      </c>
      <c r="B32810" s="3" t="s">
        <v>95</v>
      </c>
      <c r="C32810" s="6">
        <v>75</v>
      </c>
      <c r="D32810" s="7">
        <v>0.9</v>
      </c>
      <c r="E32810" t="s">
        <v>26</v>
      </c>
    </row>
    <row r="32811" spans="1:5" x14ac:dyDescent="0.25">
      <c r="A32811" t="str">
        <f>HYPERLINK("https://www.773grp.com/globalSearch/SZ1SMA5936BT3/page-1", "SZ1SMA5936BT3")</f>
        <v>SZ1SMA5936BT3</v>
      </c>
      <c r="B32811" s="3" t="s">
        <v>95</v>
      </c>
      <c r="C32811" s="6">
        <v>80000</v>
      </c>
      <c r="D32811" s="7">
        <v>0.9</v>
      </c>
    </row>
    <row r="32812" spans="1:5" x14ac:dyDescent="0.25">
      <c r="A32812" t="str">
        <f>HYPERLINK("https://www.773grp.com/globalSearch/SZ1SMB5928BT3/page-1", "SZ1SMB5928BT3")</f>
        <v>SZ1SMB5928BT3</v>
      </c>
      <c r="B32812" s="3" t="s">
        <v>95</v>
      </c>
      <c r="C32812" s="6">
        <v>55000</v>
      </c>
      <c r="D32812" s="7">
        <v>0.9</v>
      </c>
    </row>
    <row r="32813" spans="1:5" x14ac:dyDescent="0.25">
      <c r="A32813" t="str">
        <f>HYPERLINK("https://www.773grp.com/globalSearch/SZ1SMB5929BT3G/page-1", "SZ1SMB5929BT3G")</f>
        <v>SZ1SMB5929BT3G</v>
      </c>
      <c r="B32813" s="3" t="s">
        <v>95</v>
      </c>
      <c r="C32813" s="6">
        <v>15000</v>
      </c>
      <c r="D32813" s="7">
        <v>0.9</v>
      </c>
    </row>
    <row r="32814" spans="1:5" x14ac:dyDescent="0.25">
      <c r="A32814" t="str">
        <f>HYPERLINK("https://www.773grp.com/globalSearch/SZ1SMB5930BT3/page-1", "SZ1SMB5930BT3")</f>
        <v>SZ1SMB5930BT3</v>
      </c>
      <c r="B32814" s="3" t="s">
        <v>95</v>
      </c>
      <c r="C32814" s="6">
        <v>5000</v>
      </c>
      <c r="D32814" s="7">
        <v>0.9</v>
      </c>
    </row>
    <row r="32815" spans="1:5" x14ac:dyDescent="0.25">
      <c r="A32815" t="str">
        <f>HYPERLINK("https://www.773grp.com/globalSearch/SZ1SMB5930BT3G/page-1", "SZ1SMB5930BT3G")</f>
        <v>SZ1SMB5930BT3G</v>
      </c>
      <c r="B32815" s="3" t="s">
        <v>95</v>
      </c>
      <c r="C32815" s="6">
        <v>12500</v>
      </c>
      <c r="D32815" s="7">
        <v>0.9</v>
      </c>
    </row>
    <row r="32816" spans="1:5" x14ac:dyDescent="0.25">
      <c r="A32816" t="str">
        <f>HYPERLINK("https://www.773grp.com/globalSearch/SZ1SMB5933BT3G/page-1", "SZ1SMB5933BT3G")</f>
        <v>SZ1SMB5933BT3G</v>
      </c>
      <c r="B32816" s="3" t="s">
        <v>95</v>
      </c>
      <c r="C32816" s="6">
        <v>2500</v>
      </c>
      <c r="D32816" s="7">
        <v>0.9</v>
      </c>
    </row>
    <row r="32817" spans="1:5" x14ac:dyDescent="0.25">
      <c r="A32817" t="str">
        <f>HYPERLINK("https://www.773grp.com/globalSearch/SZ1SMB5935BT3/page-1", "SZ1SMB5935BT3")</f>
        <v>SZ1SMB5935BT3</v>
      </c>
      <c r="B32817" s="3" t="s">
        <v>95</v>
      </c>
      <c r="C32817" s="6">
        <v>5000</v>
      </c>
      <c r="D32817" s="7">
        <v>0.9</v>
      </c>
    </row>
    <row r="32818" spans="1:5" x14ac:dyDescent="0.25">
      <c r="A32818" t="str">
        <f>HYPERLINK("https://www.773grp.com/globalSearch/SZ1SMB5937BT3G/page-1", "SZ1SMB5937BT3G")</f>
        <v>SZ1SMB5937BT3G</v>
      </c>
      <c r="B32818" s="3" t="s">
        <v>95</v>
      </c>
      <c r="C32818" s="6">
        <v>2500</v>
      </c>
      <c r="D32818" s="7">
        <v>0.9</v>
      </c>
    </row>
    <row r="32819" spans="1:5" x14ac:dyDescent="0.25">
      <c r="A32819" t="str">
        <f>HYPERLINK("https://www.773grp.com/globalSearch/SZ1SMB5938BT3/page-1", "SZ1SMB5938BT3")</f>
        <v>SZ1SMB5938BT3</v>
      </c>
      <c r="B32819" s="3" t="s">
        <v>95</v>
      </c>
      <c r="C32819" s="6">
        <v>5000</v>
      </c>
      <c r="D32819" s="7">
        <v>0.9</v>
      </c>
    </row>
    <row r="32820" spans="1:5" x14ac:dyDescent="0.25">
      <c r="A32820" t="str">
        <f>HYPERLINK("https://www.773grp.com/globalSearch/SZ1SMB5939BT3/page-1", "SZ1SMB5939BT3")</f>
        <v>SZ1SMB5939BT3</v>
      </c>
      <c r="B32820" s="3" t="s">
        <v>95</v>
      </c>
      <c r="C32820" s="6">
        <v>5000</v>
      </c>
      <c r="D32820" s="7">
        <v>0.9</v>
      </c>
    </row>
    <row r="32821" spans="1:5" x14ac:dyDescent="0.25">
      <c r="A32821" t="str">
        <f>HYPERLINK("https://www.773grp.com/globalSearch/SZ1SMB5941BT3/page-1", "SZ1SMB5941BT3")</f>
        <v>SZ1SMB5941BT3</v>
      </c>
      <c r="B32821" s="3" t="s">
        <v>95</v>
      </c>
      <c r="C32821" s="6">
        <v>10000</v>
      </c>
      <c r="D32821" s="7">
        <v>0.9</v>
      </c>
    </row>
    <row r="32822" spans="1:5" x14ac:dyDescent="0.25">
      <c r="A32822" t="str">
        <f>HYPERLINK("https://www.773grp.com/globalSearch/SZ2446T3G/page-1", "SZ2446T3G")</f>
        <v>SZ2446T3G</v>
      </c>
      <c r="B32822" s="3" t="s">
        <v>95</v>
      </c>
      <c r="C32822" s="6">
        <v>10000</v>
      </c>
      <c r="D32822" s="7">
        <v>0.9</v>
      </c>
    </row>
    <row r="32823" spans="1:5" x14ac:dyDescent="0.25">
      <c r="A32823" t="str">
        <f>HYPERLINK("https://www.773grp.com/globalSearch/TE02572T4/page-1", "TE02572T4")</f>
        <v>TE02572T4</v>
      </c>
      <c r="B32823" s="3" t="s">
        <v>95</v>
      </c>
      <c r="C32823" s="6">
        <v>2500</v>
      </c>
      <c r="D32823" s="7">
        <v>0.9</v>
      </c>
    </row>
    <row r="32824" spans="1:5" x14ac:dyDescent="0.25">
      <c r="A32824" t="str">
        <f>HYPERLINK("https://www.773grp.com/globalSearch/TIP105G/page-1", "TIP105G")</f>
        <v>TIP105G</v>
      </c>
      <c r="B32824" s="3" t="s">
        <v>95</v>
      </c>
      <c r="C32824" s="6">
        <v>2512</v>
      </c>
      <c r="D32824" s="7">
        <v>0.9</v>
      </c>
      <c r="E32824" t="s">
        <v>59</v>
      </c>
    </row>
    <row r="32825" spans="1:5" x14ac:dyDescent="0.25">
      <c r="A32825" t="str">
        <f>HYPERLINK("https://www.773grp.com/globalSearch/TIP41A/page-1", "TIP41A")</f>
        <v>TIP41A</v>
      </c>
      <c r="B32825" s="3" t="s">
        <v>95</v>
      </c>
      <c r="C32825" s="6">
        <v>3241</v>
      </c>
      <c r="D32825" s="7">
        <v>0.9</v>
      </c>
      <c r="E32825" t="s">
        <v>59</v>
      </c>
    </row>
    <row r="32826" spans="1:5" x14ac:dyDescent="0.25">
      <c r="A32826" t="str">
        <f>HYPERLINK("https://www.773grp.com/globalSearch/TIP41B/page-1", "TIP41B")</f>
        <v>TIP41B</v>
      </c>
      <c r="B32826" s="3" t="s">
        <v>95</v>
      </c>
      <c r="C32826" s="6">
        <v>1900</v>
      </c>
      <c r="D32826" s="7">
        <v>0.9</v>
      </c>
      <c r="E32826" t="s">
        <v>59</v>
      </c>
    </row>
    <row r="32827" spans="1:5" x14ac:dyDescent="0.25">
      <c r="A32827" t="str">
        <f>HYPERLINK("https://www.773grp.com/globalSearch/TIP41G/page-1", "TIP41G")</f>
        <v>TIP41G</v>
      </c>
      <c r="B32827" s="3" t="s">
        <v>95</v>
      </c>
      <c r="C32827" s="6">
        <v>1597</v>
      </c>
      <c r="D32827" s="7">
        <v>0.9</v>
      </c>
      <c r="E32827" t="s">
        <v>59</v>
      </c>
    </row>
    <row r="32828" spans="1:5" x14ac:dyDescent="0.25">
      <c r="A32828" t="str">
        <f>HYPERLINK("https://www.773grp.com/globalSearch/TIP42B/page-1", "TIP42B")</f>
        <v>TIP42B</v>
      </c>
      <c r="B32828" s="3" t="s">
        <v>95</v>
      </c>
      <c r="C32828" s="6">
        <v>13450</v>
      </c>
      <c r="D32828" s="7">
        <v>0.9</v>
      </c>
      <c r="E32828" t="s">
        <v>59</v>
      </c>
    </row>
    <row r="32829" spans="1:5" x14ac:dyDescent="0.25">
      <c r="A32829" t="str">
        <f>HYPERLINK("https://www.773grp.com/globalSearch/TIP42C/page-1", "TIP42C")</f>
        <v>TIP42C</v>
      </c>
      <c r="B32829" s="3" t="s">
        <v>95</v>
      </c>
      <c r="C32829" s="6">
        <v>8795</v>
      </c>
      <c r="D32829" s="7">
        <v>0.9</v>
      </c>
      <c r="E32829" t="s">
        <v>59</v>
      </c>
    </row>
    <row r="32830" spans="1:5" x14ac:dyDescent="0.25">
      <c r="A32830" t="str">
        <f>HYPERLINK("https://www.773grp.com/globalSearch/TIP48/page-1", "TIP48")</f>
        <v>TIP48</v>
      </c>
      <c r="B32830" s="3" t="s">
        <v>95</v>
      </c>
      <c r="C32830" s="6">
        <v>400</v>
      </c>
      <c r="D32830" s="7">
        <v>0.9</v>
      </c>
      <c r="E32830" t="s">
        <v>59</v>
      </c>
    </row>
    <row r="32831" spans="1:5" x14ac:dyDescent="0.25">
      <c r="A32831" t="str">
        <f>HYPERLINK("https://www.773grp.com/globalSearch/TIP50/page-1", "TIP50")</f>
        <v>TIP50</v>
      </c>
      <c r="B32831" s="3" t="s">
        <v>95</v>
      </c>
      <c r="C32831" s="6">
        <v>10826</v>
      </c>
      <c r="D32831" s="7">
        <v>0.9</v>
      </c>
      <c r="E32831" t="s">
        <v>59</v>
      </c>
    </row>
    <row r="32832" spans="1:5" x14ac:dyDescent="0.25">
      <c r="A32832" t="str">
        <f>HYPERLINK("https://www.773grp.com/globalSearch/TL072CDR2/page-1", "TL072CDR2")</f>
        <v>TL072CDR2</v>
      </c>
      <c r="B32832" s="3" t="s">
        <v>95</v>
      </c>
      <c r="C32832" s="6">
        <v>2500</v>
      </c>
      <c r="D32832" s="7">
        <v>0.9</v>
      </c>
      <c r="E32832" t="s">
        <v>13</v>
      </c>
    </row>
    <row r="32833" spans="1:5" x14ac:dyDescent="0.25">
      <c r="A32833" t="str">
        <f>HYPERLINK("https://www.773grp.com/globalSearch/TL431BVP/page-1", "TL431BVP")</f>
        <v>TL431BVP</v>
      </c>
      <c r="B32833" s="3" t="s">
        <v>95</v>
      </c>
      <c r="C32833" s="6">
        <v>1000</v>
      </c>
      <c r="D32833" s="7">
        <v>0.9</v>
      </c>
      <c r="E32833" t="s">
        <v>17</v>
      </c>
    </row>
    <row r="32834" spans="1:5" x14ac:dyDescent="0.25">
      <c r="A32834" t="str">
        <f>HYPERLINK("https://www.773grp.com/globalSearch/TLV431ALP/page-1", "TLV431ALP")</f>
        <v>TLV431ALP</v>
      </c>
      <c r="B32834" s="3" t="s">
        <v>95</v>
      </c>
      <c r="C32834" s="6">
        <v>3065</v>
      </c>
      <c r="D32834" s="7">
        <v>0.9</v>
      </c>
      <c r="E32834" t="s">
        <v>17</v>
      </c>
    </row>
    <row r="32835" spans="1:5" x14ac:dyDescent="0.25">
      <c r="A32835" t="str">
        <f>HYPERLINK("https://www.773grp.com/globalSearch/TLV431ALPRE/page-1", "TLV431ALPRE")</f>
        <v>TLV431ALPRE</v>
      </c>
      <c r="B32835" s="3" t="s">
        <v>95</v>
      </c>
      <c r="C32835" s="6">
        <v>12000</v>
      </c>
      <c r="D32835" s="7">
        <v>0.9</v>
      </c>
      <c r="E32835" t="s">
        <v>17</v>
      </c>
    </row>
    <row r="32836" spans="1:5" x14ac:dyDescent="0.25">
      <c r="A32836" t="str">
        <f>HYPERLINK("https://www.773grp.com/globalSearch/TLV431ALPRP/page-1", "TLV431ALPRP")</f>
        <v>TLV431ALPRP</v>
      </c>
      <c r="B32836" s="3" t="s">
        <v>95</v>
      </c>
      <c r="C32836" s="6">
        <v>22000</v>
      </c>
      <c r="D32836" s="7">
        <v>0.9</v>
      </c>
      <c r="E32836" t="s">
        <v>17</v>
      </c>
    </row>
    <row r="32837" spans="1:5" x14ac:dyDescent="0.25">
      <c r="A32837" t="str">
        <f>HYPERLINK("https://www.773grp.com/globalSearch/TLV431BLP/page-1", "TLV431BLP")</f>
        <v>TLV431BLP</v>
      </c>
      <c r="B32837" s="3" t="s">
        <v>95</v>
      </c>
      <c r="C32837" s="6">
        <v>9502</v>
      </c>
      <c r="D32837" s="7">
        <v>0.9</v>
      </c>
      <c r="E32837" t="s">
        <v>17</v>
      </c>
    </row>
    <row r="32838" spans="1:5" x14ac:dyDescent="0.25">
      <c r="A32838" t="str">
        <f>HYPERLINK("https://www.773grp.com/globalSearch/TLV431BLPRA/page-1", "TLV431BLPRA")</f>
        <v>TLV431BLPRA</v>
      </c>
      <c r="B32838" s="3" t="s">
        <v>95</v>
      </c>
      <c r="C32838" s="6">
        <v>3952</v>
      </c>
      <c r="D32838" s="7">
        <v>0.9</v>
      </c>
      <c r="E32838" t="s">
        <v>17</v>
      </c>
    </row>
    <row r="32839" spans="1:5" x14ac:dyDescent="0.25">
      <c r="A32839" t="str">
        <f>HYPERLINK("https://www.773grp.com/globalSearch/1.5KE130A/page-1", "1.5KE130A")</f>
        <v>1.5KE130A</v>
      </c>
      <c r="B32839" s="3" t="s">
        <v>95</v>
      </c>
      <c r="C32839" s="6">
        <v>500</v>
      </c>
      <c r="D32839" s="7">
        <v>0.95</v>
      </c>
      <c r="E32839" t="s">
        <v>96</v>
      </c>
    </row>
    <row r="32840" spans="1:5" x14ac:dyDescent="0.25">
      <c r="A32840" t="str">
        <f>HYPERLINK("https://www.773grp.com/globalSearch/1.5KE130ARL4/page-1", "1.5KE130ARL4")</f>
        <v>1.5KE130ARL4</v>
      </c>
      <c r="B32840" s="3" t="s">
        <v>95</v>
      </c>
      <c r="C32840" s="6">
        <v>14500</v>
      </c>
      <c r="D32840" s="7">
        <v>0.95</v>
      </c>
      <c r="E32840" t="s">
        <v>96</v>
      </c>
    </row>
    <row r="32841" spans="1:5" x14ac:dyDescent="0.25">
      <c r="A32841" t="str">
        <f>HYPERLINK("https://www.773grp.com/globalSearch/1.5KE150AG/page-1", "1.5KE150AG")</f>
        <v>1.5KE150AG</v>
      </c>
      <c r="B32841" s="3" t="s">
        <v>95</v>
      </c>
      <c r="C32841" s="6">
        <v>500</v>
      </c>
      <c r="D32841" s="7">
        <v>0.95</v>
      </c>
      <c r="E32841" t="s">
        <v>96</v>
      </c>
    </row>
    <row r="32842" spans="1:5" x14ac:dyDescent="0.25">
      <c r="A32842" t="str">
        <f>HYPERLINK("https://www.773grp.com/globalSearch/1.5KE180AG/page-1", "1.5KE180AG")</f>
        <v>1.5KE180AG</v>
      </c>
      <c r="B32842" s="3" t="s">
        <v>95</v>
      </c>
      <c r="C32842" s="6">
        <v>1500</v>
      </c>
      <c r="D32842" s="7">
        <v>0.95</v>
      </c>
      <c r="E32842" t="s">
        <v>96</v>
      </c>
    </row>
    <row r="32843" spans="1:5" x14ac:dyDescent="0.25">
      <c r="A32843" t="str">
        <f>HYPERLINK("https://www.773grp.com/globalSearch/1.5KE180ARL4G/page-1", "1.5KE180ARL4G")</f>
        <v>1.5KE180ARL4G</v>
      </c>
      <c r="B32843" s="3" t="s">
        <v>95</v>
      </c>
      <c r="C32843" s="6">
        <v>1500</v>
      </c>
      <c r="D32843" s="7">
        <v>0.95</v>
      </c>
      <c r="E32843" t="s">
        <v>96</v>
      </c>
    </row>
    <row r="32844" spans="1:5" x14ac:dyDescent="0.25">
      <c r="A32844" t="str">
        <f>HYPERLINK("https://www.773grp.com/globalSearch/1.5KE200ARL4G/page-1", "1.5KE200ARL4G")</f>
        <v>1.5KE200ARL4G</v>
      </c>
      <c r="B32844" s="3" t="s">
        <v>95</v>
      </c>
      <c r="C32844" s="6">
        <v>6000</v>
      </c>
      <c r="D32844" s="7">
        <v>0.95</v>
      </c>
      <c r="E32844" t="s">
        <v>96</v>
      </c>
    </row>
    <row r="32845" spans="1:5" x14ac:dyDescent="0.25">
      <c r="A32845" t="str">
        <f>HYPERLINK("https://www.773grp.com/globalSearch/1N5917BRLG/page-1", "1N5917BRLG")</f>
        <v>1N5917BRLG</v>
      </c>
      <c r="B32845" s="3" t="s">
        <v>95</v>
      </c>
      <c r="C32845" s="6">
        <v>30827</v>
      </c>
      <c r="D32845" s="7">
        <v>0.95</v>
      </c>
      <c r="E32845" t="s">
        <v>98</v>
      </c>
    </row>
    <row r="32846" spans="1:5" x14ac:dyDescent="0.25">
      <c r="A32846" t="str">
        <f>HYPERLINK("https://www.773grp.com/globalSearch/1N5919BG/page-1", "1N5919BG")</f>
        <v>1N5919BG</v>
      </c>
      <c r="B32846" s="3" t="s">
        <v>95</v>
      </c>
      <c r="C32846" s="6">
        <v>32938</v>
      </c>
      <c r="D32846" s="7">
        <v>0.95</v>
      </c>
      <c r="E32846" t="s">
        <v>98</v>
      </c>
    </row>
    <row r="32847" spans="1:5" x14ac:dyDescent="0.25">
      <c r="A32847" t="str">
        <f>HYPERLINK("https://www.773grp.com/globalSearch/1N5919BRLG/page-1", "1N5919BRLG")</f>
        <v>1N5919BRLG</v>
      </c>
      <c r="B32847" s="3" t="s">
        <v>95</v>
      </c>
      <c r="C32847" s="6">
        <v>16927</v>
      </c>
      <c r="D32847" s="7">
        <v>0.95</v>
      </c>
      <c r="E32847" t="s">
        <v>98</v>
      </c>
    </row>
    <row r="32848" spans="1:5" x14ac:dyDescent="0.25">
      <c r="A32848" t="str">
        <f>HYPERLINK("https://www.773grp.com/globalSearch/1N5920BG/page-1", "1N5920BG")</f>
        <v>1N5920BG</v>
      </c>
      <c r="B32848" s="3" t="s">
        <v>95</v>
      </c>
      <c r="C32848" s="6">
        <v>537</v>
      </c>
      <c r="D32848" s="7">
        <v>0.95</v>
      </c>
      <c r="E32848" t="s">
        <v>98</v>
      </c>
    </row>
    <row r="32849" spans="1:5" x14ac:dyDescent="0.25">
      <c r="A32849" t="str">
        <f>HYPERLINK("https://www.773grp.com/globalSearch/1N5920BRLG/page-1", "1N5920BRLG")</f>
        <v>1N5920BRLG</v>
      </c>
      <c r="B32849" s="3" t="s">
        <v>95</v>
      </c>
      <c r="C32849" s="6">
        <v>18000</v>
      </c>
      <c r="D32849" s="7">
        <v>0.95</v>
      </c>
    </row>
    <row r="32850" spans="1:5" x14ac:dyDescent="0.25">
      <c r="A32850" t="str">
        <f>HYPERLINK("https://www.773grp.com/globalSearch/1N5921BRLG/page-1", "1N5921BRLG")</f>
        <v>1N5921BRLG</v>
      </c>
      <c r="B32850" s="3" t="s">
        <v>95</v>
      </c>
      <c r="C32850" s="6">
        <v>159461</v>
      </c>
      <c r="D32850" s="7">
        <v>0.95</v>
      </c>
      <c r="E32850" t="s">
        <v>98</v>
      </c>
    </row>
    <row r="32851" spans="1:5" x14ac:dyDescent="0.25">
      <c r="A32851" t="str">
        <f>HYPERLINK("https://www.773grp.com/globalSearch/1N5923BRLG/page-1", "1N5923BRLG")</f>
        <v>1N5923BRLG</v>
      </c>
      <c r="B32851" s="3" t="s">
        <v>95</v>
      </c>
      <c r="C32851" s="6">
        <v>192402</v>
      </c>
      <c r="D32851" s="7">
        <v>0.95</v>
      </c>
      <c r="E32851" t="s">
        <v>98</v>
      </c>
    </row>
    <row r="32852" spans="1:5" x14ac:dyDescent="0.25">
      <c r="A32852" t="str">
        <f>HYPERLINK("https://www.773grp.com/globalSearch/1N5925BRLG/page-1", "1N5925BRLG")</f>
        <v>1N5925BRLG</v>
      </c>
      <c r="B32852" s="3" t="s">
        <v>95</v>
      </c>
      <c r="C32852" s="6">
        <v>18000</v>
      </c>
      <c r="D32852" s="7">
        <v>0.95</v>
      </c>
      <c r="E32852" t="s">
        <v>98</v>
      </c>
    </row>
    <row r="32853" spans="1:5" x14ac:dyDescent="0.25">
      <c r="A32853" t="str">
        <f>HYPERLINK("https://www.773grp.com/globalSearch/1N5927BG/page-1", "1N5927BG")</f>
        <v>1N5927BG</v>
      </c>
      <c r="B32853" s="3" t="s">
        <v>95</v>
      </c>
      <c r="C32853" s="6">
        <v>8316</v>
      </c>
      <c r="D32853" s="7">
        <v>0.95</v>
      </c>
      <c r="E32853" t="s">
        <v>98</v>
      </c>
    </row>
    <row r="32854" spans="1:5" x14ac:dyDescent="0.25">
      <c r="A32854" t="str">
        <f>HYPERLINK("https://www.773grp.com/globalSearch/1N5927BRLG/page-1", "1N5927BRLG")</f>
        <v>1N5927BRLG</v>
      </c>
      <c r="B32854" s="3" t="s">
        <v>95</v>
      </c>
      <c r="C32854" s="6">
        <v>4210</v>
      </c>
      <c r="D32854" s="7">
        <v>0.95</v>
      </c>
      <c r="E32854" t="s">
        <v>98</v>
      </c>
    </row>
    <row r="32855" spans="1:5" x14ac:dyDescent="0.25">
      <c r="A32855" t="str">
        <f>HYPERLINK("https://www.773grp.com/globalSearch/1N5929BG/page-1", "1N5929BG")</f>
        <v>1N5929BG</v>
      </c>
      <c r="B32855" s="3" t="s">
        <v>95</v>
      </c>
      <c r="C32855" s="6">
        <v>19556</v>
      </c>
      <c r="D32855" s="7">
        <v>0.95</v>
      </c>
      <c r="E32855" t="s">
        <v>98</v>
      </c>
    </row>
    <row r="32856" spans="1:5" x14ac:dyDescent="0.25">
      <c r="A32856" t="str">
        <f>HYPERLINK("https://www.773grp.com/globalSearch/1N5929BRLG/page-1", "1N5929BRLG")</f>
        <v>1N5929BRLG</v>
      </c>
      <c r="B32856" s="3" t="s">
        <v>95</v>
      </c>
      <c r="C32856" s="6">
        <v>30950</v>
      </c>
      <c r="D32856" s="7">
        <v>0.95</v>
      </c>
      <c r="E32856" t="s">
        <v>98</v>
      </c>
    </row>
    <row r="32857" spans="1:5" x14ac:dyDescent="0.25">
      <c r="A32857" t="str">
        <f>HYPERLINK("https://www.773grp.com/globalSearch/1N5931BRLG/page-1", "1N5931BRLG")</f>
        <v>1N5931BRLG</v>
      </c>
      <c r="B32857" s="3" t="s">
        <v>95</v>
      </c>
      <c r="C32857" s="6">
        <v>45495</v>
      </c>
      <c r="D32857" s="7">
        <v>0.95</v>
      </c>
    </row>
    <row r="32858" spans="1:5" x14ac:dyDescent="0.25">
      <c r="A32858" t="str">
        <f>HYPERLINK("https://www.773grp.com/globalSearch/1N5934BG/page-1", "1N5934BG")</f>
        <v>1N5934BG</v>
      </c>
      <c r="B32858" s="3" t="s">
        <v>95</v>
      </c>
      <c r="C32858" s="6">
        <v>8512</v>
      </c>
      <c r="D32858" s="7">
        <v>0.95</v>
      </c>
      <c r="E32858" t="s">
        <v>98</v>
      </c>
    </row>
    <row r="32859" spans="1:5" x14ac:dyDescent="0.25">
      <c r="A32859" t="str">
        <f>HYPERLINK("https://www.773grp.com/globalSearch/1N5934BRLG/page-1", "1N5934BRLG")</f>
        <v>1N5934BRLG</v>
      </c>
      <c r="B32859" s="3" t="s">
        <v>95</v>
      </c>
      <c r="C32859" s="6">
        <v>97088</v>
      </c>
      <c r="D32859" s="7">
        <v>0.95</v>
      </c>
      <c r="E32859" t="s">
        <v>98</v>
      </c>
    </row>
    <row r="32860" spans="1:5" x14ac:dyDescent="0.25">
      <c r="A32860" t="str">
        <f>HYPERLINK("https://www.773grp.com/globalSearch/1N5937BG/page-1", "1N5937BG")</f>
        <v>1N5937BG</v>
      </c>
      <c r="B32860" s="3" t="s">
        <v>95</v>
      </c>
      <c r="C32860" s="6">
        <v>600</v>
      </c>
      <c r="D32860" s="7">
        <v>0.95</v>
      </c>
      <c r="E32860" t="s">
        <v>98</v>
      </c>
    </row>
    <row r="32861" spans="1:5" x14ac:dyDescent="0.25">
      <c r="A32861" t="str">
        <f>HYPERLINK("https://www.773grp.com/globalSearch/1N5937BRLG/page-1", "1N5937BRLG")</f>
        <v>1N5937BRLG</v>
      </c>
      <c r="B32861" s="3" t="s">
        <v>95</v>
      </c>
      <c r="C32861" s="6">
        <v>8899</v>
      </c>
      <c r="D32861" s="7">
        <v>0.95</v>
      </c>
    </row>
    <row r="32862" spans="1:5" x14ac:dyDescent="0.25">
      <c r="A32862" t="str">
        <f>HYPERLINK("https://www.773grp.com/globalSearch/1N5938BRLG/page-1", "1N5938BRLG")</f>
        <v>1N5938BRLG</v>
      </c>
      <c r="B32862" s="3" t="s">
        <v>95</v>
      </c>
      <c r="C32862" s="6">
        <v>4958</v>
      </c>
      <c r="D32862" s="7">
        <v>0.95</v>
      </c>
      <c r="E32862" t="s">
        <v>98</v>
      </c>
    </row>
    <row r="32863" spans="1:5" x14ac:dyDescent="0.25">
      <c r="A32863" t="str">
        <f>HYPERLINK("https://www.773grp.com/globalSearch/1N5942BRLG/page-1", "1N5942BRLG")</f>
        <v>1N5942BRLG</v>
      </c>
      <c r="B32863" s="3" t="s">
        <v>95</v>
      </c>
      <c r="C32863" s="6">
        <v>107041</v>
      </c>
      <c r="D32863" s="7">
        <v>0.95</v>
      </c>
      <c r="E32863" t="s">
        <v>98</v>
      </c>
    </row>
    <row r="32864" spans="1:5" x14ac:dyDescent="0.25">
      <c r="A32864" t="str">
        <f>HYPERLINK("https://www.773grp.com/globalSearch/1N5946BRLG/page-1", "1N5946BRLG")</f>
        <v>1N5946BRLG</v>
      </c>
      <c r="B32864" s="3" t="s">
        <v>95</v>
      </c>
      <c r="C32864" s="6">
        <v>30000</v>
      </c>
      <c r="D32864" s="7">
        <v>0.95</v>
      </c>
      <c r="E32864" t="s">
        <v>98</v>
      </c>
    </row>
    <row r="32865" spans="1:5" x14ac:dyDescent="0.25">
      <c r="A32865" t="str">
        <f>HYPERLINK("https://www.773grp.com/globalSearch/1N5948BRLG/page-1", "1N5948BRLG")</f>
        <v>1N5948BRLG</v>
      </c>
      <c r="B32865" s="3" t="s">
        <v>95</v>
      </c>
      <c r="C32865" s="6">
        <v>15944</v>
      </c>
      <c r="D32865" s="7">
        <v>0.95</v>
      </c>
      <c r="E32865" t="s">
        <v>98</v>
      </c>
    </row>
    <row r="32866" spans="1:5" x14ac:dyDescent="0.25">
      <c r="A32866" t="str">
        <f>HYPERLINK("https://www.773grp.com/globalSearch/1N5953BG/page-1", "1N5953BG")</f>
        <v>1N5953BG</v>
      </c>
      <c r="B32866" s="3" t="s">
        <v>95</v>
      </c>
      <c r="C32866" s="6">
        <v>13864</v>
      </c>
      <c r="D32866" s="7">
        <v>0.95</v>
      </c>
      <c r="E32866" t="s">
        <v>98</v>
      </c>
    </row>
    <row r="32867" spans="1:5" x14ac:dyDescent="0.25">
      <c r="A32867" t="str">
        <f>HYPERLINK("https://www.773grp.com/globalSearch/1N5953BRLG/page-1", "1N5953BRLG")</f>
        <v>1N5953BRLG</v>
      </c>
      <c r="B32867" s="3" t="s">
        <v>95</v>
      </c>
      <c r="C32867" s="6">
        <v>39472</v>
      </c>
      <c r="D32867" s="7">
        <v>0.95</v>
      </c>
      <c r="E32867" t="s">
        <v>98</v>
      </c>
    </row>
    <row r="32868" spans="1:5" x14ac:dyDescent="0.25">
      <c r="A32868" t="str">
        <f>HYPERLINK("https://www.773grp.com/globalSearch/1N5955BRLG/page-1", "1N5955BRLG")</f>
        <v>1N5955BRLG</v>
      </c>
      <c r="B32868" s="3" t="s">
        <v>95</v>
      </c>
      <c r="C32868" s="6">
        <v>53979</v>
      </c>
      <c r="D32868" s="7">
        <v>0.95</v>
      </c>
      <c r="E32868" t="s">
        <v>98</v>
      </c>
    </row>
    <row r="32869" spans="1:5" x14ac:dyDescent="0.25">
      <c r="A32869" t="str">
        <f>HYPERLINK("https://www.773grp.com/globalSearch/1N5956BRLG/page-1", "1N5956BRLG")</f>
        <v>1N5956BRLG</v>
      </c>
      <c r="B32869" s="3" t="s">
        <v>95</v>
      </c>
      <c r="C32869" s="6">
        <v>759632</v>
      </c>
      <c r="D32869" s="7">
        <v>0.95</v>
      </c>
      <c r="E32869" t="s">
        <v>98</v>
      </c>
    </row>
    <row r="32870" spans="1:5" x14ac:dyDescent="0.25">
      <c r="A32870" t="str">
        <f>HYPERLINK("https://www.773grp.com/globalSearch/1N6300A/page-1", "1N6300A")</f>
        <v>1N6300A</v>
      </c>
      <c r="B32870" s="3" t="s">
        <v>95</v>
      </c>
      <c r="C32870" s="6">
        <v>36</v>
      </c>
      <c r="D32870" s="7">
        <v>0.95</v>
      </c>
      <c r="E32870" t="s">
        <v>96</v>
      </c>
    </row>
    <row r="32871" spans="1:5" x14ac:dyDescent="0.25">
      <c r="A32871" t="str">
        <f>HYPERLINK("https://www.773grp.com/globalSearch/1N6303ARL4G/page-1", "1N6303ARL4G")</f>
        <v>1N6303ARL4G</v>
      </c>
      <c r="B32871" s="3" t="s">
        <v>95</v>
      </c>
      <c r="C32871" s="6">
        <v>10500</v>
      </c>
      <c r="D32871" s="7">
        <v>0.95</v>
      </c>
      <c r="E32871" t="s">
        <v>96</v>
      </c>
    </row>
    <row r="32872" spans="1:5" x14ac:dyDescent="0.25">
      <c r="A32872" t="str">
        <f>HYPERLINK("https://www.773grp.com/globalSearch/2N6387/page-1", "2N6387")</f>
        <v>2N6387</v>
      </c>
      <c r="B32872" s="3" t="s">
        <v>95</v>
      </c>
      <c r="C32872" s="6">
        <v>2572</v>
      </c>
      <c r="D32872" s="7">
        <v>0.95</v>
      </c>
      <c r="E32872" t="s">
        <v>59</v>
      </c>
    </row>
    <row r="32873" spans="1:5" x14ac:dyDescent="0.25">
      <c r="A32873" t="str">
        <f>HYPERLINK("https://www.773grp.com/globalSearch/2N6491/page-1", "2N6491")</f>
        <v>2N6491</v>
      </c>
      <c r="B32873" s="3" t="s">
        <v>95</v>
      </c>
      <c r="C32873" s="6">
        <v>24866</v>
      </c>
      <c r="D32873" s="7">
        <v>0.95</v>
      </c>
      <c r="E32873" t="s">
        <v>59</v>
      </c>
    </row>
    <row r="32874" spans="1:5" x14ac:dyDescent="0.25">
      <c r="A32874" t="str">
        <f>HYPERLINK("https://www.773grp.com/globalSearch/2SC4489S-AN/page-1", "2SC4489S-AN")</f>
        <v>2SC4489S-AN</v>
      </c>
      <c r="B32874" s="3" t="s">
        <v>95</v>
      </c>
      <c r="C32874" s="6">
        <v>9300</v>
      </c>
      <c r="D32874" s="7">
        <v>0.95</v>
      </c>
    </row>
    <row r="32875" spans="1:5" x14ac:dyDescent="0.25">
      <c r="A32875" t="str">
        <f>HYPERLINK("https://www.773grp.com/globalSearch/3EZ13D5RLG/page-1", "3EZ13D5RLG")</f>
        <v>3EZ13D5RLG</v>
      </c>
      <c r="B32875" s="3" t="s">
        <v>95</v>
      </c>
      <c r="C32875" s="6">
        <v>51000</v>
      </c>
      <c r="D32875" s="7">
        <v>0.95</v>
      </c>
    </row>
    <row r="32876" spans="1:5" x14ac:dyDescent="0.25">
      <c r="A32876" t="str">
        <f>HYPERLINK("https://www.773grp.com/globalSearch/3EZ16D5RLG/page-1", "3EZ16D5RLG")</f>
        <v>3EZ16D5RLG</v>
      </c>
      <c r="B32876" s="3" t="s">
        <v>95</v>
      </c>
      <c r="C32876" s="6">
        <v>6000</v>
      </c>
      <c r="D32876" s="7">
        <v>0.95</v>
      </c>
    </row>
    <row r="32877" spans="1:5" x14ac:dyDescent="0.25">
      <c r="A32877" t="str">
        <f>HYPERLINK("https://www.773grp.com/globalSearch/3EZ18D5RLG/page-1", "3EZ18D5RLG")</f>
        <v>3EZ18D5RLG</v>
      </c>
      <c r="B32877" s="3" t="s">
        <v>95</v>
      </c>
      <c r="C32877" s="6">
        <v>832</v>
      </c>
      <c r="D32877" s="7">
        <v>0.95</v>
      </c>
      <c r="E32877" t="s">
        <v>98</v>
      </c>
    </row>
    <row r="32878" spans="1:5" x14ac:dyDescent="0.25">
      <c r="A32878" t="str">
        <f>HYPERLINK("https://www.773grp.com/globalSearch/3EZ6.2D5RLG/page-1", "3EZ6.2D5RLG")</f>
        <v>3EZ6.2D5RLG</v>
      </c>
      <c r="B32878" s="3" t="s">
        <v>95</v>
      </c>
      <c r="C32878" s="6">
        <v>8698</v>
      </c>
      <c r="D32878" s="7">
        <v>0.95</v>
      </c>
      <c r="E32878" t="s">
        <v>98</v>
      </c>
    </row>
    <row r="32879" spans="1:5" x14ac:dyDescent="0.25">
      <c r="A32879" t="str">
        <f>HYPERLINK("https://www.773grp.com/globalSearch/BCP53-10T1/page-1", "BCP53-10T1")</f>
        <v>BCP53-10T1</v>
      </c>
      <c r="B32879" s="3" t="s">
        <v>95</v>
      </c>
      <c r="C32879" s="6">
        <v>46000</v>
      </c>
      <c r="D32879" s="7">
        <v>0.95</v>
      </c>
      <c r="E32879" t="s">
        <v>59</v>
      </c>
    </row>
    <row r="32880" spans="1:5" x14ac:dyDescent="0.25">
      <c r="A32880" t="str">
        <f>HYPERLINK("https://www.773grp.com/globalSearch/BCP53-16T3/page-1", "BCP53-16T3")</f>
        <v>BCP53-16T3</v>
      </c>
      <c r="B32880" s="3" t="s">
        <v>95</v>
      </c>
      <c r="C32880" s="6">
        <v>52000</v>
      </c>
      <c r="D32880" s="7">
        <v>0.95</v>
      </c>
      <c r="E32880" t="s">
        <v>59</v>
      </c>
    </row>
    <row r="32881" spans="1:5" x14ac:dyDescent="0.25">
      <c r="A32881" t="str">
        <f>HYPERLINK("https://www.773grp.com/globalSearch/BCP53T1/page-1", "BCP53T1")</f>
        <v>BCP53T1</v>
      </c>
      <c r="B32881" s="3" t="s">
        <v>95</v>
      </c>
      <c r="C32881" s="6">
        <v>97000</v>
      </c>
      <c r="D32881" s="7">
        <v>0.95</v>
      </c>
    </row>
    <row r="32882" spans="1:5" x14ac:dyDescent="0.25">
      <c r="A32882" t="str">
        <f>HYPERLINK("https://www.773grp.com/globalSearch/BCP56T1/page-1", "BCP56T1")</f>
        <v>BCP56T1</v>
      </c>
      <c r="B32882" s="3" t="s">
        <v>95</v>
      </c>
      <c r="C32882" s="6">
        <v>25000</v>
      </c>
      <c r="D32882" s="7">
        <v>0.95</v>
      </c>
    </row>
    <row r="32883" spans="1:5" x14ac:dyDescent="0.25">
      <c r="A32883" t="str">
        <f>HYPERLINK("https://www.773grp.com/globalSearch/BCP68T1G/page-1", "BCP68T1G")</f>
        <v>BCP68T1G</v>
      </c>
      <c r="B32883" s="3" t="s">
        <v>95</v>
      </c>
      <c r="C32883" s="6">
        <v>804466</v>
      </c>
      <c r="D32883" s="7">
        <v>0.95</v>
      </c>
      <c r="E32883" t="s">
        <v>59</v>
      </c>
    </row>
    <row r="32884" spans="1:5" x14ac:dyDescent="0.25">
      <c r="A32884" t="str">
        <f>HYPERLINK("https://www.773grp.com/globalSearch/BD135G/page-1", "BD135G")</f>
        <v>BD135G</v>
      </c>
      <c r="B32884" s="3" t="s">
        <v>95</v>
      </c>
      <c r="C32884" s="6">
        <v>59500</v>
      </c>
      <c r="D32884" s="7">
        <v>0.95</v>
      </c>
      <c r="E32884" t="s">
        <v>59</v>
      </c>
    </row>
    <row r="32885" spans="1:5" x14ac:dyDescent="0.25">
      <c r="A32885" t="str">
        <f>HYPERLINK("https://www.773grp.com/globalSearch/BD136G/page-1", "BD136G")</f>
        <v>BD136G</v>
      </c>
      <c r="B32885" s="3" t="s">
        <v>95</v>
      </c>
      <c r="C32885" s="6">
        <v>2352</v>
      </c>
      <c r="D32885" s="7">
        <v>0.95</v>
      </c>
      <c r="E32885" t="s">
        <v>59</v>
      </c>
    </row>
    <row r="32886" spans="1:5" x14ac:dyDescent="0.25">
      <c r="A32886" t="str">
        <f>HYPERLINK("https://www.773grp.com/globalSearch/BD137G/page-1", "BD137G")</f>
        <v>BD137G</v>
      </c>
      <c r="B32886" s="3" t="s">
        <v>95</v>
      </c>
      <c r="C32886" s="6">
        <v>477</v>
      </c>
      <c r="D32886" s="7">
        <v>0.95</v>
      </c>
      <c r="E32886" t="s">
        <v>59</v>
      </c>
    </row>
    <row r="32887" spans="1:5" x14ac:dyDescent="0.25">
      <c r="A32887" t="str">
        <f>HYPERLINK("https://www.773grp.com/globalSearch/BD138G/page-1", "BD138G")</f>
        <v>BD138G</v>
      </c>
      <c r="B32887" s="3" t="s">
        <v>95</v>
      </c>
      <c r="C32887" s="6">
        <v>3000</v>
      </c>
      <c r="D32887" s="7">
        <v>0.95</v>
      </c>
      <c r="E32887" t="s">
        <v>59</v>
      </c>
    </row>
    <row r="32888" spans="1:5" x14ac:dyDescent="0.25">
      <c r="A32888" t="str">
        <f>HYPERLINK("https://www.773grp.com/globalSearch/BD139G/page-1", "BD139G")</f>
        <v>BD139G</v>
      </c>
      <c r="B32888" s="3" t="s">
        <v>95</v>
      </c>
      <c r="C32888" s="6">
        <v>6500</v>
      </c>
      <c r="D32888" s="7">
        <v>0.95</v>
      </c>
      <c r="E32888" t="s">
        <v>59</v>
      </c>
    </row>
    <row r="32889" spans="1:5" x14ac:dyDescent="0.25">
      <c r="A32889" t="str">
        <f>HYPERLINK("https://www.773grp.com/globalSearch/BD140G/page-1", "BD140G")</f>
        <v>BD140G</v>
      </c>
      <c r="B32889" s="3" t="s">
        <v>95</v>
      </c>
      <c r="C32889" s="6">
        <v>6000</v>
      </c>
      <c r="D32889" s="7">
        <v>0.95</v>
      </c>
      <c r="E32889" t="s">
        <v>59</v>
      </c>
    </row>
    <row r="32890" spans="1:5" x14ac:dyDescent="0.25">
      <c r="A32890" t="str">
        <f>HYPERLINK("https://www.773grp.com/globalSearch/BD787G/page-1", "BD787G")</f>
        <v>BD787G</v>
      </c>
      <c r="B32890" s="3" t="s">
        <v>95</v>
      </c>
      <c r="C32890" s="6">
        <v>901</v>
      </c>
      <c r="D32890" s="7">
        <v>0.95</v>
      </c>
    </row>
    <row r="32891" spans="1:5" x14ac:dyDescent="0.25">
      <c r="A32891" t="str">
        <f>HYPERLINK("https://www.773grp.com/globalSearch/BD788G/page-1", "BD788G")</f>
        <v>BD788G</v>
      </c>
      <c r="B32891" s="3" t="s">
        <v>95</v>
      </c>
      <c r="C32891" s="6">
        <v>1000</v>
      </c>
      <c r="D32891" s="7">
        <v>0.95</v>
      </c>
      <c r="E32891" t="s">
        <v>59</v>
      </c>
    </row>
    <row r="32892" spans="1:5" x14ac:dyDescent="0.25">
      <c r="A32892" t="str">
        <f>HYPERLINK("https://www.773grp.com/globalSearch/BD810/page-1", "BD810")</f>
        <v>BD810</v>
      </c>
      <c r="B32892" s="3" t="s">
        <v>95</v>
      </c>
      <c r="C32892" s="6">
        <v>1927</v>
      </c>
      <c r="D32892" s="7">
        <v>0.95</v>
      </c>
      <c r="E32892" t="s">
        <v>59</v>
      </c>
    </row>
    <row r="32893" spans="1:5" x14ac:dyDescent="0.25">
      <c r="A32893" t="str">
        <f>HYPERLINK("https://www.773grp.com/globalSearch/CAT24C02ZE-GT3A/page-1", "CAT24C02ZE-GT3A")</f>
        <v>CAT24C02ZE-GT3A</v>
      </c>
      <c r="B32893" s="3" t="s">
        <v>95</v>
      </c>
      <c r="C32893" s="6">
        <v>32761</v>
      </c>
      <c r="D32893" s="7">
        <v>0.95</v>
      </c>
      <c r="E32893" t="s">
        <v>64</v>
      </c>
    </row>
    <row r="32894" spans="1:5" x14ac:dyDescent="0.25">
      <c r="A32894" t="str">
        <f>HYPERLINK("https://www.773grp.com/globalSearch/CAT24C03VP2I-GT3/page-1", "CAT24C03VP2I-GT3")</f>
        <v>CAT24C03VP2I-GT3</v>
      </c>
      <c r="B32894" s="3" t="s">
        <v>95</v>
      </c>
      <c r="C32894" s="6">
        <v>21000</v>
      </c>
      <c r="D32894" s="7">
        <v>0.95</v>
      </c>
      <c r="E32894" t="s">
        <v>64</v>
      </c>
    </row>
    <row r="32895" spans="1:5" x14ac:dyDescent="0.25">
      <c r="A32895" t="str">
        <f>HYPERLINK("https://www.773grp.com/globalSearch/CAT24C64WI-GT3/page-1", "CAT24C64WI-GT3")</f>
        <v>CAT24C64WI-GT3</v>
      </c>
      <c r="B32895" s="3" t="s">
        <v>95</v>
      </c>
      <c r="C32895" s="6">
        <v>261000</v>
      </c>
      <c r="D32895" s="7">
        <v>0.95</v>
      </c>
    </row>
    <row r="32896" spans="1:5" x14ac:dyDescent="0.25">
      <c r="A32896" t="str">
        <f>HYPERLINK("https://www.773grp.com/globalSearch/CAT24C64YI-GT3/page-1", "CAT24C64YI-GT3")</f>
        <v>CAT24C64YI-GT3</v>
      </c>
      <c r="B32896" s="3" t="s">
        <v>95</v>
      </c>
      <c r="C32896" s="6">
        <v>1086010</v>
      </c>
      <c r="D32896" s="7">
        <v>0.95</v>
      </c>
    </row>
    <row r="32897" spans="1:5" x14ac:dyDescent="0.25">
      <c r="A32897" t="str">
        <f>HYPERLINK("https://www.773grp.com/globalSearch/CAT25010LI-G/page-1", "CAT25010LI-G")</f>
        <v>CAT25010LI-G</v>
      </c>
      <c r="B32897" s="3" t="s">
        <v>95</v>
      </c>
      <c r="C32897" s="6">
        <v>1650</v>
      </c>
      <c r="D32897" s="7">
        <v>0.95</v>
      </c>
      <c r="E32897" t="s">
        <v>64</v>
      </c>
    </row>
    <row r="32898" spans="1:5" x14ac:dyDescent="0.25">
      <c r="A32898" t="str">
        <f>HYPERLINK("https://www.773grp.com/globalSearch/CAT25010VE-G/page-1", "CAT25010VE-G")</f>
        <v>CAT25010VE-G</v>
      </c>
      <c r="B32898" s="3" t="s">
        <v>95</v>
      </c>
      <c r="C32898" s="6">
        <v>1100</v>
      </c>
      <c r="D32898" s="7">
        <v>0.95</v>
      </c>
    </row>
    <row r="32899" spans="1:5" x14ac:dyDescent="0.25">
      <c r="A32899" t="str">
        <f>HYPERLINK("https://www.773grp.com/globalSearch/CAT25010VE-GT3/page-1", "CAT25010VE-GT3")</f>
        <v>CAT25010VE-GT3</v>
      </c>
      <c r="B32899" s="3" t="s">
        <v>95</v>
      </c>
      <c r="C32899" s="6">
        <v>15000</v>
      </c>
      <c r="D32899" s="7">
        <v>0.95</v>
      </c>
      <c r="E32899" t="s">
        <v>64</v>
      </c>
    </row>
    <row r="32900" spans="1:5" x14ac:dyDescent="0.25">
      <c r="A32900" t="str">
        <f>HYPERLINK("https://www.773grp.com/globalSearch/CAT25080LI-G/page-1", "CAT25080LI-G")</f>
        <v>CAT25080LI-G</v>
      </c>
      <c r="B32900" s="3" t="s">
        <v>95</v>
      </c>
      <c r="C32900" s="6">
        <v>12800</v>
      </c>
      <c r="D32900" s="7">
        <v>0.95</v>
      </c>
      <c r="E32900" t="s">
        <v>64</v>
      </c>
    </row>
    <row r="32901" spans="1:5" x14ac:dyDescent="0.25">
      <c r="A32901" t="str">
        <f>HYPERLINK("https://www.773grp.com/globalSearch/CAT25080YI-G/page-1", "CAT25080YI-G")</f>
        <v>CAT25080YI-G</v>
      </c>
      <c r="B32901" s="3" t="s">
        <v>95</v>
      </c>
      <c r="C32901" s="6">
        <v>5900</v>
      </c>
      <c r="D32901" s="7">
        <v>0.95</v>
      </c>
    </row>
    <row r="32902" spans="1:5" x14ac:dyDescent="0.25">
      <c r="A32902" t="str">
        <f>HYPERLINK("https://www.773grp.com/globalSearch/CAT34C02YI-G/page-1", "CAT34C02YI-G")</f>
        <v>CAT34C02YI-G</v>
      </c>
      <c r="B32902" s="3" t="s">
        <v>95</v>
      </c>
      <c r="C32902" s="6">
        <v>36100</v>
      </c>
      <c r="D32902" s="7">
        <v>0.95</v>
      </c>
    </row>
    <row r="32903" spans="1:5" x14ac:dyDescent="0.25">
      <c r="A32903" t="str">
        <f>HYPERLINK("https://www.773grp.com/globalSearch/CAT34C02YI-GT5/page-1", "CAT34C02YI-GT5")</f>
        <v>CAT34C02YI-GT5</v>
      </c>
      <c r="B32903" s="3" t="s">
        <v>95</v>
      </c>
      <c r="C32903" s="6">
        <v>15000</v>
      </c>
      <c r="D32903" s="7">
        <v>0.95</v>
      </c>
      <c r="E32903" t="s">
        <v>64</v>
      </c>
    </row>
    <row r="32904" spans="1:5" x14ac:dyDescent="0.25">
      <c r="A32904" t="str">
        <f>HYPERLINK("https://www.773grp.com/globalSearch/CAT34C02YI-GT5/page-1", "CAT34C02YI-GT5")</f>
        <v>CAT34C02YI-GT5</v>
      </c>
      <c r="B32904" s="3" t="s">
        <v>95</v>
      </c>
      <c r="C32904" s="6">
        <v>140000</v>
      </c>
      <c r="D32904" s="7">
        <v>0.95</v>
      </c>
      <c r="E32904" t="s">
        <v>64</v>
      </c>
    </row>
    <row r="32905" spans="1:5" x14ac:dyDescent="0.25">
      <c r="A32905" t="str">
        <f>HYPERLINK("https://www.773grp.com/globalSearch/CAT810LSDI-GT3/page-1", "CAT810LSDI-GT3")</f>
        <v>CAT810LSDI-GT3</v>
      </c>
      <c r="B32905" s="3" t="s">
        <v>95</v>
      </c>
      <c r="C32905" s="6">
        <v>3000</v>
      </c>
      <c r="D32905" s="7">
        <v>0.95</v>
      </c>
    </row>
    <row r="32906" spans="1:5" x14ac:dyDescent="0.25">
      <c r="A32906" t="str">
        <f>HYPERLINK("https://www.773grp.com/globalSearch/CAT810LTBI-GT3/page-1", "CAT810LTBI-GT3")</f>
        <v>CAT810LTBI-GT3</v>
      </c>
      <c r="B32906" s="3" t="s">
        <v>95</v>
      </c>
      <c r="C32906" s="6">
        <v>3000</v>
      </c>
      <c r="D32906" s="7">
        <v>0.95</v>
      </c>
      <c r="E32906" t="s">
        <v>30</v>
      </c>
    </row>
    <row r="32907" spans="1:5" x14ac:dyDescent="0.25">
      <c r="A32907" t="str">
        <f>HYPERLINK("https://www.773grp.com/globalSearch/CAT810MSDI-GT3/page-1", "CAT810MSDI-GT3")</f>
        <v>CAT810MSDI-GT3</v>
      </c>
      <c r="B32907" s="3" t="s">
        <v>95</v>
      </c>
      <c r="C32907" s="6">
        <v>27000</v>
      </c>
      <c r="D32907" s="7">
        <v>0.95</v>
      </c>
    </row>
    <row r="32908" spans="1:5" x14ac:dyDescent="0.25">
      <c r="A32908" t="str">
        <f>HYPERLINK("https://www.773grp.com/globalSearch/CAT810RSDI-GT3/page-1", "CAT810RSDI-GT3")</f>
        <v>CAT810RSDI-GT3</v>
      </c>
      <c r="B32908" s="3" t="s">
        <v>95</v>
      </c>
      <c r="C32908" s="6">
        <v>21000</v>
      </c>
      <c r="D32908" s="7">
        <v>0.95</v>
      </c>
    </row>
    <row r="32909" spans="1:5" x14ac:dyDescent="0.25">
      <c r="A32909" t="str">
        <f>HYPERLINK("https://www.773grp.com/globalSearch/CAT810ZSDI-GT3/page-1", "CAT810ZSDI-GT3")</f>
        <v>CAT810ZSDI-GT3</v>
      </c>
      <c r="B32909" s="3" t="s">
        <v>95</v>
      </c>
      <c r="C32909" s="6">
        <v>36000</v>
      </c>
      <c r="D32909" s="7">
        <v>0.95</v>
      </c>
      <c r="E32909" t="s">
        <v>30</v>
      </c>
    </row>
    <row r="32910" spans="1:5" x14ac:dyDescent="0.25">
      <c r="A32910" t="str">
        <f>HYPERLINK("https://www.773grp.com/globalSearch/CAT8801MSD-GT3/page-1", "CAT8801MSD-GT3")</f>
        <v>CAT8801MSD-GT3</v>
      </c>
      <c r="B32910" s="3" t="s">
        <v>95</v>
      </c>
      <c r="C32910" s="6">
        <v>15000</v>
      </c>
      <c r="D32910" s="7">
        <v>0.95</v>
      </c>
    </row>
    <row r="32911" spans="1:5" x14ac:dyDescent="0.25">
      <c r="A32911" t="str">
        <f>HYPERLINK("https://www.773grp.com/globalSearch/CAT8801RTB-GT3/page-1", "CAT8801RTB-GT3")</f>
        <v>CAT8801RTB-GT3</v>
      </c>
      <c r="B32911" s="3" t="s">
        <v>95</v>
      </c>
      <c r="C32911" s="6">
        <v>3000</v>
      </c>
      <c r="D32911" s="7">
        <v>0.95</v>
      </c>
      <c r="E32911" t="s">
        <v>30</v>
      </c>
    </row>
    <row r="32912" spans="1:5" x14ac:dyDescent="0.25">
      <c r="A32912" t="str">
        <f>HYPERLINK("https://www.773grp.com/globalSearch/CAT8801STB-GT3/page-1", "CAT8801STB-GT3")</f>
        <v>CAT8801STB-GT3</v>
      </c>
      <c r="B32912" s="3" t="s">
        <v>95</v>
      </c>
      <c r="C32912" s="6">
        <v>3000</v>
      </c>
      <c r="D32912" s="7">
        <v>0.95</v>
      </c>
      <c r="E32912" t="s">
        <v>30</v>
      </c>
    </row>
    <row r="32913" spans="1:5" x14ac:dyDescent="0.25">
      <c r="A32913" t="str">
        <f>HYPERLINK("https://www.773grp.com/globalSearch/CAT8801YSD-GT3/page-1", "CAT8801YSD-GT3")</f>
        <v>CAT8801YSD-GT3</v>
      </c>
      <c r="B32913" s="3" t="s">
        <v>95</v>
      </c>
      <c r="C32913" s="6">
        <v>18000</v>
      </c>
      <c r="D32913" s="7">
        <v>0.95</v>
      </c>
    </row>
    <row r="32914" spans="1:5" x14ac:dyDescent="0.25">
      <c r="A32914" t="str">
        <f>HYPERLINK("https://www.773grp.com/globalSearch/CAT8801YTB-GT3/page-1", "CAT8801YTB-GT3")</f>
        <v>CAT8801YTB-GT3</v>
      </c>
      <c r="B32914" s="3" t="s">
        <v>95</v>
      </c>
      <c r="C32914" s="6">
        <v>3000</v>
      </c>
      <c r="D32914" s="7">
        <v>0.95</v>
      </c>
    </row>
    <row r="32915" spans="1:5" x14ac:dyDescent="0.25">
      <c r="A32915" t="str">
        <f>HYPERLINK("https://www.773grp.com/globalSearch/CAT93C46RLI-G/page-1", "CAT93C46RLI-G")</f>
        <v>CAT93C46RLI-G</v>
      </c>
      <c r="B32915" s="3" t="s">
        <v>95</v>
      </c>
      <c r="C32915" s="6">
        <v>36950</v>
      </c>
      <c r="D32915" s="7">
        <v>0.95</v>
      </c>
      <c r="E32915" t="s">
        <v>64</v>
      </c>
    </row>
    <row r="32916" spans="1:5" x14ac:dyDescent="0.25">
      <c r="A32916" t="str">
        <f>HYPERLINK("https://www.773grp.com/globalSearch/CAT93C66VI-G/page-1", "CAT93C66VI-G")</f>
        <v>CAT93C66VI-G</v>
      </c>
      <c r="B32916" s="3" t="s">
        <v>95</v>
      </c>
      <c r="C32916" s="6">
        <v>3721</v>
      </c>
      <c r="D32916" s="7">
        <v>0.95</v>
      </c>
    </row>
    <row r="32917" spans="1:5" x14ac:dyDescent="0.25">
      <c r="A32917" t="str">
        <f>HYPERLINK("https://www.773grp.com/globalSearch/CM1418-02CP/page-1", "CM1418-02CP")</f>
        <v>CM1418-02CP</v>
      </c>
      <c r="B32917" s="3" t="s">
        <v>95</v>
      </c>
      <c r="C32917" s="6">
        <v>45500</v>
      </c>
      <c r="D32917" s="7">
        <v>0.95</v>
      </c>
      <c r="E32917" t="s">
        <v>100</v>
      </c>
    </row>
    <row r="32918" spans="1:5" x14ac:dyDescent="0.25">
      <c r="A32918" t="str">
        <f>HYPERLINK("https://www.773grp.com/globalSearch/CM1419-02CP/page-1", "CM1419-02CP")</f>
        <v>CM1419-02CP</v>
      </c>
      <c r="B32918" s="3" t="s">
        <v>95</v>
      </c>
      <c r="C32918" s="6">
        <v>280000</v>
      </c>
      <c r="D32918" s="7">
        <v>0.95</v>
      </c>
      <c r="E32918" t="s">
        <v>100</v>
      </c>
    </row>
    <row r="32919" spans="1:5" x14ac:dyDescent="0.25">
      <c r="A32919" t="str">
        <f>HYPERLINK("https://www.773grp.com/globalSearch/CM1426-08CP/page-1", "CM1426-08CP")</f>
        <v>CM1426-08CP</v>
      </c>
      <c r="B32919" s="3" t="s">
        <v>95</v>
      </c>
      <c r="C32919" s="6">
        <v>105000</v>
      </c>
      <c r="D32919" s="7">
        <v>0.95</v>
      </c>
      <c r="E32919" t="s">
        <v>100</v>
      </c>
    </row>
    <row r="32920" spans="1:5" x14ac:dyDescent="0.25">
      <c r="A32920" t="str">
        <f>HYPERLINK("https://www.773grp.com/globalSearch/CM1431-04DE/page-1", "CM1431-04DE")</f>
        <v>CM1431-04DE</v>
      </c>
      <c r="B32920" s="3" t="s">
        <v>95</v>
      </c>
      <c r="C32920" s="6">
        <v>317500</v>
      </c>
      <c r="D32920" s="7">
        <v>0.95</v>
      </c>
      <c r="E32920" t="s">
        <v>100</v>
      </c>
    </row>
    <row r="32921" spans="1:5" x14ac:dyDescent="0.25">
      <c r="A32921" t="str">
        <f>HYPERLINK("https://www.773grp.com/globalSearch/CM1431-08DE/page-1", "CM1431-08DE")</f>
        <v>CM1431-08DE</v>
      </c>
      <c r="B32921" s="3" t="s">
        <v>95</v>
      </c>
      <c r="C32921" s="6">
        <v>351000</v>
      </c>
      <c r="D32921" s="7">
        <v>0.95</v>
      </c>
      <c r="E32921" t="s">
        <v>100</v>
      </c>
    </row>
    <row r="32922" spans="1:5" x14ac:dyDescent="0.25">
      <c r="A32922" t="str">
        <f>HYPERLINK("https://www.773grp.com/globalSearch/CM1442-08CP/page-1", "CM1442-08CP")</f>
        <v>CM1442-08CP</v>
      </c>
      <c r="B32922" s="3" t="s">
        <v>95</v>
      </c>
      <c r="C32922" s="6">
        <v>313140</v>
      </c>
      <c r="D32922" s="7">
        <v>0.95</v>
      </c>
      <c r="E32922" t="s">
        <v>100</v>
      </c>
    </row>
    <row r="32923" spans="1:5" x14ac:dyDescent="0.25">
      <c r="A32923" t="str">
        <f>HYPERLINK("https://www.773grp.com/globalSearch/CM1443-08CP/page-1", "CM1443-08CP")</f>
        <v>CM1443-08CP</v>
      </c>
      <c r="B32923" s="3" t="s">
        <v>95</v>
      </c>
      <c r="C32923" s="6">
        <v>24500</v>
      </c>
      <c r="D32923" s="7">
        <v>0.95</v>
      </c>
      <c r="E32923" t="s">
        <v>100</v>
      </c>
    </row>
    <row r="32924" spans="1:5" x14ac:dyDescent="0.25">
      <c r="A32924" t="str">
        <f>HYPERLINK("https://www.773grp.com/globalSearch/CM1690-08DE/page-1", "CM1690-08DE")</f>
        <v>CM1690-08DE</v>
      </c>
      <c r="B32924" s="3" t="s">
        <v>95</v>
      </c>
      <c r="C32924" s="6">
        <v>551970</v>
      </c>
      <c r="D32924" s="7">
        <v>0.95</v>
      </c>
      <c r="E32924" t="s">
        <v>100</v>
      </c>
    </row>
    <row r="32925" spans="1:5" x14ac:dyDescent="0.25">
      <c r="A32925" t="str">
        <f>HYPERLINK("https://www.773grp.com/globalSearch/CM1693-08DE/page-1", "CM1693-08DE")</f>
        <v>CM1693-08DE</v>
      </c>
      <c r="B32925" s="3" t="s">
        <v>95</v>
      </c>
      <c r="C32925" s="6">
        <v>27000</v>
      </c>
      <c r="D32925" s="7">
        <v>0.95</v>
      </c>
    </row>
    <row r="32926" spans="1:5" x14ac:dyDescent="0.25">
      <c r="A32926" t="str">
        <f>HYPERLINK("https://www.773grp.com/globalSearch/D45C12/page-1", "D45C12")</f>
        <v>D45C12</v>
      </c>
      <c r="B32926" s="3" t="s">
        <v>95</v>
      </c>
      <c r="C32926" s="6">
        <v>4600</v>
      </c>
      <c r="D32926" s="7">
        <v>0.95</v>
      </c>
      <c r="E32926" t="s">
        <v>59</v>
      </c>
    </row>
    <row r="32927" spans="1:5" x14ac:dyDescent="0.25">
      <c r="A32927" t="str">
        <f>HYPERLINK("https://www.773grp.com/globalSearch/ESD7L5.0DT5G/page-1", "ESD7L5.0DT5G")</f>
        <v>ESD7L5.0DT5G</v>
      </c>
      <c r="B32927" s="3" t="s">
        <v>95</v>
      </c>
      <c r="C32927" s="6">
        <v>318694</v>
      </c>
      <c r="D32927" s="7">
        <v>0.95</v>
      </c>
      <c r="E32927" t="s">
        <v>96</v>
      </c>
    </row>
    <row r="32928" spans="1:5" x14ac:dyDescent="0.25">
      <c r="A32928" t="str">
        <f>HYPERLINK("https://www.773grp.com/globalSearch/J112G/page-1", "J112G")</f>
        <v>J112G</v>
      </c>
      <c r="B32928" s="3" t="s">
        <v>95</v>
      </c>
      <c r="C32928" s="6">
        <v>2012</v>
      </c>
      <c r="D32928" s="7">
        <v>0.95</v>
      </c>
      <c r="E32928" t="s">
        <v>106</v>
      </c>
    </row>
    <row r="32929" spans="1:5" x14ac:dyDescent="0.25">
      <c r="A32929" t="str">
        <f>HYPERLINK("https://www.773grp.com/globalSearch/J112RLRAG/page-1", "J112RLRAG")</f>
        <v>J112RLRAG</v>
      </c>
      <c r="B32929" s="3" t="s">
        <v>95</v>
      </c>
      <c r="C32929" s="6">
        <v>8000</v>
      </c>
      <c r="D32929" s="7">
        <v>0.95</v>
      </c>
    </row>
    <row r="32930" spans="1:5" x14ac:dyDescent="0.25">
      <c r="A32930" t="str">
        <f>HYPERLINK("https://www.773grp.com/globalSearch/J310G/page-1", "J310G")</f>
        <v>J310G</v>
      </c>
      <c r="B32930" s="3" t="s">
        <v>95</v>
      </c>
      <c r="C32930" s="6">
        <v>20000</v>
      </c>
      <c r="D32930" s="7">
        <v>0.95</v>
      </c>
      <c r="E32930" t="s">
        <v>104</v>
      </c>
    </row>
    <row r="32931" spans="1:5" x14ac:dyDescent="0.25">
      <c r="A32931" t="str">
        <f>HYPERLINK("https://www.773grp.com/globalSearch/LF411CD/page-1", "LF411CD")</f>
        <v>LF411CD</v>
      </c>
      <c r="B32931" s="3" t="s">
        <v>95</v>
      </c>
      <c r="C32931" s="6">
        <v>41</v>
      </c>
      <c r="D32931" s="7">
        <v>0.95</v>
      </c>
      <c r="E32931" t="s">
        <v>13</v>
      </c>
    </row>
    <row r="32932" spans="1:5" x14ac:dyDescent="0.25">
      <c r="A32932" t="str">
        <f>HYPERLINK("https://www.773grp.com/globalSearch/LM239DTBR2G/page-1", "LM239DTBR2G")</f>
        <v>LM239DTBR2G</v>
      </c>
      <c r="B32932" s="3" t="s">
        <v>95</v>
      </c>
      <c r="C32932" s="6">
        <v>44950</v>
      </c>
      <c r="D32932" s="7">
        <v>0.95</v>
      </c>
      <c r="E32932" t="s">
        <v>9</v>
      </c>
    </row>
    <row r="32933" spans="1:5" x14ac:dyDescent="0.25">
      <c r="A32933" t="str">
        <f>HYPERLINK("https://www.773grp.com/globalSearch/LM2901VDG/page-1", "LM2901VDG")</f>
        <v>LM2901VDG</v>
      </c>
      <c r="B32933" s="3" t="s">
        <v>95</v>
      </c>
      <c r="C32933" s="6">
        <v>5040</v>
      </c>
      <c r="D32933" s="7">
        <v>0.95</v>
      </c>
      <c r="E32933" t="s">
        <v>9</v>
      </c>
    </row>
    <row r="32934" spans="1:5" x14ac:dyDescent="0.25">
      <c r="A32934" t="str">
        <f>HYPERLINK("https://www.773grp.com/globalSearch/LM2901VDR2G/page-1", "LM2901VDR2G")</f>
        <v>LM2901VDR2G</v>
      </c>
      <c r="B32934" s="3" t="s">
        <v>95</v>
      </c>
      <c r="C32934" s="6">
        <v>21202</v>
      </c>
      <c r="D32934" s="7">
        <v>0.95</v>
      </c>
    </row>
    <row r="32935" spans="1:5" x14ac:dyDescent="0.25">
      <c r="A32935" t="str">
        <f>HYPERLINK("https://www.773grp.com/globalSearch/LM2902VDG/page-1", "LM2902VDG")</f>
        <v>LM2902VDG</v>
      </c>
      <c r="B32935" s="3" t="s">
        <v>95</v>
      </c>
      <c r="C32935" s="6">
        <v>9955</v>
      </c>
      <c r="D32935" s="7">
        <v>0.95</v>
      </c>
    </row>
    <row r="32936" spans="1:5" x14ac:dyDescent="0.25">
      <c r="A32936" t="str">
        <f>HYPERLINK("https://www.773grp.com/globalSearch/LM2902VDR2G/page-1", "LM2902VDR2G")</f>
        <v>LM2902VDR2G</v>
      </c>
      <c r="B32936" s="3" t="s">
        <v>95</v>
      </c>
      <c r="C32936" s="6">
        <v>48874</v>
      </c>
      <c r="D32936" s="7">
        <v>0.95</v>
      </c>
      <c r="E32936" t="s">
        <v>13</v>
      </c>
    </row>
    <row r="32937" spans="1:5" x14ac:dyDescent="0.25">
      <c r="A32937" t="str">
        <f>HYPERLINK("https://www.773grp.com/globalSearch/LM324ADG/page-1", "LM324ADG")</f>
        <v>LM324ADG</v>
      </c>
      <c r="B32937" s="3" t="s">
        <v>95</v>
      </c>
      <c r="C32937" s="6">
        <v>12215</v>
      </c>
      <c r="D32937" s="7">
        <v>0.95</v>
      </c>
      <c r="E32937" t="s">
        <v>13</v>
      </c>
    </row>
    <row r="32938" spans="1:5" x14ac:dyDescent="0.25">
      <c r="A32938" t="str">
        <f>HYPERLINK("https://www.773grp.com/globalSearch/LM324ADR2/page-1", "LM324ADR2")</f>
        <v>LM324ADR2</v>
      </c>
      <c r="B32938" s="3" t="s">
        <v>95</v>
      </c>
      <c r="C32938" s="6">
        <v>5289</v>
      </c>
      <c r="D32938" s="7">
        <v>0.95</v>
      </c>
    </row>
    <row r="32939" spans="1:5" x14ac:dyDescent="0.25">
      <c r="A32939" t="str">
        <f>HYPERLINK("https://www.773grp.com/globalSearch/LM324ADR2G/page-1", "LM324ADR2G")</f>
        <v>LM324ADR2G</v>
      </c>
      <c r="B32939" s="3" t="s">
        <v>95</v>
      </c>
      <c r="C32939" s="6">
        <v>107400</v>
      </c>
      <c r="D32939" s="7">
        <v>0.95</v>
      </c>
      <c r="E32939" t="s">
        <v>13</v>
      </c>
    </row>
    <row r="32940" spans="1:5" x14ac:dyDescent="0.25">
      <c r="A32940" t="str">
        <f>HYPERLINK("https://www.773grp.com/globalSearch/LM324ANG/page-1", "LM324ANG")</f>
        <v>LM324ANG</v>
      </c>
      <c r="B32940" s="3" t="s">
        <v>95</v>
      </c>
      <c r="C32940" s="6">
        <v>79623</v>
      </c>
      <c r="D32940" s="7">
        <v>0.95</v>
      </c>
      <c r="E32940" t="s">
        <v>13</v>
      </c>
    </row>
    <row r="32941" spans="1:5" x14ac:dyDescent="0.25">
      <c r="A32941" t="str">
        <f>HYPERLINK("https://www.773grp.com/globalSearch/LM348D/page-1", "LM348D")</f>
        <v>LM348D</v>
      </c>
      <c r="B32941" s="3" t="s">
        <v>95</v>
      </c>
      <c r="C32941" s="6">
        <v>25002</v>
      </c>
      <c r="D32941" s="7">
        <v>0.95</v>
      </c>
      <c r="E32941" t="s">
        <v>13</v>
      </c>
    </row>
    <row r="32942" spans="1:5" x14ac:dyDescent="0.25">
      <c r="A32942" t="str">
        <f>HYPERLINK("https://www.773grp.com/globalSearch/LM348DR2/page-1", "LM348DR2")</f>
        <v>LM348DR2</v>
      </c>
      <c r="B32942" s="3" t="s">
        <v>95</v>
      </c>
      <c r="C32942" s="6">
        <v>17500</v>
      </c>
      <c r="D32942" s="7">
        <v>0.95</v>
      </c>
      <c r="E32942" t="s">
        <v>13</v>
      </c>
    </row>
    <row r="32943" spans="1:5" x14ac:dyDescent="0.25">
      <c r="A32943" t="str">
        <f>HYPERLINK("https://www.773grp.com/globalSearch/LM385Z-2.5RA/page-1", "LM385Z-2.5RA")</f>
        <v>LM385Z-2.5RA</v>
      </c>
      <c r="B32943" s="3" t="s">
        <v>95</v>
      </c>
      <c r="C32943" s="6">
        <v>236</v>
      </c>
      <c r="D32943" s="7">
        <v>0.95</v>
      </c>
      <c r="E32943" t="s">
        <v>17</v>
      </c>
    </row>
    <row r="32944" spans="1:5" x14ac:dyDescent="0.25">
      <c r="A32944" t="str">
        <f>HYPERLINK("https://www.773grp.com/globalSearch/MAX708RCUA-T/page-1", "MAX708RCUA-T")</f>
        <v>MAX708RCUA-T</v>
      </c>
      <c r="B32944" s="3" t="s">
        <v>95</v>
      </c>
      <c r="C32944" s="6">
        <v>30629</v>
      </c>
      <c r="D32944" s="7">
        <v>0.95</v>
      </c>
      <c r="E32944" t="s">
        <v>30</v>
      </c>
    </row>
    <row r="32945" spans="1:5" x14ac:dyDescent="0.25">
      <c r="A32945" t="str">
        <f>HYPERLINK("https://www.773grp.com/globalSearch/MAX803SQ293D1T1G/page-1", "MAX803SQ293D1T1G")</f>
        <v>MAX803SQ293D1T1G</v>
      </c>
      <c r="B32945" s="3" t="s">
        <v>95</v>
      </c>
      <c r="C32945" s="6">
        <v>24000</v>
      </c>
      <c r="D32945" s="7">
        <v>0.95</v>
      </c>
    </row>
    <row r="32946" spans="1:5" x14ac:dyDescent="0.25">
      <c r="A32946" t="str">
        <f>HYPERLINK("https://www.773grp.com/globalSearch/MAX803SQ308D2T1G/page-1", "MAX803SQ308D2T1G")</f>
        <v>MAX803SQ308D2T1G</v>
      </c>
      <c r="B32946" s="3" t="s">
        <v>95</v>
      </c>
      <c r="C32946" s="6">
        <v>3000</v>
      </c>
      <c r="D32946" s="7">
        <v>0.95</v>
      </c>
    </row>
    <row r="32947" spans="1:5" x14ac:dyDescent="0.25">
      <c r="A32947" t="str">
        <f>HYPERLINK("https://www.773grp.com/globalSearch/MAX803SQ308T1G/page-1", "MAX803SQ308T1G")</f>
        <v>MAX803SQ308T1G</v>
      </c>
      <c r="B32947" s="3" t="s">
        <v>95</v>
      </c>
      <c r="C32947" s="6">
        <v>100</v>
      </c>
      <c r="D32947" s="7">
        <v>0.95</v>
      </c>
      <c r="E32947" t="s">
        <v>30</v>
      </c>
    </row>
    <row r="32948" spans="1:5" x14ac:dyDescent="0.25">
      <c r="A32948" t="str">
        <f>HYPERLINK("https://www.773grp.com/globalSearch/MAX803SQ463T1G/page-1", "MAX803SQ463T1G")</f>
        <v>MAX803SQ463T1G</v>
      </c>
      <c r="B32948" s="3" t="s">
        <v>95</v>
      </c>
      <c r="C32948" s="6">
        <v>6000</v>
      </c>
      <c r="D32948" s="7">
        <v>0.95</v>
      </c>
    </row>
    <row r="32949" spans="1:5" x14ac:dyDescent="0.25">
      <c r="A32949" t="str">
        <f>HYPERLINK("https://www.773grp.com/globalSearch/MAX809LTRG/page-1", "MAX809LTRG")</f>
        <v>MAX809LTRG</v>
      </c>
      <c r="B32949" s="3" t="s">
        <v>95</v>
      </c>
      <c r="C32949" s="6">
        <v>3000</v>
      </c>
      <c r="D32949" s="7">
        <v>0.95</v>
      </c>
    </row>
    <row r="32950" spans="1:5" x14ac:dyDescent="0.25">
      <c r="A32950" t="str">
        <f>HYPERLINK("https://www.773grp.com/globalSearch/MAX809RTRG/page-1", "MAX809RTRG")</f>
        <v>MAX809RTRG</v>
      </c>
      <c r="B32950" s="3" t="s">
        <v>95</v>
      </c>
      <c r="C32950" s="6">
        <v>50605</v>
      </c>
      <c r="D32950" s="7">
        <v>0.95</v>
      </c>
      <c r="E32950" t="s">
        <v>30</v>
      </c>
    </row>
    <row r="32951" spans="1:5" x14ac:dyDescent="0.25">
      <c r="A32951" t="str">
        <f>HYPERLINK("https://www.773grp.com/globalSearch/MAX809SN160T1G/page-1", "MAX809SN160T1G")</f>
        <v>MAX809SN160T1G</v>
      </c>
      <c r="B32951" s="3" t="s">
        <v>95</v>
      </c>
      <c r="C32951" s="6">
        <v>36000</v>
      </c>
      <c r="D32951" s="7">
        <v>0.95</v>
      </c>
      <c r="E32951" t="s">
        <v>30</v>
      </c>
    </row>
    <row r="32952" spans="1:5" x14ac:dyDescent="0.25">
      <c r="A32952" t="str">
        <f>HYPERLINK("https://www.773grp.com/globalSearch/MAX809SN232T1G/page-1", "MAX809SN232T1G")</f>
        <v>MAX809SN232T1G</v>
      </c>
      <c r="B32952" s="3" t="s">
        <v>95</v>
      </c>
      <c r="C32952" s="6">
        <v>45000</v>
      </c>
      <c r="D32952" s="7">
        <v>0.95</v>
      </c>
    </row>
    <row r="32953" spans="1:5" x14ac:dyDescent="0.25">
      <c r="A32953" t="str">
        <f>HYPERLINK("https://www.773grp.com/globalSearch/MAX809SQ232T1G/page-1", "MAX809SQ232T1G")</f>
        <v>MAX809SQ232T1G</v>
      </c>
      <c r="B32953" s="3" t="s">
        <v>95</v>
      </c>
      <c r="C32953" s="6">
        <v>2750</v>
      </c>
      <c r="D32953" s="7">
        <v>0.95</v>
      </c>
    </row>
    <row r="32954" spans="1:5" x14ac:dyDescent="0.25">
      <c r="A32954" t="str">
        <f>HYPERLINK("https://www.773grp.com/globalSearch/MAX809SQ293D1T1G/page-1", "MAX809SQ293D1T1G")</f>
        <v>MAX809SQ293D1T1G</v>
      </c>
      <c r="B32954" s="3" t="s">
        <v>95</v>
      </c>
      <c r="C32954" s="6">
        <v>9000</v>
      </c>
      <c r="D32954" s="7">
        <v>0.95</v>
      </c>
    </row>
    <row r="32955" spans="1:5" x14ac:dyDescent="0.25">
      <c r="A32955" t="str">
        <f>HYPERLINK("https://www.773grp.com/globalSearch/MAX809STRG/page-1", "MAX809STRG")</f>
        <v>MAX809STRG</v>
      </c>
      <c r="B32955" s="3" t="s">
        <v>95</v>
      </c>
      <c r="C32955" s="6">
        <v>2078</v>
      </c>
      <c r="D32955" s="7">
        <v>0.95</v>
      </c>
      <c r="E32955" t="s">
        <v>30</v>
      </c>
    </row>
    <row r="32956" spans="1:5" x14ac:dyDescent="0.25">
      <c r="A32956" t="str">
        <f>HYPERLINK("https://www.773grp.com/globalSearch/MAX810LTRG/page-1", "MAX810LTRG")</f>
        <v>MAX810LTRG</v>
      </c>
      <c r="B32956" s="3" t="s">
        <v>95</v>
      </c>
      <c r="C32956" s="6">
        <v>103790</v>
      </c>
      <c r="D32956" s="7">
        <v>0.95</v>
      </c>
      <c r="E32956" t="s">
        <v>30</v>
      </c>
    </row>
    <row r="32957" spans="1:5" x14ac:dyDescent="0.25">
      <c r="A32957" t="str">
        <f>HYPERLINK("https://www.773grp.com/globalSearch/MAX810MTRG/page-1", "MAX810MTRG")</f>
        <v>MAX810MTRG</v>
      </c>
      <c r="B32957" s="3" t="s">
        <v>95</v>
      </c>
      <c r="C32957" s="6">
        <v>30000</v>
      </c>
      <c r="D32957" s="7">
        <v>0.95</v>
      </c>
      <c r="E32957" t="s">
        <v>30</v>
      </c>
    </row>
    <row r="32958" spans="1:5" x14ac:dyDescent="0.25">
      <c r="A32958" t="str">
        <f>HYPERLINK("https://www.773grp.com/globalSearch/MC14014BDR2/page-1", "MC14014BDR2")</f>
        <v>MC14014BDR2</v>
      </c>
      <c r="B32958" s="3" t="s">
        <v>95</v>
      </c>
      <c r="C32958" s="6">
        <v>1603</v>
      </c>
      <c r="D32958" s="7">
        <v>0.95</v>
      </c>
      <c r="E32958" t="s">
        <v>32</v>
      </c>
    </row>
    <row r="32959" spans="1:5" x14ac:dyDescent="0.25">
      <c r="A32959" t="str">
        <f>HYPERLINK("https://www.773grp.com/globalSearch/MC14014BFL1/page-1", "MC14014BFL1")</f>
        <v>MC14014BFL1</v>
      </c>
      <c r="B32959" s="3" t="s">
        <v>95</v>
      </c>
      <c r="C32959" s="6">
        <v>21000</v>
      </c>
      <c r="D32959" s="7">
        <v>0.95</v>
      </c>
    </row>
    <row r="32960" spans="1:5" x14ac:dyDescent="0.25">
      <c r="A32960" t="str">
        <f>HYPERLINK("https://www.773grp.com/globalSearch/MC14014BFL2/page-1", "MC14014BFL2")</f>
        <v>MC14014BFL2</v>
      </c>
      <c r="B32960" s="3" t="s">
        <v>95</v>
      </c>
      <c r="C32960" s="6">
        <v>2000</v>
      </c>
      <c r="D32960" s="7">
        <v>0.95</v>
      </c>
    </row>
    <row r="32961" spans="1:5" x14ac:dyDescent="0.25">
      <c r="A32961" t="str">
        <f>HYPERLINK("https://www.773grp.com/globalSearch/MC14015BFL1/page-1", "MC14015BFL1")</f>
        <v>MC14015BFL1</v>
      </c>
      <c r="B32961" s="3" t="s">
        <v>95</v>
      </c>
      <c r="C32961" s="6">
        <v>1000</v>
      </c>
      <c r="D32961" s="7">
        <v>0.95</v>
      </c>
    </row>
    <row r="32962" spans="1:5" x14ac:dyDescent="0.25">
      <c r="A32962" t="str">
        <f>HYPERLINK("https://www.773grp.com/globalSearch/MC14015BFR1/page-1", "MC14015BFR1")</f>
        <v>MC14015BFR1</v>
      </c>
      <c r="B32962" s="3" t="s">
        <v>95</v>
      </c>
      <c r="C32962" s="6">
        <v>2000</v>
      </c>
      <c r="D32962" s="7">
        <v>0.95</v>
      </c>
    </row>
    <row r="32963" spans="1:5" x14ac:dyDescent="0.25">
      <c r="A32963" t="str">
        <f>HYPERLINK("https://www.773grp.com/globalSearch/MC14016BCP/page-1", "MC14016BCP")</f>
        <v>MC14016BCP</v>
      </c>
      <c r="B32963" s="3" t="s">
        <v>95</v>
      </c>
      <c r="C32963" s="6">
        <v>1153</v>
      </c>
      <c r="D32963" s="7">
        <v>0.95</v>
      </c>
      <c r="E32963" t="s">
        <v>56</v>
      </c>
    </row>
    <row r="32964" spans="1:5" x14ac:dyDescent="0.25">
      <c r="A32964" t="str">
        <f>HYPERLINK("https://www.773grp.com/globalSearch/MC14016BCPG/page-1", "MC14016BCPG")</f>
        <v>MC14016BCPG</v>
      </c>
      <c r="B32964" s="3" t="s">
        <v>95</v>
      </c>
      <c r="C32964" s="6">
        <v>6070</v>
      </c>
      <c r="D32964" s="7">
        <v>0.95</v>
      </c>
      <c r="E32964" t="s">
        <v>56</v>
      </c>
    </row>
    <row r="32965" spans="1:5" x14ac:dyDescent="0.25">
      <c r="A32965" t="str">
        <f>HYPERLINK("https://www.773grp.com/globalSearch/MC14016BFELG/page-1", "MC14016BFELG")</f>
        <v>MC14016BFELG</v>
      </c>
      <c r="B32965" s="3" t="s">
        <v>95</v>
      </c>
      <c r="C32965" s="6">
        <v>800</v>
      </c>
      <c r="D32965" s="7">
        <v>0.95</v>
      </c>
      <c r="E32965" t="s">
        <v>56</v>
      </c>
    </row>
    <row r="32966" spans="1:5" x14ac:dyDescent="0.25">
      <c r="A32966" t="str">
        <f>HYPERLINK("https://www.773grp.com/globalSearch/MC14018BF/page-1", "MC14018BF")</f>
        <v>MC14018BF</v>
      </c>
      <c r="B32966" s="3" t="s">
        <v>95</v>
      </c>
      <c r="C32966" s="6">
        <v>900</v>
      </c>
      <c r="D32966" s="7">
        <v>0.95</v>
      </c>
      <c r="E32966" t="s">
        <v>26</v>
      </c>
    </row>
    <row r="32967" spans="1:5" x14ac:dyDescent="0.25">
      <c r="A32967" t="str">
        <f>HYPERLINK("https://www.773grp.com/globalSearch/MC14018BFEL/page-1", "MC14018BFEL")</f>
        <v>MC14018BFEL</v>
      </c>
      <c r="B32967" s="3" t="s">
        <v>95</v>
      </c>
      <c r="C32967" s="6">
        <v>2000</v>
      </c>
      <c r="D32967" s="7">
        <v>0.95</v>
      </c>
      <c r="E32967" t="s">
        <v>26</v>
      </c>
    </row>
    <row r="32968" spans="1:5" x14ac:dyDescent="0.25">
      <c r="A32968" t="str">
        <f>HYPERLINK("https://www.773grp.com/globalSearch/MC14020BFL2/page-1", "MC14020BFL2")</f>
        <v>MC14020BFL2</v>
      </c>
      <c r="B32968" s="3" t="s">
        <v>95</v>
      </c>
      <c r="C32968" s="6">
        <v>2000</v>
      </c>
      <c r="D32968" s="7">
        <v>0.95</v>
      </c>
      <c r="E32968" t="s">
        <v>26</v>
      </c>
    </row>
    <row r="32969" spans="1:5" x14ac:dyDescent="0.25">
      <c r="A32969" t="str">
        <f>HYPERLINK("https://www.773grp.com/globalSearch/MC14020BFR1/page-1", "MC14020BFR1")</f>
        <v>MC14020BFR1</v>
      </c>
      <c r="B32969" s="3" t="s">
        <v>95</v>
      </c>
      <c r="C32969" s="6">
        <v>1000</v>
      </c>
      <c r="D32969" s="7">
        <v>0.95</v>
      </c>
      <c r="E32969" t="s">
        <v>26</v>
      </c>
    </row>
    <row r="32970" spans="1:5" x14ac:dyDescent="0.25">
      <c r="A32970" t="str">
        <f>HYPERLINK("https://www.773grp.com/globalSearch/MC14022BF/page-1", "MC14022BF")</f>
        <v>MC14022BF</v>
      </c>
      <c r="B32970" s="3" t="s">
        <v>95</v>
      </c>
      <c r="C32970" s="6">
        <v>800</v>
      </c>
      <c r="D32970" s="7">
        <v>0.95</v>
      </c>
    </row>
    <row r="32971" spans="1:5" x14ac:dyDescent="0.25">
      <c r="A32971" t="str">
        <f>HYPERLINK("https://www.773grp.com/globalSearch/MC14024BFELG/page-1", "MC14024BFELG")</f>
        <v>MC14024BFELG</v>
      </c>
      <c r="B32971" s="3" t="s">
        <v>95</v>
      </c>
      <c r="C32971" s="6">
        <v>18186</v>
      </c>
      <c r="D32971" s="7">
        <v>0.95</v>
      </c>
      <c r="E32971" t="s">
        <v>26</v>
      </c>
    </row>
    <row r="32972" spans="1:5" x14ac:dyDescent="0.25">
      <c r="A32972" t="str">
        <f>HYPERLINK("https://www.773grp.com/globalSearch/MC14027BCPG/page-1", "MC14027BCPG")</f>
        <v>MC14027BCPG</v>
      </c>
      <c r="B32972" s="3" t="s">
        <v>95</v>
      </c>
      <c r="C32972" s="6">
        <v>22</v>
      </c>
      <c r="D32972" s="7">
        <v>0.95</v>
      </c>
      <c r="E32972" t="s">
        <v>35</v>
      </c>
    </row>
    <row r="32973" spans="1:5" x14ac:dyDescent="0.25">
      <c r="A32973" t="str">
        <f>HYPERLINK("https://www.773grp.com/globalSearch/MC14028BF/page-1", "MC14028BF")</f>
        <v>MC14028BF</v>
      </c>
      <c r="B32973" s="3" t="s">
        <v>95</v>
      </c>
      <c r="C32973" s="6">
        <v>2200</v>
      </c>
      <c r="D32973" s="7">
        <v>0.95</v>
      </c>
      <c r="E32973" t="s">
        <v>36</v>
      </c>
    </row>
    <row r="32974" spans="1:5" x14ac:dyDescent="0.25">
      <c r="A32974" t="str">
        <f>HYPERLINK("https://www.773grp.com/globalSearch/MC14028BFL2/page-1", "MC14028BFL2")</f>
        <v>MC14028BFL2</v>
      </c>
      <c r="B32974" s="3" t="s">
        <v>95</v>
      </c>
      <c r="C32974" s="6">
        <v>4000</v>
      </c>
      <c r="D32974" s="7">
        <v>0.95</v>
      </c>
    </row>
    <row r="32975" spans="1:5" x14ac:dyDescent="0.25">
      <c r="A32975" t="str">
        <f>HYPERLINK("https://www.773grp.com/globalSearch/MC14046BFL1/page-1", "MC14046BFL1")</f>
        <v>MC14046BFL1</v>
      </c>
      <c r="B32975" s="3" t="s">
        <v>95</v>
      </c>
      <c r="C32975" s="6">
        <v>33870</v>
      </c>
      <c r="D32975" s="7">
        <v>0.95</v>
      </c>
      <c r="E32975" t="s">
        <v>38</v>
      </c>
    </row>
    <row r="32976" spans="1:5" x14ac:dyDescent="0.25">
      <c r="A32976" t="str">
        <f>HYPERLINK("https://www.773grp.com/globalSearch/MC14046BFR1/page-1", "MC14046BFR1")</f>
        <v>MC14046BFR1</v>
      </c>
      <c r="B32976" s="3" t="s">
        <v>95</v>
      </c>
      <c r="C32976" s="6">
        <v>1000</v>
      </c>
      <c r="D32976" s="7">
        <v>0.95</v>
      </c>
      <c r="E32976" t="s">
        <v>38</v>
      </c>
    </row>
    <row r="32977" spans="1:5" x14ac:dyDescent="0.25">
      <c r="A32977" t="str">
        <f>HYPERLINK("https://www.773grp.com/globalSearch/MC14046BFR2/page-1", "MC14046BFR2")</f>
        <v>MC14046BFR2</v>
      </c>
      <c r="B32977" s="3" t="s">
        <v>95</v>
      </c>
      <c r="C32977" s="6">
        <v>4000</v>
      </c>
      <c r="D32977" s="7">
        <v>0.95</v>
      </c>
      <c r="E32977" t="s">
        <v>38</v>
      </c>
    </row>
    <row r="32978" spans="1:5" x14ac:dyDescent="0.25">
      <c r="A32978" t="str">
        <f>HYPERLINK("https://www.773grp.com/globalSearch/MC14049BFELG/page-1", "MC14049BFELG")</f>
        <v>MC14049BFELG</v>
      </c>
      <c r="B32978" s="3" t="s">
        <v>95</v>
      </c>
      <c r="C32978" s="6">
        <v>8802</v>
      </c>
      <c r="D32978" s="7">
        <v>0.95</v>
      </c>
      <c r="E32978" t="s">
        <v>31</v>
      </c>
    </row>
    <row r="32979" spans="1:5" x14ac:dyDescent="0.25">
      <c r="A32979" t="str">
        <f>HYPERLINK("https://www.773grp.com/globalSearch/MC14049UBCP/page-1", "MC14049UBCP")</f>
        <v>MC14049UBCP</v>
      </c>
      <c r="B32979" s="3" t="s">
        <v>95</v>
      </c>
      <c r="C32979" s="6">
        <v>18146</v>
      </c>
      <c r="D32979" s="7">
        <v>0.95</v>
      </c>
      <c r="E32979" t="s">
        <v>31</v>
      </c>
    </row>
    <row r="32980" spans="1:5" x14ac:dyDescent="0.25">
      <c r="A32980" t="str">
        <f>HYPERLINK("https://www.773grp.com/globalSearch/MC14049UBCPG/page-1", "MC14049UBCPG")</f>
        <v>MC14049UBCPG</v>
      </c>
      <c r="B32980" s="3" t="s">
        <v>95</v>
      </c>
      <c r="C32980" s="6">
        <v>181151</v>
      </c>
      <c r="D32980" s="7">
        <v>0.95</v>
      </c>
      <c r="E32980" t="s">
        <v>31</v>
      </c>
    </row>
    <row r="32981" spans="1:5" x14ac:dyDescent="0.25">
      <c r="A32981" t="str">
        <f>HYPERLINK("https://www.773grp.com/globalSearch/MC14049UBFEL/page-1", "MC14049UBFEL")</f>
        <v>MC14049UBFEL</v>
      </c>
      <c r="B32981" s="3" t="s">
        <v>95</v>
      </c>
      <c r="C32981" s="6">
        <v>308</v>
      </c>
      <c r="D32981" s="7">
        <v>0.95</v>
      </c>
      <c r="E32981" t="s">
        <v>31</v>
      </c>
    </row>
    <row r="32982" spans="1:5" x14ac:dyDescent="0.25">
      <c r="A32982" t="str">
        <f>HYPERLINK("https://www.773grp.com/globalSearch/MC14050BCPG/page-1", "MC14050BCPG")</f>
        <v>MC14050BCPG</v>
      </c>
      <c r="B32982" s="3" t="s">
        <v>95</v>
      </c>
      <c r="C32982" s="6">
        <v>1053</v>
      </c>
      <c r="D32982" s="7">
        <v>0.95</v>
      </c>
      <c r="E32982" t="s">
        <v>31</v>
      </c>
    </row>
    <row r="32983" spans="1:5" x14ac:dyDescent="0.25">
      <c r="A32983" t="str">
        <f>HYPERLINK("https://www.773grp.com/globalSearch/MC14050BF/page-1", "MC14050BF")</f>
        <v>MC14050BF</v>
      </c>
      <c r="B32983" s="3" t="s">
        <v>95</v>
      </c>
      <c r="C32983" s="6">
        <v>4100</v>
      </c>
      <c r="D32983" s="7">
        <v>0.95</v>
      </c>
      <c r="E32983" t="s">
        <v>31</v>
      </c>
    </row>
    <row r="32984" spans="1:5" x14ac:dyDescent="0.25">
      <c r="A32984" t="str">
        <f>HYPERLINK("https://www.773grp.com/globalSearch/MC14076BCPG/page-1", "MC14076BCPG")</f>
        <v>MC14076BCPG</v>
      </c>
      <c r="B32984" s="3" t="s">
        <v>95</v>
      </c>
      <c r="C32984" s="6">
        <v>10301</v>
      </c>
      <c r="D32984" s="7">
        <v>0.95</v>
      </c>
      <c r="E32984" t="s">
        <v>35</v>
      </c>
    </row>
    <row r="32985" spans="1:5" x14ac:dyDescent="0.25">
      <c r="A32985" t="str">
        <f>HYPERLINK("https://www.773grp.com/globalSearch/MC14106BCP/page-1", "MC14106BCP")</f>
        <v>MC14106BCP</v>
      </c>
      <c r="B32985" s="3" t="s">
        <v>95</v>
      </c>
      <c r="C32985" s="6">
        <v>1936</v>
      </c>
      <c r="D32985" s="7">
        <v>0.95</v>
      </c>
      <c r="E32985" t="s">
        <v>31</v>
      </c>
    </row>
    <row r="32986" spans="1:5" x14ac:dyDescent="0.25">
      <c r="A32986" t="str">
        <f>HYPERLINK("https://www.773grp.com/globalSearch/MC14174BCP/page-1", "MC14174BCP")</f>
        <v>MC14174BCP</v>
      </c>
      <c r="B32986" s="3" t="s">
        <v>95</v>
      </c>
      <c r="C32986" s="6">
        <v>436</v>
      </c>
      <c r="D32986" s="7">
        <v>0.95</v>
      </c>
      <c r="E32986" t="s">
        <v>35</v>
      </c>
    </row>
    <row r="32987" spans="1:5" x14ac:dyDescent="0.25">
      <c r="A32987" t="str">
        <f>HYPERLINK("https://www.773grp.com/globalSearch/MC14174BCPG/page-1", "MC14174BCPG")</f>
        <v>MC14174BCPG</v>
      </c>
      <c r="B32987" s="3" t="s">
        <v>95</v>
      </c>
      <c r="C32987" s="6">
        <v>12225</v>
      </c>
      <c r="D32987" s="7">
        <v>0.95</v>
      </c>
      <c r="E32987" t="s">
        <v>35</v>
      </c>
    </row>
    <row r="32988" spans="1:5" x14ac:dyDescent="0.25">
      <c r="A32988" t="str">
        <f>HYPERLINK("https://www.773grp.com/globalSearch/MC1436CD/page-1", "MC1436CD")</f>
        <v>MC1436CD</v>
      </c>
      <c r="B32988" s="3" t="s">
        <v>95</v>
      </c>
      <c r="C32988" s="6">
        <v>1697</v>
      </c>
      <c r="D32988" s="7">
        <v>0.95</v>
      </c>
      <c r="E32988" t="s">
        <v>13</v>
      </c>
    </row>
    <row r="32989" spans="1:5" x14ac:dyDescent="0.25">
      <c r="A32989" t="str">
        <f>HYPERLINK("https://www.773grp.com/globalSearch/MC1436CDR2/page-1", "MC1436CDR2")</f>
        <v>MC1436CDR2</v>
      </c>
      <c r="B32989" s="3" t="s">
        <v>95</v>
      </c>
      <c r="C32989" s="6">
        <v>50000</v>
      </c>
      <c r="D32989" s="7">
        <v>0.95</v>
      </c>
      <c r="E32989" t="s">
        <v>13</v>
      </c>
    </row>
    <row r="32990" spans="1:5" x14ac:dyDescent="0.25">
      <c r="A32990" t="str">
        <f>HYPERLINK("https://www.773grp.com/globalSearch/MC1436DR2/page-1", "MC1436DR2")</f>
        <v>MC1436DR2</v>
      </c>
      <c r="B32990" s="3" t="s">
        <v>95</v>
      </c>
      <c r="C32990" s="6">
        <v>2500</v>
      </c>
      <c r="D32990" s="7">
        <v>0.95</v>
      </c>
      <c r="E32990" t="s">
        <v>13</v>
      </c>
    </row>
    <row r="32991" spans="1:5" x14ac:dyDescent="0.25">
      <c r="A32991" t="str">
        <f>HYPERLINK("https://www.773grp.com/globalSearch/MC14503BF/page-1", "MC14503BF")</f>
        <v>MC14503BF</v>
      </c>
      <c r="B32991" s="3" t="s">
        <v>95</v>
      </c>
      <c r="C32991" s="6">
        <v>480</v>
      </c>
      <c r="D32991" s="7">
        <v>0.95</v>
      </c>
      <c r="E32991" t="s">
        <v>14</v>
      </c>
    </row>
    <row r="32992" spans="1:5" x14ac:dyDescent="0.25">
      <c r="A32992" t="str">
        <f>HYPERLINK("https://www.773grp.com/globalSearch/MC14512BD/page-1", "MC14512BD")</f>
        <v>MC14512BD</v>
      </c>
      <c r="B32992" s="3" t="s">
        <v>95</v>
      </c>
      <c r="C32992" s="6">
        <v>2194</v>
      </c>
      <c r="D32992" s="7">
        <v>0.95</v>
      </c>
      <c r="E32992" t="s">
        <v>20</v>
      </c>
    </row>
    <row r="32993" spans="1:5" x14ac:dyDescent="0.25">
      <c r="A32993" t="str">
        <f>HYPERLINK("https://www.773grp.com/globalSearch/MC14512BDG/page-1", "MC14512BDG")</f>
        <v>MC14512BDG</v>
      </c>
      <c r="B32993" s="3" t="s">
        <v>95</v>
      </c>
      <c r="C32993" s="6">
        <v>4796</v>
      </c>
      <c r="D32993" s="7">
        <v>0.95</v>
      </c>
      <c r="E32993" t="s">
        <v>20</v>
      </c>
    </row>
    <row r="32994" spans="1:5" x14ac:dyDescent="0.25">
      <c r="A32994" t="str">
        <f>HYPERLINK("https://www.773grp.com/globalSearch/MC14512BDR2/page-1", "MC14512BDR2")</f>
        <v>MC14512BDR2</v>
      </c>
      <c r="B32994" s="3" t="s">
        <v>95</v>
      </c>
      <c r="C32994" s="6">
        <v>17500</v>
      </c>
      <c r="D32994" s="7">
        <v>0.95</v>
      </c>
      <c r="E32994" t="s">
        <v>20</v>
      </c>
    </row>
    <row r="32995" spans="1:5" x14ac:dyDescent="0.25">
      <c r="A32995" t="str">
        <f>HYPERLINK("https://www.773grp.com/globalSearch/MC14512BDR2G/page-1", "MC14512BDR2G")</f>
        <v>MC14512BDR2G</v>
      </c>
      <c r="B32995" s="3" t="s">
        <v>95</v>
      </c>
      <c r="C32995" s="6">
        <v>8796</v>
      </c>
      <c r="D32995" s="7">
        <v>0.95</v>
      </c>
      <c r="E32995" t="s">
        <v>20</v>
      </c>
    </row>
    <row r="32996" spans="1:5" x14ac:dyDescent="0.25">
      <c r="A32996" t="str">
        <f>HYPERLINK("https://www.773grp.com/globalSearch/MC14518BFR2/page-1", "MC14518BFR2")</f>
        <v>MC14518BFR2</v>
      </c>
      <c r="B32996" s="3" t="s">
        <v>95</v>
      </c>
      <c r="C32996" s="6">
        <v>4771</v>
      </c>
      <c r="D32996" s="7">
        <v>0.95</v>
      </c>
      <c r="E32996" t="s">
        <v>26</v>
      </c>
    </row>
    <row r="32997" spans="1:5" x14ac:dyDescent="0.25">
      <c r="A32997" t="str">
        <f>HYPERLINK("https://www.773grp.com/globalSearch/MC14519BD/page-1", "MC14519BD")</f>
        <v>MC14519BD</v>
      </c>
      <c r="B32997" s="3" t="s">
        <v>95</v>
      </c>
      <c r="C32997" s="6">
        <v>2640</v>
      </c>
      <c r="D32997" s="7">
        <v>0.95</v>
      </c>
      <c r="E32997" t="s">
        <v>31</v>
      </c>
    </row>
    <row r="32998" spans="1:5" x14ac:dyDescent="0.25">
      <c r="A32998" t="str">
        <f>HYPERLINK("https://www.773grp.com/globalSearch/MC14541BFG/page-1", "MC14541BFG")</f>
        <v>MC14541BFG</v>
      </c>
      <c r="B32998" s="3" t="s">
        <v>95</v>
      </c>
      <c r="C32998" s="6">
        <v>30</v>
      </c>
      <c r="D32998" s="7">
        <v>0.95</v>
      </c>
      <c r="E32998" t="s">
        <v>82</v>
      </c>
    </row>
    <row r="32999" spans="1:5" x14ac:dyDescent="0.25">
      <c r="A32999" t="str">
        <f>HYPERLINK("https://www.773grp.com/globalSearch/MC14584BDG/page-1", "MC14584BDG")</f>
        <v>MC14584BDG</v>
      </c>
      <c r="B32999" s="3" t="s">
        <v>95</v>
      </c>
      <c r="C32999" s="6">
        <v>44705</v>
      </c>
      <c r="D32999" s="7">
        <v>0.95</v>
      </c>
    </row>
    <row r="33000" spans="1:5" x14ac:dyDescent="0.25">
      <c r="A33000" t="str">
        <f>HYPERLINK("https://www.773grp.com/globalSearch/MC14584BDR2G/page-1", "MC14584BDR2G")</f>
        <v>MC14584BDR2G</v>
      </c>
      <c r="B33000" s="3" t="s">
        <v>95</v>
      </c>
      <c r="C33000" s="6">
        <v>542938</v>
      </c>
      <c r="D33000" s="7">
        <v>0.95</v>
      </c>
      <c r="E33000" t="s">
        <v>31</v>
      </c>
    </row>
    <row r="33001" spans="1:5" x14ac:dyDescent="0.25">
      <c r="A33001" t="str">
        <f>HYPERLINK("https://www.773grp.com/globalSearch/MC14584BDTR2G/page-1", "MC14584BDTR2G")</f>
        <v>MC14584BDTR2G</v>
      </c>
      <c r="B33001" s="3" t="s">
        <v>95</v>
      </c>
      <c r="C33001" s="6">
        <v>2500</v>
      </c>
      <c r="D33001" s="7">
        <v>0.95</v>
      </c>
    </row>
    <row r="33002" spans="1:5" x14ac:dyDescent="0.25">
      <c r="A33002" t="str">
        <f>HYPERLINK("https://www.773grp.com/globalSearch/MC14584BF/page-1", "MC14584BF")</f>
        <v>MC14584BF</v>
      </c>
      <c r="B33002" s="3" t="s">
        <v>95</v>
      </c>
      <c r="C33002" s="6">
        <v>300</v>
      </c>
      <c r="D33002" s="7">
        <v>0.95</v>
      </c>
      <c r="E33002" t="s">
        <v>31</v>
      </c>
    </row>
    <row r="33003" spans="1:5" x14ac:dyDescent="0.25">
      <c r="A33003" t="str">
        <f>HYPERLINK("https://www.773grp.com/globalSearch/MC33078D/page-1", "MC33078D")</f>
        <v>MC33078D</v>
      </c>
      <c r="B33003" s="3" t="s">
        <v>95</v>
      </c>
      <c r="C33003" s="6">
        <v>19746</v>
      </c>
      <c r="D33003" s="7">
        <v>0.95</v>
      </c>
      <c r="E33003" t="s">
        <v>13</v>
      </c>
    </row>
    <row r="33004" spans="1:5" x14ac:dyDescent="0.25">
      <c r="A33004" t="str">
        <f>HYPERLINK("https://www.773grp.com/globalSearch/MC33078DR2/page-1", "MC33078DR2")</f>
        <v>MC33078DR2</v>
      </c>
      <c r="B33004" s="3" t="s">
        <v>95</v>
      </c>
      <c r="C33004" s="6">
        <v>3516</v>
      </c>
      <c r="D33004" s="7">
        <v>0.95</v>
      </c>
      <c r="E33004" t="s">
        <v>13</v>
      </c>
    </row>
    <row r="33005" spans="1:5" x14ac:dyDescent="0.25">
      <c r="A33005" t="str">
        <f>HYPERLINK("https://www.773grp.com/globalSearch/MC33164D-003/page-1", "MC33164D-003")</f>
        <v>MC33164D-003</v>
      </c>
      <c r="B33005" s="3" t="s">
        <v>95</v>
      </c>
      <c r="C33005" s="6">
        <v>8790</v>
      </c>
      <c r="D33005" s="7">
        <v>0.95</v>
      </c>
    </row>
    <row r="33006" spans="1:5" x14ac:dyDescent="0.25">
      <c r="A33006" t="str">
        <f>HYPERLINK("https://www.773grp.com/globalSearch/MC33164P-003/page-1", "MC33164P-003")</f>
        <v>MC33164P-003</v>
      </c>
      <c r="B33006" s="3" t="s">
        <v>95</v>
      </c>
      <c r="C33006" s="6">
        <v>3906</v>
      </c>
      <c r="D33006" s="7">
        <v>0.95</v>
      </c>
    </row>
    <row r="33007" spans="1:5" x14ac:dyDescent="0.25">
      <c r="A33007" t="str">
        <f>HYPERLINK("https://www.773grp.com/globalSearch/MC33164P-005/page-1", "MC33164P-005")</f>
        <v>MC33164P-005</v>
      </c>
      <c r="B33007" s="3" t="s">
        <v>95</v>
      </c>
      <c r="C33007" s="6">
        <v>11753</v>
      </c>
      <c r="D33007" s="7">
        <v>0.95</v>
      </c>
    </row>
    <row r="33008" spans="1:5" x14ac:dyDescent="0.25">
      <c r="A33008" t="str">
        <f>HYPERLINK("https://www.773grp.com/globalSearch/MC33164P-3RP/page-1", "MC33164P-3RP")</f>
        <v>MC33164P-3RP</v>
      </c>
      <c r="B33008" s="3" t="s">
        <v>95</v>
      </c>
      <c r="C33008" s="6">
        <v>12000</v>
      </c>
      <c r="D33008" s="7">
        <v>0.95</v>
      </c>
      <c r="E33008" t="s">
        <v>30</v>
      </c>
    </row>
    <row r="33009" spans="1:5" x14ac:dyDescent="0.25">
      <c r="A33009" t="str">
        <f>HYPERLINK("https://www.773grp.com/globalSearch/MC33164P-5RP/page-1", "MC33164P-5RP")</f>
        <v>MC33164P-5RP</v>
      </c>
      <c r="B33009" s="3" t="s">
        <v>95</v>
      </c>
      <c r="C33009" s="6">
        <v>4000</v>
      </c>
      <c r="D33009" s="7">
        <v>0.95</v>
      </c>
      <c r="E33009" t="s">
        <v>30</v>
      </c>
    </row>
    <row r="33010" spans="1:5" x14ac:dyDescent="0.25">
      <c r="A33010" t="str">
        <f>HYPERLINK("https://www.773grp.com/globalSearch/MC33567D-002/page-1", "MC33567D-002")</f>
        <v>MC33567D-002</v>
      </c>
      <c r="B33010" s="3" t="s">
        <v>95</v>
      </c>
      <c r="C33010" s="6">
        <v>1862</v>
      </c>
      <c r="D33010" s="7">
        <v>0.95</v>
      </c>
    </row>
    <row r="33011" spans="1:5" x14ac:dyDescent="0.25">
      <c r="A33011" t="str">
        <f>HYPERLINK("https://www.773grp.com/globalSearch/MC34164D-003/page-1", "MC34164D-003")</f>
        <v>MC34164D-003</v>
      </c>
      <c r="B33011" s="3" t="s">
        <v>95</v>
      </c>
      <c r="C33011" s="6">
        <v>3738</v>
      </c>
      <c r="D33011" s="7">
        <v>0.95</v>
      </c>
    </row>
    <row r="33012" spans="1:5" x14ac:dyDescent="0.25">
      <c r="A33012" t="str">
        <f>HYPERLINK("https://www.773grp.com/globalSearch/MC34164D-005/page-1", "MC34164D-005")</f>
        <v>MC34164D-005</v>
      </c>
      <c r="B33012" s="3" t="s">
        <v>95</v>
      </c>
      <c r="C33012" s="6">
        <v>52</v>
      </c>
      <c r="D33012" s="7">
        <v>0.95</v>
      </c>
    </row>
    <row r="33013" spans="1:5" x14ac:dyDescent="0.25">
      <c r="A33013" t="str">
        <f>HYPERLINK("https://www.773grp.com/globalSearch/MC34164P-003/page-1", "MC34164P-003")</f>
        <v>MC34164P-003</v>
      </c>
      <c r="B33013" s="3" t="s">
        <v>95</v>
      </c>
      <c r="C33013" s="6">
        <v>1744</v>
      </c>
      <c r="D33013" s="7">
        <v>0.95</v>
      </c>
    </row>
    <row r="33014" spans="1:5" x14ac:dyDescent="0.25">
      <c r="A33014" t="str">
        <f>HYPERLINK("https://www.773grp.com/globalSearch/MC34164P-005/page-1", "MC34164P-005")</f>
        <v>MC34164P-005</v>
      </c>
      <c r="B33014" s="3" t="s">
        <v>95</v>
      </c>
      <c r="C33014" s="6">
        <v>10116</v>
      </c>
      <c r="D33014" s="7">
        <v>0.95</v>
      </c>
    </row>
    <row r="33015" spans="1:5" x14ac:dyDescent="0.25">
      <c r="A33015" t="str">
        <f>HYPERLINK("https://www.773grp.com/globalSearch/MC4558CD/page-1", "MC4558CD")</f>
        <v>MC4558CD</v>
      </c>
      <c r="B33015" s="3" t="s">
        <v>95</v>
      </c>
      <c r="C33015" s="6">
        <v>3660</v>
      </c>
      <c r="D33015" s="7">
        <v>0.95</v>
      </c>
      <c r="E33015" t="s">
        <v>13</v>
      </c>
    </row>
    <row r="33016" spans="1:5" x14ac:dyDescent="0.25">
      <c r="A33016" t="str">
        <f>HYPERLINK("https://www.773grp.com/globalSearch/MC4558CP1/page-1", "MC4558CP1")</f>
        <v>MC4558CP1</v>
      </c>
      <c r="B33016" s="3" t="s">
        <v>95</v>
      </c>
      <c r="C33016" s="6">
        <v>5</v>
      </c>
      <c r="D33016" s="7">
        <v>0.95</v>
      </c>
      <c r="E33016" t="s">
        <v>13</v>
      </c>
    </row>
    <row r="33017" spans="1:5" x14ac:dyDescent="0.25">
      <c r="A33017" t="str">
        <f>HYPERLINK("https://www.773grp.com/globalSearch/MC74AC00NG/page-1", "MC74AC00NG")</f>
        <v>MC74AC00NG</v>
      </c>
      <c r="B33017" s="3" t="s">
        <v>95</v>
      </c>
      <c r="C33017" s="6">
        <v>2661</v>
      </c>
      <c r="D33017" s="7">
        <v>0.95</v>
      </c>
      <c r="E33017" t="s">
        <v>31</v>
      </c>
    </row>
    <row r="33018" spans="1:5" x14ac:dyDescent="0.25">
      <c r="A33018" t="str">
        <f>HYPERLINK("https://www.773grp.com/globalSearch/MC74AC02NG/page-1", "MC74AC02NG")</f>
        <v>MC74AC02NG</v>
      </c>
      <c r="B33018" s="3" t="s">
        <v>95</v>
      </c>
      <c r="C33018" s="6">
        <v>9250</v>
      </c>
      <c r="D33018" s="7">
        <v>0.95</v>
      </c>
      <c r="E33018" t="s">
        <v>31</v>
      </c>
    </row>
    <row r="33019" spans="1:5" x14ac:dyDescent="0.25">
      <c r="A33019" t="str">
        <f>HYPERLINK("https://www.773grp.com/globalSearch/MC74AC04NG/page-1", "MC74AC04NG")</f>
        <v>MC74AC04NG</v>
      </c>
      <c r="B33019" s="3" t="s">
        <v>95</v>
      </c>
      <c r="C33019" s="6">
        <v>120</v>
      </c>
      <c r="D33019" s="7">
        <v>0.95</v>
      </c>
      <c r="E33019" t="s">
        <v>31</v>
      </c>
    </row>
    <row r="33020" spans="1:5" x14ac:dyDescent="0.25">
      <c r="A33020" t="str">
        <f>HYPERLINK("https://www.773grp.com/globalSearch/MC74AC05NG/page-1", "MC74AC05NG")</f>
        <v>MC74AC05NG</v>
      </c>
      <c r="B33020" s="3" t="s">
        <v>95</v>
      </c>
      <c r="C33020" s="6">
        <v>4000</v>
      </c>
      <c r="D33020" s="7">
        <v>0.95</v>
      </c>
      <c r="E33020" t="s">
        <v>31</v>
      </c>
    </row>
    <row r="33021" spans="1:5" x14ac:dyDescent="0.25">
      <c r="A33021" t="str">
        <f>HYPERLINK("https://www.773grp.com/globalSearch/MC74AC08NG/page-1", "MC74AC08NG")</f>
        <v>MC74AC08NG</v>
      </c>
      <c r="B33021" s="3" t="s">
        <v>95</v>
      </c>
      <c r="C33021" s="6">
        <v>8730</v>
      </c>
      <c r="D33021" s="7">
        <v>0.95</v>
      </c>
      <c r="E33021" t="s">
        <v>31</v>
      </c>
    </row>
    <row r="33022" spans="1:5" x14ac:dyDescent="0.25">
      <c r="A33022" t="str">
        <f>HYPERLINK("https://www.773grp.com/globalSearch/MC74AC10NG/page-1", "MC74AC10NG")</f>
        <v>MC74AC10NG</v>
      </c>
      <c r="B33022" s="3" t="s">
        <v>95</v>
      </c>
      <c r="C33022" s="6">
        <v>12975</v>
      </c>
      <c r="D33022" s="7">
        <v>0.95</v>
      </c>
      <c r="E33022" t="s">
        <v>31</v>
      </c>
    </row>
    <row r="33023" spans="1:5" x14ac:dyDescent="0.25">
      <c r="A33023" t="str">
        <f>HYPERLINK("https://www.773grp.com/globalSearch/MC74AC11NG/page-1", "MC74AC11NG")</f>
        <v>MC74AC11NG</v>
      </c>
      <c r="B33023" s="3" t="s">
        <v>95</v>
      </c>
      <c r="C33023" s="6">
        <v>6845</v>
      </c>
      <c r="D33023" s="7">
        <v>0.95</v>
      </c>
      <c r="E33023" t="s">
        <v>31</v>
      </c>
    </row>
    <row r="33024" spans="1:5" x14ac:dyDescent="0.25">
      <c r="A33024" t="str">
        <f>HYPERLINK("https://www.773grp.com/globalSearch/MC74AC125NG/page-1", "MC74AC125NG")</f>
        <v>MC74AC125NG</v>
      </c>
      <c r="B33024" s="3" t="s">
        <v>95</v>
      </c>
      <c r="C33024" s="6">
        <v>7135</v>
      </c>
      <c r="D33024" s="7">
        <v>0.95</v>
      </c>
      <c r="E33024" t="s">
        <v>14</v>
      </c>
    </row>
    <row r="33025" spans="1:5" x14ac:dyDescent="0.25">
      <c r="A33025" t="str">
        <f>HYPERLINK("https://www.773grp.com/globalSearch/MC74AC14NG/page-1", "MC74AC14NG")</f>
        <v>MC74AC14NG</v>
      </c>
      <c r="B33025" s="3" t="s">
        <v>95</v>
      </c>
      <c r="C33025" s="6">
        <v>9156</v>
      </c>
      <c r="D33025" s="7">
        <v>0.95</v>
      </c>
      <c r="E33025" t="s">
        <v>31</v>
      </c>
    </row>
    <row r="33026" spans="1:5" x14ac:dyDescent="0.25">
      <c r="A33026" t="str">
        <f>HYPERLINK("https://www.773grp.com/globalSearch/MC74AC174N/page-1", "MC74AC174N")</f>
        <v>MC74AC174N</v>
      </c>
      <c r="B33026" s="3" t="s">
        <v>95</v>
      </c>
      <c r="C33026" s="6">
        <v>2975</v>
      </c>
      <c r="D33026" s="7">
        <v>0.95</v>
      </c>
      <c r="E33026" t="s">
        <v>35</v>
      </c>
    </row>
    <row r="33027" spans="1:5" x14ac:dyDescent="0.25">
      <c r="A33027" t="str">
        <f>HYPERLINK("https://www.773grp.com/globalSearch/MC74AC20NG/page-1", "MC74AC20NG")</f>
        <v>MC74AC20NG</v>
      </c>
      <c r="B33027" s="3" t="s">
        <v>95</v>
      </c>
      <c r="C33027" s="6">
        <v>23440</v>
      </c>
      <c r="D33027" s="7">
        <v>0.95</v>
      </c>
      <c r="E33027" t="s">
        <v>31</v>
      </c>
    </row>
    <row r="33028" spans="1:5" x14ac:dyDescent="0.25">
      <c r="A33028" t="str">
        <f>HYPERLINK("https://www.773grp.com/globalSearch/MC74AC540M/page-1", "MC74AC540M")</f>
        <v>MC74AC540M</v>
      </c>
      <c r="B33028" s="3" t="s">
        <v>95</v>
      </c>
      <c r="C33028" s="6">
        <v>14671</v>
      </c>
      <c r="D33028" s="7">
        <v>0.95</v>
      </c>
      <c r="E33028" t="s">
        <v>14</v>
      </c>
    </row>
    <row r="33029" spans="1:5" x14ac:dyDescent="0.25">
      <c r="A33029" t="str">
        <f>HYPERLINK("https://www.773grp.com/globalSearch/MC74AC541MR1/page-1", "MC74AC541MR1")</f>
        <v>MC74AC541MR1</v>
      </c>
      <c r="B33029" s="3" t="s">
        <v>95</v>
      </c>
      <c r="C33029" s="6">
        <v>12000</v>
      </c>
      <c r="D33029" s="7">
        <v>0.95</v>
      </c>
      <c r="E33029" t="s">
        <v>14</v>
      </c>
    </row>
    <row r="33030" spans="1:5" x14ac:dyDescent="0.25">
      <c r="A33030" t="str">
        <f>HYPERLINK("https://www.773grp.com/globalSearch/MC74ACT00NG/page-1", "MC74ACT00NG")</f>
        <v>MC74ACT00NG</v>
      </c>
      <c r="B33030" s="3" t="s">
        <v>95</v>
      </c>
      <c r="C33030" s="6">
        <v>5950</v>
      </c>
      <c r="D33030" s="7">
        <v>0.95</v>
      </c>
      <c r="E33030" t="s">
        <v>31</v>
      </c>
    </row>
    <row r="33031" spans="1:5" x14ac:dyDescent="0.25">
      <c r="A33031" t="str">
        <f>HYPERLINK("https://www.773grp.com/globalSearch/MC74ACT02NG/page-1", "MC74ACT02NG")</f>
        <v>MC74ACT02NG</v>
      </c>
      <c r="B33031" s="3" t="s">
        <v>95</v>
      </c>
      <c r="C33031" s="6">
        <v>3625</v>
      </c>
      <c r="D33031" s="7">
        <v>0.95</v>
      </c>
      <c r="E33031" t="s">
        <v>31</v>
      </c>
    </row>
    <row r="33032" spans="1:5" x14ac:dyDescent="0.25">
      <c r="A33032" t="str">
        <f>HYPERLINK("https://www.773grp.com/globalSearch/MC74ACT04NG/page-1", "MC74ACT04NG")</f>
        <v>MC74ACT04NG</v>
      </c>
      <c r="B33032" s="3" t="s">
        <v>95</v>
      </c>
      <c r="C33032" s="6">
        <v>11775</v>
      </c>
      <c r="D33032" s="7">
        <v>0.95</v>
      </c>
      <c r="E33032" t="s">
        <v>31</v>
      </c>
    </row>
    <row r="33033" spans="1:5" x14ac:dyDescent="0.25">
      <c r="A33033" t="str">
        <f>HYPERLINK("https://www.773grp.com/globalSearch/MC74ACT05NG/page-1", "MC74ACT05NG")</f>
        <v>MC74ACT05NG</v>
      </c>
      <c r="B33033" s="3" t="s">
        <v>95</v>
      </c>
      <c r="C33033" s="6">
        <v>5900</v>
      </c>
      <c r="D33033" s="7">
        <v>0.95</v>
      </c>
      <c r="E33033" t="s">
        <v>31</v>
      </c>
    </row>
    <row r="33034" spans="1:5" x14ac:dyDescent="0.25">
      <c r="A33034" t="str">
        <f>HYPERLINK("https://www.773grp.com/globalSearch/MC74ACT08NG/page-1", "MC74ACT08NG")</f>
        <v>MC74ACT08NG</v>
      </c>
      <c r="B33034" s="3" t="s">
        <v>95</v>
      </c>
      <c r="C33034" s="6">
        <v>41486</v>
      </c>
      <c r="D33034" s="7">
        <v>0.95</v>
      </c>
      <c r="E33034" t="s">
        <v>31</v>
      </c>
    </row>
    <row r="33035" spans="1:5" x14ac:dyDescent="0.25">
      <c r="A33035" t="str">
        <f>HYPERLINK("https://www.773grp.com/globalSearch/MC74ACT109N/page-1", "MC74ACT109N")</f>
        <v>MC74ACT109N</v>
      </c>
      <c r="B33035" s="3" t="s">
        <v>95</v>
      </c>
      <c r="C33035" s="6">
        <v>1771</v>
      </c>
      <c r="D33035" s="7">
        <v>0.95</v>
      </c>
      <c r="E33035" t="s">
        <v>35</v>
      </c>
    </row>
    <row r="33036" spans="1:5" x14ac:dyDescent="0.25">
      <c r="A33036" t="str">
        <f>HYPERLINK("https://www.773grp.com/globalSearch/MC74ACT10NG/page-1", "MC74ACT10NG")</f>
        <v>MC74ACT10NG</v>
      </c>
      <c r="B33036" s="3" t="s">
        <v>95</v>
      </c>
      <c r="C33036" s="6">
        <v>20190</v>
      </c>
      <c r="D33036" s="7">
        <v>0.95</v>
      </c>
      <c r="E33036" t="s">
        <v>31</v>
      </c>
    </row>
    <row r="33037" spans="1:5" x14ac:dyDescent="0.25">
      <c r="A33037" t="str">
        <f>HYPERLINK("https://www.773grp.com/globalSearch/MC74ACT11NG/page-1", "MC74ACT11NG")</f>
        <v>MC74ACT11NG</v>
      </c>
      <c r="B33037" s="3" t="s">
        <v>95</v>
      </c>
      <c r="C33037" s="6">
        <v>8025</v>
      </c>
      <c r="D33037" s="7">
        <v>0.95</v>
      </c>
      <c r="E33037" t="s">
        <v>31</v>
      </c>
    </row>
    <row r="33038" spans="1:5" x14ac:dyDescent="0.25">
      <c r="A33038" t="str">
        <f>HYPERLINK("https://www.773grp.com/globalSearch/MC74ACT125NG/page-1", "MC74ACT125NG")</f>
        <v>MC74ACT125NG</v>
      </c>
      <c r="B33038" s="3" t="s">
        <v>95</v>
      </c>
      <c r="C33038" s="6">
        <v>4075</v>
      </c>
      <c r="D33038" s="7">
        <v>0.95</v>
      </c>
      <c r="E33038" t="s">
        <v>14</v>
      </c>
    </row>
    <row r="33039" spans="1:5" x14ac:dyDescent="0.25">
      <c r="A33039" t="str">
        <f>HYPERLINK("https://www.773grp.com/globalSearch/MC74ACT132N/page-1", "MC74ACT132N")</f>
        <v>MC74ACT132N</v>
      </c>
      <c r="B33039" s="3" t="s">
        <v>95</v>
      </c>
      <c r="C33039" s="6">
        <v>9850</v>
      </c>
      <c r="D33039" s="7">
        <v>0.95</v>
      </c>
      <c r="E33039" t="s">
        <v>31</v>
      </c>
    </row>
    <row r="33040" spans="1:5" x14ac:dyDescent="0.25">
      <c r="A33040" t="str">
        <f>HYPERLINK("https://www.773grp.com/globalSearch/MC74ACT139MEL/page-1", "MC74ACT139MEL")</f>
        <v>MC74ACT139MEL</v>
      </c>
      <c r="B33040" s="3" t="s">
        <v>95</v>
      </c>
      <c r="C33040" s="6">
        <v>18000</v>
      </c>
      <c r="D33040" s="7">
        <v>0.95</v>
      </c>
      <c r="E33040" t="s">
        <v>36</v>
      </c>
    </row>
    <row r="33041" spans="1:5" x14ac:dyDescent="0.25">
      <c r="A33041" t="str">
        <f>HYPERLINK("https://www.773grp.com/globalSearch/MC74ACT14NG/page-1", "MC74ACT14NG")</f>
        <v>MC74ACT14NG</v>
      </c>
      <c r="B33041" s="3" t="s">
        <v>95</v>
      </c>
      <c r="C33041" s="6">
        <v>8430</v>
      </c>
      <c r="D33041" s="7">
        <v>0.95</v>
      </c>
      <c r="E33041" t="s">
        <v>31</v>
      </c>
    </row>
    <row r="33042" spans="1:5" x14ac:dyDescent="0.25">
      <c r="A33042" t="str">
        <f>HYPERLINK("https://www.773grp.com/globalSearch/MC74ACT161M/page-1", "MC74ACT161M")</f>
        <v>MC74ACT161M</v>
      </c>
      <c r="B33042" s="3" t="s">
        <v>95</v>
      </c>
      <c r="C33042" s="6">
        <v>3550</v>
      </c>
      <c r="D33042" s="7">
        <v>0.95</v>
      </c>
      <c r="E33042" t="s">
        <v>26</v>
      </c>
    </row>
    <row r="33043" spans="1:5" x14ac:dyDescent="0.25">
      <c r="A33043" t="str">
        <f>HYPERLINK("https://www.773grp.com/globalSearch/MC74ACT161ML1/page-1", "MC74ACT161ML1")</f>
        <v>MC74ACT161ML1</v>
      </c>
      <c r="B33043" s="3" t="s">
        <v>95</v>
      </c>
      <c r="C33043" s="6">
        <v>12000</v>
      </c>
      <c r="D33043" s="7">
        <v>0.95</v>
      </c>
    </row>
    <row r="33044" spans="1:5" x14ac:dyDescent="0.25">
      <c r="A33044" t="str">
        <f>HYPERLINK("https://www.773grp.com/globalSearch/MC74ACT163M/page-1", "MC74ACT163M")</f>
        <v>MC74ACT163M</v>
      </c>
      <c r="B33044" s="3" t="s">
        <v>95</v>
      </c>
      <c r="C33044" s="6">
        <v>1450</v>
      </c>
      <c r="D33044" s="7">
        <v>0.95</v>
      </c>
      <c r="E33044" t="s">
        <v>26</v>
      </c>
    </row>
    <row r="33045" spans="1:5" x14ac:dyDescent="0.25">
      <c r="A33045" t="str">
        <f>HYPERLINK("https://www.773grp.com/globalSearch/MC74ACT174N/page-1", "MC74ACT174N")</f>
        <v>MC74ACT174N</v>
      </c>
      <c r="B33045" s="3" t="s">
        <v>95</v>
      </c>
      <c r="C33045" s="6">
        <v>755</v>
      </c>
      <c r="D33045" s="7">
        <v>0.95</v>
      </c>
      <c r="E33045" t="s">
        <v>35</v>
      </c>
    </row>
    <row r="33046" spans="1:5" x14ac:dyDescent="0.25">
      <c r="A33046" t="str">
        <f>HYPERLINK("https://www.773grp.com/globalSearch/MC74ACT20NG/page-1", "MC74ACT20NG")</f>
        <v>MC74ACT20NG</v>
      </c>
      <c r="B33046" s="3" t="s">
        <v>95</v>
      </c>
      <c r="C33046" s="6">
        <v>30893</v>
      </c>
      <c r="D33046" s="7">
        <v>0.95</v>
      </c>
      <c r="E33046" t="s">
        <v>31</v>
      </c>
    </row>
    <row r="33047" spans="1:5" x14ac:dyDescent="0.25">
      <c r="A33047" t="str">
        <f>HYPERLINK("https://www.773grp.com/globalSearch/MC74ACT540DT/page-1", "MC74ACT540DT")</f>
        <v>MC74ACT540DT</v>
      </c>
      <c r="B33047" s="3" t="s">
        <v>95</v>
      </c>
      <c r="C33047" s="6">
        <v>1607</v>
      </c>
      <c r="D33047" s="7">
        <v>0.95</v>
      </c>
      <c r="E33047" t="s">
        <v>14</v>
      </c>
    </row>
    <row r="33048" spans="1:5" x14ac:dyDescent="0.25">
      <c r="A33048" t="str">
        <f>HYPERLINK("https://www.773grp.com/globalSearch/MC74ACT540DT/page-1", "MC74ACT540DT")</f>
        <v>MC74ACT540DT</v>
      </c>
      <c r="B33048" s="3" t="s">
        <v>95</v>
      </c>
      <c r="C33048" s="6">
        <v>8125</v>
      </c>
      <c r="D33048" s="7">
        <v>0.95</v>
      </c>
      <c r="E33048" t="s">
        <v>14</v>
      </c>
    </row>
    <row r="33049" spans="1:5" x14ac:dyDescent="0.25">
      <c r="A33049" t="str">
        <f>HYPERLINK("https://www.773grp.com/globalSearch/MC74ACT540M/page-1", "MC74ACT540M")</f>
        <v>MC74ACT540M</v>
      </c>
      <c r="B33049" s="3" t="s">
        <v>95</v>
      </c>
      <c r="C33049" s="6">
        <v>7830</v>
      </c>
      <c r="D33049" s="7">
        <v>0.95</v>
      </c>
      <c r="E33049" t="s">
        <v>14</v>
      </c>
    </row>
    <row r="33050" spans="1:5" x14ac:dyDescent="0.25">
      <c r="A33050" t="str">
        <f>HYPERLINK("https://www.773grp.com/globalSearch/MC74ACT540ML1/page-1", "MC74ACT540ML1")</f>
        <v>MC74ACT540ML1</v>
      </c>
      <c r="B33050" s="3" t="s">
        <v>95</v>
      </c>
      <c r="C33050" s="6">
        <v>4000</v>
      </c>
      <c r="D33050" s="7">
        <v>0.95</v>
      </c>
    </row>
    <row r="33051" spans="1:5" x14ac:dyDescent="0.25">
      <c r="A33051" t="str">
        <f>HYPERLINK("https://www.773grp.com/globalSearch/MC74ACT541ML1/page-1", "MC74ACT541ML1")</f>
        <v>MC74ACT541ML1</v>
      </c>
      <c r="B33051" s="3" t="s">
        <v>95</v>
      </c>
      <c r="C33051" s="6">
        <v>3000</v>
      </c>
      <c r="D33051" s="7">
        <v>0.95</v>
      </c>
    </row>
    <row r="33052" spans="1:5" x14ac:dyDescent="0.25">
      <c r="A33052" t="str">
        <f>HYPERLINK("https://www.773grp.com/globalSearch/MC74F109D/page-1", "MC74F109D")</f>
        <v>MC74F109D</v>
      </c>
      <c r="B33052" s="3" t="s">
        <v>95</v>
      </c>
      <c r="C33052" s="6">
        <v>7192</v>
      </c>
      <c r="D33052" s="7">
        <v>0.95</v>
      </c>
      <c r="E33052" t="s">
        <v>35</v>
      </c>
    </row>
    <row r="33053" spans="1:5" x14ac:dyDescent="0.25">
      <c r="A33053" t="str">
        <f>HYPERLINK("https://www.773grp.com/globalSearch/MC74F109N/page-1", "MC74F109N")</f>
        <v>MC74F109N</v>
      </c>
      <c r="B33053" s="3" t="s">
        <v>95</v>
      </c>
      <c r="C33053" s="6">
        <v>107471</v>
      </c>
      <c r="D33053" s="7">
        <v>0.95</v>
      </c>
      <c r="E33053" t="s">
        <v>35</v>
      </c>
    </row>
    <row r="33054" spans="1:5" x14ac:dyDescent="0.25">
      <c r="A33054" t="str">
        <f>HYPERLINK("https://www.773grp.com/globalSearch/MC74F151D/page-1", "MC74F151D")</f>
        <v>MC74F151D</v>
      </c>
      <c r="B33054" s="3" t="s">
        <v>95</v>
      </c>
      <c r="C33054" s="6">
        <v>10848</v>
      </c>
      <c r="D33054" s="7">
        <v>0.95</v>
      </c>
      <c r="E33054" t="s">
        <v>20</v>
      </c>
    </row>
    <row r="33055" spans="1:5" x14ac:dyDescent="0.25">
      <c r="A33055" t="str">
        <f>HYPERLINK("https://www.773grp.com/globalSearch/MC74F151N/page-1", "MC74F151N")</f>
        <v>MC74F151N</v>
      </c>
      <c r="B33055" s="3" t="s">
        <v>95</v>
      </c>
      <c r="C33055" s="6">
        <v>210</v>
      </c>
      <c r="D33055" s="7">
        <v>0.95</v>
      </c>
      <c r="E33055" t="s">
        <v>20</v>
      </c>
    </row>
    <row r="33056" spans="1:5" x14ac:dyDescent="0.25">
      <c r="A33056" t="str">
        <f>HYPERLINK("https://www.773grp.com/globalSearch/MC74F153DR2/page-1", "MC74F153DR2")</f>
        <v>MC74F153DR2</v>
      </c>
      <c r="B33056" s="3" t="s">
        <v>95</v>
      </c>
      <c r="C33056" s="6">
        <v>12500</v>
      </c>
      <c r="D33056" s="7">
        <v>0.95</v>
      </c>
      <c r="E33056" t="s">
        <v>20</v>
      </c>
    </row>
    <row r="33057" spans="1:5" x14ac:dyDescent="0.25">
      <c r="A33057" t="str">
        <f>HYPERLINK("https://www.773grp.com/globalSearch/MC74F153M/page-1", "MC74F153M")</f>
        <v>MC74F153M</v>
      </c>
      <c r="B33057" s="3" t="s">
        <v>95</v>
      </c>
      <c r="C33057" s="6">
        <v>1800</v>
      </c>
      <c r="D33057" s="7">
        <v>0.95</v>
      </c>
    </row>
    <row r="33058" spans="1:5" x14ac:dyDescent="0.25">
      <c r="A33058" t="str">
        <f>HYPERLINK("https://www.773grp.com/globalSearch/MC74F153MEL/page-1", "MC74F153MEL")</f>
        <v>MC74F153MEL</v>
      </c>
      <c r="B33058" s="3" t="s">
        <v>95</v>
      </c>
      <c r="C33058" s="6">
        <v>10000</v>
      </c>
      <c r="D33058" s="7">
        <v>0.95</v>
      </c>
    </row>
    <row r="33059" spans="1:5" x14ac:dyDescent="0.25">
      <c r="A33059" t="str">
        <f>HYPERLINK("https://www.773grp.com/globalSearch/MC74F153ML1/page-1", "MC74F153ML1")</f>
        <v>MC74F153ML1</v>
      </c>
      <c r="B33059" s="3" t="s">
        <v>95</v>
      </c>
      <c r="C33059" s="6">
        <v>4000</v>
      </c>
      <c r="D33059" s="7">
        <v>0.95</v>
      </c>
    </row>
    <row r="33060" spans="1:5" x14ac:dyDescent="0.25">
      <c r="A33060" t="str">
        <f>HYPERLINK("https://www.773grp.com/globalSearch/MC74F153MR1/page-1", "MC74F153MR1")</f>
        <v>MC74F153MR1</v>
      </c>
      <c r="B33060" s="3" t="s">
        <v>95</v>
      </c>
      <c r="C33060" s="6">
        <v>4000</v>
      </c>
      <c r="D33060" s="7">
        <v>0.95</v>
      </c>
    </row>
    <row r="33061" spans="1:5" x14ac:dyDescent="0.25">
      <c r="A33061" t="str">
        <f>HYPERLINK("https://www.773grp.com/globalSearch/MC74F153N/page-1", "MC74F153N")</f>
        <v>MC74F153N</v>
      </c>
      <c r="B33061" s="3" t="s">
        <v>95</v>
      </c>
      <c r="C33061" s="6">
        <v>7975</v>
      </c>
      <c r="D33061" s="7">
        <v>0.95</v>
      </c>
      <c r="E33061" t="s">
        <v>20</v>
      </c>
    </row>
    <row r="33062" spans="1:5" x14ac:dyDescent="0.25">
      <c r="A33062" t="str">
        <f>HYPERLINK("https://www.773grp.com/globalSearch/MC74F158AD/page-1", "MC74F158AD")</f>
        <v>MC74F158AD</v>
      </c>
      <c r="B33062" s="3" t="s">
        <v>95</v>
      </c>
      <c r="C33062" s="6">
        <v>8108</v>
      </c>
      <c r="D33062" s="7">
        <v>0.95</v>
      </c>
      <c r="E33062" t="s">
        <v>20</v>
      </c>
    </row>
    <row r="33063" spans="1:5" x14ac:dyDescent="0.25">
      <c r="A33063" t="str">
        <f>HYPERLINK("https://www.773grp.com/globalSearch/MC74F158ADR2/page-1", "MC74F158ADR2")</f>
        <v>MC74F158ADR2</v>
      </c>
      <c r="B33063" s="3" t="s">
        <v>95</v>
      </c>
      <c r="C33063" s="6">
        <v>2500</v>
      </c>
      <c r="D33063" s="7">
        <v>0.95</v>
      </c>
      <c r="E33063" t="s">
        <v>20</v>
      </c>
    </row>
    <row r="33064" spans="1:5" x14ac:dyDescent="0.25">
      <c r="A33064" t="str">
        <f>HYPERLINK("https://www.773grp.com/globalSearch/MC74F158AM/page-1", "MC74F158AM")</f>
        <v>MC74F158AM</v>
      </c>
      <c r="B33064" s="3" t="s">
        <v>95</v>
      </c>
      <c r="C33064" s="6">
        <v>514</v>
      </c>
      <c r="D33064" s="7">
        <v>0.95</v>
      </c>
    </row>
    <row r="33065" spans="1:5" x14ac:dyDescent="0.25">
      <c r="A33065" t="str">
        <f>HYPERLINK("https://www.773grp.com/globalSearch/MC74F158AMEL/page-1", "MC74F158AMEL")</f>
        <v>MC74F158AMEL</v>
      </c>
      <c r="B33065" s="3" t="s">
        <v>95</v>
      </c>
      <c r="C33065" s="6">
        <v>2000</v>
      </c>
      <c r="D33065" s="7">
        <v>0.95</v>
      </c>
    </row>
    <row r="33066" spans="1:5" x14ac:dyDescent="0.25">
      <c r="A33066" t="str">
        <f>HYPERLINK("https://www.773grp.com/globalSearch/MC74F158AN/page-1", "MC74F158AN")</f>
        <v>MC74F158AN</v>
      </c>
      <c r="B33066" s="3" t="s">
        <v>95</v>
      </c>
      <c r="C33066" s="6">
        <v>4269</v>
      </c>
      <c r="D33066" s="7">
        <v>0.95</v>
      </c>
      <c r="E33066" t="s">
        <v>20</v>
      </c>
    </row>
    <row r="33067" spans="1:5" x14ac:dyDescent="0.25">
      <c r="A33067" t="str">
        <f>HYPERLINK("https://www.773grp.com/globalSearch/MC74F161AD/page-1", "MC74F161AD")</f>
        <v>MC74F161AD</v>
      </c>
      <c r="B33067" s="3" t="s">
        <v>95</v>
      </c>
      <c r="C33067" s="6">
        <v>36</v>
      </c>
      <c r="D33067" s="7">
        <v>0.95</v>
      </c>
      <c r="E33067" t="s">
        <v>26</v>
      </c>
    </row>
    <row r="33068" spans="1:5" x14ac:dyDescent="0.25">
      <c r="A33068" t="str">
        <f>HYPERLINK("https://www.773grp.com/globalSearch/MC74F161ADR2/page-1", "MC74F161ADR2")</f>
        <v>MC74F161ADR2</v>
      </c>
      <c r="B33068" s="3" t="s">
        <v>95</v>
      </c>
      <c r="C33068" s="6">
        <v>2500</v>
      </c>
      <c r="D33068" s="7">
        <v>0.95</v>
      </c>
      <c r="E33068" t="s">
        <v>26</v>
      </c>
    </row>
    <row r="33069" spans="1:5" x14ac:dyDescent="0.25">
      <c r="A33069" t="str">
        <f>HYPERLINK("https://www.773grp.com/globalSearch/MC74F161AM/page-1", "MC74F161AM")</f>
        <v>MC74F161AM</v>
      </c>
      <c r="B33069" s="3" t="s">
        <v>95</v>
      </c>
      <c r="C33069" s="6">
        <v>3072</v>
      </c>
      <c r="D33069" s="7">
        <v>0.95</v>
      </c>
    </row>
    <row r="33070" spans="1:5" x14ac:dyDescent="0.25">
      <c r="A33070" t="str">
        <f>HYPERLINK("https://www.773grp.com/globalSearch/MC74F161AML/page-1", "MC74F161AML")</f>
        <v>MC74F161AML</v>
      </c>
      <c r="B33070" s="3" t="s">
        <v>95</v>
      </c>
      <c r="C33070" s="6">
        <v>2000</v>
      </c>
      <c r="D33070" s="7">
        <v>0.95</v>
      </c>
    </row>
    <row r="33071" spans="1:5" x14ac:dyDescent="0.25">
      <c r="A33071" t="str">
        <f>HYPERLINK("https://www.773grp.com/globalSearch/MC74F163AD/page-1", "MC74F163AD")</f>
        <v>MC74F163AD</v>
      </c>
      <c r="B33071" s="3" t="s">
        <v>95</v>
      </c>
      <c r="C33071" s="6">
        <v>6338</v>
      </c>
      <c r="D33071" s="7">
        <v>0.95</v>
      </c>
      <c r="E33071" t="s">
        <v>26</v>
      </c>
    </row>
    <row r="33072" spans="1:5" x14ac:dyDescent="0.25">
      <c r="A33072" t="str">
        <f>HYPERLINK("https://www.773grp.com/globalSearch/MC74F163AML1/page-1", "MC74F163AML1")</f>
        <v>MC74F163AML1</v>
      </c>
      <c r="B33072" s="3" t="s">
        <v>95</v>
      </c>
      <c r="C33072" s="6">
        <v>6000</v>
      </c>
      <c r="D33072" s="7">
        <v>0.95</v>
      </c>
    </row>
    <row r="33073" spans="1:5" x14ac:dyDescent="0.25">
      <c r="A33073" t="str">
        <f>HYPERLINK("https://www.773grp.com/globalSearch/MC74F163AN/page-1", "MC74F163AN")</f>
        <v>MC74F163AN</v>
      </c>
      <c r="B33073" s="3" t="s">
        <v>95</v>
      </c>
      <c r="C33073" s="6">
        <v>576</v>
      </c>
      <c r="D33073" s="7">
        <v>0.95</v>
      </c>
      <c r="E33073" t="s">
        <v>26</v>
      </c>
    </row>
    <row r="33074" spans="1:5" x14ac:dyDescent="0.25">
      <c r="A33074" t="str">
        <f>HYPERLINK("https://www.773grp.com/globalSearch/MC74F164D/page-1", "MC74F164D")</f>
        <v>MC74F164D</v>
      </c>
      <c r="B33074" s="3" t="s">
        <v>95</v>
      </c>
      <c r="C33074" s="6">
        <v>5025</v>
      </c>
      <c r="D33074" s="7">
        <v>0.95</v>
      </c>
      <c r="E33074" t="s">
        <v>32</v>
      </c>
    </row>
    <row r="33075" spans="1:5" x14ac:dyDescent="0.25">
      <c r="A33075" t="str">
        <f>HYPERLINK("https://www.773grp.com/globalSearch/MC74F164M/page-1", "MC74F164M")</f>
        <v>MC74F164M</v>
      </c>
      <c r="B33075" s="3" t="s">
        <v>95</v>
      </c>
      <c r="C33075" s="6">
        <v>50</v>
      </c>
      <c r="D33075" s="7">
        <v>0.95</v>
      </c>
    </row>
    <row r="33076" spans="1:5" x14ac:dyDescent="0.25">
      <c r="A33076" t="str">
        <f>HYPERLINK("https://www.773grp.com/globalSearch/MC74F164ML1/page-1", "MC74F164ML1")</f>
        <v>MC74F164ML1</v>
      </c>
      <c r="B33076" s="3" t="s">
        <v>95</v>
      </c>
      <c r="C33076" s="6">
        <v>2000</v>
      </c>
      <c r="D33076" s="7">
        <v>0.95</v>
      </c>
    </row>
    <row r="33077" spans="1:5" x14ac:dyDescent="0.25">
      <c r="A33077" t="str">
        <f>HYPERLINK("https://www.773grp.com/globalSearch/MC74F280D/page-1", "MC74F280D")</f>
        <v>MC74F280D</v>
      </c>
      <c r="B33077" s="3" t="s">
        <v>95</v>
      </c>
      <c r="C33077" s="6">
        <v>4014</v>
      </c>
      <c r="D33077" s="7">
        <v>0.95</v>
      </c>
      <c r="E33077" t="s">
        <v>43</v>
      </c>
    </row>
    <row r="33078" spans="1:5" x14ac:dyDescent="0.25">
      <c r="A33078" t="str">
        <f>HYPERLINK("https://www.773grp.com/globalSearch/MC74F280DR2/page-1", "MC74F280DR2")</f>
        <v>MC74F280DR2</v>
      </c>
      <c r="B33078" s="3" t="s">
        <v>95</v>
      </c>
      <c r="C33078" s="6">
        <v>5000</v>
      </c>
      <c r="D33078" s="7">
        <v>0.95</v>
      </c>
      <c r="E33078" t="s">
        <v>43</v>
      </c>
    </row>
    <row r="33079" spans="1:5" x14ac:dyDescent="0.25">
      <c r="A33079" t="str">
        <f>HYPERLINK("https://www.773grp.com/globalSearch/MC74F283N/page-1", "MC74F283N")</f>
        <v>MC74F283N</v>
      </c>
      <c r="B33079" s="3" t="s">
        <v>95</v>
      </c>
      <c r="C33079" s="6">
        <v>1025</v>
      </c>
      <c r="D33079" s="7">
        <v>0.95</v>
      </c>
      <c r="E33079" t="s">
        <v>43</v>
      </c>
    </row>
    <row r="33080" spans="1:5" x14ac:dyDescent="0.25">
      <c r="A33080" t="str">
        <f>HYPERLINK("https://www.773grp.com/globalSearch/MC74HC04AD/page-1", "MC74HC04AD")</f>
        <v>MC74HC04AD</v>
      </c>
      <c r="B33080" s="3" t="s">
        <v>95</v>
      </c>
      <c r="C33080" s="6">
        <v>43689</v>
      </c>
      <c r="D33080" s="7">
        <v>0.95</v>
      </c>
      <c r="E33080" t="s">
        <v>31</v>
      </c>
    </row>
    <row r="33081" spans="1:5" x14ac:dyDescent="0.25">
      <c r="A33081" t="str">
        <f>HYPERLINK("https://www.773grp.com/globalSearch/MC74HC125AFELG/page-1", "MC74HC125AFELG")</f>
        <v>MC74HC125AFELG</v>
      </c>
      <c r="B33081" s="3" t="s">
        <v>95</v>
      </c>
      <c r="C33081" s="6">
        <v>7666</v>
      </c>
      <c r="D33081" s="7">
        <v>0.95</v>
      </c>
      <c r="E33081" t="s">
        <v>14</v>
      </c>
    </row>
    <row r="33082" spans="1:5" x14ac:dyDescent="0.25">
      <c r="A33082" t="str">
        <f>HYPERLINK("https://www.773grp.com/globalSearch/MC74HC125AFG/page-1", "MC74HC125AFG")</f>
        <v>MC74HC125AFG</v>
      </c>
      <c r="B33082" s="3" t="s">
        <v>95</v>
      </c>
      <c r="C33082" s="6">
        <v>20870</v>
      </c>
      <c r="D33082" s="7">
        <v>0.95</v>
      </c>
      <c r="E33082" t="s">
        <v>14</v>
      </c>
    </row>
    <row r="33083" spans="1:5" x14ac:dyDescent="0.25">
      <c r="A33083" t="str">
        <f>HYPERLINK("https://www.773grp.com/globalSearch/MC74HC126AFELG/page-1", "MC74HC126AFELG")</f>
        <v>MC74HC126AFELG</v>
      </c>
      <c r="B33083" s="3" t="s">
        <v>95</v>
      </c>
      <c r="C33083" s="6">
        <v>2022</v>
      </c>
      <c r="D33083" s="7">
        <v>0.95</v>
      </c>
      <c r="E33083" t="s">
        <v>14</v>
      </c>
    </row>
    <row r="33084" spans="1:5" x14ac:dyDescent="0.25">
      <c r="A33084" t="str">
        <f>HYPERLINK("https://www.773grp.com/globalSearch/MC74HC132AFELG/page-1", "MC74HC132AFELG")</f>
        <v>MC74HC132AFELG</v>
      </c>
      <c r="B33084" s="3" t="s">
        <v>95</v>
      </c>
      <c r="C33084" s="6">
        <v>10464</v>
      </c>
      <c r="D33084" s="7">
        <v>0.95</v>
      </c>
      <c r="E33084" t="s">
        <v>31</v>
      </c>
    </row>
    <row r="33085" spans="1:5" x14ac:dyDescent="0.25">
      <c r="A33085" t="str">
        <f>HYPERLINK("https://www.773grp.com/globalSearch/MC74HC138AFG/page-1", "MC74HC138AFG")</f>
        <v>MC74HC138AFG</v>
      </c>
      <c r="B33085" s="3" t="s">
        <v>95</v>
      </c>
      <c r="C33085" s="6">
        <v>19754</v>
      </c>
      <c r="D33085" s="7">
        <v>0.95</v>
      </c>
      <c r="E33085" t="s">
        <v>36</v>
      </c>
    </row>
    <row r="33086" spans="1:5" x14ac:dyDescent="0.25">
      <c r="A33086" t="str">
        <f>HYPERLINK("https://www.773grp.com/globalSearch/MC74HC14AN/page-1", "MC74HC14AN")</f>
        <v>MC74HC14AN</v>
      </c>
      <c r="B33086" s="3" t="s">
        <v>95</v>
      </c>
      <c r="C33086" s="6">
        <v>22384</v>
      </c>
      <c r="D33086" s="7">
        <v>0.95</v>
      </c>
      <c r="E33086" t="s">
        <v>31</v>
      </c>
    </row>
    <row r="33087" spans="1:5" x14ac:dyDescent="0.25">
      <c r="A33087" t="str">
        <f>HYPERLINK("https://www.773grp.com/globalSearch/MC74HC14ANG/page-1", "MC74HC14ANG")</f>
        <v>MC74HC14ANG</v>
      </c>
      <c r="B33087" s="3" t="s">
        <v>95</v>
      </c>
      <c r="C33087" s="6">
        <v>4452</v>
      </c>
      <c r="D33087" s="7">
        <v>0.95</v>
      </c>
      <c r="E33087" t="s">
        <v>31</v>
      </c>
    </row>
    <row r="33088" spans="1:5" x14ac:dyDescent="0.25">
      <c r="A33088" t="str">
        <f>HYPERLINK("https://www.773grp.com/globalSearch/MC74HC164ANG/page-1", "MC74HC164ANG")</f>
        <v>MC74HC164ANG</v>
      </c>
      <c r="B33088" s="3" t="s">
        <v>95</v>
      </c>
      <c r="C33088" s="6">
        <v>57522</v>
      </c>
      <c r="D33088" s="7">
        <v>0.95</v>
      </c>
      <c r="E33088" t="s">
        <v>32</v>
      </c>
    </row>
    <row r="33089" spans="1:5" x14ac:dyDescent="0.25">
      <c r="A33089" t="str">
        <f>HYPERLINK("https://www.773grp.com/globalSearch/MC74HC165ANG/page-1", "MC74HC165ANG")</f>
        <v>MC74HC165ANG</v>
      </c>
      <c r="B33089" s="3" t="s">
        <v>95</v>
      </c>
      <c r="C33089" s="6">
        <v>3578</v>
      </c>
      <c r="D33089" s="7">
        <v>0.95</v>
      </c>
      <c r="E33089" t="s">
        <v>32</v>
      </c>
    </row>
    <row r="33090" spans="1:5" x14ac:dyDescent="0.25">
      <c r="A33090" t="str">
        <f>HYPERLINK("https://www.773grp.com/globalSearch/MC74HC174ANG/page-1", "MC74HC174ANG")</f>
        <v>MC74HC174ANG</v>
      </c>
      <c r="B33090" s="3" t="s">
        <v>95</v>
      </c>
      <c r="C33090" s="6">
        <v>47227</v>
      </c>
      <c r="D33090" s="7">
        <v>0.95</v>
      </c>
      <c r="E33090" t="s">
        <v>35</v>
      </c>
    </row>
    <row r="33091" spans="1:5" x14ac:dyDescent="0.25">
      <c r="A33091" t="str">
        <f>HYPERLINK("https://www.773grp.com/globalSearch/MC74HC175ANG/page-1", "MC74HC175ANG")</f>
        <v>MC74HC175ANG</v>
      </c>
      <c r="B33091" s="3" t="s">
        <v>95</v>
      </c>
      <c r="C33091" s="6">
        <v>22559</v>
      </c>
      <c r="D33091" s="7">
        <v>0.95</v>
      </c>
      <c r="E33091" t="s">
        <v>35</v>
      </c>
    </row>
    <row r="33092" spans="1:5" x14ac:dyDescent="0.25">
      <c r="A33092" t="str">
        <f>HYPERLINK("https://www.773grp.com/globalSearch/MC74HC377ADTG/page-1", "MC74HC377ADTG")</f>
        <v>MC74HC377ADTG</v>
      </c>
      <c r="B33092" s="3" t="s">
        <v>95</v>
      </c>
      <c r="C33092" s="6">
        <v>900</v>
      </c>
      <c r="D33092" s="7">
        <v>0.95</v>
      </c>
    </row>
    <row r="33093" spans="1:5" x14ac:dyDescent="0.25">
      <c r="A33093" t="str">
        <f>HYPERLINK("https://www.773grp.com/globalSearch/MC74HC377ADTR2G/page-1", "MC74HC377ADTR2G")</f>
        <v>MC74HC377ADTR2G</v>
      </c>
      <c r="B33093" s="3" t="s">
        <v>95</v>
      </c>
      <c r="C33093" s="6">
        <v>10000</v>
      </c>
      <c r="D33093" s="7">
        <v>0.95</v>
      </c>
    </row>
    <row r="33094" spans="1:5" x14ac:dyDescent="0.25">
      <c r="A33094" t="str">
        <f>HYPERLINK("https://www.773grp.com/globalSearch/MC74HC390ANG/page-1", "MC74HC390ANG")</f>
        <v>MC74HC390ANG</v>
      </c>
      <c r="B33094" s="3" t="s">
        <v>95</v>
      </c>
      <c r="C33094" s="6">
        <v>12969</v>
      </c>
      <c r="D33094" s="7">
        <v>0.95</v>
      </c>
      <c r="E33094" t="s">
        <v>26</v>
      </c>
    </row>
    <row r="33095" spans="1:5" x14ac:dyDescent="0.25">
      <c r="A33095" t="str">
        <f>HYPERLINK("https://www.773grp.com/globalSearch/MC74HC4020ANG/page-1", "MC74HC4020ANG")</f>
        <v>MC74HC4020ANG</v>
      </c>
      <c r="B33095" s="3" t="s">
        <v>95</v>
      </c>
      <c r="C33095" s="6">
        <v>4081</v>
      </c>
      <c r="D33095" s="7">
        <v>0.95</v>
      </c>
      <c r="E33095" t="s">
        <v>26</v>
      </c>
    </row>
    <row r="33096" spans="1:5" x14ac:dyDescent="0.25">
      <c r="A33096" t="str">
        <f>HYPERLINK("https://www.773grp.com/globalSearch/MC74HC4024N/page-1", "MC74HC4024N")</f>
        <v>MC74HC4024N</v>
      </c>
      <c r="B33096" s="3" t="s">
        <v>95</v>
      </c>
      <c r="C33096" s="6">
        <v>5</v>
      </c>
      <c r="D33096" s="7">
        <v>0.95</v>
      </c>
      <c r="E33096" t="s">
        <v>26</v>
      </c>
    </row>
    <row r="33097" spans="1:5" x14ac:dyDescent="0.25">
      <c r="A33097" t="str">
        <f>HYPERLINK("https://www.773grp.com/globalSearch/MC74HC4040ANG/page-1", "MC74HC4040ANG")</f>
        <v>MC74HC4040ANG</v>
      </c>
      <c r="B33097" s="3" t="s">
        <v>95</v>
      </c>
      <c r="C33097" s="6">
        <v>6925</v>
      </c>
      <c r="D33097" s="7">
        <v>0.95</v>
      </c>
      <c r="E33097" t="s">
        <v>26</v>
      </c>
    </row>
    <row r="33098" spans="1:5" x14ac:dyDescent="0.25">
      <c r="A33098" t="str">
        <f>HYPERLINK("https://www.773grp.com/globalSearch/MC74HC4046AD/page-1", "MC74HC4046AD")</f>
        <v>MC74HC4046AD</v>
      </c>
      <c r="B33098" s="3" t="s">
        <v>95</v>
      </c>
      <c r="C33098" s="6">
        <v>1592</v>
      </c>
      <c r="D33098" s="7">
        <v>0.95</v>
      </c>
      <c r="E33098" t="s">
        <v>38</v>
      </c>
    </row>
    <row r="33099" spans="1:5" x14ac:dyDescent="0.25">
      <c r="A33099" t="str">
        <f>HYPERLINK("https://www.773grp.com/globalSearch/MC74HC4046ADG/page-1", "MC74HC4046ADG")</f>
        <v>MC74HC4046ADG</v>
      </c>
      <c r="B33099" s="3" t="s">
        <v>95</v>
      </c>
      <c r="C33099" s="6">
        <v>48</v>
      </c>
      <c r="D33099" s="7">
        <v>0.95</v>
      </c>
      <c r="E33099" t="s">
        <v>38</v>
      </c>
    </row>
    <row r="33100" spans="1:5" x14ac:dyDescent="0.25">
      <c r="A33100" t="str">
        <f>HYPERLINK("https://www.773grp.com/globalSearch/MC74HC4046ADR2/page-1", "MC74HC4046ADR2")</f>
        <v>MC74HC4046ADR2</v>
      </c>
      <c r="B33100" s="3" t="s">
        <v>95</v>
      </c>
      <c r="C33100" s="6">
        <v>1807</v>
      </c>
      <c r="D33100" s="7">
        <v>0.95</v>
      </c>
      <c r="E33100" t="s">
        <v>38</v>
      </c>
    </row>
    <row r="33101" spans="1:5" x14ac:dyDescent="0.25">
      <c r="A33101" t="str">
        <f>HYPERLINK("https://www.773grp.com/globalSearch/MC74HC4046ADR2G/page-1", "MC74HC4046ADR2G")</f>
        <v>MC74HC4046ADR2G</v>
      </c>
      <c r="B33101" s="3" t="s">
        <v>95</v>
      </c>
      <c r="C33101" s="6">
        <v>25410</v>
      </c>
      <c r="D33101" s="7">
        <v>0.95</v>
      </c>
      <c r="E33101" t="s">
        <v>38</v>
      </c>
    </row>
    <row r="33102" spans="1:5" x14ac:dyDescent="0.25">
      <c r="A33102" t="str">
        <f>HYPERLINK("https://www.773grp.com/globalSearch/MC74HC4051FL1/page-1", "MC74HC4051FL1")</f>
        <v>MC74HC4051FL1</v>
      </c>
      <c r="B33102" s="3" t="s">
        <v>95</v>
      </c>
      <c r="C33102" s="6">
        <v>4000</v>
      </c>
      <c r="D33102" s="7">
        <v>0.95</v>
      </c>
    </row>
    <row r="33103" spans="1:5" x14ac:dyDescent="0.25">
      <c r="A33103" t="str">
        <f>HYPERLINK("https://www.773grp.com/globalSearch/MC74HC4051FL2/page-1", "MC74HC4051FL2")</f>
        <v>MC74HC4051FL2</v>
      </c>
      <c r="B33103" s="3" t="s">
        <v>95</v>
      </c>
      <c r="C33103" s="6">
        <v>2000</v>
      </c>
      <c r="D33103" s="7">
        <v>0.95</v>
      </c>
    </row>
    <row r="33104" spans="1:5" x14ac:dyDescent="0.25">
      <c r="A33104" t="str">
        <f>HYPERLINK("https://www.773grp.com/globalSearch/MC74HC4051FR2/page-1", "MC74HC4051FR2")</f>
        <v>MC74HC4051FR2</v>
      </c>
      <c r="B33104" s="3" t="s">
        <v>95</v>
      </c>
      <c r="C33104" s="6">
        <v>6000</v>
      </c>
      <c r="D33104" s="7">
        <v>0.95</v>
      </c>
    </row>
    <row r="33105" spans="1:5" x14ac:dyDescent="0.25">
      <c r="A33105" t="str">
        <f>HYPERLINK("https://www.773grp.com/globalSearch/MC74HC4052FR1/page-1", "MC74HC4052FR1")</f>
        <v>MC74HC4052FR1</v>
      </c>
      <c r="B33105" s="3" t="s">
        <v>95</v>
      </c>
      <c r="C33105" s="6">
        <v>14000</v>
      </c>
      <c r="D33105" s="7">
        <v>0.95</v>
      </c>
    </row>
    <row r="33106" spans="1:5" x14ac:dyDescent="0.25">
      <c r="A33106" t="str">
        <f>HYPERLINK("https://www.773grp.com/globalSearch/MC74HC4053AFL1/page-1", "MC74HC4053AFL1")</f>
        <v>MC74HC4053AFL1</v>
      </c>
      <c r="B33106" s="3" t="s">
        <v>95</v>
      </c>
      <c r="C33106" s="6">
        <v>8000</v>
      </c>
      <c r="D33106" s="7">
        <v>0.95</v>
      </c>
    </row>
    <row r="33107" spans="1:5" x14ac:dyDescent="0.25">
      <c r="A33107" t="str">
        <f>HYPERLINK("https://www.773grp.com/globalSearch/MC74HC4060ANG/page-1", "MC74HC4060ANG")</f>
        <v>MC74HC4060ANG</v>
      </c>
      <c r="B33107" s="3" t="s">
        <v>95</v>
      </c>
      <c r="C33107" s="6">
        <v>12559</v>
      </c>
      <c r="D33107" s="7">
        <v>0.95</v>
      </c>
      <c r="E33107" t="s">
        <v>26</v>
      </c>
    </row>
    <row r="33108" spans="1:5" x14ac:dyDescent="0.25">
      <c r="A33108" t="str">
        <f>HYPERLINK("https://www.773grp.com/globalSearch/MC74HC4066ANG/page-1", "MC74HC4066ANG")</f>
        <v>MC74HC4066ANG</v>
      </c>
      <c r="B33108" s="3" t="s">
        <v>95</v>
      </c>
      <c r="C33108" s="6">
        <v>13920</v>
      </c>
      <c r="D33108" s="7">
        <v>0.95</v>
      </c>
      <c r="E33108" t="s">
        <v>56</v>
      </c>
    </row>
    <row r="33109" spans="1:5" x14ac:dyDescent="0.25">
      <c r="A33109" t="str">
        <f>HYPERLINK("https://www.773grp.com/globalSearch/MC74HC42D/page-1", "MC74HC42D")</f>
        <v>MC74HC42D</v>
      </c>
      <c r="B33109" s="3" t="s">
        <v>95</v>
      </c>
      <c r="C33109" s="6">
        <v>44</v>
      </c>
      <c r="D33109" s="7">
        <v>0.95</v>
      </c>
      <c r="E33109" t="s">
        <v>36</v>
      </c>
    </row>
    <row r="33110" spans="1:5" x14ac:dyDescent="0.25">
      <c r="A33110" t="str">
        <f>HYPERLINK("https://www.773grp.com/globalSearch/MC74HC42F/page-1", "MC74HC42F")</f>
        <v>MC74HC42F</v>
      </c>
      <c r="B33110" s="3" t="s">
        <v>95</v>
      </c>
      <c r="C33110" s="6">
        <v>750</v>
      </c>
      <c r="D33110" s="7">
        <v>0.95</v>
      </c>
    </row>
    <row r="33111" spans="1:5" x14ac:dyDescent="0.25">
      <c r="A33111" t="str">
        <f>HYPERLINK("https://www.773grp.com/globalSearch/MC74HC42FR1/page-1", "MC74HC42FR1")</f>
        <v>MC74HC42FR1</v>
      </c>
      <c r="B33111" s="3" t="s">
        <v>95</v>
      </c>
      <c r="C33111" s="6">
        <v>2000</v>
      </c>
      <c r="D33111" s="7">
        <v>0.95</v>
      </c>
    </row>
    <row r="33112" spans="1:5" x14ac:dyDescent="0.25">
      <c r="A33112" t="str">
        <f>HYPERLINK("https://www.773grp.com/globalSearch/MC74HC4316ANG/page-1", "MC74HC4316ANG")</f>
        <v>MC74HC4316ANG</v>
      </c>
      <c r="B33112" s="3" t="s">
        <v>95</v>
      </c>
      <c r="C33112" s="6">
        <v>5509</v>
      </c>
      <c r="D33112" s="7">
        <v>0.95</v>
      </c>
      <c r="E33112" t="s">
        <v>56</v>
      </c>
    </row>
    <row r="33113" spans="1:5" x14ac:dyDescent="0.25">
      <c r="A33113" t="str">
        <f>HYPERLINK("https://www.773grp.com/globalSearch/MC74HC4316F/page-1", "MC74HC4316F")</f>
        <v>MC74HC4316F</v>
      </c>
      <c r="B33113" s="3" t="s">
        <v>95</v>
      </c>
      <c r="C33113" s="6">
        <v>1143</v>
      </c>
      <c r="D33113" s="7">
        <v>0.95</v>
      </c>
    </row>
    <row r="33114" spans="1:5" x14ac:dyDescent="0.25">
      <c r="A33114" t="str">
        <f>HYPERLINK("https://www.773grp.com/globalSearch/MC74HC4316FEL/page-1", "MC74HC4316FEL")</f>
        <v>MC74HC4316FEL</v>
      </c>
      <c r="B33114" s="3" t="s">
        <v>95</v>
      </c>
      <c r="C33114" s="6">
        <v>28000</v>
      </c>
      <c r="D33114" s="7">
        <v>0.95</v>
      </c>
    </row>
    <row r="33115" spans="1:5" x14ac:dyDescent="0.25">
      <c r="A33115" t="str">
        <f>HYPERLINK("https://www.773grp.com/globalSearch/MC74HC540AFL1/page-1", "MC74HC540AFL1")</f>
        <v>MC74HC540AFL1</v>
      </c>
      <c r="B33115" s="3" t="s">
        <v>95</v>
      </c>
      <c r="C33115" s="6">
        <v>1000</v>
      </c>
      <c r="D33115" s="7">
        <v>0.95</v>
      </c>
    </row>
    <row r="33116" spans="1:5" x14ac:dyDescent="0.25">
      <c r="A33116" t="str">
        <f>HYPERLINK("https://www.773grp.com/globalSearch/MC74HC541AFL1/page-1", "MC74HC541AFL1")</f>
        <v>MC74HC541AFL1</v>
      </c>
      <c r="B33116" s="3" t="s">
        <v>95</v>
      </c>
      <c r="C33116" s="6">
        <v>6000</v>
      </c>
      <c r="D33116" s="7">
        <v>0.95</v>
      </c>
    </row>
    <row r="33117" spans="1:5" x14ac:dyDescent="0.25">
      <c r="A33117" t="str">
        <f>HYPERLINK("https://www.773grp.com/globalSearch/MC74HC541AFR1/page-1", "MC74HC541AFR1")</f>
        <v>MC74HC541AFR1</v>
      </c>
      <c r="B33117" s="3" t="s">
        <v>95</v>
      </c>
      <c r="C33117" s="6">
        <v>8000</v>
      </c>
      <c r="D33117" s="7">
        <v>0.95</v>
      </c>
    </row>
    <row r="33118" spans="1:5" x14ac:dyDescent="0.25">
      <c r="A33118" t="str">
        <f>HYPERLINK("https://www.773grp.com/globalSearch/MC74HC58N/page-1", "MC74HC58N")</f>
        <v>MC74HC58N</v>
      </c>
      <c r="B33118" s="3" t="s">
        <v>95</v>
      </c>
      <c r="C33118" s="6">
        <v>11841</v>
      </c>
      <c r="D33118" s="7">
        <v>0.95</v>
      </c>
      <c r="E33118" t="s">
        <v>31</v>
      </c>
    </row>
    <row r="33119" spans="1:5" x14ac:dyDescent="0.25">
      <c r="A33119" t="str">
        <f>HYPERLINK("https://www.773grp.com/globalSearch/MC74HC595AFL1/page-1", "MC74HC595AFL1")</f>
        <v>MC74HC595AFL1</v>
      </c>
      <c r="B33119" s="3" t="s">
        <v>95</v>
      </c>
      <c r="C33119" s="6">
        <v>10950</v>
      </c>
      <c r="D33119" s="7">
        <v>0.95</v>
      </c>
    </row>
    <row r="33120" spans="1:5" x14ac:dyDescent="0.25">
      <c r="A33120" t="str">
        <f>HYPERLINK("https://www.773grp.com/globalSearch/MC74HC595AFL2/page-1", "MC74HC595AFL2")</f>
        <v>MC74HC595AFL2</v>
      </c>
      <c r="B33120" s="3" t="s">
        <v>95</v>
      </c>
      <c r="C33120" s="6">
        <v>8000</v>
      </c>
      <c r="D33120" s="7">
        <v>0.95</v>
      </c>
    </row>
    <row r="33121" spans="1:5" x14ac:dyDescent="0.25">
      <c r="A33121" t="str">
        <f>HYPERLINK("https://www.773grp.com/globalSearch/MC74HC595AFR1/page-1", "MC74HC595AFR1")</f>
        <v>MC74HC595AFR1</v>
      </c>
      <c r="B33121" s="3" t="s">
        <v>95</v>
      </c>
      <c r="C33121" s="6">
        <v>1000</v>
      </c>
      <c r="D33121" s="7">
        <v>0.95</v>
      </c>
    </row>
    <row r="33122" spans="1:5" x14ac:dyDescent="0.25">
      <c r="A33122" t="str">
        <f>HYPERLINK("https://www.773grp.com/globalSearch/MC74HC74AFEL/page-1", "MC74HC74AFEL")</f>
        <v>MC74HC74AFEL</v>
      </c>
      <c r="B33122" s="3" t="s">
        <v>95</v>
      </c>
      <c r="C33122" s="6">
        <v>2323</v>
      </c>
      <c r="D33122" s="7">
        <v>0.95</v>
      </c>
      <c r="E33122" t="s">
        <v>35</v>
      </c>
    </row>
    <row r="33123" spans="1:5" x14ac:dyDescent="0.25">
      <c r="A33123" t="str">
        <f>HYPERLINK("https://www.773grp.com/globalSearch/MC74HC74AN/page-1", "MC74HC74AN")</f>
        <v>MC74HC74AN</v>
      </c>
      <c r="B33123" s="3" t="s">
        <v>95</v>
      </c>
      <c r="C33123" s="6">
        <v>35275</v>
      </c>
      <c r="D33123" s="7">
        <v>0.95</v>
      </c>
      <c r="E33123" t="s">
        <v>35</v>
      </c>
    </row>
    <row r="33124" spans="1:5" x14ac:dyDescent="0.25">
      <c r="A33124" t="str">
        <f>HYPERLINK("https://www.773grp.com/globalSearch/MC74HC74ANG/page-1", "MC74HC74ANG")</f>
        <v>MC74HC74ANG</v>
      </c>
      <c r="B33124" s="3" t="s">
        <v>95</v>
      </c>
      <c r="C33124" s="6">
        <v>4795</v>
      </c>
      <c r="D33124" s="7">
        <v>0.95</v>
      </c>
      <c r="E33124" t="s">
        <v>35</v>
      </c>
    </row>
    <row r="33125" spans="1:5" x14ac:dyDescent="0.25">
      <c r="A33125" t="str">
        <f>HYPERLINK("https://www.773grp.com/globalSearch/MC74HCT14ANG/page-1", "MC74HCT14ANG")</f>
        <v>MC74HCT14ANG</v>
      </c>
      <c r="B33125" s="3" t="s">
        <v>95</v>
      </c>
      <c r="C33125" s="6">
        <v>17579</v>
      </c>
      <c r="D33125" s="7">
        <v>0.95</v>
      </c>
      <c r="E33125" t="s">
        <v>31</v>
      </c>
    </row>
    <row r="33126" spans="1:5" x14ac:dyDescent="0.25">
      <c r="A33126" t="str">
        <f>HYPERLINK("https://www.773grp.com/globalSearch/MC74HCT161ADR2/page-1", "MC74HCT161ADR2")</f>
        <v>MC74HCT161ADR2</v>
      </c>
      <c r="B33126" s="3" t="s">
        <v>95</v>
      </c>
      <c r="C33126" s="6">
        <v>1920</v>
      </c>
      <c r="D33126" s="7">
        <v>0.95</v>
      </c>
      <c r="E33126" t="s">
        <v>26</v>
      </c>
    </row>
    <row r="33127" spans="1:5" x14ac:dyDescent="0.25">
      <c r="A33127" t="str">
        <f>HYPERLINK("https://www.773grp.com/globalSearch/MC74HCT163AD/page-1", "MC74HCT163AD")</f>
        <v>MC74HCT163AD</v>
      </c>
      <c r="B33127" s="3" t="s">
        <v>95</v>
      </c>
      <c r="C33127" s="6">
        <v>2969</v>
      </c>
      <c r="D33127" s="7">
        <v>0.95</v>
      </c>
      <c r="E33127" t="s">
        <v>26</v>
      </c>
    </row>
    <row r="33128" spans="1:5" x14ac:dyDescent="0.25">
      <c r="A33128" t="str">
        <f>HYPERLINK("https://www.773grp.com/globalSearch/MC74HCT163ADR2/page-1", "MC74HCT163ADR2")</f>
        <v>MC74HCT163ADR2</v>
      </c>
      <c r="B33128" s="3" t="s">
        <v>95</v>
      </c>
      <c r="C33128" s="6">
        <v>10000</v>
      </c>
      <c r="D33128" s="7">
        <v>0.95</v>
      </c>
      <c r="E33128" t="s">
        <v>26</v>
      </c>
    </row>
    <row r="33129" spans="1:5" x14ac:dyDescent="0.25">
      <c r="A33129" t="str">
        <f>HYPERLINK("https://www.773grp.com/globalSearch/MC74HCT244AFEL/page-1", "MC74HCT244AFEL")</f>
        <v>MC74HCT244AFEL</v>
      </c>
      <c r="B33129" s="3" t="s">
        <v>95</v>
      </c>
      <c r="C33129" s="6">
        <v>2000</v>
      </c>
      <c r="D33129" s="7">
        <v>0.95</v>
      </c>
      <c r="E33129" t="s">
        <v>14</v>
      </c>
    </row>
    <row r="33130" spans="1:5" x14ac:dyDescent="0.25">
      <c r="A33130" t="str">
        <f>HYPERLINK("https://www.773grp.com/globalSearch/MC74HCT74ANG/page-1", "MC74HCT74ANG")</f>
        <v>MC74HCT74ANG</v>
      </c>
      <c r="B33130" s="3" t="s">
        <v>95</v>
      </c>
      <c r="C33130" s="6">
        <v>176092</v>
      </c>
      <c r="D33130" s="7">
        <v>0.95</v>
      </c>
      <c r="E33130" t="s">
        <v>35</v>
      </c>
    </row>
    <row r="33131" spans="1:5" x14ac:dyDescent="0.25">
      <c r="A33131" t="str">
        <f>HYPERLINK("https://www.773grp.com/globalSearch/MC74LCX00MELG/page-1", "MC74LCX00MELG")</f>
        <v>MC74LCX00MELG</v>
      </c>
      <c r="B33131" s="3" t="s">
        <v>95</v>
      </c>
      <c r="C33131" s="6">
        <v>18000</v>
      </c>
      <c r="D33131" s="7">
        <v>0.95</v>
      </c>
      <c r="E33131" t="s">
        <v>31</v>
      </c>
    </row>
    <row r="33132" spans="1:5" x14ac:dyDescent="0.25">
      <c r="A33132" t="str">
        <f>HYPERLINK("https://www.773grp.com/globalSearch/MC74LCX04MELG/page-1", "MC74LCX04MELG")</f>
        <v>MC74LCX04MELG</v>
      </c>
      <c r="B33132" s="3" t="s">
        <v>95</v>
      </c>
      <c r="C33132" s="6">
        <v>48210</v>
      </c>
      <c r="D33132" s="7">
        <v>0.95</v>
      </c>
      <c r="E33132" t="s">
        <v>31</v>
      </c>
    </row>
    <row r="33133" spans="1:5" x14ac:dyDescent="0.25">
      <c r="A33133" t="str">
        <f>HYPERLINK("https://www.773grp.com/globalSearch/MC74LCX07MELG/page-1", "MC74LCX07MELG")</f>
        <v>MC74LCX07MELG</v>
      </c>
      <c r="B33133" s="3" t="s">
        <v>95</v>
      </c>
      <c r="C33133" s="6">
        <v>56510</v>
      </c>
      <c r="D33133" s="7">
        <v>0.95</v>
      </c>
      <c r="E33133" t="s">
        <v>31</v>
      </c>
    </row>
    <row r="33134" spans="1:5" x14ac:dyDescent="0.25">
      <c r="A33134" t="str">
        <f>HYPERLINK("https://www.773grp.com/globalSearch/MC74LCX07MG/page-1", "MC74LCX07MG")</f>
        <v>MC74LCX07MG</v>
      </c>
      <c r="B33134" s="3" t="s">
        <v>95</v>
      </c>
      <c r="C33134" s="6">
        <v>27900</v>
      </c>
      <c r="D33134" s="7">
        <v>0.95</v>
      </c>
      <c r="E33134" t="s">
        <v>31</v>
      </c>
    </row>
    <row r="33135" spans="1:5" x14ac:dyDescent="0.25">
      <c r="A33135" t="str">
        <f>HYPERLINK("https://www.773grp.com/globalSearch/MC74LCX08MELG/page-1", "MC74LCX08MELG")</f>
        <v>MC74LCX08MELG</v>
      </c>
      <c r="B33135" s="3" t="s">
        <v>95</v>
      </c>
      <c r="C33135" s="6">
        <v>18500</v>
      </c>
      <c r="D33135" s="7">
        <v>0.95</v>
      </c>
      <c r="E33135" t="s">
        <v>31</v>
      </c>
    </row>
    <row r="33136" spans="1:5" x14ac:dyDescent="0.25">
      <c r="A33136" t="str">
        <f>HYPERLINK("https://www.773grp.com/globalSearch/MC74LCX125DG/page-1", "MC74LCX125DG")</f>
        <v>MC74LCX125DG</v>
      </c>
      <c r="B33136" s="3" t="s">
        <v>95</v>
      </c>
      <c r="C33136" s="6">
        <v>17874</v>
      </c>
      <c r="D33136" s="7">
        <v>0.95</v>
      </c>
      <c r="E33136" t="s">
        <v>14</v>
      </c>
    </row>
    <row r="33137" spans="1:5" x14ac:dyDescent="0.25">
      <c r="A33137" t="str">
        <f>HYPERLINK("https://www.773grp.com/globalSearch/MC74LCX125DR2G/page-1", "MC74LCX125DR2G")</f>
        <v>MC74LCX125DR2G</v>
      </c>
      <c r="B33137" s="3" t="s">
        <v>95</v>
      </c>
      <c r="C33137" s="6">
        <v>58635</v>
      </c>
      <c r="D33137" s="7">
        <v>0.95</v>
      </c>
      <c r="E33137" t="s">
        <v>14</v>
      </c>
    </row>
    <row r="33138" spans="1:5" x14ac:dyDescent="0.25">
      <c r="A33138" t="str">
        <f>HYPERLINK("https://www.773grp.com/globalSearch/MC74LCX125DTG/page-1", "MC74LCX125DTG")</f>
        <v>MC74LCX125DTG</v>
      </c>
      <c r="B33138" s="3" t="s">
        <v>95</v>
      </c>
      <c r="C33138" s="6">
        <v>11751</v>
      </c>
      <c r="D33138" s="7">
        <v>0.95</v>
      </c>
      <c r="E33138" t="s">
        <v>14</v>
      </c>
    </row>
    <row r="33139" spans="1:5" x14ac:dyDescent="0.25">
      <c r="A33139" t="str">
        <f>HYPERLINK("https://www.773grp.com/globalSearch/MC74LCX125DTR2G/page-1", "MC74LCX125DTR2G")</f>
        <v>MC74LCX125DTR2G</v>
      </c>
      <c r="B33139" s="3" t="s">
        <v>95</v>
      </c>
      <c r="C33139" s="6">
        <v>7308</v>
      </c>
      <c r="D33139" s="7">
        <v>0.95</v>
      </c>
      <c r="E33139" t="s">
        <v>14</v>
      </c>
    </row>
    <row r="33140" spans="1:5" x14ac:dyDescent="0.25">
      <c r="A33140" t="str">
        <f>HYPERLINK("https://www.773grp.com/globalSearch/MC74LCX138DR2/page-1", "MC74LCX138DR2")</f>
        <v>MC74LCX138DR2</v>
      </c>
      <c r="B33140" s="3" t="s">
        <v>95</v>
      </c>
      <c r="C33140" s="6">
        <v>468</v>
      </c>
      <c r="D33140" s="7">
        <v>0.95</v>
      </c>
      <c r="E33140" t="s">
        <v>36</v>
      </c>
    </row>
    <row r="33141" spans="1:5" x14ac:dyDescent="0.25">
      <c r="A33141" t="str">
        <f>HYPERLINK("https://www.773grp.com/globalSearch/MC74LCX138DR2G/page-1", "MC74LCX138DR2G")</f>
        <v>MC74LCX138DR2G</v>
      </c>
      <c r="B33141" s="3" t="s">
        <v>95</v>
      </c>
      <c r="C33141" s="6">
        <v>11807</v>
      </c>
      <c r="D33141" s="7">
        <v>0.95</v>
      </c>
      <c r="E33141" t="s">
        <v>36</v>
      </c>
    </row>
    <row r="33142" spans="1:5" x14ac:dyDescent="0.25">
      <c r="A33142" t="str">
        <f>HYPERLINK("https://www.773grp.com/globalSearch/MC74LCX138DTG/page-1", "MC74LCX138DTG")</f>
        <v>MC74LCX138DTG</v>
      </c>
      <c r="B33142" s="3" t="s">
        <v>95</v>
      </c>
      <c r="C33142" s="6">
        <v>14744</v>
      </c>
      <c r="D33142" s="7">
        <v>0.95</v>
      </c>
      <c r="E33142" t="s">
        <v>36</v>
      </c>
    </row>
    <row r="33143" spans="1:5" x14ac:dyDescent="0.25">
      <c r="A33143" t="str">
        <f>HYPERLINK("https://www.773grp.com/globalSearch/MC74LCX138DTR2G/page-1", "MC74LCX138DTR2G")</f>
        <v>MC74LCX138DTR2G</v>
      </c>
      <c r="B33143" s="3" t="s">
        <v>95</v>
      </c>
      <c r="C33143" s="6">
        <v>43708</v>
      </c>
      <c r="D33143" s="7">
        <v>0.95</v>
      </c>
      <c r="E33143" t="s">
        <v>36</v>
      </c>
    </row>
    <row r="33144" spans="1:5" x14ac:dyDescent="0.25">
      <c r="A33144" t="str">
        <f>HYPERLINK("https://www.773grp.com/globalSearch/MC74LCX139DR2G/page-1", "MC74LCX139DR2G")</f>
        <v>MC74LCX139DR2G</v>
      </c>
      <c r="B33144" s="3" t="s">
        <v>95</v>
      </c>
      <c r="C33144" s="6">
        <v>14530</v>
      </c>
      <c r="D33144" s="7">
        <v>0.95</v>
      </c>
      <c r="E33144" t="s">
        <v>36</v>
      </c>
    </row>
    <row r="33145" spans="1:5" x14ac:dyDescent="0.25">
      <c r="A33145" t="str">
        <f>HYPERLINK("https://www.773grp.com/globalSearch/MC74LCX139DTG/page-1", "MC74LCX139DTG")</f>
        <v>MC74LCX139DTG</v>
      </c>
      <c r="B33145" s="3" t="s">
        <v>95</v>
      </c>
      <c r="C33145" s="6">
        <v>3072</v>
      </c>
      <c r="D33145" s="7">
        <v>0.95</v>
      </c>
      <c r="E33145" t="s">
        <v>36</v>
      </c>
    </row>
    <row r="33146" spans="1:5" x14ac:dyDescent="0.25">
      <c r="A33146" t="str">
        <f>HYPERLINK("https://www.773grp.com/globalSearch/MC74LCX139DTR2G/page-1", "MC74LCX139DTR2G")</f>
        <v>MC74LCX139DTR2G</v>
      </c>
      <c r="B33146" s="3" t="s">
        <v>95</v>
      </c>
      <c r="C33146" s="6">
        <v>5000</v>
      </c>
      <c r="D33146" s="7">
        <v>0.95</v>
      </c>
      <c r="E33146" t="s">
        <v>36</v>
      </c>
    </row>
    <row r="33147" spans="1:5" x14ac:dyDescent="0.25">
      <c r="A33147" t="str">
        <f>HYPERLINK("https://www.773grp.com/globalSearch/MC74LCX14MELG/page-1", "MC74LCX14MELG")</f>
        <v>MC74LCX14MELG</v>
      </c>
      <c r="B33147" s="3" t="s">
        <v>95</v>
      </c>
      <c r="C33147" s="6">
        <v>28000</v>
      </c>
      <c r="D33147" s="7">
        <v>0.95</v>
      </c>
      <c r="E33147" t="s">
        <v>31</v>
      </c>
    </row>
    <row r="33148" spans="1:5" x14ac:dyDescent="0.25">
      <c r="A33148" t="str">
        <f>HYPERLINK("https://www.773grp.com/globalSearch/MC74LCX14MG/page-1", "MC74LCX14MG")</f>
        <v>MC74LCX14MG</v>
      </c>
      <c r="B33148" s="3" t="s">
        <v>95</v>
      </c>
      <c r="C33148" s="6">
        <v>350</v>
      </c>
      <c r="D33148" s="7">
        <v>0.95</v>
      </c>
      <c r="E33148" t="s">
        <v>31</v>
      </c>
    </row>
    <row r="33149" spans="1:5" x14ac:dyDescent="0.25">
      <c r="A33149" t="str">
        <f>HYPERLINK("https://www.773grp.com/globalSearch/MC74LCX157DR2G/page-1", "MC74LCX157DR2G")</f>
        <v>MC74LCX157DR2G</v>
      </c>
      <c r="B33149" s="3" t="s">
        <v>95</v>
      </c>
      <c r="C33149" s="6">
        <v>28495</v>
      </c>
      <c r="D33149" s="7">
        <v>0.95</v>
      </c>
      <c r="E33149" t="s">
        <v>20</v>
      </c>
    </row>
    <row r="33150" spans="1:5" x14ac:dyDescent="0.25">
      <c r="A33150" t="str">
        <f>HYPERLINK("https://www.773grp.com/globalSearch/MC74LCX157DTG/page-1", "MC74LCX157DTG")</f>
        <v>MC74LCX157DTG</v>
      </c>
      <c r="B33150" s="3" t="s">
        <v>95</v>
      </c>
      <c r="C33150" s="6">
        <v>47108</v>
      </c>
      <c r="D33150" s="7">
        <v>0.95</v>
      </c>
      <c r="E33150" t="s">
        <v>20</v>
      </c>
    </row>
    <row r="33151" spans="1:5" x14ac:dyDescent="0.25">
      <c r="A33151" t="str">
        <f>HYPERLINK("https://www.773grp.com/globalSearch/MC74LCX157DTR2/page-1", "MC74LCX157DTR2")</f>
        <v>MC74LCX157DTR2</v>
      </c>
      <c r="B33151" s="3" t="s">
        <v>95</v>
      </c>
      <c r="C33151" s="6">
        <v>40000</v>
      </c>
      <c r="D33151" s="7">
        <v>0.95</v>
      </c>
      <c r="E33151" t="s">
        <v>20</v>
      </c>
    </row>
    <row r="33152" spans="1:5" x14ac:dyDescent="0.25">
      <c r="A33152" t="str">
        <f>HYPERLINK("https://www.773grp.com/globalSearch/MC74LCX157DTR2G/page-1", "MC74LCX157DTR2G")</f>
        <v>MC74LCX157DTR2G</v>
      </c>
      <c r="B33152" s="3" t="s">
        <v>95</v>
      </c>
      <c r="C33152" s="6">
        <v>345598</v>
      </c>
      <c r="D33152" s="7">
        <v>0.95</v>
      </c>
      <c r="E33152" t="s">
        <v>20</v>
      </c>
    </row>
    <row r="33153" spans="1:5" x14ac:dyDescent="0.25">
      <c r="A33153" t="str">
        <f>HYPERLINK("https://www.773grp.com/globalSearch/MC74LCX158DG/page-1", "MC74LCX158DG")</f>
        <v>MC74LCX158DG</v>
      </c>
      <c r="B33153" s="3" t="s">
        <v>95</v>
      </c>
      <c r="C33153" s="6">
        <v>19984</v>
      </c>
      <c r="D33153" s="7">
        <v>0.95</v>
      </c>
      <c r="E33153" t="s">
        <v>20</v>
      </c>
    </row>
    <row r="33154" spans="1:5" x14ac:dyDescent="0.25">
      <c r="A33154" t="str">
        <f>HYPERLINK("https://www.773grp.com/globalSearch/MC74LCX158DTG/page-1", "MC74LCX158DTG")</f>
        <v>MC74LCX158DTG</v>
      </c>
      <c r="B33154" s="3" t="s">
        <v>95</v>
      </c>
      <c r="C33154" s="6">
        <v>1016</v>
      </c>
      <c r="D33154" s="7">
        <v>0.95</v>
      </c>
      <c r="E33154" t="s">
        <v>20</v>
      </c>
    </row>
    <row r="33155" spans="1:5" x14ac:dyDescent="0.25">
      <c r="A33155" t="str">
        <f>HYPERLINK("https://www.773grp.com/globalSearch/MC74LCX240M/page-1", "MC74LCX240M")</f>
        <v>MC74LCX240M</v>
      </c>
      <c r="B33155" s="3" t="s">
        <v>95</v>
      </c>
      <c r="C33155" s="6">
        <v>7680</v>
      </c>
      <c r="D33155" s="7">
        <v>0.95</v>
      </c>
      <c r="E33155" t="s">
        <v>14</v>
      </c>
    </row>
    <row r="33156" spans="1:5" x14ac:dyDescent="0.25">
      <c r="A33156" t="str">
        <f>HYPERLINK("https://www.773grp.com/globalSearch/MC74LCX240SD/page-1", "MC74LCX240SD")</f>
        <v>MC74LCX240SD</v>
      </c>
      <c r="B33156" s="3" t="s">
        <v>95</v>
      </c>
      <c r="C33156" s="6">
        <v>270</v>
      </c>
      <c r="D33156" s="7">
        <v>0.95</v>
      </c>
      <c r="E33156" t="s">
        <v>14</v>
      </c>
    </row>
    <row r="33157" spans="1:5" x14ac:dyDescent="0.25">
      <c r="A33157" t="str">
        <f>HYPERLINK("https://www.773grp.com/globalSearch/MC74LCX244DTEL/page-1", "MC74LCX244DTEL")</f>
        <v>MC74LCX244DTEL</v>
      </c>
      <c r="B33157" s="3" t="s">
        <v>95</v>
      </c>
      <c r="C33157" s="6">
        <v>12000</v>
      </c>
      <c r="D33157" s="7">
        <v>0.95</v>
      </c>
      <c r="E33157" t="s">
        <v>14</v>
      </c>
    </row>
    <row r="33158" spans="1:5" x14ac:dyDescent="0.25">
      <c r="A33158" t="str">
        <f>HYPERLINK("https://www.773grp.com/globalSearch/MC74LCX257DR2G/page-1", "MC74LCX257DR2G")</f>
        <v>MC74LCX257DR2G</v>
      </c>
      <c r="B33158" s="3" t="s">
        <v>95</v>
      </c>
      <c r="C33158" s="6">
        <v>288965</v>
      </c>
      <c r="D33158" s="7">
        <v>0.95</v>
      </c>
      <c r="E33158" t="s">
        <v>20</v>
      </c>
    </row>
    <row r="33159" spans="1:5" x14ac:dyDescent="0.25">
      <c r="A33159" t="str">
        <f>HYPERLINK("https://www.773grp.com/globalSearch/MC74LCX257DTG/page-1", "MC74LCX257DTG")</f>
        <v>MC74LCX257DTG</v>
      </c>
      <c r="B33159" s="3" t="s">
        <v>95</v>
      </c>
      <c r="C33159" s="6">
        <v>18254</v>
      </c>
      <c r="D33159" s="7">
        <v>0.95</v>
      </c>
      <c r="E33159" t="s">
        <v>20</v>
      </c>
    </row>
    <row r="33160" spans="1:5" x14ac:dyDescent="0.25">
      <c r="A33160" t="str">
        <f>HYPERLINK("https://www.773grp.com/globalSearch/MC74LCX257DTR2/page-1", "MC74LCX257DTR2")</f>
        <v>MC74LCX257DTR2</v>
      </c>
      <c r="B33160" s="3" t="s">
        <v>95</v>
      </c>
      <c r="C33160" s="6">
        <v>2500</v>
      </c>
      <c r="D33160" s="7">
        <v>0.95</v>
      </c>
      <c r="E33160" t="s">
        <v>20</v>
      </c>
    </row>
    <row r="33161" spans="1:5" x14ac:dyDescent="0.25">
      <c r="A33161" t="str">
        <f>HYPERLINK("https://www.773grp.com/globalSearch/MC74LCX257DTR2G/page-1", "MC74LCX257DTR2G")</f>
        <v>MC74LCX257DTR2G</v>
      </c>
      <c r="B33161" s="3" t="s">
        <v>95</v>
      </c>
      <c r="C33161" s="6">
        <v>49078</v>
      </c>
      <c r="D33161" s="7">
        <v>0.95</v>
      </c>
      <c r="E33161" t="s">
        <v>20</v>
      </c>
    </row>
    <row r="33162" spans="1:5" x14ac:dyDescent="0.25">
      <c r="A33162" t="str">
        <f>HYPERLINK("https://www.773grp.com/globalSearch/MC74LCX32MELG/page-1", "MC74LCX32MELG")</f>
        <v>MC74LCX32MELG</v>
      </c>
      <c r="B33162" s="3" t="s">
        <v>95</v>
      </c>
      <c r="C33162" s="6">
        <v>22000</v>
      </c>
      <c r="D33162" s="7">
        <v>0.95</v>
      </c>
      <c r="E33162" t="s">
        <v>31</v>
      </c>
    </row>
    <row r="33163" spans="1:5" x14ac:dyDescent="0.25">
      <c r="A33163" t="str">
        <f>HYPERLINK("https://www.773grp.com/globalSearch/MC74LCX374M/page-1", "MC74LCX374M")</f>
        <v>MC74LCX374M</v>
      </c>
      <c r="B33163" s="3" t="s">
        <v>95</v>
      </c>
      <c r="C33163" s="6">
        <v>4850</v>
      </c>
      <c r="D33163" s="7">
        <v>0.95</v>
      </c>
      <c r="E33163" t="s">
        <v>14</v>
      </c>
    </row>
    <row r="33164" spans="1:5" x14ac:dyDescent="0.25">
      <c r="A33164" t="str">
        <f>HYPERLINK("https://www.773grp.com/globalSearch/MC74LCX540DW/page-1", "MC74LCX540DW")</f>
        <v>MC74LCX540DW</v>
      </c>
      <c r="B33164" s="3" t="s">
        <v>95</v>
      </c>
      <c r="C33164" s="6">
        <v>2624</v>
      </c>
      <c r="D33164" s="7">
        <v>0.95</v>
      </c>
      <c r="E33164" t="s">
        <v>14</v>
      </c>
    </row>
    <row r="33165" spans="1:5" x14ac:dyDescent="0.25">
      <c r="A33165" t="str">
        <f>HYPERLINK("https://www.773grp.com/globalSearch/MC74LCX574M/page-1", "MC74LCX574M")</f>
        <v>MC74LCX574M</v>
      </c>
      <c r="B33165" s="3" t="s">
        <v>95</v>
      </c>
      <c r="C33165" s="6">
        <v>3320</v>
      </c>
      <c r="D33165" s="7">
        <v>0.95</v>
      </c>
      <c r="E33165" t="s">
        <v>14</v>
      </c>
    </row>
    <row r="33166" spans="1:5" x14ac:dyDescent="0.25">
      <c r="A33166" t="str">
        <f>HYPERLINK("https://www.773grp.com/globalSearch/MC74LCX74MELG/page-1", "MC74LCX74MELG")</f>
        <v>MC74LCX74MELG</v>
      </c>
      <c r="B33166" s="3" t="s">
        <v>95</v>
      </c>
      <c r="C33166" s="6">
        <v>35063</v>
      </c>
      <c r="D33166" s="7">
        <v>0.95</v>
      </c>
      <c r="E33166" t="s">
        <v>35</v>
      </c>
    </row>
    <row r="33167" spans="1:5" x14ac:dyDescent="0.25">
      <c r="A33167" t="str">
        <f>HYPERLINK("https://www.773grp.com/globalSearch/MC74LVX14MG/page-1", "MC74LVX14MG")</f>
        <v>MC74LVX14MG</v>
      </c>
      <c r="B33167" s="3" t="s">
        <v>95</v>
      </c>
      <c r="C33167" s="6">
        <v>51814</v>
      </c>
      <c r="D33167" s="7">
        <v>0.95</v>
      </c>
      <c r="E33167" t="s">
        <v>31</v>
      </c>
    </row>
    <row r="33168" spans="1:5" x14ac:dyDescent="0.25">
      <c r="A33168" t="str">
        <f>HYPERLINK("https://www.773grp.com/globalSearch/MC74LVX86MG/page-1", "MC74LVX86MG")</f>
        <v>MC74LVX86MG</v>
      </c>
      <c r="B33168" s="3" t="s">
        <v>95</v>
      </c>
      <c r="C33168" s="6">
        <v>28940</v>
      </c>
      <c r="D33168" s="7">
        <v>0.95</v>
      </c>
      <c r="E33168" t="s">
        <v>31</v>
      </c>
    </row>
    <row r="33169" spans="1:5" x14ac:dyDescent="0.25">
      <c r="A33169" t="str">
        <f>HYPERLINK("https://www.773grp.com/globalSearch/MC74VHC00MELG/page-1", "MC74VHC00MELG")</f>
        <v>MC74VHC00MELG</v>
      </c>
      <c r="B33169" s="3" t="s">
        <v>95</v>
      </c>
      <c r="C33169" s="6">
        <v>111000</v>
      </c>
      <c r="D33169" s="7">
        <v>0.95</v>
      </c>
      <c r="E33169" t="s">
        <v>31</v>
      </c>
    </row>
    <row r="33170" spans="1:5" x14ac:dyDescent="0.25">
      <c r="A33170" t="str">
        <f>HYPERLINK("https://www.773grp.com/globalSearch/MC74VHC04MELG/page-1", "MC74VHC04MELG")</f>
        <v>MC74VHC04MELG</v>
      </c>
      <c r="B33170" s="3" t="s">
        <v>95</v>
      </c>
      <c r="C33170" s="6">
        <v>12082</v>
      </c>
      <c r="D33170" s="7">
        <v>0.95</v>
      </c>
      <c r="E33170" t="s">
        <v>31</v>
      </c>
    </row>
    <row r="33171" spans="1:5" x14ac:dyDescent="0.25">
      <c r="A33171" t="str">
        <f>HYPERLINK("https://www.773grp.com/globalSearch/MC74VHC08MELG/page-1", "MC74VHC08MELG")</f>
        <v>MC74VHC08MELG</v>
      </c>
      <c r="B33171" s="3" t="s">
        <v>95</v>
      </c>
      <c r="C33171" s="6">
        <v>49883</v>
      </c>
      <c r="D33171" s="7">
        <v>0.95</v>
      </c>
      <c r="E33171" t="s">
        <v>31</v>
      </c>
    </row>
    <row r="33172" spans="1:5" x14ac:dyDescent="0.25">
      <c r="A33172" t="str">
        <f>HYPERLINK("https://www.773grp.com/globalSearch/MC74VHC32MELG/page-1", "MC74VHC32MELG")</f>
        <v>MC74VHC32MELG</v>
      </c>
      <c r="B33172" s="3" t="s">
        <v>95</v>
      </c>
      <c r="C33172" s="6">
        <v>28000</v>
      </c>
      <c r="D33172" s="7">
        <v>0.95</v>
      </c>
      <c r="E33172" t="s">
        <v>31</v>
      </c>
    </row>
    <row r="33173" spans="1:5" x14ac:dyDescent="0.25">
      <c r="A33173" t="str">
        <f>HYPERLINK("https://www.773grp.com/globalSearch/MC74VHC4051DR2G/page-1", "MC74VHC4051DR2G")</f>
        <v>MC74VHC4051DR2G</v>
      </c>
      <c r="B33173" s="3" t="s">
        <v>95</v>
      </c>
      <c r="C33173" s="6">
        <v>2392</v>
      </c>
      <c r="D33173" s="7">
        <v>0.95</v>
      </c>
      <c r="E33173" t="s">
        <v>56</v>
      </c>
    </row>
    <row r="33174" spans="1:5" x14ac:dyDescent="0.25">
      <c r="A33174" t="str">
        <f>HYPERLINK("https://www.773grp.com/globalSearch/MC74VHC4052DR2G/page-1", "MC74VHC4052DR2G")</f>
        <v>MC74VHC4052DR2G</v>
      </c>
      <c r="B33174" s="3" t="s">
        <v>95</v>
      </c>
      <c r="C33174" s="6">
        <v>11410</v>
      </c>
      <c r="D33174" s="7">
        <v>0.95</v>
      </c>
      <c r="E33174" t="s">
        <v>56</v>
      </c>
    </row>
    <row r="33175" spans="1:5" x14ac:dyDescent="0.25">
      <c r="A33175" t="str">
        <f>HYPERLINK("https://www.773grp.com/globalSearch/MC74VHC4052DTR2G/page-1", "MC74VHC4052DTR2G")</f>
        <v>MC74VHC4052DTR2G</v>
      </c>
      <c r="B33175" s="3" t="s">
        <v>95</v>
      </c>
      <c r="C33175" s="6">
        <v>44317</v>
      </c>
      <c r="D33175" s="7">
        <v>0.95</v>
      </c>
      <c r="E33175" t="s">
        <v>56</v>
      </c>
    </row>
    <row r="33176" spans="1:5" x14ac:dyDescent="0.25">
      <c r="A33176" t="str">
        <f>HYPERLINK("https://www.773grp.com/globalSearch/MC74VHC4053DR2G/page-1", "MC74VHC4053DR2G")</f>
        <v>MC74VHC4053DR2G</v>
      </c>
      <c r="B33176" s="3" t="s">
        <v>95</v>
      </c>
      <c r="C33176" s="6">
        <v>6319</v>
      </c>
      <c r="D33176" s="7">
        <v>0.95</v>
      </c>
      <c r="E33176" t="s">
        <v>56</v>
      </c>
    </row>
    <row r="33177" spans="1:5" x14ac:dyDescent="0.25">
      <c r="A33177" t="str">
        <f>HYPERLINK("https://www.773grp.com/globalSearch/MC74VHC4053DTR2G/page-1", "MC74VHC4053DTR2G")</f>
        <v>MC74VHC4053DTR2G</v>
      </c>
      <c r="B33177" s="3" t="s">
        <v>95</v>
      </c>
      <c r="C33177" s="6">
        <v>7264</v>
      </c>
      <c r="D33177" s="7">
        <v>0.95</v>
      </c>
    </row>
    <row r="33178" spans="1:5" x14ac:dyDescent="0.25">
      <c r="A33178" t="str">
        <f>HYPERLINK("https://www.773grp.com/globalSearch/MC74VHC4316DG/page-1", "MC74VHC4316DG")</f>
        <v>MC74VHC4316DG</v>
      </c>
      <c r="B33178" s="3" t="s">
        <v>95</v>
      </c>
      <c r="C33178" s="6">
        <v>4896</v>
      </c>
      <c r="D33178" s="7">
        <v>0.95</v>
      </c>
    </row>
    <row r="33179" spans="1:5" x14ac:dyDescent="0.25">
      <c r="A33179" t="str">
        <f>HYPERLINK("https://www.773grp.com/globalSearch/MC74VHC4316DR2G/page-1", "MC74VHC4316DR2G")</f>
        <v>MC74VHC4316DR2G</v>
      </c>
      <c r="B33179" s="3" t="s">
        <v>95</v>
      </c>
      <c r="C33179" s="6">
        <v>6866</v>
      </c>
      <c r="D33179" s="7">
        <v>0.95</v>
      </c>
      <c r="E33179" t="s">
        <v>56</v>
      </c>
    </row>
    <row r="33180" spans="1:5" x14ac:dyDescent="0.25">
      <c r="A33180" t="str">
        <f>HYPERLINK("https://www.773grp.com/globalSearch/MC74VHC74MELG/page-1", "MC74VHC74MELG")</f>
        <v>MC74VHC74MELG</v>
      </c>
      <c r="B33180" s="3" t="s">
        <v>95</v>
      </c>
      <c r="C33180" s="6">
        <v>86762</v>
      </c>
      <c r="D33180" s="7">
        <v>0.95</v>
      </c>
      <c r="E33180" t="s">
        <v>35</v>
      </c>
    </row>
    <row r="33181" spans="1:5" x14ac:dyDescent="0.25">
      <c r="A33181" t="str">
        <f>HYPERLINK("https://www.773grp.com/globalSearch/MC74VHC86MELG/page-1", "MC74VHC86MELG")</f>
        <v>MC74VHC86MELG</v>
      </c>
      <c r="B33181" s="3" t="s">
        <v>95</v>
      </c>
      <c r="C33181" s="6">
        <v>36724</v>
      </c>
      <c r="D33181" s="7">
        <v>0.95</v>
      </c>
      <c r="E33181" t="s">
        <v>31</v>
      </c>
    </row>
    <row r="33182" spans="1:5" x14ac:dyDescent="0.25">
      <c r="A33182" t="str">
        <f>HYPERLINK("https://www.773grp.com/globalSearch/MC74VHCT04AMELG/page-1", "MC74VHCT04AMELG")</f>
        <v>MC74VHCT04AMELG</v>
      </c>
      <c r="B33182" s="3" t="s">
        <v>95</v>
      </c>
      <c r="C33182" s="6">
        <v>24000</v>
      </c>
      <c r="D33182" s="7">
        <v>0.95</v>
      </c>
      <c r="E33182" t="s">
        <v>31</v>
      </c>
    </row>
    <row r="33183" spans="1:5" x14ac:dyDescent="0.25">
      <c r="A33183" t="str">
        <f>HYPERLINK("https://www.773grp.com/globalSearch/MC74VHCT08AMELG/page-1", "MC74VHCT08AMELG")</f>
        <v>MC74VHCT08AMELG</v>
      </c>
      <c r="B33183" s="3" t="s">
        <v>95</v>
      </c>
      <c r="C33183" s="6">
        <v>24000</v>
      </c>
      <c r="D33183" s="7">
        <v>0.95</v>
      </c>
      <c r="E33183" t="s">
        <v>31</v>
      </c>
    </row>
    <row r="33184" spans="1:5" x14ac:dyDescent="0.25">
      <c r="A33184" t="str">
        <f>HYPERLINK("https://www.773grp.com/globalSearch/MC74VHCT14AMG/page-1", "MC74VHCT14AMG")</f>
        <v>MC74VHCT14AMG</v>
      </c>
      <c r="B33184" s="3" t="s">
        <v>95</v>
      </c>
      <c r="C33184" s="6">
        <v>42800</v>
      </c>
      <c r="D33184" s="7">
        <v>0.95</v>
      </c>
      <c r="E33184" t="s">
        <v>31</v>
      </c>
    </row>
    <row r="33185" spans="1:5" x14ac:dyDescent="0.25">
      <c r="A33185" t="str">
        <f>HYPERLINK("https://www.773grp.com/globalSearch/MC74VHCT86AMG/page-1", "MC74VHCT86AMG")</f>
        <v>MC74VHCT86AMG</v>
      </c>
      <c r="B33185" s="3" t="s">
        <v>95</v>
      </c>
      <c r="C33185" s="6">
        <v>28990</v>
      </c>
      <c r="D33185" s="7">
        <v>0.95</v>
      </c>
      <c r="E33185" t="s">
        <v>31</v>
      </c>
    </row>
    <row r="33186" spans="1:5" x14ac:dyDescent="0.25">
      <c r="A33186" t="str">
        <f>HYPERLINK("https://www.773grp.com/globalSearch/MC74VHCU04MELG/page-1", "MC74VHCU04MELG")</f>
        <v>MC74VHCU04MELG</v>
      </c>
      <c r="B33186" s="3" t="s">
        <v>95</v>
      </c>
      <c r="C33186" s="6">
        <v>14000</v>
      </c>
      <c r="D33186" s="7">
        <v>0.95</v>
      </c>
      <c r="E33186" t="s">
        <v>31</v>
      </c>
    </row>
    <row r="33187" spans="1:5" x14ac:dyDescent="0.25">
      <c r="A33187" t="str">
        <f>HYPERLINK("https://www.773grp.com/globalSearch/MC7805CDT/page-1", "MC7805CDT")</f>
        <v>MC7805CDT</v>
      </c>
      <c r="B33187" s="3" t="s">
        <v>95</v>
      </c>
      <c r="C33187" s="6">
        <v>5775</v>
      </c>
      <c r="D33187" s="7">
        <v>0.95</v>
      </c>
      <c r="E33187" t="s">
        <v>28</v>
      </c>
    </row>
    <row r="33188" spans="1:5" x14ac:dyDescent="0.25">
      <c r="A33188" t="str">
        <f>HYPERLINK("https://www.773grp.com/globalSearch/MC7805CDTRK/page-1", "MC7805CDTRK")</f>
        <v>MC7805CDTRK</v>
      </c>
      <c r="B33188" s="3" t="s">
        <v>95</v>
      </c>
      <c r="C33188" s="6">
        <v>12330</v>
      </c>
      <c r="D33188" s="7">
        <v>0.95</v>
      </c>
      <c r="E33188" t="s">
        <v>28</v>
      </c>
    </row>
    <row r="33189" spans="1:5" x14ac:dyDescent="0.25">
      <c r="A33189" t="str">
        <f>HYPERLINK("https://www.773grp.com/globalSearch/MC78L05ABDG/page-1", "MC78L05ABDG")</f>
        <v>MC78L05ABDG</v>
      </c>
      <c r="B33189" s="3" t="s">
        <v>95</v>
      </c>
      <c r="C33189" s="6">
        <v>4018</v>
      </c>
      <c r="D33189" s="7">
        <v>0.95</v>
      </c>
    </row>
    <row r="33190" spans="1:5" x14ac:dyDescent="0.25">
      <c r="A33190" t="str">
        <f>HYPERLINK("https://www.773grp.com/globalSearch/MC78L05ABDR2/page-1", "MC78L05ABDR2")</f>
        <v>MC78L05ABDR2</v>
      </c>
      <c r="B33190" s="3" t="s">
        <v>95</v>
      </c>
      <c r="C33190" s="6">
        <v>304</v>
      </c>
      <c r="D33190" s="7">
        <v>0.95</v>
      </c>
      <c r="E33190" t="s">
        <v>28</v>
      </c>
    </row>
    <row r="33191" spans="1:5" x14ac:dyDescent="0.25">
      <c r="A33191" t="str">
        <f>HYPERLINK("https://www.773grp.com/globalSearch/MC78L05ABDR2G/page-1", "MC78L05ABDR2G")</f>
        <v>MC78L05ABDR2G</v>
      </c>
      <c r="B33191" s="3" t="s">
        <v>95</v>
      </c>
      <c r="C33191" s="6">
        <v>99157</v>
      </c>
      <c r="D33191" s="7">
        <v>0.95</v>
      </c>
      <c r="E33191" t="s">
        <v>28</v>
      </c>
    </row>
    <row r="33192" spans="1:5" x14ac:dyDescent="0.25">
      <c r="A33192" t="str">
        <f>HYPERLINK("https://www.773grp.com/globalSearch/MC78L05ACDR2/page-1", "MC78L05ACDR2")</f>
        <v>MC78L05ACDR2</v>
      </c>
      <c r="B33192" s="3" t="s">
        <v>95</v>
      </c>
      <c r="C33192" s="6">
        <v>615</v>
      </c>
      <c r="D33192" s="7">
        <v>0.95</v>
      </c>
      <c r="E33192" t="s">
        <v>28</v>
      </c>
    </row>
    <row r="33193" spans="1:5" x14ac:dyDescent="0.25">
      <c r="A33193" t="str">
        <f>HYPERLINK("https://www.773grp.com/globalSearch/MC78L08ABDG/page-1", "MC78L08ABDG")</f>
        <v>MC78L08ABDG</v>
      </c>
      <c r="B33193" s="3" t="s">
        <v>95</v>
      </c>
      <c r="C33193" s="6">
        <v>52364</v>
      </c>
      <c r="D33193" s="7">
        <v>0.95</v>
      </c>
      <c r="E33193" t="s">
        <v>28</v>
      </c>
    </row>
    <row r="33194" spans="1:5" x14ac:dyDescent="0.25">
      <c r="A33194" t="str">
        <f>HYPERLINK("https://www.773grp.com/globalSearch/MC78L09ABD/page-1", "MC78L09ABD")</f>
        <v>MC78L09ABD</v>
      </c>
      <c r="B33194" s="3" t="s">
        <v>95</v>
      </c>
      <c r="C33194" s="6">
        <v>12</v>
      </c>
      <c r="D33194" s="7">
        <v>0.95</v>
      </c>
      <c r="E33194" t="s">
        <v>28</v>
      </c>
    </row>
    <row r="33195" spans="1:5" x14ac:dyDescent="0.25">
      <c r="A33195" t="str">
        <f>HYPERLINK("https://www.773grp.com/globalSearch/MC78L09ABDG/page-1", "MC78L09ABDG")</f>
        <v>MC78L09ABDG</v>
      </c>
      <c r="B33195" s="3" t="s">
        <v>95</v>
      </c>
      <c r="C33195" s="6">
        <v>5390</v>
      </c>
      <c r="D33195" s="7">
        <v>0.95</v>
      </c>
    </row>
    <row r="33196" spans="1:5" x14ac:dyDescent="0.25">
      <c r="A33196" t="str">
        <f>HYPERLINK("https://www.773grp.com/globalSearch/MC78L09ABDR2G/page-1", "MC78L09ABDR2G")</f>
        <v>MC78L09ABDR2G</v>
      </c>
      <c r="B33196" s="3" t="s">
        <v>95</v>
      </c>
      <c r="C33196" s="6">
        <v>8282</v>
      </c>
      <c r="D33196" s="7">
        <v>0.95</v>
      </c>
      <c r="E33196" t="s">
        <v>28</v>
      </c>
    </row>
    <row r="33197" spans="1:5" x14ac:dyDescent="0.25">
      <c r="A33197" t="str">
        <f>HYPERLINK("https://www.773grp.com/globalSearch/MC78L12ABDG/page-1", "MC78L12ABDG")</f>
        <v>MC78L12ABDG</v>
      </c>
      <c r="B33197" s="3" t="s">
        <v>95</v>
      </c>
      <c r="C33197" s="6">
        <v>16172</v>
      </c>
      <c r="D33197" s="7">
        <v>0.95</v>
      </c>
      <c r="E33197" t="s">
        <v>28</v>
      </c>
    </row>
    <row r="33198" spans="1:5" x14ac:dyDescent="0.25">
      <c r="A33198" t="str">
        <f>HYPERLINK("https://www.773grp.com/globalSearch/MC78L12ABDR2/page-1", "MC78L12ABDR2")</f>
        <v>MC78L12ABDR2</v>
      </c>
      <c r="B33198" s="3" t="s">
        <v>95</v>
      </c>
      <c r="C33198" s="6">
        <v>17122</v>
      </c>
      <c r="D33198" s="7">
        <v>0.95</v>
      </c>
      <c r="E33198" t="s">
        <v>28</v>
      </c>
    </row>
    <row r="33199" spans="1:5" x14ac:dyDescent="0.25">
      <c r="A33199" t="str">
        <f>HYPERLINK("https://www.773grp.com/globalSearch/MC78L12ABDR2G/page-1", "MC78L12ABDR2G")</f>
        <v>MC78L12ABDR2G</v>
      </c>
      <c r="B33199" s="3" t="s">
        <v>95</v>
      </c>
      <c r="C33199" s="6">
        <v>11577</v>
      </c>
      <c r="D33199" s="7">
        <v>0.95</v>
      </c>
      <c r="E33199" t="s">
        <v>28</v>
      </c>
    </row>
    <row r="33200" spans="1:5" x14ac:dyDescent="0.25">
      <c r="A33200" t="str">
        <f>HYPERLINK("https://www.773grp.com/globalSearch/MC78L15ABDG/page-1", "MC78L15ABDG")</f>
        <v>MC78L15ABDG</v>
      </c>
      <c r="B33200" s="3" t="s">
        <v>95</v>
      </c>
      <c r="C33200" s="6">
        <v>6468</v>
      </c>
      <c r="D33200" s="7">
        <v>0.95</v>
      </c>
      <c r="E33200" t="s">
        <v>28</v>
      </c>
    </row>
    <row r="33201" spans="1:5" x14ac:dyDescent="0.25">
      <c r="A33201" t="str">
        <f>HYPERLINK("https://www.773grp.com/globalSearch/MC78L15ABDR2/page-1", "MC78L15ABDR2")</f>
        <v>MC78L15ABDR2</v>
      </c>
      <c r="B33201" s="3" t="s">
        <v>95</v>
      </c>
      <c r="C33201" s="6">
        <v>10000</v>
      </c>
      <c r="D33201" s="7">
        <v>0.95</v>
      </c>
      <c r="E33201" t="s">
        <v>28</v>
      </c>
    </row>
    <row r="33202" spans="1:5" x14ac:dyDescent="0.25">
      <c r="A33202" t="str">
        <f>HYPERLINK("https://www.773grp.com/globalSearch/MC78L15ABDR2G/page-1", "MC78L15ABDR2G")</f>
        <v>MC78L15ABDR2G</v>
      </c>
      <c r="B33202" s="3" t="s">
        <v>95</v>
      </c>
      <c r="C33202" s="6">
        <v>13963</v>
      </c>
      <c r="D33202" s="7">
        <v>0.95</v>
      </c>
    </row>
    <row r="33203" spans="1:5" x14ac:dyDescent="0.25">
      <c r="A33203" t="str">
        <f>HYPERLINK("https://www.773grp.com/globalSearch/MC79L05ABDG/page-1", "MC79L05ABDG")</f>
        <v>MC79L05ABDG</v>
      </c>
      <c r="B33203" s="3" t="s">
        <v>95</v>
      </c>
      <c r="C33203" s="6">
        <v>11446</v>
      </c>
      <c r="D33203" s="7">
        <v>0.95</v>
      </c>
    </row>
    <row r="33204" spans="1:5" x14ac:dyDescent="0.25">
      <c r="A33204" t="str">
        <f>HYPERLINK("https://www.773grp.com/globalSearch/MC79L05ABDR2G/page-1", "MC79L05ABDR2G")</f>
        <v>MC79L05ABDR2G</v>
      </c>
      <c r="B33204" s="3" t="s">
        <v>95</v>
      </c>
      <c r="C33204" s="6">
        <v>22500</v>
      </c>
      <c r="D33204" s="7">
        <v>0.95</v>
      </c>
      <c r="E33204" t="s">
        <v>65</v>
      </c>
    </row>
    <row r="33205" spans="1:5" x14ac:dyDescent="0.25">
      <c r="A33205" t="str">
        <f>HYPERLINK("https://www.773grp.com/globalSearch/MC79L12ABDG/page-1", "MC79L12ABDG")</f>
        <v>MC79L12ABDG</v>
      </c>
      <c r="B33205" s="3" t="s">
        <v>95</v>
      </c>
      <c r="C33205" s="6">
        <v>4727</v>
      </c>
      <c r="D33205" s="7">
        <v>0.95</v>
      </c>
      <c r="E33205" t="s">
        <v>65</v>
      </c>
    </row>
    <row r="33206" spans="1:5" x14ac:dyDescent="0.25">
      <c r="A33206" t="str">
        <f>HYPERLINK("https://www.773grp.com/globalSearch/MC79L12ABDR2G/page-1", "MC79L12ABDR2G")</f>
        <v>MC79L12ABDR2G</v>
      </c>
      <c r="B33206" s="3" t="s">
        <v>95</v>
      </c>
      <c r="C33206" s="6">
        <v>125574</v>
      </c>
      <c r="D33206" s="7">
        <v>0.95</v>
      </c>
      <c r="E33206" t="s">
        <v>65</v>
      </c>
    </row>
    <row r="33207" spans="1:5" x14ac:dyDescent="0.25">
      <c r="A33207" t="str">
        <f>HYPERLINK("https://www.773grp.com/globalSearch/MC79L15ABDG/page-1", "MC79L15ABDG")</f>
        <v>MC79L15ABDG</v>
      </c>
      <c r="B33207" s="3" t="s">
        <v>95</v>
      </c>
      <c r="C33207" s="6">
        <v>1758</v>
      </c>
      <c r="D33207" s="7">
        <v>0.95</v>
      </c>
    </row>
    <row r="33208" spans="1:5" x14ac:dyDescent="0.25">
      <c r="A33208" t="str">
        <f>HYPERLINK("https://www.773grp.com/globalSearch/MC79L15ABDR2G/page-1", "MC79L15ABDR2G")</f>
        <v>MC79L15ABDR2G</v>
      </c>
      <c r="B33208" s="3" t="s">
        <v>95</v>
      </c>
      <c r="C33208" s="6">
        <v>10000</v>
      </c>
      <c r="D33208" s="7">
        <v>0.95</v>
      </c>
      <c r="E33208" t="s">
        <v>65</v>
      </c>
    </row>
    <row r="33209" spans="1:5" x14ac:dyDescent="0.25">
      <c r="A33209" t="str">
        <f>HYPERLINK("https://www.773grp.com/globalSearch/MCAC174N/page-1", "MCAC174N")</f>
        <v>MCAC174N</v>
      </c>
      <c r="B33209" s="3" t="s">
        <v>95</v>
      </c>
      <c r="C33209" s="6">
        <v>10</v>
      </c>
      <c r="D33209" s="7">
        <v>0.95</v>
      </c>
    </row>
    <row r="33210" spans="1:5" x14ac:dyDescent="0.25">
      <c r="A33210" t="str">
        <f>HYPERLINK("https://www.773grp.com/globalSearch/MCH4020-TL-E/page-1", "MCH4020-TL-E")</f>
        <v>MCH4020-TL-E</v>
      </c>
      <c r="B33210" s="3" t="s">
        <v>95</v>
      </c>
      <c r="C33210" s="6">
        <v>3000</v>
      </c>
      <c r="D33210" s="7">
        <v>0.95</v>
      </c>
    </row>
    <row r="33211" spans="1:5" x14ac:dyDescent="0.25">
      <c r="A33211" t="str">
        <f>HYPERLINK("https://www.773grp.com/globalSearch/MCR12N/page-1", "MCR12N")</f>
        <v>MCR12N</v>
      </c>
      <c r="B33211" s="3" t="s">
        <v>95</v>
      </c>
      <c r="C33211" s="6">
        <v>13672</v>
      </c>
      <c r="D33211" s="7">
        <v>0.95</v>
      </c>
      <c r="E33211" t="s">
        <v>97</v>
      </c>
    </row>
    <row r="33212" spans="1:5" x14ac:dyDescent="0.25">
      <c r="A33212" t="str">
        <f>HYPERLINK("https://www.773grp.com/globalSearch/MCR8N/page-1", "MCR8N")</f>
        <v>MCR8N</v>
      </c>
      <c r="B33212" s="3" t="s">
        <v>95</v>
      </c>
      <c r="C33212" s="6">
        <v>1190</v>
      </c>
      <c r="D33212" s="7">
        <v>0.95</v>
      </c>
      <c r="E33212" t="s">
        <v>97</v>
      </c>
    </row>
    <row r="33213" spans="1:5" x14ac:dyDescent="0.25">
      <c r="A33213" t="str">
        <f>HYPERLINK("https://www.773grp.com/globalSearch/MJE170G/page-1", "MJE170G")</f>
        <v>MJE170G</v>
      </c>
      <c r="B33213" s="3" t="s">
        <v>95</v>
      </c>
      <c r="C33213" s="6">
        <v>5242</v>
      </c>
      <c r="D33213" s="7">
        <v>0.95</v>
      </c>
      <c r="E33213" t="s">
        <v>59</v>
      </c>
    </row>
    <row r="33214" spans="1:5" x14ac:dyDescent="0.25">
      <c r="A33214" t="str">
        <f>HYPERLINK("https://www.773grp.com/globalSearch/MJE171G/page-1", "MJE171G")</f>
        <v>MJE171G</v>
      </c>
      <c r="B33214" s="3" t="s">
        <v>95</v>
      </c>
      <c r="C33214" s="6">
        <v>1000</v>
      </c>
      <c r="D33214" s="7">
        <v>0.95</v>
      </c>
      <c r="E33214" t="s">
        <v>59</v>
      </c>
    </row>
    <row r="33215" spans="1:5" x14ac:dyDescent="0.25">
      <c r="A33215" t="str">
        <f>HYPERLINK("https://www.773grp.com/globalSearch/MJE172G/page-1", "MJE172G")</f>
        <v>MJE172G</v>
      </c>
      <c r="B33215" s="3" t="s">
        <v>95</v>
      </c>
      <c r="C33215" s="6">
        <v>24109</v>
      </c>
      <c r="D33215" s="7">
        <v>0.95</v>
      </c>
      <c r="E33215" t="s">
        <v>59</v>
      </c>
    </row>
    <row r="33216" spans="1:5" x14ac:dyDescent="0.25">
      <c r="A33216" t="str">
        <f>HYPERLINK("https://www.773grp.com/globalSearch/MJE180G/page-1", "MJE180G")</f>
        <v>MJE180G</v>
      </c>
      <c r="B33216" s="3" t="s">
        <v>95</v>
      </c>
      <c r="C33216" s="6">
        <v>45854</v>
      </c>
      <c r="D33216" s="7">
        <v>0.95</v>
      </c>
      <c r="E33216" t="s">
        <v>59</v>
      </c>
    </row>
    <row r="33217" spans="1:5" x14ac:dyDescent="0.25">
      <c r="A33217" t="str">
        <f>HYPERLINK("https://www.773grp.com/globalSearch/MJE181G/page-1", "MJE181G")</f>
        <v>MJE181G</v>
      </c>
      <c r="B33217" s="3" t="s">
        <v>95</v>
      </c>
      <c r="C33217" s="6">
        <v>1627</v>
      </c>
      <c r="D33217" s="7">
        <v>0.95</v>
      </c>
      <c r="E33217" t="s">
        <v>59</v>
      </c>
    </row>
    <row r="33218" spans="1:5" x14ac:dyDescent="0.25">
      <c r="A33218" t="str">
        <f>HYPERLINK("https://www.773grp.com/globalSearch/MJE182/page-1", "MJE182")</f>
        <v>MJE182</v>
      </c>
      <c r="B33218" s="3" t="s">
        <v>95</v>
      </c>
      <c r="C33218" s="6">
        <v>24612</v>
      </c>
      <c r="D33218" s="7">
        <v>0.95</v>
      </c>
      <c r="E33218" t="s">
        <v>59</v>
      </c>
    </row>
    <row r="33219" spans="1:5" x14ac:dyDescent="0.25">
      <c r="A33219" t="str">
        <f>HYPERLINK("https://www.773grp.com/globalSearch/MJE182G/page-1", "MJE182G")</f>
        <v>MJE182G</v>
      </c>
      <c r="B33219" s="3" t="s">
        <v>95</v>
      </c>
      <c r="C33219" s="6">
        <v>67436</v>
      </c>
      <c r="D33219" s="7">
        <v>0.95</v>
      </c>
      <c r="E33219" t="s">
        <v>59</v>
      </c>
    </row>
    <row r="33220" spans="1:5" x14ac:dyDescent="0.25">
      <c r="A33220" t="str">
        <f>HYPERLINK("https://www.773grp.com/globalSearch/MJE200G/page-1", "MJE200G")</f>
        <v>MJE200G</v>
      </c>
      <c r="B33220" s="3" t="s">
        <v>95</v>
      </c>
      <c r="C33220" s="6">
        <v>171037</v>
      </c>
      <c r="D33220" s="7">
        <v>0.95</v>
      </c>
      <c r="E33220" t="s">
        <v>59</v>
      </c>
    </row>
    <row r="33221" spans="1:5" x14ac:dyDescent="0.25">
      <c r="A33221" t="str">
        <f>HYPERLINK("https://www.773grp.com/globalSearch/MJE210G/page-1", "MJE210G")</f>
        <v>MJE210G</v>
      </c>
      <c r="B33221" s="3" t="s">
        <v>95</v>
      </c>
      <c r="C33221" s="6">
        <v>21511</v>
      </c>
      <c r="D33221" s="7">
        <v>0.95</v>
      </c>
      <c r="E33221" t="s">
        <v>59</v>
      </c>
    </row>
    <row r="33222" spans="1:5" x14ac:dyDescent="0.25">
      <c r="A33222" t="str">
        <f>HYPERLINK("https://www.773grp.com/globalSearch/MJE210TG/page-1", "MJE210TG")</f>
        <v>MJE210TG</v>
      </c>
      <c r="B33222" s="3" t="s">
        <v>95</v>
      </c>
      <c r="C33222" s="6">
        <v>10150</v>
      </c>
      <c r="D33222" s="7">
        <v>0.95</v>
      </c>
      <c r="E33222" t="s">
        <v>59</v>
      </c>
    </row>
    <row r="33223" spans="1:5" x14ac:dyDescent="0.25">
      <c r="A33223" t="str">
        <f>HYPERLINK("https://www.773grp.com/globalSearch/MJE253G/page-1", "MJE253G")</f>
        <v>MJE253G</v>
      </c>
      <c r="B33223" s="3" t="s">
        <v>95</v>
      </c>
      <c r="C33223" s="6">
        <v>84923</v>
      </c>
      <c r="D33223" s="7">
        <v>0.95</v>
      </c>
      <c r="E33223" t="s">
        <v>59</v>
      </c>
    </row>
    <row r="33224" spans="1:5" x14ac:dyDescent="0.25">
      <c r="A33224" t="str">
        <f>HYPERLINK("https://www.773grp.com/globalSearch/MJE2955T/page-1", "MJE2955T")</f>
        <v>MJE2955T</v>
      </c>
      <c r="B33224" s="3" t="s">
        <v>95</v>
      </c>
      <c r="C33224" s="6">
        <v>5287</v>
      </c>
      <c r="D33224" s="7">
        <v>0.95</v>
      </c>
      <c r="E33224" t="s">
        <v>59</v>
      </c>
    </row>
    <row r="33225" spans="1:5" x14ac:dyDescent="0.25">
      <c r="A33225" t="str">
        <f>HYPERLINK("https://www.773grp.com/globalSearch/MKP3V240RL/page-1", "MKP3V240RL")</f>
        <v>MKP3V240RL</v>
      </c>
      <c r="B33225" s="3" t="s">
        <v>95</v>
      </c>
      <c r="C33225" s="6">
        <v>133500</v>
      </c>
      <c r="D33225" s="7">
        <v>0.95</v>
      </c>
      <c r="E33225" t="s">
        <v>111</v>
      </c>
    </row>
    <row r="33226" spans="1:5" x14ac:dyDescent="0.25">
      <c r="A33226" t="str">
        <f>HYPERLINK("https://www.773grp.com/globalSearch/MMBV105GLT1/page-1", "MMBV105GLT1")</f>
        <v>MMBV105GLT1</v>
      </c>
      <c r="B33226" s="3" t="s">
        <v>95</v>
      </c>
      <c r="C33226" s="6">
        <v>39000</v>
      </c>
      <c r="D33226" s="7">
        <v>0.95</v>
      </c>
      <c r="E33226" t="s">
        <v>101</v>
      </c>
    </row>
    <row r="33227" spans="1:5" x14ac:dyDescent="0.25">
      <c r="A33227" t="str">
        <f>HYPERLINK("https://www.773grp.com/globalSearch/MMBV105GLT1G/page-1", "MMBV105GLT1G")</f>
        <v>MMBV105GLT1G</v>
      </c>
      <c r="B33227" s="3" t="s">
        <v>95</v>
      </c>
      <c r="C33227" s="6">
        <v>235067</v>
      </c>
      <c r="D33227" s="7">
        <v>0.95</v>
      </c>
      <c r="E33227" t="s">
        <v>101</v>
      </c>
    </row>
    <row r="33228" spans="1:5" x14ac:dyDescent="0.25">
      <c r="A33228" t="str">
        <f>HYPERLINK("https://www.773grp.com/globalSearch/MMBV3102LT1G/page-1", "MMBV3102LT1G")</f>
        <v>MMBV3102LT1G</v>
      </c>
      <c r="B33228" s="3" t="s">
        <v>95</v>
      </c>
      <c r="C33228" s="6">
        <v>10</v>
      </c>
      <c r="D33228" s="7">
        <v>0.95</v>
      </c>
      <c r="E33228" t="s">
        <v>101</v>
      </c>
    </row>
    <row r="33229" spans="1:5" x14ac:dyDescent="0.25">
      <c r="A33229" t="str">
        <f>HYPERLINK("https://www.773grp.com/globalSearch/MMFT2N02ELT1/page-1", "MMFT2N02ELT1")</f>
        <v>MMFT2N02ELT1</v>
      </c>
      <c r="B33229" s="3" t="s">
        <v>95</v>
      </c>
      <c r="C33229" s="6">
        <v>880</v>
      </c>
      <c r="D33229" s="7">
        <v>0.95</v>
      </c>
      <c r="E33229" t="s">
        <v>106</v>
      </c>
    </row>
    <row r="33230" spans="1:5" x14ac:dyDescent="0.25">
      <c r="A33230" t="str">
        <f>HYPERLINK("https://www.773grp.com/globalSearch/MMFT3055ET1/page-1", "MMFT3055ET1")</f>
        <v>MMFT3055ET1</v>
      </c>
      <c r="B33230" s="3" t="s">
        <v>95</v>
      </c>
      <c r="C33230" s="6">
        <v>102282</v>
      </c>
      <c r="D33230" s="7">
        <v>0.95</v>
      </c>
      <c r="E33230" t="s">
        <v>106</v>
      </c>
    </row>
    <row r="33231" spans="1:5" x14ac:dyDescent="0.25">
      <c r="A33231" t="str">
        <f>HYPERLINK("https://www.773grp.com/globalSearch/MMT08B350T3/page-1", "MMT08B350T3")</f>
        <v>MMT08B350T3</v>
      </c>
      <c r="B33231" s="3" t="s">
        <v>95</v>
      </c>
      <c r="C33231" s="6">
        <v>25000</v>
      </c>
      <c r="D33231" s="7">
        <v>0.95</v>
      </c>
      <c r="E33231" t="s">
        <v>109</v>
      </c>
    </row>
    <row r="33232" spans="1:5" x14ac:dyDescent="0.25">
      <c r="A33232" t="str">
        <f>HYPERLINK("https://www.773grp.com/globalSearch/MR751/page-1", "MR751")</f>
        <v>MR751</v>
      </c>
      <c r="B33232" s="3" t="s">
        <v>95</v>
      </c>
      <c r="C33232" s="6">
        <v>3</v>
      </c>
      <c r="D33232" s="7">
        <v>0.95</v>
      </c>
      <c r="E33232" t="s">
        <v>103</v>
      </c>
    </row>
    <row r="33233" spans="1:5" x14ac:dyDescent="0.25">
      <c r="A33233" t="str">
        <f>HYPERLINK("https://www.773grp.com/globalSearch/MTD15N06V1/page-1", "MTD15N06V1")</f>
        <v>MTD15N06V1</v>
      </c>
      <c r="B33233" s="3" t="s">
        <v>95</v>
      </c>
      <c r="C33233" s="6">
        <v>1</v>
      </c>
      <c r="D33233" s="7">
        <v>0.95</v>
      </c>
      <c r="E33233" t="s">
        <v>105</v>
      </c>
    </row>
    <row r="33234" spans="1:5" x14ac:dyDescent="0.25">
      <c r="A33234" t="str">
        <f>HYPERLINK("https://www.773grp.com/globalSearch/MTD15N06VL1/page-1", "MTD15N06VL1")</f>
        <v>MTD15N06VL1</v>
      </c>
      <c r="B33234" s="3" t="s">
        <v>95</v>
      </c>
      <c r="C33234" s="6">
        <v>498</v>
      </c>
      <c r="D33234" s="7">
        <v>0.95</v>
      </c>
      <c r="E33234" t="s">
        <v>105</v>
      </c>
    </row>
    <row r="33235" spans="1:5" x14ac:dyDescent="0.25">
      <c r="A33235" t="str">
        <f>HYPERLINK("https://www.773grp.com/globalSearch/MTD4N20E1/page-1", "MTD4N20E1")</f>
        <v>MTD4N20E1</v>
      </c>
      <c r="B33235" s="3" t="s">
        <v>95</v>
      </c>
      <c r="C33235" s="6">
        <v>4535</v>
      </c>
      <c r="D33235" s="7">
        <v>0.95</v>
      </c>
      <c r="E33235" t="s">
        <v>105</v>
      </c>
    </row>
    <row r="33236" spans="1:5" x14ac:dyDescent="0.25">
      <c r="A33236" t="str">
        <f>HYPERLINK("https://www.773grp.com/globalSearch/MTD9N10E1/page-1", "MTD9N10E1")</f>
        <v>MTD9N10E1</v>
      </c>
      <c r="B33236" s="3" t="s">
        <v>95</v>
      </c>
      <c r="C33236" s="6">
        <v>526</v>
      </c>
      <c r="D33236" s="7">
        <v>0.95</v>
      </c>
      <c r="E33236" t="s">
        <v>105</v>
      </c>
    </row>
    <row r="33237" spans="1:5" x14ac:dyDescent="0.25">
      <c r="A33237" t="str">
        <f>HYPERLINK("https://www.773grp.com/globalSearch/MTSF3N03HDR2/page-1", "MTSF3N03HDR2")</f>
        <v>MTSF3N03HDR2</v>
      </c>
      <c r="B33237" s="3" t="s">
        <v>95</v>
      </c>
      <c r="C33237" s="6">
        <v>13750</v>
      </c>
      <c r="D33237" s="7">
        <v>0.95</v>
      </c>
      <c r="E33237" t="s">
        <v>106</v>
      </c>
    </row>
    <row r="33238" spans="1:5" x14ac:dyDescent="0.25">
      <c r="A33238" t="str">
        <f>HYPERLINK("https://www.773grp.com/globalSearch/MUR1100EG/page-1", "MUR1100EG")</f>
        <v>MUR1100EG</v>
      </c>
      <c r="B33238" s="3" t="s">
        <v>95</v>
      </c>
      <c r="C33238" s="6">
        <v>4728</v>
      </c>
      <c r="D33238" s="7">
        <v>0.95</v>
      </c>
      <c r="E33238" t="s">
        <v>94</v>
      </c>
    </row>
    <row r="33239" spans="1:5" x14ac:dyDescent="0.25">
      <c r="A33239" t="str">
        <f>HYPERLINK("https://www.773grp.com/globalSearch/MUR1100ERLG/page-1", "MUR1100ERLG")</f>
        <v>MUR1100ERLG</v>
      </c>
      <c r="B33239" s="3" t="s">
        <v>95</v>
      </c>
      <c r="C33239" s="6">
        <v>654012</v>
      </c>
      <c r="D33239" s="7">
        <v>0.95</v>
      </c>
      <c r="E33239" t="s">
        <v>94</v>
      </c>
    </row>
    <row r="33240" spans="1:5" x14ac:dyDescent="0.25">
      <c r="A33240" t="str">
        <f>HYPERLINK("https://www.773grp.com/globalSearch/MUR180EG/page-1", "MUR180EG")</f>
        <v>MUR180EG</v>
      </c>
      <c r="B33240" s="3" t="s">
        <v>95</v>
      </c>
      <c r="C33240" s="6">
        <v>12800</v>
      </c>
      <c r="D33240" s="7">
        <v>0.95</v>
      </c>
      <c r="E33240" t="s">
        <v>94</v>
      </c>
    </row>
    <row r="33241" spans="1:5" x14ac:dyDescent="0.25">
      <c r="A33241" t="str">
        <f>HYPERLINK("https://www.773grp.com/globalSearch/MUR180ERLG/page-1", "MUR180ERLG")</f>
        <v>MUR180ERLG</v>
      </c>
      <c r="B33241" s="3" t="s">
        <v>95</v>
      </c>
      <c r="C33241" s="6">
        <v>115800</v>
      </c>
      <c r="D33241" s="7">
        <v>0.95</v>
      </c>
      <c r="E33241" t="s">
        <v>94</v>
      </c>
    </row>
    <row r="33242" spans="1:5" x14ac:dyDescent="0.25">
      <c r="A33242" t="str">
        <f>HYPERLINK("https://www.773grp.com/globalSearch/MUR405G/page-1", "MUR405G")</f>
        <v>MUR405G</v>
      </c>
      <c r="B33242" s="3" t="s">
        <v>95</v>
      </c>
      <c r="C33242" s="6">
        <v>29088</v>
      </c>
      <c r="D33242" s="7">
        <v>0.95</v>
      </c>
      <c r="E33242" t="s">
        <v>103</v>
      </c>
    </row>
    <row r="33243" spans="1:5" x14ac:dyDescent="0.25">
      <c r="A33243" t="str">
        <f>HYPERLINK("https://www.773grp.com/globalSearch/MUR410G/page-1", "MUR410G")</f>
        <v>MUR410G</v>
      </c>
      <c r="B33243" s="3" t="s">
        <v>95</v>
      </c>
      <c r="C33243" s="6">
        <v>132833</v>
      </c>
      <c r="D33243" s="7">
        <v>0.95</v>
      </c>
      <c r="E33243" t="s">
        <v>103</v>
      </c>
    </row>
    <row r="33244" spans="1:5" x14ac:dyDescent="0.25">
      <c r="A33244" t="str">
        <f>HYPERLINK("https://www.773grp.com/globalSearch/MUR410RLG/page-1", "MUR410RLG")</f>
        <v>MUR410RLG</v>
      </c>
      <c r="B33244" s="3" t="s">
        <v>95</v>
      </c>
      <c r="C33244" s="6">
        <v>6000</v>
      </c>
      <c r="D33244" s="7">
        <v>0.95</v>
      </c>
    </row>
    <row r="33245" spans="1:5" x14ac:dyDescent="0.25">
      <c r="A33245" t="str">
        <f>HYPERLINK("https://www.773grp.com/globalSearch/MUR415G/page-1", "MUR415G")</f>
        <v>MUR415G</v>
      </c>
      <c r="B33245" s="3" t="s">
        <v>95</v>
      </c>
      <c r="C33245" s="6">
        <v>32000</v>
      </c>
      <c r="D33245" s="7">
        <v>0.95</v>
      </c>
      <c r="E33245" t="s">
        <v>103</v>
      </c>
    </row>
    <row r="33246" spans="1:5" x14ac:dyDescent="0.25">
      <c r="A33246" t="str">
        <f>HYPERLINK("https://www.773grp.com/globalSearch/MUR415RLG/page-1", "MUR415RLG")</f>
        <v>MUR415RLG</v>
      </c>
      <c r="B33246" s="3" t="s">
        <v>95</v>
      </c>
      <c r="C33246" s="6">
        <v>67450</v>
      </c>
      <c r="D33246" s="7">
        <v>0.95</v>
      </c>
      <c r="E33246" t="s">
        <v>103</v>
      </c>
    </row>
    <row r="33247" spans="1:5" x14ac:dyDescent="0.25">
      <c r="A33247" t="str">
        <f>HYPERLINK("https://www.773grp.com/globalSearch/MUR420/page-1", "MUR420")</f>
        <v>MUR420</v>
      </c>
      <c r="B33247" s="3" t="s">
        <v>95</v>
      </c>
      <c r="C33247" s="6">
        <v>1000</v>
      </c>
      <c r="D33247" s="7">
        <v>0.95</v>
      </c>
      <c r="E33247" t="s">
        <v>103</v>
      </c>
    </row>
    <row r="33248" spans="1:5" x14ac:dyDescent="0.25">
      <c r="A33248" t="str">
        <f>HYPERLINK("https://www.773grp.com/globalSearch/MUR420G/page-1", "MUR420G")</f>
        <v>MUR420G</v>
      </c>
      <c r="B33248" s="3" t="s">
        <v>95</v>
      </c>
      <c r="C33248" s="6">
        <v>193102</v>
      </c>
      <c r="D33248" s="7">
        <v>0.95</v>
      </c>
      <c r="E33248" t="s">
        <v>103</v>
      </c>
    </row>
    <row r="33249" spans="1:5" x14ac:dyDescent="0.25">
      <c r="A33249" t="str">
        <f>HYPERLINK("https://www.773grp.com/globalSearch/MUR420RL/page-1", "MUR420RL")</f>
        <v>MUR420RL</v>
      </c>
      <c r="B33249" s="3" t="s">
        <v>95</v>
      </c>
      <c r="C33249" s="6">
        <v>2702</v>
      </c>
      <c r="D33249" s="7">
        <v>0.95</v>
      </c>
      <c r="E33249" t="s">
        <v>103</v>
      </c>
    </row>
    <row r="33250" spans="1:5" x14ac:dyDescent="0.25">
      <c r="A33250" t="str">
        <f>HYPERLINK("https://www.773grp.com/globalSearch/MUR420RLG/page-1", "MUR420RLG")</f>
        <v>MUR420RLG</v>
      </c>
      <c r="B33250" s="3" t="s">
        <v>95</v>
      </c>
      <c r="C33250" s="6">
        <v>218779</v>
      </c>
      <c r="D33250" s="7">
        <v>0.95</v>
      </c>
      <c r="E33250" t="s">
        <v>103</v>
      </c>
    </row>
    <row r="33251" spans="1:5" x14ac:dyDescent="0.25">
      <c r="A33251" t="str">
        <f>HYPERLINK("https://www.773grp.com/globalSearch/NCP2820FCT1G/page-1", "NCP2820FCT1G")</f>
        <v>NCP2820FCT1G</v>
      </c>
      <c r="B33251" s="3" t="s">
        <v>95</v>
      </c>
      <c r="C33251" s="6">
        <v>2377984</v>
      </c>
      <c r="D33251" s="7">
        <v>0.95</v>
      </c>
      <c r="E33251" t="s">
        <v>18</v>
      </c>
    </row>
    <row r="33252" spans="1:5" x14ac:dyDescent="0.25">
      <c r="A33252" t="str">
        <f>HYPERLINK("https://www.773grp.com/globalSearch/NCP2820FCT2G/page-1", "NCP2820FCT2G")</f>
        <v>NCP2820FCT2G</v>
      </c>
      <c r="B33252" s="3" t="s">
        <v>95</v>
      </c>
      <c r="C33252" s="6">
        <v>1001266</v>
      </c>
      <c r="D33252" s="7">
        <v>0.95</v>
      </c>
      <c r="E33252" t="s">
        <v>18</v>
      </c>
    </row>
    <row r="33253" spans="1:5" x14ac:dyDescent="0.25">
      <c r="A33253" t="str">
        <f>HYPERLINK("https://www.773grp.com/globalSearch/NCP2890DMR2G/page-1", "NCP2890DMR2G")</f>
        <v>NCP2890DMR2G</v>
      </c>
      <c r="B33253" s="3" t="s">
        <v>95</v>
      </c>
      <c r="C33253" s="6">
        <v>99000</v>
      </c>
      <c r="D33253" s="7">
        <v>0.95</v>
      </c>
      <c r="E33253" t="s">
        <v>18</v>
      </c>
    </row>
    <row r="33254" spans="1:5" x14ac:dyDescent="0.25">
      <c r="A33254" t="str">
        <f>HYPERLINK("https://www.773grp.com/globalSearch/NCP300LSN185T1G/page-1", "NCP300LSN185T1G")</f>
        <v>NCP300LSN185T1G</v>
      </c>
      <c r="B33254" s="3" t="s">
        <v>95</v>
      </c>
      <c r="C33254" s="6">
        <v>200</v>
      </c>
      <c r="D33254" s="7">
        <v>0.95</v>
      </c>
      <c r="E33254" t="s">
        <v>30</v>
      </c>
    </row>
    <row r="33255" spans="1:5" x14ac:dyDescent="0.25">
      <c r="A33255" t="str">
        <f>HYPERLINK("https://www.773grp.com/globalSearch/NCP300LSN20T1G/page-1", "NCP300LSN20T1G")</f>
        <v>NCP300LSN20T1G</v>
      </c>
      <c r="B33255" s="3" t="s">
        <v>95</v>
      </c>
      <c r="C33255" s="6">
        <v>888</v>
      </c>
      <c r="D33255" s="7">
        <v>0.95</v>
      </c>
      <c r="E33255" t="s">
        <v>30</v>
      </c>
    </row>
    <row r="33256" spans="1:5" x14ac:dyDescent="0.25">
      <c r="A33256" t="str">
        <f>HYPERLINK("https://www.773grp.com/globalSearch/NCP300LSN30T1G/page-1", "NCP300LSN30T1G")</f>
        <v>NCP300LSN30T1G</v>
      </c>
      <c r="B33256" s="3" t="s">
        <v>95</v>
      </c>
      <c r="C33256" s="6">
        <v>75776</v>
      </c>
      <c r="D33256" s="7">
        <v>0.95</v>
      </c>
      <c r="E33256" t="s">
        <v>30</v>
      </c>
    </row>
    <row r="33257" spans="1:5" x14ac:dyDescent="0.25">
      <c r="A33257" t="str">
        <f>HYPERLINK("https://www.773grp.com/globalSearch/NCP300LSN44T1G/page-1", "NCP300LSN44T1G")</f>
        <v>NCP300LSN44T1G</v>
      </c>
      <c r="B33257" s="3" t="s">
        <v>95</v>
      </c>
      <c r="C33257" s="6">
        <v>24156</v>
      </c>
      <c r="D33257" s="7">
        <v>0.95</v>
      </c>
      <c r="E33257" t="s">
        <v>30</v>
      </c>
    </row>
    <row r="33258" spans="1:5" x14ac:dyDescent="0.25">
      <c r="A33258" t="str">
        <f>HYPERLINK("https://www.773grp.com/globalSearch/NCP301LSN20T1G/page-1", "NCP301LSN20T1G")</f>
        <v>NCP301LSN20T1G</v>
      </c>
      <c r="B33258" s="3" t="s">
        <v>95</v>
      </c>
      <c r="C33258" s="6">
        <v>33065</v>
      </c>
      <c r="D33258" s="7">
        <v>0.95</v>
      </c>
    </row>
    <row r="33259" spans="1:5" x14ac:dyDescent="0.25">
      <c r="A33259" t="str">
        <f>HYPERLINK("https://www.773grp.com/globalSearch/NCP301LSN25T1G/page-1", "NCP301LSN25T1G")</f>
        <v>NCP301LSN25T1G</v>
      </c>
      <c r="B33259" s="3" t="s">
        <v>95</v>
      </c>
      <c r="C33259" s="6">
        <v>26660</v>
      </c>
      <c r="D33259" s="7">
        <v>0.95</v>
      </c>
      <c r="E33259" t="s">
        <v>30</v>
      </c>
    </row>
    <row r="33260" spans="1:5" x14ac:dyDescent="0.25">
      <c r="A33260" t="str">
        <f>HYPERLINK("https://www.773grp.com/globalSearch/NCP301LSN27T1G/page-1", "NCP301LSN27T1G")</f>
        <v>NCP301LSN27T1G</v>
      </c>
      <c r="B33260" s="3" t="s">
        <v>95</v>
      </c>
      <c r="C33260" s="6">
        <v>153000</v>
      </c>
      <c r="D33260" s="7">
        <v>0.95</v>
      </c>
      <c r="E33260" t="s">
        <v>30</v>
      </c>
    </row>
    <row r="33261" spans="1:5" x14ac:dyDescent="0.25">
      <c r="A33261" t="str">
        <f>HYPERLINK("https://www.773grp.com/globalSearch/NCP301LSN28T1G/page-1", "NCP301LSN28T1G")</f>
        <v>NCP301LSN28T1G</v>
      </c>
      <c r="B33261" s="3" t="s">
        <v>95</v>
      </c>
      <c r="C33261" s="6">
        <v>8390</v>
      </c>
      <c r="D33261" s="7">
        <v>0.95</v>
      </c>
      <c r="E33261" t="s">
        <v>30</v>
      </c>
    </row>
    <row r="33262" spans="1:5" x14ac:dyDescent="0.25">
      <c r="A33262" t="str">
        <f>HYPERLINK("https://www.773grp.com/globalSearch/NCP301LSN40T1G/page-1", "NCP301LSN40T1G")</f>
        <v>NCP301LSN40T1G</v>
      </c>
      <c r="B33262" s="3" t="s">
        <v>95</v>
      </c>
      <c r="C33262" s="6">
        <v>2830</v>
      </c>
      <c r="D33262" s="7">
        <v>0.95</v>
      </c>
      <c r="E33262" t="s">
        <v>30</v>
      </c>
    </row>
    <row r="33263" spans="1:5" x14ac:dyDescent="0.25">
      <c r="A33263" t="str">
        <f>HYPERLINK("https://www.773grp.com/globalSearch/NCP301LSN45T1G/page-1", "NCP301LSN45T1G")</f>
        <v>NCP301LSN45T1G</v>
      </c>
      <c r="B33263" s="3" t="s">
        <v>95</v>
      </c>
      <c r="C33263" s="6">
        <v>180865</v>
      </c>
      <c r="D33263" s="7">
        <v>0.95</v>
      </c>
      <c r="E33263" t="s">
        <v>30</v>
      </c>
    </row>
    <row r="33264" spans="1:5" x14ac:dyDescent="0.25">
      <c r="A33264" t="str">
        <f>HYPERLINK("https://www.773grp.com/globalSearch/NCP302LSN27T1G/page-1", "NCP302LSN27T1G")</f>
        <v>NCP302LSN27T1G</v>
      </c>
      <c r="B33264" s="3" t="s">
        <v>95</v>
      </c>
      <c r="C33264" s="6">
        <v>3000</v>
      </c>
      <c r="D33264" s="7">
        <v>0.95</v>
      </c>
    </row>
    <row r="33265" spans="1:5" x14ac:dyDescent="0.25">
      <c r="A33265" t="str">
        <f>HYPERLINK("https://www.773grp.com/globalSearch/NCP302LSN30T1G/page-1", "NCP302LSN30T1G")</f>
        <v>NCP302LSN30T1G</v>
      </c>
      <c r="B33265" s="3" t="s">
        <v>95</v>
      </c>
      <c r="C33265" s="6">
        <v>32900</v>
      </c>
      <c r="D33265" s="7">
        <v>0.95</v>
      </c>
    </row>
    <row r="33266" spans="1:5" x14ac:dyDescent="0.25">
      <c r="A33266" t="str">
        <f>HYPERLINK("https://www.773grp.com/globalSearch/NCP302LSN45T1G/page-1", "NCP302LSN45T1G")</f>
        <v>NCP302LSN45T1G</v>
      </c>
      <c r="B33266" s="3" t="s">
        <v>95</v>
      </c>
      <c r="C33266" s="6">
        <v>7631</v>
      </c>
      <c r="D33266" s="7">
        <v>0.95</v>
      </c>
      <c r="E33266" t="s">
        <v>30</v>
      </c>
    </row>
    <row r="33267" spans="1:5" x14ac:dyDescent="0.25">
      <c r="A33267" t="str">
        <f>HYPERLINK("https://www.773grp.com/globalSearch/NCP303LSN09T1G/page-1", "NCP303LSN09T1G")</f>
        <v>NCP303LSN09T1G</v>
      </c>
      <c r="B33267" s="3" t="s">
        <v>95</v>
      </c>
      <c r="C33267" s="6">
        <v>16778</v>
      </c>
      <c r="D33267" s="7">
        <v>0.95</v>
      </c>
      <c r="E33267" t="s">
        <v>30</v>
      </c>
    </row>
    <row r="33268" spans="1:5" x14ac:dyDescent="0.25">
      <c r="A33268" t="str">
        <f>HYPERLINK("https://www.773grp.com/globalSearch/NCP303LSN20T1G/page-1", "NCP303LSN20T1G")</f>
        <v>NCP303LSN20T1G</v>
      </c>
      <c r="B33268" s="3" t="s">
        <v>95</v>
      </c>
      <c r="C33268" s="6">
        <v>51400</v>
      </c>
      <c r="D33268" s="7">
        <v>0.95</v>
      </c>
      <c r="E33268" t="s">
        <v>30</v>
      </c>
    </row>
    <row r="33269" spans="1:5" x14ac:dyDescent="0.25">
      <c r="A33269" t="str">
        <f>HYPERLINK("https://www.773grp.com/globalSearch/NCP303LSN22T1G/page-1", "NCP303LSN22T1G")</f>
        <v>NCP303LSN22T1G</v>
      </c>
      <c r="B33269" s="3" t="s">
        <v>95</v>
      </c>
      <c r="C33269" s="6">
        <v>11236</v>
      </c>
      <c r="D33269" s="7">
        <v>0.95</v>
      </c>
      <c r="E33269" t="s">
        <v>30</v>
      </c>
    </row>
    <row r="33270" spans="1:5" x14ac:dyDescent="0.25">
      <c r="A33270" t="str">
        <f>HYPERLINK("https://www.773grp.com/globalSearch/NCP303LSN27T1G/page-1", "NCP303LSN27T1G")</f>
        <v>NCP303LSN27T1G</v>
      </c>
      <c r="B33270" s="3" t="s">
        <v>95</v>
      </c>
      <c r="C33270" s="6">
        <v>3000</v>
      </c>
      <c r="D33270" s="7">
        <v>0.95</v>
      </c>
      <c r="E33270" t="s">
        <v>30</v>
      </c>
    </row>
    <row r="33271" spans="1:5" x14ac:dyDescent="0.25">
      <c r="A33271" t="str">
        <f>HYPERLINK("https://www.773grp.com/globalSearch/NCP303LSN28T1G/page-1", "NCP303LSN28T1G")</f>
        <v>NCP303LSN28T1G</v>
      </c>
      <c r="B33271" s="3" t="s">
        <v>95</v>
      </c>
      <c r="C33271" s="6">
        <v>19107</v>
      </c>
      <c r="D33271" s="7">
        <v>0.95</v>
      </c>
      <c r="E33271" t="s">
        <v>30</v>
      </c>
    </row>
    <row r="33272" spans="1:5" x14ac:dyDescent="0.25">
      <c r="A33272" t="str">
        <f>HYPERLINK("https://www.773grp.com/globalSearch/NCP303LSN30T1G/page-1", "NCP303LSN30T1G")</f>
        <v>NCP303LSN30T1G</v>
      </c>
      <c r="B33272" s="3" t="s">
        <v>95</v>
      </c>
      <c r="C33272" s="6">
        <v>3000</v>
      </c>
      <c r="D33272" s="7">
        <v>0.95</v>
      </c>
    </row>
    <row r="33273" spans="1:5" x14ac:dyDescent="0.25">
      <c r="A33273" t="str">
        <f>HYPERLINK("https://www.773grp.com/globalSearch/NCP303LSN30T1GH/page-1", "NCP303LSN30T1GH")</f>
        <v>NCP303LSN30T1GH</v>
      </c>
      <c r="B33273" s="3" t="s">
        <v>95</v>
      </c>
      <c r="C33273" s="6">
        <v>33000</v>
      </c>
      <c r="D33273" s="7">
        <v>0.95</v>
      </c>
    </row>
    <row r="33274" spans="1:5" x14ac:dyDescent="0.25">
      <c r="A33274" t="str">
        <f>HYPERLINK("https://www.773grp.com/globalSearch/NCP303LSN36T1G/page-1", "NCP303LSN36T1G")</f>
        <v>NCP303LSN36T1G</v>
      </c>
      <c r="B33274" s="3" t="s">
        <v>95</v>
      </c>
      <c r="C33274" s="6">
        <v>6000</v>
      </c>
      <c r="D33274" s="7">
        <v>0.95</v>
      </c>
      <c r="E33274" t="s">
        <v>30</v>
      </c>
    </row>
    <row r="33275" spans="1:5" x14ac:dyDescent="0.25">
      <c r="A33275" t="str">
        <f>HYPERLINK("https://www.773grp.com/globalSearch/NCP303LSN44T1G/page-1", "NCP303LSN44T1G")</f>
        <v>NCP303LSN44T1G</v>
      </c>
      <c r="B33275" s="3" t="s">
        <v>95</v>
      </c>
      <c r="C33275" s="6">
        <v>9915</v>
      </c>
      <c r="D33275" s="7">
        <v>0.95</v>
      </c>
      <c r="E33275" t="s">
        <v>30</v>
      </c>
    </row>
    <row r="33276" spans="1:5" x14ac:dyDescent="0.25">
      <c r="A33276" t="str">
        <f>HYPERLINK("https://www.773grp.com/globalSearch/NCP304HSQ45T1G/page-1", "NCP304HSQ45T1G")</f>
        <v>NCP304HSQ45T1G</v>
      </c>
      <c r="B33276" s="3" t="s">
        <v>95</v>
      </c>
      <c r="C33276" s="6">
        <v>53656</v>
      </c>
      <c r="D33276" s="7">
        <v>0.95</v>
      </c>
      <c r="E33276" t="s">
        <v>30</v>
      </c>
    </row>
    <row r="33277" spans="1:5" x14ac:dyDescent="0.25">
      <c r="A33277" t="str">
        <f>HYPERLINK("https://www.773grp.com/globalSearch/NCP305LSQ30T1G/page-1", "NCP305LSQ30T1G")</f>
        <v>NCP305LSQ30T1G</v>
      </c>
      <c r="B33277" s="3" t="s">
        <v>95</v>
      </c>
      <c r="C33277" s="6">
        <v>114000</v>
      </c>
      <c r="D33277" s="7">
        <v>0.95</v>
      </c>
      <c r="E33277" t="s">
        <v>30</v>
      </c>
    </row>
    <row r="33278" spans="1:5" x14ac:dyDescent="0.25">
      <c r="A33278" t="str">
        <f>HYPERLINK("https://www.773grp.com/globalSearch/NCP3418D/page-1", "NCP3418D")</f>
        <v>NCP3418D</v>
      </c>
      <c r="B33278" s="3" t="s">
        <v>95</v>
      </c>
      <c r="C33278" s="6">
        <v>5782</v>
      </c>
      <c r="D33278" s="7">
        <v>0.95</v>
      </c>
      <c r="E33278" t="s">
        <v>16</v>
      </c>
    </row>
    <row r="33279" spans="1:5" x14ac:dyDescent="0.25">
      <c r="A33279" t="str">
        <f>HYPERLINK("https://www.773grp.com/globalSearch/NCP3418DR2/page-1", "NCP3418DR2")</f>
        <v>NCP3418DR2</v>
      </c>
      <c r="B33279" s="3" t="s">
        <v>95</v>
      </c>
      <c r="C33279" s="6">
        <v>32500</v>
      </c>
      <c r="D33279" s="7">
        <v>0.95</v>
      </c>
      <c r="E33279" t="s">
        <v>16</v>
      </c>
    </row>
    <row r="33280" spans="1:5" x14ac:dyDescent="0.25">
      <c r="A33280" t="str">
        <f>HYPERLINK("https://www.773grp.com/globalSearch/NCP3418PDR2/page-1", "NCP3418PDR2")</f>
        <v>NCP3418PDR2</v>
      </c>
      <c r="B33280" s="3" t="s">
        <v>95</v>
      </c>
      <c r="C33280" s="6">
        <v>7500</v>
      </c>
      <c r="D33280" s="7">
        <v>0.95</v>
      </c>
      <c r="E33280" t="s">
        <v>16</v>
      </c>
    </row>
    <row r="33281" spans="1:5" x14ac:dyDescent="0.25">
      <c r="A33281" t="str">
        <f>HYPERLINK("https://www.773grp.com/globalSearch/NCP360SNAET1G/page-1", "NCP360SNAET1G")</f>
        <v>NCP360SNAET1G</v>
      </c>
      <c r="B33281" s="3" t="s">
        <v>95</v>
      </c>
      <c r="C33281" s="6">
        <v>234981</v>
      </c>
      <c r="D33281" s="7">
        <v>0.95</v>
      </c>
      <c r="E33281" t="s">
        <v>11</v>
      </c>
    </row>
    <row r="33282" spans="1:5" x14ac:dyDescent="0.25">
      <c r="A33282" t="str">
        <f>HYPERLINK("https://www.773grp.com/globalSearch/NCP360SNAFT1G/page-1", "NCP360SNAFT1G")</f>
        <v>NCP360SNAFT1G</v>
      </c>
      <c r="B33282" s="3" t="s">
        <v>95</v>
      </c>
      <c r="C33282" s="6">
        <v>5878</v>
      </c>
      <c r="D33282" s="7">
        <v>0.95</v>
      </c>
    </row>
    <row r="33283" spans="1:5" x14ac:dyDescent="0.25">
      <c r="A33283" t="str">
        <f>HYPERLINK("https://www.773grp.com/globalSearch/NCP360SNAIT1G/page-1", "NCP360SNAIT1G")</f>
        <v>NCP360SNAIT1G</v>
      </c>
      <c r="B33283" s="3" t="s">
        <v>95</v>
      </c>
      <c r="C33283" s="6">
        <v>12000</v>
      </c>
      <c r="D33283" s="7">
        <v>0.95</v>
      </c>
      <c r="E33283" t="s">
        <v>11</v>
      </c>
    </row>
    <row r="33284" spans="1:5" x14ac:dyDescent="0.25">
      <c r="A33284" t="str">
        <f>HYPERLINK("https://www.773grp.com/globalSearch/NCP360SNT1G/page-1", "NCP360SNT1G")</f>
        <v>NCP360SNT1G</v>
      </c>
      <c r="B33284" s="3" t="s">
        <v>95</v>
      </c>
      <c r="C33284" s="6">
        <v>134000</v>
      </c>
      <c r="D33284" s="7">
        <v>0.95</v>
      </c>
      <c r="E33284" t="s">
        <v>11</v>
      </c>
    </row>
    <row r="33285" spans="1:5" x14ac:dyDescent="0.25">
      <c r="A33285" t="str">
        <f>HYPERLINK("https://www.773grp.com/globalSearch/NCP380LSN05AAT1G/page-1", "NCP380LSN05AAT1G")</f>
        <v>NCP380LSN05AAT1G</v>
      </c>
      <c r="B33285" s="3" t="s">
        <v>95</v>
      </c>
      <c r="C33285" s="6">
        <v>3000</v>
      </c>
      <c r="D33285" s="7">
        <v>0.95</v>
      </c>
    </row>
    <row r="33286" spans="1:5" x14ac:dyDescent="0.25">
      <c r="A33286" t="str">
        <f>HYPERLINK("https://www.773grp.com/globalSearch/NCP500SN185T1G/page-1", "NCP500SN185T1G")</f>
        <v>NCP500SN185T1G</v>
      </c>
      <c r="B33286" s="3" t="s">
        <v>95</v>
      </c>
      <c r="C33286" s="6">
        <v>6000</v>
      </c>
      <c r="D33286" s="7">
        <v>0.95</v>
      </c>
      <c r="E33286" t="s">
        <v>19</v>
      </c>
    </row>
    <row r="33287" spans="1:5" x14ac:dyDescent="0.25">
      <c r="A33287" t="str">
        <f>HYPERLINK("https://www.773grp.com/globalSearch/NCP500SN18T1G/page-1", "NCP500SN18T1G")</f>
        <v>NCP500SN18T1G</v>
      </c>
      <c r="B33287" s="3" t="s">
        <v>95</v>
      </c>
      <c r="C33287" s="6">
        <v>12617</v>
      </c>
      <c r="D33287" s="7">
        <v>0.95</v>
      </c>
      <c r="E33287" t="s">
        <v>19</v>
      </c>
    </row>
    <row r="33288" spans="1:5" x14ac:dyDescent="0.25">
      <c r="A33288" t="str">
        <f>HYPERLINK("https://www.773grp.com/globalSearch/NCP500SN25T1G/page-1", "NCP500SN25T1G")</f>
        <v>NCP500SN25T1G</v>
      </c>
      <c r="B33288" s="3" t="s">
        <v>95</v>
      </c>
      <c r="C33288" s="6">
        <v>157843</v>
      </c>
      <c r="D33288" s="7">
        <v>0.95</v>
      </c>
      <c r="E33288" t="s">
        <v>19</v>
      </c>
    </row>
    <row r="33289" spans="1:5" x14ac:dyDescent="0.25">
      <c r="A33289" t="str">
        <f>HYPERLINK("https://www.773grp.com/globalSearch/NCP500SN26T1G/page-1", "NCP500SN26T1G")</f>
        <v>NCP500SN26T1G</v>
      </c>
      <c r="B33289" s="3" t="s">
        <v>95</v>
      </c>
      <c r="C33289" s="6">
        <v>9000</v>
      </c>
      <c r="D33289" s="7">
        <v>0.95</v>
      </c>
    </row>
    <row r="33290" spans="1:5" x14ac:dyDescent="0.25">
      <c r="A33290" t="str">
        <f>HYPERLINK("https://www.773grp.com/globalSearch/NCP500SN27T1G/page-1", "NCP500SN27T1G")</f>
        <v>NCP500SN27T1G</v>
      </c>
      <c r="B33290" s="3" t="s">
        <v>95</v>
      </c>
      <c r="C33290" s="6">
        <v>3000</v>
      </c>
      <c r="D33290" s="7">
        <v>0.95</v>
      </c>
      <c r="E33290" t="s">
        <v>19</v>
      </c>
    </row>
    <row r="33291" spans="1:5" x14ac:dyDescent="0.25">
      <c r="A33291" t="str">
        <f>HYPERLINK("https://www.773grp.com/globalSearch/NCP500SN28T1G/page-1", "NCP500SN28T1G")</f>
        <v>NCP500SN28T1G</v>
      </c>
      <c r="B33291" s="3" t="s">
        <v>95</v>
      </c>
      <c r="C33291" s="6">
        <v>5850</v>
      </c>
      <c r="D33291" s="7">
        <v>0.95</v>
      </c>
      <c r="E33291" t="s">
        <v>19</v>
      </c>
    </row>
    <row r="33292" spans="1:5" x14ac:dyDescent="0.25">
      <c r="A33292" t="str">
        <f>HYPERLINK("https://www.773grp.com/globalSearch/NCP500SN30T1G/page-1", "NCP500SN30T1G")</f>
        <v>NCP500SN30T1G</v>
      </c>
      <c r="B33292" s="3" t="s">
        <v>95</v>
      </c>
      <c r="C33292" s="6">
        <v>816</v>
      </c>
      <c r="D33292" s="7">
        <v>0.95</v>
      </c>
      <c r="E33292" t="s">
        <v>19</v>
      </c>
    </row>
    <row r="33293" spans="1:5" x14ac:dyDescent="0.25">
      <c r="A33293" t="str">
        <f>HYPERLINK("https://www.773grp.com/globalSearch/NCP511SN15T1G/page-1", "NCP511SN15T1G")</f>
        <v>NCP511SN15T1G</v>
      </c>
      <c r="B33293" s="3" t="s">
        <v>95</v>
      </c>
      <c r="C33293" s="6">
        <v>15080</v>
      </c>
      <c r="D33293" s="7">
        <v>0.95</v>
      </c>
      <c r="E33293" t="s">
        <v>19</v>
      </c>
    </row>
    <row r="33294" spans="1:5" x14ac:dyDescent="0.25">
      <c r="A33294" t="str">
        <f>HYPERLINK("https://www.773grp.com/globalSearch/NCP511SN18T1G/page-1", "NCP511SN18T1G")</f>
        <v>NCP511SN18T1G</v>
      </c>
      <c r="B33294" s="3" t="s">
        <v>95</v>
      </c>
      <c r="C33294" s="6">
        <v>602960</v>
      </c>
      <c r="D33294" s="7">
        <v>0.95</v>
      </c>
      <c r="E33294" t="s">
        <v>19</v>
      </c>
    </row>
    <row r="33295" spans="1:5" x14ac:dyDescent="0.25">
      <c r="A33295" t="str">
        <f>HYPERLINK("https://www.773grp.com/globalSearch/NCP511SN25T1G/page-1", "NCP511SN25T1G")</f>
        <v>NCP511SN25T1G</v>
      </c>
      <c r="B33295" s="3" t="s">
        <v>95</v>
      </c>
      <c r="C33295" s="6">
        <v>458455</v>
      </c>
      <c r="D33295" s="7">
        <v>0.95</v>
      </c>
      <c r="E33295" t="s">
        <v>19</v>
      </c>
    </row>
    <row r="33296" spans="1:5" x14ac:dyDescent="0.25">
      <c r="A33296" t="str">
        <f>HYPERLINK("https://www.773grp.com/globalSearch/NCP511SN27T1G/page-1", "NCP511SN27T1G")</f>
        <v>NCP511SN27T1G</v>
      </c>
      <c r="B33296" s="3" t="s">
        <v>95</v>
      </c>
      <c r="C33296" s="6">
        <v>15000</v>
      </c>
      <c r="D33296" s="7">
        <v>0.95</v>
      </c>
      <c r="E33296" t="s">
        <v>19</v>
      </c>
    </row>
    <row r="33297" spans="1:5" x14ac:dyDescent="0.25">
      <c r="A33297" t="str">
        <f>HYPERLINK("https://www.773grp.com/globalSearch/NCP511SN28T1G/page-1", "NCP511SN28T1G")</f>
        <v>NCP511SN28T1G</v>
      </c>
      <c r="B33297" s="3" t="s">
        <v>95</v>
      </c>
      <c r="C33297" s="6">
        <v>78000</v>
      </c>
      <c r="D33297" s="7">
        <v>0.95</v>
      </c>
      <c r="E33297" t="s">
        <v>19</v>
      </c>
    </row>
    <row r="33298" spans="1:5" x14ac:dyDescent="0.25">
      <c r="A33298" t="str">
        <f>HYPERLINK("https://www.773grp.com/globalSearch/NCP511SN30T1G/page-1", "NCP511SN30T1G")</f>
        <v>NCP511SN30T1G</v>
      </c>
      <c r="B33298" s="3" t="s">
        <v>95</v>
      </c>
      <c r="C33298" s="6">
        <v>282700</v>
      </c>
      <c r="D33298" s="7">
        <v>0.95</v>
      </c>
      <c r="E33298" t="s">
        <v>19</v>
      </c>
    </row>
    <row r="33299" spans="1:5" x14ac:dyDescent="0.25">
      <c r="A33299" t="str">
        <f>HYPERLINK("https://www.773grp.com/globalSearch/NCP511SN33T1G/page-1", "NCP511SN33T1G")</f>
        <v>NCP511SN33T1G</v>
      </c>
      <c r="B33299" s="3" t="s">
        <v>95</v>
      </c>
      <c r="C33299" s="6">
        <v>597789</v>
      </c>
      <c r="D33299" s="7">
        <v>0.95</v>
      </c>
      <c r="E33299" t="s">
        <v>19</v>
      </c>
    </row>
    <row r="33300" spans="1:5" x14ac:dyDescent="0.25">
      <c r="A33300" t="str">
        <f>HYPERLINK("https://www.773grp.com/globalSearch/NCP551SN15T1G/page-1", "NCP551SN15T1G")</f>
        <v>NCP551SN15T1G</v>
      </c>
      <c r="B33300" s="3" t="s">
        <v>95</v>
      </c>
      <c r="C33300" s="6">
        <v>4472</v>
      </c>
      <c r="D33300" s="7">
        <v>0.95</v>
      </c>
      <c r="E33300" t="s">
        <v>19</v>
      </c>
    </row>
    <row r="33301" spans="1:5" x14ac:dyDescent="0.25">
      <c r="A33301" t="str">
        <f>HYPERLINK("https://www.773grp.com/globalSearch/NCP551SN18T1/page-1", "NCP551SN18T1")</f>
        <v>NCP551SN18T1</v>
      </c>
      <c r="B33301" s="3" t="s">
        <v>95</v>
      </c>
      <c r="C33301" s="6">
        <v>3000</v>
      </c>
      <c r="D33301" s="7">
        <v>0.95</v>
      </c>
      <c r="E33301" t="s">
        <v>19</v>
      </c>
    </row>
    <row r="33302" spans="1:5" x14ac:dyDescent="0.25">
      <c r="A33302" t="str">
        <f>HYPERLINK("https://www.773grp.com/globalSearch/NCP551SN18T1G/page-1", "NCP551SN18T1G")</f>
        <v>NCP551SN18T1G</v>
      </c>
      <c r="B33302" s="3" t="s">
        <v>95</v>
      </c>
      <c r="C33302" s="6">
        <v>3000</v>
      </c>
      <c r="D33302" s="7">
        <v>0.95</v>
      </c>
    </row>
    <row r="33303" spans="1:5" x14ac:dyDescent="0.25">
      <c r="A33303" t="str">
        <f>HYPERLINK("https://www.773grp.com/globalSearch/NCP551SN25T1G/page-1", "NCP551SN25T1G")</f>
        <v>NCP551SN25T1G</v>
      </c>
      <c r="B33303" s="3" t="s">
        <v>95</v>
      </c>
      <c r="C33303" s="6">
        <v>26850</v>
      </c>
      <c r="D33303" s="7">
        <v>0.95</v>
      </c>
      <c r="E33303" t="s">
        <v>19</v>
      </c>
    </row>
    <row r="33304" spans="1:5" x14ac:dyDescent="0.25">
      <c r="A33304" t="str">
        <f>HYPERLINK("https://www.773grp.com/globalSearch/NCP551SN30T1G/page-1", "NCP551SN30T1G")</f>
        <v>NCP551SN30T1G</v>
      </c>
      <c r="B33304" s="3" t="s">
        <v>95</v>
      </c>
      <c r="C33304" s="6">
        <v>3000</v>
      </c>
      <c r="D33304" s="7">
        <v>0.95</v>
      </c>
    </row>
    <row r="33305" spans="1:5" x14ac:dyDescent="0.25">
      <c r="A33305" t="str">
        <f>HYPERLINK("https://www.773grp.com/globalSearch/NCP551SN31T1G/page-1", "NCP551SN31T1G")</f>
        <v>NCP551SN31T1G</v>
      </c>
      <c r="B33305" s="3" t="s">
        <v>95</v>
      </c>
      <c r="C33305" s="6">
        <v>3000</v>
      </c>
      <c r="D33305" s="7">
        <v>0.95</v>
      </c>
      <c r="E33305" t="s">
        <v>19</v>
      </c>
    </row>
    <row r="33306" spans="1:5" x14ac:dyDescent="0.25">
      <c r="A33306" t="str">
        <f>HYPERLINK("https://www.773grp.com/globalSearch/NCP561SN15T1G/page-1", "NCP561SN15T1G")</f>
        <v>NCP561SN15T1G</v>
      </c>
      <c r="B33306" s="3" t="s">
        <v>95</v>
      </c>
      <c r="C33306" s="6">
        <v>3000</v>
      </c>
      <c r="D33306" s="7">
        <v>0.95</v>
      </c>
      <c r="E33306" t="s">
        <v>19</v>
      </c>
    </row>
    <row r="33307" spans="1:5" x14ac:dyDescent="0.25">
      <c r="A33307" t="str">
        <f>HYPERLINK("https://www.773grp.com/globalSearch/NCP561SN18T1G/page-1", "NCP561SN18T1G")</f>
        <v>NCP561SN18T1G</v>
      </c>
      <c r="B33307" s="3" t="s">
        <v>95</v>
      </c>
      <c r="C33307" s="6">
        <v>126000</v>
      </c>
      <c r="D33307" s="7">
        <v>0.95</v>
      </c>
      <c r="E33307" t="s">
        <v>19</v>
      </c>
    </row>
    <row r="33308" spans="1:5" x14ac:dyDescent="0.25">
      <c r="A33308" t="str">
        <f>HYPERLINK("https://www.773grp.com/globalSearch/NCP561SN25T1G/page-1", "NCP561SN25T1G")</f>
        <v>NCP561SN25T1G</v>
      </c>
      <c r="B33308" s="3" t="s">
        <v>95</v>
      </c>
      <c r="C33308" s="6">
        <v>147000</v>
      </c>
      <c r="D33308" s="7">
        <v>0.95</v>
      </c>
      <c r="E33308" t="s">
        <v>19</v>
      </c>
    </row>
    <row r="33309" spans="1:5" x14ac:dyDescent="0.25">
      <c r="A33309" t="str">
        <f>HYPERLINK("https://www.773grp.com/globalSearch/NCP561SN28T1G/page-1", "NCP561SN28T1G")</f>
        <v>NCP561SN28T1G</v>
      </c>
      <c r="B33309" s="3" t="s">
        <v>95</v>
      </c>
      <c r="C33309" s="6">
        <v>15000</v>
      </c>
      <c r="D33309" s="7">
        <v>0.95</v>
      </c>
      <c r="E33309" t="s">
        <v>19</v>
      </c>
    </row>
    <row r="33310" spans="1:5" x14ac:dyDescent="0.25">
      <c r="A33310" t="str">
        <f>HYPERLINK("https://www.773grp.com/globalSearch/NCP561SN30T1G/page-1", "NCP561SN30T1G")</f>
        <v>NCP561SN30T1G</v>
      </c>
      <c r="B33310" s="3" t="s">
        <v>95</v>
      </c>
      <c r="C33310" s="6">
        <v>3000</v>
      </c>
      <c r="D33310" s="7">
        <v>0.95</v>
      </c>
      <c r="E33310" t="s">
        <v>19</v>
      </c>
    </row>
    <row r="33311" spans="1:5" x14ac:dyDescent="0.25">
      <c r="A33311" t="str">
        <f>HYPERLINK("https://www.773grp.com/globalSearch/NCP580SQ33T1G/page-1", "NCP580SQ33T1G")</f>
        <v>NCP580SQ33T1G</v>
      </c>
      <c r="B33311" s="3" t="s">
        <v>95</v>
      </c>
      <c r="C33311" s="6">
        <v>10050</v>
      </c>
      <c r="D33311" s="7">
        <v>0.95</v>
      </c>
      <c r="E33311" t="s">
        <v>19</v>
      </c>
    </row>
    <row r="33312" spans="1:5" x14ac:dyDescent="0.25">
      <c r="A33312" t="str">
        <f>HYPERLINK("https://www.773grp.com/globalSearch/NCP600SN130T1G/page-1", "NCP600SN130T1G")</f>
        <v>NCP600SN130T1G</v>
      </c>
      <c r="B33312" s="3" t="s">
        <v>95</v>
      </c>
      <c r="C33312" s="6">
        <v>8510</v>
      </c>
      <c r="D33312" s="7">
        <v>0.95</v>
      </c>
      <c r="E33312" t="s">
        <v>19</v>
      </c>
    </row>
    <row r="33313" spans="1:5" x14ac:dyDescent="0.25">
      <c r="A33313" t="str">
        <f>HYPERLINK("https://www.773grp.com/globalSearch/NCP600SN150T1G/page-1", "NCP600SN150T1G")</f>
        <v>NCP600SN150T1G</v>
      </c>
      <c r="B33313" s="3" t="s">
        <v>95</v>
      </c>
      <c r="C33313" s="6">
        <v>264000</v>
      </c>
      <c r="D33313" s="7">
        <v>0.95</v>
      </c>
      <c r="E33313" t="s">
        <v>19</v>
      </c>
    </row>
    <row r="33314" spans="1:5" x14ac:dyDescent="0.25">
      <c r="A33314" t="str">
        <f>HYPERLINK("https://www.773grp.com/globalSearch/NCP600SN180T1G/page-1", "NCP600SN180T1G")</f>
        <v>NCP600SN180T1G</v>
      </c>
      <c r="B33314" s="3" t="s">
        <v>95</v>
      </c>
      <c r="C33314" s="6">
        <v>15000</v>
      </c>
      <c r="D33314" s="7">
        <v>0.95</v>
      </c>
      <c r="E33314" t="s">
        <v>19</v>
      </c>
    </row>
    <row r="33315" spans="1:5" x14ac:dyDescent="0.25">
      <c r="A33315" t="str">
        <f>HYPERLINK("https://www.773grp.com/globalSearch/NCP600SN250T1G/page-1", "NCP600SN250T1G")</f>
        <v>NCP600SN250T1G</v>
      </c>
      <c r="B33315" s="3" t="s">
        <v>95</v>
      </c>
      <c r="C33315" s="6">
        <v>3000</v>
      </c>
      <c r="D33315" s="7">
        <v>0.95</v>
      </c>
      <c r="E33315" t="s">
        <v>19</v>
      </c>
    </row>
    <row r="33316" spans="1:5" x14ac:dyDescent="0.25">
      <c r="A33316" t="str">
        <f>HYPERLINK("https://www.773grp.com/globalSearch/NCP600SN280T1G/page-1", "NCP600SN280T1G")</f>
        <v>NCP600SN280T1G</v>
      </c>
      <c r="B33316" s="3" t="s">
        <v>95</v>
      </c>
      <c r="C33316" s="6">
        <v>6000</v>
      </c>
      <c r="D33316" s="7">
        <v>0.95</v>
      </c>
      <c r="E33316" t="s">
        <v>19</v>
      </c>
    </row>
    <row r="33317" spans="1:5" x14ac:dyDescent="0.25">
      <c r="A33317" t="str">
        <f>HYPERLINK("https://www.773grp.com/globalSearch/NCP600SN300T1G/page-1", "NCP600SN300T1G")</f>
        <v>NCP600SN300T1G</v>
      </c>
      <c r="B33317" s="3" t="s">
        <v>95</v>
      </c>
      <c r="C33317" s="6">
        <v>11500</v>
      </c>
      <c r="D33317" s="7">
        <v>0.95</v>
      </c>
      <c r="E33317" t="s">
        <v>19</v>
      </c>
    </row>
    <row r="33318" spans="1:5" x14ac:dyDescent="0.25">
      <c r="A33318" t="str">
        <f>HYPERLINK("https://www.773grp.com/globalSearch/NCP600SN330T1G/page-1", "NCP600SN330T1G")</f>
        <v>NCP600SN330T1G</v>
      </c>
      <c r="B33318" s="3" t="s">
        <v>95</v>
      </c>
      <c r="C33318" s="6">
        <v>3000</v>
      </c>
      <c r="D33318" s="7">
        <v>0.95</v>
      </c>
      <c r="E33318" t="s">
        <v>19</v>
      </c>
    </row>
    <row r="33319" spans="1:5" x14ac:dyDescent="0.25">
      <c r="A33319" t="str">
        <f>HYPERLINK("https://www.773grp.com/globalSearch/NCP600SN350T1G/page-1", "NCP600SN350T1G")</f>
        <v>NCP600SN350T1G</v>
      </c>
      <c r="B33319" s="3" t="s">
        <v>95</v>
      </c>
      <c r="C33319" s="6">
        <v>14847</v>
      </c>
      <c r="D33319" s="7">
        <v>0.95</v>
      </c>
      <c r="E33319" t="s">
        <v>19</v>
      </c>
    </row>
    <row r="33320" spans="1:5" x14ac:dyDescent="0.25">
      <c r="A33320" t="str">
        <f>HYPERLINK("https://www.773grp.com/globalSearch/NCP600SN500T1G/page-1", "NCP600SN500T1G")</f>
        <v>NCP600SN500T1G</v>
      </c>
      <c r="B33320" s="3" t="s">
        <v>95</v>
      </c>
      <c r="C33320" s="6">
        <v>15000</v>
      </c>
      <c r="D33320" s="7">
        <v>0.95</v>
      </c>
      <c r="E33320" t="s">
        <v>19</v>
      </c>
    </row>
    <row r="33321" spans="1:5" x14ac:dyDescent="0.25">
      <c r="A33321" t="str">
        <f>HYPERLINK("https://www.773grp.com/globalSearch/NCP600SNADJT1G/page-1", "NCP600SNADJT1G")</f>
        <v>NCP600SNADJT1G</v>
      </c>
      <c r="B33321" s="3" t="s">
        <v>95</v>
      </c>
      <c r="C33321" s="6">
        <v>65567</v>
      </c>
      <c r="D33321" s="7">
        <v>0.95</v>
      </c>
      <c r="E33321" t="s">
        <v>25</v>
      </c>
    </row>
    <row r="33322" spans="1:5" x14ac:dyDescent="0.25">
      <c r="A33322" t="str">
        <f>HYPERLINK("https://www.773grp.com/globalSearch/NCP662SQ15T1G/page-1", "NCP662SQ15T1G")</f>
        <v>NCP662SQ15T1G</v>
      </c>
      <c r="B33322" s="3" t="s">
        <v>95</v>
      </c>
      <c r="C33322" s="6">
        <v>20892</v>
      </c>
      <c r="D33322" s="7">
        <v>0.95</v>
      </c>
      <c r="E33322" t="s">
        <v>19</v>
      </c>
    </row>
    <row r="33323" spans="1:5" x14ac:dyDescent="0.25">
      <c r="A33323" t="str">
        <f>HYPERLINK("https://www.773grp.com/globalSearch/NCP662SQ18T1G/page-1", "NCP662SQ18T1G")</f>
        <v>NCP662SQ18T1G</v>
      </c>
      <c r="B33323" s="3" t="s">
        <v>95</v>
      </c>
      <c r="C33323" s="6">
        <v>14926</v>
      </c>
      <c r="D33323" s="7">
        <v>0.95</v>
      </c>
      <c r="E33323" t="s">
        <v>19</v>
      </c>
    </row>
    <row r="33324" spans="1:5" x14ac:dyDescent="0.25">
      <c r="A33324" t="str">
        <f>HYPERLINK("https://www.773grp.com/globalSearch/NCP662SQ25T1G/page-1", "NCP662SQ25T1G")</f>
        <v>NCP662SQ25T1G</v>
      </c>
      <c r="B33324" s="3" t="s">
        <v>95</v>
      </c>
      <c r="C33324" s="6">
        <v>17950</v>
      </c>
      <c r="D33324" s="7">
        <v>0.95</v>
      </c>
      <c r="E33324" t="s">
        <v>19</v>
      </c>
    </row>
    <row r="33325" spans="1:5" x14ac:dyDescent="0.25">
      <c r="A33325" t="str">
        <f>HYPERLINK("https://www.773grp.com/globalSearch/NCP662SQ27T1G/page-1", "NCP662SQ27T1G")</f>
        <v>NCP662SQ27T1G</v>
      </c>
      <c r="B33325" s="3" t="s">
        <v>95</v>
      </c>
      <c r="C33325" s="6">
        <v>17900</v>
      </c>
      <c r="D33325" s="7">
        <v>0.95</v>
      </c>
      <c r="E33325" t="s">
        <v>19</v>
      </c>
    </row>
    <row r="33326" spans="1:5" x14ac:dyDescent="0.25">
      <c r="A33326" t="str">
        <f>HYPERLINK("https://www.773grp.com/globalSearch/NCP662SQ30T1G/page-1", "NCP662SQ30T1G")</f>
        <v>NCP662SQ30T1G</v>
      </c>
      <c r="B33326" s="3" t="s">
        <v>95</v>
      </c>
      <c r="C33326" s="6">
        <v>9000</v>
      </c>
      <c r="D33326" s="7">
        <v>0.95</v>
      </c>
      <c r="E33326" t="s">
        <v>19</v>
      </c>
    </row>
    <row r="33327" spans="1:5" x14ac:dyDescent="0.25">
      <c r="A33327" t="str">
        <f>HYPERLINK("https://www.773grp.com/globalSearch/NCP662SQ33T1G/page-1", "NCP662SQ33T1G")</f>
        <v>NCP662SQ33T1G</v>
      </c>
      <c r="B33327" s="3" t="s">
        <v>95</v>
      </c>
      <c r="C33327" s="6">
        <v>20973</v>
      </c>
      <c r="D33327" s="7">
        <v>0.95</v>
      </c>
      <c r="E33327" t="s">
        <v>19</v>
      </c>
    </row>
    <row r="33328" spans="1:5" x14ac:dyDescent="0.25">
      <c r="A33328" t="str">
        <f>HYPERLINK("https://www.773grp.com/globalSearch/NCP662SQ50T1G/page-1", "NCP662SQ50T1G")</f>
        <v>NCP662SQ50T1G</v>
      </c>
      <c r="B33328" s="3" t="s">
        <v>95</v>
      </c>
      <c r="C33328" s="6">
        <v>41965</v>
      </c>
      <c r="D33328" s="7">
        <v>0.95</v>
      </c>
      <c r="E33328" t="s">
        <v>19</v>
      </c>
    </row>
    <row r="33329" spans="1:5" x14ac:dyDescent="0.25">
      <c r="A33329" t="str">
        <f>HYPERLINK("https://www.773grp.com/globalSearch/NCP802SAN1T1/page-1", "NCP802SAN1T1")</f>
        <v>NCP802SAN1T1</v>
      </c>
      <c r="B33329" s="3" t="s">
        <v>95</v>
      </c>
      <c r="C33329" s="6">
        <v>10187</v>
      </c>
      <c r="D33329" s="7">
        <v>0.95</v>
      </c>
      <c r="E33329" t="s">
        <v>30</v>
      </c>
    </row>
    <row r="33330" spans="1:5" x14ac:dyDescent="0.25">
      <c r="A33330" t="str">
        <f>HYPERLINK("https://www.773grp.com/globalSearch/NCP803SN232T1G/page-1", "NCP803SN232T1G")</f>
        <v>NCP803SN232T1G</v>
      </c>
      <c r="B33330" s="3" t="s">
        <v>95</v>
      </c>
      <c r="C33330" s="6">
        <v>54036</v>
      </c>
      <c r="D33330" s="7">
        <v>0.95</v>
      </c>
      <c r="E33330" t="s">
        <v>30</v>
      </c>
    </row>
    <row r="33331" spans="1:5" x14ac:dyDescent="0.25">
      <c r="A33331" t="str">
        <f>HYPERLINK("https://www.773grp.com/globalSearch/NCP803SN263T1G/page-1", "NCP803SN263T1G")</f>
        <v>NCP803SN263T1G</v>
      </c>
      <c r="B33331" s="3" t="s">
        <v>95</v>
      </c>
      <c r="C33331" s="6">
        <v>8900</v>
      </c>
      <c r="D33331" s="7">
        <v>0.95</v>
      </c>
      <c r="E33331" t="s">
        <v>30</v>
      </c>
    </row>
    <row r="33332" spans="1:5" x14ac:dyDescent="0.25">
      <c r="A33332" t="str">
        <f>HYPERLINK("https://www.773grp.com/globalSearch/NCP803SN438T1G/page-1", "NCP803SN438T1G")</f>
        <v>NCP803SN438T1G</v>
      </c>
      <c r="B33332" s="3" t="s">
        <v>95</v>
      </c>
      <c r="C33332" s="6">
        <v>21000</v>
      </c>
      <c r="D33332" s="7">
        <v>0.95</v>
      </c>
    </row>
    <row r="33333" spans="1:5" x14ac:dyDescent="0.25">
      <c r="A33333" t="str">
        <f>HYPERLINK("https://www.773grp.com/globalSearch/NCS2202SN2T1/page-1", "NCS2202SN2T1")</f>
        <v>NCS2202SN2T1</v>
      </c>
      <c r="B33333" s="3" t="s">
        <v>95</v>
      </c>
      <c r="C33333" s="6">
        <v>373</v>
      </c>
      <c r="D33333" s="7">
        <v>0.95</v>
      </c>
      <c r="E33333" t="s">
        <v>9</v>
      </c>
    </row>
    <row r="33334" spans="1:5" x14ac:dyDescent="0.25">
      <c r="A33334" t="str">
        <f>HYPERLINK("https://www.773grp.com/globalSearch/NCS2563DG/page-1", "NCS2563DG")</f>
        <v>NCS2563DG</v>
      </c>
      <c r="B33334" s="3" t="s">
        <v>95</v>
      </c>
      <c r="C33334" s="6">
        <v>31518</v>
      </c>
      <c r="D33334" s="7">
        <v>0.95</v>
      </c>
      <c r="E33334" t="s">
        <v>18</v>
      </c>
    </row>
    <row r="33335" spans="1:5" x14ac:dyDescent="0.25">
      <c r="A33335" t="str">
        <f>HYPERLINK("https://www.773grp.com/globalSearch/NCS2563DR2G/page-1", "NCS2563DR2G")</f>
        <v>NCS2563DR2G</v>
      </c>
      <c r="B33335" s="3" t="s">
        <v>95</v>
      </c>
      <c r="C33335" s="6">
        <v>319800</v>
      </c>
      <c r="D33335" s="7">
        <v>0.95</v>
      </c>
      <c r="E33335" t="s">
        <v>18</v>
      </c>
    </row>
    <row r="33336" spans="1:5" x14ac:dyDescent="0.25">
      <c r="A33336" t="str">
        <f>HYPERLINK("https://www.773grp.com/globalSearch/NCS2632DTBR2G/page-1", "NCS2632DTBR2G")</f>
        <v>NCS2632DTBR2G</v>
      </c>
      <c r="B33336" s="3" t="s">
        <v>95</v>
      </c>
      <c r="C33336" s="6">
        <v>2500</v>
      </c>
      <c r="D33336" s="7">
        <v>0.95</v>
      </c>
    </row>
    <row r="33337" spans="1:5" x14ac:dyDescent="0.25">
      <c r="A33337" t="str">
        <f>HYPERLINK("https://www.773grp.com/globalSearch/NCV1413BDR2G/page-1", "NCV1413BDR2G")</f>
        <v>NCV1413BDR2G</v>
      </c>
      <c r="B33337" s="3" t="s">
        <v>95</v>
      </c>
      <c r="C33337" s="6">
        <v>67809</v>
      </c>
      <c r="D33337" s="7">
        <v>0.95</v>
      </c>
      <c r="E33337" t="s">
        <v>59</v>
      </c>
    </row>
    <row r="33338" spans="1:5" x14ac:dyDescent="0.25">
      <c r="A33338" t="str">
        <f>HYPERLINK("https://www.773grp.com/globalSearch/NCV2002SN1T1/page-1", "NCV2002SN1T1")</f>
        <v>NCV2002SN1T1</v>
      </c>
      <c r="B33338" s="3" t="s">
        <v>95</v>
      </c>
      <c r="C33338" s="6">
        <v>356</v>
      </c>
      <c r="D33338" s="7">
        <v>0.95</v>
      </c>
      <c r="E33338" t="s">
        <v>13</v>
      </c>
    </row>
    <row r="33339" spans="1:5" x14ac:dyDescent="0.25">
      <c r="A33339" t="str">
        <f>HYPERLINK("https://www.773grp.com/globalSearch/NCV2002SN2T1/page-1", "NCV2002SN2T1")</f>
        <v>NCV2002SN2T1</v>
      </c>
      <c r="B33339" s="3" t="s">
        <v>95</v>
      </c>
      <c r="C33339" s="6">
        <v>2928</v>
      </c>
      <c r="D33339" s="7">
        <v>0.95</v>
      </c>
      <c r="E33339" t="s">
        <v>13</v>
      </c>
    </row>
    <row r="33340" spans="1:5" x14ac:dyDescent="0.25">
      <c r="A33340" t="str">
        <f>HYPERLINK("https://www.773grp.com/globalSearch/NE556D/page-1", "NE556D")</f>
        <v>NE556D</v>
      </c>
      <c r="B33340" s="3" t="s">
        <v>95</v>
      </c>
      <c r="C33340" s="6">
        <v>382</v>
      </c>
      <c r="D33340" s="7">
        <v>0.95</v>
      </c>
      <c r="E33340" t="s">
        <v>29</v>
      </c>
    </row>
    <row r="33341" spans="1:5" x14ac:dyDescent="0.25">
      <c r="A33341" t="str">
        <f>HYPERLINK("https://www.773grp.com/globalSearch/NJD1718T4G/page-1", "NJD1718T4G")</f>
        <v>NJD1718T4G</v>
      </c>
      <c r="B33341" s="3" t="s">
        <v>95</v>
      </c>
      <c r="C33341" s="6">
        <v>236761</v>
      </c>
      <c r="D33341" s="7">
        <v>0.95</v>
      </c>
      <c r="E33341" t="s">
        <v>59</v>
      </c>
    </row>
    <row r="33342" spans="1:5" x14ac:dyDescent="0.25">
      <c r="A33342" t="str">
        <f>HYPERLINK("https://www.773grp.com/globalSearch/NJVMJD122T4G/page-1", "NJVMJD122T4G")</f>
        <v>NJVMJD122T4G</v>
      </c>
      <c r="B33342" s="3" t="s">
        <v>95</v>
      </c>
      <c r="C33342" s="6">
        <v>2500</v>
      </c>
      <c r="D33342" s="7">
        <v>0.95</v>
      </c>
    </row>
    <row r="33343" spans="1:5" x14ac:dyDescent="0.25">
      <c r="A33343" t="str">
        <f>HYPERLINK("https://www.773grp.com/globalSearch/NLAS2066USG/page-1", "NLAS2066USG")</f>
        <v>NLAS2066USG</v>
      </c>
      <c r="B33343" s="3" t="s">
        <v>95</v>
      </c>
      <c r="C33343" s="6">
        <v>150799</v>
      </c>
      <c r="D33343" s="7">
        <v>0.95</v>
      </c>
      <c r="E33343" t="s">
        <v>56</v>
      </c>
    </row>
    <row r="33344" spans="1:5" x14ac:dyDescent="0.25">
      <c r="A33344" t="str">
        <f>HYPERLINK("https://www.773grp.com/globalSearch/NLAS2066UST3G/page-1", "NLAS2066UST3G")</f>
        <v>NLAS2066UST3G</v>
      </c>
      <c r="B33344" s="3" t="s">
        <v>95</v>
      </c>
      <c r="C33344" s="6">
        <v>620000</v>
      </c>
      <c r="D33344" s="7">
        <v>0.95</v>
      </c>
      <c r="E33344" t="s">
        <v>56</v>
      </c>
    </row>
    <row r="33345" spans="1:5" x14ac:dyDescent="0.25">
      <c r="A33345" t="str">
        <f>HYPERLINK("https://www.773grp.com/globalSearch/NLAS5157MUTCG/page-1", "NLAS5157MUTCG")</f>
        <v>NLAS5157MUTCG</v>
      </c>
      <c r="B33345" s="3" t="s">
        <v>95</v>
      </c>
      <c r="C33345" s="6">
        <v>134545</v>
      </c>
      <c r="D33345" s="7">
        <v>0.95</v>
      </c>
      <c r="E33345" t="s">
        <v>56</v>
      </c>
    </row>
    <row r="33346" spans="1:5" x14ac:dyDescent="0.25">
      <c r="A33346" t="str">
        <f>HYPERLINK("https://www.773grp.com/globalSearch/NLV14021BDR2/page-1", "NLV14021BDR2")</f>
        <v>NLV14021BDR2</v>
      </c>
      <c r="B33346" s="3" t="s">
        <v>95</v>
      </c>
      <c r="C33346" s="6">
        <v>195148</v>
      </c>
      <c r="D33346" s="7">
        <v>0.95</v>
      </c>
    </row>
    <row r="33347" spans="1:5" x14ac:dyDescent="0.25">
      <c r="A33347" t="str">
        <f>HYPERLINK("https://www.773grp.com/globalSearch/NLV14049BDR2G/page-1", "NLV14049BDR2G")</f>
        <v>NLV14049BDR2G</v>
      </c>
      <c r="B33347" s="3" t="s">
        <v>95</v>
      </c>
      <c r="C33347" s="6">
        <v>1520</v>
      </c>
      <c r="D33347" s="7">
        <v>0.95</v>
      </c>
    </row>
    <row r="33348" spans="1:5" x14ac:dyDescent="0.25">
      <c r="A33348" t="str">
        <f>HYPERLINK("https://www.773grp.com/globalSearch/NLV14049UBDR2G/page-1", "NLV14049UBDR2G")</f>
        <v>NLV14049UBDR2G</v>
      </c>
      <c r="B33348" s="3" t="s">
        <v>95</v>
      </c>
      <c r="C33348" s="6">
        <v>35000</v>
      </c>
      <c r="D33348" s="7">
        <v>0.95</v>
      </c>
    </row>
    <row r="33349" spans="1:5" x14ac:dyDescent="0.25">
      <c r="A33349" t="str">
        <f>HYPERLINK("https://www.773grp.com/globalSearch/NLV14050BDG/page-1", "NLV14050BDG")</f>
        <v>NLV14050BDG</v>
      </c>
      <c r="B33349" s="3" t="s">
        <v>95</v>
      </c>
      <c r="C33349" s="6">
        <v>35</v>
      </c>
      <c r="D33349" s="7">
        <v>0.95</v>
      </c>
    </row>
    <row r="33350" spans="1:5" x14ac:dyDescent="0.25">
      <c r="A33350" t="str">
        <f>HYPERLINK("https://www.773grp.com/globalSearch/NLV14050BDR2G/page-1", "NLV14050BDR2G")</f>
        <v>NLV14050BDR2G</v>
      </c>
      <c r="B33350" s="3" t="s">
        <v>95</v>
      </c>
      <c r="C33350" s="6">
        <v>1430</v>
      </c>
      <c r="D33350" s="7">
        <v>0.95</v>
      </c>
    </row>
    <row r="33351" spans="1:5" x14ac:dyDescent="0.25">
      <c r="A33351" t="str">
        <f>HYPERLINK("https://www.773grp.com/globalSearch/NLV14541BDG/page-1", "NLV14541BDG")</f>
        <v>NLV14541BDG</v>
      </c>
      <c r="B33351" s="3" t="s">
        <v>95</v>
      </c>
      <c r="C33351" s="6">
        <v>50</v>
      </c>
      <c r="D33351" s="7">
        <v>0.95</v>
      </c>
    </row>
    <row r="33352" spans="1:5" x14ac:dyDescent="0.25">
      <c r="A33352" t="str">
        <f>HYPERLINK("https://www.773grp.com/globalSearch/NLV14541BDR2G/page-1", "NLV14541BDR2G")</f>
        <v>NLV14541BDR2G</v>
      </c>
      <c r="B33352" s="3" t="s">
        <v>95</v>
      </c>
      <c r="C33352" s="6">
        <v>1785</v>
      </c>
      <c r="D33352" s="7">
        <v>0.95</v>
      </c>
    </row>
    <row r="33353" spans="1:5" x14ac:dyDescent="0.25">
      <c r="A33353" t="str">
        <f>HYPERLINK("https://www.773grp.com/globalSearch/NLVAC157DR2G/page-1", "NLVAC157DR2G")</f>
        <v>NLVAC157DR2G</v>
      </c>
      <c r="B33353" s="3" t="s">
        <v>95</v>
      </c>
      <c r="C33353" s="6">
        <v>7500</v>
      </c>
      <c r="D33353" s="7">
        <v>0.95</v>
      </c>
    </row>
    <row r="33354" spans="1:5" x14ac:dyDescent="0.25">
      <c r="A33354" t="str">
        <f>HYPERLINK("https://www.773grp.com/globalSearch/NP1800SBMCT3G/page-1", "NP1800SBMCT3G")</f>
        <v>NP1800SBMCT3G</v>
      </c>
      <c r="B33354" s="3" t="s">
        <v>95</v>
      </c>
      <c r="C33354" s="6">
        <v>2250</v>
      </c>
      <c r="D33354" s="7">
        <v>0.95</v>
      </c>
    </row>
    <row r="33355" spans="1:5" x14ac:dyDescent="0.25">
      <c r="A33355" t="str">
        <f>HYPERLINK("https://www.773grp.com/globalSearch/NP2300SBMCT3G/page-1", "NP2300SBMCT3G")</f>
        <v>NP2300SBMCT3G</v>
      </c>
      <c r="B33355" s="3" t="s">
        <v>95</v>
      </c>
      <c r="C33355" s="6">
        <v>2270</v>
      </c>
      <c r="D33355" s="7">
        <v>0.95</v>
      </c>
    </row>
    <row r="33356" spans="1:5" x14ac:dyDescent="0.25">
      <c r="A33356" t="str">
        <f>HYPERLINK("https://www.773grp.com/globalSearch/NSRM30CM3T5G/page-1", "NSRM30CM3T5G")</f>
        <v>NSRM30CM3T5G</v>
      </c>
      <c r="B33356" s="3" t="s">
        <v>95</v>
      </c>
      <c r="C33356" s="6">
        <v>56000</v>
      </c>
      <c r="D33356" s="7">
        <v>0.95</v>
      </c>
    </row>
    <row r="33357" spans="1:5" x14ac:dyDescent="0.25">
      <c r="A33357" t="str">
        <f>HYPERLINK("https://www.773grp.com/globalSearch/NSS12601CF8T1G/page-1", "NSS12601CF8T1G")</f>
        <v>NSS12601CF8T1G</v>
      </c>
      <c r="B33357" s="3" t="s">
        <v>95</v>
      </c>
      <c r="C33357" s="6">
        <v>63440</v>
      </c>
      <c r="D33357" s="7">
        <v>0.95</v>
      </c>
      <c r="E33357" t="s">
        <v>69</v>
      </c>
    </row>
    <row r="33358" spans="1:5" x14ac:dyDescent="0.25">
      <c r="A33358" t="str">
        <f>HYPERLINK("https://www.773grp.com/globalSearch/NSS40300DDR2/page-1", "NSS40300DDR2")</f>
        <v>NSS40300DDR2</v>
      </c>
      <c r="B33358" s="3" t="s">
        <v>95</v>
      </c>
      <c r="C33358" s="6">
        <v>5000</v>
      </c>
      <c r="D33358" s="7">
        <v>0.95</v>
      </c>
    </row>
    <row r="33359" spans="1:5" x14ac:dyDescent="0.25">
      <c r="A33359" t="str">
        <f>HYPERLINK("https://www.773grp.com/globalSearch/NSS40601CF8T1G/page-1", "NSS40601CF8T1G")</f>
        <v>NSS40601CF8T1G</v>
      </c>
      <c r="B33359" s="3" t="s">
        <v>95</v>
      </c>
      <c r="C33359" s="6">
        <v>163838</v>
      </c>
      <c r="D33359" s="7">
        <v>0.95</v>
      </c>
      <c r="E33359" t="s">
        <v>69</v>
      </c>
    </row>
    <row r="33360" spans="1:5" x14ac:dyDescent="0.25">
      <c r="A33360" t="str">
        <f>HYPERLINK("https://www.773grp.com/globalSearch/NSVBCP69T1G/page-1", "NSVBCP69T1G")</f>
        <v>NSVBCP69T1G</v>
      </c>
      <c r="B33360" s="3" t="s">
        <v>95</v>
      </c>
      <c r="C33360" s="6">
        <v>2000</v>
      </c>
      <c r="D33360" s="7">
        <v>0.95</v>
      </c>
    </row>
    <row r="33361" spans="1:5" x14ac:dyDescent="0.25">
      <c r="A33361" t="str">
        <f>HYPERLINK("https://www.773grp.com/globalSearch/NTB75N03RG/page-1", "NTB75N03RG")</f>
        <v>NTB75N03RG</v>
      </c>
      <c r="B33361" s="3" t="s">
        <v>95</v>
      </c>
      <c r="C33361" s="6">
        <v>969</v>
      </c>
      <c r="D33361" s="7">
        <v>0.95</v>
      </c>
      <c r="E33361" t="s">
        <v>105</v>
      </c>
    </row>
    <row r="33362" spans="1:5" x14ac:dyDescent="0.25">
      <c r="A33362" t="str">
        <f>HYPERLINK("https://www.773grp.com/globalSearch/NTD110N02R/page-1", "NTD110N02R")</f>
        <v>NTD110N02R</v>
      </c>
      <c r="B33362" s="3" t="s">
        <v>95</v>
      </c>
      <c r="C33362" s="6">
        <v>807</v>
      </c>
      <c r="D33362" s="7">
        <v>0.95</v>
      </c>
      <c r="E33362" t="s">
        <v>105</v>
      </c>
    </row>
    <row r="33363" spans="1:5" x14ac:dyDescent="0.25">
      <c r="A33363" t="str">
        <f>HYPERLINK("https://www.773grp.com/globalSearch/NTD3808N-1G/page-1", "NTD3808N-1G")</f>
        <v>NTD3808N-1G</v>
      </c>
      <c r="B33363" s="3" t="s">
        <v>95</v>
      </c>
      <c r="C33363" s="6">
        <v>7275</v>
      </c>
      <c r="D33363" s="7">
        <v>0.95</v>
      </c>
      <c r="E33363" t="s">
        <v>105</v>
      </c>
    </row>
    <row r="33364" spans="1:5" x14ac:dyDescent="0.25">
      <c r="A33364" t="str">
        <f>HYPERLINK("https://www.773grp.com/globalSearch/NTD78N03-1G/page-1", "NTD78N03-1G")</f>
        <v>NTD78N03-1G</v>
      </c>
      <c r="B33364" s="3" t="s">
        <v>95</v>
      </c>
      <c r="C33364" s="6">
        <v>7090</v>
      </c>
      <c r="D33364" s="7">
        <v>0.95</v>
      </c>
      <c r="E33364" t="s">
        <v>105</v>
      </c>
    </row>
    <row r="33365" spans="1:5" x14ac:dyDescent="0.25">
      <c r="A33365" t="str">
        <f>HYPERLINK("https://www.773grp.com/globalSearch/NTD78N03-35G/page-1", "NTD78N03-35G")</f>
        <v>NTD78N03-35G</v>
      </c>
      <c r="B33365" s="3" t="s">
        <v>95</v>
      </c>
      <c r="C33365" s="6">
        <v>834556</v>
      </c>
      <c r="D33365" s="7">
        <v>0.95</v>
      </c>
      <c r="E33365" t="s">
        <v>105</v>
      </c>
    </row>
    <row r="33366" spans="1:5" x14ac:dyDescent="0.25">
      <c r="A33366" t="str">
        <f>HYPERLINK("https://www.773grp.com/globalSearch/NTD78N03T4G/page-1", "NTD78N03T4G")</f>
        <v>NTD78N03T4G</v>
      </c>
      <c r="B33366" s="3" t="s">
        <v>95</v>
      </c>
      <c r="C33366" s="6">
        <v>268899</v>
      </c>
      <c r="D33366" s="7">
        <v>0.95</v>
      </c>
      <c r="E33366" t="s">
        <v>105</v>
      </c>
    </row>
    <row r="33367" spans="1:5" x14ac:dyDescent="0.25">
      <c r="A33367" t="str">
        <f>HYPERLINK("https://www.773grp.com/globalSearch/NTD95N02R-1G/page-1", "NTD95N02R-1G")</f>
        <v>NTD95N02R-1G</v>
      </c>
      <c r="B33367" s="3" t="s">
        <v>95</v>
      </c>
      <c r="C33367" s="6">
        <v>1875</v>
      </c>
      <c r="D33367" s="7">
        <v>0.95</v>
      </c>
    </row>
    <row r="33368" spans="1:5" x14ac:dyDescent="0.25">
      <c r="A33368" t="str">
        <f>HYPERLINK("https://www.773grp.com/globalSearch/NTGD3149CT1G/page-1", "NTGD3149CT1G")</f>
        <v>NTGD3149CT1G</v>
      </c>
      <c r="B33368" s="3" t="s">
        <v>95</v>
      </c>
      <c r="C33368" s="6">
        <v>9000</v>
      </c>
      <c r="D33368" s="7">
        <v>0.95</v>
      </c>
      <c r="E33368" t="s">
        <v>106</v>
      </c>
    </row>
    <row r="33369" spans="1:5" x14ac:dyDescent="0.25">
      <c r="A33369" t="str">
        <f>HYPERLINK("https://www.773grp.com/globalSearch/NTGS3136PT1G/page-1", "NTGS3136PT1G")</f>
        <v>NTGS3136PT1G</v>
      </c>
      <c r="B33369" s="3" t="s">
        <v>95</v>
      </c>
      <c r="C33369" s="6">
        <v>1999</v>
      </c>
      <c r="D33369" s="7">
        <v>0.95</v>
      </c>
      <c r="E33369" t="s">
        <v>106</v>
      </c>
    </row>
    <row r="33370" spans="1:5" x14ac:dyDescent="0.25">
      <c r="A33370" t="str">
        <f>HYPERLINK("https://www.773grp.com/globalSearch/NTGS4141NT1/page-1", "NTGS4141NT1")</f>
        <v>NTGS4141NT1</v>
      </c>
      <c r="B33370" s="3" t="s">
        <v>95</v>
      </c>
      <c r="C33370" s="6">
        <v>3000</v>
      </c>
      <c r="D33370" s="7">
        <v>0.95</v>
      </c>
      <c r="E33370" t="s">
        <v>106</v>
      </c>
    </row>
    <row r="33371" spans="1:5" x14ac:dyDescent="0.25">
      <c r="A33371" t="str">
        <f>HYPERLINK("https://www.773grp.com/globalSearch/NTLJD2104PTAG/page-1", "NTLJD2104PTAG")</f>
        <v>NTLJD2104PTAG</v>
      </c>
      <c r="B33371" s="3" t="s">
        <v>95</v>
      </c>
      <c r="C33371" s="6">
        <v>18000</v>
      </c>
      <c r="D33371" s="7">
        <v>0.95</v>
      </c>
      <c r="E33371" t="s">
        <v>106</v>
      </c>
    </row>
    <row r="33372" spans="1:5" x14ac:dyDescent="0.25">
      <c r="A33372" t="str">
        <f>HYPERLINK("https://www.773grp.com/globalSearch/NTLJD2104PTBG/page-1", "NTLJD2104PTBG")</f>
        <v>NTLJD2104PTBG</v>
      </c>
      <c r="B33372" s="3" t="s">
        <v>95</v>
      </c>
      <c r="C33372" s="6">
        <v>12000</v>
      </c>
      <c r="D33372" s="7">
        <v>0.95</v>
      </c>
      <c r="E33372" t="s">
        <v>106</v>
      </c>
    </row>
    <row r="33373" spans="1:5" x14ac:dyDescent="0.25">
      <c r="A33373" t="str">
        <f>HYPERLINK("https://www.773grp.com/globalSearch/NTLUS3A40PZTAG/page-1", "NTLUS3A40PZTAG")</f>
        <v>NTLUS3A40PZTAG</v>
      </c>
      <c r="B33373" s="3" t="s">
        <v>95</v>
      </c>
      <c r="C33373" s="6">
        <v>135865</v>
      </c>
      <c r="D33373" s="7">
        <v>0.95</v>
      </c>
      <c r="E33373" t="s">
        <v>106</v>
      </c>
    </row>
    <row r="33374" spans="1:5" x14ac:dyDescent="0.25">
      <c r="A33374" t="str">
        <f>HYPERLINK("https://www.773grp.com/globalSearch/NTLUS3A40PZTBG/page-1", "NTLUS3A40PZTBG")</f>
        <v>NTLUS3A40PZTBG</v>
      </c>
      <c r="B33374" s="3" t="s">
        <v>95</v>
      </c>
      <c r="C33374" s="6">
        <v>3000</v>
      </c>
      <c r="D33374" s="7">
        <v>0.95</v>
      </c>
      <c r="E33374" t="s">
        <v>106</v>
      </c>
    </row>
    <row r="33375" spans="1:5" x14ac:dyDescent="0.25">
      <c r="A33375" t="str">
        <f>HYPERLINK("https://www.773grp.com/globalSearch/NTMD6N02R2G/page-1", "NTMD6N02R2G")</f>
        <v>NTMD6N02R2G</v>
      </c>
      <c r="B33375" s="3" t="s">
        <v>95</v>
      </c>
      <c r="C33375" s="6">
        <v>64937</v>
      </c>
      <c r="D33375" s="7">
        <v>0.95</v>
      </c>
      <c r="E33375" t="s">
        <v>105</v>
      </c>
    </row>
    <row r="33376" spans="1:5" x14ac:dyDescent="0.25">
      <c r="A33376" t="str">
        <f>HYPERLINK("https://www.773grp.com/globalSearch/NTMFS4821NT1G/page-1", "NTMFS4821NT1G")</f>
        <v>NTMFS4821NT1G</v>
      </c>
      <c r="B33376" s="3" t="s">
        <v>95</v>
      </c>
      <c r="C33376" s="6">
        <v>80509</v>
      </c>
      <c r="D33376" s="7">
        <v>0.95</v>
      </c>
      <c r="E33376" t="s">
        <v>106</v>
      </c>
    </row>
    <row r="33377" spans="1:5" x14ac:dyDescent="0.25">
      <c r="A33377" t="str">
        <f>HYPERLINK("https://www.773grp.com/globalSearch/NTMS4801NR2G/page-1", "NTMS4801NR2G")</f>
        <v>NTMS4801NR2G</v>
      </c>
      <c r="B33377" s="3" t="s">
        <v>95</v>
      </c>
      <c r="C33377" s="6">
        <v>309081</v>
      </c>
      <c r="D33377" s="7">
        <v>0.95</v>
      </c>
      <c r="E33377" t="s">
        <v>106</v>
      </c>
    </row>
    <row r="33378" spans="1:5" x14ac:dyDescent="0.25">
      <c r="A33378" t="str">
        <f>HYPERLINK("https://www.773grp.com/globalSearch/NTMS4873NFR2G/page-1", "NTMS4873NFR2G")</f>
        <v>NTMS4873NFR2G</v>
      </c>
      <c r="B33378" s="3" t="s">
        <v>95</v>
      </c>
      <c r="C33378" s="6">
        <v>50235</v>
      </c>
      <c r="D33378" s="7">
        <v>0.95</v>
      </c>
    </row>
    <row r="33379" spans="1:5" x14ac:dyDescent="0.25">
      <c r="A33379" t="str">
        <f>HYPERLINK("https://www.773grp.com/globalSearch/NTMS4N01R2G/page-1", "NTMS4N01R2G")</f>
        <v>NTMS4N01R2G</v>
      </c>
      <c r="B33379" s="3" t="s">
        <v>95</v>
      </c>
      <c r="C33379" s="6">
        <v>4168</v>
      </c>
      <c r="D33379" s="7">
        <v>0.95</v>
      </c>
      <c r="E33379" t="s">
        <v>106</v>
      </c>
    </row>
    <row r="33380" spans="1:5" x14ac:dyDescent="0.25">
      <c r="A33380" t="str">
        <f>HYPERLINK("https://www.773grp.com/globalSearch/NTMS5P02R2G/page-1", "NTMS5P02R2G")</f>
        <v>NTMS5P02R2G</v>
      </c>
      <c r="B33380" s="3" t="s">
        <v>95</v>
      </c>
      <c r="C33380" s="6">
        <v>217500</v>
      </c>
      <c r="D33380" s="7">
        <v>0.95</v>
      </c>
    </row>
    <row r="33381" spans="1:5" x14ac:dyDescent="0.25">
      <c r="A33381" t="str">
        <f>HYPERLINK("https://www.773grp.com/globalSearch/NTTFS4821NTAG/page-1", "NTTFS4821NTAG")</f>
        <v>NTTFS4821NTAG</v>
      </c>
      <c r="B33381" s="3" t="s">
        <v>95</v>
      </c>
      <c r="C33381" s="6">
        <v>347</v>
      </c>
      <c r="D33381" s="7">
        <v>0.95</v>
      </c>
      <c r="E33381" t="s">
        <v>105</v>
      </c>
    </row>
    <row r="33382" spans="1:5" x14ac:dyDescent="0.25">
      <c r="A33382" t="str">
        <f>HYPERLINK("https://www.773grp.com/globalSearch/NTTFS4823NTAG/page-1", "NTTFS4823NTAG")</f>
        <v>NTTFS4823NTAG</v>
      </c>
      <c r="B33382" s="3" t="s">
        <v>95</v>
      </c>
      <c r="C33382" s="6">
        <v>371262</v>
      </c>
      <c r="D33382" s="7">
        <v>0.95</v>
      </c>
      <c r="E33382" t="s">
        <v>105</v>
      </c>
    </row>
    <row r="33383" spans="1:5" x14ac:dyDescent="0.25">
      <c r="A33383" t="str">
        <f>HYPERLINK("https://www.773grp.com/globalSearch/NTTFS4823NTWG/page-1", "NTTFS4823NTWG")</f>
        <v>NTTFS4823NTWG</v>
      </c>
      <c r="B33383" s="3" t="s">
        <v>95</v>
      </c>
      <c r="C33383" s="6">
        <v>39942</v>
      </c>
      <c r="D33383" s="7">
        <v>0.95</v>
      </c>
      <c r="E33383" t="s">
        <v>105</v>
      </c>
    </row>
    <row r="33384" spans="1:5" x14ac:dyDescent="0.25">
      <c r="A33384" t="str">
        <f>HYPERLINK("https://www.773grp.com/globalSearch/NTTFS4929NTAG/page-1", "NTTFS4929NTAG")</f>
        <v>NTTFS4929NTAG</v>
      </c>
      <c r="B33384" s="3" t="s">
        <v>95</v>
      </c>
      <c r="C33384" s="6">
        <v>135000</v>
      </c>
      <c r="D33384" s="7">
        <v>0.95</v>
      </c>
    </row>
    <row r="33385" spans="1:5" x14ac:dyDescent="0.25">
      <c r="A33385" t="str">
        <f>HYPERLINK("https://www.773grp.com/globalSearch/NTTFSC4821NTAG/page-1", "NTTFSC4821NTAG")</f>
        <v>NTTFSC4821NTAG</v>
      </c>
      <c r="B33385" s="3" t="s">
        <v>95</v>
      </c>
      <c r="C33385" s="6">
        <v>6000</v>
      </c>
      <c r="D33385" s="7">
        <v>0.95</v>
      </c>
    </row>
    <row r="33386" spans="1:5" x14ac:dyDescent="0.25">
      <c r="A33386" t="str">
        <f>HYPERLINK("https://www.773grp.com/globalSearch/NTTFSC4823NTAG/page-1", "NTTFSC4823NTAG")</f>
        <v>NTTFSC4823NTAG</v>
      </c>
      <c r="B33386" s="3" t="s">
        <v>95</v>
      </c>
      <c r="C33386" s="6">
        <v>24000</v>
      </c>
      <c r="D33386" s="7">
        <v>0.95</v>
      </c>
    </row>
    <row r="33387" spans="1:5" x14ac:dyDescent="0.25">
      <c r="A33387" t="str">
        <f>HYPERLINK("https://www.773grp.com/globalSearch/PCA9306USG/page-1", "PCA9306USG")</f>
        <v>PCA9306USG</v>
      </c>
      <c r="B33387" s="3" t="s">
        <v>95</v>
      </c>
      <c r="C33387" s="6">
        <v>48000</v>
      </c>
      <c r="D33387" s="7">
        <v>0.95</v>
      </c>
    </row>
    <row r="33388" spans="1:5" x14ac:dyDescent="0.25">
      <c r="A33388" t="str">
        <f>HYPERLINK("https://www.773grp.com/globalSearch/PZT2222AT1H/page-1", "PZT2222AT1H")</f>
        <v>PZT2222AT1H</v>
      </c>
      <c r="B33388" s="3" t="s">
        <v>95</v>
      </c>
      <c r="C33388" s="6">
        <v>47000</v>
      </c>
      <c r="D33388" s="7">
        <v>0.95</v>
      </c>
    </row>
    <row r="33389" spans="1:5" x14ac:dyDescent="0.25">
      <c r="A33389" t="str">
        <f>HYPERLINK("https://www.773grp.com/globalSearch/PZT2222AT3G/page-1", "PZT2222AT3G")</f>
        <v>PZT2222AT3G</v>
      </c>
      <c r="B33389" s="3" t="s">
        <v>95</v>
      </c>
      <c r="C33389" s="6">
        <v>4000</v>
      </c>
      <c r="D33389" s="7">
        <v>0.95</v>
      </c>
    </row>
    <row r="33390" spans="1:5" x14ac:dyDescent="0.25">
      <c r="A33390" t="str">
        <f>HYPERLINK("https://www.773grp.com/globalSearch/PZT2907AT1/page-1", "PZT2907AT1")</f>
        <v>PZT2907AT1</v>
      </c>
      <c r="B33390" s="3" t="s">
        <v>95</v>
      </c>
      <c r="C33390" s="6">
        <v>56000</v>
      </c>
      <c r="D33390" s="7">
        <v>0.95</v>
      </c>
    </row>
    <row r="33391" spans="1:5" x14ac:dyDescent="0.25">
      <c r="A33391" t="str">
        <f>HYPERLINK("https://www.773grp.com/globalSearch/PZTA42T1/page-1", "PZTA42T1")</f>
        <v>PZTA42T1</v>
      </c>
      <c r="B33391" s="3" t="s">
        <v>95</v>
      </c>
      <c r="C33391" s="6">
        <v>42000</v>
      </c>
      <c r="D33391" s="7">
        <v>0.95</v>
      </c>
      <c r="E33391" t="s">
        <v>69</v>
      </c>
    </row>
    <row r="33392" spans="1:5" x14ac:dyDescent="0.25">
      <c r="A33392" t="str">
        <f>HYPERLINK("https://www.773grp.com/globalSearch/SA14093BCP/page-1", "SA14093BCP")</f>
        <v>SA14093BCP</v>
      </c>
      <c r="B33392" s="3" t="s">
        <v>95</v>
      </c>
      <c r="C33392" s="6">
        <v>11000</v>
      </c>
      <c r="D33392" s="7">
        <v>0.95</v>
      </c>
    </row>
    <row r="33393" spans="1:5" x14ac:dyDescent="0.25">
      <c r="A33393" t="str">
        <f>HYPERLINK("https://www.773grp.com/globalSearch/SA14504BDR2/page-1", "SA14504BDR2")</f>
        <v>SA14504BDR2</v>
      </c>
      <c r="B33393" s="3" t="s">
        <v>95</v>
      </c>
      <c r="C33393" s="6">
        <v>30000</v>
      </c>
      <c r="D33393" s="7">
        <v>0.95</v>
      </c>
    </row>
    <row r="33394" spans="1:5" x14ac:dyDescent="0.25">
      <c r="A33394" t="str">
        <f>HYPERLINK("https://www.773grp.com/globalSearch/SC258DR2G/page-1", "SC258DR2G")</f>
        <v>SC258DR2G</v>
      </c>
      <c r="B33394" s="3" t="s">
        <v>95</v>
      </c>
      <c r="C33394" s="6">
        <v>6431</v>
      </c>
      <c r="D33394" s="7">
        <v>0.95</v>
      </c>
    </row>
    <row r="33395" spans="1:5" x14ac:dyDescent="0.25">
      <c r="A33395" t="str">
        <f>HYPERLINK("https://www.773grp.com/globalSearch/SJE3016/page-1", "SJE3016")</f>
        <v>SJE3016</v>
      </c>
      <c r="B33395" s="3" t="s">
        <v>95</v>
      </c>
      <c r="C33395" s="6">
        <v>45150</v>
      </c>
      <c r="D33395" s="7">
        <v>0.95</v>
      </c>
    </row>
    <row r="33396" spans="1:5" x14ac:dyDescent="0.25">
      <c r="A33396" t="str">
        <f>HYPERLINK("https://www.773grp.com/globalSearch/SJE5918/page-1", "SJE5918")</f>
        <v>SJE5918</v>
      </c>
      <c r="B33396" s="3" t="s">
        <v>95</v>
      </c>
      <c r="C33396" s="6">
        <v>4300</v>
      </c>
      <c r="D33396" s="7">
        <v>0.95</v>
      </c>
    </row>
    <row r="33397" spans="1:5" x14ac:dyDescent="0.25">
      <c r="A33397" t="str">
        <f>HYPERLINK("https://www.773grp.com/globalSearch/SN74LS145M/page-1", "SN74LS145M")</f>
        <v>SN74LS145M</v>
      </c>
      <c r="B33397" s="3" t="s">
        <v>95</v>
      </c>
      <c r="C33397" s="6">
        <v>1199</v>
      </c>
      <c r="D33397" s="7">
        <v>0.95</v>
      </c>
      <c r="E33397" t="s">
        <v>36</v>
      </c>
    </row>
    <row r="33398" spans="1:5" x14ac:dyDescent="0.25">
      <c r="A33398" t="str">
        <f>HYPERLINK("https://www.773grp.com/globalSearch/SN74LS145MEL/page-1", "SN74LS145MEL")</f>
        <v>SN74LS145MEL</v>
      </c>
      <c r="B33398" s="3" t="s">
        <v>95</v>
      </c>
      <c r="C33398" s="6">
        <v>2000</v>
      </c>
      <c r="D33398" s="7">
        <v>0.95</v>
      </c>
      <c r="E33398" t="s">
        <v>36</v>
      </c>
    </row>
    <row r="33399" spans="1:5" x14ac:dyDescent="0.25">
      <c r="A33399" t="str">
        <f>HYPERLINK("https://www.773grp.com/globalSearch/SN74LS165D/page-1", "SN74LS165D")</f>
        <v>SN74LS165D</v>
      </c>
      <c r="B33399" s="3" t="s">
        <v>95</v>
      </c>
      <c r="C33399" s="6">
        <v>4608</v>
      </c>
      <c r="D33399" s="7">
        <v>0.95</v>
      </c>
      <c r="E33399" t="s">
        <v>32</v>
      </c>
    </row>
    <row r="33400" spans="1:5" x14ac:dyDescent="0.25">
      <c r="A33400" t="str">
        <f>HYPERLINK("https://www.773grp.com/globalSearch/SN74LS165MEL/page-1", "SN74LS165MEL")</f>
        <v>SN74LS165MEL</v>
      </c>
      <c r="B33400" s="3" t="s">
        <v>95</v>
      </c>
      <c r="C33400" s="6">
        <v>2000</v>
      </c>
      <c r="D33400" s="7">
        <v>0.95</v>
      </c>
      <c r="E33400" t="s">
        <v>32</v>
      </c>
    </row>
    <row r="33401" spans="1:5" x14ac:dyDescent="0.25">
      <c r="A33401" t="str">
        <f>HYPERLINK("https://www.773grp.com/globalSearch/SN74LS166D/page-1", "SN74LS166D")</f>
        <v>SN74LS166D</v>
      </c>
      <c r="B33401" s="3" t="s">
        <v>95</v>
      </c>
      <c r="C33401" s="6">
        <v>524</v>
      </c>
      <c r="D33401" s="7">
        <v>0.95</v>
      </c>
      <c r="E33401" t="s">
        <v>32</v>
      </c>
    </row>
    <row r="33402" spans="1:5" x14ac:dyDescent="0.25">
      <c r="A33402" t="str">
        <f>HYPERLINK("https://www.773grp.com/globalSearch/SN74LS195ADR2/page-1", "SN74LS195ADR2")</f>
        <v>SN74LS195ADR2</v>
      </c>
      <c r="B33402" s="3" t="s">
        <v>95</v>
      </c>
      <c r="C33402" s="6">
        <v>2500</v>
      </c>
      <c r="D33402" s="7">
        <v>0.95</v>
      </c>
      <c r="E33402" t="s">
        <v>32</v>
      </c>
    </row>
    <row r="33403" spans="1:5" x14ac:dyDescent="0.25">
      <c r="A33403" t="str">
        <f>HYPERLINK("https://www.773grp.com/globalSearch/SN74LS221N/page-1", "SN74LS221N")</f>
        <v>SN74LS221N</v>
      </c>
      <c r="B33403" s="3" t="s">
        <v>95</v>
      </c>
      <c r="C33403" s="6">
        <v>710</v>
      </c>
      <c r="D33403" s="7">
        <v>0.95</v>
      </c>
      <c r="E33403" t="s">
        <v>54</v>
      </c>
    </row>
    <row r="33404" spans="1:5" x14ac:dyDescent="0.25">
      <c r="A33404" t="str">
        <f>HYPERLINK("https://www.773grp.com/globalSearch/SN74LS241M/page-1", "SN74LS241M")</f>
        <v>SN74LS241M</v>
      </c>
      <c r="B33404" s="3" t="s">
        <v>95</v>
      </c>
      <c r="C33404" s="6">
        <v>520</v>
      </c>
      <c r="D33404" s="7">
        <v>0.95</v>
      </c>
    </row>
    <row r="33405" spans="1:5" x14ac:dyDescent="0.25">
      <c r="A33405" t="str">
        <f>HYPERLINK("https://www.773grp.com/globalSearch/SN74LS241ML1/page-1", "SN74LS241ML1")</f>
        <v>SN74LS241ML1</v>
      </c>
      <c r="B33405" s="3" t="s">
        <v>95</v>
      </c>
      <c r="C33405" s="6">
        <v>2000</v>
      </c>
      <c r="D33405" s="7">
        <v>0.95</v>
      </c>
    </row>
    <row r="33406" spans="1:5" x14ac:dyDescent="0.25">
      <c r="A33406" t="str">
        <f>HYPERLINK("https://www.773grp.com/globalSearch/SN74LS241N/page-1", "SN74LS241N")</f>
        <v>SN74LS241N</v>
      </c>
      <c r="B33406" s="3" t="s">
        <v>95</v>
      </c>
      <c r="C33406" s="6">
        <v>130</v>
      </c>
      <c r="D33406" s="7">
        <v>0.95</v>
      </c>
      <c r="E33406" t="s">
        <v>14</v>
      </c>
    </row>
    <row r="33407" spans="1:5" x14ac:dyDescent="0.25">
      <c r="A33407" t="str">
        <f>HYPERLINK("https://www.773grp.com/globalSearch/SN74LS244N/page-1", "SN74LS244N")</f>
        <v>SN74LS244N</v>
      </c>
      <c r="B33407" s="3" t="s">
        <v>95</v>
      </c>
      <c r="C33407" s="6">
        <v>3487</v>
      </c>
      <c r="D33407" s="7">
        <v>0.95</v>
      </c>
      <c r="E33407" t="s">
        <v>14</v>
      </c>
    </row>
    <row r="33408" spans="1:5" x14ac:dyDescent="0.25">
      <c r="A33408" t="str">
        <f>HYPERLINK("https://www.773grp.com/globalSearch/SN74LS259D/page-1", "SN74LS259D")</f>
        <v>SN74LS259D</v>
      </c>
      <c r="B33408" s="3" t="s">
        <v>95</v>
      </c>
      <c r="C33408" s="6">
        <v>272</v>
      </c>
      <c r="D33408" s="7">
        <v>0.95</v>
      </c>
      <c r="E33408" t="s">
        <v>35</v>
      </c>
    </row>
    <row r="33409" spans="1:5" x14ac:dyDescent="0.25">
      <c r="A33409" t="str">
        <f>HYPERLINK("https://www.773grp.com/globalSearch/SN74LS283N/page-1", "SN74LS283N")</f>
        <v>SN74LS283N</v>
      </c>
      <c r="B33409" s="3" t="s">
        <v>95</v>
      </c>
      <c r="C33409" s="6">
        <v>425</v>
      </c>
      <c r="D33409" s="7">
        <v>0.95</v>
      </c>
      <c r="E33409" t="s">
        <v>43</v>
      </c>
    </row>
    <row r="33410" spans="1:5" x14ac:dyDescent="0.25">
      <c r="A33410" t="str">
        <f>HYPERLINK("https://www.773grp.com/globalSearch/SN74LS377DW/page-1", "SN74LS377DW")</f>
        <v>SN74LS377DW</v>
      </c>
      <c r="B33410" s="3" t="s">
        <v>95</v>
      </c>
      <c r="C33410" s="6">
        <v>74228</v>
      </c>
      <c r="D33410" s="7">
        <v>0.95</v>
      </c>
      <c r="E33410" t="s">
        <v>35</v>
      </c>
    </row>
    <row r="33411" spans="1:5" x14ac:dyDescent="0.25">
      <c r="A33411" t="str">
        <f>HYPERLINK("https://www.773grp.com/globalSearch/SN74LS377DWR2/page-1", "SN74LS377DWR2")</f>
        <v>SN74LS377DWR2</v>
      </c>
      <c r="B33411" s="3" t="s">
        <v>95</v>
      </c>
      <c r="C33411" s="6">
        <v>576000</v>
      </c>
      <c r="D33411" s="7">
        <v>0.95</v>
      </c>
      <c r="E33411" t="s">
        <v>35</v>
      </c>
    </row>
    <row r="33412" spans="1:5" x14ac:dyDescent="0.25">
      <c r="A33412" t="str">
        <f>HYPERLINK("https://www.773grp.com/globalSearch/SN74LS393D/page-1", "SN74LS393D")</f>
        <v>SN74LS393D</v>
      </c>
      <c r="B33412" s="3" t="s">
        <v>95</v>
      </c>
      <c r="C33412" s="6">
        <v>5505</v>
      </c>
      <c r="D33412" s="7">
        <v>0.95</v>
      </c>
      <c r="E33412" t="s">
        <v>26</v>
      </c>
    </row>
    <row r="33413" spans="1:5" x14ac:dyDescent="0.25">
      <c r="A33413" t="str">
        <f>HYPERLINK("https://www.773grp.com/globalSearch/SN74LS540H/page-1", "SN74LS540H")</f>
        <v>SN74LS540H</v>
      </c>
      <c r="B33413" s="3" t="s">
        <v>95</v>
      </c>
      <c r="C33413" s="6">
        <v>1080</v>
      </c>
      <c r="D33413" s="7">
        <v>0.95</v>
      </c>
    </row>
    <row r="33414" spans="1:5" x14ac:dyDescent="0.25">
      <c r="A33414" t="str">
        <f>HYPERLINK("https://www.773grp.com/globalSearch/SN74LS541N/page-1", "SN74LS541N")</f>
        <v>SN74LS541N</v>
      </c>
      <c r="B33414" s="3" t="s">
        <v>95</v>
      </c>
      <c r="C33414" s="6">
        <v>14</v>
      </c>
      <c r="D33414" s="7">
        <v>0.95</v>
      </c>
      <c r="E33414" t="s">
        <v>14</v>
      </c>
    </row>
    <row r="33415" spans="1:5" x14ac:dyDescent="0.25">
      <c r="A33415" t="str">
        <f>HYPERLINK("https://www.773grp.com/globalSearch/SSVPZTA92T1/page-1", "SSVPZTA92T1")</f>
        <v>SSVPZTA92T1</v>
      </c>
      <c r="B33415" s="3" t="s">
        <v>95</v>
      </c>
      <c r="C33415" s="6">
        <v>49000</v>
      </c>
      <c r="D33415" s="7">
        <v>0.95</v>
      </c>
    </row>
    <row r="33416" spans="1:5" x14ac:dyDescent="0.25">
      <c r="A33416" t="str">
        <f>HYPERLINK("https://www.773grp.com/globalSearch/SSVPZTA92T1G/page-1", "SSVPZTA92T1G")</f>
        <v>SSVPZTA92T1G</v>
      </c>
      <c r="B33416" s="3" t="s">
        <v>95</v>
      </c>
      <c r="C33416" s="6">
        <v>94000</v>
      </c>
      <c r="D33416" s="7">
        <v>0.95</v>
      </c>
    </row>
    <row r="33417" spans="1:5" x14ac:dyDescent="0.25">
      <c r="A33417" t="str">
        <f>HYPERLINK("https://www.773grp.com/globalSearch/STD1059-001/page-1", "STD1059-001")</f>
        <v>STD1059-001</v>
      </c>
      <c r="B33417" s="3" t="s">
        <v>95</v>
      </c>
      <c r="C33417" s="6">
        <v>15825</v>
      </c>
      <c r="D33417" s="7">
        <v>0.95</v>
      </c>
    </row>
    <row r="33418" spans="1:5" x14ac:dyDescent="0.25">
      <c r="A33418" t="str">
        <f>HYPERLINK("https://www.773grp.com/globalSearch/STD5P06VT4/page-1", "STD5P06VT4")</f>
        <v>STD5P06VT4</v>
      </c>
      <c r="B33418" s="3" t="s">
        <v>95</v>
      </c>
      <c r="C33418" s="6">
        <v>52500</v>
      </c>
      <c r="D33418" s="7">
        <v>0.95</v>
      </c>
    </row>
    <row r="33419" spans="1:5" x14ac:dyDescent="0.25">
      <c r="A33419" t="str">
        <f>HYPERLINK("https://www.773grp.com/globalSearch/SUR722LFG/page-1", "SUR722LFG")</f>
        <v>SUR722LFG</v>
      </c>
      <c r="B33419" s="3" t="s">
        <v>95</v>
      </c>
      <c r="C33419" s="6">
        <v>202000</v>
      </c>
      <c r="D33419" s="7">
        <v>0.95</v>
      </c>
    </row>
    <row r="33420" spans="1:5" x14ac:dyDescent="0.25">
      <c r="A33420" t="str">
        <f>HYPERLINK("https://www.773grp.com/globalSearch/SZ1SMA5928BT3G/page-1", "SZ1SMA5928BT3G")</f>
        <v>SZ1SMA5928BT3G</v>
      </c>
      <c r="B33420" s="3" t="s">
        <v>95</v>
      </c>
      <c r="C33420" s="6">
        <v>25000</v>
      </c>
      <c r="D33420" s="7">
        <v>0.95</v>
      </c>
    </row>
    <row r="33421" spans="1:5" x14ac:dyDescent="0.25">
      <c r="A33421" t="str">
        <f>HYPERLINK("https://www.773grp.com/globalSearch/SZ1SMA5929BT3G/page-1", "SZ1SMA5929BT3G")</f>
        <v>SZ1SMA5929BT3G</v>
      </c>
      <c r="B33421" s="3" t="s">
        <v>95</v>
      </c>
      <c r="C33421" s="6">
        <v>5000</v>
      </c>
      <c r="D33421" s="7">
        <v>0.95</v>
      </c>
    </row>
    <row r="33422" spans="1:5" x14ac:dyDescent="0.25">
      <c r="A33422" t="str">
        <f>HYPERLINK("https://www.773grp.com/globalSearch/TE02561/page-1", "TE02561")</f>
        <v>TE02561</v>
      </c>
      <c r="B33422" s="3" t="s">
        <v>95</v>
      </c>
      <c r="C33422" s="6">
        <v>15700</v>
      </c>
      <c r="D33422" s="7">
        <v>0.95</v>
      </c>
    </row>
    <row r="33423" spans="1:5" x14ac:dyDescent="0.25">
      <c r="A33423" t="str">
        <f>HYPERLINK("https://www.773grp.com/globalSearch/TL071CD/page-1", "TL071CD")</f>
        <v>TL071CD</v>
      </c>
      <c r="B33423" s="3" t="s">
        <v>95</v>
      </c>
      <c r="C33423" s="6">
        <v>294</v>
      </c>
      <c r="D33423" s="7">
        <v>0.95</v>
      </c>
      <c r="E33423" t="s">
        <v>13</v>
      </c>
    </row>
    <row r="33424" spans="1:5" x14ac:dyDescent="0.25">
      <c r="A33424" t="str">
        <f>HYPERLINK("https://www.773grp.com/globalSearch/TL072CD/page-1", "TL072CD")</f>
        <v>TL072CD</v>
      </c>
      <c r="B33424" s="3" t="s">
        <v>95</v>
      </c>
      <c r="C33424" s="6">
        <v>5232</v>
      </c>
      <c r="D33424" s="7">
        <v>0.95</v>
      </c>
      <c r="E33424" t="s">
        <v>13</v>
      </c>
    </row>
    <row r="33425" spans="1:5" x14ac:dyDescent="0.25">
      <c r="A33425" t="str">
        <f>HYPERLINK("https://www.773grp.com/globalSearch/TL431BVDR2G/page-1", "TL431BVDR2G")</f>
        <v>TL431BVDR2G</v>
      </c>
      <c r="B33425" s="3" t="s">
        <v>95</v>
      </c>
      <c r="C33425" s="6">
        <v>42500</v>
      </c>
      <c r="D33425" s="7">
        <v>0.95</v>
      </c>
      <c r="E33425" t="s">
        <v>17</v>
      </c>
    </row>
    <row r="33426" spans="1:5" x14ac:dyDescent="0.25">
      <c r="A33426" t="str">
        <f>HYPERLINK("https://www.773grp.com/globalSearch/TL431BVLPG/page-1", "TL431BVLPG")</f>
        <v>TL431BVLPG</v>
      </c>
      <c r="B33426" s="3" t="s">
        <v>95</v>
      </c>
      <c r="C33426" s="6">
        <v>14000</v>
      </c>
      <c r="D33426" s="7">
        <v>0.95</v>
      </c>
    </row>
    <row r="33427" spans="1:5" x14ac:dyDescent="0.25">
      <c r="A33427" t="str">
        <f>HYPERLINK("https://www.773grp.com/globalSearch/TL431BVLPRAG/page-1", "TL431BVLPRAG")</f>
        <v>TL431BVLPRAG</v>
      </c>
      <c r="B33427" s="3" t="s">
        <v>95</v>
      </c>
      <c r="C33427" s="6">
        <v>100000</v>
      </c>
      <c r="D33427" s="7">
        <v>0.95</v>
      </c>
    </row>
    <row r="33428" spans="1:5" x14ac:dyDescent="0.25">
      <c r="A33428" t="str">
        <f>HYPERLINK("https://www.773grp.com/globalSearch/TL494CD/page-1", "TL494CD")</f>
        <v>TL494CD</v>
      </c>
      <c r="B33428" s="3" t="s">
        <v>95</v>
      </c>
      <c r="C33428" s="6">
        <v>1459</v>
      </c>
      <c r="D33428" s="7">
        <v>0.95</v>
      </c>
      <c r="E33428" t="s">
        <v>7</v>
      </c>
    </row>
    <row r="33429" spans="1:5" x14ac:dyDescent="0.25">
      <c r="A33429" t="str">
        <f>HYPERLINK("https://www.773grp.com/globalSearch/TLV431ASNT1/page-1", "TLV431ASNT1")</f>
        <v>TLV431ASNT1</v>
      </c>
      <c r="B33429" s="3" t="s">
        <v>95</v>
      </c>
      <c r="C33429" s="6">
        <v>187770</v>
      </c>
      <c r="D33429" s="7">
        <v>0.95</v>
      </c>
      <c r="E33429" t="s">
        <v>17</v>
      </c>
    </row>
    <row r="33430" spans="1:5" x14ac:dyDescent="0.25">
      <c r="A33430" t="str">
        <f>HYPERLINK("https://www.773grp.com/globalSearch/UC3842AN2/page-1", "UC3842AN2")</f>
        <v>UC3842AN2</v>
      </c>
      <c r="B33430" s="3" t="s">
        <v>95</v>
      </c>
      <c r="C33430" s="6">
        <v>820</v>
      </c>
      <c r="D33430" s="7">
        <v>0.95</v>
      </c>
      <c r="E33430" t="s">
        <v>7</v>
      </c>
    </row>
    <row r="33431" spans="1:5" x14ac:dyDescent="0.25">
      <c r="A33431" t="str">
        <f>HYPERLINK("https://www.773grp.com/globalSearch/UC3842AN2G/page-1", "UC3842AN2G")</f>
        <v>UC3842AN2G</v>
      </c>
      <c r="B33431" s="3" t="s">
        <v>95</v>
      </c>
      <c r="C33431" s="6">
        <v>600</v>
      </c>
      <c r="D33431" s="7">
        <v>0.95</v>
      </c>
      <c r="E33431" t="s">
        <v>7</v>
      </c>
    </row>
    <row r="33432" spans="1:5" x14ac:dyDescent="0.25">
      <c r="A33432" t="str">
        <f>HYPERLINK("https://www.773grp.com/globalSearch/UC3842BD/page-1", "UC3842BD")</f>
        <v>UC3842BD</v>
      </c>
      <c r="B33432" s="3" t="s">
        <v>95</v>
      </c>
      <c r="C33432" s="6">
        <v>3826</v>
      </c>
      <c r="D33432" s="7">
        <v>0.95</v>
      </c>
      <c r="E33432" t="s">
        <v>7</v>
      </c>
    </row>
    <row r="33433" spans="1:5" x14ac:dyDescent="0.25">
      <c r="A33433" t="str">
        <f>HYPERLINK("https://www.773grp.com/globalSearch/UC3842BD1/page-1", "UC3842BD1")</f>
        <v>UC3842BD1</v>
      </c>
      <c r="B33433" s="3" t="s">
        <v>95</v>
      </c>
      <c r="C33433" s="6">
        <v>37142</v>
      </c>
      <c r="D33433" s="7">
        <v>0.95</v>
      </c>
      <c r="E33433" t="s">
        <v>7</v>
      </c>
    </row>
    <row r="33434" spans="1:5" x14ac:dyDescent="0.25">
      <c r="A33434" t="str">
        <f>HYPERLINK("https://www.773grp.com/globalSearch/UC3842BD1R2/page-1", "UC3842BD1R2")</f>
        <v>UC3842BD1R2</v>
      </c>
      <c r="B33434" s="3" t="s">
        <v>95</v>
      </c>
      <c r="C33434" s="6">
        <v>357500</v>
      </c>
      <c r="D33434" s="7">
        <v>0.95</v>
      </c>
      <c r="E33434" t="s">
        <v>7</v>
      </c>
    </row>
    <row r="33435" spans="1:5" x14ac:dyDescent="0.25">
      <c r="A33435" t="str">
        <f>HYPERLINK("https://www.773grp.com/globalSearch/UC3842BDR2/page-1", "UC3842BDR2")</f>
        <v>UC3842BDR2</v>
      </c>
      <c r="B33435" s="3" t="s">
        <v>95</v>
      </c>
      <c r="C33435" s="6">
        <v>20000</v>
      </c>
      <c r="D33435" s="7">
        <v>0.95</v>
      </c>
      <c r="E33435" t="s">
        <v>7</v>
      </c>
    </row>
    <row r="33436" spans="1:5" x14ac:dyDescent="0.25">
      <c r="A33436" t="str">
        <f>HYPERLINK("https://www.773grp.com/globalSearch/UC3842BN/page-1", "UC3842BN")</f>
        <v>UC3842BN</v>
      </c>
      <c r="B33436" s="3" t="s">
        <v>95</v>
      </c>
      <c r="C33436" s="6">
        <v>4249</v>
      </c>
      <c r="D33436" s="7">
        <v>0.95</v>
      </c>
      <c r="E33436" t="s">
        <v>7</v>
      </c>
    </row>
    <row r="33437" spans="1:5" x14ac:dyDescent="0.25">
      <c r="A33437" t="str">
        <f>HYPERLINK("https://www.773grp.com/globalSearch/UC3843AD1R2/page-1", "UC3843AD1R2")</f>
        <v>UC3843AD1R2</v>
      </c>
      <c r="B33437" s="3" t="s">
        <v>95</v>
      </c>
      <c r="C33437" s="6">
        <v>2200</v>
      </c>
      <c r="D33437" s="7">
        <v>0.95</v>
      </c>
      <c r="E33437" t="s">
        <v>7</v>
      </c>
    </row>
    <row r="33438" spans="1:5" x14ac:dyDescent="0.25">
      <c r="A33438" t="str">
        <f>HYPERLINK("https://www.773grp.com/globalSearch/UC3843AN2/page-1", "UC3843AN2")</f>
        <v>UC3843AN2</v>
      </c>
      <c r="B33438" s="3" t="s">
        <v>95</v>
      </c>
      <c r="C33438" s="6">
        <v>50</v>
      </c>
      <c r="D33438" s="7">
        <v>0.95</v>
      </c>
      <c r="E33438" t="s">
        <v>7</v>
      </c>
    </row>
    <row r="33439" spans="1:5" x14ac:dyDescent="0.25">
      <c r="A33439" t="str">
        <f>HYPERLINK("https://www.773grp.com/globalSearch/UC3843BD1/page-1", "UC3843BD1")</f>
        <v>UC3843BD1</v>
      </c>
      <c r="B33439" s="3" t="s">
        <v>95</v>
      </c>
      <c r="C33439" s="6">
        <v>308</v>
      </c>
      <c r="D33439" s="7">
        <v>0.95</v>
      </c>
      <c r="E33439" t="s">
        <v>7</v>
      </c>
    </row>
    <row r="33440" spans="1:5" x14ac:dyDescent="0.25">
      <c r="A33440" t="str">
        <f>HYPERLINK("https://www.773grp.com/globalSearch/UC3843BD1R2/page-1", "UC3843BD1R2")</f>
        <v>UC3843BD1R2</v>
      </c>
      <c r="B33440" s="3" t="s">
        <v>95</v>
      </c>
      <c r="C33440" s="6">
        <v>4985</v>
      </c>
      <c r="D33440" s="7">
        <v>0.95</v>
      </c>
      <c r="E33440" t="s">
        <v>7</v>
      </c>
    </row>
    <row r="33441" spans="1:5" x14ac:dyDescent="0.25">
      <c r="A33441" t="str">
        <f>HYPERLINK("https://www.773grp.com/globalSearch/UC3843BN/page-1", "UC3843BN")</f>
        <v>UC3843BN</v>
      </c>
      <c r="B33441" s="3" t="s">
        <v>95</v>
      </c>
      <c r="C33441" s="6">
        <v>39787</v>
      </c>
      <c r="D33441" s="7">
        <v>0.95</v>
      </c>
      <c r="E33441" t="s">
        <v>7</v>
      </c>
    </row>
    <row r="33442" spans="1:5" x14ac:dyDescent="0.25">
      <c r="A33442" t="str">
        <f>HYPERLINK("https://www.773grp.com/globalSearch/UC3844BN/page-1", "UC3844BN")</f>
        <v>UC3844BN</v>
      </c>
      <c r="B33442" s="3" t="s">
        <v>95</v>
      </c>
      <c r="C33442" s="6">
        <v>15272</v>
      </c>
      <c r="D33442" s="7">
        <v>0.95</v>
      </c>
      <c r="E33442" t="s">
        <v>7</v>
      </c>
    </row>
    <row r="33443" spans="1:5" x14ac:dyDescent="0.25">
      <c r="A33443" t="str">
        <f>HYPERLINK("https://www.773grp.com/globalSearch/UC3845BN/page-1", "UC3845BN")</f>
        <v>UC3845BN</v>
      </c>
      <c r="B33443" s="3" t="s">
        <v>95</v>
      </c>
      <c r="C33443" s="6">
        <v>3400</v>
      </c>
      <c r="D33443" s="7">
        <v>0.95</v>
      </c>
      <c r="E33443" t="s">
        <v>7</v>
      </c>
    </row>
    <row r="33444" spans="1:5" x14ac:dyDescent="0.25">
      <c r="A33444" t="str">
        <f>HYPERLINK("https://www.773grp.com/globalSearch/UC3845N/page-1", "UC3845N")</f>
        <v>UC3845N</v>
      </c>
      <c r="B33444" s="3" t="s">
        <v>95</v>
      </c>
      <c r="C33444" s="6">
        <v>11</v>
      </c>
      <c r="D33444" s="7">
        <v>0.95</v>
      </c>
      <c r="E33444" t="s">
        <v>7</v>
      </c>
    </row>
    <row r="33445" spans="1:5" x14ac:dyDescent="0.25">
      <c r="A33445" t="str">
        <f>HYPERLINK("https://www.773grp.com/globalSearch/UC3845NG/page-1", "UC3845NG")</f>
        <v>UC3845NG</v>
      </c>
      <c r="B33445" s="3" t="s">
        <v>95</v>
      </c>
      <c r="C33445" s="6">
        <v>130</v>
      </c>
      <c r="D33445" s="7">
        <v>0.95</v>
      </c>
      <c r="E33445" t="s">
        <v>7</v>
      </c>
    </row>
    <row r="33446" spans="1:5" x14ac:dyDescent="0.25">
      <c r="A33446" t="str">
        <f>HYPERLINK("https://www.773grp.com/globalSearch/1SMA10CAT3G/page-1", "1SMA10CAT3G")</f>
        <v>1SMA10CAT3G</v>
      </c>
      <c r="B33446" s="3" t="s">
        <v>95</v>
      </c>
      <c r="C33446" s="6">
        <v>4170</v>
      </c>
      <c r="D33446" s="7">
        <v>1</v>
      </c>
      <c r="E33446" t="s">
        <v>96</v>
      </c>
    </row>
    <row r="33447" spans="1:5" x14ac:dyDescent="0.25">
      <c r="A33447" t="str">
        <f>HYPERLINK("https://www.773grp.com/globalSearch/1SMA13CAT3G/page-1", "1SMA13CAT3G")</f>
        <v>1SMA13CAT3G</v>
      </c>
      <c r="B33447" s="3" t="s">
        <v>95</v>
      </c>
      <c r="C33447" s="6">
        <v>5000</v>
      </c>
      <c r="D33447" s="7">
        <v>1</v>
      </c>
    </row>
    <row r="33448" spans="1:5" x14ac:dyDescent="0.25">
      <c r="A33448" t="str">
        <f>HYPERLINK("https://www.773grp.com/globalSearch/1SMA15CAT3G/page-1", "1SMA15CAT3G")</f>
        <v>1SMA15CAT3G</v>
      </c>
      <c r="B33448" s="3" t="s">
        <v>95</v>
      </c>
      <c r="C33448" s="6">
        <v>9800</v>
      </c>
      <c r="D33448" s="7">
        <v>1</v>
      </c>
      <c r="E33448" t="s">
        <v>96</v>
      </c>
    </row>
    <row r="33449" spans="1:5" x14ac:dyDescent="0.25">
      <c r="A33449" t="str">
        <f>HYPERLINK("https://www.773grp.com/globalSearch/1SMA16CAT3G/page-1", "1SMA16CAT3G")</f>
        <v>1SMA16CAT3G</v>
      </c>
      <c r="B33449" s="3" t="s">
        <v>95</v>
      </c>
      <c r="C33449" s="6">
        <v>115000</v>
      </c>
      <c r="D33449" s="7">
        <v>1</v>
      </c>
      <c r="E33449" t="s">
        <v>96</v>
      </c>
    </row>
    <row r="33450" spans="1:5" x14ac:dyDescent="0.25">
      <c r="A33450" t="str">
        <f>HYPERLINK("https://www.773grp.com/globalSearch/1SMA18CAT3G/page-1", "1SMA18CAT3G")</f>
        <v>1SMA18CAT3G</v>
      </c>
      <c r="B33450" s="3" t="s">
        <v>95</v>
      </c>
      <c r="C33450" s="6">
        <v>89500</v>
      </c>
      <c r="D33450" s="7">
        <v>1</v>
      </c>
      <c r="E33450" t="s">
        <v>96</v>
      </c>
    </row>
    <row r="33451" spans="1:5" x14ac:dyDescent="0.25">
      <c r="A33451" t="str">
        <f>HYPERLINK("https://www.773grp.com/globalSearch/1SMA24CAT3G/page-1", "1SMA24CAT3G")</f>
        <v>1SMA24CAT3G</v>
      </c>
      <c r="B33451" s="3" t="s">
        <v>95</v>
      </c>
      <c r="C33451" s="6">
        <v>113850</v>
      </c>
      <c r="D33451" s="7">
        <v>1</v>
      </c>
      <c r="E33451" t="s">
        <v>96</v>
      </c>
    </row>
    <row r="33452" spans="1:5" x14ac:dyDescent="0.25">
      <c r="A33452" t="str">
        <f>HYPERLINK("https://www.773grp.com/globalSearch/1SMA30CAT3G/page-1", "1SMA30CAT3G")</f>
        <v>1SMA30CAT3G</v>
      </c>
      <c r="B33452" s="3" t="s">
        <v>95</v>
      </c>
      <c r="C33452" s="6">
        <v>25000</v>
      </c>
      <c r="D33452" s="7">
        <v>1</v>
      </c>
    </row>
    <row r="33453" spans="1:5" x14ac:dyDescent="0.25">
      <c r="A33453" t="str">
        <f>HYPERLINK("https://www.773grp.com/globalSearch/1SMA33CAT3G/page-1", "1SMA33CAT3G")</f>
        <v>1SMA33CAT3G</v>
      </c>
      <c r="B33453" s="3" t="s">
        <v>95</v>
      </c>
      <c r="C33453" s="6">
        <v>43294</v>
      </c>
      <c r="D33453" s="7">
        <v>1</v>
      </c>
    </row>
    <row r="33454" spans="1:5" x14ac:dyDescent="0.25">
      <c r="A33454" t="str">
        <f>HYPERLINK("https://www.773grp.com/globalSearch/1SMA48CAT3G/page-1", "1SMA48CAT3G")</f>
        <v>1SMA48CAT3G</v>
      </c>
      <c r="B33454" s="3" t="s">
        <v>95</v>
      </c>
      <c r="C33454" s="6">
        <v>13363</v>
      </c>
      <c r="D33454" s="7">
        <v>1</v>
      </c>
    </row>
    <row r="33455" spans="1:5" x14ac:dyDescent="0.25">
      <c r="A33455" t="str">
        <f>HYPERLINK("https://www.773grp.com/globalSearch/1SMA58CAT3G/page-1", "1SMA58CAT3G")</f>
        <v>1SMA58CAT3G</v>
      </c>
      <c r="B33455" s="3" t="s">
        <v>95</v>
      </c>
      <c r="C33455" s="6">
        <v>5000</v>
      </c>
      <c r="D33455" s="7">
        <v>1</v>
      </c>
      <c r="E33455" t="s">
        <v>96</v>
      </c>
    </row>
    <row r="33456" spans="1:5" x14ac:dyDescent="0.25">
      <c r="A33456" t="str">
        <f>HYPERLINK("https://www.773grp.com/globalSearch/1SMB130AT3/page-1", "1SMB130AT3")</f>
        <v>1SMB130AT3</v>
      </c>
      <c r="B33456" s="3" t="s">
        <v>95</v>
      </c>
      <c r="C33456" s="6">
        <v>5000</v>
      </c>
      <c r="D33456" s="7">
        <v>1</v>
      </c>
      <c r="E33456" t="s">
        <v>96</v>
      </c>
    </row>
    <row r="33457" spans="1:5" x14ac:dyDescent="0.25">
      <c r="A33457" t="str">
        <f>HYPERLINK("https://www.773grp.com/globalSearch/2N5195/page-1", "2N5195")</f>
        <v>2N5195</v>
      </c>
      <c r="B33457" s="3" t="s">
        <v>95</v>
      </c>
      <c r="C33457" s="6">
        <v>2472</v>
      </c>
      <c r="D33457" s="7">
        <v>1</v>
      </c>
      <c r="E33457" t="s">
        <v>59</v>
      </c>
    </row>
    <row r="33458" spans="1:5" x14ac:dyDescent="0.25">
      <c r="A33458" t="str">
        <f>HYPERLINK("https://www.773grp.com/globalSearch/2N6038/page-1", "2N6038")</f>
        <v>2N6038</v>
      </c>
      <c r="B33458" s="3" t="s">
        <v>95</v>
      </c>
      <c r="C33458" s="6">
        <v>2000</v>
      </c>
      <c r="D33458" s="7">
        <v>1</v>
      </c>
      <c r="E33458" t="s">
        <v>59</v>
      </c>
    </row>
    <row r="33459" spans="1:5" x14ac:dyDescent="0.25">
      <c r="A33459" t="str">
        <f>HYPERLINK("https://www.773grp.com/globalSearch/2SB1201S-E/page-1", "2SB1201S-E")</f>
        <v>2SB1201S-E</v>
      </c>
      <c r="B33459" s="3" t="s">
        <v>95</v>
      </c>
      <c r="C33459" s="6">
        <v>500</v>
      </c>
      <c r="D33459" s="7">
        <v>1</v>
      </c>
    </row>
    <row r="33460" spans="1:5" x14ac:dyDescent="0.25">
      <c r="A33460" t="str">
        <f>HYPERLINK("https://www.773grp.com/globalSearch/BF720T1G/page-1", "BF720T1G")</f>
        <v>BF720T1G</v>
      </c>
      <c r="B33460" s="3" t="s">
        <v>95</v>
      </c>
      <c r="C33460" s="6">
        <v>11000</v>
      </c>
      <c r="D33460" s="7">
        <v>1</v>
      </c>
      <c r="E33460" t="s">
        <v>59</v>
      </c>
    </row>
    <row r="33461" spans="1:5" x14ac:dyDescent="0.25">
      <c r="A33461" t="str">
        <f>HYPERLINK("https://www.773grp.com/globalSearch/CAT24C02LI/page-1", "CAT24C02LI")</f>
        <v>CAT24C02LI</v>
      </c>
      <c r="B33461" s="3" t="s">
        <v>95</v>
      </c>
      <c r="C33461" s="6">
        <v>33900</v>
      </c>
      <c r="D33461" s="7">
        <v>1</v>
      </c>
      <c r="E33461" t="s">
        <v>64</v>
      </c>
    </row>
    <row r="33462" spans="1:5" x14ac:dyDescent="0.25">
      <c r="A33462" t="str">
        <f>HYPERLINK("https://www.773grp.com/globalSearch/CAT24C05LI-G/page-1", "CAT24C05LI-G")</f>
        <v>CAT24C05LI-G</v>
      </c>
      <c r="B33462" s="3" t="s">
        <v>95</v>
      </c>
      <c r="C33462" s="6">
        <v>16000</v>
      </c>
      <c r="D33462" s="7">
        <v>1</v>
      </c>
      <c r="E33462" t="s">
        <v>64</v>
      </c>
    </row>
    <row r="33463" spans="1:5" x14ac:dyDescent="0.25">
      <c r="A33463" t="str">
        <f>HYPERLINK("https://www.773grp.com/globalSearch/CAT24C32WI-G/page-1", "CAT24C32WI-G")</f>
        <v>CAT24C32WI-G</v>
      </c>
      <c r="B33463" s="3" t="s">
        <v>95</v>
      </c>
      <c r="C33463" s="6">
        <v>6000</v>
      </c>
      <c r="D33463" s="7">
        <v>1</v>
      </c>
    </row>
    <row r="33464" spans="1:5" x14ac:dyDescent="0.25">
      <c r="A33464" t="str">
        <f>HYPERLINK("https://www.773grp.com/globalSearch/CAT25020LI-G/page-1", "CAT25020LI-G")</f>
        <v>CAT25020LI-G</v>
      </c>
      <c r="B33464" s="3" t="s">
        <v>95</v>
      </c>
      <c r="C33464" s="6">
        <v>30760</v>
      </c>
      <c r="D33464" s="7">
        <v>1</v>
      </c>
      <c r="E33464" t="s">
        <v>64</v>
      </c>
    </row>
    <row r="33465" spans="1:5" x14ac:dyDescent="0.25">
      <c r="A33465" t="str">
        <f>HYPERLINK("https://www.773grp.com/globalSearch/CAT25160VI-GT3/page-1", "CAT25160VI-GT3")</f>
        <v>CAT25160VI-GT3</v>
      </c>
      <c r="B33465" s="3" t="s">
        <v>95</v>
      </c>
      <c r="C33465" s="6">
        <v>16880</v>
      </c>
      <c r="D33465" s="7">
        <v>1</v>
      </c>
      <c r="E33465" t="s">
        <v>64</v>
      </c>
    </row>
    <row r="33466" spans="1:5" x14ac:dyDescent="0.25">
      <c r="A33466" t="str">
        <f>HYPERLINK("https://www.773grp.com/globalSearch/CAT25160YI-GT3/page-1", "CAT25160YI-GT3")</f>
        <v>CAT25160YI-GT3</v>
      </c>
      <c r="B33466" s="3" t="s">
        <v>95</v>
      </c>
      <c r="C33466" s="6">
        <v>60</v>
      </c>
      <c r="D33466" s="7">
        <v>1</v>
      </c>
      <c r="E33466" t="s">
        <v>64</v>
      </c>
    </row>
    <row r="33467" spans="1:5" x14ac:dyDescent="0.25">
      <c r="A33467" t="str">
        <f>HYPERLINK("https://www.773grp.com/globalSearch/CAT810MTBI-T3/page-1", "CAT810MTBI-T3")</f>
        <v>CAT810MTBI-T3</v>
      </c>
      <c r="B33467" s="3" t="s">
        <v>95</v>
      </c>
      <c r="C33467" s="6">
        <v>63000</v>
      </c>
      <c r="D33467" s="7">
        <v>1</v>
      </c>
    </row>
    <row r="33468" spans="1:5" x14ac:dyDescent="0.25">
      <c r="A33468" t="str">
        <f>HYPERLINK("https://www.773grp.com/globalSearch/CAT810TTBI-T3/page-1", "CAT810TTBI-T3")</f>
        <v>CAT810TTBI-T3</v>
      </c>
      <c r="B33468" s="3" t="s">
        <v>95</v>
      </c>
      <c r="C33468" s="6">
        <v>60000</v>
      </c>
      <c r="D33468" s="7">
        <v>1</v>
      </c>
    </row>
    <row r="33469" spans="1:5" x14ac:dyDescent="0.25">
      <c r="A33469" t="str">
        <f>HYPERLINK("https://www.773grp.com/globalSearch/CAT811LTBI-GT3/page-1", "CAT811LTBI-GT3")</f>
        <v>CAT811LTBI-GT3</v>
      </c>
      <c r="B33469" s="3" t="s">
        <v>95</v>
      </c>
      <c r="C33469" s="6">
        <v>6000</v>
      </c>
      <c r="D33469" s="7">
        <v>1</v>
      </c>
    </row>
    <row r="33470" spans="1:5" x14ac:dyDescent="0.25">
      <c r="A33470" t="str">
        <f>HYPERLINK("https://www.773grp.com/globalSearch/CAT811MTBI-GT3/page-1", "CAT811MTBI-GT3")</f>
        <v>CAT811MTBI-GT3</v>
      </c>
      <c r="B33470" s="3" t="s">
        <v>95</v>
      </c>
      <c r="C33470" s="6">
        <v>9000</v>
      </c>
      <c r="D33470" s="7">
        <v>1</v>
      </c>
    </row>
    <row r="33471" spans="1:5" x14ac:dyDescent="0.25">
      <c r="A33471" t="str">
        <f>HYPERLINK("https://www.773grp.com/globalSearch/CAT811MTBI-T3/page-1", "CAT811MTBI-T3")</f>
        <v>CAT811MTBI-T3</v>
      </c>
      <c r="B33471" s="3" t="s">
        <v>95</v>
      </c>
      <c r="C33471" s="6">
        <v>21000</v>
      </c>
      <c r="D33471" s="7">
        <v>1</v>
      </c>
    </row>
    <row r="33472" spans="1:5" x14ac:dyDescent="0.25">
      <c r="A33472" t="str">
        <f>HYPERLINK("https://www.773grp.com/globalSearch/CAT811STBI-GT3/page-1", "CAT811STBI-GT3")</f>
        <v>CAT811STBI-GT3</v>
      </c>
      <c r="B33472" s="3" t="s">
        <v>95</v>
      </c>
      <c r="C33472" s="6">
        <v>171000</v>
      </c>
      <c r="D33472" s="7">
        <v>1</v>
      </c>
      <c r="E33472" t="s">
        <v>30</v>
      </c>
    </row>
    <row r="33473" spans="1:5" x14ac:dyDescent="0.25">
      <c r="A33473" t="str">
        <f>HYPERLINK("https://www.773grp.com/globalSearch/CAT811STBI-T3/page-1", "CAT811STBI-T3")</f>
        <v>CAT811STBI-T3</v>
      </c>
      <c r="B33473" s="3" t="s">
        <v>95</v>
      </c>
      <c r="C33473" s="6">
        <v>96000</v>
      </c>
      <c r="D33473" s="7">
        <v>1</v>
      </c>
    </row>
    <row r="33474" spans="1:5" x14ac:dyDescent="0.25">
      <c r="A33474" t="str">
        <f>HYPERLINK("https://www.773grp.com/globalSearch/CAT811TTBI-GT3/page-1", "CAT811TTBI-GT3")</f>
        <v>CAT811TTBI-GT3</v>
      </c>
      <c r="B33474" s="3" t="s">
        <v>95</v>
      </c>
      <c r="C33474" s="6">
        <v>3000</v>
      </c>
      <c r="D33474" s="7">
        <v>1</v>
      </c>
    </row>
    <row r="33475" spans="1:5" x14ac:dyDescent="0.25">
      <c r="A33475" t="str">
        <f>HYPERLINK("https://www.773grp.com/globalSearch/CAT811TTBI-T3/page-1", "CAT811TTBI-T3")</f>
        <v>CAT811TTBI-T3</v>
      </c>
      <c r="B33475" s="3" t="s">
        <v>95</v>
      </c>
      <c r="C33475" s="6">
        <v>8508</v>
      </c>
      <c r="D33475" s="7">
        <v>1</v>
      </c>
      <c r="E33475" t="s">
        <v>30</v>
      </c>
    </row>
    <row r="33476" spans="1:5" x14ac:dyDescent="0.25">
      <c r="A33476" t="str">
        <f>HYPERLINK("https://www.773grp.com/globalSearch/CAT812LTBI-GT3/page-1", "CAT812LTBI-GT3")</f>
        <v>CAT812LTBI-GT3</v>
      </c>
      <c r="B33476" s="3" t="s">
        <v>95</v>
      </c>
      <c r="C33476" s="6">
        <v>3000</v>
      </c>
      <c r="D33476" s="7">
        <v>1</v>
      </c>
      <c r="E33476" t="s">
        <v>30</v>
      </c>
    </row>
    <row r="33477" spans="1:5" x14ac:dyDescent="0.25">
      <c r="A33477" t="str">
        <f>HYPERLINK("https://www.773grp.com/globalSearch/CAT812RTBI-GT3/page-1", "CAT812RTBI-GT3")</f>
        <v>CAT812RTBI-GT3</v>
      </c>
      <c r="B33477" s="3" t="s">
        <v>95</v>
      </c>
      <c r="C33477" s="6">
        <v>54000</v>
      </c>
      <c r="D33477" s="7">
        <v>1</v>
      </c>
    </row>
    <row r="33478" spans="1:5" x14ac:dyDescent="0.25">
      <c r="A33478" t="str">
        <f>HYPERLINK("https://www.773grp.com/globalSearch/CAT93C76VI-G/page-1", "CAT93C76VI-G")</f>
        <v>CAT93C76VI-G</v>
      </c>
      <c r="B33478" s="3" t="s">
        <v>95</v>
      </c>
      <c r="C33478" s="6">
        <v>400</v>
      </c>
      <c r="D33478" s="7">
        <v>1</v>
      </c>
    </row>
    <row r="33479" spans="1:5" x14ac:dyDescent="0.25">
      <c r="A33479" t="str">
        <f>HYPERLINK("https://www.773grp.com/globalSearch/CM1224-02SR/page-1", "CM1224-02SR")</f>
        <v>CM1224-02SR</v>
      </c>
      <c r="B33479" s="3" t="s">
        <v>95</v>
      </c>
      <c r="C33479" s="6">
        <v>87000</v>
      </c>
      <c r="D33479" s="7">
        <v>1</v>
      </c>
      <c r="E33479" t="s">
        <v>96</v>
      </c>
    </row>
    <row r="33480" spans="1:5" x14ac:dyDescent="0.25">
      <c r="A33480" t="str">
        <f>HYPERLINK("https://www.773grp.com/globalSearch/CM1225-04DE/page-1", "CM1225-04DE")</f>
        <v>CM1225-04DE</v>
      </c>
      <c r="B33480" s="3" t="s">
        <v>95</v>
      </c>
      <c r="C33480" s="6">
        <v>60000</v>
      </c>
      <c r="D33480" s="7">
        <v>1</v>
      </c>
      <c r="E33480" t="s">
        <v>96</v>
      </c>
    </row>
    <row r="33481" spans="1:5" x14ac:dyDescent="0.25">
      <c r="A33481" t="str">
        <f>HYPERLINK("https://www.773grp.com/globalSearch/CM1436-08DE/page-1", "CM1436-08DE")</f>
        <v>CM1436-08DE</v>
      </c>
      <c r="B33481" s="3" t="s">
        <v>95</v>
      </c>
      <c r="C33481" s="6">
        <v>105000</v>
      </c>
      <c r="D33481" s="7">
        <v>1</v>
      </c>
    </row>
    <row r="33482" spans="1:5" x14ac:dyDescent="0.25">
      <c r="A33482" t="str">
        <f>HYPERLINK("https://www.773grp.com/globalSearch/CM1440-06CP/page-1", "CM1440-06CP")</f>
        <v>CM1440-06CP</v>
      </c>
      <c r="B33482" s="3" t="s">
        <v>95</v>
      </c>
      <c r="C33482" s="6">
        <v>2150</v>
      </c>
      <c r="D33482" s="7">
        <v>1</v>
      </c>
      <c r="E33482" t="s">
        <v>100</v>
      </c>
    </row>
    <row r="33483" spans="1:5" x14ac:dyDescent="0.25">
      <c r="A33483" t="str">
        <f>HYPERLINK("https://www.773grp.com/globalSearch/ECH8301-TL-E/page-1", "ECH8301-TL-E")</f>
        <v>ECH8301-TL-E</v>
      </c>
      <c r="B33483" s="3" t="s">
        <v>95</v>
      </c>
      <c r="C33483" s="6">
        <v>3000</v>
      </c>
      <c r="D33483" s="7">
        <v>1</v>
      </c>
    </row>
    <row r="33484" spans="1:5" x14ac:dyDescent="0.25">
      <c r="A33484" t="str">
        <f>HYPERLINK("https://www.773grp.com/globalSearch/LF351DR2/page-1", "LF351DR2")</f>
        <v>LF351DR2</v>
      </c>
      <c r="B33484" s="3" t="s">
        <v>95</v>
      </c>
      <c r="C33484" s="6">
        <v>2500</v>
      </c>
      <c r="D33484" s="7">
        <v>1</v>
      </c>
      <c r="E33484" t="s">
        <v>13</v>
      </c>
    </row>
    <row r="33485" spans="1:5" x14ac:dyDescent="0.25">
      <c r="A33485" t="str">
        <f>HYPERLINK("https://www.773grp.com/globalSearch/LM285D-1.2G/page-1", "LM285D-1.2G")</f>
        <v>LM285D-1.2G</v>
      </c>
      <c r="B33485" s="3" t="s">
        <v>95</v>
      </c>
      <c r="C33485" s="6">
        <v>4410</v>
      </c>
      <c r="D33485" s="7">
        <v>1</v>
      </c>
      <c r="E33485" t="s">
        <v>17</v>
      </c>
    </row>
    <row r="33486" spans="1:5" x14ac:dyDescent="0.25">
      <c r="A33486" t="str">
        <f>HYPERLINK("https://www.773grp.com/globalSearch/LM285D2.5G/page-1", "LM285D2.5G")</f>
        <v>LM285D2.5G</v>
      </c>
      <c r="B33486" s="3" t="s">
        <v>95</v>
      </c>
      <c r="C33486" s="6">
        <v>980</v>
      </c>
      <c r="D33486" s="7">
        <v>1</v>
      </c>
    </row>
    <row r="33487" spans="1:5" x14ac:dyDescent="0.25">
      <c r="A33487" t="str">
        <f>HYPERLINK("https://www.773grp.com/globalSearch/LM285D-2.5G/page-1", "LM285D-2.5G")</f>
        <v>LM285D-2.5G</v>
      </c>
      <c r="B33487" s="3" t="s">
        <v>95</v>
      </c>
      <c r="C33487" s="6">
        <v>7235</v>
      </c>
      <c r="D33487" s="7">
        <v>1</v>
      </c>
    </row>
    <row r="33488" spans="1:5" x14ac:dyDescent="0.25">
      <c r="A33488" t="str">
        <f>HYPERLINK("https://www.773grp.com/globalSearch/LM285Z-1.2RAG/page-1", "LM285Z-1.2RAG")</f>
        <v>LM285Z-1.2RAG</v>
      </c>
      <c r="B33488" s="3" t="s">
        <v>95</v>
      </c>
      <c r="C33488" s="6">
        <v>14000</v>
      </c>
      <c r="D33488" s="7">
        <v>1</v>
      </c>
      <c r="E33488" t="s">
        <v>17</v>
      </c>
    </row>
    <row r="33489" spans="1:5" x14ac:dyDescent="0.25">
      <c r="A33489" t="str">
        <f>HYPERLINK("https://www.773grp.com/globalSearch/LM285Z-2.5RAG/page-1", "LM285Z-2.5RAG")</f>
        <v>LM285Z-2.5RAG</v>
      </c>
      <c r="B33489" s="3" t="s">
        <v>95</v>
      </c>
      <c r="C33489" s="6">
        <v>22000</v>
      </c>
      <c r="D33489" s="7">
        <v>1</v>
      </c>
    </row>
    <row r="33490" spans="1:5" x14ac:dyDescent="0.25">
      <c r="A33490" t="str">
        <f>HYPERLINK("https://www.773grp.com/globalSearch/LM285Z-2.5RPG/page-1", "LM285Z-2.5RPG")</f>
        <v>LM285Z-2.5RPG</v>
      </c>
      <c r="B33490" s="3" t="s">
        <v>95</v>
      </c>
      <c r="C33490" s="6">
        <v>5983</v>
      </c>
      <c r="D33490" s="7">
        <v>1</v>
      </c>
      <c r="E33490" t="s">
        <v>17</v>
      </c>
    </row>
    <row r="33491" spans="1:5" x14ac:dyDescent="0.25">
      <c r="A33491" t="str">
        <f>HYPERLINK("https://www.773grp.com/globalSearch/LM2903DMR2G/page-1", "LM2903DMR2G")</f>
        <v>LM2903DMR2G</v>
      </c>
      <c r="B33491" s="3" t="s">
        <v>95</v>
      </c>
      <c r="C33491" s="6">
        <v>2995</v>
      </c>
      <c r="D33491" s="7">
        <v>1</v>
      </c>
    </row>
    <row r="33492" spans="1:5" x14ac:dyDescent="0.25">
      <c r="A33492" t="str">
        <f>HYPERLINK("https://www.773grp.com/globalSearch/LM2903VNG/page-1", "LM2903VNG")</f>
        <v>LM2903VNG</v>
      </c>
      <c r="B33492" s="3" t="s">
        <v>95</v>
      </c>
      <c r="C33492" s="6">
        <v>26350</v>
      </c>
      <c r="D33492" s="7">
        <v>1</v>
      </c>
      <c r="E33492" t="s">
        <v>9</v>
      </c>
    </row>
    <row r="33493" spans="1:5" x14ac:dyDescent="0.25">
      <c r="A33493" t="str">
        <f>HYPERLINK("https://www.773grp.com/globalSearch/LM2904DMR2G/page-1", "LM2904DMR2G")</f>
        <v>LM2904DMR2G</v>
      </c>
      <c r="B33493" s="3" t="s">
        <v>95</v>
      </c>
      <c r="C33493" s="6">
        <v>66995</v>
      </c>
      <c r="D33493" s="7">
        <v>1</v>
      </c>
      <c r="E33493" t="s">
        <v>13</v>
      </c>
    </row>
    <row r="33494" spans="1:5" x14ac:dyDescent="0.25">
      <c r="A33494" t="str">
        <f>HYPERLINK("https://www.773grp.com/globalSearch/LM2904VNG/page-1", "LM2904VNG")</f>
        <v>LM2904VNG</v>
      </c>
      <c r="B33494" s="3" t="s">
        <v>95</v>
      </c>
      <c r="C33494" s="6">
        <v>7625</v>
      </c>
      <c r="D33494" s="7">
        <v>1</v>
      </c>
      <c r="E33494" t="s">
        <v>13</v>
      </c>
    </row>
    <row r="33495" spans="1:5" x14ac:dyDescent="0.25">
      <c r="A33495" t="str">
        <f>HYPERLINK("https://www.773grp.com/globalSearch/LM2931AZ-5.0G/page-1", "LM2931AZ-5.0G")</f>
        <v>LM2931AZ-5.0G</v>
      </c>
      <c r="B33495" s="3" t="s">
        <v>95</v>
      </c>
      <c r="C33495" s="6">
        <v>3571</v>
      </c>
      <c r="D33495" s="7">
        <v>1</v>
      </c>
      <c r="E33495" t="s">
        <v>19</v>
      </c>
    </row>
    <row r="33496" spans="1:5" x14ac:dyDescent="0.25">
      <c r="A33496" t="str">
        <f>HYPERLINK("https://www.773grp.com/globalSearch/LM2931AZ-5.0RAG/page-1", "LM2931AZ-5.0RAG")</f>
        <v>LM2931AZ-5.0RAG</v>
      </c>
      <c r="B33496" s="3" t="s">
        <v>95</v>
      </c>
      <c r="C33496" s="6">
        <v>16389</v>
      </c>
      <c r="D33496" s="7">
        <v>1</v>
      </c>
      <c r="E33496" t="s">
        <v>19</v>
      </c>
    </row>
    <row r="33497" spans="1:5" x14ac:dyDescent="0.25">
      <c r="A33497" t="str">
        <f>HYPERLINK("https://www.773grp.com/globalSearch/LM2931AZ-5.0RPG/page-1", "LM2931AZ-5.0RPG")</f>
        <v>LM2931AZ-5.0RPG</v>
      </c>
      <c r="B33497" s="3" t="s">
        <v>95</v>
      </c>
      <c r="C33497" s="6">
        <v>2787</v>
      </c>
      <c r="D33497" s="7">
        <v>1</v>
      </c>
      <c r="E33497" t="s">
        <v>19</v>
      </c>
    </row>
    <row r="33498" spans="1:5" x14ac:dyDescent="0.25">
      <c r="A33498" t="str">
        <f>HYPERLINK("https://www.773grp.com/globalSearch/LM2931D-5.0G/page-1", "LM2931D-5.0G")</f>
        <v>LM2931D-5.0G</v>
      </c>
      <c r="B33498" s="3" t="s">
        <v>95</v>
      </c>
      <c r="C33498" s="6">
        <v>3811</v>
      </c>
      <c r="D33498" s="7">
        <v>1</v>
      </c>
      <c r="E33498" t="s">
        <v>19</v>
      </c>
    </row>
    <row r="33499" spans="1:5" x14ac:dyDescent="0.25">
      <c r="A33499" t="str">
        <f>HYPERLINK("https://www.773grp.com/globalSearch/LM2931D-5.0R2/page-1", "LM2931D-5.0R2")</f>
        <v>LM2931D-5.0R2</v>
      </c>
      <c r="B33499" s="3" t="s">
        <v>95</v>
      </c>
      <c r="C33499" s="6">
        <v>1817</v>
      </c>
      <c r="D33499" s="7">
        <v>1</v>
      </c>
      <c r="E33499" t="s">
        <v>19</v>
      </c>
    </row>
    <row r="33500" spans="1:5" x14ac:dyDescent="0.25">
      <c r="A33500" t="str">
        <f>HYPERLINK("https://www.773grp.com/globalSearch/LM2931D-5.0R2G/page-1", "LM2931D-5.0R2G")</f>
        <v>LM2931D-5.0R2G</v>
      </c>
      <c r="B33500" s="3" t="s">
        <v>95</v>
      </c>
      <c r="C33500" s="6">
        <v>7500</v>
      </c>
      <c r="D33500" s="7">
        <v>1</v>
      </c>
    </row>
    <row r="33501" spans="1:5" x14ac:dyDescent="0.25">
      <c r="A33501" t="str">
        <f>HYPERLINK("https://www.773grp.com/globalSearch/LM2931Z-5.0G/page-1", "LM2931Z-5.0G")</f>
        <v>LM2931Z-5.0G</v>
      </c>
      <c r="B33501" s="3" t="s">
        <v>95</v>
      </c>
      <c r="C33501" s="6">
        <v>38178</v>
      </c>
      <c r="D33501" s="7">
        <v>1</v>
      </c>
      <c r="E33501" t="s">
        <v>19</v>
      </c>
    </row>
    <row r="33502" spans="1:5" x14ac:dyDescent="0.25">
      <c r="A33502" t="str">
        <f>HYPERLINK("https://www.773grp.com/globalSearch/LM2931Z-5.0RAG/page-1", "LM2931Z-5.0RAG")</f>
        <v>LM2931Z-5.0RAG</v>
      </c>
      <c r="B33502" s="3" t="s">
        <v>95</v>
      </c>
      <c r="C33502" s="6">
        <v>2000</v>
      </c>
      <c r="D33502" s="7">
        <v>1</v>
      </c>
      <c r="E33502" t="s">
        <v>19</v>
      </c>
    </row>
    <row r="33503" spans="1:5" x14ac:dyDescent="0.25">
      <c r="A33503" t="str">
        <f>HYPERLINK("https://www.773grp.com/globalSearch/LM2931Z-5.0RPG/page-1", "LM2931Z-5.0RPG")</f>
        <v>LM2931Z-5.0RPG</v>
      </c>
      <c r="B33503" s="3" t="s">
        <v>95</v>
      </c>
      <c r="C33503" s="6">
        <v>5701</v>
      </c>
      <c r="D33503" s="7">
        <v>1</v>
      </c>
      <c r="E33503" t="s">
        <v>19</v>
      </c>
    </row>
    <row r="33504" spans="1:5" x14ac:dyDescent="0.25">
      <c r="A33504" t="str">
        <f>HYPERLINK("https://www.773grp.com/globalSearch/LM324ADTBG/page-1", "LM324ADTBG")</f>
        <v>LM324ADTBG</v>
      </c>
      <c r="B33504" s="3" t="s">
        <v>95</v>
      </c>
      <c r="C33504" s="6">
        <v>28684</v>
      </c>
      <c r="D33504" s="7">
        <v>1</v>
      </c>
      <c r="E33504" t="s">
        <v>13</v>
      </c>
    </row>
    <row r="33505" spans="1:5" x14ac:dyDescent="0.25">
      <c r="A33505" t="str">
        <f>HYPERLINK("https://www.773grp.com/globalSearch/LM324ADTBR2G/page-1", "LM324ADTBR2G")</f>
        <v>LM324ADTBR2G</v>
      </c>
      <c r="B33505" s="3" t="s">
        <v>95</v>
      </c>
      <c r="C33505" s="6">
        <v>27500</v>
      </c>
      <c r="D33505" s="7">
        <v>1</v>
      </c>
      <c r="E33505" t="s">
        <v>13</v>
      </c>
    </row>
    <row r="33506" spans="1:5" x14ac:dyDescent="0.25">
      <c r="A33506" t="str">
        <f>HYPERLINK("https://www.773grp.com/globalSearch/LM340T-50/page-1", "LM340T-50")</f>
        <v>LM340T-50</v>
      </c>
      <c r="B33506" s="3" t="s">
        <v>95</v>
      </c>
      <c r="C33506" s="6">
        <v>5626</v>
      </c>
      <c r="D33506" s="7">
        <v>1</v>
      </c>
    </row>
    <row r="33507" spans="1:5" x14ac:dyDescent="0.25">
      <c r="A33507" t="str">
        <f>HYPERLINK("https://www.773grp.com/globalSearch/LM385BD-1.2G/page-1", "LM385BD-1.2G")</f>
        <v>LM385BD-1.2G</v>
      </c>
      <c r="B33507" s="3" t="s">
        <v>95</v>
      </c>
      <c r="C33507" s="6">
        <v>5063</v>
      </c>
      <c r="D33507" s="7">
        <v>1</v>
      </c>
      <c r="E33507" t="s">
        <v>17</v>
      </c>
    </row>
    <row r="33508" spans="1:5" x14ac:dyDescent="0.25">
      <c r="A33508" t="str">
        <f>HYPERLINK("https://www.773grp.com/globalSearch/LM385BD-1.2R2G/page-1", "LM385BD-1.2R2G")</f>
        <v>LM385BD-1.2R2G</v>
      </c>
      <c r="B33508" s="3" t="s">
        <v>95</v>
      </c>
      <c r="C33508" s="6">
        <v>9630</v>
      </c>
      <c r="D33508" s="7">
        <v>1</v>
      </c>
      <c r="E33508" t="s">
        <v>17</v>
      </c>
    </row>
    <row r="33509" spans="1:5" x14ac:dyDescent="0.25">
      <c r="A33509" t="str">
        <f>HYPERLINK("https://www.773grp.com/globalSearch/LM385BD-2.5G/page-1", "LM385BD-2.5G")</f>
        <v>LM385BD-2.5G</v>
      </c>
      <c r="B33509" s="3" t="s">
        <v>95</v>
      </c>
      <c r="C33509" s="6">
        <v>4580</v>
      </c>
      <c r="D33509" s="7">
        <v>1</v>
      </c>
      <c r="E33509" t="s">
        <v>17</v>
      </c>
    </row>
    <row r="33510" spans="1:5" x14ac:dyDescent="0.25">
      <c r="A33510" t="str">
        <f>HYPERLINK("https://www.773grp.com/globalSearch/LM385D-1.2G/page-1", "LM385D-1.2G")</f>
        <v>LM385D-1.2G</v>
      </c>
      <c r="B33510" s="3" t="s">
        <v>95</v>
      </c>
      <c r="C33510" s="6">
        <v>8624</v>
      </c>
      <c r="D33510" s="7">
        <v>1</v>
      </c>
      <c r="E33510" t="s">
        <v>17</v>
      </c>
    </row>
    <row r="33511" spans="1:5" x14ac:dyDescent="0.25">
      <c r="A33511" t="str">
        <f>HYPERLINK("https://www.773grp.com/globalSearch/LM385D-2.5G/page-1", "LM385D-2.5G")</f>
        <v>LM385D-2.5G</v>
      </c>
      <c r="B33511" s="3" t="s">
        <v>95</v>
      </c>
      <c r="C33511" s="6">
        <v>3668</v>
      </c>
      <c r="D33511" s="7">
        <v>1</v>
      </c>
      <c r="E33511" t="s">
        <v>17</v>
      </c>
    </row>
    <row r="33512" spans="1:5" x14ac:dyDescent="0.25">
      <c r="A33512" t="str">
        <f>HYPERLINK("https://www.773grp.com/globalSearch/LM385D-2.5R2G/page-1", "LM385D-2.5R2G")</f>
        <v>LM385D-2.5R2G</v>
      </c>
      <c r="B33512" s="3" t="s">
        <v>95</v>
      </c>
      <c r="C33512" s="6">
        <v>18125</v>
      </c>
      <c r="D33512" s="7">
        <v>1</v>
      </c>
    </row>
    <row r="33513" spans="1:5" x14ac:dyDescent="0.25">
      <c r="A33513" t="str">
        <f>HYPERLINK("https://www.773grp.com/globalSearch/LM385Z-1.2RPG/page-1", "LM385Z-1.2RPG")</f>
        <v>LM385Z-1.2RPG</v>
      </c>
      <c r="B33513" s="3" t="s">
        <v>95</v>
      </c>
      <c r="C33513" s="6">
        <v>7959</v>
      </c>
      <c r="D33513" s="7">
        <v>1</v>
      </c>
      <c r="E33513" t="s">
        <v>17</v>
      </c>
    </row>
    <row r="33514" spans="1:5" x14ac:dyDescent="0.25">
      <c r="A33514" t="str">
        <f>HYPERLINK("https://www.773grp.com/globalSearch/MAC12M/page-1", "MAC12M")</f>
        <v>MAC12M</v>
      </c>
      <c r="B33514" s="3" t="s">
        <v>95</v>
      </c>
      <c r="C33514" s="6">
        <v>590</v>
      </c>
      <c r="D33514" s="7">
        <v>1</v>
      </c>
      <c r="E33514" t="s">
        <v>102</v>
      </c>
    </row>
    <row r="33515" spans="1:5" x14ac:dyDescent="0.25">
      <c r="A33515" t="str">
        <f>HYPERLINK("https://www.773grp.com/globalSearch/MAC8D/page-1", "MAC8D")</f>
        <v>MAC8D</v>
      </c>
      <c r="B33515" s="3" t="s">
        <v>95</v>
      </c>
      <c r="C33515" s="6">
        <v>4043</v>
      </c>
      <c r="D33515" s="7">
        <v>1</v>
      </c>
      <c r="E33515" t="s">
        <v>102</v>
      </c>
    </row>
    <row r="33516" spans="1:5" x14ac:dyDescent="0.25">
      <c r="A33516" t="str">
        <f>HYPERLINK("https://www.773grp.com/globalSearch/MAC8M/page-1", "MAC8M")</f>
        <v>MAC8M</v>
      </c>
      <c r="B33516" s="3" t="s">
        <v>95</v>
      </c>
      <c r="C33516" s="6">
        <v>2184</v>
      </c>
      <c r="D33516" s="7">
        <v>1</v>
      </c>
      <c r="E33516" t="s">
        <v>102</v>
      </c>
    </row>
    <row r="33517" spans="1:5" x14ac:dyDescent="0.25">
      <c r="A33517" t="str">
        <f>HYPERLINK("https://www.773grp.com/globalSearch/MAC9M/page-1", "MAC9M")</f>
        <v>MAC9M</v>
      </c>
      <c r="B33517" s="3" t="s">
        <v>95</v>
      </c>
      <c r="C33517" s="6">
        <v>27</v>
      </c>
      <c r="D33517" s="7">
        <v>1</v>
      </c>
      <c r="E33517" t="s">
        <v>102</v>
      </c>
    </row>
    <row r="33518" spans="1:5" x14ac:dyDescent="0.25">
      <c r="A33518" t="str">
        <f>HYPERLINK("https://www.773grp.com/globalSearch/MAX707CUA-T/page-1", "MAX707CUA-T")</f>
        <v>MAX707CUA-T</v>
      </c>
      <c r="B33518" s="3" t="s">
        <v>95</v>
      </c>
      <c r="C33518" s="6">
        <v>11950</v>
      </c>
      <c r="D33518" s="7">
        <v>1</v>
      </c>
      <c r="E33518" t="s">
        <v>30</v>
      </c>
    </row>
    <row r="33519" spans="1:5" x14ac:dyDescent="0.25">
      <c r="A33519" t="str">
        <f>HYPERLINK("https://www.773grp.com/globalSearch/MAX707ESA-TG/page-1", "MAX707ESA-TG")</f>
        <v>MAX707ESA-TG</v>
      </c>
      <c r="B33519" s="3" t="s">
        <v>95</v>
      </c>
      <c r="C33519" s="6">
        <v>1309</v>
      </c>
      <c r="D33519" s="7">
        <v>1</v>
      </c>
      <c r="E33519" t="s">
        <v>30</v>
      </c>
    </row>
    <row r="33520" spans="1:5" x14ac:dyDescent="0.25">
      <c r="A33520" t="str">
        <f>HYPERLINK("https://www.773grp.com/globalSearch/MBR1045/page-1", "MBR1045")</f>
        <v>MBR1045</v>
      </c>
      <c r="B33520" s="3" t="s">
        <v>95</v>
      </c>
      <c r="C33520" s="6">
        <v>4300</v>
      </c>
      <c r="D33520" s="7">
        <v>1</v>
      </c>
      <c r="E33520" t="s">
        <v>103</v>
      </c>
    </row>
    <row r="33521" spans="1:5" x14ac:dyDescent="0.25">
      <c r="A33521" t="str">
        <f>HYPERLINK("https://www.773grp.com/globalSearch/MBR1060/page-1", "MBR1060")</f>
        <v>MBR1060</v>
      </c>
      <c r="B33521" s="3" t="s">
        <v>95</v>
      </c>
      <c r="C33521" s="6">
        <v>67</v>
      </c>
      <c r="D33521" s="7">
        <v>1</v>
      </c>
      <c r="E33521" t="s">
        <v>103</v>
      </c>
    </row>
    <row r="33522" spans="1:5" x14ac:dyDescent="0.25">
      <c r="A33522" t="str">
        <f>HYPERLINK("https://www.773grp.com/globalSearch/MC14013BFG/page-1", "MC14013BFG")</f>
        <v>MC14013BFG</v>
      </c>
      <c r="B33522" s="3" t="s">
        <v>95</v>
      </c>
      <c r="C33522" s="6">
        <v>2920</v>
      </c>
      <c r="D33522" s="7">
        <v>1</v>
      </c>
      <c r="E33522" t="s">
        <v>35</v>
      </c>
    </row>
    <row r="33523" spans="1:5" x14ac:dyDescent="0.25">
      <c r="A33523" t="str">
        <f>HYPERLINK("https://www.773grp.com/globalSearch/MC14028BDG/page-1", "MC14028BDG")</f>
        <v>MC14028BDG</v>
      </c>
      <c r="B33523" s="3" t="s">
        <v>95</v>
      </c>
      <c r="C33523" s="6">
        <v>5688</v>
      </c>
      <c r="D33523" s="7">
        <v>1</v>
      </c>
      <c r="E33523" t="s">
        <v>36</v>
      </c>
    </row>
    <row r="33524" spans="1:5" x14ac:dyDescent="0.25">
      <c r="A33524" t="str">
        <f>HYPERLINK("https://www.773grp.com/globalSearch/MC14028BDR2G/page-1", "MC14028BDR2G")</f>
        <v>MC14028BDR2G</v>
      </c>
      <c r="B33524" s="3" t="s">
        <v>95</v>
      </c>
      <c r="C33524" s="6">
        <v>4811</v>
      </c>
      <c r="D33524" s="7">
        <v>1</v>
      </c>
      <c r="E33524" t="s">
        <v>36</v>
      </c>
    </row>
    <row r="33525" spans="1:5" x14ac:dyDescent="0.25">
      <c r="A33525" t="str">
        <f>HYPERLINK("https://www.773grp.com/globalSearch/MC14043BDG/page-1", "MC14043BDG")</f>
        <v>MC14043BDG</v>
      </c>
      <c r="B33525" s="3" t="s">
        <v>95</v>
      </c>
      <c r="C33525" s="6">
        <v>18</v>
      </c>
      <c r="D33525" s="7">
        <v>1</v>
      </c>
      <c r="E33525" t="s">
        <v>35</v>
      </c>
    </row>
    <row r="33526" spans="1:5" x14ac:dyDescent="0.25">
      <c r="A33526" t="str">
        <f>HYPERLINK("https://www.773grp.com/globalSearch/MC14043BDR2G/page-1", "MC14043BDR2G")</f>
        <v>MC14043BDR2G</v>
      </c>
      <c r="B33526" s="3" t="s">
        <v>95</v>
      </c>
      <c r="C33526" s="6">
        <v>19570</v>
      </c>
      <c r="D33526" s="7">
        <v>1</v>
      </c>
      <c r="E33526" t="s">
        <v>35</v>
      </c>
    </row>
    <row r="33527" spans="1:5" x14ac:dyDescent="0.25">
      <c r="A33527" t="str">
        <f>HYPERLINK("https://www.773grp.com/globalSearch/MC14044BDG/page-1", "MC14044BDG")</f>
        <v>MC14044BDG</v>
      </c>
      <c r="B33527" s="3" t="s">
        <v>95</v>
      </c>
      <c r="C33527" s="6">
        <v>4392</v>
      </c>
      <c r="D33527" s="7">
        <v>1</v>
      </c>
      <c r="E33527" t="s">
        <v>35</v>
      </c>
    </row>
    <row r="33528" spans="1:5" x14ac:dyDescent="0.25">
      <c r="A33528" t="str">
        <f>HYPERLINK("https://www.773grp.com/globalSearch/MC14044BDR2G/page-1", "MC14044BDR2G")</f>
        <v>MC14044BDR2G</v>
      </c>
      <c r="B33528" s="3" t="s">
        <v>95</v>
      </c>
      <c r="C33528" s="6">
        <v>92364</v>
      </c>
      <c r="D33528" s="7">
        <v>1</v>
      </c>
      <c r="E33528" t="s">
        <v>35</v>
      </c>
    </row>
    <row r="33529" spans="1:5" x14ac:dyDescent="0.25">
      <c r="A33529" t="str">
        <f>HYPERLINK("https://www.773grp.com/globalSearch/MC14051BCP/page-1", "MC14051BCP")</f>
        <v>MC14051BCP</v>
      </c>
      <c r="B33529" s="3" t="s">
        <v>95</v>
      </c>
      <c r="C33529" s="6">
        <v>1770</v>
      </c>
      <c r="D33529" s="7">
        <v>1</v>
      </c>
      <c r="E33529" t="s">
        <v>56</v>
      </c>
    </row>
    <row r="33530" spans="1:5" x14ac:dyDescent="0.25">
      <c r="A33530" t="str">
        <f>HYPERLINK("https://www.773grp.com/globalSearch/MC14051BDG/page-1", "MC14051BDG")</f>
        <v>MC14051BDG</v>
      </c>
      <c r="B33530" s="3" t="s">
        <v>95</v>
      </c>
      <c r="C33530" s="6">
        <v>7968</v>
      </c>
      <c r="D33530" s="7">
        <v>1</v>
      </c>
      <c r="E33530" t="s">
        <v>56</v>
      </c>
    </row>
    <row r="33531" spans="1:5" x14ac:dyDescent="0.25">
      <c r="A33531" t="str">
        <f>HYPERLINK("https://www.773grp.com/globalSearch/MC14051BDR2/page-1", "MC14051BDR2")</f>
        <v>MC14051BDR2</v>
      </c>
      <c r="B33531" s="3" t="s">
        <v>95</v>
      </c>
      <c r="C33531" s="6">
        <v>5000</v>
      </c>
      <c r="D33531" s="7">
        <v>1</v>
      </c>
      <c r="E33531" t="s">
        <v>56</v>
      </c>
    </row>
    <row r="33532" spans="1:5" x14ac:dyDescent="0.25">
      <c r="A33532" t="str">
        <f>HYPERLINK("https://www.773grp.com/globalSearch/MC14051BDR2G/page-1", "MC14051BDR2G")</f>
        <v>MC14051BDR2G</v>
      </c>
      <c r="B33532" s="3" t="s">
        <v>95</v>
      </c>
      <c r="C33532" s="6">
        <v>100006</v>
      </c>
      <c r="D33532" s="7">
        <v>1</v>
      </c>
      <c r="E33532" t="s">
        <v>56</v>
      </c>
    </row>
    <row r="33533" spans="1:5" x14ac:dyDescent="0.25">
      <c r="A33533" t="str">
        <f>HYPERLINK("https://www.773grp.com/globalSearch/MC14051BDTR2G/page-1", "MC14051BDTR2G")</f>
        <v>MC14051BDTR2G</v>
      </c>
      <c r="B33533" s="3" t="s">
        <v>95</v>
      </c>
      <c r="C33533" s="6">
        <v>46836</v>
      </c>
      <c r="D33533" s="7">
        <v>1</v>
      </c>
      <c r="E33533" t="s">
        <v>56</v>
      </c>
    </row>
    <row r="33534" spans="1:5" x14ac:dyDescent="0.25">
      <c r="A33534" t="str">
        <f>HYPERLINK("https://www.773grp.com/globalSearch/MC14051BF/page-1", "MC14051BF")</f>
        <v>MC14051BF</v>
      </c>
      <c r="B33534" s="3" t="s">
        <v>95</v>
      </c>
      <c r="C33534" s="6">
        <v>2400</v>
      </c>
      <c r="D33534" s="7">
        <v>1</v>
      </c>
      <c r="E33534" t="s">
        <v>56</v>
      </c>
    </row>
    <row r="33535" spans="1:5" x14ac:dyDescent="0.25">
      <c r="A33535" t="str">
        <f>HYPERLINK("https://www.773grp.com/globalSearch/MC14052BDG/page-1", "MC14052BDG")</f>
        <v>MC14052BDG</v>
      </c>
      <c r="B33535" s="3" t="s">
        <v>95</v>
      </c>
      <c r="C33535" s="6">
        <v>2976</v>
      </c>
      <c r="D33535" s="7">
        <v>1</v>
      </c>
    </row>
    <row r="33536" spans="1:5" x14ac:dyDescent="0.25">
      <c r="A33536" t="str">
        <f>HYPERLINK("https://www.773grp.com/globalSearch/MC14052BDR2G/page-1", "MC14052BDR2G")</f>
        <v>MC14052BDR2G</v>
      </c>
      <c r="B33536" s="3" t="s">
        <v>95</v>
      </c>
      <c r="C33536" s="6">
        <v>237880</v>
      </c>
      <c r="D33536" s="7">
        <v>1</v>
      </c>
      <c r="E33536" t="s">
        <v>56</v>
      </c>
    </row>
    <row r="33537" spans="1:5" x14ac:dyDescent="0.25">
      <c r="A33537" t="str">
        <f>HYPERLINK("https://www.773grp.com/globalSearch/MC14052BDTR2G/page-1", "MC14052BDTR2G")</f>
        <v>MC14052BDTR2G</v>
      </c>
      <c r="B33537" s="3" t="s">
        <v>95</v>
      </c>
      <c r="C33537" s="6">
        <v>4485</v>
      </c>
      <c r="D33537" s="7">
        <v>1</v>
      </c>
      <c r="E33537" t="s">
        <v>56</v>
      </c>
    </row>
    <row r="33538" spans="1:5" x14ac:dyDescent="0.25">
      <c r="A33538" t="str">
        <f>HYPERLINK("https://www.773grp.com/globalSearch/MC14053BDG/page-1", "MC14053BDG")</f>
        <v>MC14053BDG</v>
      </c>
      <c r="B33538" s="3" t="s">
        <v>95</v>
      </c>
      <c r="C33538" s="6">
        <v>16151</v>
      </c>
      <c r="D33538" s="7">
        <v>1</v>
      </c>
      <c r="E33538" t="s">
        <v>56</v>
      </c>
    </row>
    <row r="33539" spans="1:5" x14ac:dyDescent="0.25">
      <c r="A33539" t="str">
        <f>HYPERLINK("https://www.773grp.com/globalSearch/MC14053BDR2/page-1", "MC14053BDR2")</f>
        <v>MC14053BDR2</v>
      </c>
      <c r="B33539" s="3" t="s">
        <v>95</v>
      </c>
      <c r="C33539" s="6">
        <v>2646</v>
      </c>
      <c r="D33539" s="7">
        <v>1</v>
      </c>
      <c r="E33539" t="s">
        <v>56</v>
      </c>
    </row>
    <row r="33540" spans="1:5" x14ac:dyDescent="0.25">
      <c r="A33540" t="str">
        <f>HYPERLINK("https://www.773grp.com/globalSearch/MC14053BDR2G/page-1", "MC14053BDR2G")</f>
        <v>MC14053BDR2G</v>
      </c>
      <c r="B33540" s="3" t="s">
        <v>95</v>
      </c>
      <c r="C33540" s="6">
        <v>478300</v>
      </c>
      <c r="D33540" s="7">
        <v>1</v>
      </c>
      <c r="E33540" t="s">
        <v>56</v>
      </c>
    </row>
    <row r="33541" spans="1:5" x14ac:dyDescent="0.25">
      <c r="A33541" t="str">
        <f>HYPERLINK("https://www.773grp.com/globalSearch/MC14053BDTR2G/page-1", "MC14053BDTR2G")</f>
        <v>MC14053BDTR2G</v>
      </c>
      <c r="B33541" s="3" t="s">
        <v>95</v>
      </c>
      <c r="C33541" s="6">
        <v>2456</v>
      </c>
      <c r="D33541" s="7">
        <v>1</v>
      </c>
    </row>
    <row r="33542" spans="1:5" x14ac:dyDescent="0.25">
      <c r="A33542" t="str">
        <f>HYPERLINK("https://www.773grp.com/globalSearch/MC14053BF/page-1", "MC14053BF")</f>
        <v>MC14053BF</v>
      </c>
      <c r="B33542" s="3" t="s">
        <v>95</v>
      </c>
      <c r="C33542" s="6">
        <v>1850</v>
      </c>
      <c r="D33542" s="7">
        <v>1</v>
      </c>
      <c r="E33542" t="s">
        <v>56</v>
      </c>
    </row>
    <row r="33543" spans="1:5" x14ac:dyDescent="0.25">
      <c r="A33543" t="str">
        <f>HYPERLINK("https://www.773grp.com/globalSearch/MC14094BFELG/page-1", "MC14094BFELG")</f>
        <v>MC14094BFELG</v>
      </c>
      <c r="B33543" s="3" t="s">
        <v>95</v>
      </c>
      <c r="C33543" s="6">
        <v>45368</v>
      </c>
      <c r="D33543" s="7">
        <v>1</v>
      </c>
      <c r="E33543" t="s">
        <v>32</v>
      </c>
    </row>
    <row r="33544" spans="1:5" x14ac:dyDescent="0.25">
      <c r="A33544" t="str">
        <f>HYPERLINK("https://www.773grp.com/globalSearch/MC1416BDR2/page-1", "MC1416BDR2")</f>
        <v>MC1416BDR2</v>
      </c>
      <c r="B33544" s="3" t="s">
        <v>95</v>
      </c>
      <c r="C33544" s="6">
        <v>18850</v>
      </c>
      <c r="D33544" s="7">
        <v>1</v>
      </c>
      <c r="E33544" t="s">
        <v>59</v>
      </c>
    </row>
    <row r="33545" spans="1:5" x14ac:dyDescent="0.25">
      <c r="A33545" t="str">
        <f>HYPERLINK("https://www.773grp.com/globalSearch/MC14174BDR2G/page-1", "MC14174BDR2G")</f>
        <v>MC14174BDR2G</v>
      </c>
      <c r="B33545" s="3" t="s">
        <v>95</v>
      </c>
      <c r="C33545" s="6">
        <v>19443</v>
      </c>
      <c r="D33545" s="7">
        <v>1</v>
      </c>
      <c r="E33545" t="s">
        <v>35</v>
      </c>
    </row>
    <row r="33546" spans="1:5" x14ac:dyDescent="0.25">
      <c r="A33546" t="str">
        <f>HYPERLINK("https://www.773grp.com/globalSearch/MC14519BF/page-1", "MC14519BF")</f>
        <v>MC14519BF</v>
      </c>
      <c r="B33546" s="3" t="s">
        <v>95</v>
      </c>
      <c r="C33546" s="6">
        <v>232</v>
      </c>
      <c r="D33546" s="7">
        <v>1</v>
      </c>
    </row>
    <row r="33547" spans="1:5" x14ac:dyDescent="0.25">
      <c r="A33547" t="str">
        <f>HYPERLINK("https://www.773grp.com/globalSearch/MC14538BFL1/page-1", "MC14538BFL1")</f>
        <v>MC14538BFL1</v>
      </c>
      <c r="B33547" s="3" t="s">
        <v>95</v>
      </c>
      <c r="C33547" s="6">
        <v>10795</v>
      </c>
      <c r="D33547" s="7">
        <v>1</v>
      </c>
    </row>
    <row r="33548" spans="1:5" x14ac:dyDescent="0.25">
      <c r="A33548" t="str">
        <f>HYPERLINK("https://www.773grp.com/globalSearch/MC14538BFL2/page-1", "MC14538BFL2")</f>
        <v>MC14538BFL2</v>
      </c>
      <c r="B33548" s="3" t="s">
        <v>95</v>
      </c>
      <c r="C33548" s="6">
        <v>6000</v>
      </c>
      <c r="D33548" s="7">
        <v>1</v>
      </c>
    </row>
    <row r="33549" spans="1:5" x14ac:dyDescent="0.25">
      <c r="A33549" t="str">
        <f>HYPERLINK("https://www.773grp.com/globalSearch/MC14538BFR1/page-1", "MC14538BFR1")</f>
        <v>MC14538BFR1</v>
      </c>
      <c r="B33549" s="3" t="s">
        <v>95</v>
      </c>
      <c r="C33549" s="6">
        <v>3000</v>
      </c>
      <c r="D33549" s="7">
        <v>1</v>
      </c>
      <c r="E33549" t="s">
        <v>54</v>
      </c>
    </row>
    <row r="33550" spans="1:5" x14ac:dyDescent="0.25">
      <c r="A33550" t="str">
        <f>HYPERLINK("https://www.773grp.com/globalSearch/MC14538BFR2/page-1", "MC14538BFR2")</f>
        <v>MC14538BFR2</v>
      </c>
      <c r="B33550" s="3" t="s">
        <v>95</v>
      </c>
      <c r="C33550" s="6">
        <v>2000</v>
      </c>
      <c r="D33550" s="7">
        <v>1</v>
      </c>
      <c r="E33550" t="s">
        <v>54</v>
      </c>
    </row>
    <row r="33551" spans="1:5" x14ac:dyDescent="0.25">
      <c r="A33551" t="str">
        <f>HYPERLINK("https://www.773grp.com/globalSearch/MC14555BFL1/page-1", "MC14555BFL1")</f>
        <v>MC14555BFL1</v>
      </c>
      <c r="B33551" s="3" t="s">
        <v>95</v>
      </c>
      <c r="C33551" s="6">
        <v>2000</v>
      </c>
      <c r="D33551" s="7">
        <v>1</v>
      </c>
      <c r="E33551" t="s">
        <v>36</v>
      </c>
    </row>
    <row r="33552" spans="1:5" x14ac:dyDescent="0.25">
      <c r="A33552" t="str">
        <f>HYPERLINK("https://www.773grp.com/globalSearch/MC14556BF/page-1", "MC14556BF")</f>
        <v>MC14556BF</v>
      </c>
      <c r="B33552" s="3" t="s">
        <v>95</v>
      </c>
      <c r="C33552" s="6">
        <v>475</v>
      </c>
      <c r="D33552" s="7">
        <v>1</v>
      </c>
      <c r="E33552" t="s">
        <v>36</v>
      </c>
    </row>
    <row r="33553" spans="1:5" x14ac:dyDescent="0.25">
      <c r="A33553" t="str">
        <f>HYPERLINK("https://www.773grp.com/globalSearch/MC14556BFR1/page-1", "MC14556BFR1")</f>
        <v>MC14556BFR1</v>
      </c>
      <c r="B33553" s="3" t="s">
        <v>95</v>
      </c>
      <c r="C33553" s="6">
        <v>2700</v>
      </c>
      <c r="D33553" s="7">
        <v>1</v>
      </c>
      <c r="E33553" t="s">
        <v>36</v>
      </c>
    </row>
    <row r="33554" spans="1:5" x14ac:dyDescent="0.25">
      <c r="A33554" t="str">
        <f>HYPERLINK("https://www.773grp.com/globalSearch/MC33064D-5G/page-1", "MC33064D-5G")</f>
        <v>MC33064D-5G</v>
      </c>
      <c r="B33554" s="3" t="s">
        <v>95</v>
      </c>
      <c r="C33554" s="6">
        <v>2058</v>
      </c>
      <c r="D33554" s="7">
        <v>1</v>
      </c>
    </row>
    <row r="33555" spans="1:5" x14ac:dyDescent="0.25">
      <c r="A33555" t="str">
        <f>HYPERLINK("https://www.773grp.com/globalSearch/MC33064DM-5R2G/page-1", "MC33064DM-5R2G")</f>
        <v>MC33064DM-5R2G</v>
      </c>
      <c r="B33555" s="3" t="s">
        <v>95</v>
      </c>
      <c r="C33555" s="6">
        <v>6695</v>
      </c>
      <c r="D33555" s="7">
        <v>1</v>
      </c>
      <c r="E33555" t="s">
        <v>30</v>
      </c>
    </row>
    <row r="33556" spans="1:5" x14ac:dyDescent="0.25">
      <c r="A33556" t="str">
        <f>HYPERLINK("https://www.773grp.com/globalSearch/MC33064P-5RAG/page-1", "MC33064P-5RAG")</f>
        <v>MC33064P-5RAG</v>
      </c>
      <c r="B33556" s="3" t="s">
        <v>95</v>
      </c>
      <c r="C33556" s="6">
        <v>1562</v>
      </c>
      <c r="D33556" s="7">
        <v>1</v>
      </c>
      <c r="E33556" t="s">
        <v>30</v>
      </c>
    </row>
    <row r="33557" spans="1:5" x14ac:dyDescent="0.25">
      <c r="A33557" t="str">
        <f>HYPERLINK("https://www.773grp.com/globalSearch/MC33064P-5RPG/page-1", "MC33064P-5RPG")</f>
        <v>MC33064P-5RPG</v>
      </c>
      <c r="B33557" s="3" t="s">
        <v>95</v>
      </c>
      <c r="C33557" s="6">
        <v>36000</v>
      </c>
      <c r="D33557" s="7">
        <v>1</v>
      </c>
      <c r="E33557" t="s">
        <v>30</v>
      </c>
    </row>
    <row r="33558" spans="1:5" x14ac:dyDescent="0.25">
      <c r="A33558" t="str">
        <f>HYPERLINK("https://www.773grp.com/globalSearch/MC33064SN-5T1G/page-1", "MC33064SN-5T1G")</f>
        <v>MC33064SN-5T1G</v>
      </c>
      <c r="B33558" s="3" t="s">
        <v>95</v>
      </c>
      <c r="C33558" s="6">
        <v>23595</v>
      </c>
      <c r="D33558" s="7">
        <v>1</v>
      </c>
      <c r="E33558" t="s">
        <v>30</v>
      </c>
    </row>
    <row r="33559" spans="1:5" x14ac:dyDescent="0.25">
      <c r="A33559" t="str">
        <f>HYPERLINK("https://www.773grp.com/globalSearch/MC33102P/page-1", "MC33102P")</f>
        <v>MC33102P</v>
      </c>
      <c r="B33559" s="3" t="s">
        <v>95</v>
      </c>
      <c r="C33559" s="6">
        <v>450</v>
      </c>
      <c r="D33559" s="7">
        <v>1</v>
      </c>
      <c r="E33559" t="s">
        <v>13</v>
      </c>
    </row>
    <row r="33560" spans="1:5" x14ac:dyDescent="0.25">
      <c r="A33560" t="str">
        <f>HYPERLINK("https://www.773grp.com/globalSearch/MC33164D-3G/page-1", "MC33164D-3G")</f>
        <v>MC33164D-3G</v>
      </c>
      <c r="B33560" s="3" t="s">
        <v>95</v>
      </c>
      <c r="C33560" s="6">
        <v>1149</v>
      </c>
      <c r="D33560" s="7">
        <v>1</v>
      </c>
      <c r="E33560" t="s">
        <v>30</v>
      </c>
    </row>
    <row r="33561" spans="1:5" x14ac:dyDescent="0.25">
      <c r="A33561" t="str">
        <f>HYPERLINK("https://www.773grp.com/globalSearch/MC33164D-5G/page-1", "MC33164D-5G")</f>
        <v>MC33164D-5G</v>
      </c>
      <c r="B33561" s="3" t="s">
        <v>95</v>
      </c>
      <c r="C33561" s="6">
        <v>1612</v>
      </c>
      <c r="D33561" s="7">
        <v>1</v>
      </c>
    </row>
    <row r="33562" spans="1:5" x14ac:dyDescent="0.25">
      <c r="A33562" t="str">
        <f>HYPERLINK("https://www.773grp.com/globalSearch/MC33164DM-5R2G/page-1", "MC33164DM-5R2G")</f>
        <v>MC33164DM-5R2G</v>
      </c>
      <c r="B33562" s="3" t="s">
        <v>95</v>
      </c>
      <c r="C33562" s="6">
        <v>14919</v>
      </c>
      <c r="D33562" s="7">
        <v>1</v>
      </c>
      <c r="E33562" t="s">
        <v>30</v>
      </c>
    </row>
    <row r="33563" spans="1:5" x14ac:dyDescent="0.25">
      <c r="A33563" t="str">
        <f>HYPERLINK("https://www.773grp.com/globalSearch/MC33164P-3G/page-1", "MC33164P-3G")</f>
        <v>MC33164P-3G</v>
      </c>
      <c r="B33563" s="3" t="s">
        <v>95</v>
      </c>
      <c r="C33563" s="6">
        <v>39493</v>
      </c>
      <c r="D33563" s="7">
        <v>1</v>
      </c>
      <c r="E33563" t="s">
        <v>30</v>
      </c>
    </row>
    <row r="33564" spans="1:5" x14ac:dyDescent="0.25">
      <c r="A33564" t="str">
        <f>HYPERLINK("https://www.773grp.com/globalSearch/MC33164P-3RA/page-1", "MC33164P-3RA")</f>
        <v>MC33164P-3RA</v>
      </c>
      <c r="B33564" s="3" t="s">
        <v>95</v>
      </c>
      <c r="C33564" s="6">
        <v>1831</v>
      </c>
      <c r="D33564" s="7">
        <v>1</v>
      </c>
      <c r="E33564" t="s">
        <v>30</v>
      </c>
    </row>
    <row r="33565" spans="1:5" x14ac:dyDescent="0.25">
      <c r="A33565" t="str">
        <f>HYPERLINK("https://www.773grp.com/globalSearch/MC33164P-3RPG/page-1", "MC33164P-3RPG")</f>
        <v>MC33164P-3RPG</v>
      </c>
      <c r="B33565" s="3" t="s">
        <v>95</v>
      </c>
      <c r="C33565" s="6">
        <v>2000</v>
      </c>
      <c r="D33565" s="7">
        <v>1</v>
      </c>
      <c r="E33565" t="s">
        <v>30</v>
      </c>
    </row>
    <row r="33566" spans="1:5" x14ac:dyDescent="0.25">
      <c r="A33566" t="str">
        <f>HYPERLINK("https://www.773grp.com/globalSearch/MC33164P-5RAG/page-1", "MC33164P-5RAG")</f>
        <v>MC33164P-5RAG</v>
      </c>
      <c r="B33566" s="3" t="s">
        <v>95</v>
      </c>
      <c r="C33566" s="6">
        <v>8000</v>
      </c>
      <c r="D33566" s="7">
        <v>1</v>
      </c>
      <c r="E33566" t="s">
        <v>30</v>
      </c>
    </row>
    <row r="33567" spans="1:5" x14ac:dyDescent="0.25">
      <c r="A33567" t="str">
        <f>HYPERLINK("https://www.773grp.com/globalSearch/MC33164P-5RPG/page-1", "MC33164P-5RPG")</f>
        <v>MC33164P-5RPG</v>
      </c>
      <c r="B33567" s="3" t="s">
        <v>95</v>
      </c>
      <c r="C33567" s="6">
        <v>13586</v>
      </c>
      <c r="D33567" s="7">
        <v>1</v>
      </c>
      <c r="E33567" t="s">
        <v>30</v>
      </c>
    </row>
    <row r="33568" spans="1:5" x14ac:dyDescent="0.25">
      <c r="A33568" t="str">
        <f>HYPERLINK("https://www.773grp.com/globalSearch/MC33263NW-30R2/page-1", "MC33263NW-30R2")</f>
        <v>MC33263NW-30R2</v>
      </c>
      <c r="B33568" s="3" t="s">
        <v>95</v>
      </c>
      <c r="C33568" s="6">
        <v>24000</v>
      </c>
      <c r="D33568" s="7">
        <v>1</v>
      </c>
      <c r="E33568" t="s">
        <v>19</v>
      </c>
    </row>
    <row r="33569" spans="1:5" x14ac:dyDescent="0.25">
      <c r="A33569" t="str">
        <f>HYPERLINK("https://www.773grp.com/globalSearch/MC33263NW-40R2/page-1", "MC33263NW-40R2")</f>
        <v>MC33263NW-40R2</v>
      </c>
      <c r="B33569" s="3" t="s">
        <v>95</v>
      </c>
      <c r="C33569" s="6">
        <v>40000</v>
      </c>
      <c r="D33569" s="7">
        <v>1</v>
      </c>
      <c r="E33569" t="s">
        <v>19</v>
      </c>
    </row>
    <row r="33570" spans="1:5" x14ac:dyDescent="0.25">
      <c r="A33570" t="str">
        <f>HYPERLINK("https://www.773grp.com/globalSearch/MC33263NW-47R2/page-1", "MC33263NW-47R2")</f>
        <v>MC33263NW-47R2</v>
      </c>
      <c r="B33570" s="3" t="s">
        <v>95</v>
      </c>
      <c r="C33570" s="6">
        <v>4000</v>
      </c>
      <c r="D33570" s="7">
        <v>1</v>
      </c>
      <c r="E33570" t="s">
        <v>19</v>
      </c>
    </row>
    <row r="33571" spans="1:5" x14ac:dyDescent="0.25">
      <c r="A33571" t="str">
        <f>HYPERLINK("https://www.773grp.com/globalSearch/MC33565DR2/page-1", "MC33565DR2")</f>
        <v>MC33565DR2</v>
      </c>
      <c r="B33571" s="3" t="s">
        <v>95</v>
      </c>
      <c r="C33571" s="6">
        <v>20000</v>
      </c>
      <c r="D33571" s="7">
        <v>1</v>
      </c>
      <c r="E33571" t="s">
        <v>19</v>
      </c>
    </row>
    <row r="33572" spans="1:5" x14ac:dyDescent="0.25">
      <c r="A33572" t="str">
        <f>HYPERLINK("https://www.773grp.com/globalSearch/MC34064D-5G/page-1", "MC34064D-5G")</f>
        <v>MC34064D-5G</v>
      </c>
      <c r="B33572" s="3" t="s">
        <v>95</v>
      </c>
      <c r="C33572" s="6">
        <v>4018</v>
      </c>
      <c r="D33572" s="7">
        <v>1</v>
      </c>
    </row>
    <row r="33573" spans="1:5" x14ac:dyDescent="0.25">
      <c r="A33573" t="str">
        <f>HYPERLINK("https://www.773grp.com/globalSearch/MC34064DM-5R2G/page-1", "MC34064DM-5R2G")</f>
        <v>MC34064DM-5R2G</v>
      </c>
      <c r="B33573" s="3" t="s">
        <v>95</v>
      </c>
      <c r="C33573" s="6">
        <v>9349</v>
      </c>
      <c r="D33573" s="7">
        <v>1</v>
      </c>
      <c r="E33573" t="s">
        <v>30</v>
      </c>
    </row>
    <row r="33574" spans="1:5" x14ac:dyDescent="0.25">
      <c r="A33574" t="str">
        <f>HYPERLINK("https://www.773grp.com/globalSearch/MC34064P-5RMG/page-1", "MC34064P-5RMG")</f>
        <v>MC34064P-5RMG</v>
      </c>
      <c r="B33574" s="3" t="s">
        <v>95</v>
      </c>
      <c r="C33574" s="6">
        <v>1511</v>
      </c>
      <c r="D33574" s="7">
        <v>1</v>
      </c>
      <c r="E33574" t="s">
        <v>30</v>
      </c>
    </row>
    <row r="33575" spans="1:5" x14ac:dyDescent="0.25">
      <c r="A33575" t="str">
        <f>HYPERLINK("https://www.773grp.com/globalSearch/MC34064P-5RPG/page-1", "MC34064P-5RPG")</f>
        <v>MC34064P-5RPG</v>
      </c>
      <c r="B33575" s="3" t="s">
        <v>95</v>
      </c>
      <c r="C33575" s="6">
        <v>12000</v>
      </c>
      <c r="D33575" s="7">
        <v>1</v>
      </c>
      <c r="E33575" t="s">
        <v>30</v>
      </c>
    </row>
    <row r="33576" spans="1:5" x14ac:dyDescent="0.25">
      <c r="A33576" t="str">
        <f>HYPERLINK("https://www.773grp.com/globalSearch/MC34064SN-5T1G/page-1", "MC34064SN-5T1G")</f>
        <v>MC34064SN-5T1G</v>
      </c>
      <c r="B33576" s="3" t="s">
        <v>95</v>
      </c>
      <c r="C33576" s="6">
        <v>22552</v>
      </c>
      <c r="D33576" s="7">
        <v>1</v>
      </c>
      <c r="E33576" t="s">
        <v>30</v>
      </c>
    </row>
    <row r="33577" spans="1:5" x14ac:dyDescent="0.25">
      <c r="A33577" t="str">
        <f>HYPERLINK("https://www.773grp.com/globalSearch/MC34164D-5G/page-1", "MC34164D-5G")</f>
        <v>MC34164D-5G</v>
      </c>
      <c r="B33577" s="3" t="s">
        <v>95</v>
      </c>
      <c r="C33577" s="6">
        <v>2646</v>
      </c>
      <c r="D33577" s="7">
        <v>1</v>
      </c>
    </row>
    <row r="33578" spans="1:5" x14ac:dyDescent="0.25">
      <c r="A33578" t="str">
        <f>HYPERLINK("https://www.773grp.com/globalSearch/MC34164DM-5R2G/page-1", "MC34164DM-5R2G")</f>
        <v>MC34164DM-5R2G</v>
      </c>
      <c r="B33578" s="3" t="s">
        <v>95</v>
      </c>
      <c r="C33578" s="6">
        <v>15934</v>
      </c>
      <c r="D33578" s="7">
        <v>1</v>
      </c>
      <c r="E33578" t="s">
        <v>30</v>
      </c>
    </row>
    <row r="33579" spans="1:5" x14ac:dyDescent="0.25">
      <c r="A33579" t="str">
        <f>HYPERLINK("https://www.773grp.com/globalSearch/MC34164P-3G/page-1", "MC34164P-3G")</f>
        <v>MC34164P-3G</v>
      </c>
      <c r="B33579" s="3" t="s">
        <v>95</v>
      </c>
      <c r="C33579" s="6">
        <v>12703</v>
      </c>
      <c r="D33579" s="7">
        <v>1</v>
      </c>
      <c r="E33579" t="s">
        <v>30</v>
      </c>
    </row>
    <row r="33580" spans="1:5" x14ac:dyDescent="0.25">
      <c r="A33580" t="str">
        <f>HYPERLINK("https://www.773grp.com/globalSearch/MC34164SN-5T1G/page-1", "MC34164SN-5T1G")</f>
        <v>MC34164SN-5T1G</v>
      </c>
      <c r="B33580" s="3" t="s">
        <v>95</v>
      </c>
      <c r="C33580" s="6">
        <v>5505</v>
      </c>
      <c r="D33580" s="7">
        <v>1</v>
      </c>
      <c r="E33580" t="s">
        <v>30</v>
      </c>
    </row>
    <row r="33581" spans="1:5" x14ac:dyDescent="0.25">
      <c r="A33581" t="str">
        <f>HYPERLINK("https://www.773grp.com/globalSearch/MC74AC125MG/page-1", "MC74AC125MG")</f>
        <v>MC74AC125MG</v>
      </c>
      <c r="B33581" s="3" t="s">
        <v>95</v>
      </c>
      <c r="C33581" s="6">
        <v>10822</v>
      </c>
      <c r="D33581" s="7">
        <v>1</v>
      </c>
      <c r="E33581" t="s">
        <v>14</v>
      </c>
    </row>
    <row r="33582" spans="1:5" x14ac:dyDescent="0.25">
      <c r="A33582" t="str">
        <f>HYPERLINK("https://www.773grp.com/globalSearch/MC74AC138DG/page-1", "MC74AC138DG")</f>
        <v>MC74AC138DG</v>
      </c>
      <c r="B33582" s="3" t="s">
        <v>95</v>
      </c>
      <c r="C33582" s="6">
        <v>29836</v>
      </c>
      <c r="D33582" s="7">
        <v>1</v>
      </c>
      <c r="E33582" t="s">
        <v>36</v>
      </c>
    </row>
    <row r="33583" spans="1:5" x14ac:dyDescent="0.25">
      <c r="A33583" t="str">
        <f>HYPERLINK("https://www.773grp.com/globalSearch/MC74AC138DR2G/page-1", "MC74AC138DR2G")</f>
        <v>MC74AC138DR2G</v>
      </c>
      <c r="B33583" s="3" t="s">
        <v>95</v>
      </c>
      <c r="C33583" s="6">
        <v>40000</v>
      </c>
      <c r="D33583" s="7">
        <v>1</v>
      </c>
      <c r="E33583" t="s">
        <v>36</v>
      </c>
    </row>
    <row r="33584" spans="1:5" x14ac:dyDescent="0.25">
      <c r="A33584" t="str">
        <f>HYPERLINK("https://www.773grp.com/globalSearch/MC74AC138DTR2G/page-1", "MC74AC138DTR2G")</f>
        <v>MC74AC138DTR2G</v>
      </c>
      <c r="B33584" s="3" t="s">
        <v>95</v>
      </c>
      <c r="C33584" s="6">
        <v>12500</v>
      </c>
      <c r="D33584" s="7">
        <v>1</v>
      </c>
      <c r="E33584" t="s">
        <v>36</v>
      </c>
    </row>
    <row r="33585" spans="1:5" x14ac:dyDescent="0.25">
      <c r="A33585" t="str">
        <f>HYPERLINK("https://www.773grp.com/globalSearch/MC74AC138NG/page-1", "MC74AC138NG")</f>
        <v>MC74AC138NG</v>
      </c>
      <c r="B33585" s="3" t="s">
        <v>95</v>
      </c>
      <c r="C33585" s="6">
        <v>1600</v>
      </c>
      <c r="D33585" s="7">
        <v>1</v>
      </c>
      <c r="E33585" t="s">
        <v>36</v>
      </c>
    </row>
    <row r="33586" spans="1:5" x14ac:dyDescent="0.25">
      <c r="A33586" t="str">
        <f>HYPERLINK("https://www.773grp.com/globalSearch/MC74AC139DG/page-1", "MC74AC139DG")</f>
        <v>MC74AC139DG</v>
      </c>
      <c r="B33586" s="3" t="s">
        <v>95</v>
      </c>
      <c r="C33586" s="6">
        <v>11586</v>
      </c>
      <c r="D33586" s="7">
        <v>1</v>
      </c>
      <c r="E33586" t="s">
        <v>36</v>
      </c>
    </row>
    <row r="33587" spans="1:5" x14ac:dyDescent="0.25">
      <c r="A33587" t="str">
        <f>HYPERLINK("https://www.773grp.com/globalSearch/MC74AC139DR2/page-1", "MC74AC139DR2")</f>
        <v>MC74AC139DR2</v>
      </c>
      <c r="B33587" s="3" t="s">
        <v>95</v>
      </c>
      <c r="C33587" s="6">
        <v>2500</v>
      </c>
      <c r="D33587" s="7">
        <v>1</v>
      </c>
      <c r="E33587" t="s">
        <v>36</v>
      </c>
    </row>
    <row r="33588" spans="1:5" x14ac:dyDescent="0.25">
      <c r="A33588" t="str">
        <f>HYPERLINK("https://www.773grp.com/globalSearch/MC74AC139DR2G/page-1", "MC74AC139DR2G")</f>
        <v>MC74AC139DR2G</v>
      </c>
      <c r="B33588" s="3" t="s">
        <v>95</v>
      </c>
      <c r="C33588" s="6">
        <v>33696</v>
      </c>
      <c r="D33588" s="7">
        <v>1</v>
      </c>
      <c r="E33588" t="s">
        <v>36</v>
      </c>
    </row>
    <row r="33589" spans="1:5" x14ac:dyDescent="0.25">
      <c r="A33589" t="str">
        <f>HYPERLINK("https://www.773grp.com/globalSearch/MC74AC139DTR2G/page-1", "MC74AC139DTR2G")</f>
        <v>MC74AC139DTR2G</v>
      </c>
      <c r="B33589" s="3" t="s">
        <v>95</v>
      </c>
      <c r="C33589" s="6">
        <v>10873</v>
      </c>
      <c r="D33589" s="7">
        <v>1</v>
      </c>
      <c r="E33589" t="s">
        <v>36</v>
      </c>
    </row>
    <row r="33590" spans="1:5" x14ac:dyDescent="0.25">
      <c r="A33590" t="str">
        <f>HYPERLINK("https://www.773grp.com/globalSearch/MC74AC174DT/page-1", "MC74AC174DT")</f>
        <v>MC74AC174DT</v>
      </c>
      <c r="B33590" s="3" t="s">
        <v>95</v>
      </c>
      <c r="C33590" s="6">
        <v>5230</v>
      </c>
      <c r="D33590" s="7">
        <v>1</v>
      </c>
      <c r="E33590" t="s">
        <v>35</v>
      </c>
    </row>
    <row r="33591" spans="1:5" x14ac:dyDescent="0.25">
      <c r="A33591" t="str">
        <f>HYPERLINK("https://www.773grp.com/globalSearch/MC74AC174MEL/page-1", "MC74AC174MEL")</f>
        <v>MC74AC174MEL</v>
      </c>
      <c r="B33591" s="3" t="s">
        <v>95</v>
      </c>
      <c r="C33591" s="6">
        <v>6000</v>
      </c>
      <c r="D33591" s="7">
        <v>1</v>
      </c>
      <c r="E33591" t="s">
        <v>35</v>
      </c>
    </row>
    <row r="33592" spans="1:5" x14ac:dyDescent="0.25">
      <c r="A33592" t="str">
        <f>HYPERLINK("https://www.773grp.com/globalSearch/MC74AC174ML1/page-1", "MC74AC174ML1")</f>
        <v>MC74AC174ML1</v>
      </c>
      <c r="B33592" s="3" t="s">
        <v>95</v>
      </c>
      <c r="C33592" s="6">
        <v>12000</v>
      </c>
      <c r="D33592" s="7">
        <v>1</v>
      </c>
    </row>
    <row r="33593" spans="1:5" x14ac:dyDescent="0.25">
      <c r="A33593" t="str">
        <f>HYPERLINK("https://www.773grp.com/globalSearch/MC74AC175M/page-1", "MC74AC175M")</f>
        <v>MC74AC175M</v>
      </c>
      <c r="B33593" s="3" t="s">
        <v>95</v>
      </c>
      <c r="C33593" s="6">
        <v>300</v>
      </c>
      <c r="D33593" s="7">
        <v>1</v>
      </c>
      <c r="E33593" t="s">
        <v>35</v>
      </c>
    </row>
    <row r="33594" spans="1:5" x14ac:dyDescent="0.25">
      <c r="A33594" t="str">
        <f>HYPERLINK("https://www.773grp.com/globalSearch/MC74AC175ML1/page-1", "MC74AC175ML1")</f>
        <v>MC74AC175ML1</v>
      </c>
      <c r="B33594" s="3" t="s">
        <v>95</v>
      </c>
      <c r="C33594" s="6">
        <v>5000</v>
      </c>
      <c r="D33594" s="7">
        <v>1</v>
      </c>
    </row>
    <row r="33595" spans="1:5" x14ac:dyDescent="0.25">
      <c r="A33595" t="str">
        <f>HYPERLINK("https://www.773grp.com/globalSearch/MC74AC175N/page-1", "MC74AC175N")</f>
        <v>MC74AC175N</v>
      </c>
      <c r="B33595" s="3" t="s">
        <v>95</v>
      </c>
      <c r="C33595" s="6">
        <v>966</v>
      </c>
      <c r="D33595" s="7">
        <v>1</v>
      </c>
      <c r="E33595" t="s">
        <v>35</v>
      </c>
    </row>
    <row r="33596" spans="1:5" x14ac:dyDescent="0.25">
      <c r="A33596" t="str">
        <f>HYPERLINK("https://www.773grp.com/globalSearch/MC74ACT125MELG/page-1", "MC74ACT125MELG")</f>
        <v>MC74ACT125MELG</v>
      </c>
      <c r="B33596" s="3" t="s">
        <v>95</v>
      </c>
      <c r="C33596" s="6">
        <v>11990</v>
      </c>
      <c r="D33596" s="7">
        <v>1</v>
      </c>
      <c r="E33596" t="s">
        <v>14</v>
      </c>
    </row>
    <row r="33597" spans="1:5" x14ac:dyDescent="0.25">
      <c r="A33597" t="str">
        <f>HYPERLINK("https://www.773grp.com/globalSearch/MC74ACT138DG/page-1", "MC74ACT138DG")</f>
        <v>MC74ACT138DG</v>
      </c>
      <c r="B33597" s="3" t="s">
        <v>95</v>
      </c>
      <c r="C33597" s="6">
        <v>16749</v>
      </c>
      <c r="D33597" s="7">
        <v>1</v>
      </c>
      <c r="E33597" t="s">
        <v>36</v>
      </c>
    </row>
    <row r="33598" spans="1:5" x14ac:dyDescent="0.25">
      <c r="A33598" t="str">
        <f>HYPERLINK("https://www.773grp.com/globalSearch/MC74ACT138DR2G/page-1", "MC74ACT138DR2G")</f>
        <v>MC74ACT138DR2G</v>
      </c>
      <c r="B33598" s="3" t="s">
        <v>95</v>
      </c>
      <c r="C33598" s="6">
        <v>70145</v>
      </c>
      <c r="D33598" s="7">
        <v>1</v>
      </c>
      <c r="E33598" t="s">
        <v>36</v>
      </c>
    </row>
    <row r="33599" spans="1:5" x14ac:dyDescent="0.25">
      <c r="A33599" t="str">
        <f>HYPERLINK("https://www.773grp.com/globalSearch/MC74ACT138NG/page-1", "MC74ACT138NG")</f>
        <v>MC74ACT138NG</v>
      </c>
      <c r="B33599" s="3" t="s">
        <v>95</v>
      </c>
      <c r="C33599" s="6">
        <v>2819</v>
      </c>
      <c r="D33599" s="7">
        <v>1</v>
      </c>
      <c r="E33599" t="s">
        <v>36</v>
      </c>
    </row>
    <row r="33600" spans="1:5" x14ac:dyDescent="0.25">
      <c r="A33600" t="str">
        <f>HYPERLINK("https://www.773grp.com/globalSearch/MC74ACT139DG/page-1", "MC74ACT139DG")</f>
        <v>MC74ACT139DG</v>
      </c>
      <c r="B33600" s="3" t="s">
        <v>95</v>
      </c>
      <c r="C33600" s="6">
        <v>24028</v>
      </c>
      <c r="D33600" s="7">
        <v>1</v>
      </c>
      <c r="E33600" t="s">
        <v>36</v>
      </c>
    </row>
    <row r="33601" spans="1:5" x14ac:dyDescent="0.25">
      <c r="A33601" t="str">
        <f>HYPERLINK("https://www.773grp.com/globalSearch/MC74ACT139DR2G/page-1", "MC74ACT139DR2G")</f>
        <v>MC74ACT139DR2G</v>
      </c>
      <c r="B33601" s="3" t="s">
        <v>95</v>
      </c>
      <c r="C33601" s="6">
        <v>43145</v>
      </c>
      <c r="D33601" s="7">
        <v>1</v>
      </c>
      <c r="E33601" t="s">
        <v>36</v>
      </c>
    </row>
    <row r="33602" spans="1:5" x14ac:dyDescent="0.25">
      <c r="A33602" t="str">
        <f>HYPERLINK("https://www.773grp.com/globalSearch/MC74ACT139DTG/page-1", "MC74ACT139DTG")</f>
        <v>MC74ACT139DTG</v>
      </c>
      <c r="B33602" s="3" t="s">
        <v>95</v>
      </c>
      <c r="C33602" s="6">
        <v>1513</v>
      </c>
      <c r="D33602" s="7">
        <v>1</v>
      </c>
      <c r="E33602" t="s">
        <v>36</v>
      </c>
    </row>
    <row r="33603" spans="1:5" x14ac:dyDescent="0.25">
      <c r="A33603" t="str">
        <f>HYPERLINK("https://www.773grp.com/globalSearch/MC74ACT139DTR2G/page-1", "MC74ACT139DTR2G")</f>
        <v>MC74ACT139DTR2G</v>
      </c>
      <c r="B33603" s="3" t="s">
        <v>95</v>
      </c>
      <c r="C33603" s="6">
        <v>4976</v>
      </c>
      <c r="D33603" s="7">
        <v>1</v>
      </c>
      <c r="E33603" t="s">
        <v>36</v>
      </c>
    </row>
    <row r="33604" spans="1:5" x14ac:dyDescent="0.25">
      <c r="A33604" t="str">
        <f>HYPERLINK("https://www.773grp.com/globalSearch/MC74ACT174MEL/page-1", "MC74ACT174MEL")</f>
        <v>MC74ACT174MEL</v>
      </c>
      <c r="B33604" s="3" t="s">
        <v>95</v>
      </c>
      <c r="C33604" s="6">
        <v>6000</v>
      </c>
      <c r="D33604" s="7">
        <v>1</v>
      </c>
      <c r="E33604" t="s">
        <v>35</v>
      </c>
    </row>
    <row r="33605" spans="1:5" x14ac:dyDescent="0.25">
      <c r="A33605" t="str">
        <f>HYPERLINK("https://www.773grp.com/globalSearch/MC74ACT174ML1/page-1", "MC74ACT174ML1")</f>
        <v>MC74ACT174ML1</v>
      </c>
      <c r="B33605" s="3" t="s">
        <v>95</v>
      </c>
      <c r="C33605" s="6">
        <v>5000</v>
      </c>
      <c r="D33605" s="7">
        <v>1</v>
      </c>
    </row>
    <row r="33606" spans="1:5" x14ac:dyDescent="0.25">
      <c r="A33606" t="str">
        <f>HYPERLINK("https://www.773grp.com/globalSearch/MC74ACT273MELG/page-1", "MC74ACT273MELG")</f>
        <v>MC74ACT273MELG</v>
      </c>
      <c r="B33606" s="3" t="s">
        <v>95</v>
      </c>
      <c r="C33606" s="6">
        <v>6000</v>
      </c>
      <c r="D33606" s="7">
        <v>1</v>
      </c>
      <c r="E33606" t="s">
        <v>35</v>
      </c>
    </row>
    <row r="33607" spans="1:5" x14ac:dyDescent="0.25">
      <c r="A33607" t="str">
        <f>HYPERLINK("https://www.773grp.com/globalSearch/MC74ACT273MG/page-1", "MC74ACT273MG")</f>
        <v>MC74ACT273MG</v>
      </c>
      <c r="B33607" s="3" t="s">
        <v>95</v>
      </c>
      <c r="C33607" s="6">
        <v>10450</v>
      </c>
      <c r="D33607" s="7">
        <v>1</v>
      </c>
      <c r="E33607" t="s">
        <v>35</v>
      </c>
    </row>
    <row r="33608" spans="1:5" x14ac:dyDescent="0.25">
      <c r="A33608" t="str">
        <f>HYPERLINK("https://www.773grp.com/globalSearch/MC74F109M/page-1", "MC74F109M")</f>
        <v>MC74F109M</v>
      </c>
      <c r="B33608" s="3" t="s">
        <v>95</v>
      </c>
      <c r="C33608" s="6">
        <v>1450</v>
      </c>
      <c r="D33608" s="7">
        <v>1</v>
      </c>
    </row>
    <row r="33609" spans="1:5" x14ac:dyDescent="0.25">
      <c r="A33609" t="str">
        <f>HYPERLINK("https://www.773grp.com/globalSearch/MC74F151M/page-1", "MC74F151M")</f>
        <v>MC74F151M</v>
      </c>
      <c r="B33609" s="3" t="s">
        <v>95</v>
      </c>
      <c r="C33609" s="6">
        <v>4112</v>
      </c>
      <c r="D33609" s="7">
        <v>1</v>
      </c>
    </row>
    <row r="33610" spans="1:5" x14ac:dyDescent="0.25">
      <c r="A33610" t="str">
        <f>HYPERLINK("https://www.773grp.com/globalSearch/MC74F151MEL/page-1", "MC74F151MEL")</f>
        <v>MC74F151MEL</v>
      </c>
      <c r="B33610" s="3" t="s">
        <v>95</v>
      </c>
      <c r="C33610" s="6">
        <v>2000</v>
      </c>
      <c r="D33610" s="7">
        <v>1</v>
      </c>
    </row>
    <row r="33611" spans="1:5" x14ac:dyDescent="0.25">
      <c r="A33611" t="str">
        <f>HYPERLINK("https://www.773grp.com/globalSearch/MC74F151ML1/page-1", "MC74F151ML1")</f>
        <v>MC74F151ML1</v>
      </c>
      <c r="B33611" s="3" t="s">
        <v>95</v>
      </c>
      <c r="C33611" s="6">
        <v>4000</v>
      </c>
      <c r="D33611" s="7">
        <v>1</v>
      </c>
    </row>
    <row r="33612" spans="1:5" x14ac:dyDescent="0.25">
      <c r="A33612" t="str">
        <f>HYPERLINK("https://www.773grp.com/globalSearch/MC74F151MR1/page-1", "MC74F151MR1")</f>
        <v>MC74F151MR1</v>
      </c>
      <c r="B33612" s="3" t="s">
        <v>95</v>
      </c>
      <c r="C33612" s="6">
        <v>5000</v>
      </c>
      <c r="D33612" s="7">
        <v>1</v>
      </c>
    </row>
    <row r="33613" spans="1:5" x14ac:dyDescent="0.25">
      <c r="A33613" t="str">
        <f>HYPERLINK("https://www.773grp.com/globalSearch/MC74F174M/page-1", "MC74F174M")</f>
        <v>MC74F174M</v>
      </c>
      <c r="B33613" s="3" t="s">
        <v>95</v>
      </c>
      <c r="C33613" s="6">
        <v>3422</v>
      </c>
      <c r="D33613" s="7">
        <v>1</v>
      </c>
    </row>
    <row r="33614" spans="1:5" x14ac:dyDescent="0.25">
      <c r="A33614" t="str">
        <f>HYPERLINK("https://www.773grp.com/globalSearch/MC74F174MEL/page-1", "MC74F174MEL")</f>
        <v>MC74F174MEL</v>
      </c>
      <c r="B33614" s="3" t="s">
        <v>95</v>
      </c>
      <c r="C33614" s="6">
        <v>2000</v>
      </c>
      <c r="D33614" s="7">
        <v>1</v>
      </c>
    </row>
    <row r="33615" spans="1:5" x14ac:dyDescent="0.25">
      <c r="A33615" t="str">
        <f>HYPERLINK("https://www.773grp.com/globalSearch/MC74F174ML1/page-1", "MC74F174ML1")</f>
        <v>MC74F174ML1</v>
      </c>
      <c r="B33615" s="3" t="s">
        <v>95</v>
      </c>
      <c r="C33615" s="6">
        <v>4000</v>
      </c>
      <c r="D33615" s="7">
        <v>1</v>
      </c>
    </row>
    <row r="33616" spans="1:5" x14ac:dyDescent="0.25">
      <c r="A33616" t="str">
        <f>HYPERLINK("https://www.773grp.com/globalSearch/MC74F175M/page-1", "MC74F175M")</f>
        <v>MC74F175M</v>
      </c>
      <c r="B33616" s="3" t="s">
        <v>95</v>
      </c>
      <c r="C33616" s="6">
        <v>797</v>
      </c>
      <c r="D33616" s="7">
        <v>1</v>
      </c>
    </row>
    <row r="33617" spans="1:5" x14ac:dyDescent="0.25">
      <c r="A33617" t="str">
        <f>HYPERLINK("https://www.773grp.com/globalSearch/MC74F253D/page-1", "MC74F253D")</f>
        <v>MC74F253D</v>
      </c>
      <c r="B33617" s="3" t="s">
        <v>95</v>
      </c>
      <c r="C33617" s="6">
        <v>4209</v>
      </c>
      <c r="D33617" s="7">
        <v>1</v>
      </c>
      <c r="E33617" t="s">
        <v>20</v>
      </c>
    </row>
    <row r="33618" spans="1:5" x14ac:dyDescent="0.25">
      <c r="A33618" t="str">
        <f>HYPERLINK("https://www.773grp.com/globalSearch/MC74F253DR2/page-1", "MC74F253DR2")</f>
        <v>MC74F253DR2</v>
      </c>
      <c r="B33618" s="3" t="s">
        <v>95</v>
      </c>
      <c r="C33618" s="6">
        <v>10000</v>
      </c>
      <c r="D33618" s="7">
        <v>1</v>
      </c>
      <c r="E33618" t="s">
        <v>20</v>
      </c>
    </row>
    <row r="33619" spans="1:5" x14ac:dyDescent="0.25">
      <c r="A33619" t="str">
        <f>HYPERLINK("https://www.773grp.com/globalSearch/MC74F253M/page-1", "MC74F253M")</f>
        <v>MC74F253M</v>
      </c>
      <c r="B33619" s="3" t="s">
        <v>95</v>
      </c>
      <c r="C33619" s="6">
        <v>3750</v>
      </c>
      <c r="D33619" s="7">
        <v>1</v>
      </c>
    </row>
    <row r="33620" spans="1:5" x14ac:dyDescent="0.25">
      <c r="A33620" t="str">
        <f>HYPERLINK("https://www.773grp.com/globalSearch/MC74F253ML1/page-1", "MC74F253ML1")</f>
        <v>MC74F253ML1</v>
      </c>
      <c r="B33620" s="3" t="s">
        <v>95</v>
      </c>
      <c r="C33620" s="6">
        <v>2000</v>
      </c>
      <c r="D33620" s="7">
        <v>1</v>
      </c>
    </row>
    <row r="33621" spans="1:5" x14ac:dyDescent="0.25">
      <c r="A33621" t="str">
        <f>HYPERLINK("https://www.773grp.com/globalSearch/MC74F253N/page-1", "MC74F253N")</f>
        <v>MC74F253N</v>
      </c>
      <c r="B33621" s="3" t="s">
        <v>95</v>
      </c>
      <c r="C33621" s="6">
        <v>7457</v>
      </c>
      <c r="D33621" s="7">
        <v>1</v>
      </c>
      <c r="E33621" t="s">
        <v>20</v>
      </c>
    </row>
    <row r="33622" spans="1:5" x14ac:dyDescent="0.25">
      <c r="A33622" t="str">
        <f>HYPERLINK("https://www.773grp.com/globalSearch/MC74F257AM/page-1", "MC74F257AM")</f>
        <v>MC74F257AM</v>
      </c>
      <c r="B33622" s="3" t="s">
        <v>95</v>
      </c>
      <c r="C33622" s="6">
        <v>6113</v>
      </c>
      <c r="D33622" s="7">
        <v>1</v>
      </c>
    </row>
    <row r="33623" spans="1:5" x14ac:dyDescent="0.25">
      <c r="A33623" t="str">
        <f>HYPERLINK("https://www.773grp.com/globalSearch/MC74F257AMEL/page-1", "MC74F257AMEL")</f>
        <v>MC74F257AMEL</v>
      </c>
      <c r="B33623" s="3" t="s">
        <v>95</v>
      </c>
      <c r="C33623" s="6">
        <v>2000</v>
      </c>
      <c r="D33623" s="7">
        <v>1</v>
      </c>
    </row>
    <row r="33624" spans="1:5" x14ac:dyDescent="0.25">
      <c r="A33624" t="str">
        <f>HYPERLINK("https://www.773grp.com/globalSearch/MC74F257AMR1/page-1", "MC74F257AMR1")</f>
        <v>MC74F257AMR1</v>
      </c>
      <c r="B33624" s="3" t="s">
        <v>95</v>
      </c>
      <c r="C33624" s="6">
        <v>5000</v>
      </c>
      <c r="D33624" s="7">
        <v>1</v>
      </c>
    </row>
    <row r="33625" spans="1:5" x14ac:dyDescent="0.25">
      <c r="A33625" t="str">
        <f>HYPERLINK("https://www.773grp.com/globalSearch/MC74F257AN/page-1", "MC74F257AN")</f>
        <v>MC74F257AN</v>
      </c>
      <c r="B33625" s="3" t="s">
        <v>95</v>
      </c>
      <c r="C33625" s="6">
        <v>111433</v>
      </c>
      <c r="D33625" s="7">
        <v>1</v>
      </c>
      <c r="E33625" t="s">
        <v>20</v>
      </c>
    </row>
    <row r="33626" spans="1:5" x14ac:dyDescent="0.25">
      <c r="A33626" t="str">
        <f>HYPERLINK("https://www.773grp.com/globalSearch/MC74F257DR2/page-1", "MC74F257DR2")</f>
        <v>MC74F257DR2</v>
      </c>
      <c r="B33626" s="3" t="s">
        <v>95</v>
      </c>
      <c r="C33626" s="6">
        <v>7500</v>
      </c>
      <c r="D33626" s="7">
        <v>1</v>
      </c>
      <c r="E33626" t="s">
        <v>20</v>
      </c>
    </row>
    <row r="33627" spans="1:5" x14ac:dyDescent="0.25">
      <c r="A33627" t="str">
        <f>HYPERLINK("https://www.773grp.com/globalSearch/MC74F258AD/page-1", "MC74F258AD")</f>
        <v>MC74F258AD</v>
      </c>
      <c r="B33627" s="3" t="s">
        <v>95</v>
      </c>
      <c r="C33627" s="6">
        <v>3744</v>
      </c>
      <c r="D33627" s="7">
        <v>1</v>
      </c>
      <c r="E33627" t="s">
        <v>20</v>
      </c>
    </row>
    <row r="33628" spans="1:5" x14ac:dyDescent="0.25">
      <c r="A33628" t="str">
        <f>HYPERLINK("https://www.773grp.com/globalSearch/MC74F258AN/page-1", "MC74F258AN")</f>
        <v>MC74F258AN</v>
      </c>
      <c r="B33628" s="3" t="s">
        <v>95</v>
      </c>
      <c r="C33628" s="6">
        <v>2250</v>
      </c>
      <c r="D33628" s="7">
        <v>1</v>
      </c>
      <c r="E33628" t="s">
        <v>20</v>
      </c>
    </row>
    <row r="33629" spans="1:5" x14ac:dyDescent="0.25">
      <c r="A33629" t="str">
        <f>HYPERLINK("https://www.773grp.com/globalSearch/MC74HC10FL2/page-1", "MC74HC10FL2")</f>
        <v>MC74HC10FL2</v>
      </c>
      <c r="B33629" s="3" t="s">
        <v>95</v>
      </c>
      <c r="C33629" s="6">
        <v>4000</v>
      </c>
      <c r="D33629" s="7">
        <v>1</v>
      </c>
    </row>
    <row r="33630" spans="1:5" x14ac:dyDescent="0.25">
      <c r="A33630" t="str">
        <f>HYPERLINK("https://www.773grp.com/globalSearch/MC74HC134AFR2/page-1", "MC74HC134AFR2")</f>
        <v>MC74HC134AFR2</v>
      </c>
      <c r="B33630" s="3" t="s">
        <v>95</v>
      </c>
      <c r="C33630" s="6">
        <v>6000</v>
      </c>
      <c r="D33630" s="7">
        <v>1</v>
      </c>
    </row>
    <row r="33631" spans="1:5" x14ac:dyDescent="0.25">
      <c r="A33631" t="str">
        <f>HYPERLINK("https://www.773grp.com/globalSearch/MC74HC147N/page-1", "MC74HC147N")</f>
        <v>MC74HC147N</v>
      </c>
      <c r="B33631" s="3" t="s">
        <v>95</v>
      </c>
      <c r="C33631" s="6">
        <v>65612</v>
      </c>
      <c r="D33631" s="7">
        <v>1</v>
      </c>
      <c r="E33631" t="s">
        <v>43</v>
      </c>
    </row>
    <row r="33632" spans="1:5" x14ac:dyDescent="0.25">
      <c r="A33632" t="str">
        <f>HYPERLINK("https://www.773grp.com/globalSearch/MC74HC162DR2/page-1", "MC74HC162DR2")</f>
        <v>MC74HC162DR2</v>
      </c>
      <c r="B33632" s="3" t="s">
        <v>95</v>
      </c>
      <c r="C33632" s="6">
        <v>95</v>
      </c>
      <c r="D33632" s="7">
        <v>1</v>
      </c>
      <c r="E33632" t="s">
        <v>26</v>
      </c>
    </row>
    <row r="33633" spans="1:5" x14ac:dyDescent="0.25">
      <c r="A33633" t="str">
        <f>HYPERLINK("https://www.773grp.com/globalSearch/MC74HC165AFELG/page-1", "MC74HC165AFELG")</f>
        <v>MC74HC165AFELG</v>
      </c>
      <c r="B33633" s="3" t="s">
        <v>95</v>
      </c>
      <c r="C33633" s="6">
        <v>4500</v>
      </c>
      <c r="D33633" s="7">
        <v>1</v>
      </c>
      <c r="E33633" t="s">
        <v>32</v>
      </c>
    </row>
    <row r="33634" spans="1:5" x14ac:dyDescent="0.25">
      <c r="A33634" t="str">
        <f>HYPERLINK("https://www.773grp.com/globalSearch/MC74HC173F/page-1", "MC74HC173F")</f>
        <v>MC74HC173F</v>
      </c>
      <c r="B33634" s="3" t="s">
        <v>95</v>
      </c>
      <c r="C33634" s="6">
        <v>500</v>
      </c>
      <c r="D33634" s="7">
        <v>1</v>
      </c>
    </row>
    <row r="33635" spans="1:5" x14ac:dyDescent="0.25">
      <c r="A33635" t="str">
        <f>HYPERLINK("https://www.773grp.com/globalSearch/MC74HC173FEL/page-1", "MC74HC173FEL")</f>
        <v>MC74HC173FEL</v>
      </c>
      <c r="B33635" s="3" t="s">
        <v>95</v>
      </c>
      <c r="C33635" s="6">
        <v>16000</v>
      </c>
      <c r="D33635" s="7">
        <v>1</v>
      </c>
    </row>
    <row r="33636" spans="1:5" x14ac:dyDescent="0.25">
      <c r="A33636" t="str">
        <f>HYPERLINK("https://www.773grp.com/globalSearch/MC74HC173FL1/page-1", "MC74HC173FL1")</f>
        <v>MC74HC173FL1</v>
      </c>
      <c r="B33636" s="3" t="s">
        <v>95</v>
      </c>
      <c r="C33636" s="6">
        <v>49000</v>
      </c>
      <c r="D33636" s="7">
        <v>1</v>
      </c>
    </row>
    <row r="33637" spans="1:5" x14ac:dyDescent="0.25">
      <c r="A33637" t="str">
        <f>HYPERLINK("https://www.773grp.com/globalSearch/MC74HC173N/page-1", "MC74HC173N")</f>
        <v>MC74HC173N</v>
      </c>
      <c r="B33637" s="3" t="s">
        <v>95</v>
      </c>
      <c r="C33637" s="6">
        <v>1147</v>
      </c>
      <c r="D33637" s="7">
        <v>1</v>
      </c>
      <c r="E33637" t="s">
        <v>35</v>
      </c>
    </row>
    <row r="33638" spans="1:5" x14ac:dyDescent="0.25">
      <c r="A33638" t="str">
        <f>HYPERLINK("https://www.773grp.com/globalSearch/MC74HC174AFELG/page-1", "MC74HC174AFELG")</f>
        <v>MC74HC174AFELG</v>
      </c>
      <c r="B33638" s="3" t="s">
        <v>95</v>
      </c>
      <c r="C33638" s="6">
        <v>8000</v>
      </c>
      <c r="D33638" s="7">
        <v>1</v>
      </c>
      <c r="E33638" t="s">
        <v>35</v>
      </c>
    </row>
    <row r="33639" spans="1:5" x14ac:dyDescent="0.25">
      <c r="A33639" t="str">
        <f>HYPERLINK("https://www.773grp.com/globalSearch/MC74HC175AFEL/page-1", "MC74HC175AFEL")</f>
        <v>MC74HC175AFEL</v>
      </c>
      <c r="B33639" s="3" t="s">
        <v>95</v>
      </c>
      <c r="C33639" s="6">
        <v>1087</v>
      </c>
      <c r="D33639" s="7">
        <v>1</v>
      </c>
      <c r="E33639" t="s">
        <v>35</v>
      </c>
    </row>
    <row r="33640" spans="1:5" x14ac:dyDescent="0.25">
      <c r="A33640" t="str">
        <f>HYPERLINK("https://www.773grp.com/globalSearch/MC74HC175AFELG/page-1", "MC74HC175AFELG")</f>
        <v>MC74HC175AFELG</v>
      </c>
      <c r="B33640" s="3" t="s">
        <v>95</v>
      </c>
      <c r="C33640" s="6">
        <v>4155</v>
      </c>
      <c r="D33640" s="7">
        <v>1</v>
      </c>
      <c r="E33640" t="s">
        <v>35</v>
      </c>
    </row>
    <row r="33641" spans="1:5" x14ac:dyDescent="0.25">
      <c r="A33641" t="str">
        <f>HYPERLINK("https://www.773grp.com/globalSearch/MC74HC373AH/page-1", "MC74HC373AH")</f>
        <v>MC74HC373AH</v>
      </c>
      <c r="B33641" s="3" t="s">
        <v>95</v>
      </c>
      <c r="C33641" s="6">
        <v>3194</v>
      </c>
      <c r="D33641" s="7">
        <v>1</v>
      </c>
    </row>
    <row r="33642" spans="1:5" x14ac:dyDescent="0.25">
      <c r="A33642" t="str">
        <f>HYPERLINK("https://www.773grp.com/globalSearch/MC74HC393ANG/page-1", "MC74HC393ANG")</f>
        <v>MC74HC393ANG</v>
      </c>
      <c r="B33642" s="3" t="s">
        <v>95</v>
      </c>
      <c r="C33642" s="6">
        <v>13058</v>
      </c>
      <c r="D33642" s="7">
        <v>1</v>
      </c>
      <c r="E33642" t="s">
        <v>26</v>
      </c>
    </row>
    <row r="33643" spans="1:5" x14ac:dyDescent="0.25">
      <c r="A33643" t="str">
        <f>HYPERLINK("https://www.773grp.com/globalSearch/MC74HC4020AFELG/page-1", "MC74HC4020AFELG")</f>
        <v>MC74HC4020AFELG</v>
      </c>
      <c r="B33643" s="3" t="s">
        <v>95</v>
      </c>
      <c r="C33643" s="6">
        <v>4000</v>
      </c>
      <c r="D33643" s="7">
        <v>1</v>
      </c>
    </row>
    <row r="33644" spans="1:5" x14ac:dyDescent="0.25">
      <c r="A33644" t="str">
        <f>HYPERLINK("https://www.773grp.com/globalSearch/MC74HC4020AFG/page-1", "MC74HC4020AFG")</f>
        <v>MC74HC4020AFG</v>
      </c>
      <c r="B33644" s="3" t="s">
        <v>95</v>
      </c>
      <c r="C33644" s="6">
        <v>1150</v>
      </c>
      <c r="D33644" s="7">
        <v>1</v>
      </c>
      <c r="E33644" t="s">
        <v>26</v>
      </c>
    </row>
    <row r="33645" spans="1:5" x14ac:dyDescent="0.25">
      <c r="A33645" t="str">
        <f>HYPERLINK("https://www.773grp.com/globalSearch/MC74HC540AH/page-1", "MC74HC540AH")</f>
        <v>MC74HC540AH</v>
      </c>
      <c r="B33645" s="3" t="s">
        <v>95</v>
      </c>
      <c r="C33645" s="6">
        <v>9270</v>
      </c>
      <c r="D33645" s="7">
        <v>1</v>
      </c>
    </row>
    <row r="33646" spans="1:5" x14ac:dyDescent="0.25">
      <c r="A33646" t="str">
        <f>HYPERLINK("https://www.773grp.com/globalSearch/MC74HC541AH/page-1", "MC74HC541AH")</f>
        <v>MC74HC541AH</v>
      </c>
      <c r="B33646" s="3" t="s">
        <v>95</v>
      </c>
      <c r="C33646" s="6">
        <v>31446</v>
      </c>
      <c r="D33646" s="7">
        <v>1</v>
      </c>
    </row>
    <row r="33647" spans="1:5" x14ac:dyDescent="0.25">
      <c r="A33647" t="str">
        <f>HYPERLINK("https://www.773grp.com/globalSearch/MC74HC58FEL/page-1", "MC74HC58FEL")</f>
        <v>MC74HC58FEL</v>
      </c>
      <c r="B33647" s="3" t="s">
        <v>95</v>
      </c>
      <c r="C33647" s="6">
        <v>8000</v>
      </c>
      <c r="D33647" s="7">
        <v>1</v>
      </c>
    </row>
    <row r="33648" spans="1:5" x14ac:dyDescent="0.25">
      <c r="A33648" t="str">
        <f>HYPERLINK("https://www.773grp.com/globalSearch/MC74HC595ADR/page-1", "MC74HC595ADR")</f>
        <v>MC74HC595ADR</v>
      </c>
      <c r="B33648" s="3" t="s">
        <v>95</v>
      </c>
      <c r="C33648" s="6">
        <v>2500</v>
      </c>
      <c r="D33648" s="7">
        <v>1</v>
      </c>
    </row>
    <row r="33649" spans="1:5" x14ac:dyDescent="0.25">
      <c r="A33649" t="str">
        <f>HYPERLINK("https://www.773grp.com/globalSearch/MC74HC595ADR2H/page-1", "MC74HC595ADR2H")</f>
        <v>MC74HC595ADR2H</v>
      </c>
      <c r="B33649" s="3" t="s">
        <v>95</v>
      </c>
      <c r="C33649" s="6">
        <v>12500</v>
      </c>
      <c r="D33649" s="7">
        <v>1</v>
      </c>
    </row>
    <row r="33650" spans="1:5" x14ac:dyDescent="0.25">
      <c r="A33650" t="str">
        <f>HYPERLINK("https://www.773grp.com/globalSearch/MC74HC688N/page-1", "MC74HC688N")</f>
        <v>MC74HC688N</v>
      </c>
      <c r="B33650" s="3" t="s">
        <v>95</v>
      </c>
      <c r="C33650" s="6">
        <v>75</v>
      </c>
      <c r="D33650" s="7">
        <v>1</v>
      </c>
      <c r="E33650" t="s">
        <v>43</v>
      </c>
    </row>
    <row r="33651" spans="1:5" x14ac:dyDescent="0.25">
      <c r="A33651" t="str">
        <f>HYPERLINK("https://www.773grp.com/globalSearch/MC74HC86AFELG/page-1", "MC74HC86AFELG")</f>
        <v>MC74HC86AFELG</v>
      </c>
      <c r="B33651" s="3" t="s">
        <v>95</v>
      </c>
      <c r="C33651" s="6">
        <v>12000</v>
      </c>
      <c r="D33651" s="7">
        <v>1</v>
      </c>
    </row>
    <row r="33652" spans="1:5" x14ac:dyDescent="0.25">
      <c r="A33652" t="str">
        <f>HYPERLINK("https://www.773grp.com/globalSearch/MC74HC86AFG/page-1", "MC74HC86AFG")</f>
        <v>MC74HC86AFG</v>
      </c>
      <c r="B33652" s="3" t="s">
        <v>95</v>
      </c>
      <c r="C33652" s="6">
        <v>450</v>
      </c>
      <c r="D33652" s="7">
        <v>1</v>
      </c>
      <c r="E33652" t="s">
        <v>31</v>
      </c>
    </row>
    <row r="33653" spans="1:5" x14ac:dyDescent="0.25">
      <c r="A33653" t="str">
        <f>HYPERLINK("https://www.773grp.com/globalSearch/MC74HCT541AH/page-1", "MC74HCT541AH")</f>
        <v>MC74HCT541AH</v>
      </c>
      <c r="B33653" s="3" t="s">
        <v>95</v>
      </c>
      <c r="C33653" s="6">
        <v>1968</v>
      </c>
      <c r="D33653" s="7">
        <v>1</v>
      </c>
    </row>
    <row r="33654" spans="1:5" x14ac:dyDescent="0.25">
      <c r="A33654" t="str">
        <f>HYPERLINK("https://www.773grp.com/globalSearch/MC74HCT574AH/page-1", "MC74HCT574AH")</f>
        <v>MC74HCT574AH</v>
      </c>
      <c r="B33654" s="3" t="s">
        <v>95</v>
      </c>
      <c r="C33654" s="6">
        <v>3960</v>
      </c>
      <c r="D33654" s="7">
        <v>1</v>
      </c>
    </row>
    <row r="33655" spans="1:5" x14ac:dyDescent="0.25">
      <c r="A33655" t="str">
        <f>HYPERLINK("https://www.773grp.com/globalSearch/MC74LVX04MG/page-1", "MC74LVX04MG")</f>
        <v>MC74LVX04MG</v>
      </c>
      <c r="B33655" s="3" t="s">
        <v>95</v>
      </c>
      <c r="C33655" s="6">
        <v>28100</v>
      </c>
      <c r="D33655" s="7">
        <v>1</v>
      </c>
      <c r="E33655" t="s">
        <v>31</v>
      </c>
    </row>
    <row r="33656" spans="1:5" x14ac:dyDescent="0.25">
      <c r="A33656" t="str">
        <f>HYPERLINK("https://www.773grp.com/globalSearch/MC74LVX08MELG/page-1", "MC74LVX08MELG")</f>
        <v>MC74LVX08MELG</v>
      </c>
      <c r="B33656" s="3" t="s">
        <v>95</v>
      </c>
      <c r="C33656" s="6">
        <v>27900</v>
      </c>
      <c r="D33656" s="7">
        <v>1</v>
      </c>
      <c r="E33656" t="s">
        <v>31</v>
      </c>
    </row>
    <row r="33657" spans="1:5" x14ac:dyDescent="0.25">
      <c r="A33657" t="str">
        <f>HYPERLINK("https://www.773grp.com/globalSearch/MC7805CTG/page-1", "MC7805CTG")</f>
        <v>MC7805CTG</v>
      </c>
      <c r="B33657" s="3" t="s">
        <v>95</v>
      </c>
      <c r="C33657" s="6">
        <v>256552</v>
      </c>
      <c r="D33657" s="7">
        <v>1</v>
      </c>
      <c r="E33657" t="s">
        <v>28</v>
      </c>
    </row>
    <row r="33658" spans="1:5" x14ac:dyDescent="0.25">
      <c r="A33658" t="str">
        <f>HYPERLINK("https://www.773grp.com/globalSearch/MC7806CTG/page-1", "MC7806CTG")</f>
        <v>MC7806CTG</v>
      </c>
      <c r="B33658" s="3" t="s">
        <v>95</v>
      </c>
      <c r="C33658" s="6">
        <v>276850</v>
      </c>
      <c r="D33658" s="7">
        <v>1</v>
      </c>
      <c r="E33658" t="s">
        <v>28</v>
      </c>
    </row>
    <row r="33659" spans="1:5" x14ac:dyDescent="0.25">
      <c r="A33659" t="str">
        <f>HYPERLINK("https://www.773grp.com/globalSearch/MC7808CTG/page-1", "MC7808CTG")</f>
        <v>MC7808CTG</v>
      </c>
      <c r="B33659" s="3" t="s">
        <v>95</v>
      </c>
      <c r="C33659" s="6">
        <v>723322</v>
      </c>
      <c r="D33659" s="7">
        <v>1</v>
      </c>
      <c r="E33659" t="s">
        <v>28</v>
      </c>
    </row>
    <row r="33660" spans="1:5" x14ac:dyDescent="0.25">
      <c r="A33660" t="str">
        <f>HYPERLINK("https://www.773grp.com/globalSearch/MC7809CTG/page-1", "MC7809CTG")</f>
        <v>MC7809CTG</v>
      </c>
      <c r="B33660" s="3" t="s">
        <v>95</v>
      </c>
      <c r="C33660" s="6">
        <v>285215</v>
      </c>
      <c r="D33660" s="7">
        <v>1</v>
      </c>
      <c r="E33660" t="s">
        <v>28</v>
      </c>
    </row>
    <row r="33661" spans="1:5" x14ac:dyDescent="0.25">
      <c r="A33661" t="str">
        <f>HYPERLINK("https://www.773grp.com/globalSearch/MC7812CTG/page-1", "MC7812CTG")</f>
        <v>MC7812CTG</v>
      </c>
      <c r="B33661" s="3" t="s">
        <v>95</v>
      </c>
      <c r="C33661" s="6">
        <v>1130703</v>
      </c>
      <c r="D33661" s="7">
        <v>1</v>
      </c>
      <c r="E33661" t="s">
        <v>28</v>
      </c>
    </row>
    <row r="33662" spans="1:5" x14ac:dyDescent="0.25">
      <c r="A33662" t="str">
        <f>HYPERLINK("https://www.773grp.com/globalSearch/MC7815CTG/page-1", "MC7815CTG")</f>
        <v>MC7815CTG</v>
      </c>
      <c r="B33662" s="3" t="s">
        <v>95</v>
      </c>
      <c r="C33662" s="6">
        <v>159667</v>
      </c>
      <c r="D33662" s="7">
        <v>1</v>
      </c>
      <c r="E33662" t="s">
        <v>28</v>
      </c>
    </row>
    <row r="33663" spans="1:5" x14ac:dyDescent="0.25">
      <c r="A33663" t="str">
        <f>HYPERLINK("https://www.773grp.com/globalSearch/MC7818CTG/page-1", "MC7818CTG")</f>
        <v>MC7818CTG</v>
      </c>
      <c r="B33663" s="3" t="s">
        <v>95</v>
      </c>
      <c r="C33663" s="6">
        <v>81032</v>
      </c>
      <c r="D33663" s="7">
        <v>1</v>
      </c>
      <c r="E33663" t="s">
        <v>28</v>
      </c>
    </row>
    <row r="33664" spans="1:5" x14ac:dyDescent="0.25">
      <c r="A33664" t="str">
        <f>HYPERLINK("https://www.773grp.com/globalSearch/MC7824CTG/page-1", "MC7824CTG")</f>
        <v>MC7824CTG</v>
      </c>
      <c r="B33664" s="3" t="s">
        <v>95</v>
      </c>
      <c r="C33664" s="6">
        <v>246839</v>
      </c>
      <c r="D33664" s="7">
        <v>1</v>
      </c>
      <c r="E33664" t="s">
        <v>28</v>
      </c>
    </row>
    <row r="33665" spans="1:5" x14ac:dyDescent="0.25">
      <c r="A33665" t="str">
        <f>HYPERLINK("https://www.773grp.com/globalSearch/MC78M08ABTG/page-1", "MC78M08ABTG")</f>
        <v>MC78M08ABTG</v>
      </c>
      <c r="B33665" s="3" t="s">
        <v>95</v>
      </c>
      <c r="C33665" s="6">
        <v>11500</v>
      </c>
      <c r="D33665" s="7">
        <v>1</v>
      </c>
      <c r="E33665" t="s">
        <v>28</v>
      </c>
    </row>
    <row r="33666" spans="1:5" x14ac:dyDescent="0.25">
      <c r="A33666" t="str">
        <f>HYPERLINK("https://www.773grp.com/globalSearch/MC7905CTG/page-1", "MC7905CTG")</f>
        <v>MC7905CTG</v>
      </c>
      <c r="B33666" s="3" t="s">
        <v>95</v>
      </c>
      <c r="C33666" s="6">
        <v>102107</v>
      </c>
      <c r="D33666" s="7">
        <v>1</v>
      </c>
      <c r="E33666" t="s">
        <v>65</v>
      </c>
    </row>
    <row r="33667" spans="1:5" x14ac:dyDescent="0.25">
      <c r="A33667" t="str">
        <f>HYPERLINK("https://www.773grp.com/globalSearch/MC7906CTG/page-1", "MC7906CTG")</f>
        <v>MC7906CTG</v>
      </c>
      <c r="B33667" s="3" t="s">
        <v>95</v>
      </c>
      <c r="C33667" s="6">
        <v>101840</v>
      </c>
      <c r="D33667" s="7">
        <v>1</v>
      </c>
      <c r="E33667" t="s">
        <v>65</v>
      </c>
    </row>
    <row r="33668" spans="1:5" x14ac:dyDescent="0.25">
      <c r="A33668" t="str">
        <f>HYPERLINK("https://www.773grp.com/globalSearch/MC7908CTG/page-1", "MC7908CTG")</f>
        <v>MC7908CTG</v>
      </c>
      <c r="B33668" s="3" t="s">
        <v>95</v>
      </c>
      <c r="C33668" s="6">
        <v>314372</v>
      </c>
      <c r="D33668" s="7">
        <v>1</v>
      </c>
      <c r="E33668" t="s">
        <v>65</v>
      </c>
    </row>
    <row r="33669" spans="1:5" x14ac:dyDescent="0.25">
      <c r="A33669" t="str">
        <f>HYPERLINK("https://www.773grp.com/globalSearch/MC7912CTG/page-1", "MC7912CTG")</f>
        <v>MC7912CTG</v>
      </c>
      <c r="B33669" s="3" t="s">
        <v>95</v>
      </c>
      <c r="C33669" s="6">
        <v>56184</v>
      </c>
      <c r="D33669" s="7">
        <v>1</v>
      </c>
      <c r="E33669" t="s">
        <v>65</v>
      </c>
    </row>
    <row r="33670" spans="1:5" x14ac:dyDescent="0.25">
      <c r="A33670" t="str">
        <f>HYPERLINK("https://www.773grp.com/globalSearch/MC7915CT/page-1", "MC7915CT")</f>
        <v>MC7915CT</v>
      </c>
      <c r="B33670" s="3" t="s">
        <v>95</v>
      </c>
      <c r="C33670" s="6">
        <v>878</v>
      </c>
      <c r="D33670" s="7">
        <v>1</v>
      </c>
      <c r="E33670" t="s">
        <v>65</v>
      </c>
    </row>
    <row r="33671" spans="1:5" x14ac:dyDescent="0.25">
      <c r="A33671" t="str">
        <f>HYPERLINK("https://www.773grp.com/globalSearch/MC7915CTG/page-1", "MC7915CTG")</f>
        <v>MC7915CTG</v>
      </c>
      <c r="B33671" s="3" t="s">
        <v>95</v>
      </c>
      <c r="C33671" s="6">
        <v>61700</v>
      </c>
      <c r="D33671" s="7">
        <v>1</v>
      </c>
      <c r="E33671" t="s">
        <v>65</v>
      </c>
    </row>
    <row r="33672" spans="1:5" x14ac:dyDescent="0.25">
      <c r="A33672" t="str">
        <f>HYPERLINK("https://www.773grp.com/globalSearch/MC7918CTG/page-1", "MC7918CTG")</f>
        <v>MC7918CTG</v>
      </c>
      <c r="B33672" s="3" t="s">
        <v>95</v>
      </c>
      <c r="C33672" s="6">
        <v>23165</v>
      </c>
      <c r="D33672" s="7">
        <v>1</v>
      </c>
      <c r="E33672" t="s">
        <v>65</v>
      </c>
    </row>
    <row r="33673" spans="1:5" x14ac:dyDescent="0.25">
      <c r="A33673" t="str">
        <f>HYPERLINK("https://www.773grp.com/globalSearch/MC7924CD2TG/page-1", "MC7924CD2TG")</f>
        <v>MC7924CD2TG</v>
      </c>
      <c r="B33673" s="3" t="s">
        <v>95</v>
      </c>
      <c r="C33673" s="6">
        <v>3650</v>
      </c>
      <c r="D33673" s="7">
        <v>1</v>
      </c>
      <c r="E33673" t="s">
        <v>65</v>
      </c>
    </row>
    <row r="33674" spans="1:5" x14ac:dyDescent="0.25">
      <c r="A33674" t="str">
        <f>HYPERLINK("https://www.773grp.com/globalSearch/MC7924CTG/page-1", "MC7924CTG")</f>
        <v>MC7924CTG</v>
      </c>
      <c r="B33674" s="3" t="s">
        <v>95</v>
      </c>
      <c r="C33674" s="6">
        <v>22367</v>
      </c>
      <c r="D33674" s="7">
        <v>1</v>
      </c>
      <c r="E33674" t="s">
        <v>65</v>
      </c>
    </row>
    <row r="33675" spans="1:5" x14ac:dyDescent="0.25">
      <c r="A33675" t="str">
        <f>HYPERLINK("https://www.773grp.com/globalSearch/MJD117G/page-1", "MJD117G")</f>
        <v>MJD117G</v>
      </c>
      <c r="B33675" s="3" t="s">
        <v>95</v>
      </c>
      <c r="C33675" s="6">
        <v>4200</v>
      </c>
      <c r="D33675" s="7">
        <v>1</v>
      </c>
    </row>
    <row r="33676" spans="1:5" x14ac:dyDescent="0.25">
      <c r="A33676" t="str">
        <f>HYPERLINK("https://www.773grp.com/globalSearch/MJD200G/page-1", "MJD200G")</f>
        <v>MJD200G</v>
      </c>
      <c r="B33676" s="3" t="s">
        <v>95</v>
      </c>
      <c r="C33676" s="6">
        <v>2700</v>
      </c>
      <c r="D33676" s="7">
        <v>1</v>
      </c>
      <c r="E33676" t="s">
        <v>59</v>
      </c>
    </row>
    <row r="33677" spans="1:5" x14ac:dyDescent="0.25">
      <c r="A33677" t="str">
        <f>HYPERLINK("https://www.773grp.com/globalSearch/MJD200T4/page-1", "MJD200T4")</f>
        <v>MJD200T4</v>
      </c>
      <c r="B33677" s="3" t="s">
        <v>95</v>
      </c>
      <c r="C33677" s="6">
        <v>2500</v>
      </c>
      <c r="D33677" s="7">
        <v>1</v>
      </c>
    </row>
    <row r="33678" spans="1:5" x14ac:dyDescent="0.25">
      <c r="A33678" t="str">
        <f>HYPERLINK("https://www.773grp.com/globalSearch/MJD200T4G/page-1", "MJD200T4G")</f>
        <v>MJD200T4G</v>
      </c>
      <c r="B33678" s="3" t="s">
        <v>95</v>
      </c>
      <c r="C33678" s="6">
        <v>12500</v>
      </c>
      <c r="D33678" s="7">
        <v>1</v>
      </c>
      <c r="E33678" t="s">
        <v>59</v>
      </c>
    </row>
    <row r="33679" spans="1:5" x14ac:dyDescent="0.25">
      <c r="A33679" t="str">
        <f>HYPERLINK("https://www.773grp.com/globalSearch/MJD243T4G/page-1", "MJD243T4G")</f>
        <v>MJD243T4G</v>
      </c>
      <c r="B33679" s="3" t="s">
        <v>95</v>
      </c>
      <c r="C33679" s="6">
        <v>76813</v>
      </c>
      <c r="D33679" s="7">
        <v>1</v>
      </c>
      <c r="E33679" t="s">
        <v>59</v>
      </c>
    </row>
    <row r="33680" spans="1:5" x14ac:dyDescent="0.25">
      <c r="A33680" t="str">
        <f>HYPERLINK("https://www.773grp.com/globalSearch/MJD253-1G/page-1", "MJD253-1G")</f>
        <v>MJD253-1G</v>
      </c>
      <c r="B33680" s="3" t="s">
        <v>95</v>
      </c>
      <c r="C33680" s="6">
        <v>1200</v>
      </c>
      <c r="D33680" s="7">
        <v>1</v>
      </c>
      <c r="E33680" t="s">
        <v>59</v>
      </c>
    </row>
    <row r="33681" spans="1:5" x14ac:dyDescent="0.25">
      <c r="A33681" t="str">
        <f>HYPERLINK("https://www.773grp.com/globalSearch/MJD340RLG/page-1", "MJD340RLG")</f>
        <v>MJD340RLG</v>
      </c>
      <c r="B33681" s="3" t="s">
        <v>95</v>
      </c>
      <c r="C33681" s="6">
        <v>7097</v>
      </c>
      <c r="D33681" s="7">
        <v>1</v>
      </c>
      <c r="E33681" t="s">
        <v>59</v>
      </c>
    </row>
    <row r="33682" spans="1:5" x14ac:dyDescent="0.25">
      <c r="A33682" t="str">
        <f>HYPERLINK("https://www.773grp.com/globalSearch/MJD44H11RL/page-1", "MJD44H11RL")</f>
        <v>MJD44H11RL</v>
      </c>
      <c r="B33682" s="3" t="s">
        <v>95</v>
      </c>
      <c r="C33682" s="6">
        <v>3600</v>
      </c>
      <c r="D33682" s="7">
        <v>1</v>
      </c>
    </row>
    <row r="33683" spans="1:5" x14ac:dyDescent="0.25">
      <c r="A33683" t="str">
        <f>HYPERLINK("https://www.773grp.com/globalSearch/MJD44H11RLG/page-1", "MJD44H11RLG")</f>
        <v>MJD44H11RLG</v>
      </c>
      <c r="B33683" s="3" t="s">
        <v>95</v>
      </c>
      <c r="C33683" s="6">
        <v>70770</v>
      </c>
      <c r="D33683" s="7">
        <v>1</v>
      </c>
      <c r="E33683" t="s">
        <v>59</v>
      </c>
    </row>
    <row r="33684" spans="1:5" x14ac:dyDescent="0.25">
      <c r="A33684" t="str">
        <f>HYPERLINK("https://www.773grp.com/globalSearch/MJE15029/page-1", "MJE15029")</f>
        <v>MJE15029</v>
      </c>
      <c r="B33684" s="3" t="s">
        <v>95</v>
      </c>
      <c r="C33684" s="6">
        <v>2286</v>
      </c>
      <c r="D33684" s="7">
        <v>1</v>
      </c>
      <c r="E33684" t="s">
        <v>59</v>
      </c>
    </row>
    <row r="33685" spans="1:5" x14ac:dyDescent="0.25">
      <c r="A33685" t="str">
        <f>HYPERLINK("https://www.773grp.com/globalSearch/MJE15031/page-1", "MJE15031")</f>
        <v>MJE15031</v>
      </c>
      <c r="B33685" s="3" t="s">
        <v>95</v>
      </c>
      <c r="C33685" s="6">
        <v>42374</v>
      </c>
      <c r="D33685" s="7">
        <v>1</v>
      </c>
      <c r="E33685" t="s">
        <v>59</v>
      </c>
    </row>
    <row r="33686" spans="1:5" x14ac:dyDescent="0.25">
      <c r="A33686" t="str">
        <f>HYPERLINK("https://www.773grp.com/globalSearch/MJE15032/page-1", "MJE15032")</f>
        <v>MJE15032</v>
      </c>
      <c r="B33686" s="3" t="s">
        <v>95</v>
      </c>
      <c r="C33686" s="6">
        <v>34</v>
      </c>
      <c r="D33686" s="7">
        <v>1</v>
      </c>
      <c r="E33686" t="s">
        <v>59</v>
      </c>
    </row>
    <row r="33687" spans="1:5" x14ac:dyDescent="0.25">
      <c r="A33687" t="str">
        <f>HYPERLINK("https://www.773grp.com/globalSearch/MJE243/page-1", "MJE243")</f>
        <v>MJE243</v>
      </c>
      <c r="B33687" s="3" t="s">
        <v>95</v>
      </c>
      <c r="C33687" s="6">
        <v>3000</v>
      </c>
      <c r="D33687" s="7">
        <v>1</v>
      </c>
      <c r="E33687" t="s">
        <v>59</v>
      </c>
    </row>
    <row r="33688" spans="1:5" x14ac:dyDescent="0.25">
      <c r="A33688" t="str">
        <f>HYPERLINK("https://www.773grp.com/globalSearch/MJE243G/page-1", "MJE243G")</f>
        <v>MJE243G</v>
      </c>
      <c r="B33688" s="3" t="s">
        <v>95</v>
      </c>
      <c r="C33688" s="6">
        <v>22050</v>
      </c>
      <c r="D33688" s="7">
        <v>1</v>
      </c>
      <c r="E33688" t="s">
        <v>59</v>
      </c>
    </row>
    <row r="33689" spans="1:5" x14ac:dyDescent="0.25">
      <c r="A33689" t="str">
        <f>HYPERLINK("https://www.773grp.com/globalSearch/MJE521G/page-1", "MJE521G")</f>
        <v>MJE521G</v>
      </c>
      <c r="B33689" s="3" t="s">
        <v>95</v>
      </c>
      <c r="C33689" s="6">
        <v>16890</v>
      </c>
      <c r="D33689" s="7">
        <v>1</v>
      </c>
      <c r="E33689" t="s">
        <v>59</v>
      </c>
    </row>
    <row r="33690" spans="1:5" x14ac:dyDescent="0.25">
      <c r="A33690" t="str">
        <f>HYPERLINK("https://www.773grp.com/globalSearch/MJF122/page-1", "MJF122")</f>
        <v>MJF122</v>
      </c>
      <c r="B33690" s="3" t="s">
        <v>95</v>
      </c>
      <c r="C33690" s="6">
        <v>123</v>
      </c>
      <c r="D33690" s="7">
        <v>1</v>
      </c>
      <c r="E33690" t="s">
        <v>59</v>
      </c>
    </row>
    <row r="33691" spans="1:5" x14ac:dyDescent="0.25">
      <c r="A33691" t="str">
        <f>HYPERLINK("https://www.773grp.com/globalSearch/MJF127/page-1", "MJF127")</f>
        <v>MJF127</v>
      </c>
      <c r="B33691" s="3" t="s">
        <v>95</v>
      </c>
      <c r="C33691" s="6">
        <v>1922</v>
      </c>
      <c r="D33691" s="7">
        <v>1</v>
      </c>
      <c r="E33691" t="s">
        <v>59</v>
      </c>
    </row>
    <row r="33692" spans="1:5" x14ac:dyDescent="0.25">
      <c r="A33692" t="str">
        <f>HYPERLINK("https://www.773grp.com/globalSearch/MJF31C/page-1", "MJF31C")</f>
        <v>MJF31C</v>
      </c>
      <c r="B33692" s="3" t="s">
        <v>95</v>
      </c>
      <c r="C33692" s="6">
        <v>11</v>
      </c>
      <c r="D33692" s="7">
        <v>1</v>
      </c>
      <c r="E33692" t="s">
        <v>59</v>
      </c>
    </row>
    <row r="33693" spans="1:5" x14ac:dyDescent="0.25">
      <c r="A33693" t="str">
        <f>HYPERLINK("https://www.773grp.com/globalSearch/MMDF3N03HDR2/page-1", "MMDF3N03HDR2")</f>
        <v>MMDF3N03HDR2</v>
      </c>
      <c r="B33693" s="3" t="s">
        <v>95</v>
      </c>
      <c r="C33693" s="6">
        <v>2500</v>
      </c>
      <c r="D33693" s="7">
        <v>1</v>
      </c>
      <c r="E33693" t="s">
        <v>105</v>
      </c>
    </row>
    <row r="33694" spans="1:5" x14ac:dyDescent="0.25">
      <c r="A33694" t="str">
        <f>HYPERLINK("https://www.773grp.com/globalSearch/MMSF3P02HDR2SG/page-1", "MMSF3P02HDR2SG")</f>
        <v>MMSF3P02HDR2SG</v>
      </c>
      <c r="B33694" s="3" t="s">
        <v>95</v>
      </c>
      <c r="C33694" s="6">
        <v>5000</v>
      </c>
      <c r="D33694" s="7">
        <v>1</v>
      </c>
    </row>
    <row r="33695" spans="1:5" x14ac:dyDescent="0.25">
      <c r="A33695" t="str">
        <f>HYPERLINK("https://www.773grp.com/globalSearch/MTSF2P03HDR2/page-1", "MTSF2P03HDR2")</f>
        <v>MTSF2P03HDR2</v>
      </c>
      <c r="B33695" s="3" t="s">
        <v>95</v>
      </c>
      <c r="C33695" s="6">
        <v>524000</v>
      </c>
      <c r="D33695" s="7">
        <v>1</v>
      </c>
      <c r="E33695" t="s">
        <v>106</v>
      </c>
    </row>
    <row r="33696" spans="1:5" x14ac:dyDescent="0.25">
      <c r="A33696" t="str">
        <f>HYPERLINK("https://www.773grp.com/globalSearch/MUR4100ERLG/page-1", "MUR4100ERLG")</f>
        <v>MUR4100ERLG</v>
      </c>
      <c r="B33696" s="3" t="s">
        <v>95</v>
      </c>
      <c r="C33696" s="6">
        <v>3975</v>
      </c>
      <c r="D33696" s="7">
        <v>1</v>
      </c>
      <c r="E33696" t="s">
        <v>103</v>
      </c>
    </row>
    <row r="33697" spans="1:5" x14ac:dyDescent="0.25">
      <c r="A33697" t="str">
        <f>HYPERLINK("https://www.773grp.com/globalSearch/MUR480EG/page-1", "MUR480EG")</f>
        <v>MUR480EG</v>
      </c>
      <c r="B33697" s="3" t="s">
        <v>95</v>
      </c>
      <c r="C33697" s="6">
        <v>73357</v>
      </c>
      <c r="D33697" s="7">
        <v>1</v>
      </c>
      <c r="E33697" t="s">
        <v>103</v>
      </c>
    </row>
    <row r="33698" spans="1:5" x14ac:dyDescent="0.25">
      <c r="A33698" t="str">
        <f>HYPERLINK("https://www.773grp.com/globalSearch/MUR480ESG/page-1", "MUR480ESG")</f>
        <v>MUR480ESG</v>
      </c>
      <c r="B33698" s="3" t="s">
        <v>95</v>
      </c>
      <c r="C33698" s="6">
        <v>398488</v>
      </c>
      <c r="D33698" s="7">
        <v>1</v>
      </c>
      <c r="E33698" t="s">
        <v>103</v>
      </c>
    </row>
    <row r="33699" spans="1:5" x14ac:dyDescent="0.25">
      <c r="A33699" t="str">
        <f>HYPERLINK("https://www.773grp.com/globalSearch/MUR550APF/page-1", "MUR550APF")</f>
        <v>MUR550APF</v>
      </c>
      <c r="B33699" s="3" t="s">
        <v>95</v>
      </c>
      <c r="C33699" s="6">
        <v>200</v>
      </c>
      <c r="D33699" s="7">
        <v>1</v>
      </c>
      <c r="E33699" t="s">
        <v>103</v>
      </c>
    </row>
    <row r="33700" spans="1:5" x14ac:dyDescent="0.25">
      <c r="A33700" t="str">
        <f>HYPERLINK("https://www.773grp.com/globalSearch/MURS205T3G/page-1", "MURS205T3G")</f>
        <v>MURS205T3G</v>
      </c>
      <c r="B33700" s="3" t="s">
        <v>95</v>
      </c>
      <c r="C33700" s="6">
        <v>86897</v>
      </c>
      <c r="D33700" s="7">
        <v>1</v>
      </c>
      <c r="E33700" t="s">
        <v>103</v>
      </c>
    </row>
    <row r="33701" spans="1:5" x14ac:dyDescent="0.25">
      <c r="A33701" t="str">
        <f>HYPERLINK("https://www.773grp.com/globalSearch/MURS210T3G/page-1", "MURS210T3G")</f>
        <v>MURS210T3G</v>
      </c>
      <c r="B33701" s="3" t="s">
        <v>95</v>
      </c>
      <c r="C33701" s="6">
        <v>10000</v>
      </c>
      <c r="D33701" s="7">
        <v>1</v>
      </c>
      <c r="E33701" t="s">
        <v>103</v>
      </c>
    </row>
    <row r="33702" spans="1:5" x14ac:dyDescent="0.25">
      <c r="A33702" t="str">
        <f>HYPERLINK("https://www.773grp.com/globalSearch/MURS220T3G/page-1", "MURS220T3G")</f>
        <v>MURS220T3G</v>
      </c>
      <c r="B33702" s="3" t="s">
        <v>95</v>
      </c>
      <c r="C33702" s="6">
        <v>6630</v>
      </c>
      <c r="D33702" s="7">
        <v>1</v>
      </c>
      <c r="E33702" t="s">
        <v>103</v>
      </c>
    </row>
    <row r="33703" spans="1:5" x14ac:dyDescent="0.25">
      <c r="A33703" t="str">
        <f>HYPERLINK("https://www.773grp.com/globalSearch/MURS230T3G/page-1", "MURS230T3G")</f>
        <v>MURS230T3G</v>
      </c>
      <c r="B33703" s="3" t="s">
        <v>95</v>
      </c>
      <c r="C33703" s="6">
        <v>17500</v>
      </c>
      <c r="D33703" s="7">
        <v>1</v>
      </c>
      <c r="E33703" t="s">
        <v>103</v>
      </c>
    </row>
    <row r="33704" spans="1:5" x14ac:dyDescent="0.25">
      <c r="A33704" t="str">
        <f>HYPERLINK("https://www.773grp.com/globalSearch/MURS240T3G/page-1", "MURS240T3G")</f>
        <v>MURS240T3G</v>
      </c>
      <c r="B33704" s="3" t="s">
        <v>95</v>
      </c>
      <c r="C33704" s="6">
        <v>185688</v>
      </c>
      <c r="D33704" s="7">
        <v>1</v>
      </c>
    </row>
    <row r="33705" spans="1:5" x14ac:dyDescent="0.25">
      <c r="A33705" t="str">
        <f>HYPERLINK("https://www.773grp.com/globalSearch/MURS260T3G/page-1", "MURS260T3G")</f>
        <v>MURS260T3G</v>
      </c>
      <c r="B33705" s="3" t="s">
        <v>95</v>
      </c>
      <c r="C33705" s="6">
        <v>15783</v>
      </c>
      <c r="D33705" s="7">
        <v>1</v>
      </c>
      <c r="E33705" t="s">
        <v>103</v>
      </c>
    </row>
    <row r="33706" spans="1:5" x14ac:dyDescent="0.25">
      <c r="A33706" t="str">
        <f>HYPERLINK("https://www.773grp.com/globalSearch/MV2105G/page-1", "MV2105G")</f>
        <v>MV2105G</v>
      </c>
      <c r="B33706" s="3" t="s">
        <v>95</v>
      </c>
      <c r="C33706" s="6">
        <v>21000</v>
      </c>
      <c r="D33706" s="7">
        <v>1</v>
      </c>
      <c r="E33706" t="s">
        <v>101</v>
      </c>
    </row>
    <row r="33707" spans="1:5" x14ac:dyDescent="0.25">
      <c r="A33707" t="str">
        <f>HYPERLINK("https://www.773grp.com/globalSearch/NCP1010AP065/page-1", "NCP1010AP065")</f>
        <v>NCP1010AP065</v>
      </c>
      <c r="B33707" s="3" t="s">
        <v>95</v>
      </c>
      <c r="C33707" s="6">
        <v>4000</v>
      </c>
      <c r="D33707" s="7">
        <v>1</v>
      </c>
      <c r="E33707" t="s">
        <v>7</v>
      </c>
    </row>
    <row r="33708" spans="1:5" x14ac:dyDescent="0.25">
      <c r="A33708" t="str">
        <f>HYPERLINK("https://www.773grp.com/globalSearch/NCP1010AP100/page-1", "NCP1010AP100")</f>
        <v>NCP1010AP100</v>
      </c>
      <c r="B33708" s="3" t="s">
        <v>95</v>
      </c>
      <c r="C33708" s="6">
        <v>2965</v>
      </c>
      <c r="D33708" s="7">
        <v>1</v>
      </c>
      <c r="E33708" t="s">
        <v>7</v>
      </c>
    </row>
    <row r="33709" spans="1:5" x14ac:dyDescent="0.25">
      <c r="A33709" t="str">
        <f>HYPERLINK("https://www.773grp.com/globalSearch/NCP1010AP130/page-1", "NCP1010AP130")</f>
        <v>NCP1010AP130</v>
      </c>
      <c r="B33709" s="3" t="s">
        <v>95</v>
      </c>
      <c r="C33709" s="6">
        <v>100</v>
      </c>
      <c r="D33709" s="7">
        <v>1</v>
      </c>
      <c r="E33709" t="s">
        <v>7</v>
      </c>
    </row>
    <row r="33710" spans="1:5" x14ac:dyDescent="0.25">
      <c r="A33710" t="str">
        <f>HYPERLINK("https://www.773grp.com/globalSearch/NCP2823AFCT2G/page-1", "NCP2823AFCT2G")</f>
        <v>NCP2823AFCT2G</v>
      </c>
      <c r="B33710" s="3" t="s">
        <v>95</v>
      </c>
      <c r="C33710" s="6">
        <v>43890</v>
      </c>
      <c r="D33710" s="7">
        <v>1</v>
      </c>
      <c r="E33710" t="s">
        <v>18</v>
      </c>
    </row>
    <row r="33711" spans="1:5" x14ac:dyDescent="0.25">
      <c r="A33711" t="str">
        <f>HYPERLINK("https://www.773grp.com/globalSearch/NCP2823BFCT2G/page-1", "NCP2823BFCT2G")</f>
        <v>NCP2823BFCT2G</v>
      </c>
      <c r="B33711" s="3" t="s">
        <v>95</v>
      </c>
      <c r="C33711" s="6">
        <v>5500</v>
      </c>
      <c r="D33711" s="7">
        <v>1</v>
      </c>
    </row>
    <row r="33712" spans="1:5" x14ac:dyDescent="0.25">
      <c r="A33712" t="str">
        <f>HYPERLINK("https://www.773grp.com/globalSearch/NCP301HSN18TIG/page-1", "NCP301HSN18TIG")</f>
        <v>NCP301HSN18TIG</v>
      </c>
      <c r="B33712" s="3" t="s">
        <v>95</v>
      </c>
      <c r="C33712" s="6">
        <v>3000</v>
      </c>
      <c r="D33712" s="7">
        <v>1</v>
      </c>
    </row>
    <row r="33713" spans="1:5" x14ac:dyDescent="0.25">
      <c r="A33713" t="str">
        <f>HYPERLINK("https://www.773grp.com/globalSearch/NCP330MUTBG/page-1", "NCP330MUTBG")</f>
        <v>NCP330MUTBG</v>
      </c>
      <c r="B33713" s="3" t="s">
        <v>95</v>
      </c>
      <c r="C33713" s="6">
        <v>96000</v>
      </c>
      <c r="D33713" s="7">
        <v>1</v>
      </c>
    </row>
    <row r="33714" spans="1:5" x14ac:dyDescent="0.25">
      <c r="A33714" t="str">
        <f>HYPERLINK("https://www.773grp.com/globalSearch/NCP4586DSN30T1G/page-1", "NCP4586DSN30T1G")</f>
        <v>NCP4586DSN30T1G</v>
      </c>
      <c r="B33714" s="3" t="s">
        <v>95</v>
      </c>
      <c r="C33714" s="6">
        <v>3000</v>
      </c>
      <c r="D33714" s="7">
        <v>1</v>
      </c>
    </row>
    <row r="33715" spans="1:5" x14ac:dyDescent="0.25">
      <c r="A33715" t="str">
        <f>HYPERLINK("https://www.773grp.com/globalSearch/NCP582DSQ15T1G/page-1", "NCP582DSQ15T1G")</f>
        <v>NCP582DSQ15T1G</v>
      </c>
      <c r="B33715" s="3" t="s">
        <v>95</v>
      </c>
      <c r="C33715" s="6">
        <v>9894</v>
      </c>
      <c r="D33715" s="7">
        <v>1</v>
      </c>
      <c r="E33715" t="s">
        <v>19</v>
      </c>
    </row>
    <row r="33716" spans="1:5" x14ac:dyDescent="0.25">
      <c r="A33716" t="str">
        <f>HYPERLINK("https://www.773grp.com/globalSearch/NCP582DSQ18T1G/page-1", "NCP582DSQ18T1G")</f>
        <v>NCP582DSQ18T1G</v>
      </c>
      <c r="B33716" s="3" t="s">
        <v>95</v>
      </c>
      <c r="C33716" s="6">
        <v>2300</v>
      </c>
      <c r="D33716" s="7">
        <v>1</v>
      </c>
      <c r="E33716" t="s">
        <v>19</v>
      </c>
    </row>
    <row r="33717" spans="1:5" x14ac:dyDescent="0.25">
      <c r="A33717" t="str">
        <f>HYPERLINK("https://www.773grp.com/globalSearch/NCP582DSQ25T1G/page-1", "NCP582DSQ25T1G")</f>
        <v>NCP582DSQ25T1G</v>
      </c>
      <c r="B33717" s="3" t="s">
        <v>95</v>
      </c>
      <c r="C33717" s="6">
        <v>2460</v>
      </c>
      <c r="D33717" s="7">
        <v>1</v>
      </c>
      <c r="E33717" t="s">
        <v>19</v>
      </c>
    </row>
    <row r="33718" spans="1:5" x14ac:dyDescent="0.25">
      <c r="A33718" t="str">
        <f>HYPERLINK("https://www.773grp.com/globalSearch/NCP582DSQ28T1G/page-1", "NCP582DSQ28T1G")</f>
        <v>NCP582DSQ28T1G</v>
      </c>
      <c r="B33718" s="3" t="s">
        <v>95</v>
      </c>
      <c r="C33718" s="6">
        <v>11940</v>
      </c>
      <c r="D33718" s="7">
        <v>1</v>
      </c>
      <c r="E33718" t="s">
        <v>19</v>
      </c>
    </row>
    <row r="33719" spans="1:5" x14ac:dyDescent="0.25">
      <c r="A33719" t="str">
        <f>HYPERLINK("https://www.773grp.com/globalSearch/NCP582DSQ30T1G/page-1", "NCP582DSQ30T1G")</f>
        <v>NCP582DSQ30T1G</v>
      </c>
      <c r="B33719" s="3" t="s">
        <v>95</v>
      </c>
      <c r="C33719" s="6">
        <v>2430</v>
      </c>
      <c r="D33719" s="7">
        <v>1</v>
      </c>
      <c r="E33719" t="s">
        <v>19</v>
      </c>
    </row>
    <row r="33720" spans="1:5" x14ac:dyDescent="0.25">
      <c r="A33720" t="str">
        <f>HYPERLINK("https://www.773grp.com/globalSearch/NCP582LSQ15T1G/page-1", "NCP582LSQ15T1G")</f>
        <v>NCP582LSQ15T1G</v>
      </c>
      <c r="B33720" s="3" t="s">
        <v>95</v>
      </c>
      <c r="C33720" s="6">
        <v>17500</v>
      </c>
      <c r="D33720" s="7">
        <v>1</v>
      </c>
      <c r="E33720" t="s">
        <v>19</v>
      </c>
    </row>
    <row r="33721" spans="1:5" x14ac:dyDescent="0.25">
      <c r="A33721" t="str">
        <f>HYPERLINK("https://www.773grp.com/globalSearch/NCP582LSQ18T1G/page-1", "NCP582LSQ18T1G")</f>
        <v>NCP582LSQ18T1G</v>
      </c>
      <c r="B33721" s="3" t="s">
        <v>95</v>
      </c>
      <c r="C33721" s="6">
        <v>18050</v>
      </c>
      <c r="D33721" s="7">
        <v>1</v>
      </c>
      <c r="E33721" t="s">
        <v>19</v>
      </c>
    </row>
    <row r="33722" spans="1:5" x14ac:dyDescent="0.25">
      <c r="A33722" t="str">
        <f>HYPERLINK("https://www.773grp.com/globalSearch/NCP582LSQ25T1G/page-1", "NCP582LSQ25T1G")</f>
        <v>NCP582LSQ25T1G</v>
      </c>
      <c r="B33722" s="3" t="s">
        <v>95</v>
      </c>
      <c r="C33722" s="6">
        <v>27309</v>
      </c>
      <c r="D33722" s="7">
        <v>1</v>
      </c>
      <c r="E33722" t="s">
        <v>19</v>
      </c>
    </row>
    <row r="33723" spans="1:5" x14ac:dyDescent="0.25">
      <c r="A33723" t="str">
        <f>HYPERLINK("https://www.773grp.com/globalSearch/NCP582LSQ33T1G/page-1", "NCP582LSQ33T1G")</f>
        <v>NCP582LSQ33T1G</v>
      </c>
      <c r="B33723" s="3" t="s">
        <v>95</v>
      </c>
      <c r="C33723" s="6">
        <v>9000</v>
      </c>
      <c r="D33723" s="7">
        <v>1</v>
      </c>
    </row>
    <row r="33724" spans="1:5" x14ac:dyDescent="0.25">
      <c r="A33724" t="str">
        <f>HYPERLINK("https://www.773grp.com/globalSearch/NCP603SN150T1G/page-1", "NCP603SN150T1G")</f>
        <v>NCP603SN150T1G</v>
      </c>
      <c r="B33724" s="3" t="s">
        <v>95</v>
      </c>
      <c r="C33724" s="6">
        <v>23938</v>
      </c>
      <c r="D33724" s="7">
        <v>1</v>
      </c>
    </row>
    <row r="33725" spans="1:5" x14ac:dyDescent="0.25">
      <c r="A33725" t="str">
        <f>HYPERLINK("https://www.773grp.com/globalSearch/NCP603SN180T1G/page-1", "NCP603SN180T1G")</f>
        <v>NCP603SN180T1G</v>
      </c>
      <c r="B33725" s="3" t="s">
        <v>95</v>
      </c>
      <c r="C33725" s="6">
        <v>126568</v>
      </c>
      <c r="D33725" s="7">
        <v>1</v>
      </c>
      <c r="E33725" t="s">
        <v>19</v>
      </c>
    </row>
    <row r="33726" spans="1:5" x14ac:dyDescent="0.25">
      <c r="A33726" t="str">
        <f>HYPERLINK("https://www.773grp.com/globalSearch/NCP603SN250T1G/page-1", "NCP603SN250T1G")</f>
        <v>NCP603SN250T1G</v>
      </c>
      <c r="B33726" s="3" t="s">
        <v>95</v>
      </c>
      <c r="C33726" s="6">
        <v>18000</v>
      </c>
      <c r="D33726" s="7">
        <v>1</v>
      </c>
    </row>
    <row r="33727" spans="1:5" x14ac:dyDescent="0.25">
      <c r="A33727" t="str">
        <f>HYPERLINK("https://www.773grp.com/globalSearch/NCP603SN280T1G/page-1", "NCP603SN280T1G")</f>
        <v>NCP603SN280T1G</v>
      </c>
      <c r="B33727" s="3" t="s">
        <v>95</v>
      </c>
      <c r="C33727" s="6">
        <v>11265</v>
      </c>
      <c r="D33727" s="7">
        <v>1</v>
      </c>
      <c r="E33727" t="s">
        <v>19</v>
      </c>
    </row>
    <row r="33728" spans="1:5" x14ac:dyDescent="0.25">
      <c r="A33728" t="str">
        <f>HYPERLINK("https://www.773grp.com/globalSearch/NCP603SN300T1G/page-1", "NCP603SN300T1G")</f>
        <v>NCP603SN300T1G</v>
      </c>
      <c r="B33728" s="3" t="s">
        <v>95</v>
      </c>
      <c r="C33728" s="6">
        <v>3000</v>
      </c>
      <c r="D33728" s="7">
        <v>1</v>
      </c>
      <c r="E33728" t="s">
        <v>19</v>
      </c>
    </row>
    <row r="33729" spans="1:5" x14ac:dyDescent="0.25">
      <c r="A33729" t="str">
        <f>HYPERLINK("https://www.773grp.com/globalSearch/NCP603SN350T1G/page-1", "NCP603SN350T1G")</f>
        <v>NCP603SN350T1G</v>
      </c>
      <c r="B33729" s="3" t="s">
        <v>95</v>
      </c>
      <c r="C33729" s="6">
        <v>8303</v>
      </c>
      <c r="D33729" s="7">
        <v>1</v>
      </c>
    </row>
    <row r="33730" spans="1:5" x14ac:dyDescent="0.25">
      <c r="A33730" t="str">
        <f>HYPERLINK("https://www.773grp.com/globalSearch/NCP603SN500T1G/page-1", "NCP603SN500T1G")</f>
        <v>NCP603SN500T1G</v>
      </c>
      <c r="B33730" s="3" t="s">
        <v>95</v>
      </c>
      <c r="C33730" s="6">
        <v>1680</v>
      </c>
      <c r="D33730" s="7">
        <v>1</v>
      </c>
    </row>
    <row r="33731" spans="1:5" x14ac:dyDescent="0.25">
      <c r="A33731" t="str">
        <f>HYPERLINK("https://www.773grp.com/globalSearch/NCP603SNADJT1G/page-1", "NCP603SNADJT1G")</f>
        <v>NCP603SNADJT1G</v>
      </c>
      <c r="B33731" s="3" t="s">
        <v>95</v>
      </c>
      <c r="C33731" s="6">
        <v>108850</v>
      </c>
      <c r="D33731" s="7">
        <v>1</v>
      </c>
      <c r="E33731" t="s">
        <v>25</v>
      </c>
    </row>
    <row r="33732" spans="1:5" x14ac:dyDescent="0.25">
      <c r="A33732" t="str">
        <f>HYPERLINK("https://www.773grp.com/globalSearch/NCP629FC15T2G/page-1", "NCP629FC15T2G")</f>
        <v>NCP629FC15T2G</v>
      </c>
      <c r="B33732" s="3" t="s">
        <v>95</v>
      </c>
      <c r="C33732" s="6">
        <v>12000</v>
      </c>
      <c r="D33732" s="7">
        <v>1</v>
      </c>
      <c r="E33732" t="s">
        <v>19</v>
      </c>
    </row>
    <row r="33733" spans="1:5" x14ac:dyDescent="0.25">
      <c r="A33733" t="str">
        <f>HYPERLINK("https://www.773grp.com/globalSearch/NCP7805CTG/page-1", "NCP7805CTG")</f>
        <v>NCP7805CTG</v>
      </c>
      <c r="B33733" s="3" t="s">
        <v>95</v>
      </c>
      <c r="C33733" s="6">
        <v>55050</v>
      </c>
      <c r="D33733" s="7">
        <v>1</v>
      </c>
    </row>
    <row r="33734" spans="1:5" x14ac:dyDescent="0.25">
      <c r="A33734" t="str">
        <f>HYPERLINK("https://www.773grp.com/globalSearch/NCP7809CTG/page-1", "NCP7809CTG")</f>
        <v>NCP7809CTG</v>
      </c>
      <c r="B33734" s="3" t="s">
        <v>95</v>
      </c>
      <c r="C33734" s="6">
        <v>145850</v>
      </c>
      <c r="D33734" s="7">
        <v>1</v>
      </c>
    </row>
    <row r="33735" spans="1:5" x14ac:dyDescent="0.25">
      <c r="A33735" t="str">
        <f>HYPERLINK("https://www.773grp.com/globalSearch/NCP7812BTG/page-1", "NCP7812BTG")</f>
        <v>NCP7812BTG</v>
      </c>
      <c r="B33735" s="3" t="s">
        <v>95</v>
      </c>
      <c r="C33735" s="6">
        <v>52300</v>
      </c>
      <c r="D33735" s="7">
        <v>1</v>
      </c>
    </row>
    <row r="33736" spans="1:5" x14ac:dyDescent="0.25">
      <c r="A33736" t="str">
        <f>HYPERLINK("https://www.773grp.com/globalSearch/NCP7812CTG/page-1", "NCP7812CTG")</f>
        <v>NCP7812CTG</v>
      </c>
      <c r="B33736" s="3" t="s">
        <v>95</v>
      </c>
      <c r="C33736" s="6">
        <v>2425</v>
      </c>
      <c r="D33736" s="7">
        <v>1</v>
      </c>
    </row>
    <row r="33737" spans="1:5" x14ac:dyDescent="0.25">
      <c r="A33737" t="str">
        <f>HYPERLINK("https://www.773grp.com/globalSearch/NCP7905CTG/page-1", "NCP7905CTG")</f>
        <v>NCP7905CTG</v>
      </c>
      <c r="B33737" s="3" t="s">
        <v>95</v>
      </c>
      <c r="C33737" s="6">
        <v>367650</v>
      </c>
      <c r="D33737" s="7">
        <v>1</v>
      </c>
    </row>
    <row r="33738" spans="1:5" x14ac:dyDescent="0.25">
      <c r="A33738" t="str">
        <f>HYPERLINK("https://www.773grp.com/globalSearch/NCP7906CTG/page-1", "NCP7906CTG")</f>
        <v>NCP7906CTG</v>
      </c>
      <c r="B33738" s="3" t="s">
        <v>95</v>
      </c>
      <c r="C33738" s="6">
        <v>20350</v>
      </c>
      <c r="D33738" s="7">
        <v>1</v>
      </c>
    </row>
    <row r="33739" spans="1:5" x14ac:dyDescent="0.25">
      <c r="A33739" t="str">
        <f>HYPERLINK("https://www.773grp.com/globalSearch/NCP7912CTG/page-1", "NCP7912CTG")</f>
        <v>NCP7912CTG</v>
      </c>
      <c r="B33739" s="3" t="s">
        <v>95</v>
      </c>
      <c r="C33739" s="6">
        <v>2097000</v>
      </c>
      <c r="D33739" s="7">
        <v>1</v>
      </c>
    </row>
    <row r="33740" spans="1:5" x14ac:dyDescent="0.25">
      <c r="A33740" t="str">
        <f>HYPERLINK("https://www.773grp.com/globalSearch/NCT75DMR2G/page-1", "NCT75DMR2G")</f>
        <v>NCT75DMR2G</v>
      </c>
      <c r="B33740" s="3" t="s">
        <v>95</v>
      </c>
      <c r="C33740" s="6">
        <v>4839</v>
      </c>
      <c r="D33740" s="7">
        <v>1</v>
      </c>
    </row>
    <row r="33741" spans="1:5" x14ac:dyDescent="0.25">
      <c r="A33741" t="str">
        <f>HYPERLINK("https://www.773grp.com/globalSearch/NCV4269D1/page-1", "NCV4269D1")</f>
        <v>NCV4269D1</v>
      </c>
      <c r="B33741" s="3" t="s">
        <v>95</v>
      </c>
      <c r="C33741" s="6">
        <v>196</v>
      </c>
      <c r="D33741" s="7">
        <v>1</v>
      </c>
      <c r="E33741" t="s">
        <v>19</v>
      </c>
    </row>
    <row r="33742" spans="1:5" x14ac:dyDescent="0.25">
      <c r="A33742" t="str">
        <f>HYPERLINK("https://www.773grp.com/globalSearch/NCV78L05ABPG/page-1", "NCV78L05ABPG")</f>
        <v>NCV78L05ABPG</v>
      </c>
      <c r="B33742" s="3" t="s">
        <v>95</v>
      </c>
      <c r="C33742" s="6">
        <v>6000</v>
      </c>
      <c r="D33742" s="7">
        <v>1</v>
      </c>
    </row>
    <row r="33743" spans="1:5" x14ac:dyDescent="0.25">
      <c r="A33743" t="str">
        <f>HYPERLINK("https://www.773grp.com/globalSearch/NCV78L05ABPRMG/page-1", "NCV78L05ABPRMG")</f>
        <v>NCV78L05ABPRMG</v>
      </c>
      <c r="B33743" s="3" t="s">
        <v>95</v>
      </c>
      <c r="C33743" s="6">
        <v>32000</v>
      </c>
      <c r="D33743" s="7">
        <v>1</v>
      </c>
      <c r="E33743" t="s">
        <v>28</v>
      </c>
    </row>
    <row r="33744" spans="1:5" x14ac:dyDescent="0.25">
      <c r="A33744" t="str">
        <f>HYPERLINK("https://www.773grp.com/globalSearch/NE5532D8R2/page-1", "NE5532D8R2")</f>
        <v>NE5532D8R2</v>
      </c>
      <c r="B33744" s="3" t="s">
        <v>95</v>
      </c>
      <c r="C33744" s="6">
        <v>32500</v>
      </c>
      <c r="D33744" s="7">
        <v>1</v>
      </c>
      <c r="E33744" t="s">
        <v>13</v>
      </c>
    </row>
    <row r="33745" spans="1:5" x14ac:dyDescent="0.25">
      <c r="A33745" t="str">
        <f>HYPERLINK("https://www.773grp.com/globalSearch/NJVMJD340T4G/page-1", "NJVMJD340T4G")</f>
        <v>NJVMJD340T4G</v>
      </c>
      <c r="B33745" s="3" t="s">
        <v>95</v>
      </c>
      <c r="C33745" s="6">
        <v>50000</v>
      </c>
      <c r="D33745" s="7">
        <v>1</v>
      </c>
    </row>
    <row r="33746" spans="1:5" x14ac:dyDescent="0.25">
      <c r="A33746" t="str">
        <f>HYPERLINK("https://www.773grp.com/globalSearch/NLAS4051DR2G/page-1", "NLAS4051DR2G")</f>
        <v>NLAS4051DR2G</v>
      </c>
      <c r="B33746" s="3" t="s">
        <v>95</v>
      </c>
      <c r="C33746" s="6">
        <v>21811</v>
      </c>
      <c r="D33746" s="7">
        <v>1</v>
      </c>
      <c r="E33746" t="s">
        <v>56</v>
      </c>
    </row>
    <row r="33747" spans="1:5" x14ac:dyDescent="0.25">
      <c r="A33747" t="str">
        <f>HYPERLINK("https://www.773grp.com/globalSearch/NLAS4051DTR2G/page-1", "NLAS4051DTR2G")</f>
        <v>NLAS4051DTR2G</v>
      </c>
      <c r="B33747" s="3" t="s">
        <v>95</v>
      </c>
      <c r="C33747" s="6">
        <v>5585</v>
      </c>
      <c r="D33747" s="7">
        <v>1</v>
      </c>
      <c r="E33747" t="s">
        <v>56</v>
      </c>
    </row>
    <row r="33748" spans="1:5" x14ac:dyDescent="0.25">
      <c r="A33748" t="str">
        <f>HYPERLINK("https://www.773grp.com/globalSearch/NLAS4053DR2G/page-1", "NLAS4053DR2G")</f>
        <v>NLAS4053DR2G</v>
      </c>
      <c r="B33748" s="3" t="s">
        <v>95</v>
      </c>
      <c r="C33748" s="6">
        <v>20299</v>
      </c>
      <c r="D33748" s="7">
        <v>1</v>
      </c>
      <c r="E33748" t="s">
        <v>56</v>
      </c>
    </row>
    <row r="33749" spans="1:5" x14ac:dyDescent="0.25">
      <c r="A33749" t="str">
        <f>HYPERLINK("https://www.773grp.com/globalSearch/NLAS4053DTG/page-1", "NLAS4053DTG")</f>
        <v>NLAS4053DTG</v>
      </c>
      <c r="B33749" s="3" t="s">
        <v>95</v>
      </c>
      <c r="C33749" s="6">
        <v>1677</v>
      </c>
      <c r="D33749" s="7">
        <v>1</v>
      </c>
      <c r="E33749" t="s">
        <v>56</v>
      </c>
    </row>
    <row r="33750" spans="1:5" x14ac:dyDescent="0.25">
      <c r="A33750" t="str">
        <f>HYPERLINK("https://www.773grp.com/globalSearch/NLAS4066DTG/page-1", "NLAS4066DTG")</f>
        <v>NLAS4066DTG</v>
      </c>
      <c r="B33750" s="3" t="s">
        <v>95</v>
      </c>
      <c r="C33750" s="6">
        <v>26016</v>
      </c>
      <c r="D33750" s="7">
        <v>1</v>
      </c>
    </row>
    <row r="33751" spans="1:5" x14ac:dyDescent="0.25">
      <c r="A33751" t="str">
        <f>HYPERLINK("https://www.773grp.com/globalSearch/NLAS4066DTR2G/page-1", "NLAS4066DTR2G")</f>
        <v>NLAS4066DTR2G</v>
      </c>
      <c r="B33751" s="3" t="s">
        <v>95</v>
      </c>
      <c r="C33751" s="6">
        <v>22500</v>
      </c>
      <c r="D33751" s="7">
        <v>1</v>
      </c>
    </row>
    <row r="33752" spans="1:5" x14ac:dyDescent="0.25">
      <c r="A33752" t="str">
        <f>HYPERLINK("https://www.773grp.com/globalSearch/NLAST4066DTG/page-1", "NLAST4066DTG")</f>
        <v>NLAST4066DTG</v>
      </c>
      <c r="B33752" s="3" t="s">
        <v>95</v>
      </c>
      <c r="C33752" s="6">
        <v>49728</v>
      </c>
      <c r="D33752" s="7">
        <v>1</v>
      </c>
    </row>
    <row r="33753" spans="1:5" x14ac:dyDescent="0.25">
      <c r="A33753" t="str">
        <f>HYPERLINK("https://www.773grp.com/globalSearch/NLAST4066DTR2G/page-1", "NLAST4066DTR2G")</f>
        <v>NLAST4066DTR2G</v>
      </c>
      <c r="B33753" s="3" t="s">
        <v>95</v>
      </c>
      <c r="C33753" s="6">
        <v>17500</v>
      </c>
      <c r="D33753" s="7">
        <v>1</v>
      </c>
    </row>
    <row r="33754" spans="1:5" x14ac:dyDescent="0.25">
      <c r="A33754" t="str">
        <f>HYPERLINK("https://www.773grp.com/globalSearch/NLSF595MNR2/page-1", "NLSF595MNR2")</f>
        <v>NLSF595MNR2</v>
      </c>
      <c r="B33754" s="3" t="s">
        <v>95</v>
      </c>
      <c r="C33754" s="6">
        <v>2935</v>
      </c>
      <c r="D33754" s="7">
        <v>1</v>
      </c>
      <c r="E33754" t="s">
        <v>10</v>
      </c>
    </row>
    <row r="33755" spans="1:5" x14ac:dyDescent="0.25">
      <c r="A33755" t="str">
        <f>HYPERLINK("https://www.773grp.com/globalSearch/NLV14051BDR2/page-1", "NLV14051BDR2")</f>
        <v>NLV14051BDR2</v>
      </c>
      <c r="B33755" s="3" t="s">
        <v>95</v>
      </c>
      <c r="C33755" s="6">
        <v>33844</v>
      </c>
      <c r="D33755" s="7">
        <v>1</v>
      </c>
    </row>
    <row r="33756" spans="1:5" x14ac:dyDescent="0.25">
      <c r="A33756" t="str">
        <f>HYPERLINK("https://www.773grp.com/globalSearch/NLV74HC164ADR2G/page-1", "NLV74HC164ADR2G")</f>
        <v>NLV74HC164ADR2G</v>
      </c>
      <c r="B33756" s="3" t="s">
        <v>95</v>
      </c>
      <c r="C33756" s="6">
        <v>941</v>
      </c>
      <c r="D33756" s="7">
        <v>1</v>
      </c>
    </row>
    <row r="33757" spans="1:5" x14ac:dyDescent="0.25">
      <c r="A33757" t="str">
        <f>HYPERLINK("https://www.773grp.com/globalSearch/NSS40300DDR2G/page-1", "NSS40300DDR2G")</f>
        <v>NSS40300DDR2G</v>
      </c>
      <c r="B33757" s="3" t="s">
        <v>95</v>
      </c>
      <c r="C33757" s="6">
        <v>39615</v>
      </c>
      <c r="D33757" s="7">
        <v>1</v>
      </c>
      <c r="E33757" t="s">
        <v>69</v>
      </c>
    </row>
    <row r="33758" spans="1:5" x14ac:dyDescent="0.25">
      <c r="A33758" t="str">
        <f>HYPERLINK("https://www.773grp.com/globalSearch/NSS40300MDR2G/page-1", "NSS40300MDR2G")</f>
        <v>NSS40300MDR2G</v>
      </c>
      <c r="B33758" s="3" t="s">
        <v>95</v>
      </c>
      <c r="C33758" s="6">
        <v>80000</v>
      </c>
      <c r="D33758" s="7">
        <v>1</v>
      </c>
      <c r="E33758" t="s">
        <v>69</v>
      </c>
    </row>
    <row r="33759" spans="1:5" x14ac:dyDescent="0.25">
      <c r="A33759" t="str">
        <f>HYPERLINK("https://www.773grp.com/globalSearch/NSS40301MDR2G/page-1", "NSS40301MDR2G")</f>
        <v>NSS40301MDR2G</v>
      </c>
      <c r="B33759" s="3" t="s">
        <v>95</v>
      </c>
      <c r="C33759" s="6">
        <v>12657</v>
      </c>
      <c r="D33759" s="7">
        <v>1</v>
      </c>
    </row>
    <row r="33760" spans="1:5" x14ac:dyDescent="0.25">
      <c r="A33760" t="str">
        <f>HYPERLINK("https://www.773grp.com/globalSearch/NSS40302PDR2G/page-1", "NSS40302PDR2G")</f>
        <v>NSS40302PDR2G</v>
      </c>
      <c r="B33760" s="3" t="s">
        <v>95</v>
      </c>
      <c r="C33760" s="6">
        <v>17272</v>
      </c>
      <c r="D33760" s="7">
        <v>1</v>
      </c>
    </row>
    <row r="33761" spans="1:5" x14ac:dyDescent="0.25">
      <c r="A33761" t="str">
        <f>HYPERLINK("https://www.773grp.com/globalSearch/NTB18N06L/page-1", "NTB18N06L")</f>
        <v>NTB18N06L</v>
      </c>
      <c r="B33761" s="3" t="s">
        <v>95</v>
      </c>
      <c r="C33761" s="6">
        <v>2595</v>
      </c>
      <c r="D33761" s="7">
        <v>1</v>
      </c>
      <c r="E33761" t="s">
        <v>105</v>
      </c>
    </row>
    <row r="33762" spans="1:5" x14ac:dyDescent="0.25">
      <c r="A33762" t="str">
        <f>HYPERLINK("https://www.773grp.com/globalSearch/NTB18N06LT4/page-1", "NTB18N06LT4")</f>
        <v>NTB18N06LT4</v>
      </c>
      <c r="B33762" s="3" t="s">
        <v>95</v>
      </c>
      <c r="C33762" s="6">
        <v>920</v>
      </c>
      <c r="D33762" s="7">
        <v>1</v>
      </c>
      <c r="E33762" t="s">
        <v>105</v>
      </c>
    </row>
    <row r="33763" spans="1:5" x14ac:dyDescent="0.25">
      <c r="A33763" t="str">
        <f>HYPERLINK("https://www.773grp.com/globalSearch/NTD2955-1G/page-1", "NTD2955-1G")</f>
        <v>NTD2955-1G</v>
      </c>
      <c r="B33763" s="3" t="s">
        <v>95</v>
      </c>
      <c r="C33763" s="6">
        <v>26590</v>
      </c>
      <c r="D33763" s="7">
        <v>1</v>
      </c>
      <c r="E33763" t="s">
        <v>105</v>
      </c>
    </row>
    <row r="33764" spans="1:5" x14ac:dyDescent="0.25">
      <c r="A33764" t="str">
        <f>HYPERLINK("https://www.773grp.com/globalSearch/NTD2955G/page-1", "NTD2955G")</f>
        <v>NTD2955G</v>
      </c>
      <c r="B33764" s="3" t="s">
        <v>95</v>
      </c>
      <c r="C33764" s="6">
        <v>316</v>
      </c>
      <c r="D33764" s="7">
        <v>1</v>
      </c>
      <c r="E33764" t="s">
        <v>105</v>
      </c>
    </row>
    <row r="33765" spans="1:5" x14ac:dyDescent="0.25">
      <c r="A33765" t="str">
        <f>HYPERLINK("https://www.773grp.com/globalSearch/NTD3055-094-1G/page-1", "NTD3055-094-1G")</f>
        <v>NTD3055-094-1G</v>
      </c>
      <c r="B33765" s="3" t="s">
        <v>95</v>
      </c>
      <c r="C33765" s="6">
        <v>35775</v>
      </c>
      <c r="D33765" s="7">
        <v>1</v>
      </c>
      <c r="E33765" t="s">
        <v>105</v>
      </c>
    </row>
    <row r="33766" spans="1:5" x14ac:dyDescent="0.25">
      <c r="A33766" t="str">
        <f>HYPERLINK("https://www.773grp.com/globalSearch/NTD3055L104-1G/page-1", "NTD3055L104-1G")</f>
        <v>NTD3055L104-1G</v>
      </c>
      <c r="B33766" s="3" t="s">
        <v>95</v>
      </c>
      <c r="C33766" s="6">
        <v>9225</v>
      </c>
      <c r="D33766" s="7">
        <v>1</v>
      </c>
      <c r="E33766" t="s">
        <v>105</v>
      </c>
    </row>
    <row r="33767" spans="1:5" x14ac:dyDescent="0.25">
      <c r="A33767" t="str">
        <f>HYPERLINK("https://www.773grp.com/globalSearch/NTD3055L104G/page-1", "NTD3055L104G")</f>
        <v>NTD3055L104G</v>
      </c>
      <c r="B33767" s="3" t="s">
        <v>95</v>
      </c>
      <c r="C33767" s="6">
        <v>59770</v>
      </c>
      <c r="D33767" s="7">
        <v>1</v>
      </c>
      <c r="E33767" t="s">
        <v>105</v>
      </c>
    </row>
    <row r="33768" spans="1:5" x14ac:dyDescent="0.25">
      <c r="A33768" t="str">
        <f>HYPERLINK("https://www.773grp.com/globalSearch/NTD32N06-1G/page-1", "NTD32N06-1G")</f>
        <v>NTD32N06-1G</v>
      </c>
      <c r="B33768" s="3" t="s">
        <v>95</v>
      </c>
      <c r="C33768" s="6">
        <v>3525</v>
      </c>
      <c r="D33768" s="7">
        <v>1</v>
      </c>
      <c r="E33768" t="s">
        <v>105</v>
      </c>
    </row>
    <row r="33769" spans="1:5" x14ac:dyDescent="0.25">
      <c r="A33769" t="str">
        <f>HYPERLINK("https://www.773grp.com/globalSearch/NTD32N06L-001/page-1", "NTD32N06L-001")</f>
        <v>NTD32N06L-001</v>
      </c>
      <c r="B33769" s="3" t="s">
        <v>95</v>
      </c>
      <c r="C33769" s="6">
        <v>7474</v>
      </c>
      <c r="D33769" s="7">
        <v>1</v>
      </c>
    </row>
    <row r="33770" spans="1:5" x14ac:dyDescent="0.25">
      <c r="A33770" t="str">
        <f>HYPERLINK("https://www.773grp.com/globalSearch/NTD32N06L-1G/page-1", "NTD32N06L-1G")</f>
        <v>NTD32N06L-1G</v>
      </c>
      <c r="B33770" s="3" t="s">
        <v>95</v>
      </c>
      <c r="C33770" s="6">
        <v>2750</v>
      </c>
      <c r="D33770" s="7">
        <v>1</v>
      </c>
      <c r="E33770" t="s">
        <v>105</v>
      </c>
    </row>
    <row r="33771" spans="1:5" x14ac:dyDescent="0.25">
      <c r="A33771" t="str">
        <f>HYPERLINK("https://www.773grp.com/globalSearch/NTD4806NT4G/page-1", "NTD4806NT4G")</f>
        <v>NTD4806NT4G</v>
      </c>
      <c r="B33771" s="3" t="s">
        <v>95</v>
      </c>
      <c r="C33771" s="6">
        <v>3897</v>
      </c>
      <c r="D33771" s="7">
        <v>1</v>
      </c>
      <c r="E33771" t="s">
        <v>105</v>
      </c>
    </row>
    <row r="33772" spans="1:5" x14ac:dyDescent="0.25">
      <c r="A33772" t="str">
        <f>HYPERLINK("https://www.773grp.com/globalSearch/NTD80N02-1G/page-1", "NTD80N02-1G")</f>
        <v>NTD80N02-1G</v>
      </c>
      <c r="B33772" s="3" t="s">
        <v>95</v>
      </c>
      <c r="C33772" s="6">
        <v>161480</v>
      </c>
      <c r="D33772" s="7">
        <v>1</v>
      </c>
      <c r="E33772" t="s">
        <v>105</v>
      </c>
    </row>
    <row r="33773" spans="1:5" x14ac:dyDescent="0.25">
      <c r="A33773" t="str">
        <f>HYPERLINK("https://www.773grp.com/globalSearch/NTHD4502NT1G/page-1", "NTHD4502NT1G")</f>
        <v>NTHD4502NT1G</v>
      </c>
      <c r="B33773" s="3" t="s">
        <v>95</v>
      </c>
      <c r="C33773" s="6">
        <v>5265</v>
      </c>
      <c r="D33773" s="7">
        <v>1</v>
      </c>
    </row>
    <row r="33774" spans="1:5" x14ac:dyDescent="0.25">
      <c r="A33774" t="str">
        <f>HYPERLINK("https://www.773grp.com/globalSearch/NTHD4508NT1G/page-1", "NTHD4508NT1G")</f>
        <v>NTHD4508NT1G</v>
      </c>
      <c r="B33774" s="3" t="s">
        <v>95</v>
      </c>
      <c r="C33774" s="6">
        <v>203055</v>
      </c>
      <c r="D33774" s="7">
        <v>1</v>
      </c>
      <c r="E33774" t="s">
        <v>105</v>
      </c>
    </row>
    <row r="33775" spans="1:5" x14ac:dyDescent="0.25">
      <c r="A33775" t="str">
        <f>HYPERLINK("https://www.773grp.com/globalSearch/NTLJF3118NTAG/page-1", "NTLJF3118NTAG")</f>
        <v>NTLJF3118NTAG</v>
      </c>
      <c r="B33775" s="3" t="s">
        <v>95</v>
      </c>
      <c r="C33775" s="6">
        <v>17996</v>
      </c>
      <c r="D33775" s="7">
        <v>1</v>
      </c>
      <c r="E33775" t="s">
        <v>105</v>
      </c>
    </row>
    <row r="33776" spans="1:5" x14ac:dyDescent="0.25">
      <c r="A33776" t="str">
        <f>HYPERLINK("https://www.773grp.com/globalSearch/NTMC1300R2/page-1", "NTMC1300R2")</f>
        <v>NTMC1300R2</v>
      </c>
      <c r="B33776" s="3" t="s">
        <v>95</v>
      </c>
      <c r="C33776" s="6">
        <v>20000</v>
      </c>
      <c r="D33776" s="7">
        <v>1</v>
      </c>
      <c r="E33776" t="s">
        <v>105</v>
      </c>
    </row>
    <row r="33777" spans="1:5" x14ac:dyDescent="0.25">
      <c r="A33777" t="str">
        <f>HYPERLINK("https://www.773grp.com/globalSearch/NTMD6N03R2G/page-1", "NTMD6N03R2G")</f>
        <v>NTMD6N03R2G</v>
      </c>
      <c r="B33777" s="3" t="s">
        <v>95</v>
      </c>
      <c r="C33777" s="6">
        <v>178722</v>
      </c>
      <c r="D33777" s="7">
        <v>1</v>
      </c>
      <c r="E33777" t="s">
        <v>105</v>
      </c>
    </row>
    <row r="33778" spans="1:5" x14ac:dyDescent="0.25">
      <c r="A33778" t="str">
        <f>HYPERLINK("https://www.773grp.com/globalSearch/NTMFS4709NT1G/page-1", "NTMFS4709NT1G")</f>
        <v>NTMFS4709NT1G</v>
      </c>
      <c r="B33778" s="3" t="s">
        <v>95</v>
      </c>
      <c r="C33778" s="6">
        <v>200</v>
      </c>
      <c r="D33778" s="7">
        <v>1</v>
      </c>
      <c r="E33778" t="s">
        <v>105</v>
      </c>
    </row>
    <row r="33779" spans="1:5" x14ac:dyDescent="0.25">
      <c r="A33779" t="str">
        <f>HYPERLINK("https://www.773grp.com/globalSearch/NTMFS4839NT1G/page-1", "NTMFS4839NT1G")</f>
        <v>NTMFS4839NT1G</v>
      </c>
      <c r="B33779" s="3" t="s">
        <v>95</v>
      </c>
      <c r="C33779" s="6">
        <v>268110</v>
      </c>
      <c r="D33779" s="7">
        <v>1</v>
      </c>
      <c r="E33779" t="s">
        <v>105</v>
      </c>
    </row>
    <row r="33780" spans="1:5" x14ac:dyDescent="0.25">
      <c r="A33780" t="str">
        <f>HYPERLINK("https://www.773grp.com/globalSearch/NTMFS4939NT1G/page-1", "NTMFS4939NT1G")</f>
        <v>NTMFS4939NT1G</v>
      </c>
      <c r="B33780" s="3" t="s">
        <v>95</v>
      </c>
      <c r="C33780" s="6">
        <v>35756</v>
      </c>
      <c r="D33780" s="7">
        <v>1</v>
      </c>
      <c r="E33780" t="s">
        <v>105</v>
      </c>
    </row>
    <row r="33781" spans="1:5" x14ac:dyDescent="0.25">
      <c r="A33781" t="str">
        <f>HYPERLINK("https://www.773grp.com/globalSearch/NTMS4177PR2G/page-1", "NTMS4177PR2G")</f>
        <v>NTMS4177PR2G</v>
      </c>
      <c r="B33781" s="3" t="s">
        <v>95</v>
      </c>
      <c r="C33781" s="6">
        <v>47997</v>
      </c>
      <c r="D33781" s="7">
        <v>1</v>
      </c>
      <c r="E33781" t="s">
        <v>106</v>
      </c>
    </row>
    <row r="33782" spans="1:5" x14ac:dyDescent="0.25">
      <c r="A33782" t="str">
        <f>HYPERLINK("https://www.773grp.com/globalSearch/NTMS4700NR2G/page-1", "NTMS4700NR2G")</f>
        <v>NTMS4700NR2G</v>
      </c>
      <c r="B33782" s="3" t="s">
        <v>95</v>
      </c>
      <c r="C33782" s="6">
        <v>5000</v>
      </c>
      <c r="D33782" s="7">
        <v>1</v>
      </c>
      <c r="E33782" t="s">
        <v>106</v>
      </c>
    </row>
    <row r="33783" spans="1:5" x14ac:dyDescent="0.25">
      <c r="A33783" t="str">
        <f>HYPERLINK("https://www.773grp.com/globalSearch/NTP4302/page-1", "NTP4302")</f>
        <v>NTP4302</v>
      </c>
      <c r="B33783" s="3" t="s">
        <v>95</v>
      </c>
      <c r="C33783" s="6">
        <v>7867</v>
      </c>
      <c r="D33783" s="7">
        <v>1</v>
      </c>
      <c r="E33783" t="s">
        <v>105</v>
      </c>
    </row>
    <row r="33784" spans="1:5" x14ac:dyDescent="0.25">
      <c r="A33784" t="str">
        <f>HYPERLINK("https://www.773grp.com/globalSearch/NTP4302G/page-1", "NTP4302G")</f>
        <v>NTP4302G</v>
      </c>
      <c r="B33784" s="3" t="s">
        <v>95</v>
      </c>
      <c r="C33784" s="6">
        <v>700</v>
      </c>
      <c r="D33784" s="7">
        <v>1</v>
      </c>
      <c r="E33784" t="s">
        <v>105</v>
      </c>
    </row>
    <row r="33785" spans="1:5" x14ac:dyDescent="0.25">
      <c r="A33785" t="str">
        <f>HYPERLINK("https://www.773grp.com/globalSearch/NTP85N03/page-1", "NTP85N03")</f>
        <v>NTP85N03</v>
      </c>
      <c r="B33785" s="3" t="s">
        <v>95</v>
      </c>
      <c r="C33785" s="6">
        <v>121354</v>
      </c>
      <c r="D33785" s="7">
        <v>1</v>
      </c>
      <c r="E33785" t="s">
        <v>105</v>
      </c>
    </row>
    <row r="33786" spans="1:5" x14ac:dyDescent="0.25">
      <c r="A33786" t="str">
        <f>HYPERLINK("https://www.773grp.com/globalSearch/NTP90N02/page-1", "NTP90N02")</f>
        <v>NTP90N02</v>
      </c>
      <c r="B33786" s="3" t="s">
        <v>95</v>
      </c>
      <c r="C33786" s="6">
        <v>2880</v>
      </c>
      <c r="D33786" s="7">
        <v>1</v>
      </c>
      <c r="E33786" t="s">
        <v>105</v>
      </c>
    </row>
    <row r="33787" spans="1:5" x14ac:dyDescent="0.25">
      <c r="A33787" t="str">
        <f>HYPERLINK("https://www.773grp.com/globalSearch/NTP90N02G/page-1", "NTP90N02G")</f>
        <v>NTP90N02G</v>
      </c>
      <c r="B33787" s="3" t="s">
        <v>95</v>
      </c>
      <c r="C33787" s="6">
        <v>4645</v>
      </c>
      <c r="D33787" s="7">
        <v>1</v>
      </c>
      <c r="E33787" t="s">
        <v>105</v>
      </c>
    </row>
    <row r="33788" spans="1:5" x14ac:dyDescent="0.25">
      <c r="A33788" t="str">
        <f>HYPERLINK("https://www.773grp.com/globalSearch/NZSMB30CAT3G/page-1", "NZSMB30CAT3G")</f>
        <v>NZSMB30CAT3G</v>
      </c>
      <c r="B33788" s="3" t="s">
        <v>95</v>
      </c>
      <c r="C33788" s="6">
        <v>45000</v>
      </c>
      <c r="D33788" s="7">
        <v>1</v>
      </c>
    </row>
    <row r="33789" spans="1:5" x14ac:dyDescent="0.25">
      <c r="A33789" t="str">
        <f>HYPERLINK("https://www.773grp.com/globalSearch/PACDN006MR/page-1", "PACDN006MR")</f>
        <v>PACDN006MR</v>
      </c>
      <c r="B33789" s="3" t="s">
        <v>95</v>
      </c>
      <c r="C33789" s="6">
        <v>2632</v>
      </c>
      <c r="D33789" s="7">
        <v>1</v>
      </c>
    </row>
    <row r="33790" spans="1:5" x14ac:dyDescent="0.25">
      <c r="A33790" t="str">
        <f>HYPERLINK("https://www.773grp.com/globalSearch/PZTA96ST1G/page-1", "PZTA96ST1G")</f>
        <v>PZTA96ST1G</v>
      </c>
      <c r="B33790" s="3" t="s">
        <v>95</v>
      </c>
      <c r="C33790" s="6">
        <v>50000</v>
      </c>
      <c r="D33790" s="7">
        <v>1</v>
      </c>
      <c r="E33790" t="s">
        <v>59</v>
      </c>
    </row>
    <row r="33791" spans="1:5" x14ac:dyDescent="0.25">
      <c r="A33791" t="str">
        <f>HYPERLINK("https://www.773grp.com/globalSearch/SA160AG/page-1", "SA160AG")</f>
        <v>SA160AG</v>
      </c>
      <c r="B33791" s="3" t="s">
        <v>95</v>
      </c>
      <c r="C33791" s="6">
        <v>5000</v>
      </c>
      <c r="D33791" s="7">
        <v>1</v>
      </c>
      <c r="E33791" t="s">
        <v>96</v>
      </c>
    </row>
    <row r="33792" spans="1:5" x14ac:dyDescent="0.25">
      <c r="A33792" t="str">
        <f>HYPERLINK("https://www.773grp.com/globalSearch/SA16AG/page-1", "SA16AG")</f>
        <v>SA16AG</v>
      </c>
      <c r="B33792" s="3" t="s">
        <v>95</v>
      </c>
      <c r="C33792" s="6">
        <v>956</v>
      </c>
      <c r="D33792" s="7">
        <v>1</v>
      </c>
      <c r="E33792" t="s">
        <v>96</v>
      </c>
    </row>
    <row r="33793" spans="1:5" x14ac:dyDescent="0.25">
      <c r="A33793" t="str">
        <f>HYPERLINK("https://www.773grp.com/globalSearch/SN74LS165N/page-1", "SN74LS165N")</f>
        <v>SN74LS165N</v>
      </c>
      <c r="B33793" s="3" t="s">
        <v>95</v>
      </c>
      <c r="C33793" s="6">
        <v>7123</v>
      </c>
      <c r="D33793" s="7">
        <v>1</v>
      </c>
      <c r="E33793" t="s">
        <v>32</v>
      </c>
    </row>
    <row r="33794" spans="1:5" x14ac:dyDescent="0.25">
      <c r="A33794" t="str">
        <f>HYPERLINK("https://www.773grp.com/globalSearch/SN74LS166N/page-1", "SN74LS166N")</f>
        <v>SN74LS166N</v>
      </c>
      <c r="B33794" s="3" t="s">
        <v>95</v>
      </c>
      <c r="C33794" s="6">
        <v>264</v>
      </c>
      <c r="D33794" s="7">
        <v>1</v>
      </c>
      <c r="E33794" t="s">
        <v>32</v>
      </c>
    </row>
    <row r="33795" spans="1:5" x14ac:dyDescent="0.25">
      <c r="A33795" t="str">
        <f>HYPERLINK("https://www.773grp.com/globalSearch/SN74LS241DWR2/page-1", "SN74LS241DWR2")</f>
        <v>SN74LS241DWR2</v>
      </c>
      <c r="B33795" s="3" t="s">
        <v>95</v>
      </c>
      <c r="C33795" s="6">
        <v>1706</v>
      </c>
      <c r="D33795" s="7">
        <v>1</v>
      </c>
      <c r="E33795" t="s">
        <v>14</v>
      </c>
    </row>
    <row r="33796" spans="1:5" x14ac:dyDescent="0.25">
      <c r="A33796" t="str">
        <f>HYPERLINK("https://www.773grp.com/globalSearch/SN74LS373DWR2/page-1", "SN74LS373DWR2")</f>
        <v>SN74LS373DWR2</v>
      </c>
      <c r="B33796" s="3" t="s">
        <v>95</v>
      </c>
      <c r="C33796" s="6">
        <v>3000</v>
      </c>
      <c r="D33796" s="7">
        <v>1</v>
      </c>
      <c r="E33796" t="s">
        <v>14</v>
      </c>
    </row>
    <row r="33797" spans="1:5" x14ac:dyDescent="0.25">
      <c r="A33797" t="str">
        <f>HYPERLINK("https://www.773grp.com/globalSearch/SN74LS393M/page-1", "SN74LS393M")</f>
        <v>SN74LS393M</v>
      </c>
      <c r="B33797" s="3" t="s">
        <v>95</v>
      </c>
      <c r="C33797" s="6">
        <v>1500</v>
      </c>
      <c r="D33797" s="7">
        <v>1</v>
      </c>
      <c r="E33797" t="s">
        <v>26</v>
      </c>
    </row>
    <row r="33798" spans="1:5" x14ac:dyDescent="0.25">
      <c r="A33798" t="str">
        <f>HYPERLINK("https://www.773grp.com/globalSearch/SN74LS393MEL/page-1", "SN74LS393MEL")</f>
        <v>SN74LS393MEL</v>
      </c>
      <c r="B33798" s="3" t="s">
        <v>95</v>
      </c>
      <c r="C33798" s="6">
        <v>6000</v>
      </c>
      <c r="D33798" s="7">
        <v>1</v>
      </c>
      <c r="E33798" t="s">
        <v>26</v>
      </c>
    </row>
    <row r="33799" spans="1:5" x14ac:dyDescent="0.25">
      <c r="A33799" t="str">
        <f>HYPERLINK("https://www.773grp.com/globalSearch/SN74LS541MR1/page-1", "SN74LS541MR1")</f>
        <v>SN74LS541MR1</v>
      </c>
      <c r="B33799" s="3" t="s">
        <v>95</v>
      </c>
      <c r="C33799" s="6">
        <v>2000</v>
      </c>
      <c r="D33799" s="7">
        <v>1</v>
      </c>
      <c r="E33799" t="s">
        <v>14</v>
      </c>
    </row>
    <row r="33800" spans="1:5" x14ac:dyDescent="0.25">
      <c r="A33800" t="str">
        <f>HYPERLINK("https://www.773grp.com/globalSearch/SN74LS90D/page-1", "SN74LS90D")</f>
        <v>SN74LS90D</v>
      </c>
      <c r="B33800" s="3" t="s">
        <v>95</v>
      </c>
      <c r="C33800" s="6">
        <v>10</v>
      </c>
      <c r="D33800" s="7">
        <v>1</v>
      </c>
      <c r="E33800" t="s">
        <v>26</v>
      </c>
    </row>
    <row r="33801" spans="1:5" x14ac:dyDescent="0.25">
      <c r="A33801" t="str">
        <f>HYPERLINK("https://www.773grp.com/globalSearch/SZ2842T3G/page-1", "SZ2842T3G")</f>
        <v>SZ2842T3G</v>
      </c>
      <c r="B33801" s="3" t="s">
        <v>95</v>
      </c>
      <c r="C33801" s="6">
        <v>5000</v>
      </c>
      <c r="D33801" s="7">
        <v>1</v>
      </c>
    </row>
    <row r="33802" spans="1:5" x14ac:dyDescent="0.25">
      <c r="A33802" t="str">
        <f>HYPERLINK("https://www.773grp.com/globalSearch/TL081CD/page-1", "TL081CD")</f>
        <v>TL081CD</v>
      </c>
      <c r="B33802" s="3" t="s">
        <v>95</v>
      </c>
      <c r="C33802" s="6">
        <v>1262</v>
      </c>
      <c r="D33802" s="7">
        <v>1</v>
      </c>
      <c r="E33802" t="s">
        <v>13</v>
      </c>
    </row>
    <row r="33803" spans="1:5" x14ac:dyDescent="0.25">
      <c r="A33803" t="str">
        <f>HYPERLINK("https://www.773grp.com/globalSearch/TL081CDR2/page-1", "TL081CDR2")</f>
        <v>TL081CDR2</v>
      </c>
      <c r="B33803" s="3" t="s">
        <v>95</v>
      </c>
      <c r="C33803" s="6">
        <v>2500</v>
      </c>
      <c r="D33803" s="7">
        <v>1</v>
      </c>
      <c r="E33803" t="s">
        <v>13</v>
      </c>
    </row>
    <row r="33804" spans="1:5" x14ac:dyDescent="0.25">
      <c r="A33804" t="str">
        <f>HYPERLINK("https://www.773grp.com/globalSearch/1.5KE220CA/page-1", "1.5KE220CA")</f>
        <v>1.5KE220CA</v>
      </c>
      <c r="B33804" s="3" t="s">
        <v>95</v>
      </c>
      <c r="C33804" s="6">
        <v>26790</v>
      </c>
      <c r="D33804" s="7">
        <v>1.06</v>
      </c>
      <c r="E33804" t="s">
        <v>96</v>
      </c>
    </row>
    <row r="33805" spans="1:5" x14ac:dyDescent="0.25">
      <c r="A33805" t="str">
        <f>HYPERLINK("https://www.773grp.com/globalSearch/2N4918G/page-1", "2N4918G")</f>
        <v>2N4918G</v>
      </c>
      <c r="B33805" s="3" t="s">
        <v>95</v>
      </c>
      <c r="C33805" s="6">
        <v>10476</v>
      </c>
      <c r="D33805" s="7">
        <v>1.06</v>
      </c>
      <c r="E33805" t="s">
        <v>59</v>
      </c>
    </row>
    <row r="33806" spans="1:5" x14ac:dyDescent="0.25">
      <c r="A33806" t="str">
        <f>HYPERLINK("https://www.773grp.com/globalSearch/2N4919G/page-1", "2N4919G")</f>
        <v>2N4919G</v>
      </c>
      <c r="B33806" s="3" t="s">
        <v>95</v>
      </c>
      <c r="C33806" s="6">
        <v>8688</v>
      </c>
      <c r="D33806" s="7">
        <v>1.06</v>
      </c>
      <c r="E33806" t="s">
        <v>59</v>
      </c>
    </row>
    <row r="33807" spans="1:5" x14ac:dyDescent="0.25">
      <c r="A33807" t="str">
        <f>HYPERLINK("https://www.773grp.com/globalSearch/2N4920/page-1", "2N4920")</f>
        <v>2N4920</v>
      </c>
      <c r="B33807" s="3" t="s">
        <v>95</v>
      </c>
      <c r="C33807" s="6">
        <v>1000</v>
      </c>
      <c r="D33807" s="7">
        <v>1.06</v>
      </c>
      <c r="E33807" t="s">
        <v>59</v>
      </c>
    </row>
    <row r="33808" spans="1:5" x14ac:dyDescent="0.25">
      <c r="A33808" t="str">
        <f>HYPERLINK("https://www.773grp.com/globalSearch/2SC5706-TL-H/page-1", "2SC5706-TL-H")</f>
        <v>2SC5706-TL-H</v>
      </c>
      <c r="B33808" s="3" t="s">
        <v>95</v>
      </c>
      <c r="C33808" s="6">
        <v>27300</v>
      </c>
      <c r="D33808" s="7">
        <v>1.06</v>
      </c>
    </row>
    <row r="33809" spans="1:5" x14ac:dyDescent="0.25">
      <c r="A33809" t="str">
        <f>HYPERLINK("https://www.773grp.com/globalSearch/2SD1802T-TL-E/page-1", "2SD1802T-TL-E")</f>
        <v>2SD1802T-TL-E</v>
      </c>
      <c r="B33809" s="3" t="s">
        <v>95</v>
      </c>
      <c r="C33809" s="6">
        <v>700</v>
      </c>
      <c r="D33809" s="7">
        <v>1.06</v>
      </c>
    </row>
    <row r="33810" spans="1:5" x14ac:dyDescent="0.25">
      <c r="A33810" t="str">
        <f>HYPERLINK("https://www.773grp.com/globalSearch/2SK536-MTK-TB-E/page-1", "2SK536-MTK-TB-E")</f>
        <v>2SK536-MTK-TB-E</v>
      </c>
      <c r="B33810" s="3" t="s">
        <v>95</v>
      </c>
      <c r="C33810" s="6">
        <v>6000</v>
      </c>
      <c r="D33810" s="7">
        <v>1.06</v>
      </c>
    </row>
    <row r="33811" spans="1:5" x14ac:dyDescent="0.25">
      <c r="A33811" t="str">
        <f>HYPERLINK("https://www.773grp.com/globalSearch/ADM1032ARMZ-1RL/page-1", "ADM1032ARMZ-1RL")</f>
        <v>ADM1032ARMZ-1RL</v>
      </c>
      <c r="B33811" s="3" t="s">
        <v>95</v>
      </c>
      <c r="C33811" s="6">
        <v>17500</v>
      </c>
      <c r="D33811" s="7">
        <v>1.06</v>
      </c>
      <c r="E33811" t="s">
        <v>40</v>
      </c>
    </row>
    <row r="33812" spans="1:5" x14ac:dyDescent="0.25">
      <c r="A33812" t="str">
        <f>HYPERLINK("https://www.773grp.com/globalSearch/ADM1032ARMZ-2R/page-1", "ADM1032ARMZ-2R")</f>
        <v>ADM1032ARMZ-2R</v>
      </c>
      <c r="B33812" s="3" t="s">
        <v>95</v>
      </c>
      <c r="C33812" s="6">
        <v>92450</v>
      </c>
      <c r="D33812" s="7">
        <v>1.06</v>
      </c>
      <c r="E33812" t="s">
        <v>40</v>
      </c>
    </row>
    <row r="33813" spans="1:5" x14ac:dyDescent="0.25">
      <c r="A33813" t="str">
        <f>HYPERLINK("https://www.773grp.com/globalSearch/ADM1032ARMZ-REEL/page-1", "ADM1032ARMZ-REEL")</f>
        <v>ADM1032ARMZ-REEL</v>
      </c>
      <c r="B33813" s="3" t="s">
        <v>95</v>
      </c>
      <c r="C33813" s="6">
        <v>91145</v>
      </c>
      <c r="D33813" s="7">
        <v>1.06</v>
      </c>
      <c r="E33813" t="s">
        <v>40</v>
      </c>
    </row>
    <row r="33814" spans="1:5" x14ac:dyDescent="0.25">
      <c r="A33814" t="str">
        <f>HYPERLINK("https://www.773grp.com/globalSearch/BD180G/page-1", "BD180G")</f>
        <v>BD180G</v>
      </c>
      <c r="B33814" s="3" t="s">
        <v>95</v>
      </c>
      <c r="C33814" s="6">
        <v>3587</v>
      </c>
      <c r="D33814" s="7">
        <v>1.06</v>
      </c>
      <c r="E33814" t="s">
        <v>59</v>
      </c>
    </row>
    <row r="33815" spans="1:5" x14ac:dyDescent="0.25">
      <c r="A33815" t="str">
        <f>HYPERLINK("https://www.773grp.com/globalSearch/BF720T1/page-1", "BF720T1")</f>
        <v>BF720T1</v>
      </c>
      <c r="B33815" s="3" t="s">
        <v>95</v>
      </c>
      <c r="C33815" s="6">
        <v>12000</v>
      </c>
      <c r="D33815" s="7">
        <v>1.06</v>
      </c>
      <c r="E33815" t="s">
        <v>59</v>
      </c>
    </row>
    <row r="33816" spans="1:5" x14ac:dyDescent="0.25">
      <c r="A33816" t="str">
        <f>HYPERLINK("https://www.773grp.com/globalSearch/BSP19AT1/page-1", "BSP19AT1")</f>
        <v>BSP19AT1</v>
      </c>
      <c r="B33816" s="3" t="s">
        <v>95</v>
      </c>
      <c r="C33816" s="6">
        <v>6000</v>
      </c>
      <c r="D33816" s="7">
        <v>1.06</v>
      </c>
      <c r="E33816" t="s">
        <v>69</v>
      </c>
    </row>
    <row r="33817" spans="1:5" x14ac:dyDescent="0.25">
      <c r="A33817" t="str">
        <f>HYPERLINK("https://www.773grp.com/globalSearch/BSP19AT1G/page-1", "BSP19AT1G")</f>
        <v>BSP19AT1G</v>
      </c>
      <c r="B33817" s="3" t="s">
        <v>95</v>
      </c>
      <c r="C33817" s="6">
        <v>125000</v>
      </c>
      <c r="D33817" s="7">
        <v>1.06</v>
      </c>
      <c r="E33817" t="s">
        <v>69</v>
      </c>
    </row>
    <row r="33818" spans="1:5" x14ac:dyDescent="0.25">
      <c r="A33818" t="str">
        <f>HYPERLINK("https://www.773grp.com/globalSearch/BUD42DT4/page-1", "BUD42DT4")</f>
        <v>BUD42DT4</v>
      </c>
      <c r="B33818" s="3" t="s">
        <v>95</v>
      </c>
      <c r="C33818" s="6">
        <v>10000</v>
      </c>
      <c r="D33818" s="7">
        <v>1.06</v>
      </c>
      <c r="E33818" t="s">
        <v>59</v>
      </c>
    </row>
    <row r="33819" spans="1:5" x14ac:dyDescent="0.25">
      <c r="A33819" t="str">
        <f>HYPERLINK("https://www.773grp.com/globalSearch/BYW29-200/page-1", "BYW29-200")</f>
        <v>BYW29-200</v>
      </c>
      <c r="B33819" s="3" t="s">
        <v>95</v>
      </c>
      <c r="C33819" s="6">
        <v>880</v>
      </c>
      <c r="D33819" s="7">
        <v>1.06</v>
      </c>
      <c r="E33819" t="s">
        <v>103</v>
      </c>
    </row>
    <row r="33820" spans="1:5" x14ac:dyDescent="0.25">
      <c r="A33820" t="str">
        <f>HYPERLINK("https://www.773grp.com/globalSearch/C106BG/page-1", "C106BG")</f>
        <v>C106BG</v>
      </c>
      <c r="B33820" s="3" t="s">
        <v>95</v>
      </c>
      <c r="C33820" s="6">
        <v>4485</v>
      </c>
      <c r="D33820" s="7">
        <v>1.06</v>
      </c>
      <c r="E33820" t="s">
        <v>97</v>
      </c>
    </row>
    <row r="33821" spans="1:5" x14ac:dyDescent="0.25">
      <c r="A33821" t="str">
        <f>HYPERLINK("https://www.773grp.com/globalSearch/C106D1G/page-1", "C106D1G")</f>
        <v>C106D1G</v>
      </c>
      <c r="B33821" s="3" t="s">
        <v>95</v>
      </c>
      <c r="C33821" s="6">
        <v>8128</v>
      </c>
      <c r="D33821" s="7">
        <v>1.06</v>
      </c>
      <c r="E33821" t="s">
        <v>97</v>
      </c>
    </row>
    <row r="33822" spans="1:5" x14ac:dyDescent="0.25">
      <c r="A33822" t="str">
        <f>HYPERLINK("https://www.773grp.com/globalSearch/C106DG/page-1", "C106DG")</f>
        <v>C106DG</v>
      </c>
      <c r="B33822" s="3" t="s">
        <v>95</v>
      </c>
      <c r="C33822" s="6">
        <v>15830</v>
      </c>
      <c r="D33822" s="7">
        <v>1.06</v>
      </c>
      <c r="E33822" t="s">
        <v>97</v>
      </c>
    </row>
    <row r="33823" spans="1:5" x14ac:dyDescent="0.25">
      <c r="A33823" t="str">
        <f>HYPERLINK("https://www.773grp.com/globalSearch/C106M/page-1", "C106M")</f>
        <v>C106M</v>
      </c>
      <c r="B33823" s="3" t="s">
        <v>95</v>
      </c>
      <c r="C33823" s="6">
        <v>2000</v>
      </c>
      <c r="D33823" s="7">
        <v>1.06</v>
      </c>
      <c r="E33823" t="s">
        <v>97</v>
      </c>
    </row>
    <row r="33824" spans="1:5" x14ac:dyDescent="0.25">
      <c r="A33824" t="str">
        <f>HYPERLINK("https://www.773grp.com/globalSearch/C106M1G/page-1", "C106M1G")</f>
        <v>C106M1G</v>
      </c>
      <c r="B33824" s="3" t="s">
        <v>95</v>
      </c>
      <c r="C33824" s="6">
        <v>55000</v>
      </c>
      <c r="D33824" s="7">
        <v>1.06</v>
      </c>
      <c r="E33824" t="s">
        <v>97</v>
      </c>
    </row>
    <row r="33825" spans="1:5" x14ac:dyDescent="0.25">
      <c r="A33825" t="str">
        <f>HYPERLINK("https://www.773grp.com/globalSearch/C106MG/page-1", "C106MG")</f>
        <v>C106MG</v>
      </c>
      <c r="B33825" s="3" t="s">
        <v>95</v>
      </c>
      <c r="C33825" s="6">
        <v>7000</v>
      </c>
      <c r="D33825" s="7">
        <v>1.06</v>
      </c>
      <c r="E33825" t="s">
        <v>97</v>
      </c>
    </row>
    <row r="33826" spans="1:5" x14ac:dyDescent="0.25">
      <c r="A33826" t="str">
        <f>HYPERLINK("https://www.773grp.com/globalSearch/CAT24C05VP2I-GT3/page-1", "CAT24C05VP2I-GT3")</f>
        <v>CAT24C05VP2I-GT3</v>
      </c>
      <c r="B33826" s="3" t="s">
        <v>95</v>
      </c>
      <c r="C33826" s="6">
        <v>6000</v>
      </c>
      <c r="D33826" s="7">
        <v>1.06</v>
      </c>
      <c r="E33826" t="s">
        <v>64</v>
      </c>
    </row>
    <row r="33827" spans="1:5" x14ac:dyDescent="0.25">
      <c r="A33827" t="str">
        <f>HYPERLINK("https://www.773grp.com/globalSearch/CAT24C05WI-G/page-1", "CAT24C05WI-G")</f>
        <v>CAT24C05WI-G</v>
      </c>
      <c r="B33827" s="3" t="s">
        <v>95</v>
      </c>
      <c r="C33827" s="6">
        <v>1000</v>
      </c>
      <c r="D33827" s="7">
        <v>1.06</v>
      </c>
    </row>
    <row r="33828" spans="1:5" x14ac:dyDescent="0.25">
      <c r="A33828" t="str">
        <f>HYPERLINK("https://www.773grp.com/globalSearch/CAT24C16C5ATR/page-1", "CAT24C16C5ATR")</f>
        <v>CAT24C16C5ATR</v>
      </c>
      <c r="B33828" s="3" t="s">
        <v>95</v>
      </c>
      <c r="C33828" s="6">
        <v>50000</v>
      </c>
      <c r="D33828" s="7">
        <v>1.06</v>
      </c>
    </row>
    <row r="33829" spans="1:5" x14ac:dyDescent="0.25">
      <c r="A33829" t="str">
        <f>HYPERLINK("https://www.773grp.com/globalSearch/CAT24C16ZI-G/page-1", "CAT24C16ZI-G")</f>
        <v>CAT24C16ZI-G</v>
      </c>
      <c r="B33829" s="3" t="s">
        <v>95</v>
      </c>
      <c r="C33829" s="6">
        <v>576</v>
      </c>
      <c r="D33829" s="7">
        <v>1.06</v>
      </c>
    </row>
    <row r="33830" spans="1:5" x14ac:dyDescent="0.25">
      <c r="A33830" t="str">
        <f>HYPERLINK("https://www.773grp.com/globalSearch/CAT24C64LI-G/page-1", "CAT24C64LI-G")</f>
        <v>CAT24C64LI-G</v>
      </c>
      <c r="B33830" s="3" t="s">
        <v>95</v>
      </c>
      <c r="C33830" s="6">
        <v>4300</v>
      </c>
      <c r="D33830" s="7">
        <v>1.06</v>
      </c>
      <c r="E33830" t="s">
        <v>64</v>
      </c>
    </row>
    <row r="33831" spans="1:5" x14ac:dyDescent="0.25">
      <c r="A33831" t="str">
        <f>HYPERLINK("https://www.773grp.com/globalSearch/CAT24C64LI-G/page-1", "CAT24C64LI-G")</f>
        <v>CAT24C64LI-G</v>
      </c>
      <c r="B33831" s="3" t="s">
        <v>95</v>
      </c>
      <c r="C33831" s="6">
        <v>2250</v>
      </c>
      <c r="D33831" s="7">
        <v>1.06</v>
      </c>
      <c r="E33831" t="s">
        <v>64</v>
      </c>
    </row>
    <row r="33832" spans="1:5" x14ac:dyDescent="0.25">
      <c r="A33832" t="str">
        <f>HYPERLINK("https://www.773grp.com/globalSearch/CAT25020VI-G/page-1", "CAT25020VI-G")</f>
        <v>CAT25020VI-G</v>
      </c>
      <c r="B33832" s="3" t="s">
        <v>95</v>
      </c>
      <c r="C33832" s="6">
        <v>21000</v>
      </c>
      <c r="D33832" s="7">
        <v>1.06</v>
      </c>
    </row>
    <row r="33833" spans="1:5" x14ac:dyDescent="0.25">
      <c r="A33833" t="str">
        <f>HYPERLINK("https://www.773grp.com/globalSearch/CAT25320VI-GT3/page-1", "CAT25320VI-GT3")</f>
        <v>CAT25320VI-GT3</v>
      </c>
      <c r="B33833" s="3" t="s">
        <v>95</v>
      </c>
      <c r="C33833" s="6">
        <v>6000</v>
      </c>
      <c r="D33833" s="7">
        <v>1.06</v>
      </c>
    </row>
    <row r="33834" spans="1:5" x14ac:dyDescent="0.25">
      <c r="A33834" t="str">
        <f>HYPERLINK("https://www.773grp.com/globalSearch/CAT93C46XI/page-1", "CAT93C46XI")</f>
        <v>CAT93C46XI</v>
      </c>
      <c r="B33834" s="3" t="s">
        <v>95</v>
      </c>
      <c r="C33834" s="6">
        <v>12628</v>
      </c>
      <c r="D33834" s="7">
        <v>1.06</v>
      </c>
      <c r="E33834" t="s">
        <v>64</v>
      </c>
    </row>
    <row r="33835" spans="1:5" x14ac:dyDescent="0.25">
      <c r="A33835" t="str">
        <f>HYPERLINK("https://www.773grp.com/globalSearch/CAT93C46XI/page-1", "CAT93C46XI")</f>
        <v>CAT93C46XI</v>
      </c>
      <c r="B33835" s="3" t="s">
        <v>95</v>
      </c>
      <c r="C33835" s="6">
        <v>1128</v>
      </c>
      <c r="D33835" s="7">
        <v>1.06</v>
      </c>
      <c r="E33835" t="s">
        <v>64</v>
      </c>
    </row>
    <row r="33836" spans="1:5" x14ac:dyDescent="0.25">
      <c r="A33836" t="str">
        <f>HYPERLINK("https://www.773grp.com/globalSearch/CM1461-08DE/page-1", "CM1461-08DE")</f>
        <v>CM1461-08DE</v>
      </c>
      <c r="B33836" s="3" t="s">
        <v>95</v>
      </c>
      <c r="C33836" s="6">
        <v>410310</v>
      </c>
      <c r="D33836" s="7">
        <v>1.06</v>
      </c>
      <c r="E33836" t="s">
        <v>100</v>
      </c>
    </row>
    <row r="33837" spans="1:5" x14ac:dyDescent="0.25">
      <c r="A33837" t="str">
        <f>HYPERLINK("https://www.773grp.com/globalSearch/LE25U20AFDW00-AH/page-1", "LE25U20AFDW00-AH")</f>
        <v>LE25U20AFDW00-AH</v>
      </c>
      <c r="B33837" s="3" t="s">
        <v>95</v>
      </c>
      <c r="C33837" s="6">
        <v>3000</v>
      </c>
      <c r="D33837" s="7">
        <v>1.06</v>
      </c>
    </row>
    <row r="33838" spans="1:5" x14ac:dyDescent="0.25">
      <c r="A33838" t="str">
        <f>HYPERLINK("https://www.773grp.com/globalSearch/LF351D/page-1", "LF351D")</f>
        <v>LF351D</v>
      </c>
      <c r="B33838" s="3" t="s">
        <v>95</v>
      </c>
      <c r="C33838" s="6">
        <v>1016</v>
      </c>
      <c r="D33838" s="7">
        <v>1.06</v>
      </c>
      <c r="E33838" t="s">
        <v>13</v>
      </c>
    </row>
    <row r="33839" spans="1:5" x14ac:dyDescent="0.25">
      <c r="A33839" t="str">
        <f>HYPERLINK("https://www.773grp.com/globalSearch/LF353D/page-1", "LF353D")</f>
        <v>LF353D</v>
      </c>
      <c r="B33839" s="3" t="s">
        <v>95</v>
      </c>
      <c r="C33839" s="6">
        <v>4183</v>
      </c>
      <c r="D33839" s="7">
        <v>1.06</v>
      </c>
      <c r="E33839" t="s">
        <v>13</v>
      </c>
    </row>
    <row r="33840" spans="1:5" x14ac:dyDescent="0.25">
      <c r="A33840" t="str">
        <f>HYPERLINK("https://www.773grp.com/globalSearch/LM2901VNG/page-1", "LM2901VNG")</f>
        <v>LM2901VNG</v>
      </c>
      <c r="B33840" s="3" t="s">
        <v>95</v>
      </c>
      <c r="C33840" s="6">
        <v>9840</v>
      </c>
      <c r="D33840" s="7">
        <v>1.06</v>
      </c>
      <c r="E33840" t="s">
        <v>9</v>
      </c>
    </row>
    <row r="33841" spans="1:5" x14ac:dyDescent="0.25">
      <c r="A33841" t="str">
        <f>HYPERLINK("https://www.773grp.com/globalSearch/LM2904VDMR2G/page-1", "LM2904VDMR2G")</f>
        <v>LM2904VDMR2G</v>
      </c>
      <c r="B33841" s="3" t="s">
        <v>95</v>
      </c>
      <c r="C33841" s="6">
        <v>3435</v>
      </c>
      <c r="D33841" s="7">
        <v>1.06</v>
      </c>
      <c r="E33841" t="s">
        <v>13</v>
      </c>
    </row>
    <row r="33842" spans="1:5" x14ac:dyDescent="0.25">
      <c r="A33842" t="str">
        <f>HYPERLINK("https://www.773grp.com/globalSearch/LM2931ACDG/page-1", "LM2931ACDG")</f>
        <v>LM2931ACDG</v>
      </c>
      <c r="B33842" s="3" t="s">
        <v>95</v>
      </c>
      <c r="C33842" s="6">
        <v>4361</v>
      </c>
      <c r="D33842" s="7">
        <v>1.06</v>
      </c>
      <c r="E33842" t="s">
        <v>25</v>
      </c>
    </row>
    <row r="33843" spans="1:5" x14ac:dyDescent="0.25">
      <c r="A33843" t="str">
        <f>HYPERLINK("https://www.773grp.com/globalSearch/LM2931ACDR2G/page-1", "LM2931ACDR2G")</f>
        <v>LM2931ACDR2G</v>
      </c>
      <c r="B33843" s="3" t="s">
        <v>95</v>
      </c>
      <c r="C33843" s="6">
        <v>13993</v>
      </c>
      <c r="D33843" s="7">
        <v>1.06</v>
      </c>
      <c r="E33843" t="s">
        <v>25</v>
      </c>
    </row>
    <row r="33844" spans="1:5" x14ac:dyDescent="0.25">
      <c r="A33844" t="str">
        <f>HYPERLINK("https://www.773grp.com/globalSearch/LM2931AD-5.0/page-1", "LM2931AD-5.0")</f>
        <v>LM2931AD-5.0</v>
      </c>
      <c r="B33844" s="3" t="s">
        <v>95</v>
      </c>
      <c r="C33844" s="6">
        <v>98</v>
      </c>
      <c r="D33844" s="7">
        <v>1.06</v>
      </c>
      <c r="E33844" t="s">
        <v>19</v>
      </c>
    </row>
    <row r="33845" spans="1:5" x14ac:dyDescent="0.25">
      <c r="A33845" t="str">
        <f>HYPERLINK("https://www.773grp.com/globalSearch/LM2931CDG/page-1", "LM2931CDG")</f>
        <v>LM2931CDG</v>
      </c>
      <c r="B33845" s="3" t="s">
        <v>95</v>
      </c>
      <c r="C33845" s="6">
        <v>18</v>
      </c>
      <c r="D33845" s="7">
        <v>1.06</v>
      </c>
      <c r="E33845" t="s">
        <v>25</v>
      </c>
    </row>
    <row r="33846" spans="1:5" x14ac:dyDescent="0.25">
      <c r="A33846" t="str">
        <f>HYPERLINK("https://www.773grp.com/globalSearch/LM2931CDR2G/page-1", "LM2931CDR2G")</f>
        <v>LM2931CDR2G</v>
      </c>
      <c r="B33846" s="3" t="s">
        <v>95</v>
      </c>
      <c r="C33846" s="6">
        <v>30000</v>
      </c>
      <c r="D33846" s="7">
        <v>1.06</v>
      </c>
      <c r="E33846" t="s">
        <v>25</v>
      </c>
    </row>
    <row r="33847" spans="1:5" x14ac:dyDescent="0.25">
      <c r="A33847" t="str">
        <f>HYPERLINK("https://www.773grp.com/globalSearch/LM2931T-5.0/page-1", "LM2931T-5.0")</f>
        <v>LM2931T-5.0</v>
      </c>
      <c r="B33847" s="3" t="s">
        <v>95</v>
      </c>
      <c r="C33847" s="6">
        <v>2559</v>
      </c>
      <c r="D33847" s="7">
        <v>1.06</v>
      </c>
      <c r="E33847" t="s">
        <v>19</v>
      </c>
    </row>
    <row r="33848" spans="1:5" x14ac:dyDescent="0.25">
      <c r="A33848" t="str">
        <f>HYPERLINK("https://www.773grp.com/globalSearch/LM317LZG/page-1", "LM317LZG")</f>
        <v>LM317LZG</v>
      </c>
      <c r="B33848" s="3" t="s">
        <v>95</v>
      </c>
      <c r="C33848" s="6">
        <v>53922</v>
      </c>
      <c r="D33848" s="7">
        <v>1.06</v>
      </c>
      <c r="E33848" t="s">
        <v>22</v>
      </c>
    </row>
    <row r="33849" spans="1:5" x14ac:dyDescent="0.25">
      <c r="A33849" t="str">
        <f>HYPERLINK("https://www.773grp.com/globalSearch/LM317LZRAG/page-1", "LM317LZRAG")</f>
        <v>LM317LZRAG</v>
      </c>
      <c r="B33849" s="3" t="s">
        <v>95</v>
      </c>
      <c r="C33849" s="6">
        <v>16740</v>
      </c>
      <c r="D33849" s="7">
        <v>1.06</v>
      </c>
      <c r="E33849" t="s">
        <v>22</v>
      </c>
    </row>
    <row r="33850" spans="1:5" x14ac:dyDescent="0.25">
      <c r="A33850" t="str">
        <f>HYPERLINK("https://www.773grp.com/globalSearch/LM317LZRPG/page-1", "LM317LZRPG")</f>
        <v>LM317LZRPG</v>
      </c>
      <c r="B33850" s="3" t="s">
        <v>95</v>
      </c>
      <c r="C33850" s="6">
        <v>23660</v>
      </c>
      <c r="D33850" s="7">
        <v>1.06</v>
      </c>
      <c r="E33850" t="s">
        <v>22</v>
      </c>
    </row>
    <row r="33851" spans="1:5" x14ac:dyDescent="0.25">
      <c r="A33851" t="str">
        <f>HYPERLINK("https://www.773grp.com/globalSearch/LM317MABT/page-1", "LM317MABT")</f>
        <v>LM317MABT</v>
      </c>
      <c r="B33851" s="3" t="s">
        <v>95</v>
      </c>
      <c r="C33851" s="6">
        <v>200</v>
      </c>
      <c r="D33851" s="7">
        <v>1.06</v>
      </c>
      <c r="E33851" t="s">
        <v>22</v>
      </c>
    </row>
    <row r="33852" spans="1:5" x14ac:dyDescent="0.25">
      <c r="A33852" t="str">
        <f>HYPERLINK("https://www.773grp.com/globalSearch/LM385D-2.5/page-1", "LM385D-2.5")</f>
        <v>LM385D-2.5</v>
      </c>
      <c r="B33852" s="3" t="s">
        <v>95</v>
      </c>
      <c r="C33852" s="6">
        <v>3307</v>
      </c>
      <c r="D33852" s="7">
        <v>1.06</v>
      </c>
      <c r="E33852" t="s">
        <v>17</v>
      </c>
    </row>
    <row r="33853" spans="1:5" x14ac:dyDescent="0.25">
      <c r="A33853" t="str">
        <f>HYPERLINK("https://www.773grp.com/globalSearch/LMV301SQ3T2G/page-1", "LMV301SQ3T2G")</f>
        <v>LMV301SQ3T2G</v>
      </c>
      <c r="B33853" s="3" t="s">
        <v>95</v>
      </c>
      <c r="C33853" s="6">
        <v>185600</v>
      </c>
      <c r="D33853" s="7">
        <v>1.06</v>
      </c>
      <c r="E33853" t="s">
        <v>13</v>
      </c>
    </row>
    <row r="33854" spans="1:5" x14ac:dyDescent="0.25">
      <c r="A33854" t="str">
        <f>HYPERLINK("https://www.773grp.com/globalSearch/LMV321SN3T1G/page-1", "LMV321SN3T1G")</f>
        <v>LMV321SN3T1G</v>
      </c>
      <c r="B33854" s="3" t="s">
        <v>95</v>
      </c>
      <c r="C33854" s="6">
        <v>201465</v>
      </c>
      <c r="D33854" s="7">
        <v>1.06</v>
      </c>
      <c r="E33854" t="s">
        <v>13</v>
      </c>
    </row>
    <row r="33855" spans="1:5" x14ac:dyDescent="0.25">
      <c r="A33855" t="str">
        <f>HYPERLINK("https://www.773grp.com/globalSearch/LMV321SQ3T2G/page-1", "LMV321SQ3T2G")</f>
        <v>LMV321SQ3T2G</v>
      </c>
      <c r="B33855" s="3" t="s">
        <v>95</v>
      </c>
      <c r="C33855" s="6">
        <v>225000</v>
      </c>
      <c r="D33855" s="7">
        <v>1.06</v>
      </c>
      <c r="E33855" t="s">
        <v>13</v>
      </c>
    </row>
    <row r="33856" spans="1:5" x14ac:dyDescent="0.25">
      <c r="A33856" t="str">
        <f>HYPERLINK("https://www.773grp.com/globalSearch/LMV331SN3T1G/page-1", "LMV331SN3T1G")</f>
        <v>LMV331SN3T1G</v>
      </c>
      <c r="B33856" s="3" t="s">
        <v>95</v>
      </c>
      <c r="C33856" s="6">
        <v>315000</v>
      </c>
      <c r="D33856" s="7">
        <v>1.06</v>
      </c>
      <c r="E33856" t="s">
        <v>9</v>
      </c>
    </row>
    <row r="33857" spans="1:5" x14ac:dyDescent="0.25">
      <c r="A33857" t="str">
        <f>HYPERLINK("https://www.773grp.com/globalSearch/LMV331SQ3T2G/page-1", "LMV331SQ3T2G")</f>
        <v>LMV331SQ3T2G</v>
      </c>
      <c r="B33857" s="3" t="s">
        <v>95</v>
      </c>
      <c r="C33857" s="6">
        <v>93000</v>
      </c>
      <c r="D33857" s="7">
        <v>1.06</v>
      </c>
      <c r="E33857" t="s">
        <v>9</v>
      </c>
    </row>
    <row r="33858" spans="1:5" x14ac:dyDescent="0.25">
      <c r="A33858" t="str">
        <f>HYPERLINK("https://www.773grp.com/globalSearch/LMV931SN3T1G/page-1", "LMV931SN3T1G")</f>
        <v>LMV931SN3T1G</v>
      </c>
      <c r="B33858" s="3" t="s">
        <v>95</v>
      </c>
      <c r="C33858" s="6">
        <v>81000</v>
      </c>
      <c r="D33858" s="7">
        <v>1.06</v>
      </c>
    </row>
    <row r="33859" spans="1:5" x14ac:dyDescent="0.25">
      <c r="A33859" t="str">
        <f>HYPERLINK("https://www.773grp.com/globalSearch/LMV931SQ3T2G/page-1", "LMV931SQ3T2G")</f>
        <v>LMV931SQ3T2G</v>
      </c>
      <c r="B33859" s="3" t="s">
        <v>95</v>
      </c>
      <c r="C33859" s="6">
        <v>72000</v>
      </c>
      <c r="D33859" s="7">
        <v>1.06</v>
      </c>
      <c r="E33859" t="s">
        <v>13</v>
      </c>
    </row>
    <row r="33860" spans="1:5" x14ac:dyDescent="0.25">
      <c r="A33860" t="str">
        <f>HYPERLINK("https://www.773grp.com/globalSearch/MAX707ESA-T/page-1", "MAX707ESA-T")</f>
        <v>MAX707ESA-T</v>
      </c>
      <c r="B33860" s="3" t="s">
        <v>95</v>
      </c>
      <c r="C33860" s="6">
        <v>12898</v>
      </c>
      <c r="D33860" s="7">
        <v>1.06</v>
      </c>
      <c r="E33860" t="s">
        <v>30</v>
      </c>
    </row>
    <row r="33861" spans="1:5" x14ac:dyDescent="0.25">
      <c r="A33861" t="str">
        <f>HYPERLINK("https://www.773grp.com/globalSearch/MAX708CUA-TG/page-1", "MAX708CUA-TG")</f>
        <v>MAX708CUA-TG</v>
      </c>
      <c r="B33861" s="3" t="s">
        <v>95</v>
      </c>
      <c r="C33861" s="6">
        <v>12000</v>
      </c>
      <c r="D33861" s="7">
        <v>1.06</v>
      </c>
      <c r="E33861" t="s">
        <v>30</v>
      </c>
    </row>
    <row r="33862" spans="1:5" x14ac:dyDescent="0.25">
      <c r="A33862" t="str">
        <f>HYPERLINK("https://www.773grp.com/globalSearch/MAX708RCUA-TG/page-1", "MAX708RCUA-TG")</f>
        <v>MAX708RCUA-TG</v>
      </c>
      <c r="B33862" s="3" t="s">
        <v>95</v>
      </c>
      <c r="C33862" s="6">
        <v>4000</v>
      </c>
      <c r="D33862" s="7">
        <v>1.06</v>
      </c>
    </row>
    <row r="33863" spans="1:5" x14ac:dyDescent="0.25">
      <c r="A33863" t="str">
        <f>HYPERLINK("https://www.773grp.com/globalSearch/MAX708RESA-TG/page-1", "MAX708RESA-TG")</f>
        <v>MAX708RESA-TG</v>
      </c>
      <c r="B33863" s="3" t="s">
        <v>95</v>
      </c>
      <c r="C33863" s="6">
        <v>2193</v>
      </c>
      <c r="D33863" s="7">
        <v>1.06</v>
      </c>
      <c r="E33863" t="s">
        <v>30</v>
      </c>
    </row>
    <row r="33864" spans="1:5" x14ac:dyDescent="0.25">
      <c r="A33864" t="str">
        <f>HYPERLINK("https://www.773grp.com/globalSearch/MAX708TESA-TG/page-1", "MAX708TESA-TG")</f>
        <v>MAX708TESA-TG</v>
      </c>
      <c r="B33864" s="3" t="s">
        <v>95</v>
      </c>
      <c r="C33864" s="6">
        <v>1420</v>
      </c>
      <c r="D33864" s="7">
        <v>1.06</v>
      </c>
      <c r="E33864" t="s">
        <v>30</v>
      </c>
    </row>
    <row r="33865" spans="1:5" x14ac:dyDescent="0.25">
      <c r="A33865" t="str">
        <f>HYPERLINK("https://www.773grp.com/globalSearch/MBRM120LT1/page-1", "MBRM120LT1")</f>
        <v>MBRM120LT1</v>
      </c>
      <c r="B33865" s="3" t="s">
        <v>95</v>
      </c>
      <c r="C33865" s="6">
        <v>33000</v>
      </c>
      <c r="D33865" s="7">
        <v>1.06</v>
      </c>
    </row>
    <row r="33866" spans="1:5" x14ac:dyDescent="0.25">
      <c r="A33866" t="str">
        <f>HYPERLINK("https://www.773grp.com/globalSearch/MBRM140T1/page-1", "MBRM140T1")</f>
        <v>MBRM140T1</v>
      </c>
      <c r="B33866" s="3" t="s">
        <v>95</v>
      </c>
      <c r="C33866" s="6">
        <v>10958</v>
      </c>
      <c r="D33866" s="7">
        <v>1.06</v>
      </c>
    </row>
    <row r="33867" spans="1:5" x14ac:dyDescent="0.25">
      <c r="A33867" t="str">
        <f>HYPERLINK("https://www.773grp.com/globalSearch/MC14007UBFELG/page-1", "MC14007UBFELG")</f>
        <v>MC14007UBFELG</v>
      </c>
      <c r="B33867" s="3" t="s">
        <v>95</v>
      </c>
      <c r="C33867" s="6">
        <v>16000</v>
      </c>
      <c r="D33867" s="7">
        <v>1.06</v>
      </c>
      <c r="E33867" t="s">
        <v>31</v>
      </c>
    </row>
    <row r="33868" spans="1:5" x14ac:dyDescent="0.25">
      <c r="A33868" t="str">
        <f>HYPERLINK("https://www.773grp.com/globalSearch/MC14011BFEL/page-1", "MC14011BFEL")</f>
        <v>MC14011BFEL</v>
      </c>
      <c r="B33868" s="3" t="s">
        <v>95</v>
      </c>
      <c r="C33868" s="6">
        <v>7743</v>
      </c>
      <c r="D33868" s="7">
        <v>1.06</v>
      </c>
      <c r="E33868" t="s">
        <v>31</v>
      </c>
    </row>
    <row r="33869" spans="1:5" x14ac:dyDescent="0.25">
      <c r="A33869" t="str">
        <f>HYPERLINK("https://www.773grp.com/globalSearch/MC14011BFELG/page-1", "MC14011BFELG")</f>
        <v>MC14011BFELG</v>
      </c>
      <c r="B33869" s="3" t="s">
        <v>95</v>
      </c>
      <c r="C33869" s="6">
        <v>3810</v>
      </c>
      <c r="D33869" s="7">
        <v>1.06</v>
      </c>
      <c r="E33869" t="s">
        <v>31</v>
      </c>
    </row>
    <row r="33870" spans="1:5" x14ac:dyDescent="0.25">
      <c r="A33870" t="str">
        <f>HYPERLINK("https://www.773grp.com/globalSearch/MC14014BCPG/page-1", "MC14014BCPG")</f>
        <v>MC14014BCPG</v>
      </c>
      <c r="B33870" s="3" t="s">
        <v>95</v>
      </c>
      <c r="C33870" s="6">
        <v>3739</v>
      </c>
      <c r="D33870" s="7">
        <v>1.06</v>
      </c>
      <c r="E33870" t="s">
        <v>32</v>
      </c>
    </row>
    <row r="33871" spans="1:5" x14ac:dyDescent="0.25">
      <c r="A33871" t="str">
        <f>HYPERLINK("https://www.773grp.com/globalSearch/MC14017BDG/page-1", "MC14017BDG")</f>
        <v>MC14017BDG</v>
      </c>
      <c r="B33871" s="3" t="s">
        <v>95</v>
      </c>
      <c r="C33871" s="6">
        <v>195</v>
      </c>
      <c r="D33871" s="7">
        <v>1.06</v>
      </c>
      <c r="E33871" t="s">
        <v>26</v>
      </c>
    </row>
    <row r="33872" spans="1:5" x14ac:dyDescent="0.25">
      <c r="A33872" t="str">
        <f>HYPERLINK("https://www.773grp.com/globalSearch/MC14017BDR2/page-1", "MC14017BDR2")</f>
        <v>MC14017BDR2</v>
      </c>
      <c r="B33872" s="3" t="s">
        <v>95</v>
      </c>
      <c r="C33872" s="6">
        <v>3501</v>
      </c>
      <c r="D33872" s="7">
        <v>1.06</v>
      </c>
      <c r="E33872" t="s">
        <v>26</v>
      </c>
    </row>
    <row r="33873" spans="1:5" x14ac:dyDescent="0.25">
      <c r="A33873" t="str">
        <f>HYPERLINK("https://www.773grp.com/globalSearch/MC14017BDR2G/page-1", "MC14017BDR2G")</f>
        <v>MC14017BDR2G</v>
      </c>
      <c r="B33873" s="3" t="s">
        <v>95</v>
      </c>
      <c r="C33873" s="6">
        <v>34903</v>
      </c>
      <c r="D33873" s="7">
        <v>1.06</v>
      </c>
      <c r="E33873" t="s">
        <v>26</v>
      </c>
    </row>
    <row r="33874" spans="1:5" x14ac:dyDescent="0.25">
      <c r="A33874" t="str">
        <f>HYPERLINK("https://www.773grp.com/globalSearch/MC14021BCPG/page-1", "MC14021BCPG")</f>
        <v>MC14021BCPG</v>
      </c>
      <c r="B33874" s="3" t="s">
        <v>95</v>
      </c>
      <c r="C33874" s="6">
        <v>4897</v>
      </c>
      <c r="D33874" s="7">
        <v>1.06</v>
      </c>
      <c r="E33874" t="s">
        <v>32</v>
      </c>
    </row>
    <row r="33875" spans="1:5" x14ac:dyDescent="0.25">
      <c r="A33875" t="str">
        <f>HYPERLINK("https://www.773grp.com/globalSearch/MC14023BFEL/page-1", "MC14023BFEL")</f>
        <v>MC14023BFEL</v>
      </c>
      <c r="B33875" s="3" t="s">
        <v>95</v>
      </c>
      <c r="C33875" s="6">
        <v>184</v>
      </c>
      <c r="D33875" s="7">
        <v>1.06</v>
      </c>
      <c r="E33875" t="s">
        <v>31</v>
      </c>
    </row>
    <row r="33876" spans="1:5" x14ac:dyDescent="0.25">
      <c r="A33876" t="str">
        <f>HYPERLINK("https://www.773grp.com/globalSearch/MC14025BFELG/page-1", "MC14025BFELG")</f>
        <v>MC14025BFELG</v>
      </c>
      <c r="B33876" s="3" t="s">
        <v>95</v>
      </c>
      <c r="C33876" s="6">
        <v>10145</v>
      </c>
      <c r="D33876" s="7">
        <v>1.06</v>
      </c>
      <c r="E33876" t="s">
        <v>31</v>
      </c>
    </row>
    <row r="33877" spans="1:5" x14ac:dyDescent="0.25">
      <c r="A33877" t="str">
        <f>HYPERLINK("https://www.773grp.com/globalSearch/MC14029BDR2G/page-1", "MC14029BDR2G")</f>
        <v>MC14029BDR2G</v>
      </c>
      <c r="B33877" s="3" t="s">
        <v>95</v>
      </c>
      <c r="C33877" s="6">
        <v>12987</v>
      </c>
      <c r="D33877" s="7">
        <v>1.06</v>
      </c>
      <c r="E33877" t="s">
        <v>26</v>
      </c>
    </row>
    <row r="33878" spans="1:5" x14ac:dyDescent="0.25">
      <c r="A33878" t="str">
        <f>HYPERLINK("https://www.773grp.com/globalSearch/MC14043BFELG/page-1", "MC14043BFELG")</f>
        <v>MC14043BFELG</v>
      </c>
      <c r="B33878" s="3" t="s">
        <v>95</v>
      </c>
      <c r="C33878" s="6">
        <v>3489</v>
      </c>
      <c r="D33878" s="7">
        <v>1.06</v>
      </c>
      <c r="E33878" t="s">
        <v>35</v>
      </c>
    </row>
    <row r="33879" spans="1:5" x14ac:dyDescent="0.25">
      <c r="A33879" t="str">
        <f>HYPERLINK("https://www.773grp.com/globalSearch/MC14070BFELG/page-1", "MC14070BFELG")</f>
        <v>MC14070BFELG</v>
      </c>
      <c r="B33879" s="3" t="s">
        <v>95</v>
      </c>
      <c r="C33879" s="6">
        <v>1750</v>
      </c>
      <c r="D33879" s="7">
        <v>1.06</v>
      </c>
    </row>
    <row r="33880" spans="1:5" x14ac:dyDescent="0.25">
      <c r="A33880" t="str">
        <f>HYPERLINK("https://www.773grp.com/globalSearch/MC14071BFELG/page-1", "MC14071BFELG")</f>
        <v>MC14071BFELG</v>
      </c>
      <c r="B33880" s="3" t="s">
        <v>95</v>
      </c>
      <c r="C33880" s="6">
        <v>22922</v>
      </c>
      <c r="D33880" s="7">
        <v>1.06</v>
      </c>
      <c r="E33880" t="s">
        <v>31</v>
      </c>
    </row>
    <row r="33881" spans="1:5" x14ac:dyDescent="0.25">
      <c r="A33881" t="str">
        <f>HYPERLINK("https://www.773grp.com/globalSearch/MC14073BFELG/page-1", "MC14073BFELG")</f>
        <v>MC14073BFELG</v>
      </c>
      <c r="B33881" s="3" t="s">
        <v>95</v>
      </c>
      <c r="C33881" s="6">
        <v>21704</v>
      </c>
      <c r="D33881" s="7">
        <v>1.06</v>
      </c>
      <c r="E33881" t="s">
        <v>31</v>
      </c>
    </row>
    <row r="33882" spans="1:5" x14ac:dyDescent="0.25">
      <c r="A33882" t="str">
        <f>HYPERLINK("https://www.773grp.com/globalSearch/MC14077BFELG/page-1", "MC14077BFELG")</f>
        <v>MC14077BFELG</v>
      </c>
      <c r="B33882" s="3" t="s">
        <v>95</v>
      </c>
      <c r="C33882" s="6">
        <v>1016</v>
      </c>
      <c r="D33882" s="7">
        <v>1.06</v>
      </c>
      <c r="E33882" t="s">
        <v>31</v>
      </c>
    </row>
    <row r="33883" spans="1:5" x14ac:dyDescent="0.25">
      <c r="A33883" t="str">
        <f>HYPERLINK("https://www.773grp.com/globalSearch/MC14094BDG/page-1", "MC14094BDG")</f>
        <v>MC14094BDG</v>
      </c>
      <c r="B33883" s="3" t="s">
        <v>95</v>
      </c>
      <c r="C33883" s="6">
        <v>15348</v>
      </c>
      <c r="D33883" s="7">
        <v>1.06</v>
      </c>
      <c r="E33883" t="s">
        <v>32</v>
      </c>
    </row>
    <row r="33884" spans="1:5" x14ac:dyDescent="0.25">
      <c r="A33884" t="str">
        <f>HYPERLINK("https://www.773grp.com/globalSearch/MC14094BDR2G/page-1", "MC14094BDR2G")</f>
        <v>MC14094BDR2G</v>
      </c>
      <c r="B33884" s="3" t="s">
        <v>95</v>
      </c>
      <c r="C33884" s="6">
        <v>165170</v>
      </c>
      <c r="D33884" s="7">
        <v>1.06</v>
      </c>
      <c r="E33884" t="s">
        <v>32</v>
      </c>
    </row>
    <row r="33885" spans="1:5" x14ac:dyDescent="0.25">
      <c r="A33885" t="str">
        <f>HYPERLINK("https://www.773grp.com/globalSearch/MC14094BDTR2G/page-1", "MC14094BDTR2G")</f>
        <v>MC14094BDTR2G</v>
      </c>
      <c r="B33885" s="3" t="s">
        <v>95</v>
      </c>
      <c r="C33885" s="6">
        <v>19524</v>
      </c>
      <c r="D33885" s="7">
        <v>1.06</v>
      </c>
      <c r="E33885" t="s">
        <v>32</v>
      </c>
    </row>
    <row r="33886" spans="1:5" x14ac:dyDescent="0.25">
      <c r="A33886" t="str">
        <f>HYPERLINK("https://www.773grp.com/globalSearch/MC14503BDG/page-1", "MC14503BDG")</f>
        <v>MC14503BDG</v>
      </c>
      <c r="B33886" s="3" t="s">
        <v>95</v>
      </c>
      <c r="C33886" s="6">
        <v>2780</v>
      </c>
      <c r="D33886" s="7">
        <v>1.06</v>
      </c>
      <c r="E33886" t="s">
        <v>14</v>
      </c>
    </row>
    <row r="33887" spans="1:5" x14ac:dyDescent="0.25">
      <c r="A33887" t="str">
        <f>HYPERLINK("https://www.773grp.com/globalSearch/MC14503BDR2G/page-1", "MC14503BDR2G")</f>
        <v>MC14503BDR2G</v>
      </c>
      <c r="B33887" s="3" t="s">
        <v>95</v>
      </c>
      <c r="C33887" s="6">
        <v>697</v>
      </c>
      <c r="D33887" s="7">
        <v>1.06</v>
      </c>
      <c r="E33887" t="s">
        <v>14</v>
      </c>
    </row>
    <row r="33888" spans="1:5" x14ac:dyDescent="0.25">
      <c r="A33888" t="str">
        <f>HYPERLINK("https://www.773grp.com/globalSearch/MC14510BF/page-1", "MC14510BF")</f>
        <v>MC14510BF</v>
      </c>
      <c r="B33888" s="3" t="s">
        <v>95</v>
      </c>
      <c r="C33888" s="6">
        <v>6000</v>
      </c>
      <c r="D33888" s="7">
        <v>1.06</v>
      </c>
    </row>
    <row r="33889" spans="1:5" x14ac:dyDescent="0.25">
      <c r="A33889" t="str">
        <f>HYPERLINK("https://www.773grp.com/globalSearch/MC14510BFEL/page-1", "MC14510BFEL")</f>
        <v>MC14510BFEL</v>
      </c>
      <c r="B33889" s="3" t="s">
        <v>95</v>
      </c>
      <c r="C33889" s="6">
        <v>2000</v>
      </c>
      <c r="D33889" s="7">
        <v>1.06</v>
      </c>
    </row>
    <row r="33890" spans="1:5" x14ac:dyDescent="0.25">
      <c r="A33890" t="str">
        <f>HYPERLINK("https://www.773grp.com/globalSearch/MC14543BDG/page-1", "MC14543BDG")</f>
        <v>MC14543BDG</v>
      </c>
      <c r="B33890" s="3" t="s">
        <v>95</v>
      </c>
      <c r="C33890" s="6">
        <v>7700</v>
      </c>
      <c r="D33890" s="7">
        <v>1.06</v>
      </c>
      <c r="E33890" t="s">
        <v>36</v>
      </c>
    </row>
    <row r="33891" spans="1:5" x14ac:dyDescent="0.25">
      <c r="A33891" t="str">
        <f>HYPERLINK("https://www.773grp.com/globalSearch/MC14543BDR2G/page-1", "MC14543BDR2G")</f>
        <v>MC14543BDR2G</v>
      </c>
      <c r="B33891" s="3" t="s">
        <v>95</v>
      </c>
      <c r="C33891" s="6">
        <v>292056</v>
      </c>
      <c r="D33891" s="7">
        <v>1.06</v>
      </c>
      <c r="E33891" t="s">
        <v>36</v>
      </c>
    </row>
    <row r="33892" spans="1:5" x14ac:dyDescent="0.25">
      <c r="A33892" t="str">
        <f>HYPERLINK("https://www.773grp.com/globalSearch/MC14572UBCPG/page-1", "MC14572UBCPG")</f>
        <v>MC14572UBCPG</v>
      </c>
      <c r="B33892" s="3" t="s">
        <v>95</v>
      </c>
      <c r="C33892" s="6">
        <v>32931</v>
      </c>
      <c r="D33892" s="7">
        <v>1.06</v>
      </c>
      <c r="E33892" t="s">
        <v>31</v>
      </c>
    </row>
    <row r="33893" spans="1:5" x14ac:dyDescent="0.25">
      <c r="A33893" t="str">
        <f>HYPERLINK("https://www.773grp.com/globalSearch/MC33063AVP/page-1", "MC33063AVP")</f>
        <v>MC33063AVP</v>
      </c>
      <c r="B33893" s="3" t="s">
        <v>95</v>
      </c>
      <c r="C33893" s="6">
        <v>206370</v>
      </c>
      <c r="D33893" s="7">
        <v>1.06</v>
      </c>
      <c r="E33893" t="s">
        <v>7</v>
      </c>
    </row>
    <row r="33894" spans="1:5" x14ac:dyDescent="0.25">
      <c r="A33894" t="str">
        <f>HYPERLINK("https://www.773grp.com/globalSearch/MC33171P/page-1", "MC33171P")</f>
        <v>MC33171P</v>
      </c>
      <c r="B33894" s="3" t="s">
        <v>95</v>
      </c>
      <c r="C33894" s="6">
        <v>3770</v>
      </c>
      <c r="D33894" s="7">
        <v>1.06</v>
      </c>
      <c r="E33894" t="s">
        <v>13</v>
      </c>
    </row>
    <row r="33895" spans="1:5" x14ac:dyDescent="0.25">
      <c r="A33895" t="str">
        <f>HYPERLINK("https://www.773grp.com/globalSearch/MC33201D/page-1", "MC33201D")</f>
        <v>MC33201D</v>
      </c>
      <c r="B33895" s="3" t="s">
        <v>95</v>
      </c>
      <c r="C33895" s="6">
        <v>76</v>
      </c>
      <c r="D33895" s="7">
        <v>1.06</v>
      </c>
      <c r="E33895" t="s">
        <v>13</v>
      </c>
    </row>
    <row r="33896" spans="1:5" x14ac:dyDescent="0.25">
      <c r="A33896" t="str">
        <f>HYPERLINK("https://www.773grp.com/globalSearch/MC33201DR2/page-1", "MC33201DR2")</f>
        <v>MC33201DR2</v>
      </c>
      <c r="B33896" s="3" t="s">
        <v>95</v>
      </c>
      <c r="C33896" s="6">
        <v>3761</v>
      </c>
      <c r="D33896" s="7">
        <v>1.06</v>
      </c>
      <c r="E33896" t="s">
        <v>13</v>
      </c>
    </row>
    <row r="33897" spans="1:5" x14ac:dyDescent="0.25">
      <c r="A33897" t="str">
        <f>HYPERLINK("https://www.773grp.com/globalSearch/MC33202VP/page-1", "MC33202VP")</f>
        <v>MC33202VP</v>
      </c>
      <c r="B33897" s="3" t="s">
        <v>95</v>
      </c>
      <c r="C33897" s="6">
        <v>1960</v>
      </c>
      <c r="D33897" s="7">
        <v>1.06</v>
      </c>
      <c r="E33897" t="s">
        <v>13</v>
      </c>
    </row>
    <row r="33898" spans="1:5" x14ac:dyDescent="0.25">
      <c r="A33898" t="str">
        <f>HYPERLINK("https://www.773grp.com/globalSearch/MC33464H-20CT1/page-1", "MC33464H-20CT1")</f>
        <v>MC33464H-20CT1</v>
      </c>
      <c r="B33898" s="3" t="s">
        <v>95</v>
      </c>
      <c r="C33898" s="6">
        <v>1000</v>
      </c>
      <c r="D33898" s="7">
        <v>1.06</v>
      </c>
      <c r="E33898" t="s">
        <v>30</v>
      </c>
    </row>
    <row r="33899" spans="1:5" x14ac:dyDescent="0.25">
      <c r="A33899" t="str">
        <f>HYPERLINK("https://www.773grp.com/globalSearch/MC33464H-27AT1/page-1", "MC33464H-27AT1")</f>
        <v>MC33464H-27AT1</v>
      </c>
      <c r="B33899" s="3" t="s">
        <v>95</v>
      </c>
      <c r="C33899" s="6">
        <v>9000</v>
      </c>
      <c r="D33899" s="7">
        <v>1.06</v>
      </c>
      <c r="E33899" t="s">
        <v>30</v>
      </c>
    </row>
    <row r="33900" spans="1:5" x14ac:dyDescent="0.25">
      <c r="A33900" t="str">
        <f>HYPERLINK("https://www.773grp.com/globalSearch/MC33464N-20CTR/page-1", "MC33464N-20CTR")</f>
        <v>MC33464N-20CTR</v>
      </c>
      <c r="B33900" s="3" t="s">
        <v>95</v>
      </c>
      <c r="C33900" s="6">
        <v>37690</v>
      </c>
      <c r="D33900" s="7">
        <v>1.06</v>
      </c>
      <c r="E33900" t="s">
        <v>30</v>
      </c>
    </row>
    <row r="33901" spans="1:5" x14ac:dyDescent="0.25">
      <c r="A33901" t="str">
        <f>HYPERLINK("https://www.773grp.com/globalSearch/MC33464N-27ATR/page-1", "MC33464N-27ATR")</f>
        <v>MC33464N-27ATR</v>
      </c>
      <c r="B33901" s="3" t="s">
        <v>95</v>
      </c>
      <c r="C33901" s="6">
        <v>13663</v>
      </c>
      <c r="D33901" s="7">
        <v>1.06</v>
      </c>
      <c r="E33901" t="s">
        <v>30</v>
      </c>
    </row>
    <row r="33902" spans="1:5" x14ac:dyDescent="0.25">
      <c r="A33902" t="str">
        <f>HYPERLINK("https://www.773grp.com/globalSearch/MC33464N-30ATR/page-1", "MC33464N-30ATR")</f>
        <v>MC33464N-30ATR</v>
      </c>
      <c r="B33902" s="3" t="s">
        <v>95</v>
      </c>
      <c r="C33902" s="6">
        <v>1707</v>
      </c>
      <c r="D33902" s="7">
        <v>1.06</v>
      </c>
      <c r="E33902" t="s">
        <v>30</v>
      </c>
    </row>
    <row r="33903" spans="1:5" x14ac:dyDescent="0.25">
      <c r="A33903" t="str">
        <f>HYPERLINK("https://www.773grp.com/globalSearch/MC33464N-30CTR/page-1", "MC33464N-30CTR")</f>
        <v>MC33464N-30CTR</v>
      </c>
      <c r="B33903" s="3" t="s">
        <v>95</v>
      </c>
      <c r="C33903" s="6">
        <v>104715</v>
      </c>
      <c r="D33903" s="7">
        <v>1.06</v>
      </c>
      <c r="E33903" t="s">
        <v>30</v>
      </c>
    </row>
    <row r="33904" spans="1:5" x14ac:dyDescent="0.25">
      <c r="A33904" t="str">
        <f>HYPERLINK("https://www.773grp.com/globalSearch/MC33464N-48ATR/page-1", "MC33464N-48ATR")</f>
        <v>MC33464N-48ATR</v>
      </c>
      <c r="B33904" s="3" t="s">
        <v>95</v>
      </c>
      <c r="C33904" s="6">
        <v>3000</v>
      </c>
      <c r="D33904" s="7">
        <v>1.06</v>
      </c>
      <c r="E33904" t="s">
        <v>30</v>
      </c>
    </row>
    <row r="33905" spans="1:5" x14ac:dyDescent="0.25">
      <c r="A33905" t="str">
        <f>HYPERLINK("https://www.773grp.com/globalSearch/MC33501SNT1/page-1", "MC33501SNT1")</f>
        <v>MC33501SNT1</v>
      </c>
      <c r="B33905" s="3" t="s">
        <v>95</v>
      </c>
      <c r="C33905" s="6">
        <v>2950</v>
      </c>
      <c r="D33905" s="7">
        <v>1.06</v>
      </c>
      <c r="E33905" t="s">
        <v>13</v>
      </c>
    </row>
    <row r="33906" spans="1:5" x14ac:dyDescent="0.25">
      <c r="A33906" t="str">
        <f>HYPERLINK("https://www.773grp.com/globalSearch/MC33503SNT1/page-1", "MC33503SNT1")</f>
        <v>MC33503SNT1</v>
      </c>
      <c r="B33906" s="3" t="s">
        <v>95</v>
      </c>
      <c r="C33906" s="6">
        <v>500</v>
      </c>
      <c r="D33906" s="7">
        <v>1.06</v>
      </c>
      <c r="E33906" t="s">
        <v>13</v>
      </c>
    </row>
    <row r="33907" spans="1:5" x14ac:dyDescent="0.25">
      <c r="A33907" t="str">
        <f>HYPERLINK("https://www.773grp.com/globalSearch/MC33762DM-2525R2/page-1", "MC33762DM-2525R2")</f>
        <v>MC33762DM-2525R2</v>
      </c>
      <c r="B33907" s="3" t="s">
        <v>95</v>
      </c>
      <c r="C33907" s="6">
        <v>4000</v>
      </c>
      <c r="D33907" s="7">
        <v>1.06</v>
      </c>
      <c r="E33907" t="s">
        <v>44</v>
      </c>
    </row>
    <row r="33908" spans="1:5" x14ac:dyDescent="0.25">
      <c r="A33908" t="str">
        <f>HYPERLINK("https://www.773grp.com/globalSearch/MC33762DM-2828R2/page-1", "MC33762DM-2828R2")</f>
        <v>MC33762DM-2828R2</v>
      </c>
      <c r="B33908" s="3" t="s">
        <v>95</v>
      </c>
      <c r="C33908" s="6">
        <v>2942</v>
      </c>
      <c r="D33908" s="7">
        <v>1.06</v>
      </c>
      <c r="E33908" t="s">
        <v>44</v>
      </c>
    </row>
    <row r="33909" spans="1:5" x14ac:dyDescent="0.25">
      <c r="A33909" t="str">
        <f>HYPERLINK("https://www.773grp.com/globalSearch/MC33762DM-3030R2/page-1", "MC33762DM-3030R2")</f>
        <v>MC33762DM-3030R2</v>
      </c>
      <c r="B33909" s="3" t="s">
        <v>95</v>
      </c>
      <c r="C33909" s="6">
        <v>3992</v>
      </c>
      <c r="D33909" s="7">
        <v>1.06</v>
      </c>
      <c r="E33909" t="s">
        <v>44</v>
      </c>
    </row>
    <row r="33910" spans="1:5" x14ac:dyDescent="0.25">
      <c r="A33910" t="str">
        <f>HYPERLINK("https://www.773grp.com/globalSearch/MC74AC157DG/page-1", "MC74AC157DG")</f>
        <v>MC74AC157DG</v>
      </c>
      <c r="B33910" s="3" t="s">
        <v>95</v>
      </c>
      <c r="C33910" s="6">
        <v>24286</v>
      </c>
      <c r="D33910" s="7">
        <v>1.06</v>
      </c>
      <c r="E33910" t="s">
        <v>20</v>
      </c>
    </row>
    <row r="33911" spans="1:5" x14ac:dyDescent="0.25">
      <c r="A33911" t="str">
        <f>HYPERLINK("https://www.773grp.com/globalSearch/MC74AC157DR2G/page-1", "MC74AC157DR2G")</f>
        <v>MC74AC157DR2G</v>
      </c>
      <c r="B33911" s="3" t="s">
        <v>95</v>
      </c>
      <c r="C33911" s="6">
        <v>11920</v>
      </c>
      <c r="D33911" s="7">
        <v>1.06</v>
      </c>
      <c r="E33911" t="s">
        <v>20</v>
      </c>
    </row>
    <row r="33912" spans="1:5" x14ac:dyDescent="0.25">
      <c r="A33912" t="str">
        <f>HYPERLINK("https://www.773grp.com/globalSearch/MC74AC157DTR2G/page-1", "MC74AC157DTR2G")</f>
        <v>MC74AC157DTR2G</v>
      </c>
      <c r="B33912" s="3" t="s">
        <v>95</v>
      </c>
      <c r="C33912" s="6">
        <v>9545</v>
      </c>
      <c r="D33912" s="7">
        <v>1.06</v>
      </c>
      <c r="E33912" t="s">
        <v>20</v>
      </c>
    </row>
    <row r="33913" spans="1:5" x14ac:dyDescent="0.25">
      <c r="A33913" t="str">
        <f>HYPERLINK("https://www.773grp.com/globalSearch/MC74AC240DWG/page-1", "MC74AC240DWG")</f>
        <v>MC74AC240DWG</v>
      </c>
      <c r="B33913" s="3" t="s">
        <v>95</v>
      </c>
      <c r="C33913" s="6">
        <v>3534</v>
      </c>
      <c r="D33913" s="7">
        <v>1.06</v>
      </c>
      <c r="E33913" t="s">
        <v>14</v>
      </c>
    </row>
    <row r="33914" spans="1:5" x14ac:dyDescent="0.25">
      <c r="A33914" t="str">
        <f>HYPERLINK("https://www.773grp.com/globalSearch/MC74AC240DWR2G/page-1", "MC74AC240DWR2G")</f>
        <v>MC74AC240DWR2G</v>
      </c>
      <c r="B33914" s="3" t="s">
        <v>95</v>
      </c>
      <c r="C33914" s="6">
        <v>1800</v>
      </c>
      <c r="D33914" s="7">
        <v>1.06</v>
      </c>
      <c r="E33914" t="s">
        <v>14</v>
      </c>
    </row>
    <row r="33915" spans="1:5" x14ac:dyDescent="0.25">
      <c r="A33915" t="str">
        <f>HYPERLINK("https://www.773grp.com/globalSearch/MC74AC244DWG/page-1", "MC74AC244DWG")</f>
        <v>MC74AC244DWG</v>
      </c>
      <c r="B33915" s="3" t="s">
        <v>95</v>
      </c>
      <c r="C33915" s="6">
        <v>6441</v>
      </c>
      <c r="D33915" s="7">
        <v>1.06</v>
      </c>
      <c r="E33915" t="s">
        <v>14</v>
      </c>
    </row>
    <row r="33916" spans="1:5" x14ac:dyDescent="0.25">
      <c r="A33916" t="str">
        <f>HYPERLINK("https://www.773grp.com/globalSearch/MC74AC244DWR2G/page-1", "MC74AC244DWR2G")</f>
        <v>MC74AC244DWR2G</v>
      </c>
      <c r="B33916" s="3" t="s">
        <v>95</v>
      </c>
      <c r="C33916" s="6">
        <v>62103</v>
      </c>
      <c r="D33916" s="7">
        <v>1.06</v>
      </c>
      <c r="E33916" t="s">
        <v>14</v>
      </c>
    </row>
    <row r="33917" spans="1:5" x14ac:dyDescent="0.25">
      <c r="A33917" t="str">
        <f>HYPERLINK("https://www.773grp.com/globalSearch/MC74AC245DWG/page-1", "MC74AC245DWG")</f>
        <v>MC74AC245DWG</v>
      </c>
      <c r="B33917" s="3" t="s">
        <v>95</v>
      </c>
      <c r="C33917" s="6">
        <v>6384</v>
      </c>
      <c r="D33917" s="7">
        <v>1.06</v>
      </c>
      <c r="E33917" t="s">
        <v>14</v>
      </c>
    </row>
    <row r="33918" spans="1:5" x14ac:dyDescent="0.25">
      <c r="A33918" t="str">
        <f>HYPERLINK("https://www.773grp.com/globalSearch/MC74AC253DR2G/page-1", "MC74AC253DR2G")</f>
        <v>MC74AC253DR2G</v>
      </c>
      <c r="B33918" s="3" t="s">
        <v>95</v>
      </c>
      <c r="C33918" s="6">
        <v>7884</v>
      </c>
      <c r="D33918" s="7">
        <v>1.06</v>
      </c>
      <c r="E33918" t="s">
        <v>20</v>
      </c>
    </row>
    <row r="33919" spans="1:5" x14ac:dyDescent="0.25">
      <c r="A33919" t="str">
        <f>HYPERLINK("https://www.773grp.com/globalSearch/MC74AC257DR2G/page-1", "MC74AC257DR2G")</f>
        <v>MC74AC257DR2G</v>
      </c>
      <c r="B33919" s="3" t="s">
        <v>95</v>
      </c>
      <c r="C33919" s="6">
        <v>2771</v>
      </c>
      <c r="D33919" s="7">
        <v>1.06</v>
      </c>
      <c r="E33919" t="s">
        <v>20</v>
      </c>
    </row>
    <row r="33920" spans="1:5" x14ac:dyDescent="0.25">
      <c r="A33920" t="str">
        <f>HYPERLINK("https://www.773grp.com/globalSearch/MC74AC273DWG/page-1", "MC74AC273DWG")</f>
        <v>MC74AC273DWG</v>
      </c>
      <c r="B33920" s="3" t="s">
        <v>95</v>
      </c>
      <c r="C33920" s="6">
        <v>46689</v>
      </c>
      <c r="D33920" s="7">
        <v>1.06</v>
      </c>
      <c r="E33920" t="s">
        <v>35</v>
      </c>
    </row>
    <row r="33921" spans="1:5" x14ac:dyDescent="0.25">
      <c r="A33921" t="str">
        <f>HYPERLINK("https://www.773grp.com/globalSearch/MC74AC273DWR2G/page-1", "MC74AC273DWR2G")</f>
        <v>MC74AC273DWR2G</v>
      </c>
      <c r="B33921" s="3" t="s">
        <v>95</v>
      </c>
      <c r="C33921" s="6">
        <v>2000</v>
      </c>
      <c r="D33921" s="7">
        <v>1.06</v>
      </c>
      <c r="E33921" t="s">
        <v>35</v>
      </c>
    </row>
    <row r="33922" spans="1:5" x14ac:dyDescent="0.25">
      <c r="A33922" t="str">
        <f>HYPERLINK("https://www.773grp.com/globalSearch/MC74AC32NG/page-1", "MC74AC32NG")</f>
        <v>MC74AC32NG</v>
      </c>
      <c r="B33922" s="3" t="s">
        <v>95</v>
      </c>
      <c r="C33922" s="6">
        <v>17875</v>
      </c>
      <c r="D33922" s="7">
        <v>1.06</v>
      </c>
      <c r="E33922" t="s">
        <v>31</v>
      </c>
    </row>
    <row r="33923" spans="1:5" x14ac:dyDescent="0.25">
      <c r="A33923" t="str">
        <f>HYPERLINK("https://www.773grp.com/globalSearch/MC74AC373DWG/page-1", "MC74AC373DWG")</f>
        <v>MC74AC373DWG</v>
      </c>
      <c r="B33923" s="3" t="s">
        <v>95</v>
      </c>
      <c r="C33923" s="6">
        <v>14820</v>
      </c>
      <c r="D33923" s="7">
        <v>1.06</v>
      </c>
      <c r="E33923" t="s">
        <v>14</v>
      </c>
    </row>
    <row r="33924" spans="1:5" x14ac:dyDescent="0.25">
      <c r="A33924" t="str">
        <f>HYPERLINK("https://www.773grp.com/globalSearch/MC74AC373DWR2G/page-1", "MC74AC373DWR2G")</f>
        <v>MC74AC373DWR2G</v>
      </c>
      <c r="B33924" s="3" t="s">
        <v>95</v>
      </c>
      <c r="C33924" s="6">
        <v>33036</v>
      </c>
      <c r="D33924" s="7">
        <v>1.06</v>
      </c>
      <c r="E33924" t="s">
        <v>14</v>
      </c>
    </row>
    <row r="33925" spans="1:5" x14ac:dyDescent="0.25">
      <c r="A33925" t="str">
        <f>HYPERLINK("https://www.773grp.com/globalSearch/MC74AC374DWG/page-1", "MC74AC374DWG")</f>
        <v>MC74AC374DWG</v>
      </c>
      <c r="B33925" s="3" t="s">
        <v>95</v>
      </c>
      <c r="C33925" s="6">
        <v>6716</v>
      </c>
      <c r="D33925" s="7">
        <v>1.06</v>
      </c>
      <c r="E33925" t="s">
        <v>14</v>
      </c>
    </row>
    <row r="33926" spans="1:5" x14ac:dyDescent="0.25">
      <c r="A33926" t="str">
        <f>HYPERLINK("https://www.773grp.com/globalSearch/MC74AC374DWR2G/page-1", "MC74AC374DWR2G")</f>
        <v>MC74AC374DWR2G</v>
      </c>
      <c r="B33926" s="3" t="s">
        <v>95</v>
      </c>
      <c r="C33926" s="6">
        <v>5000</v>
      </c>
      <c r="D33926" s="7">
        <v>1.06</v>
      </c>
      <c r="E33926" t="s">
        <v>14</v>
      </c>
    </row>
    <row r="33927" spans="1:5" x14ac:dyDescent="0.25">
      <c r="A33927" t="str">
        <f>HYPERLINK("https://www.773grp.com/globalSearch/MC74AC540DWG/page-1", "MC74AC540DWG")</f>
        <v>MC74AC540DWG</v>
      </c>
      <c r="B33927" s="3" t="s">
        <v>95</v>
      </c>
      <c r="C33927" s="6">
        <v>7622</v>
      </c>
      <c r="D33927" s="7">
        <v>1.06</v>
      </c>
      <c r="E33927" t="s">
        <v>14</v>
      </c>
    </row>
    <row r="33928" spans="1:5" x14ac:dyDescent="0.25">
      <c r="A33928" t="str">
        <f>HYPERLINK("https://www.773grp.com/globalSearch/MC74AC541DTR2G/page-1", "MC74AC541DTR2G")</f>
        <v>MC74AC541DTR2G</v>
      </c>
      <c r="B33928" s="3" t="s">
        <v>95</v>
      </c>
      <c r="C33928" s="6">
        <v>4110</v>
      </c>
      <c r="D33928" s="7">
        <v>1.06</v>
      </c>
      <c r="E33928" t="s">
        <v>14</v>
      </c>
    </row>
    <row r="33929" spans="1:5" x14ac:dyDescent="0.25">
      <c r="A33929" t="str">
        <f>HYPERLINK("https://www.773grp.com/globalSearch/MC74AC541DW/page-1", "MC74AC541DW")</f>
        <v>MC74AC541DW</v>
      </c>
      <c r="B33929" s="3" t="s">
        <v>95</v>
      </c>
      <c r="C33929" s="6">
        <v>3078</v>
      </c>
      <c r="D33929" s="7">
        <v>1.06</v>
      </c>
      <c r="E33929" t="s">
        <v>14</v>
      </c>
    </row>
    <row r="33930" spans="1:5" x14ac:dyDescent="0.25">
      <c r="A33930" t="str">
        <f>HYPERLINK("https://www.773grp.com/globalSearch/MC74AC541DWG/page-1", "MC74AC541DWG")</f>
        <v>MC74AC541DWG</v>
      </c>
      <c r="B33930" s="3" t="s">
        <v>95</v>
      </c>
      <c r="C33930" s="6">
        <v>113</v>
      </c>
      <c r="D33930" s="7">
        <v>1.06</v>
      </c>
      <c r="E33930" t="s">
        <v>14</v>
      </c>
    </row>
    <row r="33931" spans="1:5" x14ac:dyDescent="0.25">
      <c r="A33931" t="str">
        <f>HYPERLINK("https://www.773grp.com/globalSearch/MC74AC541DWR2/page-1", "MC74AC541DWR2")</f>
        <v>MC74AC541DWR2</v>
      </c>
      <c r="B33931" s="3" t="s">
        <v>95</v>
      </c>
      <c r="C33931" s="6">
        <v>105</v>
      </c>
      <c r="D33931" s="7">
        <v>1.06</v>
      </c>
      <c r="E33931" t="s">
        <v>14</v>
      </c>
    </row>
    <row r="33932" spans="1:5" x14ac:dyDescent="0.25">
      <c r="A33932" t="str">
        <f>HYPERLINK("https://www.773grp.com/globalSearch/MC74AC541DWR2G/page-1", "MC74AC541DWR2G")</f>
        <v>MC74AC541DWR2G</v>
      </c>
      <c r="B33932" s="3" t="s">
        <v>95</v>
      </c>
      <c r="C33932" s="6">
        <v>2000</v>
      </c>
      <c r="D33932" s="7">
        <v>1.06</v>
      </c>
      <c r="E33932" t="s">
        <v>14</v>
      </c>
    </row>
    <row r="33933" spans="1:5" x14ac:dyDescent="0.25">
      <c r="A33933" t="str">
        <f>HYPERLINK("https://www.773grp.com/globalSearch/MC74AC573DW/page-1", "MC74AC573DW")</f>
        <v>MC74AC573DW</v>
      </c>
      <c r="B33933" s="3" t="s">
        <v>95</v>
      </c>
      <c r="C33933" s="6">
        <v>8728</v>
      </c>
      <c r="D33933" s="7">
        <v>1.06</v>
      </c>
      <c r="E33933" t="s">
        <v>14</v>
      </c>
    </row>
    <row r="33934" spans="1:5" x14ac:dyDescent="0.25">
      <c r="A33934" t="str">
        <f>HYPERLINK("https://www.773grp.com/globalSearch/MC74AC573DWG/page-1", "MC74AC573DWG")</f>
        <v>MC74AC573DWG</v>
      </c>
      <c r="B33934" s="3" t="s">
        <v>95</v>
      </c>
      <c r="C33934" s="6">
        <v>13100</v>
      </c>
      <c r="D33934" s="7">
        <v>1.06</v>
      </c>
      <c r="E33934" t="s">
        <v>14</v>
      </c>
    </row>
    <row r="33935" spans="1:5" x14ac:dyDescent="0.25">
      <c r="A33935" t="str">
        <f>HYPERLINK("https://www.773grp.com/globalSearch/MC74AC573DWR2G/page-1", "MC74AC573DWR2G")</f>
        <v>MC74AC573DWR2G</v>
      </c>
      <c r="B33935" s="3" t="s">
        <v>95</v>
      </c>
      <c r="C33935" s="6">
        <v>2391</v>
      </c>
      <c r="D33935" s="7">
        <v>1.06</v>
      </c>
    </row>
    <row r="33936" spans="1:5" x14ac:dyDescent="0.25">
      <c r="A33936" t="str">
        <f>HYPERLINK("https://www.773grp.com/globalSearch/MC74AC574DWG/page-1", "MC74AC574DWG")</f>
        <v>MC74AC574DWG</v>
      </c>
      <c r="B33936" s="3" t="s">
        <v>95</v>
      </c>
      <c r="C33936" s="6">
        <v>18592</v>
      </c>
      <c r="D33936" s="7">
        <v>1.06</v>
      </c>
      <c r="E33936" t="s">
        <v>14</v>
      </c>
    </row>
    <row r="33937" spans="1:5" x14ac:dyDescent="0.25">
      <c r="A33937" t="str">
        <f>HYPERLINK("https://www.773grp.com/globalSearch/MC74AC574DWR2G/page-1", "MC74AC574DWR2G")</f>
        <v>MC74AC574DWR2G</v>
      </c>
      <c r="B33937" s="3" t="s">
        <v>95</v>
      </c>
      <c r="C33937" s="6">
        <v>17190</v>
      </c>
      <c r="D33937" s="7">
        <v>1.06</v>
      </c>
      <c r="E33937" t="s">
        <v>14</v>
      </c>
    </row>
    <row r="33938" spans="1:5" x14ac:dyDescent="0.25">
      <c r="A33938" t="str">
        <f>HYPERLINK("https://www.773grp.com/globalSearch/MC74AC74NG/page-1", "MC74AC74NG")</f>
        <v>MC74AC74NG</v>
      </c>
      <c r="B33938" s="3" t="s">
        <v>95</v>
      </c>
      <c r="C33938" s="6">
        <v>16145</v>
      </c>
      <c r="D33938" s="7">
        <v>1.06</v>
      </c>
      <c r="E33938" t="s">
        <v>35</v>
      </c>
    </row>
    <row r="33939" spans="1:5" x14ac:dyDescent="0.25">
      <c r="A33939" t="str">
        <f>HYPERLINK("https://www.773grp.com/globalSearch/MC74AC86NG/page-1", "MC74AC86NG")</f>
        <v>MC74AC86NG</v>
      </c>
      <c r="B33939" s="3" t="s">
        <v>95</v>
      </c>
      <c r="C33939" s="6">
        <v>2775</v>
      </c>
      <c r="D33939" s="7">
        <v>1.06</v>
      </c>
      <c r="E33939" t="s">
        <v>31</v>
      </c>
    </row>
    <row r="33940" spans="1:5" x14ac:dyDescent="0.25">
      <c r="A33940" t="str">
        <f>HYPERLINK("https://www.773grp.com/globalSearch/MC74ACT153DG/page-1", "MC74ACT153DG")</f>
        <v>MC74ACT153DG</v>
      </c>
      <c r="B33940" s="3" t="s">
        <v>95</v>
      </c>
      <c r="C33940" s="6">
        <v>5818</v>
      </c>
      <c r="D33940" s="7">
        <v>1.06</v>
      </c>
      <c r="E33940" t="s">
        <v>20</v>
      </c>
    </row>
    <row r="33941" spans="1:5" x14ac:dyDescent="0.25">
      <c r="A33941" t="str">
        <f>HYPERLINK("https://www.773grp.com/globalSearch/MC74ACT157DG/page-1", "MC74ACT157DG")</f>
        <v>MC74ACT157DG</v>
      </c>
      <c r="B33941" s="3" t="s">
        <v>95</v>
      </c>
      <c r="C33941" s="6">
        <v>6552</v>
      </c>
      <c r="D33941" s="7">
        <v>1.06</v>
      </c>
      <c r="E33941" t="s">
        <v>20</v>
      </c>
    </row>
    <row r="33942" spans="1:5" x14ac:dyDescent="0.25">
      <c r="A33942" t="str">
        <f>HYPERLINK("https://www.773grp.com/globalSearch/MC74ACT157DR2/page-1", "MC74ACT157DR2")</f>
        <v>MC74ACT157DR2</v>
      </c>
      <c r="B33942" s="3" t="s">
        <v>95</v>
      </c>
      <c r="C33942" s="6">
        <v>5000</v>
      </c>
      <c r="D33942" s="7">
        <v>1.06</v>
      </c>
      <c r="E33942" t="s">
        <v>20</v>
      </c>
    </row>
    <row r="33943" spans="1:5" x14ac:dyDescent="0.25">
      <c r="A33943" t="str">
        <f>HYPERLINK("https://www.773grp.com/globalSearch/MC74ACT157DR2G/page-1", "MC74ACT157DR2G")</f>
        <v>MC74ACT157DR2G</v>
      </c>
      <c r="B33943" s="3" t="s">
        <v>95</v>
      </c>
      <c r="C33943" s="6">
        <v>2500</v>
      </c>
      <c r="D33943" s="7">
        <v>1.06</v>
      </c>
      <c r="E33943" t="s">
        <v>20</v>
      </c>
    </row>
    <row r="33944" spans="1:5" x14ac:dyDescent="0.25">
      <c r="A33944" t="str">
        <f>HYPERLINK("https://www.773grp.com/globalSearch/MC74ACT157DTR2G/page-1", "MC74ACT157DTR2G")</f>
        <v>MC74ACT157DTR2G</v>
      </c>
      <c r="B33944" s="3" t="s">
        <v>95</v>
      </c>
      <c r="C33944" s="6">
        <v>17500</v>
      </c>
      <c r="D33944" s="7">
        <v>1.06</v>
      </c>
      <c r="E33944" t="s">
        <v>20</v>
      </c>
    </row>
    <row r="33945" spans="1:5" x14ac:dyDescent="0.25">
      <c r="A33945" t="str">
        <f>HYPERLINK("https://www.773grp.com/globalSearch/MC74ACT240DWG/page-1", "MC74ACT240DWG")</f>
        <v>MC74ACT240DWG</v>
      </c>
      <c r="B33945" s="3" t="s">
        <v>95</v>
      </c>
      <c r="C33945" s="6">
        <v>9101</v>
      </c>
      <c r="D33945" s="7">
        <v>1.06</v>
      </c>
      <c r="E33945" t="s">
        <v>14</v>
      </c>
    </row>
    <row r="33946" spans="1:5" x14ac:dyDescent="0.25">
      <c r="A33946" t="str">
        <f>HYPERLINK("https://www.773grp.com/globalSearch/MC74ACT240DWR2G/page-1", "MC74ACT240DWR2G")</f>
        <v>MC74ACT240DWR2G</v>
      </c>
      <c r="B33946" s="3" t="s">
        <v>95</v>
      </c>
      <c r="C33946" s="6">
        <v>2839</v>
      </c>
      <c r="D33946" s="7">
        <v>1.06</v>
      </c>
      <c r="E33946" t="s">
        <v>14</v>
      </c>
    </row>
    <row r="33947" spans="1:5" x14ac:dyDescent="0.25">
      <c r="A33947" t="str">
        <f>HYPERLINK("https://www.773grp.com/globalSearch/MC74ACT241DWG/page-1", "MC74ACT241DWG")</f>
        <v>MC74ACT241DWG</v>
      </c>
      <c r="B33947" s="3" t="s">
        <v>95</v>
      </c>
      <c r="C33947" s="6">
        <v>6026</v>
      </c>
      <c r="D33947" s="7">
        <v>1.06</v>
      </c>
      <c r="E33947" t="s">
        <v>14</v>
      </c>
    </row>
    <row r="33948" spans="1:5" x14ac:dyDescent="0.25">
      <c r="A33948" t="str">
        <f>HYPERLINK("https://www.773grp.com/globalSearch/MC74ACT241DWR2G/page-1", "MC74ACT241DWR2G")</f>
        <v>MC74ACT241DWR2G</v>
      </c>
      <c r="B33948" s="3" t="s">
        <v>95</v>
      </c>
      <c r="C33948" s="6">
        <v>926</v>
      </c>
      <c r="D33948" s="7">
        <v>1.06</v>
      </c>
      <c r="E33948" t="s">
        <v>14</v>
      </c>
    </row>
    <row r="33949" spans="1:5" x14ac:dyDescent="0.25">
      <c r="A33949" t="str">
        <f>HYPERLINK("https://www.773grp.com/globalSearch/MC74ACT244DWG/page-1", "MC74ACT244DWG")</f>
        <v>MC74ACT244DWG</v>
      </c>
      <c r="B33949" s="3" t="s">
        <v>95</v>
      </c>
      <c r="C33949" s="6">
        <v>1182</v>
      </c>
      <c r="D33949" s="7">
        <v>1.06</v>
      </c>
      <c r="E33949" t="s">
        <v>14</v>
      </c>
    </row>
    <row r="33950" spans="1:5" x14ac:dyDescent="0.25">
      <c r="A33950" t="str">
        <f>HYPERLINK("https://www.773grp.com/globalSearch/MC74ACT244DWR2G/page-1", "MC74ACT244DWR2G")</f>
        <v>MC74ACT244DWR2G</v>
      </c>
      <c r="B33950" s="3" t="s">
        <v>95</v>
      </c>
      <c r="C33950" s="6">
        <v>1000</v>
      </c>
      <c r="D33950" s="7">
        <v>1.06</v>
      </c>
    </row>
    <row r="33951" spans="1:5" x14ac:dyDescent="0.25">
      <c r="A33951" t="str">
        <f>HYPERLINK("https://www.773grp.com/globalSearch/MC74ACT245DWG/page-1", "MC74ACT245DWG")</f>
        <v>MC74ACT245DWG</v>
      </c>
      <c r="B33951" s="3" t="s">
        <v>95</v>
      </c>
      <c r="C33951" s="6">
        <v>3879</v>
      </c>
      <c r="D33951" s="7">
        <v>1.06</v>
      </c>
      <c r="E33951" t="s">
        <v>14</v>
      </c>
    </row>
    <row r="33952" spans="1:5" x14ac:dyDescent="0.25">
      <c r="A33952" t="str">
        <f>HYPERLINK("https://www.773grp.com/globalSearch/MC74ACT245DWR2G/page-1", "MC74ACT245DWR2G")</f>
        <v>MC74ACT245DWR2G</v>
      </c>
      <c r="B33952" s="3" t="s">
        <v>95</v>
      </c>
      <c r="C33952" s="6">
        <v>1585</v>
      </c>
      <c r="D33952" s="7">
        <v>1.06</v>
      </c>
      <c r="E33952" t="s">
        <v>14</v>
      </c>
    </row>
    <row r="33953" spans="1:5" x14ac:dyDescent="0.25">
      <c r="A33953" t="str">
        <f>HYPERLINK("https://www.773grp.com/globalSearch/MC74ACT251D/page-1", "MC74ACT251D")</f>
        <v>MC74ACT251D</v>
      </c>
      <c r="B33953" s="3" t="s">
        <v>95</v>
      </c>
      <c r="C33953" s="6">
        <v>13676</v>
      </c>
      <c r="D33953" s="7">
        <v>1.06</v>
      </c>
      <c r="E33953" t="s">
        <v>20</v>
      </c>
    </row>
    <row r="33954" spans="1:5" x14ac:dyDescent="0.25">
      <c r="A33954" t="str">
        <f>HYPERLINK("https://www.773grp.com/globalSearch/MC74ACT251DR2/page-1", "MC74ACT251DR2")</f>
        <v>MC74ACT251DR2</v>
      </c>
      <c r="B33954" s="3" t="s">
        <v>95</v>
      </c>
      <c r="C33954" s="6">
        <v>17500</v>
      </c>
      <c r="D33954" s="7">
        <v>1.06</v>
      </c>
      <c r="E33954" t="s">
        <v>20</v>
      </c>
    </row>
    <row r="33955" spans="1:5" x14ac:dyDescent="0.25">
      <c r="A33955" t="str">
        <f>HYPERLINK("https://www.773grp.com/globalSearch/MC74ACT253DG/page-1", "MC74ACT253DG")</f>
        <v>MC74ACT253DG</v>
      </c>
      <c r="B33955" s="3" t="s">
        <v>95</v>
      </c>
      <c r="C33955" s="6">
        <v>10128</v>
      </c>
      <c r="D33955" s="7">
        <v>1.06</v>
      </c>
      <c r="E33955" t="s">
        <v>20</v>
      </c>
    </row>
    <row r="33956" spans="1:5" x14ac:dyDescent="0.25">
      <c r="A33956" t="str">
        <f>HYPERLINK("https://www.773grp.com/globalSearch/MC74ACT253DR2G/page-1", "MC74ACT253DR2G")</f>
        <v>MC74ACT253DR2G</v>
      </c>
      <c r="B33956" s="3" t="s">
        <v>95</v>
      </c>
      <c r="C33956" s="6">
        <v>2500</v>
      </c>
      <c r="D33956" s="7">
        <v>1.06</v>
      </c>
      <c r="E33956" t="s">
        <v>20</v>
      </c>
    </row>
    <row r="33957" spans="1:5" x14ac:dyDescent="0.25">
      <c r="A33957" t="str">
        <f>HYPERLINK("https://www.773grp.com/globalSearch/MC74ACT257DG/page-1", "MC74ACT257DG")</f>
        <v>MC74ACT257DG</v>
      </c>
      <c r="B33957" s="3" t="s">
        <v>95</v>
      </c>
      <c r="C33957" s="6">
        <v>17323</v>
      </c>
      <c r="D33957" s="7">
        <v>1.06</v>
      </c>
      <c r="E33957" t="s">
        <v>20</v>
      </c>
    </row>
    <row r="33958" spans="1:5" x14ac:dyDescent="0.25">
      <c r="A33958" t="str">
        <f>HYPERLINK("https://www.773grp.com/globalSearch/MC74ACT257DR2G/page-1", "MC74ACT257DR2G")</f>
        <v>MC74ACT257DR2G</v>
      </c>
      <c r="B33958" s="3" t="s">
        <v>95</v>
      </c>
      <c r="C33958" s="6">
        <v>67500</v>
      </c>
      <c r="D33958" s="7">
        <v>1.06</v>
      </c>
      <c r="E33958" t="s">
        <v>20</v>
      </c>
    </row>
    <row r="33959" spans="1:5" x14ac:dyDescent="0.25">
      <c r="A33959" t="str">
        <f>HYPERLINK("https://www.773grp.com/globalSearch/MC74ACT32NG/page-1", "MC74ACT32NG")</f>
        <v>MC74ACT32NG</v>
      </c>
      <c r="B33959" s="3" t="s">
        <v>95</v>
      </c>
      <c r="C33959" s="6">
        <v>26910</v>
      </c>
      <c r="D33959" s="7">
        <v>1.06</v>
      </c>
      <c r="E33959" t="s">
        <v>31</v>
      </c>
    </row>
    <row r="33960" spans="1:5" x14ac:dyDescent="0.25">
      <c r="A33960" t="str">
        <f>HYPERLINK("https://www.773grp.com/globalSearch/MC74ACT373DW/page-1", "MC74ACT373DW")</f>
        <v>MC74ACT373DW</v>
      </c>
      <c r="B33960" s="3" t="s">
        <v>95</v>
      </c>
      <c r="C33960" s="6">
        <v>836</v>
      </c>
      <c r="D33960" s="7">
        <v>1.06</v>
      </c>
      <c r="E33960" t="s">
        <v>14</v>
      </c>
    </row>
    <row r="33961" spans="1:5" x14ac:dyDescent="0.25">
      <c r="A33961" t="str">
        <f>HYPERLINK("https://www.773grp.com/globalSearch/MC74ACT373DWG/page-1", "MC74ACT373DWG")</f>
        <v>MC74ACT373DWG</v>
      </c>
      <c r="B33961" s="3" t="s">
        <v>95</v>
      </c>
      <c r="C33961" s="6">
        <v>8386</v>
      </c>
      <c r="D33961" s="7">
        <v>1.06</v>
      </c>
      <c r="E33961" t="s">
        <v>14</v>
      </c>
    </row>
    <row r="33962" spans="1:5" x14ac:dyDescent="0.25">
      <c r="A33962" t="str">
        <f>HYPERLINK("https://www.773grp.com/globalSearch/MC74ACT373DWR2G/page-1", "MC74ACT373DWR2G")</f>
        <v>MC74ACT373DWR2G</v>
      </c>
      <c r="B33962" s="3" t="s">
        <v>95</v>
      </c>
      <c r="C33962" s="6">
        <v>11000</v>
      </c>
      <c r="D33962" s="7">
        <v>1.06</v>
      </c>
      <c r="E33962" t="s">
        <v>14</v>
      </c>
    </row>
    <row r="33963" spans="1:5" x14ac:dyDescent="0.25">
      <c r="A33963" t="str">
        <f>HYPERLINK("https://www.773grp.com/globalSearch/MC74ACT374DWG/page-1", "MC74ACT374DWG")</f>
        <v>MC74ACT374DWG</v>
      </c>
      <c r="B33963" s="3" t="s">
        <v>95</v>
      </c>
      <c r="C33963" s="6">
        <v>2090</v>
      </c>
      <c r="D33963" s="7">
        <v>1.06</v>
      </c>
      <c r="E33963" t="s">
        <v>14</v>
      </c>
    </row>
    <row r="33964" spans="1:5" x14ac:dyDescent="0.25">
      <c r="A33964" t="str">
        <f>HYPERLINK("https://www.773grp.com/globalSearch/MC74ACT374DWR2G/page-1", "MC74ACT374DWR2G")</f>
        <v>MC74ACT374DWR2G</v>
      </c>
      <c r="B33964" s="3" t="s">
        <v>95</v>
      </c>
      <c r="C33964" s="6">
        <v>1852</v>
      </c>
      <c r="D33964" s="7">
        <v>1.06</v>
      </c>
      <c r="E33964" t="s">
        <v>14</v>
      </c>
    </row>
    <row r="33965" spans="1:5" x14ac:dyDescent="0.25">
      <c r="A33965" t="str">
        <f>HYPERLINK("https://www.773grp.com/globalSearch/MC74ACT540DTR2G/page-1", "MC74ACT540DTR2G")</f>
        <v>MC74ACT540DTR2G</v>
      </c>
      <c r="B33965" s="3" t="s">
        <v>95</v>
      </c>
      <c r="C33965" s="6">
        <v>30000</v>
      </c>
      <c r="D33965" s="7">
        <v>1.06</v>
      </c>
    </row>
    <row r="33966" spans="1:5" x14ac:dyDescent="0.25">
      <c r="A33966" t="str">
        <f>HYPERLINK("https://www.773grp.com/globalSearch/MC74ACT540DWG/page-1", "MC74ACT540DWG")</f>
        <v>MC74ACT540DWG</v>
      </c>
      <c r="B33966" s="3" t="s">
        <v>95</v>
      </c>
      <c r="C33966" s="6">
        <v>5472</v>
      </c>
      <c r="D33966" s="7">
        <v>1.06</v>
      </c>
      <c r="E33966" t="s">
        <v>14</v>
      </c>
    </row>
    <row r="33967" spans="1:5" x14ac:dyDescent="0.25">
      <c r="A33967" t="str">
        <f>HYPERLINK("https://www.773grp.com/globalSearch/MC74ACT540DWR2/page-1", "MC74ACT540DWR2")</f>
        <v>MC74ACT540DWR2</v>
      </c>
      <c r="B33967" s="3" t="s">
        <v>95</v>
      </c>
      <c r="C33967" s="6">
        <v>15000</v>
      </c>
      <c r="D33967" s="7">
        <v>1.06</v>
      </c>
      <c r="E33967" t="s">
        <v>14</v>
      </c>
    </row>
    <row r="33968" spans="1:5" x14ac:dyDescent="0.25">
      <c r="A33968" t="str">
        <f>HYPERLINK("https://www.773grp.com/globalSearch/MC74ACT540DWR2G/page-1", "MC74ACT540DWR2G")</f>
        <v>MC74ACT540DWR2G</v>
      </c>
      <c r="B33968" s="3" t="s">
        <v>95</v>
      </c>
      <c r="C33968" s="6">
        <v>1874</v>
      </c>
      <c r="D33968" s="7">
        <v>1.06</v>
      </c>
      <c r="E33968" t="s">
        <v>14</v>
      </c>
    </row>
    <row r="33969" spans="1:5" x14ac:dyDescent="0.25">
      <c r="A33969" t="str">
        <f>HYPERLINK("https://www.773grp.com/globalSearch/MC74ACT541DTG/page-1", "MC74ACT541DTG")</f>
        <v>MC74ACT541DTG</v>
      </c>
      <c r="B33969" s="3" t="s">
        <v>95</v>
      </c>
      <c r="C33969" s="6">
        <v>11325</v>
      </c>
      <c r="D33969" s="7">
        <v>1.06</v>
      </c>
      <c r="E33969" t="s">
        <v>14</v>
      </c>
    </row>
    <row r="33970" spans="1:5" x14ac:dyDescent="0.25">
      <c r="A33970" t="str">
        <f>HYPERLINK("https://www.773grp.com/globalSearch/MC74ACT541DTR2G/page-1", "MC74ACT541DTR2G")</f>
        <v>MC74ACT541DTR2G</v>
      </c>
      <c r="B33970" s="3" t="s">
        <v>95</v>
      </c>
      <c r="C33970" s="6">
        <v>9862</v>
      </c>
      <c r="D33970" s="7">
        <v>1.06</v>
      </c>
      <c r="E33970" t="s">
        <v>14</v>
      </c>
    </row>
    <row r="33971" spans="1:5" x14ac:dyDescent="0.25">
      <c r="A33971" t="str">
        <f>HYPERLINK("https://www.773grp.com/globalSearch/MC74ACT541DW/page-1", "MC74ACT541DW")</f>
        <v>MC74ACT541DW</v>
      </c>
      <c r="B33971" s="3" t="s">
        <v>95</v>
      </c>
      <c r="C33971" s="6">
        <v>958</v>
      </c>
      <c r="D33971" s="7">
        <v>1.06</v>
      </c>
      <c r="E33971" t="s">
        <v>14</v>
      </c>
    </row>
    <row r="33972" spans="1:5" x14ac:dyDescent="0.25">
      <c r="A33972" t="str">
        <f>HYPERLINK("https://www.773grp.com/globalSearch/MC74ACT541DWG/page-1", "MC74ACT541DWG")</f>
        <v>MC74ACT541DWG</v>
      </c>
      <c r="B33972" s="3" t="s">
        <v>95</v>
      </c>
      <c r="C33972" s="6">
        <v>3330</v>
      </c>
      <c r="D33972" s="7">
        <v>1.06</v>
      </c>
      <c r="E33972" t="s">
        <v>14</v>
      </c>
    </row>
    <row r="33973" spans="1:5" x14ac:dyDescent="0.25">
      <c r="A33973" t="str">
        <f>HYPERLINK("https://www.773grp.com/globalSearch/MC74ACT541DWR2/page-1", "MC74ACT541DWR2")</f>
        <v>MC74ACT541DWR2</v>
      </c>
      <c r="B33973" s="3" t="s">
        <v>95</v>
      </c>
      <c r="C33973" s="6">
        <v>5000</v>
      </c>
      <c r="D33973" s="7">
        <v>1.06</v>
      </c>
      <c r="E33973" t="s">
        <v>14</v>
      </c>
    </row>
    <row r="33974" spans="1:5" x14ac:dyDescent="0.25">
      <c r="A33974" t="str">
        <f>HYPERLINK("https://www.773grp.com/globalSearch/MC74ACT541DWR2G/page-1", "MC74ACT541DWR2G")</f>
        <v>MC74ACT541DWR2G</v>
      </c>
      <c r="B33974" s="3" t="s">
        <v>95</v>
      </c>
      <c r="C33974" s="6">
        <v>1740</v>
      </c>
      <c r="D33974" s="7">
        <v>1.06</v>
      </c>
      <c r="E33974" t="s">
        <v>14</v>
      </c>
    </row>
    <row r="33975" spans="1:5" x14ac:dyDescent="0.25">
      <c r="A33975" t="str">
        <f>HYPERLINK("https://www.773grp.com/globalSearch/MC74ACT573DWG/page-1", "MC74ACT573DWG")</f>
        <v>MC74ACT573DWG</v>
      </c>
      <c r="B33975" s="3" t="s">
        <v>95</v>
      </c>
      <c r="C33975" s="6">
        <v>4518</v>
      </c>
      <c r="D33975" s="7">
        <v>1.06</v>
      </c>
      <c r="E33975" t="s">
        <v>14</v>
      </c>
    </row>
    <row r="33976" spans="1:5" x14ac:dyDescent="0.25">
      <c r="A33976" t="str">
        <f>HYPERLINK("https://www.773grp.com/globalSearch/MC74ACT573DWR2G/page-1", "MC74ACT573DWR2G")</f>
        <v>MC74ACT573DWR2G</v>
      </c>
      <c r="B33976" s="3" t="s">
        <v>95</v>
      </c>
      <c r="C33976" s="6">
        <v>6000</v>
      </c>
      <c r="D33976" s="7">
        <v>1.06</v>
      </c>
      <c r="E33976" t="s">
        <v>14</v>
      </c>
    </row>
    <row r="33977" spans="1:5" x14ac:dyDescent="0.25">
      <c r="A33977" t="str">
        <f>HYPERLINK("https://www.773grp.com/globalSearch/MC74ACT574DWG/page-1", "MC74ACT574DWG")</f>
        <v>MC74ACT574DWG</v>
      </c>
      <c r="B33977" s="3" t="s">
        <v>95</v>
      </c>
      <c r="C33977" s="6">
        <v>9051</v>
      </c>
      <c r="D33977" s="7">
        <v>1.06</v>
      </c>
      <c r="E33977" t="s">
        <v>14</v>
      </c>
    </row>
    <row r="33978" spans="1:5" x14ac:dyDescent="0.25">
      <c r="A33978" t="str">
        <f>HYPERLINK("https://www.773grp.com/globalSearch/MC74ACT574DWR2G/page-1", "MC74ACT574DWR2G")</f>
        <v>MC74ACT574DWR2G</v>
      </c>
      <c r="B33978" s="3" t="s">
        <v>95</v>
      </c>
      <c r="C33978" s="6">
        <v>3000</v>
      </c>
      <c r="D33978" s="7">
        <v>1.06</v>
      </c>
      <c r="E33978" t="s">
        <v>14</v>
      </c>
    </row>
    <row r="33979" spans="1:5" x14ac:dyDescent="0.25">
      <c r="A33979" t="str">
        <f>HYPERLINK("https://www.773grp.com/globalSearch/MC74ACT74NG/page-1", "MC74ACT74NG")</f>
        <v>MC74ACT74NG</v>
      </c>
      <c r="B33979" s="3" t="s">
        <v>95</v>
      </c>
      <c r="C33979" s="6">
        <v>5808</v>
      </c>
      <c r="D33979" s="7">
        <v>1.06</v>
      </c>
      <c r="E33979" t="s">
        <v>35</v>
      </c>
    </row>
    <row r="33980" spans="1:5" x14ac:dyDescent="0.25">
      <c r="A33980" t="str">
        <f>HYPERLINK("https://www.773grp.com/globalSearch/MC74ACT86NG/page-1", "MC74ACT86NG")</f>
        <v>MC74ACT86NG</v>
      </c>
      <c r="B33980" s="3" t="s">
        <v>95</v>
      </c>
      <c r="C33980" s="6">
        <v>35927</v>
      </c>
      <c r="D33980" s="7">
        <v>1.06</v>
      </c>
      <c r="E33980" t="s">
        <v>31</v>
      </c>
    </row>
    <row r="33981" spans="1:5" x14ac:dyDescent="0.25">
      <c r="A33981" t="str">
        <f>HYPERLINK("https://www.773grp.com/globalSearch/MC74F112D/page-1", "MC74F112D")</f>
        <v>MC74F112D</v>
      </c>
      <c r="B33981" s="3" t="s">
        <v>95</v>
      </c>
      <c r="C33981" s="6">
        <v>9572</v>
      </c>
      <c r="D33981" s="7">
        <v>1.06</v>
      </c>
      <c r="E33981" t="s">
        <v>35</v>
      </c>
    </row>
    <row r="33982" spans="1:5" x14ac:dyDescent="0.25">
      <c r="A33982" t="str">
        <f>HYPERLINK("https://www.773grp.com/globalSearch/MC74F112N/page-1", "MC74F112N")</f>
        <v>MC74F112N</v>
      </c>
      <c r="B33982" s="3" t="s">
        <v>95</v>
      </c>
      <c r="C33982" s="6">
        <v>587</v>
      </c>
      <c r="D33982" s="7">
        <v>1.06</v>
      </c>
      <c r="E33982" t="s">
        <v>35</v>
      </c>
    </row>
    <row r="33983" spans="1:5" x14ac:dyDescent="0.25">
      <c r="A33983" t="str">
        <f>HYPERLINK("https://www.773grp.com/globalSearch/MC74F174N/page-1", "MC74F174N")</f>
        <v>MC74F174N</v>
      </c>
      <c r="B33983" s="3" t="s">
        <v>95</v>
      </c>
      <c r="C33983" s="6">
        <v>41</v>
      </c>
      <c r="D33983" s="7">
        <v>1.06</v>
      </c>
      <c r="E33983" t="s">
        <v>35</v>
      </c>
    </row>
    <row r="33984" spans="1:5" x14ac:dyDescent="0.25">
      <c r="A33984" t="str">
        <f>HYPERLINK("https://www.773grp.com/globalSearch/MC74F175N/page-1", "MC74F175N")</f>
        <v>MC74F175N</v>
      </c>
      <c r="B33984" s="3" t="s">
        <v>95</v>
      </c>
      <c r="C33984" s="6">
        <v>53</v>
      </c>
      <c r="D33984" s="7">
        <v>1.06</v>
      </c>
      <c r="E33984" t="s">
        <v>35</v>
      </c>
    </row>
    <row r="33985" spans="1:5" x14ac:dyDescent="0.25">
      <c r="A33985" t="str">
        <f>HYPERLINK("https://www.773grp.com/globalSearch/MC74HC10F/page-1", "MC74HC10F")</f>
        <v>MC74HC10F</v>
      </c>
      <c r="B33985" s="3" t="s">
        <v>95</v>
      </c>
      <c r="C33985" s="6">
        <v>605</v>
      </c>
      <c r="D33985" s="7">
        <v>1.06</v>
      </c>
    </row>
    <row r="33986" spans="1:5" x14ac:dyDescent="0.25">
      <c r="A33986" t="str">
        <f>HYPERLINK("https://www.773grp.com/globalSearch/MC74HC125ADG/page-1", "MC74HC125ADG")</f>
        <v>MC74HC125ADG</v>
      </c>
      <c r="B33986" s="3" t="s">
        <v>95</v>
      </c>
      <c r="C33986" s="6">
        <v>15530</v>
      </c>
      <c r="D33986" s="7">
        <v>1.06</v>
      </c>
      <c r="E33986" t="s">
        <v>14</v>
      </c>
    </row>
    <row r="33987" spans="1:5" x14ac:dyDescent="0.25">
      <c r="A33987" t="str">
        <f>HYPERLINK("https://www.773grp.com/globalSearch/MC74HC125ADR2G/page-1", "MC74HC125ADR2G")</f>
        <v>MC74HC125ADR2G</v>
      </c>
      <c r="B33987" s="3" t="s">
        <v>95</v>
      </c>
      <c r="C33987" s="6">
        <v>133694</v>
      </c>
      <c r="D33987" s="7">
        <v>1.06</v>
      </c>
      <c r="E33987" t="s">
        <v>14</v>
      </c>
    </row>
    <row r="33988" spans="1:5" x14ac:dyDescent="0.25">
      <c r="A33988" t="str">
        <f>HYPERLINK("https://www.773grp.com/globalSearch/MC74HC126ADG/page-1", "MC74HC126ADG")</f>
        <v>MC74HC126ADG</v>
      </c>
      <c r="B33988" s="3" t="s">
        <v>95</v>
      </c>
      <c r="C33988" s="6">
        <v>64577</v>
      </c>
      <c r="D33988" s="7">
        <v>1.06</v>
      </c>
      <c r="E33988" t="s">
        <v>14</v>
      </c>
    </row>
    <row r="33989" spans="1:5" x14ac:dyDescent="0.25">
      <c r="A33989" t="str">
        <f>HYPERLINK("https://www.773grp.com/globalSearch/MC74HC126ADR2G/page-1", "MC74HC126ADR2G")</f>
        <v>MC74HC126ADR2G</v>
      </c>
      <c r="B33989" s="3" t="s">
        <v>95</v>
      </c>
      <c r="C33989" s="6">
        <v>41011</v>
      </c>
      <c r="D33989" s="7">
        <v>1.06</v>
      </c>
      <c r="E33989" t="s">
        <v>14</v>
      </c>
    </row>
    <row r="33990" spans="1:5" x14ac:dyDescent="0.25">
      <c r="A33990" t="str">
        <f>HYPERLINK("https://www.773grp.com/globalSearch/MC74HC132ADG/page-1", "MC74HC132ADG")</f>
        <v>MC74HC132ADG</v>
      </c>
      <c r="B33990" s="3" t="s">
        <v>95</v>
      </c>
      <c r="C33990" s="6">
        <v>30650</v>
      </c>
      <c r="D33990" s="7">
        <v>1.06</v>
      </c>
      <c r="E33990" t="s">
        <v>31</v>
      </c>
    </row>
    <row r="33991" spans="1:5" x14ac:dyDescent="0.25">
      <c r="A33991" t="str">
        <f>HYPERLINK("https://www.773grp.com/globalSearch/MC74HC132ADR2G/page-1", "MC74HC132ADR2G")</f>
        <v>MC74HC132ADR2G</v>
      </c>
      <c r="B33991" s="3" t="s">
        <v>95</v>
      </c>
      <c r="C33991" s="6">
        <v>51048</v>
      </c>
      <c r="D33991" s="7">
        <v>1.06</v>
      </c>
      <c r="E33991" t="s">
        <v>31</v>
      </c>
    </row>
    <row r="33992" spans="1:5" x14ac:dyDescent="0.25">
      <c r="A33992" t="str">
        <f>HYPERLINK("https://www.773grp.com/globalSearch/MC74HC137F/page-1", "MC74HC137F")</f>
        <v>MC74HC137F</v>
      </c>
      <c r="B33992" s="3" t="s">
        <v>95</v>
      </c>
      <c r="C33992" s="6">
        <v>5640</v>
      </c>
      <c r="D33992" s="7">
        <v>1.06</v>
      </c>
    </row>
    <row r="33993" spans="1:5" x14ac:dyDescent="0.25">
      <c r="A33993" t="str">
        <f>HYPERLINK("https://www.773grp.com/globalSearch/MC74HC139AFELG/page-1", "MC74HC139AFELG")</f>
        <v>MC74HC139AFELG</v>
      </c>
      <c r="B33993" s="3" t="s">
        <v>95</v>
      </c>
      <c r="C33993" s="6">
        <v>4329</v>
      </c>
      <c r="D33993" s="7">
        <v>1.06</v>
      </c>
      <c r="E33993" t="s">
        <v>36</v>
      </c>
    </row>
    <row r="33994" spans="1:5" x14ac:dyDescent="0.25">
      <c r="A33994" t="str">
        <f>HYPERLINK("https://www.773grp.com/globalSearch/MC74HC147DR2/page-1", "MC74HC147DR2")</f>
        <v>MC74HC147DR2</v>
      </c>
      <c r="B33994" s="3" t="s">
        <v>95</v>
      </c>
      <c r="C33994" s="6">
        <v>1639</v>
      </c>
      <c r="D33994" s="7">
        <v>1.06</v>
      </c>
      <c r="E33994" t="s">
        <v>43</v>
      </c>
    </row>
    <row r="33995" spans="1:5" x14ac:dyDescent="0.25">
      <c r="A33995" t="str">
        <f>HYPERLINK("https://www.773grp.com/globalSearch/MC74HC147F/page-1", "MC74HC147F")</f>
        <v>MC74HC147F</v>
      </c>
      <c r="B33995" s="3" t="s">
        <v>95</v>
      </c>
      <c r="C33995" s="6">
        <v>1625</v>
      </c>
      <c r="D33995" s="7">
        <v>1.06</v>
      </c>
    </row>
    <row r="33996" spans="1:5" x14ac:dyDescent="0.25">
      <c r="A33996" t="str">
        <f>HYPERLINK("https://www.773grp.com/globalSearch/MC74HC14AFELG/page-1", "MC74HC14AFELG")</f>
        <v>MC74HC14AFELG</v>
      </c>
      <c r="B33996" s="3" t="s">
        <v>95</v>
      </c>
      <c r="C33996" s="6">
        <v>43675</v>
      </c>
      <c r="D33996" s="7">
        <v>1.06</v>
      </c>
      <c r="E33996" t="s">
        <v>31</v>
      </c>
    </row>
    <row r="33997" spans="1:5" x14ac:dyDescent="0.25">
      <c r="A33997" t="str">
        <f>HYPERLINK("https://www.773grp.com/globalSearch/MC74HC14AFG/page-1", "MC74HC14AFG")</f>
        <v>MC74HC14AFG</v>
      </c>
      <c r="B33997" s="3" t="s">
        <v>95</v>
      </c>
      <c r="C33997" s="6">
        <v>4391</v>
      </c>
      <c r="D33997" s="7">
        <v>1.06</v>
      </c>
    </row>
    <row r="33998" spans="1:5" x14ac:dyDescent="0.25">
      <c r="A33998" t="str">
        <f>HYPERLINK("https://www.773grp.com/globalSearch/MC74HC164ADG/page-1", "MC74HC164ADG")</f>
        <v>MC74HC164ADG</v>
      </c>
      <c r="B33998" s="3" t="s">
        <v>95</v>
      </c>
      <c r="C33998" s="6">
        <v>17215</v>
      </c>
      <c r="D33998" s="7">
        <v>1.06</v>
      </c>
      <c r="E33998" t="s">
        <v>32</v>
      </c>
    </row>
    <row r="33999" spans="1:5" x14ac:dyDescent="0.25">
      <c r="A33999" t="str">
        <f>HYPERLINK("https://www.773grp.com/globalSearch/MC74HC164ADR2G/page-1", "MC74HC164ADR2G")</f>
        <v>MC74HC164ADR2G</v>
      </c>
      <c r="B33999" s="3" t="s">
        <v>95</v>
      </c>
      <c r="C33999" s="6">
        <v>2822560</v>
      </c>
      <c r="D33999" s="7">
        <v>1.06</v>
      </c>
      <c r="E33999" t="s">
        <v>32</v>
      </c>
    </row>
    <row r="34000" spans="1:5" x14ac:dyDescent="0.25">
      <c r="A34000" t="str">
        <f>HYPERLINK("https://www.773grp.com/globalSearch/MC74HC194N/page-1", "MC74HC194N")</f>
        <v>MC74HC194N</v>
      </c>
      <c r="B34000" s="3" t="s">
        <v>95</v>
      </c>
      <c r="C34000" s="6">
        <v>3752</v>
      </c>
      <c r="D34000" s="7">
        <v>1.06</v>
      </c>
      <c r="E34000" t="s">
        <v>32</v>
      </c>
    </row>
    <row r="34001" spans="1:5" x14ac:dyDescent="0.25">
      <c r="A34001" t="str">
        <f>HYPERLINK("https://www.773grp.com/globalSearch/MC74HC195FL1/page-1", "MC74HC195FL1")</f>
        <v>MC74HC195FL1</v>
      </c>
      <c r="B34001" s="3" t="s">
        <v>95</v>
      </c>
      <c r="C34001" s="6">
        <v>5000</v>
      </c>
      <c r="D34001" s="7">
        <v>1.06</v>
      </c>
    </row>
    <row r="34002" spans="1:5" x14ac:dyDescent="0.25">
      <c r="A34002" t="str">
        <f>HYPERLINK("https://www.773grp.com/globalSearch/MC74HC393AFELG/page-1", "MC74HC393AFELG")</f>
        <v>MC74HC393AFELG</v>
      </c>
      <c r="B34002" s="3" t="s">
        <v>95</v>
      </c>
      <c r="C34002" s="6">
        <v>10000</v>
      </c>
      <c r="D34002" s="7">
        <v>1.06</v>
      </c>
      <c r="E34002" t="s">
        <v>26</v>
      </c>
    </row>
    <row r="34003" spans="1:5" x14ac:dyDescent="0.25">
      <c r="A34003" t="str">
        <f>HYPERLINK("https://www.773grp.com/globalSearch/MC74HC4024DT/page-1", "MC74HC4024DT")</f>
        <v>MC74HC4024DT</v>
      </c>
      <c r="B34003" s="3" t="s">
        <v>95</v>
      </c>
      <c r="C34003" s="6">
        <v>89</v>
      </c>
      <c r="D34003" s="7">
        <v>1.06</v>
      </c>
    </row>
    <row r="34004" spans="1:5" x14ac:dyDescent="0.25">
      <c r="A34004" t="str">
        <f>HYPERLINK("https://www.773grp.com/globalSearch/MC74HC4024F/page-1", "MC74HC4024F")</f>
        <v>MC74HC4024F</v>
      </c>
      <c r="B34004" s="3" t="s">
        <v>95</v>
      </c>
      <c r="C34004" s="6">
        <v>150</v>
      </c>
      <c r="D34004" s="7">
        <v>1.06</v>
      </c>
    </row>
    <row r="34005" spans="1:5" x14ac:dyDescent="0.25">
      <c r="A34005" t="str">
        <f>HYPERLINK("https://www.773grp.com/globalSearch/MC74HC4024FL1/page-1", "MC74HC4024FL1")</f>
        <v>MC74HC4024FL1</v>
      </c>
      <c r="B34005" s="3" t="s">
        <v>95</v>
      </c>
      <c r="C34005" s="6">
        <v>2000</v>
      </c>
      <c r="D34005" s="7">
        <v>1.06</v>
      </c>
    </row>
    <row r="34006" spans="1:5" x14ac:dyDescent="0.25">
      <c r="A34006" t="str">
        <f>HYPERLINK("https://www.773grp.com/globalSearch/MC74HC4049D/page-1", "MC74HC4049D")</f>
        <v>MC74HC4049D</v>
      </c>
      <c r="B34006" s="3" t="s">
        <v>95</v>
      </c>
      <c r="C34006" s="6">
        <v>7242</v>
      </c>
      <c r="D34006" s="7">
        <v>1.06</v>
      </c>
      <c r="E34006" t="s">
        <v>31</v>
      </c>
    </row>
    <row r="34007" spans="1:5" x14ac:dyDescent="0.25">
      <c r="A34007" t="str">
        <f>HYPERLINK("https://www.773grp.com/globalSearch/MC74HC4049DR2/page-1", "MC74HC4049DR2")</f>
        <v>MC74HC4049DR2</v>
      </c>
      <c r="B34007" s="3" t="s">
        <v>95</v>
      </c>
      <c r="C34007" s="6">
        <v>27500</v>
      </c>
      <c r="D34007" s="7">
        <v>1.06</v>
      </c>
      <c r="E34007" t="s">
        <v>31</v>
      </c>
    </row>
    <row r="34008" spans="1:5" x14ac:dyDescent="0.25">
      <c r="A34008" t="str">
        <f>HYPERLINK("https://www.773grp.com/globalSearch/MC74HC4050D/page-1", "MC74HC4050D")</f>
        <v>MC74HC4050D</v>
      </c>
      <c r="B34008" s="3" t="s">
        <v>95</v>
      </c>
      <c r="C34008" s="6">
        <v>17</v>
      </c>
      <c r="D34008" s="7">
        <v>1.06</v>
      </c>
      <c r="E34008" t="s">
        <v>31</v>
      </c>
    </row>
    <row r="34009" spans="1:5" x14ac:dyDescent="0.25">
      <c r="A34009" t="str">
        <f>HYPERLINK("https://www.773grp.com/globalSearch/MC74HC4050F/page-1", "MC74HC4050F")</f>
        <v>MC74HC4050F</v>
      </c>
      <c r="B34009" s="3" t="s">
        <v>95</v>
      </c>
      <c r="C34009" s="6">
        <v>59</v>
      </c>
      <c r="D34009" s="7">
        <v>1.06</v>
      </c>
    </row>
    <row r="34010" spans="1:5" x14ac:dyDescent="0.25">
      <c r="A34010" t="str">
        <f>HYPERLINK("https://www.773grp.com/globalSearch/MC74HC4051ADWG/page-1", "MC74HC4051ADWG")</f>
        <v>MC74HC4051ADWG</v>
      </c>
      <c r="B34010" s="3" t="s">
        <v>95</v>
      </c>
      <c r="C34010" s="6">
        <v>13203</v>
      </c>
      <c r="D34010" s="7">
        <v>1.06</v>
      </c>
    </row>
    <row r="34011" spans="1:5" x14ac:dyDescent="0.25">
      <c r="A34011" t="str">
        <f>HYPERLINK("https://www.773grp.com/globalSearch/MC74HC4051ADWR2G/page-1", "MC74HC4051ADWR2G")</f>
        <v>MC74HC4051ADWR2G</v>
      </c>
      <c r="B34011" s="3" t="s">
        <v>95</v>
      </c>
      <c r="C34011" s="6">
        <v>4614</v>
      </c>
      <c r="D34011" s="7">
        <v>1.06</v>
      </c>
    </row>
    <row r="34012" spans="1:5" x14ac:dyDescent="0.25">
      <c r="A34012" t="str">
        <f>HYPERLINK("https://www.773grp.com/globalSearch/MC74HC4051ANG/page-1", "MC74HC4051ANG")</f>
        <v>MC74HC4051ANG</v>
      </c>
      <c r="B34012" s="3" t="s">
        <v>95</v>
      </c>
      <c r="C34012" s="6">
        <v>1624</v>
      </c>
      <c r="D34012" s="7">
        <v>1.06</v>
      </c>
      <c r="E34012" t="s">
        <v>56</v>
      </c>
    </row>
    <row r="34013" spans="1:5" x14ac:dyDescent="0.25">
      <c r="A34013" t="str">
        <f>HYPERLINK("https://www.773grp.com/globalSearch/MC74HC4052ADW/page-1", "MC74HC4052ADW")</f>
        <v>MC74HC4052ADW</v>
      </c>
      <c r="B34013" s="3" t="s">
        <v>95</v>
      </c>
      <c r="C34013" s="6">
        <v>2491</v>
      </c>
      <c r="D34013" s="7">
        <v>1.06</v>
      </c>
      <c r="E34013" t="s">
        <v>56</v>
      </c>
    </row>
    <row r="34014" spans="1:5" x14ac:dyDescent="0.25">
      <c r="A34014" t="str">
        <f>HYPERLINK("https://www.773grp.com/globalSearch/MC74HC4052ADWG/page-1", "MC74HC4052ADWG")</f>
        <v>MC74HC4052ADWG</v>
      </c>
      <c r="B34014" s="3" t="s">
        <v>95</v>
      </c>
      <c r="C34014" s="6">
        <v>13957</v>
      </c>
      <c r="D34014" s="7">
        <v>1.06</v>
      </c>
      <c r="E34014" t="s">
        <v>56</v>
      </c>
    </row>
    <row r="34015" spans="1:5" x14ac:dyDescent="0.25">
      <c r="A34015" t="str">
        <f>HYPERLINK("https://www.773grp.com/globalSearch/MC74HC4052ADWR2/page-1", "MC74HC4052ADWR2")</f>
        <v>MC74HC4052ADWR2</v>
      </c>
      <c r="B34015" s="3" t="s">
        <v>95</v>
      </c>
      <c r="C34015" s="6">
        <v>839</v>
      </c>
      <c r="D34015" s="7">
        <v>1.06</v>
      </c>
    </row>
    <row r="34016" spans="1:5" x14ac:dyDescent="0.25">
      <c r="A34016" t="str">
        <f>HYPERLINK("https://www.773grp.com/globalSearch/MC74HC4052ADWR2G/page-1", "MC74HC4052ADWR2G")</f>
        <v>MC74HC4052ADWR2G</v>
      </c>
      <c r="B34016" s="3" t="s">
        <v>95</v>
      </c>
      <c r="C34016" s="6">
        <v>2963</v>
      </c>
      <c r="D34016" s="7">
        <v>1.06</v>
      </c>
      <c r="E34016" t="s">
        <v>56</v>
      </c>
    </row>
    <row r="34017" spans="1:5" x14ac:dyDescent="0.25">
      <c r="A34017" t="str">
        <f>HYPERLINK("https://www.773grp.com/globalSearch/MC74HC4052ANG/page-1", "MC74HC4052ANG")</f>
        <v>MC74HC4052ANG</v>
      </c>
      <c r="B34017" s="3" t="s">
        <v>95</v>
      </c>
      <c r="C34017" s="6">
        <v>2715</v>
      </c>
      <c r="D34017" s="7">
        <v>1.06</v>
      </c>
      <c r="E34017" t="s">
        <v>56</v>
      </c>
    </row>
    <row r="34018" spans="1:5" x14ac:dyDescent="0.25">
      <c r="A34018" t="str">
        <f>HYPERLINK("https://www.773grp.com/globalSearch/MC74HC4053ADWG/page-1", "MC74HC4053ADWG")</f>
        <v>MC74HC4053ADWG</v>
      </c>
      <c r="B34018" s="3" t="s">
        <v>95</v>
      </c>
      <c r="C34018" s="6">
        <v>21720</v>
      </c>
      <c r="D34018" s="7">
        <v>1.06</v>
      </c>
      <c r="E34018" t="s">
        <v>56</v>
      </c>
    </row>
    <row r="34019" spans="1:5" x14ac:dyDescent="0.25">
      <c r="A34019" t="str">
        <f>HYPERLINK("https://www.773grp.com/globalSearch/MC74HC4053ADWR2G/page-1", "MC74HC4053ADWR2G")</f>
        <v>MC74HC4053ADWR2G</v>
      </c>
      <c r="B34019" s="3" t="s">
        <v>95</v>
      </c>
      <c r="C34019" s="6">
        <v>28731</v>
      </c>
      <c r="D34019" s="7">
        <v>1.06</v>
      </c>
      <c r="E34019" t="s">
        <v>56</v>
      </c>
    </row>
    <row r="34020" spans="1:5" x14ac:dyDescent="0.25">
      <c r="A34020" t="str">
        <f>HYPERLINK("https://www.773grp.com/globalSearch/MC74HC4053ANG/page-1", "MC74HC4053ANG")</f>
        <v>MC74HC4053ANG</v>
      </c>
      <c r="B34020" s="3" t="s">
        <v>95</v>
      </c>
      <c r="C34020" s="6">
        <v>16127</v>
      </c>
      <c r="D34020" s="7">
        <v>1.06</v>
      </c>
      <c r="E34020" t="s">
        <v>56</v>
      </c>
    </row>
    <row r="34021" spans="1:5" x14ac:dyDescent="0.25">
      <c r="A34021" t="str">
        <f>HYPERLINK("https://www.773grp.com/globalSearch/MC74HC4316ADR2G/page-1", "MC74HC4316ADR2G")</f>
        <v>MC74HC4316ADR2G</v>
      </c>
      <c r="B34021" s="3" t="s">
        <v>95</v>
      </c>
      <c r="C34021" s="6">
        <v>4483</v>
      </c>
      <c r="D34021" s="7">
        <v>1.06</v>
      </c>
      <c r="E34021" t="s">
        <v>56</v>
      </c>
    </row>
    <row r="34022" spans="1:5" x14ac:dyDescent="0.25">
      <c r="A34022" t="str">
        <f>HYPERLINK("https://www.773grp.com/globalSearch/MC74HC4316AF/page-1", "MC74HC4316AF")</f>
        <v>MC74HC4316AF</v>
      </c>
      <c r="B34022" s="3" t="s">
        <v>95</v>
      </c>
      <c r="C34022" s="6">
        <v>400</v>
      </c>
      <c r="D34022" s="7">
        <v>1.06</v>
      </c>
      <c r="E34022" t="s">
        <v>56</v>
      </c>
    </row>
    <row r="34023" spans="1:5" x14ac:dyDescent="0.25">
      <c r="A34023" t="str">
        <f>HYPERLINK("https://www.773grp.com/globalSearch/MC74HC4316FL1/page-1", "MC74HC4316FL1")</f>
        <v>MC74HC4316FL1</v>
      </c>
      <c r="B34023" s="3" t="s">
        <v>95</v>
      </c>
      <c r="C34023" s="6">
        <v>4000</v>
      </c>
      <c r="D34023" s="7">
        <v>1.06</v>
      </c>
    </row>
    <row r="34024" spans="1:5" x14ac:dyDescent="0.25">
      <c r="A34024" t="str">
        <f>HYPERLINK("https://www.773grp.com/globalSearch/MC74HC4316FR1/page-1", "MC74HC4316FR1")</f>
        <v>MC74HC4316FR1</v>
      </c>
      <c r="B34024" s="3" t="s">
        <v>95</v>
      </c>
      <c r="C34024" s="6">
        <v>2000</v>
      </c>
      <c r="D34024" s="7">
        <v>1.06</v>
      </c>
    </row>
    <row r="34025" spans="1:5" x14ac:dyDescent="0.25">
      <c r="A34025" t="str">
        <f>HYPERLINK("https://www.773grp.com/globalSearch/MC74HC4538ANG/page-1", "MC74HC4538ANG")</f>
        <v>MC74HC4538ANG</v>
      </c>
      <c r="B34025" s="3" t="s">
        <v>95</v>
      </c>
      <c r="C34025" s="6">
        <v>1748</v>
      </c>
      <c r="D34025" s="7">
        <v>1.06</v>
      </c>
      <c r="E34025" t="s">
        <v>54</v>
      </c>
    </row>
    <row r="34026" spans="1:5" x14ac:dyDescent="0.25">
      <c r="A34026" t="str">
        <f>HYPERLINK("https://www.773grp.com/globalSearch/MC74HC541ADTEL/page-1", "MC74HC541ADTEL")</f>
        <v>MC74HC541ADTEL</v>
      </c>
      <c r="B34026" s="3" t="s">
        <v>95</v>
      </c>
      <c r="C34026" s="6">
        <v>4000</v>
      </c>
      <c r="D34026" s="7">
        <v>1.06</v>
      </c>
    </row>
    <row r="34027" spans="1:5" x14ac:dyDescent="0.25">
      <c r="A34027" t="str">
        <f>HYPERLINK("https://www.773grp.com/globalSearch/MC74HC595ADG/page-1", "MC74HC595ADG")</f>
        <v>MC74HC595ADG</v>
      </c>
      <c r="B34027" s="3" t="s">
        <v>95</v>
      </c>
      <c r="C34027" s="6">
        <v>8142</v>
      </c>
      <c r="D34027" s="7">
        <v>1.06</v>
      </c>
      <c r="E34027" t="s">
        <v>32</v>
      </c>
    </row>
    <row r="34028" spans="1:5" x14ac:dyDescent="0.25">
      <c r="A34028" t="str">
        <f>HYPERLINK("https://www.773grp.com/globalSearch/MC74HC595ADR2G/page-1", "MC74HC595ADR2G")</f>
        <v>MC74HC595ADR2G</v>
      </c>
      <c r="B34028" s="3" t="s">
        <v>95</v>
      </c>
      <c r="C34028" s="6">
        <v>471606</v>
      </c>
      <c r="D34028" s="7">
        <v>1.06</v>
      </c>
      <c r="E34028" t="s">
        <v>32</v>
      </c>
    </row>
    <row r="34029" spans="1:5" x14ac:dyDescent="0.25">
      <c r="A34029" t="str">
        <f>HYPERLINK("https://www.773grp.com/globalSearch/MC74HC595ADTG/page-1", "MC74HC595ADTG")</f>
        <v>MC74HC595ADTG</v>
      </c>
      <c r="B34029" s="3" t="s">
        <v>95</v>
      </c>
      <c r="C34029" s="6">
        <v>14256</v>
      </c>
      <c r="D34029" s="7">
        <v>1.06</v>
      </c>
      <c r="E34029" t="s">
        <v>32</v>
      </c>
    </row>
    <row r="34030" spans="1:5" x14ac:dyDescent="0.25">
      <c r="A34030" t="str">
        <f>HYPERLINK("https://www.773grp.com/globalSearch/MC74HC595ADTR2G/page-1", "MC74HC595ADTR2G")</f>
        <v>MC74HC595ADTR2G</v>
      </c>
      <c r="B34030" s="3" t="s">
        <v>95</v>
      </c>
      <c r="C34030" s="6">
        <v>162368</v>
      </c>
      <c r="D34030" s="7">
        <v>1.06</v>
      </c>
      <c r="E34030" t="s">
        <v>32</v>
      </c>
    </row>
    <row r="34031" spans="1:5" x14ac:dyDescent="0.25">
      <c r="A34031" t="str">
        <f>HYPERLINK("https://www.773grp.com/globalSearch/MC74HC597ADG/page-1", "MC74HC597ADG")</f>
        <v>MC74HC597ADG</v>
      </c>
      <c r="B34031" s="3" t="s">
        <v>95</v>
      </c>
      <c r="C34031" s="6">
        <v>3928</v>
      </c>
      <c r="D34031" s="7">
        <v>1.06</v>
      </c>
    </row>
    <row r="34032" spans="1:5" x14ac:dyDescent="0.25">
      <c r="A34032" t="str">
        <f>HYPERLINK("https://www.773grp.com/globalSearch/MC74HC597AF/page-1", "MC74HC597AF")</f>
        <v>MC74HC597AF</v>
      </c>
      <c r="B34032" s="3" t="s">
        <v>95</v>
      </c>
      <c r="C34032" s="6">
        <v>1300</v>
      </c>
      <c r="D34032" s="7">
        <v>1.06</v>
      </c>
    </row>
    <row r="34033" spans="1:5" x14ac:dyDescent="0.25">
      <c r="A34033" t="str">
        <f>HYPERLINK("https://www.773grp.com/globalSearch/MC74HC640AFEL/page-1", "MC74HC640AFEL")</f>
        <v>MC74HC640AFEL</v>
      </c>
      <c r="B34033" s="3" t="s">
        <v>95</v>
      </c>
      <c r="C34033" s="6">
        <v>14000</v>
      </c>
      <c r="D34033" s="7">
        <v>1.06</v>
      </c>
    </row>
    <row r="34034" spans="1:5" x14ac:dyDescent="0.25">
      <c r="A34034" t="str">
        <f>HYPERLINK("https://www.773grp.com/globalSearch/MC74HC74AFELG/page-1", "MC74HC74AFELG")</f>
        <v>MC74HC74AFELG</v>
      </c>
      <c r="B34034" s="3" t="s">
        <v>95</v>
      </c>
      <c r="C34034" s="6">
        <v>7033</v>
      </c>
      <c r="D34034" s="7">
        <v>1.06</v>
      </c>
    </row>
    <row r="34035" spans="1:5" x14ac:dyDescent="0.25">
      <c r="A34035" t="str">
        <f>HYPERLINK("https://www.773grp.com/globalSearch/MC74HC74AFG/page-1", "MC74HC74AFG")</f>
        <v>MC74HC74AFG</v>
      </c>
      <c r="B34035" s="3" t="s">
        <v>95</v>
      </c>
      <c r="C34035" s="6">
        <v>4700</v>
      </c>
      <c r="D34035" s="7">
        <v>1.06</v>
      </c>
      <c r="E34035" t="s">
        <v>35</v>
      </c>
    </row>
    <row r="34036" spans="1:5" x14ac:dyDescent="0.25">
      <c r="A34036" t="str">
        <f>HYPERLINK("https://www.773grp.com/globalSearch/MC74HCT132ADG/page-1", "MC74HCT132ADG")</f>
        <v>MC74HCT132ADG</v>
      </c>
      <c r="B34036" s="3" t="s">
        <v>95</v>
      </c>
      <c r="C34036" s="6">
        <v>34855</v>
      </c>
      <c r="D34036" s="7">
        <v>1.06</v>
      </c>
    </row>
    <row r="34037" spans="1:5" x14ac:dyDescent="0.25">
      <c r="A34037" t="str">
        <f>HYPERLINK("https://www.773grp.com/globalSearch/MC74HCT132ADR2G/page-1", "MC74HCT132ADR2G")</f>
        <v>MC74HCT132ADR2G</v>
      </c>
      <c r="B34037" s="3" t="s">
        <v>95</v>
      </c>
      <c r="C34037" s="6">
        <v>1970</v>
      </c>
      <c r="D34037" s="7">
        <v>1.06</v>
      </c>
      <c r="E34037" t="s">
        <v>31</v>
      </c>
    </row>
    <row r="34038" spans="1:5" x14ac:dyDescent="0.25">
      <c r="A34038" t="str">
        <f>HYPERLINK("https://www.773grp.com/globalSearch/MC74HCT14AFELG/page-1", "MC74HCT14AFELG")</f>
        <v>MC74HCT14AFELG</v>
      </c>
      <c r="B34038" s="3" t="s">
        <v>95</v>
      </c>
      <c r="C34038" s="6">
        <v>2711</v>
      </c>
      <c r="D34038" s="7">
        <v>1.06</v>
      </c>
      <c r="E34038" t="s">
        <v>31</v>
      </c>
    </row>
    <row r="34039" spans="1:5" x14ac:dyDescent="0.25">
      <c r="A34039" t="str">
        <f>HYPERLINK("https://www.773grp.com/globalSearch/MC74HCT541ADT/page-1", "MC74HCT541ADT")</f>
        <v>MC74HCT541ADT</v>
      </c>
      <c r="B34039" s="3" t="s">
        <v>95</v>
      </c>
      <c r="C34039" s="6">
        <v>16575</v>
      </c>
      <c r="D34039" s="7">
        <v>1.06</v>
      </c>
    </row>
    <row r="34040" spans="1:5" x14ac:dyDescent="0.25">
      <c r="A34040" t="str">
        <f>HYPERLINK("https://www.773grp.com/globalSearch/MC74HCT595ADTG/page-1", "MC74HCT595ADTG")</f>
        <v>MC74HCT595ADTG</v>
      </c>
      <c r="B34040" s="3" t="s">
        <v>95</v>
      </c>
      <c r="C34040" s="6">
        <v>3840</v>
      </c>
      <c r="D34040" s="7">
        <v>1.06</v>
      </c>
    </row>
    <row r="34041" spans="1:5" x14ac:dyDescent="0.25">
      <c r="A34041" t="str">
        <f>HYPERLINK("https://www.773grp.com/globalSearch/MC74LCX08SD/page-1", "MC74LCX08SD")</f>
        <v>MC74LCX08SD</v>
      </c>
      <c r="B34041" s="3" t="s">
        <v>95</v>
      </c>
      <c r="C34041" s="6">
        <v>312</v>
      </c>
      <c r="D34041" s="7">
        <v>1.06</v>
      </c>
      <c r="E34041" t="s">
        <v>31</v>
      </c>
    </row>
    <row r="34042" spans="1:5" x14ac:dyDescent="0.25">
      <c r="A34042" t="str">
        <f>HYPERLINK("https://www.773grp.com/globalSearch/MC74LCX08SDR2/page-1", "MC74LCX08SDR2")</f>
        <v>MC74LCX08SDR2</v>
      </c>
      <c r="B34042" s="3" t="s">
        <v>95</v>
      </c>
      <c r="C34042" s="6">
        <v>7000</v>
      </c>
      <c r="D34042" s="7">
        <v>1.06</v>
      </c>
      <c r="E34042" t="s">
        <v>31</v>
      </c>
    </row>
    <row r="34043" spans="1:5" x14ac:dyDescent="0.25">
      <c r="A34043" t="str">
        <f>HYPERLINK("https://www.773grp.com/globalSearch/MC74LCX240DTR2G/page-1", "MC74LCX240DTR2G")</f>
        <v>MC74LCX240DTR2G</v>
      </c>
      <c r="B34043" s="3" t="s">
        <v>95</v>
      </c>
      <c r="C34043" s="6">
        <v>23786</v>
      </c>
      <c r="D34043" s="7">
        <v>1.06</v>
      </c>
      <c r="E34043" t="s">
        <v>14</v>
      </c>
    </row>
    <row r="34044" spans="1:5" x14ac:dyDescent="0.25">
      <c r="A34044" t="str">
        <f>HYPERLINK("https://www.773grp.com/globalSearch/MC74LCX244DTG/page-1", "MC74LCX244DTG")</f>
        <v>MC74LCX244DTG</v>
      </c>
      <c r="B34044" s="3" t="s">
        <v>95</v>
      </c>
      <c r="C34044" s="6">
        <v>18112</v>
      </c>
      <c r="D34044" s="7">
        <v>1.06</v>
      </c>
      <c r="E34044" t="s">
        <v>14</v>
      </c>
    </row>
    <row r="34045" spans="1:5" x14ac:dyDescent="0.25">
      <c r="A34045" t="str">
        <f>HYPERLINK("https://www.773grp.com/globalSearch/MC74LCX244DTR2G/page-1", "MC74LCX244DTR2G")</f>
        <v>MC74LCX244DTR2G</v>
      </c>
      <c r="B34045" s="3" t="s">
        <v>95</v>
      </c>
      <c r="C34045" s="6">
        <v>130388</v>
      </c>
      <c r="D34045" s="7">
        <v>1.06</v>
      </c>
      <c r="E34045" t="s">
        <v>14</v>
      </c>
    </row>
    <row r="34046" spans="1:5" x14ac:dyDescent="0.25">
      <c r="A34046" t="str">
        <f>HYPERLINK("https://www.773grp.com/globalSearch/MC74LCX245DTG/page-1", "MC74LCX245DTG")</f>
        <v>MC74LCX245DTG</v>
      </c>
      <c r="B34046" s="3" t="s">
        <v>95</v>
      </c>
      <c r="C34046" s="6">
        <v>43031</v>
      </c>
      <c r="D34046" s="7">
        <v>1.06</v>
      </c>
      <c r="E34046" t="s">
        <v>14</v>
      </c>
    </row>
    <row r="34047" spans="1:5" x14ac:dyDescent="0.25">
      <c r="A34047" t="str">
        <f>HYPERLINK("https://www.773grp.com/globalSearch/MC74LCX245DTR2G/page-1", "MC74LCX245DTR2G")</f>
        <v>MC74LCX245DTR2G</v>
      </c>
      <c r="B34047" s="3" t="s">
        <v>95</v>
      </c>
      <c r="C34047" s="6">
        <v>204870</v>
      </c>
      <c r="D34047" s="7">
        <v>1.06</v>
      </c>
      <c r="E34047" t="s">
        <v>14</v>
      </c>
    </row>
    <row r="34048" spans="1:5" x14ac:dyDescent="0.25">
      <c r="A34048" t="str">
        <f>HYPERLINK("https://www.773grp.com/globalSearch/MC74LCX373DTG/page-1", "MC74LCX373DTG")</f>
        <v>MC74LCX373DTG</v>
      </c>
      <c r="B34048" s="3" t="s">
        <v>95</v>
      </c>
      <c r="C34048" s="6">
        <v>9103</v>
      </c>
      <c r="D34048" s="7">
        <v>1.06</v>
      </c>
      <c r="E34048" t="s">
        <v>14</v>
      </c>
    </row>
    <row r="34049" spans="1:5" x14ac:dyDescent="0.25">
      <c r="A34049" t="str">
        <f>HYPERLINK("https://www.773grp.com/globalSearch/MC74LCX373DTR2G/page-1", "MC74LCX373DTR2G")</f>
        <v>MC74LCX373DTR2G</v>
      </c>
      <c r="B34049" s="3" t="s">
        <v>95</v>
      </c>
      <c r="C34049" s="6">
        <v>107599</v>
      </c>
      <c r="D34049" s="7">
        <v>1.06</v>
      </c>
      <c r="E34049" t="s">
        <v>14</v>
      </c>
    </row>
    <row r="34050" spans="1:5" x14ac:dyDescent="0.25">
      <c r="A34050" t="str">
        <f>HYPERLINK("https://www.773grp.com/globalSearch/MC74LCX374DTR2G/page-1", "MC74LCX374DTR2G")</f>
        <v>MC74LCX374DTR2G</v>
      </c>
      <c r="B34050" s="3" t="s">
        <v>95</v>
      </c>
      <c r="C34050" s="6">
        <v>113817</v>
      </c>
      <c r="D34050" s="7">
        <v>1.06</v>
      </c>
      <c r="E34050" t="s">
        <v>14</v>
      </c>
    </row>
    <row r="34051" spans="1:5" x14ac:dyDescent="0.25">
      <c r="A34051" t="str">
        <f>HYPERLINK("https://www.773grp.com/globalSearch/MC74LCX573DTG/page-1", "MC74LCX573DTG")</f>
        <v>MC74LCX573DTG</v>
      </c>
      <c r="B34051" s="3" t="s">
        <v>95</v>
      </c>
      <c r="C34051" s="6">
        <v>13451</v>
      </c>
      <c r="D34051" s="7">
        <v>1.06</v>
      </c>
      <c r="E34051" t="s">
        <v>14</v>
      </c>
    </row>
    <row r="34052" spans="1:5" x14ac:dyDescent="0.25">
      <c r="A34052" t="str">
        <f>HYPERLINK("https://www.773grp.com/globalSearch/MC74LCX573DTR2G/page-1", "MC74LCX573DTR2G")</f>
        <v>MC74LCX573DTR2G</v>
      </c>
      <c r="B34052" s="3" t="s">
        <v>95</v>
      </c>
      <c r="C34052" s="6">
        <v>401943</v>
      </c>
      <c r="D34052" s="7">
        <v>1.06</v>
      </c>
      <c r="E34052" t="s">
        <v>14</v>
      </c>
    </row>
    <row r="34053" spans="1:5" x14ac:dyDescent="0.25">
      <c r="A34053" t="str">
        <f>HYPERLINK("https://www.773grp.com/globalSearch/MC74LCX574DTG/page-1", "MC74LCX574DTG")</f>
        <v>MC74LCX574DTG</v>
      </c>
      <c r="B34053" s="3" t="s">
        <v>95</v>
      </c>
      <c r="C34053" s="6">
        <v>11995</v>
      </c>
      <c r="D34053" s="7">
        <v>1.06</v>
      </c>
      <c r="E34053" t="s">
        <v>14</v>
      </c>
    </row>
    <row r="34054" spans="1:5" x14ac:dyDescent="0.25">
      <c r="A34054" t="str">
        <f>HYPERLINK("https://www.773grp.com/globalSearch/MC74LCX574DTR2G/page-1", "MC74LCX574DTR2G")</f>
        <v>MC74LCX574DTR2G</v>
      </c>
      <c r="B34054" s="3" t="s">
        <v>95</v>
      </c>
      <c r="C34054" s="6">
        <v>54875</v>
      </c>
      <c r="D34054" s="7">
        <v>1.06</v>
      </c>
      <c r="E34054" t="s">
        <v>14</v>
      </c>
    </row>
    <row r="34055" spans="1:5" x14ac:dyDescent="0.25">
      <c r="A34055" t="str">
        <f>HYPERLINK("https://www.773grp.com/globalSearch/MC74LVX138MG/page-1", "MC74LVX138MG")</f>
        <v>MC74LVX138MG</v>
      </c>
      <c r="B34055" s="3" t="s">
        <v>95</v>
      </c>
      <c r="C34055" s="6">
        <v>25400</v>
      </c>
      <c r="D34055" s="7">
        <v>1.06</v>
      </c>
      <c r="E34055" t="s">
        <v>36</v>
      </c>
    </row>
    <row r="34056" spans="1:5" x14ac:dyDescent="0.25">
      <c r="A34056" t="str">
        <f>HYPERLINK("https://www.773grp.com/globalSearch/MC74LVX240DTR2G/page-1", "MC74LVX240DTR2G")</f>
        <v>MC74LVX240DTR2G</v>
      </c>
      <c r="B34056" s="3" t="s">
        <v>95</v>
      </c>
      <c r="C34056" s="6">
        <v>3641</v>
      </c>
      <c r="D34056" s="7">
        <v>1.06</v>
      </c>
    </row>
    <row r="34057" spans="1:5" x14ac:dyDescent="0.25">
      <c r="A34057" t="str">
        <f>HYPERLINK("https://www.773grp.com/globalSearch/MC74LVX244DTG/page-1", "MC74LVX244DTG")</f>
        <v>MC74LVX244DTG</v>
      </c>
      <c r="B34057" s="3" t="s">
        <v>95</v>
      </c>
      <c r="C34057" s="6">
        <v>3150</v>
      </c>
      <c r="D34057" s="7">
        <v>1.06</v>
      </c>
      <c r="E34057" t="s">
        <v>14</v>
      </c>
    </row>
    <row r="34058" spans="1:5" x14ac:dyDescent="0.25">
      <c r="A34058" t="str">
        <f>HYPERLINK("https://www.773grp.com/globalSearch/MC74LVX244DTR2G/page-1", "MC74LVX244DTR2G")</f>
        <v>MC74LVX244DTR2G</v>
      </c>
      <c r="B34058" s="3" t="s">
        <v>95</v>
      </c>
      <c r="C34058" s="6">
        <v>17737</v>
      </c>
      <c r="D34058" s="7">
        <v>1.06</v>
      </c>
      <c r="E34058" t="s">
        <v>14</v>
      </c>
    </row>
    <row r="34059" spans="1:5" x14ac:dyDescent="0.25">
      <c r="A34059" t="str">
        <f>HYPERLINK("https://www.773grp.com/globalSearch/MC74LVX245DTR2G/page-1", "MC74LVX245DTR2G")</f>
        <v>MC74LVX245DTR2G</v>
      </c>
      <c r="B34059" s="3" t="s">
        <v>95</v>
      </c>
      <c r="C34059" s="6">
        <v>9515</v>
      </c>
      <c r="D34059" s="7">
        <v>1.06</v>
      </c>
      <c r="E34059" t="s">
        <v>14</v>
      </c>
    </row>
    <row r="34060" spans="1:5" x14ac:dyDescent="0.25">
      <c r="A34060" t="str">
        <f>HYPERLINK("https://www.773grp.com/globalSearch/MC74LVX257MELG/page-1", "MC74LVX257MELG")</f>
        <v>MC74LVX257MELG</v>
      </c>
      <c r="B34060" s="3" t="s">
        <v>95</v>
      </c>
      <c r="C34060" s="6">
        <v>39980</v>
      </c>
      <c r="D34060" s="7">
        <v>1.06</v>
      </c>
      <c r="E34060" t="s">
        <v>20</v>
      </c>
    </row>
    <row r="34061" spans="1:5" x14ac:dyDescent="0.25">
      <c r="A34061" t="str">
        <f>HYPERLINK("https://www.773grp.com/globalSearch/MC74LVX257MG/page-1", "MC74LVX257MG")</f>
        <v>MC74LVX257MG</v>
      </c>
      <c r="B34061" s="3" t="s">
        <v>95</v>
      </c>
      <c r="C34061" s="6">
        <v>40350</v>
      </c>
      <c r="D34061" s="7">
        <v>1.06</v>
      </c>
      <c r="E34061" t="s">
        <v>20</v>
      </c>
    </row>
    <row r="34062" spans="1:5" x14ac:dyDescent="0.25">
      <c r="A34062" t="str">
        <f>HYPERLINK("https://www.773grp.com/globalSearch/MC74LVX374DTR2G/page-1", "MC74LVX374DTR2G")</f>
        <v>MC74LVX374DTR2G</v>
      </c>
      <c r="B34062" s="3" t="s">
        <v>95</v>
      </c>
      <c r="C34062" s="6">
        <v>29900</v>
      </c>
      <c r="D34062" s="7">
        <v>1.06</v>
      </c>
      <c r="E34062" t="s">
        <v>14</v>
      </c>
    </row>
    <row r="34063" spans="1:5" x14ac:dyDescent="0.25">
      <c r="A34063" t="str">
        <f>HYPERLINK("https://www.773grp.com/globalSearch/MC74LVX573DTG/page-1", "MC74LVX573DTG")</f>
        <v>MC74LVX573DTG</v>
      </c>
      <c r="B34063" s="3" t="s">
        <v>95</v>
      </c>
      <c r="C34063" s="6">
        <v>10625</v>
      </c>
      <c r="D34063" s="7">
        <v>1.06</v>
      </c>
      <c r="E34063" t="s">
        <v>14</v>
      </c>
    </row>
    <row r="34064" spans="1:5" x14ac:dyDescent="0.25">
      <c r="A34064" t="str">
        <f>HYPERLINK("https://www.773grp.com/globalSearch/MC74LVX573DTR2G/page-1", "MC74LVX573DTR2G")</f>
        <v>MC74LVX573DTR2G</v>
      </c>
      <c r="B34064" s="3" t="s">
        <v>95</v>
      </c>
      <c r="C34064" s="6">
        <v>7890</v>
      </c>
      <c r="D34064" s="7">
        <v>1.06</v>
      </c>
      <c r="E34064" t="s">
        <v>14</v>
      </c>
    </row>
    <row r="34065" spans="1:5" x14ac:dyDescent="0.25">
      <c r="A34065" t="str">
        <f>HYPERLINK("https://www.773grp.com/globalSearch/MC74LVX574DTG/page-1", "MC74LVX574DTG")</f>
        <v>MC74LVX574DTG</v>
      </c>
      <c r="B34065" s="3" t="s">
        <v>95</v>
      </c>
      <c r="C34065" s="6">
        <v>18855</v>
      </c>
      <c r="D34065" s="7">
        <v>1.06</v>
      </c>
      <c r="E34065" t="s">
        <v>14</v>
      </c>
    </row>
    <row r="34066" spans="1:5" x14ac:dyDescent="0.25">
      <c r="A34066" t="str">
        <f>HYPERLINK("https://www.773grp.com/globalSearch/MC74LVX574DTR2G/page-1", "MC74LVX574DTR2G")</f>
        <v>MC74LVX574DTR2G</v>
      </c>
      <c r="B34066" s="3" t="s">
        <v>95</v>
      </c>
      <c r="C34066" s="6">
        <v>27500</v>
      </c>
      <c r="D34066" s="7">
        <v>1.06</v>
      </c>
      <c r="E34066" t="s">
        <v>14</v>
      </c>
    </row>
    <row r="34067" spans="1:5" x14ac:dyDescent="0.25">
      <c r="A34067" t="str">
        <f>HYPERLINK("https://www.773grp.com/globalSearch/MC74LVXT4066DT/page-1", "MC74LVXT4066DT")</f>
        <v>MC74LVXT4066DT</v>
      </c>
      <c r="B34067" s="3" t="s">
        <v>95</v>
      </c>
      <c r="C34067" s="6">
        <v>635</v>
      </c>
      <c r="D34067" s="7">
        <v>1.06</v>
      </c>
      <c r="E34067" t="s">
        <v>56</v>
      </c>
    </row>
    <row r="34068" spans="1:5" x14ac:dyDescent="0.25">
      <c r="A34068" t="str">
        <f>HYPERLINK("https://www.773grp.com/globalSearch/MC74VHC240DTR2G/page-1", "MC74VHC240DTR2G")</f>
        <v>MC74VHC240DTR2G</v>
      </c>
      <c r="B34068" s="3" t="s">
        <v>95</v>
      </c>
      <c r="C34068" s="6">
        <v>19780</v>
      </c>
      <c r="D34068" s="7">
        <v>1.06</v>
      </c>
      <c r="E34068" t="s">
        <v>14</v>
      </c>
    </row>
    <row r="34069" spans="1:5" x14ac:dyDescent="0.25">
      <c r="A34069" t="str">
        <f>HYPERLINK("https://www.773grp.com/globalSearch/MC74VHC240DWR2G/page-1", "MC74VHC240DWR2G")</f>
        <v>MC74VHC240DWR2G</v>
      </c>
      <c r="B34069" s="3" t="s">
        <v>95</v>
      </c>
      <c r="C34069" s="6">
        <v>12930</v>
      </c>
      <c r="D34069" s="7">
        <v>1.06</v>
      </c>
      <c r="E34069" t="s">
        <v>14</v>
      </c>
    </row>
    <row r="34070" spans="1:5" x14ac:dyDescent="0.25">
      <c r="A34070" t="str">
        <f>HYPERLINK("https://www.773grp.com/globalSearch/MC74VHC244DTG/page-1", "MC74VHC244DTG")</f>
        <v>MC74VHC244DTG</v>
      </c>
      <c r="B34070" s="3" t="s">
        <v>95</v>
      </c>
      <c r="C34070" s="6">
        <v>12744</v>
      </c>
      <c r="D34070" s="7">
        <v>1.06</v>
      </c>
      <c r="E34070" t="s">
        <v>14</v>
      </c>
    </row>
    <row r="34071" spans="1:5" x14ac:dyDescent="0.25">
      <c r="A34071" t="str">
        <f>HYPERLINK("https://www.773grp.com/globalSearch/MC74VHC244DTR2G/page-1", "MC74VHC244DTR2G")</f>
        <v>MC74VHC244DTR2G</v>
      </c>
      <c r="B34071" s="3" t="s">
        <v>95</v>
      </c>
      <c r="C34071" s="6">
        <v>11331</v>
      </c>
      <c r="D34071" s="7">
        <v>1.06</v>
      </c>
      <c r="E34071" t="s">
        <v>14</v>
      </c>
    </row>
    <row r="34072" spans="1:5" x14ac:dyDescent="0.25">
      <c r="A34072" t="str">
        <f>HYPERLINK("https://www.773grp.com/globalSearch/MC74VHC244DWR2G/page-1", "MC74VHC244DWR2G")</f>
        <v>MC74VHC244DWR2G</v>
      </c>
      <c r="B34072" s="3" t="s">
        <v>95</v>
      </c>
      <c r="C34072" s="6">
        <v>24000</v>
      </c>
      <c r="D34072" s="7">
        <v>1.06</v>
      </c>
      <c r="E34072" t="s">
        <v>14</v>
      </c>
    </row>
    <row r="34073" spans="1:5" x14ac:dyDescent="0.25">
      <c r="A34073" t="str">
        <f>HYPERLINK("https://www.773grp.com/globalSearch/MC74VHC245DTG/page-1", "MC74VHC245DTG")</f>
        <v>MC74VHC245DTG</v>
      </c>
      <c r="B34073" s="3" t="s">
        <v>95</v>
      </c>
      <c r="C34073" s="6">
        <v>13160</v>
      </c>
      <c r="D34073" s="7">
        <v>1.06</v>
      </c>
      <c r="E34073" t="s">
        <v>14</v>
      </c>
    </row>
    <row r="34074" spans="1:5" x14ac:dyDescent="0.25">
      <c r="A34074" t="str">
        <f>HYPERLINK("https://www.773grp.com/globalSearch/MC74VHC245DTR2G/page-1", "MC74VHC245DTR2G")</f>
        <v>MC74VHC245DTR2G</v>
      </c>
      <c r="B34074" s="3" t="s">
        <v>95</v>
      </c>
      <c r="C34074" s="6">
        <v>17015</v>
      </c>
      <c r="D34074" s="7">
        <v>1.06</v>
      </c>
      <c r="E34074" t="s">
        <v>14</v>
      </c>
    </row>
    <row r="34075" spans="1:5" x14ac:dyDescent="0.25">
      <c r="A34075" t="str">
        <f>HYPERLINK("https://www.773grp.com/globalSearch/MC74VHC245DWG/page-1", "MC74VHC245DWG")</f>
        <v>MC74VHC245DWG</v>
      </c>
      <c r="B34075" s="3" t="s">
        <v>95</v>
      </c>
      <c r="C34075" s="6">
        <v>17020</v>
      </c>
      <c r="D34075" s="7">
        <v>1.06</v>
      </c>
      <c r="E34075" t="s">
        <v>14</v>
      </c>
    </row>
    <row r="34076" spans="1:5" x14ac:dyDescent="0.25">
      <c r="A34076" t="str">
        <f>HYPERLINK("https://www.773grp.com/globalSearch/MC74VHC245DWR2G/page-1", "MC74VHC245DWR2G")</f>
        <v>MC74VHC245DWR2G</v>
      </c>
      <c r="B34076" s="3" t="s">
        <v>95</v>
      </c>
      <c r="C34076" s="6">
        <v>4990</v>
      </c>
      <c r="D34076" s="7">
        <v>1.06</v>
      </c>
      <c r="E34076" t="s">
        <v>14</v>
      </c>
    </row>
    <row r="34077" spans="1:5" x14ac:dyDescent="0.25">
      <c r="A34077" t="str">
        <f>HYPERLINK("https://www.773grp.com/globalSearch/MC74VHC373DWR2G/page-1", "MC74VHC373DWR2G")</f>
        <v>MC74VHC373DWR2G</v>
      </c>
      <c r="B34077" s="3" t="s">
        <v>95</v>
      </c>
      <c r="C34077" s="6">
        <v>23796</v>
      </c>
      <c r="D34077" s="7">
        <v>1.06</v>
      </c>
      <c r="E34077" t="s">
        <v>14</v>
      </c>
    </row>
    <row r="34078" spans="1:5" x14ac:dyDescent="0.25">
      <c r="A34078" t="str">
        <f>HYPERLINK("https://www.773grp.com/globalSearch/MC74VHC374DTR2G/page-1", "MC74VHC374DTR2G")</f>
        <v>MC74VHC374DTR2G</v>
      </c>
      <c r="B34078" s="3" t="s">
        <v>95</v>
      </c>
      <c r="C34078" s="6">
        <v>100000</v>
      </c>
      <c r="D34078" s="7">
        <v>1.06</v>
      </c>
      <c r="E34078" t="s">
        <v>14</v>
      </c>
    </row>
    <row r="34079" spans="1:5" x14ac:dyDescent="0.25">
      <c r="A34079" t="str">
        <f>HYPERLINK("https://www.773grp.com/globalSearch/MC74VHC374DWR2G/page-1", "MC74VHC374DWR2G")</f>
        <v>MC74VHC374DWR2G</v>
      </c>
      <c r="B34079" s="3" t="s">
        <v>95</v>
      </c>
      <c r="C34079" s="6">
        <v>7000</v>
      </c>
      <c r="D34079" s="7">
        <v>1.06</v>
      </c>
      <c r="E34079" t="s">
        <v>14</v>
      </c>
    </row>
    <row r="34080" spans="1:5" x14ac:dyDescent="0.25">
      <c r="A34080" t="str">
        <f>HYPERLINK("https://www.773grp.com/globalSearch/MC74VHC573DTR2G/page-1", "MC74VHC573DTR2G")</f>
        <v>MC74VHC573DTR2G</v>
      </c>
      <c r="B34080" s="3" t="s">
        <v>95</v>
      </c>
      <c r="C34080" s="6">
        <v>4284</v>
      </c>
      <c r="D34080" s="7">
        <v>1.06</v>
      </c>
      <c r="E34080" t="s">
        <v>14</v>
      </c>
    </row>
    <row r="34081" spans="1:5" x14ac:dyDescent="0.25">
      <c r="A34081" t="str">
        <f>HYPERLINK("https://www.773grp.com/globalSearch/MC74VHC573DWR2G/page-1", "MC74VHC573DWR2G")</f>
        <v>MC74VHC573DWR2G</v>
      </c>
      <c r="B34081" s="3" t="s">
        <v>95</v>
      </c>
      <c r="C34081" s="6">
        <v>12582</v>
      </c>
      <c r="D34081" s="7">
        <v>1.06</v>
      </c>
      <c r="E34081" t="s">
        <v>14</v>
      </c>
    </row>
    <row r="34082" spans="1:5" x14ac:dyDescent="0.25">
      <c r="A34082" t="str">
        <f>HYPERLINK("https://www.773grp.com/globalSearch/MC74VHC574DTG/page-1", "MC74VHC574DTG")</f>
        <v>MC74VHC574DTG</v>
      </c>
      <c r="B34082" s="3" t="s">
        <v>95</v>
      </c>
      <c r="C34082" s="6">
        <v>11900</v>
      </c>
      <c r="D34082" s="7">
        <v>1.06</v>
      </c>
      <c r="E34082" t="s">
        <v>14</v>
      </c>
    </row>
    <row r="34083" spans="1:5" x14ac:dyDescent="0.25">
      <c r="A34083" t="str">
        <f>HYPERLINK("https://www.773grp.com/globalSearch/MC74VHC574DTR2G/page-1", "MC74VHC574DTR2G")</f>
        <v>MC74VHC574DTR2G</v>
      </c>
      <c r="B34083" s="3" t="s">
        <v>95</v>
      </c>
      <c r="C34083" s="6">
        <v>32500</v>
      </c>
      <c r="D34083" s="7">
        <v>1.06</v>
      </c>
      <c r="E34083" t="s">
        <v>14</v>
      </c>
    </row>
    <row r="34084" spans="1:5" x14ac:dyDescent="0.25">
      <c r="A34084" t="str">
        <f>HYPERLINK("https://www.773grp.com/globalSearch/MC74VHC574DWG/page-1", "MC74VHC574DWG")</f>
        <v>MC74VHC574DWG</v>
      </c>
      <c r="B34084" s="3" t="s">
        <v>95</v>
      </c>
      <c r="C34084" s="6">
        <v>15314</v>
      </c>
      <c r="D34084" s="7">
        <v>1.06</v>
      </c>
      <c r="E34084" t="s">
        <v>14</v>
      </c>
    </row>
    <row r="34085" spans="1:5" x14ac:dyDescent="0.25">
      <c r="A34085" t="str">
        <f>HYPERLINK("https://www.773grp.com/globalSearch/MC74VHC574DWR2G/page-1", "MC74VHC574DWR2G")</f>
        <v>MC74VHC574DWR2G</v>
      </c>
      <c r="B34085" s="3" t="s">
        <v>95</v>
      </c>
      <c r="C34085" s="6">
        <v>16000</v>
      </c>
      <c r="D34085" s="7">
        <v>1.06</v>
      </c>
      <c r="E34085" t="s">
        <v>14</v>
      </c>
    </row>
    <row r="34086" spans="1:5" x14ac:dyDescent="0.25">
      <c r="A34086" t="str">
        <f>HYPERLINK("https://www.773grp.com/globalSearch/MC74VHCT157AMELG/page-1", "MC74VHCT157AMELG")</f>
        <v>MC74VHCT157AMELG</v>
      </c>
      <c r="B34086" s="3" t="s">
        <v>95</v>
      </c>
      <c r="C34086" s="6">
        <v>24000</v>
      </c>
      <c r="D34086" s="7">
        <v>1.06</v>
      </c>
      <c r="E34086" t="s">
        <v>20</v>
      </c>
    </row>
    <row r="34087" spans="1:5" x14ac:dyDescent="0.25">
      <c r="A34087" t="str">
        <f>HYPERLINK("https://www.773grp.com/globalSearch/MC74VHCT157AMG/page-1", "MC74VHCT157AMG")</f>
        <v>MC74VHCT157AMG</v>
      </c>
      <c r="B34087" s="3" t="s">
        <v>95</v>
      </c>
      <c r="C34087" s="6">
        <v>50150</v>
      </c>
      <c r="D34087" s="7">
        <v>1.06</v>
      </c>
      <c r="E34087" t="s">
        <v>20</v>
      </c>
    </row>
    <row r="34088" spans="1:5" x14ac:dyDescent="0.25">
      <c r="A34088" t="str">
        <f>HYPERLINK("https://www.773grp.com/globalSearch/MC74VHCT240ADWRG/page-1", "MC74VHCT240ADWRG")</f>
        <v>MC74VHCT240ADWRG</v>
      </c>
      <c r="B34088" s="3" t="s">
        <v>95</v>
      </c>
      <c r="C34088" s="6">
        <v>18120</v>
      </c>
      <c r="D34088" s="7">
        <v>1.06</v>
      </c>
      <c r="E34088" t="s">
        <v>14</v>
      </c>
    </row>
    <row r="34089" spans="1:5" x14ac:dyDescent="0.25">
      <c r="A34089" t="str">
        <f>HYPERLINK("https://www.773grp.com/globalSearch/MC74VHCT244ADTG/page-1", "MC74VHCT244ADTG")</f>
        <v>MC74VHCT244ADTG</v>
      </c>
      <c r="B34089" s="3" t="s">
        <v>95</v>
      </c>
      <c r="C34089" s="6">
        <v>34859</v>
      </c>
      <c r="D34089" s="7">
        <v>1.06</v>
      </c>
      <c r="E34089" t="s">
        <v>14</v>
      </c>
    </row>
    <row r="34090" spans="1:5" x14ac:dyDescent="0.25">
      <c r="A34090" t="str">
        <f>HYPERLINK("https://www.773grp.com/globalSearch/MC74VHCT244ADTRG/page-1", "MC74VHCT244ADTRG")</f>
        <v>MC74VHCT244ADTRG</v>
      </c>
      <c r="B34090" s="3" t="s">
        <v>95</v>
      </c>
      <c r="C34090" s="6">
        <v>24266</v>
      </c>
      <c r="D34090" s="7">
        <v>1.06</v>
      </c>
      <c r="E34090" t="s">
        <v>14</v>
      </c>
    </row>
    <row r="34091" spans="1:5" x14ac:dyDescent="0.25">
      <c r="A34091" t="str">
        <f>HYPERLINK("https://www.773grp.com/globalSearch/MC74VHCT244ADWRG/page-1", "MC74VHCT244ADWRG")</f>
        <v>MC74VHCT244ADWRG</v>
      </c>
      <c r="B34091" s="3" t="s">
        <v>95</v>
      </c>
      <c r="C34091" s="6">
        <v>14800</v>
      </c>
      <c r="D34091" s="7">
        <v>1.06</v>
      </c>
      <c r="E34091" t="s">
        <v>14</v>
      </c>
    </row>
    <row r="34092" spans="1:5" x14ac:dyDescent="0.25">
      <c r="A34092" t="str">
        <f>HYPERLINK("https://www.773grp.com/globalSearch/MC74VHCT245ADTG/page-1", "MC74VHCT245ADTG")</f>
        <v>MC74VHCT245ADTG</v>
      </c>
      <c r="B34092" s="3" t="s">
        <v>95</v>
      </c>
      <c r="C34092" s="6">
        <v>4770</v>
      </c>
      <c r="D34092" s="7">
        <v>1.06</v>
      </c>
      <c r="E34092" t="s">
        <v>14</v>
      </c>
    </row>
    <row r="34093" spans="1:5" x14ac:dyDescent="0.25">
      <c r="A34093" t="str">
        <f>HYPERLINK("https://www.773grp.com/globalSearch/MC74VHCT245ADTRG/page-1", "MC74VHCT245ADTRG")</f>
        <v>MC74VHCT245ADTRG</v>
      </c>
      <c r="B34093" s="3" t="s">
        <v>95</v>
      </c>
      <c r="C34093" s="6">
        <v>22500</v>
      </c>
      <c r="D34093" s="7">
        <v>1.06</v>
      </c>
      <c r="E34093" t="s">
        <v>14</v>
      </c>
    </row>
    <row r="34094" spans="1:5" x14ac:dyDescent="0.25">
      <c r="A34094" t="str">
        <f>HYPERLINK("https://www.773grp.com/globalSearch/MC74VHCT245ADWG/page-1", "MC74VHCT245ADWG")</f>
        <v>MC74VHCT245ADWG</v>
      </c>
      <c r="B34094" s="3" t="s">
        <v>95</v>
      </c>
      <c r="C34094" s="6">
        <v>12786</v>
      </c>
      <c r="D34094" s="7">
        <v>1.06</v>
      </c>
      <c r="E34094" t="s">
        <v>14</v>
      </c>
    </row>
    <row r="34095" spans="1:5" x14ac:dyDescent="0.25">
      <c r="A34095" t="str">
        <f>HYPERLINK("https://www.773grp.com/globalSearch/MC74VHCT373ADTRG/page-1", "MC74VHCT373ADTRG")</f>
        <v>MC74VHCT373ADTRG</v>
      </c>
      <c r="B34095" s="3" t="s">
        <v>95</v>
      </c>
      <c r="C34095" s="6">
        <v>5000</v>
      </c>
      <c r="D34095" s="7">
        <v>1.06</v>
      </c>
      <c r="E34095" t="s">
        <v>14</v>
      </c>
    </row>
    <row r="34096" spans="1:5" x14ac:dyDescent="0.25">
      <c r="A34096" t="str">
        <f>HYPERLINK("https://www.773grp.com/globalSearch/MC74VHCT373ADWRG/page-1", "MC74VHCT373ADWRG")</f>
        <v>MC74VHCT373ADWRG</v>
      </c>
      <c r="B34096" s="3" t="s">
        <v>95</v>
      </c>
      <c r="C34096" s="6">
        <v>24000</v>
      </c>
      <c r="D34096" s="7">
        <v>1.06</v>
      </c>
      <c r="E34096" t="s">
        <v>14</v>
      </c>
    </row>
    <row r="34097" spans="1:5" x14ac:dyDescent="0.25">
      <c r="A34097" t="str">
        <f>HYPERLINK("https://www.773grp.com/globalSearch/MC74VHCT573ADTRG/page-1", "MC74VHCT573ADTRG")</f>
        <v>MC74VHCT573ADTRG</v>
      </c>
      <c r="B34097" s="3" t="s">
        <v>95</v>
      </c>
      <c r="C34097" s="6">
        <v>2500</v>
      </c>
      <c r="D34097" s="7">
        <v>1.06</v>
      </c>
    </row>
    <row r="34098" spans="1:5" x14ac:dyDescent="0.25">
      <c r="A34098" t="str">
        <f>HYPERLINK("https://www.773grp.com/globalSearch/MC74VHCT573ADWG/page-1", "MC74VHCT573ADWG")</f>
        <v>MC74VHCT573ADWG</v>
      </c>
      <c r="B34098" s="3" t="s">
        <v>95</v>
      </c>
      <c r="C34098" s="6">
        <v>29914</v>
      </c>
      <c r="D34098" s="7">
        <v>1.06</v>
      </c>
      <c r="E34098" t="s">
        <v>14</v>
      </c>
    </row>
    <row r="34099" spans="1:5" x14ac:dyDescent="0.25">
      <c r="A34099" t="str">
        <f>HYPERLINK("https://www.773grp.com/globalSearch/MC74VHCT573ADWRG/page-1", "MC74VHCT573ADWRG")</f>
        <v>MC74VHCT573ADWRG</v>
      </c>
      <c r="B34099" s="3" t="s">
        <v>95</v>
      </c>
      <c r="C34099" s="6">
        <v>13000</v>
      </c>
      <c r="D34099" s="7">
        <v>1.06</v>
      </c>
      <c r="E34099" t="s">
        <v>14</v>
      </c>
    </row>
    <row r="34100" spans="1:5" x14ac:dyDescent="0.25">
      <c r="A34100" t="str">
        <f>HYPERLINK("https://www.773grp.com/globalSearch/MC74VHCT574ADTG/page-1", "MC74VHCT574ADTG")</f>
        <v>MC74VHCT574ADTG</v>
      </c>
      <c r="B34100" s="3" t="s">
        <v>95</v>
      </c>
      <c r="C34100" s="6">
        <v>8625</v>
      </c>
      <c r="D34100" s="7">
        <v>1.06</v>
      </c>
      <c r="E34100" t="s">
        <v>14</v>
      </c>
    </row>
    <row r="34101" spans="1:5" x14ac:dyDescent="0.25">
      <c r="A34101" t="str">
        <f>HYPERLINK("https://www.773grp.com/globalSearch/MC74VHCT574ADTRG/page-1", "MC74VHCT574ADTRG")</f>
        <v>MC74VHCT574ADTRG</v>
      </c>
      <c r="B34101" s="3" t="s">
        <v>95</v>
      </c>
      <c r="C34101" s="6">
        <v>16934</v>
      </c>
      <c r="D34101" s="7">
        <v>1.06</v>
      </c>
      <c r="E34101" t="s">
        <v>14</v>
      </c>
    </row>
    <row r="34102" spans="1:5" x14ac:dyDescent="0.25">
      <c r="A34102" t="str">
        <f>HYPERLINK("https://www.773grp.com/globalSearch/MC74VHCT574ADWG/page-1", "MC74VHCT574ADWG")</f>
        <v>MC74VHCT574ADWG</v>
      </c>
      <c r="B34102" s="3" t="s">
        <v>95</v>
      </c>
      <c r="C34102" s="6">
        <v>13921</v>
      </c>
      <c r="D34102" s="7">
        <v>1.06</v>
      </c>
      <c r="E34102" t="s">
        <v>14</v>
      </c>
    </row>
    <row r="34103" spans="1:5" x14ac:dyDescent="0.25">
      <c r="A34103" t="str">
        <f>HYPERLINK("https://www.773grp.com/globalSearch/MC7805ACTG/page-1", "MC7805ACTG")</f>
        <v>MC7805ACTG</v>
      </c>
      <c r="B34103" s="3" t="s">
        <v>95</v>
      </c>
      <c r="C34103" s="6">
        <v>13871</v>
      </c>
      <c r="D34103" s="7">
        <v>1.06</v>
      </c>
      <c r="E34103" t="s">
        <v>28</v>
      </c>
    </row>
    <row r="34104" spans="1:5" x14ac:dyDescent="0.25">
      <c r="A34104" t="str">
        <f>HYPERLINK("https://www.773grp.com/globalSearch/MC7805BTG/page-1", "MC7805BTG")</f>
        <v>MC7805BTG</v>
      </c>
      <c r="B34104" s="3" t="s">
        <v>95</v>
      </c>
      <c r="C34104" s="6">
        <v>13408</v>
      </c>
      <c r="D34104" s="7">
        <v>1.06</v>
      </c>
      <c r="E34104" t="s">
        <v>28</v>
      </c>
    </row>
    <row r="34105" spans="1:5" x14ac:dyDescent="0.25">
      <c r="A34105" t="str">
        <f>HYPERLINK("https://www.773grp.com/globalSearch/MC7806BTG/page-1", "MC7806BTG")</f>
        <v>MC7806BTG</v>
      </c>
      <c r="B34105" s="3" t="s">
        <v>95</v>
      </c>
      <c r="C34105" s="6">
        <v>17590</v>
      </c>
      <c r="D34105" s="7">
        <v>1.06</v>
      </c>
      <c r="E34105" t="s">
        <v>28</v>
      </c>
    </row>
    <row r="34106" spans="1:5" x14ac:dyDescent="0.25">
      <c r="A34106" t="str">
        <f>HYPERLINK("https://www.773grp.com/globalSearch/MC7808ACTG/page-1", "MC7808ACTG")</f>
        <v>MC7808ACTG</v>
      </c>
      <c r="B34106" s="3" t="s">
        <v>95</v>
      </c>
      <c r="C34106" s="6">
        <v>7315</v>
      </c>
      <c r="D34106" s="7">
        <v>1.06</v>
      </c>
      <c r="E34106" t="s">
        <v>28</v>
      </c>
    </row>
    <row r="34107" spans="1:5" x14ac:dyDescent="0.25">
      <c r="A34107" t="str">
        <f>HYPERLINK("https://www.773grp.com/globalSearch/MC7808BTG/page-1", "MC7808BTG")</f>
        <v>MC7808BTG</v>
      </c>
      <c r="B34107" s="3" t="s">
        <v>95</v>
      </c>
      <c r="C34107" s="6">
        <v>10150</v>
      </c>
      <c r="D34107" s="7">
        <v>1.06</v>
      </c>
      <c r="E34107" t="s">
        <v>28</v>
      </c>
    </row>
    <row r="34108" spans="1:5" x14ac:dyDescent="0.25">
      <c r="A34108" t="str">
        <f>HYPERLINK("https://www.773grp.com/globalSearch/MC7809ACTG/page-1", "MC7809ACTG")</f>
        <v>MC7809ACTG</v>
      </c>
      <c r="B34108" s="3" t="s">
        <v>95</v>
      </c>
      <c r="C34108" s="6">
        <v>300320</v>
      </c>
      <c r="D34108" s="7">
        <v>1.06</v>
      </c>
      <c r="E34108" t="s">
        <v>28</v>
      </c>
    </row>
    <row r="34109" spans="1:5" x14ac:dyDescent="0.25">
      <c r="A34109" t="str">
        <f>HYPERLINK("https://www.773grp.com/globalSearch/MC7809BTG/page-1", "MC7809BTG")</f>
        <v>MC7809BTG</v>
      </c>
      <c r="B34109" s="3" t="s">
        <v>95</v>
      </c>
      <c r="C34109" s="6">
        <v>86006</v>
      </c>
      <c r="D34109" s="7">
        <v>1.06</v>
      </c>
      <c r="E34109" t="s">
        <v>28</v>
      </c>
    </row>
    <row r="34110" spans="1:5" x14ac:dyDescent="0.25">
      <c r="A34110" t="str">
        <f>HYPERLINK("https://www.773grp.com/globalSearch/MC7812ACTG/page-1", "MC7812ACTG")</f>
        <v>MC7812ACTG</v>
      </c>
      <c r="B34110" s="3" t="s">
        <v>95</v>
      </c>
      <c r="C34110" s="6">
        <v>6450</v>
      </c>
      <c r="D34110" s="7">
        <v>1.06</v>
      </c>
      <c r="E34110" t="s">
        <v>28</v>
      </c>
    </row>
    <row r="34111" spans="1:5" x14ac:dyDescent="0.25">
      <c r="A34111" t="str">
        <f>HYPERLINK("https://www.773grp.com/globalSearch/MC7812BTG/page-1", "MC7812BTG")</f>
        <v>MC7812BTG</v>
      </c>
      <c r="B34111" s="3" t="s">
        <v>95</v>
      </c>
      <c r="C34111" s="6">
        <v>33409</v>
      </c>
      <c r="D34111" s="7">
        <v>1.06</v>
      </c>
      <c r="E34111" t="s">
        <v>28</v>
      </c>
    </row>
    <row r="34112" spans="1:5" x14ac:dyDescent="0.25">
      <c r="A34112" t="str">
        <f>HYPERLINK("https://www.773grp.com/globalSearch/MC7815ACT/page-1", "MC7815ACT")</f>
        <v>MC7815ACT</v>
      </c>
      <c r="B34112" s="3" t="s">
        <v>95</v>
      </c>
      <c r="C34112" s="6">
        <v>5600</v>
      </c>
      <c r="D34112" s="7">
        <v>1.06</v>
      </c>
      <c r="E34112" t="s">
        <v>28</v>
      </c>
    </row>
    <row r="34113" spans="1:5" x14ac:dyDescent="0.25">
      <c r="A34113" t="str">
        <f>HYPERLINK("https://www.773grp.com/globalSearch/MC7815ACTG/page-1", "MC7815ACTG")</f>
        <v>MC7815ACTG</v>
      </c>
      <c r="B34113" s="3" t="s">
        <v>95</v>
      </c>
      <c r="C34113" s="6">
        <v>398145</v>
      </c>
      <c r="D34113" s="7">
        <v>1.06</v>
      </c>
      <c r="E34113" t="s">
        <v>28</v>
      </c>
    </row>
    <row r="34114" spans="1:5" x14ac:dyDescent="0.25">
      <c r="A34114" t="str">
        <f>HYPERLINK("https://www.773grp.com/globalSearch/MC7815BTG/page-1", "MC7815BTG")</f>
        <v>MC7815BTG</v>
      </c>
      <c r="B34114" s="3" t="s">
        <v>95</v>
      </c>
      <c r="C34114" s="6">
        <v>115883</v>
      </c>
      <c r="D34114" s="7">
        <v>1.06</v>
      </c>
      <c r="E34114" t="s">
        <v>28</v>
      </c>
    </row>
    <row r="34115" spans="1:5" x14ac:dyDescent="0.25">
      <c r="A34115" t="str">
        <f>HYPERLINK("https://www.773grp.com/globalSearch/MC7818ACTG/page-1", "MC7818ACTG")</f>
        <v>MC7818ACTG</v>
      </c>
      <c r="B34115" s="3" t="s">
        <v>95</v>
      </c>
      <c r="C34115" s="6">
        <v>13667</v>
      </c>
      <c r="D34115" s="7">
        <v>1.06</v>
      </c>
      <c r="E34115" t="s">
        <v>28</v>
      </c>
    </row>
    <row r="34116" spans="1:5" x14ac:dyDescent="0.25">
      <c r="A34116" t="str">
        <f>HYPERLINK("https://www.773grp.com/globalSearch/MC7818BTG/page-1", "MC7818BTG")</f>
        <v>MC7818BTG</v>
      </c>
      <c r="B34116" s="3" t="s">
        <v>95</v>
      </c>
      <c r="C34116" s="6">
        <v>26200</v>
      </c>
      <c r="D34116" s="7">
        <v>1.06</v>
      </c>
      <c r="E34116" t="s">
        <v>28</v>
      </c>
    </row>
    <row r="34117" spans="1:5" x14ac:dyDescent="0.25">
      <c r="A34117" t="str">
        <f>HYPERLINK("https://www.773grp.com/globalSearch/MC7824ACTG/page-1", "MC7824ACTG")</f>
        <v>MC7824ACTG</v>
      </c>
      <c r="B34117" s="3" t="s">
        <v>95</v>
      </c>
      <c r="C34117" s="6">
        <v>300</v>
      </c>
      <c r="D34117" s="7">
        <v>1.06</v>
      </c>
    </row>
    <row r="34118" spans="1:5" x14ac:dyDescent="0.25">
      <c r="A34118" t="str">
        <f>HYPERLINK("https://www.773grp.com/globalSearch/MC7824BTG/page-1", "MC7824BTG")</f>
        <v>MC7824BTG</v>
      </c>
      <c r="B34118" s="3" t="s">
        <v>95</v>
      </c>
      <c r="C34118" s="6">
        <v>2100</v>
      </c>
      <c r="D34118" s="7">
        <v>1.06</v>
      </c>
      <c r="E34118" t="s">
        <v>28</v>
      </c>
    </row>
    <row r="34119" spans="1:5" x14ac:dyDescent="0.25">
      <c r="A34119" t="str">
        <f>HYPERLINK("https://www.773grp.com/globalSearch/MC78M05CDT/page-1", "MC78M05CDT")</f>
        <v>MC78M05CDT</v>
      </c>
      <c r="B34119" s="3" t="s">
        <v>95</v>
      </c>
      <c r="C34119" s="6">
        <v>2325</v>
      </c>
      <c r="D34119" s="7">
        <v>1.06</v>
      </c>
    </row>
    <row r="34120" spans="1:5" x14ac:dyDescent="0.25">
      <c r="A34120" t="str">
        <f>HYPERLINK("https://www.773grp.com/globalSearch/MC78M05CDTG/page-1", "MC78M05CDTG")</f>
        <v>MC78M05CDTG</v>
      </c>
      <c r="B34120" s="3" t="s">
        <v>95</v>
      </c>
      <c r="C34120" s="6">
        <v>15880</v>
      </c>
      <c r="D34120" s="7">
        <v>1.06</v>
      </c>
      <c r="E34120" t="s">
        <v>28</v>
      </c>
    </row>
    <row r="34121" spans="1:5" x14ac:dyDescent="0.25">
      <c r="A34121" t="str">
        <f>HYPERLINK("https://www.773grp.com/globalSearch/MC78M05CDTRKG/page-1", "MC78M05CDTRKG")</f>
        <v>MC78M05CDTRKG</v>
      </c>
      <c r="B34121" s="3" t="s">
        <v>95</v>
      </c>
      <c r="C34121" s="6">
        <v>132511</v>
      </c>
      <c r="D34121" s="7">
        <v>1.06</v>
      </c>
      <c r="E34121" t="s">
        <v>28</v>
      </c>
    </row>
    <row r="34122" spans="1:5" x14ac:dyDescent="0.25">
      <c r="A34122" t="str">
        <f>HYPERLINK("https://www.773grp.com/globalSearch/MC78M05CDTT5G/page-1", "MC78M05CDTT5G")</f>
        <v>MC78M05CDTT5G</v>
      </c>
      <c r="B34122" s="3" t="s">
        <v>95</v>
      </c>
      <c r="C34122" s="6">
        <v>7500</v>
      </c>
      <c r="D34122" s="7">
        <v>1.06</v>
      </c>
      <c r="E34122" t="s">
        <v>28</v>
      </c>
    </row>
    <row r="34123" spans="1:5" x14ac:dyDescent="0.25">
      <c r="A34123" t="str">
        <f>HYPERLINK("https://www.773grp.com/globalSearch/MC78M06CDTG/page-1", "MC78M06CDTG")</f>
        <v>MC78M06CDTG</v>
      </c>
      <c r="B34123" s="3" t="s">
        <v>95</v>
      </c>
      <c r="C34123" s="6">
        <v>17875</v>
      </c>
      <c r="D34123" s="7">
        <v>1.06</v>
      </c>
      <c r="E34123" t="s">
        <v>28</v>
      </c>
    </row>
    <row r="34124" spans="1:5" x14ac:dyDescent="0.25">
      <c r="A34124" t="str">
        <f>HYPERLINK("https://www.773grp.com/globalSearch/MC78M06CDTRKG/page-1", "MC78M06CDTRKG")</f>
        <v>MC78M06CDTRKG</v>
      </c>
      <c r="B34124" s="3" t="s">
        <v>95</v>
      </c>
      <c r="C34124" s="6">
        <v>279363</v>
      </c>
      <c r="D34124" s="7">
        <v>1.06</v>
      </c>
      <c r="E34124" t="s">
        <v>28</v>
      </c>
    </row>
    <row r="34125" spans="1:5" x14ac:dyDescent="0.25">
      <c r="A34125" t="str">
        <f>HYPERLINK("https://www.773grp.com/globalSearch/MC78M08CDTG/page-1", "MC78M08CDTG")</f>
        <v>MC78M08CDTG</v>
      </c>
      <c r="B34125" s="3" t="s">
        <v>95</v>
      </c>
      <c r="C34125" s="6">
        <v>11735</v>
      </c>
      <c r="D34125" s="7">
        <v>1.06</v>
      </c>
      <c r="E34125" t="s">
        <v>28</v>
      </c>
    </row>
    <row r="34126" spans="1:5" x14ac:dyDescent="0.25">
      <c r="A34126" t="str">
        <f>HYPERLINK("https://www.773grp.com/globalSearch/MC78M08CDTRKG/page-1", "MC78M08CDTRKG")</f>
        <v>MC78M08CDTRKG</v>
      </c>
      <c r="B34126" s="3" t="s">
        <v>95</v>
      </c>
      <c r="C34126" s="6">
        <v>14263</v>
      </c>
      <c r="D34126" s="7">
        <v>1.06</v>
      </c>
      <c r="E34126" t="s">
        <v>28</v>
      </c>
    </row>
    <row r="34127" spans="1:5" x14ac:dyDescent="0.25">
      <c r="A34127" t="str">
        <f>HYPERLINK("https://www.773grp.com/globalSearch/MC78M09CDTG/page-1", "MC78M09CDTG")</f>
        <v>MC78M09CDTG</v>
      </c>
      <c r="B34127" s="3" t="s">
        <v>95</v>
      </c>
      <c r="C34127" s="6">
        <v>22425</v>
      </c>
      <c r="D34127" s="7">
        <v>1.06</v>
      </c>
      <c r="E34127" t="s">
        <v>28</v>
      </c>
    </row>
    <row r="34128" spans="1:5" x14ac:dyDescent="0.25">
      <c r="A34128" t="str">
        <f>HYPERLINK("https://www.773grp.com/globalSearch/MC78M09CDTRKG/page-1", "MC78M09CDTRKG")</f>
        <v>MC78M09CDTRKG</v>
      </c>
      <c r="B34128" s="3" t="s">
        <v>95</v>
      </c>
      <c r="C34128" s="6">
        <v>228595</v>
      </c>
      <c r="D34128" s="7">
        <v>1.06</v>
      </c>
      <c r="E34128" t="s">
        <v>28</v>
      </c>
    </row>
    <row r="34129" spans="1:5" x14ac:dyDescent="0.25">
      <c r="A34129" t="str">
        <f>HYPERLINK("https://www.773grp.com/globalSearch/MC78M12CDTG/page-1", "MC78M12CDTG")</f>
        <v>MC78M12CDTG</v>
      </c>
      <c r="B34129" s="3" t="s">
        <v>95</v>
      </c>
      <c r="C34129" s="6">
        <v>14070</v>
      </c>
      <c r="D34129" s="7">
        <v>1.06</v>
      </c>
      <c r="E34129" t="s">
        <v>28</v>
      </c>
    </row>
    <row r="34130" spans="1:5" x14ac:dyDescent="0.25">
      <c r="A34130" t="str">
        <f>HYPERLINK("https://www.773grp.com/globalSearch/MC78M12CDTRKG/page-1", "MC78M12CDTRKG")</f>
        <v>MC78M12CDTRKG</v>
      </c>
      <c r="B34130" s="3" t="s">
        <v>95</v>
      </c>
      <c r="C34130" s="6">
        <v>114705</v>
      </c>
      <c r="D34130" s="7">
        <v>1.06</v>
      </c>
      <c r="E34130" t="s">
        <v>28</v>
      </c>
    </row>
    <row r="34131" spans="1:5" x14ac:dyDescent="0.25">
      <c r="A34131" t="str">
        <f>HYPERLINK("https://www.773grp.com/globalSearch/MC78M12CDTT5G/page-1", "MC78M12CDTT5G")</f>
        <v>MC78M12CDTT5G</v>
      </c>
      <c r="B34131" s="3" t="s">
        <v>95</v>
      </c>
      <c r="C34131" s="6">
        <v>2500</v>
      </c>
      <c r="D34131" s="7">
        <v>1.06</v>
      </c>
    </row>
    <row r="34132" spans="1:5" x14ac:dyDescent="0.25">
      <c r="A34132" t="str">
        <f>HYPERLINK("https://www.773grp.com/globalSearch/MC78M15CDTG/page-1", "MC78M15CDTG")</f>
        <v>MC78M15CDTG</v>
      </c>
      <c r="B34132" s="3" t="s">
        <v>95</v>
      </c>
      <c r="C34132" s="6">
        <v>2175</v>
      </c>
      <c r="D34132" s="7">
        <v>1.06</v>
      </c>
      <c r="E34132" t="s">
        <v>28</v>
      </c>
    </row>
    <row r="34133" spans="1:5" x14ac:dyDescent="0.25">
      <c r="A34133" t="str">
        <f>HYPERLINK("https://www.773grp.com/globalSearch/MC78M15CDTRKG/page-1", "MC78M15CDTRKG")</f>
        <v>MC78M15CDTRKG</v>
      </c>
      <c r="B34133" s="3" t="s">
        <v>95</v>
      </c>
      <c r="C34133" s="6">
        <v>9536</v>
      </c>
      <c r="D34133" s="7">
        <v>1.06</v>
      </c>
    </row>
    <row r="34134" spans="1:5" x14ac:dyDescent="0.25">
      <c r="A34134" t="str">
        <f>HYPERLINK("https://www.773grp.com/globalSearch/MC78M18CDTG/page-1", "MC78M18CDTG")</f>
        <v>MC78M18CDTG</v>
      </c>
      <c r="B34134" s="3" t="s">
        <v>95</v>
      </c>
      <c r="C34134" s="6">
        <v>7035</v>
      </c>
      <c r="D34134" s="7">
        <v>1.06</v>
      </c>
      <c r="E34134" t="s">
        <v>28</v>
      </c>
    </row>
    <row r="34135" spans="1:5" x14ac:dyDescent="0.25">
      <c r="A34135" t="str">
        <f>HYPERLINK("https://www.773grp.com/globalSearch/MC78M18CDTRKG/page-1", "MC78M18CDTRKG")</f>
        <v>MC78M18CDTRKG</v>
      </c>
      <c r="B34135" s="3" t="s">
        <v>95</v>
      </c>
      <c r="C34135" s="6">
        <v>27500</v>
      </c>
      <c r="D34135" s="7">
        <v>1.06</v>
      </c>
      <c r="E34135" t="s">
        <v>28</v>
      </c>
    </row>
    <row r="34136" spans="1:5" x14ac:dyDescent="0.25">
      <c r="A34136" t="str">
        <f>HYPERLINK("https://www.773grp.com/globalSearch/MC7905ACTG/page-1", "MC7905ACTG")</f>
        <v>MC7905ACTG</v>
      </c>
      <c r="B34136" s="3" t="s">
        <v>95</v>
      </c>
      <c r="C34136" s="6">
        <v>8300</v>
      </c>
      <c r="D34136" s="7">
        <v>1.06</v>
      </c>
      <c r="E34136" t="s">
        <v>65</v>
      </c>
    </row>
    <row r="34137" spans="1:5" x14ac:dyDescent="0.25">
      <c r="A34137" t="str">
        <f>HYPERLINK("https://www.773grp.com/globalSearch/MC7905BTG/page-1", "MC7905BTG")</f>
        <v>MC7905BTG</v>
      </c>
      <c r="B34137" s="3" t="s">
        <v>95</v>
      </c>
      <c r="C34137" s="6">
        <v>24042</v>
      </c>
      <c r="D34137" s="7">
        <v>1.06</v>
      </c>
      <c r="E34137" t="s">
        <v>65</v>
      </c>
    </row>
    <row r="34138" spans="1:5" x14ac:dyDescent="0.25">
      <c r="A34138" t="str">
        <f>HYPERLINK("https://www.773grp.com/globalSearch/MC7912ACTG/page-1", "MC7912ACTG")</f>
        <v>MC7912ACTG</v>
      </c>
      <c r="B34138" s="3" t="s">
        <v>95</v>
      </c>
      <c r="C34138" s="6">
        <v>42690</v>
      </c>
      <c r="D34138" s="7">
        <v>1.06</v>
      </c>
      <c r="E34138" t="s">
        <v>65</v>
      </c>
    </row>
    <row r="34139" spans="1:5" x14ac:dyDescent="0.25">
      <c r="A34139" t="str">
        <f>HYPERLINK("https://www.773grp.com/globalSearch/MC7912BTG/page-1", "MC7912BTG")</f>
        <v>MC7912BTG</v>
      </c>
      <c r="B34139" s="3" t="s">
        <v>95</v>
      </c>
      <c r="C34139" s="6">
        <v>11565</v>
      </c>
      <c r="D34139" s="7">
        <v>1.06</v>
      </c>
      <c r="E34139" t="s">
        <v>65</v>
      </c>
    </row>
    <row r="34140" spans="1:5" x14ac:dyDescent="0.25">
      <c r="A34140" t="str">
        <f>HYPERLINK("https://www.773grp.com/globalSearch/MC7915ACTG/page-1", "MC7915ACTG")</f>
        <v>MC7915ACTG</v>
      </c>
      <c r="B34140" s="3" t="s">
        <v>95</v>
      </c>
      <c r="C34140" s="6">
        <v>38150</v>
      </c>
      <c r="D34140" s="7">
        <v>1.06</v>
      </c>
      <c r="E34140" t="s">
        <v>65</v>
      </c>
    </row>
    <row r="34141" spans="1:5" x14ac:dyDescent="0.25">
      <c r="A34141" t="str">
        <f>HYPERLINK("https://www.773grp.com/globalSearch/MC7915BTG/page-1", "MC7915BTG")</f>
        <v>MC7915BTG</v>
      </c>
      <c r="B34141" s="3" t="s">
        <v>95</v>
      </c>
      <c r="C34141" s="6">
        <v>36300</v>
      </c>
      <c r="D34141" s="7">
        <v>1.06</v>
      </c>
      <c r="E34141" t="s">
        <v>65</v>
      </c>
    </row>
    <row r="34142" spans="1:5" x14ac:dyDescent="0.25">
      <c r="A34142" t="str">
        <f>HYPERLINK("https://www.773grp.com/globalSearch/MC79M05CDTG/page-1", "MC79M05CDTG")</f>
        <v>MC79M05CDTG</v>
      </c>
      <c r="B34142" s="3" t="s">
        <v>95</v>
      </c>
      <c r="C34142" s="6">
        <v>8762</v>
      </c>
      <c r="D34142" s="7">
        <v>1.06</v>
      </c>
      <c r="E34142" t="s">
        <v>65</v>
      </c>
    </row>
    <row r="34143" spans="1:5" x14ac:dyDescent="0.25">
      <c r="A34143" t="str">
        <f>HYPERLINK("https://www.773grp.com/globalSearch/MC79M05CDTRKG/page-1", "MC79M05CDTRKG")</f>
        <v>MC79M05CDTRKG</v>
      </c>
      <c r="B34143" s="3" t="s">
        <v>95</v>
      </c>
      <c r="C34143" s="6">
        <v>5000</v>
      </c>
      <c r="D34143" s="7">
        <v>1.06</v>
      </c>
      <c r="E34143" t="s">
        <v>65</v>
      </c>
    </row>
    <row r="34144" spans="1:5" x14ac:dyDescent="0.25">
      <c r="A34144" t="str">
        <f>HYPERLINK("https://www.773grp.com/globalSearch/MC79M08CDTG/page-1", "MC79M08CDTG")</f>
        <v>MC79M08CDTG</v>
      </c>
      <c r="B34144" s="3" t="s">
        <v>95</v>
      </c>
      <c r="C34144" s="6">
        <v>16600</v>
      </c>
      <c r="D34144" s="7">
        <v>1.06</v>
      </c>
      <c r="E34144" t="s">
        <v>65</v>
      </c>
    </row>
    <row r="34145" spans="1:5" x14ac:dyDescent="0.25">
      <c r="A34145" t="str">
        <f>HYPERLINK("https://www.773grp.com/globalSearch/MC79M08CDTRKG/page-1", "MC79M08CDTRKG")</f>
        <v>MC79M08CDTRKG</v>
      </c>
      <c r="B34145" s="3" t="s">
        <v>95</v>
      </c>
      <c r="C34145" s="6">
        <v>7500</v>
      </c>
      <c r="D34145" s="7">
        <v>1.06</v>
      </c>
      <c r="E34145" t="s">
        <v>65</v>
      </c>
    </row>
    <row r="34146" spans="1:5" x14ac:dyDescent="0.25">
      <c r="A34146" t="str">
        <f>HYPERLINK("https://www.773grp.com/globalSearch/MC79M12CDTG/page-1", "MC79M12CDTG")</f>
        <v>MC79M12CDTG</v>
      </c>
      <c r="B34146" s="3" t="s">
        <v>95</v>
      </c>
      <c r="C34146" s="6">
        <v>12794</v>
      </c>
      <c r="D34146" s="7">
        <v>1.06</v>
      </c>
      <c r="E34146" t="s">
        <v>65</v>
      </c>
    </row>
    <row r="34147" spans="1:5" x14ac:dyDescent="0.25">
      <c r="A34147" t="str">
        <f>HYPERLINK("https://www.773grp.com/globalSearch/MC79M12CDTRKG/page-1", "MC79M12CDTRKG")</f>
        <v>MC79M12CDTRKG</v>
      </c>
      <c r="B34147" s="3" t="s">
        <v>95</v>
      </c>
      <c r="C34147" s="6">
        <v>39633</v>
      </c>
      <c r="D34147" s="7">
        <v>1.06</v>
      </c>
      <c r="E34147" t="s">
        <v>65</v>
      </c>
    </row>
    <row r="34148" spans="1:5" x14ac:dyDescent="0.25">
      <c r="A34148" t="str">
        <f>HYPERLINK("https://www.773grp.com/globalSearch/MC79M15CDTG/page-1", "MC79M15CDTG")</f>
        <v>MC79M15CDTG</v>
      </c>
      <c r="B34148" s="3" t="s">
        <v>95</v>
      </c>
      <c r="C34148" s="6">
        <v>7800</v>
      </c>
      <c r="D34148" s="7">
        <v>1.06</v>
      </c>
      <c r="E34148" t="s">
        <v>65</v>
      </c>
    </row>
    <row r="34149" spans="1:5" x14ac:dyDescent="0.25">
      <c r="A34149" t="str">
        <f>HYPERLINK("https://www.773grp.com/globalSearch/MC79M15CDTRKG/page-1", "MC79M15CDTRKG")</f>
        <v>MC79M15CDTRKG</v>
      </c>
      <c r="B34149" s="3" t="s">
        <v>95</v>
      </c>
      <c r="C34149" s="6">
        <v>49536</v>
      </c>
      <c r="D34149" s="7">
        <v>1.06</v>
      </c>
      <c r="E34149" t="s">
        <v>65</v>
      </c>
    </row>
    <row r="34150" spans="1:5" x14ac:dyDescent="0.25">
      <c r="A34150" t="str">
        <f>HYPERLINK("https://www.773grp.com/globalSearch/MCR106-8G/page-1", "MCR106-8G")</f>
        <v>MCR106-8G</v>
      </c>
      <c r="B34150" s="3" t="s">
        <v>95</v>
      </c>
      <c r="C34150" s="6">
        <v>9341</v>
      </c>
      <c r="D34150" s="7">
        <v>1.06</v>
      </c>
    </row>
    <row r="34151" spans="1:5" x14ac:dyDescent="0.25">
      <c r="A34151" t="str">
        <f>HYPERLINK("https://www.773grp.com/globalSearch/MGSF3441VT1/page-1", "MGSF3441VT1")</f>
        <v>MGSF3441VT1</v>
      </c>
      <c r="B34151" s="3" t="s">
        <v>95</v>
      </c>
      <c r="C34151" s="6">
        <v>270019</v>
      </c>
      <c r="D34151" s="7">
        <v>1.06</v>
      </c>
      <c r="E34151" t="s">
        <v>106</v>
      </c>
    </row>
    <row r="34152" spans="1:5" x14ac:dyDescent="0.25">
      <c r="A34152" t="str">
        <f>HYPERLINK("https://www.773grp.com/globalSearch/MGSF3454XT1/page-1", "MGSF3454XT1")</f>
        <v>MGSF3454XT1</v>
      </c>
      <c r="B34152" s="3" t="s">
        <v>95</v>
      </c>
      <c r="C34152" s="6">
        <v>25000</v>
      </c>
      <c r="D34152" s="7">
        <v>1.06</v>
      </c>
      <c r="E34152" t="s">
        <v>106</v>
      </c>
    </row>
    <row r="34153" spans="1:5" x14ac:dyDescent="0.25">
      <c r="A34153" t="str">
        <f>HYPERLINK("https://www.773grp.com/globalSearch/MGSF3455VT1/page-1", "MGSF3455VT1")</f>
        <v>MGSF3455VT1</v>
      </c>
      <c r="B34153" s="3" t="s">
        <v>95</v>
      </c>
      <c r="C34153" s="6">
        <v>2900</v>
      </c>
      <c r="D34153" s="7">
        <v>1.06</v>
      </c>
      <c r="E34153" t="s">
        <v>105</v>
      </c>
    </row>
    <row r="34154" spans="1:5" x14ac:dyDescent="0.25">
      <c r="A34154" t="str">
        <f>HYPERLINK("https://www.773grp.com/globalSearch/MGSF3455XT1/page-1", "MGSF3455XT1")</f>
        <v>MGSF3455XT1</v>
      </c>
      <c r="B34154" s="3" t="s">
        <v>95</v>
      </c>
      <c r="C34154" s="6">
        <v>25815</v>
      </c>
      <c r="D34154" s="7">
        <v>1.06</v>
      </c>
      <c r="E34154" t="s">
        <v>106</v>
      </c>
    </row>
    <row r="34155" spans="1:5" x14ac:dyDescent="0.25">
      <c r="A34155" t="str">
        <f>HYPERLINK("https://www.773grp.com/globalSearch/MJD128T4G/page-1", "MJD128T4G")</f>
        <v>MJD128T4G</v>
      </c>
      <c r="B34155" s="3" t="s">
        <v>95</v>
      </c>
      <c r="C34155" s="6">
        <v>2200</v>
      </c>
      <c r="D34155" s="7">
        <v>1.06</v>
      </c>
      <c r="E34155" t="s">
        <v>59</v>
      </c>
    </row>
    <row r="34156" spans="1:5" x14ac:dyDescent="0.25">
      <c r="A34156" t="str">
        <f>HYPERLINK("https://www.773grp.com/globalSearch/MJD200RLG/page-1", "MJD200RLG")</f>
        <v>MJD200RLG</v>
      </c>
      <c r="B34156" s="3" t="s">
        <v>95</v>
      </c>
      <c r="C34156" s="6">
        <v>5295</v>
      </c>
      <c r="D34156" s="7">
        <v>1.06</v>
      </c>
      <c r="E34156" t="s">
        <v>59</v>
      </c>
    </row>
    <row r="34157" spans="1:5" x14ac:dyDescent="0.25">
      <c r="A34157" t="str">
        <f>HYPERLINK("https://www.773grp.com/globalSearch/MJD210RLG/page-1", "MJD210RLG")</f>
        <v>MJD210RLG</v>
      </c>
      <c r="B34157" s="3" t="s">
        <v>95</v>
      </c>
      <c r="C34157" s="6">
        <v>23086</v>
      </c>
      <c r="D34157" s="7">
        <v>1.06</v>
      </c>
      <c r="E34157" t="s">
        <v>59</v>
      </c>
    </row>
    <row r="34158" spans="1:5" x14ac:dyDescent="0.25">
      <c r="A34158" t="str">
        <f>HYPERLINK("https://www.773grp.com/globalSearch/MJD243T4/page-1", "MJD243T4")</f>
        <v>MJD243T4</v>
      </c>
      <c r="B34158" s="3" t="s">
        <v>95</v>
      </c>
      <c r="C34158" s="6">
        <v>2500</v>
      </c>
      <c r="D34158" s="7">
        <v>1.06</v>
      </c>
      <c r="E34158" t="s">
        <v>59</v>
      </c>
    </row>
    <row r="34159" spans="1:5" x14ac:dyDescent="0.25">
      <c r="A34159" t="str">
        <f>HYPERLINK("https://www.773grp.com/globalSearch/MJE18002/page-1", "MJE18002")</f>
        <v>MJE18002</v>
      </c>
      <c r="B34159" s="3" t="s">
        <v>95</v>
      </c>
      <c r="C34159" s="6">
        <v>5437</v>
      </c>
      <c r="D34159" s="7">
        <v>1.06</v>
      </c>
      <c r="E34159" t="s">
        <v>59</v>
      </c>
    </row>
    <row r="34160" spans="1:5" x14ac:dyDescent="0.25">
      <c r="A34160" t="str">
        <f>HYPERLINK("https://www.773grp.com/globalSearch/MJE702/page-1", "MJE702")</f>
        <v>MJE702</v>
      </c>
      <c r="B34160" s="3" t="s">
        <v>95</v>
      </c>
      <c r="C34160" s="6">
        <v>2500</v>
      </c>
      <c r="D34160" s="7">
        <v>1.06</v>
      </c>
      <c r="E34160" t="s">
        <v>59</v>
      </c>
    </row>
    <row r="34161" spans="1:5" x14ac:dyDescent="0.25">
      <c r="A34161" t="str">
        <f>HYPERLINK("https://www.773grp.com/globalSearch/MMDF2N05ZR2/page-1", "MMDF2N05ZR2")</f>
        <v>MMDF2N05ZR2</v>
      </c>
      <c r="B34161" s="3" t="s">
        <v>95</v>
      </c>
      <c r="C34161" s="6">
        <v>87765</v>
      </c>
      <c r="D34161" s="7">
        <v>1.06</v>
      </c>
      <c r="E34161" t="s">
        <v>106</v>
      </c>
    </row>
    <row r="34162" spans="1:5" x14ac:dyDescent="0.25">
      <c r="A34162" t="str">
        <f>HYPERLINK("https://www.773grp.com/globalSearch/MMDF2P01HDR2/page-1", "MMDF2P01HDR2")</f>
        <v>MMDF2P01HDR2</v>
      </c>
      <c r="B34162" s="3" t="s">
        <v>95</v>
      </c>
      <c r="C34162" s="6">
        <v>21752</v>
      </c>
      <c r="D34162" s="7">
        <v>1.06</v>
      </c>
      <c r="E34162" t="s">
        <v>105</v>
      </c>
    </row>
    <row r="34163" spans="1:5" x14ac:dyDescent="0.25">
      <c r="A34163" t="str">
        <f>HYPERLINK("https://www.773grp.com/globalSearch/MMDF4N01HDR2/page-1", "MMDF4N01HDR2")</f>
        <v>MMDF4N01HDR2</v>
      </c>
      <c r="B34163" s="3" t="s">
        <v>95</v>
      </c>
      <c r="C34163" s="6">
        <v>210000</v>
      </c>
      <c r="D34163" s="7">
        <v>1.06</v>
      </c>
      <c r="E34163" t="s">
        <v>105</v>
      </c>
    </row>
    <row r="34164" spans="1:5" x14ac:dyDescent="0.25">
      <c r="A34164" t="str">
        <f>HYPERLINK("https://www.773grp.com/globalSearch/MMDF4N01HDR2/page-1", "MMDF4N01HDR2")</f>
        <v>MMDF4N01HDR2</v>
      </c>
      <c r="B34164" s="3" t="s">
        <v>95</v>
      </c>
      <c r="C34164" s="6">
        <v>168820</v>
      </c>
      <c r="D34164" s="7">
        <v>1.06</v>
      </c>
      <c r="E34164" t="s">
        <v>105</v>
      </c>
    </row>
    <row r="34165" spans="1:5" x14ac:dyDescent="0.25">
      <c r="A34165" t="str">
        <f>HYPERLINK("https://www.773grp.com/globalSearch/MMFT1N10ET3/page-1", "MMFT1N10ET3")</f>
        <v>MMFT1N10ET3</v>
      </c>
      <c r="B34165" s="3" t="s">
        <v>95</v>
      </c>
      <c r="C34165" s="6">
        <v>4000</v>
      </c>
      <c r="D34165" s="7">
        <v>1.06</v>
      </c>
      <c r="E34165" t="s">
        <v>106</v>
      </c>
    </row>
    <row r="34166" spans="1:5" x14ac:dyDescent="0.25">
      <c r="A34166" t="str">
        <f>HYPERLINK("https://www.773grp.com/globalSearch/MMSF4N01HDR2/page-1", "MMSF4N01HDR2")</f>
        <v>MMSF4N01HDR2</v>
      </c>
      <c r="B34166" s="3" t="s">
        <v>95</v>
      </c>
      <c r="C34166" s="6">
        <v>187500</v>
      </c>
      <c r="D34166" s="7">
        <v>1.06</v>
      </c>
      <c r="E34166" t="s">
        <v>106</v>
      </c>
    </row>
    <row r="34167" spans="1:5" x14ac:dyDescent="0.25">
      <c r="A34167" t="str">
        <f>HYPERLINK("https://www.773grp.com/globalSearch/MMT10B230T3/page-1", "MMT10B230T3")</f>
        <v>MMT10B230T3</v>
      </c>
      <c r="B34167" s="3" t="s">
        <v>95</v>
      </c>
      <c r="C34167" s="6">
        <v>5000</v>
      </c>
      <c r="D34167" s="7">
        <v>1.06</v>
      </c>
      <c r="E34167" t="s">
        <v>109</v>
      </c>
    </row>
    <row r="34168" spans="1:5" x14ac:dyDescent="0.25">
      <c r="A34168" t="str">
        <f>HYPERLINK("https://www.773grp.com/globalSearch/MMT10B260T3/page-1", "MMT10B260T3")</f>
        <v>MMT10B260T3</v>
      </c>
      <c r="B34168" s="3" t="s">
        <v>95</v>
      </c>
      <c r="C34168" s="6">
        <v>2480</v>
      </c>
      <c r="D34168" s="7">
        <v>1.06</v>
      </c>
      <c r="E34168" t="s">
        <v>109</v>
      </c>
    </row>
    <row r="34169" spans="1:5" x14ac:dyDescent="0.25">
      <c r="A34169" t="str">
        <f>HYPERLINK("https://www.773grp.com/globalSearch/MUR440G/page-1", "MUR440G")</f>
        <v>MUR440G</v>
      </c>
      <c r="B34169" s="3" t="s">
        <v>95</v>
      </c>
      <c r="C34169" s="6">
        <v>10924</v>
      </c>
      <c r="D34169" s="7">
        <v>1.06</v>
      </c>
      <c r="E34169" t="s">
        <v>103</v>
      </c>
    </row>
    <row r="34170" spans="1:5" x14ac:dyDescent="0.25">
      <c r="A34170" t="str">
        <f>HYPERLINK("https://www.773grp.com/globalSearch/MUR440RLG/page-1", "MUR440RLG")</f>
        <v>MUR440RLG</v>
      </c>
      <c r="B34170" s="3" t="s">
        <v>95</v>
      </c>
      <c r="C34170" s="6">
        <v>43544</v>
      </c>
      <c r="D34170" s="7">
        <v>1.06</v>
      </c>
      <c r="E34170" t="s">
        <v>103</v>
      </c>
    </row>
    <row r="34171" spans="1:5" x14ac:dyDescent="0.25">
      <c r="A34171" t="str">
        <f>HYPERLINK("https://www.773grp.com/globalSearch/MUR460G/page-1", "MUR460G")</f>
        <v>MUR460G</v>
      </c>
      <c r="B34171" s="3" t="s">
        <v>95</v>
      </c>
      <c r="C34171" s="6">
        <v>5766</v>
      </c>
      <c r="D34171" s="7">
        <v>1.06</v>
      </c>
      <c r="E34171" t="s">
        <v>103</v>
      </c>
    </row>
    <row r="34172" spans="1:5" x14ac:dyDescent="0.25">
      <c r="A34172" t="str">
        <f>HYPERLINK("https://www.773grp.com/globalSearch/MUR460RLG/page-1", "MUR460RLG")</f>
        <v>MUR460RLG</v>
      </c>
      <c r="B34172" s="3" t="s">
        <v>95</v>
      </c>
      <c r="C34172" s="6">
        <v>27570</v>
      </c>
      <c r="D34172" s="7">
        <v>1.06</v>
      </c>
      <c r="E34172" t="s">
        <v>103</v>
      </c>
    </row>
    <row r="34173" spans="1:5" x14ac:dyDescent="0.25">
      <c r="A34173" t="str">
        <f>HYPERLINK("https://www.773grp.com/globalSearch/MUR620CT/page-1", "MUR620CT")</f>
        <v>MUR620CT</v>
      </c>
      <c r="B34173" s="3" t="s">
        <v>95</v>
      </c>
      <c r="C34173" s="6">
        <v>4384</v>
      </c>
      <c r="D34173" s="7">
        <v>1.06</v>
      </c>
      <c r="E34173" t="s">
        <v>103</v>
      </c>
    </row>
    <row r="34174" spans="1:5" x14ac:dyDescent="0.25">
      <c r="A34174" t="str">
        <f>HYPERLINK("https://www.773grp.com/globalSearch/MUR815/page-1", "MUR815")</f>
        <v>MUR815</v>
      </c>
      <c r="B34174" s="3" t="s">
        <v>95</v>
      </c>
      <c r="C34174" s="6">
        <v>4891</v>
      </c>
      <c r="D34174" s="7">
        <v>1.06</v>
      </c>
      <c r="E34174" t="s">
        <v>103</v>
      </c>
    </row>
    <row r="34175" spans="1:5" x14ac:dyDescent="0.25">
      <c r="A34175" t="str">
        <f>HYPERLINK("https://www.773grp.com/globalSearch/MUR820/page-1", "MUR820")</f>
        <v>MUR820</v>
      </c>
      <c r="B34175" s="3" t="s">
        <v>95</v>
      </c>
      <c r="C34175" s="6">
        <v>712</v>
      </c>
      <c r="D34175" s="7">
        <v>1.06</v>
      </c>
      <c r="E34175" t="s">
        <v>103</v>
      </c>
    </row>
    <row r="34176" spans="1:5" x14ac:dyDescent="0.25">
      <c r="A34176" t="str">
        <f>HYPERLINK("https://www.773grp.com/globalSearch/NCP1011ST65T3/page-1", "NCP1011ST65T3")</f>
        <v>NCP1011ST65T3</v>
      </c>
      <c r="B34176" s="3" t="s">
        <v>95</v>
      </c>
      <c r="C34176" s="6">
        <v>410955</v>
      </c>
      <c r="D34176" s="7">
        <v>1.06</v>
      </c>
      <c r="E34176" t="s">
        <v>7</v>
      </c>
    </row>
    <row r="34177" spans="1:5" x14ac:dyDescent="0.25">
      <c r="A34177" t="str">
        <f>HYPERLINK("https://www.773grp.com/globalSearch/NCP1012AP133/page-1", "NCP1012AP133")</f>
        <v>NCP1012AP133</v>
      </c>
      <c r="B34177" s="3" t="s">
        <v>95</v>
      </c>
      <c r="C34177" s="6">
        <v>5</v>
      </c>
      <c r="D34177" s="7">
        <v>1.06</v>
      </c>
      <c r="E34177" t="s">
        <v>7</v>
      </c>
    </row>
    <row r="34178" spans="1:5" x14ac:dyDescent="0.25">
      <c r="A34178" t="str">
        <f>HYPERLINK("https://www.773grp.com/globalSearch/NCP1013AP065/page-1", "NCP1013AP065")</f>
        <v>NCP1013AP065</v>
      </c>
      <c r="B34178" s="3" t="s">
        <v>95</v>
      </c>
      <c r="C34178" s="6">
        <v>952</v>
      </c>
      <c r="D34178" s="7">
        <v>1.06</v>
      </c>
      <c r="E34178" t="s">
        <v>7</v>
      </c>
    </row>
    <row r="34179" spans="1:5" x14ac:dyDescent="0.25">
      <c r="A34179" t="str">
        <f>HYPERLINK("https://www.773grp.com/globalSearch/NCP1086ST-33T3/page-1", "NCP1086ST-33T3")</f>
        <v>NCP1086ST-33T3</v>
      </c>
      <c r="B34179" s="3" t="s">
        <v>95</v>
      </c>
      <c r="C34179" s="6">
        <v>8588</v>
      </c>
      <c r="D34179" s="7">
        <v>1.06</v>
      </c>
      <c r="E34179" t="s">
        <v>19</v>
      </c>
    </row>
    <row r="34180" spans="1:5" x14ac:dyDescent="0.25">
      <c r="A34180" t="str">
        <f>HYPERLINK("https://www.773grp.com/globalSearch/NCP1086ST-ADJT3/page-1", "NCP1086ST-ADJT3")</f>
        <v>NCP1086ST-ADJT3</v>
      </c>
      <c r="B34180" s="3" t="s">
        <v>95</v>
      </c>
      <c r="C34180" s="6">
        <v>2168</v>
      </c>
      <c r="D34180" s="7">
        <v>1.06</v>
      </c>
      <c r="E34180" t="s">
        <v>25</v>
      </c>
    </row>
    <row r="34181" spans="1:5" x14ac:dyDescent="0.25">
      <c r="A34181" t="str">
        <f>HYPERLINK("https://www.773grp.com/globalSearch/NCP1200AD100R2/page-1", "NCP1200AD100R2")</f>
        <v>NCP1200AD100R2</v>
      </c>
      <c r="B34181" s="3" t="s">
        <v>95</v>
      </c>
      <c r="C34181" s="6">
        <v>145820</v>
      </c>
      <c r="D34181" s="7">
        <v>1.06</v>
      </c>
      <c r="E34181" t="s">
        <v>7</v>
      </c>
    </row>
    <row r="34182" spans="1:5" x14ac:dyDescent="0.25">
      <c r="A34182" t="str">
        <f>HYPERLINK("https://www.773grp.com/globalSearch/NCP1200AD100R2G/page-1", "NCP1200AD100R2G")</f>
        <v>NCP1200AD100R2G</v>
      </c>
      <c r="B34182" s="3" t="s">
        <v>95</v>
      </c>
      <c r="C34182" s="6">
        <v>10845</v>
      </c>
      <c r="D34182" s="7">
        <v>1.06</v>
      </c>
      <c r="E34182" t="s">
        <v>7</v>
      </c>
    </row>
    <row r="34183" spans="1:5" x14ac:dyDescent="0.25">
      <c r="A34183" t="str">
        <f>HYPERLINK("https://www.773grp.com/globalSearch/NCP1200AP40/page-1", "NCP1200AP40")</f>
        <v>NCP1200AP40</v>
      </c>
      <c r="B34183" s="3" t="s">
        <v>95</v>
      </c>
      <c r="C34183" s="6">
        <v>15000</v>
      </c>
      <c r="D34183" s="7">
        <v>1.06</v>
      </c>
      <c r="E34183" t="s">
        <v>7</v>
      </c>
    </row>
    <row r="34184" spans="1:5" x14ac:dyDescent="0.25">
      <c r="A34184" t="str">
        <f>HYPERLINK("https://www.773grp.com/globalSearch/NCP1400ASN19T1G/page-1", "NCP1400ASN19T1G")</f>
        <v>NCP1400ASN19T1G</v>
      </c>
      <c r="B34184" s="3" t="s">
        <v>95</v>
      </c>
      <c r="C34184" s="6">
        <v>5810</v>
      </c>
      <c r="D34184" s="7">
        <v>1.06</v>
      </c>
    </row>
    <row r="34185" spans="1:5" x14ac:dyDescent="0.25">
      <c r="A34185" t="str">
        <f>HYPERLINK("https://www.773grp.com/globalSearch/NCP1400ASN22T1G/page-1", "NCP1400ASN22T1G")</f>
        <v>NCP1400ASN22T1G</v>
      </c>
      <c r="B34185" s="3" t="s">
        <v>95</v>
      </c>
      <c r="C34185" s="6">
        <v>11863</v>
      </c>
      <c r="D34185" s="7">
        <v>1.06</v>
      </c>
      <c r="E34185" t="s">
        <v>7</v>
      </c>
    </row>
    <row r="34186" spans="1:5" x14ac:dyDescent="0.25">
      <c r="A34186" t="str">
        <f>HYPERLINK("https://www.773grp.com/globalSearch/NCP1400ASN25T1G/page-1", "NCP1400ASN25T1G")</f>
        <v>NCP1400ASN25T1G</v>
      </c>
      <c r="B34186" s="3" t="s">
        <v>95</v>
      </c>
      <c r="C34186" s="6">
        <v>36876</v>
      </c>
      <c r="D34186" s="7">
        <v>1.06</v>
      </c>
      <c r="E34186" t="s">
        <v>7</v>
      </c>
    </row>
    <row r="34187" spans="1:5" x14ac:dyDescent="0.25">
      <c r="A34187" t="str">
        <f>HYPERLINK("https://www.773grp.com/globalSearch/NCP1400ASN27T1/page-1", "NCP1400ASN27T1")</f>
        <v>NCP1400ASN27T1</v>
      </c>
      <c r="B34187" s="3" t="s">
        <v>95</v>
      </c>
      <c r="C34187" s="6">
        <v>2902</v>
      </c>
      <c r="D34187" s="7">
        <v>1.06</v>
      </c>
      <c r="E34187" t="s">
        <v>7</v>
      </c>
    </row>
    <row r="34188" spans="1:5" x14ac:dyDescent="0.25">
      <c r="A34188" t="str">
        <f>HYPERLINK("https://www.773grp.com/globalSearch/NCP1400ASN27T1G/page-1", "NCP1400ASN27T1G")</f>
        <v>NCP1400ASN27T1G</v>
      </c>
      <c r="B34188" s="3" t="s">
        <v>95</v>
      </c>
      <c r="C34188" s="6">
        <v>18000</v>
      </c>
      <c r="D34188" s="7">
        <v>1.06</v>
      </c>
    </row>
    <row r="34189" spans="1:5" x14ac:dyDescent="0.25">
      <c r="A34189" t="str">
        <f>HYPERLINK("https://www.773grp.com/globalSearch/NCP1400ASN33T1G/page-1", "NCP1400ASN33T1G")</f>
        <v>NCP1400ASN33T1G</v>
      </c>
      <c r="B34189" s="3" t="s">
        <v>95</v>
      </c>
      <c r="C34189" s="6">
        <v>12000</v>
      </c>
      <c r="D34189" s="7">
        <v>1.06</v>
      </c>
      <c r="E34189" t="s">
        <v>7</v>
      </c>
    </row>
    <row r="34190" spans="1:5" x14ac:dyDescent="0.25">
      <c r="A34190" t="str">
        <f>HYPERLINK("https://www.773grp.com/globalSearch/NCP1400ASN38T1G/page-1", "NCP1400ASN38T1G")</f>
        <v>NCP1400ASN38T1G</v>
      </c>
      <c r="B34190" s="3" t="s">
        <v>95</v>
      </c>
      <c r="C34190" s="6">
        <v>2486</v>
      </c>
      <c r="D34190" s="7">
        <v>1.06</v>
      </c>
      <c r="E34190" t="s">
        <v>7</v>
      </c>
    </row>
    <row r="34191" spans="1:5" x14ac:dyDescent="0.25">
      <c r="A34191" t="str">
        <f>HYPERLINK("https://www.773grp.com/globalSearch/NCP1400ASN45T1G/page-1", "NCP1400ASN45T1G")</f>
        <v>NCP1400ASN45T1G</v>
      </c>
      <c r="B34191" s="3" t="s">
        <v>95</v>
      </c>
      <c r="C34191" s="6">
        <v>8126</v>
      </c>
      <c r="D34191" s="7">
        <v>1.06</v>
      </c>
      <c r="E34191" t="s">
        <v>7</v>
      </c>
    </row>
    <row r="34192" spans="1:5" x14ac:dyDescent="0.25">
      <c r="A34192" t="str">
        <f>HYPERLINK("https://www.773grp.com/globalSearch/NCP1402SN19T1G/page-1", "NCP1402SN19T1G")</f>
        <v>NCP1402SN19T1G</v>
      </c>
      <c r="B34192" s="3" t="s">
        <v>95</v>
      </c>
      <c r="C34192" s="6">
        <v>11855</v>
      </c>
      <c r="D34192" s="7">
        <v>1.06</v>
      </c>
      <c r="E34192" t="s">
        <v>7</v>
      </c>
    </row>
    <row r="34193" spans="1:5" x14ac:dyDescent="0.25">
      <c r="A34193" t="str">
        <f>HYPERLINK("https://www.773grp.com/globalSearch/NCP1402SN27T1/page-1", "NCP1402SN27T1")</f>
        <v>NCP1402SN27T1</v>
      </c>
      <c r="B34193" s="3" t="s">
        <v>95</v>
      </c>
      <c r="C34193" s="6">
        <v>2919</v>
      </c>
      <c r="D34193" s="7">
        <v>1.06</v>
      </c>
      <c r="E34193" t="s">
        <v>7</v>
      </c>
    </row>
    <row r="34194" spans="1:5" x14ac:dyDescent="0.25">
      <c r="A34194" t="str">
        <f>HYPERLINK("https://www.773grp.com/globalSearch/NCP1402SN30T1/page-1", "NCP1402SN30T1")</f>
        <v>NCP1402SN30T1</v>
      </c>
      <c r="B34194" s="3" t="s">
        <v>95</v>
      </c>
      <c r="C34194" s="6">
        <v>2930</v>
      </c>
      <c r="D34194" s="7">
        <v>1.06</v>
      </c>
      <c r="E34194" t="s">
        <v>7</v>
      </c>
    </row>
    <row r="34195" spans="1:5" x14ac:dyDescent="0.25">
      <c r="A34195" t="str">
        <f>HYPERLINK("https://www.773grp.com/globalSearch/NCP1402SN33T1G/page-1", "NCP1402SN33T1G")</f>
        <v>NCP1402SN33T1G</v>
      </c>
      <c r="B34195" s="3" t="s">
        <v>95</v>
      </c>
      <c r="C34195" s="6">
        <v>3002</v>
      </c>
      <c r="D34195" s="7">
        <v>1.06</v>
      </c>
      <c r="E34195" t="s">
        <v>7</v>
      </c>
    </row>
    <row r="34196" spans="1:5" x14ac:dyDescent="0.25">
      <c r="A34196" t="str">
        <f>HYPERLINK("https://www.773grp.com/globalSearch/NCP1402SN40T1G/page-1", "NCP1402SN40T1G")</f>
        <v>NCP1402SN40T1G</v>
      </c>
      <c r="B34196" s="3" t="s">
        <v>95</v>
      </c>
      <c r="C34196" s="6">
        <v>1253</v>
      </c>
      <c r="D34196" s="7">
        <v>1.06</v>
      </c>
      <c r="E34196" t="s">
        <v>7</v>
      </c>
    </row>
    <row r="34197" spans="1:5" x14ac:dyDescent="0.25">
      <c r="A34197" t="str">
        <f>HYPERLINK("https://www.773grp.com/globalSearch/NCP1402SN50T1G/page-1", "NCP1402SN50T1G")</f>
        <v>NCP1402SN50T1G</v>
      </c>
      <c r="B34197" s="3" t="s">
        <v>95</v>
      </c>
      <c r="C34197" s="6">
        <v>616</v>
      </c>
      <c r="D34197" s="7">
        <v>1.06</v>
      </c>
      <c r="E34197" t="s">
        <v>7</v>
      </c>
    </row>
    <row r="34198" spans="1:5" x14ac:dyDescent="0.25">
      <c r="A34198" t="str">
        <f>HYPERLINK("https://www.773grp.com/globalSearch/NCP1450ASN19T1G/page-1", "NCP1450ASN19T1G")</f>
        <v>NCP1450ASN19T1G</v>
      </c>
      <c r="B34198" s="3" t="s">
        <v>95</v>
      </c>
      <c r="C34198" s="6">
        <v>23628</v>
      </c>
      <c r="D34198" s="7">
        <v>1.06</v>
      </c>
      <c r="E34198" t="s">
        <v>7</v>
      </c>
    </row>
    <row r="34199" spans="1:5" x14ac:dyDescent="0.25">
      <c r="A34199" t="str">
        <f>HYPERLINK("https://www.773grp.com/globalSearch/NCP1450ASN27T1G/page-1", "NCP1450ASN27T1G")</f>
        <v>NCP1450ASN27T1G</v>
      </c>
      <c r="B34199" s="3" t="s">
        <v>95</v>
      </c>
      <c r="C34199" s="6">
        <v>17797</v>
      </c>
      <c r="D34199" s="7">
        <v>1.06</v>
      </c>
      <c r="E34199" t="s">
        <v>7</v>
      </c>
    </row>
    <row r="34200" spans="1:5" x14ac:dyDescent="0.25">
      <c r="A34200" t="str">
        <f>HYPERLINK("https://www.773grp.com/globalSearch/NCP1450ASN30T1G/page-1", "NCP1450ASN30T1G")</f>
        <v>NCP1450ASN30T1G</v>
      </c>
      <c r="B34200" s="3" t="s">
        <v>95</v>
      </c>
      <c r="C34200" s="6">
        <v>8926</v>
      </c>
      <c r="D34200" s="7">
        <v>1.06</v>
      </c>
      <c r="E34200" t="s">
        <v>7</v>
      </c>
    </row>
    <row r="34201" spans="1:5" x14ac:dyDescent="0.25">
      <c r="A34201" t="str">
        <f>HYPERLINK("https://www.773grp.com/globalSearch/NCP1450ASN50T1G/page-1", "NCP1450ASN50T1G")</f>
        <v>NCP1450ASN50T1G</v>
      </c>
      <c r="B34201" s="3" t="s">
        <v>95</v>
      </c>
      <c r="C34201" s="6">
        <v>9000</v>
      </c>
      <c r="D34201" s="7">
        <v>1.06</v>
      </c>
    </row>
    <row r="34202" spans="1:5" x14ac:dyDescent="0.25">
      <c r="A34202" t="str">
        <f>HYPERLINK("https://www.773grp.com/globalSearch/NCP1550SN25T1/page-1", "NCP1550SN25T1")</f>
        <v>NCP1550SN25T1</v>
      </c>
      <c r="B34202" s="3" t="s">
        <v>95</v>
      </c>
      <c r="C34202" s="6">
        <v>2990</v>
      </c>
      <c r="D34202" s="7">
        <v>1.06</v>
      </c>
      <c r="E34202" t="s">
        <v>7</v>
      </c>
    </row>
    <row r="34203" spans="1:5" x14ac:dyDescent="0.25">
      <c r="A34203" t="str">
        <f>HYPERLINK("https://www.773grp.com/globalSearch/NCP1550SN30T1/page-1", "NCP1550SN30T1")</f>
        <v>NCP1550SN30T1</v>
      </c>
      <c r="B34203" s="3" t="s">
        <v>95</v>
      </c>
      <c r="C34203" s="6">
        <v>8990</v>
      </c>
      <c r="D34203" s="7">
        <v>1.06</v>
      </c>
      <c r="E34203" t="s">
        <v>7</v>
      </c>
    </row>
    <row r="34204" spans="1:5" x14ac:dyDescent="0.25">
      <c r="A34204" t="str">
        <f>HYPERLINK("https://www.773grp.com/globalSearch/NCP1587ADR2G/page-1", "NCP1587ADR2G")</f>
        <v>NCP1587ADR2G</v>
      </c>
      <c r="B34204" s="3" t="s">
        <v>95</v>
      </c>
      <c r="C34204" s="6">
        <v>14096</v>
      </c>
      <c r="D34204" s="7">
        <v>1.06</v>
      </c>
      <c r="E34204" t="s">
        <v>7</v>
      </c>
    </row>
    <row r="34205" spans="1:5" x14ac:dyDescent="0.25">
      <c r="A34205" t="str">
        <f>HYPERLINK("https://www.773grp.com/globalSearch/NCP1607BDR2G/page-1", "NCP1607BDR2G")</f>
        <v>NCP1607BDR2G</v>
      </c>
      <c r="B34205" s="3" t="s">
        <v>95</v>
      </c>
      <c r="C34205" s="6">
        <v>8092</v>
      </c>
      <c r="D34205" s="7">
        <v>1.06</v>
      </c>
      <c r="E34205" t="s">
        <v>7</v>
      </c>
    </row>
    <row r="34206" spans="1:5" x14ac:dyDescent="0.25">
      <c r="A34206" t="str">
        <f>HYPERLINK("https://www.773grp.com/globalSearch/NCP1608BDR2G/page-1", "NCP1608BDR2G")</f>
        <v>NCP1608BDR2G</v>
      </c>
      <c r="B34206" s="3" t="s">
        <v>95</v>
      </c>
      <c r="C34206" s="6">
        <v>71495</v>
      </c>
      <c r="D34206" s="7">
        <v>1.06</v>
      </c>
      <c r="E34206" t="s">
        <v>7</v>
      </c>
    </row>
    <row r="34207" spans="1:5" x14ac:dyDescent="0.25">
      <c r="A34207" t="str">
        <f>HYPERLINK("https://www.773grp.com/globalSearch/NCP2809ADMR2G/page-1", "NCP2809ADMR2G")</f>
        <v>NCP2809ADMR2G</v>
      </c>
      <c r="B34207" s="3" t="s">
        <v>95</v>
      </c>
      <c r="C34207" s="6">
        <v>16962</v>
      </c>
      <c r="D34207" s="7">
        <v>1.06</v>
      </c>
      <c r="E34207" t="s">
        <v>18</v>
      </c>
    </row>
    <row r="34208" spans="1:5" x14ac:dyDescent="0.25">
      <c r="A34208" t="str">
        <f>HYPERLINK("https://www.773grp.com/globalSearch/NCP2809BDMR2G/page-1", "NCP2809BDMR2G")</f>
        <v>NCP2809BDMR2G</v>
      </c>
      <c r="B34208" s="3" t="s">
        <v>95</v>
      </c>
      <c r="C34208" s="6">
        <v>650368</v>
      </c>
      <c r="D34208" s="7">
        <v>1.06</v>
      </c>
      <c r="E34208" t="s">
        <v>18</v>
      </c>
    </row>
    <row r="34209" spans="1:5" x14ac:dyDescent="0.25">
      <c r="A34209" t="str">
        <f>HYPERLINK("https://www.773grp.com/globalSearch/NCP300HSN20T1/page-1", "NCP300HSN20T1")</f>
        <v>NCP300HSN20T1</v>
      </c>
      <c r="B34209" s="3" t="s">
        <v>95</v>
      </c>
      <c r="C34209" s="6">
        <v>11700</v>
      </c>
      <c r="D34209" s="7">
        <v>1.06</v>
      </c>
      <c r="E34209" t="s">
        <v>30</v>
      </c>
    </row>
    <row r="34210" spans="1:5" x14ac:dyDescent="0.25">
      <c r="A34210" t="str">
        <f>HYPERLINK("https://www.773grp.com/globalSearch/NCP300HSN28T1/page-1", "NCP300HSN28T1")</f>
        <v>NCP300HSN28T1</v>
      </c>
      <c r="B34210" s="3" t="s">
        <v>95</v>
      </c>
      <c r="C34210" s="6">
        <v>158920</v>
      </c>
      <c r="D34210" s="7">
        <v>1.06</v>
      </c>
      <c r="E34210" t="s">
        <v>30</v>
      </c>
    </row>
    <row r="34211" spans="1:5" x14ac:dyDescent="0.25">
      <c r="A34211" t="str">
        <f>HYPERLINK("https://www.773grp.com/globalSearch/NCP300LSN11T1/page-1", "NCP300LSN11T1")</f>
        <v>NCP300LSN11T1</v>
      </c>
      <c r="B34211" s="3" t="s">
        <v>95</v>
      </c>
      <c r="C34211" s="6">
        <v>17000</v>
      </c>
      <c r="D34211" s="7">
        <v>1.06</v>
      </c>
      <c r="E34211" t="s">
        <v>30</v>
      </c>
    </row>
    <row r="34212" spans="1:5" x14ac:dyDescent="0.25">
      <c r="A34212" t="str">
        <f>HYPERLINK("https://www.773grp.com/globalSearch/NCP300LSN12T1/page-1", "NCP300LSN12T1")</f>
        <v>NCP300LSN12T1</v>
      </c>
      <c r="B34212" s="3" t="s">
        <v>95</v>
      </c>
      <c r="C34212" s="6">
        <v>12990</v>
      </c>
      <c r="D34212" s="7">
        <v>1.06</v>
      </c>
      <c r="E34212" t="s">
        <v>30</v>
      </c>
    </row>
    <row r="34213" spans="1:5" x14ac:dyDescent="0.25">
      <c r="A34213" t="str">
        <f>HYPERLINK("https://www.773grp.com/globalSearch/NCP300LSN13T1/page-1", "NCP300LSN13T1")</f>
        <v>NCP300LSN13T1</v>
      </c>
      <c r="B34213" s="3" t="s">
        <v>95</v>
      </c>
      <c r="C34213" s="6">
        <v>15500</v>
      </c>
      <c r="D34213" s="7">
        <v>1.06</v>
      </c>
      <c r="E34213" t="s">
        <v>30</v>
      </c>
    </row>
    <row r="34214" spans="1:5" x14ac:dyDescent="0.25">
      <c r="A34214" t="str">
        <f>HYPERLINK("https://www.773grp.com/globalSearch/NCP300LSN14T1/page-1", "NCP300LSN14T1")</f>
        <v>NCP300LSN14T1</v>
      </c>
      <c r="B34214" s="3" t="s">
        <v>95</v>
      </c>
      <c r="C34214" s="6">
        <v>15500</v>
      </c>
      <c r="D34214" s="7">
        <v>1.06</v>
      </c>
      <c r="E34214" t="s">
        <v>30</v>
      </c>
    </row>
    <row r="34215" spans="1:5" x14ac:dyDescent="0.25">
      <c r="A34215" t="str">
        <f>HYPERLINK("https://www.773grp.com/globalSearch/NCP300LSN15T1/page-1", "NCP300LSN15T1")</f>
        <v>NCP300LSN15T1</v>
      </c>
      <c r="B34215" s="3" t="s">
        <v>95</v>
      </c>
      <c r="C34215" s="6">
        <v>10400</v>
      </c>
      <c r="D34215" s="7">
        <v>1.06</v>
      </c>
      <c r="E34215" t="s">
        <v>30</v>
      </c>
    </row>
    <row r="34216" spans="1:5" x14ac:dyDescent="0.25">
      <c r="A34216" t="str">
        <f>HYPERLINK("https://www.773grp.com/globalSearch/NCP300LSN16T1/page-1", "NCP300LSN16T1")</f>
        <v>NCP300LSN16T1</v>
      </c>
      <c r="B34216" s="3" t="s">
        <v>95</v>
      </c>
      <c r="C34216" s="6">
        <v>16192</v>
      </c>
      <c r="D34216" s="7">
        <v>1.06</v>
      </c>
      <c r="E34216" t="s">
        <v>30</v>
      </c>
    </row>
    <row r="34217" spans="1:5" x14ac:dyDescent="0.25">
      <c r="A34217" t="str">
        <f>HYPERLINK("https://www.773grp.com/globalSearch/NCP300LSN17T1/page-1", "NCP300LSN17T1")</f>
        <v>NCP300LSN17T1</v>
      </c>
      <c r="B34217" s="3" t="s">
        <v>95</v>
      </c>
      <c r="C34217" s="6">
        <v>15500</v>
      </c>
      <c r="D34217" s="7">
        <v>1.06</v>
      </c>
      <c r="E34217" t="s">
        <v>30</v>
      </c>
    </row>
    <row r="34218" spans="1:5" x14ac:dyDescent="0.25">
      <c r="A34218" t="str">
        <f>HYPERLINK("https://www.773grp.com/globalSearch/NCP300LSN19T1/page-1", "NCP300LSN19T1")</f>
        <v>NCP300LSN19T1</v>
      </c>
      <c r="B34218" s="3" t="s">
        <v>95</v>
      </c>
      <c r="C34218" s="6">
        <v>12000</v>
      </c>
      <c r="D34218" s="7">
        <v>1.06</v>
      </c>
      <c r="E34218" t="s">
        <v>30</v>
      </c>
    </row>
    <row r="34219" spans="1:5" x14ac:dyDescent="0.25">
      <c r="A34219" t="str">
        <f>HYPERLINK("https://www.773grp.com/globalSearch/NCP300LSN21T1/page-1", "NCP300LSN21T1")</f>
        <v>NCP300LSN21T1</v>
      </c>
      <c r="B34219" s="3" t="s">
        <v>95</v>
      </c>
      <c r="C34219" s="6">
        <v>19000</v>
      </c>
      <c r="D34219" s="7">
        <v>1.06</v>
      </c>
      <c r="E34219" t="s">
        <v>30</v>
      </c>
    </row>
    <row r="34220" spans="1:5" x14ac:dyDescent="0.25">
      <c r="A34220" t="str">
        <f>HYPERLINK("https://www.773grp.com/globalSearch/NCP300LSN22T1/page-1", "NCP300LSN22T1")</f>
        <v>NCP300LSN22T1</v>
      </c>
      <c r="B34220" s="3" t="s">
        <v>95</v>
      </c>
      <c r="C34220" s="6">
        <v>14480</v>
      </c>
      <c r="D34220" s="7">
        <v>1.06</v>
      </c>
      <c r="E34220" t="s">
        <v>30</v>
      </c>
    </row>
    <row r="34221" spans="1:5" x14ac:dyDescent="0.25">
      <c r="A34221" t="str">
        <f>HYPERLINK("https://www.773grp.com/globalSearch/NCP300LSN23T1/page-1", "NCP300LSN23T1")</f>
        <v>NCP300LSN23T1</v>
      </c>
      <c r="B34221" s="3" t="s">
        <v>95</v>
      </c>
      <c r="C34221" s="6">
        <v>15500</v>
      </c>
      <c r="D34221" s="7">
        <v>1.06</v>
      </c>
      <c r="E34221" t="s">
        <v>30</v>
      </c>
    </row>
    <row r="34222" spans="1:5" x14ac:dyDescent="0.25">
      <c r="A34222" t="str">
        <f>HYPERLINK("https://www.773grp.com/globalSearch/NCP300LSN24T1/page-1", "NCP300LSN24T1")</f>
        <v>NCP300LSN24T1</v>
      </c>
      <c r="B34222" s="3" t="s">
        <v>95</v>
      </c>
      <c r="C34222" s="6">
        <v>15000</v>
      </c>
      <c r="D34222" s="7">
        <v>1.06</v>
      </c>
      <c r="E34222" t="s">
        <v>30</v>
      </c>
    </row>
    <row r="34223" spans="1:5" x14ac:dyDescent="0.25">
      <c r="A34223" t="str">
        <f>HYPERLINK("https://www.773grp.com/globalSearch/NCP300LSN25T1/page-1", "NCP300LSN25T1")</f>
        <v>NCP300LSN25T1</v>
      </c>
      <c r="B34223" s="3" t="s">
        <v>95</v>
      </c>
      <c r="C34223" s="6">
        <v>6100</v>
      </c>
      <c r="D34223" s="7">
        <v>1.06</v>
      </c>
      <c r="E34223" t="s">
        <v>30</v>
      </c>
    </row>
    <row r="34224" spans="1:5" x14ac:dyDescent="0.25">
      <c r="A34224" t="str">
        <f>HYPERLINK("https://www.773grp.com/globalSearch/NCP300LSN26T1/page-1", "NCP300LSN26T1")</f>
        <v>NCP300LSN26T1</v>
      </c>
      <c r="B34224" s="3" t="s">
        <v>95</v>
      </c>
      <c r="C34224" s="6">
        <v>16700</v>
      </c>
      <c r="D34224" s="7">
        <v>1.06</v>
      </c>
      <c r="E34224" t="s">
        <v>30</v>
      </c>
    </row>
    <row r="34225" spans="1:5" x14ac:dyDescent="0.25">
      <c r="A34225" t="str">
        <f>HYPERLINK("https://www.773grp.com/globalSearch/NCP300LSN29T1/page-1", "NCP300LSN29T1")</f>
        <v>NCP300LSN29T1</v>
      </c>
      <c r="B34225" s="3" t="s">
        <v>95</v>
      </c>
      <c r="C34225" s="6">
        <v>15450</v>
      </c>
      <c r="D34225" s="7">
        <v>1.06</v>
      </c>
      <c r="E34225" t="s">
        <v>30</v>
      </c>
    </row>
    <row r="34226" spans="1:5" x14ac:dyDescent="0.25">
      <c r="A34226" t="str">
        <f>HYPERLINK("https://www.773grp.com/globalSearch/NCP300LSN31T1/page-1", "NCP300LSN31T1")</f>
        <v>NCP300LSN31T1</v>
      </c>
      <c r="B34226" s="3" t="s">
        <v>95</v>
      </c>
      <c r="C34226" s="6">
        <v>7232</v>
      </c>
      <c r="D34226" s="7">
        <v>1.06</v>
      </c>
      <c r="E34226" t="s">
        <v>30</v>
      </c>
    </row>
    <row r="34227" spans="1:5" x14ac:dyDescent="0.25">
      <c r="A34227" t="str">
        <f>HYPERLINK("https://www.773grp.com/globalSearch/NCP300LSN32T1/page-1", "NCP300LSN32T1")</f>
        <v>NCP300LSN32T1</v>
      </c>
      <c r="B34227" s="3" t="s">
        <v>95</v>
      </c>
      <c r="C34227" s="6">
        <v>10000</v>
      </c>
      <c r="D34227" s="7">
        <v>1.06</v>
      </c>
      <c r="E34227" t="s">
        <v>30</v>
      </c>
    </row>
    <row r="34228" spans="1:5" x14ac:dyDescent="0.25">
      <c r="A34228" t="str">
        <f>HYPERLINK("https://www.773grp.com/globalSearch/NCP300LSN35T1/page-1", "NCP300LSN35T1")</f>
        <v>NCP300LSN35T1</v>
      </c>
      <c r="B34228" s="3" t="s">
        <v>95</v>
      </c>
      <c r="C34228" s="6">
        <v>15375</v>
      </c>
      <c r="D34228" s="7">
        <v>1.06</v>
      </c>
      <c r="E34228" t="s">
        <v>30</v>
      </c>
    </row>
    <row r="34229" spans="1:5" x14ac:dyDescent="0.25">
      <c r="A34229" t="str">
        <f>HYPERLINK("https://www.773grp.com/globalSearch/NCP300LSN36T1/page-1", "NCP300LSN36T1")</f>
        <v>NCP300LSN36T1</v>
      </c>
      <c r="B34229" s="3" t="s">
        <v>95</v>
      </c>
      <c r="C34229" s="6">
        <v>15494</v>
      </c>
      <c r="D34229" s="7">
        <v>1.06</v>
      </c>
      <c r="E34229" t="s">
        <v>30</v>
      </c>
    </row>
    <row r="34230" spans="1:5" x14ac:dyDescent="0.25">
      <c r="A34230" t="str">
        <f>HYPERLINK("https://www.773grp.com/globalSearch/NCP300LSN37T1/page-1", "NCP300LSN37T1")</f>
        <v>NCP300LSN37T1</v>
      </c>
      <c r="B34230" s="3" t="s">
        <v>95</v>
      </c>
      <c r="C34230" s="6">
        <v>15500</v>
      </c>
      <c r="D34230" s="7">
        <v>1.06</v>
      </c>
      <c r="E34230" t="s">
        <v>30</v>
      </c>
    </row>
    <row r="34231" spans="1:5" x14ac:dyDescent="0.25">
      <c r="A34231" t="str">
        <f>HYPERLINK("https://www.773grp.com/globalSearch/NCP300LSN38T1/page-1", "NCP300LSN38T1")</f>
        <v>NCP300LSN38T1</v>
      </c>
      <c r="B34231" s="3" t="s">
        <v>95</v>
      </c>
      <c r="C34231" s="6">
        <v>13500</v>
      </c>
      <c r="D34231" s="7">
        <v>1.06</v>
      </c>
      <c r="E34231" t="s">
        <v>30</v>
      </c>
    </row>
    <row r="34232" spans="1:5" x14ac:dyDescent="0.25">
      <c r="A34232" t="str">
        <f>HYPERLINK("https://www.773grp.com/globalSearch/NCP300LSN39T1/page-1", "NCP300LSN39T1")</f>
        <v>NCP300LSN39T1</v>
      </c>
      <c r="B34232" s="3" t="s">
        <v>95</v>
      </c>
      <c r="C34232" s="6">
        <v>16000</v>
      </c>
      <c r="D34232" s="7">
        <v>1.06</v>
      </c>
      <c r="E34232" t="s">
        <v>30</v>
      </c>
    </row>
    <row r="34233" spans="1:5" x14ac:dyDescent="0.25">
      <c r="A34233" t="str">
        <f>HYPERLINK("https://www.773grp.com/globalSearch/NCP300LSN40T1/page-1", "NCP300LSN40T1")</f>
        <v>NCP300LSN40T1</v>
      </c>
      <c r="B34233" s="3" t="s">
        <v>95</v>
      </c>
      <c r="C34233" s="6">
        <v>16500</v>
      </c>
      <c r="D34233" s="7">
        <v>1.06</v>
      </c>
      <c r="E34233" t="s">
        <v>30</v>
      </c>
    </row>
    <row r="34234" spans="1:5" x14ac:dyDescent="0.25">
      <c r="A34234" t="str">
        <f>HYPERLINK("https://www.773grp.com/globalSearch/NCP300LSN41T1/page-1", "NCP300LSN41T1")</f>
        <v>NCP300LSN41T1</v>
      </c>
      <c r="B34234" s="3" t="s">
        <v>95</v>
      </c>
      <c r="C34234" s="6">
        <v>15500</v>
      </c>
      <c r="D34234" s="7">
        <v>1.06</v>
      </c>
      <c r="E34234" t="s">
        <v>30</v>
      </c>
    </row>
    <row r="34235" spans="1:5" x14ac:dyDescent="0.25">
      <c r="A34235" t="str">
        <f>HYPERLINK("https://www.773grp.com/globalSearch/NCP300LSN42T1/page-1", "NCP300LSN42T1")</f>
        <v>NCP300LSN42T1</v>
      </c>
      <c r="B34235" s="3" t="s">
        <v>95</v>
      </c>
      <c r="C34235" s="6">
        <v>14000</v>
      </c>
      <c r="D34235" s="7">
        <v>1.06</v>
      </c>
      <c r="E34235" t="s">
        <v>30</v>
      </c>
    </row>
    <row r="34236" spans="1:5" x14ac:dyDescent="0.25">
      <c r="A34236" t="str">
        <f>HYPERLINK("https://www.773grp.com/globalSearch/NCP300LSN43T1/page-1", "NCP300LSN43T1")</f>
        <v>NCP300LSN43T1</v>
      </c>
      <c r="B34236" s="3" t="s">
        <v>95</v>
      </c>
      <c r="C34236" s="6">
        <v>15500</v>
      </c>
      <c r="D34236" s="7">
        <v>1.06</v>
      </c>
      <c r="E34236" t="s">
        <v>30</v>
      </c>
    </row>
    <row r="34237" spans="1:5" x14ac:dyDescent="0.25">
      <c r="A34237" t="str">
        <f>HYPERLINK("https://www.773grp.com/globalSearch/NCP300LSN48T1/page-1", "NCP300LSN48T1")</f>
        <v>NCP300LSN48T1</v>
      </c>
      <c r="B34237" s="3" t="s">
        <v>95</v>
      </c>
      <c r="C34237" s="6">
        <v>16000</v>
      </c>
      <c r="D34237" s="7">
        <v>1.06</v>
      </c>
      <c r="E34237" t="s">
        <v>30</v>
      </c>
    </row>
    <row r="34238" spans="1:5" x14ac:dyDescent="0.25">
      <c r="A34238" t="str">
        <f>HYPERLINK("https://www.773grp.com/globalSearch/NCP300LSN49T1/page-1", "NCP300LSN49T1")</f>
        <v>NCP300LSN49T1</v>
      </c>
      <c r="B34238" s="3" t="s">
        <v>95</v>
      </c>
      <c r="C34238" s="6">
        <v>14100</v>
      </c>
      <c r="D34238" s="7">
        <v>1.06</v>
      </c>
      <c r="E34238" t="s">
        <v>30</v>
      </c>
    </row>
    <row r="34239" spans="1:5" x14ac:dyDescent="0.25">
      <c r="A34239" t="str">
        <f>HYPERLINK("https://www.773grp.com/globalSearch/NCP301HSN20T1/page-1", "NCP301HSN20T1")</f>
        <v>NCP301HSN20T1</v>
      </c>
      <c r="B34239" s="3" t="s">
        <v>95</v>
      </c>
      <c r="C34239" s="6">
        <v>11754</v>
      </c>
      <c r="D34239" s="7">
        <v>1.06</v>
      </c>
      <c r="E34239" t="s">
        <v>30</v>
      </c>
    </row>
    <row r="34240" spans="1:5" x14ac:dyDescent="0.25">
      <c r="A34240" t="str">
        <f>HYPERLINK("https://www.773grp.com/globalSearch/NCP301HSN47T1/page-1", "NCP301HSN47T1")</f>
        <v>NCP301HSN47T1</v>
      </c>
      <c r="B34240" s="3" t="s">
        <v>95</v>
      </c>
      <c r="C34240" s="6">
        <v>11620</v>
      </c>
      <c r="D34240" s="7">
        <v>1.06</v>
      </c>
      <c r="E34240" t="s">
        <v>30</v>
      </c>
    </row>
    <row r="34241" spans="1:5" x14ac:dyDescent="0.25">
      <c r="A34241" t="str">
        <f>HYPERLINK("https://www.773grp.com/globalSearch/NCP301LSN10T1/page-1", "NCP301LSN10T1")</f>
        <v>NCP301LSN10T1</v>
      </c>
      <c r="B34241" s="3" t="s">
        <v>95</v>
      </c>
      <c r="C34241" s="6">
        <v>14975</v>
      </c>
      <c r="D34241" s="7">
        <v>1.06</v>
      </c>
      <c r="E34241" t="s">
        <v>30</v>
      </c>
    </row>
    <row r="34242" spans="1:5" x14ac:dyDescent="0.25">
      <c r="A34242" t="str">
        <f>HYPERLINK("https://www.773grp.com/globalSearch/NCP301LSN11T1/page-1", "NCP301LSN11T1")</f>
        <v>NCP301LSN11T1</v>
      </c>
      <c r="B34242" s="3" t="s">
        <v>95</v>
      </c>
      <c r="C34242" s="6">
        <v>30500</v>
      </c>
      <c r="D34242" s="7">
        <v>1.06</v>
      </c>
      <c r="E34242" t="s">
        <v>30</v>
      </c>
    </row>
    <row r="34243" spans="1:5" x14ac:dyDescent="0.25">
      <c r="A34243" t="str">
        <f>HYPERLINK("https://www.773grp.com/globalSearch/NCP301LSN13T1/page-1", "NCP301LSN13T1")</f>
        <v>NCP301LSN13T1</v>
      </c>
      <c r="B34243" s="3" t="s">
        <v>95</v>
      </c>
      <c r="C34243" s="6">
        <v>14990</v>
      </c>
      <c r="D34243" s="7">
        <v>1.06</v>
      </c>
      <c r="E34243" t="s">
        <v>30</v>
      </c>
    </row>
    <row r="34244" spans="1:5" x14ac:dyDescent="0.25">
      <c r="A34244" t="str">
        <f>HYPERLINK("https://www.773grp.com/globalSearch/NCP301LSN14T1/page-1", "NCP301LSN14T1")</f>
        <v>NCP301LSN14T1</v>
      </c>
      <c r="B34244" s="3" t="s">
        <v>95</v>
      </c>
      <c r="C34244" s="6">
        <v>15500</v>
      </c>
      <c r="D34244" s="7">
        <v>1.06</v>
      </c>
      <c r="E34244" t="s">
        <v>30</v>
      </c>
    </row>
    <row r="34245" spans="1:5" x14ac:dyDescent="0.25">
      <c r="A34245" t="str">
        <f>HYPERLINK("https://www.773grp.com/globalSearch/NCP301LSN15T1/page-1", "NCP301LSN15T1")</f>
        <v>NCP301LSN15T1</v>
      </c>
      <c r="B34245" s="3" t="s">
        <v>95</v>
      </c>
      <c r="C34245" s="6">
        <v>16000</v>
      </c>
      <c r="D34245" s="7">
        <v>1.06</v>
      </c>
      <c r="E34245" t="s">
        <v>30</v>
      </c>
    </row>
    <row r="34246" spans="1:5" x14ac:dyDescent="0.25">
      <c r="A34246" t="str">
        <f>HYPERLINK("https://www.773grp.com/globalSearch/NCP301LSN17T1/page-1", "NCP301LSN17T1")</f>
        <v>NCP301LSN17T1</v>
      </c>
      <c r="B34246" s="3" t="s">
        <v>95</v>
      </c>
      <c r="C34246" s="6">
        <v>15980</v>
      </c>
      <c r="D34246" s="7">
        <v>1.06</v>
      </c>
      <c r="E34246" t="s">
        <v>30</v>
      </c>
    </row>
    <row r="34247" spans="1:5" x14ac:dyDescent="0.25">
      <c r="A34247" t="str">
        <f>HYPERLINK("https://www.773grp.com/globalSearch/NCP301LSN19T1/page-1", "NCP301LSN19T1")</f>
        <v>NCP301LSN19T1</v>
      </c>
      <c r="B34247" s="3" t="s">
        <v>95</v>
      </c>
      <c r="C34247" s="6">
        <v>16500</v>
      </c>
      <c r="D34247" s="7">
        <v>1.06</v>
      </c>
      <c r="E34247" t="s">
        <v>30</v>
      </c>
    </row>
    <row r="34248" spans="1:5" x14ac:dyDescent="0.25">
      <c r="A34248" t="str">
        <f>HYPERLINK("https://www.773grp.com/globalSearch/NCP301LSN21T1/page-1", "NCP301LSN21T1")</f>
        <v>NCP301LSN21T1</v>
      </c>
      <c r="B34248" s="3" t="s">
        <v>95</v>
      </c>
      <c r="C34248" s="6">
        <v>48818</v>
      </c>
      <c r="D34248" s="7">
        <v>1.06</v>
      </c>
      <c r="E34248" t="s">
        <v>30</v>
      </c>
    </row>
    <row r="34249" spans="1:5" x14ac:dyDescent="0.25">
      <c r="A34249" t="str">
        <f>HYPERLINK("https://www.773grp.com/globalSearch/NCP301LSN35T1/page-1", "NCP301LSN35T1")</f>
        <v>NCP301LSN35T1</v>
      </c>
      <c r="B34249" s="3" t="s">
        <v>95</v>
      </c>
      <c r="C34249" s="6">
        <v>16936</v>
      </c>
      <c r="D34249" s="7">
        <v>1.06</v>
      </c>
      <c r="E34249" t="s">
        <v>30</v>
      </c>
    </row>
    <row r="34250" spans="1:5" x14ac:dyDescent="0.25">
      <c r="A34250" t="str">
        <f>HYPERLINK("https://www.773grp.com/globalSearch/NCP301LSN36T1/page-1", "NCP301LSN36T1")</f>
        <v>NCP301LSN36T1</v>
      </c>
      <c r="B34250" s="3" t="s">
        <v>95</v>
      </c>
      <c r="C34250" s="6">
        <v>15000</v>
      </c>
      <c r="D34250" s="7">
        <v>1.06</v>
      </c>
      <c r="E34250" t="s">
        <v>30</v>
      </c>
    </row>
    <row r="34251" spans="1:5" x14ac:dyDescent="0.25">
      <c r="A34251" t="str">
        <f>HYPERLINK("https://www.773grp.com/globalSearch/NCP301LSN37T1/page-1", "NCP301LSN37T1")</f>
        <v>NCP301LSN37T1</v>
      </c>
      <c r="B34251" s="3" t="s">
        <v>95</v>
      </c>
      <c r="C34251" s="6">
        <v>16584</v>
      </c>
      <c r="D34251" s="7">
        <v>1.06</v>
      </c>
      <c r="E34251" t="s">
        <v>30</v>
      </c>
    </row>
    <row r="34252" spans="1:5" x14ac:dyDescent="0.25">
      <c r="A34252" t="str">
        <f>HYPERLINK("https://www.773grp.com/globalSearch/NCP301LSN38T1/page-1", "NCP301LSN38T1")</f>
        <v>NCP301LSN38T1</v>
      </c>
      <c r="B34252" s="3" t="s">
        <v>95</v>
      </c>
      <c r="C34252" s="6">
        <v>16673</v>
      </c>
      <c r="D34252" s="7">
        <v>1.06</v>
      </c>
      <c r="E34252" t="s">
        <v>30</v>
      </c>
    </row>
    <row r="34253" spans="1:5" x14ac:dyDescent="0.25">
      <c r="A34253" t="str">
        <f>HYPERLINK("https://www.773grp.com/globalSearch/NCP301LSN39-0002/page-1", "NCP301LSN39-0002")</f>
        <v>NCP301LSN39-0002</v>
      </c>
      <c r="B34253" s="3" t="s">
        <v>95</v>
      </c>
      <c r="C34253" s="6">
        <v>2892</v>
      </c>
      <c r="D34253" s="7">
        <v>1.06</v>
      </c>
    </row>
    <row r="34254" spans="1:5" x14ac:dyDescent="0.25">
      <c r="A34254" t="str">
        <f>HYPERLINK("https://www.773grp.com/globalSearch/NCP301LSN39T1/page-1", "NCP301LSN39T1")</f>
        <v>NCP301LSN39T1</v>
      </c>
      <c r="B34254" s="3" t="s">
        <v>95</v>
      </c>
      <c r="C34254" s="6">
        <v>12000</v>
      </c>
      <c r="D34254" s="7">
        <v>1.06</v>
      </c>
      <c r="E34254" t="s">
        <v>30</v>
      </c>
    </row>
    <row r="34255" spans="1:5" x14ac:dyDescent="0.25">
      <c r="A34255" t="str">
        <f>HYPERLINK("https://www.773grp.com/globalSearch/NCP301LSN41T1/page-1", "NCP301LSN41T1")</f>
        <v>NCP301LSN41T1</v>
      </c>
      <c r="B34255" s="3" t="s">
        <v>95</v>
      </c>
      <c r="C34255" s="6">
        <v>15000</v>
      </c>
      <c r="D34255" s="7">
        <v>1.06</v>
      </c>
      <c r="E34255" t="s">
        <v>30</v>
      </c>
    </row>
    <row r="34256" spans="1:5" x14ac:dyDescent="0.25">
      <c r="A34256" t="str">
        <f>HYPERLINK("https://www.773grp.com/globalSearch/NCP301LSN43T1/page-1", "NCP301LSN43T1")</f>
        <v>NCP301LSN43T1</v>
      </c>
      <c r="B34256" s="3" t="s">
        <v>95</v>
      </c>
      <c r="C34256" s="6">
        <v>15868</v>
      </c>
      <c r="D34256" s="7">
        <v>1.06</v>
      </c>
      <c r="E34256" t="s">
        <v>30</v>
      </c>
    </row>
    <row r="34257" spans="1:5" x14ac:dyDescent="0.25">
      <c r="A34257" t="str">
        <f>HYPERLINK("https://www.773grp.com/globalSearch/NCP301LSN44T1/page-1", "NCP301LSN44T1")</f>
        <v>NCP301LSN44T1</v>
      </c>
      <c r="B34257" s="3" t="s">
        <v>95</v>
      </c>
      <c r="C34257" s="6">
        <v>10600</v>
      </c>
      <c r="D34257" s="7">
        <v>1.06</v>
      </c>
      <c r="E34257" t="s">
        <v>30</v>
      </c>
    </row>
    <row r="34258" spans="1:5" x14ac:dyDescent="0.25">
      <c r="A34258" t="str">
        <f>HYPERLINK("https://www.773grp.com/globalSearch/NCP301LSN48T1/page-1", "NCP301LSN48T1")</f>
        <v>NCP301LSN48T1</v>
      </c>
      <c r="B34258" s="3" t="s">
        <v>95</v>
      </c>
      <c r="C34258" s="6">
        <v>14849</v>
      </c>
      <c r="D34258" s="7">
        <v>1.06</v>
      </c>
      <c r="E34258" t="s">
        <v>30</v>
      </c>
    </row>
    <row r="34259" spans="1:5" x14ac:dyDescent="0.25">
      <c r="A34259" t="str">
        <f>HYPERLINK("https://www.773grp.com/globalSearch/NCP301LSN49T1/page-1", "NCP301LSN49T1")</f>
        <v>NCP301LSN49T1</v>
      </c>
      <c r="B34259" s="3" t="s">
        <v>95</v>
      </c>
      <c r="C34259" s="6">
        <v>13508</v>
      </c>
      <c r="D34259" s="7">
        <v>1.06</v>
      </c>
      <c r="E34259" t="s">
        <v>30</v>
      </c>
    </row>
    <row r="34260" spans="1:5" x14ac:dyDescent="0.25">
      <c r="A34260" t="str">
        <f>HYPERLINK("https://www.773grp.com/globalSearch/NCP302HSN15T1/page-1", "NCP302HSN15T1")</f>
        <v>NCP302HSN15T1</v>
      </c>
      <c r="B34260" s="3" t="s">
        <v>95</v>
      </c>
      <c r="C34260" s="6">
        <v>8860</v>
      </c>
      <c r="D34260" s="7">
        <v>1.06</v>
      </c>
      <c r="E34260" t="s">
        <v>30</v>
      </c>
    </row>
    <row r="34261" spans="1:5" x14ac:dyDescent="0.25">
      <c r="A34261" t="str">
        <f>HYPERLINK("https://www.773grp.com/globalSearch/NCP302HSN20T1/page-1", "NCP302HSN20T1")</f>
        <v>NCP302HSN20T1</v>
      </c>
      <c r="B34261" s="3" t="s">
        <v>95</v>
      </c>
      <c r="C34261" s="6">
        <v>11700</v>
      </c>
      <c r="D34261" s="7">
        <v>1.06</v>
      </c>
      <c r="E34261" t="s">
        <v>30</v>
      </c>
    </row>
    <row r="34262" spans="1:5" x14ac:dyDescent="0.25">
      <c r="A34262" t="str">
        <f>HYPERLINK("https://www.773grp.com/globalSearch/NCP302HSN25T1/page-1", "NCP302HSN25T1")</f>
        <v>NCP302HSN25T1</v>
      </c>
      <c r="B34262" s="3" t="s">
        <v>95</v>
      </c>
      <c r="C34262" s="6">
        <v>9000</v>
      </c>
      <c r="D34262" s="7">
        <v>1.06</v>
      </c>
      <c r="E34262" t="s">
        <v>30</v>
      </c>
    </row>
    <row r="34263" spans="1:5" x14ac:dyDescent="0.25">
      <c r="A34263" t="str">
        <f>HYPERLINK("https://www.773grp.com/globalSearch/NCP302HSN47T1/page-1", "NCP302HSN47T1")</f>
        <v>NCP302HSN47T1</v>
      </c>
      <c r="B34263" s="3" t="s">
        <v>95</v>
      </c>
      <c r="C34263" s="6">
        <v>13192</v>
      </c>
      <c r="D34263" s="7">
        <v>1.06</v>
      </c>
      <c r="E34263" t="s">
        <v>30</v>
      </c>
    </row>
    <row r="34264" spans="1:5" x14ac:dyDescent="0.25">
      <c r="A34264" t="str">
        <f>HYPERLINK("https://www.773grp.com/globalSearch/NCP302LSN10T1/page-1", "NCP302LSN10T1")</f>
        <v>NCP302LSN10T1</v>
      </c>
      <c r="B34264" s="3" t="s">
        <v>95</v>
      </c>
      <c r="C34264" s="6">
        <v>10900</v>
      </c>
      <c r="D34264" s="7">
        <v>1.06</v>
      </c>
      <c r="E34264" t="s">
        <v>30</v>
      </c>
    </row>
    <row r="34265" spans="1:5" x14ac:dyDescent="0.25">
      <c r="A34265" t="str">
        <f>HYPERLINK("https://www.773grp.com/globalSearch/NCP302LSN11T1/page-1", "NCP302LSN11T1")</f>
        <v>NCP302LSN11T1</v>
      </c>
      <c r="B34265" s="3" t="s">
        <v>95</v>
      </c>
      <c r="C34265" s="6">
        <v>12900</v>
      </c>
      <c r="D34265" s="7">
        <v>1.06</v>
      </c>
      <c r="E34265" t="s">
        <v>30</v>
      </c>
    </row>
    <row r="34266" spans="1:5" x14ac:dyDescent="0.25">
      <c r="A34266" t="str">
        <f>HYPERLINK("https://www.773grp.com/globalSearch/NCP302LSN12T1/page-1", "NCP302LSN12T1")</f>
        <v>NCP302LSN12T1</v>
      </c>
      <c r="B34266" s="3" t="s">
        <v>95</v>
      </c>
      <c r="C34266" s="6">
        <v>9650</v>
      </c>
      <c r="D34266" s="7">
        <v>1.06</v>
      </c>
      <c r="E34266" t="s">
        <v>30</v>
      </c>
    </row>
    <row r="34267" spans="1:5" x14ac:dyDescent="0.25">
      <c r="A34267" t="str">
        <f>HYPERLINK("https://www.773grp.com/globalSearch/NCP302LSN13T1/page-1", "NCP302LSN13T1")</f>
        <v>NCP302LSN13T1</v>
      </c>
      <c r="B34267" s="3" t="s">
        <v>95</v>
      </c>
      <c r="C34267" s="6">
        <v>12400</v>
      </c>
      <c r="D34267" s="7">
        <v>1.06</v>
      </c>
      <c r="E34267" t="s">
        <v>30</v>
      </c>
    </row>
    <row r="34268" spans="1:5" x14ac:dyDescent="0.25">
      <c r="A34268" t="str">
        <f>HYPERLINK("https://www.773grp.com/globalSearch/NCP302LSN14T1/page-1", "NCP302LSN14T1")</f>
        <v>NCP302LSN14T1</v>
      </c>
      <c r="B34268" s="3" t="s">
        <v>95</v>
      </c>
      <c r="C34268" s="6">
        <v>12320</v>
      </c>
      <c r="D34268" s="7">
        <v>1.06</v>
      </c>
      <c r="E34268" t="s">
        <v>30</v>
      </c>
    </row>
    <row r="34269" spans="1:5" x14ac:dyDescent="0.25">
      <c r="A34269" t="str">
        <f>HYPERLINK("https://www.773grp.com/globalSearch/NCP302LSN16T1/page-1", "NCP302LSN16T1")</f>
        <v>NCP302LSN16T1</v>
      </c>
      <c r="B34269" s="3" t="s">
        <v>95</v>
      </c>
      <c r="C34269" s="6">
        <v>10950</v>
      </c>
      <c r="D34269" s="7">
        <v>1.06</v>
      </c>
      <c r="E34269" t="s">
        <v>30</v>
      </c>
    </row>
    <row r="34270" spans="1:5" x14ac:dyDescent="0.25">
      <c r="A34270" t="str">
        <f>HYPERLINK("https://www.773grp.com/globalSearch/NCP302LSN17T1/page-1", "NCP302LSN17T1")</f>
        <v>NCP302LSN17T1</v>
      </c>
      <c r="B34270" s="3" t="s">
        <v>95</v>
      </c>
      <c r="C34270" s="6">
        <v>20430</v>
      </c>
      <c r="D34270" s="7">
        <v>1.06</v>
      </c>
      <c r="E34270" t="s">
        <v>30</v>
      </c>
    </row>
    <row r="34271" spans="1:5" x14ac:dyDescent="0.25">
      <c r="A34271" t="str">
        <f>HYPERLINK("https://www.773grp.com/globalSearch/NCP302LSN19T1/page-1", "NCP302LSN19T1")</f>
        <v>NCP302LSN19T1</v>
      </c>
      <c r="B34271" s="3" t="s">
        <v>95</v>
      </c>
      <c r="C34271" s="6">
        <v>14950</v>
      </c>
      <c r="D34271" s="7">
        <v>1.06</v>
      </c>
      <c r="E34271" t="s">
        <v>30</v>
      </c>
    </row>
    <row r="34272" spans="1:5" x14ac:dyDescent="0.25">
      <c r="A34272" t="str">
        <f>HYPERLINK("https://www.773grp.com/globalSearch/NCP302LSN21T1/page-1", "NCP302LSN21T1")</f>
        <v>NCP302LSN21T1</v>
      </c>
      <c r="B34272" s="3" t="s">
        <v>95</v>
      </c>
      <c r="C34272" s="6">
        <v>10430</v>
      </c>
      <c r="D34272" s="7">
        <v>1.06</v>
      </c>
      <c r="E34272" t="s">
        <v>30</v>
      </c>
    </row>
    <row r="34273" spans="1:5" x14ac:dyDescent="0.25">
      <c r="A34273" t="str">
        <f>HYPERLINK("https://www.773grp.com/globalSearch/NCP302LSN22T1/page-1", "NCP302LSN22T1")</f>
        <v>NCP302LSN22T1</v>
      </c>
      <c r="B34273" s="3" t="s">
        <v>95</v>
      </c>
      <c r="C34273" s="6">
        <v>9930</v>
      </c>
      <c r="D34273" s="7">
        <v>1.06</v>
      </c>
      <c r="E34273" t="s">
        <v>30</v>
      </c>
    </row>
    <row r="34274" spans="1:5" x14ac:dyDescent="0.25">
      <c r="A34274" t="str">
        <f>HYPERLINK("https://www.773grp.com/globalSearch/NCP302LSN23T1/page-1", "NCP302LSN23T1")</f>
        <v>NCP302LSN23T1</v>
      </c>
      <c r="B34274" s="3" t="s">
        <v>95</v>
      </c>
      <c r="C34274" s="6">
        <v>9850</v>
      </c>
      <c r="D34274" s="7">
        <v>1.06</v>
      </c>
      <c r="E34274" t="s">
        <v>30</v>
      </c>
    </row>
    <row r="34275" spans="1:5" x14ac:dyDescent="0.25">
      <c r="A34275" t="str">
        <f>HYPERLINK("https://www.773grp.com/globalSearch/NCP302LSN24T1/page-1", "NCP302LSN24T1")</f>
        <v>NCP302LSN24T1</v>
      </c>
      <c r="B34275" s="3" t="s">
        <v>95</v>
      </c>
      <c r="C34275" s="6">
        <v>15350</v>
      </c>
      <c r="D34275" s="7">
        <v>1.06</v>
      </c>
      <c r="E34275" t="s">
        <v>30</v>
      </c>
    </row>
    <row r="34276" spans="1:5" x14ac:dyDescent="0.25">
      <c r="A34276" t="str">
        <f>HYPERLINK("https://www.773grp.com/globalSearch/NCP302LSN25T1/page-1", "NCP302LSN25T1")</f>
        <v>NCP302LSN25T1</v>
      </c>
      <c r="B34276" s="3" t="s">
        <v>95</v>
      </c>
      <c r="C34276" s="6">
        <v>15300</v>
      </c>
      <c r="D34276" s="7">
        <v>1.06</v>
      </c>
      <c r="E34276" t="s">
        <v>30</v>
      </c>
    </row>
    <row r="34277" spans="1:5" x14ac:dyDescent="0.25">
      <c r="A34277" t="str">
        <f>HYPERLINK("https://www.773grp.com/globalSearch/NCP302LSN26T1/page-1", "NCP302LSN26T1")</f>
        <v>NCP302LSN26T1</v>
      </c>
      <c r="B34277" s="3" t="s">
        <v>95</v>
      </c>
      <c r="C34277" s="6">
        <v>10350</v>
      </c>
      <c r="D34277" s="7">
        <v>1.06</v>
      </c>
      <c r="E34277" t="s">
        <v>30</v>
      </c>
    </row>
    <row r="34278" spans="1:5" x14ac:dyDescent="0.25">
      <c r="A34278" t="str">
        <f>HYPERLINK("https://www.773grp.com/globalSearch/NCP302LSN28T1/page-1", "NCP302LSN28T1")</f>
        <v>NCP302LSN28T1</v>
      </c>
      <c r="B34278" s="3" t="s">
        <v>95</v>
      </c>
      <c r="C34278" s="6">
        <v>8150</v>
      </c>
      <c r="D34278" s="7">
        <v>1.06</v>
      </c>
      <c r="E34278" t="s">
        <v>30</v>
      </c>
    </row>
    <row r="34279" spans="1:5" x14ac:dyDescent="0.25">
      <c r="A34279" t="str">
        <f>HYPERLINK("https://www.773grp.com/globalSearch/NCP302LSN29T1/page-1", "NCP302LSN29T1")</f>
        <v>NCP302LSN29T1</v>
      </c>
      <c r="B34279" s="3" t="s">
        <v>95</v>
      </c>
      <c r="C34279" s="6">
        <v>8250</v>
      </c>
      <c r="D34279" s="7">
        <v>1.06</v>
      </c>
      <c r="E34279" t="s">
        <v>30</v>
      </c>
    </row>
    <row r="34280" spans="1:5" x14ac:dyDescent="0.25">
      <c r="A34280" t="str">
        <f>HYPERLINK("https://www.773grp.com/globalSearch/NCP302LSN31T1/page-1", "NCP302LSN31T1")</f>
        <v>NCP302LSN31T1</v>
      </c>
      <c r="B34280" s="3" t="s">
        <v>95</v>
      </c>
      <c r="C34280" s="6">
        <v>10950</v>
      </c>
      <c r="D34280" s="7">
        <v>1.06</v>
      </c>
      <c r="E34280" t="s">
        <v>30</v>
      </c>
    </row>
    <row r="34281" spans="1:5" x14ac:dyDescent="0.25">
      <c r="A34281" t="str">
        <f>HYPERLINK("https://www.773grp.com/globalSearch/NCP302LSN32T1/page-1", "NCP302LSN32T1")</f>
        <v>NCP302LSN32T1</v>
      </c>
      <c r="B34281" s="3" t="s">
        <v>95</v>
      </c>
      <c r="C34281" s="6">
        <v>10250</v>
      </c>
      <c r="D34281" s="7">
        <v>1.06</v>
      </c>
      <c r="E34281" t="s">
        <v>30</v>
      </c>
    </row>
    <row r="34282" spans="1:5" x14ac:dyDescent="0.25">
      <c r="A34282" t="str">
        <f>HYPERLINK("https://www.773grp.com/globalSearch/NCP302LSN34T1/page-1", "NCP302LSN34T1")</f>
        <v>NCP302LSN34T1</v>
      </c>
      <c r="B34282" s="3" t="s">
        <v>95</v>
      </c>
      <c r="C34282" s="6">
        <v>10350</v>
      </c>
      <c r="D34282" s="7">
        <v>1.06</v>
      </c>
      <c r="E34282" t="s">
        <v>30</v>
      </c>
    </row>
    <row r="34283" spans="1:5" x14ac:dyDescent="0.25">
      <c r="A34283" t="str">
        <f>HYPERLINK("https://www.773grp.com/globalSearch/NCP302LSN35T1/page-1", "NCP302LSN35T1")</f>
        <v>NCP302LSN35T1</v>
      </c>
      <c r="B34283" s="3" t="s">
        <v>95</v>
      </c>
      <c r="C34283" s="6">
        <v>15950</v>
      </c>
      <c r="D34283" s="7">
        <v>1.06</v>
      </c>
      <c r="E34283" t="s">
        <v>30</v>
      </c>
    </row>
    <row r="34284" spans="1:5" x14ac:dyDescent="0.25">
      <c r="A34284" t="str">
        <f>HYPERLINK("https://www.773grp.com/globalSearch/NCP302LSN36T1/page-1", "NCP302LSN36T1")</f>
        <v>NCP302LSN36T1</v>
      </c>
      <c r="B34284" s="3" t="s">
        <v>95</v>
      </c>
      <c r="C34284" s="6">
        <v>8950</v>
      </c>
      <c r="D34284" s="7">
        <v>1.06</v>
      </c>
      <c r="E34284" t="s">
        <v>30</v>
      </c>
    </row>
    <row r="34285" spans="1:5" x14ac:dyDescent="0.25">
      <c r="A34285" t="str">
        <f>HYPERLINK("https://www.773grp.com/globalSearch/NCP302LSN37T1/page-1", "NCP302LSN37T1")</f>
        <v>NCP302LSN37T1</v>
      </c>
      <c r="B34285" s="3" t="s">
        <v>95</v>
      </c>
      <c r="C34285" s="6">
        <v>16950</v>
      </c>
      <c r="D34285" s="7">
        <v>1.06</v>
      </c>
      <c r="E34285" t="s">
        <v>30</v>
      </c>
    </row>
    <row r="34286" spans="1:5" x14ac:dyDescent="0.25">
      <c r="A34286" t="str">
        <f>HYPERLINK("https://www.773grp.com/globalSearch/NCP302LSN39T1/page-1", "NCP302LSN39T1")</f>
        <v>NCP302LSN39T1</v>
      </c>
      <c r="B34286" s="3" t="s">
        <v>95</v>
      </c>
      <c r="C34286" s="6">
        <v>14400</v>
      </c>
      <c r="D34286" s="7">
        <v>1.06</v>
      </c>
      <c r="E34286" t="s">
        <v>30</v>
      </c>
    </row>
    <row r="34287" spans="1:5" x14ac:dyDescent="0.25">
      <c r="A34287" t="str">
        <f>HYPERLINK("https://www.773grp.com/globalSearch/NCP302LSN41T1/page-1", "NCP302LSN41T1")</f>
        <v>NCP302LSN41T1</v>
      </c>
      <c r="B34287" s="3" t="s">
        <v>95</v>
      </c>
      <c r="C34287" s="6">
        <v>15850</v>
      </c>
      <c r="D34287" s="7">
        <v>1.06</v>
      </c>
      <c r="E34287" t="s">
        <v>30</v>
      </c>
    </row>
    <row r="34288" spans="1:5" x14ac:dyDescent="0.25">
      <c r="A34288" t="str">
        <f>HYPERLINK("https://www.773grp.com/globalSearch/NCP302LSN42T1/page-1", "NCP302LSN42T1")</f>
        <v>NCP302LSN42T1</v>
      </c>
      <c r="B34288" s="3" t="s">
        <v>95</v>
      </c>
      <c r="C34288" s="6">
        <v>14800</v>
      </c>
      <c r="D34288" s="7">
        <v>1.06</v>
      </c>
      <c r="E34288" t="s">
        <v>30</v>
      </c>
    </row>
    <row r="34289" spans="1:5" x14ac:dyDescent="0.25">
      <c r="A34289" t="str">
        <f>HYPERLINK("https://www.773grp.com/globalSearch/NCP302LSN44T1/page-1", "NCP302LSN44T1")</f>
        <v>NCP302LSN44T1</v>
      </c>
      <c r="B34289" s="3" t="s">
        <v>95</v>
      </c>
      <c r="C34289" s="6">
        <v>2200</v>
      </c>
      <c r="D34289" s="7">
        <v>1.06</v>
      </c>
      <c r="E34289" t="s">
        <v>30</v>
      </c>
    </row>
    <row r="34290" spans="1:5" x14ac:dyDescent="0.25">
      <c r="A34290" t="str">
        <f>HYPERLINK("https://www.773grp.com/globalSearch/NCP302LSN46T1/page-1", "NCP302LSN46T1")</f>
        <v>NCP302LSN46T1</v>
      </c>
      <c r="B34290" s="3" t="s">
        <v>95</v>
      </c>
      <c r="C34290" s="6">
        <v>39116</v>
      </c>
      <c r="D34290" s="7">
        <v>1.06</v>
      </c>
      <c r="E34290" t="s">
        <v>30</v>
      </c>
    </row>
    <row r="34291" spans="1:5" x14ac:dyDescent="0.25">
      <c r="A34291" t="str">
        <f>HYPERLINK("https://www.773grp.com/globalSearch/NCP302LSN48T1/page-1", "NCP302LSN48T1")</f>
        <v>NCP302LSN48T1</v>
      </c>
      <c r="B34291" s="3" t="s">
        <v>95</v>
      </c>
      <c r="C34291" s="6">
        <v>45219</v>
      </c>
      <c r="D34291" s="7">
        <v>1.06</v>
      </c>
      <c r="E34291" t="s">
        <v>30</v>
      </c>
    </row>
    <row r="34292" spans="1:5" x14ac:dyDescent="0.25">
      <c r="A34292" t="str">
        <f>HYPERLINK("https://www.773grp.com/globalSearch/NCP302LSN49T1/page-1", "NCP302LSN49T1")</f>
        <v>NCP302LSN49T1</v>
      </c>
      <c r="B34292" s="3" t="s">
        <v>95</v>
      </c>
      <c r="C34292" s="6">
        <v>37816</v>
      </c>
      <c r="D34292" s="7">
        <v>1.06</v>
      </c>
      <c r="E34292" t="s">
        <v>30</v>
      </c>
    </row>
    <row r="34293" spans="1:5" x14ac:dyDescent="0.25">
      <c r="A34293" t="str">
        <f>HYPERLINK("https://www.773grp.com/globalSearch/NCP303LSN10T1/page-1", "NCP303LSN10T1")</f>
        <v>NCP303LSN10T1</v>
      </c>
      <c r="B34293" s="3" t="s">
        <v>95</v>
      </c>
      <c r="C34293" s="6">
        <v>4876</v>
      </c>
      <c r="D34293" s="7">
        <v>1.06</v>
      </c>
      <c r="E34293" t="s">
        <v>30</v>
      </c>
    </row>
    <row r="34294" spans="1:5" x14ac:dyDescent="0.25">
      <c r="A34294" t="str">
        <f>HYPERLINK("https://www.773grp.com/globalSearch/NCP303LSN12T1/page-1", "NCP303LSN12T1")</f>
        <v>NCP303LSN12T1</v>
      </c>
      <c r="B34294" s="3" t="s">
        <v>95</v>
      </c>
      <c r="C34294" s="6">
        <v>24625</v>
      </c>
      <c r="D34294" s="7">
        <v>1.06</v>
      </c>
      <c r="E34294" t="s">
        <v>30</v>
      </c>
    </row>
    <row r="34295" spans="1:5" x14ac:dyDescent="0.25">
      <c r="A34295" t="str">
        <f>HYPERLINK("https://www.773grp.com/globalSearch/NCP303LSN17T1/page-1", "NCP303LSN17T1")</f>
        <v>NCP303LSN17T1</v>
      </c>
      <c r="B34295" s="3" t="s">
        <v>95</v>
      </c>
      <c r="C34295" s="6">
        <v>16405</v>
      </c>
      <c r="D34295" s="7">
        <v>1.06</v>
      </c>
      <c r="E34295" t="s">
        <v>30</v>
      </c>
    </row>
    <row r="34296" spans="1:5" x14ac:dyDescent="0.25">
      <c r="A34296" t="str">
        <f>HYPERLINK("https://www.773grp.com/globalSearch/NCP303LSN19T1/page-1", "NCP303LSN19T1")</f>
        <v>NCP303LSN19T1</v>
      </c>
      <c r="B34296" s="3" t="s">
        <v>95</v>
      </c>
      <c r="C34296" s="6">
        <v>10450</v>
      </c>
      <c r="D34296" s="7">
        <v>1.06</v>
      </c>
      <c r="E34296" t="s">
        <v>30</v>
      </c>
    </row>
    <row r="34297" spans="1:5" x14ac:dyDescent="0.25">
      <c r="A34297" t="str">
        <f>HYPERLINK("https://www.773grp.com/globalSearch/NCP303LSN21T1/page-1", "NCP303LSN21T1")</f>
        <v>NCP303LSN21T1</v>
      </c>
      <c r="B34297" s="3" t="s">
        <v>95</v>
      </c>
      <c r="C34297" s="6">
        <v>8930</v>
      </c>
      <c r="D34297" s="7">
        <v>1.06</v>
      </c>
      <c r="E34297" t="s">
        <v>30</v>
      </c>
    </row>
    <row r="34298" spans="1:5" x14ac:dyDescent="0.25">
      <c r="A34298" t="str">
        <f>HYPERLINK("https://www.773grp.com/globalSearch/NCP303LSN35T1/page-1", "NCP303LSN35T1")</f>
        <v>NCP303LSN35T1</v>
      </c>
      <c r="B34298" s="3" t="s">
        <v>95</v>
      </c>
      <c r="C34298" s="6">
        <v>16930</v>
      </c>
      <c r="D34298" s="7">
        <v>1.06</v>
      </c>
      <c r="E34298" t="s">
        <v>30</v>
      </c>
    </row>
    <row r="34299" spans="1:5" x14ac:dyDescent="0.25">
      <c r="A34299" t="str">
        <f>HYPERLINK("https://www.773grp.com/globalSearch/NCP303LSN37T1/page-1", "NCP303LSN37T1")</f>
        <v>NCP303LSN37T1</v>
      </c>
      <c r="B34299" s="3" t="s">
        <v>95</v>
      </c>
      <c r="C34299" s="6">
        <v>16950</v>
      </c>
      <c r="D34299" s="7">
        <v>1.06</v>
      </c>
      <c r="E34299" t="s">
        <v>30</v>
      </c>
    </row>
    <row r="34300" spans="1:5" x14ac:dyDescent="0.25">
      <c r="A34300" t="str">
        <f>HYPERLINK("https://www.773grp.com/globalSearch/NCP303LSN39T1/page-1", "NCP303LSN39T1")</f>
        <v>NCP303LSN39T1</v>
      </c>
      <c r="B34300" s="3" t="s">
        <v>95</v>
      </c>
      <c r="C34300" s="6">
        <v>15950</v>
      </c>
      <c r="D34300" s="7">
        <v>1.06</v>
      </c>
      <c r="E34300" t="s">
        <v>30</v>
      </c>
    </row>
    <row r="34301" spans="1:5" x14ac:dyDescent="0.25">
      <c r="A34301" t="str">
        <f>HYPERLINK("https://www.773grp.com/globalSearch/NCP303LSN41T1/page-1", "NCP303LSN41T1")</f>
        <v>NCP303LSN41T1</v>
      </c>
      <c r="B34301" s="3" t="s">
        <v>95</v>
      </c>
      <c r="C34301" s="6">
        <v>15949</v>
      </c>
      <c r="D34301" s="7">
        <v>1.06</v>
      </c>
      <c r="E34301" t="s">
        <v>30</v>
      </c>
    </row>
    <row r="34302" spans="1:5" x14ac:dyDescent="0.25">
      <c r="A34302" t="str">
        <f>HYPERLINK("https://www.773grp.com/globalSearch/NCP303LSN43T1/page-1", "NCP303LSN43T1")</f>
        <v>NCP303LSN43T1</v>
      </c>
      <c r="B34302" s="3" t="s">
        <v>95</v>
      </c>
      <c r="C34302" s="6">
        <v>12264</v>
      </c>
      <c r="D34302" s="7">
        <v>1.06</v>
      </c>
      <c r="E34302" t="s">
        <v>30</v>
      </c>
    </row>
    <row r="34303" spans="1:5" x14ac:dyDescent="0.25">
      <c r="A34303" t="str">
        <f>HYPERLINK("https://www.773grp.com/globalSearch/NCP303LSN48T1/page-1", "NCP303LSN48T1")</f>
        <v>NCP303LSN48T1</v>
      </c>
      <c r="B34303" s="3" t="s">
        <v>95</v>
      </c>
      <c r="C34303" s="6">
        <v>18450</v>
      </c>
      <c r="D34303" s="7">
        <v>1.06</v>
      </c>
      <c r="E34303" t="s">
        <v>30</v>
      </c>
    </row>
    <row r="34304" spans="1:5" x14ac:dyDescent="0.25">
      <c r="A34304" t="str">
        <f>HYPERLINK("https://www.773grp.com/globalSearch/NCP304LSQ10T1/page-1", "NCP304LSQ10T1")</f>
        <v>NCP304LSQ10T1</v>
      </c>
      <c r="B34304" s="3" t="s">
        <v>95</v>
      </c>
      <c r="C34304" s="6">
        <v>22096</v>
      </c>
      <c r="D34304" s="7">
        <v>1.06</v>
      </c>
      <c r="E34304" t="s">
        <v>30</v>
      </c>
    </row>
    <row r="34305" spans="1:5" x14ac:dyDescent="0.25">
      <c r="A34305" t="str">
        <f>HYPERLINK("https://www.773grp.com/globalSearch/NCP304LSQ11T1/page-1", "NCP304LSQ11T1")</f>
        <v>NCP304LSQ11T1</v>
      </c>
      <c r="B34305" s="3" t="s">
        <v>95</v>
      </c>
      <c r="C34305" s="6">
        <v>20950</v>
      </c>
      <c r="D34305" s="7">
        <v>1.06</v>
      </c>
      <c r="E34305" t="s">
        <v>30</v>
      </c>
    </row>
    <row r="34306" spans="1:5" x14ac:dyDescent="0.25">
      <c r="A34306" t="str">
        <f>HYPERLINK("https://www.773grp.com/globalSearch/NCP304LSQ12T1/page-1", "NCP304LSQ12T1")</f>
        <v>NCP304LSQ12T1</v>
      </c>
      <c r="B34306" s="3" t="s">
        <v>95</v>
      </c>
      <c r="C34306" s="6">
        <v>21000</v>
      </c>
      <c r="D34306" s="7">
        <v>1.06</v>
      </c>
      <c r="E34306" t="s">
        <v>30</v>
      </c>
    </row>
    <row r="34307" spans="1:5" x14ac:dyDescent="0.25">
      <c r="A34307" t="str">
        <f>HYPERLINK("https://www.773grp.com/globalSearch/NCP304LSQ13T1/page-1", "NCP304LSQ13T1")</f>
        <v>NCP304LSQ13T1</v>
      </c>
      <c r="B34307" s="3" t="s">
        <v>95</v>
      </c>
      <c r="C34307" s="6">
        <v>17714</v>
      </c>
      <c r="D34307" s="7">
        <v>1.06</v>
      </c>
      <c r="E34307" t="s">
        <v>30</v>
      </c>
    </row>
    <row r="34308" spans="1:5" x14ac:dyDescent="0.25">
      <c r="A34308" t="str">
        <f>HYPERLINK("https://www.773grp.com/globalSearch/NCP304LSQ14T1/page-1", "NCP304LSQ14T1")</f>
        <v>NCP304LSQ14T1</v>
      </c>
      <c r="B34308" s="3" t="s">
        <v>95</v>
      </c>
      <c r="C34308" s="6">
        <v>20950</v>
      </c>
      <c r="D34308" s="7">
        <v>1.06</v>
      </c>
      <c r="E34308" t="s">
        <v>30</v>
      </c>
    </row>
    <row r="34309" spans="1:5" x14ac:dyDescent="0.25">
      <c r="A34309" t="str">
        <f>HYPERLINK("https://www.773grp.com/globalSearch/NCP304LSQ15T1/page-1", "NCP304LSQ15T1")</f>
        <v>NCP304LSQ15T1</v>
      </c>
      <c r="B34309" s="3" t="s">
        <v>95</v>
      </c>
      <c r="C34309" s="6">
        <v>43949</v>
      </c>
      <c r="D34309" s="7">
        <v>1.06</v>
      </c>
      <c r="E34309" t="s">
        <v>30</v>
      </c>
    </row>
    <row r="34310" spans="1:5" x14ac:dyDescent="0.25">
      <c r="A34310" t="str">
        <f>HYPERLINK("https://www.773grp.com/globalSearch/NCP304LSQ16T1/page-1", "NCP304LSQ16T1")</f>
        <v>NCP304LSQ16T1</v>
      </c>
      <c r="B34310" s="3" t="s">
        <v>95</v>
      </c>
      <c r="C34310" s="6">
        <v>19979</v>
      </c>
      <c r="D34310" s="7">
        <v>1.06</v>
      </c>
      <c r="E34310" t="s">
        <v>30</v>
      </c>
    </row>
    <row r="34311" spans="1:5" x14ac:dyDescent="0.25">
      <c r="A34311" t="str">
        <f>HYPERLINK("https://www.773grp.com/globalSearch/NCP304LSQ17T1/page-1", "NCP304LSQ17T1")</f>
        <v>NCP304LSQ17T1</v>
      </c>
      <c r="B34311" s="3" t="s">
        <v>95</v>
      </c>
      <c r="C34311" s="6">
        <v>20960</v>
      </c>
      <c r="D34311" s="7">
        <v>1.06</v>
      </c>
      <c r="E34311" t="s">
        <v>30</v>
      </c>
    </row>
    <row r="34312" spans="1:5" x14ac:dyDescent="0.25">
      <c r="A34312" t="str">
        <f>HYPERLINK("https://www.773grp.com/globalSearch/NCP304LSQ19T1/page-1", "NCP304LSQ19T1")</f>
        <v>NCP304LSQ19T1</v>
      </c>
      <c r="B34312" s="3" t="s">
        <v>95</v>
      </c>
      <c r="C34312" s="6">
        <v>18535</v>
      </c>
      <c r="D34312" s="7">
        <v>1.06</v>
      </c>
      <c r="E34312" t="s">
        <v>30</v>
      </c>
    </row>
    <row r="34313" spans="1:5" x14ac:dyDescent="0.25">
      <c r="A34313" t="str">
        <f>HYPERLINK("https://www.773grp.com/globalSearch/NCP304LSQ21T1/page-1", "NCP304LSQ21T1")</f>
        <v>NCP304LSQ21T1</v>
      </c>
      <c r="B34313" s="3" t="s">
        <v>95</v>
      </c>
      <c r="C34313" s="6">
        <v>14950</v>
      </c>
      <c r="D34313" s="7">
        <v>1.06</v>
      </c>
      <c r="E34313" t="s">
        <v>30</v>
      </c>
    </row>
    <row r="34314" spans="1:5" x14ac:dyDescent="0.25">
      <c r="A34314" t="str">
        <f>HYPERLINK("https://www.773grp.com/globalSearch/NCP304LSQ22T1/page-1", "NCP304LSQ22T1")</f>
        <v>NCP304LSQ22T1</v>
      </c>
      <c r="B34314" s="3" t="s">
        <v>95</v>
      </c>
      <c r="C34314" s="6">
        <v>25051</v>
      </c>
      <c r="D34314" s="7">
        <v>1.06</v>
      </c>
      <c r="E34314" t="s">
        <v>30</v>
      </c>
    </row>
    <row r="34315" spans="1:5" x14ac:dyDescent="0.25">
      <c r="A34315" t="str">
        <f>HYPERLINK("https://www.773grp.com/globalSearch/NCP304LSQ24T1/page-1", "NCP304LSQ24T1")</f>
        <v>NCP304LSQ24T1</v>
      </c>
      <c r="B34315" s="3" t="s">
        <v>95</v>
      </c>
      <c r="C34315" s="6">
        <v>25028</v>
      </c>
      <c r="D34315" s="7">
        <v>1.06</v>
      </c>
      <c r="E34315" t="s">
        <v>30</v>
      </c>
    </row>
    <row r="34316" spans="1:5" x14ac:dyDescent="0.25">
      <c r="A34316" t="str">
        <f>HYPERLINK("https://www.773grp.com/globalSearch/NCP304LSQ26T1/page-1", "NCP304LSQ26T1")</f>
        <v>NCP304LSQ26T1</v>
      </c>
      <c r="B34316" s="3" t="s">
        <v>95</v>
      </c>
      <c r="C34316" s="6">
        <v>24571</v>
      </c>
      <c r="D34316" s="7">
        <v>1.06</v>
      </c>
      <c r="E34316" t="s">
        <v>30</v>
      </c>
    </row>
    <row r="34317" spans="1:5" x14ac:dyDescent="0.25">
      <c r="A34317" t="str">
        <f>HYPERLINK("https://www.773grp.com/globalSearch/NCP304LSQ31T1/page-1", "NCP304LSQ31T1")</f>
        <v>NCP304LSQ31T1</v>
      </c>
      <c r="B34317" s="3" t="s">
        <v>95</v>
      </c>
      <c r="C34317" s="6">
        <v>25237</v>
      </c>
      <c r="D34317" s="7">
        <v>1.06</v>
      </c>
      <c r="E34317" t="s">
        <v>30</v>
      </c>
    </row>
    <row r="34318" spans="1:5" x14ac:dyDescent="0.25">
      <c r="A34318" t="str">
        <f>HYPERLINK("https://www.773grp.com/globalSearch/NCP304LSQ32T1/page-1", "NCP304LSQ32T1")</f>
        <v>NCP304LSQ32T1</v>
      </c>
      <c r="B34318" s="3" t="s">
        <v>95</v>
      </c>
      <c r="C34318" s="6">
        <v>23950</v>
      </c>
      <c r="D34318" s="7">
        <v>1.06</v>
      </c>
      <c r="E34318" t="s">
        <v>30</v>
      </c>
    </row>
    <row r="34319" spans="1:5" x14ac:dyDescent="0.25">
      <c r="A34319" t="str">
        <f>HYPERLINK("https://www.773grp.com/globalSearch/NCP304LSQ35T1/page-1", "NCP304LSQ35T1")</f>
        <v>NCP304LSQ35T1</v>
      </c>
      <c r="B34319" s="3" t="s">
        <v>95</v>
      </c>
      <c r="C34319" s="6">
        <v>21874</v>
      </c>
      <c r="D34319" s="7">
        <v>1.06</v>
      </c>
      <c r="E34319" t="s">
        <v>30</v>
      </c>
    </row>
    <row r="34320" spans="1:5" x14ac:dyDescent="0.25">
      <c r="A34320" t="str">
        <f>HYPERLINK("https://www.773grp.com/globalSearch/NCP304LSQ36T1/page-1", "NCP304LSQ36T1")</f>
        <v>NCP304LSQ36T1</v>
      </c>
      <c r="B34320" s="3" t="s">
        <v>95</v>
      </c>
      <c r="C34320" s="6">
        <v>4425</v>
      </c>
      <c r="D34320" s="7">
        <v>1.06</v>
      </c>
      <c r="E34320" t="s">
        <v>30</v>
      </c>
    </row>
    <row r="34321" spans="1:5" x14ac:dyDescent="0.25">
      <c r="A34321" t="str">
        <f>HYPERLINK("https://www.773grp.com/globalSearch/NCP304LSQ39T1/page-1", "NCP304LSQ39T1")</f>
        <v>NCP304LSQ39T1</v>
      </c>
      <c r="B34321" s="3" t="s">
        <v>95</v>
      </c>
      <c r="C34321" s="6">
        <v>24712</v>
      </c>
      <c r="D34321" s="7">
        <v>1.06</v>
      </c>
      <c r="E34321" t="s">
        <v>30</v>
      </c>
    </row>
    <row r="34322" spans="1:5" x14ac:dyDescent="0.25">
      <c r="A34322" t="str">
        <f>HYPERLINK("https://www.773grp.com/globalSearch/NCP304LSQ41T1/page-1", "NCP304LSQ41T1")</f>
        <v>NCP304LSQ41T1</v>
      </c>
      <c r="B34322" s="3" t="s">
        <v>95</v>
      </c>
      <c r="C34322" s="6">
        <v>24707</v>
      </c>
      <c r="D34322" s="7">
        <v>1.06</v>
      </c>
      <c r="E34322" t="s">
        <v>30</v>
      </c>
    </row>
    <row r="34323" spans="1:5" x14ac:dyDescent="0.25">
      <c r="A34323" t="str">
        <f>HYPERLINK("https://www.773grp.com/globalSearch/NCP304LSQ44T1/page-1", "NCP304LSQ44T1")</f>
        <v>NCP304LSQ44T1</v>
      </c>
      <c r="B34323" s="3" t="s">
        <v>95</v>
      </c>
      <c r="C34323" s="6">
        <v>24732</v>
      </c>
      <c r="D34323" s="7">
        <v>1.06</v>
      </c>
      <c r="E34323" t="s">
        <v>30</v>
      </c>
    </row>
    <row r="34324" spans="1:5" x14ac:dyDescent="0.25">
      <c r="A34324" t="str">
        <f>HYPERLINK("https://www.773grp.com/globalSearch/NCP304LSQ48T1/page-1", "NCP304LSQ48T1")</f>
        <v>NCP304LSQ48T1</v>
      </c>
      <c r="B34324" s="3" t="s">
        <v>95</v>
      </c>
      <c r="C34324" s="6">
        <v>22487</v>
      </c>
      <c r="D34324" s="7">
        <v>1.06</v>
      </c>
      <c r="E34324" t="s">
        <v>30</v>
      </c>
    </row>
    <row r="34325" spans="1:5" x14ac:dyDescent="0.25">
      <c r="A34325" t="str">
        <f>HYPERLINK("https://www.773grp.com/globalSearch/NCP304LSQ49T1/page-1", "NCP304LSQ49T1")</f>
        <v>NCP304LSQ49T1</v>
      </c>
      <c r="B34325" s="3" t="s">
        <v>95</v>
      </c>
      <c r="C34325" s="6">
        <v>25288</v>
      </c>
      <c r="D34325" s="7">
        <v>1.06</v>
      </c>
      <c r="E34325" t="s">
        <v>30</v>
      </c>
    </row>
    <row r="34326" spans="1:5" x14ac:dyDescent="0.25">
      <c r="A34326" t="str">
        <f>HYPERLINK("https://www.773grp.com/globalSearch/NCP305LSQ10T1/page-1", "NCP305LSQ10T1")</f>
        <v>NCP305LSQ10T1</v>
      </c>
      <c r="B34326" s="3" t="s">
        <v>95</v>
      </c>
      <c r="C34326" s="6">
        <v>21313</v>
      </c>
      <c r="D34326" s="7">
        <v>1.06</v>
      </c>
      <c r="E34326" t="s">
        <v>30</v>
      </c>
    </row>
    <row r="34327" spans="1:5" x14ac:dyDescent="0.25">
      <c r="A34327" t="str">
        <f>HYPERLINK("https://www.773grp.com/globalSearch/NCP305LSQ12T1/page-1", "NCP305LSQ12T1")</f>
        <v>NCP305LSQ12T1</v>
      </c>
      <c r="B34327" s="3" t="s">
        <v>95</v>
      </c>
      <c r="C34327" s="6">
        <v>22254</v>
      </c>
      <c r="D34327" s="7">
        <v>1.06</v>
      </c>
      <c r="E34327" t="s">
        <v>30</v>
      </c>
    </row>
    <row r="34328" spans="1:5" x14ac:dyDescent="0.25">
      <c r="A34328" t="str">
        <f>HYPERLINK("https://www.773grp.com/globalSearch/NCP305LSQ13T1/page-1", "NCP305LSQ13T1")</f>
        <v>NCP305LSQ13T1</v>
      </c>
      <c r="B34328" s="3" t="s">
        <v>95</v>
      </c>
      <c r="C34328" s="6">
        <v>21662</v>
      </c>
      <c r="D34328" s="7">
        <v>1.06</v>
      </c>
      <c r="E34328" t="s">
        <v>30</v>
      </c>
    </row>
    <row r="34329" spans="1:5" x14ac:dyDescent="0.25">
      <c r="A34329" t="str">
        <f>HYPERLINK("https://www.773grp.com/globalSearch/NCP305LSQ14T1/page-1", "NCP305LSQ14T1")</f>
        <v>NCP305LSQ14T1</v>
      </c>
      <c r="B34329" s="3" t="s">
        <v>95</v>
      </c>
      <c r="C34329" s="6">
        <v>23758</v>
      </c>
      <c r="D34329" s="7">
        <v>1.06</v>
      </c>
      <c r="E34329" t="s">
        <v>30</v>
      </c>
    </row>
    <row r="34330" spans="1:5" x14ac:dyDescent="0.25">
      <c r="A34330" t="str">
        <f>HYPERLINK("https://www.773grp.com/globalSearch/NCP305LSQ19T1/page-1", "NCP305LSQ19T1")</f>
        <v>NCP305LSQ19T1</v>
      </c>
      <c r="B34330" s="3" t="s">
        <v>95</v>
      </c>
      <c r="C34330" s="6">
        <v>10837</v>
      </c>
      <c r="D34330" s="7">
        <v>1.06</v>
      </c>
      <c r="E34330" t="s">
        <v>30</v>
      </c>
    </row>
    <row r="34331" spans="1:5" x14ac:dyDescent="0.25">
      <c r="A34331" t="str">
        <f>HYPERLINK("https://www.773grp.com/globalSearch/NCP305LSQ21T1/page-1", "NCP305LSQ21T1")</f>
        <v>NCP305LSQ21T1</v>
      </c>
      <c r="B34331" s="3" t="s">
        <v>95</v>
      </c>
      <c r="C34331" s="6">
        <v>24805</v>
      </c>
      <c r="D34331" s="7">
        <v>1.06</v>
      </c>
      <c r="E34331" t="s">
        <v>30</v>
      </c>
    </row>
    <row r="34332" spans="1:5" x14ac:dyDescent="0.25">
      <c r="A34332" t="str">
        <f>HYPERLINK("https://www.773grp.com/globalSearch/NCP305LSQ38T1/page-1", "NCP305LSQ38T1")</f>
        <v>NCP305LSQ38T1</v>
      </c>
      <c r="B34332" s="3" t="s">
        <v>95</v>
      </c>
      <c r="C34332" s="6">
        <v>22526</v>
      </c>
      <c r="D34332" s="7">
        <v>1.06</v>
      </c>
      <c r="E34332" t="s">
        <v>30</v>
      </c>
    </row>
    <row r="34333" spans="1:5" x14ac:dyDescent="0.25">
      <c r="A34333" t="str">
        <f>HYPERLINK("https://www.773grp.com/globalSearch/NCP305LSQ39T1/page-1", "NCP305LSQ39T1")</f>
        <v>NCP305LSQ39T1</v>
      </c>
      <c r="B34333" s="3" t="s">
        <v>95</v>
      </c>
      <c r="C34333" s="6">
        <v>23950</v>
      </c>
      <c r="D34333" s="7">
        <v>1.06</v>
      </c>
      <c r="E34333" t="s">
        <v>30</v>
      </c>
    </row>
    <row r="34334" spans="1:5" x14ac:dyDescent="0.25">
      <c r="A34334" t="str">
        <f>HYPERLINK("https://www.773grp.com/globalSearch/NCP305LSQ41T1/page-1", "NCP305LSQ41T1")</f>
        <v>NCP305LSQ41T1</v>
      </c>
      <c r="B34334" s="3" t="s">
        <v>95</v>
      </c>
      <c r="C34334" s="6">
        <v>23450</v>
      </c>
      <c r="D34334" s="7">
        <v>1.06</v>
      </c>
      <c r="E34334" t="s">
        <v>30</v>
      </c>
    </row>
    <row r="34335" spans="1:5" x14ac:dyDescent="0.25">
      <c r="A34335" t="str">
        <f>HYPERLINK("https://www.773grp.com/globalSearch/NCP305LSQ42T1/page-1", "NCP305LSQ42T1")</f>
        <v>NCP305LSQ42T1</v>
      </c>
      <c r="B34335" s="3" t="s">
        <v>95</v>
      </c>
      <c r="C34335" s="6">
        <v>221450</v>
      </c>
      <c r="D34335" s="7">
        <v>1.06</v>
      </c>
      <c r="E34335" t="s">
        <v>30</v>
      </c>
    </row>
    <row r="34336" spans="1:5" x14ac:dyDescent="0.25">
      <c r="A34336" t="str">
        <f>HYPERLINK("https://www.773grp.com/globalSearch/NCP305LSQ43T1/page-1", "NCP305LSQ43T1")</f>
        <v>NCP305LSQ43T1</v>
      </c>
      <c r="B34336" s="3" t="s">
        <v>95</v>
      </c>
      <c r="C34336" s="6">
        <v>24550</v>
      </c>
      <c r="D34336" s="7">
        <v>1.06</v>
      </c>
      <c r="E34336" t="s">
        <v>30</v>
      </c>
    </row>
    <row r="34337" spans="1:5" x14ac:dyDescent="0.25">
      <c r="A34337" t="str">
        <f>HYPERLINK("https://www.773grp.com/globalSearch/NCP305LSQ46T1/page-1", "NCP305LSQ46T1")</f>
        <v>NCP305LSQ46T1</v>
      </c>
      <c r="B34337" s="3" t="s">
        <v>95</v>
      </c>
      <c r="C34337" s="6">
        <v>23092</v>
      </c>
      <c r="D34337" s="7">
        <v>1.06</v>
      </c>
      <c r="E34337" t="s">
        <v>30</v>
      </c>
    </row>
    <row r="34338" spans="1:5" x14ac:dyDescent="0.25">
      <c r="A34338" t="str">
        <f>HYPERLINK("https://www.773grp.com/globalSearch/NCP305LSQ48T1/page-1", "NCP305LSQ48T1")</f>
        <v>NCP305LSQ48T1</v>
      </c>
      <c r="B34338" s="3" t="s">
        <v>95</v>
      </c>
      <c r="C34338" s="6">
        <v>21183</v>
      </c>
      <c r="D34338" s="7">
        <v>1.06</v>
      </c>
      <c r="E34338" t="s">
        <v>30</v>
      </c>
    </row>
    <row r="34339" spans="1:5" x14ac:dyDescent="0.25">
      <c r="A34339" t="str">
        <f>HYPERLINK("https://www.773grp.com/globalSearch/NCP33LSN10T1/page-1", "NCP33LSN10T1")</f>
        <v>NCP33LSN10T1</v>
      </c>
      <c r="B34339" s="3" t="s">
        <v>95</v>
      </c>
      <c r="C34339" s="6">
        <v>1000</v>
      </c>
      <c r="D34339" s="7">
        <v>1.06</v>
      </c>
    </row>
    <row r="34340" spans="1:5" x14ac:dyDescent="0.25">
      <c r="A34340" t="str">
        <f>HYPERLINK("https://www.773grp.com/globalSearch/NCP400FCT2G/page-1", "NCP400FCT2G")</f>
        <v>NCP400FCT2G</v>
      </c>
      <c r="B34340" s="3" t="s">
        <v>95</v>
      </c>
      <c r="C34340" s="6">
        <v>81000</v>
      </c>
      <c r="D34340" s="7">
        <v>1.06</v>
      </c>
      <c r="E34340" t="s">
        <v>19</v>
      </c>
    </row>
    <row r="34341" spans="1:5" x14ac:dyDescent="0.25">
      <c r="A34341" t="str">
        <f>HYPERLINK("https://www.773grp.com/globalSearch/NCP4586DMU14TCG/page-1", "NCP4586DMU14TCG")</f>
        <v>NCP4586DMU14TCG</v>
      </c>
      <c r="B34341" s="3" t="s">
        <v>95</v>
      </c>
      <c r="C34341" s="6">
        <v>260000</v>
      </c>
      <c r="D34341" s="7">
        <v>1.06</v>
      </c>
    </row>
    <row r="34342" spans="1:5" x14ac:dyDescent="0.25">
      <c r="A34342" t="str">
        <f>HYPERLINK("https://www.773grp.com/globalSearch/NCP4586DMU15TCG/page-1", "NCP4586DMU15TCG")</f>
        <v>NCP4586DMU15TCG</v>
      </c>
      <c r="B34342" s="3" t="s">
        <v>95</v>
      </c>
      <c r="C34342" s="6">
        <v>40000</v>
      </c>
      <c r="D34342" s="7">
        <v>1.06</v>
      </c>
    </row>
    <row r="34343" spans="1:5" x14ac:dyDescent="0.25">
      <c r="A34343" t="str">
        <f>HYPERLINK("https://www.773grp.com/globalSearch/NCP4586DMU18TCG/page-1", "NCP4586DMU18TCG")</f>
        <v>NCP4586DMU18TCG</v>
      </c>
      <c r="B34343" s="3" t="s">
        <v>95</v>
      </c>
      <c r="C34343" s="6">
        <v>19980</v>
      </c>
      <c r="D34343" s="7">
        <v>1.06</v>
      </c>
    </row>
    <row r="34344" spans="1:5" x14ac:dyDescent="0.25">
      <c r="A34344" t="str">
        <f>HYPERLINK("https://www.773grp.com/globalSearch/NCP4586DMU25TCG/page-1", "NCP4586DMU25TCG")</f>
        <v>NCP4586DMU25TCG</v>
      </c>
      <c r="B34344" s="3" t="s">
        <v>95</v>
      </c>
      <c r="C34344" s="6">
        <v>48000</v>
      </c>
      <c r="D34344" s="7">
        <v>1.06</v>
      </c>
    </row>
    <row r="34345" spans="1:5" x14ac:dyDescent="0.25">
      <c r="A34345" t="str">
        <f>HYPERLINK("https://www.773grp.com/globalSearch/NCP4586DMU30TCG/page-1", "NCP4586DMU30TCG")</f>
        <v>NCP4586DMU30TCG</v>
      </c>
      <c r="B34345" s="3" t="s">
        <v>95</v>
      </c>
      <c r="C34345" s="6">
        <v>20000</v>
      </c>
      <c r="D34345" s="7">
        <v>1.06</v>
      </c>
    </row>
    <row r="34346" spans="1:5" x14ac:dyDescent="0.25">
      <c r="A34346" t="str">
        <f>HYPERLINK("https://www.773grp.com/globalSearch/NCP4586DMU50TCG/page-1", "NCP4586DMU50TCG")</f>
        <v>NCP4586DMU50TCG</v>
      </c>
      <c r="B34346" s="3" t="s">
        <v>95</v>
      </c>
      <c r="C34346" s="6">
        <v>20000</v>
      </c>
      <c r="D34346" s="7">
        <v>1.06</v>
      </c>
    </row>
    <row r="34347" spans="1:5" x14ac:dyDescent="0.25">
      <c r="A34347" t="str">
        <f>HYPERLINK("https://www.773grp.com/globalSearch/NCP4586DSQ12T1G/page-1", "NCP4586DSQ12T1G")</f>
        <v>NCP4586DSQ12T1G</v>
      </c>
      <c r="B34347" s="3" t="s">
        <v>95</v>
      </c>
      <c r="C34347" s="6">
        <v>6000</v>
      </c>
      <c r="D34347" s="7">
        <v>1.06</v>
      </c>
    </row>
    <row r="34348" spans="1:5" x14ac:dyDescent="0.25">
      <c r="A34348" t="str">
        <f>HYPERLINK("https://www.773grp.com/globalSearch/NCP4586DSQ18T1G/page-1", "NCP4586DSQ18T1G")</f>
        <v>NCP4586DSQ18T1G</v>
      </c>
      <c r="B34348" s="3" t="s">
        <v>95</v>
      </c>
      <c r="C34348" s="6">
        <v>9000</v>
      </c>
      <c r="D34348" s="7">
        <v>1.06</v>
      </c>
    </row>
    <row r="34349" spans="1:5" x14ac:dyDescent="0.25">
      <c r="A34349" t="str">
        <f>HYPERLINK("https://www.773grp.com/globalSearch/NCP4586DSQ28T1G/page-1", "NCP4586DSQ28T1G")</f>
        <v>NCP4586DSQ28T1G</v>
      </c>
      <c r="B34349" s="3" t="s">
        <v>95</v>
      </c>
      <c r="C34349" s="6">
        <v>6000</v>
      </c>
      <c r="D34349" s="7">
        <v>1.06</v>
      </c>
    </row>
    <row r="34350" spans="1:5" x14ac:dyDescent="0.25">
      <c r="A34350" t="str">
        <f>HYPERLINK("https://www.773grp.com/globalSearch/NCP4586DSQ30T1G/page-1", "NCP4586DSQ30T1G")</f>
        <v>NCP4586DSQ30T1G</v>
      </c>
      <c r="B34350" s="3" t="s">
        <v>95</v>
      </c>
      <c r="C34350" s="6">
        <v>6000</v>
      </c>
      <c r="D34350" s="7">
        <v>1.06</v>
      </c>
    </row>
    <row r="34351" spans="1:5" x14ac:dyDescent="0.25">
      <c r="A34351" t="str">
        <f>HYPERLINK("https://www.773grp.com/globalSearch/NCP4586DSQ50T1G/page-1", "NCP4586DSQ50T1G")</f>
        <v>NCP4586DSQ50T1G</v>
      </c>
      <c r="B34351" s="3" t="s">
        <v>95</v>
      </c>
      <c r="C34351" s="6">
        <v>3000</v>
      </c>
      <c r="D34351" s="7">
        <v>1.06</v>
      </c>
    </row>
    <row r="34352" spans="1:5" x14ac:dyDescent="0.25">
      <c r="A34352" t="str">
        <f>HYPERLINK("https://www.773grp.com/globalSearch/NCP4680DSQ08T1G/page-1", "NCP4680DSQ08T1G")</f>
        <v>NCP4680DSQ08T1G</v>
      </c>
      <c r="B34352" s="3" t="s">
        <v>95</v>
      </c>
      <c r="C34352" s="6">
        <v>6000</v>
      </c>
      <c r="D34352" s="7">
        <v>1.06</v>
      </c>
    </row>
    <row r="34353" spans="1:4" x14ac:dyDescent="0.25">
      <c r="A34353" t="str">
        <f>HYPERLINK("https://www.773grp.com/globalSearch/NCP4680DSQ09T1G/page-1", "NCP4680DSQ09T1G")</f>
        <v>NCP4680DSQ09T1G</v>
      </c>
      <c r="B34353" s="3" t="s">
        <v>95</v>
      </c>
      <c r="C34353" s="6">
        <v>9000</v>
      </c>
      <c r="D34353" s="7">
        <v>1.06</v>
      </c>
    </row>
    <row r="34354" spans="1:4" x14ac:dyDescent="0.25">
      <c r="A34354" t="str">
        <f>HYPERLINK("https://www.773grp.com/globalSearch/NCP4680DSQ12T1G/page-1", "NCP4680DSQ12T1G")</f>
        <v>NCP4680DSQ12T1G</v>
      </c>
      <c r="B34354" s="3" t="s">
        <v>95</v>
      </c>
      <c r="C34354" s="6">
        <v>3000</v>
      </c>
      <c r="D34354" s="7">
        <v>1.06</v>
      </c>
    </row>
    <row r="34355" spans="1:4" x14ac:dyDescent="0.25">
      <c r="A34355" t="str">
        <f>HYPERLINK("https://www.773grp.com/globalSearch/NCP4680DSQ15T1G/page-1", "NCP4680DSQ15T1G")</f>
        <v>NCP4680DSQ15T1G</v>
      </c>
      <c r="B34355" s="3" t="s">
        <v>95</v>
      </c>
      <c r="C34355" s="6">
        <v>9000</v>
      </c>
      <c r="D34355" s="7">
        <v>1.06</v>
      </c>
    </row>
    <row r="34356" spans="1:4" x14ac:dyDescent="0.25">
      <c r="A34356" t="str">
        <f>HYPERLINK("https://www.773grp.com/globalSearch/NCP4680DSQ18T1G/page-1", "NCP4680DSQ18T1G")</f>
        <v>NCP4680DSQ18T1G</v>
      </c>
      <c r="B34356" s="3" t="s">
        <v>95</v>
      </c>
      <c r="C34356" s="6">
        <v>3000</v>
      </c>
      <c r="D34356" s="7">
        <v>1.06</v>
      </c>
    </row>
    <row r="34357" spans="1:4" x14ac:dyDescent="0.25">
      <c r="A34357" t="str">
        <f>HYPERLINK("https://www.773grp.com/globalSearch/NCP4680DSQ28T1G/page-1", "NCP4680DSQ28T1G")</f>
        <v>NCP4680DSQ28T1G</v>
      </c>
      <c r="B34357" s="3" t="s">
        <v>95</v>
      </c>
      <c r="C34357" s="6">
        <v>9000</v>
      </c>
      <c r="D34357" s="7">
        <v>1.06</v>
      </c>
    </row>
    <row r="34358" spans="1:4" x14ac:dyDescent="0.25">
      <c r="A34358" t="str">
        <f>HYPERLINK("https://www.773grp.com/globalSearch/NCP4680DSQ30T1G/page-1", "NCP4680DSQ30T1G")</f>
        <v>NCP4680DSQ30T1G</v>
      </c>
      <c r="B34358" s="3" t="s">
        <v>95</v>
      </c>
      <c r="C34358" s="6">
        <v>9000</v>
      </c>
      <c r="D34358" s="7">
        <v>1.06</v>
      </c>
    </row>
    <row r="34359" spans="1:4" x14ac:dyDescent="0.25">
      <c r="A34359" t="str">
        <f>HYPERLINK("https://www.773grp.com/globalSearch/NCP4680DSQ33T1G/page-1", "NCP4680DSQ33T1G")</f>
        <v>NCP4680DSQ33T1G</v>
      </c>
      <c r="B34359" s="3" t="s">
        <v>95</v>
      </c>
      <c r="C34359" s="6">
        <v>6000</v>
      </c>
      <c r="D34359" s="7">
        <v>1.06</v>
      </c>
    </row>
    <row r="34360" spans="1:4" x14ac:dyDescent="0.25">
      <c r="A34360" t="str">
        <f>HYPERLINK("https://www.773grp.com/globalSearch/NCP4681DSQ25T1G/page-1", "NCP4681DSQ25T1G")</f>
        <v>NCP4681DSQ25T1G</v>
      </c>
      <c r="B34360" s="3" t="s">
        <v>95</v>
      </c>
      <c r="C34360" s="6">
        <v>9000</v>
      </c>
      <c r="D34360" s="7">
        <v>1.06</v>
      </c>
    </row>
    <row r="34361" spans="1:4" x14ac:dyDescent="0.25">
      <c r="A34361" t="str">
        <f>HYPERLINK("https://www.773grp.com/globalSearch/NCP4681DSQ28T1G/page-1", "NCP4681DSQ28T1G")</f>
        <v>NCP4681DSQ28T1G</v>
      </c>
      <c r="B34361" s="3" t="s">
        <v>95</v>
      </c>
      <c r="C34361" s="6">
        <v>6000</v>
      </c>
      <c r="D34361" s="7">
        <v>1.06</v>
      </c>
    </row>
    <row r="34362" spans="1:4" x14ac:dyDescent="0.25">
      <c r="A34362" t="str">
        <f>HYPERLINK("https://www.773grp.com/globalSearch/NCP4681DSQ33T1G/page-1", "NCP4681DSQ33T1G")</f>
        <v>NCP4681DSQ33T1G</v>
      </c>
      <c r="B34362" s="3" t="s">
        <v>95</v>
      </c>
      <c r="C34362" s="6">
        <v>9000</v>
      </c>
      <c r="D34362" s="7">
        <v>1.06</v>
      </c>
    </row>
    <row r="34363" spans="1:4" x14ac:dyDescent="0.25">
      <c r="A34363" t="str">
        <f>HYPERLINK("https://www.773grp.com/globalSearch/NCP4682DSQ15T1G/page-1", "NCP4682DSQ15T1G")</f>
        <v>NCP4682DSQ15T1G</v>
      </c>
      <c r="B34363" s="3" t="s">
        <v>95</v>
      </c>
      <c r="C34363" s="6">
        <v>3000</v>
      </c>
      <c r="D34363" s="7">
        <v>1.06</v>
      </c>
    </row>
    <row r="34364" spans="1:4" x14ac:dyDescent="0.25">
      <c r="A34364" t="str">
        <f>HYPERLINK("https://www.773grp.com/globalSearch/NCP4682DSQ18T1G/page-1", "NCP4682DSQ18T1G")</f>
        <v>NCP4682DSQ18T1G</v>
      </c>
      <c r="B34364" s="3" t="s">
        <v>95</v>
      </c>
      <c r="C34364" s="6">
        <v>3000</v>
      </c>
      <c r="D34364" s="7">
        <v>1.06</v>
      </c>
    </row>
    <row r="34365" spans="1:4" x14ac:dyDescent="0.25">
      <c r="A34365" t="str">
        <f>HYPERLINK("https://www.773grp.com/globalSearch/NCP4682DSQ25T1G/page-1", "NCP4682DSQ25T1G")</f>
        <v>NCP4682DSQ25T1G</v>
      </c>
      <c r="B34365" s="3" t="s">
        <v>95</v>
      </c>
      <c r="C34365" s="6">
        <v>6000</v>
      </c>
      <c r="D34365" s="7">
        <v>1.06</v>
      </c>
    </row>
    <row r="34366" spans="1:4" x14ac:dyDescent="0.25">
      <c r="A34366" t="str">
        <f>HYPERLINK("https://www.773grp.com/globalSearch/NCP4682DSQ28T1G/page-1", "NCP4682DSQ28T1G")</f>
        <v>NCP4682DSQ28T1G</v>
      </c>
      <c r="B34366" s="3" t="s">
        <v>95</v>
      </c>
      <c r="C34366" s="6">
        <v>9000</v>
      </c>
      <c r="D34366" s="7">
        <v>1.06</v>
      </c>
    </row>
    <row r="34367" spans="1:4" x14ac:dyDescent="0.25">
      <c r="A34367" t="str">
        <f>HYPERLINK("https://www.773grp.com/globalSearch/NCP4685ESQ25T1G/page-1", "NCP4685ESQ25T1G")</f>
        <v>NCP4685ESQ25T1G</v>
      </c>
      <c r="B34367" s="3" t="s">
        <v>95</v>
      </c>
      <c r="C34367" s="6">
        <v>6000</v>
      </c>
      <c r="D34367" s="7">
        <v>1.06</v>
      </c>
    </row>
    <row r="34368" spans="1:4" x14ac:dyDescent="0.25">
      <c r="A34368" t="str">
        <f>HYPERLINK("https://www.773grp.com/globalSearch/NCP4685ESQ33T1G/page-1", "NCP4685ESQ33T1G")</f>
        <v>NCP4685ESQ33T1G</v>
      </c>
      <c r="B34368" s="3" t="s">
        <v>95</v>
      </c>
      <c r="C34368" s="6">
        <v>5989</v>
      </c>
      <c r="D34368" s="7">
        <v>1.06</v>
      </c>
    </row>
    <row r="34369" spans="1:5" x14ac:dyDescent="0.25">
      <c r="A34369" t="str">
        <f>HYPERLINK("https://www.773grp.com/globalSearch/NCP500SQL25T1G/page-1", "NCP500SQL25T1G")</f>
        <v>NCP500SQL25T1G</v>
      </c>
      <c r="B34369" s="3" t="s">
        <v>95</v>
      </c>
      <c r="C34369" s="6">
        <v>3000</v>
      </c>
      <c r="D34369" s="7">
        <v>1.06</v>
      </c>
    </row>
    <row r="34370" spans="1:5" x14ac:dyDescent="0.25">
      <c r="A34370" t="str">
        <f>HYPERLINK("https://www.773grp.com/globalSearch/NCP500SQL27T1G/page-1", "NCP500SQL27T1G")</f>
        <v>NCP500SQL27T1G</v>
      </c>
      <c r="B34370" s="3" t="s">
        <v>95</v>
      </c>
      <c r="C34370" s="6">
        <v>6000</v>
      </c>
      <c r="D34370" s="7">
        <v>1.06</v>
      </c>
      <c r="E34370" t="s">
        <v>19</v>
      </c>
    </row>
    <row r="34371" spans="1:5" x14ac:dyDescent="0.25">
      <c r="A34371" t="str">
        <f>HYPERLINK("https://www.773grp.com/globalSearch/NCP500SQL28T1G/page-1", "NCP500SQL28T1G")</f>
        <v>NCP500SQL28T1G</v>
      </c>
      <c r="B34371" s="3" t="s">
        <v>95</v>
      </c>
      <c r="C34371" s="6">
        <v>15000</v>
      </c>
      <c r="D34371" s="7">
        <v>1.06</v>
      </c>
      <c r="E34371" t="s">
        <v>19</v>
      </c>
    </row>
    <row r="34372" spans="1:5" x14ac:dyDescent="0.25">
      <c r="A34372" t="str">
        <f>HYPERLINK("https://www.773grp.com/globalSearch/NCP500SQL30T1G/page-1", "NCP500SQL30T1G")</f>
        <v>NCP500SQL30T1G</v>
      </c>
      <c r="B34372" s="3" t="s">
        <v>95</v>
      </c>
      <c r="C34372" s="6">
        <v>6000</v>
      </c>
      <c r="D34372" s="7">
        <v>1.06</v>
      </c>
      <c r="E34372" t="s">
        <v>19</v>
      </c>
    </row>
    <row r="34373" spans="1:5" x14ac:dyDescent="0.25">
      <c r="A34373" t="str">
        <f>HYPERLINK("https://www.773grp.com/globalSearch/NCP502SQ15T2G/page-1", "NCP502SQ15T2G")</f>
        <v>NCP502SQ15T2G</v>
      </c>
      <c r="B34373" s="3" t="s">
        <v>95</v>
      </c>
      <c r="C34373" s="6">
        <v>3000</v>
      </c>
      <c r="D34373" s="7">
        <v>1.06</v>
      </c>
    </row>
    <row r="34374" spans="1:5" x14ac:dyDescent="0.25">
      <c r="A34374" t="str">
        <f>HYPERLINK("https://www.773grp.com/globalSearch/NCP502SQ18T2G/page-1", "NCP502SQ18T2G")</f>
        <v>NCP502SQ18T2G</v>
      </c>
      <c r="B34374" s="3" t="s">
        <v>95</v>
      </c>
      <c r="C34374" s="6">
        <v>3000</v>
      </c>
      <c r="D34374" s="7">
        <v>1.06</v>
      </c>
    </row>
    <row r="34375" spans="1:5" x14ac:dyDescent="0.25">
      <c r="A34375" t="str">
        <f>HYPERLINK("https://www.773grp.com/globalSearch/NCP502SQ25T2G/page-1", "NCP502SQ25T2G")</f>
        <v>NCP502SQ25T2G</v>
      </c>
      <c r="B34375" s="3" t="s">
        <v>95</v>
      </c>
      <c r="C34375" s="6">
        <v>9000</v>
      </c>
      <c r="D34375" s="7">
        <v>1.06</v>
      </c>
    </row>
    <row r="34376" spans="1:5" x14ac:dyDescent="0.25">
      <c r="A34376" t="str">
        <f>HYPERLINK("https://www.773grp.com/globalSearch/NCP502SQ27T2G/page-1", "NCP502SQ27T2G")</f>
        <v>NCP502SQ27T2G</v>
      </c>
      <c r="B34376" s="3" t="s">
        <v>95</v>
      </c>
      <c r="C34376" s="6">
        <v>3000</v>
      </c>
      <c r="D34376" s="7">
        <v>1.06</v>
      </c>
    </row>
    <row r="34377" spans="1:5" x14ac:dyDescent="0.25">
      <c r="A34377" t="str">
        <f>HYPERLINK("https://www.773grp.com/globalSearch/NCP502SQ29T1G/page-1", "NCP502SQ29T1G")</f>
        <v>NCP502SQ29T1G</v>
      </c>
      <c r="B34377" s="3" t="s">
        <v>95</v>
      </c>
      <c r="C34377" s="6">
        <v>3000</v>
      </c>
      <c r="D34377" s="7">
        <v>1.06</v>
      </c>
      <c r="E34377" t="s">
        <v>19</v>
      </c>
    </row>
    <row r="34378" spans="1:5" x14ac:dyDescent="0.25">
      <c r="A34378" t="str">
        <f>HYPERLINK("https://www.773grp.com/globalSearch/NCP502SQ29T2G/page-1", "NCP502SQ29T2G")</f>
        <v>NCP502SQ29T2G</v>
      </c>
      <c r="B34378" s="3" t="s">
        <v>95</v>
      </c>
      <c r="C34378" s="6">
        <v>3000</v>
      </c>
      <c r="D34378" s="7">
        <v>1.06</v>
      </c>
    </row>
    <row r="34379" spans="1:5" x14ac:dyDescent="0.25">
      <c r="A34379" t="str">
        <f>HYPERLINK("https://www.773grp.com/globalSearch/NCP502SQ31T1G/page-1", "NCP502SQ31T1G")</f>
        <v>NCP502SQ31T1G</v>
      </c>
      <c r="B34379" s="3" t="s">
        <v>95</v>
      </c>
      <c r="C34379" s="6">
        <v>13351</v>
      </c>
      <c r="D34379" s="7">
        <v>1.06</v>
      </c>
      <c r="E34379" t="s">
        <v>19</v>
      </c>
    </row>
    <row r="34380" spans="1:5" x14ac:dyDescent="0.25">
      <c r="A34380" t="str">
        <f>HYPERLINK("https://www.773grp.com/globalSearch/NCP502SQ31T2G/page-1", "NCP502SQ31T2G")</f>
        <v>NCP502SQ31T2G</v>
      </c>
      <c r="B34380" s="3" t="s">
        <v>95</v>
      </c>
      <c r="C34380" s="6">
        <v>12000</v>
      </c>
      <c r="D34380" s="7">
        <v>1.06</v>
      </c>
    </row>
    <row r="34381" spans="1:5" x14ac:dyDescent="0.25">
      <c r="A34381" t="str">
        <f>HYPERLINK("https://www.773grp.com/globalSearch/NCP502SQ33T1G/page-1", "NCP502SQ33T1G")</f>
        <v>NCP502SQ33T1G</v>
      </c>
      <c r="B34381" s="3" t="s">
        <v>95</v>
      </c>
      <c r="C34381" s="6">
        <v>119500</v>
      </c>
      <c r="D34381" s="7">
        <v>1.06</v>
      </c>
      <c r="E34381" t="s">
        <v>19</v>
      </c>
    </row>
    <row r="34382" spans="1:5" x14ac:dyDescent="0.25">
      <c r="A34382" t="str">
        <f>HYPERLINK("https://www.773grp.com/globalSearch/NCP502SQ33T2G/page-1", "NCP502SQ33T2G")</f>
        <v>NCP502SQ33T2G</v>
      </c>
      <c r="B34382" s="3" t="s">
        <v>95</v>
      </c>
      <c r="C34382" s="6">
        <v>9000</v>
      </c>
      <c r="D34382" s="7">
        <v>1.06</v>
      </c>
      <c r="E34382" t="s">
        <v>19</v>
      </c>
    </row>
    <row r="34383" spans="1:5" x14ac:dyDescent="0.25">
      <c r="A34383" t="str">
        <f>HYPERLINK("https://www.773grp.com/globalSearch/NCP502SQ34T1G/page-1", "NCP502SQ34T1G")</f>
        <v>NCP502SQ34T1G</v>
      </c>
      <c r="B34383" s="3" t="s">
        <v>95</v>
      </c>
      <c r="C34383" s="6">
        <v>8456</v>
      </c>
      <c r="D34383" s="7">
        <v>1.06</v>
      </c>
      <c r="E34383" t="s">
        <v>19</v>
      </c>
    </row>
    <row r="34384" spans="1:5" x14ac:dyDescent="0.25">
      <c r="A34384" t="str">
        <f>HYPERLINK("https://www.773grp.com/globalSearch/NCP502SQ34T2G/page-1", "NCP502SQ34T2G")</f>
        <v>NCP502SQ34T2G</v>
      </c>
      <c r="B34384" s="3" t="s">
        <v>95</v>
      </c>
      <c r="C34384" s="6">
        <v>12000</v>
      </c>
      <c r="D34384" s="7">
        <v>1.06</v>
      </c>
    </row>
    <row r="34385" spans="1:5" x14ac:dyDescent="0.25">
      <c r="A34385" t="str">
        <f>HYPERLINK("https://www.773grp.com/globalSearch/NCP502SQ35T2G/page-1", "NCP502SQ35T2G")</f>
        <v>NCP502SQ35T2G</v>
      </c>
      <c r="B34385" s="3" t="s">
        <v>95</v>
      </c>
      <c r="C34385" s="6">
        <v>6000</v>
      </c>
      <c r="D34385" s="7">
        <v>1.06</v>
      </c>
    </row>
    <row r="34386" spans="1:5" x14ac:dyDescent="0.25">
      <c r="A34386" t="str">
        <f>HYPERLINK("https://www.773grp.com/globalSearch/NCP502SQ36T2G/page-1", "NCP502SQ36T2G")</f>
        <v>NCP502SQ36T2G</v>
      </c>
      <c r="B34386" s="3" t="s">
        <v>95</v>
      </c>
      <c r="C34386" s="6">
        <v>6000</v>
      </c>
      <c r="D34386" s="7">
        <v>1.06</v>
      </c>
    </row>
    <row r="34387" spans="1:5" x14ac:dyDescent="0.25">
      <c r="A34387" t="str">
        <f>HYPERLINK("https://www.773grp.com/globalSearch/NCP502SQ37T1G/page-1", "NCP502SQ37T1G")</f>
        <v>NCP502SQ37T1G</v>
      </c>
      <c r="B34387" s="3" t="s">
        <v>95</v>
      </c>
      <c r="C34387" s="6">
        <v>8612</v>
      </c>
      <c r="D34387" s="7">
        <v>1.06</v>
      </c>
      <c r="E34387" t="s">
        <v>19</v>
      </c>
    </row>
    <row r="34388" spans="1:5" x14ac:dyDescent="0.25">
      <c r="A34388" t="str">
        <f>HYPERLINK("https://www.773grp.com/globalSearch/NCP502SQ37T2G/page-1", "NCP502SQ37T2G")</f>
        <v>NCP502SQ37T2G</v>
      </c>
      <c r="B34388" s="3" t="s">
        <v>95</v>
      </c>
      <c r="C34388" s="6">
        <v>3000</v>
      </c>
      <c r="D34388" s="7">
        <v>1.06</v>
      </c>
    </row>
    <row r="34389" spans="1:5" x14ac:dyDescent="0.25">
      <c r="A34389" t="str">
        <f>HYPERLINK("https://www.773grp.com/globalSearch/NCP502SQ50T1G/page-1", "NCP502SQ50T1G")</f>
        <v>NCP502SQ50T1G</v>
      </c>
      <c r="B34389" s="3" t="s">
        <v>95</v>
      </c>
      <c r="C34389" s="6">
        <v>7018</v>
      </c>
      <c r="D34389" s="7">
        <v>1.06</v>
      </c>
      <c r="E34389" t="s">
        <v>19</v>
      </c>
    </row>
    <row r="34390" spans="1:5" x14ac:dyDescent="0.25">
      <c r="A34390" t="str">
        <f>HYPERLINK("https://www.773grp.com/globalSearch/NCP502SQ50T2G/page-1", "NCP502SQ50T2G")</f>
        <v>NCP502SQ50T2G</v>
      </c>
      <c r="B34390" s="3" t="s">
        <v>95</v>
      </c>
      <c r="C34390" s="6">
        <v>4000</v>
      </c>
      <c r="D34390" s="7">
        <v>1.06</v>
      </c>
    </row>
    <row r="34391" spans="1:5" x14ac:dyDescent="0.25">
      <c r="A34391" t="str">
        <f>HYPERLINK("https://www.773grp.com/globalSearch/NCP512SQ13T1G/page-1", "NCP512SQ13T1G")</f>
        <v>NCP512SQ13T1G</v>
      </c>
      <c r="B34391" s="3" t="s">
        <v>95</v>
      </c>
      <c r="C34391" s="6">
        <v>16185</v>
      </c>
      <c r="D34391" s="7">
        <v>1.06</v>
      </c>
      <c r="E34391" t="s">
        <v>19</v>
      </c>
    </row>
    <row r="34392" spans="1:5" x14ac:dyDescent="0.25">
      <c r="A34392" t="str">
        <f>HYPERLINK("https://www.773grp.com/globalSearch/NCP512SQ27T2G/page-1", "NCP512SQ27T2G")</f>
        <v>NCP512SQ27T2G</v>
      </c>
      <c r="B34392" s="3" t="s">
        <v>95</v>
      </c>
      <c r="C34392" s="6">
        <v>24000</v>
      </c>
      <c r="D34392" s="7">
        <v>1.06</v>
      </c>
      <c r="E34392" t="s">
        <v>19</v>
      </c>
    </row>
    <row r="34393" spans="1:5" x14ac:dyDescent="0.25">
      <c r="A34393" t="str">
        <f>HYPERLINK("https://www.773grp.com/globalSearch/NCP512SQ28T1G/page-1", "NCP512SQ28T1G")</f>
        <v>NCP512SQ28T1G</v>
      </c>
      <c r="B34393" s="3" t="s">
        <v>95</v>
      </c>
      <c r="C34393" s="6">
        <v>13999</v>
      </c>
      <c r="D34393" s="7">
        <v>1.06</v>
      </c>
      <c r="E34393" t="s">
        <v>19</v>
      </c>
    </row>
    <row r="34394" spans="1:5" x14ac:dyDescent="0.25">
      <c r="A34394" t="str">
        <f>HYPERLINK("https://www.773grp.com/globalSearch/NCP512SQ30T1G/page-1", "NCP512SQ30T1G")</f>
        <v>NCP512SQ30T1G</v>
      </c>
      <c r="B34394" s="3" t="s">
        <v>95</v>
      </c>
      <c r="C34394" s="6">
        <v>21745</v>
      </c>
      <c r="D34394" s="7">
        <v>1.06</v>
      </c>
      <c r="E34394" t="s">
        <v>19</v>
      </c>
    </row>
    <row r="34395" spans="1:5" x14ac:dyDescent="0.25">
      <c r="A34395" t="str">
        <f>HYPERLINK("https://www.773grp.com/globalSearch/NCP512SQ30T2G/page-1", "NCP512SQ30T2G")</f>
        <v>NCP512SQ30T2G</v>
      </c>
      <c r="B34395" s="3" t="s">
        <v>95</v>
      </c>
      <c r="C34395" s="6">
        <v>69000</v>
      </c>
      <c r="D34395" s="7">
        <v>1.06</v>
      </c>
      <c r="E34395" t="s">
        <v>19</v>
      </c>
    </row>
    <row r="34396" spans="1:5" x14ac:dyDescent="0.25">
      <c r="A34396" t="str">
        <f>HYPERLINK("https://www.773grp.com/globalSearch/NCP512SQ33T1G/page-1", "NCP512SQ33T1G")</f>
        <v>NCP512SQ33T1G</v>
      </c>
      <c r="B34396" s="3" t="s">
        <v>95</v>
      </c>
      <c r="C34396" s="6">
        <v>10025</v>
      </c>
      <c r="D34396" s="7">
        <v>1.06</v>
      </c>
      <c r="E34396" t="s">
        <v>19</v>
      </c>
    </row>
    <row r="34397" spans="1:5" x14ac:dyDescent="0.25">
      <c r="A34397" t="str">
        <f>HYPERLINK("https://www.773grp.com/globalSearch/NCP512SQ33T2G/page-1", "NCP512SQ33T2G")</f>
        <v>NCP512SQ33T2G</v>
      </c>
      <c r="B34397" s="3" t="s">
        <v>95</v>
      </c>
      <c r="C34397" s="6">
        <v>51000</v>
      </c>
      <c r="D34397" s="7">
        <v>1.06</v>
      </c>
    </row>
    <row r="34398" spans="1:5" x14ac:dyDescent="0.25">
      <c r="A34398" t="str">
        <f>HYPERLINK("https://www.773grp.com/globalSearch/NCP512SQ50T2G/page-1", "NCP512SQ50T2G")</f>
        <v>NCP512SQ50T2G</v>
      </c>
      <c r="B34398" s="3" t="s">
        <v>95</v>
      </c>
      <c r="C34398" s="6">
        <v>3000</v>
      </c>
      <c r="D34398" s="7">
        <v>1.06</v>
      </c>
    </row>
    <row r="34399" spans="1:5" x14ac:dyDescent="0.25">
      <c r="A34399" t="str">
        <f>HYPERLINK("https://www.773grp.com/globalSearch/NCP571SN09T1G/page-1", "NCP571SN09T1G")</f>
        <v>NCP571SN09T1G</v>
      </c>
      <c r="B34399" s="3" t="s">
        <v>95</v>
      </c>
      <c r="C34399" s="6">
        <v>8735</v>
      </c>
      <c r="D34399" s="7">
        <v>1.06</v>
      </c>
    </row>
    <row r="34400" spans="1:5" x14ac:dyDescent="0.25">
      <c r="A34400" t="str">
        <f>HYPERLINK("https://www.773grp.com/globalSearch/NCP571SN10T1G/page-1", "NCP571SN10T1G")</f>
        <v>NCP571SN10T1G</v>
      </c>
      <c r="B34400" s="3" t="s">
        <v>95</v>
      </c>
      <c r="C34400" s="6">
        <v>6000</v>
      </c>
      <c r="D34400" s="7">
        <v>1.06</v>
      </c>
    </row>
    <row r="34401" spans="1:5" x14ac:dyDescent="0.25">
      <c r="A34401" t="str">
        <f>HYPERLINK("https://www.773grp.com/globalSearch/NCP571SN12T1G/page-1", "NCP571SN12T1G")</f>
        <v>NCP571SN12T1G</v>
      </c>
      <c r="B34401" s="3" t="s">
        <v>95</v>
      </c>
      <c r="C34401" s="6">
        <v>5810</v>
      </c>
      <c r="D34401" s="7">
        <v>1.06</v>
      </c>
      <c r="E34401" t="s">
        <v>19</v>
      </c>
    </row>
    <row r="34402" spans="1:5" x14ac:dyDescent="0.25">
      <c r="A34402" t="str">
        <f>HYPERLINK("https://www.773grp.com/globalSearch/NCP612SQ15T2G/page-1", "NCP612SQ15T2G")</f>
        <v>NCP612SQ15T2G</v>
      </c>
      <c r="B34402" s="3" t="s">
        <v>95</v>
      </c>
      <c r="C34402" s="6">
        <v>18000</v>
      </c>
      <c r="D34402" s="7">
        <v>1.06</v>
      </c>
      <c r="E34402" t="s">
        <v>28</v>
      </c>
    </row>
    <row r="34403" spans="1:5" x14ac:dyDescent="0.25">
      <c r="A34403" t="str">
        <f>HYPERLINK("https://www.773grp.com/globalSearch/NCP612SQ18T2/page-1", "NCP612SQ18T2")</f>
        <v>NCP612SQ18T2</v>
      </c>
      <c r="B34403" s="3" t="s">
        <v>95</v>
      </c>
      <c r="C34403" s="6">
        <v>6000</v>
      </c>
      <c r="D34403" s="7">
        <v>1.06</v>
      </c>
    </row>
    <row r="34404" spans="1:5" x14ac:dyDescent="0.25">
      <c r="A34404" t="str">
        <f>HYPERLINK("https://www.773grp.com/globalSearch/NCP612SQ18T2G/page-1", "NCP612SQ18T2G")</f>
        <v>NCP612SQ18T2G</v>
      </c>
      <c r="B34404" s="3" t="s">
        <v>95</v>
      </c>
      <c r="C34404" s="6">
        <v>18000</v>
      </c>
      <c r="D34404" s="7">
        <v>1.06</v>
      </c>
      <c r="E34404" t="s">
        <v>28</v>
      </c>
    </row>
    <row r="34405" spans="1:5" x14ac:dyDescent="0.25">
      <c r="A34405" t="str">
        <f>HYPERLINK("https://www.773grp.com/globalSearch/NCP612SQ25T2G/page-1", "NCP612SQ25T2G")</f>
        <v>NCP612SQ25T2G</v>
      </c>
      <c r="B34405" s="3" t="s">
        <v>95</v>
      </c>
      <c r="C34405" s="6">
        <v>21000</v>
      </c>
      <c r="D34405" s="7">
        <v>1.06</v>
      </c>
    </row>
    <row r="34406" spans="1:5" x14ac:dyDescent="0.25">
      <c r="A34406" t="str">
        <f>HYPERLINK("https://www.773grp.com/globalSearch/NCP612SQ28T2G/page-1", "NCP612SQ28T2G")</f>
        <v>NCP612SQ28T2G</v>
      </c>
      <c r="B34406" s="3" t="s">
        <v>95</v>
      </c>
      <c r="C34406" s="6">
        <v>249000</v>
      </c>
      <c r="D34406" s="7">
        <v>1.06</v>
      </c>
      <c r="E34406" t="s">
        <v>28</v>
      </c>
    </row>
    <row r="34407" spans="1:5" x14ac:dyDescent="0.25">
      <c r="A34407" t="str">
        <f>HYPERLINK("https://www.773grp.com/globalSearch/NCP612SQ30T1G/page-1", "NCP612SQ30T1G")</f>
        <v>NCP612SQ30T1G</v>
      </c>
      <c r="B34407" s="3" t="s">
        <v>95</v>
      </c>
      <c r="C34407" s="6">
        <v>60809</v>
      </c>
      <c r="D34407" s="7">
        <v>1.06</v>
      </c>
      <c r="E34407" t="s">
        <v>28</v>
      </c>
    </row>
    <row r="34408" spans="1:5" x14ac:dyDescent="0.25">
      <c r="A34408" t="str">
        <f>HYPERLINK("https://www.773grp.com/globalSearch/NCP612SQ31T2G/page-1", "NCP612SQ31T2G")</f>
        <v>NCP612SQ31T2G</v>
      </c>
      <c r="B34408" s="3" t="s">
        <v>95</v>
      </c>
      <c r="C34408" s="6">
        <v>16000</v>
      </c>
      <c r="D34408" s="7">
        <v>1.06</v>
      </c>
      <c r="E34408" t="s">
        <v>28</v>
      </c>
    </row>
    <row r="34409" spans="1:5" x14ac:dyDescent="0.25">
      <c r="A34409" t="str">
        <f>HYPERLINK("https://www.773grp.com/globalSearch/NCP612SQ37T1G/page-1", "NCP612SQ37T1G")</f>
        <v>NCP612SQ37T1G</v>
      </c>
      <c r="B34409" s="3" t="s">
        <v>95</v>
      </c>
      <c r="C34409" s="6">
        <v>7749</v>
      </c>
      <c r="D34409" s="7">
        <v>1.06</v>
      </c>
      <c r="E34409" t="s">
        <v>28</v>
      </c>
    </row>
    <row r="34410" spans="1:5" x14ac:dyDescent="0.25">
      <c r="A34410" t="str">
        <f>HYPERLINK("https://www.773grp.com/globalSearch/NCP612SQ50T2G/page-1", "NCP612SQ50T2G")</f>
        <v>NCP612SQ50T2G</v>
      </c>
      <c r="B34410" s="3" t="s">
        <v>95</v>
      </c>
      <c r="C34410" s="6">
        <v>27000</v>
      </c>
      <c r="D34410" s="7">
        <v>1.06</v>
      </c>
      <c r="E34410" t="s">
        <v>28</v>
      </c>
    </row>
    <row r="34411" spans="1:5" x14ac:dyDescent="0.25">
      <c r="A34411" t="str">
        <f>HYPERLINK("https://www.773grp.com/globalSearch/NCP7905ACTG/page-1", "NCP7905ACTG")</f>
        <v>NCP7905ACTG</v>
      </c>
      <c r="B34411" s="3" t="s">
        <v>95</v>
      </c>
      <c r="C34411" s="6">
        <v>7900</v>
      </c>
      <c r="D34411" s="7">
        <v>1.06</v>
      </c>
    </row>
    <row r="34412" spans="1:5" x14ac:dyDescent="0.25">
      <c r="A34412" t="str">
        <f>HYPERLINK("https://www.773grp.com/globalSearch/NCP9003SNT1G/page-1", "NCP9003SNT1G")</f>
        <v>NCP9003SNT1G</v>
      </c>
      <c r="B34412" s="3" t="s">
        <v>95</v>
      </c>
      <c r="C34412" s="6">
        <v>21000</v>
      </c>
      <c r="D34412" s="7">
        <v>1.06</v>
      </c>
      <c r="E34412" t="s">
        <v>10</v>
      </c>
    </row>
    <row r="34413" spans="1:5" x14ac:dyDescent="0.25">
      <c r="A34413" t="str">
        <f>HYPERLINK("https://www.773grp.com/globalSearch/NCPLSN48T1/page-1", "NCPLSN48T1")</f>
        <v>NCPLSN48T1</v>
      </c>
      <c r="B34413" s="3" t="s">
        <v>95</v>
      </c>
      <c r="C34413" s="6">
        <v>1377</v>
      </c>
      <c r="D34413" s="7">
        <v>1.06</v>
      </c>
    </row>
    <row r="34414" spans="1:5" x14ac:dyDescent="0.25">
      <c r="A34414" t="str">
        <f>HYPERLINK("https://www.773grp.com/globalSearch/NCS2211DR2G/page-1", "NCS2211DR2G")</f>
        <v>NCS2211DR2G</v>
      </c>
      <c r="B34414" s="3" t="s">
        <v>95</v>
      </c>
      <c r="C34414" s="6">
        <v>903383</v>
      </c>
      <c r="D34414" s="7">
        <v>1.06</v>
      </c>
      <c r="E34414" t="s">
        <v>18</v>
      </c>
    </row>
    <row r="34415" spans="1:5" x14ac:dyDescent="0.25">
      <c r="A34415" t="str">
        <f>HYPERLINK("https://www.773grp.com/globalSearch/NCS2211MNTXG/page-1", "NCS2211MNTXG")</f>
        <v>NCS2211MNTXG</v>
      </c>
      <c r="B34415" s="3" t="s">
        <v>95</v>
      </c>
      <c r="C34415" s="6">
        <v>33073</v>
      </c>
      <c r="D34415" s="7">
        <v>1.06</v>
      </c>
      <c r="E34415" t="s">
        <v>18</v>
      </c>
    </row>
    <row r="34416" spans="1:5" x14ac:dyDescent="0.25">
      <c r="A34416" t="str">
        <f>HYPERLINK("https://www.773grp.com/globalSearch/NCT75MNR2G/page-1", "NCT75MNR2G")</f>
        <v>NCT75MNR2G</v>
      </c>
      <c r="B34416" s="3" t="s">
        <v>95</v>
      </c>
      <c r="C34416" s="6">
        <v>3000</v>
      </c>
      <c r="D34416" s="7">
        <v>1.06</v>
      </c>
    </row>
    <row r="34417" spans="1:5" x14ac:dyDescent="0.25">
      <c r="A34417" t="str">
        <f>HYPERLINK("https://www.773grp.com/globalSearch/NCV1455BDR2G/page-1", "NCV1455BDR2G")</f>
        <v>NCV1455BDR2G</v>
      </c>
      <c r="B34417" s="3" t="s">
        <v>95</v>
      </c>
      <c r="C34417" s="6">
        <v>51400</v>
      </c>
      <c r="D34417" s="7">
        <v>1.06</v>
      </c>
      <c r="E34417" t="s">
        <v>29</v>
      </c>
    </row>
    <row r="34418" spans="1:5" x14ac:dyDescent="0.25">
      <c r="A34418" t="str">
        <f>HYPERLINK("https://www.773grp.com/globalSearch/NCV2931AD-5.0R2G/page-1", "NCV2931AD-5.0R2G")</f>
        <v>NCV2931AD-5.0R2G</v>
      </c>
      <c r="B34418" s="3" t="s">
        <v>95</v>
      </c>
      <c r="C34418" s="6">
        <v>5790</v>
      </c>
      <c r="D34418" s="7">
        <v>1.06</v>
      </c>
      <c r="E34418" t="s">
        <v>19</v>
      </c>
    </row>
    <row r="34419" spans="1:5" x14ac:dyDescent="0.25">
      <c r="A34419" t="str">
        <f>HYPERLINK("https://www.773grp.com/globalSearch/NCV33269DTRK-012/page-1", "NCV33269DTRK-012")</f>
        <v>NCV33269DTRK-012</v>
      </c>
      <c r="B34419" s="3" t="s">
        <v>95</v>
      </c>
      <c r="C34419" s="6">
        <v>2390</v>
      </c>
      <c r="D34419" s="7">
        <v>1.06</v>
      </c>
      <c r="E34419" t="s">
        <v>19</v>
      </c>
    </row>
    <row r="34420" spans="1:5" x14ac:dyDescent="0.25">
      <c r="A34420" t="str">
        <f>HYPERLINK("https://www.773grp.com/globalSearch/NCV33269DTRK-3.3/page-1", "NCV33269DTRK-3.3")</f>
        <v>NCV33269DTRK-3.3</v>
      </c>
      <c r="B34420" s="3" t="s">
        <v>95</v>
      </c>
      <c r="C34420" s="6">
        <v>2420</v>
      </c>
      <c r="D34420" s="7">
        <v>1.06</v>
      </c>
      <c r="E34420" t="s">
        <v>19</v>
      </c>
    </row>
    <row r="34421" spans="1:5" x14ac:dyDescent="0.25">
      <c r="A34421" t="str">
        <f>HYPERLINK("https://www.773grp.com/globalSearch/NCV7805BTG/page-1", "NCV7805BTG")</f>
        <v>NCV7805BTG</v>
      </c>
      <c r="B34421" s="3" t="s">
        <v>95</v>
      </c>
      <c r="C34421" s="6">
        <v>674475</v>
      </c>
      <c r="D34421" s="7">
        <v>1.06</v>
      </c>
      <c r="E34421" t="s">
        <v>28</v>
      </c>
    </row>
    <row r="34422" spans="1:5" x14ac:dyDescent="0.25">
      <c r="A34422" t="str">
        <f>HYPERLINK("https://www.773grp.com/globalSearch/NCV7812ABTG/page-1", "NCV7812ABTG")</f>
        <v>NCV7812ABTG</v>
      </c>
      <c r="B34422" s="3" t="s">
        <v>95</v>
      </c>
      <c r="C34422" s="6">
        <v>1000</v>
      </c>
      <c r="D34422" s="7">
        <v>1.06</v>
      </c>
      <c r="E34422" t="s">
        <v>28</v>
      </c>
    </row>
    <row r="34423" spans="1:5" x14ac:dyDescent="0.25">
      <c r="A34423" t="str">
        <f>HYPERLINK("https://www.773grp.com/globalSearch/NCV7812BTG/page-1", "NCV7812BTG")</f>
        <v>NCV7812BTG</v>
      </c>
      <c r="B34423" s="3" t="s">
        <v>95</v>
      </c>
      <c r="C34423" s="6">
        <v>5650</v>
      </c>
      <c r="D34423" s="7">
        <v>1.06</v>
      </c>
      <c r="E34423" t="s">
        <v>28</v>
      </c>
    </row>
    <row r="34424" spans="1:5" x14ac:dyDescent="0.25">
      <c r="A34424" t="str">
        <f>HYPERLINK("https://www.773grp.com/globalSearch/NCV7815BTG/page-1", "NCV7815BTG")</f>
        <v>NCV7815BTG</v>
      </c>
      <c r="B34424" s="3" t="s">
        <v>95</v>
      </c>
      <c r="C34424" s="6">
        <v>150</v>
      </c>
      <c r="D34424" s="7">
        <v>1.06</v>
      </c>
      <c r="E34424" t="s">
        <v>28</v>
      </c>
    </row>
    <row r="34425" spans="1:5" x14ac:dyDescent="0.25">
      <c r="A34425" t="str">
        <f>HYPERLINK("https://www.773grp.com/globalSearch/NCV78L05ABPRAG/page-1", "NCV78L05ABPRAG")</f>
        <v>NCV78L05ABPRAG</v>
      </c>
      <c r="B34425" s="3" t="s">
        <v>95</v>
      </c>
      <c r="C34425" s="6">
        <v>11095</v>
      </c>
      <c r="D34425" s="7">
        <v>1.06</v>
      </c>
      <c r="E34425" t="s">
        <v>28</v>
      </c>
    </row>
    <row r="34426" spans="1:5" x14ac:dyDescent="0.25">
      <c r="A34426" t="str">
        <f>HYPERLINK("https://www.773grp.com/globalSearch/NCV78L08ABDR2G/page-1", "NCV78L08ABDR2G")</f>
        <v>NCV78L08ABDR2G</v>
      </c>
      <c r="B34426" s="3" t="s">
        <v>95</v>
      </c>
      <c r="C34426" s="6">
        <v>51168</v>
      </c>
      <c r="D34426" s="7">
        <v>1.06</v>
      </c>
      <c r="E34426" t="s">
        <v>28</v>
      </c>
    </row>
    <row r="34427" spans="1:5" x14ac:dyDescent="0.25">
      <c r="A34427" t="str">
        <f>HYPERLINK("https://www.773grp.com/globalSearch/NCV8184D/page-1", "NCV8184D")</f>
        <v>NCV8184D</v>
      </c>
      <c r="B34427" s="3" t="s">
        <v>95</v>
      </c>
      <c r="C34427" s="6">
        <v>11466</v>
      </c>
      <c r="D34427" s="7">
        <v>1.06</v>
      </c>
      <c r="E34427" t="s">
        <v>25</v>
      </c>
    </row>
    <row r="34428" spans="1:5" x14ac:dyDescent="0.25">
      <c r="A34428" t="str">
        <f>HYPERLINK("https://www.773grp.com/globalSearch/NDD02N60Z-1G/page-1", "NDD02N60Z-1G")</f>
        <v>NDD02N60Z-1G</v>
      </c>
      <c r="B34428" s="3" t="s">
        <v>95</v>
      </c>
      <c r="C34428" s="6">
        <v>28185</v>
      </c>
      <c r="D34428" s="7">
        <v>1.06</v>
      </c>
    </row>
    <row r="34429" spans="1:5" x14ac:dyDescent="0.25">
      <c r="A34429" t="str">
        <f>HYPERLINK("https://www.773grp.com/globalSearch/NDD02N60ZT4G/page-1", "NDD02N60ZT4G")</f>
        <v>NDD02N60ZT4G</v>
      </c>
      <c r="B34429" s="3" t="s">
        <v>95</v>
      </c>
      <c r="C34429" s="6">
        <v>120205</v>
      </c>
      <c r="D34429" s="7">
        <v>1.06</v>
      </c>
    </row>
    <row r="34430" spans="1:5" x14ac:dyDescent="0.25">
      <c r="A34430" t="str">
        <f>HYPERLINK("https://www.773grp.com/globalSearch/NDD03N50Z-1G/page-1", "NDD03N50Z-1G")</f>
        <v>NDD03N50Z-1G</v>
      </c>
      <c r="B34430" s="3" t="s">
        <v>95</v>
      </c>
      <c r="C34430" s="6">
        <v>1500</v>
      </c>
      <c r="D34430" s="7">
        <v>1.06</v>
      </c>
      <c r="E34430" t="s">
        <v>105</v>
      </c>
    </row>
    <row r="34431" spans="1:5" x14ac:dyDescent="0.25">
      <c r="A34431" t="str">
        <f>HYPERLINK("https://www.773grp.com/globalSearch/NDD03N50ZT4G/page-1", "NDD03N50ZT4G")</f>
        <v>NDD03N50ZT4G</v>
      </c>
      <c r="B34431" s="3" t="s">
        <v>95</v>
      </c>
      <c r="C34431" s="6">
        <v>145000</v>
      </c>
      <c r="D34431" s="7">
        <v>1.06</v>
      </c>
      <c r="E34431" t="s">
        <v>105</v>
      </c>
    </row>
    <row r="34432" spans="1:5" x14ac:dyDescent="0.25">
      <c r="A34432" t="str">
        <f>HYPERLINK("https://www.773grp.com/globalSearch/NE556N/page-1", "NE556N")</f>
        <v>NE556N</v>
      </c>
      <c r="B34432" s="3" t="s">
        <v>95</v>
      </c>
      <c r="C34432" s="6">
        <v>1350</v>
      </c>
      <c r="D34432" s="7">
        <v>1.06</v>
      </c>
      <c r="E34432" t="s">
        <v>29</v>
      </c>
    </row>
    <row r="34433" spans="1:5" x14ac:dyDescent="0.25">
      <c r="A34433" t="str">
        <f>HYPERLINK("https://www.773grp.com/globalSearch/NJD2873/page-1", "NJD2873")</f>
        <v>NJD2873</v>
      </c>
      <c r="B34433" s="3" t="s">
        <v>95</v>
      </c>
      <c r="C34433" s="6">
        <v>5937</v>
      </c>
      <c r="D34433" s="7">
        <v>1.06</v>
      </c>
      <c r="E34433" t="s">
        <v>59</v>
      </c>
    </row>
    <row r="34434" spans="1:5" x14ac:dyDescent="0.25">
      <c r="A34434" t="str">
        <f>HYPERLINK("https://www.773grp.com/globalSearch/NJD2873T4/page-1", "NJD2873T4")</f>
        <v>NJD2873T4</v>
      </c>
      <c r="B34434" s="3" t="s">
        <v>95</v>
      </c>
      <c r="C34434" s="6">
        <v>7500</v>
      </c>
      <c r="D34434" s="7">
        <v>1.06</v>
      </c>
    </row>
    <row r="34435" spans="1:5" x14ac:dyDescent="0.25">
      <c r="A34435" t="str">
        <f>HYPERLINK("https://www.773grp.com/globalSearch/NJD35N04T4G/page-1", "NJD35N04T4G")</f>
        <v>NJD35N04T4G</v>
      </c>
      <c r="B34435" s="3" t="s">
        <v>95</v>
      </c>
      <c r="C34435" s="6">
        <v>37500</v>
      </c>
      <c r="D34435" s="7">
        <v>1.06</v>
      </c>
      <c r="E34435" t="s">
        <v>59</v>
      </c>
    </row>
    <row r="34436" spans="1:5" x14ac:dyDescent="0.25">
      <c r="A34436" t="str">
        <f>HYPERLINK("https://www.773grp.com/globalSearch/NJVMJD44H11RLG/page-1", "NJVMJD44H11RLG")</f>
        <v>NJVMJD44H11RLG</v>
      </c>
      <c r="B34436" s="3" t="s">
        <v>95</v>
      </c>
      <c r="C34436" s="6">
        <v>3600</v>
      </c>
      <c r="D34436" s="7">
        <v>1.06</v>
      </c>
    </row>
    <row r="34437" spans="1:5" x14ac:dyDescent="0.25">
      <c r="A34437" t="str">
        <f>HYPERLINK("https://www.773grp.com/globalSearch/NJVNJD2873T4G/page-1", "NJVNJD2873T4G")</f>
        <v>NJVNJD2873T4G</v>
      </c>
      <c r="B34437" s="3" t="s">
        <v>95</v>
      </c>
      <c r="C34437" s="6">
        <v>10000</v>
      </c>
      <c r="D34437" s="7">
        <v>1.06</v>
      </c>
    </row>
    <row r="34438" spans="1:5" x14ac:dyDescent="0.25">
      <c r="A34438" t="str">
        <f>HYPERLINK("https://www.773grp.com/globalSearch/NL27WZ00USG/page-1", "NL27WZ00USG")</f>
        <v>NL27WZ00USG</v>
      </c>
      <c r="B34438" s="3" t="s">
        <v>95</v>
      </c>
      <c r="C34438" s="6">
        <v>770755</v>
      </c>
      <c r="D34438" s="7">
        <v>1.06</v>
      </c>
      <c r="E34438" t="s">
        <v>31</v>
      </c>
    </row>
    <row r="34439" spans="1:5" x14ac:dyDescent="0.25">
      <c r="A34439" t="str">
        <f>HYPERLINK("https://www.773grp.com/globalSearch/NL27WZ00USH/page-1", "NL27WZ00USH")</f>
        <v>NL27WZ00USH</v>
      </c>
      <c r="B34439" s="3" t="s">
        <v>95</v>
      </c>
      <c r="C34439" s="6">
        <v>33000</v>
      </c>
      <c r="D34439" s="7">
        <v>1.06</v>
      </c>
    </row>
    <row r="34440" spans="1:5" x14ac:dyDescent="0.25">
      <c r="A34440" t="str">
        <f>HYPERLINK("https://www.773grp.com/globalSearch/NL27WZ02USG/page-1", "NL27WZ02USG")</f>
        <v>NL27WZ02USG</v>
      </c>
      <c r="B34440" s="3" t="s">
        <v>95</v>
      </c>
      <c r="C34440" s="6">
        <v>374865</v>
      </c>
      <c r="D34440" s="7">
        <v>1.06</v>
      </c>
      <c r="E34440" t="s">
        <v>31</v>
      </c>
    </row>
    <row r="34441" spans="1:5" x14ac:dyDescent="0.25">
      <c r="A34441" t="str">
        <f>HYPERLINK("https://www.773grp.com/globalSearch/NL27WZ04DTT1G/page-1", "NL27WZ04DTT1G")</f>
        <v>NL27WZ04DTT1G</v>
      </c>
      <c r="B34441" s="3" t="s">
        <v>95</v>
      </c>
      <c r="C34441" s="6">
        <v>12000</v>
      </c>
      <c r="D34441" s="7">
        <v>1.06</v>
      </c>
      <c r="E34441" t="s">
        <v>31</v>
      </c>
    </row>
    <row r="34442" spans="1:5" x14ac:dyDescent="0.25">
      <c r="A34442" t="str">
        <f>HYPERLINK("https://www.773grp.com/globalSearch/NL27WZ06DTT1G/page-1", "NL27WZ06DTT1G")</f>
        <v>NL27WZ06DTT1G</v>
      </c>
      <c r="B34442" s="3" t="s">
        <v>95</v>
      </c>
      <c r="C34442" s="6">
        <v>11356</v>
      </c>
      <c r="D34442" s="7">
        <v>1.06</v>
      </c>
      <c r="E34442" t="s">
        <v>31</v>
      </c>
    </row>
    <row r="34443" spans="1:5" x14ac:dyDescent="0.25">
      <c r="A34443" t="str">
        <f>HYPERLINK("https://www.773grp.com/globalSearch/NL27WZ07DTT1G/page-1", "NL27WZ07DTT1G")</f>
        <v>NL27WZ07DTT1G</v>
      </c>
      <c r="B34443" s="3" t="s">
        <v>95</v>
      </c>
      <c r="C34443" s="6">
        <v>3450</v>
      </c>
      <c r="D34443" s="7">
        <v>1.06</v>
      </c>
      <c r="E34443" t="s">
        <v>31</v>
      </c>
    </row>
    <row r="34444" spans="1:5" x14ac:dyDescent="0.25">
      <c r="A34444" t="str">
        <f>HYPERLINK("https://www.773grp.com/globalSearch/NL27WZ08USG/page-1", "NL27WZ08USG")</f>
        <v>NL27WZ08USG</v>
      </c>
      <c r="B34444" s="3" t="s">
        <v>95</v>
      </c>
      <c r="C34444" s="6">
        <v>512830</v>
      </c>
      <c r="D34444" s="7">
        <v>1.06</v>
      </c>
      <c r="E34444" t="s">
        <v>31</v>
      </c>
    </row>
    <row r="34445" spans="1:5" x14ac:dyDescent="0.25">
      <c r="A34445" t="str">
        <f>HYPERLINK("https://www.773grp.com/globalSearch/NL27WZ125USG/page-1", "NL27WZ125USG")</f>
        <v>NL27WZ125USG</v>
      </c>
      <c r="B34445" s="3" t="s">
        <v>95</v>
      </c>
      <c r="C34445" s="6">
        <v>614587</v>
      </c>
      <c r="D34445" s="7">
        <v>1.06</v>
      </c>
      <c r="E34445" t="s">
        <v>14</v>
      </c>
    </row>
    <row r="34446" spans="1:5" x14ac:dyDescent="0.25">
      <c r="A34446" t="str">
        <f>HYPERLINK("https://www.773grp.com/globalSearch/NL27WZ126USG/page-1", "NL27WZ126USG")</f>
        <v>NL27WZ126USG</v>
      </c>
      <c r="B34446" s="3" t="s">
        <v>95</v>
      </c>
      <c r="C34446" s="6">
        <v>161510</v>
      </c>
      <c r="D34446" s="7">
        <v>1.06</v>
      </c>
      <c r="E34446" t="s">
        <v>14</v>
      </c>
    </row>
    <row r="34447" spans="1:5" x14ac:dyDescent="0.25">
      <c r="A34447" t="str">
        <f>HYPERLINK("https://www.773grp.com/globalSearch/NL27WZ14DTT1G/page-1", "NL27WZ14DTT1G")</f>
        <v>NL27WZ14DTT1G</v>
      </c>
      <c r="B34447" s="3" t="s">
        <v>95</v>
      </c>
      <c r="C34447" s="6">
        <v>6000</v>
      </c>
      <c r="D34447" s="7">
        <v>1.06</v>
      </c>
      <c r="E34447" t="s">
        <v>31</v>
      </c>
    </row>
    <row r="34448" spans="1:5" x14ac:dyDescent="0.25">
      <c r="A34448" t="str">
        <f>HYPERLINK("https://www.773grp.com/globalSearch/NL27WZ16DFT2H/page-1", "NL27WZ16DFT2H")</f>
        <v>NL27WZ16DFT2H</v>
      </c>
      <c r="B34448" s="3" t="s">
        <v>95</v>
      </c>
      <c r="C34448" s="6">
        <v>42000</v>
      </c>
      <c r="D34448" s="7">
        <v>1.06</v>
      </c>
    </row>
    <row r="34449" spans="1:5" x14ac:dyDescent="0.25">
      <c r="A34449" t="str">
        <f>HYPERLINK("https://www.773grp.com/globalSearch/NL27WZ16DTT1G/page-1", "NL27WZ16DTT1G")</f>
        <v>NL27WZ16DTT1G</v>
      </c>
      <c r="B34449" s="3" t="s">
        <v>95</v>
      </c>
      <c r="C34449" s="6">
        <v>8700</v>
      </c>
      <c r="D34449" s="7">
        <v>1.06</v>
      </c>
      <c r="E34449" t="s">
        <v>31</v>
      </c>
    </row>
    <row r="34450" spans="1:5" x14ac:dyDescent="0.25">
      <c r="A34450" t="str">
        <f>HYPERLINK("https://www.773grp.com/globalSearch/NL27WZ32USG/page-1", "NL27WZ32USG")</f>
        <v>NL27WZ32USG</v>
      </c>
      <c r="B34450" s="3" t="s">
        <v>95</v>
      </c>
      <c r="C34450" s="6">
        <v>217965</v>
      </c>
      <c r="D34450" s="7">
        <v>1.06</v>
      </c>
      <c r="E34450" t="s">
        <v>31</v>
      </c>
    </row>
    <row r="34451" spans="1:5" x14ac:dyDescent="0.25">
      <c r="A34451" t="str">
        <f>HYPERLINK("https://www.773grp.com/globalSearch/NL27WZ86USG/page-1", "NL27WZ86USG")</f>
        <v>NL27WZ86USG</v>
      </c>
      <c r="B34451" s="3" t="s">
        <v>95</v>
      </c>
      <c r="C34451" s="6">
        <v>76295</v>
      </c>
      <c r="D34451" s="7">
        <v>1.06</v>
      </c>
      <c r="E34451" t="s">
        <v>31</v>
      </c>
    </row>
    <row r="34452" spans="1:5" x14ac:dyDescent="0.25">
      <c r="A34452" t="str">
        <f>HYPERLINK("https://www.773grp.com/globalSearch/NL27WZU04DFT2/page-1", "NL27WZU04DFT2")</f>
        <v>NL27WZU04DFT2</v>
      </c>
      <c r="B34452" s="3" t="s">
        <v>95</v>
      </c>
      <c r="C34452" s="6">
        <v>59500</v>
      </c>
      <c r="D34452" s="7">
        <v>1.06</v>
      </c>
      <c r="E34452" t="s">
        <v>31</v>
      </c>
    </row>
    <row r="34453" spans="1:5" x14ac:dyDescent="0.25">
      <c r="A34453" t="str">
        <f>HYPERLINK("https://www.773grp.com/globalSearch/NL27WZU04DTT1G/page-1", "NL27WZU04DTT1G")</f>
        <v>NL27WZU04DTT1G</v>
      </c>
      <c r="B34453" s="3" t="s">
        <v>95</v>
      </c>
      <c r="C34453" s="6">
        <v>6000</v>
      </c>
      <c r="D34453" s="7">
        <v>1.06</v>
      </c>
    </row>
    <row r="34454" spans="1:5" x14ac:dyDescent="0.25">
      <c r="A34454" t="str">
        <f>HYPERLINK("https://www.773grp.com/globalSearch/NLAS323USG/page-1", "NLAS323USG")</f>
        <v>NLAS323USG</v>
      </c>
      <c r="B34454" s="3" t="s">
        <v>95</v>
      </c>
      <c r="C34454" s="6">
        <v>57000</v>
      </c>
      <c r="D34454" s="7">
        <v>1.06</v>
      </c>
    </row>
    <row r="34455" spans="1:5" x14ac:dyDescent="0.25">
      <c r="A34455" t="str">
        <f>HYPERLINK("https://www.773grp.com/globalSearch/NLAS4599DTT1/page-1", "NLAS4599DTT1")</f>
        <v>NLAS4599DTT1</v>
      </c>
      <c r="B34455" s="3" t="s">
        <v>95</v>
      </c>
      <c r="C34455" s="6">
        <v>33000</v>
      </c>
      <c r="D34455" s="7">
        <v>1.06</v>
      </c>
      <c r="E34455" t="s">
        <v>56</v>
      </c>
    </row>
    <row r="34456" spans="1:5" x14ac:dyDescent="0.25">
      <c r="A34456" t="str">
        <f>HYPERLINK("https://www.773grp.com/globalSearch/NLSF1174MNR2/page-1", "NLSF1174MNR2")</f>
        <v>NLSF1174MNR2</v>
      </c>
      <c r="B34456" s="3" t="s">
        <v>95</v>
      </c>
      <c r="C34456" s="6">
        <v>474000</v>
      </c>
      <c r="D34456" s="7">
        <v>1.06</v>
      </c>
      <c r="E34456" t="s">
        <v>35</v>
      </c>
    </row>
    <row r="34457" spans="1:5" x14ac:dyDescent="0.25">
      <c r="A34457" t="str">
        <f>HYPERLINK("https://www.773grp.com/globalSearch/NLV14014BDR2G/page-1", "NLV14014BDR2G")</f>
        <v>NLV14014BDR2G</v>
      </c>
      <c r="B34457" s="3" t="s">
        <v>95</v>
      </c>
      <c r="C34457" s="6">
        <v>26296</v>
      </c>
      <c r="D34457" s="7">
        <v>1.06</v>
      </c>
    </row>
    <row r="34458" spans="1:5" x14ac:dyDescent="0.25">
      <c r="A34458" t="str">
        <f>HYPERLINK("https://www.773grp.com/globalSearch/NLV14021BDR2G/page-1", "NLV14021BDR2G")</f>
        <v>NLV14021BDR2G</v>
      </c>
      <c r="B34458" s="3" t="s">
        <v>95</v>
      </c>
      <c r="C34458" s="6">
        <v>565</v>
      </c>
      <c r="D34458" s="7">
        <v>1.06</v>
      </c>
    </row>
    <row r="34459" spans="1:5" x14ac:dyDescent="0.25">
      <c r="A34459" t="str">
        <f>HYPERLINK("https://www.773grp.com/globalSearch/NP0640SCT3G/page-1", "NP0640SCT3G")</f>
        <v>NP0640SCT3G</v>
      </c>
      <c r="B34459" s="3" t="s">
        <v>95</v>
      </c>
      <c r="C34459" s="6">
        <v>4740</v>
      </c>
      <c r="D34459" s="7">
        <v>1.06</v>
      </c>
      <c r="E34459" t="s">
        <v>109</v>
      </c>
    </row>
    <row r="34460" spans="1:5" x14ac:dyDescent="0.25">
      <c r="A34460" t="str">
        <f>HYPERLINK("https://www.773grp.com/globalSearch/NP0720SCT3G/page-1", "NP0720SCT3G")</f>
        <v>NP0720SCT3G</v>
      </c>
      <c r="B34460" s="3" t="s">
        <v>95</v>
      </c>
      <c r="C34460" s="6">
        <v>6750</v>
      </c>
      <c r="D34460" s="7">
        <v>1.06</v>
      </c>
      <c r="E34460" t="s">
        <v>109</v>
      </c>
    </row>
    <row r="34461" spans="1:5" x14ac:dyDescent="0.25">
      <c r="A34461" t="str">
        <f>HYPERLINK("https://www.773grp.com/globalSearch/NP1100SCT3G/page-1", "NP1100SCT3G")</f>
        <v>NP1100SCT3G</v>
      </c>
      <c r="B34461" s="3" t="s">
        <v>95</v>
      </c>
      <c r="C34461" s="6">
        <v>5000</v>
      </c>
      <c r="D34461" s="7">
        <v>1.06</v>
      </c>
      <c r="E34461" t="s">
        <v>109</v>
      </c>
    </row>
    <row r="34462" spans="1:5" x14ac:dyDescent="0.25">
      <c r="A34462" t="str">
        <f>HYPERLINK("https://www.773grp.com/globalSearch/NP1300SCT3G/page-1", "NP1300SCT3G")</f>
        <v>NP1300SCT3G</v>
      </c>
      <c r="B34462" s="3" t="s">
        <v>95</v>
      </c>
      <c r="C34462" s="6">
        <v>37500</v>
      </c>
      <c r="D34462" s="7">
        <v>1.06</v>
      </c>
    </row>
    <row r="34463" spans="1:5" x14ac:dyDescent="0.25">
      <c r="A34463" t="str">
        <f>HYPERLINK("https://www.773grp.com/globalSearch/NP1800SCT3G/page-1", "NP1800SCT3G")</f>
        <v>NP1800SCT3G</v>
      </c>
      <c r="B34463" s="3" t="s">
        <v>95</v>
      </c>
      <c r="C34463" s="6">
        <v>9945</v>
      </c>
      <c r="D34463" s="7">
        <v>1.06</v>
      </c>
      <c r="E34463" t="s">
        <v>109</v>
      </c>
    </row>
    <row r="34464" spans="1:5" x14ac:dyDescent="0.25">
      <c r="A34464" t="str">
        <f>HYPERLINK("https://www.773grp.com/globalSearch/NP2100SCT3G/page-1", "NP2100SCT3G")</f>
        <v>NP2100SCT3G</v>
      </c>
      <c r="B34464" s="3" t="s">
        <v>95</v>
      </c>
      <c r="C34464" s="6">
        <v>1735</v>
      </c>
      <c r="D34464" s="7">
        <v>1.06</v>
      </c>
    </row>
    <row r="34465" spans="1:5" x14ac:dyDescent="0.25">
      <c r="A34465" t="str">
        <f>HYPERLINK("https://www.773grp.com/globalSearch/NP2300SCT3G/page-1", "NP2300SCT3G")</f>
        <v>NP2300SCT3G</v>
      </c>
      <c r="B34465" s="3" t="s">
        <v>95</v>
      </c>
      <c r="C34465" s="6">
        <v>4650</v>
      </c>
      <c r="D34465" s="7">
        <v>1.06</v>
      </c>
    </row>
    <row r="34466" spans="1:5" x14ac:dyDescent="0.25">
      <c r="A34466" t="str">
        <f>HYPERLINK("https://www.773grp.com/globalSearch/NP2600SCT3G/page-1", "NP2600SCT3G")</f>
        <v>NP2600SCT3G</v>
      </c>
      <c r="B34466" s="3" t="s">
        <v>95</v>
      </c>
      <c r="C34466" s="6">
        <v>29855</v>
      </c>
      <c r="D34466" s="7">
        <v>1.06</v>
      </c>
    </row>
    <row r="34467" spans="1:5" x14ac:dyDescent="0.25">
      <c r="A34467" t="str">
        <f>HYPERLINK("https://www.773grp.com/globalSearch/NP3100SCT3G/page-1", "NP3100SCT3G")</f>
        <v>NP3100SCT3G</v>
      </c>
      <c r="B34467" s="3" t="s">
        <v>95</v>
      </c>
      <c r="C34467" s="6">
        <v>600</v>
      </c>
      <c r="D34467" s="7">
        <v>1.06</v>
      </c>
    </row>
    <row r="34468" spans="1:5" x14ac:dyDescent="0.25">
      <c r="A34468" t="str">
        <f>HYPERLINK("https://www.773grp.com/globalSearch/NP3500SCT3G/page-1", "NP3500SCT3G")</f>
        <v>NP3500SCT3G</v>
      </c>
      <c r="B34468" s="3" t="s">
        <v>95</v>
      </c>
      <c r="C34468" s="6">
        <v>52740</v>
      </c>
      <c r="D34468" s="7">
        <v>1.06</v>
      </c>
      <c r="E34468" t="s">
        <v>109</v>
      </c>
    </row>
    <row r="34469" spans="1:5" x14ac:dyDescent="0.25">
      <c r="A34469" t="str">
        <f>HYPERLINK("https://www.773grp.com/globalSearch/NS5A4684SMNTBG/page-1", "NS5A4684SMNTBG")</f>
        <v>NS5A4684SMNTBG</v>
      </c>
      <c r="B34469" s="3" t="s">
        <v>95</v>
      </c>
      <c r="C34469" s="6">
        <v>3000</v>
      </c>
      <c r="D34469" s="7">
        <v>1.06</v>
      </c>
    </row>
    <row r="34470" spans="1:5" x14ac:dyDescent="0.25">
      <c r="A34470" t="str">
        <f>HYPERLINK("https://www.773grp.com/globalSearch/NSRM0230M2T5G/page-1", "NSRM0230M2T5G")</f>
        <v>NSRM0230M2T5G</v>
      </c>
      <c r="B34470" s="3" t="s">
        <v>95</v>
      </c>
      <c r="C34470" s="6">
        <v>112000</v>
      </c>
      <c r="D34470" s="7">
        <v>1.06</v>
      </c>
    </row>
    <row r="34471" spans="1:5" x14ac:dyDescent="0.25">
      <c r="A34471" t="str">
        <f>HYPERLINK("https://www.773grp.com/globalSearch/NSS12100UW3TCG/page-1", "NSS12100UW3TCG")</f>
        <v>NSS12100UW3TCG</v>
      </c>
      <c r="B34471" s="3" t="s">
        <v>95</v>
      </c>
      <c r="C34471" s="6">
        <v>147000</v>
      </c>
      <c r="D34471" s="7">
        <v>1.06</v>
      </c>
      <c r="E34471" t="s">
        <v>69</v>
      </c>
    </row>
    <row r="34472" spans="1:5" x14ac:dyDescent="0.25">
      <c r="A34472" t="str">
        <f>HYPERLINK("https://www.773grp.com/globalSearch/NTB4302G/page-1", "NTB4302G")</f>
        <v>NTB4302G</v>
      </c>
      <c r="B34472" s="3" t="s">
        <v>95</v>
      </c>
      <c r="C34472" s="6">
        <v>1700</v>
      </c>
      <c r="D34472" s="7">
        <v>1.06</v>
      </c>
      <c r="E34472" t="s">
        <v>105</v>
      </c>
    </row>
    <row r="34473" spans="1:5" x14ac:dyDescent="0.25">
      <c r="A34473" t="str">
        <f>HYPERLINK("https://www.773grp.com/globalSearch/NTB4302T4/page-1", "NTB4302T4")</f>
        <v>NTB4302T4</v>
      </c>
      <c r="B34473" s="3" t="s">
        <v>95</v>
      </c>
      <c r="C34473" s="6">
        <v>7160</v>
      </c>
      <c r="D34473" s="7">
        <v>1.06</v>
      </c>
      <c r="E34473" t="s">
        <v>105</v>
      </c>
    </row>
    <row r="34474" spans="1:5" x14ac:dyDescent="0.25">
      <c r="A34474" t="str">
        <f>HYPERLINK("https://www.773grp.com/globalSearch/NTB5605P/page-1", "NTB5605P")</f>
        <v>NTB5605P</v>
      </c>
      <c r="B34474" s="3" t="s">
        <v>95</v>
      </c>
      <c r="C34474" s="6">
        <v>125</v>
      </c>
      <c r="D34474" s="7">
        <v>1.06</v>
      </c>
      <c r="E34474" t="s">
        <v>105</v>
      </c>
    </row>
    <row r="34475" spans="1:5" x14ac:dyDescent="0.25">
      <c r="A34475" t="str">
        <f>HYPERLINK("https://www.773grp.com/globalSearch/NTD18N06L-1G/page-1", "NTD18N06L-1G")</f>
        <v>NTD18N06L-1G</v>
      </c>
      <c r="B34475" s="3" t="s">
        <v>95</v>
      </c>
      <c r="C34475" s="6">
        <v>1950</v>
      </c>
      <c r="D34475" s="7">
        <v>1.06</v>
      </c>
    </row>
    <row r="34476" spans="1:5" x14ac:dyDescent="0.25">
      <c r="A34476" t="str">
        <f>HYPERLINK("https://www.773grp.com/globalSearch/NTD18N06LG/page-1", "NTD18N06LG")</f>
        <v>NTD18N06LG</v>
      </c>
      <c r="B34476" s="3" t="s">
        <v>95</v>
      </c>
      <c r="C34476" s="6">
        <v>355</v>
      </c>
      <c r="D34476" s="7">
        <v>1.06</v>
      </c>
      <c r="E34476" t="s">
        <v>105</v>
      </c>
    </row>
    <row r="34477" spans="1:5" x14ac:dyDescent="0.25">
      <c r="A34477" t="str">
        <f>HYPERLINK("https://www.773grp.com/globalSearch/NTD3808N-35G/page-1", "NTD3808N-35G")</f>
        <v>NTD3808N-35G</v>
      </c>
      <c r="B34477" s="3" t="s">
        <v>95</v>
      </c>
      <c r="C34477" s="6">
        <v>7050</v>
      </c>
      <c r="D34477" s="7">
        <v>1.06</v>
      </c>
      <c r="E34477" t="s">
        <v>105</v>
      </c>
    </row>
    <row r="34478" spans="1:5" x14ac:dyDescent="0.25">
      <c r="A34478" t="str">
        <f>HYPERLINK("https://www.773grp.com/globalSearch/NTD3808NT4G/page-1", "NTD3808NT4G")</f>
        <v>NTD3808NT4G</v>
      </c>
      <c r="B34478" s="3" t="s">
        <v>95</v>
      </c>
      <c r="C34478" s="6">
        <v>60000</v>
      </c>
      <c r="D34478" s="7">
        <v>1.06</v>
      </c>
      <c r="E34478" t="s">
        <v>105</v>
      </c>
    </row>
    <row r="34479" spans="1:5" x14ac:dyDescent="0.25">
      <c r="A34479" t="str">
        <f>HYPERLINK("https://www.773grp.com/globalSearch/NTD4810NHT4G/page-1", "NTD4810NHT4G")</f>
        <v>NTD4810NHT4G</v>
      </c>
      <c r="B34479" s="3" t="s">
        <v>95</v>
      </c>
      <c r="C34479" s="6">
        <v>7500</v>
      </c>
      <c r="D34479" s="7">
        <v>1.06</v>
      </c>
      <c r="E34479" t="s">
        <v>105</v>
      </c>
    </row>
    <row r="34480" spans="1:5" x14ac:dyDescent="0.25">
      <c r="A34480" t="str">
        <f>HYPERLINK("https://www.773grp.com/globalSearch/NTD4857NA-1G/page-1", "NTD4857NA-1G")</f>
        <v>NTD4857NA-1G</v>
      </c>
      <c r="B34480" s="3" t="s">
        <v>95</v>
      </c>
      <c r="C34480" s="6">
        <v>5700</v>
      </c>
      <c r="D34480" s="7">
        <v>1.06</v>
      </c>
    </row>
    <row r="34481" spans="1:5" x14ac:dyDescent="0.25">
      <c r="A34481" t="str">
        <f>HYPERLINK("https://www.773grp.com/globalSearch/NTD4857NAT4G/page-1", "NTD4857NAT4G")</f>
        <v>NTD4857NAT4G</v>
      </c>
      <c r="B34481" s="3" t="s">
        <v>95</v>
      </c>
      <c r="C34481" s="6">
        <v>2500</v>
      </c>
      <c r="D34481" s="7">
        <v>1.06</v>
      </c>
    </row>
    <row r="34482" spans="1:5" x14ac:dyDescent="0.25">
      <c r="A34482" t="str">
        <f>HYPERLINK("https://www.773grp.com/globalSearch/NTD4863N-35G/page-1", "NTD4863N-35G")</f>
        <v>NTD4863N-35G</v>
      </c>
      <c r="B34482" s="3" t="s">
        <v>95</v>
      </c>
      <c r="C34482" s="6">
        <v>177225</v>
      </c>
      <c r="D34482" s="7">
        <v>1.06</v>
      </c>
      <c r="E34482" t="s">
        <v>105</v>
      </c>
    </row>
    <row r="34483" spans="1:5" x14ac:dyDescent="0.25">
      <c r="A34483" t="str">
        <f>HYPERLINK("https://www.773grp.com/globalSearch/NTD4863NAT4G/page-1", "NTD4863NAT4G")</f>
        <v>NTD4863NAT4G</v>
      </c>
      <c r="B34483" s="3" t="s">
        <v>95</v>
      </c>
      <c r="C34483" s="6">
        <v>285000</v>
      </c>
      <c r="D34483" s="7">
        <v>1.06</v>
      </c>
    </row>
    <row r="34484" spans="1:5" x14ac:dyDescent="0.25">
      <c r="A34484" t="str">
        <f>HYPERLINK("https://www.773grp.com/globalSearch/NTD4863NT4G/page-1", "NTD4863NT4G")</f>
        <v>NTD4863NT4G</v>
      </c>
      <c r="B34484" s="3" t="s">
        <v>95</v>
      </c>
      <c r="C34484" s="6">
        <v>112320</v>
      </c>
      <c r="D34484" s="7">
        <v>1.06</v>
      </c>
      <c r="E34484" t="s">
        <v>105</v>
      </c>
    </row>
    <row r="34485" spans="1:5" x14ac:dyDescent="0.25">
      <c r="A34485" t="str">
        <f>HYPERLINK("https://www.773grp.com/globalSearch/NTD4965N-1G/page-1", "NTD4965N-1G")</f>
        <v>NTD4965N-1G</v>
      </c>
      <c r="B34485" s="3" t="s">
        <v>95</v>
      </c>
      <c r="C34485" s="6">
        <v>399</v>
      </c>
      <c r="D34485" s="7">
        <v>1.06</v>
      </c>
    </row>
    <row r="34486" spans="1:5" x14ac:dyDescent="0.25">
      <c r="A34486" t="str">
        <f>HYPERLINK("https://www.773grp.com/globalSearch/NTD4965NT4G/page-1", "NTD4965NT4G")</f>
        <v>NTD4965NT4G</v>
      </c>
      <c r="B34486" s="3" t="s">
        <v>95</v>
      </c>
      <c r="C34486" s="6">
        <v>5000</v>
      </c>
      <c r="D34486" s="7">
        <v>1.06</v>
      </c>
    </row>
    <row r="34487" spans="1:5" x14ac:dyDescent="0.25">
      <c r="A34487" t="str">
        <f>HYPERLINK("https://www.773grp.com/globalSearch/NTD85N02R-1G/page-1", "NTD85N02R-1G")</f>
        <v>NTD85N02R-1G</v>
      </c>
      <c r="B34487" s="3" t="s">
        <v>95</v>
      </c>
      <c r="C34487" s="6">
        <v>246305</v>
      </c>
      <c r="D34487" s="7">
        <v>1.06</v>
      </c>
      <c r="E34487" t="s">
        <v>105</v>
      </c>
    </row>
    <row r="34488" spans="1:5" x14ac:dyDescent="0.25">
      <c r="A34488" t="str">
        <f>HYPERLINK("https://www.773grp.com/globalSearch/NTGS1135PT1G/page-1", "NTGS1135PT1G")</f>
        <v>NTGS1135PT1G</v>
      </c>
      <c r="B34488" s="3" t="s">
        <v>95</v>
      </c>
      <c r="C34488" s="6">
        <v>17380</v>
      </c>
      <c r="D34488" s="7">
        <v>1.06</v>
      </c>
      <c r="E34488" t="s">
        <v>106</v>
      </c>
    </row>
    <row r="34489" spans="1:5" x14ac:dyDescent="0.25">
      <c r="A34489" t="str">
        <f>HYPERLINK("https://www.773grp.com/globalSearch/NTHD5903T1G/page-1", "NTHD5903T1G")</f>
        <v>NTHD5903T1G</v>
      </c>
      <c r="B34489" s="3" t="s">
        <v>95</v>
      </c>
      <c r="C34489" s="6">
        <v>3535</v>
      </c>
      <c r="D34489" s="7">
        <v>1.06</v>
      </c>
      <c r="E34489" t="s">
        <v>106</v>
      </c>
    </row>
    <row r="34490" spans="1:5" x14ac:dyDescent="0.25">
      <c r="A34490" t="str">
        <f>HYPERLINK("https://www.773grp.com/globalSearch/NTLJF3118NTBG/page-1", "NTLJF3118NTBG")</f>
        <v>NTLJF3118NTBG</v>
      </c>
      <c r="B34490" s="3" t="s">
        <v>95</v>
      </c>
      <c r="C34490" s="6">
        <v>27000</v>
      </c>
      <c r="D34490" s="7">
        <v>1.06</v>
      </c>
      <c r="E34490" t="s">
        <v>105</v>
      </c>
    </row>
    <row r="34491" spans="1:5" x14ac:dyDescent="0.25">
      <c r="A34491" t="str">
        <f>HYPERLINK("https://www.773grp.com/globalSearch/NTLJS2103PTAG/page-1", "NTLJS2103PTAG")</f>
        <v>NTLJS2103PTAG</v>
      </c>
      <c r="B34491" s="3" t="s">
        <v>95</v>
      </c>
      <c r="C34491" s="6">
        <v>75662</v>
      </c>
      <c r="D34491" s="7">
        <v>1.06</v>
      </c>
      <c r="E34491" t="s">
        <v>106</v>
      </c>
    </row>
    <row r="34492" spans="1:5" x14ac:dyDescent="0.25">
      <c r="A34492" t="str">
        <f>HYPERLINK("https://www.773grp.com/globalSearch/NTLTD7900ZR2G/page-1", "NTLTD7900ZR2G")</f>
        <v>NTLTD7900ZR2G</v>
      </c>
      <c r="B34492" s="3" t="s">
        <v>95</v>
      </c>
      <c r="C34492" s="6">
        <v>306138</v>
      </c>
      <c r="D34492" s="7">
        <v>1.06</v>
      </c>
      <c r="E34492" t="s">
        <v>105</v>
      </c>
    </row>
    <row r="34493" spans="1:5" x14ac:dyDescent="0.25">
      <c r="A34493" t="str">
        <f>HYPERLINK("https://www.773grp.com/globalSearch/NTLUS3A18PZTAG/page-1", "NTLUS3A18PZTAG")</f>
        <v>NTLUS3A18PZTAG</v>
      </c>
      <c r="B34493" s="3" t="s">
        <v>95</v>
      </c>
      <c r="C34493" s="6">
        <v>99000</v>
      </c>
      <c r="D34493" s="7">
        <v>1.06</v>
      </c>
    </row>
    <row r="34494" spans="1:5" x14ac:dyDescent="0.25">
      <c r="A34494" t="str">
        <f>HYPERLINK("https://www.773grp.com/globalSearch/NTMD4820NR2G/page-1", "NTMD4820NR2G")</f>
        <v>NTMD4820NR2G</v>
      </c>
      <c r="B34494" s="3" t="s">
        <v>95</v>
      </c>
      <c r="C34494" s="6">
        <v>78541</v>
      </c>
      <c r="D34494" s="7">
        <v>1.06</v>
      </c>
      <c r="E34494" t="s">
        <v>106</v>
      </c>
    </row>
    <row r="34495" spans="1:5" x14ac:dyDescent="0.25">
      <c r="A34495" t="str">
        <f>HYPERLINK("https://www.773grp.com/globalSearch/NTMFS4839NHT1G/page-1", "NTMFS4839NHT1G")</f>
        <v>NTMFS4839NHT1G</v>
      </c>
      <c r="B34495" s="3" t="s">
        <v>95</v>
      </c>
      <c r="C34495" s="6">
        <v>735321</v>
      </c>
      <c r="D34495" s="7">
        <v>1.06</v>
      </c>
      <c r="E34495" t="s">
        <v>105</v>
      </c>
    </row>
    <row r="34496" spans="1:5" x14ac:dyDescent="0.25">
      <c r="A34496" t="str">
        <f>HYPERLINK("https://www.773grp.com/globalSearch/NTMFS4851NT1G/page-1", "NTMFS4851NT1G")</f>
        <v>NTMFS4851NT1G</v>
      </c>
      <c r="B34496" s="3" t="s">
        <v>95</v>
      </c>
      <c r="C34496" s="6">
        <v>71190</v>
      </c>
      <c r="D34496" s="7">
        <v>1.06</v>
      </c>
      <c r="E34496" t="s">
        <v>106</v>
      </c>
    </row>
    <row r="34497" spans="1:5" x14ac:dyDescent="0.25">
      <c r="A34497" t="str">
        <f>HYPERLINK("https://www.773grp.com/globalSearch/NTMFS4937NT1G/page-1", "NTMFS4937NT1G")</f>
        <v>NTMFS4937NT1G</v>
      </c>
      <c r="B34497" s="3" t="s">
        <v>95</v>
      </c>
      <c r="C34497" s="6">
        <v>94498</v>
      </c>
      <c r="D34497" s="7">
        <v>1.06</v>
      </c>
      <c r="E34497" t="s">
        <v>105</v>
      </c>
    </row>
    <row r="34498" spans="1:5" x14ac:dyDescent="0.25">
      <c r="A34498" t="str">
        <f>HYPERLINK("https://www.773grp.com/globalSearch/NTMS5P02R2SG/page-1", "NTMS5P02R2SG")</f>
        <v>NTMS5P02R2SG</v>
      </c>
      <c r="B34498" s="3" t="s">
        <v>95</v>
      </c>
      <c r="C34498" s="6">
        <v>7363</v>
      </c>
      <c r="D34498" s="7">
        <v>1.06</v>
      </c>
    </row>
    <row r="34499" spans="1:5" x14ac:dyDescent="0.25">
      <c r="A34499" t="str">
        <f>HYPERLINK("https://www.773grp.com/globalSearch/NTTFS4928NTAG/page-1", "NTTFS4928NTAG")</f>
        <v>NTTFS4928NTAG</v>
      </c>
      <c r="B34499" s="3" t="s">
        <v>95</v>
      </c>
      <c r="C34499" s="6">
        <v>61500</v>
      </c>
      <c r="D34499" s="7">
        <v>1.06</v>
      </c>
    </row>
    <row r="34500" spans="1:5" x14ac:dyDescent="0.25">
      <c r="A34500" t="str">
        <f>HYPERLINK("https://www.773grp.com/globalSearch/NTTFS5826NLTAG/page-1", "NTTFS5826NLTAG")</f>
        <v>NTTFS5826NLTAG</v>
      </c>
      <c r="B34500" s="3" t="s">
        <v>95</v>
      </c>
      <c r="C34500" s="6">
        <v>16500</v>
      </c>
      <c r="D34500" s="7">
        <v>1.06</v>
      </c>
    </row>
    <row r="34501" spans="1:5" x14ac:dyDescent="0.25">
      <c r="A34501" t="str">
        <f>HYPERLINK("https://www.773grp.com/globalSearch/NUF6105FCT1G/page-1", "NUF6105FCT1G")</f>
        <v>NUF6105FCT1G</v>
      </c>
      <c r="B34501" s="3" t="s">
        <v>95</v>
      </c>
      <c r="C34501" s="6">
        <v>251610</v>
      </c>
      <c r="D34501" s="7">
        <v>1.06</v>
      </c>
      <c r="E34501" t="s">
        <v>100</v>
      </c>
    </row>
    <row r="34502" spans="1:5" x14ac:dyDescent="0.25">
      <c r="A34502" t="str">
        <f>HYPERLINK("https://www.773grp.com/globalSearch/NUF8001MUT2G/page-1", "NUF8001MUT2G")</f>
        <v>NUF8001MUT2G</v>
      </c>
      <c r="B34502" s="3" t="s">
        <v>95</v>
      </c>
      <c r="C34502" s="6">
        <v>258000</v>
      </c>
      <c r="D34502" s="7">
        <v>1.06</v>
      </c>
      <c r="E34502" t="s">
        <v>100</v>
      </c>
    </row>
    <row r="34503" spans="1:5" x14ac:dyDescent="0.25">
      <c r="A34503" t="str">
        <f>HYPERLINK("https://www.773grp.com/globalSearch/NUF8010MUT2G/page-1", "NUF8010MUT2G")</f>
        <v>NUF8010MUT2G</v>
      </c>
      <c r="B34503" s="3" t="s">
        <v>95</v>
      </c>
      <c r="C34503" s="6">
        <v>24900</v>
      </c>
      <c r="D34503" s="7">
        <v>1.06</v>
      </c>
      <c r="E34503" t="s">
        <v>100</v>
      </c>
    </row>
    <row r="34504" spans="1:5" x14ac:dyDescent="0.25">
      <c r="A34504" t="str">
        <f>HYPERLINK("https://www.773grp.com/globalSearch/NUF8152MUT2G/page-1", "NUF8152MUT2G")</f>
        <v>NUF8152MUT2G</v>
      </c>
      <c r="B34504" s="3" t="s">
        <v>95</v>
      </c>
      <c r="C34504" s="6">
        <v>193809</v>
      </c>
      <c r="D34504" s="7">
        <v>1.06</v>
      </c>
      <c r="E34504" t="s">
        <v>100</v>
      </c>
    </row>
    <row r="34505" spans="1:5" x14ac:dyDescent="0.25">
      <c r="A34505" t="str">
        <f>HYPERLINK("https://www.773grp.com/globalSearch/NUF9005MNT4G/page-1", "NUF9005MNT4G")</f>
        <v>NUF9005MNT4G</v>
      </c>
      <c r="B34505" s="3" t="s">
        <v>95</v>
      </c>
      <c r="C34505" s="6">
        <v>4000</v>
      </c>
      <c r="D34505" s="7">
        <v>1.06</v>
      </c>
    </row>
    <row r="34506" spans="1:5" x14ac:dyDescent="0.25">
      <c r="A34506" t="str">
        <f>HYPERLINK("https://www.773grp.com/globalSearch/NUP2201MR6T1/page-1", "NUP2201MR6T1")</f>
        <v>NUP2201MR6T1</v>
      </c>
      <c r="B34506" s="3" t="s">
        <v>95</v>
      </c>
      <c r="C34506" s="6">
        <v>7163</v>
      </c>
      <c r="D34506" s="7">
        <v>1.06</v>
      </c>
      <c r="E34506" t="s">
        <v>96</v>
      </c>
    </row>
    <row r="34507" spans="1:5" x14ac:dyDescent="0.25">
      <c r="A34507" t="str">
        <f>HYPERLINK("https://www.773grp.com/globalSearch/NUP3112UPMUTAG/page-1", "NUP3112UPMUTAG")</f>
        <v>NUP3112UPMUTAG</v>
      </c>
      <c r="B34507" s="3" t="s">
        <v>95</v>
      </c>
      <c r="C34507" s="6">
        <v>9000</v>
      </c>
      <c r="D34507" s="7">
        <v>1.06</v>
      </c>
      <c r="E34507" t="s">
        <v>96</v>
      </c>
    </row>
    <row r="34508" spans="1:5" x14ac:dyDescent="0.25">
      <c r="A34508" t="str">
        <f>HYPERLINK("https://www.773grp.com/globalSearch/NUP3115UPMUTAG/page-1", "NUP3115UPMUTAG")</f>
        <v>NUP3115UPMUTAG</v>
      </c>
      <c r="B34508" s="3" t="s">
        <v>95</v>
      </c>
      <c r="C34508" s="6">
        <v>1950</v>
      </c>
      <c r="D34508" s="7">
        <v>1.06</v>
      </c>
    </row>
    <row r="34509" spans="1:5" x14ac:dyDescent="0.25">
      <c r="A34509" t="str">
        <f>HYPERLINK("https://www.773grp.com/globalSearch/NUP8011MUTAG/page-1", "NUP8011MUTAG")</f>
        <v>NUP8011MUTAG</v>
      </c>
      <c r="B34509" s="3" t="s">
        <v>95</v>
      </c>
      <c r="C34509" s="6">
        <v>107585</v>
      </c>
      <c r="D34509" s="7">
        <v>1.06</v>
      </c>
      <c r="E34509" t="s">
        <v>96</v>
      </c>
    </row>
    <row r="34510" spans="1:5" x14ac:dyDescent="0.25">
      <c r="A34510" t="str">
        <f>HYPERLINK("https://www.773grp.com/globalSearch/SAC910A10/page-1", "SAC910A10")</f>
        <v>SAC910A10</v>
      </c>
      <c r="B34510" s="3" t="s">
        <v>95</v>
      </c>
      <c r="C34510" s="6">
        <v>10000</v>
      </c>
      <c r="D34510" s="7">
        <v>1.06</v>
      </c>
    </row>
    <row r="34511" spans="1:5" x14ac:dyDescent="0.25">
      <c r="A34511" t="str">
        <f>HYPERLINK("https://www.773grp.com/globalSearch/SAC910A8/page-1", "SAC910A8")</f>
        <v>SAC910A8</v>
      </c>
      <c r="B34511" s="3" t="s">
        <v>95</v>
      </c>
      <c r="C34511" s="6">
        <v>24000</v>
      </c>
      <c r="D34511" s="7">
        <v>1.06</v>
      </c>
    </row>
    <row r="34512" spans="1:5" x14ac:dyDescent="0.25">
      <c r="A34512" t="str">
        <f>HYPERLINK("https://www.773grp.com/globalSearch/SBRD81045T4G/page-1", "SBRD81045T4G")</f>
        <v>SBRD81045T4G</v>
      </c>
      <c r="B34512" s="3" t="s">
        <v>95</v>
      </c>
      <c r="C34512" s="6">
        <v>2500</v>
      </c>
      <c r="D34512" s="7">
        <v>1.06</v>
      </c>
    </row>
    <row r="34513" spans="1:5" x14ac:dyDescent="0.25">
      <c r="A34513" t="str">
        <f>HYPERLINK("https://www.773grp.com/globalSearch/SBS811-S-TL-E/page-1", "SBS811-S-TL-E")</f>
        <v>SBS811-S-TL-E</v>
      </c>
      <c r="B34513" s="3" t="s">
        <v>95</v>
      </c>
      <c r="C34513" s="6">
        <v>6000</v>
      </c>
      <c r="D34513" s="7">
        <v>1.06</v>
      </c>
    </row>
    <row r="34514" spans="1:5" x14ac:dyDescent="0.25">
      <c r="A34514" t="str">
        <f>HYPERLINK("https://www.773grp.com/globalSearch/SC258DR2/page-1", "SC258DR2")</f>
        <v>SC258DR2</v>
      </c>
      <c r="B34514" s="3" t="s">
        <v>95</v>
      </c>
      <c r="C34514" s="6">
        <v>19960</v>
      </c>
      <c r="D34514" s="7">
        <v>1.06</v>
      </c>
    </row>
    <row r="34515" spans="1:5" x14ac:dyDescent="0.25">
      <c r="A34515" t="str">
        <f>HYPERLINK("https://www.773grp.com/globalSearch/SC324DR2G/page-1", "SC324DR2G")</f>
        <v>SC324DR2G</v>
      </c>
      <c r="B34515" s="3" t="s">
        <v>95</v>
      </c>
      <c r="C34515" s="6">
        <v>2269</v>
      </c>
      <c r="D34515" s="7">
        <v>1.06</v>
      </c>
    </row>
    <row r="34516" spans="1:5" x14ac:dyDescent="0.25">
      <c r="A34516" t="str">
        <f>HYPERLINK("https://www.773grp.com/globalSearch/SC324NG/page-1", "SC324NG")</f>
        <v>SC324NG</v>
      </c>
      <c r="B34516" s="3" t="s">
        <v>95</v>
      </c>
      <c r="C34516" s="6">
        <v>1400</v>
      </c>
      <c r="D34516" s="7">
        <v>1.06</v>
      </c>
    </row>
    <row r="34517" spans="1:5" x14ac:dyDescent="0.25">
      <c r="A34517" t="str">
        <f>HYPERLINK("https://www.773grp.com/globalSearch/SCY99102BDR2G/page-1", "SCY99102BDR2G")</f>
        <v>SCY99102BDR2G</v>
      </c>
      <c r="B34517" s="3" t="s">
        <v>95</v>
      </c>
      <c r="C34517" s="6">
        <v>400000</v>
      </c>
      <c r="D34517" s="7">
        <v>1.06</v>
      </c>
    </row>
    <row r="34518" spans="1:5" x14ac:dyDescent="0.25">
      <c r="A34518" t="str">
        <f>HYPERLINK("https://www.773grp.com/globalSearch/SN74LS148D/page-1", "SN74LS148D")</f>
        <v>SN74LS148D</v>
      </c>
      <c r="B34518" s="3" t="s">
        <v>95</v>
      </c>
      <c r="C34518" s="6">
        <v>2025</v>
      </c>
      <c r="D34518" s="7">
        <v>1.06</v>
      </c>
      <c r="E34518" t="s">
        <v>43</v>
      </c>
    </row>
    <row r="34519" spans="1:5" x14ac:dyDescent="0.25">
      <c r="A34519" t="str">
        <f>HYPERLINK("https://www.773grp.com/globalSearch/SN74LS148M/page-1", "SN74LS148M")</f>
        <v>SN74LS148M</v>
      </c>
      <c r="B34519" s="3" t="s">
        <v>95</v>
      </c>
      <c r="C34519" s="6">
        <v>950</v>
      </c>
      <c r="D34519" s="7">
        <v>1.06</v>
      </c>
    </row>
    <row r="34520" spans="1:5" x14ac:dyDescent="0.25">
      <c r="A34520" t="str">
        <f>HYPERLINK("https://www.773grp.com/globalSearch/SN74LS191D/page-1", "SN74LS191D")</f>
        <v>SN74LS191D</v>
      </c>
      <c r="B34520" s="3" t="s">
        <v>95</v>
      </c>
      <c r="C34520" s="6">
        <v>2728</v>
      </c>
      <c r="D34520" s="7">
        <v>1.06</v>
      </c>
      <c r="E34520" t="s">
        <v>26</v>
      </c>
    </row>
    <row r="34521" spans="1:5" x14ac:dyDescent="0.25">
      <c r="A34521" t="str">
        <f>HYPERLINK("https://www.773grp.com/globalSearch/SN74LS195AN/page-1", "SN74LS195AN")</f>
        <v>SN74LS195AN</v>
      </c>
      <c r="B34521" s="3" t="s">
        <v>95</v>
      </c>
      <c r="C34521" s="6">
        <v>3504</v>
      </c>
      <c r="D34521" s="7">
        <v>1.06</v>
      </c>
      <c r="E34521" t="s">
        <v>32</v>
      </c>
    </row>
    <row r="34522" spans="1:5" x14ac:dyDescent="0.25">
      <c r="A34522" t="str">
        <f>HYPERLINK("https://www.773grp.com/globalSearch/SN74LS243D/page-1", "SN74LS243D")</f>
        <v>SN74LS243D</v>
      </c>
      <c r="B34522" s="3" t="s">
        <v>95</v>
      </c>
      <c r="C34522" s="6">
        <v>1020</v>
      </c>
      <c r="D34522" s="7">
        <v>1.06</v>
      </c>
      <c r="E34522" t="s">
        <v>14</v>
      </c>
    </row>
    <row r="34523" spans="1:5" x14ac:dyDescent="0.25">
      <c r="A34523" t="str">
        <f>HYPERLINK("https://www.773grp.com/globalSearch/SN74LS245DW/page-1", "SN74LS245DW")</f>
        <v>SN74LS245DW</v>
      </c>
      <c r="B34523" s="3" t="s">
        <v>95</v>
      </c>
      <c r="C34523" s="6">
        <v>13134</v>
      </c>
      <c r="D34523" s="7">
        <v>1.06</v>
      </c>
      <c r="E34523" t="s">
        <v>14</v>
      </c>
    </row>
    <row r="34524" spans="1:5" x14ac:dyDescent="0.25">
      <c r="A34524" t="str">
        <f>HYPERLINK("https://www.773grp.com/globalSearch/SN74LS273DW/page-1", "SN74LS273DW")</f>
        <v>SN74LS273DW</v>
      </c>
      <c r="B34524" s="3" t="s">
        <v>95</v>
      </c>
      <c r="C34524" s="6">
        <v>9001</v>
      </c>
      <c r="D34524" s="7">
        <v>1.06</v>
      </c>
      <c r="E34524" t="s">
        <v>35</v>
      </c>
    </row>
    <row r="34525" spans="1:5" x14ac:dyDescent="0.25">
      <c r="A34525" t="str">
        <f>HYPERLINK("https://www.773grp.com/globalSearch/SN74LS273N/page-1", "SN74LS273N")</f>
        <v>SN74LS273N</v>
      </c>
      <c r="B34525" s="3" t="s">
        <v>95</v>
      </c>
      <c r="C34525" s="6">
        <v>11759</v>
      </c>
      <c r="D34525" s="7">
        <v>1.06</v>
      </c>
      <c r="E34525" t="s">
        <v>35</v>
      </c>
    </row>
    <row r="34526" spans="1:5" x14ac:dyDescent="0.25">
      <c r="A34526" t="str">
        <f>HYPERLINK("https://www.773grp.com/globalSearch/SN74LS298N/page-1", "SN74LS298N")</f>
        <v>SN74LS298N</v>
      </c>
      <c r="B34526" s="3" t="s">
        <v>95</v>
      </c>
      <c r="C34526" s="6">
        <v>530</v>
      </c>
      <c r="D34526" s="7">
        <v>1.06</v>
      </c>
      <c r="E34526" t="s">
        <v>35</v>
      </c>
    </row>
    <row r="34527" spans="1:5" x14ac:dyDescent="0.25">
      <c r="A34527" t="str">
        <f>HYPERLINK("https://www.773grp.com/globalSearch/SN74LS374DW/page-1", "SN74LS374DW")</f>
        <v>SN74LS374DW</v>
      </c>
      <c r="B34527" s="3" t="s">
        <v>95</v>
      </c>
      <c r="C34527" s="6">
        <v>4872</v>
      </c>
      <c r="D34527" s="7">
        <v>1.06</v>
      </c>
      <c r="E34527" t="s">
        <v>14</v>
      </c>
    </row>
    <row r="34528" spans="1:5" x14ac:dyDescent="0.25">
      <c r="A34528" t="str">
        <f>HYPERLINK("https://www.773grp.com/globalSearch/SN74LS374DW2/page-1", "SN74LS374DW2")</f>
        <v>SN74LS374DW2</v>
      </c>
      <c r="B34528" s="3" t="s">
        <v>95</v>
      </c>
      <c r="C34528" s="6">
        <v>9000</v>
      </c>
      <c r="D34528" s="7">
        <v>1.06</v>
      </c>
    </row>
    <row r="34529" spans="1:5" x14ac:dyDescent="0.25">
      <c r="A34529" t="str">
        <f>HYPERLINK("https://www.773grp.com/globalSearch/SN74LS374DWR2/page-1", "SN74LS374DWR2")</f>
        <v>SN74LS374DWR2</v>
      </c>
      <c r="B34529" s="3" t="s">
        <v>95</v>
      </c>
      <c r="C34529" s="6">
        <v>89000</v>
      </c>
      <c r="D34529" s="7">
        <v>1.06</v>
      </c>
      <c r="E34529" t="s">
        <v>14</v>
      </c>
    </row>
    <row r="34530" spans="1:5" x14ac:dyDescent="0.25">
      <c r="A34530" t="str">
        <f>HYPERLINK("https://www.773grp.com/globalSearch/SN74LS374N/page-1", "SN74LS374N")</f>
        <v>SN74LS374N</v>
      </c>
      <c r="B34530" s="3" t="s">
        <v>95</v>
      </c>
      <c r="C34530" s="6">
        <v>8255</v>
      </c>
      <c r="D34530" s="7">
        <v>1.06</v>
      </c>
      <c r="E34530" t="s">
        <v>14</v>
      </c>
    </row>
    <row r="34531" spans="1:5" x14ac:dyDescent="0.25">
      <c r="A34531" t="str">
        <f>HYPERLINK("https://www.773grp.com/globalSearch/SN74LS374N/page-1", "SN74LS374N")</f>
        <v>SN74LS374N</v>
      </c>
      <c r="B34531" s="3" t="s">
        <v>95</v>
      </c>
      <c r="C34531" s="6">
        <v>26764</v>
      </c>
      <c r="D34531" s="7">
        <v>1.06</v>
      </c>
      <c r="E34531" t="s">
        <v>14</v>
      </c>
    </row>
    <row r="34532" spans="1:5" x14ac:dyDescent="0.25">
      <c r="A34532" t="str">
        <f>HYPERLINK("https://www.773grp.com/globalSearch/SN74LS377N/page-1", "SN74LS377N")</f>
        <v>SN74LS377N</v>
      </c>
      <c r="B34532" s="3" t="s">
        <v>95</v>
      </c>
      <c r="C34532" s="6">
        <v>198</v>
      </c>
      <c r="D34532" s="7">
        <v>1.06</v>
      </c>
      <c r="E34532" t="s">
        <v>35</v>
      </c>
    </row>
    <row r="34533" spans="1:5" x14ac:dyDescent="0.25">
      <c r="A34533" t="str">
        <f>HYPERLINK("https://www.773grp.com/globalSearch/TIP120G/page-1", "TIP120G")</f>
        <v>TIP120G</v>
      </c>
      <c r="B34533" s="3" t="s">
        <v>95</v>
      </c>
      <c r="C34533" s="6">
        <v>23127</v>
      </c>
      <c r="D34533" s="7">
        <v>1.06</v>
      </c>
      <c r="E34533" t="s">
        <v>59</v>
      </c>
    </row>
    <row r="34534" spans="1:5" x14ac:dyDescent="0.25">
      <c r="A34534" t="str">
        <f>HYPERLINK("https://www.773grp.com/globalSearch/TIP121G/page-1", "TIP121G")</f>
        <v>TIP121G</v>
      </c>
      <c r="B34534" s="3" t="s">
        <v>95</v>
      </c>
      <c r="C34534" s="6">
        <v>8266</v>
      </c>
      <c r="D34534" s="7">
        <v>1.06</v>
      </c>
      <c r="E34534" t="s">
        <v>59</v>
      </c>
    </row>
    <row r="34535" spans="1:5" x14ac:dyDescent="0.25">
      <c r="A34535" t="str">
        <f>HYPERLINK("https://www.773grp.com/globalSearch/TIP122G/page-1", "TIP122G")</f>
        <v>TIP122G</v>
      </c>
      <c r="B34535" s="3" t="s">
        <v>95</v>
      </c>
      <c r="C34535" s="6">
        <v>62835</v>
      </c>
      <c r="D34535" s="7">
        <v>1.06</v>
      </c>
      <c r="E34535" t="s">
        <v>59</v>
      </c>
    </row>
    <row r="34536" spans="1:5" x14ac:dyDescent="0.25">
      <c r="A34536" t="str">
        <f>HYPERLINK("https://www.773grp.com/globalSearch/TL081ACD/page-1", "TL081ACD")</f>
        <v>TL081ACD</v>
      </c>
      <c r="B34536" s="3" t="s">
        <v>95</v>
      </c>
      <c r="C34536" s="6">
        <v>1953</v>
      </c>
      <c r="D34536" s="7">
        <v>1.06</v>
      </c>
      <c r="E34536" t="s">
        <v>13</v>
      </c>
    </row>
    <row r="34537" spans="1:5" x14ac:dyDescent="0.25">
      <c r="A34537" t="str">
        <f>HYPERLINK("https://www.773grp.com/globalSearch/TL081ACP/page-1", "TL081ACP")</f>
        <v>TL081ACP</v>
      </c>
      <c r="B34537" s="3" t="s">
        <v>95</v>
      </c>
      <c r="C34537" s="6">
        <v>879</v>
      </c>
      <c r="D34537" s="7">
        <v>1.06</v>
      </c>
      <c r="E34537" t="s">
        <v>13</v>
      </c>
    </row>
    <row r="34538" spans="1:5" x14ac:dyDescent="0.25">
      <c r="A34538" t="str">
        <f>HYPERLINK("https://www.773grp.com/globalSearch/TL082CDR2/page-1", "TL082CDR2")</f>
        <v>TL082CDR2</v>
      </c>
      <c r="B34538" s="3" t="s">
        <v>95</v>
      </c>
      <c r="C34538" s="6">
        <v>2270</v>
      </c>
      <c r="D34538" s="7">
        <v>1.06</v>
      </c>
      <c r="E34538" t="s">
        <v>13</v>
      </c>
    </row>
    <row r="34539" spans="1:5" x14ac:dyDescent="0.25">
      <c r="A34539" t="str">
        <f>HYPERLINK("https://www.773grp.com/globalSearch/TL082CP/page-1", "TL082CP")</f>
        <v>TL082CP</v>
      </c>
      <c r="B34539" s="3" t="s">
        <v>95</v>
      </c>
      <c r="C34539" s="6">
        <v>2286</v>
      </c>
      <c r="D34539" s="7">
        <v>1.06</v>
      </c>
      <c r="E34539" t="s">
        <v>13</v>
      </c>
    </row>
    <row r="34540" spans="1:5" x14ac:dyDescent="0.25">
      <c r="A34540" t="str">
        <f>HYPERLINK("https://www.773grp.com/globalSearch/TL494CN/page-1", "TL494CN")</f>
        <v>TL494CN</v>
      </c>
      <c r="B34540" s="3" t="s">
        <v>95</v>
      </c>
      <c r="C34540" s="6">
        <v>20</v>
      </c>
      <c r="D34540" s="7">
        <v>1.06</v>
      </c>
      <c r="E34540" t="s">
        <v>7</v>
      </c>
    </row>
    <row r="34541" spans="1:5" x14ac:dyDescent="0.25">
      <c r="A34541" t="str">
        <f>HYPERLINK("https://www.773grp.com/globalSearch/UC2842BD/page-1", "UC2842BD")</f>
        <v>UC2842BD</v>
      </c>
      <c r="B34541" s="3" t="s">
        <v>95</v>
      </c>
      <c r="C34541" s="6">
        <v>605</v>
      </c>
      <c r="D34541" s="7">
        <v>1.06</v>
      </c>
      <c r="E34541" t="s">
        <v>7</v>
      </c>
    </row>
    <row r="34542" spans="1:5" x14ac:dyDescent="0.25">
      <c r="A34542" t="str">
        <f>HYPERLINK("https://www.773grp.com/globalSearch/UC2842BD1/page-1", "UC2842BD1")</f>
        <v>UC2842BD1</v>
      </c>
      <c r="B34542" s="3" t="s">
        <v>95</v>
      </c>
      <c r="C34542" s="6">
        <v>676</v>
      </c>
      <c r="D34542" s="7">
        <v>1.06</v>
      </c>
      <c r="E34542" t="s">
        <v>7</v>
      </c>
    </row>
    <row r="34543" spans="1:5" x14ac:dyDescent="0.25">
      <c r="A34543" t="str">
        <f>HYPERLINK("https://www.773grp.com/globalSearch/UC2843BN/page-1", "UC2843BN")</f>
        <v>UC2843BN</v>
      </c>
      <c r="B34543" s="3" t="s">
        <v>95</v>
      </c>
      <c r="C34543" s="6">
        <v>6100</v>
      </c>
      <c r="D34543" s="7">
        <v>1.06</v>
      </c>
      <c r="E34543" t="s">
        <v>7</v>
      </c>
    </row>
    <row r="34544" spans="1:5" x14ac:dyDescent="0.25">
      <c r="A34544" t="str">
        <f>HYPERLINK("https://www.773grp.com/globalSearch/UC2845BD/page-1", "UC2845BD")</f>
        <v>UC2845BD</v>
      </c>
      <c r="B34544" s="3" t="s">
        <v>95</v>
      </c>
      <c r="C34544" s="6">
        <v>935</v>
      </c>
      <c r="D34544" s="7">
        <v>1.06</v>
      </c>
      <c r="E34544" t="s">
        <v>7</v>
      </c>
    </row>
    <row r="34545" spans="1:5" x14ac:dyDescent="0.25">
      <c r="A34545" t="str">
        <f>HYPERLINK("https://www.773grp.com/globalSearch/UC3842BVD1G/page-1", "UC3842BVD1G")</f>
        <v>UC3842BVD1G</v>
      </c>
      <c r="B34545" s="3" t="s">
        <v>95</v>
      </c>
      <c r="C34545" s="6">
        <v>384</v>
      </c>
      <c r="D34545" s="7">
        <v>1.06</v>
      </c>
      <c r="E34545" t="s">
        <v>7</v>
      </c>
    </row>
    <row r="34546" spans="1:5" x14ac:dyDescent="0.25">
      <c r="A34546" t="str">
        <f>HYPERLINK("https://www.773grp.com/globalSearch/UC3842BVDR2G/page-1", "UC3842BVDR2G")</f>
        <v>UC3842BVDR2G</v>
      </c>
      <c r="B34546" s="3" t="s">
        <v>95</v>
      </c>
      <c r="C34546" s="6">
        <v>5100</v>
      </c>
      <c r="D34546" s="7">
        <v>1.06</v>
      </c>
    </row>
    <row r="34547" spans="1:5" x14ac:dyDescent="0.25">
      <c r="A34547" t="str">
        <f>HYPERLINK("https://www.773grp.com/globalSearch/UC3843BVD1G/page-1", "UC3843BVD1G")</f>
        <v>UC3843BVD1G</v>
      </c>
      <c r="B34547" s="3" t="s">
        <v>95</v>
      </c>
      <c r="C34547" s="6">
        <v>490</v>
      </c>
      <c r="D34547" s="7">
        <v>1.06</v>
      </c>
    </row>
    <row r="34548" spans="1:5" x14ac:dyDescent="0.25">
      <c r="A34548" t="str">
        <f>HYPERLINK("https://www.773grp.com/globalSearch/UC3844BVD1G/page-1", "UC3844BVD1G")</f>
        <v>UC3844BVD1G</v>
      </c>
      <c r="B34548" s="3" t="s">
        <v>95</v>
      </c>
      <c r="C34548" s="6">
        <v>19</v>
      </c>
      <c r="D34548" s="7">
        <v>1.06</v>
      </c>
    </row>
    <row r="34549" spans="1:5" x14ac:dyDescent="0.25">
      <c r="A34549" t="str">
        <f>HYPERLINK("https://www.773grp.com/globalSearch/UC3844BVDG/page-1", "UC3844BVDG")</f>
        <v>UC3844BVDG</v>
      </c>
      <c r="B34549" s="3" t="s">
        <v>95</v>
      </c>
      <c r="C34549" s="6">
        <v>2121</v>
      </c>
      <c r="D34549" s="7">
        <v>1.06</v>
      </c>
      <c r="E34549" t="s">
        <v>7</v>
      </c>
    </row>
    <row r="34550" spans="1:5" x14ac:dyDescent="0.25">
      <c r="A34550" t="str">
        <f>HYPERLINK("https://www.773grp.com/globalSearch/UC3844BVDR2G/page-1", "UC3844BVDR2G")</f>
        <v>UC3844BVDR2G</v>
      </c>
      <c r="B34550" s="3" t="s">
        <v>95</v>
      </c>
      <c r="C34550" s="6">
        <v>2165</v>
      </c>
      <c r="D34550" s="7">
        <v>1.06</v>
      </c>
    </row>
    <row r="34551" spans="1:5" x14ac:dyDescent="0.25">
      <c r="A34551" t="str">
        <f>HYPERLINK("https://www.773grp.com/globalSearch/UC3844BVNG/page-1", "UC3844BVNG")</f>
        <v>UC3844BVNG</v>
      </c>
      <c r="B34551" s="3" t="s">
        <v>95</v>
      </c>
      <c r="C34551" s="6">
        <v>6000</v>
      </c>
      <c r="D34551" s="7">
        <v>1.06</v>
      </c>
      <c r="E34551" t="s">
        <v>7</v>
      </c>
    </row>
    <row r="34552" spans="1:5" x14ac:dyDescent="0.25">
      <c r="A34552" t="str">
        <f>HYPERLINK("https://www.773grp.com/globalSearch/UC3845BVD1G/page-1", "UC3845BVD1G")</f>
        <v>UC3845BVD1G</v>
      </c>
      <c r="B34552" s="3" t="s">
        <v>95</v>
      </c>
      <c r="C34552" s="6">
        <v>2016</v>
      </c>
      <c r="D34552" s="7">
        <v>1.06</v>
      </c>
      <c r="E34552" t="s">
        <v>7</v>
      </c>
    </row>
    <row r="34553" spans="1:5" x14ac:dyDescent="0.25">
      <c r="A34553" t="str">
        <f>HYPERLINK("https://www.773grp.com/globalSearch/UC3845BVDG/page-1", "UC3845BVDG")</f>
        <v>UC3845BVDG</v>
      </c>
      <c r="B34553" s="3" t="s">
        <v>95</v>
      </c>
      <c r="C34553" s="6">
        <v>2660</v>
      </c>
      <c r="D34553" s="7">
        <v>1.06</v>
      </c>
      <c r="E34553" t="s">
        <v>7</v>
      </c>
    </row>
    <row r="34554" spans="1:5" x14ac:dyDescent="0.25">
      <c r="A34554" t="str">
        <f>HYPERLINK("https://www.773grp.com/globalSearch/UC3845BVDR2G/page-1", "UC3845BVDR2G")</f>
        <v>UC3845BVDR2G</v>
      </c>
      <c r="B34554" s="3" t="s">
        <v>95</v>
      </c>
      <c r="C34554" s="6">
        <v>8572</v>
      </c>
      <c r="D34554" s="7">
        <v>1.06</v>
      </c>
    </row>
    <row r="34555" spans="1:5" x14ac:dyDescent="0.25">
      <c r="A34555" t="str">
        <f>HYPERLINK("https://www.773grp.com/globalSearch/UC3845BVNG/page-1", "UC3845BVNG")</f>
        <v>UC3845BVNG</v>
      </c>
      <c r="B34555" s="3" t="s">
        <v>95</v>
      </c>
      <c r="C34555" s="6">
        <v>2121</v>
      </c>
      <c r="D34555" s="7">
        <v>1.06</v>
      </c>
      <c r="E34555" t="s">
        <v>7</v>
      </c>
    </row>
    <row r="34556" spans="1:5" x14ac:dyDescent="0.25">
      <c r="A34556" t="str">
        <f>HYPERLINK("https://www.773grp.com/globalSearch/ULN2003ADR2G/page-1", "ULN2003ADR2G")</f>
        <v>ULN2003ADR2G</v>
      </c>
      <c r="B34556" s="3" t="s">
        <v>95</v>
      </c>
      <c r="C34556" s="6">
        <v>30000</v>
      </c>
      <c r="D34556" s="7">
        <v>1.06</v>
      </c>
      <c r="E34556" t="s">
        <v>69</v>
      </c>
    </row>
    <row r="34557" spans="1:5" x14ac:dyDescent="0.25">
      <c r="A34557" t="str">
        <f>HYPERLINK("https://www.773grp.com/globalSearch/1SMB12CAT3G/page-1", "1SMB12CAT3G")</f>
        <v>1SMB12CAT3G</v>
      </c>
      <c r="B34557" s="3" t="s">
        <v>95</v>
      </c>
      <c r="C34557" s="6">
        <v>29637</v>
      </c>
      <c r="D34557" s="7">
        <v>1.1100000000000001</v>
      </c>
      <c r="E34557" t="s">
        <v>96</v>
      </c>
    </row>
    <row r="34558" spans="1:5" x14ac:dyDescent="0.25">
      <c r="A34558" t="str">
        <f>HYPERLINK("https://www.773grp.com/globalSearch/1SMB15CAT3G/page-1", "1SMB15CAT3G")</f>
        <v>1SMB15CAT3G</v>
      </c>
      <c r="B34558" s="3" t="s">
        <v>95</v>
      </c>
      <c r="C34558" s="6">
        <v>2500</v>
      </c>
      <c r="D34558" s="7">
        <v>1.1100000000000001</v>
      </c>
      <c r="E34558" t="s">
        <v>96</v>
      </c>
    </row>
    <row r="34559" spans="1:5" x14ac:dyDescent="0.25">
      <c r="A34559" t="str">
        <f>HYPERLINK("https://www.773grp.com/globalSearch/1SMB16CAT3G/page-1", "1SMB16CAT3G")</f>
        <v>1SMB16CAT3G</v>
      </c>
      <c r="B34559" s="3" t="s">
        <v>95</v>
      </c>
      <c r="C34559" s="6">
        <v>48740</v>
      </c>
      <c r="D34559" s="7">
        <v>1.1100000000000001</v>
      </c>
      <c r="E34559" t="s">
        <v>96</v>
      </c>
    </row>
    <row r="34560" spans="1:5" x14ac:dyDescent="0.25">
      <c r="A34560" t="str">
        <f>HYPERLINK("https://www.773grp.com/globalSearch/1SMB20CAT3G/page-1", "1SMB20CAT3G")</f>
        <v>1SMB20CAT3G</v>
      </c>
      <c r="B34560" s="3" t="s">
        <v>95</v>
      </c>
      <c r="C34560" s="6">
        <v>67500</v>
      </c>
      <c r="D34560" s="7">
        <v>1.1100000000000001</v>
      </c>
      <c r="E34560" t="s">
        <v>96</v>
      </c>
    </row>
    <row r="34561" spans="1:5" x14ac:dyDescent="0.25">
      <c r="A34561" t="str">
        <f>HYPERLINK("https://www.773grp.com/globalSearch/1SMB24CAT3G/page-1", "1SMB24CAT3G")</f>
        <v>1SMB24CAT3G</v>
      </c>
      <c r="B34561" s="3" t="s">
        <v>95</v>
      </c>
      <c r="C34561" s="6">
        <v>12500</v>
      </c>
      <c r="D34561" s="7">
        <v>1.1100000000000001</v>
      </c>
      <c r="E34561" t="s">
        <v>96</v>
      </c>
    </row>
    <row r="34562" spans="1:5" x14ac:dyDescent="0.25">
      <c r="A34562" t="str">
        <f>HYPERLINK("https://www.773grp.com/globalSearch/1SMB30CAT3G/page-1", "1SMB30CAT3G")</f>
        <v>1SMB30CAT3G</v>
      </c>
      <c r="B34562" s="3" t="s">
        <v>95</v>
      </c>
      <c r="C34562" s="6">
        <v>20000</v>
      </c>
      <c r="D34562" s="7">
        <v>1.1100000000000001</v>
      </c>
    </row>
    <row r="34563" spans="1:5" x14ac:dyDescent="0.25">
      <c r="A34563" t="str">
        <f>HYPERLINK("https://www.773grp.com/globalSearch/1SMB33CAT3G/page-1", "1SMB33CAT3G")</f>
        <v>1SMB33CAT3G</v>
      </c>
      <c r="B34563" s="3" t="s">
        <v>95</v>
      </c>
      <c r="C34563" s="6">
        <v>2500</v>
      </c>
      <c r="D34563" s="7">
        <v>1.1100000000000001</v>
      </c>
      <c r="E34563" t="s">
        <v>96</v>
      </c>
    </row>
    <row r="34564" spans="1:5" x14ac:dyDescent="0.25">
      <c r="A34564" t="str">
        <f>HYPERLINK("https://www.773grp.com/globalSearch/1SMB36CAT3G/page-1", "1SMB36CAT3G")</f>
        <v>1SMB36CAT3G</v>
      </c>
      <c r="B34564" s="3" t="s">
        <v>95</v>
      </c>
      <c r="C34564" s="6">
        <v>147366</v>
      </c>
      <c r="D34564" s="7">
        <v>1.1100000000000001</v>
      </c>
      <c r="E34564" t="s">
        <v>96</v>
      </c>
    </row>
    <row r="34565" spans="1:5" x14ac:dyDescent="0.25">
      <c r="A34565" t="str">
        <f>HYPERLINK("https://www.773grp.com/globalSearch/1SMB48CAT3G/page-1", "1SMB48CAT3G")</f>
        <v>1SMB48CAT3G</v>
      </c>
      <c r="B34565" s="3" t="s">
        <v>95</v>
      </c>
      <c r="C34565" s="6">
        <v>5820</v>
      </c>
      <c r="D34565" s="7">
        <v>1.1100000000000001</v>
      </c>
      <c r="E34565" t="s">
        <v>96</v>
      </c>
    </row>
    <row r="34566" spans="1:5" x14ac:dyDescent="0.25">
      <c r="A34566" t="str">
        <f>HYPERLINK("https://www.773grp.com/globalSearch/2SA2126-S-TL-E/page-1", "2SA2126-S-TL-E")</f>
        <v>2SA2126-S-TL-E</v>
      </c>
      <c r="B34566" s="3" t="s">
        <v>95</v>
      </c>
      <c r="C34566" s="6">
        <v>27300</v>
      </c>
      <c r="D34566" s="7">
        <v>1.1100000000000001</v>
      </c>
    </row>
    <row r="34567" spans="1:5" x14ac:dyDescent="0.25">
      <c r="A34567" t="str">
        <f>HYPERLINK("https://www.773grp.com/globalSearch/2SB1202S-TL-E/page-1", "2SB1202S-TL-E")</f>
        <v>2SB1202S-TL-E</v>
      </c>
      <c r="B34567" s="3" t="s">
        <v>95</v>
      </c>
      <c r="C34567" s="6">
        <v>14700</v>
      </c>
      <c r="D34567" s="7">
        <v>1.1100000000000001</v>
      </c>
    </row>
    <row r="34568" spans="1:5" x14ac:dyDescent="0.25">
      <c r="A34568" t="str">
        <f>HYPERLINK("https://www.773grp.com/globalSearch/2SK4120LS/page-1", "2SK4120LS")</f>
        <v>2SK4120LS</v>
      </c>
      <c r="B34568" s="3" t="s">
        <v>95</v>
      </c>
      <c r="C34568" s="6">
        <v>2700</v>
      </c>
      <c r="D34568" s="7">
        <v>1.1100000000000001</v>
      </c>
    </row>
    <row r="34569" spans="1:5" x14ac:dyDescent="0.25">
      <c r="A34569" t="str">
        <f>HYPERLINK("https://www.773grp.com/globalSearch/74FST3400DTR2/page-1", "74FST3400DTR2")</f>
        <v>74FST3400DTR2</v>
      </c>
      <c r="B34569" s="3" t="s">
        <v>95</v>
      </c>
      <c r="C34569" s="6">
        <v>15000</v>
      </c>
      <c r="D34569" s="7">
        <v>1.1100000000000001</v>
      </c>
      <c r="E34569" t="s">
        <v>14</v>
      </c>
    </row>
    <row r="34570" spans="1:5" x14ac:dyDescent="0.25">
      <c r="A34570" t="str">
        <f>HYPERLINK("https://www.773grp.com/globalSearch/74FST3400DW/page-1", "74FST3400DW")</f>
        <v>74FST3400DW</v>
      </c>
      <c r="B34570" s="3" t="s">
        <v>95</v>
      </c>
      <c r="C34570" s="6">
        <v>12594</v>
      </c>
      <c r="D34570" s="7">
        <v>1.1100000000000001</v>
      </c>
      <c r="E34570" t="s">
        <v>14</v>
      </c>
    </row>
    <row r="34571" spans="1:5" x14ac:dyDescent="0.25">
      <c r="A34571" t="str">
        <f>HYPERLINK("https://www.773grp.com/globalSearch/74FST3400DWR2/page-1", "74FST3400DWR2")</f>
        <v>74FST3400DWR2</v>
      </c>
      <c r="B34571" s="3" t="s">
        <v>95</v>
      </c>
      <c r="C34571" s="6">
        <v>7000</v>
      </c>
      <c r="D34571" s="7">
        <v>1.1100000000000001</v>
      </c>
      <c r="E34571" t="s">
        <v>14</v>
      </c>
    </row>
    <row r="34572" spans="1:5" x14ac:dyDescent="0.25">
      <c r="A34572" t="str">
        <f>HYPERLINK("https://www.773grp.com/globalSearch/74FST3861DT/page-1", "74FST3861DT")</f>
        <v>74FST3861DT</v>
      </c>
      <c r="B34572" s="3" t="s">
        <v>95</v>
      </c>
      <c r="C34572" s="6">
        <v>491</v>
      </c>
      <c r="D34572" s="7">
        <v>1.1100000000000001</v>
      </c>
      <c r="E34572" t="s">
        <v>14</v>
      </c>
    </row>
    <row r="34573" spans="1:5" x14ac:dyDescent="0.25">
      <c r="A34573" t="str">
        <f>HYPERLINK("https://www.773grp.com/globalSearch/74FST3861DW/page-1", "74FST3861DW")</f>
        <v>74FST3861DW</v>
      </c>
      <c r="B34573" s="3" t="s">
        <v>95</v>
      </c>
      <c r="C34573" s="6">
        <v>12180</v>
      </c>
      <c r="D34573" s="7">
        <v>1.1100000000000001</v>
      </c>
      <c r="E34573" t="s">
        <v>14</v>
      </c>
    </row>
    <row r="34574" spans="1:5" x14ac:dyDescent="0.25">
      <c r="A34574" t="str">
        <f>HYPERLINK("https://www.773grp.com/globalSearch/74FST3861DWR2/page-1", "74FST3861DWR2")</f>
        <v>74FST3861DWR2</v>
      </c>
      <c r="B34574" s="3" t="s">
        <v>95</v>
      </c>
      <c r="C34574" s="6">
        <v>7000</v>
      </c>
      <c r="D34574" s="7">
        <v>1.1100000000000001</v>
      </c>
      <c r="E34574" t="s">
        <v>14</v>
      </c>
    </row>
    <row r="34575" spans="1:5" x14ac:dyDescent="0.25">
      <c r="A34575" t="str">
        <f>HYPERLINK("https://www.773grp.com/globalSearch/74FST3861QS/page-1", "74FST3861QS")</f>
        <v>74FST3861QS</v>
      </c>
      <c r="B34575" s="3" t="s">
        <v>95</v>
      </c>
      <c r="C34575" s="6">
        <v>8030</v>
      </c>
      <c r="D34575" s="7">
        <v>1.1100000000000001</v>
      </c>
      <c r="E34575" t="s">
        <v>14</v>
      </c>
    </row>
    <row r="34576" spans="1:5" x14ac:dyDescent="0.25">
      <c r="A34576" t="str">
        <f>HYPERLINK("https://www.773grp.com/globalSearch/74FST3861QSR/page-1", "74FST3861QSR")</f>
        <v>74FST3861QSR</v>
      </c>
      <c r="B34576" s="3" t="s">
        <v>95</v>
      </c>
      <c r="C34576" s="6">
        <v>28090</v>
      </c>
      <c r="D34576" s="7">
        <v>1.1100000000000001</v>
      </c>
      <c r="E34576" t="s">
        <v>14</v>
      </c>
    </row>
    <row r="34577" spans="1:5" x14ac:dyDescent="0.25">
      <c r="A34577" t="str">
        <f>HYPERLINK("https://www.773grp.com/globalSearch/74FST6800DT/page-1", "74FST6800DT")</f>
        <v>74FST6800DT</v>
      </c>
      <c r="B34577" s="3" t="s">
        <v>95</v>
      </c>
      <c r="C34577" s="6">
        <v>10574</v>
      </c>
      <c r="D34577" s="7">
        <v>1.1100000000000001</v>
      </c>
      <c r="E34577" t="s">
        <v>14</v>
      </c>
    </row>
    <row r="34578" spans="1:5" x14ac:dyDescent="0.25">
      <c r="A34578" t="str">
        <f>HYPERLINK("https://www.773grp.com/globalSearch/74FST6800DTR2/page-1", "74FST6800DTR2")</f>
        <v>74FST6800DTR2</v>
      </c>
      <c r="B34578" s="3" t="s">
        <v>95</v>
      </c>
      <c r="C34578" s="6">
        <v>22500</v>
      </c>
      <c r="D34578" s="7">
        <v>1.1100000000000001</v>
      </c>
      <c r="E34578" t="s">
        <v>14</v>
      </c>
    </row>
    <row r="34579" spans="1:5" x14ac:dyDescent="0.25">
      <c r="A34579" t="str">
        <f>HYPERLINK("https://www.773grp.com/globalSearch/74FST6800DW/page-1", "74FST6800DW")</f>
        <v>74FST6800DW</v>
      </c>
      <c r="B34579" s="3" t="s">
        <v>95</v>
      </c>
      <c r="C34579" s="6">
        <v>12780</v>
      </c>
      <c r="D34579" s="7">
        <v>1.1100000000000001</v>
      </c>
      <c r="E34579" t="s">
        <v>14</v>
      </c>
    </row>
    <row r="34580" spans="1:5" x14ac:dyDescent="0.25">
      <c r="A34580" t="str">
        <f>HYPERLINK("https://www.773grp.com/globalSearch/74FST6800DWR2/page-1", "74FST6800DWR2")</f>
        <v>74FST6800DWR2</v>
      </c>
      <c r="B34580" s="3" t="s">
        <v>95</v>
      </c>
      <c r="C34580" s="6">
        <v>6000</v>
      </c>
      <c r="D34580" s="7">
        <v>1.1100000000000001</v>
      </c>
      <c r="E34580" t="s">
        <v>14</v>
      </c>
    </row>
    <row r="34581" spans="1:5" x14ac:dyDescent="0.25">
      <c r="A34581" t="str">
        <f>HYPERLINK("https://www.773grp.com/globalSearch/74FST6800QS/page-1", "74FST6800QS")</f>
        <v>74FST6800QS</v>
      </c>
      <c r="B34581" s="3" t="s">
        <v>95</v>
      </c>
      <c r="C34581" s="6">
        <v>11110</v>
      </c>
      <c r="D34581" s="7">
        <v>1.1100000000000001</v>
      </c>
      <c r="E34581" t="s">
        <v>14</v>
      </c>
    </row>
    <row r="34582" spans="1:5" x14ac:dyDescent="0.25">
      <c r="A34582" t="str">
        <f>HYPERLINK("https://www.773grp.com/globalSearch/74FST6800QSR/page-1", "74FST6800QSR")</f>
        <v>74FST6800QSR</v>
      </c>
      <c r="B34582" s="3" t="s">
        <v>95</v>
      </c>
      <c r="C34582" s="6">
        <v>17500</v>
      </c>
      <c r="D34582" s="7">
        <v>1.1100000000000001</v>
      </c>
      <c r="E34582" t="s">
        <v>14</v>
      </c>
    </row>
    <row r="34583" spans="1:5" x14ac:dyDescent="0.25">
      <c r="A34583" t="str">
        <f>HYPERLINK("https://www.773grp.com/globalSearch/ADP3419JRMZ-REEL/page-1", "ADP3419JRMZ-REEL")</f>
        <v>ADP3419JRMZ-REEL</v>
      </c>
      <c r="B34583" s="3" t="s">
        <v>95</v>
      </c>
      <c r="C34583" s="6">
        <v>75851</v>
      </c>
      <c r="D34583" s="7">
        <v>1.1100000000000001</v>
      </c>
      <c r="E34583" t="s">
        <v>16</v>
      </c>
    </row>
    <row r="34584" spans="1:5" x14ac:dyDescent="0.25">
      <c r="A34584" t="str">
        <f>HYPERLINK("https://www.773grp.com/globalSearch/BD243B/page-1", "BD243B")</f>
        <v>BD243B</v>
      </c>
      <c r="B34584" s="3" t="s">
        <v>95</v>
      </c>
      <c r="C34584" s="6">
        <v>2718</v>
      </c>
      <c r="D34584" s="7">
        <v>1.1100000000000001</v>
      </c>
      <c r="E34584" t="s">
        <v>59</v>
      </c>
    </row>
    <row r="34585" spans="1:5" x14ac:dyDescent="0.25">
      <c r="A34585" t="str">
        <f>HYPERLINK("https://www.773grp.com/globalSearch/BD243BG/page-1", "BD243BG")</f>
        <v>BD243BG</v>
      </c>
      <c r="B34585" s="3" t="s">
        <v>95</v>
      </c>
      <c r="C34585" s="6">
        <v>900</v>
      </c>
      <c r="D34585" s="7">
        <v>1.1100000000000001</v>
      </c>
      <c r="E34585" t="s">
        <v>59</v>
      </c>
    </row>
    <row r="34586" spans="1:5" x14ac:dyDescent="0.25">
      <c r="A34586" t="str">
        <f>HYPERLINK("https://www.773grp.com/globalSearch/BF199RL1/page-1", "BF199RL1")</f>
        <v>BF199RL1</v>
      </c>
      <c r="B34586" s="3" t="s">
        <v>95</v>
      </c>
      <c r="C34586" s="6">
        <v>4000</v>
      </c>
      <c r="D34586" s="7">
        <v>1.1100000000000001</v>
      </c>
      <c r="E34586" t="s">
        <v>61</v>
      </c>
    </row>
    <row r="34587" spans="1:5" x14ac:dyDescent="0.25">
      <c r="A34587" t="str">
        <f>HYPERLINK("https://www.773grp.com/globalSearch/BSP52T1G/page-1", "BSP52T1G")</f>
        <v>BSP52T1G</v>
      </c>
      <c r="B34587" s="3" t="s">
        <v>95</v>
      </c>
      <c r="C34587" s="6">
        <v>88</v>
      </c>
      <c r="D34587" s="7">
        <v>1.1100000000000001</v>
      </c>
      <c r="E34587" t="s">
        <v>69</v>
      </c>
    </row>
    <row r="34588" spans="1:5" x14ac:dyDescent="0.25">
      <c r="A34588" t="str">
        <f>HYPERLINK("https://www.773grp.com/globalSearch/BUD43B/page-1", "BUD43B")</f>
        <v>BUD43B</v>
      </c>
      <c r="B34588" s="3" t="s">
        <v>95</v>
      </c>
      <c r="C34588" s="6">
        <v>3000</v>
      </c>
      <c r="D34588" s="7">
        <v>1.1100000000000001</v>
      </c>
      <c r="E34588" t="s">
        <v>59</v>
      </c>
    </row>
    <row r="34589" spans="1:5" x14ac:dyDescent="0.25">
      <c r="A34589" t="str">
        <f>HYPERLINK("https://www.773grp.com/globalSearch/BUL44/page-1", "BUL44")</f>
        <v>BUL44</v>
      </c>
      <c r="B34589" s="3" t="s">
        <v>95</v>
      </c>
      <c r="C34589" s="6">
        <v>609</v>
      </c>
      <c r="D34589" s="7">
        <v>1.1100000000000001</v>
      </c>
      <c r="E34589" t="s">
        <v>59</v>
      </c>
    </row>
    <row r="34590" spans="1:5" x14ac:dyDescent="0.25">
      <c r="A34590" t="str">
        <f>HYPERLINK("https://www.773grp.com/globalSearch/BUL44G/page-1", "BUL44G")</f>
        <v>BUL44G</v>
      </c>
      <c r="B34590" s="3" t="s">
        <v>95</v>
      </c>
      <c r="C34590" s="6">
        <v>14776</v>
      </c>
      <c r="D34590" s="7">
        <v>1.1100000000000001</v>
      </c>
      <c r="E34590" t="s">
        <v>59</v>
      </c>
    </row>
    <row r="34591" spans="1:5" x14ac:dyDescent="0.25">
      <c r="A34591" t="str">
        <f>HYPERLINK("https://www.773grp.com/globalSearch/BYW80-200/page-1", "BYW80-200")</f>
        <v>BYW80-200</v>
      </c>
      <c r="B34591" s="3" t="s">
        <v>95</v>
      </c>
      <c r="C34591" s="6">
        <v>849</v>
      </c>
      <c r="D34591" s="7">
        <v>1.1100000000000001</v>
      </c>
      <c r="E34591" t="s">
        <v>103</v>
      </c>
    </row>
    <row r="34592" spans="1:5" x14ac:dyDescent="0.25">
      <c r="A34592" t="str">
        <f>HYPERLINK("https://www.773grp.com/globalSearch/CAT24C01ZI-G/page-1", "CAT24C01ZI-G")</f>
        <v>CAT24C01ZI-G</v>
      </c>
      <c r="B34592" s="3" t="s">
        <v>95</v>
      </c>
      <c r="C34592" s="6">
        <v>1444</v>
      </c>
      <c r="D34592" s="7">
        <v>1.1100000000000001</v>
      </c>
    </row>
    <row r="34593" spans="1:5" x14ac:dyDescent="0.25">
      <c r="A34593" t="str">
        <f>HYPERLINK("https://www.773grp.com/globalSearch/CAT24C128WI-GT3/page-1", "CAT24C128WI-GT3")</f>
        <v>CAT24C128WI-GT3</v>
      </c>
      <c r="B34593" s="3" t="s">
        <v>95</v>
      </c>
      <c r="C34593" s="6">
        <v>12000</v>
      </c>
      <c r="D34593" s="7">
        <v>1.1100000000000001</v>
      </c>
      <c r="E34593" t="s">
        <v>64</v>
      </c>
    </row>
    <row r="34594" spans="1:5" x14ac:dyDescent="0.25">
      <c r="A34594" t="str">
        <f>HYPERLINK("https://www.773grp.com/globalSearch/CAT24C128WI-GT3/page-1", "CAT24C128WI-GT3")</f>
        <v>CAT24C128WI-GT3</v>
      </c>
      <c r="B34594" s="3" t="s">
        <v>95</v>
      </c>
      <c r="C34594" s="6">
        <v>32695</v>
      </c>
      <c r="D34594" s="7">
        <v>1.1100000000000001</v>
      </c>
      <c r="E34594" t="s">
        <v>64</v>
      </c>
    </row>
    <row r="34595" spans="1:5" x14ac:dyDescent="0.25">
      <c r="A34595" t="str">
        <f>HYPERLINK("https://www.773grp.com/globalSearch/CAT24C128YI-GT3/page-1", "CAT24C128YI-GT3")</f>
        <v>CAT24C128YI-GT3</v>
      </c>
      <c r="B34595" s="3" t="s">
        <v>95</v>
      </c>
      <c r="C34595" s="6">
        <v>44840</v>
      </c>
      <c r="D34595" s="7">
        <v>1.1100000000000001</v>
      </c>
    </row>
    <row r="34596" spans="1:5" x14ac:dyDescent="0.25">
      <c r="A34596" t="str">
        <f>HYPERLINK("https://www.773grp.com/globalSearch/CAT24C64VP2I-GT3/page-1", "CAT24C64VP2I-GT3")</f>
        <v>CAT24C64VP2I-GT3</v>
      </c>
      <c r="B34596" s="3" t="s">
        <v>95</v>
      </c>
      <c r="C34596" s="6">
        <v>12000</v>
      </c>
      <c r="D34596" s="7">
        <v>1.1100000000000001</v>
      </c>
      <c r="E34596" t="s">
        <v>64</v>
      </c>
    </row>
    <row r="34597" spans="1:5" x14ac:dyDescent="0.25">
      <c r="A34597" t="str">
        <f>HYPERLINK("https://www.773grp.com/globalSearch/CAT25080VE-G/page-1", "CAT25080VE-G")</f>
        <v>CAT25080VE-G</v>
      </c>
      <c r="B34597" s="3" t="s">
        <v>95</v>
      </c>
      <c r="C34597" s="6">
        <v>2900</v>
      </c>
      <c r="D34597" s="7">
        <v>1.1100000000000001</v>
      </c>
    </row>
    <row r="34598" spans="1:5" x14ac:dyDescent="0.25">
      <c r="A34598" t="str">
        <f>HYPERLINK("https://www.773grp.com/globalSearch/CAT25160YI-G/page-1", "CAT25160YI-G")</f>
        <v>CAT25160YI-G</v>
      </c>
      <c r="B34598" s="3" t="s">
        <v>95</v>
      </c>
      <c r="C34598" s="6">
        <v>3600</v>
      </c>
      <c r="D34598" s="7">
        <v>1.1100000000000001</v>
      </c>
    </row>
    <row r="34599" spans="1:5" x14ac:dyDescent="0.25">
      <c r="A34599" t="str">
        <f>HYPERLINK("https://www.773grp.com/globalSearch/CAT25640VI-GT3/page-1", "CAT25640VI-GT3")</f>
        <v>CAT25640VI-GT3</v>
      </c>
      <c r="B34599" s="3" t="s">
        <v>95</v>
      </c>
      <c r="C34599" s="6">
        <v>8856</v>
      </c>
      <c r="D34599" s="7">
        <v>1.1100000000000001</v>
      </c>
    </row>
    <row r="34600" spans="1:5" x14ac:dyDescent="0.25">
      <c r="A34600" t="str">
        <f>HYPERLINK("https://www.773grp.com/globalSearch/CAT25640YI-GT3/page-1", "CAT25640YI-GT3")</f>
        <v>CAT25640YI-GT3</v>
      </c>
      <c r="B34600" s="3" t="s">
        <v>95</v>
      </c>
      <c r="C34600" s="6">
        <v>3000</v>
      </c>
      <c r="D34600" s="7">
        <v>1.1100000000000001</v>
      </c>
      <c r="E34600" t="s">
        <v>64</v>
      </c>
    </row>
    <row r="34601" spans="1:5" x14ac:dyDescent="0.25">
      <c r="A34601" t="str">
        <f>HYPERLINK("https://www.773grp.com/globalSearch/CAT34C02VP2I-GT3/page-1", "CAT34C02VP2I-GT3")</f>
        <v>CAT34C02VP2I-GT3</v>
      </c>
      <c r="B34601" s="3" t="s">
        <v>95</v>
      </c>
      <c r="C34601" s="6">
        <v>2000000</v>
      </c>
      <c r="D34601" s="7">
        <v>1.1100000000000001</v>
      </c>
      <c r="E34601" t="s">
        <v>64</v>
      </c>
    </row>
    <row r="34602" spans="1:5" x14ac:dyDescent="0.25">
      <c r="A34602" t="str">
        <f>HYPERLINK("https://www.773grp.com/globalSearch/CAT34C02VP2I-GT4/page-1", "CAT34C02VP2I-GT4")</f>
        <v>CAT34C02VP2I-GT4</v>
      </c>
      <c r="B34602" s="3" t="s">
        <v>95</v>
      </c>
      <c r="C34602" s="6">
        <v>8000</v>
      </c>
      <c r="D34602" s="7">
        <v>1.1100000000000001</v>
      </c>
      <c r="E34602" t="s">
        <v>64</v>
      </c>
    </row>
    <row r="34603" spans="1:5" x14ac:dyDescent="0.25">
      <c r="A34603" t="str">
        <f>HYPERLINK("https://www.773grp.com/globalSearch/CAT93C56XI/page-1", "CAT93C56XI")</f>
        <v>CAT93C56XI</v>
      </c>
      <c r="B34603" s="3" t="s">
        <v>95</v>
      </c>
      <c r="C34603" s="6">
        <v>14382</v>
      </c>
      <c r="D34603" s="7">
        <v>1.1100000000000001</v>
      </c>
      <c r="E34603" t="s">
        <v>64</v>
      </c>
    </row>
    <row r="34604" spans="1:5" x14ac:dyDescent="0.25">
      <c r="A34604" t="str">
        <f>HYPERLINK("https://www.773grp.com/globalSearch/CAT93C57XI/page-1", "CAT93C57XI")</f>
        <v>CAT93C57XI</v>
      </c>
      <c r="B34604" s="3" t="s">
        <v>95</v>
      </c>
      <c r="C34604" s="6">
        <v>137</v>
      </c>
      <c r="D34604" s="7">
        <v>1.1100000000000001</v>
      </c>
      <c r="E34604" t="s">
        <v>64</v>
      </c>
    </row>
    <row r="34605" spans="1:5" x14ac:dyDescent="0.25">
      <c r="A34605" t="str">
        <f>HYPERLINK("https://www.773grp.com/globalSearch/CM1223-04SO/page-1", "CM1223-04SO")</f>
        <v>CM1223-04SO</v>
      </c>
      <c r="B34605" s="3" t="s">
        <v>95</v>
      </c>
      <c r="C34605" s="6">
        <v>3000</v>
      </c>
      <c r="D34605" s="7">
        <v>1.1100000000000001</v>
      </c>
    </row>
    <row r="34606" spans="1:5" x14ac:dyDescent="0.25">
      <c r="A34606" t="str">
        <f>HYPERLINK("https://www.773grp.com/globalSearch/D44H11/page-1", "D44H11")</f>
        <v>D44H11</v>
      </c>
      <c r="B34606" s="3" t="s">
        <v>95</v>
      </c>
      <c r="C34606" s="6">
        <v>14226</v>
      </c>
      <c r="D34606" s="7">
        <v>1.1100000000000001</v>
      </c>
      <c r="E34606" t="s">
        <v>59</v>
      </c>
    </row>
    <row r="34607" spans="1:5" x14ac:dyDescent="0.25">
      <c r="A34607" t="str">
        <f>HYPERLINK("https://www.773grp.com/globalSearch/D44H8/page-1", "D44H8")</f>
        <v>D44H8</v>
      </c>
      <c r="B34607" s="3" t="s">
        <v>95</v>
      </c>
      <c r="C34607" s="6">
        <v>232</v>
      </c>
      <c r="D34607" s="7">
        <v>1.1100000000000001</v>
      </c>
      <c r="E34607" t="s">
        <v>59</v>
      </c>
    </row>
    <row r="34608" spans="1:5" x14ac:dyDescent="0.25">
      <c r="A34608" t="str">
        <f>HYPERLINK("https://www.773grp.com/globalSearch/D45H11/page-1", "D45H11")</f>
        <v>D45H11</v>
      </c>
      <c r="B34608" s="3" t="s">
        <v>95</v>
      </c>
      <c r="C34608" s="6">
        <v>4249</v>
      </c>
      <c r="D34608" s="7">
        <v>1.1100000000000001</v>
      </c>
      <c r="E34608" t="s">
        <v>59</v>
      </c>
    </row>
    <row r="34609" spans="1:5" x14ac:dyDescent="0.25">
      <c r="A34609" t="str">
        <f>HYPERLINK("https://www.773grp.com/globalSearch/D45H8/page-1", "D45H8")</f>
        <v>D45H8</v>
      </c>
      <c r="B34609" s="3" t="s">
        <v>95</v>
      </c>
      <c r="C34609" s="6">
        <v>3667</v>
      </c>
      <c r="D34609" s="7">
        <v>1.1100000000000001</v>
      </c>
      <c r="E34609" t="s">
        <v>59</v>
      </c>
    </row>
    <row r="34610" spans="1:5" x14ac:dyDescent="0.25">
      <c r="A34610" t="str">
        <f>HYPERLINK("https://www.773grp.com/globalSearch/ECH8675-TL-H/page-1", "ECH8675-TL-H")</f>
        <v>ECH8675-TL-H</v>
      </c>
      <c r="B34610" s="3" t="s">
        <v>95</v>
      </c>
      <c r="C34610" s="6">
        <v>3000</v>
      </c>
      <c r="D34610" s="7">
        <v>1.1100000000000001</v>
      </c>
    </row>
    <row r="34611" spans="1:5" x14ac:dyDescent="0.25">
      <c r="A34611" t="str">
        <f>HYPERLINK("https://www.773grp.com/globalSearch/ESD11L5.0DT5G/page-1", "ESD11L5.0DT5G")</f>
        <v>ESD11L5.0DT5G</v>
      </c>
      <c r="B34611" s="3" t="s">
        <v>95</v>
      </c>
      <c r="C34611" s="6">
        <v>8000</v>
      </c>
      <c r="D34611" s="7">
        <v>1.1100000000000001</v>
      </c>
    </row>
    <row r="34612" spans="1:5" x14ac:dyDescent="0.25">
      <c r="A34612" t="str">
        <f>HYPERLINK("https://www.773grp.com/globalSearch/LB11961-TLM-H/page-1", "LB11961-TLM-H")</f>
        <v>LB11961-TLM-H</v>
      </c>
      <c r="B34612" s="3" t="s">
        <v>95</v>
      </c>
      <c r="C34612" s="6">
        <v>12000</v>
      </c>
      <c r="D34612" s="7">
        <v>1.1100000000000001</v>
      </c>
    </row>
    <row r="34613" spans="1:5" x14ac:dyDescent="0.25">
      <c r="A34613" t="str">
        <f>HYPERLINK("https://www.773grp.com/globalSearch/LE25FU206AMBW00TLM-H/page-1", "LE25FU206AMBW00TLM-H")</f>
        <v>LE25FU206AMBW00TLM-H</v>
      </c>
      <c r="B34613" s="3" t="s">
        <v>95</v>
      </c>
      <c r="C34613" s="6">
        <v>90000</v>
      </c>
      <c r="D34613" s="7">
        <v>1.1100000000000001</v>
      </c>
    </row>
    <row r="34614" spans="1:5" x14ac:dyDescent="0.25">
      <c r="A34614" t="str">
        <f>HYPERLINK("https://www.773grp.com/globalSearch/LF353N/page-1", "LF353N")</f>
        <v>LF353N</v>
      </c>
      <c r="B34614" s="3" t="s">
        <v>95</v>
      </c>
      <c r="C34614" s="6">
        <v>5402</v>
      </c>
      <c r="D34614" s="7">
        <v>1.1100000000000001</v>
      </c>
      <c r="E34614" t="s">
        <v>13</v>
      </c>
    </row>
    <row r="34615" spans="1:5" x14ac:dyDescent="0.25">
      <c r="A34615" t="str">
        <f>HYPERLINK("https://www.773grp.com/globalSearch/LM2931ACD/page-1", "LM2931ACD")</f>
        <v>LM2931ACD</v>
      </c>
      <c r="B34615" s="3" t="s">
        <v>95</v>
      </c>
      <c r="C34615" s="6">
        <v>2308</v>
      </c>
      <c r="D34615" s="7">
        <v>1.1100000000000001</v>
      </c>
      <c r="E34615" t="s">
        <v>25</v>
      </c>
    </row>
    <row r="34616" spans="1:5" x14ac:dyDescent="0.25">
      <c r="A34616" t="str">
        <f>HYPERLINK("https://www.773grp.com/globalSearch/LM2931AT-5.0/page-1", "LM2931AT-5.0")</f>
        <v>LM2931AT-5.0</v>
      </c>
      <c r="B34616" s="3" t="s">
        <v>95</v>
      </c>
      <c r="C34616" s="6">
        <v>4792</v>
      </c>
      <c r="D34616" s="7">
        <v>1.1100000000000001</v>
      </c>
      <c r="E34616" t="s">
        <v>19</v>
      </c>
    </row>
    <row r="34617" spans="1:5" x14ac:dyDescent="0.25">
      <c r="A34617" t="str">
        <f>HYPERLINK("https://www.773grp.com/globalSearch/LM2931CD/page-1", "LM2931CD")</f>
        <v>LM2931CD</v>
      </c>
      <c r="B34617" s="3" t="s">
        <v>95</v>
      </c>
      <c r="C34617" s="6">
        <v>3333</v>
      </c>
      <c r="D34617" s="7">
        <v>1.1100000000000001</v>
      </c>
      <c r="E34617" t="s">
        <v>25</v>
      </c>
    </row>
    <row r="34618" spans="1:5" x14ac:dyDescent="0.25">
      <c r="A34618" t="str">
        <f>HYPERLINK("https://www.773grp.com/globalSearch/LP2951CD-3.0G/page-1", "LP2951CD-3.0G")</f>
        <v>LP2951CD-3.0G</v>
      </c>
      <c r="B34618" s="3" t="s">
        <v>95</v>
      </c>
      <c r="C34618" s="6">
        <v>6174</v>
      </c>
      <c r="D34618" s="7">
        <v>1.1100000000000001</v>
      </c>
      <c r="E34618" t="s">
        <v>27</v>
      </c>
    </row>
    <row r="34619" spans="1:5" x14ac:dyDescent="0.25">
      <c r="A34619" t="str">
        <f>HYPERLINK("https://www.773grp.com/globalSearch/LP2951CD-3.0R2G/page-1", "LP2951CD-3.0R2G")</f>
        <v>LP2951CD-3.0R2G</v>
      </c>
      <c r="B34619" s="3" t="s">
        <v>95</v>
      </c>
      <c r="C34619" s="6">
        <v>9359</v>
      </c>
      <c r="D34619" s="7">
        <v>1.1100000000000001</v>
      </c>
      <c r="E34619" t="s">
        <v>19</v>
      </c>
    </row>
    <row r="34620" spans="1:5" x14ac:dyDescent="0.25">
      <c r="A34620" t="str">
        <f>HYPERLINK("https://www.773grp.com/globalSearch/LP2951CD-3.3G/page-1", "LP2951CD-3.3G")</f>
        <v>LP2951CD-3.3G</v>
      </c>
      <c r="B34620" s="3" t="s">
        <v>95</v>
      </c>
      <c r="C34620" s="6">
        <v>5305</v>
      </c>
      <c r="D34620" s="7">
        <v>1.1100000000000001</v>
      </c>
      <c r="E34620" t="s">
        <v>27</v>
      </c>
    </row>
    <row r="34621" spans="1:5" x14ac:dyDescent="0.25">
      <c r="A34621" t="str">
        <f>HYPERLINK("https://www.773grp.com/globalSearch/LP2951CD-3.3R2G/page-1", "LP2951CD-3.3R2G")</f>
        <v>LP2951CD-3.3R2G</v>
      </c>
      <c r="B34621" s="3" t="s">
        <v>95</v>
      </c>
      <c r="C34621" s="6">
        <v>415946</v>
      </c>
      <c r="D34621" s="7">
        <v>1.1100000000000001</v>
      </c>
      <c r="E34621" t="s">
        <v>19</v>
      </c>
    </row>
    <row r="34622" spans="1:5" x14ac:dyDescent="0.25">
      <c r="A34622" t="str">
        <f>HYPERLINK("https://www.773grp.com/globalSearch/LP2951CDG/page-1", "LP2951CDG")</f>
        <v>LP2951CDG</v>
      </c>
      <c r="B34622" s="3" t="s">
        <v>95</v>
      </c>
      <c r="C34622" s="6">
        <v>9895</v>
      </c>
      <c r="D34622" s="7">
        <v>1.1100000000000001</v>
      </c>
      <c r="E34622" t="s">
        <v>27</v>
      </c>
    </row>
    <row r="34623" spans="1:5" x14ac:dyDescent="0.25">
      <c r="A34623" t="str">
        <f>HYPERLINK("https://www.773grp.com/globalSearch/LP2951CDR2G/page-1", "LP2951CDR2G")</f>
        <v>LP2951CDR2G</v>
      </c>
      <c r="B34623" s="3" t="s">
        <v>95</v>
      </c>
      <c r="C34623" s="6">
        <v>38692</v>
      </c>
      <c r="D34623" s="7">
        <v>1.1100000000000001</v>
      </c>
      <c r="E34623" t="s">
        <v>27</v>
      </c>
    </row>
    <row r="34624" spans="1:5" x14ac:dyDescent="0.25">
      <c r="A34624" t="str">
        <f>HYPERLINK("https://www.773grp.com/globalSearch/MAC12HCD/page-1", "MAC12HCD")</f>
        <v>MAC12HCD</v>
      </c>
      <c r="B34624" s="3" t="s">
        <v>95</v>
      </c>
      <c r="C34624" s="6">
        <v>2500</v>
      </c>
      <c r="D34624" s="7">
        <v>1.1100000000000001</v>
      </c>
      <c r="E34624" t="s">
        <v>102</v>
      </c>
    </row>
    <row r="34625" spans="1:5" x14ac:dyDescent="0.25">
      <c r="A34625" t="str">
        <f>HYPERLINK("https://www.773grp.com/globalSearch/MAC12HCM/page-1", "MAC12HCM")</f>
        <v>MAC12HCM</v>
      </c>
      <c r="B34625" s="3" t="s">
        <v>95</v>
      </c>
      <c r="C34625" s="6">
        <v>23243</v>
      </c>
      <c r="D34625" s="7">
        <v>1.1100000000000001</v>
      </c>
      <c r="E34625" t="s">
        <v>102</v>
      </c>
    </row>
    <row r="34626" spans="1:5" x14ac:dyDescent="0.25">
      <c r="A34626" t="str">
        <f>HYPERLINK("https://www.773grp.com/globalSearch/MAC12SM/page-1", "MAC12SM")</f>
        <v>MAC12SM</v>
      </c>
      <c r="B34626" s="3" t="s">
        <v>95</v>
      </c>
      <c r="C34626" s="6">
        <v>500</v>
      </c>
      <c r="D34626" s="7">
        <v>1.1100000000000001</v>
      </c>
      <c r="E34626" t="s">
        <v>102</v>
      </c>
    </row>
    <row r="34627" spans="1:5" x14ac:dyDescent="0.25">
      <c r="A34627" t="str">
        <f>HYPERLINK("https://www.773grp.com/globalSearch/MAC12SN/page-1", "MAC12SN")</f>
        <v>MAC12SN</v>
      </c>
      <c r="B34627" s="3" t="s">
        <v>95</v>
      </c>
      <c r="C34627" s="6">
        <v>215</v>
      </c>
      <c r="D34627" s="7">
        <v>1.1100000000000001</v>
      </c>
      <c r="E34627" t="s">
        <v>102</v>
      </c>
    </row>
    <row r="34628" spans="1:5" x14ac:dyDescent="0.25">
      <c r="A34628" t="str">
        <f>HYPERLINK("https://www.773grp.com/globalSearch/MAX828EUK/page-1", "MAX828EUK")</f>
        <v>MAX828EUK</v>
      </c>
      <c r="B34628" s="3" t="s">
        <v>95</v>
      </c>
      <c r="C34628" s="6">
        <v>26900</v>
      </c>
      <c r="D34628" s="7">
        <v>1.1100000000000001</v>
      </c>
      <c r="E34628" t="s">
        <v>7</v>
      </c>
    </row>
    <row r="34629" spans="1:5" x14ac:dyDescent="0.25">
      <c r="A34629" t="str">
        <f>HYPERLINK("https://www.773grp.com/globalSearch/MC14015BDG/page-1", "MC14015BDG")</f>
        <v>MC14015BDG</v>
      </c>
      <c r="B34629" s="3" t="s">
        <v>95</v>
      </c>
      <c r="C34629" s="6">
        <v>7869</v>
      </c>
      <c r="D34629" s="7">
        <v>1.1100000000000001</v>
      </c>
      <c r="E34629" t="s">
        <v>32</v>
      </c>
    </row>
    <row r="34630" spans="1:5" x14ac:dyDescent="0.25">
      <c r="A34630" t="str">
        <f>HYPERLINK("https://www.773grp.com/globalSearch/MC14015BDR2G/page-1", "MC14015BDR2G")</f>
        <v>MC14015BDR2G</v>
      </c>
      <c r="B34630" s="3" t="s">
        <v>95</v>
      </c>
      <c r="C34630" s="6">
        <v>30928</v>
      </c>
      <c r="D34630" s="7">
        <v>1.1100000000000001</v>
      </c>
      <c r="E34630" t="s">
        <v>32</v>
      </c>
    </row>
    <row r="34631" spans="1:5" x14ac:dyDescent="0.25">
      <c r="A34631" t="str">
        <f>HYPERLINK("https://www.773grp.com/globalSearch/MC14018BDG/page-1", "MC14018BDG")</f>
        <v>MC14018BDG</v>
      </c>
      <c r="B34631" s="3" t="s">
        <v>95</v>
      </c>
      <c r="C34631" s="6">
        <v>1084</v>
      </c>
      <c r="D34631" s="7">
        <v>1.1100000000000001</v>
      </c>
      <c r="E34631" t="s">
        <v>26</v>
      </c>
    </row>
    <row r="34632" spans="1:5" x14ac:dyDescent="0.25">
      <c r="A34632" t="str">
        <f>HYPERLINK("https://www.773grp.com/globalSearch/MC14018BDR2G/page-1", "MC14018BDR2G")</f>
        <v>MC14018BDR2G</v>
      </c>
      <c r="B34632" s="3" t="s">
        <v>95</v>
      </c>
      <c r="C34632" s="6">
        <v>6770</v>
      </c>
      <c r="D34632" s="7">
        <v>1.1100000000000001</v>
      </c>
      <c r="E34632" t="s">
        <v>26</v>
      </c>
    </row>
    <row r="34633" spans="1:5" x14ac:dyDescent="0.25">
      <c r="A34633" t="str">
        <f>HYPERLINK("https://www.773grp.com/globalSearch/MC14040BDG/page-1", "MC14040BDG")</f>
        <v>MC14040BDG</v>
      </c>
      <c r="B34633" s="3" t="s">
        <v>95</v>
      </c>
      <c r="C34633" s="6">
        <v>10840</v>
      </c>
      <c r="D34633" s="7">
        <v>1.1100000000000001</v>
      </c>
    </row>
    <row r="34634" spans="1:5" x14ac:dyDescent="0.25">
      <c r="A34634" t="str">
        <f>HYPERLINK("https://www.773grp.com/globalSearch/MC14040BDR2/page-1", "MC14040BDR2")</f>
        <v>MC14040BDR2</v>
      </c>
      <c r="B34634" s="3" t="s">
        <v>95</v>
      </c>
      <c r="C34634" s="6">
        <v>2500</v>
      </c>
      <c r="D34634" s="7">
        <v>1.1100000000000001</v>
      </c>
      <c r="E34634" t="s">
        <v>26</v>
      </c>
    </row>
    <row r="34635" spans="1:5" x14ac:dyDescent="0.25">
      <c r="A34635" t="str">
        <f>HYPERLINK("https://www.773grp.com/globalSearch/MC14040BDR2G/page-1", "MC14040BDR2G")</f>
        <v>MC14040BDR2G</v>
      </c>
      <c r="B34635" s="3" t="s">
        <v>95</v>
      </c>
      <c r="C34635" s="6">
        <v>400509</v>
      </c>
      <c r="D34635" s="7">
        <v>1.1100000000000001</v>
      </c>
      <c r="E34635" t="s">
        <v>26</v>
      </c>
    </row>
    <row r="34636" spans="1:5" x14ac:dyDescent="0.25">
      <c r="A34636" t="str">
        <f>HYPERLINK("https://www.773grp.com/globalSearch/MC14040BDTR2G/page-1", "MC14040BDTR2G")</f>
        <v>MC14040BDTR2G</v>
      </c>
      <c r="B34636" s="3" t="s">
        <v>95</v>
      </c>
      <c r="C34636" s="6">
        <v>984</v>
      </c>
      <c r="D34636" s="7">
        <v>1.1100000000000001</v>
      </c>
    </row>
    <row r="34637" spans="1:5" x14ac:dyDescent="0.25">
      <c r="A34637" t="str">
        <f>HYPERLINK("https://www.773grp.com/globalSearch/MC14042BDG/page-1", "MC14042BDG")</f>
        <v>MC14042BDG</v>
      </c>
      <c r="B34637" s="3" t="s">
        <v>95</v>
      </c>
      <c r="C34637" s="6">
        <v>1600</v>
      </c>
      <c r="D34637" s="7">
        <v>1.1100000000000001</v>
      </c>
      <c r="E34637" t="s">
        <v>35</v>
      </c>
    </row>
    <row r="34638" spans="1:5" x14ac:dyDescent="0.25">
      <c r="A34638" t="str">
        <f>HYPERLINK("https://www.773grp.com/globalSearch/MC14042BDR2G/page-1", "MC14042BDR2G")</f>
        <v>MC14042BDR2G</v>
      </c>
      <c r="B34638" s="3" t="s">
        <v>95</v>
      </c>
      <c r="C34638" s="6">
        <v>26968</v>
      </c>
      <c r="D34638" s="7">
        <v>1.1100000000000001</v>
      </c>
      <c r="E34638" t="s">
        <v>35</v>
      </c>
    </row>
    <row r="34639" spans="1:5" x14ac:dyDescent="0.25">
      <c r="A34639" t="str">
        <f>HYPERLINK("https://www.773grp.com/globalSearch/MC14052BCPG/page-1", "MC14052BCPG")</f>
        <v>MC14052BCPG</v>
      </c>
      <c r="B34639" s="3" t="s">
        <v>95</v>
      </c>
      <c r="C34639" s="6">
        <v>28507</v>
      </c>
      <c r="D34639" s="7">
        <v>1.1100000000000001</v>
      </c>
      <c r="E34639" t="s">
        <v>56</v>
      </c>
    </row>
    <row r="34640" spans="1:5" x14ac:dyDescent="0.25">
      <c r="A34640" t="str">
        <f>HYPERLINK("https://www.773grp.com/globalSearch/MC14052BFG/page-1", "MC14052BFG")</f>
        <v>MC14052BFG</v>
      </c>
      <c r="B34640" s="3" t="s">
        <v>95</v>
      </c>
      <c r="C34640" s="6">
        <v>4375</v>
      </c>
      <c r="D34640" s="7">
        <v>1.1100000000000001</v>
      </c>
      <c r="E34640" t="s">
        <v>56</v>
      </c>
    </row>
    <row r="34641" spans="1:5" x14ac:dyDescent="0.25">
      <c r="A34641" t="str">
        <f>HYPERLINK("https://www.773grp.com/globalSearch/MC14053BCPG/page-1", "MC14053BCPG")</f>
        <v>MC14053BCPG</v>
      </c>
      <c r="B34641" s="3" t="s">
        <v>95</v>
      </c>
      <c r="C34641" s="6">
        <v>53675</v>
      </c>
      <c r="D34641" s="7">
        <v>1.1100000000000001</v>
      </c>
      <c r="E34641" t="s">
        <v>56</v>
      </c>
    </row>
    <row r="34642" spans="1:5" x14ac:dyDescent="0.25">
      <c r="A34642" t="str">
        <f>HYPERLINK("https://www.773grp.com/globalSearch/MC14060BDG/page-1", "MC14060BDG")</f>
        <v>MC14060BDG</v>
      </c>
      <c r="B34642" s="3" t="s">
        <v>95</v>
      </c>
      <c r="C34642" s="6">
        <v>4512</v>
      </c>
      <c r="D34642" s="7">
        <v>1.1100000000000001</v>
      </c>
      <c r="E34642" t="s">
        <v>26</v>
      </c>
    </row>
    <row r="34643" spans="1:5" x14ac:dyDescent="0.25">
      <c r="A34643" t="str">
        <f>HYPERLINK("https://www.773grp.com/globalSearch/MC14060BDR2/page-1", "MC14060BDR2")</f>
        <v>MC14060BDR2</v>
      </c>
      <c r="B34643" s="3" t="s">
        <v>95</v>
      </c>
      <c r="C34643" s="6">
        <v>1004</v>
      </c>
      <c r="D34643" s="7">
        <v>1.1100000000000001</v>
      </c>
      <c r="E34643" t="s">
        <v>26</v>
      </c>
    </row>
    <row r="34644" spans="1:5" x14ac:dyDescent="0.25">
      <c r="A34644" t="str">
        <f>HYPERLINK("https://www.773grp.com/globalSearch/MC14060BDR2G/page-1", "MC14060BDR2G")</f>
        <v>MC14060BDR2G</v>
      </c>
      <c r="B34644" s="3" t="s">
        <v>95</v>
      </c>
      <c r="C34644" s="6">
        <v>90246</v>
      </c>
      <c r="D34644" s="7">
        <v>1.1100000000000001</v>
      </c>
      <c r="E34644" t="s">
        <v>26</v>
      </c>
    </row>
    <row r="34645" spans="1:5" x14ac:dyDescent="0.25">
      <c r="A34645" t="str">
        <f>HYPERLINK("https://www.773grp.com/globalSearch/MC14175BDG/page-1", "MC14175BDG")</f>
        <v>MC14175BDG</v>
      </c>
      <c r="B34645" s="3" t="s">
        <v>95</v>
      </c>
      <c r="C34645" s="6">
        <v>13246</v>
      </c>
      <c r="D34645" s="7">
        <v>1.1100000000000001</v>
      </c>
      <c r="E34645" t="s">
        <v>35</v>
      </c>
    </row>
    <row r="34646" spans="1:5" x14ac:dyDescent="0.25">
      <c r="A34646" t="str">
        <f>HYPERLINK("https://www.773grp.com/globalSearch/MC14175BDR2G/page-1", "MC14175BDR2G")</f>
        <v>MC14175BDR2G</v>
      </c>
      <c r="B34646" s="3" t="s">
        <v>95</v>
      </c>
      <c r="C34646" s="6">
        <v>32314</v>
      </c>
      <c r="D34646" s="7">
        <v>1.1100000000000001</v>
      </c>
      <c r="E34646" t="s">
        <v>35</v>
      </c>
    </row>
    <row r="34647" spans="1:5" x14ac:dyDescent="0.25">
      <c r="A34647" t="str">
        <f>HYPERLINK("https://www.773grp.com/globalSearch/MC14511BDG/page-1", "MC14511BDG")</f>
        <v>MC14511BDG</v>
      </c>
      <c r="B34647" s="3" t="s">
        <v>95</v>
      </c>
      <c r="C34647" s="6">
        <v>4238</v>
      </c>
      <c r="D34647" s="7">
        <v>1.1100000000000001</v>
      </c>
      <c r="E34647" t="s">
        <v>36</v>
      </c>
    </row>
    <row r="34648" spans="1:5" x14ac:dyDescent="0.25">
      <c r="A34648" t="str">
        <f>HYPERLINK("https://www.773grp.com/globalSearch/MC1455DG/page-1", "MC1455DG")</f>
        <v>MC1455DG</v>
      </c>
      <c r="B34648" s="3" t="s">
        <v>95</v>
      </c>
      <c r="C34648" s="6">
        <v>13567</v>
      </c>
      <c r="D34648" s="7">
        <v>1.1100000000000001</v>
      </c>
      <c r="E34648" t="s">
        <v>29</v>
      </c>
    </row>
    <row r="34649" spans="1:5" x14ac:dyDescent="0.25">
      <c r="A34649" t="str">
        <f>HYPERLINK("https://www.773grp.com/globalSearch/MC1455DR2/page-1", "MC1455DR2")</f>
        <v>MC1455DR2</v>
      </c>
      <c r="B34649" s="3" t="s">
        <v>95</v>
      </c>
      <c r="C34649" s="6">
        <v>22108</v>
      </c>
      <c r="D34649" s="7">
        <v>1.1100000000000001</v>
      </c>
    </row>
    <row r="34650" spans="1:5" x14ac:dyDescent="0.25">
      <c r="A34650" t="str">
        <f>HYPERLINK("https://www.773grp.com/globalSearch/MC1455DR2G/page-1", "MC1455DR2G")</f>
        <v>MC1455DR2G</v>
      </c>
      <c r="B34650" s="3" t="s">
        <v>95</v>
      </c>
      <c r="C34650" s="6">
        <v>26260</v>
      </c>
      <c r="D34650" s="7">
        <v>1.1100000000000001</v>
      </c>
      <c r="E34650" t="s">
        <v>29</v>
      </c>
    </row>
    <row r="34651" spans="1:5" x14ac:dyDescent="0.25">
      <c r="A34651" t="str">
        <f>HYPERLINK("https://www.773grp.com/globalSearch/MC1455P1/page-1", "MC1455P1")</f>
        <v>MC1455P1</v>
      </c>
      <c r="B34651" s="3" t="s">
        <v>95</v>
      </c>
      <c r="C34651" s="6">
        <v>70</v>
      </c>
      <c r="D34651" s="7">
        <v>1.1100000000000001</v>
      </c>
      <c r="E34651" t="s">
        <v>29</v>
      </c>
    </row>
    <row r="34652" spans="1:5" x14ac:dyDescent="0.25">
      <c r="A34652" t="str">
        <f>HYPERLINK("https://www.773grp.com/globalSearch/MC33460SQ-09ATR/page-1", "MC33460SQ-09ATR")</f>
        <v>MC33460SQ-09ATR</v>
      </c>
      <c r="B34652" s="3" t="s">
        <v>95</v>
      </c>
      <c r="C34652" s="6">
        <v>3120</v>
      </c>
      <c r="D34652" s="7">
        <v>1.1100000000000001</v>
      </c>
      <c r="E34652" t="s">
        <v>30</v>
      </c>
    </row>
    <row r="34653" spans="1:5" x14ac:dyDescent="0.25">
      <c r="A34653" t="str">
        <f>HYPERLINK("https://www.773grp.com/globalSearch/MC33460SQ-32ATR/page-1", "MC33460SQ-32ATR")</f>
        <v>MC33460SQ-32ATR</v>
      </c>
      <c r="B34653" s="3" t="s">
        <v>95</v>
      </c>
      <c r="C34653" s="6">
        <v>100</v>
      </c>
      <c r="D34653" s="7">
        <v>1.1100000000000001</v>
      </c>
      <c r="E34653" t="s">
        <v>30</v>
      </c>
    </row>
    <row r="34654" spans="1:5" x14ac:dyDescent="0.25">
      <c r="A34654" t="str">
        <f>HYPERLINK("https://www.773grp.com/globalSearch/MC33460SQ-45ATR/page-1", "MC33460SQ-45ATR")</f>
        <v>MC33460SQ-45ATR</v>
      </c>
      <c r="B34654" s="3" t="s">
        <v>95</v>
      </c>
      <c r="C34654" s="6">
        <v>28</v>
      </c>
      <c r="D34654" s="7">
        <v>1.1100000000000001</v>
      </c>
      <c r="E34654" t="s">
        <v>30</v>
      </c>
    </row>
    <row r="34655" spans="1:5" x14ac:dyDescent="0.25">
      <c r="A34655" t="str">
        <f>HYPERLINK("https://www.773grp.com/globalSearch/MC33461SQ-20CTR/page-1", "MC33461SQ-20CTR")</f>
        <v>MC33461SQ-20CTR</v>
      </c>
      <c r="B34655" s="3" t="s">
        <v>95</v>
      </c>
      <c r="C34655" s="6">
        <v>9000</v>
      </c>
      <c r="D34655" s="7">
        <v>1.1100000000000001</v>
      </c>
      <c r="E34655" t="s">
        <v>30</v>
      </c>
    </row>
    <row r="34656" spans="1:5" x14ac:dyDescent="0.25">
      <c r="A34656" t="str">
        <f>HYPERLINK("https://www.773grp.com/globalSearch/MC33461SQ-27CTR/page-1", "MC33461SQ-27CTR")</f>
        <v>MC33461SQ-27CTR</v>
      </c>
      <c r="B34656" s="3" t="s">
        <v>95</v>
      </c>
      <c r="C34656" s="6">
        <v>30000</v>
      </c>
      <c r="D34656" s="7">
        <v>1.1100000000000001</v>
      </c>
      <c r="E34656" t="s">
        <v>30</v>
      </c>
    </row>
    <row r="34657" spans="1:5" x14ac:dyDescent="0.25">
      <c r="A34657" t="str">
        <f>HYPERLINK("https://www.773grp.com/globalSearch/MC33461SQ-30CTR/page-1", "MC33461SQ-30CTR")</f>
        <v>MC33461SQ-30CTR</v>
      </c>
      <c r="B34657" s="3" t="s">
        <v>95</v>
      </c>
      <c r="C34657" s="6">
        <v>160</v>
      </c>
      <c r="D34657" s="7">
        <v>1.1100000000000001</v>
      </c>
      <c r="E34657" t="s">
        <v>30</v>
      </c>
    </row>
    <row r="34658" spans="1:5" x14ac:dyDescent="0.25">
      <c r="A34658" t="str">
        <f>HYPERLINK("https://www.773grp.com/globalSearch/MC33461SQ-32CTR/page-1", "MC33461SQ-32CTR")</f>
        <v>MC33461SQ-32CTR</v>
      </c>
      <c r="B34658" s="3" t="s">
        <v>95</v>
      </c>
      <c r="C34658" s="6">
        <v>111280</v>
      </c>
      <c r="D34658" s="7">
        <v>1.1100000000000001</v>
      </c>
      <c r="E34658" t="s">
        <v>30</v>
      </c>
    </row>
    <row r="34659" spans="1:5" x14ac:dyDescent="0.25">
      <c r="A34659" t="str">
        <f>HYPERLINK("https://www.773grp.com/globalSearch/MC33465N-09ATR/page-1", "MC33465N-09ATR")</f>
        <v>MC33465N-09ATR</v>
      </c>
      <c r="B34659" s="3" t="s">
        <v>95</v>
      </c>
      <c r="C34659" s="6">
        <v>2380</v>
      </c>
      <c r="D34659" s="7">
        <v>1.1100000000000001</v>
      </c>
      <c r="E34659" t="s">
        <v>30</v>
      </c>
    </row>
    <row r="34660" spans="1:5" x14ac:dyDescent="0.25">
      <c r="A34660" t="str">
        <f>HYPERLINK("https://www.773grp.com/globalSearch/MC33465N-20ATR/page-1", "MC33465N-20ATR")</f>
        <v>MC33465N-20ATR</v>
      </c>
      <c r="B34660" s="3" t="s">
        <v>95</v>
      </c>
      <c r="C34660" s="6">
        <v>170540</v>
      </c>
      <c r="D34660" s="7">
        <v>1.1100000000000001</v>
      </c>
      <c r="E34660" t="s">
        <v>30</v>
      </c>
    </row>
    <row r="34661" spans="1:5" x14ac:dyDescent="0.25">
      <c r="A34661" t="str">
        <f>HYPERLINK("https://www.773grp.com/globalSearch/MC33465N-20CTR/page-1", "MC33465N-20CTR")</f>
        <v>MC33465N-20CTR</v>
      </c>
      <c r="B34661" s="3" t="s">
        <v>95</v>
      </c>
      <c r="C34661" s="6">
        <v>5315</v>
      </c>
      <c r="D34661" s="7">
        <v>1.1100000000000001</v>
      </c>
      <c r="E34661" t="s">
        <v>30</v>
      </c>
    </row>
    <row r="34662" spans="1:5" x14ac:dyDescent="0.25">
      <c r="A34662" t="str">
        <f>HYPERLINK("https://www.773grp.com/globalSearch/MC33465N-22ATR/page-1", "MC33465N-22ATR")</f>
        <v>MC33465N-22ATR</v>
      </c>
      <c r="B34662" s="3" t="s">
        <v>95</v>
      </c>
      <c r="C34662" s="6">
        <v>185955</v>
      </c>
      <c r="D34662" s="7">
        <v>1.1100000000000001</v>
      </c>
      <c r="E34662" t="s">
        <v>30</v>
      </c>
    </row>
    <row r="34663" spans="1:5" x14ac:dyDescent="0.25">
      <c r="A34663" t="str">
        <f>HYPERLINK("https://www.773grp.com/globalSearch/MC33465N-27ATR/page-1", "MC33465N-27ATR")</f>
        <v>MC33465N-27ATR</v>
      </c>
      <c r="B34663" s="3" t="s">
        <v>95</v>
      </c>
      <c r="C34663" s="6">
        <v>138160</v>
      </c>
      <c r="D34663" s="7">
        <v>1.1100000000000001</v>
      </c>
      <c r="E34663" t="s">
        <v>30</v>
      </c>
    </row>
    <row r="34664" spans="1:5" x14ac:dyDescent="0.25">
      <c r="A34664" t="str">
        <f>HYPERLINK("https://www.773grp.com/globalSearch/MC33465N-27CTR/page-1", "MC33465N-27CTR")</f>
        <v>MC33465N-27CTR</v>
      </c>
      <c r="B34664" s="3" t="s">
        <v>95</v>
      </c>
      <c r="C34664" s="6">
        <v>2814</v>
      </c>
      <c r="D34664" s="7">
        <v>1.1100000000000001</v>
      </c>
      <c r="E34664" t="s">
        <v>30</v>
      </c>
    </row>
    <row r="34665" spans="1:5" x14ac:dyDescent="0.25">
      <c r="A34665" t="str">
        <f>HYPERLINK("https://www.773grp.com/globalSearch/MC33465N-28ATR/page-1", "MC33465N-28ATR")</f>
        <v>MC33465N-28ATR</v>
      </c>
      <c r="B34665" s="3" t="s">
        <v>95</v>
      </c>
      <c r="C34665" s="6">
        <v>282050</v>
      </c>
      <c r="D34665" s="7">
        <v>1.1100000000000001</v>
      </c>
      <c r="E34665" t="s">
        <v>30</v>
      </c>
    </row>
    <row r="34666" spans="1:5" x14ac:dyDescent="0.25">
      <c r="A34666" t="str">
        <f>HYPERLINK("https://www.773grp.com/globalSearch/MC33465N-30ATR/page-1", "MC33465N-30ATR")</f>
        <v>MC33465N-30ATR</v>
      </c>
      <c r="B34666" s="3" t="s">
        <v>95</v>
      </c>
      <c r="C34666" s="6">
        <v>239725</v>
      </c>
      <c r="D34666" s="7">
        <v>1.1100000000000001</v>
      </c>
      <c r="E34666" t="s">
        <v>30</v>
      </c>
    </row>
    <row r="34667" spans="1:5" x14ac:dyDescent="0.25">
      <c r="A34667" t="str">
        <f>HYPERLINK("https://www.773grp.com/globalSearch/MC33465N-30CTR/page-1", "MC33465N-30CTR")</f>
        <v>MC33465N-30CTR</v>
      </c>
      <c r="B34667" s="3" t="s">
        <v>95</v>
      </c>
      <c r="C34667" s="6">
        <v>139508</v>
      </c>
      <c r="D34667" s="7">
        <v>1.1100000000000001</v>
      </c>
      <c r="E34667" t="s">
        <v>30</v>
      </c>
    </row>
    <row r="34668" spans="1:5" x14ac:dyDescent="0.25">
      <c r="A34668" t="str">
        <f>HYPERLINK("https://www.773grp.com/globalSearch/MC33465N-32ATR/page-1", "MC33465N-32ATR")</f>
        <v>MC33465N-32ATR</v>
      </c>
      <c r="B34668" s="3" t="s">
        <v>95</v>
      </c>
      <c r="C34668" s="6">
        <v>33088</v>
      </c>
      <c r="D34668" s="7">
        <v>1.1100000000000001</v>
      </c>
      <c r="E34668" t="s">
        <v>30</v>
      </c>
    </row>
    <row r="34669" spans="1:5" x14ac:dyDescent="0.25">
      <c r="A34669" t="str">
        <f>HYPERLINK("https://www.773grp.com/globalSearch/MC33465N-34ATR/page-1", "MC33465N-34ATR")</f>
        <v>MC33465N-34ATR</v>
      </c>
      <c r="B34669" s="3" t="s">
        <v>95</v>
      </c>
      <c r="C34669" s="6">
        <v>9178</v>
      </c>
      <c r="D34669" s="7">
        <v>1.1100000000000001</v>
      </c>
      <c r="E34669" t="s">
        <v>30</v>
      </c>
    </row>
    <row r="34670" spans="1:5" x14ac:dyDescent="0.25">
      <c r="A34670" t="str">
        <f>HYPERLINK("https://www.773grp.com/globalSearch/MC33465N-43CTR/page-1", "MC33465N-43CTR")</f>
        <v>MC33465N-43CTR</v>
      </c>
      <c r="B34670" s="3" t="s">
        <v>95</v>
      </c>
      <c r="C34670" s="6">
        <v>65</v>
      </c>
      <c r="D34670" s="7">
        <v>1.1100000000000001</v>
      </c>
      <c r="E34670" t="s">
        <v>30</v>
      </c>
    </row>
    <row r="34671" spans="1:5" x14ac:dyDescent="0.25">
      <c r="A34671" t="str">
        <f>HYPERLINK("https://www.773grp.com/globalSearch/MC33465N-45ATR/page-1", "MC33465N-45ATR")</f>
        <v>MC33465N-45ATR</v>
      </c>
      <c r="B34671" s="3" t="s">
        <v>95</v>
      </c>
      <c r="C34671" s="6">
        <v>371139</v>
      </c>
      <c r="D34671" s="7">
        <v>1.1100000000000001</v>
      </c>
      <c r="E34671" t="s">
        <v>30</v>
      </c>
    </row>
    <row r="34672" spans="1:5" x14ac:dyDescent="0.25">
      <c r="A34672" t="str">
        <f>HYPERLINK("https://www.773grp.com/globalSearch/MC33465N-45ATR/page-1", "MC33465N-45ATR")</f>
        <v>MC33465N-45ATR</v>
      </c>
      <c r="B34672" s="3" t="s">
        <v>95</v>
      </c>
      <c r="C34672" s="6">
        <v>30850</v>
      </c>
      <c r="D34672" s="7">
        <v>1.1100000000000001</v>
      </c>
      <c r="E34672" t="s">
        <v>30</v>
      </c>
    </row>
    <row r="34673" spans="1:5" x14ac:dyDescent="0.25">
      <c r="A34673" t="str">
        <f>HYPERLINK("https://www.773grp.com/globalSearch/MC33465N-48CTR/page-1", "MC33465N-48CTR")</f>
        <v>MC33465N-48CTR</v>
      </c>
      <c r="B34673" s="3" t="s">
        <v>95</v>
      </c>
      <c r="C34673" s="6">
        <v>3000</v>
      </c>
      <c r="D34673" s="7">
        <v>1.1100000000000001</v>
      </c>
    </row>
    <row r="34674" spans="1:5" x14ac:dyDescent="0.25">
      <c r="A34674" t="str">
        <f>HYPERLINK("https://www.773grp.com/globalSearch/MC33761SNT1-028G/page-1", "MC33761SNT1-028G")</f>
        <v>MC33761SNT1-028G</v>
      </c>
      <c r="B34674" s="3" t="s">
        <v>95</v>
      </c>
      <c r="C34674" s="6">
        <v>13935</v>
      </c>
      <c r="D34674" s="7">
        <v>1.1100000000000001</v>
      </c>
      <c r="E34674" t="s">
        <v>19</v>
      </c>
    </row>
    <row r="34675" spans="1:5" x14ac:dyDescent="0.25">
      <c r="A34675" t="str">
        <f>HYPERLINK("https://www.773grp.com/globalSearch/MC34002BD/page-1", "MC34002BD")</f>
        <v>MC34002BD</v>
      </c>
      <c r="B34675" s="3" t="s">
        <v>95</v>
      </c>
      <c r="C34675" s="6">
        <v>88</v>
      </c>
      <c r="D34675" s="7">
        <v>1.1100000000000001</v>
      </c>
      <c r="E34675" t="s">
        <v>13</v>
      </c>
    </row>
    <row r="34676" spans="1:5" x14ac:dyDescent="0.25">
      <c r="A34676" t="str">
        <f>HYPERLINK("https://www.773grp.com/globalSearch/MC34074P/page-1", "MC34074P")</f>
        <v>MC34074P</v>
      </c>
      <c r="B34676" s="3" t="s">
        <v>95</v>
      </c>
      <c r="C34676" s="6">
        <v>3146</v>
      </c>
      <c r="D34676" s="7">
        <v>1.1100000000000001</v>
      </c>
      <c r="E34676" t="s">
        <v>13</v>
      </c>
    </row>
    <row r="34677" spans="1:5" x14ac:dyDescent="0.25">
      <c r="A34677" t="str">
        <f>HYPERLINK("https://www.773grp.com/globalSearch/MC34152D/page-1", "MC34152D")</f>
        <v>MC34152D</v>
      </c>
      <c r="B34677" s="3" t="s">
        <v>95</v>
      </c>
      <c r="C34677" s="6">
        <v>25</v>
      </c>
      <c r="D34677" s="7">
        <v>1.1100000000000001</v>
      </c>
      <c r="E34677" t="s">
        <v>16</v>
      </c>
    </row>
    <row r="34678" spans="1:5" x14ac:dyDescent="0.25">
      <c r="A34678" t="str">
        <f>HYPERLINK("https://www.773grp.com/globalSearch/MC34268D/page-1", "MC34268D")</f>
        <v>MC34268D</v>
      </c>
      <c r="B34678" s="3" t="s">
        <v>95</v>
      </c>
      <c r="C34678" s="6">
        <v>4258</v>
      </c>
      <c r="D34678" s="7">
        <v>1.1100000000000001</v>
      </c>
      <c r="E34678" t="s">
        <v>24</v>
      </c>
    </row>
    <row r="34679" spans="1:5" x14ac:dyDescent="0.25">
      <c r="A34679" t="str">
        <f>HYPERLINK("https://www.773grp.com/globalSearch/MC34268DR2/page-1", "MC34268DR2")</f>
        <v>MC34268DR2</v>
      </c>
      <c r="B34679" s="3" t="s">
        <v>95</v>
      </c>
      <c r="C34679" s="6">
        <v>2500</v>
      </c>
      <c r="D34679" s="7">
        <v>1.1100000000000001</v>
      </c>
      <c r="E34679" t="s">
        <v>24</v>
      </c>
    </row>
    <row r="34680" spans="1:5" x14ac:dyDescent="0.25">
      <c r="A34680" t="str">
        <f>HYPERLINK("https://www.773grp.com/globalSearch/MC34268DTG/page-1", "MC34268DTG")</f>
        <v>MC34268DTG</v>
      </c>
      <c r="B34680" s="3" t="s">
        <v>95</v>
      </c>
      <c r="C34680" s="6">
        <v>2175</v>
      </c>
      <c r="D34680" s="7">
        <v>1.1100000000000001</v>
      </c>
      <c r="E34680" t="s">
        <v>24</v>
      </c>
    </row>
    <row r="34681" spans="1:5" x14ac:dyDescent="0.25">
      <c r="A34681" t="str">
        <f>HYPERLINK("https://www.773grp.com/globalSearch/MC34268DTRK/page-1", "MC34268DTRK")</f>
        <v>MC34268DTRK</v>
      </c>
      <c r="B34681" s="3" t="s">
        <v>95</v>
      </c>
      <c r="C34681" s="6">
        <v>9932</v>
      </c>
      <c r="D34681" s="7">
        <v>1.1100000000000001</v>
      </c>
      <c r="E34681" t="s">
        <v>24</v>
      </c>
    </row>
    <row r="34682" spans="1:5" x14ac:dyDescent="0.25">
      <c r="A34682" t="str">
        <f>HYPERLINK("https://www.773grp.com/globalSearch/MC34268DTRKG/page-1", "MC34268DTRKG")</f>
        <v>MC34268DTRKG</v>
      </c>
      <c r="B34682" s="3" t="s">
        <v>95</v>
      </c>
      <c r="C34682" s="6">
        <v>7500</v>
      </c>
      <c r="D34682" s="7">
        <v>1.1100000000000001</v>
      </c>
      <c r="E34682" t="s">
        <v>24</v>
      </c>
    </row>
    <row r="34683" spans="1:5" x14ac:dyDescent="0.25">
      <c r="A34683" t="str">
        <f>HYPERLINK("https://www.773grp.com/globalSearch/MC74AC138MELG/page-1", "MC74AC138MELG")</f>
        <v>MC74AC138MELG</v>
      </c>
      <c r="B34683" s="3" t="s">
        <v>95</v>
      </c>
      <c r="C34683" s="6">
        <v>4582</v>
      </c>
      <c r="D34683" s="7">
        <v>1.1100000000000001</v>
      </c>
      <c r="E34683" t="s">
        <v>36</v>
      </c>
    </row>
    <row r="34684" spans="1:5" x14ac:dyDescent="0.25">
      <c r="A34684" t="str">
        <f>HYPERLINK("https://www.773grp.com/globalSearch/MC74AC241DW/page-1", "MC74AC241DW")</f>
        <v>MC74AC241DW</v>
      </c>
      <c r="B34684" s="3" t="s">
        <v>95</v>
      </c>
      <c r="C34684" s="6">
        <v>3658</v>
      </c>
      <c r="D34684" s="7">
        <v>1.1100000000000001</v>
      </c>
      <c r="E34684" t="s">
        <v>14</v>
      </c>
    </row>
    <row r="34685" spans="1:5" x14ac:dyDescent="0.25">
      <c r="A34685" t="str">
        <f>HYPERLINK("https://www.773grp.com/globalSearch/MC74AC241M/page-1", "MC74AC241M")</f>
        <v>MC74AC241M</v>
      </c>
      <c r="B34685" s="3" t="s">
        <v>95</v>
      </c>
      <c r="C34685" s="6">
        <v>870</v>
      </c>
      <c r="D34685" s="7">
        <v>1.1100000000000001</v>
      </c>
    </row>
    <row r="34686" spans="1:5" x14ac:dyDescent="0.25">
      <c r="A34686" t="str">
        <f>HYPERLINK("https://www.773grp.com/globalSearch/MC74AC241MEL/page-1", "MC74AC241MEL")</f>
        <v>MC74AC241MEL</v>
      </c>
      <c r="B34686" s="3" t="s">
        <v>95</v>
      </c>
      <c r="C34686" s="6">
        <v>2000</v>
      </c>
      <c r="D34686" s="7">
        <v>1.1100000000000001</v>
      </c>
    </row>
    <row r="34687" spans="1:5" x14ac:dyDescent="0.25">
      <c r="A34687" t="str">
        <f>HYPERLINK("https://www.773grp.com/globalSearch/MC74ACT139MELG/page-1", "MC74ACT139MELG")</f>
        <v>MC74ACT139MELG</v>
      </c>
      <c r="B34687" s="3" t="s">
        <v>95</v>
      </c>
      <c r="C34687" s="6">
        <v>27527</v>
      </c>
      <c r="D34687" s="7">
        <v>1.1100000000000001</v>
      </c>
      <c r="E34687" t="s">
        <v>36</v>
      </c>
    </row>
    <row r="34688" spans="1:5" x14ac:dyDescent="0.25">
      <c r="A34688" t="str">
        <f>HYPERLINK("https://www.773grp.com/globalSearch/MC74F112M/page-1", "MC74F112M")</f>
        <v>MC74F112M</v>
      </c>
      <c r="B34688" s="3" t="s">
        <v>95</v>
      </c>
      <c r="C34688" s="6">
        <v>3093</v>
      </c>
      <c r="D34688" s="7">
        <v>1.1100000000000001</v>
      </c>
    </row>
    <row r="34689" spans="1:5" x14ac:dyDescent="0.25">
      <c r="A34689" t="str">
        <f>HYPERLINK("https://www.773grp.com/globalSearch/MC74F112ML1/page-1", "MC74F112ML1")</f>
        <v>MC74F112ML1</v>
      </c>
      <c r="B34689" s="3" t="s">
        <v>95</v>
      </c>
      <c r="C34689" s="6">
        <v>3000</v>
      </c>
      <c r="D34689" s="7">
        <v>1.1100000000000001</v>
      </c>
    </row>
    <row r="34690" spans="1:5" x14ac:dyDescent="0.25">
      <c r="A34690" t="str">
        <f>HYPERLINK("https://www.773grp.com/globalSearch/MC74F112MR1/page-1", "MC74F112MR1")</f>
        <v>MC74F112MR1</v>
      </c>
      <c r="B34690" s="3" t="s">
        <v>95</v>
      </c>
      <c r="C34690" s="6">
        <v>3000</v>
      </c>
      <c r="D34690" s="7">
        <v>1.1100000000000001</v>
      </c>
    </row>
    <row r="34691" spans="1:5" x14ac:dyDescent="0.25">
      <c r="A34691" t="str">
        <f>HYPERLINK("https://www.773grp.com/globalSearch/MC74F125DR2/page-1", "MC74F125DR2")</f>
        <v>MC74F125DR2</v>
      </c>
      <c r="B34691" s="3" t="s">
        <v>95</v>
      </c>
      <c r="C34691" s="6">
        <v>9230</v>
      </c>
      <c r="D34691" s="7">
        <v>1.1100000000000001</v>
      </c>
      <c r="E34691" t="s">
        <v>14</v>
      </c>
    </row>
    <row r="34692" spans="1:5" x14ac:dyDescent="0.25">
      <c r="A34692" t="str">
        <f>HYPERLINK("https://www.773grp.com/globalSearch/MC74F125M/page-1", "MC74F125M")</f>
        <v>MC74F125M</v>
      </c>
      <c r="B34692" s="3" t="s">
        <v>95</v>
      </c>
      <c r="C34692" s="6">
        <v>4902</v>
      </c>
      <c r="D34692" s="7">
        <v>1.1100000000000001</v>
      </c>
    </row>
    <row r="34693" spans="1:5" x14ac:dyDescent="0.25">
      <c r="A34693" t="str">
        <f>HYPERLINK("https://www.773grp.com/globalSearch/MC74F125ML1/page-1", "MC74F125ML1")</f>
        <v>MC74F125ML1</v>
      </c>
      <c r="B34693" s="3" t="s">
        <v>95</v>
      </c>
      <c r="C34693" s="6">
        <v>1000</v>
      </c>
      <c r="D34693" s="7">
        <v>1.1100000000000001</v>
      </c>
    </row>
    <row r="34694" spans="1:5" x14ac:dyDescent="0.25">
      <c r="A34694" t="str">
        <f>HYPERLINK("https://www.773grp.com/globalSearch/MC74F125N/page-1", "MC74F125N")</f>
        <v>MC74F125N</v>
      </c>
      <c r="B34694" s="3" t="s">
        <v>95</v>
      </c>
      <c r="C34694" s="6">
        <v>23932</v>
      </c>
      <c r="D34694" s="7">
        <v>1.1100000000000001</v>
      </c>
      <c r="E34694" t="s">
        <v>14</v>
      </c>
    </row>
    <row r="34695" spans="1:5" x14ac:dyDescent="0.25">
      <c r="A34695" t="str">
        <f>HYPERLINK("https://www.773grp.com/globalSearch/MC74F126D/page-1", "MC74F126D")</f>
        <v>MC74F126D</v>
      </c>
      <c r="B34695" s="3" t="s">
        <v>95</v>
      </c>
      <c r="C34695" s="6">
        <v>6850</v>
      </c>
      <c r="D34695" s="7">
        <v>1.1100000000000001</v>
      </c>
      <c r="E34695" t="s">
        <v>14</v>
      </c>
    </row>
    <row r="34696" spans="1:5" x14ac:dyDescent="0.25">
      <c r="A34696" t="str">
        <f>HYPERLINK("https://www.773grp.com/globalSearch/MC74F126N/page-1", "MC74F126N")</f>
        <v>MC74F126N</v>
      </c>
      <c r="B34696" s="3" t="s">
        <v>95</v>
      </c>
      <c r="C34696" s="6">
        <v>844</v>
      </c>
      <c r="D34696" s="7">
        <v>1.1100000000000001</v>
      </c>
      <c r="E34696" t="s">
        <v>14</v>
      </c>
    </row>
    <row r="34697" spans="1:5" x14ac:dyDescent="0.25">
      <c r="A34697" t="str">
        <f>HYPERLINK("https://www.773grp.com/globalSearch/MC74F132D/page-1", "MC74F132D")</f>
        <v>MC74F132D</v>
      </c>
      <c r="B34697" s="3" t="s">
        <v>95</v>
      </c>
      <c r="C34697" s="6">
        <v>7309</v>
      </c>
      <c r="D34697" s="7">
        <v>1.1100000000000001</v>
      </c>
      <c r="E34697" t="s">
        <v>31</v>
      </c>
    </row>
    <row r="34698" spans="1:5" x14ac:dyDescent="0.25">
      <c r="A34698" t="str">
        <f>HYPERLINK("https://www.773grp.com/globalSearch/MC74F132DR2/page-1", "MC74F132DR2")</f>
        <v>MC74F132DR2</v>
      </c>
      <c r="B34698" s="3" t="s">
        <v>95</v>
      </c>
      <c r="C34698" s="6">
        <v>10000</v>
      </c>
      <c r="D34698" s="7">
        <v>1.1100000000000001</v>
      </c>
      <c r="E34698" t="s">
        <v>31</v>
      </c>
    </row>
    <row r="34699" spans="1:5" x14ac:dyDescent="0.25">
      <c r="A34699" t="str">
        <f>HYPERLINK("https://www.773grp.com/globalSearch/MC74F148D/page-1", "MC74F148D")</f>
        <v>MC74F148D</v>
      </c>
      <c r="B34699" s="3" t="s">
        <v>95</v>
      </c>
      <c r="C34699" s="6">
        <v>8525</v>
      </c>
      <c r="D34699" s="7">
        <v>1.1100000000000001</v>
      </c>
      <c r="E34699" t="s">
        <v>43</v>
      </c>
    </row>
    <row r="34700" spans="1:5" x14ac:dyDescent="0.25">
      <c r="A34700" t="str">
        <f>HYPERLINK("https://www.773grp.com/globalSearch/MC74F148DR2/page-1", "MC74F148DR2")</f>
        <v>MC74F148DR2</v>
      </c>
      <c r="B34700" s="3" t="s">
        <v>95</v>
      </c>
      <c r="C34700" s="6">
        <v>5000</v>
      </c>
      <c r="D34700" s="7">
        <v>1.1100000000000001</v>
      </c>
      <c r="E34700" t="s">
        <v>43</v>
      </c>
    </row>
    <row r="34701" spans="1:5" x14ac:dyDescent="0.25">
      <c r="A34701" t="str">
        <f>HYPERLINK("https://www.773grp.com/globalSearch/MC74F148M/page-1", "MC74F148M")</f>
        <v>MC74F148M</v>
      </c>
      <c r="B34701" s="3" t="s">
        <v>95</v>
      </c>
      <c r="C34701" s="6">
        <v>8800</v>
      </c>
      <c r="D34701" s="7">
        <v>1.1100000000000001</v>
      </c>
    </row>
    <row r="34702" spans="1:5" x14ac:dyDescent="0.25">
      <c r="A34702" t="str">
        <f>HYPERLINK("https://www.773grp.com/globalSearch/MC74F148MEL/page-1", "MC74F148MEL")</f>
        <v>MC74F148MEL</v>
      </c>
      <c r="B34702" s="3" t="s">
        <v>95</v>
      </c>
      <c r="C34702" s="6">
        <v>2000</v>
      </c>
      <c r="D34702" s="7">
        <v>1.1100000000000001</v>
      </c>
    </row>
    <row r="34703" spans="1:5" x14ac:dyDescent="0.25">
      <c r="A34703" t="str">
        <f>HYPERLINK("https://www.773grp.com/globalSearch/MC74F251D/page-1", "MC74F251D")</f>
        <v>MC74F251D</v>
      </c>
      <c r="B34703" s="3" t="s">
        <v>95</v>
      </c>
      <c r="C34703" s="6">
        <v>10220</v>
      </c>
      <c r="D34703" s="7">
        <v>1.1100000000000001</v>
      </c>
      <c r="E34703" t="s">
        <v>20</v>
      </c>
    </row>
    <row r="34704" spans="1:5" x14ac:dyDescent="0.25">
      <c r="A34704" t="str">
        <f>HYPERLINK("https://www.773grp.com/globalSearch/MC74F251MEL/page-1", "MC74F251MEL")</f>
        <v>MC74F251MEL</v>
      </c>
      <c r="B34704" s="3" t="s">
        <v>95</v>
      </c>
      <c r="C34704" s="6">
        <v>4000</v>
      </c>
      <c r="D34704" s="7">
        <v>1.1100000000000001</v>
      </c>
    </row>
    <row r="34705" spans="1:5" x14ac:dyDescent="0.25">
      <c r="A34705" t="str">
        <f>HYPERLINK("https://www.773grp.com/globalSearch/MC74HC240ADTR2G/page-1", "MC74HC240ADTR2G")</f>
        <v>MC74HC240ADTR2G</v>
      </c>
      <c r="B34705" s="3" t="s">
        <v>95</v>
      </c>
      <c r="C34705" s="6">
        <v>5841</v>
      </c>
      <c r="D34705" s="7">
        <v>1.1100000000000001</v>
      </c>
      <c r="E34705" t="s">
        <v>14</v>
      </c>
    </row>
    <row r="34706" spans="1:5" x14ac:dyDescent="0.25">
      <c r="A34706" t="str">
        <f>HYPERLINK("https://www.773grp.com/globalSearch/MC74HC240ADW/page-1", "MC74HC240ADW")</f>
        <v>MC74HC240ADW</v>
      </c>
      <c r="B34706" s="3" t="s">
        <v>95</v>
      </c>
      <c r="C34706" s="6">
        <v>1000</v>
      </c>
      <c r="D34706" s="7">
        <v>1.1100000000000001</v>
      </c>
      <c r="E34706" t="s">
        <v>14</v>
      </c>
    </row>
    <row r="34707" spans="1:5" x14ac:dyDescent="0.25">
      <c r="A34707" t="str">
        <f>HYPERLINK("https://www.773grp.com/globalSearch/MC74HC240ADWG/page-1", "MC74HC240ADWG")</f>
        <v>MC74HC240ADWG</v>
      </c>
      <c r="B34707" s="3" t="s">
        <v>95</v>
      </c>
      <c r="C34707" s="6">
        <v>17827</v>
      </c>
      <c r="D34707" s="7">
        <v>1.1100000000000001</v>
      </c>
      <c r="E34707" t="s">
        <v>14</v>
      </c>
    </row>
    <row r="34708" spans="1:5" x14ac:dyDescent="0.25">
      <c r="A34708" t="str">
        <f>HYPERLINK("https://www.773grp.com/globalSearch/MC74HC240ADWR2G/page-1", "MC74HC240ADWR2G")</f>
        <v>MC74HC240ADWR2G</v>
      </c>
      <c r="B34708" s="3" t="s">
        <v>95</v>
      </c>
      <c r="C34708" s="6">
        <v>50780</v>
      </c>
      <c r="D34708" s="7">
        <v>1.1100000000000001</v>
      </c>
      <c r="E34708" t="s">
        <v>14</v>
      </c>
    </row>
    <row r="34709" spans="1:5" x14ac:dyDescent="0.25">
      <c r="A34709" t="str">
        <f>HYPERLINK("https://www.773grp.com/globalSearch/MC74HC244ADTG/page-1", "MC74HC244ADTG")</f>
        <v>MC74HC244ADTG</v>
      </c>
      <c r="B34709" s="3" t="s">
        <v>95</v>
      </c>
      <c r="C34709" s="6">
        <v>2210</v>
      </c>
      <c r="D34709" s="7">
        <v>1.1100000000000001</v>
      </c>
      <c r="E34709" t="s">
        <v>14</v>
      </c>
    </row>
    <row r="34710" spans="1:5" x14ac:dyDescent="0.25">
      <c r="A34710" t="str">
        <f>HYPERLINK("https://www.773grp.com/globalSearch/MC74HC244ADTR2G/page-1", "MC74HC244ADTR2G")</f>
        <v>MC74HC244ADTR2G</v>
      </c>
      <c r="B34710" s="3" t="s">
        <v>95</v>
      </c>
      <c r="C34710" s="6">
        <v>172497</v>
      </c>
      <c r="D34710" s="7">
        <v>1.1100000000000001</v>
      </c>
      <c r="E34710" t="s">
        <v>14</v>
      </c>
    </row>
    <row r="34711" spans="1:5" x14ac:dyDescent="0.25">
      <c r="A34711" t="str">
        <f>HYPERLINK("https://www.773grp.com/globalSearch/MC74HC244ADW/page-1", "MC74HC244ADW")</f>
        <v>MC74HC244ADW</v>
      </c>
      <c r="B34711" s="3" t="s">
        <v>95</v>
      </c>
      <c r="C34711" s="6">
        <v>27742</v>
      </c>
      <c r="D34711" s="7">
        <v>1.1100000000000001</v>
      </c>
      <c r="E34711" t="s">
        <v>14</v>
      </c>
    </row>
    <row r="34712" spans="1:5" x14ac:dyDescent="0.25">
      <c r="A34712" t="str">
        <f>HYPERLINK("https://www.773grp.com/globalSearch/MC74HC244ADWG/page-1", "MC74HC244ADWG")</f>
        <v>MC74HC244ADWG</v>
      </c>
      <c r="B34712" s="3" t="s">
        <v>95</v>
      </c>
      <c r="C34712" s="6">
        <v>13961</v>
      </c>
      <c r="D34712" s="7">
        <v>1.1100000000000001</v>
      </c>
      <c r="E34712" t="s">
        <v>14</v>
      </c>
    </row>
    <row r="34713" spans="1:5" x14ac:dyDescent="0.25">
      <c r="A34713" t="str">
        <f>HYPERLINK("https://www.773grp.com/globalSearch/MC74HC244ADWR2G/page-1", "MC74HC244ADWR2G")</f>
        <v>MC74HC244ADWR2G</v>
      </c>
      <c r="B34713" s="3" t="s">
        <v>95</v>
      </c>
      <c r="C34713" s="6">
        <v>23944</v>
      </c>
      <c r="D34713" s="7">
        <v>1.1100000000000001</v>
      </c>
      <c r="E34713" t="s">
        <v>14</v>
      </c>
    </row>
    <row r="34714" spans="1:5" x14ac:dyDescent="0.25">
      <c r="A34714" t="str">
        <f>HYPERLINK("https://www.773grp.com/globalSearch/MC74HC245ADTG/page-1", "MC74HC245ADTG")</f>
        <v>MC74HC245ADTG</v>
      </c>
      <c r="B34714" s="3" t="s">
        <v>95</v>
      </c>
      <c r="C34714" s="6">
        <v>20327</v>
      </c>
      <c r="D34714" s="7">
        <v>1.1100000000000001</v>
      </c>
      <c r="E34714" t="s">
        <v>14</v>
      </c>
    </row>
    <row r="34715" spans="1:5" x14ac:dyDescent="0.25">
      <c r="A34715" t="str">
        <f>HYPERLINK("https://www.773grp.com/globalSearch/MC74HC245ADTR2G/page-1", "MC74HC245ADTR2G")</f>
        <v>MC74HC245ADTR2G</v>
      </c>
      <c r="B34715" s="3" t="s">
        <v>95</v>
      </c>
      <c r="C34715" s="6">
        <v>826422</v>
      </c>
      <c r="D34715" s="7">
        <v>1.1100000000000001</v>
      </c>
      <c r="E34715" t="s">
        <v>14</v>
      </c>
    </row>
    <row r="34716" spans="1:5" x14ac:dyDescent="0.25">
      <c r="A34716" t="str">
        <f>HYPERLINK("https://www.773grp.com/globalSearch/MC74HC245ADW/page-1", "MC74HC245ADW")</f>
        <v>MC74HC245ADW</v>
      </c>
      <c r="B34716" s="3" t="s">
        <v>95</v>
      </c>
      <c r="C34716" s="6">
        <v>22838</v>
      </c>
      <c r="D34716" s="7">
        <v>1.1100000000000001</v>
      </c>
      <c r="E34716" t="s">
        <v>14</v>
      </c>
    </row>
    <row r="34717" spans="1:5" x14ac:dyDescent="0.25">
      <c r="A34717" t="str">
        <f>HYPERLINK("https://www.773grp.com/globalSearch/MC74HC245ADWG/page-1", "MC74HC245ADWG")</f>
        <v>MC74HC245ADWG</v>
      </c>
      <c r="B34717" s="3" t="s">
        <v>95</v>
      </c>
      <c r="C34717" s="6">
        <v>8740</v>
      </c>
      <c r="D34717" s="7">
        <v>1.1100000000000001</v>
      </c>
      <c r="E34717" t="s">
        <v>14</v>
      </c>
    </row>
    <row r="34718" spans="1:5" x14ac:dyDescent="0.25">
      <c r="A34718" t="str">
        <f>HYPERLINK("https://www.773grp.com/globalSearch/MC74HC245ADWR2G/page-1", "MC74HC245ADWR2G")</f>
        <v>MC74HC245ADWR2G</v>
      </c>
      <c r="B34718" s="3" t="s">
        <v>95</v>
      </c>
      <c r="C34718" s="6">
        <v>133010</v>
      </c>
      <c r="D34718" s="7">
        <v>1.1100000000000001</v>
      </c>
      <c r="E34718" t="s">
        <v>14</v>
      </c>
    </row>
    <row r="34719" spans="1:5" x14ac:dyDescent="0.25">
      <c r="A34719" t="str">
        <f>HYPERLINK("https://www.773grp.com/globalSearch/MC74HC273ADTG/page-1", "MC74HC273ADTG")</f>
        <v>MC74HC273ADTG</v>
      </c>
      <c r="B34719" s="3" t="s">
        <v>95</v>
      </c>
      <c r="C34719" s="6">
        <v>3263</v>
      </c>
      <c r="D34719" s="7">
        <v>1.1100000000000001</v>
      </c>
      <c r="E34719" t="s">
        <v>35</v>
      </c>
    </row>
    <row r="34720" spans="1:5" x14ac:dyDescent="0.25">
      <c r="A34720" t="str">
        <f>HYPERLINK("https://www.773grp.com/globalSearch/MC74HC273ADTR2G/page-1", "MC74HC273ADTR2G")</f>
        <v>MC74HC273ADTR2G</v>
      </c>
      <c r="B34720" s="3" t="s">
        <v>95</v>
      </c>
      <c r="C34720" s="6">
        <v>25625</v>
      </c>
      <c r="D34720" s="7">
        <v>1.1100000000000001</v>
      </c>
      <c r="E34720" t="s">
        <v>35</v>
      </c>
    </row>
    <row r="34721" spans="1:5" x14ac:dyDescent="0.25">
      <c r="A34721" t="str">
        <f>HYPERLINK("https://www.773grp.com/globalSearch/MC74HC273ADWG/page-1", "MC74HC273ADWG")</f>
        <v>MC74HC273ADWG</v>
      </c>
      <c r="B34721" s="3" t="s">
        <v>95</v>
      </c>
      <c r="C34721" s="6">
        <v>12508</v>
      </c>
      <c r="D34721" s="7">
        <v>1.1100000000000001</v>
      </c>
      <c r="E34721" t="s">
        <v>35</v>
      </c>
    </row>
    <row r="34722" spans="1:5" x14ac:dyDescent="0.25">
      <c r="A34722" t="str">
        <f>HYPERLINK("https://www.773grp.com/globalSearch/MC74HC273ADWR2G/page-1", "MC74HC273ADWR2G")</f>
        <v>MC74HC273ADWR2G</v>
      </c>
      <c r="B34722" s="3" t="s">
        <v>95</v>
      </c>
      <c r="C34722" s="6">
        <v>40811</v>
      </c>
      <c r="D34722" s="7">
        <v>1.1100000000000001</v>
      </c>
      <c r="E34722" t="s">
        <v>35</v>
      </c>
    </row>
    <row r="34723" spans="1:5" x14ac:dyDescent="0.25">
      <c r="A34723" t="str">
        <f>HYPERLINK("https://www.773grp.com/globalSearch/MC74HC368F/page-1", "MC74HC368F")</f>
        <v>MC74HC368F</v>
      </c>
      <c r="B34723" s="3" t="s">
        <v>95</v>
      </c>
      <c r="C34723" s="6">
        <v>1540</v>
      </c>
      <c r="D34723" s="7">
        <v>1.1100000000000001</v>
      </c>
    </row>
    <row r="34724" spans="1:5" x14ac:dyDescent="0.25">
      <c r="A34724" t="str">
        <f>HYPERLINK("https://www.773grp.com/globalSearch/MC74HC368N/page-1", "MC74HC368N")</f>
        <v>MC74HC368N</v>
      </c>
      <c r="B34724" s="3" t="s">
        <v>95</v>
      </c>
      <c r="C34724" s="6">
        <v>4528</v>
      </c>
      <c r="D34724" s="7">
        <v>1.1100000000000001</v>
      </c>
      <c r="E34724" t="s">
        <v>14</v>
      </c>
    </row>
    <row r="34725" spans="1:5" x14ac:dyDescent="0.25">
      <c r="A34725" t="str">
        <f>HYPERLINK("https://www.773grp.com/globalSearch/MC74HC373ADTG/page-1", "MC74HC373ADTG")</f>
        <v>MC74HC373ADTG</v>
      </c>
      <c r="B34725" s="3" t="s">
        <v>95</v>
      </c>
      <c r="C34725" s="6">
        <v>2013</v>
      </c>
      <c r="D34725" s="7">
        <v>1.1100000000000001</v>
      </c>
      <c r="E34725" t="s">
        <v>14</v>
      </c>
    </row>
    <row r="34726" spans="1:5" x14ac:dyDescent="0.25">
      <c r="A34726" t="str">
        <f>HYPERLINK("https://www.773grp.com/globalSearch/MC74HC373ADTR2G/page-1", "MC74HC373ADTR2G")</f>
        <v>MC74HC373ADTR2G</v>
      </c>
      <c r="B34726" s="3" t="s">
        <v>95</v>
      </c>
      <c r="C34726" s="6">
        <v>62490</v>
      </c>
      <c r="D34726" s="7">
        <v>1.1100000000000001</v>
      </c>
      <c r="E34726" t="s">
        <v>14</v>
      </c>
    </row>
    <row r="34727" spans="1:5" x14ac:dyDescent="0.25">
      <c r="A34727" t="str">
        <f>HYPERLINK("https://www.773grp.com/globalSearch/MC74HC373ADWG/page-1", "MC74HC373ADWG")</f>
        <v>MC74HC373ADWG</v>
      </c>
      <c r="B34727" s="3" t="s">
        <v>95</v>
      </c>
      <c r="C34727" s="6">
        <v>6370</v>
      </c>
      <c r="D34727" s="7">
        <v>1.1100000000000001</v>
      </c>
      <c r="E34727" t="s">
        <v>14</v>
      </c>
    </row>
    <row r="34728" spans="1:5" x14ac:dyDescent="0.25">
      <c r="A34728" t="str">
        <f>HYPERLINK("https://www.773grp.com/globalSearch/MC74HC373ADWR2G/page-1", "MC74HC373ADWR2G")</f>
        <v>MC74HC373ADWR2G</v>
      </c>
      <c r="B34728" s="3" t="s">
        <v>95</v>
      </c>
      <c r="C34728" s="6">
        <v>163650</v>
      </c>
      <c r="D34728" s="7">
        <v>1.1100000000000001</v>
      </c>
      <c r="E34728" t="s">
        <v>14</v>
      </c>
    </row>
    <row r="34729" spans="1:5" x14ac:dyDescent="0.25">
      <c r="A34729" t="str">
        <f>HYPERLINK("https://www.773grp.com/globalSearch/MC74HC374ADTG/page-1", "MC74HC374ADTG")</f>
        <v>MC74HC374ADTG</v>
      </c>
      <c r="B34729" s="3" t="s">
        <v>95</v>
      </c>
      <c r="C34729" s="6">
        <v>22250</v>
      </c>
      <c r="D34729" s="7">
        <v>1.1100000000000001</v>
      </c>
      <c r="E34729" t="s">
        <v>14</v>
      </c>
    </row>
    <row r="34730" spans="1:5" x14ac:dyDescent="0.25">
      <c r="A34730" t="str">
        <f>HYPERLINK("https://www.773grp.com/globalSearch/MC74HC374ADTR2G/page-1", "MC74HC374ADTR2G")</f>
        <v>MC74HC374ADTR2G</v>
      </c>
      <c r="B34730" s="3" t="s">
        <v>95</v>
      </c>
      <c r="C34730" s="6">
        <v>82656</v>
      </c>
      <c r="D34730" s="7">
        <v>1.1100000000000001</v>
      </c>
      <c r="E34730" t="s">
        <v>14</v>
      </c>
    </row>
    <row r="34731" spans="1:5" x14ac:dyDescent="0.25">
      <c r="A34731" t="str">
        <f>HYPERLINK("https://www.773grp.com/globalSearch/MC74HC374ADWG/page-1", "MC74HC374ADWG")</f>
        <v>MC74HC374ADWG</v>
      </c>
      <c r="B34731" s="3" t="s">
        <v>95</v>
      </c>
      <c r="C34731" s="6">
        <v>2214</v>
      </c>
      <c r="D34731" s="7">
        <v>1.1100000000000001</v>
      </c>
      <c r="E34731" t="s">
        <v>14</v>
      </c>
    </row>
    <row r="34732" spans="1:5" x14ac:dyDescent="0.25">
      <c r="A34732" t="str">
        <f>HYPERLINK("https://www.773grp.com/globalSearch/MC74HC374ADWR2G/page-1", "MC74HC374ADWR2G")</f>
        <v>MC74HC374ADWR2G</v>
      </c>
      <c r="B34732" s="3" t="s">
        <v>95</v>
      </c>
      <c r="C34732" s="6">
        <v>228684</v>
      </c>
      <c r="D34732" s="7">
        <v>1.1100000000000001</v>
      </c>
      <c r="E34732" t="s">
        <v>14</v>
      </c>
    </row>
    <row r="34733" spans="1:5" x14ac:dyDescent="0.25">
      <c r="A34733" t="str">
        <f>HYPERLINK("https://www.773grp.com/globalSearch/MC74HC4046AFG/page-1", "MC74HC4046AFG")</f>
        <v>MC74HC4046AFG</v>
      </c>
      <c r="B34733" s="3" t="s">
        <v>95</v>
      </c>
      <c r="C34733" s="6">
        <v>29</v>
      </c>
      <c r="D34733" s="7">
        <v>1.1100000000000001</v>
      </c>
      <c r="E34733" t="s">
        <v>38</v>
      </c>
    </row>
    <row r="34734" spans="1:5" x14ac:dyDescent="0.25">
      <c r="A34734" t="str">
        <f>HYPERLINK("https://www.773grp.com/globalSearch/MC74HC573ADTG/page-1", "MC74HC573ADTG")</f>
        <v>MC74HC573ADTG</v>
      </c>
      <c r="B34734" s="3" t="s">
        <v>95</v>
      </c>
      <c r="C34734" s="6">
        <v>12975</v>
      </c>
      <c r="D34734" s="7">
        <v>1.1100000000000001</v>
      </c>
      <c r="E34734" t="s">
        <v>14</v>
      </c>
    </row>
    <row r="34735" spans="1:5" x14ac:dyDescent="0.25">
      <c r="A34735" t="str">
        <f>HYPERLINK("https://www.773grp.com/globalSearch/MC74HC573ADTR2G/page-1", "MC74HC573ADTR2G")</f>
        <v>MC74HC573ADTR2G</v>
      </c>
      <c r="B34735" s="3" t="s">
        <v>95</v>
      </c>
      <c r="C34735" s="6">
        <v>21755</v>
      </c>
      <c r="D34735" s="7">
        <v>1.1100000000000001</v>
      </c>
      <c r="E34735" t="s">
        <v>14</v>
      </c>
    </row>
    <row r="34736" spans="1:5" x14ac:dyDescent="0.25">
      <c r="A34736" t="str">
        <f>HYPERLINK("https://www.773grp.com/globalSearch/MC74HC573ADWG/page-1", "MC74HC573ADWG")</f>
        <v>MC74HC573ADWG</v>
      </c>
      <c r="B34736" s="3" t="s">
        <v>95</v>
      </c>
      <c r="C34736" s="6">
        <v>24506</v>
      </c>
      <c r="D34736" s="7">
        <v>1.1100000000000001</v>
      </c>
      <c r="E34736" t="s">
        <v>14</v>
      </c>
    </row>
    <row r="34737" spans="1:5" x14ac:dyDescent="0.25">
      <c r="A34737" t="str">
        <f>HYPERLINK("https://www.773grp.com/globalSearch/MC74HC573ADWR2G/page-1", "MC74HC573ADWR2G")</f>
        <v>MC74HC573ADWR2G</v>
      </c>
      <c r="B34737" s="3" t="s">
        <v>95</v>
      </c>
      <c r="C34737" s="6">
        <v>62550</v>
      </c>
      <c r="D34737" s="7">
        <v>1.1100000000000001</v>
      </c>
      <c r="E34737" t="s">
        <v>14</v>
      </c>
    </row>
    <row r="34738" spans="1:5" x14ac:dyDescent="0.25">
      <c r="A34738" t="str">
        <f>HYPERLINK("https://www.773grp.com/globalSearch/MC74HC574ADTR2G/page-1", "MC74HC574ADTR2G")</f>
        <v>MC74HC574ADTR2G</v>
      </c>
      <c r="B34738" s="3" t="s">
        <v>95</v>
      </c>
      <c r="C34738" s="6">
        <v>221198</v>
      </c>
      <c r="D34738" s="7">
        <v>1.1100000000000001</v>
      </c>
      <c r="E34738" t="s">
        <v>14</v>
      </c>
    </row>
    <row r="34739" spans="1:5" x14ac:dyDescent="0.25">
      <c r="A34739" t="str">
        <f>HYPERLINK("https://www.773grp.com/globalSearch/MC74HC574ADWG/page-1", "MC74HC574ADWG")</f>
        <v>MC74HC574ADWG</v>
      </c>
      <c r="B34739" s="3" t="s">
        <v>95</v>
      </c>
      <c r="C34739" s="6">
        <v>1673</v>
      </c>
      <c r="D34739" s="7">
        <v>1.1100000000000001</v>
      </c>
      <c r="E34739" t="s">
        <v>14</v>
      </c>
    </row>
    <row r="34740" spans="1:5" x14ac:dyDescent="0.25">
      <c r="A34740" t="str">
        <f>HYPERLINK("https://www.773grp.com/globalSearch/MC74HC574ADWR2G/page-1", "MC74HC574ADWR2G")</f>
        <v>MC74HC574ADWR2G</v>
      </c>
      <c r="B34740" s="3" t="s">
        <v>95</v>
      </c>
      <c r="C34740" s="6">
        <v>53481</v>
      </c>
      <c r="D34740" s="7">
        <v>1.1100000000000001</v>
      </c>
      <c r="E34740" t="s">
        <v>14</v>
      </c>
    </row>
    <row r="34741" spans="1:5" x14ac:dyDescent="0.25">
      <c r="A34741" t="str">
        <f>HYPERLINK("https://www.773grp.com/globalSearch/MC74HC595AFELG/page-1", "MC74HC595AFELG")</f>
        <v>MC74HC595AFELG</v>
      </c>
      <c r="B34741" s="3" t="s">
        <v>95</v>
      </c>
      <c r="C34741" s="6">
        <v>6399</v>
      </c>
      <c r="D34741" s="7">
        <v>1.1100000000000001</v>
      </c>
      <c r="E34741" t="s">
        <v>32</v>
      </c>
    </row>
    <row r="34742" spans="1:5" x14ac:dyDescent="0.25">
      <c r="A34742" t="str">
        <f>HYPERLINK("https://www.773grp.com/globalSearch/MC74HCT240ADT1R2/page-1", "MC74HCT240ADT1R2")</f>
        <v>MC74HCT240ADT1R2</v>
      </c>
      <c r="B34742" s="3" t="s">
        <v>95</v>
      </c>
      <c r="C34742" s="6">
        <v>5000</v>
      </c>
      <c r="D34742" s="7">
        <v>1.1100000000000001</v>
      </c>
    </row>
    <row r="34743" spans="1:5" x14ac:dyDescent="0.25">
      <c r="A34743" t="str">
        <f>HYPERLINK("https://www.773grp.com/globalSearch/MC74HCT240AF/page-1", "MC74HCT240AF")</f>
        <v>MC74HCT240AF</v>
      </c>
      <c r="B34743" s="3" t="s">
        <v>95</v>
      </c>
      <c r="C34743" s="6">
        <v>1847</v>
      </c>
      <c r="D34743" s="7">
        <v>1.1100000000000001</v>
      </c>
    </row>
    <row r="34744" spans="1:5" x14ac:dyDescent="0.25">
      <c r="A34744" t="str">
        <f>HYPERLINK("https://www.773grp.com/globalSearch/MC74HCT240AFL1/page-1", "MC74HCT240AFL1")</f>
        <v>MC74HCT240AFL1</v>
      </c>
      <c r="B34744" s="3" t="s">
        <v>95</v>
      </c>
      <c r="C34744" s="6">
        <v>2000</v>
      </c>
      <c r="D34744" s="7">
        <v>1.1100000000000001</v>
      </c>
    </row>
    <row r="34745" spans="1:5" x14ac:dyDescent="0.25">
      <c r="A34745" t="str">
        <f>HYPERLINK("https://www.773grp.com/globalSearch/MC74HCT241ADTG/page-1", "MC74HCT241ADTG")</f>
        <v>MC74HCT241ADTG</v>
      </c>
      <c r="B34745" s="3" t="s">
        <v>95</v>
      </c>
      <c r="C34745" s="6">
        <v>28040</v>
      </c>
      <c r="D34745" s="7">
        <v>1.1100000000000001</v>
      </c>
    </row>
    <row r="34746" spans="1:5" x14ac:dyDescent="0.25">
      <c r="A34746" t="str">
        <f>HYPERLINK("https://www.773grp.com/globalSearch/MC74HCT241ADTR2G/page-1", "MC74HCT241ADTR2G")</f>
        <v>MC74HCT241ADTR2G</v>
      </c>
      <c r="B34746" s="3" t="s">
        <v>95</v>
      </c>
      <c r="C34746" s="6">
        <v>7500</v>
      </c>
      <c r="D34746" s="7">
        <v>1.1100000000000001</v>
      </c>
      <c r="E34746" t="s">
        <v>14</v>
      </c>
    </row>
    <row r="34747" spans="1:5" x14ac:dyDescent="0.25">
      <c r="A34747" t="str">
        <f>HYPERLINK("https://www.773grp.com/globalSearch/MC74HCT241ADWG/page-1", "MC74HCT241ADWG")</f>
        <v>MC74HCT241ADWG</v>
      </c>
      <c r="B34747" s="3" t="s">
        <v>95</v>
      </c>
      <c r="C34747" s="6">
        <v>16834</v>
      </c>
      <c r="D34747" s="7">
        <v>1.1100000000000001</v>
      </c>
      <c r="E34747" t="s">
        <v>14</v>
      </c>
    </row>
    <row r="34748" spans="1:5" x14ac:dyDescent="0.25">
      <c r="A34748" t="str">
        <f>HYPERLINK("https://www.773grp.com/globalSearch/MC74HCT241ADWR2G/page-1", "MC74HCT241ADWR2G")</f>
        <v>MC74HCT241ADWR2G</v>
      </c>
      <c r="B34748" s="3" t="s">
        <v>95</v>
      </c>
      <c r="C34748" s="6">
        <v>15856</v>
      </c>
      <c r="D34748" s="7">
        <v>1.1100000000000001</v>
      </c>
      <c r="E34748" t="s">
        <v>14</v>
      </c>
    </row>
    <row r="34749" spans="1:5" x14ac:dyDescent="0.25">
      <c r="A34749" t="str">
        <f>HYPERLINK("https://www.773grp.com/globalSearch/MC74HCT244ADTR2G/page-1", "MC74HCT244ADTR2G")</f>
        <v>MC74HCT244ADTR2G</v>
      </c>
      <c r="B34749" s="3" t="s">
        <v>95</v>
      </c>
      <c r="C34749" s="6">
        <v>17139</v>
      </c>
      <c r="D34749" s="7">
        <v>1.1100000000000001</v>
      </c>
      <c r="E34749" t="s">
        <v>14</v>
      </c>
    </row>
    <row r="34750" spans="1:5" x14ac:dyDescent="0.25">
      <c r="A34750" t="str">
        <f>HYPERLINK("https://www.773grp.com/globalSearch/MC74HCT244ADWG/page-1", "MC74HCT244ADWG")</f>
        <v>MC74HCT244ADWG</v>
      </c>
      <c r="B34750" s="3" t="s">
        <v>95</v>
      </c>
      <c r="C34750" s="6">
        <v>7043</v>
      </c>
      <c r="D34750" s="7">
        <v>1.1100000000000001</v>
      </c>
      <c r="E34750" t="s">
        <v>14</v>
      </c>
    </row>
    <row r="34751" spans="1:5" x14ac:dyDescent="0.25">
      <c r="A34751" t="str">
        <f>HYPERLINK("https://www.773grp.com/globalSearch/MC74HCT244ADWR2/page-1", "MC74HCT244ADWR2")</f>
        <v>MC74HCT244ADWR2</v>
      </c>
      <c r="B34751" s="3" t="s">
        <v>95</v>
      </c>
      <c r="C34751" s="6">
        <v>2631</v>
      </c>
      <c r="D34751" s="7">
        <v>1.1100000000000001</v>
      </c>
      <c r="E34751" t="s">
        <v>14</v>
      </c>
    </row>
    <row r="34752" spans="1:5" x14ac:dyDescent="0.25">
      <c r="A34752" t="str">
        <f>HYPERLINK("https://www.773grp.com/globalSearch/MC74HCT244ADWR2G/page-1", "MC74HCT244ADWR2G")</f>
        <v>MC74HCT244ADWR2G</v>
      </c>
      <c r="B34752" s="3" t="s">
        <v>95</v>
      </c>
      <c r="C34752" s="6">
        <v>5000</v>
      </c>
      <c r="D34752" s="7">
        <v>1.1100000000000001</v>
      </c>
    </row>
    <row r="34753" spans="1:5" x14ac:dyDescent="0.25">
      <c r="A34753" t="str">
        <f>HYPERLINK("https://www.773grp.com/globalSearch/MC74HCT245ADTG/page-1", "MC74HCT245ADTG")</f>
        <v>MC74HCT245ADTG</v>
      </c>
      <c r="B34753" s="3" t="s">
        <v>95</v>
      </c>
      <c r="C34753" s="6">
        <v>745</v>
      </c>
      <c r="D34753" s="7">
        <v>1.1100000000000001</v>
      </c>
      <c r="E34753" t="s">
        <v>14</v>
      </c>
    </row>
    <row r="34754" spans="1:5" x14ac:dyDescent="0.25">
      <c r="A34754" t="str">
        <f>HYPERLINK("https://www.773grp.com/globalSearch/MC74HCT245ADTR2G/page-1", "MC74HCT245ADTR2G")</f>
        <v>MC74HCT245ADTR2G</v>
      </c>
      <c r="B34754" s="3" t="s">
        <v>95</v>
      </c>
      <c r="C34754" s="6">
        <v>2500</v>
      </c>
      <c r="D34754" s="7">
        <v>1.1100000000000001</v>
      </c>
      <c r="E34754" t="s">
        <v>14</v>
      </c>
    </row>
    <row r="34755" spans="1:5" x14ac:dyDescent="0.25">
      <c r="A34755" t="str">
        <f>HYPERLINK("https://www.773grp.com/globalSearch/MC74HCT245ADWG/page-1", "MC74HCT245ADWG")</f>
        <v>MC74HCT245ADWG</v>
      </c>
      <c r="B34755" s="3" t="s">
        <v>95</v>
      </c>
      <c r="C34755" s="6">
        <v>3388</v>
      </c>
      <c r="D34755" s="7">
        <v>1.1100000000000001</v>
      </c>
      <c r="E34755" t="s">
        <v>14</v>
      </c>
    </row>
    <row r="34756" spans="1:5" x14ac:dyDescent="0.25">
      <c r="A34756" t="str">
        <f>HYPERLINK("https://www.773grp.com/globalSearch/MC74HCT245ADWR2/page-1", "MC74HCT245ADWR2")</f>
        <v>MC74HCT245ADWR2</v>
      </c>
      <c r="B34756" s="3" t="s">
        <v>95</v>
      </c>
      <c r="C34756" s="6">
        <v>9000</v>
      </c>
      <c r="D34756" s="7">
        <v>1.1100000000000001</v>
      </c>
    </row>
    <row r="34757" spans="1:5" x14ac:dyDescent="0.25">
      <c r="A34757" t="str">
        <f>HYPERLINK("https://www.773grp.com/globalSearch/MC74HCT245ADWR2G/page-1", "MC74HCT245ADWR2G")</f>
        <v>MC74HCT245ADWR2G</v>
      </c>
      <c r="B34757" s="3" t="s">
        <v>95</v>
      </c>
      <c r="C34757" s="6">
        <v>7310</v>
      </c>
      <c r="D34757" s="7">
        <v>1.1100000000000001</v>
      </c>
      <c r="E34757" t="s">
        <v>14</v>
      </c>
    </row>
    <row r="34758" spans="1:5" x14ac:dyDescent="0.25">
      <c r="A34758" t="str">
        <f>HYPERLINK("https://www.773grp.com/globalSearch/MC74HCT273ADTR2G/page-1", "MC74HCT273ADTR2G")</f>
        <v>MC74HCT273ADTR2G</v>
      </c>
      <c r="B34758" s="3" t="s">
        <v>95</v>
      </c>
      <c r="C34758" s="6">
        <v>2209</v>
      </c>
      <c r="D34758" s="7">
        <v>1.1100000000000001</v>
      </c>
    </row>
    <row r="34759" spans="1:5" x14ac:dyDescent="0.25">
      <c r="A34759" t="str">
        <f>HYPERLINK("https://www.773grp.com/globalSearch/MC74HCT273ADW/page-1", "MC74HCT273ADW")</f>
        <v>MC74HCT273ADW</v>
      </c>
      <c r="B34759" s="3" t="s">
        <v>95</v>
      </c>
      <c r="C34759" s="6">
        <v>324</v>
      </c>
      <c r="D34759" s="7">
        <v>1.1100000000000001</v>
      </c>
      <c r="E34759" t="s">
        <v>35</v>
      </c>
    </row>
    <row r="34760" spans="1:5" x14ac:dyDescent="0.25">
      <c r="A34760" t="str">
        <f>HYPERLINK("https://www.773grp.com/globalSearch/MC74HCT273ADWG/page-1", "MC74HCT273ADWG")</f>
        <v>MC74HCT273ADWG</v>
      </c>
      <c r="B34760" s="3" t="s">
        <v>95</v>
      </c>
      <c r="C34760" s="6">
        <v>19718</v>
      </c>
      <c r="D34760" s="7">
        <v>1.1100000000000001</v>
      </c>
      <c r="E34760" t="s">
        <v>35</v>
      </c>
    </row>
    <row r="34761" spans="1:5" x14ac:dyDescent="0.25">
      <c r="A34761" t="str">
        <f>HYPERLINK("https://www.773grp.com/globalSearch/MC74HCT273ADWR2G/page-1", "MC74HCT273ADWR2G")</f>
        <v>MC74HCT273ADWR2G</v>
      </c>
      <c r="B34761" s="3" t="s">
        <v>95</v>
      </c>
      <c r="C34761" s="6">
        <v>23591</v>
      </c>
      <c r="D34761" s="7">
        <v>1.1100000000000001</v>
      </c>
      <c r="E34761" t="s">
        <v>35</v>
      </c>
    </row>
    <row r="34762" spans="1:5" x14ac:dyDescent="0.25">
      <c r="A34762" t="str">
        <f>HYPERLINK("https://www.773grp.com/globalSearch/MC74HCT373ADTR2G/page-1", "MC74HCT373ADTR2G")</f>
        <v>MC74HCT373ADTR2G</v>
      </c>
      <c r="B34762" s="3" t="s">
        <v>95</v>
      </c>
      <c r="C34762" s="6">
        <v>81025</v>
      </c>
      <c r="D34762" s="7">
        <v>1.1100000000000001</v>
      </c>
    </row>
    <row r="34763" spans="1:5" x14ac:dyDescent="0.25">
      <c r="A34763" t="str">
        <f>HYPERLINK("https://www.773grp.com/globalSearch/MC74HCT373ADWG/page-1", "MC74HCT373ADWG")</f>
        <v>MC74HCT373ADWG</v>
      </c>
      <c r="B34763" s="3" t="s">
        <v>95</v>
      </c>
      <c r="C34763" s="6">
        <v>15414</v>
      </c>
      <c r="D34763" s="7">
        <v>1.1100000000000001</v>
      </c>
      <c r="E34763" t="s">
        <v>14</v>
      </c>
    </row>
    <row r="34764" spans="1:5" x14ac:dyDescent="0.25">
      <c r="A34764" t="str">
        <f>HYPERLINK("https://www.773grp.com/globalSearch/MC74HCT373ADWR2G/page-1", "MC74HCT373ADWR2G")</f>
        <v>MC74HCT373ADWR2G</v>
      </c>
      <c r="B34764" s="3" t="s">
        <v>95</v>
      </c>
      <c r="C34764" s="6">
        <v>12000</v>
      </c>
      <c r="D34764" s="7">
        <v>1.1100000000000001</v>
      </c>
      <c r="E34764" t="s">
        <v>14</v>
      </c>
    </row>
    <row r="34765" spans="1:5" x14ac:dyDescent="0.25">
      <c r="A34765" t="str">
        <f>HYPERLINK("https://www.773grp.com/globalSearch/MC74HCT374ADTR2G/page-1", "MC74HCT374ADTR2G")</f>
        <v>MC74HCT374ADTR2G</v>
      </c>
      <c r="B34765" s="3" t="s">
        <v>95</v>
      </c>
      <c r="C34765" s="6">
        <v>2164</v>
      </c>
      <c r="D34765" s="7">
        <v>1.1100000000000001</v>
      </c>
    </row>
    <row r="34766" spans="1:5" x14ac:dyDescent="0.25">
      <c r="A34766" t="str">
        <f>HYPERLINK("https://www.773grp.com/globalSearch/MC74HCT374ADWG/page-1", "MC74HCT374ADWG")</f>
        <v>MC74HCT374ADWG</v>
      </c>
      <c r="B34766" s="3" t="s">
        <v>95</v>
      </c>
      <c r="C34766" s="6">
        <v>36781</v>
      </c>
      <c r="D34766" s="7">
        <v>1.1100000000000001</v>
      </c>
      <c r="E34766" t="s">
        <v>14</v>
      </c>
    </row>
    <row r="34767" spans="1:5" x14ac:dyDescent="0.25">
      <c r="A34767" t="str">
        <f>HYPERLINK("https://www.773grp.com/globalSearch/MC74HCT374ADWR2G/page-1", "MC74HCT374ADWR2G")</f>
        <v>MC74HCT374ADWR2G</v>
      </c>
      <c r="B34767" s="3" t="s">
        <v>95</v>
      </c>
      <c r="C34767" s="6">
        <v>5004</v>
      </c>
      <c r="D34767" s="7">
        <v>1.1100000000000001</v>
      </c>
      <c r="E34767" t="s">
        <v>14</v>
      </c>
    </row>
    <row r="34768" spans="1:5" x14ac:dyDescent="0.25">
      <c r="A34768" t="str">
        <f>HYPERLINK("https://www.773grp.com/globalSearch/MC74HCT573ADTR2G/page-1", "MC74HCT573ADTR2G")</f>
        <v>MC74HCT573ADTR2G</v>
      </c>
      <c r="B34768" s="3" t="s">
        <v>95</v>
      </c>
      <c r="C34768" s="6">
        <v>7510</v>
      </c>
      <c r="D34768" s="7">
        <v>1.1100000000000001</v>
      </c>
      <c r="E34768" t="s">
        <v>14</v>
      </c>
    </row>
    <row r="34769" spans="1:5" x14ac:dyDescent="0.25">
      <c r="A34769" t="str">
        <f>HYPERLINK("https://www.773grp.com/globalSearch/MC74HCT573ADWG/page-1", "MC74HCT573ADWG")</f>
        <v>MC74HCT573ADWG</v>
      </c>
      <c r="B34769" s="3" t="s">
        <v>95</v>
      </c>
      <c r="C34769" s="6">
        <v>1828</v>
      </c>
      <c r="D34769" s="7">
        <v>1.1100000000000001</v>
      </c>
      <c r="E34769" t="s">
        <v>14</v>
      </c>
    </row>
    <row r="34770" spans="1:5" x14ac:dyDescent="0.25">
      <c r="A34770" t="str">
        <f>HYPERLINK("https://www.773grp.com/globalSearch/MC74HCT573ADWR2G/page-1", "MC74HCT573ADWR2G")</f>
        <v>MC74HCT573ADWR2G</v>
      </c>
      <c r="B34770" s="3" t="s">
        <v>95</v>
      </c>
      <c r="C34770" s="6">
        <v>2570</v>
      </c>
      <c r="D34770" s="7">
        <v>1.1100000000000001</v>
      </c>
      <c r="E34770" t="s">
        <v>14</v>
      </c>
    </row>
    <row r="34771" spans="1:5" x14ac:dyDescent="0.25">
      <c r="A34771" t="str">
        <f>HYPERLINK("https://www.773grp.com/globalSearch/MC74HCT574ADTR2G/page-1", "MC74HCT574ADTR2G")</f>
        <v>MC74HCT574ADTR2G</v>
      </c>
      <c r="B34771" s="3" t="s">
        <v>95</v>
      </c>
      <c r="C34771" s="6">
        <v>2500</v>
      </c>
      <c r="D34771" s="7">
        <v>1.1100000000000001</v>
      </c>
      <c r="E34771" t="s">
        <v>14</v>
      </c>
    </row>
    <row r="34772" spans="1:5" x14ac:dyDescent="0.25">
      <c r="A34772" t="str">
        <f>HYPERLINK("https://www.773grp.com/globalSearch/MC74HCT574ADWG/page-1", "MC74HCT574ADWG")</f>
        <v>MC74HCT574ADWG</v>
      </c>
      <c r="B34772" s="3" t="s">
        <v>95</v>
      </c>
      <c r="C34772" s="6">
        <v>7471</v>
      </c>
      <c r="D34772" s="7">
        <v>1.1100000000000001</v>
      </c>
      <c r="E34772" t="s">
        <v>14</v>
      </c>
    </row>
    <row r="34773" spans="1:5" x14ac:dyDescent="0.25">
      <c r="A34773" t="str">
        <f>HYPERLINK("https://www.773grp.com/globalSearch/MC74HCT574ADWR2G/page-1", "MC74HCT574ADWR2G")</f>
        <v>MC74HCT574ADWR2G</v>
      </c>
      <c r="B34773" s="3" t="s">
        <v>95</v>
      </c>
      <c r="C34773" s="6">
        <v>2600</v>
      </c>
      <c r="D34773" s="7">
        <v>1.1100000000000001</v>
      </c>
      <c r="E34773" t="s">
        <v>14</v>
      </c>
    </row>
    <row r="34774" spans="1:5" x14ac:dyDescent="0.25">
      <c r="A34774" t="str">
        <f>HYPERLINK("https://www.773grp.com/globalSearch/MC74LVX4051DG/page-1", "MC74LVX4051DG")</f>
        <v>MC74LVX4051DG</v>
      </c>
      <c r="B34774" s="3" t="s">
        <v>95</v>
      </c>
      <c r="C34774" s="6">
        <v>23797</v>
      </c>
      <c r="D34774" s="7">
        <v>1.1100000000000001</v>
      </c>
      <c r="E34774" t="s">
        <v>56</v>
      </c>
    </row>
    <row r="34775" spans="1:5" x14ac:dyDescent="0.25">
      <c r="A34775" t="str">
        <f>HYPERLINK("https://www.773grp.com/globalSearch/MC74LVX4051DR2G/page-1", "MC74LVX4051DR2G")</f>
        <v>MC74LVX4051DR2G</v>
      </c>
      <c r="B34775" s="3" t="s">
        <v>95</v>
      </c>
      <c r="C34775" s="6">
        <v>7145</v>
      </c>
      <c r="D34775" s="7">
        <v>1.1100000000000001</v>
      </c>
      <c r="E34775" t="s">
        <v>56</v>
      </c>
    </row>
    <row r="34776" spans="1:5" x14ac:dyDescent="0.25">
      <c r="A34776" t="str">
        <f>HYPERLINK("https://www.773grp.com/globalSearch/MC74LVX4051DTG/page-1", "MC74LVX4051DTG")</f>
        <v>MC74LVX4051DTG</v>
      </c>
      <c r="B34776" s="3" t="s">
        <v>95</v>
      </c>
      <c r="C34776" s="6">
        <v>254</v>
      </c>
      <c r="D34776" s="7">
        <v>1.1100000000000001</v>
      </c>
      <c r="E34776" t="s">
        <v>56</v>
      </c>
    </row>
    <row r="34777" spans="1:5" x14ac:dyDescent="0.25">
      <c r="A34777" t="str">
        <f>HYPERLINK("https://www.773grp.com/globalSearch/MC74LVX4051DTR2G/page-1", "MC74LVX4051DTR2G")</f>
        <v>MC74LVX4051DTR2G</v>
      </c>
      <c r="B34777" s="3" t="s">
        <v>95</v>
      </c>
      <c r="C34777" s="6">
        <v>2988</v>
      </c>
      <c r="D34777" s="7">
        <v>1.1100000000000001</v>
      </c>
    </row>
    <row r="34778" spans="1:5" x14ac:dyDescent="0.25">
      <c r="A34778" t="str">
        <f>HYPERLINK("https://www.773grp.com/globalSearch/MC74LVX4052DG/page-1", "MC74LVX4052DG")</f>
        <v>MC74LVX4052DG</v>
      </c>
      <c r="B34778" s="3" t="s">
        <v>95</v>
      </c>
      <c r="C34778" s="6">
        <v>23621</v>
      </c>
      <c r="D34778" s="7">
        <v>1.1100000000000001</v>
      </c>
      <c r="E34778" t="s">
        <v>56</v>
      </c>
    </row>
    <row r="34779" spans="1:5" x14ac:dyDescent="0.25">
      <c r="A34779" t="str">
        <f>HYPERLINK("https://www.773grp.com/globalSearch/MC74LVX4052DR2G/page-1", "MC74LVX4052DR2G")</f>
        <v>MC74LVX4052DR2G</v>
      </c>
      <c r="B34779" s="3" t="s">
        <v>95</v>
      </c>
      <c r="C34779" s="6">
        <v>6724</v>
      </c>
      <c r="D34779" s="7">
        <v>1.1100000000000001</v>
      </c>
      <c r="E34779" t="s">
        <v>56</v>
      </c>
    </row>
    <row r="34780" spans="1:5" x14ac:dyDescent="0.25">
      <c r="A34780" t="str">
        <f>HYPERLINK("https://www.773grp.com/globalSearch/MC74LVX4052DTG/page-1", "MC74LVX4052DTG")</f>
        <v>MC74LVX4052DTG</v>
      </c>
      <c r="B34780" s="3" t="s">
        <v>95</v>
      </c>
      <c r="C34780" s="6">
        <v>319</v>
      </c>
      <c r="D34780" s="7">
        <v>1.1100000000000001</v>
      </c>
    </row>
    <row r="34781" spans="1:5" x14ac:dyDescent="0.25">
      <c r="A34781" t="str">
        <f>HYPERLINK("https://www.773grp.com/globalSearch/MC74LVX4052DTR2G/page-1", "MC74LVX4052DTR2G")</f>
        <v>MC74LVX4052DTR2G</v>
      </c>
      <c r="B34781" s="3" t="s">
        <v>95</v>
      </c>
      <c r="C34781" s="6">
        <v>7500</v>
      </c>
      <c r="D34781" s="7">
        <v>1.1100000000000001</v>
      </c>
    </row>
    <row r="34782" spans="1:5" x14ac:dyDescent="0.25">
      <c r="A34782" t="str">
        <f>HYPERLINK("https://www.773grp.com/globalSearch/MC74LVX4053DG/page-1", "MC74LVX4053DG")</f>
        <v>MC74LVX4053DG</v>
      </c>
      <c r="B34782" s="3" t="s">
        <v>95</v>
      </c>
      <c r="C34782" s="6">
        <v>21216</v>
      </c>
      <c r="D34782" s="7">
        <v>1.1100000000000001</v>
      </c>
      <c r="E34782" t="s">
        <v>56</v>
      </c>
    </row>
    <row r="34783" spans="1:5" x14ac:dyDescent="0.25">
      <c r="A34783" t="str">
        <f>HYPERLINK("https://www.773grp.com/globalSearch/MC74LVX4053DR2G/page-1", "MC74LVX4053DR2G")</f>
        <v>MC74LVX4053DR2G</v>
      </c>
      <c r="B34783" s="3" t="s">
        <v>95</v>
      </c>
      <c r="C34783" s="6">
        <v>7703</v>
      </c>
      <c r="D34783" s="7">
        <v>1.1100000000000001</v>
      </c>
      <c r="E34783" t="s">
        <v>56</v>
      </c>
    </row>
    <row r="34784" spans="1:5" x14ac:dyDescent="0.25">
      <c r="A34784" t="str">
        <f>HYPERLINK("https://www.773grp.com/globalSearch/MC74LVX4053DTR2G/page-1", "MC74LVX4053DTR2G")</f>
        <v>MC74LVX4053DTR2G</v>
      </c>
      <c r="B34784" s="3" t="s">
        <v>95</v>
      </c>
      <c r="C34784" s="6">
        <v>12500</v>
      </c>
      <c r="D34784" s="7">
        <v>1.1100000000000001</v>
      </c>
      <c r="E34784" t="s">
        <v>56</v>
      </c>
    </row>
    <row r="34785" spans="1:5" x14ac:dyDescent="0.25">
      <c r="A34785" t="str">
        <f>HYPERLINK("https://www.773grp.com/globalSearch/MC74LVX4066D/page-1", "MC74LVX4066D")</f>
        <v>MC74LVX4066D</v>
      </c>
      <c r="B34785" s="3" t="s">
        <v>95</v>
      </c>
      <c r="C34785" s="6">
        <v>3520</v>
      </c>
      <c r="D34785" s="7">
        <v>1.1100000000000001</v>
      </c>
      <c r="E34785" t="s">
        <v>56</v>
      </c>
    </row>
    <row r="34786" spans="1:5" x14ac:dyDescent="0.25">
      <c r="A34786" t="str">
        <f>HYPERLINK("https://www.773grp.com/globalSearch/MC74LVX4066DR2G/page-1", "MC74LVX4066DR2G")</f>
        <v>MC74LVX4066DR2G</v>
      </c>
      <c r="B34786" s="3" t="s">
        <v>95</v>
      </c>
      <c r="C34786" s="6">
        <v>3878</v>
      </c>
      <c r="D34786" s="7">
        <v>1.1100000000000001</v>
      </c>
      <c r="E34786" t="s">
        <v>56</v>
      </c>
    </row>
    <row r="34787" spans="1:5" x14ac:dyDescent="0.25">
      <c r="A34787" t="str">
        <f>HYPERLINK("https://www.773grp.com/globalSearch/MC74LVX4066DT/page-1", "MC74LVX4066DT")</f>
        <v>MC74LVX4066DT</v>
      </c>
      <c r="B34787" s="3" t="s">
        <v>95</v>
      </c>
      <c r="C34787" s="6">
        <v>192</v>
      </c>
      <c r="D34787" s="7">
        <v>1.1100000000000001</v>
      </c>
      <c r="E34787" t="s">
        <v>56</v>
      </c>
    </row>
    <row r="34788" spans="1:5" x14ac:dyDescent="0.25">
      <c r="A34788" t="str">
        <f>HYPERLINK("https://www.773grp.com/globalSearch/MC74LVX4066DTR2G/page-1", "MC74LVX4066DTR2G")</f>
        <v>MC74LVX4066DTR2G</v>
      </c>
      <c r="B34788" s="3" t="s">
        <v>95</v>
      </c>
      <c r="C34788" s="6">
        <v>138935</v>
      </c>
      <c r="D34788" s="7">
        <v>1.1100000000000001</v>
      </c>
      <c r="E34788" t="s">
        <v>56</v>
      </c>
    </row>
    <row r="34789" spans="1:5" x14ac:dyDescent="0.25">
      <c r="A34789" t="str">
        <f>HYPERLINK("https://www.773grp.com/globalSearch/MC74LVX541DTR2G/page-1", "MC74LVX541DTR2G")</f>
        <v>MC74LVX541DTR2G</v>
      </c>
      <c r="B34789" s="3" t="s">
        <v>95</v>
      </c>
      <c r="C34789" s="6">
        <v>5287</v>
      </c>
      <c r="D34789" s="7">
        <v>1.1100000000000001</v>
      </c>
      <c r="E34789" t="s">
        <v>14</v>
      </c>
    </row>
    <row r="34790" spans="1:5" x14ac:dyDescent="0.25">
      <c r="A34790" t="str">
        <f>HYPERLINK("https://www.773grp.com/globalSearch/MC74LVX8051D/page-1", "MC74LVX8051D")</f>
        <v>MC74LVX8051D</v>
      </c>
      <c r="B34790" s="3" t="s">
        <v>95</v>
      </c>
      <c r="C34790" s="6">
        <v>1344</v>
      </c>
      <c r="D34790" s="7">
        <v>1.1100000000000001</v>
      </c>
      <c r="E34790" t="s">
        <v>56</v>
      </c>
    </row>
    <row r="34791" spans="1:5" x14ac:dyDescent="0.25">
      <c r="A34791" t="str">
        <f>HYPERLINK("https://www.773grp.com/globalSearch/MC74LVX8051D/page-1", "MC74LVX8051D")</f>
        <v>MC74LVX8051D</v>
      </c>
      <c r="B34791" s="3" t="s">
        <v>95</v>
      </c>
      <c r="C34791" s="6">
        <v>2112</v>
      </c>
      <c r="D34791" s="7">
        <v>1.1100000000000001</v>
      </c>
      <c r="E34791" t="s">
        <v>56</v>
      </c>
    </row>
    <row r="34792" spans="1:5" x14ac:dyDescent="0.25">
      <c r="A34792" t="str">
        <f>HYPERLINK("https://www.773grp.com/globalSearch/MC74LVX8053D/page-1", "MC74LVX8053D")</f>
        <v>MC74LVX8053D</v>
      </c>
      <c r="B34792" s="3" t="s">
        <v>95</v>
      </c>
      <c r="C34792" s="6">
        <v>8544</v>
      </c>
      <c r="D34792" s="7">
        <v>1.1100000000000001</v>
      </c>
      <c r="E34792" t="s">
        <v>56</v>
      </c>
    </row>
    <row r="34793" spans="1:5" x14ac:dyDescent="0.25">
      <c r="A34793" t="str">
        <f>HYPERLINK("https://www.773grp.com/globalSearch/MC74LVXT4051DG/page-1", "MC74LVXT4051DG")</f>
        <v>MC74LVXT4051DG</v>
      </c>
      <c r="B34793" s="3" t="s">
        <v>95</v>
      </c>
      <c r="C34793" s="6">
        <v>3284</v>
      </c>
      <c r="D34793" s="7">
        <v>1.1100000000000001</v>
      </c>
      <c r="E34793" t="s">
        <v>56</v>
      </c>
    </row>
    <row r="34794" spans="1:5" x14ac:dyDescent="0.25">
      <c r="A34794" t="str">
        <f>HYPERLINK("https://www.773grp.com/globalSearch/MC74LVXT4051DR2G/page-1", "MC74LVXT4051DR2G")</f>
        <v>MC74LVXT4051DR2G</v>
      </c>
      <c r="B34794" s="3" t="s">
        <v>95</v>
      </c>
      <c r="C34794" s="6">
        <v>6880</v>
      </c>
      <c r="D34794" s="7">
        <v>1.1100000000000001</v>
      </c>
      <c r="E34794" t="s">
        <v>56</v>
      </c>
    </row>
    <row r="34795" spans="1:5" x14ac:dyDescent="0.25">
      <c r="A34795" t="str">
        <f>HYPERLINK("https://www.773grp.com/globalSearch/MC74LVXT4051DTG/page-1", "MC74LVXT4051DTG")</f>
        <v>MC74LVXT4051DTG</v>
      </c>
      <c r="B34795" s="3" t="s">
        <v>95</v>
      </c>
      <c r="C34795" s="6">
        <v>21456</v>
      </c>
      <c r="D34795" s="7">
        <v>1.1100000000000001</v>
      </c>
      <c r="E34795" t="s">
        <v>56</v>
      </c>
    </row>
    <row r="34796" spans="1:5" x14ac:dyDescent="0.25">
      <c r="A34796" t="str">
        <f>HYPERLINK("https://www.773grp.com/globalSearch/MC74LVXT4051DTRG/page-1", "MC74LVXT4051DTRG")</f>
        <v>MC74LVXT4051DTRG</v>
      </c>
      <c r="B34796" s="3" t="s">
        <v>95</v>
      </c>
      <c r="C34796" s="6">
        <v>4950</v>
      </c>
      <c r="D34796" s="7">
        <v>1.1100000000000001</v>
      </c>
      <c r="E34796" t="s">
        <v>56</v>
      </c>
    </row>
    <row r="34797" spans="1:5" x14ac:dyDescent="0.25">
      <c r="A34797" t="str">
        <f>HYPERLINK("https://www.773grp.com/globalSearch/MC74LVXT4052DG/page-1", "MC74LVXT4052DG")</f>
        <v>MC74LVXT4052DG</v>
      </c>
      <c r="B34797" s="3" t="s">
        <v>95</v>
      </c>
      <c r="C34797" s="6">
        <v>1824</v>
      </c>
      <c r="D34797" s="7">
        <v>1.1100000000000001</v>
      </c>
      <c r="E34797" t="s">
        <v>56</v>
      </c>
    </row>
    <row r="34798" spans="1:5" x14ac:dyDescent="0.25">
      <c r="A34798" t="str">
        <f>HYPERLINK("https://www.773grp.com/globalSearch/MC74LVXT4052DR2G/page-1", "MC74LVXT4052DR2G")</f>
        <v>MC74LVXT4052DR2G</v>
      </c>
      <c r="B34798" s="3" t="s">
        <v>95</v>
      </c>
      <c r="C34798" s="6">
        <v>42500</v>
      </c>
      <c r="D34798" s="7">
        <v>1.1100000000000001</v>
      </c>
    </row>
    <row r="34799" spans="1:5" x14ac:dyDescent="0.25">
      <c r="A34799" t="str">
        <f>HYPERLINK("https://www.773grp.com/globalSearch/MC74LVXT4052DTG/page-1", "MC74LVXT4052DTG")</f>
        <v>MC74LVXT4052DTG</v>
      </c>
      <c r="B34799" s="3" t="s">
        <v>95</v>
      </c>
      <c r="C34799" s="6">
        <v>3456</v>
      </c>
      <c r="D34799" s="7">
        <v>1.1100000000000001</v>
      </c>
      <c r="E34799" t="s">
        <v>56</v>
      </c>
    </row>
    <row r="34800" spans="1:5" x14ac:dyDescent="0.25">
      <c r="A34800" t="str">
        <f>HYPERLINK("https://www.773grp.com/globalSearch/MC74LVXT4053DG/page-1", "MC74LVXT4053DG")</f>
        <v>MC74LVXT4053DG</v>
      </c>
      <c r="B34800" s="3" t="s">
        <v>95</v>
      </c>
      <c r="C34800" s="6">
        <v>1824</v>
      </c>
      <c r="D34800" s="7">
        <v>1.1100000000000001</v>
      </c>
      <c r="E34800" t="s">
        <v>56</v>
      </c>
    </row>
    <row r="34801" spans="1:5" x14ac:dyDescent="0.25">
      <c r="A34801" t="str">
        <f>HYPERLINK("https://www.773grp.com/globalSearch/MC74LVXT4053DR2G/page-1", "MC74LVXT4053DR2G")</f>
        <v>MC74LVXT4053DR2G</v>
      </c>
      <c r="B34801" s="3" t="s">
        <v>95</v>
      </c>
      <c r="C34801" s="6">
        <v>9740</v>
      </c>
      <c r="D34801" s="7">
        <v>1.1100000000000001</v>
      </c>
      <c r="E34801" t="s">
        <v>56</v>
      </c>
    </row>
    <row r="34802" spans="1:5" x14ac:dyDescent="0.25">
      <c r="A34802" t="str">
        <f>HYPERLINK("https://www.773grp.com/globalSearch/MC74LVXT4053DTG/page-1", "MC74LVXT4053DTG")</f>
        <v>MC74LVXT4053DTG</v>
      </c>
      <c r="B34802" s="3" t="s">
        <v>95</v>
      </c>
      <c r="C34802" s="6">
        <v>18488</v>
      </c>
      <c r="D34802" s="7">
        <v>1.1100000000000001</v>
      </c>
      <c r="E34802" t="s">
        <v>56</v>
      </c>
    </row>
    <row r="34803" spans="1:5" x14ac:dyDescent="0.25">
      <c r="A34803" t="str">
        <f>HYPERLINK("https://www.773grp.com/globalSearch/MC74LVXT4053DTRG/page-1", "MC74LVXT4053DTRG")</f>
        <v>MC74LVXT4053DTRG</v>
      </c>
      <c r="B34803" s="3" t="s">
        <v>95</v>
      </c>
      <c r="C34803" s="6">
        <v>28616</v>
      </c>
      <c r="D34803" s="7">
        <v>1.1100000000000001</v>
      </c>
      <c r="E34803" t="s">
        <v>56</v>
      </c>
    </row>
    <row r="34804" spans="1:5" x14ac:dyDescent="0.25">
      <c r="A34804" t="str">
        <f>HYPERLINK("https://www.773grp.com/globalSearch/MC74LVXT4066D/page-1", "MC74LVXT4066D")</f>
        <v>MC74LVXT4066D</v>
      </c>
      <c r="B34804" s="3" t="s">
        <v>95</v>
      </c>
      <c r="C34804" s="6">
        <v>8470</v>
      </c>
      <c r="D34804" s="7">
        <v>1.1100000000000001</v>
      </c>
      <c r="E34804" t="s">
        <v>56</v>
      </c>
    </row>
    <row r="34805" spans="1:5" x14ac:dyDescent="0.25">
      <c r="A34805" t="str">
        <f>HYPERLINK("https://www.773grp.com/globalSearch/MC74LVXT4066DR2G/page-1", "MC74LVXT4066DR2G")</f>
        <v>MC74LVXT4066DR2G</v>
      </c>
      <c r="B34805" s="3" t="s">
        <v>95</v>
      </c>
      <c r="C34805" s="6">
        <v>35445</v>
      </c>
      <c r="D34805" s="7">
        <v>1.1100000000000001</v>
      </c>
      <c r="E34805" t="s">
        <v>56</v>
      </c>
    </row>
    <row r="34806" spans="1:5" x14ac:dyDescent="0.25">
      <c r="A34806" t="str">
        <f>HYPERLINK("https://www.773grp.com/globalSearch/MC74LVXT8053DT/page-1", "MC74LVXT8053DT")</f>
        <v>MC74LVXT8053DT</v>
      </c>
      <c r="B34806" s="3" t="s">
        <v>95</v>
      </c>
      <c r="C34806" s="6">
        <v>7008</v>
      </c>
      <c r="D34806" s="7">
        <v>1.1100000000000001</v>
      </c>
      <c r="E34806" t="s">
        <v>56</v>
      </c>
    </row>
    <row r="34807" spans="1:5" x14ac:dyDescent="0.25">
      <c r="A34807" t="str">
        <f>HYPERLINK("https://www.773grp.com/globalSearch/MC74VHC540DTR2G/page-1", "MC74VHC540DTR2G")</f>
        <v>MC74VHC540DTR2G</v>
      </c>
      <c r="B34807" s="3" t="s">
        <v>95</v>
      </c>
      <c r="C34807" s="6">
        <v>2500</v>
      </c>
      <c r="D34807" s="7">
        <v>1.1100000000000001</v>
      </c>
    </row>
    <row r="34808" spans="1:5" x14ac:dyDescent="0.25">
      <c r="A34808" t="str">
        <f>HYPERLINK("https://www.773grp.com/globalSearch/MC74VHC541DTG/page-1", "MC74VHC541DTG")</f>
        <v>MC74VHC541DTG</v>
      </c>
      <c r="B34808" s="3" t="s">
        <v>95</v>
      </c>
      <c r="C34808" s="6">
        <v>53950</v>
      </c>
      <c r="D34808" s="7">
        <v>1.1100000000000001</v>
      </c>
      <c r="E34808" t="s">
        <v>14</v>
      </c>
    </row>
    <row r="34809" spans="1:5" x14ac:dyDescent="0.25">
      <c r="A34809" t="str">
        <f>HYPERLINK("https://www.773grp.com/globalSearch/MC74VHC541DTR2G/page-1", "MC74VHC541DTR2G")</f>
        <v>MC74VHC541DTR2G</v>
      </c>
      <c r="B34809" s="3" t="s">
        <v>95</v>
      </c>
      <c r="C34809" s="6">
        <v>7403</v>
      </c>
      <c r="D34809" s="7">
        <v>1.1100000000000001</v>
      </c>
      <c r="E34809" t="s">
        <v>14</v>
      </c>
    </row>
    <row r="34810" spans="1:5" x14ac:dyDescent="0.25">
      <c r="A34810" t="str">
        <f>HYPERLINK("https://www.773grp.com/globalSearch/MC74VHCT541ADTG/page-1", "MC74VHCT541ADTG")</f>
        <v>MC74VHCT541ADTG</v>
      </c>
      <c r="B34810" s="3" t="s">
        <v>95</v>
      </c>
      <c r="C34810" s="6">
        <v>3861</v>
      </c>
      <c r="D34810" s="7">
        <v>1.1100000000000001</v>
      </c>
    </row>
    <row r="34811" spans="1:5" x14ac:dyDescent="0.25">
      <c r="A34811" t="str">
        <f>HYPERLINK("https://www.773grp.com/globalSearch/MC74VHCT541ADTRG/page-1", "MC74VHCT541ADTRG")</f>
        <v>MC74VHCT541ADTRG</v>
      </c>
      <c r="B34811" s="3" t="s">
        <v>95</v>
      </c>
      <c r="C34811" s="6">
        <v>16328</v>
      </c>
      <c r="D34811" s="7">
        <v>1.1100000000000001</v>
      </c>
    </row>
    <row r="34812" spans="1:5" x14ac:dyDescent="0.25">
      <c r="A34812" t="str">
        <f>HYPERLINK("https://www.773grp.com/globalSearch/MC78FC40HT1/page-1", "MC78FC40HT1")</f>
        <v>MC78FC40HT1</v>
      </c>
      <c r="B34812" s="3" t="s">
        <v>95</v>
      </c>
      <c r="C34812" s="6">
        <v>18000</v>
      </c>
      <c r="D34812" s="7">
        <v>1.1100000000000001</v>
      </c>
      <c r="E34812" t="s">
        <v>19</v>
      </c>
    </row>
    <row r="34813" spans="1:5" x14ac:dyDescent="0.25">
      <c r="A34813" t="str">
        <f>HYPERLINK("https://www.773grp.com/globalSearch/MC78FC50HT1/page-1", "MC78FC50HT1")</f>
        <v>MC78FC50HT1</v>
      </c>
      <c r="B34813" s="3" t="s">
        <v>95</v>
      </c>
      <c r="C34813" s="6">
        <v>52000</v>
      </c>
      <c r="D34813" s="7">
        <v>1.1100000000000001</v>
      </c>
      <c r="E34813" t="s">
        <v>19</v>
      </c>
    </row>
    <row r="34814" spans="1:5" x14ac:dyDescent="0.25">
      <c r="A34814" t="str">
        <f>HYPERLINK("https://www.773grp.com/globalSearch/MC78M05ACDTG/page-1", "MC78M05ACDTG")</f>
        <v>MC78M05ACDTG</v>
      </c>
      <c r="B34814" s="3" t="s">
        <v>95</v>
      </c>
      <c r="C34814" s="6">
        <v>16799</v>
      </c>
      <c r="D34814" s="7">
        <v>1.1100000000000001</v>
      </c>
      <c r="E34814" t="s">
        <v>28</v>
      </c>
    </row>
    <row r="34815" spans="1:5" x14ac:dyDescent="0.25">
      <c r="A34815" t="str">
        <f>HYPERLINK("https://www.773grp.com/globalSearch/MC78M05ACDTRK/page-1", "MC78M05ACDTRK")</f>
        <v>MC78M05ACDTRK</v>
      </c>
      <c r="B34815" s="3" t="s">
        <v>95</v>
      </c>
      <c r="C34815" s="6">
        <v>15000</v>
      </c>
      <c r="D34815" s="7">
        <v>1.1100000000000001</v>
      </c>
      <c r="E34815" t="s">
        <v>28</v>
      </c>
    </row>
    <row r="34816" spans="1:5" x14ac:dyDescent="0.25">
      <c r="A34816" t="str">
        <f>HYPERLINK("https://www.773grp.com/globalSearch/MC78M05ACDTRKG/page-1", "MC78M05ACDTRKG")</f>
        <v>MC78M05ACDTRKG</v>
      </c>
      <c r="B34816" s="3" t="s">
        <v>95</v>
      </c>
      <c r="C34816" s="6">
        <v>34855</v>
      </c>
      <c r="D34816" s="7">
        <v>1.1100000000000001</v>
      </c>
      <c r="E34816" t="s">
        <v>28</v>
      </c>
    </row>
    <row r="34817" spans="1:5" x14ac:dyDescent="0.25">
      <c r="A34817" t="str">
        <f>HYPERLINK("https://www.773grp.com/globalSearch/MC78M05BDT/page-1", "MC78M05BDT")</f>
        <v>MC78M05BDT</v>
      </c>
      <c r="B34817" s="3" t="s">
        <v>95</v>
      </c>
      <c r="C34817" s="6">
        <v>1567</v>
      </c>
      <c r="D34817" s="7">
        <v>1.1100000000000001</v>
      </c>
      <c r="E34817" t="s">
        <v>28</v>
      </c>
    </row>
    <row r="34818" spans="1:5" x14ac:dyDescent="0.25">
      <c r="A34818" t="str">
        <f>HYPERLINK("https://www.773grp.com/globalSearch/MC78M05BDTG/page-1", "MC78M05BDTG")</f>
        <v>MC78M05BDTG</v>
      </c>
      <c r="B34818" s="3" t="s">
        <v>95</v>
      </c>
      <c r="C34818" s="6">
        <v>19309</v>
      </c>
      <c r="D34818" s="7">
        <v>1.1100000000000001</v>
      </c>
      <c r="E34818" t="s">
        <v>28</v>
      </c>
    </row>
    <row r="34819" spans="1:5" x14ac:dyDescent="0.25">
      <c r="A34819" t="str">
        <f>HYPERLINK("https://www.773grp.com/globalSearch/MC78M05BDTRKG/page-1", "MC78M05BDTRKG")</f>
        <v>MC78M05BDTRKG</v>
      </c>
      <c r="B34819" s="3" t="s">
        <v>95</v>
      </c>
      <c r="C34819" s="6">
        <v>24128</v>
      </c>
      <c r="D34819" s="7">
        <v>1.1100000000000001</v>
      </c>
    </row>
    <row r="34820" spans="1:5" x14ac:dyDescent="0.25">
      <c r="A34820" t="str">
        <f>HYPERLINK("https://www.773grp.com/globalSearch/MC78M08ACDTG/page-1", "MC78M08ACDTG")</f>
        <v>MC78M08ACDTG</v>
      </c>
      <c r="B34820" s="3" t="s">
        <v>95</v>
      </c>
      <c r="C34820" s="6">
        <v>2700</v>
      </c>
      <c r="D34820" s="7">
        <v>1.1100000000000001</v>
      </c>
      <c r="E34820" t="s">
        <v>28</v>
      </c>
    </row>
    <row r="34821" spans="1:5" x14ac:dyDescent="0.25">
      <c r="A34821" t="str">
        <f>HYPERLINK("https://www.773grp.com/globalSearch/MC78M08BDTG/page-1", "MC78M08BDTG")</f>
        <v>MC78M08BDTG</v>
      </c>
      <c r="B34821" s="3" t="s">
        <v>95</v>
      </c>
      <c r="C34821" s="6">
        <v>9850</v>
      </c>
      <c r="D34821" s="7">
        <v>1.1100000000000001</v>
      </c>
      <c r="E34821" t="s">
        <v>28</v>
      </c>
    </row>
    <row r="34822" spans="1:5" x14ac:dyDescent="0.25">
      <c r="A34822" t="str">
        <f>HYPERLINK("https://www.773grp.com/globalSearch/MC78M09BDTG/page-1", "MC78M09BDTG")</f>
        <v>MC78M09BDTG</v>
      </c>
      <c r="B34822" s="3" t="s">
        <v>95</v>
      </c>
      <c r="C34822" s="6">
        <v>975</v>
      </c>
      <c r="D34822" s="7">
        <v>1.1100000000000001</v>
      </c>
      <c r="E34822" t="s">
        <v>28</v>
      </c>
    </row>
    <row r="34823" spans="1:5" x14ac:dyDescent="0.25">
      <c r="A34823" t="str">
        <f>HYPERLINK("https://www.773grp.com/globalSearch/MC78M09BDTRKG/page-1", "MC78M09BDTRKG")</f>
        <v>MC78M09BDTRKG</v>
      </c>
      <c r="B34823" s="3" t="s">
        <v>95</v>
      </c>
      <c r="C34823" s="6">
        <v>43364</v>
      </c>
      <c r="D34823" s="7">
        <v>1.1100000000000001</v>
      </c>
      <c r="E34823" t="s">
        <v>28</v>
      </c>
    </row>
    <row r="34824" spans="1:5" x14ac:dyDescent="0.25">
      <c r="A34824" t="str">
        <f>HYPERLINK("https://www.773grp.com/globalSearch/MC78M12ACDTG/page-1", "MC78M12ACDTG")</f>
        <v>MC78M12ACDTG</v>
      </c>
      <c r="B34824" s="3" t="s">
        <v>95</v>
      </c>
      <c r="C34824" s="6">
        <v>1550</v>
      </c>
      <c r="D34824" s="7">
        <v>1.1100000000000001</v>
      </c>
      <c r="E34824" t="s">
        <v>28</v>
      </c>
    </row>
    <row r="34825" spans="1:5" x14ac:dyDescent="0.25">
      <c r="A34825" t="str">
        <f>HYPERLINK("https://www.773grp.com/globalSearch/MC78M12ACDTRKG/page-1", "MC78M12ACDTRKG")</f>
        <v>MC78M12ACDTRKG</v>
      </c>
      <c r="B34825" s="3" t="s">
        <v>95</v>
      </c>
      <c r="C34825" s="6">
        <v>5000</v>
      </c>
      <c r="D34825" s="7">
        <v>1.1100000000000001</v>
      </c>
      <c r="E34825" t="s">
        <v>28</v>
      </c>
    </row>
    <row r="34826" spans="1:5" x14ac:dyDescent="0.25">
      <c r="A34826" t="str">
        <f>HYPERLINK("https://www.773grp.com/globalSearch/MC78M12BDTG/page-1", "MC78M12BDTG")</f>
        <v>MC78M12BDTG</v>
      </c>
      <c r="B34826" s="3" t="s">
        <v>95</v>
      </c>
      <c r="C34826" s="6">
        <v>18275</v>
      </c>
      <c r="D34826" s="7">
        <v>1.1100000000000001</v>
      </c>
      <c r="E34826" t="s">
        <v>28</v>
      </c>
    </row>
    <row r="34827" spans="1:5" x14ac:dyDescent="0.25">
      <c r="A34827" t="str">
        <f>HYPERLINK("https://www.773grp.com/globalSearch/MC78M12BDTRK/page-1", "MC78M12BDTRK")</f>
        <v>MC78M12BDTRK</v>
      </c>
      <c r="B34827" s="3" t="s">
        <v>95</v>
      </c>
      <c r="C34827" s="6">
        <v>7500</v>
      </c>
      <c r="D34827" s="7">
        <v>1.1100000000000001</v>
      </c>
      <c r="E34827" t="s">
        <v>28</v>
      </c>
    </row>
    <row r="34828" spans="1:5" x14ac:dyDescent="0.25">
      <c r="A34828" t="str">
        <f>HYPERLINK("https://www.773grp.com/globalSearch/MC78M12BDTRKG/page-1", "MC78M12BDTRKG")</f>
        <v>MC78M12BDTRKG</v>
      </c>
      <c r="B34828" s="3" t="s">
        <v>95</v>
      </c>
      <c r="C34828" s="6">
        <v>10000</v>
      </c>
      <c r="D34828" s="7">
        <v>1.1100000000000001</v>
      </c>
      <c r="E34828" t="s">
        <v>28</v>
      </c>
    </row>
    <row r="34829" spans="1:5" x14ac:dyDescent="0.25">
      <c r="A34829" t="str">
        <f>HYPERLINK("https://www.773grp.com/globalSearch/MC78M15ACDTG/page-1", "MC78M15ACDTG")</f>
        <v>MC78M15ACDTG</v>
      </c>
      <c r="B34829" s="3" t="s">
        <v>95</v>
      </c>
      <c r="C34829" s="6">
        <v>8190</v>
      </c>
      <c r="D34829" s="7">
        <v>1.1100000000000001</v>
      </c>
      <c r="E34829" t="s">
        <v>28</v>
      </c>
    </row>
    <row r="34830" spans="1:5" x14ac:dyDescent="0.25">
      <c r="A34830" t="str">
        <f>HYPERLINK("https://www.773grp.com/globalSearch/MC78M15ACDTRKG/page-1", "MC78M15ACDTRKG")</f>
        <v>MC78M15ACDTRKG</v>
      </c>
      <c r="B34830" s="3" t="s">
        <v>95</v>
      </c>
      <c r="C34830" s="6">
        <v>12455</v>
      </c>
      <c r="D34830" s="7">
        <v>1.1100000000000001</v>
      </c>
      <c r="E34830" t="s">
        <v>28</v>
      </c>
    </row>
    <row r="34831" spans="1:5" x14ac:dyDescent="0.25">
      <c r="A34831" t="str">
        <f>HYPERLINK("https://www.773grp.com/globalSearch/MC78M15BDTG/page-1", "MC78M15BDTG")</f>
        <v>MC78M15BDTG</v>
      </c>
      <c r="B34831" s="3" t="s">
        <v>95</v>
      </c>
      <c r="C34831" s="6">
        <v>6375</v>
      </c>
      <c r="D34831" s="7">
        <v>1.1100000000000001</v>
      </c>
      <c r="E34831" t="s">
        <v>28</v>
      </c>
    </row>
    <row r="34832" spans="1:5" x14ac:dyDescent="0.25">
      <c r="A34832" t="str">
        <f>HYPERLINK("https://www.773grp.com/globalSearch/MC78M15BDTRKG/page-1", "MC78M15BDTRKG")</f>
        <v>MC78M15BDTRKG</v>
      </c>
      <c r="B34832" s="3" t="s">
        <v>95</v>
      </c>
      <c r="C34832" s="6">
        <v>71010</v>
      </c>
      <c r="D34832" s="7">
        <v>1.1100000000000001</v>
      </c>
      <c r="E34832" t="s">
        <v>28</v>
      </c>
    </row>
    <row r="34833" spans="1:5" x14ac:dyDescent="0.25">
      <c r="A34833" t="str">
        <f>HYPERLINK("https://www.773grp.com/globalSearch/MC78PC25NTRG/page-1", "MC78PC25NTRG")</f>
        <v>MC78PC25NTRG</v>
      </c>
      <c r="B34833" s="3" t="s">
        <v>95</v>
      </c>
      <c r="C34833" s="6">
        <v>8696</v>
      </c>
      <c r="D34833" s="7">
        <v>1.1100000000000001</v>
      </c>
      <c r="E34833" t="s">
        <v>19</v>
      </c>
    </row>
    <row r="34834" spans="1:5" x14ac:dyDescent="0.25">
      <c r="A34834" t="str">
        <f>HYPERLINK("https://www.773grp.com/globalSearch/MC78PC28NTRG/page-1", "MC78PC28NTRG")</f>
        <v>MC78PC28NTRG</v>
      </c>
      <c r="B34834" s="3" t="s">
        <v>95</v>
      </c>
      <c r="C34834" s="6">
        <v>8690</v>
      </c>
      <c r="D34834" s="7">
        <v>1.1100000000000001</v>
      </c>
      <c r="E34834" t="s">
        <v>19</v>
      </c>
    </row>
    <row r="34835" spans="1:5" x14ac:dyDescent="0.25">
      <c r="A34835" t="str">
        <f>HYPERLINK("https://www.773grp.com/globalSearch/MC78PC30NTRG/page-1", "MC78PC30NTRG")</f>
        <v>MC78PC30NTRG</v>
      </c>
      <c r="B34835" s="3" t="s">
        <v>95</v>
      </c>
      <c r="C34835" s="6">
        <v>157758</v>
      </c>
      <c r="D34835" s="7">
        <v>1.1100000000000001</v>
      </c>
      <c r="E34835" t="s">
        <v>19</v>
      </c>
    </row>
    <row r="34836" spans="1:5" x14ac:dyDescent="0.25">
      <c r="A34836" t="str">
        <f>HYPERLINK("https://www.773grp.com/globalSearch/MC78PC33NTRG/page-1", "MC78PC33NTRG")</f>
        <v>MC78PC33NTRG</v>
      </c>
      <c r="B34836" s="3" t="s">
        <v>95</v>
      </c>
      <c r="C34836" s="6">
        <v>274728</v>
      </c>
      <c r="D34836" s="7">
        <v>1.1100000000000001</v>
      </c>
      <c r="E34836" t="s">
        <v>19</v>
      </c>
    </row>
    <row r="34837" spans="1:5" x14ac:dyDescent="0.25">
      <c r="A34837" t="str">
        <f>HYPERLINK("https://www.773grp.com/globalSearch/MC78PC50NTRG/page-1", "MC78PC50NTRG")</f>
        <v>MC78PC50NTRG</v>
      </c>
      <c r="B34837" s="3" t="s">
        <v>95</v>
      </c>
      <c r="C34837" s="6">
        <v>2730</v>
      </c>
      <c r="D34837" s="7">
        <v>1.1100000000000001</v>
      </c>
      <c r="E34837" t="s">
        <v>19</v>
      </c>
    </row>
    <row r="34838" spans="1:5" x14ac:dyDescent="0.25">
      <c r="A34838" t="str">
        <f>HYPERLINK("https://www.773grp.com/globalSearch/MC79M05BDTG/page-1", "MC79M05BDTG")</f>
        <v>MC79M05BDTG</v>
      </c>
      <c r="B34838" s="3" t="s">
        <v>95</v>
      </c>
      <c r="C34838" s="6">
        <v>29560</v>
      </c>
      <c r="D34838" s="7">
        <v>1.1100000000000001</v>
      </c>
      <c r="E34838" t="s">
        <v>65</v>
      </c>
    </row>
    <row r="34839" spans="1:5" x14ac:dyDescent="0.25">
      <c r="A34839" t="str">
        <f>HYPERLINK("https://www.773grp.com/globalSearch/MC79M05BDTRK/page-1", "MC79M05BDTRK")</f>
        <v>MC79M05BDTRK</v>
      </c>
      <c r="B34839" s="3" t="s">
        <v>95</v>
      </c>
      <c r="C34839" s="6">
        <v>2500</v>
      </c>
      <c r="D34839" s="7">
        <v>1.1100000000000001</v>
      </c>
      <c r="E34839" t="s">
        <v>65</v>
      </c>
    </row>
    <row r="34840" spans="1:5" x14ac:dyDescent="0.25">
      <c r="A34840" t="str">
        <f>HYPERLINK("https://www.773grp.com/globalSearch/MC79M05BDTRKG/page-1", "MC79M05BDTRKG")</f>
        <v>MC79M05BDTRKG</v>
      </c>
      <c r="B34840" s="3" t="s">
        <v>95</v>
      </c>
      <c r="C34840" s="6">
        <v>55000</v>
      </c>
      <c r="D34840" s="7">
        <v>1.1100000000000001</v>
      </c>
      <c r="E34840" t="s">
        <v>65</v>
      </c>
    </row>
    <row r="34841" spans="1:5" x14ac:dyDescent="0.25">
      <c r="A34841" t="str">
        <f>HYPERLINK("https://www.773grp.com/globalSearch/MC79M08BDTG/page-1", "MC79M08BDTG")</f>
        <v>MC79M08BDTG</v>
      </c>
      <c r="B34841" s="3" t="s">
        <v>95</v>
      </c>
      <c r="C34841" s="6">
        <v>1700</v>
      </c>
      <c r="D34841" s="7">
        <v>1.1100000000000001</v>
      </c>
    </row>
    <row r="34842" spans="1:5" x14ac:dyDescent="0.25">
      <c r="A34842" t="str">
        <f>HYPERLINK("https://www.773grp.com/globalSearch/MC79M08BDTRKG/page-1", "MC79M08BDTRKG")</f>
        <v>MC79M08BDTRKG</v>
      </c>
      <c r="B34842" s="3" t="s">
        <v>95</v>
      </c>
      <c r="C34842" s="6">
        <v>5000</v>
      </c>
      <c r="D34842" s="7">
        <v>1.1100000000000001</v>
      </c>
    </row>
    <row r="34843" spans="1:5" x14ac:dyDescent="0.25">
      <c r="A34843" t="str">
        <f>HYPERLINK("https://www.773grp.com/globalSearch/MC79M12BDTG/page-1", "MC79M12BDTG")</f>
        <v>MC79M12BDTG</v>
      </c>
      <c r="B34843" s="3" t="s">
        <v>95</v>
      </c>
      <c r="C34843" s="6">
        <v>9799</v>
      </c>
      <c r="D34843" s="7">
        <v>1.1100000000000001</v>
      </c>
      <c r="E34843" t="s">
        <v>65</v>
      </c>
    </row>
    <row r="34844" spans="1:5" x14ac:dyDescent="0.25">
      <c r="A34844" t="str">
        <f>HYPERLINK("https://www.773grp.com/globalSearch/MC79M12BDTRKG/page-1", "MC79M12BDTRKG")</f>
        <v>MC79M12BDTRKG</v>
      </c>
      <c r="B34844" s="3" t="s">
        <v>95</v>
      </c>
      <c r="C34844" s="6">
        <v>8574</v>
      </c>
      <c r="D34844" s="7">
        <v>1.1100000000000001</v>
      </c>
      <c r="E34844" t="s">
        <v>65</v>
      </c>
    </row>
    <row r="34845" spans="1:5" x14ac:dyDescent="0.25">
      <c r="A34845" t="str">
        <f>HYPERLINK("https://www.773grp.com/globalSearch/MC79M15BDTG/page-1", "MC79M15BDTG")</f>
        <v>MC79M15BDTG</v>
      </c>
      <c r="B34845" s="3" t="s">
        <v>95</v>
      </c>
      <c r="C34845" s="6">
        <v>2370</v>
      </c>
      <c r="D34845" s="7">
        <v>1.1100000000000001</v>
      </c>
      <c r="E34845" t="s">
        <v>65</v>
      </c>
    </row>
    <row r="34846" spans="1:5" x14ac:dyDescent="0.25">
      <c r="A34846" t="str">
        <f>HYPERLINK("https://www.773grp.com/globalSearch/MC79M15BDTRKG/page-1", "MC79M15BDTRKG")</f>
        <v>MC79M15BDTRKG</v>
      </c>
      <c r="B34846" s="3" t="s">
        <v>95</v>
      </c>
      <c r="C34846" s="6">
        <v>49841</v>
      </c>
      <c r="D34846" s="7">
        <v>1.1100000000000001</v>
      </c>
      <c r="E34846" t="s">
        <v>65</v>
      </c>
    </row>
    <row r="34847" spans="1:5" x14ac:dyDescent="0.25">
      <c r="A34847" t="str">
        <f>HYPERLINK("https://www.773grp.com/globalSearch/MJD47G/page-1", "MJD47G")</f>
        <v>MJD47G</v>
      </c>
      <c r="B34847" s="3" t="s">
        <v>95</v>
      </c>
      <c r="C34847" s="6">
        <v>17250</v>
      </c>
      <c r="D34847" s="7">
        <v>1.1100000000000001</v>
      </c>
      <c r="E34847" t="s">
        <v>59</v>
      </c>
    </row>
    <row r="34848" spans="1:5" x14ac:dyDescent="0.25">
      <c r="A34848" t="str">
        <f>HYPERLINK("https://www.773grp.com/globalSearch/MJD47T4G/page-1", "MJD47T4G")</f>
        <v>MJD47T4G</v>
      </c>
      <c r="B34848" s="3" t="s">
        <v>95</v>
      </c>
      <c r="C34848" s="6">
        <v>12500</v>
      </c>
      <c r="D34848" s="7">
        <v>1.1100000000000001</v>
      </c>
    </row>
    <row r="34849" spans="1:5" x14ac:dyDescent="0.25">
      <c r="A34849" t="str">
        <f>HYPERLINK("https://www.773grp.com/globalSearch/MJD50G/page-1", "MJD50G")</f>
        <v>MJD50G</v>
      </c>
      <c r="B34849" s="3" t="s">
        <v>95</v>
      </c>
      <c r="C34849" s="6">
        <v>2150</v>
      </c>
      <c r="D34849" s="7">
        <v>1.1100000000000001</v>
      </c>
    </row>
    <row r="34850" spans="1:5" x14ac:dyDescent="0.25">
      <c r="A34850" t="str">
        <f>HYPERLINK("https://www.773grp.com/globalSearch/MJD50T4G/page-1", "MJD50T4G")</f>
        <v>MJD50T4G</v>
      </c>
      <c r="B34850" s="3" t="s">
        <v>95</v>
      </c>
      <c r="C34850" s="6">
        <v>30000</v>
      </c>
      <c r="D34850" s="7">
        <v>1.1100000000000001</v>
      </c>
      <c r="E34850" t="s">
        <v>59</v>
      </c>
    </row>
    <row r="34851" spans="1:5" x14ac:dyDescent="0.25">
      <c r="A34851" t="str">
        <f>HYPERLINK("https://www.773grp.com/globalSearch/MJD5731T4/page-1", "MJD5731T4")</f>
        <v>MJD5731T4</v>
      </c>
      <c r="B34851" s="3" t="s">
        <v>95</v>
      </c>
      <c r="C34851" s="6">
        <v>2500</v>
      </c>
      <c r="D34851" s="7">
        <v>1.1100000000000001</v>
      </c>
      <c r="E34851" t="s">
        <v>59</v>
      </c>
    </row>
    <row r="34852" spans="1:5" x14ac:dyDescent="0.25">
      <c r="A34852" t="str">
        <f>HYPERLINK("https://www.773grp.com/globalSearch/MMDF1300R2/page-1", "MMDF1300R2")</f>
        <v>MMDF1300R2</v>
      </c>
      <c r="B34852" s="3" t="s">
        <v>95</v>
      </c>
      <c r="C34852" s="6">
        <v>132280</v>
      </c>
      <c r="D34852" s="7">
        <v>1.1100000000000001</v>
      </c>
      <c r="E34852" t="s">
        <v>105</v>
      </c>
    </row>
    <row r="34853" spans="1:5" x14ac:dyDescent="0.25">
      <c r="A34853" t="str">
        <f>HYPERLINK("https://www.773grp.com/globalSearch/MTD5P06VT4G/page-1", "MTD5P06VT4G")</f>
        <v>MTD5P06VT4G</v>
      </c>
      <c r="B34853" s="3" t="s">
        <v>95</v>
      </c>
      <c r="C34853" s="6">
        <v>2500</v>
      </c>
      <c r="D34853" s="7">
        <v>1.1100000000000001</v>
      </c>
    </row>
    <row r="34854" spans="1:5" x14ac:dyDescent="0.25">
      <c r="A34854" t="str">
        <f>HYPERLINK("https://www.773grp.com/globalSearch/MTD5P06VT4GV/page-1", "MTD5P06VT4GV")</f>
        <v>MTD5P06VT4GV</v>
      </c>
      <c r="B34854" s="3" t="s">
        <v>95</v>
      </c>
      <c r="C34854" s="6">
        <v>2500</v>
      </c>
      <c r="D34854" s="7">
        <v>1.1100000000000001</v>
      </c>
    </row>
    <row r="34855" spans="1:5" x14ac:dyDescent="0.25">
      <c r="A34855" t="str">
        <f>HYPERLINK("https://www.773grp.com/globalSearch/MUR810/page-1", "MUR810")</f>
        <v>MUR810</v>
      </c>
      <c r="B34855" s="3" t="s">
        <v>95</v>
      </c>
      <c r="C34855" s="6">
        <v>242</v>
      </c>
      <c r="D34855" s="7">
        <v>1.1100000000000001</v>
      </c>
      <c r="E34855" t="s">
        <v>103</v>
      </c>
    </row>
    <row r="34856" spans="1:5" x14ac:dyDescent="0.25">
      <c r="A34856" t="str">
        <f>HYPERLINK("https://www.773grp.com/globalSearch/MURD320T4G/page-1", "MURD320T4G")</f>
        <v>MURD320T4G</v>
      </c>
      <c r="B34856" s="3" t="s">
        <v>95</v>
      </c>
      <c r="C34856" s="6">
        <v>42500</v>
      </c>
      <c r="D34856" s="7">
        <v>1.1100000000000001</v>
      </c>
      <c r="E34856" t="s">
        <v>103</v>
      </c>
    </row>
    <row r="34857" spans="1:5" x14ac:dyDescent="0.25">
      <c r="A34857" t="str">
        <f>HYPERLINK("https://www.773grp.com/globalSearch/NCP1012ST130T3/page-1", "NCP1012ST130T3")</f>
        <v>NCP1012ST130T3</v>
      </c>
      <c r="B34857" s="3" t="s">
        <v>95</v>
      </c>
      <c r="C34857" s="6">
        <v>4000</v>
      </c>
      <c r="D34857" s="7">
        <v>1.1100000000000001</v>
      </c>
      <c r="E34857" t="s">
        <v>7</v>
      </c>
    </row>
    <row r="34858" spans="1:5" x14ac:dyDescent="0.25">
      <c r="A34858" t="str">
        <f>HYPERLINK("https://www.773grp.com/globalSearch/NCP1050P100/page-1", "NCP1050P100")</f>
        <v>NCP1050P100</v>
      </c>
      <c r="B34858" s="3" t="s">
        <v>95</v>
      </c>
      <c r="C34858" s="6">
        <v>105800</v>
      </c>
      <c r="D34858" s="7">
        <v>1.1100000000000001</v>
      </c>
      <c r="E34858" t="s">
        <v>7</v>
      </c>
    </row>
    <row r="34859" spans="1:5" x14ac:dyDescent="0.25">
      <c r="A34859" t="str">
        <f>HYPERLINK("https://www.773grp.com/globalSearch/NCP1050P136/page-1", "NCP1050P136")</f>
        <v>NCP1050P136</v>
      </c>
      <c r="B34859" s="3" t="s">
        <v>95</v>
      </c>
      <c r="C34859" s="6">
        <v>2985</v>
      </c>
      <c r="D34859" s="7">
        <v>1.1100000000000001</v>
      </c>
      <c r="E34859" t="s">
        <v>7</v>
      </c>
    </row>
    <row r="34860" spans="1:5" x14ac:dyDescent="0.25">
      <c r="A34860" t="str">
        <f>HYPERLINK("https://www.773grp.com/globalSearch/NCP1050P44/page-1", "NCP1050P44")</f>
        <v>NCP1050P44</v>
      </c>
      <c r="B34860" s="3" t="s">
        <v>95</v>
      </c>
      <c r="C34860" s="6">
        <v>3000</v>
      </c>
      <c r="D34860" s="7">
        <v>1.1100000000000001</v>
      </c>
      <c r="E34860" t="s">
        <v>7</v>
      </c>
    </row>
    <row r="34861" spans="1:5" x14ac:dyDescent="0.25">
      <c r="A34861" t="str">
        <f>HYPERLINK("https://www.773grp.com/globalSearch/NCP1051P44/page-1", "NCP1051P44")</f>
        <v>NCP1051P44</v>
      </c>
      <c r="B34861" s="3" t="s">
        <v>95</v>
      </c>
      <c r="C34861" s="6">
        <v>93</v>
      </c>
      <c r="D34861" s="7">
        <v>1.1100000000000001</v>
      </c>
      <c r="E34861" t="s">
        <v>7</v>
      </c>
    </row>
    <row r="34862" spans="1:5" x14ac:dyDescent="0.25">
      <c r="A34862" t="str">
        <f>HYPERLINK("https://www.773grp.com/globalSearch/NCP1052P136/page-1", "NCP1052P136")</f>
        <v>NCP1052P136</v>
      </c>
      <c r="B34862" s="3" t="s">
        <v>95</v>
      </c>
      <c r="C34862" s="6">
        <v>9000</v>
      </c>
      <c r="D34862" s="7">
        <v>1.1100000000000001</v>
      </c>
      <c r="E34862" t="s">
        <v>7</v>
      </c>
    </row>
    <row r="34863" spans="1:5" x14ac:dyDescent="0.25">
      <c r="A34863" t="str">
        <f>HYPERLINK("https://www.773grp.com/globalSearch/NCP1052P44/page-1", "NCP1052P44")</f>
        <v>NCP1052P44</v>
      </c>
      <c r="B34863" s="3" t="s">
        <v>95</v>
      </c>
      <c r="C34863" s="6">
        <v>5900</v>
      </c>
      <c r="D34863" s="7">
        <v>1.1100000000000001</v>
      </c>
      <c r="E34863" t="s">
        <v>7</v>
      </c>
    </row>
    <row r="34864" spans="1:5" x14ac:dyDescent="0.25">
      <c r="A34864" t="str">
        <f>HYPERLINK("https://www.773grp.com/globalSearch/NCP1086T-ADJ/page-1", "NCP1086T-ADJ")</f>
        <v>NCP1086T-ADJ</v>
      </c>
      <c r="B34864" s="3" t="s">
        <v>95</v>
      </c>
      <c r="C34864" s="6">
        <v>18411</v>
      </c>
      <c r="D34864" s="7">
        <v>1.1100000000000001</v>
      </c>
      <c r="E34864" t="s">
        <v>25</v>
      </c>
    </row>
    <row r="34865" spans="1:5" x14ac:dyDescent="0.25">
      <c r="A34865" t="str">
        <f>HYPERLINK("https://www.773grp.com/globalSearch/NCP1117DT12G/page-1", "NCP1117DT12G")</f>
        <v>NCP1117DT12G</v>
      </c>
      <c r="B34865" s="3" t="s">
        <v>95</v>
      </c>
      <c r="C34865" s="6">
        <v>3200</v>
      </c>
      <c r="D34865" s="7">
        <v>1.1100000000000001</v>
      </c>
      <c r="E34865" t="s">
        <v>19</v>
      </c>
    </row>
    <row r="34866" spans="1:5" x14ac:dyDescent="0.25">
      <c r="A34866" t="str">
        <f>HYPERLINK("https://www.773grp.com/globalSearch/NCP1117DT12RKG/page-1", "NCP1117DT12RKG")</f>
        <v>NCP1117DT12RKG</v>
      </c>
      <c r="B34866" s="3" t="s">
        <v>95</v>
      </c>
      <c r="C34866" s="6">
        <v>1876</v>
      </c>
      <c r="D34866" s="7">
        <v>1.1100000000000001</v>
      </c>
      <c r="E34866" t="s">
        <v>19</v>
      </c>
    </row>
    <row r="34867" spans="1:5" x14ac:dyDescent="0.25">
      <c r="A34867" t="str">
        <f>HYPERLINK("https://www.773grp.com/globalSearch/NCP1117DT15G/page-1", "NCP1117DT15G")</f>
        <v>NCP1117DT15G</v>
      </c>
      <c r="B34867" s="3" t="s">
        <v>95</v>
      </c>
      <c r="C34867" s="6">
        <v>7475</v>
      </c>
      <c r="D34867" s="7">
        <v>1.1100000000000001</v>
      </c>
      <c r="E34867" t="s">
        <v>19</v>
      </c>
    </row>
    <row r="34868" spans="1:5" x14ac:dyDescent="0.25">
      <c r="A34868" t="str">
        <f>HYPERLINK("https://www.773grp.com/globalSearch/NCP1117DT15RKG/page-1", "NCP1117DT15RKG")</f>
        <v>NCP1117DT15RKG</v>
      </c>
      <c r="B34868" s="3" t="s">
        <v>95</v>
      </c>
      <c r="C34868" s="6">
        <v>65260</v>
      </c>
      <c r="D34868" s="7">
        <v>1.1100000000000001</v>
      </c>
      <c r="E34868" t="s">
        <v>19</v>
      </c>
    </row>
    <row r="34869" spans="1:5" x14ac:dyDescent="0.25">
      <c r="A34869" t="str">
        <f>HYPERLINK("https://www.773grp.com/globalSearch/NCP1117DT18G/page-1", "NCP1117DT18G")</f>
        <v>NCP1117DT18G</v>
      </c>
      <c r="B34869" s="3" t="s">
        <v>95</v>
      </c>
      <c r="C34869" s="6">
        <v>4887</v>
      </c>
      <c r="D34869" s="7">
        <v>1.1100000000000001</v>
      </c>
      <c r="E34869" t="s">
        <v>19</v>
      </c>
    </row>
    <row r="34870" spans="1:5" x14ac:dyDescent="0.25">
      <c r="A34870" t="str">
        <f>HYPERLINK("https://www.773grp.com/globalSearch/NCP1117DT18RKG/page-1", "NCP1117DT18RKG")</f>
        <v>NCP1117DT18RKG</v>
      </c>
      <c r="B34870" s="3" t="s">
        <v>95</v>
      </c>
      <c r="C34870" s="6">
        <v>18086</v>
      </c>
      <c r="D34870" s="7">
        <v>1.1100000000000001</v>
      </c>
      <c r="E34870" t="s">
        <v>19</v>
      </c>
    </row>
    <row r="34871" spans="1:5" x14ac:dyDescent="0.25">
      <c r="A34871" t="str">
        <f>HYPERLINK("https://www.773grp.com/globalSearch/NCP1117DT18T5G/page-1", "NCP1117DT18T5G")</f>
        <v>NCP1117DT18T5G</v>
      </c>
      <c r="B34871" s="3" t="s">
        <v>95</v>
      </c>
      <c r="C34871" s="6">
        <v>20554</v>
      </c>
      <c r="D34871" s="7">
        <v>1.1100000000000001</v>
      </c>
    </row>
    <row r="34872" spans="1:5" x14ac:dyDescent="0.25">
      <c r="A34872" t="str">
        <f>HYPERLINK("https://www.773grp.com/globalSearch/NCP1117DT20G/page-1", "NCP1117DT20G")</f>
        <v>NCP1117DT20G</v>
      </c>
      <c r="B34872" s="3" t="s">
        <v>95</v>
      </c>
      <c r="C34872" s="6">
        <v>1350</v>
      </c>
      <c r="D34872" s="7">
        <v>1.1100000000000001</v>
      </c>
      <c r="E34872" t="s">
        <v>19</v>
      </c>
    </row>
    <row r="34873" spans="1:5" x14ac:dyDescent="0.25">
      <c r="A34873" t="str">
        <f>HYPERLINK("https://www.773grp.com/globalSearch/NCP1117DT20RKG/page-1", "NCP1117DT20RKG")</f>
        <v>NCP1117DT20RKG</v>
      </c>
      <c r="B34873" s="3" t="s">
        <v>95</v>
      </c>
      <c r="C34873" s="6">
        <v>29391</v>
      </c>
      <c r="D34873" s="7">
        <v>1.1100000000000001</v>
      </c>
      <c r="E34873" t="s">
        <v>19</v>
      </c>
    </row>
    <row r="34874" spans="1:5" x14ac:dyDescent="0.25">
      <c r="A34874" t="str">
        <f>HYPERLINK("https://www.773grp.com/globalSearch/NCP1117DT25G/page-1", "NCP1117DT25G")</f>
        <v>NCP1117DT25G</v>
      </c>
      <c r="B34874" s="3" t="s">
        <v>95</v>
      </c>
      <c r="C34874" s="6">
        <v>26928</v>
      </c>
      <c r="D34874" s="7">
        <v>1.1100000000000001</v>
      </c>
      <c r="E34874" t="s">
        <v>19</v>
      </c>
    </row>
    <row r="34875" spans="1:5" x14ac:dyDescent="0.25">
      <c r="A34875" t="str">
        <f>HYPERLINK("https://www.773grp.com/globalSearch/NCP1117DT25RKG/page-1", "NCP1117DT25RKG")</f>
        <v>NCP1117DT25RKG</v>
      </c>
      <c r="B34875" s="3" t="s">
        <v>95</v>
      </c>
      <c r="C34875" s="6">
        <v>272493</v>
      </c>
      <c r="D34875" s="7">
        <v>1.1100000000000001</v>
      </c>
      <c r="E34875" t="s">
        <v>19</v>
      </c>
    </row>
    <row r="34876" spans="1:5" x14ac:dyDescent="0.25">
      <c r="A34876" t="str">
        <f>HYPERLINK("https://www.773grp.com/globalSearch/NCP1117DT285G/page-1", "NCP1117DT285G")</f>
        <v>NCP1117DT285G</v>
      </c>
      <c r="B34876" s="3" t="s">
        <v>95</v>
      </c>
      <c r="C34876" s="6">
        <v>296</v>
      </c>
      <c r="D34876" s="7">
        <v>1.1100000000000001</v>
      </c>
      <c r="E34876" t="s">
        <v>19</v>
      </c>
    </row>
    <row r="34877" spans="1:5" x14ac:dyDescent="0.25">
      <c r="A34877" t="str">
        <f>HYPERLINK("https://www.773grp.com/globalSearch/NCP1117DT285RKG/page-1", "NCP1117DT285RKG")</f>
        <v>NCP1117DT285RKG</v>
      </c>
      <c r="B34877" s="3" t="s">
        <v>95</v>
      </c>
      <c r="C34877" s="6">
        <v>7234</v>
      </c>
      <c r="D34877" s="7">
        <v>1.1100000000000001</v>
      </c>
      <c r="E34877" t="s">
        <v>19</v>
      </c>
    </row>
    <row r="34878" spans="1:5" x14ac:dyDescent="0.25">
      <c r="A34878" t="str">
        <f>HYPERLINK("https://www.773grp.com/globalSearch/NCP1117DT33G/page-1", "NCP1117DT33G")</f>
        <v>NCP1117DT33G</v>
      </c>
      <c r="B34878" s="3" t="s">
        <v>95</v>
      </c>
      <c r="C34878" s="6">
        <v>6595</v>
      </c>
      <c r="D34878" s="7">
        <v>1.1100000000000001</v>
      </c>
      <c r="E34878" t="s">
        <v>19</v>
      </c>
    </row>
    <row r="34879" spans="1:5" x14ac:dyDescent="0.25">
      <c r="A34879" t="str">
        <f>HYPERLINK("https://www.773grp.com/globalSearch/NCP1117DT33RKG/page-1", "NCP1117DT33RKG")</f>
        <v>NCP1117DT33RKG</v>
      </c>
      <c r="B34879" s="3" t="s">
        <v>95</v>
      </c>
      <c r="C34879" s="6">
        <v>76101</v>
      </c>
      <c r="D34879" s="7">
        <v>1.1100000000000001</v>
      </c>
      <c r="E34879" t="s">
        <v>19</v>
      </c>
    </row>
    <row r="34880" spans="1:5" x14ac:dyDescent="0.25">
      <c r="A34880" t="str">
        <f>HYPERLINK("https://www.773grp.com/globalSearch/NCP1117DT33T5G/page-1", "NCP1117DT33T5G")</f>
        <v>NCP1117DT33T5G</v>
      </c>
      <c r="B34880" s="3" t="s">
        <v>95</v>
      </c>
      <c r="C34880" s="6">
        <v>136421</v>
      </c>
      <c r="D34880" s="7">
        <v>1.1100000000000001</v>
      </c>
      <c r="E34880" t="s">
        <v>19</v>
      </c>
    </row>
    <row r="34881" spans="1:5" x14ac:dyDescent="0.25">
      <c r="A34881" t="str">
        <f>HYPERLINK("https://www.773grp.com/globalSearch/NCP1117DT50RKG/page-1", "NCP1117DT50RKG")</f>
        <v>NCP1117DT50RKG</v>
      </c>
      <c r="B34881" s="3" t="s">
        <v>95</v>
      </c>
      <c r="C34881" s="6">
        <v>162349</v>
      </c>
      <c r="D34881" s="7">
        <v>1.1100000000000001</v>
      </c>
    </row>
    <row r="34882" spans="1:5" x14ac:dyDescent="0.25">
      <c r="A34882" t="str">
        <f>HYPERLINK("https://www.773grp.com/globalSearch/NCP1117DTAG/page-1", "NCP1117DTAG")</f>
        <v>NCP1117DTAG</v>
      </c>
      <c r="B34882" s="3" t="s">
        <v>95</v>
      </c>
      <c r="C34882" s="6">
        <v>2980</v>
      </c>
      <c r="D34882" s="7">
        <v>1.1100000000000001</v>
      </c>
      <c r="E34882" t="s">
        <v>25</v>
      </c>
    </row>
    <row r="34883" spans="1:5" x14ac:dyDescent="0.25">
      <c r="A34883" t="str">
        <f>HYPERLINK("https://www.773grp.com/globalSearch/NCP1117DTARKG/page-1", "NCP1117DTARKG")</f>
        <v>NCP1117DTARKG</v>
      </c>
      <c r="B34883" s="3" t="s">
        <v>95</v>
      </c>
      <c r="C34883" s="6">
        <v>284517</v>
      </c>
      <c r="D34883" s="7">
        <v>1.1100000000000001</v>
      </c>
      <c r="E34883" t="s">
        <v>25</v>
      </c>
    </row>
    <row r="34884" spans="1:5" x14ac:dyDescent="0.25">
      <c r="A34884" t="str">
        <f>HYPERLINK("https://www.773grp.com/globalSearch/NCP1117DTAT5G/page-1", "NCP1117DTAT5G")</f>
        <v>NCP1117DTAT5G</v>
      </c>
      <c r="B34884" s="3" t="s">
        <v>95</v>
      </c>
      <c r="C34884" s="6">
        <v>10421</v>
      </c>
      <c r="D34884" s="7">
        <v>1.1100000000000001</v>
      </c>
      <c r="E34884" t="s">
        <v>25</v>
      </c>
    </row>
    <row r="34885" spans="1:5" x14ac:dyDescent="0.25">
      <c r="A34885" t="str">
        <f>HYPERLINK("https://www.773grp.com/globalSearch/NCP1403SNT1/page-1", "NCP1403SNT1")</f>
        <v>NCP1403SNT1</v>
      </c>
      <c r="B34885" s="3" t="s">
        <v>95</v>
      </c>
      <c r="C34885" s="6">
        <v>4000</v>
      </c>
      <c r="D34885" s="7">
        <v>1.1100000000000001</v>
      </c>
      <c r="E34885" t="s">
        <v>7</v>
      </c>
    </row>
    <row r="34886" spans="1:5" x14ac:dyDescent="0.25">
      <c r="A34886" t="str">
        <f>HYPERLINK("https://www.773grp.com/globalSearch/NCP1521BSNT1G/page-1", "NCP1521BSNT1G")</f>
        <v>NCP1521BSNT1G</v>
      </c>
      <c r="B34886" s="3" t="s">
        <v>95</v>
      </c>
      <c r="C34886" s="6">
        <v>46221</v>
      </c>
      <c r="D34886" s="7">
        <v>1.1100000000000001</v>
      </c>
      <c r="E34886" t="s">
        <v>7</v>
      </c>
    </row>
    <row r="34887" spans="1:5" x14ac:dyDescent="0.25">
      <c r="A34887" t="str">
        <f>HYPERLINK("https://www.773grp.com/globalSearch/NCP1522BSNT1G/page-1", "NCP1522BSNT1G")</f>
        <v>NCP1522BSNT1G</v>
      </c>
      <c r="B34887" s="3" t="s">
        <v>95</v>
      </c>
      <c r="C34887" s="6">
        <v>56750</v>
      </c>
      <c r="D34887" s="7">
        <v>1.1100000000000001</v>
      </c>
      <c r="E34887" t="s">
        <v>7</v>
      </c>
    </row>
    <row r="34888" spans="1:5" x14ac:dyDescent="0.25">
      <c r="A34888" t="str">
        <f>HYPERLINK("https://www.773grp.com/globalSearch/NCP2860DM277R2/page-1", "NCP2860DM277R2")</f>
        <v>NCP2860DM277R2</v>
      </c>
      <c r="B34888" s="3" t="s">
        <v>95</v>
      </c>
      <c r="C34888" s="6">
        <v>11580</v>
      </c>
      <c r="D34888" s="7">
        <v>1.1100000000000001</v>
      </c>
      <c r="E34888" t="s">
        <v>27</v>
      </c>
    </row>
    <row r="34889" spans="1:5" x14ac:dyDescent="0.25">
      <c r="A34889" t="str">
        <f>HYPERLINK("https://www.773grp.com/globalSearch/NCP304LSQ28T1/page-1", "NCP304LSQ28T1")</f>
        <v>NCP304LSQ28T1</v>
      </c>
      <c r="B34889" s="3" t="s">
        <v>95</v>
      </c>
      <c r="C34889" s="6">
        <v>17550</v>
      </c>
      <c r="D34889" s="7">
        <v>1.1100000000000001</v>
      </c>
      <c r="E34889" t="s">
        <v>30</v>
      </c>
    </row>
    <row r="34890" spans="1:5" x14ac:dyDescent="0.25">
      <c r="A34890" t="str">
        <f>HYPERLINK("https://www.773grp.com/globalSearch/NCP304LSQ34T1/page-1", "NCP304LSQ34T1")</f>
        <v>NCP304LSQ34T1</v>
      </c>
      <c r="B34890" s="3" t="s">
        <v>95</v>
      </c>
      <c r="C34890" s="6">
        <v>22440</v>
      </c>
      <c r="D34890" s="7">
        <v>1.1100000000000001</v>
      </c>
      <c r="E34890" t="s">
        <v>30</v>
      </c>
    </row>
    <row r="34891" spans="1:5" x14ac:dyDescent="0.25">
      <c r="A34891" t="str">
        <f>HYPERLINK("https://www.773grp.com/globalSearch/NCP3418BMNR2G/page-1", "NCP3418BMNR2G")</f>
        <v>NCP3418BMNR2G</v>
      </c>
      <c r="B34891" s="3" t="s">
        <v>95</v>
      </c>
      <c r="C34891" s="6">
        <v>94466</v>
      </c>
      <c r="D34891" s="7">
        <v>1.1100000000000001</v>
      </c>
      <c r="E34891" t="s">
        <v>16</v>
      </c>
    </row>
    <row r="34892" spans="1:5" x14ac:dyDescent="0.25">
      <c r="A34892" t="str">
        <f>HYPERLINK("https://www.773grp.com/globalSearch/NCP4300ADG/page-1", "NCP4300ADG")</f>
        <v>NCP4300ADG</v>
      </c>
      <c r="B34892" s="3" t="s">
        <v>95</v>
      </c>
      <c r="C34892" s="6">
        <v>56</v>
      </c>
      <c r="D34892" s="7">
        <v>1.1100000000000001</v>
      </c>
      <c r="E34892" t="s">
        <v>13</v>
      </c>
    </row>
    <row r="34893" spans="1:5" x14ac:dyDescent="0.25">
      <c r="A34893" t="str">
        <f>HYPERLINK("https://www.773grp.com/globalSearch/NCP4355BDR2G/page-1", "NCP4355BDR2G")</f>
        <v>NCP4355BDR2G</v>
      </c>
      <c r="B34893" s="3" t="s">
        <v>95</v>
      </c>
      <c r="C34893" s="6">
        <v>10000</v>
      </c>
      <c r="D34893" s="7">
        <v>1.1100000000000001</v>
      </c>
    </row>
    <row r="34894" spans="1:5" x14ac:dyDescent="0.25">
      <c r="A34894" t="str">
        <f>HYPERLINK("https://www.773grp.com/globalSearch/NCP4680DMX10TCG/page-1", "NCP4680DMX10TCG")</f>
        <v>NCP4680DMX10TCG</v>
      </c>
      <c r="B34894" s="3" t="s">
        <v>95</v>
      </c>
      <c r="C34894" s="6">
        <v>30000</v>
      </c>
      <c r="D34894" s="7">
        <v>1.1100000000000001</v>
      </c>
    </row>
    <row r="34895" spans="1:5" x14ac:dyDescent="0.25">
      <c r="A34895" t="str">
        <f>HYPERLINK("https://www.773grp.com/globalSearch/NCP4680DMX12TCG/page-1", "NCP4680DMX12TCG")</f>
        <v>NCP4680DMX12TCG</v>
      </c>
      <c r="B34895" s="3" t="s">
        <v>95</v>
      </c>
      <c r="C34895" s="6">
        <v>20000</v>
      </c>
      <c r="D34895" s="7">
        <v>1.1100000000000001</v>
      </c>
    </row>
    <row r="34896" spans="1:5" x14ac:dyDescent="0.25">
      <c r="A34896" t="str">
        <f>HYPERLINK("https://www.773grp.com/globalSearch/NCP4680DMX15TCG/page-1", "NCP4680DMX15TCG")</f>
        <v>NCP4680DMX15TCG</v>
      </c>
      <c r="B34896" s="3" t="s">
        <v>95</v>
      </c>
      <c r="C34896" s="6">
        <v>10000</v>
      </c>
      <c r="D34896" s="7">
        <v>1.1100000000000001</v>
      </c>
    </row>
    <row r="34897" spans="1:5" x14ac:dyDescent="0.25">
      <c r="A34897" t="str">
        <f>HYPERLINK("https://www.773grp.com/globalSearch/NCP4680DMX18TCG/page-1", "NCP4680DMX18TCG")</f>
        <v>NCP4680DMX18TCG</v>
      </c>
      <c r="B34897" s="3" t="s">
        <v>95</v>
      </c>
      <c r="C34897" s="6">
        <v>29765</v>
      </c>
      <c r="D34897" s="7">
        <v>1.1100000000000001</v>
      </c>
    </row>
    <row r="34898" spans="1:5" x14ac:dyDescent="0.25">
      <c r="A34898" t="str">
        <f>HYPERLINK("https://www.773grp.com/globalSearch/NCP4680DMX28TCG/page-1", "NCP4680DMX28TCG")</f>
        <v>NCP4680DMX28TCG</v>
      </c>
      <c r="B34898" s="3" t="s">
        <v>95</v>
      </c>
      <c r="C34898" s="6">
        <v>20000</v>
      </c>
      <c r="D34898" s="7">
        <v>1.1100000000000001</v>
      </c>
    </row>
    <row r="34899" spans="1:5" x14ac:dyDescent="0.25">
      <c r="A34899" t="str">
        <f>HYPERLINK("https://www.773grp.com/globalSearch/NCP4680DMX30TCG/page-1", "NCP4680DMX30TCG")</f>
        <v>NCP4680DMX30TCG</v>
      </c>
      <c r="B34899" s="3" t="s">
        <v>95</v>
      </c>
      <c r="C34899" s="6">
        <v>20000</v>
      </c>
      <c r="D34899" s="7">
        <v>1.1100000000000001</v>
      </c>
    </row>
    <row r="34900" spans="1:5" x14ac:dyDescent="0.25">
      <c r="A34900" t="str">
        <f>HYPERLINK("https://www.773grp.com/globalSearch/NCP4680DMX33TCG/page-1", "NCP4680DMX33TCG")</f>
        <v>NCP4680DMX33TCG</v>
      </c>
      <c r="B34900" s="3" t="s">
        <v>95</v>
      </c>
      <c r="C34900" s="6">
        <v>10000</v>
      </c>
      <c r="D34900" s="7">
        <v>1.1100000000000001</v>
      </c>
    </row>
    <row r="34901" spans="1:5" x14ac:dyDescent="0.25">
      <c r="A34901" t="str">
        <f>HYPERLINK("https://www.773grp.com/globalSearch/NCP571MN08TBG/page-1", "NCP571MN08TBG")</f>
        <v>NCP571MN08TBG</v>
      </c>
      <c r="B34901" s="3" t="s">
        <v>95</v>
      </c>
      <c r="C34901" s="6">
        <v>3000</v>
      </c>
      <c r="D34901" s="7">
        <v>1.1100000000000001</v>
      </c>
    </row>
    <row r="34902" spans="1:5" x14ac:dyDescent="0.25">
      <c r="A34902" t="str">
        <f>HYPERLINK("https://www.773grp.com/globalSearch/NCP571MN09TBG/page-1", "NCP571MN09TBG")</f>
        <v>NCP571MN09TBG</v>
      </c>
      <c r="B34902" s="3" t="s">
        <v>95</v>
      </c>
      <c r="C34902" s="6">
        <v>7996</v>
      </c>
      <c r="D34902" s="7">
        <v>1.1100000000000001</v>
      </c>
    </row>
    <row r="34903" spans="1:5" x14ac:dyDescent="0.25">
      <c r="A34903" t="str">
        <f>HYPERLINK("https://www.773grp.com/globalSearch/NCP571MN10TBG/page-1", "NCP571MN10TBG")</f>
        <v>NCP571MN10TBG</v>
      </c>
      <c r="B34903" s="3" t="s">
        <v>95</v>
      </c>
      <c r="C34903" s="6">
        <v>9000</v>
      </c>
      <c r="D34903" s="7">
        <v>1.1100000000000001</v>
      </c>
      <c r="E34903" t="s">
        <v>19</v>
      </c>
    </row>
    <row r="34904" spans="1:5" x14ac:dyDescent="0.25">
      <c r="A34904" t="str">
        <f>HYPERLINK("https://www.773grp.com/globalSearch/NCP571MN12TBG/page-1", "NCP571MN12TBG")</f>
        <v>NCP571MN12TBG</v>
      </c>
      <c r="B34904" s="3" t="s">
        <v>95</v>
      </c>
      <c r="C34904" s="6">
        <v>10950</v>
      </c>
      <c r="D34904" s="7">
        <v>1.1100000000000001</v>
      </c>
    </row>
    <row r="34905" spans="1:5" x14ac:dyDescent="0.25">
      <c r="A34905" t="str">
        <f>HYPERLINK("https://www.773grp.com/globalSearch/NCP702SN18T1G/page-1", "NCP702SN18T1G")</f>
        <v>NCP702SN18T1G</v>
      </c>
      <c r="B34905" s="3" t="s">
        <v>95</v>
      </c>
      <c r="C34905" s="6">
        <v>3000</v>
      </c>
      <c r="D34905" s="7">
        <v>1.1100000000000001</v>
      </c>
    </row>
    <row r="34906" spans="1:5" x14ac:dyDescent="0.25">
      <c r="A34906" t="str">
        <f>HYPERLINK("https://www.773grp.com/globalSearch/NCP702SN30T1G/page-1", "NCP702SN30T1G")</f>
        <v>NCP702SN30T1G</v>
      </c>
      <c r="B34906" s="3" t="s">
        <v>95</v>
      </c>
      <c r="C34906" s="6">
        <v>3000</v>
      </c>
      <c r="D34906" s="7">
        <v>1.1100000000000001</v>
      </c>
    </row>
    <row r="34907" spans="1:5" x14ac:dyDescent="0.25">
      <c r="A34907" t="str">
        <f>HYPERLINK("https://www.773grp.com/globalSearch/NCP702SN33T1G/page-1", "NCP702SN33T1G")</f>
        <v>NCP702SN33T1G</v>
      </c>
      <c r="B34907" s="3" t="s">
        <v>95</v>
      </c>
      <c r="C34907" s="6">
        <v>3000</v>
      </c>
      <c r="D34907" s="7">
        <v>1.1100000000000001</v>
      </c>
    </row>
    <row r="34908" spans="1:5" x14ac:dyDescent="0.25">
      <c r="A34908" t="str">
        <f>HYPERLINK("https://www.773grp.com/globalSearch/NCP78M06CTG/page-1", "NCP78M06CTG")</f>
        <v>NCP78M06CTG</v>
      </c>
      <c r="B34908" s="3" t="s">
        <v>95</v>
      </c>
      <c r="C34908" s="6">
        <v>32000</v>
      </c>
      <c r="D34908" s="7">
        <v>1.1100000000000001</v>
      </c>
    </row>
    <row r="34909" spans="1:5" x14ac:dyDescent="0.25">
      <c r="A34909" t="str">
        <f>HYPERLINK("https://www.773grp.com/globalSearch/NCP78M12CTG/page-1", "NCP78M12CTG")</f>
        <v>NCP78M12CTG</v>
      </c>
      <c r="B34909" s="3" t="s">
        <v>95</v>
      </c>
      <c r="C34909" s="6">
        <v>5000</v>
      </c>
      <c r="D34909" s="7">
        <v>1.1100000000000001</v>
      </c>
    </row>
    <row r="34910" spans="1:5" x14ac:dyDescent="0.25">
      <c r="A34910" t="str">
        <f>HYPERLINK("https://www.773grp.com/globalSearch/NCS7101SN1T1/page-1", "NCS7101SN1T1")</f>
        <v>NCS7101SN1T1</v>
      </c>
      <c r="B34910" s="3" t="s">
        <v>95</v>
      </c>
      <c r="C34910" s="6">
        <v>155428</v>
      </c>
      <c r="D34910" s="7">
        <v>1.1100000000000001</v>
      </c>
      <c r="E34910" t="s">
        <v>13</v>
      </c>
    </row>
    <row r="34911" spans="1:5" x14ac:dyDescent="0.25">
      <c r="A34911" t="str">
        <f>HYPERLINK("https://www.773grp.com/globalSearch/NCV431AIDMR2G/page-1", "NCV431AIDMR2G")</f>
        <v>NCV431AIDMR2G</v>
      </c>
      <c r="B34911" s="3" t="s">
        <v>95</v>
      </c>
      <c r="C34911" s="6">
        <v>4905</v>
      </c>
      <c r="D34911" s="7">
        <v>1.1100000000000001</v>
      </c>
    </row>
    <row r="34912" spans="1:5" x14ac:dyDescent="0.25">
      <c r="A34912" t="str">
        <f>HYPERLINK("https://www.773grp.com/globalSearch/NCV431AIDR2G/page-1", "NCV431AIDR2G")</f>
        <v>NCV431AIDR2G</v>
      </c>
      <c r="B34912" s="3" t="s">
        <v>95</v>
      </c>
      <c r="C34912" s="6">
        <v>14226</v>
      </c>
      <c r="D34912" s="7">
        <v>1.1100000000000001</v>
      </c>
      <c r="E34912" t="s">
        <v>17</v>
      </c>
    </row>
    <row r="34913" spans="1:5" x14ac:dyDescent="0.25">
      <c r="A34913" t="str">
        <f>HYPERLINK("https://www.773grp.com/globalSearch/NCV551SN25T1G/page-1", "NCV551SN25T1G")</f>
        <v>NCV551SN25T1G</v>
      </c>
      <c r="B34913" s="3" t="s">
        <v>95</v>
      </c>
      <c r="C34913" s="6">
        <v>26527</v>
      </c>
      <c r="D34913" s="7">
        <v>1.1100000000000001</v>
      </c>
      <c r="E34913" t="s">
        <v>19</v>
      </c>
    </row>
    <row r="34914" spans="1:5" x14ac:dyDescent="0.25">
      <c r="A34914" t="str">
        <f>HYPERLINK("https://www.773grp.com/globalSearch/NCV551SN27T1G/page-1", "NCV551SN27T1G")</f>
        <v>NCV551SN27T1G</v>
      </c>
      <c r="B34914" s="3" t="s">
        <v>95</v>
      </c>
      <c r="C34914" s="6">
        <v>7536</v>
      </c>
      <c r="D34914" s="7">
        <v>1.1100000000000001</v>
      </c>
      <c r="E34914" t="s">
        <v>19</v>
      </c>
    </row>
    <row r="34915" spans="1:5" x14ac:dyDescent="0.25">
      <c r="A34915" t="str">
        <f>HYPERLINK("https://www.773grp.com/globalSearch/NCV551SN28T1G/page-1", "NCV551SN28T1G")</f>
        <v>NCV551SN28T1G</v>
      </c>
      <c r="B34915" s="3" t="s">
        <v>95</v>
      </c>
      <c r="C34915" s="6">
        <v>4992</v>
      </c>
      <c r="D34915" s="7">
        <v>1.1100000000000001</v>
      </c>
    </row>
    <row r="34916" spans="1:5" x14ac:dyDescent="0.25">
      <c r="A34916" t="str">
        <f>HYPERLINK("https://www.773grp.com/globalSearch/NCV551SN30T1G/page-1", "NCV551SN30T1G")</f>
        <v>NCV551SN30T1G</v>
      </c>
      <c r="B34916" s="3" t="s">
        <v>95</v>
      </c>
      <c r="C34916" s="6">
        <v>10040</v>
      </c>
      <c r="D34916" s="7">
        <v>1.1100000000000001</v>
      </c>
      <c r="E34916" t="s">
        <v>19</v>
      </c>
    </row>
    <row r="34917" spans="1:5" x14ac:dyDescent="0.25">
      <c r="A34917" t="str">
        <f>HYPERLINK("https://www.773grp.com/globalSearch/NCV551SN31T1G/page-1", "NCV551SN31T1G")</f>
        <v>NCV551SN31T1G</v>
      </c>
      <c r="B34917" s="3" t="s">
        <v>95</v>
      </c>
      <c r="C34917" s="6">
        <v>23854</v>
      </c>
      <c r="D34917" s="7">
        <v>1.1100000000000001</v>
      </c>
      <c r="E34917" t="s">
        <v>19</v>
      </c>
    </row>
    <row r="34918" spans="1:5" x14ac:dyDescent="0.25">
      <c r="A34918" t="str">
        <f>HYPERLINK("https://www.773grp.com/globalSearch/NCV551SN32T1G/page-1", "NCV551SN32T1G")</f>
        <v>NCV551SN32T1G</v>
      </c>
      <c r="B34918" s="3" t="s">
        <v>95</v>
      </c>
      <c r="C34918" s="6">
        <v>12142</v>
      </c>
      <c r="D34918" s="7">
        <v>1.1100000000000001</v>
      </c>
      <c r="E34918" t="s">
        <v>19</v>
      </c>
    </row>
    <row r="34919" spans="1:5" x14ac:dyDescent="0.25">
      <c r="A34919" t="str">
        <f>HYPERLINK("https://www.773grp.com/globalSearch/NCV551SN33T1G/page-1", "NCV551SN33T1G")</f>
        <v>NCV551SN33T1G</v>
      </c>
      <c r="B34919" s="3" t="s">
        <v>95</v>
      </c>
      <c r="C34919" s="6">
        <v>2789</v>
      </c>
      <c r="D34919" s="7">
        <v>1.1100000000000001</v>
      </c>
      <c r="E34919" t="s">
        <v>19</v>
      </c>
    </row>
    <row r="34920" spans="1:5" x14ac:dyDescent="0.25">
      <c r="A34920" t="str">
        <f>HYPERLINK("https://www.773grp.com/globalSearch/NCV562SQ33T1G/page-1", "NCV562SQ33T1G")</f>
        <v>NCV562SQ33T1G</v>
      </c>
      <c r="B34920" s="3" t="s">
        <v>95</v>
      </c>
      <c r="C34920" s="6">
        <v>2986</v>
      </c>
      <c r="D34920" s="7">
        <v>1.1100000000000001</v>
      </c>
    </row>
    <row r="34921" spans="1:5" x14ac:dyDescent="0.25">
      <c r="A34921" t="str">
        <f>HYPERLINK("https://www.773grp.com/globalSearch/NDD03N60Z-1G/page-1", "NDD03N60Z-1G")</f>
        <v>NDD03N60Z-1G</v>
      </c>
      <c r="B34921" s="3" t="s">
        <v>95</v>
      </c>
      <c r="C34921" s="6">
        <v>1575</v>
      </c>
      <c r="D34921" s="7">
        <v>1.1100000000000001</v>
      </c>
      <c r="E34921" t="s">
        <v>105</v>
      </c>
    </row>
    <row r="34922" spans="1:5" x14ac:dyDescent="0.25">
      <c r="A34922" t="str">
        <f>HYPERLINK("https://www.773grp.com/globalSearch/NDD03N60ZT4G/page-1", "NDD03N60ZT4G")</f>
        <v>NDD03N60ZT4G</v>
      </c>
      <c r="B34922" s="3" t="s">
        <v>95</v>
      </c>
      <c r="C34922" s="6">
        <v>4840</v>
      </c>
      <c r="D34922" s="7">
        <v>1.1100000000000001</v>
      </c>
    </row>
    <row r="34923" spans="1:5" x14ac:dyDescent="0.25">
      <c r="A34923" t="str">
        <f>HYPERLINK("https://www.773grp.com/globalSearch/NDD04N50Z-1G/page-1", "NDD04N50Z-1G")</f>
        <v>NDD04N50Z-1G</v>
      </c>
      <c r="B34923" s="3" t="s">
        <v>95</v>
      </c>
      <c r="C34923" s="6">
        <v>22875</v>
      </c>
      <c r="D34923" s="7">
        <v>1.1100000000000001</v>
      </c>
      <c r="E34923" t="s">
        <v>105</v>
      </c>
    </row>
    <row r="34924" spans="1:5" x14ac:dyDescent="0.25">
      <c r="A34924" t="str">
        <f>HYPERLINK("https://www.773grp.com/globalSearch/NDD04N50ZT4G/page-1", "NDD04N50ZT4G")</f>
        <v>NDD04N50ZT4G</v>
      </c>
      <c r="B34924" s="3" t="s">
        <v>95</v>
      </c>
      <c r="C34924" s="6">
        <v>13996</v>
      </c>
      <c r="D34924" s="7">
        <v>1.1100000000000001</v>
      </c>
      <c r="E34924" t="s">
        <v>105</v>
      </c>
    </row>
    <row r="34925" spans="1:5" x14ac:dyDescent="0.25">
      <c r="A34925" t="str">
        <f>HYPERLINK("https://www.773grp.com/globalSearch/NDF02N60ZG/page-1", "NDF02N60ZG")</f>
        <v>NDF02N60ZG</v>
      </c>
      <c r="B34925" s="3" t="s">
        <v>95</v>
      </c>
      <c r="C34925" s="6">
        <v>71850</v>
      </c>
      <c r="D34925" s="7">
        <v>1.1100000000000001</v>
      </c>
      <c r="E34925" t="s">
        <v>105</v>
      </c>
    </row>
    <row r="34926" spans="1:5" x14ac:dyDescent="0.25">
      <c r="A34926" t="str">
        <f>HYPERLINK("https://www.773grp.com/globalSearch/NDF04N62ZG/page-1", "NDF04N62ZG")</f>
        <v>NDF04N62ZG</v>
      </c>
      <c r="B34926" s="3" t="s">
        <v>95</v>
      </c>
      <c r="C34926" s="6">
        <v>7050</v>
      </c>
      <c r="D34926" s="7">
        <v>1.1100000000000001</v>
      </c>
      <c r="E34926" t="s">
        <v>105</v>
      </c>
    </row>
    <row r="34927" spans="1:5" x14ac:dyDescent="0.25">
      <c r="A34927" t="str">
        <f>HYPERLINK("https://www.773grp.com/globalSearch/NJVTIP31CG/page-1", "NJVTIP31CG")</f>
        <v>NJVTIP31CG</v>
      </c>
      <c r="B34927" s="3" t="s">
        <v>95</v>
      </c>
      <c r="C34927" s="6">
        <v>14120</v>
      </c>
      <c r="D34927" s="7">
        <v>1.1100000000000001</v>
      </c>
    </row>
    <row r="34928" spans="1:5" x14ac:dyDescent="0.25">
      <c r="A34928" t="str">
        <f>HYPERLINK("https://www.773grp.com/globalSearch/NJVTIP31G/page-1", "NJVTIP31G")</f>
        <v>NJVTIP31G</v>
      </c>
      <c r="B34928" s="3" t="s">
        <v>95</v>
      </c>
      <c r="C34928" s="6">
        <v>6600</v>
      </c>
      <c r="D34928" s="7">
        <v>1.1100000000000001</v>
      </c>
    </row>
    <row r="34929" spans="1:5" x14ac:dyDescent="0.25">
      <c r="A34929" t="str">
        <f>HYPERLINK("https://www.773grp.com/globalSearch/NLSV1T34AMUTCG/page-1", "NLSV1T34AMUTCG")</f>
        <v>NLSV1T34AMUTCG</v>
      </c>
      <c r="B34929" s="3" t="s">
        <v>95</v>
      </c>
      <c r="C34929" s="6">
        <v>5900</v>
      </c>
      <c r="D34929" s="7">
        <v>1.1100000000000001</v>
      </c>
      <c r="E34929" t="s">
        <v>14</v>
      </c>
    </row>
    <row r="34930" spans="1:5" x14ac:dyDescent="0.25">
      <c r="A34930" t="str">
        <f>HYPERLINK("https://www.773grp.com/globalSearch/NLSV1T34AMX1TCG/page-1", "NLSV1T34AMX1TCG")</f>
        <v>NLSV1T34AMX1TCG</v>
      </c>
      <c r="B34930" s="3" t="s">
        <v>95</v>
      </c>
      <c r="C34930" s="6">
        <v>6156000</v>
      </c>
      <c r="D34930" s="7">
        <v>1.1100000000000001</v>
      </c>
      <c r="E34930" t="s">
        <v>14</v>
      </c>
    </row>
    <row r="34931" spans="1:5" x14ac:dyDescent="0.25">
      <c r="A34931" t="str">
        <f>HYPERLINK("https://www.773grp.com/globalSearch/NLSV1T34DFT2G/page-1", "NLSV1T34DFT2G")</f>
        <v>NLSV1T34DFT2G</v>
      </c>
      <c r="B34931" s="3" t="s">
        <v>95</v>
      </c>
      <c r="C34931" s="6">
        <v>59300</v>
      </c>
      <c r="D34931" s="7">
        <v>1.1100000000000001</v>
      </c>
    </row>
    <row r="34932" spans="1:5" x14ac:dyDescent="0.25">
      <c r="A34932" t="str">
        <f>HYPERLINK("https://www.773grp.com/globalSearch/NLSV1T34MUTBG/page-1", "NLSV1T34MUTBG")</f>
        <v>NLSV1T34MUTBG</v>
      </c>
      <c r="B34932" s="3" t="s">
        <v>95</v>
      </c>
      <c r="C34932" s="6">
        <v>309430</v>
      </c>
      <c r="D34932" s="7">
        <v>1.1100000000000001</v>
      </c>
      <c r="E34932" t="s">
        <v>14</v>
      </c>
    </row>
    <row r="34933" spans="1:5" x14ac:dyDescent="0.25">
      <c r="A34933" t="str">
        <f>HYPERLINK("https://www.773grp.com/globalSearch/NLV14028BDR2G/page-1", "NLV14028BDR2G")</f>
        <v>NLV14028BDR2G</v>
      </c>
      <c r="B34933" s="3" t="s">
        <v>95</v>
      </c>
      <c r="C34933" s="6">
        <v>20000</v>
      </c>
      <c r="D34933" s="7">
        <v>1.1100000000000001</v>
      </c>
    </row>
    <row r="34934" spans="1:5" x14ac:dyDescent="0.25">
      <c r="A34934" t="str">
        <f>HYPERLINK("https://www.773grp.com/globalSearch/NLV14043BDG/page-1", "NLV14043BDG")</f>
        <v>NLV14043BDG</v>
      </c>
      <c r="B34934" s="3" t="s">
        <v>95</v>
      </c>
      <c r="C34934" s="6">
        <v>33</v>
      </c>
      <c r="D34934" s="7">
        <v>1.1100000000000001</v>
      </c>
    </row>
    <row r="34935" spans="1:5" x14ac:dyDescent="0.25">
      <c r="A34935" t="str">
        <f>HYPERLINK("https://www.773grp.com/globalSearch/NLV14043BDR2G/page-1", "NLV14043BDR2G")</f>
        <v>NLV14043BDR2G</v>
      </c>
      <c r="B34935" s="3" t="s">
        <v>95</v>
      </c>
      <c r="C34935" s="6">
        <v>4590</v>
      </c>
      <c r="D34935" s="7">
        <v>1.1100000000000001</v>
      </c>
    </row>
    <row r="34936" spans="1:5" x14ac:dyDescent="0.25">
      <c r="A34936" t="str">
        <f>HYPERLINK("https://www.773grp.com/globalSearch/NLV14044BDR2G/page-1", "NLV14044BDR2G")</f>
        <v>NLV14044BDR2G</v>
      </c>
      <c r="B34936" s="3" t="s">
        <v>95</v>
      </c>
      <c r="C34936" s="6">
        <v>4500</v>
      </c>
      <c r="D34936" s="7">
        <v>1.1100000000000001</v>
      </c>
    </row>
    <row r="34937" spans="1:5" x14ac:dyDescent="0.25">
      <c r="A34937" t="str">
        <f>HYPERLINK("https://www.773grp.com/globalSearch/NLV14051BDR2G/page-1", "NLV14051BDR2G")</f>
        <v>NLV14051BDR2G</v>
      </c>
      <c r="B34937" s="3" t="s">
        <v>95</v>
      </c>
      <c r="C34937" s="6">
        <v>1781</v>
      </c>
      <c r="D34937" s="7">
        <v>1.1100000000000001</v>
      </c>
    </row>
    <row r="34938" spans="1:5" x14ac:dyDescent="0.25">
      <c r="A34938" t="str">
        <f>HYPERLINK("https://www.773grp.com/globalSearch/NLV14052BDG/page-1", "NLV14052BDG")</f>
        <v>NLV14052BDG</v>
      </c>
      <c r="B34938" s="3" t="s">
        <v>95</v>
      </c>
      <c r="C34938" s="6">
        <v>2688</v>
      </c>
      <c r="D34938" s="7">
        <v>1.1100000000000001</v>
      </c>
    </row>
    <row r="34939" spans="1:5" x14ac:dyDescent="0.25">
      <c r="A34939" t="str">
        <f>HYPERLINK("https://www.773grp.com/globalSearch/NLV14052BDR2G/page-1", "NLV14052BDR2G")</f>
        <v>NLV14052BDR2G</v>
      </c>
      <c r="B34939" s="3" t="s">
        <v>95</v>
      </c>
      <c r="C34939" s="6">
        <v>183745</v>
      </c>
      <c r="D34939" s="7">
        <v>1.1100000000000001</v>
      </c>
    </row>
    <row r="34940" spans="1:5" x14ac:dyDescent="0.25">
      <c r="A34940" t="str">
        <f>HYPERLINK("https://www.773grp.com/globalSearch/NLV14053BDG/page-1", "NLV14053BDG")</f>
        <v>NLV14053BDG</v>
      </c>
      <c r="B34940" s="3" t="s">
        <v>95</v>
      </c>
      <c r="C34940" s="6">
        <v>288</v>
      </c>
      <c r="D34940" s="7">
        <v>1.1100000000000001</v>
      </c>
    </row>
    <row r="34941" spans="1:5" x14ac:dyDescent="0.25">
      <c r="A34941" t="str">
        <f>HYPERLINK("https://www.773grp.com/globalSearch/NLV14053BDTR2G/page-1", "NLV14053BDTR2G")</f>
        <v>NLV14053BDTR2G</v>
      </c>
      <c r="B34941" s="3" t="s">
        <v>95</v>
      </c>
      <c r="C34941" s="6">
        <v>493</v>
      </c>
      <c r="D34941" s="7">
        <v>1.1100000000000001</v>
      </c>
    </row>
    <row r="34942" spans="1:5" x14ac:dyDescent="0.25">
      <c r="A34942" t="str">
        <f>HYPERLINK("https://www.773grp.com/globalSearch/NLVHCT245ADTR2G/page-1", "NLVHCT245ADTR2G")</f>
        <v>NLVHCT245ADTR2G</v>
      </c>
      <c r="B34942" s="3" t="s">
        <v>95</v>
      </c>
      <c r="C34942" s="6">
        <v>2175</v>
      </c>
      <c r="D34942" s="7">
        <v>1.1100000000000001</v>
      </c>
    </row>
    <row r="34943" spans="1:5" x14ac:dyDescent="0.25">
      <c r="A34943" t="str">
        <f>HYPERLINK("https://www.773grp.com/globalSearch/NP3100SB1G/page-1", "NP3100SB1G")</f>
        <v>NP3100SB1G</v>
      </c>
      <c r="B34943" s="3" t="s">
        <v>95</v>
      </c>
      <c r="C34943" s="6">
        <v>2500</v>
      </c>
      <c r="D34943" s="7">
        <v>1.1100000000000001</v>
      </c>
    </row>
    <row r="34944" spans="1:5" x14ac:dyDescent="0.25">
      <c r="A34944" t="str">
        <f>HYPERLINK("https://www.773grp.com/globalSearch/NSI45060DDT4G/page-1", "NSI45060DDT4G")</f>
        <v>NSI45060DDT4G</v>
      </c>
      <c r="B34944" s="3" t="s">
        <v>95</v>
      </c>
      <c r="C34944" s="6">
        <v>75000</v>
      </c>
      <c r="D34944" s="7">
        <v>1.1100000000000001</v>
      </c>
      <c r="E34944" t="s">
        <v>10</v>
      </c>
    </row>
    <row r="34945" spans="1:5" x14ac:dyDescent="0.25">
      <c r="A34945" t="str">
        <f>HYPERLINK("https://www.773grp.com/globalSearch/NSI45090DDT4G/page-1", "NSI45090DDT4G")</f>
        <v>NSI45090DDT4G</v>
      </c>
      <c r="B34945" s="3" t="s">
        <v>95</v>
      </c>
      <c r="C34945" s="6">
        <v>156060</v>
      </c>
      <c r="D34945" s="7">
        <v>1.1100000000000001</v>
      </c>
      <c r="E34945" t="s">
        <v>10</v>
      </c>
    </row>
    <row r="34946" spans="1:5" x14ac:dyDescent="0.25">
      <c r="A34946" t="str">
        <f>HYPERLINK("https://www.773grp.com/globalSearch/NSS40200UW6T1G/page-1", "NSS40200UW6T1G")</f>
        <v>NSS40200UW6T1G</v>
      </c>
      <c r="B34946" s="3" t="s">
        <v>95</v>
      </c>
      <c r="C34946" s="6">
        <v>215975</v>
      </c>
      <c r="D34946" s="7">
        <v>1.1100000000000001</v>
      </c>
      <c r="E34946" t="s">
        <v>69</v>
      </c>
    </row>
    <row r="34947" spans="1:5" x14ac:dyDescent="0.25">
      <c r="A34947" t="str">
        <f>HYPERLINK("https://www.773grp.com/globalSearch/NTD30N02T4G/page-1", "NTD30N02T4G")</f>
        <v>NTD30N02T4G</v>
      </c>
      <c r="B34947" s="3" t="s">
        <v>95</v>
      </c>
      <c r="C34947" s="6">
        <v>22500</v>
      </c>
      <c r="D34947" s="7">
        <v>1.1100000000000001</v>
      </c>
      <c r="E34947" t="s">
        <v>105</v>
      </c>
    </row>
    <row r="34948" spans="1:5" x14ac:dyDescent="0.25">
      <c r="A34948" t="str">
        <f>HYPERLINK("https://www.773grp.com/globalSearch/NTD4855N-1G/page-1", "NTD4855N-1G")</f>
        <v>NTD4855N-1G</v>
      </c>
      <c r="B34948" s="3" t="s">
        <v>95</v>
      </c>
      <c r="C34948" s="6">
        <v>10425</v>
      </c>
      <c r="D34948" s="7">
        <v>1.1100000000000001</v>
      </c>
      <c r="E34948" t="s">
        <v>105</v>
      </c>
    </row>
    <row r="34949" spans="1:5" x14ac:dyDescent="0.25">
      <c r="A34949" t="str">
        <f>HYPERLINK("https://www.773grp.com/globalSearch/NTD4904N-1G/page-1", "NTD4904N-1G")</f>
        <v>NTD4904N-1G</v>
      </c>
      <c r="B34949" s="3" t="s">
        <v>95</v>
      </c>
      <c r="C34949" s="6">
        <v>20</v>
      </c>
      <c r="D34949" s="7">
        <v>1.1100000000000001</v>
      </c>
    </row>
    <row r="34950" spans="1:5" x14ac:dyDescent="0.25">
      <c r="A34950" t="str">
        <f>HYPERLINK("https://www.773grp.com/globalSearch/NTD4904NT4G/page-1", "NTD4904NT4G")</f>
        <v>NTD4904NT4G</v>
      </c>
      <c r="B34950" s="3" t="s">
        <v>95</v>
      </c>
      <c r="C34950" s="6">
        <v>2500</v>
      </c>
      <c r="D34950" s="7">
        <v>1.1100000000000001</v>
      </c>
      <c r="E34950" t="s">
        <v>105</v>
      </c>
    </row>
    <row r="34951" spans="1:5" x14ac:dyDescent="0.25">
      <c r="A34951" t="str">
        <f>HYPERLINK("https://www.773grp.com/globalSearch/NTD65N03R/page-1", "NTD65N03R")</f>
        <v>NTD65N03R</v>
      </c>
      <c r="B34951" s="3" t="s">
        <v>95</v>
      </c>
      <c r="C34951" s="6">
        <v>2250</v>
      </c>
      <c r="D34951" s="7">
        <v>1.1100000000000001</v>
      </c>
      <c r="E34951" t="s">
        <v>105</v>
      </c>
    </row>
    <row r="34952" spans="1:5" x14ac:dyDescent="0.25">
      <c r="A34952" t="str">
        <f>HYPERLINK("https://www.773grp.com/globalSearch/NTF3055-100T3G/page-1", "NTF3055-100T3G")</f>
        <v>NTF3055-100T3G</v>
      </c>
      <c r="B34952" s="3" t="s">
        <v>95</v>
      </c>
      <c r="C34952" s="6">
        <v>1</v>
      </c>
      <c r="D34952" s="7">
        <v>1.1100000000000001</v>
      </c>
      <c r="E34952" t="s">
        <v>105</v>
      </c>
    </row>
    <row r="34953" spans="1:5" x14ac:dyDescent="0.25">
      <c r="A34953" t="str">
        <f>HYPERLINK("https://www.773grp.com/globalSearch/NTGD3133PT1G/page-1", "NTGD3133PT1G")</f>
        <v>NTGD3133PT1G</v>
      </c>
      <c r="B34953" s="3" t="s">
        <v>95</v>
      </c>
      <c r="C34953" s="6">
        <v>9000</v>
      </c>
      <c r="D34953" s="7">
        <v>1.1100000000000001</v>
      </c>
      <c r="E34953" t="s">
        <v>106</v>
      </c>
    </row>
    <row r="34954" spans="1:5" x14ac:dyDescent="0.25">
      <c r="A34954" t="str">
        <f>HYPERLINK("https://www.773grp.com/globalSearch/NTGD3133PT1H/page-1", "NTGD3133PT1H")</f>
        <v>NTGD3133PT1H</v>
      </c>
      <c r="B34954" s="3" t="s">
        <v>95</v>
      </c>
      <c r="C34954" s="6">
        <v>15000</v>
      </c>
      <c r="D34954" s="7">
        <v>1.1100000000000001</v>
      </c>
    </row>
    <row r="34955" spans="1:5" x14ac:dyDescent="0.25">
      <c r="A34955" t="str">
        <f>HYPERLINK("https://www.773grp.com/globalSearch/NTLJS4149PTBG/page-1", "NTLJS4149PTBG")</f>
        <v>NTLJS4149PTBG</v>
      </c>
      <c r="B34955" s="3" t="s">
        <v>95</v>
      </c>
      <c r="C34955" s="6">
        <v>309000</v>
      </c>
      <c r="D34955" s="7">
        <v>1.1100000000000001</v>
      </c>
      <c r="E34955" t="s">
        <v>106</v>
      </c>
    </row>
    <row r="34956" spans="1:5" x14ac:dyDescent="0.25">
      <c r="A34956" t="str">
        <f>HYPERLINK("https://www.773grp.com/globalSearch/NTMD6N04R2G/page-1", "NTMD6N04R2G")</f>
        <v>NTMD6N04R2G</v>
      </c>
      <c r="B34956" s="3" t="s">
        <v>95</v>
      </c>
      <c r="C34956" s="6">
        <v>64799</v>
      </c>
      <c r="D34956" s="7">
        <v>1.1100000000000001</v>
      </c>
      <c r="E34956" t="s">
        <v>105</v>
      </c>
    </row>
    <row r="34957" spans="1:5" x14ac:dyDescent="0.25">
      <c r="A34957" t="str">
        <f>HYPERLINK("https://www.773grp.com/globalSearch/NTMS4704NR2G/page-1", "NTMS4704NR2G")</f>
        <v>NTMS4704NR2G</v>
      </c>
      <c r="B34957" s="3" t="s">
        <v>95</v>
      </c>
      <c r="C34957" s="6">
        <v>7500</v>
      </c>
      <c r="D34957" s="7">
        <v>1.1100000000000001</v>
      </c>
      <c r="E34957" t="s">
        <v>106</v>
      </c>
    </row>
    <row r="34958" spans="1:5" x14ac:dyDescent="0.25">
      <c r="A34958" t="str">
        <f>HYPERLINK("https://www.773grp.com/globalSearch/NTMS4920NR2G/page-1", "NTMS4920NR2G")</f>
        <v>NTMS4920NR2G</v>
      </c>
      <c r="B34958" s="3" t="s">
        <v>95</v>
      </c>
      <c r="C34958" s="6">
        <v>64000</v>
      </c>
      <c r="D34958" s="7">
        <v>1.1100000000000001</v>
      </c>
    </row>
    <row r="34959" spans="1:5" x14ac:dyDescent="0.25">
      <c r="A34959" t="str">
        <f>HYPERLINK("https://www.773grp.com/globalSearch/NTP75N03RG/page-1", "NTP75N03RG")</f>
        <v>NTP75N03RG</v>
      </c>
      <c r="B34959" s="3" t="s">
        <v>95</v>
      </c>
      <c r="C34959" s="6">
        <v>4012</v>
      </c>
      <c r="D34959" s="7">
        <v>1.1100000000000001</v>
      </c>
      <c r="E34959" t="s">
        <v>105</v>
      </c>
    </row>
    <row r="34960" spans="1:5" x14ac:dyDescent="0.25">
      <c r="A34960" t="str">
        <f>HYPERLINK("https://www.773grp.com/globalSearch/NTSJ20120CTG/page-1", "NTSJ20120CTG")</f>
        <v>NTSJ20120CTG</v>
      </c>
      <c r="B34960" s="3" t="s">
        <v>95</v>
      </c>
      <c r="C34960" s="6">
        <v>300</v>
      </c>
      <c r="D34960" s="7">
        <v>1.1100000000000001</v>
      </c>
    </row>
    <row r="34961" spans="1:5" x14ac:dyDescent="0.25">
      <c r="A34961" t="str">
        <f>HYPERLINK("https://www.773grp.com/globalSearch/NTSV20100CTG/page-1", "NTSV20100CTG")</f>
        <v>NTSV20100CTG</v>
      </c>
      <c r="B34961" s="3" t="s">
        <v>95</v>
      </c>
      <c r="C34961" s="6">
        <v>84100</v>
      </c>
      <c r="D34961" s="7">
        <v>1.1100000000000001</v>
      </c>
    </row>
    <row r="34962" spans="1:5" x14ac:dyDescent="0.25">
      <c r="A34962" t="str">
        <f>HYPERLINK("https://www.773grp.com/globalSearch/P6SMB18CAT3/page-1", "P6SMB18CAT3")</f>
        <v>P6SMB18CAT3</v>
      </c>
      <c r="B34962" s="3" t="s">
        <v>95</v>
      </c>
      <c r="C34962" s="6">
        <v>2500</v>
      </c>
      <c r="D34962" s="7">
        <v>1.1100000000000001</v>
      </c>
      <c r="E34962" t="s">
        <v>96</v>
      </c>
    </row>
    <row r="34963" spans="1:5" x14ac:dyDescent="0.25">
      <c r="A34963" t="str">
        <f>HYPERLINK("https://www.773grp.com/globalSearch/P6SMB33CAT3G/page-1", "P6SMB33CAT3G")</f>
        <v>P6SMB33CAT3G</v>
      </c>
      <c r="B34963" s="3" t="s">
        <v>95</v>
      </c>
      <c r="C34963" s="6">
        <v>62500</v>
      </c>
      <c r="D34963" s="7">
        <v>1.1100000000000001</v>
      </c>
      <c r="E34963" t="s">
        <v>96</v>
      </c>
    </row>
    <row r="34964" spans="1:5" x14ac:dyDescent="0.25">
      <c r="A34964" t="str">
        <f>HYPERLINK("https://www.773grp.com/globalSearch/PACDN009MR/page-1", "PACDN009MR")</f>
        <v>PACDN009MR</v>
      </c>
      <c r="B34964" s="3" t="s">
        <v>95</v>
      </c>
      <c r="C34964" s="6">
        <v>8344</v>
      </c>
      <c r="D34964" s="7">
        <v>1.1100000000000001</v>
      </c>
      <c r="E34964" t="s">
        <v>96</v>
      </c>
    </row>
    <row r="34965" spans="1:5" x14ac:dyDescent="0.25">
      <c r="A34965" t="str">
        <f>HYPERLINK("https://www.773grp.com/globalSearch/SC224DR2G/page-1", "SC224DR2G")</f>
        <v>SC224DR2G</v>
      </c>
      <c r="B34965" s="3" t="s">
        <v>95</v>
      </c>
      <c r="C34965" s="6">
        <v>3682</v>
      </c>
      <c r="D34965" s="7">
        <v>1.1100000000000001</v>
      </c>
    </row>
    <row r="34966" spans="1:5" x14ac:dyDescent="0.25">
      <c r="A34966" t="str">
        <f>HYPERLINK("https://www.773grp.com/globalSearch/SC239DR2G/page-1", "SC239DR2G")</f>
        <v>SC239DR2G</v>
      </c>
      <c r="B34966" s="3" t="s">
        <v>95</v>
      </c>
      <c r="C34966" s="6">
        <v>4386</v>
      </c>
      <c r="D34966" s="7">
        <v>1.1100000000000001</v>
      </c>
    </row>
    <row r="34967" spans="1:5" x14ac:dyDescent="0.25">
      <c r="A34967" t="str">
        <f>HYPERLINK("https://www.773grp.com/globalSearch/SC2903DR2/page-1", "SC2903DR2")</f>
        <v>SC2903DR2</v>
      </c>
      <c r="B34967" s="3" t="s">
        <v>95</v>
      </c>
      <c r="C34967" s="6">
        <v>15272</v>
      </c>
      <c r="D34967" s="7">
        <v>1.1100000000000001</v>
      </c>
    </row>
    <row r="34968" spans="1:5" x14ac:dyDescent="0.25">
      <c r="A34968" t="str">
        <f>HYPERLINK("https://www.773grp.com/globalSearch/SCY1117DT33RK/page-1", "SCY1117DT33RK")</f>
        <v>SCY1117DT33RK</v>
      </c>
      <c r="B34968" s="3" t="s">
        <v>95</v>
      </c>
      <c r="C34968" s="6">
        <v>97500</v>
      </c>
      <c r="D34968" s="7">
        <v>1.1100000000000001</v>
      </c>
    </row>
    <row r="34969" spans="1:5" x14ac:dyDescent="0.25">
      <c r="A34969" t="str">
        <f>HYPERLINK("https://www.773grp.com/globalSearch/SN74LS193D/page-1", "SN74LS193D")</f>
        <v>SN74LS193D</v>
      </c>
      <c r="B34969" s="3" t="s">
        <v>95</v>
      </c>
      <c r="C34969" s="6">
        <v>4013</v>
      </c>
      <c r="D34969" s="7">
        <v>1.1100000000000001</v>
      </c>
      <c r="E34969" t="s">
        <v>26</v>
      </c>
    </row>
    <row r="34970" spans="1:5" x14ac:dyDescent="0.25">
      <c r="A34970" t="str">
        <f>HYPERLINK("https://www.773grp.com/globalSearch/SN74LS486M/page-1", "SN74LS486M")</f>
        <v>SN74LS486M</v>
      </c>
      <c r="B34970" s="3" t="s">
        <v>95</v>
      </c>
      <c r="C34970" s="6">
        <v>1687</v>
      </c>
      <c r="D34970" s="7">
        <v>1.1100000000000001</v>
      </c>
    </row>
    <row r="34971" spans="1:5" x14ac:dyDescent="0.25">
      <c r="A34971" t="str">
        <f>HYPERLINK("https://www.773grp.com/globalSearch/SPQ2026/page-1", "SPQ2026")</f>
        <v>SPQ2026</v>
      </c>
      <c r="B34971" s="3" t="s">
        <v>95</v>
      </c>
      <c r="C34971" s="6">
        <v>29</v>
      </c>
      <c r="D34971" s="7">
        <v>1.1100000000000001</v>
      </c>
    </row>
    <row r="34972" spans="1:5" x14ac:dyDescent="0.25">
      <c r="A34972" t="str">
        <f>HYPERLINK("https://www.773grp.com/globalSearch/SZ1SMA16CAT3G/page-1", "SZ1SMA16CAT3G")</f>
        <v>SZ1SMA16CAT3G</v>
      </c>
      <c r="B34972" s="3" t="s">
        <v>95</v>
      </c>
      <c r="C34972" s="6">
        <v>4072</v>
      </c>
      <c r="D34972" s="7">
        <v>1.1100000000000001</v>
      </c>
    </row>
    <row r="34973" spans="1:5" x14ac:dyDescent="0.25">
      <c r="A34973" t="str">
        <f>HYPERLINK("https://www.773grp.com/globalSearch/TIP31AG/page-1", "TIP31AG")</f>
        <v>TIP31AG</v>
      </c>
      <c r="B34973" s="3" t="s">
        <v>95</v>
      </c>
      <c r="C34973" s="6">
        <v>12141</v>
      </c>
      <c r="D34973" s="7">
        <v>1.1100000000000001</v>
      </c>
      <c r="E34973" t="s">
        <v>59</v>
      </c>
    </row>
    <row r="34974" spans="1:5" x14ac:dyDescent="0.25">
      <c r="A34974" t="str">
        <f>HYPERLINK("https://www.773grp.com/globalSearch/TIP31BG/page-1", "TIP31BG")</f>
        <v>TIP31BG</v>
      </c>
      <c r="B34974" s="3" t="s">
        <v>95</v>
      </c>
      <c r="C34974" s="6">
        <v>36806</v>
      </c>
      <c r="D34974" s="7">
        <v>1.1100000000000001</v>
      </c>
      <c r="E34974" t="s">
        <v>59</v>
      </c>
    </row>
    <row r="34975" spans="1:5" x14ac:dyDescent="0.25">
      <c r="A34975" t="str">
        <f>HYPERLINK("https://www.773grp.com/globalSearch/TIP31C/page-1", "TIP31C")</f>
        <v>TIP31C</v>
      </c>
      <c r="B34975" s="3" t="s">
        <v>95</v>
      </c>
      <c r="C34975" s="6">
        <v>33185</v>
      </c>
      <c r="D34975" s="7">
        <v>1.1100000000000001</v>
      </c>
      <c r="E34975" t="s">
        <v>59</v>
      </c>
    </row>
    <row r="34976" spans="1:5" x14ac:dyDescent="0.25">
      <c r="A34976" t="str">
        <f>HYPERLINK("https://www.773grp.com/globalSearch/TIP31CG/page-1", "TIP31CG")</f>
        <v>TIP31CG</v>
      </c>
      <c r="B34976" s="3" t="s">
        <v>95</v>
      </c>
      <c r="C34976" s="6">
        <v>24530</v>
      </c>
      <c r="D34976" s="7">
        <v>1.1100000000000001</v>
      </c>
      <c r="E34976" t="s">
        <v>59</v>
      </c>
    </row>
    <row r="34977" spans="1:5" x14ac:dyDescent="0.25">
      <c r="A34977" t="str">
        <f>HYPERLINK("https://www.773grp.com/globalSearch/TIP31G/page-1", "TIP31G")</f>
        <v>TIP31G</v>
      </c>
      <c r="B34977" s="3" t="s">
        <v>95</v>
      </c>
      <c r="C34977" s="6">
        <v>13603</v>
      </c>
      <c r="D34977" s="7">
        <v>1.1100000000000001</v>
      </c>
      <c r="E34977" t="s">
        <v>59</v>
      </c>
    </row>
    <row r="34978" spans="1:5" x14ac:dyDescent="0.25">
      <c r="A34978" t="str">
        <f>HYPERLINK("https://www.773grp.com/globalSearch/TL062ACD/page-1", "TL062ACD")</f>
        <v>TL062ACD</v>
      </c>
      <c r="B34978" s="3" t="s">
        <v>95</v>
      </c>
      <c r="C34978" s="6">
        <v>6076</v>
      </c>
      <c r="D34978" s="7">
        <v>1.1100000000000001</v>
      </c>
      <c r="E34978" t="s">
        <v>13</v>
      </c>
    </row>
    <row r="34979" spans="1:5" x14ac:dyDescent="0.25">
      <c r="A34979" t="str">
        <f>HYPERLINK("https://www.773grp.com/globalSearch/TL062ACP/page-1", "TL062ACP")</f>
        <v>TL062ACP</v>
      </c>
      <c r="B34979" s="3" t="s">
        <v>95</v>
      </c>
      <c r="C34979" s="6">
        <v>77</v>
      </c>
      <c r="D34979" s="7">
        <v>1.1100000000000001</v>
      </c>
      <c r="E34979" t="s">
        <v>13</v>
      </c>
    </row>
    <row r="34980" spans="1:5" x14ac:dyDescent="0.25">
      <c r="A34980" t="str">
        <f>HYPERLINK("https://www.773grp.com/globalSearch/TL071ACP/page-1", "TL071ACP")</f>
        <v>TL071ACP</v>
      </c>
      <c r="B34980" s="3" t="s">
        <v>95</v>
      </c>
      <c r="C34980" s="6">
        <v>1114</v>
      </c>
      <c r="D34980" s="7">
        <v>1.1100000000000001</v>
      </c>
      <c r="E34980" t="s">
        <v>13</v>
      </c>
    </row>
    <row r="34981" spans="1:5" x14ac:dyDescent="0.25">
      <c r="A34981" t="str">
        <f>HYPERLINK("https://www.773grp.com/globalSearch/TL072ACD/page-1", "TL072ACD")</f>
        <v>TL072ACD</v>
      </c>
      <c r="B34981" s="3" t="s">
        <v>95</v>
      </c>
      <c r="C34981" s="6">
        <v>1965</v>
      </c>
      <c r="D34981" s="7">
        <v>1.1100000000000001</v>
      </c>
      <c r="E34981" t="s">
        <v>13</v>
      </c>
    </row>
    <row r="34982" spans="1:5" x14ac:dyDescent="0.25">
      <c r="A34982" t="str">
        <f>HYPERLINK("https://www.773grp.com/globalSearch/TL072ACP/page-1", "TL072ACP")</f>
        <v>TL072ACP</v>
      </c>
      <c r="B34982" s="3" t="s">
        <v>95</v>
      </c>
      <c r="C34982" s="6">
        <v>439</v>
      </c>
      <c r="D34982" s="7">
        <v>1.1100000000000001</v>
      </c>
      <c r="E34982" t="s">
        <v>13</v>
      </c>
    </row>
    <row r="34983" spans="1:5" x14ac:dyDescent="0.25">
      <c r="A34983" t="str">
        <f>HYPERLINK("https://www.773grp.com/globalSearch/TL072CP/page-1", "TL072CP")</f>
        <v>TL072CP</v>
      </c>
      <c r="B34983" s="3" t="s">
        <v>95</v>
      </c>
      <c r="C34983" s="6">
        <v>251754</v>
      </c>
      <c r="D34983" s="7">
        <v>1.1100000000000001</v>
      </c>
      <c r="E34983" t="s">
        <v>13</v>
      </c>
    </row>
    <row r="34984" spans="1:5" x14ac:dyDescent="0.25">
      <c r="A34984" t="str">
        <f>HYPERLINK("https://www.773grp.com/globalSearch/TL594CDR2/page-1", "TL594CDR2")</f>
        <v>TL594CDR2</v>
      </c>
      <c r="B34984" s="3" t="s">
        <v>95</v>
      </c>
      <c r="C34984" s="6">
        <v>2500</v>
      </c>
      <c r="D34984" s="7">
        <v>1.1100000000000001</v>
      </c>
      <c r="E34984" t="s">
        <v>7</v>
      </c>
    </row>
    <row r="34985" spans="1:5" x14ac:dyDescent="0.25">
      <c r="A34985" t="str">
        <f>HYPERLINK("https://www.773grp.com/globalSearch/UC3843BVD/page-1", "UC3843BVD")</f>
        <v>UC3843BVD</v>
      </c>
      <c r="B34985" s="3" t="s">
        <v>95</v>
      </c>
      <c r="C34985" s="6">
        <v>1695</v>
      </c>
      <c r="D34985" s="7">
        <v>1.1100000000000001</v>
      </c>
      <c r="E34985" t="s">
        <v>7</v>
      </c>
    </row>
    <row r="34986" spans="1:5" x14ac:dyDescent="0.25">
      <c r="A34986" t="str">
        <f>HYPERLINK("https://www.773grp.com/globalSearch/UC3844BVN/page-1", "UC3844BVN")</f>
        <v>UC3844BVN</v>
      </c>
      <c r="B34986" s="3" t="s">
        <v>95</v>
      </c>
      <c r="C34986" s="6">
        <v>50</v>
      </c>
      <c r="D34986" s="7">
        <v>1.1100000000000001</v>
      </c>
      <c r="E34986" t="s">
        <v>7</v>
      </c>
    </row>
    <row r="34987" spans="1:5" x14ac:dyDescent="0.25">
      <c r="A34987" t="str">
        <f>HYPERLINK("https://www.773grp.com/globalSearch/1SMB100AT3G/page-1", "1SMB100AT3G")</f>
        <v>1SMB100AT3G</v>
      </c>
      <c r="B34987" s="3" t="s">
        <v>95</v>
      </c>
      <c r="C34987" s="6">
        <v>2500</v>
      </c>
      <c r="D34987" s="7">
        <v>1.1599999999999999</v>
      </c>
      <c r="E34987" t="s">
        <v>96</v>
      </c>
    </row>
    <row r="34988" spans="1:5" x14ac:dyDescent="0.25">
      <c r="A34988" t="str">
        <f>HYPERLINK("https://www.773grp.com/globalSearch/1SMB110AT3G/page-1", "1SMB110AT3G")</f>
        <v>1SMB110AT3G</v>
      </c>
      <c r="B34988" s="3" t="s">
        <v>95</v>
      </c>
      <c r="C34988" s="6">
        <v>2500</v>
      </c>
      <c r="D34988" s="7">
        <v>1.1599999999999999</v>
      </c>
    </row>
    <row r="34989" spans="1:5" x14ac:dyDescent="0.25">
      <c r="A34989" t="str">
        <f>HYPERLINK("https://www.773grp.com/globalSearch/1SMB130AT3G/page-1", "1SMB130AT3G")</f>
        <v>1SMB130AT3G</v>
      </c>
      <c r="B34989" s="3" t="s">
        <v>95</v>
      </c>
      <c r="C34989" s="6">
        <v>19568</v>
      </c>
      <c r="D34989" s="7">
        <v>1.1599999999999999</v>
      </c>
      <c r="E34989" t="s">
        <v>96</v>
      </c>
    </row>
    <row r="34990" spans="1:5" x14ac:dyDescent="0.25">
      <c r="A34990" t="str">
        <f>HYPERLINK("https://www.773grp.com/globalSearch/1SMB150AT3G/page-1", "1SMB150AT3G")</f>
        <v>1SMB150AT3G</v>
      </c>
      <c r="B34990" s="3" t="s">
        <v>95</v>
      </c>
      <c r="C34990" s="6">
        <v>5000</v>
      </c>
      <c r="D34990" s="7">
        <v>1.1599999999999999</v>
      </c>
    </row>
    <row r="34991" spans="1:5" x14ac:dyDescent="0.25">
      <c r="A34991" t="str">
        <f>HYPERLINK("https://www.773grp.com/globalSearch/1SMB160AT3G/page-1", "1SMB160AT3G")</f>
        <v>1SMB160AT3G</v>
      </c>
      <c r="B34991" s="3" t="s">
        <v>95</v>
      </c>
      <c r="C34991" s="6">
        <v>15000</v>
      </c>
      <c r="D34991" s="7">
        <v>1.1599999999999999</v>
      </c>
    </row>
    <row r="34992" spans="1:5" x14ac:dyDescent="0.25">
      <c r="A34992" t="str">
        <f>HYPERLINK("https://www.773grp.com/globalSearch/1SMB170AT3G/page-1", "1SMB170AT3G")</f>
        <v>1SMB170AT3G</v>
      </c>
      <c r="B34992" s="3" t="s">
        <v>95</v>
      </c>
      <c r="C34992" s="6">
        <v>64647</v>
      </c>
      <c r="D34992" s="7">
        <v>1.1599999999999999</v>
      </c>
      <c r="E34992" t="s">
        <v>96</v>
      </c>
    </row>
    <row r="34993" spans="1:5" x14ac:dyDescent="0.25">
      <c r="A34993" t="str">
        <f>HYPERLINK("https://www.773grp.com/globalSearch/1SMB85AT3G/page-1", "1SMB85AT3G")</f>
        <v>1SMB85AT3G</v>
      </c>
      <c r="B34993" s="3" t="s">
        <v>95</v>
      </c>
      <c r="C34993" s="6">
        <v>80574</v>
      </c>
      <c r="D34993" s="7">
        <v>1.1599999999999999</v>
      </c>
      <c r="E34993" t="s">
        <v>96</v>
      </c>
    </row>
    <row r="34994" spans="1:5" x14ac:dyDescent="0.25">
      <c r="A34994" t="str">
        <f>HYPERLINK("https://www.773grp.com/globalSearch/1SMB90AT3G/page-1", "1SMB90AT3G")</f>
        <v>1SMB90AT3G</v>
      </c>
      <c r="B34994" s="3" t="s">
        <v>95</v>
      </c>
      <c r="C34994" s="6">
        <v>7500</v>
      </c>
      <c r="D34994" s="7">
        <v>1.1599999999999999</v>
      </c>
      <c r="E34994" t="s">
        <v>96</v>
      </c>
    </row>
    <row r="34995" spans="1:5" x14ac:dyDescent="0.25">
      <c r="A34995" t="str">
        <f>HYPERLINK("https://www.773grp.com/globalSearch/2N6071AG/page-1", "2N6071AG")</f>
        <v>2N6071AG</v>
      </c>
      <c r="B34995" s="3" t="s">
        <v>95</v>
      </c>
      <c r="C34995" s="6">
        <v>5505</v>
      </c>
      <c r="D34995" s="7">
        <v>1.1599999999999999</v>
      </c>
      <c r="E34995" t="s">
        <v>102</v>
      </c>
    </row>
    <row r="34996" spans="1:5" x14ac:dyDescent="0.25">
      <c r="A34996" t="str">
        <f>HYPERLINK("https://www.773grp.com/globalSearch/2N6071ATG/page-1", "2N6071ATG")</f>
        <v>2N6071ATG</v>
      </c>
      <c r="B34996" s="3" t="s">
        <v>95</v>
      </c>
      <c r="C34996" s="6">
        <v>4450</v>
      </c>
      <c r="D34996" s="7">
        <v>1.1599999999999999</v>
      </c>
      <c r="E34996" t="s">
        <v>102</v>
      </c>
    </row>
    <row r="34997" spans="1:5" x14ac:dyDescent="0.25">
      <c r="A34997" t="str">
        <f>HYPERLINK("https://www.773grp.com/globalSearch/2N6071BG/page-1", "2N6071BG")</f>
        <v>2N6071BG</v>
      </c>
      <c r="B34997" s="3" t="s">
        <v>95</v>
      </c>
      <c r="C34997" s="6">
        <v>500</v>
      </c>
      <c r="D34997" s="7">
        <v>1.1599999999999999</v>
      </c>
      <c r="E34997" t="s">
        <v>102</v>
      </c>
    </row>
    <row r="34998" spans="1:5" x14ac:dyDescent="0.25">
      <c r="A34998" t="str">
        <f>HYPERLINK("https://www.773grp.com/globalSearch/2N6071BTG/page-1", "2N6071BTG")</f>
        <v>2N6071BTG</v>
      </c>
      <c r="B34998" s="3" t="s">
        <v>95</v>
      </c>
      <c r="C34998" s="6">
        <v>18450</v>
      </c>
      <c r="D34998" s="7">
        <v>1.1599999999999999</v>
      </c>
      <c r="E34998" t="s">
        <v>102</v>
      </c>
    </row>
    <row r="34999" spans="1:5" x14ac:dyDescent="0.25">
      <c r="A34999" t="str">
        <f>HYPERLINK("https://www.773grp.com/globalSearch/2N6073BG/page-1", "2N6073BG")</f>
        <v>2N6073BG</v>
      </c>
      <c r="B34999" s="3" t="s">
        <v>95</v>
      </c>
      <c r="C34999" s="6">
        <v>500</v>
      </c>
      <c r="D34999" s="7">
        <v>1.1599999999999999</v>
      </c>
    </row>
    <row r="35000" spans="1:5" x14ac:dyDescent="0.25">
      <c r="A35000" t="str">
        <f>HYPERLINK("https://www.773grp.com/globalSearch/2N6075AG/page-1", "2N6075AG")</f>
        <v>2N6075AG</v>
      </c>
      <c r="B35000" s="3" t="s">
        <v>95</v>
      </c>
      <c r="C35000" s="6">
        <v>100000</v>
      </c>
      <c r="D35000" s="7">
        <v>1.1599999999999999</v>
      </c>
    </row>
    <row r="35001" spans="1:5" x14ac:dyDescent="0.25">
      <c r="A35001" t="str">
        <f>HYPERLINK("https://www.773grp.com/globalSearch/2N6075B/page-1", "2N6075B")</f>
        <v>2N6075B</v>
      </c>
      <c r="B35001" s="3" t="s">
        <v>95</v>
      </c>
      <c r="C35001" s="6">
        <v>500</v>
      </c>
      <c r="D35001" s="7">
        <v>1.1599999999999999</v>
      </c>
      <c r="E35001" t="s">
        <v>102</v>
      </c>
    </row>
    <row r="35002" spans="1:5" x14ac:dyDescent="0.25">
      <c r="A35002" t="str">
        <f>HYPERLINK("https://www.773grp.com/globalSearch/2N6075BG/page-1", "2N6075BG")</f>
        <v>2N6075BG</v>
      </c>
      <c r="B35002" s="3" t="s">
        <v>95</v>
      </c>
      <c r="C35002" s="6">
        <v>188700</v>
      </c>
      <c r="D35002" s="7">
        <v>1.1599999999999999</v>
      </c>
      <c r="E35002" t="s">
        <v>102</v>
      </c>
    </row>
    <row r="35003" spans="1:5" x14ac:dyDescent="0.25">
      <c r="A35003" t="str">
        <f>HYPERLINK("https://www.773grp.com/globalSearch/2SC3902T/page-1", "2SC3902T")</f>
        <v>2SC3902T</v>
      </c>
      <c r="B35003" s="3" t="s">
        <v>95</v>
      </c>
      <c r="C35003" s="6">
        <v>2000</v>
      </c>
      <c r="D35003" s="7">
        <v>1.1599999999999999</v>
      </c>
    </row>
    <row r="35004" spans="1:5" x14ac:dyDescent="0.25">
      <c r="A35004" t="str">
        <f>HYPERLINK("https://www.773grp.com/globalSearch/2SC6097-TL-E/page-1", "2SC6097-TL-E")</f>
        <v>2SC6097-TL-E</v>
      </c>
      <c r="B35004" s="3" t="s">
        <v>95</v>
      </c>
      <c r="C35004" s="6">
        <v>83300</v>
      </c>
      <c r="D35004" s="7">
        <v>1.1599999999999999</v>
      </c>
    </row>
    <row r="35005" spans="1:5" x14ac:dyDescent="0.25">
      <c r="A35005" t="str">
        <f>HYPERLINK("https://www.773grp.com/globalSearch/2SD1683S/page-1", "2SD1683S")</f>
        <v>2SD1683S</v>
      </c>
      <c r="B35005" s="3" t="s">
        <v>95</v>
      </c>
      <c r="C35005" s="6">
        <v>2000</v>
      </c>
      <c r="D35005" s="7">
        <v>1.1599999999999999</v>
      </c>
    </row>
    <row r="35006" spans="1:5" x14ac:dyDescent="0.25">
      <c r="A35006" t="str">
        <f>HYPERLINK("https://www.773grp.com/globalSearch/2SD1683T/page-1", "2SD1683T")</f>
        <v>2SD1683T</v>
      </c>
      <c r="B35006" s="3" t="s">
        <v>95</v>
      </c>
      <c r="C35006" s="6">
        <v>600</v>
      </c>
      <c r="D35006" s="7">
        <v>1.1599999999999999</v>
      </c>
    </row>
    <row r="35007" spans="1:5" x14ac:dyDescent="0.25">
      <c r="A35007" t="str">
        <f>HYPERLINK("https://www.773grp.com/globalSearch/BYW29-100/page-1", "BYW29-100")</f>
        <v>BYW29-100</v>
      </c>
      <c r="B35007" s="3" t="s">
        <v>95</v>
      </c>
      <c r="C35007" s="6">
        <v>650</v>
      </c>
      <c r="D35007" s="7">
        <v>1.1599999999999999</v>
      </c>
      <c r="E35007" t="s">
        <v>103</v>
      </c>
    </row>
    <row r="35008" spans="1:5" x14ac:dyDescent="0.25">
      <c r="A35008" t="str">
        <f>HYPERLINK("https://www.773grp.com/globalSearch/CAT24C128YI-G/page-1", "CAT24C128YI-G")</f>
        <v>CAT24C128YI-G</v>
      </c>
      <c r="B35008" s="3" t="s">
        <v>95</v>
      </c>
      <c r="C35008" s="6">
        <v>300</v>
      </c>
      <c r="D35008" s="7">
        <v>1.1599999999999999</v>
      </c>
    </row>
    <row r="35009" spans="1:5" x14ac:dyDescent="0.25">
      <c r="A35009" t="str">
        <f>HYPERLINK("https://www.773grp.com/globalSearch/CAT25160VP2I-GT3/page-1", "CAT25160VP2I-GT3")</f>
        <v>CAT25160VP2I-GT3</v>
      </c>
      <c r="B35009" s="3" t="s">
        <v>95</v>
      </c>
      <c r="C35009" s="6">
        <v>9000</v>
      </c>
      <c r="D35009" s="7">
        <v>1.1599999999999999</v>
      </c>
      <c r="E35009" t="s">
        <v>64</v>
      </c>
    </row>
    <row r="35010" spans="1:5" x14ac:dyDescent="0.25">
      <c r="A35010" t="str">
        <f>HYPERLINK("https://www.773grp.com/globalSearch/CAT6217-150TDGT3/page-1", "CAT6217-150TDGT3")</f>
        <v>CAT6217-150TDGT3</v>
      </c>
      <c r="B35010" s="3" t="s">
        <v>95</v>
      </c>
      <c r="C35010" s="6">
        <v>15000</v>
      </c>
      <c r="D35010" s="7">
        <v>1.1599999999999999</v>
      </c>
    </row>
    <row r="35011" spans="1:5" x14ac:dyDescent="0.25">
      <c r="A35011" t="str">
        <f>HYPERLINK("https://www.773grp.com/globalSearch/CAT6217-250TDGT3/page-1", "CAT6217-250TDGT3")</f>
        <v>CAT6217-250TDGT3</v>
      </c>
      <c r="B35011" s="3" t="s">
        <v>95</v>
      </c>
      <c r="C35011" s="6">
        <v>168000</v>
      </c>
      <c r="D35011" s="7">
        <v>1.1599999999999999</v>
      </c>
    </row>
    <row r="35012" spans="1:5" x14ac:dyDescent="0.25">
      <c r="A35012" t="str">
        <f>HYPERLINK("https://www.773grp.com/globalSearch/CAT6217-285TDGT3/page-1", "CAT6217-285TDGT3")</f>
        <v>CAT6217-285TDGT3</v>
      </c>
      <c r="B35012" s="3" t="s">
        <v>95</v>
      </c>
      <c r="C35012" s="6">
        <v>129000</v>
      </c>
      <c r="D35012" s="7">
        <v>1.1599999999999999</v>
      </c>
    </row>
    <row r="35013" spans="1:5" x14ac:dyDescent="0.25">
      <c r="A35013" t="str">
        <f>HYPERLINK("https://www.773grp.com/globalSearch/CAT6217-330TDGT3/page-1", "CAT6217-330TDGT3")</f>
        <v>CAT6217-330TDGT3</v>
      </c>
      <c r="B35013" s="3" t="s">
        <v>95</v>
      </c>
      <c r="C35013" s="6">
        <v>21000</v>
      </c>
      <c r="D35013" s="7">
        <v>1.1599999999999999</v>
      </c>
      <c r="E35013" t="s">
        <v>19</v>
      </c>
    </row>
    <row r="35014" spans="1:5" x14ac:dyDescent="0.25">
      <c r="A35014" t="str">
        <f>HYPERLINK("https://www.773grp.com/globalSearch/CAT823LTDI-GT3/page-1", "CAT823LTDI-GT3")</f>
        <v>CAT823LTDI-GT3</v>
      </c>
      <c r="B35014" s="3" t="s">
        <v>95</v>
      </c>
      <c r="C35014" s="6">
        <v>12000</v>
      </c>
      <c r="D35014" s="7">
        <v>1.1599999999999999</v>
      </c>
    </row>
    <row r="35015" spans="1:5" x14ac:dyDescent="0.25">
      <c r="A35015" t="str">
        <f>HYPERLINK("https://www.773grp.com/globalSearch/CAT823MTDI-GT3/page-1", "CAT823MTDI-GT3")</f>
        <v>CAT823MTDI-GT3</v>
      </c>
      <c r="B35015" s="3" t="s">
        <v>95</v>
      </c>
      <c r="C35015" s="6">
        <v>18000</v>
      </c>
      <c r="D35015" s="7">
        <v>1.1599999999999999</v>
      </c>
    </row>
    <row r="35016" spans="1:5" x14ac:dyDescent="0.25">
      <c r="A35016" t="str">
        <f>HYPERLINK("https://www.773grp.com/globalSearch/CAT823RTDI-GT3/page-1", "CAT823RTDI-GT3")</f>
        <v>CAT823RTDI-GT3</v>
      </c>
      <c r="B35016" s="3" t="s">
        <v>95</v>
      </c>
      <c r="C35016" s="6">
        <v>12000</v>
      </c>
      <c r="D35016" s="7">
        <v>1.1599999999999999</v>
      </c>
    </row>
    <row r="35017" spans="1:5" x14ac:dyDescent="0.25">
      <c r="A35017" t="str">
        <f>HYPERLINK("https://www.773grp.com/globalSearch/CAT823TSDI-GT3/page-1", "CAT823TSDI-GT3")</f>
        <v>CAT823TSDI-GT3</v>
      </c>
      <c r="B35017" s="3" t="s">
        <v>95</v>
      </c>
      <c r="C35017" s="6">
        <v>6000</v>
      </c>
      <c r="D35017" s="7">
        <v>1.1599999999999999</v>
      </c>
    </row>
    <row r="35018" spans="1:5" x14ac:dyDescent="0.25">
      <c r="A35018" t="str">
        <f>HYPERLINK("https://www.773grp.com/globalSearch/CAT823TTDI-GT3/page-1", "CAT823TTDI-GT3")</f>
        <v>CAT823TTDI-GT3</v>
      </c>
      <c r="B35018" s="3" t="s">
        <v>95</v>
      </c>
      <c r="C35018" s="6">
        <v>14058</v>
      </c>
      <c r="D35018" s="7">
        <v>1.1599999999999999</v>
      </c>
    </row>
    <row r="35019" spans="1:5" x14ac:dyDescent="0.25">
      <c r="A35019" t="str">
        <f>HYPERLINK("https://www.773grp.com/globalSearch/CAT823YTDI-GT3/page-1", "CAT823YTDI-GT3")</f>
        <v>CAT823YTDI-GT3</v>
      </c>
      <c r="B35019" s="3" t="s">
        <v>95</v>
      </c>
      <c r="C35019" s="6">
        <v>3000</v>
      </c>
      <c r="D35019" s="7">
        <v>1.1599999999999999</v>
      </c>
    </row>
    <row r="35020" spans="1:5" x14ac:dyDescent="0.25">
      <c r="A35020" t="str">
        <f>HYPERLINK("https://www.773grp.com/globalSearch/CAT823ZSDI-GT3/page-1", "CAT823ZSDI-GT3")</f>
        <v>CAT823ZSDI-GT3</v>
      </c>
      <c r="B35020" s="3" t="s">
        <v>95</v>
      </c>
      <c r="C35020" s="6">
        <v>6000</v>
      </c>
      <c r="D35020" s="7">
        <v>1.1599999999999999</v>
      </c>
      <c r="E35020" t="s">
        <v>30</v>
      </c>
    </row>
    <row r="35021" spans="1:5" x14ac:dyDescent="0.25">
      <c r="A35021" t="str">
        <f>HYPERLINK("https://www.773grp.com/globalSearch/CAT824LTDI-GT3/page-1", "CAT824LTDI-GT3")</f>
        <v>CAT824LTDI-GT3</v>
      </c>
      <c r="B35021" s="3" t="s">
        <v>95</v>
      </c>
      <c r="C35021" s="6">
        <v>3000</v>
      </c>
      <c r="D35021" s="7">
        <v>1.1599999999999999</v>
      </c>
      <c r="E35021" t="s">
        <v>30</v>
      </c>
    </row>
    <row r="35022" spans="1:5" x14ac:dyDescent="0.25">
      <c r="A35022" t="str">
        <f>HYPERLINK("https://www.773grp.com/globalSearch/CAT824RSDI-GT3/page-1", "CAT824RSDI-GT3")</f>
        <v>CAT824RSDI-GT3</v>
      </c>
      <c r="B35022" s="3" t="s">
        <v>95</v>
      </c>
      <c r="C35022" s="6">
        <v>18000</v>
      </c>
      <c r="D35022" s="7">
        <v>1.1599999999999999</v>
      </c>
    </row>
    <row r="35023" spans="1:5" x14ac:dyDescent="0.25">
      <c r="A35023" t="str">
        <f>HYPERLINK("https://www.773grp.com/globalSearch/CAT824TTDI-GT3/page-1", "CAT824TTDI-GT3")</f>
        <v>CAT824TTDI-GT3</v>
      </c>
      <c r="B35023" s="3" t="s">
        <v>95</v>
      </c>
      <c r="C35023" s="6">
        <v>11000</v>
      </c>
      <c r="D35023" s="7">
        <v>1.1599999999999999</v>
      </c>
    </row>
    <row r="35024" spans="1:5" x14ac:dyDescent="0.25">
      <c r="A35024" t="str">
        <f>HYPERLINK("https://www.773grp.com/globalSearch/CAT825STDI-GT3/page-1", "CAT825STDI-GT3")</f>
        <v>CAT825STDI-GT3</v>
      </c>
      <c r="B35024" s="3" t="s">
        <v>95</v>
      </c>
      <c r="C35024" s="6">
        <v>5900</v>
      </c>
      <c r="D35024" s="7">
        <v>1.1599999999999999</v>
      </c>
    </row>
    <row r="35025" spans="1:5" x14ac:dyDescent="0.25">
      <c r="A35025" t="str">
        <f>HYPERLINK("https://www.773grp.com/globalSearch/CAT825YTDI-GT3/page-1", "CAT825YTDI-GT3")</f>
        <v>CAT825YTDI-GT3</v>
      </c>
      <c r="B35025" s="3" t="s">
        <v>95</v>
      </c>
      <c r="C35025" s="6">
        <v>3000</v>
      </c>
      <c r="D35025" s="7">
        <v>1.1599999999999999</v>
      </c>
    </row>
    <row r="35026" spans="1:5" x14ac:dyDescent="0.25">
      <c r="A35026" t="str">
        <f>HYPERLINK("https://www.773grp.com/globalSearch/CAT93C86VI-G/page-1", "CAT93C86VI-G")</f>
        <v>CAT93C86VI-G</v>
      </c>
      <c r="B35026" s="3" t="s">
        <v>95</v>
      </c>
      <c r="C35026" s="6">
        <v>3413</v>
      </c>
      <c r="D35026" s="7">
        <v>1.1599999999999999</v>
      </c>
    </row>
    <row r="35027" spans="1:5" x14ac:dyDescent="0.25">
      <c r="A35027" t="str">
        <f>HYPERLINK("https://www.773grp.com/globalSearch/CD8447DR2/page-1", "CD8447DR2")</f>
        <v>CD8447DR2</v>
      </c>
      <c r="B35027" s="3" t="s">
        <v>95</v>
      </c>
      <c r="C35027" s="6">
        <v>35000</v>
      </c>
      <c r="D35027" s="7">
        <v>1.1599999999999999</v>
      </c>
    </row>
    <row r="35028" spans="1:5" x14ac:dyDescent="0.25">
      <c r="A35028" t="str">
        <f>HYPERLINK("https://www.773grp.com/globalSearch/CM1692-08DE/page-1", "CM1692-08DE")</f>
        <v>CM1692-08DE</v>
      </c>
      <c r="B35028" s="3" t="s">
        <v>95</v>
      </c>
      <c r="C35028" s="6">
        <v>381940</v>
      </c>
      <c r="D35028" s="7">
        <v>1.1599999999999999</v>
      </c>
    </row>
    <row r="35029" spans="1:5" x14ac:dyDescent="0.25">
      <c r="A35029" t="str">
        <f>HYPERLINK("https://www.773grp.com/globalSearch/ECH8308-TL-H/page-1", "ECH8308-TL-H")</f>
        <v>ECH8308-TL-H</v>
      </c>
      <c r="B35029" s="3" t="s">
        <v>95</v>
      </c>
      <c r="C35029" s="6">
        <v>6000</v>
      </c>
      <c r="D35029" s="7">
        <v>1.1599999999999999</v>
      </c>
    </row>
    <row r="35030" spans="1:5" x14ac:dyDescent="0.25">
      <c r="A35030" t="str">
        <f>HYPERLINK("https://www.773grp.com/globalSearch/EMI4182MTTAG/page-1", "EMI4182MTTAG")</f>
        <v>EMI4182MTTAG</v>
      </c>
      <c r="B35030" s="3" t="s">
        <v>95</v>
      </c>
      <c r="C35030" s="6">
        <v>3000</v>
      </c>
      <c r="D35030" s="7">
        <v>1.1599999999999999</v>
      </c>
    </row>
    <row r="35031" spans="1:5" x14ac:dyDescent="0.25">
      <c r="A35031" t="str">
        <f>HYPERLINK("https://www.773grp.com/globalSearch/LM2901VDTBR2G/page-1", "LM2901VDTBR2G")</f>
        <v>LM2901VDTBR2G</v>
      </c>
      <c r="B35031" s="3" t="s">
        <v>95</v>
      </c>
      <c r="C35031" s="6">
        <v>1115</v>
      </c>
      <c r="D35031" s="7">
        <v>1.1599999999999999</v>
      </c>
    </row>
    <row r="35032" spans="1:5" x14ac:dyDescent="0.25">
      <c r="A35032" t="str">
        <f>HYPERLINK("https://www.773grp.com/globalSearch/LM2902VDTBG/page-1", "LM2902VDTBG")</f>
        <v>LM2902VDTBG</v>
      </c>
      <c r="B35032" s="3" t="s">
        <v>95</v>
      </c>
      <c r="C35032" s="6">
        <v>7929</v>
      </c>
      <c r="D35032" s="7">
        <v>1.1599999999999999</v>
      </c>
      <c r="E35032" t="s">
        <v>13</v>
      </c>
    </row>
    <row r="35033" spans="1:5" x14ac:dyDescent="0.25">
      <c r="A35033" t="str">
        <f>HYPERLINK("https://www.773grp.com/globalSearch/LM2902VDTBR2G/page-1", "LM2902VDTBR2G")</f>
        <v>LM2902VDTBR2G</v>
      </c>
      <c r="B35033" s="3" t="s">
        <v>95</v>
      </c>
      <c r="C35033" s="6">
        <v>2500</v>
      </c>
      <c r="D35033" s="7">
        <v>1.1599999999999999</v>
      </c>
    </row>
    <row r="35034" spans="1:5" x14ac:dyDescent="0.25">
      <c r="A35034" t="str">
        <f>HYPERLINK("https://www.773grp.com/globalSearch/LM2931ACTV/page-1", "LM2931ACTV")</f>
        <v>LM2931ACTV</v>
      </c>
      <c r="B35034" s="3" t="s">
        <v>95</v>
      </c>
      <c r="C35034" s="6">
        <v>2940</v>
      </c>
      <c r="D35034" s="7">
        <v>1.1599999999999999</v>
      </c>
      <c r="E35034" t="s">
        <v>25</v>
      </c>
    </row>
    <row r="35035" spans="1:5" x14ac:dyDescent="0.25">
      <c r="A35035" t="str">
        <f>HYPERLINK("https://www.773grp.com/globalSearch/LMV358DMR2G/page-1", "LMV358DMR2G")</f>
        <v>LMV358DMR2G</v>
      </c>
      <c r="B35035" s="3" t="s">
        <v>95</v>
      </c>
      <c r="C35035" s="6">
        <v>4144</v>
      </c>
      <c r="D35035" s="7">
        <v>1.1599999999999999</v>
      </c>
      <c r="E35035" t="s">
        <v>13</v>
      </c>
    </row>
    <row r="35036" spans="1:5" x14ac:dyDescent="0.25">
      <c r="A35036" t="str">
        <f>HYPERLINK("https://www.773grp.com/globalSearch/LMV358DR2G/page-1", "LMV358DR2G")</f>
        <v>LMV358DR2G</v>
      </c>
      <c r="B35036" s="3" t="s">
        <v>95</v>
      </c>
      <c r="C35036" s="6">
        <v>435000</v>
      </c>
      <c r="D35036" s="7">
        <v>1.1599999999999999</v>
      </c>
      <c r="E35036" t="s">
        <v>13</v>
      </c>
    </row>
    <row r="35037" spans="1:5" x14ac:dyDescent="0.25">
      <c r="A35037" t="str">
        <f>HYPERLINK("https://www.773grp.com/globalSearch/LMV358MUTAG/page-1", "LMV358MUTAG")</f>
        <v>LMV358MUTAG</v>
      </c>
      <c r="B35037" s="3" t="s">
        <v>95</v>
      </c>
      <c r="C35037" s="6">
        <v>69000</v>
      </c>
      <c r="D35037" s="7">
        <v>1.1599999999999999</v>
      </c>
    </row>
    <row r="35038" spans="1:5" x14ac:dyDescent="0.25">
      <c r="A35038" t="str">
        <f>HYPERLINK("https://www.773grp.com/globalSearch/LMV393DMR2G/page-1", "LMV393DMR2G")</f>
        <v>LMV393DMR2G</v>
      </c>
      <c r="B35038" s="3" t="s">
        <v>95</v>
      </c>
      <c r="C35038" s="6">
        <v>24000</v>
      </c>
      <c r="D35038" s="7">
        <v>1.1599999999999999</v>
      </c>
      <c r="E35038" t="s">
        <v>9</v>
      </c>
    </row>
    <row r="35039" spans="1:5" x14ac:dyDescent="0.25">
      <c r="A35039" t="str">
        <f>HYPERLINK("https://www.773grp.com/globalSearch/LMV393DR2G/page-1", "LMV393DR2G")</f>
        <v>LMV393DR2G</v>
      </c>
      <c r="B35039" s="3" t="s">
        <v>95</v>
      </c>
      <c r="C35039" s="6">
        <v>53000</v>
      </c>
      <c r="D35039" s="7">
        <v>1.1599999999999999</v>
      </c>
      <c r="E35039" t="s">
        <v>9</v>
      </c>
    </row>
    <row r="35040" spans="1:5" x14ac:dyDescent="0.25">
      <c r="A35040" t="str">
        <f>HYPERLINK("https://www.773grp.com/globalSearch/LMV393MUTAG/page-1", "LMV393MUTAG")</f>
        <v>LMV393MUTAG</v>
      </c>
      <c r="B35040" s="3" t="s">
        <v>95</v>
      </c>
      <c r="C35040" s="6">
        <v>8900</v>
      </c>
      <c r="D35040" s="7">
        <v>1.1599999999999999</v>
      </c>
      <c r="E35040" t="s">
        <v>9</v>
      </c>
    </row>
    <row r="35041" spans="1:5" x14ac:dyDescent="0.25">
      <c r="A35041" t="str">
        <f>HYPERLINK("https://www.773grp.com/globalSearch/LP2951ACD-3.0G/page-1", "LP2951ACD-3.0G")</f>
        <v>LP2951ACD-3.0G</v>
      </c>
      <c r="B35041" s="3" t="s">
        <v>95</v>
      </c>
      <c r="C35041" s="6">
        <v>4254</v>
      </c>
      <c r="D35041" s="7">
        <v>1.1599999999999999</v>
      </c>
      <c r="E35041" t="s">
        <v>27</v>
      </c>
    </row>
    <row r="35042" spans="1:5" x14ac:dyDescent="0.25">
      <c r="A35042" t="str">
        <f>HYPERLINK("https://www.773grp.com/globalSearch/LP2951ACD-3.0R2G/page-1", "LP2951ACD-3.0R2G")</f>
        <v>LP2951ACD-3.0R2G</v>
      </c>
      <c r="B35042" s="3" t="s">
        <v>95</v>
      </c>
      <c r="C35042" s="6">
        <v>34888</v>
      </c>
      <c r="D35042" s="7">
        <v>1.1599999999999999</v>
      </c>
      <c r="E35042" t="s">
        <v>27</v>
      </c>
    </row>
    <row r="35043" spans="1:5" x14ac:dyDescent="0.25">
      <c r="A35043" t="str">
        <f>HYPERLINK("https://www.773grp.com/globalSearch/LP2951ACD-3.3G/page-1", "LP2951ACD-3.3G")</f>
        <v>LP2951ACD-3.3G</v>
      </c>
      <c r="B35043" s="3" t="s">
        <v>95</v>
      </c>
      <c r="C35043" s="6">
        <v>1874</v>
      </c>
      <c r="D35043" s="7">
        <v>1.1599999999999999</v>
      </c>
      <c r="E35043" t="s">
        <v>27</v>
      </c>
    </row>
    <row r="35044" spans="1:5" x14ac:dyDescent="0.25">
      <c r="A35044" t="str">
        <f>HYPERLINK("https://www.773grp.com/globalSearch/LP2951ACD3.3R2G/page-1", "LP2951ACD3.3R2G")</f>
        <v>LP2951ACD3.3R2G</v>
      </c>
      <c r="B35044" s="3" t="s">
        <v>95</v>
      </c>
      <c r="C35044" s="6">
        <v>973</v>
      </c>
      <c r="D35044" s="7">
        <v>1.1599999999999999</v>
      </c>
    </row>
    <row r="35045" spans="1:5" x14ac:dyDescent="0.25">
      <c r="A35045" t="str">
        <f>HYPERLINK("https://www.773grp.com/globalSearch/LP2951ACD-3.3R2G/page-1", "LP2951ACD-3.3R2G")</f>
        <v>LP2951ACD-3.3R2G</v>
      </c>
      <c r="B35045" s="3" t="s">
        <v>95</v>
      </c>
      <c r="C35045" s="6">
        <v>135615</v>
      </c>
      <c r="D35045" s="7">
        <v>1.1599999999999999</v>
      </c>
      <c r="E35045" t="s">
        <v>19</v>
      </c>
    </row>
    <row r="35046" spans="1:5" x14ac:dyDescent="0.25">
      <c r="A35046" t="str">
        <f>HYPERLINK("https://www.773grp.com/globalSearch/LP2951ACD-3.3R2R/page-1", "LP2951ACD-3.3R2R")</f>
        <v>LP2951ACD-3.3R2R</v>
      </c>
      <c r="B35046" s="3" t="s">
        <v>95</v>
      </c>
      <c r="C35046" s="6">
        <v>175</v>
      </c>
      <c r="D35046" s="7">
        <v>1.1599999999999999</v>
      </c>
    </row>
    <row r="35047" spans="1:5" x14ac:dyDescent="0.25">
      <c r="A35047" t="str">
        <f>HYPERLINK("https://www.773grp.com/globalSearch/LP2951ACDG/page-1", "LP2951ACDG")</f>
        <v>LP2951ACDG</v>
      </c>
      <c r="B35047" s="3" t="s">
        <v>95</v>
      </c>
      <c r="C35047" s="6">
        <v>2548</v>
      </c>
      <c r="D35047" s="7">
        <v>1.1599999999999999</v>
      </c>
      <c r="E35047" t="s">
        <v>27</v>
      </c>
    </row>
    <row r="35048" spans="1:5" x14ac:dyDescent="0.25">
      <c r="A35048" t="str">
        <f>HYPERLINK("https://www.773grp.com/globalSearch/LP2951ACDM-3.0RG/page-1", "LP2951ACDM-3.0RG")</f>
        <v>LP2951ACDM-3.0RG</v>
      </c>
      <c r="B35048" s="3" t="s">
        <v>95</v>
      </c>
      <c r="C35048" s="6">
        <v>8000</v>
      </c>
      <c r="D35048" s="7">
        <v>1.1599999999999999</v>
      </c>
      <c r="E35048" t="s">
        <v>19</v>
      </c>
    </row>
    <row r="35049" spans="1:5" x14ac:dyDescent="0.25">
      <c r="A35049" t="str">
        <f>HYPERLINK("https://www.773grp.com/globalSearch/LP2951ACDMR2G/page-1", "LP2951ACDMR2G")</f>
        <v>LP2951ACDMR2G</v>
      </c>
      <c r="B35049" s="3" t="s">
        <v>95</v>
      </c>
      <c r="C35049" s="6">
        <v>103985</v>
      </c>
      <c r="D35049" s="7">
        <v>1.1599999999999999</v>
      </c>
      <c r="E35049" t="s">
        <v>27</v>
      </c>
    </row>
    <row r="35050" spans="1:5" x14ac:dyDescent="0.25">
      <c r="A35050" t="str">
        <f>HYPERLINK("https://www.773grp.com/globalSearch/LP2951ACDR2G/page-1", "LP2951ACDR2G")</f>
        <v>LP2951ACDR2G</v>
      </c>
      <c r="B35050" s="3" t="s">
        <v>95</v>
      </c>
      <c r="C35050" s="6">
        <v>650757</v>
      </c>
      <c r="D35050" s="7">
        <v>1.1599999999999999</v>
      </c>
      <c r="E35050" t="s">
        <v>27</v>
      </c>
    </row>
    <row r="35051" spans="1:5" x14ac:dyDescent="0.25">
      <c r="A35051" t="str">
        <f>HYPERLINK("https://www.773grp.com/globalSearch/LP2951ACN-3.3G/page-1", "LP2951ACN-3.3G")</f>
        <v>LP2951ACN-3.3G</v>
      </c>
      <c r="B35051" s="3" t="s">
        <v>95</v>
      </c>
      <c r="C35051" s="6">
        <v>1035</v>
      </c>
      <c r="D35051" s="7">
        <v>1.1599999999999999</v>
      </c>
      <c r="E35051" t="s">
        <v>27</v>
      </c>
    </row>
    <row r="35052" spans="1:5" x14ac:dyDescent="0.25">
      <c r="A35052" t="str">
        <f>HYPERLINK("https://www.773grp.com/globalSearch/LP2951CN-3.0G/page-1", "LP2951CN-3.0G")</f>
        <v>LP2951CN-3.0G</v>
      </c>
      <c r="B35052" s="3" t="s">
        <v>95</v>
      </c>
      <c r="C35052" s="6">
        <v>2398</v>
      </c>
      <c r="D35052" s="7">
        <v>1.1599999999999999</v>
      </c>
      <c r="E35052" t="s">
        <v>27</v>
      </c>
    </row>
    <row r="35053" spans="1:5" x14ac:dyDescent="0.25">
      <c r="A35053" t="str">
        <f>HYPERLINK("https://www.773grp.com/globalSearch/MC14008BCPG/page-1", "MC14008BCPG")</f>
        <v>MC14008BCPG</v>
      </c>
      <c r="B35053" s="3" t="s">
        <v>95</v>
      </c>
      <c r="C35053" s="6">
        <v>35313</v>
      </c>
      <c r="D35053" s="7">
        <v>1.1599999999999999</v>
      </c>
      <c r="E35053" t="s">
        <v>43</v>
      </c>
    </row>
    <row r="35054" spans="1:5" x14ac:dyDescent="0.25">
      <c r="A35054" t="str">
        <f>HYPERLINK("https://www.773grp.com/globalSearch/MC14008BDR2G/page-1", "MC14008BDR2G")</f>
        <v>MC14008BDR2G</v>
      </c>
      <c r="B35054" s="3" t="s">
        <v>95</v>
      </c>
      <c r="C35054" s="6">
        <v>305</v>
      </c>
      <c r="D35054" s="7">
        <v>1.1599999999999999</v>
      </c>
      <c r="E35054" t="s">
        <v>43</v>
      </c>
    </row>
    <row r="35055" spans="1:5" x14ac:dyDescent="0.25">
      <c r="A35055" t="str">
        <f>HYPERLINK("https://www.773grp.com/globalSearch/MC14015BCPG/page-1", "MC14015BCPG")</f>
        <v>MC14015BCPG</v>
      </c>
      <c r="B35055" s="3" t="s">
        <v>95</v>
      </c>
      <c r="C35055" s="6">
        <v>9740</v>
      </c>
      <c r="D35055" s="7">
        <v>1.1599999999999999</v>
      </c>
      <c r="E35055" t="s">
        <v>32</v>
      </c>
    </row>
    <row r="35056" spans="1:5" x14ac:dyDescent="0.25">
      <c r="A35056" t="str">
        <f>HYPERLINK("https://www.773grp.com/globalSearch/MC14017BFELG/page-1", "MC14017BFELG")</f>
        <v>MC14017BFELG</v>
      </c>
      <c r="B35056" s="3" t="s">
        <v>95</v>
      </c>
      <c r="C35056" s="6">
        <v>21095</v>
      </c>
      <c r="D35056" s="7">
        <v>1.1599999999999999</v>
      </c>
      <c r="E35056" t="s">
        <v>26</v>
      </c>
    </row>
    <row r="35057" spans="1:5" x14ac:dyDescent="0.25">
      <c r="A35057" t="str">
        <f>HYPERLINK("https://www.773grp.com/globalSearch/MC14020BDG/page-1", "MC14020BDG")</f>
        <v>MC14020BDG</v>
      </c>
      <c r="B35057" s="3" t="s">
        <v>95</v>
      </c>
      <c r="C35057" s="6">
        <v>5770</v>
      </c>
      <c r="D35057" s="7">
        <v>1.1599999999999999</v>
      </c>
    </row>
    <row r="35058" spans="1:5" x14ac:dyDescent="0.25">
      <c r="A35058" t="str">
        <f>HYPERLINK("https://www.773grp.com/globalSearch/MC14020BDR2G/page-1", "MC14020BDR2G")</f>
        <v>MC14020BDR2G</v>
      </c>
      <c r="B35058" s="3" t="s">
        <v>95</v>
      </c>
      <c r="C35058" s="6">
        <v>83234</v>
      </c>
      <c r="D35058" s="7">
        <v>1.1599999999999999</v>
      </c>
      <c r="E35058" t="s">
        <v>26</v>
      </c>
    </row>
    <row r="35059" spans="1:5" x14ac:dyDescent="0.25">
      <c r="A35059" t="str">
        <f>HYPERLINK("https://www.773grp.com/globalSearch/MC14021BDR2/page-1", "MC14021BDR2")</f>
        <v>MC14021BDR2</v>
      </c>
      <c r="B35059" s="3" t="s">
        <v>95</v>
      </c>
      <c r="C35059" s="6">
        <v>13994</v>
      </c>
      <c r="D35059" s="7">
        <v>1.1599999999999999</v>
      </c>
      <c r="E35059" t="s">
        <v>32</v>
      </c>
    </row>
    <row r="35060" spans="1:5" x14ac:dyDescent="0.25">
      <c r="A35060" t="str">
        <f>HYPERLINK("https://www.773grp.com/globalSearch/MC14022BDG/page-1", "MC14022BDG")</f>
        <v>MC14022BDG</v>
      </c>
      <c r="B35060" s="3" t="s">
        <v>95</v>
      </c>
      <c r="C35060" s="6">
        <v>8188</v>
      </c>
      <c r="D35060" s="7">
        <v>1.1599999999999999</v>
      </c>
      <c r="E35060" t="s">
        <v>26</v>
      </c>
    </row>
    <row r="35061" spans="1:5" x14ac:dyDescent="0.25">
      <c r="A35061" t="str">
        <f>HYPERLINK("https://www.773grp.com/globalSearch/MC14022BDR2G/page-1", "MC14022BDR2G")</f>
        <v>MC14022BDR2G</v>
      </c>
      <c r="B35061" s="3" t="s">
        <v>95</v>
      </c>
      <c r="C35061" s="6">
        <v>11358</v>
      </c>
      <c r="D35061" s="7">
        <v>1.1599999999999999</v>
      </c>
      <c r="E35061" t="s">
        <v>26</v>
      </c>
    </row>
    <row r="35062" spans="1:5" x14ac:dyDescent="0.25">
      <c r="A35062" t="str">
        <f>HYPERLINK("https://www.773grp.com/globalSearch/MC14028BCP/page-1", "MC14028BCP")</f>
        <v>MC14028BCP</v>
      </c>
      <c r="B35062" s="3" t="s">
        <v>95</v>
      </c>
      <c r="C35062" s="6">
        <v>675</v>
      </c>
      <c r="D35062" s="7">
        <v>1.1599999999999999</v>
      </c>
      <c r="E35062" t="s">
        <v>36</v>
      </c>
    </row>
    <row r="35063" spans="1:5" x14ac:dyDescent="0.25">
      <c r="A35063" t="str">
        <f>HYPERLINK("https://www.773grp.com/globalSearch/MC14028BCPG/page-1", "MC14028BCPG")</f>
        <v>MC14028BCPG</v>
      </c>
      <c r="B35063" s="3" t="s">
        <v>95</v>
      </c>
      <c r="C35063" s="6">
        <v>55650</v>
      </c>
      <c r="D35063" s="7">
        <v>1.1599999999999999</v>
      </c>
      <c r="E35063" t="s">
        <v>36</v>
      </c>
    </row>
    <row r="35064" spans="1:5" x14ac:dyDescent="0.25">
      <c r="A35064" t="str">
        <f>HYPERLINK("https://www.773grp.com/globalSearch/MC14028BCPG/page-1", "MC14028BCPG")</f>
        <v>MC14028BCPG</v>
      </c>
      <c r="B35064" s="3" t="s">
        <v>95</v>
      </c>
      <c r="C35064" s="6">
        <v>2709</v>
      </c>
      <c r="D35064" s="7">
        <v>1.1599999999999999</v>
      </c>
      <c r="E35064" t="s">
        <v>36</v>
      </c>
    </row>
    <row r="35065" spans="1:5" x14ac:dyDescent="0.25">
      <c r="A35065" t="str">
        <f>HYPERLINK("https://www.773grp.com/globalSearch/MC14040BCPG/page-1", "MC14040BCPG")</f>
        <v>MC14040BCPG</v>
      </c>
      <c r="B35065" s="3" t="s">
        <v>95</v>
      </c>
      <c r="C35065" s="6">
        <v>60</v>
      </c>
      <c r="D35065" s="7">
        <v>1.1599999999999999</v>
      </c>
      <c r="E35065" t="s">
        <v>26</v>
      </c>
    </row>
    <row r="35066" spans="1:5" x14ac:dyDescent="0.25">
      <c r="A35066" t="str">
        <f>HYPERLINK("https://www.773grp.com/globalSearch/MC14042BCP/page-1", "MC14042BCP")</f>
        <v>MC14042BCP</v>
      </c>
      <c r="B35066" s="3" t="s">
        <v>95</v>
      </c>
      <c r="C35066" s="6">
        <v>6700</v>
      </c>
      <c r="D35066" s="7">
        <v>1.1599999999999999</v>
      </c>
      <c r="E35066" t="s">
        <v>35</v>
      </c>
    </row>
    <row r="35067" spans="1:5" x14ac:dyDescent="0.25">
      <c r="A35067" t="str">
        <f>HYPERLINK("https://www.773grp.com/globalSearch/MC14042BCPG/page-1", "MC14042BCPG")</f>
        <v>MC14042BCPG</v>
      </c>
      <c r="B35067" s="3" t="s">
        <v>95</v>
      </c>
      <c r="C35067" s="6">
        <v>35191</v>
      </c>
      <c r="D35067" s="7">
        <v>1.1599999999999999</v>
      </c>
      <c r="E35067" t="s">
        <v>35</v>
      </c>
    </row>
    <row r="35068" spans="1:5" x14ac:dyDescent="0.25">
      <c r="A35068" t="str">
        <f>HYPERLINK("https://www.773grp.com/globalSearch/MC14043BCPG/page-1", "MC14043BCPG")</f>
        <v>MC14043BCPG</v>
      </c>
      <c r="B35068" s="3" t="s">
        <v>95</v>
      </c>
      <c r="C35068" s="6">
        <v>3770</v>
      </c>
      <c r="D35068" s="7">
        <v>1.1599999999999999</v>
      </c>
      <c r="E35068" t="s">
        <v>35</v>
      </c>
    </row>
    <row r="35069" spans="1:5" x14ac:dyDescent="0.25">
      <c r="A35069" t="str">
        <f>HYPERLINK("https://www.773grp.com/globalSearch/MC14044BCP/page-1", "MC14044BCP")</f>
        <v>MC14044BCP</v>
      </c>
      <c r="B35069" s="3" t="s">
        <v>95</v>
      </c>
      <c r="C35069" s="6">
        <v>3911</v>
      </c>
      <c r="D35069" s="7">
        <v>1.1599999999999999</v>
      </c>
      <c r="E35069" t="s">
        <v>35</v>
      </c>
    </row>
    <row r="35070" spans="1:5" x14ac:dyDescent="0.25">
      <c r="A35070" t="str">
        <f>HYPERLINK("https://www.773grp.com/globalSearch/MC14044BCPG/page-1", "MC14044BCPG")</f>
        <v>MC14044BCPG</v>
      </c>
      <c r="B35070" s="3" t="s">
        <v>95</v>
      </c>
      <c r="C35070" s="6">
        <v>12880</v>
      </c>
      <c r="D35070" s="7">
        <v>1.1599999999999999</v>
      </c>
      <c r="E35070" t="s">
        <v>35</v>
      </c>
    </row>
    <row r="35071" spans="1:5" x14ac:dyDescent="0.25">
      <c r="A35071" t="str">
        <f>HYPERLINK("https://www.773grp.com/globalSearch/MC14046BFG/page-1", "MC14046BFG")</f>
        <v>MC14046BFG</v>
      </c>
      <c r="B35071" s="3" t="s">
        <v>95</v>
      </c>
      <c r="C35071" s="6">
        <v>12955</v>
      </c>
      <c r="D35071" s="7">
        <v>1.1599999999999999</v>
      </c>
      <c r="E35071" t="s">
        <v>38</v>
      </c>
    </row>
    <row r="35072" spans="1:5" x14ac:dyDescent="0.25">
      <c r="A35072" t="str">
        <f>HYPERLINK("https://www.773grp.com/globalSearch/MC14066BFELG/page-1", "MC14066BFELG")</f>
        <v>MC14066BFELG</v>
      </c>
      <c r="B35072" s="3" t="s">
        <v>95</v>
      </c>
      <c r="C35072" s="6">
        <v>1080</v>
      </c>
      <c r="D35072" s="7">
        <v>1.1599999999999999</v>
      </c>
      <c r="E35072" t="s">
        <v>56</v>
      </c>
    </row>
    <row r="35073" spans="1:5" x14ac:dyDescent="0.25">
      <c r="A35073" t="str">
        <f>HYPERLINK("https://www.773grp.com/globalSearch/MC14076BDG/page-1", "MC14076BDG")</f>
        <v>MC14076BDG</v>
      </c>
      <c r="B35073" s="3" t="s">
        <v>95</v>
      </c>
      <c r="C35073" s="6">
        <v>6579</v>
      </c>
      <c r="D35073" s="7">
        <v>1.1599999999999999</v>
      </c>
      <c r="E35073" t="s">
        <v>35</v>
      </c>
    </row>
    <row r="35074" spans="1:5" x14ac:dyDescent="0.25">
      <c r="A35074" t="str">
        <f>HYPERLINK("https://www.773grp.com/globalSearch/MC14076BDR2G/page-1", "MC14076BDR2G")</f>
        <v>MC14076BDR2G</v>
      </c>
      <c r="B35074" s="3" t="s">
        <v>95</v>
      </c>
      <c r="C35074" s="6">
        <v>700</v>
      </c>
      <c r="D35074" s="7">
        <v>1.1599999999999999</v>
      </c>
    </row>
    <row r="35075" spans="1:5" x14ac:dyDescent="0.25">
      <c r="A35075" t="str">
        <f>HYPERLINK("https://www.773grp.com/globalSearch/MC14094BCPG/page-1", "MC14094BCPG")</f>
        <v>MC14094BCPG</v>
      </c>
      <c r="B35075" s="3" t="s">
        <v>95</v>
      </c>
      <c r="C35075" s="6">
        <v>580</v>
      </c>
      <c r="D35075" s="7">
        <v>1.1599999999999999</v>
      </c>
      <c r="E35075" t="s">
        <v>32</v>
      </c>
    </row>
    <row r="35076" spans="1:5" x14ac:dyDescent="0.25">
      <c r="A35076" t="str">
        <f>HYPERLINK("https://www.773grp.com/globalSearch/MC14094BFG/page-1", "MC14094BFG")</f>
        <v>MC14094BFG</v>
      </c>
      <c r="B35076" s="3" t="s">
        <v>95</v>
      </c>
      <c r="C35076" s="6">
        <v>5815</v>
      </c>
      <c r="D35076" s="7">
        <v>1.1599999999999999</v>
      </c>
      <c r="E35076" t="s">
        <v>32</v>
      </c>
    </row>
    <row r="35077" spans="1:5" x14ac:dyDescent="0.25">
      <c r="A35077" t="str">
        <f>HYPERLINK("https://www.773grp.com/globalSearch/MC14099BFL1/page-1", "MC14099BFL1")</f>
        <v>MC14099BFL1</v>
      </c>
      <c r="B35077" s="3" t="s">
        <v>95</v>
      </c>
      <c r="C35077" s="6">
        <v>1000</v>
      </c>
      <c r="D35077" s="7">
        <v>1.1599999999999999</v>
      </c>
      <c r="E35077" t="s">
        <v>35</v>
      </c>
    </row>
    <row r="35078" spans="1:5" x14ac:dyDescent="0.25">
      <c r="A35078" t="str">
        <f>HYPERLINK("https://www.773grp.com/globalSearch/MC14175BCPG/page-1", "MC14175BCPG")</f>
        <v>MC14175BCPG</v>
      </c>
      <c r="B35078" s="3" t="s">
        <v>95</v>
      </c>
      <c r="C35078" s="6">
        <v>7367</v>
      </c>
      <c r="D35078" s="7">
        <v>1.1599999999999999</v>
      </c>
      <c r="E35078" t="s">
        <v>35</v>
      </c>
    </row>
    <row r="35079" spans="1:5" x14ac:dyDescent="0.25">
      <c r="A35079" t="str">
        <f>HYPERLINK("https://www.773grp.com/globalSearch/MC14175BFELG/page-1", "MC14175BFELG")</f>
        <v>MC14175BFELG</v>
      </c>
      <c r="B35079" s="3" t="s">
        <v>95</v>
      </c>
      <c r="C35079" s="6">
        <v>7599</v>
      </c>
      <c r="D35079" s="7">
        <v>1.1599999999999999</v>
      </c>
      <c r="E35079" t="s">
        <v>35</v>
      </c>
    </row>
    <row r="35080" spans="1:5" x14ac:dyDescent="0.25">
      <c r="A35080" t="str">
        <f>HYPERLINK("https://www.773grp.com/globalSearch/MC1436D/page-1", "MC1436D")</f>
        <v>MC1436D</v>
      </c>
      <c r="B35080" s="3" t="s">
        <v>95</v>
      </c>
      <c r="C35080" s="6">
        <v>813</v>
      </c>
      <c r="D35080" s="7">
        <v>1.1599999999999999</v>
      </c>
      <c r="E35080" t="s">
        <v>13</v>
      </c>
    </row>
    <row r="35081" spans="1:5" x14ac:dyDescent="0.25">
      <c r="A35081" t="str">
        <f>HYPERLINK("https://www.773grp.com/globalSearch/MC14503BCP/page-1", "MC14503BCP")</f>
        <v>MC14503BCP</v>
      </c>
      <c r="B35081" s="3" t="s">
        <v>95</v>
      </c>
      <c r="C35081" s="6">
        <v>1526</v>
      </c>
      <c r="D35081" s="7">
        <v>1.1599999999999999</v>
      </c>
      <c r="E35081" t="s">
        <v>14</v>
      </c>
    </row>
    <row r="35082" spans="1:5" x14ac:dyDescent="0.25">
      <c r="A35082" t="str">
        <f>HYPERLINK("https://www.773grp.com/globalSearch/MC14503BCPG/page-1", "MC14503BCPG")</f>
        <v>MC14503BCPG</v>
      </c>
      <c r="B35082" s="3" t="s">
        <v>95</v>
      </c>
      <c r="C35082" s="6">
        <v>7760</v>
      </c>
      <c r="D35082" s="7">
        <v>1.1599999999999999</v>
      </c>
      <c r="E35082" t="s">
        <v>14</v>
      </c>
    </row>
    <row r="35083" spans="1:5" x14ac:dyDescent="0.25">
      <c r="A35083" t="str">
        <f>HYPERLINK("https://www.773grp.com/globalSearch/MC14526BFR1/page-1", "MC14526BFR1")</f>
        <v>MC14526BFR1</v>
      </c>
      <c r="B35083" s="3" t="s">
        <v>95</v>
      </c>
      <c r="C35083" s="6">
        <v>3000</v>
      </c>
      <c r="D35083" s="7">
        <v>1.1599999999999999</v>
      </c>
      <c r="E35083" t="s">
        <v>26</v>
      </c>
    </row>
    <row r="35084" spans="1:5" x14ac:dyDescent="0.25">
      <c r="A35084" t="str">
        <f>HYPERLINK("https://www.773grp.com/globalSearch/MC14532BF/page-1", "MC14532BF")</f>
        <v>MC14532BF</v>
      </c>
      <c r="B35084" s="3" t="s">
        <v>95</v>
      </c>
      <c r="C35084" s="6">
        <v>1664</v>
      </c>
      <c r="D35084" s="7">
        <v>1.1599999999999999</v>
      </c>
      <c r="E35084" t="s">
        <v>43</v>
      </c>
    </row>
    <row r="35085" spans="1:5" x14ac:dyDescent="0.25">
      <c r="A35085" t="str">
        <f>HYPERLINK("https://www.773grp.com/globalSearch/MC14538BD/page-1", "MC14538BD")</f>
        <v>MC14538BD</v>
      </c>
      <c r="B35085" s="3" t="s">
        <v>95</v>
      </c>
      <c r="C35085" s="6">
        <v>2089</v>
      </c>
      <c r="D35085" s="7">
        <v>1.1599999999999999</v>
      </c>
      <c r="E35085" t="s">
        <v>54</v>
      </c>
    </row>
    <row r="35086" spans="1:5" x14ac:dyDescent="0.25">
      <c r="A35086" t="str">
        <f>HYPERLINK("https://www.773grp.com/globalSearch/MC14538BDR2/page-1", "MC14538BDR2")</f>
        <v>MC14538BDR2</v>
      </c>
      <c r="B35086" s="3" t="s">
        <v>95</v>
      </c>
      <c r="C35086" s="6">
        <v>938</v>
      </c>
      <c r="D35086" s="7">
        <v>1.1599999999999999</v>
      </c>
    </row>
    <row r="35087" spans="1:5" x14ac:dyDescent="0.25">
      <c r="A35087" t="str">
        <f>HYPERLINK("https://www.773grp.com/globalSearch/MC1455BD/page-1", "MC1455BD")</f>
        <v>MC1455BD</v>
      </c>
      <c r="B35087" s="3" t="s">
        <v>95</v>
      </c>
      <c r="C35087" s="6">
        <v>14896</v>
      </c>
      <c r="D35087" s="7">
        <v>1.1599999999999999</v>
      </c>
      <c r="E35087" t="s">
        <v>29</v>
      </c>
    </row>
    <row r="35088" spans="1:5" x14ac:dyDescent="0.25">
      <c r="A35088" t="str">
        <f>HYPERLINK("https://www.773grp.com/globalSearch/MC1455BDR2G/page-1", "MC1455BDR2G")</f>
        <v>MC1455BDR2G</v>
      </c>
      <c r="B35088" s="3" t="s">
        <v>95</v>
      </c>
      <c r="C35088" s="6">
        <v>59695</v>
      </c>
      <c r="D35088" s="7">
        <v>1.1599999999999999</v>
      </c>
      <c r="E35088" t="s">
        <v>29</v>
      </c>
    </row>
    <row r="35089" spans="1:5" x14ac:dyDescent="0.25">
      <c r="A35089" t="str">
        <f>HYPERLINK("https://www.773grp.com/globalSearch/MC1455BP1/page-1", "MC1455BP1")</f>
        <v>MC1455BP1</v>
      </c>
      <c r="B35089" s="3" t="s">
        <v>95</v>
      </c>
      <c r="C35089" s="6">
        <v>3657</v>
      </c>
      <c r="D35089" s="7">
        <v>1.1599999999999999</v>
      </c>
      <c r="E35089" t="s">
        <v>29</v>
      </c>
    </row>
    <row r="35090" spans="1:5" x14ac:dyDescent="0.25">
      <c r="A35090" t="str">
        <f>HYPERLINK("https://www.773grp.com/globalSearch/MC1455BP1G/page-1", "MC1455BP1G")</f>
        <v>MC1455BP1G</v>
      </c>
      <c r="B35090" s="3" t="s">
        <v>95</v>
      </c>
      <c r="C35090" s="6">
        <v>6073</v>
      </c>
      <c r="D35090" s="7">
        <v>1.1599999999999999</v>
      </c>
      <c r="E35090" t="s">
        <v>29</v>
      </c>
    </row>
    <row r="35091" spans="1:5" x14ac:dyDescent="0.25">
      <c r="A35091" t="str">
        <f>HYPERLINK("https://www.773grp.com/globalSearch/MC14572UBDG/page-1", "MC14572UBDG")</f>
        <v>MC14572UBDG</v>
      </c>
      <c r="B35091" s="3" t="s">
        <v>95</v>
      </c>
      <c r="C35091" s="6">
        <v>4934</v>
      </c>
      <c r="D35091" s="7">
        <v>1.1599999999999999</v>
      </c>
      <c r="E35091" t="s">
        <v>31</v>
      </c>
    </row>
    <row r="35092" spans="1:5" x14ac:dyDescent="0.25">
      <c r="A35092" t="str">
        <f>HYPERLINK("https://www.773grp.com/globalSearch/MC14572UBDR2G/page-1", "MC14572UBDR2G")</f>
        <v>MC14572UBDR2G</v>
      </c>
      <c r="B35092" s="3" t="s">
        <v>95</v>
      </c>
      <c r="C35092" s="6">
        <v>1173</v>
      </c>
      <c r="D35092" s="7">
        <v>1.1599999999999999</v>
      </c>
    </row>
    <row r="35093" spans="1:5" x14ac:dyDescent="0.25">
      <c r="A35093" t="str">
        <f>HYPERLINK("https://www.773grp.com/globalSearch/MC14585BDG/page-1", "MC14585BDG")</f>
        <v>MC14585BDG</v>
      </c>
      <c r="B35093" s="3" t="s">
        <v>95</v>
      </c>
      <c r="C35093" s="6">
        <v>4384</v>
      </c>
      <c r="D35093" s="7">
        <v>1.1599999999999999</v>
      </c>
    </row>
    <row r="35094" spans="1:5" x14ac:dyDescent="0.25">
      <c r="A35094" t="str">
        <f>HYPERLINK("https://www.773grp.com/globalSearch/MC14585BDR2G/page-1", "MC14585BDR2G")</f>
        <v>MC14585BDR2G</v>
      </c>
      <c r="B35094" s="3" t="s">
        <v>95</v>
      </c>
      <c r="C35094" s="6">
        <v>1958</v>
      </c>
      <c r="D35094" s="7">
        <v>1.1599999999999999</v>
      </c>
      <c r="E35094" t="s">
        <v>43</v>
      </c>
    </row>
    <row r="35095" spans="1:5" x14ac:dyDescent="0.25">
      <c r="A35095" t="str">
        <f>HYPERLINK("https://www.773grp.com/globalSearch/MC33269D-012G/page-1", "MC33269D-012G")</f>
        <v>MC33269D-012G</v>
      </c>
      <c r="B35095" s="3" t="s">
        <v>95</v>
      </c>
      <c r="C35095" s="6">
        <v>4387</v>
      </c>
      <c r="D35095" s="7">
        <v>1.1599999999999999</v>
      </c>
      <c r="E35095" t="s">
        <v>19</v>
      </c>
    </row>
    <row r="35096" spans="1:5" x14ac:dyDescent="0.25">
      <c r="A35096" t="str">
        <f>HYPERLINK("https://www.773grp.com/globalSearch/MC34161P/page-1", "MC34161P")</f>
        <v>MC34161P</v>
      </c>
      <c r="B35096" s="3" t="s">
        <v>95</v>
      </c>
      <c r="C35096" s="6">
        <v>25361</v>
      </c>
      <c r="D35096" s="7">
        <v>1.1599999999999999</v>
      </c>
      <c r="E35096" t="s">
        <v>30</v>
      </c>
    </row>
    <row r="35097" spans="1:5" x14ac:dyDescent="0.25">
      <c r="A35097" t="str">
        <f>HYPERLINK("https://www.773grp.com/globalSearch/MC74F112MEL/page-1", "MC74F112MEL")</f>
        <v>MC74F112MEL</v>
      </c>
      <c r="B35097" s="3" t="s">
        <v>95</v>
      </c>
      <c r="C35097" s="6">
        <v>2000</v>
      </c>
      <c r="D35097" s="7">
        <v>1.1599999999999999</v>
      </c>
    </row>
    <row r="35098" spans="1:5" x14ac:dyDescent="0.25">
      <c r="A35098" t="str">
        <f>HYPERLINK("https://www.773grp.com/globalSearch/MC74F241DW/page-1", "MC74F241DW")</f>
        <v>MC74F241DW</v>
      </c>
      <c r="B35098" s="3" t="s">
        <v>95</v>
      </c>
      <c r="C35098" s="6">
        <v>1216</v>
      </c>
      <c r="D35098" s="7">
        <v>1.1599999999999999</v>
      </c>
      <c r="E35098" t="s">
        <v>14</v>
      </c>
    </row>
    <row r="35099" spans="1:5" x14ac:dyDescent="0.25">
      <c r="A35099" t="str">
        <f>HYPERLINK("https://www.773grp.com/globalSearch/MC74F241M/page-1", "MC74F241M")</f>
        <v>MC74F241M</v>
      </c>
      <c r="B35099" s="3" t="s">
        <v>95</v>
      </c>
      <c r="C35099" s="6">
        <v>620</v>
      </c>
      <c r="D35099" s="7">
        <v>1.1599999999999999</v>
      </c>
    </row>
    <row r="35100" spans="1:5" x14ac:dyDescent="0.25">
      <c r="A35100" t="str">
        <f>HYPERLINK("https://www.773grp.com/globalSearch/MC74F243M/page-1", "MC74F243M")</f>
        <v>MC74F243M</v>
      </c>
      <c r="B35100" s="3" t="s">
        <v>95</v>
      </c>
      <c r="C35100" s="6">
        <v>1880</v>
      </c>
      <c r="D35100" s="7">
        <v>1.1599999999999999</v>
      </c>
    </row>
    <row r="35101" spans="1:5" x14ac:dyDescent="0.25">
      <c r="A35101" t="str">
        <f>HYPERLINK("https://www.773grp.com/globalSearch/MC74F243ML1/page-1", "MC74F243ML1")</f>
        <v>MC74F243ML1</v>
      </c>
      <c r="B35101" s="3" t="s">
        <v>95</v>
      </c>
      <c r="C35101" s="6">
        <v>2000</v>
      </c>
      <c r="D35101" s="7">
        <v>1.1599999999999999</v>
      </c>
    </row>
    <row r="35102" spans="1:5" x14ac:dyDescent="0.25">
      <c r="A35102" t="str">
        <f>HYPERLINK("https://www.773grp.com/globalSearch/MC74F251N/page-1", "MC74F251N")</f>
        <v>MC74F251N</v>
      </c>
      <c r="B35102" s="3" t="s">
        <v>95</v>
      </c>
      <c r="C35102" s="6">
        <v>4105</v>
      </c>
      <c r="D35102" s="7">
        <v>1.1599999999999999</v>
      </c>
      <c r="E35102" t="s">
        <v>20</v>
      </c>
    </row>
    <row r="35103" spans="1:5" x14ac:dyDescent="0.25">
      <c r="A35103" t="str">
        <f>HYPERLINK("https://www.773grp.com/globalSearch/MC74HC125ADTG/page-1", "MC74HC125ADTG")</f>
        <v>MC74HC125ADTG</v>
      </c>
      <c r="B35103" s="3" t="s">
        <v>95</v>
      </c>
      <c r="C35103" s="6">
        <v>40678</v>
      </c>
      <c r="D35103" s="7">
        <v>1.1599999999999999</v>
      </c>
      <c r="E35103" t="s">
        <v>14</v>
      </c>
    </row>
    <row r="35104" spans="1:5" x14ac:dyDescent="0.25">
      <c r="A35104" t="str">
        <f>HYPERLINK("https://www.773grp.com/globalSearch/MC74HC125ADTR2G/page-1", "MC74HC125ADTR2G")</f>
        <v>MC74HC125ADTR2G</v>
      </c>
      <c r="B35104" s="3" t="s">
        <v>95</v>
      </c>
      <c r="C35104" s="6">
        <v>36497</v>
      </c>
      <c r="D35104" s="7">
        <v>1.1599999999999999</v>
      </c>
      <c r="E35104" t="s">
        <v>14</v>
      </c>
    </row>
    <row r="35105" spans="1:5" x14ac:dyDescent="0.25">
      <c r="A35105" t="str">
        <f>HYPERLINK("https://www.773grp.com/globalSearch/MC74HC126ADTR2G/page-1", "MC74HC126ADTR2G")</f>
        <v>MC74HC126ADTR2G</v>
      </c>
      <c r="B35105" s="3" t="s">
        <v>95</v>
      </c>
      <c r="C35105" s="6">
        <v>25000</v>
      </c>
      <c r="D35105" s="7">
        <v>1.1599999999999999</v>
      </c>
      <c r="E35105" t="s">
        <v>14</v>
      </c>
    </row>
    <row r="35106" spans="1:5" x14ac:dyDescent="0.25">
      <c r="A35106" t="str">
        <f>HYPERLINK("https://www.773grp.com/globalSearch/MC74HC132ADTG/page-1", "MC74HC132ADTG")</f>
        <v>MC74HC132ADTG</v>
      </c>
      <c r="B35106" s="3" t="s">
        <v>95</v>
      </c>
      <c r="C35106" s="6">
        <v>17248</v>
      </c>
      <c r="D35106" s="7">
        <v>1.1599999999999999</v>
      </c>
      <c r="E35106" t="s">
        <v>31</v>
      </c>
    </row>
    <row r="35107" spans="1:5" x14ac:dyDescent="0.25">
      <c r="A35107" t="str">
        <f>HYPERLINK("https://www.773grp.com/globalSearch/MC74HC132ADTR2G/page-1", "MC74HC132ADTR2G")</f>
        <v>MC74HC132ADTR2G</v>
      </c>
      <c r="B35107" s="3" t="s">
        <v>95</v>
      </c>
      <c r="C35107" s="6">
        <v>7500</v>
      </c>
      <c r="D35107" s="7">
        <v>1.1599999999999999</v>
      </c>
      <c r="E35107" t="s">
        <v>31</v>
      </c>
    </row>
    <row r="35108" spans="1:5" x14ac:dyDescent="0.25">
      <c r="A35108" t="str">
        <f>HYPERLINK("https://www.773grp.com/globalSearch/MC74HC138ADG/page-1", "MC74HC138ADG")</f>
        <v>MC74HC138ADG</v>
      </c>
      <c r="B35108" s="3" t="s">
        <v>95</v>
      </c>
      <c r="C35108" s="6">
        <v>25436</v>
      </c>
      <c r="D35108" s="7">
        <v>1.1599999999999999</v>
      </c>
      <c r="E35108" t="s">
        <v>36</v>
      </c>
    </row>
    <row r="35109" spans="1:5" x14ac:dyDescent="0.25">
      <c r="A35109" t="str">
        <f>HYPERLINK("https://www.773grp.com/globalSearch/MC74HC138ADR2G/page-1", "MC74HC138ADR2G")</f>
        <v>MC74HC138ADR2G</v>
      </c>
      <c r="B35109" s="3" t="s">
        <v>95</v>
      </c>
      <c r="C35109" s="6">
        <v>429095</v>
      </c>
      <c r="D35109" s="7">
        <v>1.1599999999999999</v>
      </c>
      <c r="E35109" t="s">
        <v>36</v>
      </c>
    </row>
    <row r="35110" spans="1:5" x14ac:dyDescent="0.25">
      <c r="A35110" t="str">
        <f>HYPERLINK("https://www.773grp.com/globalSearch/MC74HC138ADTR2G/page-1", "MC74HC138ADTR2G")</f>
        <v>MC74HC138ADTR2G</v>
      </c>
      <c r="B35110" s="3" t="s">
        <v>95</v>
      </c>
      <c r="C35110" s="6">
        <v>19568</v>
      </c>
      <c r="D35110" s="7">
        <v>1.1599999999999999</v>
      </c>
      <c r="E35110" t="s">
        <v>36</v>
      </c>
    </row>
    <row r="35111" spans="1:5" x14ac:dyDescent="0.25">
      <c r="A35111" t="str">
        <f>HYPERLINK("https://www.773grp.com/globalSearch/MC74HC139ADG/page-1", "MC74HC139ADG")</f>
        <v>MC74HC139ADG</v>
      </c>
      <c r="B35111" s="3" t="s">
        <v>95</v>
      </c>
      <c r="C35111" s="6">
        <v>24773</v>
      </c>
      <c r="D35111" s="7">
        <v>1.1599999999999999</v>
      </c>
      <c r="E35111" t="s">
        <v>36</v>
      </c>
    </row>
    <row r="35112" spans="1:5" x14ac:dyDescent="0.25">
      <c r="A35112" t="str">
        <f>HYPERLINK("https://www.773grp.com/globalSearch/MC74HC139ADR2G/page-1", "MC74HC139ADR2G")</f>
        <v>MC74HC139ADR2G</v>
      </c>
      <c r="B35112" s="3" t="s">
        <v>95</v>
      </c>
      <c r="C35112" s="6">
        <v>87623</v>
      </c>
      <c r="D35112" s="7">
        <v>1.1599999999999999</v>
      </c>
      <c r="E35112" t="s">
        <v>36</v>
      </c>
    </row>
    <row r="35113" spans="1:5" x14ac:dyDescent="0.25">
      <c r="A35113" t="str">
        <f>HYPERLINK("https://www.773grp.com/globalSearch/MC74HC151ADG/page-1", "MC74HC151ADG")</f>
        <v>MC74HC151ADG</v>
      </c>
      <c r="B35113" s="3" t="s">
        <v>95</v>
      </c>
      <c r="C35113" s="6">
        <v>17280</v>
      </c>
      <c r="D35113" s="7">
        <v>1.1599999999999999</v>
      </c>
    </row>
    <row r="35114" spans="1:5" x14ac:dyDescent="0.25">
      <c r="A35114" t="str">
        <f>HYPERLINK("https://www.773grp.com/globalSearch/MC74HC151ADR2G/page-1", "MC74HC151ADR2G")</f>
        <v>MC74HC151ADR2G</v>
      </c>
      <c r="B35114" s="3" t="s">
        <v>95</v>
      </c>
      <c r="C35114" s="6">
        <v>42480</v>
      </c>
      <c r="D35114" s="7">
        <v>1.1599999999999999</v>
      </c>
      <c r="E35114" t="s">
        <v>20</v>
      </c>
    </row>
    <row r="35115" spans="1:5" x14ac:dyDescent="0.25">
      <c r="A35115" t="str">
        <f>HYPERLINK("https://www.773grp.com/globalSearch/MC74HC153ADG/page-1", "MC74HC153ADG")</f>
        <v>MC74HC153ADG</v>
      </c>
      <c r="B35115" s="3" t="s">
        <v>95</v>
      </c>
      <c r="C35115" s="6">
        <v>24240</v>
      </c>
      <c r="D35115" s="7">
        <v>1.1599999999999999</v>
      </c>
    </row>
    <row r="35116" spans="1:5" x14ac:dyDescent="0.25">
      <c r="A35116" t="str">
        <f>HYPERLINK("https://www.773grp.com/globalSearch/MC74HC153ADR2G/page-1", "MC74HC153ADR2G")</f>
        <v>MC74HC153ADR2G</v>
      </c>
      <c r="B35116" s="3" t="s">
        <v>95</v>
      </c>
      <c r="C35116" s="6">
        <v>75000</v>
      </c>
      <c r="D35116" s="7">
        <v>1.1599999999999999</v>
      </c>
      <c r="E35116" t="s">
        <v>20</v>
      </c>
    </row>
    <row r="35117" spans="1:5" x14ac:dyDescent="0.25">
      <c r="A35117" t="str">
        <f>HYPERLINK("https://www.773grp.com/globalSearch/MC74HC153ADTG/page-1", "MC74HC153ADTG")</f>
        <v>MC74HC153ADTG</v>
      </c>
      <c r="B35117" s="3" t="s">
        <v>95</v>
      </c>
      <c r="C35117" s="6">
        <v>5472</v>
      </c>
      <c r="D35117" s="7">
        <v>1.1599999999999999</v>
      </c>
    </row>
    <row r="35118" spans="1:5" x14ac:dyDescent="0.25">
      <c r="A35118" t="str">
        <f>HYPERLINK("https://www.773grp.com/globalSearch/MC74HC153ADTR2G/page-1", "MC74HC153ADTR2G")</f>
        <v>MC74HC153ADTR2G</v>
      </c>
      <c r="B35118" s="3" t="s">
        <v>95</v>
      </c>
      <c r="C35118" s="6">
        <v>20166</v>
      </c>
      <c r="D35118" s="7">
        <v>1.1599999999999999</v>
      </c>
      <c r="E35118" t="s">
        <v>20</v>
      </c>
    </row>
    <row r="35119" spans="1:5" x14ac:dyDescent="0.25">
      <c r="A35119" t="str">
        <f>HYPERLINK("https://www.773grp.com/globalSearch/MC74HC157ADG/page-1", "MC74HC157ADG")</f>
        <v>MC74HC157ADG</v>
      </c>
      <c r="B35119" s="3" t="s">
        <v>95</v>
      </c>
      <c r="C35119" s="6">
        <v>21320</v>
      </c>
      <c r="D35119" s="7">
        <v>1.1599999999999999</v>
      </c>
      <c r="E35119" t="s">
        <v>20</v>
      </c>
    </row>
    <row r="35120" spans="1:5" x14ac:dyDescent="0.25">
      <c r="A35120" t="str">
        <f>HYPERLINK("https://www.773grp.com/globalSearch/MC74HC157ADR2G/page-1", "MC74HC157ADR2G")</f>
        <v>MC74HC157ADR2G</v>
      </c>
      <c r="B35120" s="3" t="s">
        <v>95</v>
      </c>
      <c r="C35120" s="6">
        <v>11611</v>
      </c>
      <c r="D35120" s="7">
        <v>1.1599999999999999</v>
      </c>
      <c r="E35120" t="s">
        <v>20</v>
      </c>
    </row>
    <row r="35121" spans="1:5" x14ac:dyDescent="0.25">
      <c r="A35121" t="str">
        <f>HYPERLINK("https://www.773grp.com/globalSearch/MC74HC157ADTR2G/page-1", "MC74HC157ADTR2G")</f>
        <v>MC74HC157ADTR2G</v>
      </c>
      <c r="B35121" s="3" t="s">
        <v>95</v>
      </c>
      <c r="C35121" s="6">
        <v>6288</v>
      </c>
      <c r="D35121" s="7">
        <v>1.1599999999999999</v>
      </c>
      <c r="E35121" t="s">
        <v>20</v>
      </c>
    </row>
    <row r="35122" spans="1:5" x14ac:dyDescent="0.25">
      <c r="A35122" t="str">
        <f>HYPERLINK("https://www.773grp.com/globalSearch/MC74HC164ADTR2G/page-1", "MC74HC164ADTR2G")</f>
        <v>MC74HC164ADTR2G</v>
      </c>
      <c r="B35122" s="3" t="s">
        <v>95</v>
      </c>
      <c r="C35122" s="6">
        <v>130190</v>
      </c>
      <c r="D35122" s="7">
        <v>1.1599999999999999</v>
      </c>
      <c r="E35122" t="s">
        <v>32</v>
      </c>
    </row>
    <row r="35123" spans="1:5" x14ac:dyDescent="0.25">
      <c r="A35123" t="str">
        <f>HYPERLINK("https://www.773grp.com/globalSearch/MC74HC165ADG/page-1", "MC74HC165ADG")</f>
        <v>MC74HC165ADG</v>
      </c>
      <c r="B35123" s="3" t="s">
        <v>95</v>
      </c>
      <c r="C35123" s="6">
        <v>10944</v>
      </c>
      <c r="D35123" s="7">
        <v>1.1599999999999999</v>
      </c>
    </row>
    <row r="35124" spans="1:5" x14ac:dyDescent="0.25">
      <c r="A35124" t="str">
        <f>HYPERLINK("https://www.773grp.com/globalSearch/MC74HC165ADR2G/page-1", "MC74HC165ADR2G")</f>
        <v>MC74HC165ADR2G</v>
      </c>
      <c r="B35124" s="3" t="s">
        <v>95</v>
      </c>
      <c r="C35124" s="6">
        <v>173922</v>
      </c>
      <c r="D35124" s="7">
        <v>1.1599999999999999</v>
      </c>
      <c r="E35124" t="s">
        <v>32</v>
      </c>
    </row>
    <row r="35125" spans="1:5" x14ac:dyDescent="0.25">
      <c r="A35125" t="str">
        <f>HYPERLINK("https://www.773grp.com/globalSearch/MC74HC165ADTR2G/page-1", "MC74HC165ADTR2G")</f>
        <v>MC74HC165ADTR2G</v>
      </c>
      <c r="B35125" s="3" t="s">
        <v>95</v>
      </c>
      <c r="C35125" s="6">
        <v>42120</v>
      </c>
      <c r="D35125" s="7">
        <v>1.1599999999999999</v>
      </c>
      <c r="E35125" t="s">
        <v>32</v>
      </c>
    </row>
    <row r="35126" spans="1:5" x14ac:dyDescent="0.25">
      <c r="A35126" t="str">
        <f>HYPERLINK("https://www.773grp.com/globalSearch/MC74HC174ADG/page-1", "MC74HC174ADG")</f>
        <v>MC74HC174ADG</v>
      </c>
      <c r="B35126" s="3" t="s">
        <v>95</v>
      </c>
      <c r="C35126" s="6">
        <v>12653</v>
      </c>
      <c r="D35126" s="7">
        <v>1.1599999999999999</v>
      </c>
      <c r="E35126" t="s">
        <v>35</v>
      </c>
    </row>
    <row r="35127" spans="1:5" x14ac:dyDescent="0.25">
      <c r="A35127" t="str">
        <f>HYPERLINK("https://www.773grp.com/globalSearch/MC74HC174ADR2G/page-1", "MC74HC174ADR2G")</f>
        <v>MC74HC174ADR2G</v>
      </c>
      <c r="B35127" s="3" t="s">
        <v>95</v>
      </c>
      <c r="C35127" s="6">
        <v>1020</v>
      </c>
      <c r="D35127" s="7">
        <v>1.1599999999999999</v>
      </c>
      <c r="E35127" t="s">
        <v>35</v>
      </c>
    </row>
    <row r="35128" spans="1:5" x14ac:dyDescent="0.25">
      <c r="A35128" t="str">
        <f>HYPERLINK("https://www.773grp.com/globalSearch/MC74HC174ADTR2G/page-1", "MC74HC174ADTR2G")</f>
        <v>MC74HC174ADTR2G</v>
      </c>
      <c r="B35128" s="3" t="s">
        <v>95</v>
      </c>
      <c r="C35128" s="6">
        <v>7238</v>
      </c>
      <c r="D35128" s="7">
        <v>1.1599999999999999</v>
      </c>
      <c r="E35128" t="s">
        <v>35</v>
      </c>
    </row>
    <row r="35129" spans="1:5" x14ac:dyDescent="0.25">
      <c r="A35129" t="str">
        <f>HYPERLINK("https://www.773grp.com/globalSearch/MC74HC175ADG/page-1", "MC74HC175ADG")</f>
        <v>MC74HC175ADG</v>
      </c>
      <c r="B35129" s="3" t="s">
        <v>95</v>
      </c>
      <c r="C35129" s="6">
        <v>10500</v>
      </c>
      <c r="D35129" s="7">
        <v>1.1599999999999999</v>
      </c>
      <c r="E35129" t="s">
        <v>35</v>
      </c>
    </row>
    <row r="35130" spans="1:5" x14ac:dyDescent="0.25">
      <c r="A35130" t="str">
        <f>HYPERLINK("https://www.773grp.com/globalSearch/MC74HC175ADR2G/page-1", "MC74HC175ADR2G")</f>
        <v>MC74HC175ADR2G</v>
      </c>
      <c r="B35130" s="3" t="s">
        <v>95</v>
      </c>
      <c r="C35130" s="6">
        <v>21252</v>
      </c>
      <c r="D35130" s="7">
        <v>1.1599999999999999</v>
      </c>
      <c r="E35130" t="s">
        <v>35</v>
      </c>
    </row>
    <row r="35131" spans="1:5" x14ac:dyDescent="0.25">
      <c r="A35131" t="str">
        <f>HYPERLINK("https://www.773grp.com/globalSearch/MC74HC175ADTR2G/page-1", "MC74HC175ADTR2G")</f>
        <v>MC74HC175ADTR2G</v>
      </c>
      <c r="B35131" s="3" t="s">
        <v>95</v>
      </c>
      <c r="C35131" s="6">
        <v>10000</v>
      </c>
      <c r="D35131" s="7">
        <v>1.1599999999999999</v>
      </c>
      <c r="E35131" t="s">
        <v>35</v>
      </c>
    </row>
    <row r="35132" spans="1:5" x14ac:dyDescent="0.25">
      <c r="A35132" t="str">
        <f>HYPERLINK("https://www.773grp.com/globalSearch/MC74HC251ADG/page-1", "MC74HC251ADG")</f>
        <v>MC74HC251ADG</v>
      </c>
      <c r="B35132" s="3" t="s">
        <v>95</v>
      </c>
      <c r="C35132" s="6">
        <v>21312</v>
      </c>
      <c r="D35132" s="7">
        <v>1.1599999999999999</v>
      </c>
    </row>
    <row r="35133" spans="1:5" x14ac:dyDescent="0.25">
      <c r="A35133" t="str">
        <f>HYPERLINK("https://www.773grp.com/globalSearch/MC74HC251ADR2G/page-1", "MC74HC251ADR2G")</f>
        <v>MC74HC251ADR2G</v>
      </c>
      <c r="B35133" s="3" t="s">
        <v>95</v>
      </c>
      <c r="C35133" s="6">
        <v>10000</v>
      </c>
      <c r="D35133" s="7">
        <v>1.1599999999999999</v>
      </c>
    </row>
    <row r="35134" spans="1:5" x14ac:dyDescent="0.25">
      <c r="A35134" t="str">
        <f>HYPERLINK("https://www.773grp.com/globalSearch/MC74HC251ADTG/page-1", "MC74HC251ADTG")</f>
        <v>MC74HC251ADTG</v>
      </c>
      <c r="B35134" s="3" t="s">
        <v>95</v>
      </c>
      <c r="C35134" s="6">
        <v>28358</v>
      </c>
      <c r="D35134" s="7">
        <v>1.1599999999999999</v>
      </c>
    </row>
    <row r="35135" spans="1:5" x14ac:dyDescent="0.25">
      <c r="A35135" t="str">
        <f>HYPERLINK("https://www.773grp.com/globalSearch/MC74HC251ADTR2G/page-1", "MC74HC251ADTR2G")</f>
        <v>MC74HC251ADTR2G</v>
      </c>
      <c r="B35135" s="3" t="s">
        <v>95</v>
      </c>
      <c r="C35135" s="6">
        <v>10244</v>
      </c>
      <c r="D35135" s="7">
        <v>1.1599999999999999</v>
      </c>
      <c r="E35135" t="s">
        <v>20</v>
      </c>
    </row>
    <row r="35136" spans="1:5" x14ac:dyDescent="0.25">
      <c r="A35136" t="str">
        <f>HYPERLINK("https://www.773grp.com/globalSearch/MC74HC259ADG/page-1", "MC74HC259ADG")</f>
        <v>MC74HC259ADG</v>
      </c>
      <c r="B35136" s="3" t="s">
        <v>95</v>
      </c>
      <c r="C35136" s="6">
        <v>29568</v>
      </c>
      <c r="D35136" s="7">
        <v>1.1599999999999999</v>
      </c>
    </row>
    <row r="35137" spans="1:5" x14ac:dyDescent="0.25">
      <c r="A35137" t="str">
        <f>HYPERLINK("https://www.773grp.com/globalSearch/MC74HC259ADTG/page-1", "MC74HC259ADTG")</f>
        <v>MC74HC259ADTG</v>
      </c>
      <c r="B35137" s="3" t="s">
        <v>95</v>
      </c>
      <c r="C35137" s="6">
        <v>4800</v>
      </c>
      <c r="D35137" s="7">
        <v>1.1599999999999999</v>
      </c>
    </row>
    <row r="35138" spans="1:5" x14ac:dyDescent="0.25">
      <c r="A35138" t="str">
        <f>HYPERLINK("https://www.773grp.com/globalSearch/MC74HC259ADTR2G/page-1", "MC74HC259ADTR2G")</f>
        <v>MC74HC259ADTR2G</v>
      </c>
      <c r="B35138" s="3" t="s">
        <v>95</v>
      </c>
      <c r="C35138" s="6">
        <v>5000</v>
      </c>
      <c r="D35138" s="7">
        <v>1.1599999999999999</v>
      </c>
      <c r="E35138" t="s">
        <v>35</v>
      </c>
    </row>
    <row r="35139" spans="1:5" x14ac:dyDescent="0.25">
      <c r="A35139" t="str">
        <f>HYPERLINK("https://www.773grp.com/globalSearch/MC74HC365AD/page-1", "MC74HC365AD")</f>
        <v>MC74HC365AD</v>
      </c>
      <c r="B35139" s="3" t="s">
        <v>95</v>
      </c>
      <c r="C35139" s="6">
        <v>8832</v>
      </c>
      <c r="D35139" s="7">
        <v>1.1599999999999999</v>
      </c>
      <c r="E35139" t="s">
        <v>14</v>
      </c>
    </row>
    <row r="35140" spans="1:5" x14ac:dyDescent="0.25">
      <c r="A35140" t="str">
        <f>HYPERLINK("https://www.773grp.com/globalSearch/MC74HC365ADR2/page-1", "MC74HC365ADR2")</f>
        <v>MC74HC365ADR2</v>
      </c>
      <c r="B35140" s="3" t="s">
        <v>95</v>
      </c>
      <c r="C35140" s="6">
        <v>15000</v>
      </c>
      <c r="D35140" s="7">
        <v>1.1599999999999999</v>
      </c>
    </row>
    <row r="35141" spans="1:5" x14ac:dyDescent="0.25">
      <c r="A35141" t="str">
        <f>HYPERLINK("https://www.773grp.com/globalSearch/MC74HC365ADT/page-1", "MC74HC365ADT")</f>
        <v>MC74HC365ADT</v>
      </c>
      <c r="B35141" s="3" t="s">
        <v>95</v>
      </c>
      <c r="C35141" s="6">
        <v>3147</v>
      </c>
      <c r="D35141" s="7">
        <v>1.1599999999999999</v>
      </c>
      <c r="E35141" t="s">
        <v>14</v>
      </c>
    </row>
    <row r="35142" spans="1:5" x14ac:dyDescent="0.25">
      <c r="A35142" t="str">
        <f>HYPERLINK("https://www.773grp.com/globalSearch/MC74HC365AF/page-1", "MC74HC365AF")</f>
        <v>MC74HC365AF</v>
      </c>
      <c r="B35142" s="3" t="s">
        <v>95</v>
      </c>
      <c r="C35142" s="6">
        <v>1585</v>
      </c>
      <c r="D35142" s="7">
        <v>1.1599999999999999</v>
      </c>
    </row>
    <row r="35143" spans="1:5" x14ac:dyDescent="0.25">
      <c r="A35143" t="str">
        <f>HYPERLINK("https://www.773grp.com/globalSearch/MC74HC390AFELG/page-1", "MC74HC390AFELG")</f>
        <v>MC74HC390AFELG</v>
      </c>
      <c r="B35143" s="3" t="s">
        <v>95</v>
      </c>
      <c r="C35143" s="6">
        <v>2761</v>
      </c>
      <c r="D35143" s="7">
        <v>1.1599999999999999</v>
      </c>
      <c r="E35143" t="s">
        <v>26</v>
      </c>
    </row>
    <row r="35144" spans="1:5" x14ac:dyDescent="0.25">
      <c r="A35144" t="str">
        <f>HYPERLINK("https://www.773grp.com/globalSearch/MC74HC390AFG/page-1", "MC74HC390AFG")</f>
        <v>MC74HC390AFG</v>
      </c>
      <c r="B35144" s="3" t="s">
        <v>95</v>
      </c>
      <c r="C35144" s="6">
        <v>2350</v>
      </c>
      <c r="D35144" s="7">
        <v>1.1599999999999999</v>
      </c>
      <c r="E35144" t="s">
        <v>26</v>
      </c>
    </row>
    <row r="35145" spans="1:5" x14ac:dyDescent="0.25">
      <c r="A35145" t="str">
        <f>HYPERLINK("https://www.773grp.com/globalSearch/MC74HC4053AFELG/page-1", "MC74HC4053AFELG")</f>
        <v>MC74HC4053AFELG</v>
      </c>
      <c r="B35145" s="3" t="s">
        <v>95</v>
      </c>
      <c r="C35145" s="6">
        <v>9819</v>
      </c>
      <c r="D35145" s="7">
        <v>1.1599999999999999</v>
      </c>
      <c r="E35145" t="s">
        <v>56</v>
      </c>
    </row>
    <row r="35146" spans="1:5" x14ac:dyDescent="0.25">
      <c r="A35146" t="str">
        <f>HYPERLINK("https://www.773grp.com/globalSearch/MC74HC4316AFELG/page-1", "MC74HC4316AFELG")</f>
        <v>MC74HC4316AFELG</v>
      </c>
      <c r="B35146" s="3" t="s">
        <v>95</v>
      </c>
      <c r="C35146" s="6">
        <v>15548</v>
      </c>
      <c r="D35146" s="7">
        <v>1.1599999999999999</v>
      </c>
      <c r="E35146" t="s">
        <v>56</v>
      </c>
    </row>
    <row r="35147" spans="1:5" x14ac:dyDescent="0.25">
      <c r="A35147" t="str">
        <f>HYPERLINK("https://www.773grp.com/globalSearch/MC74HC4511F/page-1", "MC74HC4511F")</f>
        <v>MC74HC4511F</v>
      </c>
      <c r="B35147" s="3" t="s">
        <v>95</v>
      </c>
      <c r="C35147" s="6">
        <v>1907</v>
      </c>
      <c r="D35147" s="7">
        <v>1.1599999999999999</v>
      </c>
    </row>
    <row r="35148" spans="1:5" x14ac:dyDescent="0.25">
      <c r="A35148" t="str">
        <f>HYPERLINK("https://www.773grp.com/globalSearch/MC74HC4511FEL/page-1", "MC74HC4511FEL")</f>
        <v>MC74HC4511FEL</v>
      </c>
      <c r="B35148" s="3" t="s">
        <v>95</v>
      </c>
      <c r="C35148" s="6">
        <v>34000</v>
      </c>
      <c r="D35148" s="7">
        <v>1.1599999999999999</v>
      </c>
    </row>
    <row r="35149" spans="1:5" x14ac:dyDescent="0.25">
      <c r="A35149" t="str">
        <f>HYPERLINK("https://www.773grp.com/globalSearch/MC74HC4538ADR2/page-1", "MC74HC4538ADR2")</f>
        <v>MC74HC4538ADR2</v>
      </c>
      <c r="B35149" s="3" t="s">
        <v>95</v>
      </c>
      <c r="C35149" s="6">
        <v>3763</v>
      </c>
      <c r="D35149" s="7">
        <v>1.1599999999999999</v>
      </c>
      <c r="E35149" t="s">
        <v>54</v>
      </c>
    </row>
    <row r="35150" spans="1:5" x14ac:dyDescent="0.25">
      <c r="A35150" t="str">
        <f>HYPERLINK("https://www.773grp.com/globalSearch/MC74HC4538ADR2G/page-1", "MC74HC4538ADR2G")</f>
        <v>MC74HC4538ADR2G</v>
      </c>
      <c r="B35150" s="3" t="s">
        <v>95</v>
      </c>
      <c r="C35150" s="6">
        <v>49546</v>
      </c>
      <c r="D35150" s="7">
        <v>1.1599999999999999</v>
      </c>
      <c r="E35150" t="s">
        <v>54</v>
      </c>
    </row>
    <row r="35151" spans="1:5" x14ac:dyDescent="0.25">
      <c r="A35151" t="str">
        <f>HYPERLINK("https://www.773grp.com/globalSearch/MC74HCT132ADTG/page-1", "MC74HCT132ADTG")</f>
        <v>MC74HCT132ADTG</v>
      </c>
      <c r="B35151" s="3" t="s">
        <v>95</v>
      </c>
      <c r="C35151" s="6">
        <v>3933</v>
      </c>
      <c r="D35151" s="7">
        <v>1.1599999999999999</v>
      </c>
    </row>
    <row r="35152" spans="1:5" x14ac:dyDescent="0.25">
      <c r="A35152" t="str">
        <f>HYPERLINK("https://www.773grp.com/globalSearch/MC74HCT132ADTR2G/page-1", "MC74HCT132ADTR2G")</f>
        <v>MC74HCT132ADTR2G</v>
      </c>
      <c r="B35152" s="3" t="s">
        <v>95</v>
      </c>
      <c r="C35152" s="6">
        <v>38168</v>
      </c>
      <c r="D35152" s="7">
        <v>1.1599999999999999</v>
      </c>
      <c r="E35152" t="s">
        <v>31</v>
      </c>
    </row>
    <row r="35153" spans="1:5" x14ac:dyDescent="0.25">
      <c r="A35153" t="str">
        <f>HYPERLINK("https://www.773grp.com/globalSearch/MC74LCX138MELG/page-1", "MC74LCX138MELG")</f>
        <v>MC74LCX138MELG</v>
      </c>
      <c r="B35153" s="3" t="s">
        <v>95</v>
      </c>
      <c r="C35153" s="6">
        <v>25205</v>
      </c>
      <c r="D35153" s="7">
        <v>1.1599999999999999</v>
      </c>
      <c r="E35153" t="s">
        <v>36</v>
      </c>
    </row>
    <row r="35154" spans="1:5" x14ac:dyDescent="0.25">
      <c r="A35154" t="str">
        <f>HYPERLINK("https://www.773grp.com/globalSearch/MC74LCX158DTR2G/page-1", "MC74LCX158DTR2G")</f>
        <v>MC74LCX158DTR2G</v>
      </c>
      <c r="B35154" s="3" t="s">
        <v>95</v>
      </c>
      <c r="C35154" s="6">
        <v>2500</v>
      </c>
      <c r="D35154" s="7">
        <v>1.1599999999999999</v>
      </c>
      <c r="E35154" t="s">
        <v>20</v>
      </c>
    </row>
    <row r="35155" spans="1:5" x14ac:dyDescent="0.25">
      <c r="A35155" t="str">
        <f>HYPERLINK("https://www.773grp.com/globalSearch/MC74LCX244DWG/page-1", "MC74LCX244DWG")</f>
        <v>MC74LCX244DWG</v>
      </c>
      <c r="B35155" s="3" t="s">
        <v>95</v>
      </c>
      <c r="C35155" s="6">
        <v>2318</v>
      </c>
      <c r="D35155" s="7">
        <v>1.1599999999999999</v>
      </c>
      <c r="E35155" t="s">
        <v>14</v>
      </c>
    </row>
    <row r="35156" spans="1:5" x14ac:dyDescent="0.25">
      <c r="A35156" t="str">
        <f>HYPERLINK("https://www.773grp.com/globalSearch/MC74LCX244DWR2G/page-1", "MC74LCX244DWR2G")</f>
        <v>MC74LCX244DWR2G</v>
      </c>
      <c r="B35156" s="3" t="s">
        <v>95</v>
      </c>
      <c r="C35156" s="6">
        <v>8738</v>
      </c>
      <c r="D35156" s="7">
        <v>1.1599999999999999</v>
      </c>
      <c r="E35156" t="s">
        <v>14</v>
      </c>
    </row>
    <row r="35157" spans="1:5" x14ac:dyDescent="0.25">
      <c r="A35157" t="str">
        <f>HYPERLINK("https://www.773grp.com/globalSearch/MC74LCX245DWG/page-1", "MC74LCX245DWG")</f>
        <v>MC74LCX245DWG</v>
      </c>
      <c r="B35157" s="3" t="s">
        <v>95</v>
      </c>
      <c r="C35157" s="6">
        <v>1353</v>
      </c>
      <c r="D35157" s="7">
        <v>1.1599999999999999</v>
      </c>
      <c r="E35157" t="s">
        <v>14</v>
      </c>
    </row>
    <row r="35158" spans="1:5" x14ac:dyDescent="0.25">
      <c r="A35158" t="str">
        <f>HYPERLINK("https://www.773grp.com/globalSearch/MC74LCX245DWR2G/page-1", "MC74LCX245DWR2G")</f>
        <v>MC74LCX245DWR2G</v>
      </c>
      <c r="B35158" s="3" t="s">
        <v>95</v>
      </c>
      <c r="C35158" s="6">
        <v>2049</v>
      </c>
      <c r="D35158" s="7">
        <v>1.1599999999999999</v>
      </c>
      <c r="E35158" t="s">
        <v>14</v>
      </c>
    </row>
    <row r="35159" spans="1:5" x14ac:dyDescent="0.25">
      <c r="A35159" t="str">
        <f>HYPERLINK("https://www.773grp.com/globalSearch/MC74LCX257MELG/page-1", "MC74LCX257MELG")</f>
        <v>MC74LCX257MELG</v>
      </c>
      <c r="B35159" s="3" t="s">
        <v>95</v>
      </c>
      <c r="C35159" s="6">
        <v>18000</v>
      </c>
      <c r="D35159" s="7">
        <v>1.1599999999999999</v>
      </c>
      <c r="E35159" t="s">
        <v>20</v>
      </c>
    </row>
    <row r="35160" spans="1:5" x14ac:dyDescent="0.25">
      <c r="A35160" t="str">
        <f>HYPERLINK("https://www.773grp.com/globalSearch/MC74LCX373DWR2G/page-1", "MC74LCX373DWR2G")</f>
        <v>MC74LCX373DWR2G</v>
      </c>
      <c r="B35160" s="3" t="s">
        <v>95</v>
      </c>
      <c r="C35160" s="6">
        <v>11000</v>
      </c>
      <c r="D35160" s="7">
        <v>1.1599999999999999</v>
      </c>
      <c r="E35160" t="s">
        <v>14</v>
      </c>
    </row>
    <row r="35161" spans="1:5" x14ac:dyDescent="0.25">
      <c r="A35161" t="str">
        <f>HYPERLINK("https://www.773grp.com/globalSearch/MC74LCX374DWR2G/page-1", "MC74LCX374DWR2G")</f>
        <v>MC74LCX374DWR2G</v>
      </c>
      <c r="B35161" s="3" t="s">
        <v>95</v>
      </c>
      <c r="C35161" s="6">
        <v>8429</v>
      </c>
      <c r="D35161" s="7">
        <v>1.1599999999999999</v>
      </c>
      <c r="E35161" t="s">
        <v>14</v>
      </c>
    </row>
    <row r="35162" spans="1:5" x14ac:dyDescent="0.25">
      <c r="A35162" t="str">
        <f>HYPERLINK("https://www.773grp.com/globalSearch/MC74LCX573DWG/page-1", "MC74LCX573DWG")</f>
        <v>MC74LCX573DWG</v>
      </c>
      <c r="B35162" s="3" t="s">
        <v>95</v>
      </c>
      <c r="C35162" s="6">
        <v>20791</v>
      </c>
      <c r="D35162" s="7">
        <v>1.1599999999999999</v>
      </c>
      <c r="E35162" t="s">
        <v>14</v>
      </c>
    </row>
    <row r="35163" spans="1:5" x14ac:dyDescent="0.25">
      <c r="A35163" t="str">
        <f>HYPERLINK("https://www.773grp.com/globalSearch/MC74LCX573DWR2G/page-1", "MC74LCX573DWR2G")</f>
        <v>MC74LCX573DWR2G</v>
      </c>
      <c r="B35163" s="3" t="s">
        <v>95</v>
      </c>
      <c r="C35163" s="6">
        <v>17702</v>
      </c>
      <c r="D35163" s="7">
        <v>1.1599999999999999</v>
      </c>
      <c r="E35163" t="s">
        <v>14</v>
      </c>
    </row>
    <row r="35164" spans="1:5" x14ac:dyDescent="0.25">
      <c r="A35164" t="str">
        <f>HYPERLINK("https://www.773grp.com/globalSearch/MC74LCX574DWR2G/page-1", "MC74LCX574DWR2G")</f>
        <v>MC74LCX574DWR2G</v>
      </c>
      <c r="B35164" s="3" t="s">
        <v>95</v>
      </c>
      <c r="C35164" s="6">
        <v>7215</v>
      </c>
      <c r="D35164" s="7">
        <v>1.1599999999999999</v>
      </c>
      <c r="E35164" t="s">
        <v>14</v>
      </c>
    </row>
    <row r="35165" spans="1:5" x14ac:dyDescent="0.25">
      <c r="A35165" t="str">
        <f>HYPERLINK("https://www.773grp.com/globalSearch/MC74LVX125MELG/page-1", "MC74LVX125MELG")</f>
        <v>MC74LVX125MELG</v>
      </c>
      <c r="B35165" s="3" t="s">
        <v>95</v>
      </c>
      <c r="C35165" s="6">
        <v>50000</v>
      </c>
      <c r="D35165" s="7">
        <v>1.1599999999999999</v>
      </c>
      <c r="E35165" t="s">
        <v>14</v>
      </c>
    </row>
    <row r="35166" spans="1:5" x14ac:dyDescent="0.25">
      <c r="A35166" t="str">
        <f>HYPERLINK("https://www.773grp.com/globalSearch/MC74LVX125MG/page-1", "MC74LVX125MG")</f>
        <v>MC74LVX125MG</v>
      </c>
      <c r="B35166" s="3" t="s">
        <v>95</v>
      </c>
      <c r="C35166" s="6">
        <v>1700</v>
      </c>
      <c r="D35166" s="7">
        <v>1.1599999999999999</v>
      </c>
      <c r="E35166" t="s">
        <v>14</v>
      </c>
    </row>
    <row r="35167" spans="1:5" x14ac:dyDescent="0.25">
      <c r="A35167" t="str">
        <f>HYPERLINK("https://www.773grp.com/globalSearch/MC74LVX126MELG/page-1", "MC74LVX126MELG")</f>
        <v>MC74LVX126MELG</v>
      </c>
      <c r="B35167" s="3" t="s">
        <v>95</v>
      </c>
      <c r="C35167" s="6">
        <v>47522</v>
      </c>
      <c r="D35167" s="7">
        <v>1.1599999999999999</v>
      </c>
      <c r="E35167" t="s">
        <v>14</v>
      </c>
    </row>
    <row r="35168" spans="1:5" x14ac:dyDescent="0.25">
      <c r="A35168" t="str">
        <f>HYPERLINK("https://www.773grp.com/globalSearch/MC74LVX126MG/page-1", "MC74LVX126MG")</f>
        <v>MC74LVX126MG</v>
      </c>
      <c r="B35168" s="3" t="s">
        <v>95</v>
      </c>
      <c r="C35168" s="6">
        <v>1450</v>
      </c>
      <c r="D35168" s="7">
        <v>1.1599999999999999</v>
      </c>
      <c r="E35168" t="s">
        <v>14</v>
      </c>
    </row>
    <row r="35169" spans="1:5" x14ac:dyDescent="0.25">
      <c r="A35169" t="str">
        <f>HYPERLINK("https://www.773grp.com/globalSearch/MC74LVX132MELG/page-1", "MC74LVX132MELG")</f>
        <v>MC74LVX132MELG</v>
      </c>
      <c r="B35169" s="3" t="s">
        <v>95</v>
      </c>
      <c r="C35169" s="6">
        <v>20000</v>
      </c>
      <c r="D35169" s="7">
        <v>1.1599999999999999</v>
      </c>
      <c r="E35169" t="s">
        <v>31</v>
      </c>
    </row>
    <row r="35170" spans="1:5" x14ac:dyDescent="0.25">
      <c r="A35170" t="str">
        <f>HYPERLINK("https://www.773grp.com/globalSearch/MC74LVX132MG/page-1", "MC74LVX132MG")</f>
        <v>MC74LVX132MG</v>
      </c>
      <c r="B35170" s="3" t="s">
        <v>95</v>
      </c>
      <c r="C35170" s="6">
        <v>1550</v>
      </c>
      <c r="D35170" s="7">
        <v>1.1599999999999999</v>
      </c>
      <c r="E35170" t="s">
        <v>31</v>
      </c>
    </row>
    <row r="35171" spans="1:5" x14ac:dyDescent="0.25">
      <c r="A35171" t="str">
        <f>HYPERLINK("https://www.773grp.com/globalSearch/MC74LVX240DWR/page-1", "MC74LVX240DWR")</f>
        <v>MC74LVX240DWR</v>
      </c>
      <c r="B35171" s="3" t="s">
        <v>95</v>
      </c>
      <c r="C35171" s="6">
        <v>1000</v>
      </c>
      <c r="D35171" s="7">
        <v>1.1599999999999999</v>
      </c>
    </row>
    <row r="35172" spans="1:5" x14ac:dyDescent="0.25">
      <c r="A35172" t="str">
        <f>HYPERLINK("https://www.773grp.com/globalSearch/MC74LVX240DWR2G/page-1", "MC74LVX240DWR2G")</f>
        <v>MC74LVX240DWR2G</v>
      </c>
      <c r="B35172" s="3" t="s">
        <v>95</v>
      </c>
      <c r="C35172" s="6">
        <v>22498</v>
      </c>
      <c r="D35172" s="7">
        <v>1.1599999999999999</v>
      </c>
      <c r="E35172" t="s">
        <v>14</v>
      </c>
    </row>
    <row r="35173" spans="1:5" x14ac:dyDescent="0.25">
      <c r="A35173" t="str">
        <f>HYPERLINK("https://www.773grp.com/globalSearch/MC74LVX244DWR2G/page-1", "MC74LVX244DWR2G")</f>
        <v>MC74LVX244DWR2G</v>
      </c>
      <c r="B35173" s="3" t="s">
        <v>95</v>
      </c>
      <c r="C35173" s="6">
        <v>17383</v>
      </c>
      <c r="D35173" s="7">
        <v>1.1599999999999999</v>
      </c>
      <c r="E35173" t="s">
        <v>14</v>
      </c>
    </row>
    <row r="35174" spans="1:5" x14ac:dyDescent="0.25">
      <c r="A35174" t="str">
        <f>HYPERLINK("https://www.773grp.com/globalSearch/MC74LVX245DWR2G/page-1", "MC74LVX245DWR2G")</f>
        <v>MC74LVX245DWR2G</v>
      </c>
      <c r="B35174" s="3" t="s">
        <v>95</v>
      </c>
      <c r="C35174" s="6">
        <v>39824</v>
      </c>
      <c r="D35174" s="7">
        <v>1.1599999999999999</v>
      </c>
      <c r="E35174" t="s">
        <v>14</v>
      </c>
    </row>
    <row r="35175" spans="1:5" x14ac:dyDescent="0.25">
      <c r="A35175" t="str">
        <f>HYPERLINK("https://www.773grp.com/globalSearch/MC74LVX573DWR2G/page-1", "MC74LVX573DWR2G")</f>
        <v>MC74LVX573DWR2G</v>
      </c>
      <c r="B35175" s="3" t="s">
        <v>95</v>
      </c>
      <c r="C35175" s="6">
        <v>9000</v>
      </c>
      <c r="D35175" s="7">
        <v>1.1599999999999999</v>
      </c>
    </row>
    <row r="35176" spans="1:5" x14ac:dyDescent="0.25">
      <c r="A35176" t="str">
        <f>HYPERLINK("https://www.773grp.com/globalSearch/MC74LVX574DWR2G/page-1", "MC74LVX574DWR2G")</f>
        <v>MC74LVX574DWR2G</v>
      </c>
      <c r="B35176" s="3" t="s">
        <v>95</v>
      </c>
      <c r="C35176" s="6">
        <v>10540</v>
      </c>
      <c r="D35176" s="7">
        <v>1.1599999999999999</v>
      </c>
      <c r="E35176" t="s">
        <v>14</v>
      </c>
    </row>
    <row r="35177" spans="1:5" x14ac:dyDescent="0.25">
      <c r="A35177" t="str">
        <f>HYPERLINK("https://www.773grp.com/globalSearch/MC74VHC125MEL/page-1", "MC74VHC125MEL")</f>
        <v>MC74VHC125MEL</v>
      </c>
      <c r="B35177" s="3" t="s">
        <v>95</v>
      </c>
      <c r="C35177" s="6">
        <v>2000</v>
      </c>
      <c r="D35177" s="7">
        <v>1.1599999999999999</v>
      </c>
      <c r="E35177" t="s">
        <v>14</v>
      </c>
    </row>
    <row r="35178" spans="1:5" x14ac:dyDescent="0.25">
      <c r="A35178" t="str">
        <f>HYPERLINK("https://www.773grp.com/globalSearch/MC74VHC125MELG/page-1", "MC74VHC125MELG")</f>
        <v>MC74VHC125MELG</v>
      </c>
      <c r="B35178" s="3" t="s">
        <v>95</v>
      </c>
      <c r="C35178" s="6">
        <v>46000</v>
      </c>
      <c r="D35178" s="7">
        <v>1.1599999999999999</v>
      </c>
      <c r="E35178" t="s">
        <v>14</v>
      </c>
    </row>
    <row r="35179" spans="1:5" x14ac:dyDescent="0.25">
      <c r="A35179" t="str">
        <f>HYPERLINK("https://www.773grp.com/globalSearch/MC74VHC132MELG/page-1", "MC74VHC132MELG")</f>
        <v>MC74VHC132MELG</v>
      </c>
      <c r="B35179" s="3" t="s">
        <v>95</v>
      </c>
      <c r="C35179" s="6">
        <v>31978</v>
      </c>
      <c r="D35179" s="7">
        <v>1.1599999999999999</v>
      </c>
      <c r="E35179" t="s">
        <v>31</v>
      </c>
    </row>
    <row r="35180" spans="1:5" x14ac:dyDescent="0.25">
      <c r="A35180" t="str">
        <f>HYPERLINK("https://www.773grp.com/globalSearch/MC74VHCT125AMELG/page-1", "MC74VHCT125AMELG")</f>
        <v>MC74VHCT125AMELG</v>
      </c>
      <c r="B35180" s="3" t="s">
        <v>95</v>
      </c>
      <c r="C35180" s="6">
        <v>22000</v>
      </c>
      <c r="D35180" s="7">
        <v>1.1599999999999999</v>
      </c>
      <c r="E35180" t="s">
        <v>14</v>
      </c>
    </row>
    <row r="35181" spans="1:5" x14ac:dyDescent="0.25">
      <c r="A35181" t="str">
        <f>HYPERLINK("https://www.773grp.com/globalSearch/MC74VHCT126AMG/page-1", "MC74VHCT126AMG")</f>
        <v>MC74VHCT126AMG</v>
      </c>
      <c r="B35181" s="3" t="s">
        <v>95</v>
      </c>
      <c r="C35181" s="6">
        <v>24750</v>
      </c>
      <c r="D35181" s="7">
        <v>1.1599999999999999</v>
      </c>
      <c r="E35181" t="s">
        <v>14</v>
      </c>
    </row>
    <row r="35182" spans="1:5" x14ac:dyDescent="0.25">
      <c r="A35182" t="str">
        <f>HYPERLINK("https://www.773grp.com/globalSearch/MC74VHCT373ADW/page-1", "MC74VHCT373ADW")</f>
        <v>MC74VHCT373ADW</v>
      </c>
      <c r="B35182" s="3" t="s">
        <v>95</v>
      </c>
      <c r="C35182" s="6">
        <v>3990</v>
      </c>
      <c r="D35182" s="7">
        <v>1.1599999999999999</v>
      </c>
      <c r="E35182" t="s">
        <v>14</v>
      </c>
    </row>
    <row r="35183" spans="1:5" x14ac:dyDescent="0.25">
      <c r="A35183" t="str">
        <f>HYPERLINK("https://www.773grp.com/globalSearch/MC74VHCT50AMELG/page-1", "MC74VHCT50AMELG")</f>
        <v>MC74VHCT50AMELG</v>
      </c>
      <c r="B35183" s="3" t="s">
        <v>95</v>
      </c>
      <c r="C35183" s="6">
        <v>52000</v>
      </c>
      <c r="D35183" s="7">
        <v>1.1599999999999999</v>
      </c>
      <c r="E35183" t="s">
        <v>31</v>
      </c>
    </row>
    <row r="35184" spans="1:5" x14ac:dyDescent="0.25">
      <c r="A35184" t="str">
        <f>HYPERLINK("https://www.773grp.com/globalSearch/MC74VHCT50AMG/page-1", "MC74VHCT50AMG")</f>
        <v>MC74VHCT50AMG</v>
      </c>
      <c r="B35184" s="3" t="s">
        <v>95</v>
      </c>
      <c r="C35184" s="6">
        <v>28270</v>
      </c>
      <c r="D35184" s="7">
        <v>1.1599999999999999</v>
      </c>
      <c r="E35184" t="s">
        <v>31</v>
      </c>
    </row>
    <row r="35185" spans="1:5" x14ac:dyDescent="0.25">
      <c r="A35185" t="str">
        <f>HYPERLINK("https://www.773grp.com/globalSearch/MJD127T4/page-1", "MJD127T4")</f>
        <v>MJD127T4</v>
      </c>
      <c r="B35185" s="3" t="s">
        <v>95</v>
      </c>
      <c r="C35185" s="6">
        <v>2500</v>
      </c>
      <c r="D35185" s="7">
        <v>1.1599999999999999</v>
      </c>
      <c r="E35185" t="s">
        <v>59</v>
      </c>
    </row>
    <row r="35186" spans="1:5" x14ac:dyDescent="0.25">
      <c r="A35186" t="str">
        <f>HYPERLINK("https://www.773grp.com/globalSearch/MJD44H11/page-1", "MJD44H11")</f>
        <v>MJD44H11</v>
      </c>
      <c r="B35186" s="3" t="s">
        <v>95</v>
      </c>
      <c r="C35186" s="6">
        <v>5800</v>
      </c>
      <c r="D35186" s="7">
        <v>1.1599999999999999</v>
      </c>
    </row>
    <row r="35187" spans="1:5" x14ac:dyDescent="0.25">
      <c r="A35187" t="str">
        <f>HYPERLINK("https://www.773grp.com/globalSearch/MJD44H11G/page-1", "MJD44H11G")</f>
        <v>MJD44H11G</v>
      </c>
      <c r="B35187" s="3" t="s">
        <v>95</v>
      </c>
      <c r="C35187" s="6">
        <v>6619</v>
      </c>
      <c r="D35187" s="7">
        <v>1.1599999999999999</v>
      </c>
      <c r="E35187" t="s">
        <v>59</v>
      </c>
    </row>
    <row r="35188" spans="1:5" x14ac:dyDescent="0.25">
      <c r="A35188" t="str">
        <f>HYPERLINK("https://www.773grp.com/globalSearch/MJD44H11T4G/page-1", "MJD44H11T4G")</f>
        <v>MJD44H11T4G</v>
      </c>
      <c r="B35188" s="3" t="s">
        <v>95</v>
      </c>
      <c r="C35188" s="6">
        <v>10000</v>
      </c>
      <c r="D35188" s="7">
        <v>1.1599999999999999</v>
      </c>
    </row>
    <row r="35189" spans="1:5" x14ac:dyDescent="0.25">
      <c r="A35189" t="str">
        <f>HYPERLINK("https://www.773grp.com/globalSearch/MJD44H11T5G/page-1", "MJD44H11T5G")</f>
        <v>MJD44H11T5G</v>
      </c>
      <c r="B35189" s="3" t="s">
        <v>95</v>
      </c>
      <c r="C35189" s="6">
        <v>2500</v>
      </c>
      <c r="D35189" s="7">
        <v>1.1599999999999999</v>
      </c>
    </row>
    <row r="35190" spans="1:5" x14ac:dyDescent="0.25">
      <c r="A35190" t="str">
        <f>HYPERLINK("https://www.773grp.com/globalSearch/MJD45H11RL/page-1", "MJD45H11RL")</f>
        <v>MJD45H11RL</v>
      </c>
      <c r="B35190" s="3" t="s">
        <v>95</v>
      </c>
      <c r="C35190" s="6">
        <v>7200</v>
      </c>
      <c r="D35190" s="7">
        <v>1.1599999999999999</v>
      </c>
    </row>
    <row r="35191" spans="1:5" x14ac:dyDescent="0.25">
      <c r="A35191" t="str">
        <f>HYPERLINK("https://www.773grp.com/globalSearch/MJD45H11RLG/page-1", "MJD45H11RLG")</f>
        <v>MJD45H11RLG</v>
      </c>
      <c r="B35191" s="3" t="s">
        <v>95</v>
      </c>
      <c r="C35191" s="6">
        <v>3400</v>
      </c>
      <c r="D35191" s="7">
        <v>1.1599999999999999</v>
      </c>
    </row>
    <row r="35192" spans="1:5" x14ac:dyDescent="0.25">
      <c r="A35192" t="str">
        <f>HYPERLINK("https://www.773grp.com/globalSearch/MJE340/page-1", "MJE340")</f>
        <v>MJE340</v>
      </c>
      <c r="B35192" s="3" t="s">
        <v>95</v>
      </c>
      <c r="C35192" s="6">
        <v>3990</v>
      </c>
      <c r="D35192" s="7">
        <v>1.1599999999999999</v>
      </c>
      <c r="E35192" t="s">
        <v>59</v>
      </c>
    </row>
    <row r="35193" spans="1:5" x14ac:dyDescent="0.25">
      <c r="A35193" t="str">
        <f>HYPERLINK("https://www.773grp.com/globalSearch/MJE340G/page-1", "MJE340G")</f>
        <v>MJE340G</v>
      </c>
      <c r="B35193" s="3" t="s">
        <v>95</v>
      </c>
      <c r="C35193" s="6">
        <v>67000</v>
      </c>
      <c r="D35193" s="7">
        <v>1.1599999999999999</v>
      </c>
      <c r="E35193" t="s">
        <v>59</v>
      </c>
    </row>
    <row r="35194" spans="1:5" x14ac:dyDescent="0.25">
      <c r="A35194" t="str">
        <f>HYPERLINK("https://www.773grp.com/globalSearch/MKP1V120RLG/page-1", "MKP1V120RLG")</f>
        <v>MKP1V120RLG</v>
      </c>
      <c r="B35194" s="3" t="s">
        <v>95</v>
      </c>
      <c r="C35194" s="6">
        <v>5000</v>
      </c>
      <c r="D35194" s="7">
        <v>1.1599999999999999</v>
      </c>
      <c r="E35194" t="s">
        <v>111</v>
      </c>
    </row>
    <row r="35195" spans="1:5" x14ac:dyDescent="0.25">
      <c r="A35195" t="str">
        <f>HYPERLINK("https://www.773grp.com/globalSearch/MKP1V130RLG/page-1", "MKP1V130RLG")</f>
        <v>MKP1V130RLG</v>
      </c>
      <c r="B35195" s="3" t="s">
        <v>95</v>
      </c>
      <c r="C35195" s="6">
        <v>3414</v>
      </c>
      <c r="D35195" s="7">
        <v>1.1599999999999999</v>
      </c>
      <c r="E35195" t="s">
        <v>111</v>
      </c>
    </row>
    <row r="35196" spans="1:5" x14ac:dyDescent="0.25">
      <c r="A35196" t="str">
        <f>HYPERLINK("https://www.773grp.com/globalSearch/MKP1V240RLG/page-1", "MKP1V240RLG")</f>
        <v>MKP1V240RLG</v>
      </c>
      <c r="B35196" s="3" t="s">
        <v>95</v>
      </c>
      <c r="C35196" s="6">
        <v>5000</v>
      </c>
      <c r="D35196" s="7">
        <v>1.1599999999999999</v>
      </c>
    </row>
    <row r="35197" spans="1:5" x14ac:dyDescent="0.25">
      <c r="A35197" t="str">
        <f>HYPERLINK("https://www.773grp.com/globalSearch/MKP9V160RLG/page-1", "MKP9V160RLG")</f>
        <v>MKP9V160RLG</v>
      </c>
      <c r="B35197" s="3" t="s">
        <v>95</v>
      </c>
      <c r="C35197" s="6">
        <v>74875</v>
      </c>
      <c r="D35197" s="7">
        <v>1.1599999999999999</v>
      </c>
      <c r="E35197" t="s">
        <v>112</v>
      </c>
    </row>
    <row r="35198" spans="1:5" x14ac:dyDescent="0.25">
      <c r="A35198" t="str">
        <f>HYPERLINK("https://www.773grp.com/globalSearch/MMDF3N06VLR2/page-1", "MMDF3N06VLR2")</f>
        <v>MMDF3N06VLR2</v>
      </c>
      <c r="B35198" s="3" t="s">
        <v>95</v>
      </c>
      <c r="C35198" s="6">
        <v>118</v>
      </c>
      <c r="D35198" s="7">
        <v>1.1599999999999999</v>
      </c>
      <c r="E35198" t="s">
        <v>105</v>
      </c>
    </row>
    <row r="35199" spans="1:5" x14ac:dyDescent="0.25">
      <c r="A35199" t="str">
        <f>HYPERLINK("https://www.773grp.com/globalSearch/MMFT1N10ET1/page-1", "MMFT1N10ET1")</f>
        <v>MMFT1N10ET1</v>
      </c>
      <c r="B35199" s="3" t="s">
        <v>95</v>
      </c>
      <c r="C35199" s="6">
        <v>22155</v>
      </c>
      <c r="D35199" s="7">
        <v>1.1599999999999999</v>
      </c>
      <c r="E35199" t="s">
        <v>106</v>
      </c>
    </row>
    <row r="35200" spans="1:5" x14ac:dyDescent="0.25">
      <c r="A35200" t="str">
        <f>HYPERLINK("https://www.773grp.com/globalSearch/MMFT2N25ET3/page-1", "MMFT2N25ET3")</f>
        <v>MMFT2N25ET3</v>
      </c>
      <c r="B35200" s="3" t="s">
        <v>95</v>
      </c>
      <c r="C35200" s="6">
        <v>4000</v>
      </c>
      <c r="D35200" s="7">
        <v>1.1599999999999999</v>
      </c>
      <c r="E35200" t="s">
        <v>106</v>
      </c>
    </row>
    <row r="35201" spans="1:5" x14ac:dyDescent="0.25">
      <c r="A35201" t="str">
        <f>HYPERLINK("https://www.773grp.com/globalSearch/MTD20P03HDL1/page-1", "MTD20P03HDL1")</f>
        <v>MTD20P03HDL1</v>
      </c>
      <c r="B35201" s="3" t="s">
        <v>95</v>
      </c>
      <c r="C35201" s="6">
        <v>3334</v>
      </c>
      <c r="D35201" s="7">
        <v>1.1599999999999999</v>
      </c>
      <c r="E35201" t="s">
        <v>105</v>
      </c>
    </row>
    <row r="35202" spans="1:5" x14ac:dyDescent="0.25">
      <c r="A35202" t="str">
        <f>HYPERLINK("https://www.773grp.com/globalSearch/MTDF1C02HDR2/page-1", "MTDF1C02HDR2")</f>
        <v>MTDF1C02HDR2</v>
      </c>
      <c r="B35202" s="3" t="s">
        <v>95</v>
      </c>
      <c r="C35202" s="6">
        <v>3930</v>
      </c>
      <c r="D35202" s="7">
        <v>1.1599999999999999</v>
      </c>
      <c r="E35202" t="s">
        <v>106</v>
      </c>
    </row>
    <row r="35203" spans="1:5" x14ac:dyDescent="0.25">
      <c r="A35203" t="str">
        <f>HYPERLINK("https://www.773grp.com/globalSearch/NCP1050ST100T3/page-1", "NCP1050ST100T3")</f>
        <v>NCP1050ST100T3</v>
      </c>
      <c r="B35203" s="3" t="s">
        <v>95</v>
      </c>
      <c r="C35203" s="6">
        <v>28898</v>
      </c>
      <c r="D35203" s="7">
        <v>1.1599999999999999</v>
      </c>
      <c r="E35203" t="s">
        <v>7</v>
      </c>
    </row>
    <row r="35204" spans="1:5" x14ac:dyDescent="0.25">
      <c r="A35204" t="str">
        <f>HYPERLINK("https://www.773grp.com/globalSearch/NCP1050ST136T3/page-1", "NCP1050ST136T3")</f>
        <v>NCP1050ST136T3</v>
      </c>
      <c r="B35204" s="3" t="s">
        <v>95</v>
      </c>
      <c r="C35204" s="6">
        <v>99967</v>
      </c>
      <c r="D35204" s="7">
        <v>1.1599999999999999</v>
      </c>
      <c r="E35204" t="s">
        <v>7</v>
      </c>
    </row>
    <row r="35205" spans="1:5" x14ac:dyDescent="0.25">
      <c r="A35205" t="str">
        <f>HYPERLINK("https://www.773grp.com/globalSearch/NCP1051ST44T3/page-1", "NCP1051ST44T3")</f>
        <v>NCP1051ST44T3</v>
      </c>
      <c r="B35205" s="3" t="s">
        <v>95</v>
      </c>
      <c r="C35205" s="6">
        <v>7995</v>
      </c>
      <c r="D35205" s="7">
        <v>1.1599999999999999</v>
      </c>
      <c r="E35205" t="s">
        <v>7</v>
      </c>
    </row>
    <row r="35206" spans="1:5" x14ac:dyDescent="0.25">
      <c r="A35206" t="str">
        <f>HYPERLINK("https://www.773grp.com/globalSearch/NCP1052ST100T3/page-1", "NCP1052ST100T3")</f>
        <v>NCP1052ST100T3</v>
      </c>
      <c r="B35206" s="3" t="s">
        <v>95</v>
      </c>
      <c r="C35206" s="6">
        <v>7930</v>
      </c>
      <c r="D35206" s="7">
        <v>1.1599999999999999</v>
      </c>
      <c r="E35206" t="s">
        <v>7</v>
      </c>
    </row>
    <row r="35207" spans="1:5" x14ac:dyDescent="0.25">
      <c r="A35207" t="str">
        <f>HYPERLINK("https://www.773grp.com/globalSearch/NCP2809BMUTXG/page-1", "NCP2809BMUTXG")</f>
        <v>NCP2809BMUTXG</v>
      </c>
      <c r="B35207" s="3" t="s">
        <v>95</v>
      </c>
      <c r="C35207" s="6">
        <v>114000</v>
      </c>
      <c r="D35207" s="7">
        <v>1.1599999999999999</v>
      </c>
      <c r="E35207" t="s">
        <v>18</v>
      </c>
    </row>
    <row r="35208" spans="1:5" x14ac:dyDescent="0.25">
      <c r="A35208" t="str">
        <f>HYPERLINK("https://www.773grp.com/globalSearch/NCP349MNAETBG/page-1", "NCP349MNAETBG")</f>
        <v>NCP349MNAETBG</v>
      </c>
      <c r="B35208" s="3" t="s">
        <v>95</v>
      </c>
      <c r="C35208" s="6">
        <v>36000</v>
      </c>
      <c r="D35208" s="7">
        <v>1.1599999999999999</v>
      </c>
    </row>
    <row r="35209" spans="1:5" x14ac:dyDescent="0.25">
      <c r="A35209" t="str">
        <f>HYPERLINK("https://www.773grp.com/globalSearch/NCP382HD15AAR2G/page-1", "NCP382HD15AAR2G")</f>
        <v>NCP382HD15AAR2G</v>
      </c>
      <c r="B35209" s="3" t="s">
        <v>95</v>
      </c>
      <c r="C35209" s="6">
        <v>2500</v>
      </c>
      <c r="D35209" s="7">
        <v>1.1599999999999999</v>
      </c>
    </row>
    <row r="35210" spans="1:5" x14ac:dyDescent="0.25">
      <c r="A35210" t="str">
        <f>HYPERLINK("https://www.773grp.com/globalSearch/NCP382LD10AAR2G/page-1", "NCP382LD10AAR2G")</f>
        <v>NCP382LD10AAR2G</v>
      </c>
      <c r="B35210" s="3" t="s">
        <v>95</v>
      </c>
      <c r="C35210" s="6">
        <v>330323</v>
      </c>
      <c r="D35210" s="7">
        <v>1.1599999999999999</v>
      </c>
    </row>
    <row r="35211" spans="1:5" x14ac:dyDescent="0.25">
      <c r="A35211" t="str">
        <f>HYPERLINK("https://www.773grp.com/globalSearch/NCP382LD15AAR2G/page-1", "NCP382LD15AAR2G")</f>
        <v>NCP382LD15AAR2G</v>
      </c>
      <c r="B35211" s="3" t="s">
        <v>95</v>
      </c>
      <c r="C35211" s="6">
        <v>40000</v>
      </c>
      <c r="D35211" s="7">
        <v>1.1599999999999999</v>
      </c>
    </row>
    <row r="35212" spans="1:5" x14ac:dyDescent="0.25">
      <c r="A35212" t="str">
        <f>HYPERLINK("https://www.773grp.com/globalSearch/NCP4587DSN12T1G/page-1", "NCP4587DSN12T1G")</f>
        <v>NCP4587DSN12T1G</v>
      </c>
      <c r="B35212" s="3" t="s">
        <v>95</v>
      </c>
      <c r="C35212" s="6">
        <v>6000</v>
      </c>
      <c r="D35212" s="7">
        <v>1.1599999999999999</v>
      </c>
    </row>
    <row r="35213" spans="1:5" x14ac:dyDescent="0.25">
      <c r="A35213" t="str">
        <f>HYPERLINK("https://www.773grp.com/globalSearch/NCP4587DSN18T1G/page-1", "NCP4587DSN18T1G")</f>
        <v>NCP4587DSN18T1G</v>
      </c>
      <c r="B35213" s="3" t="s">
        <v>95</v>
      </c>
      <c r="C35213" s="6">
        <v>3000</v>
      </c>
      <c r="D35213" s="7">
        <v>1.1599999999999999</v>
      </c>
    </row>
    <row r="35214" spans="1:5" x14ac:dyDescent="0.25">
      <c r="A35214" t="str">
        <f>HYPERLINK("https://www.773grp.com/globalSearch/NCP4587DSN28T1G/page-1", "NCP4587DSN28T1G")</f>
        <v>NCP4587DSN28T1G</v>
      </c>
      <c r="B35214" s="3" t="s">
        <v>95</v>
      </c>
      <c r="C35214" s="6">
        <v>6000</v>
      </c>
      <c r="D35214" s="7">
        <v>1.1599999999999999</v>
      </c>
    </row>
    <row r="35215" spans="1:5" x14ac:dyDescent="0.25">
      <c r="A35215" t="str">
        <f>HYPERLINK("https://www.773grp.com/globalSearch/NCP4587DSN33T1G/page-1", "NCP4587DSN33T1G")</f>
        <v>NCP4587DSN33T1G</v>
      </c>
      <c r="B35215" s="3" t="s">
        <v>95</v>
      </c>
      <c r="C35215" s="6">
        <v>3000</v>
      </c>
      <c r="D35215" s="7">
        <v>1.1599999999999999</v>
      </c>
    </row>
    <row r="35216" spans="1:5" x14ac:dyDescent="0.25">
      <c r="A35216" t="str">
        <f>HYPERLINK("https://www.773grp.com/globalSearch/NCP4894DMR2G/page-1", "NCP4894DMR2G")</f>
        <v>NCP4894DMR2G</v>
      </c>
      <c r="B35216" s="3" t="s">
        <v>95</v>
      </c>
      <c r="C35216" s="6">
        <v>4000</v>
      </c>
      <c r="D35216" s="7">
        <v>1.1599999999999999</v>
      </c>
    </row>
    <row r="35217" spans="1:5" x14ac:dyDescent="0.25">
      <c r="A35217" t="str">
        <f>HYPERLINK("https://www.773grp.com/globalSearch/NCP4894FCT1G/page-1", "NCP4894FCT1G")</f>
        <v>NCP4894FCT1G</v>
      </c>
      <c r="B35217" s="3" t="s">
        <v>95</v>
      </c>
      <c r="C35217" s="6">
        <v>1471970</v>
      </c>
      <c r="D35217" s="7">
        <v>1.1599999999999999</v>
      </c>
      <c r="E35217" t="s">
        <v>18</v>
      </c>
    </row>
    <row r="35218" spans="1:5" x14ac:dyDescent="0.25">
      <c r="A35218" t="str">
        <f>HYPERLINK("https://www.773grp.com/globalSearch/NCP4894MNR2G/page-1", "NCP4894MNR2G")</f>
        <v>NCP4894MNR2G</v>
      </c>
      <c r="B35218" s="3" t="s">
        <v>95</v>
      </c>
      <c r="C35218" s="6">
        <v>68980</v>
      </c>
      <c r="D35218" s="7">
        <v>1.1599999999999999</v>
      </c>
      <c r="E35218" t="s">
        <v>18</v>
      </c>
    </row>
    <row r="35219" spans="1:5" x14ac:dyDescent="0.25">
      <c r="A35219" t="str">
        <f>HYPERLINK("https://www.773grp.com/globalSearch/NCP502SQ30T1G/page-1", "NCP502SQ30T1G")</f>
        <v>NCP502SQ30T1G</v>
      </c>
      <c r="B35219" s="3" t="s">
        <v>95</v>
      </c>
      <c r="C35219" s="6">
        <v>3000</v>
      </c>
      <c r="D35219" s="7">
        <v>1.1599999999999999</v>
      </c>
      <c r="E35219" t="s">
        <v>19</v>
      </c>
    </row>
    <row r="35220" spans="1:5" x14ac:dyDescent="0.25">
      <c r="A35220" t="str">
        <f>HYPERLINK("https://www.773grp.com/globalSearch/NCP5351DR2/page-1", "NCP5351DR2")</f>
        <v>NCP5351DR2</v>
      </c>
      <c r="B35220" s="3" t="s">
        <v>95</v>
      </c>
      <c r="C35220" s="6">
        <v>5000</v>
      </c>
      <c r="D35220" s="7">
        <v>1.1599999999999999</v>
      </c>
      <c r="E35220" t="s">
        <v>16</v>
      </c>
    </row>
    <row r="35221" spans="1:5" x14ac:dyDescent="0.25">
      <c r="A35221" t="str">
        <f>HYPERLINK("https://www.773grp.com/globalSearch/NCP5355D/page-1", "NCP5355D")</f>
        <v>NCP5355D</v>
      </c>
      <c r="B35221" s="3" t="s">
        <v>95</v>
      </c>
      <c r="C35221" s="6">
        <v>98</v>
      </c>
      <c r="D35221" s="7">
        <v>1.1599999999999999</v>
      </c>
      <c r="E35221" t="s">
        <v>16</v>
      </c>
    </row>
    <row r="35222" spans="1:5" x14ac:dyDescent="0.25">
      <c r="A35222" t="str">
        <f>HYPERLINK("https://www.773grp.com/globalSearch/NCP5355DR2/page-1", "NCP5355DR2")</f>
        <v>NCP5355DR2</v>
      </c>
      <c r="B35222" s="3" t="s">
        <v>95</v>
      </c>
      <c r="C35222" s="6">
        <v>748875</v>
      </c>
      <c r="D35222" s="7">
        <v>1.1599999999999999</v>
      </c>
      <c r="E35222" t="s">
        <v>16</v>
      </c>
    </row>
    <row r="35223" spans="1:5" x14ac:dyDescent="0.25">
      <c r="A35223" t="str">
        <f>HYPERLINK("https://www.773grp.com/globalSearch/NCS2001SQ1T1/page-1", "NCS2001SQ1T1")</f>
        <v>NCS2001SQ1T1</v>
      </c>
      <c r="B35223" s="3" t="s">
        <v>95</v>
      </c>
      <c r="C35223" s="6">
        <v>7000</v>
      </c>
      <c r="D35223" s="7">
        <v>1.1599999999999999</v>
      </c>
      <c r="E35223" t="s">
        <v>13</v>
      </c>
    </row>
    <row r="35224" spans="1:5" x14ac:dyDescent="0.25">
      <c r="A35224" t="str">
        <f>HYPERLINK("https://www.773grp.com/globalSearch/NCS2554DTBR2G/page-1", "NCS2554DTBR2G")</f>
        <v>NCS2554DTBR2G</v>
      </c>
      <c r="B35224" s="3" t="s">
        <v>95</v>
      </c>
      <c r="C35224" s="6">
        <v>2500</v>
      </c>
      <c r="D35224" s="7">
        <v>1.1599999999999999</v>
      </c>
      <c r="E35224" t="s">
        <v>23</v>
      </c>
    </row>
    <row r="35225" spans="1:5" x14ac:dyDescent="0.25">
      <c r="A35225" t="str">
        <f>HYPERLINK("https://www.773grp.com/globalSearch/NCV2931AZ-5.0G/page-1", "NCV2931AZ-5.0G")</f>
        <v>NCV2931AZ-5.0G</v>
      </c>
      <c r="B35225" s="3" t="s">
        <v>95</v>
      </c>
      <c r="C35225" s="6">
        <v>62000</v>
      </c>
      <c r="D35225" s="7">
        <v>1.1599999999999999</v>
      </c>
      <c r="E35225" t="s">
        <v>19</v>
      </c>
    </row>
    <row r="35226" spans="1:5" x14ac:dyDescent="0.25">
      <c r="A35226" t="str">
        <f>HYPERLINK("https://www.773grp.com/globalSearch/NCV2931AZ-5.0RAG/page-1", "NCV2931AZ-5.0RAG")</f>
        <v>NCV2931AZ-5.0RAG</v>
      </c>
      <c r="B35226" s="3" t="s">
        <v>95</v>
      </c>
      <c r="C35226" s="6">
        <v>2000</v>
      </c>
      <c r="D35226" s="7">
        <v>1.1599999999999999</v>
      </c>
    </row>
    <row r="35227" spans="1:5" x14ac:dyDescent="0.25">
      <c r="A35227" t="str">
        <f>HYPERLINK("https://www.773grp.com/globalSearch/NCV571MN08TBG/page-1", "NCV571MN08TBG")</f>
        <v>NCV571MN08TBG</v>
      </c>
      <c r="B35227" s="3" t="s">
        <v>95</v>
      </c>
      <c r="C35227" s="6">
        <v>9000</v>
      </c>
      <c r="D35227" s="7">
        <v>1.1599999999999999</v>
      </c>
    </row>
    <row r="35228" spans="1:5" x14ac:dyDescent="0.25">
      <c r="A35228" t="str">
        <f>HYPERLINK("https://www.773grp.com/globalSearch/NCV571MN09TBG/page-1", "NCV571MN09TBG")</f>
        <v>NCV571MN09TBG</v>
      </c>
      <c r="B35228" s="3" t="s">
        <v>95</v>
      </c>
      <c r="C35228" s="6">
        <v>18000</v>
      </c>
      <c r="D35228" s="7">
        <v>1.1599999999999999</v>
      </c>
      <c r="E35228" t="s">
        <v>19</v>
      </c>
    </row>
    <row r="35229" spans="1:5" x14ac:dyDescent="0.25">
      <c r="A35229" t="str">
        <f>HYPERLINK("https://www.773grp.com/globalSearch/NCV571MN10TBG/page-1", "NCV571MN10TBG")</f>
        <v>NCV571MN10TBG</v>
      </c>
      <c r="B35229" s="3" t="s">
        <v>95</v>
      </c>
      <c r="C35229" s="6">
        <v>9000</v>
      </c>
      <c r="D35229" s="7">
        <v>1.1599999999999999</v>
      </c>
    </row>
    <row r="35230" spans="1:5" x14ac:dyDescent="0.25">
      <c r="A35230" t="str">
        <f>HYPERLINK("https://www.773grp.com/globalSearch/NCV571MN12TBG/page-1", "NCV571MN12TBG")</f>
        <v>NCV571MN12TBG</v>
      </c>
      <c r="B35230" s="3" t="s">
        <v>95</v>
      </c>
      <c r="C35230" s="6">
        <v>9000</v>
      </c>
      <c r="D35230" s="7">
        <v>1.1599999999999999</v>
      </c>
    </row>
    <row r="35231" spans="1:5" x14ac:dyDescent="0.25">
      <c r="A35231" t="str">
        <f>HYPERLINK("https://www.773grp.com/globalSearch/NDF03N60ZG/page-1", "NDF03N60ZG")</f>
        <v>NDF03N60ZG</v>
      </c>
      <c r="B35231" s="3" t="s">
        <v>95</v>
      </c>
      <c r="C35231" s="6">
        <v>1472</v>
      </c>
      <c r="D35231" s="7">
        <v>1.1599999999999999</v>
      </c>
      <c r="E35231" t="s">
        <v>105</v>
      </c>
    </row>
    <row r="35232" spans="1:5" x14ac:dyDescent="0.25">
      <c r="A35232" t="str">
        <f>HYPERLINK("https://www.773grp.com/globalSearch/NLAS4052D/page-1", "NLAS4052D")</f>
        <v>NLAS4052D</v>
      </c>
      <c r="B35232" s="3" t="s">
        <v>95</v>
      </c>
      <c r="C35232" s="6">
        <v>480</v>
      </c>
      <c r="D35232" s="7">
        <v>1.1599999999999999</v>
      </c>
    </row>
    <row r="35233" spans="1:5" x14ac:dyDescent="0.25">
      <c r="A35233" t="str">
        <f>HYPERLINK("https://www.773grp.com/globalSearch/NLAS4052DR2/page-1", "NLAS4052DR2")</f>
        <v>NLAS4052DR2</v>
      </c>
      <c r="B35233" s="3" t="s">
        <v>95</v>
      </c>
      <c r="C35233" s="6">
        <v>56355</v>
      </c>
      <c r="D35233" s="7">
        <v>1.1599999999999999</v>
      </c>
      <c r="E35233" t="s">
        <v>56</v>
      </c>
    </row>
    <row r="35234" spans="1:5" x14ac:dyDescent="0.25">
      <c r="A35234" t="str">
        <f>HYPERLINK("https://www.773grp.com/globalSearch/NLAS4053QSR/page-1", "NLAS4053QSR")</f>
        <v>NLAS4053QSR</v>
      </c>
      <c r="B35234" s="3" t="s">
        <v>95</v>
      </c>
      <c r="C35234" s="6">
        <v>12500</v>
      </c>
      <c r="D35234" s="7">
        <v>1.1599999999999999</v>
      </c>
      <c r="E35234" t="s">
        <v>56</v>
      </c>
    </row>
    <row r="35235" spans="1:5" x14ac:dyDescent="0.25">
      <c r="A35235" t="str">
        <f>HYPERLINK("https://www.773grp.com/globalSearch/NLAST4051DR2/page-1", "NLAST4051DR2")</f>
        <v>NLAST4051DR2</v>
      </c>
      <c r="B35235" s="3" t="s">
        <v>95</v>
      </c>
      <c r="C35235" s="6">
        <v>30388</v>
      </c>
      <c r="D35235" s="7">
        <v>1.1599999999999999</v>
      </c>
      <c r="E35235" t="s">
        <v>56</v>
      </c>
    </row>
    <row r="35236" spans="1:5" x14ac:dyDescent="0.25">
      <c r="A35236" t="str">
        <f>HYPERLINK("https://www.773grp.com/globalSearch/NLAST4052DR2/page-1", "NLAST4052DR2")</f>
        <v>NLAST4052DR2</v>
      </c>
      <c r="B35236" s="3" t="s">
        <v>95</v>
      </c>
      <c r="C35236" s="6">
        <v>2175</v>
      </c>
      <c r="D35236" s="7">
        <v>1.1599999999999999</v>
      </c>
      <c r="E35236" t="s">
        <v>56</v>
      </c>
    </row>
    <row r="35237" spans="1:5" x14ac:dyDescent="0.25">
      <c r="A35237" t="str">
        <f>HYPERLINK("https://www.773grp.com/globalSearch/NLAST4053DR2/page-1", "NLAST4053DR2")</f>
        <v>NLAST4053DR2</v>
      </c>
      <c r="B35237" s="3" t="s">
        <v>95</v>
      </c>
      <c r="C35237" s="6">
        <v>51000</v>
      </c>
      <c r="D35237" s="7">
        <v>1.1599999999999999</v>
      </c>
      <c r="E35237" t="s">
        <v>56</v>
      </c>
    </row>
    <row r="35238" spans="1:5" x14ac:dyDescent="0.25">
      <c r="A35238" t="str">
        <f>HYPERLINK("https://www.773grp.com/globalSearch/NLAST4053QSR/page-1", "NLAST4053QSR")</f>
        <v>NLAST4053QSR</v>
      </c>
      <c r="B35238" s="3" t="s">
        <v>95</v>
      </c>
      <c r="C35238" s="6">
        <v>7500</v>
      </c>
      <c r="D35238" s="7">
        <v>1.1599999999999999</v>
      </c>
      <c r="E35238" t="s">
        <v>56</v>
      </c>
    </row>
    <row r="35239" spans="1:5" x14ac:dyDescent="0.25">
      <c r="A35239" t="str">
        <f>HYPERLINK("https://www.773grp.com/globalSearch/NLV14017BDG/page-1", "NLV14017BDG")</f>
        <v>NLV14017BDG</v>
      </c>
      <c r="B35239" s="3" t="s">
        <v>95</v>
      </c>
      <c r="C35239" s="6">
        <v>1478</v>
      </c>
      <c r="D35239" s="7">
        <v>1.1599999999999999</v>
      </c>
    </row>
    <row r="35240" spans="1:5" x14ac:dyDescent="0.25">
      <c r="A35240" t="str">
        <f>HYPERLINK("https://www.773grp.com/globalSearch/NLV14017BDR2G/page-1", "NLV14017BDR2G")</f>
        <v>NLV14017BDR2G</v>
      </c>
      <c r="B35240" s="3" t="s">
        <v>95</v>
      </c>
      <c r="C35240" s="6">
        <v>2160</v>
      </c>
      <c r="D35240" s="7">
        <v>1.1599999999999999</v>
      </c>
    </row>
    <row r="35241" spans="1:5" x14ac:dyDescent="0.25">
      <c r="A35241" t="str">
        <f>HYPERLINK("https://www.773grp.com/globalSearch/NLV14094BDG/page-1", "NLV14094BDG")</f>
        <v>NLV14094BDG</v>
      </c>
      <c r="B35241" s="3" t="s">
        <v>95</v>
      </c>
      <c r="C35241" s="6">
        <v>6091</v>
      </c>
      <c r="D35241" s="7">
        <v>1.1599999999999999</v>
      </c>
    </row>
    <row r="35242" spans="1:5" x14ac:dyDescent="0.25">
      <c r="A35242" t="str">
        <f>HYPERLINK("https://www.773grp.com/globalSearch/NLV14094BDR2G/page-1", "NLV14094BDR2G")</f>
        <v>NLV14094BDR2G</v>
      </c>
      <c r="B35242" s="3" t="s">
        <v>95</v>
      </c>
      <c r="C35242" s="6">
        <v>3345</v>
      </c>
      <c r="D35242" s="7">
        <v>1.1599999999999999</v>
      </c>
    </row>
    <row r="35243" spans="1:5" x14ac:dyDescent="0.25">
      <c r="A35243" t="str">
        <f>HYPERLINK("https://www.773grp.com/globalSearch/NLV14094BDTR2G/page-1", "NLV14094BDTR2G")</f>
        <v>NLV14094BDTR2G</v>
      </c>
      <c r="B35243" s="3" t="s">
        <v>95</v>
      </c>
      <c r="C35243" s="6">
        <v>1547</v>
      </c>
      <c r="D35243" s="7">
        <v>1.1599999999999999</v>
      </c>
    </row>
    <row r="35244" spans="1:5" x14ac:dyDescent="0.25">
      <c r="A35244" t="str">
        <f>HYPERLINK("https://www.773grp.com/globalSearch/NLV27WZ16DFT2G/page-1", "NLV27WZ16DFT2G")</f>
        <v>NLV27WZ16DFT2G</v>
      </c>
      <c r="B35244" s="3" t="s">
        <v>95</v>
      </c>
      <c r="C35244" s="6">
        <v>3000</v>
      </c>
      <c r="D35244" s="7">
        <v>1.1599999999999999</v>
      </c>
    </row>
    <row r="35245" spans="1:5" x14ac:dyDescent="0.25">
      <c r="A35245" t="str">
        <f>HYPERLINK("https://www.773grp.com/globalSearch/NP0640SCMCT3G/page-1", "NP0640SCMCT3G")</f>
        <v>NP0640SCMCT3G</v>
      </c>
      <c r="B35245" s="3" t="s">
        <v>95</v>
      </c>
      <c r="C35245" s="6">
        <v>175000</v>
      </c>
      <c r="D35245" s="7">
        <v>1.1599999999999999</v>
      </c>
      <c r="E35245" t="s">
        <v>109</v>
      </c>
    </row>
    <row r="35246" spans="1:5" x14ac:dyDescent="0.25">
      <c r="A35246" t="str">
        <f>HYPERLINK("https://www.773grp.com/globalSearch/NP0720SCMCT3G/page-1", "NP0720SCMCT3G")</f>
        <v>NP0720SCMCT3G</v>
      </c>
      <c r="B35246" s="3" t="s">
        <v>95</v>
      </c>
      <c r="C35246" s="6">
        <v>36</v>
      </c>
      <c r="D35246" s="7">
        <v>1.1599999999999999</v>
      </c>
    </row>
    <row r="35247" spans="1:5" x14ac:dyDescent="0.25">
      <c r="A35247" t="str">
        <f>HYPERLINK("https://www.773grp.com/globalSearch/NSS12500UW3T2G/page-1", "NSS12500UW3T2G")</f>
        <v>NSS12500UW3T2G</v>
      </c>
      <c r="B35247" s="3" t="s">
        <v>95</v>
      </c>
      <c r="C35247" s="6">
        <v>489000</v>
      </c>
      <c r="D35247" s="7">
        <v>1.1599999999999999</v>
      </c>
      <c r="E35247" t="s">
        <v>69</v>
      </c>
    </row>
    <row r="35248" spans="1:5" x14ac:dyDescent="0.25">
      <c r="A35248" t="str">
        <f>HYPERLINK("https://www.773grp.com/globalSearch/NSS12501UW3T2G/page-1", "NSS12501UW3T2G")</f>
        <v>NSS12501UW3T2G</v>
      </c>
      <c r="B35248" s="3" t="s">
        <v>95</v>
      </c>
      <c r="C35248" s="6">
        <v>318537</v>
      </c>
      <c r="D35248" s="7">
        <v>1.1599999999999999</v>
      </c>
      <c r="E35248" t="s">
        <v>69</v>
      </c>
    </row>
    <row r="35249" spans="1:5" x14ac:dyDescent="0.25">
      <c r="A35249" t="str">
        <f>HYPERLINK("https://www.773grp.com/globalSearch/NSS20500UW3T2G/page-1", "NSS20500UW3T2G")</f>
        <v>NSS20500UW3T2G</v>
      </c>
      <c r="B35249" s="3" t="s">
        <v>95</v>
      </c>
      <c r="C35249" s="6">
        <v>312000</v>
      </c>
      <c r="D35249" s="7">
        <v>1.1599999999999999</v>
      </c>
      <c r="E35249" t="s">
        <v>69</v>
      </c>
    </row>
    <row r="35250" spans="1:5" x14ac:dyDescent="0.25">
      <c r="A35250" t="str">
        <f>HYPERLINK("https://www.773grp.com/globalSearch/NSS20501UW3T2G/page-1", "NSS20501UW3T2G")</f>
        <v>NSS20501UW3T2G</v>
      </c>
      <c r="B35250" s="3" t="s">
        <v>95</v>
      </c>
      <c r="C35250" s="6">
        <v>249010</v>
      </c>
      <c r="D35250" s="7">
        <v>1.1599999999999999</v>
      </c>
      <c r="E35250" t="s">
        <v>69</v>
      </c>
    </row>
    <row r="35251" spans="1:5" x14ac:dyDescent="0.25">
      <c r="A35251" t="str">
        <f>HYPERLINK("https://www.773grp.com/globalSearch/NSS40501UW3T2G/page-1", "NSS40501UW3T2G")</f>
        <v>NSS40501UW3T2G</v>
      </c>
      <c r="B35251" s="3" t="s">
        <v>95</v>
      </c>
      <c r="C35251" s="6">
        <v>317950</v>
      </c>
      <c r="D35251" s="7">
        <v>1.1599999999999999</v>
      </c>
      <c r="E35251" t="s">
        <v>69</v>
      </c>
    </row>
    <row r="35252" spans="1:5" x14ac:dyDescent="0.25">
      <c r="A35252" t="str">
        <f>HYPERLINK("https://www.773grp.com/globalSearch/NTB30N06G/page-1", "NTB30N06G")</f>
        <v>NTB30N06G</v>
      </c>
      <c r="B35252" s="3" t="s">
        <v>95</v>
      </c>
      <c r="C35252" s="6">
        <v>100</v>
      </c>
      <c r="D35252" s="7">
        <v>1.1599999999999999</v>
      </c>
      <c r="E35252" t="s">
        <v>105</v>
      </c>
    </row>
    <row r="35253" spans="1:5" x14ac:dyDescent="0.25">
      <c r="A35253" t="str">
        <f>HYPERLINK("https://www.773grp.com/globalSearch/NTB30N06T4/page-1", "NTB30N06T4")</f>
        <v>NTB30N06T4</v>
      </c>
      <c r="B35253" s="3" t="s">
        <v>95</v>
      </c>
      <c r="C35253" s="6">
        <v>760</v>
      </c>
      <c r="D35253" s="7">
        <v>1.1599999999999999</v>
      </c>
      <c r="E35253" t="s">
        <v>105</v>
      </c>
    </row>
    <row r="35254" spans="1:5" x14ac:dyDescent="0.25">
      <c r="A35254" t="str">
        <f>HYPERLINK("https://www.773grp.com/globalSearch/NTD18N06T4G/page-1", "NTD18N06T4G")</f>
        <v>NTD18N06T4G</v>
      </c>
      <c r="B35254" s="3" t="s">
        <v>95</v>
      </c>
      <c r="C35254" s="6">
        <v>2500</v>
      </c>
      <c r="D35254" s="7">
        <v>1.1599999999999999</v>
      </c>
      <c r="E35254" t="s">
        <v>105</v>
      </c>
    </row>
    <row r="35255" spans="1:5" x14ac:dyDescent="0.25">
      <c r="A35255" t="str">
        <f>HYPERLINK("https://www.773grp.com/globalSearch/NTD20N03L27-1G/page-1", "NTD20N03L27-1G")</f>
        <v>NTD20N03L27-1G</v>
      </c>
      <c r="B35255" s="3" t="s">
        <v>95</v>
      </c>
      <c r="C35255" s="6">
        <v>23614</v>
      </c>
      <c r="D35255" s="7">
        <v>1.1599999999999999</v>
      </c>
      <c r="E35255" t="s">
        <v>105</v>
      </c>
    </row>
    <row r="35256" spans="1:5" x14ac:dyDescent="0.25">
      <c r="A35256" t="str">
        <f>HYPERLINK("https://www.773grp.com/globalSearch/NTD4805N-35G/page-1", "NTD4805N-35G")</f>
        <v>NTD4805N-35G</v>
      </c>
      <c r="B35256" s="3" t="s">
        <v>95</v>
      </c>
      <c r="C35256" s="6">
        <v>3950</v>
      </c>
      <c r="D35256" s="7">
        <v>1.1599999999999999</v>
      </c>
      <c r="E35256" t="s">
        <v>105</v>
      </c>
    </row>
    <row r="35257" spans="1:5" x14ac:dyDescent="0.25">
      <c r="A35257" t="str">
        <f>HYPERLINK("https://www.773grp.com/globalSearch/NTD4805NT4G/page-1", "NTD4805NT4G")</f>
        <v>NTD4805NT4G</v>
      </c>
      <c r="B35257" s="3" t="s">
        <v>95</v>
      </c>
      <c r="C35257" s="6">
        <v>397500</v>
      </c>
      <c r="D35257" s="7">
        <v>1.1599999999999999</v>
      </c>
      <c r="E35257" t="s">
        <v>105</v>
      </c>
    </row>
    <row r="35258" spans="1:5" x14ac:dyDescent="0.25">
      <c r="A35258" t="str">
        <f>HYPERLINK("https://www.773grp.com/globalSearch/NTD4856N-1G/page-1", "NTD4856N-1G")</f>
        <v>NTD4856N-1G</v>
      </c>
      <c r="B35258" s="3" t="s">
        <v>95</v>
      </c>
      <c r="C35258" s="6">
        <v>3150</v>
      </c>
      <c r="D35258" s="7">
        <v>1.1599999999999999</v>
      </c>
      <c r="E35258" t="s">
        <v>105</v>
      </c>
    </row>
    <row r="35259" spans="1:5" x14ac:dyDescent="0.25">
      <c r="A35259" t="str">
        <f>HYPERLINK("https://www.773grp.com/globalSearch/NTD4856N-35G/page-1", "NTD4856N-35G")</f>
        <v>NTD4856N-35G</v>
      </c>
      <c r="B35259" s="3" t="s">
        <v>95</v>
      </c>
      <c r="C35259" s="6">
        <v>2550</v>
      </c>
      <c r="D35259" s="7">
        <v>1.1599999999999999</v>
      </c>
      <c r="E35259" t="s">
        <v>105</v>
      </c>
    </row>
    <row r="35260" spans="1:5" x14ac:dyDescent="0.25">
      <c r="A35260" t="str">
        <f>HYPERLINK("https://www.773grp.com/globalSearch/NTD4860NT4G/page-1", "NTD4860NT4G")</f>
        <v>NTD4860NT4G</v>
      </c>
      <c r="B35260" s="3" t="s">
        <v>95</v>
      </c>
      <c r="C35260" s="6">
        <v>40660</v>
      </c>
      <c r="D35260" s="7">
        <v>1.1599999999999999</v>
      </c>
      <c r="E35260" t="s">
        <v>105</v>
      </c>
    </row>
    <row r="35261" spans="1:5" x14ac:dyDescent="0.25">
      <c r="A35261" t="str">
        <f>HYPERLINK("https://www.773grp.com/globalSearch/NTD4860NT4H/page-1", "NTD4860NT4H")</f>
        <v>NTD4860NT4H</v>
      </c>
      <c r="B35261" s="3" t="s">
        <v>95</v>
      </c>
      <c r="C35261" s="6">
        <v>12500</v>
      </c>
      <c r="D35261" s="7">
        <v>1.1599999999999999</v>
      </c>
    </row>
    <row r="35262" spans="1:5" x14ac:dyDescent="0.25">
      <c r="A35262" t="str">
        <f>HYPERLINK("https://www.773grp.com/globalSearch/NTGS3130NT1G/page-1", "NTGS3130NT1G")</f>
        <v>NTGS3130NT1G</v>
      </c>
      <c r="B35262" s="3" t="s">
        <v>95</v>
      </c>
      <c r="C35262" s="6">
        <v>19746</v>
      </c>
      <c r="D35262" s="7">
        <v>1.1599999999999999</v>
      </c>
      <c r="E35262" t="s">
        <v>106</v>
      </c>
    </row>
    <row r="35263" spans="1:5" x14ac:dyDescent="0.25">
      <c r="A35263" t="str">
        <f>HYPERLINK("https://www.773grp.com/globalSearch/NTMFS4744NT1G/page-1", "NTMFS4744NT1G")</f>
        <v>NTMFS4744NT1G</v>
      </c>
      <c r="B35263" s="3" t="s">
        <v>95</v>
      </c>
      <c r="C35263" s="6">
        <v>153685</v>
      </c>
      <c r="D35263" s="7">
        <v>1.1599999999999999</v>
      </c>
      <c r="E35263" t="s">
        <v>105</v>
      </c>
    </row>
    <row r="35264" spans="1:5" x14ac:dyDescent="0.25">
      <c r="A35264" t="str">
        <f>HYPERLINK("https://www.773grp.com/globalSearch/NTMFS4837NT1G/page-1", "NTMFS4837NT1G")</f>
        <v>NTMFS4837NT1G</v>
      </c>
      <c r="B35264" s="3" t="s">
        <v>95</v>
      </c>
      <c r="C35264" s="6">
        <v>219215</v>
      </c>
      <c r="D35264" s="7">
        <v>1.1599999999999999</v>
      </c>
      <c r="E35264" t="s">
        <v>105</v>
      </c>
    </row>
    <row r="35265" spans="1:5" x14ac:dyDescent="0.25">
      <c r="A35265" t="str">
        <f>HYPERLINK("https://www.773grp.com/globalSearch/NTMFS4936NT1G/page-1", "NTMFS4936NT1G")</f>
        <v>NTMFS4936NT1G</v>
      </c>
      <c r="B35265" s="3" t="s">
        <v>95</v>
      </c>
      <c r="C35265" s="6">
        <v>87000</v>
      </c>
      <c r="D35265" s="7">
        <v>1.1599999999999999</v>
      </c>
      <c r="E35265" t="s">
        <v>105</v>
      </c>
    </row>
    <row r="35266" spans="1:5" x14ac:dyDescent="0.25">
      <c r="A35266" t="str">
        <f>HYPERLINK("https://www.773grp.com/globalSearch/NTTS2P02R2G/page-1", "NTTS2P02R2G")</f>
        <v>NTTS2P02R2G</v>
      </c>
      <c r="B35266" s="3" t="s">
        <v>95</v>
      </c>
      <c r="C35266" s="6">
        <v>19960</v>
      </c>
      <c r="D35266" s="7">
        <v>1.1599999999999999</v>
      </c>
      <c r="E35266" t="s">
        <v>106</v>
      </c>
    </row>
    <row r="35267" spans="1:5" x14ac:dyDescent="0.25">
      <c r="A35267" t="str">
        <f>HYPERLINK("https://www.773grp.com/globalSearch/NVD5865NLT4G/page-1", "NVD5865NLT4G")</f>
        <v>NVD5865NLT4G</v>
      </c>
      <c r="B35267" s="3" t="s">
        <v>95</v>
      </c>
      <c r="C35267" s="6">
        <v>10000</v>
      </c>
      <c r="D35267" s="7">
        <v>1.1599999999999999</v>
      </c>
    </row>
    <row r="35268" spans="1:5" x14ac:dyDescent="0.25">
      <c r="A35268" t="str">
        <f>HYPERLINK("https://www.773grp.com/globalSearch/P6SMB100AT3G/page-1", "P6SMB100AT3G")</f>
        <v>P6SMB100AT3G</v>
      </c>
      <c r="B35268" s="3" t="s">
        <v>95</v>
      </c>
      <c r="C35268" s="6">
        <v>20000</v>
      </c>
      <c r="D35268" s="7">
        <v>1.1599999999999999</v>
      </c>
    </row>
    <row r="35269" spans="1:5" x14ac:dyDescent="0.25">
      <c r="A35269" t="str">
        <f>HYPERLINK("https://www.773grp.com/globalSearch/P6SMB150AT3G/page-1", "P6SMB150AT3G")</f>
        <v>P6SMB150AT3G</v>
      </c>
      <c r="B35269" s="3" t="s">
        <v>95</v>
      </c>
      <c r="C35269" s="6">
        <v>2500</v>
      </c>
      <c r="D35269" s="7">
        <v>1.1599999999999999</v>
      </c>
    </row>
    <row r="35270" spans="1:5" x14ac:dyDescent="0.25">
      <c r="A35270" t="str">
        <f>HYPERLINK("https://www.773grp.com/globalSearch/P6SMB160AT3G/page-1", "P6SMB160AT3G")</f>
        <v>P6SMB160AT3G</v>
      </c>
      <c r="B35270" s="3" t="s">
        <v>95</v>
      </c>
      <c r="C35270" s="6">
        <v>80753</v>
      </c>
      <c r="D35270" s="7">
        <v>1.1599999999999999</v>
      </c>
      <c r="E35270" t="s">
        <v>96</v>
      </c>
    </row>
    <row r="35271" spans="1:5" x14ac:dyDescent="0.25">
      <c r="A35271" t="str">
        <f>HYPERLINK("https://www.773grp.com/globalSearch/P6SMB180AT3G/page-1", "P6SMB180AT3G")</f>
        <v>P6SMB180AT3G</v>
      </c>
      <c r="B35271" s="3" t="s">
        <v>95</v>
      </c>
      <c r="C35271" s="6">
        <v>15000</v>
      </c>
      <c r="D35271" s="7">
        <v>1.1599999999999999</v>
      </c>
      <c r="E35271" t="s">
        <v>96</v>
      </c>
    </row>
    <row r="35272" spans="1:5" x14ac:dyDescent="0.25">
      <c r="A35272" t="str">
        <f>HYPERLINK("https://www.773grp.com/globalSearch/P6SMB200AT3G/page-1", "P6SMB200AT3G")</f>
        <v>P6SMB200AT3G</v>
      </c>
      <c r="B35272" s="3" t="s">
        <v>95</v>
      </c>
      <c r="C35272" s="6">
        <v>15000</v>
      </c>
      <c r="D35272" s="7">
        <v>1.1599999999999999</v>
      </c>
    </row>
    <row r="35273" spans="1:5" x14ac:dyDescent="0.25">
      <c r="A35273" t="str">
        <f>HYPERLINK("https://www.773grp.com/globalSearch/P6SMB91AT3G/page-1", "P6SMB91AT3G")</f>
        <v>P6SMB91AT3G</v>
      </c>
      <c r="B35273" s="3" t="s">
        <v>95</v>
      </c>
      <c r="C35273" s="6">
        <v>12500</v>
      </c>
      <c r="D35273" s="7">
        <v>1.1599999999999999</v>
      </c>
      <c r="E35273" t="s">
        <v>96</v>
      </c>
    </row>
    <row r="35274" spans="1:5" x14ac:dyDescent="0.25">
      <c r="A35274" t="str">
        <f>HYPERLINK("https://www.773grp.com/globalSearch/SC2903VDR2/page-1", "SC2903VDR2")</f>
        <v>SC2903VDR2</v>
      </c>
      <c r="B35274" s="3" t="s">
        <v>95</v>
      </c>
      <c r="C35274" s="6">
        <v>4110</v>
      </c>
      <c r="D35274" s="7">
        <v>1.1599999999999999</v>
      </c>
    </row>
    <row r="35275" spans="1:5" x14ac:dyDescent="0.25">
      <c r="A35275" t="str">
        <f>HYPERLINK("https://www.773grp.com/globalSearch/SC324ADR2G/page-1", "SC324ADR2G")</f>
        <v>SC324ADR2G</v>
      </c>
      <c r="B35275" s="3" t="s">
        <v>95</v>
      </c>
      <c r="C35275" s="6">
        <v>836</v>
      </c>
      <c r="D35275" s="7">
        <v>1.1599999999999999</v>
      </c>
    </row>
    <row r="35276" spans="1:5" x14ac:dyDescent="0.25">
      <c r="A35276" t="str">
        <f>HYPERLINK("https://www.773grp.com/globalSearch/SJE5331LFVE/page-1", "SJE5331LFVE")</f>
        <v>SJE5331LFVE</v>
      </c>
      <c r="B35276" s="3" t="s">
        <v>95</v>
      </c>
      <c r="C35276" s="6">
        <v>59950</v>
      </c>
      <c r="D35276" s="7">
        <v>1.1599999999999999</v>
      </c>
    </row>
    <row r="35277" spans="1:5" x14ac:dyDescent="0.25">
      <c r="A35277" t="str">
        <f>HYPERLINK("https://www.773grp.com/globalSearch/SJE5332LFVE/page-1", "SJE5332LFVE")</f>
        <v>SJE5332LFVE</v>
      </c>
      <c r="B35277" s="3" t="s">
        <v>95</v>
      </c>
      <c r="C35277" s="6">
        <v>11045</v>
      </c>
      <c r="D35277" s="7">
        <v>1.1599999999999999</v>
      </c>
    </row>
    <row r="35278" spans="1:5" x14ac:dyDescent="0.25">
      <c r="A35278" t="str">
        <f>HYPERLINK("https://www.773grp.com/globalSearch/SN74LS193N/page-1", "SN74LS193N")</f>
        <v>SN74LS193N</v>
      </c>
      <c r="B35278" s="3" t="s">
        <v>95</v>
      </c>
      <c r="C35278" s="6">
        <v>5095</v>
      </c>
      <c r="D35278" s="7">
        <v>1.1599999999999999</v>
      </c>
      <c r="E35278" t="s">
        <v>26</v>
      </c>
    </row>
    <row r="35279" spans="1:5" x14ac:dyDescent="0.25">
      <c r="A35279" t="str">
        <f>HYPERLINK("https://www.773grp.com/globalSearch/TE02454/page-1", "TE02454")</f>
        <v>TE02454</v>
      </c>
      <c r="B35279" s="3" t="s">
        <v>95</v>
      </c>
      <c r="C35279" s="6">
        <v>1020</v>
      </c>
      <c r="D35279" s="7">
        <v>1.1599999999999999</v>
      </c>
    </row>
    <row r="35280" spans="1:5" x14ac:dyDescent="0.25">
      <c r="A35280" t="str">
        <f>HYPERLINK("https://www.773grp.com/globalSearch/TIG065E8-TL-H/page-1", "TIG065E8-TL-H")</f>
        <v>TIG065E8-TL-H</v>
      </c>
      <c r="B35280" s="3" t="s">
        <v>95</v>
      </c>
      <c r="C35280" s="6">
        <v>96000</v>
      </c>
      <c r="D35280" s="7">
        <v>1.1599999999999999</v>
      </c>
    </row>
    <row r="35281" spans="1:5" x14ac:dyDescent="0.25">
      <c r="A35281" t="str">
        <f>HYPERLINK("https://www.773grp.com/globalSearch/TL594CDTBR2G/page-1", "TL594CDTBR2G")</f>
        <v>TL594CDTBR2G</v>
      </c>
      <c r="B35281" s="3" t="s">
        <v>95</v>
      </c>
      <c r="C35281" s="6">
        <v>69</v>
      </c>
      <c r="D35281" s="7">
        <v>1.1599999999999999</v>
      </c>
    </row>
    <row r="35282" spans="1:5" x14ac:dyDescent="0.25">
      <c r="A35282" t="str">
        <f>HYPERLINK("https://www.773grp.com/globalSearch/TR00278/page-1", "TR00278")</f>
        <v>TR00278</v>
      </c>
      <c r="B35282" s="3" t="s">
        <v>95</v>
      </c>
      <c r="C35282" s="6">
        <v>20000</v>
      </c>
      <c r="D35282" s="7">
        <v>1.1599999999999999</v>
      </c>
    </row>
    <row r="35283" spans="1:5" x14ac:dyDescent="0.25">
      <c r="A35283" t="str">
        <f>HYPERLINK("https://www.773grp.com/globalSearch/UC3843AD/page-1", "UC3843AD")</f>
        <v>UC3843AD</v>
      </c>
      <c r="B35283" s="3" t="s">
        <v>95</v>
      </c>
      <c r="C35283" s="6">
        <v>610</v>
      </c>
      <c r="D35283" s="7">
        <v>1.1599999999999999</v>
      </c>
      <c r="E35283" t="s">
        <v>7</v>
      </c>
    </row>
    <row r="35284" spans="1:5" x14ac:dyDescent="0.25">
      <c r="A35284" t="str">
        <f>HYPERLINK("https://www.773grp.com/globalSearch/UC3845D/page-1", "UC3845D")</f>
        <v>UC3845D</v>
      </c>
      <c r="B35284" s="3" t="s">
        <v>95</v>
      </c>
      <c r="C35284" s="6">
        <v>270</v>
      </c>
      <c r="D35284" s="7">
        <v>1.1599999999999999</v>
      </c>
      <c r="E35284" t="s">
        <v>7</v>
      </c>
    </row>
    <row r="35285" spans="1:5" x14ac:dyDescent="0.25">
      <c r="A35285" t="str">
        <f>HYPERLINK("https://www.773grp.com/globalSearch/XCY99008BR2/page-1", "XCY99008BR2")</f>
        <v>XCY99008BR2</v>
      </c>
      <c r="B35285" s="3" t="s">
        <v>95</v>
      </c>
      <c r="C35285" s="6">
        <v>35000</v>
      </c>
      <c r="D35285" s="7">
        <v>1.1599999999999999</v>
      </c>
    </row>
    <row r="35286" spans="1:5" x14ac:dyDescent="0.25">
      <c r="A35286" t="str">
        <f>HYPERLINK("https://www.773grp.com/globalSearch/2N5194G/page-1", "2N5194G")</f>
        <v>2N5194G</v>
      </c>
      <c r="B35286" s="3" t="s">
        <v>95</v>
      </c>
      <c r="C35286" s="6">
        <v>5485</v>
      </c>
      <c r="D35286" s="7">
        <v>1.21</v>
      </c>
      <c r="E35286" t="s">
        <v>59</v>
      </c>
    </row>
    <row r="35287" spans="1:5" x14ac:dyDescent="0.25">
      <c r="A35287" t="str">
        <f>HYPERLINK("https://www.773grp.com/globalSearch/2N5195G/page-1", "2N5195G")</f>
        <v>2N5195G</v>
      </c>
      <c r="B35287" s="3" t="s">
        <v>95</v>
      </c>
      <c r="C35287" s="6">
        <v>3893</v>
      </c>
      <c r="D35287" s="7">
        <v>1.21</v>
      </c>
      <c r="E35287" t="s">
        <v>59</v>
      </c>
    </row>
    <row r="35288" spans="1:5" x14ac:dyDescent="0.25">
      <c r="A35288" t="str">
        <f>HYPERLINK("https://www.773grp.com/globalSearch/2N6038G/page-1", "2N6038G")</f>
        <v>2N6038G</v>
      </c>
      <c r="B35288" s="3" t="s">
        <v>95</v>
      </c>
      <c r="C35288" s="6">
        <v>11033</v>
      </c>
      <c r="D35288" s="7">
        <v>1.21</v>
      </c>
      <c r="E35288" t="s">
        <v>59</v>
      </c>
    </row>
    <row r="35289" spans="1:5" x14ac:dyDescent="0.25">
      <c r="A35289" t="str">
        <f>HYPERLINK("https://www.773grp.com/globalSearch/2N6039/page-1", "2N6039")</f>
        <v>2N6039</v>
      </c>
      <c r="B35289" s="3" t="s">
        <v>95</v>
      </c>
      <c r="C35289" s="6">
        <v>3000</v>
      </c>
      <c r="D35289" s="7">
        <v>1.21</v>
      </c>
      <c r="E35289" t="s">
        <v>59</v>
      </c>
    </row>
    <row r="35290" spans="1:5" x14ac:dyDescent="0.25">
      <c r="A35290" t="str">
        <f>HYPERLINK("https://www.773grp.com/globalSearch/2N6039G/page-1", "2N6039G")</f>
        <v>2N6039G</v>
      </c>
      <c r="B35290" s="3" t="s">
        <v>95</v>
      </c>
      <c r="C35290" s="6">
        <v>26000</v>
      </c>
      <c r="D35290" s="7">
        <v>1.21</v>
      </c>
      <c r="E35290" t="s">
        <v>59</v>
      </c>
    </row>
    <row r="35291" spans="1:5" x14ac:dyDescent="0.25">
      <c r="A35291" t="str">
        <f>HYPERLINK("https://www.773grp.com/globalSearch/2SB1205T-TL-E/page-1", "2SB1205T-TL-E")</f>
        <v>2SB1205T-TL-E</v>
      </c>
      <c r="B35291" s="3" t="s">
        <v>95</v>
      </c>
      <c r="C35291" s="6">
        <v>2100</v>
      </c>
      <c r="D35291" s="7">
        <v>1.21</v>
      </c>
    </row>
    <row r="35292" spans="1:5" x14ac:dyDescent="0.25">
      <c r="A35292" t="str">
        <f>HYPERLINK("https://www.773grp.com/globalSearch/BD435G/page-1", "BD435G")</f>
        <v>BD435G</v>
      </c>
      <c r="B35292" s="3" t="s">
        <v>95</v>
      </c>
      <c r="C35292" s="6">
        <v>5600</v>
      </c>
      <c r="D35292" s="7">
        <v>1.21</v>
      </c>
      <c r="E35292" t="s">
        <v>59</v>
      </c>
    </row>
    <row r="35293" spans="1:5" x14ac:dyDescent="0.25">
      <c r="A35293" t="str">
        <f>HYPERLINK("https://www.773grp.com/globalSearch/BD437G/page-1", "BD437G")</f>
        <v>BD437G</v>
      </c>
      <c r="B35293" s="3" t="s">
        <v>95</v>
      </c>
      <c r="C35293" s="6">
        <v>2340</v>
      </c>
      <c r="D35293" s="7">
        <v>1.21</v>
      </c>
    </row>
    <row r="35294" spans="1:5" x14ac:dyDescent="0.25">
      <c r="A35294" t="str">
        <f>HYPERLINK("https://www.773grp.com/globalSearch/BD437TG/page-1", "BD437TG")</f>
        <v>BD437TG</v>
      </c>
      <c r="B35294" s="3" t="s">
        <v>95</v>
      </c>
      <c r="C35294" s="6">
        <v>6500</v>
      </c>
      <c r="D35294" s="7">
        <v>1.21</v>
      </c>
      <c r="E35294" t="s">
        <v>59</v>
      </c>
    </row>
    <row r="35295" spans="1:5" x14ac:dyDescent="0.25">
      <c r="A35295" t="str">
        <f>HYPERLINK("https://www.773grp.com/globalSearch/BD439G/page-1", "BD439G")</f>
        <v>BD439G</v>
      </c>
      <c r="B35295" s="3" t="s">
        <v>95</v>
      </c>
      <c r="C35295" s="6">
        <v>3500</v>
      </c>
      <c r="D35295" s="7">
        <v>1.21</v>
      </c>
      <c r="E35295" t="s">
        <v>59</v>
      </c>
    </row>
    <row r="35296" spans="1:5" x14ac:dyDescent="0.25">
      <c r="A35296" t="str">
        <f>HYPERLINK("https://www.773grp.com/globalSearch/BD441G/page-1", "BD441G")</f>
        <v>BD441G</v>
      </c>
      <c r="B35296" s="3" t="s">
        <v>95</v>
      </c>
      <c r="C35296" s="6">
        <v>500</v>
      </c>
      <c r="D35296" s="7">
        <v>1.21</v>
      </c>
    </row>
    <row r="35297" spans="1:5" x14ac:dyDescent="0.25">
      <c r="A35297" t="str">
        <f>HYPERLINK("https://www.773grp.com/globalSearch/BD442G/page-1", "BD442G")</f>
        <v>BD442G</v>
      </c>
      <c r="B35297" s="3" t="s">
        <v>95</v>
      </c>
      <c r="C35297" s="6">
        <v>4000</v>
      </c>
      <c r="D35297" s="7">
        <v>1.21</v>
      </c>
      <c r="E35297" t="s">
        <v>59</v>
      </c>
    </row>
    <row r="35298" spans="1:5" x14ac:dyDescent="0.25">
      <c r="A35298" t="str">
        <f>HYPERLINK("https://www.773grp.com/globalSearch/BD675AG/page-1", "BD675AG")</f>
        <v>BD675AG</v>
      </c>
      <c r="B35298" s="3" t="s">
        <v>95</v>
      </c>
      <c r="C35298" s="6">
        <v>3000</v>
      </c>
      <c r="D35298" s="7">
        <v>1.21</v>
      </c>
      <c r="E35298" t="s">
        <v>59</v>
      </c>
    </row>
    <row r="35299" spans="1:5" x14ac:dyDescent="0.25">
      <c r="A35299" t="str">
        <f>HYPERLINK("https://www.773grp.com/globalSearch/BD675G/page-1", "BD675G")</f>
        <v>BD675G</v>
      </c>
      <c r="B35299" s="3" t="s">
        <v>95</v>
      </c>
      <c r="C35299" s="6">
        <v>1630</v>
      </c>
      <c r="D35299" s="7">
        <v>1.21</v>
      </c>
      <c r="E35299" t="s">
        <v>59</v>
      </c>
    </row>
    <row r="35300" spans="1:5" x14ac:dyDescent="0.25">
      <c r="A35300" t="str">
        <f>HYPERLINK("https://www.773grp.com/globalSearch/BD677AG/page-1", "BD677AG")</f>
        <v>BD677AG</v>
      </c>
      <c r="B35300" s="3" t="s">
        <v>95</v>
      </c>
      <c r="C35300" s="6">
        <v>7693</v>
      </c>
      <c r="D35300" s="7">
        <v>1.21</v>
      </c>
      <c r="E35300" t="s">
        <v>59</v>
      </c>
    </row>
    <row r="35301" spans="1:5" x14ac:dyDescent="0.25">
      <c r="A35301" t="str">
        <f>HYPERLINK("https://www.773grp.com/globalSearch/BD677G/page-1", "BD677G")</f>
        <v>BD677G</v>
      </c>
      <c r="B35301" s="3" t="s">
        <v>95</v>
      </c>
      <c r="C35301" s="6">
        <v>2700</v>
      </c>
      <c r="D35301" s="7">
        <v>1.21</v>
      </c>
      <c r="E35301" t="s">
        <v>59</v>
      </c>
    </row>
    <row r="35302" spans="1:5" x14ac:dyDescent="0.25">
      <c r="A35302" t="str">
        <f>HYPERLINK("https://www.773grp.com/globalSearch/BD679AG/page-1", "BD679AG")</f>
        <v>BD679AG</v>
      </c>
      <c r="B35302" s="3" t="s">
        <v>95</v>
      </c>
      <c r="C35302" s="6">
        <v>3900</v>
      </c>
      <c r="D35302" s="7">
        <v>1.21</v>
      </c>
      <c r="E35302" t="s">
        <v>59</v>
      </c>
    </row>
    <row r="35303" spans="1:5" x14ac:dyDescent="0.25">
      <c r="A35303" t="str">
        <f>HYPERLINK("https://www.773grp.com/globalSearch/BD679G/page-1", "BD679G")</f>
        <v>BD679G</v>
      </c>
      <c r="B35303" s="3" t="s">
        <v>95</v>
      </c>
      <c r="C35303" s="6">
        <v>1172</v>
      </c>
      <c r="D35303" s="7">
        <v>1.21</v>
      </c>
    </row>
    <row r="35304" spans="1:5" x14ac:dyDescent="0.25">
      <c r="A35304" t="str">
        <f>HYPERLINK("https://www.773grp.com/globalSearch/BD681G/page-1", "BD681G")</f>
        <v>BD681G</v>
      </c>
      <c r="B35304" s="3" t="s">
        <v>95</v>
      </c>
      <c r="C35304" s="6">
        <v>7732</v>
      </c>
      <c r="D35304" s="7">
        <v>1.21</v>
      </c>
      <c r="E35304" t="s">
        <v>59</v>
      </c>
    </row>
    <row r="35305" spans="1:5" x14ac:dyDescent="0.25">
      <c r="A35305" t="str">
        <f>HYPERLINK("https://www.773grp.com/globalSearch/BU407G/page-1", "BU407G")</f>
        <v>BU407G</v>
      </c>
      <c r="B35305" s="3" t="s">
        <v>95</v>
      </c>
      <c r="C35305" s="6">
        <v>230</v>
      </c>
      <c r="D35305" s="7">
        <v>1.21</v>
      </c>
      <c r="E35305" t="s">
        <v>59</v>
      </c>
    </row>
    <row r="35306" spans="1:5" x14ac:dyDescent="0.25">
      <c r="A35306" t="str">
        <f>HYPERLINK("https://www.773grp.com/globalSearch/BUD42DG/page-1", "BUD42DG")</f>
        <v>BUD42DG</v>
      </c>
      <c r="B35306" s="3" t="s">
        <v>95</v>
      </c>
      <c r="C35306" s="6">
        <v>3000</v>
      </c>
      <c r="D35306" s="7">
        <v>1.21</v>
      </c>
      <c r="E35306" t="s">
        <v>59</v>
      </c>
    </row>
    <row r="35307" spans="1:5" x14ac:dyDescent="0.25">
      <c r="A35307" t="str">
        <f>HYPERLINK("https://www.773grp.com/globalSearch/CAT24C128LI-G/page-1", "CAT24C128LI-G")</f>
        <v>CAT24C128LI-G</v>
      </c>
      <c r="B35307" s="3" t="s">
        <v>95</v>
      </c>
      <c r="C35307" s="6">
        <v>1240</v>
      </c>
      <c r="D35307" s="7">
        <v>1.21</v>
      </c>
    </row>
    <row r="35308" spans="1:5" x14ac:dyDescent="0.25">
      <c r="A35308" t="str">
        <f>HYPERLINK("https://www.773grp.com/globalSearch/CAT25020VE-GT3/page-1", "CAT25020VE-GT3")</f>
        <v>CAT25020VE-GT3</v>
      </c>
      <c r="B35308" s="3" t="s">
        <v>95</v>
      </c>
      <c r="C35308" s="6">
        <v>15000</v>
      </c>
      <c r="D35308" s="7">
        <v>1.21</v>
      </c>
      <c r="E35308" t="s">
        <v>64</v>
      </c>
    </row>
    <row r="35309" spans="1:5" x14ac:dyDescent="0.25">
      <c r="A35309" t="str">
        <f>HYPERLINK("https://www.773grp.com/globalSearch/CAT25320VI-G/page-1", "CAT25320VI-G")</f>
        <v>CAT25320VI-G</v>
      </c>
      <c r="B35309" s="3" t="s">
        <v>95</v>
      </c>
      <c r="C35309" s="6">
        <v>14500</v>
      </c>
      <c r="D35309" s="7">
        <v>1.21</v>
      </c>
    </row>
    <row r="35310" spans="1:5" x14ac:dyDescent="0.25">
      <c r="A35310" t="str">
        <f>HYPERLINK("https://www.773grp.com/globalSearch/CAT25640LI-G/page-1", "CAT25640LI-G")</f>
        <v>CAT25640LI-G</v>
      </c>
      <c r="B35310" s="3" t="s">
        <v>95</v>
      </c>
      <c r="C35310" s="6">
        <v>400</v>
      </c>
      <c r="D35310" s="7">
        <v>1.21</v>
      </c>
    </row>
    <row r="35311" spans="1:5" x14ac:dyDescent="0.25">
      <c r="A35311" t="str">
        <f>HYPERLINK("https://www.773grp.com/globalSearch/CAT93C86L/page-1", "CAT93C86L")</f>
        <v>CAT93C86L</v>
      </c>
      <c r="B35311" s="3" t="s">
        <v>95</v>
      </c>
      <c r="C35311" s="6">
        <v>39</v>
      </c>
      <c r="D35311" s="7">
        <v>1.21</v>
      </c>
      <c r="E35311" t="s">
        <v>64</v>
      </c>
    </row>
    <row r="35312" spans="1:5" x14ac:dyDescent="0.25">
      <c r="A35312" t="str">
        <f>HYPERLINK("https://www.773grp.com/globalSearch/CAT93C86LI-G/page-1", "CAT93C86LI-G")</f>
        <v>CAT93C86LI-G</v>
      </c>
      <c r="B35312" s="3" t="s">
        <v>95</v>
      </c>
      <c r="C35312" s="6">
        <v>1700</v>
      </c>
      <c r="D35312" s="7">
        <v>1.21</v>
      </c>
    </row>
    <row r="35313" spans="1:5" x14ac:dyDescent="0.25">
      <c r="A35313" t="str">
        <f>HYPERLINK("https://www.773grp.com/globalSearch/CM1241-04D4/page-1", "CM1241-04D4")</f>
        <v>CM1241-04D4</v>
      </c>
      <c r="B35313" s="3" t="s">
        <v>95</v>
      </c>
      <c r="C35313" s="6">
        <v>5995</v>
      </c>
      <c r="D35313" s="7">
        <v>1.21</v>
      </c>
    </row>
    <row r="35314" spans="1:5" x14ac:dyDescent="0.25">
      <c r="A35314" t="str">
        <f>HYPERLINK("https://www.773grp.com/globalSearch/CM1405-03CP/page-1", "CM1405-03CP")</f>
        <v>CM1405-03CP</v>
      </c>
      <c r="B35314" s="3" t="s">
        <v>95</v>
      </c>
      <c r="C35314" s="6">
        <v>14000</v>
      </c>
      <c r="D35314" s="7">
        <v>1.21</v>
      </c>
      <c r="E35314" t="s">
        <v>100</v>
      </c>
    </row>
    <row r="35315" spans="1:5" x14ac:dyDescent="0.25">
      <c r="A35315" t="str">
        <f>HYPERLINK("https://www.773grp.com/globalSearch/CM1451-08CP/page-1", "CM1451-08CP")</f>
        <v>CM1451-08CP</v>
      </c>
      <c r="B35315" s="3" t="s">
        <v>95</v>
      </c>
      <c r="C35315" s="6">
        <v>45500</v>
      </c>
      <c r="D35315" s="7">
        <v>1.21</v>
      </c>
      <c r="E35315" t="s">
        <v>100</v>
      </c>
    </row>
    <row r="35316" spans="1:5" x14ac:dyDescent="0.25">
      <c r="A35316" t="str">
        <f>HYPERLINK("https://www.773grp.com/globalSearch/CM1451-08CP/page-1", "CM1451-08CP")</f>
        <v>CM1451-08CP</v>
      </c>
      <c r="B35316" s="3" t="s">
        <v>95</v>
      </c>
      <c r="C35316" s="6">
        <v>2500</v>
      </c>
      <c r="D35316" s="7">
        <v>1.21</v>
      </c>
      <c r="E35316" t="s">
        <v>100</v>
      </c>
    </row>
    <row r="35317" spans="1:5" x14ac:dyDescent="0.25">
      <c r="A35317" t="str">
        <f>HYPERLINK("https://www.773grp.com/globalSearch/ECH8653-TL-H/page-1", "ECH8653-TL-H")</f>
        <v>ECH8653-TL-H</v>
      </c>
      <c r="B35317" s="3" t="s">
        <v>95</v>
      </c>
      <c r="C35317" s="6">
        <v>3000</v>
      </c>
      <c r="D35317" s="7">
        <v>1.21</v>
      </c>
    </row>
    <row r="35318" spans="1:5" x14ac:dyDescent="0.25">
      <c r="A35318" t="str">
        <f>HYPERLINK("https://www.773grp.com/globalSearch/ECH8667-TL-H/page-1", "ECH8667-TL-H")</f>
        <v>ECH8667-TL-H</v>
      </c>
      <c r="B35318" s="3" t="s">
        <v>95</v>
      </c>
      <c r="C35318" s="6">
        <v>1500</v>
      </c>
      <c r="D35318" s="7">
        <v>1.21</v>
      </c>
    </row>
    <row r="35319" spans="1:5" x14ac:dyDescent="0.25">
      <c r="A35319" t="str">
        <f>HYPERLINK("https://www.773grp.com/globalSearch/ICTE-15RL4G/page-1", "ICTE-15RL4G")</f>
        <v>ICTE-15RL4G</v>
      </c>
      <c r="B35319" s="3" t="s">
        <v>95</v>
      </c>
      <c r="C35319" s="6">
        <v>4984</v>
      </c>
      <c r="D35319" s="7">
        <v>1.21</v>
      </c>
      <c r="E35319" t="s">
        <v>96</v>
      </c>
    </row>
    <row r="35320" spans="1:5" x14ac:dyDescent="0.25">
      <c r="A35320" t="str">
        <f>HYPERLINK("https://www.773grp.com/globalSearch/ICTE-18RL4G/page-1", "ICTE-18RL4G")</f>
        <v>ICTE-18RL4G</v>
      </c>
      <c r="B35320" s="3" t="s">
        <v>95</v>
      </c>
      <c r="C35320" s="6">
        <v>5330</v>
      </c>
      <c r="D35320" s="7">
        <v>1.21</v>
      </c>
      <c r="E35320" t="s">
        <v>96</v>
      </c>
    </row>
    <row r="35321" spans="1:5" x14ac:dyDescent="0.25">
      <c r="A35321" t="str">
        <f>HYPERLINK("https://www.773grp.com/globalSearch/ICTE-36RL4G/page-1", "ICTE-36RL4G")</f>
        <v>ICTE-36RL4G</v>
      </c>
      <c r="B35321" s="3" t="s">
        <v>95</v>
      </c>
      <c r="C35321" s="6">
        <v>4154</v>
      </c>
      <c r="D35321" s="7">
        <v>1.21</v>
      </c>
      <c r="E35321" t="s">
        <v>96</v>
      </c>
    </row>
    <row r="35322" spans="1:5" x14ac:dyDescent="0.25">
      <c r="A35322" t="str">
        <f>HYPERLINK("https://www.773grp.com/globalSearch/ICTE-5RL4G/page-1", "ICTE-5RL4G")</f>
        <v>ICTE-5RL4G</v>
      </c>
      <c r="B35322" s="3" t="s">
        <v>95</v>
      </c>
      <c r="C35322" s="6">
        <v>5000</v>
      </c>
      <c r="D35322" s="7">
        <v>1.21</v>
      </c>
      <c r="E35322" t="s">
        <v>96</v>
      </c>
    </row>
    <row r="35323" spans="1:5" x14ac:dyDescent="0.25">
      <c r="A35323" t="str">
        <f>HYPERLINK("https://www.773grp.com/globalSearch/LM2904ADMR2G/page-1", "LM2904ADMR2G")</f>
        <v>LM2904ADMR2G</v>
      </c>
      <c r="B35323" s="3" t="s">
        <v>95</v>
      </c>
      <c r="C35323" s="6">
        <v>299820</v>
      </c>
      <c r="D35323" s="7">
        <v>1.21</v>
      </c>
    </row>
    <row r="35324" spans="1:5" x14ac:dyDescent="0.25">
      <c r="A35324" t="str">
        <f>HYPERLINK("https://www.773grp.com/globalSearch/LM2904ANG/page-1", "LM2904ANG")</f>
        <v>LM2904ANG</v>
      </c>
      <c r="B35324" s="3" t="s">
        <v>95</v>
      </c>
      <c r="C35324" s="6">
        <v>20877</v>
      </c>
      <c r="D35324" s="7">
        <v>1.21</v>
      </c>
      <c r="E35324" t="s">
        <v>13</v>
      </c>
    </row>
    <row r="35325" spans="1:5" x14ac:dyDescent="0.25">
      <c r="A35325" t="str">
        <f>HYPERLINK("https://www.773grp.com/globalSearch/LM337T/page-1", "LM337T")</f>
        <v>LM337T</v>
      </c>
      <c r="B35325" s="3" t="s">
        <v>95</v>
      </c>
      <c r="C35325" s="6">
        <v>6412</v>
      </c>
      <c r="D35325" s="7">
        <v>1.21</v>
      </c>
      <c r="E35325" t="s">
        <v>37</v>
      </c>
    </row>
    <row r="35326" spans="1:5" x14ac:dyDescent="0.25">
      <c r="A35326" t="str">
        <f>HYPERLINK("https://www.773grp.com/globalSearch/LP2951CN-3.3G/page-1", "LP2951CN-3.3G")</f>
        <v>LP2951CN-3.3G</v>
      </c>
      <c r="B35326" s="3" t="s">
        <v>95</v>
      </c>
      <c r="C35326" s="6">
        <v>90601</v>
      </c>
      <c r="D35326" s="7">
        <v>1.21</v>
      </c>
      <c r="E35326" t="s">
        <v>27</v>
      </c>
    </row>
    <row r="35327" spans="1:5" x14ac:dyDescent="0.25">
      <c r="A35327" t="str">
        <f>HYPERLINK("https://www.773grp.com/globalSearch/LP2951CNG/page-1", "LP2951CNG")</f>
        <v>LP2951CNG</v>
      </c>
      <c r="B35327" s="3" t="s">
        <v>95</v>
      </c>
      <c r="C35327" s="6">
        <v>1759</v>
      </c>
      <c r="D35327" s="7">
        <v>1.21</v>
      </c>
      <c r="E35327" t="s">
        <v>27</v>
      </c>
    </row>
    <row r="35328" spans="1:5" x14ac:dyDescent="0.25">
      <c r="A35328" t="str">
        <f>HYPERLINK("https://www.773grp.com/globalSearch/MAC08BT1G/page-1", "MAC08BT1G")</f>
        <v>MAC08BT1G</v>
      </c>
      <c r="B35328" s="3" t="s">
        <v>95</v>
      </c>
      <c r="C35328" s="6">
        <v>2000</v>
      </c>
      <c r="D35328" s="7">
        <v>1.21</v>
      </c>
      <c r="E35328" t="s">
        <v>102</v>
      </c>
    </row>
    <row r="35329" spans="1:5" x14ac:dyDescent="0.25">
      <c r="A35329" t="str">
        <f>HYPERLINK("https://www.773grp.com/globalSearch/MAX809JTR/page-1", "MAX809JTR")</f>
        <v>MAX809JTR</v>
      </c>
      <c r="B35329" s="3" t="s">
        <v>95</v>
      </c>
      <c r="C35329" s="6">
        <v>2884</v>
      </c>
      <c r="D35329" s="7">
        <v>1.21</v>
      </c>
      <c r="E35329" t="s">
        <v>30</v>
      </c>
    </row>
    <row r="35330" spans="1:5" x14ac:dyDescent="0.25">
      <c r="A35330" t="str">
        <f>HYPERLINK("https://www.773grp.com/globalSearch/MBR2045CT/page-1", "MBR2045CT")</f>
        <v>MBR2045CT</v>
      </c>
      <c r="B35330" s="3" t="s">
        <v>95</v>
      </c>
      <c r="C35330" s="6">
        <v>100176</v>
      </c>
      <c r="D35330" s="7">
        <v>1.21</v>
      </c>
      <c r="E35330" t="s">
        <v>103</v>
      </c>
    </row>
    <row r="35331" spans="1:5" x14ac:dyDescent="0.25">
      <c r="A35331" t="str">
        <f>HYPERLINK("https://www.773grp.com/globalSearch/MBRD320G/page-1", "MBRD320G")</f>
        <v>MBRD320G</v>
      </c>
      <c r="B35331" s="3" t="s">
        <v>95</v>
      </c>
      <c r="C35331" s="6">
        <v>4445</v>
      </c>
      <c r="D35331" s="7">
        <v>1.21</v>
      </c>
      <c r="E35331" t="s">
        <v>103</v>
      </c>
    </row>
    <row r="35332" spans="1:5" x14ac:dyDescent="0.25">
      <c r="A35332" t="str">
        <f>HYPERLINK("https://www.773grp.com/globalSearch/MBRD320RLG/page-1", "MBRD320RLG")</f>
        <v>MBRD320RLG</v>
      </c>
      <c r="B35332" s="3" t="s">
        <v>95</v>
      </c>
      <c r="C35332" s="6">
        <v>1800</v>
      </c>
      <c r="D35332" s="7">
        <v>1.21</v>
      </c>
      <c r="E35332" t="s">
        <v>103</v>
      </c>
    </row>
    <row r="35333" spans="1:5" x14ac:dyDescent="0.25">
      <c r="A35333" t="str">
        <f>HYPERLINK("https://www.773grp.com/globalSearch/MBRD320T4G/page-1", "MBRD320T4G")</f>
        <v>MBRD320T4G</v>
      </c>
      <c r="B35333" s="3" t="s">
        <v>95</v>
      </c>
      <c r="C35333" s="6">
        <v>142276</v>
      </c>
      <c r="D35333" s="7">
        <v>1.21</v>
      </c>
      <c r="E35333" t="s">
        <v>103</v>
      </c>
    </row>
    <row r="35334" spans="1:5" x14ac:dyDescent="0.25">
      <c r="A35334" t="str">
        <f>HYPERLINK("https://www.773grp.com/globalSearch/MBRD330G/page-1", "MBRD330G")</f>
        <v>MBRD330G</v>
      </c>
      <c r="B35334" s="3" t="s">
        <v>95</v>
      </c>
      <c r="C35334" s="6">
        <v>11700</v>
      </c>
      <c r="D35334" s="7">
        <v>1.21</v>
      </c>
    </row>
    <row r="35335" spans="1:5" x14ac:dyDescent="0.25">
      <c r="A35335" t="str">
        <f>HYPERLINK("https://www.773grp.com/globalSearch/MBRD330RLG/page-1", "MBRD330RLG")</f>
        <v>MBRD330RLG</v>
      </c>
      <c r="B35335" s="3" t="s">
        <v>95</v>
      </c>
      <c r="C35335" s="6">
        <v>2641</v>
      </c>
      <c r="D35335" s="7">
        <v>1.21</v>
      </c>
      <c r="E35335" t="s">
        <v>103</v>
      </c>
    </row>
    <row r="35336" spans="1:5" x14ac:dyDescent="0.25">
      <c r="A35336" t="str">
        <f>HYPERLINK("https://www.773grp.com/globalSearch/MBRD330T4G/page-1", "MBRD330T4G")</f>
        <v>MBRD330T4G</v>
      </c>
      <c r="B35336" s="3" t="s">
        <v>95</v>
      </c>
      <c r="C35336" s="6">
        <v>17500</v>
      </c>
      <c r="D35336" s="7">
        <v>1.21</v>
      </c>
    </row>
    <row r="35337" spans="1:5" x14ac:dyDescent="0.25">
      <c r="A35337" t="str">
        <f>HYPERLINK("https://www.773grp.com/globalSearch/MBRD340G/page-1", "MBRD340G")</f>
        <v>MBRD340G</v>
      </c>
      <c r="B35337" s="3" t="s">
        <v>95</v>
      </c>
      <c r="C35337" s="6">
        <v>3209</v>
      </c>
      <c r="D35337" s="7">
        <v>1.21</v>
      </c>
      <c r="E35337" t="s">
        <v>103</v>
      </c>
    </row>
    <row r="35338" spans="1:5" x14ac:dyDescent="0.25">
      <c r="A35338" t="str">
        <f>HYPERLINK("https://www.773grp.com/globalSearch/MBRD340RLG/page-1", "MBRD340RLG")</f>
        <v>MBRD340RLG</v>
      </c>
      <c r="B35338" s="3" t="s">
        <v>95</v>
      </c>
      <c r="C35338" s="6">
        <v>9000</v>
      </c>
      <c r="D35338" s="7">
        <v>1.21</v>
      </c>
      <c r="E35338" t="s">
        <v>103</v>
      </c>
    </row>
    <row r="35339" spans="1:5" x14ac:dyDescent="0.25">
      <c r="A35339" t="str">
        <f>HYPERLINK("https://www.773grp.com/globalSearch/MBRD340T4G/page-1", "MBRD340T4G")</f>
        <v>MBRD340T4G</v>
      </c>
      <c r="B35339" s="3" t="s">
        <v>95</v>
      </c>
      <c r="C35339" s="6">
        <v>5241</v>
      </c>
      <c r="D35339" s="7">
        <v>1.21</v>
      </c>
      <c r="E35339" t="s">
        <v>103</v>
      </c>
    </row>
    <row r="35340" spans="1:5" x14ac:dyDescent="0.25">
      <c r="A35340" t="str">
        <f>HYPERLINK("https://www.773grp.com/globalSearch/MBRD350RLG/page-1", "MBRD350RLG")</f>
        <v>MBRD350RLG</v>
      </c>
      <c r="B35340" s="3" t="s">
        <v>95</v>
      </c>
      <c r="C35340" s="6">
        <v>3600</v>
      </c>
      <c r="D35340" s="7">
        <v>1.21</v>
      </c>
    </row>
    <row r="35341" spans="1:5" x14ac:dyDescent="0.25">
      <c r="A35341" t="str">
        <f>HYPERLINK("https://www.773grp.com/globalSearch/MBRD360G/page-1", "MBRD360G")</f>
        <v>MBRD360G</v>
      </c>
      <c r="B35341" s="3" t="s">
        <v>95</v>
      </c>
      <c r="C35341" s="6">
        <v>1200</v>
      </c>
      <c r="D35341" s="7">
        <v>1.21</v>
      </c>
    </row>
    <row r="35342" spans="1:5" x14ac:dyDescent="0.25">
      <c r="A35342" t="str">
        <f>HYPERLINK("https://www.773grp.com/globalSearch/MBRD360RLG/page-1", "MBRD360RLG")</f>
        <v>MBRD360RLG</v>
      </c>
      <c r="B35342" s="3" t="s">
        <v>95</v>
      </c>
      <c r="C35342" s="6">
        <v>9000</v>
      </c>
      <c r="D35342" s="7">
        <v>1.21</v>
      </c>
      <c r="E35342" t="s">
        <v>103</v>
      </c>
    </row>
    <row r="35343" spans="1:5" x14ac:dyDescent="0.25">
      <c r="A35343" t="str">
        <f>HYPERLINK("https://www.773grp.com/globalSearch/MBRD360T4G/page-1", "MBRD360T4G")</f>
        <v>MBRD360T4G</v>
      </c>
      <c r="B35343" s="3" t="s">
        <v>95</v>
      </c>
      <c r="C35343" s="6">
        <v>27000</v>
      </c>
      <c r="D35343" s="7">
        <v>1.21</v>
      </c>
    </row>
    <row r="35344" spans="1:5" x14ac:dyDescent="0.25">
      <c r="A35344" t="str">
        <f>HYPERLINK("https://www.773grp.com/globalSearch/MBRS3100T3G/page-1", "MBRS3100T3G")</f>
        <v>MBRS3100T3G</v>
      </c>
      <c r="B35344" s="3" t="s">
        <v>95</v>
      </c>
      <c r="C35344" s="6">
        <v>102360</v>
      </c>
      <c r="D35344" s="7">
        <v>1.21</v>
      </c>
      <c r="E35344" t="s">
        <v>103</v>
      </c>
    </row>
    <row r="35345" spans="1:5" x14ac:dyDescent="0.25">
      <c r="A35345" t="str">
        <f>HYPERLINK("https://www.773grp.com/globalSearch/MC14051BFG/page-1", "MC14051BFG")</f>
        <v>MC14051BFG</v>
      </c>
      <c r="B35345" s="3" t="s">
        <v>95</v>
      </c>
      <c r="C35345" s="6">
        <v>7760</v>
      </c>
      <c r="D35345" s="7">
        <v>1.21</v>
      </c>
      <c r="E35345" t="s">
        <v>56</v>
      </c>
    </row>
    <row r="35346" spans="1:5" x14ac:dyDescent="0.25">
      <c r="A35346" t="str">
        <f>HYPERLINK("https://www.773grp.com/globalSearch/MC14053BFG/page-1", "MC14053BFG")</f>
        <v>MC14053BFG</v>
      </c>
      <c r="B35346" s="3" t="s">
        <v>95</v>
      </c>
      <c r="C35346" s="6">
        <v>4992</v>
      </c>
      <c r="D35346" s="7">
        <v>1.21</v>
      </c>
      <c r="E35346" t="s">
        <v>56</v>
      </c>
    </row>
    <row r="35347" spans="1:5" x14ac:dyDescent="0.25">
      <c r="A35347" t="str">
        <f>HYPERLINK("https://www.773grp.com/globalSearch/MC1413D/page-1", "MC1413D")</f>
        <v>MC1413D</v>
      </c>
      <c r="B35347" s="3" t="s">
        <v>95</v>
      </c>
      <c r="C35347" s="6">
        <v>3743</v>
      </c>
      <c r="D35347" s="7">
        <v>1.21</v>
      </c>
      <c r="E35347" t="s">
        <v>59</v>
      </c>
    </row>
    <row r="35348" spans="1:5" x14ac:dyDescent="0.25">
      <c r="A35348" t="str">
        <f>HYPERLINK("https://www.773grp.com/globalSearch/MC1413DG/page-1", "MC1413DG")</f>
        <v>MC1413DG</v>
      </c>
      <c r="B35348" s="3" t="s">
        <v>95</v>
      </c>
      <c r="C35348" s="6">
        <v>1646</v>
      </c>
      <c r="D35348" s="7">
        <v>1.21</v>
      </c>
    </row>
    <row r="35349" spans="1:5" x14ac:dyDescent="0.25">
      <c r="A35349" t="str">
        <f>HYPERLINK("https://www.773grp.com/globalSearch/MC1413DR2/page-1", "MC1413DR2")</f>
        <v>MC1413DR2</v>
      </c>
      <c r="B35349" s="3" t="s">
        <v>95</v>
      </c>
      <c r="C35349" s="6">
        <v>11521</v>
      </c>
      <c r="D35349" s="7">
        <v>1.21</v>
      </c>
      <c r="E35349" t="s">
        <v>59</v>
      </c>
    </row>
    <row r="35350" spans="1:5" x14ac:dyDescent="0.25">
      <c r="A35350" t="str">
        <f>HYPERLINK("https://www.773grp.com/globalSearch/MC1413DR2G/page-1", "MC1413DR2G")</f>
        <v>MC1413DR2G</v>
      </c>
      <c r="B35350" s="3" t="s">
        <v>95</v>
      </c>
      <c r="C35350" s="6">
        <v>50839</v>
      </c>
      <c r="D35350" s="7">
        <v>1.21</v>
      </c>
      <c r="E35350" t="s">
        <v>59</v>
      </c>
    </row>
    <row r="35351" spans="1:5" x14ac:dyDescent="0.25">
      <c r="A35351" t="str">
        <f>HYPERLINK("https://www.773grp.com/globalSearch/MC14502BDW/page-1", "MC14502BDW")</f>
        <v>MC14502BDW</v>
      </c>
      <c r="B35351" s="3" t="s">
        <v>95</v>
      </c>
      <c r="C35351" s="6">
        <v>1928</v>
      </c>
      <c r="D35351" s="7">
        <v>1.21</v>
      </c>
      <c r="E35351" t="s">
        <v>14</v>
      </c>
    </row>
    <row r="35352" spans="1:5" x14ac:dyDescent="0.25">
      <c r="A35352" t="str">
        <f>HYPERLINK("https://www.773grp.com/globalSearch/MC14511BFG/page-1", "MC14511BFG")</f>
        <v>MC14511BFG</v>
      </c>
      <c r="B35352" s="3" t="s">
        <v>95</v>
      </c>
      <c r="C35352" s="6">
        <v>50</v>
      </c>
      <c r="D35352" s="7">
        <v>1.21</v>
      </c>
      <c r="E35352" t="s">
        <v>36</v>
      </c>
    </row>
    <row r="35353" spans="1:5" x14ac:dyDescent="0.25">
      <c r="A35353" t="str">
        <f>HYPERLINK("https://www.773grp.com/globalSearch/MC14585BCP/page-1", "MC14585BCP")</f>
        <v>MC14585BCP</v>
      </c>
      <c r="B35353" s="3" t="s">
        <v>95</v>
      </c>
      <c r="C35353" s="6">
        <v>1716</v>
      </c>
      <c r="D35353" s="7">
        <v>1.21</v>
      </c>
      <c r="E35353" t="s">
        <v>43</v>
      </c>
    </row>
    <row r="35354" spans="1:5" x14ac:dyDescent="0.25">
      <c r="A35354" t="str">
        <f>HYPERLINK("https://www.773grp.com/globalSearch/MC14585BCPG/page-1", "MC14585BCPG")</f>
        <v>MC14585BCPG</v>
      </c>
      <c r="B35354" s="3" t="s">
        <v>95</v>
      </c>
      <c r="C35354" s="6">
        <v>175</v>
      </c>
      <c r="D35354" s="7">
        <v>1.21</v>
      </c>
      <c r="E35354" t="s">
        <v>43</v>
      </c>
    </row>
    <row r="35355" spans="1:5" x14ac:dyDescent="0.25">
      <c r="A35355" t="str">
        <f>HYPERLINK("https://www.773grp.com/globalSearch/MC1489PG/page-1", "MC1489PG")</f>
        <v>MC1489PG</v>
      </c>
      <c r="B35355" s="3" t="s">
        <v>95</v>
      </c>
      <c r="C35355" s="6">
        <v>11121</v>
      </c>
      <c r="D35355" s="7">
        <v>1.21</v>
      </c>
      <c r="E35355" t="s">
        <v>21</v>
      </c>
    </row>
    <row r="35356" spans="1:5" x14ac:dyDescent="0.25">
      <c r="A35356" t="str">
        <f>HYPERLINK("https://www.773grp.com/globalSearch/MC1723BD/page-1", "MC1723BD")</f>
        <v>MC1723BD</v>
      </c>
      <c r="B35356" s="3" t="s">
        <v>95</v>
      </c>
      <c r="C35356" s="6">
        <v>4243</v>
      </c>
      <c r="D35356" s="7">
        <v>1.21</v>
      </c>
      <c r="E35356" t="s">
        <v>22</v>
      </c>
    </row>
    <row r="35357" spans="1:5" x14ac:dyDescent="0.25">
      <c r="A35357" t="str">
        <f>HYPERLINK("https://www.773grp.com/globalSearch/MC33077P/page-1", "MC33077P")</f>
        <v>MC33077P</v>
      </c>
      <c r="B35357" s="3" t="s">
        <v>95</v>
      </c>
      <c r="C35357" s="6">
        <v>4200</v>
      </c>
      <c r="D35357" s="7">
        <v>1.21</v>
      </c>
      <c r="E35357" t="s">
        <v>13</v>
      </c>
    </row>
    <row r="35358" spans="1:5" x14ac:dyDescent="0.25">
      <c r="A35358" t="str">
        <f>HYPERLINK("https://www.773grp.com/globalSearch/MC33078DG/page-1", "MC33078DG")</f>
        <v>MC33078DG</v>
      </c>
      <c r="B35358" s="3" t="s">
        <v>95</v>
      </c>
      <c r="C35358" s="6">
        <v>11007</v>
      </c>
      <c r="D35358" s="7">
        <v>1.21</v>
      </c>
      <c r="E35358" t="s">
        <v>13</v>
      </c>
    </row>
    <row r="35359" spans="1:5" x14ac:dyDescent="0.25">
      <c r="A35359" t="str">
        <f>HYPERLINK("https://www.773grp.com/globalSearch/MC33078DR2G/page-1", "MC33078DR2G")</f>
        <v>MC33078DR2G</v>
      </c>
      <c r="B35359" s="3" t="s">
        <v>95</v>
      </c>
      <c r="C35359" s="6">
        <v>24879</v>
      </c>
      <c r="D35359" s="7">
        <v>1.21</v>
      </c>
      <c r="E35359" t="s">
        <v>13</v>
      </c>
    </row>
    <row r="35360" spans="1:5" x14ac:dyDescent="0.25">
      <c r="A35360" t="str">
        <f>HYPERLINK("https://www.773grp.com/globalSearch/MC33079DG/page-1", "MC33079DG")</f>
        <v>MC33079DG</v>
      </c>
      <c r="B35360" s="3" t="s">
        <v>95</v>
      </c>
      <c r="C35360" s="6">
        <v>3130</v>
      </c>
      <c r="D35360" s="7">
        <v>1.21</v>
      </c>
      <c r="E35360" t="s">
        <v>13</v>
      </c>
    </row>
    <row r="35361" spans="1:5" x14ac:dyDescent="0.25">
      <c r="A35361" t="str">
        <f>HYPERLINK("https://www.773grp.com/globalSearch/MC33079DR2G/page-1", "MC33079DR2G")</f>
        <v>MC33079DR2G</v>
      </c>
      <c r="B35361" s="3" t="s">
        <v>95</v>
      </c>
      <c r="C35361" s="6">
        <v>60096</v>
      </c>
      <c r="D35361" s="7">
        <v>1.21</v>
      </c>
    </row>
    <row r="35362" spans="1:5" x14ac:dyDescent="0.25">
      <c r="A35362" t="str">
        <f>HYPERLINK("https://www.773grp.com/globalSearch/MC33174VP/page-1", "MC33174VP")</f>
        <v>MC33174VP</v>
      </c>
      <c r="B35362" s="3" t="s">
        <v>95</v>
      </c>
      <c r="C35362" s="6">
        <v>73</v>
      </c>
      <c r="D35362" s="7">
        <v>1.21</v>
      </c>
      <c r="E35362" t="s">
        <v>13</v>
      </c>
    </row>
    <row r="35363" spans="1:5" x14ac:dyDescent="0.25">
      <c r="A35363" t="str">
        <f>HYPERLINK("https://www.773grp.com/globalSearch/MC3488AD/page-1", "MC3488AD")</f>
        <v>MC3488AD</v>
      </c>
      <c r="B35363" s="3" t="s">
        <v>95</v>
      </c>
      <c r="C35363" s="6">
        <v>490</v>
      </c>
      <c r="D35363" s="7">
        <v>1.21</v>
      </c>
      <c r="E35363" t="s">
        <v>21</v>
      </c>
    </row>
    <row r="35364" spans="1:5" x14ac:dyDescent="0.25">
      <c r="A35364" t="str">
        <f>HYPERLINK("https://www.773grp.com/globalSearch/MC3488ADR2/page-1", "MC3488ADR2")</f>
        <v>MC3488ADR2</v>
      </c>
      <c r="B35364" s="3" t="s">
        <v>95</v>
      </c>
      <c r="C35364" s="6">
        <v>988</v>
      </c>
      <c r="D35364" s="7">
        <v>1.21</v>
      </c>
      <c r="E35364" t="s">
        <v>21</v>
      </c>
    </row>
    <row r="35365" spans="1:5" x14ac:dyDescent="0.25">
      <c r="A35365" t="str">
        <f>HYPERLINK("https://www.773grp.com/globalSearch/MC3488AP1/page-1", "MC3488AP1")</f>
        <v>MC3488AP1</v>
      </c>
      <c r="B35365" s="3" t="s">
        <v>95</v>
      </c>
      <c r="C35365" s="6">
        <v>2819</v>
      </c>
      <c r="D35365" s="7">
        <v>1.21</v>
      </c>
      <c r="E35365" t="s">
        <v>21</v>
      </c>
    </row>
    <row r="35366" spans="1:5" x14ac:dyDescent="0.25">
      <c r="A35366" t="str">
        <f>HYPERLINK("https://www.773grp.com/globalSearch/MC74AC157MELG/page-1", "MC74AC157MELG")</f>
        <v>MC74AC157MELG</v>
      </c>
      <c r="B35366" s="3" t="s">
        <v>95</v>
      </c>
      <c r="C35366" s="6">
        <v>7012</v>
      </c>
      <c r="D35366" s="7">
        <v>1.21</v>
      </c>
      <c r="E35366" t="s">
        <v>20</v>
      </c>
    </row>
    <row r="35367" spans="1:5" x14ac:dyDescent="0.25">
      <c r="A35367" t="str">
        <f>HYPERLINK("https://www.773grp.com/globalSearch/MC74AC157NG/page-1", "MC74AC157NG")</f>
        <v>MC74AC157NG</v>
      </c>
      <c r="B35367" s="3" t="s">
        <v>95</v>
      </c>
      <c r="C35367" s="6">
        <v>7075</v>
      </c>
      <c r="D35367" s="7">
        <v>1.21</v>
      </c>
      <c r="E35367" t="s">
        <v>20</v>
      </c>
    </row>
    <row r="35368" spans="1:5" x14ac:dyDescent="0.25">
      <c r="A35368" t="str">
        <f>HYPERLINK("https://www.773grp.com/globalSearch/MC74AC161NG/page-1", "MC74AC161NG")</f>
        <v>MC74AC161NG</v>
      </c>
      <c r="B35368" s="3" t="s">
        <v>95</v>
      </c>
      <c r="C35368" s="6">
        <v>3651</v>
      </c>
      <c r="D35368" s="7">
        <v>1.21</v>
      </c>
      <c r="E35368" t="s">
        <v>26</v>
      </c>
    </row>
    <row r="35369" spans="1:5" x14ac:dyDescent="0.25">
      <c r="A35369" t="str">
        <f>HYPERLINK("https://www.773grp.com/globalSearch/MC74AC244N/page-1", "MC74AC244N")</f>
        <v>MC74AC244N</v>
      </c>
      <c r="B35369" s="3" t="s">
        <v>95</v>
      </c>
      <c r="C35369" s="6">
        <v>7410</v>
      </c>
      <c r="D35369" s="7">
        <v>1.21</v>
      </c>
    </row>
    <row r="35370" spans="1:5" x14ac:dyDescent="0.25">
      <c r="A35370" t="str">
        <f>HYPERLINK("https://www.773grp.com/globalSearch/MC74ACT157NG/page-1", "MC74ACT157NG")</f>
        <v>MC74ACT157NG</v>
      </c>
      <c r="B35370" s="3" t="s">
        <v>95</v>
      </c>
      <c r="C35370" s="6">
        <v>9175</v>
      </c>
      <c r="D35370" s="7">
        <v>1.21</v>
      </c>
      <c r="E35370" t="s">
        <v>20</v>
      </c>
    </row>
    <row r="35371" spans="1:5" x14ac:dyDescent="0.25">
      <c r="A35371" t="str">
        <f>HYPERLINK("https://www.773grp.com/globalSearch/MC74ACT158D/page-1", "MC74ACT158D")</f>
        <v>MC74ACT158D</v>
      </c>
      <c r="B35371" s="3" t="s">
        <v>95</v>
      </c>
      <c r="C35371" s="6">
        <v>38</v>
      </c>
      <c r="D35371" s="7">
        <v>1.21</v>
      </c>
      <c r="E35371" t="s">
        <v>20</v>
      </c>
    </row>
    <row r="35372" spans="1:5" x14ac:dyDescent="0.25">
      <c r="A35372" t="str">
        <f>HYPERLINK("https://www.773grp.com/globalSearch/MC74ACT158DR2/page-1", "MC74ACT158DR2")</f>
        <v>MC74ACT158DR2</v>
      </c>
      <c r="B35372" s="3" t="s">
        <v>95</v>
      </c>
      <c r="C35372" s="6">
        <v>5000</v>
      </c>
      <c r="D35372" s="7">
        <v>1.21</v>
      </c>
      <c r="E35372" t="s">
        <v>20</v>
      </c>
    </row>
    <row r="35373" spans="1:5" x14ac:dyDescent="0.25">
      <c r="A35373" t="str">
        <f>HYPERLINK("https://www.773grp.com/globalSearch/MC74ACT158M/page-1", "MC74ACT158M")</f>
        <v>MC74ACT158M</v>
      </c>
      <c r="B35373" s="3" t="s">
        <v>95</v>
      </c>
      <c r="C35373" s="6">
        <v>837</v>
      </c>
      <c r="D35373" s="7">
        <v>1.21</v>
      </c>
    </row>
    <row r="35374" spans="1:5" x14ac:dyDescent="0.25">
      <c r="A35374" t="str">
        <f>HYPERLINK("https://www.773grp.com/globalSearch/MC74ACT161NG/page-1", "MC74ACT161NG")</f>
        <v>MC74ACT161NG</v>
      </c>
      <c r="B35374" s="3" t="s">
        <v>95</v>
      </c>
      <c r="C35374" s="6">
        <v>8690</v>
      </c>
      <c r="D35374" s="7">
        <v>1.21</v>
      </c>
      <c r="E35374" t="s">
        <v>26</v>
      </c>
    </row>
    <row r="35375" spans="1:5" x14ac:dyDescent="0.25">
      <c r="A35375" t="str">
        <f>HYPERLINK("https://www.773grp.com/globalSearch/MC74HC165AFG/page-1", "MC74HC165AFG")</f>
        <v>MC74HC165AFG</v>
      </c>
      <c r="B35375" s="3" t="s">
        <v>95</v>
      </c>
      <c r="C35375" s="6">
        <v>40</v>
      </c>
      <c r="D35375" s="7">
        <v>1.21</v>
      </c>
    </row>
    <row r="35376" spans="1:5" x14ac:dyDescent="0.25">
      <c r="A35376" t="str">
        <f>HYPERLINK("https://www.773grp.com/globalSearch/MC74HC4040AFELG/page-1", "MC74HC4040AFELG")</f>
        <v>MC74HC4040AFELG</v>
      </c>
      <c r="B35376" s="3" t="s">
        <v>95</v>
      </c>
      <c r="C35376" s="6">
        <v>7542</v>
      </c>
      <c r="D35376" s="7">
        <v>1.21</v>
      </c>
      <c r="E35376" t="s">
        <v>26</v>
      </c>
    </row>
    <row r="35377" spans="1:5" x14ac:dyDescent="0.25">
      <c r="A35377" t="str">
        <f>HYPERLINK("https://www.773grp.com/globalSearch/MC74HC4040AFG/page-1", "MC74HC4040AFG")</f>
        <v>MC74HC4040AFG</v>
      </c>
      <c r="B35377" s="3" t="s">
        <v>95</v>
      </c>
      <c r="C35377" s="6">
        <v>7640</v>
      </c>
      <c r="D35377" s="7">
        <v>1.21</v>
      </c>
      <c r="E35377" t="s">
        <v>26</v>
      </c>
    </row>
    <row r="35378" spans="1:5" x14ac:dyDescent="0.25">
      <c r="A35378" t="str">
        <f>HYPERLINK("https://www.773grp.com/globalSearch/MC74HC4051AFELG/page-1", "MC74HC4051AFELG")</f>
        <v>MC74HC4051AFELG</v>
      </c>
      <c r="B35378" s="3" t="s">
        <v>95</v>
      </c>
      <c r="C35378" s="6">
        <v>9650</v>
      </c>
      <c r="D35378" s="7">
        <v>1.21</v>
      </c>
    </row>
    <row r="35379" spans="1:5" x14ac:dyDescent="0.25">
      <c r="A35379" t="str">
        <f>HYPERLINK("https://www.773grp.com/globalSearch/MC74HC4052AFELG/page-1", "MC74HC4052AFELG")</f>
        <v>MC74HC4052AFELG</v>
      </c>
      <c r="B35379" s="3" t="s">
        <v>95</v>
      </c>
      <c r="C35379" s="6">
        <v>3986</v>
      </c>
      <c r="D35379" s="7">
        <v>1.21</v>
      </c>
      <c r="E35379" t="s">
        <v>56</v>
      </c>
    </row>
    <row r="35380" spans="1:5" x14ac:dyDescent="0.25">
      <c r="A35380" t="str">
        <f>HYPERLINK("https://www.773grp.com/globalSearch/MC74HC4052AFG/page-1", "MC74HC4052AFG")</f>
        <v>MC74HC4052AFG</v>
      </c>
      <c r="B35380" s="3" t="s">
        <v>95</v>
      </c>
      <c r="C35380" s="6">
        <v>4726</v>
      </c>
      <c r="D35380" s="7">
        <v>1.21</v>
      </c>
      <c r="E35380" t="s">
        <v>56</v>
      </c>
    </row>
    <row r="35381" spans="1:5" x14ac:dyDescent="0.25">
      <c r="A35381" t="str">
        <f>HYPERLINK("https://www.773grp.com/globalSearch/MC74HC4053AFG/page-1", "MC74HC4053AFG")</f>
        <v>MC74HC4053AFG</v>
      </c>
      <c r="B35381" s="3" t="s">
        <v>95</v>
      </c>
      <c r="C35381" s="6">
        <v>248</v>
      </c>
      <c r="D35381" s="7">
        <v>1.21</v>
      </c>
      <c r="E35381" t="s">
        <v>56</v>
      </c>
    </row>
    <row r="35382" spans="1:5" x14ac:dyDescent="0.25">
      <c r="A35382" t="str">
        <f>HYPERLINK("https://www.773grp.com/globalSearch/MC74HC4060AFELG/page-1", "MC74HC4060AFELG")</f>
        <v>MC74HC4060AFELG</v>
      </c>
      <c r="B35382" s="3" t="s">
        <v>95</v>
      </c>
      <c r="C35382" s="6">
        <v>17268</v>
      </c>
      <c r="D35382" s="7">
        <v>1.21</v>
      </c>
      <c r="E35382" t="s">
        <v>26</v>
      </c>
    </row>
    <row r="35383" spans="1:5" x14ac:dyDescent="0.25">
      <c r="A35383" t="str">
        <f>HYPERLINK("https://www.773grp.com/globalSearch/MC74HC4538AFELG/page-1", "MC74HC4538AFELG")</f>
        <v>MC74HC4538AFELG</v>
      </c>
      <c r="B35383" s="3" t="s">
        <v>95</v>
      </c>
      <c r="C35383" s="6">
        <v>6000</v>
      </c>
      <c r="D35383" s="7">
        <v>1.21</v>
      </c>
      <c r="E35383" t="s">
        <v>54</v>
      </c>
    </row>
    <row r="35384" spans="1:5" x14ac:dyDescent="0.25">
      <c r="A35384" t="str">
        <f>HYPERLINK("https://www.773grp.com/globalSearch/MC74HC4538AFG/page-1", "MC74HC4538AFG")</f>
        <v>MC74HC4538AFG</v>
      </c>
      <c r="B35384" s="3" t="s">
        <v>95</v>
      </c>
      <c r="C35384" s="6">
        <v>2238</v>
      </c>
      <c r="D35384" s="7">
        <v>1.21</v>
      </c>
      <c r="E35384" t="s">
        <v>54</v>
      </c>
    </row>
    <row r="35385" spans="1:5" x14ac:dyDescent="0.25">
      <c r="A35385" t="str">
        <f>HYPERLINK("https://www.773grp.com/globalSearch/MC74HCT573AF/page-1", "MC74HCT573AF")</f>
        <v>MC74HCT573AF</v>
      </c>
      <c r="B35385" s="3" t="s">
        <v>95</v>
      </c>
      <c r="C35385" s="6">
        <v>4320</v>
      </c>
      <c r="D35385" s="7">
        <v>1.21</v>
      </c>
    </row>
    <row r="35386" spans="1:5" x14ac:dyDescent="0.25">
      <c r="A35386" t="str">
        <f>HYPERLINK("https://www.773grp.com/globalSearch/MC74VHC595DR2G/page-1", "MC74VHC595DR2G")</f>
        <v>MC74VHC595DR2G</v>
      </c>
      <c r="B35386" s="3" t="s">
        <v>95</v>
      </c>
      <c r="C35386" s="6">
        <v>57784</v>
      </c>
      <c r="D35386" s="7">
        <v>1.21</v>
      </c>
      <c r="E35386" t="s">
        <v>32</v>
      </c>
    </row>
    <row r="35387" spans="1:5" x14ac:dyDescent="0.25">
      <c r="A35387" t="str">
        <f>HYPERLINK("https://www.773grp.com/globalSearch/MC74VHC595DTR2G/page-1", "MC74VHC595DTR2G")</f>
        <v>MC74VHC595DTR2G</v>
      </c>
      <c r="B35387" s="3" t="s">
        <v>95</v>
      </c>
      <c r="C35387" s="6">
        <v>3096</v>
      </c>
      <c r="D35387" s="7">
        <v>1.21</v>
      </c>
    </row>
    <row r="35388" spans="1:5" x14ac:dyDescent="0.25">
      <c r="A35388" t="str">
        <f>HYPERLINK("https://www.773grp.com/globalSearch/MC7660DR2/page-1", "MC7660DR2")</f>
        <v>MC7660DR2</v>
      </c>
      <c r="B35388" s="3" t="s">
        <v>95</v>
      </c>
      <c r="C35388" s="6">
        <v>1779478</v>
      </c>
      <c r="D35388" s="7">
        <v>1.21</v>
      </c>
      <c r="E35388" t="s">
        <v>7</v>
      </c>
    </row>
    <row r="35389" spans="1:5" x14ac:dyDescent="0.25">
      <c r="A35389" t="str">
        <f>HYPERLINK("https://www.773grp.com/globalSearch/MC78M05ABDTG/page-1", "MC78M05ABDTG")</f>
        <v>MC78M05ABDTG</v>
      </c>
      <c r="B35389" s="3" t="s">
        <v>95</v>
      </c>
      <c r="C35389" s="6">
        <v>4486</v>
      </c>
      <c r="D35389" s="7">
        <v>1.21</v>
      </c>
      <c r="E35389" t="s">
        <v>28</v>
      </c>
    </row>
    <row r="35390" spans="1:5" x14ac:dyDescent="0.25">
      <c r="A35390" t="str">
        <f>HYPERLINK("https://www.773grp.com/globalSearch/MC78M05ABDTRKG/page-1", "MC78M05ABDTRKG")</f>
        <v>MC78M05ABDTRKG</v>
      </c>
      <c r="B35390" s="3" t="s">
        <v>95</v>
      </c>
      <c r="C35390" s="6">
        <v>19830</v>
      </c>
      <c r="D35390" s="7">
        <v>1.21</v>
      </c>
      <c r="E35390" t="s">
        <v>28</v>
      </c>
    </row>
    <row r="35391" spans="1:5" x14ac:dyDescent="0.25">
      <c r="A35391" t="str">
        <f>HYPERLINK("https://www.773grp.com/globalSearch/MC78M05CTG/page-1", "MC78M05CTG")</f>
        <v>MC78M05CTG</v>
      </c>
      <c r="B35391" s="3" t="s">
        <v>95</v>
      </c>
      <c r="C35391" s="6">
        <v>22976</v>
      </c>
      <c r="D35391" s="7">
        <v>1.21</v>
      </c>
      <c r="E35391" t="s">
        <v>28</v>
      </c>
    </row>
    <row r="35392" spans="1:5" x14ac:dyDescent="0.25">
      <c r="A35392" t="str">
        <f>HYPERLINK("https://www.773grp.com/globalSearch/MC78M06CTG/page-1", "MC78M06CTG")</f>
        <v>MC78M06CTG</v>
      </c>
      <c r="B35392" s="3" t="s">
        <v>95</v>
      </c>
      <c r="C35392" s="6">
        <v>9212</v>
      </c>
      <c r="D35392" s="7">
        <v>1.21</v>
      </c>
      <c r="E35392" t="s">
        <v>28</v>
      </c>
    </row>
    <row r="35393" spans="1:5" x14ac:dyDescent="0.25">
      <c r="A35393" t="str">
        <f>HYPERLINK("https://www.773grp.com/globalSearch/MC78M08ABDTG/page-1", "MC78M08ABDTG")</f>
        <v>MC78M08ABDTG</v>
      </c>
      <c r="B35393" s="3" t="s">
        <v>95</v>
      </c>
      <c r="C35393" s="6">
        <v>1305</v>
      </c>
      <c r="D35393" s="7">
        <v>1.21</v>
      </c>
      <c r="E35393" t="s">
        <v>28</v>
      </c>
    </row>
    <row r="35394" spans="1:5" x14ac:dyDescent="0.25">
      <c r="A35394" t="str">
        <f>HYPERLINK("https://www.773grp.com/globalSearch/MC78M08ABDTRKG/page-1", "MC78M08ABDTRKG")</f>
        <v>MC78M08ABDTRKG</v>
      </c>
      <c r="B35394" s="3" t="s">
        <v>95</v>
      </c>
      <c r="C35394" s="6">
        <v>90000</v>
      </c>
      <c r="D35394" s="7">
        <v>1.21</v>
      </c>
      <c r="E35394" t="s">
        <v>28</v>
      </c>
    </row>
    <row r="35395" spans="1:5" x14ac:dyDescent="0.25">
      <c r="A35395" t="str">
        <f>HYPERLINK("https://www.773grp.com/globalSearch/MC78M08CTG/page-1", "MC78M08CTG")</f>
        <v>MC78M08CTG</v>
      </c>
      <c r="B35395" s="3" t="s">
        <v>95</v>
      </c>
      <c r="C35395" s="6">
        <v>126250</v>
      </c>
      <c r="D35395" s="7">
        <v>1.21</v>
      </c>
      <c r="E35395" t="s">
        <v>28</v>
      </c>
    </row>
    <row r="35396" spans="1:5" x14ac:dyDescent="0.25">
      <c r="A35396" t="str">
        <f>HYPERLINK("https://www.773grp.com/globalSearch/MC78M09CTG/page-1", "MC78M09CTG")</f>
        <v>MC78M09CTG</v>
      </c>
      <c r="B35396" s="3" t="s">
        <v>95</v>
      </c>
      <c r="C35396" s="6">
        <v>61000</v>
      </c>
      <c r="D35396" s="7">
        <v>1.21</v>
      </c>
      <c r="E35396" t="s">
        <v>28</v>
      </c>
    </row>
    <row r="35397" spans="1:5" x14ac:dyDescent="0.25">
      <c r="A35397" t="str">
        <f>HYPERLINK("https://www.773grp.com/globalSearch/MC78M12ABDT/page-1", "MC78M12ABDT")</f>
        <v>MC78M12ABDT</v>
      </c>
      <c r="B35397" s="3" t="s">
        <v>95</v>
      </c>
      <c r="C35397" s="6">
        <v>1282</v>
      </c>
      <c r="D35397" s="7">
        <v>1.21</v>
      </c>
      <c r="E35397" t="s">
        <v>28</v>
      </c>
    </row>
    <row r="35398" spans="1:5" x14ac:dyDescent="0.25">
      <c r="A35398" t="str">
        <f>HYPERLINK("https://www.773grp.com/globalSearch/MC78M12ABDTG/page-1", "MC78M12ABDTG")</f>
        <v>MC78M12ABDTG</v>
      </c>
      <c r="B35398" s="3" t="s">
        <v>95</v>
      </c>
      <c r="C35398" s="6">
        <v>2400</v>
      </c>
      <c r="D35398" s="7">
        <v>1.21</v>
      </c>
      <c r="E35398" t="s">
        <v>28</v>
      </c>
    </row>
    <row r="35399" spans="1:5" x14ac:dyDescent="0.25">
      <c r="A35399" t="str">
        <f>HYPERLINK("https://www.773grp.com/globalSearch/MC78M12ABDTRKG/page-1", "MC78M12ABDTRKG")</f>
        <v>MC78M12ABDTRKG</v>
      </c>
      <c r="B35399" s="3" t="s">
        <v>95</v>
      </c>
      <c r="C35399" s="6">
        <v>143900</v>
      </c>
      <c r="D35399" s="7">
        <v>1.21</v>
      </c>
      <c r="E35399" t="s">
        <v>28</v>
      </c>
    </row>
    <row r="35400" spans="1:5" x14ac:dyDescent="0.25">
      <c r="A35400" t="str">
        <f>HYPERLINK("https://www.773grp.com/globalSearch/MC78M12CTG/page-1", "MC78M12CTG")</f>
        <v>MC78M12CTG</v>
      </c>
      <c r="B35400" s="3" t="s">
        <v>95</v>
      </c>
      <c r="C35400" s="6">
        <v>33410</v>
      </c>
      <c r="D35400" s="7">
        <v>1.21</v>
      </c>
      <c r="E35400" t="s">
        <v>28</v>
      </c>
    </row>
    <row r="35401" spans="1:5" x14ac:dyDescent="0.25">
      <c r="A35401" t="str">
        <f>HYPERLINK("https://www.773grp.com/globalSearch/MC78M15ABDTG/page-1", "MC78M15ABDTG")</f>
        <v>MC78M15ABDTG</v>
      </c>
      <c r="B35401" s="3" t="s">
        <v>95</v>
      </c>
      <c r="C35401" s="6">
        <v>6491</v>
      </c>
      <c r="D35401" s="7">
        <v>1.21</v>
      </c>
      <c r="E35401" t="s">
        <v>28</v>
      </c>
    </row>
    <row r="35402" spans="1:5" x14ac:dyDescent="0.25">
      <c r="A35402" t="str">
        <f>HYPERLINK("https://www.773grp.com/globalSearch/MC78M15ABDTRKG/page-1", "MC78M15ABDTRKG")</f>
        <v>MC78M15ABDTRKG</v>
      </c>
      <c r="B35402" s="3" t="s">
        <v>95</v>
      </c>
      <c r="C35402" s="6">
        <v>7410</v>
      </c>
      <c r="D35402" s="7">
        <v>1.21</v>
      </c>
      <c r="E35402" t="s">
        <v>28</v>
      </c>
    </row>
    <row r="35403" spans="1:5" x14ac:dyDescent="0.25">
      <c r="A35403" t="str">
        <f>HYPERLINK("https://www.773grp.com/globalSearch/MC78M15CTG/page-1", "MC78M15CTG")</f>
        <v>MC78M15CTG</v>
      </c>
      <c r="B35403" s="3" t="s">
        <v>95</v>
      </c>
      <c r="C35403" s="6">
        <v>10550</v>
      </c>
      <c r="D35403" s="7">
        <v>1.21</v>
      </c>
      <c r="E35403" t="s">
        <v>28</v>
      </c>
    </row>
    <row r="35404" spans="1:5" x14ac:dyDescent="0.25">
      <c r="A35404" t="str">
        <f>HYPERLINK("https://www.773grp.com/globalSearch/MC78M18CTG/page-1", "MC78M18CTG")</f>
        <v>MC78M18CTG</v>
      </c>
      <c r="B35404" s="3" t="s">
        <v>95</v>
      </c>
      <c r="C35404" s="6">
        <v>4300</v>
      </c>
      <c r="D35404" s="7">
        <v>1.21</v>
      </c>
      <c r="E35404" t="s">
        <v>28</v>
      </c>
    </row>
    <row r="35405" spans="1:5" x14ac:dyDescent="0.25">
      <c r="A35405" t="str">
        <f>HYPERLINK("https://www.773grp.com/globalSearch/MC78M20CTG/page-1", "MC78M20CTG")</f>
        <v>MC78M20CTG</v>
      </c>
      <c r="B35405" s="3" t="s">
        <v>95</v>
      </c>
      <c r="C35405" s="6">
        <v>10788</v>
      </c>
      <c r="D35405" s="7">
        <v>1.21</v>
      </c>
      <c r="E35405" t="s">
        <v>28</v>
      </c>
    </row>
    <row r="35406" spans="1:5" x14ac:dyDescent="0.25">
      <c r="A35406" t="str">
        <f>HYPERLINK("https://www.773grp.com/globalSearch/MC78M24CTG/page-1", "MC78M24CTG")</f>
        <v>MC78M24CTG</v>
      </c>
      <c r="B35406" s="3" t="s">
        <v>95</v>
      </c>
      <c r="C35406" s="6">
        <v>23281</v>
      </c>
      <c r="D35406" s="7">
        <v>1.21</v>
      </c>
      <c r="E35406" t="s">
        <v>28</v>
      </c>
    </row>
    <row r="35407" spans="1:5" x14ac:dyDescent="0.25">
      <c r="A35407" t="str">
        <f>HYPERLINK("https://www.773grp.com/globalSearch/MC79M05CTG/page-1", "MC79M05CTG")</f>
        <v>MC79M05CTG</v>
      </c>
      <c r="B35407" s="3" t="s">
        <v>95</v>
      </c>
      <c r="C35407" s="6">
        <v>30</v>
      </c>
      <c r="D35407" s="7">
        <v>1.21</v>
      </c>
      <c r="E35407" t="s">
        <v>65</v>
      </c>
    </row>
    <row r="35408" spans="1:5" x14ac:dyDescent="0.25">
      <c r="A35408" t="str">
        <f>HYPERLINK("https://www.773grp.com/globalSearch/MC79M08CTG/page-1", "MC79M08CTG")</f>
        <v>MC79M08CTG</v>
      </c>
      <c r="B35408" s="3" t="s">
        <v>95</v>
      </c>
      <c r="C35408" s="6">
        <v>2100</v>
      </c>
      <c r="D35408" s="7">
        <v>1.21</v>
      </c>
      <c r="E35408" t="s">
        <v>65</v>
      </c>
    </row>
    <row r="35409" spans="1:5" x14ac:dyDescent="0.25">
      <c r="A35409" t="str">
        <f>HYPERLINK("https://www.773grp.com/globalSearch/MC79M12CTG/page-1", "MC79M12CTG")</f>
        <v>MC79M12CTG</v>
      </c>
      <c r="B35409" s="3" t="s">
        <v>95</v>
      </c>
      <c r="C35409" s="6">
        <v>29474</v>
      </c>
      <c r="D35409" s="7">
        <v>1.21</v>
      </c>
      <c r="E35409" t="s">
        <v>65</v>
      </c>
    </row>
    <row r="35410" spans="1:5" x14ac:dyDescent="0.25">
      <c r="A35410" t="str">
        <f>HYPERLINK("https://www.773grp.com/globalSearch/MC79M15CTG/page-1", "MC79M15CTG")</f>
        <v>MC79M15CTG</v>
      </c>
      <c r="B35410" s="3" t="s">
        <v>95</v>
      </c>
      <c r="C35410" s="6">
        <v>27450</v>
      </c>
      <c r="D35410" s="7">
        <v>1.21</v>
      </c>
      <c r="E35410" t="s">
        <v>65</v>
      </c>
    </row>
    <row r="35411" spans="1:5" x14ac:dyDescent="0.25">
      <c r="A35411" t="str">
        <f>HYPERLINK("https://www.773grp.com/globalSearch/MJD44E3T4G/page-1", "MJD44E3T4G")</f>
        <v>MJD44E3T4G</v>
      </c>
      <c r="B35411" s="3" t="s">
        <v>95</v>
      </c>
      <c r="C35411" s="6">
        <v>11365</v>
      </c>
      <c r="D35411" s="7">
        <v>1.21</v>
      </c>
      <c r="E35411" t="s">
        <v>59</v>
      </c>
    </row>
    <row r="35412" spans="1:5" x14ac:dyDescent="0.25">
      <c r="A35412" t="str">
        <f>HYPERLINK("https://www.773grp.com/globalSearch/MJD45H11/page-1", "MJD45H11")</f>
        <v>MJD45H11</v>
      </c>
      <c r="B35412" s="3" t="s">
        <v>95</v>
      </c>
      <c r="C35412" s="6">
        <v>650</v>
      </c>
      <c r="D35412" s="7">
        <v>1.21</v>
      </c>
      <c r="E35412" t="s">
        <v>59</v>
      </c>
    </row>
    <row r="35413" spans="1:5" x14ac:dyDescent="0.25">
      <c r="A35413" t="str">
        <f>HYPERLINK("https://www.773grp.com/globalSearch/MJD45H11-1G/page-1", "MJD45H11-1G")</f>
        <v>MJD45H11-1G</v>
      </c>
      <c r="B35413" s="3" t="s">
        <v>95</v>
      </c>
      <c r="C35413" s="6">
        <v>750</v>
      </c>
      <c r="D35413" s="7">
        <v>1.21</v>
      </c>
      <c r="E35413" t="s">
        <v>59</v>
      </c>
    </row>
    <row r="35414" spans="1:5" x14ac:dyDescent="0.25">
      <c r="A35414" t="str">
        <f>HYPERLINK("https://www.773grp.com/globalSearch/MJD45H11G/page-1", "MJD45H11G")</f>
        <v>MJD45H11G</v>
      </c>
      <c r="B35414" s="3" t="s">
        <v>95</v>
      </c>
      <c r="C35414" s="6">
        <v>157197</v>
      </c>
      <c r="D35414" s="7">
        <v>1.21</v>
      </c>
      <c r="E35414" t="s">
        <v>59</v>
      </c>
    </row>
    <row r="35415" spans="1:5" x14ac:dyDescent="0.25">
      <c r="A35415" t="str">
        <f>HYPERLINK("https://www.773grp.com/globalSearch/MJD5731T4G/page-1", "MJD5731T4G")</f>
        <v>MJD5731T4G</v>
      </c>
      <c r="B35415" s="3" t="s">
        <v>95</v>
      </c>
      <c r="C35415" s="6">
        <v>4029</v>
      </c>
      <c r="D35415" s="7">
        <v>1.21</v>
      </c>
    </row>
    <row r="35416" spans="1:5" x14ac:dyDescent="0.25">
      <c r="A35416" t="str">
        <f>HYPERLINK("https://www.773grp.com/globalSearch/MJE371G/page-1", "MJE371G")</f>
        <v>MJE371G</v>
      </c>
      <c r="B35416" s="3" t="s">
        <v>95</v>
      </c>
      <c r="C35416" s="6">
        <v>1948</v>
      </c>
      <c r="D35416" s="7">
        <v>1.21</v>
      </c>
    </row>
    <row r="35417" spans="1:5" x14ac:dyDescent="0.25">
      <c r="A35417" t="str">
        <f>HYPERLINK("https://www.773grp.com/globalSearch/MJE5730/page-1", "MJE5730")</f>
        <v>MJE5730</v>
      </c>
      <c r="B35417" s="3" t="s">
        <v>95</v>
      </c>
      <c r="C35417" s="6">
        <v>1561</v>
      </c>
      <c r="D35417" s="7">
        <v>1.21</v>
      </c>
      <c r="E35417" t="s">
        <v>59</v>
      </c>
    </row>
    <row r="35418" spans="1:5" x14ac:dyDescent="0.25">
      <c r="A35418" t="str">
        <f>HYPERLINK("https://www.773grp.com/globalSearch/MJE800/page-1", "MJE800")</f>
        <v>MJE800</v>
      </c>
      <c r="B35418" s="3" t="s">
        <v>95</v>
      </c>
      <c r="C35418" s="6">
        <v>7500</v>
      </c>
      <c r="D35418" s="7">
        <v>1.21</v>
      </c>
      <c r="E35418" t="s">
        <v>59</v>
      </c>
    </row>
    <row r="35419" spans="1:5" x14ac:dyDescent="0.25">
      <c r="A35419" t="str">
        <f>HYPERLINK("https://www.773grp.com/globalSearch/MJE800G/page-1", "MJE800G")</f>
        <v>MJE800G</v>
      </c>
      <c r="B35419" s="3" t="s">
        <v>95</v>
      </c>
      <c r="C35419" s="6">
        <v>23808</v>
      </c>
      <c r="D35419" s="7">
        <v>1.21</v>
      </c>
      <c r="E35419" t="s">
        <v>59</v>
      </c>
    </row>
    <row r="35420" spans="1:5" x14ac:dyDescent="0.25">
      <c r="A35420" t="str">
        <f>HYPERLINK("https://www.773grp.com/globalSearch/MJE802G/page-1", "MJE802G")</f>
        <v>MJE802G</v>
      </c>
      <c r="B35420" s="3" t="s">
        <v>95</v>
      </c>
      <c r="C35420" s="6">
        <v>24500</v>
      </c>
      <c r="D35420" s="7">
        <v>1.21</v>
      </c>
      <c r="E35420" t="s">
        <v>59</v>
      </c>
    </row>
    <row r="35421" spans="1:5" x14ac:dyDescent="0.25">
      <c r="A35421" t="str">
        <f>HYPERLINK("https://www.773grp.com/globalSearch/MJE803G/page-1", "MJE803G")</f>
        <v>MJE803G</v>
      </c>
      <c r="B35421" s="3" t="s">
        <v>95</v>
      </c>
      <c r="C35421" s="6">
        <v>2485</v>
      </c>
      <c r="D35421" s="7">
        <v>1.21</v>
      </c>
    </row>
    <row r="35422" spans="1:5" x14ac:dyDescent="0.25">
      <c r="A35422" t="str">
        <f>HYPERLINK("https://www.773grp.com/globalSearch/MJF2955/page-1", "MJF2955")</f>
        <v>MJF2955</v>
      </c>
      <c r="B35422" s="3" t="s">
        <v>95</v>
      </c>
      <c r="C35422" s="6">
        <v>13779</v>
      </c>
      <c r="D35422" s="7">
        <v>1.21</v>
      </c>
      <c r="E35422" t="s">
        <v>59</v>
      </c>
    </row>
    <row r="35423" spans="1:5" x14ac:dyDescent="0.25">
      <c r="A35423" t="str">
        <f>HYPERLINK("https://www.773grp.com/globalSearch/MJF3055/page-1", "MJF3055")</f>
        <v>MJF3055</v>
      </c>
      <c r="B35423" s="3" t="s">
        <v>95</v>
      </c>
      <c r="C35423" s="6">
        <v>2857</v>
      </c>
      <c r="D35423" s="7">
        <v>1.21</v>
      </c>
      <c r="E35423" t="s">
        <v>59</v>
      </c>
    </row>
    <row r="35424" spans="1:5" x14ac:dyDescent="0.25">
      <c r="A35424" t="str">
        <f>HYPERLINK("https://www.773grp.com/globalSearch/MR2504/page-1", "MR2504")</f>
        <v>MR2504</v>
      </c>
      <c r="B35424" s="3" t="s">
        <v>95</v>
      </c>
      <c r="C35424" s="6">
        <v>108782</v>
      </c>
      <c r="D35424" s="7">
        <v>1.21</v>
      </c>
      <c r="E35424" t="s">
        <v>103</v>
      </c>
    </row>
    <row r="35425" spans="1:5" x14ac:dyDescent="0.25">
      <c r="A35425" t="str">
        <f>HYPERLINK("https://www.773grp.com/globalSearch/MTSF3N02HDR2/page-1", "MTSF3N02HDR2")</f>
        <v>MTSF3N02HDR2</v>
      </c>
      <c r="B35425" s="3" t="s">
        <v>95</v>
      </c>
      <c r="C35425" s="6">
        <v>188000</v>
      </c>
      <c r="D35425" s="7">
        <v>1.21</v>
      </c>
      <c r="E35425" t="s">
        <v>106</v>
      </c>
    </row>
    <row r="35426" spans="1:5" x14ac:dyDescent="0.25">
      <c r="A35426" t="str">
        <f>HYPERLINK("https://www.773grp.com/globalSearch/NCN9252MUTAG/page-1", "NCN9252MUTAG")</f>
        <v>NCN9252MUTAG</v>
      </c>
      <c r="B35426" s="3" t="s">
        <v>95</v>
      </c>
      <c r="C35426" s="6">
        <v>2455</v>
      </c>
      <c r="D35426" s="7">
        <v>1.21</v>
      </c>
    </row>
    <row r="35427" spans="1:5" x14ac:dyDescent="0.25">
      <c r="A35427" t="str">
        <f>HYPERLINK("https://www.773grp.com/globalSearch/NCP1000P/page-1", "NCP1000P")</f>
        <v>NCP1000P</v>
      </c>
      <c r="B35427" s="3" t="s">
        <v>95</v>
      </c>
      <c r="C35427" s="6">
        <v>86871</v>
      </c>
      <c r="D35427" s="7">
        <v>1.21</v>
      </c>
      <c r="E35427" t="s">
        <v>7</v>
      </c>
    </row>
    <row r="35428" spans="1:5" x14ac:dyDescent="0.25">
      <c r="A35428" t="str">
        <f>HYPERLINK("https://www.773grp.com/globalSearch/NCP1053P136/page-1", "NCP1053P136")</f>
        <v>NCP1053P136</v>
      </c>
      <c r="B35428" s="3" t="s">
        <v>95</v>
      </c>
      <c r="C35428" s="6">
        <v>1342</v>
      </c>
      <c r="D35428" s="7">
        <v>1.21</v>
      </c>
      <c r="E35428" t="s">
        <v>7</v>
      </c>
    </row>
    <row r="35429" spans="1:5" x14ac:dyDescent="0.25">
      <c r="A35429" t="str">
        <f>HYPERLINK("https://www.773grp.com/globalSearch/NCP1054P100/page-1", "NCP1054P100")</f>
        <v>NCP1054P100</v>
      </c>
      <c r="B35429" s="3" t="s">
        <v>95</v>
      </c>
      <c r="C35429" s="6">
        <v>4242</v>
      </c>
      <c r="D35429" s="7">
        <v>1.21</v>
      </c>
      <c r="E35429" t="s">
        <v>7</v>
      </c>
    </row>
    <row r="35430" spans="1:5" x14ac:dyDescent="0.25">
      <c r="A35430" t="str">
        <f>HYPERLINK("https://www.773grp.com/globalSearch/NCP1054P44/page-1", "NCP1054P44")</f>
        <v>NCP1054P44</v>
      </c>
      <c r="B35430" s="3" t="s">
        <v>95</v>
      </c>
      <c r="C35430" s="6">
        <v>7000</v>
      </c>
      <c r="D35430" s="7">
        <v>1.21</v>
      </c>
      <c r="E35430" t="s">
        <v>7</v>
      </c>
    </row>
    <row r="35431" spans="1:5" x14ac:dyDescent="0.25">
      <c r="A35431" t="str">
        <f>HYPERLINK("https://www.773grp.com/globalSearch/NCP1055P44/page-1", "NCP1055P44")</f>
        <v>NCP1055P44</v>
      </c>
      <c r="B35431" s="3" t="s">
        <v>95</v>
      </c>
      <c r="C35431" s="6">
        <v>1969</v>
      </c>
      <c r="D35431" s="7">
        <v>1.21</v>
      </c>
      <c r="E35431" t="s">
        <v>7</v>
      </c>
    </row>
    <row r="35432" spans="1:5" x14ac:dyDescent="0.25">
      <c r="A35432" t="str">
        <f>HYPERLINK("https://www.773grp.com/globalSearch/NCP1200AP40G/page-1", "NCP1200AP40G")</f>
        <v>NCP1200AP40G</v>
      </c>
      <c r="B35432" s="3" t="s">
        <v>95</v>
      </c>
      <c r="C35432" s="6">
        <v>1700</v>
      </c>
      <c r="D35432" s="7">
        <v>1.21</v>
      </c>
      <c r="E35432" t="s">
        <v>7</v>
      </c>
    </row>
    <row r="35433" spans="1:5" x14ac:dyDescent="0.25">
      <c r="A35433" t="str">
        <f>HYPERLINK("https://www.773grp.com/globalSearch/NCP1215DR2G/page-1", "NCP1215DR2G")</f>
        <v>NCP1215DR2G</v>
      </c>
      <c r="B35433" s="3" t="s">
        <v>95</v>
      </c>
      <c r="C35433" s="6">
        <v>160000</v>
      </c>
      <c r="D35433" s="7">
        <v>1.21</v>
      </c>
      <c r="E35433" t="s">
        <v>7</v>
      </c>
    </row>
    <row r="35434" spans="1:5" x14ac:dyDescent="0.25">
      <c r="A35434" t="str">
        <f>HYPERLINK("https://www.773grp.com/globalSearch/NCP1550SN18T1/page-1", "NCP1550SN18T1")</f>
        <v>NCP1550SN18T1</v>
      </c>
      <c r="B35434" s="3" t="s">
        <v>95</v>
      </c>
      <c r="C35434" s="6">
        <v>1690</v>
      </c>
      <c r="D35434" s="7">
        <v>1.21</v>
      </c>
      <c r="E35434" t="s">
        <v>7</v>
      </c>
    </row>
    <row r="35435" spans="1:5" x14ac:dyDescent="0.25">
      <c r="A35435" t="str">
        <f>HYPERLINK("https://www.773grp.com/globalSearch/NCP1550SN19T1/page-1", "NCP1550SN19T1")</f>
        <v>NCP1550SN19T1</v>
      </c>
      <c r="B35435" s="3" t="s">
        <v>95</v>
      </c>
      <c r="C35435" s="6">
        <v>1760</v>
      </c>
      <c r="D35435" s="7">
        <v>1.21</v>
      </c>
      <c r="E35435" t="s">
        <v>7</v>
      </c>
    </row>
    <row r="35436" spans="1:5" x14ac:dyDescent="0.25">
      <c r="A35436" t="str">
        <f>HYPERLINK("https://www.773grp.com/globalSearch/NCP1550SN19T1G/page-1", "NCP1550SN19T1G")</f>
        <v>NCP1550SN19T1G</v>
      </c>
      <c r="B35436" s="3" t="s">
        <v>95</v>
      </c>
      <c r="C35436" s="6">
        <v>7869</v>
      </c>
      <c r="D35436" s="7">
        <v>1.21</v>
      </c>
      <c r="E35436" t="s">
        <v>7</v>
      </c>
    </row>
    <row r="35437" spans="1:5" x14ac:dyDescent="0.25">
      <c r="A35437" t="str">
        <f>HYPERLINK("https://www.773grp.com/globalSearch/NCP1550SN27T1/page-1", "NCP1550SN27T1")</f>
        <v>NCP1550SN27T1</v>
      </c>
      <c r="B35437" s="3" t="s">
        <v>95</v>
      </c>
      <c r="C35437" s="6">
        <v>5970</v>
      </c>
      <c r="D35437" s="7">
        <v>1.21</v>
      </c>
      <c r="E35437" t="s">
        <v>7</v>
      </c>
    </row>
    <row r="35438" spans="1:5" x14ac:dyDescent="0.25">
      <c r="A35438" t="str">
        <f>HYPERLINK("https://www.773grp.com/globalSearch/NCP1550SN27T1G/page-1", "NCP1550SN27T1G")</f>
        <v>NCP1550SN27T1G</v>
      </c>
      <c r="B35438" s="3" t="s">
        <v>95</v>
      </c>
      <c r="C35438" s="6">
        <v>11970</v>
      </c>
      <c r="D35438" s="7">
        <v>1.21</v>
      </c>
      <c r="E35438" t="s">
        <v>7</v>
      </c>
    </row>
    <row r="35439" spans="1:5" x14ac:dyDescent="0.25">
      <c r="A35439" t="str">
        <f>HYPERLINK("https://www.773grp.com/globalSearch/NCP1550SN30T1G/page-1", "NCP1550SN30T1G")</f>
        <v>NCP1550SN30T1G</v>
      </c>
      <c r="B35439" s="3" t="s">
        <v>95</v>
      </c>
      <c r="C35439" s="6">
        <v>3000</v>
      </c>
      <c r="D35439" s="7">
        <v>1.21</v>
      </c>
      <c r="E35439" t="s">
        <v>7</v>
      </c>
    </row>
    <row r="35440" spans="1:5" x14ac:dyDescent="0.25">
      <c r="A35440" t="str">
        <f>HYPERLINK("https://www.773grp.com/globalSearch/NCP2820MUTBG/page-1", "NCP2820MUTBG")</f>
        <v>NCP2820MUTBG</v>
      </c>
      <c r="B35440" s="3" t="s">
        <v>95</v>
      </c>
      <c r="C35440" s="6">
        <v>30000</v>
      </c>
      <c r="D35440" s="7">
        <v>1.21</v>
      </c>
      <c r="E35440" t="s">
        <v>18</v>
      </c>
    </row>
    <row r="35441" spans="1:5" x14ac:dyDescent="0.25">
      <c r="A35441" t="str">
        <f>HYPERLINK("https://www.773grp.com/globalSearch/NCP3985SN18T1G/page-1", "NCP3985SN18T1G")</f>
        <v>NCP3985SN18T1G</v>
      </c>
      <c r="B35441" s="3" t="s">
        <v>95</v>
      </c>
      <c r="C35441" s="6">
        <v>47605</v>
      </c>
      <c r="D35441" s="7">
        <v>1.21</v>
      </c>
      <c r="E35441" t="s">
        <v>19</v>
      </c>
    </row>
    <row r="35442" spans="1:5" x14ac:dyDescent="0.25">
      <c r="A35442" t="str">
        <f>HYPERLINK("https://www.773grp.com/globalSearch/NCP3985SN275T1G/page-1", "NCP3985SN275T1G")</f>
        <v>NCP3985SN275T1G</v>
      </c>
      <c r="B35442" s="3" t="s">
        <v>95</v>
      </c>
      <c r="C35442" s="6">
        <v>15000</v>
      </c>
      <c r="D35442" s="7">
        <v>1.21</v>
      </c>
      <c r="E35442" t="s">
        <v>19</v>
      </c>
    </row>
    <row r="35443" spans="1:5" x14ac:dyDescent="0.25">
      <c r="A35443" t="str">
        <f>HYPERLINK("https://www.773grp.com/globalSearch/NCP3985SN28T1G/page-1", "NCP3985SN28T1G")</f>
        <v>NCP3985SN28T1G</v>
      </c>
      <c r="B35443" s="3" t="s">
        <v>95</v>
      </c>
      <c r="C35443" s="6">
        <v>20955</v>
      </c>
      <c r="D35443" s="7">
        <v>1.21</v>
      </c>
      <c r="E35443" t="s">
        <v>19</v>
      </c>
    </row>
    <row r="35444" spans="1:5" x14ac:dyDescent="0.25">
      <c r="A35444" t="str">
        <f>HYPERLINK("https://www.773grp.com/globalSearch/NCP3985SN30T1G/page-1", "NCP3985SN30T1G")</f>
        <v>NCP3985SN30T1G</v>
      </c>
      <c r="B35444" s="3" t="s">
        <v>95</v>
      </c>
      <c r="C35444" s="6">
        <v>35930</v>
      </c>
      <c r="D35444" s="7">
        <v>1.21</v>
      </c>
      <c r="E35444" t="s">
        <v>19</v>
      </c>
    </row>
    <row r="35445" spans="1:5" x14ac:dyDescent="0.25">
      <c r="A35445" t="str">
        <f>HYPERLINK("https://www.773grp.com/globalSearch/NCP5208DR2/page-1", "NCP5208DR2")</f>
        <v>NCP5208DR2</v>
      </c>
      <c r="B35445" s="3" t="s">
        <v>95</v>
      </c>
      <c r="C35445" s="6">
        <v>4863</v>
      </c>
      <c r="D35445" s="7">
        <v>1.21</v>
      </c>
      <c r="E35445" t="s">
        <v>24</v>
      </c>
    </row>
    <row r="35446" spans="1:5" x14ac:dyDescent="0.25">
      <c r="A35446" t="str">
        <f>HYPERLINK("https://www.773grp.com/globalSearch/NCP5359AMNTBG/page-1", "NCP5359AMNTBG")</f>
        <v>NCP5359AMNTBG</v>
      </c>
      <c r="B35446" s="3" t="s">
        <v>95</v>
      </c>
      <c r="C35446" s="6">
        <v>39000</v>
      </c>
      <c r="D35446" s="7">
        <v>1.21</v>
      </c>
    </row>
    <row r="35447" spans="1:5" x14ac:dyDescent="0.25">
      <c r="A35447" t="str">
        <f>HYPERLINK("https://www.773grp.com/globalSearch/NCP582DXV15T2G/page-1", "NCP582DXV15T2G")</f>
        <v>NCP582DXV15T2G</v>
      </c>
      <c r="B35447" s="3" t="s">
        <v>95</v>
      </c>
      <c r="C35447" s="6">
        <v>8000</v>
      </c>
      <c r="D35447" s="7">
        <v>1.21</v>
      </c>
      <c r="E35447" t="s">
        <v>19</v>
      </c>
    </row>
    <row r="35448" spans="1:5" x14ac:dyDescent="0.25">
      <c r="A35448" t="str">
        <f>HYPERLINK("https://www.773grp.com/globalSearch/NCP582DXV18T2G/page-1", "NCP582DXV18T2G")</f>
        <v>NCP582DXV18T2G</v>
      </c>
      <c r="B35448" s="3" t="s">
        <v>95</v>
      </c>
      <c r="C35448" s="6">
        <v>315915</v>
      </c>
      <c r="D35448" s="7">
        <v>1.21</v>
      </c>
      <c r="E35448" t="s">
        <v>19</v>
      </c>
    </row>
    <row r="35449" spans="1:5" x14ac:dyDescent="0.25">
      <c r="A35449" t="str">
        <f>HYPERLINK("https://www.773grp.com/globalSearch/NCP582DXV25T2G/page-1", "NCP582DXV25T2G")</f>
        <v>NCP582DXV25T2G</v>
      </c>
      <c r="B35449" s="3" t="s">
        <v>95</v>
      </c>
      <c r="C35449" s="6">
        <v>16000</v>
      </c>
      <c r="D35449" s="7">
        <v>1.21</v>
      </c>
      <c r="E35449" t="s">
        <v>19</v>
      </c>
    </row>
    <row r="35450" spans="1:5" x14ac:dyDescent="0.25">
      <c r="A35450" t="str">
        <f>HYPERLINK("https://www.773grp.com/globalSearch/NCP582DXV28T2G/page-1", "NCP582DXV28T2G")</f>
        <v>NCP582DXV28T2G</v>
      </c>
      <c r="B35450" s="3" t="s">
        <v>95</v>
      </c>
      <c r="C35450" s="6">
        <v>160767</v>
      </c>
      <c r="D35450" s="7">
        <v>1.21</v>
      </c>
      <c r="E35450" t="s">
        <v>19</v>
      </c>
    </row>
    <row r="35451" spans="1:5" x14ac:dyDescent="0.25">
      <c r="A35451" t="str">
        <f>HYPERLINK("https://www.773grp.com/globalSearch/NCP582DXV29T2G/page-1", "NCP582DXV29T2G")</f>
        <v>NCP582DXV29T2G</v>
      </c>
      <c r="B35451" s="3" t="s">
        <v>95</v>
      </c>
      <c r="C35451" s="6">
        <v>16000</v>
      </c>
      <c r="D35451" s="7">
        <v>1.21</v>
      </c>
      <c r="E35451" t="s">
        <v>19</v>
      </c>
    </row>
    <row r="35452" spans="1:5" x14ac:dyDescent="0.25">
      <c r="A35452" t="str">
        <f>HYPERLINK("https://www.773grp.com/globalSearch/NCP582DXV33T2G/page-1", "NCP582DXV33T2G")</f>
        <v>NCP582DXV33T2G</v>
      </c>
      <c r="B35452" s="3" t="s">
        <v>95</v>
      </c>
      <c r="C35452" s="6">
        <v>308000</v>
      </c>
      <c r="D35452" s="7">
        <v>1.21</v>
      </c>
      <c r="E35452" t="s">
        <v>19</v>
      </c>
    </row>
    <row r="35453" spans="1:5" x14ac:dyDescent="0.25">
      <c r="A35453" t="str">
        <f>HYPERLINK("https://www.773grp.com/globalSearch/NCP582LXV15T2G/page-1", "NCP582LXV15T2G")</f>
        <v>NCP582LXV15T2G</v>
      </c>
      <c r="B35453" s="3" t="s">
        <v>95</v>
      </c>
      <c r="C35453" s="6">
        <v>16000</v>
      </c>
      <c r="D35453" s="7">
        <v>1.21</v>
      </c>
      <c r="E35453" t="s">
        <v>19</v>
      </c>
    </row>
    <row r="35454" spans="1:5" x14ac:dyDescent="0.25">
      <c r="A35454" t="str">
        <f>HYPERLINK("https://www.773grp.com/globalSearch/NCP582LXV18T2G/page-1", "NCP582LXV18T2G")</f>
        <v>NCP582LXV18T2G</v>
      </c>
      <c r="B35454" s="3" t="s">
        <v>95</v>
      </c>
      <c r="C35454" s="6">
        <v>11000</v>
      </c>
      <c r="D35454" s="7">
        <v>1.21</v>
      </c>
      <c r="E35454" t="s">
        <v>19</v>
      </c>
    </row>
    <row r="35455" spans="1:5" x14ac:dyDescent="0.25">
      <c r="A35455" t="str">
        <f>HYPERLINK("https://www.773grp.com/globalSearch/NCP582LXV25T2G/page-1", "NCP582LXV25T2G")</f>
        <v>NCP582LXV25T2G</v>
      </c>
      <c r="B35455" s="3" t="s">
        <v>95</v>
      </c>
      <c r="C35455" s="6">
        <v>16000</v>
      </c>
      <c r="D35455" s="7">
        <v>1.21</v>
      </c>
      <c r="E35455" t="s">
        <v>19</v>
      </c>
    </row>
    <row r="35456" spans="1:5" x14ac:dyDescent="0.25">
      <c r="A35456" t="str">
        <f>HYPERLINK("https://www.773grp.com/globalSearch/NCP582LXV28T2G/page-1", "NCP582LXV28T2G")</f>
        <v>NCP582LXV28T2G</v>
      </c>
      <c r="B35456" s="3" t="s">
        <v>95</v>
      </c>
      <c r="C35456" s="6">
        <v>64000</v>
      </c>
      <c r="D35456" s="7">
        <v>1.21</v>
      </c>
      <c r="E35456" t="s">
        <v>19</v>
      </c>
    </row>
    <row r="35457" spans="1:5" x14ac:dyDescent="0.25">
      <c r="A35457" t="str">
        <f>HYPERLINK("https://www.773grp.com/globalSearch/NCP582LXV29T2G/page-1", "NCP582LXV29T2G")</f>
        <v>NCP582LXV29T2G</v>
      </c>
      <c r="B35457" s="3" t="s">
        <v>95</v>
      </c>
      <c r="C35457" s="6">
        <v>20000</v>
      </c>
      <c r="D35457" s="7">
        <v>1.21</v>
      </c>
      <c r="E35457" t="s">
        <v>19</v>
      </c>
    </row>
    <row r="35458" spans="1:5" x14ac:dyDescent="0.25">
      <c r="A35458" t="str">
        <f>HYPERLINK("https://www.773grp.com/globalSearch/NCP582LXV30T2G/page-1", "NCP582LXV30T2G")</f>
        <v>NCP582LXV30T2G</v>
      </c>
      <c r="B35458" s="3" t="s">
        <v>95</v>
      </c>
      <c r="C35458" s="6">
        <v>14900</v>
      </c>
      <c r="D35458" s="7">
        <v>1.21</v>
      </c>
      <c r="E35458" t="s">
        <v>19</v>
      </c>
    </row>
    <row r="35459" spans="1:5" x14ac:dyDescent="0.25">
      <c r="A35459" t="str">
        <f>HYPERLINK("https://www.773grp.com/globalSearch/NCP582LXV33T2G/page-1", "NCP582LXV33T2G")</f>
        <v>NCP582LXV33T2G</v>
      </c>
      <c r="B35459" s="3" t="s">
        <v>95</v>
      </c>
      <c r="C35459" s="6">
        <v>4000</v>
      </c>
      <c r="D35459" s="7">
        <v>1.21</v>
      </c>
      <c r="E35459" t="s">
        <v>19</v>
      </c>
    </row>
    <row r="35460" spans="1:5" x14ac:dyDescent="0.25">
      <c r="A35460" t="str">
        <f>HYPERLINK("https://www.773grp.com/globalSearch/NCP584HSN09T1G/page-1", "NCP584HSN09T1G")</f>
        <v>NCP584HSN09T1G</v>
      </c>
      <c r="B35460" s="3" t="s">
        <v>95</v>
      </c>
      <c r="C35460" s="6">
        <v>5998</v>
      </c>
      <c r="D35460" s="7">
        <v>1.21</v>
      </c>
      <c r="E35460" t="s">
        <v>19</v>
      </c>
    </row>
    <row r="35461" spans="1:5" x14ac:dyDescent="0.25">
      <c r="A35461" t="str">
        <f>HYPERLINK("https://www.773grp.com/globalSearch/NCP584HSN12T1G/page-1", "NCP584HSN12T1G")</f>
        <v>NCP584HSN12T1G</v>
      </c>
      <c r="B35461" s="3" t="s">
        <v>95</v>
      </c>
      <c r="C35461" s="6">
        <v>52545</v>
      </c>
      <c r="D35461" s="7">
        <v>1.21</v>
      </c>
      <c r="E35461" t="s">
        <v>19</v>
      </c>
    </row>
    <row r="35462" spans="1:5" x14ac:dyDescent="0.25">
      <c r="A35462" t="str">
        <f>HYPERLINK("https://www.773grp.com/globalSearch/NCP584HSN15T1G/page-1", "NCP584HSN15T1G")</f>
        <v>NCP584HSN15T1G</v>
      </c>
      <c r="B35462" s="3" t="s">
        <v>95</v>
      </c>
      <c r="C35462" s="6">
        <v>224770</v>
      </c>
      <c r="D35462" s="7">
        <v>1.21</v>
      </c>
      <c r="E35462" t="s">
        <v>19</v>
      </c>
    </row>
    <row r="35463" spans="1:5" x14ac:dyDescent="0.25">
      <c r="A35463" t="str">
        <f>HYPERLINK("https://www.773grp.com/globalSearch/NCP584HSN18T1G/page-1", "NCP584HSN18T1G")</f>
        <v>NCP584HSN18T1G</v>
      </c>
      <c r="B35463" s="3" t="s">
        <v>95</v>
      </c>
      <c r="C35463" s="6">
        <v>27000</v>
      </c>
      <c r="D35463" s="7">
        <v>1.21</v>
      </c>
      <c r="E35463" t="s">
        <v>19</v>
      </c>
    </row>
    <row r="35464" spans="1:5" x14ac:dyDescent="0.25">
      <c r="A35464" t="str">
        <f>HYPERLINK("https://www.773grp.com/globalSearch/NCP584HSN25T1G/page-1", "NCP584HSN25T1G")</f>
        <v>NCP584HSN25T1G</v>
      </c>
      <c r="B35464" s="3" t="s">
        <v>95</v>
      </c>
      <c r="C35464" s="6">
        <v>8782</v>
      </c>
      <c r="D35464" s="7">
        <v>1.21</v>
      </c>
      <c r="E35464" t="s">
        <v>19</v>
      </c>
    </row>
    <row r="35465" spans="1:5" x14ac:dyDescent="0.25">
      <c r="A35465" t="str">
        <f>HYPERLINK("https://www.773grp.com/globalSearch/NCP584HSN26T1G/page-1", "NCP584HSN26T1G")</f>
        <v>NCP584HSN26T1G</v>
      </c>
      <c r="B35465" s="3" t="s">
        <v>95</v>
      </c>
      <c r="C35465" s="6">
        <v>6000</v>
      </c>
      <c r="D35465" s="7">
        <v>1.21</v>
      </c>
      <c r="E35465" t="s">
        <v>19</v>
      </c>
    </row>
    <row r="35466" spans="1:5" x14ac:dyDescent="0.25">
      <c r="A35466" t="str">
        <f>HYPERLINK("https://www.773grp.com/globalSearch/NCP584HSN30T1G/page-1", "NCP584HSN30T1G")</f>
        <v>NCP584HSN30T1G</v>
      </c>
      <c r="B35466" s="3" t="s">
        <v>95</v>
      </c>
      <c r="C35466" s="6">
        <v>35740</v>
      </c>
      <c r="D35466" s="7">
        <v>1.21</v>
      </c>
      <c r="E35466" t="s">
        <v>19</v>
      </c>
    </row>
    <row r="35467" spans="1:5" x14ac:dyDescent="0.25">
      <c r="A35467" t="str">
        <f>HYPERLINK("https://www.773grp.com/globalSearch/NCP584HSN31T1G/page-1", "NCP584HSN31T1G")</f>
        <v>NCP584HSN31T1G</v>
      </c>
      <c r="B35467" s="3" t="s">
        <v>95</v>
      </c>
      <c r="C35467" s="6">
        <v>618000</v>
      </c>
      <c r="D35467" s="7">
        <v>1.21</v>
      </c>
      <c r="E35467" t="s">
        <v>19</v>
      </c>
    </row>
    <row r="35468" spans="1:5" x14ac:dyDescent="0.25">
      <c r="A35468" t="str">
        <f>HYPERLINK("https://www.773grp.com/globalSearch/NCP584HSN33T1G/page-1", "NCP584HSN33T1G")</f>
        <v>NCP584HSN33T1G</v>
      </c>
      <c r="B35468" s="3" t="s">
        <v>95</v>
      </c>
      <c r="C35468" s="6">
        <v>18000</v>
      </c>
      <c r="D35468" s="7">
        <v>1.21</v>
      </c>
      <c r="E35468" t="s">
        <v>19</v>
      </c>
    </row>
    <row r="35469" spans="1:5" x14ac:dyDescent="0.25">
      <c r="A35469" t="str">
        <f>HYPERLINK("https://www.773grp.com/globalSearch/NCP584LSN09T1G/page-1", "NCP584LSN09T1G")</f>
        <v>NCP584LSN09T1G</v>
      </c>
      <c r="B35469" s="3" t="s">
        <v>95</v>
      </c>
      <c r="C35469" s="6">
        <v>20970</v>
      </c>
      <c r="D35469" s="7">
        <v>1.21</v>
      </c>
      <c r="E35469" t="s">
        <v>19</v>
      </c>
    </row>
    <row r="35470" spans="1:5" x14ac:dyDescent="0.25">
      <c r="A35470" t="str">
        <f>HYPERLINK("https://www.773grp.com/globalSearch/NCP584LSN12T1G/page-1", "NCP584LSN12T1G")</f>
        <v>NCP584LSN12T1G</v>
      </c>
      <c r="B35470" s="3" t="s">
        <v>95</v>
      </c>
      <c r="C35470" s="6">
        <v>9764</v>
      </c>
      <c r="D35470" s="7">
        <v>1.21</v>
      </c>
      <c r="E35470" t="s">
        <v>19</v>
      </c>
    </row>
    <row r="35471" spans="1:5" x14ac:dyDescent="0.25">
      <c r="A35471" t="str">
        <f>HYPERLINK("https://www.773grp.com/globalSearch/NCP584LSN18T1G/page-1", "NCP584LSN18T1G")</f>
        <v>NCP584LSN18T1G</v>
      </c>
      <c r="B35471" s="3" t="s">
        <v>95</v>
      </c>
      <c r="C35471" s="6">
        <v>1010919</v>
      </c>
      <c r="D35471" s="7">
        <v>1.21</v>
      </c>
      <c r="E35471" t="s">
        <v>19</v>
      </c>
    </row>
    <row r="35472" spans="1:5" x14ac:dyDescent="0.25">
      <c r="A35472" t="str">
        <f>HYPERLINK("https://www.773grp.com/globalSearch/NCP585DSAN09T1G/page-1", "NCP585DSAN09T1G")</f>
        <v>NCP585DSAN09T1G</v>
      </c>
      <c r="B35472" s="3" t="s">
        <v>95</v>
      </c>
      <c r="C35472" s="6">
        <v>12000</v>
      </c>
      <c r="D35472" s="7">
        <v>1.21</v>
      </c>
      <c r="E35472" t="s">
        <v>19</v>
      </c>
    </row>
    <row r="35473" spans="1:5" x14ac:dyDescent="0.25">
      <c r="A35473" t="str">
        <f>HYPERLINK("https://www.773grp.com/globalSearch/NCP585DSAN12T1G/page-1", "NCP585DSAN12T1G")</f>
        <v>NCP585DSAN12T1G</v>
      </c>
      <c r="B35473" s="3" t="s">
        <v>95</v>
      </c>
      <c r="C35473" s="6">
        <v>9000</v>
      </c>
      <c r="D35473" s="7">
        <v>1.21</v>
      </c>
      <c r="E35473" t="s">
        <v>19</v>
      </c>
    </row>
    <row r="35474" spans="1:5" x14ac:dyDescent="0.25">
      <c r="A35474" t="str">
        <f>HYPERLINK("https://www.773grp.com/globalSearch/NCP585DSAN18T1G/page-1", "NCP585DSAN18T1G")</f>
        <v>NCP585DSAN18T1G</v>
      </c>
      <c r="B35474" s="3" t="s">
        <v>95</v>
      </c>
      <c r="C35474" s="6">
        <v>8419</v>
      </c>
      <c r="D35474" s="7">
        <v>1.21</v>
      </c>
      <c r="E35474" t="s">
        <v>19</v>
      </c>
    </row>
    <row r="35475" spans="1:5" x14ac:dyDescent="0.25">
      <c r="A35475" t="str">
        <f>HYPERLINK("https://www.773grp.com/globalSearch/NCP585HSAN09T1G/page-1", "NCP585HSAN09T1G")</f>
        <v>NCP585HSAN09T1G</v>
      </c>
      <c r="B35475" s="3" t="s">
        <v>95</v>
      </c>
      <c r="C35475" s="6">
        <v>15000</v>
      </c>
      <c r="D35475" s="7">
        <v>1.21</v>
      </c>
      <c r="E35475" t="s">
        <v>19</v>
      </c>
    </row>
    <row r="35476" spans="1:5" x14ac:dyDescent="0.25">
      <c r="A35476" t="str">
        <f>HYPERLINK("https://www.773grp.com/globalSearch/NCP585HSAN12T1G/page-1", "NCP585HSAN12T1G")</f>
        <v>NCP585HSAN12T1G</v>
      </c>
      <c r="B35476" s="3" t="s">
        <v>95</v>
      </c>
      <c r="C35476" s="6">
        <v>13978</v>
      </c>
      <c r="D35476" s="7">
        <v>1.21</v>
      </c>
      <c r="E35476" t="s">
        <v>19</v>
      </c>
    </row>
    <row r="35477" spans="1:5" x14ac:dyDescent="0.25">
      <c r="A35477" t="str">
        <f>HYPERLINK("https://www.773grp.com/globalSearch/NCP585HSAN18T1G/page-1", "NCP585HSAN18T1G")</f>
        <v>NCP585HSAN18T1G</v>
      </c>
      <c r="B35477" s="3" t="s">
        <v>95</v>
      </c>
      <c r="C35477" s="6">
        <v>11980</v>
      </c>
      <c r="D35477" s="7">
        <v>1.21</v>
      </c>
      <c r="E35477" t="s">
        <v>19</v>
      </c>
    </row>
    <row r="35478" spans="1:5" x14ac:dyDescent="0.25">
      <c r="A35478" t="str">
        <f>HYPERLINK("https://www.773grp.com/globalSearch/NCP585LSAN09T1G/page-1", "NCP585LSAN09T1G")</f>
        <v>NCP585LSAN09T1G</v>
      </c>
      <c r="B35478" s="3" t="s">
        <v>95</v>
      </c>
      <c r="C35478" s="6">
        <v>12000</v>
      </c>
      <c r="D35478" s="7">
        <v>1.21</v>
      </c>
      <c r="E35478" t="s">
        <v>19</v>
      </c>
    </row>
    <row r="35479" spans="1:5" x14ac:dyDescent="0.25">
      <c r="A35479" t="str">
        <f>HYPERLINK("https://www.773grp.com/globalSearch/NCP585LSAN12T1G/page-1", "NCP585LSAN12T1G")</f>
        <v>NCP585LSAN12T1G</v>
      </c>
      <c r="B35479" s="3" t="s">
        <v>95</v>
      </c>
      <c r="C35479" s="6">
        <v>9000</v>
      </c>
      <c r="D35479" s="7">
        <v>1.21</v>
      </c>
      <c r="E35479" t="s">
        <v>19</v>
      </c>
    </row>
    <row r="35480" spans="1:5" x14ac:dyDescent="0.25">
      <c r="A35480" t="str">
        <f>HYPERLINK("https://www.773grp.com/globalSearch/NCP585LSAN18T1G/page-1", "NCP585LSAN18T1G")</f>
        <v>NCP585LSAN18T1G</v>
      </c>
      <c r="B35480" s="3" t="s">
        <v>95</v>
      </c>
      <c r="C35480" s="6">
        <v>14970</v>
      </c>
      <c r="D35480" s="7">
        <v>1.21</v>
      </c>
      <c r="E35480" t="s">
        <v>19</v>
      </c>
    </row>
    <row r="35481" spans="1:5" x14ac:dyDescent="0.25">
      <c r="A35481" t="str">
        <f>HYPERLINK("https://www.773grp.com/globalSearch/NCP623DM-33R2/page-1", "NCP623DM-33R2")</f>
        <v>NCP623DM-33R2</v>
      </c>
      <c r="B35481" s="3" t="s">
        <v>95</v>
      </c>
      <c r="C35481" s="6">
        <v>4000</v>
      </c>
      <c r="D35481" s="7">
        <v>1.21</v>
      </c>
      <c r="E35481" t="s">
        <v>19</v>
      </c>
    </row>
    <row r="35482" spans="1:5" x14ac:dyDescent="0.25">
      <c r="A35482" t="str">
        <f>HYPERLINK("https://www.773grp.com/globalSearch/NCP623DM-40R2G/page-1", "NCP623DM-40R2G")</f>
        <v>NCP623DM-40R2G</v>
      </c>
      <c r="B35482" s="3" t="s">
        <v>95</v>
      </c>
      <c r="C35482" s="6">
        <v>23972</v>
      </c>
      <c r="D35482" s="7">
        <v>1.21</v>
      </c>
      <c r="E35482" t="s">
        <v>19</v>
      </c>
    </row>
    <row r="35483" spans="1:5" x14ac:dyDescent="0.25">
      <c r="A35483" t="str">
        <f>HYPERLINK("https://www.773grp.com/globalSearch/NCP623DM-50R2/page-1", "NCP623DM-50R2")</f>
        <v>NCP623DM-50R2</v>
      </c>
      <c r="B35483" s="3" t="s">
        <v>95</v>
      </c>
      <c r="C35483" s="6">
        <v>3597</v>
      </c>
      <c r="D35483" s="7">
        <v>1.21</v>
      </c>
      <c r="E35483" t="s">
        <v>19</v>
      </c>
    </row>
    <row r="35484" spans="1:5" x14ac:dyDescent="0.25">
      <c r="A35484" t="str">
        <f>HYPERLINK("https://www.773grp.com/globalSearch/NCP700BSN18T1G/page-1", "NCP700BSN18T1G")</f>
        <v>NCP700BSN18T1G</v>
      </c>
      <c r="B35484" s="3" t="s">
        <v>95</v>
      </c>
      <c r="C35484" s="6">
        <v>3000</v>
      </c>
      <c r="D35484" s="7">
        <v>1.21</v>
      </c>
    </row>
    <row r="35485" spans="1:5" x14ac:dyDescent="0.25">
      <c r="A35485" t="str">
        <f>HYPERLINK("https://www.773grp.com/globalSearch/NCP78M09CTG/page-1", "NCP78M09CTG")</f>
        <v>NCP78M09CTG</v>
      </c>
      <c r="B35485" s="3" t="s">
        <v>95</v>
      </c>
      <c r="C35485" s="6">
        <v>44700</v>
      </c>
      <c r="D35485" s="7">
        <v>1.21</v>
      </c>
    </row>
    <row r="35486" spans="1:5" x14ac:dyDescent="0.25">
      <c r="A35486" t="str">
        <f>HYPERLINK("https://www.773grp.com/globalSearch/NCS2200SN2T1G/page-1", "NCS2200SN2T1G")</f>
        <v>NCS2200SN2T1G</v>
      </c>
      <c r="B35486" s="3" t="s">
        <v>95</v>
      </c>
      <c r="C35486" s="6">
        <v>98263</v>
      </c>
      <c r="D35486" s="7">
        <v>1.21</v>
      </c>
      <c r="E35486" t="s">
        <v>9</v>
      </c>
    </row>
    <row r="35487" spans="1:5" x14ac:dyDescent="0.25">
      <c r="A35487" t="str">
        <f>HYPERLINK("https://www.773grp.com/globalSearch/NCS2200SQ2T2G/page-1", "NCS2200SQ2T2G")</f>
        <v>NCS2200SQ2T2G</v>
      </c>
      <c r="B35487" s="3" t="s">
        <v>95</v>
      </c>
      <c r="C35487" s="6">
        <v>39000</v>
      </c>
      <c r="D35487" s="7">
        <v>1.21</v>
      </c>
      <c r="E35487" t="s">
        <v>9</v>
      </c>
    </row>
    <row r="35488" spans="1:5" x14ac:dyDescent="0.25">
      <c r="A35488" t="str">
        <f>HYPERLINK("https://www.773grp.com/globalSearch/NCS2200SQLT1G/page-1", "NCS2200SQLT1G")</f>
        <v>NCS2200SQLT1G</v>
      </c>
      <c r="B35488" s="3" t="s">
        <v>95</v>
      </c>
      <c r="C35488" s="6">
        <v>20765</v>
      </c>
      <c r="D35488" s="7">
        <v>1.21</v>
      </c>
      <c r="E35488" t="s">
        <v>9</v>
      </c>
    </row>
    <row r="35489" spans="1:5" x14ac:dyDescent="0.25">
      <c r="A35489" t="str">
        <f>HYPERLINK("https://www.773grp.com/globalSearch/NCS2202SQ2T2G/page-1", "NCS2202SQ2T2G")</f>
        <v>NCS2202SQ2T2G</v>
      </c>
      <c r="B35489" s="3" t="s">
        <v>95</v>
      </c>
      <c r="C35489" s="6">
        <v>80121</v>
      </c>
      <c r="D35489" s="7">
        <v>1.21</v>
      </c>
      <c r="E35489" t="s">
        <v>9</v>
      </c>
    </row>
    <row r="35490" spans="1:5" x14ac:dyDescent="0.25">
      <c r="A35490" t="str">
        <f>HYPERLINK("https://www.773grp.com/globalSearch/NCV2904DR2/page-1", "NCV2904DR2")</f>
        <v>NCV2904DR2</v>
      </c>
      <c r="B35490" s="3" t="s">
        <v>95</v>
      </c>
      <c r="C35490" s="6">
        <v>39711</v>
      </c>
      <c r="D35490" s="7">
        <v>1.21</v>
      </c>
      <c r="E35490" t="s">
        <v>13</v>
      </c>
    </row>
    <row r="35491" spans="1:5" x14ac:dyDescent="0.25">
      <c r="A35491" t="str">
        <f>HYPERLINK("https://www.773grp.com/globalSearch/NCV2931CDR2/page-1", "NCV2931CDR2")</f>
        <v>NCV2931CDR2</v>
      </c>
      <c r="B35491" s="3" t="s">
        <v>95</v>
      </c>
      <c r="C35491" s="6">
        <v>2280</v>
      </c>
      <c r="D35491" s="7">
        <v>1.21</v>
      </c>
      <c r="E35491" t="s">
        <v>25</v>
      </c>
    </row>
    <row r="35492" spans="1:5" x14ac:dyDescent="0.25">
      <c r="A35492" t="str">
        <f>HYPERLINK("https://www.773grp.com/globalSearch/NCV494BDR2/page-1", "NCV494BDR2")</f>
        <v>NCV494BDR2</v>
      </c>
      <c r="B35492" s="3" t="s">
        <v>95</v>
      </c>
      <c r="C35492" s="6">
        <v>38619</v>
      </c>
      <c r="D35492" s="7">
        <v>1.21</v>
      </c>
      <c r="E35492" t="s">
        <v>7</v>
      </c>
    </row>
    <row r="35493" spans="1:5" x14ac:dyDescent="0.25">
      <c r="A35493" t="str">
        <f>HYPERLINK("https://www.773grp.com/globalSearch/NCV571SN08T1G/page-1", "NCV571SN08T1G")</f>
        <v>NCV571SN08T1G</v>
      </c>
      <c r="B35493" s="3" t="s">
        <v>95</v>
      </c>
      <c r="C35493" s="6">
        <v>15000</v>
      </c>
      <c r="D35493" s="7">
        <v>1.21</v>
      </c>
      <c r="E35493" t="s">
        <v>19</v>
      </c>
    </row>
    <row r="35494" spans="1:5" x14ac:dyDescent="0.25">
      <c r="A35494" t="str">
        <f>HYPERLINK("https://www.773grp.com/globalSearch/NCV571SN09T1G/page-1", "NCV571SN09T1G")</f>
        <v>NCV571SN09T1G</v>
      </c>
      <c r="B35494" s="3" t="s">
        <v>95</v>
      </c>
      <c r="C35494" s="6">
        <v>15000</v>
      </c>
      <c r="D35494" s="7">
        <v>1.21</v>
      </c>
      <c r="E35494" t="s">
        <v>19</v>
      </c>
    </row>
    <row r="35495" spans="1:5" x14ac:dyDescent="0.25">
      <c r="A35495" t="str">
        <f>HYPERLINK("https://www.773grp.com/globalSearch/NCV571SN10T1G/page-1", "NCV571SN10T1G")</f>
        <v>NCV571SN10T1G</v>
      </c>
      <c r="B35495" s="3" t="s">
        <v>95</v>
      </c>
      <c r="C35495" s="6">
        <v>18000</v>
      </c>
      <c r="D35495" s="7">
        <v>1.21</v>
      </c>
    </row>
    <row r="35496" spans="1:5" x14ac:dyDescent="0.25">
      <c r="A35496" t="str">
        <f>HYPERLINK("https://www.773grp.com/globalSearch/NCV571SN12T1G/page-1", "NCV571SN12T1G")</f>
        <v>NCV571SN12T1G</v>
      </c>
      <c r="B35496" s="3" t="s">
        <v>95</v>
      </c>
      <c r="C35496" s="6">
        <v>1130</v>
      </c>
      <c r="D35496" s="7">
        <v>1.21</v>
      </c>
    </row>
    <row r="35497" spans="1:5" x14ac:dyDescent="0.25">
      <c r="A35497" t="str">
        <f>HYPERLINK("https://www.773grp.com/globalSearch/NCV78M05BDTRK/page-1", "NCV78M05BDTRK")</f>
        <v>NCV78M05BDTRK</v>
      </c>
      <c r="B35497" s="3" t="s">
        <v>95</v>
      </c>
      <c r="C35497" s="6">
        <v>4584</v>
      </c>
      <c r="D35497" s="7">
        <v>1.21</v>
      </c>
      <c r="E35497" t="s">
        <v>28</v>
      </c>
    </row>
    <row r="35498" spans="1:5" x14ac:dyDescent="0.25">
      <c r="A35498" t="str">
        <f>HYPERLINK("https://www.773grp.com/globalSearch/NCV78M05BDTRKG/page-1", "NCV78M05BDTRKG")</f>
        <v>NCV78M05BDTRKG</v>
      </c>
      <c r="B35498" s="3" t="s">
        <v>95</v>
      </c>
      <c r="C35498" s="6">
        <v>202500</v>
      </c>
      <c r="D35498" s="7">
        <v>1.21</v>
      </c>
    </row>
    <row r="35499" spans="1:5" x14ac:dyDescent="0.25">
      <c r="A35499" t="str">
        <f>HYPERLINK("https://www.773grp.com/globalSearch/NCV78M08BDTRKG/page-1", "NCV78M08BDTRKG")</f>
        <v>NCV78M08BDTRKG</v>
      </c>
      <c r="B35499" s="3" t="s">
        <v>95</v>
      </c>
      <c r="C35499" s="6">
        <v>7500</v>
      </c>
      <c r="D35499" s="7">
        <v>1.21</v>
      </c>
    </row>
    <row r="35500" spans="1:5" x14ac:dyDescent="0.25">
      <c r="A35500" t="str">
        <f>HYPERLINK("https://www.773grp.com/globalSearch/NCV78M12BDTRKG/page-1", "NCV78M12BDTRKG")</f>
        <v>NCV78M12BDTRKG</v>
      </c>
      <c r="B35500" s="3" t="s">
        <v>95</v>
      </c>
      <c r="C35500" s="6">
        <v>2500</v>
      </c>
      <c r="D35500" s="7">
        <v>1.21</v>
      </c>
    </row>
    <row r="35501" spans="1:5" x14ac:dyDescent="0.25">
      <c r="A35501" t="str">
        <f>HYPERLINK("https://www.773grp.com/globalSearch/NCV78M15BDTG/page-1", "NCV78M15BDTG")</f>
        <v>NCV78M15BDTG</v>
      </c>
      <c r="B35501" s="3" t="s">
        <v>95</v>
      </c>
      <c r="C35501" s="6">
        <v>4725</v>
      </c>
      <c r="D35501" s="7">
        <v>1.21</v>
      </c>
    </row>
    <row r="35502" spans="1:5" x14ac:dyDescent="0.25">
      <c r="A35502" t="str">
        <f>HYPERLINK("https://www.773grp.com/globalSearch/NE5534D/page-1", "NE5534D")</f>
        <v>NE5534D</v>
      </c>
      <c r="B35502" s="3" t="s">
        <v>95</v>
      </c>
      <c r="C35502" s="6">
        <v>173</v>
      </c>
      <c r="D35502" s="7">
        <v>1.21</v>
      </c>
      <c r="E35502" t="s">
        <v>13</v>
      </c>
    </row>
    <row r="35503" spans="1:5" x14ac:dyDescent="0.25">
      <c r="A35503" t="str">
        <f>HYPERLINK("https://www.773grp.com/globalSearch/NE5534DR2/page-1", "NE5534DR2")</f>
        <v>NE5534DR2</v>
      </c>
      <c r="B35503" s="3" t="s">
        <v>95</v>
      </c>
      <c r="C35503" s="6">
        <v>20800</v>
      </c>
      <c r="D35503" s="7">
        <v>1.21</v>
      </c>
      <c r="E35503" t="s">
        <v>13</v>
      </c>
    </row>
    <row r="35504" spans="1:5" x14ac:dyDescent="0.25">
      <c r="A35504" t="str">
        <f>HYPERLINK("https://www.773grp.com/globalSearch/NJVMJD50T4G/page-1", "NJVMJD50T4G")</f>
        <v>NJVMJD50T4G</v>
      </c>
      <c r="B35504" s="3" t="s">
        <v>95</v>
      </c>
      <c r="C35504" s="6">
        <v>2500</v>
      </c>
      <c r="D35504" s="7">
        <v>1.21</v>
      </c>
    </row>
    <row r="35505" spans="1:5" x14ac:dyDescent="0.25">
      <c r="A35505" t="str">
        <f>HYPERLINK("https://www.773grp.com/globalSearch/NLAS5113MUTBG/page-1", "NLAS5113MUTBG")</f>
        <v>NLAS5113MUTBG</v>
      </c>
      <c r="B35505" s="3" t="s">
        <v>95</v>
      </c>
      <c r="C35505" s="6">
        <v>5865</v>
      </c>
      <c r="D35505" s="7">
        <v>1.21</v>
      </c>
      <c r="E35505" t="s">
        <v>56</v>
      </c>
    </row>
    <row r="35506" spans="1:5" x14ac:dyDescent="0.25">
      <c r="A35506" t="str">
        <f>HYPERLINK("https://www.773grp.com/globalSearch/NLAS8252MUTAG/page-1", "NLAS8252MUTAG")</f>
        <v>NLAS8252MUTAG</v>
      </c>
      <c r="B35506" s="3" t="s">
        <v>95</v>
      </c>
      <c r="C35506" s="6">
        <v>130900</v>
      </c>
      <c r="D35506" s="7">
        <v>1.21</v>
      </c>
    </row>
    <row r="35507" spans="1:5" x14ac:dyDescent="0.25">
      <c r="A35507" t="str">
        <f>HYPERLINK("https://www.773grp.com/globalSearch/NLV14015BDR2G/page-1", "NLV14015BDR2G")</f>
        <v>NLV14015BDR2G</v>
      </c>
      <c r="B35507" s="3" t="s">
        <v>95</v>
      </c>
      <c r="C35507" s="6">
        <v>29550</v>
      </c>
      <c r="D35507" s="7">
        <v>1.21</v>
      </c>
    </row>
    <row r="35508" spans="1:5" x14ac:dyDescent="0.25">
      <c r="A35508" t="str">
        <f>HYPERLINK("https://www.773grp.com/globalSearch/NLV14042BDG/page-1", "NLV14042BDG")</f>
        <v>NLV14042BDG</v>
      </c>
      <c r="B35508" s="3" t="s">
        <v>95</v>
      </c>
      <c r="C35508" s="6">
        <v>6768</v>
      </c>
      <c r="D35508" s="7">
        <v>1.21</v>
      </c>
    </row>
    <row r="35509" spans="1:5" x14ac:dyDescent="0.25">
      <c r="A35509" t="str">
        <f>HYPERLINK("https://www.773grp.com/globalSearch/NLV14042BDR2G/page-1", "NLV14042BDR2G")</f>
        <v>NLV14042BDR2G</v>
      </c>
      <c r="B35509" s="3" t="s">
        <v>95</v>
      </c>
      <c r="C35509" s="6">
        <v>5000</v>
      </c>
      <c r="D35509" s="7">
        <v>1.21</v>
      </c>
    </row>
    <row r="35510" spans="1:5" x14ac:dyDescent="0.25">
      <c r="A35510" t="str">
        <f>HYPERLINK("https://www.773grp.com/globalSearch/NLV14060BDR2G/page-1", "NLV14060BDR2G")</f>
        <v>NLV14060BDR2G</v>
      </c>
      <c r="B35510" s="3" t="s">
        <v>95</v>
      </c>
      <c r="C35510" s="6">
        <v>3940</v>
      </c>
      <c r="D35510" s="7">
        <v>1.21</v>
      </c>
    </row>
    <row r="35511" spans="1:5" x14ac:dyDescent="0.25">
      <c r="A35511" t="str">
        <f>HYPERLINK("https://www.773grp.com/globalSearch/NLV14060BDTR2G/page-1", "NLV14060BDTR2G")</f>
        <v>NLV14060BDTR2G</v>
      </c>
      <c r="B35511" s="3" t="s">
        <v>95</v>
      </c>
      <c r="C35511" s="6">
        <v>1940</v>
      </c>
      <c r="D35511" s="7">
        <v>1.21</v>
      </c>
    </row>
    <row r="35512" spans="1:5" x14ac:dyDescent="0.25">
      <c r="A35512" t="str">
        <f>HYPERLINK("https://www.773grp.com/globalSearch/NTB125N02R/page-1", "NTB125N02R")</f>
        <v>NTB125N02R</v>
      </c>
      <c r="B35512" s="3" t="s">
        <v>95</v>
      </c>
      <c r="C35512" s="6">
        <v>1200</v>
      </c>
      <c r="D35512" s="7">
        <v>1.21</v>
      </c>
      <c r="E35512" t="s">
        <v>105</v>
      </c>
    </row>
    <row r="35513" spans="1:5" x14ac:dyDescent="0.25">
      <c r="A35513" t="str">
        <f>HYPERLINK("https://www.773grp.com/globalSearch/NTB125N02RT4/page-1", "NTB125N02RT4")</f>
        <v>NTB125N02RT4</v>
      </c>
      <c r="B35513" s="3" t="s">
        <v>95</v>
      </c>
      <c r="C35513" s="6">
        <v>2623</v>
      </c>
      <c r="D35513" s="7">
        <v>1.21</v>
      </c>
      <c r="E35513" t="s">
        <v>105</v>
      </c>
    </row>
    <row r="35514" spans="1:5" x14ac:dyDescent="0.25">
      <c r="A35514" t="str">
        <f>HYPERLINK("https://www.773grp.com/globalSearch/NTB30N06/page-1", "NTB30N06")</f>
        <v>NTB30N06</v>
      </c>
      <c r="B35514" s="3" t="s">
        <v>95</v>
      </c>
      <c r="C35514" s="6">
        <v>650</v>
      </c>
      <c r="D35514" s="7">
        <v>1.21</v>
      </c>
      <c r="E35514" t="s">
        <v>105</v>
      </c>
    </row>
    <row r="35515" spans="1:5" x14ac:dyDescent="0.25">
      <c r="A35515" t="str">
        <f>HYPERLINK("https://www.773grp.com/globalSearch/NTD4855NT4G/page-1", "NTD4855NT4G")</f>
        <v>NTD4855NT4G</v>
      </c>
      <c r="B35515" s="3" t="s">
        <v>95</v>
      </c>
      <c r="C35515" s="6">
        <v>209901</v>
      </c>
      <c r="D35515" s="7">
        <v>1.21</v>
      </c>
      <c r="E35515" t="s">
        <v>105</v>
      </c>
    </row>
    <row r="35516" spans="1:5" x14ac:dyDescent="0.25">
      <c r="A35516" t="str">
        <f>HYPERLINK("https://www.773grp.com/globalSearch/NTD4855NT4H/page-1", "NTD4855NT4H")</f>
        <v>NTD4855NT4H</v>
      </c>
      <c r="B35516" s="3" t="s">
        <v>95</v>
      </c>
      <c r="C35516" s="6">
        <v>25000</v>
      </c>
      <c r="D35516" s="7">
        <v>1.21</v>
      </c>
    </row>
    <row r="35517" spans="1:5" x14ac:dyDescent="0.25">
      <c r="A35517" t="str">
        <f>HYPERLINK("https://www.773grp.com/globalSearch/NTHD2110TT1G/page-1", "NTHD2110TT1G")</f>
        <v>NTHD2110TT1G</v>
      </c>
      <c r="B35517" s="3" t="s">
        <v>95</v>
      </c>
      <c r="C35517" s="6">
        <v>45000</v>
      </c>
      <c r="D35517" s="7">
        <v>1.21</v>
      </c>
      <c r="E35517" t="s">
        <v>106</v>
      </c>
    </row>
    <row r="35518" spans="1:5" x14ac:dyDescent="0.25">
      <c r="A35518" t="str">
        <f>HYPERLINK("https://www.773grp.com/globalSearch/NTLJS4149PTAG/page-1", "NTLJS4149PTAG")</f>
        <v>NTLJS4149PTAG</v>
      </c>
      <c r="B35518" s="3" t="s">
        <v>95</v>
      </c>
      <c r="C35518" s="6">
        <v>3000</v>
      </c>
      <c r="D35518" s="7">
        <v>1.21</v>
      </c>
      <c r="E35518" t="s">
        <v>106</v>
      </c>
    </row>
    <row r="35519" spans="1:5" x14ac:dyDescent="0.25">
      <c r="A35519" t="str">
        <f>HYPERLINK("https://www.773grp.com/globalSearch/NTMD4N03R2G/page-1", "NTMD4N03R2G")</f>
        <v>NTMD4N03R2G</v>
      </c>
      <c r="B35519" s="3" t="s">
        <v>95</v>
      </c>
      <c r="C35519" s="6">
        <v>125190</v>
      </c>
      <c r="D35519" s="7">
        <v>1.21</v>
      </c>
      <c r="E35519" t="s">
        <v>105</v>
      </c>
    </row>
    <row r="35520" spans="1:5" x14ac:dyDescent="0.25">
      <c r="A35520" t="str">
        <f>HYPERLINK("https://www.773grp.com/globalSearch/NTMFS4841NHT1G/page-1", "NTMFS4841NHT1G")</f>
        <v>NTMFS4841NHT1G</v>
      </c>
      <c r="B35520" s="3" t="s">
        <v>95</v>
      </c>
      <c r="C35520" s="6">
        <v>452</v>
      </c>
      <c r="D35520" s="7">
        <v>1.21</v>
      </c>
      <c r="E35520" t="s">
        <v>105</v>
      </c>
    </row>
    <row r="35521" spans="1:5" x14ac:dyDescent="0.25">
      <c r="A35521" t="str">
        <f>HYPERLINK("https://www.773grp.com/globalSearch/NTMFS4847NAT1G/page-1", "NTMFS4847NAT1G")</f>
        <v>NTMFS4847NAT1G</v>
      </c>
      <c r="B35521" s="3" t="s">
        <v>95</v>
      </c>
      <c r="C35521" s="6">
        <v>168000</v>
      </c>
      <c r="D35521" s="7">
        <v>1.21</v>
      </c>
    </row>
    <row r="35522" spans="1:5" x14ac:dyDescent="0.25">
      <c r="A35522" t="str">
        <f>HYPERLINK("https://www.773grp.com/globalSearch/NTMFS5844NLT1G/page-1", "NTMFS5844NLT1G")</f>
        <v>NTMFS5844NLT1G</v>
      </c>
      <c r="B35522" s="3" t="s">
        <v>95</v>
      </c>
      <c r="C35522" s="6">
        <v>9938</v>
      </c>
      <c r="D35522" s="7">
        <v>1.21</v>
      </c>
    </row>
    <row r="35523" spans="1:5" x14ac:dyDescent="0.25">
      <c r="A35523" t="str">
        <f>HYPERLINK("https://www.773grp.com/globalSearch/NTMS3P03R2G/page-1", "NTMS3P03R2G")</f>
        <v>NTMS3P03R2G</v>
      </c>
      <c r="B35523" s="3" t="s">
        <v>95</v>
      </c>
      <c r="C35523" s="6">
        <v>70230</v>
      </c>
      <c r="D35523" s="7">
        <v>1.21</v>
      </c>
      <c r="E35523" t="s">
        <v>106</v>
      </c>
    </row>
    <row r="35524" spans="1:5" x14ac:dyDescent="0.25">
      <c r="A35524" t="str">
        <f>HYPERLINK("https://www.773grp.com/globalSearch/NTMS5835NLR2G/page-1", "NTMS5835NLR2G")</f>
        <v>NTMS5835NLR2G</v>
      </c>
      <c r="B35524" s="3" t="s">
        <v>95</v>
      </c>
      <c r="C35524" s="6">
        <v>5000</v>
      </c>
      <c r="D35524" s="7">
        <v>1.21</v>
      </c>
    </row>
    <row r="35525" spans="1:5" x14ac:dyDescent="0.25">
      <c r="A35525" t="str">
        <f>HYPERLINK("https://www.773grp.com/globalSearch/NTUD3127CT5G/page-1", "NTUD3127CT5G")</f>
        <v>NTUD3127CT5G</v>
      </c>
      <c r="B35525" s="3" t="s">
        <v>95</v>
      </c>
      <c r="C35525" s="6">
        <v>1995304</v>
      </c>
      <c r="D35525" s="7">
        <v>1.21</v>
      </c>
      <c r="E35525" t="s">
        <v>106</v>
      </c>
    </row>
    <row r="35526" spans="1:5" x14ac:dyDescent="0.25">
      <c r="A35526" t="str">
        <f>HYPERLINK("https://www.773grp.com/globalSearch/NTUD3129PT5G/page-1", "NTUD3129PT5G")</f>
        <v>NTUD3129PT5G</v>
      </c>
      <c r="B35526" s="3" t="s">
        <v>95</v>
      </c>
      <c r="C35526" s="6">
        <v>30947</v>
      </c>
      <c r="D35526" s="7">
        <v>1.21</v>
      </c>
      <c r="E35526" t="s">
        <v>106</v>
      </c>
    </row>
    <row r="35527" spans="1:5" x14ac:dyDescent="0.25">
      <c r="A35527" t="str">
        <f>HYPERLINK("https://www.773grp.com/globalSearch/NUP8028MNT1G/page-1", "NUP8028MNT1G")</f>
        <v>NUP8028MNT1G</v>
      </c>
      <c r="B35527" s="3" t="s">
        <v>95</v>
      </c>
      <c r="C35527" s="6">
        <v>17987</v>
      </c>
      <c r="D35527" s="7">
        <v>1.21</v>
      </c>
      <c r="E35527" t="s">
        <v>96</v>
      </c>
    </row>
    <row r="35528" spans="1:5" x14ac:dyDescent="0.25">
      <c r="A35528" t="str">
        <f>HYPERLINK("https://www.773grp.com/globalSearch/PACDN004SR/page-1", "PACDN004SR")</f>
        <v>PACDN004SR</v>
      </c>
      <c r="B35528" s="3" t="s">
        <v>95</v>
      </c>
      <c r="C35528" s="6">
        <v>12248</v>
      </c>
      <c r="D35528" s="7">
        <v>1.21</v>
      </c>
    </row>
    <row r="35529" spans="1:5" x14ac:dyDescent="0.25">
      <c r="A35529" t="str">
        <f>HYPERLINK("https://www.773grp.com/globalSearch/PZT751T1G/page-1", "PZT751T1G")</f>
        <v>PZT751T1G</v>
      </c>
      <c r="B35529" s="3" t="s">
        <v>95</v>
      </c>
      <c r="C35529" s="6">
        <v>162000</v>
      </c>
      <c r="D35529" s="7">
        <v>1.21</v>
      </c>
      <c r="E35529" t="s">
        <v>69</v>
      </c>
    </row>
    <row r="35530" spans="1:5" x14ac:dyDescent="0.25">
      <c r="A35530" t="str">
        <f>HYPERLINK("https://www.773grp.com/globalSearch/SC2902DTBR2G/page-1", "SC2902DTBR2G")</f>
        <v>SC2902DTBR2G</v>
      </c>
      <c r="B35530" s="3" t="s">
        <v>95</v>
      </c>
      <c r="C35530" s="6">
        <v>2500</v>
      </c>
      <c r="D35530" s="7">
        <v>1.21</v>
      </c>
    </row>
    <row r="35531" spans="1:5" x14ac:dyDescent="0.25">
      <c r="A35531" t="str">
        <f>HYPERLINK("https://www.773grp.com/globalSearch/SC2903NG/page-1", "SC2903NG")</f>
        <v>SC2903NG</v>
      </c>
      <c r="B35531" s="3" t="s">
        <v>95</v>
      </c>
      <c r="C35531" s="6">
        <v>6840</v>
      </c>
      <c r="D35531" s="7">
        <v>1.21</v>
      </c>
    </row>
    <row r="35532" spans="1:5" x14ac:dyDescent="0.25">
      <c r="A35532" t="str">
        <f>HYPERLINK("https://www.773grp.com/globalSearch/SC2904NG/page-1", "SC2904NG")</f>
        <v>SC2904NG</v>
      </c>
      <c r="B35532" s="3" t="s">
        <v>95</v>
      </c>
      <c r="C35532" s="6">
        <v>8850</v>
      </c>
      <c r="D35532" s="7">
        <v>1.21</v>
      </c>
    </row>
    <row r="35533" spans="1:5" x14ac:dyDescent="0.25">
      <c r="A35533" t="str">
        <f>HYPERLINK("https://www.773grp.com/globalSearch/SC2904VN/page-1", "SC2904VN")</f>
        <v>SC2904VN</v>
      </c>
      <c r="B35533" s="3" t="s">
        <v>95</v>
      </c>
      <c r="C35533" s="6">
        <v>4000</v>
      </c>
      <c r="D35533" s="7">
        <v>1.21</v>
      </c>
    </row>
    <row r="35534" spans="1:5" x14ac:dyDescent="0.25">
      <c r="A35534" t="str">
        <f>HYPERLINK("https://www.773grp.com/globalSearch/SC339NG/page-1", "SC339NG")</f>
        <v>SC339NG</v>
      </c>
      <c r="B35534" s="3" t="s">
        <v>95</v>
      </c>
      <c r="C35534" s="6">
        <v>3725</v>
      </c>
      <c r="D35534" s="7">
        <v>1.21</v>
      </c>
    </row>
    <row r="35535" spans="1:5" x14ac:dyDescent="0.25">
      <c r="A35535" t="str">
        <f>HYPERLINK("https://www.773grp.com/globalSearch/SCY1117DT18RK/page-1", "SCY1117DT18RK")</f>
        <v>SCY1117DT18RK</v>
      </c>
      <c r="B35535" s="3" t="s">
        <v>95</v>
      </c>
      <c r="C35535" s="6">
        <v>100000</v>
      </c>
      <c r="D35535" s="7">
        <v>1.21</v>
      </c>
    </row>
    <row r="35536" spans="1:5" x14ac:dyDescent="0.25">
      <c r="A35536" t="str">
        <f>HYPERLINK("https://www.773grp.com/globalSearch/SE5532AD8/page-1", "SE5532AD8")</f>
        <v>SE5532AD8</v>
      </c>
      <c r="B35536" s="3" t="s">
        <v>95</v>
      </c>
      <c r="C35536" s="6">
        <v>230</v>
      </c>
      <c r="D35536" s="7">
        <v>1.21</v>
      </c>
      <c r="E35536" t="s">
        <v>13</v>
      </c>
    </row>
    <row r="35537" spans="1:5" x14ac:dyDescent="0.25">
      <c r="A35537" t="str">
        <f>HYPERLINK("https://www.773grp.com/globalSearch/SFT1350-TL-H/page-1", "SFT1350-TL-H")</f>
        <v>SFT1350-TL-H</v>
      </c>
      <c r="B35537" s="3" t="s">
        <v>95</v>
      </c>
      <c r="C35537" s="6">
        <v>1400</v>
      </c>
      <c r="D35537" s="7">
        <v>1.21</v>
      </c>
    </row>
    <row r="35538" spans="1:5" x14ac:dyDescent="0.25">
      <c r="A35538" t="str">
        <f>HYPERLINK("https://www.773grp.com/globalSearch/SN74LS541DW/page-1", "SN74LS541DW")</f>
        <v>SN74LS541DW</v>
      </c>
      <c r="B35538" s="3" t="s">
        <v>95</v>
      </c>
      <c r="C35538" s="6">
        <v>617</v>
      </c>
      <c r="D35538" s="7">
        <v>1.21</v>
      </c>
      <c r="E35538" t="s">
        <v>14</v>
      </c>
    </row>
    <row r="35539" spans="1:5" x14ac:dyDescent="0.25">
      <c r="A35539" t="str">
        <f>HYPERLINK("https://www.773grp.com/globalSearch/TIP29AG/page-1", "TIP29AG")</f>
        <v>TIP29AG</v>
      </c>
      <c r="B35539" s="3" t="s">
        <v>95</v>
      </c>
      <c r="C35539" s="6">
        <v>8085</v>
      </c>
      <c r="D35539" s="7">
        <v>1.21</v>
      </c>
      <c r="E35539" t="s">
        <v>59</v>
      </c>
    </row>
    <row r="35540" spans="1:5" x14ac:dyDescent="0.25">
      <c r="A35540" t="str">
        <f>HYPERLINK("https://www.773grp.com/globalSearch/TIP29BG/page-1", "TIP29BG")</f>
        <v>TIP29BG</v>
      </c>
      <c r="B35540" s="3" t="s">
        <v>95</v>
      </c>
      <c r="C35540" s="6">
        <v>10513</v>
      </c>
      <c r="D35540" s="7">
        <v>1.21</v>
      </c>
      <c r="E35540" t="s">
        <v>59</v>
      </c>
    </row>
    <row r="35541" spans="1:5" x14ac:dyDescent="0.25">
      <c r="A35541" t="str">
        <f>HYPERLINK("https://www.773grp.com/globalSearch/TIP29CG/page-1", "TIP29CG")</f>
        <v>TIP29CG</v>
      </c>
      <c r="B35541" s="3" t="s">
        <v>95</v>
      </c>
      <c r="C35541" s="6">
        <v>37098</v>
      </c>
      <c r="D35541" s="7">
        <v>1.21</v>
      </c>
      <c r="E35541" t="s">
        <v>59</v>
      </c>
    </row>
    <row r="35542" spans="1:5" x14ac:dyDescent="0.25">
      <c r="A35542" t="str">
        <f>HYPERLINK("https://www.773grp.com/globalSearch/TL062CD/page-1", "TL062CD")</f>
        <v>TL062CD</v>
      </c>
      <c r="B35542" s="3" t="s">
        <v>95</v>
      </c>
      <c r="C35542" s="6">
        <v>4704</v>
      </c>
      <c r="D35542" s="7">
        <v>1.21</v>
      </c>
      <c r="E35542" t="s">
        <v>13</v>
      </c>
    </row>
    <row r="35543" spans="1:5" x14ac:dyDescent="0.25">
      <c r="A35543" t="str">
        <f>HYPERLINK("https://www.773grp.com/globalSearch/TL594CDTB/page-1", "TL594CDTB")</f>
        <v>TL594CDTB</v>
      </c>
      <c r="B35543" s="3" t="s">
        <v>95</v>
      </c>
      <c r="C35543" s="6">
        <v>384</v>
      </c>
      <c r="D35543" s="7">
        <v>1.21</v>
      </c>
      <c r="E35543" t="s">
        <v>7</v>
      </c>
    </row>
    <row r="35544" spans="1:5" x14ac:dyDescent="0.25">
      <c r="A35544" t="str">
        <f>HYPERLINK("https://www.773grp.com/globalSearch/TL594CN/page-1", "TL594CN")</f>
        <v>TL594CN</v>
      </c>
      <c r="B35544" s="3" t="s">
        <v>95</v>
      </c>
      <c r="C35544" s="6">
        <v>74137</v>
      </c>
      <c r="D35544" s="7">
        <v>1.21</v>
      </c>
      <c r="E35544" t="s">
        <v>7</v>
      </c>
    </row>
    <row r="35545" spans="1:5" x14ac:dyDescent="0.25">
      <c r="A35545" t="str">
        <f>HYPERLINK("https://www.773grp.com/globalSearch/ULN2004A/page-1", "ULN2004A")</f>
        <v>ULN2004A</v>
      </c>
      <c r="B35545" s="3" t="s">
        <v>95</v>
      </c>
      <c r="C35545" s="6">
        <v>739</v>
      </c>
      <c r="D35545" s="7">
        <v>1.21</v>
      </c>
      <c r="E35545" t="s">
        <v>59</v>
      </c>
    </row>
    <row r="35546" spans="1:5" x14ac:dyDescent="0.25">
      <c r="A35546" t="str">
        <f>HYPERLINK("https://www.773grp.com/globalSearch/1.5SMSC30AT3G/page-1", "1.5SMSC30AT3G")</f>
        <v>1.5SMSC30AT3G</v>
      </c>
      <c r="B35546" s="3" t="s">
        <v>95</v>
      </c>
      <c r="C35546" s="6">
        <v>10090</v>
      </c>
      <c r="D35546" s="7">
        <v>1.26</v>
      </c>
      <c r="E35546" t="s">
        <v>96</v>
      </c>
    </row>
    <row r="35547" spans="1:5" x14ac:dyDescent="0.25">
      <c r="A35547" t="str">
        <f>HYPERLINK("https://www.773grp.com/globalSearch/1.5SMSC33AT3G/page-1", "1.5SMSC33AT3G")</f>
        <v>1.5SMSC33AT3G</v>
      </c>
      <c r="B35547" s="3" t="s">
        <v>95</v>
      </c>
      <c r="C35547" s="6">
        <v>5956</v>
      </c>
      <c r="D35547" s="7">
        <v>1.26</v>
      </c>
    </row>
    <row r="35548" spans="1:5" x14ac:dyDescent="0.25">
      <c r="A35548" t="str">
        <f>HYPERLINK("https://www.773grp.com/globalSearch/1.5SMSC36AT3G/page-1", "1.5SMSC36AT3G")</f>
        <v>1.5SMSC36AT3G</v>
      </c>
      <c r="B35548" s="3" t="s">
        <v>95</v>
      </c>
      <c r="C35548" s="6">
        <v>2500</v>
      </c>
      <c r="D35548" s="7">
        <v>1.26</v>
      </c>
      <c r="E35548" t="s">
        <v>96</v>
      </c>
    </row>
    <row r="35549" spans="1:5" x14ac:dyDescent="0.25">
      <c r="A35549" t="str">
        <f>HYPERLINK("https://www.773grp.com/globalSearch/1.5SMSC39AT3G/page-1", "1.5SMSC39AT3G")</f>
        <v>1.5SMSC39AT3G</v>
      </c>
      <c r="B35549" s="3" t="s">
        <v>95</v>
      </c>
      <c r="C35549" s="6">
        <v>9407</v>
      </c>
      <c r="D35549" s="7">
        <v>1.26</v>
      </c>
    </row>
    <row r="35550" spans="1:5" x14ac:dyDescent="0.25">
      <c r="A35550" t="str">
        <f>HYPERLINK("https://www.773grp.com/globalSearch/1.5SMSC43AT3G/page-1", "1.5SMSC43AT3G")</f>
        <v>1.5SMSC43AT3G</v>
      </c>
      <c r="B35550" s="3" t="s">
        <v>95</v>
      </c>
      <c r="C35550" s="6">
        <v>5000</v>
      </c>
      <c r="D35550" s="7">
        <v>1.26</v>
      </c>
      <c r="E35550" t="s">
        <v>96</v>
      </c>
    </row>
    <row r="35551" spans="1:5" x14ac:dyDescent="0.25">
      <c r="A35551" t="str">
        <f>HYPERLINK("https://www.773grp.com/globalSearch/1.5SMSC62AT3G/page-1", "1.5SMSC62AT3G")</f>
        <v>1.5SMSC62AT3G</v>
      </c>
      <c r="B35551" s="3" t="s">
        <v>95</v>
      </c>
      <c r="C35551" s="6">
        <v>5000</v>
      </c>
      <c r="D35551" s="7">
        <v>1.26</v>
      </c>
      <c r="E35551" t="s">
        <v>96</v>
      </c>
    </row>
    <row r="35552" spans="1:5" x14ac:dyDescent="0.25">
      <c r="A35552" t="str">
        <f>HYPERLINK("https://www.773grp.com/globalSearch/1N5239D/page-1", "1N5239D")</f>
        <v>1N5239D</v>
      </c>
      <c r="B35552" s="3" t="s">
        <v>95</v>
      </c>
      <c r="C35552" s="6">
        <v>1017</v>
      </c>
      <c r="D35552" s="7">
        <v>1.26</v>
      </c>
      <c r="E35552" t="s">
        <v>98</v>
      </c>
    </row>
    <row r="35553" spans="1:5" x14ac:dyDescent="0.25">
      <c r="A35553" t="str">
        <f>HYPERLINK("https://www.773grp.com/globalSearch/1SMSC12AT3G/page-1", "1SMSC12AT3G")</f>
        <v>1SMSC12AT3G</v>
      </c>
      <c r="B35553" s="3" t="s">
        <v>95</v>
      </c>
      <c r="C35553" s="6">
        <v>22500</v>
      </c>
      <c r="D35553" s="7">
        <v>1.26</v>
      </c>
      <c r="E35553" t="s">
        <v>96</v>
      </c>
    </row>
    <row r="35554" spans="1:5" x14ac:dyDescent="0.25">
      <c r="A35554" t="str">
        <f>HYPERLINK("https://www.773grp.com/globalSearch/1SMSC33AT3G/page-1", "1SMSC33AT3G")</f>
        <v>1SMSC33AT3G</v>
      </c>
      <c r="B35554" s="3" t="s">
        <v>95</v>
      </c>
      <c r="C35554" s="6">
        <v>5000</v>
      </c>
      <c r="D35554" s="7">
        <v>1.26</v>
      </c>
      <c r="E35554" t="s">
        <v>96</v>
      </c>
    </row>
    <row r="35555" spans="1:5" x14ac:dyDescent="0.25">
      <c r="A35555" t="str">
        <f>HYPERLINK("https://www.773grp.com/globalSearch/1SMSC36AT3G/page-1", "1SMSC36AT3G")</f>
        <v>1SMSC36AT3G</v>
      </c>
      <c r="B35555" s="3" t="s">
        <v>95</v>
      </c>
      <c r="C35555" s="6">
        <v>27500</v>
      </c>
      <c r="D35555" s="7">
        <v>1.26</v>
      </c>
    </row>
    <row r="35556" spans="1:5" x14ac:dyDescent="0.25">
      <c r="A35556" t="str">
        <f>HYPERLINK("https://www.773grp.com/globalSearch/1SMSC5.0AT3G/page-1", "1SMSC5.0AT3G")</f>
        <v>1SMSC5.0AT3G</v>
      </c>
      <c r="B35556" s="3" t="s">
        <v>95</v>
      </c>
      <c r="C35556" s="6">
        <v>7400</v>
      </c>
      <c r="D35556" s="7">
        <v>1.26</v>
      </c>
      <c r="E35556" t="s">
        <v>96</v>
      </c>
    </row>
    <row r="35557" spans="1:5" x14ac:dyDescent="0.25">
      <c r="A35557" t="str">
        <f>HYPERLINK("https://www.773grp.com/globalSearch/2N3251/page-1", "2N3251")</f>
        <v>2N3251</v>
      </c>
      <c r="B35557" s="3" t="s">
        <v>95</v>
      </c>
      <c r="C35557" s="6">
        <v>2215</v>
      </c>
      <c r="D35557" s="7">
        <v>1.26</v>
      </c>
      <c r="E35557" t="s">
        <v>69</v>
      </c>
    </row>
    <row r="35558" spans="1:5" x14ac:dyDescent="0.25">
      <c r="A35558" t="str">
        <f>HYPERLINK("https://www.773grp.com/globalSearch/2N6034G/page-1", "2N6034G")</f>
        <v>2N6034G</v>
      </c>
      <c r="B35558" s="3" t="s">
        <v>95</v>
      </c>
      <c r="C35558" s="6">
        <v>884</v>
      </c>
      <c r="D35558" s="7">
        <v>1.26</v>
      </c>
      <c r="E35558" t="s">
        <v>59</v>
      </c>
    </row>
    <row r="35559" spans="1:5" x14ac:dyDescent="0.25">
      <c r="A35559" t="str">
        <f>HYPERLINK("https://www.773grp.com/globalSearch/2N6035G/page-1", "2N6035G")</f>
        <v>2N6035G</v>
      </c>
      <c r="B35559" s="3" t="s">
        <v>95</v>
      </c>
      <c r="C35559" s="6">
        <v>4083</v>
      </c>
      <c r="D35559" s="7">
        <v>1.26</v>
      </c>
      <c r="E35559" t="s">
        <v>59</v>
      </c>
    </row>
    <row r="35560" spans="1:5" x14ac:dyDescent="0.25">
      <c r="A35560" t="str">
        <f>HYPERLINK("https://www.773grp.com/globalSearch/2SB1143T/page-1", "2SB1143T")</f>
        <v>2SB1143T</v>
      </c>
      <c r="B35560" s="3" t="s">
        <v>95</v>
      </c>
      <c r="C35560" s="6">
        <v>1800</v>
      </c>
      <c r="D35560" s="7">
        <v>1.26</v>
      </c>
    </row>
    <row r="35561" spans="1:5" x14ac:dyDescent="0.25">
      <c r="A35561" t="str">
        <f>HYPERLINK("https://www.773grp.com/globalSearch/74VCXH245MNR2/page-1", "74VCXH245MNR2")</f>
        <v>74VCXH245MNR2</v>
      </c>
      <c r="B35561" s="3" t="s">
        <v>95</v>
      </c>
      <c r="C35561" s="6">
        <v>3000</v>
      </c>
      <c r="D35561" s="7">
        <v>1.26</v>
      </c>
      <c r="E35561" t="s">
        <v>14</v>
      </c>
    </row>
    <row r="35562" spans="1:5" x14ac:dyDescent="0.25">
      <c r="A35562" t="str">
        <f>HYPERLINK("https://www.773grp.com/globalSearch/80SQ045NG/page-1", "80SQ045NG")</f>
        <v>80SQ045NG</v>
      </c>
      <c r="B35562" s="3" t="s">
        <v>95</v>
      </c>
      <c r="C35562" s="6">
        <v>2150</v>
      </c>
      <c r="D35562" s="7">
        <v>1.26</v>
      </c>
    </row>
    <row r="35563" spans="1:5" x14ac:dyDescent="0.25">
      <c r="A35563" t="str">
        <f>HYPERLINK("https://www.773grp.com/globalSearch/80SQ045NRLG/page-1", "80SQ045NRLG")</f>
        <v>80SQ045NRLG</v>
      </c>
      <c r="B35563" s="3" t="s">
        <v>95</v>
      </c>
      <c r="C35563" s="6">
        <v>3000</v>
      </c>
      <c r="D35563" s="7">
        <v>1.26</v>
      </c>
      <c r="E35563" t="s">
        <v>103</v>
      </c>
    </row>
    <row r="35564" spans="1:5" x14ac:dyDescent="0.25">
      <c r="A35564" t="str">
        <f>HYPERLINK("https://www.773grp.com/globalSearch/ADP3611JRMZ-REEL/page-1", "ADP3611JRMZ-REEL")</f>
        <v>ADP3611JRMZ-REEL</v>
      </c>
      <c r="B35564" s="3" t="s">
        <v>95</v>
      </c>
      <c r="C35564" s="6">
        <v>12000</v>
      </c>
      <c r="D35564" s="7">
        <v>1.26</v>
      </c>
    </row>
    <row r="35565" spans="1:5" x14ac:dyDescent="0.25">
      <c r="A35565" t="str">
        <f>HYPERLINK("https://www.773grp.com/globalSearch/ADP3611MNR2G/page-1", "ADP3611MNR2G")</f>
        <v>ADP3611MNR2G</v>
      </c>
      <c r="B35565" s="3" t="s">
        <v>95</v>
      </c>
      <c r="C35565" s="6">
        <v>45000</v>
      </c>
      <c r="D35565" s="7">
        <v>1.26</v>
      </c>
    </row>
    <row r="35566" spans="1:5" x14ac:dyDescent="0.25">
      <c r="A35566" t="str">
        <f>HYPERLINK("https://www.773grp.com/globalSearch/BD436G/page-1", "BD436G")</f>
        <v>BD436G</v>
      </c>
      <c r="B35566" s="3" t="s">
        <v>95</v>
      </c>
      <c r="C35566" s="6">
        <v>19200</v>
      </c>
      <c r="D35566" s="7">
        <v>1.26</v>
      </c>
      <c r="E35566" t="s">
        <v>59</v>
      </c>
    </row>
    <row r="35567" spans="1:5" x14ac:dyDescent="0.25">
      <c r="A35567" t="str">
        <f>HYPERLINK("https://www.773grp.com/globalSearch/BD436TG/page-1", "BD436TG")</f>
        <v>BD436TG</v>
      </c>
      <c r="B35567" s="3" t="s">
        <v>95</v>
      </c>
      <c r="C35567" s="6">
        <v>75300</v>
      </c>
      <c r="D35567" s="7">
        <v>1.26</v>
      </c>
      <c r="E35567" t="s">
        <v>59</v>
      </c>
    </row>
    <row r="35568" spans="1:5" x14ac:dyDescent="0.25">
      <c r="A35568" t="str">
        <f>HYPERLINK("https://www.773grp.com/globalSearch/BD438G/page-1", "BD438G")</f>
        <v>BD438G</v>
      </c>
      <c r="B35568" s="3" t="s">
        <v>95</v>
      </c>
      <c r="C35568" s="6">
        <v>1686</v>
      </c>
      <c r="D35568" s="7">
        <v>1.26</v>
      </c>
      <c r="E35568" t="s">
        <v>59</v>
      </c>
    </row>
    <row r="35569" spans="1:5" x14ac:dyDescent="0.25">
      <c r="A35569" t="str">
        <f>HYPERLINK("https://www.773grp.com/globalSearch/BD440G/page-1", "BD440G")</f>
        <v>BD440G</v>
      </c>
      <c r="B35569" s="3" t="s">
        <v>95</v>
      </c>
      <c r="C35569" s="6">
        <v>500</v>
      </c>
      <c r="D35569" s="7">
        <v>1.26</v>
      </c>
      <c r="E35569" t="s">
        <v>59</v>
      </c>
    </row>
    <row r="35570" spans="1:5" x14ac:dyDescent="0.25">
      <c r="A35570" t="str">
        <f>HYPERLINK("https://www.773grp.com/globalSearch/BD676AG/page-1", "BD676AG")</f>
        <v>BD676AG</v>
      </c>
      <c r="B35570" s="3" t="s">
        <v>95</v>
      </c>
      <c r="C35570" s="6">
        <v>1500</v>
      </c>
      <c r="D35570" s="7">
        <v>1.26</v>
      </c>
      <c r="E35570" t="s">
        <v>59</v>
      </c>
    </row>
    <row r="35571" spans="1:5" x14ac:dyDescent="0.25">
      <c r="A35571" t="str">
        <f>HYPERLINK("https://www.773grp.com/globalSearch/BD676G/page-1", "BD676G")</f>
        <v>BD676G</v>
      </c>
      <c r="B35571" s="3" t="s">
        <v>95</v>
      </c>
      <c r="C35571" s="6">
        <v>41</v>
      </c>
      <c r="D35571" s="7">
        <v>1.26</v>
      </c>
      <c r="E35571" t="s">
        <v>59</v>
      </c>
    </row>
    <row r="35572" spans="1:5" x14ac:dyDescent="0.25">
      <c r="A35572" t="str">
        <f>HYPERLINK("https://www.773grp.com/globalSearch/BD678G/page-1", "BD678G")</f>
        <v>BD678G</v>
      </c>
      <c r="B35572" s="3" t="s">
        <v>95</v>
      </c>
      <c r="C35572" s="6">
        <v>5180</v>
      </c>
      <c r="D35572" s="7">
        <v>1.26</v>
      </c>
      <c r="E35572" t="s">
        <v>59</v>
      </c>
    </row>
    <row r="35573" spans="1:5" x14ac:dyDescent="0.25">
      <c r="A35573" t="str">
        <f>HYPERLINK("https://www.773grp.com/globalSearch/BD680AG/page-1", "BD680AG")</f>
        <v>BD680AG</v>
      </c>
      <c r="B35573" s="3" t="s">
        <v>95</v>
      </c>
      <c r="C35573" s="6">
        <v>1500</v>
      </c>
      <c r="D35573" s="7">
        <v>1.26</v>
      </c>
      <c r="E35573" t="s">
        <v>59</v>
      </c>
    </row>
    <row r="35574" spans="1:5" x14ac:dyDescent="0.25">
      <c r="A35574" t="str">
        <f>HYPERLINK("https://www.773grp.com/globalSearch/BD680G/page-1", "BD680G")</f>
        <v>BD680G</v>
      </c>
      <c r="B35574" s="3" t="s">
        <v>95</v>
      </c>
      <c r="C35574" s="6">
        <v>6807</v>
      </c>
      <c r="D35574" s="7">
        <v>1.26</v>
      </c>
      <c r="E35574" t="s">
        <v>59</v>
      </c>
    </row>
    <row r="35575" spans="1:5" x14ac:dyDescent="0.25">
      <c r="A35575" t="str">
        <f>HYPERLINK("https://www.773grp.com/globalSearch/BUH51G/page-1", "BUH51G")</f>
        <v>BUH51G</v>
      </c>
      <c r="B35575" s="3" t="s">
        <v>95</v>
      </c>
      <c r="C35575" s="6">
        <v>2400</v>
      </c>
      <c r="D35575" s="7">
        <v>1.26</v>
      </c>
      <c r="E35575" t="s">
        <v>59</v>
      </c>
    </row>
    <row r="35576" spans="1:5" x14ac:dyDescent="0.25">
      <c r="A35576" t="str">
        <f>HYPERLINK("https://www.773grp.com/globalSearch/CAT24C128ZI-GT3/page-1", "CAT24C128ZI-GT3")</f>
        <v>CAT24C128ZI-GT3</v>
      </c>
      <c r="B35576" s="3" t="s">
        <v>95</v>
      </c>
      <c r="C35576" s="6">
        <v>3000</v>
      </c>
      <c r="D35576" s="7">
        <v>1.26</v>
      </c>
      <c r="E35576" t="s">
        <v>64</v>
      </c>
    </row>
    <row r="35577" spans="1:5" x14ac:dyDescent="0.25">
      <c r="A35577" t="str">
        <f>HYPERLINK("https://www.773grp.com/globalSearch/CAT24C64WI-G/page-1", "CAT24C64WI-G")</f>
        <v>CAT24C64WI-G</v>
      </c>
      <c r="B35577" s="3" t="s">
        <v>95</v>
      </c>
      <c r="C35577" s="6">
        <v>8470</v>
      </c>
      <c r="D35577" s="7">
        <v>1.26</v>
      </c>
    </row>
    <row r="35578" spans="1:5" x14ac:dyDescent="0.25">
      <c r="A35578" t="str">
        <f>HYPERLINK("https://www.773grp.com/globalSearch/CAT24C64YI-G/page-1", "CAT24C64YI-G")</f>
        <v>CAT24C64YI-G</v>
      </c>
      <c r="B35578" s="3" t="s">
        <v>95</v>
      </c>
      <c r="C35578" s="6">
        <v>5000</v>
      </c>
      <c r="D35578" s="7">
        <v>1.26</v>
      </c>
    </row>
    <row r="35579" spans="1:5" x14ac:dyDescent="0.25">
      <c r="A35579" t="str">
        <f>HYPERLINK("https://www.773grp.com/globalSearch/CAT25080VE-GT3/page-1", "CAT25080VE-GT3")</f>
        <v>CAT25080VE-GT3</v>
      </c>
      <c r="B35579" s="3" t="s">
        <v>95</v>
      </c>
      <c r="C35579" s="6">
        <v>12000</v>
      </c>
      <c r="D35579" s="7">
        <v>1.26</v>
      </c>
      <c r="E35579" t="s">
        <v>64</v>
      </c>
    </row>
    <row r="35580" spans="1:5" x14ac:dyDescent="0.25">
      <c r="A35580" t="str">
        <f>HYPERLINK("https://www.773grp.com/globalSearch/CAT25640VP2I-GT3/page-1", "CAT25640VP2I-GT3")</f>
        <v>CAT25640VP2I-GT3</v>
      </c>
      <c r="B35580" s="3" t="s">
        <v>95</v>
      </c>
      <c r="C35580" s="6">
        <v>6000</v>
      </c>
      <c r="D35580" s="7">
        <v>1.26</v>
      </c>
    </row>
    <row r="35581" spans="1:5" x14ac:dyDescent="0.25">
      <c r="A35581" t="str">
        <f>HYPERLINK("https://www.773grp.com/globalSearch/CAT6218-280TDGT3/page-1", "CAT6218-280TDGT3")</f>
        <v>CAT6218-280TDGT3</v>
      </c>
      <c r="B35581" s="3" t="s">
        <v>95</v>
      </c>
      <c r="C35581" s="6">
        <v>27000</v>
      </c>
      <c r="D35581" s="7">
        <v>1.26</v>
      </c>
    </row>
    <row r="35582" spans="1:5" x14ac:dyDescent="0.25">
      <c r="A35582" t="str">
        <f>HYPERLINK("https://www.773grp.com/globalSearch/CAT6218-300TDGT3/page-1", "CAT6218-300TDGT3")</f>
        <v>CAT6218-300TDGT3</v>
      </c>
      <c r="B35582" s="3" t="s">
        <v>95</v>
      </c>
      <c r="C35582" s="6">
        <v>30000</v>
      </c>
      <c r="D35582" s="7">
        <v>1.26</v>
      </c>
    </row>
    <row r="35583" spans="1:5" x14ac:dyDescent="0.25">
      <c r="A35583" t="str">
        <f>HYPERLINK("https://www.773grp.com/globalSearch/CAT6219ADJTD-GT3/page-1", "CAT6219ADJTD-GT3")</f>
        <v>CAT6219ADJTD-GT3</v>
      </c>
      <c r="B35583" s="3" t="s">
        <v>95</v>
      </c>
      <c r="C35583" s="6">
        <v>9000</v>
      </c>
      <c r="D35583" s="7">
        <v>1.26</v>
      </c>
      <c r="E35583" t="s">
        <v>25</v>
      </c>
    </row>
    <row r="35584" spans="1:5" x14ac:dyDescent="0.25">
      <c r="A35584" t="str">
        <f>HYPERLINK("https://www.773grp.com/globalSearch/CAT803MTBI-GT3/page-1", "CAT803MTBI-GT3")</f>
        <v>CAT803MTBI-GT3</v>
      </c>
      <c r="B35584" s="3" t="s">
        <v>95</v>
      </c>
      <c r="C35584" s="6">
        <v>7600</v>
      </c>
      <c r="D35584" s="7">
        <v>1.26</v>
      </c>
    </row>
    <row r="35585" spans="1:5" x14ac:dyDescent="0.25">
      <c r="A35585" t="str">
        <f>HYPERLINK("https://www.773grp.com/globalSearch/CAT803STBI-GT3/page-1", "CAT803STBI-GT3")</f>
        <v>CAT803STBI-GT3</v>
      </c>
      <c r="B35585" s="3" t="s">
        <v>95</v>
      </c>
      <c r="C35585" s="6">
        <v>29500</v>
      </c>
      <c r="D35585" s="7">
        <v>1.26</v>
      </c>
    </row>
    <row r="35586" spans="1:5" x14ac:dyDescent="0.25">
      <c r="A35586" t="str">
        <f>HYPERLINK("https://www.773grp.com/globalSearch/CAT803TSDI-T3/page-1", "CAT803TSDI-T3")</f>
        <v>CAT803TSDI-T3</v>
      </c>
      <c r="B35586" s="3" t="s">
        <v>95</v>
      </c>
      <c r="C35586" s="6">
        <v>6000</v>
      </c>
      <c r="D35586" s="7">
        <v>1.26</v>
      </c>
      <c r="E35586" t="s">
        <v>30</v>
      </c>
    </row>
    <row r="35587" spans="1:5" x14ac:dyDescent="0.25">
      <c r="A35587" t="str">
        <f>HYPERLINK("https://www.773grp.com/globalSearch/CAT803TTBI-T10/page-1", "CAT803TTBI-T10")</f>
        <v>CAT803TTBI-T10</v>
      </c>
      <c r="B35587" s="3" t="s">
        <v>95</v>
      </c>
      <c r="C35587" s="6">
        <v>10000</v>
      </c>
      <c r="D35587" s="7">
        <v>1.26</v>
      </c>
      <c r="E35587" t="s">
        <v>30</v>
      </c>
    </row>
    <row r="35588" spans="1:5" x14ac:dyDescent="0.25">
      <c r="A35588" t="str">
        <f>HYPERLINK("https://www.773grp.com/globalSearch/CM1213A-04MR/page-1", "CM1213A-04MR")</f>
        <v>CM1213A-04MR</v>
      </c>
      <c r="B35588" s="3" t="s">
        <v>95</v>
      </c>
      <c r="C35588" s="6">
        <v>38955</v>
      </c>
      <c r="D35588" s="7">
        <v>1.26</v>
      </c>
      <c r="E35588" t="s">
        <v>96</v>
      </c>
    </row>
    <row r="35589" spans="1:5" x14ac:dyDescent="0.25">
      <c r="A35589" t="str">
        <f>HYPERLINK("https://www.773grp.com/globalSearch/CM1213A-04S7/page-1", "CM1213A-04S7")</f>
        <v>CM1213A-04S7</v>
      </c>
      <c r="B35589" s="3" t="s">
        <v>95</v>
      </c>
      <c r="C35589" s="6">
        <v>18000</v>
      </c>
      <c r="D35589" s="7">
        <v>1.26</v>
      </c>
      <c r="E35589" t="s">
        <v>96</v>
      </c>
    </row>
    <row r="35590" spans="1:5" x14ac:dyDescent="0.25">
      <c r="A35590" t="str">
        <f>HYPERLINK("https://www.773grp.com/globalSearch/CM1213A-04SO/page-1", "CM1213A-04SO")</f>
        <v>CM1213A-04SO</v>
      </c>
      <c r="B35590" s="3" t="s">
        <v>95</v>
      </c>
      <c r="C35590" s="6">
        <v>209064</v>
      </c>
      <c r="D35590" s="7">
        <v>1.26</v>
      </c>
      <c r="E35590" t="s">
        <v>96</v>
      </c>
    </row>
    <row r="35591" spans="1:5" x14ac:dyDescent="0.25">
      <c r="A35591" t="str">
        <f>HYPERLINK("https://www.773grp.com/globalSearch/L79M05TLL-SONY-TL-E/page-1", "L79M05TLL-SONY-TL-E")</f>
        <v>L79M05TLL-SONY-TL-E</v>
      </c>
      <c r="B35591" s="3" t="s">
        <v>95</v>
      </c>
      <c r="C35591" s="6">
        <v>65100</v>
      </c>
      <c r="D35591" s="7">
        <v>1.26</v>
      </c>
    </row>
    <row r="35592" spans="1:5" x14ac:dyDescent="0.25">
      <c r="A35592" t="str">
        <f>HYPERLINK("https://www.773grp.com/globalSearch/LM2931ADT-5.0/page-1", "LM2931ADT-5.0")</f>
        <v>LM2931ADT-5.0</v>
      </c>
      <c r="B35592" s="3" t="s">
        <v>95</v>
      </c>
      <c r="C35592" s="6">
        <v>150</v>
      </c>
      <c r="D35592" s="7">
        <v>1.26</v>
      </c>
      <c r="E35592" t="s">
        <v>19</v>
      </c>
    </row>
    <row r="35593" spans="1:5" x14ac:dyDescent="0.25">
      <c r="A35593" t="str">
        <f>HYPERLINK("https://www.773grp.com/globalSearch/LMV982MUTAG/page-1", "LMV982MUTAG")</f>
        <v>LMV982MUTAG</v>
      </c>
      <c r="B35593" s="3" t="s">
        <v>95</v>
      </c>
      <c r="C35593" s="6">
        <v>69000</v>
      </c>
      <c r="D35593" s="7">
        <v>1.26</v>
      </c>
    </row>
    <row r="35594" spans="1:5" x14ac:dyDescent="0.25">
      <c r="A35594" t="str">
        <f>HYPERLINK("https://www.773grp.com/globalSearch/LP2950CZ-3.0G/page-1", "LP2950CZ-3.0G")</f>
        <v>LP2950CZ-3.0G</v>
      </c>
      <c r="B35594" s="3" t="s">
        <v>95</v>
      </c>
      <c r="C35594" s="6">
        <v>2000</v>
      </c>
      <c r="D35594" s="7">
        <v>1.26</v>
      </c>
    </row>
    <row r="35595" spans="1:5" x14ac:dyDescent="0.25">
      <c r="A35595" t="str">
        <f>HYPERLINK("https://www.773grp.com/globalSearch/LP2950CZ-3.0RAG/page-1", "LP2950CZ-3.0RAG")</f>
        <v>LP2950CZ-3.0RAG</v>
      </c>
      <c r="B35595" s="3" t="s">
        <v>95</v>
      </c>
      <c r="C35595" s="6">
        <v>7822</v>
      </c>
      <c r="D35595" s="7">
        <v>1.26</v>
      </c>
      <c r="E35595" t="s">
        <v>19</v>
      </c>
    </row>
    <row r="35596" spans="1:5" x14ac:dyDescent="0.25">
      <c r="A35596" t="str">
        <f>HYPERLINK("https://www.773grp.com/globalSearch/LP2950CZ-3.3G/page-1", "LP2950CZ-3.3G")</f>
        <v>LP2950CZ-3.3G</v>
      </c>
      <c r="B35596" s="3" t="s">
        <v>95</v>
      </c>
      <c r="C35596" s="6">
        <v>2228</v>
      </c>
      <c r="D35596" s="7">
        <v>1.26</v>
      </c>
      <c r="E35596" t="s">
        <v>19</v>
      </c>
    </row>
    <row r="35597" spans="1:5" x14ac:dyDescent="0.25">
      <c r="A35597" t="str">
        <f>HYPERLINK("https://www.773grp.com/globalSearch/LP2950CZ-3.3RAG/page-1", "LP2950CZ-3.3RAG")</f>
        <v>LP2950CZ-3.3RAG</v>
      </c>
      <c r="B35597" s="3" t="s">
        <v>95</v>
      </c>
      <c r="C35597" s="6">
        <v>25464</v>
      </c>
      <c r="D35597" s="7">
        <v>1.26</v>
      </c>
      <c r="E35597" t="s">
        <v>19</v>
      </c>
    </row>
    <row r="35598" spans="1:5" x14ac:dyDescent="0.25">
      <c r="A35598" t="str">
        <f>HYPERLINK("https://www.773grp.com/globalSearch/LP2950CZ-5.0G/page-1", "LP2950CZ-5.0G")</f>
        <v>LP2950CZ-5.0G</v>
      </c>
      <c r="B35598" s="3" t="s">
        <v>95</v>
      </c>
      <c r="C35598" s="6">
        <v>4380</v>
      </c>
      <c r="D35598" s="7">
        <v>1.26</v>
      </c>
      <c r="E35598" t="s">
        <v>19</v>
      </c>
    </row>
    <row r="35599" spans="1:5" x14ac:dyDescent="0.25">
      <c r="A35599" t="str">
        <f>HYPERLINK("https://www.773grp.com/globalSearch/LP2950CZ-5.0RAG/page-1", "LP2950CZ-5.0RAG")</f>
        <v>LP2950CZ-5.0RAG</v>
      </c>
      <c r="B35599" s="3" t="s">
        <v>95</v>
      </c>
      <c r="C35599" s="6">
        <v>17752</v>
      </c>
      <c r="D35599" s="7">
        <v>1.26</v>
      </c>
      <c r="E35599" t="s">
        <v>19</v>
      </c>
    </row>
    <row r="35600" spans="1:5" x14ac:dyDescent="0.25">
      <c r="A35600" t="str">
        <f>HYPERLINK("https://www.773grp.com/globalSearch/LP2950CZ-5.0RPG/page-1", "LP2950CZ-5.0RPG")</f>
        <v>LP2950CZ-5.0RPG</v>
      </c>
      <c r="B35600" s="3" t="s">
        <v>95</v>
      </c>
      <c r="C35600" s="6">
        <v>14000</v>
      </c>
      <c r="D35600" s="7">
        <v>1.26</v>
      </c>
      <c r="E35600" t="s">
        <v>19</v>
      </c>
    </row>
    <row r="35601" spans="1:5" x14ac:dyDescent="0.25">
      <c r="A35601" t="str">
        <f>HYPERLINK("https://www.773grp.com/globalSearch/LV8163QA-BH/page-1", "LV8163QA-BH")</f>
        <v>LV8163QA-BH</v>
      </c>
      <c r="B35601" s="3" t="s">
        <v>95</v>
      </c>
      <c r="C35601" s="6">
        <v>54000</v>
      </c>
      <c r="D35601" s="7">
        <v>1.26</v>
      </c>
    </row>
    <row r="35602" spans="1:5" x14ac:dyDescent="0.25">
      <c r="A35602" t="str">
        <f>HYPERLINK("https://www.773grp.com/globalSearch/M74ACT251D/page-1", "M74ACT251D")</f>
        <v>M74ACT251D</v>
      </c>
      <c r="B35602" s="3" t="s">
        <v>95</v>
      </c>
      <c r="C35602" s="6">
        <v>192</v>
      </c>
      <c r="D35602" s="7">
        <v>1.26</v>
      </c>
    </row>
    <row r="35603" spans="1:5" x14ac:dyDescent="0.25">
      <c r="A35603" t="str">
        <f>HYPERLINK("https://www.773grp.com/globalSearch/MAC4DCN-1G/page-1", "MAC4DCN-1G")</f>
        <v>MAC4DCN-1G</v>
      </c>
      <c r="B35603" s="3" t="s">
        <v>95</v>
      </c>
      <c r="C35603" s="6">
        <v>17245</v>
      </c>
      <c r="D35603" s="7">
        <v>1.26</v>
      </c>
      <c r="E35603" t="s">
        <v>102</v>
      </c>
    </row>
    <row r="35604" spans="1:5" x14ac:dyDescent="0.25">
      <c r="A35604" t="str">
        <f>HYPERLINK("https://www.773grp.com/globalSearch/MAC4DCNT4G/page-1", "MAC4DCNT4G")</f>
        <v>MAC4DCNT4G</v>
      </c>
      <c r="B35604" s="3" t="s">
        <v>95</v>
      </c>
      <c r="C35604" s="6">
        <v>10000</v>
      </c>
      <c r="D35604" s="7">
        <v>1.26</v>
      </c>
    </row>
    <row r="35605" spans="1:5" x14ac:dyDescent="0.25">
      <c r="A35605" t="str">
        <f>HYPERLINK("https://www.773grp.com/globalSearch/MAC4DHM-1G/page-1", "MAC4DHM-1G")</f>
        <v>MAC4DHM-1G</v>
      </c>
      <c r="B35605" s="3" t="s">
        <v>95</v>
      </c>
      <c r="C35605" s="6">
        <v>371400</v>
      </c>
      <c r="D35605" s="7">
        <v>1.26</v>
      </c>
      <c r="E35605" t="s">
        <v>102</v>
      </c>
    </row>
    <row r="35606" spans="1:5" x14ac:dyDescent="0.25">
      <c r="A35606" t="str">
        <f>HYPERLINK("https://www.773grp.com/globalSearch/MAC4DHMT4G/page-1", "MAC4DHMT4G")</f>
        <v>MAC4DHMT4G</v>
      </c>
      <c r="B35606" s="3" t="s">
        <v>95</v>
      </c>
      <c r="C35606" s="6">
        <v>12500</v>
      </c>
      <c r="D35606" s="7">
        <v>1.26</v>
      </c>
      <c r="E35606" t="s">
        <v>102</v>
      </c>
    </row>
    <row r="35607" spans="1:5" x14ac:dyDescent="0.25">
      <c r="A35607" t="str">
        <f>HYPERLINK("https://www.773grp.com/globalSearch/MAC4DLM-1G/page-1", "MAC4DLM-1G")</f>
        <v>MAC4DLM-1G</v>
      </c>
      <c r="B35607" s="3" t="s">
        <v>95</v>
      </c>
      <c r="C35607" s="6">
        <v>935</v>
      </c>
      <c r="D35607" s="7">
        <v>1.26</v>
      </c>
      <c r="E35607" t="s">
        <v>102</v>
      </c>
    </row>
    <row r="35608" spans="1:5" x14ac:dyDescent="0.25">
      <c r="A35608" t="str">
        <f>HYPERLINK("https://www.773grp.com/globalSearch/MAC4DLMT4G/page-1", "MAC4DLMT4G")</f>
        <v>MAC4DLMT4G</v>
      </c>
      <c r="B35608" s="3" t="s">
        <v>95</v>
      </c>
      <c r="C35608" s="6">
        <v>2500</v>
      </c>
      <c r="D35608" s="7">
        <v>1.26</v>
      </c>
      <c r="E35608" t="s">
        <v>102</v>
      </c>
    </row>
    <row r="35609" spans="1:5" x14ac:dyDescent="0.25">
      <c r="A35609" t="str">
        <f>HYPERLINK("https://www.773grp.com/globalSearch/MAC4DSMT4G/page-1", "MAC4DSMT4G")</f>
        <v>MAC4DSMT4G</v>
      </c>
      <c r="B35609" s="3" t="s">
        <v>95</v>
      </c>
      <c r="C35609" s="6">
        <v>45000</v>
      </c>
      <c r="D35609" s="7">
        <v>1.26</v>
      </c>
      <c r="E35609" t="s">
        <v>102</v>
      </c>
    </row>
    <row r="35610" spans="1:5" x14ac:dyDescent="0.25">
      <c r="A35610" t="str">
        <f>HYPERLINK("https://www.773grp.com/globalSearch/MAC4DSN-1G/page-1", "MAC4DSN-1G")</f>
        <v>MAC4DSN-1G</v>
      </c>
      <c r="B35610" s="3" t="s">
        <v>95</v>
      </c>
      <c r="C35610" s="6">
        <v>47550</v>
      </c>
      <c r="D35610" s="7">
        <v>1.26</v>
      </c>
    </row>
    <row r="35611" spans="1:5" x14ac:dyDescent="0.25">
      <c r="A35611" t="str">
        <f>HYPERLINK("https://www.773grp.com/globalSearch/MAC4DSNT4G/page-1", "MAC4DSNT4G")</f>
        <v>MAC4DSNT4G</v>
      </c>
      <c r="B35611" s="3" t="s">
        <v>95</v>
      </c>
      <c r="C35611" s="6">
        <v>17500</v>
      </c>
      <c r="D35611" s="7">
        <v>1.26</v>
      </c>
      <c r="E35611" t="s">
        <v>102</v>
      </c>
    </row>
    <row r="35612" spans="1:5" x14ac:dyDescent="0.25">
      <c r="A35612" t="str">
        <f>HYPERLINK("https://www.773grp.com/globalSearch/MBRA1H100T3G/page-1", "MBRA1H100T3G")</f>
        <v>MBRA1H100T3G</v>
      </c>
      <c r="B35612" s="3" t="s">
        <v>95</v>
      </c>
      <c r="C35612" s="6">
        <v>109583</v>
      </c>
      <c r="D35612" s="7">
        <v>1.26</v>
      </c>
      <c r="E35612" t="s">
        <v>94</v>
      </c>
    </row>
    <row r="35613" spans="1:5" x14ac:dyDescent="0.25">
      <c r="A35613" t="str">
        <f>HYPERLINK("https://www.773grp.com/globalSearch/MBRD835LG/page-1", "MBRD835LG")</f>
        <v>MBRD835LG</v>
      </c>
      <c r="B35613" s="3" t="s">
        <v>95</v>
      </c>
      <c r="C35613" s="6">
        <v>16847</v>
      </c>
      <c r="D35613" s="7">
        <v>1.26</v>
      </c>
      <c r="E35613" t="s">
        <v>103</v>
      </c>
    </row>
    <row r="35614" spans="1:5" x14ac:dyDescent="0.25">
      <c r="A35614" t="str">
        <f>HYPERLINK("https://www.773grp.com/globalSearch/MBRD835LT4G/page-1", "MBRD835LT4G")</f>
        <v>MBRD835LT4G</v>
      </c>
      <c r="B35614" s="3" t="s">
        <v>95</v>
      </c>
      <c r="C35614" s="6">
        <v>95000</v>
      </c>
      <c r="D35614" s="7">
        <v>1.26</v>
      </c>
      <c r="E35614" t="s">
        <v>103</v>
      </c>
    </row>
    <row r="35615" spans="1:5" x14ac:dyDescent="0.25">
      <c r="A35615" t="str">
        <f>HYPERLINK("https://www.773grp.com/globalSearch/MBRS3200T3G/page-1", "MBRS3200T3G")</f>
        <v>MBRS3200T3G</v>
      </c>
      <c r="B35615" s="3" t="s">
        <v>95</v>
      </c>
      <c r="C35615" s="6">
        <v>165000</v>
      </c>
      <c r="D35615" s="7">
        <v>1.26</v>
      </c>
    </row>
    <row r="35616" spans="1:5" x14ac:dyDescent="0.25">
      <c r="A35616" t="str">
        <f>HYPERLINK("https://www.773grp.com/globalSearch/MC14014BDG/page-1", "MC14014BDG")</f>
        <v>MC14014BDG</v>
      </c>
      <c r="B35616" s="3" t="s">
        <v>95</v>
      </c>
      <c r="C35616" s="6">
        <v>4624</v>
      </c>
      <c r="D35616" s="7">
        <v>1.26</v>
      </c>
      <c r="E35616" t="s">
        <v>32</v>
      </c>
    </row>
    <row r="35617" spans="1:5" x14ac:dyDescent="0.25">
      <c r="A35617" t="str">
        <f>HYPERLINK("https://www.773grp.com/globalSearch/MC14014BDR2G/page-1", "MC14014BDR2G")</f>
        <v>MC14014BDR2G</v>
      </c>
      <c r="B35617" s="3" t="s">
        <v>95</v>
      </c>
      <c r="C35617" s="6">
        <v>39544</v>
      </c>
      <c r="D35617" s="7">
        <v>1.26</v>
      </c>
      <c r="E35617" t="s">
        <v>32</v>
      </c>
    </row>
    <row r="35618" spans="1:5" x14ac:dyDescent="0.25">
      <c r="A35618" t="str">
        <f>HYPERLINK("https://www.773grp.com/globalSearch/MC14018BCPG/page-1", "MC14018BCPG")</f>
        <v>MC14018BCPG</v>
      </c>
      <c r="B35618" s="3" t="s">
        <v>95</v>
      </c>
      <c r="C35618" s="6">
        <v>6825</v>
      </c>
      <c r="D35618" s="7">
        <v>1.26</v>
      </c>
      <c r="E35618" t="s">
        <v>26</v>
      </c>
    </row>
    <row r="35619" spans="1:5" x14ac:dyDescent="0.25">
      <c r="A35619" t="str">
        <f>HYPERLINK("https://www.773grp.com/globalSearch/MC14021BDG/page-1", "MC14021BDG")</f>
        <v>MC14021BDG</v>
      </c>
      <c r="B35619" s="3" t="s">
        <v>95</v>
      </c>
      <c r="C35619" s="6">
        <v>3024</v>
      </c>
      <c r="D35619" s="7">
        <v>1.26</v>
      </c>
      <c r="E35619" t="s">
        <v>32</v>
      </c>
    </row>
    <row r="35620" spans="1:5" x14ac:dyDescent="0.25">
      <c r="A35620" t="str">
        <f>HYPERLINK("https://www.773grp.com/globalSearch/MC14021BDR2G/page-1", "MC14021BDR2G")</f>
        <v>MC14021BDR2G</v>
      </c>
      <c r="B35620" s="3" t="s">
        <v>95</v>
      </c>
      <c r="C35620" s="6">
        <v>29682</v>
      </c>
      <c r="D35620" s="7">
        <v>1.26</v>
      </c>
    </row>
    <row r="35621" spans="1:5" x14ac:dyDescent="0.25">
      <c r="A35621" t="str">
        <f>HYPERLINK("https://www.773grp.com/globalSearch/MC14028BFELG/page-1", "MC14028BFELG")</f>
        <v>MC14028BFELG</v>
      </c>
      <c r="B35621" s="3" t="s">
        <v>95</v>
      </c>
      <c r="C35621" s="6">
        <v>812</v>
      </c>
      <c r="D35621" s="7">
        <v>1.26</v>
      </c>
      <c r="E35621" t="s">
        <v>36</v>
      </c>
    </row>
    <row r="35622" spans="1:5" x14ac:dyDescent="0.25">
      <c r="A35622" t="str">
        <f>HYPERLINK("https://www.773grp.com/globalSearch/MC14029BCPG/page-1", "MC14029BCPG")</f>
        <v>MC14029BCPG</v>
      </c>
      <c r="B35622" s="3" t="s">
        <v>95</v>
      </c>
      <c r="C35622" s="6">
        <v>1160</v>
      </c>
      <c r="D35622" s="7">
        <v>1.26</v>
      </c>
      <c r="E35622" t="s">
        <v>26</v>
      </c>
    </row>
    <row r="35623" spans="1:5" x14ac:dyDescent="0.25">
      <c r="A35623" t="str">
        <f>HYPERLINK("https://www.773grp.com/globalSearch/MC14029BFELG/page-1", "MC14029BFELG")</f>
        <v>MC14029BFELG</v>
      </c>
      <c r="B35623" s="3" t="s">
        <v>95</v>
      </c>
      <c r="C35623" s="6">
        <v>11827</v>
      </c>
      <c r="D35623" s="7">
        <v>1.26</v>
      </c>
      <c r="E35623" t="s">
        <v>26</v>
      </c>
    </row>
    <row r="35624" spans="1:5" x14ac:dyDescent="0.25">
      <c r="A35624" t="str">
        <f>HYPERLINK("https://www.773grp.com/globalSearch/MC1413BD/page-1", "MC1413BD")</f>
        <v>MC1413BD</v>
      </c>
      <c r="B35624" s="3" t="s">
        <v>95</v>
      </c>
      <c r="C35624" s="6">
        <v>3061</v>
      </c>
      <c r="D35624" s="7">
        <v>1.26</v>
      </c>
      <c r="E35624" t="s">
        <v>59</v>
      </c>
    </row>
    <row r="35625" spans="1:5" x14ac:dyDescent="0.25">
      <c r="A35625" t="str">
        <f>HYPERLINK("https://www.773grp.com/globalSearch/MC1413BDG/page-1", "MC1413BDG")</f>
        <v>MC1413BDG</v>
      </c>
      <c r="B35625" s="3" t="s">
        <v>95</v>
      </c>
      <c r="C35625" s="6">
        <v>3788</v>
      </c>
      <c r="D35625" s="7">
        <v>1.26</v>
      </c>
    </row>
    <row r="35626" spans="1:5" x14ac:dyDescent="0.25">
      <c r="A35626" t="str">
        <f>HYPERLINK("https://www.773grp.com/globalSearch/MC1413BDR2/page-1", "MC1413BDR2")</f>
        <v>MC1413BDR2</v>
      </c>
      <c r="B35626" s="3" t="s">
        <v>95</v>
      </c>
      <c r="C35626" s="6">
        <v>635</v>
      </c>
      <c r="D35626" s="7">
        <v>1.26</v>
      </c>
    </row>
    <row r="35627" spans="1:5" x14ac:dyDescent="0.25">
      <c r="A35627" t="str">
        <f>HYPERLINK("https://www.773grp.com/globalSearch/MC1413BDR2G/page-1", "MC1413BDR2G")</f>
        <v>MC1413BDR2G</v>
      </c>
      <c r="B35627" s="3" t="s">
        <v>95</v>
      </c>
      <c r="C35627" s="6">
        <v>160000</v>
      </c>
      <c r="D35627" s="7">
        <v>1.26</v>
      </c>
      <c r="E35627" t="s">
        <v>59</v>
      </c>
    </row>
    <row r="35628" spans="1:5" x14ac:dyDescent="0.25">
      <c r="A35628" t="str">
        <f>HYPERLINK("https://www.773grp.com/globalSearch/MC14161BD/page-1", "MC14161BD")</f>
        <v>MC14161BD</v>
      </c>
      <c r="B35628" s="3" t="s">
        <v>95</v>
      </c>
      <c r="C35628" s="6">
        <v>30280</v>
      </c>
      <c r="D35628" s="7">
        <v>1.26</v>
      </c>
      <c r="E35628" t="s">
        <v>26</v>
      </c>
    </row>
    <row r="35629" spans="1:5" x14ac:dyDescent="0.25">
      <c r="A35629" t="str">
        <f>HYPERLINK("https://www.773grp.com/globalSearch/MC14511BCPG/page-1", "MC14511BCPG")</f>
        <v>MC14511BCPG</v>
      </c>
      <c r="B35629" s="3" t="s">
        <v>95</v>
      </c>
      <c r="C35629" s="6">
        <v>500</v>
      </c>
      <c r="D35629" s="7">
        <v>1.26</v>
      </c>
      <c r="E35629" t="s">
        <v>36</v>
      </c>
    </row>
    <row r="35630" spans="1:5" x14ac:dyDescent="0.25">
      <c r="A35630" t="str">
        <f>HYPERLINK("https://www.773grp.com/globalSearch/MC14512BCPG/page-1", "MC14512BCPG")</f>
        <v>MC14512BCPG</v>
      </c>
      <c r="B35630" s="3" t="s">
        <v>95</v>
      </c>
      <c r="C35630" s="6">
        <v>1713</v>
      </c>
      <c r="D35630" s="7">
        <v>1.26</v>
      </c>
      <c r="E35630" t="s">
        <v>20</v>
      </c>
    </row>
    <row r="35631" spans="1:5" x14ac:dyDescent="0.25">
      <c r="A35631" t="str">
        <f>HYPERLINK("https://www.773grp.com/globalSearch/MC14516BCP/page-1", "MC14516BCP")</f>
        <v>MC14516BCP</v>
      </c>
      <c r="B35631" s="3" t="s">
        <v>95</v>
      </c>
      <c r="C35631" s="6">
        <v>1100</v>
      </c>
      <c r="D35631" s="7">
        <v>1.26</v>
      </c>
      <c r="E35631" t="s">
        <v>26</v>
      </c>
    </row>
    <row r="35632" spans="1:5" x14ac:dyDescent="0.25">
      <c r="A35632" t="str">
        <f>HYPERLINK("https://www.773grp.com/globalSearch/MC14516BCPG/page-1", "MC14516BCPG")</f>
        <v>MC14516BCPG</v>
      </c>
      <c r="B35632" s="3" t="s">
        <v>95</v>
      </c>
      <c r="C35632" s="6">
        <v>5940</v>
      </c>
      <c r="D35632" s="7">
        <v>1.26</v>
      </c>
      <c r="E35632" t="s">
        <v>26</v>
      </c>
    </row>
    <row r="35633" spans="1:5" x14ac:dyDescent="0.25">
      <c r="A35633" t="str">
        <f>HYPERLINK("https://www.773grp.com/globalSearch/MC14516BDG/page-1", "MC14516BDG")</f>
        <v>MC14516BDG</v>
      </c>
      <c r="B35633" s="3" t="s">
        <v>95</v>
      </c>
      <c r="C35633" s="6">
        <v>1033</v>
      </c>
      <c r="D35633" s="7">
        <v>1.26</v>
      </c>
      <c r="E35633" t="s">
        <v>26</v>
      </c>
    </row>
    <row r="35634" spans="1:5" x14ac:dyDescent="0.25">
      <c r="A35634" t="str">
        <f>HYPERLINK("https://www.773grp.com/globalSearch/MC14538BCPG/page-1", "MC14538BCPG")</f>
        <v>MC14538BCPG</v>
      </c>
      <c r="B35634" s="3" t="s">
        <v>95</v>
      </c>
      <c r="C35634" s="6">
        <v>500</v>
      </c>
      <c r="D35634" s="7">
        <v>1.26</v>
      </c>
      <c r="E35634" t="s">
        <v>54</v>
      </c>
    </row>
    <row r="35635" spans="1:5" x14ac:dyDescent="0.25">
      <c r="A35635" t="str">
        <f>HYPERLINK("https://www.773grp.com/globalSearch/MC14543BCPG/page-1", "MC14543BCPG")</f>
        <v>MC14543BCPG</v>
      </c>
      <c r="B35635" s="3" t="s">
        <v>95</v>
      </c>
      <c r="C35635" s="6">
        <v>2758</v>
      </c>
      <c r="D35635" s="7">
        <v>1.26</v>
      </c>
      <c r="E35635" t="s">
        <v>36</v>
      </c>
    </row>
    <row r="35636" spans="1:5" x14ac:dyDescent="0.25">
      <c r="A35636" t="str">
        <f>HYPERLINK("https://www.773grp.com/globalSearch/MC14543BFG/page-1", "MC14543BFG")</f>
        <v>MC14543BFG</v>
      </c>
      <c r="B35636" s="3" t="s">
        <v>95</v>
      </c>
      <c r="C35636" s="6">
        <v>5792</v>
      </c>
      <c r="D35636" s="7">
        <v>1.26</v>
      </c>
      <c r="E35636" t="s">
        <v>36</v>
      </c>
    </row>
    <row r="35637" spans="1:5" x14ac:dyDescent="0.25">
      <c r="A35637" t="str">
        <f>HYPERLINK("https://www.773grp.com/globalSearch/MC14555BFEL/page-1", "MC14555BFEL")</f>
        <v>MC14555BFEL</v>
      </c>
      <c r="B35637" s="3" t="s">
        <v>95</v>
      </c>
      <c r="C35637" s="6">
        <v>833</v>
      </c>
      <c r="D35637" s="7">
        <v>1.26</v>
      </c>
      <c r="E35637" t="s">
        <v>36</v>
      </c>
    </row>
    <row r="35638" spans="1:5" x14ac:dyDescent="0.25">
      <c r="A35638" t="str">
        <f>HYPERLINK("https://www.773grp.com/globalSearch/MC14556BFEL/page-1", "MC14556BFEL")</f>
        <v>MC14556BFEL</v>
      </c>
      <c r="B35638" s="3" t="s">
        <v>95</v>
      </c>
      <c r="C35638" s="6">
        <v>1106</v>
      </c>
      <c r="D35638" s="7">
        <v>1.26</v>
      </c>
      <c r="E35638" t="s">
        <v>36</v>
      </c>
    </row>
    <row r="35639" spans="1:5" x14ac:dyDescent="0.25">
      <c r="A35639" t="str">
        <f>HYPERLINK("https://www.773grp.com/globalSearch/MC14556BFELG/page-1", "MC14556BFELG")</f>
        <v>MC14556BFELG</v>
      </c>
      <c r="B35639" s="3" t="s">
        <v>95</v>
      </c>
      <c r="C35639" s="6">
        <v>5508</v>
      </c>
      <c r="D35639" s="7">
        <v>1.26</v>
      </c>
      <c r="E35639" t="s">
        <v>36</v>
      </c>
    </row>
    <row r="35640" spans="1:5" x14ac:dyDescent="0.25">
      <c r="A35640" t="str">
        <f>HYPERLINK("https://www.773grp.com/globalSearch/MC1488DG/page-1", "MC1488DG")</f>
        <v>MC1488DG</v>
      </c>
      <c r="B35640" s="3" t="s">
        <v>95</v>
      </c>
      <c r="C35640" s="6">
        <v>23696</v>
      </c>
      <c r="D35640" s="7">
        <v>1.26</v>
      </c>
      <c r="E35640" t="s">
        <v>21</v>
      </c>
    </row>
    <row r="35641" spans="1:5" x14ac:dyDescent="0.25">
      <c r="A35641" t="str">
        <f>HYPERLINK("https://www.773grp.com/globalSearch/MC1488DR2G/page-1", "MC1488DR2G")</f>
        <v>MC1488DR2G</v>
      </c>
      <c r="B35641" s="3" t="s">
        <v>95</v>
      </c>
      <c r="C35641" s="6">
        <v>64369</v>
      </c>
      <c r="D35641" s="7">
        <v>1.26</v>
      </c>
      <c r="E35641" t="s">
        <v>21</v>
      </c>
    </row>
    <row r="35642" spans="1:5" x14ac:dyDescent="0.25">
      <c r="A35642" t="str">
        <f>HYPERLINK("https://www.773grp.com/globalSearch/MC1489APG/page-1", "MC1489APG")</f>
        <v>MC1489APG</v>
      </c>
      <c r="B35642" s="3" t="s">
        <v>95</v>
      </c>
      <c r="C35642" s="6">
        <v>2446</v>
      </c>
      <c r="D35642" s="7">
        <v>1.26</v>
      </c>
      <c r="E35642" t="s">
        <v>21</v>
      </c>
    </row>
    <row r="35643" spans="1:5" x14ac:dyDescent="0.25">
      <c r="A35643" t="str">
        <f>HYPERLINK("https://www.773grp.com/globalSearch/MC1489DG/page-1", "MC1489DG")</f>
        <v>MC1489DG</v>
      </c>
      <c r="B35643" s="3" t="s">
        <v>95</v>
      </c>
      <c r="C35643" s="6">
        <v>4048</v>
      </c>
      <c r="D35643" s="7">
        <v>1.26</v>
      </c>
      <c r="E35643" t="s">
        <v>21</v>
      </c>
    </row>
    <row r="35644" spans="1:5" x14ac:dyDescent="0.25">
      <c r="A35644" t="str">
        <f>HYPERLINK("https://www.773grp.com/globalSearch/MC1489DR2G/page-1", "MC1489DR2G")</f>
        <v>MC1489DR2G</v>
      </c>
      <c r="B35644" s="3" t="s">
        <v>95</v>
      </c>
      <c r="C35644" s="6">
        <v>2500</v>
      </c>
      <c r="D35644" s="7">
        <v>1.26</v>
      </c>
    </row>
    <row r="35645" spans="1:5" x14ac:dyDescent="0.25">
      <c r="A35645" t="str">
        <f>HYPERLINK("https://www.773grp.com/globalSearch/MC3403DG/page-1", "MC3403DG")</f>
        <v>MC3403DG</v>
      </c>
      <c r="B35645" s="3" t="s">
        <v>95</v>
      </c>
      <c r="C35645" s="6">
        <v>10223</v>
      </c>
      <c r="D35645" s="7">
        <v>1.26</v>
      </c>
      <c r="E35645" t="s">
        <v>13</v>
      </c>
    </row>
    <row r="35646" spans="1:5" x14ac:dyDescent="0.25">
      <c r="A35646" t="str">
        <f>HYPERLINK("https://www.773grp.com/globalSearch/MC3403DR2/page-1", "MC3403DR2")</f>
        <v>MC3403DR2</v>
      </c>
      <c r="B35646" s="3" t="s">
        <v>95</v>
      </c>
      <c r="C35646" s="6">
        <v>4064</v>
      </c>
      <c r="D35646" s="7">
        <v>1.26</v>
      </c>
      <c r="E35646" t="s">
        <v>13</v>
      </c>
    </row>
    <row r="35647" spans="1:5" x14ac:dyDescent="0.25">
      <c r="A35647" t="str">
        <f>HYPERLINK("https://www.773grp.com/globalSearch/MC3403DR2G/page-1", "MC3403DR2G")</f>
        <v>MC3403DR2G</v>
      </c>
      <c r="B35647" s="3" t="s">
        <v>95</v>
      </c>
      <c r="C35647" s="6">
        <v>22744</v>
      </c>
      <c r="D35647" s="7">
        <v>1.26</v>
      </c>
    </row>
    <row r="35648" spans="1:5" x14ac:dyDescent="0.25">
      <c r="A35648" t="str">
        <f>HYPERLINK("https://www.773grp.com/globalSearch/MC3403PG/page-1", "MC3403PG")</f>
        <v>MC3403PG</v>
      </c>
      <c r="B35648" s="3" t="s">
        <v>95</v>
      </c>
      <c r="C35648" s="6">
        <v>16569</v>
      </c>
      <c r="D35648" s="7">
        <v>1.26</v>
      </c>
      <c r="E35648" t="s">
        <v>13</v>
      </c>
    </row>
    <row r="35649" spans="1:5" x14ac:dyDescent="0.25">
      <c r="A35649" t="str">
        <f>HYPERLINK("https://www.773grp.com/globalSearch/MC34074VP/page-1", "MC34074VP")</f>
        <v>MC34074VP</v>
      </c>
      <c r="B35649" s="3" t="s">
        <v>95</v>
      </c>
      <c r="C35649" s="6">
        <v>38</v>
      </c>
      <c r="D35649" s="7">
        <v>1.26</v>
      </c>
      <c r="E35649" t="s">
        <v>13</v>
      </c>
    </row>
    <row r="35650" spans="1:5" x14ac:dyDescent="0.25">
      <c r="A35650" t="str">
        <f>HYPERLINK("https://www.773grp.com/globalSearch/MC3476P1/page-1", "MC3476P1")</f>
        <v>MC3476P1</v>
      </c>
      <c r="B35650" s="3" t="s">
        <v>95</v>
      </c>
      <c r="C35650" s="6">
        <v>50</v>
      </c>
      <c r="D35650" s="7">
        <v>1.26</v>
      </c>
      <c r="E35650" t="s">
        <v>13</v>
      </c>
    </row>
    <row r="35651" spans="1:5" x14ac:dyDescent="0.25">
      <c r="A35651" t="str">
        <f>HYPERLINK("https://www.773grp.com/globalSearch/MC74AC564DWR2/page-1", "MC74AC564DWR2")</f>
        <v>MC74AC564DWR2</v>
      </c>
      <c r="B35651" s="3" t="s">
        <v>95</v>
      </c>
      <c r="C35651" s="6">
        <v>1827</v>
      </c>
      <c r="D35651" s="7">
        <v>1.26</v>
      </c>
      <c r="E35651" t="s">
        <v>14</v>
      </c>
    </row>
    <row r="35652" spans="1:5" x14ac:dyDescent="0.25">
      <c r="A35652" t="str">
        <f>HYPERLINK("https://www.773grp.com/globalSearch/MC74AC564N/page-1", "MC74AC564N")</f>
        <v>MC74AC564N</v>
      </c>
      <c r="B35652" s="3" t="s">
        <v>95</v>
      </c>
      <c r="C35652" s="6">
        <v>2070</v>
      </c>
      <c r="D35652" s="7">
        <v>1.26</v>
      </c>
      <c r="E35652" t="s">
        <v>14</v>
      </c>
    </row>
    <row r="35653" spans="1:5" x14ac:dyDescent="0.25">
      <c r="A35653" t="str">
        <f>HYPERLINK("https://www.773grp.com/globalSearch/MC74ACT158N/page-1", "MC74ACT158N")</f>
        <v>MC74ACT158N</v>
      </c>
      <c r="B35653" s="3" t="s">
        <v>95</v>
      </c>
      <c r="C35653" s="6">
        <v>3316</v>
      </c>
      <c r="D35653" s="7">
        <v>1.26</v>
      </c>
      <c r="E35653" t="s">
        <v>20</v>
      </c>
    </row>
    <row r="35654" spans="1:5" x14ac:dyDescent="0.25">
      <c r="A35654" t="str">
        <f>HYPERLINK("https://www.773grp.com/globalSearch/MC74ACT160D/page-1", "MC74ACT160D")</f>
        <v>MC74ACT160D</v>
      </c>
      <c r="B35654" s="3" t="s">
        <v>95</v>
      </c>
      <c r="C35654" s="6">
        <v>180</v>
      </c>
      <c r="D35654" s="7">
        <v>1.26</v>
      </c>
      <c r="E35654" t="s">
        <v>26</v>
      </c>
    </row>
    <row r="35655" spans="1:5" x14ac:dyDescent="0.25">
      <c r="A35655" t="str">
        <f>HYPERLINK("https://www.773grp.com/globalSearch/MC74ACT160DR2/page-1", "MC74ACT160DR2")</f>
        <v>MC74ACT160DR2</v>
      </c>
      <c r="B35655" s="3" t="s">
        <v>95</v>
      </c>
      <c r="C35655" s="6">
        <v>2500</v>
      </c>
      <c r="D35655" s="7">
        <v>1.26</v>
      </c>
      <c r="E35655" t="s">
        <v>26</v>
      </c>
    </row>
    <row r="35656" spans="1:5" x14ac:dyDescent="0.25">
      <c r="A35656" t="str">
        <f>HYPERLINK("https://www.773grp.com/globalSearch/MC74ACT160N/page-1", "MC74ACT160N")</f>
        <v>MC74ACT160N</v>
      </c>
      <c r="B35656" s="3" t="s">
        <v>95</v>
      </c>
      <c r="C35656" s="6">
        <v>2420</v>
      </c>
      <c r="D35656" s="7">
        <v>1.26</v>
      </c>
      <c r="E35656" t="s">
        <v>26</v>
      </c>
    </row>
    <row r="35657" spans="1:5" x14ac:dyDescent="0.25">
      <c r="A35657" t="str">
        <f>HYPERLINK("https://www.773grp.com/globalSearch/MC74ACT161MELG/page-1", "MC74ACT161MELG")</f>
        <v>MC74ACT161MELG</v>
      </c>
      <c r="B35657" s="3" t="s">
        <v>95</v>
      </c>
      <c r="C35657" s="6">
        <v>1567</v>
      </c>
      <c r="D35657" s="7">
        <v>1.26</v>
      </c>
      <c r="E35657" t="s">
        <v>26</v>
      </c>
    </row>
    <row r="35658" spans="1:5" x14ac:dyDescent="0.25">
      <c r="A35658" t="str">
        <f>HYPERLINK("https://www.773grp.com/globalSearch/MC74ACT162AN/page-1", "MC74ACT162AN")</f>
        <v>MC74ACT162AN</v>
      </c>
      <c r="B35658" s="3" t="s">
        <v>95</v>
      </c>
      <c r="C35658" s="6">
        <v>2000</v>
      </c>
      <c r="D35658" s="7">
        <v>1.26</v>
      </c>
    </row>
    <row r="35659" spans="1:5" x14ac:dyDescent="0.25">
      <c r="A35659" t="str">
        <f>HYPERLINK("https://www.773grp.com/globalSearch/MC74ACT162N/page-1", "MC74ACT162N")</f>
        <v>MC74ACT162N</v>
      </c>
      <c r="B35659" s="3" t="s">
        <v>95</v>
      </c>
      <c r="C35659" s="6">
        <v>2400</v>
      </c>
      <c r="D35659" s="7">
        <v>1.26</v>
      </c>
      <c r="E35659" t="s">
        <v>26</v>
      </c>
    </row>
    <row r="35660" spans="1:5" x14ac:dyDescent="0.25">
      <c r="A35660" t="str">
        <f>HYPERLINK("https://www.773grp.com/globalSearch/MC74F241N/page-1", "MC74F241N")</f>
        <v>MC74F241N</v>
      </c>
      <c r="B35660" s="3" t="s">
        <v>95</v>
      </c>
      <c r="C35660" s="6">
        <v>13142</v>
      </c>
      <c r="D35660" s="7">
        <v>1.26</v>
      </c>
      <c r="E35660" t="s">
        <v>14</v>
      </c>
    </row>
    <row r="35661" spans="1:5" x14ac:dyDescent="0.25">
      <c r="A35661" t="str">
        <f>HYPERLINK("https://www.773grp.com/globalSearch/MC74F521N/page-1", "MC74F521N")</f>
        <v>MC74F521N</v>
      </c>
      <c r="B35661" s="3" t="s">
        <v>95</v>
      </c>
      <c r="C35661" s="6">
        <v>2819</v>
      </c>
      <c r="D35661" s="7">
        <v>1.26</v>
      </c>
      <c r="E35661" t="s">
        <v>43</v>
      </c>
    </row>
    <row r="35662" spans="1:5" x14ac:dyDescent="0.25">
      <c r="A35662" t="str">
        <f>HYPERLINK("https://www.773grp.com/globalSearch/MC74HC245AFELG/page-1", "MC74HC245AFELG")</f>
        <v>MC74HC245AFELG</v>
      </c>
      <c r="B35662" s="3" t="s">
        <v>95</v>
      </c>
      <c r="C35662" s="6">
        <v>173811</v>
      </c>
      <c r="D35662" s="7">
        <v>1.26</v>
      </c>
      <c r="E35662" t="s">
        <v>14</v>
      </c>
    </row>
    <row r="35663" spans="1:5" x14ac:dyDescent="0.25">
      <c r="A35663" t="str">
        <f>HYPERLINK("https://www.773grp.com/globalSearch/MC74HC273AFEL/page-1", "MC74HC273AFEL")</f>
        <v>MC74HC273AFEL</v>
      </c>
      <c r="B35663" s="3" t="s">
        <v>95</v>
      </c>
      <c r="C35663" s="6">
        <v>4000</v>
      </c>
      <c r="D35663" s="7">
        <v>1.26</v>
      </c>
    </row>
    <row r="35664" spans="1:5" x14ac:dyDescent="0.25">
      <c r="A35664" t="str">
        <f>HYPERLINK("https://www.773grp.com/globalSearch/MC74HC273AFELG/page-1", "MC74HC273AFELG")</f>
        <v>MC74HC273AFELG</v>
      </c>
      <c r="B35664" s="3" t="s">
        <v>95</v>
      </c>
      <c r="C35664" s="6">
        <v>1900</v>
      </c>
      <c r="D35664" s="7">
        <v>1.26</v>
      </c>
      <c r="E35664" t="s">
        <v>35</v>
      </c>
    </row>
    <row r="35665" spans="1:5" x14ac:dyDescent="0.25">
      <c r="A35665" t="str">
        <f>HYPERLINK("https://www.773grp.com/globalSearch/MC74HC541AFEL/page-1", "MC74HC541AFEL")</f>
        <v>MC74HC541AFEL</v>
      </c>
      <c r="B35665" s="3" t="s">
        <v>95</v>
      </c>
      <c r="C35665" s="6">
        <v>12818</v>
      </c>
      <c r="D35665" s="7">
        <v>1.26</v>
      </c>
      <c r="E35665" t="s">
        <v>14</v>
      </c>
    </row>
    <row r="35666" spans="1:5" x14ac:dyDescent="0.25">
      <c r="A35666" t="str">
        <f>HYPERLINK("https://www.773grp.com/globalSearch/MC74LCX540DWR2G/page-1", "MC74LCX540DWR2G")</f>
        <v>MC74LCX540DWR2G</v>
      </c>
      <c r="B35666" s="3" t="s">
        <v>95</v>
      </c>
      <c r="C35666" s="6">
        <v>7000</v>
      </c>
      <c r="D35666" s="7">
        <v>1.26</v>
      </c>
      <c r="E35666" t="s">
        <v>14</v>
      </c>
    </row>
    <row r="35667" spans="1:5" x14ac:dyDescent="0.25">
      <c r="A35667" t="str">
        <f>HYPERLINK("https://www.773grp.com/globalSearch/MC74LCX541DTG/page-1", "MC74LCX541DTG")</f>
        <v>MC74LCX541DTG</v>
      </c>
      <c r="B35667" s="3" t="s">
        <v>95</v>
      </c>
      <c r="C35667" s="6">
        <v>17400</v>
      </c>
      <c r="D35667" s="7">
        <v>1.26</v>
      </c>
      <c r="E35667" t="s">
        <v>14</v>
      </c>
    </row>
    <row r="35668" spans="1:5" x14ac:dyDescent="0.25">
      <c r="A35668" t="str">
        <f>HYPERLINK("https://www.773grp.com/globalSearch/MC74LCX541DTR2G/page-1", "MC74LCX541DTR2G")</f>
        <v>MC74LCX541DTR2G</v>
      </c>
      <c r="B35668" s="3" t="s">
        <v>95</v>
      </c>
      <c r="C35668" s="6">
        <v>21615</v>
      </c>
      <c r="D35668" s="7">
        <v>1.26</v>
      </c>
      <c r="E35668" t="s">
        <v>14</v>
      </c>
    </row>
    <row r="35669" spans="1:5" x14ac:dyDescent="0.25">
      <c r="A35669" t="str">
        <f>HYPERLINK("https://www.773grp.com/globalSearch/MC74LCX541DWG/page-1", "MC74LCX541DWG")</f>
        <v>MC74LCX541DWG</v>
      </c>
      <c r="B35669" s="3" t="s">
        <v>95</v>
      </c>
      <c r="C35669" s="6">
        <v>25284</v>
      </c>
      <c r="D35669" s="7">
        <v>1.26</v>
      </c>
      <c r="E35669" t="s">
        <v>14</v>
      </c>
    </row>
    <row r="35670" spans="1:5" x14ac:dyDescent="0.25">
      <c r="A35670" t="str">
        <f>HYPERLINK("https://www.773grp.com/globalSearch/MC74LCX541DWR2G/page-1", "MC74LCX541DWR2G")</f>
        <v>MC74LCX541DWR2G</v>
      </c>
      <c r="B35670" s="3" t="s">
        <v>95</v>
      </c>
      <c r="C35670" s="6">
        <v>14560</v>
      </c>
      <c r="D35670" s="7">
        <v>1.26</v>
      </c>
      <c r="E35670" t="s">
        <v>14</v>
      </c>
    </row>
    <row r="35671" spans="1:5" x14ac:dyDescent="0.25">
      <c r="A35671" t="str">
        <f>HYPERLINK("https://www.773grp.com/globalSearch/MDC5101R2/page-1", "MDC5101R2")</f>
        <v>MDC5101R2</v>
      </c>
      <c r="B35671" s="3" t="s">
        <v>95</v>
      </c>
      <c r="C35671" s="6">
        <v>1460000</v>
      </c>
      <c r="D35671" s="7">
        <v>1.26</v>
      </c>
      <c r="E35671" t="s">
        <v>74</v>
      </c>
    </row>
    <row r="35672" spans="1:5" x14ac:dyDescent="0.25">
      <c r="A35672" t="str">
        <f>HYPERLINK("https://www.773grp.com/globalSearch/MJD112/page-1", "MJD112")</f>
        <v>MJD112</v>
      </c>
      <c r="B35672" s="3" t="s">
        <v>95</v>
      </c>
      <c r="C35672" s="6">
        <v>350</v>
      </c>
      <c r="D35672" s="7">
        <v>1.26</v>
      </c>
    </row>
    <row r="35673" spans="1:5" x14ac:dyDescent="0.25">
      <c r="A35673" t="str">
        <f>HYPERLINK("https://www.773grp.com/globalSearch/MJD2955-1G/page-1", "MJD2955-1G")</f>
        <v>MJD2955-1G</v>
      </c>
      <c r="B35673" s="3" t="s">
        <v>95</v>
      </c>
      <c r="C35673" s="6">
        <v>48900</v>
      </c>
      <c r="D35673" s="7">
        <v>1.26</v>
      </c>
      <c r="E35673" t="s">
        <v>59</v>
      </c>
    </row>
    <row r="35674" spans="1:5" x14ac:dyDescent="0.25">
      <c r="A35674" t="str">
        <f>HYPERLINK("https://www.773grp.com/globalSearch/MJD2955G/page-1", "MJD2955G")</f>
        <v>MJD2955G</v>
      </c>
      <c r="B35674" s="3" t="s">
        <v>95</v>
      </c>
      <c r="C35674" s="6">
        <v>2793</v>
      </c>
      <c r="D35674" s="7">
        <v>1.26</v>
      </c>
    </row>
    <row r="35675" spans="1:5" x14ac:dyDescent="0.25">
      <c r="A35675" t="str">
        <f>HYPERLINK("https://www.773grp.com/globalSearch/MJD3055G/page-1", "MJD3055G")</f>
        <v>MJD3055G</v>
      </c>
      <c r="B35675" s="3" t="s">
        <v>95</v>
      </c>
      <c r="C35675" s="6">
        <v>40254</v>
      </c>
      <c r="D35675" s="7">
        <v>1.26</v>
      </c>
    </row>
    <row r="35676" spans="1:5" x14ac:dyDescent="0.25">
      <c r="A35676" t="str">
        <f>HYPERLINK("https://www.773grp.com/globalSearch/MJD3055T4G/page-1", "MJD3055T4G")</f>
        <v>MJD3055T4G</v>
      </c>
      <c r="B35676" s="3" t="s">
        <v>95</v>
      </c>
      <c r="C35676" s="6">
        <v>25000</v>
      </c>
      <c r="D35676" s="7">
        <v>1.26</v>
      </c>
      <c r="E35676" t="s">
        <v>59</v>
      </c>
    </row>
    <row r="35677" spans="1:5" x14ac:dyDescent="0.25">
      <c r="A35677" t="str">
        <f>HYPERLINK("https://www.773grp.com/globalSearch/MJD41CT4G/page-1", "MJD41CT4G")</f>
        <v>MJD41CT4G</v>
      </c>
      <c r="B35677" s="3" t="s">
        <v>95</v>
      </c>
      <c r="C35677" s="6">
        <v>42500</v>
      </c>
      <c r="D35677" s="7">
        <v>1.26</v>
      </c>
    </row>
    <row r="35678" spans="1:5" x14ac:dyDescent="0.25">
      <c r="A35678" t="str">
        <f>HYPERLINK("https://www.773grp.com/globalSearch/MJD42C1G/page-1", "MJD42C1G")</f>
        <v>MJD42C1G</v>
      </c>
      <c r="B35678" s="3" t="s">
        <v>95</v>
      </c>
      <c r="C35678" s="6">
        <v>3750</v>
      </c>
      <c r="D35678" s="7">
        <v>1.26</v>
      </c>
      <c r="E35678" t="s">
        <v>59</v>
      </c>
    </row>
    <row r="35679" spans="1:5" x14ac:dyDescent="0.25">
      <c r="A35679" t="str">
        <f>HYPERLINK("https://www.773grp.com/globalSearch/MJD42CG/page-1", "MJD42CG")</f>
        <v>MJD42CG</v>
      </c>
      <c r="B35679" s="3" t="s">
        <v>95</v>
      </c>
      <c r="C35679" s="6">
        <v>9695</v>
      </c>
      <c r="D35679" s="7">
        <v>1.26</v>
      </c>
    </row>
    <row r="35680" spans="1:5" x14ac:dyDescent="0.25">
      <c r="A35680" t="str">
        <f>HYPERLINK("https://www.773grp.com/globalSearch/MJE700/page-1", "MJE700")</f>
        <v>MJE700</v>
      </c>
      <c r="B35680" s="3" t="s">
        <v>95</v>
      </c>
      <c r="C35680" s="6">
        <v>5000</v>
      </c>
      <c r="D35680" s="7">
        <v>1.26</v>
      </c>
      <c r="E35680" t="s">
        <v>59</v>
      </c>
    </row>
    <row r="35681" spans="1:5" x14ac:dyDescent="0.25">
      <c r="A35681" t="str">
        <f>HYPERLINK("https://www.773grp.com/globalSearch/MJE703G/page-1", "MJE703G")</f>
        <v>MJE703G</v>
      </c>
      <c r="B35681" s="3" t="s">
        <v>95</v>
      </c>
      <c r="C35681" s="6">
        <v>11501</v>
      </c>
      <c r="D35681" s="7">
        <v>1.26</v>
      </c>
      <c r="E35681" t="s">
        <v>59</v>
      </c>
    </row>
    <row r="35682" spans="1:5" x14ac:dyDescent="0.25">
      <c r="A35682" t="str">
        <f>HYPERLINK("https://www.773grp.com/globalSearch/MTD2N50E1/page-1", "MTD2N50E1")</f>
        <v>MTD2N50E1</v>
      </c>
      <c r="B35682" s="3" t="s">
        <v>95</v>
      </c>
      <c r="C35682" s="6">
        <v>84068</v>
      </c>
      <c r="D35682" s="7">
        <v>1.26</v>
      </c>
      <c r="E35682" t="s">
        <v>105</v>
      </c>
    </row>
    <row r="35683" spans="1:5" x14ac:dyDescent="0.25">
      <c r="A35683" t="str">
        <f>HYPERLINK("https://www.773grp.com/globalSearch/MTD3N25E1/page-1", "MTD3N25E1")</f>
        <v>MTD3N25E1</v>
      </c>
      <c r="B35683" s="3" t="s">
        <v>95</v>
      </c>
      <c r="C35683" s="6">
        <v>13650</v>
      </c>
      <c r="D35683" s="7">
        <v>1.26</v>
      </c>
    </row>
    <row r="35684" spans="1:5" x14ac:dyDescent="0.25">
      <c r="A35684" t="str">
        <f>HYPERLINK("https://www.773grp.com/globalSearch/MTP1N60E/page-1", "MTP1N60E")</f>
        <v>MTP1N60E</v>
      </c>
      <c r="B35684" s="3" t="s">
        <v>95</v>
      </c>
      <c r="C35684" s="6">
        <v>28268</v>
      </c>
      <c r="D35684" s="7">
        <v>1.26</v>
      </c>
      <c r="E35684" t="s">
        <v>105</v>
      </c>
    </row>
    <row r="35685" spans="1:5" x14ac:dyDescent="0.25">
      <c r="A35685" t="str">
        <f>HYPERLINK("https://www.773grp.com/globalSearch/NCP1086D2T-33R4/page-1", "NCP1086D2T-33R4")</f>
        <v>NCP1086D2T-33R4</v>
      </c>
      <c r="B35685" s="3" t="s">
        <v>95</v>
      </c>
      <c r="C35685" s="6">
        <v>125860</v>
      </c>
      <c r="D35685" s="7">
        <v>1.26</v>
      </c>
      <c r="E35685" t="s">
        <v>19</v>
      </c>
    </row>
    <row r="35686" spans="1:5" x14ac:dyDescent="0.25">
      <c r="A35686" t="str">
        <f>HYPERLINK("https://www.773grp.com/globalSearch/NCP1086D2T-ADJR4/page-1", "NCP1086D2T-ADJR4")</f>
        <v>NCP1086D2T-ADJR4</v>
      </c>
      <c r="B35686" s="3" t="s">
        <v>95</v>
      </c>
      <c r="C35686" s="6">
        <v>734000</v>
      </c>
      <c r="D35686" s="7">
        <v>1.26</v>
      </c>
      <c r="E35686" t="s">
        <v>25</v>
      </c>
    </row>
    <row r="35687" spans="1:5" x14ac:dyDescent="0.25">
      <c r="A35687" t="str">
        <f>HYPERLINK("https://www.773grp.com/globalSearch/NCP1529MU135TBG/page-1", "NCP1529MU135TBG")</f>
        <v>NCP1529MU135TBG</v>
      </c>
      <c r="B35687" s="3" t="s">
        <v>95</v>
      </c>
      <c r="C35687" s="6">
        <v>5858</v>
      </c>
      <c r="D35687" s="7">
        <v>1.26</v>
      </c>
      <c r="E35687" t="s">
        <v>7</v>
      </c>
    </row>
    <row r="35688" spans="1:5" x14ac:dyDescent="0.25">
      <c r="A35688" t="str">
        <f>HYPERLINK("https://www.773grp.com/globalSearch/NCP1529MUTBG/page-1", "NCP1529MUTBG")</f>
        <v>NCP1529MUTBG</v>
      </c>
      <c r="B35688" s="3" t="s">
        <v>95</v>
      </c>
      <c r="C35688" s="6">
        <v>88700</v>
      </c>
      <c r="D35688" s="7">
        <v>1.26</v>
      </c>
      <c r="E35688" t="s">
        <v>7</v>
      </c>
    </row>
    <row r="35689" spans="1:5" x14ac:dyDescent="0.25">
      <c r="A35689" t="str">
        <f>HYPERLINK("https://www.773grp.com/globalSearch/NCP1589AMNTWG/page-1", "NCP1589AMNTWG")</f>
        <v>NCP1589AMNTWG</v>
      </c>
      <c r="B35689" s="3" t="s">
        <v>95</v>
      </c>
      <c r="C35689" s="6">
        <v>7979</v>
      </c>
      <c r="D35689" s="7">
        <v>1.26</v>
      </c>
      <c r="E35689" t="s">
        <v>7</v>
      </c>
    </row>
    <row r="35690" spans="1:5" x14ac:dyDescent="0.25">
      <c r="A35690" t="str">
        <f>HYPERLINK("https://www.773grp.com/globalSearch/NCP1589BMNTWG/page-1", "NCP1589BMNTWG")</f>
        <v>NCP1589BMNTWG</v>
      </c>
      <c r="B35690" s="3" t="s">
        <v>95</v>
      </c>
      <c r="C35690" s="6">
        <v>3000</v>
      </c>
      <c r="D35690" s="7">
        <v>1.26</v>
      </c>
    </row>
    <row r="35691" spans="1:5" x14ac:dyDescent="0.25">
      <c r="A35691" t="str">
        <f>HYPERLINK("https://www.773grp.com/globalSearch/NCP2890DMR2/page-1", "NCP2890DMR2")</f>
        <v>NCP2890DMR2</v>
      </c>
      <c r="B35691" s="3" t="s">
        <v>95</v>
      </c>
      <c r="C35691" s="6">
        <v>13047</v>
      </c>
      <c r="D35691" s="7">
        <v>1.26</v>
      </c>
      <c r="E35691" t="s">
        <v>18</v>
      </c>
    </row>
    <row r="35692" spans="1:5" x14ac:dyDescent="0.25">
      <c r="A35692" t="str">
        <f>HYPERLINK("https://www.773grp.com/globalSearch/NCP367DPMUELTBG/page-1", "NCP367DPMUELTBG")</f>
        <v>NCP367DPMUELTBG</v>
      </c>
      <c r="B35692" s="3" t="s">
        <v>95</v>
      </c>
      <c r="C35692" s="6">
        <v>6000</v>
      </c>
      <c r="D35692" s="7">
        <v>1.26</v>
      </c>
    </row>
    <row r="35693" spans="1:5" x14ac:dyDescent="0.25">
      <c r="A35693" t="str">
        <f>HYPERLINK("https://www.773grp.com/globalSearch/NCP367OPMUEOTBG/page-1", "NCP367OPMUEOTBG")</f>
        <v>NCP367OPMUEOTBG</v>
      </c>
      <c r="B35693" s="3" t="s">
        <v>95</v>
      </c>
      <c r="C35693" s="6">
        <v>144000</v>
      </c>
      <c r="D35693" s="7">
        <v>1.26</v>
      </c>
    </row>
    <row r="35694" spans="1:5" x14ac:dyDescent="0.25">
      <c r="A35694" t="str">
        <f>HYPERLINK("https://www.773grp.com/globalSearch/NCP4681DMX29TCG/page-1", "NCP4681DMX29TCG")</f>
        <v>NCP4681DMX29TCG</v>
      </c>
      <c r="B35694" s="3" t="s">
        <v>95</v>
      </c>
      <c r="C35694" s="6">
        <v>29900</v>
      </c>
      <c r="D35694" s="7">
        <v>1.26</v>
      </c>
    </row>
    <row r="35695" spans="1:5" x14ac:dyDescent="0.25">
      <c r="A35695" t="str">
        <f>HYPERLINK("https://www.773grp.com/globalSearch/NCP4681DMX33TCG/page-1", "NCP4681DMX33TCG")</f>
        <v>NCP4681DMX33TCG</v>
      </c>
      <c r="B35695" s="3" t="s">
        <v>95</v>
      </c>
      <c r="C35695" s="6">
        <v>30000</v>
      </c>
      <c r="D35695" s="7">
        <v>1.26</v>
      </c>
    </row>
    <row r="35696" spans="1:5" x14ac:dyDescent="0.25">
      <c r="A35696" t="str">
        <f>HYPERLINK("https://www.773grp.com/globalSearch/NCP4681DMX35TCG/page-1", "NCP4681DMX35TCG")</f>
        <v>NCP4681DMX35TCG</v>
      </c>
      <c r="B35696" s="3" t="s">
        <v>95</v>
      </c>
      <c r="C35696" s="6">
        <v>20000</v>
      </c>
      <c r="D35696" s="7">
        <v>1.26</v>
      </c>
    </row>
    <row r="35697" spans="1:5" x14ac:dyDescent="0.25">
      <c r="A35697" t="str">
        <f>HYPERLINK("https://www.773grp.com/globalSearch/NCP4681HMX35TCG/page-1", "NCP4681HMX35TCG")</f>
        <v>NCP4681HMX35TCG</v>
      </c>
      <c r="B35697" s="3" t="s">
        <v>95</v>
      </c>
      <c r="C35697" s="6">
        <v>29970</v>
      </c>
      <c r="D35697" s="7">
        <v>1.26</v>
      </c>
    </row>
    <row r="35698" spans="1:5" x14ac:dyDescent="0.25">
      <c r="A35698" t="str">
        <f>HYPERLINK("https://www.773grp.com/globalSearch/NCP4682DMU12TCG/page-1", "NCP4682DMU12TCG")</f>
        <v>NCP4682DMU12TCG</v>
      </c>
      <c r="B35698" s="3" t="s">
        <v>95</v>
      </c>
      <c r="C35698" s="6">
        <v>30000</v>
      </c>
      <c r="D35698" s="7">
        <v>1.26</v>
      </c>
    </row>
    <row r="35699" spans="1:5" x14ac:dyDescent="0.25">
      <c r="A35699" t="str">
        <f>HYPERLINK("https://www.773grp.com/globalSearch/NCP4682DMU15TCG/page-1", "NCP4682DMU15TCG")</f>
        <v>NCP4682DMU15TCG</v>
      </c>
      <c r="B35699" s="3" t="s">
        <v>95</v>
      </c>
      <c r="C35699" s="6">
        <v>20000</v>
      </c>
      <c r="D35699" s="7">
        <v>1.26</v>
      </c>
    </row>
    <row r="35700" spans="1:5" x14ac:dyDescent="0.25">
      <c r="A35700" t="str">
        <f>HYPERLINK("https://www.773grp.com/globalSearch/NCP4682DMU18TCG/page-1", "NCP4682DMU18TCG")</f>
        <v>NCP4682DMU18TCG</v>
      </c>
      <c r="B35700" s="3" t="s">
        <v>95</v>
      </c>
      <c r="C35700" s="6">
        <v>28000</v>
      </c>
      <c r="D35700" s="7">
        <v>1.26</v>
      </c>
    </row>
    <row r="35701" spans="1:5" x14ac:dyDescent="0.25">
      <c r="A35701" t="str">
        <f>HYPERLINK("https://www.773grp.com/globalSearch/NCP4682DMU25TCG/page-1", "NCP4682DMU25TCG")</f>
        <v>NCP4682DMU25TCG</v>
      </c>
      <c r="B35701" s="3" t="s">
        <v>95</v>
      </c>
      <c r="C35701" s="6">
        <v>10000</v>
      </c>
      <c r="D35701" s="7">
        <v>1.26</v>
      </c>
    </row>
    <row r="35702" spans="1:5" x14ac:dyDescent="0.25">
      <c r="A35702" t="str">
        <f>HYPERLINK("https://www.773grp.com/globalSearch/NCP4682DMU28TCG/page-1", "NCP4682DMU28TCG")</f>
        <v>NCP4682DMU28TCG</v>
      </c>
      <c r="B35702" s="3" t="s">
        <v>95</v>
      </c>
      <c r="C35702" s="6">
        <v>20000</v>
      </c>
      <c r="D35702" s="7">
        <v>1.26</v>
      </c>
    </row>
    <row r="35703" spans="1:5" x14ac:dyDescent="0.25">
      <c r="A35703" t="str">
        <f>HYPERLINK("https://www.773grp.com/globalSearch/NCP4682DMU30TCG/page-1", "NCP4682DMU30TCG")</f>
        <v>NCP4682DMU30TCG</v>
      </c>
      <c r="B35703" s="3" t="s">
        <v>95</v>
      </c>
      <c r="C35703" s="6">
        <v>10000</v>
      </c>
      <c r="D35703" s="7">
        <v>1.26</v>
      </c>
    </row>
    <row r="35704" spans="1:5" x14ac:dyDescent="0.25">
      <c r="A35704" t="str">
        <f>HYPERLINK("https://www.773grp.com/globalSearch/NCP4682DMU33TCG/page-1", "NCP4682DMU33TCG")</f>
        <v>NCP4682DMU33TCG</v>
      </c>
      <c r="B35704" s="3" t="s">
        <v>95</v>
      </c>
      <c r="C35704" s="6">
        <v>20000</v>
      </c>
      <c r="D35704" s="7">
        <v>1.26</v>
      </c>
    </row>
    <row r="35705" spans="1:5" x14ac:dyDescent="0.25">
      <c r="A35705" t="str">
        <f>HYPERLINK("https://www.773grp.com/globalSearch/NCP4682HMU18TCG/page-1", "NCP4682HMU18TCG")</f>
        <v>NCP4682HMU18TCG</v>
      </c>
      <c r="B35705" s="3" t="s">
        <v>95</v>
      </c>
      <c r="C35705" s="6">
        <v>40000</v>
      </c>
      <c r="D35705" s="7">
        <v>1.26</v>
      </c>
    </row>
    <row r="35706" spans="1:5" x14ac:dyDescent="0.25">
      <c r="A35706" t="str">
        <f>HYPERLINK("https://www.773grp.com/globalSearch/NCP4682HMU28TCG/page-1", "NCP4682HMU28TCG")</f>
        <v>NCP4682HMU28TCG</v>
      </c>
      <c r="B35706" s="3" t="s">
        <v>95</v>
      </c>
      <c r="C35706" s="6">
        <v>30000</v>
      </c>
      <c r="D35706" s="7">
        <v>1.26</v>
      </c>
    </row>
    <row r="35707" spans="1:5" x14ac:dyDescent="0.25">
      <c r="A35707" t="str">
        <f>HYPERLINK("https://www.773grp.com/globalSearch/NCP4682HMU33TCG/page-1", "NCP4682HMU33TCG")</f>
        <v>NCP4682HMU33TCG</v>
      </c>
      <c r="B35707" s="3" t="s">
        <v>95</v>
      </c>
      <c r="C35707" s="6">
        <v>30000</v>
      </c>
      <c r="D35707" s="7">
        <v>1.26</v>
      </c>
    </row>
    <row r="35708" spans="1:5" x14ac:dyDescent="0.25">
      <c r="A35708" t="str">
        <f>HYPERLINK("https://www.773grp.com/globalSearch/NCP4685EMU30TCG/page-1", "NCP4685EMU30TCG")</f>
        <v>NCP4685EMU30TCG</v>
      </c>
      <c r="B35708" s="3" t="s">
        <v>95</v>
      </c>
      <c r="C35708" s="6">
        <v>20000</v>
      </c>
      <c r="D35708" s="7">
        <v>1.26</v>
      </c>
    </row>
    <row r="35709" spans="1:5" x14ac:dyDescent="0.25">
      <c r="A35709" t="str">
        <f>HYPERLINK("https://www.773grp.com/globalSearch/NCP5501DT15G/page-1", "NCP5501DT15G")</f>
        <v>NCP5501DT15G</v>
      </c>
      <c r="B35709" s="3" t="s">
        <v>95</v>
      </c>
      <c r="C35709" s="6">
        <v>11025</v>
      </c>
      <c r="D35709" s="7">
        <v>1.26</v>
      </c>
      <c r="E35709" t="s">
        <v>19</v>
      </c>
    </row>
    <row r="35710" spans="1:5" x14ac:dyDescent="0.25">
      <c r="A35710" t="str">
        <f>HYPERLINK("https://www.773grp.com/globalSearch/NCP5501DT15RKG/page-1", "NCP5501DT15RKG")</f>
        <v>NCP5501DT15RKG</v>
      </c>
      <c r="B35710" s="3" t="s">
        <v>95</v>
      </c>
      <c r="C35710" s="6">
        <v>4485</v>
      </c>
      <c r="D35710" s="7">
        <v>1.26</v>
      </c>
      <c r="E35710" t="s">
        <v>19</v>
      </c>
    </row>
    <row r="35711" spans="1:5" x14ac:dyDescent="0.25">
      <c r="A35711" t="str">
        <f>HYPERLINK("https://www.773grp.com/globalSearch/NCP5501DT50G/page-1", "NCP5501DT50G")</f>
        <v>NCP5501DT50G</v>
      </c>
      <c r="B35711" s="3" t="s">
        <v>95</v>
      </c>
      <c r="C35711" s="6">
        <v>1125</v>
      </c>
      <c r="D35711" s="7">
        <v>1.26</v>
      </c>
      <c r="E35711" t="s">
        <v>19</v>
      </c>
    </row>
    <row r="35712" spans="1:5" x14ac:dyDescent="0.25">
      <c r="A35712" t="str">
        <f>HYPERLINK("https://www.773grp.com/globalSearch/NCP565D2TR4/page-1", "NCP565D2TR4")</f>
        <v>NCP565D2TR4</v>
      </c>
      <c r="B35712" s="3" t="s">
        <v>95</v>
      </c>
      <c r="C35712" s="6">
        <v>30</v>
      </c>
      <c r="D35712" s="7">
        <v>1.26</v>
      </c>
      <c r="E35712" t="s">
        <v>25</v>
      </c>
    </row>
    <row r="35713" spans="1:5" x14ac:dyDescent="0.25">
      <c r="A35713" t="str">
        <f>HYPERLINK("https://www.773grp.com/globalSearch/NCP623MN-33R2/page-1", "NCP623MN-33R2")</f>
        <v>NCP623MN-33R2</v>
      </c>
      <c r="B35713" s="3" t="s">
        <v>95</v>
      </c>
      <c r="C35713" s="6">
        <v>3990</v>
      </c>
      <c r="D35713" s="7">
        <v>1.26</v>
      </c>
      <c r="E35713" t="s">
        <v>19</v>
      </c>
    </row>
    <row r="35714" spans="1:5" x14ac:dyDescent="0.25">
      <c r="A35714" t="str">
        <f>HYPERLINK("https://www.773grp.com/globalSearch/NCP623MN-40R2/page-1", "NCP623MN-40R2")</f>
        <v>NCP623MN-40R2</v>
      </c>
      <c r="B35714" s="3" t="s">
        <v>95</v>
      </c>
      <c r="C35714" s="6">
        <v>3000</v>
      </c>
      <c r="D35714" s="7">
        <v>1.26</v>
      </c>
      <c r="E35714" t="s">
        <v>19</v>
      </c>
    </row>
    <row r="35715" spans="1:5" x14ac:dyDescent="0.25">
      <c r="A35715" t="str">
        <f>HYPERLINK("https://www.773grp.com/globalSearch/NCV4279D1/page-1", "NCV4279D1")</f>
        <v>NCV4279D1</v>
      </c>
      <c r="B35715" s="3" t="s">
        <v>95</v>
      </c>
      <c r="C35715" s="6">
        <v>2248</v>
      </c>
      <c r="D35715" s="7">
        <v>1.26</v>
      </c>
      <c r="E35715" t="s">
        <v>19</v>
      </c>
    </row>
    <row r="35716" spans="1:5" x14ac:dyDescent="0.25">
      <c r="A35716" t="str">
        <f>HYPERLINK("https://www.773grp.com/globalSearch/NCV78L05ABDG/page-1", "NCV78L05ABDG")</f>
        <v>NCV78L05ABDG</v>
      </c>
      <c r="B35716" s="3" t="s">
        <v>95</v>
      </c>
      <c r="C35716" s="6">
        <v>25088</v>
      </c>
      <c r="D35716" s="7">
        <v>1.26</v>
      </c>
    </row>
    <row r="35717" spans="1:5" x14ac:dyDescent="0.25">
      <c r="A35717" t="str">
        <f>HYPERLINK("https://www.773grp.com/globalSearch/NCV78L05ABDR2G/page-1", "NCV78L05ABDR2G")</f>
        <v>NCV78L05ABDR2G</v>
      </c>
      <c r="B35717" s="3" t="s">
        <v>95</v>
      </c>
      <c r="C35717" s="6">
        <v>11855</v>
      </c>
      <c r="D35717" s="7">
        <v>1.26</v>
      </c>
      <c r="E35717" t="s">
        <v>28</v>
      </c>
    </row>
    <row r="35718" spans="1:5" x14ac:dyDescent="0.25">
      <c r="A35718" t="str">
        <f>HYPERLINK("https://www.773grp.com/globalSearch/NCV78L12ABDR2G/page-1", "NCV78L12ABDR2G")</f>
        <v>NCV78L12ABDR2G</v>
      </c>
      <c r="B35718" s="3" t="s">
        <v>95</v>
      </c>
      <c r="C35718" s="6">
        <v>12215</v>
      </c>
      <c r="D35718" s="7">
        <v>1.26</v>
      </c>
      <c r="E35718" t="s">
        <v>28</v>
      </c>
    </row>
    <row r="35719" spans="1:5" x14ac:dyDescent="0.25">
      <c r="A35719" t="str">
        <f>HYPERLINK("https://www.773grp.com/globalSearch/NCV78L15ABDR2G/page-1", "NCV78L15ABDR2G")</f>
        <v>NCV78L15ABDR2G</v>
      </c>
      <c r="B35719" s="3" t="s">
        <v>95</v>
      </c>
      <c r="C35719" s="6">
        <v>17500</v>
      </c>
      <c r="D35719" s="7">
        <v>1.26</v>
      </c>
    </row>
    <row r="35720" spans="1:5" x14ac:dyDescent="0.25">
      <c r="A35720" t="str">
        <f>HYPERLINK("https://www.773grp.com/globalSearch/NLAS5213AUSG/page-1", "NLAS5213AUSG")</f>
        <v>NLAS5213AUSG</v>
      </c>
      <c r="B35720" s="3" t="s">
        <v>95</v>
      </c>
      <c r="C35720" s="6">
        <v>36000</v>
      </c>
      <c r="D35720" s="7">
        <v>1.26</v>
      </c>
      <c r="E35720" t="s">
        <v>56</v>
      </c>
    </row>
    <row r="35721" spans="1:5" x14ac:dyDescent="0.25">
      <c r="A35721" t="str">
        <f>HYPERLINK("https://www.773grp.com/globalSearch/NLAS5213BUSG/page-1", "NLAS5213BUSG")</f>
        <v>NLAS5213BUSG</v>
      </c>
      <c r="B35721" s="3" t="s">
        <v>95</v>
      </c>
      <c r="C35721" s="6">
        <v>29672</v>
      </c>
      <c r="D35721" s="7">
        <v>1.26</v>
      </c>
      <c r="E35721" t="s">
        <v>56</v>
      </c>
    </row>
    <row r="35722" spans="1:5" x14ac:dyDescent="0.25">
      <c r="A35722" t="str">
        <f>HYPERLINK("https://www.773grp.com/globalSearch/NLSX0102FCT2G/page-1", "NLSX0102FCT2G")</f>
        <v>NLSX0102FCT2G</v>
      </c>
      <c r="B35722" s="3" t="s">
        <v>95</v>
      </c>
      <c r="C35722" s="6">
        <v>30000</v>
      </c>
      <c r="D35722" s="7">
        <v>1.26</v>
      </c>
    </row>
    <row r="35723" spans="1:5" x14ac:dyDescent="0.25">
      <c r="A35723" t="str">
        <f>HYPERLINK("https://www.773grp.com/globalSearch/NLSX3012DR2G/page-1", "NLSX3012DR2G")</f>
        <v>NLSX3012DR2G</v>
      </c>
      <c r="B35723" s="3" t="s">
        <v>95</v>
      </c>
      <c r="C35723" s="6">
        <v>8684</v>
      </c>
      <c r="D35723" s="7">
        <v>1.26</v>
      </c>
    </row>
    <row r="35724" spans="1:5" x14ac:dyDescent="0.25">
      <c r="A35724" t="str">
        <f>HYPERLINK("https://www.773grp.com/globalSearch/NLSX5011AMX1TCG/page-1", "NLSX5011AMX1TCG")</f>
        <v>NLSX5011AMX1TCG</v>
      </c>
      <c r="B35724" s="3" t="s">
        <v>95</v>
      </c>
      <c r="C35724" s="6">
        <v>6000</v>
      </c>
      <c r="D35724" s="7">
        <v>1.26</v>
      </c>
      <c r="E35724" t="s">
        <v>74</v>
      </c>
    </row>
    <row r="35725" spans="1:5" x14ac:dyDescent="0.25">
      <c r="A35725" t="str">
        <f>HYPERLINK("https://www.773grp.com/globalSearch/NLSX5011BMX1TCG/page-1", "NLSX5011BMX1TCG")</f>
        <v>NLSX5011BMX1TCG</v>
      </c>
      <c r="B35725" s="3" t="s">
        <v>95</v>
      </c>
      <c r="C35725" s="6">
        <v>6000</v>
      </c>
      <c r="D35725" s="7">
        <v>1.26</v>
      </c>
      <c r="E35725" t="s">
        <v>74</v>
      </c>
    </row>
    <row r="35726" spans="1:5" x14ac:dyDescent="0.25">
      <c r="A35726" t="str">
        <f>HYPERLINK("https://www.773grp.com/globalSearch/NLSX5011MUTCG/page-1", "NLSX5011MUTCG")</f>
        <v>NLSX5011MUTCG</v>
      </c>
      <c r="B35726" s="3" t="s">
        <v>95</v>
      </c>
      <c r="C35726" s="6">
        <v>25750</v>
      </c>
      <c r="D35726" s="7">
        <v>1.26</v>
      </c>
    </row>
    <row r="35727" spans="1:5" x14ac:dyDescent="0.25">
      <c r="A35727" t="str">
        <f>HYPERLINK("https://www.773grp.com/globalSearch/NLV14020BDR2G/page-1", "NLV14020BDR2G")</f>
        <v>NLV14020BDR2G</v>
      </c>
      <c r="B35727" s="3" t="s">
        <v>95</v>
      </c>
      <c r="C35727" s="6">
        <v>2400</v>
      </c>
      <c r="D35727" s="7">
        <v>1.26</v>
      </c>
    </row>
    <row r="35728" spans="1:5" x14ac:dyDescent="0.25">
      <c r="A35728" t="str">
        <f>HYPERLINK("https://www.773grp.com/globalSearch/NLV14022BDR2G/page-1", "NLV14022BDR2G")</f>
        <v>NLV14022BDR2G</v>
      </c>
      <c r="B35728" s="3" t="s">
        <v>95</v>
      </c>
      <c r="C35728" s="6">
        <v>2366</v>
      </c>
      <c r="D35728" s="7">
        <v>1.26</v>
      </c>
    </row>
    <row r="35729" spans="1:5" x14ac:dyDescent="0.25">
      <c r="A35729" t="str">
        <f>HYPERLINK("https://www.773grp.com/globalSearch/NLV14538BDR2G/page-1", "NLV14538BDR2G")</f>
        <v>NLV14538BDR2G</v>
      </c>
      <c r="B35729" s="3" t="s">
        <v>95</v>
      </c>
      <c r="C35729" s="6">
        <v>3671</v>
      </c>
      <c r="D35729" s="7">
        <v>1.26</v>
      </c>
    </row>
    <row r="35730" spans="1:5" x14ac:dyDescent="0.25">
      <c r="A35730" t="str">
        <f>HYPERLINK("https://www.773grp.com/globalSearch/NLV14538BDTR2G/page-1", "NLV14538BDTR2G")</f>
        <v>NLV14538BDTR2G</v>
      </c>
      <c r="B35730" s="3" t="s">
        <v>95</v>
      </c>
      <c r="C35730" s="6">
        <v>75</v>
      </c>
      <c r="D35730" s="7">
        <v>1.26</v>
      </c>
    </row>
    <row r="35731" spans="1:5" x14ac:dyDescent="0.25">
      <c r="A35731" t="str">
        <f>HYPERLINK("https://www.773grp.com/globalSearch/NRVBS360T3G/page-1", "NRVBS360T3G")</f>
        <v>NRVBS360T3G</v>
      </c>
      <c r="B35731" s="3" t="s">
        <v>95</v>
      </c>
      <c r="C35731" s="6">
        <v>40000</v>
      </c>
      <c r="D35731" s="7">
        <v>1.26</v>
      </c>
    </row>
    <row r="35732" spans="1:5" x14ac:dyDescent="0.25">
      <c r="A35732" t="str">
        <f>HYPERLINK("https://www.773grp.com/globalSearch/NTD20N03L27G/page-1", "NTD20N03L27G")</f>
        <v>NTD20N03L27G</v>
      </c>
      <c r="B35732" s="3" t="s">
        <v>95</v>
      </c>
      <c r="C35732" s="6">
        <v>4583</v>
      </c>
      <c r="D35732" s="7">
        <v>1.26</v>
      </c>
      <c r="E35732" t="s">
        <v>105</v>
      </c>
    </row>
    <row r="35733" spans="1:5" x14ac:dyDescent="0.25">
      <c r="A35733" t="str">
        <f>HYPERLINK("https://www.773grp.com/globalSearch/NTMFS4839NHT3G/page-1", "NTMFS4839NHT3G")</f>
        <v>NTMFS4839NHT3G</v>
      </c>
      <c r="B35733" s="3" t="s">
        <v>95</v>
      </c>
      <c r="C35733" s="6">
        <v>10000</v>
      </c>
      <c r="D35733" s="7">
        <v>1.26</v>
      </c>
      <c r="E35733" t="s">
        <v>105</v>
      </c>
    </row>
    <row r="35734" spans="1:5" x14ac:dyDescent="0.25">
      <c r="A35734" t="str">
        <f>HYPERLINK("https://www.773grp.com/globalSearch/NTMFS4849NT1G/page-1", "NTMFS4849NT1G")</f>
        <v>NTMFS4849NT1G</v>
      </c>
      <c r="B35734" s="3" t="s">
        <v>95</v>
      </c>
      <c r="C35734" s="6">
        <v>67500</v>
      </c>
      <c r="D35734" s="7">
        <v>1.26</v>
      </c>
      <c r="E35734" t="s">
        <v>106</v>
      </c>
    </row>
    <row r="35735" spans="1:5" x14ac:dyDescent="0.25">
      <c r="A35735" t="str">
        <f>HYPERLINK("https://www.773grp.com/globalSearch/NTMS4807NR2G/page-1", "NTMS4807NR2G")</f>
        <v>NTMS4807NR2G</v>
      </c>
      <c r="B35735" s="3" t="s">
        <v>95</v>
      </c>
      <c r="C35735" s="6">
        <v>374291</v>
      </c>
      <c r="D35735" s="7">
        <v>1.26</v>
      </c>
      <c r="E35735" t="s">
        <v>106</v>
      </c>
    </row>
    <row r="35736" spans="1:5" x14ac:dyDescent="0.25">
      <c r="A35736" t="str">
        <f>HYPERLINK("https://www.773grp.com/globalSearch/NTP27N06L/page-1", "NTP27N06L")</f>
        <v>NTP27N06L</v>
      </c>
      <c r="B35736" s="3" t="s">
        <v>95</v>
      </c>
      <c r="C35736" s="6">
        <v>2668</v>
      </c>
      <c r="D35736" s="7">
        <v>1.26</v>
      </c>
      <c r="E35736" t="s">
        <v>105</v>
      </c>
    </row>
    <row r="35737" spans="1:5" x14ac:dyDescent="0.25">
      <c r="A35737" t="str">
        <f>HYPERLINK("https://www.773grp.com/globalSearch/NTST20100CTG/page-1", "NTST20100CTG")</f>
        <v>NTST20100CTG</v>
      </c>
      <c r="B35737" s="3" t="s">
        <v>95</v>
      </c>
      <c r="C35737" s="6">
        <v>1000</v>
      </c>
      <c r="D35737" s="7">
        <v>1.26</v>
      </c>
    </row>
    <row r="35738" spans="1:5" x14ac:dyDescent="0.25">
      <c r="A35738" t="str">
        <f>HYPERLINK("https://www.773grp.com/globalSearch/NUD4001DR2G/page-1", "NUD4001DR2G")</f>
        <v>NUD4001DR2G</v>
      </c>
      <c r="B35738" s="3" t="s">
        <v>95</v>
      </c>
      <c r="C35738" s="6">
        <v>18624</v>
      </c>
      <c r="D35738" s="7">
        <v>1.26</v>
      </c>
      <c r="E35738" t="s">
        <v>10</v>
      </c>
    </row>
    <row r="35739" spans="1:5" x14ac:dyDescent="0.25">
      <c r="A35739" t="str">
        <f>HYPERLINK("https://www.773grp.com/globalSearch/NUD4011DR2G/page-1", "NUD4011DR2G")</f>
        <v>NUD4011DR2G</v>
      </c>
      <c r="B35739" s="3" t="s">
        <v>95</v>
      </c>
      <c r="C35739" s="6">
        <v>59485</v>
      </c>
      <c r="D35739" s="7">
        <v>1.26</v>
      </c>
      <c r="E35739" t="s">
        <v>10</v>
      </c>
    </row>
    <row r="35740" spans="1:5" x14ac:dyDescent="0.25">
      <c r="A35740" t="str">
        <f>HYPERLINK("https://www.773grp.com/globalSearch/NUF3101FCT1G/page-1", "NUF3101FCT1G")</f>
        <v>NUF3101FCT1G</v>
      </c>
      <c r="B35740" s="3" t="s">
        <v>95</v>
      </c>
      <c r="C35740" s="6">
        <v>361043</v>
      </c>
      <c r="D35740" s="7">
        <v>1.26</v>
      </c>
      <c r="E35740" t="s">
        <v>100</v>
      </c>
    </row>
    <row r="35741" spans="1:5" x14ac:dyDescent="0.25">
      <c r="A35741" t="str">
        <f>HYPERLINK("https://www.773grp.com/globalSearch/NUP4012PXV6T1G/page-1", "NUP4012PXV6T1G")</f>
        <v>NUP4012PXV6T1G</v>
      </c>
      <c r="B35741" s="3" t="s">
        <v>95</v>
      </c>
      <c r="C35741" s="6">
        <v>24000</v>
      </c>
      <c r="D35741" s="7">
        <v>1.26</v>
      </c>
      <c r="E35741" t="s">
        <v>96</v>
      </c>
    </row>
    <row r="35742" spans="1:5" x14ac:dyDescent="0.25">
      <c r="A35742" t="str">
        <f>HYPERLINK("https://www.773grp.com/globalSearch/SC65895PK164/page-1", "SC65895PK164")</f>
        <v>SC65895PK164</v>
      </c>
      <c r="B35742" s="3" t="s">
        <v>95</v>
      </c>
      <c r="C35742" s="6">
        <v>2000</v>
      </c>
      <c r="D35742" s="7">
        <v>1.26</v>
      </c>
    </row>
    <row r="35743" spans="1:5" x14ac:dyDescent="0.25">
      <c r="A35743" t="str">
        <f>HYPERLINK("https://www.773grp.com/globalSearch/SE5532N/page-1", "SE5532N")</f>
        <v>SE5532N</v>
      </c>
      <c r="B35743" s="3" t="s">
        <v>95</v>
      </c>
      <c r="C35743" s="6">
        <v>1950</v>
      </c>
      <c r="D35743" s="7">
        <v>1.26</v>
      </c>
      <c r="E35743" t="s">
        <v>13</v>
      </c>
    </row>
    <row r="35744" spans="1:5" x14ac:dyDescent="0.25">
      <c r="A35744" t="str">
        <f>HYPERLINK("https://www.773grp.com/globalSearch/SN74LS11DR2/page-1", "SN74LS11DR2")</f>
        <v>SN74LS11DR2</v>
      </c>
      <c r="B35744" s="3" t="s">
        <v>95</v>
      </c>
      <c r="C35744" s="6">
        <v>5000</v>
      </c>
      <c r="D35744" s="7">
        <v>1.26</v>
      </c>
      <c r="E35744" t="s">
        <v>31</v>
      </c>
    </row>
    <row r="35745" spans="1:5" x14ac:dyDescent="0.25">
      <c r="A35745" t="str">
        <f>HYPERLINK("https://www.773grp.com/globalSearch/SN74LS122N/page-1", "SN74LS122N")</f>
        <v>SN74LS122N</v>
      </c>
      <c r="B35745" s="3" t="s">
        <v>95</v>
      </c>
      <c r="C35745" s="6">
        <v>17</v>
      </c>
      <c r="D35745" s="7">
        <v>1.26</v>
      </c>
      <c r="E35745" t="s">
        <v>54</v>
      </c>
    </row>
    <row r="35746" spans="1:5" x14ac:dyDescent="0.25">
      <c r="A35746" t="str">
        <f>HYPERLINK("https://www.773grp.com/globalSearch/SN74LS240SWR2/page-1", "SN74LS240SWR2")</f>
        <v>SN74LS240SWR2</v>
      </c>
      <c r="B35746" s="3" t="s">
        <v>95</v>
      </c>
      <c r="C35746" s="6">
        <v>1000</v>
      </c>
      <c r="D35746" s="7">
        <v>1.26</v>
      </c>
    </row>
    <row r="35747" spans="1:5" x14ac:dyDescent="0.25">
      <c r="A35747" t="str">
        <f>HYPERLINK("https://www.773grp.com/globalSearch/SN74LS670D/page-1", "SN74LS670D")</f>
        <v>SN74LS670D</v>
      </c>
      <c r="B35747" s="3" t="s">
        <v>95</v>
      </c>
      <c r="C35747" s="6">
        <v>6101</v>
      </c>
      <c r="D35747" s="7">
        <v>1.26</v>
      </c>
      <c r="E35747" t="s">
        <v>75</v>
      </c>
    </row>
    <row r="35748" spans="1:5" x14ac:dyDescent="0.25">
      <c r="A35748" t="str">
        <f>HYPERLINK("https://www.773grp.com/globalSearch/SURS8360T3/page-1", "SURS8360T3")</f>
        <v>SURS8360T3</v>
      </c>
      <c r="B35748" s="3" t="s">
        <v>95</v>
      </c>
      <c r="C35748" s="6">
        <v>80000</v>
      </c>
      <c r="D35748" s="7">
        <v>1.26</v>
      </c>
    </row>
    <row r="35749" spans="1:5" x14ac:dyDescent="0.25">
      <c r="A35749" t="str">
        <f>HYPERLINK("https://www.773grp.com/globalSearch/TIP111G/page-1", "TIP111G")</f>
        <v>TIP111G</v>
      </c>
      <c r="B35749" s="3" t="s">
        <v>95</v>
      </c>
      <c r="C35749" s="6">
        <v>1050</v>
      </c>
      <c r="D35749" s="7">
        <v>1.26</v>
      </c>
      <c r="E35749" t="s">
        <v>59</v>
      </c>
    </row>
    <row r="35750" spans="1:5" x14ac:dyDescent="0.25">
      <c r="A35750" t="str">
        <f>HYPERLINK("https://www.773grp.com/globalSearch/TIP137G/page-1", "TIP137G")</f>
        <v>TIP137G</v>
      </c>
      <c r="B35750" s="3" t="s">
        <v>95</v>
      </c>
      <c r="C35750" s="6">
        <v>2027</v>
      </c>
      <c r="D35750" s="7">
        <v>1.26</v>
      </c>
      <c r="E35750" t="s">
        <v>59</v>
      </c>
    </row>
    <row r="35751" spans="1:5" x14ac:dyDescent="0.25">
      <c r="A35751" t="str">
        <f>HYPERLINK("https://www.773grp.com/globalSearch/TRA0101RL/page-1", "TRA0101RL")</f>
        <v>TRA0101RL</v>
      </c>
      <c r="B35751" s="3" t="s">
        <v>95</v>
      </c>
      <c r="C35751" s="6">
        <v>14400</v>
      </c>
      <c r="D35751" s="7">
        <v>1.26</v>
      </c>
    </row>
    <row r="35752" spans="1:5" x14ac:dyDescent="0.25">
      <c r="A35752" t="str">
        <f>HYPERLINK("https://www.773grp.com/globalSearch/ULQ2003ADR2G/page-1", "ULQ2003ADR2G")</f>
        <v>ULQ2003ADR2G</v>
      </c>
      <c r="B35752" s="3" t="s">
        <v>95</v>
      </c>
      <c r="C35752" s="6">
        <v>22500</v>
      </c>
      <c r="D35752" s="7">
        <v>1.26</v>
      </c>
    </row>
    <row r="35753" spans="1:5" x14ac:dyDescent="0.25">
      <c r="A35753" t="str">
        <f>HYPERLINK("https://www.773grp.com/globalSearch/1.5SMSC16AT3G/page-1", "1.5SMSC16AT3G")</f>
        <v>1.5SMSC16AT3G</v>
      </c>
      <c r="B35753" s="3" t="s">
        <v>95</v>
      </c>
      <c r="C35753" s="6">
        <v>45000</v>
      </c>
      <c r="D35753" s="7">
        <v>1.31</v>
      </c>
      <c r="E35753" t="s">
        <v>96</v>
      </c>
    </row>
    <row r="35754" spans="1:5" x14ac:dyDescent="0.25">
      <c r="A35754" t="str">
        <f>HYPERLINK("https://www.773grp.com/globalSearch/1.5SMSC18AT3G/page-1", "1.5SMSC18AT3G")</f>
        <v>1.5SMSC18AT3G</v>
      </c>
      <c r="B35754" s="3" t="s">
        <v>95</v>
      </c>
      <c r="C35754" s="6">
        <v>7500</v>
      </c>
      <c r="D35754" s="7">
        <v>1.31</v>
      </c>
      <c r="E35754" t="s">
        <v>96</v>
      </c>
    </row>
    <row r="35755" spans="1:5" x14ac:dyDescent="0.25">
      <c r="A35755" t="str">
        <f>HYPERLINK("https://www.773grp.com/globalSearch/1.5SMSC20AT3G/page-1", "1.5SMSC20AT3G")</f>
        <v>1.5SMSC20AT3G</v>
      </c>
      <c r="B35755" s="3" t="s">
        <v>95</v>
      </c>
      <c r="C35755" s="6">
        <v>5000</v>
      </c>
      <c r="D35755" s="7">
        <v>1.31</v>
      </c>
    </row>
    <row r="35756" spans="1:5" x14ac:dyDescent="0.25">
      <c r="A35756" t="str">
        <f>HYPERLINK("https://www.773grp.com/globalSearch/1.5SMSC22AT3G/page-1", "1.5SMSC22AT3G")</f>
        <v>1.5SMSC22AT3G</v>
      </c>
      <c r="B35756" s="3" t="s">
        <v>95</v>
      </c>
      <c r="C35756" s="6">
        <v>5000</v>
      </c>
      <c r="D35756" s="7">
        <v>1.31</v>
      </c>
      <c r="E35756" t="s">
        <v>96</v>
      </c>
    </row>
    <row r="35757" spans="1:5" x14ac:dyDescent="0.25">
      <c r="A35757" t="str">
        <f>HYPERLINK("https://www.773grp.com/globalSearch/1.5SMSC27AT3/page-1", "1.5SMSC27AT3")</f>
        <v>1.5SMSC27AT3</v>
      </c>
      <c r="B35757" s="3" t="s">
        <v>95</v>
      </c>
      <c r="C35757" s="6">
        <v>12500</v>
      </c>
      <c r="D35757" s="7">
        <v>1.31</v>
      </c>
      <c r="E35757" t="s">
        <v>96</v>
      </c>
    </row>
    <row r="35758" spans="1:5" x14ac:dyDescent="0.25">
      <c r="A35758" t="str">
        <f>HYPERLINK("https://www.773grp.com/globalSearch/1.5SMSC27AT3G/page-1", "1.5SMSC27AT3G")</f>
        <v>1.5SMSC27AT3G</v>
      </c>
      <c r="B35758" s="3" t="s">
        <v>95</v>
      </c>
      <c r="C35758" s="6">
        <v>5048</v>
      </c>
      <c r="D35758" s="7">
        <v>1.31</v>
      </c>
    </row>
    <row r="35759" spans="1:5" x14ac:dyDescent="0.25">
      <c r="A35759" t="str">
        <f>HYPERLINK("https://www.773grp.com/globalSearch/1.5SMSC47AT3G/page-1", "1.5SMSC47AT3G")</f>
        <v>1.5SMSC47AT3G</v>
      </c>
      <c r="B35759" s="3" t="s">
        <v>95</v>
      </c>
      <c r="C35759" s="6">
        <v>7500</v>
      </c>
      <c r="D35759" s="7">
        <v>1.31</v>
      </c>
    </row>
    <row r="35760" spans="1:5" x14ac:dyDescent="0.25">
      <c r="A35760" t="str">
        <f>HYPERLINK("https://www.773grp.com/globalSearch/1.5SMSC56AT3G/page-1", "1.5SMSC56AT3G")</f>
        <v>1.5SMSC56AT3G</v>
      </c>
      <c r="B35760" s="3" t="s">
        <v>95</v>
      </c>
      <c r="C35760" s="6">
        <v>9800</v>
      </c>
      <c r="D35760" s="7">
        <v>1.31</v>
      </c>
    </row>
    <row r="35761" spans="1:5" x14ac:dyDescent="0.25">
      <c r="A35761" t="str">
        <f>HYPERLINK("https://www.773grp.com/globalSearch/1.5SMSC6.8AT3G/page-1", "1.5SMSC6.8AT3G")</f>
        <v>1.5SMSC6.8AT3G</v>
      </c>
      <c r="B35761" s="3" t="s">
        <v>95</v>
      </c>
      <c r="C35761" s="6">
        <v>20000</v>
      </c>
      <c r="D35761" s="7">
        <v>1.31</v>
      </c>
      <c r="E35761" t="s">
        <v>96</v>
      </c>
    </row>
    <row r="35762" spans="1:5" x14ac:dyDescent="0.25">
      <c r="A35762" t="str">
        <f>HYPERLINK("https://www.773grp.com/globalSearch/1.5SMSC68AT3G/page-1", "1.5SMSC68AT3G")</f>
        <v>1.5SMSC68AT3G</v>
      </c>
      <c r="B35762" s="3" t="s">
        <v>95</v>
      </c>
      <c r="C35762" s="6">
        <v>77775</v>
      </c>
      <c r="D35762" s="7">
        <v>1.31</v>
      </c>
    </row>
    <row r="35763" spans="1:5" x14ac:dyDescent="0.25">
      <c r="A35763" t="str">
        <f>HYPERLINK("https://www.773grp.com/globalSearch/1.5SMSC75AT3G/page-1", "1.5SMSC75AT3G")</f>
        <v>1.5SMSC75AT3G</v>
      </c>
      <c r="B35763" s="3" t="s">
        <v>95</v>
      </c>
      <c r="C35763" s="6">
        <v>13255</v>
      </c>
      <c r="D35763" s="7">
        <v>1.31</v>
      </c>
      <c r="E35763" t="s">
        <v>96</v>
      </c>
    </row>
    <row r="35764" spans="1:5" x14ac:dyDescent="0.25">
      <c r="A35764" t="str">
        <f>HYPERLINK("https://www.773grp.com/globalSearch/1.5SMSC91AT3G/page-1", "1.5SMSC91AT3G")</f>
        <v>1.5SMSC91AT3G</v>
      </c>
      <c r="B35764" s="3" t="s">
        <v>95</v>
      </c>
      <c r="C35764" s="6">
        <v>287000</v>
      </c>
      <c r="D35764" s="7">
        <v>1.31</v>
      </c>
      <c r="E35764" t="s">
        <v>96</v>
      </c>
    </row>
    <row r="35765" spans="1:5" x14ac:dyDescent="0.25">
      <c r="A35765" t="str">
        <f>HYPERLINK("https://www.773grp.com/globalSearch/1N4699/page-1", "1N4699")</f>
        <v>1N4699</v>
      </c>
      <c r="B35765" s="3" t="s">
        <v>95</v>
      </c>
      <c r="C35765" s="6">
        <v>30446</v>
      </c>
      <c r="D35765" s="7">
        <v>1.31</v>
      </c>
      <c r="E35765" t="s">
        <v>98</v>
      </c>
    </row>
    <row r="35766" spans="1:5" x14ac:dyDescent="0.25">
      <c r="A35766" t="str">
        <f>HYPERLINK("https://www.773grp.com/globalSearch/1SMSC14AT3G/page-1", "1SMSC14AT3G")</f>
        <v>1SMSC14AT3G</v>
      </c>
      <c r="B35766" s="3" t="s">
        <v>95</v>
      </c>
      <c r="C35766" s="6">
        <v>3133</v>
      </c>
      <c r="D35766" s="7">
        <v>1.31</v>
      </c>
      <c r="E35766" t="s">
        <v>96</v>
      </c>
    </row>
    <row r="35767" spans="1:5" x14ac:dyDescent="0.25">
      <c r="A35767" t="str">
        <f>HYPERLINK("https://www.773grp.com/globalSearch/1SMSC15AT3G/page-1", "1SMSC15AT3G")</f>
        <v>1SMSC15AT3G</v>
      </c>
      <c r="B35767" s="3" t="s">
        <v>95</v>
      </c>
      <c r="C35767" s="6">
        <v>5000</v>
      </c>
      <c r="D35767" s="7">
        <v>1.31</v>
      </c>
      <c r="E35767" t="s">
        <v>96</v>
      </c>
    </row>
    <row r="35768" spans="1:5" x14ac:dyDescent="0.25">
      <c r="A35768" t="str">
        <f>HYPERLINK("https://www.773grp.com/globalSearch/1SMSC16AT3G/page-1", "1SMSC16AT3G")</f>
        <v>1SMSC16AT3G</v>
      </c>
      <c r="B35768" s="3" t="s">
        <v>95</v>
      </c>
      <c r="C35768" s="6">
        <v>28850</v>
      </c>
      <c r="D35768" s="7">
        <v>1.31</v>
      </c>
      <c r="E35768" t="s">
        <v>96</v>
      </c>
    </row>
    <row r="35769" spans="1:5" x14ac:dyDescent="0.25">
      <c r="A35769" t="str">
        <f>HYPERLINK("https://www.773grp.com/globalSearch/1SMSC18AT3G/page-1", "1SMSC18AT3G")</f>
        <v>1SMSC18AT3G</v>
      </c>
      <c r="B35769" s="3" t="s">
        <v>95</v>
      </c>
      <c r="C35769" s="6">
        <v>35000</v>
      </c>
      <c r="D35769" s="7">
        <v>1.31</v>
      </c>
      <c r="E35769" t="s">
        <v>96</v>
      </c>
    </row>
    <row r="35770" spans="1:5" x14ac:dyDescent="0.25">
      <c r="A35770" t="str">
        <f>HYPERLINK("https://www.773grp.com/globalSearch/1SMSC20AT3G/page-1", "1SMSC20AT3G")</f>
        <v>1SMSC20AT3G</v>
      </c>
      <c r="B35770" s="3" t="s">
        <v>95</v>
      </c>
      <c r="C35770" s="6">
        <v>15278</v>
      </c>
      <c r="D35770" s="7">
        <v>1.31</v>
      </c>
      <c r="E35770" t="s">
        <v>96</v>
      </c>
    </row>
    <row r="35771" spans="1:5" x14ac:dyDescent="0.25">
      <c r="A35771" t="str">
        <f>HYPERLINK("https://www.773grp.com/globalSearch/1SMSC24AT3G/page-1", "1SMSC24AT3G")</f>
        <v>1SMSC24AT3G</v>
      </c>
      <c r="B35771" s="3" t="s">
        <v>95</v>
      </c>
      <c r="C35771" s="6">
        <v>2500</v>
      </c>
      <c r="D35771" s="7">
        <v>1.31</v>
      </c>
    </row>
    <row r="35772" spans="1:5" x14ac:dyDescent="0.25">
      <c r="A35772" t="str">
        <f>HYPERLINK("https://www.773grp.com/globalSearch/1SMSC26AT3G/page-1", "1SMSC26AT3G")</f>
        <v>1SMSC26AT3G</v>
      </c>
      <c r="B35772" s="3" t="s">
        <v>95</v>
      </c>
      <c r="C35772" s="6">
        <v>36948</v>
      </c>
      <c r="D35772" s="7">
        <v>1.31</v>
      </c>
    </row>
    <row r="35773" spans="1:5" x14ac:dyDescent="0.25">
      <c r="A35773" t="str">
        <f>HYPERLINK("https://www.773grp.com/globalSearch/1SMSC28AT3G/page-1", "1SMSC28AT3G")</f>
        <v>1SMSC28AT3G</v>
      </c>
      <c r="B35773" s="3" t="s">
        <v>95</v>
      </c>
      <c r="C35773" s="6">
        <v>25000</v>
      </c>
      <c r="D35773" s="7">
        <v>1.31</v>
      </c>
      <c r="E35773" t="s">
        <v>96</v>
      </c>
    </row>
    <row r="35774" spans="1:5" x14ac:dyDescent="0.25">
      <c r="A35774" t="str">
        <f>HYPERLINK("https://www.773grp.com/globalSearch/1SMSC30AT3G/page-1", "1SMSC30AT3G")</f>
        <v>1SMSC30AT3G</v>
      </c>
      <c r="B35774" s="3" t="s">
        <v>95</v>
      </c>
      <c r="C35774" s="6">
        <v>6078</v>
      </c>
      <c r="D35774" s="7">
        <v>1.31</v>
      </c>
    </row>
    <row r="35775" spans="1:5" x14ac:dyDescent="0.25">
      <c r="A35775" t="str">
        <f>HYPERLINK("https://www.773grp.com/globalSearch/1SMSC40AT3G/page-1", "1SMSC40AT3G")</f>
        <v>1SMSC40AT3G</v>
      </c>
      <c r="B35775" s="3" t="s">
        <v>95</v>
      </c>
      <c r="C35775" s="6">
        <v>14800</v>
      </c>
      <c r="D35775" s="7">
        <v>1.31</v>
      </c>
    </row>
    <row r="35776" spans="1:5" x14ac:dyDescent="0.25">
      <c r="A35776" t="str">
        <f>HYPERLINK("https://www.773grp.com/globalSearch/1SMSC43AT3G/page-1", "1SMSC43AT3G")</f>
        <v>1SMSC43AT3G</v>
      </c>
      <c r="B35776" s="3" t="s">
        <v>95</v>
      </c>
      <c r="C35776" s="6">
        <v>2500</v>
      </c>
      <c r="D35776" s="7">
        <v>1.31</v>
      </c>
    </row>
    <row r="35777" spans="1:5" x14ac:dyDescent="0.25">
      <c r="A35777" t="str">
        <f>HYPERLINK("https://www.773grp.com/globalSearch/1SMSC51AT3G/page-1", "1SMSC51AT3G")</f>
        <v>1SMSC51AT3G</v>
      </c>
      <c r="B35777" s="3" t="s">
        <v>95</v>
      </c>
      <c r="C35777" s="6">
        <v>45000</v>
      </c>
      <c r="D35777" s="7">
        <v>1.31</v>
      </c>
      <c r="E35777" t="s">
        <v>96</v>
      </c>
    </row>
    <row r="35778" spans="1:5" x14ac:dyDescent="0.25">
      <c r="A35778" t="str">
        <f>HYPERLINK("https://www.773grp.com/globalSearch/1SMSC54AT3G/page-1", "1SMSC54AT3G")</f>
        <v>1SMSC54AT3G</v>
      </c>
      <c r="B35778" s="3" t="s">
        <v>95</v>
      </c>
      <c r="C35778" s="6">
        <v>2500</v>
      </c>
      <c r="D35778" s="7">
        <v>1.31</v>
      </c>
      <c r="E35778" t="s">
        <v>96</v>
      </c>
    </row>
    <row r="35779" spans="1:5" x14ac:dyDescent="0.25">
      <c r="A35779" t="str">
        <f>HYPERLINK("https://www.773grp.com/globalSearch/1SMSC58AT3G/page-1", "1SMSC58AT3G")</f>
        <v>1SMSC58AT3G</v>
      </c>
      <c r="B35779" s="3" t="s">
        <v>95</v>
      </c>
      <c r="C35779" s="6">
        <v>12772</v>
      </c>
      <c r="D35779" s="7">
        <v>1.31</v>
      </c>
      <c r="E35779" t="s">
        <v>96</v>
      </c>
    </row>
    <row r="35780" spans="1:5" x14ac:dyDescent="0.25">
      <c r="A35780" t="str">
        <f>HYPERLINK("https://www.773grp.com/globalSearch/1SMSC6.0AT3G/page-1", "1SMSC6.0AT3G")</f>
        <v>1SMSC6.0AT3G</v>
      </c>
      <c r="B35780" s="3" t="s">
        <v>95</v>
      </c>
      <c r="C35780" s="6">
        <v>11500</v>
      </c>
      <c r="D35780" s="7">
        <v>1.31</v>
      </c>
      <c r="E35780" t="s">
        <v>96</v>
      </c>
    </row>
    <row r="35781" spans="1:5" x14ac:dyDescent="0.25">
      <c r="A35781" t="str">
        <f>HYPERLINK("https://www.773grp.com/globalSearch/1SMSC6.5AT3G/page-1", "1SMSC6.5AT3G")</f>
        <v>1SMSC6.5AT3G</v>
      </c>
      <c r="B35781" s="3" t="s">
        <v>95</v>
      </c>
      <c r="C35781" s="6">
        <v>31500</v>
      </c>
      <c r="D35781" s="7">
        <v>1.31</v>
      </c>
      <c r="E35781" t="s">
        <v>96</v>
      </c>
    </row>
    <row r="35782" spans="1:5" x14ac:dyDescent="0.25">
      <c r="A35782" t="str">
        <f>HYPERLINK("https://www.773grp.com/globalSearch/1SMSC60AT3G/page-1", "1SMSC60AT3G")</f>
        <v>1SMSC60AT3G</v>
      </c>
      <c r="B35782" s="3" t="s">
        <v>95</v>
      </c>
      <c r="C35782" s="6">
        <v>12500</v>
      </c>
      <c r="D35782" s="7">
        <v>1.31</v>
      </c>
      <c r="E35782" t="s">
        <v>96</v>
      </c>
    </row>
    <row r="35783" spans="1:5" x14ac:dyDescent="0.25">
      <c r="A35783" t="str">
        <f>HYPERLINK("https://www.773grp.com/globalSearch/1SMSC7.5AT3G/page-1", "1SMSC7.5AT3G")</f>
        <v>1SMSC7.5AT3G</v>
      </c>
      <c r="B35783" s="3" t="s">
        <v>95</v>
      </c>
      <c r="C35783" s="6">
        <v>2100</v>
      </c>
      <c r="D35783" s="7">
        <v>1.31</v>
      </c>
      <c r="E35783" t="s">
        <v>96</v>
      </c>
    </row>
    <row r="35784" spans="1:5" x14ac:dyDescent="0.25">
      <c r="A35784" t="str">
        <f>HYPERLINK("https://www.773grp.com/globalSearch/1SMSC70AT3G/page-1", "1SMSC70AT3G")</f>
        <v>1SMSC70AT3G</v>
      </c>
      <c r="B35784" s="3" t="s">
        <v>95</v>
      </c>
      <c r="C35784" s="6">
        <v>2500</v>
      </c>
      <c r="D35784" s="7">
        <v>1.31</v>
      </c>
      <c r="E35784" t="s">
        <v>96</v>
      </c>
    </row>
    <row r="35785" spans="1:5" x14ac:dyDescent="0.25">
      <c r="A35785" t="str">
        <f>HYPERLINK("https://www.773grp.com/globalSearch/1SMSC78AT3G/page-1", "1SMSC78AT3G")</f>
        <v>1SMSC78AT3G</v>
      </c>
      <c r="B35785" s="3" t="s">
        <v>95</v>
      </c>
      <c r="C35785" s="6">
        <v>7100</v>
      </c>
      <c r="D35785" s="7">
        <v>1.31</v>
      </c>
      <c r="E35785" t="s">
        <v>96</v>
      </c>
    </row>
    <row r="35786" spans="1:5" x14ac:dyDescent="0.25">
      <c r="A35786" t="str">
        <f>HYPERLINK("https://www.773grp.com/globalSearch/1SMSC8.0AT3G/page-1", "1SMSC8.0AT3G")</f>
        <v>1SMSC8.0AT3G</v>
      </c>
      <c r="B35786" s="3" t="s">
        <v>95</v>
      </c>
      <c r="C35786" s="6">
        <v>9800</v>
      </c>
      <c r="D35786" s="7">
        <v>1.31</v>
      </c>
    </row>
    <row r="35787" spans="1:5" x14ac:dyDescent="0.25">
      <c r="A35787" t="str">
        <f>HYPERLINK("https://www.773grp.com/globalSearch/2N4921G/page-1", "2N4921G")</f>
        <v>2N4921G</v>
      </c>
      <c r="B35787" s="3" t="s">
        <v>95</v>
      </c>
      <c r="C35787" s="6">
        <v>3500</v>
      </c>
      <c r="D35787" s="7">
        <v>1.31</v>
      </c>
      <c r="E35787" t="s">
        <v>59</v>
      </c>
    </row>
    <row r="35788" spans="1:5" x14ac:dyDescent="0.25">
      <c r="A35788" t="str">
        <f>HYPERLINK("https://www.773grp.com/globalSearch/2N4922G/page-1", "2N4922G")</f>
        <v>2N4922G</v>
      </c>
      <c r="B35788" s="3" t="s">
        <v>95</v>
      </c>
      <c r="C35788" s="6">
        <v>19400</v>
      </c>
      <c r="D35788" s="7">
        <v>1.31</v>
      </c>
      <c r="E35788" t="s">
        <v>59</v>
      </c>
    </row>
    <row r="35789" spans="1:5" x14ac:dyDescent="0.25">
      <c r="A35789" t="str">
        <f>HYPERLINK("https://www.773grp.com/globalSearch/2N4923G/page-1", "2N4923G")</f>
        <v>2N4923G</v>
      </c>
      <c r="B35789" s="3" t="s">
        <v>95</v>
      </c>
      <c r="C35789" s="6">
        <v>33785</v>
      </c>
      <c r="D35789" s="7">
        <v>1.31</v>
      </c>
      <c r="E35789" t="s">
        <v>59</v>
      </c>
    </row>
    <row r="35790" spans="1:5" x14ac:dyDescent="0.25">
      <c r="A35790" t="str">
        <f>HYPERLINK("https://www.773grp.com/globalSearch/2N6395/page-1", "2N6395")</f>
        <v>2N6395</v>
      </c>
      <c r="B35790" s="3" t="s">
        <v>95</v>
      </c>
      <c r="C35790" s="6">
        <v>6400</v>
      </c>
      <c r="D35790" s="7">
        <v>1.31</v>
      </c>
      <c r="E35790" t="s">
        <v>59</v>
      </c>
    </row>
    <row r="35791" spans="1:5" x14ac:dyDescent="0.25">
      <c r="A35791" t="str">
        <f>HYPERLINK("https://www.773grp.com/globalSearch/2N6397T/page-1", "2N6397T")</f>
        <v>2N6397T</v>
      </c>
      <c r="B35791" s="3" t="s">
        <v>95</v>
      </c>
      <c r="C35791" s="6">
        <v>50</v>
      </c>
      <c r="D35791" s="7">
        <v>1.31</v>
      </c>
      <c r="E35791" t="s">
        <v>97</v>
      </c>
    </row>
    <row r="35792" spans="1:5" x14ac:dyDescent="0.25">
      <c r="A35792" t="str">
        <f>HYPERLINK("https://www.773grp.com/globalSearch/2SC4135S-TL-E/page-1", "2SC4135S-TL-E")</f>
        <v>2SC4135S-TL-E</v>
      </c>
      <c r="B35792" s="3" t="s">
        <v>95</v>
      </c>
      <c r="C35792" s="6">
        <v>700</v>
      </c>
      <c r="D35792" s="7">
        <v>1.31</v>
      </c>
    </row>
    <row r="35793" spans="1:5" x14ac:dyDescent="0.25">
      <c r="A35793" t="str">
        <f>HYPERLINK("https://www.773grp.com/globalSearch/74VCX16373DTR/page-1", "74VCX16373DTR")</f>
        <v>74VCX16373DTR</v>
      </c>
      <c r="B35793" s="3" t="s">
        <v>95</v>
      </c>
      <c r="C35793" s="6">
        <v>7500</v>
      </c>
      <c r="D35793" s="7">
        <v>1.31</v>
      </c>
      <c r="E35793" t="s">
        <v>14</v>
      </c>
    </row>
    <row r="35794" spans="1:5" x14ac:dyDescent="0.25">
      <c r="A35794" t="str">
        <f>HYPERLINK("https://www.773grp.com/globalSearch/74VCXH16244DTR/page-1", "74VCXH16244DTR")</f>
        <v>74VCXH16244DTR</v>
      </c>
      <c r="B35794" s="3" t="s">
        <v>95</v>
      </c>
      <c r="C35794" s="6">
        <v>10000</v>
      </c>
      <c r="D35794" s="7">
        <v>1.31</v>
      </c>
      <c r="E35794" t="s">
        <v>14</v>
      </c>
    </row>
    <row r="35795" spans="1:5" x14ac:dyDescent="0.25">
      <c r="A35795" t="str">
        <f>HYPERLINK("https://www.773grp.com/globalSearch/74VCXH16245DT/page-1", "74VCXH16245DT")</f>
        <v>74VCXH16245DT</v>
      </c>
      <c r="B35795" s="3" t="s">
        <v>95</v>
      </c>
      <c r="C35795" s="6">
        <v>14270</v>
      </c>
      <c r="D35795" s="7">
        <v>1.31</v>
      </c>
      <c r="E35795" t="s">
        <v>14</v>
      </c>
    </row>
    <row r="35796" spans="1:5" x14ac:dyDescent="0.25">
      <c r="A35796" t="str">
        <f>HYPERLINK("https://www.773grp.com/globalSearch/74VCXH16245DTR/page-1", "74VCXH16245DTR")</f>
        <v>74VCXH16245DTR</v>
      </c>
      <c r="B35796" s="3" t="s">
        <v>95</v>
      </c>
      <c r="C35796" s="6">
        <v>4827</v>
      </c>
      <c r="D35796" s="7">
        <v>1.31</v>
      </c>
      <c r="E35796" t="s">
        <v>14</v>
      </c>
    </row>
    <row r="35797" spans="1:5" x14ac:dyDescent="0.25">
      <c r="A35797" t="str">
        <f>HYPERLINK("https://www.773grp.com/globalSearch/74VCXH16373DTR/page-1", "74VCXH16373DTR")</f>
        <v>74VCXH16373DTR</v>
      </c>
      <c r="B35797" s="3" t="s">
        <v>95</v>
      </c>
      <c r="C35797" s="6">
        <v>2500</v>
      </c>
      <c r="D35797" s="7">
        <v>1.31</v>
      </c>
      <c r="E35797" t="s">
        <v>14</v>
      </c>
    </row>
    <row r="35798" spans="1:5" x14ac:dyDescent="0.25">
      <c r="A35798" t="str">
        <f>HYPERLINK("https://www.773grp.com/globalSearch/74VCXH16374DT/page-1", "74VCXH16374DT")</f>
        <v>74VCXH16374DT</v>
      </c>
      <c r="B35798" s="3" t="s">
        <v>95</v>
      </c>
      <c r="C35798" s="6">
        <v>8079</v>
      </c>
      <c r="D35798" s="7">
        <v>1.31</v>
      </c>
      <c r="E35798" t="s">
        <v>14</v>
      </c>
    </row>
    <row r="35799" spans="1:5" x14ac:dyDescent="0.25">
      <c r="A35799" t="str">
        <f>HYPERLINK("https://www.773grp.com/globalSearch/BD179G/page-1", "BD179G")</f>
        <v>BD179G</v>
      </c>
      <c r="B35799" s="3" t="s">
        <v>95</v>
      </c>
      <c r="C35799" s="6">
        <v>12772</v>
      </c>
      <c r="D35799" s="7">
        <v>1.31</v>
      </c>
      <c r="E35799" t="s">
        <v>59</v>
      </c>
    </row>
    <row r="35800" spans="1:5" x14ac:dyDescent="0.25">
      <c r="A35800" t="str">
        <f>HYPERLINK("https://www.773grp.com/globalSearch/BD237G/page-1", "BD237G")</f>
        <v>BD237G</v>
      </c>
      <c r="B35800" s="3" t="s">
        <v>95</v>
      </c>
      <c r="C35800" s="6">
        <v>12412</v>
      </c>
      <c r="D35800" s="7">
        <v>1.31</v>
      </c>
      <c r="E35800" t="s">
        <v>59</v>
      </c>
    </row>
    <row r="35801" spans="1:5" x14ac:dyDescent="0.25">
      <c r="A35801" t="str">
        <f>HYPERLINK("https://www.773grp.com/globalSearch/BD241CG/page-1", "BD241CG")</f>
        <v>BD241CG</v>
      </c>
      <c r="B35801" s="3" t="s">
        <v>95</v>
      </c>
      <c r="C35801" s="6">
        <v>2377</v>
      </c>
      <c r="D35801" s="7">
        <v>1.31</v>
      </c>
      <c r="E35801" t="s">
        <v>59</v>
      </c>
    </row>
    <row r="35802" spans="1:5" x14ac:dyDescent="0.25">
      <c r="A35802" t="str">
        <f>HYPERLINK("https://www.773grp.com/globalSearch/BD538/page-1", "BD538")</f>
        <v>BD538</v>
      </c>
      <c r="B35802" s="3" t="s">
        <v>95</v>
      </c>
      <c r="C35802" s="6">
        <v>6840</v>
      </c>
      <c r="D35802" s="7">
        <v>1.31</v>
      </c>
      <c r="E35802" t="s">
        <v>59</v>
      </c>
    </row>
    <row r="35803" spans="1:5" x14ac:dyDescent="0.25">
      <c r="A35803" t="str">
        <f>HYPERLINK("https://www.773grp.com/globalSearch/BUD42DT4G/page-1", "BUD42DT4G")</f>
        <v>BUD42DT4G</v>
      </c>
      <c r="B35803" s="3" t="s">
        <v>95</v>
      </c>
      <c r="C35803" s="6">
        <v>10000</v>
      </c>
      <c r="D35803" s="7">
        <v>1.31</v>
      </c>
    </row>
    <row r="35804" spans="1:5" x14ac:dyDescent="0.25">
      <c r="A35804" t="str">
        <f>HYPERLINK("https://www.773grp.com/globalSearch/BUD43D2-001/page-1", "BUD43D2-001")</f>
        <v>BUD43D2-001</v>
      </c>
      <c r="B35804" s="3" t="s">
        <v>95</v>
      </c>
      <c r="C35804" s="6">
        <v>14175</v>
      </c>
      <c r="D35804" s="7">
        <v>1.31</v>
      </c>
    </row>
    <row r="35805" spans="1:5" x14ac:dyDescent="0.25">
      <c r="A35805" t="str">
        <f>HYPERLINK("https://www.773grp.com/globalSearch/CAT4003BTD-GT3/page-1", "CAT4003BTD-GT3")</f>
        <v>CAT4003BTD-GT3</v>
      </c>
      <c r="B35805" s="3" t="s">
        <v>95</v>
      </c>
      <c r="C35805" s="6">
        <v>3450</v>
      </c>
      <c r="D35805" s="7">
        <v>1.31</v>
      </c>
    </row>
    <row r="35806" spans="1:5" x14ac:dyDescent="0.25">
      <c r="A35806" t="str">
        <f>HYPERLINK("https://www.773grp.com/globalSearch/CAT803SSDI-GT3/page-1", "CAT803SSDI-GT3")</f>
        <v>CAT803SSDI-GT3</v>
      </c>
      <c r="B35806" s="3" t="s">
        <v>95</v>
      </c>
      <c r="C35806" s="6">
        <v>3000</v>
      </c>
      <c r="D35806" s="7">
        <v>1.31</v>
      </c>
    </row>
    <row r="35807" spans="1:5" x14ac:dyDescent="0.25">
      <c r="A35807" t="str">
        <f>HYPERLINK("https://www.773grp.com/globalSearch/CM1641-04D4/page-1", "CM1641-04D4")</f>
        <v>CM1641-04D4</v>
      </c>
      <c r="B35807" s="3" t="s">
        <v>95</v>
      </c>
      <c r="C35807" s="6">
        <v>974</v>
      </c>
      <c r="D35807" s="7">
        <v>1.31</v>
      </c>
    </row>
    <row r="35808" spans="1:5" x14ac:dyDescent="0.25">
      <c r="A35808" t="str">
        <f>HYPERLINK("https://www.773grp.com/globalSearch/EMI2121MTTAG/page-1", "EMI2121MTTAG")</f>
        <v>EMI2121MTTAG</v>
      </c>
      <c r="B35808" s="3" t="s">
        <v>95</v>
      </c>
      <c r="C35808" s="6">
        <v>3000</v>
      </c>
      <c r="D35808" s="7">
        <v>1.31</v>
      </c>
    </row>
    <row r="35809" spans="1:5" x14ac:dyDescent="0.25">
      <c r="A35809" t="str">
        <f>HYPERLINK("https://www.773grp.com/globalSearch/ESD7008MUTAG/page-1", "ESD7008MUTAG")</f>
        <v>ESD7008MUTAG</v>
      </c>
      <c r="B35809" s="3" t="s">
        <v>95</v>
      </c>
      <c r="C35809" s="6">
        <v>30000</v>
      </c>
      <c r="D35809" s="7">
        <v>1.31</v>
      </c>
    </row>
    <row r="35810" spans="1:5" x14ac:dyDescent="0.25">
      <c r="A35810" t="str">
        <f>HYPERLINK("https://www.773grp.com/globalSearch/LF412CN/page-1", "LF412CN")</f>
        <v>LF412CN</v>
      </c>
      <c r="B35810" s="3" t="s">
        <v>95</v>
      </c>
      <c r="C35810" s="6">
        <v>200</v>
      </c>
      <c r="D35810" s="7">
        <v>1.31</v>
      </c>
      <c r="E35810" t="s">
        <v>13</v>
      </c>
    </row>
    <row r="35811" spans="1:5" x14ac:dyDescent="0.25">
      <c r="A35811" t="str">
        <f>HYPERLINK("https://www.773grp.com/globalSearch/LF412CN/page-1", "LF412CN")</f>
        <v>LF412CN</v>
      </c>
      <c r="B35811" s="3" t="s">
        <v>95</v>
      </c>
      <c r="C35811" s="6">
        <v>710</v>
      </c>
      <c r="D35811" s="7">
        <v>1.31</v>
      </c>
      <c r="E35811" t="s">
        <v>13</v>
      </c>
    </row>
    <row r="35812" spans="1:5" x14ac:dyDescent="0.25">
      <c r="A35812" t="str">
        <f>HYPERLINK("https://www.773grp.com/globalSearch/LF442CN/page-1", "LF442CN")</f>
        <v>LF442CN</v>
      </c>
      <c r="B35812" s="3" t="s">
        <v>95</v>
      </c>
      <c r="C35812" s="6">
        <v>31870</v>
      </c>
      <c r="D35812" s="7">
        <v>1.31</v>
      </c>
      <c r="E35812" t="s">
        <v>13</v>
      </c>
    </row>
    <row r="35813" spans="1:5" x14ac:dyDescent="0.25">
      <c r="A35813" t="str">
        <f>HYPERLINK("https://www.773grp.com/globalSearch/LM201AVDR2G/page-1", "LM201AVDR2G")</f>
        <v>LM201AVDR2G</v>
      </c>
      <c r="B35813" s="3" t="s">
        <v>95</v>
      </c>
      <c r="C35813" s="6">
        <v>91524</v>
      </c>
      <c r="D35813" s="7">
        <v>1.31</v>
      </c>
      <c r="E35813" t="s">
        <v>13</v>
      </c>
    </row>
    <row r="35814" spans="1:5" x14ac:dyDescent="0.25">
      <c r="A35814" t="str">
        <f>HYPERLINK("https://www.773grp.com/globalSearch/LM311DG/page-1", "LM311DG")</f>
        <v>LM311DG</v>
      </c>
      <c r="B35814" s="3" t="s">
        <v>95</v>
      </c>
      <c r="C35814" s="6">
        <v>20595</v>
      </c>
      <c r="D35814" s="7">
        <v>1.31</v>
      </c>
      <c r="E35814" t="s">
        <v>9</v>
      </c>
    </row>
    <row r="35815" spans="1:5" x14ac:dyDescent="0.25">
      <c r="A35815" t="str">
        <f>HYPERLINK("https://www.773grp.com/globalSearch/LM311DR2G/page-1", "LM311DR2G")</f>
        <v>LM311DR2G</v>
      </c>
      <c r="B35815" s="3" t="s">
        <v>95</v>
      </c>
      <c r="C35815" s="6">
        <v>45000</v>
      </c>
      <c r="D35815" s="7">
        <v>1.31</v>
      </c>
      <c r="E35815" t="s">
        <v>9</v>
      </c>
    </row>
    <row r="35816" spans="1:5" x14ac:dyDescent="0.25">
      <c r="A35816" t="str">
        <f>HYPERLINK("https://www.773grp.com/globalSearch/LM317LBZG/page-1", "LM317LBZG")</f>
        <v>LM317LBZG</v>
      </c>
      <c r="B35816" s="3" t="s">
        <v>95</v>
      </c>
      <c r="C35816" s="6">
        <v>28091</v>
      </c>
      <c r="D35816" s="7">
        <v>1.31</v>
      </c>
      <c r="E35816" t="s">
        <v>22</v>
      </c>
    </row>
    <row r="35817" spans="1:5" x14ac:dyDescent="0.25">
      <c r="A35817" t="str">
        <f>HYPERLINK("https://www.773grp.com/globalSearch/LM317LBZRAG/page-1", "LM317LBZRAG")</f>
        <v>LM317LBZRAG</v>
      </c>
      <c r="B35817" s="3" t="s">
        <v>95</v>
      </c>
      <c r="C35817" s="6">
        <v>200000</v>
      </c>
      <c r="D35817" s="7">
        <v>1.31</v>
      </c>
      <c r="E35817" t="s">
        <v>22</v>
      </c>
    </row>
    <row r="35818" spans="1:5" x14ac:dyDescent="0.25">
      <c r="A35818" t="str">
        <f>HYPERLINK("https://www.773grp.com/globalSearch/LM317LBZRPG/page-1", "LM317LBZRPG")</f>
        <v>LM317LBZRPG</v>
      </c>
      <c r="B35818" s="3" t="s">
        <v>95</v>
      </c>
      <c r="C35818" s="6">
        <v>5979</v>
      </c>
      <c r="D35818" s="7">
        <v>1.31</v>
      </c>
      <c r="E35818" t="s">
        <v>22</v>
      </c>
    </row>
    <row r="35819" spans="1:5" x14ac:dyDescent="0.25">
      <c r="A35819" t="str">
        <f>HYPERLINK("https://www.773grp.com/globalSearch/LM317TG/page-1", "LM317TG")</f>
        <v>LM317TG</v>
      </c>
      <c r="B35819" s="3" t="s">
        <v>95</v>
      </c>
      <c r="C35819" s="6">
        <v>96880</v>
      </c>
      <c r="D35819" s="7">
        <v>1.31</v>
      </c>
      <c r="E35819" t="s">
        <v>22</v>
      </c>
    </row>
    <row r="35820" spans="1:5" x14ac:dyDescent="0.25">
      <c r="A35820" t="str">
        <f>HYPERLINK("https://www.773grp.com/globalSearch/LM75DM-33R2/page-1", "LM75DM-33R2")</f>
        <v>LM75DM-33R2</v>
      </c>
      <c r="B35820" s="3" t="s">
        <v>95</v>
      </c>
      <c r="C35820" s="6">
        <v>983835</v>
      </c>
      <c r="D35820" s="7">
        <v>1.31</v>
      </c>
      <c r="E35820" t="s">
        <v>12</v>
      </c>
    </row>
    <row r="35821" spans="1:5" x14ac:dyDescent="0.25">
      <c r="A35821" t="str">
        <f>HYPERLINK("https://www.773grp.com/globalSearch/LM75DM-50R2/page-1", "LM75DM-50R2")</f>
        <v>LM75DM-50R2</v>
      </c>
      <c r="B35821" s="3" t="s">
        <v>95</v>
      </c>
      <c r="C35821" s="6">
        <v>1034600</v>
      </c>
      <c r="D35821" s="7">
        <v>1.31</v>
      </c>
      <c r="E35821" t="s">
        <v>12</v>
      </c>
    </row>
    <row r="35822" spans="1:5" x14ac:dyDescent="0.25">
      <c r="A35822" t="str">
        <f>HYPERLINK("https://www.773grp.com/globalSearch/LMV324DR2G/page-1", "LMV324DR2G")</f>
        <v>LMV324DR2G</v>
      </c>
      <c r="B35822" s="3" t="s">
        <v>95</v>
      </c>
      <c r="C35822" s="6">
        <v>567297</v>
      </c>
      <c r="D35822" s="7">
        <v>1.31</v>
      </c>
      <c r="E35822" t="s">
        <v>13</v>
      </c>
    </row>
    <row r="35823" spans="1:5" x14ac:dyDescent="0.25">
      <c r="A35823" t="str">
        <f>HYPERLINK("https://www.773grp.com/globalSearch/LMV324DTBR2G/page-1", "LMV324DTBR2G")</f>
        <v>LMV324DTBR2G</v>
      </c>
      <c r="B35823" s="3" t="s">
        <v>95</v>
      </c>
      <c r="C35823" s="6">
        <v>89836</v>
      </c>
      <c r="D35823" s="7">
        <v>1.31</v>
      </c>
    </row>
    <row r="35824" spans="1:5" x14ac:dyDescent="0.25">
      <c r="A35824" t="str">
        <f>HYPERLINK("https://www.773grp.com/globalSearch/LMV339DR2G/page-1", "LMV339DR2G")</f>
        <v>LMV339DR2G</v>
      </c>
      <c r="B35824" s="3" t="s">
        <v>95</v>
      </c>
      <c r="C35824" s="6">
        <v>160000</v>
      </c>
      <c r="D35824" s="7">
        <v>1.31</v>
      </c>
      <c r="E35824" t="s">
        <v>9</v>
      </c>
    </row>
    <row r="35825" spans="1:5" x14ac:dyDescent="0.25">
      <c r="A35825" t="str">
        <f>HYPERLINK("https://www.773grp.com/globalSearch/LMV339DTBR2G/page-1", "LMV339DTBR2G")</f>
        <v>LMV339DTBR2G</v>
      </c>
      <c r="B35825" s="3" t="s">
        <v>95</v>
      </c>
      <c r="C35825" s="6">
        <v>35328</v>
      </c>
      <c r="D35825" s="7">
        <v>1.31</v>
      </c>
      <c r="E35825" t="s">
        <v>9</v>
      </c>
    </row>
    <row r="35826" spans="1:5" x14ac:dyDescent="0.25">
      <c r="A35826" t="str">
        <f>HYPERLINK("https://www.773grp.com/globalSearch/LP2950ACZ-3.0G/page-1", "LP2950ACZ-3.0G")</f>
        <v>LP2950ACZ-3.0G</v>
      </c>
      <c r="B35826" s="3" t="s">
        <v>95</v>
      </c>
      <c r="C35826" s="6">
        <v>36495</v>
      </c>
      <c r="D35826" s="7">
        <v>1.31</v>
      </c>
      <c r="E35826" t="s">
        <v>19</v>
      </c>
    </row>
    <row r="35827" spans="1:5" x14ac:dyDescent="0.25">
      <c r="A35827" t="str">
        <f>HYPERLINK("https://www.773grp.com/globalSearch/LP2950ACZ-3.0RAG/page-1", "LP2950ACZ-3.0RAG")</f>
        <v>LP2950ACZ-3.0RAG</v>
      </c>
      <c r="B35827" s="3" t="s">
        <v>95</v>
      </c>
      <c r="C35827" s="6">
        <v>4257</v>
      </c>
      <c r="D35827" s="7">
        <v>1.31</v>
      </c>
      <c r="E35827" t="s">
        <v>19</v>
      </c>
    </row>
    <row r="35828" spans="1:5" x14ac:dyDescent="0.25">
      <c r="A35828" t="str">
        <f>HYPERLINK("https://www.773grp.com/globalSearch/LP2950ACZ-3.3G/page-1", "LP2950ACZ-3.3G")</f>
        <v>LP2950ACZ-3.3G</v>
      </c>
      <c r="B35828" s="3" t="s">
        <v>95</v>
      </c>
      <c r="C35828" s="6">
        <v>10043</v>
      </c>
      <c r="D35828" s="7">
        <v>1.31</v>
      </c>
      <c r="E35828" t="s">
        <v>19</v>
      </c>
    </row>
    <row r="35829" spans="1:5" x14ac:dyDescent="0.25">
      <c r="A35829" t="str">
        <f>HYPERLINK("https://www.773grp.com/globalSearch/LP2950ACZ-3.3RAG/page-1", "LP2950ACZ-3.3RAG")</f>
        <v>LP2950ACZ-3.3RAG</v>
      </c>
      <c r="B35829" s="3" t="s">
        <v>95</v>
      </c>
      <c r="C35829" s="6">
        <v>14630</v>
      </c>
      <c r="D35829" s="7">
        <v>1.31</v>
      </c>
      <c r="E35829" t="s">
        <v>19</v>
      </c>
    </row>
    <row r="35830" spans="1:5" x14ac:dyDescent="0.25">
      <c r="A35830" t="str">
        <f>HYPERLINK("https://www.773grp.com/globalSearch/LP2950ACZ-5.0G/page-1", "LP2950ACZ-5.0G")</f>
        <v>LP2950ACZ-5.0G</v>
      </c>
      <c r="B35830" s="3" t="s">
        <v>95</v>
      </c>
      <c r="C35830" s="6">
        <v>7505</v>
      </c>
      <c r="D35830" s="7">
        <v>1.31</v>
      </c>
      <c r="E35830" t="s">
        <v>19</v>
      </c>
    </row>
    <row r="35831" spans="1:5" x14ac:dyDescent="0.25">
      <c r="A35831" t="str">
        <f>HYPERLINK("https://www.773grp.com/globalSearch/LP2950ACZ-5.0RAG/page-1", "LP2950ACZ-5.0RAG")</f>
        <v>LP2950ACZ-5.0RAG</v>
      </c>
      <c r="B35831" s="3" t="s">
        <v>95</v>
      </c>
      <c r="C35831" s="6">
        <v>4000</v>
      </c>
      <c r="D35831" s="7">
        <v>1.31</v>
      </c>
    </row>
    <row r="35832" spans="1:5" x14ac:dyDescent="0.25">
      <c r="A35832" t="str">
        <f>HYPERLINK("https://www.773grp.com/globalSearch/LP2950ACZ-5.ORAG/page-1", "LP2950ACZ-5.ORAG")</f>
        <v>LP2950ACZ-5.ORAG</v>
      </c>
      <c r="B35832" s="3" t="s">
        <v>95</v>
      </c>
      <c r="C35832" s="6">
        <v>23</v>
      </c>
      <c r="D35832" s="7">
        <v>1.31</v>
      </c>
    </row>
    <row r="35833" spans="1:5" x14ac:dyDescent="0.25">
      <c r="A35833" t="str">
        <f>HYPERLINK("https://www.773grp.com/globalSearch/LP2951ACN-3.0G/page-1", "LP2951ACN-3.0G")</f>
        <v>LP2951ACN-3.0G</v>
      </c>
      <c r="B35833" s="3" t="s">
        <v>95</v>
      </c>
      <c r="C35833" s="6">
        <v>4281</v>
      </c>
      <c r="D35833" s="7">
        <v>1.31</v>
      </c>
      <c r="E35833" t="s">
        <v>27</v>
      </c>
    </row>
    <row r="35834" spans="1:5" x14ac:dyDescent="0.25">
      <c r="A35834" t="str">
        <f>HYPERLINK("https://www.773grp.com/globalSearch/LP2951ACNG/page-1", "LP2951ACNG")</f>
        <v>LP2951ACNG</v>
      </c>
      <c r="B35834" s="3" t="s">
        <v>95</v>
      </c>
      <c r="C35834" s="6">
        <v>19281</v>
      </c>
      <c r="D35834" s="7">
        <v>1.31</v>
      </c>
      <c r="E35834" t="s">
        <v>27</v>
      </c>
    </row>
    <row r="35835" spans="1:5" x14ac:dyDescent="0.25">
      <c r="A35835" t="str">
        <f>HYPERLINK("https://www.773grp.com/globalSearch/M74HCT4051ADTR2G/page-1", "M74HCT4051ADTR2G")</f>
        <v>M74HCT4051ADTR2G</v>
      </c>
      <c r="B35835" s="3" t="s">
        <v>95</v>
      </c>
      <c r="C35835" s="6">
        <v>2500</v>
      </c>
      <c r="D35835" s="7">
        <v>1.31</v>
      </c>
    </row>
    <row r="35836" spans="1:5" x14ac:dyDescent="0.25">
      <c r="A35836" t="str">
        <f>HYPERLINK("https://www.773grp.com/globalSearch/MAC15M/page-1", "MAC15M")</f>
        <v>MAC15M</v>
      </c>
      <c r="B35836" s="3" t="s">
        <v>95</v>
      </c>
      <c r="C35836" s="6">
        <v>1817</v>
      </c>
      <c r="D35836" s="7">
        <v>1.31</v>
      </c>
      <c r="E35836" t="s">
        <v>102</v>
      </c>
    </row>
    <row r="35837" spans="1:5" x14ac:dyDescent="0.25">
      <c r="A35837" t="str">
        <f>HYPERLINK("https://www.773grp.com/globalSearch/MAC15N/page-1", "MAC15N")</f>
        <v>MAC15N</v>
      </c>
      <c r="B35837" s="3" t="s">
        <v>95</v>
      </c>
      <c r="C35837" s="6">
        <v>2400</v>
      </c>
      <c r="D35837" s="7">
        <v>1.31</v>
      </c>
      <c r="E35837" t="s">
        <v>102</v>
      </c>
    </row>
    <row r="35838" spans="1:5" x14ac:dyDescent="0.25">
      <c r="A35838" t="str">
        <f>HYPERLINK("https://www.773grp.com/globalSearch/MAC15SM/page-1", "MAC15SM")</f>
        <v>MAC15SM</v>
      </c>
      <c r="B35838" s="3" t="s">
        <v>95</v>
      </c>
      <c r="C35838" s="6">
        <v>650</v>
      </c>
      <c r="D35838" s="7">
        <v>1.31</v>
      </c>
      <c r="E35838" t="s">
        <v>102</v>
      </c>
    </row>
    <row r="35839" spans="1:5" x14ac:dyDescent="0.25">
      <c r="A35839" t="str">
        <f>HYPERLINK("https://www.773grp.com/globalSearch/MAC16CM/page-1", "MAC16CM")</f>
        <v>MAC16CM</v>
      </c>
      <c r="B35839" s="3" t="s">
        <v>95</v>
      </c>
      <c r="C35839" s="6">
        <v>126700</v>
      </c>
      <c r="D35839" s="7">
        <v>1.31</v>
      </c>
      <c r="E35839" t="s">
        <v>102</v>
      </c>
    </row>
    <row r="35840" spans="1:5" x14ac:dyDescent="0.25">
      <c r="A35840" t="str">
        <f>HYPERLINK("https://www.773grp.com/globalSearch/MAC16CN/page-1", "MAC16CN")</f>
        <v>MAC16CN</v>
      </c>
      <c r="B35840" s="3" t="s">
        <v>95</v>
      </c>
      <c r="C35840" s="6">
        <v>426950</v>
      </c>
      <c r="D35840" s="7">
        <v>1.31</v>
      </c>
      <c r="E35840" t="s">
        <v>102</v>
      </c>
    </row>
    <row r="35841" spans="1:5" x14ac:dyDescent="0.25">
      <c r="A35841" t="str">
        <f>HYPERLINK("https://www.773grp.com/globalSearch/MBR1535CT/page-1", "MBR1535CT")</f>
        <v>MBR1535CT</v>
      </c>
      <c r="B35841" s="3" t="s">
        <v>95</v>
      </c>
      <c r="C35841" s="6">
        <v>50</v>
      </c>
      <c r="D35841" s="7">
        <v>1.31</v>
      </c>
      <c r="E35841" t="s">
        <v>103</v>
      </c>
    </row>
    <row r="35842" spans="1:5" x14ac:dyDescent="0.25">
      <c r="A35842" t="str">
        <f>HYPERLINK("https://www.773grp.com/globalSearch/MBR1535CTG/page-1", "MBR1535CTG")</f>
        <v>MBR1535CTG</v>
      </c>
      <c r="B35842" s="3" t="s">
        <v>95</v>
      </c>
      <c r="C35842" s="6">
        <v>25826</v>
      </c>
      <c r="D35842" s="7">
        <v>1.31</v>
      </c>
      <c r="E35842" t="s">
        <v>103</v>
      </c>
    </row>
    <row r="35843" spans="1:5" x14ac:dyDescent="0.25">
      <c r="A35843" t="str">
        <f>HYPERLINK("https://www.773grp.com/globalSearch/MBR1545CT/page-1", "MBR1545CT")</f>
        <v>MBR1545CT</v>
      </c>
      <c r="B35843" s="3" t="s">
        <v>95</v>
      </c>
      <c r="C35843" s="6">
        <v>10625</v>
      </c>
      <c r="D35843" s="7">
        <v>1.31</v>
      </c>
      <c r="E35843" t="s">
        <v>103</v>
      </c>
    </row>
    <row r="35844" spans="1:5" x14ac:dyDescent="0.25">
      <c r="A35844" t="str">
        <f>HYPERLINK("https://www.773grp.com/globalSearch/MBR1545CTG/page-1", "MBR1545CTG")</f>
        <v>MBR1545CTG</v>
      </c>
      <c r="B35844" s="3" t="s">
        <v>95</v>
      </c>
      <c r="C35844" s="6">
        <v>23350</v>
      </c>
      <c r="D35844" s="7">
        <v>1.31</v>
      </c>
      <c r="E35844" t="s">
        <v>103</v>
      </c>
    </row>
    <row r="35845" spans="1:5" x14ac:dyDescent="0.25">
      <c r="A35845" t="str">
        <f>HYPERLINK("https://www.773grp.com/globalSearch/MBRD340RL/page-1", "MBRD340RL")</f>
        <v>MBRD340RL</v>
      </c>
      <c r="B35845" s="3" t="s">
        <v>95</v>
      </c>
      <c r="C35845" s="6">
        <v>908</v>
      </c>
      <c r="D35845" s="7">
        <v>1.31</v>
      </c>
      <c r="E35845" t="s">
        <v>103</v>
      </c>
    </row>
    <row r="35846" spans="1:5" x14ac:dyDescent="0.25">
      <c r="A35846" t="str">
        <f>HYPERLINK("https://www.773grp.com/globalSearch/MBRS340T3/page-1", "MBRS340T3")</f>
        <v>MBRS340T3</v>
      </c>
      <c r="B35846" s="3" t="s">
        <v>95</v>
      </c>
      <c r="C35846" s="6">
        <v>2300</v>
      </c>
      <c r="D35846" s="7">
        <v>1.31</v>
      </c>
    </row>
    <row r="35847" spans="1:5" x14ac:dyDescent="0.25">
      <c r="A35847" t="str">
        <f>HYPERLINK("https://www.773grp.com/globalSearch/MBRS360T3/page-1", "MBRS360T3")</f>
        <v>MBRS360T3</v>
      </c>
      <c r="B35847" s="3" t="s">
        <v>95</v>
      </c>
      <c r="C35847" s="6">
        <v>3980</v>
      </c>
      <c r="D35847" s="7">
        <v>1.31</v>
      </c>
    </row>
    <row r="35848" spans="1:5" x14ac:dyDescent="0.25">
      <c r="A35848" t="str">
        <f>HYPERLINK("https://www.773grp.com/globalSearch/MC14015BFELG/page-1", "MC14015BFELG")</f>
        <v>MC14015BFELG</v>
      </c>
      <c r="B35848" s="3" t="s">
        <v>95</v>
      </c>
      <c r="C35848" s="6">
        <v>5760</v>
      </c>
      <c r="D35848" s="7">
        <v>1.31</v>
      </c>
      <c r="E35848" t="s">
        <v>32</v>
      </c>
    </row>
    <row r="35849" spans="1:5" x14ac:dyDescent="0.25">
      <c r="A35849" t="str">
        <f>HYPERLINK("https://www.773grp.com/globalSearch/MC14035BCP/page-1", "MC14035BCP")</f>
        <v>MC14035BCP</v>
      </c>
      <c r="B35849" s="3" t="s">
        <v>95</v>
      </c>
      <c r="C35849" s="6">
        <v>4415</v>
      </c>
      <c r="D35849" s="7">
        <v>1.31</v>
      </c>
      <c r="E35849" t="s">
        <v>32</v>
      </c>
    </row>
    <row r="35850" spans="1:5" x14ac:dyDescent="0.25">
      <c r="A35850" t="str">
        <f>HYPERLINK("https://www.773grp.com/globalSearch/MC14040BFELG/page-1", "MC14040BFELG")</f>
        <v>MC14040BFELG</v>
      </c>
      <c r="B35850" s="3" t="s">
        <v>95</v>
      </c>
      <c r="C35850" s="6">
        <v>7415</v>
      </c>
      <c r="D35850" s="7">
        <v>1.31</v>
      </c>
      <c r="E35850" t="s">
        <v>26</v>
      </c>
    </row>
    <row r="35851" spans="1:5" x14ac:dyDescent="0.25">
      <c r="A35851" t="str">
        <f>HYPERLINK("https://www.773grp.com/globalSearch/MC14046BCPG/page-1", "MC14046BCPG")</f>
        <v>MC14046BCPG</v>
      </c>
      <c r="B35851" s="3" t="s">
        <v>95</v>
      </c>
      <c r="C35851" s="6">
        <v>5648</v>
      </c>
      <c r="D35851" s="7">
        <v>1.31</v>
      </c>
      <c r="E35851" t="s">
        <v>38</v>
      </c>
    </row>
    <row r="35852" spans="1:5" x14ac:dyDescent="0.25">
      <c r="A35852" t="str">
        <f>HYPERLINK("https://www.773grp.com/globalSearch/MC14046BDWG/page-1", "MC14046BDWG")</f>
        <v>MC14046BDWG</v>
      </c>
      <c r="B35852" s="3" t="s">
        <v>95</v>
      </c>
      <c r="C35852" s="6">
        <v>8450</v>
      </c>
      <c r="D35852" s="7">
        <v>1.31</v>
      </c>
      <c r="E35852" t="s">
        <v>38</v>
      </c>
    </row>
    <row r="35853" spans="1:5" x14ac:dyDescent="0.25">
      <c r="A35853" t="str">
        <f>HYPERLINK("https://www.773grp.com/globalSearch/MC14046BDWR2G/page-1", "MC14046BDWR2G")</f>
        <v>MC14046BDWR2G</v>
      </c>
      <c r="B35853" s="3" t="s">
        <v>95</v>
      </c>
      <c r="C35853" s="6">
        <v>2544</v>
      </c>
      <c r="D35853" s="7">
        <v>1.31</v>
      </c>
      <c r="E35853" t="s">
        <v>38</v>
      </c>
    </row>
    <row r="35854" spans="1:5" x14ac:dyDescent="0.25">
      <c r="A35854" t="str">
        <f>HYPERLINK("https://www.773grp.com/globalSearch/MC14516BF/page-1", "MC14516BF")</f>
        <v>MC14516BF</v>
      </c>
      <c r="B35854" s="3" t="s">
        <v>95</v>
      </c>
      <c r="C35854" s="6">
        <v>600</v>
      </c>
      <c r="D35854" s="7">
        <v>1.31</v>
      </c>
      <c r="E35854" t="s">
        <v>26</v>
      </c>
    </row>
    <row r="35855" spans="1:5" x14ac:dyDescent="0.25">
      <c r="A35855" t="str">
        <f>HYPERLINK("https://www.773grp.com/globalSearch/MC14516BFG/page-1", "MC14516BFG")</f>
        <v>MC14516BFG</v>
      </c>
      <c r="B35855" s="3" t="s">
        <v>95</v>
      </c>
      <c r="C35855" s="6">
        <v>2344</v>
      </c>
      <c r="D35855" s="7">
        <v>1.31</v>
      </c>
      <c r="E35855" t="s">
        <v>26</v>
      </c>
    </row>
    <row r="35856" spans="1:5" x14ac:dyDescent="0.25">
      <c r="A35856" t="str">
        <f>HYPERLINK("https://www.773grp.com/globalSearch/MC14555BCPG/page-1", "MC14555BCPG")</f>
        <v>MC14555BCPG</v>
      </c>
      <c r="B35856" s="3" t="s">
        <v>95</v>
      </c>
      <c r="C35856" s="6">
        <v>9127</v>
      </c>
      <c r="D35856" s="7">
        <v>1.31</v>
      </c>
      <c r="E35856" t="s">
        <v>36</v>
      </c>
    </row>
    <row r="35857" spans="1:5" x14ac:dyDescent="0.25">
      <c r="A35857" t="str">
        <f>HYPERLINK("https://www.773grp.com/globalSearch/MC14556BCPG/page-1", "MC14556BCPG")</f>
        <v>MC14556BCPG</v>
      </c>
      <c r="B35857" s="3" t="s">
        <v>95</v>
      </c>
      <c r="C35857" s="6">
        <v>5460</v>
      </c>
      <c r="D35857" s="7">
        <v>1.31</v>
      </c>
      <c r="E35857" t="s">
        <v>36</v>
      </c>
    </row>
    <row r="35858" spans="1:5" x14ac:dyDescent="0.25">
      <c r="A35858" t="str">
        <f>HYPERLINK("https://www.773grp.com/globalSearch/MC1488PG/page-1", "MC1488PG")</f>
        <v>MC1488PG</v>
      </c>
      <c r="B35858" s="3" t="s">
        <v>95</v>
      </c>
      <c r="C35858" s="6">
        <v>14921</v>
      </c>
      <c r="D35858" s="7">
        <v>1.31</v>
      </c>
      <c r="E35858" t="s">
        <v>21</v>
      </c>
    </row>
    <row r="35859" spans="1:5" x14ac:dyDescent="0.25">
      <c r="A35859" t="str">
        <f>HYPERLINK("https://www.773grp.com/globalSearch/MC1489ADG/page-1", "MC1489ADG")</f>
        <v>MC1489ADG</v>
      </c>
      <c r="B35859" s="3" t="s">
        <v>95</v>
      </c>
      <c r="C35859" s="6">
        <v>10953</v>
      </c>
      <c r="D35859" s="7">
        <v>1.31</v>
      </c>
      <c r="E35859" t="s">
        <v>21</v>
      </c>
    </row>
    <row r="35860" spans="1:5" x14ac:dyDescent="0.25">
      <c r="A35860" t="str">
        <f>HYPERLINK("https://www.773grp.com/globalSearch/MC1489ADR2G/page-1", "MC1489ADR2G")</f>
        <v>MC1489ADR2G</v>
      </c>
      <c r="B35860" s="3" t="s">
        <v>95</v>
      </c>
      <c r="C35860" s="6">
        <v>29900</v>
      </c>
      <c r="D35860" s="7">
        <v>1.31</v>
      </c>
      <c r="E35860" t="s">
        <v>21</v>
      </c>
    </row>
    <row r="35861" spans="1:5" x14ac:dyDescent="0.25">
      <c r="A35861" t="str">
        <f>HYPERLINK("https://www.773grp.com/globalSearch/MC1489MEL/page-1", "MC1489MEL")</f>
        <v>MC1489MEL</v>
      </c>
      <c r="B35861" s="3" t="s">
        <v>95</v>
      </c>
      <c r="C35861" s="6">
        <v>3160</v>
      </c>
      <c r="D35861" s="7">
        <v>1.31</v>
      </c>
      <c r="E35861" t="s">
        <v>21</v>
      </c>
    </row>
    <row r="35862" spans="1:5" x14ac:dyDescent="0.25">
      <c r="A35862" t="str">
        <f>HYPERLINK("https://www.773grp.com/globalSearch/MC1489MELG/page-1", "MC1489MELG")</f>
        <v>MC1489MELG</v>
      </c>
      <c r="B35862" s="3" t="s">
        <v>95</v>
      </c>
      <c r="C35862" s="6">
        <v>88491</v>
      </c>
      <c r="D35862" s="7">
        <v>1.31</v>
      </c>
      <c r="E35862" t="s">
        <v>21</v>
      </c>
    </row>
    <row r="35863" spans="1:5" x14ac:dyDescent="0.25">
      <c r="A35863" t="str">
        <f>HYPERLINK("https://www.773grp.com/globalSearch/MC1489MG/page-1", "MC1489MG")</f>
        <v>MC1489MG</v>
      </c>
      <c r="B35863" s="3" t="s">
        <v>95</v>
      </c>
      <c r="C35863" s="6">
        <v>8550</v>
      </c>
      <c r="D35863" s="7">
        <v>1.31</v>
      </c>
      <c r="E35863" t="s">
        <v>21</v>
      </c>
    </row>
    <row r="35864" spans="1:5" x14ac:dyDescent="0.25">
      <c r="A35864" t="str">
        <f>HYPERLINK("https://www.773grp.com/globalSearch/MC33202DMR2G/page-1", "MC33202DMR2G")</f>
        <v>MC33202DMR2G</v>
      </c>
      <c r="B35864" s="3" t="s">
        <v>95</v>
      </c>
      <c r="C35864" s="6">
        <v>47558</v>
      </c>
      <c r="D35864" s="7">
        <v>1.31</v>
      </c>
      <c r="E35864" t="s">
        <v>13</v>
      </c>
    </row>
    <row r="35865" spans="1:5" x14ac:dyDescent="0.25">
      <c r="A35865" t="str">
        <f>HYPERLINK("https://www.773grp.com/globalSearch/MC33202VDR2G/page-1", "MC33202VDR2G")</f>
        <v>MC33202VDR2G</v>
      </c>
      <c r="B35865" s="3" t="s">
        <v>95</v>
      </c>
      <c r="C35865" s="6">
        <v>182901</v>
      </c>
      <c r="D35865" s="7">
        <v>1.31</v>
      </c>
      <c r="E35865" t="s">
        <v>13</v>
      </c>
    </row>
    <row r="35866" spans="1:5" x14ac:dyDescent="0.25">
      <c r="A35866" t="str">
        <f>HYPERLINK("https://www.773grp.com/globalSearch/MC33272AD/page-1", "MC33272AD")</f>
        <v>MC33272AD</v>
      </c>
      <c r="B35866" s="3" t="s">
        <v>95</v>
      </c>
      <c r="C35866" s="6">
        <v>685</v>
      </c>
      <c r="D35866" s="7">
        <v>1.31</v>
      </c>
      <c r="E35866" t="s">
        <v>13</v>
      </c>
    </row>
    <row r="35867" spans="1:5" x14ac:dyDescent="0.25">
      <c r="A35867" t="str">
        <f>HYPERLINK("https://www.773grp.com/globalSearch/MC33272AP/page-1", "MC33272AP")</f>
        <v>MC33272AP</v>
      </c>
      <c r="B35867" s="3" t="s">
        <v>95</v>
      </c>
      <c r="C35867" s="6">
        <v>963</v>
      </c>
      <c r="D35867" s="7">
        <v>1.31</v>
      </c>
      <c r="E35867" t="s">
        <v>13</v>
      </c>
    </row>
    <row r="35868" spans="1:5" x14ac:dyDescent="0.25">
      <c r="A35868" t="str">
        <f>HYPERLINK("https://www.773grp.com/globalSearch/MC33761SNT1-025G/page-1", "MC33761SNT1-025G")</f>
        <v>MC33761SNT1-025G</v>
      </c>
      <c r="B35868" s="3" t="s">
        <v>95</v>
      </c>
      <c r="C35868" s="6">
        <v>2894</v>
      </c>
      <c r="D35868" s="7">
        <v>1.31</v>
      </c>
      <c r="E35868" t="s">
        <v>19</v>
      </c>
    </row>
    <row r="35869" spans="1:5" x14ac:dyDescent="0.25">
      <c r="A35869" t="str">
        <f>HYPERLINK("https://www.773grp.com/globalSearch/MC33761SNT1-029G/page-1", "MC33761SNT1-029G")</f>
        <v>MC33761SNT1-029G</v>
      </c>
      <c r="B35869" s="3" t="s">
        <v>95</v>
      </c>
      <c r="C35869" s="6">
        <v>18000</v>
      </c>
      <c r="D35869" s="7">
        <v>1.31</v>
      </c>
      <c r="E35869" t="s">
        <v>19</v>
      </c>
    </row>
    <row r="35870" spans="1:5" x14ac:dyDescent="0.25">
      <c r="A35870" t="str">
        <f>HYPERLINK("https://www.773grp.com/globalSearch/MC33761SNT1-030G/page-1", "MC33761SNT1-030G")</f>
        <v>MC33761SNT1-030G</v>
      </c>
      <c r="B35870" s="3" t="s">
        <v>95</v>
      </c>
      <c r="C35870" s="6">
        <v>2740</v>
      </c>
      <c r="D35870" s="7">
        <v>1.31</v>
      </c>
      <c r="E35870" t="s">
        <v>19</v>
      </c>
    </row>
    <row r="35871" spans="1:5" x14ac:dyDescent="0.25">
      <c r="A35871" t="str">
        <f>HYPERLINK("https://www.773grp.com/globalSearch/MC33761SNT1-050G/page-1", "MC33761SNT1-050G")</f>
        <v>MC33761SNT1-050G</v>
      </c>
      <c r="B35871" s="3" t="s">
        <v>95</v>
      </c>
      <c r="C35871" s="6">
        <v>94526</v>
      </c>
      <c r="D35871" s="7">
        <v>1.31</v>
      </c>
      <c r="E35871" t="s">
        <v>19</v>
      </c>
    </row>
    <row r="35872" spans="1:5" x14ac:dyDescent="0.25">
      <c r="A35872" t="str">
        <f>HYPERLINK("https://www.773grp.com/globalSearch/MC34262DG/page-1", "MC34262DG")</f>
        <v>MC34262DG</v>
      </c>
      <c r="B35872" s="3" t="s">
        <v>95</v>
      </c>
      <c r="C35872" s="6">
        <v>5548</v>
      </c>
      <c r="D35872" s="7">
        <v>1.31</v>
      </c>
      <c r="E35872" t="s">
        <v>7</v>
      </c>
    </row>
    <row r="35873" spans="1:5" x14ac:dyDescent="0.25">
      <c r="A35873" t="str">
        <f>HYPERLINK("https://www.773grp.com/globalSearch/MC34262DR2G/page-1", "MC34262DR2G")</f>
        <v>MC34262DR2G</v>
      </c>
      <c r="B35873" s="3" t="s">
        <v>95</v>
      </c>
      <c r="C35873" s="6">
        <v>40000</v>
      </c>
      <c r="D35873" s="7">
        <v>1.31</v>
      </c>
    </row>
    <row r="35874" spans="1:5" x14ac:dyDescent="0.25">
      <c r="A35874" t="str">
        <f>HYPERLINK("https://www.773grp.com/globalSearch/MC34262PG/page-1", "MC34262PG")</f>
        <v>MC34262PG</v>
      </c>
      <c r="B35874" s="3" t="s">
        <v>95</v>
      </c>
      <c r="C35874" s="6">
        <v>3639</v>
      </c>
      <c r="D35874" s="7">
        <v>1.31</v>
      </c>
      <c r="E35874" t="s">
        <v>7</v>
      </c>
    </row>
    <row r="35875" spans="1:5" x14ac:dyDescent="0.25">
      <c r="A35875" t="str">
        <f>HYPERLINK("https://www.773grp.com/globalSearch/MC74AC139NG/page-1", "MC74AC139NG")</f>
        <v>MC74AC139NG</v>
      </c>
      <c r="B35875" s="3" t="s">
        <v>95</v>
      </c>
      <c r="C35875" s="6">
        <v>28447</v>
      </c>
      <c r="D35875" s="7">
        <v>1.31</v>
      </c>
      <c r="E35875" t="s">
        <v>36</v>
      </c>
    </row>
    <row r="35876" spans="1:5" x14ac:dyDescent="0.25">
      <c r="A35876" t="str">
        <f>HYPERLINK("https://www.773grp.com/globalSearch/MC74AC163NG/page-1", "MC74AC163NG")</f>
        <v>MC74AC163NG</v>
      </c>
      <c r="B35876" s="3" t="s">
        <v>95</v>
      </c>
      <c r="C35876" s="6">
        <v>6625</v>
      </c>
      <c r="D35876" s="7">
        <v>1.31</v>
      </c>
      <c r="E35876" t="s">
        <v>26</v>
      </c>
    </row>
    <row r="35877" spans="1:5" x14ac:dyDescent="0.25">
      <c r="A35877" t="str">
        <f>HYPERLINK("https://www.773grp.com/globalSearch/MC74AC4040D/page-1", "MC74AC4040D")</f>
        <v>MC74AC4040D</v>
      </c>
      <c r="B35877" s="3" t="s">
        <v>95</v>
      </c>
      <c r="C35877" s="6">
        <v>2820</v>
      </c>
      <c r="D35877" s="7">
        <v>1.31</v>
      </c>
      <c r="E35877" t="s">
        <v>26</v>
      </c>
    </row>
    <row r="35878" spans="1:5" x14ac:dyDescent="0.25">
      <c r="A35878" t="str">
        <f>HYPERLINK("https://www.773grp.com/globalSearch/MC74ACT132M/page-1", "MC74ACT132M")</f>
        <v>MC74ACT132M</v>
      </c>
      <c r="B35878" s="3" t="s">
        <v>95</v>
      </c>
      <c r="C35878" s="6">
        <v>11950</v>
      </c>
      <c r="D35878" s="7">
        <v>1.31</v>
      </c>
      <c r="E35878" t="s">
        <v>31</v>
      </c>
    </row>
    <row r="35879" spans="1:5" x14ac:dyDescent="0.25">
      <c r="A35879" t="str">
        <f>HYPERLINK("https://www.773grp.com/globalSearch/MC74ACT139NG/page-1", "MC74ACT139NG")</f>
        <v>MC74ACT139NG</v>
      </c>
      <c r="B35879" s="3" t="s">
        <v>95</v>
      </c>
      <c r="C35879" s="6">
        <v>7700</v>
      </c>
      <c r="D35879" s="7">
        <v>1.31</v>
      </c>
      <c r="E35879" t="s">
        <v>36</v>
      </c>
    </row>
    <row r="35880" spans="1:5" x14ac:dyDescent="0.25">
      <c r="A35880" t="str">
        <f>HYPERLINK("https://www.773grp.com/globalSearch/MC74ACT163NG/page-1", "MC74ACT163NG")</f>
        <v>MC74ACT163NG</v>
      </c>
      <c r="B35880" s="3" t="s">
        <v>95</v>
      </c>
      <c r="C35880" s="6">
        <v>10040</v>
      </c>
      <c r="D35880" s="7">
        <v>1.31</v>
      </c>
      <c r="E35880" t="s">
        <v>26</v>
      </c>
    </row>
    <row r="35881" spans="1:5" x14ac:dyDescent="0.25">
      <c r="A35881" t="str">
        <f>HYPERLINK("https://www.773grp.com/globalSearch/MC74HC4051ADG/page-1", "MC74HC4051ADG")</f>
        <v>MC74HC4051ADG</v>
      </c>
      <c r="B35881" s="3" t="s">
        <v>95</v>
      </c>
      <c r="C35881" s="6">
        <v>3024</v>
      </c>
      <c r="D35881" s="7">
        <v>1.31</v>
      </c>
      <c r="E35881" t="s">
        <v>56</v>
      </c>
    </row>
    <row r="35882" spans="1:5" x14ac:dyDescent="0.25">
      <c r="A35882" t="str">
        <f>HYPERLINK("https://www.773grp.com/globalSearch/MC74HC4051ADR2G/page-1", "MC74HC4051ADR2G")</f>
        <v>MC74HC4051ADR2G</v>
      </c>
      <c r="B35882" s="3" t="s">
        <v>95</v>
      </c>
      <c r="C35882" s="6">
        <v>39936</v>
      </c>
      <c r="D35882" s="7">
        <v>1.31</v>
      </c>
      <c r="E35882" t="s">
        <v>56</v>
      </c>
    </row>
    <row r="35883" spans="1:5" x14ac:dyDescent="0.25">
      <c r="A35883" t="str">
        <f>HYPERLINK("https://www.773grp.com/globalSearch/MC74HC4051ADTG/page-1", "MC74HC4051ADTG")</f>
        <v>MC74HC4051ADTG</v>
      </c>
      <c r="B35883" s="3" t="s">
        <v>95</v>
      </c>
      <c r="C35883" s="6">
        <v>21957</v>
      </c>
      <c r="D35883" s="7">
        <v>1.31</v>
      </c>
      <c r="E35883" t="s">
        <v>56</v>
      </c>
    </row>
    <row r="35884" spans="1:5" x14ac:dyDescent="0.25">
      <c r="A35884" t="str">
        <f>HYPERLINK("https://www.773grp.com/globalSearch/MC74HC4051ADTR2G/page-1", "MC74HC4051ADTR2G")</f>
        <v>MC74HC4051ADTR2G</v>
      </c>
      <c r="B35884" s="3" t="s">
        <v>95</v>
      </c>
      <c r="C35884" s="6">
        <v>125000</v>
      </c>
      <c r="D35884" s="7">
        <v>1.31</v>
      </c>
      <c r="E35884" t="s">
        <v>56</v>
      </c>
    </row>
    <row r="35885" spans="1:5" x14ac:dyDescent="0.25">
      <c r="A35885" t="str">
        <f>HYPERLINK("https://www.773grp.com/globalSearch/MC74HC4052ADG/page-1", "MC74HC4052ADG")</f>
        <v>MC74HC4052ADG</v>
      </c>
      <c r="B35885" s="3" t="s">
        <v>95</v>
      </c>
      <c r="C35885" s="6">
        <v>6449</v>
      </c>
      <c r="D35885" s="7">
        <v>1.31</v>
      </c>
      <c r="E35885" t="s">
        <v>56</v>
      </c>
    </row>
    <row r="35886" spans="1:5" x14ac:dyDescent="0.25">
      <c r="A35886" t="str">
        <f>HYPERLINK("https://www.773grp.com/globalSearch/MC74HC4052ADR2G/page-1", "MC74HC4052ADR2G")</f>
        <v>MC74HC4052ADR2G</v>
      </c>
      <c r="B35886" s="3" t="s">
        <v>95</v>
      </c>
      <c r="C35886" s="6">
        <v>441364</v>
      </c>
      <c r="D35886" s="7">
        <v>1.31</v>
      </c>
      <c r="E35886" t="s">
        <v>56</v>
      </c>
    </row>
    <row r="35887" spans="1:5" x14ac:dyDescent="0.25">
      <c r="A35887" t="str">
        <f>HYPERLINK("https://www.773grp.com/globalSearch/MC74HC4052ADTG/page-1", "MC74HC4052ADTG")</f>
        <v>MC74HC4052ADTG</v>
      </c>
      <c r="B35887" s="3" t="s">
        <v>95</v>
      </c>
      <c r="C35887" s="6">
        <v>5037</v>
      </c>
      <c r="D35887" s="7">
        <v>1.31</v>
      </c>
      <c r="E35887" t="s">
        <v>56</v>
      </c>
    </row>
    <row r="35888" spans="1:5" x14ac:dyDescent="0.25">
      <c r="A35888" t="str">
        <f>HYPERLINK("https://www.773grp.com/globalSearch/MC74HC4052ADTR2G/page-1", "MC74HC4052ADTR2G")</f>
        <v>MC74HC4052ADTR2G</v>
      </c>
      <c r="B35888" s="3" t="s">
        <v>95</v>
      </c>
      <c r="C35888" s="6">
        <v>30000</v>
      </c>
      <c r="D35888" s="7">
        <v>1.31</v>
      </c>
      <c r="E35888" t="s">
        <v>56</v>
      </c>
    </row>
    <row r="35889" spans="1:5" x14ac:dyDescent="0.25">
      <c r="A35889" t="str">
        <f>HYPERLINK("https://www.773grp.com/globalSearch/MC74HC4053ADG/page-1", "MC74HC4053ADG")</f>
        <v>MC74HC4053ADG</v>
      </c>
      <c r="B35889" s="3" t="s">
        <v>95</v>
      </c>
      <c r="C35889" s="6">
        <v>12463</v>
      </c>
      <c r="D35889" s="7">
        <v>1.31</v>
      </c>
      <c r="E35889" t="s">
        <v>56</v>
      </c>
    </row>
    <row r="35890" spans="1:5" x14ac:dyDescent="0.25">
      <c r="A35890" t="str">
        <f>HYPERLINK("https://www.773grp.com/globalSearch/MC74HC4053ADR2G/page-1", "MC74HC4053ADR2G")</f>
        <v>MC74HC4053ADR2G</v>
      </c>
      <c r="B35890" s="3" t="s">
        <v>95</v>
      </c>
      <c r="C35890" s="6">
        <v>263221</v>
      </c>
      <c r="D35890" s="7">
        <v>1.31</v>
      </c>
      <c r="E35890" t="s">
        <v>56</v>
      </c>
    </row>
    <row r="35891" spans="1:5" x14ac:dyDescent="0.25">
      <c r="A35891" t="str">
        <f>HYPERLINK("https://www.773grp.com/globalSearch/MC74HC4053ADTG/page-1", "MC74HC4053ADTG")</f>
        <v>MC74HC4053ADTG</v>
      </c>
      <c r="B35891" s="3" t="s">
        <v>95</v>
      </c>
      <c r="C35891" s="6">
        <v>13127</v>
      </c>
      <c r="D35891" s="7">
        <v>1.31</v>
      </c>
      <c r="E35891" t="s">
        <v>56</v>
      </c>
    </row>
    <row r="35892" spans="1:5" x14ac:dyDescent="0.25">
      <c r="A35892" t="str">
        <f>HYPERLINK("https://www.773grp.com/globalSearch/MC74HC4053ADTR2G/page-1", "MC74HC4053ADTR2G")</f>
        <v>MC74HC4053ADTR2G</v>
      </c>
      <c r="B35892" s="3" t="s">
        <v>95</v>
      </c>
      <c r="C35892" s="6">
        <v>80004</v>
      </c>
      <c r="D35892" s="7">
        <v>1.31</v>
      </c>
      <c r="E35892" t="s">
        <v>56</v>
      </c>
    </row>
    <row r="35893" spans="1:5" x14ac:dyDescent="0.25">
      <c r="A35893" t="str">
        <f>HYPERLINK("https://www.773grp.com/globalSearch/MC74HC563ADW/page-1", "MC74HC563ADW")</f>
        <v>MC74HC563ADW</v>
      </c>
      <c r="B35893" s="3" t="s">
        <v>95</v>
      </c>
      <c r="C35893" s="6">
        <v>401</v>
      </c>
      <c r="D35893" s="7">
        <v>1.31</v>
      </c>
      <c r="E35893" t="s">
        <v>14</v>
      </c>
    </row>
    <row r="35894" spans="1:5" x14ac:dyDescent="0.25">
      <c r="A35894" t="str">
        <f>HYPERLINK("https://www.773grp.com/globalSearch/MC74HC563ADWR2/page-1", "MC74HC563ADWR2")</f>
        <v>MC74HC563ADWR2</v>
      </c>
      <c r="B35894" s="3" t="s">
        <v>95</v>
      </c>
      <c r="C35894" s="6">
        <v>1000</v>
      </c>
      <c r="D35894" s="7">
        <v>1.31</v>
      </c>
      <c r="E35894" t="s">
        <v>14</v>
      </c>
    </row>
    <row r="35895" spans="1:5" x14ac:dyDescent="0.25">
      <c r="A35895" t="str">
        <f>HYPERLINK("https://www.773grp.com/globalSearch/MC74HC563AH/page-1", "MC74HC563AH")</f>
        <v>MC74HC563AH</v>
      </c>
      <c r="B35895" s="3" t="s">
        <v>95</v>
      </c>
      <c r="C35895" s="6">
        <v>998</v>
      </c>
      <c r="D35895" s="7">
        <v>1.31</v>
      </c>
    </row>
    <row r="35896" spans="1:5" x14ac:dyDescent="0.25">
      <c r="A35896" t="str">
        <f>HYPERLINK("https://www.773grp.com/globalSearch/MC74HCT4051ADR2G/page-1", "MC74HCT4051ADR2G")</f>
        <v>MC74HCT4051ADR2G</v>
      </c>
      <c r="B35896" s="3" t="s">
        <v>95</v>
      </c>
      <c r="C35896" s="6">
        <v>4800</v>
      </c>
      <c r="D35896" s="7">
        <v>1.31</v>
      </c>
    </row>
    <row r="35897" spans="1:5" x14ac:dyDescent="0.25">
      <c r="A35897" t="str">
        <f>HYPERLINK("https://www.773grp.com/globalSearch/MC74HCT4051ADTG/page-1", "MC74HCT4051ADTG")</f>
        <v>MC74HCT4051ADTG</v>
      </c>
      <c r="B35897" s="3" t="s">
        <v>95</v>
      </c>
      <c r="C35897" s="6">
        <v>7936</v>
      </c>
      <c r="D35897" s="7">
        <v>1.31</v>
      </c>
    </row>
    <row r="35898" spans="1:5" x14ac:dyDescent="0.25">
      <c r="A35898" t="str">
        <f>HYPERLINK("https://www.773grp.com/globalSearch/MC74LCX541M/page-1", "MC74LCX541M")</f>
        <v>MC74LCX541M</v>
      </c>
      <c r="B35898" s="3" t="s">
        <v>95</v>
      </c>
      <c r="C35898" s="6">
        <v>70</v>
      </c>
      <c r="D35898" s="7">
        <v>1.31</v>
      </c>
      <c r="E35898" t="s">
        <v>14</v>
      </c>
    </row>
    <row r="35899" spans="1:5" x14ac:dyDescent="0.25">
      <c r="A35899" t="str">
        <f>HYPERLINK("https://www.773grp.com/globalSearch/MC74LVX4052MELG/page-1", "MC74LVX4052MELG")</f>
        <v>MC74LVX4052MELG</v>
      </c>
      <c r="B35899" s="3" t="s">
        <v>95</v>
      </c>
      <c r="C35899" s="6">
        <v>20567</v>
      </c>
      <c r="D35899" s="7">
        <v>1.31</v>
      </c>
      <c r="E35899" t="s">
        <v>56</v>
      </c>
    </row>
    <row r="35900" spans="1:5" x14ac:dyDescent="0.25">
      <c r="A35900" t="str">
        <f>HYPERLINK("https://www.773grp.com/globalSearch/MC74LVX4052MG/page-1", "MC74LVX4052MG")</f>
        <v>MC74LVX4052MG</v>
      </c>
      <c r="B35900" s="3" t="s">
        <v>95</v>
      </c>
      <c r="C35900" s="6">
        <v>11100</v>
      </c>
      <c r="D35900" s="7">
        <v>1.31</v>
      </c>
      <c r="E35900" t="s">
        <v>56</v>
      </c>
    </row>
    <row r="35901" spans="1:5" x14ac:dyDescent="0.25">
      <c r="A35901" t="str">
        <f>HYPERLINK("https://www.773grp.com/globalSearch/MC74LVX541DWG/page-1", "MC74LVX541DWG")</f>
        <v>MC74LVX541DWG</v>
      </c>
      <c r="B35901" s="3" t="s">
        <v>95</v>
      </c>
      <c r="C35901" s="6">
        <v>14683</v>
      </c>
      <c r="D35901" s="7">
        <v>1.31</v>
      </c>
      <c r="E35901" t="s">
        <v>14</v>
      </c>
    </row>
    <row r="35902" spans="1:5" x14ac:dyDescent="0.25">
      <c r="A35902" t="str">
        <f>HYPERLINK("https://www.773grp.com/globalSearch/MC74LVX541MELG/page-1", "MC74LVX541MELG")</f>
        <v>MC74LVX541MELG</v>
      </c>
      <c r="B35902" s="3" t="s">
        <v>95</v>
      </c>
      <c r="C35902" s="6">
        <v>10000</v>
      </c>
      <c r="D35902" s="7">
        <v>1.31</v>
      </c>
      <c r="E35902" t="s">
        <v>14</v>
      </c>
    </row>
    <row r="35903" spans="1:5" x14ac:dyDescent="0.25">
      <c r="A35903" t="str">
        <f>HYPERLINK("https://www.773grp.com/globalSearch/MC74LVXT4051MELG/page-1", "MC74LVXT4051MELG")</f>
        <v>MC74LVXT4051MELG</v>
      </c>
      <c r="B35903" s="3" t="s">
        <v>95</v>
      </c>
      <c r="C35903" s="6">
        <v>22000</v>
      </c>
      <c r="D35903" s="7">
        <v>1.31</v>
      </c>
      <c r="E35903" t="s">
        <v>56</v>
      </c>
    </row>
    <row r="35904" spans="1:5" x14ac:dyDescent="0.25">
      <c r="A35904" t="str">
        <f>HYPERLINK("https://www.773grp.com/globalSearch/MC74LVXT4051MG/page-1", "MC74LVXT4051MG")</f>
        <v>MC74LVXT4051MG</v>
      </c>
      <c r="B35904" s="3" t="s">
        <v>95</v>
      </c>
      <c r="C35904" s="6">
        <v>12450</v>
      </c>
      <c r="D35904" s="7">
        <v>1.31</v>
      </c>
      <c r="E35904" t="s">
        <v>56</v>
      </c>
    </row>
    <row r="35905" spans="1:5" x14ac:dyDescent="0.25">
      <c r="A35905" t="str">
        <f>HYPERLINK("https://www.773grp.com/globalSearch/MC74VHC540DWR2G/page-1", "MC74VHC540DWR2G")</f>
        <v>MC74VHC540DWR2G</v>
      </c>
      <c r="B35905" s="3" t="s">
        <v>95</v>
      </c>
      <c r="C35905" s="6">
        <v>4765</v>
      </c>
      <c r="D35905" s="7">
        <v>1.31</v>
      </c>
      <c r="E35905" t="s">
        <v>14</v>
      </c>
    </row>
    <row r="35906" spans="1:5" x14ac:dyDescent="0.25">
      <c r="A35906" t="str">
        <f>HYPERLINK("https://www.773grp.com/globalSearch/MC74VHC541DWR2G/page-1", "MC74VHC541DWR2G")</f>
        <v>MC74VHC541DWR2G</v>
      </c>
      <c r="B35906" s="3" t="s">
        <v>95</v>
      </c>
      <c r="C35906" s="6">
        <v>9558</v>
      </c>
      <c r="D35906" s="7">
        <v>1.31</v>
      </c>
      <c r="E35906" t="s">
        <v>14</v>
      </c>
    </row>
    <row r="35907" spans="1:5" x14ac:dyDescent="0.25">
      <c r="A35907" t="str">
        <f>HYPERLINK("https://www.773grp.com/globalSearch/MC74VHC541MELG/page-1", "MC74VHC541MELG")</f>
        <v>MC74VHC541MELG</v>
      </c>
      <c r="B35907" s="3" t="s">
        <v>95</v>
      </c>
      <c r="C35907" s="6">
        <v>21838</v>
      </c>
      <c r="D35907" s="7">
        <v>1.31</v>
      </c>
      <c r="E35907" t="s">
        <v>14</v>
      </c>
    </row>
    <row r="35908" spans="1:5" x14ac:dyDescent="0.25">
      <c r="A35908" t="str">
        <f>HYPERLINK("https://www.773grp.com/globalSearch/MC74VHCT540AMELG/page-1", "MC74VHCT540AMELG")</f>
        <v>MC74VHCT540AMELG</v>
      </c>
      <c r="B35908" s="3" t="s">
        <v>95</v>
      </c>
      <c r="C35908" s="6">
        <v>4000</v>
      </c>
      <c r="D35908" s="7">
        <v>1.31</v>
      </c>
      <c r="E35908" t="s">
        <v>14</v>
      </c>
    </row>
    <row r="35909" spans="1:5" x14ac:dyDescent="0.25">
      <c r="A35909" t="str">
        <f>HYPERLINK("https://www.773grp.com/globalSearch/MC74VHCT540AMG/page-1", "MC74VHCT540AMG")</f>
        <v>MC74VHCT540AMG</v>
      </c>
      <c r="B35909" s="3" t="s">
        <v>95</v>
      </c>
      <c r="C35909" s="6">
        <v>800</v>
      </c>
      <c r="D35909" s="7">
        <v>1.31</v>
      </c>
      <c r="E35909" t="s">
        <v>14</v>
      </c>
    </row>
    <row r="35910" spans="1:5" x14ac:dyDescent="0.25">
      <c r="A35910" t="str">
        <f>HYPERLINK("https://www.773grp.com/globalSearch/MC74VHCT541ADWG/page-1", "MC74VHCT541ADWG")</f>
        <v>MC74VHCT541ADWG</v>
      </c>
      <c r="B35910" s="3" t="s">
        <v>95</v>
      </c>
      <c r="C35910" s="6">
        <v>1178</v>
      </c>
      <c r="D35910" s="7">
        <v>1.31</v>
      </c>
      <c r="E35910" t="s">
        <v>14</v>
      </c>
    </row>
    <row r="35911" spans="1:5" x14ac:dyDescent="0.25">
      <c r="A35911" t="str">
        <f>HYPERLINK("https://www.773grp.com/globalSearch/MC74VHCT541ADWRG/page-1", "MC74VHCT541ADWRG")</f>
        <v>MC74VHCT541ADWRG</v>
      </c>
      <c r="B35911" s="3" t="s">
        <v>95</v>
      </c>
      <c r="C35911" s="6">
        <v>14000</v>
      </c>
      <c r="D35911" s="7">
        <v>1.31</v>
      </c>
      <c r="E35911" t="s">
        <v>14</v>
      </c>
    </row>
    <row r="35912" spans="1:5" x14ac:dyDescent="0.25">
      <c r="A35912" t="str">
        <f>HYPERLINK("https://www.773grp.com/globalSearch/MC78M05ACTG/page-1", "MC78M05ACTG")</f>
        <v>MC78M05ACTG</v>
      </c>
      <c r="B35912" s="3" t="s">
        <v>95</v>
      </c>
      <c r="C35912" s="6">
        <v>3350</v>
      </c>
      <c r="D35912" s="7">
        <v>1.31</v>
      </c>
    </row>
    <row r="35913" spans="1:5" x14ac:dyDescent="0.25">
      <c r="A35913" t="str">
        <f>HYPERLINK("https://www.773grp.com/globalSearch/MC78M05BT/page-1", "MC78M05BT")</f>
        <v>MC78M05BT</v>
      </c>
      <c r="B35913" s="3" t="s">
        <v>95</v>
      </c>
      <c r="C35913" s="6">
        <v>3300</v>
      </c>
      <c r="D35913" s="7">
        <v>1.31</v>
      </c>
      <c r="E35913" t="s">
        <v>28</v>
      </c>
    </row>
    <row r="35914" spans="1:5" x14ac:dyDescent="0.25">
      <c r="A35914" t="str">
        <f>HYPERLINK("https://www.773grp.com/globalSearch/MC78M05BTG/page-1", "MC78M05BTG")</f>
        <v>MC78M05BTG</v>
      </c>
      <c r="B35914" s="3" t="s">
        <v>95</v>
      </c>
      <c r="C35914" s="6">
        <v>2339</v>
      </c>
      <c r="D35914" s="7">
        <v>1.31</v>
      </c>
      <c r="E35914" t="s">
        <v>28</v>
      </c>
    </row>
    <row r="35915" spans="1:5" x14ac:dyDescent="0.25">
      <c r="A35915" t="str">
        <f>HYPERLINK("https://www.773grp.com/globalSearch/MC78M06BTG/page-1", "MC78M06BTG")</f>
        <v>MC78M06BTG</v>
      </c>
      <c r="B35915" s="3" t="s">
        <v>95</v>
      </c>
      <c r="C35915" s="6">
        <v>1488</v>
      </c>
      <c r="D35915" s="7">
        <v>1.31</v>
      </c>
      <c r="E35915" t="s">
        <v>28</v>
      </c>
    </row>
    <row r="35916" spans="1:5" x14ac:dyDescent="0.25">
      <c r="A35916" t="str">
        <f>HYPERLINK("https://www.773grp.com/globalSearch/MC78M08BTG/page-1", "MC78M08BTG")</f>
        <v>MC78M08BTG</v>
      </c>
      <c r="B35916" s="3" t="s">
        <v>95</v>
      </c>
      <c r="C35916" s="6">
        <v>6132</v>
      </c>
      <c r="D35916" s="7">
        <v>1.31</v>
      </c>
      <c r="E35916" t="s">
        <v>28</v>
      </c>
    </row>
    <row r="35917" spans="1:5" x14ac:dyDescent="0.25">
      <c r="A35917" t="str">
        <f>HYPERLINK("https://www.773grp.com/globalSearch/MC78M12ACTG/page-1", "MC78M12ACTG")</f>
        <v>MC78M12ACTG</v>
      </c>
      <c r="B35917" s="3" t="s">
        <v>95</v>
      </c>
      <c r="C35917" s="6">
        <v>36900</v>
      </c>
      <c r="D35917" s="7">
        <v>1.31</v>
      </c>
      <c r="E35917" t="s">
        <v>28</v>
      </c>
    </row>
    <row r="35918" spans="1:5" x14ac:dyDescent="0.25">
      <c r="A35918" t="str">
        <f>HYPERLINK("https://www.773grp.com/globalSearch/MC78M12BT/page-1", "MC78M12BT")</f>
        <v>MC78M12BT</v>
      </c>
      <c r="B35918" s="3" t="s">
        <v>95</v>
      </c>
      <c r="C35918" s="6">
        <v>1885</v>
      </c>
      <c r="D35918" s="7">
        <v>1.31</v>
      </c>
      <c r="E35918" t="s">
        <v>28</v>
      </c>
    </row>
    <row r="35919" spans="1:5" x14ac:dyDescent="0.25">
      <c r="A35919" t="str">
        <f>HYPERLINK("https://www.773grp.com/globalSearch/MC78M12BTG/page-1", "MC78M12BTG")</f>
        <v>MC78M12BTG</v>
      </c>
      <c r="B35919" s="3" t="s">
        <v>95</v>
      </c>
      <c r="C35919" s="6">
        <v>7972</v>
      </c>
      <c r="D35919" s="7">
        <v>1.31</v>
      </c>
      <c r="E35919" t="s">
        <v>28</v>
      </c>
    </row>
    <row r="35920" spans="1:5" x14ac:dyDescent="0.25">
      <c r="A35920" t="str">
        <f>HYPERLINK("https://www.773grp.com/globalSearch/MC78M15ACTG/page-1", "MC78M15ACTG")</f>
        <v>MC78M15ACTG</v>
      </c>
      <c r="B35920" s="3" t="s">
        <v>95</v>
      </c>
      <c r="C35920" s="6">
        <v>4791</v>
      </c>
      <c r="D35920" s="7">
        <v>1.31</v>
      </c>
      <c r="E35920" t="s">
        <v>28</v>
      </c>
    </row>
    <row r="35921" spans="1:5" x14ac:dyDescent="0.25">
      <c r="A35921" t="str">
        <f>HYPERLINK("https://www.773grp.com/globalSearch/MC78M15BT/page-1", "MC78M15BT")</f>
        <v>MC78M15BT</v>
      </c>
      <c r="B35921" s="3" t="s">
        <v>95</v>
      </c>
      <c r="C35921" s="6">
        <v>1000</v>
      </c>
      <c r="D35921" s="7">
        <v>1.31</v>
      </c>
      <c r="E35921" t="s">
        <v>28</v>
      </c>
    </row>
    <row r="35922" spans="1:5" x14ac:dyDescent="0.25">
      <c r="A35922" t="str">
        <f>HYPERLINK("https://www.773grp.com/globalSearch/MC78M15BTG/page-1", "MC78M15BTG")</f>
        <v>MC78M15BTG</v>
      </c>
      <c r="B35922" s="3" t="s">
        <v>95</v>
      </c>
      <c r="C35922" s="6">
        <v>498</v>
      </c>
      <c r="D35922" s="7">
        <v>1.31</v>
      </c>
      <c r="E35922" t="s">
        <v>28</v>
      </c>
    </row>
    <row r="35923" spans="1:5" x14ac:dyDescent="0.25">
      <c r="A35923" t="str">
        <f>HYPERLINK("https://www.773grp.com/globalSearch/MC78M18BTG/page-1", "MC78M18BTG")</f>
        <v>MC78M18BTG</v>
      </c>
      <c r="B35923" s="3" t="s">
        <v>95</v>
      </c>
      <c r="C35923" s="6">
        <v>8850</v>
      </c>
      <c r="D35923" s="7">
        <v>1.31</v>
      </c>
      <c r="E35923" t="s">
        <v>28</v>
      </c>
    </row>
    <row r="35924" spans="1:5" x14ac:dyDescent="0.25">
      <c r="A35924" t="str">
        <f>HYPERLINK("https://www.773grp.com/globalSearch/MC79M12BTG/page-1", "MC79M12BTG")</f>
        <v>MC79M12BTG</v>
      </c>
      <c r="B35924" s="3" t="s">
        <v>95</v>
      </c>
      <c r="C35924" s="6">
        <v>30000</v>
      </c>
      <c r="D35924" s="7">
        <v>1.31</v>
      </c>
      <c r="E35924" t="s">
        <v>65</v>
      </c>
    </row>
    <row r="35925" spans="1:5" x14ac:dyDescent="0.25">
      <c r="A35925" t="str">
        <f>HYPERLINK("https://www.773grp.com/globalSearch/MC79M15BTG/page-1", "MC79M15BTG")</f>
        <v>MC79M15BTG</v>
      </c>
      <c r="B35925" s="3" t="s">
        <v>95</v>
      </c>
      <c r="C35925" s="6">
        <v>106592</v>
      </c>
      <c r="D35925" s="7">
        <v>1.31</v>
      </c>
      <c r="E35925" t="s">
        <v>65</v>
      </c>
    </row>
    <row r="35926" spans="1:5" x14ac:dyDescent="0.25">
      <c r="A35926" t="str">
        <f>HYPERLINK("https://www.773grp.com/globalSearch/MCR12LD/page-1", "MCR12LD")</f>
        <v>MCR12LD</v>
      </c>
      <c r="B35926" s="3" t="s">
        <v>95</v>
      </c>
      <c r="C35926" s="6">
        <v>77105</v>
      </c>
      <c r="D35926" s="7">
        <v>1.31</v>
      </c>
      <c r="E35926" t="s">
        <v>97</v>
      </c>
    </row>
    <row r="35927" spans="1:5" x14ac:dyDescent="0.25">
      <c r="A35927" t="str">
        <f>HYPERLINK("https://www.773grp.com/globalSearch/MCR16N/page-1", "MCR16N")</f>
        <v>MCR16N</v>
      </c>
      <c r="B35927" s="3" t="s">
        <v>95</v>
      </c>
      <c r="C35927" s="6">
        <v>111</v>
      </c>
      <c r="D35927" s="7">
        <v>1.31</v>
      </c>
      <c r="E35927" t="s">
        <v>97</v>
      </c>
    </row>
    <row r="35928" spans="1:5" x14ac:dyDescent="0.25">
      <c r="A35928" t="str">
        <f>HYPERLINK("https://www.773grp.com/globalSearch/MCR218-004/page-1", "MCR218-004")</f>
        <v>MCR218-004</v>
      </c>
      <c r="B35928" s="3" t="s">
        <v>95</v>
      </c>
      <c r="C35928" s="6">
        <v>6000</v>
      </c>
      <c r="D35928" s="7">
        <v>1.31</v>
      </c>
    </row>
    <row r="35929" spans="1:5" x14ac:dyDescent="0.25">
      <c r="A35929" t="str">
        <f>HYPERLINK("https://www.773grp.com/globalSearch/MCR218-006/page-1", "MCR218-006")</f>
        <v>MCR218-006</v>
      </c>
      <c r="B35929" s="3" t="s">
        <v>95</v>
      </c>
      <c r="C35929" s="6">
        <v>10105</v>
      </c>
      <c r="D35929" s="7">
        <v>1.31</v>
      </c>
    </row>
    <row r="35930" spans="1:5" x14ac:dyDescent="0.25">
      <c r="A35930" t="str">
        <f>HYPERLINK("https://www.773grp.com/globalSearch/MCR68-002/page-1", "MCR68-002")</f>
        <v>MCR68-002</v>
      </c>
      <c r="B35930" s="3" t="s">
        <v>95</v>
      </c>
      <c r="C35930" s="6">
        <v>500</v>
      </c>
      <c r="D35930" s="7">
        <v>1.31</v>
      </c>
    </row>
    <row r="35931" spans="1:5" x14ac:dyDescent="0.25">
      <c r="A35931" t="str">
        <f>HYPERLINK("https://www.773grp.com/globalSearch/MCR72-003/page-1", "MCR72-003")</f>
        <v>MCR72-003</v>
      </c>
      <c r="B35931" s="3" t="s">
        <v>95</v>
      </c>
      <c r="C35931" s="6">
        <v>35000</v>
      </c>
      <c r="D35931" s="7">
        <v>1.31</v>
      </c>
    </row>
    <row r="35932" spans="1:5" x14ac:dyDescent="0.25">
      <c r="A35932" t="str">
        <f>HYPERLINK("https://www.773grp.com/globalSearch/MCR72-006/page-1", "MCR72-006")</f>
        <v>MCR72-006</v>
      </c>
      <c r="B35932" s="3" t="s">
        <v>95</v>
      </c>
      <c r="C35932" s="6">
        <v>5998</v>
      </c>
      <c r="D35932" s="7">
        <v>1.31</v>
      </c>
    </row>
    <row r="35933" spans="1:5" x14ac:dyDescent="0.25">
      <c r="A35933" t="str">
        <f>HYPERLINK("https://www.773grp.com/globalSearch/MCR72-008/page-1", "MCR72-008")</f>
        <v>MCR72-008</v>
      </c>
      <c r="B35933" s="3" t="s">
        <v>95</v>
      </c>
      <c r="C35933" s="6">
        <v>500</v>
      </c>
      <c r="D35933" s="7">
        <v>1.31</v>
      </c>
    </row>
    <row r="35934" spans="1:5" x14ac:dyDescent="0.25">
      <c r="A35934" t="str">
        <f>HYPERLINK("https://www.773grp.com/globalSearch/MMDFS3P303R2/page-1", "MMDFS3P303R2")</f>
        <v>MMDFS3P303R2</v>
      </c>
      <c r="B35934" s="3" t="s">
        <v>95</v>
      </c>
      <c r="C35934" s="6">
        <v>149978</v>
      </c>
      <c r="D35934" s="7">
        <v>1.31</v>
      </c>
      <c r="E35934" t="s">
        <v>106</v>
      </c>
    </row>
    <row r="35935" spans="1:5" x14ac:dyDescent="0.25">
      <c r="A35935" t="str">
        <f>HYPERLINK("https://www.773grp.com/globalSearch/MMSF7N03HDR2/page-1", "MMSF7N03HDR2")</f>
        <v>MMSF7N03HDR2</v>
      </c>
      <c r="B35935" s="3" t="s">
        <v>95</v>
      </c>
      <c r="C35935" s="6">
        <v>317437</v>
      </c>
      <c r="D35935" s="7">
        <v>1.31</v>
      </c>
      <c r="E35935" t="s">
        <v>105</v>
      </c>
    </row>
    <row r="35936" spans="1:5" x14ac:dyDescent="0.25">
      <c r="A35936" t="str">
        <f>HYPERLINK("https://www.773grp.com/globalSearch/MTP20N06V/page-1", "MTP20N06V")</f>
        <v>MTP20N06V</v>
      </c>
      <c r="B35936" s="3" t="s">
        <v>95</v>
      </c>
      <c r="C35936" s="6">
        <v>2410</v>
      </c>
      <c r="D35936" s="7">
        <v>1.31</v>
      </c>
      <c r="E35936" t="s">
        <v>105</v>
      </c>
    </row>
    <row r="35937" spans="1:5" x14ac:dyDescent="0.25">
      <c r="A35937" t="str">
        <f>HYPERLINK("https://www.773grp.com/globalSearch/MURD620CTT4G/page-1", "MURD620CTT4G")</f>
        <v>MURD620CTT4G</v>
      </c>
      <c r="B35937" s="3" t="s">
        <v>95</v>
      </c>
      <c r="C35937" s="6">
        <v>19715</v>
      </c>
      <c r="D35937" s="7">
        <v>1.31</v>
      </c>
      <c r="E35937" t="s">
        <v>103</v>
      </c>
    </row>
    <row r="35938" spans="1:5" x14ac:dyDescent="0.25">
      <c r="A35938" t="str">
        <f>HYPERLINK("https://www.773grp.com/globalSearch/MV2111/page-1", "MV2111")</f>
        <v>MV2111</v>
      </c>
      <c r="B35938" s="3" t="s">
        <v>95</v>
      </c>
      <c r="C35938" s="6">
        <v>4000</v>
      </c>
      <c r="D35938" s="7">
        <v>1.31</v>
      </c>
      <c r="E35938" t="s">
        <v>101</v>
      </c>
    </row>
    <row r="35939" spans="1:5" x14ac:dyDescent="0.25">
      <c r="A35939" t="str">
        <f>HYPERLINK("https://www.773grp.com/globalSearch/NCL30080ASNT1G/page-1", "NCL30080ASNT1G")</f>
        <v>NCL30080ASNT1G</v>
      </c>
      <c r="B35939" s="3" t="s">
        <v>95</v>
      </c>
      <c r="C35939" s="6">
        <v>9000</v>
      </c>
      <c r="D35939" s="7">
        <v>1.31</v>
      </c>
    </row>
    <row r="35940" spans="1:5" x14ac:dyDescent="0.25">
      <c r="A35940" t="str">
        <f>HYPERLINK("https://www.773grp.com/globalSearch/NCL30080BSNT1G/page-1", "NCL30080BSNT1G")</f>
        <v>NCL30080BSNT1G</v>
      </c>
      <c r="B35940" s="3" t="s">
        <v>95</v>
      </c>
      <c r="C35940" s="6">
        <v>57000</v>
      </c>
      <c r="D35940" s="7">
        <v>1.31</v>
      </c>
    </row>
    <row r="35941" spans="1:5" x14ac:dyDescent="0.25">
      <c r="A35941" t="str">
        <f>HYPERLINK("https://www.773grp.com/globalSearch/NCL30160DR2G/page-1", "NCL30160DR2G")</f>
        <v>NCL30160DR2G</v>
      </c>
      <c r="B35941" s="3" t="s">
        <v>95</v>
      </c>
      <c r="C35941" s="6">
        <v>7500</v>
      </c>
      <c r="D35941" s="7">
        <v>1.31</v>
      </c>
    </row>
    <row r="35942" spans="1:5" x14ac:dyDescent="0.25">
      <c r="A35942" t="str">
        <f>HYPERLINK("https://www.773grp.com/globalSearch/NCN1154MUTAG/page-1", "NCN1154MUTAG")</f>
        <v>NCN1154MUTAG</v>
      </c>
      <c r="B35942" s="3" t="s">
        <v>95</v>
      </c>
      <c r="C35942" s="6">
        <v>15000</v>
      </c>
      <c r="D35942" s="7">
        <v>1.31</v>
      </c>
    </row>
    <row r="35943" spans="1:5" x14ac:dyDescent="0.25">
      <c r="A35943" t="str">
        <f>HYPERLINK("https://www.773grp.com/globalSearch/NCN1188MUTAG/page-1", "NCN1188MUTAG")</f>
        <v>NCN1188MUTAG</v>
      </c>
      <c r="B35943" s="3" t="s">
        <v>95</v>
      </c>
      <c r="C35943" s="6">
        <v>30000</v>
      </c>
      <c r="D35943" s="7">
        <v>1.31</v>
      </c>
    </row>
    <row r="35944" spans="1:5" x14ac:dyDescent="0.25">
      <c r="A35944" t="str">
        <f>HYPERLINK("https://www.773grp.com/globalSearch/NCN2500MNR2/page-1", "NCN2500MNR2")</f>
        <v>NCN2500MNR2</v>
      </c>
      <c r="B35944" s="3" t="s">
        <v>95</v>
      </c>
      <c r="C35944" s="6">
        <v>3000</v>
      </c>
      <c r="D35944" s="7">
        <v>1.31</v>
      </c>
      <c r="E35944" t="s">
        <v>21</v>
      </c>
    </row>
    <row r="35945" spans="1:5" x14ac:dyDescent="0.25">
      <c r="A35945" t="str">
        <f>HYPERLINK("https://www.773grp.com/globalSearch/NCN2500MNR2G/page-1", "NCN2500MNR2G")</f>
        <v>NCN2500MNR2G</v>
      </c>
      <c r="B35945" s="3" t="s">
        <v>95</v>
      </c>
      <c r="C35945" s="6">
        <v>5978</v>
      </c>
      <c r="D35945" s="7">
        <v>1.31</v>
      </c>
      <c r="E35945" t="s">
        <v>21</v>
      </c>
    </row>
    <row r="35946" spans="1:5" x14ac:dyDescent="0.25">
      <c r="A35946" t="str">
        <f>HYPERLINK("https://www.773grp.com/globalSearch/NCP1236AD100R2G/page-1", "NCP1236AD100R2G")</f>
        <v>NCP1236AD100R2G</v>
      </c>
      <c r="B35946" s="3" t="s">
        <v>95</v>
      </c>
      <c r="C35946" s="6">
        <v>2567</v>
      </c>
      <c r="D35946" s="7">
        <v>1.31</v>
      </c>
    </row>
    <row r="35947" spans="1:5" x14ac:dyDescent="0.25">
      <c r="A35947" t="str">
        <f>HYPERLINK("https://www.773grp.com/globalSearch/NCP1236BD65R2G/page-1", "NCP1236BD65R2G")</f>
        <v>NCP1236BD65R2G</v>
      </c>
      <c r="B35947" s="3" t="s">
        <v>95</v>
      </c>
      <c r="C35947" s="6">
        <v>10000</v>
      </c>
      <c r="D35947" s="7">
        <v>1.31</v>
      </c>
      <c r="E35947" t="s">
        <v>7</v>
      </c>
    </row>
    <row r="35948" spans="1:5" x14ac:dyDescent="0.25">
      <c r="A35948" t="str">
        <f>HYPERLINK("https://www.773grp.com/globalSearch/NCP1236DD65R2G/page-1", "NCP1236DD65R2G")</f>
        <v>NCP1236DD65R2G</v>
      </c>
      <c r="B35948" s="3" t="s">
        <v>95</v>
      </c>
      <c r="C35948" s="6">
        <v>2500</v>
      </c>
      <c r="D35948" s="7">
        <v>1.31</v>
      </c>
    </row>
    <row r="35949" spans="1:5" x14ac:dyDescent="0.25">
      <c r="A35949" t="str">
        <f>HYPERLINK("https://www.773grp.com/globalSearch/NCP1255AD65R2G/page-1", "NCP1255AD65R2G")</f>
        <v>NCP1255AD65R2G</v>
      </c>
      <c r="B35949" s="3" t="s">
        <v>95</v>
      </c>
      <c r="C35949" s="6">
        <v>7500</v>
      </c>
      <c r="D35949" s="7">
        <v>1.31</v>
      </c>
    </row>
    <row r="35950" spans="1:5" x14ac:dyDescent="0.25">
      <c r="A35950" t="str">
        <f>HYPERLINK("https://www.773grp.com/globalSearch/NCP1271D100R2G/page-1", "NCP1271D100R2G")</f>
        <v>NCP1271D100R2G</v>
      </c>
      <c r="B35950" s="3" t="s">
        <v>95</v>
      </c>
      <c r="C35950" s="6">
        <v>74612</v>
      </c>
      <c r="D35950" s="7">
        <v>1.31</v>
      </c>
      <c r="E35950" t="s">
        <v>7</v>
      </c>
    </row>
    <row r="35951" spans="1:5" x14ac:dyDescent="0.25">
      <c r="A35951" t="str">
        <f>HYPERLINK("https://www.773grp.com/globalSearch/NCP1271D65R2G/page-1", "NCP1271D65R2G")</f>
        <v>NCP1271D65R2G</v>
      </c>
      <c r="B35951" s="3" t="s">
        <v>95</v>
      </c>
      <c r="C35951" s="6">
        <v>20275</v>
      </c>
      <c r="D35951" s="7">
        <v>1.31</v>
      </c>
    </row>
    <row r="35952" spans="1:5" x14ac:dyDescent="0.25">
      <c r="A35952" t="str">
        <f>HYPERLINK("https://www.773grp.com/globalSearch/NCP1529ASNT1G/page-1", "NCP1529ASNT1G")</f>
        <v>NCP1529ASNT1G</v>
      </c>
      <c r="B35952" s="3" t="s">
        <v>95</v>
      </c>
      <c r="C35952" s="6">
        <v>12000</v>
      </c>
      <c r="D35952" s="7">
        <v>1.31</v>
      </c>
      <c r="E35952" t="s">
        <v>7</v>
      </c>
    </row>
    <row r="35953" spans="1:5" x14ac:dyDescent="0.25">
      <c r="A35953" t="str">
        <f>HYPERLINK("https://www.773grp.com/globalSearch/NCP2824FCT2G/page-1", "NCP2824FCT2G")</f>
        <v>NCP2824FCT2G</v>
      </c>
      <c r="B35953" s="3" t="s">
        <v>95</v>
      </c>
      <c r="C35953" s="6">
        <v>144000</v>
      </c>
      <c r="D35953" s="7">
        <v>1.31</v>
      </c>
      <c r="E35953" t="s">
        <v>18</v>
      </c>
    </row>
    <row r="35954" spans="1:5" x14ac:dyDescent="0.25">
      <c r="A35954" t="str">
        <f>HYPERLINK("https://www.773grp.com/globalSearch/NCP347MTAETBG/page-1", "NCP347MTAETBG")</f>
        <v>NCP347MTAETBG</v>
      </c>
      <c r="B35954" s="3" t="s">
        <v>95</v>
      </c>
      <c r="C35954" s="6">
        <v>6001</v>
      </c>
      <c r="D35954" s="7">
        <v>1.31</v>
      </c>
      <c r="E35954" t="s">
        <v>30</v>
      </c>
    </row>
    <row r="35955" spans="1:5" x14ac:dyDescent="0.25">
      <c r="A35955" t="str">
        <f>HYPERLINK("https://www.773grp.com/globalSearch/NCP347MTAFTBG/page-1", "NCP347MTAFTBG")</f>
        <v>NCP347MTAFTBG</v>
      </c>
      <c r="B35955" s="3" t="s">
        <v>95</v>
      </c>
      <c r="C35955" s="6">
        <v>10901</v>
      </c>
      <c r="D35955" s="7">
        <v>1.31</v>
      </c>
    </row>
    <row r="35956" spans="1:5" x14ac:dyDescent="0.25">
      <c r="A35956" t="str">
        <f>HYPERLINK("https://www.773grp.com/globalSearch/NCP348AEMTTBG/page-1", "NCP348AEMTTBG")</f>
        <v>NCP348AEMTTBG</v>
      </c>
      <c r="B35956" s="3" t="s">
        <v>95</v>
      </c>
      <c r="C35956" s="6">
        <v>123386</v>
      </c>
      <c r="D35956" s="7">
        <v>1.31</v>
      </c>
      <c r="E35956" t="s">
        <v>16</v>
      </c>
    </row>
    <row r="35957" spans="1:5" x14ac:dyDescent="0.25">
      <c r="A35957" t="str">
        <f>HYPERLINK("https://www.773grp.com/globalSearch/NCP348MTTBG/page-1", "NCP348MTTBG")</f>
        <v>NCP348MTTBG</v>
      </c>
      <c r="B35957" s="3" t="s">
        <v>95</v>
      </c>
      <c r="C35957" s="6">
        <v>78750</v>
      </c>
      <c r="D35957" s="7">
        <v>1.31</v>
      </c>
      <c r="E35957" t="s">
        <v>16</v>
      </c>
    </row>
    <row r="35958" spans="1:5" x14ac:dyDescent="0.25">
      <c r="A35958" t="str">
        <f>HYPERLINK("https://www.773grp.com/globalSearch/NCP360MUTBG/page-1", "NCP360MUTBG")</f>
        <v>NCP360MUTBG</v>
      </c>
      <c r="B35958" s="3" t="s">
        <v>95</v>
      </c>
      <c r="C35958" s="6">
        <v>89537</v>
      </c>
      <c r="D35958" s="7">
        <v>1.31</v>
      </c>
      <c r="E35958" t="s">
        <v>11</v>
      </c>
    </row>
    <row r="35959" spans="1:5" x14ac:dyDescent="0.25">
      <c r="A35959" t="str">
        <f>HYPERLINK("https://www.773grp.com/globalSearch/NCP361MUTBG/page-1", "NCP361MUTBG")</f>
        <v>NCP361MUTBG</v>
      </c>
      <c r="B35959" s="3" t="s">
        <v>95</v>
      </c>
      <c r="C35959" s="6">
        <v>36758</v>
      </c>
      <c r="D35959" s="7">
        <v>1.31</v>
      </c>
    </row>
    <row r="35960" spans="1:5" x14ac:dyDescent="0.25">
      <c r="A35960" t="str">
        <f>HYPERLINK("https://www.773grp.com/globalSearch/NCP4515SN18T1/page-1", "NCP4515SN18T1")</f>
        <v>NCP4515SN18T1</v>
      </c>
      <c r="B35960" s="3" t="s">
        <v>95</v>
      </c>
      <c r="C35960" s="6">
        <v>3000</v>
      </c>
      <c r="D35960" s="7">
        <v>1.31</v>
      </c>
    </row>
    <row r="35961" spans="1:5" x14ac:dyDescent="0.25">
      <c r="A35961" t="str">
        <f>HYPERLINK("https://www.773grp.com/globalSearch/NCP4515SN28T1/page-1", "NCP4515SN28T1")</f>
        <v>NCP4515SN28T1</v>
      </c>
      <c r="B35961" s="3" t="s">
        <v>95</v>
      </c>
      <c r="C35961" s="6">
        <v>29700</v>
      </c>
      <c r="D35961" s="7">
        <v>1.31</v>
      </c>
    </row>
    <row r="35962" spans="1:5" x14ac:dyDescent="0.25">
      <c r="A35962" t="str">
        <f>HYPERLINK("https://www.773grp.com/globalSearch/NCP4515SN30T1/page-1", "NCP4515SN30T1")</f>
        <v>NCP4515SN30T1</v>
      </c>
      <c r="B35962" s="3" t="s">
        <v>95</v>
      </c>
      <c r="C35962" s="6">
        <v>30000</v>
      </c>
      <c r="D35962" s="7">
        <v>1.31</v>
      </c>
    </row>
    <row r="35963" spans="1:5" x14ac:dyDescent="0.25">
      <c r="A35963" t="str">
        <f>HYPERLINK("https://www.773grp.com/globalSearch/NCP4515SN33T1/page-1", "NCP4515SN33T1")</f>
        <v>NCP4515SN33T1</v>
      </c>
      <c r="B35963" s="3" t="s">
        <v>95</v>
      </c>
      <c r="C35963" s="6">
        <v>30000</v>
      </c>
      <c r="D35963" s="7">
        <v>1.31</v>
      </c>
    </row>
    <row r="35964" spans="1:5" x14ac:dyDescent="0.25">
      <c r="A35964" t="str">
        <f>HYPERLINK("https://www.773grp.com/globalSearch/NCP4555SN18T1/page-1", "NCP4555SN18T1")</f>
        <v>NCP4555SN18T1</v>
      </c>
      <c r="B35964" s="3" t="s">
        <v>95</v>
      </c>
      <c r="C35964" s="6">
        <v>3000</v>
      </c>
      <c r="D35964" s="7">
        <v>1.31</v>
      </c>
    </row>
    <row r="35965" spans="1:5" x14ac:dyDescent="0.25">
      <c r="A35965" t="str">
        <f>HYPERLINK("https://www.773grp.com/globalSearch/NCP4555SN28T1/page-1", "NCP4555SN28T1")</f>
        <v>NCP4555SN28T1</v>
      </c>
      <c r="B35965" s="3" t="s">
        <v>95</v>
      </c>
      <c r="C35965" s="6">
        <v>26700</v>
      </c>
      <c r="D35965" s="7">
        <v>1.31</v>
      </c>
    </row>
    <row r="35966" spans="1:5" x14ac:dyDescent="0.25">
      <c r="A35966" t="str">
        <f>HYPERLINK("https://www.773grp.com/globalSearch/NCP4555SN30T1/page-1", "NCP4555SN30T1")</f>
        <v>NCP4555SN30T1</v>
      </c>
      <c r="B35966" s="3" t="s">
        <v>95</v>
      </c>
      <c r="C35966" s="6">
        <v>30000</v>
      </c>
      <c r="D35966" s="7">
        <v>1.31</v>
      </c>
    </row>
    <row r="35967" spans="1:5" x14ac:dyDescent="0.25">
      <c r="A35967" t="str">
        <f>HYPERLINK("https://www.773grp.com/globalSearch/NCP4555SN33T1/page-1", "NCP4555SN33T1")</f>
        <v>NCP4555SN33T1</v>
      </c>
      <c r="B35967" s="3" t="s">
        <v>95</v>
      </c>
      <c r="C35967" s="6">
        <v>30000</v>
      </c>
      <c r="D35967" s="7">
        <v>1.31</v>
      </c>
    </row>
    <row r="35968" spans="1:5" x14ac:dyDescent="0.25">
      <c r="A35968" t="str">
        <f>HYPERLINK("https://www.773grp.com/globalSearch/NCP4561SN28T1/page-1", "NCP4561SN28T1")</f>
        <v>NCP4561SN28T1</v>
      </c>
      <c r="B35968" s="3" t="s">
        <v>95</v>
      </c>
      <c r="C35968" s="6">
        <v>20950</v>
      </c>
      <c r="D35968" s="7">
        <v>1.31</v>
      </c>
      <c r="E35968" t="s">
        <v>19</v>
      </c>
    </row>
    <row r="35969" spans="1:4" x14ac:dyDescent="0.25">
      <c r="A35969" t="str">
        <f>HYPERLINK("https://www.773grp.com/globalSearch/NCP4585SN28T1/page-1", "NCP4585SN28T1")</f>
        <v>NCP4585SN28T1</v>
      </c>
      <c r="B35969" s="3" t="s">
        <v>95</v>
      </c>
      <c r="C35969" s="6">
        <v>30000</v>
      </c>
      <c r="D35969" s="7">
        <v>1.31</v>
      </c>
    </row>
    <row r="35970" spans="1:4" x14ac:dyDescent="0.25">
      <c r="A35970" t="str">
        <f>HYPERLINK("https://www.773grp.com/globalSearch/NCP4585SN30T1/page-1", "NCP4585SN30T1")</f>
        <v>NCP4585SN30T1</v>
      </c>
      <c r="B35970" s="3" t="s">
        <v>95</v>
      </c>
      <c r="C35970" s="6">
        <v>30000</v>
      </c>
      <c r="D35970" s="7">
        <v>1.31</v>
      </c>
    </row>
    <row r="35971" spans="1:4" x14ac:dyDescent="0.25">
      <c r="A35971" t="str">
        <f>HYPERLINK("https://www.773grp.com/globalSearch/NCP4585SN33T1/page-1", "NCP4585SN33T1")</f>
        <v>NCP4585SN33T1</v>
      </c>
      <c r="B35971" s="3" t="s">
        <v>95</v>
      </c>
      <c r="C35971" s="6">
        <v>30000</v>
      </c>
      <c r="D35971" s="7">
        <v>1.31</v>
      </c>
    </row>
    <row r="35972" spans="1:4" x14ac:dyDescent="0.25">
      <c r="A35972" t="str">
        <f>HYPERLINK("https://www.773grp.com/globalSearch/NCP4586SN285T1/page-1", "NCP4586SN285T1")</f>
        <v>NCP4586SN285T1</v>
      </c>
      <c r="B35972" s="3" t="s">
        <v>95</v>
      </c>
      <c r="C35972" s="6">
        <v>3000</v>
      </c>
      <c r="D35972" s="7">
        <v>1.31</v>
      </c>
    </row>
    <row r="35973" spans="1:4" x14ac:dyDescent="0.25">
      <c r="A35973" t="str">
        <f>HYPERLINK("https://www.773grp.com/globalSearch/NCP4586SN28T1/page-1", "NCP4586SN28T1")</f>
        <v>NCP4586SN28T1</v>
      </c>
      <c r="B35973" s="3" t="s">
        <v>95</v>
      </c>
      <c r="C35973" s="6">
        <v>3000</v>
      </c>
      <c r="D35973" s="7">
        <v>1.31</v>
      </c>
    </row>
    <row r="35974" spans="1:4" x14ac:dyDescent="0.25">
      <c r="A35974" t="str">
        <f>HYPERLINK("https://www.773grp.com/globalSearch/NCP4586SN30T1/page-1", "NCP4586SN30T1")</f>
        <v>NCP4586SN30T1</v>
      </c>
      <c r="B35974" s="3" t="s">
        <v>95</v>
      </c>
      <c r="C35974" s="6">
        <v>30000</v>
      </c>
      <c r="D35974" s="7">
        <v>1.31</v>
      </c>
    </row>
    <row r="35975" spans="1:4" x14ac:dyDescent="0.25">
      <c r="A35975" t="str">
        <f>HYPERLINK("https://www.773grp.com/globalSearch/NCP4586SN33T1/page-1", "NCP4586SN33T1")</f>
        <v>NCP4586SN33T1</v>
      </c>
      <c r="B35975" s="3" t="s">
        <v>95</v>
      </c>
      <c r="C35975" s="6">
        <v>30000</v>
      </c>
      <c r="D35975" s="7">
        <v>1.31</v>
      </c>
    </row>
    <row r="35976" spans="1:4" x14ac:dyDescent="0.25">
      <c r="A35976" t="str">
        <f>HYPERLINK("https://www.773grp.com/globalSearch/NCP4587DMX12TCG/page-1", "NCP4587DMX12TCG")</f>
        <v>NCP4587DMX12TCG</v>
      </c>
      <c r="B35976" s="3" t="s">
        <v>95</v>
      </c>
      <c r="C35976" s="6">
        <v>45000</v>
      </c>
      <c r="D35976" s="7">
        <v>1.31</v>
      </c>
    </row>
    <row r="35977" spans="1:4" x14ac:dyDescent="0.25">
      <c r="A35977" t="str">
        <f>HYPERLINK("https://www.773grp.com/globalSearch/NCP4587DMX18TCG/page-1", "NCP4587DMX18TCG")</f>
        <v>NCP4587DMX18TCG</v>
      </c>
      <c r="B35977" s="3" t="s">
        <v>95</v>
      </c>
      <c r="C35977" s="6">
        <v>30000</v>
      </c>
      <c r="D35977" s="7">
        <v>1.31</v>
      </c>
    </row>
    <row r="35978" spans="1:4" x14ac:dyDescent="0.25">
      <c r="A35978" t="str">
        <f>HYPERLINK("https://www.773grp.com/globalSearch/NCP4587DMX28TCG/page-1", "NCP4587DMX28TCG")</f>
        <v>NCP4587DMX28TCG</v>
      </c>
      <c r="B35978" s="3" t="s">
        <v>95</v>
      </c>
      <c r="C35978" s="6">
        <v>20000</v>
      </c>
      <c r="D35978" s="7">
        <v>1.31</v>
      </c>
    </row>
    <row r="35979" spans="1:4" x14ac:dyDescent="0.25">
      <c r="A35979" t="str">
        <f>HYPERLINK("https://www.773grp.com/globalSearch/NCP4587DMX30TCG/page-1", "NCP4587DMX30TCG")</f>
        <v>NCP4587DMX30TCG</v>
      </c>
      <c r="B35979" s="3" t="s">
        <v>95</v>
      </c>
      <c r="C35979" s="6">
        <v>30000</v>
      </c>
      <c r="D35979" s="7">
        <v>1.31</v>
      </c>
    </row>
    <row r="35980" spans="1:4" x14ac:dyDescent="0.25">
      <c r="A35980" t="str">
        <f>HYPERLINK("https://www.773grp.com/globalSearch/NCP4587DMX33TCG/page-1", "NCP4587DMX33TCG")</f>
        <v>NCP4587DMX33TCG</v>
      </c>
      <c r="B35980" s="3" t="s">
        <v>95</v>
      </c>
      <c r="C35980" s="6">
        <v>20000</v>
      </c>
      <c r="D35980" s="7">
        <v>1.31</v>
      </c>
    </row>
    <row r="35981" spans="1:4" x14ac:dyDescent="0.25">
      <c r="A35981" t="str">
        <f>HYPERLINK("https://www.773grp.com/globalSearch/NCP4588DMX10TCG/page-1", "NCP4588DMX10TCG")</f>
        <v>NCP4588DMX10TCG</v>
      </c>
      <c r="B35981" s="3" t="s">
        <v>95</v>
      </c>
      <c r="C35981" s="6">
        <v>25000</v>
      </c>
      <c r="D35981" s="7">
        <v>1.31</v>
      </c>
    </row>
    <row r="35982" spans="1:4" x14ac:dyDescent="0.25">
      <c r="A35982" t="str">
        <f>HYPERLINK("https://www.773grp.com/globalSearch/NCP4588DMX15TCG/page-1", "NCP4588DMX15TCG")</f>
        <v>NCP4588DMX15TCG</v>
      </c>
      <c r="B35982" s="3" t="s">
        <v>95</v>
      </c>
      <c r="C35982" s="6">
        <v>30000</v>
      </c>
      <c r="D35982" s="7">
        <v>1.31</v>
      </c>
    </row>
    <row r="35983" spans="1:4" x14ac:dyDescent="0.25">
      <c r="A35983" t="str">
        <f>HYPERLINK("https://www.773grp.com/globalSearch/NCP4588DMX25TCG/page-1", "NCP4588DMX25TCG")</f>
        <v>NCP4588DMX25TCG</v>
      </c>
      <c r="B35983" s="3" t="s">
        <v>95</v>
      </c>
      <c r="C35983" s="6">
        <v>25000</v>
      </c>
      <c r="D35983" s="7">
        <v>1.31</v>
      </c>
    </row>
    <row r="35984" spans="1:4" x14ac:dyDescent="0.25">
      <c r="A35984" t="str">
        <f>HYPERLINK("https://www.773grp.com/globalSearch/NCP4588DSQ10T1G/page-1", "NCP4588DSQ10T1G")</f>
        <v>NCP4588DSQ10T1G</v>
      </c>
      <c r="B35984" s="3" t="s">
        <v>95</v>
      </c>
      <c r="C35984" s="6">
        <v>9000</v>
      </c>
      <c r="D35984" s="7">
        <v>1.31</v>
      </c>
    </row>
    <row r="35985" spans="1:5" x14ac:dyDescent="0.25">
      <c r="A35985" t="str">
        <f>HYPERLINK("https://www.773grp.com/globalSearch/NCP4588DSQ15T1G/page-1", "NCP4588DSQ15T1G")</f>
        <v>NCP4588DSQ15T1G</v>
      </c>
      <c r="B35985" s="3" t="s">
        <v>95</v>
      </c>
      <c r="C35985" s="6">
        <v>3000</v>
      </c>
      <c r="D35985" s="7">
        <v>1.31</v>
      </c>
    </row>
    <row r="35986" spans="1:5" x14ac:dyDescent="0.25">
      <c r="A35986" t="str">
        <f>HYPERLINK("https://www.773grp.com/globalSearch/NCP4588DSQ25T1G/page-1", "NCP4588DSQ25T1G")</f>
        <v>NCP4588DSQ25T1G</v>
      </c>
      <c r="B35986" s="3" t="s">
        <v>95</v>
      </c>
      <c r="C35986" s="6">
        <v>18000</v>
      </c>
      <c r="D35986" s="7">
        <v>1.31</v>
      </c>
    </row>
    <row r="35987" spans="1:5" x14ac:dyDescent="0.25">
      <c r="A35987" t="str">
        <f>HYPERLINK("https://www.773grp.com/globalSearch/NCP4620DSN15T1G/page-1", "NCP4620DSN15T1G")</f>
        <v>NCP4620DSN15T1G</v>
      </c>
      <c r="B35987" s="3" t="s">
        <v>95</v>
      </c>
      <c r="C35987" s="6">
        <v>9000</v>
      </c>
      <c r="D35987" s="7">
        <v>1.31</v>
      </c>
    </row>
    <row r="35988" spans="1:5" x14ac:dyDescent="0.25">
      <c r="A35988" t="str">
        <f>HYPERLINK("https://www.773grp.com/globalSearch/NCP4620DSN30T1G/page-1", "NCP4620DSN30T1G")</f>
        <v>NCP4620DSN30T1G</v>
      </c>
      <c r="B35988" s="3" t="s">
        <v>95</v>
      </c>
      <c r="C35988" s="6">
        <v>3000</v>
      </c>
      <c r="D35988" s="7">
        <v>1.31</v>
      </c>
    </row>
    <row r="35989" spans="1:5" x14ac:dyDescent="0.25">
      <c r="A35989" t="str">
        <f>HYPERLINK("https://www.773grp.com/globalSearch/NCP4620HSN15T1G/page-1", "NCP4620HSN15T1G")</f>
        <v>NCP4620HSN15T1G</v>
      </c>
      <c r="B35989" s="3" t="s">
        <v>95</v>
      </c>
      <c r="C35989" s="6">
        <v>3000</v>
      </c>
      <c r="D35989" s="7">
        <v>1.31</v>
      </c>
    </row>
    <row r="35990" spans="1:5" x14ac:dyDescent="0.25">
      <c r="A35990" t="str">
        <f>HYPERLINK("https://www.773grp.com/globalSearch/NCP4620HSN33T1G/page-1", "NCP4620HSN33T1G")</f>
        <v>NCP4620HSN33T1G</v>
      </c>
      <c r="B35990" s="3" t="s">
        <v>95</v>
      </c>
      <c r="C35990" s="6">
        <v>3000</v>
      </c>
      <c r="D35990" s="7">
        <v>1.31</v>
      </c>
    </row>
    <row r="35991" spans="1:5" x14ac:dyDescent="0.25">
      <c r="A35991" t="str">
        <f>HYPERLINK("https://www.773grp.com/globalSearch/NCP4620HSN50T1G/page-1", "NCP4620HSN50T1G")</f>
        <v>NCP4620HSN50T1G</v>
      </c>
      <c r="B35991" s="3" t="s">
        <v>95</v>
      </c>
      <c r="C35991" s="6">
        <v>3000</v>
      </c>
      <c r="D35991" s="7">
        <v>1.31</v>
      </c>
    </row>
    <row r="35992" spans="1:5" x14ac:dyDescent="0.25">
      <c r="A35992" t="str">
        <f>HYPERLINK("https://www.773grp.com/globalSearch/NCP51460SN33T1G/page-1", "NCP51460SN33T1G")</f>
        <v>NCP51460SN33T1G</v>
      </c>
      <c r="B35992" s="3" t="s">
        <v>95</v>
      </c>
      <c r="C35992" s="6">
        <v>5000</v>
      </c>
      <c r="D35992" s="7">
        <v>1.31</v>
      </c>
    </row>
    <row r="35993" spans="1:5" x14ac:dyDescent="0.25">
      <c r="A35993" t="str">
        <f>HYPERLINK("https://www.773grp.com/globalSearch/NCP5269MNTWG/page-1", "NCP5269MNTWG")</f>
        <v>NCP5269MNTWG</v>
      </c>
      <c r="B35993" s="3" t="s">
        <v>95</v>
      </c>
      <c r="C35993" s="6">
        <v>12000</v>
      </c>
      <c r="D35993" s="7">
        <v>1.31</v>
      </c>
    </row>
    <row r="35994" spans="1:5" x14ac:dyDescent="0.25">
      <c r="A35994" t="str">
        <f>HYPERLINK("https://www.773grp.com/globalSearch/NCP5351DG/page-1", "NCP5351DG")</f>
        <v>NCP5351DG</v>
      </c>
      <c r="B35994" s="3" t="s">
        <v>95</v>
      </c>
      <c r="C35994" s="6">
        <v>882</v>
      </c>
      <c r="D35994" s="7">
        <v>1.31</v>
      </c>
      <c r="E35994" t="s">
        <v>16</v>
      </c>
    </row>
    <row r="35995" spans="1:5" x14ac:dyDescent="0.25">
      <c r="A35995" t="str">
        <f>HYPERLINK("https://www.773grp.com/globalSearch/NCP5351DR2G/page-1", "NCP5351DR2G")</f>
        <v>NCP5351DR2G</v>
      </c>
      <c r="B35995" s="3" t="s">
        <v>95</v>
      </c>
      <c r="C35995" s="6">
        <v>10000</v>
      </c>
      <c r="D35995" s="7">
        <v>1.31</v>
      </c>
    </row>
    <row r="35996" spans="1:5" x14ac:dyDescent="0.25">
      <c r="A35996" t="str">
        <f>HYPERLINK("https://www.773grp.com/globalSearch/NCP583SQ15T1G/page-1", "NCP583SQ15T1G")</f>
        <v>NCP583SQ15T1G</v>
      </c>
      <c r="B35996" s="3" t="s">
        <v>95</v>
      </c>
      <c r="C35996" s="6">
        <v>7710</v>
      </c>
      <c r="D35996" s="7">
        <v>1.31</v>
      </c>
      <c r="E35996" t="s">
        <v>19</v>
      </c>
    </row>
    <row r="35997" spans="1:5" x14ac:dyDescent="0.25">
      <c r="A35997" t="str">
        <f>HYPERLINK("https://www.773grp.com/globalSearch/NCP583SQ25T1G/page-1", "NCP583SQ25T1G")</f>
        <v>NCP583SQ25T1G</v>
      </c>
      <c r="B35997" s="3" t="s">
        <v>95</v>
      </c>
      <c r="C35997" s="6">
        <v>3000</v>
      </c>
      <c r="D35997" s="7">
        <v>1.31</v>
      </c>
    </row>
    <row r="35998" spans="1:5" x14ac:dyDescent="0.25">
      <c r="A35998" t="str">
        <f>HYPERLINK("https://www.773grp.com/globalSearch/NCP583SQ33T1G/page-1", "NCP583SQ33T1G")</f>
        <v>NCP583SQ33T1G</v>
      </c>
      <c r="B35998" s="3" t="s">
        <v>95</v>
      </c>
      <c r="C35998" s="6">
        <v>9000</v>
      </c>
      <c r="D35998" s="7">
        <v>1.31</v>
      </c>
    </row>
    <row r="35999" spans="1:5" x14ac:dyDescent="0.25">
      <c r="A35999" t="str">
        <f>HYPERLINK("https://www.773grp.com/globalSearch/NCP630GD2TR4/page-1", "NCP630GD2TR4")</f>
        <v>NCP630GD2TR4</v>
      </c>
      <c r="B35999" s="3" t="s">
        <v>95</v>
      </c>
      <c r="C35999" s="6">
        <v>4000</v>
      </c>
      <c r="D35999" s="7">
        <v>1.31</v>
      </c>
      <c r="E35999" t="s">
        <v>19</v>
      </c>
    </row>
    <row r="36000" spans="1:5" x14ac:dyDescent="0.25">
      <c r="A36000" t="str">
        <f>HYPERLINK("https://www.773grp.com/globalSearch/NCV431BVDMR2G/page-1", "NCV431BVDMR2G")</f>
        <v>NCV431BVDMR2G</v>
      </c>
      <c r="B36000" s="3" t="s">
        <v>95</v>
      </c>
      <c r="C36000" s="6">
        <v>11100</v>
      </c>
      <c r="D36000" s="7">
        <v>1.31</v>
      </c>
    </row>
    <row r="36001" spans="1:5" x14ac:dyDescent="0.25">
      <c r="A36001" t="str">
        <f>HYPERLINK("https://www.773grp.com/globalSearch/NCV553SQ15T1G/page-1", "NCV553SQ15T1G")</f>
        <v>NCV553SQ15T1G</v>
      </c>
      <c r="B36001" s="3" t="s">
        <v>95</v>
      </c>
      <c r="C36001" s="6">
        <v>6000</v>
      </c>
      <c r="D36001" s="7">
        <v>1.31</v>
      </c>
    </row>
    <row r="36002" spans="1:5" x14ac:dyDescent="0.25">
      <c r="A36002" t="str">
        <f>HYPERLINK("https://www.773grp.com/globalSearch/NCV553SQ50T1G/page-1", "NCV553SQ50T1G")</f>
        <v>NCV553SQ50T1G</v>
      </c>
      <c r="B36002" s="3" t="s">
        <v>95</v>
      </c>
      <c r="C36002" s="6">
        <v>5559</v>
      </c>
      <c r="D36002" s="7">
        <v>1.31</v>
      </c>
    </row>
    <row r="36003" spans="1:5" x14ac:dyDescent="0.25">
      <c r="A36003" t="str">
        <f>HYPERLINK("https://www.773grp.com/globalSearch/NCV78M05ABDTRKG/page-1", "NCV78M05ABDTRKG")</f>
        <v>NCV78M05ABDTRKG</v>
      </c>
      <c r="B36003" s="3" t="s">
        <v>95</v>
      </c>
      <c r="C36003" s="6">
        <v>2500</v>
      </c>
      <c r="D36003" s="7">
        <v>1.31</v>
      </c>
    </row>
    <row r="36004" spans="1:5" x14ac:dyDescent="0.25">
      <c r="A36004" t="str">
        <f>HYPERLINK("https://www.773grp.com/globalSearch/NCV8560SN130T1G/page-1", "NCV8560SN130T1G")</f>
        <v>NCV8560SN130T1G</v>
      </c>
      <c r="B36004" s="3" t="s">
        <v>95</v>
      </c>
      <c r="C36004" s="6">
        <v>11000</v>
      </c>
      <c r="D36004" s="7">
        <v>1.31</v>
      </c>
      <c r="E36004" t="s">
        <v>19</v>
      </c>
    </row>
    <row r="36005" spans="1:5" x14ac:dyDescent="0.25">
      <c r="A36005" t="str">
        <f>HYPERLINK("https://www.773grp.com/globalSearch/NCV8560SN150T1G/page-1", "NCV8560SN150T1G")</f>
        <v>NCV8560SN150T1G</v>
      </c>
      <c r="B36005" s="3" t="s">
        <v>95</v>
      </c>
      <c r="C36005" s="6">
        <v>3000</v>
      </c>
      <c r="D36005" s="7">
        <v>1.31</v>
      </c>
      <c r="E36005" t="s">
        <v>19</v>
      </c>
    </row>
    <row r="36006" spans="1:5" x14ac:dyDescent="0.25">
      <c r="A36006" t="str">
        <f>HYPERLINK("https://www.773grp.com/globalSearch/NCV8560SN180T1G/page-1", "NCV8560SN180T1G")</f>
        <v>NCV8560SN180T1G</v>
      </c>
      <c r="B36006" s="3" t="s">
        <v>95</v>
      </c>
      <c r="C36006" s="6">
        <v>36000</v>
      </c>
      <c r="D36006" s="7">
        <v>1.31</v>
      </c>
      <c r="E36006" t="s">
        <v>19</v>
      </c>
    </row>
    <row r="36007" spans="1:5" x14ac:dyDescent="0.25">
      <c r="A36007" t="str">
        <f>HYPERLINK("https://www.773grp.com/globalSearch/NCV8560SN280T1G/page-1", "NCV8560SN280T1G")</f>
        <v>NCV8560SN280T1G</v>
      </c>
      <c r="B36007" s="3" t="s">
        <v>95</v>
      </c>
      <c r="C36007" s="6">
        <v>18000</v>
      </c>
      <c r="D36007" s="7">
        <v>1.31</v>
      </c>
    </row>
    <row r="36008" spans="1:5" x14ac:dyDescent="0.25">
      <c r="A36008" t="str">
        <f>HYPERLINK("https://www.773grp.com/globalSearch/NCV8560SN300T1G/page-1", "NCV8560SN300T1G")</f>
        <v>NCV8560SN300T1G</v>
      </c>
      <c r="B36008" s="3" t="s">
        <v>95</v>
      </c>
      <c r="C36008" s="6">
        <v>5875</v>
      </c>
      <c r="D36008" s="7">
        <v>1.31</v>
      </c>
    </row>
    <row r="36009" spans="1:5" x14ac:dyDescent="0.25">
      <c r="A36009" t="str">
        <f>HYPERLINK("https://www.773grp.com/globalSearch/NCV8560SN350T1G/page-1", "NCV8560SN350T1G")</f>
        <v>NCV8560SN350T1G</v>
      </c>
      <c r="B36009" s="3" t="s">
        <v>95</v>
      </c>
      <c r="C36009" s="6">
        <v>3930</v>
      </c>
      <c r="D36009" s="7">
        <v>1.31</v>
      </c>
    </row>
    <row r="36010" spans="1:5" x14ac:dyDescent="0.25">
      <c r="A36010" t="str">
        <f>HYPERLINK("https://www.773grp.com/globalSearch/NCV8560SN500T1G/page-1", "NCV8560SN500T1G")</f>
        <v>NCV8560SN500T1G</v>
      </c>
      <c r="B36010" s="3" t="s">
        <v>95</v>
      </c>
      <c r="C36010" s="6">
        <v>14510</v>
      </c>
      <c r="D36010" s="7">
        <v>1.31</v>
      </c>
      <c r="E36010" t="s">
        <v>19</v>
      </c>
    </row>
    <row r="36011" spans="1:5" x14ac:dyDescent="0.25">
      <c r="A36011" t="str">
        <f>HYPERLINK("https://www.773grp.com/globalSearch/NCV8560SNADJT1G/page-1", "NCV8560SNADJT1G")</f>
        <v>NCV8560SNADJT1G</v>
      </c>
      <c r="B36011" s="3" t="s">
        <v>95</v>
      </c>
      <c r="C36011" s="6">
        <v>15000</v>
      </c>
      <c r="D36011" s="7">
        <v>1.31</v>
      </c>
      <c r="E36011" t="s">
        <v>25</v>
      </c>
    </row>
    <row r="36012" spans="1:5" x14ac:dyDescent="0.25">
      <c r="A36012" t="str">
        <f>HYPERLINK("https://www.773grp.com/globalSearch/NDD04N60Z-1G/page-1", "NDD04N60Z-1G")</f>
        <v>NDD04N60Z-1G</v>
      </c>
      <c r="B36012" s="3" t="s">
        <v>95</v>
      </c>
      <c r="C36012" s="6">
        <v>525</v>
      </c>
      <c r="D36012" s="7">
        <v>1.31</v>
      </c>
    </row>
    <row r="36013" spans="1:5" x14ac:dyDescent="0.25">
      <c r="A36013" t="str">
        <f>HYPERLINK("https://www.773grp.com/globalSearch/NDD04N60ZT4G/page-1", "NDD04N60ZT4G")</f>
        <v>NDD04N60ZT4G</v>
      </c>
      <c r="B36013" s="3" t="s">
        <v>95</v>
      </c>
      <c r="C36013" s="6">
        <v>17500</v>
      </c>
      <c r="D36013" s="7">
        <v>1.31</v>
      </c>
      <c r="E36013" t="s">
        <v>105</v>
      </c>
    </row>
    <row r="36014" spans="1:5" x14ac:dyDescent="0.25">
      <c r="A36014" t="str">
        <f>HYPERLINK("https://www.773grp.com/globalSearch/NDD05N50Z-1G/page-1", "NDD05N50Z-1G")</f>
        <v>NDD05N50Z-1G</v>
      </c>
      <c r="B36014" s="3" t="s">
        <v>95</v>
      </c>
      <c r="C36014" s="6">
        <v>644225</v>
      </c>
      <c r="D36014" s="7">
        <v>1.31</v>
      </c>
      <c r="E36014" t="s">
        <v>105</v>
      </c>
    </row>
    <row r="36015" spans="1:5" x14ac:dyDescent="0.25">
      <c r="A36015" t="str">
        <f>HYPERLINK("https://www.773grp.com/globalSearch/NDD05N50ZT4G/page-1", "NDD05N50ZT4G")</f>
        <v>NDD05N50ZT4G</v>
      </c>
      <c r="B36015" s="3" t="s">
        <v>95</v>
      </c>
      <c r="C36015" s="6">
        <v>262500</v>
      </c>
      <c r="D36015" s="7">
        <v>1.31</v>
      </c>
      <c r="E36015" t="s">
        <v>105</v>
      </c>
    </row>
    <row r="36016" spans="1:5" x14ac:dyDescent="0.25">
      <c r="A36016" t="str">
        <f>HYPERLINK("https://www.773grp.com/globalSearch/NDF05N50ZG/page-1", "NDF05N50ZG")</f>
        <v>NDF05N50ZG</v>
      </c>
      <c r="B36016" s="3" t="s">
        <v>95</v>
      </c>
      <c r="C36016" s="6">
        <v>26180</v>
      </c>
      <c r="D36016" s="7">
        <v>1.31</v>
      </c>
      <c r="E36016" t="s">
        <v>105</v>
      </c>
    </row>
    <row r="36017" spans="1:5" x14ac:dyDescent="0.25">
      <c r="A36017" t="str">
        <f>HYPERLINK("https://www.773grp.com/globalSearch/NL7SZ18MUR2G/page-1", "NL7SZ18MUR2G")</f>
        <v>NL7SZ18MUR2G</v>
      </c>
      <c r="B36017" s="3" t="s">
        <v>95</v>
      </c>
      <c r="C36017" s="6">
        <v>59445</v>
      </c>
      <c r="D36017" s="7">
        <v>1.31</v>
      </c>
      <c r="E36017" t="s">
        <v>36</v>
      </c>
    </row>
    <row r="36018" spans="1:5" x14ac:dyDescent="0.25">
      <c r="A36018" t="str">
        <f>HYPERLINK("https://www.773grp.com/globalSearch/NL7SZ19MUR2G/page-1", "NL7SZ19MUR2G")</f>
        <v>NL7SZ19MUR2G</v>
      </c>
      <c r="B36018" s="3" t="s">
        <v>95</v>
      </c>
      <c r="C36018" s="6">
        <v>26248</v>
      </c>
      <c r="D36018" s="7">
        <v>1.31</v>
      </c>
      <c r="E36018" t="s">
        <v>36</v>
      </c>
    </row>
    <row r="36019" spans="1:5" x14ac:dyDescent="0.25">
      <c r="A36019" t="str">
        <f>HYPERLINK("https://www.773grp.com/globalSearch/NLAS1053USG/page-1", "NLAS1053USG")</f>
        <v>NLAS1053USG</v>
      </c>
      <c r="B36019" s="3" t="s">
        <v>95</v>
      </c>
      <c r="C36019" s="6">
        <v>1571005</v>
      </c>
      <c r="D36019" s="7">
        <v>1.31</v>
      </c>
      <c r="E36019" t="s">
        <v>56</v>
      </c>
    </row>
    <row r="36020" spans="1:5" x14ac:dyDescent="0.25">
      <c r="A36020" t="str">
        <f>HYPERLINK("https://www.773grp.com/globalSearch/NLAS3158MNR2G/page-1", "NLAS3158MNR2G")</f>
        <v>NLAS3158MNR2G</v>
      </c>
      <c r="B36020" s="3" t="s">
        <v>95</v>
      </c>
      <c r="C36020" s="6">
        <v>391844</v>
      </c>
      <c r="D36020" s="7">
        <v>1.31</v>
      </c>
      <c r="E36020" t="s">
        <v>56</v>
      </c>
    </row>
    <row r="36021" spans="1:5" x14ac:dyDescent="0.25">
      <c r="A36021" t="str">
        <f>HYPERLINK("https://www.773grp.com/globalSearch/NLAS324USG/page-1", "NLAS324USG")</f>
        <v>NLAS324USG</v>
      </c>
      <c r="B36021" s="3" t="s">
        <v>95</v>
      </c>
      <c r="C36021" s="6">
        <v>35635</v>
      </c>
      <c r="D36021" s="7">
        <v>1.31</v>
      </c>
      <c r="E36021" t="s">
        <v>56</v>
      </c>
    </row>
    <row r="36022" spans="1:5" x14ac:dyDescent="0.25">
      <c r="A36022" t="str">
        <f>HYPERLINK("https://www.773grp.com/globalSearch/NLAS325USG/page-1", "NLAS325USG")</f>
        <v>NLAS325USG</v>
      </c>
      <c r="B36022" s="3" t="s">
        <v>95</v>
      </c>
      <c r="C36022" s="6">
        <v>9611</v>
      </c>
      <c r="D36022" s="7">
        <v>1.31</v>
      </c>
      <c r="E36022" t="s">
        <v>56</v>
      </c>
    </row>
    <row r="36023" spans="1:5" x14ac:dyDescent="0.25">
      <c r="A36023" t="str">
        <f>HYPERLINK("https://www.773grp.com/globalSearch/NLAS3899BMNTBG/page-1", "NLAS3899BMNTBG")</f>
        <v>NLAS3899BMNTBG</v>
      </c>
      <c r="B36023" s="3" t="s">
        <v>95</v>
      </c>
      <c r="C36023" s="6">
        <v>5833</v>
      </c>
      <c r="D36023" s="7">
        <v>1.31</v>
      </c>
      <c r="E36023" t="s">
        <v>56</v>
      </c>
    </row>
    <row r="36024" spans="1:5" x14ac:dyDescent="0.25">
      <c r="A36024" t="str">
        <f>HYPERLINK("https://www.773grp.com/globalSearch/NLAS3899BMNTXG/page-1", "NLAS3899BMNTXG")</f>
        <v>NLAS3899BMNTXG</v>
      </c>
      <c r="B36024" s="3" t="s">
        <v>95</v>
      </c>
      <c r="C36024" s="6">
        <v>297000</v>
      </c>
      <c r="D36024" s="7">
        <v>1.31</v>
      </c>
    </row>
    <row r="36025" spans="1:5" x14ac:dyDescent="0.25">
      <c r="A36025" t="str">
        <f>HYPERLINK("https://www.773grp.com/globalSearch/NLAST44599DT/page-1", "NLAST44599DT")</f>
        <v>NLAST44599DT</v>
      </c>
      <c r="B36025" s="3" t="s">
        <v>95</v>
      </c>
      <c r="C36025" s="6">
        <v>96</v>
      </c>
      <c r="D36025" s="7">
        <v>1.31</v>
      </c>
      <c r="E36025" t="s">
        <v>56</v>
      </c>
    </row>
    <row r="36026" spans="1:5" x14ac:dyDescent="0.25">
      <c r="A36026" t="str">
        <f>HYPERLINK("https://www.773grp.com/globalSearch/NLAST44599DTR2/page-1", "NLAST44599DTR2")</f>
        <v>NLAST44599DTR2</v>
      </c>
      <c r="B36026" s="3" t="s">
        <v>95</v>
      </c>
      <c r="C36026" s="6">
        <v>5900</v>
      </c>
      <c r="D36026" s="7">
        <v>1.31</v>
      </c>
      <c r="E36026" t="s">
        <v>56</v>
      </c>
    </row>
    <row r="36027" spans="1:5" x14ac:dyDescent="0.25">
      <c r="A36027" t="str">
        <f>HYPERLINK("https://www.773grp.com/globalSearch/NLSF302MNR2/page-1", "NLSF302MNR2")</f>
        <v>NLSF302MNR2</v>
      </c>
      <c r="B36027" s="3" t="s">
        <v>95</v>
      </c>
      <c r="C36027" s="6">
        <v>107990</v>
      </c>
      <c r="D36027" s="7">
        <v>1.31</v>
      </c>
      <c r="E36027" t="s">
        <v>31</v>
      </c>
    </row>
    <row r="36028" spans="1:5" x14ac:dyDescent="0.25">
      <c r="A36028" t="str">
        <f>HYPERLINK("https://www.773grp.com/globalSearch/NLSF308MNR2/page-1", "NLSF308MNR2")</f>
        <v>NLSF308MNR2</v>
      </c>
      <c r="B36028" s="3" t="s">
        <v>95</v>
      </c>
      <c r="C36028" s="6">
        <v>204000</v>
      </c>
      <c r="D36028" s="7">
        <v>1.31</v>
      </c>
      <c r="E36028" t="s">
        <v>31</v>
      </c>
    </row>
    <row r="36029" spans="1:5" x14ac:dyDescent="0.25">
      <c r="A36029" t="str">
        <f>HYPERLINK("https://www.773grp.com/globalSearch/NLSF3T125MNR2/page-1", "NLSF3T125MNR2")</f>
        <v>NLSF3T125MNR2</v>
      </c>
      <c r="B36029" s="3" t="s">
        <v>95</v>
      </c>
      <c r="C36029" s="6">
        <v>111000</v>
      </c>
      <c r="D36029" s="7">
        <v>1.31</v>
      </c>
      <c r="E36029" t="s">
        <v>14</v>
      </c>
    </row>
    <row r="36030" spans="1:5" x14ac:dyDescent="0.25">
      <c r="A36030" t="str">
        <f>HYPERLINK("https://www.773grp.com/globalSearch/NLSF3T126MNR2/page-1", "NLSF3T126MNR2")</f>
        <v>NLSF3T126MNR2</v>
      </c>
      <c r="B36030" s="3" t="s">
        <v>95</v>
      </c>
      <c r="C36030" s="6">
        <v>8970</v>
      </c>
      <c r="D36030" s="7">
        <v>1.31</v>
      </c>
      <c r="E36030" t="s">
        <v>14</v>
      </c>
    </row>
    <row r="36031" spans="1:5" x14ac:dyDescent="0.25">
      <c r="A36031" t="str">
        <f>HYPERLINK("https://www.773grp.com/globalSearch/NLSX4378BFCT1G/page-1", "NLSX4378BFCT1G")</f>
        <v>NLSX4378BFCT1G</v>
      </c>
      <c r="B36031" s="3" t="s">
        <v>95</v>
      </c>
      <c r="C36031" s="6">
        <v>111000</v>
      </c>
      <c r="D36031" s="7">
        <v>1.31</v>
      </c>
    </row>
    <row r="36032" spans="1:5" x14ac:dyDescent="0.25">
      <c r="A36032" t="str">
        <f>HYPERLINK("https://www.773grp.com/globalSearch/NLSX4378FCT1G/page-1", "NLSX4378FCT1G")</f>
        <v>NLSX4378FCT1G</v>
      </c>
      <c r="B36032" s="3" t="s">
        <v>95</v>
      </c>
      <c r="C36032" s="6">
        <v>111000</v>
      </c>
      <c r="D36032" s="7">
        <v>1.31</v>
      </c>
      <c r="E36032" t="s">
        <v>14</v>
      </c>
    </row>
    <row r="36033" spans="1:5" x14ac:dyDescent="0.25">
      <c r="A36033" t="str">
        <f>HYPERLINK("https://www.773grp.com/globalSearch/NLV14099BDWR2G/page-1", "NLV14099BDWR2G")</f>
        <v>NLV14099BDWR2G</v>
      </c>
      <c r="B36033" s="3" t="s">
        <v>95</v>
      </c>
      <c r="C36033" s="6">
        <v>22000</v>
      </c>
      <c r="D36033" s="7">
        <v>1.31</v>
      </c>
    </row>
    <row r="36034" spans="1:5" x14ac:dyDescent="0.25">
      <c r="A36034" t="str">
        <f>HYPERLINK("https://www.773grp.com/globalSearch/NS5S1153MUTAG/page-1", "NS5S1153MUTAG")</f>
        <v>NS5S1153MUTAG</v>
      </c>
      <c r="B36034" s="3" t="s">
        <v>95</v>
      </c>
      <c r="C36034" s="6">
        <v>140999</v>
      </c>
      <c r="D36034" s="7">
        <v>1.31</v>
      </c>
      <c r="E36034" t="s">
        <v>56</v>
      </c>
    </row>
    <row r="36035" spans="1:5" x14ac:dyDescent="0.25">
      <c r="A36035" t="str">
        <f>HYPERLINK("https://www.773grp.com/globalSearch/NTB25P06/page-1", "NTB25P06")</f>
        <v>NTB25P06</v>
      </c>
      <c r="B36035" s="3" t="s">
        <v>95</v>
      </c>
      <c r="C36035" s="6">
        <v>1950</v>
      </c>
      <c r="D36035" s="7">
        <v>1.31</v>
      </c>
      <c r="E36035" t="s">
        <v>105</v>
      </c>
    </row>
    <row r="36036" spans="1:5" x14ac:dyDescent="0.25">
      <c r="A36036" t="str">
        <f>HYPERLINK("https://www.773grp.com/globalSearch/NTD12N10G/page-1", "NTD12N10G")</f>
        <v>NTD12N10G</v>
      </c>
      <c r="B36036" s="3" t="s">
        <v>95</v>
      </c>
      <c r="C36036" s="6">
        <v>34</v>
      </c>
      <c r="D36036" s="7">
        <v>1.31</v>
      </c>
    </row>
    <row r="36037" spans="1:5" x14ac:dyDescent="0.25">
      <c r="A36037" t="str">
        <f>HYPERLINK("https://www.773grp.com/globalSearch/NTD95N02RT4G/page-1", "NTD95N02RT4G")</f>
        <v>NTD95N02RT4G</v>
      </c>
      <c r="B36037" s="3" t="s">
        <v>95</v>
      </c>
      <c r="C36037" s="6">
        <v>2500</v>
      </c>
      <c r="D36037" s="7">
        <v>1.31</v>
      </c>
      <c r="E36037" t="s">
        <v>105</v>
      </c>
    </row>
    <row r="36038" spans="1:5" x14ac:dyDescent="0.25">
      <c r="A36038" t="str">
        <f>HYPERLINK("https://www.773grp.com/globalSearch/NTLUD3A50PZTAG/page-1", "NTLUD3A50PZTAG")</f>
        <v>NTLUD3A50PZTAG</v>
      </c>
      <c r="B36038" s="3" t="s">
        <v>95</v>
      </c>
      <c r="C36038" s="6">
        <v>2000</v>
      </c>
      <c r="D36038" s="7">
        <v>1.31</v>
      </c>
    </row>
    <row r="36039" spans="1:5" x14ac:dyDescent="0.25">
      <c r="A36039" t="str">
        <f>HYPERLINK("https://www.773grp.com/globalSearch/NTMFS4744NT3G/page-1", "NTMFS4744NT3G")</f>
        <v>NTMFS4744NT3G</v>
      </c>
      <c r="B36039" s="3" t="s">
        <v>95</v>
      </c>
      <c r="C36039" s="6">
        <v>5000</v>
      </c>
      <c r="D36039" s="7">
        <v>1.31</v>
      </c>
      <c r="E36039" t="s">
        <v>105</v>
      </c>
    </row>
    <row r="36040" spans="1:5" x14ac:dyDescent="0.25">
      <c r="A36040" t="str">
        <f>HYPERLINK("https://www.773grp.com/globalSearch/NTMS4916NR2G/page-1", "NTMS4916NR2G")</f>
        <v>NTMS4916NR2G</v>
      </c>
      <c r="B36040" s="3" t="s">
        <v>95</v>
      </c>
      <c r="C36040" s="6">
        <v>2500</v>
      </c>
      <c r="D36040" s="7">
        <v>1.31</v>
      </c>
    </row>
    <row r="36041" spans="1:5" x14ac:dyDescent="0.25">
      <c r="A36041" t="str">
        <f>HYPERLINK("https://www.773grp.com/globalSearch/NTP125N02R/page-1", "NTP125N02R")</f>
        <v>NTP125N02R</v>
      </c>
      <c r="B36041" s="3" t="s">
        <v>95</v>
      </c>
      <c r="C36041" s="6">
        <v>1330</v>
      </c>
      <c r="D36041" s="7">
        <v>1.31</v>
      </c>
      <c r="E36041" t="s">
        <v>105</v>
      </c>
    </row>
    <row r="36042" spans="1:5" x14ac:dyDescent="0.25">
      <c r="A36042" t="str">
        <f>HYPERLINK("https://www.773grp.com/globalSearch/NTQD4154ZR2G/page-1", "NTQD4154ZR2G")</f>
        <v>NTQD4154ZR2G</v>
      </c>
      <c r="B36042" s="3" t="s">
        <v>95</v>
      </c>
      <c r="C36042" s="6">
        <v>4000</v>
      </c>
      <c r="D36042" s="7">
        <v>1.31</v>
      </c>
      <c r="E36042" t="s">
        <v>105</v>
      </c>
    </row>
    <row r="36043" spans="1:5" x14ac:dyDescent="0.25">
      <c r="A36043" t="str">
        <f>HYPERLINK("https://www.773grp.com/globalSearch/NTSB30120CTT4G/page-1", "NTSB30120CTT4G")</f>
        <v>NTSB30120CTT4G</v>
      </c>
      <c r="B36043" s="3" t="s">
        <v>95</v>
      </c>
      <c r="C36043" s="6">
        <v>800</v>
      </c>
      <c r="D36043" s="7">
        <v>1.31</v>
      </c>
    </row>
    <row r="36044" spans="1:5" x14ac:dyDescent="0.25">
      <c r="A36044" t="str">
        <f>HYPERLINK("https://www.773grp.com/globalSearch/NTSJ20U100CTG/page-1", "NTSJ20U100CTG")</f>
        <v>NTSJ20U100CTG</v>
      </c>
      <c r="B36044" s="3" t="s">
        <v>95</v>
      </c>
      <c r="C36044" s="6">
        <v>120</v>
      </c>
      <c r="D36044" s="7">
        <v>1.31</v>
      </c>
    </row>
    <row r="36045" spans="1:5" x14ac:dyDescent="0.25">
      <c r="A36045" t="str">
        <f>HYPERLINK("https://www.773grp.com/globalSearch/NTSV20U100CTG/page-1", "NTSV20U100CTG")</f>
        <v>NTSV20U100CTG</v>
      </c>
      <c r="B36045" s="3" t="s">
        <v>95</v>
      </c>
      <c r="C36045" s="6">
        <v>1000</v>
      </c>
      <c r="D36045" s="7">
        <v>1.31</v>
      </c>
    </row>
    <row r="36046" spans="1:5" x14ac:dyDescent="0.25">
      <c r="A36046" t="str">
        <f>HYPERLINK("https://www.773grp.com/globalSearch/NTSV30120CTG/page-1", "NTSV30120CTG")</f>
        <v>NTSV30120CTG</v>
      </c>
      <c r="B36046" s="3" t="s">
        <v>95</v>
      </c>
      <c r="C36046" s="6">
        <v>800</v>
      </c>
      <c r="D36046" s="7">
        <v>1.31</v>
      </c>
    </row>
    <row r="36047" spans="1:5" x14ac:dyDescent="0.25">
      <c r="A36047" t="str">
        <f>HYPERLINK("https://www.773grp.com/globalSearch/NTTFS4C05NTAG/page-1", "NTTFS4C05NTAG")</f>
        <v>NTTFS4C05NTAG</v>
      </c>
      <c r="B36047" s="3" t="s">
        <v>95</v>
      </c>
      <c r="C36047" s="6">
        <v>15000</v>
      </c>
      <c r="D36047" s="7">
        <v>1.31</v>
      </c>
    </row>
    <row r="36048" spans="1:5" x14ac:dyDescent="0.25">
      <c r="A36048" t="str">
        <f>HYPERLINK("https://www.773grp.com/globalSearch/NTUD3128NT5G/page-1", "NTUD3128NT5G")</f>
        <v>NTUD3128NT5G</v>
      </c>
      <c r="B36048" s="3" t="s">
        <v>95</v>
      </c>
      <c r="C36048" s="6">
        <v>3898</v>
      </c>
      <c r="D36048" s="7">
        <v>1.31</v>
      </c>
      <c r="E36048" t="s">
        <v>106</v>
      </c>
    </row>
    <row r="36049" spans="1:5" x14ac:dyDescent="0.25">
      <c r="A36049" t="str">
        <f>HYPERLINK("https://www.773grp.com/globalSearch/NUP4201MR6T1/page-1", "NUP4201MR6T1")</f>
        <v>NUP4201MR6T1</v>
      </c>
      <c r="B36049" s="3" t="s">
        <v>95</v>
      </c>
      <c r="C36049" s="6">
        <v>5497</v>
      </c>
      <c r="D36049" s="7">
        <v>1.31</v>
      </c>
      <c r="E36049" t="s">
        <v>96</v>
      </c>
    </row>
    <row r="36050" spans="1:5" x14ac:dyDescent="0.25">
      <c r="A36050" t="str">
        <f>HYPERLINK("https://www.773grp.com/globalSearch/NUP4302MR6T1G/page-1", "NUP4302MR6T1G")</f>
        <v>NUP4302MR6T1G</v>
      </c>
      <c r="B36050" s="3" t="s">
        <v>95</v>
      </c>
      <c r="C36050" s="6">
        <v>1</v>
      </c>
      <c r="D36050" s="7">
        <v>1.31</v>
      </c>
      <c r="E36050" t="s">
        <v>96</v>
      </c>
    </row>
    <row r="36051" spans="1:5" x14ac:dyDescent="0.25">
      <c r="A36051" t="str">
        <f>HYPERLINK("https://www.773grp.com/globalSearch/NVTFS5826NLTAG/page-1", "NVTFS5826NLTAG")</f>
        <v>NVTFS5826NLTAG</v>
      </c>
      <c r="B36051" s="3" t="s">
        <v>95</v>
      </c>
      <c r="C36051" s="6">
        <v>3000</v>
      </c>
      <c r="D36051" s="7">
        <v>1.31</v>
      </c>
    </row>
    <row r="36052" spans="1:5" x14ac:dyDescent="0.25">
      <c r="A36052" t="str">
        <f>HYPERLINK("https://www.773grp.com/globalSearch/P6KE24A/page-1", "P6KE24A")</f>
        <v>P6KE24A</v>
      </c>
      <c r="B36052" s="3" t="s">
        <v>95</v>
      </c>
      <c r="C36052" s="6">
        <v>12110</v>
      </c>
      <c r="D36052" s="7">
        <v>1.31</v>
      </c>
      <c r="E36052" t="s">
        <v>96</v>
      </c>
    </row>
    <row r="36053" spans="1:5" x14ac:dyDescent="0.25">
      <c r="A36053" t="str">
        <f>HYPERLINK("https://www.773grp.com/globalSearch/PACDN044Y5R/page-1", "PACDN044Y5R")</f>
        <v>PACDN044Y5R</v>
      </c>
      <c r="B36053" s="3" t="s">
        <v>95</v>
      </c>
      <c r="C36053" s="6">
        <v>48000</v>
      </c>
      <c r="D36053" s="7">
        <v>1.31</v>
      </c>
    </row>
    <row r="36054" spans="1:5" x14ac:dyDescent="0.25">
      <c r="A36054" t="str">
        <f>HYPERLINK("https://www.773grp.com/globalSearch/SBRD8360RLG/page-1", "SBRD8360RLG")</f>
        <v>SBRD8360RLG</v>
      </c>
      <c r="B36054" s="3" t="s">
        <v>95</v>
      </c>
      <c r="C36054" s="6">
        <v>3600</v>
      </c>
      <c r="D36054" s="7">
        <v>1.31</v>
      </c>
    </row>
    <row r="36055" spans="1:5" x14ac:dyDescent="0.25">
      <c r="A36055" t="str">
        <f>HYPERLINK("https://www.773grp.com/globalSearch/SC224NG/page-1", "SC224NG")</f>
        <v>SC224NG</v>
      </c>
      <c r="B36055" s="3" t="s">
        <v>95</v>
      </c>
      <c r="C36055" s="6">
        <v>75</v>
      </c>
      <c r="D36055" s="7">
        <v>1.31</v>
      </c>
    </row>
    <row r="36056" spans="1:5" x14ac:dyDescent="0.25">
      <c r="A36056" t="str">
        <f>HYPERLINK("https://www.773grp.com/globalSearch/SC2901NG/page-1", "SC2901NG")</f>
        <v>SC2901NG</v>
      </c>
      <c r="B36056" s="3" t="s">
        <v>95</v>
      </c>
      <c r="C36056" s="6">
        <v>3775</v>
      </c>
      <c r="D36056" s="7">
        <v>1.31</v>
      </c>
    </row>
    <row r="36057" spans="1:5" x14ac:dyDescent="0.25">
      <c r="A36057" t="str">
        <f>HYPERLINK("https://www.773grp.com/globalSearch/SC2902NG/page-1", "SC2902NG")</f>
        <v>SC2902NG</v>
      </c>
      <c r="B36057" s="3" t="s">
        <v>95</v>
      </c>
      <c r="C36057" s="6">
        <v>2300</v>
      </c>
      <c r="D36057" s="7">
        <v>1.31</v>
      </c>
    </row>
    <row r="36058" spans="1:5" x14ac:dyDescent="0.25">
      <c r="A36058" t="str">
        <f>HYPERLINK("https://www.773grp.com/globalSearch/SC2904VNG/page-1", "SC2904VNG")</f>
        <v>SC2904VNG</v>
      </c>
      <c r="B36058" s="3" t="s">
        <v>95</v>
      </c>
      <c r="C36058" s="6">
        <v>5500</v>
      </c>
      <c r="D36058" s="7">
        <v>1.31</v>
      </c>
    </row>
    <row r="36059" spans="1:5" x14ac:dyDescent="0.25">
      <c r="A36059" t="str">
        <f>HYPERLINK("https://www.773grp.com/globalSearch/SCY99078SNT1G/page-1", "SCY99078SNT1G")</f>
        <v>SCY99078SNT1G</v>
      </c>
      <c r="B36059" s="3" t="s">
        <v>95</v>
      </c>
      <c r="C36059" s="6">
        <v>18000</v>
      </c>
      <c r="D36059" s="7">
        <v>1.31</v>
      </c>
    </row>
    <row r="36060" spans="1:5" x14ac:dyDescent="0.25">
      <c r="A36060" t="str">
        <f>HYPERLINK("https://www.773grp.com/globalSearch/SCY99090SNT1G/page-1", "SCY99090SNT1G")</f>
        <v>SCY99090SNT1G</v>
      </c>
      <c r="B36060" s="3" t="s">
        <v>95</v>
      </c>
      <c r="C36060" s="6">
        <v>3000</v>
      </c>
      <c r="D36060" s="7">
        <v>1.31</v>
      </c>
    </row>
    <row r="36061" spans="1:5" x14ac:dyDescent="0.25">
      <c r="A36061" t="str">
        <f>HYPERLINK("https://www.773grp.com/globalSearch/SN74LS193MEL/page-1", "SN74LS193MEL")</f>
        <v>SN74LS193MEL</v>
      </c>
      <c r="B36061" s="3" t="s">
        <v>95</v>
      </c>
      <c r="C36061" s="6">
        <v>2000</v>
      </c>
      <c r="D36061" s="7">
        <v>1.31</v>
      </c>
    </row>
    <row r="36062" spans="1:5" x14ac:dyDescent="0.25">
      <c r="A36062" t="str">
        <f>HYPERLINK("https://www.773grp.com/globalSearch/SN74LS293D/page-1", "SN74LS293D")</f>
        <v>SN74LS293D</v>
      </c>
      <c r="B36062" s="3" t="s">
        <v>95</v>
      </c>
      <c r="C36062" s="6">
        <v>8</v>
      </c>
      <c r="D36062" s="7">
        <v>1.31</v>
      </c>
      <c r="E36062" t="s">
        <v>26</v>
      </c>
    </row>
    <row r="36063" spans="1:5" x14ac:dyDescent="0.25">
      <c r="A36063" t="str">
        <f>HYPERLINK("https://www.773grp.com/globalSearch/SN74LS670N/page-1", "SN74LS670N")</f>
        <v>SN74LS670N</v>
      </c>
      <c r="B36063" s="3" t="s">
        <v>95</v>
      </c>
      <c r="C36063" s="6">
        <v>2240</v>
      </c>
      <c r="D36063" s="7">
        <v>1.31</v>
      </c>
      <c r="E36063" t="s">
        <v>75</v>
      </c>
    </row>
    <row r="36064" spans="1:5" x14ac:dyDescent="0.25">
      <c r="A36064" t="str">
        <f>HYPERLINK("https://www.773grp.com/globalSearch/SPS3609RLRA/page-1", "SPS3609RLRA")</f>
        <v>SPS3609RLRA</v>
      </c>
      <c r="B36064" s="3" t="s">
        <v>95</v>
      </c>
      <c r="C36064" s="6">
        <v>18000</v>
      </c>
      <c r="D36064" s="7">
        <v>1.31</v>
      </c>
    </row>
    <row r="36065" spans="1:5" x14ac:dyDescent="0.25">
      <c r="A36065" t="str">
        <f>HYPERLINK("https://www.773grp.com/globalSearch/SR4479S/page-1", "SR4479S")</f>
        <v>SR4479S</v>
      </c>
      <c r="B36065" s="3" t="s">
        <v>95</v>
      </c>
      <c r="C36065" s="6">
        <v>500</v>
      </c>
      <c r="D36065" s="7">
        <v>1.31</v>
      </c>
    </row>
    <row r="36066" spans="1:5" x14ac:dyDescent="0.25">
      <c r="A36066" t="str">
        <f>HYPERLINK("https://www.773grp.com/globalSearch/SR4622LRL/page-1", "SR4622LRL")</f>
        <v>SR4622LRL</v>
      </c>
      <c r="B36066" s="3" t="s">
        <v>95</v>
      </c>
      <c r="C36066" s="6">
        <v>6400</v>
      </c>
      <c r="D36066" s="7">
        <v>1.31</v>
      </c>
    </row>
    <row r="36067" spans="1:5" x14ac:dyDescent="0.25">
      <c r="A36067" t="str">
        <f>HYPERLINK("https://www.773grp.com/globalSearch/TE02555T/page-1", "TE02555T")</f>
        <v>TE02555T</v>
      </c>
      <c r="B36067" s="3" t="s">
        <v>95</v>
      </c>
      <c r="C36067" s="6">
        <v>2550</v>
      </c>
      <c r="D36067" s="7">
        <v>1.31</v>
      </c>
    </row>
    <row r="36068" spans="1:5" x14ac:dyDescent="0.25">
      <c r="A36068" t="str">
        <f>HYPERLINK("https://www.773grp.com/globalSearch/TIP116G/page-1", "TIP116G")</f>
        <v>TIP116G</v>
      </c>
      <c r="B36068" s="3" t="s">
        <v>95</v>
      </c>
      <c r="C36068" s="6">
        <v>2102</v>
      </c>
      <c r="D36068" s="7">
        <v>1.31</v>
      </c>
      <c r="E36068" t="s">
        <v>59</v>
      </c>
    </row>
    <row r="36069" spans="1:5" x14ac:dyDescent="0.25">
      <c r="A36069" t="str">
        <f>HYPERLINK("https://www.773grp.com/globalSearch/TIP137/page-1", "TIP137")</f>
        <v>TIP137</v>
      </c>
      <c r="B36069" s="3" t="s">
        <v>95</v>
      </c>
      <c r="C36069" s="6">
        <v>35350</v>
      </c>
      <c r="D36069" s="7">
        <v>1.31</v>
      </c>
      <c r="E36069" t="s">
        <v>59</v>
      </c>
    </row>
    <row r="36070" spans="1:5" x14ac:dyDescent="0.25">
      <c r="A36070" t="str">
        <f>HYPERLINK("https://www.773grp.com/globalSearch/TY40464P/page-1", "TY40464P")</f>
        <v>TY40464P</v>
      </c>
      <c r="B36070" s="3" t="s">
        <v>95</v>
      </c>
      <c r="C36070" s="6">
        <v>1152</v>
      </c>
      <c r="D36070" s="7">
        <v>1.31</v>
      </c>
    </row>
    <row r="36071" spans="1:5" x14ac:dyDescent="0.25">
      <c r="A36071" t="str">
        <f>HYPERLINK("https://www.773grp.com/globalSearch/TY40470R2/page-1", "TY40470R2")</f>
        <v>TY40470R2</v>
      </c>
      <c r="B36071" s="3" t="s">
        <v>95</v>
      </c>
      <c r="C36071" s="6">
        <v>1078</v>
      </c>
      <c r="D36071" s="7">
        <v>1.31</v>
      </c>
    </row>
    <row r="36072" spans="1:5" x14ac:dyDescent="0.25">
      <c r="A36072" t="str">
        <f>HYPERLINK("https://www.773grp.com/globalSearch/TYA1496DR2/page-1", "TYA1496DR2")</f>
        <v>TYA1496DR2</v>
      </c>
      <c r="B36072" s="3" t="s">
        <v>95</v>
      </c>
      <c r="C36072" s="6">
        <v>11500</v>
      </c>
      <c r="D36072" s="7">
        <v>1.31</v>
      </c>
    </row>
    <row r="36073" spans="1:5" x14ac:dyDescent="0.25">
      <c r="A36073" t="str">
        <f>HYPERLINK("https://www.773grp.com/globalSearch/1.5KE18AG/page-1", "1.5KE18AG")</f>
        <v>1.5KE18AG</v>
      </c>
      <c r="B36073" s="3" t="s">
        <v>95</v>
      </c>
      <c r="C36073" s="6">
        <v>13450</v>
      </c>
      <c r="D36073" s="7">
        <v>1.36</v>
      </c>
      <c r="E36073" t="s">
        <v>96</v>
      </c>
    </row>
    <row r="36074" spans="1:5" x14ac:dyDescent="0.25">
      <c r="A36074" t="str">
        <f>HYPERLINK("https://www.773grp.com/globalSearch/1.5KE27AG/page-1", "1.5KE27AG")</f>
        <v>1.5KE27AG</v>
      </c>
      <c r="B36074" s="3" t="s">
        <v>95</v>
      </c>
      <c r="C36074" s="6">
        <v>7460</v>
      </c>
      <c r="D36074" s="7">
        <v>1.36</v>
      </c>
      <c r="E36074" t="s">
        <v>96</v>
      </c>
    </row>
    <row r="36075" spans="1:5" x14ac:dyDescent="0.25">
      <c r="A36075" t="str">
        <f>HYPERLINK("https://www.773grp.com/globalSearch/1.5KE7.5AG/page-1", "1.5KE7.5AG")</f>
        <v>1.5KE7.5AG</v>
      </c>
      <c r="B36075" s="3" t="s">
        <v>95</v>
      </c>
      <c r="C36075" s="6">
        <v>2525</v>
      </c>
      <c r="D36075" s="7">
        <v>1.36</v>
      </c>
      <c r="E36075" t="s">
        <v>96</v>
      </c>
    </row>
    <row r="36076" spans="1:5" x14ac:dyDescent="0.25">
      <c r="A36076" t="str">
        <f>HYPERLINK("https://www.773grp.com/globalSearch/1N5908G/page-1", "1N5908G")</f>
        <v>1N5908G</v>
      </c>
      <c r="B36076" s="3" t="s">
        <v>95</v>
      </c>
      <c r="C36076" s="6">
        <v>11501</v>
      </c>
      <c r="D36076" s="7">
        <v>1.36</v>
      </c>
      <c r="E36076" t="s">
        <v>96</v>
      </c>
    </row>
    <row r="36077" spans="1:5" x14ac:dyDescent="0.25">
      <c r="A36077" t="str">
        <f>HYPERLINK("https://www.773grp.com/globalSearch/1N5908RL4G/page-1", "1N5908RL4G")</f>
        <v>1N5908RL4G</v>
      </c>
      <c r="B36077" s="3" t="s">
        <v>95</v>
      </c>
      <c r="C36077" s="6">
        <v>4461</v>
      </c>
      <c r="D36077" s="7">
        <v>1.36</v>
      </c>
      <c r="E36077" t="s">
        <v>96</v>
      </c>
    </row>
    <row r="36078" spans="1:5" x14ac:dyDescent="0.25">
      <c r="A36078" t="str">
        <f>HYPERLINK("https://www.773grp.com/globalSearch/1N6267AG/page-1", "1N6267AG")</f>
        <v>1N6267AG</v>
      </c>
      <c r="B36078" s="3" t="s">
        <v>95</v>
      </c>
      <c r="C36078" s="6">
        <v>2694</v>
      </c>
      <c r="D36078" s="7">
        <v>1.36</v>
      </c>
      <c r="E36078" t="s">
        <v>96</v>
      </c>
    </row>
    <row r="36079" spans="1:5" x14ac:dyDescent="0.25">
      <c r="A36079" t="str">
        <f>HYPERLINK("https://www.773grp.com/globalSearch/1N6285AG/page-1", "1N6285AG")</f>
        <v>1N6285AG</v>
      </c>
      <c r="B36079" s="3" t="s">
        <v>95</v>
      </c>
      <c r="C36079" s="6">
        <v>12100</v>
      </c>
      <c r="D36079" s="7">
        <v>1.36</v>
      </c>
      <c r="E36079" t="s">
        <v>96</v>
      </c>
    </row>
    <row r="36080" spans="1:5" x14ac:dyDescent="0.25">
      <c r="A36080" t="str">
        <f>HYPERLINK("https://www.773grp.com/globalSearch/1N6285ARL4G/page-1", "1N6285ARL4G")</f>
        <v>1N6285ARL4G</v>
      </c>
      <c r="B36080" s="3" t="s">
        <v>95</v>
      </c>
      <c r="C36080" s="6">
        <v>3000</v>
      </c>
      <c r="D36080" s="7">
        <v>1.36</v>
      </c>
      <c r="E36080" t="s">
        <v>96</v>
      </c>
    </row>
    <row r="36081" spans="1:5" x14ac:dyDescent="0.25">
      <c r="A36081" t="str">
        <f>HYPERLINK("https://www.773grp.com/globalSearch/1N6303AG/page-1", "1N6303AG")</f>
        <v>1N6303AG</v>
      </c>
      <c r="B36081" s="3" t="s">
        <v>95</v>
      </c>
      <c r="C36081" s="6">
        <v>709</v>
      </c>
      <c r="D36081" s="7">
        <v>1.36</v>
      </c>
      <c r="E36081" t="s">
        <v>96</v>
      </c>
    </row>
    <row r="36082" spans="1:5" x14ac:dyDescent="0.25">
      <c r="A36082" t="str">
        <f>HYPERLINK("https://www.773grp.com/globalSearch/1N6373RL4G/page-1", "1N6373RL4G")</f>
        <v>1N6373RL4G</v>
      </c>
      <c r="B36082" s="3" t="s">
        <v>95</v>
      </c>
      <c r="C36082" s="6">
        <v>22500</v>
      </c>
      <c r="D36082" s="7">
        <v>1.36</v>
      </c>
      <c r="E36082" t="s">
        <v>96</v>
      </c>
    </row>
    <row r="36083" spans="1:5" x14ac:dyDescent="0.25">
      <c r="A36083" t="str">
        <f>HYPERLINK("https://www.773grp.com/globalSearch/1N6377G/page-1", "1N6377G")</f>
        <v>1N6377G</v>
      </c>
      <c r="B36083" s="3" t="s">
        <v>95</v>
      </c>
      <c r="C36083" s="6">
        <v>4714</v>
      </c>
      <c r="D36083" s="7">
        <v>1.36</v>
      </c>
      <c r="E36083" t="s">
        <v>96</v>
      </c>
    </row>
    <row r="36084" spans="1:5" x14ac:dyDescent="0.25">
      <c r="A36084" t="str">
        <f>HYPERLINK("https://www.773grp.com/globalSearch/1N6377RL4G/page-1", "1N6377RL4G")</f>
        <v>1N6377RL4G</v>
      </c>
      <c r="B36084" s="3" t="s">
        <v>95</v>
      </c>
      <c r="C36084" s="6">
        <v>7381</v>
      </c>
      <c r="D36084" s="7">
        <v>1.36</v>
      </c>
      <c r="E36084" t="s">
        <v>96</v>
      </c>
    </row>
    <row r="36085" spans="1:5" x14ac:dyDescent="0.25">
      <c r="A36085" t="str">
        <f>HYPERLINK("https://www.773grp.com/globalSearch/1N6381G/page-1", "1N6381G")</f>
        <v>1N6381G</v>
      </c>
      <c r="B36085" s="3" t="s">
        <v>95</v>
      </c>
      <c r="C36085" s="6">
        <v>2230</v>
      </c>
      <c r="D36085" s="7">
        <v>1.36</v>
      </c>
      <c r="E36085" t="s">
        <v>96</v>
      </c>
    </row>
    <row r="36086" spans="1:5" x14ac:dyDescent="0.25">
      <c r="A36086" t="str">
        <f>HYPERLINK("https://www.773grp.com/globalSearch/2N6400/page-1", "2N6400")</f>
        <v>2N6400</v>
      </c>
      <c r="B36086" s="3" t="s">
        <v>95</v>
      </c>
      <c r="C36086" s="6">
        <v>204</v>
      </c>
      <c r="D36086" s="7">
        <v>1.36</v>
      </c>
      <c r="E36086" t="s">
        <v>97</v>
      </c>
    </row>
    <row r="36087" spans="1:5" x14ac:dyDescent="0.25">
      <c r="A36087" t="str">
        <f>HYPERLINK("https://www.773grp.com/globalSearch/2N6401/page-1", "2N6401")</f>
        <v>2N6401</v>
      </c>
      <c r="B36087" s="3" t="s">
        <v>95</v>
      </c>
      <c r="C36087" s="6">
        <v>10233</v>
      </c>
      <c r="D36087" s="7">
        <v>1.36</v>
      </c>
      <c r="E36087" t="s">
        <v>97</v>
      </c>
    </row>
    <row r="36088" spans="1:5" x14ac:dyDescent="0.25">
      <c r="A36088" t="str">
        <f>HYPERLINK("https://www.773grp.com/globalSearch/2N6402/page-1", "2N6402")</f>
        <v>2N6402</v>
      </c>
      <c r="B36088" s="3" t="s">
        <v>95</v>
      </c>
      <c r="C36088" s="6">
        <v>3424</v>
      </c>
      <c r="D36088" s="7">
        <v>1.36</v>
      </c>
      <c r="E36088" t="s">
        <v>97</v>
      </c>
    </row>
    <row r="36089" spans="1:5" x14ac:dyDescent="0.25">
      <c r="A36089" t="str">
        <f>HYPERLINK("https://www.773grp.com/globalSearch/2N6405/page-1", "2N6405")</f>
        <v>2N6405</v>
      </c>
      <c r="B36089" s="3" t="s">
        <v>95</v>
      </c>
      <c r="C36089" s="6">
        <v>100</v>
      </c>
      <c r="D36089" s="7">
        <v>1.36</v>
      </c>
      <c r="E36089" t="s">
        <v>97</v>
      </c>
    </row>
    <row r="36090" spans="1:5" x14ac:dyDescent="0.25">
      <c r="A36090" t="str">
        <f>HYPERLINK("https://www.773grp.com/globalSearch/2SC5707-TL-E/page-1", "2SC5707-TL-E")</f>
        <v>2SC5707-TL-E</v>
      </c>
      <c r="B36090" s="3" t="s">
        <v>95</v>
      </c>
      <c r="C36090" s="6">
        <v>1400</v>
      </c>
      <c r="D36090" s="7">
        <v>1.36</v>
      </c>
    </row>
    <row r="36091" spans="1:5" x14ac:dyDescent="0.25">
      <c r="A36091" t="str">
        <f>HYPERLINK("https://www.773grp.com/globalSearch/74HC541DTR2G/page-1", "74HC541DTR2G")</f>
        <v>74HC541DTR2G</v>
      </c>
      <c r="B36091" s="3" t="s">
        <v>95</v>
      </c>
      <c r="C36091" s="6">
        <v>5000</v>
      </c>
      <c r="D36091" s="7">
        <v>1.36</v>
      </c>
    </row>
    <row r="36092" spans="1:5" x14ac:dyDescent="0.25">
      <c r="A36092" t="str">
        <f>HYPERLINK("https://www.773grp.com/globalSearch/ATP201-V-TL-H/page-1", "ATP201-V-TL-H")</f>
        <v>ATP201-V-TL-H</v>
      </c>
      <c r="B36092" s="3" t="s">
        <v>95</v>
      </c>
      <c r="C36092" s="6">
        <v>60000</v>
      </c>
      <c r="D36092" s="7">
        <v>1.36</v>
      </c>
    </row>
    <row r="36093" spans="1:5" x14ac:dyDescent="0.25">
      <c r="A36093" t="str">
        <f>HYPERLINK("https://www.773grp.com/globalSearch/BUD42D-1G/page-1", "BUD42D-1G")</f>
        <v>BUD42D-1G</v>
      </c>
      <c r="B36093" s="3" t="s">
        <v>95</v>
      </c>
      <c r="C36093" s="6">
        <v>1925</v>
      </c>
      <c r="D36093" s="7">
        <v>1.36</v>
      </c>
      <c r="E36093" t="s">
        <v>59</v>
      </c>
    </row>
    <row r="36094" spans="1:5" x14ac:dyDescent="0.25">
      <c r="A36094" t="str">
        <f>HYPERLINK("https://www.773grp.com/globalSearch/CAT25320YI-G/page-1", "CAT25320YI-G")</f>
        <v>CAT25320YI-G</v>
      </c>
      <c r="B36094" s="3" t="s">
        <v>95</v>
      </c>
      <c r="C36094" s="6">
        <v>5595</v>
      </c>
      <c r="D36094" s="7">
        <v>1.36</v>
      </c>
    </row>
    <row r="36095" spans="1:5" x14ac:dyDescent="0.25">
      <c r="A36095" t="str">
        <f>HYPERLINK("https://www.773grp.com/globalSearch/CAT93C57LI-G/page-1", "CAT93C57LI-G")</f>
        <v>CAT93C57LI-G</v>
      </c>
      <c r="B36095" s="3" t="s">
        <v>95</v>
      </c>
      <c r="C36095" s="6">
        <v>1000</v>
      </c>
      <c r="D36095" s="7">
        <v>1.36</v>
      </c>
    </row>
    <row r="36096" spans="1:5" x14ac:dyDescent="0.25">
      <c r="A36096" t="str">
        <f>HYPERLINK("https://www.773grp.com/globalSearch/CS8271YD8/page-1", "CS8271YD8")</f>
        <v>CS8271YD8</v>
      </c>
      <c r="B36096" s="3" t="s">
        <v>95</v>
      </c>
      <c r="C36096" s="6">
        <v>2056</v>
      </c>
      <c r="D36096" s="7">
        <v>1.36</v>
      </c>
      <c r="E36096" t="s">
        <v>25</v>
      </c>
    </row>
    <row r="36097" spans="1:5" x14ac:dyDescent="0.25">
      <c r="A36097" t="str">
        <f>HYPERLINK("https://www.773grp.com/globalSearch/ICTE-010/page-1", "ICTE-010")</f>
        <v>ICTE-010</v>
      </c>
      <c r="B36097" s="3" t="s">
        <v>95</v>
      </c>
      <c r="C36097" s="6">
        <v>2500</v>
      </c>
      <c r="D36097" s="7">
        <v>1.36</v>
      </c>
    </row>
    <row r="36098" spans="1:5" x14ac:dyDescent="0.25">
      <c r="A36098" t="str">
        <f>HYPERLINK("https://www.773grp.com/globalSearch/ICTE-10RL4/page-1", "ICTE-10RL4")</f>
        <v>ICTE-10RL4</v>
      </c>
      <c r="B36098" s="3" t="s">
        <v>95</v>
      </c>
      <c r="C36098" s="6">
        <v>3000</v>
      </c>
      <c r="D36098" s="7">
        <v>1.36</v>
      </c>
      <c r="E36098" t="s">
        <v>96</v>
      </c>
    </row>
    <row r="36099" spans="1:5" x14ac:dyDescent="0.25">
      <c r="A36099" t="str">
        <f>HYPERLINK("https://www.773grp.com/globalSearch/LA6585MC-AH/page-1", "LA6585MC-AH")</f>
        <v>LA6585MC-AH</v>
      </c>
      <c r="B36099" s="3" t="s">
        <v>95</v>
      </c>
      <c r="C36099" s="6">
        <v>42500</v>
      </c>
      <c r="D36099" s="7">
        <v>1.36</v>
      </c>
    </row>
    <row r="36100" spans="1:5" x14ac:dyDescent="0.25">
      <c r="A36100" t="str">
        <f>HYPERLINK("https://www.773grp.com/globalSearch/LF412CD/page-1", "LF412CD")</f>
        <v>LF412CD</v>
      </c>
      <c r="B36100" s="3" t="s">
        <v>95</v>
      </c>
      <c r="C36100" s="6">
        <v>1398</v>
      </c>
      <c r="D36100" s="7">
        <v>1.36</v>
      </c>
      <c r="E36100" t="s">
        <v>13</v>
      </c>
    </row>
    <row r="36101" spans="1:5" x14ac:dyDescent="0.25">
      <c r="A36101" t="str">
        <f>HYPERLINK("https://www.773grp.com/globalSearch/LM211DG/page-1", "LM211DG")</f>
        <v>LM211DG</v>
      </c>
      <c r="B36101" s="3" t="s">
        <v>95</v>
      </c>
      <c r="C36101" s="6">
        <v>1176</v>
      </c>
      <c r="D36101" s="7">
        <v>1.36</v>
      </c>
    </row>
    <row r="36102" spans="1:5" x14ac:dyDescent="0.25">
      <c r="A36102" t="str">
        <f>HYPERLINK("https://www.773grp.com/globalSearch/LM211DR2G/page-1", "LM211DR2G")</f>
        <v>LM211DR2G</v>
      </c>
      <c r="B36102" s="3" t="s">
        <v>95</v>
      </c>
      <c r="C36102" s="6">
        <v>25000</v>
      </c>
      <c r="D36102" s="7">
        <v>1.36</v>
      </c>
      <c r="E36102" t="s">
        <v>9</v>
      </c>
    </row>
    <row r="36103" spans="1:5" x14ac:dyDescent="0.25">
      <c r="A36103" t="str">
        <f>HYPERLINK("https://www.773grp.com/globalSearch/LP2950CDT-3.0G/page-1", "LP2950CDT-3.0G")</f>
        <v>LP2950CDT-3.0G</v>
      </c>
      <c r="B36103" s="3" t="s">
        <v>95</v>
      </c>
      <c r="C36103" s="6">
        <v>1650</v>
      </c>
      <c r="D36103" s="7">
        <v>1.36</v>
      </c>
      <c r="E36103" t="s">
        <v>19</v>
      </c>
    </row>
    <row r="36104" spans="1:5" x14ac:dyDescent="0.25">
      <c r="A36104" t="str">
        <f>HYPERLINK("https://www.773grp.com/globalSearch/LP2950CDT-3.0RKG/page-1", "LP2950CDT-3.0RKG")</f>
        <v>LP2950CDT-3.0RKG</v>
      </c>
      <c r="B36104" s="3" t="s">
        <v>95</v>
      </c>
      <c r="C36104" s="6">
        <v>29749</v>
      </c>
      <c r="D36104" s="7">
        <v>1.36</v>
      </c>
      <c r="E36104" t="s">
        <v>19</v>
      </c>
    </row>
    <row r="36105" spans="1:5" x14ac:dyDescent="0.25">
      <c r="A36105" t="str">
        <f>HYPERLINK("https://www.773grp.com/globalSearch/LP2950CDT-3.3G/page-1", "LP2950CDT-3.3G")</f>
        <v>LP2950CDT-3.3G</v>
      </c>
      <c r="B36105" s="3" t="s">
        <v>95</v>
      </c>
      <c r="C36105" s="6">
        <v>2550</v>
      </c>
      <c r="D36105" s="7">
        <v>1.36</v>
      </c>
      <c r="E36105" t="s">
        <v>19</v>
      </c>
    </row>
    <row r="36106" spans="1:5" x14ac:dyDescent="0.25">
      <c r="A36106" t="str">
        <f>HYPERLINK("https://www.773grp.com/globalSearch/LP2950CDT-3.3RKG/page-1", "LP2950CDT-3.3RKG")</f>
        <v>LP2950CDT-3.3RKG</v>
      </c>
      <c r="B36106" s="3" t="s">
        <v>95</v>
      </c>
      <c r="C36106" s="6">
        <v>8904</v>
      </c>
      <c r="D36106" s="7">
        <v>1.36</v>
      </c>
      <c r="E36106" t="s">
        <v>19</v>
      </c>
    </row>
    <row r="36107" spans="1:5" x14ac:dyDescent="0.25">
      <c r="A36107" t="str">
        <f>HYPERLINK("https://www.773grp.com/globalSearch/LP2950CDT-5.0/page-1", "LP2950CDT-5.0")</f>
        <v>LP2950CDT-5.0</v>
      </c>
      <c r="B36107" s="3" t="s">
        <v>95</v>
      </c>
      <c r="C36107" s="6">
        <v>3675</v>
      </c>
      <c r="D36107" s="7">
        <v>1.36</v>
      </c>
      <c r="E36107" t="s">
        <v>19</v>
      </c>
    </row>
    <row r="36108" spans="1:5" x14ac:dyDescent="0.25">
      <c r="A36108" t="str">
        <f>HYPERLINK("https://www.773grp.com/globalSearch/LP2950CDT-5.0RK/page-1", "LP2950CDT-5.0RK")</f>
        <v>LP2950CDT-5.0RK</v>
      </c>
      <c r="B36108" s="3" t="s">
        <v>95</v>
      </c>
      <c r="C36108" s="6">
        <v>2500</v>
      </c>
      <c r="D36108" s="7">
        <v>1.36</v>
      </c>
      <c r="E36108" t="s">
        <v>19</v>
      </c>
    </row>
    <row r="36109" spans="1:5" x14ac:dyDescent="0.25">
      <c r="A36109" t="str">
        <f>HYPERLINK("https://www.773grp.com/globalSearch/LP2950CDT-5.0RKG/page-1", "LP2950CDT-5.0RKG")</f>
        <v>LP2950CDT-5.0RKG</v>
      </c>
      <c r="B36109" s="3" t="s">
        <v>95</v>
      </c>
      <c r="C36109" s="6">
        <v>25680</v>
      </c>
      <c r="D36109" s="7">
        <v>1.36</v>
      </c>
      <c r="E36109" t="s">
        <v>19</v>
      </c>
    </row>
    <row r="36110" spans="1:5" x14ac:dyDescent="0.25">
      <c r="A36110" t="str">
        <f>HYPERLINK("https://www.773grp.com/globalSearch/MC14014BFG/page-1", "MC14014BFG")</f>
        <v>MC14014BFG</v>
      </c>
      <c r="B36110" s="3" t="s">
        <v>95</v>
      </c>
      <c r="C36110" s="6">
        <v>8688</v>
      </c>
      <c r="D36110" s="7">
        <v>1.36</v>
      </c>
      <c r="E36110" t="s">
        <v>32</v>
      </c>
    </row>
    <row r="36111" spans="1:5" x14ac:dyDescent="0.25">
      <c r="A36111" t="str">
        <f>HYPERLINK("https://www.773grp.com/globalSearch/MC14021BFELG/page-1", "MC14021BFELG")</f>
        <v>MC14021BFELG</v>
      </c>
      <c r="B36111" s="3" t="s">
        <v>95</v>
      </c>
      <c r="C36111" s="6">
        <v>7860</v>
      </c>
      <c r="D36111" s="7">
        <v>1.36</v>
      </c>
      <c r="E36111" t="s">
        <v>32</v>
      </c>
    </row>
    <row r="36112" spans="1:5" x14ac:dyDescent="0.25">
      <c r="A36112" t="str">
        <f>HYPERLINK("https://www.773grp.com/globalSearch/MC14051BFELG/page-1", "MC14051BFELG")</f>
        <v>MC14051BFELG</v>
      </c>
      <c r="B36112" s="3" t="s">
        <v>95</v>
      </c>
      <c r="C36112" s="6">
        <v>6500</v>
      </c>
      <c r="D36112" s="7">
        <v>1.36</v>
      </c>
      <c r="E36112" t="s">
        <v>56</v>
      </c>
    </row>
    <row r="36113" spans="1:5" x14ac:dyDescent="0.25">
      <c r="A36113" t="str">
        <f>HYPERLINK("https://www.773grp.com/globalSearch/MC14052BFELG/page-1", "MC14052BFELG")</f>
        <v>MC14052BFELG</v>
      </c>
      <c r="B36113" s="3" t="s">
        <v>95</v>
      </c>
      <c r="C36113" s="6">
        <v>347910</v>
      </c>
      <c r="D36113" s="7">
        <v>1.36</v>
      </c>
      <c r="E36113" t="s">
        <v>56</v>
      </c>
    </row>
    <row r="36114" spans="1:5" x14ac:dyDescent="0.25">
      <c r="A36114" t="str">
        <f>HYPERLINK("https://www.773grp.com/globalSearch/MC14053BFELG/page-1", "MC14053BFELG")</f>
        <v>MC14053BFELG</v>
      </c>
      <c r="B36114" s="3" t="s">
        <v>95</v>
      </c>
      <c r="C36114" s="6">
        <v>951</v>
      </c>
      <c r="D36114" s="7">
        <v>1.36</v>
      </c>
      <c r="E36114" t="s">
        <v>56</v>
      </c>
    </row>
    <row r="36115" spans="1:5" x14ac:dyDescent="0.25">
      <c r="A36115" t="str">
        <f>HYPERLINK("https://www.773grp.com/globalSearch/MC14511BDWR2/page-1", "MC14511BDWR2")</f>
        <v>MC14511BDWR2</v>
      </c>
      <c r="B36115" s="3" t="s">
        <v>95</v>
      </c>
      <c r="C36115" s="6">
        <v>1442</v>
      </c>
      <c r="D36115" s="7">
        <v>1.36</v>
      </c>
      <c r="E36115" t="s">
        <v>36</v>
      </c>
    </row>
    <row r="36116" spans="1:5" x14ac:dyDescent="0.25">
      <c r="A36116" t="str">
        <f>HYPERLINK("https://www.773grp.com/globalSearch/MC14511BDWR2G/page-1", "MC14511BDWR2G")</f>
        <v>MC14511BDWR2G</v>
      </c>
      <c r="B36116" s="3" t="s">
        <v>95</v>
      </c>
      <c r="C36116" s="6">
        <v>1749</v>
      </c>
      <c r="D36116" s="7">
        <v>1.36</v>
      </c>
      <c r="E36116" t="s">
        <v>36</v>
      </c>
    </row>
    <row r="36117" spans="1:5" x14ac:dyDescent="0.25">
      <c r="A36117" t="str">
        <f>HYPERLINK("https://www.773grp.com/globalSearch/MC14511BFELG/page-1", "MC14511BFELG")</f>
        <v>MC14511BFELG</v>
      </c>
      <c r="B36117" s="3" t="s">
        <v>95</v>
      </c>
      <c r="C36117" s="6">
        <v>43690</v>
      </c>
      <c r="D36117" s="7">
        <v>1.36</v>
      </c>
      <c r="E36117" t="s">
        <v>36</v>
      </c>
    </row>
    <row r="36118" spans="1:5" x14ac:dyDescent="0.25">
      <c r="A36118" t="str">
        <f>HYPERLINK("https://www.773grp.com/globalSearch/MC14518BDWG/page-1", "MC14518BDWG")</f>
        <v>MC14518BDWG</v>
      </c>
      <c r="B36118" s="3" t="s">
        <v>95</v>
      </c>
      <c r="C36118" s="6">
        <v>9724</v>
      </c>
      <c r="D36118" s="7">
        <v>1.36</v>
      </c>
      <c r="E36118" t="s">
        <v>26</v>
      </c>
    </row>
    <row r="36119" spans="1:5" x14ac:dyDescent="0.25">
      <c r="A36119" t="str">
        <f>HYPERLINK("https://www.773grp.com/globalSearch/MC14518BDWR2G/page-1", "MC14518BDWR2G")</f>
        <v>MC14518BDWR2G</v>
      </c>
      <c r="B36119" s="3" t="s">
        <v>95</v>
      </c>
      <c r="C36119" s="6">
        <v>3692</v>
      </c>
      <c r="D36119" s="7">
        <v>1.36</v>
      </c>
      <c r="E36119" t="s">
        <v>26</v>
      </c>
    </row>
    <row r="36120" spans="1:5" x14ac:dyDescent="0.25">
      <c r="A36120" t="str">
        <f>HYPERLINK("https://www.773grp.com/globalSearch/MC14520BDWG/page-1", "MC14520BDWG")</f>
        <v>MC14520BDWG</v>
      </c>
      <c r="B36120" s="3" t="s">
        <v>95</v>
      </c>
      <c r="C36120" s="6">
        <v>5434</v>
      </c>
      <c r="D36120" s="7">
        <v>1.36</v>
      </c>
      <c r="E36120" t="s">
        <v>26</v>
      </c>
    </row>
    <row r="36121" spans="1:5" x14ac:dyDescent="0.25">
      <c r="A36121" t="str">
        <f>HYPERLINK("https://www.773grp.com/globalSearch/MC14520BDWR2G/page-1", "MC14520BDWR2G")</f>
        <v>MC14520BDWR2G</v>
      </c>
      <c r="B36121" s="3" t="s">
        <v>95</v>
      </c>
      <c r="C36121" s="6">
        <v>3397</v>
      </c>
      <c r="D36121" s="7">
        <v>1.36</v>
      </c>
      <c r="E36121" t="s">
        <v>26</v>
      </c>
    </row>
    <row r="36122" spans="1:5" x14ac:dyDescent="0.25">
      <c r="A36122" t="str">
        <f>HYPERLINK("https://www.773grp.com/globalSearch/MC14528BFELG/page-1", "MC14528BFELG")</f>
        <v>MC14528BFELG</v>
      </c>
      <c r="B36122" s="3" t="s">
        <v>95</v>
      </c>
      <c r="C36122" s="6">
        <v>4000</v>
      </c>
      <c r="D36122" s="7">
        <v>1.36</v>
      </c>
    </row>
    <row r="36123" spans="1:5" x14ac:dyDescent="0.25">
      <c r="A36123" t="str">
        <f>HYPERLINK("https://www.773grp.com/globalSearch/MC14528BFG/page-1", "MC14528BFG")</f>
        <v>MC14528BFG</v>
      </c>
      <c r="B36123" s="3" t="s">
        <v>95</v>
      </c>
      <c r="C36123" s="6">
        <v>150</v>
      </c>
      <c r="D36123" s="7">
        <v>1.36</v>
      </c>
      <c r="E36123" t="s">
        <v>54</v>
      </c>
    </row>
    <row r="36124" spans="1:5" x14ac:dyDescent="0.25">
      <c r="A36124" t="str">
        <f>HYPERLINK("https://www.773grp.com/globalSearch/MC14532BCPG/page-1", "MC14532BCPG")</f>
        <v>MC14532BCPG</v>
      </c>
      <c r="B36124" s="3" t="s">
        <v>95</v>
      </c>
      <c r="C36124" s="6">
        <v>6343</v>
      </c>
      <c r="D36124" s="7">
        <v>1.36</v>
      </c>
      <c r="E36124" t="s">
        <v>43</v>
      </c>
    </row>
    <row r="36125" spans="1:5" x14ac:dyDescent="0.25">
      <c r="A36125" t="str">
        <f>HYPERLINK("https://www.773grp.com/globalSearch/MC14532BDG/page-1", "MC14532BDG")</f>
        <v>MC14532BDG</v>
      </c>
      <c r="B36125" s="3" t="s">
        <v>95</v>
      </c>
      <c r="C36125" s="6">
        <v>27167</v>
      </c>
      <c r="D36125" s="7">
        <v>1.36</v>
      </c>
      <c r="E36125" t="s">
        <v>43</v>
      </c>
    </row>
    <row r="36126" spans="1:5" x14ac:dyDescent="0.25">
      <c r="A36126" t="str">
        <f>HYPERLINK("https://www.773grp.com/globalSearch/MC14532BDR2G/page-1", "MC14532BDR2G")</f>
        <v>MC14532BDR2G</v>
      </c>
      <c r="B36126" s="3" t="s">
        <v>95</v>
      </c>
      <c r="C36126" s="6">
        <v>59837</v>
      </c>
      <c r="D36126" s="7">
        <v>1.36</v>
      </c>
      <c r="E36126" t="s">
        <v>43</v>
      </c>
    </row>
    <row r="36127" spans="1:5" x14ac:dyDescent="0.25">
      <c r="A36127" t="str">
        <f>HYPERLINK("https://www.773grp.com/globalSearch/MC14584BFELG/page-1", "MC14584BFELG")</f>
        <v>MC14584BFELG</v>
      </c>
      <c r="B36127" s="3" t="s">
        <v>95</v>
      </c>
      <c r="C36127" s="6">
        <v>21746</v>
      </c>
      <c r="D36127" s="7">
        <v>1.36</v>
      </c>
      <c r="E36127" t="s">
        <v>31</v>
      </c>
    </row>
    <row r="36128" spans="1:5" x14ac:dyDescent="0.25">
      <c r="A36128" t="str">
        <f>HYPERLINK("https://www.773grp.com/globalSearch/MC1488MELG/page-1", "MC1488MELG")</f>
        <v>MC1488MELG</v>
      </c>
      <c r="B36128" s="3" t="s">
        <v>95</v>
      </c>
      <c r="C36128" s="6">
        <v>125116</v>
      </c>
      <c r="D36128" s="7">
        <v>1.36</v>
      </c>
    </row>
    <row r="36129" spans="1:5" x14ac:dyDescent="0.25">
      <c r="A36129" t="str">
        <f>HYPERLINK("https://www.773grp.com/globalSearch/MC1488MG/page-1", "MC1488MG")</f>
        <v>MC1488MG</v>
      </c>
      <c r="B36129" s="3" t="s">
        <v>95</v>
      </c>
      <c r="C36129" s="6">
        <v>4200</v>
      </c>
      <c r="D36129" s="7">
        <v>1.36</v>
      </c>
      <c r="E36129" t="s">
        <v>21</v>
      </c>
    </row>
    <row r="36130" spans="1:5" x14ac:dyDescent="0.25">
      <c r="A36130" t="str">
        <f>HYPERLINK("https://www.773grp.com/globalSearch/MC1489AMEL/page-1", "MC1489AMEL")</f>
        <v>MC1489AMEL</v>
      </c>
      <c r="B36130" s="3" t="s">
        <v>95</v>
      </c>
      <c r="C36130" s="6">
        <v>2670</v>
      </c>
      <c r="D36130" s="7">
        <v>1.36</v>
      </c>
      <c r="E36130" t="s">
        <v>21</v>
      </c>
    </row>
    <row r="36131" spans="1:5" x14ac:dyDescent="0.25">
      <c r="A36131" t="str">
        <f>HYPERLINK("https://www.773grp.com/globalSearch/MC1489AMELG/page-1", "MC1489AMELG")</f>
        <v>MC1489AMELG</v>
      </c>
      <c r="B36131" s="3" t="s">
        <v>95</v>
      </c>
      <c r="C36131" s="6">
        <v>55234</v>
      </c>
      <c r="D36131" s="7">
        <v>1.36</v>
      </c>
      <c r="E36131" t="s">
        <v>21</v>
      </c>
    </row>
    <row r="36132" spans="1:5" x14ac:dyDescent="0.25">
      <c r="A36132" t="str">
        <f>HYPERLINK("https://www.773grp.com/globalSearch/MC1489AMG/page-1", "MC1489AMG")</f>
        <v>MC1489AMG</v>
      </c>
      <c r="B36132" s="3" t="s">
        <v>95</v>
      </c>
      <c r="C36132" s="6">
        <v>1200</v>
      </c>
      <c r="D36132" s="7">
        <v>1.36</v>
      </c>
      <c r="E36132" t="s">
        <v>21</v>
      </c>
    </row>
    <row r="36133" spans="1:5" x14ac:dyDescent="0.25">
      <c r="A36133" t="str">
        <f>HYPERLINK("https://www.773grp.com/globalSearch/MC33204P/page-1", "MC33204P")</f>
        <v>MC33204P</v>
      </c>
      <c r="B36133" s="3" t="s">
        <v>95</v>
      </c>
      <c r="C36133" s="6">
        <v>3385</v>
      </c>
      <c r="D36133" s="7">
        <v>1.36</v>
      </c>
      <c r="E36133" t="s">
        <v>13</v>
      </c>
    </row>
    <row r="36134" spans="1:5" x14ac:dyDescent="0.25">
      <c r="A36134" t="str">
        <f>HYPERLINK("https://www.773grp.com/globalSearch/MC34060P/page-1", "MC34060P")</f>
        <v>MC34060P</v>
      </c>
      <c r="B36134" s="3" t="s">
        <v>95</v>
      </c>
      <c r="C36134" s="6">
        <v>605</v>
      </c>
      <c r="D36134" s="7">
        <v>1.36</v>
      </c>
      <c r="E36134" t="s">
        <v>7</v>
      </c>
    </row>
    <row r="36135" spans="1:5" x14ac:dyDescent="0.25">
      <c r="A36135" t="str">
        <f>HYPERLINK("https://www.773grp.com/globalSearch/MC34151P/page-1", "MC34151P")</f>
        <v>MC34151P</v>
      </c>
      <c r="B36135" s="3" t="s">
        <v>95</v>
      </c>
      <c r="C36135" s="6">
        <v>730</v>
      </c>
      <c r="D36135" s="7">
        <v>1.36</v>
      </c>
      <c r="E36135" t="s">
        <v>16</v>
      </c>
    </row>
    <row r="36136" spans="1:5" x14ac:dyDescent="0.25">
      <c r="A36136" t="str">
        <f>HYPERLINK("https://www.773grp.com/globalSearch/MC74AC00MELG/page-1", "MC74AC00MELG")</f>
        <v>MC74AC00MELG</v>
      </c>
      <c r="B36136" s="3" t="s">
        <v>95</v>
      </c>
      <c r="C36136" s="6">
        <v>13890</v>
      </c>
      <c r="D36136" s="7">
        <v>1.36</v>
      </c>
      <c r="E36136" t="s">
        <v>31</v>
      </c>
    </row>
    <row r="36137" spans="1:5" x14ac:dyDescent="0.25">
      <c r="A36137" t="str">
        <f>HYPERLINK("https://www.773grp.com/globalSearch/MC74AC02MELG/page-1", "MC74AC02MELG")</f>
        <v>MC74AC02MELG</v>
      </c>
      <c r="B36137" s="3" t="s">
        <v>95</v>
      </c>
      <c r="C36137" s="6">
        <v>11700</v>
      </c>
      <c r="D36137" s="7">
        <v>1.36</v>
      </c>
      <c r="E36137" t="s">
        <v>31</v>
      </c>
    </row>
    <row r="36138" spans="1:5" x14ac:dyDescent="0.25">
      <c r="A36138" t="str">
        <f>HYPERLINK("https://www.773grp.com/globalSearch/MC74AC04MELG/page-1", "MC74AC04MELG")</f>
        <v>MC74AC04MELG</v>
      </c>
      <c r="B36138" s="3" t="s">
        <v>95</v>
      </c>
      <c r="C36138" s="6">
        <v>18907</v>
      </c>
      <c r="D36138" s="7">
        <v>1.36</v>
      </c>
      <c r="E36138" t="s">
        <v>31</v>
      </c>
    </row>
    <row r="36139" spans="1:5" x14ac:dyDescent="0.25">
      <c r="A36139" t="str">
        <f>HYPERLINK("https://www.773grp.com/globalSearch/MC74AC05MELG/page-1", "MC74AC05MELG")</f>
        <v>MC74AC05MELG</v>
      </c>
      <c r="B36139" s="3" t="s">
        <v>95</v>
      </c>
      <c r="C36139" s="6">
        <v>8000</v>
      </c>
      <c r="D36139" s="7">
        <v>1.36</v>
      </c>
      <c r="E36139" t="s">
        <v>31</v>
      </c>
    </row>
    <row r="36140" spans="1:5" x14ac:dyDescent="0.25">
      <c r="A36140" t="str">
        <f>HYPERLINK("https://www.773grp.com/globalSearch/MC74AC08MELG/page-1", "MC74AC08MELG")</f>
        <v>MC74AC08MELG</v>
      </c>
      <c r="B36140" s="3" t="s">
        <v>95</v>
      </c>
      <c r="C36140" s="6">
        <v>2000</v>
      </c>
      <c r="D36140" s="7">
        <v>1.36</v>
      </c>
      <c r="E36140" t="s">
        <v>31</v>
      </c>
    </row>
    <row r="36141" spans="1:5" x14ac:dyDescent="0.25">
      <c r="A36141" t="str">
        <f>HYPERLINK("https://www.773grp.com/globalSearch/MC74AC11MELG/page-1", "MC74AC11MELG")</f>
        <v>MC74AC11MELG</v>
      </c>
      <c r="B36141" s="3" t="s">
        <v>95</v>
      </c>
      <c r="C36141" s="6">
        <v>3185</v>
      </c>
      <c r="D36141" s="7">
        <v>1.36</v>
      </c>
      <c r="E36141" t="s">
        <v>31</v>
      </c>
    </row>
    <row r="36142" spans="1:5" x14ac:dyDescent="0.25">
      <c r="A36142" t="str">
        <f>HYPERLINK("https://www.773grp.com/globalSearch/MC74AC20MELG/page-1", "MC74AC20MELG")</f>
        <v>MC74AC20MELG</v>
      </c>
      <c r="B36142" s="3" t="s">
        <v>95</v>
      </c>
      <c r="C36142" s="6">
        <v>11900</v>
      </c>
      <c r="D36142" s="7">
        <v>1.36</v>
      </c>
      <c r="E36142" t="s">
        <v>31</v>
      </c>
    </row>
    <row r="36143" spans="1:5" x14ac:dyDescent="0.25">
      <c r="A36143" t="str">
        <f>HYPERLINK("https://www.773grp.com/globalSearch/MC74AC377DTG/page-1", "MC74AC377DTG")</f>
        <v>MC74AC377DTG</v>
      </c>
      <c r="B36143" s="3" t="s">
        <v>95</v>
      </c>
      <c r="C36143" s="6">
        <v>1125</v>
      </c>
      <c r="D36143" s="7">
        <v>1.36</v>
      </c>
      <c r="E36143" t="s">
        <v>35</v>
      </c>
    </row>
    <row r="36144" spans="1:5" x14ac:dyDescent="0.25">
      <c r="A36144" t="str">
        <f>HYPERLINK("https://www.773grp.com/globalSearch/MC74AC377DTR2G/page-1", "MC74AC377DTR2G")</f>
        <v>MC74AC377DTR2G</v>
      </c>
      <c r="B36144" s="3" t="s">
        <v>95</v>
      </c>
      <c r="C36144" s="6">
        <v>11394</v>
      </c>
      <c r="D36144" s="7">
        <v>1.36</v>
      </c>
      <c r="E36144" t="s">
        <v>35</v>
      </c>
    </row>
    <row r="36145" spans="1:5" x14ac:dyDescent="0.25">
      <c r="A36145" t="str">
        <f>HYPERLINK("https://www.773grp.com/globalSearch/MC74AC377DWG/page-1", "MC74AC377DWG")</f>
        <v>MC74AC377DWG</v>
      </c>
      <c r="B36145" s="3" t="s">
        <v>95</v>
      </c>
      <c r="C36145" s="6">
        <v>10340</v>
      </c>
      <c r="D36145" s="7">
        <v>1.36</v>
      </c>
      <c r="E36145" t="s">
        <v>35</v>
      </c>
    </row>
    <row r="36146" spans="1:5" x14ac:dyDescent="0.25">
      <c r="A36146" t="str">
        <f>HYPERLINK("https://www.773grp.com/globalSearch/MC74AC377DWR2G/page-1", "MC74AC377DWR2G")</f>
        <v>MC74AC377DWR2G</v>
      </c>
      <c r="B36146" s="3" t="s">
        <v>95</v>
      </c>
      <c r="C36146" s="6">
        <v>9639</v>
      </c>
      <c r="D36146" s="7">
        <v>1.36</v>
      </c>
      <c r="E36146" t="s">
        <v>35</v>
      </c>
    </row>
    <row r="36147" spans="1:5" x14ac:dyDescent="0.25">
      <c r="A36147" t="str">
        <f>HYPERLINK("https://www.773grp.com/globalSearch/MC74AC4040N/page-1", "MC74AC4040N")</f>
        <v>MC74AC4040N</v>
      </c>
      <c r="B36147" s="3" t="s">
        <v>95</v>
      </c>
      <c r="C36147" s="6">
        <v>1105</v>
      </c>
      <c r="D36147" s="7">
        <v>1.36</v>
      </c>
      <c r="E36147" t="s">
        <v>26</v>
      </c>
    </row>
    <row r="36148" spans="1:5" x14ac:dyDescent="0.25">
      <c r="A36148" t="str">
        <f>HYPERLINK("https://www.773grp.com/globalSearch/MC74ACT00MELG/page-1", "MC74ACT00MELG")</f>
        <v>MC74ACT00MELG</v>
      </c>
      <c r="B36148" s="3" t="s">
        <v>95</v>
      </c>
      <c r="C36148" s="6">
        <v>6500</v>
      </c>
      <c r="D36148" s="7">
        <v>1.36</v>
      </c>
      <c r="E36148" t="s">
        <v>31</v>
      </c>
    </row>
    <row r="36149" spans="1:5" x14ac:dyDescent="0.25">
      <c r="A36149" t="str">
        <f>HYPERLINK("https://www.773grp.com/globalSearch/MC74ACT02MELG/page-1", "MC74ACT02MELG")</f>
        <v>MC74ACT02MELG</v>
      </c>
      <c r="B36149" s="3" t="s">
        <v>95</v>
      </c>
      <c r="C36149" s="6">
        <v>18000</v>
      </c>
      <c r="D36149" s="7">
        <v>1.36</v>
      </c>
      <c r="E36149" t="s">
        <v>31</v>
      </c>
    </row>
    <row r="36150" spans="1:5" x14ac:dyDescent="0.25">
      <c r="A36150" t="str">
        <f>HYPERLINK("https://www.773grp.com/globalSearch/MC74ACT04MG/page-1", "MC74ACT04MG")</f>
        <v>MC74ACT04MG</v>
      </c>
      <c r="B36150" s="3" t="s">
        <v>95</v>
      </c>
      <c r="C36150" s="6">
        <v>28350</v>
      </c>
      <c r="D36150" s="7">
        <v>1.36</v>
      </c>
      <c r="E36150" t="s">
        <v>31</v>
      </c>
    </row>
    <row r="36151" spans="1:5" x14ac:dyDescent="0.25">
      <c r="A36151" t="str">
        <f>HYPERLINK("https://www.773grp.com/globalSearch/MC74ACT05MELG/page-1", "MC74ACT05MELG")</f>
        <v>MC74ACT05MELG</v>
      </c>
      <c r="B36151" s="3" t="s">
        <v>95</v>
      </c>
      <c r="C36151" s="6">
        <v>8000</v>
      </c>
      <c r="D36151" s="7">
        <v>1.36</v>
      </c>
      <c r="E36151" t="s">
        <v>31</v>
      </c>
    </row>
    <row r="36152" spans="1:5" x14ac:dyDescent="0.25">
      <c r="A36152" t="str">
        <f>HYPERLINK("https://www.773grp.com/globalSearch/MC74ACT10MELG/page-1", "MC74ACT10MELG")</f>
        <v>MC74ACT10MELG</v>
      </c>
      <c r="B36152" s="3" t="s">
        <v>95</v>
      </c>
      <c r="C36152" s="6">
        <v>2378</v>
      </c>
      <c r="D36152" s="7">
        <v>1.36</v>
      </c>
      <c r="E36152" t="s">
        <v>31</v>
      </c>
    </row>
    <row r="36153" spans="1:5" x14ac:dyDescent="0.25">
      <c r="A36153" t="str">
        <f>HYPERLINK("https://www.773grp.com/globalSearch/MC74ACT11MELG/page-1", "MC74ACT11MELG")</f>
        <v>MC74ACT11MELG</v>
      </c>
      <c r="B36153" s="3" t="s">
        <v>95</v>
      </c>
      <c r="C36153" s="6">
        <v>25295</v>
      </c>
      <c r="D36153" s="7">
        <v>1.36</v>
      </c>
      <c r="E36153" t="s">
        <v>31</v>
      </c>
    </row>
    <row r="36154" spans="1:5" x14ac:dyDescent="0.25">
      <c r="A36154" t="str">
        <f>HYPERLINK("https://www.773grp.com/globalSearch/MC74ACT14M/page-1", "MC74ACT14M")</f>
        <v>MC74ACT14M</v>
      </c>
      <c r="B36154" s="3" t="s">
        <v>95</v>
      </c>
      <c r="C36154" s="6">
        <v>300</v>
      </c>
      <c r="D36154" s="7">
        <v>1.36</v>
      </c>
      <c r="E36154" t="s">
        <v>31</v>
      </c>
    </row>
    <row r="36155" spans="1:5" x14ac:dyDescent="0.25">
      <c r="A36155" t="str">
        <f>HYPERLINK("https://www.773grp.com/globalSearch/MC74ACT14MELG/page-1", "MC74ACT14MELG")</f>
        <v>MC74ACT14MELG</v>
      </c>
      <c r="B36155" s="3" t="s">
        <v>95</v>
      </c>
      <c r="C36155" s="6">
        <v>15157</v>
      </c>
      <c r="D36155" s="7">
        <v>1.36</v>
      </c>
      <c r="E36155" t="s">
        <v>31</v>
      </c>
    </row>
    <row r="36156" spans="1:5" x14ac:dyDescent="0.25">
      <c r="A36156" t="str">
        <f>HYPERLINK("https://www.773grp.com/globalSearch/MC74ACT377DWG/page-1", "MC74ACT377DWG")</f>
        <v>MC74ACT377DWG</v>
      </c>
      <c r="B36156" s="3" t="s">
        <v>95</v>
      </c>
      <c r="C36156" s="6">
        <v>5053</v>
      </c>
      <c r="D36156" s="7">
        <v>1.36</v>
      </c>
      <c r="E36156" t="s">
        <v>35</v>
      </c>
    </row>
    <row r="36157" spans="1:5" x14ac:dyDescent="0.25">
      <c r="A36157" t="str">
        <f>HYPERLINK("https://www.773grp.com/globalSearch/MC74ACT377DWR2G/page-1", "MC74ACT377DWR2G")</f>
        <v>MC74ACT377DWR2G</v>
      </c>
      <c r="B36157" s="3" t="s">
        <v>95</v>
      </c>
      <c r="C36157" s="6">
        <v>243</v>
      </c>
      <c r="D36157" s="7">
        <v>1.36</v>
      </c>
      <c r="E36157" t="s">
        <v>35</v>
      </c>
    </row>
    <row r="36158" spans="1:5" x14ac:dyDescent="0.25">
      <c r="A36158" t="str">
        <f>HYPERLINK("https://www.773grp.com/globalSearch/MC74HC4067ADWG/page-1", "MC74HC4067ADWG")</f>
        <v>MC74HC4067ADWG</v>
      </c>
      <c r="B36158" s="3" t="s">
        <v>95</v>
      </c>
      <c r="C36158" s="6">
        <v>11840</v>
      </c>
      <c r="D36158" s="7">
        <v>1.36</v>
      </c>
    </row>
    <row r="36159" spans="1:5" x14ac:dyDescent="0.25">
      <c r="A36159" t="str">
        <f>HYPERLINK("https://www.773grp.com/globalSearch/MC74HC540ADTR2G/page-1", "MC74HC540ADTR2G")</f>
        <v>MC74HC540ADTR2G</v>
      </c>
      <c r="B36159" s="3" t="s">
        <v>95</v>
      </c>
      <c r="C36159" s="6">
        <v>1837</v>
      </c>
      <c r="D36159" s="7">
        <v>1.36</v>
      </c>
    </row>
    <row r="36160" spans="1:5" x14ac:dyDescent="0.25">
      <c r="A36160" t="str">
        <f>HYPERLINK("https://www.773grp.com/globalSearch/MC74HC540ADWG/page-1", "MC74HC540ADWG")</f>
        <v>MC74HC540ADWG</v>
      </c>
      <c r="B36160" s="3" t="s">
        <v>95</v>
      </c>
      <c r="C36160" s="6">
        <v>4304</v>
      </c>
      <c r="D36160" s="7">
        <v>1.36</v>
      </c>
      <c r="E36160" t="s">
        <v>14</v>
      </c>
    </row>
    <row r="36161" spans="1:5" x14ac:dyDescent="0.25">
      <c r="A36161" t="str">
        <f>HYPERLINK("https://www.773grp.com/globalSearch/MC74HC540ADWR2G/page-1", "MC74HC540ADWR2G")</f>
        <v>MC74HC540ADWR2G</v>
      </c>
      <c r="B36161" s="3" t="s">
        <v>95</v>
      </c>
      <c r="C36161" s="6">
        <v>6000</v>
      </c>
      <c r="D36161" s="7">
        <v>1.36</v>
      </c>
      <c r="E36161" t="s">
        <v>14</v>
      </c>
    </row>
    <row r="36162" spans="1:5" x14ac:dyDescent="0.25">
      <c r="A36162" t="str">
        <f>HYPERLINK("https://www.773grp.com/globalSearch/MC74HC541ADTG/page-1", "MC74HC541ADTG")</f>
        <v>MC74HC541ADTG</v>
      </c>
      <c r="B36162" s="3" t="s">
        <v>95</v>
      </c>
      <c r="C36162" s="6">
        <v>10633</v>
      </c>
      <c r="D36162" s="7">
        <v>1.36</v>
      </c>
      <c r="E36162" t="s">
        <v>14</v>
      </c>
    </row>
    <row r="36163" spans="1:5" x14ac:dyDescent="0.25">
      <c r="A36163" t="str">
        <f>HYPERLINK("https://www.773grp.com/globalSearch/MC74HC541ADTR2G/page-1", "MC74HC541ADTR2G")</f>
        <v>MC74HC541ADTR2G</v>
      </c>
      <c r="B36163" s="3" t="s">
        <v>95</v>
      </c>
      <c r="C36163" s="6">
        <v>36490</v>
      </c>
      <c r="D36163" s="7">
        <v>1.36</v>
      </c>
      <c r="E36163" t="s">
        <v>14</v>
      </c>
    </row>
    <row r="36164" spans="1:5" x14ac:dyDescent="0.25">
      <c r="A36164" t="str">
        <f>HYPERLINK("https://www.773grp.com/globalSearch/MC74HC541ADWG/page-1", "MC74HC541ADWG")</f>
        <v>MC74HC541ADWG</v>
      </c>
      <c r="B36164" s="3" t="s">
        <v>95</v>
      </c>
      <c r="C36164" s="6">
        <v>7473</v>
      </c>
      <c r="D36164" s="7">
        <v>1.36</v>
      </c>
      <c r="E36164" t="s">
        <v>14</v>
      </c>
    </row>
    <row r="36165" spans="1:5" x14ac:dyDescent="0.25">
      <c r="A36165" t="str">
        <f>HYPERLINK("https://www.773grp.com/globalSearch/MC74HC541ADWR2/page-1", "MC74HC541ADWR2")</f>
        <v>MC74HC541ADWR2</v>
      </c>
      <c r="B36165" s="3" t="s">
        <v>95</v>
      </c>
      <c r="C36165" s="6">
        <v>26900</v>
      </c>
      <c r="D36165" s="7">
        <v>1.36</v>
      </c>
    </row>
    <row r="36166" spans="1:5" x14ac:dyDescent="0.25">
      <c r="A36166" t="str">
        <f>HYPERLINK("https://www.773grp.com/globalSearch/MC74HC541ADWR2G/page-1", "MC74HC541ADWR2G")</f>
        <v>MC74HC541ADWR2G</v>
      </c>
      <c r="B36166" s="3" t="s">
        <v>95</v>
      </c>
      <c r="C36166" s="6">
        <v>47612</v>
      </c>
      <c r="D36166" s="7">
        <v>1.36</v>
      </c>
      <c r="E36166" t="s">
        <v>14</v>
      </c>
    </row>
    <row r="36167" spans="1:5" x14ac:dyDescent="0.25">
      <c r="A36167" t="str">
        <f>HYPERLINK("https://www.773grp.com/globalSearch/MC74HCT245AN/page-1", "MC74HCT245AN")</f>
        <v>MC74HCT245AN</v>
      </c>
      <c r="B36167" s="3" t="s">
        <v>95</v>
      </c>
      <c r="C36167" s="6">
        <v>24102</v>
      </c>
      <c r="D36167" s="7">
        <v>1.36</v>
      </c>
    </row>
    <row r="36168" spans="1:5" x14ac:dyDescent="0.25">
      <c r="A36168" t="str">
        <f>HYPERLINK("https://www.773grp.com/globalSearch/MC74HCT541ADTR2G/page-1", "MC74HCT541ADTR2G")</f>
        <v>MC74HCT541ADTR2G</v>
      </c>
      <c r="B36168" s="3" t="s">
        <v>95</v>
      </c>
      <c r="C36168" s="6">
        <v>33060</v>
      </c>
      <c r="D36168" s="7">
        <v>1.36</v>
      </c>
      <c r="E36168" t="s">
        <v>14</v>
      </c>
    </row>
    <row r="36169" spans="1:5" x14ac:dyDescent="0.25">
      <c r="A36169" t="str">
        <f>HYPERLINK("https://www.773grp.com/globalSearch/MC74HCT541ADW/page-1", "MC74HCT541ADW")</f>
        <v>MC74HCT541ADW</v>
      </c>
      <c r="B36169" s="3" t="s">
        <v>95</v>
      </c>
      <c r="C36169" s="6">
        <v>266</v>
      </c>
      <c r="D36169" s="7">
        <v>1.36</v>
      </c>
      <c r="E36169" t="s">
        <v>14</v>
      </c>
    </row>
    <row r="36170" spans="1:5" x14ac:dyDescent="0.25">
      <c r="A36170" t="str">
        <f>HYPERLINK("https://www.773grp.com/globalSearch/MC74HCT541ADWG/page-1", "MC74HCT541ADWG")</f>
        <v>MC74HCT541ADWG</v>
      </c>
      <c r="B36170" s="3" t="s">
        <v>95</v>
      </c>
      <c r="C36170" s="6">
        <v>1788</v>
      </c>
      <c r="D36170" s="7">
        <v>1.36</v>
      </c>
      <c r="E36170" t="s">
        <v>14</v>
      </c>
    </row>
    <row r="36171" spans="1:5" x14ac:dyDescent="0.25">
      <c r="A36171" t="str">
        <f>HYPERLINK("https://www.773grp.com/globalSearch/MC74HCT541ADWR2/page-1", "MC74HCT541ADWR2")</f>
        <v>MC74HCT541ADWR2</v>
      </c>
      <c r="B36171" s="3" t="s">
        <v>95</v>
      </c>
      <c r="C36171" s="6">
        <v>485</v>
      </c>
      <c r="D36171" s="7">
        <v>1.36</v>
      </c>
      <c r="E36171" t="s">
        <v>14</v>
      </c>
    </row>
    <row r="36172" spans="1:5" x14ac:dyDescent="0.25">
      <c r="A36172" t="str">
        <f>HYPERLINK("https://www.773grp.com/globalSearch/MC74HCT541ADWR2G/page-1", "MC74HCT541ADWR2G")</f>
        <v>MC74HCT541ADWR2G</v>
      </c>
      <c r="B36172" s="3" t="s">
        <v>95</v>
      </c>
      <c r="C36172" s="6">
        <v>3943</v>
      </c>
      <c r="D36172" s="7">
        <v>1.36</v>
      </c>
      <c r="E36172" t="s">
        <v>14</v>
      </c>
    </row>
    <row r="36173" spans="1:5" x14ac:dyDescent="0.25">
      <c r="A36173" t="str">
        <f>HYPERLINK("https://www.773grp.com/globalSearch/MC74LVQ04DTR2/page-1", "MC74LVQ04DTR2")</f>
        <v>MC74LVQ04DTR2</v>
      </c>
      <c r="B36173" s="3" t="s">
        <v>95</v>
      </c>
      <c r="C36173" s="6">
        <v>5000</v>
      </c>
      <c r="D36173" s="7">
        <v>1.36</v>
      </c>
    </row>
    <row r="36174" spans="1:5" x14ac:dyDescent="0.25">
      <c r="A36174" t="str">
        <f>HYPERLINK("https://www.773grp.com/globalSearch/MC74LVX4066MELG/page-1", "MC74LVX4066MELG")</f>
        <v>MC74LVX4066MELG</v>
      </c>
      <c r="B36174" s="3" t="s">
        <v>95</v>
      </c>
      <c r="C36174" s="6">
        <v>47344</v>
      </c>
      <c r="D36174" s="7">
        <v>1.36</v>
      </c>
      <c r="E36174" t="s">
        <v>56</v>
      </c>
    </row>
    <row r="36175" spans="1:5" x14ac:dyDescent="0.25">
      <c r="A36175" t="str">
        <f>HYPERLINK("https://www.773grp.com/globalSearch/MC74VHC4052MELG/page-1", "MC74VHC4052MELG")</f>
        <v>MC74VHC4052MELG</v>
      </c>
      <c r="B36175" s="3" t="s">
        <v>95</v>
      </c>
      <c r="C36175" s="6">
        <v>2000</v>
      </c>
      <c r="D36175" s="7">
        <v>1.36</v>
      </c>
    </row>
    <row r="36176" spans="1:5" x14ac:dyDescent="0.25">
      <c r="A36176" t="str">
        <f>HYPERLINK("https://www.773grp.com/globalSearch/MC74VHC4052MG/page-1", "MC74VHC4052MG")</f>
        <v>MC74VHC4052MG</v>
      </c>
      <c r="B36176" s="3" t="s">
        <v>95</v>
      </c>
      <c r="C36176" s="6">
        <v>2100</v>
      </c>
      <c r="D36176" s="7">
        <v>1.36</v>
      </c>
    </row>
    <row r="36177" spans="1:5" x14ac:dyDescent="0.25">
      <c r="A36177" t="str">
        <f>HYPERLINK("https://www.773grp.com/globalSearch/MC74VHC4053MG/page-1", "MC74VHC4053MG")</f>
        <v>MC74VHC4053MG</v>
      </c>
      <c r="B36177" s="3" t="s">
        <v>95</v>
      </c>
      <c r="C36177" s="6">
        <v>6700</v>
      </c>
      <c r="D36177" s="7">
        <v>1.36</v>
      </c>
    </row>
    <row r="36178" spans="1:5" x14ac:dyDescent="0.25">
      <c r="A36178" t="str">
        <f>HYPERLINK("https://www.773grp.com/globalSearch/MC7905.2CTG/page-1", "MC7905.2CTG")</f>
        <v>MC7905.2CTG</v>
      </c>
      <c r="B36178" s="3" t="s">
        <v>95</v>
      </c>
      <c r="C36178" s="6">
        <v>4350</v>
      </c>
      <c r="D36178" s="7">
        <v>1.36</v>
      </c>
      <c r="E36178" t="s">
        <v>65</v>
      </c>
    </row>
    <row r="36179" spans="1:5" x14ac:dyDescent="0.25">
      <c r="A36179" t="str">
        <f>HYPERLINK("https://www.773grp.com/globalSearch/MC79M12CT/page-1", "MC79M12CT")</f>
        <v>MC79M12CT</v>
      </c>
      <c r="B36179" s="3" t="s">
        <v>95</v>
      </c>
      <c r="C36179" s="6">
        <v>15050</v>
      </c>
      <c r="D36179" s="7">
        <v>1.36</v>
      </c>
      <c r="E36179" t="s">
        <v>65</v>
      </c>
    </row>
    <row r="36180" spans="1:5" x14ac:dyDescent="0.25">
      <c r="A36180" t="str">
        <f>HYPERLINK("https://www.773grp.com/globalSearch/MCR69-002/page-1", "MCR69-002")</f>
        <v>MCR69-002</v>
      </c>
      <c r="B36180" s="3" t="s">
        <v>95</v>
      </c>
      <c r="C36180" s="6">
        <v>4080</v>
      </c>
      <c r="D36180" s="7">
        <v>1.36</v>
      </c>
    </row>
    <row r="36181" spans="1:5" x14ac:dyDescent="0.25">
      <c r="A36181" t="str">
        <f>HYPERLINK("https://www.773grp.com/globalSearch/MCR69-003/page-1", "MCR69-003")</f>
        <v>MCR69-003</v>
      </c>
      <c r="B36181" s="3" t="s">
        <v>95</v>
      </c>
      <c r="C36181" s="6">
        <v>1889</v>
      </c>
      <c r="D36181" s="7">
        <v>1.36</v>
      </c>
    </row>
    <row r="36182" spans="1:5" x14ac:dyDescent="0.25">
      <c r="A36182" t="str">
        <f>HYPERLINK("https://www.773grp.com/globalSearch/MJD41CRL/page-1", "MJD41CRL")</f>
        <v>MJD41CRL</v>
      </c>
      <c r="B36182" s="3" t="s">
        <v>95</v>
      </c>
      <c r="C36182" s="6">
        <v>1800</v>
      </c>
      <c r="D36182" s="7">
        <v>1.36</v>
      </c>
      <c r="E36182" t="s">
        <v>59</v>
      </c>
    </row>
    <row r="36183" spans="1:5" x14ac:dyDescent="0.25">
      <c r="A36183" t="str">
        <f>HYPERLINK("https://www.773grp.com/globalSearch/MPTE-010/page-1", "MPTE-010")</f>
        <v>MPTE-010</v>
      </c>
      <c r="B36183" s="3" t="s">
        <v>95</v>
      </c>
      <c r="C36183" s="6">
        <v>1500</v>
      </c>
      <c r="D36183" s="7">
        <v>1.36</v>
      </c>
    </row>
    <row r="36184" spans="1:5" x14ac:dyDescent="0.25">
      <c r="A36184" t="str">
        <f>HYPERLINK("https://www.773grp.com/globalSearch/MTP2N40E/page-1", "MTP2N40E")</f>
        <v>MTP2N40E</v>
      </c>
      <c r="B36184" s="3" t="s">
        <v>95</v>
      </c>
      <c r="C36184" s="6">
        <v>106</v>
      </c>
      <c r="D36184" s="7">
        <v>1.36</v>
      </c>
      <c r="E36184" t="s">
        <v>105</v>
      </c>
    </row>
    <row r="36185" spans="1:5" x14ac:dyDescent="0.25">
      <c r="A36185" t="str">
        <f>HYPERLINK("https://www.773grp.com/globalSearch/MUR1610CT/page-1", "MUR1610CT")</f>
        <v>MUR1610CT</v>
      </c>
      <c r="B36185" s="3" t="s">
        <v>95</v>
      </c>
      <c r="C36185" s="6">
        <v>20300</v>
      </c>
      <c r="D36185" s="7">
        <v>1.36</v>
      </c>
      <c r="E36185" t="s">
        <v>103</v>
      </c>
    </row>
    <row r="36186" spans="1:5" x14ac:dyDescent="0.25">
      <c r="A36186" t="str">
        <f>HYPERLINK("https://www.773grp.com/globalSearch/MUR1615CT/page-1", "MUR1615CT")</f>
        <v>MUR1615CT</v>
      </c>
      <c r="B36186" s="3" t="s">
        <v>95</v>
      </c>
      <c r="C36186" s="6">
        <v>800</v>
      </c>
      <c r="D36186" s="7">
        <v>1.36</v>
      </c>
      <c r="E36186" t="s">
        <v>103</v>
      </c>
    </row>
    <row r="36187" spans="1:5" x14ac:dyDescent="0.25">
      <c r="A36187" t="str">
        <f>HYPERLINK("https://www.773grp.com/globalSearch/MUR1620CT/page-1", "MUR1620CT")</f>
        <v>MUR1620CT</v>
      </c>
      <c r="B36187" s="3" t="s">
        <v>95</v>
      </c>
      <c r="C36187" s="6">
        <v>188</v>
      </c>
      <c r="D36187" s="7">
        <v>1.36</v>
      </c>
      <c r="E36187" t="s">
        <v>103</v>
      </c>
    </row>
    <row r="36188" spans="1:5" x14ac:dyDescent="0.25">
      <c r="A36188" t="str">
        <f>HYPERLINK("https://www.773grp.com/globalSearch/MURS340T3G/page-1", "MURS340T3G")</f>
        <v>MURS340T3G</v>
      </c>
      <c r="B36188" s="3" t="s">
        <v>95</v>
      </c>
      <c r="C36188" s="6">
        <v>5000</v>
      </c>
      <c r="D36188" s="7">
        <v>1.36</v>
      </c>
      <c r="E36188" t="s">
        <v>103</v>
      </c>
    </row>
    <row r="36189" spans="1:5" x14ac:dyDescent="0.25">
      <c r="A36189" t="str">
        <f>HYPERLINK("https://www.773grp.com/globalSearch/MURS360T3G/page-1", "MURS360T3G")</f>
        <v>MURS360T3G</v>
      </c>
      <c r="B36189" s="3" t="s">
        <v>95</v>
      </c>
      <c r="C36189" s="6">
        <v>20000</v>
      </c>
      <c r="D36189" s="7">
        <v>1.36</v>
      </c>
      <c r="E36189" t="s">
        <v>103</v>
      </c>
    </row>
    <row r="36190" spans="1:5" x14ac:dyDescent="0.25">
      <c r="A36190" t="str">
        <f>HYPERLINK("https://www.773grp.com/globalSearch/MV2108/page-1", "MV2108")</f>
        <v>MV2108</v>
      </c>
      <c r="B36190" s="3" t="s">
        <v>95</v>
      </c>
      <c r="C36190" s="6">
        <v>35798</v>
      </c>
      <c r="D36190" s="7">
        <v>1.36</v>
      </c>
      <c r="E36190" t="s">
        <v>101</v>
      </c>
    </row>
    <row r="36191" spans="1:5" x14ac:dyDescent="0.25">
      <c r="A36191" t="str">
        <f>HYPERLINK("https://www.773grp.com/globalSearch/NCP1001P/page-1", "NCP1001P")</f>
        <v>NCP1001P</v>
      </c>
      <c r="B36191" s="3" t="s">
        <v>95</v>
      </c>
      <c r="C36191" s="6">
        <v>1300</v>
      </c>
      <c r="D36191" s="7">
        <v>1.36</v>
      </c>
      <c r="E36191" t="s">
        <v>7</v>
      </c>
    </row>
    <row r="36192" spans="1:5" x14ac:dyDescent="0.25">
      <c r="A36192" t="str">
        <f>HYPERLINK("https://www.773grp.com/globalSearch/NCP1001PG/page-1", "NCP1001PG")</f>
        <v>NCP1001PG</v>
      </c>
      <c r="B36192" s="3" t="s">
        <v>95</v>
      </c>
      <c r="C36192" s="6">
        <v>245</v>
      </c>
      <c r="D36192" s="7">
        <v>1.36</v>
      </c>
      <c r="E36192" t="s">
        <v>7</v>
      </c>
    </row>
    <row r="36193" spans="1:5" x14ac:dyDescent="0.25">
      <c r="A36193" t="str">
        <f>HYPERLINK("https://www.773grp.com/globalSearch/NCV612SQ15T1G/page-1", "NCV612SQ15T1G")</f>
        <v>NCV612SQ15T1G</v>
      </c>
      <c r="B36193" s="3" t="s">
        <v>95</v>
      </c>
      <c r="C36193" s="6">
        <v>3612</v>
      </c>
      <c r="D36193" s="7">
        <v>1.36</v>
      </c>
      <c r="E36193" t="s">
        <v>28</v>
      </c>
    </row>
    <row r="36194" spans="1:5" x14ac:dyDescent="0.25">
      <c r="A36194" t="str">
        <f>HYPERLINK("https://www.773grp.com/globalSearch/NCV612SQ25T1G/page-1", "NCV612SQ25T1G")</f>
        <v>NCV612SQ25T1G</v>
      </c>
      <c r="B36194" s="3" t="s">
        <v>95</v>
      </c>
      <c r="C36194" s="6">
        <v>22573</v>
      </c>
      <c r="D36194" s="7">
        <v>1.36</v>
      </c>
      <c r="E36194" t="s">
        <v>28</v>
      </c>
    </row>
    <row r="36195" spans="1:5" x14ac:dyDescent="0.25">
      <c r="A36195" t="str">
        <f>HYPERLINK("https://www.773grp.com/globalSearch/NCV612SQ30T1G/page-1", "NCV612SQ30T1G")</f>
        <v>NCV612SQ30T1G</v>
      </c>
      <c r="B36195" s="3" t="s">
        <v>95</v>
      </c>
      <c r="C36195" s="6">
        <v>14870</v>
      </c>
      <c r="D36195" s="7">
        <v>1.36</v>
      </c>
      <c r="E36195" t="s">
        <v>28</v>
      </c>
    </row>
    <row r="36196" spans="1:5" x14ac:dyDescent="0.25">
      <c r="A36196" t="str">
        <f>HYPERLINK("https://www.773grp.com/globalSearch/NCV612SQ50T1G/page-1", "NCV612SQ50T1G")</f>
        <v>NCV612SQ50T1G</v>
      </c>
      <c r="B36196" s="3" t="s">
        <v>95</v>
      </c>
      <c r="C36196" s="6">
        <v>31300</v>
      </c>
      <c r="D36196" s="7">
        <v>1.36</v>
      </c>
      <c r="E36196" t="s">
        <v>28</v>
      </c>
    </row>
    <row r="36197" spans="1:5" x14ac:dyDescent="0.25">
      <c r="A36197" t="str">
        <f>HYPERLINK("https://www.773grp.com/globalSearch/NCV663SQ18T1/page-1", "NCV663SQ18T1")</f>
        <v>NCV663SQ18T1</v>
      </c>
      <c r="B36197" s="3" t="s">
        <v>95</v>
      </c>
      <c r="C36197" s="6">
        <v>12000</v>
      </c>
      <c r="D36197" s="7">
        <v>1.36</v>
      </c>
      <c r="E36197" t="s">
        <v>19</v>
      </c>
    </row>
    <row r="36198" spans="1:5" x14ac:dyDescent="0.25">
      <c r="A36198" t="str">
        <f>HYPERLINK("https://www.773grp.com/globalSearch/NCV7808BDTG/page-1", "NCV7808BDTG")</f>
        <v>NCV7808BDTG</v>
      </c>
      <c r="B36198" s="3" t="s">
        <v>95</v>
      </c>
      <c r="C36198" s="6">
        <v>6313</v>
      </c>
      <c r="D36198" s="7">
        <v>1.36</v>
      </c>
      <c r="E36198" t="s">
        <v>28</v>
      </c>
    </row>
    <row r="36199" spans="1:5" x14ac:dyDescent="0.25">
      <c r="A36199" t="str">
        <f>HYPERLINK("https://www.773grp.com/globalSearch/NCV8501D33/page-1", "NCV8501D33")</f>
        <v>NCV8501D33</v>
      </c>
      <c r="B36199" s="3" t="s">
        <v>95</v>
      </c>
      <c r="C36199" s="6">
        <v>1518</v>
      </c>
      <c r="D36199" s="7">
        <v>1.36</v>
      </c>
      <c r="E36199" t="s">
        <v>19</v>
      </c>
    </row>
    <row r="36200" spans="1:5" x14ac:dyDescent="0.25">
      <c r="A36200" t="str">
        <f>HYPERLINK("https://www.773grp.com/globalSearch/NCV8501D50/page-1", "NCV8501D50")</f>
        <v>NCV8501D50</v>
      </c>
      <c r="B36200" s="3" t="s">
        <v>95</v>
      </c>
      <c r="C36200" s="6">
        <v>33</v>
      </c>
      <c r="D36200" s="7">
        <v>1.36</v>
      </c>
      <c r="E36200" t="s">
        <v>19</v>
      </c>
    </row>
    <row r="36201" spans="1:5" x14ac:dyDescent="0.25">
      <c r="A36201" t="str">
        <f>HYPERLINK("https://www.773grp.com/globalSearch/NDF04N60ZG/page-1", "NDF04N60ZG")</f>
        <v>NDF04N60ZG</v>
      </c>
      <c r="B36201" s="3" t="s">
        <v>95</v>
      </c>
      <c r="C36201" s="6">
        <v>59450</v>
      </c>
      <c r="D36201" s="7">
        <v>1.36</v>
      </c>
      <c r="E36201" t="s">
        <v>105</v>
      </c>
    </row>
    <row r="36202" spans="1:5" x14ac:dyDescent="0.25">
      <c r="A36202" t="str">
        <f>HYPERLINK("https://www.773grp.com/globalSearch/NDF04N60ZH/page-1", "NDF04N60ZH")</f>
        <v>NDF04N60ZH</v>
      </c>
      <c r="B36202" s="3" t="s">
        <v>95</v>
      </c>
      <c r="C36202" s="6">
        <v>54797</v>
      </c>
      <c r="D36202" s="7">
        <v>1.36</v>
      </c>
    </row>
    <row r="36203" spans="1:5" x14ac:dyDescent="0.25">
      <c r="A36203" t="str">
        <f>HYPERLINK("https://www.773grp.com/globalSearch/NDF05N50ZH/page-1", "NDF05N50ZH")</f>
        <v>NDF05N50ZH</v>
      </c>
      <c r="B36203" s="3" t="s">
        <v>95</v>
      </c>
      <c r="C36203" s="6">
        <v>306439</v>
      </c>
      <c r="D36203" s="7">
        <v>1.36</v>
      </c>
    </row>
    <row r="36204" spans="1:5" x14ac:dyDescent="0.25">
      <c r="A36204" t="str">
        <f>HYPERLINK("https://www.773grp.com/globalSearch/NJVMJD2955T4G/page-1", "NJVMJD2955T4G")</f>
        <v>NJVMJD2955T4G</v>
      </c>
      <c r="B36204" s="3" t="s">
        <v>95</v>
      </c>
      <c r="C36204" s="6">
        <v>2500</v>
      </c>
      <c r="D36204" s="7">
        <v>1.36</v>
      </c>
    </row>
    <row r="36205" spans="1:5" x14ac:dyDescent="0.25">
      <c r="A36205" t="str">
        <f>HYPERLINK("https://www.773grp.com/globalSearch/NTD20N03L27T4/page-1", "NTD20N03L27T4")</f>
        <v>NTD20N03L27T4</v>
      </c>
      <c r="B36205" s="3" t="s">
        <v>95</v>
      </c>
      <c r="C36205" s="6">
        <v>2500</v>
      </c>
      <c r="D36205" s="7">
        <v>1.36</v>
      </c>
    </row>
    <row r="36206" spans="1:5" x14ac:dyDescent="0.25">
      <c r="A36206" t="str">
        <f>HYPERLINK("https://www.773grp.com/globalSearch/NTD4855N-35G/page-1", "NTD4855N-35G")</f>
        <v>NTD4855N-35G</v>
      </c>
      <c r="B36206" s="3" t="s">
        <v>95</v>
      </c>
      <c r="C36206" s="6">
        <v>2925</v>
      </c>
      <c r="D36206" s="7">
        <v>1.36</v>
      </c>
      <c r="E36206" t="s">
        <v>105</v>
      </c>
    </row>
    <row r="36207" spans="1:5" x14ac:dyDescent="0.25">
      <c r="A36207" t="str">
        <f>HYPERLINK("https://www.773grp.com/globalSearch/NTMD6P02R2G/page-1", "NTMD6P02R2G")</f>
        <v>NTMD6P02R2G</v>
      </c>
      <c r="B36207" s="3" t="s">
        <v>95</v>
      </c>
      <c r="C36207" s="6">
        <v>22500</v>
      </c>
      <c r="D36207" s="7">
        <v>1.36</v>
      </c>
      <c r="E36207" t="s">
        <v>106</v>
      </c>
    </row>
    <row r="36208" spans="1:5" x14ac:dyDescent="0.25">
      <c r="A36208" t="str">
        <f>HYPERLINK("https://www.773grp.com/globalSearch/NTMFS4121NT1G/page-1", "NTMFS4121NT1G")</f>
        <v>NTMFS4121NT1G</v>
      </c>
      <c r="B36208" s="3" t="s">
        <v>95</v>
      </c>
      <c r="C36208" s="6">
        <v>728470</v>
      </c>
      <c r="D36208" s="7">
        <v>1.36</v>
      </c>
      <c r="E36208" t="s">
        <v>106</v>
      </c>
    </row>
    <row r="36209" spans="1:5" x14ac:dyDescent="0.25">
      <c r="A36209" t="str">
        <f>HYPERLINK("https://www.773grp.com/globalSearch/NTMFS4837NHT1G/page-1", "NTMFS4837NHT1G")</f>
        <v>NTMFS4837NHT1G</v>
      </c>
      <c r="B36209" s="3" t="s">
        <v>95</v>
      </c>
      <c r="C36209" s="6">
        <v>16500</v>
      </c>
      <c r="D36209" s="7">
        <v>1.36</v>
      </c>
      <c r="E36209" t="s">
        <v>105</v>
      </c>
    </row>
    <row r="36210" spans="1:5" x14ac:dyDescent="0.25">
      <c r="A36210" t="str">
        <f>HYPERLINK("https://www.773grp.com/globalSearch/NTSB20100CT-1G/page-1", "NTSB20100CT-1G")</f>
        <v>NTSB20100CT-1G</v>
      </c>
      <c r="B36210" s="3" t="s">
        <v>95</v>
      </c>
      <c r="C36210" s="6">
        <v>1000</v>
      </c>
      <c r="D36210" s="7">
        <v>1.36</v>
      </c>
    </row>
    <row r="36211" spans="1:5" x14ac:dyDescent="0.25">
      <c r="A36211" t="str">
        <f>HYPERLINK("https://www.773grp.com/globalSearch/NTSJ3080CTG/page-1", "NTSJ3080CTG")</f>
        <v>NTSJ3080CTG</v>
      </c>
      <c r="B36211" s="3" t="s">
        <v>95</v>
      </c>
      <c r="C36211" s="6">
        <v>1202</v>
      </c>
      <c r="D36211" s="7">
        <v>1.36</v>
      </c>
    </row>
    <row r="36212" spans="1:5" x14ac:dyDescent="0.25">
      <c r="A36212" t="str">
        <f>HYPERLINK("https://www.773grp.com/globalSearch/NTTFS5820NLTWG/page-1", "NTTFS5820NLTWG")</f>
        <v>NTTFS5820NLTWG</v>
      </c>
      <c r="B36212" s="3" t="s">
        <v>95</v>
      </c>
      <c r="C36212" s="6">
        <v>196</v>
      </c>
      <c r="D36212" s="7">
        <v>1.36</v>
      </c>
    </row>
    <row r="36213" spans="1:5" x14ac:dyDescent="0.25">
      <c r="A36213" t="str">
        <f>HYPERLINK("https://www.773grp.com/globalSearch/NUD3048MT1/page-1", "NUD3048MT1")</f>
        <v>NUD3048MT1</v>
      </c>
      <c r="B36213" s="3" t="s">
        <v>95</v>
      </c>
      <c r="C36213" s="6">
        <v>1958</v>
      </c>
      <c r="D36213" s="7">
        <v>1.36</v>
      </c>
      <c r="E36213" t="s">
        <v>106</v>
      </c>
    </row>
    <row r="36214" spans="1:5" x14ac:dyDescent="0.25">
      <c r="A36214" t="str">
        <f>HYPERLINK("https://www.773grp.com/globalSearch/NVD5414NT4G/page-1", "NVD5414NT4G")</f>
        <v>NVD5414NT4G</v>
      </c>
      <c r="B36214" s="3" t="s">
        <v>95</v>
      </c>
      <c r="C36214" s="6">
        <v>2500</v>
      </c>
      <c r="D36214" s="7">
        <v>1.36</v>
      </c>
    </row>
    <row r="36215" spans="1:5" x14ac:dyDescent="0.25">
      <c r="A36215" t="str">
        <f>HYPERLINK("https://www.773grp.com/globalSearch/NVMFD5877NLT1G/page-1", "NVMFD5877NLT1G")</f>
        <v>NVMFD5877NLT1G</v>
      </c>
      <c r="B36215" s="3" t="s">
        <v>95</v>
      </c>
      <c r="C36215" s="6">
        <v>3000</v>
      </c>
      <c r="D36215" s="7">
        <v>1.36</v>
      </c>
    </row>
    <row r="36216" spans="1:5" x14ac:dyDescent="0.25">
      <c r="A36216" t="str">
        <f>HYPERLINK("https://www.773grp.com/globalSearch/SCV303LSN40T1G/page-1", "SCV303LSN40T1G")</f>
        <v>SCV303LSN40T1G</v>
      </c>
      <c r="B36216" s="3" t="s">
        <v>95</v>
      </c>
      <c r="C36216" s="6">
        <v>6000</v>
      </c>
      <c r="D36216" s="7">
        <v>1.36</v>
      </c>
    </row>
    <row r="36217" spans="1:5" x14ac:dyDescent="0.25">
      <c r="A36217" t="str">
        <f>HYPERLINK("https://www.773grp.com/globalSearch/SN74LS379N/page-1", "SN74LS379N")</f>
        <v>SN74LS379N</v>
      </c>
      <c r="B36217" s="3" t="s">
        <v>95</v>
      </c>
      <c r="C36217" s="6">
        <v>27</v>
      </c>
      <c r="D36217" s="7">
        <v>1.36</v>
      </c>
      <c r="E36217" t="s">
        <v>35</v>
      </c>
    </row>
    <row r="36218" spans="1:5" x14ac:dyDescent="0.25">
      <c r="A36218" t="str">
        <f>HYPERLINK("https://www.773grp.com/globalSearch/T2322BG/page-1", "T2322BG")</f>
        <v>T2322BG</v>
      </c>
      <c r="B36218" s="3" t="s">
        <v>95</v>
      </c>
      <c r="C36218" s="6">
        <v>440</v>
      </c>
      <c r="D36218" s="7">
        <v>1.36</v>
      </c>
    </row>
    <row r="36219" spans="1:5" x14ac:dyDescent="0.25">
      <c r="A36219" t="str">
        <f>HYPERLINK("https://www.773grp.com/globalSearch/TIP29G/page-1", "TIP29G")</f>
        <v>TIP29G</v>
      </c>
      <c r="B36219" s="3" t="s">
        <v>95</v>
      </c>
      <c r="C36219" s="6">
        <v>4762</v>
      </c>
      <c r="D36219" s="7">
        <v>1.36</v>
      </c>
      <c r="E36219" t="s">
        <v>59</v>
      </c>
    </row>
    <row r="36220" spans="1:5" x14ac:dyDescent="0.25">
      <c r="A36220" t="str">
        <f>HYPERLINK("https://www.773grp.com/globalSearch/UAA2016AD/page-1", "UAA2016AD")</f>
        <v>UAA2016AD</v>
      </c>
      <c r="B36220" s="3" t="s">
        <v>95</v>
      </c>
      <c r="C36220" s="6">
        <v>33</v>
      </c>
      <c r="D36220" s="7">
        <v>1.36</v>
      </c>
      <c r="E36220" t="s">
        <v>40</v>
      </c>
    </row>
    <row r="36221" spans="1:5" x14ac:dyDescent="0.25">
      <c r="A36221" t="str">
        <f>HYPERLINK("https://www.773grp.com/globalSearch/UC3842AN1/page-1", "UC3842AN1")</f>
        <v>UC3842AN1</v>
      </c>
      <c r="B36221" s="3" t="s">
        <v>95</v>
      </c>
      <c r="C36221" s="6">
        <v>4142</v>
      </c>
      <c r="D36221" s="7">
        <v>1.36</v>
      </c>
    </row>
    <row r="36222" spans="1:5" x14ac:dyDescent="0.25">
      <c r="A36222" t="str">
        <f>HYPERLINK("https://www.773grp.com/globalSearch/2SA2040-TL-E/page-1", "2SA2040-TL-E")</f>
        <v>2SA2040-TL-E</v>
      </c>
      <c r="B36222" s="3" t="s">
        <v>95</v>
      </c>
      <c r="C36222" s="6">
        <v>1400</v>
      </c>
      <c r="D36222" s="7">
        <v>1.41</v>
      </c>
    </row>
    <row r="36223" spans="1:5" x14ac:dyDescent="0.25">
      <c r="A36223" t="str">
        <f>HYPERLINK("https://www.773grp.com/globalSearch/2SD1803S-E/page-1", "2SD1803S-E")</f>
        <v>2SD1803S-E</v>
      </c>
      <c r="B36223" s="3" t="s">
        <v>95</v>
      </c>
      <c r="C36223" s="6">
        <v>1500</v>
      </c>
      <c r="D36223" s="7">
        <v>1.41</v>
      </c>
    </row>
    <row r="36224" spans="1:5" x14ac:dyDescent="0.25">
      <c r="A36224" t="str">
        <f>HYPERLINK("https://www.773grp.com/globalSearch/2SD1815S-E/page-1", "2SD1815S-E")</f>
        <v>2SD1815S-E</v>
      </c>
      <c r="B36224" s="3" t="s">
        <v>95</v>
      </c>
      <c r="C36224" s="6">
        <v>3343</v>
      </c>
      <c r="D36224" s="7">
        <v>1.41</v>
      </c>
    </row>
    <row r="36225" spans="1:5" x14ac:dyDescent="0.25">
      <c r="A36225" t="str">
        <f>HYPERLINK("https://www.773grp.com/globalSearch/2SD1815T-TL-E/page-1", "2SD1815T-TL-E")</f>
        <v>2SD1815T-TL-E</v>
      </c>
      <c r="B36225" s="3" t="s">
        <v>95</v>
      </c>
      <c r="C36225" s="6">
        <v>24700</v>
      </c>
      <c r="D36225" s="7">
        <v>1.41</v>
      </c>
    </row>
    <row r="36226" spans="1:5" x14ac:dyDescent="0.25">
      <c r="A36226" t="str">
        <f>HYPERLINK("https://www.773grp.com/globalSearch/BD242BG/page-1", "BD242BG")</f>
        <v>BD242BG</v>
      </c>
      <c r="B36226" s="3" t="s">
        <v>95</v>
      </c>
      <c r="C36226" s="6">
        <v>30680</v>
      </c>
      <c r="D36226" s="7">
        <v>1.41</v>
      </c>
      <c r="E36226" t="s">
        <v>59</v>
      </c>
    </row>
    <row r="36227" spans="1:5" x14ac:dyDescent="0.25">
      <c r="A36227" t="str">
        <f>HYPERLINK("https://www.773grp.com/globalSearch/BDW47/page-1", "BDW47")</f>
        <v>BDW47</v>
      </c>
      <c r="B36227" s="3" t="s">
        <v>95</v>
      </c>
      <c r="C36227" s="6">
        <v>1345</v>
      </c>
      <c r="D36227" s="7">
        <v>1.41</v>
      </c>
      <c r="E36227" t="s">
        <v>59</v>
      </c>
    </row>
    <row r="36228" spans="1:5" x14ac:dyDescent="0.25">
      <c r="A36228" t="str">
        <f>HYPERLINK("https://www.773grp.com/globalSearch/CAT24C256YI-GT3/page-1", "CAT24C256YI-GT3")</f>
        <v>CAT24C256YI-GT3</v>
      </c>
      <c r="B36228" s="3" t="s">
        <v>95</v>
      </c>
      <c r="C36228" s="6">
        <v>192000</v>
      </c>
      <c r="D36228" s="7">
        <v>1.41</v>
      </c>
      <c r="E36228" t="s">
        <v>64</v>
      </c>
    </row>
    <row r="36229" spans="1:5" x14ac:dyDescent="0.25">
      <c r="A36229" t="str">
        <f>HYPERLINK("https://www.773grp.com/globalSearch/CAT25160VI-G/page-1", "CAT25160VI-G")</f>
        <v>CAT25160VI-G</v>
      </c>
      <c r="B36229" s="3" t="s">
        <v>95</v>
      </c>
      <c r="C36229" s="6">
        <v>440</v>
      </c>
      <c r="D36229" s="7">
        <v>1.41</v>
      </c>
    </row>
    <row r="36230" spans="1:5" x14ac:dyDescent="0.25">
      <c r="A36230" t="str">
        <f>HYPERLINK("https://www.773grp.com/globalSearch/CAT6219-300TDGT3/page-1", "CAT6219-300TDGT3")</f>
        <v>CAT6219-300TDGT3</v>
      </c>
      <c r="B36230" s="3" t="s">
        <v>95</v>
      </c>
      <c r="C36230" s="6">
        <v>9000</v>
      </c>
      <c r="D36230" s="7">
        <v>1.41</v>
      </c>
      <c r="E36230" t="s">
        <v>19</v>
      </c>
    </row>
    <row r="36231" spans="1:5" x14ac:dyDescent="0.25">
      <c r="A36231" t="str">
        <f>HYPERLINK("https://www.773grp.com/globalSearch/CAT6219-330TDGT3/page-1", "CAT6219-330TDGT3")</f>
        <v>CAT6219-330TDGT3</v>
      </c>
      <c r="B36231" s="3" t="s">
        <v>95</v>
      </c>
      <c r="C36231" s="6">
        <v>9000</v>
      </c>
      <c r="D36231" s="7">
        <v>1.41</v>
      </c>
      <c r="E36231" t="s">
        <v>19</v>
      </c>
    </row>
    <row r="36232" spans="1:5" x14ac:dyDescent="0.25">
      <c r="A36232" t="str">
        <f>HYPERLINK("https://www.773grp.com/globalSearch/CAT6219-330TD-GT3/page-1", "CAT6219-330TD-GT3")</f>
        <v>CAT6219-330TD-GT3</v>
      </c>
      <c r="B36232" s="3" t="s">
        <v>95</v>
      </c>
      <c r="C36232" s="6">
        <v>3000</v>
      </c>
      <c r="D36232" s="7">
        <v>1.41</v>
      </c>
    </row>
    <row r="36233" spans="1:5" x14ac:dyDescent="0.25">
      <c r="A36233" t="str">
        <f>HYPERLINK("https://www.773grp.com/globalSearch/CAT859MTBI-GT3/page-1", "CAT859MTBI-GT3")</f>
        <v>CAT859MTBI-GT3</v>
      </c>
      <c r="B36233" s="3" t="s">
        <v>95</v>
      </c>
      <c r="C36233" s="6">
        <v>42000</v>
      </c>
      <c r="D36233" s="7">
        <v>1.41</v>
      </c>
      <c r="E36233" t="s">
        <v>30</v>
      </c>
    </row>
    <row r="36234" spans="1:5" x14ac:dyDescent="0.25">
      <c r="A36234" t="str">
        <f>HYPERLINK("https://www.773grp.com/globalSearch/CM1215-04SO/page-1", "CM1215-04SO")</f>
        <v>CM1215-04SO</v>
      </c>
      <c r="B36234" s="3" t="s">
        <v>95</v>
      </c>
      <c r="C36234" s="6">
        <v>15000</v>
      </c>
      <c r="D36234" s="7">
        <v>1.41</v>
      </c>
    </row>
    <row r="36235" spans="1:5" x14ac:dyDescent="0.25">
      <c r="A36235" t="str">
        <f>HYPERLINK("https://www.773grp.com/globalSearch/CS9201YDF8/page-1", "CS9201YDF8")</f>
        <v>CS9201YDF8</v>
      </c>
      <c r="B36235" s="3" t="s">
        <v>95</v>
      </c>
      <c r="C36235" s="6">
        <v>11524</v>
      </c>
      <c r="D36235" s="7">
        <v>1.41</v>
      </c>
      <c r="E36235" t="s">
        <v>19</v>
      </c>
    </row>
    <row r="36236" spans="1:5" x14ac:dyDescent="0.25">
      <c r="A36236" t="str">
        <f>HYPERLINK("https://www.773grp.com/globalSearch/CS9201YDF8G/page-1", "CS9201YDF8G")</f>
        <v>CS9201YDF8G</v>
      </c>
      <c r="B36236" s="3" t="s">
        <v>95</v>
      </c>
      <c r="C36236" s="6">
        <v>4204</v>
      </c>
      <c r="D36236" s="7">
        <v>1.41</v>
      </c>
      <c r="E36236" t="s">
        <v>19</v>
      </c>
    </row>
    <row r="36237" spans="1:5" x14ac:dyDescent="0.25">
      <c r="A36237" t="str">
        <f>HYPERLINK("https://www.773grp.com/globalSearch/CS9201YDFR8/page-1", "CS9201YDFR8")</f>
        <v>CS9201YDFR8</v>
      </c>
      <c r="B36237" s="3" t="s">
        <v>95</v>
      </c>
      <c r="C36237" s="6">
        <v>100000</v>
      </c>
      <c r="D36237" s="7">
        <v>1.41</v>
      </c>
      <c r="E36237" t="s">
        <v>19</v>
      </c>
    </row>
    <row r="36238" spans="1:5" x14ac:dyDescent="0.25">
      <c r="A36238" t="str">
        <f>HYPERLINK("https://www.773grp.com/globalSearch/LM2931ADT-5.0G/page-1", "LM2931ADT-5.0G")</f>
        <v>LM2931ADT-5.0G</v>
      </c>
      <c r="B36238" s="3" t="s">
        <v>95</v>
      </c>
      <c r="C36238" s="6">
        <v>1800</v>
      </c>
      <c r="D36238" s="7">
        <v>1.41</v>
      </c>
    </row>
    <row r="36239" spans="1:5" x14ac:dyDescent="0.25">
      <c r="A36239" t="str">
        <f>HYPERLINK("https://www.773grp.com/globalSearch/LM2931ADT-5.0RKG/page-1", "LM2931ADT-5.0RKG")</f>
        <v>LM2931ADT-5.0RKG</v>
      </c>
      <c r="B36239" s="3" t="s">
        <v>95</v>
      </c>
      <c r="C36239" s="6">
        <v>2500</v>
      </c>
      <c r="D36239" s="7">
        <v>1.41</v>
      </c>
      <c r="E36239" t="s">
        <v>19</v>
      </c>
    </row>
    <row r="36240" spans="1:5" x14ac:dyDescent="0.25">
      <c r="A36240" t="str">
        <f>HYPERLINK("https://www.773grp.com/globalSearch/LM2931DT-5.0G/page-1", "LM2931DT-5.0G")</f>
        <v>LM2931DT-5.0G</v>
      </c>
      <c r="B36240" s="3" t="s">
        <v>95</v>
      </c>
      <c r="C36240" s="6">
        <v>18300</v>
      </c>
      <c r="D36240" s="7">
        <v>1.41</v>
      </c>
      <c r="E36240" t="s">
        <v>19</v>
      </c>
    </row>
    <row r="36241" spans="1:5" x14ac:dyDescent="0.25">
      <c r="A36241" t="str">
        <f>HYPERLINK("https://www.773grp.com/globalSearch/LM301ADG/page-1", "LM301ADG")</f>
        <v>LM301ADG</v>
      </c>
      <c r="B36241" s="3" t="s">
        <v>95</v>
      </c>
      <c r="C36241" s="6">
        <v>8036</v>
      </c>
      <c r="D36241" s="7">
        <v>1.41</v>
      </c>
      <c r="E36241" t="s">
        <v>13</v>
      </c>
    </row>
    <row r="36242" spans="1:5" x14ac:dyDescent="0.25">
      <c r="A36242" t="str">
        <f>HYPERLINK("https://www.773grp.com/globalSearch/LM301ADR2G/page-1", "LM301ADR2G")</f>
        <v>LM301ADR2G</v>
      </c>
      <c r="B36242" s="3" t="s">
        <v>95</v>
      </c>
      <c r="C36242" s="6">
        <v>5768</v>
      </c>
      <c r="D36242" s="7">
        <v>1.41</v>
      </c>
      <c r="E36242" t="s">
        <v>13</v>
      </c>
    </row>
    <row r="36243" spans="1:5" x14ac:dyDescent="0.25">
      <c r="A36243" t="str">
        <f>HYPERLINK("https://www.773grp.com/globalSearch/LM311NG/page-1", "LM311NG")</f>
        <v>LM311NG</v>
      </c>
      <c r="B36243" s="3" t="s">
        <v>95</v>
      </c>
      <c r="C36243" s="6">
        <v>2880</v>
      </c>
      <c r="D36243" s="7">
        <v>1.41</v>
      </c>
      <c r="E36243" t="s">
        <v>9</v>
      </c>
    </row>
    <row r="36244" spans="1:5" x14ac:dyDescent="0.25">
      <c r="A36244" t="str">
        <f>HYPERLINK("https://www.773grp.com/globalSearch/LM317BTG/page-1", "LM317BTG")</f>
        <v>LM317BTG</v>
      </c>
      <c r="B36244" s="3" t="s">
        <v>95</v>
      </c>
      <c r="C36244" s="6">
        <v>8655</v>
      </c>
      <c r="D36244" s="7">
        <v>1.41</v>
      </c>
    </row>
    <row r="36245" spans="1:5" x14ac:dyDescent="0.25">
      <c r="A36245" t="str">
        <f>HYPERLINK("https://www.773grp.com/globalSearch/LM317LDG/page-1", "LM317LDG")</f>
        <v>LM317LDG</v>
      </c>
      <c r="B36245" s="3" t="s">
        <v>95</v>
      </c>
      <c r="C36245" s="6">
        <v>33802</v>
      </c>
      <c r="D36245" s="7">
        <v>1.41</v>
      </c>
      <c r="E36245" t="s">
        <v>22</v>
      </c>
    </row>
    <row r="36246" spans="1:5" x14ac:dyDescent="0.25">
      <c r="A36246" t="str">
        <f>HYPERLINK("https://www.773grp.com/globalSearch/LM317LDR2G/page-1", "LM317LDR2G")</f>
        <v>LM317LDR2G</v>
      </c>
      <c r="B36246" s="3" t="s">
        <v>95</v>
      </c>
      <c r="C36246" s="6">
        <v>618000</v>
      </c>
      <c r="D36246" s="7">
        <v>1.41</v>
      </c>
      <c r="E36246" t="s">
        <v>22</v>
      </c>
    </row>
    <row r="36247" spans="1:5" x14ac:dyDescent="0.25">
      <c r="A36247" t="str">
        <f>HYPERLINK("https://www.773grp.com/globalSearch/LM317MADTRK/page-1", "LM317MADTRK")</f>
        <v>LM317MADTRK</v>
      </c>
      <c r="B36247" s="3" t="s">
        <v>95</v>
      </c>
      <c r="C36247" s="6">
        <v>2500</v>
      </c>
      <c r="D36247" s="7">
        <v>1.41</v>
      </c>
      <c r="E36247" t="s">
        <v>22</v>
      </c>
    </row>
    <row r="36248" spans="1:5" x14ac:dyDescent="0.25">
      <c r="A36248" t="str">
        <f>HYPERLINK("https://www.773grp.com/globalSearch/LM317MBSTT3/page-1", "LM317MBSTT3")</f>
        <v>LM317MBSTT3</v>
      </c>
      <c r="B36248" s="3" t="s">
        <v>95</v>
      </c>
      <c r="C36248" s="6">
        <v>4000</v>
      </c>
      <c r="D36248" s="7">
        <v>1.41</v>
      </c>
      <c r="E36248" t="s">
        <v>22</v>
      </c>
    </row>
    <row r="36249" spans="1:5" x14ac:dyDescent="0.25">
      <c r="A36249" t="str">
        <f>HYPERLINK("https://www.773grp.com/globalSearch/MAX6501UKP055-T/page-1", "MAX6501UKP055-T")</f>
        <v>MAX6501UKP055-T</v>
      </c>
      <c r="B36249" s="3" t="s">
        <v>95</v>
      </c>
      <c r="C36249" s="6">
        <v>2515</v>
      </c>
      <c r="D36249" s="7">
        <v>1.41</v>
      </c>
      <c r="E36249" t="s">
        <v>40</v>
      </c>
    </row>
    <row r="36250" spans="1:5" x14ac:dyDescent="0.25">
      <c r="A36250" t="str">
        <f>HYPERLINK("https://www.773grp.com/globalSearch/MAX6501UKP095-T/page-1", "MAX6501UKP095-T")</f>
        <v>MAX6501UKP095-T</v>
      </c>
      <c r="B36250" s="3" t="s">
        <v>95</v>
      </c>
      <c r="C36250" s="6">
        <v>508810</v>
      </c>
      <c r="D36250" s="7">
        <v>1.41</v>
      </c>
      <c r="E36250" t="s">
        <v>40</v>
      </c>
    </row>
    <row r="36251" spans="1:5" x14ac:dyDescent="0.25">
      <c r="A36251" t="str">
        <f>HYPERLINK("https://www.773grp.com/globalSearch/MAX6501UKP115-T/page-1", "MAX6501UKP115-T")</f>
        <v>MAX6501UKP115-T</v>
      </c>
      <c r="B36251" s="3" t="s">
        <v>95</v>
      </c>
      <c r="C36251" s="6">
        <v>107855</v>
      </c>
      <c r="D36251" s="7">
        <v>1.41</v>
      </c>
      <c r="E36251" t="s">
        <v>40</v>
      </c>
    </row>
    <row r="36252" spans="1:5" x14ac:dyDescent="0.25">
      <c r="A36252" t="str">
        <f>HYPERLINK("https://www.773grp.com/globalSearch/MAX6502UKP055-T/page-1", "MAX6502UKP055-T")</f>
        <v>MAX6502UKP055-T</v>
      </c>
      <c r="B36252" s="3" t="s">
        <v>95</v>
      </c>
      <c r="C36252" s="6">
        <v>23950</v>
      </c>
      <c r="D36252" s="7">
        <v>1.41</v>
      </c>
      <c r="E36252" t="s">
        <v>40</v>
      </c>
    </row>
    <row r="36253" spans="1:5" x14ac:dyDescent="0.25">
      <c r="A36253" t="str">
        <f>HYPERLINK("https://www.773grp.com/globalSearch/MAX6502UKP095-T/page-1", "MAX6502UKP095-T")</f>
        <v>MAX6502UKP095-T</v>
      </c>
      <c r="B36253" s="3" t="s">
        <v>95</v>
      </c>
      <c r="C36253" s="6">
        <v>253411</v>
      </c>
      <c r="D36253" s="7">
        <v>1.41</v>
      </c>
      <c r="E36253" t="s">
        <v>40</v>
      </c>
    </row>
    <row r="36254" spans="1:5" x14ac:dyDescent="0.25">
      <c r="A36254" t="str">
        <f>HYPERLINK("https://www.773grp.com/globalSearch/MAX6502UKP115-T/page-1", "MAX6502UKP115-T")</f>
        <v>MAX6502UKP115-T</v>
      </c>
      <c r="B36254" s="3" t="s">
        <v>95</v>
      </c>
      <c r="C36254" s="6">
        <v>314803</v>
      </c>
      <c r="D36254" s="7">
        <v>1.41</v>
      </c>
      <c r="E36254" t="s">
        <v>40</v>
      </c>
    </row>
    <row r="36255" spans="1:5" x14ac:dyDescent="0.25">
      <c r="A36255" t="str">
        <f>HYPERLINK("https://www.773grp.com/globalSearch/MBR1035G/page-1", "MBR1035G")</f>
        <v>MBR1035G</v>
      </c>
      <c r="B36255" s="3" t="s">
        <v>95</v>
      </c>
      <c r="C36255" s="6">
        <v>15560</v>
      </c>
      <c r="D36255" s="7">
        <v>1.41</v>
      </c>
      <c r="E36255" t="s">
        <v>103</v>
      </c>
    </row>
    <row r="36256" spans="1:5" x14ac:dyDescent="0.25">
      <c r="A36256" t="str">
        <f>HYPERLINK("https://www.773grp.com/globalSearch/MBR1045G/page-1", "MBR1045G")</f>
        <v>MBR1045G</v>
      </c>
      <c r="B36256" s="3" t="s">
        <v>95</v>
      </c>
      <c r="C36256" s="6">
        <v>43851</v>
      </c>
      <c r="D36256" s="7">
        <v>1.41</v>
      </c>
      <c r="E36256" t="s">
        <v>103</v>
      </c>
    </row>
    <row r="36257" spans="1:5" x14ac:dyDescent="0.25">
      <c r="A36257" t="str">
        <f>HYPERLINK("https://www.773grp.com/globalSearch/MBR1060G/page-1", "MBR1060G")</f>
        <v>MBR1060G</v>
      </c>
      <c r="B36257" s="3" t="s">
        <v>95</v>
      </c>
      <c r="C36257" s="6">
        <v>1100</v>
      </c>
      <c r="D36257" s="7">
        <v>1.41</v>
      </c>
      <c r="E36257" t="s">
        <v>103</v>
      </c>
    </row>
    <row r="36258" spans="1:5" x14ac:dyDescent="0.25">
      <c r="A36258" t="str">
        <f>HYPERLINK("https://www.773grp.com/globalSearch/MBRD1045T4G/page-1", "MBRD1045T4G")</f>
        <v>MBRD1045T4G</v>
      </c>
      <c r="B36258" s="3" t="s">
        <v>95</v>
      </c>
      <c r="C36258" s="6">
        <v>36977</v>
      </c>
      <c r="D36258" s="7">
        <v>1.41</v>
      </c>
    </row>
    <row r="36259" spans="1:5" x14ac:dyDescent="0.25">
      <c r="A36259" t="str">
        <f>HYPERLINK("https://www.773grp.com/globalSearch/MBRD630CTT4G/page-1", "MBRD630CTT4G")</f>
        <v>MBRD630CTT4G</v>
      </c>
      <c r="B36259" s="3" t="s">
        <v>95</v>
      </c>
      <c r="C36259" s="6">
        <v>62500</v>
      </c>
      <c r="D36259" s="7">
        <v>1.41</v>
      </c>
      <c r="E36259" t="s">
        <v>103</v>
      </c>
    </row>
    <row r="36260" spans="1:5" x14ac:dyDescent="0.25">
      <c r="A36260" t="str">
        <f>HYPERLINK("https://www.773grp.com/globalSearch/MC14526BDWR2G/page-1", "MC14526BDWR2G")</f>
        <v>MC14526BDWR2G</v>
      </c>
      <c r="B36260" s="3" t="s">
        <v>95</v>
      </c>
      <c r="C36260" s="6">
        <v>1000</v>
      </c>
      <c r="D36260" s="7">
        <v>1.41</v>
      </c>
    </row>
    <row r="36261" spans="1:5" x14ac:dyDescent="0.25">
      <c r="A36261" t="str">
        <f>HYPERLINK("https://www.773grp.com/globalSearch/MC14526BFG/page-1", "MC14526BFG")</f>
        <v>MC14526BFG</v>
      </c>
      <c r="B36261" s="3" t="s">
        <v>95</v>
      </c>
      <c r="C36261" s="6">
        <v>2400</v>
      </c>
      <c r="D36261" s="7">
        <v>1.41</v>
      </c>
      <c r="E36261" t="s">
        <v>26</v>
      </c>
    </row>
    <row r="36262" spans="1:5" x14ac:dyDescent="0.25">
      <c r="A36262" t="str">
        <f>HYPERLINK("https://www.773grp.com/globalSearch/MC14538BDWG/page-1", "MC14538BDWG")</f>
        <v>MC14538BDWG</v>
      </c>
      <c r="B36262" s="3" t="s">
        <v>95</v>
      </c>
      <c r="C36262" s="6">
        <v>3525</v>
      </c>
      <c r="D36262" s="7">
        <v>1.41</v>
      </c>
      <c r="E36262" t="s">
        <v>54</v>
      </c>
    </row>
    <row r="36263" spans="1:5" x14ac:dyDescent="0.25">
      <c r="A36263" t="str">
        <f>HYPERLINK("https://www.773grp.com/globalSearch/MC14538BDWR2/page-1", "MC14538BDWR2")</f>
        <v>MC14538BDWR2</v>
      </c>
      <c r="B36263" s="3" t="s">
        <v>95</v>
      </c>
      <c r="C36263" s="6">
        <v>3000</v>
      </c>
      <c r="D36263" s="7">
        <v>1.41</v>
      </c>
    </row>
    <row r="36264" spans="1:5" x14ac:dyDescent="0.25">
      <c r="A36264" t="str">
        <f>HYPERLINK("https://www.773grp.com/globalSearch/MC14541BFELG/page-1", "MC14541BFELG")</f>
        <v>MC14541BFELG</v>
      </c>
      <c r="B36264" s="3" t="s">
        <v>95</v>
      </c>
      <c r="C36264" s="6">
        <v>71</v>
      </c>
      <c r="D36264" s="7">
        <v>1.41</v>
      </c>
      <c r="E36264" t="s">
        <v>82</v>
      </c>
    </row>
    <row r="36265" spans="1:5" x14ac:dyDescent="0.25">
      <c r="A36265" t="str">
        <f>HYPERLINK("https://www.773grp.com/globalSearch/MC14585BFELG/page-1", "MC14585BFELG")</f>
        <v>MC14585BFELG</v>
      </c>
      <c r="B36265" s="3" t="s">
        <v>95</v>
      </c>
      <c r="C36265" s="6">
        <v>8100</v>
      </c>
      <c r="D36265" s="7">
        <v>1.41</v>
      </c>
      <c r="E36265" t="s">
        <v>43</v>
      </c>
    </row>
    <row r="36266" spans="1:5" x14ac:dyDescent="0.25">
      <c r="A36266" t="str">
        <f>HYPERLINK("https://www.773grp.com/globalSearch/MC1459BFR1/page-1", "MC1459BFR1")</f>
        <v>MC1459BFR1</v>
      </c>
      <c r="B36266" s="3" t="s">
        <v>95</v>
      </c>
      <c r="C36266" s="6">
        <v>1000</v>
      </c>
      <c r="D36266" s="7">
        <v>1.41</v>
      </c>
    </row>
    <row r="36267" spans="1:5" x14ac:dyDescent="0.25">
      <c r="A36267" t="str">
        <f>HYPERLINK("https://www.773grp.com/globalSearch/MC3303DG/page-1", "MC3303DG")</f>
        <v>MC3303DG</v>
      </c>
      <c r="B36267" s="3" t="s">
        <v>95</v>
      </c>
      <c r="C36267" s="6">
        <v>1650</v>
      </c>
      <c r="D36267" s="7">
        <v>1.41</v>
      </c>
    </row>
    <row r="36268" spans="1:5" x14ac:dyDescent="0.25">
      <c r="A36268" t="str">
        <f>HYPERLINK("https://www.773grp.com/globalSearch/MC3303DR2G/page-1", "MC3303DR2G")</f>
        <v>MC3303DR2G</v>
      </c>
      <c r="B36268" s="3" t="s">
        <v>95</v>
      </c>
      <c r="C36268" s="6">
        <v>61875</v>
      </c>
      <c r="D36268" s="7">
        <v>1.41</v>
      </c>
      <c r="E36268" t="s">
        <v>13</v>
      </c>
    </row>
    <row r="36269" spans="1:5" x14ac:dyDescent="0.25">
      <c r="A36269" t="str">
        <f>HYPERLINK("https://www.773grp.com/globalSearch/MC34063AP1/page-1", "MC34063AP1")</f>
        <v>MC34063AP1</v>
      </c>
      <c r="B36269" s="3" t="s">
        <v>95</v>
      </c>
      <c r="C36269" s="6">
        <v>4400</v>
      </c>
      <c r="D36269" s="7">
        <v>1.41</v>
      </c>
      <c r="E36269" t="s">
        <v>7</v>
      </c>
    </row>
    <row r="36270" spans="1:5" x14ac:dyDescent="0.25">
      <c r="A36270" t="str">
        <f>HYPERLINK("https://www.773grp.com/globalSearch/MC74AC240MELG/page-1", "MC74AC240MELG")</f>
        <v>MC74AC240MELG</v>
      </c>
      <c r="B36270" s="3" t="s">
        <v>95</v>
      </c>
      <c r="C36270" s="6">
        <v>6440</v>
      </c>
      <c r="D36270" s="7">
        <v>1.41</v>
      </c>
      <c r="E36270" t="s">
        <v>14</v>
      </c>
    </row>
    <row r="36271" spans="1:5" x14ac:dyDescent="0.25">
      <c r="A36271" t="str">
        <f>HYPERLINK("https://www.773grp.com/globalSearch/MC74AC244MELG/page-1", "MC74AC244MELG")</f>
        <v>MC74AC244MELG</v>
      </c>
      <c r="B36271" s="3" t="s">
        <v>95</v>
      </c>
      <c r="C36271" s="6">
        <v>12486</v>
      </c>
      <c r="D36271" s="7">
        <v>1.41</v>
      </c>
      <c r="E36271" t="s">
        <v>14</v>
      </c>
    </row>
    <row r="36272" spans="1:5" x14ac:dyDescent="0.25">
      <c r="A36272" t="str">
        <f>HYPERLINK("https://www.773grp.com/globalSearch/MC74AC245MG/page-1", "MC74AC245MG")</f>
        <v>MC74AC245MG</v>
      </c>
      <c r="B36272" s="3" t="s">
        <v>95</v>
      </c>
      <c r="C36272" s="6">
        <v>17786</v>
      </c>
      <c r="D36272" s="7">
        <v>1.41</v>
      </c>
      <c r="E36272" t="s">
        <v>14</v>
      </c>
    </row>
    <row r="36273" spans="1:5" x14ac:dyDescent="0.25">
      <c r="A36273" t="str">
        <f>HYPERLINK("https://www.773grp.com/globalSearch/MC74AC257MELG/page-1", "MC74AC257MELG")</f>
        <v>MC74AC257MELG</v>
      </c>
      <c r="B36273" s="3" t="s">
        <v>95</v>
      </c>
      <c r="C36273" s="6">
        <v>7999</v>
      </c>
      <c r="D36273" s="7">
        <v>1.41</v>
      </c>
      <c r="E36273" t="s">
        <v>20</v>
      </c>
    </row>
    <row r="36274" spans="1:5" x14ac:dyDescent="0.25">
      <c r="A36274" t="str">
        <f>HYPERLINK("https://www.773grp.com/globalSearch/MC74AC273MELG/page-1", "MC74AC273MELG")</f>
        <v>MC74AC273MELG</v>
      </c>
      <c r="B36274" s="3" t="s">
        <v>95</v>
      </c>
      <c r="C36274" s="6">
        <v>2280</v>
      </c>
      <c r="D36274" s="7">
        <v>1.41</v>
      </c>
      <c r="E36274" t="s">
        <v>35</v>
      </c>
    </row>
    <row r="36275" spans="1:5" x14ac:dyDescent="0.25">
      <c r="A36275" t="str">
        <f>HYPERLINK("https://www.773grp.com/globalSearch/MC74AC373MELG/page-1", "MC74AC373MELG")</f>
        <v>MC74AC373MELG</v>
      </c>
      <c r="B36275" s="3" t="s">
        <v>95</v>
      </c>
      <c r="C36275" s="6">
        <v>10888</v>
      </c>
      <c r="D36275" s="7">
        <v>1.41</v>
      </c>
      <c r="E36275" t="s">
        <v>14</v>
      </c>
    </row>
    <row r="36276" spans="1:5" x14ac:dyDescent="0.25">
      <c r="A36276" t="str">
        <f>HYPERLINK("https://www.773grp.com/globalSearch/MC74AC377M/page-1", "MC74AC377M")</f>
        <v>MC74AC377M</v>
      </c>
      <c r="B36276" s="3" t="s">
        <v>95</v>
      </c>
      <c r="C36276" s="6">
        <v>4560</v>
      </c>
      <c r="D36276" s="7">
        <v>1.41</v>
      </c>
      <c r="E36276" t="s">
        <v>35</v>
      </c>
    </row>
    <row r="36277" spans="1:5" x14ac:dyDescent="0.25">
      <c r="A36277" t="str">
        <f>HYPERLINK("https://www.773grp.com/globalSearch/MC74AC573MELG/page-1", "MC74AC573MELG")</f>
        <v>MC74AC573MELG</v>
      </c>
      <c r="B36277" s="3" t="s">
        <v>95</v>
      </c>
      <c r="C36277" s="6">
        <v>7950</v>
      </c>
      <c r="D36277" s="7">
        <v>1.41</v>
      </c>
      <c r="E36277" t="s">
        <v>14</v>
      </c>
    </row>
    <row r="36278" spans="1:5" x14ac:dyDescent="0.25">
      <c r="A36278" t="str">
        <f>HYPERLINK("https://www.773grp.com/globalSearch/MC74AC574MELG/page-1", "MC74AC574MELG")</f>
        <v>MC74AC574MELG</v>
      </c>
      <c r="B36278" s="3" t="s">
        <v>95</v>
      </c>
      <c r="C36278" s="6">
        <v>9075</v>
      </c>
      <c r="D36278" s="7">
        <v>1.41</v>
      </c>
      <c r="E36278" t="s">
        <v>14</v>
      </c>
    </row>
    <row r="36279" spans="1:5" x14ac:dyDescent="0.25">
      <c r="A36279" t="str">
        <f>HYPERLINK("https://www.773grp.com/globalSearch/MC74AC574MG/page-1", "MC74AC574MG")</f>
        <v>MC74AC574MG</v>
      </c>
      <c r="B36279" s="3" t="s">
        <v>95</v>
      </c>
      <c r="C36279" s="6">
        <v>7040</v>
      </c>
      <c r="D36279" s="7">
        <v>1.41</v>
      </c>
      <c r="E36279" t="s">
        <v>14</v>
      </c>
    </row>
    <row r="36280" spans="1:5" x14ac:dyDescent="0.25">
      <c r="A36280" t="str">
        <f>HYPERLINK("https://www.773grp.com/globalSearch/MC74ACT240MELG/page-1", "MC74ACT240MELG")</f>
        <v>MC74ACT240MELG</v>
      </c>
      <c r="B36280" s="3" t="s">
        <v>95</v>
      </c>
      <c r="C36280" s="6">
        <v>8910</v>
      </c>
      <c r="D36280" s="7">
        <v>1.41</v>
      </c>
      <c r="E36280" t="s">
        <v>14</v>
      </c>
    </row>
    <row r="36281" spans="1:5" x14ac:dyDescent="0.25">
      <c r="A36281" t="str">
        <f>HYPERLINK("https://www.773grp.com/globalSearch/MC74ACT244MG/page-1", "MC74ACT244MG")</f>
        <v>MC74ACT244MG</v>
      </c>
      <c r="B36281" s="3" t="s">
        <v>95</v>
      </c>
      <c r="C36281" s="6">
        <v>16164</v>
      </c>
      <c r="D36281" s="7">
        <v>1.41</v>
      </c>
      <c r="E36281" t="s">
        <v>14</v>
      </c>
    </row>
    <row r="36282" spans="1:5" x14ac:dyDescent="0.25">
      <c r="A36282" t="str">
        <f>HYPERLINK("https://www.773grp.com/globalSearch/MC74ACT245MELG/page-1", "MC74ACT245MELG")</f>
        <v>MC74ACT245MELG</v>
      </c>
      <c r="B36282" s="3" t="s">
        <v>95</v>
      </c>
      <c r="C36282" s="6">
        <v>2000</v>
      </c>
      <c r="D36282" s="7">
        <v>1.41</v>
      </c>
      <c r="E36282" t="s">
        <v>14</v>
      </c>
    </row>
    <row r="36283" spans="1:5" x14ac:dyDescent="0.25">
      <c r="A36283" t="str">
        <f>HYPERLINK("https://www.773grp.com/globalSearch/MC74ACT374MELG/page-1", "MC74ACT374MELG")</f>
        <v>MC74ACT374MELG</v>
      </c>
      <c r="B36283" s="3" t="s">
        <v>95</v>
      </c>
      <c r="C36283" s="6">
        <v>2000</v>
      </c>
      <c r="D36283" s="7">
        <v>1.41</v>
      </c>
      <c r="E36283" t="s">
        <v>14</v>
      </c>
    </row>
    <row r="36284" spans="1:5" x14ac:dyDescent="0.25">
      <c r="A36284" t="str">
        <f>HYPERLINK("https://www.773grp.com/globalSearch/MC74ACT377M/page-1", "MC74ACT377M")</f>
        <v>MC74ACT377M</v>
      </c>
      <c r="B36284" s="3" t="s">
        <v>95</v>
      </c>
      <c r="C36284" s="6">
        <v>8320</v>
      </c>
      <c r="D36284" s="7">
        <v>1.41</v>
      </c>
      <c r="E36284" t="s">
        <v>35</v>
      </c>
    </row>
    <row r="36285" spans="1:5" x14ac:dyDescent="0.25">
      <c r="A36285" t="str">
        <f>HYPERLINK("https://www.773grp.com/globalSearch/MC74ACT377MELG/page-1", "MC74ACT377MELG")</f>
        <v>MC74ACT377MELG</v>
      </c>
      <c r="B36285" s="3" t="s">
        <v>95</v>
      </c>
      <c r="C36285" s="6">
        <v>6000</v>
      </c>
      <c r="D36285" s="7">
        <v>1.41</v>
      </c>
      <c r="E36285" t="s">
        <v>35</v>
      </c>
    </row>
    <row r="36286" spans="1:5" x14ac:dyDescent="0.25">
      <c r="A36286" t="str">
        <f>HYPERLINK("https://www.773grp.com/globalSearch/MC74ACT377ML1/page-1", "MC74ACT377ML1")</f>
        <v>MC74ACT377ML1</v>
      </c>
      <c r="B36286" s="3" t="s">
        <v>95</v>
      </c>
      <c r="C36286" s="6">
        <v>44000</v>
      </c>
      <c r="D36286" s="7">
        <v>1.41</v>
      </c>
    </row>
    <row r="36287" spans="1:5" x14ac:dyDescent="0.25">
      <c r="A36287" t="str">
        <f>HYPERLINK("https://www.773grp.com/globalSearch/MC74ACT574MELG/page-1", "MC74ACT574MELG")</f>
        <v>MC74ACT574MELG</v>
      </c>
      <c r="B36287" s="3" t="s">
        <v>95</v>
      </c>
      <c r="C36287" s="6">
        <v>2000</v>
      </c>
      <c r="D36287" s="7">
        <v>1.41</v>
      </c>
      <c r="E36287" t="s">
        <v>14</v>
      </c>
    </row>
    <row r="36288" spans="1:5" x14ac:dyDescent="0.25">
      <c r="A36288" t="str">
        <f>HYPERLINK("https://www.773grp.com/globalSearch/MC74ACT574MG/page-1", "MC74ACT574MG")</f>
        <v>MC74ACT574MG</v>
      </c>
      <c r="B36288" s="3" t="s">
        <v>95</v>
      </c>
      <c r="C36288" s="6">
        <v>9820</v>
      </c>
      <c r="D36288" s="7">
        <v>1.41</v>
      </c>
      <c r="E36288" t="s">
        <v>14</v>
      </c>
    </row>
    <row r="36289" spans="1:5" x14ac:dyDescent="0.25">
      <c r="A36289" t="str">
        <f>HYPERLINK("https://www.773grp.com/globalSearch/MC74HC4351AN/page-1", "MC74HC4351AN")</f>
        <v>MC74HC4351AN</v>
      </c>
      <c r="B36289" s="3" t="s">
        <v>95</v>
      </c>
      <c r="C36289" s="6">
        <v>2801</v>
      </c>
      <c r="D36289" s="7">
        <v>1.41</v>
      </c>
      <c r="E36289" t="s">
        <v>56</v>
      </c>
    </row>
    <row r="36290" spans="1:5" x14ac:dyDescent="0.25">
      <c r="A36290" t="str">
        <f>HYPERLINK("https://www.773grp.com/globalSearch/MC74HC4351F/page-1", "MC74HC4351F")</f>
        <v>MC74HC4351F</v>
      </c>
      <c r="B36290" s="3" t="s">
        <v>95</v>
      </c>
      <c r="C36290" s="6">
        <v>27</v>
      </c>
      <c r="D36290" s="7">
        <v>1.41</v>
      </c>
    </row>
    <row r="36291" spans="1:5" x14ac:dyDescent="0.25">
      <c r="A36291" t="str">
        <f>HYPERLINK("https://www.773grp.com/globalSearch/MC74HC533AF/page-1", "MC74HC533AF")</f>
        <v>MC74HC533AF</v>
      </c>
      <c r="B36291" s="3" t="s">
        <v>95</v>
      </c>
      <c r="C36291" s="6">
        <v>3067</v>
      </c>
      <c r="D36291" s="7">
        <v>1.41</v>
      </c>
    </row>
    <row r="36292" spans="1:5" x14ac:dyDescent="0.25">
      <c r="A36292" t="str">
        <f>HYPERLINK("https://www.773grp.com/globalSearch/MC74HC533AFL1/page-1", "MC74HC533AFL1")</f>
        <v>MC74HC533AFL1</v>
      </c>
      <c r="B36292" s="3" t="s">
        <v>95</v>
      </c>
      <c r="C36292" s="6">
        <v>2000</v>
      </c>
      <c r="D36292" s="7">
        <v>1.41</v>
      </c>
    </row>
    <row r="36293" spans="1:5" x14ac:dyDescent="0.25">
      <c r="A36293" t="str">
        <f>HYPERLINK("https://www.773grp.com/globalSearch/MC74HC533AFR2/page-1", "MC74HC533AFR2")</f>
        <v>MC74HC533AFR2</v>
      </c>
      <c r="B36293" s="3" t="s">
        <v>95</v>
      </c>
      <c r="C36293" s="6">
        <v>6000</v>
      </c>
      <c r="D36293" s="7">
        <v>1.41</v>
      </c>
    </row>
    <row r="36294" spans="1:5" x14ac:dyDescent="0.25">
      <c r="A36294" t="str">
        <f>HYPERLINK("https://www.773grp.com/globalSearch/MC74HC533AN/page-1", "MC74HC533AN")</f>
        <v>MC74HC533AN</v>
      </c>
      <c r="B36294" s="3" t="s">
        <v>95</v>
      </c>
      <c r="C36294" s="6">
        <v>554</v>
      </c>
      <c r="D36294" s="7">
        <v>1.41</v>
      </c>
      <c r="E36294" t="s">
        <v>14</v>
      </c>
    </row>
    <row r="36295" spans="1:5" x14ac:dyDescent="0.25">
      <c r="A36295" t="str">
        <f>HYPERLINK("https://www.773grp.com/globalSearch/MC74HC534AN/page-1", "MC74HC534AN")</f>
        <v>MC74HC534AN</v>
      </c>
      <c r="B36295" s="3" t="s">
        <v>95</v>
      </c>
      <c r="C36295" s="6">
        <v>19658</v>
      </c>
      <c r="D36295" s="7">
        <v>1.41</v>
      </c>
      <c r="E36295" t="s">
        <v>14</v>
      </c>
    </row>
    <row r="36296" spans="1:5" x14ac:dyDescent="0.25">
      <c r="A36296" t="str">
        <f>HYPERLINK("https://www.773grp.com/globalSearch/MC74HC540AFG/page-1", "MC74HC540AFG")</f>
        <v>MC74HC540AFG</v>
      </c>
      <c r="B36296" s="3" t="s">
        <v>95</v>
      </c>
      <c r="C36296" s="6">
        <v>9801</v>
      </c>
      <c r="D36296" s="7">
        <v>1.41</v>
      </c>
      <c r="E36296" t="s">
        <v>14</v>
      </c>
    </row>
    <row r="36297" spans="1:5" x14ac:dyDescent="0.25">
      <c r="A36297" t="str">
        <f>HYPERLINK("https://www.773grp.com/globalSearch/MC74HC541AFELG/page-1", "MC74HC541AFELG")</f>
        <v>MC74HC541AFELG</v>
      </c>
      <c r="B36297" s="3" t="s">
        <v>95</v>
      </c>
      <c r="C36297" s="6">
        <v>3630</v>
      </c>
      <c r="D36297" s="7">
        <v>1.41</v>
      </c>
      <c r="E36297" t="s">
        <v>14</v>
      </c>
    </row>
    <row r="36298" spans="1:5" x14ac:dyDescent="0.25">
      <c r="A36298" t="str">
        <f>HYPERLINK("https://www.773grp.com/globalSearch/MC74HC541AFG/page-1", "MC74HC541AFG")</f>
        <v>MC74HC541AFG</v>
      </c>
      <c r="B36298" s="3" t="s">
        <v>95</v>
      </c>
      <c r="C36298" s="6">
        <v>5632</v>
      </c>
      <c r="D36298" s="7">
        <v>1.41</v>
      </c>
      <c r="E36298" t="s">
        <v>14</v>
      </c>
    </row>
    <row r="36299" spans="1:5" x14ac:dyDescent="0.25">
      <c r="A36299" t="str">
        <f>HYPERLINK("https://www.773grp.com/globalSearch/MC74HCT541AFELG/page-1", "MC74HCT541AFELG")</f>
        <v>MC74HCT541AFELG</v>
      </c>
      <c r="B36299" s="3" t="s">
        <v>95</v>
      </c>
      <c r="C36299" s="6">
        <v>7078</v>
      </c>
      <c r="D36299" s="7">
        <v>1.41</v>
      </c>
      <c r="E36299" t="s">
        <v>14</v>
      </c>
    </row>
    <row r="36300" spans="1:5" x14ac:dyDescent="0.25">
      <c r="A36300" t="str">
        <f>HYPERLINK("https://www.773grp.com/globalSearch/MC74HCT541AFG/page-1", "MC74HCT541AFG")</f>
        <v>MC74HCT541AFG</v>
      </c>
      <c r="B36300" s="3" t="s">
        <v>95</v>
      </c>
      <c r="C36300" s="6">
        <v>1360</v>
      </c>
      <c r="D36300" s="7">
        <v>1.41</v>
      </c>
      <c r="E36300" t="s">
        <v>14</v>
      </c>
    </row>
    <row r="36301" spans="1:5" x14ac:dyDescent="0.25">
      <c r="A36301" t="str">
        <f>HYPERLINK("https://www.773grp.com/globalSearch/MC74LVX240MG/page-1", "MC74LVX240MG")</f>
        <v>MC74LVX240MG</v>
      </c>
      <c r="B36301" s="3" t="s">
        <v>95</v>
      </c>
      <c r="C36301" s="6">
        <v>14690</v>
      </c>
      <c r="D36301" s="7">
        <v>1.41</v>
      </c>
    </row>
    <row r="36302" spans="1:5" x14ac:dyDescent="0.25">
      <c r="A36302" t="str">
        <f>HYPERLINK("https://www.773grp.com/globalSearch/MC74LVX244MELG/page-1", "MC74LVX244MELG")</f>
        <v>MC74LVX244MELG</v>
      </c>
      <c r="B36302" s="3" t="s">
        <v>95</v>
      </c>
      <c r="C36302" s="6">
        <v>22000</v>
      </c>
      <c r="D36302" s="7">
        <v>1.41</v>
      </c>
      <c r="E36302" t="s">
        <v>14</v>
      </c>
    </row>
    <row r="36303" spans="1:5" x14ac:dyDescent="0.25">
      <c r="A36303" t="str">
        <f>HYPERLINK("https://www.773grp.com/globalSearch/MC74LVX245MG/page-1", "MC74LVX245MG")</f>
        <v>MC74LVX245MG</v>
      </c>
      <c r="B36303" s="3" t="s">
        <v>95</v>
      </c>
      <c r="C36303" s="6">
        <v>14920</v>
      </c>
      <c r="D36303" s="7">
        <v>1.41</v>
      </c>
      <c r="E36303" t="s">
        <v>14</v>
      </c>
    </row>
    <row r="36304" spans="1:5" x14ac:dyDescent="0.25">
      <c r="A36304" t="str">
        <f>HYPERLINK("https://www.773grp.com/globalSearch/MC74LVX573MG/page-1", "MC74LVX573MG")</f>
        <v>MC74LVX573MG</v>
      </c>
      <c r="B36304" s="3" t="s">
        <v>95</v>
      </c>
      <c r="C36304" s="6">
        <v>11200</v>
      </c>
      <c r="D36304" s="7">
        <v>1.41</v>
      </c>
      <c r="E36304" t="s">
        <v>14</v>
      </c>
    </row>
    <row r="36305" spans="1:5" x14ac:dyDescent="0.25">
      <c r="A36305" t="str">
        <f>HYPERLINK("https://www.773grp.com/globalSearch/MC74LVX574MELG/page-1", "MC74LVX574MELG")</f>
        <v>MC74LVX574MELG</v>
      </c>
      <c r="B36305" s="3" t="s">
        <v>95</v>
      </c>
      <c r="C36305" s="6">
        <v>23955</v>
      </c>
      <c r="D36305" s="7">
        <v>1.41</v>
      </c>
      <c r="E36305" t="s">
        <v>14</v>
      </c>
    </row>
    <row r="36306" spans="1:5" x14ac:dyDescent="0.25">
      <c r="A36306" t="str">
        <f>HYPERLINK("https://www.773grp.com/globalSearch/MC74LVX574MG/page-1", "MC74LVX574MG")</f>
        <v>MC74LVX574MG</v>
      </c>
      <c r="B36306" s="3" t="s">
        <v>95</v>
      </c>
      <c r="C36306" s="6">
        <v>1720</v>
      </c>
      <c r="D36306" s="7">
        <v>1.41</v>
      </c>
      <c r="E36306" t="s">
        <v>14</v>
      </c>
    </row>
    <row r="36307" spans="1:5" x14ac:dyDescent="0.25">
      <c r="A36307" t="str">
        <f>HYPERLINK("https://www.773grp.com/globalSearch/MC74VHC244MELG/page-1", "MC74VHC244MELG")</f>
        <v>MC74VHC244MELG</v>
      </c>
      <c r="B36307" s="3" t="s">
        <v>95</v>
      </c>
      <c r="C36307" s="6">
        <v>13926</v>
      </c>
      <c r="D36307" s="7">
        <v>1.41</v>
      </c>
      <c r="E36307" t="s">
        <v>14</v>
      </c>
    </row>
    <row r="36308" spans="1:5" x14ac:dyDescent="0.25">
      <c r="A36308" t="str">
        <f>HYPERLINK("https://www.773grp.com/globalSearch/MC74VHC374MELG/page-1", "MC74VHC374MELG")</f>
        <v>MC74VHC374MELG</v>
      </c>
      <c r="B36308" s="3" t="s">
        <v>95</v>
      </c>
      <c r="C36308" s="6">
        <v>22000</v>
      </c>
      <c r="D36308" s="7">
        <v>1.41</v>
      </c>
      <c r="E36308" t="s">
        <v>14</v>
      </c>
    </row>
    <row r="36309" spans="1:5" x14ac:dyDescent="0.25">
      <c r="A36309" t="str">
        <f>HYPERLINK("https://www.773grp.com/globalSearch/MC74VHC573MELG/page-1", "MC74VHC573MELG")</f>
        <v>MC74VHC573MELG</v>
      </c>
      <c r="B36309" s="3" t="s">
        <v>95</v>
      </c>
      <c r="C36309" s="6">
        <v>38242</v>
      </c>
      <c r="D36309" s="7">
        <v>1.41</v>
      </c>
      <c r="E36309" t="s">
        <v>14</v>
      </c>
    </row>
    <row r="36310" spans="1:5" x14ac:dyDescent="0.25">
      <c r="A36310" t="str">
        <f>HYPERLINK("https://www.773grp.com/globalSearch/MC74VHCT240AMELG/page-1", "MC74VHCT240AMELG")</f>
        <v>MC74VHCT240AMELG</v>
      </c>
      <c r="B36310" s="3" t="s">
        <v>95</v>
      </c>
      <c r="C36310" s="6">
        <v>31722</v>
      </c>
      <c r="D36310" s="7">
        <v>1.41</v>
      </c>
      <c r="E36310" t="s">
        <v>14</v>
      </c>
    </row>
    <row r="36311" spans="1:5" x14ac:dyDescent="0.25">
      <c r="A36311" t="str">
        <f>HYPERLINK("https://www.773grp.com/globalSearch/MC74VHCT244AMELG/page-1", "MC74VHCT244AMELG")</f>
        <v>MC74VHCT244AMELG</v>
      </c>
      <c r="B36311" s="3" t="s">
        <v>95</v>
      </c>
      <c r="C36311" s="6">
        <v>38000</v>
      </c>
      <c r="D36311" s="7">
        <v>1.41</v>
      </c>
      <c r="E36311" t="s">
        <v>14</v>
      </c>
    </row>
    <row r="36312" spans="1:5" x14ac:dyDescent="0.25">
      <c r="A36312" t="str">
        <f>HYPERLINK("https://www.773grp.com/globalSearch/MC74VHCT245AMELG/page-1", "MC74VHCT245AMELG")</f>
        <v>MC74VHCT245AMELG</v>
      </c>
      <c r="B36312" s="3" t="s">
        <v>95</v>
      </c>
      <c r="C36312" s="6">
        <v>12882</v>
      </c>
      <c r="D36312" s="7">
        <v>1.41</v>
      </c>
      <c r="E36312" t="s">
        <v>14</v>
      </c>
    </row>
    <row r="36313" spans="1:5" x14ac:dyDescent="0.25">
      <c r="A36313" t="str">
        <f>HYPERLINK("https://www.773grp.com/globalSearch/MC74VHCT374AMELG/page-1", "MC74VHCT374AMELG")</f>
        <v>MC74VHCT374AMELG</v>
      </c>
      <c r="B36313" s="3" t="s">
        <v>95</v>
      </c>
      <c r="C36313" s="6">
        <v>16000</v>
      </c>
      <c r="D36313" s="7">
        <v>1.41</v>
      </c>
      <c r="E36313" t="s">
        <v>14</v>
      </c>
    </row>
    <row r="36314" spans="1:5" x14ac:dyDescent="0.25">
      <c r="A36314" t="str">
        <f>HYPERLINK("https://www.773grp.com/globalSearch/MC7805ABT/page-1", "MC7805ABT")</f>
        <v>MC7805ABT</v>
      </c>
      <c r="B36314" s="3" t="s">
        <v>95</v>
      </c>
      <c r="C36314" s="6">
        <v>295</v>
      </c>
      <c r="D36314" s="7">
        <v>1.41</v>
      </c>
      <c r="E36314" t="s">
        <v>28</v>
      </c>
    </row>
    <row r="36315" spans="1:5" x14ac:dyDescent="0.25">
      <c r="A36315" t="str">
        <f>HYPERLINK("https://www.773grp.com/globalSearch/MC7805ABTG/page-1", "MC7805ABTG")</f>
        <v>MC7805ABTG</v>
      </c>
      <c r="B36315" s="3" t="s">
        <v>95</v>
      </c>
      <c r="C36315" s="6">
        <v>36694</v>
      </c>
      <c r="D36315" s="7">
        <v>1.41</v>
      </c>
      <c r="E36315" t="s">
        <v>28</v>
      </c>
    </row>
    <row r="36316" spans="1:5" x14ac:dyDescent="0.25">
      <c r="A36316" t="str">
        <f>HYPERLINK("https://www.773grp.com/globalSearch/MC7808ABTG/page-1", "MC7808ABTG")</f>
        <v>MC7808ABTG</v>
      </c>
      <c r="B36316" s="3" t="s">
        <v>95</v>
      </c>
      <c r="C36316" s="6">
        <v>28160</v>
      </c>
      <c r="D36316" s="7">
        <v>1.41</v>
      </c>
      <c r="E36316" t="s">
        <v>28</v>
      </c>
    </row>
    <row r="36317" spans="1:5" x14ac:dyDescent="0.25">
      <c r="A36317" t="str">
        <f>HYPERLINK("https://www.773grp.com/globalSearch/MC7808AEBTG/page-1", "MC7808AEBTG")</f>
        <v>MC7808AEBTG</v>
      </c>
      <c r="B36317" s="3" t="s">
        <v>95</v>
      </c>
      <c r="C36317" s="6">
        <v>250</v>
      </c>
      <c r="D36317" s="7">
        <v>1.41</v>
      </c>
      <c r="E36317" t="s">
        <v>28</v>
      </c>
    </row>
    <row r="36318" spans="1:5" x14ac:dyDescent="0.25">
      <c r="A36318" t="str">
        <f>HYPERLINK("https://www.773grp.com/globalSearch/MC7812ABTG/page-1", "MC7812ABTG")</f>
        <v>MC7812ABTG</v>
      </c>
      <c r="B36318" s="3" t="s">
        <v>95</v>
      </c>
      <c r="C36318" s="6">
        <v>41016</v>
      </c>
      <c r="D36318" s="7">
        <v>1.41</v>
      </c>
      <c r="E36318" t="s">
        <v>28</v>
      </c>
    </row>
    <row r="36319" spans="1:5" x14ac:dyDescent="0.25">
      <c r="A36319" t="str">
        <f>HYPERLINK("https://www.773grp.com/globalSearch/MC7815ABTG/page-1", "MC7815ABTG")</f>
        <v>MC7815ABTG</v>
      </c>
      <c r="B36319" s="3" t="s">
        <v>95</v>
      </c>
      <c r="C36319" s="6">
        <v>6750</v>
      </c>
      <c r="D36319" s="7">
        <v>1.41</v>
      </c>
      <c r="E36319" t="s">
        <v>28</v>
      </c>
    </row>
    <row r="36320" spans="1:5" x14ac:dyDescent="0.25">
      <c r="A36320" t="str">
        <f>HYPERLINK("https://www.773grp.com/globalSearch/MC78LC15NTRG/page-1", "MC78LC15NTRG")</f>
        <v>MC78LC15NTRG</v>
      </c>
      <c r="B36320" s="3" t="s">
        <v>95</v>
      </c>
      <c r="C36320" s="6">
        <v>2752</v>
      </c>
      <c r="D36320" s="7">
        <v>1.41</v>
      </c>
      <c r="E36320" t="s">
        <v>19</v>
      </c>
    </row>
    <row r="36321" spans="1:5" x14ac:dyDescent="0.25">
      <c r="A36321" t="str">
        <f>HYPERLINK("https://www.773grp.com/globalSearch/MC78LC18NTRG/page-1", "MC78LC18NTRG")</f>
        <v>MC78LC18NTRG</v>
      </c>
      <c r="B36321" s="3" t="s">
        <v>95</v>
      </c>
      <c r="C36321" s="6">
        <v>18000</v>
      </c>
      <c r="D36321" s="7">
        <v>1.41</v>
      </c>
    </row>
    <row r="36322" spans="1:5" x14ac:dyDescent="0.25">
      <c r="A36322" t="str">
        <f>HYPERLINK("https://www.773grp.com/globalSearch/MC78LC27NTRG/page-1", "MC78LC27NTRG")</f>
        <v>MC78LC27NTRG</v>
      </c>
      <c r="B36322" s="3" t="s">
        <v>95</v>
      </c>
      <c r="C36322" s="6">
        <v>4890</v>
      </c>
      <c r="D36322" s="7">
        <v>1.41</v>
      </c>
      <c r="E36322" t="s">
        <v>19</v>
      </c>
    </row>
    <row r="36323" spans="1:5" x14ac:dyDescent="0.25">
      <c r="A36323" t="str">
        <f>HYPERLINK("https://www.773grp.com/globalSearch/MC78LC28NTRG/page-1", "MC78LC28NTRG")</f>
        <v>MC78LC28NTRG</v>
      </c>
      <c r="B36323" s="3" t="s">
        <v>95</v>
      </c>
      <c r="C36323" s="6">
        <v>15000</v>
      </c>
      <c r="D36323" s="7">
        <v>1.41</v>
      </c>
    </row>
    <row r="36324" spans="1:5" x14ac:dyDescent="0.25">
      <c r="A36324" t="str">
        <f>HYPERLINK("https://www.773grp.com/globalSearch/MC78LC30HT1G/page-1", "MC78LC30HT1G")</f>
        <v>MC78LC30HT1G</v>
      </c>
      <c r="B36324" s="3" t="s">
        <v>95</v>
      </c>
      <c r="C36324" s="6">
        <v>145621</v>
      </c>
      <c r="D36324" s="7">
        <v>1.41</v>
      </c>
      <c r="E36324" t="s">
        <v>19</v>
      </c>
    </row>
    <row r="36325" spans="1:5" x14ac:dyDescent="0.25">
      <c r="A36325" t="str">
        <f>HYPERLINK("https://www.773grp.com/globalSearch/MC78LC30NTRG/page-1", "MC78LC30NTRG")</f>
        <v>MC78LC30NTRG</v>
      </c>
      <c r="B36325" s="3" t="s">
        <v>95</v>
      </c>
      <c r="C36325" s="6">
        <v>99000</v>
      </c>
      <c r="D36325" s="7">
        <v>1.41</v>
      </c>
      <c r="E36325" t="s">
        <v>19</v>
      </c>
    </row>
    <row r="36326" spans="1:5" x14ac:dyDescent="0.25">
      <c r="A36326" t="str">
        <f>HYPERLINK("https://www.773grp.com/globalSearch/MC78LC33HT1G/page-1", "MC78LC33HT1G")</f>
        <v>MC78LC33HT1G</v>
      </c>
      <c r="B36326" s="3" t="s">
        <v>95</v>
      </c>
      <c r="C36326" s="6">
        <v>12000</v>
      </c>
      <c r="D36326" s="7">
        <v>1.41</v>
      </c>
    </row>
    <row r="36327" spans="1:5" x14ac:dyDescent="0.25">
      <c r="A36327" t="str">
        <f>HYPERLINK("https://www.773grp.com/globalSearch/MC78LC33NTRG/page-1", "MC78LC33NTRG")</f>
        <v>MC78LC33NTRG</v>
      </c>
      <c r="B36327" s="3" t="s">
        <v>95</v>
      </c>
      <c r="C36327" s="6">
        <v>29805</v>
      </c>
      <c r="D36327" s="7">
        <v>1.41</v>
      </c>
      <c r="E36327" t="s">
        <v>19</v>
      </c>
    </row>
    <row r="36328" spans="1:5" x14ac:dyDescent="0.25">
      <c r="A36328" t="str">
        <f>HYPERLINK("https://www.773grp.com/globalSearch/MC78LC40HT1G/page-1", "MC78LC40HT1G")</f>
        <v>MC78LC40HT1G</v>
      </c>
      <c r="B36328" s="3" t="s">
        <v>95</v>
      </c>
      <c r="C36328" s="6">
        <v>3548</v>
      </c>
      <c r="D36328" s="7">
        <v>1.41</v>
      </c>
      <c r="E36328" t="s">
        <v>19</v>
      </c>
    </row>
    <row r="36329" spans="1:5" x14ac:dyDescent="0.25">
      <c r="A36329" t="str">
        <f>HYPERLINK("https://www.773grp.com/globalSearch/MC78LC40NTRG/page-1", "MC78LC40NTRG")</f>
        <v>MC78LC40NTRG</v>
      </c>
      <c r="B36329" s="3" t="s">
        <v>95</v>
      </c>
      <c r="C36329" s="6">
        <v>17171</v>
      </c>
      <c r="D36329" s="7">
        <v>1.41</v>
      </c>
      <c r="E36329" t="s">
        <v>19</v>
      </c>
    </row>
    <row r="36330" spans="1:5" x14ac:dyDescent="0.25">
      <c r="A36330" t="str">
        <f>HYPERLINK("https://www.773grp.com/globalSearch/MC78LC50HT1G/page-1", "MC78LC50HT1G")</f>
        <v>MC78LC50HT1G</v>
      </c>
      <c r="B36330" s="3" t="s">
        <v>95</v>
      </c>
      <c r="C36330" s="6">
        <v>24930</v>
      </c>
      <c r="D36330" s="7">
        <v>1.41</v>
      </c>
      <c r="E36330" t="s">
        <v>19</v>
      </c>
    </row>
    <row r="36331" spans="1:5" x14ac:dyDescent="0.25">
      <c r="A36331" t="str">
        <f>HYPERLINK("https://www.773grp.com/globalSearch/MC78LC50NTRG/page-1", "MC78LC50NTRG")</f>
        <v>MC78LC50NTRG</v>
      </c>
      <c r="B36331" s="3" t="s">
        <v>95</v>
      </c>
      <c r="C36331" s="6">
        <v>37743</v>
      </c>
      <c r="D36331" s="7">
        <v>1.41</v>
      </c>
      <c r="E36331" t="s">
        <v>19</v>
      </c>
    </row>
    <row r="36332" spans="1:5" x14ac:dyDescent="0.25">
      <c r="A36332" t="str">
        <f>HYPERLINK("https://www.773grp.com/globalSearch/MGSF3442XT1/page-1", "MGSF3442XT1")</f>
        <v>MGSF3442XT1</v>
      </c>
      <c r="B36332" s="3" t="s">
        <v>95</v>
      </c>
      <c r="C36332" s="6">
        <v>24000</v>
      </c>
      <c r="D36332" s="7">
        <v>1.41</v>
      </c>
      <c r="E36332" t="s">
        <v>106</v>
      </c>
    </row>
    <row r="36333" spans="1:5" x14ac:dyDescent="0.25">
      <c r="A36333" t="str">
        <f>HYPERLINK("https://www.773grp.com/globalSearch/MJD148T4G/page-1", "MJD148T4G")</f>
        <v>MJD148T4G</v>
      </c>
      <c r="B36333" s="3" t="s">
        <v>95</v>
      </c>
      <c r="C36333" s="6">
        <v>828</v>
      </c>
      <c r="D36333" s="7">
        <v>1.41</v>
      </c>
      <c r="E36333" t="s">
        <v>59</v>
      </c>
    </row>
    <row r="36334" spans="1:5" x14ac:dyDescent="0.25">
      <c r="A36334" t="str">
        <f>HYPERLINK("https://www.773grp.com/globalSearch/MMDF7N02ZR2/page-1", "MMDF7N02ZR2")</f>
        <v>MMDF7N02ZR2</v>
      </c>
      <c r="B36334" s="3" t="s">
        <v>95</v>
      </c>
      <c r="C36334" s="6">
        <v>3464</v>
      </c>
      <c r="D36334" s="7">
        <v>1.41</v>
      </c>
      <c r="E36334" t="s">
        <v>106</v>
      </c>
    </row>
    <row r="36335" spans="1:5" x14ac:dyDescent="0.25">
      <c r="A36335" t="str">
        <f>HYPERLINK("https://www.773grp.com/globalSearch/MSRD620CTRG/page-1", "MSRD620CTRG")</f>
        <v>MSRD620CTRG</v>
      </c>
      <c r="B36335" s="3" t="s">
        <v>95</v>
      </c>
      <c r="C36335" s="6">
        <v>1575</v>
      </c>
      <c r="D36335" s="7">
        <v>1.41</v>
      </c>
    </row>
    <row r="36336" spans="1:5" x14ac:dyDescent="0.25">
      <c r="A36336" t="str">
        <f>HYPERLINK("https://www.773grp.com/globalSearch/MSRD620CTT4RG/page-1", "MSRD620CTT4RG")</f>
        <v>MSRD620CTT4RG</v>
      </c>
      <c r="B36336" s="3" t="s">
        <v>95</v>
      </c>
      <c r="C36336" s="6">
        <v>2450</v>
      </c>
      <c r="D36336" s="7">
        <v>1.41</v>
      </c>
      <c r="E36336" t="s">
        <v>103</v>
      </c>
    </row>
    <row r="36337" spans="1:5" x14ac:dyDescent="0.25">
      <c r="A36337" t="str">
        <f>HYPERLINK("https://www.773grp.com/globalSearch/MTD2N40E/page-1", "MTD2N40E")</f>
        <v>MTD2N40E</v>
      </c>
      <c r="B36337" s="3" t="s">
        <v>95</v>
      </c>
      <c r="C36337" s="6">
        <v>3500</v>
      </c>
      <c r="D36337" s="7">
        <v>1.41</v>
      </c>
      <c r="E36337" t="s">
        <v>105</v>
      </c>
    </row>
    <row r="36338" spans="1:5" x14ac:dyDescent="0.25">
      <c r="A36338" t="str">
        <f>HYPERLINK("https://www.773grp.com/globalSearch/MTD2N40E/page-1", "MTD2N40E")</f>
        <v>MTD2N40E</v>
      </c>
      <c r="B36338" s="3" t="s">
        <v>95</v>
      </c>
      <c r="C36338" s="6">
        <v>35</v>
      </c>
      <c r="D36338" s="7">
        <v>1.41</v>
      </c>
      <c r="E36338" t="s">
        <v>105</v>
      </c>
    </row>
    <row r="36339" spans="1:5" x14ac:dyDescent="0.25">
      <c r="A36339" t="str">
        <f>HYPERLINK("https://www.773grp.com/globalSearch/MTD2N40ET4/page-1", "MTD2N40ET4")</f>
        <v>MTD2N40ET4</v>
      </c>
      <c r="B36339" s="3" t="s">
        <v>95</v>
      </c>
      <c r="C36339" s="6">
        <v>335000</v>
      </c>
      <c r="D36339" s="7">
        <v>1.41</v>
      </c>
      <c r="E36339" t="s">
        <v>105</v>
      </c>
    </row>
    <row r="36340" spans="1:5" x14ac:dyDescent="0.25">
      <c r="A36340" t="str">
        <f>HYPERLINK("https://www.773grp.com/globalSearch/MURD315T4/page-1", "MURD315T4")</f>
        <v>MURD315T4</v>
      </c>
      <c r="B36340" s="3" t="s">
        <v>95</v>
      </c>
      <c r="C36340" s="6">
        <v>2490</v>
      </c>
      <c r="D36340" s="7">
        <v>1.41</v>
      </c>
      <c r="E36340" t="s">
        <v>103</v>
      </c>
    </row>
    <row r="36341" spans="1:5" x14ac:dyDescent="0.25">
      <c r="A36341" t="str">
        <f>HYPERLINK("https://www.773grp.com/globalSearch/NCN8024DWR2G/page-1", "NCN8024DWR2G")</f>
        <v>NCN8024DWR2G</v>
      </c>
      <c r="B36341" s="3" t="s">
        <v>95</v>
      </c>
      <c r="C36341" s="6">
        <v>1815285</v>
      </c>
      <c r="D36341" s="7">
        <v>1.41</v>
      </c>
      <c r="E36341" t="s">
        <v>40</v>
      </c>
    </row>
    <row r="36342" spans="1:5" x14ac:dyDescent="0.25">
      <c r="A36342" t="str">
        <f>HYPERLINK("https://www.773grp.com/globalSearch/NCP100ALPRPG/page-1", "NCP100ALPRPG")</f>
        <v>NCP100ALPRPG</v>
      </c>
      <c r="B36342" s="3" t="s">
        <v>95</v>
      </c>
      <c r="C36342" s="6">
        <v>716451</v>
      </c>
      <c r="D36342" s="7">
        <v>1.41</v>
      </c>
      <c r="E36342" t="s">
        <v>17</v>
      </c>
    </row>
    <row r="36343" spans="1:5" x14ac:dyDescent="0.25">
      <c r="A36343" t="str">
        <f>HYPERLINK("https://www.773grp.com/globalSearch/NCP1207ADR2/page-1", "NCP1207ADR2")</f>
        <v>NCP1207ADR2</v>
      </c>
      <c r="B36343" s="3" t="s">
        <v>95</v>
      </c>
      <c r="C36343" s="6">
        <v>600</v>
      </c>
      <c r="D36343" s="7">
        <v>1.41</v>
      </c>
      <c r="E36343" t="s">
        <v>7</v>
      </c>
    </row>
    <row r="36344" spans="1:5" x14ac:dyDescent="0.25">
      <c r="A36344" t="str">
        <f>HYPERLINK("https://www.773grp.com/globalSearch/NCP1216AD133R2/page-1", "NCP1216AD133R2")</f>
        <v>NCP1216AD133R2</v>
      </c>
      <c r="B36344" s="3" t="s">
        <v>95</v>
      </c>
      <c r="C36344" s="6">
        <v>5000</v>
      </c>
      <c r="D36344" s="7">
        <v>1.41</v>
      </c>
      <c r="E36344" t="s">
        <v>7</v>
      </c>
    </row>
    <row r="36345" spans="1:5" x14ac:dyDescent="0.25">
      <c r="A36345" t="str">
        <f>HYPERLINK("https://www.773grp.com/globalSearch/NCP1216D100R2/page-1", "NCP1216D100R2")</f>
        <v>NCP1216D100R2</v>
      </c>
      <c r="B36345" s="3" t="s">
        <v>95</v>
      </c>
      <c r="C36345" s="6">
        <v>194732</v>
      </c>
      <c r="D36345" s="7">
        <v>1.41</v>
      </c>
      <c r="E36345" t="s">
        <v>7</v>
      </c>
    </row>
    <row r="36346" spans="1:5" x14ac:dyDescent="0.25">
      <c r="A36346" t="str">
        <f>HYPERLINK("https://www.773grp.com/globalSearch/NCP1216D133R2/page-1", "NCP1216D133R2")</f>
        <v>NCP1216D133R2</v>
      </c>
      <c r="B36346" s="3" t="s">
        <v>95</v>
      </c>
      <c r="C36346" s="6">
        <v>46455</v>
      </c>
      <c r="D36346" s="7">
        <v>1.41</v>
      </c>
      <c r="E36346" t="s">
        <v>7</v>
      </c>
    </row>
    <row r="36347" spans="1:5" x14ac:dyDescent="0.25">
      <c r="A36347" t="str">
        <f>HYPERLINK("https://www.773grp.com/globalSearch/NCP1217AD100R2/page-1", "NCP1217AD100R2")</f>
        <v>NCP1217AD100R2</v>
      </c>
      <c r="B36347" s="3" t="s">
        <v>95</v>
      </c>
      <c r="C36347" s="6">
        <v>5000</v>
      </c>
      <c r="D36347" s="7">
        <v>1.41</v>
      </c>
      <c r="E36347" t="s">
        <v>7</v>
      </c>
    </row>
    <row r="36348" spans="1:5" x14ac:dyDescent="0.25">
      <c r="A36348" t="str">
        <f>HYPERLINK("https://www.773grp.com/globalSearch/NCP1217AD65R2/page-1", "NCP1217AD65R2")</f>
        <v>NCP1217AD65R2</v>
      </c>
      <c r="B36348" s="3" t="s">
        <v>95</v>
      </c>
      <c r="C36348" s="6">
        <v>7500</v>
      </c>
      <c r="D36348" s="7">
        <v>1.41</v>
      </c>
      <c r="E36348" t="s">
        <v>7</v>
      </c>
    </row>
    <row r="36349" spans="1:5" x14ac:dyDescent="0.25">
      <c r="A36349" t="str">
        <f>HYPERLINK("https://www.773grp.com/globalSearch/NCP1217D133R2/page-1", "NCP1217D133R2")</f>
        <v>NCP1217D133R2</v>
      </c>
      <c r="B36349" s="3" t="s">
        <v>95</v>
      </c>
      <c r="C36349" s="6">
        <v>40000</v>
      </c>
      <c r="D36349" s="7">
        <v>1.41</v>
      </c>
      <c r="E36349" t="s">
        <v>7</v>
      </c>
    </row>
    <row r="36350" spans="1:5" x14ac:dyDescent="0.25">
      <c r="A36350" t="str">
        <f>HYPERLINK("https://www.773grp.com/globalSearch/NCP1217D65R2/page-1", "NCP1217D65R2")</f>
        <v>NCP1217D65R2</v>
      </c>
      <c r="B36350" s="3" t="s">
        <v>95</v>
      </c>
      <c r="C36350" s="6">
        <v>2470</v>
      </c>
      <c r="D36350" s="7">
        <v>1.41</v>
      </c>
      <c r="E36350" t="s">
        <v>7</v>
      </c>
    </row>
    <row r="36351" spans="1:5" x14ac:dyDescent="0.25">
      <c r="A36351" t="str">
        <f>HYPERLINK("https://www.773grp.com/globalSearch/NCP1377BDR2/page-1", "NCP1377BDR2")</f>
        <v>NCP1377BDR2</v>
      </c>
      <c r="B36351" s="3" t="s">
        <v>95</v>
      </c>
      <c r="C36351" s="6">
        <v>10000</v>
      </c>
      <c r="D36351" s="7">
        <v>1.41</v>
      </c>
      <c r="E36351" t="s">
        <v>7</v>
      </c>
    </row>
    <row r="36352" spans="1:5" x14ac:dyDescent="0.25">
      <c r="A36352" t="str">
        <f>HYPERLINK("https://www.773grp.com/globalSearch/NCP1377DR2/page-1", "NCP1377DR2")</f>
        <v>NCP1377DR2</v>
      </c>
      <c r="B36352" s="3" t="s">
        <v>95</v>
      </c>
      <c r="C36352" s="6">
        <v>6923</v>
      </c>
      <c r="D36352" s="7">
        <v>1.41</v>
      </c>
      <c r="E36352" t="s">
        <v>7</v>
      </c>
    </row>
    <row r="36353" spans="1:5" x14ac:dyDescent="0.25">
      <c r="A36353" t="str">
        <f>HYPERLINK("https://www.773grp.com/globalSearch/NCP1378DR2/page-1", "NCP1378DR2")</f>
        <v>NCP1378DR2</v>
      </c>
      <c r="B36353" s="3" t="s">
        <v>95</v>
      </c>
      <c r="C36353" s="6">
        <v>44974</v>
      </c>
      <c r="D36353" s="7">
        <v>1.41</v>
      </c>
      <c r="E36353" t="s">
        <v>7</v>
      </c>
    </row>
    <row r="36354" spans="1:5" x14ac:dyDescent="0.25">
      <c r="A36354" t="str">
        <f>HYPERLINK("https://www.773grp.com/globalSearch/NCP1596AMNTWG/page-1", "NCP1596AMNTWG")</f>
        <v>NCP1596AMNTWG</v>
      </c>
      <c r="B36354" s="3" t="s">
        <v>95</v>
      </c>
      <c r="C36354" s="6">
        <v>87000</v>
      </c>
      <c r="D36354" s="7">
        <v>1.41</v>
      </c>
      <c r="E36354" t="s">
        <v>7</v>
      </c>
    </row>
    <row r="36355" spans="1:5" x14ac:dyDescent="0.25">
      <c r="A36355" t="str">
        <f>HYPERLINK("https://www.773grp.com/globalSearch/NCP2815BFCCT2G/page-1", "NCP2815BFCCT2G")</f>
        <v>NCP2815BFCCT2G</v>
      </c>
      <c r="B36355" s="3" t="s">
        <v>95</v>
      </c>
      <c r="C36355" s="6">
        <v>3000</v>
      </c>
      <c r="D36355" s="7">
        <v>1.41</v>
      </c>
    </row>
    <row r="36356" spans="1:5" x14ac:dyDescent="0.25">
      <c r="A36356" t="str">
        <f>HYPERLINK("https://www.773grp.com/globalSearch/NCP2860DM277R2G/page-1", "NCP2860DM277R2G")</f>
        <v>NCP2860DM277R2G</v>
      </c>
      <c r="B36356" s="3" t="s">
        <v>95</v>
      </c>
      <c r="C36356" s="6">
        <v>270182</v>
      </c>
      <c r="D36356" s="7">
        <v>1.41</v>
      </c>
      <c r="E36356" t="s">
        <v>27</v>
      </c>
    </row>
    <row r="36357" spans="1:5" x14ac:dyDescent="0.25">
      <c r="A36357" t="str">
        <f>HYPERLINK("https://www.773grp.com/globalSearch/NCP2860DMADJR2G/page-1", "NCP2860DMADJR2G")</f>
        <v>NCP2860DMADJR2G</v>
      </c>
      <c r="B36357" s="3" t="s">
        <v>95</v>
      </c>
      <c r="C36357" s="6">
        <v>4000</v>
      </c>
      <c r="D36357" s="7">
        <v>1.41</v>
      </c>
    </row>
    <row r="36358" spans="1:5" x14ac:dyDescent="0.25">
      <c r="A36358" t="str">
        <f>HYPERLINK("https://www.773grp.com/globalSearch/NCP2890AFCT2/page-1", "NCP2890AFCT2")</f>
        <v>NCP2890AFCT2</v>
      </c>
      <c r="B36358" s="3" t="s">
        <v>95</v>
      </c>
      <c r="C36358" s="6">
        <v>6000</v>
      </c>
      <c r="D36358" s="7">
        <v>1.41</v>
      </c>
      <c r="E36358" t="s">
        <v>18</v>
      </c>
    </row>
    <row r="36359" spans="1:5" x14ac:dyDescent="0.25">
      <c r="A36359" t="str">
        <f>HYPERLINK("https://www.773grp.com/globalSearch/NCP3063DR2G/page-1", "NCP3063DR2G")</f>
        <v>NCP3063DR2G</v>
      </c>
      <c r="B36359" s="3" t="s">
        <v>95</v>
      </c>
      <c r="C36359" s="6">
        <v>30000</v>
      </c>
      <c r="D36359" s="7">
        <v>1.41</v>
      </c>
      <c r="E36359" t="s">
        <v>7</v>
      </c>
    </row>
    <row r="36360" spans="1:5" x14ac:dyDescent="0.25">
      <c r="A36360" t="str">
        <f>HYPERLINK("https://www.773grp.com/globalSearch/NCP317BTG/page-1", "NCP317BTG")</f>
        <v>NCP317BTG</v>
      </c>
      <c r="B36360" s="3" t="s">
        <v>95</v>
      </c>
      <c r="C36360" s="6">
        <v>80300</v>
      </c>
      <c r="D36360" s="7">
        <v>1.41</v>
      </c>
    </row>
    <row r="36361" spans="1:5" x14ac:dyDescent="0.25">
      <c r="A36361" t="str">
        <f>HYPERLINK("https://www.773grp.com/globalSearch/NCP3334DADJG/page-1", "NCP3334DADJG")</f>
        <v>NCP3334DADJG</v>
      </c>
      <c r="B36361" s="3" t="s">
        <v>95</v>
      </c>
      <c r="C36361" s="6">
        <v>19790</v>
      </c>
      <c r="D36361" s="7">
        <v>1.41</v>
      </c>
    </row>
    <row r="36362" spans="1:5" x14ac:dyDescent="0.25">
      <c r="A36362" t="str">
        <f>HYPERLINK("https://www.773grp.com/globalSearch/NCP3334DADJR2G/page-1", "NCP3334DADJR2G")</f>
        <v>NCP3334DADJR2G</v>
      </c>
      <c r="B36362" s="3" t="s">
        <v>95</v>
      </c>
      <c r="C36362" s="6">
        <v>14829</v>
      </c>
      <c r="D36362" s="7">
        <v>1.41</v>
      </c>
    </row>
    <row r="36363" spans="1:5" x14ac:dyDescent="0.25">
      <c r="A36363" t="str">
        <f>HYPERLINK("https://www.773grp.com/globalSearch/NCP5212AMNTXG/page-1", "NCP5212AMNTXG")</f>
        <v>NCP5212AMNTXG</v>
      </c>
      <c r="B36363" s="3" t="s">
        <v>95</v>
      </c>
      <c r="C36363" s="6">
        <v>9000</v>
      </c>
      <c r="D36363" s="7">
        <v>1.41</v>
      </c>
    </row>
    <row r="36364" spans="1:5" x14ac:dyDescent="0.25">
      <c r="A36364" t="str">
        <f>HYPERLINK("https://www.773grp.com/globalSearch/NCP5212TMNTXG/page-1", "NCP5212TMNTXG")</f>
        <v>NCP5212TMNTXG</v>
      </c>
      <c r="B36364" s="3" t="s">
        <v>95</v>
      </c>
      <c r="C36364" s="6">
        <v>57000</v>
      </c>
      <c r="D36364" s="7">
        <v>1.41</v>
      </c>
    </row>
    <row r="36365" spans="1:5" x14ac:dyDescent="0.25">
      <c r="A36365" t="str">
        <f>HYPERLINK("https://www.773grp.com/globalSearch/NCP78LC25NTRG/page-1", "NCP78LC25NTRG")</f>
        <v>NCP78LC25NTRG</v>
      </c>
      <c r="B36365" s="3" t="s">
        <v>95</v>
      </c>
      <c r="C36365" s="6">
        <v>3000</v>
      </c>
      <c r="D36365" s="7">
        <v>1.41</v>
      </c>
    </row>
    <row r="36366" spans="1:5" x14ac:dyDescent="0.25">
      <c r="A36366" t="str">
        <f>HYPERLINK("https://www.773grp.com/globalSearch/NCP78LC27NTRG/page-1", "NCP78LC27NTRG")</f>
        <v>NCP78LC27NTRG</v>
      </c>
      <c r="B36366" s="3" t="s">
        <v>95</v>
      </c>
      <c r="C36366" s="6">
        <v>3000</v>
      </c>
      <c r="D36366" s="7">
        <v>1.41</v>
      </c>
    </row>
    <row r="36367" spans="1:5" x14ac:dyDescent="0.25">
      <c r="A36367" t="str">
        <f>HYPERLINK("https://www.773grp.com/globalSearch/NCP78LC28NTRG/page-1", "NCP78LC28NTRG")</f>
        <v>NCP78LC28NTRG</v>
      </c>
      <c r="B36367" s="3" t="s">
        <v>95</v>
      </c>
      <c r="C36367" s="6">
        <v>3000</v>
      </c>
      <c r="D36367" s="7">
        <v>1.41</v>
      </c>
    </row>
    <row r="36368" spans="1:5" x14ac:dyDescent="0.25">
      <c r="A36368" t="str">
        <f>HYPERLINK("https://www.773grp.com/globalSearch/NCP78LC30NTRG/page-1", "NCP78LC30NTRG")</f>
        <v>NCP78LC30NTRG</v>
      </c>
      <c r="B36368" s="3" t="s">
        <v>95</v>
      </c>
      <c r="C36368" s="6">
        <v>3000</v>
      </c>
      <c r="D36368" s="7">
        <v>1.41</v>
      </c>
    </row>
    <row r="36369" spans="1:5" x14ac:dyDescent="0.25">
      <c r="A36369" t="str">
        <f>HYPERLINK("https://www.773grp.com/globalSearch/NCP78LC33NTRG/page-1", "NCP78LC33NTRG")</f>
        <v>NCP78LC33NTRG</v>
      </c>
      <c r="B36369" s="3" t="s">
        <v>95</v>
      </c>
      <c r="C36369" s="6">
        <v>6000</v>
      </c>
      <c r="D36369" s="7">
        <v>1.41</v>
      </c>
    </row>
    <row r="36370" spans="1:5" x14ac:dyDescent="0.25">
      <c r="A36370" t="str">
        <f>HYPERLINK("https://www.773grp.com/globalSearch/NCP78LC40NTRG/page-1", "NCP78LC40NTRG")</f>
        <v>NCP78LC40NTRG</v>
      </c>
      <c r="B36370" s="3" t="s">
        <v>95</v>
      </c>
      <c r="C36370" s="6">
        <v>3000</v>
      </c>
      <c r="D36370" s="7">
        <v>1.41</v>
      </c>
    </row>
    <row r="36371" spans="1:5" x14ac:dyDescent="0.25">
      <c r="A36371" t="str">
        <f>HYPERLINK("https://www.773grp.com/globalSearch/NCP78LC50NTRG/page-1", "NCP78LC50NTRG")</f>
        <v>NCP78LC50NTRG</v>
      </c>
      <c r="B36371" s="3" t="s">
        <v>95</v>
      </c>
      <c r="C36371" s="6">
        <v>3000</v>
      </c>
      <c r="D36371" s="7">
        <v>1.41</v>
      </c>
    </row>
    <row r="36372" spans="1:5" x14ac:dyDescent="0.25">
      <c r="A36372" t="str">
        <f>HYPERLINK("https://www.773grp.com/globalSearch/NCV1117ST12T3G/page-1", "NCV1117ST12T3G")</f>
        <v>NCV1117ST12T3G</v>
      </c>
      <c r="B36372" s="3" t="s">
        <v>95</v>
      </c>
      <c r="C36372" s="6">
        <v>178</v>
      </c>
      <c r="D36372" s="7">
        <v>1.41</v>
      </c>
      <c r="E36372" t="s">
        <v>19</v>
      </c>
    </row>
    <row r="36373" spans="1:5" x14ac:dyDescent="0.25">
      <c r="A36373" t="str">
        <f>HYPERLINK("https://www.773grp.com/globalSearch/NCV1117ST15T3G/page-1", "NCV1117ST15T3G")</f>
        <v>NCV1117ST15T3G</v>
      </c>
      <c r="B36373" s="3" t="s">
        <v>95</v>
      </c>
      <c r="C36373" s="6">
        <v>9762</v>
      </c>
      <c r="D36373" s="7">
        <v>1.41</v>
      </c>
      <c r="E36373" t="s">
        <v>19</v>
      </c>
    </row>
    <row r="36374" spans="1:5" x14ac:dyDescent="0.25">
      <c r="A36374" t="str">
        <f>HYPERLINK("https://www.773grp.com/globalSearch/NCV1117ST18T3G/page-1", "NCV1117ST18T3G")</f>
        <v>NCV1117ST18T3G</v>
      </c>
      <c r="B36374" s="3" t="s">
        <v>95</v>
      </c>
      <c r="C36374" s="6">
        <v>23983</v>
      </c>
      <c r="D36374" s="7">
        <v>1.41</v>
      </c>
      <c r="E36374" t="s">
        <v>19</v>
      </c>
    </row>
    <row r="36375" spans="1:5" x14ac:dyDescent="0.25">
      <c r="A36375" t="str">
        <f>HYPERLINK("https://www.773grp.com/globalSearch/NCV1117ST50T3G/page-1", "NCV1117ST50T3G")</f>
        <v>NCV1117ST50T3G</v>
      </c>
      <c r="B36375" s="3" t="s">
        <v>95</v>
      </c>
      <c r="C36375" s="6">
        <v>12000</v>
      </c>
      <c r="D36375" s="7">
        <v>1.41</v>
      </c>
    </row>
    <row r="36376" spans="1:5" x14ac:dyDescent="0.25">
      <c r="A36376" t="str">
        <f>HYPERLINK("https://www.773grp.com/globalSearch/NCV1117STAT3G/page-1", "NCV1117STAT3G")</f>
        <v>NCV1117STAT3G</v>
      </c>
      <c r="B36376" s="3" t="s">
        <v>95</v>
      </c>
      <c r="C36376" s="6">
        <v>47487</v>
      </c>
      <c r="D36376" s="7">
        <v>1.41</v>
      </c>
      <c r="E36376" t="s">
        <v>25</v>
      </c>
    </row>
    <row r="36377" spans="1:5" x14ac:dyDescent="0.25">
      <c r="A36377" t="str">
        <f>HYPERLINK("https://www.773grp.com/globalSearch/NCV663SQ15T1G/page-1", "NCV663SQ15T1G")</f>
        <v>NCV663SQ15T1G</v>
      </c>
      <c r="B36377" s="3" t="s">
        <v>95</v>
      </c>
      <c r="C36377" s="6">
        <v>21000</v>
      </c>
      <c r="D36377" s="7">
        <v>1.41</v>
      </c>
      <c r="E36377" t="s">
        <v>19</v>
      </c>
    </row>
    <row r="36378" spans="1:5" x14ac:dyDescent="0.25">
      <c r="A36378" t="str">
        <f>HYPERLINK("https://www.773grp.com/globalSearch/NCV663SQ18T1G/page-1", "NCV663SQ18T1G")</f>
        <v>NCV663SQ18T1G</v>
      </c>
      <c r="B36378" s="3" t="s">
        <v>95</v>
      </c>
      <c r="C36378" s="6">
        <v>6000</v>
      </c>
      <c r="D36378" s="7">
        <v>1.41</v>
      </c>
    </row>
    <row r="36379" spans="1:5" x14ac:dyDescent="0.25">
      <c r="A36379" t="str">
        <f>HYPERLINK("https://www.773grp.com/globalSearch/NCV663SQ25T1G/page-1", "NCV663SQ25T1G")</f>
        <v>NCV663SQ25T1G</v>
      </c>
      <c r="B36379" s="3" t="s">
        <v>95</v>
      </c>
      <c r="C36379" s="6">
        <v>14059</v>
      </c>
      <c r="D36379" s="7">
        <v>1.41</v>
      </c>
      <c r="E36379" t="s">
        <v>19</v>
      </c>
    </row>
    <row r="36380" spans="1:5" x14ac:dyDescent="0.25">
      <c r="A36380" t="str">
        <f>HYPERLINK("https://www.773grp.com/globalSearch/NCV663SQ27T1G/page-1", "NCV663SQ27T1G")</f>
        <v>NCV663SQ27T1G</v>
      </c>
      <c r="B36380" s="3" t="s">
        <v>95</v>
      </c>
      <c r="C36380" s="6">
        <v>12000</v>
      </c>
      <c r="D36380" s="7">
        <v>1.41</v>
      </c>
      <c r="E36380" t="s">
        <v>19</v>
      </c>
    </row>
    <row r="36381" spans="1:5" x14ac:dyDescent="0.25">
      <c r="A36381" t="str">
        <f>HYPERLINK("https://www.773grp.com/globalSearch/NCV663SQ28T1G/page-1", "NCV663SQ28T1G")</f>
        <v>NCV663SQ28T1G</v>
      </c>
      <c r="B36381" s="3" t="s">
        <v>95</v>
      </c>
      <c r="C36381" s="6">
        <v>9000</v>
      </c>
      <c r="D36381" s="7">
        <v>1.41</v>
      </c>
      <c r="E36381" t="s">
        <v>19</v>
      </c>
    </row>
    <row r="36382" spans="1:5" x14ac:dyDescent="0.25">
      <c r="A36382" t="str">
        <f>HYPERLINK("https://www.773grp.com/globalSearch/NCV663SQ30T1G/page-1", "NCV663SQ30T1G")</f>
        <v>NCV663SQ30T1G</v>
      </c>
      <c r="B36382" s="3" t="s">
        <v>95</v>
      </c>
      <c r="C36382" s="6">
        <v>5985</v>
      </c>
      <c r="D36382" s="7">
        <v>1.41</v>
      </c>
      <c r="E36382" t="s">
        <v>19</v>
      </c>
    </row>
    <row r="36383" spans="1:5" x14ac:dyDescent="0.25">
      <c r="A36383" t="str">
        <f>HYPERLINK("https://www.773grp.com/globalSearch/NCV663SQ33T1G/page-1", "NCV663SQ33T1G")</f>
        <v>NCV663SQ33T1G</v>
      </c>
      <c r="B36383" s="3" t="s">
        <v>95</v>
      </c>
      <c r="C36383" s="6">
        <v>14938</v>
      </c>
      <c r="D36383" s="7">
        <v>1.41</v>
      </c>
      <c r="E36383" t="s">
        <v>19</v>
      </c>
    </row>
    <row r="36384" spans="1:5" x14ac:dyDescent="0.25">
      <c r="A36384" t="str">
        <f>HYPERLINK("https://www.773grp.com/globalSearch/NCV663SQ50T1G/page-1", "NCV663SQ50T1G")</f>
        <v>NCV663SQ50T1G</v>
      </c>
      <c r="B36384" s="3" t="s">
        <v>95</v>
      </c>
      <c r="C36384" s="6">
        <v>23895</v>
      </c>
      <c r="D36384" s="7">
        <v>1.41</v>
      </c>
      <c r="E36384" t="s">
        <v>19</v>
      </c>
    </row>
    <row r="36385" spans="1:5" x14ac:dyDescent="0.25">
      <c r="A36385" t="str">
        <f>HYPERLINK("https://www.773grp.com/globalSearch/NE592N8/page-1", "NE592N8")</f>
        <v>NE592N8</v>
      </c>
      <c r="B36385" s="3" t="s">
        <v>95</v>
      </c>
      <c r="C36385" s="6">
        <v>300</v>
      </c>
      <c r="D36385" s="7">
        <v>1.41</v>
      </c>
      <c r="E36385" t="s">
        <v>18</v>
      </c>
    </row>
    <row r="36386" spans="1:5" x14ac:dyDescent="0.25">
      <c r="A36386" t="str">
        <f>HYPERLINK("https://www.773grp.com/globalSearch/NJVBDW47G/page-1", "NJVBDW47G")</f>
        <v>NJVBDW47G</v>
      </c>
      <c r="B36386" s="3" t="s">
        <v>95</v>
      </c>
      <c r="C36386" s="6">
        <v>82</v>
      </c>
      <c r="D36386" s="7">
        <v>1.41</v>
      </c>
    </row>
    <row r="36387" spans="1:5" x14ac:dyDescent="0.25">
      <c r="A36387" t="str">
        <f>HYPERLINK("https://www.773grp.com/globalSearch/NLAS4684FCTCG/page-1", "NLAS4684FCTCG")</f>
        <v>NLAS4684FCTCG</v>
      </c>
      <c r="B36387" s="3" t="s">
        <v>95</v>
      </c>
      <c r="C36387" s="6">
        <v>300000</v>
      </c>
      <c r="D36387" s="7">
        <v>1.41</v>
      </c>
      <c r="E36387" t="s">
        <v>56</v>
      </c>
    </row>
    <row r="36388" spans="1:5" x14ac:dyDescent="0.25">
      <c r="A36388" t="str">
        <f>HYPERLINK("https://www.773grp.com/globalSearch/NLSF595DTR2G/page-1", "NLSF595DTR2G")</f>
        <v>NLSF595DTR2G</v>
      </c>
      <c r="B36388" s="3" t="s">
        <v>95</v>
      </c>
      <c r="C36388" s="6">
        <v>2500</v>
      </c>
      <c r="D36388" s="7">
        <v>1.41</v>
      </c>
    </row>
    <row r="36389" spans="1:5" x14ac:dyDescent="0.25">
      <c r="A36389" t="str">
        <f>HYPERLINK("https://www.773grp.com/globalSearch/NTD24N06L-1G/page-1", "NTD24N06L-1G")</f>
        <v>NTD24N06L-1G</v>
      </c>
      <c r="B36389" s="3" t="s">
        <v>95</v>
      </c>
      <c r="C36389" s="6">
        <v>280</v>
      </c>
      <c r="D36389" s="7">
        <v>1.41</v>
      </c>
      <c r="E36389" t="s">
        <v>105</v>
      </c>
    </row>
    <row r="36390" spans="1:5" x14ac:dyDescent="0.25">
      <c r="A36390" t="str">
        <f>HYPERLINK("https://www.773grp.com/globalSearch/NTD24N06LT4/page-1", "NTD24N06LT4")</f>
        <v>NTD24N06LT4</v>
      </c>
      <c r="B36390" s="3" t="s">
        <v>95</v>
      </c>
      <c r="C36390" s="6">
        <v>2394</v>
      </c>
      <c r="D36390" s="7">
        <v>1.41</v>
      </c>
      <c r="E36390" t="s">
        <v>105</v>
      </c>
    </row>
    <row r="36391" spans="1:5" x14ac:dyDescent="0.25">
      <c r="A36391" t="str">
        <f>HYPERLINK("https://www.773grp.com/globalSearch/NTD25P03L1G/page-1", "NTD25P03L1G")</f>
        <v>NTD25P03L1G</v>
      </c>
      <c r="B36391" s="3" t="s">
        <v>95</v>
      </c>
      <c r="C36391" s="6">
        <v>7125</v>
      </c>
      <c r="D36391" s="7">
        <v>1.41</v>
      </c>
    </row>
    <row r="36392" spans="1:5" x14ac:dyDescent="0.25">
      <c r="A36392" t="str">
        <f>HYPERLINK("https://www.773grp.com/globalSearch/NTD25P03LRLG/page-1", "NTD25P03LRLG")</f>
        <v>NTD25P03LRLG</v>
      </c>
      <c r="B36392" s="3" t="s">
        <v>95</v>
      </c>
      <c r="C36392" s="6">
        <v>3600</v>
      </c>
      <c r="D36392" s="7">
        <v>1.41</v>
      </c>
    </row>
    <row r="36393" spans="1:5" x14ac:dyDescent="0.25">
      <c r="A36393" t="str">
        <f>HYPERLINK("https://www.773grp.com/globalSearch/NTD5865N-1G/page-1", "NTD5865N-1G")</f>
        <v>NTD5865N-1G</v>
      </c>
      <c r="B36393" s="3" t="s">
        <v>95</v>
      </c>
      <c r="C36393" s="6">
        <v>9650</v>
      </c>
      <c r="D36393" s="7">
        <v>1.41</v>
      </c>
      <c r="E36393" t="s">
        <v>105</v>
      </c>
    </row>
    <row r="36394" spans="1:5" x14ac:dyDescent="0.25">
      <c r="A36394" t="str">
        <f>HYPERLINK("https://www.773grp.com/globalSearch/NTD5865NL-1G/page-1", "NTD5865NL-1G")</f>
        <v>NTD5865NL-1G</v>
      </c>
      <c r="B36394" s="3" t="s">
        <v>95</v>
      </c>
      <c r="C36394" s="6">
        <v>2040</v>
      </c>
      <c r="D36394" s="7">
        <v>1.41</v>
      </c>
    </row>
    <row r="36395" spans="1:5" x14ac:dyDescent="0.25">
      <c r="A36395" t="str">
        <f>HYPERLINK("https://www.773grp.com/globalSearch/NTD5865NT4G/page-1", "NTD5865NT4G")</f>
        <v>NTD5865NT4G</v>
      </c>
      <c r="B36395" s="3" t="s">
        <v>95</v>
      </c>
      <c r="C36395" s="6">
        <v>20000</v>
      </c>
      <c r="D36395" s="7">
        <v>1.41</v>
      </c>
    </row>
    <row r="36396" spans="1:5" x14ac:dyDescent="0.25">
      <c r="A36396" t="str">
        <f>HYPERLINK("https://www.773grp.com/globalSearch/NTMFS4836NT1G/page-1", "NTMFS4836NT1G")</f>
        <v>NTMFS4836NT1G</v>
      </c>
      <c r="B36396" s="3" t="s">
        <v>95</v>
      </c>
      <c r="C36396" s="6">
        <v>111275</v>
      </c>
      <c r="D36396" s="7">
        <v>1.41</v>
      </c>
      <c r="E36396" t="s">
        <v>105</v>
      </c>
    </row>
    <row r="36397" spans="1:5" x14ac:dyDescent="0.25">
      <c r="A36397" t="str">
        <f>HYPERLINK("https://www.773grp.com/globalSearch/NTMFS4846NT1G/page-1", "NTMFS4846NT1G")</f>
        <v>NTMFS4846NT1G</v>
      </c>
      <c r="B36397" s="3" t="s">
        <v>95</v>
      </c>
      <c r="C36397" s="6">
        <v>44183</v>
      </c>
      <c r="D36397" s="7">
        <v>1.41</v>
      </c>
      <c r="E36397" t="s">
        <v>106</v>
      </c>
    </row>
    <row r="36398" spans="1:5" x14ac:dyDescent="0.25">
      <c r="A36398" t="str">
        <f>HYPERLINK("https://www.773grp.com/globalSearch/NTP18N06LG/page-1", "NTP18N06LG")</f>
        <v>NTP18N06LG</v>
      </c>
      <c r="B36398" s="3" t="s">
        <v>95</v>
      </c>
      <c r="C36398" s="6">
        <v>106437</v>
      </c>
      <c r="D36398" s="7">
        <v>1.41</v>
      </c>
      <c r="E36398" t="s">
        <v>105</v>
      </c>
    </row>
    <row r="36399" spans="1:5" x14ac:dyDescent="0.25">
      <c r="A36399" t="str">
        <f>HYPERLINK("https://www.773grp.com/globalSearch/NTSJ20100CTG/page-1", "NTSJ20100CTG")</f>
        <v>NTSJ20100CTG</v>
      </c>
      <c r="B36399" s="3" t="s">
        <v>95</v>
      </c>
      <c r="C36399" s="6">
        <v>1450</v>
      </c>
      <c r="D36399" s="7">
        <v>1.41</v>
      </c>
    </row>
    <row r="36400" spans="1:5" x14ac:dyDescent="0.25">
      <c r="A36400" t="str">
        <f>HYPERLINK("https://www.773grp.com/globalSearch/NTSV30100CTG/page-1", "NTSV30100CTG")</f>
        <v>NTSV30100CTG</v>
      </c>
      <c r="B36400" s="3" t="s">
        <v>95</v>
      </c>
      <c r="C36400" s="6">
        <v>600</v>
      </c>
      <c r="D36400" s="7">
        <v>1.41</v>
      </c>
    </row>
    <row r="36401" spans="1:5" x14ac:dyDescent="0.25">
      <c r="A36401" t="str">
        <f>HYPERLINK("https://www.773grp.com/globalSearch/NUP4016P5T5G/page-1", "NUP4016P5T5G")</f>
        <v>NUP4016P5T5G</v>
      </c>
      <c r="B36401" s="3" t="s">
        <v>95</v>
      </c>
      <c r="C36401" s="6">
        <v>47500</v>
      </c>
      <c r="D36401" s="7">
        <v>1.41</v>
      </c>
      <c r="E36401" t="s">
        <v>96</v>
      </c>
    </row>
    <row r="36402" spans="1:5" x14ac:dyDescent="0.25">
      <c r="A36402" t="str">
        <f>HYPERLINK("https://www.773grp.com/globalSearch/NUS5531MTR2G/page-1", "NUS5531MTR2G")</f>
        <v>NUS5531MTR2G</v>
      </c>
      <c r="B36402" s="3" t="s">
        <v>95</v>
      </c>
      <c r="C36402" s="6">
        <v>303000</v>
      </c>
      <c r="D36402" s="7">
        <v>1.41</v>
      </c>
      <c r="E36402" t="s">
        <v>106</v>
      </c>
    </row>
    <row r="36403" spans="1:5" x14ac:dyDescent="0.25">
      <c r="A36403" t="str">
        <f>HYPERLINK("https://www.773grp.com/globalSearch/PACDN1404CG/page-1", "PACDN1404CG")</f>
        <v>PACDN1404CG</v>
      </c>
      <c r="B36403" s="3" t="s">
        <v>95</v>
      </c>
      <c r="C36403" s="6">
        <v>3865</v>
      </c>
      <c r="D36403" s="7">
        <v>1.41</v>
      </c>
      <c r="E36403" t="s">
        <v>96</v>
      </c>
    </row>
    <row r="36404" spans="1:5" x14ac:dyDescent="0.25">
      <c r="A36404" t="str">
        <f>HYPERLINK("https://www.773grp.com/globalSearch/SC310001P/page-1", "SC310001P")</f>
        <v>SC310001P</v>
      </c>
      <c r="B36404" s="3" t="s">
        <v>95</v>
      </c>
      <c r="C36404" s="6">
        <v>2375</v>
      </c>
      <c r="D36404" s="7">
        <v>1.41</v>
      </c>
    </row>
    <row r="36405" spans="1:5" x14ac:dyDescent="0.25">
      <c r="A36405" t="str">
        <f>HYPERLINK("https://www.773grp.com/globalSearch/SC68254DW154R2/page-1", "SC68254DW154R2")</f>
        <v>SC68254DW154R2</v>
      </c>
      <c r="B36405" s="3" t="s">
        <v>95</v>
      </c>
      <c r="C36405" s="6">
        <v>18000</v>
      </c>
      <c r="D36405" s="7">
        <v>1.41</v>
      </c>
    </row>
    <row r="36406" spans="1:5" x14ac:dyDescent="0.25">
      <c r="A36406" t="str">
        <f>HYPERLINK("https://www.773grp.com/globalSearch/SN74LS640DWR2/page-1", "SN74LS640DWR2")</f>
        <v>SN74LS640DWR2</v>
      </c>
      <c r="B36406" s="3" t="s">
        <v>95</v>
      </c>
      <c r="C36406" s="6">
        <v>3000</v>
      </c>
      <c r="D36406" s="7">
        <v>1.41</v>
      </c>
      <c r="E36406" t="s">
        <v>14</v>
      </c>
    </row>
    <row r="36407" spans="1:5" x14ac:dyDescent="0.25">
      <c r="A36407" t="str">
        <f>HYPERLINK("https://www.773grp.com/globalSearch/SN74LS640M/page-1", "SN74LS640M")</f>
        <v>SN74LS640M</v>
      </c>
      <c r="B36407" s="3" t="s">
        <v>95</v>
      </c>
      <c r="C36407" s="6">
        <v>1720</v>
      </c>
      <c r="D36407" s="7">
        <v>1.41</v>
      </c>
      <c r="E36407" t="s">
        <v>14</v>
      </c>
    </row>
    <row r="36408" spans="1:5" x14ac:dyDescent="0.25">
      <c r="A36408" t="str">
        <f>HYPERLINK("https://www.773grp.com/globalSearch/SN74LS640MR1/page-1", "SN74LS640MR1")</f>
        <v>SN74LS640MR1</v>
      </c>
      <c r="B36408" s="3" t="s">
        <v>95</v>
      </c>
      <c r="C36408" s="6">
        <v>75000</v>
      </c>
      <c r="D36408" s="7">
        <v>1.41</v>
      </c>
      <c r="E36408" t="s">
        <v>14</v>
      </c>
    </row>
    <row r="36409" spans="1:5" x14ac:dyDescent="0.25">
      <c r="A36409" t="str">
        <f>HYPERLINK("https://www.773grp.com/globalSearch/SN74LS641DW/page-1", "SN74LS641DW")</f>
        <v>SN74LS641DW</v>
      </c>
      <c r="B36409" s="3" t="s">
        <v>95</v>
      </c>
      <c r="C36409" s="6">
        <v>1560</v>
      </c>
      <c r="D36409" s="7">
        <v>1.41</v>
      </c>
      <c r="E36409" t="s">
        <v>14</v>
      </c>
    </row>
    <row r="36410" spans="1:5" x14ac:dyDescent="0.25">
      <c r="A36410" t="str">
        <f>HYPERLINK("https://www.773grp.com/globalSearch/SN74LS641H/page-1", "SN74LS641H")</f>
        <v>SN74LS641H</v>
      </c>
      <c r="B36410" s="3" t="s">
        <v>95</v>
      </c>
      <c r="C36410" s="6">
        <v>920</v>
      </c>
      <c r="D36410" s="7">
        <v>1.41</v>
      </c>
    </row>
    <row r="36411" spans="1:5" x14ac:dyDescent="0.25">
      <c r="A36411" t="str">
        <f>HYPERLINK("https://www.773grp.com/globalSearch/SN74LS641N/page-1", "SN74LS641N")</f>
        <v>SN74LS641N</v>
      </c>
      <c r="B36411" s="3" t="s">
        <v>95</v>
      </c>
      <c r="C36411" s="6">
        <v>13979</v>
      </c>
      <c r="D36411" s="7">
        <v>1.41</v>
      </c>
      <c r="E36411" t="s">
        <v>14</v>
      </c>
    </row>
    <row r="36412" spans="1:5" x14ac:dyDescent="0.25">
      <c r="A36412" t="str">
        <f>HYPERLINK("https://www.773grp.com/globalSearch/SN74LS645H/page-1", "SN74LS645H")</f>
        <v>SN74LS645H</v>
      </c>
      <c r="B36412" s="3" t="s">
        <v>95</v>
      </c>
      <c r="C36412" s="6">
        <v>1764</v>
      </c>
      <c r="D36412" s="7">
        <v>1.41</v>
      </c>
    </row>
    <row r="36413" spans="1:5" x14ac:dyDescent="0.25">
      <c r="A36413" t="str">
        <f>HYPERLINK("https://www.773grp.com/globalSearch/TE02236T/page-1", "TE02236T")</f>
        <v>TE02236T</v>
      </c>
      <c r="B36413" s="3" t="s">
        <v>95</v>
      </c>
      <c r="C36413" s="6">
        <v>500</v>
      </c>
      <c r="D36413" s="7">
        <v>1.41</v>
      </c>
    </row>
    <row r="36414" spans="1:5" x14ac:dyDescent="0.25">
      <c r="A36414" t="str">
        <f>HYPERLINK("https://www.773grp.com/globalSearch/TIP30CG/page-1", "TIP30CG")</f>
        <v>TIP30CG</v>
      </c>
      <c r="B36414" s="3" t="s">
        <v>95</v>
      </c>
      <c r="C36414" s="6">
        <v>3876</v>
      </c>
      <c r="D36414" s="7">
        <v>1.41</v>
      </c>
      <c r="E36414" t="s">
        <v>59</v>
      </c>
    </row>
    <row r="36415" spans="1:5" x14ac:dyDescent="0.25">
      <c r="A36415" t="str">
        <f>HYPERLINK("https://www.773grp.com/globalSearch/TIP32AG/page-1", "TIP32AG")</f>
        <v>TIP32AG</v>
      </c>
      <c r="B36415" s="3" t="s">
        <v>95</v>
      </c>
      <c r="C36415" s="6">
        <v>6899</v>
      </c>
      <c r="D36415" s="7">
        <v>1.41</v>
      </c>
      <c r="E36415" t="s">
        <v>59</v>
      </c>
    </row>
    <row r="36416" spans="1:5" x14ac:dyDescent="0.25">
      <c r="A36416" t="str">
        <f>HYPERLINK("https://www.773grp.com/globalSearch/TIP32BG/page-1", "TIP32BG")</f>
        <v>TIP32BG</v>
      </c>
      <c r="B36416" s="3" t="s">
        <v>95</v>
      </c>
      <c r="C36416" s="6">
        <v>5988</v>
      </c>
      <c r="D36416" s="7">
        <v>1.41</v>
      </c>
      <c r="E36416" t="s">
        <v>59</v>
      </c>
    </row>
    <row r="36417" spans="1:5" x14ac:dyDescent="0.25">
      <c r="A36417" t="str">
        <f>HYPERLINK("https://www.773grp.com/globalSearch/TIP32CG/page-1", "TIP32CG")</f>
        <v>TIP32CG</v>
      </c>
      <c r="B36417" s="3" t="s">
        <v>95</v>
      </c>
      <c r="C36417" s="6">
        <v>5497</v>
      </c>
      <c r="D36417" s="7">
        <v>1.41</v>
      </c>
      <c r="E36417" t="s">
        <v>59</v>
      </c>
    </row>
    <row r="36418" spans="1:5" x14ac:dyDescent="0.25">
      <c r="A36418" t="str">
        <f>HYPERLINK("https://www.773grp.com/globalSearch/TIP32G/page-1", "TIP32G")</f>
        <v>TIP32G</v>
      </c>
      <c r="B36418" s="3" t="s">
        <v>95</v>
      </c>
      <c r="C36418" s="6">
        <v>16143</v>
      </c>
      <c r="D36418" s="7">
        <v>1.41</v>
      </c>
      <c r="E36418" t="s">
        <v>59</v>
      </c>
    </row>
    <row r="36419" spans="1:5" x14ac:dyDescent="0.25">
      <c r="A36419" t="str">
        <f>HYPERLINK("https://www.773grp.com/globalSearch/TL064CN/page-1", "TL064CN")</f>
        <v>TL064CN</v>
      </c>
      <c r="B36419" s="3" t="s">
        <v>95</v>
      </c>
      <c r="C36419" s="6">
        <v>85</v>
      </c>
      <c r="D36419" s="7">
        <v>1.41</v>
      </c>
      <c r="E36419" t="s">
        <v>13</v>
      </c>
    </row>
    <row r="36420" spans="1:5" x14ac:dyDescent="0.25">
      <c r="A36420" t="str">
        <f>HYPERLINK("https://www.773grp.com/globalSearch/TL064CN/page-1", "TL064CN")</f>
        <v>TL064CN</v>
      </c>
      <c r="B36420" s="3" t="s">
        <v>95</v>
      </c>
      <c r="C36420" s="6">
        <v>325</v>
      </c>
      <c r="D36420" s="7">
        <v>1.41</v>
      </c>
      <c r="E36420" t="s">
        <v>13</v>
      </c>
    </row>
    <row r="36421" spans="1:5" x14ac:dyDescent="0.25">
      <c r="A36421" t="str">
        <f>HYPERLINK("https://www.773grp.com/globalSearch/TL074CN/page-1", "TL074CN")</f>
        <v>TL074CN</v>
      </c>
      <c r="B36421" s="3" t="s">
        <v>95</v>
      </c>
      <c r="C36421" s="6">
        <v>26</v>
      </c>
      <c r="D36421" s="7">
        <v>1.41</v>
      </c>
      <c r="E36421" t="s">
        <v>13</v>
      </c>
    </row>
    <row r="36422" spans="1:5" x14ac:dyDescent="0.25">
      <c r="A36422" t="str">
        <f>HYPERLINK("https://www.773grp.com/globalSearch/TL084CN/page-1", "TL084CN")</f>
        <v>TL084CN</v>
      </c>
      <c r="B36422" s="3" t="s">
        <v>95</v>
      </c>
      <c r="C36422" s="6">
        <v>20789</v>
      </c>
      <c r="D36422" s="7">
        <v>1.41</v>
      </c>
      <c r="E36422" t="s">
        <v>13</v>
      </c>
    </row>
    <row r="36423" spans="1:5" x14ac:dyDescent="0.25">
      <c r="A36423" t="str">
        <f>HYPERLINK("https://www.773grp.com/globalSearch/TL431CPG/page-1", "TL431CPG")</f>
        <v>TL431CPG</v>
      </c>
      <c r="B36423" s="3" t="s">
        <v>95</v>
      </c>
      <c r="C36423" s="6">
        <v>19350</v>
      </c>
      <c r="D36423" s="7">
        <v>1.41</v>
      </c>
      <c r="E36423" t="s">
        <v>17</v>
      </c>
    </row>
    <row r="36424" spans="1:5" x14ac:dyDescent="0.25">
      <c r="A36424" t="str">
        <f>HYPERLINK("https://www.773grp.com/globalSearch/1N4693/page-1", "1N4693")</f>
        <v>1N4693</v>
      </c>
      <c r="B36424" s="3" t="s">
        <v>95</v>
      </c>
      <c r="C36424" s="6">
        <v>38</v>
      </c>
      <c r="D36424" s="7">
        <v>1.49</v>
      </c>
      <c r="E36424" t="s">
        <v>98</v>
      </c>
    </row>
    <row r="36425" spans="1:5" x14ac:dyDescent="0.25">
      <c r="A36425" t="str">
        <f>HYPERLINK("https://www.773grp.com/globalSearch/1N4693/page-1", "1N4693")</f>
        <v>1N4693</v>
      </c>
      <c r="B36425" s="3" t="s">
        <v>95</v>
      </c>
      <c r="C36425" s="6">
        <v>3375</v>
      </c>
      <c r="D36425" s="7">
        <v>1.49</v>
      </c>
      <c r="E36425" t="s">
        <v>98</v>
      </c>
    </row>
    <row r="36426" spans="1:5" x14ac:dyDescent="0.25">
      <c r="A36426" t="str">
        <f>HYPERLINK("https://www.773grp.com/globalSearch/1N4700/page-1", "1N4700")</f>
        <v>1N4700</v>
      </c>
      <c r="B36426" s="3" t="s">
        <v>95</v>
      </c>
      <c r="C36426" s="6">
        <v>547</v>
      </c>
      <c r="D36426" s="7">
        <v>1.49</v>
      </c>
      <c r="E36426" t="s">
        <v>98</v>
      </c>
    </row>
    <row r="36427" spans="1:5" x14ac:dyDescent="0.25">
      <c r="A36427" t="str">
        <f>HYPERLINK("https://www.773grp.com/globalSearch/2N5190G/page-1", "2N5190G")</f>
        <v>2N5190G</v>
      </c>
      <c r="B36427" s="3" t="s">
        <v>95</v>
      </c>
      <c r="C36427" s="6">
        <v>475</v>
      </c>
      <c r="D36427" s="7">
        <v>1.49</v>
      </c>
    </row>
    <row r="36428" spans="1:5" x14ac:dyDescent="0.25">
      <c r="A36428" t="str">
        <f>HYPERLINK("https://www.773grp.com/globalSearch/2N5191G/page-1", "2N5191G")</f>
        <v>2N5191G</v>
      </c>
      <c r="B36428" s="3" t="s">
        <v>95</v>
      </c>
      <c r="C36428" s="6">
        <v>2435</v>
      </c>
      <c r="D36428" s="7">
        <v>1.49</v>
      </c>
    </row>
    <row r="36429" spans="1:5" x14ac:dyDescent="0.25">
      <c r="A36429" t="str">
        <f>HYPERLINK("https://www.773grp.com/globalSearch/2N5192G/page-1", "2N5192G")</f>
        <v>2N5192G</v>
      </c>
      <c r="B36429" s="3" t="s">
        <v>95</v>
      </c>
      <c r="C36429" s="6">
        <v>49800</v>
      </c>
      <c r="D36429" s="7">
        <v>1.49</v>
      </c>
      <c r="E36429" t="s">
        <v>59</v>
      </c>
    </row>
    <row r="36430" spans="1:5" x14ac:dyDescent="0.25">
      <c r="A36430" t="str">
        <f>HYPERLINK("https://www.773grp.com/globalSearch/ATP202-TL-H/page-1", "ATP202-TL-H")</f>
        <v>ATP202-TL-H</v>
      </c>
      <c r="B36430" s="3" t="s">
        <v>95</v>
      </c>
      <c r="C36430" s="6">
        <v>3000</v>
      </c>
      <c r="D36430" s="7">
        <v>1.49</v>
      </c>
    </row>
    <row r="36431" spans="1:5" x14ac:dyDescent="0.25">
      <c r="A36431" t="str">
        <f>HYPERLINK("https://www.773grp.com/globalSearch/BUD43B-001/page-1", "BUD43B-001")</f>
        <v>BUD43B-001</v>
      </c>
      <c r="B36431" s="3" t="s">
        <v>95</v>
      </c>
      <c r="C36431" s="6">
        <v>57675</v>
      </c>
      <c r="D36431" s="7">
        <v>1.49</v>
      </c>
    </row>
    <row r="36432" spans="1:5" x14ac:dyDescent="0.25">
      <c r="A36432" t="str">
        <f>HYPERLINK("https://www.773grp.com/globalSearch/BUH100/page-1", "BUH100")</f>
        <v>BUH100</v>
      </c>
      <c r="B36432" s="3" t="s">
        <v>95</v>
      </c>
      <c r="C36432" s="6">
        <v>1895</v>
      </c>
      <c r="D36432" s="7">
        <v>1.49</v>
      </c>
      <c r="E36432" t="s">
        <v>59</v>
      </c>
    </row>
    <row r="36433" spans="1:5" x14ac:dyDescent="0.25">
      <c r="A36433" t="str">
        <f>HYPERLINK("https://www.773grp.com/globalSearch/BUL147G/page-1", "BUL147G")</f>
        <v>BUL147G</v>
      </c>
      <c r="B36433" s="3" t="s">
        <v>95</v>
      </c>
      <c r="C36433" s="6">
        <v>1271</v>
      </c>
      <c r="D36433" s="7">
        <v>1.49</v>
      </c>
      <c r="E36433" t="s">
        <v>59</v>
      </c>
    </row>
    <row r="36434" spans="1:5" x14ac:dyDescent="0.25">
      <c r="A36434" t="str">
        <f>HYPERLINK("https://www.773grp.com/globalSearch/CAT24C128WI-G/page-1", "CAT24C128WI-G")</f>
        <v>CAT24C128WI-G</v>
      </c>
      <c r="B36434" s="3" t="s">
        <v>95</v>
      </c>
      <c r="C36434" s="6">
        <v>516</v>
      </c>
      <c r="D36434" s="7">
        <v>1.49</v>
      </c>
    </row>
    <row r="36435" spans="1:5" x14ac:dyDescent="0.25">
      <c r="A36435" t="str">
        <f>HYPERLINK("https://www.773grp.com/globalSearch/CAT24C128WI-G/page-1", "CAT24C128WI-G")</f>
        <v>CAT24C128WI-G</v>
      </c>
      <c r="B36435" s="3" t="s">
        <v>95</v>
      </c>
      <c r="C36435" s="6">
        <v>723</v>
      </c>
      <c r="D36435" s="7">
        <v>1.49</v>
      </c>
    </row>
    <row r="36436" spans="1:5" x14ac:dyDescent="0.25">
      <c r="A36436" t="str">
        <f>HYPERLINK("https://www.773grp.com/globalSearch/CAT24C256WI-GT3/page-1", "CAT24C256WI-GT3")</f>
        <v>CAT24C256WI-GT3</v>
      </c>
      <c r="B36436" s="3" t="s">
        <v>95</v>
      </c>
      <c r="C36436" s="6">
        <v>50457</v>
      </c>
      <c r="D36436" s="7">
        <v>1.49</v>
      </c>
      <c r="E36436" t="s">
        <v>64</v>
      </c>
    </row>
    <row r="36437" spans="1:5" x14ac:dyDescent="0.25">
      <c r="A36437" t="str">
        <f>HYPERLINK("https://www.773grp.com/globalSearch/CAT25160LI-G/page-1", "CAT25160LI-G")</f>
        <v>CAT25160LI-G</v>
      </c>
      <c r="B36437" s="3" t="s">
        <v>95</v>
      </c>
      <c r="C36437" s="6">
        <v>12050</v>
      </c>
      <c r="D36437" s="7">
        <v>1.49</v>
      </c>
    </row>
    <row r="36438" spans="1:5" x14ac:dyDescent="0.25">
      <c r="A36438" t="str">
        <f>HYPERLINK("https://www.773grp.com/globalSearch/CAT25640YI-G/page-1", "CAT25640YI-G")</f>
        <v>CAT25640YI-G</v>
      </c>
      <c r="B36438" s="3" t="s">
        <v>95</v>
      </c>
      <c r="C36438" s="6">
        <v>3200</v>
      </c>
      <c r="D36438" s="7">
        <v>1.49</v>
      </c>
      <c r="E36438" t="s">
        <v>64</v>
      </c>
    </row>
    <row r="36439" spans="1:5" x14ac:dyDescent="0.25">
      <c r="A36439" t="str">
        <f>HYPERLINK("https://www.773grp.com/globalSearch/CAV24C64WE-GT3/page-1", "CAV24C64WE-GT3")</f>
        <v>CAV24C64WE-GT3</v>
      </c>
      <c r="B36439" s="3" t="s">
        <v>95</v>
      </c>
      <c r="C36439" s="6">
        <v>12000</v>
      </c>
      <c r="D36439" s="7">
        <v>1.49</v>
      </c>
    </row>
    <row r="36440" spans="1:5" x14ac:dyDescent="0.25">
      <c r="A36440" t="str">
        <f>HYPERLINK("https://www.773grp.com/globalSearch/CM1425-03CP/page-1", "CM1425-03CP")</f>
        <v>CM1425-03CP</v>
      </c>
      <c r="B36440" s="3" t="s">
        <v>95</v>
      </c>
      <c r="C36440" s="6">
        <v>36400</v>
      </c>
      <c r="D36440" s="7">
        <v>1.49</v>
      </c>
      <c r="E36440" t="s">
        <v>100</v>
      </c>
    </row>
    <row r="36441" spans="1:5" x14ac:dyDescent="0.25">
      <c r="A36441" t="str">
        <f>HYPERLINK("https://www.773grp.com/globalSearch/CMPWR330SF/page-1", "CMPWR330SF")</f>
        <v>CMPWR330SF</v>
      </c>
      <c r="B36441" s="3" t="s">
        <v>95</v>
      </c>
      <c r="C36441" s="6">
        <v>2500</v>
      </c>
      <c r="D36441" s="7">
        <v>1.49</v>
      </c>
    </row>
    <row r="36442" spans="1:5" x14ac:dyDescent="0.25">
      <c r="A36442" t="str">
        <f>HYPERLINK("https://www.773grp.com/globalSearch/LM285D1.2R2G/page-1", "LM285D1.2R2G")</f>
        <v>LM285D1.2R2G</v>
      </c>
      <c r="B36442" s="3" t="s">
        <v>95</v>
      </c>
      <c r="C36442" s="6">
        <v>113</v>
      </c>
      <c r="D36442" s="7">
        <v>1.49</v>
      </c>
    </row>
    <row r="36443" spans="1:5" x14ac:dyDescent="0.25">
      <c r="A36443" t="str">
        <f>HYPERLINK("https://www.773grp.com/globalSearch/LM285D-1.2R2G/page-1", "LM285D-1.2R2G")</f>
        <v>LM285D-1.2R2G</v>
      </c>
      <c r="B36443" s="3" t="s">
        <v>95</v>
      </c>
      <c r="C36443" s="6">
        <v>20000</v>
      </c>
      <c r="D36443" s="7">
        <v>1.49</v>
      </c>
    </row>
    <row r="36444" spans="1:5" x14ac:dyDescent="0.25">
      <c r="A36444" t="str">
        <f>HYPERLINK("https://www.773grp.com/globalSearch/LM285D-2.5R2G/page-1", "LM285D-2.5R2G")</f>
        <v>LM285D-2.5R2G</v>
      </c>
      <c r="B36444" s="3" t="s">
        <v>95</v>
      </c>
      <c r="C36444" s="6">
        <v>32500</v>
      </c>
      <c r="D36444" s="7">
        <v>1.49</v>
      </c>
      <c r="E36444" t="s">
        <v>17</v>
      </c>
    </row>
    <row r="36445" spans="1:5" x14ac:dyDescent="0.25">
      <c r="A36445" t="str">
        <f>HYPERLINK("https://www.773grp.com/globalSearch/LM285Z-1.2G/page-1", "LM285Z-1.2G")</f>
        <v>LM285Z-1.2G</v>
      </c>
      <c r="B36445" s="3" t="s">
        <v>95</v>
      </c>
      <c r="C36445" s="6">
        <v>20314</v>
      </c>
      <c r="D36445" s="7">
        <v>1.49</v>
      </c>
      <c r="E36445" t="s">
        <v>17</v>
      </c>
    </row>
    <row r="36446" spans="1:5" x14ac:dyDescent="0.25">
      <c r="A36446" t="str">
        <f>HYPERLINK("https://www.773grp.com/globalSearch/LM285Z-2.5G/page-1", "LM285Z-2.5G")</f>
        <v>LM285Z-2.5G</v>
      </c>
      <c r="B36446" s="3" t="s">
        <v>95</v>
      </c>
      <c r="C36446" s="6">
        <v>9791</v>
      </c>
      <c r="D36446" s="7">
        <v>1.49</v>
      </c>
      <c r="E36446" t="s">
        <v>17</v>
      </c>
    </row>
    <row r="36447" spans="1:5" x14ac:dyDescent="0.25">
      <c r="A36447" t="str">
        <f>HYPERLINK("https://www.773grp.com/globalSearch/LM2931CTV/page-1", "LM2931CTV")</f>
        <v>LM2931CTV</v>
      </c>
      <c r="B36447" s="3" t="s">
        <v>95</v>
      </c>
      <c r="C36447" s="6">
        <v>5675</v>
      </c>
      <c r="D36447" s="7">
        <v>1.49</v>
      </c>
      <c r="E36447" t="s">
        <v>25</v>
      </c>
    </row>
    <row r="36448" spans="1:5" x14ac:dyDescent="0.25">
      <c r="A36448" t="str">
        <f>HYPERLINK("https://www.773grp.com/globalSearch/LM301ANG/page-1", "LM301ANG")</f>
        <v>LM301ANG</v>
      </c>
      <c r="B36448" s="3" t="s">
        <v>95</v>
      </c>
      <c r="C36448" s="6">
        <v>16442</v>
      </c>
      <c r="D36448" s="7">
        <v>1.49</v>
      </c>
      <c r="E36448" t="s">
        <v>13</v>
      </c>
    </row>
    <row r="36449" spans="1:5" x14ac:dyDescent="0.25">
      <c r="A36449" t="str">
        <f>HYPERLINK("https://www.773grp.com/globalSearch/LM317MDT-001/page-1", "LM317MDT-001")</f>
        <v>LM317MDT-001</v>
      </c>
      <c r="B36449" s="3" t="s">
        <v>95</v>
      </c>
      <c r="C36449" s="6">
        <v>100650</v>
      </c>
      <c r="D36449" s="7">
        <v>1.49</v>
      </c>
    </row>
    <row r="36450" spans="1:5" x14ac:dyDescent="0.25">
      <c r="A36450" t="str">
        <f>HYPERLINK("https://www.773grp.com/globalSearch/LM317MOT-000/page-1", "LM317MOT-000")</f>
        <v>LM317MOT-000</v>
      </c>
      <c r="B36450" s="3" t="s">
        <v>95</v>
      </c>
      <c r="C36450" s="6">
        <v>13200</v>
      </c>
      <c r="D36450" s="7">
        <v>1.49</v>
      </c>
    </row>
    <row r="36451" spans="1:5" x14ac:dyDescent="0.25">
      <c r="A36451" t="str">
        <f>HYPERLINK("https://www.773grp.com/globalSearch/LM385BD-2.5R2G/page-1", "LM385BD-2.5R2G")</f>
        <v>LM385BD-2.5R2G</v>
      </c>
      <c r="B36451" s="3" t="s">
        <v>95</v>
      </c>
      <c r="C36451" s="6">
        <v>120000</v>
      </c>
      <c r="D36451" s="7">
        <v>1.49</v>
      </c>
    </row>
    <row r="36452" spans="1:5" x14ac:dyDescent="0.25">
      <c r="A36452" t="str">
        <f>HYPERLINK("https://www.773grp.com/globalSearch/LM385BZ-1.2G/page-1", "LM385BZ-1.2G")</f>
        <v>LM385BZ-1.2G</v>
      </c>
      <c r="B36452" s="3" t="s">
        <v>95</v>
      </c>
      <c r="C36452" s="6">
        <v>53674</v>
      </c>
      <c r="D36452" s="7">
        <v>1.49</v>
      </c>
      <c r="E36452" t="s">
        <v>17</v>
      </c>
    </row>
    <row r="36453" spans="1:5" x14ac:dyDescent="0.25">
      <c r="A36453" t="str">
        <f>HYPERLINK("https://www.773grp.com/globalSearch/LM385BZ-2.5G/page-1", "LM385BZ-2.5G")</f>
        <v>LM385BZ-2.5G</v>
      </c>
      <c r="B36453" s="3" t="s">
        <v>95</v>
      </c>
      <c r="C36453" s="6">
        <v>5703</v>
      </c>
      <c r="D36453" s="7">
        <v>1.49</v>
      </c>
    </row>
    <row r="36454" spans="1:5" x14ac:dyDescent="0.25">
      <c r="A36454" t="str">
        <f>HYPERLINK("https://www.773grp.com/globalSearch/LM385D-1.2R2G/page-1", "LM385D-1.2R2G")</f>
        <v>LM385D-1.2R2G</v>
      </c>
      <c r="B36454" s="3" t="s">
        <v>95</v>
      </c>
      <c r="C36454" s="6">
        <v>50000</v>
      </c>
      <c r="D36454" s="7">
        <v>1.49</v>
      </c>
      <c r="E36454" t="s">
        <v>17</v>
      </c>
    </row>
    <row r="36455" spans="1:5" x14ac:dyDescent="0.25">
      <c r="A36455" t="str">
        <f>HYPERLINK("https://www.773grp.com/globalSearch/LM385Z-1.2G/page-1", "LM385Z-1.2G")</f>
        <v>LM385Z-1.2G</v>
      </c>
      <c r="B36455" s="3" t="s">
        <v>95</v>
      </c>
      <c r="C36455" s="6">
        <v>7051</v>
      </c>
      <c r="D36455" s="7">
        <v>1.49</v>
      </c>
      <c r="E36455" t="s">
        <v>17</v>
      </c>
    </row>
    <row r="36456" spans="1:5" x14ac:dyDescent="0.25">
      <c r="A36456" t="str">
        <f>HYPERLINK("https://www.773grp.com/globalSearch/LM385Z-2.5G/page-1", "LM385Z-2.5G")</f>
        <v>LM385Z-2.5G</v>
      </c>
      <c r="B36456" s="3" t="s">
        <v>95</v>
      </c>
      <c r="C36456" s="6">
        <v>44050</v>
      </c>
      <c r="D36456" s="7">
        <v>1.49</v>
      </c>
      <c r="E36456" t="s">
        <v>17</v>
      </c>
    </row>
    <row r="36457" spans="1:5" x14ac:dyDescent="0.25">
      <c r="A36457" t="str">
        <f>HYPERLINK("https://www.773grp.com/globalSearch/LP2950CZ-5.0/page-1", "LP2950CZ-5.0")</f>
        <v>LP2950CZ-5.0</v>
      </c>
      <c r="B36457" s="3" t="s">
        <v>95</v>
      </c>
      <c r="C36457" s="6">
        <v>3653</v>
      </c>
      <c r="D36457" s="7">
        <v>1.49</v>
      </c>
      <c r="E36457" t="s">
        <v>19</v>
      </c>
    </row>
    <row r="36458" spans="1:5" x14ac:dyDescent="0.25">
      <c r="A36458" t="str">
        <f>HYPERLINK("https://www.773grp.com/globalSearch/MAC210A10/page-1", "MAC210A10")</f>
        <v>MAC210A10</v>
      </c>
      <c r="B36458" s="3" t="s">
        <v>95</v>
      </c>
      <c r="C36458" s="6">
        <v>2500</v>
      </c>
      <c r="D36458" s="7">
        <v>1.49</v>
      </c>
      <c r="E36458" t="s">
        <v>102</v>
      </c>
    </row>
    <row r="36459" spans="1:5" x14ac:dyDescent="0.25">
      <c r="A36459" t="str">
        <f>HYPERLINK("https://www.773grp.com/globalSearch/MAC210A8/page-1", "MAC210A8")</f>
        <v>MAC210A8</v>
      </c>
      <c r="B36459" s="3" t="s">
        <v>95</v>
      </c>
      <c r="C36459" s="6">
        <v>500</v>
      </c>
      <c r="D36459" s="7">
        <v>1.49</v>
      </c>
      <c r="E36459" t="s">
        <v>102</v>
      </c>
    </row>
    <row r="36460" spans="1:5" x14ac:dyDescent="0.25">
      <c r="A36460" t="str">
        <f>HYPERLINK("https://www.773grp.com/globalSearch/MBR10100/page-1", "MBR10100")</f>
        <v>MBR10100</v>
      </c>
      <c r="B36460" s="3" t="s">
        <v>95</v>
      </c>
      <c r="C36460" s="6">
        <v>3605</v>
      </c>
      <c r="D36460" s="7">
        <v>1.49</v>
      </c>
      <c r="E36460" t="s">
        <v>103</v>
      </c>
    </row>
    <row r="36461" spans="1:5" x14ac:dyDescent="0.25">
      <c r="A36461" t="str">
        <f>HYPERLINK("https://www.773grp.com/globalSearch/MC14504BFI/page-1", "MC14504BFI")</f>
        <v>MC14504BFI</v>
      </c>
      <c r="B36461" s="3" t="s">
        <v>95</v>
      </c>
      <c r="C36461" s="6">
        <v>1</v>
      </c>
      <c r="D36461" s="7">
        <v>1.49</v>
      </c>
    </row>
    <row r="36462" spans="1:5" x14ac:dyDescent="0.25">
      <c r="A36462" t="str">
        <f>HYPERLINK("https://www.773grp.com/globalSearch/MC14515BDW/page-1", "MC14515BDW")</f>
        <v>MC14515BDW</v>
      </c>
      <c r="B36462" s="3" t="s">
        <v>95</v>
      </c>
      <c r="C36462" s="6">
        <v>26</v>
      </c>
      <c r="D36462" s="7">
        <v>1.49</v>
      </c>
      <c r="E36462" t="s">
        <v>36</v>
      </c>
    </row>
    <row r="36463" spans="1:5" x14ac:dyDescent="0.25">
      <c r="A36463" t="str">
        <f>HYPERLINK("https://www.773grp.com/globalSearch/MC14526BCPG/page-1", "MC14526BCPG")</f>
        <v>MC14526BCPG</v>
      </c>
      <c r="B36463" s="3" t="s">
        <v>95</v>
      </c>
      <c r="C36463" s="6">
        <v>878</v>
      </c>
      <c r="D36463" s="7">
        <v>1.49</v>
      </c>
      <c r="E36463" t="s">
        <v>26</v>
      </c>
    </row>
    <row r="36464" spans="1:5" x14ac:dyDescent="0.25">
      <c r="A36464" t="str">
        <f>HYPERLINK("https://www.773grp.com/globalSearch/MC33072DR2/page-1", "MC33072DR2")</f>
        <v>MC33072DR2</v>
      </c>
      <c r="B36464" s="3" t="s">
        <v>95</v>
      </c>
      <c r="C36464" s="6">
        <v>12500</v>
      </c>
      <c r="D36464" s="7">
        <v>1.49</v>
      </c>
      <c r="E36464" t="s">
        <v>13</v>
      </c>
    </row>
    <row r="36465" spans="1:5" x14ac:dyDescent="0.25">
      <c r="A36465" t="str">
        <f>HYPERLINK("https://www.773grp.com/globalSearch/MC33151VD/page-1", "MC33151VD")</f>
        <v>MC33151VD</v>
      </c>
      <c r="B36465" s="3" t="s">
        <v>95</v>
      </c>
      <c r="C36465" s="6">
        <v>294</v>
      </c>
      <c r="D36465" s="7">
        <v>1.49</v>
      </c>
      <c r="E36465" t="s">
        <v>16</v>
      </c>
    </row>
    <row r="36466" spans="1:5" x14ac:dyDescent="0.25">
      <c r="A36466" t="str">
        <f>HYPERLINK("https://www.773grp.com/globalSearch/MC33178DR2G/page-1", "MC33178DR2G")</f>
        <v>MC33178DR2G</v>
      </c>
      <c r="B36466" s="3" t="s">
        <v>95</v>
      </c>
      <c r="C36466" s="6">
        <v>194407</v>
      </c>
      <c r="D36466" s="7">
        <v>1.49</v>
      </c>
      <c r="E36466" t="s">
        <v>13</v>
      </c>
    </row>
    <row r="36467" spans="1:5" x14ac:dyDescent="0.25">
      <c r="A36467" t="str">
        <f>HYPERLINK("https://www.773grp.com/globalSearch/MC33204VP/page-1", "MC33204VP")</f>
        <v>MC33204VP</v>
      </c>
      <c r="B36467" s="3" t="s">
        <v>95</v>
      </c>
      <c r="C36467" s="6">
        <v>1155</v>
      </c>
      <c r="D36467" s="7">
        <v>1.49</v>
      </c>
      <c r="E36467" t="s">
        <v>13</v>
      </c>
    </row>
    <row r="36468" spans="1:5" x14ac:dyDescent="0.25">
      <c r="A36468" t="str">
        <f>HYPERLINK("https://www.773grp.com/globalSearch/MC33269T-012G/page-1", "MC33269T-012G")</f>
        <v>MC33269T-012G</v>
      </c>
      <c r="B36468" s="3" t="s">
        <v>95</v>
      </c>
      <c r="C36468" s="6">
        <v>23627</v>
      </c>
      <c r="D36468" s="7">
        <v>1.49</v>
      </c>
      <c r="E36468" t="s">
        <v>19</v>
      </c>
    </row>
    <row r="36469" spans="1:5" x14ac:dyDescent="0.25">
      <c r="A36469" t="str">
        <f>HYPERLINK("https://www.773grp.com/globalSearch/MC34063ADG/page-1", "MC34063ADG")</f>
        <v>MC34063ADG</v>
      </c>
      <c r="B36469" s="3" t="s">
        <v>95</v>
      </c>
      <c r="C36469" s="6">
        <v>9214</v>
      </c>
      <c r="D36469" s="7">
        <v>1.49</v>
      </c>
      <c r="E36469" t="s">
        <v>7</v>
      </c>
    </row>
    <row r="36470" spans="1:5" x14ac:dyDescent="0.25">
      <c r="A36470" t="str">
        <f>HYPERLINK("https://www.773grp.com/globalSearch/MC34063ADR2G/page-1", "MC34063ADR2G")</f>
        <v>MC34063ADR2G</v>
      </c>
      <c r="B36470" s="3" t="s">
        <v>95</v>
      </c>
      <c r="C36470" s="6">
        <v>157775</v>
      </c>
      <c r="D36470" s="7">
        <v>1.49</v>
      </c>
      <c r="E36470" t="s">
        <v>7</v>
      </c>
    </row>
    <row r="36471" spans="1:5" x14ac:dyDescent="0.25">
      <c r="A36471" t="str">
        <f>HYPERLINK("https://www.773grp.com/globalSearch/MC34072DR2G/page-1", "MC34072DR2G")</f>
        <v>MC34072DR2G</v>
      </c>
      <c r="B36471" s="3" t="s">
        <v>95</v>
      </c>
      <c r="C36471" s="6">
        <v>61218</v>
      </c>
      <c r="D36471" s="7">
        <v>1.49</v>
      </c>
      <c r="E36471" t="s">
        <v>13</v>
      </c>
    </row>
    <row r="36472" spans="1:5" x14ac:dyDescent="0.25">
      <c r="A36472" t="str">
        <f>HYPERLINK("https://www.773grp.com/globalSearch/MC74AC251D/page-1", "MC74AC251D")</f>
        <v>MC74AC251D</v>
      </c>
      <c r="B36472" s="3" t="s">
        <v>95</v>
      </c>
      <c r="C36472" s="6">
        <v>6641</v>
      </c>
      <c r="D36472" s="7">
        <v>1.49</v>
      </c>
      <c r="E36472" t="s">
        <v>20</v>
      </c>
    </row>
    <row r="36473" spans="1:5" x14ac:dyDescent="0.25">
      <c r="A36473" t="str">
        <f>HYPERLINK("https://www.773grp.com/globalSearch/MC74AC251N/page-1", "MC74AC251N")</f>
        <v>MC74AC251N</v>
      </c>
      <c r="B36473" s="3" t="s">
        <v>95</v>
      </c>
      <c r="C36473" s="6">
        <v>3125</v>
      </c>
      <c r="D36473" s="7">
        <v>1.49</v>
      </c>
      <c r="E36473" t="s">
        <v>20</v>
      </c>
    </row>
    <row r="36474" spans="1:5" x14ac:dyDescent="0.25">
      <c r="A36474" t="str">
        <f>HYPERLINK("https://www.773grp.com/globalSearch/MC74AC258D/page-1", "MC74AC258D")</f>
        <v>MC74AC258D</v>
      </c>
      <c r="B36474" s="3" t="s">
        <v>95</v>
      </c>
      <c r="C36474" s="6">
        <v>4766</v>
      </c>
      <c r="D36474" s="7">
        <v>1.49</v>
      </c>
      <c r="E36474" t="s">
        <v>20</v>
      </c>
    </row>
    <row r="36475" spans="1:5" x14ac:dyDescent="0.25">
      <c r="A36475" t="str">
        <f>HYPERLINK("https://www.773grp.com/globalSearch/MC74AC258DR2/page-1", "MC74AC258DR2")</f>
        <v>MC74AC258DR2</v>
      </c>
      <c r="B36475" s="3" t="s">
        <v>95</v>
      </c>
      <c r="C36475" s="6">
        <v>14400</v>
      </c>
      <c r="D36475" s="7">
        <v>1.49</v>
      </c>
      <c r="E36475" t="s">
        <v>20</v>
      </c>
    </row>
    <row r="36476" spans="1:5" x14ac:dyDescent="0.25">
      <c r="A36476" t="str">
        <f>HYPERLINK("https://www.773grp.com/globalSearch/MC74AC258N/page-1", "MC74AC258N")</f>
        <v>MC74AC258N</v>
      </c>
      <c r="B36476" s="3" t="s">
        <v>95</v>
      </c>
      <c r="C36476" s="6">
        <v>1112</v>
      </c>
      <c r="D36476" s="7">
        <v>1.49</v>
      </c>
      <c r="E36476" t="s">
        <v>20</v>
      </c>
    </row>
    <row r="36477" spans="1:5" x14ac:dyDescent="0.25">
      <c r="A36477" t="str">
        <f>HYPERLINK("https://www.773grp.com/globalSearch/MC74AC259D/page-1", "MC74AC259D")</f>
        <v>MC74AC259D</v>
      </c>
      <c r="B36477" s="3" t="s">
        <v>95</v>
      </c>
      <c r="C36477" s="6">
        <v>1616</v>
      </c>
      <c r="D36477" s="7">
        <v>1.49</v>
      </c>
      <c r="E36477" t="s">
        <v>35</v>
      </c>
    </row>
    <row r="36478" spans="1:5" x14ac:dyDescent="0.25">
      <c r="A36478" t="str">
        <f>HYPERLINK("https://www.773grp.com/globalSearch/MC74ACT258D/page-1", "MC74ACT258D")</f>
        <v>MC74ACT258D</v>
      </c>
      <c r="B36478" s="3" t="s">
        <v>95</v>
      </c>
      <c r="C36478" s="6">
        <v>5568</v>
      </c>
      <c r="D36478" s="7">
        <v>1.49</v>
      </c>
      <c r="E36478" t="s">
        <v>20</v>
      </c>
    </row>
    <row r="36479" spans="1:5" x14ac:dyDescent="0.25">
      <c r="A36479" t="str">
        <f>HYPERLINK("https://www.773grp.com/globalSearch/MC74ACT259D/page-1", "MC74ACT259D")</f>
        <v>MC74ACT259D</v>
      </c>
      <c r="B36479" s="3" t="s">
        <v>95</v>
      </c>
      <c r="C36479" s="6">
        <v>1296</v>
      </c>
      <c r="D36479" s="7">
        <v>1.49</v>
      </c>
      <c r="E36479" t="s">
        <v>35</v>
      </c>
    </row>
    <row r="36480" spans="1:5" x14ac:dyDescent="0.25">
      <c r="A36480" t="str">
        <f>HYPERLINK("https://www.773grp.com/globalSearch/MC74ACT259DR2/page-1", "MC74ACT259DR2")</f>
        <v>MC74ACT259DR2</v>
      </c>
      <c r="B36480" s="3" t="s">
        <v>95</v>
      </c>
      <c r="C36480" s="6">
        <v>2500</v>
      </c>
      <c r="D36480" s="7">
        <v>1.49</v>
      </c>
      <c r="E36480" t="s">
        <v>35</v>
      </c>
    </row>
    <row r="36481" spans="1:5" x14ac:dyDescent="0.25">
      <c r="A36481" t="str">
        <f>HYPERLINK("https://www.773grp.com/globalSearch/MC74F521DW/page-1", "MC74F521DW")</f>
        <v>MC74F521DW</v>
      </c>
      <c r="B36481" s="3" t="s">
        <v>95</v>
      </c>
      <c r="C36481" s="6">
        <v>6</v>
      </c>
      <c r="D36481" s="7">
        <v>1.49</v>
      </c>
      <c r="E36481" t="s">
        <v>43</v>
      </c>
    </row>
    <row r="36482" spans="1:5" x14ac:dyDescent="0.25">
      <c r="A36482" t="str">
        <f>HYPERLINK("https://www.773grp.com/globalSearch/MC74F521DWR2/page-1", "MC74F521DWR2")</f>
        <v>MC74F521DWR2</v>
      </c>
      <c r="B36482" s="3" t="s">
        <v>95</v>
      </c>
      <c r="C36482" s="6">
        <v>3000</v>
      </c>
      <c r="D36482" s="7">
        <v>1.49</v>
      </c>
      <c r="E36482" t="s">
        <v>43</v>
      </c>
    </row>
    <row r="36483" spans="1:5" x14ac:dyDescent="0.25">
      <c r="A36483" t="str">
        <f>HYPERLINK("https://www.773grp.com/globalSearch/MC74F521M/page-1", "MC74F521M")</f>
        <v>MC74F521M</v>
      </c>
      <c r="B36483" s="3" t="s">
        <v>95</v>
      </c>
      <c r="C36483" s="6">
        <v>840</v>
      </c>
      <c r="D36483" s="7">
        <v>1.49</v>
      </c>
    </row>
    <row r="36484" spans="1:5" x14ac:dyDescent="0.25">
      <c r="A36484" t="str">
        <f>HYPERLINK("https://www.773grp.com/globalSearch/MC74F521ML1/page-1", "MC74F521ML1")</f>
        <v>MC74F521ML1</v>
      </c>
      <c r="B36484" s="3" t="s">
        <v>95</v>
      </c>
      <c r="C36484" s="6">
        <v>2000</v>
      </c>
      <c r="D36484" s="7">
        <v>1.49</v>
      </c>
    </row>
    <row r="36485" spans="1:5" x14ac:dyDescent="0.25">
      <c r="A36485" t="str">
        <f>HYPERLINK("https://www.773grp.com/globalSearch/MC74HC158ADR2/page-1", "MC74HC158ADR2")</f>
        <v>MC74HC158ADR2</v>
      </c>
      <c r="B36485" s="3" t="s">
        <v>95</v>
      </c>
      <c r="C36485" s="6">
        <v>912</v>
      </c>
      <c r="D36485" s="7">
        <v>1.49</v>
      </c>
      <c r="E36485" t="s">
        <v>20</v>
      </c>
    </row>
    <row r="36486" spans="1:5" x14ac:dyDescent="0.25">
      <c r="A36486" t="str">
        <f>HYPERLINK("https://www.773grp.com/globalSearch/MC74HC158AF/page-1", "MC74HC158AF")</f>
        <v>MC74HC158AF</v>
      </c>
      <c r="B36486" s="3" t="s">
        <v>95</v>
      </c>
      <c r="C36486" s="6">
        <v>1504</v>
      </c>
      <c r="D36486" s="7">
        <v>1.49</v>
      </c>
    </row>
    <row r="36487" spans="1:5" x14ac:dyDescent="0.25">
      <c r="A36487" t="str">
        <f>HYPERLINK("https://www.773grp.com/globalSearch/MC74HC158AN/page-1", "MC74HC158AN")</f>
        <v>MC74HC158AN</v>
      </c>
      <c r="B36487" s="3" t="s">
        <v>95</v>
      </c>
      <c r="C36487" s="6">
        <v>14568</v>
      </c>
      <c r="D36487" s="7">
        <v>1.49</v>
      </c>
      <c r="E36487" t="s">
        <v>20</v>
      </c>
    </row>
    <row r="36488" spans="1:5" x14ac:dyDescent="0.25">
      <c r="A36488" t="str">
        <f>HYPERLINK("https://www.773grp.com/globalSearch/MC78M05ABTG/page-1", "MC78M05ABTG")</f>
        <v>MC78M05ABTG</v>
      </c>
      <c r="B36488" s="3" t="s">
        <v>95</v>
      </c>
      <c r="C36488" s="6">
        <v>31250</v>
      </c>
      <c r="D36488" s="7">
        <v>1.49</v>
      </c>
      <c r="E36488" t="s">
        <v>28</v>
      </c>
    </row>
    <row r="36489" spans="1:5" x14ac:dyDescent="0.25">
      <c r="A36489" t="str">
        <f>HYPERLINK("https://www.773grp.com/globalSearch/MC78M12ABTG/page-1", "MC78M12ABTG")</f>
        <v>MC78M12ABTG</v>
      </c>
      <c r="B36489" s="3" t="s">
        <v>95</v>
      </c>
      <c r="C36489" s="6">
        <v>17600</v>
      </c>
      <c r="D36489" s="7">
        <v>1.49</v>
      </c>
      <c r="E36489" t="s">
        <v>28</v>
      </c>
    </row>
    <row r="36490" spans="1:5" x14ac:dyDescent="0.25">
      <c r="A36490" t="str">
        <f>HYPERLINK("https://www.773grp.com/globalSearch/MC78M12ACT/page-1", "MC78M12ACT")</f>
        <v>MC78M12ACT</v>
      </c>
      <c r="B36490" s="3" t="s">
        <v>95</v>
      </c>
      <c r="C36490" s="6">
        <v>8500</v>
      </c>
      <c r="D36490" s="7">
        <v>1.49</v>
      </c>
      <c r="E36490" t="s">
        <v>28</v>
      </c>
    </row>
    <row r="36491" spans="1:5" x14ac:dyDescent="0.25">
      <c r="A36491" t="str">
        <f>HYPERLINK("https://www.773grp.com/globalSearch/MC78M15ABTG/page-1", "MC78M15ABTG")</f>
        <v>MC78M15ABTG</v>
      </c>
      <c r="B36491" s="3" t="s">
        <v>95</v>
      </c>
      <c r="C36491" s="6">
        <v>16164</v>
      </c>
      <c r="D36491" s="7">
        <v>1.49</v>
      </c>
      <c r="E36491" t="s">
        <v>28</v>
      </c>
    </row>
    <row r="36492" spans="1:5" x14ac:dyDescent="0.25">
      <c r="A36492" t="str">
        <f>HYPERLINK("https://www.773grp.com/globalSearch/MC79M15CDT-0001/page-1", "MC79M15CDT-0001")</f>
        <v>MC79M15CDT-0001</v>
      </c>
      <c r="B36492" s="3" t="s">
        <v>95</v>
      </c>
      <c r="C36492" s="6">
        <v>2400</v>
      </c>
      <c r="D36492" s="7">
        <v>1.49</v>
      </c>
    </row>
    <row r="36493" spans="1:5" x14ac:dyDescent="0.25">
      <c r="A36493" t="str">
        <f>HYPERLINK("https://www.773grp.com/globalSearch/MJD210T4/page-1", "MJD210T4")</f>
        <v>MJD210T4</v>
      </c>
      <c r="B36493" s="3" t="s">
        <v>95</v>
      </c>
      <c r="C36493" s="6">
        <v>12500</v>
      </c>
      <c r="D36493" s="7">
        <v>1.49</v>
      </c>
    </row>
    <row r="36494" spans="1:5" x14ac:dyDescent="0.25">
      <c r="A36494" t="str">
        <f>HYPERLINK("https://www.773grp.com/globalSearch/MJF15030/page-1", "MJF15030")</f>
        <v>MJF15030</v>
      </c>
      <c r="B36494" s="3" t="s">
        <v>95</v>
      </c>
      <c r="C36494" s="6">
        <v>115</v>
      </c>
      <c r="D36494" s="7">
        <v>1.49</v>
      </c>
      <c r="E36494" t="s">
        <v>59</v>
      </c>
    </row>
    <row r="36495" spans="1:5" x14ac:dyDescent="0.25">
      <c r="A36495" t="str">
        <f>HYPERLINK("https://www.773grp.com/globalSearch/MJF15031/page-1", "MJF15031")</f>
        <v>MJF15031</v>
      </c>
      <c r="B36495" s="3" t="s">
        <v>95</v>
      </c>
      <c r="C36495" s="6">
        <v>964</v>
      </c>
      <c r="D36495" s="7">
        <v>1.49</v>
      </c>
      <c r="E36495" t="s">
        <v>59</v>
      </c>
    </row>
    <row r="36496" spans="1:5" x14ac:dyDescent="0.25">
      <c r="A36496" t="str">
        <f>HYPERLINK("https://www.773grp.com/globalSearch/MJF45H11/page-1", "MJF45H11")</f>
        <v>MJF45H11</v>
      </c>
      <c r="B36496" s="3" t="s">
        <v>95</v>
      </c>
      <c r="C36496" s="6">
        <v>34</v>
      </c>
      <c r="D36496" s="7">
        <v>1.49</v>
      </c>
      <c r="E36496" t="s">
        <v>59</v>
      </c>
    </row>
    <row r="36497" spans="1:5" x14ac:dyDescent="0.25">
      <c r="A36497" t="str">
        <f>HYPERLINK("https://www.773grp.com/globalSearch/MJF6388/page-1", "MJF6388")</f>
        <v>MJF6388</v>
      </c>
      <c r="B36497" s="3" t="s">
        <v>95</v>
      </c>
      <c r="C36497" s="6">
        <v>12</v>
      </c>
      <c r="D36497" s="7">
        <v>1.49</v>
      </c>
      <c r="E36497" t="s">
        <v>59</v>
      </c>
    </row>
    <row r="36498" spans="1:5" x14ac:dyDescent="0.25">
      <c r="A36498" t="str">
        <f>HYPERLINK("https://www.773grp.com/globalSearch/MMSF1310R2/page-1", "MMSF1310R2")</f>
        <v>MMSF1310R2</v>
      </c>
      <c r="B36498" s="3" t="s">
        <v>95</v>
      </c>
      <c r="C36498" s="6">
        <v>7430</v>
      </c>
      <c r="D36498" s="7">
        <v>1.49</v>
      </c>
      <c r="E36498" t="s">
        <v>105</v>
      </c>
    </row>
    <row r="36499" spans="1:5" x14ac:dyDescent="0.25">
      <c r="A36499" t="str">
        <f>HYPERLINK("https://www.773grp.com/globalSearch/MMSF2P02ER2/page-1", "MMSF2P02ER2")</f>
        <v>MMSF2P02ER2</v>
      </c>
      <c r="B36499" s="3" t="s">
        <v>95</v>
      </c>
      <c r="C36499" s="6">
        <v>170000</v>
      </c>
      <c r="D36499" s="7">
        <v>1.49</v>
      </c>
      <c r="E36499" t="s">
        <v>106</v>
      </c>
    </row>
    <row r="36500" spans="1:5" x14ac:dyDescent="0.25">
      <c r="A36500" t="str">
        <f>HYPERLINK("https://www.773grp.com/globalSearch/MMSF7N03ZR2/page-1", "MMSF7N03ZR2")</f>
        <v>MMSF7N03ZR2</v>
      </c>
      <c r="B36500" s="3" t="s">
        <v>95</v>
      </c>
      <c r="C36500" s="6">
        <v>3000</v>
      </c>
      <c r="D36500" s="7">
        <v>1.49</v>
      </c>
      <c r="E36500" t="s">
        <v>105</v>
      </c>
    </row>
    <row r="36501" spans="1:5" x14ac:dyDescent="0.25">
      <c r="A36501" t="str">
        <f>HYPERLINK("https://www.773grp.com/globalSearch/MR2520LRL/page-1", "MR2520LRL")</f>
        <v>MR2520LRL</v>
      </c>
      <c r="B36501" s="3" t="s">
        <v>95</v>
      </c>
      <c r="C36501" s="6">
        <v>700</v>
      </c>
      <c r="D36501" s="7">
        <v>1.49</v>
      </c>
      <c r="E36501" t="s">
        <v>96</v>
      </c>
    </row>
    <row r="36502" spans="1:5" x14ac:dyDescent="0.25">
      <c r="A36502" t="str">
        <f>HYPERLINK("https://www.773grp.com/globalSearch/MSRD620CT/page-1", "MSRD620CT")</f>
        <v>MSRD620CT</v>
      </c>
      <c r="B36502" s="3" t="s">
        <v>95</v>
      </c>
      <c r="C36502" s="6">
        <v>2250</v>
      </c>
      <c r="D36502" s="7">
        <v>1.49</v>
      </c>
      <c r="E36502" t="s">
        <v>103</v>
      </c>
    </row>
    <row r="36503" spans="1:5" x14ac:dyDescent="0.25">
      <c r="A36503" t="str">
        <f>HYPERLINK("https://www.773grp.com/globalSearch/MSRD620CTG/page-1", "MSRD620CTG")</f>
        <v>MSRD620CTG</v>
      </c>
      <c r="B36503" s="3" t="s">
        <v>95</v>
      </c>
      <c r="C36503" s="6">
        <v>8099</v>
      </c>
      <c r="D36503" s="7">
        <v>1.49</v>
      </c>
      <c r="E36503" t="s">
        <v>103</v>
      </c>
    </row>
    <row r="36504" spans="1:5" x14ac:dyDescent="0.25">
      <c r="A36504" t="str">
        <f>HYPERLINK("https://www.773grp.com/globalSearch/MSRD620CTT4G/page-1", "MSRD620CTT4G")</f>
        <v>MSRD620CTT4G</v>
      </c>
      <c r="B36504" s="3" t="s">
        <v>95</v>
      </c>
      <c r="C36504" s="6">
        <v>533</v>
      </c>
      <c r="D36504" s="7">
        <v>1.49</v>
      </c>
      <c r="E36504" t="s">
        <v>103</v>
      </c>
    </row>
    <row r="36505" spans="1:5" x14ac:dyDescent="0.25">
      <c r="A36505" t="str">
        <f>HYPERLINK("https://www.773grp.com/globalSearch/MTD12N06EZL/page-1", "MTD12N06EZL")</f>
        <v>MTD12N06EZL</v>
      </c>
      <c r="B36505" s="3" t="s">
        <v>95</v>
      </c>
      <c r="C36505" s="6">
        <v>2375</v>
      </c>
      <c r="D36505" s="7">
        <v>1.49</v>
      </c>
      <c r="E36505" t="s">
        <v>105</v>
      </c>
    </row>
    <row r="36506" spans="1:5" x14ac:dyDescent="0.25">
      <c r="A36506" t="str">
        <f>HYPERLINK("https://www.773grp.com/globalSearch/MTP27N06L/page-1", "MTP27N06L")</f>
        <v>MTP27N06L</v>
      </c>
      <c r="B36506" s="3" t="s">
        <v>95</v>
      </c>
      <c r="C36506" s="6">
        <v>2350</v>
      </c>
      <c r="D36506" s="7">
        <v>1.49</v>
      </c>
    </row>
    <row r="36507" spans="1:5" x14ac:dyDescent="0.25">
      <c r="A36507" t="str">
        <f>HYPERLINK("https://www.773grp.com/globalSearch/MUR420SG/page-1", "MUR420SG")</f>
        <v>MUR420SG</v>
      </c>
      <c r="B36507" s="3" t="s">
        <v>95</v>
      </c>
      <c r="C36507" s="6">
        <v>232353</v>
      </c>
      <c r="D36507" s="7">
        <v>1.49</v>
      </c>
    </row>
    <row r="36508" spans="1:5" x14ac:dyDescent="0.25">
      <c r="A36508" t="str">
        <f>HYPERLINK("https://www.773grp.com/globalSearch/MUR460/page-1", "MUR460")</f>
        <v>MUR460</v>
      </c>
      <c r="B36508" s="3" t="s">
        <v>95</v>
      </c>
      <c r="C36508" s="6">
        <v>500</v>
      </c>
      <c r="D36508" s="7">
        <v>1.49</v>
      </c>
      <c r="E36508" t="s">
        <v>103</v>
      </c>
    </row>
    <row r="36509" spans="1:5" x14ac:dyDescent="0.25">
      <c r="A36509" t="str">
        <f>HYPERLINK("https://www.773grp.com/globalSearch/MUR550PF/page-1", "MUR550PF")</f>
        <v>MUR550PF</v>
      </c>
      <c r="B36509" s="3" t="s">
        <v>95</v>
      </c>
      <c r="C36509" s="6">
        <v>2000</v>
      </c>
      <c r="D36509" s="7">
        <v>1.49</v>
      </c>
      <c r="E36509" t="s">
        <v>103</v>
      </c>
    </row>
    <row r="36510" spans="1:5" x14ac:dyDescent="0.25">
      <c r="A36510" t="str">
        <f>HYPERLINK("https://www.773grp.com/globalSearch/MUR550PFG/page-1", "MUR550PFG")</f>
        <v>MUR550PFG</v>
      </c>
      <c r="B36510" s="3" t="s">
        <v>95</v>
      </c>
      <c r="C36510" s="6">
        <v>9068</v>
      </c>
      <c r="D36510" s="7">
        <v>1.49</v>
      </c>
      <c r="E36510" t="s">
        <v>103</v>
      </c>
    </row>
    <row r="36511" spans="1:5" x14ac:dyDescent="0.25">
      <c r="A36511" t="str">
        <f>HYPERLINK("https://www.773grp.com/globalSearch/MUR840/page-1", "MUR840")</f>
        <v>MUR840</v>
      </c>
      <c r="B36511" s="3" t="s">
        <v>95</v>
      </c>
      <c r="C36511" s="6">
        <v>43005</v>
      </c>
      <c r="D36511" s="7">
        <v>1.49</v>
      </c>
      <c r="E36511" t="s">
        <v>103</v>
      </c>
    </row>
    <row r="36512" spans="1:5" x14ac:dyDescent="0.25">
      <c r="A36512" t="str">
        <f>HYPERLINK("https://www.773grp.com/globalSearch/MURD620CTG/page-1", "MURD620CTG")</f>
        <v>MURD620CTG</v>
      </c>
      <c r="B36512" s="3" t="s">
        <v>95</v>
      </c>
      <c r="C36512" s="6">
        <v>24400</v>
      </c>
      <c r="D36512" s="7">
        <v>1.49</v>
      </c>
      <c r="E36512" t="s">
        <v>103</v>
      </c>
    </row>
    <row r="36513" spans="1:5" x14ac:dyDescent="0.25">
      <c r="A36513" t="str">
        <f>HYPERLINK("https://www.773grp.com/globalSearch/MURD620CTH/page-1", "MURD620CTH")</f>
        <v>MURD620CTH</v>
      </c>
      <c r="B36513" s="3" t="s">
        <v>95</v>
      </c>
      <c r="C36513" s="6">
        <v>9000</v>
      </c>
      <c r="D36513" s="7">
        <v>1.49</v>
      </c>
    </row>
    <row r="36514" spans="1:5" x14ac:dyDescent="0.25">
      <c r="A36514" t="str">
        <f>HYPERLINK("https://www.773grp.com/globalSearch/NCL30081ASNT1G/page-1", "NCL30081ASNT1G")</f>
        <v>NCL30081ASNT1G</v>
      </c>
      <c r="B36514" s="3" t="s">
        <v>95</v>
      </c>
      <c r="C36514" s="6">
        <v>3000</v>
      </c>
      <c r="D36514" s="7">
        <v>1.49</v>
      </c>
    </row>
    <row r="36515" spans="1:5" x14ac:dyDescent="0.25">
      <c r="A36515" t="str">
        <f>HYPERLINK("https://www.773grp.com/globalSearch/NCL30081BSNT1G/page-1", "NCL30081BSNT1G")</f>
        <v>NCL30081BSNT1G</v>
      </c>
      <c r="B36515" s="3" t="s">
        <v>95</v>
      </c>
      <c r="C36515" s="6">
        <v>3000</v>
      </c>
      <c r="D36515" s="7">
        <v>1.49</v>
      </c>
    </row>
    <row r="36516" spans="1:5" x14ac:dyDescent="0.25">
      <c r="A36516" t="str">
        <f>HYPERLINK("https://www.773grp.com/globalSearch/NCP1201D100R2G/page-1", "NCP1201D100R2G")</f>
        <v>NCP1201D100R2G</v>
      </c>
      <c r="B36516" s="3" t="s">
        <v>95</v>
      </c>
      <c r="C36516" s="6">
        <v>15088</v>
      </c>
      <c r="D36516" s="7">
        <v>1.49</v>
      </c>
      <c r="E36516" t="s">
        <v>7</v>
      </c>
    </row>
    <row r="36517" spans="1:5" x14ac:dyDescent="0.25">
      <c r="A36517" t="str">
        <f>HYPERLINK("https://www.773grp.com/globalSearch/NCP1595AMNR2G/page-1", "NCP1595AMNR2G")</f>
        <v>NCP1595AMNR2G</v>
      </c>
      <c r="B36517" s="3" t="s">
        <v>95</v>
      </c>
      <c r="C36517" s="6">
        <v>6000</v>
      </c>
      <c r="D36517" s="7">
        <v>1.49</v>
      </c>
      <c r="E36517" t="s">
        <v>7</v>
      </c>
    </row>
    <row r="36518" spans="1:5" x14ac:dyDescent="0.25">
      <c r="A36518" t="str">
        <f>HYPERLINK("https://www.773grp.com/globalSearch/NCP346SN2T1G/page-1", "NCP346SN2T1G")</f>
        <v>NCP346SN2T1G</v>
      </c>
      <c r="B36518" s="3" t="s">
        <v>95</v>
      </c>
      <c r="C36518" s="6">
        <v>25498</v>
      </c>
      <c r="D36518" s="7">
        <v>1.49</v>
      </c>
    </row>
    <row r="36519" spans="1:5" x14ac:dyDescent="0.25">
      <c r="A36519" t="str">
        <f>HYPERLINK("https://www.773grp.com/globalSearch/NCP360MUTXG/page-1", "NCP360MUTXG")</f>
        <v>NCP360MUTXG</v>
      </c>
      <c r="B36519" s="3" t="s">
        <v>95</v>
      </c>
      <c r="C36519" s="6">
        <v>20000</v>
      </c>
      <c r="D36519" s="7">
        <v>1.49</v>
      </c>
      <c r="E36519" t="s">
        <v>11</v>
      </c>
    </row>
    <row r="36520" spans="1:5" x14ac:dyDescent="0.25">
      <c r="A36520" t="str">
        <f>HYPERLINK("https://www.773grp.com/globalSearch/NCP4589DSN12T1G/page-1", "NCP4589DSN12T1G")</f>
        <v>NCP4589DSN12T1G</v>
      </c>
      <c r="B36520" s="3" t="s">
        <v>95</v>
      </c>
      <c r="C36520" s="6">
        <v>21000</v>
      </c>
      <c r="D36520" s="7">
        <v>1.49</v>
      </c>
    </row>
    <row r="36521" spans="1:5" x14ac:dyDescent="0.25">
      <c r="A36521" t="str">
        <f>HYPERLINK("https://www.773grp.com/globalSearch/NCP4589DSN18T1G/page-1", "NCP4589DSN18T1G")</f>
        <v>NCP4589DSN18T1G</v>
      </c>
      <c r="B36521" s="3" t="s">
        <v>95</v>
      </c>
      <c r="C36521" s="6">
        <v>18000</v>
      </c>
      <c r="D36521" s="7">
        <v>1.49</v>
      </c>
    </row>
    <row r="36522" spans="1:5" x14ac:dyDescent="0.25">
      <c r="A36522" t="str">
        <f>HYPERLINK("https://www.773grp.com/globalSearch/NCP4589DSN25T1G/page-1", "NCP4589DSN25T1G")</f>
        <v>NCP4589DSN25T1G</v>
      </c>
      <c r="B36522" s="3" t="s">
        <v>95</v>
      </c>
      <c r="C36522" s="6">
        <v>3000</v>
      </c>
      <c r="D36522" s="7">
        <v>1.49</v>
      </c>
    </row>
    <row r="36523" spans="1:5" x14ac:dyDescent="0.25">
      <c r="A36523" t="str">
        <f>HYPERLINK("https://www.773grp.com/globalSearch/NCP4589DSN30T1G/page-1", "NCP4589DSN30T1G")</f>
        <v>NCP4589DSN30T1G</v>
      </c>
      <c r="B36523" s="3" t="s">
        <v>95</v>
      </c>
      <c r="C36523" s="6">
        <v>9000</v>
      </c>
      <c r="D36523" s="7">
        <v>1.49</v>
      </c>
    </row>
    <row r="36524" spans="1:5" x14ac:dyDescent="0.25">
      <c r="A36524" t="str">
        <f>HYPERLINK("https://www.773grp.com/globalSearch/NCP4589DSN33T1G/page-1", "NCP4589DSN33T1G")</f>
        <v>NCP4589DSN33T1G</v>
      </c>
      <c r="B36524" s="3" t="s">
        <v>95</v>
      </c>
      <c r="C36524" s="6">
        <v>41995</v>
      </c>
      <c r="D36524" s="7">
        <v>1.49</v>
      </c>
      <c r="E36524" t="s">
        <v>19</v>
      </c>
    </row>
    <row r="36525" spans="1:5" x14ac:dyDescent="0.25">
      <c r="A36525" t="str">
        <f>HYPERLINK("https://www.773grp.com/globalSearch/NCP4589DSQ12T1G/page-1", "NCP4589DSQ12T1G")</f>
        <v>NCP4589DSQ12T1G</v>
      </c>
      <c r="B36525" s="3" t="s">
        <v>95</v>
      </c>
      <c r="C36525" s="6">
        <v>16225</v>
      </c>
      <c r="D36525" s="7">
        <v>1.49</v>
      </c>
    </row>
    <row r="36526" spans="1:5" x14ac:dyDescent="0.25">
      <c r="A36526" t="str">
        <f>HYPERLINK("https://www.773grp.com/globalSearch/NCP4589DSQ18T1G/page-1", "NCP4589DSQ18T1G")</f>
        <v>NCP4589DSQ18T1G</v>
      </c>
      <c r="B36526" s="3" t="s">
        <v>95</v>
      </c>
      <c r="C36526" s="6">
        <v>18000</v>
      </c>
      <c r="D36526" s="7">
        <v>1.49</v>
      </c>
    </row>
    <row r="36527" spans="1:5" x14ac:dyDescent="0.25">
      <c r="A36527" t="str">
        <f>HYPERLINK("https://www.773grp.com/globalSearch/NCP4589DSQ25T1G/page-1", "NCP4589DSQ25T1G")</f>
        <v>NCP4589DSQ25T1G</v>
      </c>
      <c r="B36527" s="3" t="s">
        <v>95</v>
      </c>
      <c r="C36527" s="6">
        <v>13330</v>
      </c>
      <c r="D36527" s="7">
        <v>1.49</v>
      </c>
    </row>
    <row r="36528" spans="1:5" x14ac:dyDescent="0.25">
      <c r="A36528" t="str">
        <f>HYPERLINK("https://www.773grp.com/globalSearch/NCP4589DSQ30T1G/page-1", "NCP4589DSQ30T1G")</f>
        <v>NCP4589DSQ30T1G</v>
      </c>
      <c r="B36528" s="3" t="s">
        <v>95</v>
      </c>
      <c r="C36528" s="6">
        <v>6000</v>
      </c>
      <c r="D36528" s="7">
        <v>1.49</v>
      </c>
    </row>
    <row r="36529" spans="1:5" x14ac:dyDescent="0.25">
      <c r="A36529" t="str">
        <f>HYPERLINK("https://www.773grp.com/globalSearch/NCP4620DSQ18T1G/page-1", "NCP4620DSQ18T1G")</f>
        <v>NCP4620DSQ18T1G</v>
      </c>
      <c r="B36529" s="3" t="s">
        <v>95</v>
      </c>
      <c r="C36529" s="6">
        <v>12000</v>
      </c>
      <c r="D36529" s="7">
        <v>1.49</v>
      </c>
    </row>
    <row r="36530" spans="1:5" x14ac:dyDescent="0.25">
      <c r="A36530" t="str">
        <f>HYPERLINK("https://www.773grp.com/globalSearch/NCP4620HSQ12T1G/page-1", "NCP4620HSQ12T1G")</f>
        <v>NCP4620HSQ12T1G</v>
      </c>
      <c r="B36530" s="3" t="s">
        <v>95</v>
      </c>
      <c r="C36530" s="6">
        <v>9000</v>
      </c>
      <c r="D36530" s="7">
        <v>1.49</v>
      </c>
    </row>
    <row r="36531" spans="1:5" x14ac:dyDescent="0.25">
      <c r="A36531" t="str">
        <f>HYPERLINK("https://www.773grp.com/globalSearch/NCP4620HSQ15T1G/page-1", "NCP4620HSQ15T1G")</f>
        <v>NCP4620HSQ15T1G</v>
      </c>
      <c r="B36531" s="3" t="s">
        <v>95</v>
      </c>
      <c r="C36531" s="6">
        <v>9000</v>
      </c>
      <c r="D36531" s="7">
        <v>1.49</v>
      </c>
    </row>
    <row r="36532" spans="1:5" x14ac:dyDescent="0.25">
      <c r="A36532" t="str">
        <f>HYPERLINK("https://www.773grp.com/globalSearch/NCP4620HSQ18T1G/page-1", "NCP4620HSQ18T1G")</f>
        <v>NCP4620HSQ18T1G</v>
      </c>
      <c r="B36532" s="3" t="s">
        <v>95</v>
      </c>
      <c r="C36532" s="6">
        <v>9000</v>
      </c>
      <c r="D36532" s="7">
        <v>1.49</v>
      </c>
    </row>
    <row r="36533" spans="1:5" x14ac:dyDescent="0.25">
      <c r="A36533" t="str">
        <f>HYPERLINK("https://www.773grp.com/globalSearch/NCP4620HSQ25T1G/page-1", "NCP4620HSQ25T1G")</f>
        <v>NCP4620HSQ25T1G</v>
      </c>
      <c r="B36533" s="3" t="s">
        <v>95</v>
      </c>
      <c r="C36533" s="6">
        <v>12000</v>
      </c>
      <c r="D36533" s="7">
        <v>1.49</v>
      </c>
      <c r="E36533" t="s">
        <v>25</v>
      </c>
    </row>
    <row r="36534" spans="1:5" x14ac:dyDescent="0.25">
      <c r="A36534" t="str">
        <f>HYPERLINK("https://www.773grp.com/globalSearch/NCP4683DSQ18T1G/page-1", "NCP4683DSQ18T1G")</f>
        <v>NCP4683DSQ18T1G</v>
      </c>
      <c r="B36534" s="3" t="s">
        <v>95</v>
      </c>
      <c r="C36534" s="6">
        <v>15000</v>
      </c>
      <c r="D36534" s="7">
        <v>1.49</v>
      </c>
    </row>
    <row r="36535" spans="1:5" x14ac:dyDescent="0.25">
      <c r="A36535" t="str">
        <f>HYPERLINK("https://www.773grp.com/globalSearch/NCP4683DSQ33T1G/page-1", "NCP4683DSQ33T1G")</f>
        <v>NCP4683DSQ33T1G</v>
      </c>
      <c r="B36535" s="3" t="s">
        <v>95</v>
      </c>
      <c r="C36535" s="6">
        <v>6000</v>
      </c>
      <c r="D36535" s="7">
        <v>1.49</v>
      </c>
    </row>
    <row r="36536" spans="1:5" x14ac:dyDescent="0.25">
      <c r="A36536" t="str">
        <f>HYPERLINK("https://www.773grp.com/globalSearch/NCP4688DSN18T1G/page-1", "NCP4688DSN18T1G")</f>
        <v>NCP4688DSN18T1G</v>
      </c>
      <c r="B36536" s="3" t="s">
        <v>95</v>
      </c>
      <c r="C36536" s="6">
        <v>3000</v>
      </c>
      <c r="D36536" s="7">
        <v>1.49</v>
      </c>
    </row>
    <row r="36537" spans="1:5" x14ac:dyDescent="0.25">
      <c r="A36537" t="str">
        <f>HYPERLINK("https://www.773grp.com/globalSearch/NCP5208DR2G/page-1", "NCP5208DR2G")</f>
        <v>NCP5208DR2G</v>
      </c>
      <c r="B36537" s="3" t="s">
        <v>95</v>
      </c>
      <c r="C36537" s="6">
        <v>3190</v>
      </c>
      <c r="D36537" s="7">
        <v>1.49</v>
      </c>
      <c r="E36537" t="s">
        <v>24</v>
      </c>
    </row>
    <row r="36538" spans="1:5" x14ac:dyDescent="0.25">
      <c r="A36538" t="str">
        <f>HYPERLINK("https://www.773grp.com/globalSearch/NCP5500DT15RKG/page-1", "NCP5500DT15RKG")</f>
        <v>NCP5500DT15RKG</v>
      </c>
      <c r="B36538" s="3" t="s">
        <v>95</v>
      </c>
      <c r="C36538" s="6">
        <v>9249</v>
      </c>
      <c r="D36538" s="7">
        <v>1.49</v>
      </c>
      <c r="E36538" t="s">
        <v>19</v>
      </c>
    </row>
    <row r="36539" spans="1:5" x14ac:dyDescent="0.25">
      <c r="A36539" t="str">
        <f>HYPERLINK("https://www.773grp.com/globalSearch/NCP5500DT33RKG/page-1", "NCP5500DT33RKG")</f>
        <v>NCP5500DT33RKG</v>
      </c>
      <c r="B36539" s="3" t="s">
        <v>95</v>
      </c>
      <c r="C36539" s="6">
        <v>5202</v>
      </c>
      <c r="D36539" s="7">
        <v>1.49</v>
      </c>
      <c r="E36539" t="s">
        <v>19</v>
      </c>
    </row>
    <row r="36540" spans="1:5" x14ac:dyDescent="0.25">
      <c r="A36540" t="str">
        <f>HYPERLINK("https://www.773grp.com/globalSearch/NCP5500DT50RKG/page-1", "NCP5500DT50RKG")</f>
        <v>NCP5500DT50RKG</v>
      </c>
      <c r="B36540" s="3" t="s">
        <v>95</v>
      </c>
      <c r="C36540" s="6">
        <v>2215</v>
      </c>
      <c r="D36540" s="7">
        <v>1.49</v>
      </c>
    </row>
    <row r="36541" spans="1:5" x14ac:dyDescent="0.25">
      <c r="A36541" t="str">
        <f>HYPERLINK("https://www.773grp.com/globalSearch/NCP5500DTADJRKG/page-1", "NCP5500DTADJRKG")</f>
        <v>NCP5500DTADJRKG</v>
      </c>
      <c r="B36541" s="3" t="s">
        <v>95</v>
      </c>
      <c r="C36541" s="6">
        <v>52500</v>
      </c>
      <c r="D36541" s="7">
        <v>1.49</v>
      </c>
      <c r="E36541" t="s">
        <v>22</v>
      </c>
    </row>
    <row r="36542" spans="1:5" x14ac:dyDescent="0.25">
      <c r="A36542" t="str">
        <f>HYPERLINK("https://www.773grp.com/globalSearch/NCP583XV15T2G/page-1", "NCP583XV15T2G")</f>
        <v>NCP583XV15T2G</v>
      </c>
      <c r="B36542" s="3" t="s">
        <v>95</v>
      </c>
      <c r="C36542" s="6">
        <v>4000</v>
      </c>
      <c r="D36542" s="7">
        <v>1.49</v>
      </c>
      <c r="E36542" t="s">
        <v>19</v>
      </c>
    </row>
    <row r="36543" spans="1:5" x14ac:dyDescent="0.25">
      <c r="A36543" t="str">
        <f>HYPERLINK("https://www.773grp.com/globalSearch/NCP583XV18T2G/page-1", "NCP583XV18T2G")</f>
        <v>NCP583XV18T2G</v>
      </c>
      <c r="B36543" s="3" t="s">
        <v>95</v>
      </c>
      <c r="C36543" s="6">
        <v>223350</v>
      </c>
      <c r="D36543" s="7">
        <v>1.49</v>
      </c>
      <c r="E36543" t="s">
        <v>19</v>
      </c>
    </row>
    <row r="36544" spans="1:5" x14ac:dyDescent="0.25">
      <c r="A36544" t="str">
        <f>HYPERLINK("https://www.773grp.com/globalSearch/NCP583XV25T2G/page-1", "NCP583XV25T2G")</f>
        <v>NCP583XV25T2G</v>
      </c>
      <c r="B36544" s="3" t="s">
        <v>95</v>
      </c>
      <c r="C36544" s="6">
        <v>28000</v>
      </c>
      <c r="D36544" s="7">
        <v>1.49</v>
      </c>
      <c r="E36544" t="s">
        <v>19</v>
      </c>
    </row>
    <row r="36545" spans="1:5" x14ac:dyDescent="0.25">
      <c r="A36545" t="str">
        <f>HYPERLINK("https://www.773grp.com/globalSearch/NCP583XV28T2G/page-1", "NCP583XV28T2G")</f>
        <v>NCP583XV28T2G</v>
      </c>
      <c r="B36545" s="3" t="s">
        <v>95</v>
      </c>
      <c r="C36545" s="6">
        <v>237105</v>
      </c>
      <c r="D36545" s="7">
        <v>1.49</v>
      </c>
      <c r="E36545" t="s">
        <v>19</v>
      </c>
    </row>
    <row r="36546" spans="1:5" x14ac:dyDescent="0.25">
      <c r="A36546" t="str">
        <f>HYPERLINK("https://www.773grp.com/globalSearch/NCP583XV29T2G/page-1", "NCP583XV29T2G")</f>
        <v>NCP583XV29T2G</v>
      </c>
      <c r="B36546" s="3" t="s">
        <v>95</v>
      </c>
      <c r="C36546" s="6">
        <v>16000</v>
      </c>
      <c r="D36546" s="7">
        <v>1.49</v>
      </c>
      <c r="E36546" t="s">
        <v>19</v>
      </c>
    </row>
    <row r="36547" spans="1:5" x14ac:dyDescent="0.25">
      <c r="A36547" t="str">
        <f>HYPERLINK("https://www.773grp.com/globalSearch/NCP583XV30T2G/page-1", "NCP583XV30T2G")</f>
        <v>NCP583XV30T2G</v>
      </c>
      <c r="B36547" s="3" t="s">
        <v>95</v>
      </c>
      <c r="C36547" s="6">
        <v>154789</v>
      </c>
      <c r="D36547" s="7">
        <v>1.49</v>
      </c>
      <c r="E36547" t="s">
        <v>19</v>
      </c>
    </row>
    <row r="36548" spans="1:5" x14ac:dyDescent="0.25">
      <c r="A36548" t="str">
        <f>HYPERLINK("https://www.773grp.com/globalSearch/NCP583XV31T2G/page-1", "NCP583XV31T2G")</f>
        <v>NCP583XV31T2G</v>
      </c>
      <c r="B36548" s="3" t="s">
        <v>95</v>
      </c>
      <c r="C36548" s="6">
        <v>7213</v>
      </c>
      <c r="D36548" s="7">
        <v>1.49</v>
      </c>
      <c r="E36548" t="s">
        <v>19</v>
      </c>
    </row>
    <row r="36549" spans="1:5" x14ac:dyDescent="0.25">
      <c r="A36549" t="str">
        <f>HYPERLINK("https://www.773grp.com/globalSearch/NCP583XV33T2G/page-1", "NCP583XV33T2G")</f>
        <v>NCP583XV33T2G</v>
      </c>
      <c r="B36549" s="3" t="s">
        <v>95</v>
      </c>
      <c r="C36549" s="6">
        <v>47670</v>
      </c>
      <c r="D36549" s="7">
        <v>1.49</v>
      </c>
      <c r="E36549" t="s">
        <v>19</v>
      </c>
    </row>
    <row r="36550" spans="1:5" x14ac:dyDescent="0.25">
      <c r="A36550" t="str">
        <f>HYPERLINK("https://www.773grp.com/globalSearch/NCP585DSN09T1G/page-1", "NCP585DSN09T1G")</f>
        <v>NCP585DSN09T1G</v>
      </c>
      <c r="B36550" s="3" t="s">
        <v>95</v>
      </c>
      <c r="C36550" s="6">
        <v>11700</v>
      </c>
      <c r="D36550" s="7">
        <v>1.49</v>
      </c>
      <c r="E36550" t="s">
        <v>19</v>
      </c>
    </row>
    <row r="36551" spans="1:5" x14ac:dyDescent="0.25">
      <c r="A36551" t="str">
        <f>HYPERLINK("https://www.773grp.com/globalSearch/NCP585DSN125T1G/page-1", "NCP585DSN125T1G")</f>
        <v>NCP585DSN125T1G</v>
      </c>
      <c r="B36551" s="3" t="s">
        <v>95</v>
      </c>
      <c r="C36551" s="6">
        <v>38642</v>
      </c>
      <c r="D36551" s="7">
        <v>1.49</v>
      </c>
      <c r="E36551" t="s">
        <v>19</v>
      </c>
    </row>
    <row r="36552" spans="1:5" x14ac:dyDescent="0.25">
      <c r="A36552" t="str">
        <f>HYPERLINK("https://www.773grp.com/globalSearch/NCP585DSN12T1G/page-1", "NCP585DSN12T1G")</f>
        <v>NCP585DSN12T1G</v>
      </c>
      <c r="B36552" s="3" t="s">
        <v>95</v>
      </c>
      <c r="C36552" s="6">
        <v>26130</v>
      </c>
      <c r="D36552" s="7">
        <v>1.49</v>
      </c>
      <c r="E36552" t="s">
        <v>19</v>
      </c>
    </row>
    <row r="36553" spans="1:5" x14ac:dyDescent="0.25">
      <c r="A36553" t="str">
        <f>HYPERLINK("https://www.773grp.com/globalSearch/NCP585DSN15T1G/page-1", "NCP585DSN15T1G")</f>
        <v>NCP585DSN15T1G</v>
      </c>
      <c r="B36553" s="3" t="s">
        <v>95</v>
      </c>
      <c r="C36553" s="6">
        <v>22538</v>
      </c>
      <c r="D36553" s="7">
        <v>1.49</v>
      </c>
      <c r="E36553" t="s">
        <v>19</v>
      </c>
    </row>
    <row r="36554" spans="1:5" x14ac:dyDescent="0.25">
      <c r="A36554" t="str">
        <f>HYPERLINK("https://www.773grp.com/globalSearch/NCP585DSN18T1G/page-1", "NCP585DSN18T1G")</f>
        <v>NCP585DSN18T1G</v>
      </c>
      <c r="B36554" s="3" t="s">
        <v>95</v>
      </c>
      <c r="C36554" s="6">
        <v>13187</v>
      </c>
      <c r="D36554" s="7">
        <v>1.49</v>
      </c>
      <c r="E36554" t="s">
        <v>19</v>
      </c>
    </row>
    <row r="36555" spans="1:5" x14ac:dyDescent="0.25">
      <c r="A36555" t="str">
        <f>HYPERLINK("https://www.773grp.com/globalSearch/NCP585DSN25T1G/page-1", "NCP585DSN25T1G")</f>
        <v>NCP585DSN25T1G</v>
      </c>
      <c r="B36555" s="3" t="s">
        <v>95</v>
      </c>
      <c r="C36555" s="6">
        <v>5827</v>
      </c>
      <c r="D36555" s="7">
        <v>1.49</v>
      </c>
    </row>
    <row r="36556" spans="1:5" x14ac:dyDescent="0.25">
      <c r="A36556" t="str">
        <f>HYPERLINK("https://www.773grp.com/globalSearch/NCP585DSN28T1G/page-1", "NCP585DSN28T1G")</f>
        <v>NCP585DSN28T1G</v>
      </c>
      <c r="B36556" s="3" t="s">
        <v>95</v>
      </c>
      <c r="C36556" s="6">
        <v>3000</v>
      </c>
      <c r="D36556" s="7">
        <v>1.49</v>
      </c>
      <c r="E36556" t="s">
        <v>19</v>
      </c>
    </row>
    <row r="36557" spans="1:5" x14ac:dyDescent="0.25">
      <c r="A36557" t="str">
        <f>HYPERLINK("https://www.773grp.com/globalSearch/NCP585DSN30T1G/page-1", "NCP585DSN30T1G")</f>
        <v>NCP585DSN30T1G</v>
      </c>
      <c r="B36557" s="3" t="s">
        <v>95</v>
      </c>
      <c r="C36557" s="6">
        <v>5500</v>
      </c>
      <c r="D36557" s="7">
        <v>1.49</v>
      </c>
    </row>
    <row r="36558" spans="1:5" x14ac:dyDescent="0.25">
      <c r="A36558" t="str">
        <f>HYPERLINK("https://www.773grp.com/globalSearch/NCP585DSN33T1G/page-1", "NCP585DSN33T1G")</f>
        <v>NCP585DSN33T1G</v>
      </c>
      <c r="B36558" s="3" t="s">
        <v>95</v>
      </c>
      <c r="C36558" s="6">
        <v>3000</v>
      </c>
      <c r="D36558" s="7">
        <v>1.49</v>
      </c>
      <c r="E36558" t="s">
        <v>19</v>
      </c>
    </row>
    <row r="36559" spans="1:5" x14ac:dyDescent="0.25">
      <c r="A36559" t="str">
        <f>HYPERLINK("https://www.773grp.com/globalSearch/NCP585HSN09T1G/page-1", "NCP585HSN09T1G")</f>
        <v>NCP585HSN09T1G</v>
      </c>
      <c r="B36559" s="3" t="s">
        <v>95</v>
      </c>
      <c r="C36559" s="6">
        <v>9000</v>
      </c>
      <c r="D36559" s="7">
        <v>1.49</v>
      </c>
      <c r="E36559" t="s">
        <v>19</v>
      </c>
    </row>
    <row r="36560" spans="1:5" x14ac:dyDescent="0.25">
      <c r="A36560" t="str">
        <f>HYPERLINK("https://www.773grp.com/globalSearch/NCP585HSN10T1G/page-1", "NCP585HSN10T1G")</f>
        <v>NCP585HSN10T1G</v>
      </c>
      <c r="B36560" s="3" t="s">
        <v>95</v>
      </c>
      <c r="C36560" s="6">
        <v>313042</v>
      </c>
      <c r="D36560" s="7">
        <v>1.49</v>
      </c>
      <c r="E36560" t="s">
        <v>19</v>
      </c>
    </row>
    <row r="36561" spans="1:5" x14ac:dyDescent="0.25">
      <c r="A36561" t="str">
        <f>HYPERLINK("https://www.773grp.com/globalSearch/NCP585HSN12T1G/page-1", "NCP585HSN12T1G")</f>
        <v>NCP585HSN12T1G</v>
      </c>
      <c r="B36561" s="3" t="s">
        <v>95</v>
      </c>
      <c r="C36561" s="6">
        <v>34748</v>
      </c>
      <c r="D36561" s="7">
        <v>1.49</v>
      </c>
      <c r="E36561" t="s">
        <v>19</v>
      </c>
    </row>
    <row r="36562" spans="1:5" x14ac:dyDescent="0.25">
      <c r="A36562" t="str">
        <f>HYPERLINK("https://www.773grp.com/globalSearch/NCP585HSN18T1G/page-1", "NCP585HSN18T1G")</f>
        <v>NCP585HSN18T1G</v>
      </c>
      <c r="B36562" s="3" t="s">
        <v>95</v>
      </c>
      <c r="C36562" s="6">
        <v>182685</v>
      </c>
      <c r="D36562" s="7">
        <v>1.49</v>
      </c>
      <c r="E36562" t="s">
        <v>19</v>
      </c>
    </row>
    <row r="36563" spans="1:5" x14ac:dyDescent="0.25">
      <c r="A36563" t="str">
        <f>HYPERLINK("https://www.773grp.com/globalSearch/NCP585HSN30T1G/page-1", "NCP585HSN30T1G")</f>
        <v>NCP585HSN30T1G</v>
      </c>
      <c r="B36563" s="3" t="s">
        <v>95</v>
      </c>
      <c r="C36563" s="6">
        <v>3000</v>
      </c>
      <c r="D36563" s="7">
        <v>1.49</v>
      </c>
      <c r="E36563" t="s">
        <v>19</v>
      </c>
    </row>
    <row r="36564" spans="1:5" x14ac:dyDescent="0.25">
      <c r="A36564" t="str">
        <f>HYPERLINK("https://www.773grp.com/globalSearch/NCP585LSN09T1G/page-1", "NCP585LSN09T1G")</f>
        <v>NCP585LSN09T1G</v>
      </c>
      <c r="B36564" s="3" t="s">
        <v>95</v>
      </c>
      <c r="C36564" s="6">
        <v>7396</v>
      </c>
      <c r="D36564" s="7">
        <v>1.49</v>
      </c>
      <c r="E36564" t="s">
        <v>19</v>
      </c>
    </row>
    <row r="36565" spans="1:5" x14ac:dyDescent="0.25">
      <c r="A36565" t="str">
        <f>HYPERLINK("https://www.773grp.com/globalSearch/NCP585LSN18T1G/page-1", "NCP585LSN18T1G")</f>
        <v>NCP585LSN18T1G</v>
      </c>
      <c r="B36565" s="3" t="s">
        <v>95</v>
      </c>
      <c r="C36565" s="6">
        <v>3001</v>
      </c>
      <c r="D36565" s="7">
        <v>1.49</v>
      </c>
      <c r="E36565" t="s">
        <v>19</v>
      </c>
    </row>
    <row r="36566" spans="1:5" x14ac:dyDescent="0.25">
      <c r="A36566" t="str">
        <f>HYPERLINK("https://www.773grp.com/globalSearch/NCV1009D/page-1", "NCV1009D")</f>
        <v>NCV1009D</v>
      </c>
      <c r="B36566" s="3" t="s">
        <v>95</v>
      </c>
      <c r="C36566" s="6">
        <v>132</v>
      </c>
      <c r="D36566" s="7">
        <v>1.49</v>
      </c>
      <c r="E36566" t="s">
        <v>17</v>
      </c>
    </row>
    <row r="36567" spans="1:5" x14ac:dyDescent="0.25">
      <c r="A36567" t="str">
        <f>HYPERLINK("https://www.773grp.com/globalSearch/NCV1009DG/page-1", "NCV1009DG")</f>
        <v>NCV1009DG</v>
      </c>
      <c r="B36567" s="3" t="s">
        <v>95</v>
      </c>
      <c r="C36567" s="6">
        <v>70</v>
      </c>
      <c r="D36567" s="7">
        <v>1.49</v>
      </c>
      <c r="E36567" t="s">
        <v>17</v>
      </c>
    </row>
    <row r="36568" spans="1:5" x14ac:dyDescent="0.25">
      <c r="A36568" t="str">
        <f>HYPERLINK("https://www.773grp.com/globalSearch/NCV1009DR2/page-1", "NCV1009DR2")</f>
        <v>NCV1009DR2</v>
      </c>
      <c r="B36568" s="3" t="s">
        <v>95</v>
      </c>
      <c r="C36568" s="6">
        <v>21566</v>
      </c>
      <c r="D36568" s="7">
        <v>1.49</v>
      </c>
      <c r="E36568" t="s">
        <v>17</v>
      </c>
    </row>
    <row r="36569" spans="1:5" x14ac:dyDescent="0.25">
      <c r="A36569" t="str">
        <f>HYPERLINK("https://www.773grp.com/globalSearch/NCV1009Z/page-1", "NCV1009Z")</f>
        <v>NCV1009Z</v>
      </c>
      <c r="B36569" s="3" t="s">
        <v>95</v>
      </c>
      <c r="C36569" s="6">
        <v>4831</v>
      </c>
      <c r="D36569" s="7">
        <v>1.49</v>
      </c>
      <c r="E36569" t="s">
        <v>17</v>
      </c>
    </row>
    <row r="36570" spans="1:5" x14ac:dyDescent="0.25">
      <c r="A36570" t="str">
        <f>HYPERLINK("https://www.773grp.com/globalSearch/NCV1009ZG/page-1", "NCV1009ZG")</f>
        <v>NCV1009ZG</v>
      </c>
      <c r="B36570" s="3" t="s">
        <v>95</v>
      </c>
      <c r="C36570" s="6">
        <v>24</v>
      </c>
      <c r="D36570" s="7">
        <v>1.49</v>
      </c>
      <c r="E36570" t="s">
        <v>17</v>
      </c>
    </row>
    <row r="36571" spans="1:5" x14ac:dyDescent="0.25">
      <c r="A36571" t="str">
        <f>HYPERLINK("https://www.773grp.com/globalSearch/NCV4269DWR2/page-1", "NCV4269DWR2")</f>
        <v>NCV4269DWR2</v>
      </c>
      <c r="B36571" s="3" t="s">
        <v>95</v>
      </c>
      <c r="C36571" s="6">
        <v>1000</v>
      </c>
      <c r="D36571" s="7">
        <v>1.49</v>
      </c>
      <c r="E36571" t="s">
        <v>19</v>
      </c>
    </row>
    <row r="36572" spans="1:5" x14ac:dyDescent="0.25">
      <c r="A36572" t="str">
        <f>HYPERLINK("https://www.773grp.com/globalSearch/NCV5501DT15G/page-1", "NCV5501DT15G")</f>
        <v>NCV5501DT15G</v>
      </c>
      <c r="B36572" s="3" t="s">
        <v>95</v>
      </c>
      <c r="C36572" s="6">
        <v>12114</v>
      </c>
      <c r="D36572" s="7">
        <v>1.49</v>
      </c>
      <c r="E36572" t="s">
        <v>19</v>
      </c>
    </row>
    <row r="36573" spans="1:5" x14ac:dyDescent="0.25">
      <c r="A36573" t="str">
        <f>HYPERLINK("https://www.773grp.com/globalSearch/NCV5501DT15RKG/page-1", "NCV5501DT15RKG")</f>
        <v>NCV5501DT15RKG</v>
      </c>
      <c r="B36573" s="3" t="s">
        <v>95</v>
      </c>
      <c r="C36573" s="6">
        <v>5634</v>
      </c>
      <c r="D36573" s="7">
        <v>1.49</v>
      </c>
      <c r="E36573" t="s">
        <v>19</v>
      </c>
    </row>
    <row r="36574" spans="1:5" x14ac:dyDescent="0.25">
      <c r="A36574" t="str">
        <f>HYPERLINK("https://www.773grp.com/globalSearch/NCV5501DT33G/page-1", "NCV5501DT33G")</f>
        <v>NCV5501DT33G</v>
      </c>
      <c r="B36574" s="3" t="s">
        <v>95</v>
      </c>
      <c r="C36574" s="6">
        <v>225</v>
      </c>
      <c r="D36574" s="7">
        <v>1.49</v>
      </c>
    </row>
    <row r="36575" spans="1:5" x14ac:dyDescent="0.25">
      <c r="A36575" t="str">
        <f>HYPERLINK("https://www.773grp.com/globalSearch/NCV5501DT50G/page-1", "NCV5501DT50G")</f>
        <v>NCV5501DT50G</v>
      </c>
      <c r="B36575" s="3" t="s">
        <v>95</v>
      </c>
      <c r="C36575" s="6">
        <v>975</v>
      </c>
      <c r="D36575" s="7">
        <v>1.49</v>
      </c>
    </row>
    <row r="36576" spans="1:5" x14ac:dyDescent="0.25">
      <c r="A36576" t="str">
        <f>HYPERLINK("https://www.773grp.com/globalSearch/NCV5501DT50RKG/page-1", "NCV5501DT50RKG")</f>
        <v>NCV5501DT50RKG</v>
      </c>
      <c r="B36576" s="3" t="s">
        <v>95</v>
      </c>
      <c r="C36576" s="6">
        <v>5000</v>
      </c>
      <c r="D36576" s="7">
        <v>1.49</v>
      </c>
    </row>
    <row r="36577" spans="1:5" x14ac:dyDescent="0.25">
      <c r="A36577" t="str">
        <f>HYPERLINK("https://www.773grp.com/globalSearch/NCV8501PDW33/page-1", "NCV8501PDW33")</f>
        <v>NCV8501PDW33</v>
      </c>
      <c r="B36577" s="3" t="s">
        <v>95</v>
      </c>
      <c r="C36577" s="6">
        <v>94</v>
      </c>
      <c r="D36577" s="7">
        <v>1.49</v>
      </c>
      <c r="E36577" t="s">
        <v>19</v>
      </c>
    </row>
    <row r="36578" spans="1:5" x14ac:dyDescent="0.25">
      <c r="A36578" t="str">
        <f>HYPERLINK("https://www.773grp.com/globalSearch/NLAS44599MNR2/page-1", "NLAS44599MNR2")</f>
        <v>NLAS44599MNR2</v>
      </c>
      <c r="B36578" s="3" t="s">
        <v>95</v>
      </c>
      <c r="C36578" s="6">
        <v>315000</v>
      </c>
      <c r="D36578" s="7">
        <v>1.49</v>
      </c>
      <c r="E36578" t="s">
        <v>56</v>
      </c>
    </row>
    <row r="36579" spans="1:5" x14ac:dyDescent="0.25">
      <c r="A36579" t="str">
        <f>HYPERLINK("https://www.773grp.com/globalSearch/NLAS4717EPMTR2G/page-1", "NLAS4717EPMTR2G")</f>
        <v>NLAS4717EPMTR2G</v>
      </c>
      <c r="B36579" s="3" t="s">
        <v>95</v>
      </c>
      <c r="C36579" s="6">
        <v>521961</v>
      </c>
      <c r="D36579" s="7">
        <v>1.49</v>
      </c>
      <c r="E36579" t="s">
        <v>56</v>
      </c>
    </row>
    <row r="36580" spans="1:5" x14ac:dyDescent="0.25">
      <c r="A36580" t="str">
        <f>HYPERLINK("https://www.773grp.com/globalSearch/NLV74HC4052ADR2G/page-1", "NLV74HC4052ADR2G")</f>
        <v>NLV74HC4052ADR2G</v>
      </c>
      <c r="B36580" s="3" t="s">
        <v>95</v>
      </c>
      <c r="C36580" s="6">
        <v>2137</v>
      </c>
      <c r="D36580" s="7">
        <v>1.49</v>
      </c>
    </row>
    <row r="36581" spans="1:5" x14ac:dyDescent="0.25">
      <c r="A36581" t="str">
        <f>HYPERLINK("https://www.773grp.com/globalSearch/NLVHC4052ADTR2G/page-1", "NLVHC4052ADTR2G")</f>
        <v>NLVHC4052ADTR2G</v>
      </c>
      <c r="B36581" s="3" t="s">
        <v>95</v>
      </c>
      <c r="C36581" s="6">
        <v>20000</v>
      </c>
      <c r="D36581" s="7">
        <v>1.49</v>
      </c>
    </row>
    <row r="36582" spans="1:5" x14ac:dyDescent="0.25">
      <c r="A36582" t="str">
        <f>HYPERLINK("https://www.773grp.com/globalSearch/NTB27N06L/page-1", "NTB27N06L")</f>
        <v>NTB27N06L</v>
      </c>
      <c r="B36582" s="3" t="s">
        <v>95</v>
      </c>
      <c r="C36582" s="6">
        <v>275</v>
      </c>
      <c r="D36582" s="7">
        <v>1.49</v>
      </c>
      <c r="E36582" t="s">
        <v>105</v>
      </c>
    </row>
    <row r="36583" spans="1:5" x14ac:dyDescent="0.25">
      <c r="A36583" t="str">
        <f>HYPERLINK("https://www.773grp.com/globalSearch/NTB27N06LT4/page-1", "NTB27N06LT4")</f>
        <v>NTB27N06LT4</v>
      </c>
      <c r="B36583" s="3" t="s">
        <v>95</v>
      </c>
      <c r="C36583" s="6">
        <v>22400</v>
      </c>
      <c r="D36583" s="7">
        <v>1.49</v>
      </c>
      <c r="E36583" t="s">
        <v>105</v>
      </c>
    </row>
    <row r="36584" spans="1:5" x14ac:dyDescent="0.25">
      <c r="A36584" t="str">
        <f>HYPERLINK("https://www.773grp.com/globalSearch/NTD20N06G/page-1", "NTD20N06G")</f>
        <v>NTD20N06G</v>
      </c>
      <c r="B36584" s="3" t="s">
        <v>95</v>
      </c>
      <c r="C36584" s="6">
        <v>230</v>
      </c>
      <c r="D36584" s="7">
        <v>1.49</v>
      </c>
      <c r="E36584" t="s">
        <v>105</v>
      </c>
    </row>
    <row r="36585" spans="1:5" x14ac:dyDescent="0.25">
      <c r="A36585" t="str">
        <f>HYPERLINK("https://www.773grp.com/globalSearch/NTD20N06LG/page-1", "NTD20N06LG")</f>
        <v>NTD20N06LG</v>
      </c>
      <c r="B36585" s="3" t="s">
        <v>95</v>
      </c>
      <c r="C36585" s="6">
        <v>925</v>
      </c>
      <c r="D36585" s="7">
        <v>1.49</v>
      </c>
    </row>
    <row r="36586" spans="1:5" x14ac:dyDescent="0.25">
      <c r="A36586" t="str">
        <f>HYPERLINK("https://www.773grp.com/globalSearch/NTD25P03LT4/page-1", "NTD25P03LT4")</f>
        <v>NTD25P03LT4</v>
      </c>
      <c r="B36586" s="3" t="s">
        <v>95</v>
      </c>
      <c r="C36586" s="6">
        <v>3265</v>
      </c>
      <c r="D36586" s="7">
        <v>1.49</v>
      </c>
      <c r="E36586" t="s">
        <v>105</v>
      </c>
    </row>
    <row r="36587" spans="1:5" x14ac:dyDescent="0.25">
      <c r="A36587" t="str">
        <f>HYPERLINK("https://www.773grp.com/globalSearch/NTD70N03R-1G/page-1", "NTD70N03R-1G")</f>
        <v>NTD70N03R-1G</v>
      </c>
      <c r="B36587" s="3" t="s">
        <v>95</v>
      </c>
      <c r="C36587" s="6">
        <v>139757</v>
      </c>
      <c r="D36587" s="7">
        <v>1.49</v>
      </c>
      <c r="E36587" t="s">
        <v>105</v>
      </c>
    </row>
    <row r="36588" spans="1:5" x14ac:dyDescent="0.25">
      <c r="A36588" t="str">
        <f>HYPERLINK("https://www.773grp.com/globalSearch/NTD70N03RT4G/page-1", "NTD70N03RT4G")</f>
        <v>NTD70N03RT4G</v>
      </c>
      <c r="B36588" s="3" t="s">
        <v>95</v>
      </c>
      <c r="C36588" s="6">
        <v>852227</v>
      </c>
      <c r="D36588" s="7">
        <v>1.49</v>
      </c>
      <c r="E36588" t="s">
        <v>105</v>
      </c>
    </row>
    <row r="36589" spans="1:5" x14ac:dyDescent="0.25">
      <c r="A36589" t="str">
        <f>HYPERLINK("https://www.773grp.com/globalSearch/NTD80N02G/page-1", "NTD80N02G")</f>
        <v>NTD80N02G</v>
      </c>
      <c r="B36589" s="3" t="s">
        <v>95</v>
      </c>
      <c r="C36589" s="6">
        <v>25</v>
      </c>
      <c r="D36589" s="7">
        <v>1.49</v>
      </c>
      <c r="E36589" t="s">
        <v>105</v>
      </c>
    </row>
    <row r="36590" spans="1:5" x14ac:dyDescent="0.25">
      <c r="A36590" t="str">
        <f>HYPERLINK("https://www.773grp.com/globalSearch/NTMD2C02R2G/page-1", "NTMD2C02R2G")</f>
        <v>NTMD2C02R2G</v>
      </c>
      <c r="B36590" s="3" t="s">
        <v>95</v>
      </c>
      <c r="C36590" s="6">
        <v>16455</v>
      </c>
      <c r="D36590" s="7">
        <v>1.49</v>
      </c>
      <c r="E36590" t="s">
        <v>105</v>
      </c>
    </row>
    <row r="36591" spans="1:5" x14ac:dyDescent="0.25">
      <c r="A36591" t="str">
        <f>HYPERLINK("https://www.773grp.com/globalSearch/NTMSD3P102R2SG/page-1", "NTMSD3P102R2SG")</f>
        <v>NTMSD3P102R2SG</v>
      </c>
      <c r="B36591" s="3" t="s">
        <v>95</v>
      </c>
      <c r="C36591" s="6">
        <v>7500</v>
      </c>
      <c r="D36591" s="7">
        <v>1.49</v>
      </c>
      <c r="E36591" t="s">
        <v>106</v>
      </c>
    </row>
    <row r="36592" spans="1:5" x14ac:dyDescent="0.25">
      <c r="A36592" t="str">
        <f>HYPERLINK("https://www.773grp.com/globalSearch/NTP65N02RG/page-1", "NTP65N02RG")</f>
        <v>NTP65N02RG</v>
      </c>
      <c r="B36592" s="3" t="s">
        <v>95</v>
      </c>
      <c r="C36592" s="6">
        <v>57437</v>
      </c>
      <c r="D36592" s="7">
        <v>1.49</v>
      </c>
      <c r="E36592" t="s">
        <v>105</v>
      </c>
    </row>
    <row r="36593" spans="1:5" x14ac:dyDescent="0.25">
      <c r="A36593" t="str">
        <f>HYPERLINK("https://www.773grp.com/globalSearch/NUP4212UPMUTAG/page-1", "NUP4212UPMUTAG")</f>
        <v>NUP4212UPMUTAG</v>
      </c>
      <c r="B36593" s="3" t="s">
        <v>95</v>
      </c>
      <c r="C36593" s="6">
        <v>42000</v>
      </c>
      <c r="D36593" s="7">
        <v>1.49</v>
      </c>
      <c r="E36593" t="s">
        <v>96</v>
      </c>
    </row>
    <row r="36594" spans="1:5" x14ac:dyDescent="0.25">
      <c r="A36594" t="str">
        <f>HYPERLINK("https://www.773grp.com/globalSearch/NUP6101DMR2/page-1", "NUP6101DMR2")</f>
        <v>NUP6101DMR2</v>
      </c>
      <c r="B36594" s="3" t="s">
        <v>95</v>
      </c>
      <c r="C36594" s="6">
        <v>13518</v>
      </c>
      <c r="D36594" s="7">
        <v>1.49</v>
      </c>
      <c r="E36594" t="s">
        <v>96</v>
      </c>
    </row>
    <row r="36595" spans="1:5" x14ac:dyDescent="0.25">
      <c r="A36595" t="str">
        <f>HYPERLINK("https://www.773grp.com/globalSearch/SC78170P/page-1", "SC78170P")</f>
        <v>SC78170P</v>
      </c>
      <c r="B36595" s="3" t="s">
        <v>95</v>
      </c>
      <c r="C36595" s="6">
        <v>33513</v>
      </c>
      <c r="D36595" s="7">
        <v>1.49</v>
      </c>
    </row>
    <row r="36596" spans="1:5" x14ac:dyDescent="0.25">
      <c r="A36596" t="str">
        <f>HYPERLINK("https://www.773grp.com/globalSearch/SJE5959LFVK/page-1", "SJE5959LFVK")</f>
        <v>SJE5959LFVK</v>
      </c>
      <c r="B36596" s="3" t="s">
        <v>95</v>
      </c>
      <c r="C36596" s="6">
        <v>14450</v>
      </c>
      <c r="D36596" s="7">
        <v>1.49</v>
      </c>
    </row>
    <row r="36597" spans="1:5" x14ac:dyDescent="0.25">
      <c r="A36597" t="str">
        <f>HYPERLINK("https://www.773grp.com/globalSearch/SR4490/page-1", "SR4490")</f>
        <v>SR4490</v>
      </c>
      <c r="B36597" s="3" t="s">
        <v>95</v>
      </c>
      <c r="C36597" s="6">
        <v>5000</v>
      </c>
      <c r="D36597" s="7">
        <v>1.49</v>
      </c>
    </row>
    <row r="36598" spans="1:5" x14ac:dyDescent="0.25">
      <c r="A36598" t="str">
        <f>HYPERLINK("https://www.773grp.com/globalSearch/T2500D/page-1", "T2500D")</f>
        <v>T2500D</v>
      </c>
      <c r="B36598" s="3" t="s">
        <v>95</v>
      </c>
      <c r="C36598" s="6">
        <v>472</v>
      </c>
      <c r="D36598" s="7">
        <v>1.49</v>
      </c>
      <c r="E36598" t="s">
        <v>102</v>
      </c>
    </row>
    <row r="36599" spans="1:5" x14ac:dyDescent="0.25">
      <c r="A36599" t="str">
        <f>HYPERLINK("https://www.773grp.com/globalSearch/TL062CP/page-1", "TL062CP")</f>
        <v>TL062CP</v>
      </c>
      <c r="B36599" s="3" t="s">
        <v>95</v>
      </c>
      <c r="C36599" s="6">
        <v>900</v>
      </c>
      <c r="D36599" s="7">
        <v>1.49</v>
      </c>
      <c r="E36599" t="s">
        <v>13</v>
      </c>
    </row>
    <row r="36600" spans="1:5" x14ac:dyDescent="0.25">
      <c r="A36600" t="str">
        <f>HYPERLINK("https://www.773grp.com/globalSearch/TL431ACPG/page-1", "TL431ACPG")</f>
        <v>TL431ACPG</v>
      </c>
      <c r="B36600" s="3" t="s">
        <v>95</v>
      </c>
      <c r="C36600" s="6">
        <v>13450</v>
      </c>
      <c r="D36600" s="7">
        <v>1.49</v>
      </c>
      <c r="E36600" t="s">
        <v>17</v>
      </c>
    </row>
    <row r="36601" spans="1:5" x14ac:dyDescent="0.25">
      <c r="A36601" t="str">
        <f>HYPERLINK("https://www.773grp.com/globalSearch/2SB1204S-E/page-1", "2SB1204S-E")</f>
        <v>2SB1204S-E</v>
      </c>
      <c r="B36601" s="3" t="s">
        <v>95</v>
      </c>
      <c r="C36601" s="6">
        <v>1000</v>
      </c>
      <c r="D36601" s="7">
        <v>1.54</v>
      </c>
    </row>
    <row r="36602" spans="1:5" x14ac:dyDescent="0.25">
      <c r="A36602" t="str">
        <f>HYPERLINK("https://www.773grp.com/globalSearch/2SD1816S-H/page-1", "2SD1816S-H")</f>
        <v>2SD1816S-H</v>
      </c>
      <c r="B36602" s="3" t="s">
        <v>95</v>
      </c>
      <c r="C36602" s="6">
        <v>1000</v>
      </c>
      <c r="D36602" s="7">
        <v>1.54</v>
      </c>
    </row>
    <row r="36603" spans="1:5" x14ac:dyDescent="0.25">
      <c r="A36603" t="str">
        <f>HYPERLINK("https://www.773grp.com/globalSearch/CS2843ALN8/page-1", "CS2843ALN8")</f>
        <v>CS2843ALN8</v>
      </c>
      <c r="B36603" s="3" t="s">
        <v>95</v>
      </c>
      <c r="C36603" s="6">
        <v>50</v>
      </c>
      <c r="D36603" s="7">
        <v>1.54</v>
      </c>
      <c r="E36603" t="s">
        <v>7</v>
      </c>
    </row>
    <row r="36604" spans="1:5" x14ac:dyDescent="0.25">
      <c r="A36604" t="str">
        <f>HYPERLINK("https://www.773grp.com/globalSearch/JLC1562BF/page-1", "JLC1562BF")</f>
        <v>JLC1562BF</v>
      </c>
      <c r="B36604" s="3" t="s">
        <v>95</v>
      </c>
      <c r="C36604" s="6">
        <v>6000</v>
      </c>
      <c r="D36604" s="7">
        <v>1.54</v>
      </c>
      <c r="E36604" t="s">
        <v>90</v>
      </c>
    </row>
    <row r="36605" spans="1:5" x14ac:dyDescent="0.25">
      <c r="A36605" t="str">
        <f>HYPERLINK("https://www.773grp.com/globalSearch/JLC1562BFEL/page-1", "JLC1562BFEL")</f>
        <v>JLC1562BFEL</v>
      </c>
      <c r="B36605" s="3" t="s">
        <v>95</v>
      </c>
      <c r="C36605" s="6">
        <v>8000</v>
      </c>
      <c r="D36605" s="7">
        <v>1.54</v>
      </c>
      <c r="E36605" t="s">
        <v>90</v>
      </c>
    </row>
    <row r="36606" spans="1:5" x14ac:dyDescent="0.25">
      <c r="A36606" t="str">
        <f>HYPERLINK("https://www.773grp.com/globalSearch/JLC1562BN/page-1", "JLC1562BN")</f>
        <v>JLC1562BN</v>
      </c>
      <c r="B36606" s="3" t="s">
        <v>95</v>
      </c>
      <c r="C36606" s="6">
        <v>5000</v>
      </c>
      <c r="D36606" s="7">
        <v>1.54</v>
      </c>
      <c r="E36606" t="s">
        <v>90</v>
      </c>
    </row>
    <row r="36607" spans="1:5" x14ac:dyDescent="0.25">
      <c r="A36607" t="str">
        <f>HYPERLINK("https://www.773grp.com/globalSearch/JLC1563MEL/page-1", "JLC1563MEL")</f>
        <v>JLC1563MEL</v>
      </c>
      <c r="B36607" s="3" t="s">
        <v>95</v>
      </c>
      <c r="C36607" s="6">
        <v>48000</v>
      </c>
      <c r="D36607" s="7">
        <v>1.54</v>
      </c>
    </row>
    <row r="36608" spans="1:5" x14ac:dyDescent="0.25">
      <c r="A36608" t="str">
        <f>HYPERLINK("https://www.773grp.com/globalSearch/JLC1563P/page-1", "JLC1563P")</f>
        <v>JLC1563P</v>
      </c>
      <c r="B36608" s="3" t="s">
        <v>95</v>
      </c>
      <c r="C36608" s="6">
        <v>4600</v>
      </c>
      <c r="D36608" s="7">
        <v>1.54</v>
      </c>
      <c r="E36608" t="s">
        <v>21</v>
      </c>
    </row>
    <row r="36609" spans="1:5" x14ac:dyDescent="0.25">
      <c r="A36609" t="str">
        <f>HYPERLINK("https://www.773grp.com/globalSearch/LM201ADG/page-1", "LM201ADG")</f>
        <v>LM201ADG</v>
      </c>
      <c r="B36609" s="3" t="s">
        <v>95</v>
      </c>
      <c r="C36609" s="6">
        <v>3086</v>
      </c>
      <c r="D36609" s="7">
        <v>1.54</v>
      </c>
      <c r="E36609" t="s">
        <v>13</v>
      </c>
    </row>
    <row r="36610" spans="1:5" x14ac:dyDescent="0.25">
      <c r="A36610" t="str">
        <f>HYPERLINK("https://www.773grp.com/globalSearch/LM201ADR2G/page-1", "LM201ADR2G")</f>
        <v>LM201ADR2G</v>
      </c>
      <c r="B36610" s="3" t="s">
        <v>95</v>
      </c>
      <c r="C36610" s="6">
        <v>210050</v>
      </c>
      <c r="D36610" s="7">
        <v>1.54</v>
      </c>
      <c r="E36610" t="s">
        <v>13</v>
      </c>
    </row>
    <row r="36611" spans="1:5" x14ac:dyDescent="0.25">
      <c r="A36611" t="str">
        <f>HYPERLINK("https://www.773grp.com/globalSearch/LM2931D2T-5.0R4/page-1", "LM2931D2T-5.0R4")</f>
        <v>LM2931D2T-5.0R4</v>
      </c>
      <c r="B36611" s="3" t="s">
        <v>95</v>
      </c>
      <c r="C36611" s="6">
        <v>3200</v>
      </c>
      <c r="D36611" s="7">
        <v>1.54</v>
      </c>
      <c r="E36611" t="s">
        <v>19</v>
      </c>
    </row>
    <row r="36612" spans="1:5" x14ac:dyDescent="0.25">
      <c r="A36612" t="str">
        <f>HYPERLINK("https://www.773grp.com/globalSearch/LM317LBDG/page-1", "LM317LBDG")</f>
        <v>LM317LBDG</v>
      </c>
      <c r="B36612" s="3" t="s">
        <v>95</v>
      </c>
      <c r="C36612" s="6">
        <v>34527</v>
      </c>
      <c r="D36612" s="7">
        <v>1.54</v>
      </c>
    </row>
    <row r="36613" spans="1:5" x14ac:dyDescent="0.25">
      <c r="A36613" t="str">
        <f>HYPERLINK("https://www.773grp.com/globalSearch/LM317LBDR2G/page-1", "LM317LBDR2G")</f>
        <v>LM317LBDR2G</v>
      </c>
      <c r="B36613" s="3" t="s">
        <v>95</v>
      </c>
      <c r="C36613" s="6">
        <v>60070</v>
      </c>
      <c r="D36613" s="7">
        <v>1.54</v>
      </c>
      <c r="E36613" t="s">
        <v>22</v>
      </c>
    </row>
    <row r="36614" spans="1:5" x14ac:dyDescent="0.25">
      <c r="A36614" t="str">
        <f>HYPERLINK("https://www.773grp.com/globalSearch/LM317MTG/page-1", "LM317MTG")</f>
        <v>LM317MTG</v>
      </c>
      <c r="B36614" s="3" t="s">
        <v>95</v>
      </c>
      <c r="C36614" s="6">
        <v>3460</v>
      </c>
      <c r="D36614" s="7">
        <v>1.54</v>
      </c>
      <c r="E36614" t="s">
        <v>22</v>
      </c>
    </row>
    <row r="36615" spans="1:5" x14ac:dyDescent="0.25">
      <c r="A36615" t="str">
        <f>HYPERLINK("https://www.773grp.com/globalSearch/MC1413PG/page-1", "MC1413PG")</f>
        <v>MC1413PG</v>
      </c>
      <c r="B36615" s="3" t="s">
        <v>95</v>
      </c>
      <c r="C36615" s="6">
        <v>32899</v>
      </c>
      <c r="D36615" s="7">
        <v>1.54</v>
      </c>
      <c r="E36615" t="s">
        <v>59</v>
      </c>
    </row>
    <row r="36616" spans="1:5" x14ac:dyDescent="0.25">
      <c r="A36616" t="str">
        <f>HYPERLINK("https://www.773grp.com/globalSearch/MC14518BCPG/page-1", "MC14518BCPG")</f>
        <v>MC14518BCPG</v>
      </c>
      <c r="B36616" s="3" t="s">
        <v>95</v>
      </c>
      <c r="C36616" s="6">
        <v>874</v>
      </c>
      <c r="D36616" s="7">
        <v>1.54</v>
      </c>
      <c r="E36616" t="s">
        <v>26</v>
      </c>
    </row>
    <row r="36617" spans="1:5" x14ac:dyDescent="0.25">
      <c r="A36617" t="str">
        <f>HYPERLINK("https://www.773grp.com/globalSearch/MC14520BCPG/page-1", "MC14520BCPG")</f>
        <v>MC14520BCPG</v>
      </c>
      <c r="B36617" s="3" t="s">
        <v>95</v>
      </c>
      <c r="C36617" s="6">
        <v>7220</v>
      </c>
      <c r="D36617" s="7">
        <v>1.54</v>
      </c>
      <c r="E36617" t="s">
        <v>26</v>
      </c>
    </row>
    <row r="36618" spans="1:5" x14ac:dyDescent="0.25">
      <c r="A36618" t="str">
        <f>HYPERLINK("https://www.773grp.com/globalSearch/MC14528BDG/page-1", "MC14528BDG")</f>
        <v>MC14528BDG</v>
      </c>
      <c r="B36618" s="3" t="s">
        <v>95</v>
      </c>
      <c r="C36618" s="6">
        <v>47</v>
      </c>
      <c r="D36618" s="7">
        <v>1.54</v>
      </c>
      <c r="E36618" t="s">
        <v>54</v>
      </c>
    </row>
    <row r="36619" spans="1:5" x14ac:dyDescent="0.25">
      <c r="A36619" t="str">
        <f>HYPERLINK("https://www.773grp.com/globalSearch/MC14528BDR2G/page-1", "MC14528BDR2G")</f>
        <v>MC14528BDR2G</v>
      </c>
      <c r="B36619" s="3" t="s">
        <v>95</v>
      </c>
      <c r="C36619" s="6">
        <v>27500</v>
      </c>
      <c r="D36619" s="7">
        <v>1.54</v>
      </c>
      <c r="E36619" t="s">
        <v>54</v>
      </c>
    </row>
    <row r="36620" spans="1:5" x14ac:dyDescent="0.25">
      <c r="A36620" t="str">
        <f>HYPERLINK("https://www.773grp.com/globalSearch/MC14538BDG/page-1", "MC14538BDG")</f>
        <v>MC14538BDG</v>
      </c>
      <c r="B36620" s="3" t="s">
        <v>95</v>
      </c>
      <c r="C36620" s="6">
        <v>2352</v>
      </c>
      <c r="D36620" s="7">
        <v>1.54</v>
      </c>
      <c r="E36620" t="s">
        <v>54</v>
      </c>
    </row>
    <row r="36621" spans="1:5" x14ac:dyDescent="0.25">
      <c r="A36621" t="str">
        <f>HYPERLINK("https://www.773grp.com/globalSearch/MC14538BDR2G/page-1", "MC14538BDR2G")</f>
        <v>MC14538BDR2G</v>
      </c>
      <c r="B36621" s="3" t="s">
        <v>95</v>
      </c>
      <c r="C36621" s="6">
        <v>58815</v>
      </c>
      <c r="D36621" s="7">
        <v>1.54</v>
      </c>
      <c r="E36621" t="s">
        <v>54</v>
      </c>
    </row>
    <row r="36622" spans="1:5" x14ac:dyDescent="0.25">
      <c r="A36622" t="str">
        <f>HYPERLINK("https://www.773grp.com/globalSearch/MC33072ADG/page-1", "MC33072ADG")</f>
        <v>MC33072ADG</v>
      </c>
      <c r="B36622" s="3" t="s">
        <v>95</v>
      </c>
      <c r="C36622" s="6">
        <v>11052</v>
      </c>
      <c r="D36622" s="7">
        <v>1.54</v>
      </c>
      <c r="E36622" t="s">
        <v>13</v>
      </c>
    </row>
    <row r="36623" spans="1:5" x14ac:dyDescent="0.25">
      <c r="A36623" t="str">
        <f>HYPERLINK("https://www.773grp.com/globalSearch/MC33072ADR2G/page-1", "MC33072ADR2G")</f>
        <v>MC33072ADR2G</v>
      </c>
      <c r="B36623" s="3" t="s">
        <v>95</v>
      </c>
      <c r="C36623" s="6">
        <v>16225</v>
      </c>
      <c r="D36623" s="7">
        <v>1.54</v>
      </c>
      <c r="E36623" t="s">
        <v>13</v>
      </c>
    </row>
    <row r="36624" spans="1:5" x14ac:dyDescent="0.25">
      <c r="A36624" t="str">
        <f>HYPERLINK("https://www.773grp.com/globalSearch/MC33172DR2G/page-1", "MC33172DR2G")</f>
        <v>MC33172DR2G</v>
      </c>
      <c r="B36624" s="3" t="s">
        <v>95</v>
      </c>
      <c r="C36624" s="6">
        <v>203652</v>
      </c>
      <c r="D36624" s="7">
        <v>1.54</v>
      </c>
      <c r="E36624" t="s">
        <v>13</v>
      </c>
    </row>
    <row r="36625" spans="1:5" x14ac:dyDescent="0.25">
      <c r="A36625" t="str">
        <f>HYPERLINK("https://www.773grp.com/globalSearch/MC33364D1/page-1", "MC33364D1")</f>
        <v>MC33364D1</v>
      </c>
      <c r="B36625" s="3" t="s">
        <v>95</v>
      </c>
      <c r="C36625" s="6">
        <v>2915</v>
      </c>
      <c r="D36625" s="7">
        <v>1.54</v>
      </c>
      <c r="E36625" t="s">
        <v>7</v>
      </c>
    </row>
    <row r="36626" spans="1:5" x14ac:dyDescent="0.25">
      <c r="A36626" t="str">
        <f>HYPERLINK("https://www.773grp.com/globalSearch/MC33364D2/page-1", "MC33364D2")</f>
        <v>MC33364D2</v>
      </c>
      <c r="B36626" s="3" t="s">
        <v>95</v>
      </c>
      <c r="C36626" s="6">
        <v>3596</v>
      </c>
      <c r="D36626" s="7">
        <v>1.54</v>
      </c>
      <c r="E36626" t="s">
        <v>7</v>
      </c>
    </row>
    <row r="36627" spans="1:5" x14ac:dyDescent="0.25">
      <c r="A36627" t="str">
        <f>HYPERLINK("https://www.773grp.com/globalSearch/MC33364D2R2/page-1", "MC33364D2R2")</f>
        <v>MC33364D2R2</v>
      </c>
      <c r="B36627" s="3" t="s">
        <v>95</v>
      </c>
      <c r="C36627" s="6">
        <v>2500</v>
      </c>
      <c r="D36627" s="7">
        <v>1.54</v>
      </c>
      <c r="E36627" t="s">
        <v>7</v>
      </c>
    </row>
    <row r="36628" spans="1:5" x14ac:dyDescent="0.25">
      <c r="A36628" t="str">
        <f>HYPERLINK("https://www.773grp.com/globalSearch/MC33364DR2/page-1", "MC33364DR2")</f>
        <v>MC33364DR2</v>
      </c>
      <c r="B36628" s="3" t="s">
        <v>95</v>
      </c>
      <c r="C36628" s="6">
        <v>2000</v>
      </c>
      <c r="D36628" s="7">
        <v>1.54</v>
      </c>
      <c r="E36628" t="s">
        <v>7</v>
      </c>
    </row>
    <row r="36629" spans="1:5" x14ac:dyDescent="0.25">
      <c r="A36629" t="str">
        <f>HYPERLINK("https://www.773grp.com/globalSearch/MC33375D-3.0G/page-1", "MC33375D-3.0G")</f>
        <v>MC33375D-3.0G</v>
      </c>
      <c r="B36629" s="3" t="s">
        <v>95</v>
      </c>
      <c r="C36629" s="6">
        <v>1813</v>
      </c>
      <c r="D36629" s="7">
        <v>1.54</v>
      </c>
      <c r="E36629" t="s">
        <v>19</v>
      </c>
    </row>
    <row r="36630" spans="1:5" x14ac:dyDescent="0.25">
      <c r="A36630" t="str">
        <f>HYPERLINK("https://www.773grp.com/globalSearch/MC34071DG/page-1", "MC34071DG")</f>
        <v>MC34071DG</v>
      </c>
      <c r="B36630" s="3" t="s">
        <v>95</v>
      </c>
      <c r="C36630" s="6">
        <v>3831</v>
      </c>
      <c r="D36630" s="7">
        <v>1.54</v>
      </c>
      <c r="E36630" t="s">
        <v>13</v>
      </c>
    </row>
    <row r="36631" spans="1:5" x14ac:dyDescent="0.25">
      <c r="A36631" t="str">
        <f>HYPERLINK("https://www.773grp.com/globalSearch/MC34071DR2G/page-1", "MC34071DR2G")</f>
        <v>MC34071DR2G</v>
      </c>
      <c r="B36631" s="3" t="s">
        <v>95</v>
      </c>
      <c r="C36631" s="6">
        <v>4185</v>
      </c>
      <c r="D36631" s="7">
        <v>1.54</v>
      </c>
      <c r="E36631" t="s">
        <v>13</v>
      </c>
    </row>
    <row r="36632" spans="1:5" x14ac:dyDescent="0.25">
      <c r="A36632" t="str">
        <f>HYPERLINK("https://www.773grp.com/globalSearch/MC34071PG/page-1", "MC34071PG")</f>
        <v>MC34071PG</v>
      </c>
      <c r="B36632" s="3" t="s">
        <v>95</v>
      </c>
      <c r="C36632" s="6">
        <v>50</v>
      </c>
      <c r="D36632" s="7">
        <v>1.54</v>
      </c>
      <c r="E36632" t="s">
        <v>13</v>
      </c>
    </row>
    <row r="36633" spans="1:5" x14ac:dyDescent="0.25">
      <c r="A36633" t="str">
        <f>HYPERLINK("https://www.773grp.com/globalSearch/MC34072DG/page-1", "MC34072DG")</f>
        <v>MC34072DG</v>
      </c>
      <c r="B36633" s="3" t="s">
        <v>95</v>
      </c>
      <c r="C36633" s="6">
        <v>5268</v>
      </c>
      <c r="D36633" s="7">
        <v>1.54</v>
      </c>
      <c r="E36633" t="s">
        <v>13</v>
      </c>
    </row>
    <row r="36634" spans="1:5" x14ac:dyDescent="0.25">
      <c r="A36634" t="str">
        <f>HYPERLINK("https://www.773grp.com/globalSearch/MC74AC541MELG/page-1", "MC74AC541MELG")</f>
        <v>MC74AC541MELG</v>
      </c>
      <c r="B36634" s="3" t="s">
        <v>95</v>
      </c>
      <c r="C36634" s="6">
        <v>10000</v>
      </c>
      <c r="D36634" s="7">
        <v>1.54</v>
      </c>
      <c r="E36634" t="s">
        <v>14</v>
      </c>
    </row>
    <row r="36635" spans="1:5" x14ac:dyDescent="0.25">
      <c r="A36635" t="str">
        <f>HYPERLINK("https://www.773grp.com/globalSearch/MC74AC541MG/page-1", "MC74AC541MG")</f>
        <v>MC74AC541MG</v>
      </c>
      <c r="B36635" s="3" t="s">
        <v>95</v>
      </c>
      <c r="C36635" s="6">
        <v>7000</v>
      </c>
      <c r="D36635" s="7">
        <v>1.54</v>
      </c>
    </row>
    <row r="36636" spans="1:5" x14ac:dyDescent="0.25">
      <c r="A36636" t="str">
        <f>HYPERLINK("https://www.773grp.com/globalSearch/MC74ACT541MELG/page-1", "MC74ACT541MELG")</f>
        <v>MC74ACT541MELG</v>
      </c>
      <c r="B36636" s="3" t="s">
        <v>95</v>
      </c>
      <c r="C36636" s="6">
        <v>5101</v>
      </c>
      <c r="D36636" s="7">
        <v>1.54</v>
      </c>
      <c r="E36636" t="s">
        <v>14</v>
      </c>
    </row>
    <row r="36637" spans="1:5" x14ac:dyDescent="0.25">
      <c r="A36637" t="str">
        <f>HYPERLINK("https://www.773grp.com/globalSearch/MC74ACT541MG/page-1", "MC74ACT541MG")</f>
        <v>MC74ACT541MG</v>
      </c>
      <c r="B36637" s="3" t="s">
        <v>95</v>
      </c>
      <c r="C36637" s="6">
        <v>2560</v>
      </c>
      <c r="D36637" s="7">
        <v>1.54</v>
      </c>
      <c r="E36637" t="s">
        <v>14</v>
      </c>
    </row>
    <row r="36638" spans="1:5" x14ac:dyDescent="0.25">
      <c r="A36638" t="str">
        <f>HYPERLINK("https://www.773grp.com/globalSearch/MC74HC240AFELG/page-1", "MC74HC240AFELG")</f>
        <v>MC74HC240AFELG</v>
      </c>
      <c r="B36638" s="3" t="s">
        <v>95</v>
      </c>
      <c r="C36638" s="6">
        <v>65214</v>
      </c>
      <c r="D36638" s="7">
        <v>1.54</v>
      </c>
      <c r="E36638" t="s">
        <v>14</v>
      </c>
    </row>
    <row r="36639" spans="1:5" x14ac:dyDescent="0.25">
      <c r="A36639" t="str">
        <f>HYPERLINK("https://www.773grp.com/globalSearch/MC74HC240AFG/page-1", "MC74HC240AFG")</f>
        <v>MC74HC240AFG</v>
      </c>
      <c r="B36639" s="3" t="s">
        <v>95</v>
      </c>
      <c r="C36639" s="6">
        <v>6902</v>
      </c>
      <c r="D36639" s="7">
        <v>1.54</v>
      </c>
      <c r="E36639" t="s">
        <v>14</v>
      </c>
    </row>
    <row r="36640" spans="1:5" x14ac:dyDescent="0.25">
      <c r="A36640" t="str">
        <f>HYPERLINK("https://www.773grp.com/globalSearch/MC74HC244AFELG/page-1", "MC74HC244AFELG")</f>
        <v>MC74HC244AFELG</v>
      </c>
      <c r="B36640" s="3" t="s">
        <v>95</v>
      </c>
      <c r="C36640" s="6">
        <v>2909</v>
      </c>
      <c r="D36640" s="7">
        <v>1.54</v>
      </c>
      <c r="E36640" t="s">
        <v>14</v>
      </c>
    </row>
    <row r="36641" spans="1:5" x14ac:dyDescent="0.25">
      <c r="A36641" t="str">
        <f>HYPERLINK("https://www.773grp.com/globalSearch/MC74HC244AFG/page-1", "MC74HC244AFG")</f>
        <v>MC74HC244AFG</v>
      </c>
      <c r="B36641" s="3" t="s">
        <v>95</v>
      </c>
      <c r="C36641" s="6">
        <v>474</v>
      </c>
      <c r="D36641" s="7">
        <v>1.54</v>
      </c>
      <c r="E36641" t="s">
        <v>14</v>
      </c>
    </row>
    <row r="36642" spans="1:5" x14ac:dyDescent="0.25">
      <c r="A36642" t="str">
        <f>HYPERLINK("https://www.773grp.com/globalSearch/MC74HC245AFG/page-1", "MC74HC245AFG")</f>
        <v>MC74HC245AFG</v>
      </c>
      <c r="B36642" s="3" t="s">
        <v>95</v>
      </c>
      <c r="C36642" s="6">
        <v>5225</v>
      </c>
      <c r="D36642" s="7">
        <v>1.54</v>
      </c>
      <c r="E36642" t="s">
        <v>14</v>
      </c>
    </row>
    <row r="36643" spans="1:5" x14ac:dyDescent="0.25">
      <c r="A36643" t="str">
        <f>HYPERLINK("https://www.773grp.com/globalSearch/MC74HC273AFG/page-1", "MC74HC273AFG")</f>
        <v>MC74HC273AFG</v>
      </c>
      <c r="B36643" s="3" t="s">
        <v>95</v>
      </c>
      <c r="C36643" s="6">
        <v>6902</v>
      </c>
      <c r="D36643" s="7">
        <v>1.54</v>
      </c>
      <c r="E36643" t="s">
        <v>35</v>
      </c>
    </row>
    <row r="36644" spans="1:5" x14ac:dyDescent="0.25">
      <c r="A36644" t="str">
        <f>HYPERLINK("https://www.773grp.com/globalSearch/MC74HC299DW/page-1", "MC74HC299DW")</f>
        <v>MC74HC299DW</v>
      </c>
      <c r="B36644" s="3" t="s">
        <v>95</v>
      </c>
      <c r="C36644" s="6">
        <v>38</v>
      </c>
      <c r="D36644" s="7">
        <v>1.54</v>
      </c>
      <c r="E36644" t="s">
        <v>32</v>
      </c>
    </row>
    <row r="36645" spans="1:5" x14ac:dyDescent="0.25">
      <c r="A36645" t="str">
        <f>HYPERLINK("https://www.773grp.com/globalSearch/MC74HC299F/page-1", "MC74HC299F")</f>
        <v>MC74HC299F</v>
      </c>
      <c r="B36645" s="3" t="s">
        <v>95</v>
      </c>
      <c r="C36645" s="6">
        <v>4496</v>
      </c>
      <c r="D36645" s="7">
        <v>1.54</v>
      </c>
    </row>
    <row r="36646" spans="1:5" x14ac:dyDescent="0.25">
      <c r="A36646" t="str">
        <f>HYPERLINK("https://www.773grp.com/globalSearch/MC74HC299N/page-1", "MC74HC299N")</f>
        <v>MC74HC299N</v>
      </c>
      <c r="B36646" s="3" t="s">
        <v>95</v>
      </c>
      <c r="C36646" s="6">
        <v>87</v>
      </c>
      <c r="D36646" s="7">
        <v>1.54</v>
      </c>
      <c r="E36646" t="s">
        <v>32</v>
      </c>
    </row>
    <row r="36647" spans="1:5" x14ac:dyDescent="0.25">
      <c r="A36647" t="str">
        <f>HYPERLINK("https://www.773grp.com/globalSearch/MC74HC373AFG/page-1", "MC74HC373AFG")</f>
        <v>MC74HC373AFG</v>
      </c>
      <c r="B36647" s="3" t="s">
        <v>95</v>
      </c>
      <c r="C36647" s="6">
        <v>1180</v>
      </c>
      <c r="D36647" s="7">
        <v>1.54</v>
      </c>
      <c r="E36647" t="s">
        <v>14</v>
      </c>
    </row>
    <row r="36648" spans="1:5" x14ac:dyDescent="0.25">
      <c r="A36648" t="str">
        <f>HYPERLINK("https://www.773grp.com/globalSearch/MC74HC374AFG/page-1", "MC74HC374AFG")</f>
        <v>MC74HC374AFG</v>
      </c>
      <c r="B36648" s="3" t="s">
        <v>95</v>
      </c>
      <c r="C36648" s="6">
        <v>3620</v>
      </c>
      <c r="D36648" s="7">
        <v>1.54</v>
      </c>
      <c r="E36648" t="s">
        <v>14</v>
      </c>
    </row>
    <row r="36649" spans="1:5" x14ac:dyDescent="0.25">
      <c r="A36649" t="str">
        <f>HYPERLINK("https://www.773grp.com/globalSearch/MC74HC564ADW/page-1", "MC74HC564ADW")</f>
        <v>MC74HC564ADW</v>
      </c>
      <c r="B36649" s="3" t="s">
        <v>95</v>
      </c>
      <c r="C36649" s="6">
        <v>1845</v>
      </c>
      <c r="D36649" s="7">
        <v>1.54</v>
      </c>
      <c r="E36649" t="s">
        <v>14</v>
      </c>
    </row>
    <row r="36650" spans="1:5" x14ac:dyDescent="0.25">
      <c r="A36650" t="str">
        <f>HYPERLINK("https://www.773grp.com/globalSearch/MC74HC564AF/page-1", "MC74HC564AF")</f>
        <v>MC74HC564AF</v>
      </c>
      <c r="B36650" s="3" t="s">
        <v>95</v>
      </c>
      <c r="C36650" s="6">
        <v>2123</v>
      </c>
      <c r="D36650" s="7">
        <v>1.54</v>
      </c>
    </row>
    <row r="36651" spans="1:5" x14ac:dyDescent="0.25">
      <c r="A36651" t="str">
        <f>HYPERLINK("https://www.773grp.com/globalSearch/MC74HC564AFL2/page-1", "MC74HC564AFL2")</f>
        <v>MC74HC564AFL2</v>
      </c>
      <c r="B36651" s="3" t="s">
        <v>95</v>
      </c>
      <c r="C36651" s="6">
        <v>2000</v>
      </c>
      <c r="D36651" s="7">
        <v>1.54</v>
      </c>
    </row>
    <row r="36652" spans="1:5" x14ac:dyDescent="0.25">
      <c r="A36652" t="str">
        <f>HYPERLINK("https://www.773grp.com/globalSearch/MC74HC564AN/page-1", "MC74HC564AN")</f>
        <v>MC74HC564AN</v>
      </c>
      <c r="B36652" s="3" t="s">
        <v>95</v>
      </c>
      <c r="C36652" s="6">
        <v>144</v>
      </c>
      <c r="D36652" s="7">
        <v>1.54</v>
      </c>
      <c r="E36652" t="s">
        <v>14</v>
      </c>
    </row>
    <row r="36653" spans="1:5" x14ac:dyDescent="0.25">
      <c r="A36653" t="str">
        <f>HYPERLINK("https://www.773grp.com/globalSearch/MC74HC573AFELG/page-1", "MC74HC573AFELG")</f>
        <v>MC74HC573AFELG</v>
      </c>
      <c r="B36653" s="3" t="s">
        <v>95</v>
      </c>
      <c r="C36653" s="6">
        <v>109515</v>
      </c>
      <c r="D36653" s="7">
        <v>1.54</v>
      </c>
      <c r="E36653" t="s">
        <v>14</v>
      </c>
    </row>
    <row r="36654" spans="1:5" x14ac:dyDescent="0.25">
      <c r="A36654" t="str">
        <f>HYPERLINK("https://www.773grp.com/globalSearch/MC74HC574AFELG/page-1", "MC74HC574AFELG")</f>
        <v>MC74HC574AFELG</v>
      </c>
      <c r="B36654" s="3" t="s">
        <v>95</v>
      </c>
      <c r="C36654" s="6">
        <v>3754</v>
      </c>
      <c r="D36654" s="7">
        <v>1.54</v>
      </c>
      <c r="E36654" t="s">
        <v>14</v>
      </c>
    </row>
    <row r="36655" spans="1:5" x14ac:dyDescent="0.25">
      <c r="A36655" t="str">
        <f>HYPERLINK("https://www.773grp.com/globalSearch/MC74HC574AFG/page-1", "MC74HC574AFG")</f>
        <v>MC74HC574AFG</v>
      </c>
      <c r="B36655" s="3" t="s">
        <v>95</v>
      </c>
      <c r="C36655" s="6">
        <v>7830</v>
      </c>
      <c r="D36655" s="7">
        <v>1.54</v>
      </c>
      <c r="E36655" t="s">
        <v>14</v>
      </c>
    </row>
    <row r="36656" spans="1:5" x14ac:dyDescent="0.25">
      <c r="A36656" t="str">
        <f>HYPERLINK("https://www.773grp.com/globalSearch/MC74HCT244AFELG/page-1", "MC74HCT244AFELG")</f>
        <v>MC74HCT244AFELG</v>
      </c>
      <c r="B36656" s="3" t="s">
        <v>95</v>
      </c>
      <c r="C36656" s="6">
        <v>2000</v>
      </c>
      <c r="D36656" s="7">
        <v>1.54</v>
      </c>
      <c r="E36656" t="s">
        <v>14</v>
      </c>
    </row>
    <row r="36657" spans="1:5" x14ac:dyDescent="0.25">
      <c r="A36657" t="str">
        <f>HYPERLINK("https://www.773grp.com/globalSearch/MC74HCT244AFG/page-1", "MC74HCT244AFG")</f>
        <v>MC74HCT244AFG</v>
      </c>
      <c r="B36657" s="3" t="s">
        <v>95</v>
      </c>
      <c r="C36657" s="6">
        <v>7196</v>
      </c>
      <c r="D36657" s="7">
        <v>1.54</v>
      </c>
      <c r="E36657" t="s">
        <v>14</v>
      </c>
    </row>
    <row r="36658" spans="1:5" x14ac:dyDescent="0.25">
      <c r="A36658" t="str">
        <f>HYPERLINK("https://www.773grp.com/globalSearch/MC74HCT245AFELG/page-1", "MC74HCT245AFELG")</f>
        <v>MC74HCT245AFELG</v>
      </c>
      <c r="B36658" s="3" t="s">
        <v>95</v>
      </c>
      <c r="C36658" s="6">
        <v>3623</v>
      </c>
      <c r="D36658" s="7">
        <v>1.54</v>
      </c>
    </row>
    <row r="36659" spans="1:5" x14ac:dyDescent="0.25">
      <c r="A36659" t="str">
        <f>HYPERLINK("https://www.773grp.com/globalSearch/MC74HCT374AFELG/page-1", "MC74HCT374AFELG")</f>
        <v>MC74HCT374AFELG</v>
      </c>
      <c r="B36659" s="3" t="s">
        <v>95</v>
      </c>
      <c r="C36659" s="6">
        <v>1039</v>
      </c>
      <c r="D36659" s="7">
        <v>1.54</v>
      </c>
      <c r="E36659" t="s">
        <v>14</v>
      </c>
    </row>
    <row r="36660" spans="1:5" x14ac:dyDescent="0.25">
      <c r="A36660" t="str">
        <f>HYPERLINK("https://www.773grp.com/globalSearch/MC74HCT573AFELG/page-1", "MC74HCT573AFELG")</f>
        <v>MC74HCT573AFELG</v>
      </c>
      <c r="B36660" s="3" t="s">
        <v>95</v>
      </c>
      <c r="C36660" s="6">
        <v>665</v>
      </c>
      <c r="D36660" s="7">
        <v>1.54</v>
      </c>
    </row>
    <row r="36661" spans="1:5" x14ac:dyDescent="0.25">
      <c r="A36661" t="str">
        <f>HYPERLINK("https://www.773grp.com/globalSearch/MC74LCX244MELG/page-1", "MC74LCX244MELG")</f>
        <v>MC74LCX244MELG</v>
      </c>
      <c r="B36661" s="3" t="s">
        <v>95</v>
      </c>
      <c r="C36661" s="6">
        <v>37395</v>
      </c>
      <c r="D36661" s="7">
        <v>1.54</v>
      </c>
      <c r="E36661" t="s">
        <v>14</v>
      </c>
    </row>
    <row r="36662" spans="1:5" x14ac:dyDescent="0.25">
      <c r="A36662" t="str">
        <f>HYPERLINK("https://www.773grp.com/globalSearch/MC74LCX245MELG/page-1", "MC74LCX245MELG")</f>
        <v>MC74LCX245MELG</v>
      </c>
      <c r="B36662" s="3" t="s">
        <v>95</v>
      </c>
      <c r="C36662" s="6">
        <v>20076</v>
      </c>
      <c r="D36662" s="7">
        <v>1.54</v>
      </c>
      <c r="E36662" t="s">
        <v>14</v>
      </c>
    </row>
    <row r="36663" spans="1:5" x14ac:dyDescent="0.25">
      <c r="A36663" t="str">
        <f>HYPERLINK("https://www.773grp.com/globalSearch/MC74LCX245MG/page-1", "MC74LCX245MG")</f>
        <v>MC74LCX245MG</v>
      </c>
      <c r="B36663" s="3" t="s">
        <v>95</v>
      </c>
      <c r="C36663" s="6">
        <v>960</v>
      </c>
      <c r="D36663" s="7">
        <v>1.54</v>
      </c>
      <c r="E36663" t="s">
        <v>14</v>
      </c>
    </row>
    <row r="36664" spans="1:5" x14ac:dyDescent="0.25">
      <c r="A36664" t="str">
        <f>HYPERLINK("https://www.773grp.com/globalSearch/MC74LCX373MELG/page-1", "MC74LCX373MELG")</f>
        <v>MC74LCX373MELG</v>
      </c>
      <c r="B36664" s="3" t="s">
        <v>95</v>
      </c>
      <c r="C36664" s="6">
        <v>11700</v>
      </c>
      <c r="D36664" s="7">
        <v>1.54</v>
      </c>
      <c r="E36664" t="s">
        <v>14</v>
      </c>
    </row>
    <row r="36665" spans="1:5" x14ac:dyDescent="0.25">
      <c r="A36665" t="str">
        <f>HYPERLINK("https://www.773grp.com/globalSearch/MC74LCX374MELG/page-1", "MC74LCX374MELG")</f>
        <v>MC74LCX374MELG</v>
      </c>
      <c r="B36665" s="3" t="s">
        <v>95</v>
      </c>
      <c r="C36665" s="6">
        <v>25792</v>
      </c>
      <c r="D36665" s="7">
        <v>1.54</v>
      </c>
      <c r="E36665" t="s">
        <v>14</v>
      </c>
    </row>
    <row r="36666" spans="1:5" x14ac:dyDescent="0.25">
      <c r="A36666" t="str">
        <f>HYPERLINK("https://www.773grp.com/globalSearch/MC74LCX574MELG/page-1", "MC74LCX574MELG")</f>
        <v>MC74LCX574MELG</v>
      </c>
      <c r="B36666" s="3" t="s">
        <v>95</v>
      </c>
      <c r="C36666" s="6">
        <v>25575</v>
      </c>
      <c r="D36666" s="7">
        <v>1.54</v>
      </c>
      <c r="E36666" t="s">
        <v>14</v>
      </c>
    </row>
    <row r="36667" spans="1:5" x14ac:dyDescent="0.25">
      <c r="A36667" t="str">
        <f>HYPERLINK("https://www.773grp.com/globalSearch/MG2040MUTAG/page-1", "MG2040MUTAG")</f>
        <v>MG2040MUTAG</v>
      </c>
      <c r="B36667" s="3" t="s">
        <v>95</v>
      </c>
      <c r="C36667" s="6">
        <v>9000</v>
      </c>
      <c r="D36667" s="7">
        <v>1.54</v>
      </c>
    </row>
    <row r="36668" spans="1:5" x14ac:dyDescent="0.25">
      <c r="A36668" t="str">
        <f>HYPERLINK("https://www.773grp.com/globalSearch/MJE270G/page-1", "MJE270G")</f>
        <v>MJE270G</v>
      </c>
      <c r="B36668" s="3" t="s">
        <v>95</v>
      </c>
      <c r="C36668" s="6">
        <v>10250</v>
      </c>
      <c r="D36668" s="7">
        <v>1.54</v>
      </c>
      <c r="E36668" t="s">
        <v>59</v>
      </c>
    </row>
    <row r="36669" spans="1:5" x14ac:dyDescent="0.25">
      <c r="A36669" t="str">
        <f>HYPERLINK("https://www.773grp.com/globalSearch/MMDF6N02HDR2/page-1", "MMDF6N02HDR2")</f>
        <v>MMDF6N02HDR2</v>
      </c>
      <c r="B36669" s="3" t="s">
        <v>95</v>
      </c>
      <c r="C36669" s="6">
        <v>14945</v>
      </c>
      <c r="D36669" s="7">
        <v>1.54</v>
      </c>
      <c r="E36669" t="s">
        <v>106</v>
      </c>
    </row>
    <row r="36670" spans="1:5" x14ac:dyDescent="0.25">
      <c r="A36670" t="str">
        <f>HYPERLINK("https://www.773grp.com/globalSearch/MMSF10N03ZR2/page-1", "MMSF10N03ZR2")</f>
        <v>MMSF10N03ZR2</v>
      </c>
      <c r="B36670" s="3" t="s">
        <v>95</v>
      </c>
      <c r="C36670" s="6">
        <v>5664</v>
      </c>
      <c r="D36670" s="7">
        <v>1.54</v>
      </c>
      <c r="E36670" t="s">
        <v>106</v>
      </c>
    </row>
    <row r="36671" spans="1:5" x14ac:dyDescent="0.25">
      <c r="A36671" t="str">
        <f>HYPERLINK("https://www.773grp.com/globalSearch/MTD20P06HDL/page-1", "MTD20P06HDL")</f>
        <v>MTD20P06HDL</v>
      </c>
      <c r="B36671" s="3" t="s">
        <v>95</v>
      </c>
      <c r="C36671" s="6">
        <v>1</v>
      </c>
      <c r="D36671" s="7">
        <v>1.54</v>
      </c>
      <c r="E36671" t="s">
        <v>105</v>
      </c>
    </row>
    <row r="36672" spans="1:5" x14ac:dyDescent="0.25">
      <c r="A36672" t="str">
        <f>HYPERLINK("https://www.773grp.com/globalSearch/NCP1015AP065G/page-1", "NCP1015AP065G")</f>
        <v>NCP1015AP065G</v>
      </c>
      <c r="B36672" s="3" t="s">
        <v>95</v>
      </c>
      <c r="C36672" s="6">
        <v>12009</v>
      </c>
      <c r="D36672" s="7">
        <v>1.54</v>
      </c>
      <c r="E36672" t="s">
        <v>7</v>
      </c>
    </row>
    <row r="36673" spans="1:5" x14ac:dyDescent="0.25">
      <c r="A36673" t="str">
        <f>HYPERLINK("https://www.773grp.com/globalSearch/NCP1015AP100G/page-1", "NCP1015AP100G")</f>
        <v>NCP1015AP100G</v>
      </c>
      <c r="B36673" s="3" t="s">
        <v>95</v>
      </c>
      <c r="C36673" s="6">
        <v>188545</v>
      </c>
      <c r="D36673" s="7">
        <v>1.54</v>
      </c>
      <c r="E36673" t="s">
        <v>7</v>
      </c>
    </row>
    <row r="36674" spans="1:5" x14ac:dyDescent="0.25">
      <c r="A36674" t="str">
        <f>HYPERLINK("https://www.773grp.com/globalSearch/NCP1200AD60R2/page-1", "NCP1200AD60R2")</f>
        <v>NCP1200AD60R2</v>
      </c>
      <c r="B36674" s="3" t="s">
        <v>95</v>
      </c>
      <c r="C36674" s="6">
        <v>78560</v>
      </c>
      <c r="D36674" s="7">
        <v>1.54</v>
      </c>
      <c r="E36674" t="s">
        <v>7</v>
      </c>
    </row>
    <row r="36675" spans="1:5" x14ac:dyDescent="0.25">
      <c r="A36675" t="str">
        <f>HYPERLINK("https://www.773grp.com/globalSearch/NCP1207AP/page-1", "NCP1207AP")</f>
        <v>NCP1207AP</v>
      </c>
      <c r="B36675" s="3" t="s">
        <v>95</v>
      </c>
      <c r="C36675" s="6">
        <v>505</v>
      </c>
      <c r="D36675" s="7">
        <v>1.54</v>
      </c>
      <c r="E36675" t="s">
        <v>7</v>
      </c>
    </row>
    <row r="36676" spans="1:5" x14ac:dyDescent="0.25">
      <c r="A36676" t="str">
        <f>HYPERLINK("https://www.773grp.com/globalSearch/NCP1207P/page-1", "NCP1207P")</f>
        <v>NCP1207P</v>
      </c>
      <c r="B36676" s="3" t="s">
        <v>95</v>
      </c>
      <c r="C36676" s="6">
        <v>67375</v>
      </c>
      <c r="D36676" s="7">
        <v>1.54</v>
      </c>
      <c r="E36676" t="s">
        <v>7</v>
      </c>
    </row>
    <row r="36677" spans="1:5" x14ac:dyDescent="0.25">
      <c r="A36677" t="str">
        <f>HYPERLINK("https://www.773grp.com/globalSearch/NCP1216AP100/page-1", "NCP1216AP100")</f>
        <v>NCP1216AP100</v>
      </c>
      <c r="B36677" s="3" t="s">
        <v>95</v>
      </c>
      <c r="C36677" s="6">
        <v>3000</v>
      </c>
      <c r="D36677" s="7">
        <v>1.54</v>
      </c>
      <c r="E36677" t="s">
        <v>7</v>
      </c>
    </row>
    <row r="36678" spans="1:5" x14ac:dyDescent="0.25">
      <c r="A36678" t="str">
        <f>HYPERLINK("https://www.773grp.com/globalSearch/NCP1216AP133/page-1", "NCP1216AP133")</f>
        <v>NCP1216AP133</v>
      </c>
      <c r="B36678" s="3" t="s">
        <v>95</v>
      </c>
      <c r="C36678" s="6">
        <v>3000</v>
      </c>
      <c r="D36678" s="7">
        <v>1.54</v>
      </c>
      <c r="E36678" t="s">
        <v>7</v>
      </c>
    </row>
    <row r="36679" spans="1:5" x14ac:dyDescent="0.25">
      <c r="A36679" t="str">
        <f>HYPERLINK("https://www.773grp.com/globalSearch/NCP1216P133/page-1", "NCP1216P133")</f>
        <v>NCP1216P133</v>
      </c>
      <c r="B36679" s="3" t="s">
        <v>95</v>
      </c>
      <c r="C36679" s="6">
        <v>20057</v>
      </c>
      <c r="D36679" s="7">
        <v>1.54</v>
      </c>
      <c r="E36679" t="s">
        <v>7</v>
      </c>
    </row>
    <row r="36680" spans="1:5" x14ac:dyDescent="0.25">
      <c r="A36680" t="str">
        <f>HYPERLINK("https://www.773grp.com/globalSearch/NCP1216P65/page-1", "NCP1216P65")</f>
        <v>NCP1216P65</v>
      </c>
      <c r="B36680" s="3" t="s">
        <v>95</v>
      </c>
      <c r="C36680" s="6">
        <v>1000</v>
      </c>
      <c r="D36680" s="7">
        <v>1.54</v>
      </c>
      <c r="E36680" t="s">
        <v>7</v>
      </c>
    </row>
    <row r="36681" spans="1:5" x14ac:dyDescent="0.25">
      <c r="A36681" t="str">
        <f>HYPERLINK("https://www.773grp.com/globalSearch/NCP1217AP100/page-1", "NCP1217AP100")</f>
        <v>NCP1217AP100</v>
      </c>
      <c r="B36681" s="3" t="s">
        <v>95</v>
      </c>
      <c r="C36681" s="6">
        <v>2000</v>
      </c>
      <c r="D36681" s="7">
        <v>1.54</v>
      </c>
      <c r="E36681" t="s">
        <v>7</v>
      </c>
    </row>
    <row r="36682" spans="1:5" x14ac:dyDescent="0.25">
      <c r="A36682" t="str">
        <f>HYPERLINK("https://www.773grp.com/globalSearch/NCP1217AP133/page-1", "NCP1217AP133")</f>
        <v>NCP1217AP133</v>
      </c>
      <c r="B36682" s="3" t="s">
        <v>95</v>
      </c>
      <c r="C36682" s="6">
        <v>2880</v>
      </c>
      <c r="D36682" s="7">
        <v>1.54</v>
      </c>
      <c r="E36682" t="s">
        <v>7</v>
      </c>
    </row>
    <row r="36683" spans="1:5" x14ac:dyDescent="0.25">
      <c r="A36683" t="str">
        <f>HYPERLINK("https://www.773grp.com/globalSearch/NCP1217AP65/page-1", "NCP1217AP65")</f>
        <v>NCP1217AP65</v>
      </c>
      <c r="B36683" s="3" t="s">
        <v>95</v>
      </c>
      <c r="C36683" s="6">
        <v>4450</v>
      </c>
      <c r="D36683" s="7">
        <v>1.54</v>
      </c>
      <c r="E36683" t="s">
        <v>7</v>
      </c>
    </row>
    <row r="36684" spans="1:5" x14ac:dyDescent="0.25">
      <c r="A36684" t="str">
        <f>HYPERLINK("https://www.773grp.com/globalSearch/NCP1217P100/page-1", "NCP1217P100")</f>
        <v>NCP1217P100</v>
      </c>
      <c r="B36684" s="3" t="s">
        <v>95</v>
      </c>
      <c r="C36684" s="6">
        <v>4000</v>
      </c>
      <c r="D36684" s="7">
        <v>1.54</v>
      </c>
      <c r="E36684" t="s">
        <v>7</v>
      </c>
    </row>
    <row r="36685" spans="1:5" x14ac:dyDescent="0.25">
      <c r="A36685" t="str">
        <f>HYPERLINK("https://www.773grp.com/globalSearch/NCP1217P133/page-1", "NCP1217P133")</f>
        <v>NCP1217P133</v>
      </c>
      <c r="B36685" s="3" t="s">
        <v>95</v>
      </c>
      <c r="C36685" s="6">
        <v>4982</v>
      </c>
      <c r="D36685" s="7">
        <v>1.54</v>
      </c>
      <c r="E36685" t="s">
        <v>7</v>
      </c>
    </row>
    <row r="36686" spans="1:5" x14ac:dyDescent="0.25">
      <c r="A36686" t="str">
        <f>HYPERLINK("https://www.773grp.com/globalSearch/NCP1217P65/page-1", "NCP1217P65")</f>
        <v>NCP1217P65</v>
      </c>
      <c r="B36686" s="3" t="s">
        <v>95</v>
      </c>
      <c r="C36686" s="6">
        <v>10000</v>
      </c>
      <c r="D36686" s="7">
        <v>1.54</v>
      </c>
      <c r="E36686" t="s">
        <v>7</v>
      </c>
    </row>
    <row r="36687" spans="1:5" x14ac:dyDescent="0.25">
      <c r="A36687" t="str">
        <f>HYPERLINK("https://www.773grp.com/globalSearch/NCP1378P/page-1", "NCP1378P")</f>
        <v>NCP1378P</v>
      </c>
      <c r="B36687" s="3" t="s">
        <v>95</v>
      </c>
      <c r="C36687" s="6">
        <v>465</v>
      </c>
      <c r="D36687" s="7">
        <v>1.54</v>
      </c>
      <c r="E36687" t="s">
        <v>7</v>
      </c>
    </row>
    <row r="36688" spans="1:5" x14ac:dyDescent="0.25">
      <c r="A36688" t="str">
        <f>HYPERLINK("https://www.773grp.com/globalSearch/NCP1601ADR2/page-1", "NCP1601ADR2")</f>
        <v>NCP1601ADR2</v>
      </c>
      <c r="B36688" s="3" t="s">
        <v>95</v>
      </c>
      <c r="C36688" s="6">
        <v>2500</v>
      </c>
      <c r="D36688" s="7">
        <v>1.54</v>
      </c>
      <c r="E36688" t="s">
        <v>7</v>
      </c>
    </row>
    <row r="36689" spans="1:5" x14ac:dyDescent="0.25">
      <c r="A36689" t="str">
        <f>HYPERLINK("https://www.773grp.com/globalSearch/NCP1601BDR2/page-1", "NCP1601BDR2")</f>
        <v>NCP1601BDR2</v>
      </c>
      <c r="B36689" s="3" t="s">
        <v>95</v>
      </c>
      <c r="C36689" s="6">
        <v>2500</v>
      </c>
      <c r="D36689" s="7">
        <v>1.54</v>
      </c>
      <c r="E36689" t="s">
        <v>7</v>
      </c>
    </row>
    <row r="36690" spans="1:5" x14ac:dyDescent="0.25">
      <c r="A36690" t="str">
        <f>HYPERLINK("https://www.773grp.com/globalSearch/NCP2811BDTBR2G/page-1", "NCP2811BDTBR2G")</f>
        <v>NCP2811BDTBR2G</v>
      </c>
      <c r="B36690" s="3" t="s">
        <v>95</v>
      </c>
      <c r="C36690" s="6">
        <v>24415</v>
      </c>
      <c r="D36690" s="7">
        <v>1.54</v>
      </c>
      <c r="E36690" t="s">
        <v>18</v>
      </c>
    </row>
    <row r="36691" spans="1:5" x14ac:dyDescent="0.25">
      <c r="A36691" t="str">
        <f>HYPERLINK("https://www.773grp.com/globalSearch/NCP3004LSQ43T1/page-1", "NCP3004LSQ43T1")</f>
        <v>NCP3004LSQ43T1</v>
      </c>
      <c r="B36691" s="3" t="s">
        <v>95</v>
      </c>
      <c r="C36691" s="6">
        <v>15000</v>
      </c>
      <c r="D36691" s="7">
        <v>1.54</v>
      </c>
    </row>
    <row r="36692" spans="1:5" x14ac:dyDescent="0.25">
      <c r="A36692" t="str">
        <f>HYPERLINK("https://www.773grp.com/globalSearch/NCP300LSN44T1/page-1", "NCP300LSN44T1")</f>
        <v>NCP300LSN44T1</v>
      </c>
      <c r="B36692" s="3" t="s">
        <v>95</v>
      </c>
      <c r="C36692" s="6">
        <v>17639</v>
      </c>
      <c r="D36692" s="7">
        <v>1.54</v>
      </c>
      <c r="E36692" t="s">
        <v>30</v>
      </c>
    </row>
    <row r="36693" spans="1:5" x14ac:dyDescent="0.25">
      <c r="A36693" t="str">
        <f>HYPERLINK("https://www.773grp.com/globalSearch/NCP301LSN27T/page-1", "NCP301LSN27T")</f>
        <v>NCP301LSN27T</v>
      </c>
      <c r="B36693" s="3" t="s">
        <v>95</v>
      </c>
      <c r="C36693" s="6">
        <v>2852</v>
      </c>
      <c r="D36693" s="7">
        <v>1.54</v>
      </c>
    </row>
    <row r="36694" spans="1:5" x14ac:dyDescent="0.25">
      <c r="A36694" t="str">
        <f>HYPERLINK("https://www.773grp.com/globalSearch/NCP301LSN30T1/page-1", "NCP301LSN30T1")</f>
        <v>NCP301LSN30T1</v>
      </c>
      <c r="B36694" s="3" t="s">
        <v>95</v>
      </c>
      <c r="C36694" s="6">
        <v>18000</v>
      </c>
      <c r="D36694" s="7">
        <v>1.54</v>
      </c>
      <c r="E36694" t="s">
        <v>30</v>
      </c>
    </row>
    <row r="36695" spans="1:5" x14ac:dyDescent="0.25">
      <c r="A36695" t="str">
        <f>HYPERLINK("https://www.773grp.com/globalSearch/NCP301LSN45T1/page-1", "NCP301LSN45T1")</f>
        <v>NCP301LSN45T1</v>
      </c>
      <c r="B36695" s="3" t="s">
        <v>95</v>
      </c>
      <c r="C36695" s="6">
        <v>2630</v>
      </c>
      <c r="D36695" s="7">
        <v>1.54</v>
      </c>
      <c r="E36695" t="s">
        <v>30</v>
      </c>
    </row>
    <row r="36696" spans="1:5" x14ac:dyDescent="0.25">
      <c r="A36696" t="str">
        <f>HYPERLINK("https://www.773grp.com/globalSearch/NCP303LSN31T1/page-1", "NCP303LSN31T1")</f>
        <v>NCP303LSN31T1</v>
      </c>
      <c r="B36696" s="3" t="s">
        <v>95</v>
      </c>
      <c r="C36696" s="6">
        <v>2720</v>
      </c>
      <c r="D36696" s="7">
        <v>1.54</v>
      </c>
      <c r="E36696" t="s">
        <v>30</v>
      </c>
    </row>
    <row r="36697" spans="1:5" x14ac:dyDescent="0.25">
      <c r="A36697" t="str">
        <f>HYPERLINK("https://www.773grp.com/globalSearch/NCP5358MNTXG/page-1", "NCP5358MNTXG")</f>
        <v>NCP5358MNTXG</v>
      </c>
      <c r="B36697" s="3" t="s">
        <v>95</v>
      </c>
      <c r="C36697" s="6">
        <v>76878</v>
      </c>
      <c r="D36697" s="7">
        <v>1.54</v>
      </c>
    </row>
    <row r="36698" spans="1:5" x14ac:dyDescent="0.25">
      <c r="A36698" t="str">
        <f>HYPERLINK("https://www.773grp.com/globalSearch/NCP700BMT18TBG/page-1", "NCP700BMT18TBG")</f>
        <v>NCP700BMT18TBG</v>
      </c>
      <c r="B36698" s="3" t="s">
        <v>95</v>
      </c>
      <c r="C36698" s="6">
        <v>39216</v>
      </c>
      <c r="D36698" s="7">
        <v>1.54</v>
      </c>
    </row>
    <row r="36699" spans="1:5" x14ac:dyDescent="0.25">
      <c r="A36699" t="str">
        <f>HYPERLINK("https://www.773grp.com/globalSearch/NCP700BMT28TBG/page-1", "NCP700BMT28TBG")</f>
        <v>NCP700BMT28TBG</v>
      </c>
      <c r="B36699" s="3" t="s">
        <v>95</v>
      </c>
      <c r="C36699" s="6">
        <v>45000</v>
      </c>
      <c r="D36699" s="7">
        <v>1.54</v>
      </c>
    </row>
    <row r="36700" spans="1:5" x14ac:dyDescent="0.25">
      <c r="A36700" t="str">
        <f>HYPERLINK("https://www.773grp.com/globalSearch/NCP700BMT30TBG/page-1", "NCP700BMT30TBG")</f>
        <v>NCP700BMT30TBG</v>
      </c>
      <c r="B36700" s="3" t="s">
        <v>95</v>
      </c>
      <c r="C36700" s="6">
        <v>21000</v>
      </c>
      <c r="D36700" s="7">
        <v>1.54</v>
      </c>
    </row>
    <row r="36701" spans="1:5" x14ac:dyDescent="0.25">
      <c r="A36701" t="str">
        <f>HYPERLINK("https://www.773grp.com/globalSearch/NCP700BMT33TBG/page-1", "NCP700BMT33TBG")</f>
        <v>NCP700BMT33TBG</v>
      </c>
      <c r="B36701" s="3" t="s">
        <v>95</v>
      </c>
      <c r="C36701" s="6">
        <v>6246</v>
      </c>
      <c r="D36701" s="7">
        <v>1.54</v>
      </c>
    </row>
    <row r="36702" spans="1:5" x14ac:dyDescent="0.25">
      <c r="A36702" t="str">
        <f>HYPERLINK("https://www.773grp.com/globalSearch/NCP700MN180R2G/page-1", "NCP700MN180R2G")</f>
        <v>NCP700MN180R2G</v>
      </c>
      <c r="B36702" s="3" t="s">
        <v>95</v>
      </c>
      <c r="C36702" s="6">
        <v>63489</v>
      </c>
      <c r="D36702" s="7">
        <v>1.54</v>
      </c>
      <c r="E36702" t="s">
        <v>19</v>
      </c>
    </row>
    <row r="36703" spans="1:5" x14ac:dyDescent="0.25">
      <c r="A36703" t="str">
        <f>HYPERLINK("https://www.773grp.com/globalSearch/NCP700MN250R2G/page-1", "NCP700MN250R2G")</f>
        <v>NCP700MN250R2G</v>
      </c>
      <c r="B36703" s="3" t="s">
        <v>95</v>
      </c>
      <c r="C36703" s="6">
        <v>3240</v>
      </c>
      <c r="D36703" s="7">
        <v>1.54</v>
      </c>
      <c r="E36703" t="s">
        <v>19</v>
      </c>
    </row>
    <row r="36704" spans="1:5" x14ac:dyDescent="0.25">
      <c r="A36704" t="str">
        <f>HYPERLINK("https://www.773grp.com/globalSearch/NCP700MN275R2G/page-1", "NCP700MN275R2G")</f>
        <v>NCP700MN275R2G</v>
      </c>
      <c r="B36704" s="3" t="s">
        <v>95</v>
      </c>
      <c r="C36704" s="6">
        <v>9000</v>
      </c>
      <c r="D36704" s="7">
        <v>1.54</v>
      </c>
      <c r="E36704" t="s">
        <v>19</v>
      </c>
    </row>
    <row r="36705" spans="1:5" x14ac:dyDescent="0.25">
      <c r="A36705" t="str">
        <f>HYPERLINK("https://www.773grp.com/globalSearch/NCP700MN280R2G/page-1", "NCP700MN280R2G")</f>
        <v>NCP700MN280R2G</v>
      </c>
      <c r="B36705" s="3" t="s">
        <v>95</v>
      </c>
      <c r="C36705" s="6">
        <v>6378</v>
      </c>
      <c r="D36705" s="7">
        <v>1.54</v>
      </c>
      <c r="E36705" t="s">
        <v>19</v>
      </c>
    </row>
    <row r="36706" spans="1:5" x14ac:dyDescent="0.25">
      <c r="A36706" t="str">
        <f>HYPERLINK("https://www.773grp.com/globalSearch/NCP700MN300R2G/page-1", "NCP700MN300R2G")</f>
        <v>NCP700MN300R2G</v>
      </c>
      <c r="B36706" s="3" t="s">
        <v>95</v>
      </c>
      <c r="C36706" s="6">
        <v>260249</v>
      </c>
      <c r="D36706" s="7">
        <v>1.54</v>
      </c>
      <c r="E36706" t="s">
        <v>19</v>
      </c>
    </row>
    <row r="36707" spans="1:5" x14ac:dyDescent="0.25">
      <c r="A36707" t="str">
        <f>HYPERLINK("https://www.773grp.com/globalSearch/NCP700MN330R2G/page-1", "NCP700MN330R2G")</f>
        <v>NCP700MN330R2G</v>
      </c>
      <c r="B36707" s="3" t="s">
        <v>95</v>
      </c>
      <c r="C36707" s="6">
        <v>364</v>
      </c>
      <c r="D36707" s="7">
        <v>1.54</v>
      </c>
      <c r="E36707" t="s">
        <v>19</v>
      </c>
    </row>
    <row r="36708" spans="1:5" x14ac:dyDescent="0.25">
      <c r="A36708" t="str">
        <f>HYPERLINK("https://www.773grp.com/globalSearch/NCV1117DT15RKG/page-1", "NCV1117DT15RKG")</f>
        <v>NCV1117DT15RKG</v>
      </c>
      <c r="B36708" s="3" t="s">
        <v>95</v>
      </c>
      <c r="C36708" s="6">
        <v>7500</v>
      </c>
      <c r="D36708" s="7">
        <v>1.54</v>
      </c>
      <c r="E36708" t="s">
        <v>19</v>
      </c>
    </row>
    <row r="36709" spans="1:5" x14ac:dyDescent="0.25">
      <c r="A36709" t="str">
        <f>HYPERLINK("https://www.773grp.com/globalSearch/NCV1117DT18RKG/page-1", "NCV1117DT18RKG")</f>
        <v>NCV1117DT18RKG</v>
      </c>
      <c r="B36709" s="3" t="s">
        <v>95</v>
      </c>
      <c r="C36709" s="6">
        <v>4000</v>
      </c>
      <c r="D36709" s="7">
        <v>1.54</v>
      </c>
    </row>
    <row r="36710" spans="1:5" x14ac:dyDescent="0.25">
      <c r="A36710" t="str">
        <f>HYPERLINK("https://www.773grp.com/globalSearch/NCV1117DT18T5G/page-1", "NCV1117DT18T5G")</f>
        <v>NCV1117DT18T5G</v>
      </c>
      <c r="B36710" s="3" t="s">
        <v>95</v>
      </c>
      <c r="C36710" s="6">
        <v>15000</v>
      </c>
      <c r="D36710" s="7">
        <v>1.54</v>
      </c>
      <c r="E36710" t="s">
        <v>19</v>
      </c>
    </row>
    <row r="36711" spans="1:5" x14ac:dyDescent="0.25">
      <c r="A36711" t="str">
        <f>HYPERLINK("https://www.773grp.com/globalSearch/NCV1117DT20RKG/page-1", "NCV1117DT20RKG")</f>
        <v>NCV1117DT20RKG</v>
      </c>
      <c r="B36711" s="3" t="s">
        <v>95</v>
      </c>
      <c r="C36711" s="6">
        <v>5000</v>
      </c>
      <c r="D36711" s="7">
        <v>1.54</v>
      </c>
      <c r="E36711" t="s">
        <v>19</v>
      </c>
    </row>
    <row r="36712" spans="1:5" x14ac:dyDescent="0.25">
      <c r="A36712" t="str">
        <f>HYPERLINK("https://www.773grp.com/globalSearch/NCV1117DT25RKG/page-1", "NCV1117DT25RKG")</f>
        <v>NCV1117DT25RKG</v>
      </c>
      <c r="B36712" s="3" t="s">
        <v>95</v>
      </c>
      <c r="C36712" s="6">
        <v>39725</v>
      </c>
      <c r="D36712" s="7">
        <v>1.54</v>
      </c>
      <c r="E36712" t="s">
        <v>19</v>
      </c>
    </row>
    <row r="36713" spans="1:5" x14ac:dyDescent="0.25">
      <c r="A36713" t="str">
        <f>HYPERLINK("https://www.773grp.com/globalSearch/NCV1117DT50RKG/page-1", "NCV1117DT50RKG")</f>
        <v>NCV1117DT50RKG</v>
      </c>
      <c r="B36713" s="3" t="s">
        <v>95</v>
      </c>
      <c r="C36713" s="6">
        <v>5000</v>
      </c>
      <c r="D36713" s="7">
        <v>1.54</v>
      </c>
    </row>
    <row r="36714" spans="1:5" x14ac:dyDescent="0.25">
      <c r="A36714" t="str">
        <f>HYPERLINK("https://www.773grp.com/globalSearch/NCV1117DTARKG/page-1", "NCV1117DTARKG")</f>
        <v>NCV1117DTARKG</v>
      </c>
      <c r="B36714" s="3" t="s">
        <v>95</v>
      </c>
      <c r="C36714" s="6">
        <v>3970</v>
      </c>
      <c r="D36714" s="7">
        <v>1.54</v>
      </c>
      <c r="E36714" t="s">
        <v>25</v>
      </c>
    </row>
    <row r="36715" spans="1:5" x14ac:dyDescent="0.25">
      <c r="A36715" t="str">
        <f>HYPERLINK("https://www.773grp.com/globalSearch/NCV301LSN12T1/page-1", "NCV301LSN12T1")</f>
        <v>NCV301LSN12T1</v>
      </c>
      <c r="B36715" s="3" t="s">
        <v>95</v>
      </c>
      <c r="C36715" s="6">
        <v>6000</v>
      </c>
      <c r="D36715" s="7">
        <v>1.54</v>
      </c>
      <c r="E36715" t="s">
        <v>30</v>
      </c>
    </row>
    <row r="36716" spans="1:5" x14ac:dyDescent="0.25">
      <c r="A36716" t="str">
        <f>HYPERLINK("https://www.773grp.com/globalSearch/NCV301LSN16T1/page-1", "NCV301LSN16T1")</f>
        <v>NCV301LSN16T1</v>
      </c>
      <c r="B36716" s="3" t="s">
        <v>95</v>
      </c>
      <c r="C36716" s="6">
        <v>6000</v>
      </c>
      <c r="D36716" s="7">
        <v>1.54</v>
      </c>
      <c r="E36716" t="s">
        <v>30</v>
      </c>
    </row>
    <row r="36717" spans="1:5" x14ac:dyDescent="0.25">
      <c r="A36717" t="str">
        <f>HYPERLINK("https://www.773grp.com/globalSearch/NCV301LSN28T1/page-1", "NCV301LSN28T1")</f>
        <v>NCV301LSN28T1</v>
      </c>
      <c r="B36717" s="3" t="s">
        <v>95</v>
      </c>
      <c r="C36717" s="6">
        <v>18000</v>
      </c>
      <c r="D36717" s="7">
        <v>1.54</v>
      </c>
      <c r="E36717" t="s">
        <v>30</v>
      </c>
    </row>
    <row r="36718" spans="1:5" x14ac:dyDescent="0.25">
      <c r="A36718" t="str">
        <f>HYPERLINK("https://www.773grp.com/globalSearch/NCV33164D-3R2/page-1", "NCV33164D-3R2")</f>
        <v>NCV33164D-3R2</v>
      </c>
      <c r="B36718" s="3" t="s">
        <v>95</v>
      </c>
      <c r="C36718" s="6">
        <v>6200</v>
      </c>
      <c r="D36718" s="7">
        <v>1.54</v>
      </c>
      <c r="E36718" t="s">
        <v>30</v>
      </c>
    </row>
    <row r="36719" spans="1:5" x14ac:dyDescent="0.25">
      <c r="A36719" t="str">
        <f>HYPERLINK("https://www.773grp.com/globalSearch/NCV4275DS/page-1", "NCV4275DS")</f>
        <v>NCV4275DS</v>
      </c>
      <c r="B36719" s="3" t="s">
        <v>95</v>
      </c>
      <c r="C36719" s="6">
        <v>50</v>
      </c>
      <c r="D36719" s="7">
        <v>1.54</v>
      </c>
      <c r="E36719" t="s">
        <v>19</v>
      </c>
    </row>
    <row r="36720" spans="1:5" x14ac:dyDescent="0.25">
      <c r="A36720" t="str">
        <f>HYPERLINK("https://www.773grp.com/globalSearch/NCV4299D2/page-1", "NCV4299D2")</f>
        <v>NCV4299D2</v>
      </c>
      <c r="B36720" s="3" t="s">
        <v>95</v>
      </c>
      <c r="C36720" s="6">
        <v>495</v>
      </c>
      <c r="D36720" s="7">
        <v>1.54</v>
      </c>
      <c r="E36720" t="s">
        <v>19</v>
      </c>
    </row>
    <row r="36721" spans="1:5" x14ac:dyDescent="0.25">
      <c r="A36721" t="str">
        <f>HYPERLINK("https://www.773grp.com/globalSearch/NCV612SQ15T2G/page-1", "NCV612SQ15T2G")</f>
        <v>NCV612SQ15T2G</v>
      </c>
      <c r="B36721" s="3" t="s">
        <v>95</v>
      </c>
      <c r="C36721" s="6">
        <v>72000</v>
      </c>
      <c r="D36721" s="7">
        <v>1.54</v>
      </c>
      <c r="E36721" t="s">
        <v>28</v>
      </c>
    </row>
    <row r="36722" spans="1:5" x14ac:dyDescent="0.25">
      <c r="A36722" t="str">
        <f>HYPERLINK("https://www.773grp.com/globalSearch/NCV612SQ28T2G/page-1", "NCV612SQ28T2G")</f>
        <v>NCV612SQ28T2G</v>
      </c>
      <c r="B36722" s="3" t="s">
        <v>95</v>
      </c>
      <c r="C36722" s="6">
        <v>6000</v>
      </c>
      <c r="D36722" s="7">
        <v>1.54</v>
      </c>
      <c r="E36722" t="s">
        <v>28</v>
      </c>
    </row>
    <row r="36723" spans="1:5" x14ac:dyDescent="0.25">
      <c r="A36723" t="str">
        <f>HYPERLINK("https://www.773grp.com/globalSearch/NCV612SQ30T2G/page-1", "NCV612SQ30T2G")</f>
        <v>NCV612SQ30T2G</v>
      </c>
      <c r="B36723" s="3" t="s">
        <v>95</v>
      </c>
      <c r="C36723" s="6">
        <v>6000</v>
      </c>
      <c r="D36723" s="7">
        <v>1.54</v>
      </c>
    </row>
    <row r="36724" spans="1:5" x14ac:dyDescent="0.25">
      <c r="A36724" t="str">
        <f>HYPERLINK("https://www.773grp.com/globalSearch/NCV612SQ50T2G/page-1", "NCV612SQ50T2G")</f>
        <v>NCV612SQ50T2G</v>
      </c>
      <c r="B36724" s="3" t="s">
        <v>95</v>
      </c>
      <c r="C36724" s="6">
        <v>18000</v>
      </c>
      <c r="D36724" s="7">
        <v>1.54</v>
      </c>
      <c r="E36724" t="s">
        <v>28</v>
      </c>
    </row>
    <row r="36725" spans="1:5" x14ac:dyDescent="0.25">
      <c r="A36725" t="str">
        <f>HYPERLINK("https://www.773grp.com/globalSearch/NCV662SQ15T1G/page-1", "NCV662SQ15T1G")</f>
        <v>NCV662SQ15T1G</v>
      </c>
      <c r="B36725" s="3" t="s">
        <v>95</v>
      </c>
      <c r="C36725" s="6">
        <v>38894</v>
      </c>
      <c r="D36725" s="7">
        <v>1.54</v>
      </c>
      <c r="E36725" t="s">
        <v>19</v>
      </c>
    </row>
    <row r="36726" spans="1:5" x14ac:dyDescent="0.25">
      <c r="A36726" t="str">
        <f>HYPERLINK("https://www.773grp.com/globalSearch/NCV662SQ18T1G/page-1", "NCV662SQ18T1G")</f>
        <v>NCV662SQ18T1G</v>
      </c>
      <c r="B36726" s="3" t="s">
        <v>95</v>
      </c>
      <c r="C36726" s="6">
        <v>11700</v>
      </c>
      <c r="D36726" s="7">
        <v>1.54</v>
      </c>
      <c r="E36726" t="s">
        <v>19</v>
      </c>
    </row>
    <row r="36727" spans="1:5" x14ac:dyDescent="0.25">
      <c r="A36727" t="str">
        <f>HYPERLINK("https://www.773grp.com/globalSearch/NCV662SQ25T1G/page-1", "NCV662SQ25T1G")</f>
        <v>NCV662SQ25T1G</v>
      </c>
      <c r="B36727" s="3" t="s">
        <v>95</v>
      </c>
      <c r="C36727" s="6">
        <v>3000</v>
      </c>
      <c r="D36727" s="7">
        <v>1.54</v>
      </c>
      <c r="E36727" t="s">
        <v>19</v>
      </c>
    </row>
    <row r="36728" spans="1:5" x14ac:dyDescent="0.25">
      <c r="A36728" t="str">
        <f>HYPERLINK("https://www.773grp.com/globalSearch/NCV662SQ27T1G/page-1", "NCV662SQ27T1G")</f>
        <v>NCV662SQ27T1G</v>
      </c>
      <c r="B36728" s="3" t="s">
        <v>95</v>
      </c>
      <c r="C36728" s="6">
        <v>7550</v>
      </c>
      <c r="D36728" s="7">
        <v>1.54</v>
      </c>
      <c r="E36728" t="s">
        <v>19</v>
      </c>
    </row>
    <row r="36729" spans="1:5" x14ac:dyDescent="0.25">
      <c r="A36729" t="str">
        <f>HYPERLINK("https://www.773grp.com/globalSearch/NCV662SQ28T1G/page-1", "NCV662SQ28T1G")</f>
        <v>NCV662SQ28T1G</v>
      </c>
      <c r="B36729" s="3" t="s">
        <v>95</v>
      </c>
      <c r="C36729" s="6">
        <v>23505</v>
      </c>
      <c r="D36729" s="7">
        <v>1.54</v>
      </c>
      <c r="E36729" t="s">
        <v>19</v>
      </c>
    </row>
    <row r="36730" spans="1:5" x14ac:dyDescent="0.25">
      <c r="A36730" t="str">
        <f>HYPERLINK("https://www.773grp.com/globalSearch/NCV662SQ30T1G/page-1", "NCV662SQ30T1G")</f>
        <v>NCV662SQ30T1G</v>
      </c>
      <c r="B36730" s="3" t="s">
        <v>95</v>
      </c>
      <c r="C36730" s="6">
        <v>2240</v>
      </c>
      <c r="D36730" s="7">
        <v>1.54</v>
      </c>
      <c r="E36730" t="s">
        <v>19</v>
      </c>
    </row>
    <row r="36731" spans="1:5" x14ac:dyDescent="0.25">
      <c r="A36731" t="str">
        <f>HYPERLINK("https://www.773grp.com/globalSearch/NCV662SQ33T1G/page-1", "NCV662SQ33T1G")</f>
        <v>NCV662SQ33T1G</v>
      </c>
      <c r="B36731" s="3" t="s">
        <v>95</v>
      </c>
      <c r="C36731" s="6">
        <v>8644</v>
      </c>
      <c r="D36731" s="7">
        <v>1.54</v>
      </c>
      <c r="E36731" t="s">
        <v>19</v>
      </c>
    </row>
    <row r="36732" spans="1:5" x14ac:dyDescent="0.25">
      <c r="A36732" t="str">
        <f>HYPERLINK("https://www.773grp.com/globalSearch/NCV662SQ50T1G/page-1", "NCV662SQ50T1G")</f>
        <v>NCV662SQ50T1G</v>
      </c>
      <c r="B36732" s="3" t="s">
        <v>95</v>
      </c>
      <c r="C36732" s="6">
        <v>29950</v>
      </c>
      <c r="D36732" s="7">
        <v>1.54</v>
      </c>
      <c r="E36732" t="s">
        <v>19</v>
      </c>
    </row>
    <row r="36733" spans="1:5" x14ac:dyDescent="0.25">
      <c r="A36733" t="str">
        <f>HYPERLINK("https://www.773grp.com/globalSearch/NCV78M05BTG/page-1", "NCV78M05BTG")</f>
        <v>NCV78M05BTG</v>
      </c>
      <c r="B36733" s="3" t="s">
        <v>95</v>
      </c>
      <c r="C36733" s="6">
        <v>6400</v>
      </c>
      <c r="D36733" s="7">
        <v>1.54</v>
      </c>
    </row>
    <row r="36734" spans="1:5" x14ac:dyDescent="0.25">
      <c r="A36734" t="str">
        <f>HYPERLINK("https://www.773grp.com/globalSearch/NCV8450STT3G/page-1", "NCV8450STT3G")</f>
        <v>NCV8450STT3G</v>
      </c>
      <c r="B36734" s="3" t="s">
        <v>95</v>
      </c>
      <c r="C36734" s="6">
        <v>4000</v>
      </c>
      <c r="D36734" s="7">
        <v>1.54</v>
      </c>
    </row>
    <row r="36735" spans="1:5" x14ac:dyDescent="0.25">
      <c r="A36735" t="str">
        <f>HYPERLINK("https://www.773grp.com/globalSearch/NE592D8G/page-1", "NE592D8G")</f>
        <v>NE592D8G</v>
      </c>
      <c r="B36735" s="3" t="s">
        <v>95</v>
      </c>
      <c r="C36735" s="6">
        <v>1567</v>
      </c>
      <c r="D36735" s="7">
        <v>1.54</v>
      </c>
    </row>
    <row r="36736" spans="1:5" x14ac:dyDescent="0.25">
      <c r="A36736" t="str">
        <f>HYPERLINK("https://www.773grp.com/globalSearch/NE592D8R2G/page-1", "NE592D8R2G")</f>
        <v>NE592D8R2G</v>
      </c>
      <c r="B36736" s="3" t="s">
        <v>95</v>
      </c>
      <c r="C36736" s="6">
        <v>1408</v>
      </c>
      <c r="D36736" s="7">
        <v>1.54</v>
      </c>
    </row>
    <row r="36737" spans="1:5" x14ac:dyDescent="0.25">
      <c r="A36737" t="str">
        <f>HYPERLINK("https://www.773grp.com/globalSearch/NLV14532BDR2G/page-1", "NLV14532BDR2G")</f>
        <v>NLV14532BDR2G</v>
      </c>
      <c r="B36737" s="3" t="s">
        <v>95</v>
      </c>
      <c r="C36737" s="6">
        <v>7500</v>
      </c>
      <c r="D36737" s="7">
        <v>1.54</v>
      </c>
    </row>
    <row r="36738" spans="1:5" x14ac:dyDescent="0.25">
      <c r="A36738" t="str">
        <f>HYPERLINK("https://www.773grp.com/globalSearch/NRVBB1060T4G/page-1", "NRVBB1060T4G")</f>
        <v>NRVBB1060T4G</v>
      </c>
      <c r="B36738" s="3" t="s">
        <v>95</v>
      </c>
      <c r="C36738" s="6">
        <v>34400</v>
      </c>
      <c r="D36738" s="7">
        <v>1.54</v>
      </c>
    </row>
    <row r="36739" spans="1:5" x14ac:dyDescent="0.25">
      <c r="A36739" t="str">
        <f>HYPERLINK("https://www.773grp.com/globalSearch/NTD5804NT4G/page-1", "NTD5804NT4G")</f>
        <v>NTD5804NT4G</v>
      </c>
      <c r="B36739" s="3" t="s">
        <v>95</v>
      </c>
      <c r="C36739" s="6">
        <v>2500</v>
      </c>
      <c r="D36739" s="7">
        <v>1.54</v>
      </c>
    </row>
    <row r="36740" spans="1:5" x14ac:dyDescent="0.25">
      <c r="A36740" t="str">
        <f>HYPERLINK("https://www.773grp.com/globalSearch/NTD6416ANL-1G/page-1", "NTD6416ANL-1G")</f>
        <v>NTD6416ANL-1G</v>
      </c>
      <c r="B36740" s="3" t="s">
        <v>95</v>
      </c>
      <c r="C36740" s="6">
        <v>2625</v>
      </c>
      <c r="D36740" s="7">
        <v>1.54</v>
      </c>
    </row>
    <row r="36741" spans="1:5" x14ac:dyDescent="0.25">
      <c r="A36741" t="str">
        <f>HYPERLINK("https://www.773grp.com/globalSearch/NTD6416ANLT4G/page-1", "NTD6416ANLT4G")</f>
        <v>NTD6416ANLT4G</v>
      </c>
      <c r="B36741" s="3" t="s">
        <v>95</v>
      </c>
      <c r="C36741" s="6">
        <v>36910</v>
      </c>
      <c r="D36741" s="7">
        <v>1.54</v>
      </c>
      <c r="E36741" t="s">
        <v>105</v>
      </c>
    </row>
    <row r="36742" spans="1:5" x14ac:dyDescent="0.25">
      <c r="A36742" t="str">
        <f>HYPERLINK("https://www.773grp.com/globalSearch/NTMFS4707NT1G/page-1", "NTMFS4707NT1G")</f>
        <v>NTMFS4707NT1G</v>
      </c>
      <c r="B36742" s="3" t="s">
        <v>95</v>
      </c>
      <c r="C36742" s="6">
        <v>55126</v>
      </c>
      <c r="D36742" s="7">
        <v>1.54</v>
      </c>
      <c r="E36742" t="s">
        <v>106</v>
      </c>
    </row>
    <row r="36743" spans="1:5" x14ac:dyDescent="0.25">
      <c r="A36743" t="str">
        <f>HYPERLINK("https://www.773grp.com/globalSearch/NTMFS4835NT1G/page-1", "NTMFS4835NT1G")</f>
        <v>NTMFS4835NT1G</v>
      </c>
      <c r="B36743" s="3" t="s">
        <v>95</v>
      </c>
      <c r="C36743" s="6">
        <v>19107</v>
      </c>
      <c r="D36743" s="7">
        <v>1.54</v>
      </c>
      <c r="E36743" t="s">
        <v>105</v>
      </c>
    </row>
    <row r="36744" spans="1:5" x14ac:dyDescent="0.25">
      <c r="A36744" t="str">
        <f>HYPERLINK("https://www.773grp.com/globalSearch/NTMFS4835NT3G/page-1", "NTMFS4835NT3G")</f>
        <v>NTMFS4835NT3G</v>
      </c>
      <c r="B36744" s="3" t="s">
        <v>95</v>
      </c>
      <c r="C36744" s="6">
        <v>325000</v>
      </c>
      <c r="D36744" s="7">
        <v>1.54</v>
      </c>
      <c r="E36744" t="s">
        <v>105</v>
      </c>
    </row>
    <row r="36745" spans="1:5" x14ac:dyDescent="0.25">
      <c r="A36745" t="str">
        <f>HYPERLINK("https://www.773grp.com/globalSearch/NTMFS4935NT1G/page-1", "NTMFS4935NT1G")</f>
        <v>NTMFS4935NT1G</v>
      </c>
      <c r="B36745" s="3" t="s">
        <v>95</v>
      </c>
      <c r="C36745" s="6">
        <v>1985910</v>
      </c>
      <c r="D36745" s="7">
        <v>1.54</v>
      </c>
      <c r="E36745" t="s">
        <v>105</v>
      </c>
    </row>
    <row r="36746" spans="1:5" x14ac:dyDescent="0.25">
      <c r="A36746" t="str">
        <f>HYPERLINK("https://www.773grp.com/globalSearch/NTMS5P02R2/page-1", "NTMS5P02R2")</f>
        <v>NTMS5P02R2</v>
      </c>
      <c r="B36746" s="3" t="s">
        <v>95</v>
      </c>
      <c r="C36746" s="6">
        <v>2500</v>
      </c>
      <c r="D36746" s="7">
        <v>1.54</v>
      </c>
      <c r="E36746" t="s">
        <v>106</v>
      </c>
    </row>
    <row r="36747" spans="1:5" x14ac:dyDescent="0.25">
      <c r="A36747" t="str">
        <f>HYPERLINK("https://www.773grp.com/globalSearch/NTP125N02RG/page-1", "NTP125N02RG")</f>
        <v>NTP125N02RG</v>
      </c>
      <c r="B36747" s="3" t="s">
        <v>95</v>
      </c>
      <c r="C36747" s="6">
        <v>24625</v>
      </c>
      <c r="D36747" s="7">
        <v>1.54</v>
      </c>
      <c r="E36747" t="s">
        <v>105</v>
      </c>
    </row>
    <row r="36748" spans="1:5" x14ac:dyDescent="0.25">
      <c r="A36748" t="str">
        <f>HYPERLINK("https://www.773grp.com/globalSearch/NTQD6968NR2G/page-1", "NTQD6968NR2G")</f>
        <v>NTQD6968NR2G</v>
      </c>
      <c r="B36748" s="3" t="s">
        <v>95</v>
      </c>
      <c r="C36748" s="6">
        <v>14075</v>
      </c>
      <c r="D36748" s="7">
        <v>1.54</v>
      </c>
      <c r="E36748" t="s">
        <v>105</v>
      </c>
    </row>
    <row r="36749" spans="1:5" x14ac:dyDescent="0.25">
      <c r="A36749" t="str">
        <f>HYPERLINK("https://www.773grp.com/globalSearch/NTQD6968R2/page-1", "NTQD6968R2")</f>
        <v>NTQD6968R2</v>
      </c>
      <c r="B36749" s="3" t="s">
        <v>95</v>
      </c>
      <c r="C36749" s="6">
        <v>20040</v>
      </c>
      <c r="D36749" s="7">
        <v>1.54</v>
      </c>
      <c r="E36749" t="s">
        <v>105</v>
      </c>
    </row>
    <row r="36750" spans="1:5" x14ac:dyDescent="0.25">
      <c r="A36750" t="str">
        <f>HYPERLINK("https://www.773grp.com/globalSearch/NTQS6463R2/page-1", "NTQS6463R2")</f>
        <v>NTQS6463R2</v>
      </c>
      <c r="B36750" s="3" t="s">
        <v>95</v>
      </c>
      <c r="C36750" s="6">
        <v>5050</v>
      </c>
      <c r="D36750" s="7">
        <v>1.54</v>
      </c>
      <c r="E36750" t="s">
        <v>106</v>
      </c>
    </row>
    <row r="36751" spans="1:5" x14ac:dyDescent="0.25">
      <c r="A36751" t="str">
        <f>HYPERLINK("https://www.773grp.com/globalSearch/SAC319M/page-1", "SAC319M")</f>
        <v>SAC319M</v>
      </c>
      <c r="B36751" s="3" t="s">
        <v>95</v>
      </c>
      <c r="C36751" s="6">
        <v>9500</v>
      </c>
      <c r="D36751" s="7">
        <v>1.54</v>
      </c>
    </row>
    <row r="36752" spans="1:5" x14ac:dyDescent="0.25">
      <c r="A36752" t="str">
        <f>HYPERLINK("https://www.773grp.com/globalSearch/SAC729-008/page-1", "SAC729-008")</f>
        <v>SAC729-008</v>
      </c>
      <c r="B36752" s="3" t="s">
        <v>95</v>
      </c>
      <c r="C36752" s="6">
        <v>171350</v>
      </c>
      <c r="D36752" s="7">
        <v>1.54</v>
      </c>
    </row>
    <row r="36753" spans="1:5" x14ac:dyDescent="0.25">
      <c r="A36753" t="str">
        <f>HYPERLINK("https://www.773grp.com/globalSearch/SC34063AP1G/page-1", "SC34063AP1G")</f>
        <v>SC34063AP1G</v>
      </c>
      <c r="B36753" s="3" t="s">
        <v>95</v>
      </c>
      <c r="C36753" s="6">
        <v>6350</v>
      </c>
      <c r="D36753" s="7">
        <v>1.54</v>
      </c>
      <c r="E36753" t="s">
        <v>7</v>
      </c>
    </row>
    <row r="36754" spans="1:5" x14ac:dyDescent="0.25">
      <c r="A36754" t="str">
        <f>HYPERLINK("https://www.773grp.com/globalSearch/SCR2131/page-1", "SCR2131")</f>
        <v>SCR2131</v>
      </c>
      <c r="B36754" s="3" t="s">
        <v>95</v>
      </c>
      <c r="C36754" s="6">
        <v>14500</v>
      </c>
      <c r="D36754" s="7">
        <v>1.54</v>
      </c>
    </row>
    <row r="36755" spans="1:5" x14ac:dyDescent="0.25">
      <c r="A36755" t="str">
        <f>HYPERLINK("https://www.773grp.com/globalSearch/SCV301LSN22T1G/page-1", "SCV301LSN22T1G")</f>
        <v>SCV301LSN22T1G</v>
      </c>
      <c r="B36755" s="3" t="s">
        <v>95</v>
      </c>
      <c r="C36755" s="6">
        <v>9000</v>
      </c>
      <c r="D36755" s="7">
        <v>1.54</v>
      </c>
    </row>
    <row r="36756" spans="1:5" x14ac:dyDescent="0.25">
      <c r="A36756" t="str">
        <f>HYPERLINK("https://www.773grp.com/globalSearch/SCY991351BDR2G/page-1", "SCY991351BDR2G")</f>
        <v>SCY991351BDR2G</v>
      </c>
      <c r="B36756" s="3" t="s">
        <v>95</v>
      </c>
      <c r="C36756" s="6">
        <v>35000</v>
      </c>
      <c r="D36756" s="7">
        <v>1.54</v>
      </c>
    </row>
    <row r="36757" spans="1:5" x14ac:dyDescent="0.25">
      <c r="A36757" t="str">
        <f>HYPERLINK("https://www.773grp.com/globalSearch/SFT1446-TL-H/page-1", "SFT1446-TL-H")</f>
        <v>SFT1446-TL-H</v>
      </c>
      <c r="B36757" s="3" t="s">
        <v>95</v>
      </c>
      <c r="C36757" s="6">
        <v>27300</v>
      </c>
      <c r="D36757" s="7">
        <v>1.54</v>
      </c>
    </row>
    <row r="36758" spans="1:5" x14ac:dyDescent="0.25">
      <c r="A36758" t="str">
        <f>HYPERLINK("https://www.773grp.com/globalSearch/SN74LS195AD/page-1", "SN74LS195AD")</f>
        <v>SN74LS195AD</v>
      </c>
      <c r="B36758" s="3" t="s">
        <v>95</v>
      </c>
      <c r="C36758" s="6">
        <v>7887</v>
      </c>
      <c r="D36758" s="7">
        <v>1.54</v>
      </c>
      <c r="E36758" t="s">
        <v>32</v>
      </c>
    </row>
    <row r="36759" spans="1:5" x14ac:dyDescent="0.25">
      <c r="A36759" t="str">
        <f>HYPERLINK("https://www.773grp.com/globalSearch/TIP32C/page-1", "TIP32C")</f>
        <v>TIP32C</v>
      </c>
      <c r="B36759" s="3" t="s">
        <v>95</v>
      </c>
      <c r="C36759" s="6">
        <v>271762</v>
      </c>
      <c r="D36759" s="7">
        <v>1.54</v>
      </c>
      <c r="E36759" t="s">
        <v>59</v>
      </c>
    </row>
    <row r="36760" spans="1:5" x14ac:dyDescent="0.25">
      <c r="A36760" t="str">
        <f>HYPERLINK("https://www.773grp.com/globalSearch/TIP47/page-1", "TIP47")</f>
        <v>TIP47</v>
      </c>
      <c r="B36760" s="3" t="s">
        <v>95</v>
      </c>
      <c r="C36760" s="6">
        <v>3400</v>
      </c>
      <c r="D36760" s="7">
        <v>1.54</v>
      </c>
      <c r="E36760" t="s">
        <v>59</v>
      </c>
    </row>
    <row r="36761" spans="1:5" x14ac:dyDescent="0.25">
      <c r="A36761" t="str">
        <f>HYPERLINK("https://www.773grp.com/globalSearch/TL074ACN/page-1", "TL074ACN")</f>
        <v>TL074ACN</v>
      </c>
      <c r="B36761" s="3" t="s">
        <v>95</v>
      </c>
      <c r="C36761" s="6">
        <v>50</v>
      </c>
      <c r="D36761" s="7">
        <v>1.54</v>
      </c>
      <c r="E36761" t="s">
        <v>13</v>
      </c>
    </row>
    <row r="36762" spans="1:5" x14ac:dyDescent="0.25">
      <c r="A36762" t="str">
        <f>HYPERLINK("https://www.773grp.com/globalSearch/TL431IPG/page-1", "TL431IPG")</f>
        <v>TL431IPG</v>
      </c>
      <c r="B36762" s="3" t="s">
        <v>95</v>
      </c>
      <c r="C36762" s="6">
        <v>5890</v>
      </c>
      <c r="D36762" s="7">
        <v>1.54</v>
      </c>
      <c r="E36762" t="s">
        <v>17</v>
      </c>
    </row>
    <row r="36763" spans="1:5" x14ac:dyDescent="0.25">
      <c r="A36763" t="str">
        <f>HYPERLINK("https://www.773grp.com/globalSearch/2N6040G/page-1", "2N6040G")</f>
        <v>2N6040G</v>
      </c>
      <c r="B36763" s="3" t="s">
        <v>95</v>
      </c>
      <c r="C36763" s="6">
        <v>9983</v>
      </c>
      <c r="D36763" s="7">
        <v>1.59</v>
      </c>
      <c r="E36763" t="s">
        <v>59</v>
      </c>
    </row>
    <row r="36764" spans="1:5" x14ac:dyDescent="0.25">
      <c r="A36764" t="str">
        <f>HYPERLINK("https://www.773grp.com/globalSearch/2N6042G/page-1", "2N6042G")</f>
        <v>2N6042G</v>
      </c>
      <c r="B36764" s="3" t="s">
        <v>95</v>
      </c>
      <c r="C36764" s="6">
        <v>2627</v>
      </c>
      <c r="D36764" s="7">
        <v>1.59</v>
      </c>
      <c r="E36764" t="s">
        <v>59</v>
      </c>
    </row>
    <row r="36765" spans="1:5" x14ac:dyDescent="0.25">
      <c r="A36765" t="str">
        <f>HYPERLINK("https://www.773grp.com/globalSearch/AMIS30600LINI1G/page-1", "AMIS30600LINI1G")</f>
        <v>AMIS30600LINI1G</v>
      </c>
      <c r="B36765" s="3" t="s">
        <v>95</v>
      </c>
      <c r="C36765" s="6">
        <v>854</v>
      </c>
      <c r="D36765" s="7">
        <v>1.59</v>
      </c>
      <c r="E36765" t="s">
        <v>55</v>
      </c>
    </row>
    <row r="36766" spans="1:5" x14ac:dyDescent="0.25">
      <c r="A36766" t="str">
        <f>HYPERLINK("https://www.773grp.com/globalSearch/ATP206-TL-H/page-1", "ATP206-TL-H")</f>
        <v>ATP206-TL-H</v>
      </c>
      <c r="B36766" s="3" t="s">
        <v>95</v>
      </c>
      <c r="C36766" s="6">
        <v>3000</v>
      </c>
      <c r="D36766" s="7">
        <v>1.59</v>
      </c>
    </row>
    <row r="36767" spans="1:5" x14ac:dyDescent="0.25">
      <c r="A36767" t="str">
        <f>HYPERLINK("https://www.773grp.com/globalSearch/BDX34BG/page-1", "BDX34BG")</f>
        <v>BDX34BG</v>
      </c>
      <c r="B36767" s="3" t="s">
        <v>95</v>
      </c>
      <c r="C36767" s="6">
        <v>2977</v>
      </c>
      <c r="D36767" s="7">
        <v>1.59</v>
      </c>
      <c r="E36767" t="s">
        <v>59</v>
      </c>
    </row>
    <row r="36768" spans="1:5" x14ac:dyDescent="0.25">
      <c r="A36768" t="str">
        <f>HYPERLINK("https://www.773grp.com/globalSearch/BDX34CG/page-1", "BDX34CG")</f>
        <v>BDX34CG</v>
      </c>
      <c r="B36768" s="3" t="s">
        <v>95</v>
      </c>
      <c r="C36768" s="6">
        <v>3470</v>
      </c>
      <c r="D36768" s="7">
        <v>1.59</v>
      </c>
      <c r="E36768" t="s">
        <v>59</v>
      </c>
    </row>
    <row r="36769" spans="1:5" x14ac:dyDescent="0.25">
      <c r="A36769" t="str">
        <f>HYPERLINK("https://www.773grp.com/globalSearch/BDX54BG/page-1", "BDX54BG")</f>
        <v>BDX54BG</v>
      </c>
      <c r="B36769" s="3" t="s">
        <v>95</v>
      </c>
      <c r="C36769" s="6">
        <v>1498</v>
      </c>
      <c r="D36769" s="7">
        <v>1.59</v>
      </c>
      <c r="E36769" t="s">
        <v>59</v>
      </c>
    </row>
    <row r="36770" spans="1:5" x14ac:dyDescent="0.25">
      <c r="A36770" t="str">
        <f>HYPERLINK("https://www.773grp.com/globalSearch/BDX54CG/page-1", "BDX54CG")</f>
        <v>BDX54CG</v>
      </c>
      <c r="B36770" s="3" t="s">
        <v>95</v>
      </c>
      <c r="C36770" s="6">
        <v>4937</v>
      </c>
      <c r="D36770" s="7">
        <v>1.59</v>
      </c>
      <c r="E36770" t="s">
        <v>59</v>
      </c>
    </row>
    <row r="36771" spans="1:5" x14ac:dyDescent="0.25">
      <c r="A36771" t="str">
        <f>HYPERLINK("https://www.773grp.com/globalSearch/BUL42D/page-1", "BUL42D")</f>
        <v>BUL42D</v>
      </c>
      <c r="B36771" s="3" t="s">
        <v>95</v>
      </c>
      <c r="C36771" s="6">
        <v>2500</v>
      </c>
      <c r="D36771" s="7">
        <v>1.59</v>
      </c>
      <c r="E36771" t="s">
        <v>59</v>
      </c>
    </row>
    <row r="36772" spans="1:5" x14ac:dyDescent="0.25">
      <c r="A36772" t="str">
        <f>HYPERLINK("https://www.773grp.com/globalSearch/BUV26/page-1", "BUV26")</f>
        <v>BUV26</v>
      </c>
      <c r="B36772" s="3" t="s">
        <v>95</v>
      </c>
      <c r="C36772" s="6">
        <v>300</v>
      </c>
      <c r="D36772" s="7">
        <v>1.59</v>
      </c>
      <c r="E36772" t="s">
        <v>59</v>
      </c>
    </row>
    <row r="36773" spans="1:5" x14ac:dyDescent="0.25">
      <c r="A36773" t="str">
        <f>HYPERLINK("https://www.773grp.com/globalSearch/BYW51-200/page-1", "BYW51-200")</f>
        <v>BYW51-200</v>
      </c>
      <c r="B36773" s="3" t="s">
        <v>95</v>
      </c>
      <c r="C36773" s="6">
        <v>8600</v>
      </c>
      <c r="D36773" s="7">
        <v>1.59</v>
      </c>
      <c r="E36773" t="s">
        <v>103</v>
      </c>
    </row>
    <row r="36774" spans="1:5" x14ac:dyDescent="0.25">
      <c r="A36774" t="str">
        <f>HYPERLINK("https://www.773grp.com/globalSearch/CAT24C256HU4IGT3/page-1", "CAT24C256HU4IGT3")</f>
        <v>CAT24C256HU4IGT3</v>
      </c>
      <c r="B36774" s="3" t="s">
        <v>95</v>
      </c>
      <c r="C36774" s="6">
        <v>477000</v>
      </c>
      <c r="D36774" s="7">
        <v>1.59</v>
      </c>
    </row>
    <row r="36775" spans="1:5" x14ac:dyDescent="0.25">
      <c r="A36775" t="str">
        <f>HYPERLINK("https://www.773grp.com/globalSearch/CAT6219180VP5GT4/page-1", "CAT6219180VP5GT4")</f>
        <v>CAT6219180VP5GT4</v>
      </c>
      <c r="B36775" s="3" t="s">
        <v>95</v>
      </c>
      <c r="C36775" s="6">
        <v>8000</v>
      </c>
      <c r="D36775" s="7">
        <v>1.59</v>
      </c>
    </row>
    <row r="36776" spans="1:5" x14ac:dyDescent="0.25">
      <c r="A36776" t="str">
        <f>HYPERLINK("https://www.773grp.com/globalSearch/CAT6219-280MV2T3/page-1", "CAT6219-280MV2T3")</f>
        <v>CAT6219-280MV2T3</v>
      </c>
      <c r="B36776" s="3" t="s">
        <v>95</v>
      </c>
      <c r="C36776" s="6">
        <v>72975</v>
      </c>
      <c r="D36776" s="7">
        <v>1.59</v>
      </c>
      <c r="E36776" t="s">
        <v>19</v>
      </c>
    </row>
    <row r="36777" spans="1:5" x14ac:dyDescent="0.25">
      <c r="A36777" t="str">
        <f>HYPERLINK("https://www.773grp.com/globalSearch/CM1213-08MR/page-1", "CM1213-08MR")</f>
        <v>CM1213-08MR</v>
      </c>
      <c r="B36777" s="3" t="s">
        <v>95</v>
      </c>
      <c r="C36777" s="6">
        <v>38236</v>
      </c>
      <c r="D36777" s="7">
        <v>1.59</v>
      </c>
    </row>
    <row r="36778" spans="1:5" x14ac:dyDescent="0.25">
      <c r="A36778" t="str">
        <f>HYPERLINK("https://www.773grp.com/globalSearch/CS5201-1GST3/page-1", "CS5201-1GST3")</f>
        <v>CS5201-1GST3</v>
      </c>
      <c r="B36778" s="3" t="s">
        <v>95</v>
      </c>
      <c r="C36778" s="6">
        <v>5015</v>
      </c>
      <c r="D36778" s="7">
        <v>1.59</v>
      </c>
      <c r="E36778" t="s">
        <v>25</v>
      </c>
    </row>
    <row r="36779" spans="1:5" x14ac:dyDescent="0.25">
      <c r="A36779" t="str">
        <f>HYPERLINK("https://www.773grp.com/globalSearch/CS5201-1GSTR3/page-1", "CS5201-1GSTR3")</f>
        <v>CS5201-1GSTR3</v>
      </c>
      <c r="B36779" s="3" t="s">
        <v>95</v>
      </c>
      <c r="C36779" s="6">
        <v>7130</v>
      </c>
      <c r="D36779" s="7">
        <v>1.59</v>
      </c>
      <c r="E36779" t="s">
        <v>25</v>
      </c>
    </row>
    <row r="36780" spans="1:5" x14ac:dyDescent="0.25">
      <c r="A36780" t="str">
        <f>HYPERLINK("https://www.773grp.com/globalSearch/CS5201-1GT3/page-1", "CS5201-1GT3")</f>
        <v>CS5201-1GT3</v>
      </c>
      <c r="B36780" s="3" t="s">
        <v>95</v>
      </c>
      <c r="C36780" s="6">
        <v>2600</v>
      </c>
      <c r="D36780" s="7">
        <v>1.59</v>
      </c>
      <c r="E36780" t="s">
        <v>25</v>
      </c>
    </row>
    <row r="36781" spans="1:5" x14ac:dyDescent="0.25">
      <c r="A36781" t="str">
        <f>HYPERLINK("https://www.773grp.com/globalSearch/CS5201-3GSTR3/page-1", "CS5201-3GSTR3")</f>
        <v>CS5201-3GSTR3</v>
      </c>
      <c r="B36781" s="3" t="s">
        <v>95</v>
      </c>
      <c r="C36781" s="6">
        <v>19464</v>
      </c>
      <c r="D36781" s="7">
        <v>1.59</v>
      </c>
      <c r="E36781" t="s">
        <v>19</v>
      </c>
    </row>
    <row r="36782" spans="1:5" x14ac:dyDescent="0.25">
      <c r="A36782" t="str">
        <f>HYPERLINK("https://www.773grp.com/globalSearch/CS5201-3GT3/page-1", "CS5201-3GT3")</f>
        <v>CS5201-3GT3</v>
      </c>
      <c r="B36782" s="3" t="s">
        <v>95</v>
      </c>
      <c r="C36782" s="6">
        <v>1150</v>
      </c>
      <c r="D36782" s="7">
        <v>1.59</v>
      </c>
      <c r="E36782" t="s">
        <v>19</v>
      </c>
    </row>
    <row r="36783" spans="1:5" x14ac:dyDescent="0.25">
      <c r="A36783" t="str">
        <f>HYPERLINK("https://www.773grp.com/globalSearch/ECH8662-TL-H/page-1", "ECH8662-TL-H")</f>
        <v>ECH8662-TL-H</v>
      </c>
      <c r="B36783" s="3" t="s">
        <v>95</v>
      </c>
      <c r="C36783" s="6">
        <v>50850</v>
      </c>
      <c r="D36783" s="7">
        <v>1.59</v>
      </c>
    </row>
    <row r="36784" spans="1:5" x14ac:dyDescent="0.25">
      <c r="A36784" t="str">
        <f>HYPERLINK("https://www.773grp.com/globalSearch/LM201ANG/page-1", "LM201ANG")</f>
        <v>LM201ANG</v>
      </c>
      <c r="B36784" s="3" t="s">
        <v>95</v>
      </c>
      <c r="C36784" s="6">
        <v>1370</v>
      </c>
      <c r="D36784" s="7">
        <v>1.59</v>
      </c>
      <c r="E36784" t="s">
        <v>13</v>
      </c>
    </row>
    <row r="36785" spans="1:5" x14ac:dyDescent="0.25">
      <c r="A36785" t="str">
        <f>HYPERLINK("https://www.773grp.com/globalSearch/LM2931AD2T-5.0R4/page-1", "LM2931AD2T-5.0R4")</f>
        <v>LM2931AD2T-5.0R4</v>
      </c>
      <c r="B36785" s="3" t="s">
        <v>95</v>
      </c>
      <c r="C36785" s="6">
        <v>4270</v>
      </c>
      <c r="D36785" s="7">
        <v>1.59</v>
      </c>
      <c r="E36785" t="s">
        <v>19</v>
      </c>
    </row>
    <row r="36786" spans="1:5" x14ac:dyDescent="0.25">
      <c r="A36786" t="str">
        <f>HYPERLINK("https://www.773grp.com/globalSearch/LM337MT/page-1", "LM337MT")</f>
        <v>LM337MT</v>
      </c>
      <c r="B36786" s="3" t="s">
        <v>95</v>
      </c>
      <c r="C36786" s="6">
        <v>3455</v>
      </c>
      <c r="D36786" s="7">
        <v>1.59</v>
      </c>
      <c r="E36786" t="s">
        <v>37</v>
      </c>
    </row>
    <row r="36787" spans="1:5" x14ac:dyDescent="0.25">
      <c r="A36787" t="str">
        <f>HYPERLINK("https://www.773grp.com/globalSearch/M74HC390D/page-1", "M74HC390D")</f>
        <v>M74HC390D</v>
      </c>
      <c r="B36787" s="3" t="s">
        <v>95</v>
      </c>
      <c r="C36787" s="6">
        <v>2380</v>
      </c>
      <c r="D36787" s="7">
        <v>1.59</v>
      </c>
    </row>
    <row r="36788" spans="1:5" x14ac:dyDescent="0.25">
      <c r="A36788" t="str">
        <f>HYPERLINK("https://www.773grp.com/globalSearch/MAX708SESA-TG/page-1", "MAX708SESA-TG")</f>
        <v>MAX708SESA-TG</v>
      </c>
      <c r="B36788" s="3" t="s">
        <v>95</v>
      </c>
      <c r="C36788" s="6">
        <v>10000</v>
      </c>
      <c r="D36788" s="7">
        <v>1.59</v>
      </c>
      <c r="E36788" t="s">
        <v>30</v>
      </c>
    </row>
    <row r="36789" spans="1:5" x14ac:dyDescent="0.25">
      <c r="A36789" t="str">
        <f>HYPERLINK("https://www.773grp.com/globalSearch/MAX812REUS-T/page-1", "MAX812REUS-T")</f>
        <v>MAX812REUS-T</v>
      </c>
      <c r="B36789" s="3" t="s">
        <v>95</v>
      </c>
      <c r="C36789" s="6">
        <v>166364</v>
      </c>
      <c r="D36789" s="7">
        <v>1.59</v>
      </c>
      <c r="E36789" t="s">
        <v>30</v>
      </c>
    </row>
    <row r="36790" spans="1:5" x14ac:dyDescent="0.25">
      <c r="A36790" t="str">
        <f>HYPERLINK("https://www.773grp.com/globalSearch/MBR2045CTG/page-1", "MBR2045CTG")</f>
        <v>MBR2045CTG</v>
      </c>
      <c r="B36790" s="3" t="s">
        <v>95</v>
      </c>
      <c r="C36790" s="6">
        <v>201634</v>
      </c>
      <c r="D36790" s="7">
        <v>1.59</v>
      </c>
      <c r="E36790" t="s">
        <v>103</v>
      </c>
    </row>
    <row r="36791" spans="1:5" x14ac:dyDescent="0.25">
      <c r="A36791" t="str">
        <f>HYPERLINK("https://www.773grp.com/globalSearch/MBR2045CTH/page-1", "MBR2045CTH")</f>
        <v>MBR2045CTH</v>
      </c>
      <c r="B36791" s="3" t="s">
        <v>95</v>
      </c>
      <c r="C36791" s="6">
        <v>2800</v>
      </c>
      <c r="D36791" s="7">
        <v>1.59</v>
      </c>
    </row>
    <row r="36792" spans="1:5" x14ac:dyDescent="0.25">
      <c r="A36792" t="str">
        <f>HYPERLINK("https://www.773grp.com/globalSearch/MBRA320T3G/page-1", "MBRA320T3G")</f>
        <v>MBRA320T3G</v>
      </c>
      <c r="B36792" s="3" t="s">
        <v>95</v>
      </c>
      <c r="C36792" s="6">
        <v>661</v>
      </c>
      <c r="D36792" s="7">
        <v>1.59</v>
      </c>
    </row>
    <row r="36793" spans="1:5" x14ac:dyDescent="0.25">
      <c r="A36793" t="str">
        <f>HYPERLINK("https://www.773grp.com/globalSearch/MBRF2045CTG/page-1", "MBRF2045CTG")</f>
        <v>MBRF2045CTG</v>
      </c>
      <c r="B36793" s="3" t="s">
        <v>95</v>
      </c>
      <c r="C36793" s="6">
        <v>178500</v>
      </c>
      <c r="D36793" s="7">
        <v>1.59</v>
      </c>
      <c r="E36793" t="s">
        <v>103</v>
      </c>
    </row>
    <row r="36794" spans="1:5" x14ac:dyDescent="0.25">
      <c r="A36794" t="str">
        <f>HYPERLINK("https://www.773grp.com/globalSearch/MBRS320T3/page-1", "MBRS320T3")</f>
        <v>MBRS320T3</v>
      </c>
      <c r="B36794" s="3" t="s">
        <v>95</v>
      </c>
      <c r="C36794" s="6">
        <v>900</v>
      </c>
      <c r="D36794" s="7">
        <v>1.59</v>
      </c>
    </row>
    <row r="36795" spans="1:5" x14ac:dyDescent="0.25">
      <c r="A36795" t="str">
        <f>HYPERLINK("https://www.773grp.com/globalSearch/MBRS320T3G/page-1", "MBRS320T3G")</f>
        <v>MBRS320T3G</v>
      </c>
      <c r="B36795" s="3" t="s">
        <v>95</v>
      </c>
      <c r="C36795" s="6">
        <v>116875</v>
      </c>
      <c r="D36795" s="7">
        <v>1.59</v>
      </c>
      <c r="E36795" t="s">
        <v>103</v>
      </c>
    </row>
    <row r="36796" spans="1:5" x14ac:dyDescent="0.25">
      <c r="A36796" t="str">
        <f>HYPERLINK("https://www.773grp.com/globalSearch/MBRS330T3/page-1", "MBRS330T3")</f>
        <v>MBRS330T3</v>
      </c>
      <c r="B36796" s="3" t="s">
        <v>95</v>
      </c>
      <c r="C36796" s="6">
        <v>6985</v>
      </c>
      <c r="D36796" s="7">
        <v>1.59</v>
      </c>
      <c r="E36796" t="s">
        <v>103</v>
      </c>
    </row>
    <row r="36797" spans="1:5" x14ac:dyDescent="0.25">
      <c r="A36797" t="str">
        <f>HYPERLINK("https://www.773grp.com/globalSearch/MBRS330T3G/page-1", "MBRS330T3G")</f>
        <v>MBRS330T3G</v>
      </c>
      <c r="B36797" s="3" t="s">
        <v>95</v>
      </c>
      <c r="C36797" s="6">
        <v>24790</v>
      </c>
      <c r="D36797" s="7">
        <v>1.59</v>
      </c>
      <c r="E36797" t="s">
        <v>103</v>
      </c>
    </row>
    <row r="36798" spans="1:5" x14ac:dyDescent="0.25">
      <c r="A36798" t="str">
        <f>HYPERLINK("https://www.773grp.com/globalSearch/MC1413BP/page-1", "MC1413BP")</f>
        <v>MC1413BP</v>
      </c>
      <c r="B36798" s="3" t="s">
        <v>95</v>
      </c>
      <c r="C36798" s="6">
        <v>100</v>
      </c>
      <c r="D36798" s="7">
        <v>1.59</v>
      </c>
      <c r="E36798" t="s">
        <v>59</v>
      </c>
    </row>
    <row r="36799" spans="1:5" x14ac:dyDescent="0.25">
      <c r="A36799" t="str">
        <f>HYPERLINK("https://www.773grp.com/globalSearch/MC1413BPG/page-1", "MC1413BPG")</f>
        <v>MC1413BPG</v>
      </c>
      <c r="B36799" s="3" t="s">
        <v>95</v>
      </c>
      <c r="C36799" s="6">
        <v>27975</v>
      </c>
      <c r="D36799" s="7">
        <v>1.59</v>
      </c>
      <c r="E36799" t="s">
        <v>59</v>
      </c>
    </row>
    <row r="36800" spans="1:5" x14ac:dyDescent="0.25">
      <c r="A36800" t="str">
        <f>HYPERLINK("https://www.773grp.com/globalSearch/MC14521BD/page-1", "MC14521BD")</f>
        <v>MC14521BD</v>
      </c>
      <c r="B36800" s="3" t="s">
        <v>95</v>
      </c>
      <c r="C36800" s="6">
        <v>432</v>
      </c>
      <c r="D36800" s="7">
        <v>1.59</v>
      </c>
      <c r="E36800" t="s">
        <v>54</v>
      </c>
    </row>
    <row r="36801" spans="1:5" x14ac:dyDescent="0.25">
      <c r="A36801" t="str">
        <f>HYPERLINK("https://www.773grp.com/globalSearch/MC14521BDG/page-1", "MC14521BDG")</f>
        <v>MC14521BDG</v>
      </c>
      <c r="B36801" s="3" t="s">
        <v>95</v>
      </c>
      <c r="C36801" s="6">
        <v>960</v>
      </c>
      <c r="D36801" s="7">
        <v>1.59</v>
      </c>
      <c r="E36801" t="s">
        <v>54</v>
      </c>
    </row>
    <row r="36802" spans="1:5" x14ac:dyDescent="0.25">
      <c r="A36802" t="str">
        <f>HYPERLINK("https://www.773grp.com/globalSearch/MC14521BDR2/page-1", "MC14521BDR2")</f>
        <v>MC14521BDR2</v>
      </c>
      <c r="B36802" s="3" t="s">
        <v>95</v>
      </c>
      <c r="C36802" s="6">
        <v>8010</v>
      </c>
      <c r="D36802" s="7">
        <v>1.59</v>
      </c>
      <c r="E36802" t="s">
        <v>54</v>
      </c>
    </row>
    <row r="36803" spans="1:5" x14ac:dyDescent="0.25">
      <c r="A36803" t="str">
        <f>HYPERLINK("https://www.773grp.com/globalSearch/MC14521BDR2G/page-1", "MC14521BDR2G")</f>
        <v>MC14521BDR2G</v>
      </c>
      <c r="B36803" s="3" t="s">
        <v>95</v>
      </c>
      <c r="C36803" s="6">
        <v>2500</v>
      </c>
      <c r="D36803" s="7">
        <v>1.59</v>
      </c>
      <c r="E36803" t="s">
        <v>54</v>
      </c>
    </row>
    <row r="36804" spans="1:5" x14ac:dyDescent="0.25">
      <c r="A36804" t="str">
        <f>HYPERLINK("https://www.773grp.com/globalSearch/MC3302DG/page-1", "MC3302DG")</f>
        <v>MC3302DG</v>
      </c>
      <c r="B36804" s="3" t="s">
        <v>95</v>
      </c>
      <c r="C36804" s="6">
        <v>1215</v>
      </c>
      <c r="D36804" s="7">
        <v>1.59</v>
      </c>
      <c r="E36804" t="s">
        <v>9</v>
      </c>
    </row>
    <row r="36805" spans="1:5" x14ac:dyDescent="0.25">
      <c r="A36805" t="str">
        <f>HYPERLINK("https://www.773grp.com/globalSearch/MC3302DR2G/page-1", "MC3302DR2G")</f>
        <v>MC3302DR2G</v>
      </c>
      <c r="B36805" s="3" t="s">
        <v>95</v>
      </c>
      <c r="C36805" s="6">
        <v>12239</v>
      </c>
      <c r="D36805" s="7">
        <v>1.59</v>
      </c>
      <c r="E36805" t="s">
        <v>9</v>
      </c>
    </row>
    <row r="36806" spans="1:5" x14ac:dyDescent="0.25">
      <c r="A36806" t="str">
        <f>HYPERLINK("https://www.773grp.com/globalSearch/MC33172DG/page-1", "MC33172DG")</f>
        <v>MC33172DG</v>
      </c>
      <c r="B36806" s="3" t="s">
        <v>95</v>
      </c>
      <c r="C36806" s="6">
        <v>1558</v>
      </c>
      <c r="D36806" s="7">
        <v>1.59</v>
      </c>
    </row>
    <row r="36807" spans="1:5" x14ac:dyDescent="0.25">
      <c r="A36807" t="str">
        <f>HYPERLINK("https://www.773grp.com/globalSearch/MC33262CDR2G/page-1", "MC33262CDR2G")</f>
        <v>MC33262CDR2G</v>
      </c>
      <c r="B36807" s="3" t="s">
        <v>95</v>
      </c>
      <c r="C36807" s="6">
        <v>1539</v>
      </c>
      <c r="D36807" s="7">
        <v>1.59</v>
      </c>
    </row>
    <row r="36808" spans="1:5" x14ac:dyDescent="0.25">
      <c r="A36808" t="str">
        <f>HYPERLINK("https://www.773grp.com/globalSearch/MC33262DG/page-1", "MC33262DG")</f>
        <v>MC33262DG</v>
      </c>
      <c r="B36808" s="3" t="s">
        <v>95</v>
      </c>
      <c r="C36808" s="6">
        <v>21112</v>
      </c>
      <c r="D36808" s="7">
        <v>1.59</v>
      </c>
    </row>
    <row r="36809" spans="1:5" x14ac:dyDescent="0.25">
      <c r="A36809" t="str">
        <f>HYPERLINK("https://www.773grp.com/globalSearch/MC34063AP1G/page-1", "MC34063AP1G")</f>
        <v>MC34063AP1G</v>
      </c>
      <c r="B36809" s="3" t="s">
        <v>95</v>
      </c>
      <c r="C36809" s="6">
        <v>35885</v>
      </c>
      <c r="D36809" s="7">
        <v>1.59</v>
      </c>
      <c r="E36809" t="s">
        <v>7</v>
      </c>
    </row>
    <row r="36810" spans="1:5" x14ac:dyDescent="0.25">
      <c r="A36810" t="str">
        <f>HYPERLINK("https://www.773grp.com/globalSearch/MC34064DM-5R2/page-1", "MC34064DM-5R2")</f>
        <v>MC34064DM-5R2</v>
      </c>
      <c r="B36810" s="3" t="s">
        <v>95</v>
      </c>
      <c r="C36810" s="6">
        <v>3880</v>
      </c>
      <c r="D36810" s="7">
        <v>1.59</v>
      </c>
      <c r="E36810" t="s">
        <v>30</v>
      </c>
    </row>
    <row r="36811" spans="1:5" x14ac:dyDescent="0.25">
      <c r="A36811" t="str">
        <f>HYPERLINK("https://www.773grp.com/globalSearch/MC34071ADG/page-1", "MC34071ADG")</f>
        <v>MC34071ADG</v>
      </c>
      <c r="B36811" s="3" t="s">
        <v>95</v>
      </c>
      <c r="C36811" s="6">
        <v>3541</v>
      </c>
      <c r="D36811" s="7">
        <v>1.59</v>
      </c>
      <c r="E36811" t="s">
        <v>13</v>
      </c>
    </row>
    <row r="36812" spans="1:5" x14ac:dyDescent="0.25">
      <c r="A36812" t="str">
        <f>HYPERLINK("https://www.773grp.com/globalSearch/MC34071ADR2G/page-1", "MC34071ADR2G")</f>
        <v>MC34071ADR2G</v>
      </c>
      <c r="B36812" s="3" t="s">
        <v>95</v>
      </c>
      <c r="C36812" s="6">
        <v>8382</v>
      </c>
      <c r="D36812" s="7">
        <v>1.59</v>
      </c>
      <c r="E36812" t="s">
        <v>13</v>
      </c>
    </row>
    <row r="36813" spans="1:5" x14ac:dyDescent="0.25">
      <c r="A36813" t="str">
        <f>HYPERLINK("https://www.773grp.com/globalSearch/MC34071APG/page-1", "MC34071APG")</f>
        <v>MC34071APG</v>
      </c>
      <c r="B36813" s="3" t="s">
        <v>95</v>
      </c>
      <c r="C36813" s="6">
        <v>1259</v>
      </c>
      <c r="D36813" s="7">
        <v>1.59</v>
      </c>
      <c r="E36813" t="s">
        <v>13</v>
      </c>
    </row>
    <row r="36814" spans="1:5" x14ac:dyDescent="0.25">
      <c r="A36814" t="str">
        <f>HYPERLINK("https://www.773grp.com/globalSearch/MC34072PG/page-1", "MC34072PG")</f>
        <v>MC34072PG</v>
      </c>
      <c r="B36814" s="3" t="s">
        <v>95</v>
      </c>
      <c r="C36814" s="6">
        <v>7800</v>
      </c>
      <c r="D36814" s="7">
        <v>1.59</v>
      </c>
      <c r="E36814" t="s">
        <v>13</v>
      </c>
    </row>
    <row r="36815" spans="1:5" x14ac:dyDescent="0.25">
      <c r="A36815" t="str">
        <f>HYPERLINK("https://www.773grp.com/globalSearch/MC74A5-33SNTR/page-1", "MC74A5-33SNTR")</f>
        <v>MC74A5-33SNTR</v>
      </c>
      <c r="B36815" s="3" t="s">
        <v>95</v>
      </c>
      <c r="C36815" s="6">
        <v>23900</v>
      </c>
      <c r="D36815" s="7">
        <v>1.59</v>
      </c>
      <c r="E36815" t="s">
        <v>12</v>
      </c>
    </row>
    <row r="36816" spans="1:5" x14ac:dyDescent="0.25">
      <c r="A36816" t="str">
        <f>HYPERLINK("https://www.773grp.com/globalSearch/MC74ACT299DWG/page-1", "MC74ACT299DWG")</f>
        <v>MC74ACT299DWG</v>
      </c>
      <c r="B36816" s="3" t="s">
        <v>95</v>
      </c>
      <c r="C36816" s="6">
        <v>1026</v>
      </c>
      <c r="D36816" s="7">
        <v>1.59</v>
      </c>
      <c r="E36816" t="s">
        <v>32</v>
      </c>
    </row>
    <row r="36817" spans="1:5" x14ac:dyDescent="0.25">
      <c r="A36817" t="str">
        <f>HYPERLINK("https://www.773grp.com/globalSearch/MC74LCX16240DTR2/page-1", "MC74LCX16240DTR2")</f>
        <v>MC74LCX16240DTR2</v>
      </c>
      <c r="B36817" s="3" t="s">
        <v>95</v>
      </c>
      <c r="C36817" s="6">
        <v>10000</v>
      </c>
      <c r="D36817" s="7">
        <v>1.59</v>
      </c>
      <c r="E36817" t="s">
        <v>14</v>
      </c>
    </row>
    <row r="36818" spans="1:5" x14ac:dyDescent="0.25">
      <c r="A36818" t="str">
        <f>HYPERLINK("https://www.773grp.com/globalSearch/MC74LCX16240DTRG/page-1", "MC74LCX16240DTRG")</f>
        <v>MC74LCX16240DTRG</v>
      </c>
      <c r="B36818" s="3" t="s">
        <v>95</v>
      </c>
      <c r="C36818" s="6">
        <v>2475</v>
      </c>
      <c r="D36818" s="7">
        <v>1.59</v>
      </c>
      <c r="E36818" t="s">
        <v>14</v>
      </c>
    </row>
    <row r="36819" spans="1:5" x14ac:dyDescent="0.25">
      <c r="A36819" t="str">
        <f>HYPERLINK("https://www.773grp.com/globalSearch/MC74LCX16244DT/page-1", "MC74LCX16244DT")</f>
        <v>MC74LCX16244DT</v>
      </c>
      <c r="B36819" s="3" t="s">
        <v>95</v>
      </c>
      <c r="C36819" s="6">
        <v>13455</v>
      </c>
      <c r="D36819" s="7">
        <v>1.59</v>
      </c>
      <c r="E36819" t="s">
        <v>14</v>
      </c>
    </row>
    <row r="36820" spans="1:5" x14ac:dyDescent="0.25">
      <c r="A36820" t="str">
        <f>HYPERLINK("https://www.773grp.com/globalSearch/MC74LCX16244DTR2/page-1", "MC74LCX16244DTR2")</f>
        <v>MC74LCX16244DTR2</v>
      </c>
      <c r="B36820" s="3" t="s">
        <v>95</v>
      </c>
      <c r="C36820" s="6">
        <v>241510</v>
      </c>
      <c r="D36820" s="7">
        <v>1.59</v>
      </c>
      <c r="E36820" t="s">
        <v>14</v>
      </c>
    </row>
    <row r="36821" spans="1:5" x14ac:dyDescent="0.25">
      <c r="A36821" t="str">
        <f>HYPERLINK("https://www.773grp.com/globalSearch/MC74LCX16244DTRG/page-1", "MC74LCX16244DTRG")</f>
        <v>MC74LCX16244DTRG</v>
      </c>
      <c r="B36821" s="3" t="s">
        <v>95</v>
      </c>
      <c r="C36821" s="6">
        <v>62430</v>
      </c>
      <c r="D36821" s="7">
        <v>1.59</v>
      </c>
      <c r="E36821" t="s">
        <v>14</v>
      </c>
    </row>
    <row r="36822" spans="1:5" x14ac:dyDescent="0.25">
      <c r="A36822" t="str">
        <f>HYPERLINK("https://www.773grp.com/globalSearch/MC74LCX16245DTR2/page-1", "MC74LCX16245DTR2")</f>
        <v>MC74LCX16245DTR2</v>
      </c>
      <c r="B36822" s="3" t="s">
        <v>95</v>
      </c>
      <c r="C36822" s="6">
        <v>32236</v>
      </c>
      <c r="D36822" s="7">
        <v>1.59</v>
      </c>
      <c r="E36822" t="s">
        <v>14</v>
      </c>
    </row>
    <row r="36823" spans="1:5" x14ac:dyDescent="0.25">
      <c r="A36823" t="str">
        <f>HYPERLINK("https://www.773grp.com/globalSearch/MC74LCX16373DT/page-1", "MC74LCX16373DT")</f>
        <v>MC74LCX16373DT</v>
      </c>
      <c r="B36823" s="3" t="s">
        <v>95</v>
      </c>
      <c r="C36823" s="6">
        <v>12747</v>
      </c>
      <c r="D36823" s="7">
        <v>1.59</v>
      </c>
      <c r="E36823" t="s">
        <v>14</v>
      </c>
    </row>
    <row r="36824" spans="1:5" x14ac:dyDescent="0.25">
      <c r="A36824" t="str">
        <f>HYPERLINK("https://www.773grp.com/globalSearch/MC74LCX16373DTR2/page-1", "MC74LCX16373DTR2")</f>
        <v>MC74LCX16373DTR2</v>
      </c>
      <c r="B36824" s="3" t="s">
        <v>95</v>
      </c>
      <c r="C36824" s="6">
        <v>192330</v>
      </c>
      <c r="D36824" s="7">
        <v>1.59</v>
      </c>
      <c r="E36824" t="s">
        <v>14</v>
      </c>
    </row>
    <row r="36825" spans="1:5" x14ac:dyDescent="0.25">
      <c r="A36825" t="str">
        <f>HYPERLINK("https://www.773grp.com/globalSearch/MC74LCX16374DT/page-1", "MC74LCX16374DT")</f>
        <v>MC74LCX16374DT</v>
      </c>
      <c r="B36825" s="3" t="s">
        <v>95</v>
      </c>
      <c r="C36825" s="6">
        <v>3393</v>
      </c>
      <c r="D36825" s="7">
        <v>1.59</v>
      </c>
      <c r="E36825" t="s">
        <v>14</v>
      </c>
    </row>
    <row r="36826" spans="1:5" x14ac:dyDescent="0.25">
      <c r="A36826" t="str">
        <f>HYPERLINK("https://www.773grp.com/globalSearch/MC74LCX16374DTR2/page-1", "MC74LCX16374DTR2")</f>
        <v>MC74LCX16374DTR2</v>
      </c>
      <c r="B36826" s="3" t="s">
        <v>95</v>
      </c>
      <c r="C36826" s="6">
        <v>46889</v>
      </c>
      <c r="D36826" s="7">
        <v>1.59</v>
      </c>
      <c r="E36826" t="s">
        <v>14</v>
      </c>
    </row>
    <row r="36827" spans="1:5" x14ac:dyDescent="0.25">
      <c r="A36827" t="str">
        <f>HYPERLINK("https://www.773grp.com/globalSearch/MC74LCX16374DTRG/page-1", "MC74LCX16374DTRG")</f>
        <v>MC74LCX16374DTRG</v>
      </c>
      <c r="B36827" s="3" t="s">
        <v>95</v>
      </c>
      <c r="C36827" s="6">
        <v>15535</v>
      </c>
      <c r="D36827" s="7">
        <v>1.59</v>
      </c>
      <c r="E36827" t="s">
        <v>14</v>
      </c>
    </row>
    <row r="36828" spans="1:5" x14ac:dyDescent="0.25">
      <c r="A36828" t="str">
        <f>HYPERLINK("https://www.773grp.com/globalSearch/MC74LCX540MELG/page-1", "MC74LCX540MELG")</f>
        <v>MC74LCX540MELG</v>
      </c>
      <c r="B36828" s="3" t="s">
        <v>95</v>
      </c>
      <c r="C36828" s="6">
        <v>10599</v>
      </c>
      <c r="D36828" s="7">
        <v>1.59</v>
      </c>
      <c r="E36828" t="s">
        <v>14</v>
      </c>
    </row>
    <row r="36829" spans="1:5" x14ac:dyDescent="0.25">
      <c r="A36829" t="str">
        <f>HYPERLINK("https://www.773grp.com/globalSearch/MC74LCX541MELG/page-1", "MC74LCX541MELG")</f>
        <v>MC74LCX541MELG</v>
      </c>
      <c r="B36829" s="3" t="s">
        <v>95</v>
      </c>
      <c r="C36829" s="6">
        <v>43385</v>
      </c>
      <c r="D36829" s="7">
        <v>1.59</v>
      </c>
      <c r="E36829" t="s">
        <v>14</v>
      </c>
    </row>
    <row r="36830" spans="1:5" x14ac:dyDescent="0.25">
      <c r="A36830" t="str">
        <f>HYPERLINK("https://www.773grp.com/globalSearch/MC74LVX8051DR2G/page-1", "MC74LVX8051DR2G")</f>
        <v>MC74LVX8051DR2G</v>
      </c>
      <c r="B36830" s="3" t="s">
        <v>95</v>
      </c>
      <c r="C36830" s="6">
        <v>9596</v>
      </c>
      <c r="D36830" s="7">
        <v>1.59</v>
      </c>
      <c r="E36830" t="s">
        <v>56</v>
      </c>
    </row>
    <row r="36831" spans="1:5" x14ac:dyDescent="0.25">
      <c r="A36831" t="str">
        <f>HYPERLINK("https://www.773grp.com/globalSearch/MC74LVX8051DTG/page-1", "MC74LVX8051DTG")</f>
        <v>MC74LVX8051DTG</v>
      </c>
      <c r="B36831" s="3" t="s">
        <v>95</v>
      </c>
      <c r="C36831" s="6">
        <v>5453</v>
      </c>
      <c r="D36831" s="7">
        <v>1.59</v>
      </c>
      <c r="E36831" t="s">
        <v>56</v>
      </c>
    </row>
    <row r="36832" spans="1:5" x14ac:dyDescent="0.25">
      <c r="A36832" t="str">
        <f>HYPERLINK("https://www.773grp.com/globalSearch/MC74LVX8053DR2G/page-1", "MC74LVX8053DR2G")</f>
        <v>MC74LVX8053DR2G</v>
      </c>
      <c r="B36832" s="3" t="s">
        <v>95</v>
      </c>
      <c r="C36832" s="6">
        <v>7890</v>
      </c>
      <c r="D36832" s="7">
        <v>1.59</v>
      </c>
      <c r="E36832" t="s">
        <v>56</v>
      </c>
    </row>
    <row r="36833" spans="1:5" x14ac:dyDescent="0.25">
      <c r="A36833" t="str">
        <f>HYPERLINK("https://www.773grp.com/globalSearch/MC74LVX8053DTR2G/page-1", "MC74LVX8053DTR2G")</f>
        <v>MC74LVX8053DTR2G</v>
      </c>
      <c r="B36833" s="3" t="s">
        <v>95</v>
      </c>
      <c r="C36833" s="6">
        <v>11489</v>
      </c>
      <c r="D36833" s="7">
        <v>1.59</v>
      </c>
      <c r="E36833" t="s">
        <v>56</v>
      </c>
    </row>
    <row r="36834" spans="1:5" x14ac:dyDescent="0.25">
      <c r="A36834" t="str">
        <f>HYPERLINK("https://www.773grp.com/globalSearch/MC74LVXT8051DG/page-1", "MC74LVXT8051DG")</f>
        <v>MC74LVXT8051DG</v>
      </c>
      <c r="B36834" s="3" t="s">
        <v>95</v>
      </c>
      <c r="C36834" s="6">
        <v>9958</v>
      </c>
      <c r="D36834" s="7">
        <v>1.59</v>
      </c>
      <c r="E36834" t="s">
        <v>56</v>
      </c>
    </row>
    <row r="36835" spans="1:5" x14ac:dyDescent="0.25">
      <c r="A36835" t="str">
        <f>HYPERLINK("https://www.773grp.com/globalSearch/MC74LVXT8051DR2G/page-1", "MC74LVXT8051DR2G")</f>
        <v>MC74LVXT8051DR2G</v>
      </c>
      <c r="B36835" s="3" t="s">
        <v>95</v>
      </c>
      <c r="C36835" s="6">
        <v>13675</v>
      </c>
      <c r="D36835" s="7">
        <v>1.59</v>
      </c>
      <c r="E36835" t="s">
        <v>56</v>
      </c>
    </row>
    <row r="36836" spans="1:5" x14ac:dyDescent="0.25">
      <c r="A36836" t="str">
        <f>HYPERLINK("https://www.773grp.com/globalSearch/MC74LVXT8053DR2G/page-1", "MC74LVXT8053DR2G")</f>
        <v>MC74LVXT8053DR2G</v>
      </c>
      <c r="B36836" s="3" t="s">
        <v>95</v>
      </c>
      <c r="C36836" s="6">
        <v>5000</v>
      </c>
      <c r="D36836" s="7">
        <v>1.59</v>
      </c>
      <c r="E36836" t="s">
        <v>56</v>
      </c>
    </row>
    <row r="36837" spans="1:5" x14ac:dyDescent="0.25">
      <c r="A36837" t="str">
        <f>HYPERLINK("https://www.773grp.com/globalSearch/MC7805BDTG/page-1", "MC7805BDTG")</f>
        <v>MC7805BDTG</v>
      </c>
      <c r="B36837" s="3" t="s">
        <v>95</v>
      </c>
      <c r="C36837" s="6">
        <v>4975</v>
      </c>
      <c r="D36837" s="7">
        <v>1.59</v>
      </c>
      <c r="E36837" t="s">
        <v>28</v>
      </c>
    </row>
    <row r="36838" spans="1:5" x14ac:dyDescent="0.25">
      <c r="A36838" t="str">
        <f>HYPERLINK("https://www.773grp.com/globalSearch/MC7805BDTRKG/page-1", "MC7805BDTRKG")</f>
        <v>MC7805BDTRKG</v>
      </c>
      <c r="B36838" s="3" t="s">
        <v>95</v>
      </c>
      <c r="C36838" s="6">
        <v>120719</v>
      </c>
      <c r="D36838" s="7">
        <v>1.59</v>
      </c>
      <c r="E36838" t="s">
        <v>28</v>
      </c>
    </row>
    <row r="36839" spans="1:5" x14ac:dyDescent="0.25">
      <c r="A36839" t="str">
        <f>HYPERLINK("https://www.773grp.com/globalSearch/MC7808BDTG/page-1", "MC7808BDTG")</f>
        <v>MC7808BDTG</v>
      </c>
      <c r="B36839" s="3" t="s">
        <v>95</v>
      </c>
      <c r="C36839" s="6">
        <v>20395</v>
      </c>
      <c r="D36839" s="7">
        <v>1.59</v>
      </c>
      <c r="E36839" t="s">
        <v>28</v>
      </c>
    </row>
    <row r="36840" spans="1:5" x14ac:dyDescent="0.25">
      <c r="A36840" t="str">
        <f>HYPERLINK("https://www.773grp.com/globalSearch/MC7808BDTRKG/page-1", "MC7808BDTRKG")</f>
        <v>MC7808BDTRKG</v>
      </c>
      <c r="B36840" s="3" t="s">
        <v>95</v>
      </c>
      <c r="C36840" s="6">
        <v>29966</v>
      </c>
      <c r="D36840" s="7">
        <v>1.59</v>
      </c>
      <c r="E36840" t="s">
        <v>28</v>
      </c>
    </row>
    <row r="36841" spans="1:5" x14ac:dyDescent="0.25">
      <c r="A36841" t="str">
        <f>HYPERLINK("https://www.773grp.com/globalSearch/MC7812BDTG/page-1", "MC7812BDTG")</f>
        <v>MC7812BDTG</v>
      </c>
      <c r="B36841" s="3" t="s">
        <v>95</v>
      </c>
      <c r="C36841" s="6">
        <v>11025</v>
      </c>
      <c r="D36841" s="7">
        <v>1.59</v>
      </c>
      <c r="E36841" t="s">
        <v>28</v>
      </c>
    </row>
    <row r="36842" spans="1:5" x14ac:dyDescent="0.25">
      <c r="A36842" t="str">
        <f>HYPERLINK("https://www.773grp.com/globalSearch/MC7812BDTRKG/page-1", "MC7812BDTRKG")</f>
        <v>MC7812BDTRKG</v>
      </c>
      <c r="B36842" s="3" t="s">
        <v>95</v>
      </c>
      <c r="C36842" s="6">
        <v>2500</v>
      </c>
      <c r="D36842" s="7">
        <v>1.59</v>
      </c>
    </row>
    <row r="36843" spans="1:5" x14ac:dyDescent="0.25">
      <c r="A36843" t="str">
        <f>HYPERLINK("https://www.773grp.com/globalSearch/MC7815BDTG/page-1", "MC7815BDTG")</f>
        <v>MC7815BDTG</v>
      </c>
      <c r="B36843" s="3" t="s">
        <v>95</v>
      </c>
      <c r="C36843" s="6">
        <v>1938</v>
      </c>
      <c r="D36843" s="7">
        <v>1.59</v>
      </c>
    </row>
    <row r="36844" spans="1:5" x14ac:dyDescent="0.25">
      <c r="A36844" t="str">
        <f>HYPERLINK("https://www.773grp.com/globalSearch/MC7815BDTRKG/page-1", "MC7815BDTRKG")</f>
        <v>MC7815BDTRKG</v>
      </c>
      <c r="B36844" s="3" t="s">
        <v>95</v>
      </c>
      <c r="C36844" s="6">
        <v>5000</v>
      </c>
      <c r="D36844" s="7">
        <v>1.59</v>
      </c>
    </row>
    <row r="36845" spans="1:5" x14ac:dyDescent="0.25">
      <c r="A36845" t="str">
        <f>HYPERLINK("https://www.773grp.com/globalSearch/MC78FC30HT1G/page-1", "MC78FC30HT1G")</f>
        <v>MC78FC30HT1G</v>
      </c>
      <c r="B36845" s="3" t="s">
        <v>95</v>
      </c>
      <c r="C36845" s="6">
        <v>3000</v>
      </c>
      <c r="D36845" s="7">
        <v>1.59</v>
      </c>
      <c r="E36845" t="s">
        <v>19</v>
      </c>
    </row>
    <row r="36846" spans="1:5" x14ac:dyDescent="0.25">
      <c r="A36846" t="str">
        <f>HYPERLINK("https://www.773grp.com/globalSearch/MC78FC33HT1G/page-1", "MC78FC33HT1G")</f>
        <v>MC78FC33HT1G</v>
      </c>
      <c r="B36846" s="3" t="s">
        <v>95</v>
      </c>
      <c r="C36846" s="6">
        <v>108744</v>
      </c>
      <c r="D36846" s="7">
        <v>1.59</v>
      </c>
      <c r="E36846" t="s">
        <v>19</v>
      </c>
    </row>
    <row r="36847" spans="1:5" x14ac:dyDescent="0.25">
      <c r="A36847" t="str">
        <f>HYPERLINK("https://www.773grp.com/globalSearch/MC78FC40HT1G/page-1", "MC78FC40HT1G")</f>
        <v>MC78FC40HT1G</v>
      </c>
      <c r="B36847" s="3" t="s">
        <v>95</v>
      </c>
      <c r="C36847" s="6">
        <v>1000</v>
      </c>
      <c r="D36847" s="7">
        <v>1.59</v>
      </c>
    </row>
    <row r="36848" spans="1:5" x14ac:dyDescent="0.25">
      <c r="A36848" t="str">
        <f>HYPERLINK("https://www.773grp.com/globalSearch/MC78FC50HT1G/page-1", "MC78FC50HT1G")</f>
        <v>MC78FC50HT1G</v>
      </c>
      <c r="B36848" s="3" t="s">
        <v>95</v>
      </c>
      <c r="C36848" s="6">
        <v>1000</v>
      </c>
      <c r="D36848" s="7">
        <v>1.59</v>
      </c>
    </row>
    <row r="36849" spans="1:5" x14ac:dyDescent="0.25">
      <c r="A36849" t="str">
        <f>HYPERLINK("https://www.773grp.com/globalSearch/MCR12DCMT4G/page-1", "MCR12DCMT4G")</f>
        <v>MCR12DCMT4G</v>
      </c>
      <c r="B36849" s="3" t="s">
        <v>95</v>
      </c>
      <c r="C36849" s="6">
        <v>2500</v>
      </c>
      <c r="D36849" s="7">
        <v>1.59</v>
      </c>
      <c r="E36849" t="s">
        <v>97</v>
      </c>
    </row>
    <row r="36850" spans="1:5" x14ac:dyDescent="0.25">
      <c r="A36850" t="str">
        <f>HYPERLINK("https://www.773grp.com/globalSearch/MCR12DSMT4G/page-1", "MCR12DSMT4G")</f>
        <v>MCR12DSMT4G</v>
      </c>
      <c r="B36850" s="3" t="s">
        <v>95</v>
      </c>
      <c r="C36850" s="6">
        <v>107500</v>
      </c>
      <c r="D36850" s="7">
        <v>1.59</v>
      </c>
      <c r="E36850" t="s">
        <v>97</v>
      </c>
    </row>
    <row r="36851" spans="1:5" x14ac:dyDescent="0.25">
      <c r="A36851" t="str">
        <f>HYPERLINK("https://www.773grp.com/globalSearch/MCR218-6T/page-1", "MCR218-6T")</f>
        <v>MCR218-6T</v>
      </c>
      <c r="B36851" s="3" t="s">
        <v>95</v>
      </c>
      <c r="C36851" s="6">
        <v>3250</v>
      </c>
      <c r="D36851" s="7">
        <v>1.59</v>
      </c>
    </row>
    <row r="36852" spans="1:5" x14ac:dyDescent="0.25">
      <c r="A36852" t="str">
        <f>HYPERLINK("https://www.773grp.com/globalSearch/MCR8DSMT4G/page-1", "MCR8DSMT4G")</f>
        <v>MCR8DSMT4G</v>
      </c>
      <c r="B36852" s="3" t="s">
        <v>95</v>
      </c>
      <c r="C36852" s="6">
        <v>12087</v>
      </c>
      <c r="D36852" s="7">
        <v>1.59</v>
      </c>
      <c r="E36852" t="s">
        <v>97</v>
      </c>
    </row>
    <row r="36853" spans="1:5" x14ac:dyDescent="0.25">
      <c r="A36853" t="str">
        <f>HYPERLINK("https://www.773grp.com/globalSearch/MCR8DSNT4G/page-1", "MCR8DSNT4G")</f>
        <v>MCR8DSNT4G</v>
      </c>
      <c r="B36853" s="3" t="s">
        <v>95</v>
      </c>
      <c r="C36853" s="6">
        <v>2250</v>
      </c>
      <c r="D36853" s="7">
        <v>1.59</v>
      </c>
      <c r="E36853" t="s">
        <v>97</v>
      </c>
    </row>
    <row r="36854" spans="1:5" x14ac:dyDescent="0.25">
      <c r="A36854" t="str">
        <f>HYPERLINK("https://www.773grp.com/globalSearch/MJD31CT4/page-1", "MJD31CT4")</f>
        <v>MJD31CT4</v>
      </c>
      <c r="B36854" s="3" t="s">
        <v>95</v>
      </c>
      <c r="C36854" s="6">
        <v>25000</v>
      </c>
      <c r="D36854" s="7">
        <v>1.59</v>
      </c>
    </row>
    <row r="36855" spans="1:5" x14ac:dyDescent="0.25">
      <c r="A36855" t="str">
        <f>HYPERLINK("https://www.773grp.com/globalSearch/MMDFS2P102R2/page-1", "MMDFS2P102R2")</f>
        <v>MMDFS2P102R2</v>
      </c>
      <c r="B36855" s="3" t="s">
        <v>95</v>
      </c>
      <c r="C36855" s="6">
        <v>1340</v>
      </c>
      <c r="D36855" s="7">
        <v>1.59</v>
      </c>
      <c r="E36855" t="s">
        <v>105</v>
      </c>
    </row>
    <row r="36856" spans="1:5" x14ac:dyDescent="0.25">
      <c r="A36856" t="str">
        <f>HYPERLINK("https://www.773grp.com/globalSearch/MMT05A230T3G/page-1", "MMT05A230T3G")</f>
        <v>MMT05A230T3G</v>
      </c>
      <c r="B36856" s="3" t="s">
        <v>95</v>
      </c>
      <c r="C36856" s="6">
        <v>5000</v>
      </c>
      <c r="D36856" s="7">
        <v>1.59</v>
      </c>
      <c r="E36856" t="s">
        <v>109</v>
      </c>
    </row>
    <row r="36857" spans="1:5" x14ac:dyDescent="0.25">
      <c r="A36857" t="str">
        <f>HYPERLINK("https://www.773grp.com/globalSearch/MMT05A310T3G/page-1", "MMT05A310T3G")</f>
        <v>MMT05A310T3G</v>
      </c>
      <c r="B36857" s="3" t="s">
        <v>95</v>
      </c>
      <c r="C36857" s="6">
        <v>59974</v>
      </c>
      <c r="D36857" s="7">
        <v>1.59</v>
      </c>
      <c r="E36857" t="s">
        <v>109</v>
      </c>
    </row>
    <row r="36858" spans="1:5" x14ac:dyDescent="0.25">
      <c r="A36858" t="str">
        <f>HYPERLINK("https://www.773grp.com/globalSearch/MMT05B350T3G/page-1", "MMT05B350T3G")</f>
        <v>MMT05B350T3G</v>
      </c>
      <c r="B36858" s="3" t="s">
        <v>95</v>
      </c>
      <c r="C36858" s="6">
        <v>19944</v>
      </c>
      <c r="D36858" s="7">
        <v>1.59</v>
      </c>
      <c r="E36858" t="s">
        <v>109</v>
      </c>
    </row>
    <row r="36859" spans="1:5" x14ac:dyDescent="0.25">
      <c r="A36859" t="str">
        <f>HYPERLINK("https://www.773grp.com/globalSearch/MTD6N20ET4G/page-1", "MTD6N20ET4G")</f>
        <v>MTD6N20ET4G</v>
      </c>
      <c r="B36859" s="3" t="s">
        <v>95</v>
      </c>
      <c r="C36859" s="6">
        <v>12547</v>
      </c>
      <c r="D36859" s="7">
        <v>1.59</v>
      </c>
      <c r="E36859" t="s">
        <v>105</v>
      </c>
    </row>
    <row r="36860" spans="1:5" x14ac:dyDescent="0.25">
      <c r="A36860" t="str">
        <f>HYPERLINK("https://www.773grp.com/globalSearch/MUR1510/page-1", "MUR1510")</f>
        <v>MUR1510</v>
      </c>
      <c r="B36860" s="3" t="s">
        <v>95</v>
      </c>
      <c r="C36860" s="6">
        <v>735</v>
      </c>
      <c r="D36860" s="7">
        <v>1.59</v>
      </c>
      <c r="E36860" t="s">
        <v>103</v>
      </c>
    </row>
    <row r="36861" spans="1:5" x14ac:dyDescent="0.25">
      <c r="A36861" t="str">
        <f>HYPERLINK("https://www.773grp.com/globalSearch/NCL30105DR2G/page-1", "NCL30105DR2G")</f>
        <v>NCL30105DR2G</v>
      </c>
      <c r="B36861" s="3" t="s">
        <v>95</v>
      </c>
      <c r="C36861" s="6">
        <v>242500</v>
      </c>
      <c r="D36861" s="7">
        <v>1.59</v>
      </c>
    </row>
    <row r="36862" spans="1:5" x14ac:dyDescent="0.25">
      <c r="A36862" t="str">
        <f>HYPERLINK("https://www.773grp.com/globalSearch/NCP1012AP065G/page-1", "NCP1012AP065G")</f>
        <v>NCP1012AP065G</v>
      </c>
      <c r="B36862" s="3" t="s">
        <v>95</v>
      </c>
      <c r="C36862" s="6">
        <v>13010</v>
      </c>
      <c r="D36862" s="7">
        <v>1.59</v>
      </c>
      <c r="E36862" t="s">
        <v>7</v>
      </c>
    </row>
    <row r="36863" spans="1:5" x14ac:dyDescent="0.25">
      <c r="A36863" t="str">
        <f>HYPERLINK("https://www.773grp.com/globalSearch/NCP1013AP065G/page-1", "NCP1013AP065G")</f>
        <v>NCP1013AP065G</v>
      </c>
      <c r="B36863" s="3" t="s">
        <v>95</v>
      </c>
      <c r="C36863" s="6">
        <v>9368</v>
      </c>
      <c r="D36863" s="7">
        <v>1.59</v>
      </c>
      <c r="E36863" t="s">
        <v>7</v>
      </c>
    </row>
    <row r="36864" spans="1:5" x14ac:dyDescent="0.25">
      <c r="A36864" t="str">
        <f>HYPERLINK("https://www.773grp.com/globalSearch/NCP1013AP100G/page-1", "NCP1013AP100G")</f>
        <v>NCP1013AP100G</v>
      </c>
      <c r="B36864" s="3" t="s">
        <v>95</v>
      </c>
      <c r="C36864" s="6">
        <v>2000</v>
      </c>
      <c r="D36864" s="7">
        <v>1.59</v>
      </c>
    </row>
    <row r="36865" spans="1:5" x14ac:dyDescent="0.25">
      <c r="A36865" t="str">
        <f>HYPERLINK("https://www.773grp.com/globalSearch/NCP1013AP133G/page-1", "NCP1013AP133G")</f>
        <v>NCP1013AP133G</v>
      </c>
      <c r="B36865" s="3" t="s">
        <v>95</v>
      </c>
      <c r="C36865" s="6">
        <v>21000</v>
      </c>
      <c r="D36865" s="7">
        <v>1.59</v>
      </c>
      <c r="E36865" t="s">
        <v>7</v>
      </c>
    </row>
    <row r="36866" spans="1:5" x14ac:dyDescent="0.25">
      <c r="A36866" t="str">
        <f>HYPERLINK("https://www.773grp.com/globalSearch/NCP1014AP065G/page-1", "NCP1014AP065G")</f>
        <v>NCP1014AP065G</v>
      </c>
      <c r="B36866" s="3" t="s">
        <v>95</v>
      </c>
      <c r="C36866" s="6">
        <v>40</v>
      </c>
      <c r="D36866" s="7">
        <v>1.59</v>
      </c>
      <c r="E36866" t="s">
        <v>7</v>
      </c>
    </row>
    <row r="36867" spans="1:5" x14ac:dyDescent="0.25">
      <c r="A36867" t="str">
        <f>HYPERLINK("https://www.773grp.com/globalSearch/NCP112D/page-1", "NCP112D")</f>
        <v>NCP112D</v>
      </c>
      <c r="B36867" s="3" t="s">
        <v>95</v>
      </c>
      <c r="C36867" s="6">
        <v>1923</v>
      </c>
      <c r="D36867" s="7">
        <v>1.59</v>
      </c>
      <c r="E36867" t="s">
        <v>30</v>
      </c>
    </row>
    <row r="36868" spans="1:5" x14ac:dyDescent="0.25">
      <c r="A36868" t="str">
        <f>HYPERLINK("https://www.773grp.com/globalSearch/NCP112DR2/page-1", "NCP112DR2")</f>
        <v>NCP112DR2</v>
      </c>
      <c r="B36868" s="3" t="s">
        <v>95</v>
      </c>
      <c r="C36868" s="6">
        <v>4945</v>
      </c>
      <c r="D36868" s="7">
        <v>1.59</v>
      </c>
      <c r="E36868" t="s">
        <v>30</v>
      </c>
    </row>
    <row r="36869" spans="1:5" x14ac:dyDescent="0.25">
      <c r="A36869" t="str">
        <f>HYPERLINK("https://www.773grp.com/globalSearch/NCP112DR2G/page-1", "NCP112DR2G")</f>
        <v>NCP112DR2G</v>
      </c>
      <c r="B36869" s="3" t="s">
        <v>95</v>
      </c>
      <c r="C36869" s="6">
        <v>2445</v>
      </c>
      <c r="D36869" s="7">
        <v>1.59</v>
      </c>
      <c r="E36869" t="s">
        <v>30</v>
      </c>
    </row>
    <row r="36870" spans="1:5" x14ac:dyDescent="0.25">
      <c r="A36870" t="str">
        <f>HYPERLINK("https://www.773grp.com/globalSearch/NCP112P/page-1", "NCP112P")</f>
        <v>NCP112P</v>
      </c>
      <c r="B36870" s="3" t="s">
        <v>95</v>
      </c>
      <c r="C36870" s="6">
        <v>2438</v>
      </c>
      <c r="D36870" s="7">
        <v>1.59</v>
      </c>
      <c r="E36870" t="s">
        <v>30</v>
      </c>
    </row>
    <row r="36871" spans="1:5" x14ac:dyDescent="0.25">
      <c r="A36871" t="str">
        <f>HYPERLINK("https://www.773grp.com/globalSearch/NCP112PG/page-1", "NCP112PG")</f>
        <v>NCP112PG</v>
      </c>
      <c r="B36871" s="3" t="s">
        <v>95</v>
      </c>
      <c r="C36871" s="6">
        <v>2045</v>
      </c>
      <c r="D36871" s="7">
        <v>1.59</v>
      </c>
      <c r="E36871" t="s">
        <v>30</v>
      </c>
    </row>
    <row r="36872" spans="1:5" x14ac:dyDescent="0.25">
      <c r="A36872" t="str">
        <f>HYPERLINK("https://www.773grp.com/globalSearch/NCP1200AP60/page-1", "NCP1200AP60")</f>
        <v>NCP1200AP60</v>
      </c>
      <c r="B36872" s="3" t="s">
        <v>95</v>
      </c>
      <c r="C36872" s="6">
        <v>6350</v>
      </c>
      <c r="D36872" s="7">
        <v>1.59</v>
      </c>
      <c r="E36872" t="s">
        <v>7</v>
      </c>
    </row>
    <row r="36873" spans="1:5" x14ac:dyDescent="0.25">
      <c r="A36873" t="str">
        <f>HYPERLINK("https://www.773grp.com/globalSearch/NCP1201P100G/page-1", "NCP1201P100G")</f>
        <v>NCP1201P100G</v>
      </c>
      <c r="B36873" s="3" t="s">
        <v>95</v>
      </c>
      <c r="C36873" s="6">
        <v>7093</v>
      </c>
      <c r="D36873" s="7">
        <v>1.59</v>
      </c>
      <c r="E36873" t="s">
        <v>7</v>
      </c>
    </row>
    <row r="36874" spans="1:5" x14ac:dyDescent="0.25">
      <c r="A36874" t="str">
        <f>HYPERLINK("https://www.773grp.com/globalSearch/NCP1201P60G/page-1", "NCP1201P60G")</f>
        <v>NCP1201P60G</v>
      </c>
      <c r="B36874" s="3" t="s">
        <v>95</v>
      </c>
      <c r="C36874" s="6">
        <v>3422</v>
      </c>
      <c r="D36874" s="7">
        <v>1.59</v>
      </c>
      <c r="E36874" t="s">
        <v>7</v>
      </c>
    </row>
    <row r="36875" spans="1:5" x14ac:dyDescent="0.25">
      <c r="A36875" t="str">
        <f>HYPERLINK("https://www.773grp.com/globalSearch/NCP1377BP/page-1", "NCP1377BP")</f>
        <v>NCP1377BP</v>
      </c>
      <c r="B36875" s="3" t="s">
        <v>95</v>
      </c>
      <c r="C36875" s="6">
        <v>7000</v>
      </c>
      <c r="D36875" s="7">
        <v>1.59</v>
      </c>
      <c r="E36875" t="s">
        <v>7</v>
      </c>
    </row>
    <row r="36876" spans="1:5" x14ac:dyDescent="0.25">
      <c r="A36876" t="str">
        <f>HYPERLINK("https://www.773grp.com/globalSearch/NCP1597BMNTWG/page-1", "NCP1597BMNTWG")</f>
        <v>NCP1597BMNTWG</v>
      </c>
      <c r="B36876" s="3" t="s">
        <v>95</v>
      </c>
      <c r="C36876" s="6">
        <v>6000</v>
      </c>
      <c r="D36876" s="7">
        <v>1.59</v>
      </c>
      <c r="E36876" t="s">
        <v>7</v>
      </c>
    </row>
    <row r="36877" spans="1:5" x14ac:dyDescent="0.25">
      <c r="A36877" t="str">
        <f>HYPERLINK("https://www.773grp.com/globalSearch/NCP1606ADR2G/page-1", "NCP1606ADR2G")</f>
        <v>NCP1606ADR2G</v>
      </c>
      <c r="B36877" s="3" t="s">
        <v>95</v>
      </c>
      <c r="C36877" s="6">
        <v>93547</v>
      </c>
      <c r="D36877" s="7">
        <v>1.59</v>
      </c>
      <c r="E36877" t="s">
        <v>7</v>
      </c>
    </row>
    <row r="36878" spans="1:5" x14ac:dyDescent="0.25">
      <c r="A36878" t="str">
        <f>HYPERLINK("https://www.773grp.com/globalSearch/NCP1606BDR2G/page-1", "NCP1606BDR2G")</f>
        <v>NCP1606BDR2G</v>
      </c>
      <c r="B36878" s="3" t="s">
        <v>95</v>
      </c>
      <c r="C36878" s="6">
        <v>42585</v>
      </c>
      <c r="D36878" s="7">
        <v>1.59</v>
      </c>
      <c r="E36878" t="s">
        <v>7</v>
      </c>
    </row>
    <row r="36879" spans="1:5" x14ac:dyDescent="0.25">
      <c r="A36879" t="str">
        <f>HYPERLINK("https://www.773grp.com/globalSearch/NCP1729SN35T1G/page-1", "NCP1729SN35T1G")</f>
        <v>NCP1729SN35T1G</v>
      </c>
      <c r="B36879" s="3" t="s">
        <v>95</v>
      </c>
      <c r="C36879" s="6">
        <v>7000</v>
      </c>
      <c r="D36879" s="7">
        <v>1.59</v>
      </c>
      <c r="E36879" t="s">
        <v>7</v>
      </c>
    </row>
    <row r="36880" spans="1:5" x14ac:dyDescent="0.25">
      <c r="A36880" t="str">
        <f>HYPERLINK("https://www.773grp.com/globalSearch/NCP2811AFCT1G/page-1", "NCP2811AFCT1G")</f>
        <v>NCP2811AFCT1G</v>
      </c>
      <c r="B36880" s="3" t="s">
        <v>95</v>
      </c>
      <c r="C36880" s="6">
        <v>42000</v>
      </c>
      <c r="D36880" s="7">
        <v>1.59</v>
      </c>
      <c r="E36880" t="s">
        <v>18</v>
      </c>
    </row>
    <row r="36881" spans="1:5" x14ac:dyDescent="0.25">
      <c r="A36881" t="str">
        <f>HYPERLINK("https://www.773grp.com/globalSearch/NCP2811AMTTXG/page-1", "NCP2811AMTTXG")</f>
        <v>NCP2811AMTTXG</v>
      </c>
      <c r="B36881" s="3" t="s">
        <v>95</v>
      </c>
      <c r="C36881" s="6">
        <v>5800</v>
      </c>
      <c r="D36881" s="7">
        <v>1.59</v>
      </c>
      <c r="E36881" t="s">
        <v>18</v>
      </c>
    </row>
    <row r="36882" spans="1:5" x14ac:dyDescent="0.25">
      <c r="A36882" t="str">
        <f>HYPERLINK("https://www.773grp.com/globalSearch/NCP2811BFCT1G/page-1", "NCP2811BFCT1G")</f>
        <v>NCP2811BFCT1G</v>
      </c>
      <c r="B36882" s="3" t="s">
        <v>95</v>
      </c>
      <c r="C36882" s="6">
        <v>366000</v>
      </c>
      <c r="D36882" s="7">
        <v>1.59</v>
      </c>
    </row>
    <row r="36883" spans="1:5" x14ac:dyDescent="0.25">
      <c r="A36883" t="str">
        <f>HYPERLINK("https://www.773grp.com/globalSearch/NCP2811BMTTXG/page-1", "NCP2811BMTTXG")</f>
        <v>NCP2811BMTTXG</v>
      </c>
      <c r="B36883" s="3" t="s">
        <v>95</v>
      </c>
      <c r="C36883" s="6">
        <v>6000</v>
      </c>
      <c r="D36883" s="7">
        <v>1.59</v>
      </c>
      <c r="E36883" t="s">
        <v>18</v>
      </c>
    </row>
    <row r="36884" spans="1:5" x14ac:dyDescent="0.25">
      <c r="A36884" t="str">
        <f>HYPERLINK("https://www.773grp.com/globalSearch/NCP2820AFCT2G/page-1", "NCP2820AFCT2G")</f>
        <v>NCP2820AFCT2G</v>
      </c>
      <c r="B36884" s="3" t="s">
        <v>95</v>
      </c>
      <c r="C36884" s="6">
        <v>26775</v>
      </c>
      <c r="D36884" s="7">
        <v>1.59</v>
      </c>
      <c r="E36884" t="s">
        <v>18</v>
      </c>
    </row>
    <row r="36885" spans="1:5" x14ac:dyDescent="0.25">
      <c r="A36885" t="str">
        <f>HYPERLINK("https://www.773grp.com/globalSearch/NCP3020ADR2G/page-1", "NCP3020ADR2G")</f>
        <v>NCP3020ADR2G</v>
      </c>
      <c r="B36885" s="3" t="s">
        <v>95</v>
      </c>
      <c r="C36885" s="6">
        <v>7867</v>
      </c>
      <c r="D36885" s="7">
        <v>1.59</v>
      </c>
      <c r="E36885" t="s">
        <v>7</v>
      </c>
    </row>
    <row r="36886" spans="1:5" x14ac:dyDescent="0.25">
      <c r="A36886" t="str">
        <f>HYPERLINK("https://www.773grp.com/globalSearch/NCP3020BDR2G/page-1", "NCP3020BDR2G")</f>
        <v>NCP3020BDR2G</v>
      </c>
      <c r="B36886" s="3" t="s">
        <v>95</v>
      </c>
      <c r="C36886" s="6">
        <v>39333</v>
      </c>
      <c r="D36886" s="7">
        <v>1.59</v>
      </c>
      <c r="E36886" t="s">
        <v>7</v>
      </c>
    </row>
    <row r="36887" spans="1:5" x14ac:dyDescent="0.25">
      <c r="A36887" t="str">
        <f>HYPERLINK("https://www.773grp.com/globalSearch/NCP3030ADR2G/page-1", "NCP3030ADR2G")</f>
        <v>NCP3030ADR2G</v>
      </c>
      <c r="B36887" s="3" t="s">
        <v>95</v>
      </c>
      <c r="C36887" s="6">
        <v>47374</v>
      </c>
      <c r="D36887" s="7">
        <v>1.59</v>
      </c>
    </row>
    <row r="36888" spans="1:5" x14ac:dyDescent="0.25">
      <c r="A36888" t="str">
        <f>HYPERLINK("https://www.773grp.com/globalSearch/NCP3030BDR2G/page-1", "NCP3030BDR2G")</f>
        <v>NCP3030BDR2G</v>
      </c>
      <c r="B36888" s="3" t="s">
        <v>95</v>
      </c>
      <c r="C36888" s="6">
        <v>12790</v>
      </c>
      <c r="D36888" s="7">
        <v>1.59</v>
      </c>
    </row>
    <row r="36889" spans="1:5" x14ac:dyDescent="0.25">
      <c r="A36889" t="str">
        <f>HYPERLINK("https://www.773grp.com/globalSearch/NCP3063BDR2G/page-1", "NCP3063BDR2G")</f>
        <v>NCP3063BDR2G</v>
      </c>
      <c r="B36889" s="3" t="s">
        <v>95</v>
      </c>
      <c r="C36889" s="6">
        <v>97159</v>
      </c>
      <c r="D36889" s="7">
        <v>1.59</v>
      </c>
      <c r="E36889" t="s">
        <v>7</v>
      </c>
    </row>
    <row r="36890" spans="1:5" x14ac:dyDescent="0.25">
      <c r="A36890" t="str">
        <f>HYPERLINK("https://www.773grp.com/globalSearch/NCP3063MNTXG/page-1", "NCP3063MNTXG")</f>
        <v>NCP3063MNTXG</v>
      </c>
      <c r="B36890" s="3" t="s">
        <v>95</v>
      </c>
      <c r="C36890" s="6">
        <v>53056</v>
      </c>
      <c r="D36890" s="7">
        <v>1.59</v>
      </c>
    </row>
    <row r="36891" spans="1:5" x14ac:dyDescent="0.25">
      <c r="A36891" t="str">
        <f>HYPERLINK("https://www.773grp.com/globalSearch/NCP3064DR2G/page-1", "NCP3064DR2G")</f>
        <v>NCP3064DR2G</v>
      </c>
      <c r="B36891" s="3" t="s">
        <v>95</v>
      </c>
      <c r="C36891" s="6">
        <v>51500</v>
      </c>
      <c r="D36891" s="7">
        <v>1.59</v>
      </c>
      <c r="E36891" t="s">
        <v>7</v>
      </c>
    </row>
    <row r="36892" spans="1:5" x14ac:dyDescent="0.25">
      <c r="A36892" t="str">
        <f>HYPERLINK("https://www.773grp.com/globalSearch/NCP3127ADR2G/page-1", "NCP3127ADR2G")</f>
        <v>NCP3127ADR2G</v>
      </c>
      <c r="B36892" s="3" t="s">
        <v>95</v>
      </c>
      <c r="C36892" s="6">
        <v>122993</v>
      </c>
      <c r="D36892" s="7">
        <v>1.59</v>
      </c>
      <c r="E36892" t="s">
        <v>7</v>
      </c>
    </row>
    <row r="36893" spans="1:5" x14ac:dyDescent="0.25">
      <c r="A36893" t="str">
        <f>HYPERLINK("https://www.773grp.com/globalSearch/NCP346SN1T1G/page-1", "NCP346SN1T1G")</f>
        <v>NCP346SN1T1G</v>
      </c>
      <c r="B36893" s="3" t="s">
        <v>95</v>
      </c>
      <c r="C36893" s="6">
        <v>195704</v>
      </c>
      <c r="D36893" s="7">
        <v>1.59</v>
      </c>
      <c r="E36893" t="s">
        <v>30</v>
      </c>
    </row>
    <row r="36894" spans="1:5" x14ac:dyDescent="0.25">
      <c r="A36894" t="str">
        <f>HYPERLINK("https://www.773grp.com/globalSearch/NCP362AMUTBG/page-1", "NCP362AMUTBG")</f>
        <v>NCP362AMUTBG</v>
      </c>
      <c r="B36894" s="3" t="s">
        <v>95</v>
      </c>
      <c r="C36894" s="6">
        <v>3000</v>
      </c>
      <c r="D36894" s="7">
        <v>1.59</v>
      </c>
      <c r="E36894" t="s">
        <v>96</v>
      </c>
    </row>
    <row r="36895" spans="1:5" x14ac:dyDescent="0.25">
      <c r="A36895" t="str">
        <f>HYPERLINK("https://www.773grp.com/globalSearch/NCP391FCALT2G/page-1", "NCP391FCALT2G")</f>
        <v>NCP391FCALT2G</v>
      </c>
      <c r="B36895" s="3" t="s">
        <v>95</v>
      </c>
      <c r="C36895" s="6">
        <v>57000</v>
      </c>
      <c r="D36895" s="7">
        <v>1.59</v>
      </c>
    </row>
    <row r="36896" spans="1:5" x14ac:dyDescent="0.25">
      <c r="A36896" t="str">
        <f>HYPERLINK("https://www.773grp.com/globalSearch/NCP4589DMX12TCG/page-1", "NCP4589DMX12TCG")</f>
        <v>NCP4589DMX12TCG</v>
      </c>
      <c r="B36896" s="3" t="s">
        <v>95</v>
      </c>
      <c r="C36896" s="6">
        <v>25000</v>
      </c>
      <c r="D36896" s="7">
        <v>1.59</v>
      </c>
      <c r="E36896" t="s">
        <v>19</v>
      </c>
    </row>
    <row r="36897" spans="1:5" x14ac:dyDescent="0.25">
      <c r="A36897" t="str">
        <f>HYPERLINK("https://www.773grp.com/globalSearch/NCP4589DMX18TCG/page-1", "NCP4589DMX18TCG")</f>
        <v>NCP4589DMX18TCG</v>
      </c>
      <c r="B36897" s="3" t="s">
        <v>95</v>
      </c>
      <c r="C36897" s="6">
        <v>24988</v>
      </c>
      <c r="D36897" s="7">
        <v>1.59</v>
      </c>
    </row>
    <row r="36898" spans="1:5" x14ac:dyDescent="0.25">
      <c r="A36898" t="str">
        <f>HYPERLINK("https://www.773grp.com/globalSearch/NCP4589DMX28TCG/page-1", "NCP4589DMX28TCG")</f>
        <v>NCP4589DMX28TCG</v>
      </c>
      <c r="B36898" s="3" t="s">
        <v>95</v>
      </c>
      <c r="C36898" s="6">
        <v>5000</v>
      </c>
      <c r="D36898" s="7">
        <v>1.59</v>
      </c>
    </row>
    <row r="36899" spans="1:5" x14ac:dyDescent="0.25">
      <c r="A36899" t="str">
        <f>HYPERLINK("https://www.773grp.com/globalSearch/NCP4589DMX30TCG/page-1", "NCP4589DMX30TCG")</f>
        <v>NCP4589DMX30TCG</v>
      </c>
      <c r="B36899" s="3" t="s">
        <v>95</v>
      </c>
      <c r="C36899" s="6">
        <v>30000</v>
      </c>
      <c r="D36899" s="7">
        <v>1.59</v>
      </c>
    </row>
    <row r="36900" spans="1:5" x14ac:dyDescent="0.25">
      <c r="A36900" t="str">
        <f>HYPERLINK("https://www.773grp.com/globalSearch/NCP4589DMX33TCG/page-1", "NCP4589DMX33TCG")</f>
        <v>NCP4589DMX33TCG</v>
      </c>
      <c r="B36900" s="3" t="s">
        <v>95</v>
      </c>
      <c r="C36900" s="6">
        <v>25000</v>
      </c>
      <c r="D36900" s="7">
        <v>1.59</v>
      </c>
    </row>
    <row r="36901" spans="1:5" x14ac:dyDescent="0.25">
      <c r="A36901" t="str">
        <f>HYPERLINK("https://www.773grp.com/globalSearch/NCP4625DSN12T1G/page-1", "NCP4625DSN12T1G")</f>
        <v>NCP4625DSN12T1G</v>
      </c>
      <c r="B36901" s="3" t="s">
        <v>95</v>
      </c>
      <c r="C36901" s="6">
        <v>6000</v>
      </c>
      <c r="D36901" s="7">
        <v>1.59</v>
      </c>
    </row>
    <row r="36902" spans="1:5" x14ac:dyDescent="0.25">
      <c r="A36902" t="str">
        <f>HYPERLINK("https://www.773grp.com/globalSearch/NCP4625DSN18T1G/page-1", "NCP4625DSN18T1G")</f>
        <v>NCP4625DSN18T1G</v>
      </c>
      <c r="B36902" s="3" t="s">
        <v>95</v>
      </c>
      <c r="C36902" s="6">
        <v>6000</v>
      </c>
      <c r="D36902" s="7">
        <v>1.59</v>
      </c>
    </row>
    <row r="36903" spans="1:5" x14ac:dyDescent="0.25">
      <c r="A36903" t="str">
        <f>HYPERLINK("https://www.773grp.com/globalSearch/NCP4625DSN28T1G/page-1", "NCP4625DSN28T1G")</f>
        <v>NCP4625DSN28T1G</v>
      </c>
      <c r="B36903" s="3" t="s">
        <v>95</v>
      </c>
      <c r="C36903" s="6">
        <v>3000</v>
      </c>
      <c r="D36903" s="7">
        <v>1.59</v>
      </c>
      <c r="E36903" t="s">
        <v>25</v>
      </c>
    </row>
    <row r="36904" spans="1:5" x14ac:dyDescent="0.25">
      <c r="A36904" t="str">
        <f>HYPERLINK("https://www.773grp.com/globalSearch/NCP4625DSN30T1G/page-1", "NCP4625DSN30T1G")</f>
        <v>NCP4625DSN30T1G</v>
      </c>
      <c r="B36904" s="3" t="s">
        <v>95</v>
      </c>
      <c r="C36904" s="6">
        <v>6000</v>
      </c>
      <c r="D36904" s="7">
        <v>1.59</v>
      </c>
    </row>
    <row r="36905" spans="1:5" x14ac:dyDescent="0.25">
      <c r="A36905" t="str">
        <f>HYPERLINK("https://www.773grp.com/globalSearch/NCP4625HSN12T1G/page-1", "NCP4625HSN12T1G")</f>
        <v>NCP4625HSN12T1G</v>
      </c>
      <c r="B36905" s="3" t="s">
        <v>95</v>
      </c>
      <c r="C36905" s="6">
        <v>9000</v>
      </c>
      <c r="D36905" s="7">
        <v>1.59</v>
      </c>
    </row>
    <row r="36906" spans="1:5" x14ac:dyDescent="0.25">
      <c r="A36906" t="str">
        <f>HYPERLINK("https://www.773grp.com/globalSearch/NCP4625HSN18T1G/page-1", "NCP4625HSN18T1G")</f>
        <v>NCP4625HSN18T1G</v>
      </c>
      <c r="B36906" s="3" t="s">
        <v>95</v>
      </c>
      <c r="C36906" s="6">
        <v>6000</v>
      </c>
      <c r="D36906" s="7">
        <v>1.59</v>
      </c>
    </row>
    <row r="36907" spans="1:5" x14ac:dyDescent="0.25">
      <c r="A36907" t="str">
        <f>HYPERLINK("https://www.773grp.com/globalSearch/NCP4625HSN28T1G/page-1", "NCP4625HSN28T1G")</f>
        <v>NCP4625HSN28T1G</v>
      </c>
      <c r="B36907" s="3" t="s">
        <v>95</v>
      </c>
      <c r="C36907" s="6">
        <v>6000</v>
      </c>
      <c r="D36907" s="7">
        <v>1.59</v>
      </c>
    </row>
    <row r="36908" spans="1:5" x14ac:dyDescent="0.25">
      <c r="A36908" t="str">
        <f>HYPERLINK("https://www.773grp.com/globalSearch/NCP4625HSN30T1G/page-1", "NCP4625HSN30T1G")</f>
        <v>NCP4625HSN30T1G</v>
      </c>
      <c r="B36908" s="3" t="s">
        <v>95</v>
      </c>
      <c r="C36908" s="6">
        <v>9000</v>
      </c>
      <c r="D36908" s="7">
        <v>1.59</v>
      </c>
    </row>
    <row r="36909" spans="1:5" x14ac:dyDescent="0.25">
      <c r="A36909" t="str">
        <f>HYPERLINK("https://www.773grp.com/globalSearch/NCP4625HSN50T1G/page-1", "NCP4625HSN50T1G")</f>
        <v>NCP4625HSN50T1G</v>
      </c>
      <c r="B36909" s="3" t="s">
        <v>95</v>
      </c>
      <c r="C36909" s="6">
        <v>3000</v>
      </c>
      <c r="D36909" s="7">
        <v>1.59</v>
      </c>
    </row>
    <row r="36910" spans="1:5" x14ac:dyDescent="0.25">
      <c r="A36910" t="str">
        <f>HYPERLINK("https://www.773grp.com/globalSearch/NCP4683DMU12TCG/page-1", "NCP4683DMU12TCG")</f>
        <v>NCP4683DMU12TCG</v>
      </c>
      <c r="B36910" s="3" t="s">
        <v>95</v>
      </c>
      <c r="C36910" s="6">
        <v>20000</v>
      </c>
      <c r="D36910" s="7">
        <v>1.59</v>
      </c>
    </row>
    <row r="36911" spans="1:5" x14ac:dyDescent="0.25">
      <c r="A36911" t="str">
        <f>HYPERLINK("https://www.773grp.com/globalSearch/NCP4683DMU185TCG/page-1", "NCP4683DMU185TCG")</f>
        <v>NCP4683DMU185TCG</v>
      </c>
      <c r="B36911" s="3" t="s">
        <v>95</v>
      </c>
      <c r="C36911" s="6">
        <v>30000</v>
      </c>
      <c r="D36911" s="7">
        <v>1.59</v>
      </c>
    </row>
    <row r="36912" spans="1:5" x14ac:dyDescent="0.25">
      <c r="A36912" t="str">
        <f>HYPERLINK("https://www.773grp.com/globalSearch/NCP4683DMU285TCG/page-1", "NCP4683DMU285TCG")</f>
        <v>NCP4683DMU285TCG</v>
      </c>
      <c r="B36912" s="3" t="s">
        <v>95</v>
      </c>
      <c r="C36912" s="6">
        <v>10000</v>
      </c>
      <c r="D36912" s="7">
        <v>1.59</v>
      </c>
    </row>
    <row r="36913" spans="1:5" x14ac:dyDescent="0.25">
      <c r="A36913" t="str">
        <f>HYPERLINK("https://www.773grp.com/globalSearch/NCP4683HMU12TCG/page-1", "NCP4683HMU12TCG")</f>
        <v>NCP4683HMU12TCG</v>
      </c>
      <c r="B36913" s="3" t="s">
        <v>95</v>
      </c>
      <c r="C36913" s="6">
        <v>30000</v>
      </c>
      <c r="D36913" s="7">
        <v>1.59</v>
      </c>
    </row>
    <row r="36914" spans="1:5" x14ac:dyDescent="0.25">
      <c r="A36914" t="str">
        <f>HYPERLINK("https://www.773grp.com/globalSearch/NCP4683HMU185TCG/page-1", "NCP4683HMU185TCG")</f>
        <v>NCP4683HMU185TCG</v>
      </c>
      <c r="B36914" s="3" t="s">
        <v>95</v>
      </c>
      <c r="C36914" s="6">
        <v>30000</v>
      </c>
      <c r="D36914" s="7">
        <v>1.59</v>
      </c>
    </row>
    <row r="36915" spans="1:5" x14ac:dyDescent="0.25">
      <c r="A36915" t="str">
        <f>HYPERLINK("https://www.773grp.com/globalSearch/NCP4687DH12T1G/page-1", "NCP4687DH12T1G")</f>
        <v>NCP4687DH12T1G</v>
      </c>
      <c r="B36915" s="3" t="s">
        <v>95</v>
      </c>
      <c r="C36915" s="6">
        <v>1000</v>
      </c>
      <c r="D36915" s="7">
        <v>1.59</v>
      </c>
    </row>
    <row r="36916" spans="1:5" x14ac:dyDescent="0.25">
      <c r="A36916" t="str">
        <f>HYPERLINK("https://www.773grp.com/globalSearch/NCP4894MNR2/page-1", "NCP4894MNR2")</f>
        <v>NCP4894MNR2</v>
      </c>
      <c r="B36916" s="3" t="s">
        <v>95</v>
      </c>
      <c r="C36916" s="6">
        <v>3000</v>
      </c>
      <c r="D36916" s="7">
        <v>1.59</v>
      </c>
      <c r="E36916" t="s">
        <v>18</v>
      </c>
    </row>
    <row r="36917" spans="1:5" x14ac:dyDescent="0.25">
      <c r="A36917" t="str">
        <f>HYPERLINK("https://www.773grp.com/globalSearch/NCP5005SNT1G/page-1", "NCP5005SNT1G")</f>
        <v>NCP5005SNT1G</v>
      </c>
      <c r="B36917" s="3" t="s">
        <v>95</v>
      </c>
      <c r="C36917" s="6">
        <v>369734</v>
      </c>
      <c r="D36917" s="7">
        <v>1.59</v>
      </c>
      <c r="E36917" t="s">
        <v>10</v>
      </c>
    </row>
    <row r="36918" spans="1:5" x14ac:dyDescent="0.25">
      <c r="A36918" t="str">
        <f>HYPERLINK("https://www.773grp.com/globalSearch/NCP5006SNT1G/page-1", "NCP5006SNT1G")</f>
        <v>NCP5006SNT1G</v>
      </c>
      <c r="B36918" s="3" t="s">
        <v>95</v>
      </c>
      <c r="C36918" s="6">
        <v>185768</v>
      </c>
      <c r="D36918" s="7">
        <v>1.59</v>
      </c>
      <c r="E36918" t="s">
        <v>10</v>
      </c>
    </row>
    <row r="36919" spans="1:5" x14ac:dyDescent="0.25">
      <c r="A36919" t="str">
        <f>HYPERLINK("https://www.773grp.com/globalSearch/NCP5007SNT1G/page-1", "NCP5007SNT1G")</f>
        <v>NCP5007SNT1G</v>
      </c>
      <c r="B36919" s="3" t="s">
        <v>95</v>
      </c>
      <c r="C36919" s="6">
        <v>2818</v>
      </c>
      <c r="D36919" s="7">
        <v>1.59</v>
      </c>
      <c r="E36919" t="s">
        <v>10</v>
      </c>
    </row>
    <row r="36920" spans="1:5" x14ac:dyDescent="0.25">
      <c r="A36920" t="str">
        <f>HYPERLINK("https://www.773grp.com/globalSearch/NCP5351MNR2G/page-1", "NCP5351MNR2G")</f>
        <v>NCP5351MNR2G</v>
      </c>
      <c r="B36920" s="3" t="s">
        <v>95</v>
      </c>
      <c r="C36920" s="6">
        <v>6000</v>
      </c>
      <c r="D36920" s="7">
        <v>1.59</v>
      </c>
      <c r="E36920" t="s">
        <v>16</v>
      </c>
    </row>
    <row r="36921" spans="1:5" x14ac:dyDescent="0.25">
      <c r="A36921" t="str">
        <f>HYPERLINK("https://www.773grp.com/globalSearch/NCP5426SN13T1G/page-1", "NCP5426SN13T1G")</f>
        <v>NCP5426SN13T1G</v>
      </c>
      <c r="B36921" s="3" t="s">
        <v>95</v>
      </c>
      <c r="C36921" s="6">
        <v>2900</v>
      </c>
      <c r="D36921" s="7">
        <v>1.59</v>
      </c>
      <c r="E36921" t="s">
        <v>19</v>
      </c>
    </row>
    <row r="36922" spans="1:5" x14ac:dyDescent="0.25">
      <c r="A36922" t="str">
        <f>HYPERLINK("https://www.773grp.com/globalSearch/NCP566ST12T3G/page-1", "NCP566ST12T3G")</f>
        <v>NCP566ST12T3G</v>
      </c>
      <c r="B36922" s="3" t="s">
        <v>95</v>
      </c>
      <c r="C36922" s="6">
        <v>13908</v>
      </c>
      <c r="D36922" s="7">
        <v>1.59</v>
      </c>
      <c r="E36922" t="s">
        <v>19</v>
      </c>
    </row>
    <row r="36923" spans="1:5" x14ac:dyDescent="0.25">
      <c r="A36923" t="str">
        <f>HYPERLINK("https://www.773grp.com/globalSearch/NCP631GD2TR4/page-1", "NCP631GD2TR4")</f>
        <v>NCP631GD2TR4</v>
      </c>
      <c r="B36923" s="3" t="s">
        <v>95</v>
      </c>
      <c r="C36923" s="6">
        <v>51180</v>
      </c>
      <c r="D36923" s="7">
        <v>1.59</v>
      </c>
      <c r="E36923" t="s">
        <v>19</v>
      </c>
    </row>
    <row r="36924" spans="1:5" x14ac:dyDescent="0.25">
      <c r="A36924" t="str">
        <f>HYPERLINK("https://www.773grp.com/globalSearch/NCP631GD2TR4G/page-1", "NCP631GD2TR4G")</f>
        <v>NCP631GD2TR4G</v>
      </c>
      <c r="B36924" s="3" t="s">
        <v>95</v>
      </c>
      <c r="C36924" s="6">
        <v>115715</v>
      </c>
      <c r="D36924" s="7">
        <v>1.59</v>
      </c>
      <c r="E36924" t="s">
        <v>19</v>
      </c>
    </row>
    <row r="36925" spans="1:5" x14ac:dyDescent="0.25">
      <c r="A36925" t="str">
        <f>HYPERLINK("https://www.773grp.com/globalSearch/NCP6335DFCT1G/page-1", "NCP6335DFCT1G")</f>
        <v>NCP6335DFCT1G</v>
      </c>
      <c r="B36925" s="3" t="s">
        <v>95</v>
      </c>
      <c r="C36925" s="6">
        <v>3000</v>
      </c>
      <c r="D36925" s="7">
        <v>1.59</v>
      </c>
    </row>
    <row r="36926" spans="1:5" x14ac:dyDescent="0.25">
      <c r="A36926" t="str">
        <f>HYPERLINK("https://www.773grp.com/globalSearch/NCP9001SNT1G/page-1", "NCP9001SNT1G")</f>
        <v>NCP9001SNT1G</v>
      </c>
      <c r="B36926" s="3" t="s">
        <v>95</v>
      </c>
      <c r="C36926" s="6">
        <v>6000</v>
      </c>
      <c r="D36926" s="7">
        <v>1.59</v>
      </c>
      <c r="E36926" t="s">
        <v>7</v>
      </c>
    </row>
    <row r="36927" spans="1:5" x14ac:dyDescent="0.25">
      <c r="A36927" t="str">
        <f>HYPERLINK("https://www.773grp.com/globalSearch/NCS2001SN1T1G/page-1", "NCS2001SN1T1G")</f>
        <v>NCS2001SN1T1G</v>
      </c>
      <c r="B36927" s="3" t="s">
        <v>95</v>
      </c>
      <c r="C36927" s="6">
        <v>17885</v>
      </c>
      <c r="D36927" s="7">
        <v>1.59</v>
      </c>
      <c r="E36927" t="s">
        <v>13</v>
      </c>
    </row>
    <row r="36928" spans="1:5" x14ac:dyDescent="0.25">
      <c r="A36928" t="str">
        <f>HYPERLINK("https://www.773grp.com/globalSearch/NCS2001SN2T1G/page-1", "NCS2001SN2T1G")</f>
        <v>NCS2001SN2T1G</v>
      </c>
      <c r="B36928" s="3" t="s">
        <v>95</v>
      </c>
      <c r="C36928" s="6">
        <v>37778</v>
      </c>
      <c r="D36928" s="7">
        <v>1.59</v>
      </c>
      <c r="E36928" t="s">
        <v>13</v>
      </c>
    </row>
    <row r="36929" spans="1:5" x14ac:dyDescent="0.25">
      <c r="A36929" t="str">
        <f>HYPERLINK("https://www.773grp.com/globalSearch/NCS2001SQ1T2G/page-1", "NCS2001SQ1T2G")</f>
        <v>NCS2001SQ1T2G</v>
      </c>
      <c r="B36929" s="3" t="s">
        <v>95</v>
      </c>
      <c r="C36929" s="6">
        <v>48948</v>
      </c>
      <c r="D36929" s="7">
        <v>1.59</v>
      </c>
      <c r="E36929" t="s">
        <v>13</v>
      </c>
    </row>
    <row r="36930" spans="1:5" x14ac:dyDescent="0.25">
      <c r="A36930" t="str">
        <f>HYPERLINK("https://www.773grp.com/globalSearch/NCS2001SQ2T2G/page-1", "NCS2001SQ2T2G")</f>
        <v>NCS2001SQ2T2G</v>
      </c>
      <c r="B36930" s="3" t="s">
        <v>95</v>
      </c>
      <c r="C36930" s="6">
        <v>6000</v>
      </c>
      <c r="D36930" s="7">
        <v>1.59</v>
      </c>
      <c r="E36930" t="s">
        <v>13</v>
      </c>
    </row>
    <row r="36931" spans="1:5" x14ac:dyDescent="0.25">
      <c r="A36931" t="str">
        <f>HYPERLINK("https://www.773grp.com/globalSearch/NCT47SNT1/page-1", "NCT47SNT1")</f>
        <v>NCT47SNT1</v>
      </c>
      <c r="B36931" s="3" t="s">
        <v>95</v>
      </c>
      <c r="C36931" s="6">
        <v>65894</v>
      </c>
      <c r="D36931" s="7">
        <v>1.59</v>
      </c>
      <c r="E36931" t="s">
        <v>40</v>
      </c>
    </row>
    <row r="36932" spans="1:5" x14ac:dyDescent="0.25">
      <c r="A36932" t="str">
        <f>HYPERLINK("https://www.773grp.com/globalSearch/NCT51SN095T1/page-1", "NCT51SN095T1")</f>
        <v>NCT51SN095T1</v>
      </c>
      <c r="B36932" s="3" t="s">
        <v>95</v>
      </c>
      <c r="C36932" s="6">
        <v>36000</v>
      </c>
      <c r="D36932" s="7">
        <v>1.59</v>
      </c>
      <c r="E36932" t="s">
        <v>40</v>
      </c>
    </row>
    <row r="36933" spans="1:5" x14ac:dyDescent="0.25">
      <c r="A36933" t="str">
        <f>HYPERLINK("https://www.773grp.com/globalSearch/NCT51SN115T1/page-1", "NCT51SN115T1")</f>
        <v>NCT51SN115T1</v>
      </c>
      <c r="B36933" s="3" t="s">
        <v>95</v>
      </c>
      <c r="C36933" s="6">
        <v>232000</v>
      </c>
      <c r="D36933" s="7">
        <v>1.59</v>
      </c>
      <c r="E36933" t="s">
        <v>40</v>
      </c>
    </row>
    <row r="36934" spans="1:5" x14ac:dyDescent="0.25">
      <c r="A36934" t="str">
        <f>HYPERLINK("https://www.773grp.com/globalSearch/NCT52SN095T1/page-1", "NCT52SN095T1")</f>
        <v>NCT52SN095T1</v>
      </c>
      <c r="B36934" s="3" t="s">
        <v>95</v>
      </c>
      <c r="C36934" s="6">
        <v>258000</v>
      </c>
      <c r="D36934" s="7">
        <v>1.59</v>
      </c>
      <c r="E36934" t="s">
        <v>40</v>
      </c>
    </row>
    <row r="36935" spans="1:5" x14ac:dyDescent="0.25">
      <c r="A36935" t="str">
        <f>HYPERLINK("https://www.773grp.com/globalSearch/NCV2931D-5.0R2G/page-1", "NCV2931D-5.0R2G")</f>
        <v>NCV2931D-5.0R2G</v>
      </c>
      <c r="B36935" s="3" t="s">
        <v>95</v>
      </c>
      <c r="C36935" s="6">
        <v>840</v>
      </c>
      <c r="D36935" s="7">
        <v>1.59</v>
      </c>
      <c r="E36935" t="s">
        <v>19</v>
      </c>
    </row>
    <row r="36936" spans="1:5" x14ac:dyDescent="0.25">
      <c r="A36936" t="str">
        <f>HYPERLINK("https://www.773grp.com/globalSearch/NCV3843BVD1R2G/page-1", "NCV3843BVD1R2G")</f>
        <v>NCV3843BVD1R2G</v>
      </c>
      <c r="B36936" s="3" t="s">
        <v>95</v>
      </c>
      <c r="C36936" s="6">
        <v>46595</v>
      </c>
      <c r="D36936" s="7">
        <v>1.59</v>
      </c>
      <c r="E36936" t="s">
        <v>7</v>
      </c>
    </row>
    <row r="36937" spans="1:5" x14ac:dyDescent="0.25">
      <c r="A36937" t="str">
        <f>HYPERLINK("https://www.773grp.com/globalSearch/NCV3843BVDR2G/page-1", "NCV3843BVDR2G")</f>
        <v>NCV3843BVDR2G</v>
      </c>
      <c r="B36937" s="3" t="s">
        <v>95</v>
      </c>
      <c r="C36937" s="6">
        <v>19747</v>
      </c>
      <c r="D36937" s="7">
        <v>1.59</v>
      </c>
      <c r="E36937" t="s">
        <v>7</v>
      </c>
    </row>
    <row r="36938" spans="1:5" x14ac:dyDescent="0.25">
      <c r="A36938" t="str">
        <f>HYPERLINK("https://www.773grp.com/globalSearch/NCV4949ADR2G/page-1", "NCV4949ADR2G")</f>
        <v>NCV4949ADR2G</v>
      </c>
      <c r="B36938" s="3" t="s">
        <v>95</v>
      </c>
      <c r="C36938" s="6">
        <v>5000</v>
      </c>
      <c r="D36938" s="7">
        <v>1.59</v>
      </c>
    </row>
    <row r="36939" spans="1:5" x14ac:dyDescent="0.25">
      <c r="A36939" t="str">
        <f>HYPERLINK("https://www.773grp.com/globalSearch/NCV7805BDTRKG/page-1", "NCV7805BDTRKG")</f>
        <v>NCV7805BDTRKG</v>
      </c>
      <c r="B36939" s="3" t="s">
        <v>95</v>
      </c>
      <c r="C36939" s="6">
        <v>24250</v>
      </c>
      <c r="D36939" s="7">
        <v>1.59</v>
      </c>
      <c r="E36939" t="s">
        <v>28</v>
      </c>
    </row>
    <row r="36940" spans="1:5" x14ac:dyDescent="0.25">
      <c r="A36940" t="str">
        <f>HYPERLINK("https://www.773grp.com/globalSearch/NCV8440ASTT1G/page-1", "NCV8440ASTT1G")</f>
        <v>NCV8440ASTT1G</v>
      </c>
      <c r="B36940" s="3" t="s">
        <v>95</v>
      </c>
      <c r="C36940" s="6">
        <v>3900</v>
      </c>
      <c r="D36940" s="7">
        <v>1.59</v>
      </c>
    </row>
    <row r="36941" spans="1:5" x14ac:dyDescent="0.25">
      <c r="A36941" t="str">
        <f>HYPERLINK("https://www.773grp.com/globalSearch/NCV8440STT3G/page-1", "NCV8440STT3G")</f>
        <v>NCV8440STT3G</v>
      </c>
      <c r="B36941" s="3" t="s">
        <v>95</v>
      </c>
      <c r="C36941" s="6">
        <v>3000</v>
      </c>
      <c r="D36941" s="7">
        <v>1.59</v>
      </c>
      <c r="E36941" t="s">
        <v>105</v>
      </c>
    </row>
    <row r="36942" spans="1:5" x14ac:dyDescent="0.25">
      <c r="A36942" t="str">
        <f>HYPERLINK("https://www.773grp.com/globalSearch/NCV8502D80/page-1", "NCV8502D80")</f>
        <v>NCV8502D80</v>
      </c>
      <c r="B36942" s="3" t="s">
        <v>95</v>
      </c>
      <c r="C36942" s="6">
        <v>980</v>
      </c>
      <c r="D36942" s="7">
        <v>1.59</v>
      </c>
      <c r="E36942" t="s">
        <v>19</v>
      </c>
    </row>
    <row r="36943" spans="1:5" x14ac:dyDescent="0.25">
      <c r="A36943" t="str">
        <f>HYPERLINK("https://www.773grp.com/globalSearch/NCV8502DADJ/page-1", "NCV8502DADJ")</f>
        <v>NCV8502DADJ</v>
      </c>
      <c r="B36943" s="3" t="s">
        <v>95</v>
      </c>
      <c r="C36943" s="6">
        <v>1372</v>
      </c>
      <c r="D36943" s="7">
        <v>1.59</v>
      </c>
      <c r="E36943" t="s">
        <v>25</v>
      </c>
    </row>
    <row r="36944" spans="1:5" x14ac:dyDescent="0.25">
      <c r="A36944" t="str">
        <f>HYPERLINK("https://www.773grp.com/globalSearch/NCV8504PW25R2/page-1", "NCV8504PW25R2")</f>
        <v>NCV8504PW25R2</v>
      </c>
      <c r="B36944" s="3" t="s">
        <v>95</v>
      </c>
      <c r="C36944" s="6">
        <v>2000</v>
      </c>
      <c r="D36944" s="7">
        <v>1.59</v>
      </c>
      <c r="E36944" t="s">
        <v>19</v>
      </c>
    </row>
    <row r="36945" spans="1:5" x14ac:dyDescent="0.25">
      <c r="A36945" t="str">
        <f>HYPERLINK("https://www.773grp.com/globalSearch/NE592N14/page-1", "NE592N14")</f>
        <v>NE592N14</v>
      </c>
      <c r="B36945" s="3" t="s">
        <v>95</v>
      </c>
      <c r="C36945" s="6">
        <v>1307</v>
      </c>
      <c r="D36945" s="7">
        <v>1.59</v>
      </c>
      <c r="E36945" t="s">
        <v>18</v>
      </c>
    </row>
    <row r="36946" spans="1:5" x14ac:dyDescent="0.25">
      <c r="A36946" t="str">
        <f>HYPERLINK("https://www.773grp.com/globalSearch/NIF9N05CLT3/page-1", "NIF9N05CLT3")</f>
        <v>NIF9N05CLT3</v>
      </c>
      <c r="B36946" s="3" t="s">
        <v>95</v>
      </c>
      <c r="C36946" s="6">
        <v>7319</v>
      </c>
      <c r="D36946" s="7">
        <v>1.59</v>
      </c>
      <c r="E36946" t="s">
        <v>105</v>
      </c>
    </row>
    <row r="36947" spans="1:5" x14ac:dyDescent="0.25">
      <c r="A36947" t="str">
        <f>HYPERLINK("https://www.773grp.com/globalSearch/NLAS4717FCT1G/page-1", "NLAS4717FCT1G")</f>
        <v>NLAS4717FCT1G</v>
      </c>
      <c r="B36947" s="3" t="s">
        <v>95</v>
      </c>
      <c r="C36947" s="6">
        <v>803865</v>
      </c>
      <c r="D36947" s="7">
        <v>1.59</v>
      </c>
      <c r="E36947" t="s">
        <v>56</v>
      </c>
    </row>
    <row r="36948" spans="1:5" x14ac:dyDescent="0.25">
      <c r="A36948" t="str">
        <f>HYPERLINK("https://www.773grp.com/globalSearch/NLAS7213MUTBG/page-1", "NLAS7213MUTBG")</f>
        <v>NLAS7213MUTBG</v>
      </c>
      <c r="B36948" s="3" t="s">
        <v>95</v>
      </c>
      <c r="C36948" s="6">
        <v>86946</v>
      </c>
      <c r="D36948" s="7">
        <v>1.59</v>
      </c>
    </row>
    <row r="36949" spans="1:5" x14ac:dyDescent="0.25">
      <c r="A36949" t="str">
        <f>HYPERLINK("https://www.773grp.com/globalSearch/NLAS7222AMTR2G/page-1", "NLAS7222AMTR2G")</f>
        <v>NLAS7222AMTR2G</v>
      </c>
      <c r="B36949" s="3" t="s">
        <v>95</v>
      </c>
      <c r="C36949" s="6">
        <v>16818</v>
      </c>
      <c r="D36949" s="7">
        <v>1.59</v>
      </c>
      <c r="E36949" t="s">
        <v>56</v>
      </c>
    </row>
    <row r="36950" spans="1:5" x14ac:dyDescent="0.25">
      <c r="A36950" t="str">
        <f>HYPERLINK("https://www.773grp.com/globalSearch/NLAS7222AMUR2G/page-1", "NLAS7222AMUR2G")</f>
        <v>NLAS7222AMUR2G</v>
      </c>
      <c r="B36950" s="3" t="s">
        <v>95</v>
      </c>
      <c r="C36950" s="6">
        <v>17859</v>
      </c>
      <c r="D36950" s="7">
        <v>1.59</v>
      </c>
      <c r="E36950" t="s">
        <v>56</v>
      </c>
    </row>
    <row r="36951" spans="1:5" x14ac:dyDescent="0.25">
      <c r="A36951" t="str">
        <f>HYPERLINK("https://www.773grp.com/globalSearch/NLAS7222BMUTAG/page-1", "NLAS7222BMUTAG")</f>
        <v>NLAS7222BMUTAG</v>
      </c>
      <c r="B36951" s="3" t="s">
        <v>95</v>
      </c>
      <c r="C36951" s="6">
        <v>327000</v>
      </c>
      <c r="D36951" s="7">
        <v>1.59</v>
      </c>
    </row>
    <row r="36952" spans="1:5" x14ac:dyDescent="0.25">
      <c r="A36952" t="str">
        <f>HYPERLINK("https://www.773grp.com/globalSearch/NLAS7222BMUTBG/page-1", "NLAS7222BMUTBG")</f>
        <v>NLAS7222BMUTBG</v>
      </c>
      <c r="B36952" s="3" t="s">
        <v>95</v>
      </c>
      <c r="C36952" s="6">
        <v>362271</v>
      </c>
      <c r="D36952" s="7">
        <v>1.59</v>
      </c>
      <c r="E36952" t="s">
        <v>56</v>
      </c>
    </row>
    <row r="36953" spans="1:5" x14ac:dyDescent="0.25">
      <c r="A36953" t="str">
        <f>HYPERLINK("https://www.773grp.com/globalSearch/NLAS7222CMUTBG/page-1", "NLAS7222CMUTBG")</f>
        <v>NLAS7222CMUTBG</v>
      </c>
      <c r="B36953" s="3" t="s">
        <v>95</v>
      </c>
      <c r="C36953" s="6">
        <v>3000</v>
      </c>
      <c r="D36953" s="7">
        <v>1.59</v>
      </c>
      <c r="E36953" t="s">
        <v>56</v>
      </c>
    </row>
    <row r="36954" spans="1:5" x14ac:dyDescent="0.25">
      <c r="A36954" t="str">
        <f>HYPERLINK("https://www.773grp.com/globalSearch/NLAST4051DTR2G/page-1", "NLAST4051DTR2G")</f>
        <v>NLAST4051DTR2G</v>
      </c>
      <c r="B36954" s="3" t="s">
        <v>95</v>
      </c>
      <c r="C36954" s="6">
        <v>2500</v>
      </c>
      <c r="D36954" s="7">
        <v>1.59</v>
      </c>
    </row>
    <row r="36955" spans="1:5" x14ac:dyDescent="0.25">
      <c r="A36955" t="str">
        <f>HYPERLINK("https://www.773grp.com/globalSearch/NLSX4014MUTAG/page-1", "NLSX4014MUTAG")</f>
        <v>NLSX4014MUTAG</v>
      </c>
      <c r="B36955" s="3" t="s">
        <v>95</v>
      </c>
      <c r="C36955" s="6">
        <v>89505</v>
      </c>
      <c r="D36955" s="7">
        <v>1.59</v>
      </c>
      <c r="E36955" t="s">
        <v>14</v>
      </c>
    </row>
    <row r="36956" spans="1:5" x14ac:dyDescent="0.25">
      <c r="A36956" t="str">
        <f>HYPERLINK("https://www.773grp.com/globalSearch/NLSX4373MUTAG/page-1", "NLSX4373MUTAG")</f>
        <v>NLSX4373MUTAG</v>
      </c>
      <c r="B36956" s="3" t="s">
        <v>95</v>
      </c>
      <c r="C36956" s="6">
        <v>205000</v>
      </c>
      <c r="D36956" s="7">
        <v>1.59</v>
      </c>
    </row>
    <row r="36957" spans="1:5" x14ac:dyDescent="0.25">
      <c r="A36957" t="str">
        <f>HYPERLINK("https://www.773grp.com/globalSearch/NLSX5014MUTAG/page-1", "NLSX5014MUTAG")</f>
        <v>NLSX5014MUTAG</v>
      </c>
      <c r="B36957" s="3" t="s">
        <v>95</v>
      </c>
      <c r="C36957" s="6">
        <v>90000</v>
      </c>
      <c r="D36957" s="7">
        <v>1.59</v>
      </c>
    </row>
    <row r="36958" spans="1:5" x14ac:dyDescent="0.25">
      <c r="A36958" t="str">
        <f>HYPERLINK("https://www.773grp.com/globalSearch/NTB65N02RT4G/page-1", "NTB65N02RT4G")</f>
        <v>NTB65N02RT4G</v>
      </c>
      <c r="B36958" s="3" t="s">
        <v>95</v>
      </c>
      <c r="C36958" s="6">
        <v>4000</v>
      </c>
      <c r="D36958" s="7">
        <v>1.59</v>
      </c>
      <c r="E36958" t="s">
        <v>105</v>
      </c>
    </row>
    <row r="36959" spans="1:5" x14ac:dyDescent="0.25">
      <c r="A36959" t="str">
        <f>HYPERLINK("https://www.773grp.com/globalSearch/NTD110N02R-001G/page-1", "NTD110N02R-001G")</f>
        <v>NTD110N02R-001G</v>
      </c>
      <c r="B36959" s="3" t="s">
        <v>95</v>
      </c>
      <c r="C36959" s="6">
        <v>17861</v>
      </c>
      <c r="D36959" s="7">
        <v>1.59</v>
      </c>
      <c r="E36959" t="s">
        <v>105</v>
      </c>
    </row>
    <row r="36960" spans="1:5" x14ac:dyDescent="0.25">
      <c r="A36960" t="str">
        <f>HYPERLINK("https://www.773grp.com/globalSearch/NTD110N02RG/page-1", "NTD110N02RG")</f>
        <v>NTD110N02RG</v>
      </c>
      <c r="B36960" s="3" t="s">
        <v>95</v>
      </c>
      <c r="C36960" s="6">
        <v>25100</v>
      </c>
      <c r="D36960" s="7">
        <v>1.59</v>
      </c>
      <c r="E36960" t="s">
        <v>105</v>
      </c>
    </row>
    <row r="36961" spans="1:5" x14ac:dyDescent="0.25">
      <c r="A36961" t="str">
        <f>HYPERLINK("https://www.773grp.com/globalSearch/NTD25P03LG/page-1", "NTD25P03LG")</f>
        <v>NTD25P03LG</v>
      </c>
      <c r="B36961" s="3" t="s">
        <v>95</v>
      </c>
      <c r="C36961" s="6">
        <v>2300</v>
      </c>
      <c r="D36961" s="7">
        <v>1.59</v>
      </c>
    </row>
    <row r="36962" spans="1:5" x14ac:dyDescent="0.25">
      <c r="A36962" t="str">
        <f>HYPERLINK("https://www.773grp.com/globalSearch/NTD4404N1G/page-1", "NTD4404N1G")</f>
        <v>NTD4404N1G</v>
      </c>
      <c r="B36962" s="3" t="s">
        <v>95</v>
      </c>
      <c r="C36962" s="6">
        <v>9300</v>
      </c>
      <c r="D36962" s="7">
        <v>1.59</v>
      </c>
    </row>
    <row r="36963" spans="1:5" x14ac:dyDescent="0.25">
      <c r="A36963" t="str">
        <f>HYPERLINK("https://www.773grp.com/globalSearch/NTD5413NT4G/page-1", "NTD5413NT4G")</f>
        <v>NTD5413NT4G</v>
      </c>
      <c r="B36963" s="3" t="s">
        <v>95</v>
      </c>
      <c r="C36963" s="6">
        <v>2500</v>
      </c>
      <c r="D36963" s="7">
        <v>1.59</v>
      </c>
      <c r="E36963" t="s">
        <v>105</v>
      </c>
    </row>
    <row r="36964" spans="1:5" x14ac:dyDescent="0.25">
      <c r="A36964" t="str">
        <f>HYPERLINK("https://www.773grp.com/globalSearch/NTD60N03/page-1", "NTD60N03")</f>
        <v>NTD60N03</v>
      </c>
      <c r="B36964" s="3" t="s">
        <v>95</v>
      </c>
      <c r="C36964" s="6">
        <v>7203</v>
      </c>
      <c r="D36964" s="7">
        <v>1.59</v>
      </c>
      <c r="E36964" t="s">
        <v>105</v>
      </c>
    </row>
    <row r="36965" spans="1:5" x14ac:dyDescent="0.25">
      <c r="A36965" t="str">
        <f>HYPERLINK("https://www.773grp.com/globalSearch/NTD60N03-001/page-1", "NTD60N03-001")</f>
        <v>NTD60N03-001</v>
      </c>
      <c r="B36965" s="3" t="s">
        <v>95</v>
      </c>
      <c r="C36965" s="6">
        <v>29240</v>
      </c>
      <c r="D36965" s="7">
        <v>1.59</v>
      </c>
    </row>
    <row r="36966" spans="1:5" x14ac:dyDescent="0.25">
      <c r="A36966" t="str">
        <f>HYPERLINK("https://www.773grp.com/globalSearch/NTD60N03T4/page-1", "NTD60N03T4")</f>
        <v>NTD60N03T4</v>
      </c>
      <c r="B36966" s="3" t="s">
        <v>95</v>
      </c>
      <c r="C36966" s="6">
        <v>56559</v>
      </c>
      <c r="D36966" s="7">
        <v>1.59</v>
      </c>
      <c r="E36966" t="s">
        <v>105</v>
      </c>
    </row>
    <row r="36967" spans="1:5" x14ac:dyDescent="0.25">
      <c r="A36967" t="str">
        <f>HYPERLINK("https://www.773grp.com/globalSearch/NTD6600N-1G/page-1", "NTD6600N-1G")</f>
        <v>NTD6600N-1G</v>
      </c>
      <c r="B36967" s="3" t="s">
        <v>95</v>
      </c>
      <c r="C36967" s="6">
        <v>1425</v>
      </c>
      <c r="D36967" s="7">
        <v>1.59</v>
      </c>
      <c r="E36967" t="s">
        <v>105</v>
      </c>
    </row>
    <row r="36968" spans="1:5" x14ac:dyDescent="0.25">
      <c r="A36968" t="str">
        <f>HYPERLINK("https://www.773grp.com/globalSearch/NTD6600NT4G/page-1", "NTD6600NT4G")</f>
        <v>NTD6600NT4G</v>
      </c>
      <c r="B36968" s="3" t="s">
        <v>95</v>
      </c>
      <c r="C36968" s="6">
        <v>27</v>
      </c>
      <c r="D36968" s="7">
        <v>1.59</v>
      </c>
      <c r="E36968" t="s">
        <v>105</v>
      </c>
    </row>
    <row r="36969" spans="1:5" x14ac:dyDescent="0.25">
      <c r="A36969" t="str">
        <f>HYPERLINK("https://www.773grp.com/globalSearch/NTD78N03R-1G/page-1", "NTD78N03R-1G")</f>
        <v>NTD78N03R-1G</v>
      </c>
      <c r="B36969" s="3" t="s">
        <v>95</v>
      </c>
      <c r="C36969" s="6">
        <v>4050</v>
      </c>
      <c r="D36969" s="7">
        <v>1.59</v>
      </c>
      <c r="E36969" t="s">
        <v>105</v>
      </c>
    </row>
    <row r="36970" spans="1:5" x14ac:dyDescent="0.25">
      <c r="A36970" t="str">
        <f>HYPERLINK("https://www.773grp.com/globalSearch/NTLGF3402PT1G/page-1", "NTLGF3402PT1G")</f>
        <v>NTLGF3402PT1G</v>
      </c>
      <c r="B36970" s="3" t="s">
        <v>95</v>
      </c>
      <c r="C36970" s="6">
        <v>5200</v>
      </c>
      <c r="D36970" s="7">
        <v>1.59</v>
      </c>
      <c r="E36970" t="s">
        <v>105</v>
      </c>
    </row>
    <row r="36971" spans="1:5" x14ac:dyDescent="0.25">
      <c r="A36971" t="str">
        <f>HYPERLINK("https://www.773grp.com/globalSearch/NTLGF3501NT1G/page-1", "NTLGF3501NT1G")</f>
        <v>NTLGF3501NT1G</v>
      </c>
      <c r="B36971" s="3" t="s">
        <v>95</v>
      </c>
      <c r="C36971" s="6">
        <v>6000</v>
      </c>
      <c r="D36971" s="7">
        <v>1.59</v>
      </c>
      <c r="E36971" t="s">
        <v>105</v>
      </c>
    </row>
    <row r="36972" spans="1:5" x14ac:dyDescent="0.25">
      <c r="A36972" t="str">
        <f>HYPERLINK("https://www.773grp.com/globalSearch/NTMD5836NLR2G/page-1", "NTMD5836NLR2G")</f>
        <v>NTMD5836NLR2G</v>
      </c>
      <c r="B36972" s="3" t="s">
        <v>95</v>
      </c>
      <c r="C36972" s="6">
        <v>2300</v>
      </c>
      <c r="D36972" s="7">
        <v>1.59</v>
      </c>
    </row>
    <row r="36973" spans="1:5" x14ac:dyDescent="0.25">
      <c r="A36973" t="str">
        <f>HYPERLINK("https://www.773grp.com/globalSearch/NTMFS4120NT1G/page-1", "NTMFS4120NT1G")</f>
        <v>NTMFS4120NT1G</v>
      </c>
      <c r="B36973" s="3" t="s">
        <v>95</v>
      </c>
      <c r="C36973" s="6">
        <v>131261</v>
      </c>
      <c r="D36973" s="7">
        <v>1.59</v>
      </c>
      <c r="E36973" t="s">
        <v>106</v>
      </c>
    </row>
    <row r="36974" spans="1:5" x14ac:dyDescent="0.25">
      <c r="A36974" t="str">
        <f>HYPERLINK("https://www.773grp.com/globalSearch/NTMS4503NR2G/page-1", "NTMS4503NR2G")</f>
        <v>NTMS4503NR2G</v>
      </c>
      <c r="B36974" s="3" t="s">
        <v>95</v>
      </c>
      <c r="C36974" s="6">
        <v>5000</v>
      </c>
      <c r="D36974" s="7">
        <v>1.59</v>
      </c>
    </row>
    <row r="36975" spans="1:5" x14ac:dyDescent="0.25">
      <c r="A36975" t="str">
        <f>HYPERLINK("https://www.773grp.com/globalSearch/NTMS4840NR2G/page-1", "NTMS4840NR2G")</f>
        <v>NTMS4840NR2G</v>
      </c>
      <c r="B36975" s="3" t="s">
        <v>95</v>
      </c>
      <c r="C36975" s="6">
        <v>21120</v>
      </c>
      <c r="D36975" s="7">
        <v>1.59</v>
      </c>
      <c r="E36975" t="s">
        <v>106</v>
      </c>
    </row>
    <row r="36976" spans="1:5" x14ac:dyDescent="0.25">
      <c r="A36976" t="str">
        <f>HYPERLINK("https://www.773grp.com/globalSearch/NTP18N06G/page-1", "NTP18N06G")</f>
        <v>NTP18N06G</v>
      </c>
      <c r="B36976" s="3" t="s">
        <v>95</v>
      </c>
      <c r="C36976" s="6">
        <v>1885</v>
      </c>
      <c r="D36976" s="7">
        <v>1.59</v>
      </c>
      <c r="E36976" t="s">
        <v>105</v>
      </c>
    </row>
    <row r="36977" spans="1:5" x14ac:dyDescent="0.25">
      <c r="A36977" t="str">
        <f>HYPERLINK("https://www.773grp.com/globalSearch/NTP18N06L/page-1", "NTP18N06L")</f>
        <v>NTP18N06L</v>
      </c>
      <c r="B36977" s="3" t="s">
        <v>95</v>
      </c>
      <c r="C36977" s="6">
        <v>1717</v>
      </c>
      <c r="D36977" s="7">
        <v>1.59</v>
      </c>
      <c r="E36977" t="s">
        <v>105</v>
      </c>
    </row>
    <row r="36978" spans="1:5" x14ac:dyDescent="0.25">
      <c r="A36978" t="str">
        <f>HYPERLINK("https://www.773grp.com/globalSearch/NUF4107FCT1G/page-1", "NUF4107FCT1G")</f>
        <v>NUF4107FCT1G</v>
      </c>
      <c r="B36978" s="3" t="s">
        <v>95</v>
      </c>
      <c r="C36978" s="6">
        <v>197984</v>
      </c>
      <c r="D36978" s="7">
        <v>1.59</v>
      </c>
      <c r="E36978" t="s">
        <v>100</v>
      </c>
    </row>
    <row r="36979" spans="1:5" x14ac:dyDescent="0.25">
      <c r="A36979" t="str">
        <f>HYPERLINK("https://www.773grp.com/globalSearch/NY5HP02NAA/page-1", "NY5HP02NAA")</f>
        <v>NY5HP02NAA</v>
      </c>
      <c r="B36979" s="3" t="s">
        <v>95</v>
      </c>
      <c r="C36979" s="6">
        <v>10</v>
      </c>
      <c r="D36979" s="7">
        <v>1.59</v>
      </c>
    </row>
    <row r="36980" spans="1:5" x14ac:dyDescent="0.25">
      <c r="A36980" t="str">
        <f>HYPERLINK("https://www.773grp.com/globalSearch/P1P8160AG-10CR/page-1", "P1P8160AG-10CR")</f>
        <v>P1P8160AG-10CR</v>
      </c>
      <c r="B36980" s="3" t="s">
        <v>95</v>
      </c>
      <c r="C36980" s="6">
        <v>24248</v>
      </c>
      <c r="D36980" s="7">
        <v>1.59</v>
      </c>
      <c r="E36980" t="s">
        <v>79</v>
      </c>
    </row>
    <row r="36981" spans="1:5" x14ac:dyDescent="0.25">
      <c r="A36981" t="str">
        <f>HYPERLINK("https://www.773grp.com/globalSearch/SG3525ADW/page-1", "SG3525ADW")</f>
        <v>SG3525ADW</v>
      </c>
      <c r="B36981" s="3" t="s">
        <v>95</v>
      </c>
      <c r="C36981" s="6">
        <v>2266</v>
      </c>
      <c r="D36981" s="7">
        <v>1.59</v>
      </c>
      <c r="E36981" t="s">
        <v>7</v>
      </c>
    </row>
    <row r="36982" spans="1:5" x14ac:dyDescent="0.25">
      <c r="A36982" t="str">
        <f>HYPERLINK("https://www.773grp.com/globalSearch/SR4263/page-1", "SR4263")</f>
        <v>SR4263</v>
      </c>
      <c r="B36982" s="3" t="s">
        <v>95</v>
      </c>
      <c r="C36982" s="6">
        <v>3500</v>
      </c>
      <c r="D36982" s="7">
        <v>1.59</v>
      </c>
    </row>
    <row r="36983" spans="1:5" x14ac:dyDescent="0.25">
      <c r="A36983" t="str">
        <f>HYPERLINK("https://www.773grp.com/globalSearch/SR4431/page-1", "SR4431")</f>
        <v>SR4431</v>
      </c>
      <c r="B36983" s="3" t="s">
        <v>95</v>
      </c>
      <c r="C36983" s="6">
        <v>5000</v>
      </c>
      <c r="D36983" s="7">
        <v>1.59</v>
      </c>
    </row>
    <row r="36984" spans="1:5" x14ac:dyDescent="0.25">
      <c r="A36984" t="str">
        <f>HYPERLINK("https://www.773grp.com/globalSearch/SR4436LRL/page-1", "SR4436LRL")</f>
        <v>SR4436LRL</v>
      </c>
      <c r="B36984" s="3" t="s">
        <v>95</v>
      </c>
      <c r="C36984" s="6">
        <v>2400</v>
      </c>
      <c r="D36984" s="7">
        <v>1.59</v>
      </c>
    </row>
    <row r="36985" spans="1:5" x14ac:dyDescent="0.25">
      <c r="A36985" t="str">
        <f>HYPERLINK("https://www.773grp.com/globalSearch/TIP115G/page-1", "TIP115G")</f>
        <v>TIP115G</v>
      </c>
      <c r="B36985" s="3" t="s">
        <v>95</v>
      </c>
      <c r="C36985" s="6">
        <v>9120</v>
      </c>
      <c r="D36985" s="7">
        <v>1.59</v>
      </c>
      <c r="E36985" t="s">
        <v>59</v>
      </c>
    </row>
    <row r="36986" spans="1:5" x14ac:dyDescent="0.25">
      <c r="A36986" t="str">
        <f>HYPERLINK("https://www.773grp.com/globalSearch/TIP117G/page-1", "TIP117G")</f>
        <v>TIP117G</v>
      </c>
      <c r="B36986" s="3" t="s">
        <v>95</v>
      </c>
      <c r="C36986" s="6">
        <v>900</v>
      </c>
      <c r="D36986" s="7">
        <v>1.59</v>
      </c>
      <c r="E36986" t="s">
        <v>59</v>
      </c>
    </row>
    <row r="36987" spans="1:5" x14ac:dyDescent="0.25">
      <c r="A36987" t="str">
        <f>HYPERLINK("https://www.773grp.com/globalSearch/TIP125G/page-1", "TIP125G")</f>
        <v>TIP125G</v>
      </c>
      <c r="B36987" s="3" t="s">
        <v>95</v>
      </c>
      <c r="C36987" s="6">
        <v>2390</v>
      </c>
      <c r="D36987" s="7">
        <v>1.59</v>
      </c>
      <c r="E36987" t="s">
        <v>59</v>
      </c>
    </row>
    <row r="36988" spans="1:5" x14ac:dyDescent="0.25">
      <c r="A36988" t="str">
        <f>HYPERLINK("https://www.773grp.com/globalSearch/TIP126G/page-1", "TIP126G")</f>
        <v>TIP126G</v>
      </c>
      <c r="B36988" s="3" t="s">
        <v>95</v>
      </c>
      <c r="C36988" s="6">
        <v>9953</v>
      </c>
      <c r="D36988" s="7">
        <v>1.59</v>
      </c>
      <c r="E36988" t="s">
        <v>59</v>
      </c>
    </row>
    <row r="36989" spans="1:5" x14ac:dyDescent="0.25">
      <c r="A36989" t="str">
        <f>HYPERLINK("https://www.773grp.com/globalSearch/TIP127G/page-1", "TIP127G")</f>
        <v>TIP127G</v>
      </c>
      <c r="B36989" s="3" t="s">
        <v>95</v>
      </c>
      <c r="C36989" s="6">
        <v>9096</v>
      </c>
      <c r="D36989" s="7">
        <v>1.59</v>
      </c>
      <c r="E36989" t="s">
        <v>59</v>
      </c>
    </row>
    <row r="36990" spans="1:5" x14ac:dyDescent="0.25">
      <c r="A36990" t="str">
        <f>HYPERLINK("https://www.773grp.com/globalSearch/TIP132G/page-1", "TIP132G")</f>
        <v>TIP132G</v>
      </c>
      <c r="B36990" s="3" t="s">
        <v>95</v>
      </c>
      <c r="C36990" s="6">
        <v>88880</v>
      </c>
      <c r="D36990" s="7">
        <v>1.59</v>
      </c>
      <c r="E36990" t="s">
        <v>59</v>
      </c>
    </row>
    <row r="36991" spans="1:5" x14ac:dyDescent="0.25">
      <c r="A36991" t="str">
        <f>HYPERLINK("https://www.773grp.com/globalSearch/TL084ACN/page-1", "TL084ACN")</f>
        <v>TL084ACN</v>
      </c>
      <c r="B36991" s="3" t="s">
        <v>95</v>
      </c>
      <c r="C36991" s="6">
        <v>652</v>
      </c>
      <c r="D36991" s="7">
        <v>1.59</v>
      </c>
      <c r="E36991" t="s">
        <v>13</v>
      </c>
    </row>
    <row r="36992" spans="1:5" x14ac:dyDescent="0.25">
      <c r="A36992" t="str">
        <f>HYPERLINK("https://www.773grp.com/globalSearch/TL431AIPG/page-1", "TL431AIPG")</f>
        <v>TL431AIPG</v>
      </c>
      <c r="B36992" s="3" t="s">
        <v>95</v>
      </c>
      <c r="C36992" s="6">
        <v>3198</v>
      </c>
      <c r="D36992" s="7">
        <v>1.59</v>
      </c>
      <c r="E36992" t="s">
        <v>17</v>
      </c>
    </row>
    <row r="36993" spans="1:5" x14ac:dyDescent="0.25">
      <c r="A36993" t="str">
        <f>HYPERLINK("https://www.773grp.com/globalSearch/2N6043G/page-1", "2N6043G")</f>
        <v>2N6043G</v>
      </c>
      <c r="B36993" s="3" t="s">
        <v>95</v>
      </c>
      <c r="C36993" s="6">
        <v>9601</v>
      </c>
      <c r="D36993" s="7">
        <v>1.64</v>
      </c>
      <c r="E36993" t="s">
        <v>59</v>
      </c>
    </row>
    <row r="36994" spans="1:5" x14ac:dyDescent="0.25">
      <c r="A36994" t="str">
        <f>HYPERLINK("https://www.773grp.com/globalSearch/2N6348A/page-1", "2N6348A")</f>
        <v>2N6348A</v>
      </c>
      <c r="B36994" s="3" t="s">
        <v>95</v>
      </c>
      <c r="C36994" s="6">
        <v>2575</v>
      </c>
      <c r="D36994" s="7">
        <v>1.64</v>
      </c>
      <c r="E36994" t="s">
        <v>102</v>
      </c>
    </row>
    <row r="36995" spans="1:5" x14ac:dyDescent="0.25">
      <c r="A36995" t="str">
        <f>HYPERLINK("https://www.773grp.com/globalSearch/BYW80-100/page-1", "BYW80-100")</f>
        <v>BYW80-100</v>
      </c>
      <c r="B36995" s="3" t="s">
        <v>95</v>
      </c>
      <c r="C36995" s="6">
        <v>360</v>
      </c>
      <c r="D36995" s="7">
        <v>1.64</v>
      </c>
      <c r="E36995" t="s">
        <v>103</v>
      </c>
    </row>
    <row r="36996" spans="1:5" x14ac:dyDescent="0.25">
      <c r="A36996" t="str">
        <f>HYPERLINK("https://www.773grp.com/globalSearch/CAT25128VI-GT3/page-1", "CAT25128VI-GT3")</f>
        <v>CAT25128VI-GT3</v>
      </c>
      <c r="B36996" s="3" t="s">
        <v>95</v>
      </c>
      <c r="C36996" s="6">
        <v>3000</v>
      </c>
      <c r="D36996" s="7">
        <v>1.64</v>
      </c>
    </row>
    <row r="36997" spans="1:5" x14ac:dyDescent="0.25">
      <c r="A36997" t="str">
        <f>HYPERLINK("https://www.773grp.com/globalSearch/CAT25128YI-GT3/page-1", "CAT25128YI-GT3")</f>
        <v>CAT25128YI-GT3</v>
      </c>
      <c r="B36997" s="3" t="s">
        <v>95</v>
      </c>
      <c r="C36997" s="6">
        <v>39000</v>
      </c>
      <c r="D36997" s="7">
        <v>1.64</v>
      </c>
      <c r="E36997" t="s">
        <v>64</v>
      </c>
    </row>
    <row r="36998" spans="1:5" x14ac:dyDescent="0.25">
      <c r="A36998" t="str">
        <f>HYPERLINK("https://www.773grp.com/globalSearch/CS52015-1GST3/page-1", "CS52015-1GST3")</f>
        <v>CS52015-1GST3</v>
      </c>
      <c r="B36998" s="3" t="s">
        <v>95</v>
      </c>
      <c r="C36998" s="6">
        <v>1075</v>
      </c>
      <c r="D36998" s="7">
        <v>1.64</v>
      </c>
      <c r="E36998" t="s">
        <v>25</v>
      </c>
    </row>
    <row r="36999" spans="1:5" x14ac:dyDescent="0.25">
      <c r="A36999" t="str">
        <f>HYPERLINK("https://www.773grp.com/globalSearch/CS52015-1GSTR3/page-1", "CS52015-1GSTR3")</f>
        <v>CS52015-1GSTR3</v>
      </c>
      <c r="B36999" s="3" t="s">
        <v>95</v>
      </c>
      <c r="C36999" s="6">
        <v>3000</v>
      </c>
      <c r="D36999" s="7">
        <v>1.64</v>
      </c>
      <c r="E36999" t="s">
        <v>25</v>
      </c>
    </row>
    <row r="37000" spans="1:5" x14ac:dyDescent="0.25">
      <c r="A37000" t="str">
        <f>HYPERLINK("https://www.773grp.com/globalSearch/CS52015-3GST3/page-1", "CS52015-3GST3")</f>
        <v>CS52015-3GST3</v>
      </c>
      <c r="B37000" s="3" t="s">
        <v>95</v>
      </c>
      <c r="C37000" s="6">
        <v>3040</v>
      </c>
      <c r="D37000" s="7">
        <v>1.64</v>
      </c>
      <c r="E37000" t="s">
        <v>19</v>
      </c>
    </row>
    <row r="37001" spans="1:5" x14ac:dyDescent="0.25">
      <c r="A37001" t="str">
        <f>HYPERLINK("https://www.773grp.com/globalSearch/CS52015-3GSTR3/page-1", "CS52015-3GSTR3")</f>
        <v>CS52015-3GSTR3</v>
      </c>
      <c r="B37001" s="3" t="s">
        <v>95</v>
      </c>
      <c r="C37001" s="6">
        <v>10000</v>
      </c>
      <c r="D37001" s="7">
        <v>1.64</v>
      </c>
      <c r="E37001" t="s">
        <v>19</v>
      </c>
    </row>
    <row r="37002" spans="1:5" x14ac:dyDescent="0.25">
      <c r="A37002" t="str">
        <f>HYPERLINK("https://www.773grp.com/globalSearch/IRF610/page-1", "IRF610")</f>
        <v>IRF610</v>
      </c>
      <c r="B37002" s="3" t="s">
        <v>95</v>
      </c>
      <c r="C37002" s="6">
        <v>1157</v>
      </c>
      <c r="D37002" s="7">
        <v>1.64</v>
      </c>
      <c r="E37002" t="s">
        <v>105</v>
      </c>
    </row>
    <row r="37003" spans="1:5" x14ac:dyDescent="0.25">
      <c r="A37003" t="str">
        <f>HYPERLINK("https://www.773grp.com/globalSearch/J111RLRPG/page-1", "J111RLRPG")</f>
        <v>J111RLRPG</v>
      </c>
      <c r="B37003" s="3" t="s">
        <v>95</v>
      </c>
      <c r="C37003" s="6">
        <v>2976</v>
      </c>
      <c r="D37003" s="7">
        <v>1.64</v>
      </c>
      <c r="E37003" t="s">
        <v>106</v>
      </c>
    </row>
    <row r="37004" spans="1:5" x14ac:dyDescent="0.25">
      <c r="A37004" t="str">
        <f>HYPERLINK("https://www.773grp.com/globalSearch/L4949N/page-1", "L4949N")</f>
        <v>L4949N</v>
      </c>
      <c r="B37004" s="3" t="s">
        <v>95</v>
      </c>
      <c r="C37004" s="6">
        <v>18</v>
      </c>
      <c r="D37004" s="7">
        <v>1.64</v>
      </c>
      <c r="E37004" t="s">
        <v>19</v>
      </c>
    </row>
    <row r="37005" spans="1:5" x14ac:dyDescent="0.25">
      <c r="A37005" t="str">
        <f>HYPERLINK("https://www.773grp.com/globalSearch/LB11861MC-AH/page-1", "LB11861MC-AH")</f>
        <v>LB11861MC-AH</v>
      </c>
      <c r="B37005" s="3" t="s">
        <v>95</v>
      </c>
      <c r="C37005" s="6">
        <v>76861</v>
      </c>
      <c r="D37005" s="7">
        <v>1.64</v>
      </c>
    </row>
    <row r="37006" spans="1:5" x14ac:dyDescent="0.25">
      <c r="A37006" t="str">
        <f>HYPERLINK("https://www.773grp.com/globalSearch/LB11867FV-TLM-H/page-1", "LB11867FV-TLM-H")</f>
        <v>LB11867FV-TLM-H</v>
      </c>
      <c r="B37006" s="3" t="s">
        <v>95</v>
      </c>
      <c r="C37006" s="6">
        <v>3000</v>
      </c>
      <c r="D37006" s="7">
        <v>1.64</v>
      </c>
    </row>
    <row r="37007" spans="1:5" x14ac:dyDescent="0.25">
      <c r="A37007" t="str">
        <f>HYPERLINK("https://www.773grp.com/globalSearch/LM317MBTG/page-1", "LM317MBTG")</f>
        <v>LM317MBTG</v>
      </c>
      <c r="B37007" s="3" t="s">
        <v>95</v>
      </c>
      <c r="C37007" s="6">
        <v>12880</v>
      </c>
      <c r="D37007" s="7">
        <v>1.64</v>
      </c>
      <c r="E37007" t="s">
        <v>22</v>
      </c>
    </row>
    <row r="37008" spans="1:5" x14ac:dyDescent="0.25">
      <c r="A37008" t="str">
        <f>HYPERLINK("https://www.773grp.com/globalSearch/LP2950ACZ-3.3/page-1", "LP2950ACZ-3.3")</f>
        <v>LP2950ACZ-3.3</v>
      </c>
      <c r="B37008" s="3" t="s">
        <v>95</v>
      </c>
      <c r="C37008" s="6">
        <v>4000</v>
      </c>
      <c r="D37008" s="7">
        <v>1.64</v>
      </c>
      <c r="E37008" t="s">
        <v>19</v>
      </c>
    </row>
    <row r="37009" spans="1:5" x14ac:dyDescent="0.25">
      <c r="A37009" t="str">
        <f>HYPERLINK("https://www.773grp.com/globalSearch/LP2950ACZ-5.0/page-1", "LP2950ACZ-5.0")</f>
        <v>LP2950ACZ-5.0</v>
      </c>
      <c r="B37009" s="3" t="s">
        <v>95</v>
      </c>
      <c r="C37009" s="6">
        <v>6420</v>
      </c>
      <c r="D37009" s="7">
        <v>1.64</v>
      </c>
      <c r="E37009" t="s">
        <v>19</v>
      </c>
    </row>
    <row r="37010" spans="1:5" x14ac:dyDescent="0.25">
      <c r="A37010" t="str">
        <f>HYPERLINK("https://www.773grp.com/globalSearch/LP2950ACZ-5.0RA/page-1", "LP2950ACZ-5.0RA")</f>
        <v>LP2950ACZ-5.0RA</v>
      </c>
      <c r="B37010" s="3" t="s">
        <v>95</v>
      </c>
      <c r="C37010" s="6">
        <v>2000</v>
      </c>
      <c r="D37010" s="7">
        <v>1.64</v>
      </c>
      <c r="E37010" t="s">
        <v>19</v>
      </c>
    </row>
    <row r="37011" spans="1:5" x14ac:dyDescent="0.25">
      <c r="A37011" t="str">
        <f>HYPERLINK("https://www.773grp.com/globalSearch/LSC1142P/page-1", "LSC1142P")</f>
        <v>LSC1142P</v>
      </c>
      <c r="B37011" s="3" t="s">
        <v>95</v>
      </c>
      <c r="C37011" s="6">
        <v>75</v>
      </c>
      <c r="D37011" s="7">
        <v>1.64</v>
      </c>
    </row>
    <row r="37012" spans="1:5" x14ac:dyDescent="0.25">
      <c r="A37012" t="str">
        <f>HYPERLINK("https://www.773grp.com/globalSearch/MAC15-010/page-1", "MAC15-010")</f>
        <v>MAC15-010</v>
      </c>
      <c r="B37012" s="3" t="s">
        <v>95</v>
      </c>
      <c r="C37012" s="6">
        <v>1000</v>
      </c>
      <c r="D37012" s="7">
        <v>1.64</v>
      </c>
    </row>
    <row r="37013" spans="1:5" x14ac:dyDescent="0.25">
      <c r="A37013" t="str">
        <f>HYPERLINK("https://www.773grp.com/globalSearch/MAC15A6/page-1", "MAC15A6")</f>
        <v>MAC15A6</v>
      </c>
      <c r="B37013" s="3" t="s">
        <v>95</v>
      </c>
      <c r="C37013" s="6">
        <v>2820</v>
      </c>
      <c r="D37013" s="7">
        <v>1.64</v>
      </c>
      <c r="E37013" t="s">
        <v>102</v>
      </c>
    </row>
    <row r="37014" spans="1:5" x14ac:dyDescent="0.25">
      <c r="A37014" t="str">
        <f>HYPERLINK("https://www.773grp.com/globalSearch/MBRD330T4/page-1", "MBRD330T4")</f>
        <v>MBRD330T4</v>
      </c>
      <c r="B37014" s="3" t="s">
        <v>95</v>
      </c>
      <c r="C37014" s="6">
        <v>2500</v>
      </c>
      <c r="D37014" s="7">
        <v>1.64</v>
      </c>
      <c r="E37014" t="s">
        <v>103</v>
      </c>
    </row>
    <row r="37015" spans="1:5" x14ac:dyDescent="0.25">
      <c r="A37015" t="str">
        <f>HYPERLINK("https://www.773grp.com/globalSearch/MBRD620CTT4G/page-1", "MBRD620CTT4G")</f>
        <v>MBRD620CTT4G</v>
      </c>
      <c r="B37015" s="3" t="s">
        <v>95</v>
      </c>
      <c r="C37015" s="6">
        <v>3140</v>
      </c>
      <c r="D37015" s="7">
        <v>1.64</v>
      </c>
    </row>
    <row r="37016" spans="1:5" x14ac:dyDescent="0.25">
      <c r="A37016" t="str">
        <f>HYPERLINK("https://www.773grp.com/globalSearch/MBRD640CTG/page-1", "MBRD640CTG")</f>
        <v>MBRD640CTG</v>
      </c>
      <c r="B37016" s="3" t="s">
        <v>95</v>
      </c>
      <c r="C37016" s="6">
        <v>89385</v>
      </c>
      <c r="D37016" s="7">
        <v>1.64</v>
      </c>
    </row>
    <row r="37017" spans="1:5" x14ac:dyDescent="0.25">
      <c r="A37017" t="str">
        <f>HYPERLINK("https://www.773grp.com/globalSearch/MBRD640CTT4G/page-1", "MBRD640CTT4G")</f>
        <v>MBRD640CTT4G</v>
      </c>
      <c r="B37017" s="3" t="s">
        <v>95</v>
      </c>
      <c r="C37017" s="6">
        <v>40006</v>
      </c>
      <c r="D37017" s="7">
        <v>1.64</v>
      </c>
      <c r="E37017" t="s">
        <v>103</v>
      </c>
    </row>
    <row r="37018" spans="1:5" x14ac:dyDescent="0.25">
      <c r="A37018" t="str">
        <f>HYPERLINK("https://www.773grp.com/globalSearch/MBRD650CTG/page-1", "MBRD650CTG")</f>
        <v>MBRD650CTG</v>
      </c>
      <c r="B37018" s="3" t="s">
        <v>95</v>
      </c>
      <c r="C37018" s="6">
        <v>75</v>
      </c>
      <c r="D37018" s="7">
        <v>1.64</v>
      </c>
    </row>
    <row r="37019" spans="1:5" x14ac:dyDescent="0.25">
      <c r="A37019" t="str">
        <f>HYPERLINK("https://www.773grp.com/globalSearch/MBRD650CTT4G/page-1", "MBRD650CTT4G")</f>
        <v>MBRD650CTT4G</v>
      </c>
      <c r="B37019" s="3" t="s">
        <v>95</v>
      </c>
      <c r="C37019" s="6">
        <v>25000</v>
      </c>
      <c r="D37019" s="7">
        <v>1.64</v>
      </c>
      <c r="E37019" t="s">
        <v>103</v>
      </c>
    </row>
    <row r="37020" spans="1:5" x14ac:dyDescent="0.25">
      <c r="A37020" t="str">
        <f>HYPERLINK("https://www.773grp.com/globalSearch/MBRD660CTT4G/page-1", "MBRD660CTT4G")</f>
        <v>MBRD660CTT4G</v>
      </c>
      <c r="B37020" s="3" t="s">
        <v>95</v>
      </c>
      <c r="C37020" s="6">
        <v>18253</v>
      </c>
      <c r="D37020" s="7">
        <v>1.64</v>
      </c>
    </row>
    <row r="37021" spans="1:5" x14ac:dyDescent="0.25">
      <c r="A37021" t="str">
        <f>HYPERLINK("https://www.773grp.com/globalSearch/MC10211P/page-1", "MC10211P")</f>
        <v>MC10211P</v>
      </c>
      <c r="B37021" s="3" t="s">
        <v>95</v>
      </c>
      <c r="C37021" s="6">
        <v>1465</v>
      </c>
      <c r="D37021" s="7">
        <v>1.64</v>
      </c>
      <c r="E37021" t="s">
        <v>31</v>
      </c>
    </row>
    <row r="37022" spans="1:5" x14ac:dyDescent="0.25">
      <c r="A37022" t="str">
        <f>HYPERLINK("https://www.773grp.com/globalSearch/MC10212P/page-1", "MC10212P")</f>
        <v>MC10212P</v>
      </c>
      <c r="B37022" s="3" t="s">
        <v>95</v>
      </c>
      <c r="C37022" s="6">
        <v>4325</v>
      </c>
      <c r="D37022" s="7">
        <v>1.64</v>
      </c>
      <c r="E37022" t="s">
        <v>31</v>
      </c>
    </row>
    <row r="37023" spans="1:5" x14ac:dyDescent="0.25">
      <c r="A37023" t="str">
        <f>HYPERLINK("https://www.773grp.com/globalSearch/MC14099BCPG/page-1", "MC14099BCPG")</f>
        <v>MC14099BCPG</v>
      </c>
      <c r="B37023" s="3" t="s">
        <v>95</v>
      </c>
      <c r="C37023" s="6">
        <v>1000</v>
      </c>
      <c r="D37023" s="7">
        <v>1.64</v>
      </c>
      <c r="E37023" t="s">
        <v>35</v>
      </c>
    </row>
    <row r="37024" spans="1:5" x14ac:dyDescent="0.25">
      <c r="A37024" t="str">
        <f>HYPERLINK("https://www.773grp.com/globalSearch/MC14099BDWG/page-1", "MC14099BDWG")</f>
        <v>MC14099BDWG</v>
      </c>
      <c r="B37024" s="3" t="s">
        <v>95</v>
      </c>
      <c r="C37024" s="6">
        <v>3469</v>
      </c>
      <c r="D37024" s="7">
        <v>1.64</v>
      </c>
      <c r="E37024" t="s">
        <v>35</v>
      </c>
    </row>
    <row r="37025" spans="1:5" x14ac:dyDescent="0.25">
      <c r="A37025" t="str">
        <f>HYPERLINK("https://www.773grp.com/globalSearch/MC14099BDWR2G/page-1", "MC14099BDWR2G")</f>
        <v>MC14099BDWR2G</v>
      </c>
      <c r="B37025" s="3" t="s">
        <v>95</v>
      </c>
      <c r="C37025" s="6">
        <v>2000</v>
      </c>
      <c r="D37025" s="7">
        <v>1.64</v>
      </c>
    </row>
    <row r="37026" spans="1:5" x14ac:dyDescent="0.25">
      <c r="A37026" t="str">
        <f>HYPERLINK("https://www.773grp.com/globalSearch/MC3302PG/page-1", "MC3302PG")</f>
        <v>MC3302PG</v>
      </c>
      <c r="B37026" s="3" t="s">
        <v>95</v>
      </c>
      <c r="C37026" s="6">
        <v>16438</v>
      </c>
      <c r="D37026" s="7">
        <v>1.64</v>
      </c>
      <c r="E37026" t="s">
        <v>9</v>
      </c>
    </row>
    <row r="37027" spans="1:5" x14ac:dyDescent="0.25">
      <c r="A37027" t="str">
        <f>HYPERLINK("https://www.773grp.com/globalSearch/MC33071D/page-1", "MC33071D")</f>
        <v>MC33071D</v>
      </c>
      <c r="B37027" s="3" t="s">
        <v>95</v>
      </c>
      <c r="C37027" s="6">
        <v>196</v>
      </c>
      <c r="D37027" s="7">
        <v>1.64</v>
      </c>
      <c r="E37027" t="s">
        <v>13</v>
      </c>
    </row>
    <row r="37028" spans="1:5" x14ac:dyDescent="0.25">
      <c r="A37028" t="str">
        <f>HYPERLINK("https://www.773grp.com/globalSearch/MC33071DG/page-1", "MC33071DG")</f>
        <v>MC33071DG</v>
      </c>
      <c r="B37028" s="3" t="s">
        <v>95</v>
      </c>
      <c r="C37028" s="6">
        <v>1203</v>
      </c>
      <c r="D37028" s="7">
        <v>1.64</v>
      </c>
      <c r="E37028" t="s">
        <v>13</v>
      </c>
    </row>
    <row r="37029" spans="1:5" x14ac:dyDescent="0.25">
      <c r="A37029" t="str">
        <f>HYPERLINK("https://www.773grp.com/globalSearch/MC33071DR2G/page-1", "MC33071DR2G")</f>
        <v>MC33071DR2G</v>
      </c>
      <c r="B37029" s="3" t="s">
        <v>95</v>
      </c>
      <c r="C37029" s="6">
        <v>14947</v>
      </c>
      <c r="D37029" s="7">
        <v>1.64</v>
      </c>
      <c r="E37029" t="s">
        <v>13</v>
      </c>
    </row>
    <row r="37030" spans="1:5" x14ac:dyDescent="0.25">
      <c r="A37030" t="str">
        <f>HYPERLINK("https://www.773grp.com/globalSearch/MC33072DG/page-1", "MC33072DG")</f>
        <v>MC33072DG</v>
      </c>
      <c r="B37030" s="3" t="s">
        <v>95</v>
      </c>
      <c r="C37030" s="6">
        <v>5810</v>
      </c>
      <c r="D37030" s="7">
        <v>1.64</v>
      </c>
      <c r="E37030" t="s">
        <v>13</v>
      </c>
    </row>
    <row r="37031" spans="1:5" x14ac:dyDescent="0.25">
      <c r="A37031" t="str">
        <f>HYPERLINK("https://www.773grp.com/globalSearch/MC33072DR2G/page-1", "MC33072DR2G")</f>
        <v>MC33072DR2G</v>
      </c>
      <c r="B37031" s="3" t="s">
        <v>95</v>
      </c>
      <c r="C37031" s="6">
        <v>33662</v>
      </c>
      <c r="D37031" s="7">
        <v>1.64</v>
      </c>
      <c r="E37031" t="s">
        <v>13</v>
      </c>
    </row>
    <row r="37032" spans="1:5" x14ac:dyDescent="0.25">
      <c r="A37032" t="str">
        <f>HYPERLINK("https://www.773grp.com/globalSearch/MC33072PG/page-1", "MC33072PG")</f>
        <v>MC33072PG</v>
      </c>
      <c r="B37032" s="3" t="s">
        <v>95</v>
      </c>
      <c r="C37032" s="6">
        <v>3278</v>
      </c>
      <c r="D37032" s="7">
        <v>1.64</v>
      </c>
      <c r="E37032" t="s">
        <v>13</v>
      </c>
    </row>
    <row r="37033" spans="1:5" x14ac:dyDescent="0.25">
      <c r="A37033" t="str">
        <f>HYPERLINK("https://www.773grp.com/globalSearch/MC33171DG/page-1", "MC33171DG")</f>
        <v>MC33171DG</v>
      </c>
      <c r="B37033" s="3" t="s">
        <v>95</v>
      </c>
      <c r="C37033" s="6">
        <v>3461</v>
      </c>
      <c r="D37033" s="7">
        <v>1.64</v>
      </c>
      <c r="E37033" t="s">
        <v>13</v>
      </c>
    </row>
    <row r="37034" spans="1:5" x14ac:dyDescent="0.25">
      <c r="A37034" t="str">
        <f>HYPERLINK("https://www.773grp.com/globalSearch/MC33171DR2G/page-1", "MC33171DR2G")</f>
        <v>MC33171DR2G</v>
      </c>
      <c r="B37034" s="3" t="s">
        <v>95</v>
      </c>
      <c r="C37034" s="6">
        <v>18336</v>
      </c>
      <c r="D37034" s="7">
        <v>1.64</v>
      </c>
    </row>
    <row r="37035" spans="1:5" x14ac:dyDescent="0.25">
      <c r="A37035" t="str">
        <f>HYPERLINK("https://www.773grp.com/globalSearch/MC33171PG/page-1", "MC33171PG")</f>
        <v>MC33171PG</v>
      </c>
      <c r="B37035" s="3" t="s">
        <v>95</v>
      </c>
      <c r="C37035" s="6">
        <v>9699</v>
      </c>
      <c r="D37035" s="7">
        <v>1.64</v>
      </c>
      <c r="E37035" t="s">
        <v>13</v>
      </c>
    </row>
    <row r="37036" spans="1:5" x14ac:dyDescent="0.25">
      <c r="A37036" t="str">
        <f>HYPERLINK("https://www.773grp.com/globalSearch/MC33172D/page-1", "MC33172D")</f>
        <v>MC33172D</v>
      </c>
      <c r="B37036" s="3" t="s">
        <v>95</v>
      </c>
      <c r="C37036" s="6">
        <v>4802</v>
      </c>
      <c r="D37036" s="7">
        <v>1.64</v>
      </c>
      <c r="E37036" t="s">
        <v>13</v>
      </c>
    </row>
    <row r="37037" spans="1:5" x14ac:dyDescent="0.25">
      <c r="A37037" t="str">
        <f>HYPERLINK("https://www.773grp.com/globalSearch/MC33172DR2/page-1", "MC33172DR2")</f>
        <v>MC33172DR2</v>
      </c>
      <c r="B37037" s="3" t="s">
        <v>95</v>
      </c>
      <c r="C37037" s="6">
        <v>1132</v>
      </c>
      <c r="D37037" s="7">
        <v>1.64</v>
      </c>
    </row>
    <row r="37038" spans="1:5" x14ac:dyDescent="0.25">
      <c r="A37038" t="str">
        <f>HYPERLINK("https://www.773grp.com/globalSearch/MC33178DG/page-1", "MC33178DG")</f>
        <v>MC33178DG</v>
      </c>
      <c r="B37038" s="3" t="s">
        <v>95</v>
      </c>
      <c r="C37038" s="6">
        <v>7546</v>
      </c>
      <c r="D37038" s="7">
        <v>1.64</v>
      </c>
    </row>
    <row r="37039" spans="1:5" x14ac:dyDescent="0.25">
      <c r="A37039" t="str">
        <f>HYPERLINK("https://www.773grp.com/globalSearch/MC33275D-2.5G/page-1", "MC33275D-2.5G")</f>
        <v>MC33275D-2.5G</v>
      </c>
      <c r="B37039" s="3" t="s">
        <v>95</v>
      </c>
      <c r="C37039" s="6">
        <v>2967</v>
      </c>
      <c r="D37039" s="7">
        <v>1.64</v>
      </c>
      <c r="E37039" t="s">
        <v>19</v>
      </c>
    </row>
    <row r="37040" spans="1:5" x14ac:dyDescent="0.25">
      <c r="A37040" t="str">
        <f>HYPERLINK("https://www.773grp.com/globalSearch/MC33275D-2.5R2G/page-1", "MC33275D-2.5R2G")</f>
        <v>MC33275D-2.5R2G</v>
      </c>
      <c r="B37040" s="3" t="s">
        <v>95</v>
      </c>
      <c r="C37040" s="6">
        <v>4851</v>
      </c>
      <c r="D37040" s="7">
        <v>1.64</v>
      </c>
    </row>
    <row r="37041" spans="1:5" x14ac:dyDescent="0.25">
      <c r="A37041" t="str">
        <f>HYPERLINK("https://www.773grp.com/globalSearch/MC33275D-3.0G/page-1", "MC33275D-3.0G")</f>
        <v>MC33275D-3.0G</v>
      </c>
      <c r="B37041" s="3" t="s">
        <v>95</v>
      </c>
      <c r="C37041" s="6">
        <v>294</v>
      </c>
      <c r="D37041" s="7">
        <v>1.64</v>
      </c>
      <c r="E37041" t="s">
        <v>19</v>
      </c>
    </row>
    <row r="37042" spans="1:5" x14ac:dyDescent="0.25">
      <c r="A37042" t="str">
        <f>HYPERLINK("https://www.773grp.com/globalSearch/MC33275D-3.0R2G/page-1", "MC33275D-3.0R2G")</f>
        <v>MC33275D-3.0R2G</v>
      </c>
      <c r="B37042" s="3" t="s">
        <v>95</v>
      </c>
      <c r="C37042" s="6">
        <v>14403</v>
      </c>
      <c r="D37042" s="7">
        <v>1.64</v>
      </c>
      <c r="E37042" t="s">
        <v>19</v>
      </c>
    </row>
    <row r="37043" spans="1:5" x14ac:dyDescent="0.25">
      <c r="A37043" t="str">
        <f>HYPERLINK("https://www.773grp.com/globalSearch/MC33275D3.3G/page-1", "MC33275D3.3G")</f>
        <v>MC33275D3.3G</v>
      </c>
      <c r="B37043" s="3" t="s">
        <v>95</v>
      </c>
      <c r="C37043" s="6">
        <v>567</v>
      </c>
      <c r="D37043" s="7">
        <v>1.64</v>
      </c>
    </row>
    <row r="37044" spans="1:5" x14ac:dyDescent="0.25">
      <c r="A37044" t="str">
        <f>HYPERLINK("https://www.773grp.com/globalSearch/MC33275D-3.3G/page-1", "MC33275D-3.3G")</f>
        <v>MC33275D-3.3G</v>
      </c>
      <c r="B37044" s="3" t="s">
        <v>95</v>
      </c>
      <c r="C37044" s="6">
        <v>17836</v>
      </c>
      <c r="D37044" s="7">
        <v>1.64</v>
      </c>
      <c r="E37044" t="s">
        <v>19</v>
      </c>
    </row>
    <row r="37045" spans="1:5" x14ac:dyDescent="0.25">
      <c r="A37045" t="str">
        <f>HYPERLINK("https://www.773grp.com/globalSearch/MC33275D-3.3R2G/page-1", "MC33275D-3.3R2G")</f>
        <v>MC33275D-3.3R2G</v>
      </c>
      <c r="B37045" s="3" t="s">
        <v>95</v>
      </c>
      <c r="C37045" s="6">
        <v>5000</v>
      </c>
      <c r="D37045" s="7">
        <v>1.64</v>
      </c>
      <c r="E37045" t="s">
        <v>19</v>
      </c>
    </row>
    <row r="37046" spans="1:5" x14ac:dyDescent="0.25">
      <c r="A37046" t="str">
        <f>HYPERLINK("https://www.773grp.com/globalSearch/MC33275D-5.0G/page-1", "MC33275D-5.0G")</f>
        <v>MC33275D-5.0G</v>
      </c>
      <c r="B37046" s="3" t="s">
        <v>95</v>
      </c>
      <c r="C37046" s="6">
        <v>1704</v>
      </c>
      <c r="D37046" s="7">
        <v>1.64</v>
      </c>
    </row>
    <row r="37047" spans="1:5" x14ac:dyDescent="0.25">
      <c r="A37047" t="str">
        <f>HYPERLINK("https://www.773grp.com/globalSearch/MC33275D-5.0R2G/page-1", "MC33275D-5.0R2G")</f>
        <v>MC33275D-5.0R2G</v>
      </c>
      <c r="B37047" s="3" t="s">
        <v>95</v>
      </c>
      <c r="C37047" s="6">
        <v>20000</v>
      </c>
      <c r="D37047" s="7">
        <v>1.64</v>
      </c>
      <c r="E37047" t="s">
        <v>19</v>
      </c>
    </row>
    <row r="37048" spans="1:5" x14ac:dyDescent="0.25">
      <c r="A37048" t="str">
        <f>HYPERLINK("https://www.773grp.com/globalSearch/MC33275ST-2.5T3G/page-1", "MC33275ST-2.5T3G")</f>
        <v>MC33275ST-2.5T3G</v>
      </c>
      <c r="B37048" s="3" t="s">
        <v>95</v>
      </c>
      <c r="C37048" s="6">
        <v>7604</v>
      </c>
      <c r="D37048" s="7">
        <v>1.64</v>
      </c>
      <c r="E37048" t="s">
        <v>19</v>
      </c>
    </row>
    <row r="37049" spans="1:5" x14ac:dyDescent="0.25">
      <c r="A37049" t="str">
        <f>HYPERLINK("https://www.773grp.com/globalSearch/MC33275ST-3.0T3G/page-1", "MC33275ST-3.0T3G")</f>
        <v>MC33275ST-3.0T3G</v>
      </c>
      <c r="B37049" s="3" t="s">
        <v>95</v>
      </c>
      <c r="C37049" s="6">
        <v>5657</v>
      </c>
      <c r="D37049" s="7">
        <v>1.64</v>
      </c>
      <c r="E37049" t="s">
        <v>19</v>
      </c>
    </row>
    <row r="37050" spans="1:5" x14ac:dyDescent="0.25">
      <c r="A37050" t="str">
        <f>HYPERLINK("https://www.773grp.com/globalSearch/MC33275ST-3.3T3G/page-1", "MC33275ST-3.3T3G")</f>
        <v>MC33275ST-3.3T3G</v>
      </c>
      <c r="B37050" s="3" t="s">
        <v>95</v>
      </c>
      <c r="C37050" s="6">
        <v>22151</v>
      </c>
      <c r="D37050" s="7">
        <v>1.64</v>
      </c>
    </row>
    <row r="37051" spans="1:5" x14ac:dyDescent="0.25">
      <c r="A37051" t="str">
        <f>HYPERLINK("https://www.773grp.com/globalSearch/MC340742ADG/page-1", "MC340742ADG")</f>
        <v>MC340742ADG</v>
      </c>
      <c r="B37051" s="3" t="s">
        <v>95</v>
      </c>
      <c r="C37051" s="6">
        <v>56</v>
      </c>
      <c r="D37051" s="7">
        <v>1.64</v>
      </c>
    </row>
    <row r="37052" spans="1:5" x14ac:dyDescent="0.25">
      <c r="A37052" t="str">
        <f>HYPERLINK("https://www.773grp.com/globalSearch/MC74F373ML1/page-1", "MC74F373ML1")</f>
        <v>MC74F373ML1</v>
      </c>
      <c r="B37052" s="3" t="s">
        <v>95</v>
      </c>
      <c r="C37052" s="6">
        <v>3000</v>
      </c>
      <c r="D37052" s="7">
        <v>1.64</v>
      </c>
    </row>
    <row r="37053" spans="1:5" x14ac:dyDescent="0.25">
      <c r="A37053" t="str">
        <f>HYPERLINK("https://www.773grp.com/globalSearch/MC7805CD2T/page-1", "MC7805CD2T")</f>
        <v>MC7805CD2T</v>
      </c>
      <c r="B37053" s="3" t="s">
        <v>95</v>
      </c>
      <c r="C37053" s="6">
        <v>1850</v>
      </c>
      <c r="D37053" s="7">
        <v>1.64</v>
      </c>
      <c r="E37053" t="s">
        <v>28</v>
      </c>
    </row>
    <row r="37054" spans="1:5" x14ac:dyDescent="0.25">
      <c r="A37054" t="str">
        <f>HYPERLINK("https://www.773grp.com/globalSearch/MC7805CD2TG/page-1", "MC7805CD2TG")</f>
        <v>MC7805CD2TG</v>
      </c>
      <c r="B37054" s="3" t="s">
        <v>95</v>
      </c>
      <c r="C37054" s="6">
        <v>10200</v>
      </c>
      <c r="D37054" s="7">
        <v>1.64</v>
      </c>
      <c r="E37054" t="s">
        <v>28</v>
      </c>
    </row>
    <row r="37055" spans="1:5" x14ac:dyDescent="0.25">
      <c r="A37055" t="str">
        <f>HYPERLINK("https://www.773grp.com/globalSearch/MC7805CD2TR4G/page-1", "MC7805CD2TR4G")</f>
        <v>MC7805CD2TR4G</v>
      </c>
      <c r="B37055" s="3" t="s">
        <v>95</v>
      </c>
      <c r="C37055" s="6">
        <v>65157</v>
      </c>
      <c r="D37055" s="7">
        <v>1.64</v>
      </c>
      <c r="E37055" t="s">
        <v>28</v>
      </c>
    </row>
    <row r="37056" spans="1:5" x14ac:dyDescent="0.25">
      <c r="A37056" t="str">
        <f>HYPERLINK("https://www.773grp.com/globalSearch/MC7808CD2TG/page-1", "MC7808CD2TG")</f>
        <v>MC7808CD2TG</v>
      </c>
      <c r="B37056" s="3" t="s">
        <v>95</v>
      </c>
      <c r="C37056" s="6">
        <v>20720</v>
      </c>
      <c r="D37056" s="7">
        <v>1.64</v>
      </c>
      <c r="E37056" t="s">
        <v>28</v>
      </c>
    </row>
    <row r="37057" spans="1:5" x14ac:dyDescent="0.25">
      <c r="A37057" t="str">
        <f>HYPERLINK("https://www.773grp.com/globalSearch/MC7808CD2TR4G/page-1", "MC7808CD2TR4G")</f>
        <v>MC7808CD2TR4G</v>
      </c>
      <c r="B37057" s="3" t="s">
        <v>95</v>
      </c>
      <c r="C37057" s="6">
        <v>4000</v>
      </c>
      <c r="D37057" s="7">
        <v>1.64</v>
      </c>
      <c r="E37057" t="s">
        <v>28</v>
      </c>
    </row>
    <row r="37058" spans="1:5" x14ac:dyDescent="0.25">
      <c r="A37058" t="str">
        <f>HYPERLINK("https://www.773grp.com/globalSearch/MC7809CD2TG/page-1", "MC7809CD2TG")</f>
        <v>MC7809CD2TG</v>
      </c>
      <c r="B37058" s="3" t="s">
        <v>95</v>
      </c>
      <c r="C37058" s="6">
        <v>1820</v>
      </c>
      <c r="D37058" s="7">
        <v>1.64</v>
      </c>
      <c r="E37058" t="s">
        <v>28</v>
      </c>
    </row>
    <row r="37059" spans="1:5" x14ac:dyDescent="0.25">
      <c r="A37059" t="str">
        <f>HYPERLINK("https://www.773grp.com/globalSearch/MC7809CD2TR4G/page-1", "MC7809CD2TR4G")</f>
        <v>MC7809CD2TR4G</v>
      </c>
      <c r="B37059" s="3" t="s">
        <v>95</v>
      </c>
      <c r="C37059" s="6">
        <v>4000</v>
      </c>
      <c r="D37059" s="7">
        <v>1.64</v>
      </c>
    </row>
    <row r="37060" spans="1:5" x14ac:dyDescent="0.25">
      <c r="A37060" t="str">
        <f>HYPERLINK("https://www.773grp.com/globalSearch/MC7812CD2TG/page-1", "MC7812CD2TG")</f>
        <v>MC7812CD2TG</v>
      </c>
      <c r="B37060" s="3" t="s">
        <v>95</v>
      </c>
      <c r="C37060" s="6">
        <v>3317</v>
      </c>
      <c r="D37060" s="7">
        <v>1.64</v>
      </c>
      <c r="E37060" t="s">
        <v>28</v>
      </c>
    </row>
    <row r="37061" spans="1:5" x14ac:dyDescent="0.25">
      <c r="A37061" t="str">
        <f>HYPERLINK("https://www.773grp.com/globalSearch/MC7812CD2TR4/page-1", "MC7812CD2TR4")</f>
        <v>MC7812CD2TR4</v>
      </c>
      <c r="B37061" s="3" t="s">
        <v>95</v>
      </c>
      <c r="C37061" s="6">
        <v>2400</v>
      </c>
      <c r="D37061" s="7">
        <v>1.64</v>
      </c>
      <c r="E37061" t="s">
        <v>28</v>
      </c>
    </row>
    <row r="37062" spans="1:5" x14ac:dyDescent="0.25">
      <c r="A37062" t="str">
        <f>HYPERLINK("https://www.773grp.com/globalSearch/MC7812CD2TR4G/page-1", "MC7812CD2TR4G")</f>
        <v>MC7812CD2TR4G</v>
      </c>
      <c r="B37062" s="3" t="s">
        <v>95</v>
      </c>
      <c r="C37062" s="6">
        <v>18400</v>
      </c>
      <c r="D37062" s="7">
        <v>1.64</v>
      </c>
      <c r="E37062" t="s">
        <v>28</v>
      </c>
    </row>
    <row r="37063" spans="1:5" x14ac:dyDescent="0.25">
      <c r="A37063" t="str">
        <f>HYPERLINK("https://www.773grp.com/globalSearch/MC7815CD2TG/page-1", "MC7815CD2TG")</f>
        <v>MC7815CD2TG</v>
      </c>
      <c r="B37063" s="3" t="s">
        <v>95</v>
      </c>
      <c r="C37063" s="6">
        <v>1600</v>
      </c>
      <c r="D37063" s="7">
        <v>1.64</v>
      </c>
      <c r="E37063" t="s">
        <v>28</v>
      </c>
    </row>
    <row r="37064" spans="1:5" x14ac:dyDescent="0.25">
      <c r="A37064" t="str">
        <f>HYPERLINK("https://www.773grp.com/globalSearch/MC7815CD2TR4G/page-1", "MC7815CD2TR4G")</f>
        <v>MC7815CD2TR4G</v>
      </c>
      <c r="B37064" s="3" t="s">
        <v>95</v>
      </c>
      <c r="C37064" s="6">
        <v>555</v>
      </c>
      <c r="D37064" s="7">
        <v>1.64</v>
      </c>
      <c r="E37064" t="s">
        <v>28</v>
      </c>
    </row>
    <row r="37065" spans="1:5" x14ac:dyDescent="0.25">
      <c r="A37065" t="str">
        <f>HYPERLINK("https://www.773grp.com/globalSearch/MC7824CD2TG/page-1", "MC7824CD2TG")</f>
        <v>MC7824CD2TG</v>
      </c>
      <c r="B37065" s="3" t="s">
        <v>95</v>
      </c>
      <c r="C37065" s="6">
        <v>6250</v>
      </c>
      <c r="D37065" s="7">
        <v>1.64</v>
      </c>
      <c r="E37065" t="s">
        <v>28</v>
      </c>
    </row>
    <row r="37066" spans="1:5" x14ac:dyDescent="0.25">
      <c r="A37066" t="str">
        <f>HYPERLINK("https://www.773grp.com/globalSearch/MC7905CD2TG/page-1", "MC7905CD2TG")</f>
        <v>MC7905CD2TG</v>
      </c>
      <c r="B37066" s="3" t="s">
        <v>95</v>
      </c>
      <c r="C37066" s="6">
        <v>3130</v>
      </c>
      <c r="D37066" s="7">
        <v>1.64</v>
      </c>
      <c r="E37066" t="s">
        <v>65</v>
      </c>
    </row>
    <row r="37067" spans="1:5" x14ac:dyDescent="0.25">
      <c r="A37067" t="str">
        <f>HYPERLINK("https://www.773grp.com/globalSearch/MC7905CD2TR4G/page-1", "MC7905CD2TR4G")</f>
        <v>MC7905CD2TR4G</v>
      </c>
      <c r="B37067" s="3" t="s">
        <v>95</v>
      </c>
      <c r="C37067" s="6">
        <v>9600</v>
      </c>
      <c r="D37067" s="7">
        <v>1.64</v>
      </c>
      <c r="E37067" t="s">
        <v>65</v>
      </c>
    </row>
    <row r="37068" spans="1:5" x14ac:dyDescent="0.25">
      <c r="A37068" t="str">
        <f>HYPERLINK("https://www.773grp.com/globalSearch/MC7906CD2TG/page-1", "MC7906CD2TG")</f>
        <v>MC7906CD2TG</v>
      </c>
      <c r="B37068" s="3" t="s">
        <v>95</v>
      </c>
      <c r="C37068" s="6">
        <v>7470</v>
      </c>
      <c r="D37068" s="7">
        <v>1.64</v>
      </c>
      <c r="E37068" t="s">
        <v>65</v>
      </c>
    </row>
    <row r="37069" spans="1:5" x14ac:dyDescent="0.25">
      <c r="A37069" t="str">
        <f>HYPERLINK("https://www.773grp.com/globalSearch/MC7908CD2TG/page-1", "MC7908CD2TG")</f>
        <v>MC7908CD2TG</v>
      </c>
      <c r="B37069" s="3" t="s">
        <v>95</v>
      </c>
      <c r="C37069" s="6">
        <v>5075</v>
      </c>
      <c r="D37069" s="7">
        <v>1.64</v>
      </c>
      <c r="E37069" t="s">
        <v>65</v>
      </c>
    </row>
    <row r="37070" spans="1:5" x14ac:dyDescent="0.25">
      <c r="A37070" t="str">
        <f>HYPERLINK("https://www.773grp.com/globalSearch/MC7912CD2TG/page-1", "MC7912CD2TG")</f>
        <v>MC7912CD2TG</v>
      </c>
      <c r="B37070" s="3" t="s">
        <v>95</v>
      </c>
      <c r="C37070" s="6">
        <v>4770</v>
      </c>
      <c r="D37070" s="7">
        <v>1.64</v>
      </c>
      <c r="E37070" t="s">
        <v>65</v>
      </c>
    </row>
    <row r="37071" spans="1:5" x14ac:dyDescent="0.25">
      <c r="A37071" t="str">
        <f>HYPERLINK("https://www.773grp.com/globalSearch/MC7912CD2TR4G/page-1", "MC7912CD2TR4G")</f>
        <v>MC7912CD2TR4G</v>
      </c>
      <c r="B37071" s="3" t="s">
        <v>95</v>
      </c>
      <c r="C37071" s="6">
        <v>4000</v>
      </c>
      <c r="D37071" s="7">
        <v>1.64</v>
      </c>
      <c r="E37071" t="s">
        <v>65</v>
      </c>
    </row>
    <row r="37072" spans="1:5" x14ac:dyDescent="0.25">
      <c r="A37072" t="str">
        <f>HYPERLINK("https://www.773grp.com/globalSearch/MC7915CD2TG/page-1", "MC7915CD2TG")</f>
        <v>MC7915CD2TG</v>
      </c>
      <c r="B37072" s="3" t="s">
        <v>95</v>
      </c>
      <c r="C37072" s="6">
        <v>4000</v>
      </c>
      <c r="D37072" s="7">
        <v>1.64</v>
      </c>
      <c r="E37072" t="s">
        <v>65</v>
      </c>
    </row>
    <row r="37073" spans="1:5" x14ac:dyDescent="0.25">
      <c r="A37073" t="str">
        <f>HYPERLINK("https://www.773grp.com/globalSearch/MC7915CD2TR4G/page-1", "MC7915CD2TR4G")</f>
        <v>MC7915CD2TR4G</v>
      </c>
      <c r="B37073" s="3" t="s">
        <v>95</v>
      </c>
      <c r="C37073" s="6">
        <v>1757</v>
      </c>
      <c r="D37073" s="7">
        <v>1.64</v>
      </c>
      <c r="E37073" t="s">
        <v>65</v>
      </c>
    </row>
    <row r="37074" spans="1:5" x14ac:dyDescent="0.25">
      <c r="A37074" t="str">
        <f>HYPERLINK("https://www.773grp.com/globalSearch/MCR25M/page-1", "MCR25M")</f>
        <v>MCR25M</v>
      </c>
      <c r="B37074" s="3" t="s">
        <v>95</v>
      </c>
      <c r="C37074" s="6">
        <v>42</v>
      </c>
      <c r="D37074" s="7">
        <v>1.64</v>
      </c>
      <c r="E37074" t="s">
        <v>97</v>
      </c>
    </row>
    <row r="37075" spans="1:5" x14ac:dyDescent="0.25">
      <c r="A37075" t="str">
        <f>HYPERLINK("https://www.773grp.com/globalSearch/MCR25N/page-1", "MCR25N")</f>
        <v>MCR25N</v>
      </c>
      <c r="B37075" s="3" t="s">
        <v>95</v>
      </c>
      <c r="C37075" s="6">
        <v>25</v>
      </c>
      <c r="D37075" s="7">
        <v>1.64</v>
      </c>
      <c r="E37075" t="s">
        <v>97</v>
      </c>
    </row>
    <row r="37076" spans="1:5" x14ac:dyDescent="0.25">
      <c r="A37076" t="str">
        <f>HYPERLINK("https://www.773grp.com/globalSearch/MCR703AT4G/page-1", "MCR703AT4G")</f>
        <v>MCR703AT4G</v>
      </c>
      <c r="B37076" s="3" t="s">
        <v>95</v>
      </c>
      <c r="C37076" s="6">
        <v>5000</v>
      </c>
      <c r="D37076" s="7">
        <v>1.64</v>
      </c>
      <c r="E37076" t="s">
        <v>97</v>
      </c>
    </row>
    <row r="37077" spans="1:5" x14ac:dyDescent="0.25">
      <c r="A37077" t="str">
        <f>HYPERLINK("https://www.773grp.com/globalSearch/MCR708A1G/page-1", "MCR708A1G")</f>
        <v>MCR708A1G</v>
      </c>
      <c r="B37077" s="3" t="s">
        <v>95</v>
      </c>
      <c r="C37077" s="6">
        <v>83730</v>
      </c>
      <c r="D37077" s="7">
        <v>1.64</v>
      </c>
      <c r="E37077" t="s">
        <v>97</v>
      </c>
    </row>
    <row r="37078" spans="1:5" x14ac:dyDescent="0.25">
      <c r="A37078" t="str">
        <f>HYPERLINK("https://www.773grp.com/globalSearch/MCR708AG/page-1", "MCR708AG")</f>
        <v>MCR708AG</v>
      </c>
      <c r="B37078" s="3" t="s">
        <v>95</v>
      </c>
      <c r="C37078" s="6">
        <v>2025</v>
      </c>
      <c r="D37078" s="7">
        <v>1.64</v>
      </c>
    </row>
    <row r="37079" spans="1:5" x14ac:dyDescent="0.25">
      <c r="A37079" t="str">
        <f>HYPERLINK("https://www.773grp.com/globalSearch/MCR708AT4G/page-1", "MCR708AT4G")</f>
        <v>MCR708AT4G</v>
      </c>
      <c r="B37079" s="3" t="s">
        <v>95</v>
      </c>
      <c r="C37079" s="6">
        <v>9704</v>
      </c>
      <c r="D37079" s="7">
        <v>1.64</v>
      </c>
    </row>
    <row r="37080" spans="1:5" x14ac:dyDescent="0.25">
      <c r="A37080" t="str">
        <f>HYPERLINK("https://www.773grp.com/globalSearch/MJB6488/page-1", "MJB6488")</f>
        <v>MJB6488</v>
      </c>
      <c r="B37080" s="3" t="s">
        <v>95</v>
      </c>
      <c r="C37080" s="6">
        <v>3800</v>
      </c>
      <c r="D37080" s="7">
        <v>1.64</v>
      </c>
      <c r="E37080" t="s">
        <v>59</v>
      </c>
    </row>
    <row r="37081" spans="1:5" x14ac:dyDescent="0.25">
      <c r="A37081" t="str">
        <f>HYPERLINK("https://www.773grp.com/globalSearch/MUR620CTG/page-1", "MUR620CTG")</f>
        <v>MUR620CTG</v>
      </c>
      <c r="B37081" s="3" t="s">
        <v>95</v>
      </c>
      <c r="C37081" s="6">
        <v>87099</v>
      </c>
      <c r="D37081" s="7">
        <v>1.64</v>
      </c>
      <c r="E37081" t="s">
        <v>103</v>
      </c>
    </row>
    <row r="37082" spans="1:5" x14ac:dyDescent="0.25">
      <c r="A37082" t="str">
        <f>HYPERLINK("https://www.773grp.com/globalSearch/NCL30082ADMR2G/page-1", "NCL30082ADMR2G")</f>
        <v>NCL30082ADMR2G</v>
      </c>
      <c r="B37082" s="3" t="s">
        <v>95</v>
      </c>
      <c r="C37082" s="6">
        <v>12000</v>
      </c>
      <c r="D37082" s="7">
        <v>1.64</v>
      </c>
    </row>
    <row r="37083" spans="1:5" x14ac:dyDescent="0.25">
      <c r="A37083" t="str">
        <f>HYPERLINK("https://www.773grp.com/globalSearch/NCL30082BDMR2G/page-1", "NCL30082BDMR2G")</f>
        <v>NCL30082BDMR2G</v>
      </c>
      <c r="B37083" s="3" t="s">
        <v>95</v>
      </c>
      <c r="C37083" s="6">
        <v>4000</v>
      </c>
      <c r="D37083" s="7">
        <v>1.64</v>
      </c>
    </row>
    <row r="37084" spans="1:5" x14ac:dyDescent="0.25">
      <c r="A37084" t="str">
        <f>HYPERLINK("https://www.773grp.com/globalSearch/NCL30083ADMR2G/page-1", "NCL30083ADMR2G")</f>
        <v>NCL30083ADMR2G</v>
      </c>
      <c r="B37084" s="3" t="s">
        <v>95</v>
      </c>
      <c r="C37084" s="6">
        <v>12000</v>
      </c>
      <c r="D37084" s="7">
        <v>1.64</v>
      </c>
    </row>
    <row r="37085" spans="1:5" x14ac:dyDescent="0.25">
      <c r="A37085" t="str">
        <f>HYPERLINK("https://www.773grp.com/globalSearch/NCL30083BDMR2G/page-1", "NCL30083BDMR2G")</f>
        <v>NCL30083BDMR2G</v>
      </c>
      <c r="B37085" s="3" t="s">
        <v>95</v>
      </c>
      <c r="C37085" s="6">
        <v>4000</v>
      </c>
      <c r="D37085" s="7">
        <v>1.64</v>
      </c>
    </row>
    <row r="37086" spans="1:5" x14ac:dyDescent="0.25">
      <c r="A37086" t="str">
        <f>HYPERLINK("https://www.773grp.com/globalSearch/NCP1200D100R/page-1", "NCP1200D100R")</f>
        <v>NCP1200D100R</v>
      </c>
      <c r="B37086" s="3" t="s">
        <v>95</v>
      </c>
      <c r="C37086" s="6">
        <v>5000</v>
      </c>
      <c r="D37086" s="7">
        <v>1.64</v>
      </c>
    </row>
    <row r="37087" spans="1:5" x14ac:dyDescent="0.25">
      <c r="A37087" t="str">
        <f>HYPERLINK("https://www.773grp.com/globalSearch/NCP1200D100R2G/page-1", "NCP1200D100R2G")</f>
        <v>NCP1200D100R2G</v>
      </c>
      <c r="B37087" s="3" t="s">
        <v>95</v>
      </c>
      <c r="C37087" s="6">
        <v>57500</v>
      </c>
      <c r="D37087" s="7">
        <v>1.64</v>
      </c>
      <c r="E37087" t="s">
        <v>7</v>
      </c>
    </row>
    <row r="37088" spans="1:5" x14ac:dyDescent="0.25">
      <c r="A37088" t="str">
        <f>HYPERLINK("https://www.773grp.com/globalSearch/NCP1200D40R2G/page-1", "NCP1200D40R2G")</f>
        <v>NCP1200D40R2G</v>
      </c>
      <c r="B37088" s="3" t="s">
        <v>95</v>
      </c>
      <c r="C37088" s="6">
        <v>19627</v>
      </c>
      <c r="D37088" s="7">
        <v>1.64</v>
      </c>
      <c r="E37088" t="s">
        <v>7</v>
      </c>
    </row>
    <row r="37089" spans="1:5" x14ac:dyDescent="0.25">
      <c r="A37089" t="str">
        <f>HYPERLINK("https://www.773grp.com/globalSearch/NCP1200D60R2G/page-1", "NCP1200D60R2G")</f>
        <v>NCP1200D60R2G</v>
      </c>
      <c r="B37089" s="3" t="s">
        <v>95</v>
      </c>
      <c r="C37089" s="6">
        <v>95800</v>
      </c>
      <c r="D37089" s="7">
        <v>1.64</v>
      </c>
      <c r="E37089" t="s">
        <v>7</v>
      </c>
    </row>
    <row r="37090" spans="1:5" x14ac:dyDescent="0.25">
      <c r="A37090" t="str">
        <f>HYPERLINK("https://www.773grp.com/globalSearch/NCP1203D100R2G/page-1", "NCP1203D100R2G")</f>
        <v>NCP1203D100R2G</v>
      </c>
      <c r="B37090" s="3" t="s">
        <v>95</v>
      </c>
      <c r="C37090" s="6">
        <v>19411</v>
      </c>
      <c r="D37090" s="7">
        <v>1.64</v>
      </c>
      <c r="E37090" t="s">
        <v>7</v>
      </c>
    </row>
    <row r="37091" spans="1:5" x14ac:dyDescent="0.25">
      <c r="A37091" t="str">
        <f>HYPERLINK("https://www.773grp.com/globalSearch/NCP1203D40R2G/page-1", "NCP1203D40R2G")</f>
        <v>NCP1203D40R2G</v>
      </c>
      <c r="B37091" s="3" t="s">
        <v>95</v>
      </c>
      <c r="C37091" s="6">
        <v>8935</v>
      </c>
      <c r="D37091" s="7">
        <v>1.64</v>
      </c>
      <c r="E37091" t="s">
        <v>7</v>
      </c>
    </row>
    <row r="37092" spans="1:5" x14ac:dyDescent="0.25">
      <c r="A37092" t="str">
        <f>HYPERLINK("https://www.773grp.com/globalSearch/NCP1203D60R2G/page-1", "NCP1203D60R2G")</f>
        <v>NCP1203D60R2G</v>
      </c>
      <c r="B37092" s="3" t="s">
        <v>95</v>
      </c>
      <c r="C37092" s="6">
        <v>15669</v>
      </c>
      <c r="D37092" s="7">
        <v>1.64</v>
      </c>
      <c r="E37092" t="s">
        <v>7</v>
      </c>
    </row>
    <row r="37093" spans="1:5" x14ac:dyDescent="0.25">
      <c r="A37093" t="str">
        <f>HYPERLINK("https://www.773grp.com/globalSearch/NCP1500DMR2/page-1", "NCP1500DMR2")</f>
        <v>NCP1500DMR2</v>
      </c>
      <c r="B37093" s="3" t="s">
        <v>95</v>
      </c>
      <c r="C37093" s="6">
        <v>16000</v>
      </c>
      <c r="D37093" s="7">
        <v>1.64</v>
      </c>
      <c r="E37093" t="s">
        <v>7</v>
      </c>
    </row>
    <row r="37094" spans="1:5" x14ac:dyDescent="0.25">
      <c r="A37094" t="str">
        <f>HYPERLINK("https://www.773grp.com/globalSearch/NCV1117DT50RK/page-1", "NCV1117DT50RK")</f>
        <v>NCV1117DT50RK</v>
      </c>
      <c r="B37094" s="3" t="s">
        <v>95</v>
      </c>
      <c r="C37094" s="6">
        <v>5000</v>
      </c>
      <c r="D37094" s="7">
        <v>1.64</v>
      </c>
      <c r="E37094" t="s">
        <v>19</v>
      </c>
    </row>
    <row r="37095" spans="1:5" x14ac:dyDescent="0.25">
      <c r="A37095" t="str">
        <f>HYPERLINK("https://www.773grp.com/globalSearch/NCV317BTG/page-1", "NCV317BTG")</f>
        <v>NCV317BTG</v>
      </c>
      <c r="B37095" s="3" t="s">
        <v>95</v>
      </c>
      <c r="C37095" s="6">
        <v>1000</v>
      </c>
      <c r="D37095" s="7">
        <v>1.64</v>
      </c>
    </row>
    <row r="37096" spans="1:5" x14ac:dyDescent="0.25">
      <c r="A37096" t="str">
        <f>HYPERLINK("https://www.773grp.com/globalSearch/NCV8501D33R2/page-1", "NCV8501D33R2")</f>
        <v>NCV8501D33R2</v>
      </c>
      <c r="B37096" s="3" t="s">
        <v>95</v>
      </c>
      <c r="C37096" s="6">
        <v>106</v>
      </c>
      <c r="D37096" s="7">
        <v>1.64</v>
      </c>
      <c r="E37096" t="s">
        <v>19</v>
      </c>
    </row>
    <row r="37097" spans="1:5" x14ac:dyDescent="0.25">
      <c r="A37097" t="str">
        <f>HYPERLINK("https://www.773grp.com/globalSearch/NCV8508DW50/page-1", "NCV8508DW50")</f>
        <v>NCV8508DW50</v>
      </c>
      <c r="B37097" s="3" t="s">
        <v>95</v>
      </c>
      <c r="C37097" s="6">
        <v>1078</v>
      </c>
      <c r="D37097" s="7">
        <v>1.64</v>
      </c>
      <c r="E37097" t="s">
        <v>19</v>
      </c>
    </row>
    <row r="37098" spans="1:5" x14ac:dyDescent="0.25">
      <c r="A37098" t="str">
        <f>HYPERLINK("https://www.773grp.com/globalSearch/NRVBD660CTT4/page-1", "NRVBD660CTT4")</f>
        <v>NRVBD660CTT4</v>
      </c>
      <c r="B37098" s="3" t="s">
        <v>95</v>
      </c>
      <c r="C37098" s="6">
        <v>5000</v>
      </c>
      <c r="D37098" s="7">
        <v>1.64</v>
      </c>
    </row>
    <row r="37099" spans="1:5" x14ac:dyDescent="0.25">
      <c r="A37099" t="str">
        <f>HYPERLINK("https://www.773grp.com/globalSearch/NTD20N06T4G/page-1", "NTD20N06T4G")</f>
        <v>NTD20N06T4G</v>
      </c>
      <c r="B37099" s="3" t="s">
        <v>95</v>
      </c>
      <c r="C37099" s="6">
        <v>14957</v>
      </c>
      <c r="D37099" s="7">
        <v>1.64</v>
      </c>
      <c r="E37099" t="s">
        <v>105</v>
      </c>
    </row>
    <row r="37100" spans="1:5" x14ac:dyDescent="0.25">
      <c r="A37100" t="str">
        <f>HYPERLINK("https://www.773grp.com/globalSearch/NTD80N02-001/page-1", "NTD80N02-001")</f>
        <v>NTD80N02-001</v>
      </c>
      <c r="B37100" s="3" t="s">
        <v>95</v>
      </c>
      <c r="C37100" s="6">
        <v>529607</v>
      </c>
      <c r="D37100" s="7">
        <v>1.64</v>
      </c>
      <c r="E37100" t="s">
        <v>105</v>
      </c>
    </row>
    <row r="37101" spans="1:5" x14ac:dyDescent="0.25">
      <c r="A37101" t="str">
        <f>HYPERLINK("https://www.773grp.com/globalSearch/NTSB30120CT-1G/page-1", "NTSB30120CT-1G")</f>
        <v>NTSB30120CT-1G</v>
      </c>
      <c r="B37101" s="3" t="s">
        <v>95</v>
      </c>
      <c r="C37101" s="6">
        <v>109350</v>
      </c>
      <c r="D37101" s="7">
        <v>1.64</v>
      </c>
    </row>
    <row r="37102" spans="1:5" x14ac:dyDescent="0.25">
      <c r="A37102" t="str">
        <f>HYPERLINK("https://www.773grp.com/globalSearch/NTSJ30U80CTG/page-1", "NTSJ30U80CTG")</f>
        <v>NTSJ30U80CTG</v>
      </c>
      <c r="B37102" s="3" t="s">
        <v>95</v>
      </c>
      <c r="C37102" s="6">
        <v>600</v>
      </c>
      <c r="D37102" s="7">
        <v>1.64</v>
      </c>
    </row>
    <row r="37103" spans="1:5" x14ac:dyDescent="0.25">
      <c r="A37103" t="str">
        <f>HYPERLINK("https://www.773grp.com/globalSearch/NVMFS4841NT1G/page-1", "NVMFS4841NT1G")</f>
        <v>NVMFS4841NT1G</v>
      </c>
      <c r="B37103" s="3" t="s">
        <v>95</v>
      </c>
      <c r="C37103" s="6">
        <v>1500</v>
      </c>
      <c r="D37103" s="7">
        <v>1.64</v>
      </c>
    </row>
    <row r="37104" spans="1:5" x14ac:dyDescent="0.25">
      <c r="A37104" t="str">
        <f>HYPERLINK("https://www.773grp.com/globalSearch/SCY33178DR2G/page-1", "SCY33178DR2G")</f>
        <v>SCY33178DR2G</v>
      </c>
      <c r="B37104" s="3" t="s">
        <v>95</v>
      </c>
      <c r="C37104" s="6">
        <v>2500</v>
      </c>
      <c r="D37104" s="7">
        <v>1.64</v>
      </c>
    </row>
    <row r="37105" spans="1:5" x14ac:dyDescent="0.25">
      <c r="A37105" t="str">
        <f>HYPERLINK("https://www.773grp.com/globalSearch/SJE163/page-1", "SJE163")</f>
        <v>SJE163</v>
      </c>
      <c r="B37105" s="3" t="s">
        <v>95</v>
      </c>
      <c r="C37105" s="6">
        <v>18000</v>
      </c>
      <c r="D37105" s="7">
        <v>1.64</v>
      </c>
    </row>
    <row r="37106" spans="1:5" x14ac:dyDescent="0.25">
      <c r="A37106" t="str">
        <f>HYPERLINK("https://www.773grp.com/globalSearch/SN74LS299DW/page-1", "SN74LS299DW")</f>
        <v>SN74LS299DW</v>
      </c>
      <c r="B37106" s="3" t="s">
        <v>95</v>
      </c>
      <c r="C37106" s="6">
        <v>2356</v>
      </c>
      <c r="D37106" s="7">
        <v>1.64</v>
      </c>
      <c r="E37106" t="s">
        <v>32</v>
      </c>
    </row>
    <row r="37107" spans="1:5" x14ac:dyDescent="0.25">
      <c r="A37107" t="str">
        <f>HYPERLINK("https://www.773grp.com/globalSearch/SN74LS299DWR2/page-1", "SN74LS299DWR2")</f>
        <v>SN74LS299DWR2</v>
      </c>
      <c r="B37107" s="3" t="s">
        <v>95</v>
      </c>
      <c r="C37107" s="6">
        <v>4000</v>
      </c>
      <c r="D37107" s="7">
        <v>1.64</v>
      </c>
      <c r="E37107" t="s">
        <v>32</v>
      </c>
    </row>
    <row r="37108" spans="1:5" x14ac:dyDescent="0.25">
      <c r="A37108" t="str">
        <f>HYPERLINK("https://www.773grp.com/globalSearch/TE02221/page-1", "TE02221")</f>
        <v>TE02221</v>
      </c>
      <c r="B37108" s="3" t="s">
        <v>95</v>
      </c>
      <c r="C37108" s="6">
        <v>13700</v>
      </c>
      <c r="D37108" s="7">
        <v>1.64</v>
      </c>
    </row>
    <row r="37109" spans="1:5" x14ac:dyDescent="0.25">
      <c r="A37109" t="str">
        <f>HYPERLINK("https://www.773grp.com/globalSearch/TE02462T/page-1", "TE02462T")</f>
        <v>TE02462T</v>
      </c>
      <c r="B37109" s="3" t="s">
        <v>95</v>
      </c>
      <c r="C37109" s="6">
        <v>12100</v>
      </c>
      <c r="D37109" s="7">
        <v>1.64</v>
      </c>
    </row>
    <row r="37110" spans="1:5" x14ac:dyDescent="0.25">
      <c r="A37110" t="str">
        <f>HYPERLINK("https://www.773grp.com/globalSearch/TE02463T/page-1", "TE02463T")</f>
        <v>TE02463T</v>
      </c>
      <c r="B37110" s="3" t="s">
        <v>95</v>
      </c>
      <c r="C37110" s="6">
        <v>9000</v>
      </c>
      <c r="D37110" s="7">
        <v>1.64</v>
      </c>
    </row>
    <row r="37111" spans="1:5" x14ac:dyDescent="0.25">
      <c r="A37111" t="str">
        <f>HYPERLINK("https://www.773grp.com/globalSearch/TIP110G/page-1", "TIP110G")</f>
        <v>TIP110G</v>
      </c>
      <c r="B37111" s="3" t="s">
        <v>95</v>
      </c>
      <c r="C37111" s="6">
        <v>1817</v>
      </c>
      <c r="D37111" s="7">
        <v>1.64</v>
      </c>
    </row>
    <row r="37112" spans="1:5" x14ac:dyDescent="0.25">
      <c r="A37112" t="str">
        <f>HYPERLINK("https://www.773grp.com/globalSearch/TIP112G/page-1", "TIP112G")</f>
        <v>TIP112G</v>
      </c>
      <c r="B37112" s="3" t="s">
        <v>95</v>
      </c>
      <c r="C37112" s="6">
        <v>11848</v>
      </c>
      <c r="D37112" s="7">
        <v>1.64</v>
      </c>
      <c r="E37112" t="s">
        <v>59</v>
      </c>
    </row>
    <row r="37113" spans="1:5" x14ac:dyDescent="0.25">
      <c r="A37113" t="str">
        <f>HYPERLINK("https://www.773grp.com/globalSearch/TIP42/page-1", "TIP42")</f>
        <v>TIP42</v>
      </c>
      <c r="B37113" s="3" t="s">
        <v>95</v>
      </c>
      <c r="C37113" s="6">
        <v>1192</v>
      </c>
      <c r="D37113" s="7">
        <v>1.64</v>
      </c>
      <c r="E37113" t="s">
        <v>59</v>
      </c>
    </row>
    <row r="37114" spans="1:5" x14ac:dyDescent="0.25">
      <c r="A37114" t="str">
        <f>HYPERLINK("https://www.773grp.com/globalSearch/TL064CD/page-1", "TL064CD")</f>
        <v>TL064CD</v>
      </c>
      <c r="B37114" s="3" t="s">
        <v>95</v>
      </c>
      <c r="C37114" s="6">
        <v>85</v>
      </c>
      <c r="D37114" s="7">
        <v>1.64</v>
      </c>
      <c r="E37114" t="s">
        <v>13</v>
      </c>
    </row>
    <row r="37115" spans="1:5" x14ac:dyDescent="0.25">
      <c r="A37115" t="str">
        <f>HYPERLINK("https://www.773grp.com/globalSearch/TL431BIPG/page-1", "TL431BIPG")</f>
        <v>TL431BIPG</v>
      </c>
      <c r="B37115" s="3" t="s">
        <v>95</v>
      </c>
      <c r="C37115" s="6">
        <v>4200</v>
      </c>
      <c r="D37115" s="7">
        <v>1.64</v>
      </c>
      <c r="E37115" t="s">
        <v>17</v>
      </c>
    </row>
    <row r="37116" spans="1:5" x14ac:dyDescent="0.25">
      <c r="A37116" t="str">
        <f>HYPERLINK("https://www.773grp.com/globalSearch/BDX33BG/page-1", "BDX33BG")</f>
        <v>BDX33BG</v>
      </c>
      <c r="B37116" s="3" t="s">
        <v>95</v>
      </c>
      <c r="C37116" s="6">
        <v>2740</v>
      </c>
      <c r="D37116" s="7">
        <v>1.69</v>
      </c>
      <c r="E37116" t="s">
        <v>59</v>
      </c>
    </row>
    <row r="37117" spans="1:5" x14ac:dyDescent="0.25">
      <c r="A37117" t="str">
        <f>HYPERLINK("https://www.773grp.com/globalSearch/BDX33CG/page-1", "BDX33CG")</f>
        <v>BDX33CG</v>
      </c>
      <c r="B37117" s="3" t="s">
        <v>95</v>
      </c>
      <c r="C37117" s="6">
        <v>3233</v>
      </c>
      <c r="D37117" s="7">
        <v>1.69</v>
      </c>
      <c r="E37117" t="s">
        <v>59</v>
      </c>
    </row>
    <row r="37118" spans="1:5" x14ac:dyDescent="0.25">
      <c r="A37118" t="str">
        <f>HYPERLINK("https://www.773grp.com/globalSearch/BDX53BG/page-1", "BDX53BG")</f>
        <v>BDX53BG</v>
      </c>
      <c r="B37118" s="3" t="s">
        <v>95</v>
      </c>
      <c r="C37118" s="6">
        <v>83897</v>
      </c>
      <c r="D37118" s="7">
        <v>1.69</v>
      </c>
      <c r="E37118" t="s">
        <v>59</v>
      </c>
    </row>
    <row r="37119" spans="1:5" x14ac:dyDescent="0.25">
      <c r="A37119" t="str">
        <f>HYPERLINK("https://www.773grp.com/globalSearch/CAT24C256YI-G/page-1", "CAT24C256YI-G")</f>
        <v>CAT24C256YI-G</v>
      </c>
      <c r="B37119" s="3" t="s">
        <v>95</v>
      </c>
      <c r="C37119" s="6">
        <v>4</v>
      </c>
      <c r="D37119" s="7">
        <v>1.69</v>
      </c>
    </row>
    <row r="37120" spans="1:5" x14ac:dyDescent="0.25">
      <c r="A37120" t="str">
        <f>HYPERLINK("https://www.773grp.com/globalSearch/CAT25128LI-G/page-1", "CAT25128LI-G")</f>
        <v>CAT25128LI-G</v>
      </c>
      <c r="B37120" s="3" t="s">
        <v>95</v>
      </c>
      <c r="C37120" s="6">
        <v>100</v>
      </c>
      <c r="D37120" s="7">
        <v>1.69</v>
      </c>
    </row>
    <row r="37121" spans="1:5" x14ac:dyDescent="0.25">
      <c r="A37121" t="str">
        <f>HYPERLINK("https://www.773grp.com/globalSearch/CAT3648HV3-GT2/page-1", "CAT3648HV3-GT2")</f>
        <v>CAT3648HV3-GT2</v>
      </c>
      <c r="B37121" s="3" t="s">
        <v>95</v>
      </c>
      <c r="C37121" s="6">
        <v>18000</v>
      </c>
      <c r="D37121" s="7">
        <v>1.69</v>
      </c>
      <c r="E37121" t="s">
        <v>10</v>
      </c>
    </row>
    <row r="37122" spans="1:5" x14ac:dyDescent="0.25">
      <c r="A37122" t="str">
        <f>HYPERLINK("https://www.773grp.com/globalSearch/EMI4183MTTAG/page-1", "EMI4183MTTAG")</f>
        <v>EMI4183MTTAG</v>
      </c>
      <c r="B37122" s="3" t="s">
        <v>95</v>
      </c>
      <c r="C37122" s="6">
        <v>177000</v>
      </c>
      <c r="D37122" s="7">
        <v>1.69</v>
      </c>
      <c r="E37122" t="s">
        <v>100</v>
      </c>
    </row>
    <row r="37123" spans="1:5" x14ac:dyDescent="0.25">
      <c r="A37123" t="str">
        <f>HYPERLINK("https://www.773grp.com/globalSearch/LM317MDTG/page-1", "LM317MDTG")</f>
        <v>LM317MDTG</v>
      </c>
      <c r="B37123" s="3" t="s">
        <v>95</v>
      </c>
      <c r="C37123" s="6">
        <v>35025</v>
      </c>
      <c r="D37123" s="7">
        <v>1.69</v>
      </c>
      <c r="E37123" t="s">
        <v>22</v>
      </c>
    </row>
    <row r="37124" spans="1:5" x14ac:dyDescent="0.25">
      <c r="A37124" t="str">
        <f>HYPERLINK("https://www.773grp.com/globalSearch/LM317MDTRKG/page-1", "LM317MDTRKG")</f>
        <v>LM317MDTRKG</v>
      </c>
      <c r="B37124" s="3" t="s">
        <v>95</v>
      </c>
      <c r="C37124" s="6">
        <v>31644</v>
      </c>
      <c r="D37124" s="7">
        <v>1.69</v>
      </c>
      <c r="E37124" t="s">
        <v>22</v>
      </c>
    </row>
    <row r="37125" spans="1:5" x14ac:dyDescent="0.25">
      <c r="A37125" t="str">
        <f>HYPERLINK("https://www.773grp.com/globalSearch/MAX1720EUTG/page-1", "MAX1720EUTG")</f>
        <v>MAX1720EUTG</v>
      </c>
      <c r="B37125" s="3" t="s">
        <v>95</v>
      </c>
      <c r="C37125" s="6">
        <v>3000</v>
      </c>
      <c r="D37125" s="7">
        <v>1.69</v>
      </c>
    </row>
    <row r="37126" spans="1:5" x14ac:dyDescent="0.25">
      <c r="A37126" t="str">
        <f>HYPERLINK("https://www.773grp.com/globalSearch/MAX8863QEUK-T/page-1", "MAX8863QEUK-T")</f>
        <v>MAX8863QEUK-T</v>
      </c>
      <c r="B37126" s="3" t="s">
        <v>95</v>
      </c>
      <c r="C37126" s="6">
        <v>15000</v>
      </c>
      <c r="D37126" s="7">
        <v>1.69</v>
      </c>
      <c r="E37126" t="s">
        <v>19</v>
      </c>
    </row>
    <row r="37127" spans="1:5" x14ac:dyDescent="0.25">
      <c r="A37127" t="str">
        <f>HYPERLINK("https://www.773grp.com/globalSearch/MAX8863SEUK-T/page-1", "MAX8863SEUK-T")</f>
        <v>MAX8863SEUK-T</v>
      </c>
      <c r="B37127" s="3" t="s">
        <v>95</v>
      </c>
      <c r="C37127" s="6">
        <v>30000</v>
      </c>
      <c r="D37127" s="7">
        <v>1.69</v>
      </c>
      <c r="E37127" t="s">
        <v>19</v>
      </c>
    </row>
    <row r="37128" spans="1:5" x14ac:dyDescent="0.25">
      <c r="A37128" t="str">
        <f>HYPERLINK("https://www.773grp.com/globalSearch/MAX8864TEUK-T/page-1", "MAX8864TEUK-T")</f>
        <v>MAX8864TEUK-T</v>
      </c>
      <c r="B37128" s="3" t="s">
        <v>95</v>
      </c>
      <c r="C37128" s="6">
        <v>5325</v>
      </c>
      <c r="D37128" s="7">
        <v>1.69</v>
      </c>
      <c r="E37128" t="s">
        <v>27</v>
      </c>
    </row>
    <row r="37129" spans="1:5" x14ac:dyDescent="0.25">
      <c r="A37129" t="str">
        <f>HYPERLINK("https://www.773grp.com/globalSearch/MC1496DG/page-1", "MC1496DG")</f>
        <v>MC1496DG</v>
      </c>
      <c r="B37129" s="3" t="s">
        <v>95</v>
      </c>
      <c r="C37129" s="6">
        <v>3104</v>
      </c>
      <c r="D37129" s="7">
        <v>1.69</v>
      </c>
      <c r="E37129" t="s">
        <v>23</v>
      </c>
    </row>
    <row r="37130" spans="1:5" x14ac:dyDescent="0.25">
      <c r="A37130" t="str">
        <f>HYPERLINK("https://www.773grp.com/globalSearch/MC1496DR2/page-1", "MC1496DR2")</f>
        <v>MC1496DR2</v>
      </c>
      <c r="B37130" s="3" t="s">
        <v>95</v>
      </c>
      <c r="C37130" s="6">
        <v>1510</v>
      </c>
      <c r="D37130" s="7">
        <v>1.69</v>
      </c>
    </row>
    <row r="37131" spans="1:5" x14ac:dyDescent="0.25">
      <c r="A37131" t="str">
        <f>HYPERLINK("https://www.773grp.com/globalSearch/MC1496DR2G/page-1", "MC1496DR2G")</f>
        <v>MC1496DR2G</v>
      </c>
      <c r="B37131" s="3" t="s">
        <v>95</v>
      </c>
      <c r="C37131" s="6">
        <v>21464</v>
      </c>
      <c r="D37131" s="7">
        <v>1.69</v>
      </c>
      <c r="E37131" t="s">
        <v>23</v>
      </c>
    </row>
    <row r="37132" spans="1:5" x14ac:dyDescent="0.25">
      <c r="A37132" t="str">
        <f>HYPERLINK("https://www.773grp.com/globalSearch/MC33063AP1G/page-1", "MC33063AP1G")</f>
        <v>MC33063AP1G</v>
      </c>
      <c r="B37132" s="3" t="s">
        <v>95</v>
      </c>
      <c r="C37132" s="6">
        <v>17006</v>
      </c>
      <c r="D37132" s="7">
        <v>1.69</v>
      </c>
      <c r="E37132" t="s">
        <v>7</v>
      </c>
    </row>
    <row r="37133" spans="1:5" x14ac:dyDescent="0.25">
      <c r="A37133" t="str">
        <f>HYPERLINK("https://www.773grp.com/globalSearch/MC33064D-5R2G/page-1", "MC33064D-5R2G")</f>
        <v>MC33064D-5R2G</v>
      </c>
      <c r="B37133" s="3" t="s">
        <v>95</v>
      </c>
      <c r="C37133" s="6">
        <v>14280</v>
      </c>
      <c r="D37133" s="7">
        <v>1.69</v>
      </c>
      <c r="E37133" t="s">
        <v>30</v>
      </c>
    </row>
    <row r="37134" spans="1:5" x14ac:dyDescent="0.25">
      <c r="A37134" t="str">
        <f>HYPERLINK("https://www.773grp.com/globalSearch/MC33064P-5G/page-1", "MC33064P-5G")</f>
        <v>MC33064P-5G</v>
      </c>
      <c r="B37134" s="3" t="s">
        <v>95</v>
      </c>
      <c r="C37134" s="6">
        <v>68000</v>
      </c>
      <c r="D37134" s="7">
        <v>1.69</v>
      </c>
      <c r="E37134" t="s">
        <v>30</v>
      </c>
    </row>
    <row r="37135" spans="1:5" x14ac:dyDescent="0.25">
      <c r="A37135" t="str">
        <f>HYPERLINK("https://www.773grp.com/globalSearch/MC33071ADG/page-1", "MC33071ADG")</f>
        <v>MC33071ADG</v>
      </c>
      <c r="B37135" s="3" t="s">
        <v>95</v>
      </c>
      <c r="C37135" s="6">
        <v>7032</v>
      </c>
      <c r="D37135" s="7">
        <v>1.69</v>
      </c>
      <c r="E37135" t="s">
        <v>13</v>
      </c>
    </row>
    <row r="37136" spans="1:5" x14ac:dyDescent="0.25">
      <c r="A37136" t="str">
        <f>HYPERLINK("https://www.773grp.com/globalSearch/MC33071ADR2G/page-1", "MC33071ADR2G")</f>
        <v>MC33071ADR2G</v>
      </c>
      <c r="B37136" s="3" t="s">
        <v>95</v>
      </c>
      <c r="C37136" s="6">
        <v>12851</v>
      </c>
      <c r="D37136" s="7">
        <v>1.69</v>
      </c>
      <c r="E37136" t="s">
        <v>13</v>
      </c>
    </row>
    <row r="37137" spans="1:5" x14ac:dyDescent="0.25">
      <c r="A37137" t="str">
        <f>HYPERLINK("https://www.773grp.com/globalSearch/MC33072AP/page-1", "MC33072AP")</f>
        <v>MC33072AP</v>
      </c>
      <c r="B37137" s="3" t="s">
        <v>95</v>
      </c>
      <c r="C37137" s="6">
        <v>2190</v>
      </c>
      <c r="D37137" s="7">
        <v>1.69</v>
      </c>
    </row>
    <row r="37138" spans="1:5" x14ac:dyDescent="0.25">
      <c r="A37138" t="str">
        <f>HYPERLINK("https://www.773grp.com/globalSearch/MC33072APG/page-1", "MC33072APG")</f>
        <v>MC33072APG</v>
      </c>
      <c r="B37138" s="3" t="s">
        <v>95</v>
      </c>
      <c r="C37138" s="6">
        <v>919</v>
      </c>
      <c r="D37138" s="7">
        <v>1.69</v>
      </c>
      <c r="E37138" t="s">
        <v>13</v>
      </c>
    </row>
    <row r="37139" spans="1:5" x14ac:dyDescent="0.25">
      <c r="A37139" t="str">
        <f>HYPERLINK("https://www.773grp.com/globalSearch/MC33164D-3R2G/page-1", "MC33164D-3R2G")</f>
        <v>MC33164D-3R2G</v>
      </c>
      <c r="B37139" s="3" t="s">
        <v>95</v>
      </c>
      <c r="C37139" s="6">
        <v>27500</v>
      </c>
      <c r="D37139" s="7">
        <v>1.69</v>
      </c>
    </row>
    <row r="37140" spans="1:5" x14ac:dyDescent="0.25">
      <c r="A37140" t="str">
        <f>HYPERLINK("https://www.773grp.com/globalSearch/MC33164D-5R2G/page-1", "MC33164D-5R2G")</f>
        <v>MC33164D-5R2G</v>
      </c>
      <c r="B37140" s="3" t="s">
        <v>95</v>
      </c>
      <c r="C37140" s="6">
        <v>27540</v>
      </c>
      <c r="D37140" s="7">
        <v>1.69</v>
      </c>
      <c r="E37140" t="s">
        <v>30</v>
      </c>
    </row>
    <row r="37141" spans="1:5" x14ac:dyDescent="0.25">
      <c r="A37141" t="str">
        <f>HYPERLINK("https://www.773grp.com/globalSearch/MC33164P-5G/page-1", "MC33164P-5G")</f>
        <v>MC33164P-5G</v>
      </c>
      <c r="B37141" s="3" t="s">
        <v>95</v>
      </c>
      <c r="C37141" s="6">
        <v>45290</v>
      </c>
      <c r="D37141" s="7">
        <v>1.69</v>
      </c>
      <c r="E37141" t="s">
        <v>30</v>
      </c>
    </row>
    <row r="37142" spans="1:5" x14ac:dyDescent="0.25">
      <c r="A37142" t="str">
        <f>HYPERLINK("https://www.773grp.com/globalSearch/MC33260DR2/page-1", "MC33260DR2")</f>
        <v>MC33260DR2</v>
      </c>
      <c r="B37142" s="3" t="s">
        <v>95</v>
      </c>
      <c r="C37142" s="6">
        <v>42795</v>
      </c>
      <c r="D37142" s="7">
        <v>1.69</v>
      </c>
      <c r="E37142" t="s">
        <v>7</v>
      </c>
    </row>
    <row r="37143" spans="1:5" x14ac:dyDescent="0.25">
      <c r="A37143" t="str">
        <f>HYPERLINK("https://www.773grp.com/globalSearch/MC33269D-3.3G/page-1", "MC33269D-3.3G")</f>
        <v>MC33269D-3.3G</v>
      </c>
      <c r="B37143" s="3" t="s">
        <v>95</v>
      </c>
      <c r="C37143" s="6">
        <v>4156</v>
      </c>
      <c r="D37143" s="7">
        <v>1.69</v>
      </c>
      <c r="E37143" t="s">
        <v>19</v>
      </c>
    </row>
    <row r="37144" spans="1:5" x14ac:dyDescent="0.25">
      <c r="A37144" t="str">
        <f>HYPERLINK("https://www.773grp.com/globalSearch/MC33269D-5.0G/page-1", "MC33269D-5.0G")</f>
        <v>MC33269D-5.0G</v>
      </c>
      <c r="B37144" s="3" t="s">
        <v>95</v>
      </c>
      <c r="C37144" s="6">
        <v>2504</v>
      </c>
      <c r="D37144" s="7">
        <v>1.69</v>
      </c>
    </row>
    <row r="37145" spans="1:5" x14ac:dyDescent="0.25">
      <c r="A37145" t="str">
        <f>HYPERLINK("https://www.773grp.com/globalSearch/MC33269DG/page-1", "MC33269DG")</f>
        <v>MC33269DG</v>
      </c>
      <c r="B37145" s="3" t="s">
        <v>95</v>
      </c>
      <c r="C37145" s="6">
        <v>3612</v>
      </c>
      <c r="D37145" s="7">
        <v>1.69</v>
      </c>
      <c r="E37145" t="s">
        <v>25</v>
      </c>
    </row>
    <row r="37146" spans="1:5" x14ac:dyDescent="0.25">
      <c r="A37146" t="str">
        <f>HYPERLINK("https://www.773grp.com/globalSearch/MC33269DR2/page-1", "MC33269DR2")</f>
        <v>MC33269DR2</v>
      </c>
      <c r="B37146" s="3" t="s">
        <v>95</v>
      </c>
      <c r="C37146" s="6">
        <v>5000</v>
      </c>
      <c r="D37146" s="7">
        <v>1.69</v>
      </c>
      <c r="E37146" t="s">
        <v>25</v>
      </c>
    </row>
    <row r="37147" spans="1:5" x14ac:dyDescent="0.25">
      <c r="A37147" t="str">
        <f>HYPERLINK("https://www.773grp.com/globalSearch/MC33269DR2-012G/page-1", "MC33269DR2-012G")</f>
        <v>MC33269DR2-012G</v>
      </c>
      <c r="B37147" s="3" t="s">
        <v>95</v>
      </c>
      <c r="C37147" s="6">
        <v>20669</v>
      </c>
      <c r="D37147" s="7">
        <v>1.69</v>
      </c>
      <c r="E37147" t="s">
        <v>19</v>
      </c>
    </row>
    <row r="37148" spans="1:5" x14ac:dyDescent="0.25">
      <c r="A37148" t="str">
        <f>HYPERLINK("https://www.773grp.com/globalSearch/MC33269DR2-3.3G/page-1", "MC33269DR2-3.3G")</f>
        <v>MC33269DR2-3.3G</v>
      </c>
      <c r="B37148" s="3" t="s">
        <v>95</v>
      </c>
      <c r="C37148" s="6">
        <v>42867</v>
      </c>
      <c r="D37148" s="7">
        <v>1.69</v>
      </c>
      <c r="E37148" t="s">
        <v>19</v>
      </c>
    </row>
    <row r="37149" spans="1:5" x14ac:dyDescent="0.25">
      <c r="A37149" t="str">
        <f>HYPERLINK("https://www.773grp.com/globalSearch/MC33269DR2-5.0G/page-1", "MC33269DR2-5.0G")</f>
        <v>MC33269DR2-5.0G</v>
      </c>
      <c r="B37149" s="3" t="s">
        <v>95</v>
      </c>
      <c r="C37149" s="6">
        <v>9663</v>
      </c>
      <c r="D37149" s="7">
        <v>1.69</v>
      </c>
      <c r="E37149" t="s">
        <v>19</v>
      </c>
    </row>
    <row r="37150" spans="1:5" x14ac:dyDescent="0.25">
      <c r="A37150" t="str">
        <f>HYPERLINK("https://www.773grp.com/globalSearch/MC33269DR2G/page-1", "MC33269DR2G")</f>
        <v>MC33269DR2G</v>
      </c>
      <c r="B37150" s="3" t="s">
        <v>95</v>
      </c>
      <c r="C37150" s="6">
        <v>13913</v>
      </c>
      <c r="D37150" s="7">
        <v>1.69</v>
      </c>
    </row>
    <row r="37151" spans="1:5" x14ac:dyDescent="0.25">
      <c r="A37151" t="str">
        <f>HYPERLINK("https://www.773grp.com/globalSearch/MC33275DT-2.5G/page-1", "MC33275DT-2.5G")</f>
        <v>MC33275DT-2.5G</v>
      </c>
      <c r="B37151" s="3" t="s">
        <v>95</v>
      </c>
      <c r="C37151" s="6">
        <v>4403</v>
      </c>
      <c r="D37151" s="7">
        <v>1.69</v>
      </c>
      <c r="E37151" t="s">
        <v>19</v>
      </c>
    </row>
    <row r="37152" spans="1:5" x14ac:dyDescent="0.25">
      <c r="A37152" t="str">
        <f>HYPERLINK("https://www.773grp.com/globalSearch/MC33275DT-2.5RKG/page-1", "MC33275DT-2.5RKG")</f>
        <v>MC33275DT-2.5RKG</v>
      </c>
      <c r="B37152" s="3" t="s">
        <v>95</v>
      </c>
      <c r="C37152" s="6">
        <v>12335</v>
      </c>
      <c r="D37152" s="7">
        <v>1.69</v>
      </c>
      <c r="E37152" t="s">
        <v>19</v>
      </c>
    </row>
    <row r="37153" spans="1:5" x14ac:dyDescent="0.25">
      <c r="A37153" t="str">
        <f>HYPERLINK("https://www.773grp.com/globalSearch/MC33275DT-3.0RKG/page-1", "MC33275DT-3.0RKG")</f>
        <v>MC33275DT-3.0RKG</v>
      </c>
      <c r="B37153" s="3" t="s">
        <v>95</v>
      </c>
      <c r="C37153" s="6">
        <v>9251</v>
      </c>
      <c r="D37153" s="7">
        <v>1.69</v>
      </c>
      <c r="E37153" t="s">
        <v>19</v>
      </c>
    </row>
    <row r="37154" spans="1:5" x14ac:dyDescent="0.25">
      <c r="A37154" t="str">
        <f>HYPERLINK("https://www.773grp.com/globalSearch/MC33275DT-3.3G/page-1", "MC33275DT-3.3G")</f>
        <v>MC33275DT-3.3G</v>
      </c>
      <c r="B37154" s="3" t="s">
        <v>95</v>
      </c>
      <c r="C37154" s="6">
        <v>1300</v>
      </c>
      <c r="D37154" s="7">
        <v>1.69</v>
      </c>
      <c r="E37154" t="s">
        <v>19</v>
      </c>
    </row>
    <row r="37155" spans="1:5" x14ac:dyDescent="0.25">
      <c r="A37155" t="str">
        <f>HYPERLINK("https://www.773grp.com/globalSearch/MC33275DT-3.3RKG/page-1", "MC33275DT-3.3RKG")</f>
        <v>MC33275DT-3.3RKG</v>
      </c>
      <c r="B37155" s="3" t="s">
        <v>95</v>
      </c>
      <c r="C37155" s="6">
        <v>40182</v>
      </c>
      <c r="D37155" s="7">
        <v>1.69</v>
      </c>
    </row>
    <row r="37156" spans="1:5" x14ac:dyDescent="0.25">
      <c r="A37156" t="str">
        <f>HYPERLINK("https://www.773grp.com/globalSearch/MC33275DT-5.0G/page-1", "MC33275DT-5.0G")</f>
        <v>MC33275DT-5.0G</v>
      </c>
      <c r="B37156" s="3" t="s">
        <v>95</v>
      </c>
      <c r="C37156" s="6">
        <v>1200</v>
      </c>
      <c r="D37156" s="7">
        <v>1.69</v>
      </c>
    </row>
    <row r="37157" spans="1:5" x14ac:dyDescent="0.25">
      <c r="A37157" t="str">
        <f>HYPERLINK("https://www.773grp.com/globalSearch/MC33275DT-5.0RKG/page-1", "MC33275DT-5.0RKG")</f>
        <v>MC33275DT-5.0RKG</v>
      </c>
      <c r="B37157" s="3" t="s">
        <v>95</v>
      </c>
      <c r="C37157" s="6">
        <v>8482</v>
      </c>
      <c r="D37157" s="7">
        <v>1.69</v>
      </c>
      <c r="E37157" t="s">
        <v>19</v>
      </c>
    </row>
    <row r="37158" spans="1:5" x14ac:dyDescent="0.25">
      <c r="A37158" t="str">
        <f>HYPERLINK("https://www.773grp.com/globalSearch/MC33567D-1R2G/page-1", "MC33567D-1R2G")</f>
        <v>MC33567D-1R2G</v>
      </c>
      <c r="B37158" s="3" t="s">
        <v>95</v>
      </c>
      <c r="C37158" s="6">
        <v>4000</v>
      </c>
      <c r="D37158" s="7">
        <v>1.69</v>
      </c>
      <c r="E37158" t="s">
        <v>40</v>
      </c>
    </row>
    <row r="37159" spans="1:5" x14ac:dyDescent="0.25">
      <c r="A37159" t="str">
        <f>HYPERLINK("https://www.773grp.com/globalSearch/MC33567D-3R2G/page-1", "MC33567D-3R2G")</f>
        <v>MC33567D-3R2G</v>
      </c>
      <c r="B37159" s="3" t="s">
        <v>95</v>
      </c>
      <c r="C37159" s="6">
        <v>8552</v>
      </c>
      <c r="D37159" s="7">
        <v>1.69</v>
      </c>
      <c r="E37159" t="s">
        <v>40</v>
      </c>
    </row>
    <row r="37160" spans="1:5" x14ac:dyDescent="0.25">
      <c r="A37160" t="str">
        <f>HYPERLINK("https://www.773grp.com/globalSearch/MC34064D-5R2G/page-1", "MC34064D-5R2G")</f>
        <v>MC34064D-5R2G</v>
      </c>
      <c r="B37160" s="3" t="s">
        <v>95</v>
      </c>
      <c r="C37160" s="6">
        <v>38775</v>
      </c>
      <c r="D37160" s="7">
        <v>1.69</v>
      </c>
      <c r="E37160" t="s">
        <v>30</v>
      </c>
    </row>
    <row r="37161" spans="1:5" x14ac:dyDescent="0.25">
      <c r="A37161" t="str">
        <f>HYPERLINK("https://www.773grp.com/globalSearch/MC34064P-5G/page-1", "MC34064P-5G")</f>
        <v>MC34064P-5G</v>
      </c>
      <c r="B37161" s="3" t="s">
        <v>95</v>
      </c>
      <c r="C37161" s="6">
        <v>83353</v>
      </c>
      <c r="D37161" s="7">
        <v>1.69</v>
      </c>
      <c r="E37161" t="s">
        <v>30</v>
      </c>
    </row>
    <row r="37162" spans="1:5" x14ac:dyDescent="0.25">
      <c r="A37162" t="str">
        <f>HYPERLINK("https://www.773grp.com/globalSearch/MC34064P-5RAG/page-1", "MC34064P-5RAG")</f>
        <v>MC34064P-5RAG</v>
      </c>
      <c r="B37162" s="3" t="s">
        <v>95</v>
      </c>
      <c r="C37162" s="6">
        <v>40000</v>
      </c>
      <c r="D37162" s="7">
        <v>1.69</v>
      </c>
    </row>
    <row r="37163" spans="1:5" x14ac:dyDescent="0.25">
      <c r="A37163" t="str">
        <f>HYPERLINK("https://www.773grp.com/globalSearch/MC34164D-3R2G/page-1", "MC34164D-3R2G")</f>
        <v>MC34164D-3R2G</v>
      </c>
      <c r="B37163" s="3" t="s">
        <v>95</v>
      </c>
      <c r="C37163" s="6">
        <v>72500</v>
      </c>
      <c r="D37163" s="7">
        <v>1.69</v>
      </c>
      <c r="E37163" t="s">
        <v>30</v>
      </c>
    </row>
    <row r="37164" spans="1:5" x14ac:dyDescent="0.25">
      <c r="A37164" t="str">
        <f>HYPERLINK("https://www.773grp.com/globalSearch/MC34164P-5G/page-1", "MC34164P-5G")</f>
        <v>MC34164P-5G</v>
      </c>
      <c r="B37164" s="3" t="s">
        <v>95</v>
      </c>
      <c r="C37164" s="6">
        <v>7715</v>
      </c>
      <c r="D37164" s="7">
        <v>1.69</v>
      </c>
    </row>
    <row r="37165" spans="1:5" x14ac:dyDescent="0.25">
      <c r="A37165" t="str">
        <f>HYPERLINK("https://www.773grp.com/globalSearch/MC74F574DW/page-1", "MC74F574DW")</f>
        <v>MC74F574DW</v>
      </c>
      <c r="B37165" s="3" t="s">
        <v>95</v>
      </c>
      <c r="C37165" s="6">
        <v>1089</v>
      </c>
      <c r="D37165" s="7">
        <v>1.69</v>
      </c>
      <c r="E37165" t="s">
        <v>14</v>
      </c>
    </row>
    <row r="37166" spans="1:5" x14ac:dyDescent="0.25">
      <c r="A37166" t="str">
        <f>HYPERLINK("https://www.773grp.com/globalSearch/MC74F574N/page-1", "MC74F574N")</f>
        <v>MC74F574N</v>
      </c>
      <c r="B37166" s="3" t="s">
        <v>95</v>
      </c>
      <c r="C37166" s="6">
        <v>1275</v>
      </c>
      <c r="D37166" s="7">
        <v>1.69</v>
      </c>
      <c r="E37166" t="s">
        <v>14</v>
      </c>
    </row>
    <row r="37167" spans="1:5" x14ac:dyDescent="0.25">
      <c r="A37167" t="str">
        <f>HYPERLINK("https://www.773grp.com/globalSearch/MC74HC640AN/page-1", "MC74HC640AN")</f>
        <v>MC74HC640AN</v>
      </c>
      <c r="B37167" s="3" t="s">
        <v>95</v>
      </c>
      <c r="C37167" s="6">
        <v>10431</v>
      </c>
      <c r="D37167" s="7">
        <v>1.69</v>
      </c>
      <c r="E37167" t="s">
        <v>14</v>
      </c>
    </row>
    <row r="37168" spans="1:5" x14ac:dyDescent="0.25">
      <c r="A37168" t="str">
        <f>HYPERLINK("https://www.773grp.com/globalSearch/MPF6659RLRA/page-1", "MPF6659RLRA")</f>
        <v>MPF6659RLRA</v>
      </c>
      <c r="B37168" s="3" t="s">
        <v>95</v>
      </c>
      <c r="C37168" s="6">
        <v>10933</v>
      </c>
      <c r="D37168" s="7">
        <v>1.69</v>
      </c>
      <c r="E37168" t="s">
        <v>106</v>
      </c>
    </row>
    <row r="37169" spans="1:5" x14ac:dyDescent="0.25">
      <c r="A37169" t="str">
        <f>HYPERLINK("https://www.773grp.com/globalSearch/MUR840G/page-1", "MUR840G")</f>
        <v>MUR840G</v>
      </c>
      <c r="B37169" s="3" t="s">
        <v>95</v>
      </c>
      <c r="C37169" s="6">
        <v>3864</v>
      </c>
      <c r="D37169" s="7">
        <v>1.69</v>
      </c>
      <c r="E37169" t="s">
        <v>103</v>
      </c>
    </row>
    <row r="37170" spans="1:5" x14ac:dyDescent="0.25">
      <c r="A37170" t="str">
        <f>HYPERLINK("https://www.773grp.com/globalSearch/MUR860G/page-1", "MUR860G")</f>
        <v>MUR860G</v>
      </c>
      <c r="B37170" s="3" t="s">
        <v>95</v>
      </c>
      <c r="C37170" s="6">
        <v>14700</v>
      </c>
      <c r="D37170" s="7">
        <v>1.69</v>
      </c>
      <c r="E37170" t="s">
        <v>103</v>
      </c>
    </row>
    <row r="37171" spans="1:5" x14ac:dyDescent="0.25">
      <c r="A37171" t="str">
        <f>HYPERLINK("https://www.773grp.com/globalSearch/MUR860H/page-1", "MUR860H")</f>
        <v>MUR860H</v>
      </c>
      <c r="B37171" s="3" t="s">
        <v>95</v>
      </c>
      <c r="C37171" s="6">
        <v>3850</v>
      </c>
      <c r="D37171" s="7">
        <v>1.69</v>
      </c>
    </row>
    <row r="37172" spans="1:5" x14ac:dyDescent="0.25">
      <c r="A37172" t="str">
        <f>HYPERLINK("https://www.773grp.com/globalSearch/NCP1010AP065G/page-1", "NCP1010AP065G")</f>
        <v>NCP1010AP065G</v>
      </c>
      <c r="B37172" s="3" t="s">
        <v>95</v>
      </c>
      <c r="C37172" s="6">
        <v>734</v>
      </c>
      <c r="D37172" s="7">
        <v>1.69</v>
      </c>
      <c r="E37172" t="s">
        <v>7</v>
      </c>
    </row>
    <row r="37173" spans="1:5" x14ac:dyDescent="0.25">
      <c r="A37173" t="str">
        <f>HYPERLINK("https://www.773grp.com/globalSearch/NCP1010AP100G/page-1", "NCP1010AP100G")</f>
        <v>NCP1010AP100G</v>
      </c>
      <c r="B37173" s="3" t="s">
        <v>95</v>
      </c>
      <c r="C37173" s="6">
        <v>2000</v>
      </c>
      <c r="D37173" s="7">
        <v>1.69</v>
      </c>
    </row>
    <row r="37174" spans="1:5" x14ac:dyDescent="0.25">
      <c r="A37174" t="str">
        <f>HYPERLINK("https://www.773grp.com/globalSearch/NCP1010AP130G/page-1", "NCP1010AP130G")</f>
        <v>NCP1010AP130G</v>
      </c>
      <c r="B37174" s="3" t="s">
        <v>95</v>
      </c>
      <c r="C37174" s="6">
        <v>3960</v>
      </c>
      <c r="D37174" s="7">
        <v>1.69</v>
      </c>
      <c r="E37174" t="s">
        <v>7</v>
      </c>
    </row>
    <row r="37175" spans="1:5" x14ac:dyDescent="0.25">
      <c r="A37175" t="str">
        <f>HYPERLINK("https://www.773grp.com/globalSearch/NCP1010ST100T3G/page-1", "NCP1010ST100T3G")</f>
        <v>NCP1010ST100T3G</v>
      </c>
      <c r="B37175" s="3" t="s">
        <v>95</v>
      </c>
      <c r="C37175" s="6">
        <v>8000</v>
      </c>
      <c r="D37175" s="7">
        <v>1.69</v>
      </c>
    </row>
    <row r="37176" spans="1:5" x14ac:dyDescent="0.25">
      <c r="A37176" t="str">
        <f>HYPERLINK("https://www.773grp.com/globalSearch/NCP1011AP065G/page-1", "NCP1011AP065G")</f>
        <v>NCP1011AP065G</v>
      </c>
      <c r="B37176" s="3" t="s">
        <v>95</v>
      </c>
      <c r="C37176" s="6">
        <v>2084</v>
      </c>
      <c r="D37176" s="7">
        <v>1.69</v>
      </c>
    </row>
    <row r="37177" spans="1:5" x14ac:dyDescent="0.25">
      <c r="A37177" t="str">
        <f>HYPERLINK("https://www.773grp.com/globalSearch/NCP1011AP100G/page-1", "NCP1011AP100G")</f>
        <v>NCP1011AP100G</v>
      </c>
      <c r="B37177" s="3" t="s">
        <v>95</v>
      </c>
      <c r="C37177" s="6">
        <v>77820</v>
      </c>
      <c r="D37177" s="7">
        <v>1.69</v>
      </c>
    </row>
    <row r="37178" spans="1:5" x14ac:dyDescent="0.25">
      <c r="A37178" t="str">
        <f>HYPERLINK("https://www.773grp.com/globalSearch/NCP1011ST65T3G/page-1", "NCP1011ST65T3G")</f>
        <v>NCP1011ST65T3G</v>
      </c>
      <c r="B37178" s="3" t="s">
        <v>95</v>
      </c>
      <c r="C37178" s="6">
        <v>20500</v>
      </c>
      <c r="D37178" s="7">
        <v>1.69</v>
      </c>
      <c r="E37178" t="s">
        <v>7</v>
      </c>
    </row>
    <row r="37179" spans="1:5" x14ac:dyDescent="0.25">
      <c r="A37179" t="str">
        <f>HYPERLINK("https://www.773grp.com/globalSearch/NCP1053XP136/page-1", "NCP1053XP136")</f>
        <v>NCP1053XP136</v>
      </c>
      <c r="B37179" s="3" t="s">
        <v>95</v>
      </c>
      <c r="C37179" s="6">
        <v>2100</v>
      </c>
      <c r="D37179" s="7">
        <v>1.69</v>
      </c>
    </row>
    <row r="37180" spans="1:5" x14ac:dyDescent="0.25">
      <c r="A37180" t="str">
        <f>HYPERLINK("https://www.773grp.com/globalSearch/NCP1230D100R2G/page-1", "NCP1230D100R2G")</f>
        <v>NCP1230D100R2G</v>
      </c>
      <c r="B37180" s="3" t="s">
        <v>95</v>
      </c>
      <c r="C37180" s="6">
        <v>76809</v>
      </c>
      <c r="D37180" s="7">
        <v>1.69</v>
      </c>
      <c r="E37180" t="s">
        <v>7</v>
      </c>
    </row>
    <row r="37181" spans="1:5" x14ac:dyDescent="0.25">
      <c r="A37181" t="str">
        <f>HYPERLINK("https://www.773grp.com/globalSearch/NCP1230D133R2G/page-1", "NCP1230D133R2G")</f>
        <v>NCP1230D133R2G</v>
      </c>
      <c r="B37181" s="3" t="s">
        <v>95</v>
      </c>
      <c r="C37181" s="6">
        <v>37763</v>
      </c>
      <c r="D37181" s="7">
        <v>1.69</v>
      </c>
      <c r="E37181" t="s">
        <v>7</v>
      </c>
    </row>
    <row r="37182" spans="1:5" x14ac:dyDescent="0.25">
      <c r="A37182" t="str">
        <f>HYPERLINK("https://www.773grp.com/globalSearch/NCP1230D165R2G/page-1", "NCP1230D165R2G")</f>
        <v>NCP1230D165R2G</v>
      </c>
      <c r="B37182" s="3" t="s">
        <v>95</v>
      </c>
      <c r="C37182" s="6">
        <v>19500</v>
      </c>
      <c r="D37182" s="7">
        <v>1.69</v>
      </c>
      <c r="E37182" t="s">
        <v>7</v>
      </c>
    </row>
    <row r="37183" spans="1:5" x14ac:dyDescent="0.25">
      <c r="A37183" t="str">
        <f>HYPERLINK("https://www.773grp.com/globalSearch/NCP1230D65R2G/page-1", "NCP1230D65R2G")</f>
        <v>NCP1230D65R2G</v>
      </c>
      <c r="B37183" s="3" t="s">
        <v>95</v>
      </c>
      <c r="C37183" s="6">
        <v>2480</v>
      </c>
      <c r="D37183" s="7">
        <v>1.69</v>
      </c>
    </row>
    <row r="37184" spans="1:5" x14ac:dyDescent="0.25">
      <c r="A37184" t="str">
        <f>HYPERLINK("https://www.773grp.com/globalSearch/NCP1234BD100R2G/page-1", "NCP1234BD100R2G")</f>
        <v>NCP1234BD100R2G</v>
      </c>
      <c r="B37184" s="3" t="s">
        <v>95</v>
      </c>
      <c r="C37184" s="6">
        <v>6560</v>
      </c>
      <c r="D37184" s="7">
        <v>1.69</v>
      </c>
    </row>
    <row r="37185" spans="1:5" x14ac:dyDescent="0.25">
      <c r="A37185" t="str">
        <f>HYPERLINK("https://www.773grp.com/globalSearch/NCP1252ADR2G/page-1", "NCP1252ADR2G")</f>
        <v>NCP1252ADR2G</v>
      </c>
      <c r="B37185" s="3" t="s">
        <v>95</v>
      </c>
      <c r="C37185" s="6">
        <v>15000</v>
      </c>
      <c r="D37185" s="7">
        <v>1.69</v>
      </c>
    </row>
    <row r="37186" spans="1:5" x14ac:dyDescent="0.25">
      <c r="A37186" t="str">
        <f>HYPERLINK("https://www.773grp.com/globalSearch/NCP1252BDR2G/page-1", "NCP1252BDR2G")</f>
        <v>NCP1252BDR2G</v>
      </c>
      <c r="B37186" s="3" t="s">
        <v>95</v>
      </c>
      <c r="C37186" s="6">
        <v>25000</v>
      </c>
      <c r="D37186" s="7">
        <v>1.69</v>
      </c>
    </row>
    <row r="37187" spans="1:5" x14ac:dyDescent="0.25">
      <c r="A37187" t="str">
        <f>HYPERLINK("https://www.773grp.com/globalSearch/NCP1252CDR2G/page-1", "NCP1252CDR2G")</f>
        <v>NCP1252CDR2G</v>
      </c>
      <c r="B37187" s="3" t="s">
        <v>95</v>
      </c>
      <c r="C37187" s="6">
        <v>4485</v>
      </c>
      <c r="D37187" s="7">
        <v>1.69</v>
      </c>
    </row>
    <row r="37188" spans="1:5" x14ac:dyDescent="0.25">
      <c r="A37188" t="str">
        <f>HYPERLINK("https://www.773grp.com/globalSearch/NCP1351ADR2G/page-1", "NCP1351ADR2G")</f>
        <v>NCP1351ADR2G</v>
      </c>
      <c r="B37188" s="3" t="s">
        <v>95</v>
      </c>
      <c r="C37188" s="6">
        <v>36734</v>
      </c>
      <c r="D37188" s="7">
        <v>1.69</v>
      </c>
      <c r="E37188" t="s">
        <v>7</v>
      </c>
    </row>
    <row r="37189" spans="1:5" x14ac:dyDescent="0.25">
      <c r="A37189" t="str">
        <f>HYPERLINK("https://www.773grp.com/globalSearch/NCP1351CDR2G/page-1", "NCP1351CDR2G")</f>
        <v>NCP1351CDR2G</v>
      </c>
      <c r="B37189" s="3" t="s">
        <v>95</v>
      </c>
      <c r="C37189" s="6">
        <v>7500</v>
      </c>
      <c r="D37189" s="7">
        <v>1.69</v>
      </c>
      <c r="E37189" t="s">
        <v>7</v>
      </c>
    </row>
    <row r="37190" spans="1:5" x14ac:dyDescent="0.25">
      <c r="A37190" t="str">
        <f>HYPERLINK("https://www.773grp.com/globalSearch/NCP1351DDR2G/page-1", "NCP1351DDR2G")</f>
        <v>NCP1351DDR2G</v>
      </c>
      <c r="B37190" s="3" t="s">
        <v>95</v>
      </c>
      <c r="C37190" s="6">
        <v>104438</v>
      </c>
      <c r="D37190" s="7">
        <v>1.69</v>
      </c>
      <c r="E37190" t="s">
        <v>7</v>
      </c>
    </row>
    <row r="37191" spans="1:5" x14ac:dyDescent="0.25">
      <c r="A37191" t="str">
        <f>HYPERLINK("https://www.773grp.com/globalSearch/NCP1411DMR2G/page-1", "NCP1411DMR2G")</f>
        <v>NCP1411DMR2G</v>
      </c>
      <c r="B37191" s="3" t="s">
        <v>95</v>
      </c>
      <c r="C37191" s="6">
        <v>12007</v>
      </c>
      <c r="D37191" s="7">
        <v>1.69</v>
      </c>
      <c r="E37191" t="s">
        <v>7</v>
      </c>
    </row>
    <row r="37192" spans="1:5" x14ac:dyDescent="0.25">
      <c r="A37192" t="str">
        <f>HYPERLINK("https://www.773grp.com/globalSearch/NCP1450ASN19T1/page-1", "NCP1450ASN19T1")</f>
        <v>NCP1450ASN19T1</v>
      </c>
      <c r="B37192" s="3" t="s">
        <v>95</v>
      </c>
      <c r="C37192" s="6">
        <v>2788</v>
      </c>
      <c r="D37192" s="7">
        <v>1.69</v>
      </c>
      <c r="E37192" t="s">
        <v>7</v>
      </c>
    </row>
    <row r="37193" spans="1:5" x14ac:dyDescent="0.25">
      <c r="A37193" t="str">
        <f>HYPERLINK("https://www.773grp.com/globalSearch/NCP2860DM300R2/page-1", "NCP2860DM300R2")</f>
        <v>NCP2860DM300R2</v>
      </c>
      <c r="B37193" s="3" t="s">
        <v>95</v>
      </c>
      <c r="C37193" s="6">
        <v>8000</v>
      </c>
      <c r="D37193" s="7">
        <v>1.69</v>
      </c>
      <c r="E37193" t="s">
        <v>27</v>
      </c>
    </row>
    <row r="37194" spans="1:5" x14ac:dyDescent="0.25">
      <c r="A37194" t="str">
        <f>HYPERLINK("https://www.773grp.com/globalSearch/NCP302LSN47T1/page-1", "NCP302LSN47T1")</f>
        <v>NCP302LSN47T1</v>
      </c>
      <c r="B37194" s="3" t="s">
        <v>95</v>
      </c>
      <c r="C37194" s="6">
        <v>8090</v>
      </c>
      <c r="D37194" s="7">
        <v>1.69</v>
      </c>
      <c r="E37194" t="s">
        <v>30</v>
      </c>
    </row>
    <row r="37195" spans="1:5" x14ac:dyDescent="0.25">
      <c r="A37195" t="str">
        <f>HYPERLINK("https://www.773grp.com/globalSearch/NCP3063PG/page-1", "NCP3063PG")</f>
        <v>NCP3063PG</v>
      </c>
      <c r="B37195" s="3" t="s">
        <v>95</v>
      </c>
      <c r="C37195" s="6">
        <v>1050</v>
      </c>
      <c r="D37195" s="7">
        <v>1.69</v>
      </c>
      <c r="E37195" t="s">
        <v>7</v>
      </c>
    </row>
    <row r="37196" spans="1:5" x14ac:dyDescent="0.25">
      <c r="A37196" t="str">
        <f>HYPERLINK("https://www.773grp.com/globalSearch/NCP4671DSN09T1G/page-1", "NCP4671DSN09T1G")</f>
        <v>NCP4671DSN09T1G</v>
      </c>
      <c r="B37196" s="3" t="s">
        <v>95</v>
      </c>
      <c r="C37196" s="6">
        <v>21000</v>
      </c>
      <c r="D37196" s="7">
        <v>1.69</v>
      </c>
    </row>
    <row r="37197" spans="1:5" x14ac:dyDescent="0.25">
      <c r="A37197" t="str">
        <f>HYPERLINK("https://www.773grp.com/globalSearch/NCP4671DSN10T1G/page-1", "NCP4671DSN10T1G")</f>
        <v>NCP4671DSN10T1G</v>
      </c>
      <c r="B37197" s="3" t="s">
        <v>95</v>
      </c>
      <c r="C37197" s="6">
        <v>21000</v>
      </c>
      <c r="D37197" s="7">
        <v>1.69</v>
      </c>
    </row>
    <row r="37198" spans="1:5" x14ac:dyDescent="0.25">
      <c r="A37198" t="str">
        <f>HYPERLINK("https://www.773grp.com/globalSearch/NCP4671DSN12T1G/page-1", "NCP4671DSN12T1G")</f>
        <v>NCP4671DSN12T1G</v>
      </c>
      <c r="B37198" s="3" t="s">
        <v>95</v>
      </c>
      <c r="C37198" s="6">
        <v>21000</v>
      </c>
      <c r="D37198" s="7">
        <v>1.69</v>
      </c>
    </row>
    <row r="37199" spans="1:5" x14ac:dyDescent="0.25">
      <c r="A37199" t="str">
        <f>HYPERLINK("https://www.773grp.com/globalSearch/NCP4671DSN13T1G/page-1", "NCP4671DSN13T1G")</f>
        <v>NCP4671DSN13T1G</v>
      </c>
      <c r="B37199" s="3" t="s">
        <v>95</v>
      </c>
      <c r="C37199" s="6">
        <v>18000</v>
      </c>
      <c r="D37199" s="7">
        <v>1.69</v>
      </c>
    </row>
    <row r="37200" spans="1:5" x14ac:dyDescent="0.25">
      <c r="A37200" t="str">
        <f>HYPERLINK("https://www.773grp.com/globalSearch/NCP4671DSN15T1G/page-1", "NCP4671DSN15T1G")</f>
        <v>NCP4671DSN15T1G</v>
      </c>
      <c r="B37200" s="3" t="s">
        <v>95</v>
      </c>
      <c r="C37200" s="6">
        <v>3000</v>
      </c>
      <c r="D37200" s="7">
        <v>1.69</v>
      </c>
    </row>
    <row r="37201" spans="1:5" x14ac:dyDescent="0.25">
      <c r="A37201" t="str">
        <f>HYPERLINK("https://www.773grp.com/globalSearch/NCP4894FCT1/page-1", "NCP4894FCT1")</f>
        <v>NCP4894FCT1</v>
      </c>
      <c r="B37201" s="3" t="s">
        <v>95</v>
      </c>
      <c r="C37201" s="6">
        <v>306000</v>
      </c>
      <c r="D37201" s="7">
        <v>1.69</v>
      </c>
      <c r="E37201" t="s">
        <v>18</v>
      </c>
    </row>
    <row r="37202" spans="1:5" x14ac:dyDescent="0.25">
      <c r="A37202" t="str">
        <f>HYPERLINK("https://www.773grp.com/globalSearch/NCP5104DR2G/page-1", "NCP5104DR2G")</f>
        <v>NCP5104DR2G</v>
      </c>
      <c r="B37202" s="3" t="s">
        <v>95</v>
      </c>
      <c r="C37202" s="6">
        <v>9272</v>
      </c>
      <c r="D37202" s="7">
        <v>1.69</v>
      </c>
      <c r="E37202" t="s">
        <v>11</v>
      </c>
    </row>
    <row r="37203" spans="1:5" x14ac:dyDescent="0.25">
      <c r="A37203" t="str">
        <f>HYPERLINK("https://www.773grp.com/globalSearch/NCP5106ADR2G/page-1", "NCP5106ADR2G")</f>
        <v>NCP5106ADR2G</v>
      </c>
      <c r="B37203" s="3" t="s">
        <v>95</v>
      </c>
      <c r="C37203" s="6">
        <v>19337</v>
      </c>
      <c r="D37203" s="7">
        <v>1.69</v>
      </c>
      <c r="E37203" t="s">
        <v>11</v>
      </c>
    </row>
    <row r="37204" spans="1:5" x14ac:dyDescent="0.25">
      <c r="A37204" t="str">
        <f>HYPERLINK("https://www.773grp.com/globalSearch/NCP5106BDR2G/page-1", "NCP5106BDR2G")</f>
        <v>NCP5106BDR2G</v>
      </c>
      <c r="B37204" s="3" t="s">
        <v>95</v>
      </c>
      <c r="C37204" s="6">
        <v>7714</v>
      </c>
      <c r="D37204" s="7">
        <v>1.69</v>
      </c>
      <c r="E37204" t="s">
        <v>11</v>
      </c>
    </row>
    <row r="37205" spans="1:5" x14ac:dyDescent="0.25">
      <c r="A37205" t="str">
        <f>HYPERLINK("https://www.773grp.com/globalSearch/NCP5109BDR2G/page-1", "NCP5109BDR2G")</f>
        <v>NCP5109BDR2G</v>
      </c>
      <c r="B37205" s="3" t="s">
        <v>95</v>
      </c>
      <c r="C37205" s="6">
        <v>2400</v>
      </c>
      <c r="D37205" s="7">
        <v>1.69</v>
      </c>
    </row>
    <row r="37206" spans="1:5" x14ac:dyDescent="0.25">
      <c r="A37206" t="str">
        <f>HYPERLINK("https://www.773grp.com/globalSearch/NCP5111DR2G/page-1", "NCP5111DR2G")</f>
        <v>NCP5111DR2G</v>
      </c>
      <c r="B37206" s="3" t="s">
        <v>95</v>
      </c>
      <c r="C37206" s="6">
        <v>3874</v>
      </c>
      <c r="D37206" s="7">
        <v>1.69</v>
      </c>
    </row>
    <row r="37207" spans="1:5" x14ac:dyDescent="0.25">
      <c r="A37207" t="str">
        <f>HYPERLINK("https://www.773grp.com/globalSearch/NCP5504DTRKG/page-1", "NCP5504DTRKG")</f>
        <v>NCP5504DTRKG</v>
      </c>
      <c r="B37207" s="3" t="s">
        <v>95</v>
      </c>
      <c r="C37207" s="6">
        <v>2210</v>
      </c>
      <c r="D37207" s="7">
        <v>1.69</v>
      </c>
    </row>
    <row r="37208" spans="1:5" x14ac:dyDescent="0.25">
      <c r="A37208" t="str">
        <f>HYPERLINK("https://www.773grp.com/globalSearch/NCP6334BMTAATBG/page-1", "NCP6334BMTAATBG")</f>
        <v>NCP6334BMTAATBG</v>
      </c>
      <c r="B37208" s="3" t="s">
        <v>95</v>
      </c>
      <c r="C37208" s="6">
        <v>27000</v>
      </c>
      <c r="D37208" s="7">
        <v>1.69</v>
      </c>
    </row>
    <row r="37209" spans="1:5" x14ac:dyDescent="0.25">
      <c r="A37209" t="str">
        <f>HYPERLINK("https://www.773grp.com/globalSearch/NCP6334BMTBBTBG/page-1", "NCP6334BMTBBTBG")</f>
        <v>NCP6334BMTBBTBG</v>
      </c>
      <c r="B37209" s="3" t="s">
        <v>95</v>
      </c>
      <c r="C37209" s="6">
        <v>3000</v>
      </c>
      <c r="D37209" s="7">
        <v>1.69</v>
      </c>
    </row>
    <row r="37210" spans="1:5" x14ac:dyDescent="0.25">
      <c r="A37210" t="str">
        <f>HYPERLINK("https://www.773grp.com/globalSearch/NCP6334CMTAATBG/page-1", "NCP6334CMTAATBG")</f>
        <v>NCP6334CMTAATBG</v>
      </c>
      <c r="B37210" s="3" t="s">
        <v>95</v>
      </c>
      <c r="C37210" s="6">
        <v>60000</v>
      </c>
      <c r="D37210" s="7">
        <v>1.69</v>
      </c>
    </row>
    <row r="37211" spans="1:5" x14ac:dyDescent="0.25">
      <c r="A37211" t="str">
        <f>HYPERLINK("https://www.773grp.com/globalSearch/NCP803SN263T1/page-1", "NCP803SN263T1")</f>
        <v>NCP803SN263T1</v>
      </c>
      <c r="B37211" s="3" t="s">
        <v>95</v>
      </c>
      <c r="C37211" s="6">
        <v>2894</v>
      </c>
      <c r="D37211" s="7">
        <v>1.69</v>
      </c>
      <c r="E37211" t="s">
        <v>30</v>
      </c>
    </row>
    <row r="37212" spans="1:5" x14ac:dyDescent="0.25">
      <c r="A37212" t="str">
        <f>HYPERLINK("https://www.773grp.com/globalSearch/NCP803SN308T1/page-1", "NCP803SN308T1")</f>
        <v>NCP803SN308T1</v>
      </c>
      <c r="B37212" s="3" t="s">
        <v>95</v>
      </c>
      <c r="C37212" s="6">
        <v>2439</v>
      </c>
      <c r="D37212" s="7">
        <v>1.69</v>
      </c>
      <c r="E37212" t="s">
        <v>30</v>
      </c>
    </row>
    <row r="37213" spans="1:5" x14ac:dyDescent="0.25">
      <c r="A37213" t="str">
        <f>HYPERLINK("https://www.773grp.com/globalSearch/NCP81172MNTXG/page-1", "NCP81172MNTXG")</f>
        <v>NCP81172MNTXG</v>
      </c>
      <c r="B37213" s="3" t="s">
        <v>95</v>
      </c>
      <c r="C37213" s="6">
        <v>95000</v>
      </c>
      <c r="D37213" s="7">
        <v>1.69</v>
      </c>
    </row>
    <row r="37214" spans="1:5" x14ac:dyDescent="0.25">
      <c r="A37214" t="str">
        <f>HYPERLINK("https://www.773grp.com/globalSearch/NCS2002SN2T1G/page-1", "NCS2002SN2T1G")</f>
        <v>NCS2002SN2T1G</v>
      </c>
      <c r="B37214" s="3" t="s">
        <v>95</v>
      </c>
      <c r="C37214" s="6">
        <v>7793</v>
      </c>
      <c r="D37214" s="7">
        <v>1.69</v>
      </c>
      <c r="E37214" t="s">
        <v>13</v>
      </c>
    </row>
    <row r="37215" spans="1:5" x14ac:dyDescent="0.25">
      <c r="A37215" t="str">
        <f>HYPERLINK("https://www.773grp.com/globalSearch/NCV300LSN28T1G/page-1", "NCV300LSN28T1G")</f>
        <v>NCV300LSN28T1G</v>
      </c>
      <c r="B37215" s="3" t="s">
        <v>95</v>
      </c>
      <c r="C37215" s="6">
        <v>6000</v>
      </c>
      <c r="D37215" s="7">
        <v>1.69</v>
      </c>
      <c r="E37215" t="s">
        <v>30</v>
      </c>
    </row>
    <row r="37216" spans="1:5" x14ac:dyDescent="0.25">
      <c r="A37216" t="str">
        <f>HYPERLINK("https://www.773grp.com/globalSearch/NCV301HSN27T1G/page-1", "NCV301HSN27T1G")</f>
        <v>NCV301HSN27T1G</v>
      </c>
      <c r="B37216" s="3" t="s">
        <v>95</v>
      </c>
      <c r="C37216" s="6">
        <v>3000</v>
      </c>
      <c r="D37216" s="7">
        <v>1.69</v>
      </c>
    </row>
    <row r="37217" spans="1:5" x14ac:dyDescent="0.25">
      <c r="A37217" t="str">
        <f>HYPERLINK("https://www.773grp.com/globalSearch/NCV301LSN12T1G/page-1", "NCV301LSN12T1G")</f>
        <v>NCV301LSN12T1G</v>
      </c>
      <c r="B37217" s="3" t="s">
        <v>95</v>
      </c>
      <c r="C37217" s="6">
        <v>24000</v>
      </c>
      <c r="D37217" s="7">
        <v>1.69</v>
      </c>
      <c r="E37217" t="s">
        <v>30</v>
      </c>
    </row>
    <row r="37218" spans="1:5" x14ac:dyDescent="0.25">
      <c r="A37218" t="str">
        <f>HYPERLINK("https://www.773grp.com/globalSearch/NCV301LSN28T1G/page-1", "NCV301LSN28T1G")</f>
        <v>NCV301LSN28T1G</v>
      </c>
      <c r="B37218" s="3" t="s">
        <v>95</v>
      </c>
      <c r="C37218" s="6">
        <v>6000</v>
      </c>
      <c r="D37218" s="7">
        <v>1.69</v>
      </c>
      <c r="E37218" t="s">
        <v>30</v>
      </c>
    </row>
    <row r="37219" spans="1:5" x14ac:dyDescent="0.25">
      <c r="A37219" t="str">
        <f>HYPERLINK("https://www.773grp.com/globalSearch/NCV301LSN40T1G/page-1", "NCV301LSN40T1G")</f>
        <v>NCV301LSN40T1G</v>
      </c>
      <c r="B37219" s="3" t="s">
        <v>95</v>
      </c>
      <c r="C37219" s="6">
        <v>5758</v>
      </c>
      <c r="D37219" s="7">
        <v>1.69</v>
      </c>
      <c r="E37219" t="s">
        <v>30</v>
      </c>
    </row>
    <row r="37220" spans="1:5" x14ac:dyDescent="0.25">
      <c r="A37220" t="str">
        <f>HYPERLINK("https://www.773grp.com/globalSearch/NCV303LSN10T1G/page-1", "NCV303LSN10T1G")</f>
        <v>NCV303LSN10T1G</v>
      </c>
      <c r="B37220" s="3" t="s">
        <v>95</v>
      </c>
      <c r="C37220" s="6">
        <v>23994</v>
      </c>
      <c r="D37220" s="7">
        <v>1.69</v>
      </c>
      <c r="E37220" t="s">
        <v>30</v>
      </c>
    </row>
    <row r="37221" spans="1:5" x14ac:dyDescent="0.25">
      <c r="A37221" t="str">
        <f>HYPERLINK("https://www.773grp.com/globalSearch/NCV303LSN14T1G/page-1", "NCV303LSN14T1G")</f>
        <v>NCV303LSN14T1G</v>
      </c>
      <c r="B37221" s="3" t="s">
        <v>95</v>
      </c>
      <c r="C37221" s="6">
        <v>18000</v>
      </c>
      <c r="D37221" s="7">
        <v>1.69</v>
      </c>
      <c r="E37221" t="s">
        <v>30</v>
      </c>
    </row>
    <row r="37222" spans="1:5" x14ac:dyDescent="0.25">
      <c r="A37222" t="str">
        <f>HYPERLINK("https://www.773grp.com/globalSearch/NCV303LSN15T1G/page-1", "NCV303LSN15T1G")</f>
        <v>NCV303LSN15T1G</v>
      </c>
      <c r="B37222" s="3" t="s">
        <v>95</v>
      </c>
      <c r="C37222" s="6">
        <v>21000</v>
      </c>
      <c r="D37222" s="7">
        <v>1.69</v>
      </c>
      <c r="E37222" t="s">
        <v>30</v>
      </c>
    </row>
    <row r="37223" spans="1:5" x14ac:dyDescent="0.25">
      <c r="A37223" t="str">
        <f>HYPERLINK("https://www.773grp.com/globalSearch/NCV303LSN23T1G/page-1", "NCV303LSN23T1G")</f>
        <v>NCV303LSN23T1G</v>
      </c>
      <c r="B37223" s="3" t="s">
        <v>95</v>
      </c>
      <c r="C37223" s="6">
        <v>5995</v>
      </c>
      <c r="D37223" s="7">
        <v>1.69</v>
      </c>
      <c r="E37223" t="s">
        <v>30</v>
      </c>
    </row>
    <row r="37224" spans="1:5" x14ac:dyDescent="0.25">
      <c r="A37224" t="str">
        <f>HYPERLINK("https://www.773grp.com/globalSearch/NCV303LSN28T1G/page-1", "NCV303LSN28T1G")</f>
        <v>NCV303LSN28T1G</v>
      </c>
      <c r="B37224" s="3" t="s">
        <v>95</v>
      </c>
      <c r="C37224" s="6">
        <v>21000</v>
      </c>
      <c r="D37224" s="7">
        <v>1.69</v>
      </c>
    </row>
    <row r="37225" spans="1:5" x14ac:dyDescent="0.25">
      <c r="A37225" t="str">
        <f>HYPERLINK("https://www.773grp.com/globalSearch/NCV303LSN29T1G/page-1", "NCV303LSN29T1G")</f>
        <v>NCV303LSN29T1G</v>
      </c>
      <c r="B37225" s="3" t="s">
        <v>95</v>
      </c>
      <c r="C37225" s="6">
        <v>2970</v>
      </c>
      <c r="D37225" s="7">
        <v>1.69</v>
      </c>
      <c r="E37225" t="s">
        <v>30</v>
      </c>
    </row>
    <row r="37226" spans="1:5" x14ac:dyDescent="0.25">
      <c r="A37226" t="str">
        <f>HYPERLINK("https://www.773grp.com/globalSearch/NCV303LSN30T1G/page-1", "NCV303LSN30T1G")</f>
        <v>NCV303LSN30T1G</v>
      </c>
      <c r="B37226" s="3" t="s">
        <v>95</v>
      </c>
      <c r="C37226" s="6">
        <v>35329</v>
      </c>
      <c r="D37226" s="7">
        <v>1.69</v>
      </c>
      <c r="E37226" t="s">
        <v>30</v>
      </c>
    </row>
    <row r="37227" spans="1:5" x14ac:dyDescent="0.25">
      <c r="A37227" t="str">
        <f>HYPERLINK("https://www.773grp.com/globalSearch/NCV303LSN44T1G/page-1", "NCV303LSN44T1G")</f>
        <v>NCV303LSN44T1G</v>
      </c>
      <c r="B37227" s="3" t="s">
        <v>95</v>
      </c>
      <c r="C37227" s="6">
        <v>13989</v>
      </c>
      <c r="D37227" s="7">
        <v>1.69</v>
      </c>
      <c r="E37227" t="s">
        <v>30</v>
      </c>
    </row>
    <row r="37228" spans="1:5" x14ac:dyDescent="0.25">
      <c r="A37228" t="str">
        <f>HYPERLINK("https://www.773grp.com/globalSearch/NCV303LSN45T1G/page-1", "NCV303LSN45T1G")</f>
        <v>NCV303LSN45T1G</v>
      </c>
      <c r="B37228" s="3" t="s">
        <v>95</v>
      </c>
      <c r="C37228" s="6">
        <v>1754</v>
      </c>
      <c r="D37228" s="7">
        <v>1.69</v>
      </c>
      <c r="E37228" t="s">
        <v>30</v>
      </c>
    </row>
    <row r="37229" spans="1:5" x14ac:dyDescent="0.25">
      <c r="A37229" t="str">
        <f>HYPERLINK("https://www.773grp.com/globalSearch/NCV303LSN47T1G/page-1", "NCV303LSN47T1G")</f>
        <v>NCV303LSN47T1G</v>
      </c>
      <c r="B37229" s="3" t="s">
        <v>95</v>
      </c>
      <c r="C37229" s="6">
        <v>17875</v>
      </c>
      <c r="D37229" s="7">
        <v>1.69</v>
      </c>
      <c r="E37229" t="s">
        <v>30</v>
      </c>
    </row>
    <row r="37230" spans="1:5" x14ac:dyDescent="0.25">
      <c r="A37230" t="str">
        <f>HYPERLINK("https://www.773grp.com/globalSearch/NCV303LSN49T1G/page-1", "NCV303LSN49T1G")</f>
        <v>NCV303LSN49T1G</v>
      </c>
      <c r="B37230" s="3" t="s">
        <v>95</v>
      </c>
      <c r="C37230" s="6">
        <v>24000</v>
      </c>
      <c r="D37230" s="7">
        <v>1.69</v>
      </c>
      <c r="E37230" t="s">
        <v>30</v>
      </c>
    </row>
    <row r="37231" spans="1:5" x14ac:dyDescent="0.25">
      <c r="A37231" t="str">
        <f>HYPERLINK("https://www.773grp.com/globalSearch/NCV317LBDG/page-1", "NCV317LBDG")</f>
        <v>NCV317LBDG</v>
      </c>
      <c r="B37231" s="3" t="s">
        <v>95</v>
      </c>
      <c r="C37231" s="6">
        <v>4104</v>
      </c>
      <c r="D37231" s="7">
        <v>1.69</v>
      </c>
      <c r="E37231" t="s">
        <v>22</v>
      </c>
    </row>
    <row r="37232" spans="1:5" x14ac:dyDescent="0.25">
      <c r="A37232" t="str">
        <f>HYPERLINK("https://www.773grp.com/globalSearch/NCV317LBDR2G/page-1", "NCV317LBDR2G")</f>
        <v>NCV317LBDR2G</v>
      </c>
      <c r="B37232" s="3" t="s">
        <v>95</v>
      </c>
      <c r="C37232" s="6">
        <v>6366</v>
      </c>
      <c r="D37232" s="7">
        <v>1.69</v>
      </c>
      <c r="E37232" t="s">
        <v>22</v>
      </c>
    </row>
    <row r="37233" spans="1:5" x14ac:dyDescent="0.25">
      <c r="A37233" t="str">
        <f>HYPERLINK("https://www.773grp.com/globalSearch/NCV5500DT15RKG/page-1", "NCV5500DT15RKG")</f>
        <v>NCV5500DT15RKG</v>
      </c>
      <c r="B37233" s="3" t="s">
        <v>95</v>
      </c>
      <c r="C37233" s="6">
        <v>29034</v>
      </c>
      <c r="D37233" s="7">
        <v>1.69</v>
      </c>
      <c r="E37233" t="s">
        <v>19</v>
      </c>
    </row>
    <row r="37234" spans="1:5" x14ac:dyDescent="0.25">
      <c r="A37234" t="str">
        <f>HYPERLINK("https://www.773grp.com/globalSearch/NCV809LTRG/page-1", "NCV809LTRG")</f>
        <v>NCV809LTRG</v>
      </c>
      <c r="B37234" s="3" t="s">
        <v>95</v>
      </c>
      <c r="C37234" s="6">
        <v>9000</v>
      </c>
      <c r="D37234" s="7">
        <v>1.69</v>
      </c>
    </row>
    <row r="37235" spans="1:5" x14ac:dyDescent="0.25">
      <c r="A37235" t="str">
        <f>HYPERLINK("https://www.773grp.com/globalSearch/NE592D14G/page-1", "NE592D14G")</f>
        <v>NE592D14G</v>
      </c>
      <c r="B37235" s="3" t="s">
        <v>95</v>
      </c>
      <c r="C37235" s="6">
        <v>249</v>
      </c>
      <c r="D37235" s="7">
        <v>1.69</v>
      </c>
      <c r="E37235" t="s">
        <v>18</v>
      </c>
    </row>
    <row r="37236" spans="1:5" x14ac:dyDescent="0.25">
      <c r="A37236" t="str">
        <f>HYPERLINK("https://www.773grp.com/globalSearch/NE592D14R2G/page-1", "NE592D14R2G")</f>
        <v>NE592D14R2G</v>
      </c>
      <c r="B37236" s="3" t="s">
        <v>95</v>
      </c>
      <c r="C37236" s="6">
        <v>600</v>
      </c>
      <c r="D37236" s="7">
        <v>1.69</v>
      </c>
      <c r="E37236" t="s">
        <v>18</v>
      </c>
    </row>
    <row r="37237" spans="1:5" x14ac:dyDescent="0.25">
      <c r="A37237" t="str">
        <f>HYPERLINK("https://www.773grp.com/globalSearch/NLAS4051QS/page-1", "NLAS4051QS")</f>
        <v>NLAS4051QS</v>
      </c>
      <c r="B37237" s="3" t="s">
        <v>95</v>
      </c>
      <c r="C37237" s="6">
        <v>1372</v>
      </c>
      <c r="D37237" s="7">
        <v>1.69</v>
      </c>
    </row>
    <row r="37238" spans="1:5" x14ac:dyDescent="0.25">
      <c r="A37238" t="str">
        <f>HYPERLINK("https://www.773grp.com/globalSearch/NLAS4053DR2/page-1", "NLAS4053DR2")</f>
        <v>NLAS4053DR2</v>
      </c>
      <c r="B37238" s="3" t="s">
        <v>95</v>
      </c>
      <c r="C37238" s="6">
        <v>2190</v>
      </c>
      <c r="D37238" s="7">
        <v>1.69</v>
      </c>
      <c r="E37238" t="s">
        <v>56</v>
      </c>
    </row>
    <row r="37239" spans="1:5" x14ac:dyDescent="0.25">
      <c r="A37239" t="str">
        <f>HYPERLINK("https://www.773grp.com/globalSearch/NLAS9099MN1R2G/page-1", "NLAS9099MN1R2G")</f>
        <v>NLAS9099MN1R2G</v>
      </c>
      <c r="B37239" s="3" t="s">
        <v>95</v>
      </c>
      <c r="C37239" s="6">
        <v>438000</v>
      </c>
      <c r="D37239" s="7">
        <v>1.69</v>
      </c>
    </row>
    <row r="37240" spans="1:5" x14ac:dyDescent="0.25">
      <c r="A37240" t="str">
        <f>HYPERLINK("https://www.773grp.com/globalSearch/NTD20N06L/page-1", "NTD20N06L")</f>
        <v>NTD20N06L</v>
      </c>
      <c r="B37240" s="3" t="s">
        <v>95</v>
      </c>
      <c r="C37240" s="6">
        <v>1823</v>
      </c>
      <c r="D37240" s="7">
        <v>1.69</v>
      </c>
      <c r="E37240" t="s">
        <v>105</v>
      </c>
    </row>
    <row r="37241" spans="1:5" x14ac:dyDescent="0.25">
      <c r="A37241" t="str">
        <f>HYPERLINK("https://www.773grp.com/globalSearch/NTD20N06L-001/page-1", "NTD20N06L-001")</f>
        <v>NTD20N06L-001</v>
      </c>
      <c r="B37241" s="3" t="s">
        <v>95</v>
      </c>
      <c r="C37241" s="6">
        <v>1851</v>
      </c>
      <c r="D37241" s="7">
        <v>1.69</v>
      </c>
      <c r="E37241" t="s">
        <v>105</v>
      </c>
    </row>
    <row r="37242" spans="1:5" x14ac:dyDescent="0.25">
      <c r="A37242" t="str">
        <f>HYPERLINK("https://www.773grp.com/globalSearch/NTD20N06T4/page-1", "NTD20N06T4")</f>
        <v>NTD20N06T4</v>
      </c>
      <c r="B37242" s="3" t="s">
        <v>95</v>
      </c>
      <c r="C37242" s="6">
        <v>2500</v>
      </c>
      <c r="D37242" s="7">
        <v>1.69</v>
      </c>
      <c r="E37242" t="s">
        <v>105</v>
      </c>
    </row>
    <row r="37243" spans="1:5" x14ac:dyDescent="0.25">
      <c r="A37243" t="str">
        <f>HYPERLINK("https://www.773grp.com/globalSearch/NTD4302G/page-1", "NTD4302G")</f>
        <v>NTD4302G</v>
      </c>
      <c r="B37243" s="3" t="s">
        <v>95</v>
      </c>
      <c r="C37243" s="6">
        <v>55175</v>
      </c>
      <c r="D37243" s="7">
        <v>1.69</v>
      </c>
    </row>
    <row r="37244" spans="1:5" x14ac:dyDescent="0.25">
      <c r="A37244" t="str">
        <f>HYPERLINK("https://www.773grp.com/globalSearch/NTD4302T4G/page-1", "NTD4302T4G")</f>
        <v>NTD4302T4G</v>
      </c>
      <c r="B37244" s="3" t="s">
        <v>95</v>
      </c>
      <c r="C37244" s="6">
        <v>1400</v>
      </c>
      <c r="D37244" s="7">
        <v>1.69</v>
      </c>
      <c r="E37244" t="s">
        <v>105</v>
      </c>
    </row>
    <row r="37245" spans="1:5" x14ac:dyDescent="0.25">
      <c r="A37245" t="str">
        <f>HYPERLINK("https://www.773grp.com/globalSearch/NTD4854N-1G/page-1", "NTD4854N-1G")</f>
        <v>NTD4854N-1G</v>
      </c>
      <c r="B37245" s="3" t="s">
        <v>95</v>
      </c>
      <c r="C37245" s="6">
        <v>1800</v>
      </c>
      <c r="D37245" s="7">
        <v>1.69</v>
      </c>
      <c r="E37245" t="s">
        <v>105</v>
      </c>
    </row>
    <row r="37246" spans="1:5" x14ac:dyDescent="0.25">
      <c r="A37246" t="str">
        <f>HYPERLINK("https://www.773grp.com/globalSearch/NTD4854N-35G/page-1", "NTD4854N-35G")</f>
        <v>NTD4854N-35G</v>
      </c>
      <c r="B37246" s="3" t="s">
        <v>95</v>
      </c>
      <c r="C37246" s="6">
        <v>4950</v>
      </c>
      <c r="D37246" s="7">
        <v>1.69</v>
      </c>
      <c r="E37246" t="s">
        <v>105</v>
      </c>
    </row>
    <row r="37247" spans="1:5" x14ac:dyDescent="0.25">
      <c r="A37247" t="str">
        <f>HYPERLINK("https://www.773grp.com/globalSearch/NTD4854NT4G/page-1", "NTD4854NT4G")</f>
        <v>NTD4854NT4G</v>
      </c>
      <c r="B37247" s="3" t="s">
        <v>95</v>
      </c>
      <c r="C37247" s="6">
        <v>51325</v>
      </c>
      <c r="D37247" s="7">
        <v>1.69</v>
      </c>
      <c r="E37247" t="s">
        <v>105</v>
      </c>
    </row>
    <row r="37248" spans="1:5" x14ac:dyDescent="0.25">
      <c r="A37248" t="str">
        <f>HYPERLINK("https://www.773grp.com/globalSearch/NTLGD3502NT1G/page-1", "NTLGD3502NT1G")</f>
        <v>NTLGD3502NT1G</v>
      </c>
      <c r="B37248" s="3" t="s">
        <v>95</v>
      </c>
      <c r="C37248" s="6">
        <v>14990</v>
      </c>
      <c r="D37248" s="7">
        <v>1.69</v>
      </c>
      <c r="E37248" t="s">
        <v>105</v>
      </c>
    </row>
    <row r="37249" spans="1:5" x14ac:dyDescent="0.25">
      <c r="A37249" t="str">
        <f>HYPERLINK("https://www.773grp.com/globalSearch/NTLGD3502NT2G/page-1", "NTLGD3502NT2G")</f>
        <v>NTLGD3502NT2G</v>
      </c>
      <c r="B37249" s="3" t="s">
        <v>95</v>
      </c>
      <c r="C37249" s="6">
        <v>3000</v>
      </c>
      <c r="D37249" s="7">
        <v>1.69</v>
      </c>
      <c r="E37249" t="s">
        <v>105</v>
      </c>
    </row>
    <row r="37250" spans="1:5" x14ac:dyDescent="0.25">
      <c r="A37250" t="str">
        <f>HYPERLINK("https://www.773grp.com/globalSearch/NTMD6P02R2SG/page-1", "NTMD6P02R2SG")</f>
        <v>NTMD6P02R2SG</v>
      </c>
      <c r="B37250" s="3" t="s">
        <v>95</v>
      </c>
      <c r="C37250" s="6">
        <v>15000</v>
      </c>
      <c r="D37250" s="7">
        <v>1.69</v>
      </c>
      <c r="E37250" t="s">
        <v>106</v>
      </c>
    </row>
    <row r="37251" spans="1:5" x14ac:dyDescent="0.25">
      <c r="A37251" t="str">
        <f>HYPERLINK("https://www.773grp.com/globalSearch/NTMSD6N303R2G/page-1", "NTMSD6N303R2G")</f>
        <v>NTMSD6N303R2G</v>
      </c>
      <c r="B37251" s="3" t="s">
        <v>95</v>
      </c>
      <c r="C37251" s="6">
        <v>130000</v>
      </c>
      <c r="D37251" s="7">
        <v>1.69</v>
      </c>
      <c r="E37251" t="s">
        <v>105</v>
      </c>
    </row>
    <row r="37252" spans="1:5" x14ac:dyDescent="0.25">
      <c r="A37252" t="str">
        <f>HYPERLINK("https://www.773grp.com/globalSearch/NVTP2955G/page-1", "NVTP2955G")</f>
        <v>NVTP2955G</v>
      </c>
      <c r="B37252" s="3" t="s">
        <v>95</v>
      </c>
      <c r="C37252" s="6">
        <v>3300</v>
      </c>
      <c r="D37252" s="7">
        <v>1.69</v>
      </c>
    </row>
    <row r="37253" spans="1:5" x14ac:dyDescent="0.25">
      <c r="A37253" t="str">
        <f>HYPERLINK("https://www.773grp.com/globalSearch/PACVGA201QR/page-1", "PACVGA201QR")</f>
        <v>PACVGA201QR</v>
      </c>
      <c r="B37253" s="3" t="s">
        <v>95</v>
      </c>
      <c r="C37253" s="6">
        <v>1380</v>
      </c>
      <c r="D37253" s="7">
        <v>1.69</v>
      </c>
    </row>
    <row r="37254" spans="1:5" x14ac:dyDescent="0.25">
      <c r="A37254" t="str">
        <f>HYPERLINK("https://www.773grp.com/globalSearch/SBR139/page-1", "SBR139")</f>
        <v>SBR139</v>
      </c>
      <c r="B37254" s="3" t="s">
        <v>95</v>
      </c>
      <c r="C37254" s="6">
        <v>4700</v>
      </c>
      <c r="D37254" s="7">
        <v>1.69</v>
      </c>
    </row>
    <row r="37255" spans="1:5" x14ac:dyDescent="0.25">
      <c r="A37255" t="str">
        <f>HYPERLINK("https://www.773grp.com/globalSearch/SCY991351DDR2G/page-1", "SCY991351DDR2G")</f>
        <v>SCY991351DDR2G</v>
      </c>
      <c r="B37255" s="3" t="s">
        <v>95</v>
      </c>
      <c r="C37255" s="6">
        <v>15000</v>
      </c>
      <c r="D37255" s="7">
        <v>1.69</v>
      </c>
    </row>
    <row r="37256" spans="1:5" x14ac:dyDescent="0.25">
      <c r="A37256" t="str">
        <f>HYPERLINK("https://www.773grp.com/globalSearch/SN74LS299N/page-1", "SN74LS299N")</f>
        <v>SN74LS299N</v>
      </c>
      <c r="B37256" s="3" t="s">
        <v>95</v>
      </c>
      <c r="C37256" s="6">
        <v>22369</v>
      </c>
      <c r="D37256" s="7">
        <v>1.69</v>
      </c>
      <c r="E37256" t="s">
        <v>32</v>
      </c>
    </row>
    <row r="37257" spans="1:5" x14ac:dyDescent="0.25">
      <c r="A37257" t="str">
        <f>HYPERLINK("https://www.773grp.com/globalSearch/SN74LS540DW/page-1", "SN74LS540DW")</f>
        <v>SN74LS540DW</v>
      </c>
      <c r="B37257" s="3" t="s">
        <v>95</v>
      </c>
      <c r="C37257" s="6">
        <v>139</v>
      </c>
      <c r="D37257" s="7">
        <v>1.69</v>
      </c>
      <c r="E37257" t="s">
        <v>14</v>
      </c>
    </row>
    <row r="37258" spans="1:5" x14ac:dyDescent="0.25">
      <c r="A37258" t="str">
        <f>HYPERLINK("https://www.773grp.com/globalSearch/SN74LS540M/page-1", "SN74LS540M")</f>
        <v>SN74LS540M</v>
      </c>
      <c r="B37258" s="3" t="s">
        <v>95</v>
      </c>
      <c r="C37258" s="6">
        <v>1600</v>
      </c>
      <c r="D37258" s="7">
        <v>1.69</v>
      </c>
    </row>
    <row r="37259" spans="1:5" x14ac:dyDescent="0.25">
      <c r="A37259" t="str">
        <f>HYPERLINK("https://www.773grp.com/globalSearch/TCA0372BDP1G/page-1", "TCA0372BDP1G")</f>
        <v>TCA0372BDP1G</v>
      </c>
      <c r="B37259" s="3" t="s">
        <v>95</v>
      </c>
      <c r="C37259" s="6">
        <v>59200</v>
      </c>
      <c r="D37259" s="7">
        <v>1.69</v>
      </c>
      <c r="E37259" t="s">
        <v>13</v>
      </c>
    </row>
    <row r="37260" spans="1:5" x14ac:dyDescent="0.25">
      <c r="A37260" t="str">
        <f>HYPERLINK("https://www.773grp.com/globalSearch/TIP131G/page-1", "TIP131G")</f>
        <v>TIP131G</v>
      </c>
      <c r="B37260" s="3" t="s">
        <v>95</v>
      </c>
      <c r="C37260" s="6">
        <v>3435</v>
      </c>
      <c r="D37260" s="7">
        <v>1.69</v>
      </c>
      <c r="E37260" t="s">
        <v>59</v>
      </c>
    </row>
    <row r="37261" spans="1:5" x14ac:dyDescent="0.25">
      <c r="A37261" t="str">
        <f>HYPERLINK("https://www.773grp.com/globalSearch/UC3842BD1R2G/page-1", "UC3842BD1R2G")</f>
        <v>UC3842BD1R2G</v>
      </c>
      <c r="B37261" s="3" t="s">
        <v>95</v>
      </c>
      <c r="C37261" s="6">
        <v>179041</v>
      </c>
      <c r="D37261" s="7">
        <v>1.69</v>
      </c>
      <c r="E37261" t="s">
        <v>7</v>
      </c>
    </row>
    <row r="37262" spans="1:5" x14ac:dyDescent="0.25">
      <c r="A37262" t="str">
        <f>HYPERLINK("https://www.773grp.com/globalSearch/UC3842BDR2G/page-1", "UC3842BDR2G")</f>
        <v>UC3842BDR2G</v>
      </c>
      <c r="B37262" s="3" t="s">
        <v>95</v>
      </c>
      <c r="C37262" s="6">
        <v>52506</v>
      </c>
      <c r="D37262" s="7">
        <v>1.69</v>
      </c>
      <c r="E37262" t="s">
        <v>7</v>
      </c>
    </row>
    <row r="37263" spans="1:5" x14ac:dyDescent="0.25">
      <c r="A37263" t="str">
        <f>HYPERLINK("https://www.773grp.com/globalSearch/UC3842BNG/page-1", "UC3842BNG")</f>
        <v>UC3842BNG</v>
      </c>
      <c r="B37263" s="3" t="s">
        <v>95</v>
      </c>
      <c r="C37263" s="6">
        <v>267873</v>
      </c>
      <c r="D37263" s="7">
        <v>1.69</v>
      </c>
      <c r="E37263" t="s">
        <v>7</v>
      </c>
    </row>
    <row r="37264" spans="1:5" x14ac:dyDescent="0.25">
      <c r="A37264" t="str">
        <f>HYPERLINK("https://www.773grp.com/globalSearch/UC3843BD1G/page-1", "UC3843BD1G")</f>
        <v>UC3843BD1G</v>
      </c>
      <c r="B37264" s="3" t="s">
        <v>95</v>
      </c>
      <c r="C37264" s="6">
        <v>71636</v>
      </c>
      <c r="D37264" s="7">
        <v>1.69</v>
      </c>
      <c r="E37264" t="s">
        <v>7</v>
      </c>
    </row>
    <row r="37265" spans="1:5" x14ac:dyDescent="0.25">
      <c r="A37265" t="str">
        <f>HYPERLINK("https://www.773grp.com/globalSearch/UC3843BD1R2G/page-1", "UC3843BD1R2G")</f>
        <v>UC3843BD1R2G</v>
      </c>
      <c r="B37265" s="3" t="s">
        <v>95</v>
      </c>
      <c r="C37265" s="6">
        <v>334662</v>
      </c>
      <c r="D37265" s="7">
        <v>1.69</v>
      </c>
      <c r="E37265" t="s">
        <v>7</v>
      </c>
    </row>
    <row r="37266" spans="1:5" x14ac:dyDescent="0.25">
      <c r="A37266" t="str">
        <f>HYPERLINK("https://www.773grp.com/globalSearch/UC3843BDR2G/page-1", "UC3843BDR2G")</f>
        <v>UC3843BDR2G</v>
      </c>
      <c r="B37266" s="3" t="s">
        <v>95</v>
      </c>
      <c r="C37266" s="6">
        <v>12520</v>
      </c>
      <c r="D37266" s="7">
        <v>1.69</v>
      </c>
      <c r="E37266" t="s">
        <v>7</v>
      </c>
    </row>
    <row r="37267" spans="1:5" x14ac:dyDescent="0.25">
      <c r="A37267" t="str">
        <f>HYPERLINK("https://www.773grp.com/globalSearch/UC3843BNG/page-1", "UC3843BNG")</f>
        <v>UC3843BNG</v>
      </c>
      <c r="B37267" s="3" t="s">
        <v>95</v>
      </c>
      <c r="C37267" s="6">
        <v>85912</v>
      </c>
      <c r="D37267" s="7">
        <v>1.69</v>
      </c>
      <c r="E37267" t="s">
        <v>7</v>
      </c>
    </row>
    <row r="37268" spans="1:5" x14ac:dyDescent="0.25">
      <c r="A37268" t="str">
        <f>HYPERLINK("https://www.773grp.com/globalSearch/UC3844BD1R2G/page-1", "UC3844BD1R2G")</f>
        <v>UC3844BD1R2G</v>
      </c>
      <c r="B37268" s="3" t="s">
        <v>95</v>
      </c>
      <c r="C37268" s="6">
        <v>533993</v>
      </c>
      <c r="D37268" s="7">
        <v>1.69</v>
      </c>
      <c r="E37268" t="s">
        <v>7</v>
      </c>
    </row>
    <row r="37269" spans="1:5" x14ac:dyDescent="0.25">
      <c r="A37269" t="str">
        <f>HYPERLINK("https://www.773grp.com/globalSearch/UC3844BDR2G/page-1", "UC3844BDR2G")</f>
        <v>UC3844BDR2G</v>
      </c>
      <c r="B37269" s="3" t="s">
        <v>95</v>
      </c>
      <c r="C37269" s="6">
        <v>13189</v>
      </c>
      <c r="D37269" s="7">
        <v>1.69</v>
      </c>
      <c r="E37269" t="s">
        <v>7</v>
      </c>
    </row>
    <row r="37270" spans="1:5" x14ac:dyDescent="0.25">
      <c r="A37270" t="str">
        <f>HYPERLINK("https://www.773grp.com/globalSearch/UC3844BNG/page-1", "UC3844BNG")</f>
        <v>UC3844BNG</v>
      </c>
      <c r="B37270" s="3" t="s">
        <v>95</v>
      </c>
      <c r="C37270" s="6">
        <v>82782</v>
      </c>
      <c r="D37270" s="7">
        <v>1.69</v>
      </c>
      <c r="E37270" t="s">
        <v>7</v>
      </c>
    </row>
    <row r="37271" spans="1:5" x14ac:dyDescent="0.25">
      <c r="A37271" t="str">
        <f>HYPERLINK("https://www.773grp.com/globalSearch/UC3845BD1G/page-1", "UC3845BD1G")</f>
        <v>UC3845BD1G</v>
      </c>
      <c r="B37271" s="3" t="s">
        <v>95</v>
      </c>
      <c r="C37271" s="6">
        <v>56</v>
      </c>
      <c r="D37271" s="7">
        <v>1.69</v>
      </c>
    </row>
    <row r="37272" spans="1:5" x14ac:dyDescent="0.25">
      <c r="A37272" t="str">
        <f>HYPERLINK("https://www.773grp.com/globalSearch/UC3845BD1R2G/page-1", "UC3845BD1R2G")</f>
        <v>UC3845BD1R2G</v>
      </c>
      <c r="B37272" s="3" t="s">
        <v>95</v>
      </c>
      <c r="C37272" s="6">
        <v>7769</v>
      </c>
      <c r="D37272" s="7">
        <v>1.69</v>
      </c>
      <c r="E37272" t="s">
        <v>7</v>
      </c>
    </row>
    <row r="37273" spans="1:5" x14ac:dyDescent="0.25">
      <c r="A37273" t="str">
        <f>HYPERLINK("https://www.773grp.com/globalSearch/UC3845BDR2G/page-1", "UC3845BDR2G")</f>
        <v>UC3845BDR2G</v>
      </c>
      <c r="B37273" s="3" t="s">
        <v>95</v>
      </c>
      <c r="C37273" s="6">
        <v>37500</v>
      </c>
      <c r="D37273" s="7">
        <v>1.69</v>
      </c>
      <c r="E37273" t="s">
        <v>7</v>
      </c>
    </row>
    <row r="37274" spans="1:5" x14ac:dyDescent="0.25">
      <c r="A37274" t="str">
        <f>HYPERLINK("https://www.773grp.com/globalSearch/UC3845BNG/page-1", "UC3845BNG")</f>
        <v>UC3845BNG</v>
      </c>
      <c r="B37274" s="3" t="s">
        <v>95</v>
      </c>
      <c r="C37274" s="6">
        <v>40318</v>
      </c>
      <c r="D37274" s="7">
        <v>1.69</v>
      </c>
      <c r="E37274" t="s">
        <v>7</v>
      </c>
    </row>
    <row r="37275" spans="1:5" x14ac:dyDescent="0.25">
      <c r="A37275" t="str">
        <f>HYPERLINK("https://www.773grp.com/globalSearch/UD1006FR-H/page-1", "UD1006FR-H")</f>
        <v>UD1006FR-H</v>
      </c>
      <c r="B37275" s="3" t="s">
        <v>95</v>
      </c>
      <c r="C37275" s="6">
        <v>759150</v>
      </c>
      <c r="D37275" s="7">
        <v>1.69</v>
      </c>
    </row>
    <row r="37276" spans="1:5" x14ac:dyDescent="0.25">
      <c r="A37276" t="str">
        <f>HYPERLINK("https://www.773grp.com/globalSearch/ULN2804A/page-1", "ULN2804A")</f>
        <v>ULN2804A</v>
      </c>
      <c r="B37276" s="3" t="s">
        <v>95</v>
      </c>
      <c r="C37276" s="6">
        <v>48</v>
      </c>
      <c r="D37276" s="7">
        <v>1.69</v>
      </c>
      <c r="E37276" t="s">
        <v>59</v>
      </c>
    </row>
    <row r="37277" spans="1:5" x14ac:dyDescent="0.25">
      <c r="A37277" t="str">
        <f>HYPERLINK("https://www.773grp.com/globalSearch/AMIS30660CANH2G/page-1", "AMIS30660CANH2G")</f>
        <v>AMIS30660CANH2G</v>
      </c>
      <c r="B37277" s="3" t="s">
        <v>95</v>
      </c>
      <c r="C37277" s="6">
        <v>1946</v>
      </c>
      <c r="D37277" s="7">
        <v>1.74</v>
      </c>
    </row>
    <row r="37278" spans="1:5" x14ac:dyDescent="0.25">
      <c r="A37278" t="str">
        <f>HYPERLINK("https://www.773grp.com/globalSearch/AMIS30660CANH2RG/page-1", "AMIS30660CANH2RG")</f>
        <v>AMIS30660CANH2RG</v>
      </c>
      <c r="B37278" s="3" t="s">
        <v>95</v>
      </c>
      <c r="C37278" s="6">
        <v>21146</v>
      </c>
      <c r="D37278" s="7">
        <v>1.74</v>
      </c>
      <c r="E37278" t="s">
        <v>55</v>
      </c>
    </row>
    <row r="37279" spans="1:5" x14ac:dyDescent="0.25">
      <c r="A37279" t="str">
        <f>HYPERLINK("https://www.773grp.com/globalSearch/AMIS30663CANG2G/page-1", "AMIS30663CANG2G")</f>
        <v>AMIS30663CANG2G</v>
      </c>
      <c r="B37279" s="3" t="s">
        <v>95</v>
      </c>
      <c r="C37279" s="6">
        <v>576</v>
      </c>
      <c r="D37279" s="7">
        <v>1.74</v>
      </c>
    </row>
    <row r="37280" spans="1:5" x14ac:dyDescent="0.25">
      <c r="A37280" t="str">
        <f>HYPERLINK("https://www.773grp.com/globalSearch/AMIS30663CANG2RG/page-1", "AMIS30663CANG2RG")</f>
        <v>AMIS30663CANG2RG</v>
      </c>
      <c r="B37280" s="3" t="s">
        <v>95</v>
      </c>
      <c r="C37280" s="6">
        <v>5635</v>
      </c>
      <c r="D37280" s="7">
        <v>1.74</v>
      </c>
      <c r="E37280" t="s">
        <v>55</v>
      </c>
    </row>
    <row r="37281" spans="1:5" x14ac:dyDescent="0.25">
      <c r="A37281" t="str">
        <f>HYPERLINK("https://www.773grp.com/globalSearch/BUX85G/page-1", "BUX85G")</f>
        <v>BUX85G</v>
      </c>
      <c r="B37281" s="3" t="s">
        <v>95</v>
      </c>
      <c r="C37281" s="6">
        <v>3093</v>
      </c>
      <c r="D37281" s="7">
        <v>1.74</v>
      </c>
      <c r="E37281" t="s">
        <v>59</v>
      </c>
    </row>
    <row r="37282" spans="1:5" x14ac:dyDescent="0.25">
      <c r="A37282" t="str">
        <f>HYPERLINK("https://www.773grp.com/globalSearch/CAT25128XI-T2/page-1", "CAT25128XI-T2")</f>
        <v>CAT25128XI-T2</v>
      </c>
      <c r="B37282" s="3" t="s">
        <v>95</v>
      </c>
      <c r="C37282" s="6">
        <v>2000</v>
      </c>
      <c r="D37282" s="7">
        <v>1.74</v>
      </c>
      <c r="E37282" t="s">
        <v>64</v>
      </c>
    </row>
    <row r="37283" spans="1:5" x14ac:dyDescent="0.25">
      <c r="A37283" t="str">
        <f>HYPERLINK("https://www.773grp.com/globalSearch/CS8182YDF8/page-1", "CS8182YDF8")</f>
        <v>CS8182YDF8</v>
      </c>
      <c r="B37283" s="3" t="s">
        <v>95</v>
      </c>
      <c r="C37283" s="6">
        <v>7411</v>
      </c>
      <c r="D37283" s="7">
        <v>1.74</v>
      </c>
      <c r="E37283" t="s">
        <v>25</v>
      </c>
    </row>
    <row r="37284" spans="1:5" x14ac:dyDescent="0.25">
      <c r="A37284" t="str">
        <f>HYPERLINK("https://www.773grp.com/globalSearch/LA59700MC-AH/page-1", "LA59700MC-AH")</f>
        <v>LA59700MC-AH</v>
      </c>
      <c r="B37284" s="3" t="s">
        <v>95</v>
      </c>
      <c r="C37284" s="6">
        <v>6000</v>
      </c>
      <c r="D37284" s="7">
        <v>1.74</v>
      </c>
    </row>
    <row r="37285" spans="1:5" x14ac:dyDescent="0.25">
      <c r="A37285" t="str">
        <f>HYPERLINK("https://www.773grp.com/globalSearch/LM317D2TG/page-1", "LM317D2TG")</f>
        <v>LM317D2TG</v>
      </c>
      <c r="B37285" s="3" t="s">
        <v>95</v>
      </c>
      <c r="C37285" s="6">
        <v>64677</v>
      </c>
      <c r="D37285" s="7">
        <v>1.74</v>
      </c>
      <c r="E37285" t="s">
        <v>22</v>
      </c>
    </row>
    <row r="37286" spans="1:5" x14ac:dyDescent="0.25">
      <c r="A37286" t="str">
        <f>HYPERLINK("https://www.773grp.com/globalSearch/LM317D2TR4G/page-1", "LM317D2TR4G")</f>
        <v>LM317D2TR4G</v>
      </c>
      <c r="B37286" s="3" t="s">
        <v>95</v>
      </c>
      <c r="C37286" s="6">
        <v>38566</v>
      </c>
      <c r="D37286" s="7">
        <v>1.74</v>
      </c>
      <c r="E37286" t="s">
        <v>22</v>
      </c>
    </row>
    <row r="37287" spans="1:5" x14ac:dyDescent="0.25">
      <c r="A37287" t="str">
        <f>HYPERLINK("https://www.773grp.com/globalSearch/LM317MABTG/page-1", "LM317MABTG")</f>
        <v>LM317MABTG</v>
      </c>
      <c r="B37287" s="3" t="s">
        <v>95</v>
      </c>
      <c r="C37287" s="6">
        <v>43550</v>
      </c>
      <c r="D37287" s="7">
        <v>1.74</v>
      </c>
      <c r="E37287" t="s">
        <v>22</v>
      </c>
    </row>
    <row r="37288" spans="1:5" x14ac:dyDescent="0.25">
      <c r="A37288" t="str">
        <f>HYPERLINK("https://www.773grp.com/globalSearch/MAX811LEUS-T/page-1", "MAX811LEUS-T")</f>
        <v>MAX811LEUS-T</v>
      </c>
      <c r="B37288" s="3" t="s">
        <v>95</v>
      </c>
      <c r="C37288" s="6">
        <v>117000</v>
      </c>
      <c r="D37288" s="7">
        <v>1.74</v>
      </c>
      <c r="E37288" t="s">
        <v>30</v>
      </c>
    </row>
    <row r="37289" spans="1:5" x14ac:dyDescent="0.25">
      <c r="A37289" t="str">
        <f>HYPERLINK("https://www.773grp.com/globalSearch/MAX811MEUS-T/page-1", "MAX811MEUS-T")</f>
        <v>MAX811MEUS-T</v>
      </c>
      <c r="B37289" s="3" t="s">
        <v>95</v>
      </c>
      <c r="C37289" s="6">
        <v>162164</v>
      </c>
      <c r="D37289" s="7">
        <v>1.74</v>
      </c>
      <c r="E37289" t="s">
        <v>30</v>
      </c>
    </row>
    <row r="37290" spans="1:5" x14ac:dyDescent="0.25">
      <c r="A37290" t="str">
        <f>HYPERLINK("https://www.773grp.com/globalSearch/MAX811SEUS-T/page-1", "MAX811SEUS-T")</f>
        <v>MAX811SEUS-T</v>
      </c>
      <c r="B37290" s="3" t="s">
        <v>95</v>
      </c>
      <c r="C37290" s="6">
        <v>201245</v>
      </c>
      <c r="D37290" s="7">
        <v>1.74</v>
      </c>
      <c r="E37290" t="s">
        <v>30</v>
      </c>
    </row>
    <row r="37291" spans="1:5" x14ac:dyDescent="0.25">
      <c r="A37291" t="str">
        <f>HYPERLINK("https://www.773grp.com/globalSearch/MAX812LEUS-T/page-1", "MAX812LEUS-T")</f>
        <v>MAX812LEUS-T</v>
      </c>
      <c r="B37291" s="3" t="s">
        <v>95</v>
      </c>
      <c r="C37291" s="6">
        <v>244725</v>
      </c>
      <c r="D37291" s="7">
        <v>1.74</v>
      </c>
      <c r="E37291" t="s">
        <v>30</v>
      </c>
    </row>
    <row r="37292" spans="1:5" x14ac:dyDescent="0.25">
      <c r="A37292" t="str">
        <f>HYPERLINK("https://www.773grp.com/globalSearch/MAX812MEUS-T/page-1", "MAX812MEUS-T")</f>
        <v>MAX812MEUS-T</v>
      </c>
      <c r="B37292" s="3" t="s">
        <v>95</v>
      </c>
      <c r="C37292" s="6">
        <v>202833</v>
      </c>
      <c r="D37292" s="7">
        <v>1.74</v>
      </c>
      <c r="E37292" t="s">
        <v>30</v>
      </c>
    </row>
    <row r="37293" spans="1:5" x14ac:dyDescent="0.25">
      <c r="A37293" t="str">
        <f>HYPERLINK("https://www.773grp.com/globalSearch/MAX812SEUS-T/page-1", "MAX812SEUS-T")</f>
        <v>MAX812SEUS-T</v>
      </c>
      <c r="B37293" s="3" t="s">
        <v>95</v>
      </c>
      <c r="C37293" s="6">
        <v>205543</v>
      </c>
      <c r="D37293" s="7">
        <v>1.74</v>
      </c>
      <c r="E37293" t="s">
        <v>30</v>
      </c>
    </row>
    <row r="37294" spans="1:5" x14ac:dyDescent="0.25">
      <c r="A37294" t="str">
        <f>HYPERLINK("https://www.773grp.com/globalSearch/MBR16100CT/page-1", "MBR16100CT")</f>
        <v>MBR16100CT</v>
      </c>
      <c r="B37294" s="3" t="s">
        <v>95</v>
      </c>
      <c r="C37294" s="6">
        <v>368951</v>
      </c>
      <c r="D37294" s="7">
        <v>1.74</v>
      </c>
      <c r="E37294" t="s">
        <v>103</v>
      </c>
    </row>
    <row r="37295" spans="1:5" x14ac:dyDescent="0.25">
      <c r="A37295" t="str">
        <f>HYPERLINK("https://www.773grp.com/globalSearch/MBRF20L60CTG/page-1", "MBRF20L60CTG")</f>
        <v>MBRF20L60CTG</v>
      </c>
      <c r="B37295" s="3" t="s">
        <v>95</v>
      </c>
      <c r="C37295" s="6">
        <v>17</v>
      </c>
      <c r="D37295" s="7">
        <v>1.74</v>
      </c>
      <c r="E37295" t="s">
        <v>103</v>
      </c>
    </row>
    <row r="37296" spans="1:5" x14ac:dyDescent="0.25">
      <c r="A37296" t="str">
        <f>HYPERLINK("https://www.773grp.com/globalSearch/MC1121DMR2/page-1", "MC1121DMR2")</f>
        <v>MC1121DMR2</v>
      </c>
      <c r="B37296" s="3" t="s">
        <v>95</v>
      </c>
      <c r="C37296" s="6">
        <v>683188</v>
      </c>
      <c r="D37296" s="7">
        <v>1.74</v>
      </c>
      <c r="E37296" t="s">
        <v>7</v>
      </c>
    </row>
    <row r="37297" spans="1:5" x14ac:dyDescent="0.25">
      <c r="A37297" t="str">
        <f>HYPERLINK("https://www.773grp.com/globalSearch/MC14515BCP/page-1", "MC14515BCP")</f>
        <v>MC14515BCP</v>
      </c>
      <c r="B37297" s="3" t="s">
        <v>95</v>
      </c>
      <c r="C37297" s="6">
        <v>469</v>
      </c>
      <c r="D37297" s="7">
        <v>1.74</v>
      </c>
      <c r="E37297" t="s">
        <v>36</v>
      </c>
    </row>
    <row r="37298" spans="1:5" x14ac:dyDescent="0.25">
      <c r="A37298" t="str">
        <f>HYPERLINK("https://www.773grp.com/globalSearch/MC14515BCPG/page-1", "MC14515BCPG")</f>
        <v>MC14515BCPG</v>
      </c>
      <c r="B37298" s="3" t="s">
        <v>95</v>
      </c>
      <c r="C37298" s="6">
        <v>98</v>
      </c>
      <c r="D37298" s="7">
        <v>1.74</v>
      </c>
      <c r="E37298" t="s">
        <v>36</v>
      </c>
    </row>
    <row r="37299" spans="1:5" x14ac:dyDescent="0.25">
      <c r="A37299" t="str">
        <f>HYPERLINK("https://www.773grp.com/globalSearch/MC14521BCPG/page-1", "MC14521BCPG")</f>
        <v>MC14521BCPG</v>
      </c>
      <c r="B37299" s="3" t="s">
        <v>95</v>
      </c>
      <c r="C37299" s="6">
        <v>376</v>
      </c>
      <c r="D37299" s="7">
        <v>1.74</v>
      </c>
      <c r="E37299" t="s">
        <v>54</v>
      </c>
    </row>
    <row r="37300" spans="1:5" x14ac:dyDescent="0.25">
      <c r="A37300" t="str">
        <f>HYPERLINK("https://www.773grp.com/globalSearch/MC14521BFELG/page-1", "MC14521BFELG")</f>
        <v>MC14521BFELG</v>
      </c>
      <c r="B37300" s="3" t="s">
        <v>95</v>
      </c>
      <c r="C37300" s="6">
        <v>1871</v>
      </c>
      <c r="D37300" s="7">
        <v>1.74</v>
      </c>
      <c r="E37300" t="s">
        <v>54</v>
      </c>
    </row>
    <row r="37301" spans="1:5" x14ac:dyDescent="0.25">
      <c r="A37301" t="str">
        <f>HYPERLINK("https://www.773grp.com/globalSearch/MC14521BFG/page-1", "MC14521BFG")</f>
        <v>MC14521BFG</v>
      </c>
      <c r="B37301" s="3" t="s">
        <v>95</v>
      </c>
      <c r="C37301" s="6">
        <v>1681</v>
      </c>
      <c r="D37301" s="7">
        <v>1.74</v>
      </c>
      <c r="E37301" t="s">
        <v>54</v>
      </c>
    </row>
    <row r="37302" spans="1:5" x14ac:dyDescent="0.25">
      <c r="A37302" t="str">
        <f>HYPERLINK("https://www.773grp.com/globalSearch/MC33161DG/page-1", "MC33161DG")</f>
        <v>MC33161DG</v>
      </c>
      <c r="B37302" s="3" t="s">
        <v>95</v>
      </c>
      <c r="C37302" s="6">
        <v>206</v>
      </c>
      <c r="D37302" s="7">
        <v>1.74</v>
      </c>
      <c r="E37302" t="s">
        <v>30</v>
      </c>
    </row>
    <row r="37303" spans="1:5" x14ac:dyDescent="0.25">
      <c r="A37303" t="str">
        <f>HYPERLINK("https://www.773grp.com/globalSearch/MC33161DR2G/page-1", "MC33161DR2G")</f>
        <v>MC33161DR2G</v>
      </c>
      <c r="B37303" s="3" t="s">
        <v>95</v>
      </c>
      <c r="C37303" s="6">
        <v>12200</v>
      </c>
      <c r="D37303" s="7">
        <v>1.74</v>
      </c>
      <c r="E37303" t="s">
        <v>30</v>
      </c>
    </row>
    <row r="37304" spans="1:5" x14ac:dyDescent="0.25">
      <c r="A37304" t="str">
        <f>HYPERLINK("https://www.773grp.com/globalSearch/MC33264D-3.8/page-1", "MC33264D-3.8")</f>
        <v>MC33264D-3.8</v>
      </c>
      <c r="B37304" s="3" t="s">
        <v>95</v>
      </c>
      <c r="C37304" s="6">
        <v>980</v>
      </c>
      <c r="D37304" s="7">
        <v>1.74</v>
      </c>
      <c r="E37304" t="s">
        <v>19</v>
      </c>
    </row>
    <row r="37305" spans="1:5" x14ac:dyDescent="0.25">
      <c r="A37305" t="str">
        <f>HYPERLINK("https://www.773grp.com/globalSearch/MC33264D-5.0/page-1", "MC33264D-5.0")</f>
        <v>MC33264D-5.0</v>
      </c>
      <c r="B37305" s="3" t="s">
        <v>95</v>
      </c>
      <c r="C37305" s="6">
        <v>701</v>
      </c>
      <c r="D37305" s="7">
        <v>1.74</v>
      </c>
      <c r="E37305" t="s">
        <v>19</v>
      </c>
    </row>
    <row r="37306" spans="1:5" x14ac:dyDescent="0.25">
      <c r="A37306" t="str">
        <f>HYPERLINK("https://www.773grp.com/globalSearch/MC33269DT-012G/page-1", "MC33269DT-012G")</f>
        <v>MC33269DT-012G</v>
      </c>
      <c r="B37306" s="3" t="s">
        <v>95</v>
      </c>
      <c r="C37306" s="6">
        <v>1725</v>
      </c>
      <c r="D37306" s="7">
        <v>1.74</v>
      </c>
    </row>
    <row r="37307" spans="1:5" x14ac:dyDescent="0.25">
      <c r="A37307" t="str">
        <f>HYPERLINK("https://www.773grp.com/globalSearch/MC33269DT-3.3G/page-1", "MC33269DT-3.3G")</f>
        <v>MC33269DT-3.3G</v>
      </c>
      <c r="B37307" s="3" t="s">
        <v>95</v>
      </c>
      <c r="C37307" s="6">
        <v>52475</v>
      </c>
      <c r="D37307" s="7">
        <v>1.74</v>
      </c>
      <c r="E37307" t="s">
        <v>19</v>
      </c>
    </row>
    <row r="37308" spans="1:5" x14ac:dyDescent="0.25">
      <c r="A37308" t="str">
        <f>HYPERLINK("https://www.773grp.com/globalSearch/MC33269DT-5.0G/page-1", "MC33269DT-5.0G")</f>
        <v>MC33269DT-5.0G</v>
      </c>
      <c r="B37308" s="3" t="s">
        <v>95</v>
      </c>
      <c r="C37308" s="6">
        <v>12582</v>
      </c>
      <c r="D37308" s="7">
        <v>1.74</v>
      </c>
      <c r="E37308" t="s">
        <v>19</v>
      </c>
    </row>
    <row r="37309" spans="1:5" x14ac:dyDescent="0.25">
      <c r="A37309" t="str">
        <f>HYPERLINK("https://www.773grp.com/globalSearch/MC33269DTG/page-1", "MC33269DTG")</f>
        <v>MC33269DTG</v>
      </c>
      <c r="B37309" s="3" t="s">
        <v>95</v>
      </c>
      <c r="C37309" s="6">
        <v>3675</v>
      </c>
      <c r="D37309" s="7">
        <v>1.74</v>
      </c>
      <c r="E37309" t="s">
        <v>25</v>
      </c>
    </row>
    <row r="37310" spans="1:5" x14ac:dyDescent="0.25">
      <c r="A37310" t="str">
        <f>HYPERLINK("https://www.773grp.com/globalSearch/MC33269DTRK-012G/page-1", "MC33269DTRK-012G")</f>
        <v>MC33269DTRK-012G</v>
      </c>
      <c r="B37310" s="3" t="s">
        <v>95</v>
      </c>
      <c r="C37310" s="6">
        <v>2139</v>
      </c>
      <c r="D37310" s="7">
        <v>1.74</v>
      </c>
      <c r="E37310" t="s">
        <v>19</v>
      </c>
    </row>
    <row r="37311" spans="1:5" x14ac:dyDescent="0.25">
      <c r="A37311" t="str">
        <f>HYPERLINK("https://www.773grp.com/globalSearch/MC33269DTRK-3.3G/page-1", "MC33269DTRK-3.3G")</f>
        <v>MC33269DTRK-3.3G</v>
      </c>
      <c r="B37311" s="3" t="s">
        <v>95</v>
      </c>
      <c r="C37311" s="6">
        <v>8382</v>
      </c>
      <c r="D37311" s="7">
        <v>1.74</v>
      </c>
      <c r="E37311" t="s">
        <v>19</v>
      </c>
    </row>
    <row r="37312" spans="1:5" x14ac:dyDescent="0.25">
      <c r="A37312" t="str">
        <f>HYPERLINK("https://www.773grp.com/globalSearch/MC33269DTRK-5.0G/page-1", "MC33269DTRK-5.0G")</f>
        <v>MC33269DTRK-5.0G</v>
      </c>
      <c r="B37312" s="3" t="s">
        <v>95</v>
      </c>
      <c r="C37312" s="6">
        <v>41624</v>
      </c>
      <c r="D37312" s="7">
        <v>1.74</v>
      </c>
      <c r="E37312" t="s">
        <v>19</v>
      </c>
    </row>
    <row r="37313" spans="1:5" x14ac:dyDescent="0.25">
      <c r="A37313" t="str">
        <f>HYPERLINK("https://www.773grp.com/globalSearch/MC33269DTRKG/page-1", "MC33269DTRKG")</f>
        <v>MC33269DTRKG</v>
      </c>
      <c r="B37313" s="3" t="s">
        <v>95</v>
      </c>
      <c r="C37313" s="6">
        <v>15564</v>
      </c>
      <c r="D37313" s="7">
        <v>1.74</v>
      </c>
      <c r="E37313" t="s">
        <v>25</v>
      </c>
    </row>
    <row r="37314" spans="1:5" x14ac:dyDescent="0.25">
      <c r="A37314" t="str">
        <f>HYPERLINK("https://www.773grp.com/globalSearch/MC33375D-2.5G/page-1", "MC33375D-2.5G")</f>
        <v>MC33375D-2.5G</v>
      </c>
      <c r="B37314" s="3" t="s">
        <v>95</v>
      </c>
      <c r="C37314" s="6">
        <v>9752</v>
      </c>
      <c r="D37314" s="7">
        <v>1.74</v>
      </c>
      <c r="E37314" t="s">
        <v>19</v>
      </c>
    </row>
    <row r="37315" spans="1:5" x14ac:dyDescent="0.25">
      <c r="A37315" t="str">
        <f>HYPERLINK("https://www.773grp.com/globalSearch/MC33375D-2.5R2G/page-1", "MC33375D-2.5R2G")</f>
        <v>MC33375D-2.5R2G</v>
      </c>
      <c r="B37315" s="3" t="s">
        <v>95</v>
      </c>
      <c r="C37315" s="6">
        <v>4309</v>
      </c>
      <c r="D37315" s="7">
        <v>1.74</v>
      </c>
      <c r="E37315" t="s">
        <v>19</v>
      </c>
    </row>
    <row r="37316" spans="1:5" x14ac:dyDescent="0.25">
      <c r="A37316" t="str">
        <f>HYPERLINK("https://www.773grp.com/globalSearch/MC33375D-3.0R2G/page-1", "MC33375D-3.0R2G")</f>
        <v>MC33375D-3.0R2G</v>
      </c>
      <c r="B37316" s="3" t="s">
        <v>95</v>
      </c>
      <c r="C37316" s="6">
        <v>2500</v>
      </c>
      <c r="D37316" s="7">
        <v>1.74</v>
      </c>
      <c r="E37316" t="s">
        <v>19</v>
      </c>
    </row>
    <row r="37317" spans="1:5" x14ac:dyDescent="0.25">
      <c r="A37317" t="str">
        <f>HYPERLINK("https://www.773grp.com/globalSearch/MC33375D-3.3R2G/page-1", "MC33375D-3.3R2G")</f>
        <v>MC33375D-3.3R2G</v>
      </c>
      <c r="B37317" s="3" t="s">
        <v>95</v>
      </c>
      <c r="C37317" s="6">
        <v>1990</v>
      </c>
      <c r="D37317" s="7">
        <v>1.74</v>
      </c>
    </row>
    <row r="37318" spans="1:5" x14ac:dyDescent="0.25">
      <c r="A37318" t="str">
        <f>HYPERLINK("https://www.773grp.com/globalSearch/MC33375D-5.0G/page-1", "MC33375D-5.0G")</f>
        <v>MC33375D-5.0G</v>
      </c>
      <c r="B37318" s="3" t="s">
        <v>95</v>
      </c>
      <c r="C37318" s="6">
        <v>15156</v>
      </c>
      <c r="D37318" s="7">
        <v>1.74</v>
      </c>
      <c r="E37318" t="s">
        <v>19</v>
      </c>
    </row>
    <row r="37319" spans="1:5" x14ac:dyDescent="0.25">
      <c r="A37319" t="str">
        <f>HYPERLINK("https://www.773grp.com/globalSearch/MC33375D-5.0R2G/page-1", "MC33375D-5.0R2G")</f>
        <v>MC33375D-5.0R2G</v>
      </c>
      <c r="B37319" s="3" t="s">
        <v>95</v>
      </c>
      <c r="C37319" s="6">
        <v>11383</v>
      </c>
      <c r="D37319" s="7">
        <v>1.74</v>
      </c>
      <c r="E37319" t="s">
        <v>19</v>
      </c>
    </row>
    <row r="37320" spans="1:5" x14ac:dyDescent="0.25">
      <c r="A37320" t="str">
        <f>HYPERLINK("https://www.773grp.com/globalSearch/MC33375ST-1.8T3G/page-1", "MC33375ST-1.8T3G")</f>
        <v>MC33375ST-1.8T3G</v>
      </c>
      <c r="B37320" s="3" t="s">
        <v>95</v>
      </c>
      <c r="C37320" s="6">
        <v>3179</v>
      </c>
      <c r="D37320" s="7">
        <v>1.74</v>
      </c>
    </row>
    <row r="37321" spans="1:5" x14ac:dyDescent="0.25">
      <c r="A37321" t="str">
        <f>HYPERLINK("https://www.773grp.com/globalSearch/MC33375ST-2.5T3G/page-1", "MC33375ST-2.5T3G")</f>
        <v>MC33375ST-2.5T3G</v>
      </c>
      <c r="B37321" s="3" t="s">
        <v>95</v>
      </c>
      <c r="C37321" s="6">
        <v>15883</v>
      </c>
      <c r="D37321" s="7">
        <v>1.74</v>
      </c>
      <c r="E37321" t="s">
        <v>19</v>
      </c>
    </row>
    <row r="37322" spans="1:5" x14ac:dyDescent="0.25">
      <c r="A37322" t="str">
        <f>HYPERLINK("https://www.773grp.com/globalSearch/MC33375ST-3.3T3G/page-1", "MC33375ST-3.3T3G")</f>
        <v>MC33375ST-3.3T3G</v>
      </c>
      <c r="B37322" s="3" t="s">
        <v>95</v>
      </c>
      <c r="C37322" s="6">
        <v>11475</v>
      </c>
      <c r="D37322" s="7">
        <v>1.74</v>
      </c>
      <c r="E37322" t="s">
        <v>19</v>
      </c>
    </row>
    <row r="37323" spans="1:5" x14ac:dyDescent="0.25">
      <c r="A37323" t="str">
        <f>HYPERLINK("https://www.773grp.com/globalSearch/MC33375ST-5.0T3G/page-1", "MC33375ST-5.0T3G")</f>
        <v>MC33375ST-5.0T3G</v>
      </c>
      <c r="B37323" s="3" t="s">
        <v>95</v>
      </c>
      <c r="C37323" s="6">
        <v>32000</v>
      </c>
      <c r="D37323" s="7">
        <v>1.74</v>
      </c>
      <c r="E37323" t="s">
        <v>19</v>
      </c>
    </row>
    <row r="37324" spans="1:5" x14ac:dyDescent="0.25">
      <c r="A37324" t="str">
        <f>HYPERLINK("https://www.773grp.com/globalSearch/MC33463H-30LT1/page-1", "MC33463H-30LT1")</f>
        <v>MC33463H-30LT1</v>
      </c>
      <c r="B37324" s="3" t="s">
        <v>95</v>
      </c>
      <c r="C37324" s="6">
        <v>14000</v>
      </c>
      <c r="D37324" s="7">
        <v>1.74</v>
      </c>
      <c r="E37324" t="s">
        <v>7</v>
      </c>
    </row>
    <row r="37325" spans="1:5" x14ac:dyDescent="0.25">
      <c r="A37325" t="str">
        <f>HYPERLINK("https://www.773grp.com/globalSearch/MC33502D/page-1", "MC33502D")</f>
        <v>MC33502D</v>
      </c>
      <c r="B37325" s="3" t="s">
        <v>95</v>
      </c>
      <c r="C37325" s="6">
        <v>19380</v>
      </c>
      <c r="D37325" s="7">
        <v>1.74</v>
      </c>
      <c r="E37325" t="s">
        <v>13</v>
      </c>
    </row>
    <row r="37326" spans="1:5" x14ac:dyDescent="0.25">
      <c r="A37326" t="str">
        <f>HYPERLINK("https://www.773grp.com/globalSearch/MC33502DR2/page-1", "MC33502DR2")</f>
        <v>MC33502DR2</v>
      </c>
      <c r="B37326" s="3" t="s">
        <v>95</v>
      </c>
      <c r="C37326" s="6">
        <v>11894</v>
      </c>
      <c r="D37326" s="7">
        <v>1.74</v>
      </c>
      <c r="E37326" t="s">
        <v>13</v>
      </c>
    </row>
    <row r="37327" spans="1:5" x14ac:dyDescent="0.25">
      <c r="A37327" t="str">
        <f>HYPERLINK("https://www.773grp.com/globalSearch/MC33502P/page-1", "MC33502P")</f>
        <v>MC33502P</v>
      </c>
      <c r="B37327" s="3" t="s">
        <v>95</v>
      </c>
      <c r="C37327" s="6">
        <v>1930</v>
      </c>
      <c r="D37327" s="7">
        <v>1.74</v>
      </c>
      <c r="E37327" t="s">
        <v>13</v>
      </c>
    </row>
    <row r="37328" spans="1:5" x14ac:dyDescent="0.25">
      <c r="A37328" t="str">
        <f>HYPERLINK("https://www.773grp.com/globalSearch/MC34063BDR2G/page-1", "MC34063BDR2G")</f>
        <v>MC34063BDR2G</v>
      </c>
      <c r="B37328" s="3" t="s">
        <v>95</v>
      </c>
      <c r="C37328" s="6">
        <v>2500</v>
      </c>
      <c r="D37328" s="7">
        <v>1.74</v>
      </c>
      <c r="E37328" t="s">
        <v>7</v>
      </c>
    </row>
    <row r="37329" spans="1:5" x14ac:dyDescent="0.25">
      <c r="A37329" t="str">
        <f>HYPERLINK("https://www.773grp.com/globalSearch/MC34072ADG/page-1", "MC34072ADG")</f>
        <v>MC34072ADG</v>
      </c>
      <c r="B37329" s="3" t="s">
        <v>95</v>
      </c>
      <c r="C37329" s="6">
        <v>7690</v>
      </c>
      <c r="D37329" s="7">
        <v>1.74</v>
      </c>
      <c r="E37329" t="s">
        <v>13</v>
      </c>
    </row>
    <row r="37330" spans="1:5" x14ac:dyDescent="0.25">
      <c r="A37330" t="str">
        <f>HYPERLINK("https://www.773grp.com/globalSearch/MC34072ADR2G/page-1", "MC34072ADR2G")</f>
        <v>MC34072ADR2G</v>
      </c>
      <c r="B37330" s="3" t="s">
        <v>95</v>
      </c>
      <c r="C37330" s="6">
        <v>4173</v>
      </c>
      <c r="D37330" s="7">
        <v>1.74</v>
      </c>
    </row>
    <row r="37331" spans="1:5" x14ac:dyDescent="0.25">
      <c r="A37331" t="str">
        <f>HYPERLINK("https://www.773grp.com/globalSearch/MC34072APG/page-1", "MC34072APG")</f>
        <v>MC34072APG</v>
      </c>
      <c r="B37331" s="3" t="s">
        <v>95</v>
      </c>
      <c r="C37331" s="6">
        <v>11385</v>
      </c>
      <c r="D37331" s="7">
        <v>1.74</v>
      </c>
      <c r="E37331" t="s">
        <v>13</v>
      </c>
    </row>
    <row r="37332" spans="1:5" x14ac:dyDescent="0.25">
      <c r="A37332" t="str">
        <f>HYPERLINK("https://www.773grp.com/globalSearch/MC34161DG/page-1", "MC34161DG")</f>
        <v>MC34161DG</v>
      </c>
      <c r="B37332" s="3" t="s">
        <v>95</v>
      </c>
      <c r="C37332" s="6">
        <v>5184</v>
      </c>
      <c r="D37332" s="7">
        <v>1.74</v>
      </c>
      <c r="E37332" t="s">
        <v>30</v>
      </c>
    </row>
    <row r="37333" spans="1:5" x14ac:dyDescent="0.25">
      <c r="A37333" t="str">
        <f>HYPERLINK("https://www.773grp.com/globalSearch/MC34161DMR2G/page-1", "MC34161DMR2G")</f>
        <v>MC34161DMR2G</v>
      </c>
      <c r="B37333" s="3" t="s">
        <v>95</v>
      </c>
      <c r="C37333" s="6">
        <v>4000</v>
      </c>
      <c r="D37333" s="7">
        <v>1.74</v>
      </c>
    </row>
    <row r="37334" spans="1:5" x14ac:dyDescent="0.25">
      <c r="A37334" t="str">
        <f>HYPERLINK("https://www.773grp.com/globalSearch/MC74ACT353D/page-1", "MC74ACT353D")</f>
        <v>MC74ACT353D</v>
      </c>
      <c r="B37334" s="3" t="s">
        <v>95</v>
      </c>
      <c r="C37334" s="6">
        <v>3442</v>
      </c>
      <c r="D37334" s="7">
        <v>1.74</v>
      </c>
      <c r="E37334" t="s">
        <v>20</v>
      </c>
    </row>
    <row r="37335" spans="1:5" x14ac:dyDescent="0.25">
      <c r="A37335" t="str">
        <f>HYPERLINK("https://www.773grp.com/globalSearch/MC74ACT373SDR2/page-1", "MC74ACT373SDR2")</f>
        <v>MC74ACT373SDR2</v>
      </c>
      <c r="B37335" s="3" t="s">
        <v>95</v>
      </c>
      <c r="C37335" s="6">
        <v>2000</v>
      </c>
      <c r="D37335" s="7">
        <v>1.74</v>
      </c>
    </row>
    <row r="37336" spans="1:5" x14ac:dyDescent="0.25">
      <c r="A37336" t="str">
        <f>HYPERLINK("https://www.773grp.com/globalSearch/MC74ACT640DW/page-1", "MC74ACT640DW")</f>
        <v>MC74ACT640DW</v>
      </c>
      <c r="B37336" s="3" t="s">
        <v>95</v>
      </c>
      <c r="C37336" s="6">
        <v>284</v>
      </c>
      <c r="D37336" s="7">
        <v>1.74</v>
      </c>
      <c r="E37336" t="s">
        <v>14</v>
      </c>
    </row>
    <row r="37337" spans="1:5" x14ac:dyDescent="0.25">
      <c r="A37337" t="str">
        <f>HYPERLINK("https://www.773grp.com/globalSearch/MC74HC393AF/page-1", "MC74HC393AF")</f>
        <v>MC74HC393AF</v>
      </c>
      <c r="B37337" s="3" t="s">
        <v>95</v>
      </c>
      <c r="C37337" s="6">
        <v>550</v>
      </c>
      <c r="D37337" s="7">
        <v>1.74</v>
      </c>
    </row>
    <row r="37338" spans="1:5" x14ac:dyDescent="0.25">
      <c r="A37338" t="str">
        <f>HYPERLINK("https://www.773grp.com/globalSearch/MC74LVX4245DT/page-1", "MC74LVX4245DT")</f>
        <v>MC74LVX4245DT</v>
      </c>
      <c r="B37338" s="3" t="s">
        <v>95</v>
      </c>
      <c r="C37338" s="6">
        <v>107</v>
      </c>
      <c r="D37338" s="7">
        <v>1.74</v>
      </c>
      <c r="E37338" t="s">
        <v>14</v>
      </c>
    </row>
    <row r="37339" spans="1:5" x14ac:dyDescent="0.25">
      <c r="A37339" t="str">
        <f>HYPERLINK("https://www.773grp.com/globalSearch/MC74LVX4245DW/page-1", "MC74LVX4245DW")</f>
        <v>MC74LVX4245DW</v>
      </c>
      <c r="B37339" s="3" t="s">
        <v>95</v>
      </c>
      <c r="C37339" s="6">
        <v>13486</v>
      </c>
      <c r="D37339" s="7">
        <v>1.74</v>
      </c>
      <c r="E37339" t="s">
        <v>14</v>
      </c>
    </row>
    <row r="37340" spans="1:5" x14ac:dyDescent="0.25">
      <c r="A37340" t="str">
        <f>HYPERLINK("https://www.773grp.com/globalSearch/MC74LVX4245DWR2/page-1", "MC74LVX4245DWR2")</f>
        <v>MC74LVX4245DWR2</v>
      </c>
      <c r="B37340" s="3" t="s">
        <v>95</v>
      </c>
      <c r="C37340" s="6">
        <v>17350</v>
      </c>
      <c r="D37340" s="7">
        <v>1.74</v>
      </c>
      <c r="E37340" t="s">
        <v>14</v>
      </c>
    </row>
    <row r="37341" spans="1:5" x14ac:dyDescent="0.25">
      <c r="A37341" t="str">
        <f>HYPERLINK("https://www.773grp.com/globalSearch/MC74LVX8051MG/page-1", "MC74LVX8051MG")</f>
        <v>MC74LVX8051MG</v>
      </c>
      <c r="B37341" s="3" t="s">
        <v>95</v>
      </c>
      <c r="C37341" s="6">
        <v>22300</v>
      </c>
      <c r="D37341" s="7">
        <v>1.74</v>
      </c>
      <c r="E37341" t="s">
        <v>56</v>
      </c>
    </row>
    <row r="37342" spans="1:5" x14ac:dyDescent="0.25">
      <c r="A37342" t="str">
        <f>HYPERLINK("https://www.773grp.com/globalSearch/MC74LVX8053MELG/page-1", "MC74LVX8053MELG")</f>
        <v>MC74LVX8053MELG</v>
      </c>
      <c r="B37342" s="3" t="s">
        <v>95</v>
      </c>
      <c r="C37342" s="6">
        <v>34000</v>
      </c>
      <c r="D37342" s="7">
        <v>1.74</v>
      </c>
      <c r="E37342" t="s">
        <v>56</v>
      </c>
    </row>
    <row r="37343" spans="1:5" x14ac:dyDescent="0.25">
      <c r="A37343" t="str">
        <f>HYPERLINK("https://www.773grp.com/globalSearch/MC74LVX8053MG/page-1", "MC74LVX8053MG")</f>
        <v>MC74LVX8053MG</v>
      </c>
      <c r="B37343" s="3" t="s">
        <v>95</v>
      </c>
      <c r="C37343" s="6">
        <v>11650</v>
      </c>
      <c r="D37343" s="7">
        <v>1.74</v>
      </c>
      <c r="E37343" t="s">
        <v>56</v>
      </c>
    </row>
    <row r="37344" spans="1:5" x14ac:dyDescent="0.25">
      <c r="A37344" t="str">
        <f>HYPERLINK("https://www.773grp.com/globalSearch/MC74LVXC3245DT/page-1", "MC74LVXC3245DT")</f>
        <v>MC74LVXC3245DT</v>
      </c>
      <c r="B37344" s="3" t="s">
        <v>95</v>
      </c>
      <c r="C37344" s="6">
        <v>2004</v>
      </c>
      <c r="D37344" s="7">
        <v>1.74</v>
      </c>
      <c r="E37344" t="s">
        <v>14</v>
      </c>
    </row>
    <row r="37345" spans="1:5" x14ac:dyDescent="0.25">
      <c r="A37345" t="str">
        <f>HYPERLINK("https://www.773grp.com/globalSearch/MC74LVXC3245DWR2/page-1", "MC74LVXC3245DWR2")</f>
        <v>MC74LVXC3245DWR2</v>
      </c>
      <c r="B37345" s="3" t="s">
        <v>95</v>
      </c>
      <c r="C37345" s="6">
        <v>1800</v>
      </c>
      <c r="D37345" s="7">
        <v>1.74</v>
      </c>
      <c r="E37345" t="s">
        <v>14</v>
      </c>
    </row>
    <row r="37346" spans="1:5" x14ac:dyDescent="0.25">
      <c r="A37346" t="str">
        <f>HYPERLINK("https://www.773grp.com/globalSearch/MC74LVXT8051MELG/page-1", "MC74LVXT8051MELG")</f>
        <v>MC74LVXT8051MELG</v>
      </c>
      <c r="B37346" s="3" t="s">
        <v>95</v>
      </c>
      <c r="C37346" s="6">
        <v>22000</v>
      </c>
      <c r="D37346" s="7">
        <v>1.74</v>
      </c>
      <c r="E37346" t="s">
        <v>56</v>
      </c>
    </row>
    <row r="37347" spans="1:5" x14ac:dyDescent="0.25">
      <c r="A37347" t="str">
        <f>HYPERLINK("https://www.773grp.com/globalSearch/MC74LVXT8051MG/page-1", "MC74LVXT8051MG")</f>
        <v>MC74LVXT8051MG</v>
      </c>
      <c r="B37347" s="3" t="s">
        <v>95</v>
      </c>
      <c r="C37347" s="6">
        <v>12500</v>
      </c>
      <c r="D37347" s="7">
        <v>1.74</v>
      </c>
      <c r="E37347" t="s">
        <v>56</v>
      </c>
    </row>
    <row r="37348" spans="1:5" x14ac:dyDescent="0.25">
      <c r="A37348" t="str">
        <f>HYPERLINK("https://www.773grp.com/globalSearch/MC7805ACD2TG/page-1", "MC7805ACD2TG")</f>
        <v>MC7805ACD2TG</v>
      </c>
      <c r="B37348" s="3" t="s">
        <v>95</v>
      </c>
      <c r="C37348" s="6">
        <v>7577</v>
      </c>
      <c r="D37348" s="7">
        <v>1.74</v>
      </c>
      <c r="E37348" t="s">
        <v>28</v>
      </c>
    </row>
    <row r="37349" spans="1:5" x14ac:dyDescent="0.25">
      <c r="A37349" t="str">
        <f>HYPERLINK("https://www.773grp.com/globalSearch/MC7805ACD2TR4G/page-1", "MC7805ACD2TR4G")</f>
        <v>MC7805ACD2TR4G</v>
      </c>
      <c r="B37349" s="3" t="s">
        <v>95</v>
      </c>
      <c r="C37349" s="6">
        <v>1767</v>
      </c>
      <c r="D37349" s="7">
        <v>1.74</v>
      </c>
    </row>
    <row r="37350" spans="1:5" x14ac:dyDescent="0.25">
      <c r="A37350" t="str">
        <f>HYPERLINK("https://www.773grp.com/globalSearch/MC7805BD2TG/page-1", "MC7805BD2TG")</f>
        <v>MC7805BD2TG</v>
      </c>
      <c r="B37350" s="3" t="s">
        <v>95</v>
      </c>
      <c r="C37350" s="6">
        <v>8137</v>
      </c>
      <c r="D37350" s="7">
        <v>1.74</v>
      </c>
      <c r="E37350" t="s">
        <v>28</v>
      </c>
    </row>
    <row r="37351" spans="1:5" x14ac:dyDescent="0.25">
      <c r="A37351" t="str">
        <f>HYPERLINK("https://www.773grp.com/globalSearch/MC7805BD2TR4G/page-1", "MC7805BD2TR4G")</f>
        <v>MC7805BD2TR4G</v>
      </c>
      <c r="B37351" s="3" t="s">
        <v>95</v>
      </c>
      <c r="C37351" s="6">
        <v>25131</v>
      </c>
      <c r="D37351" s="7">
        <v>1.74</v>
      </c>
      <c r="E37351" t="s">
        <v>28</v>
      </c>
    </row>
    <row r="37352" spans="1:5" x14ac:dyDescent="0.25">
      <c r="A37352" t="str">
        <f>HYPERLINK("https://www.773grp.com/globalSearch/MC7806BD2TG/page-1", "MC7806BD2TG")</f>
        <v>MC7806BD2TG</v>
      </c>
      <c r="B37352" s="3" t="s">
        <v>95</v>
      </c>
      <c r="C37352" s="6">
        <v>1750</v>
      </c>
      <c r="D37352" s="7">
        <v>1.74</v>
      </c>
      <c r="E37352" t="s">
        <v>28</v>
      </c>
    </row>
    <row r="37353" spans="1:5" x14ac:dyDescent="0.25">
      <c r="A37353" t="str">
        <f>HYPERLINK("https://www.773grp.com/globalSearch/MC7806BD2TR4G/page-1", "MC7806BD2TR4G")</f>
        <v>MC7806BD2TR4G</v>
      </c>
      <c r="B37353" s="3" t="s">
        <v>95</v>
      </c>
      <c r="C37353" s="6">
        <v>1600</v>
      </c>
      <c r="D37353" s="7">
        <v>1.74</v>
      </c>
      <c r="E37353" t="s">
        <v>28</v>
      </c>
    </row>
    <row r="37354" spans="1:5" x14ac:dyDescent="0.25">
      <c r="A37354" t="str">
        <f>HYPERLINK("https://www.773grp.com/globalSearch/MC7808BD2TG/page-1", "MC7808BD2TG")</f>
        <v>MC7808BD2TG</v>
      </c>
      <c r="B37354" s="3" t="s">
        <v>95</v>
      </c>
      <c r="C37354" s="6">
        <v>4050</v>
      </c>
      <c r="D37354" s="7">
        <v>1.74</v>
      </c>
      <c r="E37354" t="s">
        <v>28</v>
      </c>
    </row>
    <row r="37355" spans="1:5" x14ac:dyDescent="0.25">
      <c r="A37355" t="str">
        <f>HYPERLINK("https://www.773grp.com/globalSearch/MC7808BD2TR4G/page-1", "MC7808BD2TR4G")</f>
        <v>MC7808BD2TR4G</v>
      </c>
      <c r="B37355" s="3" t="s">
        <v>95</v>
      </c>
      <c r="C37355" s="6">
        <v>800</v>
      </c>
      <c r="D37355" s="7">
        <v>1.74</v>
      </c>
    </row>
    <row r="37356" spans="1:5" x14ac:dyDescent="0.25">
      <c r="A37356" t="str">
        <f>HYPERLINK("https://www.773grp.com/globalSearch/MC7812ACD2TG/page-1", "MC7812ACD2TG")</f>
        <v>MC7812ACD2TG</v>
      </c>
      <c r="B37356" s="3" t="s">
        <v>95</v>
      </c>
      <c r="C37356" s="6">
        <v>1772</v>
      </c>
      <c r="D37356" s="7">
        <v>1.74</v>
      </c>
      <c r="E37356" t="s">
        <v>28</v>
      </c>
    </row>
    <row r="37357" spans="1:5" x14ac:dyDescent="0.25">
      <c r="A37357" t="str">
        <f>HYPERLINK("https://www.773grp.com/globalSearch/MC7812ACD2TR4G/page-1", "MC7812ACD2TR4G")</f>
        <v>MC7812ACD2TR4G</v>
      </c>
      <c r="B37357" s="3" t="s">
        <v>95</v>
      </c>
      <c r="C37357" s="6">
        <v>800</v>
      </c>
      <c r="D37357" s="7">
        <v>1.74</v>
      </c>
      <c r="E37357" t="s">
        <v>28</v>
      </c>
    </row>
    <row r="37358" spans="1:5" x14ac:dyDescent="0.25">
      <c r="A37358" t="str">
        <f>HYPERLINK("https://www.773grp.com/globalSearch/MC7812BD2TR4G/page-1", "MC7812BD2TR4G")</f>
        <v>MC7812BD2TR4G</v>
      </c>
      <c r="B37358" s="3" t="s">
        <v>95</v>
      </c>
      <c r="C37358" s="6">
        <v>17600</v>
      </c>
      <c r="D37358" s="7">
        <v>1.74</v>
      </c>
      <c r="E37358" t="s">
        <v>28</v>
      </c>
    </row>
    <row r="37359" spans="1:5" x14ac:dyDescent="0.25">
      <c r="A37359" t="str">
        <f>HYPERLINK("https://www.773grp.com/globalSearch/MC7815ACD2TG/page-1", "MC7815ACD2TG")</f>
        <v>MC7815ACD2TG</v>
      </c>
      <c r="B37359" s="3" t="s">
        <v>95</v>
      </c>
      <c r="C37359" s="6">
        <v>3608</v>
      </c>
      <c r="D37359" s="7">
        <v>1.74</v>
      </c>
      <c r="E37359" t="s">
        <v>28</v>
      </c>
    </row>
    <row r="37360" spans="1:5" x14ac:dyDescent="0.25">
      <c r="A37360" t="str">
        <f>HYPERLINK("https://www.773grp.com/globalSearch/MC7815BD2TG/page-1", "MC7815BD2TG")</f>
        <v>MC7815BD2TG</v>
      </c>
      <c r="B37360" s="3" t="s">
        <v>95</v>
      </c>
      <c r="C37360" s="6">
        <v>250</v>
      </c>
      <c r="D37360" s="7">
        <v>1.74</v>
      </c>
    </row>
    <row r="37361" spans="1:5" x14ac:dyDescent="0.25">
      <c r="A37361" t="str">
        <f>HYPERLINK("https://www.773grp.com/globalSearch/MC7815BD2TR4G/page-1", "MC7815BD2TR4G")</f>
        <v>MC7815BD2TR4G</v>
      </c>
      <c r="B37361" s="3" t="s">
        <v>95</v>
      </c>
      <c r="C37361" s="6">
        <v>3800</v>
      </c>
      <c r="D37361" s="7">
        <v>1.74</v>
      </c>
      <c r="E37361" t="s">
        <v>28</v>
      </c>
    </row>
    <row r="37362" spans="1:5" x14ac:dyDescent="0.25">
      <c r="A37362" t="str">
        <f>HYPERLINK("https://www.773grp.com/globalSearch/MC7824BD2TG/page-1", "MC7824BD2TG")</f>
        <v>MC7824BD2TG</v>
      </c>
      <c r="B37362" s="3" t="s">
        <v>95</v>
      </c>
      <c r="C37362" s="6">
        <v>1400</v>
      </c>
      <c r="D37362" s="7">
        <v>1.74</v>
      </c>
    </row>
    <row r="37363" spans="1:5" x14ac:dyDescent="0.25">
      <c r="A37363" t="str">
        <f>HYPERLINK("https://www.773grp.com/globalSearch/MC7824BD2TR4/page-1", "MC7824BD2TR4")</f>
        <v>MC7824BD2TR4</v>
      </c>
      <c r="B37363" s="3" t="s">
        <v>95</v>
      </c>
      <c r="C37363" s="6">
        <v>1600</v>
      </c>
      <c r="D37363" s="7">
        <v>1.74</v>
      </c>
      <c r="E37363" t="s">
        <v>28</v>
      </c>
    </row>
    <row r="37364" spans="1:5" x14ac:dyDescent="0.25">
      <c r="A37364" t="str">
        <f>HYPERLINK("https://www.773grp.com/globalSearch/MC7905ACD2TG/page-1", "MC7905ACD2TG")</f>
        <v>MC7905ACD2TG</v>
      </c>
      <c r="B37364" s="3" t="s">
        <v>95</v>
      </c>
      <c r="C37364" s="6">
        <v>19295</v>
      </c>
      <c r="D37364" s="7">
        <v>1.74</v>
      </c>
      <c r="E37364" t="s">
        <v>65</v>
      </c>
    </row>
    <row r="37365" spans="1:5" x14ac:dyDescent="0.25">
      <c r="A37365" t="str">
        <f>HYPERLINK("https://www.773grp.com/globalSearch/MC7905ACD2TR4/page-1", "MC7905ACD2TR4")</f>
        <v>MC7905ACD2TR4</v>
      </c>
      <c r="B37365" s="3" t="s">
        <v>95</v>
      </c>
      <c r="C37365" s="6">
        <v>800</v>
      </c>
      <c r="D37365" s="7">
        <v>1.74</v>
      </c>
      <c r="E37365" t="s">
        <v>65</v>
      </c>
    </row>
    <row r="37366" spans="1:5" x14ac:dyDescent="0.25">
      <c r="A37366" t="str">
        <f>HYPERLINK("https://www.773grp.com/globalSearch/MC7905ACD2TR4G/page-1", "MC7905ACD2TR4G")</f>
        <v>MC7905ACD2TR4G</v>
      </c>
      <c r="B37366" s="3" t="s">
        <v>95</v>
      </c>
      <c r="C37366" s="6">
        <v>800</v>
      </c>
      <c r="D37366" s="7">
        <v>1.74</v>
      </c>
    </row>
    <row r="37367" spans="1:5" x14ac:dyDescent="0.25">
      <c r="A37367" t="str">
        <f>HYPERLINK("https://www.773grp.com/globalSearch/MC7905BD2TG/page-1", "MC7905BD2TG")</f>
        <v>MC7905BD2TG</v>
      </c>
      <c r="B37367" s="3" t="s">
        <v>95</v>
      </c>
      <c r="C37367" s="6">
        <v>4329</v>
      </c>
      <c r="D37367" s="7">
        <v>1.74</v>
      </c>
      <c r="E37367" t="s">
        <v>65</v>
      </c>
    </row>
    <row r="37368" spans="1:5" x14ac:dyDescent="0.25">
      <c r="A37368" t="str">
        <f>HYPERLINK("https://www.773grp.com/globalSearch/MC7905BD2TR4/page-1", "MC7905BD2TR4")</f>
        <v>MC7905BD2TR4</v>
      </c>
      <c r="B37368" s="3" t="s">
        <v>95</v>
      </c>
      <c r="C37368" s="6">
        <v>2400</v>
      </c>
      <c r="D37368" s="7">
        <v>1.74</v>
      </c>
      <c r="E37368" t="s">
        <v>65</v>
      </c>
    </row>
    <row r="37369" spans="1:5" x14ac:dyDescent="0.25">
      <c r="A37369" t="str">
        <f>HYPERLINK("https://www.773grp.com/globalSearch/MC7905BD2TR4G/page-1", "MC7905BD2TR4G")</f>
        <v>MC7905BD2TR4G</v>
      </c>
      <c r="B37369" s="3" t="s">
        <v>95</v>
      </c>
      <c r="C37369" s="6">
        <v>1600</v>
      </c>
      <c r="D37369" s="7">
        <v>1.74</v>
      </c>
      <c r="E37369" t="s">
        <v>65</v>
      </c>
    </row>
    <row r="37370" spans="1:5" x14ac:dyDescent="0.25">
      <c r="A37370" t="str">
        <f>HYPERLINK("https://www.773grp.com/globalSearch/MC7912ACD2TG/page-1", "MC7912ACD2TG")</f>
        <v>MC7912ACD2TG</v>
      </c>
      <c r="B37370" s="3" t="s">
        <v>95</v>
      </c>
      <c r="C37370" s="6">
        <v>1000</v>
      </c>
      <c r="D37370" s="7">
        <v>1.74</v>
      </c>
    </row>
    <row r="37371" spans="1:5" x14ac:dyDescent="0.25">
      <c r="A37371" t="str">
        <f>HYPERLINK("https://www.773grp.com/globalSearch/MC7912BD2TG/page-1", "MC7912BD2TG")</f>
        <v>MC7912BD2TG</v>
      </c>
      <c r="B37371" s="3" t="s">
        <v>95</v>
      </c>
      <c r="C37371" s="6">
        <v>21000</v>
      </c>
      <c r="D37371" s="7">
        <v>1.74</v>
      </c>
      <c r="E37371" t="s">
        <v>65</v>
      </c>
    </row>
    <row r="37372" spans="1:5" x14ac:dyDescent="0.25">
      <c r="A37372" t="str">
        <f>HYPERLINK("https://www.773grp.com/globalSearch/MC7915ACD2TG/page-1", "MC7915ACD2TG")</f>
        <v>MC7915ACD2TG</v>
      </c>
      <c r="B37372" s="3" t="s">
        <v>95</v>
      </c>
      <c r="C37372" s="6">
        <v>1350</v>
      </c>
      <c r="D37372" s="7">
        <v>1.74</v>
      </c>
      <c r="E37372" t="s">
        <v>65</v>
      </c>
    </row>
    <row r="37373" spans="1:5" x14ac:dyDescent="0.25">
      <c r="A37373" t="str">
        <f>HYPERLINK("https://www.773grp.com/globalSearch/MC7915BD2T/page-1", "MC7915BD2T")</f>
        <v>MC7915BD2T</v>
      </c>
      <c r="B37373" s="3" t="s">
        <v>95</v>
      </c>
      <c r="C37373" s="6">
        <v>390</v>
      </c>
      <c r="D37373" s="7">
        <v>1.74</v>
      </c>
      <c r="E37373" t="s">
        <v>65</v>
      </c>
    </row>
    <row r="37374" spans="1:5" x14ac:dyDescent="0.25">
      <c r="A37374" t="str">
        <f>HYPERLINK("https://www.773grp.com/globalSearch/MC7915BD2TG/page-1", "MC7915BD2TG")</f>
        <v>MC7915BD2TG</v>
      </c>
      <c r="B37374" s="3" t="s">
        <v>95</v>
      </c>
      <c r="C37374" s="6">
        <v>581</v>
      </c>
      <c r="D37374" s="7">
        <v>1.74</v>
      </c>
      <c r="E37374" t="s">
        <v>65</v>
      </c>
    </row>
    <row r="37375" spans="1:5" x14ac:dyDescent="0.25">
      <c r="A37375" t="str">
        <f>HYPERLINK("https://www.773grp.com/globalSearch/MCR218-6FP/page-1", "MCR218-6FP")</f>
        <v>MCR218-6FP</v>
      </c>
      <c r="B37375" s="3" t="s">
        <v>95</v>
      </c>
      <c r="C37375" s="6">
        <v>28086</v>
      </c>
      <c r="D37375" s="7">
        <v>1.74</v>
      </c>
      <c r="E37375" t="s">
        <v>97</v>
      </c>
    </row>
    <row r="37376" spans="1:5" x14ac:dyDescent="0.25">
      <c r="A37376" t="str">
        <f>HYPERLINK("https://www.773grp.com/globalSearch/MJB41CG/page-1", "MJB41CG")</f>
        <v>MJB41CG</v>
      </c>
      <c r="B37376" s="3" t="s">
        <v>95</v>
      </c>
      <c r="C37376" s="6">
        <v>110</v>
      </c>
      <c r="D37376" s="7">
        <v>1.74</v>
      </c>
      <c r="E37376" t="s">
        <v>59</v>
      </c>
    </row>
    <row r="37377" spans="1:5" x14ac:dyDescent="0.25">
      <c r="A37377" t="str">
        <f>HYPERLINK("https://www.773grp.com/globalSearch/MJB41CT4G/page-1", "MJB41CT4G")</f>
        <v>MJB41CT4G</v>
      </c>
      <c r="B37377" s="3" t="s">
        <v>95</v>
      </c>
      <c r="C37377" s="6">
        <v>37126</v>
      </c>
      <c r="D37377" s="7">
        <v>1.74</v>
      </c>
      <c r="E37377" t="s">
        <v>59</v>
      </c>
    </row>
    <row r="37378" spans="1:5" x14ac:dyDescent="0.25">
      <c r="A37378" t="str">
        <f>HYPERLINK("https://www.773grp.com/globalSearch/MJE5740/page-1", "MJE5740")</f>
        <v>MJE5740</v>
      </c>
      <c r="B37378" s="3" t="s">
        <v>95</v>
      </c>
      <c r="C37378" s="6">
        <v>15</v>
      </c>
      <c r="D37378" s="7">
        <v>1.74</v>
      </c>
      <c r="E37378" t="s">
        <v>59</v>
      </c>
    </row>
    <row r="37379" spans="1:5" x14ac:dyDescent="0.25">
      <c r="A37379" t="str">
        <f>HYPERLINK("https://www.773grp.com/globalSearch/MUR1610CTG/page-1", "MUR1610CTG")</f>
        <v>MUR1610CTG</v>
      </c>
      <c r="B37379" s="3" t="s">
        <v>95</v>
      </c>
      <c r="C37379" s="6">
        <v>6770</v>
      </c>
      <c r="D37379" s="7">
        <v>1.74</v>
      </c>
      <c r="E37379" t="s">
        <v>103</v>
      </c>
    </row>
    <row r="37380" spans="1:5" x14ac:dyDescent="0.25">
      <c r="A37380" t="str">
        <f>HYPERLINK("https://www.773grp.com/globalSearch/MUR1615CTG/page-1", "MUR1615CTG")</f>
        <v>MUR1615CTG</v>
      </c>
      <c r="B37380" s="3" t="s">
        <v>95</v>
      </c>
      <c r="C37380" s="6">
        <v>2692</v>
      </c>
      <c r="D37380" s="7">
        <v>1.74</v>
      </c>
      <c r="E37380" t="s">
        <v>103</v>
      </c>
    </row>
    <row r="37381" spans="1:5" x14ac:dyDescent="0.25">
      <c r="A37381" t="str">
        <f>HYPERLINK("https://www.773grp.com/globalSearch/MUR1620CTG/page-1", "MUR1620CTG")</f>
        <v>MUR1620CTG</v>
      </c>
      <c r="B37381" s="3" t="s">
        <v>95</v>
      </c>
      <c r="C37381" s="6">
        <v>46090</v>
      </c>
      <c r="D37381" s="7">
        <v>1.74</v>
      </c>
      <c r="E37381" t="s">
        <v>103</v>
      </c>
    </row>
    <row r="37382" spans="1:5" x14ac:dyDescent="0.25">
      <c r="A37382" t="str">
        <f>HYPERLINK("https://www.773grp.com/globalSearch/MUR1620CTR/page-1", "MUR1620CTR")</f>
        <v>MUR1620CTR</v>
      </c>
      <c r="B37382" s="3" t="s">
        <v>95</v>
      </c>
      <c r="C37382" s="6">
        <v>48094</v>
      </c>
      <c r="D37382" s="7">
        <v>1.74</v>
      </c>
      <c r="E37382" t="s">
        <v>103</v>
      </c>
    </row>
    <row r="37383" spans="1:5" x14ac:dyDescent="0.25">
      <c r="A37383" t="str">
        <f>HYPERLINK("https://www.773grp.com/globalSearch/MURS360T3/page-1", "MURS360T3")</f>
        <v>MURS360T3</v>
      </c>
      <c r="B37383" s="3" t="s">
        <v>95</v>
      </c>
      <c r="C37383" s="6">
        <v>5000</v>
      </c>
      <c r="D37383" s="7">
        <v>1.74</v>
      </c>
    </row>
    <row r="37384" spans="1:5" x14ac:dyDescent="0.25">
      <c r="A37384" t="str">
        <f>HYPERLINK("https://www.773grp.com/globalSearch/NCP383LMUAJAATXG/page-1", "NCP383LMUAJAATXG")</f>
        <v>NCP383LMUAJAATXG</v>
      </c>
      <c r="B37384" s="3" t="s">
        <v>95</v>
      </c>
      <c r="C37384" s="6">
        <v>882000</v>
      </c>
      <c r="D37384" s="7">
        <v>1.74</v>
      </c>
    </row>
    <row r="37385" spans="1:5" x14ac:dyDescent="0.25">
      <c r="A37385" t="str">
        <f>HYPERLINK("https://www.773grp.com/globalSearch/NCP5008DMR2/page-1", "NCP5008DMR2")</f>
        <v>NCP5008DMR2</v>
      </c>
      <c r="B37385" s="3" t="s">
        <v>95</v>
      </c>
      <c r="C37385" s="6">
        <v>39931</v>
      </c>
      <c r="D37385" s="7">
        <v>1.74</v>
      </c>
      <c r="E37385" t="s">
        <v>10</v>
      </c>
    </row>
    <row r="37386" spans="1:5" x14ac:dyDescent="0.25">
      <c r="A37386" t="str">
        <f>HYPERLINK("https://www.773grp.com/globalSearch/NCP81031MNTWG/page-1", "NCP81031MNTWG")</f>
        <v>NCP81031MNTWG</v>
      </c>
      <c r="B37386" s="3" t="s">
        <v>95</v>
      </c>
      <c r="C37386" s="6">
        <v>3000</v>
      </c>
      <c r="D37386" s="7">
        <v>1.74</v>
      </c>
    </row>
    <row r="37387" spans="1:5" x14ac:dyDescent="0.25">
      <c r="A37387" t="str">
        <f>HYPERLINK("https://www.773grp.com/globalSearch/NCS36000DG/page-1", "NCS36000DG")</f>
        <v>NCS36000DG</v>
      </c>
      <c r="B37387" s="3" t="s">
        <v>95</v>
      </c>
      <c r="C37387" s="6">
        <v>220</v>
      </c>
      <c r="D37387" s="7">
        <v>1.74</v>
      </c>
    </row>
    <row r="37388" spans="1:5" x14ac:dyDescent="0.25">
      <c r="A37388" t="str">
        <f>HYPERLINK("https://www.773grp.com/globalSearch/NCV8560MN150R2G/page-1", "NCV8560MN150R2G")</f>
        <v>NCV8560MN150R2G</v>
      </c>
      <c r="B37388" s="3" t="s">
        <v>95</v>
      </c>
      <c r="C37388" s="6">
        <v>3250</v>
      </c>
      <c r="D37388" s="7">
        <v>1.74</v>
      </c>
    </row>
    <row r="37389" spans="1:5" x14ac:dyDescent="0.25">
      <c r="A37389" t="str">
        <f>HYPERLINK("https://www.773grp.com/globalSearch/NCV8560MN180R2G/page-1", "NCV8560MN180R2G")</f>
        <v>NCV8560MN180R2G</v>
      </c>
      <c r="B37389" s="3" t="s">
        <v>95</v>
      </c>
      <c r="C37389" s="6">
        <v>26980</v>
      </c>
      <c r="D37389" s="7">
        <v>1.74</v>
      </c>
      <c r="E37389" t="s">
        <v>19</v>
      </c>
    </row>
    <row r="37390" spans="1:5" x14ac:dyDescent="0.25">
      <c r="A37390" t="str">
        <f>HYPERLINK("https://www.773grp.com/globalSearch/NCV8560MN250R2G/page-1", "NCV8560MN250R2G")</f>
        <v>NCV8560MN250R2G</v>
      </c>
      <c r="B37390" s="3" t="s">
        <v>95</v>
      </c>
      <c r="C37390" s="6">
        <v>8900</v>
      </c>
      <c r="D37390" s="7">
        <v>1.74</v>
      </c>
      <c r="E37390" t="s">
        <v>19</v>
      </c>
    </row>
    <row r="37391" spans="1:5" x14ac:dyDescent="0.25">
      <c r="A37391" t="str">
        <f>HYPERLINK("https://www.773grp.com/globalSearch/NCV8560MN280R2G/page-1", "NCV8560MN280R2G")</f>
        <v>NCV8560MN280R2G</v>
      </c>
      <c r="B37391" s="3" t="s">
        <v>95</v>
      </c>
      <c r="C37391" s="6">
        <v>6000</v>
      </c>
      <c r="D37391" s="7">
        <v>1.74</v>
      </c>
      <c r="E37391" t="s">
        <v>19</v>
      </c>
    </row>
    <row r="37392" spans="1:5" x14ac:dyDescent="0.25">
      <c r="A37392" t="str">
        <f>HYPERLINK("https://www.773grp.com/globalSearch/NCV8560MN300R2G/page-1", "NCV8560MN300R2G")</f>
        <v>NCV8560MN300R2G</v>
      </c>
      <c r="B37392" s="3" t="s">
        <v>95</v>
      </c>
      <c r="C37392" s="6">
        <v>18000</v>
      </c>
      <c r="D37392" s="7">
        <v>1.74</v>
      </c>
      <c r="E37392" t="s">
        <v>19</v>
      </c>
    </row>
    <row r="37393" spans="1:5" x14ac:dyDescent="0.25">
      <c r="A37393" t="str">
        <f>HYPERLINK("https://www.773grp.com/globalSearch/NCV8560MN330R2G/page-1", "NCV8560MN330R2G")</f>
        <v>NCV8560MN330R2G</v>
      </c>
      <c r="B37393" s="3" t="s">
        <v>95</v>
      </c>
      <c r="C37393" s="6">
        <v>24000</v>
      </c>
      <c r="D37393" s="7">
        <v>1.74</v>
      </c>
      <c r="E37393" t="s">
        <v>19</v>
      </c>
    </row>
    <row r="37394" spans="1:5" x14ac:dyDescent="0.25">
      <c r="A37394" t="str">
        <f>HYPERLINK("https://www.773grp.com/globalSearch/NCV8560MN350R2G/page-1", "NCV8560MN350R2G")</f>
        <v>NCV8560MN350R2G</v>
      </c>
      <c r="B37394" s="3" t="s">
        <v>95</v>
      </c>
      <c r="C37394" s="6">
        <v>18000</v>
      </c>
      <c r="D37394" s="7">
        <v>1.74</v>
      </c>
      <c r="E37394" t="s">
        <v>19</v>
      </c>
    </row>
    <row r="37395" spans="1:5" x14ac:dyDescent="0.25">
      <c r="A37395" t="str">
        <f>HYPERLINK("https://www.773grp.com/globalSearch/NCV8560MN500R2G/page-1", "NCV8560MN500R2G")</f>
        <v>NCV8560MN500R2G</v>
      </c>
      <c r="B37395" s="3" t="s">
        <v>95</v>
      </c>
      <c r="C37395" s="6">
        <v>5850</v>
      </c>
      <c r="D37395" s="7">
        <v>1.74</v>
      </c>
      <c r="E37395" t="s">
        <v>19</v>
      </c>
    </row>
    <row r="37396" spans="1:5" x14ac:dyDescent="0.25">
      <c r="A37396" t="str">
        <f>HYPERLINK("https://www.773grp.com/globalSearch/NCV8560MNADJR2G/page-1", "NCV8560MNADJR2G")</f>
        <v>NCV8560MNADJR2G</v>
      </c>
      <c r="B37396" s="3" t="s">
        <v>95</v>
      </c>
      <c r="C37396" s="6">
        <v>3005</v>
      </c>
      <c r="D37396" s="7">
        <v>1.74</v>
      </c>
    </row>
    <row r="37397" spans="1:5" x14ac:dyDescent="0.25">
      <c r="A37397" t="str">
        <f>HYPERLINK("https://www.773grp.com/globalSearch/NE5532D8/page-1", "NE5532D8")</f>
        <v>NE5532D8</v>
      </c>
      <c r="B37397" s="3" t="s">
        <v>95</v>
      </c>
      <c r="C37397" s="6">
        <v>2005</v>
      </c>
      <c r="D37397" s="7">
        <v>1.74</v>
      </c>
      <c r="E37397" t="s">
        <v>13</v>
      </c>
    </row>
    <row r="37398" spans="1:5" x14ac:dyDescent="0.25">
      <c r="A37398" t="str">
        <f>HYPERLINK("https://www.773grp.com/globalSearch/NE592N14G/page-1", "NE592N14G")</f>
        <v>NE592N14G</v>
      </c>
      <c r="B37398" s="3" t="s">
        <v>95</v>
      </c>
      <c r="C37398" s="6">
        <v>3614</v>
      </c>
      <c r="D37398" s="7">
        <v>1.74</v>
      </c>
      <c r="E37398" t="s">
        <v>18</v>
      </c>
    </row>
    <row r="37399" spans="1:5" x14ac:dyDescent="0.25">
      <c r="A37399" t="str">
        <f>HYPERLINK("https://www.773grp.com/globalSearch/NLV14521BDG/page-1", "NLV14521BDG")</f>
        <v>NLV14521BDG</v>
      </c>
      <c r="B37399" s="3" t="s">
        <v>95</v>
      </c>
      <c r="C37399" s="6">
        <v>5088</v>
      </c>
      <c r="D37399" s="7">
        <v>1.74</v>
      </c>
    </row>
    <row r="37400" spans="1:5" x14ac:dyDescent="0.25">
      <c r="A37400" t="str">
        <f>HYPERLINK("https://www.773grp.com/globalSearch/NLV14521BDR2G/page-1", "NLV14521BDR2G")</f>
        <v>NLV14521BDR2G</v>
      </c>
      <c r="B37400" s="3" t="s">
        <v>95</v>
      </c>
      <c r="C37400" s="6">
        <v>7500</v>
      </c>
      <c r="D37400" s="7">
        <v>1.74</v>
      </c>
    </row>
    <row r="37401" spans="1:5" x14ac:dyDescent="0.25">
      <c r="A37401" t="str">
        <f>HYPERLINK("https://www.773grp.com/globalSearch/NRVBS330T3G/page-1", "NRVBS330T3G")</f>
        <v>NRVBS330T3G</v>
      </c>
      <c r="B37401" s="3" t="s">
        <v>95</v>
      </c>
      <c r="C37401" s="6">
        <v>10000</v>
      </c>
      <c r="D37401" s="7">
        <v>1.74</v>
      </c>
    </row>
    <row r="37402" spans="1:5" x14ac:dyDescent="0.25">
      <c r="A37402" t="str">
        <f>HYPERLINK("https://www.773grp.com/globalSearch/NTD110N02RT4G/page-1", "NTD110N02RT4G")</f>
        <v>NTD110N02RT4G</v>
      </c>
      <c r="B37402" s="3" t="s">
        <v>95</v>
      </c>
      <c r="C37402" s="6">
        <v>5643</v>
      </c>
      <c r="D37402" s="7">
        <v>1.74</v>
      </c>
      <c r="E37402" t="s">
        <v>105</v>
      </c>
    </row>
    <row r="37403" spans="1:5" x14ac:dyDescent="0.25">
      <c r="A37403" t="str">
        <f>HYPERLINK("https://www.773grp.com/globalSearch/NTMS4802NR2G/page-1", "NTMS4802NR2G")</f>
        <v>NTMS4802NR2G</v>
      </c>
      <c r="B37403" s="3" t="s">
        <v>95</v>
      </c>
      <c r="C37403" s="6">
        <v>10000</v>
      </c>
      <c r="D37403" s="7">
        <v>1.74</v>
      </c>
      <c r="E37403" t="s">
        <v>106</v>
      </c>
    </row>
    <row r="37404" spans="1:5" x14ac:dyDescent="0.25">
      <c r="A37404" t="str">
        <f>HYPERLINK("https://www.773grp.com/globalSearch/NUC2401MNTAG/page-1", "NUC2401MNTAG")</f>
        <v>NUC2401MNTAG</v>
      </c>
      <c r="B37404" s="3" t="s">
        <v>95</v>
      </c>
      <c r="C37404" s="6">
        <v>179696</v>
      </c>
      <c r="D37404" s="7">
        <v>1.74</v>
      </c>
      <c r="E37404" t="s">
        <v>96</v>
      </c>
    </row>
    <row r="37405" spans="1:5" x14ac:dyDescent="0.25">
      <c r="A37405" t="str">
        <f>HYPERLINK("https://www.773grp.com/globalSearch/SE5230/page-1", "SE5230")</f>
        <v>SE5230</v>
      </c>
      <c r="B37405" s="3" t="s">
        <v>95</v>
      </c>
      <c r="C37405" s="6">
        <v>1666</v>
      </c>
      <c r="D37405" s="7">
        <v>1.74</v>
      </c>
    </row>
    <row r="37406" spans="1:5" x14ac:dyDescent="0.25">
      <c r="A37406" t="str">
        <f>HYPERLINK("https://www.773grp.com/globalSearch/TL062VD/page-1", "TL062VD")</f>
        <v>TL062VD</v>
      </c>
      <c r="B37406" s="3" t="s">
        <v>95</v>
      </c>
      <c r="C37406" s="6">
        <v>11459</v>
      </c>
      <c r="D37406" s="7">
        <v>1.74</v>
      </c>
      <c r="E37406" t="s">
        <v>13</v>
      </c>
    </row>
    <row r="37407" spans="1:5" x14ac:dyDescent="0.25">
      <c r="A37407" t="str">
        <f>HYPERLINK("https://www.773grp.com/globalSearch/2N6487G/page-1", "2N6487G")</f>
        <v>2N6487G</v>
      </c>
      <c r="B37407" s="3" t="s">
        <v>95</v>
      </c>
      <c r="C37407" s="6">
        <v>2671</v>
      </c>
      <c r="D37407" s="7">
        <v>1.79</v>
      </c>
      <c r="E37407" t="s">
        <v>59</v>
      </c>
    </row>
    <row r="37408" spans="1:5" x14ac:dyDescent="0.25">
      <c r="A37408" t="str">
        <f>HYPERLINK("https://www.773grp.com/globalSearch/2N6488G/page-1", "2N6488G")</f>
        <v>2N6488G</v>
      </c>
      <c r="B37408" s="3" t="s">
        <v>95</v>
      </c>
      <c r="C37408" s="6">
        <v>68336</v>
      </c>
      <c r="D37408" s="7">
        <v>1.79</v>
      </c>
      <c r="E37408" t="s">
        <v>59</v>
      </c>
    </row>
    <row r="37409" spans="1:5" x14ac:dyDescent="0.25">
      <c r="A37409" t="str">
        <f>HYPERLINK("https://www.773grp.com/globalSearch/2N6667G/page-1", "2N6667G")</f>
        <v>2N6667G</v>
      </c>
      <c r="B37409" s="3" t="s">
        <v>95</v>
      </c>
      <c r="C37409" s="6">
        <v>783</v>
      </c>
      <c r="D37409" s="7">
        <v>1.79</v>
      </c>
      <c r="E37409" t="s">
        <v>59</v>
      </c>
    </row>
    <row r="37410" spans="1:5" x14ac:dyDescent="0.25">
      <c r="A37410" t="str">
        <f>HYPERLINK("https://www.773grp.com/globalSearch/ADP3193AJCPZ-RL/page-1", "ADP3193AJCPZ-RL")</f>
        <v>ADP3193AJCPZ-RL</v>
      </c>
      <c r="B37410" s="3" t="s">
        <v>95</v>
      </c>
      <c r="C37410" s="6">
        <v>15302</v>
      </c>
      <c r="D37410" s="7">
        <v>1.79</v>
      </c>
      <c r="E37410" t="s">
        <v>7</v>
      </c>
    </row>
    <row r="37411" spans="1:5" x14ac:dyDescent="0.25">
      <c r="A37411" t="str">
        <f>HYPERLINK("https://www.773grp.com/globalSearch/BD809G/page-1", "BD809G")</f>
        <v>BD809G</v>
      </c>
      <c r="B37411" s="3" t="s">
        <v>95</v>
      </c>
      <c r="C37411" s="6">
        <v>1551</v>
      </c>
      <c r="D37411" s="7">
        <v>1.79</v>
      </c>
      <c r="E37411" t="s">
        <v>59</v>
      </c>
    </row>
    <row r="37412" spans="1:5" x14ac:dyDescent="0.25">
      <c r="A37412" t="str">
        <f>HYPERLINK("https://www.773grp.com/globalSearch/BYW29-200G/page-1", "BYW29-200G")</f>
        <v>BYW29-200G</v>
      </c>
      <c r="B37412" s="3" t="s">
        <v>95</v>
      </c>
      <c r="C37412" s="6">
        <v>59600</v>
      </c>
      <c r="D37412" s="7">
        <v>1.79</v>
      </c>
      <c r="E37412" t="s">
        <v>103</v>
      </c>
    </row>
    <row r="37413" spans="1:5" x14ac:dyDescent="0.25">
      <c r="A37413" t="str">
        <f>HYPERLINK("https://www.773grp.com/globalSearch/BYW80-200G/page-1", "BYW80-200G")</f>
        <v>BYW80-200G</v>
      </c>
      <c r="B37413" s="3" t="s">
        <v>95</v>
      </c>
      <c r="C37413" s="6">
        <v>15</v>
      </c>
      <c r="D37413" s="7">
        <v>1.79</v>
      </c>
    </row>
    <row r="37414" spans="1:5" x14ac:dyDescent="0.25">
      <c r="A37414" t="str">
        <f>HYPERLINK("https://www.773grp.com/globalSearch/CAT102TDI-GT3/page-1", "CAT102TDI-GT3")</f>
        <v>CAT102TDI-GT3</v>
      </c>
      <c r="B37414" s="3" t="s">
        <v>95</v>
      </c>
      <c r="C37414" s="6">
        <v>3000</v>
      </c>
      <c r="D37414" s="7">
        <v>1.79</v>
      </c>
    </row>
    <row r="37415" spans="1:5" x14ac:dyDescent="0.25">
      <c r="A37415" t="str">
        <f>HYPERLINK("https://www.773grp.com/globalSearch/CS5201-1GDPR3/page-1", "CS5201-1GDPR3")</f>
        <v>CS5201-1GDPR3</v>
      </c>
      <c r="B37415" s="3" t="s">
        <v>95</v>
      </c>
      <c r="C37415" s="6">
        <v>2236</v>
      </c>
      <c r="D37415" s="7">
        <v>1.79</v>
      </c>
      <c r="E37415" t="s">
        <v>25</v>
      </c>
    </row>
    <row r="37416" spans="1:5" x14ac:dyDescent="0.25">
      <c r="A37416" t="str">
        <f>HYPERLINK("https://www.773grp.com/globalSearch/CS52015-1GT3/page-1", "CS52015-1GT3")</f>
        <v>CS52015-1GT3</v>
      </c>
      <c r="B37416" s="3" t="s">
        <v>95</v>
      </c>
      <c r="C37416" s="6">
        <v>16850</v>
      </c>
      <c r="D37416" s="7">
        <v>1.79</v>
      </c>
      <c r="E37416" t="s">
        <v>25</v>
      </c>
    </row>
    <row r="37417" spans="1:5" x14ac:dyDescent="0.25">
      <c r="A37417" t="str">
        <f>HYPERLINK("https://www.773grp.com/globalSearch/CS52015-3GDP3/page-1", "CS52015-3GDP3")</f>
        <v>CS52015-3GDP3</v>
      </c>
      <c r="B37417" s="3" t="s">
        <v>95</v>
      </c>
      <c r="C37417" s="6">
        <v>787</v>
      </c>
      <c r="D37417" s="7">
        <v>1.79</v>
      </c>
      <c r="E37417" t="s">
        <v>19</v>
      </c>
    </row>
    <row r="37418" spans="1:5" x14ac:dyDescent="0.25">
      <c r="A37418" t="str">
        <f>HYPERLINK("https://www.773grp.com/globalSearch/CS52015-3GDPR3/page-1", "CS52015-3GDPR3")</f>
        <v>CS52015-3GDPR3</v>
      </c>
      <c r="B37418" s="3" t="s">
        <v>95</v>
      </c>
      <c r="C37418" s="6">
        <v>1500</v>
      </c>
      <c r="D37418" s="7">
        <v>1.79</v>
      </c>
      <c r="E37418" t="s">
        <v>19</v>
      </c>
    </row>
    <row r="37419" spans="1:5" x14ac:dyDescent="0.25">
      <c r="A37419" t="str">
        <f>HYPERLINK("https://www.773grp.com/globalSearch/CS52015-3GT3/page-1", "CS52015-3GT3")</f>
        <v>CS52015-3GT3</v>
      </c>
      <c r="B37419" s="3" t="s">
        <v>95</v>
      </c>
      <c r="C37419" s="6">
        <v>11750</v>
      </c>
      <c r="D37419" s="7">
        <v>1.79</v>
      </c>
      <c r="E37419" t="s">
        <v>19</v>
      </c>
    </row>
    <row r="37420" spans="1:5" x14ac:dyDescent="0.25">
      <c r="A37420" t="str">
        <f>HYPERLINK("https://www.773grp.com/globalSearch/J110RLRAG/page-1", "J110RLRAG")</f>
        <v>J110RLRAG</v>
      </c>
      <c r="B37420" s="3" t="s">
        <v>95</v>
      </c>
      <c r="C37420" s="6">
        <v>37800</v>
      </c>
      <c r="D37420" s="7">
        <v>1.79</v>
      </c>
      <c r="E37420" t="s">
        <v>106</v>
      </c>
    </row>
    <row r="37421" spans="1:5" x14ac:dyDescent="0.25">
      <c r="A37421" t="str">
        <f>HYPERLINK("https://www.773grp.com/globalSearch/LM317MADTRKG/page-1", "LM317MADTRKG")</f>
        <v>LM317MADTRKG</v>
      </c>
      <c r="B37421" s="3" t="s">
        <v>95</v>
      </c>
      <c r="C37421" s="6">
        <v>5927</v>
      </c>
      <c r="D37421" s="7">
        <v>1.79</v>
      </c>
      <c r="E37421" t="s">
        <v>22</v>
      </c>
    </row>
    <row r="37422" spans="1:5" x14ac:dyDescent="0.25">
      <c r="A37422" t="str">
        <f>HYPERLINK("https://www.773grp.com/globalSearch/LM317MBDTG/page-1", "LM317MBDTG")</f>
        <v>LM317MBDTG</v>
      </c>
      <c r="B37422" s="3" t="s">
        <v>95</v>
      </c>
      <c r="C37422" s="6">
        <v>75</v>
      </c>
      <c r="D37422" s="7">
        <v>1.79</v>
      </c>
      <c r="E37422" t="s">
        <v>22</v>
      </c>
    </row>
    <row r="37423" spans="1:5" x14ac:dyDescent="0.25">
      <c r="A37423" t="str">
        <f>HYPERLINK("https://www.773grp.com/globalSearch/LM317MBDTRKG/page-1", "LM317MBDTRKG")</f>
        <v>LM317MBDTRKG</v>
      </c>
      <c r="B37423" s="3" t="s">
        <v>95</v>
      </c>
      <c r="C37423" s="6">
        <v>62258</v>
      </c>
      <c r="D37423" s="7">
        <v>1.79</v>
      </c>
    </row>
    <row r="37424" spans="1:5" x14ac:dyDescent="0.25">
      <c r="A37424" t="str">
        <f>HYPERLINK("https://www.773grp.com/globalSearch/LP2951CDM-3.0R2G/page-1", "LP2951CDM-3.0R2G")</f>
        <v>LP2951CDM-3.0R2G</v>
      </c>
      <c r="B37424" s="3" t="s">
        <v>95</v>
      </c>
      <c r="C37424" s="6">
        <v>3150</v>
      </c>
      <c r="D37424" s="7">
        <v>1.79</v>
      </c>
      <c r="E37424" t="s">
        <v>27</v>
      </c>
    </row>
    <row r="37425" spans="1:5" x14ac:dyDescent="0.25">
      <c r="A37425" t="str">
        <f>HYPERLINK("https://www.773grp.com/globalSearch/LP2951CDM-3.3R2G/page-1", "LP2951CDM-3.3R2G")</f>
        <v>LP2951CDM-3.3R2G</v>
      </c>
      <c r="B37425" s="3" t="s">
        <v>95</v>
      </c>
      <c r="C37425" s="6">
        <v>39805</v>
      </c>
      <c r="D37425" s="7">
        <v>1.79</v>
      </c>
      <c r="E37425" t="s">
        <v>27</v>
      </c>
    </row>
    <row r="37426" spans="1:5" x14ac:dyDescent="0.25">
      <c r="A37426" t="str">
        <f>HYPERLINK("https://www.773grp.com/globalSearch/LP2951CDMR2G/page-1", "LP2951CDMR2G")</f>
        <v>LP2951CDMR2G</v>
      </c>
      <c r="B37426" s="3" t="s">
        <v>95</v>
      </c>
      <c r="C37426" s="6">
        <v>3273</v>
      </c>
      <c r="D37426" s="7">
        <v>1.79</v>
      </c>
      <c r="E37426" t="s">
        <v>27</v>
      </c>
    </row>
    <row r="37427" spans="1:5" x14ac:dyDescent="0.25">
      <c r="A37427" t="str">
        <f>HYPERLINK("https://www.773grp.com/globalSearch/MBR10H100CTG/page-1", "MBR10H100CTG")</f>
        <v>MBR10H100CTG</v>
      </c>
      <c r="B37427" s="3" t="s">
        <v>95</v>
      </c>
      <c r="C37427" s="6">
        <v>134776</v>
      </c>
      <c r="D37427" s="7">
        <v>1.79</v>
      </c>
      <c r="E37427" t="s">
        <v>103</v>
      </c>
    </row>
    <row r="37428" spans="1:5" x14ac:dyDescent="0.25">
      <c r="A37428" t="str">
        <f>HYPERLINK("https://www.773grp.com/globalSearch/MBR4015CTL/page-1", "MBR4015CTL")</f>
        <v>MBR4015CTL</v>
      </c>
      <c r="B37428" s="3" t="s">
        <v>95</v>
      </c>
      <c r="C37428" s="6">
        <v>5065</v>
      </c>
      <c r="D37428" s="7">
        <v>1.79</v>
      </c>
      <c r="E37428" t="s">
        <v>103</v>
      </c>
    </row>
    <row r="37429" spans="1:5" x14ac:dyDescent="0.25">
      <c r="A37429" t="str">
        <f>HYPERLINK("https://www.773grp.com/globalSearch/MBRB3045CT-1G/page-1", "MBRB3045CT-1G")</f>
        <v>MBRB3045CT-1G</v>
      </c>
      <c r="B37429" s="3" t="s">
        <v>95</v>
      </c>
      <c r="C37429" s="6">
        <v>35100</v>
      </c>
      <c r="D37429" s="7">
        <v>1.79</v>
      </c>
      <c r="E37429" t="s">
        <v>103</v>
      </c>
    </row>
    <row r="37430" spans="1:5" x14ac:dyDescent="0.25">
      <c r="A37430" t="str">
        <f>HYPERLINK("https://www.773grp.com/globalSearch/MC14022BCPG/page-1", "MC14022BCPG")</f>
        <v>MC14022BCPG</v>
      </c>
      <c r="B37430" s="3" t="s">
        <v>95</v>
      </c>
      <c r="C37430" s="6">
        <v>9158</v>
      </c>
      <c r="D37430" s="7">
        <v>1.79</v>
      </c>
      <c r="E37430" t="s">
        <v>26</v>
      </c>
    </row>
    <row r="37431" spans="1:5" x14ac:dyDescent="0.25">
      <c r="A37431" t="str">
        <f>HYPERLINK("https://www.773grp.com/globalSearch/MC1496BDG/page-1", "MC1496BDG")</f>
        <v>MC1496BDG</v>
      </c>
      <c r="B37431" s="3" t="s">
        <v>95</v>
      </c>
      <c r="C37431" s="6">
        <v>720</v>
      </c>
      <c r="D37431" s="7">
        <v>1.79</v>
      </c>
    </row>
    <row r="37432" spans="1:5" x14ac:dyDescent="0.25">
      <c r="A37432" t="str">
        <f>HYPERLINK("https://www.773grp.com/globalSearch/MC1496BDR2G/page-1", "MC1496BDR2G")</f>
        <v>MC1496BDR2G</v>
      </c>
      <c r="B37432" s="3" t="s">
        <v>95</v>
      </c>
      <c r="C37432" s="6">
        <v>32500</v>
      </c>
      <c r="D37432" s="7">
        <v>1.79</v>
      </c>
    </row>
    <row r="37433" spans="1:5" x14ac:dyDescent="0.25">
      <c r="A37433" t="str">
        <f>HYPERLINK("https://www.773grp.com/globalSearch/MC1496BPG/page-1", "MC1496BPG")</f>
        <v>MC1496BPG</v>
      </c>
      <c r="B37433" s="3" t="s">
        <v>95</v>
      </c>
      <c r="C37433" s="6">
        <v>13</v>
      </c>
      <c r="D37433" s="7">
        <v>1.79</v>
      </c>
      <c r="E37433" t="s">
        <v>23</v>
      </c>
    </row>
    <row r="37434" spans="1:5" x14ac:dyDescent="0.25">
      <c r="A37434" t="str">
        <f>HYPERLINK("https://www.773grp.com/globalSearch/MC33063ADG/page-1", "MC33063ADG")</f>
        <v>MC33063ADG</v>
      </c>
      <c r="B37434" s="3" t="s">
        <v>95</v>
      </c>
      <c r="C37434" s="6">
        <v>17934</v>
      </c>
      <c r="D37434" s="7">
        <v>1.79</v>
      </c>
      <c r="E37434" t="s">
        <v>7</v>
      </c>
    </row>
    <row r="37435" spans="1:5" x14ac:dyDescent="0.25">
      <c r="A37435" t="str">
        <f>HYPERLINK("https://www.773grp.com/globalSearch/MC33063ADR2G/page-1", "MC33063ADR2G")</f>
        <v>MC33063ADR2G</v>
      </c>
      <c r="B37435" s="3" t="s">
        <v>95</v>
      </c>
      <c r="C37435" s="6">
        <v>140000</v>
      </c>
      <c r="D37435" s="7">
        <v>1.79</v>
      </c>
      <c r="E37435" t="s">
        <v>7</v>
      </c>
    </row>
    <row r="37436" spans="1:5" x14ac:dyDescent="0.25">
      <c r="A37436" t="str">
        <f>HYPERLINK("https://www.773grp.com/globalSearch/MC33202DG/page-1", "MC33202DG")</f>
        <v>MC33202DG</v>
      </c>
      <c r="B37436" s="3" t="s">
        <v>95</v>
      </c>
      <c r="C37436" s="6">
        <v>5992</v>
      </c>
      <c r="D37436" s="7">
        <v>1.79</v>
      </c>
      <c r="E37436" t="s">
        <v>13</v>
      </c>
    </row>
    <row r="37437" spans="1:5" x14ac:dyDescent="0.25">
      <c r="A37437" t="str">
        <f>HYPERLINK("https://www.773grp.com/globalSearch/MC33202DR2G/page-1", "MC33202DR2G")</f>
        <v>MC33202DR2G</v>
      </c>
      <c r="B37437" s="3" t="s">
        <v>95</v>
      </c>
      <c r="C37437" s="6">
        <v>55900</v>
      </c>
      <c r="D37437" s="7">
        <v>1.79</v>
      </c>
      <c r="E37437" t="s">
        <v>13</v>
      </c>
    </row>
    <row r="37438" spans="1:5" x14ac:dyDescent="0.25">
      <c r="A37438" t="str">
        <f>HYPERLINK("https://www.773grp.com/globalSearch/MC33565DR2G/page-1", "MC33565DR2G")</f>
        <v>MC33565DR2G</v>
      </c>
      <c r="B37438" s="3" t="s">
        <v>95</v>
      </c>
      <c r="C37438" s="6">
        <v>4950</v>
      </c>
      <c r="D37438" s="7">
        <v>1.79</v>
      </c>
      <c r="E37438" t="s">
        <v>19</v>
      </c>
    </row>
    <row r="37439" spans="1:5" x14ac:dyDescent="0.25">
      <c r="A37439" t="str">
        <f>HYPERLINK("https://www.773grp.com/globalSearch/MC34063AMG/page-1", "MC34063AMG")</f>
        <v>MC34063AMG</v>
      </c>
      <c r="B37439" s="3" t="s">
        <v>95</v>
      </c>
      <c r="C37439" s="6">
        <v>29</v>
      </c>
      <c r="D37439" s="7">
        <v>1.79</v>
      </c>
      <c r="E37439" t="s">
        <v>7</v>
      </c>
    </row>
    <row r="37440" spans="1:5" x14ac:dyDescent="0.25">
      <c r="A37440" t="str">
        <f>HYPERLINK("https://www.773grp.com/globalSearch/MC74AC112N/page-1", "MC74AC112N")</f>
        <v>MC74AC112N</v>
      </c>
      <c r="B37440" s="3" t="s">
        <v>95</v>
      </c>
      <c r="C37440" s="6">
        <v>55</v>
      </c>
      <c r="D37440" s="7">
        <v>1.79</v>
      </c>
      <c r="E37440" t="s">
        <v>35</v>
      </c>
    </row>
    <row r="37441" spans="1:5" x14ac:dyDescent="0.25">
      <c r="A37441" t="str">
        <f>HYPERLINK("https://www.773grp.com/globalSearch/MC74LCX245SDR2/page-1", "MC74LCX245SDR2")</f>
        <v>MC74LCX245SDR2</v>
      </c>
      <c r="B37441" s="3" t="s">
        <v>95</v>
      </c>
      <c r="C37441" s="6">
        <v>1000</v>
      </c>
      <c r="D37441" s="7">
        <v>1.79</v>
      </c>
      <c r="E37441" t="s">
        <v>14</v>
      </c>
    </row>
    <row r="37442" spans="1:5" x14ac:dyDescent="0.25">
      <c r="A37442" t="str">
        <f>HYPERLINK("https://www.773grp.com/globalSearch/MCR704ARL/page-1", "MCR704ARL")</f>
        <v>MCR704ARL</v>
      </c>
      <c r="B37442" s="3" t="s">
        <v>95</v>
      </c>
      <c r="C37442" s="6">
        <v>3450</v>
      </c>
      <c r="D37442" s="7">
        <v>1.79</v>
      </c>
      <c r="E37442" t="s">
        <v>97</v>
      </c>
    </row>
    <row r="37443" spans="1:5" x14ac:dyDescent="0.25">
      <c r="A37443" t="str">
        <f>HYPERLINK("https://www.773grp.com/globalSearch/MJE13007G/page-1", "MJE13007G")</f>
        <v>MJE13007G</v>
      </c>
      <c r="B37443" s="3" t="s">
        <v>95</v>
      </c>
      <c r="C37443" s="6">
        <v>15100</v>
      </c>
      <c r="D37443" s="7">
        <v>1.79</v>
      </c>
      <c r="E37443" t="s">
        <v>59</v>
      </c>
    </row>
    <row r="37444" spans="1:5" x14ac:dyDescent="0.25">
      <c r="A37444" t="str">
        <f>HYPERLINK("https://www.773grp.com/globalSearch/MTD1312T4/page-1", "MTD1312T4")</f>
        <v>MTD1312T4</v>
      </c>
      <c r="B37444" s="3" t="s">
        <v>95</v>
      </c>
      <c r="C37444" s="6">
        <v>4590</v>
      </c>
      <c r="D37444" s="7">
        <v>1.79</v>
      </c>
      <c r="E37444" t="s">
        <v>105</v>
      </c>
    </row>
    <row r="37445" spans="1:5" x14ac:dyDescent="0.25">
      <c r="A37445" t="str">
        <f>HYPERLINK("https://www.773grp.com/globalSearch/MTP4N40E/page-1", "MTP4N40E")</f>
        <v>MTP4N40E</v>
      </c>
      <c r="B37445" s="3" t="s">
        <v>95</v>
      </c>
      <c r="C37445" s="6">
        <v>5499</v>
      </c>
      <c r="D37445" s="7">
        <v>1.79</v>
      </c>
      <c r="E37445" t="s">
        <v>105</v>
      </c>
    </row>
    <row r="37446" spans="1:5" x14ac:dyDescent="0.25">
      <c r="A37446" t="str">
        <f>HYPERLINK("https://www.773grp.com/globalSearch/MUR805G/page-1", "MUR805G")</f>
        <v>MUR805G</v>
      </c>
      <c r="B37446" s="3" t="s">
        <v>95</v>
      </c>
      <c r="C37446" s="6">
        <v>13640</v>
      </c>
      <c r="D37446" s="7">
        <v>1.79</v>
      </c>
      <c r="E37446" t="s">
        <v>103</v>
      </c>
    </row>
    <row r="37447" spans="1:5" x14ac:dyDescent="0.25">
      <c r="A37447" t="str">
        <f>HYPERLINK("https://www.773grp.com/globalSearch/MUR810G/page-1", "MUR810G")</f>
        <v>MUR810G</v>
      </c>
      <c r="B37447" s="3" t="s">
        <v>95</v>
      </c>
      <c r="C37447" s="6">
        <v>3000</v>
      </c>
      <c r="D37447" s="7">
        <v>1.79</v>
      </c>
      <c r="E37447" t="s">
        <v>103</v>
      </c>
    </row>
    <row r="37448" spans="1:5" x14ac:dyDescent="0.25">
      <c r="A37448" t="str">
        <f>HYPERLINK("https://www.773grp.com/globalSearch/MUR815G/page-1", "MUR815G")</f>
        <v>MUR815G</v>
      </c>
      <c r="B37448" s="3" t="s">
        <v>95</v>
      </c>
      <c r="C37448" s="6">
        <v>518</v>
      </c>
      <c r="D37448" s="7">
        <v>1.79</v>
      </c>
      <c r="E37448" t="s">
        <v>103</v>
      </c>
    </row>
    <row r="37449" spans="1:5" x14ac:dyDescent="0.25">
      <c r="A37449" t="str">
        <f>HYPERLINK("https://www.773grp.com/globalSearch/MUR820G/page-1", "MUR820G")</f>
        <v>MUR820G</v>
      </c>
      <c r="B37449" s="3" t="s">
        <v>95</v>
      </c>
      <c r="C37449" s="6">
        <v>12258</v>
      </c>
      <c r="D37449" s="7">
        <v>1.79</v>
      </c>
      <c r="E37449" t="s">
        <v>103</v>
      </c>
    </row>
    <row r="37450" spans="1:5" x14ac:dyDescent="0.25">
      <c r="A37450" t="str">
        <f>HYPERLINK("https://www.773grp.com/globalSearch/MURF1620CT/page-1", "MURF1620CT")</f>
        <v>MURF1620CT</v>
      </c>
      <c r="B37450" s="3" t="s">
        <v>95</v>
      </c>
      <c r="C37450" s="6">
        <v>900</v>
      </c>
      <c r="D37450" s="7">
        <v>1.79</v>
      </c>
      <c r="E37450" t="s">
        <v>103</v>
      </c>
    </row>
    <row r="37451" spans="1:5" x14ac:dyDescent="0.25">
      <c r="A37451" t="str">
        <f>HYPERLINK("https://www.773grp.com/globalSearch/NCP1200P40G/page-1", "NCP1200P40G")</f>
        <v>NCP1200P40G</v>
      </c>
      <c r="B37451" s="3" t="s">
        <v>95</v>
      </c>
      <c r="C37451" s="6">
        <v>200</v>
      </c>
      <c r="D37451" s="7">
        <v>1.79</v>
      </c>
      <c r="E37451" t="s">
        <v>7</v>
      </c>
    </row>
    <row r="37452" spans="1:5" x14ac:dyDescent="0.25">
      <c r="A37452" t="str">
        <f>HYPERLINK("https://www.773grp.com/globalSearch/NCP1200P60G/page-1", "NCP1200P60G")</f>
        <v>NCP1200P60G</v>
      </c>
      <c r="B37452" s="3" t="s">
        <v>95</v>
      </c>
      <c r="C37452" s="6">
        <v>125032</v>
      </c>
      <c r="D37452" s="7">
        <v>1.79</v>
      </c>
      <c r="E37452" t="s">
        <v>7</v>
      </c>
    </row>
    <row r="37453" spans="1:5" x14ac:dyDescent="0.25">
      <c r="A37453" t="str">
        <f>HYPERLINK("https://www.773grp.com/globalSearch/NCP1203P100G/page-1", "NCP1203P100G")</f>
        <v>NCP1203P100G</v>
      </c>
      <c r="B37453" s="3" t="s">
        <v>95</v>
      </c>
      <c r="C37453" s="6">
        <v>177691</v>
      </c>
      <c r="D37453" s="7">
        <v>1.79</v>
      </c>
      <c r="E37453" t="s">
        <v>7</v>
      </c>
    </row>
    <row r="37454" spans="1:5" x14ac:dyDescent="0.25">
      <c r="A37454" t="str">
        <f>HYPERLINK("https://www.773grp.com/globalSearch/NCP1203P40G/page-1", "NCP1203P40G")</f>
        <v>NCP1203P40G</v>
      </c>
      <c r="B37454" s="3" t="s">
        <v>95</v>
      </c>
      <c r="C37454" s="6">
        <v>69582</v>
      </c>
      <c r="D37454" s="7">
        <v>1.79</v>
      </c>
      <c r="E37454" t="s">
        <v>7</v>
      </c>
    </row>
    <row r="37455" spans="1:5" x14ac:dyDescent="0.25">
      <c r="A37455" t="str">
        <f>HYPERLINK("https://www.773grp.com/globalSearch/NCP1586DR2G/page-1", "NCP1586DR2G")</f>
        <v>NCP1586DR2G</v>
      </c>
      <c r="B37455" s="3" t="s">
        <v>95</v>
      </c>
      <c r="C37455" s="6">
        <v>1160</v>
      </c>
      <c r="D37455" s="7">
        <v>1.79</v>
      </c>
      <c r="E37455" t="s">
        <v>7</v>
      </c>
    </row>
    <row r="37456" spans="1:5" x14ac:dyDescent="0.25">
      <c r="A37456" t="str">
        <f>HYPERLINK("https://www.773grp.com/globalSearch/NCP3335ADM150R2G/page-1", "NCP3335ADM150R2G")</f>
        <v>NCP3335ADM150R2G</v>
      </c>
      <c r="B37456" s="3" t="s">
        <v>95</v>
      </c>
      <c r="C37456" s="6">
        <v>7607</v>
      </c>
      <c r="D37456" s="7">
        <v>1.79</v>
      </c>
      <c r="E37456" t="s">
        <v>44</v>
      </c>
    </row>
    <row r="37457" spans="1:5" x14ac:dyDescent="0.25">
      <c r="A37457" t="str">
        <f>HYPERLINK("https://www.773grp.com/globalSearch/NCP3335ADM180R2G/page-1", "NCP3335ADM180R2G")</f>
        <v>NCP3335ADM180R2G</v>
      </c>
      <c r="B37457" s="3" t="s">
        <v>95</v>
      </c>
      <c r="C37457" s="6">
        <v>10273</v>
      </c>
      <c r="D37457" s="7">
        <v>1.79</v>
      </c>
      <c r="E37457" t="s">
        <v>44</v>
      </c>
    </row>
    <row r="37458" spans="1:5" x14ac:dyDescent="0.25">
      <c r="A37458" t="str">
        <f>HYPERLINK("https://www.773grp.com/globalSearch/NCP3335ADM250R2G/page-1", "NCP3335ADM250R2G")</f>
        <v>NCP3335ADM250R2G</v>
      </c>
      <c r="B37458" s="3" t="s">
        <v>95</v>
      </c>
      <c r="C37458" s="6">
        <v>6544</v>
      </c>
      <c r="D37458" s="7">
        <v>1.79</v>
      </c>
      <c r="E37458" t="s">
        <v>44</v>
      </c>
    </row>
    <row r="37459" spans="1:5" x14ac:dyDescent="0.25">
      <c r="A37459" t="str">
        <f>HYPERLINK("https://www.773grp.com/globalSearch/NCP3335ADM280R2G/page-1", "NCP3335ADM280R2G")</f>
        <v>NCP3335ADM280R2G</v>
      </c>
      <c r="B37459" s="3" t="s">
        <v>95</v>
      </c>
      <c r="C37459" s="6">
        <v>11900</v>
      </c>
      <c r="D37459" s="7">
        <v>1.79</v>
      </c>
      <c r="E37459" t="s">
        <v>44</v>
      </c>
    </row>
    <row r="37460" spans="1:5" x14ac:dyDescent="0.25">
      <c r="A37460" t="str">
        <f>HYPERLINK("https://www.773grp.com/globalSearch/NCP3335ADM285R2G/page-1", "NCP3335ADM285R2G")</f>
        <v>NCP3335ADM285R2G</v>
      </c>
      <c r="B37460" s="3" t="s">
        <v>95</v>
      </c>
      <c r="C37460" s="6">
        <v>11895</v>
      </c>
      <c r="D37460" s="7">
        <v>1.79</v>
      </c>
      <c r="E37460" t="s">
        <v>44</v>
      </c>
    </row>
    <row r="37461" spans="1:5" x14ac:dyDescent="0.25">
      <c r="A37461" t="str">
        <f>HYPERLINK("https://www.773grp.com/globalSearch/NCP3335ADM300R2G/page-1", "NCP3335ADM300R2G")</f>
        <v>NCP3335ADM300R2G</v>
      </c>
      <c r="B37461" s="3" t="s">
        <v>95</v>
      </c>
      <c r="C37461" s="6">
        <v>3895</v>
      </c>
      <c r="D37461" s="7">
        <v>1.79</v>
      </c>
      <c r="E37461" t="s">
        <v>44</v>
      </c>
    </row>
    <row r="37462" spans="1:5" x14ac:dyDescent="0.25">
      <c r="A37462" t="str">
        <f>HYPERLINK("https://www.773grp.com/globalSearch/NCP3335ADM330R2G/page-1", "NCP3335ADM330R2G")</f>
        <v>NCP3335ADM330R2G</v>
      </c>
      <c r="B37462" s="3" t="s">
        <v>95</v>
      </c>
      <c r="C37462" s="6">
        <v>104000</v>
      </c>
      <c r="D37462" s="7">
        <v>1.79</v>
      </c>
      <c r="E37462" t="s">
        <v>44</v>
      </c>
    </row>
    <row r="37463" spans="1:5" x14ac:dyDescent="0.25">
      <c r="A37463" t="str">
        <f>HYPERLINK("https://www.773grp.com/globalSearch/NCP3335ADM500R2G/page-1", "NCP3335ADM500R2G")</f>
        <v>NCP3335ADM500R2G</v>
      </c>
      <c r="B37463" s="3" t="s">
        <v>95</v>
      </c>
      <c r="C37463" s="6">
        <v>48736</v>
      </c>
      <c r="D37463" s="7">
        <v>1.79</v>
      </c>
      <c r="E37463" t="s">
        <v>44</v>
      </c>
    </row>
    <row r="37464" spans="1:5" x14ac:dyDescent="0.25">
      <c r="A37464" t="str">
        <f>HYPERLINK("https://www.773grp.com/globalSearch/NCP3337MN180R2G/page-1", "NCP3337MN180R2G")</f>
        <v>NCP3337MN180R2G</v>
      </c>
      <c r="B37464" s="3" t="s">
        <v>95</v>
      </c>
      <c r="C37464" s="6">
        <v>8925</v>
      </c>
      <c r="D37464" s="7">
        <v>1.79</v>
      </c>
    </row>
    <row r="37465" spans="1:5" x14ac:dyDescent="0.25">
      <c r="A37465" t="str">
        <f>HYPERLINK("https://www.773grp.com/globalSearch/NCP3337MN250R2G/page-1", "NCP3337MN250R2G")</f>
        <v>NCP3337MN250R2G</v>
      </c>
      <c r="B37465" s="3" t="s">
        <v>95</v>
      </c>
      <c r="C37465" s="6">
        <v>15000</v>
      </c>
      <c r="D37465" s="7">
        <v>1.79</v>
      </c>
      <c r="E37465" t="s">
        <v>19</v>
      </c>
    </row>
    <row r="37466" spans="1:5" x14ac:dyDescent="0.25">
      <c r="A37466" t="str">
        <f>HYPERLINK("https://www.773grp.com/globalSearch/NCP3337MN330R2G/page-1", "NCP3337MN330R2G")</f>
        <v>NCP3337MN330R2G</v>
      </c>
      <c r="B37466" s="3" t="s">
        <v>95</v>
      </c>
      <c r="C37466" s="6">
        <v>12000</v>
      </c>
      <c r="D37466" s="7">
        <v>1.79</v>
      </c>
    </row>
    <row r="37467" spans="1:5" x14ac:dyDescent="0.25">
      <c r="A37467" t="str">
        <f>HYPERLINK("https://www.773grp.com/globalSearch/NCP3337MN500R2G/page-1", "NCP3337MN500R2G")</f>
        <v>NCP3337MN500R2G</v>
      </c>
      <c r="B37467" s="3" t="s">
        <v>95</v>
      </c>
      <c r="C37467" s="6">
        <v>8990</v>
      </c>
      <c r="D37467" s="7">
        <v>1.79</v>
      </c>
    </row>
    <row r="37468" spans="1:5" x14ac:dyDescent="0.25">
      <c r="A37468" t="str">
        <f>HYPERLINK("https://www.773grp.com/globalSearch/NCP3418BDR2G/page-1", "NCP3418BDR2G")</f>
        <v>NCP3418BDR2G</v>
      </c>
      <c r="B37468" s="3" t="s">
        <v>95</v>
      </c>
      <c r="C37468" s="6">
        <v>160000</v>
      </c>
      <c r="D37468" s="7">
        <v>1.79</v>
      </c>
      <c r="E37468" t="s">
        <v>16</v>
      </c>
    </row>
    <row r="37469" spans="1:5" x14ac:dyDescent="0.25">
      <c r="A37469" t="str">
        <f>HYPERLINK("https://www.773grp.com/globalSearch/NCP4523G1T1/page-1", "NCP4523G1T1")</f>
        <v>NCP4523G1T1</v>
      </c>
      <c r="B37469" s="3" t="s">
        <v>95</v>
      </c>
      <c r="C37469" s="6">
        <v>249110</v>
      </c>
      <c r="D37469" s="7">
        <v>1.79</v>
      </c>
      <c r="E37469" t="s">
        <v>44</v>
      </c>
    </row>
    <row r="37470" spans="1:5" x14ac:dyDescent="0.25">
      <c r="A37470" t="str">
        <f>HYPERLINK("https://www.773grp.com/globalSearch/NCP4523G1T1G/page-1", "NCP4523G1T1G")</f>
        <v>NCP4523G1T1G</v>
      </c>
      <c r="B37470" s="3" t="s">
        <v>95</v>
      </c>
      <c r="C37470" s="6">
        <v>174000</v>
      </c>
      <c r="D37470" s="7">
        <v>1.79</v>
      </c>
      <c r="E37470" t="s">
        <v>44</v>
      </c>
    </row>
    <row r="37471" spans="1:5" x14ac:dyDescent="0.25">
      <c r="A37471" t="str">
        <f>HYPERLINK("https://www.773grp.com/globalSearch/NCP4523G20T1/page-1", "NCP4523G20T1")</f>
        <v>NCP4523G20T1</v>
      </c>
      <c r="B37471" s="3" t="s">
        <v>95</v>
      </c>
      <c r="C37471" s="6">
        <v>3000</v>
      </c>
      <c r="D37471" s="7">
        <v>1.79</v>
      </c>
      <c r="E37471" t="s">
        <v>44</v>
      </c>
    </row>
    <row r="37472" spans="1:5" x14ac:dyDescent="0.25">
      <c r="A37472" t="str">
        <f>HYPERLINK("https://www.773grp.com/globalSearch/NCP4523G20T1G/page-1", "NCP4523G20T1G")</f>
        <v>NCP4523G20T1G</v>
      </c>
      <c r="B37472" s="3" t="s">
        <v>95</v>
      </c>
      <c r="C37472" s="6">
        <v>9000</v>
      </c>
      <c r="D37472" s="7">
        <v>1.79</v>
      </c>
      <c r="E37472" t="s">
        <v>44</v>
      </c>
    </row>
    <row r="37473" spans="1:5" x14ac:dyDescent="0.25">
      <c r="A37473" t="str">
        <f>HYPERLINK("https://www.773grp.com/globalSearch/NCP4523G3T1G/page-1", "NCP4523G3T1G")</f>
        <v>NCP4523G3T1G</v>
      </c>
      <c r="B37473" s="3" t="s">
        <v>95</v>
      </c>
      <c r="C37473" s="6">
        <v>9000</v>
      </c>
      <c r="D37473" s="7">
        <v>1.79</v>
      </c>
      <c r="E37473" t="s">
        <v>44</v>
      </c>
    </row>
    <row r="37474" spans="1:5" x14ac:dyDescent="0.25">
      <c r="A37474" t="str">
        <f>HYPERLINK("https://www.773grp.com/globalSearch/NCP4543IMN5RG-A/page-1", "NCP4543IMN5RG-A")</f>
        <v>NCP4543IMN5RG-A</v>
      </c>
      <c r="B37474" s="3" t="s">
        <v>95</v>
      </c>
      <c r="C37474" s="6">
        <v>21000</v>
      </c>
      <c r="D37474" s="7">
        <v>1.79</v>
      </c>
    </row>
    <row r="37475" spans="1:5" x14ac:dyDescent="0.25">
      <c r="A37475" t="str">
        <f>HYPERLINK("https://www.773grp.com/globalSearch/NCP4568D25R2/page-1", "NCP4568D25R2")</f>
        <v>NCP4568D25R2</v>
      </c>
      <c r="B37475" s="3" t="s">
        <v>95</v>
      </c>
      <c r="C37475" s="6">
        <v>30000</v>
      </c>
      <c r="D37475" s="7">
        <v>1.79</v>
      </c>
    </row>
    <row r="37476" spans="1:5" x14ac:dyDescent="0.25">
      <c r="A37476" t="str">
        <f>HYPERLINK("https://www.773grp.com/globalSearch/NCP4569DM28R2/page-1", "NCP4569DM28R2")</f>
        <v>NCP4569DM28R2</v>
      </c>
      <c r="B37476" s="3" t="s">
        <v>95</v>
      </c>
      <c r="C37476" s="6">
        <v>30000</v>
      </c>
      <c r="D37476" s="7">
        <v>1.79</v>
      </c>
      <c r="E37476" t="s">
        <v>19</v>
      </c>
    </row>
    <row r="37477" spans="1:5" x14ac:dyDescent="0.25">
      <c r="A37477" t="str">
        <f>HYPERLINK("https://www.773grp.com/globalSearch/NCP4569DM30R2/page-1", "NCP4569DM30R2")</f>
        <v>NCP4569DM30R2</v>
      </c>
      <c r="B37477" s="3" t="s">
        <v>95</v>
      </c>
      <c r="C37477" s="6">
        <v>30000</v>
      </c>
      <c r="D37477" s="7">
        <v>1.79</v>
      </c>
      <c r="E37477" t="s">
        <v>19</v>
      </c>
    </row>
    <row r="37478" spans="1:5" x14ac:dyDescent="0.25">
      <c r="A37478" t="str">
        <f>HYPERLINK("https://www.773grp.com/globalSearch/NCP4569DM33R2/page-1", "NCP4569DM33R2")</f>
        <v>NCP4569DM33R2</v>
      </c>
      <c r="B37478" s="3" t="s">
        <v>95</v>
      </c>
      <c r="C37478" s="6">
        <v>30000</v>
      </c>
      <c r="D37478" s="7">
        <v>1.79</v>
      </c>
      <c r="E37478" t="s">
        <v>19</v>
      </c>
    </row>
    <row r="37479" spans="1:5" x14ac:dyDescent="0.25">
      <c r="A37479" t="str">
        <f>HYPERLINK("https://www.773grp.com/globalSearch/NCV2951ACD3.3R2G/page-1", "NCV2951ACD3.3R2G")</f>
        <v>NCV2951ACD3.3R2G</v>
      </c>
      <c r="B37479" s="3" t="s">
        <v>95</v>
      </c>
      <c r="C37479" s="6">
        <v>21150</v>
      </c>
      <c r="D37479" s="7">
        <v>1.79</v>
      </c>
      <c r="E37479" t="s">
        <v>19</v>
      </c>
    </row>
    <row r="37480" spans="1:5" x14ac:dyDescent="0.25">
      <c r="A37480" t="str">
        <f>HYPERLINK("https://www.773grp.com/globalSearch/NCV2951ACDR2G/page-1", "NCV2951ACDR2G")</f>
        <v>NCV2951ACDR2G</v>
      </c>
      <c r="B37480" s="3" t="s">
        <v>95</v>
      </c>
      <c r="C37480" s="6">
        <v>70891</v>
      </c>
      <c r="D37480" s="7">
        <v>1.79</v>
      </c>
      <c r="E37480" t="s">
        <v>27</v>
      </c>
    </row>
    <row r="37481" spans="1:5" x14ac:dyDescent="0.25">
      <c r="A37481" t="str">
        <f>HYPERLINK("https://www.773grp.com/globalSearch/NCV8570BMN180R2G/page-1", "NCV8570BMN180R2G")</f>
        <v>NCV8570BMN180R2G</v>
      </c>
      <c r="B37481" s="3" t="s">
        <v>95</v>
      </c>
      <c r="C37481" s="6">
        <v>6000</v>
      </c>
      <c r="D37481" s="7">
        <v>1.79</v>
      </c>
    </row>
    <row r="37482" spans="1:5" x14ac:dyDescent="0.25">
      <c r="A37482" t="str">
        <f>HYPERLINK("https://www.773grp.com/globalSearch/NCV8570BMN280R2G/page-1", "NCV8570BMN280R2G")</f>
        <v>NCV8570BMN280R2G</v>
      </c>
      <c r="B37482" s="3" t="s">
        <v>95</v>
      </c>
      <c r="C37482" s="6">
        <v>107985</v>
      </c>
      <c r="D37482" s="7">
        <v>1.79</v>
      </c>
    </row>
    <row r="37483" spans="1:5" x14ac:dyDescent="0.25">
      <c r="A37483" t="str">
        <f>HYPERLINK("https://www.773grp.com/globalSearch/NCV8570BMN300R2G/page-1", "NCV8570BMN300R2G")</f>
        <v>NCV8570BMN300R2G</v>
      </c>
      <c r="B37483" s="3" t="s">
        <v>95</v>
      </c>
      <c r="C37483" s="6">
        <v>9000</v>
      </c>
      <c r="D37483" s="7">
        <v>1.79</v>
      </c>
    </row>
    <row r="37484" spans="1:5" x14ac:dyDescent="0.25">
      <c r="A37484" t="str">
        <f>HYPERLINK("https://www.773grp.com/globalSearch/NCV8570BMN330R2G/page-1", "NCV8570BMN330R2G")</f>
        <v>NCV8570BMN330R2G</v>
      </c>
      <c r="B37484" s="3" t="s">
        <v>95</v>
      </c>
      <c r="C37484" s="6">
        <v>6000</v>
      </c>
      <c r="D37484" s="7">
        <v>1.79</v>
      </c>
    </row>
    <row r="37485" spans="1:5" x14ac:dyDescent="0.25">
      <c r="A37485" t="str">
        <f>HYPERLINK("https://www.773grp.com/globalSearch/NCV8570BSN18T1G/page-1", "NCV8570BSN18T1G")</f>
        <v>NCV8570BSN18T1G</v>
      </c>
      <c r="B37485" s="3" t="s">
        <v>95</v>
      </c>
      <c r="C37485" s="6">
        <v>6000</v>
      </c>
      <c r="D37485" s="7">
        <v>1.79</v>
      </c>
    </row>
    <row r="37486" spans="1:5" x14ac:dyDescent="0.25">
      <c r="A37486" t="str">
        <f>HYPERLINK("https://www.773grp.com/globalSearch/NCV8570BSN28T1G/page-1", "NCV8570BSN28T1G")</f>
        <v>NCV8570BSN28T1G</v>
      </c>
      <c r="B37486" s="3" t="s">
        <v>95</v>
      </c>
      <c r="C37486" s="6">
        <v>84000</v>
      </c>
      <c r="D37486" s="7">
        <v>1.79</v>
      </c>
    </row>
    <row r="37487" spans="1:5" x14ac:dyDescent="0.25">
      <c r="A37487" t="str">
        <f>HYPERLINK("https://www.773grp.com/globalSearch/NCV8570BSN30T1G/page-1", "NCV8570BSN30T1G")</f>
        <v>NCV8570BSN30T1G</v>
      </c>
      <c r="B37487" s="3" t="s">
        <v>95</v>
      </c>
      <c r="C37487" s="6">
        <v>84000</v>
      </c>
      <c r="D37487" s="7">
        <v>1.79</v>
      </c>
    </row>
    <row r="37488" spans="1:5" x14ac:dyDescent="0.25">
      <c r="A37488" t="str">
        <f>HYPERLINK("https://www.773grp.com/globalSearch/NCV8570BSN33T1G/page-1", "NCV8570BSN33T1G")</f>
        <v>NCV8570BSN33T1G</v>
      </c>
      <c r="B37488" s="3" t="s">
        <v>95</v>
      </c>
      <c r="C37488" s="6">
        <v>48000</v>
      </c>
      <c r="D37488" s="7">
        <v>1.79</v>
      </c>
    </row>
    <row r="37489" spans="1:5" x14ac:dyDescent="0.25">
      <c r="A37489" t="str">
        <f>HYPERLINK("https://www.773grp.com/globalSearch/NCV8570MN250R2G/page-1", "NCV8570MN250R2G")</f>
        <v>NCV8570MN250R2G</v>
      </c>
      <c r="B37489" s="3" t="s">
        <v>95</v>
      </c>
      <c r="C37489" s="6">
        <v>12000</v>
      </c>
      <c r="D37489" s="7">
        <v>1.79</v>
      </c>
      <c r="E37489" t="s">
        <v>19</v>
      </c>
    </row>
    <row r="37490" spans="1:5" x14ac:dyDescent="0.25">
      <c r="A37490" t="str">
        <f>HYPERLINK("https://www.773grp.com/globalSearch/NCV8570MN275R2G/page-1", "NCV8570MN275R2G")</f>
        <v>NCV8570MN275R2G</v>
      </c>
      <c r="B37490" s="3" t="s">
        <v>95</v>
      </c>
      <c r="C37490" s="6">
        <v>12000</v>
      </c>
      <c r="D37490" s="7">
        <v>1.79</v>
      </c>
      <c r="E37490" t="s">
        <v>19</v>
      </c>
    </row>
    <row r="37491" spans="1:5" x14ac:dyDescent="0.25">
      <c r="A37491" t="str">
        <f>HYPERLINK("https://www.773grp.com/globalSearch/NCV8570MN280R2G/page-1", "NCV8570MN280R2G")</f>
        <v>NCV8570MN280R2G</v>
      </c>
      <c r="B37491" s="3" t="s">
        <v>95</v>
      </c>
      <c r="C37491" s="6">
        <v>3000</v>
      </c>
      <c r="D37491" s="7">
        <v>1.79</v>
      </c>
      <c r="E37491" t="s">
        <v>19</v>
      </c>
    </row>
    <row r="37492" spans="1:5" x14ac:dyDescent="0.25">
      <c r="A37492" t="str">
        <f>HYPERLINK("https://www.773grp.com/globalSearch/NCV8570MN300R2G/page-1", "NCV8570MN300R2G")</f>
        <v>NCV8570MN300R2G</v>
      </c>
      <c r="B37492" s="3" t="s">
        <v>95</v>
      </c>
      <c r="C37492" s="6">
        <v>3000</v>
      </c>
      <c r="D37492" s="7">
        <v>1.79</v>
      </c>
      <c r="E37492" t="s">
        <v>19</v>
      </c>
    </row>
    <row r="37493" spans="1:5" x14ac:dyDescent="0.25">
      <c r="A37493" t="str">
        <f>HYPERLINK("https://www.773grp.com/globalSearch/NE5517DR2/page-1", "NE5517DR2")</f>
        <v>NE5517DR2</v>
      </c>
      <c r="B37493" s="3" t="s">
        <v>95</v>
      </c>
      <c r="C37493" s="6">
        <v>2500</v>
      </c>
      <c r="D37493" s="7">
        <v>1.79</v>
      </c>
      <c r="E37493" t="s">
        <v>13</v>
      </c>
    </row>
    <row r="37494" spans="1:5" x14ac:dyDescent="0.25">
      <c r="A37494" t="str">
        <f>HYPERLINK("https://www.773grp.com/globalSearch/NE5517N/page-1", "NE5517N")</f>
        <v>NE5517N</v>
      </c>
      <c r="B37494" s="3" t="s">
        <v>95</v>
      </c>
      <c r="C37494" s="6">
        <v>12378</v>
      </c>
      <c r="D37494" s="7">
        <v>1.79</v>
      </c>
      <c r="E37494" t="s">
        <v>13</v>
      </c>
    </row>
    <row r="37495" spans="1:5" x14ac:dyDescent="0.25">
      <c r="A37495" t="str">
        <f>HYPERLINK("https://www.773grp.com/globalSearch/NLAS5213AMUT/page-1", "NLAS5213AMUT")</f>
        <v>NLAS5213AMUT</v>
      </c>
      <c r="B37495" s="3" t="s">
        <v>95</v>
      </c>
      <c r="C37495" s="6">
        <v>18000</v>
      </c>
      <c r="D37495" s="7">
        <v>1.79</v>
      </c>
    </row>
    <row r="37496" spans="1:5" x14ac:dyDescent="0.25">
      <c r="A37496" t="str">
        <f>HYPERLINK("https://www.773grp.com/globalSearch/NLSX4014DTR2G/page-1", "NLSX4014DTR2G")</f>
        <v>NLSX4014DTR2G</v>
      </c>
      <c r="B37496" s="3" t="s">
        <v>95</v>
      </c>
      <c r="C37496" s="6">
        <v>69540</v>
      </c>
      <c r="D37496" s="7">
        <v>1.79</v>
      </c>
      <c r="E37496" t="s">
        <v>14</v>
      </c>
    </row>
    <row r="37497" spans="1:5" x14ac:dyDescent="0.25">
      <c r="A37497" t="str">
        <f>HYPERLINK("https://www.773grp.com/globalSearch/NTP85N03G/page-1", "NTP85N03G")</f>
        <v>NTP85N03G</v>
      </c>
      <c r="B37497" s="3" t="s">
        <v>95</v>
      </c>
      <c r="C37497" s="6">
        <v>7415</v>
      </c>
      <c r="D37497" s="7">
        <v>1.79</v>
      </c>
      <c r="E37497" t="s">
        <v>105</v>
      </c>
    </row>
    <row r="37498" spans="1:5" x14ac:dyDescent="0.25">
      <c r="A37498" t="str">
        <f>HYPERLINK("https://www.773grp.com/globalSearch/NTSJ30U100CTG/page-1", "NTSJ30U100CTG")</f>
        <v>NTSJ30U100CTG</v>
      </c>
      <c r="B37498" s="3" t="s">
        <v>95</v>
      </c>
      <c r="C37498" s="6">
        <v>500</v>
      </c>
      <c r="D37498" s="7">
        <v>1.79</v>
      </c>
    </row>
    <row r="37499" spans="1:5" x14ac:dyDescent="0.25">
      <c r="A37499" t="str">
        <f>HYPERLINK("https://www.773grp.com/globalSearch/RD0506T-TL-H/page-1", "RD0506T-TL-H")</f>
        <v>RD0506T-TL-H</v>
      </c>
      <c r="B37499" s="3" t="s">
        <v>95</v>
      </c>
      <c r="C37499" s="6">
        <v>7700</v>
      </c>
      <c r="D37499" s="7">
        <v>1.79</v>
      </c>
    </row>
    <row r="37500" spans="1:5" x14ac:dyDescent="0.25">
      <c r="A37500" t="str">
        <f>HYPERLINK("https://www.773grp.com/globalSearch/SBR640CTT4G/page-1", "SBR640CTT4G")</f>
        <v>SBR640CTT4G</v>
      </c>
      <c r="B37500" s="3" t="s">
        <v>95</v>
      </c>
      <c r="C37500" s="6">
        <v>17500</v>
      </c>
      <c r="D37500" s="7">
        <v>1.79</v>
      </c>
    </row>
    <row r="37501" spans="1:5" x14ac:dyDescent="0.25">
      <c r="A37501" t="str">
        <f>HYPERLINK("https://www.773grp.com/globalSearch/SC33182D/page-1", "SC33182D")</f>
        <v>SC33182D</v>
      </c>
      <c r="B37501" s="3" t="s">
        <v>95</v>
      </c>
      <c r="C37501" s="6">
        <v>24</v>
      </c>
      <c r="D37501" s="7">
        <v>1.79</v>
      </c>
    </row>
    <row r="37502" spans="1:5" x14ac:dyDescent="0.25">
      <c r="A37502" t="str">
        <f>HYPERLINK("https://www.773grp.com/globalSearch/SCR2159/page-1", "SCR2159")</f>
        <v>SCR2159</v>
      </c>
      <c r="B37502" s="3" t="s">
        <v>95</v>
      </c>
      <c r="C37502" s="6">
        <v>37500</v>
      </c>
      <c r="D37502" s="7">
        <v>1.79</v>
      </c>
    </row>
    <row r="37503" spans="1:5" x14ac:dyDescent="0.25">
      <c r="A37503" t="str">
        <f>HYPERLINK("https://www.773grp.com/globalSearch/SN74LS688DW/page-1", "SN74LS688DW")</f>
        <v>SN74LS688DW</v>
      </c>
      <c r="B37503" s="3" t="s">
        <v>95</v>
      </c>
      <c r="C37503" s="6">
        <v>2578</v>
      </c>
      <c r="D37503" s="7">
        <v>1.79</v>
      </c>
      <c r="E37503" t="s">
        <v>43</v>
      </c>
    </row>
    <row r="37504" spans="1:5" x14ac:dyDescent="0.25">
      <c r="A37504" t="str">
        <f>HYPERLINK("https://www.773grp.com/globalSearch/SN74LS688H/page-1", "SN74LS688H")</f>
        <v>SN74LS688H</v>
      </c>
      <c r="B37504" s="3" t="s">
        <v>95</v>
      </c>
      <c r="C37504" s="6">
        <v>360</v>
      </c>
      <c r="D37504" s="7">
        <v>1.79</v>
      </c>
    </row>
    <row r="37505" spans="1:5" x14ac:dyDescent="0.25">
      <c r="A37505" t="str">
        <f>HYPERLINK("https://www.773grp.com/globalSearch/SN74LS688N/page-1", "SN74LS688N")</f>
        <v>SN74LS688N</v>
      </c>
      <c r="B37505" s="3" t="s">
        <v>95</v>
      </c>
      <c r="C37505" s="6">
        <v>232104</v>
      </c>
      <c r="D37505" s="7">
        <v>1.79</v>
      </c>
      <c r="E37505" t="s">
        <v>43</v>
      </c>
    </row>
    <row r="37506" spans="1:5" x14ac:dyDescent="0.25">
      <c r="A37506" t="str">
        <f>HYPERLINK("https://www.773grp.com/globalSearch/TIP106G/page-1", "TIP106G")</f>
        <v>TIP106G</v>
      </c>
      <c r="B37506" s="3" t="s">
        <v>95</v>
      </c>
      <c r="C37506" s="6">
        <v>1493</v>
      </c>
      <c r="D37506" s="7">
        <v>1.79</v>
      </c>
      <c r="E37506" t="s">
        <v>59</v>
      </c>
    </row>
    <row r="37507" spans="1:5" x14ac:dyDescent="0.25">
      <c r="A37507" t="str">
        <f>HYPERLINK("https://www.773grp.com/globalSearch/TIP41AG/page-1", "TIP41AG")</f>
        <v>TIP41AG</v>
      </c>
      <c r="B37507" s="3" t="s">
        <v>95</v>
      </c>
      <c r="C37507" s="6">
        <v>5284</v>
      </c>
      <c r="D37507" s="7">
        <v>1.79</v>
      </c>
      <c r="E37507" t="s">
        <v>59</v>
      </c>
    </row>
    <row r="37508" spans="1:5" x14ac:dyDescent="0.25">
      <c r="A37508" t="str">
        <f>HYPERLINK("https://www.773grp.com/globalSearch/TIP41BG/page-1", "TIP41BG")</f>
        <v>TIP41BG</v>
      </c>
      <c r="B37508" s="3" t="s">
        <v>95</v>
      </c>
      <c r="C37508" s="6">
        <v>7732</v>
      </c>
      <c r="D37508" s="7">
        <v>1.79</v>
      </c>
      <c r="E37508" t="s">
        <v>59</v>
      </c>
    </row>
    <row r="37509" spans="1:5" x14ac:dyDescent="0.25">
      <c r="A37509" t="str">
        <f>HYPERLINK("https://www.773grp.com/globalSearch/TIP41C/page-1", "TIP41C")</f>
        <v>TIP41C</v>
      </c>
      <c r="B37509" s="3" t="s">
        <v>95</v>
      </c>
      <c r="C37509" s="6">
        <v>9828</v>
      </c>
      <c r="D37509" s="7">
        <v>1.79</v>
      </c>
      <c r="E37509" t="s">
        <v>59</v>
      </c>
    </row>
    <row r="37510" spans="1:5" x14ac:dyDescent="0.25">
      <c r="A37510" t="str">
        <f>HYPERLINK("https://www.773grp.com/globalSearch/TIP41CG/page-1", "TIP41CG")</f>
        <v>TIP41CG</v>
      </c>
      <c r="B37510" s="3" t="s">
        <v>95</v>
      </c>
      <c r="C37510" s="6">
        <v>9699</v>
      </c>
      <c r="D37510" s="7">
        <v>1.79</v>
      </c>
      <c r="E37510" t="s">
        <v>59</v>
      </c>
    </row>
    <row r="37511" spans="1:5" x14ac:dyDescent="0.25">
      <c r="A37511" t="str">
        <f>HYPERLINK("https://www.773grp.com/globalSearch/TIP42AG/page-1", "TIP42AG")</f>
        <v>TIP42AG</v>
      </c>
      <c r="B37511" s="3" t="s">
        <v>95</v>
      </c>
      <c r="C37511" s="6">
        <v>150</v>
      </c>
      <c r="D37511" s="7">
        <v>1.79</v>
      </c>
    </row>
    <row r="37512" spans="1:5" x14ac:dyDescent="0.25">
      <c r="A37512" t="str">
        <f>HYPERLINK("https://www.773grp.com/globalSearch/TIP42BG/page-1", "TIP42BG")</f>
        <v>TIP42BG</v>
      </c>
      <c r="B37512" s="3" t="s">
        <v>95</v>
      </c>
      <c r="C37512" s="6">
        <v>3071</v>
      </c>
      <c r="D37512" s="7">
        <v>1.79</v>
      </c>
      <c r="E37512" t="s">
        <v>59</v>
      </c>
    </row>
    <row r="37513" spans="1:5" x14ac:dyDescent="0.25">
      <c r="A37513" t="str">
        <f>HYPERLINK("https://www.773grp.com/globalSearch/TIP42CG/page-1", "TIP42CG")</f>
        <v>TIP42CG</v>
      </c>
      <c r="B37513" s="3" t="s">
        <v>95</v>
      </c>
      <c r="C37513" s="6">
        <v>91440</v>
      </c>
      <c r="D37513" s="7">
        <v>1.79</v>
      </c>
      <c r="E37513" t="s">
        <v>59</v>
      </c>
    </row>
    <row r="37514" spans="1:5" x14ac:dyDescent="0.25">
      <c r="A37514" t="str">
        <f>HYPERLINK("https://www.773grp.com/globalSearch/TIP42G/page-1", "TIP42G")</f>
        <v>TIP42G</v>
      </c>
      <c r="B37514" s="3" t="s">
        <v>95</v>
      </c>
      <c r="C37514" s="6">
        <v>18780</v>
      </c>
      <c r="D37514" s="7">
        <v>1.79</v>
      </c>
      <c r="E37514" t="s">
        <v>59</v>
      </c>
    </row>
    <row r="37515" spans="1:5" x14ac:dyDescent="0.25">
      <c r="A37515" t="str">
        <f>HYPERLINK("https://www.773grp.com/globalSearch/TIP47G/page-1", "TIP47G")</f>
        <v>TIP47G</v>
      </c>
      <c r="B37515" s="3" t="s">
        <v>95</v>
      </c>
      <c r="C37515" s="6">
        <v>200</v>
      </c>
      <c r="D37515" s="7">
        <v>1.79</v>
      </c>
      <c r="E37515" t="s">
        <v>59</v>
      </c>
    </row>
    <row r="37516" spans="1:5" x14ac:dyDescent="0.25">
      <c r="A37516" t="str">
        <f>HYPERLINK("https://www.773grp.com/globalSearch/TIP48G/page-1", "TIP48G")</f>
        <v>TIP48G</v>
      </c>
      <c r="B37516" s="3" t="s">
        <v>95</v>
      </c>
      <c r="C37516" s="6">
        <v>5922</v>
      </c>
      <c r="D37516" s="7">
        <v>1.79</v>
      </c>
      <c r="E37516" t="s">
        <v>59</v>
      </c>
    </row>
    <row r="37517" spans="1:5" x14ac:dyDescent="0.25">
      <c r="A37517" t="str">
        <f>HYPERLINK("https://www.773grp.com/globalSearch/TIP50G/page-1", "TIP50G")</f>
        <v>TIP50G</v>
      </c>
      <c r="B37517" s="3" t="s">
        <v>95</v>
      </c>
      <c r="C37517" s="6">
        <v>3201</v>
      </c>
      <c r="D37517" s="7">
        <v>1.79</v>
      </c>
      <c r="E37517" t="s">
        <v>59</v>
      </c>
    </row>
    <row r="37518" spans="1:5" x14ac:dyDescent="0.25">
      <c r="A37518" t="str">
        <f>HYPERLINK("https://www.773grp.com/globalSearch/1N6299ARL4/page-1", "1N6299ARL4")</f>
        <v>1N6299ARL4</v>
      </c>
      <c r="B37518" s="3" t="s">
        <v>95</v>
      </c>
      <c r="C37518" s="6">
        <v>1500</v>
      </c>
      <c r="D37518" s="7">
        <v>1.84</v>
      </c>
      <c r="E37518" t="s">
        <v>96</v>
      </c>
    </row>
    <row r="37519" spans="1:5" x14ac:dyDescent="0.25">
      <c r="A37519" t="str">
        <f>HYPERLINK("https://www.773grp.com/globalSearch/74ALVC16240DT/page-1", "74ALVC16240DT")</f>
        <v>74ALVC16240DT</v>
      </c>
      <c r="B37519" s="3" t="s">
        <v>95</v>
      </c>
      <c r="C37519" s="6">
        <v>8411</v>
      </c>
      <c r="D37519" s="7">
        <v>1.84</v>
      </c>
    </row>
    <row r="37520" spans="1:5" x14ac:dyDescent="0.25">
      <c r="A37520" t="str">
        <f>HYPERLINK("https://www.773grp.com/globalSearch/74ALVC16240DTR/page-1", "74ALVC16240DTR")</f>
        <v>74ALVC16240DTR</v>
      </c>
      <c r="B37520" s="3" t="s">
        <v>95</v>
      </c>
      <c r="C37520" s="6">
        <v>34680</v>
      </c>
      <c r="D37520" s="7">
        <v>1.84</v>
      </c>
      <c r="E37520" t="s">
        <v>14</v>
      </c>
    </row>
    <row r="37521" spans="1:5" x14ac:dyDescent="0.25">
      <c r="A37521" t="str">
        <f>HYPERLINK("https://www.773grp.com/globalSearch/74ALVC16244DT/page-1", "74ALVC16244DT")</f>
        <v>74ALVC16244DT</v>
      </c>
      <c r="B37521" s="3" t="s">
        <v>95</v>
      </c>
      <c r="C37521" s="6">
        <v>8151</v>
      </c>
      <c r="D37521" s="7">
        <v>1.84</v>
      </c>
    </row>
    <row r="37522" spans="1:5" x14ac:dyDescent="0.25">
      <c r="A37522" t="str">
        <f>HYPERLINK("https://www.773grp.com/globalSearch/74ALVC16244DTR/page-1", "74ALVC16244DTR")</f>
        <v>74ALVC16244DTR</v>
      </c>
      <c r="B37522" s="3" t="s">
        <v>95</v>
      </c>
      <c r="C37522" s="6">
        <v>57500</v>
      </c>
      <c r="D37522" s="7">
        <v>1.84</v>
      </c>
      <c r="E37522" t="s">
        <v>14</v>
      </c>
    </row>
    <row r="37523" spans="1:5" x14ac:dyDescent="0.25">
      <c r="A37523" t="str">
        <f>HYPERLINK("https://www.773grp.com/globalSearch/74ALVC16245DT/page-1", "74ALVC16245DT")</f>
        <v>74ALVC16245DT</v>
      </c>
      <c r="B37523" s="3" t="s">
        <v>95</v>
      </c>
      <c r="C37523" s="6">
        <v>6983</v>
      </c>
      <c r="D37523" s="7">
        <v>1.84</v>
      </c>
    </row>
    <row r="37524" spans="1:5" x14ac:dyDescent="0.25">
      <c r="A37524" t="str">
        <f>HYPERLINK("https://www.773grp.com/globalSearch/74ALVC16245DTR/page-1", "74ALVC16245DTR")</f>
        <v>74ALVC16245DTR</v>
      </c>
      <c r="B37524" s="3" t="s">
        <v>95</v>
      </c>
      <c r="C37524" s="6">
        <v>1100</v>
      </c>
      <c r="D37524" s="7">
        <v>1.84</v>
      </c>
      <c r="E37524" t="s">
        <v>14</v>
      </c>
    </row>
    <row r="37525" spans="1:5" x14ac:dyDescent="0.25">
      <c r="A37525" t="str">
        <f>HYPERLINK("https://www.773grp.com/globalSearch/74ALVC16373DT/page-1", "74ALVC16373DT")</f>
        <v>74ALVC16373DT</v>
      </c>
      <c r="B37525" s="3" t="s">
        <v>95</v>
      </c>
      <c r="C37525" s="6">
        <v>2496</v>
      </c>
      <c r="D37525" s="7">
        <v>1.84</v>
      </c>
    </row>
    <row r="37526" spans="1:5" x14ac:dyDescent="0.25">
      <c r="A37526" t="str">
        <f>HYPERLINK("https://www.773grp.com/globalSearch/74ALVC16373DTR/page-1", "74ALVC16373DTR")</f>
        <v>74ALVC16373DTR</v>
      </c>
      <c r="B37526" s="3" t="s">
        <v>95</v>
      </c>
      <c r="C37526" s="6">
        <v>2500</v>
      </c>
      <c r="D37526" s="7">
        <v>1.84</v>
      </c>
      <c r="E37526" t="s">
        <v>14</v>
      </c>
    </row>
    <row r="37527" spans="1:5" x14ac:dyDescent="0.25">
      <c r="A37527" t="str">
        <f>HYPERLINK("https://www.773grp.com/globalSearch/74ALVC16374DT/page-1", "74ALVC16374DT")</f>
        <v>74ALVC16374DT</v>
      </c>
      <c r="B37527" s="3" t="s">
        <v>95</v>
      </c>
      <c r="C37527" s="6">
        <v>4719</v>
      </c>
      <c r="D37527" s="7">
        <v>1.84</v>
      </c>
    </row>
    <row r="37528" spans="1:5" x14ac:dyDescent="0.25">
      <c r="A37528" t="str">
        <f>HYPERLINK("https://www.773grp.com/globalSearch/74ALVC16374DTR/page-1", "74ALVC16374DTR")</f>
        <v>74ALVC16374DTR</v>
      </c>
      <c r="B37528" s="3" t="s">
        <v>95</v>
      </c>
      <c r="C37528" s="6">
        <v>10000</v>
      </c>
      <c r="D37528" s="7">
        <v>1.84</v>
      </c>
      <c r="E37528" t="s">
        <v>14</v>
      </c>
    </row>
    <row r="37529" spans="1:5" x14ac:dyDescent="0.25">
      <c r="A37529" t="str">
        <f>HYPERLINK("https://www.773grp.com/globalSearch/74ALVC1637DTR/page-1", "74ALVC1637DTR")</f>
        <v>74ALVC1637DTR</v>
      </c>
      <c r="B37529" s="3" t="s">
        <v>95</v>
      </c>
      <c r="C37529" s="6">
        <v>10000</v>
      </c>
      <c r="D37529" s="7">
        <v>1.84</v>
      </c>
    </row>
    <row r="37530" spans="1:5" x14ac:dyDescent="0.25">
      <c r="A37530" t="str">
        <f>HYPERLINK("https://www.773grp.com/globalSearch/74ALVCH16240DT/page-1", "74ALVCH16240DT")</f>
        <v>74ALVCH16240DT</v>
      </c>
      <c r="B37530" s="3" t="s">
        <v>95</v>
      </c>
      <c r="C37530" s="6">
        <v>51012</v>
      </c>
      <c r="D37530" s="7">
        <v>1.84</v>
      </c>
      <c r="E37530" t="s">
        <v>14</v>
      </c>
    </row>
    <row r="37531" spans="1:5" x14ac:dyDescent="0.25">
      <c r="A37531" t="str">
        <f>HYPERLINK("https://www.773grp.com/globalSearch/74ALVCH16240DTR/page-1", "74ALVCH16240DTR")</f>
        <v>74ALVCH16240DTR</v>
      </c>
      <c r="B37531" s="3" t="s">
        <v>95</v>
      </c>
      <c r="C37531" s="6">
        <v>17500</v>
      </c>
      <c r="D37531" s="7">
        <v>1.84</v>
      </c>
      <c r="E37531" t="s">
        <v>14</v>
      </c>
    </row>
    <row r="37532" spans="1:5" x14ac:dyDescent="0.25">
      <c r="A37532" t="str">
        <f>HYPERLINK("https://www.773grp.com/globalSearch/74ALVCH16244DT/page-1", "74ALVCH16244DT")</f>
        <v>74ALVCH16244DT</v>
      </c>
      <c r="B37532" s="3" t="s">
        <v>95</v>
      </c>
      <c r="C37532" s="6">
        <v>25584</v>
      </c>
      <c r="D37532" s="7">
        <v>1.84</v>
      </c>
      <c r="E37532" t="s">
        <v>14</v>
      </c>
    </row>
    <row r="37533" spans="1:5" x14ac:dyDescent="0.25">
      <c r="A37533" t="str">
        <f>HYPERLINK("https://www.773grp.com/globalSearch/74ALVCH16244DTR/page-1", "74ALVCH16244DTR")</f>
        <v>74ALVCH16244DTR</v>
      </c>
      <c r="B37533" s="3" t="s">
        <v>95</v>
      </c>
      <c r="C37533" s="6">
        <v>17500</v>
      </c>
      <c r="D37533" s="7">
        <v>1.84</v>
      </c>
      <c r="E37533" t="s">
        <v>14</v>
      </c>
    </row>
    <row r="37534" spans="1:5" x14ac:dyDescent="0.25">
      <c r="A37534" t="str">
        <f>HYPERLINK("https://www.773grp.com/globalSearch/74ALVCH16245DT/page-1", "74ALVCH16245DT")</f>
        <v>74ALVCH16245DT</v>
      </c>
      <c r="B37534" s="3" t="s">
        <v>95</v>
      </c>
      <c r="C37534" s="6">
        <v>25234</v>
      </c>
      <c r="D37534" s="7">
        <v>1.84</v>
      </c>
      <c r="E37534" t="s">
        <v>14</v>
      </c>
    </row>
    <row r="37535" spans="1:5" x14ac:dyDescent="0.25">
      <c r="A37535" t="str">
        <f>HYPERLINK("https://www.773grp.com/globalSearch/74ALVCH16245DTR/page-1", "74ALVCH16245DTR")</f>
        <v>74ALVCH16245DTR</v>
      </c>
      <c r="B37535" s="3" t="s">
        <v>95</v>
      </c>
      <c r="C37535" s="6">
        <v>22500</v>
      </c>
      <c r="D37535" s="7">
        <v>1.84</v>
      </c>
      <c r="E37535" t="s">
        <v>14</v>
      </c>
    </row>
    <row r="37536" spans="1:5" x14ac:dyDescent="0.25">
      <c r="A37536" t="str">
        <f>HYPERLINK("https://www.773grp.com/globalSearch/74ALVCH16373DT/page-1", "74ALVCH16373DT")</f>
        <v>74ALVCH16373DT</v>
      </c>
      <c r="B37536" s="3" t="s">
        <v>95</v>
      </c>
      <c r="C37536" s="6">
        <v>23713</v>
      </c>
      <c r="D37536" s="7">
        <v>1.84</v>
      </c>
      <c r="E37536" t="s">
        <v>14</v>
      </c>
    </row>
    <row r="37537" spans="1:5" x14ac:dyDescent="0.25">
      <c r="A37537" t="str">
        <f>HYPERLINK("https://www.773grp.com/globalSearch/74ALVCH16373DTR/page-1", "74ALVCH16373DTR")</f>
        <v>74ALVCH16373DTR</v>
      </c>
      <c r="B37537" s="3" t="s">
        <v>95</v>
      </c>
      <c r="C37537" s="6">
        <v>30000</v>
      </c>
      <c r="D37537" s="7">
        <v>1.84</v>
      </c>
      <c r="E37537" t="s">
        <v>14</v>
      </c>
    </row>
    <row r="37538" spans="1:5" x14ac:dyDescent="0.25">
      <c r="A37538" t="str">
        <f>HYPERLINK("https://www.773grp.com/globalSearch/74ALVCH16374DT/page-1", "74ALVCH16374DT")</f>
        <v>74ALVCH16374DT</v>
      </c>
      <c r="B37538" s="3" t="s">
        <v>95</v>
      </c>
      <c r="C37538" s="6">
        <v>25194</v>
      </c>
      <c r="D37538" s="7">
        <v>1.84</v>
      </c>
      <c r="E37538" t="s">
        <v>14</v>
      </c>
    </row>
    <row r="37539" spans="1:5" x14ac:dyDescent="0.25">
      <c r="A37539" t="str">
        <f>HYPERLINK("https://www.773grp.com/globalSearch/74VCX16240DT/page-1", "74VCX16240DT")</f>
        <v>74VCX16240DT</v>
      </c>
      <c r="B37539" s="3" t="s">
        <v>95</v>
      </c>
      <c r="C37539" s="6">
        <v>1482</v>
      </c>
      <c r="D37539" s="7">
        <v>1.84</v>
      </c>
      <c r="E37539" t="s">
        <v>14</v>
      </c>
    </row>
    <row r="37540" spans="1:5" x14ac:dyDescent="0.25">
      <c r="A37540" t="str">
        <f>HYPERLINK("https://www.773grp.com/globalSearch/74VCX16244DT/page-1", "74VCX16244DT")</f>
        <v>74VCX16244DT</v>
      </c>
      <c r="B37540" s="3" t="s">
        <v>95</v>
      </c>
      <c r="C37540" s="6">
        <v>373</v>
      </c>
      <c r="D37540" s="7">
        <v>1.84</v>
      </c>
      <c r="E37540" t="s">
        <v>14</v>
      </c>
    </row>
    <row r="37541" spans="1:5" x14ac:dyDescent="0.25">
      <c r="A37541" t="str">
        <f>HYPERLINK("https://www.773grp.com/globalSearch/74VCX16373DT/page-1", "74VCX16373DT")</f>
        <v>74VCX16373DT</v>
      </c>
      <c r="B37541" s="3" t="s">
        <v>95</v>
      </c>
      <c r="C37541" s="6">
        <v>2613</v>
      </c>
      <c r="D37541" s="7">
        <v>1.84</v>
      </c>
      <c r="E37541" t="s">
        <v>14</v>
      </c>
    </row>
    <row r="37542" spans="1:5" x14ac:dyDescent="0.25">
      <c r="A37542" t="str">
        <f>HYPERLINK("https://www.773grp.com/globalSearch/74VCX16374DT/page-1", "74VCX16374DT")</f>
        <v>74VCX16374DT</v>
      </c>
      <c r="B37542" s="3" t="s">
        <v>95</v>
      </c>
      <c r="C37542" s="6">
        <v>6760</v>
      </c>
      <c r="D37542" s="7">
        <v>1.84</v>
      </c>
      <c r="E37542" t="s">
        <v>14</v>
      </c>
    </row>
    <row r="37543" spans="1:5" x14ac:dyDescent="0.25">
      <c r="A37543" t="str">
        <f>HYPERLINK("https://www.773grp.com/globalSearch/74VCXH16240DT/page-1", "74VCXH16240DT")</f>
        <v>74VCXH16240DT</v>
      </c>
      <c r="B37543" s="3" t="s">
        <v>95</v>
      </c>
      <c r="C37543" s="6">
        <v>17550</v>
      </c>
      <c r="D37543" s="7">
        <v>1.84</v>
      </c>
      <c r="E37543" t="s">
        <v>14</v>
      </c>
    </row>
    <row r="37544" spans="1:5" x14ac:dyDescent="0.25">
      <c r="A37544" t="str">
        <f>HYPERLINK("https://www.773grp.com/globalSearch/74VCXH16244DT/page-1", "74VCXH16244DT")</f>
        <v>74VCXH16244DT</v>
      </c>
      <c r="B37544" s="3" t="s">
        <v>95</v>
      </c>
      <c r="C37544" s="6">
        <v>31122</v>
      </c>
      <c r="D37544" s="7">
        <v>1.84</v>
      </c>
      <c r="E37544" t="s">
        <v>14</v>
      </c>
    </row>
    <row r="37545" spans="1:5" x14ac:dyDescent="0.25">
      <c r="A37545" t="str">
        <f>HYPERLINK("https://www.773grp.com/globalSearch/74VCXH16373DT/page-1", "74VCXH16373DT")</f>
        <v>74VCXH16373DT</v>
      </c>
      <c r="B37545" s="3" t="s">
        <v>95</v>
      </c>
      <c r="C37545" s="6">
        <v>12480</v>
      </c>
      <c r="D37545" s="7">
        <v>1.84</v>
      </c>
      <c r="E37545" t="s">
        <v>14</v>
      </c>
    </row>
    <row r="37546" spans="1:5" x14ac:dyDescent="0.25">
      <c r="A37546" t="str">
        <f>HYPERLINK("https://www.773grp.com/globalSearch/AMIS42665TJAA1G/page-1", "AMIS42665TJAA1G")</f>
        <v>AMIS42665TJAA1G</v>
      </c>
      <c r="B37546" s="3" t="s">
        <v>95</v>
      </c>
      <c r="C37546" s="6">
        <v>3744</v>
      </c>
      <c r="D37546" s="7">
        <v>1.84</v>
      </c>
      <c r="E37546" t="s">
        <v>55</v>
      </c>
    </row>
    <row r="37547" spans="1:5" x14ac:dyDescent="0.25">
      <c r="A37547" t="str">
        <f>HYPERLINK("https://www.773grp.com/globalSearch/AMIS42665TJAA1RG/page-1", "AMIS42665TJAA1RG")</f>
        <v>AMIS42665TJAA1RG</v>
      </c>
      <c r="B37547" s="3" t="s">
        <v>95</v>
      </c>
      <c r="C37547" s="6">
        <v>12000</v>
      </c>
      <c r="D37547" s="7">
        <v>1.84</v>
      </c>
      <c r="E37547" t="s">
        <v>55</v>
      </c>
    </row>
    <row r="37548" spans="1:5" x14ac:dyDescent="0.25">
      <c r="A37548" t="str">
        <f>HYPERLINK("https://www.773grp.com/globalSearch/BDW42G/page-1", "BDW42G")</f>
        <v>BDW42G</v>
      </c>
      <c r="B37548" s="3" t="s">
        <v>95</v>
      </c>
      <c r="C37548" s="6">
        <v>99</v>
      </c>
      <c r="D37548" s="7">
        <v>1.84</v>
      </c>
      <c r="E37548" t="s">
        <v>59</v>
      </c>
    </row>
    <row r="37549" spans="1:5" x14ac:dyDescent="0.25">
      <c r="A37549" t="str">
        <f>HYPERLINK("https://www.773grp.com/globalSearch/BYV32200G/page-1", "BYV32200G")</f>
        <v>BYV32200G</v>
      </c>
      <c r="B37549" s="3" t="s">
        <v>95</v>
      </c>
      <c r="C37549" s="6">
        <v>33</v>
      </c>
      <c r="D37549" s="7">
        <v>1.84</v>
      </c>
    </row>
    <row r="37550" spans="1:5" x14ac:dyDescent="0.25">
      <c r="A37550" t="str">
        <f>HYPERLINK("https://www.773grp.com/globalSearch/BYV32-200G/page-1", "BYV32-200G")</f>
        <v>BYV32-200G</v>
      </c>
      <c r="B37550" s="3" t="s">
        <v>95</v>
      </c>
      <c r="C37550" s="6">
        <v>850</v>
      </c>
      <c r="D37550" s="7">
        <v>1.84</v>
      </c>
    </row>
    <row r="37551" spans="1:5" x14ac:dyDescent="0.25">
      <c r="A37551" t="str">
        <f>HYPERLINK("https://www.773grp.com/globalSearch/BYW51-200G/page-1", "BYW51-200G")</f>
        <v>BYW51-200G</v>
      </c>
      <c r="B37551" s="3" t="s">
        <v>95</v>
      </c>
      <c r="C37551" s="6">
        <v>6977</v>
      </c>
      <c r="D37551" s="7">
        <v>1.84</v>
      </c>
      <c r="E37551" t="s">
        <v>103</v>
      </c>
    </row>
    <row r="37552" spans="1:5" x14ac:dyDescent="0.25">
      <c r="A37552" t="str">
        <f>HYPERLINK("https://www.773grp.com/globalSearch/CAT25256VI-GT3/page-1", "CAT25256VI-GT3")</f>
        <v>CAT25256VI-GT3</v>
      </c>
      <c r="B37552" s="3" t="s">
        <v>95</v>
      </c>
      <c r="C37552" s="6">
        <v>15000</v>
      </c>
      <c r="D37552" s="7">
        <v>1.84</v>
      </c>
    </row>
    <row r="37553" spans="1:5" x14ac:dyDescent="0.25">
      <c r="A37553" t="str">
        <f>HYPERLINK("https://www.773grp.com/globalSearch/CAT25256YI-GT3/page-1", "CAT25256YI-GT3")</f>
        <v>CAT25256YI-GT3</v>
      </c>
      <c r="B37553" s="3" t="s">
        <v>95</v>
      </c>
      <c r="C37553" s="6">
        <v>8000</v>
      </c>
      <c r="D37553" s="7">
        <v>1.84</v>
      </c>
    </row>
    <row r="37554" spans="1:5" x14ac:dyDescent="0.25">
      <c r="A37554" t="str">
        <f>HYPERLINK("https://www.773grp.com/globalSearch/CM1216-06MR/page-1", "CM1216-06MR")</f>
        <v>CM1216-06MR</v>
      </c>
      <c r="B37554" s="3" t="s">
        <v>95</v>
      </c>
      <c r="C37554" s="6">
        <v>4000</v>
      </c>
      <c r="D37554" s="7">
        <v>1.84</v>
      </c>
      <c r="E37554" t="s">
        <v>96</v>
      </c>
    </row>
    <row r="37555" spans="1:5" x14ac:dyDescent="0.25">
      <c r="A37555" t="str">
        <f>HYPERLINK("https://www.773grp.com/globalSearch/IRF520/page-1", "IRF520")</f>
        <v>IRF520</v>
      </c>
      <c r="B37555" s="3" t="s">
        <v>95</v>
      </c>
      <c r="C37555" s="6">
        <v>200</v>
      </c>
      <c r="D37555" s="7">
        <v>1.84</v>
      </c>
      <c r="E37555" t="s">
        <v>105</v>
      </c>
    </row>
    <row r="37556" spans="1:5" x14ac:dyDescent="0.25">
      <c r="A37556" t="str">
        <f>HYPERLINK("https://www.773grp.com/globalSearch/IRF530/page-1", "IRF530")</f>
        <v>IRF530</v>
      </c>
      <c r="B37556" s="3" t="s">
        <v>95</v>
      </c>
      <c r="C37556" s="6">
        <v>2223</v>
      </c>
      <c r="D37556" s="7">
        <v>1.84</v>
      </c>
      <c r="E37556" t="s">
        <v>105</v>
      </c>
    </row>
    <row r="37557" spans="1:5" x14ac:dyDescent="0.25">
      <c r="A37557" t="str">
        <f>HYPERLINK("https://www.773grp.com/globalSearch/IRF720/page-1", "IRF720")</f>
        <v>IRF720</v>
      </c>
      <c r="B37557" s="3" t="s">
        <v>95</v>
      </c>
      <c r="C37557" s="6">
        <v>12045</v>
      </c>
      <c r="D37557" s="7">
        <v>1.84</v>
      </c>
      <c r="E37557" t="s">
        <v>105</v>
      </c>
    </row>
    <row r="37558" spans="1:5" x14ac:dyDescent="0.25">
      <c r="A37558" t="str">
        <f>HYPERLINK("https://www.773grp.com/globalSearch/LM2931CD2T/page-1", "LM2931CD2T")</f>
        <v>LM2931CD2T</v>
      </c>
      <c r="B37558" s="3" t="s">
        <v>95</v>
      </c>
      <c r="C37558" s="6">
        <v>197</v>
      </c>
      <c r="D37558" s="7">
        <v>1.84</v>
      </c>
      <c r="E37558" t="s">
        <v>25</v>
      </c>
    </row>
    <row r="37559" spans="1:5" x14ac:dyDescent="0.25">
      <c r="A37559" t="str">
        <f>HYPERLINK("https://www.773grp.com/globalSearch/LM2931CD2TR4/page-1", "LM2931CD2TR4")</f>
        <v>LM2931CD2TR4</v>
      </c>
      <c r="B37559" s="3" t="s">
        <v>95</v>
      </c>
      <c r="C37559" s="6">
        <v>640</v>
      </c>
      <c r="D37559" s="7">
        <v>1.84</v>
      </c>
      <c r="E37559" t="s">
        <v>25</v>
      </c>
    </row>
    <row r="37560" spans="1:5" x14ac:dyDescent="0.25">
      <c r="A37560" t="str">
        <f>HYPERLINK("https://www.773grp.com/globalSearch/LM2931CTG/page-1", "LM2931CTG")</f>
        <v>LM2931CTG</v>
      </c>
      <c r="B37560" s="3" t="s">
        <v>95</v>
      </c>
      <c r="C37560" s="6">
        <v>4210</v>
      </c>
      <c r="D37560" s="7">
        <v>1.84</v>
      </c>
      <c r="E37560" t="s">
        <v>25</v>
      </c>
    </row>
    <row r="37561" spans="1:5" x14ac:dyDescent="0.25">
      <c r="A37561" t="str">
        <f>HYPERLINK("https://www.773grp.com/globalSearch/LM2931T-5.0G/page-1", "LM2931T-5.0G")</f>
        <v>LM2931T-5.0G</v>
      </c>
      <c r="B37561" s="3" t="s">
        <v>95</v>
      </c>
      <c r="C37561" s="6">
        <v>749</v>
      </c>
      <c r="D37561" s="7">
        <v>1.84</v>
      </c>
    </row>
    <row r="37562" spans="1:5" x14ac:dyDescent="0.25">
      <c r="A37562" t="str">
        <f>HYPERLINK("https://www.773grp.com/globalSearch/LM317BD2T/page-1", "LM317BD2T")</f>
        <v>LM317BD2T</v>
      </c>
      <c r="B37562" s="3" t="s">
        <v>95</v>
      </c>
      <c r="C37562" s="6">
        <v>3300</v>
      </c>
      <c r="D37562" s="7">
        <v>1.84</v>
      </c>
      <c r="E37562" t="s">
        <v>22</v>
      </c>
    </row>
    <row r="37563" spans="1:5" x14ac:dyDescent="0.25">
      <c r="A37563" t="str">
        <f>HYPERLINK("https://www.773grp.com/globalSearch/LM317BD2TG/page-1", "LM317BD2TG")</f>
        <v>LM317BD2TG</v>
      </c>
      <c r="B37563" s="3" t="s">
        <v>95</v>
      </c>
      <c r="C37563" s="6">
        <v>4917</v>
      </c>
      <c r="D37563" s="7">
        <v>1.84</v>
      </c>
      <c r="E37563" t="s">
        <v>22</v>
      </c>
    </row>
    <row r="37564" spans="1:5" x14ac:dyDescent="0.25">
      <c r="A37564" t="str">
        <f>HYPERLINK("https://www.773grp.com/globalSearch/LM317BD2TR4G/page-1", "LM317BD2TR4G")</f>
        <v>LM317BD2TR4G</v>
      </c>
      <c r="B37564" s="3" t="s">
        <v>95</v>
      </c>
      <c r="C37564" s="6">
        <v>17664</v>
      </c>
      <c r="D37564" s="7">
        <v>1.84</v>
      </c>
      <c r="E37564" t="s">
        <v>22</v>
      </c>
    </row>
    <row r="37565" spans="1:5" x14ac:dyDescent="0.25">
      <c r="A37565" t="str">
        <f>HYPERLINK("https://www.773grp.com/globalSearch/LM833DG/page-1", "LM833DG")</f>
        <v>LM833DG</v>
      </c>
      <c r="B37565" s="3" t="s">
        <v>95</v>
      </c>
      <c r="C37565" s="6">
        <v>98</v>
      </c>
      <c r="D37565" s="7">
        <v>1.84</v>
      </c>
      <c r="E37565" t="s">
        <v>18</v>
      </c>
    </row>
    <row r="37566" spans="1:5" x14ac:dyDescent="0.25">
      <c r="A37566" t="str">
        <f>HYPERLINK("https://www.773grp.com/globalSearch/LM833DR2G/page-1", "LM833DR2G")</f>
        <v>LM833DR2G</v>
      </c>
      <c r="B37566" s="3" t="s">
        <v>95</v>
      </c>
      <c r="C37566" s="6">
        <v>77416</v>
      </c>
      <c r="D37566" s="7">
        <v>1.84</v>
      </c>
      <c r="E37566" t="s">
        <v>18</v>
      </c>
    </row>
    <row r="37567" spans="1:5" x14ac:dyDescent="0.25">
      <c r="A37567" t="str">
        <f>HYPERLINK("https://www.773grp.com/globalSearch/LMV821SQ3T2G/page-1", "LMV821SQ3T2G")</f>
        <v>LMV821SQ3T2G</v>
      </c>
      <c r="B37567" s="3" t="s">
        <v>95</v>
      </c>
      <c r="C37567" s="6">
        <v>3000</v>
      </c>
      <c r="D37567" s="7">
        <v>1.84</v>
      </c>
    </row>
    <row r="37568" spans="1:5" x14ac:dyDescent="0.25">
      <c r="A37568" t="str">
        <f>HYPERLINK("https://www.773grp.com/globalSearch/LMV981MU3TBG/page-1", "LMV981MU3TBG")</f>
        <v>LMV981MU3TBG</v>
      </c>
      <c r="B37568" s="3" t="s">
        <v>95</v>
      </c>
      <c r="C37568" s="6">
        <v>69000</v>
      </c>
      <c r="D37568" s="7">
        <v>1.84</v>
      </c>
    </row>
    <row r="37569" spans="1:5" x14ac:dyDescent="0.25">
      <c r="A37569" t="str">
        <f>HYPERLINK("https://www.773grp.com/globalSearch/LP2951CD/page-1", "LP2951CD")</f>
        <v>LP2951CD</v>
      </c>
      <c r="B37569" s="3" t="s">
        <v>95</v>
      </c>
      <c r="C37569" s="6">
        <v>2254</v>
      </c>
      <c r="D37569" s="7">
        <v>1.84</v>
      </c>
      <c r="E37569" t="s">
        <v>27</v>
      </c>
    </row>
    <row r="37570" spans="1:5" x14ac:dyDescent="0.25">
      <c r="A37570" t="str">
        <f>HYPERLINK("https://www.773grp.com/globalSearch/LP2951CD-3.0/page-1", "LP2951CD-3.0")</f>
        <v>LP2951CD-3.0</v>
      </c>
      <c r="B37570" s="3" t="s">
        <v>95</v>
      </c>
      <c r="C37570" s="6">
        <v>588</v>
      </c>
      <c r="D37570" s="7">
        <v>1.84</v>
      </c>
      <c r="E37570" t="s">
        <v>19</v>
      </c>
    </row>
    <row r="37571" spans="1:5" x14ac:dyDescent="0.25">
      <c r="A37571" t="str">
        <f>HYPERLINK("https://www.773grp.com/globalSearch/LP2951CD-3.3/page-1", "LP2951CD-3.3")</f>
        <v>LP2951CD-3.3</v>
      </c>
      <c r="B37571" s="3" t="s">
        <v>95</v>
      </c>
      <c r="C37571" s="6">
        <v>9356</v>
      </c>
      <c r="D37571" s="7">
        <v>1.84</v>
      </c>
      <c r="E37571" t="s">
        <v>19</v>
      </c>
    </row>
    <row r="37572" spans="1:5" x14ac:dyDescent="0.25">
      <c r="A37572" t="str">
        <f>HYPERLINK("https://www.773grp.com/globalSearch/LP2951CDM-3.3R2/page-1", "LP2951CDM-3.3R2")</f>
        <v>LP2951CDM-3.3R2</v>
      </c>
      <c r="B37572" s="3" t="s">
        <v>95</v>
      </c>
      <c r="C37572" s="6">
        <v>7375</v>
      </c>
      <c r="D37572" s="7">
        <v>1.84</v>
      </c>
      <c r="E37572" t="s">
        <v>19</v>
      </c>
    </row>
    <row r="37573" spans="1:5" x14ac:dyDescent="0.25">
      <c r="A37573" t="str">
        <f>HYPERLINK("https://www.773grp.com/globalSearch/LP2951CDR2/page-1", "LP2951CDR2")</f>
        <v>LP2951CDR2</v>
      </c>
      <c r="B37573" s="3" t="s">
        <v>95</v>
      </c>
      <c r="C37573" s="6">
        <v>73610</v>
      </c>
      <c r="D37573" s="7">
        <v>1.84</v>
      </c>
      <c r="E37573" t="s">
        <v>27</v>
      </c>
    </row>
    <row r="37574" spans="1:5" x14ac:dyDescent="0.25">
      <c r="A37574" t="str">
        <f>HYPERLINK("https://www.773grp.com/globalSearch/LP2951CN/page-1", "LP2951CN")</f>
        <v>LP2951CN</v>
      </c>
      <c r="B37574" s="3" t="s">
        <v>95</v>
      </c>
      <c r="C37574" s="6">
        <v>13420</v>
      </c>
      <c r="D37574" s="7">
        <v>1.84</v>
      </c>
      <c r="E37574" t="s">
        <v>27</v>
      </c>
    </row>
    <row r="37575" spans="1:5" x14ac:dyDescent="0.25">
      <c r="A37575" t="str">
        <f>HYPERLINK("https://www.773grp.com/globalSearch/LP2951CN-3.0/page-1", "LP2951CN-3.0")</f>
        <v>LP2951CN-3.0</v>
      </c>
      <c r="B37575" s="3" t="s">
        <v>95</v>
      </c>
      <c r="C37575" s="6">
        <v>4</v>
      </c>
      <c r="D37575" s="7">
        <v>1.84</v>
      </c>
      <c r="E37575" t="s">
        <v>19</v>
      </c>
    </row>
    <row r="37576" spans="1:5" x14ac:dyDescent="0.25">
      <c r="A37576" t="str">
        <f>HYPERLINK("https://www.773grp.com/globalSearch/LP2951CN-3.3/page-1", "LP2951CN-3.3")</f>
        <v>LP2951CN-3.3</v>
      </c>
      <c r="B37576" s="3" t="s">
        <v>95</v>
      </c>
      <c r="C37576" s="6">
        <v>2900</v>
      </c>
      <c r="D37576" s="7">
        <v>1.84</v>
      </c>
      <c r="E37576" t="s">
        <v>19</v>
      </c>
    </row>
    <row r="37577" spans="1:5" x14ac:dyDescent="0.25">
      <c r="A37577" t="str">
        <f>HYPERLINK("https://www.773grp.com/globalSearch/M74HCT4851ADTR2G/page-1", "M74HCT4851ADTR2G")</f>
        <v>M74HCT4851ADTR2G</v>
      </c>
      <c r="B37577" s="3" t="s">
        <v>95</v>
      </c>
      <c r="C37577" s="6">
        <v>5000</v>
      </c>
      <c r="D37577" s="7">
        <v>1.84</v>
      </c>
      <c r="E37577" t="s">
        <v>56</v>
      </c>
    </row>
    <row r="37578" spans="1:5" x14ac:dyDescent="0.25">
      <c r="A37578" t="str">
        <f>HYPERLINK("https://www.773grp.com/globalSearch/MAC218A8/page-1", "MAC218A8")</f>
        <v>MAC218A8</v>
      </c>
      <c r="B37578" s="3" t="s">
        <v>95</v>
      </c>
      <c r="C37578" s="6">
        <v>12500</v>
      </c>
      <c r="D37578" s="7">
        <v>1.84</v>
      </c>
      <c r="E37578" t="s">
        <v>102</v>
      </c>
    </row>
    <row r="37579" spans="1:5" x14ac:dyDescent="0.25">
      <c r="A37579" t="str">
        <f>HYPERLINK("https://www.773grp.com/globalSearch/MBR10L60CTG/page-1", "MBR10L60CTG")</f>
        <v>MBR10L60CTG</v>
      </c>
      <c r="B37579" s="3" t="s">
        <v>95</v>
      </c>
      <c r="C37579" s="6">
        <v>50</v>
      </c>
      <c r="D37579" s="7">
        <v>1.84</v>
      </c>
      <c r="E37579" t="s">
        <v>103</v>
      </c>
    </row>
    <row r="37580" spans="1:5" x14ac:dyDescent="0.25">
      <c r="A37580" t="str">
        <f>HYPERLINK("https://www.773grp.com/globalSearch/MBRD1035CTLT4/page-1", "MBRD1035CTLT4")</f>
        <v>MBRD1035CTLT4</v>
      </c>
      <c r="B37580" s="3" t="s">
        <v>95</v>
      </c>
      <c r="C37580" s="6">
        <v>2240</v>
      </c>
      <c r="D37580" s="7">
        <v>1.84</v>
      </c>
      <c r="E37580" t="s">
        <v>103</v>
      </c>
    </row>
    <row r="37581" spans="1:5" x14ac:dyDescent="0.25">
      <c r="A37581" t="str">
        <f>HYPERLINK("https://www.773grp.com/globalSearch/MC14536BDWR2G/page-1", "MC14536BDWR2G")</f>
        <v>MC14536BDWR2G</v>
      </c>
      <c r="B37581" s="3" t="s">
        <v>95</v>
      </c>
      <c r="C37581" s="6">
        <v>24722</v>
      </c>
      <c r="D37581" s="7">
        <v>1.84</v>
      </c>
      <c r="E37581" t="s">
        <v>82</v>
      </c>
    </row>
    <row r="37582" spans="1:5" x14ac:dyDescent="0.25">
      <c r="A37582" t="str">
        <f>HYPERLINK("https://www.773grp.com/globalSearch/MC14555BDG/page-1", "MC14555BDG")</f>
        <v>MC14555BDG</v>
      </c>
      <c r="B37582" s="3" t="s">
        <v>95</v>
      </c>
      <c r="C37582" s="6">
        <v>5110</v>
      </c>
      <c r="D37582" s="7">
        <v>1.84</v>
      </c>
      <c r="E37582" t="s">
        <v>36</v>
      </c>
    </row>
    <row r="37583" spans="1:5" x14ac:dyDescent="0.25">
      <c r="A37583" t="str">
        <f>HYPERLINK("https://www.773grp.com/globalSearch/MC14555BDR2G/page-1", "MC14555BDR2G")</f>
        <v>MC14555BDR2G</v>
      </c>
      <c r="B37583" s="3" t="s">
        <v>95</v>
      </c>
      <c r="C37583" s="6">
        <v>2813</v>
      </c>
      <c r="D37583" s="7">
        <v>1.84</v>
      </c>
      <c r="E37583" t="s">
        <v>36</v>
      </c>
    </row>
    <row r="37584" spans="1:5" x14ac:dyDescent="0.25">
      <c r="A37584" t="str">
        <f>HYPERLINK("https://www.773grp.com/globalSearch/MC14556BDR2G/page-1", "MC14556BDR2G")</f>
        <v>MC14556BDR2G</v>
      </c>
      <c r="B37584" s="3" t="s">
        <v>95</v>
      </c>
      <c r="C37584" s="6">
        <v>4689</v>
      </c>
      <c r="D37584" s="7">
        <v>1.84</v>
      </c>
    </row>
    <row r="37585" spans="1:5" x14ac:dyDescent="0.25">
      <c r="A37585" t="str">
        <f>HYPERLINK("https://www.773grp.com/globalSearch/MC33060ADG/page-1", "MC33060ADG")</f>
        <v>MC33060ADG</v>
      </c>
      <c r="B37585" s="3" t="s">
        <v>95</v>
      </c>
      <c r="C37585" s="6">
        <v>440</v>
      </c>
      <c r="D37585" s="7">
        <v>1.84</v>
      </c>
    </row>
    <row r="37586" spans="1:5" x14ac:dyDescent="0.25">
      <c r="A37586" t="str">
        <f>HYPERLINK("https://www.773grp.com/globalSearch/MC33060ADR2G/page-1", "MC33060ADR2G")</f>
        <v>MC33060ADR2G</v>
      </c>
      <c r="B37586" s="3" t="s">
        <v>95</v>
      </c>
      <c r="C37586" s="6">
        <v>6226</v>
      </c>
      <c r="D37586" s="7">
        <v>1.84</v>
      </c>
      <c r="E37586" t="s">
        <v>7</v>
      </c>
    </row>
    <row r="37587" spans="1:5" x14ac:dyDescent="0.25">
      <c r="A37587" t="str">
        <f>HYPERLINK("https://www.773grp.com/globalSearch/MC33172VDR2G/page-1", "MC33172VDR2G")</f>
        <v>MC33172VDR2G</v>
      </c>
      <c r="B37587" s="3" t="s">
        <v>95</v>
      </c>
      <c r="C37587" s="6">
        <v>2024</v>
      </c>
      <c r="D37587" s="7">
        <v>1.84</v>
      </c>
    </row>
    <row r="37588" spans="1:5" x14ac:dyDescent="0.25">
      <c r="A37588" t="str">
        <f>HYPERLINK("https://www.773grp.com/globalSearch/MC33202D/page-1", "MC33202D")</f>
        <v>MC33202D</v>
      </c>
      <c r="B37588" s="3" t="s">
        <v>95</v>
      </c>
      <c r="C37588" s="6">
        <v>11564</v>
      </c>
      <c r="D37588" s="7">
        <v>1.84</v>
      </c>
    </row>
    <row r="37589" spans="1:5" x14ac:dyDescent="0.25">
      <c r="A37589" t="str">
        <f>HYPERLINK("https://www.773grp.com/globalSearch/MC33269ST-3.3T3G/page-1", "MC33269ST-3.3T3G")</f>
        <v>MC33269ST-3.3T3G</v>
      </c>
      <c r="B37589" s="3" t="s">
        <v>95</v>
      </c>
      <c r="C37589" s="6">
        <v>22118</v>
      </c>
      <c r="D37589" s="7">
        <v>1.84</v>
      </c>
      <c r="E37589" t="s">
        <v>19</v>
      </c>
    </row>
    <row r="37590" spans="1:5" x14ac:dyDescent="0.25">
      <c r="A37590" t="str">
        <f>HYPERLINK("https://www.773grp.com/globalSearch/MC33269T-3.3G/page-1", "MC33269T-3.3G")</f>
        <v>MC33269T-3.3G</v>
      </c>
      <c r="B37590" s="3" t="s">
        <v>95</v>
      </c>
      <c r="C37590" s="6">
        <v>33257</v>
      </c>
      <c r="D37590" s="7">
        <v>1.84</v>
      </c>
      <c r="E37590" t="s">
        <v>19</v>
      </c>
    </row>
    <row r="37591" spans="1:5" x14ac:dyDescent="0.25">
      <c r="A37591" t="str">
        <f>HYPERLINK("https://www.773grp.com/globalSearch/MC33269T-5.0G/page-1", "MC33269T-5.0G")</f>
        <v>MC33269T-5.0G</v>
      </c>
      <c r="B37591" s="3" t="s">
        <v>95</v>
      </c>
      <c r="C37591" s="6">
        <v>2100</v>
      </c>
      <c r="D37591" s="7">
        <v>1.84</v>
      </c>
      <c r="E37591" t="s">
        <v>19</v>
      </c>
    </row>
    <row r="37592" spans="1:5" x14ac:dyDescent="0.25">
      <c r="A37592" t="str">
        <f>HYPERLINK("https://www.773grp.com/globalSearch/MC33269TG/page-1", "MC33269TG")</f>
        <v>MC33269TG</v>
      </c>
      <c r="B37592" s="3" t="s">
        <v>95</v>
      </c>
      <c r="C37592" s="6">
        <v>5432</v>
      </c>
      <c r="D37592" s="7">
        <v>1.84</v>
      </c>
      <c r="E37592" t="s">
        <v>25</v>
      </c>
    </row>
    <row r="37593" spans="1:5" x14ac:dyDescent="0.25">
      <c r="A37593" t="str">
        <f>HYPERLINK("https://www.773grp.com/globalSearch/MC33275MN-2.5R2G/page-1", "MC33275MN-2.5R2G")</f>
        <v>MC33275MN-2.5R2G</v>
      </c>
      <c r="B37593" s="3" t="s">
        <v>95</v>
      </c>
      <c r="C37593" s="6">
        <v>16000</v>
      </c>
      <c r="D37593" s="7">
        <v>1.84</v>
      </c>
      <c r="E37593" t="s">
        <v>19</v>
      </c>
    </row>
    <row r="37594" spans="1:5" x14ac:dyDescent="0.25">
      <c r="A37594" t="str">
        <f>HYPERLINK("https://www.773grp.com/globalSearch/MC33275MN-3.3R2G/page-1", "MC33275MN-3.3R2G")</f>
        <v>MC33275MN-3.3R2G</v>
      </c>
      <c r="B37594" s="3" t="s">
        <v>95</v>
      </c>
      <c r="C37594" s="6">
        <v>3940</v>
      </c>
      <c r="D37594" s="7">
        <v>1.84</v>
      </c>
      <c r="E37594" t="s">
        <v>19</v>
      </c>
    </row>
    <row r="37595" spans="1:5" x14ac:dyDescent="0.25">
      <c r="A37595" t="str">
        <f>HYPERLINK("https://www.773grp.com/globalSearch/MC33275MN-5.0R2G/page-1", "MC33275MN-5.0R2G")</f>
        <v>MC33275MN-5.0R2G</v>
      </c>
      <c r="B37595" s="3" t="s">
        <v>95</v>
      </c>
      <c r="C37595" s="6">
        <v>5715</v>
      </c>
      <c r="D37595" s="7">
        <v>1.84</v>
      </c>
      <c r="E37595" t="s">
        <v>19</v>
      </c>
    </row>
    <row r="37596" spans="1:5" x14ac:dyDescent="0.25">
      <c r="A37596" t="str">
        <f>HYPERLINK("https://www.773grp.com/globalSearch/MC33565DMR2G/page-1", "MC33565DMR2G")</f>
        <v>MC33565DMR2G</v>
      </c>
      <c r="B37596" s="3" t="s">
        <v>95</v>
      </c>
      <c r="C37596" s="6">
        <v>8000</v>
      </c>
      <c r="D37596" s="7">
        <v>1.84</v>
      </c>
      <c r="E37596" t="s">
        <v>19</v>
      </c>
    </row>
    <row r="37597" spans="1:5" x14ac:dyDescent="0.25">
      <c r="A37597" t="str">
        <f>HYPERLINK("https://www.773grp.com/globalSearch/MC34060ADG/page-1", "MC34060ADG")</f>
        <v>MC34060ADG</v>
      </c>
      <c r="B37597" s="3" t="s">
        <v>95</v>
      </c>
      <c r="C37597" s="6">
        <v>2164</v>
      </c>
      <c r="D37597" s="7">
        <v>1.84</v>
      </c>
      <c r="E37597" t="s">
        <v>7</v>
      </c>
    </row>
    <row r="37598" spans="1:5" x14ac:dyDescent="0.25">
      <c r="A37598" t="str">
        <f>HYPERLINK("https://www.773grp.com/globalSearch/MC34060ADR2G/page-1", "MC34060ADR2G")</f>
        <v>MC34060ADR2G</v>
      </c>
      <c r="B37598" s="3" t="s">
        <v>95</v>
      </c>
      <c r="C37598" s="6">
        <v>5688</v>
      </c>
      <c r="D37598" s="7">
        <v>1.84</v>
      </c>
    </row>
    <row r="37599" spans="1:5" x14ac:dyDescent="0.25">
      <c r="A37599" t="str">
        <f>HYPERLINK("https://www.773grp.com/globalSearch/MC34072VD/page-1", "MC34072VD")</f>
        <v>MC34072VD</v>
      </c>
      <c r="B37599" s="3" t="s">
        <v>95</v>
      </c>
      <c r="C37599" s="6">
        <v>196</v>
      </c>
      <c r="D37599" s="7">
        <v>1.84</v>
      </c>
      <c r="E37599" t="s">
        <v>13</v>
      </c>
    </row>
    <row r="37600" spans="1:5" x14ac:dyDescent="0.25">
      <c r="A37600" t="str">
        <f>HYPERLINK("https://www.773grp.com/globalSearch/MC34072VDG/page-1", "MC34072VDG")</f>
        <v>MC34072VDG</v>
      </c>
      <c r="B37600" s="3" t="s">
        <v>95</v>
      </c>
      <c r="C37600" s="6">
        <v>1157</v>
      </c>
      <c r="D37600" s="7">
        <v>1.84</v>
      </c>
      <c r="E37600" t="s">
        <v>13</v>
      </c>
    </row>
    <row r="37601" spans="1:5" x14ac:dyDescent="0.25">
      <c r="A37601" t="str">
        <f>HYPERLINK("https://www.773grp.com/globalSearch/MC34072VDR2G/page-1", "MC34072VDR2G")</f>
        <v>MC34072VDR2G</v>
      </c>
      <c r="B37601" s="3" t="s">
        <v>95</v>
      </c>
      <c r="C37601" s="6">
        <v>2693</v>
      </c>
      <c r="D37601" s="7">
        <v>1.84</v>
      </c>
      <c r="E37601" t="s">
        <v>13</v>
      </c>
    </row>
    <row r="37602" spans="1:5" x14ac:dyDescent="0.25">
      <c r="A37602" t="str">
        <f>HYPERLINK("https://www.773grp.com/globalSearch/MC34072VPG/page-1", "MC34072VPG")</f>
        <v>MC34072VPG</v>
      </c>
      <c r="B37602" s="3" t="s">
        <v>95</v>
      </c>
      <c r="C37602" s="6">
        <v>1473</v>
      </c>
      <c r="D37602" s="7">
        <v>1.84</v>
      </c>
      <c r="E37602" t="s">
        <v>13</v>
      </c>
    </row>
    <row r="37603" spans="1:5" x14ac:dyDescent="0.25">
      <c r="A37603" t="str">
        <f>HYPERLINK("https://www.773grp.com/globalSearch/MC74AC132DG/page-1", "MC74AC132DG")</f>
        <v>MC74AC132DG</v>
      </c>
      <c r="B37603" s="3" t="s">
        <v>95</v>
      </c>
      <c r="C37603" s="6">
        <v>1027</v>
      </c>
      <c r="D37603" s="7">
        <v>1.84</v>
      </c>
      <c r="E37603" t="s">
        <v>31</v>
      </c>
    </row>
    <row r="37604" spans="1:5" x14ac:dyDescent="0.25">
      <c r="A37604" t="str">
        <f>HYPERLINK("https://www.773grp.com/globalSearch/MC74AC132DR2G/page-1", "MC74AC132DR2G")</f>
        <v>MC74AC132DR2G</v>
      </c>
      <c r="B37604" s="3" t="s">
        <v>95</v>
      </c>
      <c r="C37604" s="6">
        <v>8373</v>
      </c>
      <c r="D37604" s="7">
        <v>1.84</v>
      </c>
      <c r="E37604" t="s">
        <v>31</v>
      </c>
    </row>
    <row r="37605" spans="1:5" x14ac:dyDescent="0.25">
      <c r="A37605" t="str">
        <f>HYPERLINK("https://www.773grp.com/globalSearch/MC74AC4040MEL/page-1", "MC74AC4040MEL")</f>
        <v>MC74AC4040MEL</v>
      </c>
      <c r="B37605" s="3" t="s">
        <v>95</v>
      </c>
      <c r="C37605" s="6">
        <v>8743</v>
      </c>
      <c r="D37605" s="7">
        <v>1.84</v>
      </c>
    </row>
    <row r="37606" spans="1:5" x14ac:dyDescent="0.25">
      <c r="A37606" t="str">
        <f>HYPERLINK("https://www.773grp.com/globalSearch/MC74ACT132DG/page-1", "MC74ACT132DG")</f>
        <v>MC74ACT132DG</v>
      </c>
      <c r="B37606" s="3" t="s">
        <v>95</v>
      </c>
      <c r="C37606" s="6">
        <v>9112</v>
      </c>
      <c r="D37606" s="7">
        <v>1.84</v>
      </c>
      <c r="E37606" t="s">
        <v>31</v>
      </c>
    </row>
    <row r="37607" spans="1:5" x14ac:dyDescent="0.25">
      <c r="A37607" t="str">
        <f>HYPERLINK("https://www.773grp.com/globalSearch/MC74ACT132DR2G/page-1", "MC74ACT132DR2G")</f>
        <v>MC74ACT132DR2G</v>
      </c>
      <c r="B37607" s="3" t="s">
        <v>95</v>
      </c>
      <c r="C37607" s="6">
        <v>17440</v>
      </c>
      <c r="D37607" s="7">
        <v>1.84</v>
      </c>
      <c r="E37607" t="s">
        <v>31</v>
      </c>
    </row>
    <row r="37608" spans="1:5" x14ac:dyDescent="0.25">
      <c r="A37608" t="str">
        <f>HYPERLINK("https://www.773grp.com/globalSearch/MC74HC4851ADG/page-1", "MC74HC4851ADG")</f>
        <v>MC74HC4851ADG</v>
      </c>
      <c r="B37608" s="3" t="s">
        <v>95</v>
      </c>
      <c r="C37608" s="6">
        <v>53520</v>
      </c>
      <c r="D37608" s="7">
        <v>1.84</v>
      </c>
      <c r="E37608" t="s">
        <v>56</v>
      </c>
    </row>
    <row r="37609" spans="1:5" x14ac:dyDescent="0.25">
      <c r="A37609" t="str">
        <f>HYPERLINK("https://www.773grp.com/globalSearch/MC74HC4851ADR2G/page-1", "MC74HC4851ADR2G")</f>
        <v>MC74HC4851ADR2G</v>
      </c>
      <c r="B37609" s="3" t="s">
        <v>95</v>
      </c>
      <c r="C37609" s="6">
        <v>15000</v>
      </c>
      <c r="D37609" s="7">
        <v>1.84</v>
      </c>
      <c r="E37609" t="s">
        <v>56</v>
      </c>
    </row>
    <row r="37610" spans="1:5" x14ac:dyDescent="0.25">
      <c r="A37610" t="str">
        <f>HYPERLINK("https://www.773grp.com/globalSearch/MC74HC4851ADTR2G/page-1", "MC74HC4851ADTR2G")</f>
        <v>MC74HC4851ADTR2G</v>
      </c>
      <c r="B37610" s="3" t="s">
        <v>95</v>
      </c>
      <c r="C37610" s="6">
        <v>3650</v>
      </c>
      <c r="D37610" s="7">
        <v>1.84</v>
      </c>
    </row>
    <row r="37611" spans="1:5" x14ac:dyDescent="0.25">
      <c r="A37611" t="str">
        <f>HYPERLINK("https://www.773grp.com/globalSearch/MC74HC4852ADG/page-1", "MC74HC4852ADG")</f>
        <v>MC74HC4852ADG</v>
      </c>
      <c r="B37611" s="3" t="s">
        <v>95</v>
      </c>
      <c r="C37611" s="6">
        <v>41159</v>
      </c>
      <c r="D37611" s="7">
        <v>1.84</v>
      </c>
      <c r="E37611" t="s">
        <v>56</v>
      </c>
    </row>
    <row r="37612" spans="1:5" x14ac:dyDescent="0.25">
      <c r="A37612" t="str">
        <f>HYPERLINK("https://www.773grp.com/globalSearch/MC74HC4852ADR2/page-1", "MC74HC4852ADR2")</f>
        <v>MC74HC4852ADR2</v>
      </c>
      <c r="B37612" s="3" t="s">
        <v>95</v>
      </c>
      <c r="C37612" s="6">
        <v>5000</v>
      </c>
      <c r="D37612" s="7">
        <v>1.84</v>
      </c>
      <c r="E37612" t="s">
        <v>56</v>
      </c>
    </row>
    <row r="37613" spans="1:5" x14ac:dyDescent="0.25">
      <c r="A37613" t="str">
        <f>HYPERLINK("https://www.773grp.com/globalSearch/MC74HC4852ADR2G/page-1", "MC74HC4852ADR2G")</f>
        <v>MC74HC4852ADR2G</v>
      </c>
      <c r="B37613" s="3" t="s">
        <v>95</v>
      </c>
      <c r="C37613" s="6">
        <v>6661</v>
      </c>
      <c r="D37613" s="7">
        <v>1.84</v>
      </c>
    </row>
    <row r="37614" spans="1:5" x14ac:dyDescent="0.25">
      <c r="A37614" t="str">
        <f>HYPERLINK("https://www.773grp.com/globalSearch/MC74HC4852ADTR2G/page-1", "MC74HC4852ADTR2G")</f>
        <v>MC74HC4852ADTR2G</v>
      </c>
      <c r="B37614" s="3" t="s">
        <v>95</v>
      </c>
      <c r="C37614" s="6">
        <v>7532</v>
      </c>
      <c r="D37614" s="7">
        <v>1.84</v>
      </c>
      <c r="E37614" t="s">
        <v>56</v>
      </c>
    </row>
    <row r="37615" spans="1:5" x14ac:dyDescent="0.25">
      <c r="A37615" t="str">
        <f>HYPERLINK("https://www.773grp.com/globalSearch/MC74HC4852ANG/page-1", "MC74HC4852ANG")</f>
        <v>MC74HC4852ANG</v>
      </c>
      <c r="B37615" s="3" t="s">
        <v>95</v>
      </c>
      <c r="C37615" s="6">
        <v>3213</v>
      </c>
      <c r="D37615" s="7">
        <v>1.84</v>
      </c>
      <c r="E37615" t="s">
        <v>56</v>
      </c>
    </row>
    <row r="37616" spans="1:5" x14ac:dyDescent="0.25">
      <c r="A37616" t="str">
        <f>HYPERLINK("https://www.773grp.com/globalSearch/MC74HCT4851ADG/page-1", "MC74HCT4851ADG")</f>
        <v>MC74HCT4851ADG</v>
      </c>
      <c r="B37616" s="3" t="s">
        <v>95</v>
      </c>
      <c r="C37616" s="6">
        <v>15090</v>
      </c>
      <c r="D37616" s="7">
        <v>1.84</v>
      </c>
    </row>
    <row r="37617" spans="1:5" x14ac:dyDescent="0.25">
      <c r="A37617" t="str">
        <f>HYPERLINK("https://www.773grp.com/globalSearch/MC74HCT4851ADR2G/page-1", "MC74HCT4851ADR2G")</f>
        <v>MC74HCT4851ADR2G</v>
      </c>
      <c r="B37617" s="3" t="s">
        <v>95</v>
      </c>
      <c r="C37617" s="6">
        <v>12500</v>
      </c>
      <c r="D37617" s="7">
        <v>1.84</v>
      </c>
      <c r="E37617" t="s">
        <v>56</v>
      </c>
    </row>
    <row r="37618" spans="1:5" x14ac:dyDescent="0.25">
      <c r="A37618" t="str">
        <f>HYPERLINK("https://www.773grp.com/globalSearch/MC74HCT4851ADTG/page-1", "MC74HCT4851ADTG")</f>
        <v>MC74HCT4851ADTG</v>
      </c>
      <c r="B37618" s="3" t="s">
        <v>95</v>
      </c>
      <c r="C37618" s="6">
        <v>30410</v>
      </c>
      <c r="D37618" s="7">
        <v>1.84</v>
      </c>
    </row>
    <row r="37619" spans="1:5" x14ac:dyDescent="0.25">
      <c r="A37619" t="str">
        <f>HYPERLINK("https://www.773grp.com/globalSearch/MMSF3350R2/page-1", "MMSF3350R2")</f>
        <v>MMSF3350R2</v>
      </c>
      <c r="B37619" s="3" t="s">
        <v>95</v>
      </c>
      <c r="C37619" s="6">
        <v>2372</v>
      </c>
      <c r="D37619" s="7">
        <v>1.84</v>
      </c>
      <c r="E37619" t="s">
        <v>105</v>
      </c>
    </row>
    <row r="37620" spans="1:5" x14ac:dyDescent="0.25">
      <c r="A37620" t="str">
        <f>HYPERLINK("https://www.773grp.com/globalSearch/MR752/page-1", "MR752")</f>
        <v>MR752</v>
      </c>
      <c r="B37620" s="3" t="s">
        <v>95</v>
      </c>
      <c r="C37620" s="6">
        <v>284</v>
      </c>
      <c r="D37620" s="7">
        <v>1.84</v>
      </c>
      <c r="E37620" t="s">
        <v>103</v>
      </c>
    </row>
    <row r="37621" spans="1:5" x14ac:dyDescent="0.25">
      <c r="A37621" t="str">
        <f>HYPERLINK("https://www.773grp.com/globalSearch/MR752G/page-1", "MR752G")</f>
        <v>MR752G</v>
      </c>
      <c r="B37621" s="3" t="s">
        <v>95</v>
      </c>
      <c r="C37621" s="6">
        <v>1103</v>
      </c>
      <c r="D37621" s="7">
        <v>1.84</v>
      </c>
      <c r="E37621" t="s">
        <v>103</v>
      </c>
    </row>
    <row r="37622" spans="1:5" x14ac:dyDescent="0.25">
      <c r="A37622" t="str">
        <f>HYPERLINK("https://www.773grp.com/globalSearch/MR754/page-1", "MR754")</f>
        <v>MR754</v>
      </c>
      <c r="B37622" s="3" t="s">
        <v>95</v>
      </c>
      <c r="C37622" s="6">
        <v>5</v>
      </c>
      <c r="D37622" s="7">
        <v>1.84</v>
      </c>
      <c r="E37622" t="s">
        <v>103</v>
      </c>
    </row>
    <row r="37623" spans="1:5" x14ac:dyDescent="0.25">
      <c r="A37623" t="str">
        <f>HYPERLINK("https://www.773grp.com/globalSearch/MTD1P40ET4/page-1", "MTD1P40ET4")</f>
        <v>MTD1P40ET4</v>
      </c>
      <c r="B37623" s="3" t="s">
        <v>95</v>
      </c>
      <c r="C37623" s="6">
        <v>22346</v>
      </c>
      <c r="D37623" s="7">
        <v>1.84</v>
      </c>
      <c r="E37623" t="s">
        <v>105</v>
      </c>
    </row>
    <row r="37624" spans="1:5" x14ac:dyDescent="0.25">
      <c r="A37624" t="str">
        <f>HYPERLINK("https://www.773grp.com/globalSearch/MTD3302T4/page-1", "MTD3302T4")</f>
        <v>MTD3302T4</v>
      </c>
      <c r="B37624" s="3" t="s">
        <v>95</v>
      </c>
      <c r="C37624" s="6">
        <v>189700</v>
      </c>
      <c r="D37624" s="7">
        <v>1.84</v>
      </c>
      <c r="E37624" t="s">
        <v>106</v>
      </c>
    </row>
    <row r="37625" spans="1:5" x14ac:dyDescent="0.25">
      <c r="A37625" t="str">
        <f>HYPERLINK("https://www.773grp.com/globalSearch/MUR8100EG/page-1", "MUR8100EG")</f>
        <v>MUR8100EG</v>
      </c>
      <c r="B37625" s="3" t="s">
        <v>95</v>
      </c>
      <c r="C37625" s="6">
        <v>1750</v>
      </c>
      <c r="D37625" s="7">
        <v>1.84</v>
      </c>
    </row>
    <row r="37626" spans="1:5" x14ac:dyDescent="0.25">
      <c r="A37626" t="str">
        <f>HYPERLINK("https://www.773grp.com/globalSearch/MUR880E/page-1", "MUR880E")</f>
        <v>MUR880E</v>
      </c>
      <c r="B37626" s="3" t="s">
        <v>95</v>
      </c>
      <c r="C37626" s="6">
        <v>12840</v>
      </c>
      <c r="D37626" s="7">
        <v>1.84</v>
      </c>
      <c r="E37626" t="s">
        <v>103</v>
      </c>
    </row>
    <row r="37627" spans="1:5" x14ac:dyDescent="0.25">
      <c r="A37627" t="str">
        <f>HYPERLINK("https://www.773grp.com/globalSearch/MUR880EG/page-1", "MUR880EG")</f>
        <v>MUR880EG</v>
      </c>
      <c r="B37627" s="3" t="s">
        <v>95</v>
      </c>
      <c r="C37627" s="6">
        <v>24168</v>
      </c>
      <c r="D37627" s="7">
        <v>1.84</v>
      </c>
      <c r="E37627" t="s">
        <v>103</v>
      </c>
    </row>
    <row r="37628" spans="1:5" x14ac:dyDescent="0.25">
      <c r="A37628" t="str">
        <f>HYPERLINK("https://www.773grp.com/globalSearch/NB2304AI1DG/page-1", "NB2304AI1DG")</f>
        <v>NB2304AI1DG</v>
      </c>
      <c r="B37628" s="3" t="s">
        <v>95</v>
      </c>
      <c r="C37628" s="6">
        <v>9353</v>
      </c>
      <c r="D37628" s="7">
        <v>1.84</v>
      </c>
      <c r="E37628" t="s">
        <v>34</v>
      </c>
    </row>
    <row r="37629" spans="1:5" x14ac:dyDescent="0.25">
      <c r="A37629" t="str">
        <f>HYPERLINK("https://www.773grp.com/globalSearch/NB2304AI1DR2G/page-1", "NB2304AI1DR2G")</f>
        <v>NB2304AI1DR2G</v>
      </c>
      <c r="B37629" s="3" t="s">
        <v>95</v>
      </c>
      <c r="C37629" s="6">
        <v>11000</v>
      </c>
      <c r="D37629" s="7">
        <v>1.84</v>
      </c>
      <c r="E37629" t="s">
        <v>34</v>
      </c>
    </row>
    <row r="37630" spans="1:5" x14ac:dyDescent="0.25">
      <c r="A37630" t="str">
        <f>HYPERLINK("https://www.773grp.com/globalSearch/NB2304AI1HDG/page-1", "NB2304AI1HDG")</f>
        <v>NB2304AI1HDG</v>
      </c>
      <c r="B37630" s="3" t="s">
        <v>95</v>
      </c>
      <c r="C37630" s="6">
        <v>12147</v>
      </c>
      <c r="D37630" s="7">
        <v>1.84</v>
      </c>
      <c r="E37630" t="s">
        <v>34</v>
      </c>
    </row>
    <row r="37631" spans="1:5" x14ac:dyDescent="0.25">
      <c r="A37631" t="str">
        <f>HYPERLINK("https://www.773grp.com/globalSearch/NB2304AI1HDR2G/page-1", "NB2304AI1HDR2G")</f>
        <v>NB2304AI1HDR2G</v>
      </c>
      <c r="B37631" s="3" t="s">
        <v>95</v>
      </c>
      <c r="C37631" s="6">
        <v>12295</v>
      </c>
      <c r="D37631" s="7">
        <v>1.84</v>
      </c>
      <c r="E37631" t="s">
        <v>34</v>
      </c>
    </row>
    <row r="37632" spans="1:5" x14ac:dyDescent="0.25">
      <c r="A37632" t="str">
        <f>HYPERLINK("https://www.773grp.com/globalSearch/NB2304AI2DG/page-1", "NB2304AI2DG")</f>
        <v>NB2304AI2DG</v>
      </c>
      <c r="B37632" s="3" t="s">
        <v>95</v>
      </c>
      <c r="C37632" s="6">
        <v>16445</v>
      </c>
      <c r="D37632" s="7">
        <v>1.84</v>
      </c>
      <c r="E37632" t="s">
        <v>34</v>
      </c>
    </row>
    <row r="37633" spans="1:5" x14ac:dyDescent="0.25">
      <c r="A37633" t="str">
        <f>HYPERLINK("https://www.773grp.com/globalSearch/NB2304AI2DR2G/page-1", "NB2304AI2DR2G")</f>
        <v>NB2304AI2DR2G</v>
      </c>
      <c r="B37633" s="3" t="s">
        <v>95</v>
      </c>
      <c r="C37633" s="6">
        <v>12195</v>
      </c>
      <c r="D37633" s="7">
        <v>1.84</v>
      </c>
    </row>
    <row r="37634" spans="1:5" x14ac:dyDescent="0.25">
      <c r="A37634" t="str">
        <f>HYPERLINK("https://www.773grp.com/globalSearch/NB2305AI1DG/page-1", "NB2305AI1DG")</f>
        <v>NB2305AI1DG</v>
      </c>
      <c r="B37634" s="3" t="s">
        <v>95</v>
      </c>
      <c r="C37634" s="6">
        <v>1270</v>
      </c>
      <c r="D37634" s="7">
        <v>1.84</v>
      </c>
      <c r="E37634" t="s">
        <v>34</v>
      </c>
    </row>
    <row r="37635" spans="1:5" x14ac:dyDescent="0.25">
      <c r="A37635" t="str">
        <f>HYPERLINK("https://www.773grp.com/globalSearch/NB2305AI1DTG/page-1", "NB2305AI1DTG")</f>
        <v>NB2305AI1DTG</v>
      </c>
      <c r="B37635" s="3" t="s">
        <v>95</v>
      </c>
      <c r="C37635" s="6">
        <v>38237</v>
      </c>
      <c r="D37635" s="7">
        <v>1.84</v>
      </c>
      <c r="E37635" t="s">
        <v>34</v>
      </c>
    </row>
    <row r="37636" spans="1:5" x14ac:dyDescent="0.25">
      <c r="A37636" t="str">
        <f>HYPERLINK("https://www.773grp.com/globalSearch/NB2305AI1DTR2G/page-1", "NB2305AI1DTR2G")</f>
        <v>NB2305AI1DTR2G</v>
      </c>
      <c r="B37636" s="3" t="s">
        <v>95</v>
      </c>
      <c r="C37636" s="6">
        <v>3913</v>
      </c>
      <c r="D37636" s="7">
        <v>1.84</v>
      </c>
      <c r="E37636" t="s">
        <v>34</v>
      </c>
    </row>
    <row r="37637" spans="1:5" x14ac:dyDescent="0.25">
      <c r="A37637" t="str">
        <f>HYPERLINK("https://www.773grp.com/globalSearch/NB2305AI1HDG/page-1", "NB2305AI1HDG")</f>
        <v>NB2305AI1HDG</v>
      </c>
      <c r="B37637" s="3" t="s">
        <v>95</v>
      </c>
      <c r="C37637" s="6">
        <v>98</v>
      </c>
      <c r="D37637" s="7">
        <v>1.84</v>
      </c>
      <c r="E37637" t="s">
        <v>34</v>
      </c>
    </row>
    <row r="37638" spans="1:5" x14ac:dyDescent="0.25">
      <c r="A37638" t="str">
        <f>HYPERLINK("https://www.773grp.com/globalSearch/NB2305AI1HDR2G/page-1", "NB2305AI1HDR2G")</f>
        <v>NB2305AI1HDR2G</v>
      </c>
      <c r="B37638" s="3" t="s">
        <v>95</v>
      </c>
      <c r="C37638" s="6">
        <v>50</v>
      </c>
      <c r="D37638" s="7">
        <v>1.84</v>
      </c>
      <c r="E37638" t="s">
        <v>34</v>
      </c>
    </row>
    <row r="37639" spans="1:5" x14ac:dyDescent="0.25">
      <c r="A37639" t="str">
        <f>HYPERLINK("https://www.773grp.com/globalSearch/NB2305AI1HDTG/page-1", "NB2305AI1HDTG")</f>
        <v>NB2305AI1HDTG</v>
      </c>
      <c r="B37639" s="3" t="s">
        <v>95</v>
      </c>
      <c r="C37639" s="6">
        <v>125442</v>
      </c>
      <c r="D37639" s="7">
        <v>1.84</v>
      </c>
      <c r="E37639" t="s">
        <v>34</v>
      </c>
    </row>
    <row r="37640" spans="1:5" x14ac:dyDescent="0.25">
      <c r="A37640" t="str">
        <f>HYPERLINK("https://www.773grp.com/globalSearch/NB2305AI1HDTR2G/page-1", "NB2305AI1HDTR2G")</f>
        <v>NB2305AI1HDTR2G</v>
      </c>
      <c r="B37640" s="3" t="s">
        <v>95</v>
      </c>
      <c r="C37640" s="6">
        <v>97</v>
      </c>
      <c r="D37640" s="7">
        <v>1.84</v>
      </c>
    </row>
    <row r="37641" spans="1:5" x14ac:dyDescent="0.25">
      <c r="A37641" t="str">
        <f>HYPERLINK("https://www.773grp.com/globalSearch/NB2308AI1DG/page-1", "NB2308AI1DG")</f>
        <v>NB2308AI1DG</v>
      </c>
      <c r="B37641" s="3" t="s">
        <v>95</v>
      </c>
      <c r="C37641" s="6">
        <v>4659</v>
      </c>
      <c r="D37641" s="7">
        <v>1.84</v>
      </c>
      <c r="E37641" t="s">
        <v>34</v>
      </c>
    </row>
    <row r="37642" spans="1:5" x14ac:dyDescent="0.25">
      <c r="A37642" t="str">
        <f>HYPERLINK("https://www.773grp.com/globalSearch/NB2308AI1DR2G/page-1", "NB2308AI1DR2G")</f>
        <v>NB2308AI1DR2G</v>
      </c>
      <c r="B37642" s="3" t="s">
        <v>95</v>
      </c>
      <c r="C37642" s="6">
        <v>4036</v>
      </c>
      <c r="D37642" s="7">
        <v>1.84</v>
      </c>
      <c r="E37642" t="s">
        <v>34</v>
      </c>
    </row>
    <row r="37643" spans="1:5" x14ac:dyDescent="0.25">
      <c r="A37643" t="str">
        <f>HYPERLINK("https://www.773grp.com/globalSearch/NB2308AI1DTG/page-1", "NB2308AI1DTG")</f>
        <v>NB2308AI1DTG</v>
      </c>
      <c r="B37643" s="3" t="s">
        <v>95</v>
      </c>
      <c r="C37643" s="6">
        <v>3206</v>
      </c>
      <c r="D37643" s="7">
        <v>1.84</v>
      </c>
      <c r="E37643" t="s">
        <v>34</v>
      </c>
    </row>
    <row r="37644" spans="1:5" x14ac:dyDescent="0.25">
      <c r="A37644" t="str">
        <f>HYPERLINK("https://www.773grp.com/globalSearch/NB2308AI1HDG/page-1", "NB2308AI1HDG")</f>
        <v>NB2308AI1HDG</v>
      </c>
      <c r="B37644" s="3" t="s">
        <v>95</v>
      </c>
      <c r="C37644" s="6">
        <v>20315</v>
      </c>
      <c r="D37644" s="7">
        <v>1.84</v>
      </c>
      <c r="E37644" t="s">
        <v>34</v>
      </c>
    </row>
    <row r="37645" spans="1:5" x14ac:dyDescent="0.25">
      <c r="A37645" t="str">
        <f>HYPERLINK("https://www.773grp.com/globalSearch/NB2308AI1HDR2G/page-1", "NB2308AI1HDR2G")</f>
        <v>NB2308AI1HDR2G</v>
      </c>
      <c r="B37645" s="3" t="s">
        <v>95</v>
      </c>
      <c r="C37645" s="6">
        <v>47500</v>
      </c>
      <c r="D37645" s="7">
        <v>1.84</v>
      </c>
      <c r="E37645" t="s">
        <v>34</v>
      </c>
    </row>
    <row r="37646" spans="1:5" x14ac:dyDescent="0.25">
      <c r="A37646" t="str">
        <f>HYPERLINK("https://www.773grp.com/globalSearch/NB2308AI1HDTG/page-1", "NB2308AI1HDTG")</f>
        <v>NB2308AI1HDTG</v>
      </c>
      <c r="B37646" s="3" t="s">
        <v>95</v>
      </c>
      <c r="C37646" s="6">
        <v>37878</v>
      </c>
      <c r="D37646" s="7">
        <v>1.84</v>
      </c>
      <c r="E37646" t="s">
        <v>34</v>
      </c>
    </row>
    <row r="37647" spans="1:5" x14ac:dyDescent="0.25">
      <c r="A37647" t="str">
        <f>HYPERLINK("https://www.773grp.com/globalSearch/NB2308AI1HDTR2G/page-1", "NB2308AI1HDTR2G")</f>
        <v>NB2308AI1HDTR2G</v>
      </c>
      <c r="B37647" s="3" t="s">
        <v>95</v>
      </c>
      <c r="C37647" s="6">
        <v>42500</v>
      </c>
      <c r="D37647" s="7">
        <v>1.84</v>
      </c>
      <c r="E37647" t="s">
        <v>34</v>
      </c>
    </row>
    <row r="37648" spans="1:5" x14ac:dyDescent="0.25">
      <c r="A37648" t="str">
        <f>HYPERLINK("https://www.773grp.com/globalSearch/NB2308AI2DG/page-1", "NB2308AI2DG")</f>
        <v>NB2308AI2DG</v>
      </c>
      <c r="B37648" s="3" t="s">
        <v>95</v>
      </c>
      <c r="C37648" s="6">
        <v>18236</v>
      </c>
      <c r="D37648" s="7">
        <v>1.84</v>
      </c>
      <c r="E37648" t="s">
        <v>34</v>
      </c>
    </row>
    <row r="37649" spans="1:5" x14ac:dyDescent="0.25">
      <c r="A37649" t="str">
        <f>HYPERLINK("https://www.773grp.com/globalSearch/NB2308AI2DR2G/page-1", "NB2308AI2DR2G")</f>
        <v>NB2308AI2DR2G</v>
      </c>
      <c r="B37649" s="3" t="s">
        <v>95</v>
      </c>
      <c r="C37649" s="6">
        <v>2500</v>
      </c>
      <c r="D37649" s="7">
        <v>1.84</v>
      </c>
      <c r="E37649" t="s">
        <v>34</v>
      </c>
    </row>
    <row r="37650" spans="1:5" x14ac:dyDescent="0.25">
      <c r="A37650" t="str">
        <f>HYPERLINK("https://www.773grp.com/globalSearch/NB2308AI2DTG/page-1", "NB2308AI2DTG")</f>
        <v>NB2308AI2DTG</v>
      </c>
      <c r="B37650" s="3" t="s">
        <v>95</v>
      </c>
      <c r="C37650" s="6">
        <v>2158</v>
      </c>
      <c r="D37650" s="7">
        <v>1.84</v>
      </c>
      <c r="E37650" t="s">
        <v>34</v>
      </c>
    </row>
    <row r="37651" spans="1:5" x14ac:dyDescent="0.25">
      <c r="A37651" t="str">
        <f>HYPERLINK("https://www.773grp.com/globalSearch/NB2308AI2DTR2G/page-1", "NB2308AI2DTR2G")</f>
        <v>NB2308AI2DTR2G</v>
      </c>
      <c r="B37651" s="3" t="s">
        <v>95</v>
      </c>
      <c r="C37651" s="6">
        <v>47500</v>
      </c>
      <c r="D37651" s="7">
        <v>1.84</v>
      </c>
      <c r="E37651" t="s">
        <v>34</v>
      </c>
    </row>
    <row r="37652" spans="1:5" x14ac:dyDescent="0.25">
      <c r="A37652" t="str">
        <f>HYPERLINK("https://www.773grp.com/globalSearch/NB2308AI2HDTR2G/page-1", "NB2308AI2HDTR2G")</f>
        <v>NB2308AI2HDTR2G</v>
      </c>
      <c r="B37652" s="3" t="s">
        <v>95</v>
      </c>
      <c r="C37652" s="6">
        <v>2500</v>
      </c>
      <c r="D37652" s="7">
        <v>1.84</v>
      </c>
      <c r="E37652" t="s">
        <v>34</v>
      </c>
    </row>
    <row r="37653" spans="1:5" x14ac:dyDescent="0.25">
      <c r="A37653" t="str">
        <f>HYPERLINK("https://www.773grp.com/globalSearch/NB2308AI3DG/page-1", "NB2308AI3DG")</f>
        <v>NB2308AI3DG</v>
      </c>
      <c r="B37653" s="3" t="s">
        <v>95</v>
      </c>
      <c r="C37653" s="6">
        <v>12509</v>
      </c>
      <c r="D37653" s="7">
        <v>1.84</v>
      </c>
      <c r="E37653" t="s">
        <v>34</v>
      </c>
    </row>
    <row r="37654" spans="1:5" x14ac:dyDescent="0.25">
      <c r="A37654" t="str">
        <f>HYPERLINK("https://www.773grp.com/globalSearch/NB2308AI3DR2G/page-1", "NB2308AI3DR2G")</f>
        <v>NB2308AI3DR2G</v>
      </c>
      <c r="B37654" s="3" t="s">
        <v>95</v>
      </c>
      <c r="C37654" s="6">
        <v>10000</v>
      </c>
      <c r="D37654" s="7">
        <v>1.84</v>
      </c>
      <c r="E37654" t="s">
        <v>34</v>
      </c>
    </row>
    <row r="37655" spans="1:5" x14ac:dyDescent="0.25">
      <c r="A37655" t="str">
        <f>HYPERLINK("https://www.773grp.com/globalSearch/NB2308AI4DR2G/page-1", "NB2308AI4DR2G")</f>
        <v>NB2308AI4DR2G</v>
      </c>
      <c r="B37655" s="3" t="s">
        <v>95</v>
      </c>
      <c r="C37655" s="6">
        <v>7500</v>
      </c>
      <c r="D37655" s="7">
        <v>1.84</v>
      </c>
      <c r="E37655" t="s">
        <v>34</v>
      </c>
    </row>
    <row r="37656" spans="1:5" x14ac:dyDescent="0.25">
      <c r="A37656" t="str">
        <f>HYPERLINK("https://www.773grp.com/globalSearch/NB2308AI5HDR2G/page-1", "NB2308AI5HDR2G")</f>
        <v>NB2308AI5HDR2G</v>
      </c>
      <c r="B37656" s="3" t="s">
        <v>95</v>
      </c>
      <c r="C37656" s="6">
        <v>17495</v>
      </c>
      <c r="D37656" s="7">
        <v>1.84</v>
      </c>
      <c r="E37656" t="s">
        <v>34</v>
      </c>
    </row>
    <row r="37657" spans="1:5" x14ac:dyDescent="0.25">
      <c r="A37657" t="str">
        <f>HYPERLINK("https://www.773grp.com/globalSearch/NB2309AI1DG/page-1", "NB2309AI1DG")</f>
        <v>NB2309AI1DG</v>
      </c>
      <c r="B37657" s="3" t="s">
        <v>95</v>
      </c>
      <c r="C37657" s="6">
        <v>5409</v>
      </c>
      <c r="D37657" s="7">
        <v>1.84</v>
      </c>
      <c r="E37657" t="s">
        <v>34</v>
      </c>
    </row>
    <row r="37658" spans="1:5" x14ac:dyDescent="0.25">
      <c r="A37658" t="str">
        <f>HYPERLINK("https://www.773grp.com/globalSearch/NB2309AI1DTG/page-1", "NB2309AI1DTG")</f>
        <v>NB2309AI1DTG</v>
      </c>
      <c r="B37658" s="3" t="s">
        <v>95</v>
      </c>
      <c r="C37658" s="6">
        <v>1928</v>
      </c>
      <c r="D37658" s="7">
        <v>1.84</v>
      </c>
      <c r="E37658" t="s">
        <v>34</v>
      </c>
    </row>
    <row r="37659" spans="1:5" x14ac:dyDescent="0.25">
      <c r="A37659" t="str">
        <f>HYPERLINK("https://www.773grp.com/globalSearch/NB2309AI1DTR2G/page-1", "NB2309AI1DTR2G")</f>
        <v>NB2309AI1DTR2G</v>
      </c>
      <c r="B37659" s="3" t="s">
        <v>95</v>
      </c>
      <c r="C37659" s="6">
        <v>12374</v>
      </c>
      <c r="D37659" s="7">
        <v>1.84</v>
      </c>
      <c r="E37659" t="s">
        <v>34</v>
      </c>
    </row>
    <row r="37660" spans="1:5" x14ac:dyDescent="0.25">
      <c r="A37660" t="str">
        <f>HYPERLINK("https://www.773grp.com/globalSearch/NB2309AI1HDG/page-1", "NB2309AI1HDG")</f>
        <v>NB2309AI1HDG</v>
      </c>
      <c r="B37660" s="3" t="s">
        <v>95</v>
      </c>
      <c r="C37660" s="6">
        <v>2893</v>
      </c>
      <c r="D37660" s="7">
        <v>1.84</v>
      </c>
      <c r="E37660" t="s">
        <v>34</v>
      </c>
    </row>
    <row r="37661" spans="1:5" x14ac:dyDescent="0.25">
      <c r="A37661" t="str">
        <f>HYPERLINK("https://www.773grp.com/globalSearch/NB2309AI1HDR2G/page-1", "NB2309AI1HDR2G")</f>
        <v>NB2309AI1HDR2G</v>
      </c>
      <c r="B37661" s="3" t="s">
        <v>95</v>
      </c>
      <c r="C37661" s="6">
        <v>25000</v>
      </c>
      <c r="D37661" s="7">
        <v>1.84</v>
      </c>
      <c r="E37661" t="s">
        <v>34</v>
      </c>
    </row>
    <row r="37662" spans="1:5" x14ac:dyDescent="0.25">
      <c r="A37662" t="str">
        <f>HYPERLINK("https://www.773grp.com/globalSearch/NB2309AI1HDTG/page-1", "NB2309AI1HDTG")</f>
        <v>NB2309AI1HDTG</v>
      </c>
      <c r="B37662" s="3" t="s">
        <v>95</v>
      </c>
      <c r="C37662" s="6">
        <v>67640</v>
      </c>
      <c r="D37662" s="7">
        <v>1.84</v>
      </c>
      <c r="E37662" t="s">
        <v>34</v>
      </c>
    </row>
    <row r="37663" spans="1:5" x14ac:dyDescent="0.25">
      <c r="A37663" t="str">
        <f>HYPERLINK("https://www.773grp.com/globalSearch/NB2309AI1HDTR2G/page-1", "NB2309AI1HDTR2G")</f>
        <v>NB2309AI1HDTR2G</v>
      </c>
      <c r="B37663" s="3" t="s">
        <v>95</v>
      </c>
      <c r="C37663" s="6">
        <v>187500</v>
      </c>
      <c r="D37663" s="7">
        <v>1.84</v>
      </c>
      <c r="E37663" t="s">
        <v>34</v>
      </c>
    </row>
    <row r="37664" spans="1:5" x14ac:dyDescent="0.25">
      <c r="A37664" t="str">
        <f>HYPERLINK("https://www.773grp.com/globalSearch/NCP1012APL130R2G/page-1", "NCP1012APL130R2G")</f>
        <v>NCP1012APL130R2G</v>
      </c>
      <c r="B37664" s="3" t="s">
        <v>95</v>
      </c>
      <c r="C37664" s="6">
        <v>1500</v>
      </c>
      <c r="D37664" s="7">
        <v>1.84</v>
      </c>
    </row>
    <row r="37665" spans="1:5" x14ac:dyDescent="0.25">
      <c r="A37665" t="str">
        <f>HYPERLINK("https://www.773grp.com/globalSearch/NCP1012ST100T3G/page-1", "NCP1012ST100T3G")</f>
        <v>NCP1012ST100T3G</v>
      </c>
      <c r="B37665" s="3" t="s">
        <v>95</v>
      </c>
      <c r="C37665" s="6">
        <v>2430</v>
      </c>
      <c r="D37665" s="7">
        <v>1.84</v>
      </c>
    </row>
    <row r="37666" spans="1:5" x14ac:dyDescent="0.25">
      <c r="A37666" t="str">
        <f>HYPERLINK("https://www.773grp.com/globalSearch/NCP1015ST100T3G/page-1", "NCP1015ST100T3G")</f>
        <v>NCP1015ST100T3G</v>
      </c>
      <c r="B37666" s="3" t="s">
        <v>95</v>
      </c>
      <c r="C37666" s="6">
        <v>10237</v>
      </c>
      <c r="D37666" s="7">
        <v>1.84</v>
      </c>
    </row>
    <row r="37667" spans="1:5" x14ac:dyDescent="0.25">
      <c r="A37667" t="str">
        <f>HYPERLINK("https://www.773grp.com/globalSearch/NCP1207ADR2G/page-1", "NCP1207ADR2G")</f>
        <v>NCP1207ADR2G</v>
      </c>
      <c r="B37667" s="3" t="s">
        <v>95</v>
      </c>
      <c r="C37667" s="6">
        <v>30</v>
      </c>
      <c r="D37667" s="7">
        <v>1.84</v>
      </c>
      <c r="E37667" t="s">
        <v>7</v>
      </c>
    </row>
    <row r="37668" spans="1:5" x14ac:dyDescent="0.25">
      <c r="A37668" t="str">
        <f>HYPERLINK("https://www.773grp.com/globalSearch/NCP1207APG/page-1", "NCP1207APG")</f>
        <v>NCP1207APG</v>
      </c>
      <c r="B37668" s="3" t="s">
        <v>95</v>
      </c>
      <c r="C37668" s="6">
        <v>2215</v>
      </c>
      <c r="D37668" s="7">
        <v>1.84</v>
      </c>
      <c r="E37668" t="s">
        <v>7</v>
      </c>
    </row>
    <row r="37669" spans="1:5" x14ac:dyDescent="0.25">
      <c r="A37669" t="str">
        <f>HYPERLINK("https://www.773grp.com/globalSearch/NCP1216AD100R2G/page-1", "NCP1216AD100R2G")</f>
        <v>NCP1216AD100R2G</v>
      </c>
      <c r="B37669" s="3" t="s">
        <v>95</v>
      </c>
      <c r="C37669" s="6">
        <v>4498</v>
      </c>
      <c r="D37669" s="7">
        <v>1.84</v>
      </c>
    </row>
    <row r="37670" spans="1:5" x14ac:dyDescent="0.25">
      <c r="A37670" t="str">
        <f>HYPERLINK("https://www.773grp.com/globalSearch/NCP1216AD133R2G/page-1", "NCP1216AD133R2G")</f>
        <v>NCP1216AD133R2G</v>
      </c>
      <c r="B37670" s="3" t="s">
        <v>95</v>
      </c>
      <c r="C37670" s="6">
        <v>6775</v>
      </c>
      <c r="D37670" s="7">
        <v>1.84</v>
      </c>
    </row>
    <row r="37671" spans="1:5" x14ac:dyDescent="0.25">
      <c r="A37671" t="str">
        <f>HYPERLINK("https://www.773grp.com/globalSearch/NCP1216AP100G/page-1", "NCP1216AP100G")</f>
        <v>NCP1216AP100G</v>
      </c>
      <c r="B37671" s="3" t="s">
        <v>95</v>
      </c>
      <c r="C37671" s="6">
        <v>2436</v>
      </c>
      <c r="D37671" s="7">
        <v>1.84</v>
      </c>
      <c r="E37671" t="s">
        <v>7</v>
      </c>
    </row>
    <row r="37672" spans="1:5" x14ac:dyDescent="0.25">
      <c r="A37672" t="str">
        <f>HYPERLINK("https://www.773grp.com/globalSearch/NCP1216AP133G/page-1", "NCP1216AP133G")</f>
        <v>NCP1216AP133G</v>
      </c>
      <c r="B37672" s="3" t="s">
        <v>95</v>
      </c>
      <c r="C37672" s="6">
        <v>2944</v>
      </c>
      <c r="D37672" s="7">
        <v>1.84</v>
      </c>
      <c r="E37672" t="s">
        <v>7</v>
      </c>
    </row>
    <row r="37673" spans="1:5" x14ac:dyDescent="0.25">
      <c r="A37673" t="str">
        <f>HYPERLINK("https://www.773grp.com/globalSearch/NCP1216AP65G/page-1", "NCP1216AP65G")</f>
        <v>NCP1216AP65G</v>
      </c>
      <c r="B37673" s="3" t="s">
        <v>95</v>
      </c>
      <c r="C37673" s="6">
        <v>89</v>
      </c>
      <c r="D37673" s="7">
        <v>1.84</v>
      </c>
      <c r="E37673" t="s">
        <v>7</v>
      </c>
    </row>
    <row r="37674" spans="1:5" x14ac:dyDescent="0.25">
      <c r="A37674" t="str">
        <f>HYPERLINK("https://www.773grp.com/globalSearch/NCP1216D100R2G/page-1", "NCP1216D100R2G")</f>
        <v>NCP1216D100R2G</v>
      </c>
      <c r="B37674" s="3" t="s">
        <v>95</v>
      </c>
      <c r="C37674" s="6">
        <v>35309</v>
      </c>
      <c r="D37674" s="7">
        <v>1.84</v>
      </c>
      <c r="E37674" t="s">
        <v>7</v>
      </c>
    </row>
    <row r="37675" spans="1:5" x14ac:dyDescent="0.25">
      <c r="A37675" t="str">
        <f>HYPERLINK("https://www.773grp.com/globalSearch/NCP1216D133R2G/page-1", "NCP1216D133R2G")</f>
        <v>NCP1216D133R2G</v>
      </c>
      <c r="B37675" s="3" t="s">
        <v>95</v>
      </c>
      <c r="C37675" s="6">
        <v>85096</v>
      </c>
      <c r="D37675" s="7">
        <v>1.84</v>
      </c>
      <c r="E37675" t="s">
        <v>7</v>
      </c>
    </row>
    <row r="37676" spans="1:5" x14ac:dyDescent="0.25">
      <c r="A37676" t="str">
        <f>HYPERLINK("https://www.773grp.com/globalSearch/NCP1216D65R2G/page-1", "NCP1216D65R2G")</f>
        <v>NCP1216D65R2G</v>
      </c>
      <c r="B37676" s="3" t="s">
        <v>95</v>
      </c>
      <c r="C37676" s="6">
        <v>212527</v>
      </c>
      <c r="D37676" s="7">
        <v>1.84</v>
      </c>
      <c r="E37676" t="s">
        <v>7</v>
      </c>
    </row>
    <row r="37677" spans="1:5" x14ac:dyDescent="0.25">
      <c r="A37677" t="str">
        <f>HYPERLINK("https://www.773grp.com/globalSearch/NCP1216P100G/page-1", "NCP1216P100G")</f>
        <v>NCP1216P100G</v>
      </c>
      <c r="B37677" s="3" t="s">
        <v>95</v>
      </c>
      <c r="C37677" s="6">
        <v>96950</v>
      </c>
      <c r="D37677" s="7">
        <v>1.84</v>
      </c>
      <c r="E37677" t="s">
        <v>7</v>
      </c>
    </row>
    <row r="37678" spans="1:5" x14ac:dyDescent="0.25">
      <c r="A37678" t="str">
        <f>HYPERLINK("https://www.773grp.com/globalSearch/NCP1216P133G/page-1", "NCP1216P133G")</f>
        <v>NCP1216P133G</v>
      </c>
      <c r="B37678" s="3" t="s">
        <v>95</v>
      </c>
      <c r="C37678" s="6">
        <v>10450</v>
      </c>
      <c r="D37678" s="7">
        <v>1.84</v>
      </c>
      <c r="E37678" t="s">
        <v>7</v>
      </c>
    </row>
    <row r="37679" spans="1:5" x14ac:dyDescent="0.25">
      <c r="A37679" t="str">
        <f>HYPERLINK("https://www.773grp.com/globalSearch/NCP1216P65G/page-1", "NCP1216P65G")</f>
        <v>NCP1216P65G</v>
      </c>
      <c r="B37679" s="3" t="s">
        <v>95</v>
      </c>
      <c r="C37679" s="6">
        <v>195002</v>
      </c>
      <c r="D37679" s="7">
        <v>1.84</v>
      </c>
      <c r="E37679" t="s">
        <v>7</v>
      </c>
    </row>
    <row r="37680" spans="1:5" x14ac:dyDescent="0.25">
      <c r="A37680" t="str">
        <f>HYPERLINK("https://www.773grp.com/globalSearch/NCP1217AD133R2G/page-1", "NCP1217AD133R2G")</f>
        <v>NCP1217AD133R2G</v>
      </c>
      <c r="B37680" s="3" t="s">
        <v>95</v>
      </c>
      <c r="C37680" s="6">
        <v>2177</v>
      </c>
      <c r="D37680" s="7">
        <v>1.84</v>
      </c>
      <c r="E37680" t="s">
        <v>7</v>
      </c>
    </row>
    <row r="37681" spans="1:5" x14ac:dyDescent="0.25">
      <c r="A37681" t="str">
        <f>HYPERLINK("https://www.773grp.com/globalSearch/NCP1217AD65R2G/page-1", "NCP1217AD65R2G")</f>
        <v>NCP1217AD65R2G</v>
      </c>
      <c r="B37681" s="3" t="s">
        <v>95</v>
      </c>
      <c r="C37681" s="6">
        <v>57500</v>
      </c>
      <c r="D37681" s="7">
        <v>1.84</v>
      </c>
      <c r="E37681" t="s">
        <v>7</v>
      </c>
    </row>
    <row r="37682" spans="1:5" x14ac:dyDescent="0.25">
      <c r="A37682" t="str">
        <f>HYPERLINK("https://www.773grp.com/globalSearch/NCP1217AP100G/page-1", "NCP1217AP100G")</f>
        <v>NCP1217AP100G</v>
      </c>
      <c r="B37682" s="3" t="s">
        <v>95</v>
      </c>
      <c r="C37682" s="6">
        <v>11</v>
      </c>
      <c r="D37682" s="7">
        <v>1.84</v>
      </c>
    </row>
    <row r="37683" spans="1:5" x14ac:dyDescent="0.25">
      <c r="A37683" t="str">
        <f>HYPERLINK("https://www.773grp.com/globalSearch/NCP1217AP133G/page-1", "NCP1217AP133G")</f>
        <v>NCP1217AP133G</v>
      </c>
      <c r="B37683" s="3" t="s">
        <v>95</v>
      </c>
      <c r="C37683" s="6">
        <v>5750</v>
      </c>
      <c r="D37683" s="7">
        <v>1.84</v>
      </c>
      <c r="E37683" t="s">
        <v>7</v>
      </c>
    </row>
    <row r="37684" spans="1:5" x14ac:dyDescent="0.25">
      <c r="A37684" t="str">
        <f>HYPERLINK("https://www.773grp.com/globalSearch/NCP1217D100R2G/page-1", "NCP1217D100R2G")</f>
        <v>NCP1217D100R2G</v>
      </c>
      <c r="B37684" s="3" t="s">
        <v>95</v>
      </c>
      <c r="C37684" s="6">
        <v>4204</v>
      </c>
      <c r="D37684" s="7">
        <v>1.84</v>
      </c>
    </row>
    <row r="37685" spans="1:5" x14ac:dyDescent="0.25">
      <c r="A37685" t="str">
        <f>HYPERLINK("https://www.773grp.com/globalSearch/NCP1217D133R2G/page-1", "NCP1217D133R2G")</f>
        <v>NCP1217D133R2G</v>
      </c>
      <c r="B37685" s="3" t="s">
        <v>95</v>
      </c>
      <c r="C37685" s="6">
        <v>7112</v>
      </c>
      <c r="D37685" s="7">
        <v>1.84</v>
      </c>
    </row>
    <row r="37686" spans="1:5" x14ac:dyDescent="0.25">
      <c r="A37686" t="str">
        <f>HYPERLINK("https://www.773grp.com/globalSearch/NCP1217D65R2G/page-1", "NCP1217D65R2G")</f>
        <v>NCP1217D65R2G</v>
      </c>
      <c r="B37686" s="3" t="s">
        <v>95</v>
      </c>
      <c r="C37686" s="6">
        <v>275625</v>
      </c>
      <c r="D37686" s="7">
        <v>1.84</v>
      </c>
      <c r="E37686" t="s">
        <v>7</v>
      </c>
    </row>
    <row r="37687" spans="1:5" x14ac:dyDescent="0.25">
      <c r="A37687" t="str">
        <f>HYPERLINK("https://www.773grp.com/globalSearch/NCP1217P133G/page-1", "NCP1217P133G")</f>
        <v>NCP1217P133G</v>
      </c>
      <c r="B37687" s="3" t="s">
        <v>95</v>
      </c>
      <c r="C37687" s="6">
        <v>5500</v>
      </c>
      <c r="D37687" s="7">
        <v>1.84</v>
      </c>
      <c r="E37687" t="s">
        <v>7</v>
      </c>
    </row>
    <row r="37688" spans="1:5" x14ac:dyDescent="0.25">
      <c r="A37688" t="str">
        <f>HYPERLINK("https://www.773grp.com/globalSearch/NCP1244AD065R2G/page-1", "NCP1244AD065R2G")</f>
        <v>NCP1244AD065R2G</v>
      </c>
      <c r="B37688" s="3" t="s">
        <v>95</v>
      </c>
      <c r="C37688" s="6">
        <v>7500</v>
      </c>
      <c r="D37688" s="7">
        <v>1.84</v>
      </c>
    </row>
    <row r="37689" spans="1:5" x14ac:dyDescent="0.25">
      <c r="A37689" t="str">
        <f>HYPERLINK("https://www.773grp.com/globalSearch/NCP1377BD1R2G/page-1", "NCP1377BD1R2G")</f>
        <v>NCP1377BD1R2G</v>
      </c>
      <c r="B37689" s="3" t="s">
        <v>95</v>
      </c>
      <c r="C37689" s="6">
        <v>6092</v>
      </c>
      <c r="D37689" s="7">
        <v>1.84</v>
      </c>
      <c r="E37689" t="s">
        <v>7</v>
      </c>
    </row>
    <row r="37690" spans="1:5" x14ac:dyDescent="0.25">
      <c r="A37690" t="str">
        <f>HYPERLINK("https://www.773grp.com/globalSearch/NCP1377BDR2G/page-1", "NCP1377BDR2G")</f>
        <v>NCP1377BDR2G</v>
      </c>
      <c r="B37690" s="3" t="s">
        <v>95</v>
      </c>
      <c r="C37690" s="6">
        <v>8581</v>
      </c>
      <c r="D37690" s="7">
        <v>1.84</v>
      </c>
      <c r="E37690" t="s">
        <v>7</v>
      </c>
    </row>
    <row r="37691" spans="1:5" x14ac:dyDescent="0.25">
      <c r="A37691" t="str">
        <f>HYPERLINK("https://www.773grp.com/globalSearch/NCP1377BPG/page-1", "NCP1377BPG")</f>
        <v>NCP1377BPG</v>
      </c>
      <c r="B37691" s="3" t="s">
        <v>95</v>
      </c>
      <c r="C37691" s="6">
        <v>196358</v>
      </c>
      <c r="D37691" s="7">
        <v>1.84</v>
      </c>
      <c r="E37691" t="s">
        <v>7</v>
      </c>
    </row>
    <row r="37692" spans="1:5" x14ac:dyDescent="0.25">
      <c r="A37692" t="str">
        <f>HYPERLINK("https://www.773grp.com/globalSearch/NCP1377D1R2G/page-1", "NCP1377D1R2G")</f>
        <v>NCP1377D1R2G</v>
      </c>
      <c r="B37692" s="3" t="s">
        <v>95</v>
      </c>
      <c r="C37692" s="6">
        <v>14258</v>
      </c>
      <c r="D37692" s="7">
        <v>1.84</v>
      </c>
      <c r="E37692" t="s">
        <v>7</v>
      </c>
    </row>
    <row r="37693" spans="1:5" x14ac:dyDescent="0.25">
      <c r="A37693" t="str">
        <f>HYPERLINK("https://www.773grp.com/globalSearch/NCP1377DR2G/page-1", "NCP1377DR2G")</f>
        <v>NCP1377DR2G</v>
      </c>
      <c r="B37693" s="3" t="s">
        <v>95</v>
      </c>
      <c r="C37693" s="6">
        <v>4290</v>
      </c>
      <c r="D37693" s="7">
        <v>1.84</v>
      </c>
      <c r="E37693" t="s">
        <v>7</v>
      </c>
    </row>
    <row r="37694" spans="1:5" x14ac:dyDescent="0.25">
      <c r="A37694" t="str">
        <f>HYPERLINK("https://www.773grp.com/globalSearch/NCP1377PG/page-1", "NCP1377PG")</f>
        <v>NCP1377PG</v>
      </c>
      <c r="B37694" s="3" t="s">
        <v>95</v>
      </c>
      <c r="C37694" s="6">
        <v>23995</v>
      </c>
      <c r="D37694" s="7">
        <v>1.84</v>
      </c>
      <c r="E37694" t="s">
        <v>7</v>
      </c>
    </row>
    <row r="37695" spans="1:5" x14ac:dyDescent="0.25">
      <c r="A37695" t="str">
        <f>HYPERLINK("https://www.773grp.com/globalSearch/NCP1379DR2G/page-1", "NCP1379DR2G")</f>
        <v>NCP1379DR2G</v>
      </c>
      <c r="B37695" s="3" t="s">
        <v>95</v>
      </c>
      <c r="C37695" s="6">
        <v>2500</v>
      </c>
      <c r="D37695" s="7">
        <v>1.84</v>
      </c>
      <c r="E37695" t="s">
        <v>7</v>
      </c>
    </row>
    <row r="37696" spans="1:5" x14ac:dyDescent="0.25">
      <c r="A37696" t="str">
        <f>HYPERLINK("https://www.773grp.com/globalSearch/NCP1380ADR2G/page-1", "NCP1380ADR2G")</f>
        <v>NCP1380ADR2G</v>
      </c>
      <c r="B37696" s="3" t="s">
        <v>95</v>
      </c>
      <c r="C37696" s="6">
        <v>2500</v>
      </c>
      <c r="D37696" s="7">
        <v>1.84</v>
      </c>
    </row>
    <row r="37697" spans="1:5" x14ac:dyDescent="0.25">
      <c r="A37697" t="str">
        <f>HYPERLINK("https://www.773grp.com/globalSearch/NCP1380BDR2G/page-1", "NCP1380BDR2G")</f>
        <v>NCP1380BDR2G</v>
      </c>
      <c r="B37697" s="3" t="s">
        <v>95</v>
      </c>
      <c r="C37697" s="6">
        <v>17500</v>
      </c>
      <c r="D37697" s="7">
        <v>1.84</v>
      </c>
      <c r="E37697" t="s">
        <v>7</v>
      </c>
    </row>
    <row r="37698" spans="1:5" x14ac:dyDescent="0.25">
      <c r="A37698" t="str">
        <f>HYPERLINK("https://www.773grp.com/globalSearch/NCP1380DDR2G/page-1", "NCP1380DDR2G")</f>
        <v>NCP1380DDR2G</v>
      </c>
      <c r="B37698" s="3" t="s">
        <v>95</v>
      </c>
      <c r="C37698" s="6">
        <v>429</v>
      </c>
      <c r="D37698" s="7">
        <v>1.84</v>
      </c>
    </row>
    <row r="37699" spans="1:5" x14ac:dyDescent="0.25">
      <c r="A37699" t="str">
        <f>HYPERLINK("https://www.773grp.com/globalSearch/NCP1393BDR2G/page-1", "NCP1393BDR2G")</f>
        <v>NCP1393BDR2G</v>
      </c>
      <c r="B37699" s="3" t="s">
        <v>95</v>
      </c>
      <c r="C37699" s="6">
        <v>17500</v>
      </c>
      <c r="D37699" s="7">
        <v>1.84</v>
      </c>
    </row>
    <row r="37700" spans="1:5" x14ac:dyDescent="0.25">
      <c r="A37700" t="str">
        <f>HYPERLINK("https://www.773grp.com/globalSearch/NCP1508MNR2G/page-1", "NCP1508MNR2G")</f>
        <v>NCP1508MNR2G</v>
      </c>
      <c r="B37700" s="3" t="s">
        <v>95</v>
      </c>
      <c r="C37700" s="6">
        <v>108000</v>
      </c>
      <c r="D37700" s="7">
        <v>1.84</v>
      </c>
      <c r="E37700" t="s">
        <v>7</v>
      </c>
    </row>
    <row r="37701" spans="1:5" x14ac:dyDescent="0.25">
      <c r="A37701" t="str">
        <f>HYPERLINK("https://www.773grp.com/globalSearch/NCP3126ADR2G/page-1", "NCP3126ADR2G")</f>
        <v>NCP3126ADR2G</v>
      </c>
      <c r="B37701" s="3" t="s">
        <v>95</v>
      </c>
      <c r="C37701" s="6">
        <v>397360</v>
      </c>
      <c r="D37701" s="7">
        <v>1.84</v>
      </c>
      <c r="E37701" t="s">
        <v>7</v>
      </c>
    </row>
    <row r="37702" spans="1:5" x14ac:dyDescent="0.25">
      <c r="A37702" t="str">
        <f>HYPERLINK("https://www.773grp.com/globalSearch/NCP4300ADR2G/page-1", "NCP4300ADR2G")</f>
        <v>NCP4300ADR2G</v>
      </c>
      <c r="B37702" s="3" t="s">
        <v>95</v>
      </c>
      <c r="C37702" s="6">
        <v>15000</v>
      </c>
      <c r="D37702" s="7">
        <v>1.84</v>
      </c>
      <c r="E37702" t="s">
        <v>13</v>
      </c>
    </row>
    <row r="37703" spans="1:5" x14ac:dyDescent="0.25">
      <c r="A37703" t="str">
        <f>HYPERLINK("https://www.773grp.com/globalSearch/NCP4671DMX06TCG/page-1", "NCP4671DMX06TCG")</f>
        <v>NCP4671DMX06TCG</v>
      </c>
      <c r="B37703" s="3" t="s">
        <v>95</v>
      </c>
      <c r="C37703" s="6">
        <v>15000</v>
      </c>
      <c r="D37703" s="7">
        <v>1.84</v>
      </c>
    </row>
    <row r="37704" spans="1:5" x14ac:dyDescent="0.25">
      <c r="A37704" t="str">
        <f>HYPERLINK("https://www.773grp.com/globalSearch/NCP4671DMX09TCG/page-1", "NCP4671DMX09TCG")</f>
        <v>NCP4671DMX09TCG</v>
      </c>
      <c r="B37704" s="3" t="s">
        <v>95</v>
      </c>
      <c r="C37704" s="6">
        <v>20000</v>
      </c>
      <c r="D37704" s="7">
        <v>1.84</v>
      </c>
    </row>
    <row r="37705" spans="1:5" x14ac:dyDescent="0.25">
      <c r="A37705" t="str">
        <f>HYPERLINK("https://www.773grp.com/globalSearch/NCP4671DMX12TCG/page-1", "NCP4671DMX12TCG")</f>
        <v>NCP4671DMX12TCG</v>
      </c>
      <c r="B37705" s="3" t="s">
        <v>95</v>
      </c>
      <c r="C37705" s="6">
        <v>20000</v>
      </c>
      <c r="D37705" s="7">
        <v>1.84</v>
      </c>
    </row>
    <row r="37706" spans="1:5" x14ac:dyDescent="0.25">
      <c r="A37706" t="str">
        <f>HYPERLINK("https://www.773grp.com/globalSearch/NCP4671DMX13TCG/page-1", "NCP4671DMX13TCG")</f>
        <v>NCP4671DMX13TCG</v>
      </c>
      <c r="B37706" s="3" t="s">
        <v>95</v>
      </c>
      <c r="C37706" s="6">
        <v>30000</v>
      </c>
      <c r="D37706" s="7">
        <v>1.84</v>
      </c>
    </row>
    <row r="37707" spans="1:5" x14ac:dyDescent="0.25">
      <c r="A37707" t="str">
        <f>HYPERLINK("https://www.773grp.com/globalSearch/NCP4671DMX15TCG/page-1", "NCP4671DMX15TCG")</f>
        <v>NCP4671DMX15TCG</v>
      </c>
      <c r="B37707" s="3" t="s">
        <v>95</v>
      </c>
      <c r="C37707" s="6">
        <v>20000</v>
      </c>
      <c r="D37707" s="7">
        <v>1.84</v>
      </c>
    </row>
    <row r="37708" spans="1:5" x14ac:dyDescent="0.25">
      <c r="A37708" t="str">
        <f>HYPERLINK("https://www.773grp.com/globalSearch/NCP4688DMU28TCG/page-1", "NCP4688DMU28TCG")</f>
        <v>NCP4688DMU28TCG</v>
      </c>
      <c r="B37708" s="3" t="s">
        <v>95</v>
      </c>
      <c r="C37708" s="6">
        <v>10000</v>
      </c>
      <c r="D37708" s="7">
        <v>1.84</v>
      </c>
    </row>
    <row r="37709" spans="1:5" x14ac:dyDescent="0.25">
      <c r="A37709" t="str">
        <f>HYPERLINK("https://www.773grp.com/globalSearch/NCP5230MNTWG/page-1", "NCP5230MNTWG")</f>
        <v>NCP5230MNTWG</v>
      </c>
      <c r="B37709" s="3" t="s">
        <v>95</v>
      </c>
      <c r="C37709" s="6">
        <v>5276</v>
      </c>
      <c r="D37709" s="7">
        <v>1.84</v>
      </c>
    </row>
    <row r="37710" spans="1:5" x14ac:dyDescent="0.25">
      <c r="A37710" t="str">
        <f>HYPERLINK("https://www.773grp.com/globalSearch/NCV2931D2T-5.0R4/page-1", "NCV2931D2T-5.0R4")</f>
        <v>NCV2931D2T-5.0R4</v>
      </c>
      <c r="B37710" s="3" t="s">
        <v>95</v>
      </c>
      <c r="C37710" s="6">
        <v>545</v>
      </c>
      <c r="D37710" s="7">
        <v>1.84</v>
      </c>
      <c r="E37710" t="s">
        <v>19</v>
      </c>
    </row>
    <row r="37711" spans="1:5" x14ac:dyDescent="0.25">
      <c r="A37711" t="str">
        <f>HYPERLINK("https://www.773grp.com/globalSearch/NCV33064D-5R2G/page-1", "NCV33064D-5R2G")</f>
        <v>NCV33064D-5R2G</v>
      </c>
      <c r="B37711" s="3" t="s">
        <v>95</v>
      </c>
      <c r="C37711" s="6">
        <v>4891</v>
      </c>
      <c r="D37711" s="7">
        <v>1.84</v>
      </c>
      <c r="E37711" t="s">
        <v>30</v>
      </c>
    </row>
    <row r="37712" spans="1:5" x14ac:dyDescent="0.25">
      <c r="A37712" t="str">
        <f>HYPERLINK("https://www.773grp.com/globalSearch/NCV33064DM-5R2G/page-1", "NCV33064DM-5R2G")</f>
        <v>NCV33064DM-5R2G</v>
      </c>
      <c r="B37712" s="3" t="s">
        <v>95</v>
      </c>
      <c r="C37712" s="6">
        <v>7974</v>
      </c>
      <c r="D37712" s="7">
        <v>1.84</v>
      </c>
      <c r="E37712" t="s">
        <v>30</v>
      </c>
    </row>
    <row r="37713" spans="1:5" x14ac:dyDescent="0.25">
      <c r="A37713" t="str">
        <f>HYPERLINK("https://www.773grp.com/globalSearch/NCV33064P-5RAG/page-1", "NCV33064P-5RAG")</f>
        <v>NCV33064P-5RAG</v>
      </c>
      <c r="B37713" s="3" t="s">
        <v>95</v>
      </c>
      <c r="C37713" s="6">
        <v>4000</v>
      </c>
      <c r="D37713" s="7">
        <v>1.84</v>
      </c>
      <c r="E37713" t="s">
        <v>30</v>
      </c>
    </row>
    <row r="37714" spans="1:5" x14ac:dyDescent="0.25">
      <c r="A37714" t="str">
        <f>HYPERLINK("https://www.773grp.com/globalSearch/NCV33064P-5RPG/page-1", "NCV33064P-5RPG")</f>
        <v>NCV33064P-5RPG</v>
      </c>
      <c r="B37714" s="3" t="s">
        <v>95</v>
      </c>
      <c r="C37714" s="6">
        <v>5388</v>
      </c>
      <c r="D37714" s="7">
        <v>1.84</v>
      </c>
      <c r="E37714" t="s">
        <v>30</v>
      </c>
    </row>
    <row r="37715" spans="1:5" x14ac:dyDescent="0.25">
      <c r="A37715" t="str">
        <f>HYPERLINK("https://www.773grp.com/globalSearch/NCV33164D-3R2G/page-1", "NCV33164D-3R2G")</f>
        <v>NCV33164D-3R2G</v>
      </c>
      <c r="B37715" s="3" t="s">
        <v>95</v>
      </c>
      <c r="C37715" s="6">
        <v>19965</v>
      </c>
      <c r="D37715" s="7">
        <v>1.84</v>
      </c>
      <c r="E37715" t="s">
        <v>30</v>
      </c>
    </row>
    <row r="37716" spans="1:5" x14ac:dyDescent="0.25">
      <c r="A37716" t="str">
        <f>HYPERLINK("https://www.773grp.com/globalSearch/NDD03N80Z-1G/page-1", "NDD03N80Z-1G")</f>
        <v>NDD03N80Z-1G</v>
      </c>
      <c r="B37716" s="3" t="s">
        <v>95</v>
      </c>
      <c r="C37716" s="6">
        <v>21554</v>
      </c>
      <c r="D37716" s="7">
        <v>1.84</v>
      </c>
    </row>
    <row r="37717" spans="1:5" x14ac:dyDescent="0.25">
      <c r="A37717" t="str">
        <f>HYPERLINK("https://www.773grp.com/globalSearch/NDF06N60ZG/page-1", "NDF06N60ZG")</f>
        <v>NDF06N60ZG</v>
      </c>
      <c r="B37717" s="3" t="s">
        <v>95</v>
      </c>
      <c r="C37717" s="6">
        <v>11137</v>
      </c>
      <c r="D37717" s="7">
        <v>1.84</v>
      </c>
      <c r="E37717" t="s">
        <v>105</v>
      </c>
    </row>
    <row r="37718" spans="1:5" x14ac:dyDescent="0.25">
      <c r="A37718" t="str">
        <f>HYPERLINK("https://www.773grp.com/globalSearch/NDF08N50ZH/page-1", "NDF08N50ZH")</f>
        <v>NDF08N50ZH</v>
      </c>
      <c r="B37718" s="3" t="s">
        <v>95</v>
      </c>
      <c r="C37718" s="6">
        <v>10540</v>
      </c>
      <c r="D37718" s="7">
        <v>1.84</v>
      </c>
    </row>
    <row r="37719" spans="1:5" x14ac:dyDescent="0.25">
      <c r="A37719" t="str">
        <f>HYPERLINK("https://www.773grp.com/globalSearch/NE5532AD8/page-1", "NE5532AD8")</f>
        <v>NE5532AD8</v>
      </c>
      <c r="B37719" s="3" t="s">
        <v>95</v>
      </c>
      <c r="C37719" s="6">
        <v>20</v>
      </c>
      <c r="D37719" s="7">
        <v>1.84</v>
      </c>
      <c r="E37719" t="s">
        <v>13</v>
      </c>
    </row>
    <row r="37720" spans="1:5" x14ac:dyDescent="0.25">
      <c r="A37720" t="str">
        <f>HYPERLINK("https://www.773grp.com/globalSearch/NGB8206NG/page-1", "NGB8206NG")</f>
        <v>NGB8206NG</v>
      </c>
      <c r="B37720" s="3" t="s">
        <v>95</v>
      </c>
      <c r="C37720" s="6">
        <v>10940</v>
      </c>
      <c r="D37720" s="7">
        <v>1.84</v>
      </c>
      <c r="E37720" t="s">
        <v>115</v>
      </c>
    </row>
    <row r="37721" spans="1:5" x14ac:dyDescent="0.25">
      <c r="A37721" t="str">
        <f>HYPERLINK("https://www.773grp.com/globalSearch/NGB8206NSL3/page-1", "NGB8206NSL3")</f>
        <v>NGB8206NSL3</v>
      </c>
      <c r="B37721" s="3" t="s">
        <v>95</v>
      </c>
      <c r="C37721" s="6">
        <v>3350</v>
      </c>
      <c r="D37721" s="7">
        <v>1.84</v>
      </c>
      <c r="E37721" t="s">
        <v>115</v>
      </c>
    </row>
    <row r="37722" spans="1:5" x14ac:dyDescent="0.25">
      <c r="A37722" t="str">
        <f>HYPERLINK("https://www.773grp.com/globalSearch/NGB8206NTF4/page-1", "NGB8206NTF4")</f>
        <v>NGB8206NTF4</v>
      </c>
      <c r="B37722" s="3" t="s">
        <v>95</v>
      </c>
      <c r="C37722" s="6">
        <v>4000</v>
      </c>
      <c r="D37722" s="7">
        <v>1.84</v>
      </c>
      <c r="E37722" t="s">
        <v>115</v>
      </c>
    </row>
    <row r="37723" spans="1:5" x14ac:dyDescent="0.25">
      <c r="A37723" t="str">
        <f>HYPERLINK("https://www.773grp.com/globalSearch/NID9N05ACLT4G/page-1", "NID9N05ACLT4G")</f>
        <v>NID9N05ACLT4G</v>
      </c>
      <c r="B37723" s="3" t="s">
        <v>95</v>
      </c>
      <c r="C37723" s="6">
        <v>2500</v>
      </c>
      <c r="D37723" s="7">
        <v>1.84</v>
      </c>
    </row>
    <row r="37724" spans="1:5" x14ac:dyDescent="0.25">
      <c r="A37724" t="str">
        <f>HYPERLINK("https://www.773grp.com/globalSearch/NID9N05CLT4G/page-1", "NID9N05CLT4G")</f>
        <v>NID9N05CLT4G</v>
      </c>
      <c r="B37724" s="3" t="s">
        <v>95</v>
      </c>
      <c r="C37724" s="6">
        <v>1054</v>
      </c>
      <c r="D37724" s="7">
        <v>1.84</v>
      </c>
      <c r="E37724" t="s">
        <v>105</v>
      </c>
    </row>
    <row r="37725" spans="1:5" x14ac:dyDescent="0.25">
      <c r="A37725" t="str">
        <f>HYPERLINK("https://www.773grp.com/globalSearch/NIF9N05CLT1G/page-1", "NIF9N05CLT1G")</f>
        <v>NIF9N05CLT1G</v>
      </c>
      <c r="B37725" s="3" t="s">
        <v>95</v>
      </c>
      <c r="C37725" s="6">
        <v>122614</v>
      </c>
      <c r="D37725" s="7">
        <v>1.84</v>
      </c>
      <c r="E37725" t="s">
        <v>105</v>
      </c>
    </row>
    <row r="37726" spans="1:5" x14ac:dyDescent="0.25">
      <c r="A37726" t="str">
        <f>HYPERLINK("https://www.773grp.com/globalSearch/NIF9N05CLT3G/page-1", "NIF9N05CLT3G")</f>
        <v>NIF9N05CLT3G</v>
      </c>
      <c r="B37726" s="3" t="s">
        <v>95</v>
      </c>
      <c r="C37726" s="6">
        <v>8000</v>
      </c>
      <c r="D37726" s="7">
        <v>1.84</v>
      </c>
      <c r="E37726" t="s">
        <v>105</v>
      </c>
    </row>
    <row r="37727" spans="1:5" x14ac:dyDescent="0.25">
      <c r="A37727" t="str">
        <f>HYPERLINK("https://www.773grp.com/globalSearch/NIS5135MN2TXG/page-1", "NIS5135MN2TXG")</f>
        <v>NIS5135MN2TXG</v>
      </c>
      <c r="B37727" s="3" t="s">
        <v>95</v>
      </c>
      <c r="C37727" s="6">
        <v>1450</v>
      </c>
      <c r="D37727" s="7">
        <v>1.84</v>
      </c>
    </row>
    <row r="37728" spans="1:5" x14ac:dyDescent="0.25">
      <c r="A37728" t="str">
        <f>HYPERLINK("https://www.773grp.com/globalSearch/NLAS3699BMN1R2G/page-1", "NLAS3699BMN1R2G")</f>
        <v>NLAS3699BMN1R2G</v>
      </c>
      <c r="B37728" s="3" t="s">
        <v>95</v>
      </c>
      <c r="C37728" s="6">
        <v>92139</v>
      </c>
      <c r="D37728" s="7">
        <v>1.84</v>
      </c>
      <c r="E37728" t="s">
        <v>56</v>
      </c>
    </row>
    <row r="37729" spans="1:5" x14ac:dyDescent="0.25">
      <c r="A37729" t="str">
        <f>HYPERLINK("https://www.773grp.com/globalSearch/NLAS4684FCT1/page-1", "NLAS4684FCT1")</f>
        <v>NLAS4684FCT1</v>
      </c>
      <c r="B37729" s="3" t="s">
        <v>95</v>
      </c>
      <c r="C37729" s="6">
        <v>893400</v>
      </c>
      <c r="D37729" s="7">
        <v>1.84</v>
      </c>
      <c r="E37729" t="s">
        <v>56</v>
      </c>
    </row>
    <row r="37730" spans="1:5" x14ac:dyDescent="0.25">
      <c r="A37730" t="str">
        <f>HYPERLINK("https://www.773grp.com/globalSearch/NLAS4684FCT1G/page-1", "NLAS4684FCT1G")</f>
        <v>NLAS4684FCT1G</v>
      </c>
      <c r="B37730" s="3" t="s">
        <v>95</v>
      </c>
      <c r="C37730" s="6">
        <v>285713</v>
      </c>
      <c r="D37730" s="7">
        <v>1.84</v>
      </c>
      <c r="E37730" t="s">
        <v>56</v>
      </c>
    </row>
    <row r="37731" spans="1:5" x14ac:dyDescent="0.25">
      <c r="A37731" t="str">
        <f>HYPERLINK("https://www.773grp.com/globalSearch/NLAS4684MNR2/page-1", "NLAS4684MNR2")</f>
        <v>NLAS4684MNR2</v>
      </c>
      <c r="B37731" s="3" t="s">
        <v>95</v>
      </c>
      <c r="C37731" s="6">
        <v>33000</v>
      </c>
      <c r="D37731" s="7">
        <v>1.84</v>
      </c>
      <c r="E37731" t="s">
        <v>56</v>
      </c>
    </row>
    <row r="37732" spans="1:5" x14ac:dyDescent="0.25">
      <c r="A37732" t="str">
        <f>HYPERLINK("https://www.773grp.com/globalSearch/NLAS4685FCT1/page-1", "NLAS4685FCT1")</f>
        <v>NLAS4685FCT1</v>
      </c>
      <c r="B37732" s="3" t="s">
        <v>95</v>
      </c>
      <c r="C37732" s="6">
        <v>38540</v>
      </c>
      <c r="D37732" s="7">
        <v>1.84</v>
      </c>
      <c r="E37732" t="s">
        <v>56</v>
      </c>
    </row>
    <row r="37733" spans="1:5" x14ac:dyDescent="0.25">
      <c r="A37733" t="str">
        <f>HYPERLINK("https://www.773grp.com/globalSearch/NLVHC4851ADR2G/page-1", "NLVHC4851ADR2G")</f>
        <v>NLVHC4851ADR2G</v>
      </c>
      <c r="B37733" s="3" t="s">
        <v>95</v>
      </c>
      <c r="C37733" s="6">
        <v>5000</v>
      </c>
      <c r="D37733" s="7">
        <v>1.84</v>
      </c>
    </row>
    <row r="37734" spans="1:5" x14ac:dyDescent="0.25">
      <c r="A37734" t="str">
        <f>HYPERLINK("https://www.773grp.com/globalSearch/NLVHC4851ADTR2G/page-1", "NLVHC4851ADTR2G")</f>
        <v>NLVHC4851ADTR2G</v>
      </c>
      <c r="B37734" s="3" t="s">
        <v>95</v>
      </c>
      <c r="C37734" s="6">
        <v>3681</v>
      </c>
      <c r="D37734" s="7">
        <v>1.84</v>
      </c>
    </row>
    <row r="37735" spans="1:5" x14ac:dyDescent="0.25">
      <c r="A37735" t="str">
        <f>HYPERLINK("https://www.773grp.com/globalSearch/NLVHC4852ADTR2G/page-1", "NLVHC4852ADTR2G")</f>
        <v>NLVHC4852ADTR2G</v>
      </c>
      <c r="B37735" s="3" t="s">
        <v>95</v>
      </c>
      <c r="C37735" s="6">
        <v>3339</v>
      </c>
      <c r="D37735" s="7">
        <v>1.84</v>
      </c>
    </row>
    <row r="37736" spans="1:5" x14ac:dyDescent="0.25">
      <c r="A37736" t="str">
        <f>HYPERLINK("https://www.773grp.com/globalSearch/NTB18N06G/page-1", "NTB18N06G")</f>
        <v>NTB18N06G</v>
      </c>
      <c r="B37736" s="3" t="s">
        <v>95</v>
      </c>
      <c r="C37736" s="6">
        <v>2100</v>
      </c>
      <c r="D37736" s="7">
        <v>1.84</v>
      </c>
      <c r="E37736" t="s">
        <v>105</v>
      </c>
    </row>
    <row r="37737" spans="1:5" x14ac:dyDescent="0.25">
      <c r="A37737" t="str">
        <f>HYPERLINK("https://www.773grp.com/globalSearch/NTD24N06T4G/page-1", "NTD24N06T4G")</f>
        <v>NTD24N06T4G</v>
      </c>
      <c r="B37737" s="3" t="s">
        <v>95</v>
      </c>
      <c r="C37737" s="6">
        <v>2530</v>
      </c>
      <c r="D37737" s="7">
        <v>1.84</v>
      </c>
    </row>
    <row r="37738" spans="1:5" x14ac:dyDescent="0.25">
      <c r="A37738" t="str">
        <f>HYPERLINK("https://www.773grp.com/globalSearch/NTD32N06G/page-1", "NTD32N06G")</f>
        <v>NTD32N06G</v>
      </c>
      <c r="B37738" s="3" t="s">
        <v>95</v>
      </c>
      <c r="C37738" s="6">
        <v>375</v>
      </c>
      <c r="D37738" s="7">
        <v>1.84</v>
      </c>
    </row>
    <row r="37739" spans="1:5" x14ac:dyDescent="0.25">
      <c r="A37739" t="str">
        <f>HYPERLINK("https://www.773grp.com/globalSearch/NTD4804N-1G/page-1", "NTD4804N-1G")</f>
        <v>NTD4804N-1G</v>
      </c>
      <c r="B37739" s="3" t="s">
        <v>95</v>
      </c>
      <c r="C37739" s="6">
        <v>70</v>
      </c>
      <c r="D37739" s="7">
        <v>1.84</v>
      </c>
      <c r="E37739" t="s">
        <v>105</v>
      </c>
    </row>
    <row r="37740" spans="1:5" x14ac:dyDescent="0.25">
      <c r="A37740" t="str">
        <f>HYPERLINK("https://www.773grp.com/globalSearch/NTD4804N-35G/page-1", "NTD4804N-35G")</f>
        <v>NTD4804N-35G</v>
      </c>
      <c r="B37740" s="3" t="s">
        <v>95</v>
      </c>
      <c r="C37740" s="6">
        <v>43200</v>
      </c>
      <c r="D37740" s="7">
        <v>1.84</v>
      </c>
      <c r="E37740" t="s">
        <v>105</v>
      </c>
    </row>
    <row r="37741" spans="1:5" x14ac:dyDescent="0.25">
      <c r="A37741" t="str">
        <f>HYPERLINK("https://www.773grp.com/globalSearch/NTMFS4899NFT1G/page-1", "NTMFS4899NFT1G")</f>
        <v>NTMFS4899NFT1G</v>
      </c>
      <c r="B37741" s="3" t="s">
        <v>95</v>
      </c>
      <c r="C37741" s="6">
        <v>2995</v>
      </c>
      <c r="D37741" s="7">
        <v>1.84</v>
      </c>
      <c r="E37741" t="s">
        <v>105</v>
      </c>
    </row>
    <row r="37742" spans="1:5" x14ac:dyDescent="0.25">
      <c r="A37742" t="str">
        <f>HYPERLINK("https://www.773grp.com/globalSearch/NTMS4107NR2G/page-1", "NTMS4107NR2G")</f>
        <v>NTMS4107NR2G</v>
      </c>
      <c r="B37742" s="3" t="s">
        <v>95</v>
      </c>
      <c r="C37742" s="6">
        <v>8500</v>
      </c>
      <c r="D37742" s="7">
        <v>1.84</v>
      </c>
      <c r="E37742" t="s">
        <v>106</v>
      </c>
    </row>
    <row r="37743" spans="1:5" x14ac:dyDescent="0.25">
      <c r="A37743" t="str">
        <f>HYPERLINK("https://www.773grp.com/globalSearch/NTP27N06G/page-1", "NTP27N06G")</f>
        <v>NTP27N06G</v>
      </c>
      <c r="B37743" s="3" t="s">
        <v>95</v>
      </c>
      <c r="C37743" s="6">
        <v>66</v>
      </c>
      <c r="D37743" s="7">
        <v>1.84</v>
      </c>
      <c r="E37743" t="s">
        <v>105</v>
      </c>
    </row>
    <row r="37744" spans="1:5" x14ac:dyDescent="0.25">
      <c r="A37744" t="str">
        <f>HYPERLINK("https://www.773grp.com/globalSearch/NTTFS3A08PZTWG/page-1", "NTTFS3A08PZTWG")</f>
        <v>NTTFS3A08PZTWG</v>
      </c>
      <c r="B37744" s="3" t="s">
        <v>95</v>
      </c>
      <c r="C37744" s="6">
        <v>20000</v>
      </c>
      <c r="D37744" s="7">
        <v>1.84</v>
      </c>
    </row>
    <row r="37745" spans="1:5" x14ac:dyDescent="0.25">
      <c r="A37745" t="str">
        <f>HYPERLINK("https://www.773grp.com/globalSearch/NTTFS4840NTAG/page-1", "NTTFS4840NTAG")</f>
        <v>NTTFS4840NTAG</v>
      </c>
      <c r="B37745" s="3" t="s">
        <v>95</v>
      </c>
      <c r="C37745" s="6">
        <v>4500</v>
      </c>
      <c r="D37745" s="7">
        <v>1.84</v>
      </c>
      <c r="E37745" t="s">
        <v>105</v>
      </c>
    </row>
    <row r="37746" spans="1:5" x14ac:dyDescent="0.25">
      <c r="A37746" t="str">
        <f>HYPERLINK("https://www.773grp.com/globalSearch/PACDN043Y4R/page-1", "PACDN043Y4R")</f>
        <v>PACDN043Y4R</v>
      </c>
      <c r="B37746" s="3" t="s">
        <v>95</v>
      </c>
      <c r="C37746" s="6">
        <v>448070</v>
      </c>
      <c r="D37746" s="7">
        <v>1.84</v>
      </c>
      <c r="E37746" t="s">
        <v>96</v>
      </c>
    </row>
    <row r="37747" spans="1:5" x14ac:dyDescent="0.25">
      <c r="A37747" t="str">
        <f>HYPERLINK("https://www.773grp.com/globalSearch/PACDN044YB5R/page-1", "PACDN044YB5R")</f>
        <v>PACDN044YB5R</v>
      </c>
      <c r="B37747" s="3" t="s">
        <v>95</v>
      </c>
      <c r="C37747" s="6">
        <v>1752000</v>
      </c>
      <c r="D37747" s="7">
        <v>1.84</v>
      </c>
      <c r="E37747" t="s">
        <v>96</v>
      </c>
    </row>
    <row r="37748" spans="1:5" x14ac:dyDescent="0.25">
      <c r="A37748" t="str">
        <f>HYPERLINK("https://www.773grp.com/globalSearch/PACDN045Y6R/page-1", "PACDN045Y6R")</f>
        <v>PACDN045Y6R</v>
      </c>
      <c r="B37748" s="3" t="s">
        <v>95</v>
      </c>
      <c r="C37748" s="6">
        <v>15000</v>
      </c>
      <c r="D37748" s="7">
        <v>1.84</v>
      </c>
    </row>
    <row r="37749" spans="1:5" x14ac:dyDescent="0.25">
      <c r="A37749" t="str">
        <f>HYPERLINK("https://www.773grp.com/globalSearch/PACDN046MR/page-1", "PACDN046MR")</f>
        <v>PACDN046MR</v>
      </c>
      <c r="B37749" s="3" t="s">
        <v>95</v>
      </c>
      <c r="C37749" s="6">
        <v>40000</v>
      </c>
      <c r="D37749" s="7">
        <v>1.84</v>
      </c>
    </row>
    <row r="37750" spans="1:5" x14ac:dyDescent="0.25">
      <c r="A37750" t="str">
        <f>HYPERLINK("https://www.773grp.com/globalSearch/SC33262DR2G/page-1", "SC33262DR2G")</f>
        <v>SC33262DR2G</v>
      </c>
      <c r="B37750" s="3" t="s">
        <v>95</v>
      </c>
      <c r="C37750" s="6">
        <v>81668</v>
      </c>
      <c r="D37750" s="7">
        <v>1.84</v>
      </c>
    </row>
    <row r="37751" spans="1:5" x14ac:dyDescent="0.25">
      <c r="A37751" t="str">
        <f>HYPERLINK("https://www.773grp.com/globalSearch/SC34063ADR2G/page-1", "SC34063ADR2G")</f>
        <v>SC34063ADR2G</v>
      </c>
      <c r="B37751" s="3" t="s">
        <v>95</v>
      </c>
      <c r="C37751" s="6">
        <v>7500</v>
      </c>
      <c r="D37751" s="7">
        <v>1.84</v>
      </c>
    </row>
    <row r="37752" spans="1:5" x14ac:dyDescent="0.25">
      <c r="A37752" t="str">
        <f>HYPERLINK("https://www.773grp.com/globalSearch/SCY33201DR2G/page-1", "SCY33201DR2G")</f>
        <v>SCY33201DR2G</v>
      </c>
      <c r="B37752" s="3" t="s">
        <v>95</v>
      </c>
      <c r="C37752" s="6">
        <v>4472</v>
      </c>
      <c r="D37752" s="7">
        <v>1.84</v>
      </c>
    </row>
    <row r="37753" spans="1:5" x14ac:dyDescent="0.25">
      <c r="A37753" t="str">
        <f>HYPERLINK("https://www.773grp.com/globalSearch/SCY33202DR2G/page-1", "SCY33202DR2G")</f>
        <v>SCY33202DR2G</v>
      </c>
      <c r="B37753" s="3" t="s">
        <v>95</v>
      </c>
      <c r="C37753" s="6">
        <v>2384</v>
      </c>
      <c r="D37753" s="7">
        <v>1.84</v>
      </c>
    </row>
    <row r="37754" spans="1:5" x14ac:dyDescent="0.25">
      <c r="A37754" t="str">
        <f>HYPERLINK("https://www.773grp.com/globalSearch/T2500DFP/page-1", "T2500DFP")</f>
        <v>T2500DFP</v>
      </c>
      <c r="B37754" s="3" t="s">
        <v>95</v>
      </c>
      <c r="C37754" s="6">
        <v>46738</v>
      </c>
      <c r="D37754" s="7">
        <v>1.84</v>
      </c>
      <c r="E37754" t="s">
        <v>102</v>
      </c>
    </row>
    <row r="37755" spans="1:5" x14ac:dyDescent="0.25">
      <c r="A37755" t="str">
        <f>HYPERLINK("https://www.773grp.com/globalSearch/TCA0372BDWR2/page-1", "TCA0372BDWR2")</f>
        <v>TCA0372BDWR2</v>
      </c>
      <c r="B37755" s="3" t="s">
        <v>95</v>
      </c>
      <c r="C37755" s="6">
        <v>1000</v>
      </c>
      <c r="D37755" s="7">
        <v>1.84</v>
      </c>
      <c r="E37755" t="s">
        <v>13</v>
      </c>
    </row>
    <row r="37756" spans="1:5" x14ac:dyDescent="0.25">
      <c r="A37756" t="str">
        <f>HYPERLINK("https://www.773grp.com/globalSearch/TCA0372DP1/page-1", "TCA0372DP1")</f>
        <v>TCA0372DP1</v>
      </c>
      <c r="B37756" s="3" t="s">
        <v>95</v>
      </c>
      <c r="C37756" s="6">
        <v>650</v>
      </c>
      <c r="D37756" s="7">
        <v>1.84</v>
      </c>
      <c r="E37756" t="s">
        <v>13</v>
      </c>
    </row>
    <row r="37757" spans="1:5" x14ac:dyDescent="0.25">
      <c r="A37757" t="str">
        <f>HYPERLINK("https://www.773grp.com/globalSearch/TIP100G/page-1", "TIP100G")</f>
        <v>TIP100G</v>
      </c>
      <c r="B37757" s="3" t="s">
        <v>95</v>
      </c>
      <c r="C37757" s="6">
        <v>5554</v>
      </c>
      <c r="D37757" s="7">
        <v>1.84</v>
      </c>
      <c r="E37757" t="s">
        <v>59</v>
      </c>
    </row>
    <row r="37758" spans="1:5" x14ac:dyDescent="0.25">
      <c r="A37758" t="str">
        <f>HYPERLINK("https://www.773grp.com/globalSearch/TIP101G/page-1", "TIP101G")</f>
        <v>TIP101G</v>
      </c>
      <c r="B37758" s="3" t="s">
        <v>95</v>
      </c>
      <c r="C37758" s="6">
        <v>1414</v>
      </c>
      <c r="D37758" s="7">
        <v>1.84</v>
      </c>
      <c r="E37758" t="s">
        <v>59</v>
      </c>
    </row>
    <row r="37759" spans="1:5" x14ac:dyDescent="0.25">
      <c r="A37759" t="str">
        <f>HYPERLINK("https://www.773grp.com/globalSearch/TIP102G/page-1", "TIP102G")</f>
        <v>TIP102G</v>
      </c>
      <c r="B37759" s="3" t="s">
        <v>95</v>
      </c>
      <c r="C37759" s="6">
        <v>4814</v>
      </c>
      <c r="D37759" s="7">
        <v>1.84</v>
      </c>
      <c r="E37759" t="s">
        <v>59</v>
      </c>
    </row>
    <row r="37760" spans="1:5" x14ac:dyDescent="0.25">
      <c r="A37760" t="str">
        <f>HYPERLINK("https://www.773grp.com/globalSearch/TIP140/page-1", "TIP140")</f>
        <v>TIP140</v>
      </c>
      <c r="B37760" s="3" t="s">
        <v>95</v>
      </c>
      <c r="C37760" s="6">
        <v>4661</v>
      </c>
      <c r="D37760" s="7">
        <v>1.84</v>
      </c>
      <c r="E37760" t="s">
        <v>59</v>
      </c>
    </row>
    <row r="37761" spans="1:5" x14ac:dyDescent="0.25">
      <c r="A37761" t="str">
        <f>HYPERLINK("https://www.773grp.com/globalSearch/TIP33AG/page-1", "TIP33AG")</f>
        <v>TIP33AG</v>
      </c>
      <c r="B37761" s="3" t="s">
        <v>95</v>
      </c>
      <c r="C37761" s="6">
        <v>870</v>
      </c>
      <c r="D37761" s="7">
        <v>1.84</v>
      </c>
      <c r="E37761" t="s">
        <v>59</v>
      </c>
    </row>
    <row r="37762" spans="1:5" x14ac:dyDescent="0.25">
      <c r="A37762" t="str">
        <f>HYPERLINK("https://www.773grp.com/globalSearch/TIP33C/page-1", "TIP33C")</f>
        <v>TIP33C</v>
      </c>
      <c r="B37762" s="3" t="s">
        <v>95</v>
      </c>
      <c r="C37762" s="6">
        <v>1300</v>
      </c>
      <c r="D37762" s="7">
        <v>1.84</v>
      </c>
      <c r="E37762" t="s">
        <v>59</v>
      </c>
    </row>
    <row r="37763" spans="1:5" x14ac:dyDescent="0.25">
      <c r="A37763" t="str">
        <f>HYPERLINK("https://www.773grp.com/globalSearch/TL064ACN/page-1", "TL064ACN")</f>
        <v>TL064ACN</v>
      </c>
      <c r="B37763" s="3" t="s">
        <v>95</v>
      </c>
      <c r="C37763" s="6">
        <v>88</v>
      </c>
      <c r="D37763" s="7">
        <v>1.84</v>
      </c>
      <c r="E37763" t="s">
        <v>13</v>
      </c>
    </row>
    <row r="37764" spans="1:5" x14ac:dyDescent="0.25">
      <c r="A37764" t="str">
        <f>HYPERLINK("https://www.773grp.com/globalSearch/TL431BVPG/page-1", "TL431BVPG")</f>
        <v>TL431BVPG</v>
      </c>
      <c r="B37764" s="3" t="s">
        <v>95</v>
      </c>
      <c r="C37764" s="6">
        <v>6815</v>
      </c>
      <c r="D37764" s="7">
        <v>1.84</v>
      </c>
      <c r="E37764" t="s">
        <v>17</v>
      </c>
    </row>
    <row r="37765" spans="1:5" x14ac:dyDescent="0.25">
      <c r="A37765" t="str">
        <f>HYPERLINK("https://www.773grp.com/globalSearch/2N6387G/page-1", "2N6387G")</f>
        <v>2N6387G</v>
      </c>
      <c r="B37765" s="3" t="s">
        <v>95</v>
      </c>
      <c r="C37765" s="6">
        <v>2948</v>
      </c>
      <c r="D37765" s="7">
        <v>1.91</v>
      </c>
      <c r="E37765" t="s">
        <v>59</v>
      </c>
    </row>
    <row r="37766" spans="1:5" x14ac:dyDescent="0.25">
      <c r="A37766" t="str">
        <f>HYPERLINK("https://www.773grp.com/globalSearch/2N6388G/page-1", "2N6388G")</f>
        <v>2N6388G</v>
      </c>
      <c r="B37766" s="3" t="s">
        <v>95</v>
      </c>
      <c r="C37766" s="6">
        <v>8292</v>
      </c>
      <c r="D37766" s="7">
        <v>1.91</v>
      </c>
      <c r="E37766" t="s">
        <v>59</v>
      </c>
    </row>
    <row r="37767" spans="1:5" x14ac:dyDescent="0.25">
      <c r="A37767" t="str">
        <f>HYPERLINK("https://www.773grp.com/globalSearch/BDW46G/page-1", "BDW46G")</f>
        <v>BDW46G</v>
      </c>
      <c r="B37767" s="3" t="s">
        <v>95</v>
      </c>
      <c r="C37767" s="6">
        <v>1937</v>
      </c>
      <c r="D37767" s="7">
        <v>1.91</v>
      </c>
      <c r="E37767" t="s">
        <v>59</v>
      </c>
    </row>
    <row r="37768" spans="1:5" x14ac:dyDescent="0.25">
      <c r="A37768" t="str">
        <f>HYPERLINK("https://www.773grp.com/globalSearch/BTB08-600BW3G/page-1", "BTB08-600BW3G")</f>
        <v>BTB08-600BW3G</v>
      </c>
      <c r="B37768" s="3" t="s">
        <v>95</v>
      </c>
      <c r="C37768" s="6">
        <v>241390</v>
      </c>
      <c r="D37768" s="7">
        <v>1.91</v>
      </c>
      <c r="E37768" t="s">
        <v>102</v>
      </c>
    </row>
    <row r="37769" spans="1:5" x14ac:dyDescent="0.25">
      <c r="A37769" t="str">
        <f>HYPERLINK("https://www.773grp.com/globalSearch/BTB08-600CW3G/page-1", "BTB08-600CW3G")</f>
        <v>BTB08-600CW3G</v>
      </c>
      <c r="B37769" s="3" t="s">
        <v>95</v>
      </c>
      <c r="C37769" s="6">
        <v>3250</v>
      </c>
      <c r="D37769" s="7">
        <v>1.91</v>
      </c>
      <c r="E37769" t="s">
        <v>102</v>
      </c>
    </row>
    <row r="37770" spans="1:5" x14ac:dyDescent="0.25">
      <c r="A37770" t="str">
        <f>HYPERLINK("https://www.773grp.com/globalSearch/CAT24C21WI/page-1", "CAT24C21WI")</f>
        <v>CAT24C21WI</v>
      </c>
      <c r="B37770" s="3" t="s">
        <v>95</v>
      </c>
      <c r="C37770" s="6">
        <v>17254</v>
      </c>
      <c r="D37770" s="7">
        <v>1.91</v>
      </c>
      <c r="E37770" t="s">
        <v>64</v>
      </c>
    </row>
    <row r="37771" spans="1:5" x14ac:dyDescent="0.25">
      <c r="A37771" t="str">
        <f>HYPERLINK("https://www.773grp.com/globalSearch/CAT24C21WI-G/page-1", "CAT24C21WI-G")</f>
        <v>CAT24C21WI-G</v>
      </c>
      <c r="B37771" s="3" t="s">
        <v>95</v>
      </c>
      <c r="C37771" s="6">
        <v>5600</v>
      </c>
      <c r="D37771" s="7">
        <v>1.91</v>
      </c>
    </row>
    <row r="37772" spans="1:5" x14ac:dyDescent="0.25">
      <c r="A37772" t="str">
        <f>HYPERLINK("https://www.773grp.com/globalSearch/CAT4139TD-GT3/page-1", "CAT4139TD-GT3")</f>
        <v>CAT4139TD-GT3</v>
      </c>
      <c r="B37772" s="3" t="s">
        <v>95</v>
      </c>
      <c r="C37772" s="6">
        <v>87000</v>
      </c>
      <c r="D37772" s="7">
        <v>1.91</v>
      </c>
    </row>
    <row r="37773" spans="1:5" x14ac:dyDescent="0.25">
      <c r="A37773" t="str">
        <f>HYPERLINK("https://www.773grp.com/globalSearch/CAT4238TD-GT3/page-1", "CAT4238TD-GT3")</f>
        <v>CAT4238TD-GT3</v>
      </c>
      <c r="B37773" s="3" t="s">
        <v>95</v>
      </c>
      <c r="C37773" s="6">
        <v>63000</v>
      </c>
      <c r="D37773" s="7">
        <v>1.91</v>
      </c>
      <c r="E37773" t="s">
        <v>10</v>
      </c>
    </row>
    <row r="37774" spans="1:5" x14ac:dyDescent="0.25">
      <c r="A37774" t="str">
        <f>HYPERLINK("https://www.773grp.com/globalSearch/CM1234-08DE/page-1", "CM1234-08DE")</f>
        <v>CM1234-08DE</v>
      </c>
      <c r="B37774" s="3" t="s">
        <v>95</v>
      </c>
      <c r="C37774" s="6">
        <v>121</v>
      </c>
      <c r="D37774" s="7">
        <v>1.91</v>
      </c>
    </row>
    <row r="37775" spans="1:5" x14ac:dyDescent="0.25">
      <c r="A37775" t="str">
        <f>HYPERLINK("https://www.773grp.com/globalSearch/CS5203-1GT3/page-1", "CS5203-1GT3")</f>
        <v>CS5203-1GT3</v>
      </c>
      <c r="B37775" s="3" t="s">
        <v>95</v>
      </c>
      <c r="C37775" s="6">
        <v>6400</v>
      </c>
      <c r="D37775" s="7">
        <v>1.91</v>
      </c>
      <c r="E37775" t="s">
        <v>25</v>
      </c>
    </row>
    <row r="37776" spans="1:5" x14ac:dyDescent="0.25">
      <c r="A37776" t="str">
        <f>HYPERLINK("https://www.773grp.com/globalSearch/CS5231-3GDF8/page-1", "CS5231-3GDF8")</f>
        <v>CS5231-3GDF8</v>
      </c>
      <c r="B37776" s="3" t="s">
        <v>95</v>
      </c>
      <c r="C37776" s="6">
        <v>3724</v>
      </c>
      <c r="D37776" s="7">
        <v>1.91</v>
      </c>
      <c r="E37776" t="s">
        <v>19</v>
      </c>
    </row>
    <row r="37777" spans="1:5" x14ac:dyDescent="0.25">
      <c r="A37777" t="str">
        <f>HYPERLINK("https://www.773grp.com/globalSearch/CS8101YDWFR20/page-1", "CS8101YDWFR20")</f>
        <v>CS8101YDWFR20</v>
      </c>
      <c r="B37777" s="3" t="s">
        <v>95</v>
      </c>
      <c r="C37777" s="6">
        <v>6000</v>
      </c>
      <c r="D37777" s="7">
        <v>1.91</v>
      </c>
      <c r="E37777" t="s">
        <v>19</v>
      </c>
    </row>
    <row r="37778" spans="1:5" x14ac:dyDescent="0.25">
      <c r="A37778" t="str">
        <f>HYPERLINK("https://www.773grp.com/globalSearch/D44C12G/page-1", "D44C12G")</f>
        <v>D44C12G</v>
      </c>
      <c r="B37778" s="3" t="s">
        <v>95</v>
      </c>
      <c r="C37778" s="6">
        <v>693</v>
      </c>
      <c r="D37778" s="7">
        <v>1.91</v>
      </c>
      <c r="E37778" t="s">
        <v>59</v>
      </c>
    </row>
    <row r="37779" spans="1:5" x14ac:dyDescent="0.25">
      <c r="A37779" t="str">
        <f>HYPERLINK("https://www.773grp.com/globalSearch/D45C12G/page-1", "D45C12G")</f>
        <v>D45C12G</v>
      </c>
      <c r="B37779" s="3" t="s">
        <v>95</v>
      </c>
      <c r="C37779" s="6">
        <v>93</v>
      </c>
      <c r="D37779" s="7">
        <v>1.91</v>
      </c>
      <c r="E37779" t="s">
        <v>59</v>
      </c>
    </row>
    <row r="37780" spans="1:5" x14ac:dyDescent="0.25">
      <c r="A37780" t="str">
        <f>HYPERLINK("https://www.773grp.com/globalSearch/LM317MABDTG/page-1", "LM317MABDTG")</f>
        <v>LM317MABDTG</v>
      </c>
      <c r="B37780" s="3" t="s">
        <v>95</v>
      </c>
      <c r="C37780" s="6">
        <v>1200</v>
      </c>
      <c r="D37780" s="7">
        <v>1.91</v>
      </c>
      <c r="E37780" t="s">
        <v>22</v>
      </c>
    </row>
    <row r="37781" spans="1:5" x14ac:dyDescent="0.25">
      <c r="A37781" t="str">
        <f>HYPERLINK("https://www.773grp.com/globalSearch/LM317MABDTRKG/page-1", "LM317MABDTRKG")</f>
        <v>LM317MABDTRKG</v>
      </c>
      <c r="B37781" s="3" t="s">
        <v>95</v>
      </c>
      <c r="C37781" s="6">
        <v>78924</v>
      </c>
      <c r="D37781" s="7">
        <v>1.91</v>
      </c>
      <c r="E37781" t="s">
        <v>22</v>
      </c>
    </row>
    <row r="37782" spans="1:5" x14ac:dyDescent="0.25">
      <c r="A37782" t="str">
        <f>HYPERLINK("https://www.773grp.com/globalSearch/LP2951ACD/page-1", "LP2951ACD")</f>
        <v>LP2951ACD</v>
      </c>
      <c r="B37782" s="3" t="s">
        <v>95</v>
      </c>
      <c r="C37782" s="6">
        <v>6300</v>
      </c>
      <c r="D37782" s="7">
        <v>1.91</v>
      </c>
      <c r="E37782" t="s">
        <v>27</v>
      </c>
    </row>
    <row r="37783" spans="1:5" x14ac:dyDescent="0.25">
      <c r="A37783" t="str">
        <f>HYPERLINK("https://www.773grp.com/globalSearch/LP2951ACD-3.0/page-1", "LP2951ACD-3.0")</f>
        <v>LP2951ACD-3.0</v>
      </c>
      <c r="B37783" s="3" t="s">
        <v>95</v>
      </c>
      <c r="C37783" s="6">
        <v>1862</v>
      </c>
      <c r="D37783" s="7">
        <v>1.91</v>
      </c>
      <c r="E37783" t="s">
        <v>19</v>
      </c>
    </row>
    <row r="37784" spans="1:5" x14ac:dyDescent="0.25">
      <c r="A37784" t="str">
        <f>HYPERLINK("https://www.773grp.com/globalSearch/LP2951ACD-3.0R2/page-1", "LP2951ACD-3.0R2")</f>
        <v>LP2951ACD-3.0R2</v>
      </c>
      <c r="B37784" s="3" t="s">
        <v>95</v>
      </c>
      <c r="C37784" s="6">
        <v>5000</v>
      </c>
      <c r="D37784" s="7">
        <v>1.91</v>
      </c>
      <c r="E37784" t="s">
        <v>19</v>
      </c>
    </row>
    <row r="37785" spans="1:5" x14ac:dyDescent="0.25">
      <c r="A37785" t="str">
        <f>HYPERLINK("https://www.773grp.com/globalSearch/LP2951ACD-3.3R2/page-1", "LP2951ACD-3.3R2")</f>
        <v>LP2951ACD-3.3R2</v>
      </c>
      <c r="B37785" s="3" t="s">
        <v>95</v>
      </c>
      <c r="C37785" s="6">
        <v>2390</v>
      </c>
      <c r="D37785" s="7">
        <v>1.91</v>
      </c>
      <c r="E37785" t="s">
        <v>19</v>
      </c>
    </row>
    <row r="37786" spans="1:5" x14ac:dyDescent="0.25">
      <c r="A37786" t="str">
        <f>HYPERLINK("https://www.773grp.com/globalSearch/LP2951ACN/page-1", "LP2951ACN")</f>
        <v>LP2951ACN</v>
      </c>
      <c r="B37786" s="3" t="s">
        <v>95</v>
      </c>
      <c r="C37786" s="6">
        <v>16679</v>
      </c>
      <c r="D37786" s="7">
        <v>1.91</v>
      </c>
      <c r="E37786" t="s">
        <v>27</v>
      </c>
    </row>
    <row r="37787" spans="1:5" x14ac:dyDescent="0.25">
      <c r="A37787" t="str">
        <f>HYPERLINK("https://www.773grp.com/globalSearch/MAC228A6/page-1", "MAC228A6")</f>
        <v>MAC228A6</v>
      </c>
      <c r="B37787" s="3" t="s">
        <v>95</v>
      </c>
      <c r="C37787" s="6">
        <v>9743</v>
      </c>
      <c r="D37787" s="7">
        <v>1.91</v>
      </c>
      <c r="E37787" t="s">
        <v>102</v>
      </c>
    </row>
    <row r="37788" spans="1:5" x14ac:dyDescent="0.25">
      <c r="A37788" t="str">
        <f>HYPERLINK("https://www.773grp.com/globalSearch/MAC228A8/page-1", "MAC228A8")</f>
        <v>MAC228A8</v>
      </c>
      <c r="B37788" s="3" t="s">
        <v>95</v>
      </c>
      <c r="C37788" s="6">
        <v>500</v>
      </c>
      <c r="D37788" s="7">
        <v>1.91</v>
      </c>
      <c r="E37788" t="s">
        <v>102</v>
      </c>
    </row>
    <row r="37789" spans="1:5" x14ac:dyDescent="0.25">
      <c r="A37789" t="str">
        <f>HYPERLINK("https://www.773grp.com/globalSearch/MBR20L60CTG/page-1", "MBR20L60CTG")</f>
        <v>MBR20L60CTG</v>
      </c>
      <c r="B37789" s="3" t="s">
        <v>95</v>
      </c>
      <c r="C37789" s="6">
        <v>230</v>
      </c>
      <c r="D37789" s="7">
        <v>1.91</v>
      </c>
      <c r="E37789" t="s">
        <v>103</v>
      </c>
    </row>
    <row r="37790" spans="1:5" x14ac:dyDescent="0.25">
      <c r="A37790" t="str">
        <f>HYPERLINK("https://www.773grp.com/globalSearch/MC10111P/page-1", "MC10111P")</f>
        <v>MC10111P</v>
      </c>
      <c r="B37790" s="3" t="s">
        <v>95</v>
      </c>
      <c r="C37790" s="6">
        <v>8430</v>
      </c>
      <c r="D37790" s="7">
        <v>1.91</v>
      </c>
      <c r="E37790" t="s">
        <v>31</v>
      </c>
    </row>
    <row r="37791" spans="1:5" x14ac:dyDescent="0.25">
      <c r="A37791" t="str">
        <f>HYPERLINK("https://www.773grp.com/globalSearch/MC14557BDW/page-1", "MC14557BDW")</f>
        <v>MC14557BDW</v>
      </c>
      <c r="B37791" s="3" t="s">
        <v>95</v>
      </c>
      <c r="C37791" s="6">
        <v>271</v>
      </c>
      <c r="D37791" s="7">
        <v>1.91</v>
      </c>
      <c r="E37791" t="s">
        <v>32</v>
      </c>
    </row>
    <row r="37792" spans="1:5" x14ac:dyDescent="0.25">
      <c r="A37792" t="str">
        <f>HYPERLINK("https://www.773grp.com/globalSearch/MC33262DR2G/page-1", "MC33262DR2G")</f>
        <v>MC33262DR2G</v>
      </c>
      <c r="B37792" s="3" t="s">
        <v>95</v>
      </c>
      <c r="C37792" s="6">
        <v>20094</v>
      </c>
      <c r="D37792" s="7">
        <v>1.91</v>
      </c>
      <c r="E37792" t="s">
        <v>7</v>
      </c>
    </row>
    <row r="37793" spans="1:5" x14ac:dyDescent="0.25">
      <c r="A37793" t="str">
        <f>HYPERLINK("https://www.773grp.com/globalSearch/MC33262PG/page-1", "MC33262PG")</f>
        <v>MC33262PG</v>
      </c>
      <c r="B37793" s="3" t="s">
        <v>95</v>
      </c>
      <c r="C37793" s="6">
        <v>130412</v>
      </c>
      <c r="D37793" s="7">
        <v>1.91</v>
      </c>
      <c r="E37793" t="s">
        <v>7</v>
      </c>
    </row>
    <row r="37794" spans="1:5" x14ac:dyDescent="0.25">
      <c r="A37794" t="str">
        <f>HYPERLINK("https://www.773grp.com/globalSearch/MC33269D-012/page-1", "MC33269D-012")</f>
        <v>MC33269D-012</v>
      </c>
      <c r="B37794" s="3" t="s">
        <v>95</v>
      </c>
      <c r="C37794" s="6">
        <v>8835</v>
      </c>
      <c r="D37794" s="7">
        <v>1.91</v>
      </c>
      <c r="E37794" t="s">
        <v>19</v>
      </c>
    </row>
    <row r="37795" spans="1:5" x14ac:dyDescent="0.25">
      <c r="A37795" t="str">
        <f>HYPERLINK("https://www.773grp.com/globalSearch/MC34081BP/page-1", "MC34081BP")</f>
        <v>MC34081BP</v>
      </c>
      <c r="B37795" s="3" t="s">
        <v>95</v>
      </c>
      <c r="C37795" s="6">
        <v>7738</v>
      </c>
      <c r="D37795" s="7">
        <v>1.91</v>
      </c>
      <c r="E37795" t="s">
        <v>13</v>
      </c>
    </row>
    <row r="37796" spans="1:5" x14ac:dyDescent="0.25">
      <c r="A37796" t="str">
        <f>HYPERLINK("https://www.773grp.com/globalSearch/MC34160DW/page-1", "MC34160DW")</f>
        <v>MC34160DW</v>
      </c>
      <c r="B37796" s="3" t="s">
        <v>95</v>
      </c>
      <c r="C37796" s="6">
        <v>3760</v>
      </c>
      <c r="D37796" s="7">
        <v>1.91</v>
      </c>
      <c r="E37796" t="s">
        <v>28</v>
      </c>
    </row>
    <row r="37797" spans="1:5" x14ac:dyDescent="0.25">
      <c r="A37797" t="str">
        <f>HYPERLINK("https://www.773grp.com/globalSearch/MC34160DWR2/page-1", "MC34160DWR2")</f>
        <v>MC34160DWR2</v>
      </c>
      <c r="B37797" s="3" t="s">
        <v>95</v>
      </c>
      <c r="C37797" s="6">
        <v>1514</v>
      </c>
      <c r="D37797" s="7">
        <v>1.91</v>
      </c>
      <c r="E37797" t="s">
        <v>28</v>
      </c>
    </row>
    <row r="37798" spans="1:5" x14ac:dyDescent="0.25">
      <c r="A37798" t="str">
        <f>HYPERLINK("https://www.773grp.com/globalSearch/MC34160P/page-1", "MC34160P")</f>
        <v>MC34160P</v>
      </c>
      <c r="B37798" s="3" t="s">
        <v>95</v>
      </c>
      <c r="C37798" s="6">
        <v>576</v>
      </c>
      <c r="D37798" s="7">
        <v>1.91</v>
      </c>
      <c r="E37798" t="s">
        <v>28</v>
      </c>
    </row>
    <row r="37799" spans="1:5" x14ac:dyDescent="0.25">
      <c r="A37799" t="str">
        <f>HYPERLINK("https://www.773grp.com/globalSearch/MC34164SN-5T1/page-1", "MC34164SN-5T1")</f>
        <v>MC34164SN-5T1</v>
      </c>
      <c r="B37799" s="3" t="s">
        <v>95</v>
      </c>
      <c r="C37799" s="6">
        <v>2960</v>
      </c>
      <c r="D37799" s="7">
        <v>1.91</v>
      </c>
      <c r="E37799" t="s">
        <v>30</v>
      </c>
    </row>
    <row r="37800" spans="1:5" x14ac:dyDescent="0.25">
      <c r="A37800" t="str">
        <f>HYPERLINK("https://www.773grp.com/globalSearch/MC74AC132MELG/page-1", "MC74AC132MELG")</f>
        <v>MC74AC132MELG</v>
      </c>
      <c r="B37800" s="3" t="s">
        <v>95</v>
      </c>
      <c r="C37800" s="6">
        <v>23872</v>
      </c>
      <c r="D37800" s="7">
        <v>1.91</v>
      </c>
      <c r="E37800" t="s">
        <v>31</v>
      </c>
    </row>
    <row r="37801" spans="1:5" x14ac:dyDescent="0.25">
      <c r="A37801" t="str">
        <f>HYPERLINK("https://www.773grp.com/globalSearch/MC74AC132NG/page-1", "MC74AC132NG")</f>
        <v>MC74AC132NG</v>
      </c>
      <c r="B37801" s="3" t="s">
        <v>95</v>
      </c>
      <c r="C37801" s="6">
        <v>2594</v>
      </c>
      <c r="D37801" s="7">
        <v>1.91</v>
      </c>
      <c r="E37801" t="s">
        <v>31</v>
      </c>
    </row>
    <row r="37802" spans="1:5" x14ac:dyDescent="0.25">
      <c r="A37802" t="str">
        <f>HYPERLINK("https://www.773grp.com/globalSearch/MC74AC534N/page-1", "MC74AC534N")</f>
        <v>MC74AC534N</v>
      </c>
      <c r="B37802" s="3" t="s">
        <v>95</v>
      </c>
      <c r="C37802" s="6">
        <v>1904</v>
      </c>
      <c r="D37802" s="7">
        <v>1.91</v>
      </c>
      <c r="E37802" t="s">
        <v>14</v>
      </c>
    </row>
    <row r="37803" spans="1:5" x14ac:dyDescent="0.25">
      <c r="A37803" t="str">
        <f>HYPERLINK("https://www.773grp.com/globalSearch/MC74AC563N/page-1", "MC74AC563N")</f>
        <v>MC74AC563N</v>
      </c>
      <c r="B37803" s="3" t="s">
        <v>95</v>
      </c>
      <c r="C37803" s="6">
        <v>830</v>
      </c>
      <c r="D37803" s="7">
        <v>1.91</v>
      </c>
      <c r="E37803" t="s">
        <v>14</v>
      </c>
    </row>
    <row r="37804" spans="1:5" x14ac:dyDescent="0.25">
      <c r="A37804" t="str">
        <f>HYPERLINK("https://www.773grp.com/globalSearch/MC74ACT132NG/page-1", "MC74ACT132NG")</f>
        <v>MC74ACT132NG</v>
      </c>
      <c r="B37804" s="3" t="s">
        <v>95</v>
      </c>
      <c r="C37804" s="6">
        <v>17341</v>
      </c>
      <c r="D37804" s="7">
        <v>1.91</v>
      </c>
      <c r="E37804" t="s">
        <v>31</v>
      </c>
    </row>
    <row r="37805" spans="1:5" x14ac:dyDescent="0.25">
      <c r="A37805" t="str">
        <f>HYPERLINK("https://www.773grp.com/globalSearch/MC74ACT533N/page-1", "MC74ACT533N")</f>
        <v>MC74ACT533N</v>
      </c>
      <c r="B37805" s="3" t="s">
        <v>95</v>
      </c>
      <c r="C37805" s="6">
        <v>1500</v>
      </c>
      <c r="D37805" s="7">
        <v>1.91</v>
      </c>
      <c r="E37805" t="s">
        <v>14</v>
      </c>
    </row>
    <row r="37806" spans="1:5" x14ac:dyDescent="0.25">
      <c r="A37806" t="str">
        <f>HYPERLINK("https://www.773grp.com/globalSearch/MC74F399D/page-1", "MC74F399D")</f>
        <v>MC74F399D</v>
      </c>
      <c r="B37806" s="3" t="s">
        <v>95</v>
      </c>
      <c r="C37806" s="6">
        <v>2252</v>
      </c>
      <c r="D37806" s="7">
        <v>1.91</v>
      </c>
      <c r="E37806" t="s">
        <v>35</v>
      </c>
    </row>
    <row r="37807" spans="1:5" x14ac:dyDescent="0.25">
      <c r="A37807" t="str">
        <f>HYPERLINK("https://www.773grp.com/globalSearch/MC74F399DR2/page-1", "MC74F399DR2")</f>
        <v>MC74F399DR2</v>
      </c>
      <c r="B37807" s="3" t="s">
        <v>95</v>
      </c>
      <c r="C37807" s="6">
        <v>7500</v>
      </c>
      <c r="D37807" s="7">
        <v>1.91</v>
      </c>
      <c r="E37807" t="s">
        <v>35</v>
      </c>
    </row>
    <row r="37808" spans="1:5" x14ac:dyDescent="0.25">
      <c r="A37808" t="str">
        <f>HYPERLINK("https://www.773grp.com/globalSearch/MC74HC240AN/page-1", "MC74HC240AN")</f>
        <v>MC74HC240AN</v>
      </c>
      <c r="B37808" s="3" t="s">
        <v>95</v>
      </c>
      <c r="C37808" s="6">
        <v>29511</v>
      </c>
      <c r="D37808" s="7">
        <v>1.91</v>
      </c>
      <c r="E37808" t="s">
        <v>14</v>
      </c>
    </row>
    <row r="37809" spans="1:5" x14ac:dyDescent="0.25">
      <c r="A37809" t="str">
        <f>HYPERLINK("https://www.773grp.com/globalSearch/MC74HC240ANG/page-1", "MC74HC240ANG")</f>
        <v>MC74HC240ANG</v>
      </c>
      <c r="B37809" s="3" t="s">
        <v>95</v>
      </c>
      <c r="C37809" s="6">
        <v>10982</v>
      </c>
      <c r="D37809" s="7">
        <v>1.91</v>
      </c>
      <c r="E37809" t="s">
        <v>14</v>
      </c>
    </row>
    <row r="37810" spans="1:5" x14ac:dyDescent="0.25">
      <c r="A37810" t="str">
        <f>HYPERLINK("https://www.773grp.com/globalSearch/MC74HC244AN/page-1", "MC74HC244AN")</f>
        <v>MC74HC244AN</v>
      </c>
      <c r="B37810" s="3" t="s">
        <v>95</v>
      </c>
      <c r="C37810" s="6">
        <v>23204</v>
      </c>
      <c r="D37810" s="7">
        <v>1.91</v>
      </c>
      <c r="E37810" t="s">
        <v>14</v>
      </c>
    </row>
    <row r="37811" spans="1:5" x14ac:dyDescent="0.25">
      <c r="A37811" t="str">
        <f>HYPERLINK("https://www.773grp.com/globalSearch/MC74HC244ANG/page-1", "MC74HC244ANG")</f>
        <v>MC74HC244ANG</v>
      </c>
      <c r="B37811" s="3" t="s">
        <v>95</v>
      </c>
      <c r="C37811" s="6">
        <v>73</v>
      </c>
      <c r="D37811" s="7">
        <v>1.91</v>
      </c>
      <c r="E37811" t="s">
        <v>14</v>
      </c>
    </row>
    <row r="37812" spans="1:5" x14ac:dyDescent="0.25">
      <c r="A37812" t="str">
        <f>HYPERLINK("https://www.773grp.com/globalSearch/MC74HC245ANG/page-1", "MC74HC245ANG")</f>
        <v>MC74HC245ANG</v>
      </c>
      <c r="B37812" s="3" t="s">
        <v>95</v>
      </c>
      <c r="C37812" s="6">
        <v>2068</v>
      </c>
      <c r="D37812" s="7">
        <v>1.91</v>
      </c>
      <c r="E37812" t="s">
        <v>14</v>
      </c>
    </row>
    <row r="37813" spans="1:5" x14ac:dyDescent="0.25">
      <c r="A37813" t="str">
        <f>HYPERLINK("https://www.773grp.com/globalSearch/MC74HC273ANG/page-1", "MC74HC273ANG")</f>
        <v>MC74HC273ANG</v>
      </c>
      <c r="B37813" s="3" t="s">
        <v>95</v>
      </c>
      <c r="C37813" s="6">
        <v>11489</v>
      </c>
      <c r="D37813" s="7">
        <v>1.91</v>
      </c>
      <c r="E37813" t="s">
        <v>35</v>
      </c>
    </row>
    <row r="37814" spans="1:5" x14ac:dyDescent="0.25">
      <c r="A37814" t="str">
        <f>HYPERLINK("https://www.773grp.com/globalSearch/MC74HC373ANG/page-1", "MC74HC373ANG")</f>
        <v>MC74HC373ANG</v>
      </c>
      <c r="B37814" s="3" t="s">
        <v>95</v>
      </c>
      <c r="C37814" s="6">
        <v>234</v>
      </c>
      <c r="D37814" s="7">
        <v>1.91</v>
      </c>
      <c r="E37814" t="s">
        <v>14</v>
      </c>
    </row>
    <row r="37815" spans="1:5" x14ac:dyDescent="0.25">
      <c r="A37815" t="str">
        <f>HYPERLINK("https://www.773grp.com/globalSearch/MC74HC374ANG/page-1", "MC74HC374ANG")</f>
        <v>MC74HC374ANG</v>
      </c>
      <c r="B37815" s="3" t="s">
        <v>95</v>
      </c>
      <c r="C37815" s="6">
        <v>8601</v>
      </c>
      <c r="D37815" s="7">
        <v>1.91</v>
      </c>
      <c r="E37815" t="s">
        <v>14</v>
      </c>
    </row>
    <row r="37816" spans="1:5" x14ac:dyDescent="0.25">
      <c r="A37816" t="str">
        <f>HYPERLINK("https://www.773grp.com/globalSearch/MC74HC4020ADG/page-1", "MC74HC4020ADG")</f>
        <v>MC74HC4020ADG</v>
      </c>
      <c r="B37816" s="3" t="s">
        <v>95</v>
      </c>
      <c r="C37816" s="6">
        <v>10425</v>
      </c>
      <c r="D37816" s="7">
        <v>1.91</v>
      </c>
      <c r="E37816" t="s">
        <v>26</v>
      </c>
    </row>
    <row r="37817" spans="1:5" x14ac:dyDescent="0.25">
      <c r="A37817" t="str">
        <f>HYPERLINK("https://www.773grp.com/globalSearch/MC74HC4020ADR2G/page-1", "MC74HC4020ADR2G")</f>
        <v>MC74HC4020ADR2G</v>
      </c>
      <c r="B37817" s="3" t="s">
        <v>95</v>
      </c>
      <c r="C37817" s="6">
        <v>10569</v>
      </c>
      <c r="D37817" s="7">
        <v>1.91</v>
      </c>
      <c r="E37817" t="s">
        <v>26</v>
      </c>
    </row>
    <row r="37818" spans="1:5" x14ac:dyDescent="0.25">
      <c r="A37818" t="str">
        <f>HYPERLINK("https://www.773grp.com/globalSearch/MC74HC4020ADTR2G/page-1", "MC74HC4020ADTR2G")</f>
        <v>MC74HC4020ADTR2G</v>
      </c>
      <c r="B37818" s="3" t="s">
        <v>95</v>
      </c>
      <c r="C37818" s="6">
        <v>35321</v>
      </c>
      <c r="D37818" s="7">
        <v>1.91</v>
      </c>
      <c r="E37818" t="s">
        <v>26</v>
      </c>
    </row>
    <row r="37819" spans="1:5" x14ac:dyDescent="0.25">
      <c r="A37819" t="str">
        <f>HYPERLINK("https://www.773grp.com/globalSearch/MC74HC540ANG/page-1", "MC74HC540ANG")</f>
        <v>MC74HC540ANG</v>
      </c>
      <c r="B37819" s="3" t="s">
        <v>95</v>
      </c>
      <c r="C37819" s="6">
        <v>3490</v>
      </c>
      <c r="D37819" s="7">
        <v>1.91</v>
      </c>
      <c r="E37819" t="s">
        <v>14</v>
      </c>
    </row>
    <row r="37820" spans="1:5" x14ac:dyDescent="0.25">
      <c r="A37820" t="str">
        <f>HYPERLINK("https://www.773grp.com/globalSearch/MC74HC541ANG/page-1", "MC74HC541ANG")</f>
        <v>MC74HC541ANG</v>
      </c>
      <c r="B37820" s="3" t="s">
        <v>95</v>
      </c>
      <c r="C37820" s="6">
        <v>10704</v>
      </c>
      <c r="D37820" s="7">
        <v>1.91</v>
      </c>
      <c r="E37820" t="s">
        <v>14</v>
      </c>
    </row>
    <row r="37821" spans="1:5" x14ac:dyDescent="0.25">
      <c r="A37821" t="str">
        <f>HYPERLINK("https://www.773grp.com/globalSearch/MC74HC573ANG/page-1", "MC74HC573ANG")</f>
        <v>MC74HC573ANG</v>
      </c>
      <c r="B37821" s="3" t="s">
        <v>95</v>
      </c>
      <c r="C37821" s="6">
        <v>1315</v>
      </c>
      <c r="D37821" s="7">
        <v>1.91</v>
      </c>
      <c r="E37821" t="s">
        <v>14</v>
      </c>
    </row>
    <row r="37822" spans="1:5" x14ac:dyDescent="0.25">
      <c r="A37822" t="str">
        <f>HYPERLINK("https://www.773grp.com/globalSearch/MC74HC574ANG/page-1", "MC74HC574ANG")</f>
        <v>MC74HC574ANG</v>
      </c>
      <c r="B37822" s="3" t="s">
        <v>95</v>
      </c>
      <c r="C37822" s="6">
        <v>26231</v>
      </c>
      <c r="D37822" s="7">
        <v>1.91</v>
      </c>
      <c r="E37822" t="s">
        <v>14</v>
      </c>
    </row>
    <row r="37823" spans="1:5" x14ac:dyDescent="0.25">
      <c r="A37823" t="str">
        <f>HYPERLINK("https://www.773grp.com/globalSearch/MC74HC640ADT/page-1", "MC74HC640ADT")</f>
        <v>MC74HC640ADT</v>
      </c>
      <c r="B37823" s="3" t="s">
        <v>95</v>
      </c>
      <c r="C37823" s="6">
        <v>3525</v>
      </c>
      <c r="D37823" s="7">
        <v>1.91</v>
      </c>
    </row>
    <row r="37824" spans="1:5" x14ac:dyDescent="0.25">
      <c r="A37824" t="str">
        <f>HYPERLINK("https://www.773grp.com/globalSearch/MC74HCT244ANG/page-1", "MC74HCT244ANG")</f>
        <v>MC74HCT244ANG</v>
      </c>
      <c r="B37824" s="3" t="s">
        <v>95</v>
      </c>
      <c r="C37824" s="6">
        <v>3708</v>
      </c>
      <c r="D37824" s="7">
        <v>1.91</v>
      </c>
      <c r="E37824" t="s">
        <v>14</v>
      </c>
    </row>
    <row r="37825" spans="1:5" x14ac:dyDescent="0.25">
      <c r="A37825" t="str">
        <f>HYPERLINK("https://www.773grp.com/globalSearch/MC74HCT245ANG/page-1", "MC74HCT245ANG")</f>
        <v>MC74HCT245ANG</v>
      </c>
      <c r="B37825" s="3" t="s">
        <v>95</v>
      </c>
      <c r="C37825" s="6">
        <v>12372</v>
      </c>
      <c r="D37825" s="7">
        <v>1.91</v>
      </c>
      <c r="E37825" t="s">
        <v>14</v>
      </c>
    </row>
    <row r="37826" spans="1:5" x14ac:dyDescent="0.25">
      <c r="A37826" t="str">
        <f>HYPERLINK("https://www.773grp.com/globalSearch/MC74HCT273ANG/page-1", "MC74HCT273ANG")</f>
        <v>MC74HCT273ANG</v>
      </c>
      <c r="B37826" s="3" t="s">
        <v>95</v>
      </c>
      <c r="C37826" s="6">
        <v>13218</v>
      </c>
      <c r="D37826" s="7">
        <v>1.91</v>
      </c>
      <c r="E37826" t="s">
        <v>35</v>
      </c>
    </row>
    <row r="37827" spans="1:5" x14ac:dyDescent="0.25">
      <c r="A37827" t="str">
        <f>HYPERLINK("https://www.773grp.com/globalSearch/MC74HCT374ANG/page-1", "MC74HCT374ANG")</f>
        <v>MC74HCT374ANG</v>
      </c>
      <c r="B37827" s="3" t="s">
        <v>95</v>
      </c>
      <c r="C37827" s="6">
        <v>2858</v>
      </c>
      <c r="D37827" s="7">
        <v>1.91</v>
      </c>
      <c r="E37827" t="s">
        <v>14</v>
      </c>
    </row>
    <row r="37828" spans="1:5" x14ac:dyDescent="0.25">
      <c r="A37828" t="str">
        <f>HYPERLINK("https://www.773grp.com/globalSearch/MC74HCT541ANG/page-1", "MC74HCT541ANG")</f>
        <v>MC74HCT541ANG</v>
      </c>
      <c r="B37828" s="3" t="s">
        <v>95</v>
      </c>
      <c r="C37828" s="6">
        <v>22318</v>
      </c>
      <c r="D37828" s="7">
        <v>1.91</v>
      </c>
      <c r="E37828" t="s">
        <v>14</v>
      </c>
    </row>
    <row r="37829" spans="1:5" x14ac:dyDescent="0.25">
      <c r="A37829" t="str">
        <f>HYPERLINK("https://www.773grp.com/globalSearch/MC74HCT573ANG/page-1", "MC74HCT573ANG")</f>
        <v>MC74HCT573ANG</v>
      </c>
      <c r="B37829" s="3" t="s">
        <v>95</v>
      </c>
      <c r="C37829" s="6">
        <v>23605</v>
      </c>
      <c r="D37829" s="7">
        <v>1.91</v>
      </c>
    </row>
    <row r="37830" spans="1:5" x14ac:dyDescent="0.25">
      <c r="A37830" t="str">
        <f>HYPERLINK("https://www.773grp.com/globalSearch/MC74HCT574ANG/page-1", "MC74HCT574ANG")</f>
        <v>MC74HCT574ANG</v>
      </c>
      <c r="B37830" s="3" t="s">
        <v>95</v>
      </c>
      <c r="C37830" s="6">
        <v>29711</v>
      </c>
      <c r="D37830" s="7">
        <v>1.91</v>
      </c>
      <c r="E37830" t="s">
        <v>14</v>
      </c>
    </row>
    <row r="37831" spans="1:5" x14ac:dyDescent="0.25">
      <c r="A37831" t="str">
        <f>HYPERLINK("https://www.773grp.com/globalSearch/MC7805ABD2TG/page-1", "MC7805ABD2TG")</f>
        <v>MC7805ABD2TG</v>
      </c>
      <c r="B37831" s="3" t="s">
        <v>95</v>
      </c>
      <c r="C37831" s="6">
        <v>3315</v>
      </c>
      <c r="D37831" s="7">
        <v>1.91</v>
      </c>
    </row>
    <row r="37832" spans="1:5" x14ac:dyDescent="0.25">
      <c r="A37832" t="str">
        <f>HYPERLINK("https://www.773grp.com/globalSearch/MC7805CDTG/page-1", "MC7805CDTG")</f>
        <v>MC7805CDTG</v>
      </c>
      <c r="B37832" s="3" t="s">
        <v>95</v>
      </c>
      <c r="C37832" s="6">
        <v>2475</v>
      </c>
      <c r="D37832" s="7">
        <v>1.91</v>
      </c>
    </row>
    <row r="37833" spans="1:5" x14ac:dyDescent="0.25">
      <c r="A37833" t="str">
        <f>HYPERLINK("https://www.773grp.com/globalSearch/MC7805CDTRKG/page-1", "MC7805CDTRKG")</f>
        <v>MC7805CDTRKG</v>
      </c>
      <c r="B37833" s="3" t="s">
        <v>95</v>
      </c>
      <c r="C37833" s="6">
        <v>80928</v>
      </c>
      <c r="D37833" s="7">
        <v>1.91</v>
      </c>
      <c r="E37833" t="s">
        <v>28</v>
      </c>
    </row>
    <row r="37834" spans="1:5" x14ac:dyDescent="0.25">
      <c r="A37834" t="str">
        <f>HYPERLINK("https://www.773grp.com/globalSearch/MC7808ABD2TG/page-1", "MC7808ABD2TG")</f>
        <v>MC7808ABD2TG</v>
      </c>
      <c r="B37834" s="3" t="s">
        <v>95</v>
      </c>
      <c r="C37834" s="6">
        <v>17954</v>
      </c>
      <c r="D37834" s="7">
        <v>1.91</v>
      </c>
      <c r="E37834" t="s">
        <v>28</v>
      </c>
    </row>
    <row r="37835" spans="1:5" x14ac:dyDescent="0.25">
      <c r="A37835" t="str">
        <f>HYPERLINK("https://www.773grp.com/globalSearch/MC7808CDTG/page-1", "MC7808CDTG")</f>
        <v>MC7808CDTG</v>
      </c>
      <c r="B37835" s="3" t="s">
        <v>95</v>
      </c>
      <c r="C37835" s="6">
        <v>3240</v>
      </c>
      <c r="D37835" s="7">
        <v>1.91</v>
      </c>
      <c r="E37835" t="s">
        <v>28</v>
      </c>
    </row>
    <row r="37836" spans="1:5" x14ac:dyDescent="0.25">
      <c r="A37836" t="str">
        <f>HYPERLINK("https://www.773grp.com/globalSearch/MC7808CDTRKG/page-1", "MC7808CDTRKG")</f>
        <v>MC7808CDTRKG</v>
      </c>
      <c r="B37836" s="3" t="s">
        <v>95</v>
      </c>
      <c r="C37836" s="6">
        <v>17500</v>
      </c>
      <c r="D37836" s="7">
        <v>1.91</v>
      </c>
      <c r="E37836" t="s">
        <v>28</v>
      </c>
    </row>
    <row r="37837" spans="1:5" x14ac:dyDescent="0.25">
      <c r="A37837" t="str">
        <f>HYPERLINK("https://www.773grp.com/globalSearch/MC7808CDTT5G/page-1", "MC7808CDTT5G")</f>
        <v>MC7808CDTT5G</v>
      </c>
      <c r="B37837" s="3" t="s">
        <v>95</v>
      </c>
      <c r="C37837" s="6">
        <v>925000</v>
      </c>
      <c r="D37837" s="7">
        <v>1.91</v>
      </c>
      <c r="E37837" t="s">
        <v>28</v>
      </c>
    </row>
    <row r="37838" spans="1:5" x14ac:dyDescent="0.25">
      <c r="A37838" t="str">
        <f>HYPERLINK("https://www.773grp.com/globalSearch/MC7812ABD2TG/page-1", "MC7812ABD2TG")</f>
        <v>MC7812ABD2TG</v>
      </c>
      <c r="B37838" s="3" t="s">
        <v>95</v>
      </c>
      <c r="C37838" s="6">
        <v>32904</v>
      </c>
      <c r="D37838" s="7">
        <v>1.91</v>
      </c>
      <c r="E37838" t="s">
        <v>28</v>
      </c>
    </row>
    <row r="37839" spans="1:5" x14ac:dyDescent="0.25">
      <c r="A37839" t="str">
        <f>HYPERLINK("https://www.773grp.com/globalSearch/MC7812ABD2TR4/page-1", "MC7812ABD2TR4")</f>
        <v>MC7812ABD2TR4</v>
      </c>
      <c r="B37839" s="3" t="s">
        <v>95</v>
      </c>
      <c r="C37839" s="6">
        <v>800</v>
      </c>
      <c r="D37839" s="7">
        <v>1.91</v>
      </c>
      <c r="E37839" t="s">
        <v>28</v>
      </c>
    </row>
    <row r="37840" spans="1:5" x14ac:dyDescent="0.25">
      <c r="A37840" t="str">
        <f>HYPERLINK("https://www.773grp.com/globalSearch/MC7812CDTG/page-1", "MC7812CDTG")</f>
        <v>MC7812CDTG</v>
      </c>
      <c r="B37840" s="3" t="s">
        <v>95</v>
      </c>
      <c r="C37840" s="6">
        <v>7224</v>
      </c>
      <c r="D37840" s="7">
        <v>1.91</v>
      </c>
      <c r="E37840" t="s">
        <v>28</v>
      </c>
    </row>
    <row r="37841" spans="1:5" x14ac:dyDescent="0.25">
      <c r="A37841" t="str">
        <f>HYPERLINK("https://www.773grp.com/globalSearch/MC7815ABD2TG/page-1", "MC7815ABD2TG")</f>
        <v>MC7815ABD2TG</v>
      </c>
      <c r="B37841" s="3" t="s">
        <v>95</v>
      </c>
      <c r="C37841" s="6">
        <v>6250</v>
      </c>
      <c r="D37841" s="7">
        <v>1.91</v>
      </c>
      <c r="E37841" t="s">
        <v>28</v>
      </c>
    </row>
    <row r="37842" spans="1:5" x14ac:dyDescent="0.25">
      <c r="A37842" t="str">
        <f>HYPERLINK("https://www.773grp.com/globalSearch/MC7815ABD2TR4G/page-1", "MC7815ABD2TR4G")</f>
        <v>MC7815ABD2TR4G</v>
      </c>
      <c r="B37842" s="3" t="s">
        <v>95</v>
      </c>
      <c r="C37842" s="6">
        <v>70400</v>
      </c>
      <c r="D37842" s="7">
        <v>1.91</v>
      </c>
      <c r="E37842" t="s">
        <v>28</v>
      </c>
    </row>
    <row r="37843" spans="1:5" x14ac:dyDescent="0.25">
      <c r="A37843" t="str">
        <f>HYPERLINK("https://www.773grp.com/globalSearch/MC7815CDTG/page-1", "MC7815CDTG")</f>
        <v>MC7815CDTG</v>
      </c>
      <c r="B37843" s="3" t="s">
        <v>95</v>
      </c>
      <c r="C37843" s="6">
        <v>407</v>
      </c>
      <c r="D37843" s="7">
        <v>1.91</v>
      </c>
      <c r="E37843" t="s">
        <v>28</v>
      </c>
    </row>
    <row r="37844" spans="1:5" x14ac:dyDescent="0.25">
      <c r="A37844" t="str">
        <f>HYPERLINK("https://www.773grp.com/globalSearch/MCR12DG/page-1", "MCR12DG")</f>
        <v>MCR12DG</v>
      </c>
      <c r="B37844" s="3" t="s">
        <v>95</v>
      </c>
      <c r="C37844" s="6">
        <v>2450</v>
      </c>
      <c r="D37844" s="7">
        <v>1.91</v>
      </c>
      <c r="E37844" t="s">
        <v>97</v>
      </c>
    </row>
    <row r="37845" spans="1:5" x14ac:dyDescent="0.25">
      <c r="A37845" t="str">
        <f>HYPERLINK("https://www.773grp.com/globalSearch/MCR12MG/page-1", "MCR12MG")</f>
        <v>MCR12MG</v>
      </c>
      <c r="B37845" s="3" t="s">
        <v>95</v>
      </c>
      <c r="C37845" s="6">
        <v>11329</v>
      </c>
      <c r="D37845" s="7">
        <v>1.91</v>
      </c>
      <c r="E37845" t="s">
        <v>97</v>
      </c>
    </row>
    <row r="37846" spans="1:5" x14ac:dyDescent="0.25">
      <c r="A37846" t="str">
        <f>HYPERLINK("https://www.773grp.com/globalSearch/MCR12NG/page-1", "MCR12NG")</f>
        <v>MCR12NG</v>
      </c>
      <c r="B37846" s="3" t="s">
        <v>95</v>
      </c>
      <c r="C37846" s="6">
        <v>20292</v>
      </c>
      <c r="D37846" s="7">
        <v>1.91</v>
      </c>
      <c r="E37846" t="s">
        <v>97</v>
      </c>
    </row>
    <row r="37847" spans="1:5" x14ac:dyDescent="0.25">
      <c r="A37847" t="str">
        <f>HYPERLINK("https://www.773grp.com/globalSearch/MCR8NG/page-1", "MCR8NG")</f>
        <v>MCR8NG</v>
      </c>
      <c r="B37847" s="3" t="s">
        <v>95</v>
      </c>
      <c r="C37847" s="6">
        <v>2147</v>
      </c>
      <c r="D37847" s="7">
        <v>1.91</v>
      </c>
      <c r="E37847" t="s">
        <v>97</v>
      </c>
    </row>
    <row r="37848" spans="1:5" x14ac:dyDescent="0.25">
      <c r="A37848" t="str">
        <f>HYPERLINK("https://www.773grp.com/globalSearch/MCR8SDG/page-1", "MCR8SDG")</f>
        <v>MCR8SDG</v>
      </c>
      <c r="B37848" s="3" t="s">
        <v>95</v>
      </c>
      <c r="C37848" s="6">
        <v>3000</v>
      </c>
      <c r="D37848" s="7">
        <v>1.91</v>
      </c>
    </row>
    <row r="37849" spans="1:5" x14ac:dyDescent="0.25">
      <c r="A37849" t="str">
        <f>HYPERLINK("https://www.773grp.com/globalSearch/MCR8SMG/page-1", "MCR8SMG")</f>
        <v>MCR8SMG</v>
      </c>
      <c r="B37849" s="3" t="s">
        <v>95</v>
      </c>
      <c r="C37849" s="6">
        <v>1197</v>
      </c>
      <c r="D37849" s="7">
        <v>1.91</v>
      </c>
      <c r="E37849" t="s">
        <v>97</v>
      </c>
    </row>
    <row r="37850" spans="1:5" x14ac:dyDescent="0.25">
      <c r="A37850" t="str">
        <f>HYPERLINK("https://www.773grp.com/globalSearch/MJE2955TG/page-1", "MJE2955TG")</f>
        <v>MJE2955TG</v>
      </c>
      <c r="B37850" s="3" t="s">
        <v>95</v>
      </c>
      <c r="C37850" s="6">
        <v>1346</v>
      </c>
      <c r="D37850" s="7">
        <v>1.91</v>
      </c>
      <c r="E37850" t="s">
        <v>59</v>
      </c>
    </row>
    <row r="37851" spans="1:5" x14ac:dyDescent="0.25">
      <c r="A37851" t="str">
        <f>HYPERLINK("https://www.773grp.com/globalSearch/MKP3V120G/page-1", "MKP3V120G")</f>
        <v>MKP3V120G</v>
      </c>
      <c r="B37851" s="3" t="s">
        <v>95</v>
      </c>
      <c r="C37851" s="6">
        <v>3000</v>
      </c>
      <c r="D37851" s="7">
        <v>1.91</v>
      </c>
      <c r="E37851" t="s">
        <v>111</v>
      </c>
    </row>
    <row r="37852" spans="1:5" x14ac:dyDescent="0.25">
      <c r="A37852" t="str">
        <f>HYPERLINK("https://www.773grp.com/globalSearch/MKP3V120RLG/page-1", "MKP3V120RLG")</f>
        <v>MKP3V120RLG</v>
      </c>
      <c r="B37852" s="3" t="s">
        <v>95</v>
      </c>
      <c r="C37852" s="6">
        <v>4463</v>
      </c>
      <c r="D37852" s="7">
        <v>1.91</v>
      </c>
      <c r="E37852" t="s">
        <v>111</v>
      </c>
    </row>
    <row r="37853" spans="1:5" x14ac:dyDescent="0.25">
      <c r="A37853" t="str">
        <f>HYPERLINK("https://www.773grp.com/globalSearch/MKP3V240G/page-1", "MKP3V240G")</f>
        <v>MKP3V240G</v>
      </c>
      <c r="B37853" s="3" t="s">
        <v>95</v>
      </c>
      <c r="C37853" s="6">
        <v>1506</v>
      </c>
      <c r="D37853" s="7">
        <v>1.91</v>
      </c>
      <c r="E37853" t="s">
        <v>111</v>
      </c>
    </row>
    <row r="37854" spans="1:5" x14ac:dyDescent="0.25">
      <c r="A37854" t="str">
        <f>HYPERLINK("https://www.773grp.com/globalSearch/MKP3V240RLG/page-1", "MKP3V240RLG")</f>
        <v>MKP3V240RLG</v>
      </c>
      <c r="B37854" s="3" t="s">
        <v>95</v>
      </c>
      <c r="C37854" s="6">
        <v>40500</v>
      </c>
      <c r="D37854" s="7">
        <v>1.91</v>
      </c>
      <c r="E37854" t="s">
        <v>111</v>
      </c>
    </row>
    <row r="37855" spans="1:5" x14ac:dyDescent="0.25">
      <c r="A37855" t="str">
        <f>HYPERLINK("https://www.773grp.com/globalSearch/MTD5N25E/page-1", "MTD5N25E")</f>
        <v>MTD5N25E</v>
      </c>
      <c r="B37855" s="3" t="s">
        <v>95</v>
      </c>
      <c r="C37855" s="6">
        <v>76</v>
      </c>
      <c r="D37855" s="7">
        <v>1.91</v>
      </c>
      <c r="E37855" t="s">
        <v>105</v>
      </c>
    </row>
    <row r="37856" spans="1:5" x14ac:dyDescent="0.25">
      <c r="A37856" t="str">
        <f>HYPERLINK("https://www.773grp.com/globalSearch/MTD5N25E1/page-1", "MTD5N25E1")</f>
        <v>MTD5N25E1</v>
      </c>
      <c r="B37856" s="3" t="s">
        <v>95</v>
      </c>
      <c r="C37856" s="6">
        <v>3450</v>
      </c>
      <c r="D37856" s="7">
        <v>1.91</v>
      </c>
    </row>
    <row r="37857" spans="1:5" x14ac:dyDescent="0.25">
      <c r="A37857" t="str">
        <f>HYPERLINK("https://www.773grp.com/globalSearch/MTD5N25ET4/page-1", "MTD5N25ET4")</f>
        <v>MTD5N25ET4</v>
      </c>
      <c r="B37857" s="3" t="s">
        <v>95</v>
      </c>
      <c r="C37857" s="6">
        <v>9960</v>
      </c>
      <c r="D37857" s="7">
        <v>1.91</v>
      </c>
      <c r="E37857" t="s">
        <v>105</v>
      </c>
    </row>
    <row r="37858" spans="1:5" x14ac:dyDescent="0.25">
      <c r="A37858" t="str">
        <f>HYPERLINK("https://www.773grp.com/globalSearch/MTD6N15T4G/page-1", "MTD6N15T4G")</f>
        <v>MTD6N15T4G</v>
      </c>
      <c r="B37858" s="3" t="s">
        <v>95</v>
      </c>
      <c r="C37858" s="6">
        <v>24650</v>
      </c>
      <c r="D37858" s="7">
        <v>1.91</v>
      </c>
      <c r="E37858" t="s">
        <v>105</v>
      </c>
    </row>
    <row r="37859" spans="1:5" x14ac:dyDescent="0.25">
      <c r="A37859" t="str">
        <f>HYPERLINK("https://www.773grp.com/globalSearch/MUR1610CTR/page-1", "MUR1610CTR")</f>
        <v>MUR1610CTR</v>
      </c>
      <c r="B37859" s="3" t="s">
        <v>95</v>
      </c>
      <c r="C37859" s="6">
        <v>53350</v>
      </c>
      <c r="D37859" s="7">
        <v>1.91</v>
      </c>
      <c r="E37859" t="s">
        <v>103</v>
      </c>
    </row>
    <row r="37860" spans="1:5" x14ac:dyDescent="0.25">
      <c r="A37860" t="str">
        <f>HYPERLINK("https://www.773grp.com/globalSearch/NCP1072STAT3G/page-1", "NCP1072STAT3G")</f>
        <v>NCP1072STAT3G</v>
      </c>
      <c r="B37860" s="3" t="s">
        <v>95</v>
      </c>
      <c r="C37860" s="6">
        <v>19980</v>
      </c>
      <c r="D37860" s="7">
        <v>1.91</v>
      </c>
    </row>
    <row r="37861" spans="1:5" x14ac:dyDescent="0.25">
      <c r="A37861" t="str">
        <f>HYPERLINK("https://www.773grp.com/globalSearch/NCP1075STAT3G/page-1", "NCP1075STAT3G")</f>
        <v>NCP1075STAT3G</v>
      </c>
      <c r="B37861" s="3" t="s">
        <v>95</v>
      </c>
      <c r="C37861" s="6">
        <v>11990</v>
      </c>
      <c r="D37861" s="7">
        <v>1.91</v>
      </c>
    </row>
    <row r="37862" spans="1:5" x14ac:dyDescent="0.25">
      <c r="A37862" t="str">
        <f>HYPERLINK("https://www.773grp.com/globalSearch/NCP1075STBT3G/page-1", "NCP1075STBT3G")</f>
        <v>NCP1075STBT3G</v>
      </c>
      <c r="B37862" s="3" t="s">
        <v>95</v>
      </c>
      <c r="C37862" s="6">
        <v>3000</v>
      </c>
      <c r="D37862" s="7">
        <v>1.91</v>
      </c>
    </row>
    <row r="37863" spans="1:5" x14ac:dyDescent="0.25">
      <c r="A37863" t="str">
        <f>HYPERLINK("https://www.773grp.com/globalSearch/NCP1230D133R2/page-1", "NCP1230D133R2")</f>
        <v>NCP1230D133R2</v>
      </c>
      <c r="B37863" s="3" t="s">
        <v>95</v>
      </c>
      <c r="C37863" s="6">
        <v>5000</v>
      </c>
      <c r="D37863" s="7">
        <v>1.91</v>
      </c>
      <c r="E37863" t="s">
        <v>7</v>
      </c>
    </row>
    <row r="37864" spans="1:5" x14ac:dyDescent="0.25">
      <c r="A37864" t="str">
        <f>HYPERLINK("https://www.773grp.com/globalSearch/NCP1351APG/page-1", "NCP1351APG")</f>
        <v>NCP1351APG</v>
      </c>
      <c r="B37864" s="3" t="s">
        <v>95</v>
      </c>
      <c r="C37864" s="6">
        <v>6300</v>
      </c>
      <c r="D37864" s="7">
        <v>1.91</v>
      </c>
      <c r="E37864" t="s">
        <v>7</v>
      </c>
    </row>
    <row r="37865" spans="1:5" x14ac:dyDescent="0.25">
      <c r="A37865" t="str">
        <f>HYPERLINK("https://www.773grp.com/globalSearch/NCP1351CPG/page-1", "NCP1351CPG")</f>
        <v>NCP1351CPG</v>
      </c>
      <c r="B37865" s="3" t="s">
        <v>95</v>
      </c>
      <c r="C37865" s="6">
        <v>11850</v>
      </c>
      <c r="D37865" s="7">
        <v>1.91</v>
      </c>
      <c r="E37865" t="s">
        <v>7</v>
      </c>
    </row>
    <row r="37866" spans="1:5" x14ac:dyDescent="0.25">
      <c r="A37866" t="str">
        <f>HYPERLINK("https://www.773grp.com/globalSearch/NCP1351DPG/page-1", "NCP1351DPG")</f>
        <v>NCP1351DPG</v>
      </c>
      <c r="B37866" s="3" t="s">
        <v>95</v>
      </c>
      <c r="C37866" s="6">
        <v>5600</v>
      </c>
      <c r="D37866" s="7">
        <v>1.91</v>
      </c>
      <c r="E37866" t="s">
        <v>7</v>
      </c>
    </row>
    <row r="37867" spans="1:5" x14ac:dyDescent="0.25">
      <c r="A37867" t="str">
        <f>HYPERLINK("https://www.773grp.com/globalSearch/NCP1510AFCT1G/page-1", "NCP1510AFCT1G")</f>
        <v>NCP1510AFCT1G</v>
      </c>
      <c r="B37867" s="3" t="s">
        <v>95</v>
      </c>
      <c r="C37867" s="6">
        <v>3000</v>
      </c>
      <c r="D37867" s="7">
        <v>1.91</v>
      </c>
      <c r="E37867" t="s">
        <v>7</v>
      </c>
    </row>
    <row r="37868" spans="1:5" x14ac:dyDescent="0.25">
      <c r="A37868" t="str">
        <f>HYPERLINK("https://www.773grp.com/globalSearch/NCP1510FCT1G/page-1", "NCP1510FCT1G")</f>
        <v>NCP1510FCT1G</v>
      </c>
      <c r="B37868" s="3" t="s">
        <v>95</v>
      </c>
      <c r="C37868" s="6">
        <v>915000</v>
      </c>
      <c r="D37868" s="7">
        <v>1.91</v>
      </c>
      <c r="E37868" t="s">
        <v>7</v>
      </c>
    </row>
    <row r="37869" spans="1:5" x14ac:dyDescent="0.25">
      <c r="A37869" t="str">
        <f>HYPERLINK("https://www.773grp.com/globalSearch/NCP1511FCT1G/page-1", "NCP1511FCT1G")</f>
        <v>NCP1511FCT1G</v>
      </c>
      <c r="B37869" s="3" t="s">
        <v>95</v>
      </c>
      <c r="C37869" s="6">
        <v>12000</v>
      </c>
      <c r="D37869" s="7">
        <v>1.91</v>
      </c>
      <c r="E37869" t="s">
        <v>7</v>
      </c>
    </row>
    <row r="37870" spans="1:5" x14ac:dyDescent="0.25">
      <c r="A37870" t="str">
        <f>HYPERLINK("https://www.773grp.com/globalSearch/NCP1601AP/page-1", "NCP1601AP")</f>
        <v>NCP1601AP</v>
      </c>
      <c r="B37870" s="3" t="s">
        <v>95</v>
      </c>
      <c r="C37870" s="6">
        <v>6400</v>
      </c>
      <c r="D37870" s="7">
        <v>1.91</v>
      </c>
      <c r="E37870" t="s">
        <v>7</v>
      </c>
    </row>
    <row r="37871" spans="1:5" x14ac:dyDescent="0.25">
      <c r="A37871" t="str">
        <f>HYPERLINK("https://www.773grp.com/globalSearch/NCP1606APG/page-1", "NCP1606APG")</f>
        <v>NCP1606APG</v>
      </c>
      <c r="B37871" s="3" t="s">
        <v>95</v>
      </c>
      <c r="C37871" s="6">
        <v>85058</v>
      </c>
      <c r="D37871" s="7">
        <v>1.91</v>
      </c>
      <c r="E37871" t="s">
        <v>7</v>
      </c>
    </row>
    <row r="37872" spans="1:5" x14ac:dyDescent="0.25">
      <c r="A37872" t="str">
        <f>HYPERLINK("https://www.773grp.com/globalSearch/NCP1606BPG/page-1", "NCP1606BPG")</f>
        <v>NCP1606BPG</v>
      </c>
      <c r="B37872" s="3" t="s">
        <v>95</v>
      </c>
      <c r="C37872" s="6">
        <v>29148</v>
      </c>
      <c r="D37872" s="7">
        <v>1.91</v>
      </c>
      <c r="E37872" t="s">
        <v>7</v>
      </c>
    </row>
    <row r="37873" spans="1:5" x14ac:dyDescent="0.25">
      <c r="A37873" t="str">
        <f>HYPERLINK("https://www.773grp.com/globalSearch/NCP301LSN20T1/page-1", "NCP301LSN20T1")</f>
        <v>NCP301LSN20T1</v>
      </c>
      <c r="B37873" s="3" t="s">
        <v>95</v>
      </c>
      <c r="C37873" s="6">
        <v>15000</v>
      </c>
      <c r="D37873" s="7">
        <v>1.91</v>
      </c>
      <c r="E37873" t="s">
        <v>30</v>
      </c>
    </row>
    <row r="37874" spans="1:5" x14ac:dyDescent="0.25">
      <c r="A37874" t="str">
        <f>HYPERLINK("https://www.773grp.com/globalSearch/NCP303LSN47T1/page-1", "NCP303LSN47T1")</f>
        <v>NCP303LSN47T1</v>
      </c>
      <c r="B37874" s="3" t="s">
        <v>95</v>
      </c>
      <c r="C37874" s="6">
        <v>26440</v>
      </c>
      <c r="D37874" s="7">
        <v>1.91</v>
      </c>
      <c r="E37874" t="s">
        <v>30</v>
      </c>
    </row>
    <row r="37875" spans="1:5" x14ac:dyDescent="0.25">
      <c r="A37875" t="str">
        <f>HYPERLINK("https://www.773grp.com/globalSearch/NCP3064PG/page-1", "NCP3064PG")</f>
        <v>NCP3064PG</v>
      </c>
      <c r="B37875" s="3" t="s">
        <v>95</v>
      </c>
      <c r="C37875" s="6">
        <v>31750</v>
      </c>
      <c r="D37875" s="7">
        <v>1.91</v>
      </c>
      <c r="E37875" t="s">
        <v>7</v>
      </c>
    </row>
    <row r="37876" spans="1:5" x14ac:dyDescent="0.25">
      <c r="A37876" t="str">
        <f>HYPERLINK("https://www.773grp.com/globalSearch/NCP3335AMN150R2G/page-1", "NCP3335AMN150R2G")</f>
        <v>NCP3335AMN150R2G</v>
      </c>
      <c r="B37876" s="3" t="s">
        <v>95</v>
      </c>
      <c r="C37876" s="6">
        <v>6970</v>
      </c>
      <c r="D37876" s="7">
        <v>1.91</v>
      </c>
      <c r="E37876" t="s">
        <v>44</v>
      </c>
    </row>
    <row r="37877" spans="1:5" x14ac:dyDescent="0.25">
      <c r="A37877" t="str">
        <f>HYPERLINK("https://www.773grp.com/globalSearch/NCP3335AMN180R2G/page-1", "NCP3335AMN180R2G")</f>
        <v>NCP3335AMN180R2G</v>
      </c>
      <c r="B37877" s="3" t="s">
        <v>95</v>
      </c>
      <c r="C37877" s="6">
        <v>13540</v>
      </c>
      <c r="D37877" s="7">
        <v>1.91</v>
      </c>
      <c r="E37877" t="s">
        <v>44</v>
      </c>
    </row>
    <row r="37878" spans="1:5" x14ac:dyDescent="0.25">
      <c r="A37878" t="str">
        <f>HYPERLINK("https://www.773grp.com/globalSearch/NCP3335AMN250R2G/page-1", "NCP3335AMN250R2G")</f>
        <v>NCP3335AMN250R2G</v>
      </c>
      <c r="B37878" s="3" t="s">
        <v>95</v>
      </c>
      <c r="C37878" s="6">
        <v>2125</v>
      </c>
      <c r="D37878" s="7">
        <v>1.91</v>
      </c>
      <c r="E37878" t="s">
        <v>44</v>
      </c>
    </row>
    <row r="37879" spans="1:5" x14ac:dyDescent="0.25">
      <c r="A37879" t="str">
        <f>HYPERLINK("https://www.773grp.com/globalSearch/NCP3335AMN280R2G/page-1", "NCP3335AMN280R2G")</f>
        <v>NCP3335AMN280R2G</v>
      </c>
      <c r="B37879" s="3" t="s">
        <v>95</v>
      </c>
      <c r="C37879" s="6">
        <v>9000</v>
      </c>
      <c r="D37879" s="7">
        <v>1.91</v>
      </c>
      <c r="E37879" t="s">
        <v>44</v>
      </c>
    </row>
    <row r="37880" spans="1:5" x14ac:dyDescent="0.25">
      <c r="A37880" t="str">
        <f>HYPERLINK("https://www.773grp.com/globalSearch/NCP3335AMN285R2G/page-1", "NCP3335AMN285R2G")</f>
        <v>NCP3335AMN285R2G</v>
      </c>
      <c r="B37880" s="3" t="s">
        <v>95</v>
      </c>
      <c r="C37880" s="6">
        <v>12000</v>
      </c>
      <c r="D37880" s="7">
        <v>1.91</v>
      </c>
      <c r="E37880" t="s">
        <v>44</v>
      </c>
    </row>
    <row r="37881" spans="1:5" x14ac:dyDescent="0.25">
      <c r="A37881" t="str">
        <f>HYPERLINK("https://www.773grp.com/globalSearch/NCP3335AMN300R2G/page-1", "NCP3335AMN300R2G")</f>
        <v>NCP3335AMN300R2G</v>
      </c>
      <c r="B37881" s="3" t="s">
        <v>95</v>
      </c>
      <c r="C37881" s="6">
        <v>11659</v>
      </c>
      <c r="D37881" s="7">
        <v>1.91</v>
      </c>
      <c r="E37881" t="s">
        <v>44</v>
      </c>
    </row>
    <row r="37882" spans="1:5" x14ac:dyDescent="0.25">
      <c r="A37882" t="str">
        <f>HYPERLINK("https://www.773grp.com/globalSearch/NCP3335AMN500R2G/page-1", "NCP3335AMN500R2G")</f>
        <v>NCP3335AMN500R2G</v>
      </c>
      <c r="B37882" s="3" t="s">
        <v>95</v>
      </c>
      <c r="C37882" s="6">
        <v>6484</v>
      </c>
      <c r="D37882" s="7">
        <v>1.91</v>
      </c>
      <c r="E37882" t="s">
        <v>44</v>
      </c>
    </row>
    <row r="37883" spans="1:5" x14ac:dyDescent="0.25">
      <c r="A37883" t="str">
        <f>HYPERLINK("https://www.773grp.com/globalSearch/NCP3335AMNADJR2G/page-1", "NCP3335AMNADJR2G")</f>
        <v>NCP3335AMNADJR2G</v>
      </c>
      <c r="B37883" s="3" t="s">
        <v>95</v>
      </c>
      <c r="C37883" s="6">
        <v>56500</v>
      </c>
      <c r="D37883" s="7">
        <v>1.91</v>
      </c>
      <c r="E37883" t="s">
        <v>116</v>
      </c>
    </row>
    <row r="37884" spans="1:5" x14ac:dyDescent="0.25">
      <c r="A37884" t="str">
        <f>HYPERLINK("https://www.773grp.com/globalSearch/NCP3418DR2G/page-1", "NCP3418DR2G")</f>
        <v>NCP3418DR2G</v>
      </c>
      <c r="B37884" s="3" t="s">
        <v>95</v>
      </c>
      <c r="C37884" s="6">
        <v>39724</v>
      </c>
      <c r="D37884" s="7">
        <v>1.91</v>
      </c>
      <c r="E37884" t="s">
        <v>16</v>
      </c>
    </row>
    <row r="37885" spans="1:5" x14ac:dyDescent="0.25">
      <c r="A37885" t="str">
        <f>HYPERLINK("https://www.773grp.com/globalSearch/NCP605MN15T2G/page-1", "NCP605MN15T2G")</f>
        <v>NCP605MN15T2G</v>
      </c>
      <c r="B37885" s="3" t="s">
        <v>95</v>
      </c>
      <c r="C37885" s="6">
        <v>11790</v>
      </c>
      <c r="D37885" s="7">
        <v>1.91</v>
      </c>
      <c r="E37885" t="s">
        <v>19</v>
      </c>
    </row>
    <row r="37886" spans="1:5" x14ac:dyDescent="0.25">
      <c r="A37886" t="str">
        <f>HYPERLINK("https://www.773grp.com/globalSearch/NCP605MN18T2G/page-1", "NCP605MN18T2G")</f>
        <v>NCP605MN18T2G</v>
      </c>
      <c r="B37886" s="3" t="s">
        <v>95</v>
      </c>
      <c r="C37886" s="6">
        <v>6000</v>
      </c>
      <c r="D37886" s="7">
        <v>1.91</v>
      </c>
    </row>
    <row r="37887" spans="1:5" x14ac:dyDescent="0.25">
      <c r="A37887" t="str">
        <f>HYPERLINK("https://www.773grp.com/globalSearch/NCP605MN25T2G/page-1", "NCP605MN25T2G")</f>
        <v>NCP605MN25T2G</v>
      </c>
      <c r="B37887" s="3" t="s">
        <v>95</v>
      </c>
      <c r="C37887" s="6">
        <v>423640</v>
      </c>
      <c r="D37887" s="7">
        <v>1.91</v>
      </c>
      <c r="E37887" t="s">
        <v>19</v>
      </c>
    </row>
    <row r="37888" spans="1:5" x14ac:dyDescent="0.25">
      <c r="A37888" t="str">
        <f>HYPERLINK("https://www.773grp.com/globalSearch/NCP605MN28T2G/page-1", "NCP605MN28T2G")</f>
        <v>NCP605MN28T2G</v>
      </c>
      <c r="B37888" s="3" t="s">
        <v>95</v>
      </c>
      <c r="C37888" s="6">
        <v>8000</v>
      </c>
      <c r="D37888" s="7">
        <v>1.91</v>
      </c>
      <c r="E37888" t="s">
        <v>19</v>
      </c>
    </row>
    <row r="37889" spans="1:5" x14ac:dyDescent="0.25">
      <c r="A37889" t="str">
        <f>HYPERLINK("https://www.773grp.com/globalSearch/NCP605MN30T2G/page-1", "NCP605MN30T2G")</f>
        <v>NCP605MN30T2G</v>
      </c>
      <c r="B37889" s="3" t="s">
        <v>95</v>
      </c>
      <c r="C37889" s="6">
        <v>10851</v>
      </c>
      <c r="D37889" s="7">
        <v>1.91</v>
      </c>
    </row>
    <row r="37890" spans="1:5" x14ac:dyDescent="0.25">
      <c r="A37890" t="str">
        <f>HYPERLINK("https://www.773grp.com/globalSearch/NCP605MN33T2G/page-1", "NCP605MN33T2G")</f>
        <v>NCP605MN33T2G</v>
      </c>
      <c r="B37890" s="3" t="s">
        <v>95</v>
      </c>
      <c r="C37890" s="6">
        <v>4379</v>
      </c>
      <c r="D37890" s="7">
        <v>1.91</v>
      </c>
    </row>
    <row r="37891" spans="1:5" x14ac:dyDescent="0.25">
      <c r="A37891" t="str">
        <f>HYPERLINK("https://www.773grp.com/globalSearch/NCP606MN15T2G/page-1", "NCP606MN15T2G")</f>
        <v>NCP606MN15T2G</v>
      </c>
      <c r="B37891" s="3" t="s">
        <v>95</v>
      </c>
      <c r="C37891" s="6">
        <v>22542</v>
      </c>
      <c r="D37891" s="7">
        <v>1.91</v>
      </c>
      <c r="E37891" t="s">
        <v>19</v>
      </c>
    </row>
    <row r="37892" spans="1:5" x14ac:dyDescent="0.25">
      <c r="A37892" t="str">
        <f>HYPERLINK("https://www.773grp.com/globalSearch/NCP606MN28T2G/page-1", "NCP606MN28T2G")</f>
        <v>NCP606MN28T2G</v>
      </c>
      <c r="B37892" s="3" t="s">
        <v>95</v>
      </c>
      <c r="C37892" s="6">
        <v>5910</v>
      </c>
      <c r="D37892" s="7">
        <v>1.91</v>
      </c>
    </row>
    <row r="37893" spans="1:5" x14ac:dyDescent="0.25">
      <c r="A37893" t="str">
        <f>HYPERLINK("https://www.773grp.com/globalSearch/NCP606MN33T2G/page-1", "NCP606MN33T2G")</f>
        <v>NCP606MN33T2G</v>
      </c>
      <c r="B37893" s="3" t="s">
        <v>95</v>
      </c>
      <c r="C37893" s="6">
        <v>12000</v>
      </c>
      <c r="D37893" s="7">
        <v>1.91</v>
      </c>
      <c r="E37893" t="s">
        <v>19</v>
      </c>
    </row>
    <row r="37894" spans="1:5" x14ac:dyDescent="0.25">
      <c r="A37894" t="str">
        <f>HYPERLINK("https://www.773grp.com/globalSearch/NCP606MN50T2G/page-1", "NCP606MN50T2G")</f>
        <v>NCP606MN50T2G</v>
      </c>
      <c r="B37894" s="3" t="s">
        <v>95</v>
      </c>
      <c r="C37894" s="6">
        <v>18864</v>
      </c>
      <c r="D37894" s="7">
        <v>1.91</v>
      </c>
      <c r="E37894" t="s">
        <v>19</v>
      </c>
    </row>
    <row r="37895" spans="1:5" x14ac:dyDescent="0.25">
      <c r="A37895" t="str">
        <f>HYPERLINK("https://www.773grp.com/globalSearch/NCP606MNADJT2G/page-1", "NCP606MNADJT2G")</f>
        <v>NCP606MNADJT2G</v>
      </c>
      <c r="B37895" s="3" t="s">
        <v>95</v>
      </c>
      <c r="C37895" s="6">
        <v>4026</v>
      </c>
      <c r="D37895" s="7">
        <v>1.91</v>
      </c>
    </row>
    <row r="37896" spans="1:5" x14ac:dyDescent="0.25">
      <c r="A37896" t="str">
        <f>HYPERLINK("https://www.773grp.com/globalSearch/NCS2202SN1T1G/page-1", "NCS2202SN1T1G")</f>
        <v>NCS2202SN1T1G</v>
      </c>
      <c r="B37896" s="3" t="s">
        <v>95</v>
      </c>
      <c r="C37896" s="6">
        <v>15935</v>
      </c>
      <c r="D37896" s="7">
        <v>1.91</v>
      </c>
      <c r="E37896" t="s">
        <v>9</v>
      </c>
    </row>
    <row r="37897" spans="1:5" x14ac:dyDescent="0.25">
      <c r="A37897" t="str">
        <f>HYPERLINK("https://www.773grp.com/globalSearch/NCS2202SN2T1G/page-1", "NCS2202SN2T1G")</f>
        <v>NCS2202SN2T1G</v>
      </c>
      <c r="B37897" s="3" t="s">
        <v>95</v>
      </c>
      <c r="C37897" s="6">
        <v>18000</v>
      </c>
      <c r="D37897" s="7">
        <v>1.91</v>
      </c>
    </row>
    <row r="37898" spans="1:5" x14ac:dyDescent="0.25">
      <c r="A37898" t="str">
        <f>HYPERLINK("https://www.773grp.com/globalSearch/NCS2202SQ1T2G/page-1", "NCS2202SQ1T2G")</f>
        <v>NCS2202SQ1T2G</v>
      </c>
      <c r="B37898" s="3" t="s">
        <v>95</v>
      </c>
      <c r="C37898" s="6">
        <v>7750</v>
      </c>
      <c r="D37898" s="7">
        <v>1.91</v>
      </c>
      <c r="E37898" t="s">
        <v>9</v>
      </c>
    </row>
    <row r="37899" spans="1:5" x14ac:dyDescent="0.25">
      <c r="A37899" t="str">
        <f>HYPERLINK("https://www.773grp.com/globalSearch/NCV2002SN1T1G/page-1", "NCV2002SN1T1G")</f>
        <v>NCV2002SN1T1G</v>
      </c>
      <c r="B37899" s="3" t="s">
        <v>95</v>
      </c>
      <c r="C37899" s="6">
        <v>2075</v>
      </c>
      <c r="D37899" s="7">
        <v>1.91</v>
      </c>
      <c r="E37899" t="s">
        <v>13</v>
      </c>
    </row>
    <row r="37900" spans="1:5" x14ac:dyDescent="0.25">
      <c r="A37900" t="str">
        <f>HYPERLINK("https://www.773grp.com/globalSearch/NCV2002SN2T1G/page-1", "NCV2002SN2T1G")</f>
        <v>NCV2002SN2T1G</v>
      </c>
      <c r="B37900" s="3" t="s">
        <v>95</v>
      </c>
      <c r="C37900" s="6">
        <v>8759</v>
      </c>
      <c r="D37900" s="7">
        <v>1.91</v>
      </c>
      <c r="E37900" t="s">
        <v>13</v>
      </c>
    </row>
    <row r="37901" spans="1:5" x14ac:dyDescent="0.25">
      <c r="A37901" t="str">
        <f>HYPERLINK("https://www.773grp.com/globalSearch/NCV33269DT-5.0G/page-1", "NCV33269DT-5.0G")</f>
        <v>NCV33269DT-5.0G</v>
      </c>
      <c r="B37901" s="3" t="s">
        <v>95</v>
      </c>
      <c r="C37901" s="6">
        <v>1200</v>
      </c>
      <c r="D37901" s="7">
        <v>1.91</v>
      </c>
      <c r="E37901" t="s">
        <v>19</v>
      </c>
    </row>
    <row r="37902" spans="1:5" x14ac:dyDescent="0.25">
      <c r="A37902" t="str">
        <f>HYPERLINK("https://www.773grp.com/globalSearch/NCV565ST12T3G/page-1", "NCV565ST12T3G")</f>
        <v>NCV565ST12T3G</v>
      </c>
      <c r="B37902" s="3" t="s">
        <v>95</v>
      </c>
      <c r="C37902" s="6">
        <v>4000</v>
      </c>
      <c r="D37902" s="7">
        <v>1.91</v>
      </c>
    </row>
    <row r="37903" spans="1:5" x14ac:dyDescent="0.25">
      <c r="A37903" t="str">
        <f>HYPERLINK("https://www.773grp.com/globalSearch/NCV8508D2T50R4/page-1", "NCV8508D2T50R4")</f>
        <v>NCV8508D2T50R4</v>
      </c>
      <c r="B37903" s="3" t="s">
        <v>95</v>
      </c>
      <c r="C37903" s="6">
        <v>3000</v>
      </c>
      <c r="D37903" s="7">
        <v>1.91</v>
      </c>
      <c r="E37903" t="s">
        <v>19</v>
      </c>
    </row>
    <row r="37904" spans="1:5" x14ac:dyDescent="0.25">
      <c r="A37904" t="str">
        <f>HYPERLINK("https://www.773grp.com/globalSearch/NDF08N50ZG/page-1", "NDF08N50ZG")</f>
        <v>NDF08N50ZG</v>
      </c>
      <c r="B37904" s="3" t="s">
        <v>95</v>
      </c>
      <c r="C37904" s="6">
        <v>396590</v>
      </c>
      <c r="D37904" s="7">
        <v>1.91</v>
      </c>
      <c r="E37904" t="s">
        <v>105</v>
      </c>
    </row>
    <row r="37905" spans="1:5" x14ac:dyDescent="0.25">
      <c r="A37905" t="str">
        <f>HYPERLINK("https://www.773grp.com/globalSearch/NLAS4684MR2G/page-1", "NLAS4684MR2G")</f>
        <v>NLAS4684MR2G</v>
      </c>
      <c r="B37905" s="3" t="s">
        <v>95</v>
      </c>
      <c r="C37905" s="6">
        <v>78300</v>
      </c>
      <c r="D37905" s="7">
        <v>1.91</v>
      </c>
      <c r="E37905" t="s">
        <v>56</v>
      </c>
    </row>
    <row r="37906" spans="1:5" x14ac:dyDescent="0.25">
      <c r="A37906" t="str">
        <f>HYPERLINK("https://www.773grp.com/globalSearch/NLAS5123MNR2G/page-1", "NLAS5123MNR2G")</f>
        <v>NLAS5123MNR2G</v>
      </c>
      <c r="B37906" s="3" t="s">
        <v>95</v>
      </c>
      <c r="C37906" s="6">
        <v>8579</v>
      </c>
      <c r="D37906" s="7">
        <v>1.91</v>
      </c>
      <c r="E37906" t="s">
        <v>56</v>
      </c>
    </row>
    <row r="37907" spans="1:5" x14ac:dyDescent="0.25">
      <c r="A37907" t="str">
        <f>HYPERLINK("https://www.773grp.com/globalSearch/NTB5605PG/page-1", "NTB5605PG")</f>
        <v>NTB5605PG</v>
      </c>
      <c r="B37907" s="3" t="s">
        <v>95</v>
      </c>
      <c r="C37907" s="6">
        <v>1154</v>
      </c>
      <c r="D37907" s="7">
        <v>1.91</v>
      </c>
      <c r="E37907" t="s">
        <v>105</v>
      </c>
    </row>
    <row r="37908" spans="1:5" x14ac:dyDescent="0.25">
      <c r="A37908" t="str">
        <f>HYPERLINK("https://www.773grp.com/globalSearch/NTB5605PT4G/page-1", "NTB5605PT4G")</f>
        <v>NTB5605PT4G</v>
      </c>
      <c r="B37908" s="3" t="s">
        <v>95</v>
      </c>
      <c r="C37908" s="6">
        <v>800</v>
      </c>
      <c r="D37908" s="7">
        <v>1.91</v>
      </c>
      <c r="E37908" t="s">
        <v>105</v>
      </c>
    </row>
    <row r="37909" spans="1:5" x14ac:dyDescent="0.25">
      <c r="A37909" t="str">
        <f>HYPERLINK("https://www.773grp.com/globalSearch/NTLLD4901NFTWG/page-1", "NTLLD4901NFTWG")</f>
        <v>NTLLD4901NFTWG</v>
      </c>
      <c r="B37909" s="3" t="s">
        <v>95</v>
      </c>
      <c r="C37909" s="6">
        <v>3000</v>
      </c>
      <c r="D37909" s="7">
        <v>1.91</v>
      </c>
    </row>
    <row r="37910" spans="1:5" x14ac:dyDescent="0.25">
      <c r="A37910" t="str">
        <f>HYPERLINK("https://www.773grp.com/globalSearch/NTST30U100CTG/page-1", "NTST30U100CTG")</f>
        <v>NTST30U100CTG</v>
      </c>
      <c r="B37910" s="3" t="s">
        <v>95</v>
      </c>
      <c r="C37910" s="6">
        <v>1025</v>
      </c>
      <c r="D37910" s="7">
        <v>1.91</v>
      </c>
    </row>
    <row r="37911" spans="1:5" x14ac:dyDescent="0.25">
      <c r="A37911" t="str">
        <f>HYPERLINK("https://www.773grp.com/globalSearch/NTTFS4800NTAG/page-1", "NTTFS4800NTAG")</f>
        <v>NTTFS4800NTAG</v>
      </c>
      <c r="B37911" s="3" t="s">
        <v>95</v>
      </c>
      <c r="C37911" s="6">
        <v>13500</v>
      </c>
      <c r="D37911" s="7">
        <v>1.91</v>
      </c>
      <c r="E37911" t="s">
        <v>105</v>
      </c>
    </row>
    <row r="37912" spans="1:5" x14ac:dyDescent="0.25">
      <c r="A37912" t="str">
        <f>HYPERLINK("https://www.773grp.com/globalSearch/NTTFS5116PLTAG/page-1", "NTTFS5116PLTAG")</f>
        <v>NTTFS5116PLTAG</v>
      </c>
      <c r="B37912" s="3" t="s">
        <v>95</v>
      </c>
      <c r="C37912" s="6">
        <v>1500</v>
      </c>
      <c r="D37912" s="7">
        <v>1.91</v>
      </c>
    </row>
    <row r="37913" spans="1:5" x14ac:dyDescent="0.25">
      <c r="A37913" t="str">
        <f>HYPERLINK("https://www.773grp.com/globalSearch/NVTFS5811NLTAG/page-1", "NVTFS5811NLTAG")</f>
        <v>NVTFS5811NLTAG</v>
      </c>
      <c r="B37913" s="3" t="s">
        <v>95</v>
      </c>
      <c r="C37913" s="6">
        <v>198800</v>
      </c>
      <c r="D37913" s="7">
        <v>1.91</v>
      </c>
    </row>
    <row r="37914" spans="1:5" x14ac:dyDescent="0.25">
      <c r="A37914" t="str">
        <f>HYPERLINK("https://www.773grp.com/globalSearch/SC33063ADR2G/page-1", "SC33063ADR2G")</f>
        <v>SC33063ADR2G</v>
      </c>
      <c r="B37914" s="3" t="s">
        <v>95</v>
      </c>
      <c r="C37914" s="6">
        <v>2500</v>
      </c>
      <c r="D37914" s="7">
        <v>1.91</v>
      </c>
    </row>
    <row r="37915" spans="1:5" x14ac:dyDescent="0.25">
      <c r="A37915" t="str">
        <f>HYPERLINK("https://www.773grp.com/globalSearch/SJE1943/page-1", "SJE1943")</f>
        <v>SJE1943</v>
      </c>
      <c r="B37915" s="3" t="s">
        <v>95</v>
      </c>
      <c r="C37915" s="6">
        <v>1750</v>
      </c>
      <c r="D37915" s="7">
        <v>1.91</v>
      </c>
    </row>
    <row r="37916" spans="1:5" x14ac:dyDescent="0.25">
      <c r="A37916" t="str">
        <f>HYPERLINK("https://www.773grp.com/globalSearch/SJE7075LFAJ/page-1", "SJE7075LFAJ")</f>
        <v>SJE7075LFAJ</v>
      </c>
      <c r="B37916" s="3" t="s">
        <v>95</v>
      </c>
      <c r="C37916" s="6">
        <v>800</v>
      </c>
      <c r="D37916" s="7">
        <v>1.91</v>
      </c>
    </row>
    <row r="37917" spans="1:5" x14ac:dyDescent="0.25">
      <c r="A37917" t="str">
        <f>HYPERLINK("https://www.773grp.com/globalSearch/SN74LS242M/page-1", "SN74LS242M")</f>
        <v>SN74LS242M</v>
      </c>
      <c r="B37917" s="3" t="s">
        <v>95</v>
      </c>
      <c r="C37917" s="6">
        <v>5350</v>
      </c>
      <c r="D37917" s="7">
        <v>1.91</v>
      </c>
    </row>
    <row r="37918" spans="1:5" x14ac:dyDescent="0.25">
      <c r="A37918" t="str">
        <f>HYPERLINK("https://www.773grp.com/globalSearch/SN74LS242MEL/page-1", "SN74LS242MEL")</f>
        <v>SN74LS242MEL</v>
      </c>
      <c r="B37918" s="3" t="s">
        <v>95</v>
      </c>
      <c r="C37918" s="6">
        <v>6000</v>
      </c>
      <c r="D37918" s="7">
        <v>1.91</v>
      </c>
    </row>
    <row r="37919" spans="1:5" x14ac:dyDescent="0.25">
      <c r="A37919" t="str">
        <f>HYPERLINK("https://www.773grp.com/globalSearch/TIP107G/page-1", "TIP107G")</f>
        <v>TIP107G</v>
      </c>
      <c r="B37919" s="3" t="s">
        <v>95</v>
      </c>
      <c r="C37919" s="6">
        <v>679</v>
      </c>
      <c r="D37919" s="7">
        <v>1.91</v>
      </c>
      <c r="E37919" t="s">
        <v>59</v>
      </c>
    </row>
    <row r="37920" spans="1:5" x14ac:dyDescent="0.25">
      <c r="A37920" t="str">
        <f>HYPERLINK("https://www.773grp.com/globalSearch/TIP146/page-1", "TIP146")</f>
        <v>TIP146</v>
      </c>
      <c r="B37920" s="3" t="s">
        <v>95</v>
      </c>
      <c r="C37920" s="6">
        <v>29</v>
      </c>
      <c r="D37920" s="7">
        <v>1.91</v>
      </c>
      <c r="E37920" t="s">
        <v>59</v>
      </c>
    </row>
    <row r="37921" spans="1:5" x14ac:dyDescent="0.25">
      <c r="A37921" t="str">
        <f>HYPERLINK("https://www.773grp.com/globalSearch/TL064ACD/page-1", "TL064ACD")</f>
        <v>TL064ACD</v>
      </c>
      <c r="B37921" s="3" t="s">
        <v>95</v>
      </c>
      <c r="C37921" s="6">
        <v>4710</v>
      </c>
      <c r="D37921" s="7">
        <v>1.91</v>
      </c>
      <c r="E37921" t="s">
        <v>13</v>
      </c>
    </row>
    <row r="37922" spans="1:5" x14ac:dyDescent="0.25">
      <c r="A37922" t="str">
        <f>HYPERLINK("https://www.773grp.com/globalSearch/UC2842BD1R2G/page-1", "UC2842BD1R2G")</f>
        <v>UC2842BD1R2G</v>
      </c>
      <c r="B37922" s="3" t="s">
        <v>95</v>
      </c>
      <c r="C37922" s="6">
        <v>429975</v>
      </c>
      <c r="D37922" s="7">
        <v>1.91</v>
      </c>
      <c r="E37922" t="s">
        <v>7</v>
      </c>
    </row>
    <row r="37923" spans="1:5" x14ac:dyDescent="0.25">
      <c r="A37923" t="str">
        <f>HYPERLINK("https://www.773grp.com/globalSearch/UC2842BDR2G/page-1", "UC2842BDR2G")</f>
        <v>UC2842BDR2G</v>
      </c>
      <c r="B37923" s="3" t="s">
        <v>95</v>
      </c>
      <c r="C37923" s="6">
        <v>2592</v>
      </c>
      <c r="D37923" s="7">
        <v>1.91</v>
      </c>
    </row>
    <row r="37924" spans="1:5" x14ac:dyDescent="0.25">
      <c r="A37924" t="str">
        <f>HYPERLINK("https://www.773grp.com/globalSearch/UC2842BNG/page-1", "UC2842BNG")</f>
        <v>UC2842BNG</v>
      </c>
      <c r="B37924" s="3" t="s">
        <v>95</v>
      </c>
      <c r="C37924" s="6">
        <v>37151</v>
      </c>
      <c r="D37924" s="7">
        <v>1.91</v>
      </c>
      <c r="E37924" t="s">
        <v>7</v>
      </c>
    </row>
    <row r="37925" spans="1:5" x14ac:dyDescent="0.25">
      <c r="A37925" t="str">
        <f>HYPERLINK("https://www.773grp.com/globalSearch/UC2843AN/page-1", "UC2843AN")</f>
        <v>UC2843AN</v>
      </c>
      <c r="B37925" s="3" t="s">
        <v>95</v>
      </c>
      <c r="C37925" s="6">
        <v>160</v>
      </c>
      <c r="D37925" s="7">
        <v>1.91</v>
      </c>
      <c r="E37925" t="s">
        <v>7</v>
      </c>
    </row>
    <row r="37926" spans="1:5" x14ac:dyDescent="0.25">
      <c r="A37926" t="str">
        <f>HYPERLINK("https://www.773grp.com/globalSearch/UC2843BD1R2G/page-1", "UC2843BD1R2G")</f>
        <v>UC2843BD1R2G</v>
      </c>
      <c r="B37926" s="3" t="s">
        <v>95</v>
      </c>
      <c r="C37926" s="6">
        <v>869349</v>
      </c>
      <c r="D37926" s="7">
        <v>1.91</v>
      </c>
      <c r="E37926" t="s">
        <v>7</v>
      </c>
    </row>
    <row r="37927" spans="1:5" x14ac:dyDescent="0.25">
      <c r="A37927" t="str">
        <f>HYPERLINK("https://www.773grp.com/globalSearch/UC2843BDR2G/page-1", "UC2843BDR2G")</f>
        <v>UC2843BDR2G</v>
      </c>
      <c r="B37927" s="3" t="s">
        <v>95</v>
      </c>
      <c r="C37927" s="6">
        <v>26750</v>
      </c>
      <c r="D37927" s="7">
        <v>1.91</v>
      </c>
    </row>
    <row r="37928" spans="1:5" x14ac:dyDescent="0.25">
      <c r="A37928" t="str">
        <f>HYPERLINK("https://www.773grp.com/globalSearch/UC2843BNG/page-1", "UC2843BNG")</f>
        <v>UC2843BNG</v>
      </c>
      <c r="B37928" s="3" t="s">
        <v>95</v>
      </c>
      <c r="C37928" s="6">
        <v>79200</v>
      </c>
      <c r="D37928" s="7">
        <v>1.91</v>
      </c>
    </row>
    <row r="37929" spans="1:5" x14ac:dyDescent="0.25">
      <c r="A37929" t="str">
        <f>HYPERLINK("https://www.773grp.com/globalSearch/UC2844BD1R2G/page-1", "UC2844BD1R2G")</f>
        <v>UC2844BD1R2G</v>
      </c>
      <c r="B37929" s="3" t="s">
        <v>95</v>
      </c>
      <c r="C37929" s="6">
        <v>117977</v>
      </c>
      <c r="D37929" s="7">
        <v>1.91</v>
      </c>
      <c r="E37929" t="s">
        <v>7</v>
      </c>
    </row>
    <row r="37930" spans="1:5" x14ac:dyDescent="0.25">
      <c r="A37930" t="str">
        <f>HYPERLINK("https://www.773grp.com/globalSearch/UC2844BDR2G/page-1", "UC2844BDR2G")</f>
        <v>UC2844BDR2G</v>
      </c>
      <c r="B37930" s="3" t="s">
        <v>95</v>
      </c>
      <c r="C37930" s="6">
        <v>137500</v>
      </c>
      <c r="D37930" s="7">
        <v>1.91</v>
      </c>
      <c r="E37930" t="s">
        <v>7</v>
      </c>
    </row>
    <row r="37931" spans="1:5" x14ac:dyDescent="0.25">
      <c r="A37931" t="str">
        <f>HYPERLINK("https://www.773grp.com/globalSearch/UC2844BNG/page-1", "UC2844BNG")</f>
        <v>UC2844BNG</v>
      </c>
      <c r="B37931" s="3" t="s">
        <v>95</v>
      </c>
      <c r="C37931" s="6">
        <v>8741</v>
      </c>
      <c r="D37931" s="7">
        <v>1.91</v>
      </c>
      <c r="E37931" t="s">
        <v>7</v>
      </c>
    </row>
    <row r="37932" spans="1:5" x14ac:dyDescent="0.25">
      <c r="A37932" t="str">
        <f>HYPERLINK("https://www.773grp.com/globalSearch/UC2845BD1R2G/page-1", "UC2845BD1R2G")</f>
        <v>UC2845BD1R2G</v>
      </c>
      <c r="B37932" s="3" t="s">
        <v>95</v>
      </c>
      <c r="C37932" s="6">
        <v>189900</v>
      </c>
      <c r="D37932" s="7">
        <v>1.91</v>
      </c>
      <c r="E37932" t="s">
        <v>7</v>
      </c>
    </row>
    <row r="37933" spans="1:5" x14ac:dyDescent="0.25">
      <c r="A37933" t="str">
        <f>HYPERLINK("https://www.773grp.com/globalSearch/UC2845BNG/page-1", "UC2845BNG")</f>
        <v>UC2845BNG</v>
      </c>
      <c r="B37933" s="3" t="s">
        <v>95</v>
      </c>
      <c r="C37933" s="6">
        <v>3650</v>
      </c>
      <c r="D37933" s="7">
        <v>1.91</v>
      </c>
    </row>
    <row r="37934" spans="1:5" x14ac:dyDescent="0.25">
      <c r="A37934" t="str">
        <f>HYPERLINK("https://www.773grp.com/globalSearch/UC3845BD1/page-1", "UC3845BD1")</f>
        <v>UC3845BD1</v>
      </c>
      <c r="B37934" s="3" t="s">
        <v>95</v>
      </c>
      <c r="C37934" s="6">
        <v>5782</v>
      </c>
      <c r="D37934" s="7">
        <v>1.91</v>
      </c>
      <c r="E37934" t="s">
        <v>7</v>
      </c>
    </row>
    <row r="37935" spans="1:5" x14ac:dyDescent="0.25">
      <c r="A37935" t="str">
        <f>HYPERLINK("https://www.773grp.com/globalSearch/2N5415/page-1", "2N5415")</f>
        <v>2N5415</v>
      </c>
      <c r="B37935" s="3" t="s">
        <v>95</v>
      </c>
      <c r="C37935" s="6">
        <v>2975</v>
      </c>
      <c r="D37935" s="7">
        <v>1.96</v>
      </c>
      <c r="E37935" t="s">
        <v>69</v>
      </c>
    </row>
    <row r="37936" spans="1:5" x14ac:dyDescent="0.25">
      <c r="A37936" t="str">
        <f>HYPERLINK("https://www.773grp.com/globalSearch/2N6107G/page-1", "2N6107G")</f>
        <v>2N6107G</v>
      </c>
      <c r="B37936" s="3" t="s">
        <v>95</v>
      </c>
      <c r="C37936" s="6">
        <v>43719</v>
      </c>
      <c r="D37936" s="7">
        <v>1.96</v>
      </c>
      <c r="E37936" t="s">
        <v>59</v>
      </c>
    </row>
    <row r="37937" spans="1:5" x14ac:dyDescent="0.25">
      <c r="A37937" t="str">
        <f>HYPERLINK("https://www.773grp.com/globalSearch/2N6109G/page-1", "2N6109G")</f>
        <v>2N6109G</v>
      </c>
      <c r="B37937" s="3" t="s">
        <v>95</v>
      </c>
      <c r="C37937" s="6">
        <v>698</v>
      </c>
      <c r="D37937" s="7">
        <v>1.96</v>
      </c>
      <c r="E37937" t="s">
        <v>59</v>
      </c>
    </row>
    <row r="37938" spans="1:5" x14ac:dyDescent="0.25">
      <c r="A37938" t="str">
        <f>HYPERLINK("https://www.773grp.com/globalSearch/2N6111G/page-1", "2N6111G")</f>
        <v>2N6111G</v>
      </c>
      <c r="B37938" s="3" t="s">
        <v>95</v>
      </c>
      <c r="C37938" s="6">
        <v>45184</v>
      </c>
      <c r="D37938" s="7">
        <v>1.96</v>
      </c>
      <c r="E37938" t="s">
        <v>59</v>
      </c>
    </row>
    <row r="37939" spans="1:5" x14ac:dyDescent="0.25">
      <c r="A37939" t="str">
        <f>HYPERLINK("https://www.773grp.com/globalSearch/2N6490/page-1", "2N6490")</f>
        <v>2N6490</v>
      </c>
      <c r="B37939" s="3" t="s">
        <v>95</v>
      </c>
      <c r="C37939" s="6">
        <v>40</v>
      </c>
      <c r="D37939" s="7">
        <v>1.96</v>
      </c>
      <c r="E37939" t="s">
        <v>59</v>
      </c>
    </row>
    <row r="37940" spans="1:5" x14ac:dyDescent="0.25">
      <c r="A37940" t="str">
        <f>HYPERLINK("https://www.773grp.com/globalSearch/BD244BG/page-1", "BD244BG")</f>
        <v>BD244BG</v>
      </c>
      <c r="B37940" s="3" t="s">
        <v>95</v>
      </c>
      <c r="C37940" s="6">
        <v>6906</v>
      </c>
      <c r="D37940" s="7">
        <v>1.96</v>
      </c>
      <c r="E37940" t="s">
        <v>59</v>
      </c>
    </row>
    <row r="37941" spans="1:5" x14ac:dyDescent="0.25">
      <c r="A37941" t="str">
        <f>HYPERLINK("https://www.773grp.com/globalSearch/BD244CG/page-1", "BD244CG")</f>
        <v>BD244CG</v>
      </c>
      <c r="B37941" s="3" t="s">
        <v>95</v>
      </c>
      <c r="C37941" s="6">
        <v>1035</v>
      </c>
      <c r="D37941" s="7">
        <v>1.96</v>
      </c>
    </row>
    <row r="37942" spans="1:5" x14ac:dyDescent="0.25">
      <c r="A37942" t="str">
        <f>HYPERLINK("https://www.773grp.com/globalSearch/CAT24C256WI-G/page-1", "CAT24C256WI-G")</f>
        <v>CAT24C256WI-G</v>
      </c>
      <c r="B37942" s="3" t="s">
        <v>95</v>
      </c>
      <c r="C37942" s="6">
        <v>1435</v>
      </c>
      <c r="D37942" s="7">
        <v>1.96</v>
      </c>
    </row>
    <row r="37943" spans="1:5" x14ac:dyDescent="0.25">
      <c r="A37943" t="str">
        <f>HYPERLINK("https://www.773grp.com/globalSearch/CAT25256LI-G/page-1", "CAT25256LI-G")</f>
        <v>CAT25256LI-G</v>
      </c>
      <c r="B37943" s="3" t="s">
        <v>95</v>
      </c>
      <c r="C37943" s="6">
        <v>5800</v>
      </c>
      <c r="D37943" s="7">
        <v>1.96</v>
      </c>
    </row>
    <row r="37944" spans="1:5" x14ac:dyDescent="0.25">
      <c r="A37944" t="str">
        <f>HYPERLINK("https://www.773grp.com/globalSearch/CM1235-08DE/page-1", "CM1235-08DE")</f>
        <v>CM1235-08DE</v>
      </c>
      <c r="B37944" s="3" t="s">
        <v>95</v>
      </c>
      <c r="C37944" s="6">
        <v>21000</v>
      </c>
      <c r="D37944" s="7">
        <v>1.96</v>
      </c>
    </row>
    <row r="37945" spans="1:5" x14ac:dyDescent="0.25">
      <c r="A37945" t="str">
        <f>HYPERLINK("https://www.773grp.com/globalSearch/CM2021-02TR/page-1", "CM2021-02TR")</f>
        <v>CM2021-02TR</v>
      </c>
      <c r="B37945" s="3" t="str">
        <f>HYPERLINK("https://www.773grp.com/manufacturer/onsemi?pageNo=1", "ON Semiconductor")</f>
        <v>ON Semiconductor</v>
      </c>
      <c r="C37945" s="6">
        <v>71644</v>
      </c>
      <c r="D37945" s="7">
        <v>1.96</v>
      </c>
      <c r="E37945" t="s">
        <v>23</v>
      </c>
    </row>
    <row r="37946" spans="1:5" x14ac:dyDescent="0.25">
      <c r="A37946" t="str">
        <f>HYPERLINK("https://www.773grp.com/globalSearch/CS5203-1GDP3/page-1", "CS5203-1GDP3")</f>
        <v>CS5203-1GDP3</v>
      </c>
      <c r="B37946" s="3" t="str">
        <f>HYPERLINK("https://www.773grp.com/manufacturer/onsemi?pageNo=2", "ON Semiconductor")</f>
        <v>ON Semiconductor</v>
      </c>
      <c r="C37946" s="6">
        <v>2050</v>
      </c>
      <c r="D37946" s="7">
        <v>1.96</v>
      </c>
      <c r="E37946" t="s">
        <v>25</v>
      </c>
    </row>
    <row r="37947" spans="1:5" x14ac:dyDescent="0.25">
      <c r="A37947" t="str">
        <f>HYPERLINK("https://www.773grp.com/globalSearch/CS5203-1GDPR3/page-1", "CS5203-1GDPR3")</f>
        <v>CS5203-1GDPR3</v>
      </c>
      <c r="B37947" s="3" t="str">
        <f>HYPERLINK("https://www.773grp.com/manufacturer/onsemi?pageNo=3", "ON Semiconductor")</f>
        <v>ON Semiconductor</v>
      </c>
      <c r="C37947" s="6">
        <v>950</v>
      </c>
      <c r="D37947" s="7">
        <v>1.96</v>
      </c>
      <c r="E37947" t="s">
        <v>25</v>
      </c>
    </row>
    <row r="37948" spans="1:5" x14ac:dyDescent="0.25">
      <c r="A37948" t="str">
        <f>HYPERLINK("https://www.773grp.com/globalSearch/CS5203-3GDPR3/page-1", "CS5203-3GDPR3")</f>
        <v>CS5203-3GDPR3</v>
      </c>
      <c r="B37948" s="3" t="str">
        <f>HYPERLINK("https://www.773grp.com/manufacturer/onsemi?pageNo=4", "ON Semiconductor")</f>
        <v>ON Semiconductor</v>
      </c>
      <c r="C37948" s="6">
        <v>6100</v>
      </c>
      <c r="D37948" s="7">
        <v>1.96</v>
      </c>
      <c r="E37948" t="s">
        <v>19</v>
      </c>
    </row>
    <row r="37949" spans="1:5" x14ac:dyDescent="0.25">
      <c r="A37949" t="str">
        <f>HYPERLINK("https://www.773grp.com/globalSearch/D44H11G/page-1", "D44H11G")</f>
        <v>D44H11G</v>
      </c>
      <c r="B37949" s="3" t="str">
        <f>HYPERLINK("https://www.773grp.com/manufacturer/onsemi?pageNo=5", "ON Semiconductor")</f>
        <v>ON Semiconductor</v>
      </c>
      <c r="C37949" s="6">
        <v>1050</v>
      </c>
      <c r="D37949" s="7">
        <v>1.96</v>
      </c>
      <c r="E37949" t="s">
        <v>59</v>
      </c>
    </row>
    <row r="37950" spans="1:5" x14ac:dyDescent="0.25">
      <c r="A37950" t="str">
        <f>HYPERLINK("https://www.773grp.com/globalSearch/D44H8G/page-1", "D44H8G")</f>
        <v>D44H8G</v>
      </c>
      <c r="B37950" s="3" t="str">
        <f>HYPERLINK("https://www.773grp.com/manufacturer/onsemi?pageNo=6", "ON Semiconductor")</f>
        <v>ON Semiconductor</v>
      </c>
      <c r="C37950" s="6">
        <v>11756</v>
      </c>
      <c r="D37950" s="7">
        <v>1.96</v>
      </c>
      <c r="E37950" t="s">
        <v>59</v>
      </c>
    </row>
    <row r="37951" spans="1:5" x14ac:dyDescent="0.25">
      <c r="A37951" t="str">
        <f>HYPERLINK("https://www.773grp.com/globalSearch/D44VH10G/page-1", "D44VH10G")</f>
        <v>D44VH10G</v>
      </c>
      <c r="B37951" s="3" t="str">
        <f>HYPERLINK("https://www.773grp.com/manufacturer/onsemi?pageNo=7", "ON Semiconductor")</f>
        <v>ON Semiconductor</v>
      </c>
      <c r="C37951" s="6">
        <v>1169</v>
      </c>
      <c r="D37951" s="7">
        <v>1.96</v>
      </c>
      <c r="E37951" t="s">
        <v>59</v>
      </c>
    </row>
    <row r="37952" spans="1:5" x14ac:dyDescent="0.25">
      <c r="A37952" t="str">
        <f>HYPERLINK("https://www.773grp.com/globalSearch/IRF710/page-1", "IRF710")</f>
        <v>IRF710</v>
      </c>
      <c r="B37952" s="3" t="str">
        <f>HYPERLINK("https://www.773grp.com/manufacturer/onsemi?pageNo=8", "ON Semiconductor")</f>
        <v>ON Semiconductor</v>
      </c>
      <c r="C37952" s="6">
        <v>4400</v>
      </c>
      <c r="D37952" s="7">
        <v>1.96</v>
      </c>
      <c r="E37952" t="s">
        <v>105</v>
      </c>
    </row>
    <row r="37953" spans="1:5" x14ac:dyDescent="0.25">
      <c r="A37953" t="str">
        <f>HYPERLINK("https://www.773grp.com/globalSearch/LA42072N-E/page-1", "LA42072N-E")</f>
        <v>LA42072N-E</v>
      </c>
      <c r="B37953" s="3" t="str">
        <f>HYPERLINK("https://www.773grp.com/manufacturer/onsemi?pageNo=9", "ON Semiconductor")</f>
        <v>ON Semiconductor</v>
      </c>
      <c r="C37953" s="6">
        <v>3000</v>
      </c>
      <c r="D37953" s="7">
        <v>1.96</v>
      </c>
    </row>
    <row r="37954" spans="1:5" x14ac:dyDescent="0.25">
      <c r="A37954" t="str">
        <f>HYPERLINK("https://www.773grp.com/globalSearch/LM833NG/page-1", "LM833NG")</f>
        <v>LM833NG</v>
      </c>
      <c r="B37954" s="3" t="str">
        <f>HYPERLINK("https://www.773grp.com/manufacturer/onsemi?pageNo=10", "ON Semiconductor")</f>
        <v>ON Semiconductor</v>
      </c>
      <c r="C37954" s="6">
        <v>1706</v>
      </c>
      <c r="D37954" s="7">
        <v>1.96</v>
      </c>
      <c r="E37954" t="s">
        <v>18</v>
      </c>
    </row>
    <row r="37955" spans="1:5" x14ac:dyDescent="0.25">
      <c r="A37955" t="str">
        <f>HYPERLINK("https://www.773grp.com/globalSearch/LP2951ACD-3.3R/page-1", "LP2951ACD-3.3R")</f>
        <v>LP2951ACD-3.3R</v>
      </c>
      <c r="B37955" s="3" t="str">
        <f>HYPERLINK("https://www.773grp.com/manufacturer/onsemi?pageNo=11", "ON Semiconductor")</f>
        <v>ON Semiconductor</v>
      </c>
      <c r="C37955" s="6">
        <v>5000</v>
      </c>
      <c r="D37955" s="7">
        <v>1.96</v>
      </c>
    </row>
    <row r="37956" spans="1:5" x14ac:dyDescent="0.25">
      <c r="A37956" t="str">
        <f>HYPERLINK("https://www.773grp.com/globalSearch/MBRF30L60CTG/page-1", "MBRF30L60CTG")</f>
        <v>MBRF30L60CTG</v>
      </c>
      <c r="B37956" s="3" t="str">
        <f>HYPERLINK("https://www.773grp.com/manufacturer/onsemi?pageNo=12", "ON Semiconductor")</f>
        <v>ON Semiconductor</v>
      </c>
      <c r="C37956" s="6">
        <v>500</v>
      </c>
      <c r="D37956" s="7">
        <v>1.96</v>
      </c>
      <c r="E37956" t="s">
        <v>103</v>
      </c>
    </row>
    <row r="37957" spans="1:5" x14ac:dyDescent="0.25">
      <c r="A37957" t="str">
        <f>HYPERLINK("https://www.773grp.com/globalSearch/MC14066BCL/page-1", "MC14066BCL")</f>
        <v>MC14066BCL</v>
      </c>
      <c r="B37957" s="3" t="str">
        <f>HYPERLINK("https://www.773grp.com/manufacturer/onsemi?pageNo=13", "ON Semiconductor")</f>
        <v>ON Semiconductor</v>
      </c>
      <c r="C37957" s="6">
        <v>1</v>
      </c>
      <c r="D37957" s="7">
        <v>1.96</v>
      </c>
      <c r="E37957" t="s">
        <v>56</v>
      </c>
    </row>
    <row r="37958" spans="1:5" x14ac:dyDescent="0.25">
      <c r="A37958" t="str">
        <f>HYPERLINK("https://www.773grp.com/globalSearch/MC1416BP/page-1", "MC1416BP")</f>
        <v>MC1416BP</v>
      </c>
      <c r="B37958" s="3" t="str">
        <f>HYPERLINK("https://www.773grp.com/manufacturer/onsemi?pageNo=14", "ON Semiconductor")</f>
        <v>ON Semiconductor</v>
      </c>
      <c r="C37958" s="6">
        <v>2811</v>
      </c>
      <c r="D37958" s="7">
        <v>1.96</v>
      </c>
      <c r="E37958" t="s">
        <v>59</v>
      </c>
    </row>
    <row r="37959" spans="1:5" x14ac:dyDescent="0.25">
      <c r="A37959" t="str">
        <f>HYPERLINK("https://www.773grp.com/globalSearch/MC33078P/page-1", "MC33078P")</f>
        <v>MC33078P</v>
      </c>
      <c r="B37959" s="3" t="str">
        <f>HYPERLINK("https://www.773grp.com/manufacturer/onsemi?pageNo=15", "ON Semiconductor")</f>
        <v>ON Semiconductor</v>
      </c>
      <c r="C37959" s="6">
        <v>450</v>
      </c>
      <c r="D37959" s="7">
        <v>1.96</v>
      </c>
    </row>
    <row r="37960" spans="1:5" x14ac:dyDescent="0.25">
      <c r="A37960" t="str">
        <f>HYPERLINK("https://www.773grp.com/globalSearch/MC33078PG/page-1", "MC33078PG")</f>
        <v>MC33078PG</v>
      </c>
      <c r="B37960" s="3" t="str">
        <f>HYPERLINK("https://www.773grp.com/manufacturer/onsemi?pageNo=16", "ON Semiconductor")</f>
        <v>ON Semiconductor</v>
      </c>
      <c r="C37960" s="6">
        <v>99498</v>
      </c>
      <c r="D37960" s="7">
        <v>1.96</v>
      </c>
      <c r="E37960" t="s">
        <v>13</v>
      </c>
    </row>
    <row r="37961" spans="1:5" x14ac:dyDescent="0.25">
      <c r="A37961" t="str">
        <f>HYPERLINK("https://www.773grp.com/globalSearch/MC33160DW/page-1", "MC33160DW")</f>
        <v>MC33160DW</v>
      </c>
      <c r="B37961" s="3" t="str">
        <f>HYPERLINK("https://www.773grp.com/manufacturer/onsemi?pageNo=17", "ON Semiconductor")</f>
        <v>ON Semiconductor</v>
      </c>
      <c r="C37961" s="6">
        <v>62</v>
      </c>
      <c r="D37961" s="7">
        <v>1.96</v>
      </c>
      <c r="E37961" t="s">
        <v>28</v>
      </c>
    </row>
    <row r="37962" spans="1:5" x14ac:dyDescent="0.25">
      <c r="A37962" t="str">
        <f>HYPERLINK("https://www.773grp.com/globalSearch/MC33164D-3R2/page-1", "MC33164D-3R2")</f>
        <v>MC33164D-3R2</v>
      </c>
      <c r="B37962" s="3" t="str">
        <f>HYPERLINK("https://www.773grp.com/manufacturer/onsemi?pageNo=18", "ON Semiconductor")</f>
        <v>ON Semiconductor</v>
      </c>
      <c r="C37962" s="6">
        <v>7500</v>
      </c>
      <c r="D37962" s="7">
        <v>1.96</v>
      </c>
      <c r="E37962" t="s">
        <v>30</v>
      </c>
    </row>
    <row r="37963" spans="1:5" x14ac:dyDescent="0.25">
      <c r="A37963" t="str">
        <f>HYPERLINK("https://www.773grp.com/globalSearch/MC74F259N/page-1", "MC74F259N")</f>
        <v>MC74F259N</v>
      </c>
      <c r="B37963" s="3" t="str">
        <f>HYPERLINK("https://www.773grp.com/manufacturer/onsemi?pageNo=19", "ON Semiconductor")</f>
        <v>ON Semiconductor</v>
      </c>
      <c r="C37963" s="6">
        <v>1500</v>
      </c>
      <c r="D37963" s="7">
        <v>1.96</v>
      </c>
      <c r="E37963" t="s">
        <v>35</v>
      </c>
    </row>
    <row r="37964" spans="1:5" x14ac:dyDescent="0.25">
      <c r="A37964" t="str">
        <f>HYPERLINK("https://www.773grp.com/globalSearch/MC74F399M/page-1", "MC74F399M")</f>
        <v>MC74F399M</v>
      </c>
      <c r="B37964" s="3" t="str">
        <f>HYPERLINK("https://www.773grp.com/manufacturer/onsemi?pageNo=20", "ON Semiconductor")</f>
        <v>ON Semiconductor</v>
      </c>
      <c r="C37964" s="6">
        <v>1563</v>
      </c>
      <c r="D37964" s="7">
        <v>1.96</v>
      </c>
    </row>
    <row r="37965" spans="1:5" x14ac:dyDescent="0.25">
      <c r="A37965" t="str">
        <f>HYPERLINK("https://www.773grp.com/globalSearch/MC74F399N/page-1", "MC74F399N")</f>
        <v>MC74F399N</v>
      </c>
      <c r="B37965" s="3" t="str">
        <f>HYPERLINK("https://www.773grp.com/manufacturer/onsemi?pageNo=21", "ON Semiconductor")</f>
        <v>ON Semiconductor</v>
      </c>
      <c r="C37965" s="6">
        <v>18889</v>
      </c>
      <c r="D37965" s="7">
        <v>1.96</v>
      </c>
      <c r="E37965" t="s">
        <v>35</v>
      </c>
    </row>
    <row r="37966" spans="1:5" x14ac:dyDescent="0.25">
      <c r="A37966" t="str">
        <f>HYPERLINK("https://www.773grp.com/globalSearch/MJE18204/page-1", "MJE18204")</f>
        <v>MJE18204</v>
      </c>
      <c r="B37966" s="3" t="str">
        <f>HYPERLINK("https://www.773grp.com/manufacturer/onsemi?pageNo=22", "ON Semiconductor")</f>
        <v>ON Semiconductor</v>
      </c>
      <c r="C37966" s="6">
        <v>67261</v>
      </c>
      <c r="D37966" s="7">
        <v>1.96</v>
      </c>
      <c r="E37966" t="s">
        <v>59</v>
      </c>
    </row>
    <row r="37967" spans="1:5" x14ac:dyDescent="0.25">
      <c r="A37967" t="str">
        <f>HYPERLINK("https://www.773grp.com/globalSearch/MTAJ3055EL/page-1", "MTAJ3055EL")</f>
        <v>MTAJ3055EL</v>
      </c>
      <c r="B37967" s="3" t="str">
        <f>HYPERLINK("https://www.773grp.com/manufacturer/onsemi?pageNo=23", "ON Semiconductor")</f>
        <v>ON Semiconductor</v>
      </c>
      <c r="C37967" s="6">
        <v>36786</v>
      </c>
      <c r="D37967" s="7">
        <v>1.96</v>
      </c>
    </row>
    <row r="37968" spans="1:5" x14ac:dyDescent="0.25">
      <c r="A37968" t="str">
        <f>HYPERLINK("https://www.773grp.com/globalSearch/NCP1072P065G/page-1", "NCP1072P065G")</f>
        <v>NCP1072P065G</v>
      </c>
      <c r="B37968" s="3" t="str">
        <f>HYPERLINK("https://www.773grp.com/manufacturer/onsemi?pageNo=24", "ON Semiconductor")</f>
        <v>ON Semiconductor</v>
      </c>
      <c r="C37968" s="6">
        <v>2700</v>
      </c>
      <c r="D37968" s="7">
        <v>1.96</v>
      </c>
    </row>
    <row r="37969" spans="1:5" x14ac:dyDescent="0.25">
      <c r="A37969" t="str">
        <f>HYPERLINK("https://www.773grp.com/globalSearch/NCP1072P100G/page-1", "NCP1072P100G")</f>
        <v>NCP1072P100G</v>
      </c>
      <c r="B37969" s="3" t="str">
        <f>HYPERLINK("https://www.773grp.com/manufacturer/onsemi?pageNo=25", "ON Semiconductor")</f>
        <v>ON Semiconductor</v>
      </c>
      <c r="C37969" s="6">
        <v>850</v>
      </c>
      <c r="D37969" s="7">
        <v>1.96</v>
      </c>
    </row>
    <row r="37970" spans="1:5" x14ac:dyDescent="0.25">
      <c r="A37970" t="str">
        <f>HYPERLINK("https://www.773grp.com/globalSearch/NCP1075P065G/page-1", "NCP1075P065G")</f>
        <v>NCP1075P065G</v>
      </c>
      <c r="B37970" s="3" t="str">
        <f>HYPERLINK("https://www.773grp.com/manufacturer/onsemi?pageNo=26", "ON Semiconductor")</f>
        <v>ON Semiconductor</v>
      </c>
      <c r="C37970" s="6">
        <v>33650</v>
      </c>
      <c r="D37970" s="7">
        <v>1.96</v>
      </c>
    </row>
    <row r="37971" spans="1:5" x14ac:dyDescent="0.25">
      <c r="A37971" t="str">
        <f>HYPERLINK("https://www.773grp.com/globalSearch/NCP1086ST-ADJT3G/page-1", "NCP1086ST-ADJT3G")</f>
        <v>NCP1086ST-ADJT3G</v>
      </c>
      <c r="B37971" s="3" t="str">
        <f>HYPERLINK("https://www.773grp.com/manufacturer/onsemi?pageNo=27", "ON Semiconductor")</f>
        <v>ON Semiconductor</v>
      </c>
      <c r="C37971" s="6">
        <v>62999</v>
      </c>
      <c r="D37971" s="7">
        <v>1.96</v>
      </c>
      <c r="E37971" t="s">
        <v>25</v>
      </c>
    </row>
    <row r="37972" spans="1:5" x14ac:dyDescent="0.25">
      <c r="A37972" t="str">
        <f>HYPERLINK("https://www.773grp.com/globalSearch/NCP1611ADR2G/page-1", "NCP1611ADR2G")</f>
        <v>NCP1611ADR2G</v>
      </c>
      <c r="B37972" s="3" t="str">
        <f>HYPERLINK("https://www.773grp.com/manufacturer/onsemi?pageNo=28", "ON Semiconductor")</f>
        <v>ON Semiconductor</v>
      </c>
      <c r="C37972" s="6">
        <v>11000</v>
      </c>
      <c r="D37972" s="7">
        <v>1.96</v>
      </c>
    </row>
    <row r="37973" spans="1:5" x14ac:dyDescent="0.25">
      <c r="A37973" t="str">
        <f>HYPERLINK("https://www.773grp.com/globalSearch/NCP362CMUTBG/page-1", "NCP362CMUTBG")</f>
        <v>NCP362CMUTBG</v>
      </c>
      <c r="B37973" s="3" t="str">
        <f>HYPERLINK("https://www.773grp.com/manufacturer/onsemi?pageNo=29", "ON Semiconductor")</f>
        <v>ON Semiconductor</v>
      </c>
      <c r="C37973" s="6">
        <v>580</v>
      </c>
      <c r="D37973" s="7">
        <v>1.96</v>
      </c>
    </row>
    <row r="37974" spans="1:5" x14ac:dyDescent="0.25">
      <c r="A37974" t="str">
        <f>HYPERLINK("https://www.773grp.com/globalSearch/NCV33172DR2G/page-1", "NCV33172DR2G")</f>
        <v>NCV33172DR2G</v>
      </c>
      <c r="B37974" s="3" t="str">
        <f>HYPERLINK("https://www.773grp.com/manufacturer/onsemi?pageNo=30", "ON Semiconductor")</f>
        <v>ON Semiconductor</v>
      </c>
      <c r="C37974" s="6">
        <v>1777</v>
      </c>
      <c r="D37974" s="7">
        <v>1.96</v>
      </c>
    </row>
    <row r="37975" spans="1:5" x14ac:dyDescent="0.25">
      <c r="A37975" t="str">
        <f>HYPERLINK("https://www.773grp.com/globalSearch/NE5532D8G/page-1", "NE5532D8G")</f>
        <v>NE5532D8G</v>
      </c>
      <c r="B37975" s="3" t="str">
        <f>HYPERLINK("https://www.773grp.com/manufacturer/onsemi?pageNo=31", "ON Semiconductor")</f>
        <v>ON Semiconductor</v>
      </c>
      <c r="C37975" s="6">
        <v>22709</v>
      </c>
      <c r="D37975" s="7">
        <v>1.96</v>
      </c>
      <c r="E37975" t="s">
        <v>13</v>
      </c>
    </row>
    <row r="37976" spans="1:5" x14ac:dyDescent="0.25">
      <c r="A37976" t="str">
        <f>HYPERLINK("https://www.773grp.com/globalSearch/NE5532D8R2G/page-1", "NE5532D8R2G")</f>
        <v>NE5532D8R2G</v>
      </c>
      <c r="B37976" s="3" t="str">
        <f>HYPERLINK("https://www.773grp.com/manufacturer/onsemi?pageNo=32", "ON Semiconductor")</f>
        <v>ON Semiconductor</v>
      </c>
      <c r="C37976" s="6">
        <v>14979</v>
      </c>
      <c r="D37976" s="7">
        <v>1.96</v>
      </c>
      <c r="E37976" t="s">
        <v>13</v>
      </c>
    </row>
    <row r="37977" spans="1:5" x14ac:dyDescent="0.25">
      <c r="A37977" t="str">
        <f>HYPERLINK("https://www.773grp.com/globalSearch/NLAS4684MNR2G/page-1", "NLAS4684MNR2G")</f>
        <v>NLAS4684MNR2G</v>
      </c>
      <c r="B37977" s="3" t="str">
        <f>HYPERLINK("https://www.773grp.com/manufacturer/onsemi?pageNo=33", "ON Semiconductor")</f>
        <v>ON Semiconductor</v>
      </c>
      <c r="C37977" s="6">
        <v>251513</v>
      </c>
      <c r="D37977" s="7">
        <v>1.96</v>
      </c>
      <c r="E37977" t="s">
        <v>56</v>
      </c>
    </row>
    <row r="37978" spans="1:5" x14ac:dyDescent="0.25">
      <c r="A37978" t="str">
        <f>HYPERLINK("https://www.773grp.com/globalSearch/NTD6415AN-1G/page-1", "NTD6415AN-1G")</f>
        <v>NTD6415AN-1G</v>
      </c>
      <c r="B37978" s="3" t="str">
        <f>HYPERLINK("https://www.773grp.com/manufacturer/onsemi?pageNo=34", "ON Semiconductor")</f>
        <v>ON Semiconductor</v>
      </c>
      <c r="C37978" s="6">
        <v>750</v>
      </c>
      <c r="D37978" s="7">
        <v>1.96</v>
      </c>
    </row>
    <row r="37979" spans="1:5" x14ac:dyDescent="0.25">
      <c r="A37979" t="str">
        <f>HYPERLINK("https://www.773grp.com/globalSearch/NTD6415ANLT4G/page-1", "NTD6415ANLT4G")</f>
        <v>NTD6415ANLT4G</v>
      </c>
      <c r="B37979" s="3" t="str">
        <f>HYPERLINK("https://www.773grp.com/manufacturer/onsemi?pageNo=35", "ON Semiconductor")</f>
        <v>ON Semiconductor</v>
      </c>
      <c r="C37979" s="6">
        <v>15000</v>
      </c>
      <c r="D37979" s="7">
        <v>1.96</v>
      </c>
      <c r="E37979" t="s">
        <v>105</v>
      </c>
    </row>
    <row r="37980" spans="1:5" x14ac:dyDescent="0.25">
      <c r="A37980" t="str">
        <f>HYPERLINK("https://www.773grp.com/globalSearch/NUS5530MNR2G/page-1", "NUS5530MNR2G")</f>
        <v>NUS5530MNR2G</v>
      </c>
      <c r="B37980" s="3" t="str">
        <f>HYPERLINK("https://www.773grp.com/manufacturer/onsemi?pageNo=36", "ON Semiconductor")</f>
        <v>ON Semiconductor</v>
      </c>
      <c r="C37980" s="6">
        <v>75255</v>
      </c>
      <c r="D37980" s="7">
        <v>1.96</v>
      </c>
      <c r="E37980" t="s">
        <v>105</v>
      </c>
    </row>
    <row r="37981" spans="1:5" x14ac:dyDescent="0.25">
      <c r="A37981" t="str">
        <f>HYPERLINK("https://www.773grp.com/globalSearch/SC3302DR2G/page-1", "SC3302DR2G")</f>
        <v>SC3302DR2G</v>
      </c>
      <c r="B37981" s="3" t="str">
        <f>HYPERLINK("https://www.773grp.com/manufacturer/onsemi?pageNo=37", "ON Semiconductor")</f>
        <v>ON Semiconductor</v>
      </c>
      <c r="C37981" s="6">
        <v>3112</v>
      </c>
      <c r="D37981" s="7">
        <v>1.96</v>
      </c>
    </row>
    <row r="37982" spans="1:5" x14ac:dyDescent="0.25">
      <c r="A37982" t="str">
        <f>HYPERLINK("https://www.773grp.com/globalSearch/SPQ1592/page-1", "SPQ1592")</f>
        <v>SPQ1592</v>
      </c>
      <c r="B37982" s="3" t="str">
        <f>HYPERLINK("https://www.773grp.com/manufacturer/onsemi?pageNo=38", "ON Semiconductor")</f>
        <v>ON Semiconductor</v>
      </c>
      <c r="C37982" s="6">
        <v>18179</v>
      </c>
      <c r="D37982" s="7">
        <v>1.96</v>
      </c>
    </row>
    <row r="37983" spans="1:5" x14ac:dyDescent="0.25">
      <c r="A37983" t="str">
        <f>HYPERLINK("https://www.773grp.com/globalSearch/TL494CDG/page-1", "TL494CDG")</f>
        <v>TL494CDG</v>
      </c>
      <c r="B37983" s="3" t="str">
        <f>HYPERLINK("https://www.773grp.com/manufacturer/onsemi?pageNo=39", "ON Semiconductor")</f>
        <v>ON Semiconductor</v>
      </c>
      <c r="C37983" s="6">
        <v>7974</v>
      </c>
      <c r="D37983" s="7">
        <v>1.96</v>
      </c>
      <c r="E37983" t="s">
        <v>7</v>
      </c>
    </row>
    <row r="37984" spans="1:5" x14ac:dyDescent="0.25">
      <c r="A37984" t="str">
        <f>HYPERLINK("https://www.773grp.com/globalSearch/TL494CDR2/page-1", "TL494CDR2")</f>
        <v>TL494CDR2</v>
      </c>
      <c r="B37984" s="3" t="str">
        <f>HYPERLINK("https://www.773grp.com/manufacturer/onsemi?pageNo=40", "ON Semiconductor")</f>
        <v>ON Semiconductor</v>
      </c>
      <c r="C37984" s="6">
        <v>2500</v>
      </c>
      <c r="D37984" s="7">
        <v>1.96</v>
      </c>
      <c r="E37984" t="s">
        <v>7</v>
      </c>
    </row>
    <row r="37985" spans="1:5" x14ac:dyDescent="0.25">
      <c r="A37985" t="str">
        <f>HYPERLINK("https://www.773grp.com/globalSearch/TL494CDR2G/page-1", "TL494CDR2G")</f>
        <v>TL494CDR2G</v>
      </c>
      <c r="B37985" s="3" t="str">
        <f>HYPERLINK("https://www.773grp.com/manufacturer/onsemi?pageNo=41", "ON Semiconductor")</f>
        <v>ON Semiconductor</v>
      </c>
      <c r="C37985" s="6">
        <v>53470</v>
      </c>
      <c r="D37985" s="7">
        <v>1.96</v>
      </c>
      <c r="E37985" t="s">
        <v>7</v>
      </c>
    </row>
    <row r="37986" spans="1:5" x14ac:dyDescent="0.25">
      <c r="A37986" t="str">
        <f>HYPERLINK("https://www.773grp.com/globalSearch/BTB08-800BW3G/page-1", "BTB08-800BW3G")</f>
        <v>BTB08-800BW3G</v>
      </c>
      <c r="B37986" s="3" t="str">
        <f>HYPERLINK("https://www.773grp.com/manufacturer/onsemi?pageNo=42", "ON Semiconductor")</f>
        <v>ON Semiconductor</v>
      </c>
      <c r="C37986" s="6">
        <v>300</v>
      </c>
      <c r="D37986" s="7">
        <v>2.0099999999999998</v>
      </c>
      <c r="E37986" t="s">
        <v>102</v>
      </c>
    </row>
    <row r="37987" spans="1:5" x14ac:dyDescent="0.25">
      <c r="A37987" t="str">
        <f>HYPERLINK("https://www.773grp.com/globalSearch/BTB08-800CW3G/page-1", "BTB08-800CW3G")</f>
        <v>BTB08-800CW3G</v>
      </c>
      <c r="B37987" s="3" t="str">
        <f>HYPERLINK("https://www.773grp.com/manufacturer/onsemi?pageNo=43", "ON Semiconductor")</f>
        <v>ON Semiconductor</v>
      </c>
      <c r="C37987" s="6">
        <v>4000</v>
      </c>
      <c r="D37987" s="7">
        <v>2.0099999999999998</v>
      </c>
      <c r="E37987" t="s">
        <v>102</v>
      </c>
    </row>
    <row r="37988" spans="1:5" x14ac:dyDescent="0.25">
      <c r="A37988" t="str">
        <f>HYPERLINK("https://www.773grp.com/globalSearch/BTB12-600BW3G/page-1", "BTB12-600BW3G")</f>
        <v>BTB12-600BW3G</v>
      </c>
      <c r="B37988" s="3" t="str">
        <f>HYPERLINK("https://www.773grp.com/manufacturer/onsemi?pageNo=44", "ON Semiconductor")</f>
        <v>ON Semiconductor</v>
      </c>
      <c r="C37988" s="6">
        <v>28103</v>
      </c>
      <c r="D37988" s="7">
        <v>2.0099999999999998</v>
      </c>
      <c r="E37988" t="s">
        <v>102</v>
      </c>
    </row>
    <row r="37989" spans="1:5" x14ac:dyDescent="0.25">
      <c r="A37989" t="str">
        <f>HYPERLINK("https://www.773grp.com/globalSearch/BTB12-600CW3G/page-1", "BTB12-600CW3G")</f>
        <v>BTB12-600CW3G</v>
      </c>
      <c r="B37989" s="3" t="str">
        <f>HYPERLINK("https://www.773grp.com/manufacturer/onsemi?pageNo=45", "ON Semiconductor")</f>
        <v>ON Semiconductor</v>
      </c>
      <c r="C37989" s="6">
        <v>54602</v>
      </c>
      <c r="D37989" s="7">
        <v>2.0099999999999998</v>
      </c>
      <c r="E37989" t="s">
        <v>102</v>
      </c>
    </row>
    <row r="37990" spans="1:5" x14ac:dyDescent="0.25">
      <c r="A37990" t="str">
        <f>HYPERLINK("https://www.773grp.com/globalSearch/BTB12-600TW3G/page-1", "BTB12-600TW3G")</f>
        <v>BTB12-600TW3G</v>
      </c>
      <c r="B37990" s="3" t="str">
        <f>HYPERLINK("https://www.773grp.com/manufacturer/onsemi?pageNo=46", "ON Semiconductor")</f>
        <v>ON Semiconductor</v>
      </c>
      <c r="C37990" s="6">
        <v>100</v>
      </c>
      <c r="D37990" s="7">
        <v>2.0099999999999998</v>
      </c>
    </row>
    <row r="37991" spans="1:5" x14ac:dyDescent="0.25">
      <c r="A37991" t="str">
        <f>HYPERLINK("https://www.773grp.com/globalSearch/CAT24C164YI-GT3/page-1", "CAT24C164YI-GT3")</f>
        <v>CAT24C164YI-GT3</v>
      </c>
      <c r="B37991" s="3" t="str">
        <f>HYPERLINK("https://www.773grp.com/manufacturer/onsemi?pageNo=47", "ON Semiconductor")</f>
        <v>ON Semiconductor</v>
      </c>
      <c r="C37991" s="6">
        <v>8800</v>
      </c>
      <c r="D37991" s="7">
        <v>2.0099999999999998</v>
      </c>
      <c r="E37991" t="s">
        <v>64</v>
      </c>
    </row>
    <row r="37992" spans="1:5" x14ac:dyDescent="0.25">
      <c r="A37992" t="str">
        <f>HYPERLINK("https://www.773grp.com/globalSearch/CAT24C21LI/page-1", "CAT24C21LI")</f>
        <v>CAT24C21LI</v>
      </c>
      <c r="B37992" s="3" t="str">
        <f>HYPERLINK("https://www.773grp.com/manufacturer/onsemi?pageNo=48", "ON Semiconductor")</f>
        <v>ON Semiconductor</v>
      </c>
      <c r="C37992" s="6">
        <v>1700</v>
      </c>
      <c r="D37992" s="7">
        <v>2.0099999999999998</v>
      </c>
      <c r="E37992" t="s">
        <v>64</v>
      </c>
    </row>
    <row r="37993" spans="1:5" x14ac:dyDescent="0.25">
      <c r="A37993" t="str">
        <f>HYPERLINK("https://www.773grp.com/globalSearch/CAT25256XI-T2/page-1", "CAT25256XI-T2")</f>
        <v>CAT25256XI-T2</v>
      </c>
      <c r="B37993" s="3" t="str">
        <f>HYPERLINK("https://www.773grp.com/manufacturer/onsemi?pageNo=49", "ON Semiconductor")</f>
        <v>ON Semiconductor</v>
      </c>
      <c r="C37993" s="6">
        <v>190</v>
      </c>
      <c r="D37993" s="7">
        <v>2.0099999999999998</v>
      </c>
    </row>
    <row r="37994" spans="1:5" x14ac:dyDescent="0.25">
      <c r="A37994" t="str">
        <f>HYPERLINK("https://www.773grp.com/globalSearch/CAT3643HV2-GT2/page-1", "CAT3643HV2-GT2")</f>
        <v>CAT3643HV2-GT2</v>
      </c>
      <c r="B37994" s="3" t="str">
        <f>HYPERLINK("https://www.773grp.com/manufacturer/onsemi?pageNo=50", "ON Semiconductor")</f>
        <v>ON Semiconductor</v>
      </c>
      <c r="C37994" s="6">
        <v>18000</v>
      </c>
      <c r="D37994" s="7">
        <v>2.0099999999999998</v>
      </c>
      <c r="E37994" t="s">
        <v>10</v>
      </c>
    </row>
    <row r="37995" spans="1:5" x14ac:dyDescent="0.25">
      <c r="A37995" t="str">
        <f>HYPERLINK("https://www.773grp.com/globalSearch/CAT3643HV3-GT2/page-1", "CAT3643HV3-GT2")</f>
        <v>CAT3643HV3-GT2</v>
      </c>
      <c r="B37995" s="3" t="str">
        <f>HYPERLINK("https://www.773grp.com/manufacturer/onsemi?pageNo=51", "ON Semiconductor")</f>
        <v>ON Semiconductor</v>
      </c>
      <c r="C37995" s="6">
        <v>42000</v>
      </c>
      <c r="D37995" s="7">
        <v>2.0099999999999998</v>
      </c>
      <c r="E37995" t="s">
        <v>10</v>
      </c>
    </row>
    <row r="37996" spans="1:5" x14ac:dyDescent="0.25">
      <c r="A37996" t="str">
        <f>HYPERLINK("https://www.773grp.com/globalSearch/CAT3643HV3-T2/page-1", "CAT3643HV3-T2")</f>
        <v>CAT3643HV3-T2</v>
      </c>
      <c r="B37996" s="3" t="str">
        <f>HYPERLINK("https://www.773grp.com/manufacturer/onsemi?pageNo=52", "ON Semiconductor")</f>
        <v>ON Semiconductor</v>
      </c>
      <c r="C37996" s="6">
        <v>8000</v>
      </c>
      <c r="D37996" s="7">
        <v>2.0099999999999998</v>
      </c>
      <c r="E37996" t="s">
        <v>10</v>
      </c>
    </row>
    <row r="37997" spans="1:5" x14ac:dyDescent="0.25">
      <c r="A37997" t="str">
        <f>HYPERLINK("https://www.773grp.com/globalSearch/CAT3647HV3-GT2/page-1", "CAT3647HV3-GT2")</f>
        <v>CAT3647HV3-GT2</v>
      </c>
      <c r="B37997" s="3" t="str">
        <f>HYPERLINK("https://www.773grp.com/manufacturer/onsemi?pageNo=53", "ON Semiconductor")</f>
        <v>ON Semiconductor</v>
      </c>
      <c r="C37997" s="6">
        <v>10000</v>
      </c>
      <c r="D37997" s="7">
        <v>2.0099999999999998</v>
      </c>
      <c r="E37997" t="s">
        <v>10</v>
      </c>
    </row>
    <row r="37998" spans="1:5" x14ac:dyDescent="0.25">
      <c r="A37998" t="str">
        <f>HYPERLINK("https://www.773grp.com/globalSearch/CAT6221-PFTD-GT3/page-1", "CAT6221-PFTD-GT3")</f>
        <v>CAT6221-PFTD-GT3</v>
      </c>
      <c r="B37998" s="3" t="str">
        <f>HYPERLINK("https://www.773grp.com/manufacturer/onsemi?pageNo=54", "ON Semiconductor")</f>
        <v>ON Semiconductor</v>
      </c>
      <c r="C37998" s="6">
        <v>6000</v>
      </c>
      <c r="D37998" s="7">
        <v>2.0099999999999998</v>
      </c>
    </row>
    <row r="37999" spans="1:5" x14ac:dyDescent="0.25">
      <c r="A37999" t="str">
        <f>HYPERLINK("https://www.773grp.com/globalSearch/CS1108EDFR8/page-1", "CS1108EDFR8")</f>
        <v>CS1108EDFR8</v>
      </c>
      <c r="B37999" s="3" t="str">
        <f>HYPERLINK("https://www.773grp.com/manufacturer/onsemi?pageNo=55", "ON Semiconductor")</f>
        <v>ON Semiconductor</v>
      </c>
      <c r="C37999" s="6">
        <v>2400</v>
      </c>
      <c r="D37999" s="7">
        <v>2.0099999999999998</v>
      </c>
      <c r="E37999" t="s">
        <v>11</v>
      </c>
    </row>
    <row r="38000" spans="1:5" x14ac:dyDescent="0.25">
      <c r="A38000" t="str">
        <f>HYPERLINK("https://www.773grp.com/globalSearch/CS5231-3GDP5/page-1", "CS5231-3GDP5")</f>
        <v>CS5231-3GDP5</v>
      </c>
      <c r="B38000" s="3" t="str">
        <f>HYPERLINK("https://www.773grp.com/manufacturer/onsemi?pageNo=56", "ON Semiconductor")</f>
        <v>ON Semiconductor</v>
      </c>
      <c r="C38000" s="6">
        <v>3200</v>
      </c>
      <c r="D38000" s="7">
        <v>2.0099999999999998</v>
      </c>
      <c r="E38000" t="s">
        <v>19</v>
      </c>
    </row>
    <row r="38001" spans="1:5" x14ac:dyDescent="0.25">
      <c r="A38001" t="str">
        <f>HYPERLINK("https://www.773grp.com/globalSearch/CS5231-3GDPR5/page-1", "CS5231-3GDPR5")</f>
        <v>CS5231-3GDPR5</v>
      </c>
      <c r="B38001" s="3" t="str">
        <f>HYPERLINK("https://www.773grp.com/manufacturer/onsemi?pageNo=57", "ON Semiconductor")</f>
        <v>ON Semiconductor</v>
      </c>
      <c r="C38001" s="6">
        <v>18750</v>
      </c>
      <c r="D38001" s="7">
        <v>2.0099999999999998</v>
      </c>
      <c r="E38001" t="s">
        <v>19</v>
      </c>
    </row>
    <row r="38002" spans="1:5" x14ac:dyDescent="0.25">
      <c r="A38002" t="str">
        <f>HYPERLINK("https://www.773grp.com/globalSearch/IRF630/page-1", "IRF630")</f>
        <v>IRF630</v>
      </c>
      <c r="B38002" s="3" t="str">
        <f>HYPERLINK("https://www.773grp.com/manufacturer/onsemi?pageNo=58", "ON Semiconductor")</f>
        <v>ON Semiconductor</v>
      </c>
      <c r="C38002" s="6">
        <v>7915</v>
      </c>
      <c r="D38002" s="7">
        <v>2.0099999999999998</v>
      </c>
      <c r="E38002" t="s">
        <v>105</v>
      </c>
    </row>
    <row r="38003" spans="1:5" x14ac:dyDescent="0.25">
      <c r="A38003" t="str">
        <f>HYPERLINK("https://www.773grp.com/globalSearch/LP2950CDT/page-1", "LP2950CDT")</f>
        <v>LP2950CDT</v>
      </c>
      <c r="B38003" s="3" t="str">
        <f>HYPERLINK("https://www.773grp.com/manufacturer/onsemi?pageNo=59", "ON Semiconductor")</f>
        <v>ON Semiconductor</v>
      </c>
      <c r="C38003" s="6">
        <v>542</v>
      </c>
      <c r="D38003" s="7">
        <v>2.0099999999999998</v>
      </c>
    </row>
    <row r="38004" spans="1:5" x14ac:dyDescent="0.25">
      <c r="A38004" t="str">
        <f>HYPERLINK("https://www.773grp.com/globalSearch/MAC12D/page-1", "MAC12D")</f>
        <v>MAC12D</v>
      </c>
      <c r="B38004" s="3" t="str">
        <f>HYPERLINK("https://www.773grp.com/manufacturer/onsemi?pageNo=60", "ON Semiconductor")</f>
        <v>ON Semiconductor</v>
      </c>
      <c r="C38004" s="6">
        <v>2055</v>
      </c>
      <c r="D38004" s="7">
        <v>2.0099999999999998</v>
      </c>
      <c r="E38004" t="s">
        <v>102</v>
      </c>
    </row>
    <row r="38005" spans="1:5" x14ac:dyDescent="0.25">
      <c r="A38005" t="str">
        <f>HYPERLINK("https://www.773grp.com/globalSearch/MAC12DG/page-1", "MAC12DG")</f>
        <v>MAC12DG</v>
      </c>
      <c r="B38005" s="3" t="str">
        <f>HYPERLINK("https://www.773grp.com/manufacturer/onsemi?pageNo=61", "ON Semiconductor")</f>
        <v>ON Semiconductor</v>
      </c>
      <c r="C38005" s="6">
        <v>17</v>
      </c>
      <c r="D38005" s="7">
        <v>2.0099999999999998</v>
      </c>
      <c r="E38005" t="s">
        <v>102</v>
      </c>
    </row>
    <row r="38006" spans="1:5" x14ac:dyDescent="0.25">
      <c r="A38006" t="str">
        <f>HYPERLINK("https://www.773grp.com/globalSearch/MAC12MG/page-1", "MAC12MG")</f>
        <v>MAC12MG</v>
      </c>
      <c r="B38006" s="3" t="str">
        <f>HYPERLINK("https://www.773grp.com/manufacturer/onsemi?pageNo=62", "ON Semiconductor")</f>
        <v>ON Semiconductor</v>
      </c>
      <c r="C38006" s="6">
        <v>3846</v>
      </c>
      <c r="D38006" s="7">
        <v>2.0099999999999998</v>
      </c>
      <c r="E38006" t="s">
        <v>102</v>
      </c>
    </row>
    <row r="38007" spans="1:5" x14ac:dyDescent="0.25">
      <c r="A38007" t="str">
        <f>HYPERLINK("https://www.773grp.com/globalSearch/MAC12NG/page-1", "MAC12NG")</f>
        <v>MAC12NG</v>
      </c>
      <c r="B38007" s="3" t="str">
        <f>HYPERLINK("https://www.773grp.com/manufacturer/onsemi?pageNo=63", "ON Semiconductor")</f>
        <v>ON Semiconductor</v>
      </c>
      <c r="C38007" s="6">
        <v>1123</v>
      </c>
      <c r="D38007" s="7">
        <v>2.0099999999999998</v>
      </c>
    </row>
    <row r="38008" spans="1:5" x14ac:dyDescent="0.25">
      <c r="A38008" t="str">
        <f>HYPERLINK("https://www.773grp.com/globalSearch/MAC212A10FP/page-1", "MAC212A10FP")</f>
        <v>MAC212A10FP</v>
      </c>
      <c r="B38008" s="3" t="str">
        <f>HYPERLINK("https://www.773grp.com/manufacturer/onsemi?pageNo=64", "ON Semiconductor")</f>
        <v>ON Semiconductor</v>
      </c>
      <c r="C38008" s="6">
        <v>18227</v>
      </c>
      <c r="D38008" s="7">
        <v>2.0099999999999998</v>
      </c>
      <c r="E38008" t="s">
        <v>102</v>
      </c>
    </row>
    <row r="38009" spans="1:5" x14ac:dyDescent="0.25">
      <c r="A38009" t="str">
        <f>HYPERLINK("https://www.773grp.com/globalSearch/MAC212A8FP/page-1", "MAC212A8FP")</f>
        <v>MAC212A8FP</v>
      </c>
      <c r="B38009" s="3" t="str">
        <f>HYPERLINK("https://www.773grp.com/manufacturer/onsemi?pageNo=65", "ON Semiconductor")</f>
        <v>ON Semiconductor</v>
      </c>
      <c r="C38009" s="6">
        <v>13185</v>
      </c>
      <c r="D38009" s="7">
        <v>2.0099999999999998</v>
      </c>
      <c r="E38009" t="s">
        <v>102</v>
      </c>
    </row>
    <row r="38010" spans="1:5" x14ac:dyDescent="0.25">
      <c r="A38010" t="str">
        <f>HYPERLINK("https://www.773grp.com/globalSearch/MAC223A6FP/page-1", "MAC223A6FP")</f>
        <v>MAC223A6FP</v>
      </c>
      <c r="B38010" s="3" t="str">
        <f>HYPERLINK("https://www.773grp.com/manufacturer/onsemi?pageNo=66", "ON Semiconductor")</f>
        <v>ON Semiconductor</v>
      </c>
      <c r="C38010" s="6">
        <v>3567</v>
      </c>
      <c r="D38010" s="7">
        <v>2.0099999999999998</v>
      </c>
      <c r="E38010" t="s">
        <v>102</v>
      </c>
    </row>
    <row r="38011" spans="1:5" x14ac:dyDescent="0.25">
      <c r="A38011" t="str">
        <f>HYPERLINK("https://www.773grp.com/globalSearch/MAC223A6FP/page-1", "MAC223A6FP")</f>
        <v>MAC223A6FP</v>
      </c>
      <c r="B38011" s="3" t="str">
        <f>HYPERLINK("https://www.773grp.com/manufacturer/onsemi?pageNo=67", "ON Semiconductor")</f>
        <v>ON Semiconductor</v>
      </c>
      <c r="C38011" s="6">
        <v>9995</v>
      </c>
      <c r="D38011" s="7">
        <v>2.0099999999999998</v>
      </c>
      <c r="E38011" t="s">
        <v>102</v>
      </c>
    </row>
    <row r="38012" spans="1:5" x14ac:dyDescent="0.25">
      <c r="A38012" t="str">
        <f>HYPERLINK("https://www.773grp.com/globalSearch/MAC8DG/page-1", "MAC8DG")</f>
        <v>MAC8DG</v>
      </c>
      <c r="B38012" s="3" t="str">
        <f>HYPERLINK("https://www.773grp.com/manufacturer/onsemi?pageNo=68", "ON Semiconductor")</f>
        <v>ON Semiconductor</v>
      </c>
      <c r="C38012" s="6">
        <v>18858</v>
      </c>
      <c r="D38012" s="7">
        <v>2.0099999999999998</v>
      </c>
      <c r="E38012" t="s">
        <v>102</v>
      </c>
    </row>
    <row r="38013" spans="1:5" x14ac:dyDescent="0.25">
      <c r="A38013" t="str">
        <f>HYPERLINK("https://www.773grp.com/globalSearch/MAC8MG/page-1", "MAC8MG")</f>
        <v>MAC8MG</v>
      </c>
      <c r="B38013" s="3" t="str">
        <f>HYPERLINK("https://www.773grp.com/manufacturer/onsemi?pageNo=69", "ON Semiconductor")</f>
        <v>ON Semiconductor</v>
      </c>
      <c r="C38013" s="6">
        <v>1700</v>
      </c>
      <c r="D38013" s="7">
        <v>2.0099999999999998</v>
      </c>
      <c r="E38013" t="s">
        <v>102</v>
      </c>
    </row>
    <row r="38014" spans="1:5" x14ac:dyDescent="0.25">
      <c r="A38014" t="str">
        <f>HYPERLINK("https://www.773grp.com/globalSearch/MAC8NG/page-1", "MAC8NG")</f>
        <v>MAC8NG</v>
      </c>
      <c r="B38014" s="3" t="str">
        <f>HYPERLINK("https://www.773grp.com/manufacturer/onsemi?pageNo=70", "ON Semiconductor")</f>
        <v>ON Semiconductor</v>
      </c>
      <c r="C38014" s="6">
        <v>1050</v>
      </c>
      <c r="D38014" s="7">
        <v>2.0099999999999998</v>
      </c>
    </row>
    <row r="38015" spans="1:5" x14ac:dyDescent="0.25">
      <c r="A38015" t="str">
        <f>HYPERLINK("https://www.773grp.com/globalSearch/MAC9DG/page-1", "MAC9DG")</f>
        <v>MAC9DG</v>
      </c>
      <c r="B38015" s="3" t="str">
        <f>HYPERLINK("https://www.773grp.com/manufacturer/onsemi?pageNo=71", "ON Semiconductor")</f>
        <v>ON Semiconductor</v>
      </c>
      <c r="C38015" s="6">
        <v>237</v>
      </c>
      <c r="D38015" s="7">
        <v>2.0099999999999998</v>
      </c>
      <c r="E38015" t="s">
        <v>102</v>
      </c>
    </row>
    <row r="38016" spans="1:5" x14ac:dyDescent="0.25">
      <c r="A38016" t="str">
        <f>HYPERLINK("https://www.773grp.com/globalSearch/MAC9MG/page-1", "MAC9MG")</f>
        <v>MAC9MG</v>
      </c>
      <c r="B38016" s="3" t="str">
        <f>HYPERLINK("https://www.773grp.com/manufacturer/onsemi?pageNo=72", "ON Semiconductor")</f>
        <v>ON Semiconductor</v>
      </c>
      <c r="C38016" s="6">
        <v>111</v>
      </c>
      <c r="D38016" s="7">
        <v>2.0099999999999998</v>
      </c>
      <c r="E38016" t="s">
        <v>102</v>
      </c>
    </row>
    <row r="38017" spans="1:5" x14ac:dyDescent="0.25">
      <c r="A38017" t="str">
        <f>HYPERLINK("https://www.773grp.com/globalSearch/MAC9NG/page-1", "MAC9NG")</f>
        <v>MAC9NG</v>
      </c>
      <c r="B38017" s="3" t="str">
        <f>HYPERLINK("https://www.773grp.com/manufacturer/onsemi?pageNo=73", "ON Semiconductor")</f>
        <v>ON Semiconductor</v>
      </c>
      <c r="C38017" s="6">
        <v>694</v>
      </c>
      <c r="D38017" s="7">
        <v>2.0099999999999998</v>
      </c>
      <c r="E38017" t="s">
        <v>102</v>
      </c>
    </row>
    <row r="38018" spans="1:5" x14ac:dyDescent="0.25">
      <c r="A38018" t="str">
        <f>HYPERLINK("https://www.773grp.com/globalSearch/MBR735G/page-1", "MBR735G")</f>
        <v>MBR735G</v>
      </c>
      <c r="B38018" s="3" t="str">
        <f>HYPERLINK("https://www.773grp.com/manufacturer/onsemi?pageNo=74", "ON Semiconductor")</f>
        <v>ON Semiconductor</v>
      </c>
      <c r="C38018" s="6">
        <v>45554</v>
      </c>
      <c r="D38018" s="7">
        <v>2.0099999999999998</v>
      </c>
      <c r="E38018" t="s">
        <v>103</v>
      </c>
    </row>
    <row r="38019" spans="1:5" x14ac:dyDescent="0.25">
      <c r="A38019" t="str">
        <f>HYPERLINK("https://www.773grp.com/globalSearch/MBR745G/page-1", "MBR745G")</f>
        <v>MBR745G</v>
      </c>
      <c r="B38019" s="3" t="str">
        <f>HYPERLINK("https://www.773grp.com/manufacturer/onsemi?pageNo=75", "ON Semiconductor")</f>
        <v>ON Semiconductor</v>
      </c>
      <c r="C38019" s="6">
        <v>2400</v>
      </c>
      <c r="D38019" s="7">
        <v>2.0099999999999998</v>
      </c>
      <c r="E38019" t="s">
        <v>103</v>
      </c>
    </row>
    <row r="38020" spans="1:5" x14ac:dyDescent="0.25">
      <c r="A38020" t="str">
        <f>HYPERLINK("https://www.773grp.com/globalSearch/MBRD5H100T4G/page-1", "MBRD5H100T4G")</f>
        <v>MBRD5H100T4G</v>
      </c>
      <c r="B38020" s="3" t="str">
        <f>HYPERLINK("https://www.773grp.com/manufacturer/onsemi?pageNo=76", "ON Semiconductor")</f>
        <v>ON Semiconductor</v>
      </c>
      <c r="C38020" s="6">
        <v>17500</v>
      </c>
      <c r="D38020" s="7">
        <v>2.0099999999999998</v>
      </c>
      <c r="E38020" t="s">
        <v>103</v>
      </c>
    </row>
    <row r="38021" spans="1:5" x14ac:dyDescent="0.25">
      <c r="A38021" t="str">
        <f>HYPERLINK("https://www.773grp.com/globalSearch/MBRF20L80CTG/page-1", "MBRF20L80CTG")</f>
        <v>MBRF20L80CTG</v>
      </c>
      <c r="B38021" s="3" t="str">
        <f>HYPERLINK("https://www.773grp.com/manufacturer/onsemi?pageNo=77", "ON Semiconductor")</f>
        <v>ON Semiconductor</v>
      </c>
      <c r="C38021" s="6">
        <v>7921</v>
      </c>
      <c r="D38021" s="7">
        <v>2.0099999999999998</v>
      </c>
    </row>
    <row r="38022" spans="1:5" x14ac:dyDescent="0.25">
      <c r="A38022" t="str">
        <f>HYPERLINK("https://www.773grp.com/globalSearch/MC14538BFELG/page-1", "MC14538BFELG")</f>
        <v>MC14538BFELG</v>
      </c>
      <c r="B38022" s="3" t="str">
        <f>HYPERLINK("https://www.773grp.com/manufacturer/onsemi?pageNo=78", "ON Semiconductor")</f>
        <v>ON Semiconductor</v>
      </c>
      <c r="C38022" s="6">
        <v>355</v>
      </c>
      <c r="D38022" s="7">
        <v>2.0099999999999998</v>
      </c>
      <c r="E38022" t="s">
        <v>54</v>
      </c>
    </row>
    <row r="38023" spans="1:5" x14ac:dyDescent="0.25">
      <c r="A38023" t="str">
        <f>HYPERLINK("https://www.773grp.com/globalSearch/MC14538BFG/page-1", "MC14538BFG")</f>
        <v>MC14538BFG</v>
      </c>
      <c r="B38023" s="3" t="str">
        <f>HYPERLINK("https://www.773grp.com/manufacturer/onsemi?pageNo=79", "ON Semiconductor")</f>
        <v>ON Semiconductor</v>
      </c>
      <c r="C38023" s="6">
        <v>500</v>
      </c>
      <c r="D38023" s="7">
        <v>2.0099999999999998</v>
      </c>
      <c r="E38023" t="s">
        <v>54</v>
      </c>
    </row>
    <row r="38024" spans="1:5" x14ac:dyDescent="0.25">
      <c r="A38024" t="str">
        <f>HYPERLINK("https://www.773grp.com/globalSearch/MC33063AVDG/page-1", "MC33063AVDG")</f>
        <v>MC33063AVDG</v>
      </c>
      <c r="B38024" s="3" t="str">
        <f>HYPERLINK("https://www.773grp.com/manufacturer/onsemi?pageNo=80", "ON Semiconductor")</f>
        <v>ON Semiconductor</v>
      </c>
      <c r="C38024" s="6">
        <v>11956</v>
      </c>
      <c r="D38024" s="7">
        <v>2.0099999999999998</v>
      </c>
    </row>
    <row r="38025" spans="1:5" x14ac:dyDescent="0.25">
      <c r="A38025" t="str">
        <f>HYPERLINK("https://www.773grp.com/globalSearch/MC33063AVDR2G/page-1", "MC33063AVDR2G")</f>
        <v>MC33063AVDR2G</v>
      </c>
      <c r="B38025" s="3" t="str">
        <f>HYPERLINK("https://www.773grp.com/manufacturer/onsemi?pageNo=81", "ON Semiconductor")</f>
        <v>ON Semiconductor</v>
      </c>
      <c r="C38025" s="6">
        <v>6499</v>
      </c>
      <c r="D38025" s="7">
        <v>2.0099999999999998</v>
      </c>
      <c r="E38025" t="s">
        <v>7</v>
      </c>
    </row>
    <row r="38026" spans="1:5" x14ac:dyDescent="0.25">
      <c r="A38026" t="str">
        <f>HYPERLINK("https://www.773grp.com/globalSearch/MC33174DR2G/page-1", "MC33174DR2G")</f>
        <v>MC33174DR2G</v>
      </c>
      <c r="B38026" s="3" t="str">
        <f>HYPERLINK("https://www.773grp.com/manufacturer/onsemi?pageNo=82", "ON Semiconductor")</f>
        <v>ON Semiconductor</v>
      </c>
      <c r="C38026" s="6">
        <v>14457</v>
      </c>
      <c r="D38026" s="7">
        <v>2.0099999999999998</v>
      </c>
      <c r="E38026" t="s">
        <v>13</v>
      </c>
    </row>
    <row r="38027" spans="1:5" x14ac:dyDescent="0.25">
      <c r="A38027" t="str">
        <f>HYPERLINK("https://www.773grp.com/globalSearch/MC33202VDG/page-1", "MC33202VDG")</f>
        <v>MC33202VDG</v>
      </c>
      <c r="B38027" s="3" t="str">
        <f>HYPERLINK("https://www.773grp.com/manufacturer/onsemi?pageNo=83", "ON Semiconductor")</f>
        <v>ON Semiconductor</v>
      </c>
      <c r="C38027" s="6">
        <v>56976</v>
      </c>
      <c r="D38027" s="7">
        <v>2.0099999999999998</v>
      </c>
      <c r="E38027" t="s">
        <v>13</v>
      </c>
    </row>
    <row r="38028" spans="1:5" x14ac:dyDescent="0.25">
      <c r="A38028" t="str">
        <f>HYPERLINK("https://www.773grp.com/globalSearch/MC33565DG/page-1", "MC33565DG")</f>
        <v>MC33565DG</v>
      </c>
      <c r="B38028" s="3" t="str">
        <f>HYPERLINK("https://www.773grp.com/manufacturer/onsemi?pageNo=84", "ON Semiconductor")</f>
        <v>ON Semiconductor</v>
      </c>
      <c r="C38028" s="6">
        <v>852</v>
      </c>
      <c r="D38028" s="7">
        <v>2.0099999999999998</v>
      </c>
      <c r="E38028" t="s">
        <v>19</v>
      </c>
    </row>
    <row r="38029" spans="1:5" x14ac:dyDescent="0.25">
      <c r="A38029" t="str">
        <f>HYPERLINK("https://www.773grp.com/globalSearch/MC34063AM/page-1", "MC34063AM")</f>
        <v>MC34063AM</v>
      </c>
      <c r="B38029" s="3" t="str">
        <f>HYPERLINK("https://www.773grp.com/manufacturer/onsemi?pageNo=85", "ON Semiconductor")</f>
        <v>ON Semiconductor</v>
      </c>
      <c r="C38029" s="6">
        <v>12</v>
      </c>
      <c r="D38029" s="7">
        <v>2.0099999999999998</v>
      </c>
      <c r="E38029" t="s">
        <v>7</v>
      </c>
    </row>
    <row r="38030" spans="1:5" x14ac:dyDescent="0.25">
      <c r="A38030" t="str">
        <f>HYPERLINK("https://www.773grp.com/globalSearch/MC74ACT533DW/page-1", "MC74ACT533DW")</f>
        <v>MC74ACT533DW</v>
      </c>
      <c r="B38030" s="3" t="str">
        <f>HYPERLINK("https://www.773grp.com/manufacturer/onsemi?pageNo=86", "ON Semiconductor")</f>
        <v>ON Semiconductor</v>
      </c>
      <c r="C38030" s="6">
        <v>1482</v>
      </c>
      <c r="D38030" s="7">
        <v>2.0099999999999998</v>
      </c>
      <c r="E38030" t="s">
        <v>14</v>
      </c>
    </row>
    <row r="38031" spans="1:5" x14ac:dyDescent="0.25">
      <c r="A38031" t="str">
        <f>HYPERLINK("https://www.773grp.com/globalSearch/MC74ACT534DW/page-1", "MC74ACT534DW")</f>
        <v>MC74ACT534DW</v>
      </c>
      <c r="B38031" s="3" t="str">
        <f>HYPERLINK("https://www.773grp.com/manufacturer/onsemi?pageNo=87", "ON Semiconductor")</f>
        <v>ON Semiconductor</v>
      </c>
      <c r="C38031" s="6">
        <v>1216</v>
      </c>
      <c r="D38031" s="7">
        <v>2.0099999999999998</v>
      </c>
      <c r="E38031" t="s">
        <v>14</v>
      </c>
    </row>
    <row r="38032" spans="1:5" x14ac:dyDescent="0.25">
      <c r="A38032" t="str">
        <f>HYPERLINK("https://www.773grp.com/globalSearch/MC74ACT563DW/page-1", "MC74ACT563DW")</f>
        <v>MC74ACT563DW</v>
      </c>
      <c r="B38032" s="3" t="str">
        <f>HYPERLINK("https://www.773grp.com/manufacturer/onsemi?pageNo=88", "ON Semiconductor")</f>
        <v>ON Semiconductor</v>
      </c>
      <c r="C38032" s="6">
        <v>341</v>
      </c>
      <c r="D38032" s="7">
        <v>2.0099999999999998</v>
      </c>
      <c r="E38032" t="s">
        <v>14</v>
      </c>
    </row>
    <row r="38033" spans="1:5" x14ac:dyDescent="0.25">
      <c r="A38033" t="str">
        <f>HYPERLINK("https://www.773grp.com/globalSearch/MC74ACT563DWR2/page-1", "MC74ACT563DWR2")</f>
        <v>MC74ACT563DWR2</v>
      </c>
      <c r="B38033" s="3" t="str">
        <f>HYPERLINK("https://www.773grp.com/manufacturer/onsemi?pageNo=89", "ON Semiconductor")</f>
        <v>ON Semiconductor</v>
      </c>
      <c r="C38033" s="6">
        <v>1000</v>
      </c>
      <c r="D38033" s="7">
        <v>2.0099999999999998</v>
      </c>
      <c r="E38033" t="s">
        <v>14</v>
      </c>
    </row>
    <row r="38034" spans="1:5" x14ac:dyDescent="0.25">
      <c r="A38034" t="str">
        <f>HYPERLINK("https://www.773grp.com/globalSearch/MC74ACT563N/page-1", "MC74ACT563N")</f>
        <v>MC74ACT563N</v>
      </c>
      <c r="B38034" s="3" t="str">
        <f>HYPERLINK("https://www.773grp.com/manufacturer/onsemi?pageNo=90", "ON Semiconductor")</f>
        <v>ON Semiconductor</v>
      </c>
      <c r="C38034" s="6">
        <v>362</v>
      </c>
      <c r="D38034" s="7">
        <v>2.0099999999999998</v>
      </c>
      <c r="E38034" t="s">
        <v>14</v>
      </c>
    </row>
    <row r="38035" spans="1:5" x14ac:dyDescent="0.25">
      <c r="A38035" t="str">
        <f>HYPERLINK("https://www.773grp.com/globalSearch/MC74ACT646N/page-1", "MC74ACT646N")</f>
        <v>MC74ACT646N</v>
      </c>
      <c r="B38035" s="3" t="str">
        <f>HYPERLINK("https://www.773grp.com/manufacturer/onsemi?pageNo=91", "ON Semiconductor")</f>
        <v>ON Semiconductor</v>
      </c>
      <c r="C38035" s="6">
        <v>11910</v>
      </c>
      <c r="D38035" s="7">
        <v>2.0099999999999998</v>
      </c>
      <c r="E38035" t="s">
        <v>14</v>
      </c>
    </row>
    <row r="38036" spans="1:5" x14ac:dyDescent="0.25">
      <c r="A38036" t="str">
        <f>HYPERLINK("https://www.773grp.com/globalSearch/MC74F181N/page-1", "MC74F181N")</f>
        <v>MC74F181N</v>
      </c>
      <c r="B38036" s="3" t="str">
        <f>HYPERLINK("https://www.773grp.com/manufacturer/onsemi?pageNo=92", "ON Semiconductor")</f>
        <v>ON Semiconductor</v>
      </c>
      <c r="C38036" s="6">
        <v>7078</v>
      </c>
      <c r="D38036" s="7">
        <v>2.0099999999999998</v>
      </c>
      <c r="E38036" t="s">
        <v>43</v>
      </c>
    </row>
    <row r="38037" spans="1:5" x14ac:dyDescent="0.25">
      <c r="A38037" t="str">
        <f>HYPERLINK("https://www.773grp.com/globalSearch/MC74F182N/page-1", "MC74F182N")</f>
        <v>MC74F182N</v>
      </c>
      <c r="B38037" s="3" t="str">
        <f>HYPERLINK("https://www.773grp.com/manufacturer/onsemi?pageNo=93", "ON Semiconductor")</f>
        <v>ON Semiconductor</v>
      </c>
      <c r="C38037" s="6">
        <v>5400</v>
      </c>
      <c r="D38037" s="7">
        <v>2.0099999999999998</v>
      </c>
      <c r="E38037" t="s">
        <v>43</v>
      </c>
    </row>
    <row r="38038" spans="1:5" x14ac:dyDescent="0.25">
      <c r="A38038" t="str">
        <f>HYPERLINK("https://www.773grp.com/globalSearch/MCNCP301LSN21T1/page-1", "MCNCP301LSN21T1")</f>
        <v>MCNCP301LSN21T1</v>
      </c>
      <c r="B38038" s="3" t="str">
        <f>HYPERLINK("https://www.773grp.com/manufacturer/onsemi?pageNo=94", "ON Semiconductor")</f>
        <v>ON Semiconductor</v>
      </c>
      <c r="C38038" s="6">
        <v>3000</v>
      </c>
      <c r="D38038" s="7">
        <v>2.0099999999999998</v>
      </c>
    </row>
    <row r="38039" spans="1:5" x14ac:dyDescent="0.25">
      <c r="A38039" t="str">
        <f>HYPERLINK("https://www.773grp.com/globalSearch/MCR8M/page-1", "MCR8M")</f>
        <v>MCR8M</v>
      </c>
      <c r="B38039" s="3" t="str">
        <f>HYPERLINK("https://www.773grp.com/manufacturer/onsemi?pageNo=95", "ON Semiconductor")</f>
        <v>ON Semiconductor</v>
      </c>
      <c r="C38039" s="6">
        <v>24150</v>
      </c>
      <c r="D38039" s="7">
        <v>2.0099999999999998</v>
      </c>
      <c r="E38039" t="s">
        <v>97</v>
      </c>
    </row>
    <row r="38040" spans="1:5" x14ac:dyDescent="0.25">
      <c r="A38040" t="str">
        <f>HYPERLINK("https://www.773grp.com/globalSearch/MJE15030/page-1", "MJE15030")</f>
        <v>MJE15030</v>
      </c>
      <c r="B38040" s="3" t="str">
        <f>HYPERLINK("https://www.773grp.com/manufacturer/onsemi?pageNo=96", "ON Semiconductor")</f>
        <v>ON Semiconductor</v>
      </c>
      <c r="C38040" s="6">
        <v>11512</v>
      </c>
      <c r="D38040" s="7">
        <v>2.0099999999999998</v>
      </c>
      <c r="E38040" t="s">
        <v>59</v>
      </c>
    </row>
    <row r="38041" spans="1:5" x14ac:dyDescent="0.25">
      <c r="A38041" t="str">
        <f>HYPERLINK("https://www.773grp.com/globalSearch/MJE15035/page-1", "MJE15035")</f>
        <v>MJE15035</v>
      </c>
      <c r="B38041" s="3" t="str">
        <f>HYPERLINK("https://www.773grp.com/manufacturer/onsemi?pageNo=97", "ON Semiconductor")</f>
        <v>ON Semiconductor</v>
      </c>
      <c r="C38041" s="6">
        <v>599</v>
      </c>
      <c r="D38041" s="7">
        <v>2.0099999999999998</v>
      </c>
      <c r="E38041" t="s">
        <v>59</v>
      </c>
    </row>
    <row r="38042" spans="1:5" x14ac:dyDescent="0.25">
      <c r="A38042" t="str">
        <f>HYPERLINK("https://www.773grp.com/globalSearch/MJE18004G/page-1", "MJE18004G")</f>
        <v>MJE18004G</v>
      </c>
      <c r="B38042" s="3" t="str">
        <f>HYPERLINK("https://www.773grp.com/manufacturer/onsemi?pageNo=98", "ON Semiconductor")</f>
        <v>ON Semiconductor</v>
      </c>
      <c r="C38042" s="6">
        <v>4850</v>
      </c>
      <c r="D38042" s="7">
        <v>2.0099999999999998</v>
      </c>
      <c r="E38042" t="s">
        <v>59</v>
      </c>
    </row>
    <row r="38043" spans="1:5" x14ac:dyDescent="0.25">
      <c r="A38043" t="str">
        <f>HYPERLINK("https://www.773grp.com/globalSearch/MJE18206/page-1", "MJE18206")</f>
        <v>MJE18206</v>
      </c>
      <c r="B38043" s="3" t="str">
        <f>HYPERLINK("https://www.773grp.com/manufacturer/onsemi?pageNo=99", "ON Semiconductor")</f>
        <v>ON Semiconductor</v>
      </c>
      <c r="C38043" s="6">
        <v>12098</v>
      </c>
      <c r="D38043" s="7">
        <v>2.0099999999999998</v>
      </c>
      <c r="E38043" t="s">
        <v>59</v>
      </c>
    </row>
    <row r="38044" spans="1:5" x14ac:dyDescent="0.25">
      <c r="A38044" t="str">
        <f>HYPERLINK("https://www.773grp.com/globalSearch/MJF122G/page-1", "MJF122G")</f>
        <v>MJF122G</v>
      </c>
      <c r="B38044" s="3" t="str">
        <f>HYPERLINK("https://www.773grp.com/manufacturer/onsemi?pageNo=100", "ON Semiconductor")</f>
        <v>ON Semiconductor</v>
      </c>
      <c r="C38044" s="6">
        <v>4</v>
      </c>
      <c r="D38044" s="7">
        <v>2.0099999999999998</v>
      </c>
      <c r="E38044" t="s">
        <v>59</v>
      </c>
    </row>
    <row r="38045" spans="1:5" x14ac:dyDescent="0.25">
      <c r="A38045" t="str">
        <f>HYPERLINK("https://www.773grp.com/globalSearch/MMSF3P02HDR2/page-1", "MMSF3P02HDR2")</f>
        <v>MMSF3P02HDR2</v>
      </c>
      <c r="B38045" s="3" t="str">
        <f>HYPERLINK("https://www.773grp.com/manufacturer/onsemi?pageNo=101", "ON Semiconductor")</f>
        <v>ON Semiconductor</v>
      </c>
      <c r="C38045" s="6">
        <v>2500</v>
      </c>
      <c r="D38045" s="7">
        <v>2.0099999999999998</v>
      </c>
      <c r="E38045" t="s">
        <v>105</v>
      </c>
    </row>
    <row r="38046" spans="1:5" x14ac:dyDescent="0.25">
      <c r="A38046" t="str">
        <f>HYPERLINK("https://www.773grp.com/globalSearch/MUR1640CT/page-1", "MUR1640CT")</f>
        <v>MUR1640CT</v>
      </c>
      <c r="B38046" s="3" t="str">
        <f>HYPERLINK("https://www.773grp.com/manufacturer/onsemi?pageNo=102", "ON Semiconductor")</f>
        <v>ON Semiconductor</v>
      </c>
      <c r="C38046" s="6">
        <v>20468</v>
      </c>
      <c r="D38046" s="7">
        <v>2.0099999999999998</v>
      </c>
      <c r="E38046" t="s">
        <v>103</v>
      </c>
    </row>
    <row r="38047" spans="1:5" x14ac:dyDescent="0.25">
      <c r="A38047" t="str">
        <f>HYPERLINK("https://www.773grp.com/globalSearch/MURD310T4/page-1", "MURD310T4")</f>
        <v>MURD310T4</v>
      </c>
      <c r="B38047" s="3" t="str">
        <f>HYPERLINK("https://www.773grp.com/manufacturer/onsemi?pageNo=103", "ON Semiconductor")</f>
        <v>ON Semiconductor</v>
      </c>
      <c r="C38047" s="6">
        <v>5000</v>
      </c>
      <c r="D38047" s="7">
        <v>2.0099999999999998</v>
      </c>
    </row>
    <row r="38048" spans="1:5" x14ac:dyDescent="0.25">
      <c r="A38048" t="str">
        <f>HYPERLINK("https://www.773grp.com/globalSearch/MURD320T4/page-1", "MURD320T4")</f>
        <v>MURD320T4</v>
      </c>
      <c r="B38048" s="3" t="str">
        <f>HYPERLINK("https://www.773grp.com/manufacturer/onsemi?pageNo=104", "ON Semiconductor")</f>
        <v>ON Semiconductor</v>
      </c>
      <c r="C38048" s="6">
        <v>2500</v>
      </c>
      <c r="D38048" s="7">
        <v>2.0099999999999998</v>
      </c>
    </row>
    <row r="38049" spans="1:5" x14ac:dyDescent="0.25">
      <c r="A38049" t="str">
        <f>HYPERLINK("https://www.773grp.com/globalSearch/NB2304AC1D/page-1", "NB2304AC1D")</f>
        <v>NB2304AC1D</v>
      </c>
      <c r="B38049" s="3" t="str">
        <f>HYPERLINK("https://www.773grp.com/manufacturer/onsemi?pageNo=105", "ON Semiconductor")</f>
        <v>ON Semiconductor</v>
      </c>
      <c r="C38049" s="6">
        <v>461</v>
      </c>
      <c r="D38049" s="7">
        <v>2.0099999999999998</v>
      </c>
      <c r="E38049" t="s">
        <v>34</v>
      </c>
    </row>
    <row r="38050" spans="1:5" x14ac:dyDescent="0.25">
      <c r="A38050" t="str">
        <f>HYPERLINK("https://www.773grp.com/globalSearch/NCP1011APL065R2G/page-1", "NCP1011APL065R2G")</f>
        <v>NCP1011APL065R2G</v>
      </c>
      <c r="B38050" s="3" t="str">
        <f>HYPERLINK("https://www.773grp.com/manufacturer/onsemi?pageNo=106", "ON Semiconductor")</f>
        <v>ON Semiconductor</v>
      </c>
      <c r="C38050" s="6">
        <v>6250</v>
      </c>
      <c r="D38050" s="7">
        <v>2.0099999999999998</v>
      </c>
      <c r="E38050" t="s">
        <v>7</v>
      </c>
    </row>
    <row r="38051" spans="1:5" x14ac:dyDescent="0.25">
      <c r="A38051" t="str">
        <f>HYPERLINK("https://www.773grp.com/globalSearch/NCP1011APL130R2G/page-1", "NCP1011APL130R2G")</f>
        <v>NCP1011APL130R2G</v>
      </c>
      <c r="B38051" s="3" t="str">
        <f>HYPERLINK("https://www.773grp.com/manufacturer/onsemi?pageNo=107", "ON Semiconductor")</f>
        <v>ON Semiconductor</v>
      </c>
      <c r="C38051" s="6">
        <v>119734</v>
      </c>
      <c r="D38051" s="7">
        <v>2.0099999999999998</v>
      </c>
      <c r="E38051" t="s">
        <v>7</v>
      </c>
    </row>
    <row r="38052" spans="1:5" x14ac:dyDescent="0.25">
      <c r="A38052" t="str">
        <f>HYPERLINK("https://www.773grp.com/globalSearch/NCP1232DR2/page-1", "NCP1232DR2")</f>
        <v>NCP1232DR2</v>
      </c>
      <c r="B38052" s="3" t="str">
        <f>HYPERLINK("https://www.773grp.com/manufacturer/onsemi?pageNo=108", "ON Semiconductor")</f>
        <v>ON Semiconductor</v>
      </c>
      <c r="C38052" s="6">
        <v>49400</v>
      </c>
      <c r="D38052" s="7">
        <v>2.0099999999999998</v>
      </c>
      <c r="E38052" t="s">
        <v>30</v>
      </c>
    </row>
    <row r="38053" spans="1:5" x14ac:dyDescent="0.25">
      <c r="A38053" t="str">
        <f>HYPERLINK("https://www.773grp.com/globalSearch/NCP3064MNTXG/page-1", "NCP3064MNTXG")</f>
        <v>NCP3064MNTXG</v>
      </c>
      <c r="B38053" s="3" t="str">
        <f>HYPERLINK("https://www.773grp.com/manufacturer/onsemi?pageNo=109", "ON Semiconductor")</f>
        <v>ON Semiconductor</v>
      </c>
      <c r="C38053" s="6">
        <v>4000</v>
      </c>
      <c r="D38053" s="7">
        <v>2.0099999999999998</v>
      </c>
    </row>
    <row r="38054" spans="1:5" x14ac:dyDescent="0.25">
      <c r="A38054" t="str">
        <f>HYPERLINK("https://www.773grp.com/globalSearch/NCP348AEMUTBG/page-1", "NCP348AEMUTBG")</f>
        <v>NCP348AEMUTBG</v>
      </c>
      <c r="B38054" s="3" t="str">
        <f>HYPERLINK("https://www.773grp.com/manufacturer/onsemi?pageNo=110", "ON Semiconductor")</f>
        <v>ON Semiconductor</v>
      </c>
      <c r="C38054" s="6">
        <v>41915</v>
      </c>
      <c r="D38054" s="7">
        <v>2.0099999999999998</v>
      </c>
    </row>
    <row r="38055" spans="1:5" x14ac:dyDescent="0.25">
      <c r="A38055" t="str">
        <f>HYPERLINK("https://www.773grp.com/globalSearch/NCP4623HSN100T1G/page-1", "NCP4623HSN100T1G")</f>
        <v>NCP4623HSN100T1G</v>
      </c>
      <c r="B38055" s="3" t="str">
        <f>HYPERLINK("https://www.773grp.com/manufacturer/onsemi?pageNo=111", "ON Semiconductor")</f>
        <v>ON Semiconductor</v>
      </c>
      <c r="C38055" s="6">
        <v>1688</v>
      </c>
      <c r="D38055" s="7">
        <v>2.0099999999999998</v>
      </c>
    </row>
    <row r="38056" spans="1:5" x14ac:dyDescent="0.25">
      <c r="A38056" t="str">
        <f>HYPERLINK("https://www.773grp.com/globalSearch/NCV3063DR2G/page-1", "NCV3063DR2G")</f>
        <v>NCV3063DR2G</v>
      </c>
      <c r="B38056" s="3" t="str">
        <f>HYPERLINK("https://www.773grp.com/manufacturer/onsemi?pageNo=112", "ON Semiconductor")</f>
        <v>ON Semiconductor</v>
      </c>
      <c r="C38056" s="6">
        <v>37678</v>
      </c>
      <c r="D38056" s="7">
        <v>2.0099999999999998</v>
      </c>
      <c r="E38056" t="s">
        <v>7</v>
      </c>
    </row>
    <row r="38057" spans="1:5" x14ac:dyDescent="0.25">
      <c r="A38057" t="str">
        <f>HYPERLINK("https://www.773grp.com/globalSearch/NCV317MBDTG/page-1", "NCV317MBDTG")</f>
        <v>NCV317MBDTG</v>
      </c>
      <c r="B38057" s="3" t="str">
        <f>HYPERLINK("https://www.773grp.com/manufacturer/onsemi?pageNo=113", "ON Semiconductor")</f>
        <v>ON Semiconductor</v>
      </c>
      <c r="C38057" s="6">
        <v>4350</v>
      </c>
      <c r="D38057" s="7">
        <v>2.0099999999999998</v>
      </c>
      <c r="E38057" t="s">
        <v>22</v>
      </c>
    </row>
    <row r="38058" spans="1:5" x14ac:dyDescent="0.25">
      <c r="A38058" t="str">
        <f>HYPERLINK("https://www.773grp.com/globalSearch/NCV33063AVDR2G/page-1", "NCV33063AVDR2G")</f>
        <v>NCV33063AVDR2G</v>
      </c>
      <c r="B38058" s="3" t="str">
        <f>HYPERLINK("https://www.773grp.com/manufacturer/onsemi?pageNo=114", "ON Semiconductor")</f>
        <v>ON Semiconductor</v>
      </c>
      <c r="C38058" s="6">
        <v>5000</v>
      </c>
      <c r="D38058" s="7">
        <v>2.0099999999999998</v>
      </c>
      <c r="E38058" t="s">
        <v>7</v>
      </c>
    </row>
    <row r="38059" spans="1:5" x14ac:dyDescent="0.25">
      <c r="A38059" t="str">
        <f>HYPERLINK("https://www.773grp.com/globalSearch/NCV33064P-5RA/page-1", "NCV33064P-5RA")</f>
        <v>NCV33064P-5RA</v>
      </c>
      <c r="B38059" s="3" t="str">
        <f>HYPERLINK("https://www.773grp.com/manufacturer/onsemi?pageNo=115", "ON Semiconductor")</f>
        <v>ON Semiconductor</v>
      </c>
      <c r="C38059" s="6">
        <v>2000</v>
      </c>
      <c r="D38059" s="7">
        <v>2.0099999999999998</v>
      </c>
      <c r="E38059" t="s">
        <v>30</v>
      </c>
    </row>
    <row r="38060" spans="1:5" x14ac:dyDescent="0.25">
      <c r="A38060" t="str">
        <f>HYPERLINK("https://www.773grp.com/globalSearch/NCV33064P-5RP/page-1", "NCV33064P-5RP")</f>
        <v>NCV33064P-5RP</v>
      </c>
      <c r="B38060" s="3" t="str">
        <f>HYPERLINK("https://www.773grp.com/manufacturer/onsemi?pageNo=116", "ON Semiconductor")</f>
        <v>ON Semiconductor</v>
      </c>
      <c r="C38060" s="6">
        <v>4000</v>
      </c>
      <c r="D38060" s="7">
        <v>2.0099999999999998</v>
      </c>
      <c r="E38060" t="s">
        <v>30</v>
      </c>
    </row>
    <row r="38061" spans="1:5" x14ac:dyDescent="0.25">
      <c r="A38061" t="str">
        <f>HYPERLINK("https://www.773grp.com/globalSearch/NCV7356D2/page-1", "NCV7356D2")</f>
        <v>NCV7356D2</v>
      </c>
      <c r="B38061" s="3" t="str">
        <f>HYPERLINK("https://www.773grp.com/manufacturer/onsemi?pageNo=117", "ON Semiconductor")</f>
        <v>ON Semiconductor</v>
      </c>
      <c r="C38061" s="6">
        <v>5940</v>
      </c>
      <c r="D38061" s="7">
        <v>2.0099999999999998</v>
      </c>
      <c r="E38061" t="s">
        <v>55</v>
      </c>
    </row>
    <row r="38062" spans="1:5" x14ac:dyDescent="0.25">
      <c r="A38062" t="str">
        <f>HYPERLINK("https://www.773grp.com/globalSearch/NCV7356D2R2/page-1", "NCV7356D2R2")</f>
        <v>NCV7356D2R2</v>
      </c>
      <c r="B38062" s="3" t="str">
        <f>HYPERLINK("https://www.773grp.com/manufacturer/onsemi?pageNo=118", "ON Semiconductor")</f>
        <v>ON Semiconductor</v>
      </c>
      <c r="C38062" s="6">
        <v>32</v>
      </c>
      <c r="D38062" s="7">
        <v>2.0099999999999998</v>
      </c>
      <c r="E38062" t="s">
        <v>55</v>
      </c>
    </row>
    <row r="38063" spans="1:5" x14ac:dyDescent="0.25">
      <c r="A38063" t="str">
        <f>HYPERLINK("https://www.773grp.com/globalSearch/NCV7380DG/page-1", "NCV7380DG")</f>
        <v>NCV7380DG</v>
      </c>
      <c r="B38063" s="3" t="str">
        <f>HYPERLINK("https://www.773grp.com/manufacturer/onsemi?pageNo=119", "ON Semiconductor")</f>
        <v>ON Semiconductor</v>
      </c>
      <c r="C38063" s="6">
        <v>260</v>
      </c>
      <c r="D38063" s="7">
        <v>2.0099999999999998</v>
      </c>
      <c r="E38063" t="s">
        <v>21</v>
      </c>
    </row>
    <row r="38064" spans="1:5" x14ac:dyDescent="0.25">
      <c r="A38064" t="str">
        <f>HYPERLINK("https://www.773grp.com/globalSearch/NCV7380DR2G/page-1", "NCV7380DR2G")</f>
        <v>NCV7380DR2G</v>
      </c>
      <c r="B38064" s="3" t="str">
        <f>HYPERLINK("https://www.773grp.com/manufacturer/onsemi?pageNo=120", "ON Semiconductor")</f>
        <v>ON Semiconductor</v>
      </c>
      <c r="C38064" s="6">
        <v>1386</v>
      </c>
      <c r="D38064" s="7">
        <v>2.0099999999999998</v>
      </c>
      <c r="E38064" t="s">
        <v>21</v>
      </c>
    </row>
    <row r="38065" spans="1:5" x14ac:dyDescent="0.25">
      <c r="A38065" t="str">
        <f>HYPERLINK("https://www.773grp.com/globalSearch/NCV8403STT1G/page-1", "NCV8403STT1G")</f>
        <v>NCV8403STT1G</v>
      </c>
      <c r="B38065" s="3" t="str">
        <f>HYPERLINK("https://www.773grp.com/manufacturer/onsemi?pageNo=121", "ON Semiconductor")</f>
        <v>ON Semiconductor</v>
      </c>
      <c r="C38065" s="6">
        <v>7000</v>
      </c>
      <c r="D38065" s="7">
        <v>2.0099999999999998</v>
      </c>
    </row>
    <row r="38066" spans="1:5" x14ac:dyDescent="0.25">
      <c r="A38066" t="str">
        <f>HYPERLINK("https://www.773grp.com/globalSearch/NDF06N62ZG/page-1", "NDF06N62ZG")</f>
        <v>NDF06N62ZG</v>
      </c>
      <c r="B38066" s="3" t="str">
        <f>HYPERLINK("https://www.773grp.com/manufacturer/onsemi?pageNo=122", "ON Semiconductor")</f>
        <v>ON Semiconductor</v>
      </c>
      <c r="C38066" s="6">
        <v>5350</v>
      </c>
      <c r="D38066" s="7">
        <v>2.0099999999999998</v>
      </c>
      <c r="E38066" t="s">
        <v>105</v>
      </c>
    </row>
    <row r="38067" spans="1:5" x14ac:dyDescent="0.25">
      <c r="A38067" t="str">
        <f>HYPERLINK("https://www.773grp.com/globalSearch/NE5532NG/page-1", "NE5532NG")</f>
        <v>NE5532NG</v>
      </c>
      <c r="B38067" s="3" t="str">
        <f>HYPERLINK("https://www.773grp.com/manufacturer/onsemi?pageNo=123", "ON Semiconductor")</f>
        <v>ON Semiconductor</v>
      </c>
      <c r="C38067" s="6">
        <v>12776</v>
      </c>
      <c r="D38067" s="7">
        <v>2.0099999999999998</v>
      </c>
      <c r="E38067" t="s">
        <v>13</v>
      </c>
    </row>
    <row r="38068" spans="1:5" x14ac:dyDescent="0.25">
      <c r="A38068" t="str">
        <f>HYPERLINK("https://www.773grp.com/globalSearch/NGB18N40CLBT4/page-1", "NGB18N40CLBT4")</f>
        <v>NGB18N40CLBT4</v>
      </c>
      <c r="B38068" s="3" t="str">
        <f>HYPERLINK("https://www.773grp.com/manufacturer/onsemi?pageNo=124", "ON Semiconductor")</f>
        <v>ON Semiconductor</v>
      </c>
      <c r="C38068" s="6">
        <v>551587</v>
      </c>
      <c r="D38068" s="7">
        <v>2.0099999999999998</v>
      </c>
      <c r="E38068" t="s">
        <v>115</v>
      </c>
    </row>
    <row r="38069" spans="1:5" x14ac:dyDescent="0.25">
      <c r="A38069" t="str">
        <f>HYPERLINK("https://www.773grp.com/globalSearch/NJVMJE15032/page-1", "NJVMJE15032")</f>
        <v>NJVMJE15032</v>
      </c>
      <c r="B38069" s="3" t="str">
        <f>HYPERLINK("https://www.773grp.com/manufacturer/onsemi?pageNo=125", "ON Semiconductor")</f>
        <v>ON Semiconductor</v>
      </c>
      <c r="C38069" s="6">
        <v>85</v>
      </c>
      <c r="D38069" s="7">
        <v>2.0099999999999998</v>
      </c>
    </row>
    <row r="38070" spans="1:5" x14ac:dyDescent="0.25">
      <c r="A38070" t="str">
        <f>HYPERLINK("https://www.773grp.com/globalSearch/NLSF595MNR2G/page-1", "NLSF595MNR2G")</f>
        <v>NLSF595MNR2G</v>
      </c>
      <c r="B38070" s="3" t="str">
        <f>HYPERLINK("https://www.773grp.com/manufacturer/onsemi?pageNo=126", "ON Semiconductor")</f>
        <v>ON Semiconductor</v>
      </c>
      <c r="C38070" s="6">
        <v>13307</v>
      </c>
      <c r="D38070" s="7">
        <v>2.0099999999999998</v>
      </c>
      <c r="E38070" t="s">
        <v>10</v>
      </c>
    </row>
    <row r="38071" spans="1:5" x14ac:dyDescent="0.25">
      <c r="A38071" t="str">
        <f>HYPERLINK("https://www.773grp.com/globalSearch/NTB18N06LG/page-1", "NTB18N06LG")</f>
        <v>NTB18N06LG</v>
      </c>
      <c r="B38071" s="3" t="str">
        <f>HYPERLINK("https://www.773grp.com/manufacturer/onsemi?pageNo=127", "ON Semiconductor")</f>
        <v>ON Semiconductor</v>
      </c>
      <c r="C38071" s="6">
        <v>500</v>
      </c>
      <c r="D38071" s="7">
        <v>2.0099999999999998</v>
      </c>
      <c r="E38071" t="s">
        <v>105</v>
      </c>
    </row>
    <row r="38072" spans="1:5" x14ac:dyDescent="0.25">
      <c r="A38072" t="str">
        <f>HYPERLINK("https://www.773grp.com/globalSearch/NTB18N06LT4G/page-1", "NTB18N06LT4G")</f>
        <v>NTB18N06LT4G</v>
      </c>
      <c r="B38072" s="3" t="str">
        <f>HYPERLINK("https://www.773grp.com/manufacturer/onsemi?pageNo=128", "ON Semiconductor")</f>
        <v>ON Semiconductor</v>
      </c>
      <c r="C38072" s="6">
        <v>2400</v>
      </c>
      <c r="D38072" s="7">
        <v>2.0099999999999998</v>
      </c>
      <c r="E38072" t="s">
        <v>105</v>
      </c>
    </row>
    <row r="38073" spans="1:5" x14ac:dyDescent="0.25">
      <c r="A38073" t="str">
        <f>HYPERLINK("https://www.773grp.com/globalSearch/NTD5N50/page-1", "NTD5N50")</f>
        <v>NTD5N50</v>
      </c>
      <c r="B38073" s="3" t="str">
        <f>HYPERLINK("https://www.773grp.com/manufacturer/onsemi?pageNo=129", "ON Semiconductor")</f>
        <v>ON Semiconductor</v>
      </c>
      <c r="C38073" s="6">
        <v>7050</v>
      </c>
      <c r="D38073" s="7">
        <v>2.0099999999999998</v>
      </c>
      <c r="E38073" t="s">
        <v>105</v>
      </c>
    </row>
    <row r="38074" spans="1:5" x14ac:dyDescent="0.25">
      <c r="A38074" t="str">
        <f>HYPERLINK("https://www.773grp.com/globalSearch/NTD5N50-001/page-1", "NTD5N50-001")</f>
        <v>NTD5N50-001</v>
      </c>
      <c r="B38074" s="3" t="str">
        <f>HYPERLINK("https://www.773grp.com/manufacturer/onsemi?pageNo=130", "ON Semiconductor")</f>
        <v>ON Semiconductor</v>
      </c>
      <c r="C38074" s="6">
        <v>3150</v>
      </c>
      <c r="D38074" s="7">
        <v>2.0099999999999998</v>
      </c>
    </row>
    <row r="38075" spans="1:5" x14ac:dyDescent="0.25">
      <c r="A38075" t="str">
        <f>HYPERLINK("https://www.773grp.com/globalSearch/NTMFS4119NT1G/page-1", "NTMFS4119NT1G")</f>
        <v>NTMFS4119NT1G</v>
      </c>
      <c r="B38075" s="3" t="str">
        <f>HYPERLINK("https://www.773grp.com/manufacturer/onsemi?pageNo=131", "ON Semiconductor")</f>
        <v>ON Semiconductor</v>
      </c>
      <c r="C38075" s="6">
        <v>858</v>
      </c>
      <c r="D38075" s="7">
        <v>2.0099999999999998</v>
      </c>
      <c r="E38075" t="s">
        <v>106</v>
      </c>
    </row>
    <row r="38076" spans="1:5" x14ac:dyDescent="0.25">
      <c r="A38076" t="str">
        <f>HYPERLINK("https://www.773grp.com/globalSearch/NTMS4700NR2/page-1", "NTMS4700NR2")</f>
        <v>NTMS4700NR2</v>
      </c>
      <c r="B38076" s="3" t="str">
        <f>HYPERLINK("https://www.773grp.com/manufacturer/onsemi?pageNo=132", "ON Semiconductor")</f>
        <v>ON Semiconductor</v>
      </c>
      <c r="C38076" s="6">
        <v>35000</v>
      </c>
      <c r="D38076" s="7">
        <v>2.0099999999999998</v>
      </c>
      <c r="E38076" t="s">
        <v>106</v>
      </c>
    </row>
    <row r="38077" spans="1:5" x14ac:dyDescent="0.25">
      <c r="A38077" t="str">
        <f>HYPERLINK("https://www.773grp.com/globalSearch/NTP2955G/page-1", "NTP2955G")</f>
        <v>NTP2955G</v>
      </c>
      <c r="B38077" s="3" t="str">
        <f>HYPERLINK("https://www.773grp.com/manufacturer/onsemi?pageNo=133", "ON Semiconductor")</f>
        <v>ON Semiconductor</v>
      </c>
      <c r="C38077" s="6">
        <v>9650</v>
      </c>
      <c r="D38077" s="7">
        <v>2.0099999999999998</v>
      </c>
    </row>
    <row r="38078" spans="1:5" x14ac:dyDescent="0.25">
      <c r="A38078" t="str">
        <f>HYPERLINK("https://www.773grp.com/globalSearch/NTP5864NG/page-1", "NTP5864NG")</f>
        <v>NTP5864NG</v>
      </c>
      <c r="B38078" s="3" t="str">
        <f>HYPERLINK("https://www.773grp.com/manufacturer/onsemi?pageNo=134", "ON Semiconductor")</f>
        <v>ON Semiconductor</v>
      </c>
      <c r="C38078" s="6">
        <v>800</v>
      </c>
      <c r="D38078" s="7">
        <v>2.0099999999999998</v>
      </c>
    </row>
    <row r="38079" spans="1:5" x14ac:dyDescent="0.25">
      <c r="A38079" t="str">
        <f>HYPERLINK("https://www.773grp.com/globalSearch/SN54LS157J/page-1", "SN54LS157J")</f>
        <v>SN54LS157J</v>
      </c>
      <c r="B38079" s="3" t="str">
        <f>HYPERLINK("https://www.773grp.com/manufacturer/onsemi?pageNo=135", "ON Semiconductor")</f>
        <v>ON Semiconductor</v>
      </c>
      <c r="C38079" s="6">
        <v>6429</v>
      </c>
      <c r="D38079" s="7">
        <v>2.0099999999999998</v>
      </c>
      <c r="E38079" t="s">
        <v>20</v>
      </c>
    </row>
    <row r="38080" spans="1:5" x14ac:dyDescent="0.25">
      <c r="A38080" t="str">
        <f>HYPERLINK("https://www.773grp.com/globalSearch/SN74LS682DW/page-1", "SN74LS682DW")</f>
        <v>SN74LS682DW</v>
      </c>
      <c r="B38080" s="3" t="str">
        <f>HYPERLINK("https://www.773grp.com/manufacturer/onsemi?pageNo=136", "ON Semiconductor")</f>
        <v>ON Semiconductor</v>
      </c>
      <c r="C38080" s="6">
        <v>87</v>
      </c>
      <c r="D38080" s="7">
        <v>2.0099999999999998</v>
      </c>
      <c r="E38080" t="s">
        <v>43</v>
      </c>
    </row>
    <row r="38081" spans="1:5" x14ac:dyDescent="0.25">
      <c r="A38081" t="str">
        <f>HYPERLINK("https://www.773grp.com/globalSearch/TIP105/page-1", "TIP105")</f>
        <v>TIP105</v>
      </c>
      <c r="B38081" s="3" t="str">
        <f>HYPERLINK("https://www.773grp.com/manufacturer/onsemi?pageNo=137", "ON Semiconductor")</f>
        <v>ON Semiconductor</v>
      </c>
      <c r="C38081" s="6">
        <v>50</v>
      </c>
      <c r="D38081" s="7">
        <v>2.0099999999999998</v>
      </c>
      <c r="E38081" t="s">
        <v>59</v>
      </c>
    </row>
    <row r="38082" spans="1:5" x14ac:dyDescent="0.25">
      <c r="A38082" t="str">
        <f>HYPERLINK("https://www.773grp.com/globalSearch/TND321VD-TL-E/page-1", "TND321VD-TL-E")</f>
        <v>TND321VD-TL-E</v>
      </c>
      <c r="B38082" s="3" t="str">
        <f>HYPERLINK("https://www.773grp.com/manufacturer/onsemi?pageNo=138", "ON Semiconductor")</f>
        <v>ON Semiconductor</v>
      </c>
      <c r="C38082" s="6">
        <v>48000</v>
      </c>
      <c r="D38082" s="7">
        <v>2.0099999999999998</v>
      </c>
    </row>
    <row r="38083" spans="1:5" x14ac:dyDescent="0.25">
      <c r="A38083" t="str">
        <f>HYPERLINK("https://www.773grp.com/globalSearch/ADT7421ARMZ-2RL/page-1", "ADT7421ARMZ-2RL")</f>
        <v>ADT7421ARMZ-2RL</v>
      </c>
      <c r="B38083" s="3" t="str">
        <f>HYPERLINK("https://www.773grp.com/manufacturer/onsemi?pageNo=139", "ON Semiconductor")</f>
        <v>ON Semiconductor</v>
      </c>
      <c r="C38083" s="6">
        <v>143000</v>
      </c>
      <c r="D38083" s="7">
        <v>2.06</v>
      </c>
      <c r="E38083" t="s">
        <v>40</v>
      </c>
    </row>
    <row r="38084" spans="1:5" x14ac:dyDescent="0.25">
      <c r="A38084" t="str">
        <f>HYPERLINK("https://www.773grp.com/globalSearch/ADT7421ARMZ-REEL/page-1", "ADT7421ARMZ-REEL")</f>
        <v>ADT7421ARMZ-REEL</v>
      </c>
      <c r="B38084" s="3" t="str">
        <f>HYPERLINK("https://www.773grp.com/manufacturer/onsemi?pageNo=140", "ON Semiconductor")</f>
        <v>ON Semiconductor</v>
      </c>
      <c r="C38084" s="6">
        <v>85098</v>
      </c>
      <c r="D38084" s="7">
        <v>2.06</v>
      </c>
      <c r="E38084" t="s">
        <v>40</v>
      </c>
    </row>
    <row r="38085" spans="1:5" x14ac:dyDescent="0.25">
      <c r="A38085" t="str">
        <f>HYPERLINK("https://www.773grp.com/globalSearch/ADT7421ARZ-REEL/page-1", "ADT7421ARZ-REEL")</f>
        <v>ADT7421ARZ-REEL</v>
      </c>
      <c r="B38085" s="3" t="str">
        <f>HYPERLINK("https://www.773grp.com/manufacturer/onsemi?pageNo=141", "ON Semiconductor")</f>
        <v>ON Semiconductor</v>
      </c>
      <c r="C38085" s="6">
        <v>4313</v>
      </c>
      <c r="D38085" s="7">
        <v>2.06</v>
      </c>
    </row>
    <row r="38086" spans="1:5" x14ac:dyDescent="0.25">
      <c r="A38086" t="str">
        <f>HYPERLINK("https://www.773grp.com/globalSearch/AMIS30660CANH6RG/page-1", "AMIS30660CANH6RG")</f>
        <v>AMIS30660CANH6RG</v>
      </c>
      <c r="B38086" s="3" t="str">
        <f>HYPERLINK("https://www.773grp.com/manufacturer/onsemi?pageNo=142", "ON Semiconductor")</f>
        <v>ON Semiconductor</v>
      </c>
      <c r="C38086" s="6">
        <v>27000</v>
      </c>
      <c r="D38086" s="7">
        <v>2.06</v>
      </c>
    </row>
    <row r="38087" spans="1:5" x14ac:dyDescent="0.25">
      <c r="A38087" t="str">
        <f>HYPERLINK("https://www.773grp.com/globalSearch/AMIS42670ICAH2G/page-1", "AMIS42670ICAH2G")</f>
        <v>AMIS42670ICAH2G</v>
      </c>
      <c r="B38087" s="3" t="str">
        <f>HYPERLINK("https://www.773grp.com/manufacturer/onsemi?pageNo=143", "ON Semiconductor")</f>
        <v>ON Semiconductor</v>
      </c>
      <c r="C38087" s="6">
        <v>440</v>
      </c>
      <c r="D38087" s="7">
        <v>2.06</v>
      </c>
    </row>
    <row r="38088" spans="1:5" x14ac:dyDescent="0.25">
      <c r="A38088" t="str">
        <f>HYPERLINK("https://www.773grp.com/globalSearch/AMIS42671ICAB1RG/page-1", "AMIS42671ICAB1RG")</f>
        <v>AMIS42671ICAB1RG</v>
      </c>
      <c r="B38088" s="3" t="str">
        <f>HYPERLINK("https://www.773grp.com/manufacturer/onsemi?pageNo=144", "ON Semiconductor")</f>
        <v>ON Semiconductor</v>
      </c>
      <c r="C38088" s="6">
        <v>39</v>
      </c>
      <c r="D38088" s="7">
        <v>2.06</v>
      </c>
      <c r="E38088" t="s">
        <v>55</v>
      </c>
    </row>
    <row r="38089" spans="1:5" x14ac:dyDescent="0.25">
      <c r="A38089" t="str">
        <f>HYPERLINK("https://www.773grp.com/globalSearch/AMIS42673ICAG1RG/page-1", "AMIS42673ICAG1RG")</f>
        <v>AMIS42673ICAG1RG</v>
      </c>
      <c r="B38089" s="3" t="str">
        <f>HYPERLINK("https://www.773grp.com/manufacturer/onsemi?pageNo=145", "ON Semiconductor")</f>
        <v>ON Semiconductor</v>
      </c>
      <c r="C38089" s="6">
        <v>262</v>
      </c>
      <c r="D38089" s="7">
        <v>2.06</v>
      </c>
      <c r="E38089" t="s">
        <v>55</v>
      </c>
    </row>
    <row r="38090" spans="1:5" x14ac:dyDescent="0.25">
      <c r="A38090" t="str">
        <f>HYPERLINK("https://www.773grp.com/globalSearch/AMIS42675ICAA1G/page-1", "AMIS42675ICAA1G")</f>
        <v>AMIS42675ICAA1G</v>
      </c>
      <c r="B38090" s="3" t="str">
        <f>HYPERLINK("https://www.773grp.com/manufacturer/onsemi?pageNo=146", "ON Semiconductor")</f>
        <v>ON Semiconductor</v>
      </c>
      <c r="C38090" s="6">
        <v>356</v>
      </c>
      <c r="D38090" s="7">
        <v>2.06</v>
      </c>
      <c r="E38090" t="s">
        <v>55</v>
      </c>
    </row>
    <row r="38091" spans="1:5" x14ac:dyDescent="0.25">
      <c r="A38091" t="str">
        <f>HYPERLINK("https://www.773grp.com/globalSearch/CAT24C256XI/page-1", "CAT24C256XI")</f>
        <v>CAT24C256XI</v>
      </c>
      <c r="B38091" s="3" t="str">
        <f>HYPERLINK("https://www.773grp.com/manufacturer/onsemi?pageNo=147", "ON Semiconductor")</f>
        <v>ON Semiconductor</v>
      </c>
      <c r="C38091" s="6">
        <v>448</v>
      </c>
      <c r="D38091" s="7">
        <v>2.06</v>
      </c>
    </row>
    <row r="38092" spans="1:5" x14ac:dyDescent="0.25">
      <c r="A38092" t="str">
        <f>HYPERLINK("https://www.773grp.com/globalSearch/CAT25320VE-GC/page-1", "CAT25320VE-GC")</f>
        <v>CAT25320VE-GC</v>
      </c>
      <c r="B38092" s="3" t="str">
        <f>HYPERLINK("https://www.773grp.com/manufacturer/onsemi?pageNo=148", "ON Semiconductor")</f>
        <v>ON Semiconductor</v>
      </c>
      <c r="C38092" s="6">
        <v>1300</v>
      </c>
      <c r="D38092" s="7">
        <v>2.06</v>
      </c>
    </row>
    <row r="38093" spans="1:5" x14ac:dyDescent="0.25">
      <c r="A38093" t="str">
        <f>HYPERLINK("https://www.773grp.com/globalSearch/ECH8674-TL-H/page-1", "ECH8674-TL-H")</f>
        <v>ECH8674-TL-H</v>
      </c>
      <c r="B38093" s="3" t="str">
        <f>HYPERLINK("https://www.773grp.com/manufacturer/onsemi?pageNo=149", "ON Semiconductor")</f>
        <v>ON Semiconductor</v>
      </c>
      <c r="C38093" s="6">
        <v>3000</v>
      </c>
      <c r="D38093" s="7">
        <v>2.06</v>
      </c>
    </row>
    <row r="38094" spans="1:5" x14ac:dyDescent="0.25">
      <c r="A38094" t="str">
        <f>HYPERLINK("https://www.773grp.com/globalSearch/LM2931AD-5.0R2G/page-1", "LM2931AD-5.0R2G")</f>
        <v>LM2931AD-5.0R2G</v>
      </c>
      <c r="B38094" s="3" t="str">
        <f>HYPERLINK("https://www.773grp.com/manufacturer/onsemi?pageNo=150", "ON Semiconductor")</f>
        <v>ON Semiconductor</v>
      </c>
      <c r="C38094" s="6">
        <v>9256</v>
      </c>
      <c r="D38094" s="7">
        <v>2.06</v>
      </c>
      <c r="E38094" t="s">
        <v>19</v>
      </c>
    </row>
    <row r="38095" spans="1:5" x14ac:dyDescent="0.25">
      <c r="A38095" t="str">
        <f>HYPERLINK("https://www.773grp.com/globalSearch/LM2931CD2TG/page-1", "LM2931CD2TG")</f>
        <v>LM2931CD2TG</v>
      </c>
      <c r="B38095" s="3" t="str">
        <f>HYPERLINK("https://www.773grp.com/manufacturer/onsemi?pageNo=151", "ON Semiconductor")</f>
        <v>ON Semiconductor</v>
      </c>
      <c r="C38095" s="6">
        <v>1818</v>
      </c>
      <c r="D38095" s="7">
        <v>2.06</v>
      </c>
      <c r="E38095" t="s">
        <v>25</v>
      </c>
    </row>
    <row r="38096" spans="1:5" x14ac:dyDescent="0.25">
      <c r="A38096" t="str">
        <f>HYPERLINK("https://www.773grp.com/globalSearch/LM2931CD2TR4G/page-1", "LM2931CD2TR4G")</f>
        <v>LM2931CD2TR4G</v>
      </c>
      <c r="B38096" s="3" t="str">
        <f>HYPERLINK("https://www.773grp.com/manufacturer/onsemi?pageNo=152", "ON Semiconductor")</f>
        <v>ON Semiconductor</v>
      </c>
      <c r="C38096" s="6">
        <v>2698</v>
      </c>
      <c r="D38096" s="7">
        <v>2.06</v>
      </c>
      <c r="E38096" t="s">
        <v>25</v>
      </c>
    </row>
    <row r="38097" spans="1:5" x14ac:dyDescent="0.25">
      <c r="A38097" t="str">
        <f>HYPERLINK("https://www.773grp.com/globalSearch/LV8548MC-AH/page-1", "LV8548MC-AH")</f>
        <v>LV8548MC-AH</v>
      </c>
      <c r="B38097" s="3" t="str">
        <f>HYPERLINK("https://www.773grp.com/manufacturer/onsemi?pageNo=153", "ON Semiconductor")</f>
        <v>ON Semiconductor</v>
      </c>
      <c r="C38097" s="6">
        <v>87600</v>
      </c>
      <c r="D38097" s="7">
        <v>2.06</v>
      </c>
    </row>
    <row r="38098" spans="1:5" x14ac:dyDescent="0.25">
      <c r="A38098" t="str">
        <f>HYPERLINK("https://www.773grp.com/globalSearch/M74HCT4851ADWR2G/page-1", "M74HCT4851ADWR2G")</f>
        <v>M74HCT4851ADWR2G</v>
      </c>
      <c r="B38098" s="3" t="str">
        <f>HYPERLINK("https://www.773grp.com/manufacturer/onsemi?pageNo=154", "ON Semiconductor")</f>
        <v>ON Semiconductor</v>
      </c>
      <c r="C38098" s="6">
        <v>66929</v>
      </c>
      <c r="D38098" s="7">
        <v>2.06</v>
      </c>
      <c r="E38098" t="s">
        <v>56</v>
      </c>
    </row>
    <row r="38099" spans="1:5" x14ac:dyDescent="0.25">
      <c r="A38099" t="str">
        <f>HYPERLINK("https://www.773grp.com/globalSearch/MBRF10L60CTG/page-1", "MBRF10L60CTG")</f>
        <v>MBRF10L60CTG</v>
      </c>
      <c r="B38099" s="3" t="str">
        <f>HYPERLINK("https://www.773grp.com/manufacturer/onsemi?pageNo=155", "ON Semiconductor")</f>
        <v>ON Semiconductor</v>
      </c>
      <c r="C38099" s="6">
        <v>126850</v>
      </c>
      <c r="D38099" s="7">
        <v>2.06</v>
      </c>
    </row>
    <row r="38100" spans="1:5" x14ac:dyDescent="0.25">
      <c r="A38100" t="str">
        <f>HYPERLINK("https://www.773grp.com/globalSearch/MC10160P/page-1", "MC10160P")</f>
        <v>MC10160P</v>
      </c>
      <c r="B38100" s="3" t="str">
        <f>HYPERLINK("https://www.773grp.com/manufacturer/onsemi?pageNo=156", "ON Semiconductor")</f>
        <v>ON Semiconductor</v>
      </c>
      <c r="C38100" s="6">
        <v>1400</v>
      </c>
      <c r="D38100" s="7">
        <v>2.06</v>
      </c>
      <c r="E38100" t="s">
        <v>43</v>
      </c>
    </row>
    <row r="38101" spans="1:5" x14ac:dyDescent="0.25">
      <c r="A38101" t="str">
        <f>HYPERLINK("https://www.773grp.com/globalSearch/MC14504BFL1/page-1", "MC14504BFL1")</f>
        <v>MC14504BFL1</v>
      </c>
      <c r="B38101" s="3" t="str">
        <f>HYPERLINK("https://www.773grp.com/manufacturer/onsemi?pageNo=157", "ON Semiconductor")</f>
        <v>ON Semiconductor</v>
      </c>
      <c r="C38101" s="6">
        <v>2948</v>
      </c>
      <c r="D38101" s="7">
        <v>2.06</v>
      </c>
      <c r="E38101" t="s">
        <v>73</v>
      </c>
    </row>
    <row r="38102" spans="1:5" x14ac:dyDescent="0.25">
      <c r="A38102" t="str">
        <f>HYPERLINK("https://www.773grp.com/globalSearch/MC14504BFR1/page-1", "MC14504BFR1")</f>
        <v>MC14504BFR1</v>
      </c>
      <c r="B38102" s="3" t="str">
        <f>HYPERLINK("https://www.773grp.com/manufacturer/onsemi?pageNo=158", "ON Semiconductor")</f>
        <v>ON Semiconductor</v>
      </c>
      <c r="C38102" s="6">
        <v>2000</v>
      </c>
      <c r="D38102" s="7">
        <v>2.06</v>
      </c>
      <c r="E38102" t="s">
        <v>73</v>
      </c>
    </row>
    <row r="38103" spans="1:5" x14ac:dyDescent="0.25">
      <c r="A38103" t="str">
        <f>HYPERLINK("https://www.773grp.com/globalSearch/MC33074ADG/page-1", "MC33074ADG")</f>
        <v>MC33074ADG</v>
      </c>
      <c r="B38103" s="3" t="str">
        <f>HYPERLINK("https://www.773grp.com/manufacturer/onsemi?pageNo=159", "ON Semiconductor")</f>
        <v>ON Semiconductor</v>
      </c>
      <c r="C38103" s="6">
        <v>153</v>
      </c>
      <c r="D38103" s="7">
        <v>2.06</v>
      </c>
      <c r="E38103" t="s">
        <v>13</v>
      </c>
    </row>
    <row r="38104" spans="1:5" x14ac:dyDescent="0.25">
      <c r="A38104" t="str">
        <f>HYPERLINK("https://www.773grp.com/globalSearch/MC33074ADR2G/page-1", "MC33074ADR2G")</f>
        <v>MC33074ADR2G</v>
      </c>
      <c r="B38104" s="3" t="str">
        <f>HYPERLINK("https://www.773grp.com/manufacturer/onsemi?pageNo=160", "ON Semiconductor")</f>
        <v>ON Semiconductor</v>
      </c>
      <c r="C38104" s="6">
        <v>14610</v>
      </c>
      <c r="D38104" s="7">
        <v>2.06</v>
      </c>
      <c r="E38104" t="s">
        <v>13</v>
      </c>
    </row>
    <row r="38105" spans="1:5" x14ac:dyDescent="0.25">
      <c r="A38105" t="str">
        <f>HYPERLINK("https://www.773grp.com/globalSearch/MC33074APG/page-1", "MC33074APG")</f>
        <v>MC33074APG</v>
      </c>
      <c r="B38105" s="3" t="str">
        <f>HYPERLINK("https://www.773grp.com/manufacturer/onsemi?pageNo=161", "ON Semiconductor")</f>
        <v>ON Semiconductor</v>
      </c>
      <c r="C38105" s="6">
        <v>4881</v>
      </c>
      <c r="D38105" s="7">
        <v>2.06</v>
      </c>
      <c r="E38105" t="s">
        <v>13</v>
      </c>
    </row>
    <row r="38106" spans="1:5" x14ac:dyDescent="0.25">
      <c r="A38106" t="str">
        <f>HYPERLINK("https://www.773grp.com/globalSearch/MC33178D/page-1", "MC33178D")</f>
        <v>MC33178D</v>
      </c>
      <c r="B38106" s="3" t="str">
        <f>HYPERLINK("https://www.773grp.com/manufacturer/onsemi?pageNo=162", "ON Semiconductor")</f>
        <v>ON Semiconductor</v>
      </c>
      <c r="C38106" s="6">
        <v>10976</v>
      </c>
      <c r="D38106" s="7">
        <v>2.06</v>
      </c>
      <c r="E38106" t="s">
        <v>13</v>
      </c>
    </row>
    <row r="38107" spans="1:5" x14ac:dyDescent="0.25">
      <c r="A38107" t="str">
        <f>HYPERLINK("https://www.773grp.com/globalSearch/MC33178DR2/page-1", "MC33178DR2")</f>
        <v>MC33178DR2</v>
      </c>
      <c r="B38107" s="3" t="str">
        <f>HYPERLINK("https://www.773grp.com/manufacturer/onsemi?pageNo=163", "ON Semiconductor")</f>
        <v>ON Semiconductor</v>
      </c>
      <c r="C38107" s="6">
        <v>11074</v>
      </c>
      <c r="D38107" s="7">
        <v>2.06</v>
      </c>
    </row>
    <row r="38108" spans="1:5" x14ac:dyDescent="0.25">
      <c r="A38108" t="str">
        <f>HYPERLINK("https://www.773grp.com/globalSearch/MC33179DG/page-1", "MC33179DG")</f>
        <v>MC33179DG</v>
      </c>
      <c r="B38108" s="3" t="str">
        <f>HYPERLINK("https://www.773grp.com/manufacturer/onsemi?pageNo=164", "ON Semiconductor")</f>
        <v>ON Semiconductor</v>
      </c>
      <c r="C38108" s="6">
        <v>2750</v>
      </c>
      <c r="D38108" s="7">
        <v>2.06</v>
      </c>
      <c r="E38108" t="s">
        <v>13</v>
      </c>
    </row>
    <row r="38109" spans="1:5" x14ac:dyDescent="0.25">
      <c r="A38109" t="str">
        <f>HYPERLINK("https://www.773grp.com/globalSearch/MC33179DR2G/page-1", "MC33179DR2G")</f>
        <v>MC33179DR2G</v>
      </c>
      <c r="B38109" s="3" t="str">
        <f>HYPERLINK("https://www.773grp.com/manufacturer/onsemi?pageNo=165", "ON Semiconductor")</f>
        <v>ON Semiconductor</v>
      </c>
      <c r="C38109" s="6">
        <v>4352</v>
      </c>
      <c r="D38109" s="7">
        <v>2.06</v>
      </c>
      <c r="E38109" t="s">
        <v>13</v>
      </c>
    </row>
    <row r="38110" spans="1:5" x14ac:dyDescent="0.25">
      <c r="A38110" t="str">
        <f>HYPERLINK("https://www.773grp.com/globalSearch/MC33232D/page-1", "MC33232D")</f>
        <v>MC33232D</v>
      </c>
      <c r="B38110" s="3" t="str">
        <f>HYPERLINK("https://www.773grp.com/manufacturer/onsemi?pageNo=166", "ON Semiconductor")</f>
        <v>ON Semiconductor</v>
      </c>
      <c r="C38110" s="6">
        <v>3332</v>
      </c>
      <c r="D38110" s="7">
        <v>2.06</v>
      </c>
      <c r="E38110" t="s">
        <v>7</v>
      </c>
    </row>
    <row r="38111" spans="1:5" x14ac:dyDescent="0.25">
      <c r="A38111" t="str">
        <f>HYPERLINK("https://www.773grp.com/globalSearch/MC33351DTB-001/page-1", "MC33351DTB-001")</f>
        <v>MC33351DTB-001</v>
      </c>
      <c r="B38111" s="3" t="str">
        <f>HYPERLINK("https://www.773grp.com/manufacturer/onsemi?pageNo=167", "ON Semiconductor")</f>
        <v>ON Semiconductor</v>
      </c>
      <c r="C38111" s="6">
        <v>70</v>
      </c>
      <c r="D38111" s="7">
        <v>2.06</v>
      </c>
    </row>
    <row r="38112" spans="1:5" x14ac:dyDescent="0.25">
      <c r="A38112" t="str">
        <f>HYPERLINK("https://www.773grp.com/globalSearch/MC33463H-50KT1/page-1", "MC33463H-50KT1")</f>
        <v>MC33463H-50KT1</v>
      </c>
      <c r="B38112" s="3" t="str">
        <f>HYPERLINK("https://www.773grp.com/manufacturer/onsemi?pageNo=168", "ON Semiconductor")</f>
        <v>ON Semiconductor</v>
      </c>
      <c r="C38112" s="6">
        <v>112547</v>
      </c>
      <c r="D38112" s="7">
        <v>2.06</v>
      </c>
      <c r="E38112" t="s">
        <v>7</v>
      </c>
    </row>
    <row r="38113" spans="1:5" x14ac:dyDescent="0.25">
      <c r="A38113" t="str">
        <f>HYPERLINK("https://www.773grp.com/globalSearch/MC33466H-30JT1/page-1", "MC33466H-30JT1")</f>
        <v>MC33466H-30JT1</v>
      </c>
      <c r="B38113" s="3" t="str">
        <f>HYPERLINK("https://www.773grp.com/manufacturer/onsemi?pageNo=169", "ON Semiconductor")</f>
        <v>ON Semiconductor</v>
      </c>
      <c r="C38113" s="6">
        <v>7000</v>
      </c>
      <c r="D38113" s="7">
        <v>2.06</v>
      </c>
      <c r="E38113" t="s">
        <v>7</v>
      </c>
    </row>
    <row r="38114" spans="1:5" x14ac:dyDescent="0.25">
      <c r="A38114" t="str">
        <f>HYPERLINK("https://www.773grp.com/globalSearch/MC33466H-50LT1/page-1", "MC33466H-50LT1")</f>
        <v>MC33466H-50LT1</v>
      </c>
      <c r="B38114" s="3" t="str">
        <f>HYPERLINK("https://www.773grp.com/manufacturer/onsemi?pageNo=170", "ON Semiconductor")</f>
        <v>ON Semiconductor</v>
      </c>
      <c r="C38114" s="6">
        <v>13722</v>
      </c>
      <c r="D38114" s="7">
        <v>2.06</v>
      </c>
      <c r="E38114" t="s">
        <v>7</v>
      </c>
    </row>
    <row r="38115" spans="1:5" x14ac:dyDescent="0.25">
      <c r="A38115" t="str">
        <f>HYPERLINK("https://www.773grp.com/globalSearch/MC44608P40/page-1", "MC44608P40")</f>
        <v>MC44608P40</v>
      </c>
      <c r="B38115" s="3" t="str">
        <f>HYPERLINK("https://www.773grp.com/manufacturer/onsemi?pageNo=171", "ON Semiconductor")</f>
        <v>ON Semiconductor</v>
      </c>
      <c r="C38115" s="6">
        <v>15200</v>
      </c>
      <c r="D38115" s="7">
        <v>2.06</v>
      </c>
      <c r="E38115" t="s">
        <v>7</v>
      </c>
    </row>
    <row r="38116" spans="1:5" x14ac:dyDescent="0.25">
      <c r="A38116" t="str">
        <f>HYPERLINK("https://www.773grp.com/globalSearch/MC44608P40G/page-1", "MC44608P40G")</f>
        <v>MC44608P40G</v>
      </c>
      <c r="B38116" s="3" t="str">
        <f>HYPERLINK("https://www.773grp.com/manufacturer/onsemi?pageNo=172", "ON Semiconductor")</f>
        <v>ON Semiconductor</v>
      </c>
      <c r="C38116" s="6">
        <v>6350</v>
      </c>
      <c r="D38116" s="7">
        <v>2.06</v>
      </c>
      <c r="E38116" t="s">
        <v>7</v>
      </c>
    </row>
    <row r="38117" spans="1:5" x14ac:dyDescent="0.25">
      <c r="A38117" t="str">
        <f>HYPERLINK("https://www.773grp.com/globalSearch/MC44608P75/page-1", "MC44608P75")</f>
        <v>MC44608P75</v>
      </c>
      <c r="B38117" s="3" t="str">
        <f>HYPERLINK("https://www.773grp.com/manufacturer/onsemi?pageNo=173", "ON Semiconductor")</f>
        <v>ON Semiconductor</v>
      </c>
      <c r="C38117" s="6">
        <v>40</v>
      </c>
      <c r="D38117" s="7">
        <v>2.06</v>
      </c>
      <c r="E38117" t="s">
        <v>7</v>
      </c>
    </row>
    <row r="38118" spans="1:5" x14ac:dyDescent="0.25">
      <c r="A38118" t="str">
        <f>HYPERLINK("https://www.773grp.com/globalSearch/MC44608P75G/page-1", "MC44608P75G")</f>
        <v>MC44608P75G</v>
      </c>
      <c r="B38118" s="3" t="str">
        <f>HYPERLINK("https://www.773grp.com/manufacturer/onsemi?pageNo=174", "ON Semiconductor")</f>
        <v>ON Semiconductor</v>
      </c>
      <c r="C38118" s="6">
        <v>34188</v>
      </c>
      <c r="D38118" s="7">
        <v>2.06</v>
      </c>
      <c r="E38118" t="s">
        <v>7</v>
      </c>
    </row>
    <row r="38119" spans="1:5" x14ac:dyDescent="0.25">
      <c r="A38119" t="str">
        <f>HYPERLINK("https://www.773grp.com/globalSearch/MC74F378D/page-1", "MC74F378D")</f>
        <v>MC74F378D</v>
      </c>
      <c r="B38119" s="3" t="str">
        <f>HYPERLINK("https://www.773grp.com/manufacturer/onsemi?pageNo=175", "ON Semiconductor")</f>
        <v>ON Semiconductor</v>
      </c>
      <c r="C38119" s="6">
        <v>4656</v>
      </c>
      <c r="D38119" s="7">
        <v>2.06</v>
      </c>
      <c r="E38119" t="s">
        <v>35</v>
      </c>
    </row>
    <row r="38120" spans="1:5" x14ac:dyDescent="0.25">
      <c r="A38120" t="str">
        <f>HYPERLINK("https://www.773grp.com/globalSearch/MC74F378DR2/page-1", "MC74F378DR2")</f>
        <v>MC74F378DR2</v>
      </c>
      <c r="B38120" s="3" t="str">
        <f>HYPERLINK("https://www.773grp.com/manufacturer/onsemi?pageNo=176", "ON Semiconductor")</f>
        <v>ON Semiconductor</v>
      </c>
      <c r="C38120" s="6">
        <v>10000</v>
      </c>
      <c r="D38120" s="7">
        <v>2.06</v>
      </c>
      <c r="E38120" t="s">
        <v>35</v>
      </c>
    </row>
    <row r="38121" spans="1:5" x14ac:dyDescent="0.25">
      <c r="A38121" t="str">
        <f>HYPERLINK("https://www.773grp.com/globalSearch/MC74F379DR2/page-1", "MC74F379DR2")</f>
        <v>MC74F379DR2</v>
      </c>
      <c r="B38121" s="3" t="str">
        <f>HYPERLINK("https://www.773grp.com/manufacturer/onsemi?pageNo=177", "ON Semiconductor")</f>
        <v>ON Semiconductor</v>
      </c>
      <c r="C38121" s="6">
        <v>12500</v>
      </c>
      <c r="D38121" s="7">
        <v>2.06</v>
      </c>
      <c r="E38121" t="s">
        <v>35</v>
      </c>
    </row>
    <row r="38122" spans="1:5" x14ac:dyDescent="0.25">
      <c r="A38122" t="str">
        <f>HYPERLINK("https://www.773grp.com/globalSearch/MC74F379N/page-1", "MC74F379N")</f>
        <v>MC74F379N</v>
      </c>
      <c r="B38122" s="3" t="str">
        <f>HYPERLINK("https://www.773grp.com/manufacturer/onsemi?pageNo=178", "ON Semiconductor")</f>
        <v>ON Semiconductor</v>
      </c>
      <c r="C38122" s="6">
        <v>1266</v>
      </c>
      <c r="D38122" s="7">
        <v>2.06</v>
      </c>
      <c r="E38122" t="s">
        <v>35</v>
      </c>
    </row>
    <row r="38123" spans="1:5" x14ac:dyDescent="0.25">
      <c r="A38123" t="str">
        <f>HYPERLINK("https://www.773grp.com/globalSearch/MC74HC4851ADWR2G/page-1", "MC74HC4851ADWR2G")</f>
        <v>MC74HC4851ADWR2G</v>
      </c>
      <c r="B38123" s="3" t="str">
        <f>HYPERLINK("https://www.773grp.com/manufacturer/onsemi?pageNo=179", "ON Semiconductor")</f>
        <v>ON Semiconductor</v>
      </c>
      <c r="C38123" s="6">
        <v>30566</v>
      </c>
      <c r="D38123" s="7">
        <v>2.06</v>
      </c>
      <c r="E38123" t="s">
        <v>56</v>
      </c>
    </row>
    <row r="38124" spans="1:5" x14ac:dyDescent="0.25">
      <c r="A38124" t="str">
        <f>HYPERLINK("https://www.773grp.com/globalSearch/MC74HC4851ANG/page-1", "MC74HC4851ANG")</f>
        <v>MC74HC4851ANG</v>
      </c>
      <c r="B38124" s="3" t="str">
        <f>HYPERLINK("https://www.773grp.com/manufacturer/onsemi?pageNo=180", "ON Semiconductor")</f>
        <v>ON Semiconductor</v>
      </c>
      <c r="C38124" s="6">
        <v>1300</v>
      </c>
      <c r="D38124" s="7">
        <v>2.06</v>
      </c>
      <c r="E38124" t="s">
        <v>56</v>
      </c>
    </row>
    <row r="38125" spans="1:5" x14ac:dyDescent="0.25">
      <c r="A38125" t="str">
        <f>HYPERLINK("https://www.773grp.com/globalSearch/MJF31CG/page-1", "MJF31CG")</f>
        <v>MJF31CG</v>
      </c>
      <c r="B38125" s="3" t="str">
        <f>HYPERLINK("https://www.773grp.com/manufacturer/onsemi?pageNo=181", "ON Semiconductor")</f>
        <v>ON Semiconductor</v>
      </c>
      <c r="C38125" s="6">
        <v>3594</v>
      </c>
      <c r="D38125" s="7">
        <v>2.06</v>
      </c>
      <c r="E38125" t="s">
        <v>59</v>
      </c>
    </row>
    <row r="38126" spans="1:5" x14ac:dyDescent="0.25">
      <c r="A38126" t="str">
        <f>HYPERLINK("https://www.773grp.com/globalSearch/MUR1510G/page-1", "MUR1510G")</f>
        <v>MUR1510G</v>
      </c>
      <c r="B38126" s="3" t="str">
        <f>HYPERLINK("https://www.773grp.com/manufacturer/onsemi?pageNo=182", "ON Semiconductor")</f>
        <v>ON Semiconductor</v>
      </c>
      <c r="C38126" s="6">
        <v>4665</v>
      </c>
      <c r="D38126" s="7">
        <v>2.06</v>
      </c>
      <c r="E38126" t="s">
        <v>103</v>
      </c>
    </row>
    <row r="38127" spans="1:5" x14ac:dyDescent="0.25">
      <c r="A38127" t="str">
        <f>HYPERLINK("https://www.773grp.com/globalSearch/MUR1515G/page-1", "MUR1515G")</f>
        <v>MUR1515G</v>
      </c>
      <c r="B38127" s="3" t="str">
        <f>HYPERLINK("https://www.773grp.com/manufacturer/onsemi?pageNo=183", "ON Semiconductor")</f>
        <v>ON Semiconductor</v>
      </c>
      <c r="C38127" s="6">
        <v>2650</v>
      </c>
      <c r="D38127" s="7">
        <v>2.06</v>
      </c>
    </row>
    <row r="38128" spans="1:5" x14ac:dyDescent="0.25">
      <c r="A38128" t="str">
        <f>HYPERLINK("https://www.773grp.com/globalSearch/MUR1520G/page-1", "MUR1520G")</f>
        <v>MUR1520G</v>
      </c>
      <c r="B38128" s="3" t="str">
        <f>HYPERLINK("https://www.773grp.com/manufacturer/onsemi?pageNo=184", "ON Semiconductor")</f>
        <v>ON Semiconductor</v>
      </c>
      <c r="C38128" s="6">
        <v>4642</v>
      </c>
      <c r="D38128" s="7">
        <v>2.06</v>
      </c>
      <c r="E38128" t="s">
        <v>103</v>
      </c>
    </row>
    <row r="38129" spans="1:5" x14ac:dyDescent="0.25">
      <c r="A38129" t="str">
        <f>HYPERLINK("https://www.773grp.com/globalSearch/NCN8024RDWR2G/page-1", "NCN8024RDWR2G")</f>
        <v>NCN8024RDWR2G</v>
      </c>
      <c r="B38129" s="3" t="str">
        <f>HYPERLINK("https://www.773grp.com/manufacturer/onsemi?pageNo=185", "ON Semiconductor")</f>
        <v>ON Semiconductor</v>
      </c>
      <c r="C38129" s="6">
        <v>13000</v>
      </c>
      <c r="D38129" s="7">
        <v>2.06</v>
      </c>
    </row>
    <row r="38130" spans="1:5" x14ac:dyDescent="0.25">
      <c r="A38130" t="str">
        <f>HYPERLINK("https://www.773grp.com/globalSearch/NCP1012APL130R/page-1", "NCP1012APL130R")</f>
        <v>NCP1012APL130R</v>
      </c>
      <c r="B38130" s="3" t="str">
        <f>HYPERLINK("https://www.773grp.com/manufacturer/onsemi?pageNo=186", "ON Semiconductor")</f>
        <v>ON Semiconductor</v>
      </c>
      <c r="C38130" s="6">
        <v>358</v>
      </c>
      <c r="D38130" s="7">
        <v>2.06</v>
      </c>
    </row>
    <row r="38131" spans="1:5" x14ac:dyDescent="0.25">
      <c r="A38131" t="str">
        <f>HYPERLINK("https://www.773grp.com/globalSearch/NCP1212P/page-1", "NCP1212P")</f>
        <v>NCP1212P</v>
      </c>
      <c r="B38131" s="3" t="str">
        <f>HYPERLINK("https://www.773grp.com/manufacturer/onsemi?pageNo=187", "ON Semiconductor")</f>
        <v>ON Semiconductor</v>
      </c>
      <c r="C38131" s="6">
        <v>3010</v>
      </c>
      <c r="D38131" s="7">
        <v>2.06</v>
      </c>
      <c r="E38131" t="s">
        <v>7</v>
      </c>
    </row>
    <row r="38132" spans="1:5" x14ac:dyDescent="0.25">
      <c r="A38132" t="str">
        <f>HYPERLINK("https://www.773grp.com/globalSearch/NCP1230D100R2/page-1", "NCP1230D100R2")</f>
        <v>NCP1230D100R2</v>
      </c>
      <c r="B38132" s="3" t="str">
        <f>HYPERLINK("https://www.773grp.com/manufacturer/onsemi?pageNo=188", "ON Semiconductor")</f>
        <v>ON Semiconductor</v>
      </c>
      <c r="C38132" s="6">
        <v>2500</v>
      </c>
      <c r="D38132" s="7">
        <v>2.06</v>
      </c>
      <c r="E38132" t="s">
        <v>7</v>
      </c>
    </row>
    <row r="38133" spans="1:5" x14ac:dyDescent="0.25">
      <c r="A38133" t="str">
        <f>HYPERLINK("https://www.773grp.com/globalSearch/NCV33269DTRK-12G/page-1", "NCV33269DTRK-12G")</f>
        <v>NCV33269DTRK-12G</v>
      </c>
      <c r="B38133" s="3" t="str">
        <f>HYPERLINK("https://www.773grp.com/manufacturer/onsemi?pageNo=189", "ON Semiconductor")</f>
        <v>ON Semiconductor</v>
      </c>
      <c r="C38133" s="6">
        <v>9750</v>
      </c>
      <c r="D38133" s="7">
        <v>2.06</v>
      </c>
      <c r="E38133" t="s">
        <v>19</v>
      </c>
    </row>
    <row r="38134" spans="1:5" x14ac:dyDescent="0.25">
      <c r="A38134" t="str">
        <f>HYPERLINK("https://www.773grp.com/globalSearch/NCV33269DTRK3.3G/page-1", "NCV33269DTRK3.3G")</f>
        <v>NCV33269DTRK3.3G</v>
      </c>
      <c r="B38134" s="3" t="str">
        <f>HYPERLINK("https://www.773grp.com/manufacturer/onsemi?pageNo=190", "ON Semiconductor")</f>
        <v>ON Semiconductor</v>
      </c>
      <c r="C38134" s="6">
        <v>20145</v>
      </c>
      <c r="D38134" s="7">
        <v>2.06</v>
      </c>
      <c r="E38134" t="s">
        <v>19</v>
      </c>
    </row>
    <row r="38135" spans="1:5" x14ac:dyDescent="0.25">
      <c r="A38135" t="str">
        <f>HYPERLINK("https://www.773grp.com/globalSearch/NCV33269DTRKG/page-1", "NCV33269DTRKG")</f>
        <v>NCV33269DTRKG</v>
      </c>
      <c r="B38135" s="3" t="str">
        <f>HYPERLINK("https://www.773grp.com/manufacturer/onsemi?pageNo=191", "ON Semiconductor")</f>
        <v>ON Semiconductor</v>
      </c>
      <c r="C38135" s="6">
        <v>3870</v>
      </c>
      <c r="D38135" s="7">
        <v>2.06</v>
      </c>
    </row>
    <row r="38136" spans="1:5" x14ac:dyDescent="0.25">
      <c r="A38136" t="str">
        <f>HYPERLINK("https://www.773grp.com/globalSearch/NCV7808BD2TR4/page-1", "NCV7808BD2TR4")</f>
        <v>NCV7808BD2TR4</v>
      </c>
      <c r="B38136" s="3" t="str">
        <f>HYPERLINK("https://www.773grp.com/manufacturer/onsemi?pageNo=192", "ON Semiconductor")</f>
        <v>ON Semiconductor</v>
      </c>
      <c r="C38136" s="6">
        <v>24800</v>
      </c>
      <c r="D38136" s="7">
        <v>2.06</v>
      </c>
    </row>
    <row r="38137" spans="1:5" x14ac:dyDescent="0.25">
      <c r="A38137" t="str">
        <f>HYPERLINK("https://www.773grp.com/globalSearch/NCV7812BD2TR4G/page-1", "NCV7812BD2TR4G")</f>
        <v>NCV7812BD2TR4G</v>
      </c>
      <c r="B38137" s="3" t="str">
        <f>HYPERLINK("https://www.773grp.com/manufacturer/onsemi?pageNo=193", "ON Semiconductor")</f>
        <v>ON Semiconductor</v>
      </c>
      <c r="C38137" s="6">
        <v>15200</v>
      </c>
      <c r="D38137" s="7">
        <v>2.06</v>
      </c>
      <c r="E38137" t="s">
        <v>28</v>
      </c>
    </row>
    <row r="38138" spans="1:5" x14ac:dyDescent="0.25">
      <c r="A38138" t="str">
        <f>HYPERLINK("https://www.773grp.com/globalSearch/NE5532AD8G/page-1", "NE5532AD8G")</f>
        <v>NE5532AD8G</v>
      </c>
      <c r="B38138" s="3" t="str">
        <f>HYPERLINK("https://www.773grp.com/manufacturer/onsemi?pageNo=194", "ON Semiconductor")</f>
        <v>ON Semiconductor</v>
      </c>
      <c r="C38138" s="6">
        <v>285</v>
      </c>
      <c r="D38138" s="7">
        <v>2.06</v>
      </c>
      <c r="E38138" t="s">
        <v>13</v>
      </c>
    </row>
    <row r="38139" spans="1:5" x14ac:dyDescent="0.25">
      <c r="A38139" t="str">
        <f>HYPERLINK("https://www.773grp.com/globalSearch/NE5532AD8R2G/page-1", "NE5532AD8R2G")</f>
        <v>NE5532AD8R2G</v>
      </c>
      <c r="B38139" s="3" t="str">
        <f>HYPERLINK("https://www.773grp.com/manufacturer/onsemi?pageNo=195", "ON Semiconductor")</f>
        <v>ON Semiconductor</v>
      </c>
      <c r="C38139" s="6">
        <v>4442</v>
      </c>
      <c r="D38139" s="7">
        <v>2.06</v>
      </c>
      <c r="E38139" t="s">
        <v>13</v>
      </c>
    </row>
    <row r="38140" spans="1:5" x14ac:dyDescent="0.25">
      <c r="A38140" t="str">
        <f>HYPERLINK("https://www.773grp.com/globalSearch/NID5003NT4G/page-1", "NID5003NT4G")</f>
        <v>NID5003NT4G</v>
      </c>
      <c r="B38140" s="3" t="str">
        <f>HYPERLINK("https://www.773grp.com/manufacturer/onsemi?pageNo=196", "ON Semiconductor")</f>
        <v>ON Semiconductor</v>
      </c>
      <c r="C38140" s="6">
        <v>12500</v>
      </c>
      <c r="D38140" s="7">
        <v>2.06</v>
      </c>
      <c r="E38140" t="s">
        <v>105</v>
      </c>
    </row>
    <row r="38141" spans="1:5" x14ac:dyDescent="0.25">
      <c r="A38141" t="str">
        <f>HYPERLINK("https://www.773grp.com/globalSearch/NLV74HC4851ADR2G/page-1", "NLV74HC4851ADR2G")</f>
        <v>NLV74HC4851ADR2G</v>
      </c>
      <c r="B38141" s="3" t="str">
        <f>HYPERLINK("https://www.773grp.com/manufacturer/onsemi?pageNo=197", "ON Semiconductor")</f>
        <v>ON Semiconductor</v>
      </c>
      <c r="C38141" s="6">
        <v>1745</v>
      </c>
      <c r="D38141" s="7">
        <v>2.06</v>
      </c>
    </row>
    <row r="38142" spans="1:5" x14ac:dyDescent="0.25">
      <c r="A38142" t="str">
        <f>HYPERLINK("https://www.773grp.com/globalSearch/P5P2304AF-1H08SR/page-1", "P5P2304AF-1H08SR")</f>
        <v>P5P2304AF-1H08SR</v>
      </c>
      <c r="B38142" s="3" t="str">
        <f>HYPERLINK("https://www.773grp.com/manufacturer/onsemi?pageNo=198", "ON Semiconductor")</f>
        <v>ON Semiconductor</v>
      </c>
      <c r="C38142" s="6">
        <v>5000</v>
      </c>
      <c r="D38142" s="7">
        <v>2.06</v>
      </c>
    </row>
    <row r="38143" spans="1:5" x14ac:dyDescent="0.25">
      <c r="A38143" t="str">
        <f>HYPERLINK("https://www.773grp.com/globalSearch/P5P2308AF-1H16SR/page-1", "P5P2308AF-1H16SR")</f>
        <v>P5P2308AF-1H16SR</v>
      </c>
      <c r="B38143" s="3" t="str">
        <f>HYPERLINK("https://www.773grp.com/manufacturer/onsemi?pageNo=199", "ON Semiconductor")</f>
        <v>ON Semiconductor</v>
      </c>
      <c r="C38143" s="6">
        <v>5000</v>
      </c>
      <c r="D38143" s="7">
        <v>2.06</v>
      </c>
    </row>
    <row r="38144" spans="1:5" x14ac:dyDescent="0.25">
      <c r="A38144" t="str">
        <f>HYPERLINK("https://www.773grp.com/globalSearch/P5P2308AF-216SR/page-1", "P5P2308AF-216SR")</f>
        <v>P5P2308AF-216SR</v>
      </c>
      <c r="B38144" s="3" t="str">
        <f>HYPERLINK("https://www.773grp.com/manufacturer/onsemi?pageNo=200", "ON Semiconductor")</f>
        <v>ON Semiconductor</v>
      </c>
      <c r="C38144" s="6">
        <v>5000</v>
      </c>
      <c r="D38144" s="7">
        <v>2.06</v>
      </c>
    </row>
    <row r="38145" spans="1:5" x14ac:dyDescent="0.25">
      <c r="A38145" t="str">
        <f>HYPERLINK("https://www.773grp.com/globalSearch/P5P2309AF-116SR/page-1", "P5P2309AF-116SR")</f>
        <v>P5P2309AF-116SR</v>
      </c>
      <c r="B38145" s="3" t="str">
        <f>HYPERLINK("https://www.773grp.com/manufacturer/onsemi?pageNo=201", "ON Semiconductor")</f>
        <v>ON Semiconductor</v>
      </c>
      <c r="C38145" s="6">
        <v>2500</v>
      </c>
      <c r="D38145" s="7">
        <v>2.06</v>
      </c>
    </row>
    <row r="38146" spans="1:5" x14ac:dyDescent="0.25">
      <c r="A38146" t="str">
        <f>HYPERLINK("https://www.773grp.com/globalSearch/SN74LS682N/page-1", "SN74LS682N")</f>
        <v>SN74LS682N</v>
      </c>
      <c r="B38146" s="3" t="str">
        <f>HYPERLINK("https://www.773grp.com/manufacturer/onsemi?pageNo=202", "ON Semiconductor")</f>
        <v>ON Semiconductor</v>
      </c>
      <c r="C38146" s="6">
        <v>896</v>
      </c>
      <c r="D38146" s="7">
        <v>2.06</v>
      </c>
      <c r="E38146" t="s">
        <v>43</v>
      </c>
    </row>
    <row r="38147" spans="1:5" x14ac:dyDescent="0.25">
      <c r="A38147" t="str">
        <f>HYPERLINK("https://www.773grp.com/globalSearch/TCA0372BDWR2G/page-1", "TCA0372BDWR2G")</f>
        <v>TCA0372BDWR2G</v>
      </c>
      <c r="B38147" s="3" t="str">
        <f>HYPERLINK("https://www.773grp.com/manufacturer/onsemi?pageNo=203", "ON Semiconductor")</f>
        <v>ON Semiconductor</v>
      </c>
      <c r="C38147" s="6">
        <v>2076</v>
      </c>
      <c r="D38147" s="7">
        <v>2.06</v>
      </c>
      <c r="E38147" t="s">
        <v>13</v>
      </c>
    </row>
    <row r="38148" spans="1:5" x14ac:dyDescent="0.25">
      <c r="A38148" t="str">
        <f>HYPERLINK("https://www.773grp.com/globalSearch/TCA0372DM2ELG/page-1", "TCA0372DM2ELG")</f>
        <v>TCA0372DM2ELG</v>
      </c>
      <c r="B38148" s="3" t="str">
        <f>HYPERLINK("https://www.773grp.com/manufacturer/onsemi?pageNo=204", "ON Semiconductor")</f>
        <v>ON Semiconductor</v>
      </c>
      <c r="C38148" s="6">
        <v>16000</v>
      </c>
      <c r="D38148" s="7">
        <v>2.06</v>
      </c>
    </row>
    <row r="38149" spans="1:5" x14ac:dyDescent="0.25">
      <c r="A38149" t="str">
        <f>HYPERLINK("https://www.773grp.com/globalSearch/TL494BDG/page-1", "TL494BDG")</f>
        <v>TL494BDG</v>
      </c>
      <c r="B38149" s="3" t="str">
        <f>HYPERLINK("https://www.773grp.com/manufacturer/onsemi?pageNo=205", "ON Semiconductor")</f>
        <v>ON Semiconductor</v>
      </c>
      <c r="C38149" s="6">
        <v>2992</v>
      </c>
      <c r="D38149" s="7">
        <v>2.06</v>
      </c>
      <c r="E38149" t="s">
        <v>7</v>
      </c>
    </row>
    <row r="38150" spans="1:5" x14ac:dyDescent="0.25">
      <c r="A38150" t="str">
        <f>HYPERLINK("https://www.773grp.com/globalSearch/TL494BDR2G/page-1", "TL494BDR2G")</f>
        <v>TL494BDR2G</v>
      </c>
      <c r="B38150" s="3" t="str">
        <f>HYPERLINK("https://www.773grp.com/manufacturer/onsemi?pageNo=206", "ON Semiconductor")</f>
        <v>ON Semiconductor</v>
      </c>
      <c r="C38150" s="6">
        <v>12500</v>
      </c>
      <c r="D38150" s="7">
        <v>2.06</v>
      </c>
      <c r="E38150" t="s">
        <v>7</v>
      </c>
    </row>
    <row r="38151" spans="1:5" x14ac:dyDescent="0.25">
      <c r="A38151" t="str">
        <f>HYPERLINK("https://www.773grp.com/globalSearch/1N4699D/page-1", "1N4699D")</f>
        <v>1N4699D</v>
      </c>
      <c r="B38151" s="3" t="str">
        <f>HYPERLINK("https://www.773grp.com/manufacturer/onsemi?pageNo=207", "ON Semiconductor")</f>
        <v>ON Semiconductor</v>
      </c>
      <c r="C38151" s="6">
        <v>8669</v>
      </c>
      <c r="D38151" s="7">
        <v>2.11</v>
      </c>
      <c r="E38151" t="s">
        <v>98</v>
      </c>
    </row>
    <row r="38152" spans="1:5" x14ac:dyDescent="0.25">
      <c r="A38152" t="str">
        <f>HYPERLINK("https://www.773grp.com/globalSearch/78170P/page-1", "78170P")</f>
        <v>78170P</v>
      </c>
      <c r="B38152" s="3" t="str">
        <f>HYPERLINK("https://www.773grp.com/manufacturer/onsemi?pageNo=208", "ON Semiconductor")</f>
        <v>ON Semiconductor</v>
      </c>
      <c r="C38152" s="6">
        <v>33950</v>
      </c>
      <c r="D38152" s="7">
        <v>2.11</v>
      </c>
    </row>
    <row r="38153" spans="1:5" x14ac:dyDescent="0.25">
      <c r="A38153" t="str">
        <f>HYPERLINK("https://www.773grp.com/globalSearch/CAT1232LPV-G/page-1", "CAT1232LPV-G")</f>
        <v>CAT1232LPV-G</v>
      </c>
      <c r="B38153" s="3" t="str">
        <f>HYPERLINK("https://www.773grp.com/manufacturer/onsemi?pageNo=209", "ON Semiconductor")</f>
        <v>ON Semiconductor</v>
      </c>
      <c r="C38153" s="6">
        <v>130</v>
      </c>
      <c r="D38153" s="7">
        <v>2.11</v>
      </c>
      <c r="E38153" t="s">
        <v>30</v>
      </c>
    </row>
    <row r="38154" spans="1:5" x14ac:dyDescent="0.25">
      <c r="A38154" t="str">
        <f>HYPERLINK("https://www.773grp.com/globalSearch/CAT1232LPV-GT3/page-1", "CAT1232LPV-GT3")</f>
        <v>CAT1232LPV-GT3</v>
      </c>
      <c r="B38154" s="3" t="str">
        <f>HYPERLINK("https://www.773grp.com/manufacturer/onsemi?pageNo=210", "ON Semiconductor")</f>
        <v>ON Semiconductor</v>
      </c>
      <c r="C38154" s="6">
        <v>3000</v>
      </c>
      <c r="D38154" s="7">
        <v>2.11</v>
      </c>
      <c r="E38154" t="s">
        <v>30</v>
      </c>
    </row>
    <row r="38155" spans="1:5" x14ac:dyDescent="0.25">
      <c r="A38155" t="str">
        <f>HYPERLINK("https://www.773grp.com/globalSearch/CAT140021TWI-G/page-1", "CAT140021TWI-G")</f>
        <v>CAT140021TWI-G</v>
      </c>
      <c r="B38155" s="3" t="str">
        <f>HYPERLINK("https://www.773grp.com/manufacturer/onsemi?pageNo=211", "ON Semiconductor")</f>
        <v>ON Semiconductor</v>
      </c>
      <c r="C38155" s="6">
        <v>1600</v>
      </c>
      <c r="D38155" s="7">
        <v>2.11</v>
      </c>
    </row>
    <row r="38156" spans="1:5" x14ac:dyDescent="0.25">
      <c r="A38156" t="str">
        <f>HYPERLINK("https://www.773grp.com/globalSearch/CAT140021TWI-GT3/page-1", "CAT140021TWI-GT3")</f>
        <v>CAT140021TWI-GT3</v>
      </c>
      <c r="B38156" s="3" t="str">
        <f>HYPERLINK("https://www.773grp.com/manufacturer/onsemi?pageNo=212", "ON Semiconductor")</f>
        <v>ON Semiconductor</v>
      </c>
      <c r="C38156" s="6">
        <v>15000</v>
      </c>
      <c r="D38156" s="7">
        <v>2.11</v>
      </c>
      <c r="E38156" t="s">
        <v>64</v>
      </c>
    </row>
    <row r="38157" spans="1:5" x14ac:dyDescent="0.25">
      <c r="A38157" t="str">
        <f>HYPERLINK("https://www.773grp.com/globalSearch/CAT140029TWI-G/page-1", "CAT140029TWI-G")</f>
        <v>CAT140029TWI-G</v>
      </c>
      <c r="B38157" s="3" t="str">
        <f>HYPERLINK("https://www.773grp.com/manufacturer/onsemi?pageNo=213", "ON Semiconductor")</f>
        <v>ON Semiconductor</v>
      </c>
      <c r="C38157" s="6">
        <v>300</v>
      </c>
      <c r="D38157" s="7">
        <v>2.11</v>
      </c>
    </row>
    <row r="38158" spans="1:5" x14ac:dyDescent="0.25">
      <c r="A38158" t="str">
        <f>HYPERLINK("https://www.773grp.com/globalSearch/CAT140029TWI-GT3/page-1", "CAT140029TWI-GT3")</f>
        <v>CAT140029TWI-GT3</v>
      </c>
      <c r="B38158" s="3" t="str">
        <f>HYPERLINK("https://www.773grp.com/manufacturer/onsemi?pageNo=214", "ON Semiconductor")</f>
        <v>ON Semiconductor</v>
      </c>
      <c r="C38158" s="6">
        <v>30000</v>
      </c>
      <c r="D38158" s="7">
        <v>2.11</v>
      </c>
      <c r="E38158" t="s">
        <v>64</v>
      </c>
    </row>
    <row r="38159" spans="1:5" x14ac:dyDescent="0.25">
      <c r="A38159" t="str">
        <f>HYPERLINK("https://www.773grp.com/globalSearch/CAT1832V-G/page-1", "CAT1832V-G")</f>
        <v>CAT1832V-G</v>
      </c>
      <c r="B38159" s="3" t="str">
        <f>HYPERLINK("https://www.773grp.com/manufacturer/onsemi?pageNo=215", "ON Semiconductor")</f>
        <v>ON Semiconductor</v>
      </c>
      <c r="C38159" s="6">
        <v>800</v>
      </c>
      <c r="D38159" s="7">
        <v>2.11</v>
      </c>
    </row>
    <row r="38160" spans="1:5" x14ac:dyDescent="0.25">
      <c r="A38160" t="str">
        <f>HYPERLINK("https://www.773grp.com/globalSearch/CAT24C164LI-G/page-1", "CAT24C164LI-G")</f>
        <v>CAT24C164LI-G</v>
      </c>
      <c r="B38160" s="3" t="str">
        <f>HYPERLINK("https://www.773grp.com/manufacturer/onsemi?pageNo=216", "ON Semiconductor")</f>
        <v>ON Semiconductor</v>
      </c>
      <c r="C38160" s="6">
        <v>500</v>
      </c>
      <c r="D38160" s="7">
        <v>2.11</v>
      </c>
    </row>
    <row r="38161" spans="1:5" x14ac:dyDescent="0.25">
      <c r="A38161" t="str">
        <f>HYPERLINK("https://www.773grp.com/globalSearch/CAT25128VI-G/page-1", "CAT25128VI-G")</f>
        <v>CAT25128VI-G</v>
      </c>
      <c r="B38161" s="3" t="str">
        <f>HYPERLINK("https://www.773grp.com/manufacturer/onsemi?pageNo=217", "ON Semiconductor")</f>
        <v>ON Semiconductor</v>
      </c>
      <c r="C38161" s="6">
        <v>7900</v>
      </c>
      <c r="D38161" s="7">
        <v>2.11</v>
      </c>
    </row>
    <row r="38162" spans="1:5" x14ac:dyDescent="0.25">
      <c r="A38162" t="str">
        <f>HYPERLINK("https://www.773grp.com/globalSearch/CAT25128YI-G/page-1", "CAT25128YI-G")</f>
        <v>CAT25128YI-G</v>
      </c>
      <c r="B38162" s="3" t="str">
        <f>HYPERLINK("https://www.773grp.com/manufacturer/onsemi?pageNo=218", "ON Semiconductor")</f>
        <v>ON Semiconductor</v>
      </c>
      <c r="C38162" s="6">
        <v>600</v>
      </c>
      <c r="D38162" s="7">
        <v>2.11</v>
      </c>
    </row>
    <row r="38163" spans="1:5" x14ac:dyDescent="0.25">
      <c r="A38163" t="str">
        <f>HYPERLINK("https://www.773grp.com/globalSearch/CAT3644HV3-GT2/page-1", "CAT3644HV3-GT2")</f>
        <v>CAT3644HV3-GT2</v>
      </c>
      <c r="B38163" s="3" t="str">
        <f>HYPERLINK("https://www.773grp.com/manufacturer/onsemi?pageNo=219", "ON Semiconductor")</f>
        <v>ON Semiconductor</v>
      </c>
      <c r="C38163" s="6">
        <v>192000</v>
      </c>
      <c r="D38163" s="7">
        <v>2.11</v>
      </c>
      <c r="E38163" t="s">
        <v>10</v>
      </c>
    </row>
    <row r="38164" spans="1:5" x14ac:dyDescent="0.25">
      <c r="A38164" t="str">
        <f>HYPERLINK("https://www.773grp.com/globalSearch/CAT3644HV3-T2/page-1", "CAT3644HV3-T2")</f>
        <v>CAT3644HV3-T2</v>
      </c>
      <c r="B38164" s="3" t="str">
        <f>HYPERLINK("https://www.773grp.com/manufacturer/onsemi?pageNo=220", "ON Semiconductor")</f>
        <v>ON Semiconductor</v>
      </c>
      <c r="C38164" s="6">
        <v>120010</v>
      </c>
      <c r="D38164" s="7">
        <v>2.11</v>
      </c>
      <c r="E38164" t="s">
        <v>10</v>
      </c>
    </row>
    <row r="38165" spans="1:5" x14ac:dyDescent="0.25">
      <c r="A38165" t="str">
        <f>HYPERLINK("https://www.773grp.com/globalSearch/CAT37TDI-GT3/page-1", "CAT37TDI-GT3")</f>
        <v>CAT37TDI-GT3</v>
      </c>
      <c r="B38165" s="3" t="str">
        <f>HYPERLINK("https://www.773grp.com/manufacturer/onsemi?pageNo=221", "ON Semiconductor")</f>
        <v>ON Semiconductor</v>
      </c>
      <c r="C38165" s="6">
        <v>36000</v>
      </c>
      <c r="D38165" s="7">
        <v>2.11</v>
      </c>
      <c r="E38165" t="s">
        <v>10</v>
      </c>
    </row>
    <row r="38166" spans="1:5" x14ac:dyDescent="0.25">
      <c r="A38166" t="str">
        <f>HYPERLINK("https://www.773grp.com/globalSearch/CAT4237TD-GT3/page-1", "CAT4237TD-GT3")</f>
        <v>CAT4237TD-GT3</v>
      </c>
      <c r="B38166" s="3" t="str">
        <f>HYPERLINK("https://www.773grp.com/manufacturer/onsemi?pageNo=222", "ON Semiconductor")</f>
        <v>ON Semiconductor</v>
      </c>
      <c r="C38166" s="6">
        <v>18000</v>
      </c>
      <c r="D38166" s="7">
        <v>2.11</v>
      </c>
    </row>
    <row r="38167" spans="1:5" x14ac:dyDescent="0.25">
      <c r="A38167" t="str">
        <f>HYPERLINK("https://www.773grp.com/globalSearch/CAT4237TD-T3/page-1", "CAT4237TD-T3")</f>
        <v>CAT4237TD-T3</v>
      </c>
      <c r="B38167" s="3" t="str">
        <f>HYPERLINK("https://www.773grp.com/manufacturer/onsemi?pageNo=223", "ON Semiconductor")</f>
        <v>ON Semiconductor</v>
      </c>
      <c r="C38167" s="6">
        <v>3008</v>
      </c>
      <c r="D38167" s="7">
        <v>2.11</v>
      </c>
      <c r="E38167" t="s">
        <v>10</v>
      </c>
    </row>
    <row r="38168" spans="1:5" x14ac:dyDescent="0.25">
      <c r="A38168" t="str">
        <f>HYPERLINK("https://www.773grp.com/globalSearch/CAT823MSDI-GT3/page-1", "CAT823MSDI-GT3")</f>
        <v>CAT823MSDI-GT3</v>
      </c>
      <c r="B38168" s="3" t="str">
        <f>HYPERLINK("https://www.773grp.com/manufacturer/onsemi?pageNo=224", "ON Semiconductor")</f>
        <v>ON Semiconductor</v>
      </c>
      <c r="C38168" s="6">
        <v>21000</v>
      </c>
      <c r="D38168" s="7">
        <v>2.11</v>
      </c>
      <c r="E38168" t="s">
        <v>30</v>
      </c>
    </row>
    <row r="38169" spans="1:5" x14ac:dyDescent="0.25">
      <c r="A38169" t="str">
        <f>HYPERLINK("https://www.773grp.com/globalSearch/CS8182YDFR8/page-1", "CS8182YDFR8")</f>
        <v>CS8182YDFR8</v>
      </c>
      <c r="B38169" s="3" t="str">
        <f>HYPERLINK("https://www.773grp.com/manufacturer/onsemi?pageNo=225", "ON Semiconductor")</f>
        <v>ON Semiconductor</v>
      </c>
      <c r="C38169" s="6">
        <v>2500</v>
      </c>
      <c r="D38169" s="7">
        <v>2.11</v>
      </c>
      <c r="E38169" t="s">
        <v>25</v>
      </c>
    </row>
    <row r="38170" spans="1:5" x14ac:dyDescent="0.25">
      <c r="A38170" t="str">
        <f>HYPERLINK("https://www.773grp.com/globalSearch/ESD1014MUTAG/page-1", "ESD1014MUTAG")</f>
        <v>ESD1014MUTAG</v>
      </c>
      <c r="B38170" s="3" t="str">
        <f>HYPERLINK("https://www.773grp.com/manufacturer/onsemi?pageNo=226", "ON Semiconductor")</f>
        <v>ON Semiconductor</v>
      </c>
      <c r="C38170" s="6">
        <v>21000</v>
      </c>
      <c r="D38170" s="7">
        <v>2.11</v>
      </c>
    </row>
    <row r="38171" spans="1:5" x14ac:dyDescent="0.25">
      <c r="A38171" t="str">
        <f>HYPERLINK("https://www.773grp.com/globalSearch/LB11967V-TLM-H/page-1", "LB11967V-TLM-H")</f>
        <v>LB11967V-TLM-H</v>
      </c>
      <c r="B38171" s="3" t="str">
        <f>HYPERLINK("https://www.773grp.com/manufacturer/onsemi?pageNo=227", "ON Semiconductor")</f>
        <v>ON Semiconductor</v>
      </c>
      <c r="C38171" s="6">
        <v>8400</v>
      </c>
      <c r="D38171" s="7">
        <v>2.11</v>
      </c>
    </row>
    <row r="38172" spans="1:5" x14ac:dyDescent="0.25">
      <c r="A38172" t="str">
        <f>HYPERLINK("https://www.773grp.com/globalSearch/LB1848MC-AH/page-1", "LB1848MC-AH")</f>
        <v>LB1848MC-AH</v>
      </c>
      <c r="B38172" s="3" t="str">
        <f>HYPERLINK("https://www.773grp.com/manufacturer/onsemi?pageNo=228", "ON Semiconductor")</f>
        <v>ON Semiconductor</v>
      </c>
      <c r="C38172" s="6">
        <v>100</v>
      </c>
      <c r="D38172" s="7">
        <v>2.11</v>
      </c>
    </row>
    <row r="38173" spans="1:5" x14ac:dyDescent="0.25">
      <c r="A38173" t="str">
        <f>HYPERLINK("https://www.773grp.com/globalSearch/LB1848MC-BH/page-1", "LB1848MC-BH")</f>
        <v>LB1848MC-BH</v>
      </c>
      <c r="B38173" s="3" t="str">
        <f>HYPERLINK("https://www.773grp.com/manufacturer/onsemi?pageNo=229", "ON Semiconductor")</f>
        <v>ON Semiconductor</v>
      </c>
      <c r="C38173" s="6">
        <v>2500</v>
      </c>
      <c r="D38173" s="7">
        <v>2.11</v>
      </c>
    </row>
    <row r="38174" spans="1:5" x14ac:dyDescent="0.25">
      <c r="A38174" t="str">
        <f>HYPERLINK("https://www.773grp.com/globalSearch/LB1935FA-BH/page-1", "LB1935FA-BH")</f>
        <v>LB1935FA-BH</v>
      </c>
      <c r="B38174" s="3" t="str">
        <f>HYPERLINK("https://www.773grp.com/manufacturer/onsemi?pageNo=230", "ON Semiconductor")</f>
        <v>ON Semiconductor</v>
      </c>
      <c r="C38174" s="6">
        <v>12000</v>
      </c>
      <c r="D38174" s="7">
        <v>2.11</v>
      </c>
    </row>
    <row r="38175" spans="1:5" x14ac:dyDescent="0.25">
      <c r="A38175" t="str">
        <f>HYPERLINK("https://www.773grp.com/globalSearch/LM2931ACTVG/page-1", "LM2931ACTVG")</f>
        <v>LM2931ACTVG</v>
      </c>
      <c r="B38175" s="3" t="str">
        <f>HYPERLINK("https://www.773grp.com/manufacturer/onsemi?pageNo=231", "ON Semiconductor")</f>
        <v>ON Semiconductor</v>
      </c>
      <c r="C38175" s="6">
        <v>3400</v>
      </c>
      <c r="D38175" s="7">
        <v>2.11</v>
      </c>
      <c r="E38175" t="s">
        <v>25</v>
      </c>
    </row>
    <row r="38176" spans="1:5" x14ac:dyDescent="0.25">
      <c r="A38176" t="str">
        <f>HYPERLINK("https://www.773grp.com/globalSearch/LM392DR2G/page-1", "LM392DR2G")</f>
        <v>LM392DR2G</v>
      </c>
      <c r="B38176" s="3" t="str">
        <f>HYPERLINK("https://www.773grp.com/manufacturer/onsemi?pageNo=232", "ON Semiconductor")</f>
        <v>ON Semiconductor</v>
      </c>
      <c r="C38176" s="6">
        <v>99401</v>
      </c>
      <c r="D38176" s="7">
        <v>2.11</v>
      </c>
      <c r="E38176" t="s">
        <v>13</v>
      </c>
    </row>
    <row r="38177" spans="1:5" x14ac:dyDescent="0.25">
      <c r="A38177" t="str">
        <f>HYPERLINK("https://www.773grp.com/globalSearch/LMV824DR2G/page-1", "LMV824DR2G")</f>
        <v>LMV824DR2G</v>
      </c>
      <c r="B38177" s="3" t="str">
        <f>HYPERLINK("https://www.773grp.com/manufacturer/onsemi?pageNo=233", "ON Semiconductor")</f>
        <v>ON Semiconductor</v>
      </c>
      <c r="C38177" s="6">
        <v>1827</v>
      </c>
      <c r="D38177" s="7">
        <v>2.11</v>
      </c>
    </row>
    <row r="38178" spans="1:5" x14ac:dyDescent="0.25">
      <c r="A38178" t="str">
        <f>HYPERLINK("https://www.773grp.com/globalSearch/LMV824DTBR2G/page-1", "LMV824DTBR2G")</f>
        <v>LMV824DTBR2G</v>
      </c>
      <c r="B38178" s="3" t="str">
        <f>HYPERLINK("https://www.773grp.com/manufacturer/onsemi?pageNo=234", "ON Semiconductor")</f>
        <v>ON Semiconductor</v>
      </c>
      <c r="C38178" s="6">
        <v>2500</v>
      </c>
      <c r="D38178" s="7">
        <v>2.11</v>
      </c>
      <c r="E38178" t="s">
        <v>13</v>
      </c>
    </row>
    <row r="38179" spans="1:5" x14ac:dyDescent="0.25">
      <c r="A38179" t="str">
        <f>HYPERLINK("https://www.773grp.com/globalSearch/MBR745/page-1", "MBR745")</f>
        <v>MBR745</v>
      </c>
      <c r="B38179" s="3" t="str">
        <f>HYPERLINK("https://www.773grp.com/manufacturer/onsemi?pageNo=235", "ON Semiconductor")</f>
        <v>ON Semiconductor</v>
      </c>
      <c r="C38179" s="6">
        <v>7000</v>
      </c>
      <c r="D38179" s="7">
        <v>2.11</v>
      </c>
      <c r="E38179" t="s">
        <v>103</v>
      </c>
    </row>
    <row r="38180" spans="1:5" x14ac:dyDescent="0.25">
      <c r="A38180" t="str">
        <f>HYPERLINK("https://www.773grp.com/globalSearch/MBRF20L45CTG/page-1", "MBRF20L45CTG")</f>
        <v>MBRF20L45CTG</v>
      </c>
      <c r="B38180" s="3" t="str">
        <f>HYPERLINK("https://www.773grp.com/manufacturer/onsemi?pageNo=236", "ON Semiconductor")</f>
        <v>ON Semiconductor</v>
      </c>
      <c r="C38180" s="6">
        <v>496489</v>
      </c>
      <c r="D38180" s="7">
        <v>2.11</v>
      </c>
      <c r="E38180" t="s">
        <v>103</v>
      </c>
    </row>
    <row r="38181" spans="1:5" x14ac:dyDescent="0.25">
      <c r="A38181" t="str">
        <f>HYPERLINK("https://www.773grp.com/globalSearch/MC33074ADTBR2G/page-1", "MC33074ADTBR2G")</f>
        <v>MC33074ADTBR2G</v>
      </c>
      <c r="B38181" s="3" t="str">
        <f>HYPERLINK("https://www.773grp.com/manufacturer/onsemi?pageNo=237", "ON Semiconductor")</f>
        <v>ON Semiconductor</v>
      </c>
      <c r="C38181" s="6">
        <v>73</v>
      </c>
      <c r="D38181" s="7">
        <v>2.11</v>
      </c>
    </row>
    <row r="38182" spans="1:5" x14ac:dyDescent="0.25">
      <c r="A38182" t="str">
        <f>HYPERLINK("https://www.773grp.com/globalSearch/MC33074DR2G/page-1", "MC33074DR2G")</f>
        <v>MC33074DR2G</v>
      </c>
      <c r="B38182" s="3" t="str">
        <f>HYPERLINK("https://www.773grp.com/manufacturer/onsemi?pageNo=238", "ON Semiconductor")</f>
        <v>ON Semiconductor</v>
      </c>
      <c r="C38182" s="6">
        <v>19720</v>
      </c>
      <c r="D38182" s="7">
        <v>2.11</v>
      </c>
      <c r="E38182" t="s">
        <v>13</v>
      </c>
    </row>
    <row r="38183" spans="1:5" x14ac:dyDescent="0.25">
      <c r="A38183" t="str">
        <f>HYPERLINK("https://www.773grp.com/globalSearch/MC33201DG/page-1", "MC33201DG")</f>
        <v>MC33201DG</v>
      </c>
      <c r="B38183" s="3" t="str">
        <f>HYPERLINK("https://www.773grp.com/manufacturer/onsemi?pageNo=239", "ON Semiconductor")</f>
        <v>ON Semiconductor</v>
      </c>
      <c r="C38183" s="6">
        <v>5382</v>
      </c>
      <c r="D38183" s="7">
        <v>2.11</v>
      </c>
      <c r="E38183" t="s">
        <v>13</v>
      </c>
    </row>
    <row r="38184" spans="1:5" x14ac:dyDescent="0.25">
      <c r="A38184" t="str">
        <f>HYPERLINK("https://www.773grp.com/globalSearch/MC33201DR2G/page-1", "MC33201DR2G")</f>
        <v>MC33201DR2G</v>
      </c>
      <c r="B38184" s="3" t="str">
        <f>HYPERLINK("https://www.773grp.com/manufacturer/onsemi?pageNo=240", "ON Semiconductor")</f>
        <v>ON Semiconductor</v>
      </c>
      <c r="C38184" s="6">
        <v>39735</v>
      </c>
      <c r="D38184" s="7">
        <v>2.11</v>
      </c>
      <c r="E38184" t="s">
        <v>13</v>
      </c>
    </row>
    <row r="38185" spans="1:5" x14ac:dyDescent="0.25">
      <c r="A38185" t="str">
        <f>HYPERLINK("https://www.773grp.com/globalSearch/MC33501SNT1G/page-1", "MC33501SNT1G")</f>
        <v>MC33501SNT1G</v>
      </c>
      <c r="B38185" s="3" t="str">
        <f>HYPERLINK("https://www.773grp.com/manufacturer/onsemi?pageNo=241", "ON Semiconductor")</f>
        <v>ON Semiconductor</v>
      </c>
      <c r="C38185" s="6">
        <v>744000</v>
      </c>
      <c r="D38185" s="7">
        <v>2.11</v>
      </c>
    </row>
    <row r="38186" spans="1:5" x14ac:dyDescent="0.25">
      <c r="A38186" t="str">
        <f>HYPERLINK("https://www.773grp.com/globalSearch/MC33501SNT1GH/page-1", "MC33501SNT1GH")</f>
        <v>MC33501SNT1GH</v>
      </c>
      <c r="B38186" s="3" t="str">
        <f>HYPERLINK("https://www.773grp.com/manufacturer/onsemi?pageNo=242", "ON Semiconductor")</f>
        <v>ON Semiconductor</v>
      </c>
      <c r="C38186" s="6">
        <v>9000</v>
      </c>
      <c r="D38186" s="7">
        <v>2.11</v>
      </c>
    </row>
    <row r="38187" spans="1:5" x14ac:dyDescent="0.25">
      <c r="A38187" t="str">
        <f>HYPERLINK("https://www.773grp.com/globalSearch/MC33503SNT1G/page-1", "MC33503SNT1G")</f>
        <v>MC33503SNT1G</v>
      </c>
      <c r="B38187" s="3" t="str">
        <f>HYPERLINK("https://www.773grp.com/manufacturer/onsemi?pageNo=243", "ON Semiconductor")</f>
        <v>ON Semiconductor</v>
      </c>
      <c r="C38187" s="6">
        <v>15125</v>
      </c>
      <c r="D38187" s="7">
        <v>2.11</v>
      </c>
      <c r="E38187" t="s">
        <v>13</v>
      </c>
    </row>
    <row r="38188" spans="1:5" x14ac:dyDescent="0.25">
      <c r="A38188" t="str">
        <f>HYPERLINK("https://www.773grp.com/globalSearch/MC33762DM-2525RG/page-1", "MC33762DM-2525RG")</f>
        <v>MC33762DM-2525RG</v>
      </c>
      <c r="B38188" s="3" t="str">
        <f>HYPERLINK("https://www.773grp.com/manufacturer/onsemi?pageNo=244", "ON Semiconductor")</f>
        <v>ON Semiconductor</v>
      </c>
      <c r="C38188" s="6">
        <v>13546</v>
      </c>
      <c r="D38188" s="7">
        <v>2.11</v>
      </c>
    </row>
    <row r="38189" spans="1:5" x14ac:dyDescent="0.25">
      <c r="A38189" t="str">
        <f>HYPERLINK("https://www.773grp.com/globalSearch/MC33762DM-2828RG/page-1", "MC33762DM-2828RG")</f>
        <v>MC33762DM-2828RG</v>
      </c>
      <c r="B38189" s="3" t="str">
        <f>HYPERLINK("https://www.773grp.com/manufacturer/onsemi?pageNo=245", "ON Semiconductor")</f>
        <v>ON Semiconductor</v>
      </c>
      <c r="C38189" s="6">
        <v>8000</v>
      </c>
      <c r="D38189" s="7">
        <v>2.11</v>
      </c>
    </row>
    <row r="38190" spans="1:5" x14ac:dyDescent="0.25">
      <c r="A38190" t="str">
        <f>HYPERLINK("https://www.773grp.com/globalSearch/MC33762DM-3030RG/page-1", "MC33762DM-3030RG")</f>
        <v>MC33762DM-3030RG</v>
      </c>
      <c r="B38190" s="3" t="str">
        <f>HYPERLINK("https://www.773grp.com/manufacturer/onsemi?pageNo=246", "ON Semiconductor")</f>
        <v>ON Semiconductor</v>
      </c>
      <c r="C38190" s="6">
        <v>12000</v>
      </c>
      <c r="D38190" s="7">
        <v>2.11</v>
      </c>
    </row>
    <row r="38191" spans="1:5" x14ac:dyDescent="0.25">
      <c r="A38191" t="str">
        <f>HYPERLINK("https://www.773grp.com/globalSearch/MC34074ADG/page-1", "MC34074ADG")</f>
        <v>MC34074ADG</v>
      </c>
      <c r="B38191" s="3" t="str">
        <f>HYPERLINK("https://www.773grp.com/manufacturer/onsemi?pageNo=247", "ON Semiconductor")</f>
        <v>ON Semiconductor</v>
      </c>
      <c r="C38191" s="6">
        <v>2770</v>
      </c>
      <c r="D38191" s="7">
        <v>2.11</v>
      </c>
      <c r="E38191" t="s">
        <v>13</v>
      </c>
    </row>
    <row r="38192" spans="1:5" x14ac:dyDescent="0.25">
      <c r="A38192" t="str">
        <f>HYPERLINK("https://www.773grp.com/globalSearch/MC34074ADR2G/page-1", "MC34074ADR2G")</f>
        <v>MC34074ADR2G</v>
      </c>
      <c r="B38192" s="3" t="str">
        <f>HYPERLINK("https://www.773grp.com/manufacturer/onsemi?pageNo=248", "ON Semiconductor")</f>
        <v>ON Semiconductor</v>
      </c>
      <c r="C38192" s="6">
        <v>82500</v>
      </c>
      <c r="D38192" s="7">
        <v>2.11</v>
      </c>
      <c r="E38192" t="s">
        <v>13</v>
      </c>
    </row>
    <row r="38193" spans="1:5" x14ac:dyDescent="0.25">
      <c r="A38193" t="str">
        <f>HYPERLINK("https://www.773grp.com/globalSearch/MC34074APG/page-1", "MC34074APG")</f>
        <v>MC34074APG</v>
      </c>
      <c r="B38193" s="3" t="str">
        <f>HYPERLINK("https://www.773grp.com/manufacturer/onsemi?pageNo=249", "ON Semiconductor")</f>
        <v>ON Semiconductor</v>
      </c>
      <c r="C38193" s="6">
        <v>9050</v>
      </c>
      <c r="D38193" s="7">
        <v>2.11</v>
      </c>
      <c r="E38193" t="s">
        <v>13</v>
      </c>
    </row>
    <row r="38194" spans="1:5" x14ac:dyDescent="0.25">
      <c r="A38194" t="str">
        <f>HYPERLINK("https://www.773grp.com/globalSearch/MC44603P/page-1", "MC44603P")</f>
        <v>MC44603P</v>
      </c>
      <c r="B38194" s="3" t="str">
        <f>HYPERLINK("https://www.773grp.com/manufacturer/onsemi?pageNo=250", "ON Semiconductor")</f>
        <v>ON Semiconductor</v>
      </c>
      <c r="C38194" s="6">
        <v>75</v>
      </c>
      <c r="D38194" s="7">
        <v>2.11</v>
      </c>
      <c r="E38194" t="s">
        <v>7</v>
      </c>
    </row>
    <row r="38195" spans="1:5" x14ac:dyDescent="0.25">
      <c r="A38195" t="str">
        <f>HYPERLINK("https://www.773grp.com/globalSearch/MC44603PG/page-1", "MC44603PG")</f>
        <v>MC44603PG</v>
      </c>
      <c r="B38195" s="3" t="str">
        <f>HYPERLINK("https://www.773grp.com/manufacturer/onsemi?pageNo=251", "ON Semiconductor")</f>
        <v>ON Semiconductor</v>
      </c>
      <c r="C38195" s="6">
        <v>85</v>
      </c>
      <c r="D38195" s="7">
        <v>2.11</v>
      </c>
      <c r="E38195" t="s">
        <v>7</v>
      </c>
    </row>
    <row r="38196" spans="1:5" x14ac:dyDescent="0.25">
      <c r="A38196" t="str">
        <f>HYPERLINK("https://www.773grp.com/globalSearch/MC74F194D/page-1", "MC74F194D")</f>
        <v>MC74F194D</v>
      </c>
      <c r="B38196" s="3" t="str">
        <f>HYPERLINK("https://www.773grp.com/manufacturer/onsemi?pageNo=252", "ON Semiconductor")</f>
        <v>ON Semiconductor</v>
      </c>
      <c r="C38196" s="6">
        <v>4071</v>
      </c>
      <c r="D38196" s="7">
        <v>2.11</v>
      </c>
      <c r="E38196" t="s">
        <v>32</v>
      </c>
    </row>
    <row r="38197" spans="1:5" x14ac:dyDescent="0.25">
      <c r="A38197" t="str">
        <f>HYPERLINK("https://www.773grp.com/globalSearch/MC74F194DR2/page-1", "MC74F194DR2")</f>
        <v>MC74F194DR2</v>
      </c>
      <c r="B38197" s="3" t="str">
        <f>HYPERLINK("https://www.773grp.com/manufacturer/onsemi?pageNo=253", "ON Semiconductor")</f>
        <v>ON Semiconductor</v>
      </c>
      <c r="C38197" s="6">
        <v>12500</v>
      </c>
      <c r="D38197" s="7">
        <v>2.11</v>
      </c>
      <c r="E38197" t="s">
        <v>32</v>
      </c>
    </row>
    <row r="38198" spans="1:5" x14ac:dyDescent="0.25">
      <c r="A38198" t="str">
        <f>HYPERLINK("https://www.773grp.com/globalSearch/MC74F194M/page-1", "MC74F194M")</f>
        <v>MC74F194M</v>
      </c>
      <c r="B38198" s="3" t="str">
        <f>HYPERLINK("https://www.773grp.com/manufacturer/onsemi?pageNo=254", "ON Semiconductor")</f>
        <v>ON Semiconductor</v>
      </c>
      <c r="C38198" s="6">
        <v>2594</v>
      </c>
      <c r="D38198" s="7">
        <v>2.11</v>
      </c>
    </row>
    <row r="38199" spans="1:5" x14ac:dyDescent="0.25">
      <c r="A38199" t="str">
        <f>HYPERLINK("https://www.773grp.com/globalSearch/MC74F377DW/page-1", "MC74F377DW")</f>
        <v>MC74F377DW</v>
      </c>
      <c r="B38199" s="3" t="str">
        <f>HYPERLINK("https://www.773grp.com/manufacturer/onsemi?pageNo=255", "ON Semiconductor")</f>
        <v>ON Semiconductor</v>
      </c>
      <c r="C38199" s="6">
        <v>3893</v>
      </c>
      <c r="D38199" s="7">
        <v>2.11</v>
      </c>
      <c r="E38199" t="s">
        <v>35</v>
      </c>
    </row>
    <row r="38200" spans="1:5" x14ac:dyDescent="0.25">
      <c r="A38200" t="str">
        <f>HYPERLINK("https://www.773grp.com/globalSearch/MC74F377M/page-1", "MC74F377M")</f>
        <v>MC74F377M</v>
      </c>
      <c r="B38200" s="3" t="str">
        <f>HYPERLINK("https://www.773grp.com/manufacturer/onsemi?pageNo=256", "ON Semiconductor")</f>
        <v>ON Semiconductor</v>
      </c>
      <c r="C38200" s="6">
        <v>1512</v>
      </c>
      <c r="D38200" s="7">
        <v>2.11</v>
      </c>
    </row>
    <row r="38201" spans="1:5" x14ac:dyDescent="0.25">
      <c r="A38201" t="str">
        <f>HYPERLINK("https://www.773grp.com/globalSearch/MC74HC154DWR2/page-1", "MC74HC154DWR2")</f>
        <v>MC74HC154DWR2</v>
      </c>
      <c r="B38201" s="3" t="str">
        <f>HYPERLINK("https://www.773grp.com/manufacturer/onsemi?pageNo=257", "ON Semiconductor")</f>
        <v>ON Semiconductor</v>
      </c>
      <c r="C38201" s="6">
        <v>61078</v>
      </c>
      <c r="D38201" s="7">
        <v>2.11</v>
      </c>
      <c r="E38201" t="s">
        <v>36</v>
      </c>
    </row>
    <row r="38202" spans="1:5" x14ac:dyDescent="0.25">
      <c r="A38202" t="str">
        <f>HYPERLINK("https://www.773grp.com/globalSearch/MJE15035G/page-1", "MJE15035G")</f>
        <v>MJE15035G</v>
      </c>
      <c r="B38202" s="3" t="str">
        <f>HYPERLINK("https://www.773grp.com/manufacturer/onsemi?pageNo=258", "ON Semiconductor")</f>
        <v>ON Semiconductor</v>
      </c>
      <c r="C38202" s="6">
        <v>19071</v>
      </c>
      <c r="D38202" s="7">
        <v>2.11</v>
      </c>
      <c r="E38202" t="s">
        <v>59</v>
      </c>
    </row>
    <row r="38203" spans="1:5" x14ac:dyDescent="0.25">
      <c r="A38203" t="str">
        <f>HYPERLINK("https://www.773grp.com/globalSearch/MMDF2C03HDR2G/page-1", "MMDF2C03HDR2G")</f>
        <v>MMDF2C03HDR2G</v>
      </c>
      <c r="B38203" s="3" t="str">
        <f>HYPERLINK("https://www.773grp.com/manufacturer/onsemi?pageNo=259", "ON Semiconductor")</f>
        <v>ON Semiconductor</v>
      </c>
      <c r="C38203" s="6">
        <v>6846</v>
      </c>
      <c r="D38203" s="7">
        <v>2.11</v>
      </c>
    </row>
    <row r="38204" spans="1:5" x14ac:dyDescent="0.25">
      <c r="A38204" t="str">
        <f>HYPERLINK("https://www.773grp.com/globalSearch/MMSF3P02HDR2G/page-1", "MMSF3P02HDR2G")</f>
        <v>MMSF3P02HDR2G</v>
      </c>
      <c r="B38204" s="3" t="str">
        <f>HYPERLINK("https://www.773grp.com/manufacturer/onsemi?pageNo=260", "ON Semiconductor")</f>
        <v>ON Semiconductor</v>
      </c>
      <c r="C38204" s="6">
        <v>6705</v>
      </c>
      <c r="D38204" s="7">
        <v>2.11</v>
      </c>
      <c r="E38204" t="s">
        <v>105</v>
      </c>
    </row>
    <row r="38205" spans="1:5" x14ac:dyDescent="0.25">
      <c r="A38205" t="str">
        <f>HYPERLINK("https://www.773grp.com/globalSearch/MMSF7P03HDR2G/page-1", "MMSF7P03HDR2G")</f>
        <v>MMSF7P03HDR2G</v>
      </c>
      <c r="B38205" s="3" t="str">
        <f>HYPERLINK("https://www.773grp.com/manufacturer/onsemi?pageNo=261", "ON Semiconductor")</f>
        <v>ON Semiconductor</v>
      </c>
      <c r="C38205" s="6">
        <v>36635</v>
      </c>
      <c r="D38205" s="7">
        <v>2.11</v>
      </c>
      <c r="E38205" t="s">
        <v>105</v>
      </c>
    </row>
    <row r="38206" spans="1:5" x14ac:dyDescent="0.25">
      <c r="A38206" t="str">
        <f>HYPERLINK("https://www.773grp.com/globalSearch/MRJ2535-2LF/page-1", "MRJ2535-2LF")</f>
        <v>MRJ2535-2LF</v>
      </c>
      <c r="B38206" s="3" t="str">
        <f>HYPERLINK("https://www.773grp.com/manufacturer/onsemi?pageNo=262", "ON Semiconductor")</f>
        <v>ON Semiconductor</v>
      </c>
      <c r="C38206" s="6">
        <v>103783</v>
      </c>
      <c r="D38206" s="7">
        <v>2.11</v>
      </c>
    </row>
    <row r="38207" spans="1:5" x14ac:dyDescent="0.25">
      <c r="A38207" t="str">
        <f>HYPERLINK("https://www.773grp.com/globalSearch/NCN8025AMNTXG/page-1", "NCN8025AMNTXG")</f>
        <v>NCN8025AMNTXG</v>
      </c>
      <c r="B38207" s="3" t="str">
        <f>HYPERLINK("https://www.773grp.com/manufacturer/onsemi?pageNo=263", "ON Semiconductor")</f>
        <v>ON Semiconductor</v>
      </c>
      <c r="C38207" s="6">
        <v>51000</v>
      </c>
      <c r="D38207" s="7">
        <v>2.11</v>
      </c>
    </row>
    <row r="38208" spans="1:5" x14ac:dyDescent="0.25">
      <c r="A38208" t="str">
        <f>HYPERLINK("https://www.773grp.com/globalSearch/NCN8026AMNTXG/page-1", "NCN8026AMNTXG")</f>
        <v>NCN8026AMNTXG</v>
      </c>
      <c r="B38208" s="3" t="str">
        <f>HYPERLINK("https://www.773grp.com/manufacturer/onsemi?pageNo=264", "ON Semiconductor")</f>
        <v>ON Semiconductor</v>
      </c>
      <c r="C38208" s="6">
        <v>3000</v>
      </c>
      <c r="D38208" s="7">
        <v>2.11</v>
      </c>
    </row>
    <row r="38209" spans="1:5" x14ac:dyDescent="0.25">
      <c r="A38209" t="str">
        <f>HYPERLINK("https://www.773grp.com/globalSearch/NCP1200AP60G/page-1", "NCP1200AP60G")</f>
        <v>NCP1200AP60G</v>
      </c>
      <c r="B38209" s="3" t="str">
        <f>HYPERLINK("https://www.773grp.com/manufacturer/onsemi?pageNo=265", "ON Semiconductor")</f>
        <v>ON Semiconductor</v>
      </c>
      <c r="C38209" s="6">
        <v>1000</v>
      </c>
      <c r="D38209" s="7">
        <v>2.11</v>
      </c>
      <c r="E38209" t="s">
        <v>7</v>
      </c>
    </row>
    <row r="38210" spans="1:5" x14ac:dyDescent="0.25">
      <c r="A38210" t="str">
        <f>HYPERLINK("https://www.773grp.com/globalSearch/NCP1230AD100R2/page-1", "NCP1230AD100R2")</f>
        <v>NCP1230AD100R2</v>
      </c>
      <c r="B38210" s="3" t="str">
        <f>HYPERLINK("https://www.773grp.com/manufacturer/onsemi?pageNo=266", "ON Semiconductor")</f>
        <v>ON Semiconductor</v>
      </c>
      <c r="C38210" s="6">
        <v>2395</v>
      </c>
      <c r="D38210" s="7">
        <v>2.11</v>
      </c>
      <c r="E38210" t="s">
        <v>7</v>
      </c>
    </row>
    <row r="38211" spans="1:5" x14ac:dyDescent="0.25">
      <c r="A38211" t="str">
        <f>HYPERLINK("https://www.773grp.com/globalSearch/NCP1230P100G/page-1", "NCP1230P100G")</f>
        <v>NCP1230P100G</v>
      </c>
      <c r="B38211" s="3" t="str">
        <f>HYPERLINK("https://www.773grp.com/manufacturer/onsemi?pageNo=267", "ON Semiconductor")</f>
        <v>ON Semiconductor</v>
      </c>
      <c r="C38211" s="6">
        <v>9455</v>
      </c>
      <c r="D38211" s="7">
        <v>2.11</v>
      </c>
      <c r="E38211" t="s">
        <v>7</v>
      </c>
    </row>
    <row r="38212" spans="1:5" x14ac:dyDescent="0.25">
      <c r="A38212" t="str">
        <f>HYPERLINK("https://www.773grp.com/globalSearch/NCP1230P133G/page-1", "NCP1230P133G")</f>
        <v>NCP1230P133G</v>
      </c>
      <c r="B38212" s="3" t="str">
        <f>HYPERLINK("https://www.773grp.com/manufacturer/onsemi?pageNo=268", "ON Semiconductor")</f>
        <v>ON Semiconductor</v>
      </c>
      <c r="C38212" s="6">
        <v>2000</v>
      </c>
      <c r="D38212" s="7">
        <v>2.11</v>
      </c>
      <c r="E38212" t="s">
        <v>7</v>
      </c>
    </row>
    <row r="38213" spans="1:5" x14ac:dyDescent="0.25">
      <c r="A38213" t="str">
        <f>HYPERLINK("https://www.773grp.com/globalSearch/NCP1230P65/page-1", "NCP1230P65")</f>
        <v>NCP1230P65</v>
      </c>
      <c r="B38213" s="3" t="str">
        <f>HYPERLINK("https://www.773grp.com/manufacturer/onsemi?pageNo=269", "ON Semiconductor")</f>
        <v>ON Semiconductor</v>
      </c>
      <c r="C38213" s="6">
        <v>8960</v>
      </c>
      <c r="D38213" s="7">
        <v>2.11</v>
      </c>
      <c r="E38213" t="s">
        <v>7</v>
      </c>
    </row>
    <row r="38214" spans="1:5" x14ac:dyDescent="0.25">
      <c r="A38214" t="str">
        <f>HYPERLINK("https://www.773grp.com/globalSearch/NCP1230P65G/page-1", "NCP1230P65G")</f>
        <v>NCP1230P65G</v>
      </c>
      <c r="B38214" s="3" t="str">
        <f>HYPERLINK("https://www.773grp.com/manufacturer/onsemi?pageNo=270", "ON Semiconductor")</f>
        <v>ON Semiconductor</v>
      </c>
      <c r="C38214" s="6">
        <v>2425</v>
      </c>
      <c r="D38214" s="7">
        <v>2.11</v>
      </c>
      <c r="E38214" t="s">
        <v>7</v>
      </c>
    </row>
    <row r="38215" spans="1:5" x14ac:dyDescent="0.25">
      <c r="A38215" t="str">
        <f>HYPERLINK("https://www.773grp.com/globalSearch/NCP1337PG/page-1", "NCP1337PG")</f>
        <v>NCP1337PG</v>
      </c>
      <c r="B38215" s="3" t="str">
        <f>HYPERLINK("https://www.773grp.com/manufacturer/onsemi?pageNo=271", "ON Semiconductor")</f>
        <v>ON Semiconductor</v>
      </c>
      <c r="C38215" s="6">
        <v>75779</v>
      </c>
      <c r="D38215" s="7">
        <v>2.11</v>
      </c>
    </row>
    <row r="38216" spans="1:5" x14ac:dyDescent="0.25">
      <c r="A38216" t="str">
        <f>HYPERLINK("https://www.773grp.com/globalSearch/NCP1521BMUTBG/page-1", "NCP1521BMUTBG")</f>
        <v>NCP1521BMUTBG</v>
      </c>
      <c r="B38216" s="3" t="str">
        <f>HYPERLINK("https://www.773grp.com/manufacturer/onsemi?pageNo=272", "ON Semiconductor")</f>
        <v>ON Semiconductor</v>
      </c>
      <c r="C38216" s="6">
        <v>2995</v>
      </c>
      <c r="D38216" s="7">
        <v>2.11</v>
      </c>
      <c r="E38216" t="s">
        <v>7</v>
      </c>
    </row>
    <row r="38217" spans="1:5" x14ac:dyDescent="0.25">
      <c r="A38217" t="str">
        <f>HYPERLINK("https://www.773grp.com/globalSearch/NCP1523BFCT2G/page-1", "NCP1523BFCT2G")</f>
        <v>NCP1523BFCT2G</v>
      </c>
      <c r="B38217" s="3" t="str">
        <f>HYPERLINK("https://www.773grp.com/manufacturer/onsemi?pageNo=273", "ON Semiconductor")</f>
        <v>ON Semiconductor</v>
      </c>
      <c r="C38217" s="6">
        <v>287101</v>
      </c>
      <c r="D38217" s="7">
        <v>2.11</v>
      </c>
      <c r="E38217" t="s">
        <v>7</v>
      </c>
    </row>
    <row r="38218" spans="1:5" x14ac:dyDescent="0.25">
      <c r="A38218" t="str">
        <f>HYPERLINK("https://www.773grp.com/globalSearch/NCP1530DM25R2G/page-1", "NCP1530DM25R2G")</f>
        <v>NCP1530DM25R2G</v>
      </c>
      <c r="B38218" s="3" t="str">
        <f>HYPERLINK("https://www.773grp.com/manufacturer/onsemi?pageNo=274", "ON Semiconductor")</f>
        <v>ON Semiconductor</v>
      </c>
      <c r="C38218" s="6">
        <v>4000</v>
      </c>
      <c r="D38218" s="7">
        <v>2.11</v>
      </c>
      <c r="E38218" t="s">
        <v>7</v>
      </c>
    </row>
    <row r="38219" spans="1:5" x14ac:dyDescent="0.25">
      <c r="A38219" t="str">
        <f>HYPERLINK("https://www.773grp.com/globalSearch/NCP1530DM27R2/page-1", "NCP1530DM27R2")</f>
        <v>NCP1530DM27R2</v>
      </c>
      <c r="B38219" s="3" t="str">
        <f>HYPERLINK("https://www.773grp.com/manufacturer/onsemi?pageNo=275", "ON Semiconductor")</f>
        <v>ON Semiconductor</v>
      </c>
      <c r="C38219" s="6">
        <v>4000</v>
      </c>
      <c r="D38219" s="7">
        <v>2.11</v>
      </c>
      <c r="E38219" t="s">
        <v>7</v>
      </c>
    </row>
    <row r="38220" spans="1:5" x14ac:dyDescent="0.25">
      <c r="A38220" t="str">
        <f>HYPERLINK("https://www.773grp.com/globalSearch/NCP1530DM27R2G/page-1", "NCP1530DM27R2G")</f>
        <v>NCP1530DM27R2G</v>
      </c>
      <c r="B38220" s="3" t="str">
        <f>HYPERLINK("https://www.773grp.com/manufacturer/onsemi?pageNo=276", "ON Semiconductor")</f>
        <v>ON Semiconductor</v>
      </c>
      <c r="C38220" s="6">
        <v>4000</v>
      </c>
      <c r="D38220" s="7">
        <v>2.11</v>
      </c>
      <c r="E38220" t="s">
        <v>7</v>
      </c>
    </row>
    <row r="38221" spans="1:5" x14ac:dyDescent="0.25">
      <c r="A38221" t="str">
        <f>HYPERLINK("https://www.773grp.com/globalSearch/NCP1530DM30R2/page-1", "NCP1530DM30R2")</f>
        <v>NCP1530DM30R2</v>
      </c>
      <c r="B38221" s="3" t="str">
        <f>HYPERLINK("https://www.773grp.com/manufacturer/onsemi?pageNo=277", "ON Semiconductor")</f>
        <v>ON Semiconductor</v>
      </c>
      <c r="C38221" s="6">
        <v>44000</v>
      </c>
      <c r="D38221" s="7">
        <v>2.11</v>
      </c>
      <c r="E38221" t="s">
        <v>7</v>
      </c>
    </row>
    <row r="38222" spans="1:5" x14ac:dyDescent="0.25">
      <c r="A38222" t="str">
        <f>HYPERLINK("https://www.773grp.com/globalSearch/NCP1530DM30R2G/page-1", "NCP1530DM30R2G")</f>
        <v>NCP1530DM30R2G</v>
      </c>
      <c r="B38222" s="3" t="str">
        <f>HYPERLINK("https://www.773grp.com/manufacturer/onsemi?pageNo=278", "ON Semiconductor")</f>
        <v>ON Semiconductor</v>
      </c>
      <c r="C38222" s="6">
        <v>19838</v>
      </c>
      <c r="D38222" s="7">
        <v>2.11</v>
      </c>
      <c r="E38222" t="s">
        <v>7</v>
      </c>
    </row>
    <row r="38223" spans="1:5" x14ac:dyDescent="0.25">
      <c r="A38223" t="str">
        <f>HYPERLINK("https://www.773grp.com/globalSearch/NCP1653DR2/page-1", "NCP1653DR2")</f>
        <v>NCP1653DR2</v>
      </c>
      <c r="B38223" s="3" t="str">
        <f>HYPERLINK("https://www.773grp.com/manufacturer/onsemi?pageNo=279", "ON Semiconductor")</f>
        <v>ON Semiconductor</v>
      </c>
      <c r="C38223" s="6">
        <v>4468</v>
      </c>
      <c r="D38223" s="7">
        <v>2.11</v>
      </c>
      <c r="E38223" t="s">
        <v>7</v>
      </c>
    </row>
    <row r="38224" spans="1:5" x14ac:dyDescent="0.25">
      <c r="A38224" t="str">
        <f>HYPERLINK("https://www.773grp.com/globalSearch/NCP1835MN20R2/page-1", "NCP1835MN20R2")</f>
        <v>NCP1835MN20R2</v>
      </c>
      <c r="B38224" s="3" t="str">
        <f>HYPERLINK("https://www.773grp.com/manufacturer/onsemi?pageNo=280", "ON Semiconductor")</f>
        <v>ON Semiconductor</v>
      </c>
      <c r="C38224" s="6">
        <v>6000</v>
      </c>
      <c r="D38224" s="7">
        <v>2.11</v>
      </c>
      <c r="E38224" t="s">
        <v>30</v>
      </c>
    </row>
    <row r="38225" spans="1:5" x14ac:dyDescent="0.25">
      <c r="A38225" t="str">
        <f>HYPERLINK("https://www.773grp.com/globalSearch/NCP1835MN24T2/page-1", "NCP1835MN24T2")</f>
        <v>NCP1835MN24T2</v>
      </c>
      <c r="B38225" s="3" t="str">
        <f>HYPERLINK("https://www.773grp.com/manufacturer/onsemi?pageNo=281", "ON Semiconductor")</f>
        <v>ON Semiconductor</v>
      </c>
      <c r="C38225" s="6">
        <v>6000</v>
      </c>
      <c r="D38225" s="7">
        <v>2.11</v>
      </c>
      <c r="E38225" t="s">
        <v>30</v>
      </c>
    </row>
    <row r="38226" spans="1:5" x14ac:dyDescent="0.25">
      <c r="A38226" t="str">
        <f>HYPERLINK("https://www.773grp.com/globalSearch/NCP370MUAITXG/page-1", "NCP370MUAITXG")</f>
        <v>NCP370MUAITXG</v>
      </c>
      <c r="B38226" s="3" t="str">
        <f>HYPERLINK("https://www.773grp.com/manufacturer/onsemi?pageNo=282", "ON Semiconductor")</f>
        <v>ON Semiconductor</v>
      </c>
      <c r="C38226" s="6">
        <v>255000</v>
      </c>
      <c r="D38226" s="7">
        <v>2.11</v>
      </c>
      <c r="E38226" t="s">
        <v>11</v>
      </c>
    </row>
    <row r="38227" spans="1:5" x14ac:dyDescent="0.25">
      <c r="A38227" t="str">
        <f>HYPERLINK("https://www.773grp.com/globalSearch/NCP5252MNTXG/page-1", "NCP5252MNTXG")</f>
        <v>NCP5252MNTXG</v>
      </c>
      <c r="B38227" s="3" t="str">
        <f>HYPERLINK("https://www.773grp.com/manufacturer/onsemi?pageNo=283", "ON Semiconductor")</f>
        <v>ON Semiconductor</v>
      </c>
      <c r="C38227" s="6">
        <v>60500</v>
      </c>
      <c r="D38227" s="7">
        <v>2.11</v>
      </c>
      <c r="E38227" t="s">
        <v>7</v>
      </c>
    </row>
    <row r="38228" spans="1:5" x14ac:dyDescent="0.25">
      <c r="A38228" t="str">
        <f>HYPERLINK("https://www.773grp.com/globalSearch/NCP5602MUTBG/page-1", "NCP5602MUTBG")</f>
        <v>NCP5602MUTBG</v>
      </c>
      <c r="B38228" s="3" t="str">
        <f>HYPERLINK("https://www.773grp.com/manufacturer/onsemi?pageNo=284", "ON Semiconductor")</f>
        <v>ON Semiconductor</v>
      </c>
      <c r="C38228" s="6">
        <v>219000</v>
      </c>
      <c r="D38228" s="7">
        <v>2.11</v>
      </c>
      <c r="E38228" t="s">
        <v>10</v>
      </c>
    </row>
    <row r="38229" spans="1:5" x14ac:dyDescent="0.25">
      <c r="A38229" t="str">
        <f>HYPERLINK("https://www.773grp.com/globalSearch/NCP5612MUTBG/page-1", "NCP5612MUTBG")</f>
        <v>NCP5612MUTBG</v>
      </c>
      <c r="B38229" s="3" t="str">
        <f>HYPERLINK("https://www.773grp.com/manufacturer/onsemi?pageNo=285", "ON Semiconductor")</f>
        <v>ON Semiconductor</v>
      </c>
      <c r="C38229" s="6">
        <v>3500</v>
      </c>
      <c r="D38229" s="7">
        <v>2.11</v>
      </c>
    </row>
    <row r="38230" spans="1:5" x14ac:dyDescent="0.25">
      <c r="A38230" t="str">
        <f>HYPERLINK("https://www.773grp.com/globalSearch/NCP565MN12T2G/page-1", "NCP565MN12T2G")</f>
        <v>NCP565MN12T2G</v>
      </c>
      <c r="B38230" s="3" t="str">
        <f>HYPERLINK("https://www.773grp.com/manufacturer/onsemi?pageNo=286", "ON Semiconductor")</f>
        <v>ON Semiconductor</v>
      </c>
      <c r="C38230" s="6">
        <v>8652</v>
      </c>
      <c r="D38230" s="7">
        <v>2.11</v>
      </c>
      <c r="E38230" t="s">
        <v>19</v>
      </c>
    </row>
    <row r="38231" spans="1:5" x14ac:dyDescent="0.25">
      <c r="A38231" t="str">
        <f>HYPERLINK("https://www.773grp.com/globalSearch/NCP565MN15T2G/page-1", "NCP565MN15T2G")</f>
        <v>NCP565MN15T2G</v>
      </c>
      <c r="B38231" s="3" t="str">
        <f>HYPERLINK("https://www.773grp.com/manufacturer/onsemi?pageNo=287", "ON Semiconductor")</f>
        <v>ON Semiconductor</v>
      </c>
      <c r="C38231" s="6">
        <v>11690</v>
      </c>
      <c r="D38231" s="7">
        <v>2.11</v>
      </c>
      <c r="E38231" t="s">
        <v>19</v>
      </c>
    </row>
    <row r="38232" spans="1:5" x14ac:dyDescent="0.25">
      <c r="A38232" t="str">
        <f>HYPERLINK("https://www.773grp.com/globalSearch/NCP565MN28T2G/page-1", "NCP565MN28T2G")</f>
        <v>NCP565MN28T2G</v>
      </c>
      <c r="B38232" s="3" t="str">
        <f>HYPERLINK("https://www.773grp.com/manufacturer/onsemi?pageNo=288", "ON Semiconductor")</f>
        <v>ON Semiconductor</v>
      </c>
      <c r="C38232" s="6">
        <v>9000</v>
      </c>
      <c r="D38232" s="7">
        <v>2.11</v>
      </c>
      <c r="E38232" t="s">
        <v>19</v>
      </c>
    </row>
    <row r="38233" spans="1:5" x14ac:dyDescent="0.25">
      <c r="A38233" t="str">
        <f>HYPERLINK("https://www.773grp.com/globalSearch/NCP565MN30T2G/page-1", "NCP565MN30T2G")</f>
        <v>NCP565MN30T2G</v>
      </c>
      <c r="B38233" s="3" t="str">
        <f>HYPERLINK("https://www.773grp.com/manufacturer/onsemi?pageNo=289", "ON Semiconductor")</f>
        <v>ON Semiconductor</v>
      </c>
      <c r="C38233" s="6">
        <v>5695</v>
      </c>
      <c r="D38233" s="7">
        <v>2.11</v>
      </c>
    </row>
    <row r="38234" spans="1:5" x14ac:dyDescent="0.25">
      <c r="A38234" t="str">
        <f>HYPERLINK("https://www.773grp.com/globalSearch/NCP565MN33T2G/page-1", "NCP565MN33T2G")</f>
        <v>NCP565MN33T2G</v>
      </c>
      <c r="B38234" s="3" t="str">
        <f>HYPERLINK("https://www.773grp.com/manufacturer/onsemi?pageNo=290", "ON Semiconductor")</f>
        <v>ON Semiconductor</v>
      </c>
      <c r="C38234" s="6">
        <v>7203</v>
      </c>
      <c r="D38234" s="7">
        <v>2.11</v>
      </c>
      <c r="E38234" t="s">
        <v>19</v>
      </c>
    </row>
    <row r="38235" spans="1:5" x14ac:dyDescent="0.25">
      <c r="A38235" t="str">
        <f>HYPERLINK("https://www.773grp.com/globalSearch/NCP565MNADJT2G/page-1", "NCP565MNADJT2G")</f>
        <v>NCP565MNADJT2G</v>
      </c>
      <c r="B38235" s="3" t="str">
        <f>HYPERLINK("https://www.773grp.com/manufacturer/onsemi?pageNo=291", "ON Semiconductor")</f>
        <v>ON Semiconductor</v>
      </c>
      <c r="C38235" s="6">
        <v>3000</v>
      </c>
      <c r="D38235" s="7">
        <v>2.11</v>
      </c>
    </row>
    <row r="38236" spans="1:5" x14ac:dyDescent="0.25">
      <c r="A38236" t="str">
        <f>HYPERLINK("https://www.773grp.com/globalSearch/NCS2004SQ3T2G/page-1", "NCS2004SQ3T2G")</f>
        <v>NCS2004SQ3T2G</v>
      </c>
      <c r="B38236" s="3" t="str">
        <f>HYPERLINK("https://www.773grp.com/manufacturer/onsemi?pageNo=292", "ON Semiconductor")</f>
        <v>ON Semiconductor</v>
      </c>
      <c r="C38236" s="6">
        <v>53800</v>
      </c>
      <c r="D38236" s="7">
        <v>2.11</v>
      </c>
    </row>
    <row r="38237" spans="1:5" x14ac:dyDescent="0.25">
      <c r="A38237" t="str">
        <f>HYPERLINK("https://www.773grp.com/globalSearch/NCS2220AMUT1G/page-1", "NCS2220AMUT1G")</f>
        <v>NCS2220AMUT1G</v>
      </c>
      <c r="B38237" s="3" t="str">
        <f>HYPERLINK("https://www.773grp.com/manufacturer/onsemi?pageNo=293", "ON Semiconductor")</f>
        <v>ON Semiconductor</v>
      </c>
      <c r="C38237" s="6">
        <v>245800</v>
      </c>
      <c r="D38237" s="7">
        <v>2.11</v>
      </c>
      <c r="E38237" t="s">
        <v>9</v>
      </c>
    </row>
    <row r="38238" spans="1:5" x14ac:dyDescent="0.25">
      <c r="A38238" t="str">
        <f>HYPERLINK("https://www.773grp.com/globalSearch/NCS2564DTBR2G/page-1", "NCS2564DTBR2G")</f>
        <v>NCS2564DTBR2G</v>
      </c>
      <c r="B38238" s="3" t="str">
        <f>HYPERLINK("https://www.773grp.com/manufacturer/onsemi?pageNo=294", "ON Semiconductor")</f>
        <v>ON Semiconductor</v>
      </c>
      <c r="C38238" s="6">
        <v>161500</v>
      </c>
      <c r="D38238" s="7">
        <v>2.11</v>
      </c>
      <c r="E38238" t="s">
        <v>18</v>
      </c>
    </row>
    <row r="38239" spans="1:5" x14ac:dyDescent="0.25">
      <c r="A38239" t="str">
        <f>HYPERLINK("https://www.773grp.com/globalSearch/NCV1009DR2G/page-1", "NCV1009DR2G")</f>
        <v>NCV1009DR2G</v>
      </c>
      <c r="B38239" s="3" t="str">
        <f>HYPERLINK("https://www.773grp.com/manufacturer/onsemi?pageNo=295", "ON Semiconductor")</f>
        <v>ON Semiconductor</v>
      </c>
      <c r="C38239" s="6">
        <v>276151</v>
      </c>
      <c r="D38239" s="7">
        <v>2.11</v>
      </c>
      <c r="E38239" t="s">
        <v>17</v>
      </c>
    </row>
    <row r="38240" spans="1:5" x14ac:dyDescent="0.25">
      <c r="A38240" t="str">
        <f>HYPERLINK("https://www.773grp.com/globalSearch/NCV3064DR2G/page-1", "NCV3064DR2G")</f>
        <v>NCV3064DR2G</v>
      </c>
      <c r="B38240" s="3" t="str">
        <f>HYPERLINK("https://www.773grp.com/manufacturer/onsemi?pageNo=296", "ON Semiconductor")</f>
        <v>ON Semiconductor</v>
      </c>
      <c r="C38240" s="6">
        <v>2500</v>
      </c>
      <c r="D38240" s="7">
        <v>2.11</v>
      </c>
    </row>
    <row r="38241" spans="1:5" x14ac:dyDescent="0.25">
      <c r="A38241" t="str">
        <f>HYPERLINK("https://www.773grp.com/globalSearch/NCV317MABDTRKG/page-1", "NCV317MABDTRKG")</f>
        <v>NCV317MABDTRKG</v>
      </c>
      <c r="B38241" s="3" t="str">
        <f>HYPERLINK("https://www.773grp.com/manufacturer/onsemi?pageNo=297", "ON Semiconductor")</f>
        <v>ON Semiconductor</v>
      </c>
      <c r="C38241" s="6">
        <v>6753</v>
      </c>
      <c r="D38241" s="7">
        <v>2.11</v>
      </c>
    </row>
    <row r="38242" spans="1:5" x14ac:dyDescent="0.25">
      <c r="A38242" t="str">
        <f>HYPERLINK("https://www.773grp.com/globalSearch/NCV33202VDR2/page-1", "NCV33202VDR2")</f>
        <v>NCV33202VDR2</v>
      </c>
      <c r="B38242" s="3" t="str">
        <f>HYPERLINK("https://www.773grp.com/manufacturer/onsemi?pageNo=298", "ON Semiconductor")</f>
        <v>ON Semiconductor</v>
      </c>
      <c r="C38242" s="6">
        <v>7500</v>
      </c>
      <c r="D38242" s="7">
        <v>2.11</v>
      </c>
      <c r="E38242" t="s">
        <v>13</v>
      </c>
    </row>
    <row r="38243" spans="1:5" x14ac:dyDescent="0.25">
      <c r="A38243" t="str">
        <f>HYPERLINK("https://www.773grp.com/globalSearch/NCV33204DR2G/page-1", "NCV33204DR2G")</f>
        <v>NCV33204DR2G</v>
      </c>
      <c r="B38243" s="3" t="str">
        <f>HYPERLINK("https://www.773grp.com/manufacturer/onsemi?pageNo=299", "ON Semiconductor")</f>
        <v>ON Semiconductor</v>
      </c>
      <c r="C38243" s="6">
        <v>4260</v>
      </c>
      <c r="D38243" s="7">
        <v>2.11</v>
      </c>
    </row>
    <row r="38244" spans="1:5" x14ac:dyDescent="0.25">
      <c r="A38244" t="str">
        <f>HYPERLINK("https://www.773grp.com/globalSearch/NDF08N60ZG/page-1", "NDF08N60ZG")</f>
        <v>NDF08N60ZG</v>
      </c>
      <c r="B38244" s="3" t="str">
        <f>HYPERLINK("https://www.773grp.com/manufacturer/onsemi?pageNo=300", "ON Semiconductor")</f>
        <v>ON Semiconductor</v>
      </c>
      <c r="C38244" s="6">
        <v>1825</v>
      </c>
      <c r="D38244" s="7">
        <v>2.11</v>
      </c>
    </row>
    <row r="38245" spans="1:5" x14ac:dyDescent="0.25">
      <c r="A38245" t="str">
        <f>HYPERLINK("https://www.773grp.com/globalSearch/NDF08N60ZH/page-1", "NDF08N60ZH")</f>
        <v>NDF08N60ZH</v>
      </c>
      <c r="B38245" s="3" t="str">
        <f>HYPERLINK("https://www.773grp.com/manufacturer/onsemi?pageNo=301", "ON Semiconductor")</f>
        <v>ON Semiconductor</v>
      </c>
      <c r="C38245" s="6">
        <v>17300</v>
      </c>
      <c r="D38245" s="7">
        <v>2.11</v>
      </c>
    </row>
    <row r="38246" spans="1:5" x14ac:dyDescent="0.25">
      <c r="A38246" t="str">
        <f>HYPERLINK("https://www.773grp.com/globalSearch/NE5532AN/page-1", "NE5532AN")</f>
        <v>NE5532AN</v>
      </c>
      <c r="B38246" s="3" t="str">
        <f>HYPERLINK("https://www.773grp.com/manufacturer/onsemi?pageNo=302", "ON Semiconductor")</f>
        <v>ON Semiconductor</v>
      </c>
      <c r="C38246" s="6">
        <v>450</v>
      </c>
      <c r="D38246" s="7">
        <v>2.11</v>
      </c>
      <c r="E38246" t="s">
        <v>13</v>
      </c>
    </row>
    <row r="38247" spans="1:5" x14ac:dyDescent="0.25">
      <c r="A38247" t="str">
        <f>HYPERLINK("https://www.773grp.com/globalSearch/NE5532ANG/page-1", "NE5532ANG")</f>
        <v>NE5532ANG</v>
      </c>
      <c r="B38247" s="3" t="str">
        <f>HYPERLINK("https://www.773grp.com/manufacturer/onsemi?pageNo=303", "ON Semiconductor")</f>
        <v>ON Semiconductor</v>
      </c>
      <c r="C38247" s="6">
        <v>579</v>
      </c>
      <c r="D38247" s="7">
        <v>2.11</v>
      </c>
      <c r="E38247" t="s">
        <v>13</v>
      </c>
    </row>
    <row r="38248" spans="1:5" x14ac:dyDescent="0.25">
      <c r="A38248" t="str">
        <f>HYPERLINK("https://www.773grp.com/globalSearch/NE5532DG/page-1", "NE5532DG")</f>
        <v>NE5532DG</v>
      </c>
      <c r="B38248" s="3" t="str">
        <f>HYPERLINK("https://www.773grp.com/manufacturer/onsemi?pageNo=304", "ON Semiconductor")</f>
        <v>ON Semiconductor</v>
      </c>
      <c r="C38248" s="6">
        <v>176</v>
      </c>
      <c r="D38248" s="7">
        <v>2.11</v>
      </c>
      <c r="E38248" t="s">
        <v>13</v>
      </c>
    </row>
    <row r="38249" spans="1:5" x14ac:dyDescent="0.25">
      <c r="A38249" t="str">
        <f>HYPERLINK("https://www.773grp.com/globalSearch/NE5532DR2G/page-1", "NE5532DR2G")</f>
        <v>NE5532DR2G</v>
      </c>
      <c r="B38249" s="3" t="str">
        <f>HYPERLINK("https://www.773grp.com/manufacturer/onsemi?pageNo=305", "ON Semiconductor")</f>
        <v>ON Semiconductor</v>
      </c>
      <c r="C38249" s="6">
        <v>2111</v>
      </c>
      <c r="D38249" s="7">
        <v>2.11</v>
      </c>
      <c r="E38249" t="s">
        <v>13</v>
      </c>
    </row>
    <row r="38250" spans="1:5" x14ac:dyDescent="0.25">
      <c r="A38250" t="str">
        <f>HYPERLINK("https://www.773grp.com/globalSearch/NLAS4717MR2G/page-1", "NLAS4717MR2G")</f>
        <v>NLAS4717MR2G</v>
      </c>
      <c r="B38250" s="3" t="str">
        <f>HYPERLINK("https://www.773grp.com/manufacturer/onsemi?pageNo=306", "ON Semiconductor")</f>
        <v>ON Semiconductor</v>
      </c>
      <c r="C38250" s="6">
        <v>74000</v>
      </c>
      <c r="D38250" s="7">
        <v>2.11</v>
      </c>
      <c r="E38250" t="s">
        <v>56</v>
      </c>
    </row>
    <row r="38251" spans="1:5" x14ac:dyDescent="0.25">
      <c r="A38251" t="str">
        <f>HYPERLINK("https://www.773grp.com/globalSearch/NLAS5123MUR2G/page-1", "NLAS5123MUR2G")</f>
        <v>NLAS5123MUR2G</v>
      </c>
      <c r="B38251" s="3" t="str">
        <f>HYPERLINK("https://www.773grp.com/manufacturer/onsemi?pageNo=307", "ON Semiconductor")</f>
        <v>ON Semiconductor</v>
      </c>
      <c r="C38251" s="6">
        <v>76700</v>
      </c>
      <c r="D38251" s="7">
        <v>2.11</v>
      </c>
      <c r="E38251" t="s">
        <v>56</v>
      </c>
    </row>
    <row r="38252" spans="1:5" x14ac:dyDescent="0.25">
      <c r="A38252" t="str">
        <f>HYPERLINK("https://www.773grp.com/globalSearch/NLAS5223LMNR/page-1", "NLAS5223LMNR")</f>
        <v>NLAS5223LMNR</v>
      </c>
      <c r="B38252" s="3" t="str">
        <f>HYPERLINK("https://www.773grp.com/manufacturer/onsemi?pageNo=308", "ON Semiconductor")</f>
        <v>ON Semiconductor</v>
      </c>
      <c r="C38252" s="6">
        <v>3000</v>
      </c>
      <c r="D38252" s="7">
        <v>2.11</v>
      </c>
    </row>
    <row r="38253" spans="1:5" x14ac:dyDescent="0.25">
      <c r="A38253" t="str">
        <f>HYPERLINK("https://www.773grp.com/globalSearch/NLAS5223MNR2G/page-1", "NLAS5223MNR2G")</f>
        <v>NLAS5223MNR2G</v>
      </c>
      <c r="B38253" s="3" t="str">
        <f>HYPERLINK("https://www.773grp.com/manufacturer/onsemi?pageNo=309", "ON Semiconductor")</f>
        <v>ON Semiconductor</v>
      </c>
      <c r="C38253" s="6">
        <v>533</v>
      </c>
      <c r="D38253" s="7">
        <v>2.11</v>
      </c>
      <c r="E38253" t="s">
        <v>56</v>
      </c>
    </row>
    <row r="38254" spans="1:5" x14ac:dyDescent="0.25">
      <c r="A38254" t="str">
        <f>HYPERLINK("https://www.773grp.com/globalSearch/NLAST44599MN/page-1", "NLAST44599MN")</f>
        <v>NLAST44599MN</v>
      </c>
      <c r="B38254" s="3" t="str">
        <f>HYPERLINK("https://www.773grp.com/manufacturer/onsemi?pageNo=310", "ON Semiconductor")</f>
        <v>ON Semiconductor</v>
      </c>
      <c r="C38254" s="6">
        <v>1353</v>
      </c>
      <c r="D38254" s="7">
        <v>2.11</v>
      </c>
      <c r="E38254" t="s">
        <v>56</v>
      </c>
    </row>
    <row r="38255" spans="1:5" x14ac:dyDescent="0.25">
      <c r="A38255" t="str">
        <f>HYPERLINK("https://www.773grp.com/globalSearch/NLAST44599MNR2/page-1", "NLAST44599MNR2")</f>
        <v>NLAST44599MNR2</v>
      </c>
      <c r="B38255" s="3" t="str">
        <f>HYPERLINK("https://www.773grp.com/manufacturer/onsemi?pageNo=311", "ON Semiconductor")</f>
        <v>ON Semiconductor</v>
      </c>
      <c r="C38255" s="6">
        <v>3000</v>
      </c>
      <c r="D38255" s="7">
        <v>2.11</v>
      </c>
      <c r="E38255" t="s">
        <v>56</v>
      </c>
    </row>
    <row r="38256" spans="1:5" x14ac:dyDescent="0.25">
      <c r="A38256" t="str">
        <f>HYPERLINK("https://www.773grp.com/globalSearch/NLSV8T244DTR2G/page-1", "NLSV8T244DTR2G")</f>
        <v>NLSV8T244DTR2G</v>
      </c>
      <c r="B38256" s="3" t="str">
        <f>HYPERLINK("https://www.773grp.com/manufacturer/onsemi?pageNo=312", "ON Semiconductor")</f>
        <v>ON Semiconductor</v>
      </c>
      <c r="C38256" s="6">
        <v>679</v>
      </c>
      <c r="D38256" s="7">
        <v>2.11</v>
      </c>
    </row>
    <row r="38257" spans="1:5" x14ac:dyDescent="0.25">
      <c r="A38257" t="str">
        <f>HYPERLINK("https://www.773grp.com/globalSearch/NTB90N02T4G/page-1", "NTB90N02T4G")</f>
        <v>NTB90N02T4G</v>
      </c>
      <c r="B38257" s="3" t="str">
        <f>HYPERLINK("https://www.773grp.com/manufacturer/onsemi?pageNo=313", "ON Semiconductor")</f>
        <v>ON Semiconductor</v>
      </c>
      <c r="C38257" s="6">
        <v>5795</v>
      </c>
      <c r="D38257" s="7">
        <v>2.11</v>
      </c>
      <c r="E38257" t="s">
        <v>105</v>
      </c>
    </row>
    <row r="38258" spans="1:5" x14ac:dyDescent="0.25">
      <c r="A38258" t="str">
        <f>HYPERLINK("https://www.773grp.com/globalSearch/NTD4N60/page-1", "NTD4N60")</f>
        <v>NTD4N60</v>
      </c>
      <c r="B38258" s="3" t="str">
        <f>HYPERLINK("https://www.773grp.com/manufacturer/onsemi?pageNo=314", "ON Semiconductor")</f>
        <v>ON Semiconductor</v>
      </c>
      <c r="C38258" s="6">
        <v>186359</v>
      </c>
      <c r="D38258" s="7">
        <v>2.11</v>
      </c>
      <c r="E38258" t="s">
        <v>105</v>
      </c>
    </row>
    <row r="38259" spans="1:5" x14ac:dyDescent="0.25">
      <c r="A38259" t="str">
        <f>HYPERLINK("https://www.773grp.com/globalSearch/NTD6414AN-1G/page-1", "NTD6414AN-1G")</f>
        <v>NTD6414AN-1G</v>
      </c>
      <c r="B38259" s="3" t="str">
        <f>HYPERLINK("https://www.773grp.com/manufacturer/onsemi?pageNo=315", "ON Semiconductor")</f>
        <v>ON Semiconductor</v>
      </c>
      <c r="C38259" s="6">
        <v>16701</v>
      </c>
      <c r="D38259" s="7">
        <v>2.11</v>
      </c>
      <c r="E38259" t="s">
        <v>105</v>
      </c>
    </row>
    <row r="38260" spans="1:5" x14ac:dyDescent="0.25">
      <c r="A38260" t="str">
        <f>HYPERLINK("https://www.773grp.com/globalSearch/NTD6414ANT4G/page-1", "NTD6414ANT4G")</f>
        <v>NTD6414ANT4G</v>
      </c>
      <c r="B38260" s="3" t="str">
        <f>HYPERLINK("https://www.773grp.com/manufacturer/onsemi?pageNo=316", "ON Semiconductor")</f>
        <v>ON Semiconductor</v>
      </c>
      <c r="C38260" s="6">
        <v>297400</v>
      </c>
      <c r="D38260" s="7">
        <v>2.11</v>
      </c>
      <c r="E38260" t="s">
        <v>105</v>
      </c>
    </row>
    <row r="38261" spans="1:5" x14ac:dyDescent="0.25">
      <c r="A38261" t="str">
        <f>HYPERLINK("https://www.773grp.com/globalSearch/NTMD6601NR2G/page-1", "NTMD6601NR2G")</f>
        <v>NTMD6601NR2G</v>
      </c>
      <c r="B38261" s="3" t="str">
        <f>HYPERLINK("https://www.773grp.com/manufacturer/onsemi?pageNo=317", "ON Semiconductor")</f>
        <v>ON Semiconductor</v>
      </c>
      <c r="C38261" s="6">
        <v>57500</v>
      </c>
      <c r="D38261" s="7">
        <v>2.11</v>
      </c>
      <c r="E38261" t="s">
        <v>106</v>
      </c>
    </row>
    <row r="38262" spans="1:5" x14ac:dyDescent="0.25">
      <c r="A38262" t="str">
        <f>HYPERLINK("https://www.773grp.com/globalSearch/NTMS10P02R2/page-1", "NTMS10P02R2")</f>
        <v>NTMS10P02R2</v>
      </c>
      <c r="B38262" s="3" t="str">
        <f>HYPERLINK("https://www.773grp.com/manufacturer/onsemi?pageNo=318", "ON Semiconductor")</f>
        <v>ON Semiconductor</v>
      </c>
      <c r="C38262" s="6">
        <v>1323</v>
      </c>
      <c r="D38262" s="7">
        <v>2.11</v>
      </c>
      <c r="E38262" t="s">
        <v>106</v>
      </c>
    </row>
    <row r="38263" spans="1:5" x14ac:dyDescent="0.25">
      <c r="A38263" t="str">
        <f>HYPERLINK("https://www.773grp.com/globalSearch/NTP45N06G/page-1", "NTP45N06G")</f>
        <v>NTP45N06G</v>
      </c>
      <c r="B38263" s="3" t="str">
        <f>HYPERLINK("https://www.773grp.com/manufacturer/onsemi?pageNo=319", "ON Semiconductor")</f>
        <v>ON Semiconductor</v>
      </c>
      <c r="C38263" s="6">
        <v>777</v>
      </c>
      <c r="D38263" s="7">
        <v>2.11</v>
      </c>
      <c r="E38263" t="s">
        <v>105</v>
      </c>
    </row>
    <row r="38264" spans="1:5" x14ac:dyDescent="0.25">
      <c r="A38264" t="str">
        <f>HYPERLINK("https://www.773grp.com/globalSearch/NTP75N03-006/page-1", "NTP75N03-006")</f>
        <v>NTP75N03-006</v>
      </c>
      <c r="B38264" s="3" t="str">
        <f>HYPERLINK("https://www.773grp.com/manufacturer/onsemi?pageNo=320", "ON Semiconductor")</f>
        <v>ON Semiconductor</v>
      </c>
      <c r="C38264" s="6">
        <v>6230</v>
      </c>
      <c r="D38264" s="7">
        <v>2.11</v>
      </c>
    </row>
    <row r="38265" spans="1:5" x14ac:dyDescent="0.25">
      <c r="A38265" t="str">
        <f>HYPERLINK("https://www.773grp.com/globalSearch/NTP75N03-6G/page-1", "NTP75N03-6G")</f>
        <v>NTP75N03-6G</v>
      </c>
      <c r="B38265" s="3" t="str">
        <f>HYPERLINK("https://www.773grp.com/manufacturer/onsemi?pageNo=321", "ON Semiconductor")</f>
        <v>ON Semiconductor</v>
      </c>
      <c r="C38265" s="6">
        <v>250</v>
      </c>
      <c r="D38265" s="7">
        <v>2.11</v>
      </c>
    </row>
    <row r="38266" spans="1:5" x14ac:dyDescent="0.25">
      <c r="A38266" t="str">
        <f>HYPERLINK("https://www.773grp.com/globalSearch/NTTFS4985NFTAG/page-1", "NTTFS4985NFTAG")</f>
        <v>NTTFS4985NFTAG</v>
      </c>
      <c r="B38266" s="3" t="str">
        <f>HYPERLINK("https://www.773grp.com/manufacturer/onsemi?pageNo=322", "ON Semiconductor")</f>
        <v>ON Semiconductor</v>
      </c>
      <c r="C38266" s="6">
        <v>12000</v>
      </c>
      <c r="D38266" s="7">
        <v>2.11</v>
      </c>
    </row>
    <row r="38267" spans="1:5" x14ac:dyDescent="0.25">
      <c r="A38267" t="str">
        <f>HYPERLINK("https://www.773grp.com/globalSearch/SC63700L101/page-1", "SC63700L101")</f>
        <v>SC63700L101</v>
      </c>
      <c r="B38267" s="3" t="str">
        <f>HYPERLINK("https://www.773grp.com/manufacturer/onsemi?pageNo=323", "ON Semiconductor")</f>
        <v>ON Semiconductor</v>
      </c>
      <c r="C38267" s="6">
        <v>182</v>
      </c>
      <c r="D38267" s="7">
        <v>2.11</v>
      </c>
    </row>
    <row r="38268" spans="1:5" x14ac:dyDescent="0.25">
      <c r="A38268" t="str">
        <f>HYPERLINK("https://www.773grp.com/globalSearch/SN74LS256D/page-1", "SN74LS256D")</f>
        <v>SN74LS256D</v>
      </c>
      <c r="B38268" s="3" t="str">
        <f>HYPERLINK("https://www.773grp.com/manufacturer/onsemi?pageNo=324", "ON Semiconductor")</f>
        <v>ON Semiconductor</v>
      </c>
      <c r="C38268" s="6">
        <v>5510</v>
      </c>
      <c r="D38268" s="7">
        <v>2.11</v>
      </c>
      <c r="E38268" t="s">
        <v>35</v>
      </c>
    </row>
    <row r="38269" spans="1:5" x14ac:dyDescent="0.25">
      <c r="A38269" t="str">
        <f>HYPERLINK("https://www.773grp.com/globalSearch/SN74LS352N/page-1", "SN74LS352N")</f>
        <v>SN74LS352N</v>
      </c>
      <c r="B38269" s="3" t="str">
        <f>HYPERLINK("https://www.773grp.com/manufacturer/onsemi?pageNo=325", "ON Semiconductor")</f>
        <v>ON Semiconductor</v>
      </c>
      <c r="C38269" s="6">
        <v>1429</v>
      </c>
      <c r="D38269" s="7">
        <v>2.11</v>
      </c>
      <c r="E38269" t="s">
        <v>20</v>
      </c>
    </row>
    <row r="38270" spans="1:5" x14ac:dyDescent="0.25">
      <c r="A38270" t="str">
        <f>HYPERLINK("https://www.773grp.com/globalSearch/TL494CNG/page-1", "TL494CNG")</f>
        <v>TL494CNG</v>
      </c>
      <c r="B38270" s="3" t="str">
        <f>HYPERLINK("https://www.773grp.com/manufacturer/onsemi?pageNo=326", "ON Semiconductor")</f>
        <v>ON Semiconductor</v>
      </c>
      <c r="C38270" s="6">
        <v>926</v>
      </c>
      <c r="D38270" s="7">
        <v>2.11</v>
      </c>
      <c r="E38270" t="s">
        <v>7</v>
      </c>
    </row>
    <row r="38271" spans="1:5" x14ac:dyDescent="0.25">
      <c r="A38271" t="str">
        <f>HYPERLINK("https://www.773grp.com/globalSearch/TLV271SN2T1G/page-1", "TLV271SN2T1G")</f>
        <v>TLV271SN2T1G</v>
      </c>
      <c r="B38271" s="3" t="str">
        <f>HYPERLINK("https://www.773grp.com/manufacturer/onsemi?pageNo=327", "ON Semiconductor")</f>
        <v>ON Semiconductor</v>
      </c>
      <c r="C38271" s="6">
        <v>36000</v>
      </c>
      <c r="D38271" s="7">
        <v>2.11</v>
      </c>
    </row>
    <row r="38272" spans="1:5" x14ac:dyDescent="0.25">
      <c r="A38272" t="str">
        <f>HYPERLINK("https://www.773grp.com/globalSearch/UC2843AD1 REEL/page-1", "UC2843AD1 REEL")</f>
        <v>UC2843AD1 REEL</v>
      </c>
      <c r="B38272" s="3" t="str">
        <f>HYPERLINK("https://www.773grp.com/manufacturer/onsemi?pageNo=328", "ON Semiconductor")</f>
        <v>ON Semiconductor</v>
      </c>
      <c r="C38272" s="6">
        <v>1730</v>
      </c>
      <c r="D38272" s="7">
        <v>2.11</v>
      </c>
    </row>
    <row r="38273" spans="1:5" x14ac:dyDescent="0.25">
      <c r="A38273" t="str">
        <f>HYPERLINK("https://www.773grp.com/globalSearch/UC2843ADG/page-1", "UC2843ADG")</f>
        <v>UC2843ADG</v>
      </c>
      <c r="B38273" s="3" t="str">
        <f>HYPERLINK("https://www.773grp.com/manufacturer/onsemi?pageNo=329", "ON Semiconductor")</f>
        <v>ON Semiconductor</v>
      </c>
      <c r="C38273" s="6">
        <v>10</v>
      </c>
      <c r="D38273" s="7">
        <v>2.11</v>
      </c>
      <c r="E38273" t="s">
        <v>7</v>
      </c>
    </row>
    <row r="38274" spans="1:5" x14ac:dyDescent="0.25">
      <c r="A38274" t="str">
        <f>HYPERLINK("https://www.773grp.com/globalSearch/UC3842AN/page-1", "UC3842AN")</f>
        <v>UC3842AN</v>
      </c>
      <c r="B38274" s="3" t="str">
        <f>HYPERLINK("https://www.773grp.com/manufacturer/onsemi?pageNo=330", "ON Semiconductor")</f>
        <v>ON Semiconductor</v>
      </c>
      <c r="C38274" s="6">
        <v>3976</v>
      </c>
      <c r="D38274" s="7">
        <v>2.11</v>
      </c>
      <c r="E38274" t="s">
        <v>7</v>
      </c>
    </row>
    <row r="38275" spans="1:5" x14ac:dyDescent="0.25">
      <c r="A38275" t="str">
        <f>HYPERLINK("https://www.773grp.com/globalSearch/ADT7421ARMZ-RL7/page-1", "ADT7421ARMZ-RL7")</f>
        <v>ADT7421ARMZ-RL7</v>
      </c>
      <c r="B38275" s="3" t="str">
        <f>HYPERLINK("https://www.773grp.com/manufacturer/onsemi?pageNo=331", "ON Semiconductor")</f>
        <v>ON Semiconductor</v>
      </c>
      <c r="C38275" s="6">
        <v>648</v>
      </c>
      <c r="D38275" s="7">
        <v>2.16</v>
      </c>
    </row>
    <row r="38276" spans="1:5" x14ac:dyDescent="0.25">
      <c r="A38276" t="str">
        <f>HYPERLINK("https://www.773grp.com/globalSearch/ADT7421ARZ-REEL7/page-1", "ADT7421ARZ-REEL7")</f>
        <v>ADT7421ARZ-REEL7</v>
      </c>
      <c r="B38276" s="3" t="str">
        <f>HYPERLINK("https://www.773grp.com/manufacturer/onsemi?pageNo=332", "ON Semiconductor")</f>
        <v>ON Semiconductor</v>
      </c>
      <c r="C38276" s="6">
        <v>699</v>
      </c>
      <c r="D38276" s="7">
        <v>2.16</v>
      </c>
    </row>
    <row r="38277" spans="1:5" x14ac:dyDescent="0.25">
      <c r="A38277" t="str">
        <f>HYPERLINK("https://www.773grp.com/globalSearch/BTB12-800BW3G/page-1", "BTB12-800BW3G")</f>
        <v>BTB12-800BW3G</v>
      </c>
      <c r="B38277" s="3" t="str">
        <f>HYPERLINK("https://www.773grp.com/manufacturer/onsemi?pageNo=333", "ON Semiconductor")</f>
        <v>ON Semiconductor</v>
      </c>
      <c r="C38277" s="6">
        <v>8852</v>
      </c>
      <c r="D38277" s="7">
        <v>2.16</v>
      </c>
      <c r="E38277" t="s">
        <v>102</v>
      </c>
    </row>
    <row r="38278" spans="1:5" x14ac:dyDescent="0.25">
      <c r="A38278" t="str">
        <f>HYPERLINK("https://www.773grp.com/globalSearch/BTB12-800CW3G/page-1", "BTB12-800CW3G")</f>
        <v>BTB12-800CW3G</v>
      </c>
      <c r="B38278" s="3" t="str">
        <f>HYPERLINK("https://www.773grp.com/manufacturer/onsemi?pageNo=334", "ON Semiconductor")</f>
        <v>ON Semiconductor</v>
      </c>
      <c r="C38278" s="6">
        <v>8571</v>
      </c>
      <c r="D38278" s="7">
        <v>2.16</v>
      </c>
      <c r="E38278" t="s">
        <v>102</v>
      </c>
    </row>
    <row r="38279" spans="1:5" x14ac:dyDescent="0.25">
      <c r="A38279" t="str">
        <f>HYPERLINK("https://www.773grp.com/globalSearch/BUH50G/page-1", "BUH50G")</f>
        <v>BUH50G</v>
      </c>
      <c r="B38279" s="3" t="str">
        <f>HYPERLINK("https://www.773grp.com/manufacturer/onsemi?pageNo=335", "ON Semiconductor")</f>
        <v>ON Semiconductor</v>
      </c>
      <c r="C38279" s="6">
        <v>374</v>
      </c>
      <c r="D38279" s="7">
        <v>2.16</v>
      </c>
      <c r="E38279" t="s">
        <v>59</v>
      </c>
    </row>
    <row r="38280" spans="1:5" x14ac:dyDescent="0.25">
      <c r="A38280" t="str">
        <f>HYPERLINK("https://www.773grp.com/globalSearch/BUV27G/page-1", "BUV27G")</f>
        <v>BUV27G</v>
      </c>
      <c r="B38280" s="3" t="str">
        <f>HYPERLINK("https://www.773grp.com/manufacturer/onsemi?pageNo=336", "ON Semiconductor")</f>
        <v>ON Semiconductor</v>
      </c>
      <c r="C38280" s="6">
        <v>3409</v>
      </c>
      <c r="D38280" s="7">
        <v>2.16</v>
      </c>
      <c r="E38280" t="s">
        <v>59</v>
      </c>
    </row>
    <row r="38281" spans="1:5" x14ac:dyDescent="0.25">
      <c r="A38281" t="str">
        <f>HYPERLINK("https://www.773grp.com/globalSearch/CS3351YD14/page-1", "CS3351YD14")</f>
        <v>CS3351YD14</v>
      </c>
      <c r="B38281" s="3" t="str">
        <f>HYPERLINK("https://www.773grp.com/manufacturer/onsemi?pageNo=337", "ON Semiconductor")</f>
        <v>ON Semiconductor</v>
      </c>
      <c r="C38281" s="6">
        <v>5170</v>
      </c>
      <c r="D38281" s="7">
        <v>2.16</v>
      </c>
      <c r="E38281" t="s">
        <v>40</v>
      </c>
    </row>
    <row r="38282" spans="1:5" x14ac:dyDescent="0.25">
      <c r="A38282" t="str">
        <f>HYPERLINK("https://www.773grp.com/globalSearch/CS3351YDR14/page-1", "CS3351YDR14")</f>
        <v>CS3351YDR14</v>
      </c>
      <c r="B38282" s="3" t="str">
        <f>HYPERLINK("https://www.773grp.com/manufacturer/onsemi?pageNo=338", "ON Semiconductor")</f>
        <v>ON Semiconductor</v>
      </c>
      <c r="C38282" s="6">
        <v>12500</v>
      </c>
      <c r="D38282" s="7">
        <v>2.16</v>
      </c>
      <c r="E38282" t="s">
        <v>40</v>
      </c>
    </row>
    <row r="38283" spans="1:5" x14ac:dyDescent="0.25">
      <c r="A38283" t="str">
        <f>HYPERLINK("https://www.773grp.com/globalSearch/LA78141-E/page-1", "LA78141-E")</f>
        <v>LA78141-E</v>
      </c>
      <c r="B38283" s="3" t="str">
        <f>HYPERLINK("https://www.773grp.com/manufacturer/onsemi?pageNo=339", "ON Semiconductor")</f>
        <v>ON Semiconductor</v>
      </c>
      <c r="C38283" s="6">
        <v>400</v>
      </c>
      <c r="D38283" s="7">
        <v>2.16</v>
      </c>
    </row>
    <row r="38284" spans="1:5" x14ac:dyDescent="0.25">
      <c r="A38284" t="str">
        <f>HYPERLINK("https://www.773grp.com/globalSearch/LB1930MC-AH/page-1", "LB1930MC-AH")</f>
        <v>LB1930MC-AH</v>
      </c>
      <c r="B38284" s="3" t="str">
        <f>HYPERLINK("https://www.773grp.com/manufacturer/onsemi?pageNo=340", "ON Semiconductor")</f>
        <v>ON Semiconductor</v>
      </c>
      <c r="C38284" s="6">
        <v>1580</v>
      </c>
      <c r="D38284" s="7">
        <v>2.16</v>
      </c>
    </row>
    <row r="38285" spans="1:5" x14ac:dyDescent="0.25">
      <c r="A38285" t="str">
        <f>HYPERLINK("https://www.773grp.com/globalSearch/LM337D2T/page-1", "LM337D2T")</f>
        <v>LM337D2T</v>
      </c>
      <c r="B38285" s="3" t="str">
        <f>HYPERLINK("https://www.773grp.com/manufacturer/onsemi?pageNo=341", "ON Semiconductor")</f>
        <v>ON Semiconductor</v>
      </c>
      <c r="C38285" s="6">
        <v>250</v>
      </c>
      <c r="D38285" s="7">
        <v>2.16</v>
      </c>
      <c r="E38285" t="s">
        <v>37</v>
      </c>
    </row>
    <row r="38286" spans="1:5" x14ac:dyDescent="0.25">
      <c r="A38286" t="str">
        <f>HYPERLINK("https://www.773grp.com/globalSearch/LM337D2TG/page-1", "LM337D2TG")</f>
        <v>LM337D2TG</v>
      </c>
      <c r="B38286" s="3" t="str">
        <f>HYPERLINK("https://www.773grp.com/manufacturer/onsemi?pageNo=342", "ON Semiconductor")</f>
        <v>ON Semiconductor</v>
      </c>
      <c r="C38286" s="6">
        <v>650</v>
      </c>
      <c r="D38286" s="7">
        <v>2.16</v>
      </c>
      <c r="E38286" t="s">
        <v>37</v>
      </c>
    </row>
    <row r="38287" spans="1:5" x14ac:dyDescent="0.25">
      <c r="A38287" t="str">
        <f>HYPERLINK("https://www.773grp.com/globalSearch/LP2950ACDT-3.0G/page-1", "LP2950ACDT-3.0G")</f>
        <v>LP2950ACDT-3.0G</v>
      </c>
      <c r="B38287" s="3" t="str">
        <f>HYPERLINK("https://www.773grp.com/manufacturer/onsemi?pageNo=343", "ON Semiconductor")</f>
        <v>ON Semiconductor</v>
      </c>
      <c r="C38287" s="6">
        <v>400</v>
      </c>
      <c r="D38287" s="7">
        <v>2.16</v>
      </c>
      <c r="E38287" t="s">
        <v>19</v>
      </c>
    </row>
    <row r="38288" spans="1:5" x14ac:dyDescent="0.25">
      <c r="A38288" t="str">
        <f>HYPERLINK("https://www.773grp.com/globalSearch/LP2950ACDT-3.3RG/page-1", "LP2950ACDT-3.3RG")</f>
        <v>LP2950ACDT-3.3RG</v>
      </c>
      <c r="B38288" s="3" t="str">
        <f>HYPERLINK("https://www.773grp.com/manufacturer/onsemi?pageNo=344", "ON Semiconductor")</f>
        <v>ON Semiconductor</v>
      </c>
      <c r="C38288" s="6">
        <v>346841</v>
      </c>
      <c r="D38288" s="7">
        <v>2.16</v>
      </c>
      <c r="E38288" t="s">
        <v>19</v>
      </c>
    </row>
    <row r="38289" spans="1:5" x14ac:dyDescent="0.25">
      <c r="A38289" t="str">
        <f>HYPERLINK("https://www.773grp.com/globalSearch/LP2950ACDT-3RKG/page-1", "LP2950ACDT-3RKG")</f>
        <v>LP2950ACDT-3RKG</v>
      </c>
      <c r="B38289" s="3" t="str">
        <f>HYPERLINK("https://www.773grp.com/manufacturer/onsemi?pageNo=345", "ON Semiconductor")</f>
        <v>ON Semiconductor</v>
      </c>
      <c r="C38289" s="6">
        <v>4303</v>
      </c>
      <c r="D38289" s="7">
        <v>2.16</v>
      </c>
      <c r="E38289" t="s">
        <v>19</v>
      </c>
    </row>
    <row r="38290" spans="1:5" x14ac:dyDescent="0.25">
      <c r="A38290" t="str">
        <f>HYPERLINK("https://www.773grp.com/globalSearch/LP2950ACDT-5.0G/page-1", "LP2950ACDT-5.0G")</f>
        <v>LP2950ACDT-5.0G</v>
      </c>
      <c r="B38290" s="3" t="str">
        <f>HYPERLINK("https://www.773grp.com/manufacturer/onsemi?pageNo=346", "ON Semiconductor")</f>
        <v>ON Semiconductor</v>
      </c>
      <c r="C38290" s="6">
        <v>1650</v>
      </c>
      <c r="D38290" s="7">
        <v>2.16</v>
      </c>
    </row>
    <row r="38291" spans="1:5" x14ac:dyDescent="0.25">
      <c r="A38291" t="str">
        <f>HYPERLINK("https://www.773grp.com/globalSearch/LP2950ACDT-5RKG/page-1", "LP2950ACDT-5RKG")</f>
        <v>LP2950ACDT-5RKG</v>
      </c>
      <c r="B38291" s="3" t="str">
        <f>HYPERLINK("https://www.773grp.com/manufacturer/onsemi?pageNo=347", "ON Semiconductor")</f>
        <v>ON Semiconductor</v>
      </c>
      <c r="C38291" s="6">
        <v>286464</v>
      </c>
      <c r="D38291" s="7">
        <v>2.16</v>
      </c>
      <c r="E38291" t="s">
        <v>19</v>
      </c>
    </row>
    <row r="38292" spans="1:5" x14ac:dyDescent="0.25">
      <c r="A38292" t="str">
        <f>HYPERLINK("https://www.773grp.com/globalSearch/MAC8SDG/page-1", "MAC8SDG")</f>
        <v>MAC8SDG</v>
      </c>
      <c r="B38292" s="3" t="str">
        <f>HYPERLINK("https://www.773grp.com/manufacturer/onsemi?pageNo=348", "ON Semiconductor")</f>
        <v>ON Semiconductor</v>
      </c>
      <c r="C38292" s="6">
        <v>1650</v>
      </c>
      <c r="D38292" s="7">
        <v>2.16</v>
      </c>
      <c r="E38292" t="s">
        <v>102</v>
      </c>
    </row>
    <row r="38293" spans="1:5" x14ac:dyDescent="0.25">
      <c r="A38293" t="str">
        <f>HYPERLINK("https://www.773grp.com/globalSearch/MAC8SMG/page-1", "MAC8SMG")</f>
        <v>MAC8SMG</v>
      </c>
      <c r="B38293" s="3" t="str">
        <f>HYPERLINK("https://www.773grp.com/manufacturer/onsemi?pageNo=349", "ON Semiconductor")</f>
        <v>ON Semiconductor</v>
      </c>
      <c r="C38293" s="6">
        <v>1722</v>
      </c>
      <c r="D38293" s="7">
        <v>2.16</v>
      </c>
      <c r="E38293" t="s">
        <v>102</v>
      </c>
    </row>
    <row r="38294" spans="1:5" x14ac:dyDescent="0.25">
      <c r="A38294" t="str">
        <f>HYPERLINK("https://www.773grp.com/globalSearch/MBR30H100CTG/page-1", "MBR30H100CTG")</f>
        <v>MBR30H100CTG</v>
      </c>
      <c r="B38294" s="3" t="str">
        <f>HYPERLINK("https://www.773grp.com/manufacturer/onsemi?pageNo=350", "ON Semiconductor")</f>
        <v>ON Semiconductor</v>
      </c>
      <c r="C38294" s="6">
        <v>22600</v>
      </c>
      <c r="D38294" s="7">
        <v>2.16</v>
      </c>
      <c r="E38294" t="s">
        <v>103</v>
      </c>
    </row>
    <row r="38295" spans="1:5" x14ac:dyDescent="0.25">
      <c r="A38295" t="str">
        <f>HYPERLINK("https://www.773grp.com/globalSearch/MC33063AVPG/page-1", "MC33063AVPG")</f>
        <v>MC33063AVPG</v>
      </c>
      <c r="B38295" s="3" t="str">
        <f>HYPERLINK("https://www.773grp.com/manufacturer/onsemi?pageNo=351", "ON Semiconductor")</f>
        <v>ON Semiconductor</v>
      </c>
      <c r="C38295" s="6">
        <v>2216</v>
      </c>
      <c r="D38295" s="7">
        <v>2.16</v>
      </c>
      <c r="E38295" t="s">
        <v>7</v>
      </c>
    </row>
    <row r="38296" spans="1:5" x14ac:dyDescent="0.25">
      <c r="A38296" t="str">
        <f>HYPERLINK("https://www.773grp.com/globalSearch/MC33079DR2/page-1", "MC33079DR2")</f>
        <v>MC33079DR2</v>
      </c>
      <c r="B38296" s="3" t="str">
        <f>HYPERLINK("https://www.773grp.com/manufacturer/onsemi?pageNo=352", "ON Semiconductor")</f>
        <v>ON Semiconductor</v>
      </c>
      <c r="C38296" s="6">
        <v>4628</v>
      </c>
      <c r="D38296" s="7">
        <v>2.16</v>
      </c>
    </row>
    <row r="38297" spans="1:5" x14ac:dyDescent="0.25">
      <c r="A38297" t="str">
        <f>HYPERLINK("https://www.773grp.com/globalSearch/MC33079PG/page-1", "MC33079PG")</f>
        <v>MC33079PG</v>
      </c>
      <c r="B38297" s="3" t="str">
        <f>HYPERLINK("https://www.773grp.com/manufacturer/onsemi?pageNo=353", "ON Semiconductor")</f>
        <v>ON Semiconductor</v>
      </c>
      <c r="C38297" s="6">
        <v>17425</v>
      </c>
      <c r="D38297" s="7">
        <v>2.16</v>
      </c>
      <c r="E38297" t="s">
        <v>13</v>
      </c>
    </row>
    <row r="38298" spans="1:5" x14ac:dyDescent="0.25">
      <c r="A38298" t="str">
        <f>HYPERLINK("https://www.773grp.com/globalSearch/MC74AC240NG/page-1", "MC74AC240NG")</f>
        <v>MC74AC240NG</v>
      </c>
      <c r="B38298" s="3" t="str">
        <f>HYPERLINK("https://www.773grp.com/manufacturer/onsemi?pageNo=354", "ON Semiconductor")</f>
        <v>ON Semiconductor</v>
      </c>
      <c r="C38298" s="6">
        <v>16284</v>
      </c>
      <c r="D38298" s="7">
        <v>2.16</v>
      </c>
      <c r="E38298" t="s">
        <v>14</v>
      </c>
    </row>
    <row r="38299" spans="1:5" x14ac:dyDescent="0.25">
      <c r="A38299" t="str">
        <f>HYPERLINK("https://www.773grp.com/globalSearch/MC74AC244NG/page-1", "MC74AC244NG")</f>
        <v>MC74AC244NG</v>
      </c>
      <c r="B38299" s="3" t="str">
        <f>HYPERLINK("https://www.773grp.com/manufacturer/onsemi?pageNo=355", "ON Semiconductor")</f>
        <v>ON Semiconductor</v>
      </c>
      <c r="C38299" s="6">
        <v>250</v>
      </c>
      <c r="D38299" s="7">
        <v>2.16</v>
      </c>
      <c r="E38299" t="s">
        <v>14</v>
      </c>
    </row>
    <row r="38300" spans="1:5" x14ac:dyDescent="0.25">
      <c r="A38300" t="str">
        <f>HYPERLINK("https://www.773grp.com/globalSearch/MC74AC245NG/page-1", "MC74AC245NG")</f>
        <v>MC74AC245NG</v>
      </c>
      <c r="B38300" s="3" t="str">
        <f>HYPERLINK("https://www.773grp.com/manufacturer/onsemi?pageNo=356", "ON Semiconductor")</f>
        <v>ON Semiconductor</v>
      </c>
      <c r="C38300" s="6">
        <v>4190</v>
      </c>
      <c r="D38300" s="7">
        <v>2.16</v>
      </c>
      <c r="E38300" t="s">
        <v>14</v>
      </c>
    </row>
    <row r="38301" spans="1:5" x14ac:dyDescent="0.25">
      <c r="A38301" t="str">
        <f>HYPERLINK("https://www.773grp.com/globalSearch/MC74AC257NG/page-1", "MC74AC257NG")</f>
        <v>MC74AC257NG</v>
      </c>
      <c r="B38301" s="3" t="str">
        <f>HYPERLINK("https://www.773grp.com/manufacturer/onsemi?pageNo=357", "ON Semiconductor")</f>
        <v>ON Semiconductor</v>
      </c>
      <c r="C38301" s="6">
        <v>8000</v>
      </c>
      <c r="D38301" s="7">
        <v>2.16</v>
      </c>
      <c r="E38301" t="s">
        <v>20</v>
      </c>
    </row>
    <row r="38302" spans="1:5" x14ac:dyDescent="0.25">
      <c r="A38302" t="str">
        <f>HYPERLINK("https://www.773grp.com/globalSearch/MC74AC273NG/page-1", "MC74AC273NG")</f>
        <v>MC74AC273NG</v>
      </c>
      <c r="B38302" s="3" t="str">
        <f>HYPERLINK("https://www.773grp.com/manufacturer/onsemi?pageNo=358", "ON Semiconductor")</f>
        <v>ON Semiconductor</v>
      </c>
      <c r="C38302" s="6">
        <v>5549</v>
      </c>
      <c r="D38302" s="7">
        <v>2.16</v>
      </c>
      <c r="E38302" t="s">
        <v>35</v>
      </c>
    </row>
    <row r="38303" spans="1:5" x14ac:dyDescent="0.25">
      <c r="A38303" t="str">
        <f>HYPERLINK("https://www.773grp.com/globalSearch/MC74AC373NG/page-1", "MC74AC373NG")</f>
        <v>MC74AC373NG</v>
      </c>
      <c r="B38303" s="3" t="str">
        <f>HYPERLINK("https://www.773grp.com/manufacturer/onsemi?pageNo=359", "ON Semiconductor")</f>
        <v>ON Semiconductor</v>
      </c>
      <c r="C38303" s="6">
        <v>3691</v>
      </c>
      <c r="D38303" s="7">
        <v>2.16</v>
      </c>
      <c r="E38303" t="s">
        <v>14</v>
      </c>
    </row>
    <row r="38304" spans="1:5" x14ac:dyDescent="0.25">
      <c r="A38304" t="str">
        <f>HYPERLINK("https://www.773grp.com/globalSearch/MC74AC374NG/page-1", "MC74AC374NG")</f>
        <v>MC74AC374NG</v>
      </c>
      <c r="B38304" s="3" t="str">
        <f>HYPERLINK("https://www.773grp.com/manufacturer/onsemi?pageNo=360", "ON Semiconductor")</f>
        <v>ON Semiconductor</v>
      </c>
      <c r="C38304" s="6">
        <v>7400</v>
      </c>
      <c r="D38304" s="7">
        <v>2.16</v>
      </c>
      <c r="E38304" t="s">
        <v>14</v>
      </c>
    </row>
    <row r="38305" spans="1:5" x14ac:dyDescent="0.25">
      <c r="A38305" t="str">
        <f>HYPERLINK("https://www.773grp.com/globalSearch/MC74AC377NG/page-1", "MC74AC377NG")</f>
        <v>MC74AC377NG</v>
      </c>
      <c r="B38305" s="3" t="str">
        <f>HYPERLINK("https://www.773grp.com/manufacturer/onsemi?pageNo=361", "ON Semiconductor")</f>
        <v>ON Semiconductor</v>
      </c>
      <c r="C38305" s="6">
        <v>12613</v>
      </c>
      <c r="D38305" s="7">
        <v>2.16</v>
      </c>
      <c r="E38305" t="s">
        <v>35</v>
      </c>
    </row>
    <row r="38306" spans="1:5" x14ac:dyDescent="0.25">
      <c r="A38306" t="str">
        <f>HYPERLINK("https://www.773grp.com/globalSearch/MC74AC540NG/page-1", "MC74AC540NG")</f>
        <v>MC74AC540NG</v>
      </c>
      <c r="B38306" s="3" t="str">
        <f>HYPERLINK("https://www.773grp.com/manufacturer/onsemi?pageNo=362", "ON Semiconductor")</f>
        <v>ON Semiconductor</v>
      </c>
      <c r="C38306" s="6">
        <v>4924</v>
      </c>
      <c r="D38306" s="7">
        <v>2.16</v>
      </c>
      <c r="E38306" t="s">
        <v>14</v>
      </c>
    </row>
    <row r="38307" spans="1:5" x14ac:dyDescent="0.25">
      <c r="A38307" t="str">
        <f>HYPERLINK("https://www.773grp.com/globalSearch/MC74AC541NG/page-1", "MC74AC541NG")</f>
        <v>MC74AC541NG</v>
      </c>
      <c r="B38307" s="3" t="str">
        <f>HYPERLINK("https://www.773grp.com/manufacturer/onsemi?pageNo=363", "ON Semiconductor")</f>
        <v>ON Semiconductor</v>
      </c>
      <c r="C38307" s="6">
        <v>2768</v>
      </c>
      <c r="D38307" s="7">
        <v>2.16</v>
      </c>
      <c r="E38307" t="s">
        <v>14</v>
      </c>
    </row>
    <row r="38308" spans="1:5" x14ac:dyDescent="0.25">
      <c r="A38308" t="str">
        <f>HYPERLINK("https://www.773grp.com/globalSearch/MC74AC573NG/page-1", "MC74AC573NG")</f>
        <v>MC74AC573NG</v>
      </c>
      <c r="B38308" s="3" t="str">
        <f>HYPERLINK("https://www.773grp.com/manufacturer/onsemi?pageNo=364", "ON Semiconductor")</f>
        <v>ON Semiconductor</v>
      </c>
      <c r="C38308" s="6">
        <v>2980</v>
      </c>
      <c r="D38308" s="7">
        <v>2.16</v>
      </c>
      <c r="E38308" t="s">
        <v>14</v>
      </c>
    </row>
    <row r="38309" spans="1:5" x14ac:dyDescent="0.25">
      <c r="A38309" t="str">
        <f>HYPERLINK("https://www.773grp.com/globalSearch/MC74AC574NG/page-1", "MC74AC574NG")</f>
        <v>MC74AC574NG</v>
      </c>
      <c r="B38309" s="3" t="str">
        <f>HYPERLINK("https://www.773grp.com/manufacturer/onsemi?pageNo=365", "ON Semiconductor")</f>
        <v>ON Semiconductor</v>
      </c>
      <c r="C38309" s="6">
        <v>4083</v>
      </c>
      <c r="D38309" s="7">
        <v>2.16</v>
      </c>
      <c r="E38309" t="s">
        <v>14</v>
      </c>
    </row>
    <row r="38310" spans="1:5" x14ac:dyDescent="0.25">
      <c r="A38310" t="str">
        <f>HYPERLINK("https://www.773grp.com/globalSearch/MC74ACT240NG/page-1", "MC74ACT240NG")</f>
        <v>MC74ACT240NG</v>
      </c>
      <c r="B38310" s="3" t="str">
        <f>HYPERLINK("https://www.773grp.com/manufacturer/onsemi?pageNo=366", "ON Semiconductor")</f>
        <v>ON Semiconductor</v>
      </c>
      <c r="C38310" s="6">
        <v>5837</v>
      </c>
      <c r="D38310" s="7">
        <v>2.16</v>
      </c>
      <c r="E38310" t="s">
        <v>14</v>
      </c>
    </row>
    <row r="38311" spans="1:5" x14ac:dyDescent="0.25">
      <c r="A38311" t="str">
        <f>HYPERLINK("https://www.773grp.com/globalSearch/MC74ACT244NG/page-1", "MC74ACT244NG")</f>
        <v>MC74ACT244NG</v>
      </c>
      <c r="B38311" s="3" t="str">
        <f>HYPERLINK("https://www.773grp.com/manufacturer/onsemi?pageNo=367", "ON Semiconductor")</f>
        <v>ON Semiconductor</v>
      </c>
      <c r="C38311" s="6">
        <v>10969</v>
      </c>
      <c r="D38311" s="7">
        <v>2.16</v>
      </c>
      <c r="E38311" t="s">
        <v>14</v>
      </c>
    </row>
    <row r="38312" spans="1:5" x14ac:dyDescent="0.25">
      <c r="A38312" t="str">
        <f>HYPERLINK("https://www.773grp.com/globalSearch/MC74ACT245NG/page-1", "MC74ACT245NG")</f>
        <v>MC74ACT245NG</v>
      </c>
      <c r="B38312" s="3" t="str">
        <f>HYPERLINK("https://www.773grp.com/manufacturer/onsemi?pageNo=368", "ON Semiconductor")</f>
        <v>ON Semiconductor</v>
      </c>
      <c r="C38312" s="6">
        <v>6186</v>
      </c>
      <c r="D38312" s="7">
        <v>2.16</v>
      </c>
      <c r="E38312" t="s">
        <v>14</v>
      </c>
    </row>
    <row r="38313" spans="1:5" x14ac:dyDescent="0.25">
      <c r="A38313" t="str">
        <f>HYPERLINK("https://www.773grp.com/globalSearch/MC74ACT257NG/page-1", "MC74ACT257NG")</f>
        <v>MC74ACT257NG</v>
      </c>
      <c r="B38313" s="3" t="str">
        <f>HYPERLINK("https://www.773grp.com/manufacturer/onsemi?pageNo=369", "ON Semiconductor")</f>
        <v>ON Semiconductor</v>
      </c>
      <c r="C38313" s="6">
        <v>5542</v>
      </c>
      <c r="D38313" s="7">
        <v>2.16</v>
      </c>
      <c r="E38313" t="s">
        <v>20</v>
      </c>
    </row>
    <row r="38314" spans="1:5" x14ac:dyDescent="0.25">
      <c r="A38314" t="str">
        <f>HYPERLINK("https://www.773grp.com/globalSearch/MC74ACT273NG/page-1", "MC74ACT273NG")</f>
        <v>MC74ACT273NG</v>
      </c>
      <c r="B38314" s="3" t="str">
        <f>HYPERLINK("https://www.773grp.com/manufacturer/onsemi?pageNo=370", "ON Semiconductor")</f>
        <v>ON Semiconductor</v>
      </c>
      <c r="C38314" s="6">
        <v>5570</v>
      </c>
      <c r="D38314" s="7">
        <v>2.16</v>
      </c>
      <c r="E38314" t="s">
        <v>35</v>
      </c>
    </row>
    <row r="38315" spans="1:5" x14ac:dyDescent="0.25">
      <c r="A38315" t="str">
        <f>HYPERLINK("https://www.773grp.com/globalSearch/MC74ACT373NG/page-1", "MC74ACT373NG")</f>
        <v>MC74ACT373NG</v>
      </c>
      <c r="B38315" s="3" t="str">
        <f>HYPERLINK("https://www.773grp.com/manufacturer/onsemi?pageNo=371", "ON Semiconductor")</f>
        <v>ON Semiconductor</v>
      </c>
      <c r="C38315" s="6">
        <v>14092</v>
      </c>
      <c r="D38315" s="7">
        <v>2.16</v>
      </c>
      <c r="E38315" t="s">
        <v>14</v>
      </c>
    </row>
    <row r="38316" spans="1:5" x14ac:dyDescent="0.25">
      <c r="A38316" t="str">
        <f>HYPERLINK("https://www.773grp.com/globalSearch/MC74ACT374NG/page-1", "MC74ACT374NG")</f>
        <v>MC74ACT374NG</v>
      </c>
      <c r="B38316" s="3" t="str">
        <f>HYPERLINK("https://www.773grp.com/manufacturer/onsemi?pageNo=372", "ON Semiconductor")</f>
        <v>ON Semiconductor</v>
      </c>
      <c r="C38316" s="6">
        <v>1224</v>
      </c>
      <c r="D38316" s="7">
        <v>2.16</v>
      </c>
      <c r="E38316" t="s">
        <v>14</v>
      </c>
    </row>
    <row r="38317" spans="1:5" x14ac:dyDescent="0.25">
      <c r="A38317" t="str">
        <f>HYPERLINK("https://www.773grp.com/globalSearch/MC74ACT377NG/page-1", "MC74ACT377NG")</f>
        <v>MC74ACT377NG</v>
      </c>
      <c r="B38317" s="3" t="str">
        <f>HYPERLINK("https://www.773grp.com/manufacturer/onsemi?pageNo=373", "ON Semiconductor")</f>
        <v>ON Semiconductor</v>
      </c>
      <c r="C38317" s="6">
        <v>11042</v>
      </c>
      <c r="D38317" s="7">
        <v>2.16</v>
      </c>
      <c r="E38317" t="s">
        <v>35</v>
      </c>
    </row>
    <row r="38318" spans="1:5" x14ac:dyDescent="0.25">
      <c r="A38318" t="str">
        <f>HYPERLINK("https://www.773grp.com/globalSearch/MC74ACT540NG/page-1", "MC74ACT540NG")</f>
        <v>MC74ACT540NG</v>
      </c>
      <c r="B38318" s="3" t="str">
        <f>HYPERLINK("https://www.773grp.com/manufacturer/onsemi?pageNo=374", "ON Semiconductor")</f>
        <v>ON Semiconductor</v>
      </c>
      <c r="C38318" s="6">
        <v>5555</v>
      </c>
      <c r="D38318" s="7">
        <v>2.16</v>
      </c>
      <c r="E38318" t="s">
        <v>14</v>
      </c>
    </row>
    <row r="38319" spans="1:5" x14ac:dyDescent="0.25">
      <c r="A38319" t="str">
        <f>HYPERLINK("https://www.773grp.com/globalSearch/MC74ACT541NG/page-1", "MC74ACT541NG")</f>
        <v>MC74ACT541NG</v>
      </c>
      <c r="B38319" s="3" t="str">
        <f>HYPERLINK("https://www.773grp.com/manufacturer/onsemi?pageNo=375", "ON Semiconductor")</f>
        <v>ON Semiconductor</v>
      </c>
      <c r="C38319" s="6">
        <v>3573</v>
      </c>
      <c r="D38319" s="7">
        <v>2.16</v>
      </c>
      <c r="E38319" t="s">
        <v>14</v>
      </c>
    </row>
    <row r="38320" spans="1:5" x14ac:dyDescent="0.25">
      <c r="A38320" t="str">
        <f>HYPERLINK("https://www.773grp.com/globalSearch/MC74ACT564NG/page-1", "MC74ACT564NG")</f>
        <v>MC74ACT564NG</v>
      </c>
      <c r="B38320" s="3" t="str">
        <f>HYPERLINK("https://www.773grp.com/manufacturer/onsemi?pageNo=376", "ON Semiconductor")</f>
        <v>ON Semiconductor</v>
      </c>
      <c r="C38320" s="6">
        <v>11028</v>
      </c>
      <c r="D38320" s="7">
        <v>2.16</v>
      </c>
      <c r="E38320" t="s">
        <v>14</v>
      </c>
    </row>
    <row r="38321" spans="1:5" x14ac:dyDescent="0.25">
      <c r="A38321" t="str">
        <f>HYPERLINK("https://www.773grp.com/globalSearch/MC74ACT573NG/page-1", "MC74ACT573NG")</f>
        <v>MC74ACT573NG</v>
      </c>
      <c r="B38321" s="3" t="str">
        <f>HYPERLINK("https://www.773grp.com/manufacturer/onsemi?pageNo=377", "ON Semiconductor")</f>
        <v>ON Semiconductor</v>
      </c>
      <c r="C38321" s="6">
        <v>17938</v>
      </c>
      <c r="D38321" s="7">
        <v>2.16</v>
      </c>
      <c r="E38321" t="s">
        <v>14</v>
      </c>
    </row>
    <row r="38322" spans="1:5" x14ac:dyDescent="0.25">
      <c r="A38322" t="str">
        <f>HYPERLINK("https://www.773grp.com/globalSearch/MC74ACT574NG/page-1", "MC74ACT574NG")</f>
        <v>MC74ACT574NG</v>
      </c>
      <c r="B38322" s="3" t="str">
        <f>HYPERLINK("https://www.773grp.com/manufacturer/onsemi?pageNo=378", "ON Semiconductor")</f>
        <v>ON Semiconductor</v>
      </c>
      <c r="C38322" s="6">
        <v>5188</v>
      </c>
      <c r="D38322" s="7">
        <v>2.16</v>
      </c>
      <c r="E38322" t="s">
        <v>14</v>
      </c>
    </row>
    <row r="38323" spans="1:5" x14ac:dyDescent="0.25">
      <c r="A38323" t="str">
        <f>HYPERLINK("https://www.773grp.com/globalSearch/MC74F533N/page-1", "MC74F533N")</f>
        <v>MC74F533N</v>
      </c>
      <c r="B38323" s="3" t="str">
        <f>HYPERLINK("https://www.773grp.com/manufacturer/onsemi?pageNo=379", "ON Semiconductor")</f>
        <v>ON Semiconductor</v>
      </c>
      <c r="C38323" s="6">
        <v>3076</v>
      </c>
      <c r="D38323" s="7">
        <v>2.16</v>
      </c>
      <c r="E38323" t="s">
        <v>14</v>
      </c>
    </row>
    <row r="38324" spans="1:5" x14ac:dyDescent="0.25">
      <c r="A38324" t="str">
        <f>HYPERLINK("https://www.773grp.com/globalSearch/MJB45H11G/page-1", "MJB45H11G")</f>
        <v>MJB45H11G</v>
      </c>
      <c r="B38324" s="3" t="str">
        <f>HYPERLINK("https://www.773grp.com/manufacturer/onsemi?pageNo=380", "ON Semiconductor")</f>
        <v>ON Semiconductor</v>
      </c>
      <c r="C38324" s="6">
        <v>78</v>
      </c>
      <c r="D38324" s="7">
        <v>2.16</v>
      </c>
    </row>
    <row r="38325" spans="1:5" x14ac:dyDescent="0.25">
      <c r="A38325" t="str">
        <f>HYPERLINK("https://www.773grp.com/globalSearch/MJB45H11T4G/page-1", "MJB45H11T4G")</f>
        <v>MJB45H11T4G</v>
      </c>
      <c r="B38325" s="3" t="str">
        <f>HYPERLINK("https://www.773grp.com/manufacturer/onsemi?pageNo=381", "ON Semiconductor")</f>
        <v>ON Semiconductor</v>
      </c>
      <c r="C38325" s="6">
        <v>2940</v>
      </c>
      <c r="D38325" s="7">
        <v>2.16</v>
      </c>
      <c r="E38325" t="s">
        <v>59</v>
      </c>
    </row>
    <row r="38326" spans="1:5" x14ac:dyDescent="0.25">
      <c r="A38326" t="str">
        <f>HYPERLINK("https://www.773grp.com/globalSearch/MJE15028G/page-1", "MJE15028G")</f>
        <v>MJE15028G</v>
      </c>
      <c r="B38326" s="3" t="str">
        <f>HYPERLINK("https://www.773grp.com/manufacturer/onsemi?pageNo=382", "ON Semiconductor")</f>
        <v>ON Semiconductor</v>
      </c>
      <c r="C38326" s="6">
        <v>2760</v>
      </c>
      <c r="D38326" s="7">
        <v>2.16</v>
      </c>
      <c r="E38326" t="s">
        <v>59</v>
      </c>
    </row>
    <row r="38327" spans="1:5" x14ac:dyDescent="0.25">
      <c r="A38327" t="str">
        <f>HYPERLINK("https://www.773grp.com/globalSearch/MJE18002G/page-1", "MJE18002G")</f>
        <v>MJE18002G</v>
      </c>
      <c r="B38327" s="3" t="str">
        <f>HYPERLINK("https://www.773grp.com/manufacturer/onsemi?pageNo=383", "ON Semiconductor")</f>
        <v>ON Semiconductor</v>
      </c>
      <c r="C38327" s="6">
        <v>66341</v>
      </c>
      <c r="D38327" s="7">
        <v>2.16</v>
      </c>
      <c r="E38327" t="s">
        <v>59</v>
      </c>
    </row>
    <row r="38328" spans="1:5" x14ac:dyDescent="0.25">
      <c r="A38328" t="str">
        <f>HYPERLINK("https://www.773grp.com/globalSearch/MJF18002/page-1", "MJF18002")</f>
        <v>MJF18002</v>
      </c>
      <c r="B38328" s="3" t="str">
        <f>HYPERLINK("https://www.773grp.com/manufacturer/onsemi?pageNo=384", "ON Semiconductor")</f>
        <v>ON Semiconductor</v>
      </c>
      <c r="C38328" s="6">
        <v>150</v>
      </c>
      <c r="D38328" s="7">
        <v>2.16</v>
      </c>
      <c r="E38328" t="s">
        <v>59</v>
      </c>
    </row>
    <row r="38329" spans="1:5" x14ac:dyDescent="0.25">
      <c r="A38329" t="str">
        <f>HYPERLINK("https://www.773grp.com/globalSearch/MR4027P/page-1", "MR4027P")</f>
        <v>MR4027P</v>
      </c>
      <c r="B38329" s="3" t="str">
        <f>HYPERLINK("https://www.773grp.com/manufacturer/onsemi?pageNo=385", "ON Semiconductor")</f>
        <v>ON Semiconductor</v>
      </c>
      <c r="C38329" s="6">
        <v>9900</v>
      </c>
      <c r="D38329" s="7">
        <v>2.16</v>
      </c>
      <c r="E38329" t="s">
        <v>96</v>
      </c>
    </row>
    <row r="38330" spans="1:5" x14ac:dyDescent="0.25">
      <c r="A38330" t="str">
        <f>HYPERLINK("https://www.773grp.com/globalSearch/NCP1086ST-33T3G/page-1", "NCP1086ST-33T3G")</f>
        <v>NCP1086ST-33T3G</v>
      </c>
      <c r="B38330" s="3" t="str">
        <f>HYPERLINK("https://www.773grp.com/manufacturer/onsemi?pageNo=386", "ON Semiconductor")</f>
        <v>ON Semiconductor</v>
      </c>
      <c r="C38330" s="6">
        <v>7500</v>
      </c>
      <c r="D38330" s="7">
        <v>2.16</v>
      </c>
      <c r="E38330" t="s">
        <v>19</v>
      </c>
    </row>
    <row r="38331" spans="1:5" x14ac:dyDescent="0.25">
      <c r="A38331" t="str">
        <f>HYPERLINK("https://www.773grp.com/globalSearch/NCP1207DR2G/page-1", "NCP1207DR2G")</f>
        <v>NCP1207DR2G</v>
      </c>
      <c r="B38331" s="3" t="str">
        <f>HYPERLINK("https://www.773grp.com/manufacturer/onsemi?pageNo=387", "ON Semiconductor")</f>
        <v>ON Semiconductor</v>
      </c>
      <c r="C38331" s="6">
        <v>118968</v>
      </c>
      <c r="D38331" s="7">
        <v>2.16</v>
      </c>
      <c r="E38331" t="s">
        <v>7</v>
      </c>
    </row>
    <row r="38332" spans="1:5" x14ac:dyDescent="0.25">
      <c r="A38332" t="str">
        <f>HYPERLINK("https://www.773grp.com/globalSearch/NCP1550SN18T1G/page-1", "NCP1550SN18T1G")</f>
        <v>NCP1550SN18T1G</v>
      </c>
      <c r="B38332" s="3" t="str">
        <f>HYPERLINK("https://www.773grp.com/manufacturer/onsemi?pageNo=388", "ON Semiconductor")</f>
        <v>ON Semiconductor</v>
      </c>
      <c r="C38332" s="6">
        <v>3000</v>
      </c>
      <c r="D38332" s="7">
        <v>2.16</v>
      </c>
      <c r="E38332" t="s">
        <v>7</v>
      </c>
    </row>
    <row r="38333" spans="1:5" x14ac:dyDescent="0.25">
      <c r="A38333" t="str">
        <f>HYPERLINK("https://www.773grp.com/globalSearch/NCP2682DM12/page-1", "NCP2682DM12")</f>
        <v>NCP2682DM12</v>
      </c>
      <c r="B38333" s="3" t="str">
        <f>HYPERLINK("https://www.773grp.com/manufacturer/onsemi?pageNo=389", "ON Semiconductor")</f>
        <v>ON Semiconductor</v>
      </c>
      <c r="C38333" s="6">
        <v>29900</v>
      </c>
      <c r="D38333" s="7">
        <v>2.16</v>
      </c>
    </row>
    <row r="38334" spans="1:5" x14ac:dyDescent="0.25">
      <c r="A38334" t="str">
        <f>HYPERLINK("https://www.773grp.com/globalSearch/NCP2682DM125/page-1", "NCP2682DM125")</f>
        <v>NCP2682DM125</v>
      </c>
      <c r="B38334" s="3" t="str">
        <f>HYPERLINK("https://www.773grp.com/manufacturer/onsemi?pageNo=390", "ON Semiconductor")</f>
        <v>ON Semiconductor</v>
      </c>
      <c r="C38334" s="6">
        <v>29900</v>
      </c>
      <c r="D38334" s="7">
        <v>2.16</v>
      </c>
    </row>
    <row r="38335" spans="1:5" x14ac:dyDescent="0.25">
      <c r="A38335" t="str">
        <f>HYPERLINK("https://www.773grp.com/globalSearch/NCP2682DM35/page-1", "NCP2682DM35")</f>
        <v>NCP2682DM35</v>
      </c>
      <c r="B38335" s="3" t="str">
        <f>HYPERLINK("https://www.773grp.com/manufacturer/onsemi?pageNo=391", "ON Semiconductor")</f>
        <v>ON Semiconductor</v>
      </c>
      <c r="C38335" s="6">
        <v>30000</v>
      </c>
      <c r="D38335" s="7">
        <v>2.16</v>
      </c>
    </row>
    <row r="38336" spans="1:5" x14ac:dyDescent="0.25">
      <c r="A38336" t="str">
        <f>HYPERLINK("https://www.773grp.com/globalSearch/NCP5661MN12T2G/page-1", "NCP5661MN12T2G")</f>
        <v>NCP5661MN12T2G</v>
      </c>
      <c r="B38336" s="3" t="str">
        <f>HYPERLINK("https://www.773grp.com/manufacturer/onsemi?pageNo=392", "ON Semiconductor")</f>
        <v>ON Semiconductor</v>
      </c>
      <c r="C38336" s="6">
        <v>20209</v>
      </c>
      <c r="D38336" s="7">
        <v>2.16</v>
      </c>
      <c r="E38336" t="s">
        <v>19</v>
      </c>
    </row>
    <row r="38337" spans="1:5" x14ac:dyDescent="0.25">
      <c r="A38337" t="str">
        <f>HYPERLINK("https://www.773grp.com/globalSearch/NCP5661MN15T2G/page-1", "NCP5661MN15T2G")</f>
        <v>NCP5661MN15T2G</v>
      </c>
      <c r="B38337" s="3" t="str">
        <f>HYPERLINK("https://www.773grp.com/manufacturer/onsemi?pageNo=393", "ON Semiconductor")</f>
        <v>ON Semiconductor</v>
      </c>
      <c r="C38337" s="6">
        <v>31511</v>
      </c>
      <c r="D38337" s="7">
        <v>2.16</v>
      </c>
      <c r="E38337" t="s">
        <v>19</v>
      </c>
    </row>
    <row r="38338" spans="1:5" x14ac:dyDescent="0.25">
      <c r="A38338" t="str">
        <f>HYPERLINK("https://www.773grp.com/globalSearch/NCP5661MN18T2G/page-1", "NCP5661MN18T2G")</f>
        <v>NCP5661MN18T2G</v>
      </c>
      <c r="B38338" s="3" t="str">
        <f>HYPERLINK("https://www.773grp.com/manufacturer/onsemi?pageNo=394", "ON Semiconductor")</f>
        <v>ON Semiconductor</v>
      </c>
      <c r="C38338" s="6">
        <v>21787</v>
      </c>
      <c r="D38338" s="7">
        <v>2.16</v>
      </c>
      <c r="E38338" t="s">
        <v>19</v>
      </c>
    </row>
    <row r="38339" spans="1:5" x14ac:dyDescent="0.25">
      <c r="A38339" t="str">
        <f>HYPERLINK("https://www.773grp.com/globalSearch/NCP5661MN25T2G/page-1", "NCP5661MN25T2G")</f>
        <v>NCP5661MN25T2G</v>
      </c>
      <c r="B38339" s="3" t="str">
        <f>HYPERLINK("https://www.773grp.com/manufacturer/onsemi?pageNo=395", "ON Semiconductor")</f>
        <v>ON Semiconductor</v>
      </c>
      <c r="C38339" s="6">
        <v>27900</v>
      </c>
      <c r="D38339" s="7">
        <v>2.16</v>
      </c>
      <c r="E38339" t="s">
        <v>19</v>
      </c>
    </row>
    <row r="38340" spans="1:5" x14ac:dyDescent="0.25">
      <c r="A38340" t="str">
        <f>HYPERLINK("https://www.773grp.com/globalSearch/NCP5661MN28T2G/page-1", "NCP5661MN28T2G")</f>
        <v>NCP5661MN28T2G</v>
      </c>
      <c r="B38340" s="3" t="str">
        <f>HYPERLINK("https://www.773grp.com/manufacturer/onsemi?pageNo=396", "ON Semiconductor")</f>
        <v>ON Semiconductor</v>
      </c>
      <c r="C38340" s="6">
        <v>30400</v>
      </c>
      <c r="D38340" s="7">
        <v>2.16</v>
      </c>
      <c r="E38340" t="s">
        <v>19</v>
      </c>
    </row>
    <row r="38341" spans="1:5" x14ac:dyDescent="0.25">
      <c r="A38341" t="str">
        <f>HYPERLINK("https://www.773grp.com/globalSearch/NCP5661MN30T2G/page-1", "NCP5661MN30T2G")</f>
        <v>NCP5661MN30T2G</v>
      </c>
      <c r="B38341" s="3" t="str">
        <f>HYPERLINK("https://www.773grp.com/manufacturer/onsemi?pageNo=397", "ON Semiconductor")</f>
        <v>ON Semiconductor</v>
      </c>
      <c r="C38341" s="6">
        <v>36000</v>
      </c>
      <c r="D38341" s="7">
        <v>2.16</v>
      </c>
      <c r="E38341" t="s">
        <v>19</v>
      </c>
    </row>
    <row r="38342" spans="1:5" x14ac:dyDescent="0.25">
      <c r="A38342" t="str">
        <f>HYPERLINK("https://www.773grp.com/globalSearch/NCP5661MNADJT2G/page-1", "NCP5661MNADJT2G")</f>
        <v>NCP5661MNADJT2G</v>
      </c>
      <c r="B38342" s="3" t="str">
        <f>HYPERLINK("https://www.773grp.com/manufacturer/onsemi?pageNo=398", "ON Semiconductor")</f>
        <v>ON Semiconductor</v>
      </c>
      <c r="C38342" s="6">
        <v>1377</v>
      </c>
      <c r="D38342" s="7">
        <v>2.16</v>
      </c>
      <c r="E38342" t="s">
        <v>25</v>
      </c>
    </row>
    <row r="38343" spans="1:5" x14ac:dyDescent="0.25">
      <c r="A38343" t="str">
        <f>HYPERLINK("https://www.773grp.com/globalSearch/NCP690MN15T2G/page-1", "NCP690MN15T2G")</f>
        <v>NCP690MN15T2G</v>
      </c>
      <c r="B38343" s="3" t="str">
        <f>HYPERLINK("https://www.773grp.com/manufacturer/onsemi?pageNo=399", "ON Semiconductor")</f>
        <v>ON Semiconductor</v>
      </c>
      <c r="C38343" s="6">
        <v>6000</v>
      </c>
      <c r="D38343" s="7">
        <v>2.16</v>
      </c>
      <c r="E38343" t="s">
        <v>19</v>
      </c>
    </row>
    <row r="38344" spans="1:5" x14ac:dyDescent="0.25">
      <c r="A38344" t="str">
        <f>HYPERLINK("https://www.773grp.com/globalSearch/NCP690MN18T2G/page-1", "NCP690MN18T2G")</f>
        <v>NCP690MN18T2G</v>
      </c>
      <c r="B38344" s="3" t="str">
        <f>HYPERLINK("https://www.773grp.com/manufacturer/onsemi?pageNo=400", "ON Semiconductor")</f>
        <v>ON Semiconductor</v>
      </c>
      <c r="C38344" s="6">
        <v>17885</v>
      </c>
      <c r="D38344" s="7">
        <v>2.16</v>
      </c>
      <c r="E38344" t="s">
        <v>19</v>
      </c>
    </row>
    <row r="38345" spans="1:5" x14ac:dyDescent="0.25">
      <c r="A38345" t="str">
        <f>HYPERLINK("https://www.773grp.com/globalSearch/NCP690MN25T2G/page-1", "NCP690MN25T2G")</f>
        <v>NCP690MN25T2G</v>
      </c>
      <c r="B38345" s="3" t="str">
        <f>HYPERLINK("https://www.773grp.com/manufacturer/onsemi?pageNo=401", "ON Semiconductor")</f>
        <v>ON Semiconductor</v>
      </c>
      <c r="C38345" s="6">
        <v>6000</v>
      </c>
      <c r="D38345" s="7">
        <v>2.16</v>
      </c>
      <c r="E38345" t="s">
        <v>19</v>
      </c>
    </row>
    <row r="38346" spans="1:5" x14ac:dyDescent="0.25">
      <c r="A38346" t="str">
        <f>HYPERLINK("https://www.773grp.com/globalSearch/NCP690MN50T2G/page-1", "NCP690MN50T2G")</f>
        <v>NCP690MN50T2G</v>
      </c>
      <c r="B38346" s="3" t="str">
        <f>HYPERLINK("https://www.773grp.com/manufacturer/onsemi?pageNo=402", "ON Semiconductor")</f>
        <v>ON Semiconductor</v>
      </c>
      <c r="C38346" s="6">
        <v>5890</v>
      </c>
      <c r="D38346" s="7">
        <v>2.16</v>
      </c>
      <c r="E38346" t="s">
        <v>19</v>
      </c>
    </row>
    <row r="38347" spans="1:5" x14ac:dyDescent="0.25">
      <c r="A38347" t="str">
        <f>HYPERLINK("https://www.773grp.com/globalSearch/NCP691MN18T2G/page-1", "NCP691MN18T2G")</f>
        <v>NCP691MN18T2G</v>
      </c>
      <c r="B38347" s="3" t="str">
        <f>HYPERLINK("https://www.773grp.com/manufacturer/onsemi?pageNo=403", "ON Semiconductor")</f>
        <v>ON Semiconductor</v>
      </c>
      <c r="C38347" s="6">
        <v>2800</v>
      </c>
      <c r="D38347" s="7">
        <v>2.16</v>
      </c>
    </row>
    <row r="38348" spans="1:5" x14ac:dyDescent="0.25">
      <c r="A38348" t="str">
        <f>HYPERLINK("https://www.773grp.com/globalSearch/NCP691MN33T2G/page-1", "NCP691MN33T2G")</f>
        <v>NCP691MN33T2G</v>
      </c>
      <c r="B38348" s="3" t="str">
        <f>HYPERLINK("https://www.773grp.com/manufacturer/onsemi?pageNo=404", "ON Semiconductor")</f>
        <v>ON Semiconductor</v>
      </c>
      <c r="C38348" s="6">
        <v>9000</v>
      </c>
      <c r="D38348" s="7">
        <v>2.16</v>
      </c>
    </row>
    <row r="38349" spans="1:5" x14ac:dyDescent="0.25">
      <c r="A38349" t="str">
        <f>HYPERLINK("https://www.773grp.com/globalSearch/NCP691MNADJT2G/page-1", "NCP691MNADJT2G")</f>
        <v>NCP691MNADJT2G</v>
      </c>
      <c r="B38349" s="3" t="str">
        <f>HYPERLINK("https://www.773grp.com/manufacturer/onsemi?pageNo=405", "ON Semiconductor")</f>
        <v>ON Semiconductor</v>
      </c>
      <c r="C38349" s="6">
        <v>4800</v>
      </c>
      <c r="D38349" s="7">
        <v>2.16</v>
      </c>
      <c r="E38349" t="s">
        <v>25</v>
      </c>
    </row>
    <row r="38350" spans="1:5" x14ac:dyDescent="0.25">
      <c r="A38350" t="str">
        <f>HYPERLINK("https://www.773grp.com/globalSearch/NCP692MN15T2G/page-1", "NCP692MN15T2G")</f>
        <v>NCP692MN15T2G</v>
      </c>
      <c r="B38350" s="3" t="str">
        <f>HYPERLINK("https://www.773grp.com/manufacturer/onsemi?pageNo=406", "ON Semiconductor")</f>
        <v>ON Semiconductor</v>
      </c>
      <c r="C38350" s="6">
        <v>6000</v>
      </c>
      <c r="D38350" s="7">
        <v>2.16</v>
      </c>
      <c r="E38350" t="s">
        <v>19</v>
      </c>
    </row>
    <row r="38351" spans="1:5" x14ac:dyDescent="0.25">
      <c r="A38351" t="str">
        <f>HYPERLINK("https://www.773grp.com/globalSearch/NCP693DMN08TCG/page-1", "NCP693DMN08TCG")</f>
        <v>NCP693DMN08TCG</v>
      </c>
      <c r="B38351" s="3" t="str">
        <f>HYPERLINK("https://www.773grp.com/manufacturer/onsemi?pageNo=407", "ON Semiconductor")</f>
        <v>ON Semiconductor</v>
      </c>
      <c r="C38351" s="6">
        <v>5000</v>
      </c>
      <c r="D38351" s="7">
        <v>2.16</v>
      </c>
    </row>
    <row r="38352" spans="1:5" x14ac:dyDescent="0.25">
      <c r="A38352" t="str">
        <f>HYPERLINK("https://www.773grp.com/globalSearch/NCP693DMN12TCG/page-1", "NCP693DMN12TCG")</f>
        <v>NCP693DMN12TCG</v>
      </c>
      <c r="B38352" s="3" t="str">
        <f>HYPERLINK("https://www.773grp.com/manufacturer/onsemi?pageNo=408", "ON Semiconductor")</f>
        <v>ON Semiconductor</v>
      </c>
      <c r="C38352" s="6">
        <v>10000</v>
      </c>
      <c r="D38352" s="7">
        <v>2.16</v>
      </c>
    </row>
    <row r="38353" spans="1:5" x14ac:dyDescent="0.25">
      <c r="A38353" t="str">
        <f>HYPERLINK("https://www.773grp.com/globalSearch/NCP693HMN08TCG/page-1", "NCP693HMN08TCG")</f>
        <v>NCP693HMN08TCG</v>
      </c>
      <c r="B38353" s="3" t="str">
        <f>HYPERLINK("https://www.773grp.com/manufacturer/onsemi?pageNo=409", "ON Semiconductor")</f>
        <v>ON Semiconductor</v>
      </c>
      <c r="C38353" s="6">
        <v>5000</v>
      </c>
      <c r="D38353" s="7">
        <v>2.16</v>
      </c>
    </row>
    <row r="38354" spans="1:5" x14ac:dyDescent="0.25">
      <c r="A38354" t="str">
        <f>HYPERLINK("https://www.773grp.com/globalSearch/NCP693HMN10TCG/page-1", "NCP693HMN10TCG")</f>
        <v>NCP693HMN10TCG</v>
      </c>
      <c r="B38354" s="3" t="str">
        <f>HYPERLINK("https://www.773grp.com/manufacturer/onsemi?pageNo=410", "ON Semiconductor")</f>
        <v>ON Semiconductor</v>
      </c>
      <c r="C38354" s="6">
        <v>14960</v>
      </c>
      <c r="D38354" s="7">
        <v>2.16</v>
      </c>
      <c r="E38354" t="s">
        <v>19</v>
      </c>
    </row>
    <row r="38355" spans="1:5" x14ac:dyDescent="0.25">
      <c r="A38355" t="str">
        <f>HYPERLINK("https://www.773grp.com/globalSearch/NCV3063MNTXG/page-1", "NCV3063MNTXG")</f>
        <v>NCV3063MNTXG</v>
      </c>
      <c r="B38355" s="3" t="str">
        <f>HYPERLINK("https://www.773grp.com/manufacturer/onsemi?pageNo=411", "ON Semiconductor")</f>
        <v>ON Semiconductor</v>
      </c>
      <c r="C38355" s="6">
        <v>7831</v>
      </c>
      <c r="D38355" s="7">
        <v>2.16</v>
      </c>
      <c r="E38355" t="s">
        <v>7</v>
      </c>
    </row>
    <row r="38356" spans="1:5" x14ac:dyDescent="0.25">
      <c r="A38356" t="str">
        <f>HYPERLINK("https://www.773grp.com/globalSearch/NCV3063PG/page-1", "NCV3063PG")</f>
        <v>NCV3063PG</v>
      </c>
      <c r="B38356" s="3" t="str">
        <f>HYPERLINK("https://www.773grp.com/manufacturer/onsemi?pageNo=412", "ON Semiconductor")</f>
        <v>ON Semiconductor</v>
      </c>
      <c r="C38356" s="6">
        <v>16100</v>
      </c>
      <c r="D38356" s="7">
        <v>2.16</v>
      </c>
      <c r="E38356" t="s">
        <v>7</v>
      </c>
    </row>
    <row r="38357" spans="1:5" x14ac:dyDescent="0.25">
      <c r="A38357" t="str">
        <f>HYPERLINK("https://www.773grp.com/globalSearch/NCV33063AVDR2/page-1", "NCV33063AVDR2")</f>
        <v>NCV33063AVDR2</v>
      </c>
      <c r="B38357" s="3" t="str">
        <f>HYPERLINK("https://www.773grp.com/manufacturer/onsemi?pageNo=413", "ON Semiconductor")</f>
        <v>ON Semiconductor</v>
      </c>
      <c r="C38357" s="6">
        <v>2272</v>
      </c>
      <c r="D38357" s="7">
        <v>2.16</v>
      </c>
      <c r="E38357" t="s">
        <v>7</v>
      </c>
    </row>
    <row r="38358" spans="1:5" x14ac:dyDescent="0.25">
      <c r="A38358" t="str">
        <f>HYPERLINK("https://www.773grp.com/globalSearch/NGTG15N60S1EG/page-1", "NGTG15N60S1EG")</f>
        <v>NGTG15N60S1EG</v>
      </c>
      <c r="B38358" s="3" t="str">
        <f>HYPERLINK("https://www.773grp.com/manufacturer/onsemi?pageNo=414", "ON Semiconductor")</f>
        <v>ON Semiconductor</v>
      </c>
      <c r="C38358" s="6">
        <v>700</v>
      </c>
      <c r="D38358" s="7">
        <v>2.16</v>
      </c>
    </row>
    <row r="38359" spans="1:5" x14ac:dyDescent="0.25">
      <c r="A38359" t="str">
        <f>HYPERLINK("https://www.773grp.com/globalSearch/NTD25P03LT4G/page-1", "NTD25P03LT4G")</f>
        <v>NTD25P03LT4G</v>
      </c>
      <c r="B38359" s="3" t="str">
        <f>HYPERLINK("https://www.773grp.com/manufacturer/onsemi?pageNo=415", "ON Semiconductor")</f>
        <v>ON Semiconductor</v>
      </c>
      <c r="C38359" s="6">
        <v>2500</v>
      </c>
      <c r="D38359" s="7">
        <v>2.16</v>
      </c>
      <c r="E38359" t="s">
        <v>105</v>
      </c>
    </row>
    <row r="38360" spans="1:5" x14ac:dyDescent="0.25">
      <c r="A38360" t="str">
        <f>HYPERLINK("https://www.773grp.com/globalSearch/NTTFS4945NTAG/page-1", "NTTFS4945NTAG")</f>
        <v>NTTFS4945NTAG</v>
      </c>
      <c r="B38360" s="3" t="str">
        <f>HYPERLINK("https://www.773grp.com/manufacturer/onsemi?pageNo=416", "ON Semiconductor")</f>
        <v>ON Semiconductor</v>
      </c>
      <c r="C38360" s="6">
        <v>34500</v>
      </c>
      <c r="D38360" s="7">
        <v>2.16</v>
      </c>
      <c r="E38360" t="s">
        <v>106</v>
      </c>
    </row>
    <row r="38361" spans="1:5" x14ac:dyDescent="0.25">
      <c r="A38361" t="str">
        <f>HYPERLINK("https://www.773grp.com/globalSearch/NVMD6P02R2G/page-1", "NVMD6P02R2G")</f>
        <v>NVMD6P02R2G</v>
      </c>
      <c r="B38361" s="3" t="str">
        <f>HYPERLINK("https://www.773grp.com/manufacturer/onsemi?pageNo=417", "ON Semiconductor")</f>
        <v>ON Semiconductor</v>
      </c>
      <c r="C38361" s="6">
        <v>2300</v>
      </c>
      <c r="D38361" s="7">
        <v>2.16</v>
      </c>
    </row>
    <row r="38362" spans="1:5" x14ac:dyDescent="0.25">
      <c r="A38362" t="str">
        <f>HYPERLINK("https://www.773grp.com/globalSearch/SN74LS795DWR2/page-1", "SN74LS795DWR2")</f>
        <v>SN74LS795DWR2</v>
      </c>
      <c r="B38362" s="3" t="str">
        <f>HYPERLINK("https://www.773grp.com/manufacturer/onsemi?pageNo=418", "ON Semiconductor")</f>
        <v>ON Semiconductor</v>
      </c>
      <c r="C38362" s="6">
        <v>1000</v>
      </c>
      <c r="D38362" s="7">
        <v>2.16</v>
      </c>
      <c r="E38362" t="s">
        <v>14</v>
      </c>
    </row>
    <row r="38363" spans="1:5" x14ac:dyDescent="0.25">
      <c r="A38363" t="str">
        <f>HYPERLINK("https://www.773grp.com/globalSearch/TCA0372DP1G/page-1", "TCA0372DP1G")</f>
        <v>TCA0372DP1G</v>
      </c>
      <c r="B38363" s="3" t="str">
        <f>HYPERLINK("https://www.773grp.com/manufacturer/onsemi?pageNo=419", "ON Semiconductor")</f>
        <v>ON Semiconductor</v>
      </c>
      <c r="C38363" s="6">
        <v>369895</v>
      </c>
      <c r="D38363" s="7">
        <v>2.16</v>
      </c>
      <c r="E38363" t="s">
        <v>13</v>
      </c>
    </row>
    <row r="38364" spans="1:5" x14ac:dyDescent="0.25">
      <c r="A38364" t="str">
        <f>HYPERLINK("https://www.773grp.com/globalSearch/TCA0372DP2G/page-1", "TCA0372DP2G")</f>
        <v>TCA0372DP2G</v>
      </c>
      <c r="B38364" s="3" t="str">
        <f>HYPERLINK("https://www.773grp.com/manufacturer/onsemi?pageNo=420", "ON Semiconductor")</f>
        <v>ON Semiconductor</v>
      </c>
      <c r="C38364" s="6">
        <v>293</v>
      </c>
      <c r="D38364" s="7">
        <v>2.16</v>
      </c>
      <c r="E38364" t="s">
        <v>13</v>
      </c>
    </row>
    <row r="38365" spans="1:5" x14ac:dyDescent="0.25">
      <c r="A38365" t="str">
        <f>HYPERLINK("https://www.773grp.com/globalSearch/ALVCH16374DTR/page-1", "ALVCH16374DTR")</f>
        <v>ALVCH16374DTR</v>
      </c>
      <c r="B38365" s="3" t="str">
        <f>HYPERLINK("https://www.773grp.com/manufacturer/onsemi?pageNo=421", "ON Semiconductor")</f>
        <v>ON Semiconductor</v>
      </c>
      <c r="C38365" s="6">
        <v>20000</v>
      </c>
      <c r="D38365" s="7">
        <v>2.21</v>
      </c>
    </row>
    <row r="38366" spans="1:5" x14ac:dyDescent="0.25">
      <c r="A38366" t="str">
        <f>HYPERLINK("https://www.773grp.com/globalSearch/BD243CG/page-1", "BD243CG")</f>
        <v>BD243CG</v>
      </c>
      <c r="B38366" s="3" t="str">
        <f>HYPERLINK("https://www.773grp.com/manufacturer/onsemi?pageNo=422", "ON Semiconductor")</f>
        <v>ON Semiconductor</v>
      </c>
      <c r="C38366" s="6">
        <v>8364</v>
      </c>
      <c r="D38366" s="7">
        <v>2.21</v>
      </c>
      <c r="E38366" t="s">
        <v>59</v>
      </c>
    </row>
    <row r="38367" spans="1:5" x14ac:dyDescent="0.25">
      <c r="A38367" t="str">
        <f>HYPERLINK("https://www.773grp.com/globalSearch/CAT3637HV3-GT2/page-1", "CAT3637HV3-GT2")</f>
        <v>CAT3637HV3-GT2</v>
      </c>
      <c r="B38367" s="3" t="str">
        <f>HYPERLINK("https://www.773grp.com/manufacturer/onsemi?pageNo=423", "ON Semiconductor")</f>
        <v>ON Semiconductor</v>
      </c>
      <c r="C38367" s="6">
        <v>78069</v>
      </c>
      <c r="D38367" s="7">
        <v>2.21</v>
      </c>
      <c r="E38367" t="s">
        <v>10</v>
      </c>
    </row>
    <row r="38368" spans="1:5" x14ac:dyDescent="0.25">
      <c r="A38368" t="str">
        <f>HYPERLINK("https://www.773grp.com/globalSearch/CM1233-08DE/page-1", "CM1233-08DE")</f>
        <v>CM1233-08DE</v>
      </c>
      <c r="B38368" s="3" t="str">
        <f>HYPERLINK("https://www.773grp.com/manufacturer/onsemi?pageNo=424", "ON Semiconductor")</f>
        <v>ON Semiconductor</v>
      </c>
      <c r="C38368" s="6">
        <v>2698</v>
      </c>
      <c r="D38368" s="7">
        <v>2.21</v>
      </c>
      <c r="E38368" t="s">
        <v>96</v>
      </c>
    </row>
    <row r="38369" spans="1:5" x14ac:dyDescent="0.25">
      <c r="A38369" t="str">
        <f>HYPERLINK("https://www.773grp.com/globalSearch/CM1236-08DE/page-1", "CM1236-08DE")</f>
        <v>CM1236-08DE</v>
      </c>
      <c r="B38369" s="3" t="str">
        <f>HYPERLINK("https://www.773grp.com/manufacturer/onsemi?pageNo=425", "ON Semiconductor")</f>
        <v>ON Semiconductor</v>
      </c>
      <c r="C38369" s="6">
        <v>3000</v>
      </c>
      <c r="D38369" s="7">
        <v>2.21</v>
      </c>
      <c r="E38369" t="s">
        <v>100</v>
      </c>
    </row>
    <row r="38370" spans="1:5" x14ac:dyDescent="0.25">
      <c r="A38370" t="str">
        <f>HYPERLINK("https://www.773grp.com/globalSearch/CM2020-00TR/page-1", "CM2020-00TR")</f>
        <v>CM2020-00TR</v>
      </c>
      <c r="B38370" s="3" t="str">
        <f>HYPERLINK("https://www.773grp.com/manufacturer/onsemi?pageNo=426", "ON Semiconductor")</f>
        <v>ON Semiconductor</v>
      </c>
      <c r="C38370" s="6">
        <v>2500</v>
      </c>
      <c r="D38370" s="7">
        <v>2.21</v>
      </c>
      <c r="E38370" t="s">
        <v>23</v>
      </c>
    </row>
    <row r="38371" spans="1:5" x14ac:dyDescent="0.25">
      <c r="A38371" t="str">
        <f>HYPERLINK("https://www.773grp.com/globalSearch/CS1108EDF8/page-1", "CS1108EDF8")</f>
        <v>CS1108EDF8</v>
      </c>
      <c r="B38371" s="3" t="str">
        <f>HYPERLINK("https://www.773grp.com/manufacturer/onsemi?pageNo=427", "ON Semiconductor")</f>
        <v>ON Semiconductor</v>
      </c>
      <c r="C38371" s="6">
        <v>2592</v>
      </c>
      <c r="D38371" s="7">
        <v>2.21</v>
      </c>
      <c r="E38371" t="s">
        <v>11</v>
      </c>
    </row>
    <row r="38372" spans="1:5" x14ac:dyDescent="0.25">
      <c r="A38372" t="str">
        <f>HYPERLINK("https://www.773grp.com/globalSearch/CS5211GDR14/page-1", "CS5211GDR14")</f>
        <v>CS5211GDR14</v>
      </c>
      <c r="B38372" s="3" t="str">
        <f>HYPERLINK("https://www.773grp.com/manufacturer/onsemi?pageNo=428", "ON Semiconductor")</f>
        <v>ON Semiconductor</v>
      </c>
      <c r="C38372" s="6">
        <v>4950</v>
      </c>
      <c r="D38372" s="7">
        <v>2.21</v>
      </c>
      <c r="E38372" t="s">
        <v>7</v>
      </c>
    </row>
    <row r="38373" spans="1:5" x14ac:dyDescent="0.25">
      <c r="A38373" t="str">
        <f>HYPERLINK("https://www.773grp.com/globalSearch/CS5211GDR14G/page-1", "CS5211GDR14G")</f>
        <v>CS5211GDR14G</v>
      </c>
      <c r="B38373" s="3" t="str">
        <f>HYPERLINK("https://www.773grp.com/manufacturer/onsemi?pageNo=429", "ON Semiconductor")</f>
        <v>ON Semiconductor</v>
      </c>
      <c r="C38373" s="6">
        <v>935</v>
      </c>
      <c r="D38373" s="7">
        <v>2.21</v>
      </c>
      <c r="E38373" t="s">
        <v>7</v>
      </c>
    </row>
    <row r="38374" spans="1:5" x14ac:dyDescent="0.25">
      <c r="A38374" t="str">
        <f>HYPERLINK("https://www.773grp.com/globalSearch/CS5233-3GDF8/page-1", "CS5233-3GDF8")</f>
        <v>CS5233-3GDF8</v>
      </c>
      <c r="B38374" s="3" t="str">
        <f>HYPERLINK("https://www.773grp.com/manufacturer/onsemi?pageNo=430", "ON Semiconductor")</f>
        <v>ON Semiconductor</v>
      </c>
      <c r="C38374" s="6">
        <v>98</v>
      </c>
      <c r="D38374" s="7">
        <v>2.21</v>
      </c>
      <c r="E38374" t="s">
        <v>28</v>
      </c>
    </row>
    <row r="38375" spans="1:5" x14ac:dyDescent="0.25">
      <c r="A38375" t="str">
        <f>HYPERLINK("https://www.773grp.com/globalSearch/D44VH10/page-1", "D44VH10")</f>
        <v>D44VH10</v>
      </c>
      <c r="B38375" s="3" t="str">
        <f>HYPERLINK("https://www.773grp.com/manufacturer/onsemi?pageNo=431", "ON Semiconductor")</f>
        <v>ON Semiconductor</v>
      </c>
      <c r="C38375" s="6">
        <v>1841</v>
      </c>
      <c r="D38375" s="7">
        <v>2.21</v>
      </c>
      <c r="E38375" t="s">
        <v>59</v>
      </c>
    </row>
    <row r="38376" spans="1:5" x14ac:dyDescent="0.25">
      <c r="A38376" t="str">
        <f>HYPERLINK("https://www.773grp.com/globalSearch/D45H11G/page-1", "D45H11G")</f>
        <v>D45H11G</v>
      </c>
      <c r="B38376" s="3" t="str">
        <f>HYPERLINK("https://www.773grp.com/manufacturer/onsemi?pageNo=432", "ON Semiconductor")</f>
        <v>ON Semiconductor</v>
      </c>
      <c r="C38376" s="6">
        <v>18570</v>
      </c>
      <c r="D38376" s="7">
        <v>2.21</v>
      </c>
      <c r="E38376" t="s">
        <v>59</v>
      </c>
    </row>
    <row r="38377" spans="1:5" x14ac:dyDescent="0.25">
      <c r="A38377" t="str">
        <f>HYPERLINK("https://www.773grp.com/globalSearch/D45VH10/page-1", "D45VH10")</f>
        <v>D45VH10</v>
      </c>
      <c r="B38377" s="3" t="str">
        <f>HYPERLINK("https://www.773grp.com/manufacturer/onsemi?pageNo=433", "ON Semiconductor")</f>
        <v>ON Semiconductor</v>
      </c>
      <c r="C38377" s="6">
        <v>11</v>
      </c>
      <c r="D38377" s="7">
        <v>2.21</v>
      </c>
      <c r="E38377" t="s">
        <v>59</v>
      </c>
    </row>
    <row r="38378" spans="1:5" x14ac:dyDescent="0.25">
      <c r="A38378" t="str">
        <f>HYPERLINK("https://www.773grp.com/globalSearch/IRF820/page-1", "IRF820")</f>
        <v>IRF820</v>
      </c>
      <c r="B38378" s="3" t="str">
        <f>HYPERLINK("https://www.773grp.com/manufacturer/onsemi?pageNo=434", "ON Semiconductor")</f>
        <v>ON Semiconductor</v>
      </c>
      <c r="C38378" s="6">
        <v>593</v>
      </c>
      <c r="D38378" s="7">
        <v>2.21</v>
      </c>
      <c r="E38378" t="s">
        <v>105</v>
      </c>
    </row>
    <row r="38379" spans="1:5" x14ac:dyDescent="0.25">
      <c r="A38379" t="str">
        <f>HYPERLINK("https://www.773grp.com/globalSearch/LF444CN/page-1", "LF444CN")</f>
        <v>LF444CN</v>
      </c>
      <c r="B38379" s="3" t="str">
        <f>HYPERLINK("https://www.773grp.com/manufacturer/onsemi?pageNo=435", "ON Semiconductor")</f>
        <v>ON Semiconductor</v>
      </c>
      <c r="C38379" s="6">
        <v>34</v>
      </c>
      <c r="D38379" s="7">
        <v>2.21</v>
      </c>
      <c r="E38379" t="s">
        <v>13</v>
      </c>
    </row>
    <row r="38380" spans="1:5" x14ac:dyDescent="0.25">
      <c r="A38380" t="str">
        <f>HYPERLINK("https://www.773grp.com/globalSearch/LM285D-2.5R2/page-1", "LM285D-2.5R2")</f>
        <v>LM285D-2.5R2</v>
      </c>
      <c r="B38380" s="3" t="str">
        <f>HYPERLINK("https://www.773grp.com/manufacturer/onsemi?pageNo=436", "ON Semiconductor")</f>
        <v>ON Semiconductor</v>
      </c>
      <c r="C38380" s="6">
        <v>14000</v>
      </c>
      <c r="D38380" s="7">
        <v>2.21</v>
      </c>
      <c r="E38380" t="s">
        <v>17</v>
      </c>
    </row>
    <row r="38381" spans="1:5" x14ac:dyDescent="0.25">
      <c r="A38381" t="str">
        <f>HYPERLINK("https://www.773grp.com/globalSearch/LM2931AT-5.0G/page-1", "LM2931AT-5.0G")</f>
        <v>LM2931AT-5.0G</v>
      </c>
      <c r="B38381" s="3" t="str">
        <f>HYPERLINK("https://www.773grp.com/manufacturer/onsemi?pageNo=437", "ON Semiconductor")</f>
        <v>ON Semiconductor</v>
      </c>
      <c r="C38381" s="6">
        <v>112839</v>
      </c>
      <c r="D38381" s="7">
        <v>2.21</v>
      </c>
      <c r="E38381" t="s">
        <v>19</v>
      </c>
    </row>
    <row r="38382" spans="1:5" x14ac:dyDescent="0.25">
      <c r="A38382" t="str">
        <f>HYPERLINK("https://www.773grp.com/globalSearch/LM2931D2T-5.0G/page-1", "LM2931D2T-5.0G")</f>
        <v>LM2931D2T-5.0G</v>
      </c>
      <c r="B38382" s="3" t="str">
        <f>HYPERLINK("https://www.773grp.com/manufacturer/onsemi?pageNo=438", "ON Semiconductor")</f>
        <v>ON Semiconductor</v>
      </c>
      <c r="C38382" s="6">
        <v>7050</v>
      </c>
      <c r="D38382" s="7">
        <v>2.21</v>
      </c>
      <c r="E38382" t="s">
        <v>19</v>
      </c>
    </row>
    <row r="38383" spans="1:5" x14ac:dyDescent="0.25">
      <c r="A38383" t="str">
        <f>HYPERLINK("https://www.773grp.com/globalSearch/LSC1176D/page-1", "LSC1176D")</f>
        <v>LSC1176D</v>
      </c>
      <c r="B38383" s="3" t="str">
        <f>HYPERLINK("https://www.773grp.com/manufacturer/onsemi?pageNo=439", "ON Semiconductor")</f>
        <v>ON Semiconductor</v>
      </c>
      <c r="C38383" s="6">
        <v>2548</v>
      </c>
      <c r="D38383" s="7">
        <v>2.21</v>
      </c>
    </row>
    <row r="38384" spans="1:5" x14ac:dyDescent="0.25">
      <c r="A38384" t="str">
        <f>HYPERLINK("https://www.773grp.com/globalSearch/LSC1176DR2/page-1", "LSC1176DR2")</f>
        <v>LSC1176DR2</v>
      </c>
      <c r="B38384" s="3" t="str">
        <f>HYPERLINK("https://www.773grp.com/manufacturer/onsemi?pageNo=440", "ON Semiconductor")</f>
        <v>ON Semiconductor</v>
      </c>
      <c r="C38384" s="6">
        <v>112500</v>
      </c>
      <c r="D38384" s="7">
        <v>2.21</v>
      </c>
    </row>
    <row r="38385" spans="1:5" x14ac:dyDescent="0.25">
      <c r="A38385" t="str">
        <f>HYPERLINK("https://www.773grp.com/globalSearch/MAC12HCDG/page-1", "MAC12HCDG")</f>
        <v>MAC12HCDG</v>
      </c>
      <c r="B38385" s="3" t="str">
        <f>HYPERLINK("https://www.773grp.com/manufacturer/onsemi?pageNo=441", "ON Semiconductor")</f>
        <v>ON Semiconductor</v>
      </c>
      <c r="C38385" s="6">
        <v>350</v>
      </c>
      <c r="D38385" s="7">
        <v>2.21</v>
      </c>
      <c r="E38385" t="s">
        <v>102</v>
      </c>
    </row>
    <row r="38386" spans="1:5" x14ac:dyDescent="0.25">
      <c r="A38386" t="str">
        <f>HYPERLINK("https://www.773grp.com/globalSearch/MAC12HCNG/page-1", "MAC12HCNG")</f>
        <v>MAC12HCNG</v>
      </c>
      <c r="B38386" s="3" t="str">
        <f>HYPERLINK("https://www.773grp.com/manufacturer/onsemi?pageNo=442", "ON Semiconductor")</f>
        <v>ON Semiconductor</v>
      </c>
      <c r="C38386" s="6">
        <v>59</v>
      </c>
      <c r="D38386" s="7">
        <v>2.21</v>
      </c>
      <c r="E38386" t="s">
        <v>102</v>
      </c>
    </row>
    <row r="38387" spans="1:5" x14ac:dyDescent="0.25">
      <c r="A38387" t="str">
        <f>HYPERLINK("https://www.773grp.com/globalSearch/MAC12SMG/page-1", "MAC12SMG")</f>
        <v>MAC12SMG</v>
      </c>
      <c r="B38387" s="3" t="str">
        <f>HYPERLINK("https://www.773grp.com/manufacturer/onsemi?pageNo=443", "ON Semiconductor")</f>
        <v>ON Semiconductor</v>
      </c>
      <c r="C38387" s="6">
        <v>78077</v>
      </c>
      <c r="D38387" s="7">
        <v>2.21</v>
      </c>
      <c r="E38387" t="s">
        <v>102</v>
      </c>
    </row>
    <row r="38388" spans="1:5" x14ac:dyDescent="0.25">
      <c r="A38388" t="str">
        <f>HYPERLINK("https://www.773grp.com/globalSearch/MAC12SNG/page-1", "MAC12SNG")</f>
        <v>MAC12SNG</v>
      </c>
      <c r="B38388" s="3" t="str">
        <f>HYPERLINK("https://www.773grp.com/manufacturer/onsemi?pageNo=444", "ON Semiconductor")</f>
        <v>ON Semiconductor</v>
      </c>
      <c r="C38388" s="6">
        <v>47850</v>
      </c>
      <c r="D38388" s="7">
        <v>2.21</v>
      </c>
      <c r="E38388" t="s">
        <v>102</v>
      </c>
    </row>
    <row r="38389" spans="1:5" x14ac:dyDescent="0.25">
      <c r="A38389" t="str">
        <f>HYPERLINK("https://www.773grp.com/globalSearch/MAC212A6FP/page-1", "MAC212A6FP")</f>
        <v>MAC212A6FP</v>
      </c>
      <c r="B38389" s="3" t="str">
        <f>HYPERLINK("https://www.773grp.com/manufacturer/onsemi?pageNo=445", "ON Semiconductor")</f>
        <v>ON Semiconductor</v>
      </c>
      <c r="C38389" s="6">
        <v>7587</v>
      </c>
      <c r="D38389" s="7">
        <v>2.21</v>
      </c>
      <c r="E38389" t="s">
        <v>102</v>
      </c>
    </row>
    <row r="38390" spans="1:5" x14ac:dyDescent="0.25">
      <c r="A38390" t="str">
        <f>HYPERLINK("https://www.773grp.com/globalSearch/MAC223-0008/page-1", "MAC223-0008")</f>
        <v>MAC223-0008</v>
      </c>
      <c r="B38390" s="3" t="str">
        <f>HYPERLINK("https://www.773grp.com/manufacturer/onsemi?pageNo=446", "ON Semiconductor")</f>
        <v>ON Semiconductor</v>
      </c>
      <c r="C38390" s="6">
        <v>11950</v>
      </c>
      <c r="D38390" s="7">
        <v>2.21</v>
      </c>
    </row>
    <row r="38391" spans="1:5" x14ac:dyDescent="0.25">
      <c r="A38391" t="str">
        <f>HYPERLINK("https://www.773grp.com/globalSearch/MAC223-008/page-1", "MAC223-008")</f>
        <v>MAC223-008</v>
      </c>
      <c r="B38391" s="3" t="str">
        <f>HYPERLINK("https://www.773grp.com/manufacturer/onsemi?pageNo=447", "ON Semiconductor")</f>
        <v>ON Semiconductor</v>
      </c>
      <c r="C38391" s="6">
        <v>850</v>
      </c>
      <c r="D38391" s="7">
        <v>2.21</v>
      </c>
    </row>
    <row r="38392" spans="1:5" x14ac:dyDescent="0.25">
      <c r="A38392" t="str">
        <f>HYPERLINK("https://www.773grp.com/globalSearch/MBR10100G/page-1", "MBR10100G")</f>
        <v>MBR10100G</v>
      </c>
      <c r="B38392" s="3" t="str">
        <f>HYPERLINK("https://www.773grp.com/manufacturer/onsemi?pageNo=448", "ON Semiconductor")</f>
        <v>ON Semiconductor</v>
      </c>
      <c r="C38392" s="6">
        <v>259815</v>
      </c>
      <c r="D38392" s="7">
        <v>2.21</v>
      </c>
      <c r="E38392" t="s">
        <v>103</v>
      </c>
    </row>
    <row r="38393" spans="1:5" x14ac:dyDescent="0.25">
      <c r="A38393" t="str">
        <f>HYPERLINK("https://www.773grp.com/globalSearch/MBR1035/page-1", "MBR1035")</f>
        <v>MBR1035</v>
      </c>
      <c r="B38393" s="3" t="str">
        <f>HYPERLINK("https://www.773grp.com/manufacturer/onsemi?pageNo=449", "ON Semiconductor")</f>
        <v>ON Semiconductor</v>
      </c>
      <c r="C38393" s="6">
        <v>300</v>
      </c>
      <c r="D38393" s="7">
        <v>2.21</v>
      </c>
      <c r="E38393" t="s">
        <v>103</v>
      </c>
    </row>
    <row r="38394" spans="1:5" x14ac:dyDescent="0.25">
      <c r="A38394" t="str">
        <f>HYPERLINK("https://www.773grp.com/globalSearch/MBR1080G/page-1", "MBR1080G")</f>
        <v>MBR1080G</v>
      </c>
      <c r="B38394" s="3" t="str">
        <f>HYPERLINK("https://www.773grp.com/manufacturer/onsemi?pageNo=450", "ON Semiconductor")</f>
        <v>ON Semiconductor</v>
      </c>
      <c r="C38394" s="6">
        <v>50</v>
      </c>
      <c r="D38394" s="7">
        <v>2.21</v>
      </c>
    </row>
    <row r="38395" spans="1:5" x14ac:dyDescent="0.25">
      <c r="A38395" t="str">
        <f>HYPERLINK("https://www.773grp.com/globalSearch/MBR1090G/page-1", "MBR1090G")</f>
        <v>MBR1090G</v>
      </c>
      <c r="B38395" s="3" t="str">
        <f>HYPERLINK("https://www.773grp.com/manufacturer/onsemi?pageNo=451", "ON Semiconductor")</f>
        <v>ON Semiconductor</v>
      </c>
      <c r="C38395" s="6">
        <v>750</v>
      </c>
      <c r="D38395" s="7">
        <v>2.21</v>
      </c>
    </row>
    <row r="38396" spans="1:5" x14ac:dyDescent="0.25">
      <c r="A38396" t="str">
        <f>HYPERLINK("https://www.773grp.com/globalSearch/MBR1635G/page-1", "MBR1635G")</f>
        <v>MBR1635G</v>
      </c>
      <c r="B38396" s="3" t="str">
        <f>HYPERLINK("https://www.773grp.com/manufacturer/onsemi?pageNo=452", "ON Semiconductor")</f>
        <v>ON Semiconductor</v>
      </c>
      <c r="C38396" s="6">
        <v>1504</v>
      </c>
      <c r="D38396" s="7">
        <v>2.21</v>
      </c>
    </row>
    <row r="38397" spans="1:5" x14ac:dyDescent="0.25">
      <c r="A38397" t="str">
        <f>HYPERLINK("https://www.773grp.com/globalSearch/MBR1645G/page-1", "MBR1645G")</f>
        <v>MBR1645G</v>
      </c>
      <c r="B38397" s="3" t="str">
        <f>HYPERLINK("https://www.773grp.com/manufacturer/onsemi?pageNo=453", "ON Semiconductor")</f>
        <v>ON Semiconductor</v>
      </c>
      <c r="C38397" s="6">
        <v>825</v>
      </c>
      <c r="D38397" s="7">
        <v>2.21</v>
      </c>
      <c r="E38397" t="s">
        <v>103</v>
      </c>
    </row>
    <row r="38398" spans="1:5" x14ac:dyDescent="0.25">
      <c r="A38398" t="str">
        <f>HYPERLINK("https://www.773grp.com/globalSearch/MBRB1045G/page-1", "MBRB1045G")</f>
        <v>MBRB1045G</v>
      </c>
      <c r="B38398" s="3" t="str">
        <f>HYPERLINK("https://www.773grp.com/manufacturer/onsemi?pageNo=454", "ON Semiconductor")</f>
        <v>ON Semiconductor</v>
      </c>
      <c r="C38398" s="6">
        <v>1825</v>
      </c>
      <c r="D38398" s="7">
        <v>2.21</v>
      </c>
      <c r="E38398" t="s">
        <v>103</v>
      </c>
    </row>
    <row r="38399" spans="1:5" x14ac:dyDescent="0.25">
      <c r="A38399" t="str">
        <f>HYPERLINK("https://www.773grp.com/globalSearch/MBRB1045T4G/page-1", "MBRB1045T4G")</f>
        <v>MBRB1045T4G</v>
      </c>
      <c r="B38399" s="3" t="str">
        <f>HYPERLINK("https://www.773grp.com/manufacturer/onsemi?pageNo=455", "ON Semiconductor")</f>
        <v>ON Semiconductor</v>
      </c>
      <c r="C38399" s="6">
        <v>30290</v>
      </c>
      <c r="D38399" s="7">
        <v>2.21</v>
      </c>
      <c r="E38399" t="s">
        <v>103</v>
      </c>
    </row>
    <row r="38400" spans="1:5" x14ac:dyDescent="0.25">
      <c r="A38400" t="str">
        <f>HYPERLINK("https://www.773grp.com/globalSearch/MBRB1545CTG/page-1", "MBRB1545CTG")</f>
        <v>MBRB1545CTG</v>
      </c>
      <c r="B38400" s="3" t="str">
        <f>HYPERLINK("https://www.773grp.com/manufacturer/onsemi?pageNo=456", "ON Semiconductor")</f>
        <v>ON Semiconductor</v>
      </c>
      <c r="C38400" s="6">
        <v>18250</v>
      </c>
      <c r="D38400" s="7">
        <v>2.21</v>
      </c>
    </row>
    <row r="38401" spans="1:5" x14ac:dyDescent="0.25">
      <c r="A38401" t="str">
        <f>HYPERLINK("https://www.773grp.com/globalSearch/MBRB1545CTT4G/page-1", "MBRB1545CTT4G")</f>
        <v>MBRB1545CTT4G</v>
      </c>
      <c r="B38401" s="3" t="str">
        <f>HYPERLINK("https://www.773grp.com/manufacturer/onsemi?pageNo=457", "ON Semiconductor")</f>
        <v>ON Semiconductor</v>
      </c>
      <c r="C38401" s="6">
        <v>2200</v>
      </c>
      <c r="D38401" s="7">
        <v>2.21</v>
      </c>
    </row>
    <row r="38402" spans="1:5" x14ac:dyDescent="0.25">
      <c r="A38402" t="str">
        <f>HYPERLINK("https://www.773grp.com/globalSearch/MC33350SN-7T1/page-1", "MC33350SN-7T1")</f>
        <v>MC33350SN-7T1</v>
      </c>
      <c r="B38402" s="3" t="str">
        <f>HYPERLINK("https://www.773grp.com/manufacturer/onsemi?pageNo=458", "ON Semiconductor")</f>
        <v>ON Semiconductor</v>
      </c>
      <c r="C38402" s="6">
        <v>225000</v>
      </c>
      <c r="D38402" s="7">
        <v>2.21</v>
      </c>
    </row>
    <row r="38403" spans="1:5" x14ac:dyDescent="0.25">
      <c r="A38403" t="str">
        <f>HYPERLINK("https://www.773grp.com/globalSearch/MC34268DG/page-1", "MC34268DG")</f>
        <v>MC34268DG</v>
      </c>
      <c r="B38403" s="3" t="str">
        <f>HYPERLINK("https://www.773grp.com/manufacturer/onsemi?pageNo=459", "ON Semiconductor")</f>
        <v>ON Semiconductor</v>
      </c>
      <c r="C38403" s="6">
        <v>1779</v>
      </c>
      <c r="D38403" s="7">
        <v>2.21</v>
      </c>
      <c r="E38403" t="s">
        <v>24</v>
      </c>
    </row>
    <row r="38404" spans="1:5" x14ac:dyDescent="0.25">
      <c r="A38404" t="str">
        <f>HYPERLINK("https://www.773grp.com/globalSearch/MC34268DR2G/page-1", "MC34268DR2G")</f>
        <v>MC34268DR2G</v>
      </c>
      <c r="B38404" s="3" t="str">
        <f>HYPERLINK("https://www.773grp.com/manufacturer/onsemi?pageNo=460", "ON Semiconductor")</f>
        <v>ON Semiconductor</v>
      </c>
      <c r="C38404" s="6">
        <v>2357</v>
      </c>
      <c r="D38404" s="7">
        <v>2.21</v>
      </c>
      <c r="E38404" t="s">
        <v>24</v>
      </c>
    </row>
    <row r="38405" spans="1:5" x14ac:dyDescent="0.25">
      <c r="A38405" t="str">
        <f>HYPERLINK("https://www.773grp.com/globalSearch/MC44603AP/page-1", "MC44603AP")</f>
        <v>MC44603AP</v>
      </c>
      <c r="B38405" s="3" t="str">
        <f>HYPERLINK("https://www.773grp.com/manufacturer/onsemi?pageNo=461", "ON Semiconductor")</f>
        <v>ON Semiconductor</v>
      </c>
      <c r="C38405" s="6">
        <v>62</v>
      </c>
      <c r="D38405" s="7">
        <v>2.21</v>
      </c>
      <c r="E38405" t="s">
        <v>7</v>
      </c>
    </row>
    <row r="38406" spans="1:5" x14ac:dyDescent="0.25">
      <c r="A38406" t="str">
        <f>HYPERLINK("https://www.773grp.com/globalSearch/MC74F365D/page-1", "MC74F365D")</f>
        <v>MC74F365D</v>
      </c>
      <c r="B38406" s="3" t="str">
        <f>HYPERLINK("https://www.773grp.com/manufacturer/onsemi?pageNo=462", "ON Semiconductor")</f>
        <v>ON Semiconductor</v>
      </c>
      <c r="C38406" s="6">
        <v>4137</v>
      </c>
      <c r="D38406" s="7">
        <v>2.21</v>
      </c>
      <c r="E38406" t="s">
        <v>14</v>
      </c>
    </row>
    <row r="38407" spans="1:5" x14ac:dyDescent="0.25">
      <c r="A38407" t="str">
        <f>HYPERLINK("https://www.773grp.com/globalSearch/MC74F365DR2/page-1", "MC74F365DR2")</f>
        <v>MC74F365DR2</v>
      </c>
      <c r="B38407" s="3" t="str">
        <f>HYPERLINK("https://www.773grp.com/manufacturer/onsemi?pageNo=463", "ON Semiconductor")</f>
        <v>ON Semiconductor</v>
      </c>
      <c r="C38407" s="6">
        <v>5000</v>
      </c>
      <c r="D38407" s="7">
        <v>2.21</v>
      </c>
      <c r="E38407" t="s">
        <v>14</v>
      </c>
    </row>
    <row r="38408" spans="1:5" x14ac:dyDescent="0.25">
      <c r="A38408" t="str">
        <f>HYPERLINK("https://www.773grp.com/globalSearch/MC74F365N/page-1", "MC74F365N")</f>
        <v>MC74F365N</v>
      </c>
      <c r="B38408" s="3" t="str">
        <f>HYPERLINK("https://www.773grp.com/manufacturer/onsemi?pageNo=464", "ON Semiconductor")</f>
        <v>ON Semiconductor</v>
      </c>
      <c r="C38408" s="6">
        <v>224</v>
      </c>
      <c r="D38408" s="7">
        <v>2.21</v>
      </c>
      <c r="E38408" t="s">
        <v>14</v>
      </c>
    </row>
    <row r="38409" spans="1:5" x14ac:dyDescent="0.25">
      <c r="A38409" t="str">
        <f>HYPERLINK("https://www.773grp.com/globalSearch/MC74F367N/page-1", "MC74F367N")</f>
        <v>MC74F367N</v>
      </c>
      <c r="B38409" s="3" t="str">
        <f>HYPERLINK("https://www.773grp.com/manufacturer/onsemi?pageNo=465", "ON Semiconductor")</f>
        <v>ON Semiconductor</v>
      </c>
      <c r="C38409" s="6">
        <v>1721</v>
      </c>
      <c r="D38409" s="7">
        <v>2.21</v>
      </c>
      <c r="E38409" t="s">
        <v>14</v>
      </c>
    </row>
    <row r="38410" spans="1:5" x14ac:dyDescent="0.25">
      <c r="A38410" t="str">
        <f>HYPERLINK("https://www.773grp.com/globalSearch/MC74F368N/page-1", "MC74F368N")</f>
        <v>MC74F368N</v>
      </c>
      <c r="B38410" s="3" t="str">
        <f>HYPERLINK("https://www.773grp.com/manufacturer/onsemi?pageNo=466", "ON Semiconductor")</f>
        <v>ON Semiconductor</v>
      </c>
      <c r="C38410" s="6">
        <v>4978</v>
      </c>
      <c r="D38410" s="7">
        <v>2.21</v>
      </c>
      <c r="E38410" t="s">
        <v>14</v>
      </c>
    </row>
    <row r="38411" spans="1:5" x14ac:dyDescent="0.25">
      <c r="A38411" t="str">
        <f>HYPERLINK("https://www.773grp.com/globalSearch/MC74F377N/page-1", "MC74F377N")</f>
        <v>MC74F377N</v>
      </c>
      <c r="B38411" s="3" t="str">
        <f>HYPERLINK("https://www.773grp.com/manufacturer/onsemi?pageNo=467", "ON Semiconductor")</f>
        <v>ON Semiconductor</v>
      </c>
      <c r="C38411" s="6">
        <v>139</v>
      </c>
      <c r="D38411" s="7">
        <v>2.21</v>
      </c>
      <c r="E38411" t="s">
        <v>35</v>
      </c>
    </row>
    <row r="38412" spans="1:5" x14ac:dyDescent="0.25">
      <c r="A38412" t="str">
        <f>HYPERLINK("https://www.773grp.com/globalSearch/MC74F533DW/page-1", "MC74F533DW")</f>
        <v>MC74F533DW</v>
      </c>
      <c r="B38412" s="3" t="str">
        <f>HYPERLINK("https://www.773grp.com/manufacturer/onsemi?pageNo=468", "ON Semiconductor")</f>
        <v>ON Semiconductor</v>
      </c>
      <c r="C38412" s="6">
        <v>1910</v>
      </c>
      <c r="D38412" s="7">
        <v>2.21</v>
      </c>
      <c r="E38412" t="s">
        <v>14</v>
      </c>
    </row>
    <row r="38413" spans="1:5" x14ac:dyDescent="0.25">
      <c r="A38413" t="str">
        <f>HYPERLINK("https://www.773grp.com/globalSearch/MC74F533DWR2/page-1", "MC74F533DWR2")</f>
        <v>MC74F533DWR2</v>
      </c>
      <c r="B38413" s="3" t="str">
        <f>HYPERLINK("https://www.773grp.com/manufacturer/onsemi?pageNo=469", "ON Semiconductor")</f>
        <v>ON Semiconductor</v>
      </c>
      <c r="C38413" s="6">
        <v>3000</v>
      </c>
      <c r="D38413" s="7">
        <v>2.21</v>
      </c>
      <c r="E38413" t="s">
        <v>14</v>
      </c>
    </row>
    <row r="38414" spans="1:5" x14ac:dyDescent="0.25">
      <c r="A38414" t="str">
        <f>HYPERLINK("https://www.773grp.com/globalSearch/MC74F533M/page-1", "MC74F533M")</f>
        <v>MC74F533M</v>
      </c>
      <c r="B38414" s="3" t="str">
        <f>HYPERLINK("https://www.773grp.com/manufacturer/onsemi?pageNo=470", "ON Semiconductor")</f>
        <v>ON Semiconductor</v>
      </c>
      <c r="C38414" s="6">
        <v>2240</v>
      </c>
      <c r="D38414" s="7">
        <v>2.21</v>
      </c>
    </row>
    <row r="38415" spans="1:5" x14ac:dyDescent="0.25">
      <c r="A38415" t="str">
        <f>HYPERLINK("https://www.773grp.com/globalSearch/MC74F534DW/page-1", "MC74F534DW")</f>
        <v>MC74F534DW</v>
      </c>
      <c r="B38415" s="3" t="str">
        <f>HYPERLINK("https://www.773grp.com/manufacturer/onsemi?pageNo=471", "ON Semiconductor")</f>
        <v>ON Semiconductor</v>
      </c>
      <c r="C38415" s="6">
        <v>114</v>
      </c>
      <c r="D38415" s="7">
        <v>2.21</v>
      </c>
      <c r="E38415" t="s">
        <v>14</v>
      </c>
    </row>
    <row r="38416" spans="1:5" x14ac:dyDescent="0.25">
      <c r="A38416" t="str">
        <f>HYPERLINK("https://www.773grp.com/globalSearch/MC74F534DWR2/page-1", "MC74F534DWR2")</f>
        <v>MC74F534DWR2</v>
      </c>
      <c r="B38416" s="3" t="str">
        <f>HYPERLINK("https://www.773grp.com/manufacturer/onsemi?pageNo=472", "ON Semiconductor")</f>
        <v>ON Semiconductor</v>
      </c>
      <c r="C38416" s="6">
        <v>2000</v>
      </c>
      <c r="D38416" s="7">
        <v>2.21</v>
      </c>
      <c r="E38416" t="s">
        <v>14</v>
      </c>
    </row>
    <row r="38417" spans="1:5" x14ac:dyDescent="0.25">
      <c r="A38417" t="str">
        <f>HYPERLINK("https://www.773grp.com/globalSearch/MC74F534M/page-1", "MC74F534M")</f>
        <v>MC74F534M</v>
      </c>
      <c r="B38417" s="3" t="str">
        <f>HYPERLINK("https://www.773grp.com/manufacturer/onsemi?pageNo=473", "ON Semiconductor")</f>
        <v>ON Semiconductor</v>
      </c>
      <c r="C38417" s="6">
        <v>1440</v>
      </c>
      <c r="D38417" s="7">
        <v>2.21</v>
      </c>
    </row>
    <row r="38418" spans="1:5" x14ac:dyDescent="0.25">
      <c r="A38418" t="str">
        <f>HYPERLINK("https://www.773grp.com/globalSearch/MC74F534ML1/page-1", "MC74F534ML1")</f>
        <v>MC74F534ML1</v>
      </c>
      <c r="B38418" s="3" t="str">
        <f>HYPERLINK("https://www.773grp.com/manufacturer/onsemi?pageNo=474", "ON Semiconductor")</f>
        <v>ON Semiconductor</v>
      </c>
      <c r="C38418" s="6">
        <v>2000</v>
      </c>
      <c r="D38418" s="7">
        <v>2.21</v>
      </c>
    </row>
    <row r="38419" spans="1:5" x14ac:dyDescent="0.25">
      <c r="A38419" t="str">
        <f>HYPERLINK("https://www.773grp.com/globalSearch/MC74F534N/page-1", "MC74F534N")</f>
        <v>MC74F534N</v>
      </c>
      <c r="B38419" s="3" t="str">
        <f>HYPERLINK("https://www.773grp.com/manufacturer/onsemi?pageNo=475", "ON Semiconductor")</f>
        <v>ON Semiconductor</v>
      </c>
      <c r="C38419" s="6">
        <v>2209</v>
      </c>
      <c r="D38419" s="7">
        <v>2.21</v>
      </c>
      <c r="E38419" t="s">
        <v>14</v>
      </c>
    </row>
    <row r="38420" spans="1:5" x14ac:dyDescent="0.25">
      <c r="A38420" t="str">
        <f>HYPERLINK("https://www.773grp.com/globalSearch/MC74F623N/page-1", "MC74F623N")</f>
        <v>MC74F623N</v>
      </c>
      <c r="B38420" s="3" t="str">
        <f>HYPERLINK("https://www.773grp.com/manufacturer/onsemi?pageNo=476", "ON Semiconductor")</f>
        <v>ON Semiconductor</v>
      </c>
      <c r="C38420" s="6">
        <v>5378</v>
      </c>
      <c r="D38420" s="7">
        <v>2.21</v>
      </c>
      <c r="E38420" t="s">
        <v>14</v>
      </c>
    </row>
    <row r="38421" spans="1:5" x14ac:dyDescent="0.25">
      <c r="A38421" t="str">
        <f>HYPERLINK("https://www.773grp.com/globalSearch/MJF18204/page-1", "MJF18204")</f>
        <v>MJF18204</v>
      </c>
      <c r="B38421" s="3" t="str">
        <f>HYPERLINK("https://www.773grp.com/manufacturer/onsemi?pageNo=477", "ON Semiconductor")</f>
        <v>ON Semiconductor</v>
      </c>
      <c r="C38421" s="6">
        <v>20</v>
      </c>
      <c r="D38421" s="7">
        <v>2.21</v>
      </c>
      <c r="E38421" t="s">
        <v>59</v>
      </c>
    </row>
    <row r="38422" spans="1:5" x14ac:dyDescent="0.25">
      <c r="A38422" t="str">
        <f>HYPERLINK("https://www.773grp.com/globalSearch/MLD1N06CLT4/page-1", "MLD1N06CLT4")</f>
        <v>MLD1N06CLT4</v>
      </c>
      <c r="B38422" s="3" t="str">
        <f>HYPERLINK("https://www.773grp.com/manufacturer/onsemi?pageNo=478", "ON Semiconductor")</f>
        <v>ON Semiconductor</v>
      </c>
      <c r="C38422" s="6">
        <v>7500</v>
      </c>
      <c r="D38422" s="7">
        <v>2.21</v>
      </c>
      <c r="E38422" t="s">
        <v>105</v>
      </c>
    </row>
    <row r="38423" spans="1:5" x14ac:dyDescent="0.25">
      <c r="A38423" t="str">
        <f>HYPERLINK("https://www.773grp.com/globalSearch/MMDF2N02ER2G/page-1", "MMDF2N02ER2G")</f>
        <v>MMDF2N02ER2G</v>
      </c>
      <c r="B38423" s="3" t="str">
        <f>HYPERLINK("https://www.773grp.com/manufacturer/onsemi?pageNo=479", "ON Semiconductor")</f>
        <v>ON Semiconductor</v>
      </c>
      <c r="C38423" s="6">
        <v>1089</v>
      </c>
      <c r="D38423" s="7">
        <v>2.21</v>
      </c>
      <c r="E38423" t="s">
        <v>105</v>
      </c>
    </row>
    <row r="38424" spans="1:5" x14ac:dyDescent="0.25">
      <c r="A38424" t="str">
        <f>HYPERLINK("https://www.773grp.com/globalSearch/NCP1000PG/page-1", "NCP1000PG")</f>
        <v>NCP1000PG</v>
      </c>
      <c r="B38424" s="3" t="str">
        <f>HYPERLINK("https://www.773grp.com/manufacturer/onsemi?pageNo=480", "ON Semiconductor")</f>
        <v>ON Semiconductor</v>
      </c>
      <c r="C38424" s="6">
        <v>6650</v>
      </c>
      <c r="D38424" s="7">
        <v>2.21</v>
      </c>
      <c r="E38424" t="s">
        <v>7</v>
      </c>
    </row>
    <row r="38425" spans="1:5" x14ac:dyDescent="0.25">
      <c r="A38425" t="str">
        <f>HYPERLINK("https://www.773grp.com/globalSearch/NCP1050P100G/page-1", "NCP1050P100G")</f>
        <v>NCP1050P100G</v>
      </c>
      <c r="B38425" s="3" t="str">
        <f>HYPERLINK("https://www.773grp.com/manufacturer/onsemi?pageNo=481", "ON Semiconductor")</f>
        <v>ON Semiconductor</v>
      </c>
      <c r="C38425" s="6">
        <v>3840</v>
      </c>
      <c r="D38425" s="7">
        <v>2.21</v>
      </c>
      <c r="E38425" t="s">
        <v>7</v>
      </c>
    </row>
    <row r="38426" spans="1:5" x14ac:dyDescent="0.25">
      <c r="A38426" t="str">
        <f>HYPERLINK("https://www.773grp.com/globalSearch/NCP1050P136G/page-1", "NCP1050P136G")</f>
        <v>NCP1050P136G</v>
      </c>
      <c r="B38426" s="3" t="str">
        <f>HYPERLINK("https://www.773grp.com/manufacturer/onsemi?pageNo=482", "ON Semiconductor")</f>
        <v>ON Semiconductor</v>
      </c>
      <c r="C38426" s="6">
        <v>5348</v>
      </c>
      <c r="D38426" s="7">
        <v>2.21</v>
      </c>
      <c r="E38426" t="s">
        <v>7</v>
      </c>
    </row>
    <row r="38427" spans="1:5" x14ac:dyDescent="0.25">
      <c r="A38427" t="str">
        <f>HYPERLINK("https://www.773grp.com/globalSearch/NCP1050P44G/page-1", "NCP1050P44G")</f>
        <v>NCP1050P44G</v>
      </c>
      <c r="B38427" s="3" t="str">
        <f>HYPERLINK("https://www.773grp.com/manufacturer/onsemi?pageNo=483", "ON Semiconductor")</f>
        <v>ON Semiconductor</v>
      </c>
      <c r="C38427" s="6">
        <v>6395</v>
      </c>
      <c r="D38427" s="7">
        <v>2.21</v>
      </c>
      <c r="E38427" t="s">
        <v>7</v>
      </c>
    </row>
    <row r="38428" spans="1:5" x14ac:dyDescent="0.25">
      <c r="A38428" t="str">
        <f>HYPERLINK("https://www.773grp.com/globalSearch/NCP1051P100G/page-1", "NCP1051P100G")</f>
        <v>NCP1051P100G</v>
      </c>
      <c r="B38428" s="3" t="str">
        <f>HYPERLINK("https://www.773grp.com/manufacturer/onsemi?pageNo=484", "ON Semiconductor")</f>
        <v>ON Semiconductor</v>
      </c>
      <c r="C38428" s="6">
        <v>1549</v>
      </c>
      <c r="D38428" s="7">
        <v>2.21</v>
      </c>
      <c r="E38428" t="s">
        <v>7</v>
      </c>
    </row>
    <row r="38429" spans="1:5" x14ac:dyDescent="0.25">
      <c r="A38429" t="str">
        <f>HYPERLINK("https://www.773grp.com/globalSearch/NCP1051P136G/page-1", "NCP1051P136G")</f>
        <v>NCP1051P136G</v>
      </c>
      <c r="B38429" s="3" t="str">
        <f>HYPERLINK("https://www.773grp.com/manufacturer/onsemi?pageNo=485", "ON Semiconductor")</f>
        <v>ON Semiconductor</v>
      </c>
      <c r="C38429" s="6">
        <v>2097</v>
      </c>
      <c r="D38429" s="7">
        <v>2.21</v>
      </c>
    </row>
    <row r="38430" spans="1:5" x14ac:dyDescent="0.25">
      <c r="A38430" t="str">
        <f>HYPERLINK("https://www.773grp.com/globalSearch/NCP1051P44G/page-1", "NCP1051P44G")</f>
        <v>NCP1051P44G</v>
      </c>
      <c r="B38430" s="3" t="str">
        <f>HYPERLINK("https://www.773grp.com/manufacturer/onsemi?pageNo=486", "ON Semiconductor")</f>
        <v>ON Semiconductor</v>
      </c>
      <c r="C38430" s="6">
        <v>1000</v>
      </c>
      <c r="D38430" s="7">
        <v>2.21</v>
      </c>
    </row>
    <row r="38431" spans="1:5" x14ac:dyDescent="0.25">
      <c r="A38431" t="str">
        <f>HYPERLINK("https://www.773grp.com/globalSearch/NCP1052P100G/page-1", "NCP1052P100G")</f>
        <v>NCP1052P100G</v>
      </c>
      <c r="B38431" s="3" t="str">
        <f>HYPERLINK("https://www.773grp.com/manufacturer/onsemi?pageNo=487", "ON Semiconductor")</f>
        <v>ON Semiconductor</v>
      </c>
      <c r="C38431" s="6">
        <v>1890</v>
      </c>
      <c r="D38431" s="7">
        <v>2.21</v>
      </c>
    </row>
    <row r="38432" spans="1:5" x14ac:dyDescent="0.25">
      <c r="A38432" t="str">
        <f>HYPERLINK("https://www.773grp.com/globalSearch/NCP1052P136G/page-1", "NCP1052P136G")</f>
        <v>NCP1052P136G</v>
      </c>
      <c r="B38432" s="3" t="str">
        <f>HYPERLINK("https://www.773grp.com/manufacturer/onsemi?pageNo=488", "ON Semiconductor")</f>
        <v>ON Semiconductor</v>
      </c>
      <c r="C38432" s="6">
        <v>7175</v>
      </c>
      <c r="D38432" s="7">
        <v>2.21</v>
      </c>
      <c r="E38432" t="s">
        <v>7</v>
      </c>
    </row>
    <row r="38433" spans="1:5" x14ac:dyDescent="0.25">
      <c r="A38433" t="str">
        <f>HYPERLINK("https://www.773grp.com/globalSearch/NCP1052P44G/page-1", "NCP1052P44G")</f>
        <v>NCP1052P44G</v>
      </c>
      <c r="B38433" s="3" t="str">
        <f>HYPERLINK("https://www.773grp.com/manufacturer/onsemi?pageNo=489", "ON Semiconductor")</f>
        <v>ON Semiconductor</v>
      </c>
      <c r="C38433" s="6">
        <v>2485</v>
      </c>
      <c r="D38433" s="7">
        <v>2.21</v>
      </c>
      <c r="E38433" t="s">
        <v>7</v>
      </c>
    </row>
    <row r="38434" spans="1:5" x14ac:dyDescent="0.25">
      <c r="A38434" t="str">
        <f>HYPERLINK("https://www.773grp.com/globalSearch/NCP1216AD65R2G/page-1", "NCP1216AD65R2G")</f>
        <v>NCP1216AD65R2G</v>
      </c>
      <c r="B38434" s="3" t="str">
        <f>HYPERLINK("https://www.773grp.com/manufacturer/onsemi?pageNo=490", "ON Semiconductor")</f>
        <v>ON Semiconductor</v>
      </c>
      <c r="C38434" s="6">
        <v>53291</v>
      </c>
      <c r="D38434" s="7">
        <v>2.21</v>
      </c>
      <c r="E38434" t="s">
        <v>7</v>
      </c>
    </row>
    <row r="38435" spans="1:5" x14ac:dyDescent="0.25">
      <c r="A38435" t="str">
        <f>HYPERLINK("https://www.773grp.com/globalSearch/NCP1218AD65R2G/page-1", "NCP1218AD65R2G")</f>
        <v>NCP1218AD65R2G</v>
      </c>
      <c r="B38435" s="3" t="str">
        <f>HYPERLINK("https://www.773grp.com/manufacturer/onsemi?pageNo=491", "ON Semiconductor")</f>
        <v>ON Semiconductor</v>
      </c>
      <c r="C38435" s="6">
        <v>25837</v>
      </c>
      <c r="D38435" s="7">
        <v>2.21</v>
      </c>
      <c r="E38435" t="s">
        <v>7</v>
      </c>
    </row>
    <row r="38436" spans="1:5" x14ac:dyDescent="0.25">
      <c r="A38436" t="str">
        <f>HYPERLINK("https://www.773grp.com/globalSearch/NCP1219AD100R2G/page-1", "NCP1219AD100R2G")</f>
        <v>NCP1219AD100R2G</v>
      </c>
      <c r="B38436" s="3" t="str">
        <f>HYPERLINK("https://www.773grp.com/manufacturer/onsemi?pageNo=492", "ON Semiconductor")</f>
        <v>ON Semiconductor</v>
      </c>
      <c r="C38436" s="6">
        <v>4170</v>
      </c>
      <c r="D38436" s="7">
        <v>2.21</v>
      </c>
      <c r="E38436" t="s">
        <v>7</v>
      </c>
    </row>
    <row r="38437" spans="1:5" x14ac:dyDescent="0.25">
      <c r="A38437" t="str">
        <f>HYPERLINK("https://www.773grp.com/globalSearch/NCP1230AP100G/page-1", "NCP1230AP100G")</f>
        <v>NCP1230AP100G</v>
      </c>
      <c r="B38437" s="3" t="str">
        <f>HYPERLINK("https://www.773grp.com/manufacturer/onsemi?pageNo=493", "ON Semiconductor")</f>
        <v>ON Semiconductor</v>
      </c>
      <c r="C38437" s="6">
        <v>2450</v>
      </c>
      <c r="D38437" s="7">
        <v>2.21</v>
      </c>
      <c r="E38437" t="s">
        <v>7</v>
      </c>
    </row>
    <row r="38438" spans="1:5" x14ac:dyDescent="0.25">
      <c r="A38438" t="str">
        <f>HYPERLINK("https://www.773grp.com/globalSearch/NCP1230AP65G/page-1", "NCP1230AP65G")</f>
        <v>NCP1230AP65G</v>
      </c>
      <c r="B38438" s="3" t="str">
        <f>HYPERLINK("https://www.773grp.com/manufacturer/onsemi?pageNo=494", "ON Semiconductor")</f>
        <v>ON Semiconductor</v>
      </c>
      <c r="C38438" s="6">
        <v>5550</v>
      </c>
      <c r="D38438" s="7">
        <v>2.21</v>
      </c>
      <c r="E38438" t="s">
        <v>7</v>
      </c>
    </row>
    <row r="38439" spans="1:5" x14ac:dyDescent="0.25">
      <c r="A38439" t="str">
        <f>HYPERLINK("https://www.773grp.com/globalSearch/NCP1230P100/page-1", "NCP1230P100")</f>
        <v>NCP1230P100</v>
      </c>
      <c r="B38439" s="3" t="str">
        <f>HYPERLINK("https://www.773grp.com/manufacturer/onsemi?pageNo=495", "ON Semiconductor")</f>
        <v>ON Semiconductor</v>
      </c>
      <c r="C38439" s="6">
        <v>28000</v>
      </c>
      <c r="D38439" s="7">
        <v>2.21</v>
      </c>
      <c r="E38439" t="s">
        <v>7</v>
      </c>
    </row>
    <row r="38440" spans="1:5" x14ac:dyDescent="0.25">
      <c r="A38440" t="str">
        <f>HYPERLINK("https://www.773grp.com/globalSearch/NCP1230P133/page-1", "NCP1230P133")</f>
        <v>NCP1230P133</v>
      </c>
      <c r="B38440" s="3" t="str">
        <f>HYPERLINK("https://www.773grp.com/manufacturer/onsemi?pageNo=496", "ON Semiconductor")</f>
        <v>ON Semiconductor</v>
      </c>
      <c r="C38440" s="6">
        <v>10850</v>
      </c>
      <c r="D38440" s="7">
        <v>2.21</v>
      </c>
      <c r="E38440" t="s">
        <v>7</v>
      </c>
    </row>
    <row r="38441" spans="1:5" x14ac:dyDescent="0.25">
      <c r="A38441" t="str">
        <f>HYPERLINK("https://www.773grp.com/globalSearch/NCP1271D100R2GH/page-1", "NCP1271D100R2GH")</f>
        <v>NCP1271D100R2GH</v>
      </c>
      <c r="B38441" s="3" t="str">
        <f>HYPERLINK("https://www.773grp.com/manufacturer/onsemi?pageNo=497", "ON Semiconductor")</f>
        <v>ON Semiconductor</v>
      </c>
      <c r="C38441" s="6">
        <v>5470</v>
      </c>
      <c r="D38441" s="7">
        <v>2.21</v>
      </c>
    </row>
    <row r="38442" spans="1:5" x14ac:dyDescent="0.25">
      <c r="A38442" t="str">
        <f>HYPERLINK("https://www.773grp.com/globalSearch/NCP1271D65R2GH/page-1", "NCP1271D65R2GH")</f>
        <v>NCP1271D65R2GH</v>
      </c>
      <c r="B38442" s="3" t="str">
        <f>HYPERLINK("https://www.773grp.com/manufacturer/onsemi?pageNo=498", "ON Semiconductor")</f>
        <v>ON Semiconductor</v>
      </c>
      <c r="C38442" s="6">
        <v>2500</v>
      </c>
      <c r="D38442" s="7">
        <v>2.21</v>
      </c>
    </row>
    <row r="38443" spans="1:5" x14ac:dyDescent="0.25">
      <c r="A38443" t="str">
        <f>HYPERLINK("https://www.773grp.com/globalSearch/NCP1308DR2G/page-1", "NCP1308DR2G")</f>
        <v>NCP1308DR2G</v>
      </c>
      <c r="B38443" s="3" t="str">
        <f>HYPERLINK("https://www.773grp.com/manufacturer/onsemi?pageNo=499", "ON Semiconductor")</f>
        <v>ON Semiconductor</v>
      </c>
      <c r="C38443" s="6">
        <v>23430</v>
      </c>
      <c r="D38443" s="7">
        <v>2.21</v>
      </c>
      <c r="E38443" t="s">
        <v>7</v>
      </c>
    </row>
    <row r="38444" spans="1:5" x14ac:dyDescent="0.25">
      <c r="A38444" t="str">
        <f>HYPERLINK("https://www.773grp.com/globalSearch/NCP1612ADR2G/page-1", "NCP1612ADR2G")</f>
        <v>NCP1612ADR2G</v>
      </c>
      <c r="B38444" s="3" t="str">
        <f>HYPERLINK("https://www.773grp.com/manufacturer/onsemi?pageNo=500", "ON Semiconductor")</f>
        <v>ON Semiconductor</v>
      </c>
      <c r="C38444" s="6">
        <v>9000</v>
      </c>
      <c r="D38444" s="7">
        <v>2.21</v>
      </c>
    </row>
    <row r="38445" spans="1:5" x14ac:dyDescent="0.25">
      <c r="A38445" t="str">
        <f>HYPERLINK("https://www.773grp.com/globalSearch/NCP1800DM42R2/page-1", "NCP1800DM42R2")</f>
        <v>NCP1800DM42R2</v>
      </c>
      <c r="B38445" s="3" t="str">
        <f>HYPERLINK("https://www.773grp.com/manufacturer/onsemi?pageNo=501", "ON Semiconductor")</f>
        <v>ON Semiconductor</v>
      </c>
      <c r="C38445" s="6">
        <v>48680</v>
      </c>
      <c r="D38445" s="7">
        <v>2.21</v>
      </c>
      <c r="E38445" t="s">
        <v>7</v>
      </c>
    </row>
    <row r="38446" spans="1:5" x14ac:dyDescent="0.25">
      <c r="A38446" t="str">
        <f>HYPERLINK("https://www.773grp.com/globalSearch/NCP3155BDR2G/page-1", "NCP3155BDR2G")</f>
        <v>NCP3155BDR2G</v>
      </c>
      <c r="B38446" s="3" t="str">
        <f>HYPERLINK("https://www.773grp.com/manufacturer/onsemi?pageNo=502", "ON Semiconductor")</f>
        <v>ON Semiconductor</v>
      </c>
      <c r="C38446" s="6">
        <v>47</v>
      </c>
      <c r="D38446" s="7">
        <v>2.21</v>
      </c>
    </row>
    <row r="38447" spans="1:5" x14ac:dyDescent="0.25">
      <c r="A38447" t="str">
        <f>HYPERLINK("https://www.773grp.com/globalSearch/NCP4304ADR2G/page-1", "NCP4304ADR2G")</f>
        <v>NCP4304ADR2G</v>
      </c>
      <c r="B38447" s="3" t="str">
        <f>HYPERLINK("https://www.773grp.com/manufacturer/onsemi?pageNo=503", "ON Semiconductor")</f>
        <v>ON Semiconductor</v>
      </c>
      <c r="C38447" s="6">
        <v>1500</v>
      </c>
      <c r="D38447" s="7">
        <v>2.21</v>
      </c>
    </row>
    <row r="38448" spans="1:5" x14ac:dyDescent="0.25">
      <c r="A38448" t="str">
        <f>HYPERLINK("https://www.773grp.com/globalSearch/NCP4623HMX050TCG/page-1", "NCP4623HMX050TCG")</f>
        <v>NCP4623HMX050TCG</v>
      </c>
      <c r="B38448" s="3" t="str">
        <f>HYPERLINK("https://www.773grp.com/manufacturer/onsemi?pageNo=504", "ON Semiconductor")</f>
        <v>ON Semiconductor</v>
      </c>
      <c r="C38448" s="6">
        <v>5000</v>
      </c>
      <c r="D38448" s="7">
        <v>2.21</v>
      </c>
    </row>
    <row r="38449" spans="1:5" x14ac:dyDescent="0.25">
      <c r="A38449" t="str">
        <f>HYPERLINK("https://www.773grp.com/globalSearch/NCP4626DSN030T1G/page-1", "NCP4626DSN030T1G")</f>
        <v>NCP4626DSN030T1G</v>
      </c>
      <c r="B38449" s="3" t="str">
        <f>HYPERLINK("https://www.773grp.com/manufacturer/onsemi?pageNo=505", "ON Semiconductor")</f>
        <v>ON Semiconductor</v>
      </c>
      <c r="C38449" s="6">
        <v>6000</v>
      </c>
      <c r="D38449" s="7">
        <v>2.21</v>
      </c>
    </row>
    <row r="38450" spans="1:5" x14ac:dyDescent="0.25">
      <c r="A38450" t="str">
        <f>HYPERLINK("https://www.773grp.com/globalSearch/NCP4626HSN030T1G/page-1", "NCP4626HSN030T1G")</f>
        <v>NCP4626HSN030T1G</v>
      </c>
      <c r="B38450" s="3" t="str">
        <f>HYPERLINK("https://www.773grp.com/manufacturer/onsemi?pageNo=506", "ON Semiconductor")</f>
        <v>ON Semiconductor</v>
      </c>
      <c r="C38450" s="6">
        <v>3000</v>
      </c>
      <c r="D38450" s="7">
        <v>2.21</v>
      </c>
    </row>
    <row r="38451" spans="1:5" x14ac:dyDescent="0.25">
      <c r="A38451" t="str">
        <f>HYPERLINK("https://www.773grp.com/globalSearch/NCP4626HSN033T1G/page-1", "NCP4626HSN033T1G")</f>
        <v>NCP4626HSN033T1G</v>
      </c>
      <c r="B38451" s="3" t="str">
        <f>HYPERLINK("https://www.773grp.com/manufacturer/onsemi?pageNo=507", "ON Semiconductor")</f>
        <v>ON Semiconductor</v>
      </c>
      <c r="C38451" s="6">
        <v>2600</v>
      </c>
      <c r="D38451" s="7">
        <v>2.21</v>
      </c>
    </row>
    <row r="38452" spans="1:5" x14ac:dyDescent="0.25">
      <c r="A38452" t="str">
        <f>HYPERLINK("https://www.773grp.com/globalSearch/NCP4626HSN045T1G/page-1", "NCP4626HSN045T1G")</f>
        <v>NCP4626HSN045T1G</v>
      </c>
      <c r="B38452" s="3" t="str">
        <f>HYPERLINK("https://www.773grp.com/manufacturer/onsemi?pageNo=508", "ON Semiconductor")</f>
        <v>ON Semiconductor</v>
      </c>
      <c r="C38452" s="6">
        <v>3000</v>
      </c>
      <c r="D38452" s="7">
        <v>2.21</v>
      </c>
    </row>
    <row r="38453" spans="1:5" x14ac:dyDescent="0.25">
      <c r="A38453" t="str">
        <f>HYPERLINK("https://www.773grp.com/globalSearch/NCP4626HSN050T1G/page-1", "NCP4626HSN050T1G")</f>
        <v>NCP4626HSN050T1G</v>
      </c>
      <c r="B38453" s="3" t="str">
        <f>HYPERLINK("https://www.773grp.com/manufacturer/onsemi?pageNo=509", "ON Semiconductor")</f>
        <v>ON Semiconductor</v>
      </c>
      <c r="C38453" s="6">
        <v>3000</v>
      </c>
      <c r="D38453" s="7">
        <v>2.21</v>
      </c>
    </row>
    <row r="38454" spans="1:5" x14ac:dyDescent="0.25">
      <c r="A38454" t="str">
        <f>HYPERLINK("https://www.773grp.com/globalSearch/NCP5009DMR2/page-1", "NCP5009DMR2")</f>
        <v>NCP5009DMR2</v>
      </c>
      <c r="B38454" s="3" t="str">
        <f>HYPERLINK("https://www.773grp.com/manufacturer/onsemi?pageNo=510", "ON Semiconductor")</f>
        <v>ON Semiconductor</v>
      </c>
      <c r="C38454" s="6">
        <v>10990</v>
      </c>
      <c r="D38454" s="7">
        <v>2.21</v>
      </c>
      <c r="E38454" t="s">
        <v>10</v>
      </c>
    </row>
    <row r="38455" spans="1:5" x14ac:dyDescent="0.25">
      <c r="A38455" t="str">
        <f>HYPERLINK("https://www.773grp.com/globalSearch/NCP5661DT12RKG/page-1", "NCP5661DT12RKG")</f>
        <v>NCP5661DT12RKG</v>
      </c>
      <c r="B38455" s="3" t="str">
        <f>HYPERLINK("https://www.773grp.com/manufacturer/onsemi?pageNo=511", "ON Semiconductor")</f>
        <v>ON Semiconductor</v>
      </c>
      <c r="C38455" s="6">
        <v>2609</v>
      </c>
      <c r="D38455" s="7">
        <v>2.21</v>
      </c>
      <c r="E38455" t="s">
        <v>19</v>
      </c>
    </row>
    <row r="38456" spans="1:5" x14ac:dyDescent="0.25">
      <c r="A38456" t="str">
        <f>HYPERLINK("https://www.773grp.com/globalSearch/NCP5661DT33RKG/page-1", "NCP5661DT33RKG")</f>
        <v>NCP5661DT33RKG</v>
      </c>
      <c r="B38456" s="3" t="str">
        <f>HYPERLINK("https://www.773grp.com/manufacturer/onsemi?pageNo=512", "ON Semiconductor")</f>
        <v>ON Semiconductor</v>
      </c>
      <c r="C38456" s="6">
        <v>2500</v>
      </c>
      <c r="D38456" s="7">
        <v>2.21</v>
      </c>
    </row>
    <row r="38457" spans="1:5" x14ac:dyDescent="0.25">
      <c r="A38457" t="str">
        <f>HYPERLINK("https://www.773grp.com/globalSearch/NCS2003SN2T1G/page-1", "NCS2003SN2T1G")</f>
        <v>NCS2003SN2T1G</v>
      </c>
      <c r="B38457" s="3" t="str">
        <f>HYPERLINK("https://www.773grp.com/manufacturer/onsemi?pageNo=513", "ON Semiconductor")</f>
        <v>ON Semiconductor</v>
      </c>
      <c r="C38457" s="6">
        <v>3000</v>
      </c>
      <c r="D38457" s="7">
        <v>2.21</v>
      </c>
    </row>
    <row r="38458" spans="1:5" x14ac:dyDescent="0.25">
      <c r="A38458" t="str">
        <f>HYPERLINK("https://www.773grp.com/globalSearch/NCS2584DTBR2G/page-1", "NCS2584DTBR2G")</f>
        <v>NCS2584DTBR2G</v>
      </c>
      <c r="B38458" s="3" t="str">
        <f>HYPERLINK("https://www.773grp.com/manufacturer/onsemi?pageNo=514", "ON Semiconductor")</f>
        <v>ON Semiconductor</v>
      </c>
      <c r="C38458" s="6">
        <v>5000</v>
      </c>
      <c r="D38458" s="7">
        <v>2.21</v>
      </c>
    </row>
    <row r="38459" spans="1:5" x14ac:dyDescent="0.25">
      <c r="A38459" t="str">
        <f>HYPERLINK("https://www.773grp.com/globalSearch/NCS7101SN1T1G/page-1", "NCS7101SN1T1G")</f>
        <v>NCS7101SN1T1G</v>
      </c>
      <c r="B38459" s="3" t="str">
        <f>HYPERLINK("https://www.773grp.com/manufacturer/onsemi?pageNo=515", "ON Semiconductor")</f>
        <v>ON Semiconductor</v>
      </c>
      <c r="C38459" s="6">
        <v>5389</v>
      </c>
      <c r="D38459" s="7">
        <v>2.21</v>
      </c>
      <c r="E38459" t="s">
        <v>13</v>
      </c>
    </row>
    <row r="38460" spans="1:5" x14ac:dyDescent="0.25">
      <c r="A38460" t="str">
        <f>HYPERLINK("https://www.773grp.com/globalSearch/NCV317BD2TR4/page-1", "NCV317BD2TR4")</f>
        <v>NCV317BD2TR4</v>
      </c>
      <c r="B38460" s="3" t="str">
        <f>HYPERLINK("https://www.773grp.com/manufacturer/onsemi?pageNo=516", "ON Semiconductor")</f>
        <v>ON Semiconductor</v>
      </c>
      <c r="C38460" s="6">
        <v>19200</v>
      </c>
      <c r="D38460" s="7">
        <v>2.21</v>
      </c>
      <c r="E38460" t="s">
        <v>22</v>
      </c>
    </row>
    <row r="38461" spans="1:5" x14ac:dyDescent="0.25">
      <c r="A38461" t="str">
        <f>HYPERLINK("https://www.773grp.com/globalSearch/NCV7805ABD2TR4G/page-1", "NCV7805ABD2TR4G")</f>
        <v>NCV7805ABD2TR4G</v>
      </c>
      <c r="B38461" s="3" t="str">
        <f>HYPERLINK("https://www.773grp.com/manufacturer/onsemi?pageNo=517", "ON Semiconductor")</f>
        <v>ON Semiconductor</v>
      </c>
      <c r="C38461" s="6">
        <v>2400</v>
      </c>
      <c r="D38461" s="7">
        <v>2.21</v>
      </c>
      <c r="E38461" t="s">
        <v>28</v>
      </c>
    </row>
    <row r="38462" spans="1:5" x14ac:dyDescent="0.25">
      <c r="A38462" t="str">
        <f>HYPERLINK("https://www.773grp.com/globalSearch/NCV8502PDWADJ/page-1", "NCV8502PDWADJ")</f>
        <v>NCV8502PDWADJ</v>
      </c>
      <c r="B38462" s="3" t="str">
        <f>HYPERLINK("https://www.773grp.com/manufacturer/onsemi?pageNo=518", "ON Semiconductor")</f>
        <v>ON Semiconductor</v>
      </c>
      <c r="C38462" s="6">
        <v>141</v>
      </c>
      <c r="D38462" s="7">
        <v>2.21</v>
      </c>
      <c r="E38462" t="s">
        <v>25</v>
      </c>
    </row>
    <row r="38463" spans="1:5" x14ac:dyDescent="0.25">
      <c r="A38463" t="str">
        <f>HYPERLINK("https://www.773grp.com/globalSearch/NLAS3699MN1R2G/page-1", "NLAS3699MN1R2G")</f>
        <v>NLAS3699MN1R2G</v>
      </c>
      <c r="B38463" s="3" t="str">
        <f>HYPERLINK("https://www.773grp.com/manufacturer/onsemi?pageNo=519", "ON Semiconductor")</f>
        <v>ON Semiconductor</v>
      </c>
      <c r="C38463" s="6">
        <v>122609</v>
      </c>
      <c r="D38463" s="7">
        <v>2.21</v>
      </c>
      <c r="E38463" t="s">
        <v>56</v>
      </c>
    </row>
    <row r="38464" spans="1:5" x14ac:dyDescent="0.25">
      <c r="A38464" t="str">
        <f>HYPERLINK("https://www.773grp.com/globalSearch/NLAS6234MUTBG/page-1", "NLAS6234MUTBG")</f>
        <v>NLAS6234MUTBG</v>
      </c>
      <c r="B38464" s="3" t="str">
        <f>HYPERLINK("https://www.773grp.com/manufacturer/onsemi?pageNo=520", "ON Semiconductor")</f>
        <v>ON Semiconductor</v>
      </c>
      <c r="C38464" s="6">
        <v>66000</v>
      </c>
      <c r="D38464" s="7">
        <v>2.21</v>
      </c>
      <c r="E38464" t="s">
        <v>56</v>
      </c>
    </row>
    <row r="38465" spans="1:5" x14ac:dyDescent="0.25">
      <c r="A38465" t="str">
        <f>HYPERLINK("https://www.773grp.com/globalSearch/NTB45N06/page-1", "NTB45N06")</f>
        <v>NTB45N06</v>
      </c>
      <c r="B38465" s="3" t="str">
        <f>HYPERLINK("https://www.773grp.com/manufacturer/onsemi?pageNo=521", "ON Semiconductor")</f>
        <v>ON Semiconductor</v>
      </c>
      <c r="C38465" s="6">
        <v>1800</v>
      </c>
      <c r="D38465" s="7">
        <v>2.21</v>
      </c>
      <c r="E38465" t="s">
        <v>105</v>
      </c>
    </row>
    <row r="38466" spans="1:5" x14ac:dyDescent="0.25">
      <c r="A38466" t="str">
        <f>HYPERLINK("https://www.773grp.com/globalSearch/NTB45N06G/page-1", "NTB45N06G")</f>
        <v>NTB45N06G</v>
      </c>
      <c r="B38466" s="3" t="str">
        <f>HYPERLINK("https://www.773grp.com/manufacturer/onsemi?pageNo=522", "ON Semiconductor")</f>
        <v>ON Semiconductor</v>
      </c>
      <c r="C38466" s="6">
        <v>4000</v>
      </c>
      <c r="D38466" s="7">
        <v>2.21</v>
      </c>
    </row>
    <row r="38467" spans="1:5" x14ac:dyDescent="0.25">
      <c r="A38467" t="str">
        <f>HYPERLINK("https://www.773grp.com/globalSearch/NTB52N10/page-1", "NTB52N10")</f>
        <v>NTB52N10</v>
      </c>
      <c r="B38467" s="3" t="str">
        <f>HYPERLINK("https://www.773grp.com/manufacturer/onsemi?pageNo=523", "ON Semiconductor")</f>
        <v>ON Semiconductor</v>
      </c>
      <c r="C38467" s="6">
        <v>50</v>
      </c>
      <c r="D38467" s="7">
        <v>2.21</v>
      </c>
      <c r="E38467" t="s">
        <v>105</v>
      </c>
    </row>
    <row r="38468" spans="1:5" x14ac:dyDescent="0.25">
      <c r="A38468" t="str">
        <f>HYPERLINK("https://www.773grp.com/globalSearch/NTB52N10G/page-1", "NTB52N10G")</f>
        <v>NTB52N10G</v>
      </c>
      <c r="B38468" s="3" t="str">
        <f>HYPERLINK("https://www.773grp.com/manufacturer/onsemi?pageNo=524", "ON Semiconductor")</f>
        <v>ON Semiconductor</v>
      </c>
      <c r="C38468" s="6">
        <v>8600</v>
      </c>
      <c r="D38468" s="7">
        <v>2.21</v>
      </c>
      <c r="E38468" t="s">
        <v>105</v>
      </c>
    </row>
    <row r="38469" spans="1:5" x14ac:dyDescent="0.25">
      <c r="A38469" t="str">
        <f>HYPERLINK("https://www.773grp.com/globalSearch/NTD5803NT4G/page-1", "NTD5803NT4G")</f>
        <v>NTD5803NT4G</v>
      </c>
      <c r="B38469" s="3" t="str">
        <f>HYPERLINK("https://www.773grp.com/manufacturer/onsemi?pageNo=525", "ON Semiconductor")</f>
        <v>ON Semiconductor</v>
      </c>
      <c r="C38469" s="6">
        <v>68600</v>
      </c>
      <c r="D38469" s="7">
        <v>2.21</v>
      </c>
    </row>
    <row r="38470" spans="1:5" x14ac:dyDescent="0.25">
      <c r="A38470" t="str">
        <f>HYPERLINK("https://www.773grp.com/globalSearch/NTMFS4119NT3G/page-1", "NTMFS4119NT3G")</f>
        <v>NTMFS4119NT3G</v>
      </c>
      <c r="B38470" s="3" t="str">
        <f>HYPERLINK("https://www.773grp.com/manufacturer/onsemi?pageNo=526", "ON Semiconductor")</f>
        <v>ON Semiconductor</v>
      </c>
      <c r="C38470" s="6">
        <v>60000</v>
      </c>
      <c r="D38470" s="7">
        <v>2.21</v>
      </c>
    </row>
    <row r="38471" spans="1:5" x14ac:dyDescent="0.25">
      <c r="A38471" t="str">
        <f>HYPERLINK("https://www.773grp.com/globalSearch/NTP75N03R/page-1", "NTP75N03R")</f>
        <v>NTP75N03R</v>
      </c>
      <c r="B38471" s="3" t="str">
        <f>HYPERLINK("https://www.773grp.com/manufacturer/onsemi?pageNo=527", "ON Semiconductor")</f>
        <v>ON Semiconductor</v>
      </c>
      <c r="C38471" s="6">
        <v>2917</v>
      </c>
      <c r="D38471" s="7">
        <v>2.21</v>
      </c>
      <c r="E38471" t="s">
        <v>105</v>
      </c>
    </row>
    <row r="38472" spans="1:5" x14ac:dyDescent="0.25">
      <c r="A38472" t="str">
        <f>HYPERLINK("https://www.773grp.com/globalSearch/NTSB40120CT-1G/page-1", "NTSB40120CT-1G")</f>
        <v>NTSB40120CT-1G</v>
      </c>
      <c r="B38472" s="3" t="str">
        <f>HYPERLINK("https://www.773grp.com/manufacturer/onsemi?pageNo=528", "ON Semiconductor")</f>
        <v>ON Semiconductor</v>
      </c>
      <c r="C38472" s="6">
        <v>997</v>
      </c>
      <c r="D38472" s="7">
        <v>2.21</v>
      </c>
    </row>
    <row r="38473" spans="1:5" x14ac:dyDescent="0.25">
      <c r="A38473" t="str">
        <f>HYPERLINK("https://www.773grp.com/globalSearch/NUP6012PMUTAG/page-1", "NUP6012PMUTAG")</f>
        <v>NUP6012PMUTAG</v>
      </c>
      <c r="B38473" s="3" t="str">
        <f>HYPERLINK("https://www.773grp.com/manufacturer/onsemi?pageNo=529", "ON Semiconductor")</f>
        <v>ON Semiconductor</v>
      </c>
      <c r="C38473" s="6">
        <v>3000</v>
      </c>
      <c r="D38473" s="7">
        <v>2.21</v>
      </c>
      <c r="E38473" t="s">
        <v>96</v>
      </c>
    </row>
    <row r="38474" spans="1:5" x14ac:dyDescent="0.25">
      <c r="A38474" t="str">
        <f>HYPERLINK("https://www.773grp.com/globalSearch/SA5532NG/page-1", "SA5532NG")</f>
        <v>SA5532NG</v>
      </c>
      <c r="B38474" s="3" t="str">
        <f>HYPERLINK("https://www.773grp.com/manufacturer/onsemi?pageNo=530", "ON Semiconductor")</f>
        <v>ON Semiconductor</v>
      </c>
      <c r="C38474" s="6">
        <v>50</v>
      </c>
      <c r="D38474" s="7">
        <v>2.21</v>
      </c>
      <c r="E38474" t="s">
        <v>13</v>
      </c>
    </row>
    <row r="38475" spans="1:5" x14ac:dyDescent="0.25">
      <c r="A38475" t="str">
        <f>HYPERLINK("https://www.773grp.com/globalSearch/SN74LS684DW/page-1", "SN74LS684DW")</f>
        <v>SN74LS684DW</v>
      </c>
      <c r="B38475" s="3" t="str">
        <f>HYPERLINK("https://www.773grp.com/manufacturer/onsemi?pageNo=531", "ON Semiconductor")</f>
        <v>ON Semiconductor</v>
      </c>
      <c r="C38475" s="6">
        <v>1596</v>
      </c>
      <c r="D38475" s="7">
        <v>2.21</v>
      </c>
      <c r="E38475" t="s">
        <v>43</v>
      </c>
    </row>
    <row r="38476" spans="1:5" x14ac:dyDescent="0.25">
      <c r="A38476" t="str">
        <f>HYPERLINK("https://www.773grp.com/globalSearch/SR4475R1/page-1", "SR4475R1")</f>
        <v>SR4475R1</v>
      </c>
      <c r="B38476" s="3" t="str">
        <f>HYPERLINK("https://www.773grp.com/manufacturer/onsemi?pageNo=532", "ON Semiconductor")</f>
        <v>ON Semiconductor</v>
      </c>
      <c r="C38476" s="6">
        <v>9995</v>
      </c>
      <c r="D38476" s="7">
        <v>2.21</v>
      </c>
    </row>
    <row r="38477" spans="1:5" x14ac:dyDescent="0.25">
      <c r="A38477" t="str">
        <f>HYPERLINK("https://www.773grp.com/globalSearch/TL594CDG/page-1", "TL594CDG")</f>
        <v>TL594CDG</v>
      </c>
      <c r="B38477" s="3" t="str">
        <f>HYPERLINK("https://www.773grp.com/manufacturer/onsemi?pageNo=533", "ON Semiconductor")</f>
        <v>ON Semiconductor</v>
      </c>
      <c r="C38477" s="6">
        <v>6538</v>
      </c>
      <c r="D38477" s="7">
        <v>2.21</v>
      </c>
      <c r="E38477" t="s">
        <v>7</v>
      </c>
    </row>
    <row r="38478" spans="1:5" x14ac:dyDescent="0.25">
      <c r="A38478" t="str">
        <f>HYPERLINK("https://www.773grp.com/globalSearch/TL594CDR2G/page-1", "TL594CDR2G")</f>
        <v>TL594CDR2G</v>
      </c>
      <c r="B38478" s="3" t="str">
        <f>HYPERLINK("https://www.773grp.com/manufacturer/onsemi?pageNo=534", "ON Semiconductor")</f>
        <v>ON Semiconductor</v>
      </c>
      <c r="C38478" s="6">
        <v>337954</v>
      </c>
      <c r="D38478" s="7">
        <v>2.21</v>
      </c>
      <c r="E38478" t="s">
        <v>7</v>
      </c>
    </row>
    <row r="38479" spans="1:5" x14ac:dyDescent="0.25">
      <c r="A38479" t="str">
        <f>HYPERLINK("https://www.773grp.com/globalSearch/2SK4197FS/page-1", "2SK4197FS")</f>
        <v>2SK4197FS</v>
      </c>
      <c r="B38479" s="3" t="str">
        <f>HYPERLINK("https://www.773grp.com/manufacturer/onsemi?pageNo=535", "ON Semiconductor")</f>
        <v>ON Semiconductor</v>
      </c>
      <c r="C38479" s="6">
        <v>40650</v>
      </c>
      <c r="D38479" s="7">
        <v>2.2599999999999998</v>
      </c>
    </row>
    <row r="38480" spans="1:5" x14ac:dyDescent="0.25">
      <c r="A38480" t="str">
        <f>HYPERLINK("https://www.773grp.com/globalSearch/CAT1832Z-G/page-1", "CAT1832Z-G")</f>
        <v>CAT1832Z-G</v>
      </c>
      <c r="B38480" s="3" t="str">
        <f>HYPERLINK("https://www.773grp.com/manufacturer/onsemi?pageNo=536", "ON Semiconductor")</f>
        <v>ON Semiconductor</v>
      </c>
      <c r="C38480" s="6">
        <v>960</v>
      </c>
      <c r="D38480" s="7">
        <v>2.2599999999999998</v>
      </c>
      <c r="E38480" t="s">
        <v>30</v>
      </c>
    </row>
    <row r="38481" spans="1:5" x14ac:dyDescent="0.25">
      <c r="A38481" t="str">
        <f>HYPERLINK("https://www.773grp.com/globalSearch/CS5211EDR14/page-1", "CS5211EDR14")</f>
        <v>CS5211EDR14</v>
      </c>
      <c r="B38481" s="3" t="str">
        <f>HYPERLINK("https://www.773grp.com/manufacturer/onsemi?pageNo=537", "ON Semiconductor")</f>
        <v>ON Semiconductor</v>
      </c>
      <c r="C38481" s="6">
        <v>4956</v>
      </c>
      <c r="D38481" s="7">
        <v>2.2599999999999998</v>
      </c>
      <c r="E38481" t="s">
        <v>7</v>
      </c>
    </row>
    <row r="38482" spans="1:5" x14ac:dyDescent="0.25">
      <c r="A38482" t="str">
        <f>HYPERLINK("https://www.773grp.com/globalSearch/LF347BN/page-1", "LF347BN")</f>
        <v>LF347BN</v>
      </c>
      <c r="B38482" s="3" t="str">
        <f>HYPERLINK("https://www.773grp.com/manufacturer/onsemi?pageNo=538", "ON Semiconductor")</f>
        <v>ON Semiconductor</v>
      </c>
      <c r="C38482" s="6">
        <v>176</v>
      </c>
      <c r="D38482" s="7">
        <v>2.2599999999999998</v>
      </c>
      <c r="E38482" t="s">
        <v>13</v>
      </c>
    </row>
    <row r="38483" spans="1:5" x14ac:dyDescent="0.25">
      <c r="A38483" t="str">
        <f>HYPERLINK("https://www.773grp.com/globalSearch/LM2574N-005/page-1", "LM2574N-005")</f>
        <v>LM2574N-005</v>
      </c>
      <c r="B38483" s="3" t="str">
        <f>HYPERLINK("https://www.773grp.com/manufacturer/onsemi?pageNo=539", "ON Semiconductor")</f>
        <v>ON Semiconductor</v>
      </c>
      <c r="C38483" s="6">
        <v>506</v>
      </c>
      <c r="D38483" s="7">
        <v>2.2599999999999998</v>
      </c>
    </row>
    <row r="38484" spans="1:5" x14ac:dyDescent="0.25">
      <c r="A38484" t="str">
        <f>HYPERLINK("https://www.773grp.com/globalSearch/LM337BD2TG/page-1", "LM337BD2TG")</f>
        <v>LM337BD2TG</v>
      </c>
      <c r="B38484" s="3" t="str">
        <f>HYPERLINK("https://www.773grp.com/manufacturer/onsemi?pageNo=540", "ON Semiconductor")</f>
        <v>ON Semiconductor</v>
      </c>
      <c r="C38484" s="6">
        <v>216</v>
      </c>
      <c r="D38484" s="7">
        <v>2.2599999999999998</v>
      </c>
      <c r="E38484" t="s">
        <v>37</v>
      </c>
    </row>
    <row r="38485" spans="1:5" x14ac:dyDescent="0.25">
      <c r="A38485" t="str">
        <f>HYPERLINK("https://www.773grp.com/globalSearch/LM337BD2TR4G/page-1", "LM337BD2TR4G")</f>
        <v>LM337BD2TR4G</v>
      </c>
      <c r="B38485" s="3" t="str">
        <f>HYPERLINK("https://www.773grp.com/manufacturer/onsemi?pageNo=541", "ON Semiconductor")</f>
        <v>ON Semiconductor</v>
      </c>
      <c r="C38485" s="6">
        <v>5035</v>
      </c>
      <c r="D38485" s="7">
        <v>2.2599999999999998</v>
      </c>
      <c r="E38485" t="s">
        <v>37</v>
      </c>
    </row>
    <row r="38486" spans="1:5" x14ac:dyDescent="0.25">
      <c r="A38486" t="str">
        <f>HYPERLINK("https://www.773grp.com/globalSearch/LP2950ACDT-3.3/page-1", "LP2950ACDT-3.3")</f>
        <v>LP2950ACDT-3.3</v>
      </c>
      <c r="B38486" s="3" t="str">
        <f>HYPERLINK("https://www.773grp.com/manufacturer/onsemi?pageNo=542", "ON Semiconductor")</f>
        <v>ON Semiconductor</v>
      </c>
      <c r="C38486" s="6">
        <v>4275</v>
      </c>
      <c r="D38486" s="7">
        <v>2.2599999999999998</v>
      </c>
      <c r="E38486" t="s">
        <v>19</v>
      </c>
    </row>
    <row r="38487" spans="1:5" x14ac:dyDescent="0.25">
      <c r="A38487" t="str">
        <f>HYPERLINK("https://www.773grp.com/globalSearch/LP2950ACDT-3.3RK/page-1", "LP2950ACDT-3.3RK")</f>
        <v>LP2950ACDT-3.3RK</v>
      </c>
      <c r="B38487" s="3" t="str">
        <f>HYPERLINK("https://www.773grp.com/manufacturer/onsemi?pageNo=543", "ON Semiconductor")</f>
        <v>ON Semiconductor</v>
      </c>
      <c r="C38487" s="6">
        <v>5000</v>
      </c>
      <c r="D38487" s="7">
        <v>2.2599999999999998</v>
      </c>
      <c r="E38487" t="s">
        <v>19</v>
      </c>
    </row>
    <row r="38488" spans="1:5" x14ac:dyDescent="0.25">
      <c r="A38488" t="str">
        <f>HYPERLINK("https://www.773grp.com/globalSearch/MC33348D-006/page-1", "MC33348D-006")</f>
        <v>MC33348D-006</v>
      </c>
      <c r="B38488" s="3" t="str">
        <f>HYPERLINK("https://www.773grp.com/manufacturer/onsemi?pageNo=544", "ON Semiconductor")</f>
        <v>ON Semiconductor</v>
      </c>
      <c r="C38488" s="6">
        <v>54683</v>
      </c>
      <c r="D38488" s="7">
        <v>2.2599999999999998</v>
      </c>
    </row>
    <row r="38489" spans="1:5" x14ac:dyDescent="0.25">
      <c r="A38489" t="str">
        <f>HYPERLINK("https://www.773grp.com/globalSearch/MC34074DG/page-1", "MC34074DG")</f>
        <v>MC34074DG</v>
      </c>
      <c r="B38489" s="3" t="str">
        <f>HYPERLINK("https://www.773grp.com/manufacturer/onsemi?pageNo=545", "ON Semiconductor")</f>
        <v>ON Semiconductor</v>
      </c>
      <c r="C38489" s="6">
        <v>9714</v>
      </c>
      <c r="D38489" s="7">
        <v>2.2599999999999998</v>
      </c>
      <c r="E38489" t="s">
        <v>13</v>
      </c>
    </row>
    <row r="38490" spans="1:5" x14ac:dyDescent="0.25">
      <c r="A38490" t="str">
        <f>HYPERLINK("https://www.773grp.com/globalSearch/MC34074DR2G/page-1", "MC34074DR2G")</f>
        <v>MC34074DR2G</v>
      </c>
      <c r="B38490" s="3" t="str">
        <f>HYPERLINK("https://www.773grp.com/manufacturer/onsemi?pageNo=546", "ON Semiconductor")</f>
        <v>ON Semiconductor</v>
      </c>
      <c r="C38490" s="6">
        <v>40000</v>
      </c>
      <c r="D38490" s="7">
        <v>2.2599999999999998</v>
      </c>
      <c r="E38490" t="s">
        <v>13</v>
      </c>
    </row>
    <row r="38491" spans="1:5" x14ac:dyDescent="0.25">
      <c r="A38491" t="str">
        <f>HYPERLINK("https://www.773grp.com/globalSearch/MC34074PG/page-1", "MC34074PG")</f>
        <v>MC34074PG</v>
      </c>
      <c r="B38491" s="3" t="str">
        <f>HYPERLINK("https://www.773grp.com/manufacturer/onsemi?pageNo=547", "ON Semiconductor")</f>
        <v>ON Semiconductor</v>
      </c>
      <c r="C38491" s="6">
        <v>4360</v>
      </c>
      <c r="D38491" s="7">
        <v>2.2599999999999998</v>
      </c>
      <c r="E38491" t="s">
        <v>13</v>
      </c>
    </row>
    <row r="38492" spans="1:5" x14ac:dyDescent="0.25">
      <c r="A38492" t="str">
        <f>HYPERLINK("https://www.773grp.com/globalSearch/NCP1012APL065R2G/page-1", "NCP1012APL065R2G")</f>
        <v>NCP1012APL065R2G</v>
      </c>
      <c r="B38492" s="3" t="str">
        <f>HYPERLINK("https://www.773grp.com/manufacturer/onsemi?pageNo=548", "ON Semiconductor")</f>
        <v>ON Semiconductor</v>
      </c>
      <c r="C38492" s="6">
        <v>3688</v>
      </c>
      <c r="D38492" s="7">
        <v>2.2599999999999998</v>
      </c>
      <c r="E38492" t="s">
        <v>7</v>
      </c>
    </row>
    <row r="38493" spans="1:5" x14ac:dyDescent="0.25">
      <c r="A38493" t="str">
        <f>HYPERLINK("https://www.773grp.com/globalSearch/NCP1086T-ADJG/page-1", "NCP1086T-ADJG")</f>
        <v>NCP1086T-ADJG</v>
      </c>
      <c r="B38493" s="3" t="str">
        <f>HYPERLINK("https://www.773grp.com/manufacturer/onsemi?pageNo=549", "ON Semiconductor")</f>
        <v>ON Semiconductor</v>
      </c>
      <c r="C38493" s="6">
        <v>1030</v>
      </c>
      <c r="D38493" s="7">
        <v>2.2599999999999998</v>
      </c>
      <c r="E38493" t="s">
        <v>25</v>
      </c>
    </row>
    <row r="38494" spans="1:5" x14ac:dyDescent="0.25">
      <c r="A38494" t="str">
        <f>HYPERLINK("https://www.773grp.com/globalSearch/NCP1205DR2/page-1", "NCP1205DR2")</f>
        <v>NCP1205DR2</v>
      </c>
      <c r="B38494" s="3" t="str">
        <f>HYPERLINK("https://www.773grp.com/manufacturer/onsemi?pageNo=550", "ON Semiconductor")</f>
        <v>ON Semiconductor</v>
      </c>
      <c r="C38494" s="6">
        <v>385000</v>
      </c>
      <c r="D38494" s="7">
        <v>2.2599999999999998</v>
      </c>
      <c r="E38494" t="s">
        <v>7</v>
      </c>
    </row>
    <row r="38495" spans="1:5" x14ac:dyDescent="0.25">
      <c r="A38495" t="str">
        <f>HYPERLINK("https://www.773grp.com/globalSearch/NCV7805BD2TG/page-1", "NCV7805BD2TG")</f>
        <v>NCV7805BD2TG</v>
      </c>
      <c r="B38495" s="3" t="str">
        <f>HYPERLINK("https://www.773grp.com/manufacturer/onsemi?pageNo=551", "ON Semiconductor")</f>
        <v>ON Semiconductor</v>
      </c>
      <c r="C38495" s="6">
        <v>35000</v>
      </c>
      <c r="D38495" s="7">
        <v>2.2599999999999998</v>
      </c>
      <c r="E38495" t="s">
        <v>28</v>
      </c>
    </row>
    <row r="38496" spans="1:5" x14ac:dyDescent="0.25">
      <c r="A38496" t="str">
        <f>HYPERLINK("https://www.773grp.com/globalSearch/NCV7805BD2TR4G/page-1", "NCV7805BD2TR4G")</f>
        <v>NCV7805BD2TR4G</v>
      </c>
      <c r="B38496" s="3" t="str">
        <f>HYPERLINK("https://www.773grp.com/manufacturer/onsemi?pageNo=552", "ON Semiconductor")</f>
        <v>ON Semiconductor</v>
      </c>
      <c r="C38496" s="6">
        <v>10400</v>
      </c>
      <c r="D38496" s="7">
        <v>2.2599999999999998</v>
      </c>
      <c r="E38496" t="s">
        <v>28</v>
      </c>
    </row>
    <row r="38497" spans="1:5" x14ac:dyDescent="0.25">
      <c r="A38497" t="str">
        <f>HYPERLINK("https://www.773grp.com/globalSearch/NCV7808BD2TR4G/page-1", "NCV7808BD2TR4G")</f>
        <v>NCV7808BD2TR4G</v>
      </c>
      <c r="B38497" s="3" t="str">
        <f>HYPERLINK("https://www.773grp.com/manufacturer/onsemi?pageNo=553", "ON Semiconductor")</f>
        <v>ON Semiconductor</v>
      </c>
      <c r="C38497" s="6">
        <v>2492</v>
      </c>
      <c r="D38497" s="7">
        <v>2.2599999999999998</v>
      </c>
      <c r="E38497" t="s">
        <v>28</v>
      </c>
    </row>
    <row r="38498" spans="1:5" x14ac:dyDescent="0.25">
      <c r="A38498" t="str">
        <f>HYPERLINK("https://www.773grp.com/globalSearch/NCV8501PDW33R2/page-1", "NCV8501PDW33R2")</f>
        <v>NCV8501PDW33R2</v>
      </c>
      <c r="B38498" s="3" t="str">
        <f>HYPERLINK("https://www.773grp.com/manufacturer/onsemi?pageNo=554", "ON Semiconductor")</f>
        <v>ON Semiconductor</v>
      </c>
      <c r="C38498" s="6">
        <v>6523</v>
      </c>
      <c r="D38498" s="7">
        <v>2.2599999999999998</v>
      </c>
      <c r="E38498" t="s">
        <v>19</v>
      </c>
    </row>
    <row r="38499" spans="1:5" x14ac:dyDescent="0.25">
      <c r="A38499" t="str">
        <f>HYPERLINK("https://www.773grp.com/globalSearch/NCV8605MN15T2G/page-1", "NCV8605MN15T2G")</f>
        <v>NCV8605MN15T2G</v>
      </c>
      <c r="B38499" s="3" t="str">
        <f>HYPERLINK("https://www.773grp.com/manufacturer/onsemi?pageNo=555", "ON Semiconductor")</f>
        <v>ON Semiconductor</v>
      </c>
      <c r="C38499" s="6">
        <v>3000</v>
      </c>
      <c r="D38499" s="7">
        <v>2.2599999999999998</v>
      </c>
    </row>
    <row r="38500" spans="1:5" x14ac:dyDescent="0.25">
      <c r="A38500" t="str">
        <f>HYPERLINK("https://www.773grp.com/globalSearch/NCV8605MN18T2G/page-1", "NCV8605MN18T2G")</f>
        <v>NCV8605MN18T2G</v>
      </c>
      <c r="B38500" s="3" t="str">
        <f>HYPERLINK("https://www.773grp.com/manufacturer/onsemi?pageNo=556", "ON Semiconductor")</f>
        <v>ON Semiconductor</v>
      </c>
      <c r="C38500" s="6">
        <v>17800</v>
      </c>
      <c r="D38500" s="7">
        <v>2.2599999999999998</v>
      </c>
    </row>
    <row r="38501" spans="1:5" x14ac:dyDescent="0.25">
      <c r="A38501" t="str">
        <f>HYPERLINK("https://www.773grp.com/globalSearch/NCV8605MN25T2G/page-1", "NCV8605MN25T2G")</f>
        <v>NCV8605MN25T2G</v>
      </c>
      <c r="B38501" s="3" t="str">
        <f>HYPERLINK("https://www.773grp.com/manufacturer/onsemi?pageNo=557", "ON Semiconductor")</f>
        <v>ON Semiconductor</v>
      </c>
      <c r="C38501" s="6">
        <v>18000</v>
      </c>
      <c r="D38501" s="7">
        <v>2.2599999999999998</v>
      </c>
    </row>
    <row r="38502" spans="1:5" x14ac:dyDescent="0.25">
      <c r="A38502" t="str">
        <f>HYPERLINK("https://www.773grp.com/globalSearch/NCV8605MN28T2G/page-1", "NCV8605MN28T2G")</f>
        <v>NCV8605MN28T2G</v>
      </c>
      <c r="B38502" s="3" t="str">
        <f>HYPERLINK("https://www.773grp.com/manufacturer/onsemi?pageNo=558", "ON Semiconductor")</f>
        <v>ON Semiconductor</v>
      </c>
      <c r="C38502" s="6">
        <v>26000</v>
      </c>
      <c r="D38502" s="7">
        <v>2.2599999999999998</v>
      </c>
    </row>
    <row r="38503" spans="1:5" x14ac:dyDescent="0.25">
      <c r="A38503" t="str">
        <f>HYPERLINK("https://www.773grp.com/globalSearch/NCV8605MN30T2G/page-1", "NCV8605MN30T2G")</f>
        <v>NCV8605MN30T2G</v>
      </c>
      <c r="B38503" s="3" t="str">
        <f>HYPERLINK("https://www.773grp.com/manufacturer/onsemi?pageNo=559", "ON Semiconductor")</f>
        <v>ON Semiconductor</v>
      </c>
      <c r="C38503" s="6">
        <v>6000</v>
      </c>
      <c r="D38503" s="7">
        <v>2.2599999999999998</v>
      </c>
    </row>
    <row r="38504" spans="1:5" x14ac:dyDescent="0.25">
      <c r="A38504" t="str">
        <f>HYPERLINK("https://www.773grp.com/globalSearch/NCV8605MN33T2G/page-1", "NCV8605MN33T2G")</f>
        <v>NCV8605MN33T2G</v>
      </c>
      <c r="B38504" s="3" t="str">
        <f>HYPERLINK("https://www.773grp.com/manufacturer/onsemi?pageNo=560", "ON Semiconductor")</f>
        <v>ON Semiconductor</v>
      </c>
      <c r="C38504" s="6">
        <v>2900</v>
      </c>
      <c r="D38504" s="7">
        <v>2.2599999999999998</v>
      </c>
    </row>
    <row r="38505" spans="1:5" x14ac:dyDescent="0.25">
      <c r="A38505" t="str">
        <f>HYPERLINK("https://www.773grp.com/globalSearch/NCV8605MN50T2G/page-1", "NCV8605MN50T2G")</f>
        <v>NCV8605MN50T2G</v>
      </c>
      <c r="B38505" s="3" t="str">
        <f>HYPERLINK("https://www.773grp.com/manufacturer/onsemi?pageNo=561", "ON Semiconductor")</f>
        <v>ON Semiconductor</v>
      </c>
      <c r="C38505" s="6">
        <v>6000</v>
      </c>
      <c r="D38505" s="7">
        <v>2.2599999999999998</v>
      </c>
    </row>
    <row r="38506" spans="1:5" x14ac:dyDescent="0.25">
      <c r="A38506" t="str">
        <f>HYPERLINK("https://www.773grp.com/globalSearch/NCV8605MNADJT2G/page-1", "NCV8605MNADJT2G")</f>
        <v>NCV8605MNADJT2G</v>
      </c>
      <c r="B38506" s="3" t="str">
        <f>HYPERLINK("https://www.773grp.com/manufacturer/onsemi?pageNo=562", "ON Semiconductor")</f>
        <v>ON Semiconductor</v>
      </c>
      <c r="C38506" s="6">
        <v>11750</v>
      </c>
      <c r="D38506" s="7">
        <v>2.2599999999999998</v>
      </c>
    </row>
    <row r="38507" spans="1:5" x14ac:dyDescent="0.25">
      <c r="A38507" t="str">
        <f>HYPERLINK("https://www.773grp.com/globalSearch/NCV8606MN15T2G/page-1", "NCV8606MN15T2G")</f>
        <v>NCV8606MN15T2G</v>
      </c>
      <c r="B38507" s="3" t="str">
        <f>HYPERLINK("https://www.773grp.com/manufacturer/onsemi?pageNo=563", "ON Semiconductor")</f>
        <v>ON Semiconductor</v>
      </c>
      <c r="C38507" s="6">
        <v>27000</v>
      </c>
      <c r="D38507" s="7">
        <v>2.2599999999999998</v>
      </c>
    </row>
    <row r="38508" spans="1:5" x14ac:dyDescent="0.25">
      <c r="A38508" t="str">
        <f>HYPERLINK("https://www.773grp.com/globalSearch/NCV8606MN18T2G/page-1", "NCV8606MN18T2G")</f>
        <v>NCV8606MN18T2G</v>
      </c>
      <c r="B38508" s="3" t="str">
        <f>HYPERLINK("https://www.773grp.com/manufacturer/onsemi?pageNo=564", "ON Semiconductor")</f>
        <v>ON Semiconductor</v>
      </c>
      <c r="C38508" s="6">
        <v>3000</v>
      </c>
      <c r="D38508" s="7">
        <v>2.2599999999999998</v>
      </c>
    </row>
    <row r="38509" spans="1:5" x14ac:dyDescent="0.25">
      <c r="A38509" t="str">
        <f>HYPERLINK("https://www.773grp.com/globalSearch/NCV8606MN28T2G/page-1", "NCV8606MN28T2G")</f>
        <v>NCV8606MN28T2G</v>
      </c>
      <c r="B38509" s="3" t="str">
        <f>HYPERLINK("https://www.773grp.com/manufacturer/onsemi?pageNo=565", "ON Semiconductor")</f>
        <v>ON Semiconductor</v>
      </c>
      <c r="C38509" s="6">
        <v>15000</v>
      </c>
      <c r="D38509" s="7">
        <v>2.2599999999999998</v>
      </c>
    </row>
    <row r="38510" spans="1:5" x14ac:dyDescent="0.25">
      <c r="A38510" t="str">
        <f>HYPERLINK("https://www.773grp.com/globalSearch/NCV8606MN30T2G/page-1", "NCV8606MN30T2G")</f>
        <v>NCV8606MN30T2G</v>
      </c>
      <c r="B38510" s="3" t="str">
        <f>HYPERLINK("https://www.773grp.com/manufacturer/onsemi?pageNo=566", "ON Semiconductor")</f>
        <v>ON Semiconductor</v>
      </c>
      <c r="C38510" s="6">
        <v>9000</v>
      </c>
      <c r="D38510" s="7">
        <v>2.2599999999999998</v>
      </c>
    </row>
    <row r="38511" spans="1:5" x14ac:dyDescent="0.25">
      <c r="A38511" t="str">
        <f>HYPERLINK("https://www.773grp.com/globalSearch/NCV8606MN33T2G/page-1", "NCV8606MN33T2G")</f>
        <v>NCV8606MN33T2G</v>
      </c>
      <c r="B38511" s="3" t="str">
        <f>HYPERLINK("https://www.773grp.com/manufacturer/onsemi?pageNo=567", "ON Semiconductor")</f>
        <v>ON Semiconductor</v>
      </c>
      <c r="C38511" s="6">
        <v>17570</v>
      </c>
      <c r="D38511" s="7">
        <v>2.2599999999999998</v>
      </c>
    </row>
    <row r="38512" spans="1:5" x14ac:dyDescent="0.25">
      <c r="A38512" t="str">
        <f>HYPERLINK("https://www.773grp.com/globalSearch/NCV8606MN50T2G/page-1", "NCV8606MN50T2G")</f>
        <v>NCV8606MN50T2G</v>
      </c>
      <c r="B38512" s="3" t="str">
        <f>HYPERLINK("https://www.773grp.com/manufacturer/onsemi?pageNo=568", "ON Semiconductor")</f>
        <v>ON Semiconductor</v>
      </c>
      <c r="C38512" s="6">
        <v>8873</v>
      </c>
      <c r="D38512" s="7">
        <v>2.2599999999999998</v>
      </c>
    </row>
    <row r="38513" spans="1:5" x14ac:dyDescent="0.25">
      <c r="A38513" t="str">
        <f>HYPERLINK("https://www.773grp.com/globalSearch/NDF10N60ZG/page-1", "NDF10N60ZG")</f>
        <v>NDF10N60ZG</v>
      </c>
      <c r="B38513" s="3" t="str">
        <f>HYPERLINK("https://www.773grp.com/manufacturer/onsemi?pageNo=569", "ON Semiconductor")</f>
        <v>ON Semiconductor</v>
      </c>
      <c r="C38513" s="6">
        <v>51450</v>
      </c>
      <c r="D38513" s="7">
        <v>2.2599999999999998</v>
      </c>
      <c r="E38513" t="s">
        <v>105</v>
      </c>
    </row>
    <row r="38514" spans="1:5" x14ac:dyDescent="0.25">
      <c r="A38514" t="str">
        <f>HYPERLINK("https://www.773grp.com/globalSearch/NDF10N60ZH/page-1", "NDF10N60ZH")</f>
        <v>NDF10N60ZH</v>
      </c>
      <c r="B38514" s="3" t="str">
        <f>HYPERLINK("https://www.773grp.com/manufacturer/onsemi?pageNo=570", "ON Semiconductor")</f>
        <v>ON Semiconductor</v>
      </c>
      <c r="C38514" s="6">
        <v>59950</v>
      </c>
      <c r="D38514" s="7">
        <v>2.2599999999999998</v>
      </c>
    </row>
    <row r="38515" spans="1:5" x14ac:dyDescent="0.25">
      <c r="A38515" t="str">
        <f>HYPERLINK("https://www.773grp.com/globalSearch/NDF11N50ZG/page-1", "NDF11N50ZG")</f>
        <v>NDF11N50ZG</v>
      </c>
      <c r="B38515" s="3" t="str">
        <f>HYPERLINK("https://www.773grp.com/manufacturer/onsemi?pageNo=571", "ON Semiconductor")</f>
        <v>ON Semiconductor</v>
      </c>
      <c r="C38515" s="6">
        <v>1845</v>
      </c>
      <c r="D38515" s="7">
        <v>2.2599999999999998</v>
      </c>
    </row>
    <row r="38516" spans="1:5" x14ac:dyDescent="0.25">
      <c r="A38516" t="str">
        <f>HYPERLINK("https://www.773grp.com/globalSearch/NDF11N50ZH/page-1", "NDF11N50ZH")</f>
        <v>NDF11N50ZH</v>
      </c>
      <c r="B38516" s="3" t="str">
        <f>HYPERLINK("https://www.773grp.com/manufacturer/onsemi?pageNo=572", "ON Semiconductor")</f>
        <v>ON Semiconductor</v>
      </c>
      <c r="C38516" s="6">
        <v>51150</v>
      </c>
      <c r="D38516" s="7">
        <v>2.2599999999999998</v>
      </c>
    </row>
    <row r="38517" spans="1:5" x14ac:dyDescent="0.25">
      <c r="A38517" t="str">
        <f>HYPERLINK("https://www.773grp.com/globalSearch/NE5534N/page-1", "NE5534N")</f>
        <v>NE5534N</v>
      </c>
      <c r="B38517" s="3" t="str">
        <f>HYPERLINK("https://www.773grp.com/manufacturer/onsemi?pageNo=573", "ON Semiconductor")</f>
        <v>ON Semiconductor</v>
      </c>
      <c r="C38517" s="6">
        <v>13650</v>
      </c>
      <c r="D38517" s="7">
        <v>2.2599999999999998</v>
      </c>
      <c r="E38517" t="s">
        <v>13</v>
      </c>
    </row>
    <row r="38518" spans="1:5" x14ac:dyDescent="0.25">
      <c r="A38518" t="str">
        <f>HYPERLINK("https://www.773grp.com/globalSearch/NTMFS4852NT1G/page-1", "NTMFS4852NT1G")</f>
        <v>NTMFS4852NT1G</v>
      </c>
      <c r="B38518" s="3" t="str">
        <f>HYPERLINK("https://www.773grp.com/manufacturer/onsemi?pageNo=574", "ON Semiconductor")</f>
        <v>ON Semiconductor</v>
      </c>
      <c r="C38518" s="6">
        <v>3000</v>
      </c>
      <c r="D38518" s="7">
        <v>2.2599999999999998</v>
      </c>
    </row>
    <row r="38519" spans="1:5" x14ac:dyDescent="0.25">
      <c r="A38519" t="str">
        <f>HYPERLINK("https://www.773grp.com/globalSearch/NTSJ40120CTG/page-1", "NTSJ40120CTG")</f>
        <v>NTSJ40120CTG</v>
      </c>
      <c r="B38519" s="3" t="str">
        <f>HYPERLINK("https://www.773grp.com/manufacturer/onsemi?pageNo=575", "ON Semiconductor")</f>
        <v>ON Semiconductor</v>
      </c>
      <c r="C38519" s="6">
        <v>550</v>
      </c>
      <c r="D38519" s="7">
        <v>2.2599999999999998</v>
      </c>
    </row>
    <row r="38520" spans="1:5" x14ac:dyDescent="0.25">
      <c r="A38520" t="str">
        <f>HYPERLINK("https://www.773grp.com/globalSearch/SN74LS684N/page-1", "SN74LS684N")</f>
        <v>SN74LS684N</v>
      </c>
      <c r="B38520" s="3" t="str">
        <f>HYPERLINK("https://www.773grp.com/manufacturer/onsemi?pageNo=576", "ON Semiconductor")</f>
        <v>ON Semiconductor</v>
      </c>
      <c r="C38520" s="6">
        <v>598</v>
      </c>
      <c r="D38520" s="7">
        <v>2.2599999999999998</v>
      </c>
      <c r="E38520" t="s">
        <v>43</v>
      </c>
    </row>
    <row r="38521" spans="1:5" x14ac:dyDescent="0.25">
      <c r="A38521" t="str">
        <f>HYPERLINK("https://www.773grp.com/globalSearch/UC3842BVD1R2G/page-1", "UC3842BVD1R2G")</f>
        <v>UC3842BVD1R2G</v>
      </c>
      <c r="B38521" s="3" t="str">
        <f>HYPERLINK("https://www.773grp.com/manufacturer/onsemi?pageNo=577", "ON Semiconductor")</f>
        <v>ON Semiconductor</v>
      </c>
      <c r="C38521" s="6">
        <v>2500</v>
      </c>
      <c r="D38521" s="7">
        <v>2.2599999999999998</v>
      </c>
    </row>
    <row r="38522" spans="1:5" x14ac:dyDescent="0.25">
      <c r="A38522" t="str">
        <f>HYPERLINK("https://www.773grp.com/globalSearch/UC3843BVD1R2G/page-1", "UC3843BVD1R2G")</f>
        <v>UC3843BVD1R2G</v>
      </c>
      <c r="B38522" s="3" t="str">
        <f>HYPERLINK("https://www.773grp.com/manufacturer/onsemi?pageNo=578", "ON Semiconductor")</f>
        <v>ON Semiconductor</v>
      </c>
      <c r="C38522" s="6">
        <v>25691</v>
      </c>
      <c r="D38522" s="7">
        <v>2.2599999999999998</v>
      </c>
      <c r="E38522" t="s">
        <v>7</v>
      </c>
    </row>
    <row r="38523" spans="1:5" x14ac:dyDescent="0.25">
      <c r="A38523" t="str">
        <f>HYPERLINK("https://www.773grp.com/globalSearch/UC3843BVNG/page-1", "UC3843BVNG")</f>
        <v>UC3843BVNG</v>
      </c>
      <c r="B38523" s="3" t="str">
        <f>HYPERLINK("https://www.773grp.com/manufacturer/onsemi?pageNo=579", "ON Semiconductor")</f>
        <v>ON Semiconductor</v>
      </c>
      <c r="C38523" s="6">
        <v>4550</v>
      </c>
      <c r="D38523" s="7">
        <v>2.2599999999999998</v>
      </c>
      <c r="E38523" t="s">
        <v>7</v>
      </c>
    </row>
    <row r="38524" spans="1:5" x14ac:dyDescent="0.25">
      <c r="A38524" t="str">
        <f>HYPERLINK("https://www.773grp.com/globalSearch/UC3844BVD1R2G/page-1", "UC3844BVD1R2G")</f>
        <v>UC3844BVD1R2G</v>
      </c>
      <c r="B38524" s="3" t="str">
        <f>HYPERLINK("https://www.773grp.com/manufacturer/onsemi?pageNo=580", "ON Semiconductor")</f>
        <v>ON Semiconductor</v>
      </c>
      <c r="C38524" s="6">
        <v>9935</v>
      </c>
      <c r="D38524" s="7">
        <v>2.2599999999999998</v>
      </c>
      <c r="E38524" t="s">
        <v>7</v>
      </c>
    </row>
    <row r="38525" spans="1:5" x14ac:dyDescent="0.25">
      <c r="A38525" t="str">
        <f>HYPERLINK("https://www.773grp.com/globalSearch/UC3845BVD/page-1", "UC3845BVD")</f>
        <v>UC3845BVD</v>
      </c>
      <c r="B38525" s="3" t="str">
        <f>HYPERLINK("https://www.773grp.com/manufacturer/onsemi?pageNo=581", "ON Semiconductor")</f>
        <v>ON Semiconductor</v>
      </c>
      <c r="C38525" s="6">
        <v>865</v>
      </c>
      <c r="D38525" s="7">
        <v>2.2599999999999998</v>
      </c>
      <c r="E38525" t="s">
        <v>7</v>
      </c>
    </row>
    <row r="38526" spans="1:5" x14ac:dyDescent="0.25">
      <c r="A38526" t="str">
        <f>HYPERLINK("https://www.773grp.com/globalSearch/UC3845BVD1R2G/page-1", "UC3845BVD1R2G")</f>
        <v>UC3845BVD1R2G</v>
      </c>
      <c r="B38526" s="3" t="str">
        <f>HYPERLINK("https://www.773grp.com/manufacturer/onsemi?pageNo=582", "ON Semiconductor")</f>
        <v>ON Semiconductor</v>
      </c>
      <c r="C38526" s="6">
        <v>5765</v>
      </c>
      <c r="D38526" s="7">
        <v>2.2599999999999998</v>
      </c>
      <c r="E38526" t="s">
        <v>7</v>
      </c>
    </row>
    <row r="38527" spans="1:5" x14ac:dyDescent="0.25">
      <c r="A38527" t="str">
        <f>HYPERLINK("https://www.773grp.com/globalSearch/CAT140089MWI-GT3/page-1", "CAT140089MWI-GT3")</f>
        <v>CAT140089MWI-GT3</v>
      </c>
      <c r="B38527" s="3" t="str">
        <f>HYPERLINK("https://www.773grp.com/manufacturer/onsemi?pageNo=583", "ON Semiconductor")</f>
        <v>ON Semiconductor</v>
      </c>
      <c r="C38527" s="6">
        <v>12000</v>
      </c>
      <c r="D38527" s="7">
        <v>2.33</v>
      </c>
      <c r="E38527" t="s">
        <v>64</v>
      </c>
    </row>
    <row r="38528" spans="1:5" x14ac:dyDescent="0.25">
      <c r="A38528" t="str">
        <f>HYPERLINK("https://www.773grp.com/globalSearch/CAT24C164WI-G/page-1", "CAT24C164WI-G")</f>
        <v>CAT24C164WI-G</v>
      </c>
      <c r="B38528" s="3" t="str">
        <f>HYPERLINK("https://www.773grp.com/manufacturer/onsemi?pageNo=584", "ON Semiconductor")</f>
        <v>ON Semiconductor</v>
      </c>
      <c r="C38528" s="6">
        <v>1830</v>
      </c>
      <c r="D38528" s="7">
        <v>2.33</v>
      </c>
    </row>
    <row r="38529" spans="1:5" x14ac:dyDescent="0.25">
      <c r="A38529" t="str">
        <f>HYPERLINK("https://www.773grp.com/globalSearch/CAT24C164YI-G/page-1", "CAT24C164YI-G")</f>
        <v>CAT24C164YI-G</v>
      </c>
      <c r="B38529" s="3" t="str">
        <f>HYPERLINK("https://www.773grp.com/manufacturer/onsemi?pageNo=585", "ON Semiconductor")</f>
        <v>ON Semiconductor</v>
      </c>
      <c r="C38529" s="6">
        <v>3400</v>
      </c>
      <c r="D38529" s="7">
        <v>2.33</v>
      </c>
      <c r="E38529" t="s">
        <v>64</v>
      </c>
    </row>
    <row r="38530" spans="1:5" x14ac:dyDescent="0.25">
      <c r="A38530" t="str">
        <f>HYPERLINK("https://www.773grp.com/globalSearch/CAT25128XI/page-1", "CAT25128XI")</f>
        <v>CAT25128XI</v>
      </c>
      <c r="B38530" s="3" t="str">
        <f>HYPERLINK("https://www.773grp.com/manufacturer/onsemi?pageNo=586", "ON Semiconductor")</f>
        <v>ON Semiconductor</v>
      </c>
      <c r="C38530" s="6">
        <v>50</v>
      </c>
      <c r="D38530" s="7">
        <v>2.33</v>
      </c>
    </row>
    <row r="38531" spans="1:5" x14ac:dyDescent="0.25">
      <c r="A38531" t="str">
        <f>HYPERLINK("https://www.773grp.com/globalSearch/CAT9555HT6I-GT2/page-1", "CAT9555HT6I-GT2")</f>
        <v>CAT9555HT6I-GT2</v>
      </c>
      <c r="B38531" s="3" t="str">
        <f>HYPERLINK("https://www.773grp.com/manufacturer/onsemi?pageNo=587", "ON Semiconductor")</f>
        <v>ON Semiconductor</v>
      </c>
      <c r="C38531" s="6">
        <v>2000</v>
      </c>
      <c r="D38531" s="7">
        <v>2.33</v>
      </c>
      <c r="E38531" t="s">
        <v>90</v>
      </c>
    </row>
    <row r="38532" spans="1:5" x14ac:dyDescent="0.25">
      <c r="A38532" t="str">
        <f>HYPERLINK("https://www.773grp.com/globalSearch/CAT9555HV6I/page-1", "CAT9555HV6I")</f>
        <v>CAT9555HV6I</v>
      </c>
      <c r="B38532" s="3" t="str">
        <f>HYPERLINK("https://www.773grp.com/manufacturer/onsemi?pageNo=588", "ON Semiconductor")</f>
        <v>ON Semiconductor</v>
      </c>
      <c r="C38532" s="6">
        <v>184</v>
      </c>
      <c r="D38532" s="7">
        <v>2.33</v>
      </c>
      <c r="E38532" t="s">
        <v>90</v>
      </c>
    </row>
    <row r="38533" spans="1:5" x14ac:dyDescent="0.25">
      <c r="A38533" t="str">
        <f>HYPERLINK("https://www.773grp.com/globalSearch/CAT9555HV6I-GT2/page-1", "CAT9555HV6I-GT2")</f>
        <v>CAT9555HV6I-GT2</v>
      </c>
      <c r="B38533" s="3" t="str">
        <f>HYPERLINK("https://www.773grp.com/manufacturer/onsemi?pageNo=589", "ON Semiconductor")</f>
        <v>ON Semiconductor</v>
      </c>
      <c r="C38533" s="6">
        <v>37800</v>
      </c>
      <c r="D38533" s="7">
        <v>2.33</v>
      </c>
      <c r="E38533" t="s">
        <v>90</v>
      </c>
    </row>
    <row r="38534" spans="1:5" x14ac:dyDescent="0.25">
      <c r="A38534" t="str">
        <f>HYPERLINK("https://www.773grp.com/globalSearch/CS3341YD14/page-1", "CS3341YD14")</f>
        <v>CS3341YD14</v>
      </c>
      <c r="B38534" s="3" t="str">
        <f>HYPERLINK("https://www.773grp.com/manufacturer/onsemi?pageNo=590", "ON Semiconductor")</f>
        <v>ON Semiconductor</v>
      </c>
      <c r="C38534" s="6">
        <v>1375</v>
      </c>
      <c r="D38534" s="7">
        <v>2.33</v>
      </c>
      <c r="E38534" t="s">
        <v>40</v>
      </c>
    </row>
    <row r="38535" spans="1:5" x14ac:dyDescent="0.25">
      <c r="A38535" t="str">
        <f>HYPERLINK("https://www.773grp.com/globalSearch/CS3341YD14G/page-1", "CS3341YD14G")</f>
        <v>CS3341YD14G</v>
      </c>
      <c r="B38535" s="3" t="str">
        <f>HYPERLINK("https://www.773grp.com/manufacturer/onsemi?pageNo=591", "ON Semiconductor")</f>
        <v>ON Semiconductor</v>
      </c>
      <c r="C38535" s="6">
        <v>3960</v>
      </c>
      <c r="D38535" s="7">
        <v>2.33</v>
      </c>
      <c r="E38535" t="s">
        <v>40</v>
      </c>
    </row>
    <row r="38536" spans="1:5" x14ac:dyDescent="0.25">
      <c r="A38536" t="str">
        <f>HYPERLINK("https://www.773grp.com/globalSearch/CS3341YDR14/page-1", "CS3341YDR14")</f>
        <v>CS3341YDR14</v>
      </c>
      <c r="B38536" s="3" t="str">
        <f>HYPERLINK("https://www.773grp.com/manufacturer/onsemi?pageNo=592", "ON Semiconductor")</f>
        <v>ON Semiconductor</v>
      </c>
      <c r="C38536" s="6">
        <v>2500</v>
      </c>
      <c r="D38536" s="7">
        <v>2.33</v>
      </c>
      <c r="E38536" t="s">
        <v>40</v>
      </c>
    </row>
    <row r="38537" spans="1:5" x14ac:dyDescent="0.25">
      <c r="A38537" t="str">
        <f>HYPERLINK("https://www.773grp.com/globalSearch/CS3341YDR14G/page-1", "CS3341YDR14G")</f>
        <v>CS3341YDR14G</v>
      </c>
      <c r="B38537" s="3" t="str">
        <f>HYPERLINK("https://www.773grp.com/manufacturer/onsemi?pageNo=593", "ON Semiconductor")</f>
        <v>ON Semiconductor</v>
      </c>
      <c r="C38537" s="6">
        <v>5000</v>
      </c>
      <c r="D38537" s="7">
        <v>2.33</v>
      </c>
      <c r="E38537" t="s">
        <v>40</v>
      </c>
    </row>
    <row r="38538" spans="1:5" x14ac:dyDescent="0.25">
      <c r="A38538" t="str">
        <f>HYPERLINK("https://www.773grp.com/globalSearch/CS5233-3GDPR5/page-1", "CS5233-3GDPR5")</f>
        <v>CS5233-3GDPR5</v>
      </c>
      <c r="B38538" s="3" t="str">
        <f>HYPERLINK("https://www.773grp.com/manufacturer/onsemi?pageNo=594", "ON Semiconductor")</f>
        <v>ON Semiconductor</v>
      </c>
      <c r="C38538" s="6">
        <v>3750</v>
      </c>
      <c r="D38538" s="7">
        <v>2.33</v>
      </c>
      <c r="E38538" t="s">
        <v>28</v>
      </c>
    </row>
    <row r="38539" spans="1:5" x14ac:dyDescent="0.25">
      <c r="A38539" t="str">
        <f>HYPERLINK("https://www.773grp.com/globalSearch/LM2574N-3.3/page-1", "LM2574N-3.3")</f>
        <v>LM2574N-3.3</v>
      </c>
      <c r="B38539" s="3" t="str">
        <f>HYPERLINK("https://www.773grp.com/manufacturer/onsemi?pageNo=595", "ON Semiconductor")</f>
        <v>ON Semiconductor</v>
      </c>
      <c r="C38539" s="6">
        <v>500</v>
      </c>
      <c r="D38539" s="7">
        <v>2.33</v>
      </c>
      <c r="E38539" t="s">
        <v>7</v>
      </c>
    </row>
    <row r="38540" spans="1:5" x14ac:dyDescent="0.25">
      <c r="A38540" t="str">
        <f>HYPERLINK("https://www.773grp.com/globalSearch/LP2951CD-005/page-1", "LP2951CD-005")</f>
        <v>LP2951CD-005</v>
      </c>
      <c r="B38540" s="3" t="str">
        <f>HYPERLINK("https://www.773grp.com/manufacturer/onsemi?pageNo=596", "ON Semiconductor")</f>
        <v>ON Semiconductor</v>
      </c>
      <c r="C38540" s="6">
        <v>196</v>
      </c>
      <c r="D38540" s="7">
        <v>2.33</v>
      </c>
      <c r="E38540" t="s">
        <v>27</v>
      </c>
    </row>
    <row r="38541" spans="1:5" x14ac:dyDescent="0.25">
      <c r="A38541" t="str">
        <f>HYPERLINK("https://www.773grp.com/globalSearch/LP2951CD-5R2/page-1", "LP2951CD-5R2")</f>
        <v>LP2951CD-5R2</v>
      </c>
      <c r="B38541" s="3" t="str">
        <f>HYPERLINK("https://www.773grp.com/manufacturer/onsemi?pageNo=597", "ON Semiconductor")</f>
        <v>ON Semiconductor</v>
      </c>
      <c r="C38541" s="6">
        <v>7402</v>
      </c>
      <c r="D38541" s="7">
        <v>2.33</v>
      </c>
      <c r="E38541" t="s">
        <v>27</v>
      </c>
    </row>
    <row r="38542" spans="1:5" x14ac:dyDescent="0.25">
      <c r="A38542" t="str">
        <f>HYPERLINK("https://www.773grp.com/globalSearch/MC33074DG/page-1", "MC33074DG")</f>
        <v>MC33074DG</v>
      </c>
      <c r="B38542" s="3" t="str">
        <f>HYPERLINK("https://www.773grp.com/manufacturer/onsemi?pageNo=598", "ON Semiconductor")</f>
        <v>ON Semiconductor</v>
      </c>
      <c r="C38542" s="6">
        <v>4343</v>
      </c>
      <c r="D38542" s="7">
        <v>2.33</v>
      </c>
    </row>
    <row r="38543" spans="1:5" x14ac:dyDescent="0.25">
      <c r="A38543" t="str">
        <f>HYPERLINK("https://www.773grp.com/globalSearch/MC33074PG/page-1", "MC33074PG")</f>
        <v>MC33074PG</v>
      </c>
      <c r="B38543" s="3" t="str">
        <f>HYPERLINK("https://www.773grp.com/manufacturer/onsemi?pageNo=599", "ON Semiconductor")</f>
        <v>ON Semiconductor</v>
      </c>
      <c r="C38543" s="6">
        <v>8600</v>
      </c>
      <c r="D38543" s="7">
        <v>2.33</v>
      </c>
    </row>
    <row r="38544" spans="1:5" x14ac:dyDescent="0.25">
      <c r="A38544" t="str">
        <f>HYPERLINK("https://www.773grp.com/globalSearch/MC33152DG/page-1", "MC33152DG")</f>
        <v>MC33152DG</v>
      </c>
      <c r="B38544" s="3" t="str">
        <f>HYPERLINK("https://www.773grp.com/manufacturer/onsemi?pageNo=600", "ON Semiconductor")</f>
        <v>ON Semiconductor</v>
      </c>
      <c r="C38544" s="6">
        <v>1862</v>
      </c>
      <c r="D38544" s="7">
        <v>2.33</v>
      </c>
      <c r="E38544" t="s">
        <v>16</v>
      </c>
    </row>
    <row r="38545" spans="1:5" x14ac:dyDescent="0.25">
      <c r="A38545" t="str">
        <f>HYPERLINK("https://www.773grp.com/globalSearch/MC33152DR2G/page-1", "MC33152DR2G")</f>
        <v>MC33152DR2G</v>
      </c>
      <c r="B38545" s="3" t="str">
        <f>HYPERLINK("https://www.773grp.com/manufacturer/onsemi?pageNo=601", "ON Semiconductor")</f>
        <v>ON Semiconductor</v>
      </c>
      <c r="C38545" s="6">
        <v>2500</v>
      </c>
      <c r="D38545" s="7">
        <v>2.33</v>
      </c>
    </row>
    <row r="38546" spans="1:5" x14ac:dyDescent="0.25">
      <c r="A38546" t="str">
        <f>HYPERLINK("https://www.773grp.com/globalSearch/MC33152PG/page-1", "MC33152PG")</f>
        <v>MC33152PG</v>
      </c>
      <c r="B38546" s="3" t="str">
        <f>HYPERLINK("https://www.773grp.com/manufacturer/onsemi?pageNo=602", "ON Semiconductor")</f>
        <v>ON Semiconductor</v>
      </c>
      <c r="C38546" s="6">
        <v>900</v>
      </c>
      <c r="D38546" s="7">
        <v>2.33</v>
      </c>
      <c r="E38546" t="s">
        <v>16</v>
      </c>
    </row>
    <row r="38547" spans="1:5" x14ac:dyDescent="0.25">
      <c r="A38547" t="str">
        <f>HYPERLINK("https://www.773grp.com/globalSearch/MC33201VDG/page-1", "MC33201VDG")</f>
        <v>MC33201VDG</v>
      </c>
      <c r="B38547" s="3" t="str">
        <f>HYPERLINK("https://www.773grp.com/manufacturer/onsemi?pageNo=603", "ON Semiconductor")</f>
        <v>ON Semiconductor</v>
      </c>
      <c r="C38547" s="6">
        <v>386</v>
      </c>
      <c r="D38547" s="7">
        <v>2.33</v>
      </c>
    </row>
    <row r="38548" spans="1:5" x14ac:dyDescent="0.25">
      <c r="A38548" t="str">
        <f>HYPERLINK("https://www.773grp.com/globalSearch/MC34074AP/page-1", "MC34074AP")</f>
        <v>MC34074AP</v>
      </c>
      <c r="B38548" s="3" t="str">
        <f>HYPERLINK("https://www.773grp.com/manufacturer/onsemi?pageNo=604", "ON Semiconductor")</f>
        <v>ON Semiconductor</v>
      </c>
      <c r="C38548" s="6">
        <v>1775</v>
      </c>
      <c r="D38548" s="7">
        <v>2.33</v>
      </c>
    </row>
    <row r="38549" spans="1:5" x14ac:dyDescent="0.25">
      <c r="A38549" t="str">
        <f>HYPERLINK("https://www.773grp.com/globalSearch/MC34161DR2/page-1", "MC34161DR2")</f>
        <v>MC34161DR2</v>
      </c>
      <c r="B38549" s="3" t="str">
        <f>HYPERLINK("https://www.773grp.com/manufacturer/onsemi?pageNo=605", "ON Semiconductor")</f>
        <v>ON Semiconductor</v>
      </c>
      <c r="C38549" s="6">
        <v>2500</v>
      </c>
      <c r="D38549" s="7">
        <v>2.33</v>
      </c>
      <c r="E38549" t="s">
        <v>30</v>
      </c>
    </row>
    <row r="38550" spans="1:5" x14ac:dyDescent="0.25">
      <c r="A38550" t="str">
        <f>HYPERLINK("https://www.773grp.com/globalSearch/MLD1N06CLT4G/page-1", "MLD1N06CLT4G")</f>
        <v>MLD1N06CLT4G</v>
      </c>
      <c r="B38550" s="3" t="str">
        <f>HYPERLINK("https://www.773grp.com/manufacturer/onsemi?pageNo=606", "ON Semiconductor")</f>
        <v>ON Semiconductor</v>
      </c>
      <c r="C38550" s="6">
        <v>2660</v>
      </c>
      <c r="D38550" s="7">
        <v>2.33</v>
      </c>
      <c r="E38550" t="s">
        <v>105</v>
      </c>
    </row>
    <row r="38551" spans="1:5" x14ac:dyDescent="0.25">
      <c r="A38551" t="str">
        <f>HYPERLINK("https://www.773grp.com/globalSearch/MMDF2P02ER2/page-1", "MMDF2P02ER2")</f>
        <v>MMDF2P02ER2</v>
      </c>
      <c r="B38551" s="3" t="str">
        <f>HYPERLINK("https://www.773grp.com/manufacturer/onsemi?pageNo=607", "ON Semiconductor")</f>
        <v>ON Semiconductor</v>
      </c>
      <c r="C38551" s="6">
        <v>4404</v>
      </c>
      <c r="D38551" s="7">
        <v>2.33</v>
      </c>
      <c r="E38551" t="s">
        <v>105</v>
      </c>
    </row>
    <row r="38552" spans="1:5" x14ac:dyDescent="0.25">
      <c r="A38552" t="str">
        <f>HYPERLINK("https://www.773grp.com/globalSearch/MMDF2P02ER2G/page-1", "MMDF2P02ER2G")</f>
        <v>MMDF2P02ER2G</v>
      </c>
      <c r="B38552" s="3" t="str">
        <f>HYPERLINK("https://www.773grp.com/manufacturer/onsemi?pageNo=608", "ON Semiconductor")</f>
        <v>ON Semiconductor</v>
      </c>
      <c r="C38552" s="6">
        <v>5000</v>
      </c>
      <c r="D38552" s="7">
        <v>2.33</v>
      </c>
    </row>
    <row r="38553" spans="1:5" x14ac:dyDescent="0.25">
      <c r="A38553" t="str">
        <f>HYPERLINK("https://www.773grp.com/globalSearch/MMDF2P02HDR2G/page-1", "MMDF2P02HDR2G")</f>
        <v>MMDF2P02HDR2G</v>
      </c>
      <c r="B38553" s="3" t="str">
        <f>HYPERLINK("https://www.773grp.com/manufacturer/onsemi?pageNo=609", "ON Semiconductor")</f>
        <v>ON Semiconductor</v>
      </c>
      <c r="C38553" s="6">
        <v>2500</v>
      </c>
      <c r="D38553" s="7">
        <v>2.33</v>
      </c>
    </row>
    <row r="38554" spans="1:5" x14ac:dyDescent="0.25">
      <c r="A38554" t="str">
        <f>HYPERLINK("https://www.773grp.com/globalSearch/NCP1050ST100T3G/page-1", "NCP1050ST100T3G")</f>
        <v>NCP1050ST100T3G</v>
      </c>
      <c r="B38554" s="3" t="str">
        <f>HYPERLINK("https://www.773grp.com/manufacturer/onsemi?pageNo=610", "ON Semiconductor")</f>
        <v>ON Semiconductor</v>
      </c>
      <c r="C38554" s="6">
        <v>3450</v>
      </c>
      <c r="D38554" s="7">
        <v>2.33</v>
      </c>
    </row>
    <row r="38555" spans="1:5" x14ac:dyDescent="0.25">
      <c r="A38555" t="str">
        <f>HYPERLINK("https://www.773grp.com/globalSearch/NCP1050ST44T3G/page-1", "NCP1050ST44T3G")</f>
        <v>NCP1050ST44T3G</v>
      </c>
      <c r="B38555" s="3" t="str">
        <f>HYPERLINK("https://www.773grp.com/manufacturer/onsemi?pageNo=611", "ON Semiconductor")</f>
        <v>ON Semiconductor</v>
      </c>
      <c r="C38555" s="6">
        <v>8137</v>
      </c>
      <c r="D38555" s="7">
        <v>2.33</v>
      </c>
    </row>
    <row r="38556" spans="1:5" x14ac:dyDescent="0.25">
      <c r="A38556" t="str">
        <f>HYPERLINK("https://www.773grp.com/globalSearch/NCP1051ST136T3G/page-1", "NCP1051ST136T3G")</f>
        <v>NCP1051ST136T3G</v>
      </c>
      <c r="B38556" s="3" t="str">
        <f>HYPERLINK("https://www.773grp.com/manufacturer/onsemi?pageNo=612", "ON Semiconductor")</f>
        <v>ON Semiconductor</v>
      </c>
      <c r="C38556" s="6">
        <v>12880</v>
      </c>
      <c r="D38556" s="7">
        <v>2.33</v>
      </c>
      <c r="E38556" t="s">
        <v>7</v>
      </c>
    </row>
    <row r="38557" spans="1:5" x14ac:dyDescent="0.25">
      <c r="A38557" t="str">
        <f>HYPERLINK("https://www.773grp.com/globalSearch/NCP1051ST44T3G/page-1", "NCP1051ST44T3G")</f>
        <v>NCP1051ST44T3G</v>
      </c>
      <c r="B38557" s="3" t="str">
        <f>HYPERLINK("https://www.773grp.com/manufacturer/onsemi?pageNo=613", "ON Semiconductor")</f>
        <v>ON Semiconductor</v>
      </c>
      <c r="C38557" s="6">
        <v>8000</v>
      </c>
      <c r="D38557" s="7">
        <v>2.33</v>
      </c>
      <c r="E38557" t="s">
        <v>7</v>
      </c>
    </row>
    <row r="38558" spans="1:5" x14ac:dyDescent="0.25">
      <c r="A38558" t="str">
        <f>HYPERLINK("https://www.773grp.com/globalSearch/NCP1052ST100T3G/page-1", "NCP1052ST100T3G")</f>
        <v>NCP1052ST100T3G</v>
      </c>
      <c r="B38558" s="3" t="str">
        <f>HYPERLINK("https://www.773grp.com/manufacturer/onsemi?pageNo=614", "ON Semiconductor")</f>
        <v>ON Semiconductor</v>
      </c>
      <c r="C38558" s="6">
        <v>4000</v>
      </c>
      <c r="D38558" s="7">
        <v>2.33</v>
      </c>
    </row>
    <row r="38559" spans="1:5" x14ac:dyDescent="0.25">
      <c r="A38559" t="str">
        <f>HYPERLINK("https://www.773grp.com/globalSearch/NCP1207DR2/page-1", "NCP1207DR2")</f>
        <v>NCP1207DR2</v>
      </c>
      <c r="B38559" s="3" t="str">
        <f>HYPERLINK("https://www.773grp.com/manufacturer/onsemi?pageNo=615", "ON Semiconductor")</f>
        <v>ON Semiconductor</v>
      </c>
      <c r="C38559" s="6">
        <v>49405</v>
      </c>
      <c r="D38559" s="7">
        <v>2.33</v>
      </c>
      <c r="E38559" t="s">
        <v>7</v>
      </c>
    </row>
    <row r="38560" spans="1:5" x14ac:dyDescent="0.25">
      <c r="A38560" t="str">
        <f>HYPERLINK("https://www.773grp.com/globalSearch/NCP1417DMR2/page-1", "NCP1417DMR2")</f>
        <v>NCP1417DMR2</v>
      </c>
      <c r="B38560" s="3" t="str">
        <f>HYPERLINK("https://www.773grp.com/manufacturer/onsemi?pageNo=616", "ON Semiconductor")</f>
        <v>ON Semiconductor</v>
      </c>
      <c r="C38560" s="6">
        <v>7294</v>
      </c>
      <c r="D38560" s="7">
        <v>2.33</v>
      </c>
      <c r="E38560" t="s">
        <v>7</v>
      </c>
    </row>
    <row r="38561" spans="1:5" x14ac:dyDescent="0.25">
      <c r="A38561" t="str">
        <f>HYPERLINK("https://www.773grp.com/globalSearch/NCP4640H020T1G/page-1", "NCP4640H020T1G")</f>
        <v>NCP4640H020T1G</v>
      </c>
      <c r="B38561" s="3" t="str">
        <f>HYPERLINK("https://www.773grp.com/manufacturer/onsemi?pageNo=617", "ON Semiconductor")</f>
        <v>ON Semiconductor</v>
      </c>
      <c r="C38561" s="6">
        <v>7000</v>
      </c>
      <c r="D38561" s="7">
        <v>2.33</v>
      </c>
    </row>
    <row r="38562" spans="1:5" x14ac:dyDescent="0.25">
      <c r="A38562" t="str">
        <f>HYPERLINK("https://www.773grp.com/globalSearch/NCP4640H030T1G/page-1", "NCP4640H030T1G")</f>
        <v>NCP4640H030T1G</v>
      </c>
      <c r="B38562" s="3" t="str">
        <f>HYPERLINK("https://www.773grp.com/manufacturer/onsemi?pageNo=618", "ON Semiconductor")</f>
        <v>ON Semiconductor</v>
      </c>
      <c r="C38562" s="6">
        <v>7810</v>
      </c>
      <c r="D38562" s="7">
        <v>2.33</v>
      </c>
    </row>
    <row r="38563" spans="1:5" x14ac:dyDescent="0.25">
      <c r="A38563" t="str">
        <f>HYPERLINK("https://www.773grp.com/globalSearch/NCP4640H033T1G/page-1", "NCP4640H033T1G")</f>
        <v>NCP4640H033T1G</v>
      </c>
      <c r="B38563" s="3" t="str">
        <f>HYPERLINK("https://www.773grp.com/manufacturer/onsemi?pageNo=619", "ON Semiconductor")</f>
        <v>ON Semiconductor</v>
      </c>
      <c r="C38563" s="6">
        <v>1363</v>
      </c>
      <c r="D38563" s="7">
        <v>2.33</v>
      </c>
    </row>
    <row r="38564" spans="1:5" x14ac:dyDescent="0.25">
      <c r="A38564" t="str">
        <f>HYPERLINK("https://www.773grp.com/globalSearch/NCP4640H080T1G/page-1", "NCP4640H080T1G")</f>
        <v>NCP4640H080T1G</v>
      </c>
      <c r="B38564" s="3" t="str">
        <f>HYPERLINK("https://www.773grp.com/manufacturer/onsemi?pageNo=620", "ON Semiconductor")</f>
        <v>ON Semiconductor</v>
      </c>
      <c r="C38564" s="6">
        <v>1965</v>
      </c>
      <c r="D38564" s="7">
        <v>2.33</v>
      </c>
    </row>
    <row r="38565" spans="1:5" x14ac:dyDescent="0.25">
      <c r="A38565" t="str">
        <f>HYPERLINK("https://www.773grp.com/globalSearch/NCP4640H120T1G/page-1", "NCP4640H120T1G")</f>
        <v>NCP4640H120T1G</v>
      </c>
      <c r="B38565" s="3" t="str">
        <f>HYPERLINK("https://www.773grp.com/manufacturer/onsemi?pageNo=621", "ON Semiconductor")</f>
        <v>ON Semiconductor</v>
      </c>
      <c r="C38565" s="6">
        <v>2000</v>
      </c>
      <c r="D38565" s="7">
        <v>2.33</v>
      </c>
    </row>
    <row r="38566" spans="1:5" x14ac:dyDescent="0.25">
      <c r="A38566" t="str">
        <f>HYPERLINK("https://www.773grp.com/globalSearch/NCP5355DG/page-1", "NCP5355DG")</f>
        <v>NCP5355DG</v>
      </c>
      <c r="B38566" s="3" t="str">
        <f>HYPERLINK("https://www.773grp.com/manufacturer/onsemi?pageNo=622", "ON Semiconductor")</f>
        <v>ON Semiconductor</v>
      </c>
      <c r="C38566" s="6">
        <v>1886</v>
      </c>
      <c r="D38566" s="7">
        <v>2.33</v>
      </c>
      <c r="E38566" t="s">
        <v>16</v>
      </c>
    </row>
    <row r="38567" spans="1:5" x14ac:dyDescent="0.25">
      <c r="A38567" t="str">
        <f>HYPERLINK("https://www.773grp.com/globalSearch/NCP5355DR2G/page-1", "NCP5355DR2G")</f>
        <v>NCP5355DR2G</v>
      </c>
      <c r="B38567" s="3" t="str">
        <f>HYPERLINK("https://www.773grp.com/manufacturer/onsemi?pageNo=623", "ON Semiconductor")</f>
        <v>ON Semiconductor</v>
      </c>
      <c r="C38567" s="6">
        <v>32500</v>
      </c>
      <c r="D38567" s="7">
        <v>2.33</v>
      </c>
      <c r="E38567" t="s">
        <v>16</v>
      </c>
    </row>
    <row r="38568" spans="1:5" x14ac:dyDescent="0.25">
      <c r="A38568" t="str">
        <f>HYPERLINK("https://www.773grp.com/globalSearch/NCP623MN-33R2G/page-1", "NCP623MN-33R2G")</f>
        <v>NCP623MN-33R2G</v>
      </c>
      <c r="B38568" s="3" t="str">
        <f>HYPERLINK("https://www.773grp.com/manufacturer/onsemi?pageNo=624", "ON Semiconductor")</f>
        <v>ON Semiconductor</v>
      </c>
      <c r="C38568" s="6">
        <v>3000</v>
      </c>
      <c r="D38568" s="7">
        <v>2.33</v>
      </c>
    </row>
    <row r="38569" spans="1:5" x14ac:dyDescent="0.25">
      <c r="A38569" t="str">
        <f>HYPERLINK("https://www.773grp.com/globalSearch/NCP623MN-50R2G/page-1", "NCP623MN-50R2G")</f>
        <v>NCP623MN-50R2G</v>
      </c>
      <c r="B38569" s="3" t="str">
        <f>HYPERLINK("https://www.773grp.com/manufacturer/onsemi?pageNo=625", "ON Semiconductor")</f>
        <v>ON Semiconductor</v>
      </c>
      <c r="C38569" s="6">
        <v>50600</v>
      </c>
      <c r="D38569" s="7">
        <v>2.33</v>
      </c>
      <c r="E38569" t="s">
        <v>19</v>
      </c>
    </row>
    <row r="38570" spans="1:5" x14ac:dyDescent="0.25">
      <c r="A38570" t="str">
        <f>HYPERLINK("https://www.773grp.com/globalSearch/NCV8535MN150R2G/page-1", "NCV8535MN150R2G")</f>
        <v>NCV8535MN150R2G</v>
      </c>
      <c r="B38570" s="3" t="str">
        <f>HYPERLINK("https://www.773grp.com/manufacturer/onsemi?pageNo=626", "ON Semiconductor")</f>
        <v>ON Semiconductor</v>
      </c>
      <c r="C38570" s="6">
        <v>8660</v>
      </c>
      <c r="D38570" s="7">
        <v>2.33</v>
      </c>
      <c r="E38570" t="s">
        <v>19</v>
      </c>
    </row>
    <row r="38571" spans="1:5" x14ac:dyDescent="0.25">
      <c r="A38571" t="str">
        <f>HYPERLINK("https://www.773grp.com/globalSearch/NCV8535MN250R2G/page-1", "NCV8535MN250R2G")</f>
        <v>NCV8535MN250R2G</v>
      </c>
      <c r="B38571" s="3" t="str">
        <f>HYPERLINK("https://www.773grp.com/manufacturer/onsemi?pageNo=627", "ON Semiconductor")</f>
        <v>ON Semiconductor</v>
      </c>
      <c r="C38571" s="6">
        <v>3375</v>
      </c>
      <c r="D38571" s="7">
        <v>2.33</v>
      </c>
    </row>
    <row r="38572" spans="1:5" x14ac:dyDescent="0.25">
      <c r="A38572" t="str">
        <f>HYPERLINK("https://www.773grp.com/globalSearch/NCV8535MN280R2G/page-1", "NCV8535MN280R2G")</f>
        <v>NCV8535MN280R2G</v>
      </c>
      <c r="B38572" s="3" t="str">
        <f>HYPERLINK("https://www.773grp.com/manufacturer/onsemi?pageNo=628", "ON Semiconductor")</f>
        <v>ON Semiconductor</v>
      </c>
      <c r="C38572" s="6">
        <v>12000</v>
      </c>
      <c r="D38572" s="7">
        <v>2.33</v>
      </c>
      <c r="E38572" t="s">
        <v>19</v>
      </c>
    </row>
    <row r="38573" spans="1:5" x14ac:dyDescent="0.25">
      <c r="A38573" t="str">
        <f>HYPERLINK("https://www.773grp.com/globalSearch/NCV8535MN285R2G/page-1", "NCV8535MN285R2G")</f>
        <v>NCV8535MN285R2G</v>
      </c>
      <c r="B38573" s="3" t="str">
        <f>HYPERLINK("https://www.773grp.com/manufacturer/onsemi?pageNo=629", "ON Semiconductor")</f>
        <v>ON Semiconductor</v>
      </c>
      <c r="C38573" s="6">
        <v>11980</v>
      </c>
      <c r="D38573" s="7">
        <v>2.33</v>
      </c>
      <c r="E38573" t="s">
        <v>19</v>
      </c>
    </row>
    <row r="38574" spans="1:5" x14ac:dyDescent="0.25">
      <c r="A38574" t="str">
        <f>HYPERLINK("https://www.773grp.com/globalSearch/NCV8535MN300R2G/page-1", "NCV8535MN300R2G")</f>
        <v>NCV8535MN300R2G</v>
      </c>
      <c r="B38574" s="3" t="str">
        <f>HYPERLINK("https://www.773grp.com/manufacturer/onsemi?pageNo=630", "ON Semiconductor")</f>
        <v>ON Semiconductor</v>
      </c>
      <c r="C38574" s="6">
        <v>9000</v>
      </c>
      <c r="D38574" s="7">
        <v>2.33</v>
      </c>
    </row>
    <row r="38575" spans="1:5" x14ac:dyDescent="0.25">
      <c r="A38575" t="str">
        <f>HYPERLINK("https://www.773grp.com/globalSearch/NCV8535MN350R2G/page-1", "NCV8535MN350R2G")</f>
        <v>NCV8535MN350R2G</v>
      </c>
      <c r="B38575" s="3" t="str">
        <f>HYPERLINK("https://www.773grp.com/manufacturer/onsemi?pageNo=631", "ON Semiconductor")</f>
        <v>ON Semiconductor</v>
      </c>
      <c r="C38575" s="6">
        <v>3000</v>
      </c>
      <c r="D38575" s="7">
        <v>2.33</v>
      </c>
      <c r="E38575" t="s">
        <v>19</v>
      </c>
    </row>
    <row r="38576" spans="1:5" x14ac:dyDescent="0.25">
      <c r="A38576" t="str">
        <f>HYPERLINK("https://www.773grp.com/globalSearch/NCV8535MN500R2G/page-1", "NCV8535MN500R2G")</f>
        <v>NCV8535MN500R2G</v>
      </c>
      <c r="B38576" s="3" t="str">
        <f>HYPERLINK("https://www.773grp.com/manufacturer/onsemi?pageNo=632", "ON Semiconductor")</f>
        <v>ON Semiconductor</v>
      </c>
      <c r="C38576" s="6">
        <v>5010</v>
      </c>
      <c r="D38576" s="7">
        <v>2.33</v>
      </c>
    </row>
    <row r="38577" spans="1:5" x14ac:dyDescent="0.25">
      <c r="A38577" t="str">
        <f>HYPERLINK("https://www.773grp.com/globalSearch/NCV8535MNADJR2G/page-1", "NCV8535MNADJR2G")</f>
        <v>NCV8535MNADJR2G</v>
      </c>
      <c r="B38577" s="3" t="str">
        <f>HYPERLINK("https://www.773grp.com/manufacturer/onsemi?pageNo=633", "ON Semiconductor")</f>
        <v>ON Semiconductor</v>
      </c>
      <c r="C38577" s="6">
        <v>8288</v>
      </c>
      <c r="D38577" s="7">
        <v>2.33</v>
      </c>
    </row>
    <row r="38578" spans="1:5" x14ac:dyDescent="0.25">
      <c r="A38578" t="str">
        <f>HYPERLINK("https://www.773grp.com/globalSearch/NCV8537MN180R2G/page-1", "NCV8537MN180R2G")</f>
        <v>NCV8537MN180R2G</v>
      </c>
      <c r="B38578" s="3" t="str">
        <f>HYPERLINK("https://www.773grp.com/manufacturer/onsemi?pageNo=634", "ON Semiconductor")</f>
        <v>ON Semiconductor</v>
      </c>
      <c r="C38578" s="6">
        <v>9000</v>
      </c>
      <c r="D38578" s="7">
        <v>2.33</v>
      </c>
    </row>
    <row r="38579" spans="1:5" x14ac:dyDescent="0.25">
      <c r="A38579" t="str">
        <f>HYPERLINK("https://www.773grp.com/globalSearch/NCV8537MN250R2G/page-1", "NCV8537MN250R2G")</f>
        <v>NCV8537MN250R2G</v>
      </c>
      <c r="B38579" s="3" t="str">
        <f>HYPERLINK("https://www.773grp.com/manufacturer/onsemi?pageNo=635", "ON Semiconductor")</f>
        <v>ON Semiconductor</v>
      </c>
      <c r="C38579" s="6">
        <v>12000</v>
      </c>
      <c r="D38579" s="7">
        <v>2.33</v>
      </c>
    </row>
    <row r="38580" spans="1:5" x14ac:dyDescent="0.25">
      <c r="A38580" t="str">
        <f>HYPERLINK("https://www.773grp.com/globalSearch/NCV8537MN330R2G/page-1", "NCV8537MN330R2G")</f>
        <v>NCV8537MN330R2G</v>
      </c>
      <c r="B38580" s="3" t="str">
        <f>HYPERLINK("https://www.773grp.com/manufacturer/onsemi?pageNo=636", "ON Semiconductor")</f>
        <v>ON Semiconductor</v>
      </c>
      <c r="C38580" s="6">
        <v>12000</v>
      </c>
      <c r="D38580" s="7">
        <v>2.33</v>
      </c>
    </row>
    <row r="38581" spans="1:5" x14ac:dyDescent="0.25">
      <c r="A38581" t="str">
        <f>HYPERLINK("https://www.773grp.com/globalSearch/NCV8537MN500R2G/page-1", "NCV8537MN500R2G")</f>
        <v>NCV8537MN500R2G</v>
      </c>
      <c r="B38581" s="3" t="str">
        <f>HYPERLINK("https://www.773grp.com/manufacturer/onsemi?pageNo=637", "ON Semiconductor")</f>
        <v>ON Semiconductor</v>
      </c>
      <c r="C38581" s="6">
        <v>15000</v>
      </c>
      <c r="D38581" s="7">
        <v>2.33</v>
      </c>
    </row>
    <row r="38582" spans="1:5" x14ac:dyDescent="0.25">
      <c r="A38582" t="str">
        <f>HYPERLINK("https://www.773grp.com/globalSearch/NCV8537MNADJR2G/page-1", "NCV8537MNADJR2G")</f>
        <v>NCV8537MNADJR2G</v>
      </c>
      <c r="B38582" s="3" t="str">
        <f>HYPERLINK("https://www.773grp.com/manufacturer/onsemi?pageNo=638", "ON Semiconductor")</f>
        <v>ON Semiconductor</v>
      </c>
      <c r="C38582" s="6">
        <v>9000</v>
      </c>
      <c r="D38582" s="7">
        <v>2.33</v>
      </c>
    </row>
    <row r="38583" spans="1:5" x14ac:dyDescent="0.25">
      <c r="A38583" t="str">
        <f>HYPERLINK("https://www.773grp.com/globalSearch/NTST30100SG/page-1", "NTST30100SG")</f>
        <v>NTST30100SG</v>
      </c>
      <c r="B38583" s="3" t="str">
        <f>HYPERLINK("https://www.773grp.com/manufacturer/onsemi?pageNo=639", "ON Semiconductor")</f>
        <v>ON Semiconductor</v>
      </c>
      <c r="C38583" s="6">
        <v>68838</v>
      </c>
      <c r="D38583" s="7">
        <v>2.33</v>
      </c>
      <c r="E38583" t="s">
        <v>103</v>
      </c>
    </row>
    <row r="38584" spans="1:5" x14ac:dyDescent="0.25">
      <c r="A38584" t="str">
        <f>HYPERLINK("https://www.773grp.com/globalSearch/NTTFS4943NTAG/page-1", "NTTFS4943NTAG")</f>
        <v>NTTFS4943NTAG</v>
      </c>
      <c r="B38584" s="3" t="str">
        <f>HYPERLINK("https://www.773grp.com/manufacturer/onsemi?pageNo=640", "ON Semiconductor")</f>
        <v>ON Semiconductor</v>
      </c>
      <c r="C38584" s="6">
        <v>72000</v>
      </c>
      <c r="D38584" s="7">
        <v>2.33</v>
      </c>
      <c r="E38584" t="s">
        <v>106</v>
      </c>
    </row>
    <row r="38585" spans="1:5" x14ac:dyDescent="0.25">
      <c r="A38585" t="str">
        <f>HYPERLINK("https://www.773grp.com/globalSearch/UC2844D/page-1", "UC2844D")</f>
        <v>UC2844D</v>
      </c>
      <c r="B38585" s="3" t="str">
        <f>HYPERLINK("https://www.773grp.com/manufacturer/onsemi?pageNo=641", "ON Semiconductor")</f>
        <v>ON Semiconductor</v>
      </c>
      <c r="C38585" s="6">
        <v>3150</v>
      </c>
      <c r="D38585" s="7">
        <v>2.33</v>
      </c>
      <c r="E38585" t="s">
        <v>7</v>
      </c>
    </row>
    <row r="38586" spans="1:5" x14ac:dyDescent="0.25">
      <c r="A38586" t="str">
        <f>HYPERLINK("https://www.773grp.com/globalSearch/UC2845D/page-1", "UC2845D")</f>
        <v>UC2845D</v>
      </c>
      <c r="B38586" s="3" t="str">
        <f>HYPERLINK("https://www.773grp.com/manufacturer/onsemi?pageNo=642", "ON Semiconductor")</f>
        <v>ON Semiconductor</v>
      </c>
      <c r="C38586" s="6">
        <v>787</v>
      </c>
      <c r="D38586" s="7">
        <v>2.33</v>
      </c>
      <c r="E38586" t="s">
        <v>7</v>
      </c>
    </row>
    <row r="38587" spans="1:5" x14ac:dyDescent="0.25">
      <c r="A38587" t="str">
        <f>HYPERLINK("https://www.773grp.com/globalSearch/2N6042/page-1", "2N6042")</f>
        <v>2N6042</v>
      </c>
      <c r="B38587" s="3" t="str">
        <f>HYPERLINK("https://www.773grp.com/manufacturer/onsemi?pageNo=643", "ON Semiconductor")</f>
        <v>ON Semiconductor</v>
      </c>
      <c r="C38587" s="6">
        <v>561</v>
      </c>
      <c r="D38587" s="7">
        <v>2.38</v>
      </c>
      <c r="E38587" t="s">
        <v>59</v>
      </c>
    </row>
    <row r="38588" spans="1:5" x14ac:dyDescent="0.25">
      <c r="A38588" t="str">
        <f>HYPERLINK("https://www.773grp.com/globalSearch/2N6288G/page-1", "2N6288G")</f>
        <v>2N6288G</v>
      </c>
      <c r="B38588" s="3" t="str">
        <f>HYPERLINK("https://www.773grp.com/manufacturer/onsemi?pageNo=644", "ON Semiconductor")</f>
        <v>ON Semiconductor</v>
      </c>
      <c r="C38588" s="6">
        <v>7131</v>
      </c>
      <c r="D38588" s="7">
        <v>2.38</v>
      </c>
      <c r="E38588" t="s">
        <v>59</v>
      </c>
    </row>
    <row r="38589" spans="1:5" x14ac:dyDescent="0.25">
      <c r="A38589" t="str">
        <f>HYPERLINK("https://www.773grp.com/globalSearch/2N6292G/page-1", "2N6292G")</f>
        <v>2N6292G</v>
      </c>
      <c r="B38589" s="3" t="str">
        <f>HYPERLINK("https://www.773grp.com/manufacturer/onsemi?pageNo=645", "ON Semiconductor")</f>
        <v>ON Semiconductor</v>
      </c>
      <c r="C38589" s="6">
        <v>5157</v>
      </c>
      <c r="D38589" s="7">
        <v>2.38</v>
      </c>
      <c r="E38589" t="s">
        <v>59</v>
      </c>
    </row>
    <row r="38590" spans="1:5" x14ac:dyDescent="0.25">
      <c r="A38590" t="str">
        <f>HYPERLINK("https://www.773grp.com/globalSearch/2N6490G/page-1", "2N6490G")</f>
        <v>2N6490G</v>
      </c>
      <c r="B38590" s="3" t="str">
        <f>HYPERLINK("https://www.773grp.com/manufacturer/onsemi?pageNo=646", "ON Semiconductor")</f>
        <v>ON Semiconductor</v>
      </c>
      <c r="C38590" s="6">
        <v>255</v>
      </c>
      <c r="D38590" s="7">
        <v>2.38</v>
      </c>
      <c r="E38590" t="s">
        <v>59</v>
      </c>
    </row>
    <row r="38591" spans="1:5" x14ac:dyDescent="0.25">
      <c r="A38591" t="str">
        <f>HYPERLINK("https://www.773grp.com/globalSearch/2N6491G/page-1", "2N6491G")</f>
        <v>2N6491G</v>
      </c>
      <c r="B38591" s="3" t="str">
        <f>HYPERLINK("https://www.773grp.com/manufacturer/onsemi?pageNo=647", "ON Semiconductor")</f>
        <v>ON Semiconductor</v>
      </c>
      <c r="C38591" s="6">
        <v>56540</v>
      </c>
      <c r="D38591" s="7">
        <v>2.38</v>
      </c>
      <c r="E38591" t="s">
        <v>59</v>
      </c>
    </row>
    <row r="38592" spans="1:5" x14ac:dyDescent="0.25">
      <c r="A38592" t="str">
        <f>HYPERLINK("https://www.773grp.com/globalSearch/ADP3118JRZ/page-1", "ADP3118JRZ")</f>
        <v>ADP3118JRZ</v>
      </c>
      <c r="B38592" s="3" t="str">
        <f>HYPERLINK("https://www.773grp.com/manufacturer/onsemi?pageNo=648", "ON Semiconductor")</f>
        <v>ON Semiconductor</v>
      </c>
      <c r="C38592" s="6">
        <v>392</v>
      </c>
      <c r="D38592" s="7">
        <v>2.38</v>
      </c>
      <c r="E38592" t="s">
        <v>16</v>
      </c>
    </row>
    <row r="38593" spans="1:5" x14ac:dyDescent="0.25">
      <c r="A38593" t="str">
        <f>HYPERLINK("https://www.773grp.com/globalSearch/AU5517DR2/page-1", "AU5517DR2")</f>
        <v>AU5517DR2</v>
      </c>
      <c r="B38593" s="3" t="str">
        <f>HYPERLINK("https://www.773grp.com/manufacturer/onsemi?pageNo=649", "ON Semiconductor")</f>
        <v>ON Semiconductor</v>
      </c>
      <c r="C38593" s="6">
        <v>9685</v>
      </c>
      <c r="D38593" s="7">
        <v>2.38</v>
      </c>
      <c r="E38593" t="s">
        <v>13</v>
      </c>
    </row>
    <row r="38594" spans="1:5" x14ac:dyDescent="0.25">
      <c r="A38594" t="str">
        <f>HYPERLINK("https://www.773grp.com/globalSearch/BD810G/page-1", "BD810G")</f>
        <v>BD810G</v>
      </c>
      <c r="B38594" s="3" t="str">
        <f>HYPERLINK("https://www.773grp.com/manufacturer/onsemi?pageNo=650", "ON Semiconductor")</f>
        <v>ON Semiconductor</v>
      </c>
      <c r="C38594" s="6">
        <v>1728</v>
      </c>
      <c r="D38594" s="7">
        <v>2.38</v>
      </c>
      <c r="E38594" t="s">
        <v>59</v>
      </c>
    </row>
    <row r="38595" spans="1:5" x14ac:dyDescent="0.25">
      <c r="A38595" t="str">
        <f>HYPERLINK("https://www.773grp.com/globalSearch/BTA08-600BW3G/page-1", "BTA08-600BW3G")</f>
        <v>BTA08-600BW3G</v>
      </c>
      <c r="B38595" s="3" t="str">
        <f>HYPERLINK("https://www.773grp.com/manufacturer/onsemi?pageNo=651", "ON Semiconductor")</f>
        <v>ON Semiconductor</v>
      </c>
      <c r="C38595" s="6">
        <v>21550</v>
      </c>
      <c r="D38595" s="7">
        <v>2.38</v>
      </c>
      <c r="E38595" t="s">
        <v>102</v>
      </c>
    </row>
    <row r="38596" spans="1:5" x14ac:dyDescent="0.25">
      <c r="A38596" t="str">
        <f>HYPERLINK("https://www.773grp.com/globalSearch/BTA08-600CW3G/page-1", "BTA08-600CW3G")</f>
        <v>BTA08-600CW3G</v>
      </c>
      <c r="B38596" s="3" t="str">
        <f>HYPERLINK("https://www.773grp.com/manufacturer/onsemi?pageNo=652", "ON Semiconductor")</f>
        <v>ON Semiconductor</v>
      </c>
      <c r="C38596" s="6">
        <v>2150</v>
      </c>
      <c r="D38596" s="7">
        <v>2.38</v>
      </c>
      <c r="E38596" t="s">
        <v>102</v>
      </c>
    </row>
    <row r="38597" spans="1:5" x14ac:dyDescent="0.25">
      <c r="A38597" t="str">
        <f>HYPERLINK("https://www.773grp.com/globalSearch/BTA08-800CW3G/page-1", "BTA08-800CW3G")</f>
        <v>BTA08-800CW3G</v>
      </c>
      <c r="B38597" s="3" t="str">
        <f>HYPERLINK("https://www.773grp.com/manufacturer/onsemi?pageNo=653", "ON Semiconductor")</f>
        <v>ON Semiconductor</v>
      </c>
      <c r="C38597" s="6">
        <v>672859</v>
      </c>
      <c r="D38597" s="7">
        <v>2.38</v>
      </c>
      <c r="E38597" t="s">
        <v>102</v>
      </c>
    </row>
    <row r="38598" spans="1:5" x14ac:dyDescent="0.25">
      <c r="A38598" t="str">
        <f>HYPERLINK("https://www.773grp.com/globalSearch/BTA08-800CW3LFG/page-1", "BTA08-800CW3LFG")</f>
        <v>BTA08-800CW3LFG</v>
      </c>
      <c r="B38598" s="3" t="str">
        <f>HYPERLINK("https://www.773grp.com/manufacturer/onsemi?pageNo=654", "ON Semiconductor")</f>
        <v>ON Semiconductor</v>
      </c>
      <c r="C38598" s="6">
        <v>1060</v>
      </c>
      <c r="D38598" s="7">
        <v>2.38</v>
      </c>
    </row>
    <row r="38599" spans="1:5" x14ac:dyDescent="0.25">
      <c r="A38599" t="str">
        <f>HYPERLINK("https://www.773grp.com/globalSearch/BTB16-600BW3G/page-1", "BTB16-600BW3G")</f>
        <v>BTB16-600BW3G</v>
      </c>
      <c r="B38599" s="3" t="str">
        <f>HYPERLINK("https://www.773grp.com/manufacturer/onsemi?pageNo=655", "ON Semiconductor")</f>
        <v>ON Semiconductor</v>
      </c>
      <c r="C38599" s="6">
        <v>110250</v>
      </c>
      <c r="D38599" s="7">
        <v>2.38</v>
      </c>
      <c r="E38599" t="s">
        <v>102</v>
      </c>
    </row>
    <row r="38600" spans="1:5" x14ac:dyDescent="0.25">
      <c r="A38600" t="str">
        <f>HYPERLINK("https://www.773grp.com/globalSearch/BU406G/page-1", "BU406G")</f>
        <v>BU406G</v>
      </c>
      <c r="B38600" s="3" t="str">
        <f>HYPERLINK("https://www.773grp.com/manufacturer/onsemi?pageNo=656", "ON Semiconductor")</f>
        <v>ON Semiconductor</v>
      </c>
      <c r="C38600" s="6">
        <v>33053</v>
      </c>
      <c r="D38600" s="7">
        <v>2.38</v>
      </c>
      <c r="E38600" t="s">
        <v>59</v>
      </c>
    </row>
    <row r="38601" spans="1:5" x14ac:dyDescent="0.25">
      <c r="A38601" t="str">
        <f>HYPERLINK("https://www.773grp.com/globalSearch/BU407/page-1", "BU407")</f>
        <v>BU407</v>
      </c>
      <c r="B38601" s="3" t="str">
        <f>HYPERLINK("https://www.773grp.com/manufacturer/onsemi?pageNo=657", "ON Semiconductor")</f>
        <v>ON Semiconductor</v>
      </c>
      <c r="C38601" s="6">
        <v>50</v>
      </c>
      <c r="D38601" s="7">
        <v>2.38</v>
      </c>
      <c r="E38601" t="s">
        <v>59</v>
      </c>
    </row>
    <row r="38602" spans="1:5" x14ac:dyDescent="0.25">
      <c r="A38602" t="str">
        <f>HYPERLINK("https://www.773grp.com/globalSearch/BUL146G/page-1", "BUL146G")</f>
        <v>BUL146G</v>
      </c>
      <c r="B38602" s="3" t="str">
        <f>HYPERLINK("https://www.773grp.com/manufacturer/onsemi?pageNo=658", "ON Semiconductor")</f>
        <v>ON Semiconductor</v>
      </c>
      <c r="C38602" s="6">
        <v>3173</v>
      </c>
      <c r="D38602" s="7">
        <v>2.38</v>
      </c>
      <c r="E38602" t="s">
        <v>59</v>
      </c>
    </row>
    <row r="38603" spans="1:5" x14ac:dyDescent="0.25">
      <c r="A38603" t="str">
        <f>HYPERLINK("https://www.773grp.com/globalSearch/CAT32TDI-GT3/page-1", "CAT32TDI-GT3")</f>
        <v>CAT32TDI-GT3</v>
      </c>
      <c r="B38603" s="3" t="str">
        <f>HYPERLINK("https://www.773grp.com/manufacturer/onsemi?pageNo=659", "ON Semiconductor")</f>
        <v>ON Semiconductor</v>
      </c>
      <c r="C38603" s="6">
        <v>12000</v>
      </c>
      <c r="D38603" s="7">
        <v>2.38</v>
      </c>
    </row>
    <row r="38604" spans="1:5" x14ac:dyDescent="0.25">
      <c r="A38604" t="str">
        <f>HYPERLINK("https://www.773grp.com/globalSearch/CAT32TDI-T3/page-1", "CAT32TDI-T3")</f>
        <v>CAT32TDI-T3</v>
      </c>
      <c r="B38604" s="3" t="str">
        <f>HYPERLINK("https://www.773grp.com/manufacturer/onsemi?pageNo=660", "ON Semiconductor")</f>
        <v>ON Semiconductor</v>
      </c>
      <c r="C38604" s="6">
        <v>9000</v>
      </c>
      <c r="D38604" s="7">
        <v>2.38</v>
      </c>
      <c r="E38604" t="s">
        <v>10</v>
      </c>
    </row>
    <row r="38605" spans="1:5" x14ac:dyDescent="0.25">
      <c r="A38605" t="str">
        <f>HYPERLINK("https://www.773grp.com/globalSearch/CAT32TDI-T3/page-1", "CAT32TDI-T3")</f>
        <v>CAT32TDI-T3</v>
      </c>
      <c r="B38605" s="3" t="str">
        <f>HYPERLINK("https://www.773grp.com/manufacturer/onsemi?pageNo=661", "ON Semiconductor")</f>
        <v>ON Semiconductor</v>
      </c>
      <c r="C38605" s="6">
        <v>4383</v>
      </c>
      <c r="D38605" s="7">
        <v>2.38</v>
      </c>
      <c r="E38605" t="s">
        <v>10</v>
      </c>
    </row>
    <row r="38606" spans="1:5" x14ac:dyDescent="0.25">
      <c r="A38606" t="str">
        <f>HYPERLINK("https://www.773grp.com/globalSearch/LM2594DADJG/page-1", "LM2594DADJG")</f>
        <v>LM2594DADJG</v>
      </c>
      <c r="B38606" s="3" t="str">
        <f>HYPERLINK("https://www.773grp.com/manufacturer/onsemi?pageNo=662", "ON Semiconductor")</f>
        <v>ON Semiconductor</v>
      </c>
      <c r="C38606" s="6">
        <v>1666</v>
      </c>
      <c r="D38606" s="7">
        <v>2.38</v>
      </c>
    </row>
    <row r="38607" spans="1:5" x14ac:dyDescent="0.25">
      <c r="A38607" t="str">
        <f>HYPERLINK("https://www.773grp.com/globalSearch/LM2931ACD2TR4G/page-1", "LM2931ACD2TR4G")</f>
        <v>LM2931ACD2TR4G</v>
      </c>
      <c r="B38607" s="3" t="str">
        <f>HYPERLINK("https://www.773grp.com/manufacturer/onsemi?pageNo=663", "ON Semiconductor")</f>
        <v>ON Semiconductor</v>
      </c>
      <c r="C38607" s="6">
        <v>36000</v>
      </c>
      <c r="D38607" s="7">
        <v>2.38</v>
      </c>
      <c r="E38607" t="s">
        <v>25</v>
      </c>
    </row>
    <row r="38608" spans="1:5" x14ac:dyDescent="0.25">
      <c r="A38608" t="str">
        <f>HYPERLINK("https://www.773grp.com/globalSearch/LM2931AD2T-5.0G/page-1", "LM2931AD2T-5.0G")</f>
        <v>LM2931AD2T-5.0G</v>
      </c>
      <c r="B38608" s="3" t="str">
        <f>HYPERLINK("https://www.773grp.com/manufacturer/onsemi?pageNo=664", "ON Semiconductor")</f>
        <v>ON Semiconductor</v>
      </c>
      <c r="C38608" s="6">
        <v>4019</v>
      </c>
      <c r="D38608" s="7">
        <v>2.38</v>
      </c>
      <c r="E38608" t="s">
        <v>19</v>
      </c>
    </row>
    <row r="38609" spans="1:5" x14ac:dyDescent="0.25">
      <c r="A38609" t="str">
        <f>HYPERLINK("https://www.773grp.com/globalSearch/LM337TG/page-1", "LM337TG")</f>
        <v>LM337TG</v>
      </c>
      <c r="B38609" s="3" t="str">
        <f>HYPERLINK("https://www.773grp.com/manufacturer/onsemi?pageNo=665", "ON Semiconductor")</f>
        <v>ON Semiconductor</v>
      </c>
      <c r="C38609" s="6">
        <v>9482</v>
      </c>
      <c r="D38609" s="7">
        <v>2.38</v>
      </c>
      <c r="E38609" t="s">
        <v>37</v>
      </c>
    </row>
    <row r="38610" spans="1:5" x14ac:dyDescent="0.25">
      <c r="A38610" t="str">
        <f>HYPERLINK("https://www.773grp.com/globalSearch/MBR20L45CTG/page-1", "MBR20L45CTG")</f>
        <v>MBR20L45CTG</v>
      </c>
      <c r="B38610" s="3" t="str">
        <f>HYPERLINK("https://www.773grp.com/manufacturer/onsemi?pageNo=666", "ON Semiconductor")</f>
        <v>ON Semiconductor</v>
      </c>
      <c r="C38610" s="6">
        <v>3332</v>
      </c>
      <c r="D38610" s="7">
        <v>2.38</v>
      </c>
      <c r="E38610" t="s">
        <v>103</v>
      </c>
    </row>
    <row r="38611" spans="1:5" x14ac:dyDescent="0.25">
      <c r="A38611" t="str">
        <f>HYPERLINK("https://www.773grp.com/globalSearch/MBR2535CT/page-1", "MBR2535CT")</f>
        <v>MBR2535CT</v>
      </c>
      <c r="B38611" s="3" t="str">
        <f>HYPERLINK("https://www.773grp.com/manufacturer/onsemi?pageNo=667", "ON Semiconductor")</f>
        <v>ON Semiconductor</v>
      </c>
      <c r="C38611" s="6">
        <v>167559</v>
      </c>
      <c r="D38611" s="7">
        <v>2.38</v>
      </c>
      <c r="E38611" t="s">
        <v>103</v>
      </c>
    </row>
    <row r="38612" spans="1:5" x14ac:dyDescent="0.25">
      <c r="A38612" t="str">
        <f>HYPERLINK("https://www.773grp.com/globalSearch/MBR2535CTL/page-1", "MBR2535CTL")</f>
        <v>MBR2535CTL</v>
      </c>
      <c r="B38612" s="3" t="str">
        <f>HYPERLINK("https://www.773grp.com/manufacturer/onsemi?pageNo=668", "ON Semiconductor")</f>
        <v>ON Semiconductor</v>
      </c>
      <c r="C38612" s="6">
        <v>2152</v>
      </c>
      <c r="D38612" s="7">
        <v>2.38</v>
      </c>
      <c r="E38612" t="s">
        <v>103</v>
      </c>
    </row>
    <row r="38613" spans="1:5" x14ac:dyDescent="0.25">
      <c r="A38613" t="str">
        <f>HYPERLINK("https://www.773grp.com/globalSearch/MBRB1045T4/page-1", "MBRB1045T4")</f>
        <v>MBRB1045T4</v>
      </c>
      <c r="B38613" s="3" t="str">
        <f>HYPERLINK("https://www.773grp.com/manufacturer/onsemi?pageNo=669", "ON Semiconductor")</f>
        <v>ON Semiconductor</v>
      </c>
      <c r="C38613" s="6">
        <v>3200</v>
      </c>
      <c r="D38613" s="7">
        <v>2.38</v>
      </c>
    </row>
    <row r="38614" spans="1:5" x14ac:dyDescent="0.25">
      <c r="A38614" t="str">
        <f>HYPERLINK("https://www.773grp.com/globalSearch/MBRD1035CTLG/page-1", "MBRD1035CTLG")</f>
        <v>MBRD1035CTLG</v>
      </c>
      <c r="B38614" s="3" t="str">
        <f>HYPERLINK("https://www.773grp.com/manufacturer/onsemi?pageNo=670", "ON Semiconductor")</f>
        <v>ON Semiconductor</v>
      </c>
      <c r="C38614" s="6">
        <v>3849</v>
      </c>
      <c r="D38614" s="7">
        <v>2.38</v>
      </c>
    </row>
    <row r="38615" spans="1:5" x14ac:dyDescent="0.25">
      <c r="A38615" t="str">
        <f>HYPERLINK("https://www.773grp.com/globalSearch/MBRD1035CTLT4G/page-1", "MBRD1035CTLT4G")</f>
        <v>MBRD1035CTLT4G</v>
      </c>
      <c r="B38615" s="3" t="str">
        <f>HYPERLINK("https://www.773grp.com/manufacturer/onsemi?pageNo=671", "ON Semiconductor")</f>
        <v>ON Semiconductor</v>
      </c>
      <c r="C38615" s="6">
        <v>25063</v>
      </c>
      <c r="D38615" s="7">
        <v>2.38</v>
      </c>
    </row>
    <row r="38616" spans="1:5" x14ac:dyDescent="0.25">
      <c r="A38616" t="str">
        <f>HYPERLINK("https://www.773grp.com/globalSearch/MBRF10H150CTG/page-1", "MBRF10H150CTG")</f>
        <v>MBRF10H150CTG</v>
      </c>
      <c r="B38616" s="3" t="str">
        <f>HYPERLINK("https://www.773grp.com/manufacturer/onsemi?pageNo=672", "ON Semiconductor")</f>
        <v>ON Semiconductor</v>
      </c>
      <c r="C38616" s="6">
        <v>223185</v>
      </c>
      <c r="D38616" s="7">
        <v>2.38</v>
      </c>
      <c r="E38616" t="s">
        <v>103</v>
      </c>
    </row>
    <row r="38617" spans="1:5" x14ac:dyDescent="0.25">
      <c r="A38617" t="str">
        <f>HYPERLINK("https://www.773grp.com/globalSearch/MC33074AP/page-1", "MC33074AP")</f>
        <v>MC33074AP</v>
      </c>
      <c r="B38617" s="3" t="str">
        <f>HYPERLINK("https://www.773grp.com/manufacturer/onsemi?pageNo=673", "ON Semiconductor")</f>
        <v>ON Semiconductor</v>
      </c>
      <c r="C38617" s="6">
        <v>25</v>
      </c>
      <c r="D38617" s="7">
        <v>2.38</v>
      </c>
      <c r="E38617" t="s">
        <v>13</v>
      </c>
    </row>
    <row r="38618" spans="1:5" x14ac:dyDescent="0.25">
      <c r="A38618" t="str">
        <f>HYPERLINK("https://www.773grp.com/globalSearch/MC33074DTBR2G/page-1", "MC33074DTBR2G")</f>
        <v>MC33074DTBR2G</v>
      </c>
      <c r="B38618" s="3" t="str">
        <f>HYPERLINK("https://www.773grp.com/manufacturer/onsemi?pageNo=674", "ON Semiconductor")</f>
        <v>ON Semiconductor</v>
      </c>
      <c r="C38618" s="6">
        <v>310</v>
      </c>
      <c r="D38618" s="7">
        <v>2.38</v>
      </c>
      <c r="E38618" t="s">
        <v>13</v>
      </c>
    </row>
    <row r="38619" spans="1:5" x14ac:dyDescent="0.25">
      <c r="A38619" t="str">
        <f>HYPERLINK("https://www.773grp.com/globalSearch/MC33077PG/page-1", "MC33077PG")</f>
        <v>MC33077PG</v>
      </c>
      <c r="B38619" s="3" t="str">
        <f>HYPERLINK("https://www.773grp.com/manufacturer/onsemi?pageNo=675", "ON Semiconductor")</f>
        <v>ON Semiconductor</v>
      </c>
      <c r="C38619" s="6">
        <v>3351</v>
      </c>
      <c r="D38619" s="7">
        <v>2.38</v>
      </c>
      <c r="E38619" t="s">
        <v>13</v>
      </c>
    </row>
    <row r="38620" spans="1:5" x14ac:dyDescent="0.25">
      <c r="A38620" t="str">
        <f>HYPERLINK("https://www.773grp.com/globalSearch/MC33151VDR2G/page-1", "MC33151VDR2G")</f>
        <v>MC33151VDR2G</v>
      </c>
      <c r="B38620" s="3" t="str">
        <f>HYPERLINK("https://www.773grp.com/manufacturer/onsemi?pageNo=676", "ON Semiconductor")</f>
        <v>ON Semiconductor</v>
      </c>
      <c r="C38620" s="6">
        <v>1250</v>
      </c>
      <c r="D38620" s="7">
        <v>2.38</v>
      </c>
      <c r="E38620" t="s">
        <v>16</v>
      </c>
    </row>
    <row r="38621" spans="1:5" x14ac:dyDescent="0.25">
      <c r="A38621" t="str">
        <f>HYPERLINK("https://www.773grp.com/globalSearch/MC33152VDG/page-1", "MC33152VDG")</f>
        <v>MC33152VDG</v>
      </c>
      <c r="B38621" s="3" t="str">
        <f>HYPERLINK("https://www.773grp.com/manufacturer/onsemi?pageNo=677", "ON Semiconductor")</f>
        <v>ON Semiconductor</v>
      </c>
      <c r="C38621" s="6">
        <v>686</v>
      </c>
      <c r="D38621" s="7">
        <v>2.38</v>
      </c>
    </row>
    <row r="38622" spans="1:5" x14ac:dyDescent="0.25">
      <c r="A38622" t="str">
        <f>HYPERLINK("https://www.773grp.com/globalSearch/MC33161D/page-1", "MC33161D")</f>
        <v>MC33161D</v>
      </c>
      <c r="B38622" s="3" t="str">
        <f>HYPERLINK("https://www.773grp.com/manufacturer/onsemi?pageNo=678", "ON Semiconductor")</f>
        <v>ON Semiconductor</v>
      </c>
      <c r="C38622" s="6">
        <v>294</v>
      </c>
      <c r="D38622" s="7">
        <v>2.38</v>
      </c>
      <c r="E38622" t="s">
        <v>30</v>
      </c>
    </row>
    <row r="38623" spans="1:5" x14ac:dyDescent="0.25">
      <c r="A38623" t="str">
        <f>HYPERLINK("https://www.773grp.com/globalSearch/MC33179D/page-1", "MC33179D")</f>
        <v>MC33179D</v>
      </c>
      <c r="B38623" s="3" t="str">
        <f>HYPERLINK("https://www.773grp.com/manufacturer/onsemi?pageNo=679", "ON Semiconductor")</f>
        <v>ON Semiconductor</v>
      </c>
      <c r="C38623" s="6">
        <v>1155</v>
      </c>
      <c r="D38623" s="7">
        <v>2.38</v>
      </c>
    </row>
    <row r="38624" spans="1:5" x14ac:dyDescent="0.25">
      <c r="A38624" t="str">
        <f>HYPERLINK("https://www.773grp.com/globalSearch/MC33274ADR2G/page-1", "MC33274ADR2G")</f>
        <v>MC33274ADR2G</v>
      </c>
      <c r="B38624" s="3" t="str">
        <f>HYPERLINK("https://www.773grp.com/manufacturer/onsemi?pageNo=680", "ON Semiconductor")</f>
        <v>ON Semiconductor</v>
      </c>
      <c r="C38624" s="6">
        <v>57774</v>
      </c>
      <c r="D38624" s="7">
        <v>2.38</v>
      </c>
      <c r="E38624" t="s">
        <v>13</v>
      </c>
    </row>
    <row r="38625" spans="1:5" x14ac:dyDescent="0.25">
      <c r="A38625" t="str">
        <f>HYPERLINK("https://www.773grp.com/globalSearch/MC34074VDG/page-1", "MC34074VDG")</f>
        <v>MC34074VDG</v>
      </c>
      <c r="B38625" s="3" t="str">
        <f>HYPERLINK("https://www.773grp.com/manufacturer/onsemi?pageNo=681", "ON Semiconductor")</f>
        <v>ON Semiconductor</v>
      </c>
      <c r="C38625" s="6">
        <v>1695</v>
      </c>
      <c r="D38625" s="7">
        <v>2.38</v>
      </c>
    </row>
    <row r="38626" spans="1:5" x14ac:dyDescent="0.25">
      <c r="A38626" t="str">
        <f>HYPERLINK("https://www.773grp.com/globalSearch/MC3488ADG/page-1", "MC3488ADG")</f>
        <v>MC3488ADG</v>
      </c>
      <c r="B38626" s="3" t="str">
        <f>HYPERLINK("https://www.773grp.com/manufacturer/onsemi?pageNo=682", "ON Semiconductor")</f>
        <v>ON Semiconductor</v>
      </c>
      <c r="C38626" s="6">
        <v>2445</v>
      </c>
      <c r="D38626" s="7">
        <v>2.38</v>
      </c>
      <c r="E38626" t="s">
        <v>21</v>
      </c>
    </row>
    <row r="38627" spans="1:5" x14ac:dyDescent="0.25">
      <c r="A38627" t="str">
        <f>HYPERLINK("https://www.773grp.com/globalSearch/MC3488ADR2G/page-1", "MC3488ADR2G")</f>
        <v>MC3488ADR2G</v>
      </c>
      <c r="B38627" s="3" t="str">
        <f>HYPERLINK("https://www.773grp.com/manufacturer/onsemi?pageNo=683", "ON Semiconductor")</f>
        <v>ON Semiconductor</v>
      </c>
      <c r="C38627" s="6">
        <v>3377</v>
      </c>
      <c r="D38627" s="7">
        <v>2.38</v>
      </c>
      <c r="E38627" t="s">
        <v>21</v>
      </c>
    </row>
    <row r="38628" spans="1:5" x14ac:dyDescent="0.25">
      <c r="A38628" t="str">
        <f>HYPERLINK("https://www.773grp.com/globalSearch/MC3488AP1G/page-1", "MC3488AP1G")</f>
        <v>MC3488AP1G</v>
      </c>
      <c r="B38628" s="3" t="str">
        <f>HYPERLINK("https://www.773grp.com/manufacturer/onsemi?pageNo=684", "ON Semiconductor")</f>
        <v>ON Semiconductor</v>
      </c>
      <c r="C38628" s="6">
        <v>11255</v>
      </c>
      <c r="D38628" s="7">
        <v>2.38</v>
      </c>
      <c r="E38628" t="s">
        <v>21</v>
      </c>
    </row>
    <row r="38629" spans="1:5" x14ac:dyDescent="0.25">
      <c r="A38629" t="str">
        <f>HYPERLINK("https://www.773grp.com/globalSearch/MC78L08CP/page-1", "MC78L08CP")</f>
        <v>MC78L08CP</v>
      </c>
      <c r="B38629" s="3" t="str">
        <f>HYPERLINK("https://www.773grp.com/manufacturer/onsemi?pageNo=685", "ON Semiconductor")</f>
        <v>ON Semiconductor</v>
      </c>
      <c r="C38629" s="6">
        <v>3886</v>
      </c>
      <c r="D38629" s="7">
        <v>2.38</v>
      </c>
      <c r="E38629" t="s">
        <v>28</v>
      </c>
    </row>
    <row r="38630" spans="1:5" x14ac:dyDescent="0.25">
      <c r="A38630" t="str">
        <f>HYPERLINK("https://www.773grp.com/globalSearch/MJB44H11G/page-1", "MJB44H11G")</f>
        <v>MJB44H11G</v>
      </c>
      <c r="B38630" s="3" t="str">
        <f>HYPERLINK("https://www.773grp.com/manufacturer/onsemi?pageNo=686", "ON Semiconductor")</f>
        <v>ON Semiconductor</v>
      </c>
      <c r="C38630" s="6">
        <v>1450</v>
      </c>
      <c r="D38630" s="7">
        <v>2.38</v>
      </c>
      <c r="E38630" t="s">
        <v>59</v>
      </c>
    </row>
    <row r="38631" spans="1:5" x14ac:dyDescent="0.25">
      <c r="A38631" t="str">
        <f>HYPERLINK("https://www.773grp.com/globalSearch/MJE18004D2G/page-1", "MJE18004D2G")</f>
        <v>MJE18004D2G</v>
      </c>
      <c r="B38631" s="3" t="str">
        <f>HYPERLINK("https://www.773grp.com/manufacturer/onsemi?pageNo=687", "ON Semiconductor")</f>
        <v>ON Semiconductor</v>
      </c>
      <c r="C38631" s="6">
        <v>1994</v>
      </c>
      <c r="D38631" s="7">
        <v>2.38</v>
      </c>
      <c r="E38631" t="s">
        <v>59</v>
      </c>
    </row>
    <row r="38632" spans="1:5" x14ac:dyDescent="0.25">
      <c r="A38632" t="str">
        <f>HYPERLINK("https://www.773grp.com/globalSearch/MJE3055TG/page-1", "MJE3055TG")</f>
        <v>MJE3055TG</v>
      </c>
      <c r="B38632" s="3" t="str">
        <f>HYPERLINK("https://www.773grp.com/manufacturer/onsemi?pageNo=688", "ON Semiconductor")</f>
        <v>ON Semiconductor</v>
      </c>
      <c r="C38632" s="6">
        <v>4187</v>
      </c>
      <c r="D38632" s="7">
        <v>2.38</v>
      </c>
      <c r="E38632" t="s">
        <v>59</v>
      </c>
    </row>
    <row r="38633" spans="1:5" x14ac:dyDescent="0.25">
      <c r="A38633" t="str">
        <f>HYPERLINK("https://www.773grp.com/globalSearch/MTP10N10ELG/page-1", "MTP10N10ELG")</f>
        <v>MTP10N10ELG</v>
      </c>
      <c r="B38633" s="3" t="str">
        <f>HYPERLINK("https://www.773grp.com/manufacturer/onsemi?pageNo=689", "ON Semiconductor")</f>
        <v>ON Semiconductor</v>
      </c>
      <c r="C38633" s="6">
        <v>291</v>
      </c>
      <c r="D38633" s="7">
        <v>2.38</v>
      </c>
      <c r="E38633" t="s">
        <v>105</v>
      </c>
    </row>
    <row r="38634" spans="1:5" x14ac:dyDescent="0.25">
      <c r="A38634" t="str">
        <f>HYPERLINK("https://www.773grp.com/globalSearch/MTP1302/page-1", "MTP1302")</f>
        <v>MTP1302</v>
      </c>
      <c r="B38634" s="3" t="str">
        <f>HYPERLINK("https://www.773grp.com/manufacturer/onsemi?pageNo=690", "ON Semiconductor")</f>
        <v>ON Semiconductor</v>
      </c>
      <c r="C38634" s="6">
        <v>1750</v>
      </c>
      <c r="D38634" s="7">
        <v>2.38</v>
      </c>
      <c r="E38634" t="s">
        <v>105</v>
      </c>
    </row>
    <row r="38635" spans="1:5" x14ac:dyDescent="0.25">
      <c r="A38635" t="str">
        <f>HYPERLINK("https://www.773grp.com/globalSearch/MTP2P50E/page-1", "MTP2P50E")</f>
        <v>MTP2P50E</v>
      </c>
      <c r="B38635" s="3" t="str">
        <f>HYPERLINK("https://www.773grp.com/manufacturer/onsemi?pageNo=691", "ON Semiconductor")</f>
        <v>ON Semiconductor</v>
      </c>
      <c r="C38635" s="6">
        <v>44</v>
      </c>
      <c r="D38635" s="7">
        <v>2.38</v>
      </c>
      <c r="E38635" t="s">
        <v>105</v>
      </c>
    </row>
    <row r="38636" spans="1:5" x14ac:dyDescent="0.25">
      <c r="A38636" t="str">
        <f>HYPERLINK("https://www.773grp.com/globalSearch/MTP5N40E/page-1", "MTP5N40E")</f>
        <v>MTP5N40E</v>
      </c>
      <c r="B38636" s="3" t="str">
        <f>HYPERLINK("https://www.773grp.com/manufacturer/onsemi?pageNo=692", "ON Semiconductor")</f>
        <v>ON Semiconductor</v>
      </c>
      <c r="C38636" s="6">
        <v>7762</v>
      </c>
      <c r="D38636" s="7">
        <v>2.38</v>
      </c>
      <c r="E38636" t="s">
        <v>105</v>
      </c>
    </row>
    <row r="38637" spans="1:5" x14ac:dyDescent="0.25">
      <c r="A38637" t="str">
        <f>HYPERLINK("https://www.773grp.com/globalSearch/MURD330T4G/page-1", "MURD330T4G")</f>
        <v>MURD330T4G</v>
      </c>
      <c r="B38637" s="3" t="str">
        <f>HYPERLINK("https://www.773grp.com/manufacturer/onsemi?pageNo=693", "ON Semiconductor")</f>
        <v>ON Semiconductor</v>
      </c>
      <c r="C38637" s="6">
        <v>7500</v>
      </c>
      <c r="D38637" s="7">
        <v>2.38</v>
      </c>
      <c r="E38637" t="s">
        <v>103</v>
      </c>
    </row>
    <row r="38638" spans="1:5" x14ac:dyDescent="0.25">
      <c r="A38638" t="str">
        <f>HYPERLINK("https://www.773grp.com/globalSearch/MURH8100E/page-1", "MURH8100E")</f>
        <v>MURH8100E</v>
      </c>
      <c r="B38638" s="3" t="str">
        <f>HYPERLINK("https://www.773grp.com/manufacturer/onsemi?pageNo=694", "ON Semiconductor")</f>
        <v>ON Semiconductor</v>
      </c>
      <c r="C38638" s="6">
        <v>1210</v>
      </c>
      <c r="D38638" s="7">
        <v>2.38</v>
      </c>
      <c r="E38638" t="s">
        <v>103</v>
      </c>
    </row>
    <row r="38639" spans="1:5" x14ac:dyDescent="0.25">
      <c r="A38639" t="str">
        <f>HYPERLINK("https://www.773grp.com/globalSearch/NCP1027P065G/page-1", "NCP1027P065G")</f>
        <v>NCP1027P065G</v>
      </c>
      <c r="B38639" s="3" t="str">
        <f>HYPERLINK("https://www.773grp.com/manufacturer/onsemi?pageNo=695", "ON Semiconductor")</f>
        <v>ON Semiconductor</v>
      </c>
      <c r="C38639" s="6">
        <v>47740</v>
      </c>
      <c r="D38639" s="7">
        <v>2.38</v>
      </c>
      <c r="E38639" t="s">
        <v>7</v>
      </c>
    </row>
    <row r="38640" spans="1:5" x14ac:dyDescent="0.25">
      <c r="A38640" t="str">
        <f>HYPERLINK("https://www.773grp.com/globalSearch/NCP1027P100G/page-1", "NCP1027P100G")</f>
        <v>NCP1027P100G</v>
      </c>
      <c r="B38640" s="3" t="str">
        <f>HYPERLINK("https://www.773grp.com/manufacturer/onsemi?pageNo=696", "ON Semiconductor")</f>
        <v>ON Semiconductor</v>
      </c>
      <c r="C38640" s="6">
        <v>18140</v>
      </c>
      <c r="D38640" s="7">
        <v>2.38</v>
      </c>
      <c r="E38640" t="s">
        <v>7</v>
      </c>
    </row>
    <row r="38641" spans="1:5" x14ac:dyDescent="0.25">
      <c r="A38641" t="str">
        <f>HYPERLINK("https://www.773grp.com/globalSearch/NCP1053P44G/page-1", "NCP1053P44G")</f>
        <v>NCP1053P44G</v>
      </c>
      <c r="B38641" s="3" t="str">
        <f>HYPERLINK("https://www.773grp.com/manufacturer/onsemi?pageNo=697", "ON Semiconductor")</f>
        <v>ON Semiconductor</v>
      </c>
      <c r="C38641" s="6">
        <v>160</v>
      </c>
      <c r="D38641" s="7">
        <v>2.38</v>
      </c>
      <c r="E38641" t="s">
        <v>7</v>
      </c>
    </row>
    <row r="38642" spans="1:5" x14ac:dyDescent="0.25">
      <c r="A38642" t="str">
        <f>HYPERLINK("https://www.773grp.com/globalSearch/NCP1054P100G/page-1", "NCP1054P100G")</f>
        <v>NCP1054P100G</v>
      </c>
      <c r="B38642" s="3" t="str">
        <f>HYPERLINK("https://www.773grp.com/manufacturer/onsemi?pageNo=698", "ON Semiconductor")</f>
        <v>ON Semiconductor</v>
      </c>
      <c r="C38642" s="6">
        <v>4935</v>
      </c>
      <c r="D38642" s="7">
        <v>2.38</v>
      </c>
      <c r="E38642" t="s">
        <v>7</v>
      </c>
    </row>
    <row r="38643" spans="1:5" x14ac:dyDescent="0.25">
      <c r="A38643" t="str">
        <f>HYPERLINK("https://www.773grp.com/globalSearch/NCP1054P136G/page-1", "NCP1054P136G")</f>
        <v>NCP1054P136G</v>
      </c>
      <c r="B38643" s="3" t="str">
        <f>HYPERLINK("https://www.773grp.com/manufacturer/onsemi?pageNo=699", "ON Semiconductor")</f>
        <v>ON Semiconductor</v>
      </c>
      <c r="C38643" s="6">
        <v>4</v>
      </c>
      <c r="D38643" s="7">
        <v>2.38</v>
      </c>
      <c r="E38643" t="s">
        <v>7</v>
      </c>
    </row>
    <row r="38644" spans="1:5" x14ac:dyDescent="0.25">
      <c r="A38644" t="str">
        <f>HYPERLINK("https://www.773grp.com/globalSearch/NCP1054P44G/page-1", "NCP1054P44G")</f>
        <v>NCP1054P44G</v>
      </c>
      <c r="B38644" s="3" t="str">
        <f>HYPERLINK("https://www.773grp.com/manufacturer/onsemi?pageNo=700", "ON Semiconductor")</f>
        <v>ON Semiconductor</v>
      </c>
      <c r="C38644" s="6">
        <v>6066</v>
      </c>
      <c r="D38644" s="7">
        <v>2.38</v>
      </c>
      <c r="E38644" t="s">
        <v>7</v>
      </c>
    </row>
    <row r="38645" spans="1:5" x14ac:dyDescent="0.25">
      <c r="A38645" t="str">
        <f>HYPERLINK("https://www.773grp.com/globalSearch/NCP1055P100G/page-1", "NCP1055P100G")</f>
        <v>NCP1055P100G</v>
      </c>
      <c r="B38645" s="3" t="str">
        <f>HYPERLINK("https://www.773grp.com/manufacturer/onsemi?pageNo=701", "ON Semiconductor")</f>
        <v>ON Semiconductor</v>
      </c>
      <c r="C38645" s="6">
        <v>3000</v>
      </c>
      <c r="D38645" s="7">
        <v>2.38</v>
      </c>
      <c r="E38645" t="s">
        <v>7</v>
      </c>
    </row>
    <row r="38646" spans="1:5" x14ac:dyDescent="0.25">
      <c r="A38646" t="str">
        <f>HYPERLINK("https://www.773grp.com/globalSearch/NCP1055P136G/page-1", "NCP1055P136G")</f>
        <v>NCP1055P136G</v>
      </c>
      <c r="B38646" s="3" t="str">
        <f>HYPERLINK("https://www.773grp.com/manufacturer/onsemi?pageNo=702", "ON Semiconductor")</f>
        <v>ON Semiconductor</v>
      </c>
      <c r="C38646" s="6">
        <v>1037</v>
      </c>
      <c r="D38646" s="7">
        <v>2.38</v>
      </c>
    </row>
    <row r="38647" spans="1:5" x14ac:dyDescent="0.25">
      <c r="A38647" t="str">
        <f>HYPERLINK("https://www.773grp.com/globalSearch/NCP1055P44G/page-1", "NCP1055P44G")</f>
        <v>NCP1055P44G</v>
      </c>
      <c r="B38647" s="3" t="str">
        <f>HYPERLINK("https://www.773grp.com/manufacturer/onsemi?pageNo=703", "ON Semiconductor")</f>
        <v>ON Semiconductor</v>
      </c>
      <c r="C38647" s="6">
        <v>5182</v>
      </c>
      <c r="D38647" s="7">
        <v>2.38</v>
      </c>
      <c r="E38647" t="s">
        <v>7</v>
      </c>
    </row>
    <row r="38648" spans="1:5" x14ac:dyDescent="0.25">
      <c r="A38648" t="str">
        <f>HYPERLINK("https://www.773grp.com/globalSearch/NCP1090DRG/page-1", "NCP1090DRG")</f>
        <v>NCP1090DRG</v>
      </c>
      <c r="B38648" s="3" t="str">
        <f>HYPERLINK("https://www.773grp.com/manufacturer/onsemi?pageNo=704", "ON Semiconductor")</f>
        <v>ON Semiconductor</v>
      </c>
      <c r="C38648" s="6">
        <v>137</v>
      </c>
      <c r="D38648" s="7">
        <v>2.38</v>
      </c>
      <c r="E38648" t="s">
        <v>74</v>
      </c>
    </row>
    <row r="38649" spans="1:5" x14ac:dyDescent="0.25">
      <c r="A38649" t="str">
        <f>HYPERLINK("https://www.773grp.com/globalSearch/NCP1092DBG/page-1", "NCP1092DBG")</f>
        <v>NCP1092DBG</v>
      </c>
      <c r="B38649" s="3" t="str">
        <f>HYPERLINK("https://www.773grp.com/manufacturer/onsemi?pageNo=705", "ON Semiconductor")</f>
        <v>ON Semiconductor</v>
      </c>
      <c r="C38649" s="6">
        <v>274</v>
      </c>
      <c r="D38649" s="7">
        <v>2.38</v>
      </c>
    </row>
    <row r="38650" spans="1:5" x14ac:dyDescent="0.25">
      <c r="A38650" t="str">
        <f>HYPERLINK("https://www.773grp.com/globalSearch/NCP1092DRG/page-1", "NCP1092DRG")</f>
        <v>NCP1092DRG</v>
      </c>
      <c r="B38650" s="3" t="str">
        <f>HYPERLINK("https://www.773grp.com/manufacturer/onsemi?pageNo=706", "ON Semiconductor")</f>
        <v>ON Semiconductor</v>
      </c>
      <c r="C38650" s="6">
        <v>334</v>
      </c>
      <c r="D38650" s="7">
        <v>2.38</v>
      </c>
    </row>
    <row r="38651" spans="1:5" x14ac:dyDescent="0.25">
      <c r="A38651" t="str">
        <f>HYPERLINK("https://www.773grp.com/globalSearch/NCP1094MNRG/page-1", "NCP1094MNRG")</f>
        <v>NCP1094MNRG</v>
      </c>
      <c r="B38651" s="3" t="str">
        <f>HYPERLINK("https://www.773grp.com/manufacturer/onsemi?pageNo=707", "ON Semiconductor")</f>
        <v>ON Semiconductor</v>
      </c>
      <c r="C38651" s="6">
        <v>3000</v>
      </c>
      <c r="D38651" s="7">
        <v>2.38</v>
      </c>
    </row>
    <row r="38652" spans="1:5" x14ac:dyDescent="0.25">
      <c r="A38652" t="str">
        <f>HYPERLINK("https://www.773grp.com/globalSearch/NCP1526MUTXG/page-1", "NCP1526MUTXG")</f>
        <v>NCP1526MUTXG</v>
      </c>
      <c r="B38652" s="3" t="str">
        <f>HYPERLINK("https://www.773grp.com/manufacturer/onsemi?pageNo=708", "ON Semiconductor")</f>
        <v>ON Semiconductor</v>
      </c>
      <c r="C38652" s="6">
        <v>54000</v>
      </c>
      <c r="D38652" s="7">
        <v>2.38</v>
      </c>
      <c r="E38652" t="s">
        <v>7</v>
      </c>
    </row>
    <row r="38653" spans="1:5" x14ac:dyDescent="0.25">
      <c r="A38653" t="str">
        <f>HYPERLINK("https://www.773grp.com/globalSearch/NCP1654BD200R2G/page-1", "NCP1654BD200R2G")</f>
        <v>NCP1654BD200R2G</v>
      </c>
      <c r="B38653" s="3" t="str">
        <f>HYPERLINK("https://www.773grp.com/manufacturer/onsemi?pageNo=709", "ON Semiconductor")</f>
        <v>ON Semiconductor</v>
      </c>
      <c r="C38653" s="6">
        <v>3180</v>
      </c>
      <c r="D38653" s="7">
        <v>2.38</v>
      </c>
    </row>
    <row r="38654" spans="1:5" x14ac:dyDescent="0.25">
      <c r="A38654" t="str">
        <f>HYPERLINK("https://www.773grp.com/globalSearch/NCP1654BD65R2G/page-1", "NCP1654BD65R2G")</f>
        <v>NCP1654BD65R2G</v>
      </c>
      <c r="B38654" s="3" t="str">
        <f>HYPERLINK("https://www.773grp.com/manufacturer/onsemi?pageNo=710", "ON Semiconductor")</f>
        <v>ON Semiconductor</v>
      </c>
      <c r="C38654" s="6">
        <v>42500</v>
      </c>
      <c r="D38654" s="7">
        <v>2.38</v>
      </c>
      <c r="E38654" t="s">
        <v>7</v>
      </c>
    </row>
    <row r="38655" spans="1:5" x14ac:dyDescent="0.25">
      <c r="A38655" t="str">
        <f>HYPERLINK("https://www.773grp.com/globalSearch/NCP1835BMNR2G/page-1", "NCP1835BMNR2G")</f>
        <v>NCP1835BMNR2G</v>
      </c>
      <c r="B38655" s="3" t="str">
        <f>HYPERLINK("https://www.773grp.com/manufacturer/onsemi?pageNo=711", "ON Semiconductor")</f>
        <v>ON Semiconductor</v>
      </c>
      <c r="C38655" s="6">
        <v>9030</v>
      </c>
      <c r="D38655" s="7">
        <v>2.38</v>
      </c>
      <c r="E38655" t="s">
        <v>30</v>
      </c>
    </row>
    <row r="38656" spans="1:5" x14ac:dyDescent="0.25">
      <c r="A38656" t="str">
        <f>HYPERLINK("https://www.773grp.com/globalSearch/NCP1835MN24T2G/page-1", "NCP1835MN24T2G")</f>
        <v>NCP1835MN24T2G</v>
      </c>
      <c r="B38656" s="3" t="str">
        <f>HYPERLINK("https://www.773grp.com/manufacturer/onsemi?pageNo=712", "ON Semiconductor")</f>
        <v>ON Semiconductor</v>
      </c>
      <c r="C38656" s="6">
        <v>710670</v>
      </c>
      <c r="D38656" s="7">
        <v>2.38</v>
      </c>
      <c r="E38656" t="s">
        <v>30</v>
      </c>
    </row>
    <row r="38657" spans="1:5" x14ac:dyDescent="0.25">
      <c r="A38657" t="str">
        <f>HYPERLINK("https://www.773grp.com/globalSearch/NCP3065DR2G/page-1", "NCP3065DR2G")</f>
        <v>NCP3065DR2G</v>
      </c>
      <c r="B38657" s="3" t="str">
        <f>HYPERLINK("https://www.773grp.com/manufacturer/onsemi?pageNo=713", "ON Semiconductor")</f>
        <v>ON Semiconductor</v>
      </c>
      <c r="C38657" s="6">
        <v>36942</v>
      </c>
      <c r="D38657" s="7">
        <v>2.38</v>
      </c>
      <c r="E38657" t="s">
        <v>10</v>
      </c>
    </row>
    <row r="38658" spans="1:5" x14ac:dyDescent="0.25">
      <c r="A38658" t="str">
        <f>HYPERLINK("https://www.773grp.com/globalSearch/NCP3065PG/page-1", "NCP3065PG")</f>
        <v>NCP3065PG</v>
      </c>
      <c r="B38658" s="3" t="str">
        <f>HYPERLINK("https://www.773grp.com/manufacturer/onsemi?pageNo=714", "ON Semiconductor")</f>
        <v>ON Semiconductor</v>
      </c>
      <c r="C38658" s="6">
        <v>50</v>
      </c>
      <c r="D38658" s="7">
        <v>2.38</v>
      </c>
    </row>
    <row r="38659" spans="1:5" x14ac:dyDescent="0.25">
      <c r="A38659" t="str">
        <f>HYPERLINK("https://www.773grp.com/globalSearch/NCP5010FCT1G/page-1", "NCP5010FCT1G")</f>
        <v>NCP5010FCT1G</v>
      </c>
      <c r="B38659" s="3" t="str">
        <f>HYPERLINK("https://www.773grp.com/manufacturer/onsemi?pageNo=715", "ON Semiconductor")</f>
        <v>ON Semiconductor</v>
      </c>
      <c r="C38659" s="6">
        <v>118665</v>
      </c>
      <c r="D38659" s="7">
        <v>2.38</v>
      </c>
      <c r="E38659" t="s">
        <v>7</v>
      </c>
    </row>
    <row r="38660" spans="1:5" x14ac:dyDescent="0.25">
      <c r="A38660" t="str">
        <f>HYPERLINK("https://www.773grp.com/globalSearch/NCP5173MNR2/page-1", "NCP5173MNR2")</f>
        <v>NCP5173MNR2</v>
      </c>
      <c r="B38660" s="3" t="str">
        <f>HYPERLINK("https://www.773grp.com/manufacturer/onsemi?pageNo=716", "ON Semiconductor")</f>
        <v>ON Semiconductor</v>
      </c>
      <c r="C38660" s="6">
        <v>5000</v>
      </c>
      <c r="D38660" s="7">
        <v>2.38</v>
      </c>
      <c r="E38660" t="s">
        <v>7</v>
      </c>
    </row>
    <row r="38661" spans="1:5" x14ac:dyDescent="0.25">
      <c r="A38661" t="str">
        <f>HYPERLINK("https://www.773grp.com/globalSearch/NCP5386MNR2G/page-1", "NCP5386MNR2G")</f>
        <v>NCP5386MNR2G</v>
      </c>
      <c r="B38661" s="3" t="str">
        <f>HYPERLINK("https://www.773grp.com/manufacturer/onsemi?pageNo=717", "ON Semiconductor")</f>
        <v>ON Semiconductor</v>
      </c>
      <c r="C38661" s="6">
        <v>27507</v>
      </c>
      <c r="D38661" s="7">
        <v>2.38</v>
      </c>
      <c r="E38661" t="s">
        <v>7</v>
      </c>
    </row>
    <row r="38662" spans="1:5" x14ac:dyDescent="0.25">
      <c r="A38662" t="str">
        <f>HYPERLINK("https://www.773grp.com/globalSearch/NCP5623CMUTBG/page-1", "NCP5623CMUTBG")</f>
        <v>NCP5623CMUTBG</v>
      </c>
      <c r="B38662" s="3" t="str">
        <f>HYPERLINK("https://www.773grp.com/manufacturer/onsemi?pageNo=718", "ON Semiconductor")</f>
        <v>ON Semiconductor</v>
      </c>
      <c r="C38662" s="6">
        <v>6000</v>
      </c>
      <c r="D38662" s="7">
        <v>2.38</v>
      </c>
    </row>
    <row r="38663" spans="1:5" x14ac:dyDescent="0.25">
      <c r="A38663" t="str">
        <f>HYPERLINK("https://www.773grp.com/globalSearch/NCP5623DTBR2G/page-1", "NCP5623DTBR2G")</f>
        <v>NCP5623DTBR2G</v>
      </c>
      <c r="B38663" s="3" t="str">
        <f>HYPERLINK("https://www.773grp.com/manufacturer/onsemi?pageNo=719", "ON Semiconductor")</f>
        <v>ON Semiconductor</v>
      </c>
      <c r="C38663" s="6">
        <v>30790</v>
      </c>
      <c r="D38663" s="7">
        <v>2.38</v>
      </c>
    </row>
    <row r="38664" spans="1:5" x14ac:dyDescent="0.25">
      <c r="A38664" t="str">
        <f>HYPERLINK("https://www.773grp.com/globalSearch/NCP6131S52MNR2G/page-1", "NCP6131S52MNR2G")</f>
        <v>NCP6131S52MNR2G</v>
      </c>
      <c r="B38664" s="3" t="str">
        <f>HYPERLINK("https://www.773grp.com/manufacturer/onsemi?pageNo=720", "ON Semiconductor")</f>
        <v>ON Semiconductor</v>
      </c>
      <c r="C38664" s="6">
        <v>7500</v>
      </c>
      <c r="D38664" s="7">
        <v>2.38</v>
      </c>
    </row>
    <row r="38665" spans="1:5" x14ac:dyDescent="0.25">
      <c r="A38665" t="str">
        <f>HYPERLINK("https://www.773grp.com/globalSearch/NCP623DM-33R2G/page-1", "NCP623DM-33R2G")</f>
        <v>NCP623DM-33R2G</v>
      </c>
      <c r="B38665" s="3" t="str">
        <f>HYPERLINK("https://www.773grp.com/manufacturer/onsemi?pageNo=721", "ON Semiconductor")</f>
        <v>ON Semiconductor</v>
      </c>
      <c r="C38665" s="6">
        <v>4000</v>
      </c>
      <c r="D38665" s="7">
        <v>2.38</v>
      </c>
      <c r="E38665" t="s">
        <v>19</v>
      </c>
    </row>
    <row r="38666" spans="1:5" x14ac:dyDescent="0.25">
      <c r="A38666" t="str">
        <f>HYPERLINK("https://www.773grp.com/globalSearch/NCP623DM-40R2/page-1", "NCP623DM-40R2")</f>
        <v>NCP623DM-40R2</v>
      </c>
      <c r="B38666" s="3" t="str">
        <f>HYPERLINK("https://www.773grp.com/manufacturer/onsemi?pageNo=722", "ON Semiconductor")</f>
        <v>ON Semiconductor</v>
      </c>
      <c r="C38666" s="6">
        <v>4000</v>
      </c>
      <c r="D38666" s="7">
        <v>2.38</v>
      </c>
      <c r="E38666" t="s">
        <v>19</v>
      </c>
    </row>
    <row r="38667" spans="1:5" x14ac:dyDescent="0.25">
      <c r="A38667" t="str">
        <f>HYPERLINK("https://www.773grp.com/globalSearch/NCP623DM-50R2G/page-1", "NCP623DM-50R2G")</f>
        <v>NCP623DM-50R2G</v>
      </c>
      <c r="B38667" s="3" t="str">
        <f>HYPERLINK("https://www.773grp.com/manufacturer/onsemi?pageNo=723", "ON Semiconductor")</f>
        <v>ON Semiconductor</v>
      </c>
      <c r="C38667" s="6">
        <v>4000</v>
      </c>
      <c r="D38667" s="7">
        <v>2.38</v>
      </c>
      <c r="E38667" t="s">
        <v>19</v>
      </c>
    </row>
    <row r="38668" spans="1:5" x14ac:dyDescent="0.25">
      <c r="A38668" t="str">
        <f>HYPERLINK("https://www.773grp.com/globalSearch/NCT1008CMN3R2G/page-1", "NCT1008CMN3R2G")</f>
        <v>NCT1008CMN3R2G</v>
      </c>
      <c r="B38668" s="3" t="str">
        <f>HYPERLINK("https://www.773grp.com/manufacturer/onsemi?pageNo=724", "ON Semiconductor")</f>
        <v>ON Semiconductor</v>
      </c>
      <c r="C38668" s="6">
        <v>24000</v>
      </c>
      <c r="D38668" s="7">
        <v>2.38</v>
      </c>
    </row>
    <row r="38669" spans="1:5" x14ac:dyDescent="0.25">
      <c r="A38669" t="str">
        <f>HYPERLINK("https://www.773grp.com/globalSearch/NCT1008CMT3R2G/page-1", "NCT1008CMT3R2G")</f>
        <v>NCT1008CMT3R2G</v>
      </c>
      <c r="B38669" s="3" t="str">
        <f>HYPERLINK("https://www.773grp.com/manufacturer/onsemi?pageNo=725", "ON Semiconductor")</f>
        <v>ON Semiconductor</v>
      </c>
      <c r="C38669" s="6">
        <v>210000</v>
      </c>
      <c r="D38669" s="7">
        <v>2.38</v>
      </c>
      <c r="E38669" t="s">
        <v>40</v>
      </c>
    </row>
    <row r="38670" spans="1:5" x14ac:dyDescent="0.25">
      <c r="A38670" t="str">
        <f>HYPERLINK("https://www.773grp.com/globalSearch/NCV2931AD-5.0R2/page-1", "NCV2931AD-5.0R2")</f>
        <v>NCV2931AD-5.0R2</v>
      </c>
      <c r="B38670" s="3" t="str">
        <f>HYPERLINK("https://www.773grp.com/manufacturer/onsemi?pageNo=726", "ON Semiconductor")</f>
        <v>ON Semiconductor</v>
      </c>
      <c r="C38670" s="6">
        <v>55000</v>
      </c>
      <c r="D38670" s="7">
        <v>2.38</v>
      </c>
      <c r="E38670" t="s">
        <v>19</v>
      </c>
    </row>
    <row r="38671" spans="1:5" x14ac:dyDescent="0.25">
      <c r="A38671" t="str">
        <f>HYPERLINK("https://www.773grp.com/globalSearch/NCV2931CDR2G/page-1", "NCV2931CDR2G")</f>
        <v>NCV2931CDR2G</v>
      </c>
      <c r="B38671" s="3" t="str">
        <f>HYPERLINK("https://www.773grp.com/manufacturer/onsemi?pageNo=727", "ON Semiconductor")</f>
        <v>ON Semiconductor</v>
      </c>
      <c r="C38671" s="6">
        <v>3654</v>
      </c>
      <c r="D38671" s="7">
        <v>2.38</v>
      </c>
    </row>
    <row r="38672" spans="1:5" x14ac:dyDescent="0.25">
      <c r="A38672" t="str">
        <f>HYPERLINK("https://www.773grp.com/globalSearch/NCV4275ADS50R4G/page-1", "NCV4275ADS50R4G")</f>
        <v>NCV4275ADS50R4G</v>
      </c>
      <c r="B38672" s="3" t="str">
        <f>HYPERLINK("https://www.773grp.com/manufacturer/onsemi?pageNo=728", "ON Semiconductor")</f>
        <v>ON Semiconductor</v>
      </c>
      <c r="C38672" s="6">
        <v>39555</v>
      </c>
      <c r="D38672" s="7">
        <v>2.38</v>
      </c>
      <c r="E38672" t="s">
        <v>19</v>
      </c>
    </row>
    <row r="38673" spans="1:5" x14ac:dyDescent="0.25">
      <c r="A38673" t="str">
        <f>HYPERLINK("https://www.773grp.com/globalSearch/NCV8406STT3G/page-1", "NCV8406STT3G")</f>
        <v>NCV8406STT3G</v>
      </c>
      <c r="B38673" s="3" t="str">
        <f>HYPERLINK("https://www.773grp.com/manufacturer/onsemi?pageNo=729", "ON Semiconductor")</f>
        <v>ON Semiconductor</v>
      </c>
      <c r="C38673" s="6">
        <v>3000</v>
      </c>
      <c r="D38673" s="7">
        <v>2.38</v>
      </c>
    </row>
    <row r="38674" spans="1:5" x14ac:dyDescent="0.25">
      <c r="A38674" t="str">
        <f>HYPERLINK("https://www.773grp.com/globalSearch/NE5534DG/page-1", "NE5534DG")</f>
        <v>NE5534DG</v>
      </c>
      <c r="B38674" s="3" t="str">
        <f>HYPERLINK("https://www.773grp.com/manufacturer/onsemi?pageNo=730", "ON Semiconductor")</f>
        <v>ON Semiconductor</v>
      </c>
      <c r="C38674" s="6">
        <v>1353</v>
      </c>
      <c r="D38674" s="7">
        <v>2.38</v>
      </c>
    </row>
    <row r="38675" spans="1:5" x14ac:dyDescent="0.25">
      <c r="A38675" t="str">
        <f>HYPERLINK("https://www.773grp.com/globalSearch/NE5534DR2G/page-1", "NE5534DR2G")</f>
        <v>NE5534DR2G</v>
      </c>
      <c r="B38675" s="3" t="str">
        <f>HYPERLINK("https://www.773grp.com/manufacturer/onsemi?pageNo=731", "ON Semiconductor")</f>
        <v>ON Semiconductor</v>
      </c>
      <c r="C38675" s="6">
        <v>2428</v>
      </c>
      <c r="D38675" s="7">
        <v>2.38</v>
      </c>
    </row>
    <row r="38676" spans="1:5" x14ac:dyDescent="0.25">
      <c r="A38676" t="str">
        <f>HYPERLINK("https://www.773grp.com/globalSearch/NGD8201ANT4G/page-1", "NGD8201ANT4G")</f>
        <v>NGD8201ANT4G</v>
      </c>
      <c r="B38676" s="3" t="str">
        <f>HYPERLINK("https://www.773grp.com/manufacturer/onsemi?pageNo=732", "ON Semiconductor")</f>
        <v>ON Semiconductor</v>
      </c>
      <c r="C38676" s="6">
        <v>37500</v>
      </c>
      <c r="D38676" s="7">
        <v>2.38</v>
      </c>
    </row>
    <row r="38677" spans="1:5" x14ac:dyDescent="0.25">
      <c r="A38677" t="str">
        <f>HYPERLINK("https://www.773grp.com/globalSearch/NGTB15N60EG/page-1", "NGTB15N60EG")</f>
        <v>NGTB15N60EG</v>
      </c>
      <c r="B38677" s="3" t="str">
        <f>HYPERLINK("https://www.773grp.com/manufacturer/onsemi?pageNo=733", "ON Semiconductor")</f>
        <v>ON Semiconductor</v>
      </c>
      <c r="C38677" s="6">
        <v>640</v>
      </c>
      <c r="D38677" s="7">
        <v>2.38</v>
      </c>
    </row>
    <row r="38678" spans="1:5" x14ac:dyDescent="0.25">
      <c r="A38678" t="str">
        <f>HYPERLINK("https://www.773grp.com/globalSearch/NGTB15N60S1EG/page-1", "NGTB15N60S1EG")</f>
        <v>NGTB15N60S1EG</v>
      </c>
      <c r="B38678" s="3" t="str">
        <f>HYPERLINK("https://www.773grp.com/manufacturer/onsemi?pageNo=734", "ON Semiconductor")</f>
        <v>ON Semiconductor</v>
      </c>
      <c r="C38678" s="6">
        <v>700</v>
      </c>
      <c r="D38678" s="7">
        <v>2.38</v>
      </c>
    </row>
    <row r="38679" spans="1:5" x14ac:dyDescent="0.25">
      <c r="A38679" t="str">
        <f>HYPERLINK("https://www.773grp.com/globalSearch/NLAS4717EPFCT1G/page-1", "NLAS4717EPFCT1G")</f>
        <v>NLAS4717EPFCT1G</v>
      </c>
      <c r="B38679" s="3" t="str">
        <f>HYPERLINK("https://www.773grp.com/manufacturer/onsemi?pageNo=735", "ON Semiconductor")</f>
        <v>ON Semiconductor</v>
      </c>
      <c r="C38679" s="6">
        <v>16037</v>
      </c>
      <c r="D38679" s="7">
        <v>2.38</v>
      </c>
      <c r="E38679" t="s">
        <v>56</v>
      </c>
    </row>
    <row r="38680" spans="1:5" x14ac:dyDescent="0.25">
      <c r="A38680" t="str">
        <f>HYPERLINK("https://www.773grp.com/globalSearch/NLAS4783MN1R2G/page-1", "NLAS4783MN1R2G")</f>
        <v>NLAS4783MN1R2G</v>
      </c>
      <c r="B38680" s="3" t="str">
        <f>HYPERLINK("https://www.773grp.com/manufacturer/onsemi?pageNo=736", "ON Semiconductor")</f>
        <v>ON Semiconductor</v>
      </c>
      <c r="C38680" s="6">
        <v>95429</v>
      </c>
      <c r="D38680" s="7">
        <v>2.38</v>
      </c>
      <c r="E38680" t="s">
        <v>56</v>
      </c>
    </row>
    <row r="38681" spans="1:5" x14ac:dyDescent="0.25">
      <c r="A38681" t="str">
        <f>HYPERLINK("https://www.773grp.com/globalSearch/NLSV2T240MUTAG/page-1", "NLSV2T240MUTAG")</f>
        <v>NLSV2T240MUTAG</v>
      </c>
      <c r="B38681" s="3" t="str">
        <f>HYPERLINK("https://www.773grp.com/manufacturer/onsemi?pageNo=737", "ON Semiconductor")</f>
        <v>ON Semiconductor</v>
      </c>
      <c r="C38681" s="6">
        <v>68916</v>
      </c>
      <c r="D38681" s="7">
        <v>2.38</v>
      </c>
      <c r="E38681" t="s">
        <v>14</v>
      </c>
    </row>
    <row r="38682" spans="1:5" x14ac:dyDescent="0.25">
      <c r="A38682" t="str">
        <f>HYPERLINK("https://www.773grp.com/globalSearch/NLSV2T244DMR2G/page-1", "NLSV2T244DMR2G")</f>
        <v>NLSV2T244DMR2G</v>
      </c>
      <c r="B38682" s="3" t="str">
        <f>HYPERLINK("https://www.773grp.com/manufacturer/onsemi?pageNo=738", "ON Semiconductor")</f>
        <v>ON Semiconductor</v>
      </c>
      <c r="C38682" s="6">
        <v>16000</v>
      </c>
      <c r="D38682" s="7">
        <v>2.38</v>
      </c>
    </row>
    <row r="38683" spans="1:5" x14ac:dyDescent="0.25">
      <c r="A38683" t="str">
        <f>HYPERLINK("https://www.773grp.com/globalSearch/NLSV2T244MUTAG/page-1", "NLSV2T244MUTAG")</f>
        <v>NLSV2T244MUTAG</v>
      </c>
      <c r="B38683" s="3" t="str">
        <f>HYPERLINK("https://www.773grp.com/manufacturer/onsemi?pageNo=739", "ON Semiconductor")</f>
        <v>ON Semiconductor</v>
      </c>
      <c r="C38683" s="6">
        <v>201000</v>
      </c>
      <c r="D38683" s="7">
        <v>2.38</v>
      </c>
      <c r="E38683" t="s">
        <v>74</v>
      </c>
    </row>
    <row r="38684" spans="1:5" x14ac:dyDescent="0.25">
      <c r="A38684" t="str">
        <f>HYPERLINK("https://www.773grp.com/globalSearch/NTB45N06L/page-1", "NTB45N06L")</f>
        <v>NTB45N06L</v>
      </c>
      <c r="B38684" s="3" t="str">
        <f>HYPERLINK("https://www.773grp.com/manufacturer/onsemi?pageNo=740", "ON Semiconductor")</f>
        <v>ON Semiconductor</v>
      </c>
      <c r="C38684" s="6">
        <v>550</v>
      </c>
      <c r="D38684" s="7">
        <v>2.38</v>
      </c>
      <c r="E38684" t="s">
        <v>105</v>
      </c>
    </row>
    <row r="38685" spans="1:5" x14ac:dyDescent="0.25">
      <c r="A38685" t="str">
        <f>HYPERLINK("https://www.773grp.com/globalSearch/NTMD3P03R2G/page-1", "NTMD3P03R2G")</f>
        <v>NTMD3P03R2G</v>
      </c>
      <c r="B38685" s="3" t="str">
        <f>HYPERLINK("https://www.773grp.com/manufacturer/onsemi?pageNo=741", "ON Semiconductor")</f>
        <v>ON Semiconductor</v>
      </c>
      <c r="C38685" s="6">
        <v>15438</v>
      </c>
      <c r="D38685" s="7">
        <v>2.38</v>
      </c>
      <c r="E38685" t="s">
        <v>106</v>
      </c>
    </row>
    <row r="38686" spans="1:5" x14ac:dyDescent="0.25">
      <c r="A38686" t="str">
        <f>HYPERLINK("https://www.773grp.com/globalSearch/NTMFS4108NT1G/page-1", "NTMFS4108NT1G")</f>
        <v>NTMFS4108NT1G</v>
      </c>
      <c r="B38686" s="3" t="str">
        <f>HYPERLINK("https://www.773grp.com/manufacturer/onsemi?pageNo=742", "ON Semiconductor")</f>
        <v>ON Semiconductor</v>
      </c>
      <c r="C38686" s="6">
        <v>17942</v>
      </c>
      <c r="D38686" s="7">
        <v>2.38</v>
      </c>
      <c r="E38686" t="s">
        <v>105</v>
      </c>
    </row>
    <row r="38687" spans="1:5" x14ac:dyDescent="0.25">
      <c r="A38687" t="str">
        <f>HYPERLINK("https://www.773grp.com/globalSearch/NTMFS4108NT3G/page-1", "NTMFS4108NT3G")</f>
        <v>NTMFS4108NT3G</v>
      </c>
      <c r="B38687" s="3" t="str">
        <f>HYPERLINK("https://www.773grp.com/manufacturer/onsemi?pageNo=743", "ON Semiconductor")</f>
        <v>ON Semiconductor</v>
      </c>
      <c r="C38687" s="6">
        <v>15000</v>
      </c>
      <c r="D38687" s="7">
        <v>2.38</v>
      </c>
      <c r="E38687" t="s">
        <v>105</v>
      </c>
    </row>
    <row r="38688" spans="1:5" x14ac:dyDescent="0.25">
      <c r="A38688" t="str">
        <f>HYPERLINK("https://www.773grp.com/globalSearch/NTMFS4898NFT1G/page-1", "NTMFS4898NFT1G")</f>
        <v>NTMFS4898NFT1G</v>
      </c>
      <c r="B38688" s="3" t="str">
        <f>HYPERLINK("https://www.773grp.com/manufacturer/onsemi?pageNo=744", "ON Semiconductor")</f>
        <v>ON Semiconductor</v>
      </c>
      <c r="C38688" s="6">
        <v>19315</v>
      </c>
      <c r="D38688" s="7">
        <v>2.38</v>
      </c>
      <c r="E38688" t="s">
        <v>105</v>
      </c>
    </row>
    <row r="38689" spans="1:5" x14ac:dyDescent="0.25">
      <c r="A38689" t="str">
        <f>HYPERLINK("https://www.773grp.com/globalSearch/NTMFS4898NFT3G/page-1", "NTMFS4898NFT3G")</f>
        <v>NTMFS4898NFT3G</v>
      </c>
      <c r="B38689" s="3" t="str">
        <f>HYPERLINK("https://www.773grp.com/manufacturer/onsemi?pageNo=745", "ON Semiconductor")</f>
        <v>ON Semiconductor</v>
      </c>
      <c r="C38689" s="6">
        <v>5771</v>
      </c>
      <c r="D38689" s="7">
        <v>2.38</v>
      </c>
    </row>
    <row r="38690" spans="1:5" x14ac:dyDescent="0.25">
      <c r="A38690" t="str">
        <f>HYPERLINK("https://www.773grp.com/globalSearch/NTMS4939NR2G/page-1", "NTMS4939NR2G")</f>
        <v>NTMS4939NR2G</v>
      </c>
      <c r="B38690" s="3" t="str">
        <f>HYPERLINK("https://www.773grp.com/manufacturer/onsemi?pageNo=746", "ON Semiconductor")</f>
        <v>ON Semiconductor</v>
      </c>
      <c r="C38690" s="6">
        <v>135000</v>
      </c>
      <c r="D38690" s="7">
        <v>2.38</v>
      </c>
    </row>
    <row r="38691" spans="1:5" x14ac:dyDescent="0.25">
      <c r="A38691" t="str">
        <f>HYPERLINK("https://www.773grp.com/globalSearch/NUF9002FCT1/page-1", "NUF9002FCT1")</f>
        <v>NUF9002FCT1</v>
      </c>
      <c r="B38691" s="3" t="str">
        <f>HYPERLINK("https://www.773grp.com/manufacturer/onsemi?pageNo=747", "ON Semiconductor")</f>
        <v>ON Semiconductor</v>
      </c>
      <c r="C38691" s="6">
        <v>48000</v>
      </c>
      <c r="D38691" s="7">
        <v>2.38</v>
      </c>
      <c r="E38691" t="s">
        <v>100</v>
      </c>
    </row>
    <row r="38692" spans="1:5" x14ac:dyDescent="0.25">
      <c r="A38692" t="str">
        <f>HYPERLINK("https://www.773grp.com/globalSearch/NVTFS5116PLTAG/page-1", "NVTFS5116PLTAG")</f>
        <v>NVTFS5116PLTAG</v>
      </c>
      <c r="B38692" s="3" t="str">
        <f>HYPERLINK("https://www.773grp.com/manufacturer/onsemi?pageNo=748", "ON Semiconductor")</f>
        <v>ON Semiconductor</v>
      </c>
      <c r="C38692" s="6">
        <v>118500</v>
      </c>
      <c r="D38692" s="7">
        <v>2.38</v>
      </c>
    </row>
    <row r="38693" spans="1:5" x14ac:dyDescent="0.25">
      <c r="A38693" t="str">
        <f>HYPERLINK("https://www.773grp.com/globalSearch/NVTFS5116PLTWG/page-1", "NVTFS5116PLTWG")</f>
        <v>NVTFS5116PLTWG</v>
      </c>
      <c r="B38693" s="3" t="str">
        <f>HYPERLINK("https://www.773grp.com/manufacturer/onsemi?pageNo=749", "ON Semiconductor")</f>
        <v>ON Semiconductor</v>
      </c>
      <c r="C38693" s="6">
        <v>15000</v>
      </c>
      <c r="D38693" s="7">
        <v>2.38</v>
      </c>
    </row>
    <row r="38694" spans="1:5" x14ac:dyDescent="0.25">
      <c r="A38694" t="str">
        <f>HYPERLINK("https://www.773grp.com/globalSearch/PCS3P8504AG-08CR/page-1", "PCS3P8504AG-08CR")</f>
        <v>PCS3P8504AG-08CR</v>
      </c>
      <c r="B38694" s="3" t="str">
        <f>HYPERLINK("https://www.773grp.com/manufacturer/onsemi?pageNo=750", "ON Semiconductor")</f>
        <v>ON Semiconductor</v>
      </c>
      <c r="C38694" s="6">
        <v>420000</v>
      </c>
      <c r="D38694" s="7">
        <v>2.38</v>
      </c>
      <c r="E38694" t="s">
        <v>79</v>
      </c>
    </row>
    <row r="38695" spans="1:5" x14ac:dyDescent="0.25">
      <c r="A38695" t="str">
        <f>HYPERLINK("https://www.773grp.com/globalSearch/SN75175DR2/page-1", "SN75175DR2")</f>
        <v>SN75175DR2</v>
      </c>
      <c r="B38695" s="3" t="str">
        <f>HYPERLINK("https://www.773grp.com/manufacturer/onsemi?pageNo=751", "ON Semiconductor")</f>
        <v>ON Semiconductor</v>
      </c>
      <c r="C38695" s="6">
        <v>1561</v>
      </c>
      <c r="D38695" s="7">
        <v>2.38</v>
      </c>
      <c r="E38695" t="s">
        <v>21</v>
      </c>
    </row>
    <row r="38696" spans="1:5" x14ac:dyDescent="0.25">
      <c r="A38696" t="str">
        <f>HYPERLINK("https://www.773grp.com/globalSearch/TL594CDTBG/page-1", "TL594CDTBG")</f>
        <v>TL594CDTBG</v>
      </c>
      <c r="B38696" s="3" t="str">
        <f>HYPERLINK("https://www.773grp.com/manufacturer/onsemi?pageNo=752", "ON Semiconductor")</f>
        <v>ON Semiconductor</v>
      </c>
      <c r="C38696" s="6">
        <v>4680</v>
      </c>
      <c r="D38696" s="7">
        <v>2.38</v>
      </c>
      <c r="E38696" t="s">
        <v>7</v>
      </c>
    </row>
    <row r="38697" spans="1:5" x14ac:dyDescent="0.25">
      <c r="A38697" t="str">
        <f>HYPERLINK("https://www.773grp.com/globalSearch/MMDF3N02HDR2/page-1", "MMDF3N02HDR2")</f>
        <v>MMDF3N02HDR2</v>
      </c>
      <c r="B38697" s="3" t="str">
        <f>HYPERLINK("https://www.773grp.com/manufacturer/onsemi?pageNo=753", "ON Semiconductor")</f>
        <v>ON Semiconductor</v>
      </c>
      <c r="C38697" s="6">
        <v>412</v>
      </c>
      <c r="D38697" s="7">
        <v>2.4300000000000002</v>
      </c>
      <c r="E38697" t="s">
        <v>105</v>
      </c>
    </row>
    <row r="38698" spans="1:5" x14ac:dyDescent="0.25">
      <c r="A38698" t="str">
        <f>HYPERLINK("https://www.773grp.com/globalSearch/2N6399G/page-1", "2N6399G")</f>
        <v>2N6399G</v>
      </c>
      <c r="B38698" s="3" t="str">
        <f>HYPERLINK("https://www.773grp.com/manufacturer/onsemi?pageNo=754", "ON Semiconductor")</f>
        <v>ON Semiconductor</v>
      </c>
      <c r="C38698" s="6">
        <v>2562</v>
      </c>
      <c r="D38698" s="7">
        <v>2.4300000000000002</v>
      </c>
    </row>
    <row r="38699" spans="1:5" x14ac:dyDescent="0.25">
      <c r="A38699" t="str">
        <f>HYPERLINK("https://www.773grp.com/globalSearch/BUL45D2G/page-1", "BUL45D2G")</f>
        <v>BUL45D2G</v>
      </c>
      <c r="B38699" s="3" t="str">
        <f>HYPERLINK("https://www.773grp.com/manufacturer/onsemi?pageNo=755", "ON Semiconductor")</f>
        <v>ON Semiconductor</v>
      </c>
      <c r="C38699" s="6">
        <v>11953</v>
      </c>
      <c r="D38699" s="7">
        <v>2.4300000000000002</v>
      </c>
      <c r="E38699" t="s">
        <v>59</v>
      </c>
    </row>
    <row r="38700" spans="1:5" x14ac:dyDescent="0.25">
      <c r="A38700" t="str">
        <f>HYPERLINK("https://www.773grp.com/globalSearch/CAT140169MWI-GT3/page-1", "CAT140169MWI-GT3")</f>
        <v>CAT140169MWI-GT3</v>
      </c>
      <c r="B38700" s="3" t="str">
        <f>HYPERLINK("https://www.773grp.com/manufacturer/onsemi?pageNo=756", "ON Semiconductor")</f>
        <v>ON Semiconductor</v>
      </c>
      <c r="C38700" s="6">
        <v>6000</v>
      </c>
      <c r="D38700" s="7">
        <v>2.4300000000000002</v>
      </c>
      <c r="E38700" t="s">
        <v>64</v>
      </c>
    </row>
    <row r="38701" spans="1:5" x14ac:dyDescent="0.25">
      <c r="A38701" t="str">
        <f>HYPERLINK("https://www.773grp.com/globalSearch/CS51411GDR8/page-1", "CS51411GDR8")</f>
        <v>CS51411GDR8</v>
      </c>
      <c r="B38701" s="3" t="str">
        <f>HYPERLINK("https://www.773grp.com/manufacturer/onsemi?pageNo=757", "ON Semiconductor")</f>
        <v>ON Semiconductor</v>
      </c>
      <c r="C38701" s="6">
        <v>9156</v>
      </c>
      <c r="D38701" s="7">
        <v>2.4300000000000002</v>
      </c>
      <c r="E38701" t="s">
        <v>7</v>
      </c>
    </row>
    <row r="38702" spans="1:5" x14ac:dyDescent="0.25">
      <c r="A38702" t="str">
        <f>HYPERLINK("https://www.773grp.com/globalSearch/LB1867M-TLM-E/page-1", "LB1867M-TLM-E")</f>
        <v>LB1867M-TLM-E</v>
      </c>
      <c r="B38702" s="3" t="str">
        <f>HYPERLINK("https://www.773grp.com/manufacturer/onsemi?pageNo=758", "ON Semiconductor")</f>
        <v>ON Semiconductor</v>
      </c>
      <c r="C38702" s="6">
        <v>87000</v>
      </c>
      <c r="D38702" s="7">
        <v>2.4300000000000002</v>
      </c>
    </row>
    <row r="38703" spans="1:5" x14ac:dyDescent="0.25">
      <c r="A38703" t="str">
        <f>HYPERLINK("https://www.773grp.com/globalSearch/LJF13007/page-1", "LJF13007")</f>
        <v>LJF13007</v>
      </c>
      <c r="B38703" s="3" t="str">
        <f>HYPERLINK("https://www.773grp.com/manufacturer/onsemi?pageNo=759", "ON Semiconductor")</f>
        <v>ON Semiconductor</v>
      </c>
      <c r="C38703" s="6">
        <v>23573</v>
      </c>
      <c r="D38703" s="7">
        <v>2.4300000000000002</v>
      </c>
    </row>
    <row r="38704" spans="1:5" x14ac:dyDescent="0.25">
      <c r="A38704" t="str">
        <f>HYPERLINK("https://www.773grp.com/globalSearch/MC33363P/page-1", "MC33363P")</f>
        <v>MC33363P</v>
      </c>
      <c r="B38704" s="3" t="str">
        <f>HYPERLINK("https://www.773grp.com/manufacturer/onsemi?pageNo=760", "ON Semiconductor")</f>
        <v>ON Semiconductor</v>
      </c>
      <c r="C38704" s="6">
        <v>248595</v>
      </c>
      <c r="D38704" s="7">
        <v>2.4300000000000002</v>
      </c>
      <c r="E38704" t="s">
        <v>7</v>
      </c>
    </row>
    <row r="38705" spans="1:5" x14ac:dyDescent="0.25">
      <c r="A38705" t="str">
        <f>HYPERLINK("https://www.773grp.com/globalSearch/MC34152DG/page-1", "MC34152DG")</f>
        <v>MC34152DG</v>
      </c>
      <c r="B38705" s="3" t="str">
        <f>HYPERLINK("https://www.773grp.com/manufacturer/onsemi?pageNo=761", "ON Semiconductor")</f>
        <v>ON Semiconductor</v>
      </c>
      <c r="C38705" s="6">
        <v>1609</v>
      </c>
      <c r="D38705" s="7">
        <v>2.4300000000000002</v>
      </c>
      <c r="E38705" t="s">
        <v>16</v>
      </c>
    </row>
    <row r="38706" spans="1:5" x14ac:dyDescent="0.25">
      <c r="A38706" t="str">
        <f>HYPERLINK("https://www.773grp.com/globalSearch/MC34152DR2G/page-1", "MC34152DR2G")</f>
        <v>MC34152DR2G</v>
      </c>
      <c r="B38706" s="3" t="str">
        <f>HYPERLINK("https://www.773grp.com/manufacturer/onsemi?pageNo=762", "ON Semiconductor")</f>
        <v>ON Semiconductor</v>
      </c>
      <c r="C38706" s="6">
        <v>12449</v>
      </c>
      <c r="D38706" s="7">
        <v>2.4300000000000002</v>
      </c>
      <c r="E38706" t="s">
        <v>16</v>
      </c>
    </row>
    <row r="38707" spans="1:5" x14ac:dyDescent="0.25">
      <c r="A38707" t="str">
        <f>HYPERLINK("https://www.773grp.com/globalSearch/MC34152PG/page-1", "MC34152PG")</f>
        <v>MC34152PG</v>
      </c>
      <c r="B38707" s="3" t="str">
        <f>HYPERLINK("https://www.773grp.com/manufacturer/onsemi?pageNo=763", "ON Semiconductor")</f>
        <v>ON Semiconductor</v>
      </c>
      <c r="C38707" s="6">
        <v>7190</v>
      </c>
      <c r="D38707" s="7">
        <v>2.4300000000000002</v>
      </c>
      <c r="E38707" t="s">
        <v>16</v>
      </c>
    </row>
    <row r="38708" spans="1:5" x14ac:dyDescent="0.25">
      <c r="A38708" t="str">
        <f>HYPERLINK("https://www.773grp.com/globalSearch/MC74AC160N/page-1", "MC74AC160N")</f>
        <v>MC74AC160N</v>
      </c>
      <c r="B38708" s="3" t="str">
        <f>HYPERLINK("https://www.773grp.com/manufacturer/onsemi?pageNo=764", "ON Semiconductor")</f>
        <v>ON Semiconductor</v>
      </c>
      <c r="C38708" s="6">
        <v>1130</v>
      </c>
      <c r="D38708" s="7">
        <v>2.4300000000000002</v>
      </c>
      <c r="E38708" t="s">
        <v>26</v>
      </c>
    </row>
    <row r="38709" spans="1:5" x14ac:dyDescent="0.25">
      <c r="A38709" t="str">
        <f>HYPERLINK("https://www.773grp.com/globalSearch/MC74AC190N/page-1", "MC74AC190N")</f>
        <v>MC74AC190N</v>
      </c>
      <c r="B38709" s="3" t="str">
        <f>HYPERLINK("https://www.773grp.com/manufacturer/onsemi?pageNo=765", "ON Semiconductor")</f>
        <v>ON Semiconductor</v>
      </c>
      <c r="C38709" s="6">
        <v>1455</v>
      </c>
      <c r="D38709" s="7">
        <v>2.4300000000000002</v>
      </c>
      <c r="E38709" t="s">
        <v>26</v>
      </c>
    </row>
    <row r="38710" spans="1:5" x14ac:dyDescent="0.25">
      <c r="A38710" t="str">
        <f>HYPERLINK("https://www.773grp.com/globalSearch/MC74AC533M/page-1", "MC74AC533M")</f>
        <v>MC74AC533M</v>
      </c>
      <c r="B38710" s="3" t="str">
        <f>HYPERLINK("https://www.773grp.com/manufacturer/onsemi?pageNo=766", "ON Semiconductor")</f>
        <v>ON Semiconductor</v>
      </c>
      <c r="C38710" s="6">
        <v>1600</v>
      </c>
      <c r="D38710" s="7">
        <v>2.4300000000000002</v>
      </c>
    </row>
    <row r="38711" spans="1:5" x14ac:dyDescent="0.25">
      <c r="A38711" t="str">
        <f>HYPERLINK("https://www.773grp.com/globalSearch/MC74AC533N/page-1", "MC74AC533N")</f>
        <v>MC74AC533N</v>
      </c>
      <c r="B38711" s="3" t="str">
        <f>HYPERLINK("https://www.773grp.com/manufacturer/onsemi?pageNo=767", "ON Semiconductor")</f>
        <v>ON Semiconductor</v>
      </c>
      <c r="C38711" s="6">
        <v>1069</v>
      </c>
      <c r="D38711" s="7">
        <v>2.4300000000000002</v>
      </c>
      <c r="E38711" t="s">
        <v>14</v>
      </c>
    </row>
    <row r="38712" spans="1:5" x14ac:dyDescent="0.25">
      <c r="A38712" t="str">
        <f>HYPERLINK("https://www.773grp.com/globalSearch/MC74F640DW/page-1", "MC74F640DW")</f>
        <v>MC74F640DW</v>
      </c>
      <c r="B38712" s="3" t="str">
        <f>HYPERLINK("https://www.773grp.com/manufacturer/onsemi?pageNo=768", "ON Semiconductor")</f>
        <v>ON Semiconductor</v>
      </c>
      <c r="C38712" s="6">
        <v>4852</v>
      </c>
      <c r="D38712" s="7">
        <v>2.4300000000000002</v>
      </c>
      <c r="E38712" t="s">
        <v>14</v>
      </c>
    </row>
    <row r="38713" spans="1:5" x14ac:dyDescent="0.25">
      <c r="A38713" t="str">
        <f>HYPERLINK("https://www.773grp.com/globalSearch/MC74F640DWR2/page-1", "MC74F640DWR2")</f>
        <v>MC74F640DWR2</v>
      </c>
      <c r="B38713" s="3" t="str">
        <f>HYPERLINK("https://www.773grp.com/manufacturer/onsemi?pageNo=769", "ON Semiconductor")</f>
        <v>ON Semiconductor</v>
      </c>
      <c r="C38713" s="6">
        <v>2000</v>
      </c>
      <c r="D38713" s="7">
        <v>2.4300000000000002</v>
      </c>
      <c r="E38713" t="s">
        <v>14</v>
      </c>
    </row>
    <row r="38714" spans="1:5" x14ac:dyDescent="0.25">
      <c r="A38714" t="str">
        <f>HYPERLINK("https://www.773grp.com/globalSearch/MC74F640N/page-1", "MC74F640N")</f>
        <v>MC74F640N</v>
      </c>
      <c r="B38714" s="3" t="str">
        <f>HYPERLINK("https://www.773grp.com/manufacturer/onsemi?pageNo=770", "ON Semiconductor")</f>
        <v>ON Semiconductor</v>
      </c>
      <c r="C38714" s="6">
        <v>3910</v>
      </c>
      <c r="D38714" s="7">
        <v>2.4300000000000002</v>
      </c>
      <c r="E38714" t="s">
        <v>14</v>
      </c>
    </row>
    <row r="38715" spans="1:5" x14ac:dyDescent="0.25">
      <c r="A38715" t="str">
        <f>HYPERLINK("https://www.773grp.com/globalSearch/MJ2955/page-1", "MJ2955")</f>
        <v>MJ2955</v>
      </c>
      <c r="B38715" s="3" t="str">
        <f>HYPERLINK("https://www.773grp.com/manufacturer/onsemi?pageNo=771", "ON Semiconductor")</f>
        <v>ON Semiconductor</v>
      </c>
      <c r="C38715" s="6">
        <v>447</v>
      </c>
      <c r="D38715" s="7">
        <v>2.4300000000000002</v>
      </c>
      <c r="E38715" t="s">
        <v>59</v>
      </c>
    </row>
    <row r="38716" spans="1:5" x14ac:dyDescent="0.25">
      <c r="A38716" t="str">
        <f>HYPERLINK("https://www.773grp.com/globalSearch/MJE15029G/page-1", "MJE15029G")</f>
        <v>MJE15029G</v>
      </c>
      <c r="B38716" s="3" t="str">
        <f>HYPERLINK("https://www.773grp.com/manufacturer/onsemi?pageNo=772", "ON Semiconductor")</f>
        <v>ON Semiconductor</v>
      </c>
      <c r="C38716" s="6">
        <v>8793</v>
      </c>
      <c r="D38716" s="7">
        <v>2.4300000000000002</v>
      </c>
      <c r="E38716" t="s">
        <v>59</v>
      </c>
    </row>
    <row r="38717" spans="1:5" x14ac:dyDescent="0.25">
      <c r="A38717" t="str">
        <f>HYPERLINK("https://www.773grp.com/globalSearch/MJE15030G/page-1", "MJE15030G")</f>
        <v>MJE15030G</v>
      </c>
      <c r="B38717" s="3" t="str">
        <f>HYPERLINK("https://www.773grp.com/manufacturer/onsemi?pageNo=773", "ON Semiconductor")</f>
        <v>ON Semiconductor</v>
      </c>
      <c r="C38717" s="6">
        <v>14925</v>
      </c>
      <c r="D38717" s="7">
        <v>2.4300000000000002</v>
      </c>
      <c r="E38717" t="s">
        <v>59</v>
      </c>
    </row>
    <row r="38718" spans="1:5" x14ac:dyDescent="0.25">
      <c r="A38718" t="str">
        <f>HYPERLINK("https://www.773grp.com/globalSearch/MJE15031G/page-1", "MJE15031G")</f>
        <v>MJE15031G</v>
      </c>
      <c r="B38718" s="3" t="str">
        <f>HYPERLINK("https://www.773grp.com/manufacturer/onsemi?pageNo=774", "ON Semiconductor")</f>
        <v>ON Semiconductor</v>
      </c>
      <c r="C38718" s="6">
        <v>32963</v>
      </c>
      <c r="D38718" s="7">
        <v>2.4300000000000002</v>
      </c>
      <c r="E38718" t="s">
        <v>59</v>
      </c>
    </row>
    <row r="38719" spans="1:5" x14ac:dyDescent="0.25">
      <c r="A38719" t="str">
        <f>HYPERLINK("https://www.773grp.com/globalSearch/MJE15032G/page-1", "MJE15032G")</f>
        <v>MJE15032G</v>
      </c>
      <c r="B38719" s="3" t="str">
        <f>HYPERLINK("https://www.773grp.com/manufacturer/onsemi?pageNo=775", "ON Semiconductor")</f>
        <v>ON Semiconductor</v>
      </c>
      <c r="C38719" s="6">
        <v>9399</v>
      </c>
      <c r="D38719" s="7">
        <v>2.4300000000000002</v>
      </c>
      <c r="E38719" t="s">
        <v>59</v>
      </c>
    </row>
    <row r="38720" spans="1:5" x14ac:dyDescent="0.25">
      <c r="A38720" t="str">
        <f>HYPERLINK("https://www.773grp.com/globalSearch/MJE15033G/page-1", "MJE15033G")</f>
        <v>MJE15033G</v>
      </c>
      <c r="B38720" s="3" t="str">
        <f>HYPERLINK("https://www.773grp.com/manufacturer/onsemi?pageNo=776", "ON Semiconductor")</f>
        <v>ON Semiconductor</v>
      </c>
      <c r="C38720" s="6">
        <v>775</v>
      </c>
      <c r="D38720" s="7">
        <v>2.4300000000000002</v>
      </c>
      <c r="E38720" t="s">
        <v>59</v>
      </c>
    </row>
    <row r="38721" spans="1:5" x14ac:dyDescent="0.25">
      <c r="A38721" t="str">
        <f>HYPERLINK("https://www.773grp.com/globalSearch/MJE5730G/page-1", "MJE5730G")</f>
        <v>MJE5730G</v>
      </c>
      <c r="B38721" s="3" t="str">
        <f>HYPERLINK("https://www.773grp.com/manufacturer/onsemi?pageNo=777", "ON Semiconductor")</f>
        <v>ON Semiconductor</v>
      </c>
      <c r="C38721" s="6">
        <v>165</v>
      </c>
      <c r="D38721" s="7">
        <v>2.4300000000000002</v>
      </c>
      <c r="E38721" t="s">
        <v>59</v>
      </c>
    </row>
    <row r="38722" spans="1:5" x14ac:dyDescent="0.25">
      <c r="A38722" t="str">
        <f>HYPERLINK("https://www.773grp.com/globalSearch/MJE5731AG/page-1", "MJE5731AG")</f>
        <v>MJE5731AG</v>
      </c>
      <c r="B38722" s="3" t="str">
        <f>HYPERLINK("https://www.773grp.com/manufacturer/onsemi?pageNo=778", "ON Semiconductor")</f>
        <v>ON Semiconductor</v>
      </c>
      <c r="C38722" s="6">
        <v>15</v>
      </c>
      <c r="D38722" s="7">
        <v>2.4300000000000002</v>
      </c>
      <c r="E38722" t="s">
        <v>59</v>
      </c>
    </row>
    <row r="38723" spans="1:5" x14ac:dyDescent="0.25">
      <c r="A38723" t="str">
        <f>HYPERLINK("https://www.773grp.com/globalSearch/MMDF3N02HDR2/page-1", "MMDF3N02HDR2")</f>
        <v>MMDF3N02HDR2</v>
      </c>
      <c r="B38723" s="3" t="str">
        <f>HYPERLINK("https://www.773grp.com/manufacturer/onsemi?pageNo=779", "ON Semiconductor")</f>
        <v>ON Semiconductor</v>
      </c>
      <c r="C38723" s="6">
        <v>18220</v>
      </c>
      <c r="D38723" s="7">
        <v>2.4300000000000002</v>
      </c>
      <c r="E38723" t="s">
        <v>105</v>
      </c>
    </row>
    <row r="38724" spans="1:5" x14ac:dyDescent="0.25">
      <c r="A38724" t="str">
        <f>HYPERLINK("https://www.773grp.com/globalSearch/MMDF3N02HDR2G/page-1", "MMDF3N02HDR2G")</f>
        <v>MMDF3N02HDR2G</v>
      </c>
      <c r="B38724" s="3" t="str">
        <f>HYPERLINK("https://www.773grp.com/manufacturer/onsemi?pageNo=780", "ON Semiconductor")</f>
        <v>ON Semiconductor</v>
      </c>
      <c r="C38724" s="6">
        <v>19500</v>
      </c>
      <c r="D38724" s="7">
        <v>2.4300000000000002</v>
      </c>
      <c r="E38724" t="s">
        <v>105</v>
      </c>
    </row>
    <row r="38725" spans="1:5" x14ac:dyDescent="0.25">
      <c r="A38725" t="str">
        <f>HYPERLINK("https://www.773grp.com/globalSearch/MMDF3N04HDR2G/page-1", "MMDF3N04HDR2G")</f>
        <v>MMDF3N04HDR2G</v>
      </c>
      <c r="B38725" s="3" t="str">
        <f>HYPERLINK("https://www.773grp.com/manufacturer/onsemi?pageNo=781", "ON Semiconductor")</f>
        <v>ON Semiconductor</v>
      </c>
      <c r="C38725" s="6">
        <v>275</v>
      </c>
      <c r="D38725" s="7">
        <v>2.4300000000000002</v>
      </c>
      <c r="E38725" t="s">
        <v>106</v>
      </c>
    </row>
    <row r="38726" spans="1:5" x14ac:dyDescent="0.25">
      <c r="A38726" t="str">
        <f>HYPERLINK("https://www.773grp.com/globalSearch/MTB52N06VL/page-1", "MTB52N06VL")</f>
        <v>MTB52N06VL</v>
      </c>
      <c r="B38726" s="3" t="str">
        <f>HYPERLINK("https://www.773grp.com/manufacturer/onsemi?pageNo=782", "ON Semiconductor")</f>
        <v>ON Semiconductor</v>
      </c>
      <c r="C38726" s="6">
        <v>946</v>
      </c>
      <c r="D38726" s="7">
        <v>2.4300000000000002</v>
      </c>
      <c r="E38726" t="s">
        <v>105</v>
      </c>
    </row>
    <row r="38727" spans="1:5" x14ac:dyDescent="0.25">
      <c r="A38727" t="str">
        <f>HYPERLINK("https://www.773grp.com/globalSearch/NCP1205P2/page-1", "NCP1205P2")</f>
        <v>NCP1205P2</v>
      </c>
      <c r="B38727" s="3" t="str">
        <f>HYPERLINK("https://www.773grp.com/manufacturer/onsemi?pageNo=783", "ON Semiconductor")</f>
        <v>ON Semiconductor</v>
      </c>
      <c r="C38727" s="6">
        <v>2386</v>
      </c>
      <c r="D38727" s="7">
        <v>2.4300000000000002</v>
      </c>
      <c r="E38727" t="s">
        <v>7</v>
      </c>
    </row>
    <row r="38728" spans="1:5" x14ac:dyDescent="0.25">
      <c r="A38728" t="str">
        <f>HYPERLINK("https://www.773grp.com/globalSearch/NCP1271P100G/page-1", "NCP1271P100G")</f>
        <v>NCP1271P100G</v>
      </c>
      <c r="B38728" s="3" t="str">
        <f>HYPERLINK("https://www.773grp.com/manufacturer/onsemi?pageNo=784", "ON Semiconductor")</f>
        <v>ON Semiconductor</v>
      </c>
      <c r="C38728" s="6">
        <v>15992</v>
      </c>
      <c r="D38728" s="7">
        <v>2.4300000000000002</v>
      </c>
      <c r="E38728" t="s">
        <v>7</v>
      </c>
    </row>
    <row r="38729" spans="1:5" x14ac:dyDescent="0.25">
      <c r="A38729" t="str">
        <f>HYPERLINK("https://www.773grp.com/globalSearch/NCP1271P65G/page-1", "NCP1271P65G")</f>
        <v>NCP1271P65G</v>
      </c>
      <c r="B38729" s="3" t="str">
        <f>HYPERLINK("https://www.773grp.com/manufacturer/onsemi?pageNo=785", "ON Semiconductor")</f>
        <v>ON Semiconductor</v>
      </c>
      <c r="C38729" s="6">
        <v>26745</v>
      </c>
      <c r="D38729" s="7">
        <v>2.4300000000000002</v>
      </c>
      <c r="E38729" t="s">
        <v>7</v>
      </c>
    </row>
    <row r="38730" spans="1:5" x14ac:dyDescent="0.25">
      <c r="A38730" t="str">
        <f>HYPERLINK("https://www.773grp.com/globalSearch/NCP1378PG/page-1", "NCP1378PG")</f>
        <v>NCP1378PG</v>
      </c>
      <c r="B38730" s="3" t="str">
        <f>HYPERLINK("https://www.773grp.com/manufacturer/onsemi?pageNo=786", "ON Semiconductor")</f>
        <v>ON Semiconductor</v>
      </c>
      <c r="C38730" s="6">
        <v>15029</v>
      </c>
      <c r="D38730" s="7">
        <v>2.4300000000000002</v>
      </c>
      <c r="E38730" t="s">
        <v>7</v>
      </c>
    </row>
    <row r="38731" spans="1:5" x14ac:dyDescent="0.25">
      <c r="A38731" t="str">
        <f>HYPERLINK("https://www.773grp.com/globalSearch/NCP5387MNR2G/page-1", "NCP5387MNR2G")</f>
        <v>NCP5387MNR2G</v>
      </c>
      <c r="B38731" s="3" t="str">
        <f>HYPERLINK("https://www.773grp.com/manufacturer/onsemi?pageNo=787", "ON Semiconductor")</f>
        <v>ON Semiconductor</v>
      </c>
      <c r="C38731" s="6">
        <v>127580</v>
      </c>
      <c r="D38731" s="7">
        <v>2.4300000000000002</v>
      </c>
    </row>
    <row r="38732" spans="1:5" x14ac:dyDescent="0.25">
      <c r="A38732" t="str">
        <f>HYPERLINK("https://www.773grp.com/globalSearch/NCP803SN438T1/page-1", "NCP803SN438T1")</f>
        <v>NCP803SN438T1</v>
      </c>
      <c r="B38732" s="3" t="str">
        <f>HYPERLINK("https://www.773grp.com/manufacturer/onsemi?pageNo=788", "ON Semiconductor")</f>
        <v>ON Semiconductor</v>
      </c>
      <c r="C38732" s="6">
        <v>9000</v>
      </c>
      <c r="D38732" s="7">
        <v>2.4300000000000002</v>
      </c>
      <c r="E38732" t="s">
        <v>30</v>
      </c>
    </row>
    <row r="38733" spans="1:5" x14ac:dyDescent="0.25">
      <c r="A38733" t="str">
        <f>HYPERLINK("https://www.773grp.com/globalSearch/NCV3064PG/page-1", "NCV3064PG")</f>
        <v>NCV3064PG</v>
      </c>
      <c r="B38733" s="3" t="str">
        <f>HYPERLINK("https://www.773grp.com/manufacturer/onsemi?pageNo=789", "ON Semiconductor")</f>
        <v>ON Semiconductor</v>
      </c>
      <c r="C38733" s="6">
        <v>12700</v>
      </c>
      <c r="D38733" s="7">
        <v>2.4300000000000002</v>
      </c>
      <c r="E38733" t="s">
        <v>7</v>
      </c>
    </row>
    <row r="38734" spans="1:5" x14ac:dyDescent="0.25">
      <c r="A38734" t="str">
        <f>HYPERLINK("https://www.773grp.com/globalSearch/NCV4266ST50T3G/page-1", "NCV4266ST50T3G")</f>
        <v>NCV4266ST50T3G</v>
      </c>
      <c r="B38734" s="3" t="str">
        <f>HYPERLINK("https://www.773grp.com/manufacturer/onsemi?pageNo=790", "ON Semiconductor")</f>
        <v>ON Semiconductor</v>
      </c>
      <c r="C38734" s="6">
        <v>15350</v>
      </c>
      <c r="D38734" s="7">
        <v>2.4300000000000002</v>
      </c>
    </row>
    <row r="38735" spans="1:5" x14ac:dyDescent="0.25">
      <c r="A38735" t="str">
        <f>HYPERLINK("https://www.773grp.com/globalSearch/NCV7356D1G/page-1", "NCV7356D1G")</f>
        <v>NCV7356D1G</v>
      </c>
      <c r="B38735" s="3" t="str">
        <f>HYPERLINK("https://www.773grp.com/manufacturer/onsemi?pageNo=791", "ON Semiconductor")</f>
        <v>ON Semiconductor</v>
      </c>
      <c r="C38735" s="6">
        <v>288</v>
      </c>
      <c r="D38735" s="7">
        <v>2.4300000000000002</v>
      </c>
      <c r="E38735" t="s">
        <v>55</v>
      </c>
    </row>
    <row r="38736" spans="1:5" x14ac:dyDescent="0.25">
      <c r="A38736" t="str">
        <f>HYPERLINK("https://www.773grp.com/globalSearch/NE5534NG/page-1", "NE5534NG")</f>
        <v>NE5534NG</v>
      </c>
      <c r="B38736" s="3" t="str">
        <f>HYPERLINK("https://www.773grp.com/manufacturer/onsemi?pageNo=792", "ON Semiconductor")</f>
        <v>ON Semiconductor</v>
      </c>
      <c r="C38736" s="6">
        <v>600</v>
      </c>
      <c r="D38736" s="7">
        <v>2.4300000000000002</v>
      </c>
      <c r="E38736" t="s">
        <v>13</v>
      </c>
    </row>
    <row r="38737" spans="1:5" x14ac:dyDescent="0.25">
      <c r="A38737" t="str">
        <f>HYPERLINK("https://www.773grp.com/globalSearch/NTMS7N03R2G/page-1", "NTMS7N03R2G")</f>
        <v>NTMS7N03R2G</v>
      </c>
      <c r="B38737" s="3" t="str">
        <f>HYPERLINK("https://www.773grp.com/manufacturer/onsemi?pageNo=793", "ON Semiconductor")</f>
        <v>ON Semiconductor</v>
      </c>
      <c r="C38737" s="6">
        <v>26075</v>
      </c>
      <c r="D38737" s="7">
        <v>2.4300000000000002</v>
      </c>
      <c r="E38737" t="s">
        <v>106</v>
      </c>
    </row>
    <row r="38738" spans="1:5" x14ac:dyDescent="0.25">
      <c r="A38738" t="str">
        <f>HYPERLINK("https://www.773grp.com/globalSearch/SA5534N/page-1", "SA5534N")</f>
        <v>SA5534N</v>
      </c>
      <c r="B38738" s="3" t="str">
        <f>HYPERLINK("https://www.773grp.com/manufacturer/onsemi?pageNo=794", "ON Semiconductor")</f>
        <v>ON Semiconductor</v>
      </c>
      <c r="C38738" s="6">
        <v>1900</v>
      </c>
      <c r="D38738" s="7">
        <v>2.4300000000000002</v>
      </c>
      <c r="E38738" t="s">
        <v>13</v>
      </c>
    </row>
    <row r="38739" spans="1:5" x14ac:dyDescent="0.25">
      <c r="A38739" t="str">
        <f>HYPERLINK("https://www.773grp.com/globalSearch/TND525SS-TL-2H/page-1", "TND525SS-TL-2H")</f>
        <v>TND525SS-TL-2H</v>
      </c>
      <c r="B38739" s="3" t="str">
        <f>HYPERLINK("https://www.773grp.com/manufacturer/onsemi?pageNo=795", "ON Semiconductor")</f>
        <v>ON Semiconductor</v>
      </c>
      <c r="C38739" s="6">
        <v>2430</v>
      </c>
      <c r="D38739" s="7">
        <v>2.4300000000000002</v>
      </c>
    </row>
    <row r="38740" spans="1:5" x14ac:dyDescent="0.25">
      <c r="A38740" t="str">
        <f>HYPERLINK("https://www.773grp.com/globalSearch/TY38403/page-1", "TY38403")</f>
        <v>TY38403</v>
      </c>
      <c r="B38740" s="3" t="str">
        <f>HYPERLINK("https://www.773grp.com/manufacturer/onsemi?pageNo=796", "ON Semiconductor")</f>
        <v>ON Semiconductor</v>
      </c>
      <c r="C38740" s="6">
        <v>480</v>
      </c>
      <c r="D38740" s="7">
        <v>2.4300000000000002</v>
      </c>
    </row>
    <row r="38741" spans="1:5" x14ac:dyDescent="0.25">
      <c r="A38741" t="str">
        <f>HYPERLINK("https://www.773grp.com/globalSearch/LM2931CT-NOPB/page-1", "LM2931CT-NOPB")</f>
        <v>LM2931CT-NOPB</v>
      </c>
      <c r="B38741" s="3" t="str">
        <f>HYPERLINK("https://www.773grp.com/manufacturer/onsemi?pageNo=797", "ON Semiconductor")</f>
        <v>ON Semiconductor</v>
      </c>
      <c r="C38741" s="6">
        <v>1</v>
      </c>
      <c r="D38741" s="7">
        <v>2.4300000000000002</v>
      </c>
    </row>
    <row r="38742" spans="1:5" x14ac:dyDescent="0.25">
      <c r="A38742" t="str">
        <f>HYPERLINK("https://www.773grp.com/globalSearch/BTA12-600BW3G/page-1", "BTA12-600BW3G")</f>
        <v>BTA12-600BW3G</v>
      </c>
      <c r="B38742" s="3" t="str">
        <f>HYPERLINK("https://www.773grp.com/manufacturer/onsemi?pageNo=798", "ON Semiconductor")</f>
        <v>ON Semiconductor</v>
      </c>
      <c r="C38742" s="6">
        <v>242700</v>
      </c>
      <c r="D38742" s="7">
        <v>2.48</v>
      </c>
      <c r="E38742" t="s">
        <v>102</v>
      </c>
    </row>
    <row r="38743" spans="1:5" x14ac:dyDescent="0.25">
      <c r="A38743" t="str">
        <f>HYPERLINK("https://www.773grp.com/globalSearch/BTA12-600CW3G/page-1", "BTA12-600CW3G")</f>
        <v>BTA12-600CW3G</v>
      </c>
      <c r="B38743" s="3" t="str">
        <f>HYPERLINK("https://www.773grp.com/manufacturer/onsemi?pageNo=799", "ON Semiconductor")</f>
        <v>ON Semiconductor</v>
      </c>
      <c r="C38743" s="6">
        <v>8465</v>
      </c>
      <c r="D38743" s="7">
        <v>2.48</v>
      </c>
      <c r="E38743" t="s">
        <v>102</v>
      </c>
    </row>
    <row r="38744" spans="1:5" x14ac:dyDescent="0.25">
      <c r="A38744" t="str">
        <f>HYPERLINK("https://www.773grp.com/globalSearch/BTA12-800BW3G/page-1", "BTA12-800BW3G")</f>
        <v>BTA12-800BW3G</v>
      </c>
      <c r="B38744" s="3" t="str">
        <f>HYPERLINK("https://www.773grp.com/manufacturer/onsemi?pageNo=800", "ON Semiconductor")</f>
        <v>ON Semiconductor</v>
      </c>
      <c r="C38744" s="6">
        <v>1000</v>
      </c>
      <c r="D38744" s="7">
        <v>2.48</v>
      </c>
      <c r="E38744" t="s">
        <v>102</v>
      </c>
    </row>
    <row r="38745" spans="1:5" x14ac:dyDescent="0.25">
      <c r="A38745" t="str">
        <f>HYPERLINK("https://www.773grp.com/globalSearch/BTA12-800CW3G/page-1", "BTA12-800CW3G")</f>
        <v>BTA12-800CW3G</v>
      </c>
      <c r="B38745" s="3" t="str">
        <f>HYPERLINK("https://www.773grp.com/manufacturer/onsemi?pageNo=801", "ON Semiconductor")</f>
        <v>ON Semiconductor</v>
      </c>
      <c r="C38745" s="6">
        <v>139900</v>
      </c>
      <c r="D38745" s="7">
        <v>2.48</v>
      </c>
      <c r="E38745" t="s">
        <v>102</v>
      </c>
    </row>
    <row r="38746" spans="1:5" x14ac:dyDescent="0.25">
      <c r="A38746" t="str">
        <f>HYPERLINK("https://www.773grp.com/globalSearch/CAT25256VI-G/page-1", "CAT25256VI-G")</f>
        <v>CAT25256VI-G</v>
      </c>
      <c r="B38746" s="3" t="str">
        <f>HYPERLINK("https://www.773grp.com/manufacturer/onsemi?pageNo=802", "ON Semiconductor")</f>
        <v>ON Semiconductor</v>
      </c>
      <c r="C38746" s="6">
        <v>1400</v>
      </c>
      <c r="D38746" s="7">
        <v>2.48</v>
      </c>
    </row>
    <row r="38747" spans="1:5" x14ac:dyDescent="0.25">
      <c r="A38747" t="str">
        <f>HYPERLINK("https://www.773grp.com/globalSearch/CAT25256YI-G/page-1", "CAT25256YI-G")</f>
        <v>CAT25256YI-G</v>
      </c>
      <c r="B38747" s="3" t="str">
        <f>HYPERLINK("https://www.773grp.com/manufacturer/onsemi?pageNo=803", "ON Semiconductor")</f>
        <v>ON Semiconductor</v>
      </c>
      <c r="C38747" s="6">
        <v>1495</v>
      </c>
      <c r="D38747" s="7">
        <v>2.48</v>
      </c>
    </row>
    <row r="38748" spans="1:5" x14ac:dyDescent="0.25">
      <c r="A38748" t="str">
        <f>HYPERLINK("https://www.773grp.com/globalSearch/LC898300XA-MH/page-1", "LC898300XA-MH")</f>
        <v>LC898300XA-MH</v>
      </c>
      <c r="B38748" s="3" t="str">
        <f>HYPERLINK("https://www.773grp.com/manufacturer/onsemi?pageNo=804", "ON Semiconductor")</f>
        <v>ON Semiconductor</v>
      </c>
      <c r="C38748" s="6">
        <v>112200</v>
      </c>
      <c r="D38748" s="7">
        <v>2.48</v>
      </c>
    </row>
    <row r="38749" spans="1:5" x14ac:dyDescent="0.25">
      <c r="A38749" t="str">
        <f>HYPERLINK("https://www.773grp.com/globalSearch/LE24LB642CSTL-TFM-H/page-1", "LE24LB642CSTL-TFM-H")</f>
        <v>LE24LB642CSTL-TFM-H</v>
      </c>
      <c r="B38749" s="3" t="str">
        <f>HYPERLINK("https://www.773grp.com/manufacturer/onsemi?pageNo=805", "ON Semiconductor")</f>
        <v>ON Semiconductor</v>
      </c>
      <c r="C38749" s="6">
        <v>240000</v>
      </c>
      <c r="D38749" s="7">
        <v>2.48</v>
      </c>
    </row>
    <row r="38750" spans="1:5" x14ac:dyDescent="0.25">
      <c r="A38750" t="str">
        <f>HYPERLINK("https://www.773grp.com/globalSearch/LM317MSTT3G/page-1", "LM317MSTT3G")</f>
        <v>LM317MSTT3G</v>
      </c>
      <c r="B38750" s="3" t="str">
        <f>HYPERLINK("https://www.773grp.com/manufacturer/onsemi?pageNo=806", "ON Semiconductor")</f>
        <v>ON Semiconductor</v>
      </c>
      <c r="C38750" s="6">
        <v>20250</v>
      </c>
      <c r="D38750" s="7">
        <v>2.48</v>
      </c>
      <c r="E38750" t="s">
        <v>22</v>
      </c>
    </row>
    <row r="38751" spans="1:5" x14ac:dyDescent="0.25">
      <c r="A38751" t="str">
        <f>HYPERLINK("https://www.773grp.com/globalSearch/MC33039DG/page-1", "MC33039DG")</f>
        <v>MC33039DG</v>
      </c>
      <c r="B38751" s="3" t="str">
        <f>HYPERLINK("https://www.773grp.com/manufacturer/onsemi?pageNo=807", "ON Semiconductor")</f>
        <v>ON Semiconductor</v>
      </c>
      <c r="C38751" s="6">
        <v>320</v>
      </c>
      <c r="D38751" s="7">
        <v>2.48</v>
      </c>
    </row>
    <row r="38752" spans="1:5" x14ac:dyDescent="0.25">
      <c r="A38752" t="str">
        <f>HYPERLINK("https://www.773grp.com/globalSearch/MC33039DR2G/page-1", "MC33039DR2G")</f>
        <v>MC33039DR2G</v>
      </c>
      <c r="B38752" s="3" t="str">
        <f>HYPERLINK("https://www.773grp.com/manufacturer/onsemi?pageNo=808", "ON Semiconductor")</f>
        <v>ON Semiconductor</v>
      </c>
      <c r="C38752" s="6">
        <v>5985</v>
      </c>
      <c r="D38752" s="7">
        <v>2.48</v>
      </c>
      <c r="E38752" t="s">
        <v>40</v>
      </c>
    </row>
    <row r="38753" spans="1:5" x14ac:dyDescent="0.25">
      <c r="A38753" t="str">
        <f>HYPERLINK("https://www.773grp.com/globalSearch/MC33060APG/page-1", "MC33060APG")</f>
        <v>MC33060APG</v>
      </c>
      <c r="B38753" s="3" t="str">
        <f>HYPERLINK("https://www.773grp.com/manufacturer/onsemi?pageNo=809", "ON Semiconductor")</f>
        <v>ON Semiconductor</v>
      </c>
      <c r="C38753" s="6">
        <v>4341</v>
      </c>
      <c r="D38753" s="7">
        <v>2.48</v>
      </c>
      <c r="E38753" t="s">
        <v>7</v>
      </c>
    </row>
    <row r="38754" spans="1:5" x14ac:dyDescent="0.25">
      <c r="A38754" t="str">
        <f>HYPERLINK("https://www.773grp.com/globalSearch/MC33174DTBG/page-1", "MC33174DTBG")</f>
        <v>MC33174DTBG</v>
      </c>
      <c r="B38754" s="3" t="str">
        <f>HYPERLINK("https://www.773grp.com/manufacturer/onsemi?pageNo=810", "ON Semiconductor")</f>
        <v>ON Semiconductor</v>
      </c>
      <c r="C38754" s="6">
        <v>11136</v>
      </c>
      <c r="D38754" s="7">
        <v>2.48</v>
      </c>
    </row>
    <row r="38755" spans="1:5" x14ac:dyDescent="0.25">
      <c r="A38755" t="str">
        <f>HYPERLINK("https://www.773grp.com/globalSearch/MC33174VDG/page-1", "MC33174VDG")</f>
        <v>MC33174VDG</v>
      </c>
      <c r="B38755" s="3" t="str">
        <f>HYPERLINK("https://www.773grp.com/manufacturer/onsemi?pageNo=811", "ON Semiconductor")</f>
        <v>ON Semiconductor</v>
      </c>
      <c r="C38755" s="6">
        <v>15</v>
      </c>
      <c r="D38755" s="7">
        <v>2.48</v>
      </c>
    </row>
    <row r="38756" spans="1:5" x14ac:dyDescent="0.25">
      <c r="A38756" t="str">
        <f>HYPERLINK("https://www.773grp.com/globalSearch/MC33174VDR2G/page-1", "MC33174VDR2G")</f>
        <v>MC33174VDR2G</v>
      </c>
      <c r="B38756" s="3" t="str">
        <f>HYPERLINK("https://www.773grp.com/manufacturer/onsemi?pageNo=812", "ON Semiconductor")</f>
        <v>ON Semiconductor</v>
      </c>
      <c r="C38756" s="6">
        <v>240</v>
      </c>
      <c r="D38756" s="7">
        <v>2.48</v>
      </c>
      <c r="E38756" t="s">
        <v>13</v>
      </c>
    </row>
    <row r="38757" spans="1:5" x14ac:dyDescent="0.25">
      <c r="A38757" t="str">
        <f>HYPERLINK("https://www.773grp.com/globalSearch/MC33174VPG/page-1", "MC33174VPG")</f>
        <v>MC33174VPG</v>
      </c>
      <c r="B38757" s="3" t="str">
        <f>HYPERLINK("https://www.773grp.com/manufacturer/onsemi?pageNo=813", "ON Semiconductor")</f>
        <v>ON Semiconductor</v>
      </c>
      <c r="C38757" s="6">
        <v>4340</v>
      </c>
      <c r="D38757" s="7">
        <v>2.48</v>
      </c>
      <c r="E38757" t="s">
        <v>13</v>
      </c>
    </row>
    <row r="38758" spans="1:5" x14ac:dyDescent="0.25">
      <c r="A38758" t="str">
        <f>HYPERLINK("https://www.773grp.com/globalSearch/MC33179DTBR2G/page-1", "MC33179DTBR2G")</f>
        <v>MC33179DTBR2G</v>
      </c>
      <c r="B38758" s="3" t="str">
        <f>HYPERLINK("https://www.773grp.com/manufacturer/onsemi?pageNo=814", "ON Semiconductor")</f>
        <v>ON Semiconductor</v>
      </c>
      <c r="C38758" s="6">
        <v>4987</v>
      </c>
      <c r="D38758" s="7">
        <v>2.48</v>
      </c>
    </row>
    <row r="38759" spans="1:5" x14ac:dyDescent="0.25">
      <c r="A38759" t="str">
        <f>HYPERLINK("https://www.773grp.com/globalSearch/MC34060APG/page-1", "MC34060APG")</f>
        <v>MC34060APG</v>
      </c>
      <c r="B38759" s="3" t="str">
        <f>HYPERLINK("https://www.773grp.com/manufacturer/onsemi?pageNo=815", "ON Semiconductor")</f>
        <v>ON Semiconductor</v>
      </c>
      <c r="C38759" s="6">
        <v>49</v>
      </c>
      <c r="D38759" s="7">
        <v>2.48</v>
      </c>
      <c r="E38759" t="s">
        <v>7</v>
      </c>
    </row>
    <row r="38760" spans="1:5" x14ac:dyDescent="0.25">
      <c r="A38760" t="str">
        <f>HYPERLINK("https://www.773grp.com/globalSearch/MC74AC160D/page-1", "MC74AC160D")</f>
        <v>MC74AC160D</v>
      </c>
      <c r="B38760" s="3" t="str">
        <f>HYPERLINK("https://www.773grp.com/manufacturer/onsemi?pageNo=816", "ON Semiconductor")</f>
        <v>ON Semiconductor</v>
      </c>
      <c r="C38760" s="6">
        <v>1697</v>
      </c>
      <c r="D38760" s="7">
        <v>2.48</v>
      </c>
      <c r="E38760" t="s">
        <v>26</v>
      </c>
    </row>
    <row r="38761" spans="1:5" x14ac:dyDescent="0.25">
      <c r="A38761" t="str">
        <f>HYPERLINK("https://www.773grp.com/globalSearch/MC74AC160DR2/page-1", "MC74AC160DR2")</f>
        <v>MC74AC160DR2</v>
      </c>
      <c r="B38761" s="3" t="str">
        <f>HYPERLINK("https://www.773grp.com/manufacturer/onsemi?pageNo=817", "ON Semiconductor")</f>
        <v>ON Semiconductor</v>
      </c>
      <c r="C38761" s="6">
        <v>10000</v>
      </c>
      <c r="D38761" s="7">
        <v>2.48</v>
      </c>
      <c r="E38761" t="s">
        <v>26</v>
      </c>
    </row>
    <row r="38762" spans="1:5" x14ac:dyDescent="0.25">
      <c r="A38762" t="str">
        <f>HYPERLINK("https://www.773grp.com/globalSearch/MC74F538N/page-1", "MC74F538N")</f>
        <v>MC74F538N</v>
      </c>
      <c r="B38762" s="3" t="str">
        <f>HYPERLINK("https://www.773grp.com/manufacturer/onsemi?pageNo=818", "ON Semiconductor")</f>
        <v>ON Semiconductor</v>
      </c>
      <c r="C38762" s="6">
        <v>688</v>
      </c>
      <c r="D38762" s="7">
        <v>2.48</v>
      </c>
      <c r="E38762" t="s">
        <v>36</v>
      </c>
    </row>
    <row r="38763" spans="1:5" x14ac:dyDescent="0.25">
      <c r="A38763" t="str">
        <f>HYPERLINK("https://www.773grp.com/globalSearch/MC78T15ABT/page-1", "MC78T15ABT")</f>
        <v>MC78T15ABT</v>
      </c>
      <c r="B38763" s="3" t="str">
        <f>HYPERLINK("https://www.773grp.com/manufacturer/onsemi?pageNo=819", "ON Semiconductor")</f>
        <v>ON Semiconductor</v>
      </c>
      <c r="C38763" s="6">
        <v>18328</v>
      </c>
      <c r="D38763" s="7">
        <v>2.48</v>
      </c>
      <c r="E38763" t="s">
        <v>28</v>
      </c>
    </row>
    <row r="38764" spans="1:5" x14ac:dyDescent="0.25">
      <c r="A38764" t="str">
        <f>HYPERLINK("https://www.773grp.com/globalSearch/NCP1337DR2G/page-1", "NCP1337DR2G")</f>
        <v>NCP1337DR2G</v>
      </c>
      <c r="B38764" s="3" t="str">
        <f>HYPERLINK("https://www.773grp.com/manufacturer/onsemi?pageNo=820", "ON Semiconductor")</f>
        <v>ON Semiconductor</v>
      </c>
      <c r="C38764" s="6">
        <v>34838</v>
      </c>
      <c r="D38764" s="7">
        <v>2.48</v>
      </c>
      <c r="E38764" t="s">
        <v>7</v>
      </c>
    </row>
    <row r="38765" spans="1:5" x14ac:dyDescent="0.25">
      <c r="A38765" t="str">
        <f>HYPERLINK("https://www.773grp.com/globalSearch/NCP1581DR2G/page-1", "NCP1581DR2G")</f>
        <v>NCP1581DR2G</v>
      </c>
      <c r="B38765" s="3" t="str">
        <f>HYPERLINK("https://www.773grp.com/manufacturer/onsemi?pageNo=821", "ON Semiconductor")</f>
        <v>ON Semiconductor</v>
      </c>
      <c r="C38765" s="6">
        <v>3904</v>
      </c>
      <c r="D38765" s="7">
        <v>2.48</v>
      </c>
    </row>
    <row r="38766" spans="1:5" x14ac:dyDescent="0.25">
      <c r="A38766" t="str">
        <f>HYPERLINK("https://www.773grp.com/globalSearch/NCP3065MNTXG/page-1", "NCP3065MNTXG")</f>
        <v>NCP3065MNTXG</v>
      </c>
      <c r="B38766" s="3" t="str">
        <f>HYPERLINK("https://www.773grp.com/manufacturer/onsemi?pageNo=822", "ON Semiconductor")</f>
        <v>ON Semiconductor</v>
      </c>
      <c r="C38766" s="6">
        <v>2972</v>
      </c>
      <c r="D38766" s="7">
        <v>2.48</v>
      </c>
      <c r="E38766" t="s">
        <v>10</v>
      </c>
    </row>
    <row r="38767" spans="1:5" x14ac:dyDescent="0.25">
      <c r="A38767" t="str">
        <f>HYPERLINK("https://www.773grp.com/globalSearch/NCP3066DR2G/page-1", "NCP3066DR2G")</f>
        <v>NCP3066DR2G</v>
      </c>
      <c r="B38767" s="3" t="str">
        <f>HYPERLINK("https://www.773grp.com/manufacturer/onsemi?pageNo=823", "ON Semiconductor")</f>
        <v>ON Semiconductor</v>
      </c>
      <c r="C38767" s="6">
        <v>20000</v>
      </c>
      <c r="D38767" s="7">
        <v>2.48</v>
      </c>
    </row>
    <row r="38768" spans="1:5" x14ac:dyDescent="0.25">
      <c r="A38768" t="str">
        <f>HYPERLINK("https://www.773grp.com/globalSearch/NCP3066PG/page-1", "NCP3066PG")</f>
        <v>NCP3066PG</v>
      </c>
      <c r="B38768" s="3" t="str">
        <f>HYPERLINK("https://www.773grp.com/manufacturer/onsemi?pageNo=824", "ON Semiconductor")</f>
        <v>ON Semiconductor</v>
      </c>
      <c r="C38768" s="6">
        <v>3460</v>
      </c>
      <c r="D38768" s="7">
        <v>2.48</v>
      </c>
      <c r="E38768" t="s">
        <v>7</v>
      </c>
    </row>
    <row r="38769" spans="1:5" x14ac:dyDescent="0.25">
      <c r="A38769" t="str">
        <f>HYPERLINK("https://www.773grp.com/globalSearch/NCP4523G3T1/page-1", "NCP4523G3T1")</f>
        <v>NCP4523G3T1</v>
      </c>
      <c r="B38769" s="3" t="str">
        <f>HYPERLINK("https://www.773grp.com/manufacturer/onsemi?pageNo=825", "ON Semiconductor")</f>
        <v>ON Semiconductor</v>
      </c>
      <c r="C38769" s="6">
        <v>3000</v>
      </c>
      <c r="D38769" s="7">
        <v>2.48</v>
      </c>
      <c r="E38769" t="s">
        <v>44</v>
      </c>
    </row>
    <row r="38770" spans="1:5" x14ac:dyDescent="0.25">
      <c r="A38770" t="str">
        <f>HYPERLINK("https://www.773grp.com/globalSearch/NCP5386AMNR2G/page-1", "NCP5386AMNR2G")</f>
        <v>NCP5386AMNR2G</v>
      </c>
      <c r="B38770" s="3" t="str">
        <f>HYPERLINK("https://www.773grp.com/manufacturer/onsemi?pageNo=826", "ON Semiconductor")</f>
        <v>ON Semiconductor</v>
      </c>
      <c r="C38770" s="6">
        <v>7858</v>
      </c>
      <c r="D38770" s="7">
        <v>2.48</v>
      </c>
      <c r="E38770" t="s">
        <v>7</v>
      </c>
    </row>
    <row r="38771" spans="1:5" x14ac:dyDescent="0.25">
      <c r="A38771" t="str">
        <f>HYPERLINK("https://www.773grp.com/globalSearch/NCP5398MNR2G/page-1", "NCP5398MNR2G")</f>
        <v>NCP5398MNR2G</v>
      </c>
      <c r="B38771" s="3" t="str">
        <f>HYPERLINK("https://www.773grp.com/manufacturer/onsemi?pageNo=827", "ON Semiconductor")</f>
        <v>ON Semiconductor</v>
      </c>
      <c r="C38771" s="6">
        <v>32559</v>
      </c>
      <c r="D38771" s="7">
        <v>2.48</v>
      </c>
    </row>
    <row r="38772" spans="1:5" x14ac:dyDescent="0.25">
      <c r="A38772" t="str">
        <f>HYPERLINK("https://www.773grp.com/globalSearch/NCP5424DG/page-1", "NCP5424DG")</f>
        <v>NCP5424DG</v>
      </c>
      <c r="B38772" s="3" t="str">
        <f>HYPERLINK("https://www.773grp.com/manufacturer/onsemi?pageNo=828", "ON Semiconductor")</f>
        <v>ON Semiconductor</v>
      </c>
      <c r="C38772" s="6">
        <v>336</v>
      </c>
      <c r="D38772" s="7">
        <v>2.48</v>
      </c>
      <c r="E38772" t="s">
        <v>7</v>
      </c>
    </row>
    <row r="38773" spans="1:5" x14ac:dyDescent="0.25">
      <c r="A38773" t="str">
        <f>HYPERLINK("https://www.773grp.com/globalSearch/NCV33275ST5.0T3G/page-1", "NCV33275ST5.0T3G")</f>
        <v>NCV33275ST5.0T3G</v>
      </c>
      <c r="B38773" s="3" t="str">
        <f>HYPERLINK("https://www.773grp.com/manufacturer/onsemi?pageNo=829", "ON Semiconductor")</f>
        <v>ON Semiconductor</v>
      </c>
      <c r="C38773" s="6">
        <v>16170</v>
      </c>
      <c r="D38773" s="7">
        <v>2.48</v>
      </c>
    </row>
    <row r="38774" spans="1:5" x14ac:dyDescent="0.25">
      <c r="A38774" t="str">
        <f>HYPERLINK("https://www.773grp.com/globalSearch/NCV5661MN18T2G/page-1", "NCV5661MN18T2G")</f>
        <v>NCV5661MN18T2G</v>
      </c>
      <c r="B38774" s="3" t="str">
        <f>HYPERLINK("https://www.773grp.com/manufacturer/onsemi?pageNo=830", "ON Semiconductor")</f>
        <v>ON Semiconductor</v>
      </c>
      <c r="C38774" s="6">
        <v>8350</v>
      </c>
      <c r="D38774" s="7">
        <v>2.48</v>
      </c>
      <c r="E38774" t="s">
        <v>19</v>
      </c>
    </row>
    <row r="38775" spans="1:5" x14ac:dyDescent="0.25">
      <c r="A38775" t="str">
        <f>HYPERLINK("https://www.773grp.com/globalSearch/NLSF1174MNR2G/page-1", "NLSF1174MNR2G")</f>
        <v>NLSF1174MNR2G</v>
      </c>
      <c r="B38775" s="3" t="str">
        <f>HYPERLINK("https://www.773grp.com/manufacturer/onsemi?pageNo=831", "ON Semiconductor")</f>
        <v>ON Semiconductor</v>
      </c>
      <c r="C38775" s="6">
        <v>29200</v>
      </c>
      <c r="D38775" s="7">
        <v>2.48</v>
      </c>
      <c r="E38775" t="s">
        <v>35</v>
      </c>
    </row>
    <row r="38776" spans="1:5" x14ac:dyDescent="0.25">
      <c r="A38776" t="str">
        <f>HYPERLINK("https://www.773grp.com/globalSearch/SE5532AD8G/page-1", "SE5532AD8G")</f>
        <v>SE5532AD8G</v>
      </c>
      <c r="B38776" s="3" t="str">
        <f>HYPERLINK("https://www.773grp.com/manufacturer/onsemi?pageNo=832", "ON Semiconductor")</f>
        <v>ON Semiconductor</v>
      </c>
      <c r="C38776" s="6">
        <v>66</v>
      </c>
      <c r="D38776" s="7">
        <v>2.48</v>
      </c>
      <c r="E38776" t="s">
        <v>13</v>
      </c>
    </row>
    <row r="38777" spans="1:5" x14ac:dyDescent="0.25">
      <c r="A38777" t="str">
        <f>HYPERLINK("https://www.773grp.com/globalSearch/SE5532AD8R2G/page-1", "SE5532AD8R2G")</f>
        <v>SE5532AD8R2G</v>
      </c>
      <c r="B38777" s="3" t="str">
        <f>HYPERLINK("https://www.773grp.com/manufacturer/onsemi?pageNo=833", "ON Semiconductor")</f>
        <v>ON Semiconductor</v>
      </c>
      <c r="C38777" s="6">
        <v>9670</v>
      </c>
      <c r="D38777" s="7">
        <v>2.48</v>
      </c>
      <c r="E38777" t="s">
        <v>13</v>
      </c>
    </row>
    <row r="38778" spans="1:5" x14ac:dyDescent="0.25">
      <c r="A38778" t="str">
        <f>HYPERLINK("https://www.773grp.com/globalSearch/TIP122/page-1", "TIP122")</f>
        <v>TIP122</v>
      </c>
      <c r="B38778" s="3" t="str">
        <f>HYPERLINK("https://www.773grp.com/manufacturer/onsemi?pageNo=834", "ON Semiconductor")</f>
        <v>ON Semiconductor</v>
      </c>
      <c r="C38778" s="6">
        <v>5557</v>
      </c>
      <c r="D38778" s="7">
        <v>2.48</v>
      </c>
      <c r="E38778" t="s">
        <v>59</v>
      </c>
    </row>
    <row r="38779" spans="1:5" x14ac:dyDescent="0.25">
      <c r="A38779" t="str">
        <f>HYPERLINK("https://www.773grp.com/globalSearch/TL594CNG/page-1", "TL594CNG")</f>
        <v>TL594CNG</v>
      </c>
      <c r="B38779" s="3" t="str">
        <f>HYPERLINK("https://www.773grp.com/manufacturer/onsemi?pageNo=835", "ON Semiconductor")</f>
        <v>ON Semiconductor</v>
      </c>
      <c r="C38779" s="6">
        <v>115835</v>
      </c>
      <c r="D38779" s="7">
        <v>2.48</v>
      </c>
      <c r="E38779" t="s">
        <v>7</v>
      </c>
    </row>
    <row r="38780" spans="1:5" x14ac:dyDescent="0.25">
      <c r="A38780" t="str">
        <f>HYPERLINK("https://www.773grp.com/globalSearch/2SK4198FS/page-1", "2SK4198FS")</f>
        <v>2SK4198FS</v>
      </c>
      <c r="B38780" s="3" t="str">
        <f>HYPERLINK("https://www.773grp.com/manufacturer/onsemi?pageNo=836", "ON Semiconductor")</f>
        <v>ON Semiconductor</v>
      </c>
      <c r="C38780" s="6">
        <v>20000</v>
      </c>
      <c r="D38780" s="7">
        <v>2.54</v>
      </c>
    </row>
    <row r="38781" spans="1:5" x14ac:dyDescent="0.25">
      <c r="A38781" t="str">
        <f>HYPERLINK("https://www.773grp.com/globalSearch/74VCXH245MNR2G/page-1", "74VCXH245MNR2G")</f>
        <v>74VCXH245MNR2G</v>
      </c>
      <c r="B38781" s="3" t="str">
        <f>HYPERLINK("https://www.773grp.com/manufacturer/onsemi?pageNo=837", "ON Semiconductor")</f>
        <v>ON Semiconductor</v>
      </c>
      <c r="C38781" s="6">
        <v>686371</v>
      </c>
      <c r="D38781" s="7">
        <v>2.54</v>
      </c>
      <c r="E38781" t="s">
        <v>14</v>
      </c>
    </row>
    <row r="38782" spans="1:5" x14ac:dyDescent="0.25">
      <c r="A38782" t="str">
        <f>HYPERLINK("https://www.773grp.com/globalSearch/ADM1032ARMZ-2RL7/page-1", "ADM1032ARMZ-2RL7")</f>
        <v>ADM1032ARMZ-2RL7</v>
      </c>
      <c r="B38782" s="3" t="str">
        <f>HYPERLINK("https://www.773grp.com/manufacturer/onsemi?pageNo=838", "ON Semiconductor")</f>
        <v>ON Semiconductor</v>
      </c>
      <c r="C38782" s="6">
        <v>2000</v>
      </c>
      <c r="D38782" s="7">
        <v>2.54</v>
      </c>
      <c r="E38782" t="s">
        <v>40</v>
      </c>
    </row>
    <row r="38783" spans="1:5" x14ac:dyDescent="0.25">
      <c r="A38783" t="str">
        <f>HYPERLINK("https://www.773grp.com/globalSearch/ADM1032ARMZ-R7/page-1", "ADM1032ARMZ-R7")</f>
        <v>ADM1032ARMZ-R7</v>
      </c>
      <c r="B38783" s="3" t="str">
        <f>HYPERLINK("https://www.773grp.com/manufacturer/onsemi?pageNo=839", "ON Semiconductor")</f>
        <v>ON Semiconductor</v>
      </c>
      <c r="C38783" s="6">
        <v>101679</v>
      </c>
      <c r="D38783" s="7">
        <v>2.54</v>
      </c>
      <c r="E38783" t="s">
        <v>40</v>
      </c>
    </row>
    <row r="38784" spans="1:5" x14ac:dyDescent="0.25">
      <c r="A38784" t="str">
        <f>HYPERLINK("https://www.773grp.com/globalSearch/ADM1032ARZ/page-1", "ADM1032ARZ")</f>
        <v>ADM1032ARZ</v>
      </c>
      <c r="B38784" s="3" t="str">
        <f>HYPERLINK("https://www.773grp.com/manufacturer/onsemi?pageNo=840", "ON Semiconductor")</f>
        <v>ON Semiconductor</v>
      </c>
      <c r="C38784" s="6">
        <v>1117</v>
      </c>
      <c r="D38784" s="7">
        <v>2.54</v>
      </c>
      <c r="E38784" t="s">
        <v>40</v>
      </c>
    </row>
    <row r="38785" spans="1:5" x14ac:dyDescent="0.25">
      <c r="A38785" t="str">
        <f>HYPERLINK("https://www.773grp.com/globalSearch/ADM1032ARZ-001/page-1", "ADM1032ARZ-001")</f>
        <v>ADM1032ARZ-001</v>
      </c>
      <c r="B38785" s="3" t="str">
        <f>HYPERLINK("https://www.773grp.com/manufacturer/onsemi?pageNo=841", "ON Semiconductor")</f>
        <v>ON Semiconductor</v>
      </c>
      <c r="C38785" s="6">
        <v>24402</v>
      </c>
      <c r="D38785" s="7">
        <v>2.54</v>
      </c>
    </row>
    <row r="38786" spans="1:5" x14ac:dyDescent="0.25">
      <c r="A38786" t="str">
        <f>HYPERLINK("https://www.773grp.com/globalSearch/ADM1032ARZ-1RL7/page-1", "ADM1032ARZ-1RL7")</f>
        <v>ADM1032ARZ-1RL7</v>
      </c>
      <c r="B38786" s="3" t="str">
        <f>HYPERLINK("https://www.773grp.com/manufacturer/onsemi?pageNo=842", "ON Semiconductor")</f>
        <v>ON Semiconductor</v>
      </c>
      <c r="C38786" s="6">
        <v>10000</v>
      </c>
      <c r="D38786" s="7">
        <v>2.54</v>
      </c>
    </row>
    <row r="38787" spans="1:5" x14ac:dyDescent="0.25">
      <c r="A38787" t="str">
        <f>HYPERLINK("https://www.773grp.com/globalSearch/ADM1032ARZ-REEL/page-1", "ADM1032ARZ-REEL")</f>
        <v>ADM1032ARZ-REEL</v>
      </c>
      <c r="B38787" s="3" t="str">
        <f>HYPERLINK("https://www.773grp.com/manufacturer/onsemi?pageNo=843", "ON Semiconductor")</f>
        <v>ON Semiconductor</v>
      </c>
      <c r="C38787" s="6">
        <v>95000</v>
      </c>
      <c r="D38787" s="7">
        <v>2.54</v>
      </c>
      <c r="E38787" t="s">
        <v>40</v>
      </c>
    </row>
    <row r="38788" spans="1:5" x14ac:dyDescent="0.25">
      <c r="A38788" t="str">
        <f>HYPERLINK("https://www.773grp.com/globalSearch/BTB16-800BW3G/page-1", "BTB16-800BW3G")</f>
        <v>BTB16-800BW3G</v>
      </c>
      <c r="B38788" s="3" t="str">
        <f>HYPERLINK("https://www.773grp.com/manufacturer/onsemi?pageNo=844", "ON Semiconductor")</f>
        <v>ON Semiconductor</v>
      </c>
      <c r="C38788" s="6">
        <v>55400</v>
      </c>
      <c r="D38788" s="7">
        <v>2.54</v>
      </c>
      <c r="E38788" t="s">
        <v>102</v>
      </c>
    </row>
    <row r="38789" spans="1:5" x14ac:dyDescent="0.25">
      <c r="A38789" t="str">
        <f>HYPERLINK("https://www.773grp.com/globalSearch/BTB16-800CW3G/page-1", "BTB16-800CW3G")</f>
        <v>BTB16-800CW3G</v>
      </c>
      <c r="B38789" s="3" t="str">
        <f>HYPERLINK("https://www.773grp.com/manufacturer/onsemi?pageNo=845", "ON Semiconductor")</f>
        <v>ON Semiconductor</v>
      </c>
      <c r="C38789" s="6">
        <v>650</v>
      </c>
      <c r="D38789" s="7">
        <v>2.54</v>
      </c>
      <c r="E38789" t="s">
        <v>102</v>
      </c>
    </row>
    <row r="38790" spans="1:5" x14ac:dyDescent="0.25">
      <c r="A38790" t="str">
        <f>HYPERLINK("https://www.773grp.com/globalSearch/CS3842BGN8/page-1", "CS3842BGN8")</f>
        <v>CS3842BGN8</v>
      </c>
      <c r="B38790" s="3" t="str">
        <f>HYPERLINK("https://www.773grp.com/manufacturer/onsemi?pageNo=846", "ON Semiconductor")</f>
        <v>ON Semiconductor</v>
      </c>
      <c r="C38790" s="6">
        <v>103930</v>
      </c>
      <c r="D38790" s="7">
        <v>2.54</v>
      </c>
      <c r="E38790" t="s">
        <v>7</v>
      </c>
    </row>
    <row r="38791" spans="1:5" x14ac:dyDescent="0.25">
      <c r="A38791" t="str">
        <f>HYPERLINK("https://www.773grp.com/globalSearch/CS3842BN8/page-1", "CS3842BN8")</f>
        <v>CS3842BN8</v>
      </c>
      <c r="B38791" s="3" t="str">
        <f>HYPERLINK("https://www.773grp.com/manufacturer/onsemi?pageNo=847", "ON Semiconductor")</f>
        <v>ON Semiconductor</v>
      </c>
      <c r="C38791" s="6">
        <v>3340</v>
      </c>
      <c r="D38791" s="7">
        <v>2.54</v>
      </c>
    </row>
    <row r="38792" spans="1:5" x14ac:dyDescent="0.25">
      <c r="A38792" t="str">
        <f>HYPERLINK("https://www.773grp.com/globalSearch/CS3843AGN8/page-1", "CS3843AGN8")</f>
        <v>CS3843AGN8</v>
      </c>
      <c r="B38792" s="3" t="str">
        <f>HYPERLINK("https://www.773grp.com/manufacturer/onsemi?pageNo=848", "ON Semiconductor")</f>
        <v>ON Semiconductor</v>
      </c>
      <c r="C38792" s="6">
        <v>950</v>
      </c>
      <c r="D38792" s="7">
        <v>2.54</v>
      </c>
      <c r="E38792" t="s">
        <v>7</v>
      </c>
    </row>
    <row r="38793" spans="1:5" x14ac:dyDescent="0.25">
      <c r="A38793" t="str">
        <f>HYPERLINK("https://www.773grp.com/globalSearch/CS3843BGN8/page-1", "CS3843BGN8")</f>
        <v>CS3843BGN8</v>
      </c>
      <c r="B38793" s="3" t="str">
        <f>HYPERLINK("https://www.773grp.com/manufacturer/onsemi?pageNo=849", "ON Semiconductor")</f>
        <v>ON Semiconductor</v>
      </c>
      <c r="C38793" s="6">
        <v>2490</v>
      </c>
      <c r="D38793" s="7">
        <v>2.54</v>
      </c>
      <c r="E38793" t="s">
        <v>7</v>
      </c>
    </row>
    <row r="38794" spans="1:5" x14ac:dyDescent="0.25">
      <c r="A38794" t="str">
        <f>HYPERLINK("https://www.773grp.com/globalSearch/CS3844GN8/page-1", "CS3844GN8")</f>
        <v>CS3844GN8</v>
      </c>
      <c r="B38794" s="3" t="str">
        <f>HYPERLINK("https://www.773grp.com/manufacturer/onsemi?pageNo=850", "ON Semiconductor")</f>
        <v>ON Semiconductor</v>
      </c>
      <c r="C38794" s="6">
        <v>8850</v>
      </c>
      <c r="D38794" s="7">
        <v>2.54</v>
      </c>
      <c r="E38794" t="s">
        <v>7</v>
      </c>
    </row>
    <row r="38795" spans="1:5" x14ac:dyDescent="0.25">
      <c r="A38795" t="str">
        <f>HYPERLINK("https://www.773grp.com/globalSearch/CS3845BGN8/page-1", "CS3845BGN8")</f>
        <v>CS3845BGN8</v>
      </c>
      <c r="B38795" s="3" t="str">
        <f>HYPERLINK("https://www.773grp.com/manufacturer/onsemi?pageNo=851", "ON Semiconductor")</f>
        <v>ON Semiconductor</v>
      </c>
      <c r="C38795" s="6">
        <v>219661</v>
      </c>
      <c r="D38795" s="7">
        <v>2.54</v>
      </c>
      <c r="E38795" t="s">
        <v>7</v>
      </c>
    </row>
    <row r="38796" spans="1:5" x14ac:dyDescent="0.25">
      <c r="A38796" t="str">
        <f>HYPERLINK("https://www.773grp.com/globalSearch/CS3845GN8/page-1", "CS3845GN8")</f>
        <v>CS3845GN8</v>
      </c>
      <c r="B38796" s="3" t="str">
        <f>HYPERLINK("https://www.773grp.com/manufacturer/onsemi?pageNo=852", "ON Semiconductor")</f>
        <v>ON Semiconductor</v>
      </c>
      <c r="C38796" s="6">
        <v>38681</v>
      </c>
      <c r="D38796" s="7">
        <v>2.54</v>
      </c>
      <c r="E38796" t="s">
        <v>7</v>
      </c>
    </row>
    <row r="38797" spans="1:5" x14ac:dyDescent="0.25">
      <c r="A38797" t="str">
        <f>HYPERLINK("https://www.773grp.com/globalSearch/CS9201YDFR8G/page-1", "CS9201YDFR8G")</f>
        <v>CS9201YDFR8G</v>
      </c>
      <c r="B38797" s="3" t="str">
        <f>HYPERLINK("https://www.773grp.com/manufacturer/onsemi?pageNo=853", "ON Semiconductor")</f>
        <v>ON Semiconductor</v>
      </c>
      <c r="C38797" s="6">
        <v>2285</v>
      </c>
      <c r="D38797" s="7">
        <v>2.54</v>
      </c>
      <c r="E38797" t="s">
        <v>19</v>
      </c>
    </row>
    <row r="38798" spans="1:5" x14ac:dyDescent="0.25">
      <c r="A38798" t="str">
        <f>HYPERLINK("https://www.773grp.com/globalSearch/JDX5012/page-1", "JDX5012")</f>
        <v>JDX5012</v>
      </c>
      <c r="B38798" s="3" t="str">
        <f>HYPERLINK("https://www.773grp.com/manufacturer/onsemi?pageNo=854", "ON Semiconductor")</f>
        <v>ON Semiconductor</v>
      </c>
      <c r="C38798" s="6">
        <v>22344</v>
      </c>
      <c r="D38798" s="7">
        <v>2.54</v>
      </c>
    </row>
    <row r="38799" spans="1:5" x14ac:dyDescent="0.25">
      <c r="A38799" t="str">
        <f>HYPERLINK("https://www.773grp.com/globalSearch/LM337BTG/page-1", "LM337BTG")</f>
        <v>LM337BTG</v>
      </c>
      <c r="B38799" s="3" t="str">
        <f>HYPERLINK("https://www.773grp.com/manufacturer/onsemi?pageNo=855", "ON Semiconductor")</f>
        <v>ON Semiconductor</v>
      </c>
      <c r="C38799" s="6">
        <v>1700</v>
      </c>
      <c r="D38799" s="7">
        <v>2.54</v>
      </c>
    </row>
    <row r="38800" spans="1:5" x14ac:dyDescent="0.25">
      <c r="A38800" t="str">
        <f>HYPERLINK("https://www.773grp.com/globalSearch/MAX1720EUT/page-1", "MAX1720EUT")</f>
        <v>MAX1720EUT</v>
      </c>
      <c r="B38800" s="3" t="str">
        <f>HYPERLINK("https://www.773grp.com/manufacturer/onsemi?pageNo=856", "ON Semiconductor")</f>
        <v>ON Semiconductor</v>
      </c>
      <c r="C38800" s="6">
        <v>2905</v>
      </c>
      <c r="D38800" s="7">
        <v>2.54</v>
      </c>
      <c r="E38800" t="s">
        <v>7</v>
      </c>
    </row>
    <row r="38801" spans="1:5" x14ac:dyDescent="0.25">
      <c r="A38801" t="str">
        <f>HYPERLINK("https://www.773grp.com/globalSearch/MC14555BFELG/page-1", "MC14555BFELG")</f>
        <v>MC14555BFELG</v>
      </c>
      <c r="B38801" s="3" t="str">
        <f>HYPERLINK("https://www.773grp.com/manufacturer/onsemi?pageNo=857", "ON Semiconductor")</f>
        <v>ON Semiconductor</v>
      </c>
      <c r="C38801" s="6">
        <v>8222</v>
      </c>
      <c r="D38801" s="7">
        <v>2.54</v>
      </c>
      <c r="E38801" t="s">
        <v>36</v>
      </c>
    </row>
    <row r="38802" spans="1:5" x14ac:dyDescent="0.25">
      <c r="A38802" t="str">
        <f>HYPERLINK("https://www.773grp.com/globalSearch/MC14C88BP/page-1", "MC14C88BP")</f>
        <v>MC14C88BP</v>
      </c>
      <c r="B38802" s="3" t="str">
        <f>HYPERLINK("https://www.773grp.com/manufacturer/onsemi?pageNo=858", "ON Semiconductor")</f>
        <v>ON Semiconductor</v>
      </c>
      <c r="C38802" s="6">
        <v>510</v>
      </c>
      <c r="D38802" s="7">
        <v>2.54</v>
      </c>
      <c r="E38802" t="s">
        <v>21</v>
      </c>
    </row>
    <row r="38803" spans="1:5" x14ac:dyDescent="0.25">
      <c r="A38803" t="str">
        <f>HYPERLINK("https://www.773grp.com/globalSearch/MC33348D-2R2/page-1", "MC33348D-2R2")</f>
        <v>MC33348D-2R2</v>
      </c>
      <c r="B38803" s="3" t="str">
        <f>HYPERLINK("https://www.773grp.com/manufacturer/onsemi?pageNo=859", "ON Semiconductor")</f>
        <v>ON Semiconductor</v>
      </c>
      <c r="C38803" s="6">
        <v>42700</v>
      </c>
      <c r="D38803" s="7">
        <v>2.54</v>
      </c>
      <c r="E38803" t="s">
        <v>30</v>
      </c>
    </row>
    <row r="38804" spans="1:5" x14ac:dyDescent="0.25">
      <c r="A38804" t="str">
        <f>HYPERLINK("https://www.773grp.com/globalSearch/MC54HC32AJ/page-1", "MC54HC32AJ")</f>
        <v>MC54HC32AJ</v>
      </c>
      <c r="B38804" s="3" t="str">
        <f>HYPERLINK("https://www.773grp.com/manufacturer/onsemi?pageNo=860", "ON Semiconductor")</f>
        <v>ON Semiconductor</v>
      </c>
      <c r="C38804" s="6">
        <v>8982</v>
      </c>
      <c r="D38804" s="7">
        <v>2.54</v>
      </c>
      <c r="E38804" t="s">
        <v>31</v>
      </c>
    </row>
    <row r="38805" spans="1:5" x14ac:dyDescent="0.25">
      <c r="A38805" t="str">
        <f>HYPERLINK("https://www.773grp.com/globalSearch/MC74AC162D/page-1", "MC74AC162D")</f>
        <v>MC74AC162D</v>
      </c>
      <c r="B38805" s="3" t="str">
        <f>HYPERLINK("https://www.773grp.com/manufacturer/onsemi?pageNo=861", "ON Semiconductor")</f>
        <v>ON Semiconductor</v>
      </c>
      <c r="C38805" s="6">
        <v>2229</v>
      </c>
      <c r="D38805" s="7">
        <v>2.54</v>
      </c>
      <c r="E38805" t="s">
        <v>26</v>
      </c>
    </row>
    <row r="38806" spans="1:5" x14ac:dyDescent="0.25">
      <c r="A38806" t="str">
        <f>HYPERLINK("https://www.773grp.com/globalSearch/MC74AC162DR2/page-1", "MC74AC162DR2")</f>
        <v>MC74AC162DR2</v>
      </c>
      <c r="B38806" s="3" t="str">
        <f>HYPERLINK("https://www.773grp.com/manufacturer/onsemi?pageNo=862", "ON Semiconductor")</f>
        <v>ON Semiconductor</v>
      </c>
      <c r="C38806" s="6">
        <v>2500</v>
      </c>
      <c r="D38806" s="7">
        <v>2.54</v>
      </c>
      <c r="E38806" t="s">
        <v>26</v>
      </c>
    </row>
    <row r="38807" spans="1:5" x14ac:dyDescent="0.25">
      <c r="A38807" t="str">
        <f>HYPERLINK("https://www.773grp.com/globalSearch/MC74AC194D/page-1", "MC74AC194D")</f>
        <v>MC74AC194D</v>
      </c>
      <c r="B38807" s="3" t="str">
        <f>HYPERLINK("https://www.773grp.com/manufacturer/onsemi?pageNo=863", "ON Semiconductor")</f>
        <v>ON Semiconductor</v>
      </c>
      <c r="C38807" s="6">
        <v>1988</v>
      </c>
      <c r="D38807" s="7">
        <v>2.54</v>
      </c>
      <c r="E38807" t="s">
        <v>32</v>
      </c>
    </row>
    <row r="38808" spans="1:5" x14ac:dyDescent="0.25">
      <c r="A38808" t="str">
        <f>HYPERLINK("https://www.773grp.com/globalSearch/MMPQ3904R1/page-1", "MMPQ3904R1")</f>
        <v>MMPQ3904R1</v>
      </c>
      <c r="B38808" s="3" t="str">
        <f>HYPERLINK("https://www.773grp.com/manufacturer/onsemi?pageNo=864", "ON Semiconductor")</f>
        <v>ON Semiconductor</v>
      </c>
      <c r="C38808" s="6">
        <v>8500</v>
      </c>
      <c r="D38808" s="7">
        <v>2.54</v>
      </c>
      <c r="E38808" t="s">
        <v>69</v>
      </c>
    </row>
    <row r="38809" spans="1:5" x14ac:dyDescent="0.25">
      <c r="A38809" t="str">
        <f>HYPERLINK("https://www.773grp.com/globalSearch/NCP1028P065G/page-1", "NCP1028P065G")</f>
        <v>NCP1028P065G</v>
      </c>
      <c r="B38809" s="3" t="str">
        <f>HYPERLINK("https://www.773grp.com/manufacturer/onsemi?pageNo=865", "ON Semiconductor")</f>
        <v>ON Semiconductor</v>
      </c>
      <c r="C38809" s="6">
        <v>26706</v>
      </c>
      <c r="D38809" s="7">
        <v>2.54</v>
      </c>
      <c r="E38809" t="s">
        <v>7</v>
      </c>
    </row>
    <row r="38810" spans="1:5" x14ac:dyDescent="0.25">
      <c r="A38810" t="str">
        <f>HYPERLINK("https://www.773grp.com/globalSearch/NCP1028P100G/page-1", "NCP1028P100G")</f>
        <v>NCP1028P100G</v>
      </c>
      <c r="B38810" s="3" t="str">
        <f>HYPERLINK("https://www.773grp.com/manufacturer/onsemi?pageNo=866", "ON Semiconductor")</f>
        <v>ON Semiconductor</v>
      </c>
      <c r="C38810" s="6">
        <v>6000</v>
      </c>
      <c r="D38810" s="7">
        <v>2.54</v>
      </c>
    </row>
    <row r="38811" spans="1:5" x14ac:dyDescent="0.25">
      <c r="A38811" t="str">
        <f>HYPERLINK("https://www.773grp.com/globalSearch/NCP1053ST136T3G/page-1", "NCP1053ST136T3G")</f>
        <v>NCP1053ST136T3G</v>
      </c>
      <c r="B38811" s="3" t="str">
        <f>HYPERLINK("https://www.773grp.com/manufacturer/onsemi?pageNo=867", "ON Semiconductor")</f>
        <v>ON Semiconductor</v>
      </c>
      <c r="C38811" s="6">
        <v>32000</v>
      </c>
      <c r="D38811" s="7">
        <v>2.54</v>
      </c>
    </row>
    <row r="38812" spans="1:5" x14ac:dyDescent="0.25">
      <c r="A38812" t="str">
        <f>HYPERLINK("https://www.773grp.com/globalSearch/NCP1055ST100T3G/page-1", "NCP1055ST100T3G")</f>
        <v>NCP1055ST100T3G</v>
      </c>
      <c r="B38812" s="3" t="str">
        <f>HYPERLINK("https://www.773grp.com/manufacturer/onsemi?pageNo=868", "ON Semiconductor")</f>
        <v>ON Semiconductor</v>
      </c>
      <c r="C38812" s="6">
        <v>4000</v>
      </c>
      <c r="D38812" s="7">
        <v>2.54</v>
      </c>
    </row>
    <row r="38813" spans="1:5" x14ac:dyDescent="0.25">
      <c r="A38813" t="str">
        <f>HYPERLINK("https://www.773grp.com/globalSearch/NCP1086D2T-33R4G/page-1", "NCP1086D2T-33R4G")</f>
        <v>NCP1086D2T-33R4G</v>
      </c>
      <c r="B38813" s="3" t="str">
        <f>HYPERLINK("https://www.773grp.com/manufacturer/onsemi?pageNo=869", "ON Semiconductor")</f>
        <v>ON Semiconductor</v>
      </c>
      <c r="C38813" s="6">
        <v>928341</v>
      </c>
      <c r="D38813" s="7">
        <v>2.54</v>
      </c>
      <c r="E38813" t="s">
        <v>19</v>
      </c>
    </row>
    <row r="38814" spans="1:5" x14ac:dyDescent="0.25">
      <c r="A38814" t="str">
        <f>HYPERLINK("https://www.773grp.com/globalSearch/NCP1086D2T-ADJG/page-1", "NCP1086D2T-ADJG")</f>
        <v>NCP1086D2T-ADJG</v>
      </c>
      <c r="B38814" s="3" t="str">
        <f>HYPERLINK("https://www.773grp.com/manufacturer/onsemi?pageNo=870", "ON Semiconductor")</f>
        <v>ON Semiconductor</v>
      </c>
      <c r="C38814" s="6">
        <v>11050</v>
      </c>
      <c r="D38814" s="7">
        <v>2.54</v>
      </c>
      <c r="E38814" t="s">
        <v>25</v>
      </c>
    </row>
    <row r="38815" spans="1:5" x14ac:dyDescent="0.25">
      <c r="A38815" t="str">
        <f>HYPERLINK("https://www.773grp.com/globalSearch/NCP1086D2TADJR4G/page-1", "NCP1086D2TADJR4G")</f>
        <v>NCP1086D2TADJR4G</v>
      </c>
      <c r="B38815" s="3" t="str">
        <f>HYPERLINK("https://www.773grp.com/manufacturer/onsemi?pageNo=871", "ON Semiconductor")</f>
        <v>ON Semiconductor</v>
      </c>
      <c r="C38815" s="6">
        <v>13500</v>
      </c>
      <c r="D38815" s="7">
        <v>2.54</v>
      </c>
      <c r="E38815" t="s">
        <v>25</v>
      </c>
    </row>
    <row r="38816" spans="1:5" x14ac:dyDescent="0.25">
      <c r="A38816" t="str">
        <f>HYPERLINK("https://www.773grp.com/globalSearch/NCP1396ADR2G/page-1", "NCP1396ADR2G")</f>
        <v>NCP1396ADR2G</v>
      </c>
      <c r="B38816" s="3" t="str">
        <f>HYPERLINK("https://www.773grp.com/manufacturer/onsemi?pageNo=872", "ON Semiconductor")</f>
        <v>ON Semiconductor</v>
      </c>
      <c r="C38816" s="6">
        <v>27468</v>
      </c>
      <c r="D38816" s="7">
        <v>2.54</v>
      </c>
      <c r="E38816" t="s">
        <v>7</v>
      </c>
    </row>
    <row r="38817" spans="1:5" x14ac:dyDescent="0.25">
      <c r="A38817" t="str">
        <f>HYPERLINK("https://www.773grp.com/globalSearch/NCP1396BDR2G/page-1", "NCP1396BDR2G")</f>
        <v>NCP1396BDR2G</v>
      </c>
      <c r="B38817" s="3" t="str">
        <f>HYPERLINK("https://www.773grp.com/manufacturer/onsemi?pageNo=873", "ON Semiconductor")</f>
        <v>ON Semiconductor</v>
      </c>
      <c r="C38817" s="6">
        <v>5882</v>
      </c>
      <c r="D38817" s="7">
        <v>2.54</v>
      </c>
      <c r="E38817" t="s">
        <v>7</v>
      </c>
    </row>
    <row r="38818" spans="1:5" x14ac:dyDescent="0.25">
      <c r="A38818" t="str">
        <f>HYPERLINK("https://www.773grp.com/globalSearch/NCP1397ADR2G/page-1", "NCP1397ADR2G")</f>
        <v>NCP1397ADR2G</v>
      </c>
      <c r="B38818" s="3" t="str">
        <f>HYPERLINK("https://www.773grp.com/manufacturer/onsemi?pageNo=874", "ON Semiconductor")</f>
        <v>ON Semiconductor</v>
      </c>
      <c r="C38818" s="6">
        <v>30000</v>
      </c>
      <c r="D38818" s="7">
        <v>2.54</v>
      </c>
      <c r="E38818" t="s">
        <v>7</v>
      </c>
    </row>
    <row r="38819" spans="1:5" x14ac:dyDescent="0.25">
      <c r="A38819" t="str">
        <f>HYPERLINK("https://www.773grp.com/globalSearch/NCP1397BDR2G/page-1", "NCP1397BDR2G")</f>
        <v>NCP1397BDR2G</v>
      </c>
      <c r="B38819" s="3" t="str">
        <f>HYPERLINK("https://www.773grp.com/manufacturer/onsemi?pageNo=875", "ON Semiconductor")</f>
        <v>ON Semiconductor</v>
      </c>
      <c r="C38819" s="6">
        <v>32500</v>
      </c>
      <c r="D38819" s="7">
        <v>2.54</v>
      </c>
    </row>
    <row r="38820" spans="1:5" x14ac:dyDescent="0.25">
      <c r="A38820" t="str">
        <f>HYPERLINK("https://www.773grp.com/globalSearch/NCP1582DR2G/page-1", "NCP1582DR2G")</f>
        <v>NCP1582DR2G</v>
      </c>
      <c r="B38820" s="3" t="str">
        <f>HYPERLINK("https://www.773grp.com/manufacturer/onsemi?pageNo=876", "ON Semiconductor")</f>
        <v>ON Semiconductor</v>
      </c>
      <c r="C38820" s="6">
        <v>1526</v>
      </c>
      <c r="D38820" s="7">
        <v>2.54</v>
      </c>
    </row>
    <row r="38821" spans="1:5" x14ac:dyDescent="0.25">
      <c r="A38821" t="str">
        <f>HYPERLINK("https://www.773grp.com/globalSearch/NCP1583DR2G/page-1", "NCP1583DR2G")</f>
        <v>NCP1583DR2G</v>
      </c>
      <c r="B38821" s="3" t="str">
        <f>HYPERLINK("https://www.773grp.com/manufacturer/onsemi?pageNo=877", "ON Semiconductor")</f>
        <v>ON Semiconductor</v>
      </c>
      <c r="C38821" s="6">
        <v>69796</v>
      </c>
      <c r="D38821" s="7">
        <v>2.54</v>
      </c>
      <c r="E38821" t="s">
        <v>7</v>
      </c>
    </row>
    <row r="38822" spans="1:5" x14ac:dyDescent="0.25">
      <c r="A38822" t="str">
        <f>HYPERLINK("https://www.773grp.com/globalSearch/NCP4641H030T1G/page-1", "NCP4641H030T1G")</f>
        <v>NCP4641H030T1G</v>
      </c>
      <c r="B38822" s="3" t="str">
        <f>HYPERLINK("https://www.773grp.com/manufacturer/onsemi?pageNo=878", "ON Semiconductor")</f>
        <v>ON Semiconductor</v>
      </c>
      <c r="C38822" s="6">
        <v>9945</v>
      </c>
      <c r="D38822" s="7">
        <v>2.54</v>
      </c>
    </row>
    <row r="38823" spans="1:5" x14ac:dyDescent="0.25">
      <c r="A38823" t="str">
        <f>HYPERLINK("https://www.773grp.com/globalSearch/NCP4641H050T1G/page-1", "NCP4641H050T1G")</f>
        <v>NCP4641H050T1G</v>
      </c>
      <c r="B38823" s="3" t="str">
        <f>HYPERLINK("https://www.773grp.com/manufacturer/onsemi?pageNo=879", "ON Semiconductor")</f>
        <v>ON Semiconductor</v>
      </c>
      <c r="C38823" s="6">
        <v>33000</v>
      </c>
      <c r="D38823" s="7">
        <v>2.54</v>
      </c>
    </row>
    <row r="38824" spans="1:5" x14ac:dyDescent="0.25">
      <c r="A38824" t="str">
        <f>HYPERLINK("https://www.773grp.com/globalSearch/NCP4641H080T1G/page-1", "NCP4641H080T1G")</f>
        <v>NCP4641H080T1G</v>
      </c>
      <c r="B38824" s="3" t="str">
        <f>HYPERLINK("https://www.773grp.com/manufacturer/onsemi?pageNo=880", "ON Semiconductor")</f>
        <v>ON Semiconductor</v>
      </c>
      <c r="C38824" s="6">
        <v>1000</v>
      </c>
      <c r="D38824" s="7">
        <v>2.54</v>
      </c>
    </row>
    <row r="38825" spans="1:5" x14ac:dyDescent="0.25">
      <c r="A38825" t="str">
        <f>HYPERLINK("https://www.773grp.com/globalSearch/NCP5201MNR2/page-1", "NCP5201MNR2")</f>
        <v>NCP5201MNR2</v>
      </c>
      <c r="B38825" s="3" t="str">
        <f>HYPERLINK("https://www.773grp.com/manufacturer/onsemi?pageNo=881", "ON Semiconductor")</f>
        <v>ON Semiconductor</v>
      </c>
      <c r="C38825" s="6">
        <v>4945</v>
      </c>
      <c r="D38825" s="7">
        <v>2.54</v>
      </c>
      <c r="E38825" t="s">
        <v>7</v>
      </c>
    </row>
    <row r="38826" spans="1:5" x14ac:dyDescent="0.25">
      <c r="A38826" t="str">
        <f>HYPERLINK("https://www.773grp.com/globalSearch/NCP5203MNR2/page-1", "NCP5203MNR2")</f>
        <v>NCP5203MNR2</v>
      </c>
      <c r="B38826" s="3" t="str">
        <f>HYPERLINK("https://www.773grp.com/manufacturer/onsemi?pageNo=882", "ON Semiconductor")</f>
        <v>ON Semiconductor</v>
      </c>
      <c r="C38826" s="6">
        <v>4989</v>
      </c>
      <c r="D38826" s="7">
        <v>2.54</v>
      </c>
      <c r="E38826" t="s">
        <v>7</v>
      </c>
    </row>
    <row r="38827" spans="1:5" x14ac:dyDescent="0.25">
      <c r="A38827" t="str">
        <f>HYPERLINK("https://www.773grp.com/globalSearch/NCP565D2T12R4G/page-1", "NCP565D2T12R4G")</f>
        <v>NCP565D2T12R4G</v>
      </c>
      <c r="B38827" s="3" t="str">
        <f>HYPERLINK("https://www.773grp.com/manufacturer/onsemi?pageNo=883", "ON Semiconductor")</f>
        <v>ON Semiconductor</v>
      </c>
      <c r="C38827" s="6">
        <v>86267</v>
      </c>
      <c r="D38827" s="7">
        <v>2.54</v>
      </c>
      <c r="E38827" t="s">
        <v>19</v>
      </c>
    </row>
    <row r="38828" spans="1:5" x14ac:dyDescent="0.25">
      <c r="A38828" t="str">
        <f>HYPERLINK("https://www.773grp.com/globalSearch/NCP565D2T33G/page-1", "NCP565D2T33G")</f>
        <v>NCP565D2T33G</v>
      </c>
      <c r="B38828" s="3" t="str">
        <f>HYPERLINK("https://www.773grp.com/manufacturer/onsemi?pageNo=884", "ON Semiconductor")</f>
        <v>ON Semiconductor</v>
      </c>
      <c r="C38828" s="6">
        <v>409</v>
      </c>
      <c r="D38828" s="7">
        <v>2.54</v>
      </c>
    </row>
    <row r="38829" spans="1:5" x14ac:dyDescent="0.25">
      <c r="A38829" t="str">
        <f>HYPERLINK("https://www.773grp.com/globalSearch/NCP565D2T33R4G/page-1", "NCP565D2T33R4G")</f>
        <v>NCP565D2T33R4G</v>
      </c>
      <c r="B38829" s="3" t="str">
        <f>HYPERLINK("https://www.773grp.com/manufacturer/onsemi?pageNo=885", "ON Semiconductor")</f>
        <v>ON Semiconductor</v>
      </c>
      <c r="C38829" s="6">
        <v>5902</v>
      </c>
      <c r="D38829" s="7">
        <v>2.54</v>
      </c>
      <c r="E38829" t="s">
        <v>19</v>
      </c>
    </row>
    <row r="38830" spans="1:5" x14ac:dyDescent="0.25">
      <c r="A38830" t="str">
        <f>HYPERLINK("https://www.773grp.com/globalSearch/NCP565D2TG/page-1", "NCP565D2TG")</f>
        <v>NCP565D2TG</v>
      </c>
      <c r="B38830" s="3" t="str">
        <f>HYPERLINK("https://www.773grp.com/manufacturer/onsemi?pageNo=886", "ON Semiconductor")</f>
        <v>ON Semiconductor</v>
      </c>
      <c r="C38830" s="6">
        <v>980</v>
      </c>
      <c r="D38830" s="7">
        <v>2.54</v>
      </c>
    </row>
    <row r="38831" spans="1:5" x14ac:dyDescent="0.25">
      <c r="A38831" t="str">
        <f>HYPERLINK("https://www.773grp.com/globalSearch/NCP565D2TR4G/page-1", "NCP565D2TR4G")</f>
        <v>NCP565D2TR4G</v>
      </c>
      <c r="B38831" s="3" t="str">
        <f>HYPERLINK("https://www.773grp.com/manufacturer/onsemi?pageNo=887", "ON Semiconductor")</f>
        <v>ON Semiconductor</v>
      </c>
      <c r="C38831" s="6">
        <v>85600</v>
      </c>
      <c r="D38831" s="7">
        <v>2.54</v>
      </c>
      <c r="E38831" t="s">
        <v>25</v>
      </c>
    </row>
    <row r="38832" spans="1:5" x14ac:dyDescent="0.25">
      <c r="A38832" t="str">
        <f>HYPERLINK("https://www.773grp.com/globalSearch/NCT72CMTR2G/page-1", "NCT72CMTR2G")</f>
        <v>NCT72CMTR2G</v>
      </c>
      <c r="B38832" s="3" t="str">
        <f>HYPERLINK("https://www.773grp.com/manufacturer/onsemi?pageNo=888", "ON Semiconductor")</f>
        <v>ON Semiconductor</v>
      </c>
      <c r="C38832" s="6">
        <v>82490</v>
      </c>
      <c r="D38832" s="7">
        <v>2.54</v>
      </c>
    </row>
    <row r="38833" spans="1:5" x14ac:dyDescent="0.25">
      <c r="A38833" t="str">
        <f>HYPERLINK("https://www.773grp.com/globalSearch/NCV2931ACDR2/page-1", "NCV2931ACDR2")</f>
        <v>NCV2931ACDR2</v>
      </c>
      <c r="B38833" s="3" t="str">
        <f>HYPERLINK("https://www.773grp.com/manufacturer/onsemi?pageNo=889", "ON Semiconductor")</f>
        <v>ON Semiconductor</v>
      </c>
      <c r="C38833" s="6">
        <v>1884</v>
      </c>
      <c r="D38833" s="7">
        <v>2.54</v>
      </c>
      <c r="E38833" t="s">
        <v>25</v>
      </c>
    </row>
    <row r="38834" spans="1:5" x14ac:dyDescent="0.25">
      <c r="A38834" t="str">
        <f>HYPERLINK("https://www.773grp.com/globalSearch/NCV2931ACDR2G/page-1", "NCV2931ACDR2G")</f>
        <v>NCV2931ACDR2G</v>
      </c>
      <c r="B38834" s="3" t="str">
        <f>HYPERLINK("https://www.773grp.com/manufacturer/onsemi?pageNo=890", "ON Semiconductor")</f>
        <v>ON Semiconductor</v>
      </c>
      <c r="C38834" s="6">
        <v>21032</v>
      </c>
      <c r="D38834" s="7">
        <v>2.54</v>
      </c>
    </row>
    <row r="38835" spans="1:5" x14ac:dyDescent="0.25">
      <c r="A38835" t="str">
        <f>HYPERLINK("https://www.773grp.com/globalSearch/NCV2931DT-5.0RKG/page-1", "NCV2931DT-5.0RKG")</f>
        <v>NCV2931DT-5.0RKG</v>
      </c>
      <c r="B38835" s="3" t="str">
        <f>HYPERLINK("https://www.773grp.com/manufacturer/onsemi?pageNo=891", "ON Semiconductor")</f>
        <v>ON Semiconductor</v>
      </c>
      <c r="C38835" s="6">
        <v>91500</v>
      </c>
      <c r="D38835" s="7">
        <v>2.54</v>
      </c>
      <c r="E38835" t="s">
        <v>19</v>
      </c>
    </row>
    <row r="38836" spans="1:5" x14ac:dyDescent="0.25">
      <c r="A38836" t="str">
        <f>HYPERLINK("https://www.773grp.com/globalSearch/NCV3011DTBR2G/page-1", "NCV3011DTBR2G")</f>
        <v>NCV3011DTBR2G</v>
      </c>
      <c r="B38836" s="3" t="str">
        <f>HYPERLINK("https://www.773grp.com/manufacturer/onsemi?pageNo=892", "ON Semiconductor")</f>
        <v>ON Semiconductor</v>
      </c>
      <c r="C38836" s="6">
        <v>7500</v>
      </c>
      <c r="D38836" s="7">
        <v>2.54</v>
      </c>
    </row>
    <row r="38837" spans="1:5" x14ac:dyDescent="0.25">
      <c r="A38837" t="str">
        <f>HYPERLINK("https://www.773grp.com/globalSearch/NCV3065DR2G/page-1", "NCV3065DR2G")</f>
        <v>NCV3065DR2G</v>
      </c>
      <c r="B38837" s="3" t="str">
        <f>HYPERLINK("https://www.773grp.com/manufacturer/onsemi?pageNo=893", "ON Semiconductor")</f>
        <v>ON Semiconductor</v>
      </c>
      <c r="C38837" s="6">
        <v>12828</v>
      </c>
      <c r="D38837" s="7">
        <v>2.54</v>
      </c>
      <c r="E38837" t="s">
        <v>10</v>
      </c>
    </row>
    <row r="38838" spans="1:5" x14ac:dyDescent="0.25">
      <c r="A38838" t="str">
        <f>HYPERLINK("https://www.773grp.com/globalSearch/NCV3065PG/page-1", "NCV3065PG")</f>
        <v>NCV3065PG</v>
      </c>
      <c r="B38838" s="3" t="str">
        <f>HYPERLINK("https://www.773grp.com/manufacturer/onsemi?pageNo=894", "ON Semiconductor")</f>
        <v>ON Semiconductor</v>
      </c>
      <c r="C38838" s="6">
        <v>8700</v>
      </c>
      <c r="D38838" s="7">
        <v>2.54</v>
      </c>
      <c r="E38838" t="s">
        <v>10</v>
      </c>
    </row>
    <row r="38839" spans="1:5" x14ac:dyDescent="0.25">
      <c r="A38839" t="str">
        <f>HYPERLINK("https://www.773grp.com/globalSearch/NCV4279BDW/page-1", "NCV4279BDW")</f>
        <v>NCV4279BDW</v>
      </c>
      <c r="B38839" s="3" t="str">
        <f>HYPERLINK("https://www.773grp.com/manufacturer/onsemi?pageNo=895", "ON Semiconductor")</f>
        <v>ON Semiconductor</v>
      </c>
      <c r="C38839" s="6">
        <v>3306</v>
      </c>
      <c r="D38839" s="7">
        <v>2.54</v>
      </c>
      <c r="E38839" t="s">
        <v>19</v>
      </c>
    </row>
    <row r="38840" spans="1:5" x14ac:dyDescent="0.25">
      <c r="A38840" t="str">
        <f>HYPERLINK("https://www.773grp.com/globalSearch/NCV5661DT12RKG/page-1", "NCV5661DT12RKG")</f>
        <v>NCV5661DT12RKG</v>
      </c>
      <c r="B38840" s="3" t="str">
        <f>HYPERLINK("https://www.773grp.com/manufacturer/onsemi?pageNo=896", "ON Semiconductor")</f>
        <v>ON Semiconductor</v>
      </c>
      <c r="C38840" s="6">
        <v>2500</v>
      </c>
      <c r="D38840" s="7">
        <v>2.54</v>
      </c>
      <c r="E38840" t="s">
        <v>19</v>
      </c>
    </row>
    <row r="38841" spans="1:5" x14ac:dyDescent="0.25">
      <c r="A38841" t="str">
        <f>HYPERLINK("https://www.773grp.com/globalSearch/NCV7356D2G/page-1", "NCV7356D2G")</f>
        <v>NCV7356D2G</v>
      </c>
      <c r="B38841" s="3" t="str">
        <f>HYPERLINK("https://www.773grp.com/manufacturer/onsemi?pageNo=897", "ON Semiconductor")</f>
        <v>ON Semiconductor</v>
      </c>
      <c r="C38841" s="6">
        <v>18775</v>
      </c>
      <c r="D38841" s="7">
        <v>2.54</v>
      </c>
    </row>
    <row r="38842" spans="1:5" x14ac:dyDescent="0.25">
      <c r="A38842" t="str">
        <f>HYPERLINK("https://www.773grp.com/globalSearch/NCV8501D100R2G/page-1", "NCV8501D100R2G")</f>
        <v>NCV8501D100R2G</v>
      </c>
      <c r="B38842" s="3" t="str">
        <f>HYPERLINK("https://www.773grp.com/manufacturer/onsemi?pageNo=898", "ON Semiconductor")</f>
        <v>ON Semiconductor</v>
      </c>
      <c r="C38842" s="6">
        <v>7817</v>
      </c>
      <c r="D38842" s="7">
        <v>2.54</v>
      </c>
      <c r="E38842" t="s">
        <v>19</v>
      </c>
    </row>
    <row r="38843" spans="1:5" x14ac:dyDescent="0.25">
      <c r="A38843" t="str">
        <f>HYPERLINK("https://www.773grp.com/globalSearch/NCV8501D33R2G/page-1", "NCV8501D33R2G")</f>
        <v>NCV8501D33R2G</v>
      </c>
      <c r="B38843" s="3" t="str">
        <f>HYPERLINK("https://www.773grp.com/manufacturer/onsemi?pageNo=899", "ON Semiconductor")</f>
        <v>ON Semiconductor</v>
      </c>
      <c r="C38843" s="6">
        <v>4475</v>
      </c>
      <c r="D38843" s="7">
        <v>2.54</v>
      </c>
      <c r="E38843" t="s">
        <v>19</v>
      </c>
    </row>
    <row r="38844" spans="1:5" x14ac:dyDescent="0.25">
      <c r="A38844" t="str">
        <f>HYPERLINK("https://www.773grp.com/globalSearch/NCV8501D50R2G/page-1", "NCV8501D50R2G")</f>
        <v>NCV8501D50R2G</v>
      </c>
      <c r="B38844" s="3" t="str">
        <f>HYPERLINK("https://www.773grp.com/manufacturer/onsemi?pageNo=900", "ON Semiconductor")</f>
        <v>ON Semiconductor</v>
      </c>
      <c r="C38844" s="6">
        <v>17500</v>
      </c>
      <c r="D38844" s="7">
        <v>2.54</v>
      </c>
      <c r="E38844" t="s">
        <v>19</v>
      </c>
    </row>
    <row r="38845" spans="1:5" x14ac:dyDescent="0.25">
      <c r="A38845" t="str">
        <f>HYPERLINK("https://www.773grp.com/globalSearch/NCV8501D80R2G/page-1", "NCV8501D80R2G")</f>
        <v>NCV8501D80R2G</v>
      </c>
      <c r="B38845" s="3" t="str">
        <f>HYPERLINK("https://www.773grp.com/manufacturer/onsemi?pageNo=901", "ON Semiconductor")</f>
        <v>ON Semiconductor</v>
      </c>
      <c r="C38845" s="6">
        <v>3700</v>
      </c>
      <c r="D38845" s="7">
        <v>2.54</v>
      </c>
    </row>
    <row r="38846" spans="1:5" x14ac:dyDescent="0.25">
      <c r="A38846" t="str">
        <f>HYPERLINK("https://www.773grp.com/globalSearch/NCV8501DADJR2G/page-1", "NCV8501DADJR2G")</f>
        <v>NCV8501DADJR2G</v>
      </c>
      <c r="B38846" s="3" t="str">
        <f>HYPERLINK("https://www.773grp.com/manufacturer/onsemi?pageNo=902", "ON Semiconductor")</f>
        <v>ON Semiconductor</v>
      </c>
      <c r="C38846" s="6">
        <v>1040</v>
      </c>
      <c r="D38846" s="7">
        <v>2.54</v>
      </c>
      <c r="E38846" t="s">
        <v>25</v>
      </c>
    </row>
    <row r="38847" spans="1:5" x14ac:dyDescent="0.25">
      <c r="A38847" t="str">
        <f>HYPERLINK("https://www.773grp.com/globalSearch/NCV8503PW50R2/page-1", "NCV8503PW50R2")</f>
        <v>NCV8503PW50R2</v>
      </c>
      <c r="B38847" s="3" t="str">
        <f>HYPERLINK("https://www.773grp.com/manufacturer/onsemi?pageNo=903", "ON Semiconductor")</f>
        <v>ON Semiconductor</v>
      </c>
      <c r="C38847" s="6">
        <v>8000</v>
      </c>
      <c r="D38847" s="7">
        <v>2.54</v>
      </c>
      <c r="E38847" t="s">
        <v>19</v>
      </c>
    </row>
    <row r="38848" spans="1:5" x14ac:dyDescent="0.25">
      <c r="A38848" t="str">
        <f>HYPERLINK("https://www.773grp.com/globalSearch/NCV8508DW50R2/page-1", "NCV8508DW50R2")</f>
        <v>NCV8508DW50R2</v>
      </c>
      <c r="B38848" s="3" t="str">
        <f>HYPERLINK("https://www.773grp.com/manufacturer/onsemi?pageNo=904", "ON Semiconductor")</f>
        <v>ON Semiconductor</v>
      </c>
      <c r="C38848" s="6">
        <v>5000</v>
      </c>
      <c r="D38848" s="7">
        <v>2.54</v>
      </c>
      <c r="E38848" t="s">
        <v>19</v>
      </c>
    </row>
    <row r="38849" spans="1:5" x14ac:dyDescent="0.25">
      <c r="A38849" t="str">
        <f>HYPERLINK("https://www.773grp.com/globalSearch/NE5230DG/page-1", "NE5230DG")</f>
        <v>NE5230DG</v>
      </c>
      <c r="B38849" s="3" t="str">
        <f>HYPERLINK("https://www.773grp.com/manufacturer/onsemi?pageNo=905", "ON Semiconductor")</f>
        <v>ON Semiconductor</v>
      </c>
      <c r="C38849" s="6">
        <v>294</v>
      </c>
      <c r="D38849" s="7">
        <v>2.54</v>
      </c>
    </row>
    <row r="38850" spans="1:5" x14ac:dyDescent="0.25">
      <c r="A38850" t="str">
        <f>HYPERLINK("https://www.773grp.com/globalSearch/NE5230DR2G/page-1", "NE5230DR2G")</f>
        <v>NE5230DR2G</v>
      </c>
      <c r="B38850" s="3" t="str">
        <f>HYPERLINK("https://www.773grp.com/manufacturer/onsemi?pageNo=906", "ON Semiconductor")</f>
        <v>ON Semiconductor</v>
      </c>
      <c r="C38850" s="6">
        <v>13727</v>
      </c>
      <c r="D38850" s="7">
        <v>2.54</v>
      </c>
    </row>
    <row r="38851" spans="1:5" x14ac:dyDescent="0.25">
      <c r="A38851" t="str">
        <f>HYPERLINK("https://www.773grp.com/globalSearch/NE5534ADG/page-1", "NE5534ADG")</f>
        <v>NE5534ADG</v>
      </c>
      <c r="B38851" s="3" t="str">
        <f>HYPERLINK("https://www.773grp.com/manufacturer/onsemi?pageNo=907", "ON Semiconductor")</f>
        <v>ON Semiconductor</v>
      </c>
      <c r="C38851" s="6">
        <v>880</v>
      </c>
      <c r="D38851" s="7">
        <v>2.54</v>
      </c>
      <c r="E38851" t="s">
        <v>13</v>
      </c>
    </row>
    <row r="38852" spans="1:5" x14ac:dyDescent="0.25">
      <c r="A38852" t="str">
        <f>HYPERLINK("https://www.773grp.com/globalSearch/NE5534ADR2G/page-1", "NE5534ADR2G")</f>
        <v>NE5534ADR2G</v>
      </c>
      <c r="B38852" s="3" t="str">
        <f>HYPERLINK("https://www.773grp.com/manufacturer/onsemi?pageNo=908", "ON Semiconductor")</f>
        <v>ON Semiconductor</v>
      </c>
      <c r="C38852" s="6">
        <v>8802</v>
      </c>
      <c r="D38852" s="7">
        <v>2.54</v>
      </c>
      <c r="E38852" t="s">
        <v>13</v>
      </c>
    </row>
    <row r="38853" spans="1:5" x14ac:dyDescent="0.25">
      <c r="A38853" t="str">
        <f>HYPERLINK("https://www.773grp.com/globalSearch/NTD4N60-001/page-1", "NTD4N60-001")</f>
        <v>NTD4N60-001</v>
      </c>
      <c r="B38853" s="3" t="str">
        <f>HYPERLINK("https://www.773grp.com/manufacturer/onsemi?pageNo=909", "ON Semiconductor")</f>
        <v>ON Semiconductor</v>
      </c>
      <c r="C38853" s="6">
        <v>150</v>
      </c>
      <c r="D38853" s="7">
        <v>2.54</v>
      </c>
    </row>
    <row r="38854" spans="1:5" x14ac:dyDescent="0.25">
      <c r="A38854" t="str">
        <f>HYPERLINK("https://www.773grp.com/globalSearch/NTD4N60T4/page-1", "NTD4N60T4")</f>
        <v>NTD4N60T4</v>
      </c>
      <c r="B38854" s="3" t="str">
        <f>HYPERLINK("https://www.773grp.com/manufacturer/onsemi?pageNo=910", "ON Semiconductor")</f>
        <v>ON Semiconductor</v>
      </c>
      <c r="C38854" s="6">
        <v>7138</v>
      </c>
      <c r="D38854" s="7">
        <v>2.54</v>
      </c>
      <c r="E38854" t="s">
        <v>105</v>
      </c>
    </row>
    <row r="38855" spans="1:5" x14ac:dyDescent="0.25">
      <c r="A38855" t="str">
        <f>HYPERLINK("https://www.773grp.com/globalSearch/NTD5N50T4/page-1", "NTD5N50T4")</f>
        <v>NTD5N50T4</v>
      </c>
      <c r="B38855" s="3" t="str">
        <f>HYPERLINK("https://www.773grp.com/manufacturer/onsemi?pageNo=911", "ON Semiconductor")</f>
        <v>ON Semiconductor</v>
      </c>
      <c r="C38855" s="6">
        <v>5000</v>
      </c>
      <c r="D38855" s="7">
        <v>2.54</v>
      </c>
      <c r="E38855" t="s">
        <v>105</v>
      </c>
    </row>
    <row r="38856" spans="1:5" x14ac:dyDescent="0.25">
      <c r="A38856" t="str">
        <f>HYPERLINK("https://www.773grp.com/globalSearch/NTD6N40/page-1", "NTD6N40")</f>
        <v>NTD6N40</v>
      </c>
      <c r="B38856" s="3" t="str">
        <f>HYPERLINK("https://www.773grp.com/manufacturer/onsemi?pageNo=912", "ON Semiconductor")</f>
        <v>ON Semiconductor</v>
      </c>
      <c r="C38856" s="6">
        <v>7801</v>
      </c>
      <c r="D38856" s="7">
        <v>2.54</v>
      </c>
      <c r="E38856" t="s">
        <v>105</v>
      </c>
    </row>
    <row r="38857" spans="1:5" x14ac:dyDescent="0.25">
      <c r="A38857" t="str">
        <f>HYPERLINK("https://www.773grp.com/globalSearch/NTD6N40-001/page-1", "NTD6N40-001")</f>
        <v>NTD6N40-001</v>
      </c>
      <c r="B38857" s="3" t="str">
        <f>HYPERLINK("https://www.773grp.com/manufacturer/onsemi?pageNo=913", "ON Semiconductor")</f>
        <v>ON Semiconductor</v>
      </c>
      <c r="C38857" s="6">
        <v>6300</v>
      </c>
      <c r="D38857" s="7">
        <v>2.54</v>
      </c>
    </row>
    <row r="38858" spans="1:5" x14ac:dyDescent="0.25">
      <c r="A38858" t="str">
        <f>HYPERLINK("https://www.773grp.com/globalSearch/NTD6N40T4/page-1", "NTD6N40T4")</f>
        <v>NTD6N40T4</v>
      </c>
      <c r="B38858" s="3" t="str">
        <f>HYPERLINK("https://www.773grp.com/manufacturer/onsemi?pageNo=914", "ON Semiconductor")</f>
        <v>ON Semiconductor</v>
      </c>
      <c r="C38858" s="6">
        <v>4960</v>
      </c>
      <c r="D38858" s="7">
        <v>2.54</v>
      </c>
      <c r="E38858" t="s">
        <v>105</v>
      </c>
    </row>
    <row r="38859" spans="1:5" x14ac:dyDescent="0.25">
      <c r="A38859" t="str">
        <f>HYPERLINK("https://www.773grp.com/globalSearch/NTTFS4932NTAG/page-1", "NTTFS4932NTAG")</f>
        <v>NTTFS4932NTAG</v>
      </c>
      <c r="B38859" s="3" t="str">
        <f>HYPERLINK("https://www.773grp.com/manufacturer/onsemi?pageNo=915", "ON Semiconductor")</f>
        <v>ON Semiconductor</v>
      </c>
      <c r="C38859" s="6">
        <v>96005</v>
      </c>
      <c r="D38859" s="7">
        <v>2.54</v>
      </c>
    </row>
    <row r="38860" spans="1:5" x14ac:dyDescent="0.25">
      <c r="A38860" t="str">
        <f>HYPERLINK("https://www.773grp.com/globalSearch/SE5532NG/page-1", "SE5532NG")</f>
        <v>SE5532NG</v>
      </c>
      <c r="B38860" s="3" t="str">
        <f>HYPERLINK("https://www.773grp.com/manufacturer/onsemi?pageNo=916", "ON Semiconductor")</f>
        <v>ON Semiconductor</v>
      </c>
      <c r="C38860" s="6">
        <v>4069</v>
      </c>
      <c r="D38860" s="7">
        <v>2.54</v>
      </c>
      <c r="E38860" t="s">
        <v>13</v>
      </c>
    </row>
    <row r="38861" spans="1:5" x14ac:dyDescent="0.25">
      <c r="A38861" t="str">
        <f>HYPERLINK("https://www.773grp.com/globalSearch/SN74LS623N/page-1", "SN74LS623N")</f>
        <v>SN74LS623N</v>
      </c>
      <c r="B38861" s="3" t="str">
        <f>HYPERLINK("https://www.773grp.com/manufacturer/onsemi?pageNo=917", "ON Semiconductor")</f>
        <v>ON Semiconductor</v>
      </c>
      <c r="C38861" s="6">
        <v>2464</v>
      </c>
      <c r="D38861" s="7">
        <v>2.54</v>
      </c>
      <c r="E38861" t="s">
        <v>14</v>
      </c>
    </row>
    <row r="38862" spans="1:5" x14ac:dyDescent="0.25">
      <c r="A38862" t="str">
        <f>HYPERLINK("https://www.773grp.com/globalSearch/MBR2090CT/page-1", "MBR2090CT")</f>
        <v>MBR2090CT</v>
      </c>
      <c r="B38862" s="3" t="str">
        <f>HYPERLINK("https://www.773grp.com/manufacturer/onsemi?pageNo=918", "ON Semiconductor")</f>
        <v>ON Semiconductor</v>
      </c>
      <c r="C38862" s="6">
        <v>130785</v>
      </c>
      <c r="D38862" s="7">
        <v>2.59</v>
      </c>
      <c r="E38862" t="s">
        <v>103</v>
      </c>
    </row>
    <row r="38863" spans="1:5" x14ac:dyDescent="0.25">
      <c r="A38863" t="str">
        <f>HYPERLINK("https://www.773grp.com/globalSearch/MBR2545CTG/page-1", "MBR2545CTG")</f>
        <v>MBR2545CTG</v>
      </c>
      <c r="B38863" s="3" t="str">
        <f>HYPERLINK("https://www.773grp.com/manufacturer/onsemi?pageNo=919", "ON Semiconductor")</f>
        <v>ON Semiconductor</v>
      </c>
      <c r="C38863" s="6">
        <v>183958</v>
      </c>
      <c r="D38863" s="7">
        <v>2.59</v>
      </c>
      <c r="E38863" t="s">
        <v>103</v>
      </c>
    </row>
    <row r="38864" spans="1:5" x14ac:dyDescent="0.25">
      <c r="A38864" t="str">
        <f>HYPERLINK("https://www.773grp.com/globalSearch/MBR30H60CTG/page-1", "MBR30H60CTG")</f>
        <v>MBR30H60CTG</v>
      </c>
      <c r="B38864" s="3" t="str">
        <f>HYPERLINK("https://www.773grp.com/manufacturer/onsemi?pageNo=920", "ON Semiconductor")</f>
        <v>ON Semiconductor</v>
      </c>
      <c r="C38864" s="6">
        <v>188067</v>
      </c>
      <c r="D38864" s="7">
        <v>2.59</v>
      </c>
      <c r="E38864" t="s">
        <v>103</v>
      </c>
    </row>
    <row r="38865" spans="1:5" x14ac:dyDescent="0.25">
      <c r="A38865" t="str">
        <f>HYPERLINK("https://www.773grp.com/globalSearch/MBR30H60CTH/page-1", "MBR30H60CTH")</f>
        <v>MBR30H60CTH</v>
      </c>
      <c r="B38865" s="3" t="str">
        <f>HYPERLINK("https://www.773grp.com/manufacturer/onsemi?pageNo=921", "ON Semiconductor")</f>
        <v>ON Semiconductor</v>
      </c>
      <c r="C38865" s="6">
        <v>9550</v>
      </c>
      <c r="D38865" s="7">
        <v>2.59</v>
      </c>
    </row>
    <row r="38866" spans="1:5" x14ac:dyDescent="0.25">
      <c r="A38866" t="str">
        <f>HYPERLINK("https://www.773grp.com/globalSearch/MBRB30H60CTT4G/page-1", "MBRB30H60CTT4G")</f>
        <v>MBRB30H60CTT4G</v>
      </c>
      <c r="B38866" s="3" t="str">
        <f>HYPERLINK("https://www.773grp.com/manufacturer/onsemi?pageNo=922", "ON Semiconductor")</f>
        <v>ON Semiconductor</v>
      </c>
      <c r="C38866" s="6">
        <v>84300</v>
      </c>
      <c r="D38866" s="7">
        <v>2.59</v>
      </c>
    </row>
    <row r="38867" spans="1:5" x14ac:dyDescent="0.25">
      <c r="A38867" t="str">
        <f>HYPERLINK("https://www.773grp.com/globalSearch/MBRF30H60CTG/page-1", "MBRF30H60CTG")</f>
        <v>MBRF30H60CTG</v>
      </c>
      <c r="B38867" s="3" t="str">
        <f>HYPERLINK("https://www.773grp.com/manufacturer/onsemi?pageNo=923", "ON Semiconductor")</f>
        <v>ON Semiconductor</v>
      </c>
      <c r="C38867" s="6">
        <v>235447</v>
      </c>
      <c r="D38867" s="7">
        <v>2.59</v>
      </c>
      <c r="E38867" t="s">
        <v>103</v>
      </c>
    </row>
    <row r="38868" spans="1:5" x14ac:dyDescent="0.25">
      <c r="A38868" t="str">
        <f>HYPERLINK("https://www.773grp.com/globalSearch/MC14C88BDR2/page-1", "MC14C88BDR2")</f>
        <v>MC14C88BDR2</v>
      </c>
      <c r="B38868" s="3" t="str">
        <f>HYPERLINK("https://www.773grp.com/manufacturer/onsemi?pageNo=924", "ON Semiconductor")</f>
        <v>ON Semiconductor</v>
      </c>
      <c r="C38868" s="6">
        <v>2500</v>
      </c>
      <c r="D38868" s="7">
        <v>2.59</v>
      </c>
      <c r="E38868" t="s">
        <v>21</v>
      </c>
    </row>
    <row r="38869" spans="1:5" x14ac:dyDescent="0.25">
      <c r="A38869" t="str">
        <f>HYPERLINK("https://www.773grp.com/globalSearch/MC74AC259N/page-1", "MC74AC259N")</f>
        <v>MC74AC259N</v>
      </c>
      <c r="B38869" s="3" t="str">
        <f>HYPERLINK("https://www.773grp.com/manufacturer/onsemi?pageNo=925", "ON Semiconductor")</f>
        <v>ON Semiconductor</v>
      </c>
      <c r="C38869" s="6">
        <v>300</v>
      </c>
      <c r="D38869" s="7">
        <v>2.59</v>
      </c>
      <c r="E38869" t="s">
        <v>35</v>
      </c>
    </row>
    <row r="38870" spans="1:5" x14ac:dyDescent="0.25">
      <c r="A38870" t="str">
        <f>HYPERLINK("https://www.773grp.com/globalSearch/MC74ACT259N/page-1", "MC74ACT259N")</f>
        <v>MC74ACT259N</v>
      </c>
      <c r="B38870" s="3" t="str">
        <f>HYPERLINK("https://www.773grp.com/manufacturer/onsemi?pageNo=926", "ON Semiconductor")</f>
        <v>ON Semiconductor</v>
      </c>
      <c r="C38870" s="6">
        <v>1550</v>
      </c>
      <c r="D38870" s="7">
        <v>2.59</v>
      </c>
      <c r="E38870" t="s">
        <v>35</v>
      </c>
    </row>
    <row r="38871" spans="1:5" x14ac:dyDescent="0.25">
      <c r="A38871" t="str">
        <f>HYPERLINK("https://www.773grp.com/globalSearch/MTP6P20E/page-1", "MTP6P20E")</f>
        <v>MTP6P20E</v>
      </c>
      <c r="B38871" s="3" t="str">
        <f>HYPERLINK("https://www.773grp.com/manufacturer/onsemi?pageNo=927", "ON Semiconductor")</f>
        <v>ON Semiconductor</v>
      </c>
      <c r="C38871" s="6">
        <v>1</v>
      </c>
      <c r="D38871" s="7">
        <v>2.59</v>
      </c>
      <c r="E38871" t="s">
        <v>105</v>
      </c>
    </row>
    <row r="38872" spans="1:5" x14ac:dyDescent="0.25">
      <c r="A38872" t="str">
        <f>HYPERLINK("https://www.773grp.com/globalSearch/NCP1212PG/page-1", "NCP1212PG")</f>
        <v>NCP1212PG</v>
      </c>
      <c r="B38872" s="3" t="str">
        <f>HYPERLINK("https://www.773grp.com/manufacturer/onsemi?pageNo=928", "ON Semiconductor")</f>
        <v>ON Semiconductor</v>
      </c>
      <c r="C38872" s="6">
        <v>3908</v>
      </c>
      <c r="D38872" s="7">
        <v>2.59</v>
      </c>
      <c r="E38872" t="s">
        <v>7</v>
      </c>
    </row>
    <row r="38873" spans="1:5" x14ac:dyDescent="0.25">
      <c r="A38873" t="str">
        <f>HYPERLINK("https://www.773grp.com/globalSearch/NCP1573D/page-1", "NCP1573D")</f>
        <v>NCP1573D</v>
      </c>
      <c r="B38873" s="3" t="str">
        <f>HYPERLINK("https://www.773grp.com/manufacturer/onsemi?pageNo=929", "ON Semiconductor")</f>
        <v>ON Semiconductor</v>
      </c>
      <c r="C38873" s="6">
        <v>1568</v>
      </c>
      <c r="D38873" s="7">
        <v>2.59</v>
      </c>
      <c r="E38873" t="s">
        <v>7</v>
      </c>
    </row>
    <row r="38874" spans="1:5" x14ac:dyDescent="0.25">
      <c r="A38874" t="str">
        <f>HYPERLINK("https://www.773grp.com/globalSearch/NCP1573DR2/page-1", "NCP1573DR2")</f>
        <v>NCP1573DR2</v>
      </c>
      <c r="B38874" s="3" t="str">
        <f>HYPERLINK("https://www.773grp.com/manufacturer/onsemi?pageNo=930", "ON Semiconductor")</f>
        <v>ON Semiconductor</v>
      </c>
      <c r="C38874" s="6">
        <v>2500</v>
      </c>
      <c r="D38874" s="7">
        <v>2.59</v>
      </c>
      <c r="E38874" t="s">
        <v>7</v>
      </c>
    </row>
    <row r="38875" spans="1:5" x14ac:dyDescent="0.25">
      <c r="A38875" t="str">
        <f>HYPERLINK("https://www.773grp.com/globalSearch/NCP6131NS52MNR2G/page-1", "NCP6131NS52MNR2G")</f>
        <v>NCP6131NS52MNR2G</v>
      </c>
      <c r="B38875" s="3" t="str">
        <f>HYPERLINK("https://www.773grp.com/manufacturer/onsemi?pageNo=931", "ON Semiconductor")</f>
        <v>ON Semiconductor</v>
      </c>
      <c r="C38875" s="6">
        <v>10000</v>
      </c>
      <c r="D38875" s="7">
        <v>2.59</v>
      </c>
    </row>
    <row r="38876" spans="1:5" x14ac:dyDescent="0.25">
      <c r="A38876" t="str">
        <f>HYPERLINK("https://www.773grp.com/globalSearch/NCP623MN-50R2/page-1", "NCP623MN-50R2")</f>
        <v>NCP623MN-50R2</v>
      </c>
      <c r="B38876" s="3" t="str">
        <f>HYPERLINK("https://www.773grp.com/manufacturer/onsemi?pageNo=932", "ON Semiconductor")</f>
        <v>ON Semiconductor</v>
      </c>
      <c r="C38876" s="6">
        <v>3000</v>
      </c>
      <c r="D38876" s="7">
        <v>2.59</v>
      </c>
      <c r="E38876" t="s">
        <v>19</v>
      </c>
    </row>
    <row r="38877" spans="1:5" x14ac:dyDescent="0.25">
      <c r="A38877" t="str">
        <f>HYPERLINK("https://www.773grp.com/globalSearch/NE5230N/page-1", "NE5230N")</f>
        <v>NE5230N</v>
      </c>
      <c r="B38877" s="3" t="str">
        <f>HYPERLINK("https://www.773grp.com/manufacturer/onsemi?pageNo=933", "ON Semiconductor")</f>
        <v>ON Semiconductor</v>
      </c>
      <c r="C38877" s="6">
        <v>850</v>
      </c>
      <c r="D38877" s="7">
        <v>2.59</v>
      </c>
      <c r="E38877" t="s">
        <v>13</v>
      </c>
    </row>
    <row r="38878" spans="1:5" x14ac:dyDescent="0.25">
      <c r="A38878" t="str">
        <f>HYPERLINK("https://www.773grp.com/globalSearch/NE5230NG/page-1", "NE5230NG")</f>
        <v>NE5230NG</v>
      </c>
      <c r="B38878" s="3" t="str">
        <f>HYPERLINK("https://www.773grp.com/manufacturer/onsemi?pageNo=934", "ON Semiconductor")</f>
        <v>ON Semiconductor</v>
      </c>
      <c r="C38878" s="6">
        <v>2416</v>
      </c>
      <c r="D38878" s="7">
        <v>2.59</v>
      </c>
      <c r="E38878" t="s">
        <v>13</v>
      </c>
    </row>
    <row r="38879" spans="1:5" x14ac:dyDescent="0.25">
      <c r="A38879" t="str">
        <f>HYPERLINK("https://www.773grp.com/globalSearch/NE553ANG/page-1", "NE553ANG")</f>
        <v>NE553ANG</v>
      </c>
      <c r="B38879" s="3" t="str">
        <f>HYPERLINK("https://www.773grp.com/manufacturer/onsemi?pageNo=935", "ON Semiconductor")</f>
        <v>ON Semiconductor</v>
      </c>
      <c r="C38879" s="6">
        <v>650</v>
      </c>
      <c r="D38879" s="7">
        <v>2.59</v>
      </c>
    </row>
    <row r="38880" spans="1:5" x14ac:dyDescent="0.25">
      <c r="A38880" t="str">
        <f>HYPERLINK("https://www.773grp.com/globalSearch/SA5534AN/page-1", "SA5534AN")</f>
        <v>SA5534AN</v>
      </c>
      <c r="B38880" s="3" t="str">
        <f>HYPERLINK("https://www.773grp.com/manufacturer/onsemi?pageNo=936", "ON Semiconductor")</f>
        <v>ON Semiconductor</v>
      </c>
      <c r="C38880" s="6">
        <v>1000</v>
      </c>
      <c r="D38880" s="7">
        <v>2.59</v>
      </c>
      <c r="E38880" t="s">
        <v>13</v>
      </c>
    </row>
    <row r="38881" spans="1:5" x14ac:dyDescent="0.25">
      <c r="A38881" t="str">
        <f>HYPERLINK("https://www.773grp.com/globalSearch/2N6394/page-1", "2N6394")</f>
        <v>2N6394</v>
      </c>
      <c r="B38881" s="3" t="str">
        <f>HYPERLINK("https://www.773grp.com/manufacturer/onsemi?pageNo=937", "ON Semiconductor")</f>
        <v>ON Semiconductor</v>
      </c>
      <c r="C38881" s="6">
        <v>500</v>
      </c>
      <c r="D38881" s="7">
        <v>2.64</v>
      </c>
      <c r="E38881" t="s">
        <v>59</v>
      </c>
    </row>
    <row r="38882" spans="1:5" x14ac:dyDescent="0.25">
      <c r="A38882" t="str">
        <f>HYPERLINK("https://www.773grp.com/globalSearch/2N6394G/page-1", "2N6394G")</f>
        <v>2N6394G</v>
      </c>
      <c r="B38882" s="3" t="str">
        <f>HYPERLINK("https://www.773grp.com/manufacturer/onsemi?pageNo=938", "ON Semiconductor")</f>
        <v>ON Semiconductor</v>
      </c>
      <c r="C38882" s="6">
        <v>5250</v>
      </c>
      <c r="D38882" s="7">
        <v>2.64</v>
      </c>
      <c r="E38882" t="s">
        <v>97</v>
      </c>
    </row>
    <row r="38883" spans="1:5" x14ac:dyDescent="0.25">
      <c r="A38883" t="str">
        <f>HYPERLINK("https://www.773grp.com/globalSearch/2N6394TG/page-1", "2N6394TG")</f>
        <v>2N6394TG</v>
      </c>
      <c r="B38883" s="3" t="str">
        <f>HYPERLINK("https://www.773grp.com/manufacturer/onsemi?pageNo=939", "ON Semiconductor")</f>
        <v>ON Semiconductor</v>
      </c>
      <c r="C38883" s="6">
        <v>1000</v>
      </c>
      <c r="D38883" s="7">
        <v>2.64</v>
      </c>
      <c r="E38883" t="s">
        <v>97</v>
      </c>
    </row>
    <row r="38884" spans="1:5" x14ac:dyDescent="0.25">
      <c r="A38884" t="str">
        <f>HYPERLINK("https://www.773grp.com/globalSearch/2N6395G/page-1", "2N6395G")</f>
        <v>2N6395G</v>
      </c>
      <c r="B38884" s="3" t="str">
        <f>HYPERLINK("https://www.773grp.com/manufacturer/onsemi?pageNo=940", "ON Semiconductor")</f>
        <v>ON Semiconductor</v>
      </c>
      <c r="C38884" s="6">
        <v>11000</v>
      </c>
      <c r="D38884" s="7">
        <v>2.64</v>
      </c>
      <c r="E38884" t="s">
        <v>97</v>
      </c>
    </row>
    <row r="38885" spans="1:5" x14ac:dyDescent="0.25">
      <c r="A38885" t="str">
        <f>HYPERLINK("https://www.773grp.com/globalSearch/2N6397G/page-1", "2N6397G")</f>
        <v>2N6397G</v>
      </c>
      <c r="B38885" s="3" t="str">
        <f>HYPERLINK("https://www.773grp.com/manufacturer/onsemi?pageNo=941", "ON Semiconductor")</f>
        <v>ON Semiconductor</v>
      </c>
      <c r="C38885" s="6">
        <v>556</v>
      </c>
      <c r="D38885" s="7">
        <v>2.64</v>
      </c>
      <c r="E38885" t="s">
        <v>97</v>
      </c>
    </row>
    <row r="38886" spans="1:5" x14ac:dyDescent="0.25">
      <c r="A38886" t="str">
        <f>HYPERLINK("https://www.773grp.com/globalSearch/2N6397TG/page-1", "2N6397TG")</f>
        <v>2N6397TG</v>
      </c>
      <c r="B38886" s="3" t="str">
        <f>HYPERLINK("https://www.773grp.com/manufacturer/onsemi?pageNo=942", "ON Semiconductor")</f>
        <v>ON Semiconductor</v>
      </c>
      <c r="C38886" s="6">
        <v>246</v>
      </c>
      <c r="D38886" s="7">
        <v>2.64</v>
      </c>
      <c r="E38886" t="s">
        <v>97</v>
      </c>
    </row>
    <row r="38887" spans="1:5" x14ac:dyDescent="0.25">
      <c r="A38887" t="str">
        <f>HYPERLINK("https://www.773grp.com/globalSearch/74VCXH16245DTRG/page-1", "74VCXH16245DTRG")</f>
        <v>74VCXH16245DTRG</v>
      </c>
      <c r="B38887" s="3" t="str">
        <f>HYPERLINK("https://www.773grp.com/manufacturer/onsemi?pageNo=943", "ON Semiconductor")</f>
        <v>ON Semiconductor</v>
      </c>
      <c r="C38887" s="6">
        <v>281</v>
      </c>
      <c r="D38887" s="7">
        <v>2.64</v>
      </c>
      <c r="E38887" t="s">
        <v>14</v>
      </c>
    </row>
    <row r="38888" spans="1:5" x14ac:dyDescent="0.25">
      <c r="A38888" t="str">
        <f>HYPERLINK("https://www.773grp.com/globalSearch/ADP3192JCPZ-RL/page-1", "ADP3192JCPZ-RL")</f>
        <v>ADP3192JCPZ-RL</v>
      </c>
      <c r="B38888" s="3" t="str">
        <f>HYPERLINK("https://www.773grp.com/manufacturer/onsemi?pageNo=944", "ON Semiconductor")</f>
        <v>ON Semiconductor</v>
      </c>
      <c r="C38888" s="6">
        <v>2500</v>
      </c>
      <c r="D38888" s="7">
        <v>2.64</v>
      </c>
      <c r="E38888" t="s">
        <v>7</v>
      </c>
    </row>
    <row r="38889" spans="1:5" x14ac:dyDescent="0.25">
      <c r="A38889" t="str">
        <f>HYPERLINK("https://www.773grp.com/globalSearch/BUL642D2G/page-1", "BUL642D2G")</f>
        <v>BUL642D2G</v>
      </c>
      <c r="B38889" s="3" t="str">
        <f>HYPERLINK("https://www.773grp.com/manufacturer/onsemi?pageNo=945", "ON Semiconductor")</f>
        <v>ON Semiconductor</v>
      </c>
      <c r="C38889" s="6">
        <v>1350</v>
      </c>
      <c r="D38889" s="7">
        <v>2.64</v>
      </c>
      <c r="E38889" t="s">
        <v>59</v>
      </c>
    </row>
    <row r="38890" spans="1:5" x14ac:dyDescent="0.25">
      <c r="A38890" t="str">
        <f>HYPERLINK("https://www.773grp.com/globalSearch/C122F1G/page-1", "C122F1G")</f>
        <v>C122F1G</v>
      </c>
      <c r="B38890" s="3" t="str">
        <f>HYPERLINK("https://www.773grp.com/manufacturer/onsemi?pageNo=946", "ON Semiconductor")</f>
        <v>ON Semiconductor</v>
      </c>
      <c r="C38890" s="6">
        <v>12733</v>
      </c>
      <c r="D38890" s="7">
        <v>2.64</v>
      </c>
      <c r="E38890" t="s">
        <v>97</v>
      </c>
    </row>
    <row r="38891" spans="1:5" x14ac:dyDescent="0.25">
      <c r="A38891" t="str">
        <f>HYPERLINK("https://www.773grp.com/globalSearch/CAT150029SWI-GT3/page-1", "CAT150029SWI-GT3")</f>
        <v>CAT150029SWI-GT3</v>
      </c>
      <c r="B38891" s="3" t="str">
        <f>HYPERLINK("https://www.773grp.com/manufacturer/onsemi?pageNo=947", "ON Semiconductor")</f>
        <v>ON Semiconductor</v>
      </c>
      <c r="C38891" s="6">
        <v>30000</v>
      </c>
      <c r="D38891" s="7">
        <v>2.64</v>
      </c>
      <c r="E38891" t="s">
        <v>64</v>
      </c>
    </row>
    <row r="38892" spans="1:5" x14ac:dyDescent="0.25">
      <c r="A38892" t="str">
        <f>HYPERLINK("https://www.773grp.com/globalSearch/CAT5110TBI-00GT3/page-1", "CAT5110TBI-00GT3")</f>
        <v>CAT5110TBI-00GT3</v>
      </c>
      <c r="B38892" s="3" t="str">
        <f>HYPERLINK("https://www.773grp.com/manufacturer/onsemi?pageNo=948", "ON Semiconductor")</f>
        <v>ON Semiconductor</v>
      </c>
      <c r="C38892" s="6">
        <v>3000</v>
      </c>
      <c r="D38892" s="7">
        <v>2.64</v>
      </c>
      <c r="E38892" t="s">
        <v>99</v>
      </c>
    </row>
    <row r="38893" spans="1:5" x14ac:dyDescent="0.25">
      <c r="A38893" t="str">
        <f>HYPERLINK("https://www.773grp.com/globalSearch/CAT5110TBI-10GT3/page-1", "CAT5110TBI-10GT3")</f>
        <v>CAT5110TBI-10GT3</v>
      </c>
      <c r="B38893" s="3" t="str">
        <f>HYPERLINK("https://www.773grp.com/manufacturer/onsemi?pageNo=949", "ON Semiconductor")</f>
        <v>ON Semiconductor</v>
      </c>
      <c r="C38893" s="6">
        <v>3000</v>
      </c>
      <c r="D38893" s="7">
        <v>2.64</v>
      </c>
    </row>
    <row r="38894" spans="1:5" x14ac:dyDescent="0.25">
      <c r="A38894" t="str">
        <f>HYPERLINK("https://www.773grp.com/globalSearch/CAT5110TBI-10-T3/page-1", "CAT5110TBI-10-T3")</f>
        <v>CAT5110TBI-10-T3</v>
      </c>
      <c r="B38894" s="3" t="str">
        <f>HYPERLINK("https://www.773grp.com/manufacturer/onsemi?pageNo=950", "ON Semiconductor")</f>
        <v>ON Semiconductor</v>
      </c>
      <c r="C38894" s="6">
        <v>21000</v>
      </c>
      <c r="D38894" s="7">
        <v>2.64</v>
      </c>
      <c r="E38894" t="s">
        <v>99</v>
      </c>
    </row>
    <row r="38895" spans="1:5" x14ac:dyDescent="0.25">
      <c r="A38895" t="str">
        <f>HYPERLINK("https://www.773grp.com/globalSearch/CAT5110TBI-50GT3/page-1", "CAT5110TBI-50GT3")</f>
        <v>CAT5110TBI-50GT3</v>
      </c>
      <c r="B38895" s="3" t="str">
        <f>HYPERLINK("https://www.773grp.com/manufacturer/onsemi?pageNo=951", "ON Semiconductor")</f>
        <v>ON Semiconductor</v>
      </c>
      <c r="C38895" s="6">
        <v>14500</v>
      </c>
      <c r="D38895" s="7">
        <v>2.64</v>
      </c>
      <c r="E38895" t="s">
        <v>99</v>
      </c>
    </row>
    <row r="38896" spans="1:5" x14ac:dyDescent="0.25">
      <c r="A38896" t="str">
        <f>HYPERLINK("https://www.773grp.com/globalSearch/CS3842AGN8/page-1", "CS3842AGN8")</f>
        <v>CS3842AGN8</v>
      </c>
      <c r="B38896" s="3" t="str">
        <f>HYPERLINK("https://www.773grp.com/manufacturer/onsemi?pageNo=952", "ON Semiconductor")</f>
        <v>ON Semiconductor</v>
      </c>
      <c r="C38896" s="6">
        <v>48</v>
      </c>
      <c r="D38896" s="7">
        <v>2.64</v>
      </c>
      <c r="E38896" t="s">
        <v>7</v>
      </c>
    </row>
    <row r="38897" spans="1:5" x14ac:dyDescent="0.25">
      <c r="A38897" t="str">
        <f>HYPERLINK("https://www.773grp.com/globalSearch/CS41000ZR3/page-1", "CS41000ZR3")</f>
        <v>CS41000ZR3</v>
      </c>
      <c r="B38897" s="3" t="str">
        <f>HYPERLINK("https://www.773grp.com/manufacturer/onsemi?pageNo=953", "ON Semiconductor")</f>
        <v>ON Semiconductor</v>
      </c>
      <c r="C38897" s="6">
        <v>6803</v>
      </c>
      <c r="D38897" s="7">
        <v>2.64</v>
      </c>
    </row>
    <row r="38898" spans="1:5" x14ac:dyDescent="0.25">
      <c r="A38898" t="str">
        <f>HYPERLINK("https://www.773grp.com/globalSearch/CS51031GD8G/page-1", "CS51031GD8G")</f>
        <v>CS51031GD8G</v>
      </c>
      <c r="B38898" s="3" t="str">
        <f>HYPERLINK("https://www.773grp.com/manufacturer/onsemi?pageNo=954", "ON Semiconductor")</f>
        <v>ON Semiconductor</v>
      </c>
      <c r="C38898" s="6">
        <v>3430</v>
      </c>
      <c r="D38898" s="7">
        <v>2.64</v>
      </c>
      <c r="E38898" t="s">
        <v>7</v>
      </c>
    </row>
    <row r="38899" spans="1:5" x14ac:dyDescent="0.25">
      <c r="A38899" t="str">
        <f>HYPERLINK("https://www.773grp.com/globalSearch/CS51031GDR8G/page-1", "CS51031GDR8G")</f>
        <v>CS51031GDR8G</v>
      </c>
      <c r="B38899" s="3" t="str">
        <f>HYPERLINK("https://www.773grp.com/manufacturer/onsemi?pageNo=955", "ON Semiconductor")</f>
        <v>ON Semiconductor</v>
      </c>
      <c r="C38899" s="6">
        <v>12240</v>
      </c>
      <c r="D38899" s="7">
        <v>2.64</v>
      </c>
      <c r="E38899" t="s">
        <v>7</v>
      </c>
    </row>
    <row r="38900" spans="1:5" x14ac:dyDescent="0.25">
      <c r="A38900" t="str">
        <f>HYPERLINK("https://www.773grp.com/globalSearch/CS51031YD8G/page-1", "CS51031YD8G")</f>
        <v>CS51031YD8G</v>
      </c>
      <c r="B38900" s="3" t="str">
        <f>HYPERLINK("https://www.773grp.com/manufacturer/onsemi?pageNo=956", "ON Semiconductor")</f>
        <v>ON Semiconductor</v>
      </c>
      <c r="C38900" s="6">
        <v>556</v>
      </c>
      <c r="D38900" s="7">
        <v>2.64</v>
      </c>
      <c r="E38900" t="s">
        <v>7</v>
      </c>
    </row>
    <row r="38901" spans="1:5" x14ac:dyDescent="0.25">
      <c r="A38901" t="str">
        <f>HYPERLINK("https://www.773grp.com/globalSearch/CS51033GD8G/page-1", "CS51033GD8G")</f>
        <v>CS51033GD8G</v>
      </c>
      <c r="B38901" s="3" t="str">
        <f>HYPERLINK("https://www.773grp.com/manufacturer/onsemi?pageNo=957", "ON Semiconductor")</f>
        <v>ON Semiconductor</v>
      </c>
      <c r="C38901" s="6">
        <v>3920</v>
      </c>
      <c r="D38901" s="7">
        <v>2.64</v>
      </c>
      <c r="E38901" t="s">
        <v>7</v>
      </c>
    </row>
    <row r="38902" spans="1:5" x14ac:dyDescent="0.25">
      <c r="A38902" t="str">
        <f>HYPERLINK("https://www.773grp.com/globalSearch/CS51033GDR8G/page-1", "CS51033GDR8G")</f>
        <v>CS51033GDR8G</v>
      </c>
      <c r="B38902" s="3" t="str">
        <f>HYPERLINK("https://www.773grp.com/manufacturer/onsemi?pageNo=958", "ON Semiconductor")</f>
        <v>ON Semiconductor</v>
      </c>
      <c r="C38902" s="6">
        <v>27450</v>
      </c>
      <c r="D38902" s="7">
        <v>2.64</v>
      </c>
      <c r="E38902" t="s">
        <v>7</v>
      </c>
    </row>
    <row r="38903" spans="1:5" x14ac:dyDescent="0.25">
      <c r="A38903" t="str">
        <f>HYPERLINK("https://www.773grp.com/globalSearch/CS51033YD8G/page-1", "CS51033YD8G")</f>
        <v>CS51033YD8G</v>
      </c>
      <c r="B38903" s="3" t="str">
        <f>HYPERLINK("https://www.773grp.com/manufacturer/onsemi?pageNo=959", "ON Semiconductor")</f>
        <v>ON Semiconductor</v>
      </c>
      <c r="C38903" s="6">
        <v>3689</v>
      </c>
      <c r="D38903" s="7">
        <v>2.64</v>
      </c>
      <c r="E38903" t="s">
        <v>7</v>
      </c>
    </row>
    <row r="38904" spans="1:5" x14ac:dyDescent="0.25">
      <c r="A38904" t="str">
        <f>HYPERLINK("https://www.773grp.com/globalSearch/CS51033YDR8G/page-1", "CS51033YDR8G")</f>
        <v>CS51033YDR8G</v>
      </c>
      <c r="B38904" s="3" t="str">
        <f>HYPERLINK("https://www.773grp.com/manufacturer/onsemi?pageNo=960", "ON Semiconductor")</f>
        <v>ON Semiconductor</v>
      </c>
      <c r="C38904" s="6">
        <v>15000</v>
      </c>
      <c r="D38904" s="7">
        <v>2.64</v>
      </c>
      <c r="E38904" t="s">
        <v>7</v>
      </c>
    </row>
    <row r="38905" spans="1:5" x14ac:dyDescent="0.25">
      <c r="A38905" t="str">
        <f>HYPERLINK("https://www.773grp.com/globalSearch/CS8271YN8/page-1", "CS8271YN8")</f>
        <v>CS8271YN8</v>
      </c>
      <c r="B38905" s="3" t="str">
        <f>HYPERLINK("https://www.773grp.com/manufacturer/onsemi?pageNo=961", "ON Semiconductor")</f>
        <v>ON Semiconductor</v>
      </c>
      <c r="C38905" s="6">
        <v>1835</v>
      </c>
      <c r="D38905" s="7">
        <v>2.64</v>
      </c>
      <c r="E38905" t="s">
        <v>25</v>
      </c>
    </row>
    <row r="38906" spans="1:5" x14ac:dyDescent="0.25">
      <c r="A38906" t="str">
        <f>HYPERLINK("https://www.773grp.com/globalSearch/LB11850VA-TLM-H/page-1", "LB11850VA-TLM-H")</f>
        <v>LB11850VA-TLM-H</v>
      </c>
      <c r="B38906" s="3" t="str">
        <f>HYPERLINK("https://www.773grp.com/manufacturer/onsemi?pageNo=962", "ON Semiconductor")</f>
        <v>ON Semiconductor</v>
      </c>
      <c r="C38906" s="6">
        <v>46000</v>
      </c>
      <c r="D38906" s="7">
        <v>2.64</v>
      </c>
    </row>
    <row r="38907" spans="1:5" x14ac:dyDescent="0.25">
      <c r="A38907" t="str">
        <f>HYPERLINK("https://www.773grp.com/globalSearch/LC03-6R2G/page-1", "LC03-6R2G")</f>
        <v>LC03-6R2G</v>
      </c>
      <c r="B38907" s="3" t="str">
        <f>HYPERLINK("https://www.773grp.com/manufacturer/onsemi?pageNo=963", "ON Semiconductor")</f>
        <v>ON Semiconductor</v>
      </c>
      <c r="C38907" s="6">
        <v>2500</v>
      </c>
      <c r="D38907" s="7">
        <v>2.64</v>
      </c>
    </row>
    <row r="38908" spans="1:5" x14ac:dyDescent="0.25">
      <c r="A38908" t="str">
        <f>HYPERLINK("https://www.773grp.com/globalSearch/MAC15MG/page-1", "MAC15MG")</f>
        <v>MAC15MG</v>
      </c>
      <c r="B38908" s="3" t="str">
        <f>HYPERLINK("https://www.773grp.com/manufacturer/onsemi?pageNo=964", "ON Semiconductor")</f>
        <v>ON Semiconductor</v>
      </c>
      <c r="C38908" s="6">
        <v>4508</v>
      </c>
      <c r="D38908" s="7">
        <v>2.64</v>
      </c>
      <c r="E38908" t="s">
        <v>102</v>
      </c>
    </row>
    <row r="38909" spans="1:5" x14ac:dyDescent="0.25">
      <c r="A38909" t="str">
        <f>HYPERLINK("https://www.773grp.com/globalSearch/MAC15NG/page-1", "MAC15NG")</f>
        <v>MAC15NG</v>
      </c>
      <c r="B38909" s="3" t="str">
        <f>HYPERLINK("https://www.773grp.com/manufacturer/onsemi?pageNo=965", "ON Semiconductor")</f>
        <v>ON Semiconductor</v>
      </c>
      <c r="C38909" s="6">
        <v>1130</v>
      </c>
      <c r="D38909" s="7">
        <v>2.64</v>
      </c>
      <c r="E38909" t="s">
        <v>102</v>
      </c>
    </row>
    <row r="38910" spans="1:5" x14ac:dyDescent="0.25">
      <c r="A38910" t="str">
        <f>HYPERLINK("https://www.773grp.com/globalSearch/MAC15SDG/page-1", "MAC15SDG")</f>
        <v>MAC15SDG</v>
      </c>
      <c r="B38910" s="3" t="str">
        <f>HYPERLINK("https://www.773grp.com/manufacturer/onsemi?pageNo=966", "ON Semiconductor")</f>
        <v>ON Semiconductor</v>
      </c>
      <c r="C38910" s="6">
        <v>3768</v>
      </c>
      <c r="D38910" s="7">
        <v>2.64</v>
      </c>
      <c r="E38910" t="s">
        <v>102</v>
      </c>
    </row>
    <row r="38911" spans="1:5" x14ac:dyDescent="0.25">
      <c r="A38911" t="str">
        <f>HYPERLINK("https://www.773grp.com/globalSearch/MAC15SMG/page-1", "MAC15SMG")</f>
        <v>MAC15SMG</v>
      </c>
      <c r="B38911" s="3" t="str">
        <f>HYPERLINK("https://www.773grp.com/manufacturer/onsemi?pageNo=967", "ON Semiconductor")</f>
        <v>ON Semiconductor</v>
      </c>
      <c r="C38911" s="6">
        <v>3382</v>
      </c>
      <c r="D38911" s="7">
        <v>2.64</v>
      </c>
    </row>
    <row r="38912" spans="1:5" x14ac:dyDescent="0.25">
      <c r="A38912" t="str">
        <f>HYPERLINK("https://www.773grp.com/globalSearch/MAC16CMG/page-1", "MAC16CMG")</f>
        <v>MAC16CMG</v>
      </c>
      <c r="B38912" s="3" t="str">
        <f>HYPERLINK("https://www.773grp.com/manufacturer/onsemi?pageNo=968", "ON Semiconductor")</f>
        <v>ON Semiconductor</v>
      </c>
      <c r="C38912" s="6">
        <v>21743</v>
      </c>
      <c r="D38912" s="7">
        <v>2.64</v>
      </c>
      <c r="E38912" t="s">
        <v>102</v>
      </c>
    </row>
    <row r="38913" spans="1:5" x14ac:dyDescent="0.25">
      <c r="A38913" t="str">
        <f>HYPERLINK("https://www.773grp.com/globalSearch/MAC16CNG/page-1", "MAC16CNG")</f>
        <v>MAC16CNG</v>
      </c>
      <c r="B38913" s="3" t="str">
        <f>HYPERLINK("https://www.773grp.com/manufacturer/onsemi?pageNo=969", "ON Semiconductor")</f>
        <v>ON Semiconductor</v>
      </c>
      <c r="C38913" s="6">
        <v>24428</v>
      </c>
      <c r="D38913" s="7">
        <v>2.64</v>
      </c>
      <c r="E38913" t="s">
        <v>102</v>
      </c>
    </row>
    <row r="38914" spans="1:5" x14ac:dyDescent="0.25">
      <c r="A38914" t="str">
        <f>HYPERLINK("https://www.773grp.com/globalSearch/MAC16DG/page-1", "MAC16DG")</f>
        <v>MAC16DG</v>
      </c>
      <c r="B38914" s="3" t="str">
        <f>HYPERLINK("https://www.773grp.com/manufacturer/onsemi?pageNo=970", "ON Semiconductor")</f>
        <v>ON Semiconductor</v>
      </c>
      <c r="C38914" s="6">
        <v>10296</v>
      </c>
      <c r="D38914" s="7">
        <v>2.64</v>
      </c>
      <c r="E38914" t="s">
        <v>102</v>
      </c>
    </row>
    <row r="38915" spans="1:5" x14ac:dyDescent="0.25">
      <c r="A38915" t="str">
        <f>HYPERLINK("https://www.773grp.com/globalSearch/MAC16HCDG/page-1", "MAC16HCDG")</f>
        <v>MAC16HCDG</v>
      </c>
      <c r="B38915" s="3" t="str">
        <f>HYPERLINK("https://www.773grp.com/manufacturer/onsemi?pageNo=971", "ON Semiconductor")</f>
        <v>ON Semiconductor</v>
      </c>
      <c r="C38915" s="6">
        <v>1783</v>
      </c>
      <c r="D38915" s="7">
        <v>2.64</v>
      </c>
      <c r="E38915" t="s">
        <v>102</v>
      </c>
    </row>
    <row r="38916" spans="1:5" x14ac:dyDescent="0.25">
      <c r="A38916" t="str">
        <f>HYPERLINK("https://www.773grp.com/globalSearch/MAC16HCMG/page-1", "MAC16HCMG")</f>
        <v>MAC16HCMG</v>
      </c>
      <c r="B38916" s="3" t="str">
        <f>HYPERLINK("https://www.773grp.com/manufacturer/onsemi?pageNo=972", "ON Semiconductor")</f>
        <v>ON Semiconductor</v>
      </c>
      <c r="C38916" s="6">
        <v>46</v>
      </c>
      <c r="D38916" s="7">
        <v>2.64</v>
      </c>
      <c r="E38916" t="s">
        <v>102</v>
      </c>
    </row>
    <row r="38917" spans="1:5" x14ac:dyDescent="0.25">
      <c r="A38917" t="str">
        <f>HYPERLINK("https://www.773grp.com/globalSearch/MAC16HCNG/page-1", "MAC16HCNG")</f>
        <v>MAC16HCNG</v>
      </c>
      <c r="B38917" s="3" t="str">
        <f>HYPERLINK("https://www.773grp.com/manufacturer/onsemi?pageNo=973", "ON Semiconductor")</f>
        <v>ON Semiconductor</v>
      </c>
      <c r="C38917" s="6">
        <v>17</v>
      </c>
      <c r="D38917" s="7">
        <v>2.64</v>
      </c>
      <c r="E38917" t="s">
        <v>102</v>
      </c>
    </row>
    <row r="38918" spans="1:5" x14ac:dyDescent="0.25">
      <c r="A38918" t="str">
        <f>HYPERLINK("https://www.773grp.com/globalSearch/MAC16M/page-1", "MAC16M")</f>
        <v>MAC16M</v>
      </c>
      <c r="B38918" s="3" t="str">
        <f>HYPERLINK("https://www.773grp.com/manufacturer/onsemi?pageNo=974", "ON Semiconductor")</f>
        <v>ON Semiconductor</v>
      </c>
      <c r="C38918" s="6">
        <v>150</v>
      </c>
      <c r="D38918" s="7">
        <v>2.64</v>
      </c>
      <c r="E38918" t="s">
        <v>102</v>
      </c>
    </row>
    <row r="38919" spans="1:5" x14ac:dyDescent="0.25">
      <c r="A38919" t="str">
        <f>HYPERLINK("https://www.773grp.com/globalSearch/MAC16MG/page-1", "MAC16MG")</f>
        <v>MAC16MG</v>
      </c>
      <c r="B38919" s="3" t="str">
        <f>HYPERLINK("https://www.773grp.com/manufacturer/onsemi?pageNo=975", "ON Semiconductor")</f>
        <v>ON Semiconductor</v>
      </c>
      <c r="C38919" s="6">
        <v>1406</v>
      </c>
      <c r="D38919" s="7">
        <v>2.64</v>
      </c>
      <c r="E38919" t="s">
        <v>102</v>
      </c>
    </row>
    <row r="38920" spans="1:5" x14ac:dyDescent="0.25">
      <c r="A38920" t="str">
        <f>HYPERLINK("https://www.773grp.com/globalSearch/MAC16NG/page-1", "MAC16NG")</f>
        <v>MAC16NG</v>
      </c>
      <c r="B38920" s="3" t="str">
        <f>HYPERLINK("https://www.773grp.com/manufacturer/onsemi?pageNo=976", "ON Semiconductor")</f>
        <v>ON Semiconductor</v>
      </c>
      <c r="C38920" s="6">
        <v>27</v>
      </c>
      <c r="D38920" s="7">
        <v>2.64</v>
      </c>
      <c r="E38920" t="s">
        <v>102</v>
      </c>
    </row>
    <row r="38921" spans="1:5" x14ac:dyDescent="0.25">
      <c r="A38921" t="str">
        <f>HYPERLINK("https://www.773grp.com/globalSearch/MBR3045PT/page-1", "MBR3045PT")</f>
        <v>MBR3045PT</v>
      </c>
      <c r="B38921" s="3" t="str">
        <f>HYPERLINK("https://www.773grp.com/manufacturer/onsemi?pageNo=977", "ON Semiconductor")</f>
        <v>ON Semiconductor</v>
      </c>
      <c r="C38921" s="6">
        <v>5658</v>
      </c>
      <c r="D38921" s="7">
        <v>2.64</v>
      </c>
      <c r="E38921" t="s">
        <v>103</v>
      </c>
    </row>
    <row r="38922" spans="1:5" x14ac:dyDescent="0.25">
      <c r="A38922" t="str">
        <f>HYPERLINK("https://www.773grp.com/globalSearch/MBR30L45CTG/page-1", "MBR30L45CTG")</f>
        <v>MBR30L45CTG</v>
      </c>
      <c r="B38922" s="3" t="str">
        <f>HYPERLINK("https://www.773grp.com/manufacturer/onsemi?pageNo=978", "ON Semiconductor")</f>
        <v>ON Semiconductor</v>
      </c>
      <c r="C38922" s="6">
        <v>621930</v>
      </c>
      <c r="D38922" s="7">
        <v>2.64</v>
      </c>
      <c r="E38922" t="s">
        <v>103</v>
      </c>
    </row>
    <row r="38923" spans="1:5" x14ac:dyDescent="0.25">
      <c r="A38923" t="str">
        <f>HYPERLINK("https://www.773grp.com/globalSearch/MBR30L45CTH/page-1", "MBR30L45CTH")</f>
        <v>MBR30L45CTH</v>
      </c>
      <c r="B38923" s="3" t="str">
        <f>HYPERLINK("https://www.773grp.com/manufacturer/onsemi?pageNo=979", "ON Semiconductor")</f>
        <v>ON Semiconductor</v>
      </c>
      <c r="C38923" s="6">
        <v>400721</v>
      </c>
      <c r="D38923" s="7">
        <v>2.64</v>
      </c>
    </row>
    <row r="38924" spans="1:5" x14ac:dyDescent="0.25">
      <c r="A38924" t="str">
        <f>HYPERLINK("https://www.773grp.com/globalSearch/MBRF20H100CTG/page-1", "MBRF20H100CTG")</f>
        <v>MBRF20H100CTG</v>
      </c>
      <c r="B38924" s="3" t="str">
        <f>HYPERLINK("https://www.773grp.com/manufacturer/onsemi?pageNo=980", "ON Semiconductor")</f>
        <v>ON Semiconductor</v>
      </c>
      <c r="C38924" s="6">
        <v>127720</v>
      </c>
      <c r="D38924" s="7">
        <v>2.64</v>
      </c>
      <c r="E38924" t="s">
        <v>103</v>
      </c>
    </row>
    <row r="38925" spans="1:5" x14ac:dyDescent="0.25">
      <c r="A38925" t="str">
        <f>HYPERLINK("https://www.773grp.com/globalSearch/MBRF2545CT/page-1", "MBRF2545CT")</f>
        <v>MBRF2545CT</v>
      </c>
      <c r="B38925" s="3" t="str">
        <f>HYPERLINK("https://www.773grp.com/manufacturer/onsemi?pageNo=981", "ON Semiconductor")</f>
        <v>ON Semiconductor</v>
      </c>
      <c r="C38925" s="6">
        <v>3396</v>
      </c>
      <c r="D38925" s="7">
        <v>2.64</v>
      </c>
      <c r="E38925" t="s">
        <v>103</v>
      </c>
    </row>
    <row r="38926" spans="1:5" x14ac:dyDescent="0.25">
      <c r="A38926" t="str">
        <f>HYPERLINK("https://www.773grp.com/globalSearch/MBRF30H100CTG/page-1", "MBRF30H100CTG")</f>
        <v>MBRF30H100CTG</v>
      </c>
      <c r="B38926" s="3" t="str">
        <f>HYPERLINK("https://www.773grp.com/manufacturer/onsemi?pageNo=982", "ON Semiconductor")</f>
        <v>ON Semiconductor</v>
      </c>
      <c r="C38926" s="6">
        <v>1350</v>
      </c>
      <c r="D38926" s="7">
        <v>2.64</v>
      </c>
      <c r="E38926" t="s">
        <v>103</v>
      </c>
    </row>
    <row r="38927" spans="1:5" x14ac:dyDescent="0.25">
      <c r="A38927" t="str">
        <f>HYPERLINK("https://www.773grp.com/globalSearch/MC10121P/page-1", "MC10121P")</f>
        <v>MC10121P</v>
      </c>
      <c r="B38927" s="3" t="str">
        <f>HYPERLINK("https://www.773grp.com/manufacturer/onsemi?pageNo=983", "ON Semiconductor")</f>
        <v>ON Semiconductor</v>
      </c>
      <c r="C38927" s="6">
        <v>7375</v>
      </c>
      <c r="D38927" s="7">
        <v>2.64</v>
      </c>
      <c r="E38927" t="s">
        <v>31</v>
      </c>
    </row>
    <row r="38928" spans="1:5" x14ac:dyDescent="0.25">
      <c r="A38928" t="str">
        <f>HYPERLINK("https://www.773grp.com/globalSearch/MC14551BF/page-1", "MC14551BF")</f>
        <v>MC14551BF</v>
      </c>
      <c r="B38928" s="3" t="str">
        <f>HYPERLINK("https://www.773grp.com/manufacturer/onsemi?pageNo=984", "ON Semiconductor")</f>
        <v>ON Semiconductor</v>
      </c>
      <c r="C38928" s="6">
        <v>700</v>
      </c>
      <c r="D38928" s="7">
        <v>2.64</v>
      </c>
      <c r="E38928" t="s">
        <v>56</v>
      </c>
    </row>
    <row r="38929" spans="1:5" x14ac:dyDescent="0.25">
      <c r="A38929" t="str">
        <f>HYPERLINK("https://www.773grp.com/globalSearch/MC14557BFL1/page-1", "MC14557BFL1")</f>
        <v>MC14557BFL1</v>
      </c>
      <c r="B38929" s="3" t="str">
        <f>HYPERLINK("https://www.773grp.com/manufacturer/onsemi?pageNo=985", "ON Semiconductor")</f>
        <v>ON Semiconductor</v>
      </c>
      <c r="C38929" s="6">
        <v>1000</v>
      </c>
      <c r="D38929" s="7">
        <v>2.64</v>
      </c>
      <c r="E38929" t="s">
        <v>32</v>
      </c>
    </row>
    <row r="38930" spans="1:5" x14ac:dyDescent="0.25">
      <c r="A38930" t="str">
        <f>HYPERLINK("https://www.773grp.com/globalSearch/MC33077DG/page-1", "MC33077DG")</f>
        <v>MC33077DG</v>
      </c>
      <c r="B38930" s="3" t="str">
        <f>HYPERLINK("https://www.773grp.com/manufacturer/onsemi?pageNo=986", "ON Semiconductor")</f>
        <v>ON Semiconductor</v>
      </c>
      <c r="C38930" s="6">
        <v>1764</v>
      </c>
      <c r="D38930" s="7">
        <v>2.64</v>
      </c>
    </row>
    <row r="38931" spans="1:5" x14ac:dyDescent="0.25">
      <c r="A38931" t="str">
        <f>HYPERLINK("https://www.773grp.com/globalSearch/MC33077DR2G/page-1", "MC33077DR2G")</f>
        <v>MC33077DR2G</v>
      </c>
      <c r="B38931" s="3" t="str">
        <f>HYPERLINK("https://www.773grp.com/manufacturer/onsemi?pageNo=987", "ON Semiconductor")</f>
        <v>ON Semiconductor</v>
      </c>
      <c r="C38931" s="6">
        <v>71508</v>
      </c>
      <c r="D38931" s="7">
        <v>2.64</v>
      </c>
    </row>
    <row r="38932" spans="1:5" x14ac:dyDescent="0.25">
      <c r="A38932" t="str">
        <f>HYPERLINK("https://www.773grp.com/globalSearch/MC33078ML1/page-1", "MC33078ML1")</f>
        <v>MC33078ML1</v>
      </c>
      <c r="B38932" s="3" t="str">
        <f>HYPERLINK("https://www.773grp.com/manufacturer/onsemi?pageNo=988", "ON Semiconductor")</f>
        <v>ON Semiconductor</v>
      </c>
      <c r="C38932" s="6">
        <v>6000</v>
      </c>
      <c r="D38932" s="7">
        <v>2.64</v>
      </c>
    </row>
    <row r="38933" spans="1:5" x14ac:dyDescent="0.25">
      <c r="A38933" t="str">
        <f>HYPERLINK("https://www.773grp.com/globalSearch/MC33267D2T/page-1", "MC33267D2T")</f>
        <v>MC33267D2T</v>
      </c>
      <c r="B38933" s="3" t="str">
        <f>HYPERLINK("https://www.773grp.com/manufacturer/onsemi?pageNo=989", "ON Semiconductor")</f>
        <v>ON Semiconductor</v>
      </c>
      <c r="C38933" s="6">
        <v>107</v>
      </c>
      <c r="D38933" s="7">
        <v>2.64</v>
      </c>
      <c r="E38933" t="s">
        <v>19</v>
      </c>
    </row>
    <row r="38934" spans="1:5" x14ac:dyDescent="0.25">
      <c r="A38934" t="str">
        <f>HYPERLINK("https://www.773grp.com/globalSearch/MC33267D2TR4/page-1", "MC33267D2TR4")</f>
        <v>MC33267D2TR4</v>
      </c>
      <c r="B38934" s="3" t="str">
        <f>HYPERLINK("https://www.773grp.com/manufacturer/onsemi?pageNo=990", "ON Semiconductor")</f>
        <v>ON Semiconductor</v>
      </c>
      <c r="C38934" s="6">
        <v>10400</v>
      </c>
      <c r="D38934" s="7">
        <v>2.64</v>
      </c>
      <c r="E38934" t="s">
        <v>19</v>
      </c>
    </row>
    <row r="38935" spans="1:5" x14ac:dyDescent="0.25">
      <c r="A38935" t="str">
        <f>HYPERLINK("https://www.773grp.com/globalSearch/MC33267T/page-1", "MC33267T")</f>
        <v>MC33267T</v>
      </c>
      <c r="B38935" s="3" t="str">
        <f>HYPERLINK("https://www.773grp.com/manufacturer/onsemi?pageNo=991", "ON Semiconductor")</f>
        <v>ON Semiconductor</v>
      </c>
      <c r="C38935" s="6">
        <v>1919</v>
      </c>
      <c r="D38935" s="7">
        <v>2.64</v>
      </c>
      <c r="E38935" t="s">
        <v>19</v>
      </c>
    </row>
    <row r="38936" spans="1:5" x14ac:dyDescent="0.25">
      <c r="A38936" t="str">
        <f>HYPERLINK("https://www.773grp.com/globalSearch/MC33272APG/page-1", "MC33272APG")</f>
        <v>MC33272APG</v>
      </c>
      <c r="B38936" s="3" t="str">
        <f>HYPERLINK("https://www.773grp.com/manufacturer/onsemi?pageNo=992", "ON Semiconductor")</f>
        <v>ON Semiconductor</v>
      </c>
      <c r="C38936" s="6">
        <v>2793</v>
      </c>
      <c r="D38936" s="7">
        <v>2.64</v>
      </c>
      <c r="E38936" t="s">
        <v>13</v>
      </c>
    </row>
    <row r="38937" spans="1:5" x14ac:dyDescent="0.25">
      <c r="A38937" t="str">
        <f>HYPERLINK("https://www.773grp.com/globalSearch/MC74AC646DW/page-1", "MC74AC646DW")</f>
        <v>MC74AC646DW</v>
      </c>
      <c r="B38937" s="3" t="str">
        <f>HYPERLINK("https://www.773grp.com/manufacturer/onsemi?pageNo=993", "ON Semiconductor")</f>
        <v>ON Semiconductor</v>
      </c>
      <c r="C38937" s="6">
        <v>4630</v>
      </c>
      <c r="D38937" s="7">
        <v>2.64</v>
      </c>
      <c r="E38937" t="s">
        <v>14</v>
      </c>
    </row>
    <row r="38938" spans="1:5" x14ac:dyDescent="0.25">
      <c r="A38938" t="str">
        <f>HYPERLINK("https://www.773grp.com/globalSearch/MC74ACT323DWR2/page-1", "MC74ACT323DWR2")</f>
        <v>MC74ACT323DWR2</v>
      </c>
      <c r="B38938" s="3" t="str">
        <f>HYPERLINK("https://www.773grp.com/manufacturer/onsemi?pageNo=994", "ON Semiconductor")</f>
        <v>ON Semiconductor</v>
      </c>
      <c r="C38938" s="6">
        <v>3840</v>
      </c>
      <c r="D38938" s="7">
        <v>2.64</v>
      </c>
      <c r="E38938" t="s">
        <v>32</v>
      </c>
    </row>
    <row r="38939" spans="1:5" x14ac:dyDescent="0.25">
      <c r="A38939" t="str">
        <f>HYPERLINK("https://www.773grp.com/globalSearch/MC74ACT646DW/page-1", "MC74ACT646DW")</f>
        <v>MC74ACT646DW</v>
      </c>
      <c r="B38939" s="3" t="str">
        <f>HYPERLINK("https://www.773grp.com/manufacturer/onsemi?pageNo=995", "ON Semiconductor")</f>
        <v>ON Semiconductor</v>
      </c>
      <c r="C38939" s="6">
        <v>17880</v>
      </c>
      <c r="D38939" s="7">
        <v>2.64</v>
      </c>
      <c r="E38939" t="s">
        <v>14</v>
      </c>
    </row>
    <row r="38940" spans="1:5" x14ac:dyDescent="0.25">
      <c r="A38940" t="str">
        <f>HYPERLINK("https://www.773grp.com/globalSearch/MCR12LDG/page-1", "MCR12LDG")</f>
        <v>MCR12LDG</v>
      </c>
      <c r="B38940" s="3" t="str">
        <f>HYPERLINK("https://www.773grp.com/manufacturer/onsemi?pageNo=996", "ON Semiconductor")</f>
        <v>ON Semiconductor</v>
      </c>
      <c r="C38940" s="6">
        <v>5596</v>
      </c>
      <c r="D38940" s="7">
        <v>2.64</v>
      </c>
      <c r="E38940" t="s">
        <v>97</v>
      </c>
    </row>
    <row r="38941" spans="1:5" x14ac:dyDescent="0.25">
      <c r="A38941" t="str">
        <f>HYPERLINK("https://www.773grp.com/globalSearch/MCR12LMG/page-1", "MCR12LMG")</f>
        <v>MCR12LMG</v>
      </c>
      <c r="B38941" s="3" t="str">
        <f>HYPERLINK("https://www.773grp.com/manufacturer/onsemi?pageNo=997", "ON Semiconductor")</f>
        <v>ON Semiconductor</v>
      </c>
      <c r="C38941" s="6">
        <v>3000</v>
      </c>
      <c r="D38941" s="7">
        <v>2.64</v>
      </c>
      <c r="E38941" t="s">
        <v>97</v>
      </c>
    </row>
    <row r="38942" spans="1:5" x14ac:dyDescent="0.25">
      <c r="A38942" t="str">
        <f>HYPERLINK("https://www.773grp.com/globalSearch/MCR16NG/page-1", "MCR16NG")</f>
        <v>MCR16NG</v>
      </c>
      <c r="B38942" s="3" t="str">
        <f>HYPERLINK("https://www.773grp.com/manufacturer/onsemi?pageNo=998", "ON Semiconductor")</f>
        <v>ON Semiconductor</v>
      </c>
      <c r="C38942" s="6">
        <v>2690</v>
      </c>
      <c r="D38942" s="7">
        <v>2.64</v>
      </c>
      <c r="E38942" t="s">
        <v>97</v>
      </c>
    </row>
    <row r="38943" spans="1:5" x14ac:dyDescent="0.25">
      <c r="A38943" t="str">
        <f>HYPERLINK("https://www.773grp.com/globalSearch/MCR218-2G/page-1", "MCR218-2G")</f>
        <v>MCR218-2G</v>
      </c>
      <c r="B38943" s="3" t="str">
        <f>HYPERLINK("https://www.773grp.com/manufacturer/onsemi?pageNo=999", "ON Semiconductor")</f>
        <v>ON Semiconductor</v>
      </c>
      <c r="C38943" s="6">
        <v>500</v>
      </c>
      <c r="D38943" s="7">
        <v>2.64</v>
      </c>
    </row>
    <row r="38944" spans="1:5" x14ac:dyDescent="0.25">
      <c r="A38944" t="str">
        <f>HYPERLINK("https://www.773grp.com/globalSearch/MCR218-4G/page-1", "MCR218-4G")</f>
        <v>MCR218-4G</v>
      </c>
      <c r="B38944" s="3" t="str">
        <f>HYPERLINK("https://www.773grp.com/manufacturer/onsemi?pageNo=1000", "ON Semiconductor")</f>
        <v>ON Semiconductor</v>
      </c>
      <c r="C38944" s="6">
        <v>8900</v>
      </c>
      <c r="D38944" s="7">
        <v>2.64</v>
      </c>
      <c r="E38944" t="s">
        <v>97</v>
      </c>
    </row>
    <row r="38945" spans="1:5" x14ac:dyDescent="0.25">
      <c r="A38945" t="str">
        <f>HYPERLINK("https://www.773grp.com/globalSearch/MCR218-6G/page-1", "MCR218-6G")</f>
        <v>MCR218-6G</v>
      </c>
      <c r="B38945" s="3" t="str">
        <f>HYPERLINK("https://www.773grp.com/manufacturer/onsemi?pageNo=1001", "ON Semiconductor")</f>
        <v>ON Semiconductor</v>
      </c>
      <c r="C38945" s="6">
        <v>400</v>
      </c>
      <c r="D38945" s="7">
        <v>2.64</v>
      </c>
    </row>
    <row r="38946" spans="1:5" x14ac:dyDescent="0.25">
      <c r="A38946" t="str">
        <f>HYPERLINK("https://www.773grp.com/globalSearch/MCR310-10G/page-1", "MCR310-10G")</f>
        <v>MCR310-10G</v>
      </c>
      <c r="B38946" s="3" t="str">
        <f>HYPERLINK("https://www.773grp.com/manufacturer/onsemi?pageNo=1002", "ON Semiconductor")</f>
        <v>ON Semiconductor</v>
      </c>
      <c r="C38946" s="6">
        <v>23422</v>
      </c>
      <c r="D38946" s="7">
        <v>2.64</v>
      </c>
      <c r="E38946" t="s">
        <v>97</v>
      </c>
    </row>
    <row r="38947" spans="1:5" x14ac:dyDescent="0.25">
      <c r="A38947" t="str">
        <f>HYPERLINK("https://www.773grp.com/globalSearch/MCR68-2G/page-1", "MCR68-2G")</f>
        <v>MCR68-2G</v>
      </c>
      <c r="B38947" s="3" t="str">
        <f>HYPERLINK("https://www.773grp.com/manufacturer/onsemi?pageNo=1003", "ON Semiconductor")</f>
        <v>ON Semiconductor</v>
      </c>
      <c r="C38947" s="6">
        <v>2489</v>
      </c>
      <c r="D38947" s="7">
        <v>2.64</v>
      </c>
      <c r="E38947" t="s">
        <v>97</v>
      </c>
    </row>
    <row r="38948" spans="1:5" x14ac:dyDescent="0.25">
      <c r="A38948" t="str">
        <f>HYPERLINK("https://www.773grp.com/globalSearch/MCR72-3G/page-1", "MCR72-3G")</f>
        <v>MCR72-3G</v>
      </c>
      <c r="B38948" s="3" t="str">
        <f>HYPERLINK("https://www.773grp.com/manufacturer/onsemi?pageNo=1004", "ON Semiconductor")</f>
        <v>ON Semiconductor</v>
      </c>
      <c r="C38948" s="6">
        <v>700</v>
      </c>
      <c r="D38948" s="7">
        <v>2.64</v>
      </c>
      <c r="E38948" t="s">
        <v>97</v>
      </c>
    </row>
    <row r="38949" spans="1:5" x14ac:dyDescent="0.25">
      <c r="A38949" t="str">
        <f>HYPERLINK("https://www.773grp.com/globalSearch/MCR72-6TG/page-1", "MCR72-6TG")</f>
        <v>MCR72-6TG</v>
      </c>
      <c r="B38949" s="3" t="str">
        <f>HYPERLINK("https://www.773grp.com/manufacturer/onsemi?pageNo=1005", "ON Semiconductor")</f>
        <v>ON Semiconductor</v>
      </c>
      <c r="C38949" s="6">
        <v>2663</v>
      </c>
      <c r="D38949" s="7">
        <v>2.64</v>
      </c>
      <c r="E38949" t="s">
        <v>97</v>
      </c>
    </row>
    <row r="38950" spans="1:5" x14ac:dyDescent="0.25">
      <c r="A38950" t="str">
        <f>HYPERLINK("https://www.773grp.com/globalSearch/MCR72-8G/page-1", "MCR72-8G")</f>
        <v>MCR72-8G</v>
      </c>
      <c r="B38950" s="3" t="str">
        <f>HYPERLINK("https://www.773grp.com/manufacturer/onsemi?pageNo=1006", "ON Semiconductor")</f>
        <v>ON Semiconductor</v>
      </c>
      <c r="C38950" s="6">
        <v>6972</v>
      </c>
      <c r="D38950" s="7">
        <v>2.64</v>
      </c>
      <c r="E38950" t="s">
        <v>97</v>
      </c>
    </row>
    <row r="38951" spans="1:5" x14ac:dyDescent="0.25">
      <c r="A38951" t="str">
        <f>HYPERLINK("https://www.773grp.com/globalSearch/MCR72-8TG/page-1", "MCR72-8TG")</f>
        <v>MCR72-8TG</v>
      </c>
      <c r="B38951" s="3" t="str">
        <f>HYPERLINK("https://www.773grp.com/manufacturer/onsemi?pageNo=1007", "ON Semiconductor")</f>
        <v>ON Semiconductor</v>
      </c>
      <c r="C38951" s="6">
        <v>201716</v>
      </c>
      <c r="D38951" s="7">
        <v>2.64</v>
      </c>
      <c r="E38951" t="s">
        <v>97</v>
      </c>
    </row>
    <row r="38952" spans="1:5" x14ac:dyDescent="0.25">
      <c r="A38952" t="str">
        <f>HYPERLINK("https://www.773grp.com/globalSearch/MSR860G/page-1", "MSR860G")</f>
        <v>MSR860G</v>
      </c>
      <c r="B38952" s="3" t="str">
        <f>HYPERLINK("https://www.773grp.com/manufacturer/onsemi?pageNo=1008", "ON Semiconductor")</f>
        <v>ON Semiconductor</v>
      </c>
      <c r="C38952" s="6">
        <v>117200</v>
      </c>
      <c r="D38952" s="7">
        <v>2.64</v>
      </c>
      <c r="E38952" t="s">
        <v>103</v>
      </c>
    </row>
    <row r="38953" spans="1:5" x14ac:dyDescent="0.25">
      <c r="A38953" t="str">
        <f>HYPERLINK("https://www.773grp.com/globalSearch/MURH840CT/page-1", "MURH840CT")</f>
        <v>MURH840CT</v>
      </c>
      <c r="B38953" s="3" t="str">
        <f>HYPERLINK("https://www.773grp.com/manufacturer/onsemi?pageNo=1009", "ON Semiconductor")</f>
        <v>ON Semiconductor</v>
      </c>
      <c r="C38953" s="6">
        <v>170200</v>
      </c>
      <c r="D38953" s="7">
        <v>2.64</v>
      </c>
      <c r="E38953" t="s">
        <v>103</v>
      </c>
    </row>
    <row r="38954" spans="1:5" x14ac:dyDescent="0.25">
      <c r="A38954" t="str">
        <f>HYPERLINK("https://www.773grp.com/globalSearch/MURH860CT/page-1", "MURH860CT")</f>
        <v>MURH860CT</v>
      </c>
      <c r="B38954" s="3" t="str">
        <f>HYPERLINK("https://www.773grp.com/manufacturer/onsemi?pageNo=1010", "ON Semiconductor")</f>
        <v>ON Semiconductor</v>
      </c>
      <c r="C38954" s="6">
        <v>2055</v>
      </c>
      <c r="D38954" s="7">
        <v>2.64</v>
      </c>
      <c r="E38954" t="s">
        <v>103</v>
      </c>
    </row>
    <row r="38955" spans="1:5" x14ac:dyDescent="0.25">
      <c r="A38955" t="str">
        <f>HYPERLINK("https://www.773grp.com/globalSearch/NCL30000DR2G/page-1", "NCL30000DR2G")</f>
        <v>NCL30000DR2G</v>
      </c>
      <c r="B38955" s="3" t="str">
        <f>HYPERLINK("https://www.773grp.com/manufacturer/onsemi?pageNo=1011", "ON Semiconductor")</f>
        <v>ON Semiconductor</v>
      </c>
      <c r="C38955" s="6">
        <v>19872</v>
      </c>
      <c r="D38955" s="7">
        <v>2.64</v>
      </c>
      <c r="E38955" t="s">
        <v>10</v>
      </c>
    </row>
    <row r="38956" spans="1:5" x14ac:dyDescent="0.25">
      <c r="A38956" t="str">
        <f>HYPERLINK("https://www.773grp.com/globalSearch/NCL30100SNT1G/page-1", "NCL30100SNT1G")</f>
        <v>NCL30100SNT1G</v>
      </c>
      <c r="B38956" s="3" t="str">
        <f>HYPERLINK("https://www.773grp.com/manufacturer/onsemi?pageNo=1012", "ON Semiconductor")</f>
        <v>ON Semiconductor</v>
      </c>
      <c r="C38956" s="6">
        <v>48000</v>
      </c>
      <c r="D38956" s="7">
        <v>2.64</v>
      </c>
    </row>
    <row r="38957" spans="1:5" x14ac:dyDescent="0.25">
      <c r="A38957" t="str">
        <f>HYPERLINK("https://www.773grp.com/globalSearch/NCP1212DR2G/page-1", "NCP1212DR2G")</f>
        <v>NCP1212DR2G</v>
      </c>
      <c r="B38957" s="3" t="str">
        <f>HYPERLINK("https://www.773grp.com/manufacturer/onsemi?pageNo=1013", "ON Semiconductor")</f>
        <v>ON Semiconductor</v>
      </c>
      <c r="C38957" s="6">
        <v>2444</v>
      </c>
      <c r="D38957" s="7">
        <v>2.64</v>
      </c>
      <c r="E38957" t="s">
        <v>7</v>
      </c>
    </row>
    <row r="38958" spans="1:5" x14ac:dyDescent="0.25">
      <c r="A38958" t="str">
        <f>HYPERLINK("https://www.773grp.com/globalSearch/NCP1237AD65R2G/page-1", "NCP1237AD65R2G")</f>
        <v>NCP1237AD65R2G</v>
      </c>
      <c r="B38958" s="3" t="str">
        <f>HYPERLINK("https://www.773grp.com/manufacturer/onsemi?pageNo=1014", "ON Semiconductor")</f>
        <v>ON Semiconductor</v>
      </c>
      <c r="C38958" s="6">
        <v>2500</v>
      </c>
      <c r="D38958" s="7">
        <v>2.64</v>
      </c>
    </row>
    <row r="38959" spans="1:5" x14ac:dyDescent="0.25">
      <c r="A38959" t="str">
        <f>HYPERLINK("https://www.773grp.com/globalSearch/NCP1237BD65R2G/page-1", "NCP1237BD65R2G")</f>
        <v>NCP1237BD65R2G</v>
      </c>
      <c r="B38959" s="3" t="str">
        <f>HYPERLINK("https://www.773grp.com/manufacturer/onsemi?pageNo=1015", "ON Semiconductor")</f>
        <v>ON Semiconductor</v>
      </c>
      <c r="C38959" s="6">
        <v>59860</v>
      </c>
      <c r="D38959" s="7">
        <v>2.64</v>
      </c>
      <c r="E38959" t="s">
        <v>7</v>
      </c>
    </row>
    <row r="38960" spans="1:5" x14ac:dyDescent="0.25">
      <c r="A38960" t="str">
        <f>HYPERLINK("https://www.773grp.com/globalSearch/NCP1238AD65R2G/page-1", "NCP1238AD65R2G")</f>
        <v>NCP1238AD65R2G</v>
      </c>
      <c r="B38960" s="3" t="str">
        <f>HYPERLINK("https://www.773grp.com/manufacturer/onsemi?pageNo=1016", "ON Semiconductor")</f>
        <v>ON Semiconductor</v>
      </c>
      <c r="C38960" s="6">
        <v>12500</v>
      </c>
      <c r="D38960" s="7">
        <v>2.64</v>
      </c>
    </row>
    <row r="38961" spans="1:5" x14ac:dyDescent="0.25">
      <c r="A38961" t="str">
        <f>HYPERLINK("https://www.773grp.com/globalSearch/NCP1238BD65R2G/page-1", "NCP1238BD65R2G")</f>
        <v>NCP1238BD65R2G</v>
      </c>
      <c r="B38961" s="3" t="str">
        <f>HYPERLINK("https://www.773grp.com/manufacturer/onsemi?pageNo=1017", "ON Semiconductor")</f>
        <v>ON Semiconductor</v>
      </c>
      <c r="C38961" s="6">
        <v>17500</v>
      </c>
      <c r="D38961" s="7">
        <v>2.64</v>
      </c>
      <c r="E38961" t="s">
        <v>7</v>
      </c>
    </row>
    <row r="38962" spans="1:5" x14ac:dyDescent="0.25">
      <c r="A38962" t="str">
        <f>HYPERLINK("https://www.773grp.com/globalSearch/NCP1246AD065R2G/page-1", "NCP1246AD065R2G")</f>
        <v>NCP1246AD065R2G</v>
      </c>
      <c r="B38962" s="3" t="str">
        <f>HYPERLINK("https://www.773grp.com/manufacturer/onsemi?pageNo=1018", "ON Semiconductor")</f>
        <v>ON Semiconductor</v>
      </c>
      <c r="C38962" s="6">
        <v>7500</v>
      </c>
      <c r="D38962" s="7">
        <v>2.64</v>
      </c>
    </row>
    <row r="38963" spans="1:5" x14ac:dyDescent="0.25">
      <c r="A38963" t="str">
        <f>HYPERLINK("https://www.773grp.com/globalSearch/NCP1246AD100R2G/page-1", "NCP1246AD100R2G")</f>
        <v>NCP1246AD100R2G</v>
      </c>
      <c r="B38963" s="3" t="str">
        <f>HYPERLINK("https://www.773grp.com/manufacturer/onsemi?pageNo=1019", "ON Semiconductor")</f>
        <v>ON Semiconductor</v>
      </c>
      <c r="C38963" s="6">
        <v>2500</v>
      </c>
      <c r="D38963" s="7">
        <v>2.64</v>
      </c>
    </row>
    <row r="38964" spans="1:5" x14ac:dyDescent="0.25">
      <c r="A38964" t="str">
        <f>HYPERLINK("https://www.773grp.com/globalSearch/NCP1288BD65R2G/page-1", "NCP1288BD65R2G")</f>
        <v>NCP1288BD65R2G</v>
      </c>
      <c r="B38964" s="3" t="str">
        <f>HYPERLINK("https://www.773grp.com/manufacturer/onsemi?pageNo=1020", "ON Semiconductor")</f>
        <v>ON Semiconductor</v>
      </c>
      <c r="C38964" s="6">
        <v>2500</v>
      </c>
      <c r="D38964" s="7">
        <v>2.64</v>
      </c>
    </row>
    <row r="38965" spans="1:5" x14ac:dyDescent="0.25">
      <c r="A38965" t="str">
        <f>HYPERLINK("https://www.773grp.com/globalSearch/NCP1501DMR2/page-1", "NCP1501DMR2")</f>
        <v>NCP1501DMR2</v>
      </c>
      <c r="B38965" s="3" t="str">
        <f>HYPERLINK("https://www.773grp.com/manufacturer/onsemi?pageNo=1021", "ON Semiconductor")</f>
        <v>ON Semiconductor</v>
      </c>
      <c r="C38965" s="6">
        <v>3877</v>
      </c>
      <c r="D38965" s="7">
        <v>2.64</v>
      </c>
      <c r="E38965" t="s">
        <v>7</v>
      </c>
    </row>
    <row r="38966" spans="1:5" x14ac:dyDescent="0.25">
      <c r="A38966" t="str">
        <f>HYPERLINK("https://www.773grp.com/globalSearch/NCP45560IMNTWG-L/page-1", "NCP45560IMNTWG-L")</f>
        <v>NCP45560IMNTWG-L</v>
      </c>
      <c r="B38966" s="3" t="str">
        <f>HYPERLINK("https://www.773grp.com/manufacturer/onsemi?pageNo=1022", "ON Semiconductor")</f>
        <v>ON Semiconductor</v>
      </c>
      <c r="C38966" s="6">
        <v>3000</v>
      </c>
      <c r="D38966" s="7">
        <v>2.64</v>
      </c>
    </row>
    <row r="38967" spans="1:5" x14ac:dyDescent="0.25">
      <c r="A38967" t="str">
        <f>HYPERLINK("https://www.773grp.com/globalSearch/NCP4626DMX033TCG/page-1", "NCP4626DMX033TCG")</f>
        <v>NCP4626DMX033TCG</v>
      </c>
      <c r="B38967" s="3" t="str">
        <f>HYPERLINK("https://www.773grp.com/manufacturer/onsemi?pageNo=1023", "ON Semiconductor")</f>
        <v>ON Semiconductor</v>
      </c>
      <c r="C38967" s="6">
        <v>15000</v>
      </c>
      <c r="D38967" s="7">
        <v>2.64</v>
      </c>
    </row>
    <row r="38968" spans="1:5" x14ac:dyDescent="0.25">
      <c r="A38968" t="str">
        <f>HYPERLINK("https://www.773grp.com/globalSearch/NCP4626DMX050TCG/page-1", "NCP4626DMX050TCG")</f>
        <v>NCP4626DMX050TCG</v>
      </c>
      <c r="B38968" s="3" t="str">
        <f>HYPERLINK("https://www.773grp.com/manufacturer/onsemi?pageNo=1024", "ON Semiconductor")</f>
        <v>ON Semiconductor</v>
      </c>
      <c r="C38968" s="6">
        <v>5000</v>
      </c>
      <c r="D38968" s="7">
        <v>2.64</v>
      </c>
    </row>
    <row r="38969" spans="1:5" x14ac:dyDescent="0.25">
      <c r="A38969" t="str">
        <f>HYPERLINK("https://www.773grp.com/globalSearch/NCP4626HMX033TCG/page-1", "NCP4626HMX033TCG")</f>
        <v>NCP4626HMX033TCG</v>
      </c>
      <c r="B38969" s="3" t="str">
        <f>HYPERLINK("https://www.773grp.com/manufacturer/onsemi?pageNo=1025", "ON Semiconductor")</f>
        <v>ON Semiconductor</v>
      </c>
      <c r="C38969" s="6">
        <v>5000</v>
      </c>
      <c r="D38969" s="7">
        <v>2.64</v>
      </c>
    </row>
    <row r="38970" spans="1:5" x14ac:dyDescent="0.25">
      <c r="A38970" t="str">
        <f>HYPERLINK("https://www.773grp.com/globalSearch/NCP4672DR2G/page-1", "NCP4672DR2G")</f>
        <v>NCP4672DR2G</v>
      </c>
      <c r="B38970" s="3" t="str">
        <f>HYPERLINK("https://www.773grp.com/manufacturer/onsemi?pageNo=1026", "ON Semiconductor")</f>
        <v>ON Semiconductor</v>
      </c>
      <c r="C38970" s="6">
        <v>417430</v>
      </c>
      <c r="D38970" s="7">
        <v>2.64</v>
      </c>
      <c r="E38970" t="s">
        <v>117</v>
      </c>
    </row>
    <row r="38971" spans="1:5" x14ac:dyDescent="0.25">
      <c r="A38971" t="str">
        <f>HYPERLINK("https://www.773grp.com/globalSearch/NCP5080MUTXG/page-1", "NCP5080MUTXG")</f>
        <v>NCP5080MUTXG</v>
      </c>
      <c r="B38971" s="3" t="str">
        <f>HYPERLINK("https://www.773grp.com/manufacturer/onsemi?pageNo=1027", "ON Semiconductor")</f>
        <v>ON Semiconductor</v>
      </c>
      <c r="C38971" s="6">
        <v>56300</v>
      </c>
      <c r="D38971" s="7">
        <v>2.64</v>
      </c>
      <c r="E38971" t="s">
        <v>7</v>
      </c>
    </row>
    <row r="38972" spans="1:5" x14ac:dyDescent="0.25">
      <c r="A38972" t="str">
        <f>HYPERLINK("https://www.773grp.com/globalSearch/NCP5603MNR2G/page-1", "NCP5603MNR2G")</f>
        <v>NCP5603MNR2G</v>
      </c>
      <c r="B38972" s="3" t="str">
        <f>HYPERLINK("https://www.773grp.com/manufacturer/onsemi?pageNo=1028", "ON Semiconductor")</f>
        <v>ON Semiconductor</v>
      </c>
      <c r="C38972" s="6">
        <v>288867</v>
      </c>
      <c r="D38972" s="7">
        <v>2.64</v>
      </c>
      <c r="E38972" t="s">
        <v>10</v>
      </c>
    </row>
    <row r="38973" spans="1:5" x14ac:dyDescent="0.25">
      <c r="A38973" t="str">
        <f>HYPERLINK("https://www.773grp.com/globalSearch/NCP630AD2TG/page-1", "NCP630AD2TG")</f>
        <v>NCP630AD2TG</v>
      </c>
      <c r="B38973" s="3" t="str">
        <f>HYPERLINK("https://www.773grp.com/manufacturer/onsemi?pageNo=1029", "ON Semiconductor")</f>
        <v>ON Semiconductor</v>
      </c>
      <c r="C38973" s="6">
        <v>250</v>
      </c>
      <c r="D38973" s="7">
        <v>2.64</v>
      </c>
    </row>
    <row r="38974" spans="1:5" x14ac:dyDescent="0.25">
      <c r="A38974" t="str">
        <f>HYPERLINK("https://www.773grp.com/globalSearch/NCP630AD2TR4G/page-1", "NCP630AD2TR4G")</f>
        <v>NCP630AD2TR4G</v>
      </c>
      <c r="B38974" s="3" t="str">
        <f>HYPERLINK("https://www.773grp.com/manufacturer/onsemi?pageNo=1030", "ON Semiconductor")</f>
        <v>ON Semiconductor</v>
      </c>
      <c r="C38974" s="6">
        <v>5097</v>
      </c>
      <c r="D38974" s="7">
        <v>2.64</v>
      </c>
      <c r="E38974" t="s">
        <v>25</v>
      </c>
    </row>
    <row r="38975" spans="1:5" x14ac:dyDescent="0.25">
      <c r="A38975" t="str">
        <f>HYPERLINK("https://www.773grp.com/globalSearch/NCP630GD2TG/page-1", "NCP630GD2TG")</f>
        <v>NCP630GD2TG</v>
      </c>
      <c r="B38975" s="3" t="str">
        <f>HYPERLINK("https://www.773grp.com/manufacturer/onsemi?pageNo=1031", "ON Semiconductor")</f>
        <v>ON Semiconductor</v>
      </c>
      <c r="C38975" s="6">
        <v>2550</v>
      </c>
      <c r="D38975" s="7">
        <v>2.64</v>
      </c>
      <c r="E38975" t="s">
        <v>19</v>
      </c>
    </row>
    <row r="38976" spans="1:5" x14ac:dyDescent="0.25">
      <c r="A38976" t="str">
        <f>HYPERLINK("https://www.773grp.com/globalSearch/NCP630GD2TR4G/page-1", "NCP630GD2TR4G")</f>
        <v>NCP630GD2TR4G</v>
      </c>
      <c r="B38976" s="3" t="str">
        <f>HYPERLINK("https://www.773grp.com/manufacturer/onsemi?pageNo=1032", "ON Semiconductor")</f>
        <v>ON Semiconductor</v>
      </c>
      <c r="C38976" s="6">
        <v>2353</v>
      </c>
      <c r="D38976" s="7">
        <v>2.64</v>
      </c>
      <c r="E38976" t="s">
        <v>19</v>
      </c>
    </row>
    <row r="38977" spans="1:5" x14ac:dyDescent="0.25">
      <c r="A38977" t="str">
        <f>HYPERLINK("https://www.773grp.com/globalSearch/NCP694D08HT1G/page-1", "NCP694D08HT1G")</f>
        <v>NCP694D08HT1G</v>
      </c>
      <c r="B38977" s="3" t="str">
        <f>HYPERLINK("https://www.773grp.com/manufacturer/onsemi?pageNo=1033", "ON Semiconductor")</f>
        <v>ON Semiconductor</v>
      </c>
      <c r="C38977" s="6">
        <v>4500</v>
      </c>
      <c r="D38977" s="7">
        <v>2.64</v>
      </c>
      <c r="E38977" t="s">
        <v>19</v>
      </c>
    </row>
    <row r="38978" spans="1:5" x14ac:dyDescent="0.25">
      <c r="A38978" t="str">
        <f>HYPERLINK("https://www.773grp.com/globalSearch/NCP694D10HT1G/page-1", "NCP694D10HT1G")</f>
        <v>NCP694D10HT1G</v>
      </c>
      <c r="B38978" s="3" t="str">
        <f>HYPERLINK("https://www.773grp.com/manufacturer/onsemi?pageNo=1034", "ON Semiconductor")</f>
        <v>ON Semiconductor</v>
      </c>
      <c r="C38978" s="6">
        <v>1000</v>
      </c>
      <c r="D38978" s="7">
        <v>2.64</v>
      </c>
      <c r="E38978" t="s">
        <v>19</v>
      </c>
    </row>
    <row r="38979" spans="1:5" x14ac:dyDescent="0.25">
      <c r="A38979" t="str">
        <f>HYPERLINK("https://www.773grp.com/globalSearch/NCP694D12HT1G/page-1", "NCP694D12HT1G")</f>
        <v>NCP694D12HT1G</v>
      </c>
      <c r="B38979" s="3" t="str">
        <f>HYPERLINK("https://www.773grp.com/manufacturer/onsemi?pageNo=1035", "ON Semiconductor")</f>
        <v>ON Semiconductor</v>
      </c>
      <c r="C38979" s="6">
        <v>4650</v>
      </c>
      <c r="D38979" s="7">
        <v>2.64</v>
      </c>
      <c r="E38979" t="s">
        <v>19</v>
      </c>
    </row>
    <row r="38980" spans="1:5" x14ac:dyDescent="0.25">
      <c r="A38980" t="str">
        <f>HYPERLINK("https://www.773grp.com/globalSearch/NCP694D25HT1G/page-1", "NCP694D25HT1G")</f>
        <v>NCP694D25HT1G</v>
      </c>
      <c r="B38980" s="3" t="str">
        <f>HYPERLINK("https://www.773grp.com/manufacturer/onsemi?pageNo=1036", "ON Semiconductor")</f>
        <v>ON Semiconductor</v>
      </c>
      <c r="C38980" s="6">
        <v>2000</v>
      </c>
      <c r="D38980" s="7">
        <v>2.64</v>
      </c>
      <c r="E38980" t="s">
        <v>19</v>
      </c>
    </row>
    <row r="38981" spans="1:5" x14ac:dyDescent="0.25">
      <c r="A38981" t="str">
        <f>HYPERLINK("https://www.773grp.com/globalSearch/NCP694H08HT1G/page-1", "NCP694H08HT1G")</f>
        <v>NCP694H08HT1G</v>
      </c>
      <c r="B38981" s="3" t="str">
        <f>HYPERLINK("https://www.773grp.com/manufacturer/onsemi?pageNo=1037", "ON Semiconductor")</f>
        <v>ON Semiconductor</v>
      </c>
      <c r="C38981" s="6">
        <v>3000</v>
      </c>
      <c r="D38981" s="7">
        <v>2.64</v>
      </c>
      <c r="E38981" t="s">
        <v>19</v>
      </c>
    </row>
    <row r="38982" spans="1:5" x14ac:dyDescent="0.25">
      <c r="A38982" t="str">
        <f>HYPERLINK("https://www.773grp.com/globalSearch/NCP694H10HT1G/page-1", "NCP694H10HT1G")</f>
        <v>NCP694H10HT1G</v>
      </c>
      <c r="B38982" s="3" t="str">
        <f>HYPERLINK("https://www.773grp.com/manufacturer/onsemi?pageNo=1038", "ON Semiconductor")</f>
        <v>ON Semiconductor</v>
      </c>
      <c r="C38982" s="6">
        <v>1000</v>
      </c>
      <c r="D38982" s="7">
        <v>2.64</v>
      </c>
    </row>
    <row r="38983" spans="1:5" x14ac:dyDescent="0.25">
      <c r="A38983" t="str">
        <f>HYPERLINK("https://www.773grp.com/globalSearch/NCP694H12HT1G/page-1", "NCP694H12HT1G")</f>
        <v>NCP694H12HT1G</v>
      </c>
      <c r="B38983" s="3" t="str">
        <f>HYPERLINK("https://www.773grp.com/manufacturer/onsemi?pageNo=1039", "ON Semiconductor")</f>
        <v>ON Semiconductor</v>
      </c>
      <c r="C38983" s="6">
        <v>3995</v>
      </c>
      <c r="D38983" s="7">
        <v>2.64</v>
      </c>
      <c r="E38983" t="s">
        <v>19</v>
      </c>
    </row>
    <row r="38984" spans="1:5" x14ac:dyDescent="0.25">
      <c r="A38984" t="str">
        <f>HYPERLINK("https://www.773grp.com/globalSearch/NCP694H25HT1G/page-1", "NCP694H25HT1G")</f>
        <v>NCP694H25HT1G</v>
      </c>
      <c r="B38984" s="3" t="str">
        <f>HYPERLINK("https://www.773grp.com/manufacturer/onsemi?pageNo=1040", "ON Semiconductor")</f>
        <v>ON Semiconductor</v>
      </c>
      <c r="C38984" s="6">
        <v>6000</v>
      </c>
      <c r="D38984" s="7">
        <v>2.64</v>
      </c>
      <c r="E38984" t="s">
        <v>19</v>
      </c>
    </row>
    <row r="38985" spans="1:5" x14ac:dyDescent="0.25">
      <c r="A38985" t="str">
        <f>HYPERLINK("https://www.773grp.com/globalSearch/NCS6433DR2G/page-1", "NCS6433DR2G")</f>
        <v>NCS6433DR2G</v>
      </c>
      <c r="B38985" s="3" t="str">
        <f>HYPERLINK("https://www.773grp.com/manufacturer/onsemi?pageNo=1041", "ON Semiconductor")</f>
        <v>ON Semiconductor</v>
      </c>
      <c r="C38985" s="6">
        <v>16796</v>
      </c>
      <c r="D38985" s="7">
        <v>2.64</v>
      </c>
      <c r="E38985" t="s">
        <v>56</v>
      </c>
    </row>
    <row r="38986" spans="1:5" x14ac:dyDescent="0.25">
      <c r="A38986" t="str">
        <f>HYPERLINK("https://www.773grp.com/globalSearch/NCS6433DTBR2G/page-1", "NCS6433DTBR2G")</f>
        <v>NCS6433DTBR2G</v>
      </c>
      <c r="B38986" s="3" t="str">
        <f>HYPERLINK("https://www.773grp.com/manufacturer/onsemi?pageNo=1042", "ON Semiconductor")</f>
        <v>ON Semiconductor</v>
      </c>
      <c r="C38986" s="6">
        <v>50032</v>
      </c>
      <c r="D38986" s="7">
        <v>2.64</v>
      </c>
      <c r="E38986" t="s">
        <v>56</v>
      </c>
    </row>
    <row r="38987" spans="1:5" x14ac:dyDescent="0.25">
      <c r="A38987" t="str">
        <f>HYPERLINK("https://www.773grp.com/globalSearch/NCV3065MNTXG/page-1", "NCV3065MNTXG")</f>
        <v>NCV3065MNTXG</v>
      </c>
      <c r="B38987" s="3" t="str">
        <f>HYPERLINK("https://www.773grp.com/manufacturer/onsemi?pageNo=1043", "ON Semiconductor")</f>
        <v>ON Semiconductor</v>
      </c>
      <c r="C38987" s="6">
        <v>2254</v>
      </c>
      <c r="D38987" s="7">
        <v>2.64</v>
      </c>
      <c r="E38987" t="s">
        <v>10</v>
      </c>
    </row>
    <row r="38988" spans="1:5" x14ac:dyDescent="0.25">
      <c r="A38988" t="str">
        <f>HYPERLINK("https://www.773grp.com/globalSearch/NCV3066DR2G/page-1", "NCV3066DR2G")</f>
        <v>NCV3066DR2G</v>
      </c>
      <c r="B38988" s="3" t="str">
        <f>HYPERLINK("https://www.773grp.com/manufacturer/onsemi?pageNo=1044", "ON Semiconductor")</f>
        <v>ON Semiconductor</v>
      </c>
      <c r="C38988" s="6">
        <v>7756</v>
      </c>
      <c r="D38988" s="7">
        <v>2.64</v>
      </c>
    </row>
    <row r="38989" spans="1:5" x14ac:dyDescent="0.25">
      <c r="A38989" t="str">
        <f>HYPERLINK("https://www.773grp.com/globalSearch/NCV3066PG/page-1", "NCV3066PG")</f>
        <v>NCV3066PG</v>
      </c>
      <c r="B38989" s="3" t="str">
        <f>HYPERLINK("https://www.773grp.com/manufacturer/onsemi?pageNo=1045", "ON Semiconductor")</f>
        <v>ON Semiconductor</v>
      </c>
      <c r="C38989" s="6">
        <v>11700</v>
      </c>
      <c r="D38989" s="7">
        <v>2.64</v>
      </c>
      <c r="E38989" t="s">
        <v>7</v>
      </c>
    </row>
    <row r="38990" spans="1:5" x14ac:dyDescent="0.25">
      <c r="A38990" t="str">
        <f>HYPERLINK("https://www.773grp.com/globalSearch/NCV33152DR2G/page-1", "NCV33152DR2G")</f>
        <v>NCV33152DR2G</v>
      </c>
      <c r="B38990" s="3" t="str">
        <f>HYPERLINK("https://www.773grp.com/manufacturer/onsemi?pageNo=1046", "ON Semiconductor")</f>
        <v>ON Semiconductor</v>
      </c>
      <c r="C38990" s="6">
        <v>2500</v>
      </c>
      <c r="D38990" s="7">
        <v>2.64</v>
      </c>
    </row>
    <row r="38991" spans="1:5" x14ac:dyDescent="0.25">
      <c r="A38991" t="str">
        <f>HYPERLINK("https://www.773grp.com/globalSearch/NCV4269AD150R2G/page-1", "NCV4269AD150R2G")</f>
        <v>NCV4269AD150R2G</v>
      </c>
      <c r="B38991" s="3" t="str">
        <f>HYPERLINK("https://www.773grp.com/manufacturer/onsemi?pageNo=1047", "ON Semiconductor")</f>
        <v>ON Semiconductor</v>
      </c>
      <c r="C38991" s="6">
        <v>7500</v>
      </c>
      <c r="D38991" s="7">
        <v>2.64</v>
      </c>
    </row>
    <row r="38992" spans="1:5" x14ac:dyDescent="0.25">
      <c r="A38992" t="str">
        <f>HYPERLINK("https://www.773grp.com/globalSearch/NCV4275ADT33RKG/page-1", "NCV4275ADT33RKG")</f>
        <v>NCV4275ADT33RKG</v>
      </c>
      <c r="B38992" s="3" t="str">
        <f>HYPERLINK("https://www.773grp.com/manufacturer/onsemi?pageNo=1048", "ON Semiconductor")</f>
        <v>ON Semiconductor</v>
      </c>
      <c r="C38992" s="6">
        <v>30</v>
      </c>
      <c r="D38992" s="7">
        <v>2.64</v>
      </c>
      <c r="E38992" t="s">
        <v>19</v>
      </c>
    </row>
    <row r="38993" spans="1:5" x14ac:dyDescent="0.25">
      <c r="A38993" t="str">
        <f>HYPERLINK("https://www.773grp.com/globalSearch/NCV4275ADT50RKG/page-1", "NCV4275ADT50RKG")</f>
        <v>NCV4275ADT50RKG</v>
      </c>
      <c r="B38993" s="3" t="str">
        <f>HYPERLINK("https://www.773grp.com/manufacturer/onsemi?pageNo=1049", "ON Semiconductor")</f>
        <v>ON Semiconductor</v>
      </c>
      <c r="C38993" s="6">
        <v>12350</v>
      </c>
      <c r="D38993" s="7">
        <v>2.64</v>
      </c>
      <c r="E38993" t="s">
        <v>19</v>
      </c>
    </row>
    <row r="38994" spans="1:5" x14ac:dyDescent="0.25">
      <c r="A38994" t="str">
        <f>HYPERLINK("https://www.773grp.com/globalSearch/NCV8184DG/page-1", "NCV8184DG")</f>
        <v>NCV8184DG</v>
      </c>
      <c r="B38994" s="3" t="str">
        <f>HYPERLINK("https://www.773grp.com/manufacturer/onsemi?pageNo=1050", "ON Semiconductor")</f>
        <v>ON Semiconductor</v>
      </c>
      <c r="C38994" s="6">
        <v>1636</v>
      </c>
      <c r="D38994" s="7">
        <v>2.64</v>
      </c>
      <c r="E38994" t="s">
        <v>25</v>
      </c>
    </row>
    <row r="38995" spans="1:5" x14ac:dyDescent="0.25">
      <c r="A38995" t="str">
        <f>HYPERLINK("https://www.773grp.com/globalSearch/NCV8184DR2G/page-1", "NCV8184DR2G")</f>
        <v>NCV8184DR2G</v>
      </c>
      <c r="B38995" s="3" t="str">
        <f>HYPERLINK("https://www.773grp.com/manufacturer/onsemi?pageNo=1051", "ON Semiconductor")</f>
        <v>ON Semiconductor</v>
      </c>
      <c r="C38995" s="6">
        <v>14095</v>
      </c>
      <c r="D38995" s="7">
        <v>2.64</v>
      </c>
      <c r="E38995" t="s">
        <v>25</v>
      </c>
    </row>
    <row r="38996" spans="1:5" x14ac:dyDescent="0.25">
      <c r="A38996" t="str">
        <f>HYPERLINK("https://www.773grp.com/globalSearch/NID5004NT4G/page-1", "NID5004NT4G")</f>
        <v>NID5004NT4G</v>
      </c>
      <c r="B38996" s="3" t="str">
        <f>HYPERLINK("https://www.773grp.com/manufacturer/onsemi?pageNo=1052", "ON Semiconductor")</f>
        <v>ON Semiconductor</v>
      </c>
      <c r="C38996" s="6">
        <v>9900</v>
      </c>
      <c r="D38996" s="7">
        <v>2.64</v>
      </c>
    </row>
    <row r="38997" spans="1:5" x14ac:dyDescent="0.25">
      <c r="A38997" t="str">
        <f>HYPERLINK("https://www.773grp.com/globalSearch/NIMD6001NR2G/page-1", "NIMD6001NR2G")</f>
        <v>NIMD6001NR2G</v>
      </c>
      <c r="B38997" s="3" t="str">
        <f>HYPERLINK("https://www.773grp.com/manufacturer/onsemi?pageNo=1053", "ON Semiconductor")</f>
        <v>ON Semiconductor</v>
      </c>
      <c r="C38997" s="6">
        <v>17300</v>
      </c>
      <c r="D38997" s="7">
        <v>2.64</v>
      </c>
      <c r="E38997" t="s">
        <v>11</v>
      </c>
    </row>
    <row r="38998" spans="1:5" x14ac:dyDescent="0.25">
      <c r="A38998" t="str">
        <f>HYPERLINK("https://www.773grp.com/globalSearch/NLAS44599DTG/page-1", "NLAS44599DTG")</f>
        <v>NLAS44599DTG</v>
      </c>
      <c r="B38998" s="3" t="str">
        <f>HYPERLINK("https://www.773grp.com/manufacturer/onsemi?pageNo=1054", "ON Semiconductor")</f>
        <v>ON Semiconductor</v>
      </c>
      <c r="C38998" s="6">
        <v>4</v>
      </c>
      <c r="D38998" s="7">
        <v>2.64</v>
      </c>
    </row>
    <row r="38999" spans="1:5" x14ac:dyDescent="0.25">
      <c r="A38999" t="str">
        <f>HYPERLINK("https://www.773grp.com/globalSearch/NLAS44599DTR2/page-1", "NLAS44599DTR2")</f>
        <v>NLAS44599DTR2</v>
      </c>
      <c r="B38999" s="3" t="str">
        <f>HYPERLINK("https://www.773grp.com/manufacturer/onsemi?pageNo=1055", "ON Semiconductor")</f>
        <v>ON Semiconductor</v>
      </c>
      <c r="C38999" s="6">
        <v>1878</v>
      </c>
      <c r="D38999" s="7">
        <v>2.64</v>
      </c>
      <c r="E38999" t="s">
        <v>56</v>
      </c>
    </row>
    <row r="39000" spans="1:5" x14ac:dyDescent="0.25">
      <c r="A39000" t="str">
        <f>HYPERLINK("https://www.773grp.com/globalSearch/NLAS4685FCT1G/page-1", "NLAS4685FCT1G")</f>
        <v>NLAS4685FCT1G</v>
      </c>
      <c r="B39000" s="3" t="str">
        <f>HYPERLINK("https://www.773grp.com/manufacturer/onsemi?pageNo=1056", "ON Semiconductor")</f>
        <v>ON Semiconductor</v>
      </c>
      <c r="C39000" s="6">
        <v>41780</v>
      </c>
      <c r="D39000" s="7">
        <v>2.64</v>
      </c>
      <c r="E39000" t="s">
        <v>56</v>
      </c>
    </row>
    <row r="39001" spans="1:5" x14ac:dyDescent="0.25">
      <c r="A39001" t="str">
        <f>HYPERLINK("https://www.773grp.com/globalSearch/NLAST44599DTG/page-1", "NLAST44599DTG")</f>
        <v>NLAST44599DTG</v>
      </c>
      <c r="B39001" s="3" t="str">
        <f>HYPERLINK("https://www.773grp.com/manufacturer/onsemi?pageNo=1057", "ON Semiconductor")</f>
        <v>ON Semiconductor</v>
      </c>
      <c r="C39001" s="6">
        <v>25920</v>
      </c>
      <c r="D39001" s="7">
        <v>2.64</v>
      </c>
      <c r="E39001" t="s">
        <v>56</v>
      </c>
    </row>
    <row r="39002" spans="1:5" x14ac:dyDescent="0.25">
      <c r="A39002" t="str">
        <f>HYPERLINK("https://www.773grp.com/globalSearch/NLAST44599DTR2G/page-1", "NLAST44599DTR2G")</f>
        <v>NLAST44599DTR2G</v>
      </c>
      <c r="B39002" s="3" t="str">
        <f>HYPERLINK("https://www.773grp.com/manufacturer/onsemi?pageNo=1058", "ON Semiconductor")</f>
        <v>ON Semiconductor</v>
      </c>
      <c r="C39002" s="6">
        <v>10145</v>
      </c>
      <c r="D39002" s="7">
        <v>2.64</v>
      </c>
      <c r="E39002" t="s">
        <v>56</v>
      </c>
    </row>
    <row r="39003" spans="1:5" x14ac:dyDescent="0.25">
      <c r="A39003" t="str">
        <f>HYPERLINK("https://www.773grp.com/globalSearch/NLSF308MNR2G/page-1", "NLSF308MNR2G")</f>
        <v>NLSF308MNR2G</v>
      </c>
      <c r="B39003" s="3" t="str">
        <f>HYPERLINK("https://www.773grp.com/manufacturer/onsemi?pageNo=1059", "ON Semiconductor")</f>
        <v>ON Semiconductor</v>
      </c>
      <c r="C39003" s="6">
        <v>11000</v>
      </c>
      <c r="D39003" s="7">
        <v>2.64</v>
      </c>
      <c r="E39003" t="s">
        <v>31</v>
      </c>
    </row>
    <row r="39004" spans="1:5" x14ac:dyDescent="0.25">
      <c r="A39004" t="str">
        <f>HYPERLINK("https://www.773grp.com/globalSearch/NLSF3T125MNR2G/page-1", "NLSF3T125MNR2G")</f>
        <v>NLSF3T125MNR2G</v>
      </c>
      <c r="B39004" s="3" t="str">
        <f>HYPERLINK("https://www.773grp.com/manufacturer/onsemi?pageNo=1060", "ON Semiconductor")</f>
        <v>ON Semiconductor</v>
      </c>
      <c r="C39004" s="6">
        <v>600565</v>
      </c>
      <c r="D39004" s="7">
        <v>2.64</v>
      </c>
      <c r="E39004" t="s">
        <v>14</v>
      </c>
    </row>
    <row r="39005" spans="1:5" x14ac:dyDescent="0.25">
      <c r="A39005" t="str">
        <f>HYPERLINK("https://www.773grp.com/globalSearch/NLSF3T126MNR2G/page-1", "NLSF3T126MNR2G")</f>
        <v>NLSF3T126MNR2G</v>
      </c>
      <c r="B39005" s="3" t="str">
        <f>HYPERLINK("https://www.773grp.com/manufacturer/onsemi?pageNo=1061", "ON Semiconductor")</f>
        <v>ON Semiconductor</v>
      </c>
      <c r="C39005" s="6">
        <v>27700</v>
      </c>
      <c r="D39005" s="7">
        <v>2.64</v>
      </c>
      <c r="E39005" t="s">
        <v>14</v>
      </c>
    </row>
    <row r="39006" spans="1:5" x14ac:dyDescent="0.25">
      <c r="A39006" t="str">
        <f>HYPERLINK("https://www.773grp.com/globalSearch/NTB25P06T4/page-1", "NTB25P06T4")</f>
        <v>NTB25P06T4</v>
      </c>
      <c r="B39006" s="3" t="str">
        <f>HYPERLINK("https://www.773grp.com/manufacturer/onsemi?pageNo=1062", "ON Semiconductor")</f>
        <v>ON Semiconductor</v>
      </c>
      <c r="C39006" s="6">
        <v>3260</v>
      </c>
      <c r="D39006" s="7">
        <v>2.64</v>
      </c>
      <c r="E39006" t="s">
        <v>105</v>
      </c>
    </row>
    <row r="39007" spans="1:5" x14ac:dyDescent="0.25">
      <c r="A39007" t="str">
        <f>HYPERLINK("https://www.773grp.com/globalSearch/NTLTS3107PR2G/page-1", "NTLTS3107PR2G")</f>
        <v>NTLTS3107PR2G</v>
      </c>
      <c r="B39007" s="3" t="str">
        <f>HYPERLINK("https://www.773grp.com/manufacturer/onsemi?pageNo=1063", "ON Semiconductor")</f>
        <v>ON Semiconductor</v>
      </c>
      <c r="C39007" s="6">
        <v>3000</v>
      </c>
      <c r="D39007" s="7">
        <v>2.64</v>
      </c>
    </row>
    <row r="39008" spans="1:5" x14ac:dyDescent="0.25">
      <c r="A39008" t="str">
        <f>HYPERLINK("https://www.773grp.com/globalSearch/NUF2900MNT1G/page-1", "NUF2900MNT1G")</f>
        <v>NUF2900MNT1G</v>
      </c>
      <c r="B39008" s="3" t="str">
        <f>HYPERLINK("https://www.773grp.com/manufacturer/onsemi?pageNo=1064", "ON Semiconductor")</f>
        <v>ON Semiconductor</v>
      </c>
      <c r="C39008" s="6">
        <v>8085</v>
      </c>
      <c r="D39008" s="7">
        <v>2.64</v>
      </c>
      <c r="E39008" t="s">
        <v>100</v>
      </c>
    </row>
    <row r="39009" spans="1:5" x14ac:dyDescent="0.25">
      <c r="A39009" t="str">
        <f>HYPERLINK("https://www.773grp.com/globalSearch/NUF9001FCT1G/page-1", "NUF9001FCT1G")</f>
        <v>NUF9001FCT1G</v>
      </c>
      <c r="B39009" s="3" t="str">
        <f>HYPERLINK("https://www.773grp.com/manufacturer/onsemi?pageNo=1065", "ON Semiconductor")</f>
        <v>ON Semiconductor</v>
      </c>
      <c r="C39009" s="6">
        <v>929690</v>
      </c>
      <c r="D39009" s="7">
        <v>2.64</v>
      </c>
      <c r="E39009" t="s">
        <v>100</v>
      </c>
    </row>
    <row r="39010" spans="1:5" x14ac:dyDescent="0.25">
      <c r="A39010" t="str">
        <f>HYPERLINK("https://www.773grp.com/globalSearch/NUF9002FCT1G/page-1", "NUF9002FCT1G")</f>
        <v>NUF9002FCT1G</v>
      </c>
      <c r="B39010" s="3" t="str">
        <f>HYPERLINK("https://www.773grp.com/manufacturer/onsemi?pageNo=1066", "ON Semiconductor")</f>
        <v>ON Semiconductor</v>
      </c>
      <c r="C39010" s="6">
        <v>957391</v>
      </c>
      <c r="D39010" s="7">
        <v>2.64</v>
      </c>
      <c r="E39010" t="s">
        <v>100</v>
      </c>
    </row>
    <row r="39011" spans="1:5" x14ac:dyDescent="0.25">
      <c r="A39011" t="str">
        <f>HYPERLINK("https://www.773grp.com/globalSearch/NUP4201DR2G/page-1", "NUP4201DR2G")</f>
        <v>NUP4201DR2G</v>
      </c>
      <c r="B39011" s="3" t="str">
        <f>HYPERLINK("https://www.773grp.com/manufacturer/onsemi?pageNo=1067", "ON Semiconductor")</f>
        <v>ON Semiconductor</v>
      </c>
      <c r="C39011" s="6">
        <v>4550</v>
      </c>
      <c r="D39011" s="7">
        <v>2.64</v>
      </c>
      <c r="E39011" t="s">
        <v>96</v>
      </c>
    </row>
    <row r="39012" spans="1:5" x14ac:dyDescent="0.25">
      <c r="A39012" t="str">
        <f>HYPERLINK("https://www.773grp.com/globalSearch/NUS3045MNT1G/page-1", "NUS3045MNT1G")</f>
        <v>NUS3045MNT1G</v>
      </c>
      <c r="B39012" s="3" t="str">
        <f>HYPERLINK("https://www.773grp.com/manufacturer/onsemi?pageNo=1068", "ON Semiconductor")</f>
        <v>ON Semiconductor</v>
      </c>
      <c r="C39012" s="6">
        <v>1450</v>
      </c>
      <c r="D39012" s="7">
        <v>2.64</v>
      </c>
      <c r="E39012" t="s">
        <v>30</v>
      </c>
    </row>
    <row r="39013" spans="1:5" x14ac:dyDescent="0.25">
      <c r="A39013" t="str">
        <f>HYPERLINK("https://www.773grp.com/globalSearch/NUS3046MNT1G/page-1", "NUS3046MNT1G")</f>
        <v>NUS3046MNT1G</v>
      </c>
      <c r="B39013" s="3" t="str">
        <f>HYPERLINK("https://www.773grp.com/manufacturer/onsemi?pageNo=1069", "ON Semiconductor")</f>
        <v>ON Semiconductor</v>
      </c>
      <c r="C39013" s="6">
        <v>182720</v>
      </c>
      <c r="D39013" s="7">
        <v>2.64</v>
      </c>
      <c r="E39013" t="s">
        <v>30</v>
      </c>
    </row>
    <row r="39014" spans="1:5" x14ac:dyDescent="0.25">
      <c r="A39014" t="str">
        <f>HYPERLINK("https://www.773grp.com/globalSearch/NUS3116MTR2G/page-1", "NUS3116MTR2G")</f>
        <v>NUS3116MTR2G</v>
      </c>
      <c r="B39014" s="3" t="str">
        <f>HYPERLINK("https://www.773grp.com/manufacturer/onsemi?pageNo=1070", "ON Semiconductor")</f>
        <v>ON Semiconductor</v>
      </c>
      <c r="C39014" s="6">
        <v>62795</v>
      </c>
      <c r="D39014" s="7">
        <v>2.64</v>
      </c>
      <c r="E39014" t="s">
        <v>106</v>
      </c>
    </row>
    <row r="39015" spans="1:5" x14ac:dyDescent="0.25">
      <c r="A39015" t="str">
        <f>HYPERLINK("https://www.773grp.com/globalSearch/P3P85R01AG-08CR/page-1", "P3P85R01AG-08CR")</f>
        <v>P3P85R01AG-08CR</v>
      </c>
      <c r="B39015" s="3" t="str">
        <f>HYPERLINK("https://www.773grp.com/manufacturer/onsemi?pageNo=1071", "ON Semiconductor")</f>
        <v>ON Semiconductor</v>
      </c>
      <c r="C39015" s="6">
        <v>6000</v>
      </c>
      <c r="D39015" s="7">
        <v>2.64</v>
      </c>
    </row>
    <row r="39016" spans="1:5" x14ac:dyDescent="0.25">
      <c r="A39016" t="str">
        <f>HYPERLINK("https://www.773grp.com/globalSearch/SBRB2545CT/page-1", "SBRB2545CT")</f>
        <v>SBRB2545CT</v>
      </c>
      <c r="B39016" s="3" t="str">
        <f>HYPERLINK("https://www.773grp.com/manufacturer/onsemi?pageNo=1072", "ON Semiconductor")</f>
        <v>ON Semiconductor</v>
      </c>
      <c r="C39016" s="6">
        <v>6100</v>
      </c>
      <c r="D39016" s="7">
        <v>2.64</v>
      </c>
    </row>
    <row r="39017" spans="1:5" x14ac:dyDescent="0.25">
      <c r="A39017" t="str">
        <f>HYPERLINK("https://www.773grp.com/globalSearch/SG3525ANG/page-1", "SG3525ANG")</f>
        <v>SG3525ANG</v>
      </c>
      <c r="B39017" s="3" t="str">
        <f>HYPERLINK("https://www.773grp.com/manufacturer/onsemi?pageNo=1073", "ON Semiconductor")</f>
        <v>ON Semiconductor</v>
      </c>
      <c r="C39017" s="6">
        <v>21458</v>
      </c>
      <c r="D39017" s="7">
        <v>2.64</v>
      </c>
      <c r="E39017" t="s">
        <v>7</v>
      </c>
    </row>
    <row r="39018" spans="1:5" x14ac:dyDescent="0.25">
      <c r="A39018" t="str">
        <f>HYPERLINK("https://www.773grp.com/globalSearch/SR4461/page-1", "SR4461")</f>
        <v>SR4461</v>
      </c>
      <c r="B39018" s="3" t="str">
        <f>HYPERLINK("https://www.773grp.com/manufacturer/onsemi?pageNo=1074", "ON Semiconductor")</f>
        <v>ON Semiconductor</v>
      </c>
      <c r="C39018" s="6">
        <v>60000</v>
      </c>
      <c r="D39018" s="7">
        <v>2.64</v>
      </c>
    </row>
    <row r="39019" spans="1:5" x14ac:dyDescent="0.25">
      <c r="A39019" t="str">
        <f>HYPERLINK("https://www.773grp.com/globalSearch/TL0645VN/page-1", "TL0645VN")</f>
        <v>TL0645VN</v>
      </c>
      <c r="B39019" s="3" t="str">
        <f>HYPERLINK("https://www.773grp.com/manufacturer/onsemi?pageNo=1075", "ON Semiconductor")</f>
        <v>ON Semiconductor</v>
      </c>
      <c r="C39019" s="6">
        <v>438</v>
      </c>
      <c r="D39019" s="7">
        <v>2.64</v>
      </c>
    </row>
    <row r="39020" spans="1:5" x14ac:dyDescent="0.25">
      <c r="A39020" t="str">
        <f>HYPERLINK("https://www.773grp.com/globalSearch/UC3843AD2/page-1", "UC3843AD2")</f>
        <v>UC3843AD2</v>
      </c>
      <c r="B39020" s="3" t="str">
        <f>HYPERLINK("https://www.773grp.com/manufacturer/onsemi?pageNo=1076", "ON Semiconductor")</f>
        <v>ON Semiconductor</v>
      </c>
      <c r="C39020" s="6">
        <v>320</v>
      </c>
      <c r="D39020" s="7">
        <v>2.64</v>
      </c>
    </row>
    <row r="39021" spans="1:5" x14ac:dyDescent="0.25">
      <c r="A39021" t="str">
        <f>HYPERLINK("https://www.773grp.com/globalSearch/ADP3211MNR2G/page-1", "ADP3211MNR2G")</f>
        <v>ADP3211MNR2G</v>
      </c>
      <c r="B39021" s="3" t="str">
        <f>HYPERLINK("https://www.773grp.com/manufacturer/onsemi?pageNo=1077", "ON Semiconductor")</f>
        <v>ON Semiconductor</v>
      </c>
      <c r="C39021" s="6">
        <v>15000</v>
      </c>
      <c r="D39021" s="7">
        <v>2.69</v>
      </c>
      <c r="E39021" t="s">
        <v>7</v>
      </c>
    </row>
    <row r="39022" spans="1:5" x14ac:dyDescent="0.25">
      <c r="A39022" t="str">
        <f>HYPERLINK("https://www.773grp.com/globalSearch/CAT25256XI/page-1", "CAT25256XI")</f>
        <v>CAT25256XI</v>
      </c>
      <c r="B39022" s="3" t="str">
        <f>HYPERLINK("https://www.773grp.com/manufacturer/onsemi?pageNo=1078", "ON Semiconductor")</f>
        <v>ON Semiconductor</v>
      </c>
      <c r="C39022" s="6">
        <v>901</v>
      </c>
      <c r="D39022" s="7">
        <v>2.69</v>
      </c>
    </row>
    <row r="39023" spans="1:5" x14ac:dyDescent="0.25">
      <c r="A39023" t="str">
        <f>HYPERLINK("https://www.773grp.com/globalSearch/CAT5110SDI-00GT3/page-1", "CAT5110SDI-00GT3")</f>
        <v>CAT5110SDI-00GT3</v>
      </c>
      <c r="B39023" s="3" t="str">
        <f>HYPERLINK("https://www.773grp.com/manufacturer/onsemi?pageNo=1079", "ON Semiconductor")</f>
        <v>ON Semiconductor</v>
      </c>
      <c r="C39023" s="6">
        <v>21000</v>
      </c>
      <c r="D39023" s="7">
        <v>2.69</v>
      </c>
      <c r="E39023" t="s">
        <v>99</v>
      </c>
    </row>
    <row r="39024" spans="1:5" x14ac:dyDescent="0.25">
      <c r="A39024" t="str">
        <f>HYPERLINK("https://www.773grp.com/globalSearch/CAT5110SDI-10GT3/page-1", "CAT5110SDI-10GT3")</f>
        <v>CAT5110SDI-10GT3</v>
      </c>
      <c r="B39024" s="3" t="str">
        <f>HYPERLINK("https://www.773grp.com/manufacturer/onsemi?pageNo=1080", "ON Semiconductor")</f>
        <v>ON Semiconductor</v>
      </c>
      <c r="C39024" s="6">
        <v>6000</v>
      </c>
      <c r="D39024" s="7">
        <v>2.69</v>
      </c>
    </row>
    <row r="39025" spans="1:5" x14ac:dyDescent="0.25">
      <c r="A39025" t="str">
        <f>HYPERLINK("https://www.773grp.com/globalSearch/CAT5110SDI-50GT3/page-1", "CAT5110SDI-50GT3")</f>
        <v>CAT5110SDI-50GT3</v>
      </c>
      <c r="B39025" s="3" t="str">
        <f>HYPERLINK("https://www.773grp.com/manufacturer/onsemi?pageNo=1081", "ON Semiconductor")</f>
        <v>ON Semiconductor</v>
      </c>
      <c r="C39025" s="6">
        <v>42000</v>
      </c>
      <c r="D39025" s="7">
        <v>2.69</v>
      </c>
      <c r="E39025" t="s">
        <v>99</v>
      </c>
    </row>
    <row r="39026" spans="1:5" x14ac:dyDescent="0.25">
      <c r="A39026" t="str">
        <f>HYPERLINK("https://www.773grp.com/globalSearch/CAT9554AYI-GT2/page-1", "CAT9554AYI-GT2")</f>
        <v>CAT9554AYI-GT2</v>
      </c>
      <c r="B39026" s="3" t="str">
        <f>HYPERLINK("https://www.773grp.com/manufacturer/onsemi?pageNo=1082", "ON Semiconductor")</f>
        <v>ON Semiconductor</v>
      </c>
      <c r="C39026" s="6">
        <v>20500</v>
      </c>
      <c r="D39026" s="7">
        <v>2.69</v>
      </c>
    </row>
    <row r="39027" spans="1:5" x14ac:dyDescent="0.25">
      <c r="A39027" t="str">
        <f>HYPERLINK("https://www.773grp.com/globalSearch/CAT9554YI/page-1", "CAT9554YI")</f>
        <v>CAT9554YI</v>
      </c>
      <c r="B39027" s="3" t="str">
        <f>HYPERLINK("https://www.773grp.com/manufacturer/onsemi?pageNo=1083", "ON Semiconductor")</f>
        <v>ON Semiconductor</v>
      </c>
      <c r="C39027" s="6">
        <v>2738</v>
      </c>
      <c r="D39027" s="7">
        <v>2.69</v>
      </c>
    </row>
    <row r="39028" spans="1:5" x14ac:dyDescent="0.25">
      <c r="A39028" t="str">
        <f>HYPERLINK("https://www.773grp.com/globalSearch/CS5204-1GT3/page-1", "CS5204-1GT3")</f>
        <v>CS5204-1GT3</v>
      </c>
      <c r="B39028" s="3" t="str">
        <f>HYPERLINK("https://www.773grp.com/manufacturer/onsemi?pageNo=1084", "ON Semiconductor")</f>
        <v>ON Semiconductor</v>
      </c>
      <c r="C39028" s="6">
        <v>7949</v>
      </c>
      <c r="D39028" s="7">
        <v>2.69</v>
      </c>
      <c r="E39028" t="s">
        <v>25</v>
      </c>
    </row>
    <row r="39029" spans="1:5" x14ac:dyDescent="0.25">
      <c r="A39029" t="str">
        <f>HYPERLINK("https://www.773grp.com/globalSearch/CS8221YDFR8/page-1", "CS8221YDFR8")</f>
        <v>CS8221YDFR8</v>
      </c>
      <c r="B39029" s="3" t="str">
        <f>HYPERLINK("https://www.773grp.com/manufacturer/onsemi?pageNo=1085", "ON Semiconductor")</f>
        <v>ON Semiconductor</v>
      </c>
      <c r="C39029" s="6">
        <v>2500</v>
      </c>
      <c r="D39029" s="7">
        <v>2.69</v>
      </c>
      <c r="E39029" t="s">
        <v>19</v>
      </c>
    </row>
    <row r="39030" spans="1:5" x14ac:dyDescent="0.25">
      <c r="A39030" t="str">
        <f>HYPERLINK("https://www.773grp.com/globalSearch/CS8321YDPR3/page-1", "CS8321YDPR3")</f>
        <v>CS8321YDPR3</v>
      </c>
      <c r="B39030" s="3" t="str">
        <f>HYPERLINK("https://www.773grp.com/manufacturer/onsemi?pageNo=1086", "ON Semiconductor")</f>
        <v>ON Semiconductor</v>
      </c>
      <c r="C39030" s="6">
        <v>740</v>
      </c>
      <c r="D39030" s="7">
        <v>2.69</v>
      </c>
      <c r="E39030" t="s">
        <v>19</v>
      </c>
    </row>
    <row r="39031" spans="1:5" x14ac:dyDescent="0.25">
      <c r="A39031" t="str">
        <f>HYPERLINK("https://www.773grp.com/globalSearch/CS8321YT3/page-1", "CS8321YT3")</f>
        <v>CS8321YT3</v>
      </c>
      <c r="B39031" s="3" t="str">
        <f>HYPERLINK("https://www.773grp.com/manufacturer/onsemi?pageNo=1087", "ON Semiconductor")</f>
        <v>ON Semiconductor</v>
      </c>
      <c r="C39031" s="6">
        <v>723</v>
      </c>
      <c r="D39031" s="7">
        <v>2.69</v>
      </c>
      <c r="E39031" t="s">
        <v>19</v>
      </c>
    </row>
    <row r="39032" spans="1:5" x14ac:dyDescent="0.25">
      <c r="A39032" t="str">
        <f>HYPERLINK("https://www.773grp.com/globalSearch/CS8321YT3G/page-1", "CS8321YT3G")</f>
        <v>CS8321YT3G</v>
      </c>
      <c r="B39032" s="3" t="str">
        <f>HYPERLINK("https://www.773grp.com/manufacturer/onsemi?pageNo=1088", "ON Semiconductor")</f>
        <v>ON Semiconductor</v>
      </c>
      <c r="C39032" s="6">
        <v>2250</v>
      </c>
      <c r="D39032" s="7">
        <v>2.69</v>
      </c>
      <c r="E39032" t="s">
        <v>19</v>
      </c>
    </row>
    <row r="39033" spans="1:5" x14ac:dyDescent="0.25">
      <c r="A39033" t="str">
        <f>HYPERLINK("https://www.773grp.com/globalSearch/L79M05TL-E/page-1", "L79M05TL-E")</f>
        <v>L79M05TL-E</v>
      </c>
      <c r="B39033" s="3" t="str">
        <f>HYPERLINK("https://www.773grp.com/manufacturer/onsemi?pageNo=1089", "ON Semiconductor")</f>
        <v>ON Semiconductor</v>
      </c>
      <c r="C39033" s="6">
        <v>2000</v>
      </c>
      <c r="D39033" s="7">
        <v>2.69</v>
      </c>
    </row>
    <row r="39034" spans="1:5" x14ac:dyDescent="0.25">
      <c r="A39034" t="str">
        <f>HYPERLINK("https://www.773grp.com/globalSearch/LA73054-TLM-E/page-1", "LA73054-TLM-E")</f>
        <v>LA73054-TLM-E</v>
      </c>
      <c r="B39034" s="3" t="str">
        <f>HYPERLINK("https://www.773grp.com/manufacturer/onsemi?pageNo=1090", "ON Semiconductor")</f>
        <v>ON Semiconductor</v>
      </c>
      <c r="C39034" s="6">
        <v>172000</v>
      </c>
      <c r="D39034" s="7">
        <v>2.69</v>
      </c>
    </row>
    <row r="39035" spans="1:5" x14ac:dyDescent="0.25">
      <c r="A39035" t="str">
        <f>HYPERLINK("https://www.773grp.com/globalSearch/MBRB8H100T4G/page-1", "MBRB8H100T4G")</f>
        <v>MBRB8H100T4G</v>
      </c>
      <c r="B39035" s="3" t="str">
        <f>HYPERLINK("https://www.773grp.com/manufacturer/onsemi?pageNo=1091", "ON Semiconductor")</f>
        <v>ON Semiconductor</v>
      </c>
      <c r="C39035" s="6">
        <v>186604</v>
      </c>
      <c r="D39035" s="7">
        <v>2.69</v>
      </c>
      <c r="E39035" t="s">
        <v>103</v>
      </c>
    </row>
    <row r="39036" spans="1:5" x14ac:dyDescent="0.25">
      <c r="A39036" t="str">
        <f>HYPERLINK("https://www.773grp.com/globalSearch/MBRS4201T3G/page-1", "MBRS4201T3G")</f>
        <v>MBRS4201T3G</v>
      </c>
      <c r="B39036" s="3" t="str">
        <f>HYPERLINK("https://www.773grp.com/manufacturer/onsemi?pageNo=1092", "ON Semiconductor")</f>
        <v>ON Semiconductor</v>
      </c>
      <c r="C39036" s="6">
        <v>10000</v>
      </c>
      <c r="D39036" s="7">
        <v>2.69</v>
      </c>
    </row>
    <row r="39037" spans="1:5" x14ac:dyDescent="0.25">
      <c r="A39037" t="str">
        <f>HYPERLINK("https://www.773grp.com/globalSearch/MC14551BCP/page-1", "MC14551BCP")</f>
        <v>MC14551BCP</v>
      </c>
      <c r="B39037" s="3" t="str">
        <f>HYPERLINK("https://www.773grp.com/manufacturer/onsemi?pageNo=1093", "ON Semiconductor")</f>
        <v>ON Semiconductor</v>
      </c>
      <c r="C39037" s="6">
        <v>2072</v>
      </c>
      <c r="D39037" s="7">
        <v>2.69</v>
      </c>
      <c r="E39037" t="s">
        <v>56</v>
      </c>
    </row>
    <row r="39038" spans="1:5" x14ac:dyDescent="0.25">
      <c r="A39038" t="str">
        <f>HYPERLINK("https://www.773grp.com/globalSearch/MC34151DG/page-1", "MC34151DG")</f>
        <v>MC34151DG</v>
      </c>
      <c r="B39038" s="3" t="str">
        <f>HYPERLINK("https://www.773grp.com/manufacturer/onsemi?pageNo=1094", "ON Semiconductor")</f>
        <v>ON Semiconductor</v>
      </c>
      <c r="C39038" s="6">
        <v>1252</v>
      </c>
      <c r="D39038" s="7">
        <v>2.69</v>
      </c>
      <c r="E39038" t="s">
        <v>16</v>
      </c>
    </row>
    <row r="39039" spans="1:5" x14ac:dyDescent="0.25">
      <c r="A39039" t="str">
        <f>HYPERLINK("https://www.773grp.com/globalSearch/MC34151DR2G/page-1", "MC34151DR2G")</f>
        <v>MC34151DR2G</v>
      </c>
      <c r="B39039" s="3" t="str">
        <f>HYPERLINK("https://www.773grp.com/manufacturer/onsemi?pageNo=1095", "ON Semiconductor")</f>
        <v>ON Semiconductor</v>
      </c>
      <c r="C39039" s="6">
        <v>26825</v>
      </c>
      <c r="D39039" s="7">
        <v>2.69</v>
      </c>
      <c r="E39039" t="s">
        <v>16</v>
      </c>
    </row>
    <row r="39040" spans="1:5" x14ac:dyDescent="0.25">
      <c r="A39040" t="str">
        <f>HYPERLINK("https://www.773grp.com/globalSearch/MC34151PG/page-1", "MC34151PG")</f>
        <v>MC34151PG</v>
      </c>
      <c r="B39040" s="3" t="str">
        <f>HYPERLINK("https://www.773grp.com/manufacturer/onsemi?pageNo=1096", "ON Semiconductor")</f>
        <v>ON Semiconductor</v>
      </c>
      <c r="C39040" s="6">
        <v>48160</v>
      </c>
      <c r="D39040" s="7">
        <v>2.69</v>
      </c>
      <c r="E39040" t="s">
        <v>16</v>
      </c>
    </row>
    <row r="39041" spans="1:5" x14ac:dyDescent="0.25">
      <c r="A39041" t="str">
        <f>HYPERLINK("https://www.773grp.com/globalSearch/MC74ACT113D/page-1", "MC74ACT113D")</f>
        <v>MC74ACT113D</v>
      </c>
      <c r="B39041" s="3" t="str">
        <f>HYPERLINK("https://www.773grp.com/manufacturer/onsemi?pageNo=1097", "ON Semiconductor")</f>
        <v>ON Semiconductor</v>
      </c>
      <c r="C39041" s="6">
        <v>807</v>
      </c>
      <c r="D39041" s="7">
        <v>2.69</v>
      </c>
      <c r="E39041" t="s">
        <v>35</v>
      </c>
    </row>
    <row r="39042" spans="1:5" x14ac:dyDescent="0.25">
      <c r="A39042" t="str">
        <f>HYPERLINK("https://www.773grp.com/globalSearch/MCR218-8FP/page-1", "MCR218-8FP")</f>
        <v>MCR218-8FP</v>
      </c>
      <c r="B39042" s="3" t="str">
        <f>HYPERLINK("https://www.773grp.com/manufacturer/onsemi?pageNo=1098", "ON Semiconductor")</f>
        <v>ON Semiconductor</v>
      </c>
      <c r="C39042" s="6">
        <v>25461</v>
      </c>
      <c r="D39042" s="7">
        <v>2.69</v>
      </c>
      <c r="E39042" t="s">
        <v>97</v>
      </c>
    </row>
    <row r="39043" spans="1:5" x14ac:dyDescent="0.25">
      <c r="A39043" t="str">
        <f>HYPERLINK("https://www.773grp.com/globalSearch/MJF127G/page-1", "MJF127G")</f>
        <v>MJF127G</v>
      </c>
      <c r="B39043" s="3" t="str">
        <f>HYPERLINK("https://www.773grp.com/manufacturer/onsemi?pageNo=1099", "ON Semiconductor")</f>
        <v>ON Semiconductor</v>
      </c>
      <c r="C39043" s="6">
        <v>40</v>
      </c>
      <c r="D39043" s="7">
        <v>2.69</v>
      </c>
      <c r="E39043" t="s">
        <v>59</v>
      </c>
    </row>
    <row r="39044" spans="1:5" x14ac:dyDescent="0.25">
      <c r="A39044" t="str">
        <f>HYPERLINK("https://www.773grp.com/globalSearch/MPQ6700/page-1", "MPQ6700")</f>
        <v>MPQ6700</v>
      </c>
      <c r="B39044" s="3" t="str">
        <f>HYPERLINK("https://www.773grp.com/manufacturer/onsemi?pageNo=1100", "ON Semiconductor")</f>
        <v>ON Semiconductor</v>
      </c>
      <c r="C39044" s="6">
        <v>56512</v>
      </c>
      <c r="D39044" s="7">
        <v>2.69</v>
      </c>
      <c r="E39044" t="s">
        <v>69</v>
      </c>
    </row>
    <row r="39045" spans="1:5" x14ac:dyDescent="0.25">
      <c r="A39045" t="str">
        <f>HYPERLINK("https://www.773grp.com/globalSearch/NCV4269D1R2G/page-1", "NCV4269D1R2G")</f>
        <v>NCV4269D1R2G</v>
      </c>
      <c r="B39045" s="3" t="str">
        <f>HYPERLINK("https://www.773grp.com/manufacturer/onsemi?pageNo=1101", "ON Semiconductor")</f>
        <v>ON Semiconductor</v>
      </c>
      <c r="C39045" s="6">
        <v>10714</v>
      </c>
      <c r="D39045" s="7">
        <v>2.69</v>
      </c>
      <c r="E39045" t="s">
        <v>19</v>
      </c>
    </row>
    <row r="39046" spans="1:5" x14ac:dyDescent="0.25">
      <c r="A39046" t="str">
        <f>HYPERLINK("https://www.773grp.com/globalSearch/NTMS10P02R2G/page-1", "NTMS10P02R2G")</f>
        <v>NTMS10P02R2G</v>
      </c>
      <c r="B39046" s="3" t="str">
        <f>HYPERLINK("https://www.773grp.com/manufacturer/onsemi?pageNo=1102", "ON Semiconductor")</f>
        <v>ON Semiconductor</v>
      </c>
      <c r="C39046" s="6">
        <v>28529</v>
      </c>
      <c r="D39046" s="7">
        <v>2.69</v>
      </c>
      <c r="E39046" t="s">
        <v>106</v>
      </c>
    </row>
    <row r="39047" spans="1:5" x14ac:dyDescent="0.25">
      <c r="A39047" t="str">
        <f>HYPERLINK("https://www.773grp.com/globalSearch/NTTFS4939NTAG/page-1", "NTTFS4939NTAG")</f>
        <v>NTTFS4939NTAG</v>
      </c>
      <c r="B39047" s="3" t="str">
        <f>HYPERLINK("https://www.773grp.com/manufacturer/onsemi?pageNo=1103", "ON Semiconductor")</f>
        <v>ON Semiconductor</v>
      </c>
      <c r="C39047" s="6">
        <v>49500</v>
      </c>
      <c r="D39047" s="7">
        <v>2.69</v>
      </c>
    </row>
    <row r="39048" spans="1:5" x14ac:dyDescent="0.25">
      <c r="A39048" t="str">
        <f>HYPERLINK("https://www.773grp.com/globalSearch/SA5534NG/page-1", "SA5534NG")</f>
        <v>SA5534NG</v>
      </c>
      <c r="B39048" s="3" t="str">
        <f>HYPERLINK("https://www.773grp.com/manufacturer/onsemi?pageNo=1104", "ON Semiconductor")</f>
        <v>ON Semiconductor</v>
      </c>
      <c r="C39048" s="6">
        <v>3708</v>
      </c>
      <c r="D39048" s="7">
        <v>2.69</v>
      </c>
      <c r="E39048" t="s">
        <v>13</v>
      </c>
    </row>
    <row r="39049" spans="1:5" x14ac:dyDescent="0.25">
      <c r="A39049" t="str">
        <f>HYPERLINK("https://www.773grp.com/globalSearch/UAA2016DG/page-1", "UAA2016DG")</f>
        <v>UAA2016DG</v>
      </c>
      <c r="B39049" s="3" t="str">
        <f>HYPERLINK("https://www.773grp.com/manufacturer/onsemi?pageNo=1105", "ON Semiconductor")</f>
        <v>ON Semiconductor</v>
      </c>
      <c r="C39049" s="6">
        <v>14</v>
      </c>
      <c r="D39049" s="7">
        <v>2.69</v>
      </c>
      <c r="E39049" t="s">
        <v>40</v>
      </c>
    </row>
    <row r="39050" spans="1:5" x14ac:dyDescent="0.25">
      <c r="A39050" t="str">
        <f>HYPERLINK("https://www.773grp.com/globalSearch/UAA2016PG/page-1", "UAA2016PG")</f>
        <v>UAA2016PG</v>
      </c>
      <c r="B39050" s="3" t="str">
        <f>HYPERLINK("https://www.773grp.com/manufacturer/onsemi?pageNo=1106", "ON Semiconductor")</f>
        <v>ON Semiconductor</v>
      </c>
      <c r="C39050" s="6">
        <v>4828</v>
      </c>
      <c r="D39050" s="7">
        <v>2.69</v>
      </c>
      <c r="E39050" t="s">
        <v>40</v>
      </c>
    </row>
    <row r="39051" spans="1:5" x14ac:dyDescent="0.25">
      <c r="A39051" t="str">
        <f>HYPERLINK("https://www.773grp.com/globalSearch/2N6400G/page-1", "2N6400G")</f>
        <v>2N6400G</v>
      </c>
      <c r="B39051" s="3" t="str">
        <f>HYPERLINK("https://www.773grp.com/manufacturer/onsemi?pageNo=1107", "ON Semiconductor")</f>
        <v>ON Semiconductor</v>
      </c>
      <c r="C39051" s="6">
        <v>1000</v>
      </c>
      <c r="D39051" s="7">
        <v>2.75</v>
      </c>
      <c r="E39051" t="s">
        <v>97</v>
      </c>
    </row>
    <row r="39052" spans="1:5" x14ac:dyDescent="0.25">
      <c r="A39052" t="str">
        <f>HYPERLINK("https://www.773grp.com/globalSearch/2N6401G/page-1", "2N6401G")</f>
        <v>2N6401G</v>
      </c>
      <c r="B39052" s="3" t="str">
        <f>HYPERLINK("https://www.773grp.com/manufacturer/onsemi?pageNo=1108", "ON Semiconductor")</f>
        <v>ON Semiconductor</v>
      </c>
      <c r="C39052" s="6">
        <v>2000</v>
      </c>
      <c r="D39052" s="7">
        <v>2.75</v>
      </c>
      <c r="E39052" t="s">
        <v>97</v>
      </c>
    </row>
    <row r="39053" spans="1:5" x14ac:dyDescent="0.25">
      <c r="A39053" t="str">
        <f>HYPERLINK("https://www.773grp.com/globalSearch/2N6402G/page-1", "2N6402G")</f>
        <v>2N6402G</v>
      </c>
      <c r="B39053" s="3" t="str">
        <f>HYPERLINK("https://www.773grp.com/manufacturer/onsemi?pageNo=1109", "ON Semiconductor")</f>
        <v>ON Semiconductor</v>
      </c>
      <c r="C39053" s="6">
        <v>869</v>
      </c>
      <c r="D39053" s="7">
        <v>2.75</v>
      </c>
      <c r="E39053" t="s">
        <v>97</v>
      </c>
    </row>
    <row r="39054" spans="1:5" x14ac:dyDescent="0.25">
      <c r="A39054" t="str">
        <f>HYPERLINK("https://www.773grp.com/globalSearch/2N6403/page-1", "2N6403")</f>
        <v>2N6403</v>
      </c>
      <c r="B39054" s="3" t="str">
        <f>HYPERLINK("https://www.773grp.com/manufacturer/onsemi?pageNo=1110", "ON Semiconductor")</f>
        <v>ON Semiconductor</v>
      </c>
      <c r="C39054" s="6">
        <v>1000</v>
      </c>
      <c r="D39054" s="7">
        <v>2.75</v>
      </c>
      <c r="E39054" t="s">
        <v>97</v>
      </c>
    </row>
    <row r="39055" spans="1:5" x14ac:dyDescent="0.25">
      <c r="A39055" t="str">
        <f>HYPERLINK("https://www.773grp.com/globalSearch/2N6403G/page-1", "2N6403G")</f>
        <v>2N6403G</v>
      </c>
      <c r="B39055" s="3" t="str">
        <f>HYPERLINK("https://www.773grp.com/manufacturer/onsemi?pageNo=1111", "ON Semiconductor")</f>
        <v>ON Semiconductor</v>
      </c>
      <c r="C39055" s="6">
        <v>35413</v>
      </c>
      <c r="D39055" s="7">
        <v>2.75</v>
      </c>
      <c r="E39055" t="s">
        <v>97</v>
      </c>
    </row>
    <row r="39056" spans="1:5" x14ac:dyDescent="0.25">
      <c r="A39056" t="str">
        <f>HYPERLINK("https://www.773grp.com/globalSearch/2N6403TG/page-1", "2N6403TG")</f>
        <v>2N6403TG</v>
      </c>
      <c r="B39056" s="3" t="str">
        <f>HYPERLINK("https://www.773grp.com/manufacturer/onsemi?pageNo=1112", "ON Semiconductor")</f>
        <v>ON Semiconductor</v>
      </c>
      <c r="C39056" s="6">
        <v>700</v>
      </c>
      <c r="D39056" s="7">
        <v>2.75</v>
      </c>
    </row>
    <row r="39057" spans="1:5" x14ac:dyDescent="0.25">
      <c r="A39057" t="str">
        <f>HYPERLINK("https://www.773grp.com/globalSearch/2N6404G/page-1", "2N6404G")</f>
        <v>2N6404G</v>
      </c>
      <c r="B39057" s="3" t="str">
        <f>HYPERLINK("https://www.773grp.com/manufacturer/onsemi?pageNo=1113", "ON Semiconductor")</f>
        <v>ON Semiconductor</v>
      </c>
      <c r="C39057" s="6">
        <v>2400</v>
      </c>
      <c r="D39057" s="7">
        <v>2.75</v>
      </c>
      <c r="E39057" t="s">
        <v>97</v>
      </c>
    </row>
    <row r="39058" spans="1:5" x14ac:dyDescent="0.25">
      <c r="A39058" t="str">
        <f>HYPERLINK("https://www.773grp.com/globalSearch/2N6504G/page-1", "2N6504G")</f>
        <v>2N6504G</v>
      </c>
      <c r="B39058" s="3" t="str">
        <f>HYPERLINK("https://www.773grp.com/manufacturer/onsemi?pageNo=1114", "ON Semiconductor")</f>
        <v>ON Semiconductor</v>
      </c>
      <c r="C39058" s="6">
        <v>2400</v>
      </c>
      <c r="D39058" s="7">
        <v>2.75</v>
      </c>
      <c r="E39058" t="s">
        <v>97</v>
      </c>
    </row>
    <row r="39059" spans="1:5" x14ac:dyDescent="0.25">
      <c r="A39059" t="str">
        <f>HYPERLINK("https://www.773grp.com/globalSearch/2N6505/page-1", "2N6505")</f>
        <v>2N6505</v>
      </c>
      <c r="B39059" s="3" t="str">
        <f>HYPERLINK("https://www.773grp.com/manufacturer/onsemi?pageNo=1115", "ON Semiconductor")</f>
        <v>ON Semiconductor</v>
      </c>
      <c r="C39059" s="6">
        <v>337</v>
      </c>
      <c r="D39059" s="7">
        <v>2.75</v>
      </c>
      <c r="E39059" t="s">
        <v>97</v>
      </c>
    </row>
    <row r="39060" spans="1:5" x14ac:dyDescent="0.25">
      <c r="A39060" t="str">
        <f>HYPERLINK("https://www.773grp.com/globalSearch/2N6505G/page-1", "2N6505G")</f>
        <v>2N6505G</v>
      </c>
      <c r="B39060" s="3" t="str">
        <f>HYPERLINK("https://www.773grp.com/manufacturer/onsemi?pageNo=1116", "ON Semiconductor")</f>
        <v>ON Semiconductor</v>
      </c>
      <c r="C39060" s="6">
        <v>9874</v>
      </c>
      <c r="D39060" s="7">
        <v>2.75</v>
      </c>
    </row>
    <row r="39061" spans="1:5" x14ac:dyDescent="0.25">
      <c r="A39061" t="str">
        <f>HYPERLINK("https://www.773grp.com/globalSearch/2N6505T/page-1", "2N6505T")</f>
        <v>2N6505T</v>
      </c>
      <c r="B39061" s="3" t="str">
        <f>HYPERLINK("https://www.773grp.com/manufacturer/onsemi?pageNo=1117", "ON Semiconductor")</f>
        <v>ON Semiconductor</v>
      </c>
      <c r="C39061" s="6">
        <v>1250</v>
      </c>
      <c r="D39061" s="7">
        <v>2.75</v>
      </c>
      <c r="E39061" t="s">
        <v>97</v>
      </c>
    </row>
    <row r="39062" spans="1:5" x14ac:dyDescent="0.25">
      <c r="A39062" t="str">
        <f>HYPERLINK("https://www.773grp.com/globalSearch/2N6505TG/page-1", "2N6505TG")</f>
        <v>2N6505TG</v>
      </c>
      <c r="B39062" s="3" t="str">
        <f>HYPERLINK("https://www.773grp.com/manufacturer/onsemi?pageNo=1118", "ON Semiconductor")</f>
        <v>ON Semiconductor</v>
      </c>
      <c r="C39062" s="6">
        <v>1100</v>
      </c>
      <c r="D39062" s="7">
        <v>2.75</v>
      </c>
      <c r="E39062" t="s">
        <v>97</v>
      </c>
    </row>
    <row r="39063" spans="1:5" x14ac:dyDescent="0.25">
      <c r="A39063" t="str">
        <f>HYPERLINK("https://www.773grp.com/globalSearch/2N6507G/page-1", "2N6507G")</f>
        <v>2N6507G</v>
      </c>
      <c r="B39063" s="3" t="str">
        <f>HYPERLINK("https://www.773grp.com/manufacturer/onsemi?pageNo=1119", "ON Semiconductor")</f>
        <v>ON Semiconductor</v>
      </c>
      <c r="C39063" s="6">
        <v>500</v>
      </c>
      <c r="D39063" s="7">
        <v>2.75</v>
      </c>
      <c r="E39063" t="s">
        <v>97</v>
      </c>
    </row>
    <row r="39064" spans="1:5" x14ac:dyDescent="0.25">
      <c r="A39064" t="str">
        <f>HYPERLINK("https://www.773grp.com/globalSearch/2N6507TG/page-1", "2N6507TG")</f>
        <v>2N6507TG</v>
      </c>
      <c r="B39064" s="3" t="str">
        <f>HYPERLINK("https://www.773grp.com/manufacturer/onsemi?pageNo=1120", "ON Semiconductor")</f>
        <v>ON Semiconductor</v>
      </c>
      <c r="C39064" s="6">
        <v>257</v>
      </c>
      <c r="D39064" s="7">
        <v>2.75</v>
      </c>
      <c r="E39064" t="s">
        <v>97</v>
      </c>
    </row>
    <row r="39065" spans="1:5" x14ac:dyDescent="0.25">
      <c r="A39065" t="str">
        <f>HYPERLINK("https://www.773grp.com/globalSearch/2N6508/page-1", "2N6508")</f>
        <v>2N6508</v>
      </c>
      <c r="B39065" s="3" t="str">
        <f>HYPERLINK("https://www.773grp.com/manufacturer/onsemi?pageNo=1121", "ON Semiconductor")</f>
        <v>ON Semiconductor</v>
      </c>
      <c r="C39065" s="6">
        <v>13663</v>
      </c>
      <c r="D39065" s="7">
        <v>2.75</v>
      </c>
      <c r="E39065" t="s">
        <v>97</v>
      </c>
    </row>
    <row r="39066" spans="1:5" x14ac:dyDescent="0.25">
      <c r="A39066" t="str">
        <f>HYPERLINK("https://www.773grp.com/globalSearch/2N6508T/page-1", "2N6508T")</f>
        <v>2N6508T</v>
      </c>
      <c r="B39066" s="3" t="str">
        <f>HYPERLINK("https://www.773grp.com/manufacturer/onsemi?pageNo=1122", "ON Semiconductor")</f>
        <v>ON Semiconductor</v>
      </c>
      <c r="C39066" s="6">
        <v>300</v>
      </c>
      <c r="D39066" s="7">
        <v>2.75</v>
      </c>
      <c r="E39066" t="s">
        <v>97</v>
      </c>
    </row>
    <row r="39067" spans="1:5" x14ac:dyDescent="0.25">
      <c r="A39067" t="str">
        <f>HYPERLINK("https://www.773grp.com/globalSearch/2N6509/page-1", "2N6509")</f>
        <v>2N6509</v>
      </c>
      <c r="B39067" s="3" t="str">
        <f>HYPERLINK("https://www.773grp.com/manufacturer/onsemi?pageNo=1123", "ON Semiconductor")</f>
        <v>ON Semiconductor</v>
      </c>
      <c r="C39067" s="6">
        <v>142</v>
      </c>
      <c r="D39067" s="7">
        <v>2.75</v>
      </c>
      <c r="E39067" t="s">
        <v>97</v>
      </c>
    </row>
    <row r="39068" spans="1:5" x14ac:dyDescent="0.25">
      <c r="A39068" t="str">
        <f>HYPERLINK("https://www.773grp.com/globalSearch/ADP3192AJCPZ-RL/page-1", "ADP3192AJCPZ-RL")</f>
        <v>ADP3192AJCPZ-RL</v>
      </c>
      <c r="B39068" s="3" t="str">
        <f>HYPERLINK("https://www.773grp.com/manufacturer/onsemi?pageNo=1124", "ON Semiconductor")</f>
        <v>ON Semiconductor</v>
      </c>
      <c r="C39068" s="6">
        <v>5000</v>
      </c>
      <c r="D39068" s="7">
        <v>2.75</v>
      </c>
    </row>
    <row r="39069" spans="1:5" x14ac:dyDescent="0.25">
      <c r="A39069" t="str">
        <f>HYPERLINK("https://www.773grp.com/globalSearch/ADP3211AMNR2G/page-1", "ADP3211AMNR2G")</f>
        <v>ADP3211AMNR2G</v>
      </c>
      <c r="B39069" s="3" t="str">
        <f>HYPERLINK("https://www.773grp.com/manufacturer/onsemi?pageNo=1125", "ON Semiconductor")</f>
        <v>ON Semiconductor</v>
      </c>
      <c r="C39069" s="6">
        <v>83999</v>
      </c>
      <c r="D39069" s="7">
        <v>2.75</v>
      </c>
      <c r="E39069" t="s">
        <v>7</v>
      </c>
    </row>
    <row r="39070" spans="1:5" x14ac:dyDescent="0.25">
      <c r="A39070" t="str">
        <f>HYPERLINK("https://www.773grp.com/globalSearch/CAT150049SWI-GT3/page-1", "CAT150049SWI-GT3")</f>
        <v>CAT150049SWI-GT3</v>
      </c>
      <c r="B39070" s="3" t="str">
        <f>HYPERLINK("https://www.773grp.com/manufacturer/onsemi?pageNo=1126", "ON Semiconductor")</f>
        <v>ON Semiconductor</v>
      </c>
      <c r="C39070" s="6">
        <v>27000</v>
      </c>
      <c r="D39070" s="7">
        <v>2.75</v>
      </c>
      <c r="E39070" t="s">
        <v>64</v>
      </c>
    </row>
    <row r="39071" spans="1:5" x14ac:dyDescent="0.25">
      <c r="A39071" t="str">
        <f>HYPERLINK("https://www.773grp.com/globalSearch/CS290H/page-1", "CS290H")</f>
        <v>CS290H</v>
      </c>
      <c r="B39071" s="3" t="str">
        <f>HYPERLINK("https://www.773grp.com/manufacturer/onsemi?pageNo=1127", "ON Semiconductor")</f>
        <v>ON Semiconductor</v>
      </c>
      <c r="C39071" s="6">
        <v>1321</v>
      </c>
      <c r="D39071" s="7">
        <v>2.75</v>
      </c>
    </row>
    <row r="39072" spans="1:5" x14ac:dyDescent="0.25">
      <c r="A39072" t="str">
        <f>HYPERLINK("https://www.773grp.com/globalSearch/CS5205-1GT3/page-1", "CS5205-1GT3")</f>
        <v>CS5205-1GT3</v>
      </c>
      <c r="B39072" s="3" t="str">
        <f>HYPERLINK("https://www.773grp.com/manufacturer/onsemi?pageNo=1128", "ON Semiconductor")</f>
        <v>ON Semiconductor</v>
      </c>
      <c r="C39072" s="6">
        <v>950</v>
      </c>
      <c r="D39072" s="7">
        <v>2.75</v>
      </c>
      <c r="E39072" t="s">
        <v>25</v>
      </c>
    </row>
    <row r="39073" spans="1:5" x14ac:dyDescent="0.25">
      <c r="A39073" t="str">
        <f>HYPERLINK("https://www.773grp.com/globalSearch/CS5205A-1GDPR3/page-1", "CS5205A-1GDPR3")</f>
        <v>CS5205A-1GDPR3</v>
      </c>
      <c r="B39073" s="3" t="str">
        <f>HYPERLINK("https://www.773grp.com/manufacturer/onsemi?pageNo=1129", "ON Semiconductor")</f>
        <v>ON Semiconductor</v>
      </c>
      <c r="C39073" s="6">
        <v>792</v>
      </c>
      <c r="D39073" s="7">
        <v>2.75</v>
      </c>
      <c r="E39073" t="s">
        <v>25</v>
      </c>
    </row>
    <row r="39074" spans="1:5" x14ac:dyDescent="0.25">
      <c r="A39074" t="str">
        <f>HYPERLINK("https://www.773grp.com/globalSearch/CS68067TVA5/page-1", "CS68067TVA5")</f>
        <v>CS68067TVA5</v>
      </c>
      <c r="B39074" s="3" t="str">
        <f>HYPERLINK("https://www.773grp.com/manufacturer/onsemi?pageNo=1130", "ON Semiconductor")</f>
        <v>ON Semiconductor</v>
      </c>
      <c r="C39074" s="6">
        <v>4800</v>
      </c>
      <c r="D39074" s="7">
        <v>2.75</v>
      </c>
    </row>
    <row r="39075" spans="1:5" x14ac:dyDescent="0.25">
      <c r="A39075" t="str">
        <f>HYPERLINK("https://www.773grp.com/globalSearch/CS8101YD8/page-1", "CS8101YD8")</f>
        <v>CS8101YD8</v>
      </c>
      <c r="B39075" s="3" t="str">
        <f>HYPERLINK("https://www.773grp.com/manufacturer/onsemi?pageNo=1131", "ON Semiconductor")</f>
        <v>ON Semiconductor</v>
      </c>
      <c r="C39075" s="6">
        <v>4508</v>
      </c>
      <c r="D39075" s="7">
        <v>2.75</v>
      </c>
      <c r="E39075" t="s">
        <v>19</v>
      </c>
    </row>
    <row r="39076" spans="1:5" x14ac:dyDescent="0.25">
      <c r="A39076" t="str">
        <f>HYPERLINK("https://www.773grp.com/globalSearch/CS8101YDR8/page-1", "CS8101YDR8")</f>
        <v>CS8101YDR8</v>
      </c>
      <c r="B39076" s="3" t="str">
        <f>HYPERLINK("https://www.773grp.com/manufacturer/onsemi?pageNo=1132", "ON Semiconductor")</f>
        <v>ON Semiconductor</v>
      </c>
      <c r="C39076" s="6">
        <v>4990</v>
      </c>
      <c r="D39076" s="7">
        <v>2.75</v>
      </c>
      <c r="E39076" t="s">
        <v>19</v>
      </c>
    </row>
    <row r="39077" spans="1:5" x14ac:dyDescent="0.25">
      <c r="A39077" t="str">
        <f>HYPERLINK("https://www.773grp.com/globalSearch/IRF540/page-1", "IRF540")</f>
        <v>IRF540</v>
      </c>
      <c r="B39077" s="3" t="str">
        <f>HYPERLINK("https://www.773grp.com/manufacturer/onsemi?pageNo=1133", "ON Semiconductor")</f>
        <v>ON Semiconductor</v>
      </c>
      <c r="C39077" s="6">
        <v>15313</v>
      </c>
      <c r="D39077" s="7">
        <v>2.75</v>
      </c>
      <c r="E39077" t="s">
        <v>105</v>
      </c>
    </row>
    <row r="39078" spans="1:5" x14ac:dyDescent="0.25">
      <c r="A39078" t="str">
        <f>HYPERLINK("https://www.773grp.com/globalSearch/LB11867RV-TLM-H/page-1", "LB11867RV-TLM-H")</f>
        <v>LB11867RV-TLM-H</v>
      </c>
      <c r="B39078" s="3" t="str">
        <f>HYPERLINK("https://www.773grp.com/manufacturer/onsemi?pageNo=1134", "ON Semiconductor")</f>
        <v>ON Semiconductor</v>
      </c>
      <c r="C39078" s="6">
        <v>16000</v>
      </c>
      <c r="D39078" s="7">
        <v>2.75</v>
      </c>
    </row>
    <row r="39079" spans="1:5" x14ac:dyDescent="0.25">
      <c r="A39079" t="str">
        <f>HYPERLINK("https://www.773grp.com/globalSearch/MBR1645/page-1", "MBR1645")</f>
        <v>MBR1645</v>
      </c>
      <c r="B39079" s="3" t="str">
        <f>HYPERLINK("https://www.773grp.com/manufacturer/onsemi?pageNo=1135", "ON Semiconductor")</f>
        <v>ON Semiconductor</v>
      </c>
      <c r="C39079" s="6">
        <v>767</v>
      </c>
      <c r="D39079" s="7">
        <v>2.75</v>
      </c>
      <c r="E39079" t="s">
        <v>103</v>
      </c>
    </row>
    <row r="39080" spans="1:5" x14ac:dyDescent="0.25">
      <c r="A39080" t="str">
        <f>HYPERLINK("https://www.773grp.com/globalSearch/MBR20H100CTG/page-1", "MBR20H100CTG")</f>
        <v>MBR20H100CTG</v>
      </c>
      <c r="B39080" s="3" t="str">
        <f>HYPERLINK("https://www.773grp.com/manufacturer/onsemi?pageNo=1136", "ON Semiconductor")</f>
        <v>ON Semiconductor</v>
      </c>
      <c r="C39080" s="6">
        <v>265806</v>
      </c>
      <c r="D39080" s="7">
        <v>2.75</v>
      </c>
      <c r="E39080" t="s">
        <v>103</v>
      </c>
    </row>
    <row r="39081" spans="1:5" x14ac:dyDescent="0.25">
      <c r="A39081" t="str">
        <f>HYPERLINK("https://www.773grp.com/globalSearch/MBR20H100CTH/page-1", "MBR20H100CTH")</f>
        <v>MBR20H100CTH</v>
      </c>
      <c r="B39081" s="3" t="str">
        <f>HYPERLINK("https://www.773grp.com/manufacturer/onsemi?pageNo=1137", "ON Semiconductor")</f>
        <v>ON Semiconductor</v>
      </c>
      <c r="C39081" s="6">
        <v>29800</v>
      </c>
      <c r="D39081" s="7">
        <v>2.75</v>
      </c>
    </row>
    <row r="39082" spans="1:5" x14ac:dyDescent="0.25">
      <c r="A39082" t="str">
        <f>HYPERLINK("https://www.773grp.com/globalSearch/MBRB1645T4G/page-1", "MBRB1645T4G")</f>
        <v>MBRB1645T4G</v>
      </c>
      <c r="B39082" s="3" t="str">
        <f>HYPERLINK("https://www.773grp.com/manufacturer/onsemi?pageNo=1138", "ON Semiconductor")</f>
        <v>ON Semiconductor</v>
      </c>
      <c r="C39082" s="6">
        <v>1480</v>
      </c>
      <c r="D39082" s="7">
        <v>2.75</v>
      </c>
    </row>
    <row r="39083" spans="1:5" x14ac:dyDescent="0.25">
      <c r="A39083" t="str">
        <f>HYPERLINK("https://www.773grp.com/globalSearch/MC33204DR2/page-1", "MC33204DR2")</f>
        <v>MC33204DR2</v>
      </c>
      <c r="B39083" s="3" t="str">
        <f>HYPERLINK("https://www.773grp.com/manufacturer/onsemi?pageNo=1139", "ON Semiconductor")</f>
        <v>ON Semiconductor</v>
      </c>
      <c r="C39083" s="6">
        <v>1262</v>
      </c>
      <c r="D39083" s="7">
        <v>2.75</v>
      </c>
    </row>
    <row r="39084" spans="1:5" x14ac:dyDescent="0.25">
      <c r="A39084" t="str">
        <f>HYPERLINK("https://www.773grp.com/globalSearch/MC33204PG/page-1", "MC33204PG")</f>
        <v>MC33204PG</v>
      </c>
      <c r="B39084" s="3" t="str">
        <f>HYPERLINK("https://www.773grp.com/manufacturer/onsemi?pageNo=1140", "ON Semiconductor")</f>
        <v>ON Semiconductor</v>
      </c>
      <c r="C39084" s="6">
        <v>2229</v>
      </c>
      <c r="D39084" s="7">
        <v>2.75</v>
      </c>
      <c r="E39084" t="s">
        <v>13</v>
      </c>
    </row>
    <row r="39085" spans="1:5" x14ac:dyDescent="0.25">
      <c r="A39085" t="str">
        <f>HYPERLINK("https://www.773grp.com/globalSearch/MC33342P/page-1", "MC33342P")</f>
        <v>MC33342P</v>
      </c>
      <c r="B39085" s="3" t="str">
        <f>HYPERLINK("https://www.773grp.com/manufacturer/onsemi?pageNo=1141", "ON Semiconductor")</f>
        <v>ON Semiconductor</v>
      </c>
      <c r="C39085" s="6">
        <v>6000</v>
      </c>
      <c r="D39085" s="7">
        <v>2.75</v>
      </c>
      <c r="E39085" t="s">
        <v>7</v>
      </c>
    </row>
    <row r="39086" spans="1:5" x14ac:dyDescent="0.25">
      <c r="A39086" t="str">
        <f>HYPERLINK("https://www.773grp.com/globalSearch/MC33342PG/page-1", "MC33342PG")</f>
        <v>MC33342PG</v>
      </c>
      <c r="B39086" s="3" t="str">
        <f>HYPERLINK("https://www.773grp.com/manufacturer/onsemi?pageNo=1142", "ON Semiconductor")</f>
        <v>ON Semiconductor</v>
      </c>
      <c r="C39086" s="6">
        <v>4820</v>
      </c>
      <c r="D39086" s="7">
        <v>2.75</v>
      </c>
      <c r="E39086" t="s">
        <v>7</v>
      </c>
    </row>
    <row r="39087" spans="1:5" x14ac:dyDescent="0.25">
      <c r="A39087" t="str">
        <f>HYPERLINK("https://www.773grp.com/globalSearch/MC74ACT378N/page-1", "MC74ACT378N")</f>
        <v>MC74ACT378N</v>
      </c>
      <c r="B39087" s="3" t="str">
        <f>HYPERLINK("https://www.773grp.com/manufacturer/onsemi?pageNo=1143", "ON Semiconductor")</f>
        <v>ON Semiconductor</v>
      </c>
      <c r="C39087" s="6">
        <v>2000</v>
      </c>
      <c r="D39087" s="7">
        <v>2.75</v>
      </c>
      <c r="E39087" t="s">
        <v>35</v>
      </c>
    </row>
    <row r="39088" spans="1:5" x14ac:dyDescent="0.25">
      <c r="A39088" t="str">
        <f>HYPERLINK("https://www.773grp.com/globalSearch/MC74F169D/page-1", "MC74F169D")</f>
        <v>MC74F169D</v>
      </c>
      <c r="B39088" s="3" t="str">
        <f>HYPERLINK("https://www.773grp.com/manufacturer/onsemi?pageNo=1144", "ON Semiconductor")</f>
        <v>ON Semiconductor</v>
      </c>
      <c r="C39088" s="6">
        <v>5756</v>
      </c>
      <c r="D39088" s="7">
        <v>2.75</v>
      </c>
      <c r="E39088" t="s">
        <v>26</v>
      </c>
    </row>
    <row r="39089" spans="1:5" x14ac:dyDescent="0.25">
      <c r="A39089" t="str">
        <f>HYPERLINK("https://www.773grp.com/globalSearch/MC74F169DR2/page-1", "MC74F169DR2")</f>
        <v>MC74F169DR2</v>
      </c>
      <c r="B39089" s="3" t="str">
        <f>HYPERLINK("https://www.773grp.com/manufacturer/onsemi?pageNo=1145", "ON Semiconductor")</f>
        <v>ON Semiconductor</v>
      </c>
      <c r="C39089" s="6">
        <v>5000</v>
      </c>
      <c r="D39089" s="7">
        <v>2.75</v>
      </c>
      <c r="E39089" t="s">
        <v>26</v>
      </c>
    </row>
    <row r="39090" spans="1:5" x14ac:dyDescent="0.25">
      <c r="A39090" t="str">
        <f>HYPERLINK("https://www.773grp.com/globalSearch/MC74F169M/page-1", "MC74F169M")</f>
        <v>MC74F169M</v>
      </c>
      <c r="B39090" s="3" t="str">
        <f>HYPERLINK("https://www.773grp.com/manufacturer/onsemi?pageNo=1146", "ON Semiconductor")</f>
        <v>ON Semiconductor</v>
      </c>
      <c r="C39090" s="6">
        <v>1600</v>
      </c>
      <c r="D39090" s="7">
        <v>2.75</v>
      </c>
    </row>
    <row r="39091" spans="1:5" x14ac:dyDescent="0.25">
      <c r="A39091" t="str">
        <f>HYPERLINK("https://www.773grp.com/globalSearch/MC74F85M/page-1", "MC74F85M")</f>
        <v>MC74F85M</v>
      </c>
      <c r="B39091" s="3" t="str">
        <f>HYPERLINK("https://www.773grp.com/manufacturer/onsemi?pageNo=1147", "ON Semiconductor")</f>
        <v>ON Semiconductor</v>
      </c>
      <c r="C39091" s="6">
        <v>1500</v>
      </c>
      <c r="D39091" s="7">
        <v>2.75</v>
      </c>
    </row>
    <row r="39092" spans="1:5" x14ac:dyDescent="0.25">
      <c r="A39092" t="str">
        <f>HYPERLINK("https://www.773grp.com/globalSearch/MC74LCX646DT/page-1", "MC74LCX646DT")</f>
        <v>MC74LCX646DT</v>
      </c>
      <c r="B39092" s="3" t="str">
        <f>HYPERLINK("https://www.773grp.com/manufacturer/onsemi?pageNo=1148", "ON Semiconductor")</f>
        <v>ON Semiconductor</v>
      </c>
      <c r="C39092" s="6">
        <v>1450</v>
      </c>
      <c r="D39092" s="7">
        <v>2.75</v>
      </c>
      <c r="E39092" t="s">
        <v>14</v>
      </c>
    </row>
    <row r="39093" spans="1:5" x14ac:dyDescent="0.25">
      <c r="A39093" t="str">
        <f>HYPERLINK("https://www.773grp.com/globalSearch/MC74LCX646DWR2/page-1", "MC74LCX646DWR2")</f>
        <v>MC74LCX646DWR2</v>
      </c>
      <c r="B39093" s="3" t="str">
        <f>HYPERLINK("https://www.773grp.com/manufacturer/onsemi?pageNo=1149", "ON Semiconductor")</f>
        <v>ON Semiconductor</v>
      </c>
      <c r="C39093" s="6">
        <v>1000</v>
      </c>
      <c r="D39093" s="7">
        <v>2.75</v>
      </c>
      <c r="E39093" t="s">
        <v>14</v>
      </c>
    </row>
    <row r="39094" spans="1:5" x14ac:dyDescent="0.25">
      <c r="A39094" t="str">
        <f>HYPERLINK("https://www.773grp.com/globalSearch/MC74LCX652DT/page-1", "MC74LCX652DT")</f>
        <v>MC74LCX652DT</v>
      </c>
      <c r="B39094" s="3" t="str">
        <f>HYPERLINK("https://www.773grp.com/manufacturer/onsemi?pageNo=1150", "ON Semiconductor")</f>
        <v>ON Semiconductor</v>
      </c>
      <c r="C39094" s="6">
        <v>10602</v>
      </c>
      <c r="D39094" s="7">
        <v>2.75</v>
      </c>
      <c r="E39094" t="s">
        <v>14</v>
      </c>
    </row>
    <row r="39095" spans="1:5" x14ac:dyDescent="0.25">
      <c r="A39095" t="str">
        <f>HYPERLINK("https://www.773grp.com/globalSearch/MC74LCX652DTR2/page-1", "MC74LCX652DTR2")</f>
        <v>MC74LCX652DTR2</v>
      </c>
      <c r="B39095" s="3" t="str">
        <f>HYPERLINK("https://www.773grp.com/manufacturer/onsemi?pageNo=1151", "ON Semiconductor")</f>
        <v>ON Semiconductor</v>
      </c>
      <c r="C39095" s="6">
        <v>2500</v>
      </c>
      <c r="D39095" s="7">
        <v>2.75</v>
      </c>
      <c r="E39095" t="s">
        <v>14</v>
      </c>
    </row>
    <row r="39096" spans="1:5" x14ac:dyDescent="0.25">
      <c r="A39096" t="str">
        <f>HYPERLINK("https://www.773grp.com/globalSearch/MC74LCX652DW/page-1", "MC74LCX652DW")</f>
        <v>MC74LCX652DW</v>
      </c>
      <c r="B39096" s="3" t="str">
        <f>HYPERLINK("https://www.773grp.com/manufacturer/onsemi?pageNo=1152", "ON Semiconductor")</f>
        <v>ON Semiconductor</v>
      </c>
      <c r="C39096" s="6">
        <v>1710</v>
      </c>
      <c r="D39096" s="7">
        <v>2.75</v>
      </c>
      <c r="E39096" t="s">
        <v>14</v>
      </c>
    </row>
    <row r="39097" spans="1:5" x14ac:dyDescent="0.25">
      <c r="A39097" t="str">
        <f>HYPERLINK("https://www.773grp.com/globalSearch/MC74LCX652DWR2/page-1", "MC74LCX652DWR2")</f>
        <v>MC74LCX652DWR2</v>
      </c>
      <c r="B39097" s="3" t="str">
        <f>HYPERLINK("https://www.773grp.com/manufacturer/onsemi?pageNo=1153", "ON Semiconductor")</f>
        <v>ON Semiconductor</v>
      </c>
      <c r="C39097" s="6">
        <v>44000</v>
      </c>
      <c r="D39097" s="7">
        <v>2.75</v>
      </c>
      <c r="E39097" t="s">
        <v>14</v>
      </c>
    </row>
    <row r="39098" spans="1:5" x14ac:dyDescent="0.25">
      <c r="A39098" t="str">
        <f>HYPERLINK("https://www.773grp.com/globalSearch/MC74LVXC3245DW/page-1", "MC74LVXC3245DW")</f>
        <v>MC74LVXC3245DW</v>
      </c>
      <c r="B39098" s="3" t="str">
        <f>HYPERLINK("https://www.773grp.com/manufacturer/onsemi?pageNo=1154", "ON Semiconductor")</f>
        <v>ON Semiconductor</v>
      </c>
      <c r="C39098" s="6">
        <v>12086</v>
      </c>
      <c r="D39098" s="7">
        <v>2.75</v>
      </c>
      <c r="E39098" t="s">
        <v>14</v>
      </c>
    </row>
    <row r="39099" spans="1:5" x14ac:dyDescent="0.25">
      <c r="A39099" t="str">
        <f>HYPERLINK("https://www.773grp.com/globalSearch/MCR69-2G/page-1", "MCR69-2G")</f>
        <v>MCR69-2G</v>
      </c>
      <c r="B39099" s="3" t="str">
        <f>HYPERLINK("https://www.773grp.com/manufacturer/onsemi?pageNo=1155", "ON Semiconductor")</f>
        <v>ON Semiconductor</v>
      </c>
      <c r="C39099" s="6">
        <v>6215</v>
      </c>
      <c r="D39099" s="7">
        <v>2.75</v>
      </c>
      <c r="E39099" t="s">
        <v>97</v>
      </c>
    </row>
    <row r="39100" spans="1:5" x14ac:dyDescent="0.25">
      <c r="A39100" t="str">
        <f>HYPERLINK("https://www.773grp.com/globalSearch/MCR69-3G/page-1", "MCR69-3G")</f>
        <v>MCR69-3G</v>
      </c>
      <c r="B39100" s="3" t="str">
        <f>HYPERLINK("https://www.773grp.com/manufacturer/onsemi?pageNo=1156", "ON Semiconductor")</f>
        <v>ON Semiconductor</v>
      </c>
      <c r="C39100" s="6">
        <v>1026</v>
      </c>
      <c r="D39100" s="7">
        <v>2.75</v>
      </c>
      <c r="E39100" t="s">
        <v>97</v>
      </c>
    </row>
    <row r="39101" spans="1:5" x14ac:dyDescent="0.25">
      <c r="A39101" t="str">
        <f>HYPERLINK("https://www.773grp.com/globalSearch/NCP1280DR2/page-1", "NCP1280DR2")</f>
        <v>NCP1280DR2</v>
      </c>
      <c r="B39101" s="3" t="str">
        <f>HYPERLINK("https://www.773grp.com/manufacturer/onsemi?pageNo=1157", "ON Semiconductor")</f>
        <v>ON Semiconductor</v>
      </c>
      <c r="C39101" s="6">
        <v>2500</v>
      </c>
      <c r="D39101" s="7">
        <v>2.75</v>
      </c>
      <c r="E39101" t="s">
        <v>7</v>
      </c>
    </row>
    <row r="39102" spans="1:5" x14ac:dyDescent="0.25">
      <c r="A39102" t="str">
        <f>HYPERLINK("https://www.773grp.com/globalSearch/NCP1575DG/page-1", "NCP1575DG")</f>
        <v>NCP1575DG</v>
      </c>
      <c r="B39102" s="3" t="str">
        <f>HYPERLINK("https://www.773grp.com/manufacturer/onsemi?pageNo=1158", "ON Semiconductor")</f>
        <v>ON Semiconductor</v>
      </c>
      <c r="C39102" s="6">
        <v>439</v>
      </c>
      <c r="D39102" s="7">
        <v>2.75</v>
      </c>
      <c r="E39102" t="s">
        <v>7</v>
      </c>
    </row>
    <row r="39103" spans="1:5" x14ac:dyDescent="0.25">
      <c r="A39103" t="str">
        <f>HYPERLINK("https://www.773grp.com/globalSearch/NCP1575DR2/page-1", "NCP1575DR2")</f>
        <v>NCP1575DR2</v>
      </c>
      <c r="B39103" s="3" t="str">
        <f>HYPERLINK("https://www.773grp.com/manufacturer/onsemi?pageNo=1159", "ON Semiconductor")</f>
        <v>ON Semiconductor</v>
      </c>
      <c r="C39103" s="6">
        <v>2490</v>
      </c>
      <c r="D39103" s="7">
        <v>2.75</v>
      </c>
      <c r="E39103" t="s">
        <v>7</v>
      </c>
    </row>
    <row r="39104" spans="1:5" x14ac:dyDescent="0.25">
      <c r="A39104" t="str">
        <f>HYPERLINK("https://www.773grp.com/globalSearch/NCP1601ADR2G/page-1", "NCP1601ADR2G")</f>
        <v>NCP1601ADR2G</v>
      </c>
      <c r="B39104" s="3" t="str">
        <f>HYPERLINK("https://www.773grp.com/manufacturer/onsemi?pageNo=1160", "ON Semiconductor")</f>
        <v>ON Semiconductor</v>
      </c>
      <c r="C39104" s="6">
        <v>14670</v>
      </c>
      <c r="D39104" s="7">
        <v>2.75</v>
      </c>
      <c r="E39104" t="s">
        <v>7</v>
      </c>
    </row>
    <row r="39105" spans="1:5" x14ac:dyDescent="0.25">
      <c r="A39105" t="str">
        <f>HYPERLINK("https://www.773grp.com/globalSearch/NCP5392EMNR2G/page-1", "NCP5392EMNR2G")</f>
        <v>NCP5392EMNR2G</v>
      </c>
      <c r="B39105" s="3" t="str">
        <f>HYPERLINK("https://www.773grp.com/manufacturer/onsemi?pageNo=1161", "ON Semiconductor")</f>
        <v>ON Semiconductor</v>
      </c>
      <c r="C39105" s="6">
        <v>2500</v>
      </c>
      <c r="D39105" s="7">
        <v>2.75</v>
      </c>
    </row>
    <row r="39106" spans="1:5" x14ac:dyDescent="0.25">
      <c r="A39106" t="str">
        <f>HYPERLINK("https://www.773grp.com/globalSearch/NCP5392MNR2G/page-1", "NCP5392MNR2G")</f>
        <v>NCP5392MNR2G</v>
      </c>
      <c r="B39106" s="3" t="str">
        <f>HYPERLINK("https://www.773grp.com/manufacturer/onsemi?pageNo=1162", "ON Semiconductor")</f>
        <v>ON Semiconductor</v>
      </c>
      <c r="C39106" s="6">
        <v>12459</v>
      </c>
      <c r="D39106" s="7">
        <v>2.75</v>
      </c>
      <c r="E39106" t="s">
        <v>7</v>
      </c>
    </row>
    <row r="39107" spans="1:5" x14ac:dyDescent="0.25">
      <c r="A39107" t="str">
        <f>HYPERLINK("https://www.773grp.com/globalSearch/NCP5392PMNR2G/page-1", "NCP5392PMNR2G")</f>
        <v>NCP5392PMNR2G</v>
      </c>
      <c r="B39107" s="3" t="str">
        <f>HYPERLINK("https://www.773grp.com/manufacturer/onsemi?pageNo=1163", "ON Semiconductor")</f>
        <v>ON Semiconductor</v>
      </c>
      <c r="C39107" s="6">
        <v>3690</v>
      </c>
      <c r="D39107" s="7">
        <v>2.75</v>
      </c>
    </row>
    <row r="39108" spans="1:5" x14ac:dyDescent="0.25">
      <c r="A39108" t="str">
        <f>HYPERLINK("https://www.773grp.com/globalSearch/NCP5392QMNR2G/page-1", "NCP5392QMNR2G")</f>
        <v>NCP5392QMNR2G</v>
      </c>
      <c r="B39108" s="3" t="str">
        <f>HYPERLINK("https://www.773grp.com/manufacturer/onsemi?pageNo=1164", "ON Semiconductor")</f>
        <v>ON Semiconductor</v>
      </c>
      <c r="C39108" s="6">
        <v>62500</v>
      </c>
      <c r="D39108" s="7">
        <v>2.75</v>
      </c>
    </row>
    <row r="39109" spans="1:5" x14ac:dyDescent="0.25">
      <c r="A39109" t="str">
        <f>HYPERLINK("https://www.773grp.com/globalSearch/NCP5392TMNR2G/page-1", "NCP5392TMNR2G")</f>
        <v>NCP5392TMNR2G</v>
      </c>
      <c r="B39109" s="3" t="str">
        <f>HYPERLINK("https://www.773grp.com/manufacturer/onsemi?pageNo=1165", "ON Semiconductor")</f>
        <v>ON Semiconductor</v>
      </c>
      <c r="C39109" s="6">
        <v>107500</v>
      </c>
      <c r="D39109" s="7">
        <v>2.75</v>
      </c>
    </row>
    <row r="39110" spans="1:5" x14ac:dyDescent="0.25">
      <c r="A39110" t="str">
        <f>HYPERLINK("https://www.773grp.com/globalSearch/NCV4264D50R2G/page-1", "NCV4264D50R2G")</f>
        <v>NCV4264D50R2G</v>
      </c>
      <c r="B39110" s="3" t="str">
        <f>HYPERLINK("https://www.773grp.com/manufacturer/onsemi?pageNo=1166", "ON Semiconductor")</f>
        <v>ON Semiconductor</v>
      </c>
      <c r="C39110" s="6">
        <v>1140</v>
      </c>
      <c r="D39110" s="7">
        <v>2.75</v>
      </c>
    </row>
    <row r="39111" spans="1:5" x14ac:dyDescent="0.25">
      <c r="A39111" t="str">
        <f>HYPERLINK("https://www.773grp.com/globalSearch/NCV4264ST33T3G/page-1", "NCV4264ST33T3G")</f>
        <v>NCV4264ST33T3G</v>
      </c>
      <c r="B39111" s="3" t="str">
        <f>HYPERLINK("https://www.773grp.com/manufacturer/onsemi?pageNo=1167", "ON Semiconductor")</f>
        <v>ON Semiconductor</v>
      </c>
      <c r="C39111" s="6">
        <v>5605</v>
      </c>
      <c r="D39111" s="7">
        <v>2.75</v>
      </c>
      <c r="E39111" t="s">
        <v>19</v>
      </c>
    </row>
    <row r="39112" spans="1:5" x14ac:dyDescent="0.25">
      <c r="A39112" t="str">
        <f>HYPERLINK("https://www.773grp.com/globalSearch/NCV4264ST50T3G/page-1", "NCV4264ST50T3G")</f>
        <v>NCV4264ST50T3G</v>
      </c>
      <c r="B39112" s="3" t="str">
        <f>HYPERLINK("https://www.773grp.com/manufacturer/onsemi?pageNo=1168", "ON Semiconductor")</f>
        <v>ON Semiconductor</v>
      </c>
      <c r="C39112" s="6">
        <v>63423</v>
      </c>
      <c r="D39112" s="7">
        <v>2.75</v>
      </c>
      <c r="E39112" t="s">
        <v>19</v>
      </c>
    </row>
    <row r="39113" spans="1:5" x14ac:dyDescent="0.25">
      <c r="A39113" t="str">
        <f>HYPERLINK("https://www.773grp.com/globalSearch/NCV8501DADJ/page-1", "NCV8501DADJ")</f>
        <v>NCV8501DADJ</v>
      </c>
      <c r="B39113" s="3" t="str">
        <f>HYPERLINK("https://www.773grp.com/manufacturer/onsemi?pageNo=1169", "ON Semiconductor")</f>
        <v>ON Semiconductor</v>
      </c>
      <c r="C39113" s="6">
        <v>882</v>
      </c>
      <c r="D39113" s="7">
        <v>2.75</v>
      </c>
      <c r="E39113" t="s">
        <v>25</v>
      </c>
    </row>
    <row r="39114" spans="1:5" x14ac:dyDescent="0.25">
      <c r="A39114" t="str">
        <f>HYPERLINK("https://www.773grp.com/globalSearch/NGD18N45CLBT4G/page-1", "NGD18N45CLBT4G")</f>
        <v>NGD18N45CLBT4G</v>
      </c>
      <c r="B39114" s="3" t="str">
        <f>HYPERLINK("https://www.773grp.com/manufacturer/onsemi?pageNo=1170", "ON Semiconductor")</f>
        <v>ON Semiconductor</v>
      </c>
      <c r="C39114" s="6">
        <v>14960</v>
      </c>
      <c r="D39114" s="7">
        <v>2.75</v>
      </c>
    </row>
    <row r="39115" spans="1:5" x14ac:dyDescent="0.25">
      <c r="A39115" t="str">
        <f>HYPERLINK("https://www.773grp.com/globalSearch/SA5230DG/page-1", "SA5230DG")</f>
        <v>SA5230DG</v>
      </c>
      <c r="B39115" s="3" t="str">
        <f>HYPERLINK("https://www.773grp.com/manufacturer/onsemi?pageNo=1171", "ON Semiconductor")</f>
        <v>ON Semiconductor</v>
      </c>
      <c r="C39115" s="6">
        <v>11172</v>
      </c>
      <c r="D39115" s="7">
        <v>2.75</v>
      </c>
      <c r="E39115" t="s">
        <v>13</v>
      </c>
    </row>
    <row r="39116" spans="1:5" x14ac:dyDescent="0.25">
      <c r="A39116" t="str">
        <f>HYPERLINK("https://www.773grp.com/globalSearch/SA5230DR2G/page-1", "SA5230DR2G")</f>
        <v>SA5230DR2G</v>
      </c>
      <c r="B39116" s="3" t="str">
        <f>HYPERLINK("https://www.773grp.com/manufacturer/onsemi?pageNo=1172", "ON Semiconductor")</f>
        <v>ON Semiconductor</v>
      </c>
      <c r="C39116" s="6">
        <v>13011</v>
      </c>
      <c r="D39116" s="7">
        <v>2.75</v>
      </c>
      <c r="E39116" t="s">
        <v>13</v>
      </c>
    </row>
    <row r="39117" spans="1:5" x14ac:dyDescent="0.25">
      <c r="A39117" t="str">
        <f>HYPERLINK("https://www.773grp.com/globalSearch/SC78117P1/page-1", "SC78117P1")</f>
        <v>SC78117P1</v>
      </c>
      <c r="B39117" s="3" t="str">
        <f>HYPERLINK("https://www.773grp.com/manufacturer/onsemi?pageNo=1173", "ON Semiconductor")</f>
        <v>ON Semiconductor</v>
      </c>
      <c r="C39117" s="6">
        <v>4000</v>
      </c>
      <c r="D39117" s="7">
        <v>2.75</v>
      </c>
    </row>
    <row r="39118" spans="1:5" x14ac:dyDescent="0.25">
      <c r="A39118" t="str">
        <f>HYPERLINK("https://www.773grp.com/globalSearch/SCYA5230DR2G/page-1", "SCYA5230DR2G")</f>
        <v>SCYA5230DR2G</v>
      </c>
      <c r="B39118" s="3" t="str">
        <f>HYPERLINK("https://www.773grp.com/manufacturer/onsemi?pageNo=1174", "ON Semiconductor")</f>
        <v>ON Semiconductor</v>
      </c>
      <c r="C39118" s="6">
        <v>2500</v>
      </c>
      <c r="D39118" s="7">
        <v>2.75</v>
      </c>
    </row>
    <row r="39119" spans="1:5" x14ac:dyDescent="0.25">
      <c r="A39119" t="str">
        <f>HYPERLINK("https://www.773grp.com/globalSearch/BDW47G/page-1", "BDW47G")</f>
        <v>BDW47G</v>
      </c>
      <c r="B39119" s="3" t="str">
        <f>HYPERLINK("https://www.773grp.com/manufacturer/onsemi?pageNo=1175", "ON Semiconductor")</f>
        <v>ON Semiconductor</v>
      </c>
      <c r="C39119" s="6">
        <v>2915</v>
      </c>
      <c r="D39119" s="7">
        <v>2.8</v>
      </c>
      <c r="E39119" t="s">
        <v>59</v>
      </c>
    </row>
    <row r="39120" spans="1:5" x14ac:dyDescent="0.25">
      <c r="A39120" t="str">
        <f>HYPERLINK("https://www.773grp.com/globalSearch/CS5205-3GDPR3/page-1", "CS5205-3GDPR3")</f>
        <v>CS5205-3GDPR3</v>
      </c>
      <c r="B39120" s="3" t="str">
        <f>HYPERLINK("https://www.773grp.com/manufacturer/onsemi?pageNo=1176", "ON Semiconductor")</f>
        <v>ON Semiconductor</v>
      </c>
      <c r="C39120" s="6">
        <v>4500</v>
      </c>
      <c r="D39120" s="7">
        <v>2.8</v>
      </c>
      <c r="E39120" t="s">
        <v>19</v>
      </c>
    </row>
    <row r="39121" spans="1:5" x14ac:dyDescent="0.25">
      <c r="A39121" t="str">
        <f>HYPERLINK("https://www.773grp.com/globalSearch/CS5207-1GT3/page-1", "CS5207-1GT3")</f>
        <v>CS5207-1GT3</v>
      </c>
      <c r="B39121" s="3" t="str">
        <f>HYPERLINK("https://www.773grp.com/manufacturer/onsemi?pageNo=1177", "ON Semiconductor")</f>
        <v>ON Semiconductor</v>
      </c>
      <c r="C39121" s="6">
        <v>349</v>
      </c>
      <c r="D39121" s="7">
        <v>2.8</v>
      </c>
      <c r="E39121" t="s">
        <v>25</v>
      </c>
    </row>
    <row r="39122" spans="1:5" x14ac:dyDescent="0.25">
      <c r="A39122" t="str">
        <f>HYPERLINK("https://www.773grp.com/globalSearch/LA5735M-TE-L-E/page-1", "LA5735M-TE-L-E")</f>
        <v>LA5735M-TE-L-E</v>
      </c>
      <c r="B39122" s="3" t="str">
        <f>HYPERLINK("https://www.773grp.com/manufacturer/onsemi?pageNo=1178", "ON Semiconductor")</f>
        <v>ON Semiconductor</v>
      </c>
      <c r="C39122" s="6">
        <v>1000</v>
      </c>
      <c r="D39122" s="7">
        <v>2.8</v>
      </c>
    </row>
    <row r="39123" spans="1:5" x14ac:dyDescent="0.25">
      <c r="A39123" t="str">
        <f>HYPERLINK("https://www.773grp.com/globalSearch/LB11970RV-TLM-H/page-1", "LB11970RV-TLM-H")</f>
        <v>LB11970RV-TLM-H</v>
      </c>
      <c r="B39123" s="3" t="str">
        <f>HYPERLINK("https://www.773grp.com/manufacturer/onsemi?pageNo=1179", "ON Semiconductor")</f>
        <v>ON Semiconductor</v>
      </c>
      <c r="C39123" s="6">
        <v>48000</v>
      </c>
      <c r="D39123" s="7">
        <v>2.8</v>
      </c>
    </row>
    <row r="39124" spans="1:5" x14ac:dyDescent="0.25">
      <c r="A39124" t="str">
        <f>HYPERLINK("https://www.773grp.com/globalSearch/LP2950ACDT-5.0RK/page-1", "LP2950ACDT-5.0RK")</f>
        <v>LP2950ACDT-5.0RK</v>
      </c>
      <c r="B39124" s="3" t="str">
        <f>HYPERLINK("https://www.773grp.com/manufacturer/onsemi?pageNo=1180", "ON Semiconductor")</f>
        <v>ON Semiconductor</v>
      </c>
      <c r="C39124" s="6">
        <v>2500</v>
      </c>
      <c r="D39124" s="7">
        <v>2.8</v>
      </c>
      <c r="E39124" t="s">
        <v>19</v>
      </c>
    </row>
    <row r="39125" spans="1:5" x14ac:dyDescent="0.25">
      <c r="A39125" t="str">
        <f>HYPERLINK("https://www.773grp.com/globalSearch/MBRF745/page-1", "MBRF745")</f>
        <v>MBRF745</v>
      </c>
      <c r="B39125" s="3" t="str">
        <f>HYPERLINK("https://www.773grp.com/manufacturer/onsemi?pageNo=1181", "ON Semiconductor")</f>
        <v>ON Semiconductor</v>
      </c>
      <c r="C39125" s="6">
        <v>40375</v>
      </c>
      <c r="D39125" s="7">
        <v>2.8</v>
      </c>
      <c r="E39125" t="s">
        <v>103</v>
      </c>
    </row>
    <row r="39126" spans="1:5" x14ac:dyDescent="0.25">
      <c r="A39126" t="str">
        <f>HYPERLINK("https://www.773grp.com/globalSearch/MC33151DR2/page-1", "MC33151DR2")</f>
        <v>MC33151DR2</v>
      </c>
      <c r="B39126" s="3" t="str">
        <f>HYPERLINK("https://www.773grp.com/manufacturer/onsemi?pageNo=1182", "ON Semiconductor")</f>
        <v>ON Semiconductor</v>
      </c>
      <c r="C39126" s="6">
        <v>2349</v>
      </c>
      <c r="D39126" s="7">
        <v>2.8</v>
      </c>
      <c r="E39126" t="s">
        <v>16</v>
      </c>
    </row>
    <row r="39127" spans="1:5" x14ac:dyDescent="0.25">
      <c r="A39127" t="str">
        <f>HYPERLINK("https://www.773grp.com/globalSearch/MC74F169N/page-1", "MC74F169N")</f>
        <v>MC74F169N</v>
      </c>
      <c r="B39127" s="3" t="str">
        <f>HYPERLINK("https://www.773grp.com/manufacturer/onsemi?pageNo=1183", "ON Semiconductor")</f>
        <v>ON Semiconductor</v>
      </c>
      <c r="C39127" s="6">
        <v>1289</v>
      </c>
      <c r="D39127" s="7">
        <v>2.8</v>
      </c>
      <c r="E39127" t="s">
        <v>26</v>
      </c>
    </row>
    <row r="39128" spans="1:5" x14ac:dyDescent="0.25">
      <c r="A39128" t="str">
        <f>HYPERLINK("https://www.773grp.com/globalSearch/MC74HC154N/page-1", "MC74HC154N")</f>
        <v>MC74HC154N</v>
      </c>
      <c r="B39128" s="3" t="str">
        <f>HYPERLINK("https://www.773grp.com/manufacturer/onsemi?pageNo=1184", "ON Semiconductor")</f>
        <v>ON Semiconductor</v>
      </c>
      <c r="C39128" s="6">
        <v>79</v>
      </c>
      <c r="D39128" s="7">
        <v>2.8</v>
      </c>
      <c r="E39128" t="s">
        <v>36</v>
      </c>
    </row>
    <row r="39129" spans="1:5" x14ac:dyDescent="0.25">
      <c r="A39129" t="str">
        <f>HYPERLINK("https://www.773grp.com/globalSearch/MJE16004/page-1", "MJE16004")</f>
        <v>MJE16004</v>
      </c>
      <c r="B39129" s="3" t="str">
        <f>HYPERLINK("https://www.773grp.com/manufacturer/onsemi?pageNo=1185", "ON Semiconductor")</f>
        <v>ON Semiconductor</v>
      </c>
      <c r="C39129" s="6">
        <v>133526</v>
      </c>
      <c r="D39129" s="7">
        <v>2.8</v>
      </c>
      <c r="E39129" t="s">
        <v>59</v>
      </c>
    </row>
    <row r="39130" spans="1:5" x14ac:dyDescent="0.25">
      <c r="A39130" t="str">
        <f>HYPERLINK("https://www.773grp.com/globalSearch/MJW0302A/page-1", "MJW0302A")</f>
        <v>MJW0302A</v>
      </c>
      <c r="B39130" s="3" t="str">
        <f>HYPERLINK("https://www.773grp.com/manufacturer/onsemi?pageNo=1186", "ON Semiconductor")</f>
        <v>ON Semiconductor</v>
      </c>
      <c r="C39130" s="6">
        <v>1660</v>
      </c>
      <c r="D39130" s="7">
        <v>2.8</v>
      </c>
      <c r="E39130" t="s">
        <v>59</v>
      </c>
    </row>
    <row r="39131" spans="1:5" x14ac:dyDescent="0.25">
      <c r="A39131" t="str">
        <f>HYPERLINK("https://www.773grp.com/globalSearch/MJW0302AG/page-1", "MJW0302AG")</f>
        <v>MJW0302AG</v>
      </c>
      <c r="B39131" s="3" t="str">
        <f>HYPERLINK("https://www.773grp.com/manufacturer/onsemi?pageNo=1187", "ON Semiconductor")</f>
        <v>ON Semiconductor</v>
      </c>
      <c r="C39131" s="6">
        <v>1590</v>
      </c>
      <c r="D39131" s="7">
        <v>2.8</v>
      </c>
    </row>
    <row r="39132" spans="1:5" x14ac:dyDescent="0.25">
      <c r="A39132" t="str">
        <f>HYPERLINK("https://www.773grp.com/globalSearch/MTAJ27N06ELFK/page-1", "MTAJ27N06ELFK")</f>
        <v>MTAJ27N06ELFK</v>
      </c>
      <c r="B39132" s="3" t="str">
        <f>HYPERLINK("https://www.773grp.com/manufacturer/onsemi?pageNo=1188", "ON Semiconductor")</f>
        <v>ON Semiconductor</v>
      </c>
      <c r="C39132" s="6">
        <v>9</v>
      </c>
      <c r="D39132" s="7">
        <v>2.8</v>
      </c>
    </row>
    <row r="39133" spans="1:5" x14ac:dyDescent="0.25">
      <c r="A39133" t="str">
        <f>HYPERLINK("https://www.773grp.com/globalSearch/MTB30P06V/page-1", "MTB30P06V")</f>
        <v>MTB30P06V</v>
      </c>
      <c r="B39133" s="3" t="str">
        <f>HYPERLINK("https://www.773grp.com/manufacturer/onsemi?pageNo=1189", "ON Semiconductor")</f>
        <v>ON Semiconductor</v>
      </c>
      <c r="C39133" s="6">
        <v>5176</v>
      </c>
      <c r="D39133" s="7">
        <v>2.8</v>
      </c>
      <c r="E39133" t="s">
        <v>105</v>
      </c>
    </row>
    <row r="39134" spans="1:5" x14ac:dyDescent="0.25">
      <c r="A39134" t="str">
        <f>HYPERLINK("https://www.773grp.com/globalSearch/MTP9N25E/page-1", "MTP9N25E")</f>
        <v>MTP9N25E</v>
      </c>
      <c r="B39134" s="3" t="str">
        <f>HYPERLINK("https://www.773grp.com/manufacturer/onsemi?pageNo=1190", "ON Semiconductor")</f>
        <v>ON Semiconductor</v>
      </c>
      <c r="C39134" s="6">
        <v>4493</v>
      </c>
      <c r="D39134" s="7">
        <v>2.8</v>
      </c>
      <c r="E39134" t="s">
        <v>105</v>
      </c>
    </row>
    <row r="39135" spans="1:5" x14ac:dyDescent="0.25">
      <c r="A39135" t="str">
        <f>HYPERLINK("https://www.773grp.com/globalSearch/MURHB840CTT4/page-1", "MURHB840CTT4")</f>
        <v>MURHB840CTT4</v>
      </c>
      <c r="B39135" s="3" t="str">
        <f>HYPERLINK("https://www.773grp.com/manufacturer/onsemi?pageNo=1191", "ON Semiconductor")</f>
        <v>ON Semiconductor</v>
      </c>
      <c r="C39135" s="6">
        <v>3528</v>
      </c>
      <c r="D39135" s="7">
        <v>2.8</v>
      </c>
      <c r="E39135" t="s">
        <v>103</v>
      </c>
    </row>
    <row r="39136" spans="1:5" x14ac:dyDescent="0.25">
      <c r="A39136" t="str">
        <f>HYPERLINK("https://www.773grp.com/globalSearch/NCN6011DMR2/page-1", "NCN6011DMR2")</f>
        <v>NCN6011DMR2</v>
      </c>
      <c r="B39136" s="3" t="str">
        <f>HYPERLINK("https://www.773grp.com/manufacturer/onsemi?pageNo=1192", "ON Semiconductor")</f>
        <v>ON Semiconductor</v>
      </c>
      <c r="C39136" s="6">
        <v>8000</v>
      </c>
      <c r="D39136" s="7">
        <v>2.8</v>
      </c>
      <c r="E39136" t="s">
        <v>40</v>
      </c>
    </row>
    <row r="39137" spans="1:5" x14ac:dyDescent="0.25">
      <c r="A39137" t="str">
        <f>HYPERLINK("https://www.773grp.com/globalSearch/NCN6011DTB/page-1", "NCN6011DTB")</f>
        <v>NCN6011DTB</v>
      </c>
      <c r="B39137" s="3" t="str">
        <f>HYPERLINK("https://www.773grp.com/manufacturer/onsemi?pageNo=1193", "ON Semiconductor")</f>
        <v>ON Semiconductor</v>
      </c>
      <c r="C39137" s="6">
        <v>12965</v>
      </c>
      <c r="D39137" s="7">
        <v>2.8</v>
      </c>
      <c r="E39137" t="s">
        <v>40</v>
      </c>
    </row>
    <row r="39138" spans="1:5" x14ac:dyDescent="0.25">
      <c r="A39138" t="str">
        <f>HYPERLINK("https://www.773grp.com/globalSearch/NCN6011DTBR2/page-1", "NCN6011DTBR2")</f>
        <v>NCN6011DTBR2</v>
      </c>
      <c r="B39138" s="3" t="str">
        <f>HYPERLINK("https://www.773grp.com/manufacturer/onsemi?pageNo=1194", "ON Semiconductor")</f>
        <v>ON Semiconductor</v>
      </c>
      <c r="C39138" s="6">
        <v>5000</v>
      </c>
      <c r="D39138" s="7">
        <v>2.8</v>
      </c>
      <c r="E39138" t="s">
        <v>40</v>
      </c>
    </row>
    <row r="39139" spans="1:5" x14ac:dyDescent="0.25">
      <c r="A39139" t="str">
        <f>HYPERLINK("https://www.773grp.com/globalSearch/NCP1002PG/page-1", "NCP1002PG")</f>
        <v>NCP1002PG</v>
      </c>
      <c r="B39139" s="3" t="str">
        <f>HYPERLINK("https://www.773grp.com/manufacturer/onsemi?pageNo=1195", "ON Semiconductor")</f>
        <v>ON Semiconductor</v>
      </c>
      <c r="C39139" s="6">
        <v>2168</v>
      </c>
      <c r="D39139" s="7">
        <v>2.8</v>
      </c>
      <c r="E39139" t="s">
        <v>7</v>
      </c>
    </row>
    <row r="39140" spans="1:5" x14ac:dyDescent="0.25">
      <c r="A39140" t="str">
        <f>HYPERLINK("https://www.773grp.com/globalSearch/NCP1509MNR2/page-1", "NCP1509MNR2")</f>
        <v>NCP1509MNR2</v>
      </c>
      <c r="B39140" s="3" t="str">
        <f>HYPERLINK("https://www.773grp.com/manufacturer/onsemi?pageNo=1196", "ON Semiconductor")</f>
        <v>ON Semiconductor</v>
      </c>
      <c r="C39140" s="6">
        <v>27000</v>
      </c>
      <c r="D39140" s="7">
        <v>2.8</v>
      </c>
      <c r="E39140" t="s">
        <v>7</v>
      </c>
    </row>
    <row r="39141" spans="1:5" x14ac:dyDescent="0.25">
      <c r="A39141" t="str">
        <f>HYPERLINK("https://www.773grp.com/globalSearch/NCP1523FCT2G/page-1", "NCP1523FCT2G")</f>
        <v>NCP1523FCT2G</v>
      </c>
      <c r="B39141" s="3" t="str">
        <f>HYPERLINK("https://www.773grp.com/manufacturer/onsemi?pageNo=1197", "ON Semiconductor")</f>
        <v>ON Semiconductor</v>
      </c>
      <c r="C39141" s="6">
        <v>119932</v>
      </c>
      <c r="D39141" s="7">
        <v>2.8</v>
      </c>
      <c r="E39141" t="s">
        <v>7</v>
      </c>
    </row>
    <row r="39142" spans="1:5" x14ac:dyDescent="0.25">
      <c r="A39142" t="str">
        <f>HYPERLINK("https://www.773grp.com/globalSearch/NCP51510MNTWG/page-1", "NCP51510MNTWG")</f>
        <v>NCP51510MNTWG</v>
      </c>
      <c r="B39142" s="3" t="str">
        <f>HYPERLINK("https://www.773grp.com/manufacturer/onsemi?pageNo=1198", "ON Semiconductor")</f>
        <v>ON Semiconductor</v>
      </c>
      <c r="C39142" s="6">
        <v>5860</v>
      </c>
      <c r="D39142" s="7">
        <v>2.8</v>
      </c>
    </row>
    <row r="39143" spans="1:5" x14ac:dyDescent="0.25">
      <c r="A39143" t="str">
        <f>HYPERLINK("https://www.773grp.com/globalSearch/NCP5386BMNR2G/page-1", "NCP5386BMNR2G")</f>
        <v>NCP5386BMNR2G</v>
      </c>
      <c r="B39143" s="3" t="str">
        <f>HYPERLINK("https://www.773grp.com/manufacturer/onsemi?pageNo=1199", "ON Semiconductor")</f>
        <v>ON Semiconductor</v>
      </c>
      <c r="C39143" s="6">
        <v>7500</v>
      </c>
      <c r="D39143" s="7">
        <v>2.8</v>
      </c>
      <c r="E39143" t="s">
        <v>7</v>
      </c>
    </row>
    <row r="39144" spans="1:5" x14ac:dyDescent="0.25">
      <c r="A39144" t="str">
        <f>HYPERLINK("https://www.773grp.com/globalSearch/NCV7420D23R2G/page-1", "NCV7420D23R2G")</f>
        <v>NCV7420D23R2G</v>
      </c>
      <c r="B39144" s="3" t="str">
        <f>HYPERLINK("https://www.773grp.com/manufacturer/onsemi?pageNo=1200", "ON Semiconductor")</f>
        <v>ON Semiconductor</v>
      </c>
      <c r="C39144" s="6">
        <v>3000</v>
      </c>
      <c r="D39144" s="7">
        <v>2.8</v>
      </c>
      <c r="E39144" t="s">
        <v>21</v>
      </c>
    </row>
    <row r="39145" spans="1:5" x14ac:dyDescent="0.25">
      <c r="A39145" t="str">
        <f>HYPERLINK("https://www.773grp.com/globalSearch/NCV7420D25G/page-1", "NCV7420D25G")</f>
        <v>NCV7420D25G</v>
      </c>
      <c r="B39145" s="3" t="str">
        <f>HYPERLINK("https://www.773grp.com/manufacturer/onsemi?pageNo=1201", "ON Semiconductor")</f>
        <v>ON Semiconductor</v>
      </c>
      <c r="C39145" s="6">
        <v>110</v>
      </c>
      <c r="D39145" s="7">
        <v>2.8</v>
      </c>
      <c r="E39145" t="s">
        <v>21</v>
      </c>
    </row>
    <row r="39146" spans="1:5" x14ac:dyDescent="0.25">
      <c r="A39146" t="str">
        <f>HYPERLINK("https://www.773grp.com/globalSearch/NTD5802NT4G/page-1", "NTD5802NT4G")</f>
        <v>NTD5802NT4G</v>
      </c>
      <c r="B39146" s="3" t="str">
        <f>HYPERLINK("https://www.773grp.com/manufacturer/onsemi?pageNo=1202", "ON Semiconductor")</f>
        <v>ON Semiconductor</v>
      </c>
      <c r="C39146" s="6">
        <v>762</v>
      </c>
      <c r="D39146" s="7">
        <v>2.8</v>
      </c>
    </row>
    <row r="39147" spans="1:5" x14ac:dyDescent="0.25">
      <c r="A39147" t="str">
        <f>HYPERLINK("https://www.773grp.com/globalSearch/NTP35N15/page-1", "NTP35N15")</f>
        <v>NTP35N15</v>
      </c>
      <c r="B39147" s="3" t="str">
        <f>HYPERLINK("https://www.773grp.com/manufacturer/onsemi?pageNo=1203", "ON Semiconductor")</f>
        <v>ON Semiconductor</v>
      </c>
      <c r="C39147" s="6">
        <v>17597</v>
      </c>
      <c r="D39147" s="7">
        <v>2.8</v>
      </c>
      <c r="E39147" t="s">
        <v>105</v>
      </c>
    </row>
    <row r="39148" spans="1:5" x14ac:dyDescent="0.25">
      <c r="A39148" t="str">
        <f>HYPERLINK("https://www.773grp.com/globalSearch/NUS3055MUTAG/page-1", "NUS3055MUTAG")</f>
        <v>NUS3055MUTAG</v>
      </c>
      <c r="B39148" s="3" t="str">
        <f>HYPERLINK("https://www.773grp.com/manufacturer/onsemi?pageNo=1204", "ON Semiconductor")</f>
        <v>ON Semiconductor</v>
      </c>
      <c r="C39148" s="6">
        <v>17962</v>
      </c>
      <c r="D39148" s="7">
        <v>2.8</v>
      </c>
      <c r="E39148" t="s">
        <v>30</v>
      </c>
    </row>
    <row r="39149" spans="1:5" x14ac:dyDescent="0.25">
      <c r="A39149" t="str">
        <f>HYPERLINK("https://www.773grp.com/globalSearch/SA5534ADG/page-1", "SA5534ADG")</f>
        <v>SA5534ADG</v>
      </c>
      <c r="B39149" s="3" t="str">
        <f>HYPERLINK("https://www.773grp.com/manufacturer/onsemi?pageNo=1205", "ON Semiconductor")</f>
        <v>ON Semiconductor</v>
      </c>
      <c r="C39149" s="6">
        <v>490</v>
      </c>
      <c r="D39149" s="7">
        <v>2.8</v>
      </c>
      <c r="E39149" t="s">
        <v>13</v>
      </c>
    </row>
    <row r="39150" spans="1:5" x14ac:dyDescent="0.25">
      <c r="A39150" t="str">
        <f>HYPERLINK("https://www.773grp.com/globalSearch/SA5534ADR2/page-1", "SA5534ADR2")</f>
        <v>SA5534ADR2</v>
      </c>
      <c r="B39150" s="3" t="str">
        <f>HYPERLINK("https://www.773grp.com/manufacturer/onsemi?pageNo=1206", "ON Semiconductor")</f>
        <v>ON Semiconductor</v>
      </c>
      <c r="C39150" s="6">
        <v>2252</v>
      </c>
      <c r="D39150" s="7">
        <v>2.8</v>
      </c>
      <c r="E39150" t="s">
        <v>13</v>
      </c>
    </row>
    <row r="39151" spans="1:5" x14ac:dyDescent="0.25">
      <c r="A39151" t="str">
        <f>HYPERLINK("https://www.773grp.com/globalSearch/SA5534ADR2G/page-1", "SA5534ADR2G")</f>
        <v>SA5534ADR2G</v>
      </c>
      <c r="B39151" s="3" t="str">
        <f>HYPERLINK("https://www.773grp.com/manufacturer/onsemi?pageNo=1207", "ON Semiconductor")</f>
        <v>ON Semiconductor</v>
      </c>
      <c r="C39151" s="6">
        <v>9451</v>
      </c>
      <c r="D39151" s="7">
        <v>2.8</v>
      </c>
      <c r="E39151" t="s">
        <v>13</v>
      </c>
    </row>
    <row r="39152" spans="1:5" x14ac:dyDescent="0.25">
      <c r="A39152" t="str">
        <f>HYPERLINK("https://www.773grp.com/globalSearch/SC027MG066BFR2/page-1", "SC027MG066BFR2")</f>
        <v>SC027MG066BFR2</v>
      </c>
      <c r="B39152" s="3" t="str">
        <f>HYPERLINK("https://www.773grp.com/manufacturer/onsemi?pageNo=1208", "ON Semiconductor")</f>
        <v>ON Semiconductor</v>
      </c>
      <c r="C39152" s="6">
        <v>4000</v>
      </c>
      <c r="D39152" s="7">
        <v>2.8</v>
      </c>
    </row>
    <row r="39153" spans="1:5" x14ac:dyDescent="0.25">
      <c r="A39153" t="str">
        <f>HYPERLINK("https://www.773grp.com/globalSearch/STP8053/page-1", "STP8053")</f>
        <v>STP8053</v>
      </c>
      <c r="B39153" s="3" t="str">
        <f>HYPERLINK("https://www.773grp.com/manufacturer/onsemi?pageNo=1209", "ON Semiconductor")</f>
        <v>ON Semiconductor</v>
      </c>
      <c r="C39153" s="6">
        <v>17700</v>
      </c>
      <c r="D39153" s="7">
        <v>2.8</v>
      </c>
    </row>
    <row r="39154" spans="1:5" x14ac:dyDescent="0.25">
      <c r="A39154" t="str">
        <f>HYPERLINK("https://www.773grp.com/globalSearch/ATP602-TL-H/page-1", "ATP602-TL-H")</f>
        <v>ATP602-TL-H</v>
      </c>
      <c r="B39154" s="3" t="str">
        <f>HYPERLINK("https://www.773grp.com/manufacturer/onsemi?pageNo=1210", "ON Semiconductor")</f>
        <v>ON Semiconductor</v>
      </c>
      <c r="C39154" s="6">
        <v>3000</v>
      </c>
      <c r="D39154" s="7">
        <v>2.85</v>
      </c>
    </row>
    <row r="39155" spans="1:5" x14ac:dyDescent="0.25">
      <c r="A39155" t="str">
        <f>HYPERLINK("https://www.773grp.com/globalSearch/BTA16-600BW3G/page-1", "BTA16-600BW3G")</f>
        <v>BTA16-600BW3G</v>
      </c>
      <c r="B39155" s="3" t="str">
        <f>HYPERLINK("https://www.773grp.com/manufacturer/onsemi?pageNo=1211", "ON Semiconductor")</f>
        <v>ON Semiconductor</v>
      </c>
      <c r="C39155" s="6">
        <v>117000</v>
      </c>
      <c r="D39155" s="7">
        <v>2.85</v>
      </c>
      <c r="E39155" t="s">
        <v>102</v>
      </c>
    </row>
    <row r="39156" spans="1:5" x14ac:dyDescent="0.25">
      <c r="A39156" t="str">
        <f>HYPERLINK("https://www.773grp.com/globalSearch/BTA16-600CW3G/page-1", "BTA16-600CW3G")</f>
        <v>BTA16-600CW3G</v>
      </c>
      <c r="B39156" s="3" t="str">
        <f>HYPERLINK("https://www.773grp.com/manufacturer/onsemi?pageNo=1212", "ON Semiconductor")</f>
        <v>ON Semiconductor</v>
      </c>
      <c r="C39156" s="6">
        <v>2700</v>
      </c>
      <c r="D39156" s="7">
        <v>2.85</v>
      </c>
    </row>
    <row r="39157" spans="1:5" x14ac:dyDescent="0.25">
      <c r="A39157" t="str">
        <f>HYPERLINK("https://www.773grp.com/globalSearch/BTA16-600SW3G/page-1", "BTA16-600SW3G")</f>
        <v>BTA16-600SW3G</v>
      </c>
      <c r="B39157" s="3" t="str">
        <f>HYPERLINK("https://www.773grp.com/manufacturer/onsemi?pageNo=1213", "ON Semiconductor")</f>
        <v>ON Semiconductor</v>
      </c>
      <c r="C39157" s="6">
        <v>32750</v>
      </c>
      <c r="D39157" s="7">
        <v>2.85</v>
      </c>
    </row>
    <row r="39158" spans="1:5" x14ac:dyDescent="0.25">
      <c r="A39158" t="str">
        <f>HYPERLINK("https://www.773grp.com/globalSearch/BTA16-800BW3G/page-1", "BTA16-800BW3G")</f>
        <v>BTA16-800BW3G</v>
      </c>
      <c r="B39158" s="3" t="str">
        <f>HYPERLINK("https://www.773grp.com/manufacturer/onsemi?pageNo=1214", "ON Semiconductor")</f>
        <v>ON Semiconductor</v>
      </c>
      <c r="C39158" s="6">
        <v>87410</v>
      </c>
      <c r="D39158" s="7">
        <v>2.85</v>
      </c>
      <c r="E39158" t="s">
        <v>102</v>
      </c>
    </row>
    <row r="39159" spans="1:5" x14ac:dyDescent="0.25">
      <c r="A39159" t="str">
        <f>HYPERLINK("https://www.773grp.com/globalSearch/BTA16-800CW3G/page-1", "BTA16-800CW3G")</f>
        <v>BTA16-800CW3G</v>
      </c>
      <c r="B39159" s="3" t="str">
        <f>HYPERLINK("https://www.773grp.com/manufacturer/onsemi?pageNo=1215", "ON Semiconductor")</f>
        <v>ON Semiconductor</v>
      </c>
      <c r="C39159" s="6">
        <v>37600</v>
      </c>
      <c r="D39159" s="7">
        <v>2.85</v>
      </c>
      <c r="E39159" t="s">
        <v>102</v>
      </c>
    </row>
    <row r="39160" spans="1:5" x14ac:dyDescent="0.25">
      <c r="A39160" t="str">
        <f>HYPERLINK("https://www.773grp.com/globalSearch/CAT150089SWI-G/page-1", "CAT150089SWI-G")</f>
        <v>CAT150089SWI-G</v>
      </c>
      <c r="B39160" s="3" t="str">
        <f>HYPERLINK("https://www.773grp.com/manufacturer/onsemi?pageNo=1216", "ON Semiconductor")</f>
        <v>ON Semiconductor</v>
      </c>
      <c r="C39160" s="6">
        <v>1400</v>
      </c>
      <c r="D39160" s="7">
        <v>2.85</v>
      </c>
    </row>
    <row r="39161" spans="1:5" x14ac:dyDescent="0.25">
      <c r="A39161" t="str">
        <f>HYPERLINK("https://www.773grp.com/globalSearch/CAT150089SWI-GT3/page-1", "CAT150089SWI-GT3")</f>
        <v>CAT150089SWI-GT3</v>
      </c>
      <c r="B39161" s="3" t="str">
        <f>HYPERLINK("https://www.773grp.com/manufacturer/onsemi?pageNo=1217", "ON Semiconductor")</f>
        <v>ON Semiconductor</v>
      </c>
      <c r="C39161" s="6">
        <v>15000</v>
      </c>
      <c r="D39161" s="7">
        <v>2.85</v>
      </c>
      <c r="E39161" t="s">
        <v>64</v>
      </c>
    </row>
    <row r="39162" spans="1:5" x14ac:dyDescent="0.25">
      <c r="A39162" t="str">
        <f>HYPERLINK("https://www.773grp.com/globalSearch/CAT3626HV4-GT2/page-1", "CAT3626HV4-GT2")</f>
        <v>CAT3626HV4-GT2</v>
      </c>
      <c r="B39162" s="3" t="str">
        <f>HYPERLINK("https://www.773grp.com/manufacturer/onsemi?pageNo=1218", "ON Semiconductor")</f>
        <v>ON Semiconductor</v>
      </c>
      <c r="C39162" s="6">
        <v>146000</v>
      </c>
      <c r="D39162" s="7">
        <v>2.85</v>
      </c>
      <c r="E39162" t="s">
        <v>10</v>
      </c>
    </row>
    <row r="39163" spans="1:5" x14ac:dyDescent="0.25">
      <c r="A39163" t="str">
        <f>HYPERLINK("https://www.773grp.com/globalSearch/CAT3626HV4-T2/page-1", "CAT3626HV4-T2")</f>
        <v>CAT3626HV4-T2</v>
      </c>
      <c r="B39163" s="3" t="str">
        <f>HYPERLINK("https://www.773grp.com/manufacturer/onsemi?pageNo=1219", "ON Semiconductor")</f>
        <v>ON Semiconductor</v>
      </c>
      <c r="C39163" s="6">
        <v>12000</v>
      </c>
      <c r="D39163" s="7">
        <v>2.85</v>
      </c>
      <c r="E39163" t="s">
        <v>10</v>
      </c>
    </row>
    <row r="39164" spans="1:5" x14ac:dyDescent="0.25">
      <c r="A39164" t="str">
        <f>HYPERLINK("https://www.773grp.com/globalSearch/CAT706SVI-GT3/page-1", "CAT706SVI-GT3")</f>
        <v>CAT706SVI-GT3</v>
      </c>
      <c r="B39164" s="3" t="str">
        <f>HYPERLINK("https://www.773grp.com/manufacturer/onsemi?pageNo=1220", "ON Semiconductor")</f>
        <v>ON Semiconductor</v>
      </c>
      <c r="C39164" s="6">
        <v>2500</v>
      </c>
      <c r="D39164" s="7">
        <v>2.85</v>
      </c>
      <c r="E39164" t="s">
        <v>30</v>
      </c>
    </row>
    <row r="39165" spans="1:5" x14ac:dyDescent="0.25">
      <c r="A39165" t="str">
        <f>HYPERLINK("https://www.773grp.com/globalSearch/CS3845BGD8/page-1", "CS3845BGD8")</f>
        <v>CS3845BGD8</v>
      </c>
      <c r="B39165" s="3" t="str">
        <f>HYPERLINK("https://www.773grp.com/manufacturer/onsemi?pageNo=1221", "ON Semiconductor")</f>
        <v>ON Semiconductor</v>
      </c>
      <c r="C39165" s="6">
        <v>350</v>
      </c>
      <c r="D39165" s="7">
        <v>2.85</v>
      </c>
      <c r="E39165" t="s">
        <v>7</v>
      </c>
    </row>
    <row r="39166" spans="1:5" x14ac:dyDescent="0.25">
      <c r="A39166" t="str">
        <f>HYPERLINK("https://www.773grp.com/globalSearch/CS5132HGDWR24/page-1", "CS5132HGDWR24")</f>
        <v>CS5132HGDWR24</v>
      </c>
      <c r="B39166" s="3" t="str">
        <f>HYPERLINK("https://www.773grp.com/manufacturer/onsemi?pageNo=1222", "ON Semiconductor")</f>
        <v>ON Semiconductor</v>
      </c>
      <c r="C39166" s="6">
        <v>1000</v>
      </c>
      <c r="D39166" s="7">
        <v>2.85</v>
      </c>
      <c r="E39166" t="s">
        <v>7</v>
      </c>
    </row>
    <row r="39167" spans="1:5" x14ac:dyDescent="0.25">
      <c r="A39167" t="str">
        <f>HYPERLINK("https://www.773grp.com/globalSearch/LB1909MC-BH/page-1", "LB1909MC-BH")</f>
        <v>LB1909MC-BH</v>
      </c>
      <c r="B39167" s="3" t="str">
        <f>HYPERLINK("https://www.773grp.com/manufacturer/onsemi?pageNo=1223", "ON Semiconductor")</f>
        <v>ON Semiconductor</v>
      </c>
      <c r="C39167" s="6">
        <v>2500</v>
      </c>
      <c r="D39167" s="7">
        <v>2.85</v>
      </c>
    </row>
    <row r="39168" spans="1:5" x14ac:dyDescent="0.25">
      <c r="A39168" t="str">
        <f>HYPERLINK("https://www.773grp.com/globalSearch/LM317MBSTT3G/page-1", "LM317MBSTT3G")</f>
        <v>LM317MBSTT3G</v>
      </c>
      <c r="B39168" s="3" t="str">
        <f>HYPERLINK("https://www.773grp.com/manufacturer/onsemi?pageNo=1224", "ON Semiconductor")</f>
        <v>ON Semiconductor</v>
      </c>
      <c r="C39168" s="6">
        <v>62989</v>
      </c>
      <c r="D39168" s="7">
        <v>2.85</v>
      </c>
    </row>
    <row r="39169" spans="1:5" x14ac:dyDescent="0.25">
      <c r="A39169" t="str">
        <f>HYPERLINK("https://www.773grp.com/globalSearch/MBR40L45CTG/page-1", "MBR40L45CTG")</f>
        <v>MBR40L45CTG</v>
      </c>
      <c r="B39169" s="3" t="str">
        <f>HYPERLINK("https://www.773grp.com/manufacturer/onsemi?pageNo=1225", "ON Semiconductor")</f>
        <v>ON Semiconductor</v>
      </c>
      <c r="C39169" s="6">
        <v>44838</v>
      </c>
      <c r="D39169" s="7">
        <v>2.85</v>
      </c>
      <c r="E39169" t="s">
        <v>103</v>
      </c>
    </row>
    <row r="39170" spans="1:5" x14ac:dyDescent="0.25">
      <c r="A39170" t="str">
        <f>HYPERLINK("https://www.773grp.com/globalSearch/MC33204DTBG/page-1", "MC33204DTBG")</f>
        <v>MC33204DTBG</v>
      </c>
      <c r="B39170" s="3" t="str">
        <f>HYPERLINK("https://www.773grp.com/manufacturer/onsemi?pageNo=1226", "ON Semiconductor")</f>
        <v>ON Semiconductor</v>
      </c>
      <c r="C39170" s="6">
        <v>221</v>
      </c>
      <c r="D39170" s="7">
        <v>2.85</v>
      </c>
      <c r="E39170" t="s">
        <v>13</v>
      </c>
    </row>
    <row r="39171" spans="1:5" x14ac:dyDescent="0.25">
      <c r="A39171" t="str">
        <f>HYPERLINK("https://www.773grp.com/globalSearch/MC74AC4040MELG/page-1", "MC74AC4040MELG")</f>
        <v>MC74AC4040MELG</v>
      </c>
      <c r="B39171" s="3" t="str">
        <f>HYPERLINK("https://www.773grp.com/manufacturer/onsemi?pageNo=1227", "ON Semiconductor")</f>
        <v>ON Semiconductor</v>
      </c>
      <c r="C39171" s="6">
        <v>14974</v>
      </c>
      <c r="D39171" s="7">
        <v>2.85</v>
      </c>
      <c r="E39171" t="s">
        <v>26</v>
      </c>
    </row>
    <row r="39172" spans="1:5" x14ac:dyDescent="0.25">
      <c r="A39172" t="str">
        <f>HYPERLINK("https://www.773grp.com/globalSearch/MJF2955G/page-1", "MJF2955G")</f>
        <v>MJF2955G</v>
      </c>
      <c r="B39172" s="3" t="str">
        <f>HYPERLINK("https://www.773grp.com/manufacturer/onsemi?pageNo=1228", "ON Semiconductor")</f>
        <v>ON Semiconductor</v>
      </c>
      <c r="C39172" s="6">
        <v>847</v>
      </c>
      <c r="D39172" s="7">
        <v>2.85</v>
      </c>
      <c r="E39172" t="s">
        <v>59</v>
      </c>
    </row>
    <row r="39173" spans="1:5" x14ac:dyDescent="0.25">
      <c r="A39173" t="str">
        <f>HYPERLINK("https://www.773grp.com/globalSearch/MJF3055G/page-1", "MJF3055G")</f>
        <v>MJF3055G</v>
      </c>
      <c r="B39173" s="3" t="str">
        <f>HYPERLINK("https://www.773grp.com/manufacturer/onsemi?pageNo=1229", "ON Semiconductor")</f>
        <v>ON Semiconductor</v>
      </c>
      <c r="C39173" s="6">
        <v>49</v>
      </c>
      <c r="D39173" s="7">
        <v>2.85</v>
      </c>
      <c r="E39173" t="s">
        <v>59</v>
      </c>
    </row>
    <row r="39174" spans="1:5" x14ac:dyDescent="0.25">
      <c r="A39174" t="str">
        <f>HYPERLINK("https://www.773grp.com/globalSearch/MUR1620CTRG/page-1", "MUR1620CTRG")</f>
        <v>MUR1620CTRG</v>
      </c>
      <c r="B39174" s="3" t="str">
        <f>HYPERLINK("https://www.773grp.com/manufacturer/onsemi?pageNo=1230", "ON Semiconductor")</f>
        <v>ON Semiconductor</v>
      </c>
      <c r="C39174" s="6">
        <v>74800</v>
      </c>
      <c r="D39174" s="7">
        <v>2.85</v>
      </c>
      <c r="E39174" t="s">
        <v>103</v>
      </c>
    </row>
    <row r="39175" spans="1:5" x14ac:dyDescent="0.25">
      <c r="A39175" t="str">
        <f>HYPERLINK("https://www.773grp.com/globalSearch/MUR1640CTG/page-1", "MUR1640CTG")</f>
        <v>MUR1640CTG</v>
      </c>
      <c r="B39175" s="3" t="str">
        <f>HYPERLINK("https://www.773grp.com/manufacturer/onsemi?pageNo=1231", "ON Semiconductor")</f>
        <v>ON Semiconductor</v>
      </c>
      <c r="C39175" s="6">
        <v>20150</v>
      </c>
      <c r="D39175" s="7">
        <v>2.85</v>
      </c>
      <c r="E39175" t="s">
        <v>103</v>
      </c>
    </row>
    <row r="39176" spans="1:5" x14ac:dyDescent="0.25">
      <c r="A39176" t="str">
        <f>HYPERLINK("https://www.773grp.com/globalSearch/MUR1660CTG/page-1", "MUR1660CTG")</f>
        <v>MUR1660CTG</v>
      </c>
      <c r="B39176" s="3" t="str">
        <f>HYPERLINK("https://www.773grp.com/manufacturer/onsemi?pageNo=1232", "ON Semiconductor")</f>
        <v>ON Semiconductor</v>
      </c>
      <c r="C39176" s="6">
        <v>44250</v>
      </c>
      <c r="D39176" s="7">
        <v>2.85</v>
      </c>
      <c r="E39176" t="s">
        <v>103</v>
      </c>
    </row>
    <row r="39177" spans="1:5" x14ac:dyDescent="0.25">
      <c r="A39177" t="str">
        <f>HYPERLINK("https://www.773grp.com/globalSearch/NCP1521ASNT1G/page-1", "NCP1521ASNT1G")</f>
        <v>NCP1521ASNT1G</v>
      </c>
      <c r="B39177" s="3" t="str">
        <f>HYPERLINK("https://www.773grp.com/manufacturer/onsemi?pageNo=1233", "ON Semiconductor")</f>
        <v>ON Semiconductor</v>
      </c>
      <c r="C39177" s="6">
        <v>10337</v>
      </c>
      <c r="D39177" s="7">
        <v>2.85</v>
      </c>
      <c r="E39177" t="s">
        <v>7</v>
      </c>
    </row>
    <row r="39178" spans="1:5" x14ac:dyDescent="0.25">
      <c r="A39178" t="str">
        <f>HYPERLINK("https://www.773grp.com/globalSearch/NCP5666DS50R4G/page-1", "NCP5666DS50R4G")</f>
        <v>NCP5666DS50R4G</v>
      </c>
      <c r="B39178" s="3" t="str">
        <f>HYPERLINK("https://www.773grp.com/manufacturer/onsemi?pageNo=1234", "ON Semiconductor")</f>
        <v>ON Semiconductor</v>
      </c>
      <c r="C39178" s="6">
        <v>2293</v>
      </c>
      <c r="D39178" s="7">
        <v>2.85</v>
      </c>
      <c r="E39178" t="s">
        <v>19</v>
      </c>
    </row>
    <row r="39179" spans="1:5" x14ac:dyDescent="0.25">
      <c r="A39179" t="str">
        <f>HYPERLINK("https://www.773grp.com/globalSearch/NCP631GD2TG/page-1", "NCP631GD2TG")</f>
        <v>NCP631GD2TG</v>
      </c>
      <c r="B39179" s="3" t="str">
        <f>HYPERLINK("https://www.773grp.com/manufacturer/onsemi?pageNo=1235", "ON Semiconductor")</f>
        <v>ON Semiconductor</v>
      </c>
      <c r="C39179" s="6">
        <v>1064</v>
      </c>
      <c r="D39179" s="7">
        <v>2.85</v>
      </c>
      <c r="E39179" t="s">
        <v>19</v>
      </c>
    </row>
    <row r="39180" spans="1:5" x14ac:dyDescent="0.25">
      <c r="A39180" t="str">
        <f>HYPERLINK("https://www.773grp.com/globalSearch/NCV4279A50D1G/page-1", "NCV4279A50D1G")</f>
        <v>NCV4279A50D1G</v>
      </c>
      <c r="B39180" s="3" t="str">
        <f>HYPERLINK("https://www.773grp.com/manufacturer/onsemi?pageNo=1236", "ON Semiconductor")</f>
        <v>ON Semiconductor</v>
      </c>
      <c r="C39180" s="6">
        <v>393</v>
      </c>
      <c r="D39180" s="7">
        <v>2.85</v>
      </c>
    </row>
    <row r="39181" spans="1:5" x14ac:dyDescent="0.25">
      <c r="A39181" t="str">
        <f>HYPERLINK("https://www.773grp.com/globalSearch/NTB45N06LT4G/page-1", "NTB45N06LT4G")</f>
        <v>NTB45N06LT4G</v>
      </c>
      <c r="B39181" s="3" t="str">
        <f>HYPERLINK("https://www.773grp.com/manufacturer/onsemi?pageNo=1237", "ON Semiconductor")</f>
        <v>ON Semiconductor</v>
      </c>
      <c r="C39181" s="6">
        <v>6894</v>
      </c>
      <c r="D39181" s="7">
        <v>2.85</v>
      </c>
      <c r="E39181" t="s">
        <v>105</v>
      </c>
    </row>
    <row r="39182" spans="1:5" x14ac:dyDescent="0.25">
      <c r="A39182" t="str">
        <f>HYPERLINK("https://www.773grp.com/globalSearch/NUS3065MUTAG/page-1", "NUS3065MUTAG")</f>
        <v>NUS3065MUTAG</v>
      </c>
      <c r="B39182" s="3" t="str">
        <f>HYPERLINK("https://www.773grp.com/manufacturer/onsemi?pageNo=1238", "ON Semiconductor")</f>
        <v>ON Semiconductor</v>
      </c>
      <c r="C39182" s="6">
        <v>6000</v>
      </c>
      <c r="D39182" s="7">
        <v>2.85</v>
      </c>
      <c r="E39182" t="s">
        <v>30</v>
      </c>
    </row>
    <row r="39183" spans="1:5" x14ac:dyDescent="0.25">
      <c r="A39183" t="str">
        <f>HYPERLINK("https://www.773grp.com/globalSearch/PZTA96T3/page-1", "PZTA96T3")</f>
        <v>PZTA96T3</v>
      </c>
      <c r="B39183" s="3" t="str">
        <f>HYPERLINK("https://www.773grp.com/manufacturer/onsemi?pageNo=1239", "ON Semiconductor")</f>
        <v>ON Semiconductor</v>
      </c>
      <c r="C39183" s="6">
        <v>16000</v>
      </c>
      <c r="D39183" s="7">
        <v>2.85</v>
      </c>
      <c r="E39183" t="s">
        <v>69</v>
      </c>
    </row>
    <row r="39184" spans="1:5" x14ac:dyDescent="0.25">
      <c r="A39184" t="str">
        <f>HYPERLINK("https://www.773grp.com/globalSearch/SA5230NG/page-1", "SA5230NG")</f>
        <v>SA5230NG</v>
      </c>
      <c r="B39184" s="3" t="str">
        <f>HYPERLINK("https://www.773grp.com/manufacturer/onsemi?pageNo=1240", "ON Semiconductor")</f>
        <v>ON Semiconductor</v>
      </c>
      <c r="C39184" s="6">
        <v>2532</v>
      </c>
      <c r="D39184" s="7">
        <v>2.85</v>
      </c>
      <c r="E39184" t="s">
        <v>13</v>
      </c>
    </row>
    <row r="39185" spans="1:5" x14ac:dyDescent="0.25">
      <c r="A39185" t="str">
        <f>HYPERLINK("https://www.773grp.com/globalSearch/SA5534ANG/page-1", "SA5534ANG")</f>
        <v>SA5534ANG</v>
      </c>
      <c r="B39185" s="3" t="str">
        <f>HYPERLINK("https://www.773grp.com/manufacturer/onsemi?pageNo=1241", "ON Semiconductor")</f>
        <v>ON Semiconductor</v>
      </c>
      <c r="C39185" s="6">
        <v>2603</v>
      </c>
      <c r="D39185" s="7">
        <v>2.85</v>
      </c>
      <c r="E39185" t="s">
        <v>13</v>
      </c>
    </row>
    <row r="39186" spans="1:5" x14ac:dyDescent="0.25">
      <c r="A39186" t="str">
        <f>HYPERLINK("https://www.773grp.com/globalSearch/TCA0372DWG/page-1", "TCA0372DWG")</f>
        <v>TCA0372DWG</v>
      </c>
      <c r="B39186" s="3" t="str">
        <f>HYPERLINK("https://www.773grp.com/manufacturer/onsemi?pageNo=1242", "ON Semiconductor")</f>
        <v>ON Semiconductor</v>
      </c>
      <c r="C39186" s="6">
        <v>795</v>
      </c>
      <c r="D39186" s="7">
        <v>2.85</v>
      </c>
      <c r="E39186" t="s">
        <v>13</v>
      </c>
    </row>
    <row r="39187" spans="1:5" x14ac:dyDescent="0.25">
      <c r="A39187" t="str">
        <f>HYPERLINK("https://www.773grp.com/globalSearch/TCA0372DWR2G/page-1", "TCA0372DWR2G")</f>
        <v>TCA0372DWR2G</v>
      </c>
      <c r="B39187" s="3" t="str">
        <f>HYPERLINK("https://www.773grp.com/manufacturer/onsemi?pageNo=1243", "ON Semiconductor")</f>
        <v>ON Semiconductor</v>
      </c>
      <c r="C39187" s="6">
        <v>9921</v>
      </c>
      <c r="D39187" s="7">
        <v>2.85</v>
      </c>
    </row>
    <row r="39188" spans="1:5" x14ac:dyDescent="0.25">
      <c r="A39188" t="str">
        <f>HYPERLINK("https://www.773grp.com/globalSearch/BUH100G/page-1", "BUH100G")</f>
        <v>BUH100G</v>
      </c>
      <c r="B39188" s="3" t="str">
        <f>HYPERLINK("https://www.773grp.com/manufacturer/onsemi?pageNo=1244", "ON Semiconductor")</f>
        <v>ON Semiconductor</v>
      </c>
      <c r="C39188" s="6">
        <v>23495</v>
      </c>
      <c r="D39188" s="7">
        <v>2.9</v>
      </c>
      <c r="E39188" t="s">
        <v>59</v>
      </c>
    </row>
    <row r="39189" spans="1:5" x14ac:dyDescent="0.25">
      <c r="A39189" t="str">
        <f>HYPERLINK("https://www.773grp.com/globalSearch/BUL146FG/page-1", "BUL146FG")</f>
        <v>BUL146FG</v>
      </c>
      <c r="B39189" s="3" t="str">
        <f>HYPERLINK("https://www.773grp.com/manufacturer/onsemi?pageNo=1245", "ON Semiconductor")</f>
        <v>ON Semiconductor</v>
      </c>
      <c r="C39189" s="6">
        <v>20</v>
      </c>
      <c r="D39189" s="7">
        <v>2.9</v>
      </c>
      <c r="E39189" t="s">
        <v>59</v>
      </c>
    </row>
    <row r="39190" spans="1:5" x14ac:dyDescent="0.25">
      <c r="A39190" t="str">
        <f>HYPERLINK("https://www.773grp.com/globalSearch/BUL147/page-1", "BUL147")</f>
        <v>BUL147</v>
      </c>
      <c r="B39190" s="3" t="str">
        <f>HYPERLINK("https://www.773grp.com/manufacturer/onsemi?pageNo=1246", "ON Semiconductor")</f>
        <v>ON Semiconductor</v>
      </c>
      <c r="C39190" s="6">
        <v>50</v>
      </c>
      <c r="D39190" s="7">
        <v>2.9</v>
      </c>
      <c r="E39190" t="s">
        <v>59</v>
      </c>
    </row>
    <row r="39191" spans="1:5" x14ac:dyDescent="0.25">
      <c r="A39191" t="str">
        <f>HYPERLINK("https://www.773grp.com/globalSearch/CAT24C512WI-GT3/page-1", "CAT24C512WI-GT3")</f>
        <v>CAT24C512WI-GT3</v>
      </c>
      <c r="B39191" s="3" t="str">
        <f>HYPERLINK("https://www.773grp.com/manufacturer/onsemi?pageNo=1247", "ON Semiconductor")</f>
        <v>ON Semiconductor</v>
      </c>
      <c r="C39191" s="6">
        <v>33000</v>
      </c>
      <c r="D39191" s="7">
        <v>2.9</v>
      </c>
      <c r="E39191" t="s">
        <v>64</v>
      </c>
    </row>
    <row r="39192" spans="1:5" x14ac:dyDescent="0.25">
      <c r="A39192" t="str">
        <f>HYPERLINK("https://www.773grp.com/globalSearch/CAT24C512YI-GT3/page-1", "CAT24C512YI-GT3")</f>
        <v>CAT24C512YI-GT3</v>
      </c>
      <c r="B39192" s="3" t="str">
        <f>HYPERLINK("https://www.773grp.com/manufacturer/onsemi?pageNo=1248", "ON Semiconductor")</f>
        <v>ON Semiconductor</v>
      </c>
      <c r="C39192" s="6">
        <v>90000</v>
      </c>
      <c r="D39192" s="7">
        <v>2.9</v>
      </c>
    </row>
    <row r="39193" spans="1:5" x14ac:dyDescent="0.25">
      <c r="A39193" t="str">
        <f>HYPERLINK("https://www.773grp.com/globalSearch/CAT9554HV4I-GT2/page-1", "CAT9554HV4I-GT2")</f>
        <v>CAT9554HV4I-GT2</v>
      </c>
      <c r="B39193" s="3" t="str">
        <f>HYPERLINK("https://www.773grp.com/manufacturer/onsemi?pageNo=1249", "ON Semiconductor")</f>
        <v>ON Semiconductor</v>
      </c>
      <c r="C39193" s="6">
        <v>74000</v>
      </c>
      <c r="D39193" s="7">
        <v>2.9</v>
      </c>
      <c r="E39193" t="s">
        <v>90</v>
      </c>
    </row>
    <row r="39194" spans="1:5" x14ac:dyDescent="0.25">
      <c r="A39194" t="str">
        <f>HYPERLINK("https://www.773grp.com/globalSearch/CM2030-A0TR/page-1", "CM2030-A0TR")</f>
        <v>CM2030-A0TR</v>
      </c>
      <c r="B39194" s="3" t="str">
        <f>HYPERLINK("https://www.773grp.com/manufacturer/onsemi?pageNo=1250", "ON Semiconductor")</f>
        <v>ON Semiconductor</v>
      </c>
      <c r="C39194" s="6">
        <v>40000</v>
      </c>
      <c r="D39194" s="7">
        <v>2.9</v>
      </c>
      <c r="E39194" t="s">
        <v>23</v>
      </c>
    </row>
    <row r="39195" spans="1:5" x14ac:dyDescent="0.25">
      <c r="A39195" t="str">
        <f>HYPERLINK("https://www.773grp.com/globalSearch/CS51313GDR16/page-1", "CS51313GDR16")</f>
        <v>CS51313GDR16</v>
      </c>
      <c r="B39195" s="3" t="str">
        <f>HYPERLINK("https://www.773grp.com/manufacturer/onsemi?pageNo=1251", "ON Semiconductor")</f>
        <v>ON Semiconductor</v>
      </c>
      <c r="C39195" s="6">
        <v>1154</v>
      </c>
      <c r="D39195" s="7">
        <v>2.9</v>
      </c>
      <c r="E39195" t="s">
        <v>7</v>
      </c>
    </row>
    <row r="39196" spans="1:5" x14ac:dyDescent="0.25">
      <c r="A39196" t="str">
        <f>HYPERLINK("https://www.773grp.com/globalSearch/CS9001DW16/page-1", "CS9001DW16")</f>
        <v>CS9001DW16</v>
      </c>
      <c r="B39196" s="3" t="str">
        <f>HYPERLINK("https://www.773grp.com/manufacturer/onsemi?pageNo=1252", "ON Semiconductor")</f>
        <v>ON Semiconductor</v>
      </c>
      <c r="C39196" s="6">
        <v>2209</v>
      </c>
      <c r="D39196" s="7">
        <v>2.9</v>
      </c>
    </row>
    <row r="39197" spans="1:5" x14ac:dyDescent="0.25">
      <c r="A39197" t="str">
        <f>HYPERLINK("https://www.773grp.com/globalSearch/DAC-08CN/page-1", "DAC-08CN")</f>
        <v>DAC-08CN</v>
      </c>
      <c r="B39197" s="3" t="str">
        <f>HYPERLINK("https://www.773grp.com/manufacturer/onsemi?pageNo=1253", "ON Semiconductor")</f>
        <v>ON Semiconductor</v>
      </c>
      <c r="C39197" s="6">
        <v>53427</v>
      </c>
      <c r="D39197" s="7">
        <v>2.9</v>
      </c>
      <c r="E39197" t="s">
        <v>33</v>
      </c>
    </row>
    <row r="39198" spans="1:5" x14ac:dyDescent="0.25">
      <c r="A39198" t="str">
        <f>HYPERLINK("https://www.773grp.com/globalSearch/LM2594PADJG/page-1", "LM2594PADJG")</f>
        <v>LM2594PADJG</v>
      </c>
      <c r="B39198" s="3" t="str">
        <f>HYPERLINK("https://www.773grp.com/manufacturer/onsemi?pageNo=1254", "ON Semiconductor")</f>
        <v>ON Semiconductor</v>
      </c>
      <c r="C39198" s="6">
        <v>8040</v>
      </c>
      <c r="D39198" s="7">
        <v>2.9</v>
      </c>
      <c r="E39198" t="s">
        <v>7</v>
      </c>
    </row>
    <row r="39199" spans="1:5" x14ac:dyDescent="0.25">
      <c r="A39199" t="str">
        <f>HYPERLINK("https://www.773grp.com/globalSearch/MBR2090CTLFAJ/page-1", "MBR2090CTLFAJ")</f>
        <v>MBR2090CTLFAJ</v>
      </c>
      <c r="B39199" s="3" t="str">
        <f>HYPERLINK("https://www.773grp.com/manufacturer/onsemi?pageNo=1255", "ON Semiconductor")</f>
        <v>ON Semiconductor</v>
      </c>
      <c r="C39199" s="6">
        <v>900</v>
      </c>
      <c r="D39199" s="7">
        <v>2.9</v>
      </c>
    </row>
    <row r="39200" spans="1:5" x14ac:dyDescent="0.25">
      <c r="A39200" t="str">
        <f>HYPERLINK("https://www.773grp.com/globalSearch/MBR2535CTLG/page-1", "MBR2535CTLG")</f>
        <v>MBR2535CTLG</v>
      </c>
      <c r="B39200" s="3" t="str">
        <f>HYPERLINK("https://www.773grp.com/manufacturer/onsemi?pageNo=1256", "ON Semiconductor")</f>
        <v>ON Semiconductor</v>
      </c>
      <c r="C39200" s="6">
        <v>6466</v>
      </c>
      <c r="D39200" s="7">
        <v>2.9</v>
      </c>
      <c r="E39200" t="s">
        <v>103</v>
      </c>
    </row>
    <row r="39201" spans="1:5" x14ac:dyDescent="0.25">
      <c r="A39201" t="str">
        <f>HYPERLINK("https://www.773grp.com/globalSearch/MBRB2545CTG/page-1", "MBRB2545CTG")</f>
        <v>MBRB2545CTG</v>
      </c>
      <c r="B39201" s="3" t="str">
        <f>HYPERLINK("https://www.773grp.com/manufacturer/onsemi?pageNo=1257", "ON Semiconductor")</f>
        <v>ON Semiconductor</v>
      </c>
      <c r="C39201" s="6">
        <v>23055</v>
      </c>
      <c r="D39201" s="7">
        <v>2.9</v>
      </c>
    </row>
    <row r="39202" spans="1:5" x14ac:dyDescent="0.25">
      <c r="A39202" t="str">
        <f>HYPERLINK("https://www.773grp.com/globalSearch/MBRB2545CTT4G/page-1", "MBRB2545CTT4G")</f>
        <v>MBRB2545CTT4G</v>
      </c>
      <c r="B39202" s="3" t="str">
        <f>HYPERLINK("https://www.773grp.com/manufacturer/onsemi?pageNo=1258", "ON Semiconductor")</f>
        <v>ON Semiconductor</v>
      </c>
      <c r="C39202" s="6">
        <v>800</v>
      </c>
      <c r="D39202" s="7">
        <v>2.9</v>
      </c>
    </row>
    <row r="39203" spans="1:5" x14ac:dyDescent="0.25">
      <c r="A39203" t="str">
        <f>HYPERLINK("https://www.773grp.com/globalSearch/MBRF30L45CTG/page-1", "MBRF30L45CTG")</f>
        <v>MBRF30L45CTG</v>
      </c>
      <c r="B39203" s="3" t="str">
        <f>HYPERLINK("https://www.773grp.com/manufacturer/onsemi?pageNo=1259", "ON Semiconductor")</f>
        <v>ON Semiconductor</v>
      </c>
      <c r="C39203" s="6">
        <v>4350</v>
      </c>
      <c r="D39203" s="7">
        <v>2.9</v>
      </c>
    </row>
    <row r="39204" spans="1:5" x14ac:dyDescent="0.25">
      <c r="A39204" t="str">
        <f>HYPERLINK("https://www.773grp.com/globalSearch/MC10H104MR1/page-1", "MC10H104MR1")</f>
        <v>MC10H104MR1</v>
      </c>
      <c r="B39204" s="3" t="str">
        <f>HYPERLINK("https://www.773grp.com/manufacturer/onsemi?pageNo=1260", "ON Semiconductor")</f>
        <v>ON Semiconductor</v>
      </c>
      <c r="C39204" s="6">
        <v>2000</v>
      </c>
      <c r="D39204" s="7">
        <v>2.9</v>
      </c>
      <c r="E39204" t="s">
        <v>31</v>
      </c>
    </row>
    <row r="39205" spans="1:5" x14ac:dyDescent="0.25">
      <c r="A39205" t="str">
        <f>HYPERLINK("https://www.773grp.com/globalSearch/MC14504BD/page-1", "MC14504BD")</f>
        <v>MC14504BD</v>
      </c>
      <c r="B39205" s="3" t="str">
        <f>HYPERLINK("https://www.773grp.com/manufacturer/onsemi?pageNo=1261", "ON Semiconductor")</f>
        <v>ON Semiconductor</v>
      </c>
      <c r="C39205" s="6">
        <v>5712</v>
      </c>
      <c r="D39205" s="7">
        <v>2.9</v>
      </c>
    </row>
    <row r="39206" spans="1:5" x14ac:dyDescent="0.25">
      <c r="A39206" t="str">
        <f>HYPERLINK("https://www.773grp.com/globalSearch/MC14504BDG/page-1", "MC14504BDG")</f>
        <v>MC14504BDG</v>
      </c>
      <c r="B39206" s="3" t="str">
        <f>HYPERLINK("https://www.773grp.com/manufacturer/onsemi?pageNo=1262", "ON Semiconductor")</f>
        <v>ON Semiconductor</v>
      </c>
      <c r="C39206" s="6">
        <v>1024</v>
      </c>
      <c r="D39206" s="7">
        <v>2.9</v>
      </c>
    </row>
    <row r="39207" spans="1:5" x14ac:dyDescent="0.25">
      <c r="A39207" t="str">
        <f>HYPERLINK("https://www.773grp.com/globalSearch/MC14504BDR2G/page-1", "MC14504BDR2G")</f>
        <v>MC14504BDR2G</v>
      </c>
      <c r="B39207" s="3" t="str">
        <f>HYPERLINK("https://www.773grp.com/manufacturer/onsemi?pageNo=1263", "ON Semiconductor")</f>
        <v>ON Semiconductor</v>
      </c>
      <c r="C39207" s="6">
        <v>48572</v>
      </c>
      <c r="D39207" s="7">
        <v>2.9</v>
      </c>
      <c r="E39207" t="s">
        <v>73</v>
      </c>
    </row>
    <row r="39208" spans="1:5" x14ac:dyDescent="0.25">
      <c r="A39208" t="str">
        <f>HYPERLINK("https://www.773grp.com/globalSearch/MC14504BF/page-1", "MC14504BF")</f>
        <v>MC14504BF</v>
      </c>
      <c r="B39208" s="3" t="str">
        <f>HYPERLINK("https://www.773grp.com/manufacturer/onsemi?pageNo=1264", "ON Semiconductor")</f>
        <v>ON Semiconductor</v>
      </c>
      <c r="C39208" s="6">
        <v>512</v>
      </c>
      <c r="D39208" s="7">
        <v>2.9</v>
      </c>
      <c r="E39208" t="s">
        <v>73</v>
      </c>
    </row>
    <row r="39209" spans="1:5" x14ac:dyDescent="0.25">
      <c r="A39209" t="str">
        <f>HYPERLINK("https://www.773grp.com/globalSearch/MC14504BFG/page-1", "MC14504BFG")</f>
        <v>MC14504BFG</v>
      </c>
      <c r="B39209" s="3" t="str">
        <f>HYPERLINK("https://www.773grp.com/manufacturer/onsemi?pageNo=1265", "ON Semiconductor")</f>
        <v>ON Semiconductor</v>
      </c>
      <c r="C39209" s="6">
        <v>3700</v>
      </c>
      <c r="D39209" s="7">
        <v>2.9</v>
      </c>
      <c r="E39209" t="s">
        <v>73</v>
      </c>
    </row>
    <row r="39210" spans="1:5" x14ac:dyDescent="0.25">
      <c r="A39210" t="str">
        <f>HYPERLINK("https://www.773grp.com/globalSearch/MC14559BCP/page-1", "MC14559BCP")</f>
        <v>MC14559BCP</v>
      </c>
      <c r="B39210" s="3" t="str">
        <f>HYPERLINK("https://www.773grp.com/manufacturer/onsemi?pageNo=1266", "ON Semiconductor")</f>
        <v>ON Semiconductor</v>
      </c>
      <c r="C39210" s="6">
        <v>844</v>
      </c>
      <c r="D39210" s="7">
        <v>2.9</v>
      </c>
      <c r="E39210" t="s">
        <v>83</v>
      </c>
    </row>
    <row r="39211" spans="1:5" x14ac:dyDescent="0.25">
      <c r="A39211" t="str">
        <f>HYPERLINK("https://www.773grp.com/globalSearch/MC33204VDR2G/page-1", "MC33204VDR2G")</f>
        <v>MC33204VDR2G</v>
      </c>
      <c r="B39211" s="3" t="str">
        <f>HYPERLINK("https://www.773grp.com/manufacturer/onsemi?pageNo=1267", "ON Semiconductor")</f>
        <v>ON Semiconductor</v>
      </c>
      <c r="C39211" s="6">
        <v>4964</v>
      </c>
      <c r="D39211" s="7">
        <v>2.9</v>
      </c>
      <c r="E39211" t="s">
        <v>13</v>
      </c>
    </row>
    <row r="39212" spans="1:5" x14ac:dyDescent="0.25">
      <c r="A39212" t="str">
        <f>HYPERLINK("https://www.773grp.com/globalSearch/MC33204VPG/page-1", "MC33204VPG")</f>
        <v>MC33204VPG</v>
      </c>
      <c r="B39212" s="3" t="str">
        <f>HYPERLINK("https://www.773grp.com/manufacturer/onsemi?pageNo=1268", "ON Semiconductor")</f>
        <v>ON Semiconductor</v>
      </c>
      <c r="C39212" s="6">
        <v>2400</v>
      </c>
      <c r="D39212" s="7">
        <v>2.9</v>
      </c>
      <c r="E39212" t="s">
        <v>13</v>
      </c>
    </row>
    <row r="39213" spans="1:5" x14ac:dyDescent="0.25">
      <c r="A39213" t="str">
        <f>HYPERLINK("https://www.773grp.com/globalSearch/MC44608P100/page-1", "MC44608P100")</f>
        <v>MC44608P100</v>
      </c>
      <c r="B39213" s="3" t="str">
        <f>HYPERLINK("https://www.773grp.com/manufacturer/onsemi?pageNo=1269", "ON Semiconductor")</f>
        <v>ON Semiconductor</v>
      </c>
      <c r="C39213" s="6">
        <v>2790</v>
      </c>
      <c r="D39213" s="7">
        <v>2.9</v>
      </c>
      <c r="E39213" t="s">
        <v>7</v>
      </c>
    </row>
    <row r="39214" spans="1:5" x14ac:dyDescent="0.25">
      <c r="A39214" t="str">
        <f>HYPERLINK("https://www.773grp.com/globalSearch/MC74AC259DR2G/page-1", "MC74AC259DR2G")</f>
        <v>MC74AC259DR2G</v>
      </c>
      <c r="B39214" s="3" t="str">
        <f>HYPERLINK("https://www.773grp.com/manufacturer/onsemi?pageNo=1270", "ON Semiconductor")</f>
        <v>ON Semiconductor</v>
      </c>
      <c r="C39214" s="6">
        <v>2400</v>
      </c>
      <c r="D39214" s="7">
        <v>2.9</v>
      </c>
    </row>
    <row r="39215" spans="1:5" x14ac:dyDescent="0.25">
      <c r="A39215" t="str">
        <f>HYPERLINK("https://www.773grp.com/globalSearch/MC74ACT259DG/page-1", "MC74ACT259DG")</f>
        <v>MC74ACT259DG</v>
      </c>
      <c r="B39215" s="3" t="str">
        <f>HYPERLINK("https://www.773grp.com/manufacturer/onsemi?pageNo=1271", "ON Semiconductor")</f>
        <v>ON Semiconductor</v>
      </c>
      <c r="C39215" s="6">
        <v>8774</v>
      </c>
      <c r="D39215" s="7">
        <v>2.9</v>
      </c>
      <c r="E39215" t="s">
        <v>35</v>
      </c>
    </row>
    <row r="39216" spans="1:5" x14ac:dyDescent="0.25">
      <c r="A39216" t="str">
        <f>HYPERLINK("https://www.773grp.com/globalSearch/MC74ACT259DR2G/page-1", "MC74ACT259DR2G")</f>
        <v>MC74ACT259DR2G</v>
      </c>
      <c r="B39216" s="3" t="str">
        <f>HYPERLINK("https://www.773grp.com/manufacturer/onsemi?pageNo=1272", "ON Semiconductor")</f>
        <v>ON Semiconductor</v>
      </c>
      <c r="C39216" s="6">
        <v>2381</v>
      </c>
      <c r="D39216" s="7">
        <v>2.9</v>
      </c>
      <c r="E39216" t="s">
        <v>35</v>
      </c>
    </row>
    <row r="39217" spans="1:5" x14ac:dyDescent="0.25">
      <c r="A39217" t="str">
        <f>HYPERLINK("https://www.773grp.com/globalSearch/MJF6668G/page-1", "MJF6668G")</f>
        <v>MJF6668G</v>
      </c>
      <c r="B39217" s="3" t="str">
        <f>HYPERLINK("https://www.773grp.com/manufacturer/onsemi?pageNo=1273", "ON Semiconductor")</f>
        <v>ON Semiconductor</v>
      </c>
      <c r="C39217" s="6">
        <v>11602</v>
      </c>
      <c r="D39217" s="7">
        <v>2.9</v>
      </c>
      <c r="E39217" t="s">
        <v>59</v>
      </c>
    </row>
    <row r="39218" spans="1:5" x14ac:dyDescent="0.25">
      <c r="A39218" t="str">
        <f>HYPERLINK("https://www.773grp.com/globalSearch/MR2520L/page-1", "MR2520L")</f>
        <v>MR2520L</v>
      </c>
      <c r="B39218" s="3" t="str">
        <f>HYPERLINK("https://www.773grp.com/manufacturer/onsemi?pageNo=1274", "ON Semiconductor")</f>
        <v>ON Semiconductor</v>
      </c>
      <c r="C39218" s="6">
        <v>1150</v>
      </c>
      <c r="D39218" s="7">
        <v>2.9</v>
      </c>
      <c r="E39218" t="s">
        <v>96</v>
      </c>
    </row>
    <row r="39219" spans="1:5" x14ac:dyDescent="0.25">
      <c r="A39219" t="str">
        <f>HYPERLINK("https://www.773grp.com/globalSearch/NB3N551DR2G/page-1", "NB3N551DR2G")</f>
        <v>NB3N551DR2G</v>
      </c>
      <c r="B39219" s="3" t="str">
        <f>HYPERLINK("https://www.773grp.com/manufacturer/onsemi?pageNo=1275", "ON Semiconductor")</f>
        <v>ON Semiconductor</v>
      </c>
      <c r="C39219" s="6">
        <v>1000</v>
      </c>
      <c r="D39219" s="7">
        <v>2.9</v>
      </c>
      <c r="E39219" t="s">
        <v>34</v>
      </c>
    </row>
    <row r="39220" spans="1:5" x14ac:dyDescent="0.25">
      <c r="A39220" t="str">
        <f>HYPERLINK("https://www.773grp.com/globalSearch/NCL30002DR2G/page-1", "NCL30002DR2G")</f>
        <v>NCL30002DR2G</v>
      </c>
      <c r="B39220" s="3" t="str">
        <f>HYPERLINK("https://www.773grp.com/manufacturer/onsemi?pageNo=1276", "ON Semiconductor")</f>
        <v>ON Semiconductor</v>
      </c>
      <c r="C39220" s="6">
        <v>4500</v>
      </c>
      <c r="D39220" s="7">
        <v>2.9</v>
      </c>
    </row>
    <row r="39221" spans="1:5" x14ac:dyDescent="0.25">
      <c r="A39221" t="str">
        <f>HYPERLINK("https://www.773grp.com/globalSearch/NCP1422MNR2G/page-1", "NCP1422MNR2G")</f>
        <v>NCP1422MNR2G</v>
      </c>
      <c r="B39221" s="3" t="str">
        <f>HYPERLINK("https://www.773grp.com/manufacturer/onsemi?pageNo=1277", "ON Semiconductor")</f>
        <v>ON Semiconductor</v>
      </c>
      <c r="C39221" s="6">
        <v>166945</v>
      </c>
      <c r="D39221" s="7">
        <v>2.9</v>
      </c>
      <c r="E39221" t="s">
        <v>7</v>
      </c>
    </row>
    <row r="39222" spans="1:5" x14ac:dyDescent="0.25">
      <c r="A39222" t="str">
        <f>HYPERLINK("https://www.773grp.com/globalSearch/NCP1578MNR2G/page-1", "NCP1578MNR2G")</f>
        <v>NCP1578MNR2G</v>
      </c>
      <c r="B39222" s="3" t="str">
        <f>HYPERLINK("https://www.773grp.com/manufacturer/onsemi?pageNo=1278", "ON Semiconductor")</f>
        <v>ON Semiconductor</v>
      </c>
      <c r="C39222" s="6">
        <v>8239</v>
      </c>
      <c r="D39222" s="7">
        <v>2.9</v>
      </c>
      <c r="E39222" t="s">
        <v>7</v>
      </c>
    </row>
    <row r="39223" spans="1:5" x14ac:dyDescent="0.25">
      <c r="A39223" t="str">
        <f>HYPERLINK("https://www.773grp.com/globalSearch/NCP1653ADR2G/page-1", "NCP1653ADR2G")</f>
        <v>NCP1653ADR2G</v>
      </c>
      <c r="B39223" s="3" t="str">
        <f>HYPERLINK("https://www.773grp.com/manufacturer/onsemi?pageNo=1279", "ON Semiconductor")</f>
        <v>ON Semiconductor</v>
      </c>
      <c r="C39223" s="6">
        <v>37913</v>
      </c>
      <c r="D39223" s="7">
        <v>2.9</v>
      </c>
      <c r="E39223" t="s">
        <v>7</v>
      </c>
    </row>
    <row r="39224" spans="1:5" x14ac:dyDescent="0.25">
      <c r="A39224" t="str">
        <f>HYPERLINK("https://www.773grp.com/globalSearch/NCP1653DR2G/page-1", "NCP1653DR2G")</f>
        <v>NCP1653DR2G</v>
      </c>
      <c r="B39224" s="3" t="str">
        <f>HYPERLINK("https://www.773grp.com/manufacturer/onsemi?pageNo=1280", "ON Semiconductor")</f>
        <v>ON Semiconductor</v>
      </c>
      <c r="C39224" s="6">
        <v>45870</v>
      </c>
      <c r="D39224" s="7">
        <v>2.9</v>
      </c>
      <c r="E39224" t="s">
        <v>7</v>
      </c>
    </row>
    <row r="39225" spans="1:5" x14ac:dyDescent="0.25">
      <c r="A39225" t="str">
        <f>HYPERLINK("https://www.773grp.com/globalSearch/NCP4414DR2/page-1", "NCP4414DR2")</f>
        <v>NCP4414DR2</v>
      </c>
      <c r="B39225" s="3" t="str">
        <f>HYPERLINK("https://www.773grp.com/manufacturer/onsemi?pageNo=1281", "ON Semiconductor")</f>
        <v>ON Semiconductor</v>
      </c>
      <c r="C39225" s="6">
        <v>368</v>
      </c>
      <c r="D39225" s="7">
        <v>2.9</v>
      </c>
      <c r="E39225" t="s">
        <v>16</v>
      </c>
    </row>
    <row r="39226" spans="1:5" x14ac:dyDescent="0.25">
      <c r="A39226" t="str">
        <f>HYPERLINK("https://www.773grp.com/globalSearch/NCP4894DMR2/page-1", "NCP4894DMR2")</f>
        <v>NCP4894DMR2</v>
      </c>
      <c r="B39226" s="3" t="str">
        <f>HYPERLINK("https://www.773grp.com/manufacturer/onsemi?pageNo=1282", "ON Semiconductor")</f>
        <v>ON Semiconductor</v>
      </c>
      <c r="C39226" s="6">
        <v>4000</v>
      </c>
      <c r="D39226" s="7">
        <v>2.9</v>
      </c>
      <c r="E39226" t="s">
        <v>18</v>
      </c>
    </row>
    <row r="39227" spans="1:5" x14ac:dyDescent="0.25">
      <c r="A39227" t="str">
        <f>HYPERLINK("https://www.773grp.com/globalSearch/NCP5210MNR2G/page-1", "NCP5210MNR2G")</f>
        <v>NCP5210MNR2G</v>
      </c>
      <c r="B39227" s="3" t="str">
        <f>HYPERLINK("https://www.773grp.com/manufacturer/onsemi?pageNo=1283", "ON Semiconductor")</f>
        <v>ON Semiconductor</v>
      </c>
      <c r="C39227" s="6">
        <v>235100</v>
      </c>
      <c r="D39227" s="7">
        <v>2.9</v>
      </c>
      <c r="E39227" t="s">
        <v>7</v>
      </c>
    </row>
    <row r="39228" spans="1:5" x14ac:dyDescent="0.25">
      <c r="A39228" t="str">
        <f>HYPERLINK("https://www.773grp.com/globalSearch/NCP5378MNR2G/page-1", "NCP5378MNR2G")</f>
        <v>NCP5378MNR2G</v>
      </c>
      <c r="B39228" s="3" t="str">
        <f>HYPERLINK("https://www.773grp.com/manufacturer/onsemi?pageNo=1284", "ON Semiconductor")</f>
        <v>ON Semiconductor</v>
      </c>
      <c r="C39228" s="6">
        <v>3000</v>
      </c>
      <c r="D39228" s="7">
        <v>2.9</v>
      </c>
    </row>
    <row r="39229" spans="1:5" x14ac:dyDescent="0.25">
      <c r="A39229" t="str">
        <f>HYPERLINK("https://www.773grp.com/globalSearch/NCP5380MNR2G/page-1", "NCP5380MNR2G")</f>
        <v>NCP5380MNR2G</v>
      </c>
      <c r="B39229" s="3" t="str">
        <f>HYPERLINK("https://www.773grp.com/manufacturer/onsemi?pageNo=1285", "ON Semiconductor")</f>
        <v>ON Semiconductor</v>
      </c>
      <c r="C39229" s="6">
        <v>45004</v>
      </c>
      <c r="D39229" s="7">
        <v>2.9</v>
      </c>
      <c r="E39229" t="s">
        <v>7</v>
      </c>
    </row>
    <row r="39230" spans="1:5" x14ac:dyDescent="0.25">
      <c r="A39230" t="str">
        <f>HYPERLINK("https://www.773grp.com/globalSearch/NCP5604AMTR2G/page-1", "NCP5604AMTR2G")</f>
        <v>NCP5604AMTR2G</v>
      </c>
      <c r="B39230" s="3" t="str">
        <f>HYPERLINK("https://www.773grp.com/manufacturer/onsemi?pageNo=1286", "ON Semiconductor")</f>
        <v>ON Semiconductor</v>
      </c>
      <c r="C39230" s="6">
        <v>164387</v>
      </c>
      <c r="D39230" s="7">
        <v>2.9</v>
      </c>
      <c r="E39230" t="s">
        <v>10</v>
      </c>
    </row>
    <row r="39231" spans="1:5" x14ac:dyDescent="0.25">
      <c r="A39231" t="str">
        <f>HYPERLINK("https://www.773grp.com/globalSearch/NCP5604BMTR2G/page-1", "NCP5604BMTR2G")</f>
        <v>NCP5604BMTR2G</v>
      </c>
      <c r="B39231" s="3" t="str">
        <f>HYPERLINK("https://www.773grp.com/manufacturer/onsemi?pageNo=1287", "ON Semiconductor")</f>
        <v>ON Semiconductor</v>
      </c>
      <c r="C39231" s="6">
        <v>404986</v>
      </c>
      <c r="D39231" s="7">
        <v>2.9</v>
      </c>
      <c r="E39231" t="s">
        <v>10</v>
      </c>
    </row>
    <row r="39232" spans="1:5" x14ac:dyDescent="0.25">
      <c r="A39232" t="str">
        <f>HYPERLINK("https://www.773grp.com/globalSearch/NCP5662MN15R2G/page-1", "NCP5662MN15R2G")</f>
        <v>NCP5662MN15R2G</v>
      </c>
      <c r="B39232" s="3" t="str">
        <f>HYPERLINK("https://www.773grp.com/manufacturer/onsemi?pageNo=1288", "ON Semiconductor")</f>
        <v>ON Semiconductor</v>
      </c>
      <c r="C39232" s="6">
        <v>3935</v>
      </c>
      <c r="D39232" s="7">
        <v>2.9</v>
      </c>
      <c r="E39232" t="s">
        <v>19</v>
      </c>
    </row>
    <row r="39233" spans="1:5" x14ac:dyDescent="0.25">
      <c r="A39233" t="str">
        <f>HYPERLINK("https://www.773grp.com/globalSearch/NCP6922CBMTTXG/page-1", "NCP6922CBMTTXG")</f>
        <v>NCP6922CBMTTXG</v>
      </c>
      <c r="B39233" s="3" t="str">
        <f>HYPERLINK("https://www.773grp.com/manufacturer/onsemi?pageNo=1289", "ON Semiconductor")</f>
        <v>ON Semiconductor</v>
      </c>
      <c r="C39233" s="6">
        <v>3000</v>
      </c>
      <c r="D39233" s="7">
        <v>2.9</v>
      </c>
    </row>
    <row r="39234" spans="1:5" x14ac:dyDescent="0.25">
      <c r="A39234" t="str">
        <f>HYPERLINK("https://www.773grp.com/globalSearch/NCP6922CCMTTXG/page-1", "NCP6922CCMTTXG")</f>
        <v>NCP6922CCMTTXG</v>
      </c>
      <c r="B39234" s="3" t="str">
        <f>HYPERLINK("https://www.773grp.com/manufacturer/onsemi?pageNo=1290", "ON Semiconductor")</f>
        <v>ON Semiconductor</v>
      </c>
      <c r="C39234" s="6">
        <v>3000</v>
      </c>
      <c r="D39234" s="7">
        <v>2.9</v>
      </c>
    </row>
    <row r="39235" spans="1:5" x14ac:dyDescent="0.25">
      <c r="A39235" t="str">
        <f>HYPERLINK("https://www.773grp.com/globalSearch/NCP694DSAN08T1G/page-1", "NCP694DSAN08T1G")</f>
        <v>NCP694DSAN08T1G</v>
      </c>
      <c r="B39235" s="3" t="str">
        <f>HYPERLINK("https://www.773grp.com/manufacturer/onsemi?pageNo=1291", "ON Semiconductor")</f>
        <v>ON Semiconductor</v>
      </c>
      <c r="C39235" s="6">
        <v>6000</v>
      </c>
      <c r="D39235" s="7">
        <v>2.9</v>
      </c>
      <c r="E39235" t="s">
        <v>19</v>
      </c>
    </row>
    <row r="39236" spans="1:5" x14ac:dyDescent="0.25">
      <c r="A39236" t="str">
        <f>HYPERLINK("https://www.773grp.com/globalSearch/NCP694DSAN10T1G/page-1", "NCP694DSAN10T1G")</f>
        <v>NCP694DSAN10T1G</v>
      </c>
      <c r="B39236" s="3" t="str">
        <f>HYPERLINK("https://www.773grp.com/manufacturer/onsemi?pageNo=1292", "ON Semiconductor")</f>
        <v>ON Semiconductor</v>
      </c>
      <c r="C39236" s="6">
        <v>6000</v>
      </c>
      <c r="D39236" s="7">
        <v>2.9</v>
      </c>
    </row>
    <row r="39237" spans="1:5" x14ac:dyDescent="0.25">
      <c r="A39237" t="str">
        <f>HYPERLINK("https://www.773grp.com/globalSearch/NCP694DSAN12T1G/page-1", "NCP694DSAN12T1G")</f>
        <v>NCP694DSAN12T1G</v>
      </c>
      <c r="B39237" s="3" t="str">
        <f>HYPERLINK("https://www.773grp.com/manufacturer/onsemi?pageNo=1293", "ON Semiconductor")</f>
        <v>ON Semiconductor</v>
      </c>
      <c r="C39237" s="6">
        <v>9000</v>
      </c>
      <c r="D39237" s="7">
        <v>2.9</v>
      </c>
    </row>
    <row r="39238" spans="1:5" x14ac:dyDescent="0.25">
      <c r="A39238" t="str">
        <f>HYPERLINK("https://www.773grp.com/globalSearch/NCP694DSAN25T1G/page-1", "NCP694DSAN25T1G")</f>
        <v>NCP694DSAN25T1G</v>
      </c>
      <c r="B39238" s="3" t="str">
        <f>HYPERLINK("https://www.773grp.com/manufacturer/onsemi?pageNo=1294", "ON Semiconductor")</f>
        <v>ON Semiconductor</v>
      </c>
      <c r="C39238" s="6">
        <v>6000</v>
      </c>
      <c r="D39238" s="7">
        <v>2.9</v>
      </c>
    </row>
    <row r="39239" spans="1:5" x14ac:dyDescent="0.25">
      <c r="A39239" t="str">
        <f>HYPERLINK("https://www.773grp.com/globalSearch/NCP694DSANADJT1G/page-1", "NCP694DSANADJT1G")</f>
        <v>NCP694DSANADJT1G</v>
      </c>
      <c r="B39239" s="3" t="str">
        <f>HYPERLINK("https://www.773grp.com/manufacturer/onsemi?pageNo=1295", "ON Semiconductor")</f>
        <v>ON Semiconductor</v>
      </c>
      <c r="C39239" s="6">
        <v>900</v>
      </c>
      <c r="D39239" s="7">
        <v>2.9</v>
      </c>
    </row>
    <row r="39240" spans="1:5" x14ac:dyDescent="0.25">
      <c r="A39240" t="str">
        <f>HYPERLINK("https://www.773grp.com/globalSearch/NCP694HSAN08T1G/page-1", "NCP694HSAN08T1G")</f>
        <v>NCP694HSAN08T1G</v>
      </c>
      <c r="B39240" s="3" t="str">
        <f>HYPERLINK("https://www.773grp.com/manufacturer/onsemi?pageNo=1296", "ON Semiconductor")</f>
        <v>ON Semiconductor</v>
      </c>
      <c r="C39240" s="6">
        <v>9000</v>
      </c>
      <c r="D39240" s="7">
        <v>2.9</v>
      </c>
      <c r="E39240" t="s">
        <v>19</v>
      </c>
    </row>
    <row r="39241" spans="1:5" x14ac:dyDescent="0.25">
      <c r="A39241" t="str">
        <f>HYPERLINK("https://www.773grp.com/globalSearch/NCP694HSAN10T1G/page-1", "NCP694HSAN10T1G")</f>
        <v>NCP694HSAN10T1G</v>
      </c>
      <c r="B39241" s="3" t="str">
        <f>HYPERLINK("https://www.773grp.com/manufacturer/onsemi?pageNo=1297", "ON Semiconductor")</f>
        <v>ON Semiconductor</v>
      </c>
      <c r="C39241" s="6">
        <v>12000</v>
      </c>
      <c r="D39241" s="7">
        <v>2.9</v>
      </c>
      <c r="E39241" t="s">
        <v>19</v>
      </c>
    </row>
    <row r="39242" spans="1:5" x14ac:dyDescent="0.25">
      <c r="A39242" t="str">
        <f>HYPERLINK("https://www.773grp.com/globalSearch/NCP694HSAN25T1G/page-1", "NCP694HSAN25T1G")</f>
        <v>NCP694HSAN25T1G</v>
      </c>
      <c r="B39242" s="3" t="str">
        <f>HYPERLINK("https://www.773grp.com/manufacturer/onsemi?pageNo=1298", "ON Semiconductor")</f>
        <v>ON Semiconductor</v>
      </c>
      <c r="C39242" s="6">
        <v>12000</v>
      </c>
      <c r="D39242" s="7">
        <v>2.9</v>
      </c>
      <c r="E39242" t="s">
        <v>19</v>
      </c>
    </row>
    <row r="39243" spans="1:5" x14ac:dyDescent="0.25">
      <c r="A39243" t="str">
        <f>HYPERLINK("https://www.773grp.com/globalSearch/NCV33272ADR2G/page-1", "NCV33272ADR2G")</f>
        <v>NCV33272ADR2G</v>
      </c>
      <c r="B39243" s="3" t="str">
        <f>HYPERLINK("https://www.773grp.com/manufacturer/onsemi?pageNo=1299", "ON Semiconductor")</f>
        <v>ON Semiconductor</v>
      </c>
      <c r="C39243" s="6">
        <v>2500</v>
      </c>
      <c r="D39243" s="7">
        <v>2.9</v>
      </c>
    </row>
    <row r="39244" spans="1:5" x14ac:dyDescent="0.25">
      <c r="A39244" t="str">
        <f>HYPERLINK("https://www.773grp.com/globalSearch/NCV4274ADT33RKG/page-1", "NCV4274ADT33RKG")</f>
        <v>NCV4274ADT33RKG</v>
      </c>
      <c r="B39244" s="3" t="str">
        <f>HYPERLINK("https://www.773grp.com/manufacturer/onsemi?pageNo=1300", "ON Semiconductor")</f>
        <v>ON Semiconductor</v>
      </c>
      <c r="C39244" s="6">
        <v>5617</v>
      </c>
      <c r="D39244" s="7">
        <v>2.9</v>
      </c>
      <c r="E39244" t="s">
        <v>28</v>
      </c>
    </row>
    <row r="39245" spans="1:5" x14ac:dyDescent="0.25">
      <c r="A39245" t="str">
        <f>HYPERLINK("https://www.773grp.com/globalSearch/NCV4274ADT50RKG/page-1", "NCV4274ADT50RKG")</f>
        <v>NCV4274ADT50RKG</v>
      </c>
      <c r="B39245" s="3" t="str">
        <f>HYPERLINK("https://www.773grp.com/manufacturer/onsemi?pageNo=1301", "ON Semiconductor")</f>
        <v>ON Semiconductor</v>
      </c>
      <c r="C39245" s="6">
        <v>2330</v>
      </c>
      <c r="D39245" s="7">
        <v>2.9</v>
      </c>
    </row>
    <row r="39246" spans="1:5" x14ac:dyDescent="0.25">
      <c r="A39246" t="str">
        <f>HYPERLINK("https://www.773grp.com/globalSearch/NCV4299D1R2G/page-1", "NCV4299D1R2G")</f>
        <v>NCV4299D1R2G</v>
      </c>
      <c r="B39246" s="3" t="str">
        <f>HYPERLINK("https://www.773grp.com/manufacturer/onsemi?pageNo=1302", "ON Semiconductor")</f>
        <v>ON Semiconductor</v>
      </c>
      <c r="C39246" s="6">
        <v>12500</v>
      </c>
      <c r="D39246" s="7">
        <v>2.9</v>
      </c>
    </row>
    <row r="39247" spans="1:5" x14ac:dyDescent="0.25">
      <c r="A39247" t="str">
        <f>HYPERLINK("https://www.773grp.com/globalSearch/NCV8506D2T33/page-1", "NCV8506D2T33")</f>
        <v>NCV8506D2T33</v>
      </c>
      <c r="B39247" s="3" t="str">
        <f>HYPERLINK("https://www.773grp.com/manufacturer/onsemi?pageNo=1303", "ON Semiconductor")</f>
        <v>ON Semiconductor</v>
      </c>
      <c r="C39247" s="6">
        <v>1875</v>
      </c>
      <c r="D39247" s="7">
        <v>2.9</v>
      </c>
      <c r="E39247" t="s">
        <v>19</v>
      </c>
    </row>
    <row r="39248" spans="1:5" x14ac:dyDescent="0.25">
      <c r="A39248" t="str">
        <f>HYPERLINK("https://www.773grp.com/globalSearch/NCV8506D2T33R4/page-1", "NCV8506D2T33R4")</f>
        <v>NCV8506D2T33R4</v>
      </c>
      <c r="B39248" s="3" t="str">
        <f>HYPERLINK("https://www.773grp.com/manufacturer/onsemi?pageNo=1304", "ON Semiconductor")</f>
        <v>ON Semiconductor</v>
      </c>
      <c r="C39248" s="6">
        <v>10500</v>
      </c>
      <c r="D39248" s="7">
        <v>2.9</v>
      </c>
      <c r="E39248" t="s">
        <v>19</v>
      </c>
    </row>
    <row r="39249" spans="1:5" x14ac:dyDescent="0.25">
      <c r="A39249" t="str">
        <f>HYPERLINK("https://www.773grp.com/globalSearch/NLAS44599MNG/page-1", "NLAS44599MNG")</f>
        <v>NLAS44599MNG</v>
      </c>
      <c r="B39249" s="3" t="str">
        <f>HYPERLINK("https://www.773grp.com/manufacturer/onsemi?pageNo=1305", "ON Semiconductor")</f>
        <v>ON Semiconductor</v>
      </c>
      <c r="C39249" s="6">
        <v>7107</v>
      </c>
      <c r="D39249" s="7">
        <v>2.9</v>
      </c>
      <c r="E39249" t="s">
        <v>56</v>
      </c>
    </row>
    <row r="39250" spans="1:5" x14ac:dyDescent="0.25">
      <c r="A39250" t="str">
        <f>HYPERLINK("https://www.773grp.com/globalSearch/NLAS44599MNR2G/page-1", "NLAS44599MNR2G")</f>
        <v>NLAS44599MNR2G</v>
      </c>
      <c r="B39250" s="3" t="str">
        <f>HYPERLINK("https://www.773grp.com/manufacturer/onsemi?pageNo=1306", "ON Semiconductor")</f>
        <v>ON Semiconductor</v>
      </c>
      <c r="C39250" s="6">
        <v>43796</v>
      </c>
      <c r="D39250" s="7">
        <v>2.9</v>
      </c>
      <c r="E39250" t="s">
        <v>56</v>
      </c>
    </row>
    <row r="39251" spans="1:5" x14ac:dyDescent="0.25">
      <c r="A39251" t="str">
        <f>HYPERLINK("https://www.773grp.com/globalSearch/NLAS9431MTR2G/page-1", "NLAS9431MTR2G")</f>
        <v>NLAS9431MTR2G</v>
      </c>
      <c r="B39251" s="3" t="str">
        <f>HYPERLINK("https://www.773grp.com/manufacturer/onsemi?pageNo=1307", "ON Semiconductor")</f>
        <v>ON Semiconductor</v>
      </c>
      <c r="C39251" s="6">
        <v>17355</v>
      </c>
      <c r="D39251" s="7">
        <v>2.9</v>
      </c>
      <c r="E39251" t="s">
        <v>56</v>
      </c>
    </row>
    <row r="39252" spans="1:5" x14ac:dyDescent="0.25">
      <c r="A39252" t="str">
        <f>HYPERLINK("https://www.773grp.com/globalSearch/NLAST44599MNG/page-1", "NLAST44599MNG")</f>
        <v>NLAST44599MNG</v>
      </c>
      <c r="B39252" s="3" t="str">
        <f>HYPERLINK("https://www.773grp.com/manufacturer/onsemi?pageNo=1308", "ON Semiconductor")</f>
        <v>ON Semiconductor</v>
      </c>
      <c r="C39252" s="6">
        <v>20286</v>
      </c>
      <c r="D39252" s="7">
        <v>2.9</v>
      </c>
      <c r="E39252" t="s">
        <v>56</v>
      </c>
    </row>
    <row r="39253" spans="1:5" x14ac:dyDescent="0.25">
      <c r="A39253" t="str">
        <f>HYPERLINK("https://www.773grp.com/globalSearch/NLAST44599MNR2G/page-1", "NLAST44599MNR2G")</f>
        <v>NLAST44599MNR2G</v>
      </c>
      <c r="B39253" s="3" t="str">
        <f>HYPERLINK("https://www.773grp.com/manufacturer/onsemi?pageNo=1309", "ON Semiconductor")</f>
        <v>ON Semiconductor</v>
      </c>
      <c r="C39253" s="6">
        <v>25195</v>
      </c>
      <c r="D39253" s="7">
        <v>2.9</v>
      </c>
      <c r="E39253" t="s">
        <v>56</v>
      </c>
    </row>
    <row r="39254" spans="1:5" x14ac:dyDescent="0.25">
      <c r="A39254" t="str">
        <f>HYPERLINK("https://www.773grp.com/globalSearch/NLAST9431MTR2G/page-1", "NLAST9431MTR2G")</f>
        <v>NLAST9431MTR2G</v>
      </c>
      <c r="B39254" s="3" t="str">
        <f>HYPERLINK("https://www.773grp.com/manufacturer/onsemi?pageNo=1310", "ON Semiconductor")</f>
        <v>ON Semiconductor</v>
      </c>
      <c r="C39254" s="6">
        <v>8870</v>
      </c>
      <c r="D39254" s="7">
        <v>2.9</v>
      </c>
      <c r="E39254" t="s">
        <v>56</v>
      </c>
    </row>
    <row r="39255" spans="1:5" x14ac:dyDescent="0.25">
      <c r="A39255" t="str">
        <f>HYPERLINK("https://www.773grp.com/globalSearch/NTD5862N-1G/page-1", "NTD5862N-1G")</f>
        <v>NTD5862N-1G</v>
      </c>
      <c r="B39255" s="3" t="str">
        <f>HYPERLINK("https://www.773grp.com/manufacturer/onsemi?pageNo=1311", "ON Semiconductor")</f>
        <v>ON Semiconductor</v>
      </c>
      <c r="C39255" s="6">
        <v>205</v>
      </c>
      <c r="D39255" s="7">
        <v>2.9</v>
      </c>
    </row>
    <row r="39256" spans="1:5" x14ac:dyDescent="0.25">
      <c r="A39256" t="str">
        <f>HYPERLINK("https://www.773grp.com/globalSearch/NTD5862NT4G/page-1", "NTD5862NT4G")</f>
        <v>NTD5862NT4G</v>
      </c>
      <c r="B39256" s="3" t="str">
        <f>HYPERLINK("https://www.773grp.com/manufacturer/onsemi?pageNo=1312", "ON Semiconductor")</f>
        <v>ON Semiconductor</v>
      </c>
      <c r="C39256" s="6">
        <v>59304</v>
      </c>
      <c r="D39256" s="7">
        <v>2.9</v>
      </c>
    </row>
    <row r="39257" spans="1:5" x14ac:dyDescent="0.25">
      <c r="A39257" t="str">
        <f>HYPERLINK("https://www.773grp.com/globalSearch/NTMFS4833NT1G/page-1", "NTMFS4833NT1G")</f>
        <v>NTMFS4833NT1G</v>
      </c>
      <c r="B39257" s="3" t="str">
        <f>HYPERLINK("https://www.773grp.com/manufacturer/onsemi?pageNo=1313", "ON Semiconductor")</f>
        <v>ON Semiconductor</v>
      </c>
      <c r="C39257" s="6">
        <v>210</v>
      </c>
      <c r="D39257" s="7">
        <v>2.9</v>
      </c>
      <c r="E39257" t="s">
        <v>105</v>
      </c>
    </row>
    <row r="39258" spans="1:5" x14ac:dyDescent="0.25">
      <c r="A39258" t="str">
        <f>HYPERLINK("https://www.773grp.com/globalSearch/NTMFS4897NFT1G/page-1", "NTMFS4897NFT1G")</f>
        <v>NTMFS4897NFT1G</v>
      </c>
      <c r="B39258" s="3" t="str">
        <f>HYPERLINK("https://www.773grp.com/manufacturer/onsemi?pageNo=1314", "ON Semiconductor")</f>
        <v>ON Semiconductor</v>
      </c>
      <c r="C39258" s="6">
        <v>40500</v>
      </c>
      <c r="D39258" s="7">
        <v>2.9</v>
      </c>
      <c r="E39258" t="s">
        <v>105</v>
      </c>
    </row>
    <row r="39259" spans="1:5" x14ac:dyDescent="0.25">
      <c r="A39259" t="str">
        <f>HYPERLINK("https://www.773grp.com/globalSearch/NTMFS4897NFT3G/page-1", "NTMFS4897NFT3G")</f>
        <v>NTMFS4897NFT3G</v>
      </c>
      <c r="B39259" s="3" t="str">
        <f>HYPERLINK("https://www.773grp.com/manufacturer/onsemi?pageNo=1315", "ON Semiconductor")</f>
        <v>ON Semiconductor</v>
      </c>
      <c r="C39259" s="6">
        <v>5000</v>
      </c>
      <c r="D39259" s="7">
        <v>2.9</v>
      </c>
    </row>
    <row r="39260" spans="1:5" x14ac:dyDescent="0.25">
      <c r="A39260" t="str">
        <f>HYPERLINK("https://www.773grp.com/globalSearch/PCS3P7303AG-08CR/page-1", "PCS3P7303AG-08CR")</f>
        <v>PCS3P7303AG-08CR</v>
      </c>
      <c r="B39260" s="3" t="str">
        <f>HYPERLINK("https://www.773grp.com/manufacturer/onsemi?pageNo=1316", "ON Semiconductor")</f>
        <v>ON Semiconductor</v>
      </c>
      <c r="C39260" s="6">
        <v>6000</v>
      </c>
      <c r="D39260" s="7">
        <v>2.9</v>
      </c>
      <c r="E39260" t="s">
        <v>79</v>
      </c>
    </row>
    <row r="39261" spans="1:5" x14ac:dyDescent="0.25">
      <c r="A39261" t="str">
        <f>HYPERLINK("https://www.773grp.com/globalSearch/SA5230N/page-1", "SA5230N")</f>
        <v>SA5230N</v>
      </c>
      <c r="B39261" s="3" t="str">
        <f>HYPERLINK("https://www.773grp.com/manufacturer/onsemi?pageNo=1317", "ON Semiconductor")</f>
        <v>ON Semiconductor</v>
      </c>
      <c r="C39261" s="6">
        <v>1075</v>
      </c>
      <c r="D39261" s="7">
        <v>2.9</v>
      </c>
      <c r="E39261" t="s">
        <v>13</v>
      </c>
    </row>
    <row r="39262" spans="1:5" x14ac:dyDescent="0.25">
      <c r="A39262" t="str">
        <f>HYPERLINK("https://www.773grp.com/globalSearch/SBT80-04J/page-1", "SBT80-04J")</f>
        <v>SBT80-04J</v>
      </c>
      <c r="B39262" s="3" t="str">
        <f>HYPERLINK("https://www.773grp.com/manufacturer/onsemi?pageNo=1318", "ON Semiconductor")</f>
        <v>ON Semiconductor</v>
      </c>
      <c r="C39262" s="6">
        <v>100</v>
      </c>
      <c r="D39262" s="7">
        <v>2.9</v>
      </c>
    </row>
    <row r="39263" spans="1:5" x14ac:dyDescent="0.25">
      <c r="A39263" t="str">
        <f>HYPERLINK("https://www.773grp.com/globalSearch/SE5534NG/page-1", "SE5534NG")</f>
        <v>SE5534NG</v>
      </c>
      <c r="B39263" s="3" t="str">
        <f>HYPERLINK("https://www.773grp.com/manufacturer/onsemi?pageNo=1319", "ON Semiconductor")</f>
        <v>ON Semiconductor</v>
      </c>
      <c r="C39263" s="6">
        <v>350</v>
      </c>
      <c r="D39263" s="7">
        <v>2.9</v>
      </c>
      <c r="E39263" t="s">
        <v>13</v>
      </c>
    </row>
    <row r="39264" spans="1:5" x14ac:dyDescent="0.25">
      <c r="A39264" t="str">
        <f>HYPERLINK("https://www.773grp.com/globalSearch/SN54LS109AJ/page-1", "SN54LS109AJ")</f>
        <v>SN54LS109AJ</v>
      </c>
      <c r="B39264" s="3" t="str">
        <f>HYPERLINK("https://www.773grp.com/manufacturer/onsemi?pageNo=1320", "ON Semiconductor")</f>
        <v>ON Semiconductor</v>
      </c>
      <c r="C39264" s="6">
        <v>1325</v>
      </c>
      <c r="D39264" s="7">
        <v>2.9</v>
      </c>
      <c r="E39264" t="s">
        <v>35</v>
      </c>
    </row>
    <row r="39265" spans="1:5" x14ac:dyDescent="0.25">
      <c r="A39265" t="str">
        <f>HYPERLINK("https://www.773grp.com/globalSearch/SN54LS112AJ/page-1", "SN54LS112AJ")</f>
        <v>SN54LS112AJ</v>
      </c>
      <c r="B39265" s="3" t="str">
        <f>HYPERLINK("https://www.773grp.com/manufacturer/onsemi?pageNo=1321", "ON Semiconductor")</f>
        <v>ON Semiconductor</v>
      </c>
      <c r="C39265" s="6">
        <v>2</v>
      </c>
      <c r="D39265" s="7">
        <v>2.9</v>
      </c>
      <c r="E39265" t="s">
        <v>35</v>
      </c>
    </row>
    <row r="39266" spans="1:5" x14ac:dyDescent="0.25">
      <c r="A39266" t="str">
        <f>HYPERLINK("https://www.773grp.com/globalSearch/SRDA05-4R2/page-1", "SRDA05-4R2")</f>
        <v>SRDA05-4R2</v>
      </c>
      <c r="B39266" s="3" t="str">
        <f>HYPERLINK("https://www.773grp.com/manufacturer/onsemi?pageNo=1322", "ON Semiconductor")</f>
        <v>ON Semiconductor</v>
      </c>
      <c r="C39266" s="6">
        <v>1876</v>
      </c>
      <c r="D39266" s="7">
        <v>2.9</v>
      </c>
      <c r="E39266" t="s">
        <v>96</v>
      </c>
    </row>
    <row r="39267" spans="1:5" x14ac:dyDescent="0.25">
      <c r="A39267" t="str">
        <f>HYPERLINK("https://www.773grp.com/globalSearch/SRDA3.3-4DR2G/page-1", "SRDA3.3-4DR2G")</f>
        <v>SRDA3.3-4DR2G</v>
      </c>
      <c r="B39267" s="3" t="str">
        <f>HYPERLINK("https://www.773grp.com/manufacturer/onsemi?pageNo=1323", "ON Semiconductor")</f>
        <v>ON Semiconductor</v>
      </c>
      <c r="C39267" s="6">
        <v>588</v>
      </c>
      <c r="D39267" s="7">
        <v>2.9</v>
      </c>
    </row>
    <row r="39268" spans="1:5" x14ac:dyDescent="0.25">
      <c r="A39268" t="str">
        <f>HYPERLINK("https://www.773grp.com/globalSearch/TM00143/page-1", "TM00143")</f>
        <v>TM00143</v>
      </c>
      <c r="B39268" s="3" t="str">
        <f>HYPERLINK("https://www.773grp.com/manufacturer/onsemi?pageNo=1324", "ON Semiconductor")</f>
        <v>ON Semiconductor</v>
      </c>
      <c r="C39268" s="6">
        <v>500</v>
      </c>
      <c r="D39268" s="7">
        <v>2.9</v>
      </c>
    </row>
    <row r="39269" spans="1:5" x14ac:dyDescent="0.25">
      <c r="A39269" t="str">
        <f>HYPERLINK("https://www.773grp.com/globalSearch/CAT1161WI-25-GT3/page-1", "CAT1161WI-25-GT3")</f>
        <v>CAT1161WI-25-GT3</v>
      </c>
      <c r="B39269" s="3" t="str">
        <f>HYPERLINK("https://www.773grp.com/manufacturer/onsemi?pageNo=1325", "ON Semiconductor")</f>
        <v>ON Semiconductor</v>
      </c>
      <c r="C39269" s="6">
        <v>5450</v>
      </c>
      <c r="D39269" s="7">
        <v>2.95</v>
      </c>
      <c r="E39269" t="s">
        <v>30</v>
      </c>
    </row>
    <row r="39270" spans="1:5" x14ac:dyDescent="0.25">
      <c r="A39270" t="str">
        <f>HYPERLINK("https://www.773grp.com/globalSearch/CAT1161WI28/page-1", "CAT1161WI28")</f>
        <v>CAT1161WI28</v>
      </c>
      <c r="B39270" s="3" t="str">
        <f>HYPERLINK("https://www.773grp.com/manufacturer/onsemi?pageNo=1326", "ON Semiconductor")</f>
        <v>ON Semiconductor</v>
      </c>
      <c r="C39270" s="6">
        <v>480</v>
      </c>
      <c r="D39270" s="7">
        <v>2.95</v>
      </c>
      <c r="E39270" t="s">
        <v>30</v>
      </c>
    </row>
    <row r="39271" spans="1:5" x14ac:dyDescent="0.25">
      <c r="A39271" t="str">
        <f>HYPERLINK("https://www.773grp.com/globalSearch/CAT1161WI45/page-1", "CAT1161WI45")</f>
        <v>CAT1161WI45</v>
      </c>
      <c r="B39271" s="3" t="str">
        <f>HYPERLINK("https://www.773grp.com/manufacturer/onsemi?pageNo=1327", "ON Semiconductor")</f>
        <v>ON Semiconductor</v>
      </c>
      <c r="C39271" s="6">
        <v>1300</v>
      </c>
      <c r="D39271" s="7">
        <v>2.95</v>
      </c>
      <c r="E39271" t="s">
        <v>30</v>
      </c>
    </row>
    <row r="39272" spans="1:5" x14ac:dyDescent="0.25">
      <c r="A39272" t="str">
        <f>HYPERLINK("https://www.773grp.com/globalSearch/CAT1161WI-45-GT3/page-1", "CAT1161WI-45-GT3")</f>
        <v>CAT1161WI-45-GT3</v>
      </c>
      <c r="B39272" s="3" t="str">
        <f>HYPERLINK("https://www.773grp.com/manufacturer/onsemi?pageNo=1328", "ON Semiconductor")</f>
        <v>ON Semiconductor</v>
      </c>
      <c r="C39272" s="6">
        <v>1000</v>
      </c>
      <c r="D39272" s="7">
        <v>2.95</v>
      </c>
    </row>
    <row r="39273" spans="1:5" x14ac:dyDescent="0.25">
      <c r="A39273" t="str">
        <f>HYPERLINK("https://www.773grp.com/globalSearch/CAT1161WI-45-T3/page-1", "CAT1161WI-45-T3")</f>
        <v>CAT1161WI-45-T3</v>
      </c>
      <c r="B39273" s="3" t="str">
        <f>HYPERLINK("https://www.773grp.com/manufacturer/onsemi?pageNo=1329", "ON Semiconductor")</f>
        <v>ON Semiconductor</v>
      </c>
      <c r="C39273" s="6">
        <v>15000</v>
      </c>
      <c r="D39273" s="7">
        <v>2.95</v>
      </c>
      <c r="E39273" t="s">
        <v>30</v>
      </c>
    </row>
    <row r="39274" spans="1:5" x14ac:dyDescent="0.25">
      <c r="A39274" t="str">
        <f>HYPERLINK("https://www.773grp.com/globalSearch/CAT1162WI28/page-1", "CAT1162WI28")</f>
        <v>CAT1162WI28</v>
      </c>
      <c r="B39274" s="3" t="str">
        <f>HYPERLINK("https://www.773grp.com/manufacturer/onsemi?pageNo=1330", "ON Semiconductor")</f>
        <v>ON Semiconductor</v>
      </c>
      <c r="C39274" s="6">
        <v>800</v>
      </c>
      <c r="D39274" s="7">
        <v>2.95</v>
      </c>
      <c r="E39274" t="s">
        <v>30</v>
      </c>
    </row>
    <row r="39275" spans="1:5" x14ac:dyDescent="0.25">
      <c r="A39275" t="str">
        <f>HYPERLINK("https://www.773grp.com/globalSearch/CAT1162WI-42-G/page-1", "CAT1162WI-42-G")</f>
        <v>CAT1162WI-42-G</v>
      </c>
      <c r="B39275" s="3" t="str">
        <f>HYPERLINK("https://www.773grp.com/manufacturer/onsemi?pageNo=1331", "ON Semiconductor")</f>
        <v>ON Semiconductor</v>
      </c>
      <c r="C39275" s="6">
        <v>2400</v>
      </c>
      <c r="D39275" s="7">
        <v>2.95</v>
      </c>
    </row>
    <row r="39276" spans="1:5" x14ac:dyDescent="0.25">
      <c r="A39276" t="str">
        <f>HYPERLINK("https://www.773grp.com/globalSearch/CAT1163WI30/page-1", "CAT1163WI30")</f>
        <v>CAT1163WI30</v>
      </c>
      <c r="B39276" s="3" t="str">
        <f>HYPERLINK("https://www.773grp.com/manufacturer/onsemi?pageNo=1332", "ON Semiconductor")</f>
        <v>ON Semiconductor</v>
      </c>
      <c r="C39276" s="6">
        <v>1900</v>
      </c>
      <c r="D39276" s="7">
        <v>2.95</v>
      </c>
      <c r="E39276" t="s">
        <v>42</v>
      </c>
    </row>
    <row r="39277" spans="1:5" x14ac:dyDescent="0.25">
      <c r="A39277" t="str">
        <f>HYPERLINK("https://www.773grp.com/globalSearch/CAT1163WI-30-T3/page-1", "CAT1163WI-30-T3")</f>
        <v>CAT1163WI-30-T3</v>
      </c>
      <c r="B39277" s="3" t="str">
        <f>HYPERLINK("https://www.773grp.com/manufacturer/onsemi?pageNo=1333", "ON Semiconductor")</f>
        <v>ON Semiconductor</v>
      </c>
      <c r="C39277" s="6">
        <v>3000</v>
      </c>
      <c r="D39277" s="7">
        <v>2.95</v>
      </c>
    </row>
    <row r="39278" spans="1:5" x14ac:dyDescent="0.25">
      <c r="A39278" t="str">
        <f>HYPERLINK("https://www.773grp.com/globalSearch/CS3843AGD8/page-1", "CS3843AGD8")</f>
        <v>CS3843AGD8</v>
      </c>
      <c r="B39278" s="3" t="str">
        <f>HYPERLINK("https://www.773grp.com/manufacturer/onsemi?pageNo=1334", "ON Semiconductor")</f>
        <v>ON Semiconductor</v>
      </c>
      <c r="C39278" s="6">
        <v>32</v>
      </c>
      <c r="D39278" s="7">
        <v>2.95</v>
      </c>
      <c r="E39278" t="s">
        <v>7</v>
      </c>
    </row>
    <row r="39279" spans="1:5" x14ac:dyDescent="0.25">
      <c r="A39279" t="str">
        <f>HYPERLINK("https://www.773grp.com/globalSearch/CS8361YDWF16/page-1", "CS8361YDWF16")</f>
        <v>CS8361YDWF16</v>
      </c>
      <c r="B39279" s="3" t="str">
        <f>HYPERLINK("https://www.773grp.com/manufacturer/onsemi?pageNo=1335", "ON Semiconductor")</f>
        <v>ON Semiconductor</v>
      </c>
      <c r="C39279" s="6">
        <v>67</v>
      </c>
      <c r="D39279" s="7">
        <v>2.95</v>
      </c>
      <c r="E39279" t="s">
        <v>44</v>
      </c>
    </row>
    <row r="39280" spans="1:5" x14ac:dyDescent="0.25">
      <c r="A39280" t="str">
        <f>HYPERLINK("https://www.773grp.com/globalSearch/IRF730/page-1", "IRF730")</f>
        <v>IRF730</v>
      </c>
      <c r="B39280" s="3" t="str">
        <f>HYPERLINK("https://www.773grp.com/manufacturer/onsemi?pageNo=1336", "ON Semiconductor")</f>
        <v>ON Semiconductor</v>
      </c>
      <c r="C39280" s="6">
        <v>216</v>
      </c>
      <c r="D39280" s="7">
        <v>2.95</v>
      </c>
      <c r="E39280" t="s">
        <v>105</v>
      </c>
    </row>
    <row r="39281" spans="1:5" x14ac:dyDescent="0.25">
      <c r="A39281" t="str">
        <f>HYPERLINK("https://www.773grp.com/globalSearch/L78LR05E-MA-E/page-1", "L78LR05E-MA-E")</f>
        <v>L78LR05E-MA-E</v>
      </c>
      <c r="B39281" s="3" t="str">
        <f>HYPERLINK("https://www.773grp.com/manufacturer/onsemi?pageNo=1337", "ON Semiconductor")</f>
        <v>ON Semiconductor</v>
      </c>
      <c r="C39281" s="6">
        <v>14970</v>
      </c>
      <c r="D39281" s="7">
        <v>2.95</v>
      </c>
    </row>
    <row r="39282" spans="1:5" x14ac:dyDescent="0.25">
      <c r="A39282" t="str">
        <f>HYPERLINK("https://www.773grp.com/globalSearch/LA4814JA-ZE/page-1", "LA4814JA-ZE")</f>
        <v>LA4814JA-ZE</v>
      </c>
      <c r="B39282" s="3" t="str">
        <f>HYPERLINK("https://www.773grp.com/manufacturer/onsemi?pageNo=1338", "ON Semiconductor")</f>
        <v>ON Semiconductor</v>
      </c>
      <c r="C39282" s="6">
        <v>560</v>
      </c>
      <c r="D39282" s="7">
        <v>2.95</v>
      </c>
    </row>
    <row r="39283" spans="1:5" x14ac:dyDescent="0.25">
      <c r="A39283" t="str">
        <f>HYPERLINK("https://www.773grp.com/globalSearch/MC33272ADG/page-1", "MC33272ADG")</f>
        <v>MC33272ADG</v>
      </c>
      <c r="B39283" s="3" t="str">
        <f>HYPERLINK("https://www.773grp.com/manufacturer/onsemi?pageNo=1339", "ON Semiconductor")</f>
        <v>ON Semiconductor</v>
      </c>
      <c r="C39283" s="6">
        <v>4359</v>
      </c>
      <c r="D39283" s="7">
        <v>2.95</v>
      </c>
      <c r="E39283" t="s">
        <v>13</v>
      </c>
    </row>
    <row r="39284" spans="1:5" x14ac:dyDescent="0.25">
      <c r="A39284" t="str">
        <f>HYPERLINK("https://www.773grp.com/globalSearch/MC33272ADR2G/page-1", "MC33272ADR2G")</f>
        <v>MC33272ADR2G</v>
      </c>
      <c r="B39284" s="3" t="str">
        <f>HYPERLINK("https://www.773grp.com/manufacturer/onsemi?pageNo=1340", "ON Semiconductor")</f>
        <v>ON Semiconductor</v>
      </c>
      <c r="C39284" s="6">
        <v>44923</v>
      </c>
      <c r="D39284" s="7">
        <v>2.95</v>
      </c>
      <c r="E39284" t="s">
        <v>13</v>
      </c>
    </row>
    <row r="39285" spans="1:5" x14ac:dyDescent="0.25">
      <c r="A39285" t="str">
        <f>HYPERLINK("https://www.773grp.com/globalSearch/MC33284DR2/page-1", "MC33284DR2")</f>
        <v>MC33284DR2</v>
      </c>
      <c r="B39285" s="3" t="str">
        <f>HYPERLINK("https://www.773grp.com/manufacturer/onsemi?pageNo=1341", "ON Semiconductor")</f>
        <v>ON Semiconductor</v>
      </c>
      <c r="C39285" s="6">
        <v>5034</v>
      </c>
      <c r="D39285" s="7">
        <v>2.95</v>
      </c>
      <c r="E39285" t="s">
        <v>13</v>
      </c>
    </row>
    <row r="39286" spans="1:5" x14ac:dyDescent="0.25">
      <c r="A39286" t="str">
        <f>HYPERLINK("https://www.773grp.com/globalSearch/MC34167TV/page-1", "MC34167TV")</f>
        <v>MC34167TV</v>
      </c>
      <c r="B39286" s="3" t="str">
        <f>HYPERLINK("https://www.773grp.com/manufacturer/onsemi?pageNo=1342", "ON Semiconductor")</f>
        <v>ON Semiconductor</v>
      </c>
      <c r="C39286" s="6">
        <v>1245</v>
      </c>
      <c r="D39286" s="7">
        <v>2.95</v>
      </c>
      <c r="E39286" t="s">
        <v>7</v>
      </c>
    </row>
    <row r="39287" spans="1:5" x14ac:dyDescent="0.25">
      <c r="A39287" t="str">
        <f>HYPERLINK("https://www.773grp.com/globalSearch/MC74AC378D/page-1", "MC74AC378D")</f>
        <v>MC74AC378D</v>
      </c>
      <c r="B39287" s="3" t="str">
        <f>HYPERLINK("https://www.773grp.com/manufacturer/onsemi?pageNo=1343", "ON Semiconductor")</f>
        <v>ON Semiconductor</v>
      </c>
      <c r="C39287" s="6">
        <v>6382</v>
      </c>
      <c r="D39287" s="7">
        <v>2.95</v>
      </c>
      <c r="E39287" t="s">
        <v>35</v>
      </c>
    </row>
    <row r="39288" spans="1:5" x14ac:dyDescent="0.25">
      <c r="A39288" t="str">
        <f>HYPERLINK("https://www.773grp.com/globalSearch/MC74AC378N/page-1", "MC74AC378N")</f>
        <v>MC74AC378N</v>
      </c>
      <c r="B39288" s="3" t="str">
        <f>HYPERLINK("https://www.773grp.com/manufacturer/onsemi?pageNo=1344", "ON Semiconductor")</f>
        <v>ON Semiconductor</v>
      </c>
      <c r="C39288" s="6">
        <v>3175</v>
      </c>
      <c r="D39288" s="7">
        <v>2.95</v>
      </c>
      <c r="E39288" t="s">
        <v>35</v>
      </c>
    </row>
    <row r="39289" spans="1:5" x14ac:dyDescent="0.25">
      <c r="A39289" t="str">
        <f>HYPERLINK("https://www.773grp.com/globalSearch/MC74ACT323M/page-1", "MC74ACT323M")</f>
        <v>MC74ACT323M</v>
      </c>
      <c r="B39289" s="3" t="str">
        <f>HYPERLINK("https://www.773grp.com/manufacturer/onsemi?pageNo=1345", "ON Semiconductor")</f>
        <v>ON Semiconductor</v>
      </c>
      <c r="C39289" s="6">
        <v>1640</v>
      </c>
      <c r="D39289" s="7">
        <v>2.95</v>
      </c>
    </row>
    <row r="39290" spans="1:5" x14ac:dyDescent="0.25">
      <c r="A39290" t="str">
        <f>HYPERLINK("https://www.773grp.com/globalSearch/MC74LCX16240DT/page-1", "MC74LCX16240DT")</f>
        <v>MC74LCX16240DT</v>
      </c>
      <c r="B39290" s="3" t="str">
        <f>HYPERLINK("https://www.773grp.com/manufacturer/onsemi?pageNo=1346", "ON Semiconductor")</f>
        <v>ON Semiconductor</v>
      </c>
      <c r="C39290" s="6">
        <v>5915</v>
      </c>
      <c r="D39290" s="7">
        <v>2.95</v>
      </c>
      <c r="E39290" t="s">
        <v>14</v>
      </c>
    </row>
    <row r="39291" spans="1:5" x14ac:dyDescent="0.25">
      <c r="A39291" t="str">
        <f>HYPERLINK("https://www.773grp.com/globalSearch/MGP4N60E/page-1", "MGP4N60E")</f>
        <v>MGP4N60E</v>
      </c>
      <c r="B39291" s="3" t="str">
        <f>HYPERLINK("https://www.773grp.com/manufacturer/onsemi?pageNo=1347", "ON Semiconductor")</f>
        <v>ON Semiconductor</v>
      </c>
      <c r="C39291" s="6">
        <v>2810</v>
      </c>
      <c r="D39291" s="7">
        <v>2.95</v>
      </c>
      <c r="E39291" t="s">
        <v>115</v>
      </c>
    </row>
    <row r="39292" spans="1:5" x14ac:dyDescent="0.25">
      <c r="A39292" t="str">
        <f>HYPERLINK("https://www.773grp.com/globalSearch/NCP1500DMR2G/page-1", "NCP1500DMR2G")</f>
        <v>NCP1500DMR2G</v>
      </c>
      <c r="B39292" s="3" t="str">
        <f>HYPERLINK("https://www.773grp.com/manufacturer/onsemi?pageNo=1348", "ON Semiconductor")</f>
        <v>ON Semiconductor</v>
      </c>
      <c r="C39292" s="6">
        <v>63890</v>
      </c>
      <c r="D39292" s="7">
        <v>2.95</v>
      </c>
      <c r="E39292" t="s">
        <v>7</v>
      </c>
    </row>
    <row r="39293" spans="1:5" x14ac:dyDescent="0.25">
      <c r="A39293" t="str">
        <f>HYPERLINK("https://www.773grp.com/globalSearch/NCP1501DMR2G/page-1", "NCP1501DMR2G")</f>
        <v>NCP1501DMR2G</v>
      </c>
      <c r="B39293" s="3" t="str">
        <f>HYPERLINK("https://www.773grp.com/manufacturer/onsemi?pageNo=1", "ON Semiconductor")</f>
        <v>ON Semiconductor</v>
      </c>
      <c r="C39293" s="6">
        <v>3975</v>
      </c>
      <c r="D39293" s="7">
        <v>2.95</v>
      </c>
      <c r="E39293" t="s">
        <v>7</v>
      </c>
    </row>
    <row r="39294" spans="1:5" x14ac:dyDescent="0.25">
      <c r="A39294" t="str">
        <f>HYPERLINK("https://www.773grp.com/globalSearch/NCP3218MNR2G/page-1", "NCP3218MNR2G")</f>
        <v>NCP3218MNR2G</v>
      </c>
      <c r="B39294" s="3" t="str">
        <f>HYPERLINK("https://www.773grp.com/manufacturer/onsemi?pageNo=2", "ON Semiconductor")</f>
        <v>ON Semiconductor</v>
      </c>
      <c r="C39294" s="6">
        <v>54745</v>
      </c>
      <c r="D39294" s="7">
        <v>2.95</v>
      </c>
    </row>
    <row r="39295" spans="1:5" x14ac:dyDescent="0.25">
      <c r="A39295" t="str">
        <f>HYPERLINK("https://www.773grp.com/globalSearch/NCP5399FTR2G/page-1", "NCP5399FTR2G")</f>
        <v>NCP5399FTR2G</v>
      </c>
      <c r="B39295" s="3" t="str">
        <f>HYPERLINK("https://www.773grp.com/manufacturer/onsemi?pageNo=3", "ON Semiconductor")</f>
        <v>ON Semiconductor</v>
      </c>
      <c r="C39295" s="6">
        <v>58000</v>
      </c>
      <c r="D39295" s="7">
        <v>2.95</v>
      </c>
    </row>
    <row r="39296" spans="1:5" x14ac:dyDescent="0.25">
      <c r="A39296" t="str">
        <f>HYPERLINK("https://www.773grp.com/globalSearch/NCV7361AD/page-1", "NCV7361AD")</f>
        <v>NCV7361AD</v>
      </c>
      <c r="B39296" s="3" t="str">
        <f>HYPERLINK("https://www.773grp.com/manufacturer/onsemi?pageNo=4", "ON Semiconductor")</f>
        <v>ON Semiconductor</v>
      </c>
      <c r="C39296" s="6">
        <v>1140</v>
      </c>
      <c r="D39296" s="7">
        <v>2.95</v>
      </c>
      <c r="E39296" t="s">
        <v>21</v>
      </c>
    </row>
    <row r="39297" spans="1:5" x14ac:dyDescent="0.25">
      <c r="A39297" t="str">
        <f>HYPERLINK("https://www.773grp.com/globalSearch/NCV8501DADJR2/page-1", "NCV8501DADJR2")</f>
        <v>NCV8501DADJR2</v>
      </c>
      <c r="B39297" s="3" t="str">
        <f>HYPERLINK("https://www.773grp.com/manufacturer/onsemi?pageNo=5", "ON Semiconductor")</f>
        <v>ON Semiconductor</v>
      </c>
      <c r="C39297" s="6">
        <v>2500</v>
      </c>
      <c r="D39297" s="7">
        <v>2.95</v>
      </c>
      <c r="E39297" t="s">
        <v>25</v>
      </c>
    </row>
    <row r="39298" spans="1:5" x14ac:dyDescent="0.25">
      <c r="A39298" t="str">
        <f>HYPERLINK("https://www.773grp.com/globalSearch/NCV8502D100G/page-1", "NCV8502D100G")</f>
        <v>NCV8502D100G</v>
      </c>
      <c r="B39298" s="3" t="str">
        <f>HYPERLINK("https://www.773grp.com/manufacturer/onsemi?pageNo=6", "ON Semiconductor")</f>
        <v>ON Semiconductor</v>
      </c>
      <c r="C39298" s="6">
        <v>135</v>
      </c>
      <c r="D39298" s="7">
        <v>2.95</v>
      </c>
      <c r="E39298" t="s">
        <v>19</v>
      </c>
    </row>
    <row r="39299" spans="1:5" x14ac:dyDescent="0.25">
      <c r="A39299" t="str">
        <f>HYPERLINK("https://www.773grp.com/globalSearch/NCV8502D100R2G/page-1", "NCV8502D100R2G")</f>
        <v>NCV8502D100R2G</v>
      </c>
      <c r="B39299" s="3" t="str">
        <f>HYPERLINK("https://www.773grp.com/manufacturer/onsemi?pageNo=7", "ON Semiconductor")</f>
        <v>ON Semiconductor</v>
      </c>
      <c r="C39299" s="6">
        <v>2500</v>
      </c>
      <c r="D39299" s="7">
        <v>2.95</v>
      </c>
      <c r="E39299" t="s">
        <v>19</v>
      </c>
    </row>
    <row r="39300" spans="1:5" x14ac:dyDescent="0.25">
      <c r="A39300" t="str">
        <f>HYPERLINK("https://www.773grp.com/globalSearch/NCV8502D25G/page-1", "NCV8502D25G")</f>
        <v>NCV8502D25G</v>
      </c>
      <c r="B39300" s="3" t="str">
        <f>HYPERLINK("https://www.773grp.com/manufacturer/onsemi?pageNo=8", "ON Semiconductor")</f>
        <v>ON Semiconductor</v>
      </c>
      <c r="C39300" s="6">
        <v>4302</v>
      </c>
      <c r="D39300" s="7">
        <v>2.95</v>
      </c>
      <c r="E39300" t="s">
        <v>19</v>
      </c>
    </row>
    <row r="39301" spans="1:5" x14ac:dyDescent="0.25">
      <c r="A39301" t="str">
        <f>HYPERLINK("https://www.773grp.com/globalSearch/NCV8502D25R2G/page-1", "NCV8502D25R2G")</f>
        <v>NCV8502D25R2G</v>
      </c>
      <c r="B39301" s="3" t="str">
        <f>HYPERLINK("https://www.773grp.com/manufacturer/onsemi?pageNo=9", "ON Semiconductor")</f>
        <v>ON Semiconductor</v>
      </c>
      <c r="C39301" s="6">
        <v>2500</v>
      </c>
      <c r="D39301" s="7">
        <v>2.95</v>
      </c>
      <c r="E39301" t="s">
        <v>19</v>
      </c>
    </row>
    <row r="39302" spans="1:5" x14ac:dyDescent="0.25">
      <c r="A39302" t="str">
        <f>HYPERLINK("https://www.773grp.com/globalSearch/NCV8502D33R2G/page-1", "NCV8502D33R2G")</f>
        <v>NCV8502D33R2G</v>
      </c>
      <c r="B39302" s="3" t="str">
        <f>HYPERLINK("https://www.773grp.com/manufacturer/onsemi?pageNo=10", "ON Semiconductor")</f>
        <v>ON Semiconductor</v>
      </c>
      <c r="C39302" s="6">
        <v>2500</v>
      </c>
      <c r="D39302" s="7">
        <v>2.95</v>
      </c>
    </row>
    <row r="39303" spans="1:5" x14ac:dyDescent="0.25">
      <c r="A39303" t="str">
        <f>HYPERLINK("https://www.773grp.com/globalSearch/NCV8502D50G/page-1", "NCV8502D50G")</f>
        <v>NCV8502D50G</v>
      </c>
      <c r="B39303" s="3" t="str">
        <f>HYPERLINK("https://www.773grp.com/manufacturer/onsemi?pageNo=11", "ON Semiconductor")</f>
        <v>ON Semiconductor</v>
      </c>
      <c r="C39303" s="6">
        <v>329</v>
      </c>
      <c r="D39303" s="7">
        <v>2.95</v>
      </c>
    </row>
    <row r="39304" spans="1:5" x14ac:dyDescent="0.25">
      <c r="A39304" t="str">
        <f>HYPERLINK("https://www.773grp.com/globalSearch/NCV8502D50R2G/page-1", "NCV8502D50R2G")</f>
        <v>NCV8502D50R2G</v>
      </c>
      <c r="B39304" s="3" t="str">
        <f>HYPERLINK("https://www.773grp.com/manufacturer/onsemi?pageNo=12", "ON Semiconductor")</f>
        <v>ON Semiconductor</v>
      </c>
      <c r="C39304" s="6">
        <v>5609</v>
      </c>
      <c r="D39304" s="7">
        <v>2.95</v>
      </c>
      <c r="E39304" t="s">
        <v>19</v>
      </c>
    </row>
    <row r="39305" spans="1:5" x14ac:dyDescent="0.25">
      <c r="A39305" t="str">
        <f>HYPERLINK("https://www.773grp.com/globalSearch/NCV8502D80G/page-1", "NCV8502D80G")</f>
        <v>NCV8502D80G</v>
      </c>
      <c r="B39305" s="3" t="str">
        <f>HYPERLINK("https://www.773grp.com/manufacturer/onsemi?pageNo=13", "ON Semiconductor")</f>
        <v>ON Semiconductor</v>
      </c>
      <c r="C39305" s="6">
        <v>9321</v>
      </c>
      <c r="D39305" s="7">
        <v>2.95</v>
      </c>
      <c r="E39305" t="s">
        <v>19</v>
      </c>
    </row>
    <row r="39306" spans="1:5" x14ac:dyDescent="0.25">
      <c r="A39306" t="str">
        <f>HYPERLINK("https://www.773grp.com/globalSearch/NCV8502D80R2G/page-1", "NCV8502D80R2G")</f>
        <v>NCV8502D80R2G</v>
      </c>
      <c r="B39306" s="3" t="str">
        <f>HYPERLINK("https://www.773grp.com/manufacturer/onsemi?pageNo=14", "ON Semiconductor")</f>
        <v>ON Semiconductor</v>
      </c>
      <c r="C39306" s="6">
        <v>15000</v>
      </c>
      <c r="D39306" s="7">
        <v>2.95</v>
      </c>
      <c r="E39306" t="s">
        <v>19</v>
      </c>
    </row>
    <row r="39307" spans="1:5" x14ac:dyDescent="0.25">
      <c r="A39307" t="str">
        <f>HYPERLINK("https://www.773grp.com/globalSearch/NCV8505D2T33/page-1", "NCV8505D2T33")</f>
        <v>NCV8505D2T33</v>
      </c>
      <c r="B39307" s="3" t="str">
        <f>HYPERLINK("https://www.773grp.com/manufacturer/onsemi?pageNo=15", "ON Semiconductor")</f>
        <v>ON Semiconductor</v>
      </c>
      <c r="C39307" s="6">
        <v>329</v>
      </c>
      <c r="D39307" s="7">
        <v>2.95</v>
      </c>
      <c r="E39307" t="s">
        <v>19</v>
      </c>
    </row>
    <row r="39308" spans="1:5" x14ac:dyDescent="0.25">
      <c r="A39308" t="str">
        <f>HYPERLINK("https://www.773grp.com/globalSearch/NCV8505D2T50R4/page-1", "NCV8505D2T50R4")</f>
        <v>NCV8505D2T50R4</v>
      </c>
      <c r="B39308" s="3" t="str">
        <f>HYPERLINK("https://www.773grp.com/manufacturer/onsemi?pageNo=16", "ON Semiconductor")</f>
        <v>ON Semiconductor</v>
      </c>
      <c r="C39308" s="6">
        <v>67000</v>
      </c>
      <c r="D39308" s="7">
        <v>2.95</v>
      </c>
      <c r="E39308" t="s">
        <v>19</v>
      </c>
    </row>
    <row r="39309" spans="1:5" x14ac:dyDescent="0.25">
      <c r="A39309" t="str">
        <f>HYPERLINK("https://www.773grp.com/globalSearch/NCV8664ST50T3G/page-1", "NCV8664ST50T3G")</f>
        <v>NCV8664ST50T3G</v>
      </c>
      <c r="B39309" s="3" t="str">
        <f>HYPERLINK("https://www.773grp.com/manufacturer/onsemi?pageNo=17", "ON Semiconductor")</f>
        <v>ON Semiconductor</v>
      </c>
      <c r="C39309" s="6">
        <v>2680</v>
      </c>
      <c r="D39309" s="7">
        <v>2.95</v>
      </c>
    </row>
    <row r="39310" spans="1:5" x14ac:dyDescent="0.25">
      <c r="A39310" t="str">
        <f>HYPERLINK("https://www.773grp.com/globalSearch/NTMFS4923NET1G/page-1", "NTMFS4923NET1G")</f>
        <v>NTMFS4923NET1G</v>
      </c>
      <c r="B39310" s="3" t="str">
        <f>HYPERLINK("https://www.773grp.com/manufacturer/onsemi?pageNo=18", "ON Semiconductor")</f>
        <v>ON Semiconductor</v>
      </c>
      <c r="C39310" s="6">
        <v>1478</v>
      </c>
      <c r="D39310" s="7">
        <v>2.95</v>
      </c>
    </row>
    <row r="39311" spans="1:5" x14ac:dyDescent="0.25">
      <c r="A39311" t="str">
        <f>HYPERLINK("https://www.773grp.com/globalSearch/SBT80-06J/page-1", "SBT80-06J")</f>
        <v>SBT80-06J</v>
      </c>
      <c r="B39311" s="3" t="str">
        <f>HYPERLINK("https://www.773grp.com/manufacturer/onsemi?pageNo=19", "ON Semiconductor")</f>
        <v>ON Semiconductor</v>
      </c>
      <c r="C39311" s="6">
        <v>216</v>
      </c>
      <c r="D39311" s="7">
        <v>2.95</v>
      </c>
    </row>
    <row r="39312" spans="1:5" x14ac:dyDescent="0.25">
      <c r="A39312" t="str">
        <f>HYPERLINK("https://www.773grp.com/globalSearch/SE5534AN/page-1", "SE5534AN")</f>
        <v>SE5534AN</v>
      </c>
      <c r="B39312" s="3" t="str">
        <f>HYPERLINK("https://www.773grp.com/manufacturer/onsemi?pageNo=20", "ON Semiconductor")</f>
        <v>ON Semiconductor</v>
      </c>
      <c r="C39312" s="6">
        <v>1152</v>
      </c>
      <c r="D39312" s="7">
        <v>2.95</v>
      </c>
      <c r="E39312" t="s">
        <v>13</v>
      </c>
    </row>
    <row r="39313" spans="1:5" x14ac:dyDescent="0.25">
      <c r="A39313" t="str">
        <f>HYPERLINK("https://www.773grp.com/globalSearch/SE5534ANG/page-1", "SE5534ANG")</f>
        <v>SE5534ANG</v>
      </c>
      <c r="B39313" s="3" t="str">
        <f>HYPERLINK("https://www.773grp.com/manufacturer/onsemi?pageNo=21", "ON Semiconductor")</f>
        <v>ON Semiconductor</v>
      </c>
      <c r="C39313" s="6">
        <v>367</v>
      </c>
      <c r="D39313" s="7">
        <v>2.95</v>
      </c>
      <c r="E39313" t="s">
        <v>13</v>
      </c>
    </row>
    <row r="39314" spans="1:5" x14ac:dyDescent="0.25">
      <c r="A39314" t="str">
        <f>HYPERLINK("https://www.773grp.com/globalSearch/STP3N50E/page-1", "STP3N50E")</f>
        <v>STP3N50E</v>
      </c>
      <c r="B39314" s="3" t="str">
        <f>HYPERLINK("https://www.773grp.com/manufacturer/onsemi?pageNo=22", "ON Semiconductor")</f>
        <v>ON Semiconductor</v>
      </c>
      <c r="C39314" s="6">
        <v>7200</v>
      </c>
      <c r="D39314" s="7">
        <v>2.95</v>
      </c>
    </row>
    <row r="39315" spans="1:5" x14ac:dyDescent="0.25">
      <c r="A39315" t="str">
        <f>HYPERLINK("https://www.773grp.com/globalSearch/CAT1162LI-30-G/page-1", "CAT1162LI-30-G")</f>
        <v>CAT1162LI-30-G</v>
      </c>
      <c r="B39315" s="3" t="str">
        <f>HYPERLINK("https://www.773grp.com/manufacturer/onsemi?pageNo=23", "ON Semiconductor")</f>
        <v>ON Semiconductor</v>
      </c>
      <c r="C39315" s="6">
        <v>450</v>
      </c>
      <c r="D39315" s="7">
        <v>3</v>
      </c>
      <c r="E39315" t="s">
        <v>30</v>
      </c>
    </row>
    <row r="39316" spans="1:5" x14ac:dyDescent="0.25">
      <c r="A39316" t="str">
        <f>HYPERLINK("https://www.773grp.com/globalSearch/CAT1163LI-42-G/page-1", "CAT1163LI-42-G")</f>
        <v>CAT1163LI-42-G</v>
      </c>
      <c r="B39316" s="3" t="str">
        <f>HYPERLINK("https://www.773grp.com/manufacturer/onsemi?pageNo=24", "ON Semiconductor")</f>
        <v>ON Semiconductor</v>
      </c>
      <c r="C39316" s="6">
        <v>450</v>
      </c>
      <c r="D39316" s="7">
        <v>3</v>
      </c>
      <c r="E39316" t="s">
        <v>42</v>
      </c>
    </row>
    <row r="39317" spans="1:5" x14ac:dyDescent="0.25">
      <c r="A39317" t="str">
        <f>HYPERLINK("https://www.773grp.com/globalSearch/CAT24C512XIT2/page-1", "CAT24C512XIT2")</f>
        <v>CAT24C512XIT2</v>
      </c>
      <c r="B39317" s="3" t="str">
        <f>HYPERLINK("https://www.773grp.com/manufacturer/onsemi?pageNo=25", "ON Semiconductor")</f>
        <v>ON Semiconductor</v>
      </c>
      <c r="C39317" s="6">
        <v>216</v>
      </c>
      <c r="D39317" s="7">
        <v>3</v>
      </c>
    </row>
    <row r="39318" spans="1:5" x14ac:dyDescent="0.25">
      <c r="A39318" t="str">
        <f>HYPERLINK("https://www.773grp.com/globalSearch/CAT24C512XI-T2/page-1", "CAT24C512XI-T2")</f>
        <v>CAT24C512XI-T2</v>
      </c>
      <c r="B39318" s="3" t="str">
        <f>HYPERLINK("https://www.773grp.com/manufacturer/onsemi?pageNo=26", "ON Semiconductor")</f>
        <v>ON Semiconductor</v>
      </c>
      <c r="C39318" s="6">
        <v>14000</v>
      </c>
      <c r="D39318" s="7">
        <v>3</v>
      </c>
    </row>
    <row r="39319" spans="1:5" x14ac:dyDescent="0.25">
      <c r="A39319" t="str">
        <f>HYPERLINK("https://www.773grp.com/globalSearch/CAT705ZI-GT3/page-1", "CAT705ZI-GT3")</f>
        <v>CAT705ZI-GT3</v>
      </c>
      <c r="B39319" s="3" t="str">
        <f>HYPERLINK("https://www.773grp.com/manufacturer/onsemi?pageNo=27", "ON Semiconductor")</f>
        <v>ON Semiconductor</v>
      </c>
      <c r="C39319" s="6">
        <v>27000</v>
      </c>
      <c r="D39319" s="7">
        <v>3</v>
      </c>
    </row>
    <row r="39320" spans="1:5" x14ac:dyDescent="0.25">
      <c r="A39320" t="str">
        <f>HYPERLINK("https://www.773grp.com/globalSearch/CAT706SZI-GT3/page-1", "CAT706SZI-GT3")</f>
        <v>CAT706SZI-GT3</v>
      </c>
      <c r="B39320" s="3" t="str">
        <f>HYPERLINK("https://www.773grp.com/manufacturer/onsemi?pageNo=28", "ON Semiconductor")</f>
        <v>ON Semiconductor</v>
      </c>
      <c r="C39320" s="6">
        <v>6000</v>
      </c>
      <c r="D39320" s="7">
        <v>3</v>
      </c>
      <c r="E39320" t="s">
        <v>30</v>
      </c>
    </row>
    <row r="39321" spans="1:5" x14ac:dyDescent="0.25">
      <c r="A39321" t="str">
        <f>HYPERLINK("https://www.773grp.com/globalSearch/CAT9555YI/page-1", "CAT9555YI")</f>
        <v>CAT9555YI</v>
      </c>
      <c r="B39321" s="3" t="str">
        <f>HYPERLINK("https://www.773grp.com/manufacturer/onsemi?pageNo=29", "ON Semiconductor")</f>
        <v>ON Semiconductor</v>
      </c>
      <c r="C39321" s="6">
        <v>248</v>
      </c>
      <c r="D39321" s="7">
        <v>3</v>
      </c>
    </row>
    <row r="39322" spans="1:5" x14ac:dyDescent="0.25">
      <c r="A39322" t="str">
        <f>HYPERLINK("https://www.773grp.com/globalSearch/CAT9555YI-T2/page-1", "CAT9555YI-T2")</f>
        <v>CAT9555YI-T2</v>
      </c>
      <c r="B39322" s="3" t="str">
        <f>HYPERLINK("https://www.773grp.com/manufacturer/onsemi?pageNo=30", "ON Semiconductor")</f>
        <v>ON Semiconductor</v>
      </c>
      <c r="C39322" s="6">
        <v>64000</v>
      </c>
      <c r="D39322" s="7">
        <v>3</v>
      </c>
    </row>
    <row r="39323" spans="1:5" x14ac:dyDescent="0.25">
      <c r="A39323" t="str">
        <f>HYPERLINK("https://www.773grp.com/globalSearch/LV5980MC-AH/page-1", "LV5980MC-AH")</f>
        <v>LV5980MC-AH</v>
      </c>
      <c r="B39323" s="3" t="str">
        <f>HYPERLINK("https://www.773grp.com/manufacturer/onsemi?pageNo=31", "ON Semiconductor")</f>
        <v>ON Semiconductor</v>
      </c>
      <c r="C39323" s="6">
        <v>2500</v>
      </c>
      <c r="D39323" s="7">
        <v>3</v>
      </c>
    </row>
    <row r="39324" spans="1:5" x14ac:dyDescent="0.25">
      <c r="A39324" t="str">
        <f>HYPERLINK("https://www.773grp.com/globalSearch/MBR2030CTL/page-1", "MBR2030CTL")</f>
        <v>MBR2030CTL</v>
      </c>
      <c r="B39324" s="3" t="str">
        <f>HYPERLINK("https://www.773grp.com/manufacturer/onsemi?pageNo=32", "ON Semiconductor")</f>
        <v>ON Semiconductor</v>
      </c>
      <c r="C39324" s="6">
        <v>50</v>
      </c>
      <c r="D39324" s="7">
        <v>3</v>
      </c>
      <c r="E39324" t="s">
        <v>103</v>
      </c>
    </row>
    <row r="39325" spans="1:5" x14ac:dyDescent="0.25">
      <c r="A39325" t="str">
        <f>HYPERLINK("https://www.773grp.com/globalSearch/MBR30H30CTG/page-1", "MBR30H30CTG")</f>
        <v>MBR30H30CTG</v>
      </c>
      <c r="B39325" s="3" t="str">
        <f>HYPERLINK("https://www.773grp.com/manufacturer/onsemi?pageNo=33", "ON Semiconductor")</f>
        <v>ON Semiconductor</v>
      </c>
      <c r="C39325" s="6">
        <v>691</v>
      </c>
      <c r="D39325" s="7">
        <v>3</v>
      </c>
      <c r="E39325" t="s">
        <v>103</v>
      </c>
    </row>
    <row r="39326" spans="1:5" x14ac:dyDescent="0.25">
      <c r="A39326" t="str">
        <f>HYPERLINK("https://www.773grp.com/globalSearch/MBRB30H30CT-1G/page-1", "MBRB30H30CT-1G")</f>
        <v>MBRB30H30CT-1G</v>
      </c>
      <c r="B39326" s="3" t="str">
        <f>HYPERLINK("https://www.773grp.com/manufacturer/onsemi?pageNo=34", "ON Semiconductor")</f>
        <v>ON Semiconductor</v>
      </c>
      <c r="C39326" s="6">
        <v>12000</v>
      </c>
      <c r="D39326" s="7">
        <v>3</v>
      </c>
      <c r="E39326" t="s">
        <v>103</v>
      </c>
    </row>
    <row r="39327" spans="1:5" x14ac:dyDescent="0.25">
      <c r="A39327" t="str">
        <f>HYPERLINK("https://www.773grp.com/globalSearch/MBRB30H60CT-1G/page-1", "MBRB30H60CT-1G")</f>
        <v>MBRB30H60CT-1G</v>
      </c>
      <c r="B39327" s="3" t="str">
        <f>HYPERLINK("https://www.773grp.com/manufacturer/onsemi?pageNo=35", "ON Semiconductor")</f>
        <v>ON Semiconductor</v>
      </c>
      <c r="C39327" s="6">
        <v>173886</v>
      </c>
      <c r="D39327" s="7">
        <v>3</v>
      </c>
      <c r="E39327" t="s">
        <v>103</v>
      </c>
    </row>
    <row r="39328" spans="1:5" x14ac:dyDescent="0.25">
      <c r="A39328" t="str">
        <f>HYPERLINK("https://www.773grp.com/globalSearch/MC1011OP/page-1", "MC1011OP")</f>
        <v>MC1011OP</v>
      </c>
      <c r="B39328" s="3" t="str">
        <f>HYPERLINK("https://www.773grp.com/manufacturer/onsemi?pageNo=36", "ON Semiconductor")</f>
        <v>ON Semiconductor</v>
      </c>
      <c r="C39328" s="6">
        <v>2994</v>
      </c>
      <c r="D39328" s="7">
        <v>3</v>
      </c>
    </row>
    <row r="39329" spans="1:5" x14ac:dyDescent="0.25">
      <c r="A39329" t="str">
        <f>HYPERLINK("https://www.773grp.com/globalSearch/MC33184P/page-1", "MC33184P")</f>
        <v>MC33184P</v>
      </c>
      <c r="B39329" s="3" t="str">
        <f>HYPERLINK("https://www.773grp.com/manufacturer/onsemi?pageNo=37", "ON Semiconductor")</f>
        <v>ON Semiconductor</v>
      </c>
      <c r="C39329" s="6">
        <v>9</v>
      </c>
      <c r="D39329" s="7">
        <v>3</v>
      </c>
      <c r="E39329" t="s">
        <v>13</v>
      </c>
    </row>
    <row r="39330" spans="1:5" x14ac:dyDescent="0.25">
      <c r="A39330" t="str">
        <f>HYPERLINK("https://www.773grp.com/globalSearch/MC74F259D/page-1", "MC74F259D")</f>
        <v>MC74F259D</v>
      </c>
      <c r="B39330" s="3" t="str">
        <f>HYPERLINK("https://www.773grp.com/manufacturer/onsemi?pageNo=38", "ON Semiconductor")</f>
        <v>ON Semiconductor</v>
      </c>
      <c r="C39330" s="6">
        <v>1552</v>
      </c>
      <c r="D39330" s="7">
        <v>3</v>
      </c>
      <c r="E39330" t="s">
        <v>35</v>
      </c>
    </row>
    <row r="39331" spans="1:5" x14ac:dyDescent="0.25">
      <c r="A39331" t="str">
        <f>HYPERLINK("https://www.773grp.com/globalSearch/MC74F259DW/page-1", "MC74F259DW")</f>
        <v>MC74F259DW</v>
      </c>
      <c r="B39331" s="3" t="str">
        <f>HYPERLINK("https://www.773grp.com/manufacturer/onsemi?pageNo=39", "ON Semiconductor")</f>
        <v>ON Semiconductor</v>
      </c>
      <c r="C39331" s="6">
        <v>23</v>
      </c>
      <c r="D39331" s="7">
        <v>3</v>
      </c>
    </row>
    <row r="39332" spans="1:5" x14ac:dyDescent="0.25">
      <c r="A39332" t="str">
        <f>HYPERLINK("https://www.773grp.com/globalSearch/MSRF860G/page-1", "MSRF860G")</f>
        <v>MSRF860G</v>
      </c>
      <c r="B39332" s="3" t="str">
        <f>HYPERLINK("https://www.773grp.com/manufacturer/onsemi?pageNo=40", "ON Semiconductor")</f>
        <v>ON Semiconductor</v>
      </c>
      <c r="C39332" s="6">
        <v>4470</v>
      </c>
      <c r="D39332" s="7">
        <v>3</v>
      </c>
      <c r="E39332" t="s">
        <v>103</v>
      </c>
    </row>
    <row r="39333" spans="1:5" x14ac:dyDescent="0.25">
      <c r="A39333" t="str">
        <f>HYPERLINK("https://www.773grp.com/globalSearch/MURF860G/page-1", "MURF860G")</f>
        <v>MURF860G</v>
      </c>
      <c r="B39333" s="3" t="str">
        <f>HYPERLINK("https://www.773grp.com/manufacturer/onsemi?pageNo=41", "ON Semiconductor")</f>
        <v>ON Semiconductor</v>
      </c>
      <c r="C39333" s="6">
        <v>148975</v>
      </c>
      <c r="D39333" s="7">
        <v>3</v>
      </c>
      <c r="E39333" t="s">
        <v>103</v>
      </c>
    </row>
    <row r="39334" spans="1:5" x14ac:dyDescent="0.25">
      <c r="A39334" t="str">
        <f>HYPERLINK("https://www.773grp.com/globalSearch/NCP1395ADR2G/page-1", "NCP1395ADR2G")</f>
        <v>NCP1395ADR2G</v>
      </c>
      <c r="B39334" s="3" t="str">
        <f>HYPERLINK("https://www.773grp.com/manufacturer/onsemi?pageNo=42", "ON Semiconductor")</f>
        <v>ON Semiconductor</v>
      </c>
      <c r="C39334" s="6">
        <v>639645</v>
      </c>
      <c r="D39334" s="7">
        <v>3</v>
      </c>
      <c r="E39334" t="s">
        <v>7</v>
      </c>
    </row>
    <row r="39335" spans="1:5" x14ac:dyDescent="0.25">
      <c r="A39335" t="str">
        <f>HYPERLINK("https://www.773grp.com/globalSearch/NCP1395BDR2G/page-1", "NCP1395BDR2G")</f>
        <v>NCP1395BDR2G</v>
      </c>
      <c r="B39335" s="3" t="str">
        <f>HYPERLINK("https://www.773grp.com/manufacturer/onsemi?pageNo=43", "ON Semiconductor")</f>
        <v>ON Semiconductor</v>
      </c>
      <c r="C39335" s="6">
        <v>28889</v>
      </c>
      <c r="D39335" s="7">
        <v>3</v>
      </c>
      <c r="E39335" t="s">
        <v>7</v>
      </c>
    </row>
    <row r="39336" spans="1:5" x14ac:dyDescent="0.25">
      <c r="A39336" t="str">
        <f>HYPERLINK("https://www.773grp.com/globalSearch/NCP4896FCT1G/page-1", "NCP4896FCT1G")</f>
        <v>NCP4896FCT1G</v>
      </c>
      <c r="B39336" s="3" t="str">
        <f>HYPERLINK("https://www.773grp.com/manufacturer/onsemi?pageNo=44", "ON Semiconductor")</f>
        <v>ON Semiconductor</v>
      </c>
      <c r="C39336" s="6">
        <v>1290000</v>
      </c>
      <c r="D39336" s="7">
        <v>3</v>
      </c>
      <c r="E39336" t="s">
        <v>18</v>
      </c>
    </row>
    <row r="39337" spans="1:5" x14ac:dyDescent="0.25">
      <c r="A39337" t="str">
        <f>HYPERLINK("https://www.773grp.com/globalSearch/NCP5662DS12R4G/page-1", "NCP5662DS12R4G")</f>
        <v>NCP5662DS12R4G</v>
      </c>
      <c r="B39337" s="3" t="str">
        <f>HYPERLINK("https://www.773grp.com/manufacturer/onsemi?pageNo=45", "ON Semiconductor")</f>
        <v>ON Semiconductor</v>
      </c>
      <c r="C39337" s="6">
        <v>65878</v>
      </c>
      <c r="D39337" s="7">
        <v>3</v>
      </c>
      <c r="E39337" t="s">
        <v>19</v>
      </c>
    </row>
    <row r="39338" spans="1:5" x14ac:dyDescent="0.25">
      <c r="A39338" t="str">
        <f>HYPERLINK("https://www.773grp.com/globalSearch/NCP5662DS15R4G/page-1", "NCP5662DS15R4G")</f>
        <v>NCP5662DS15R4G</v>
      </c>
      <c r="B39338" s="3" t="str">
        <f>HYPERLINK("https://www.773grp.com/manufacturer/onsemi?pageNo=46", "ON Semiconductor")</f>
        <v>ON Semiconductor</v>
      </c>
      <c r="C39338" s="6">
        <v>40129</v>
      </c>
      <c r="D39338" s="7">
        <v>3</v>
      </c>
      <c r="E39338" t="s">
        <v>19</v>
      </c>
    </row>
    <row r="39339" spans="1:5" x14ac:dyDescent="0.25">
      <c r="A39339" t="str">
        <f>HYPERLINK("https://www.773grp.com/globalSearch/NCP5662DS25R4G/page-1", "NCP5662DS25R4G")</f>
        <v>NCP5662DS25R4G</v>
      </c>
      <c r="B39339" s="3" t="str">
        <f>HYPERLINK("https://www.773grp.com/manufacturer/onsemi?pageNo=47", "ON Semiconductor")</f>
        <v>ON Semiconductor</v>
      </c>
      <c r="C39339" s="6">
        <v>580</v>
      </c>
      <c r="D39339" s="7">
        <v>3</v>
      </c>
      <c r="E39339" t="s">
        <v>19</v>
      </c>
    </row>
    <row r="39340" spans="1:5" x14ac:dyDescent="0.25">
      <c r="A39340" t="str">
        <f>HYPERLINK("https://www.773grp.com/globalSearch/NCP5662DS28R4G/page-1", "NCP5662DS28R4G")</f>
        <v>NCP5662DS28R4G</v>
      </c>
      <c r="B39340" s="3" t="str">
        <f>HYPERLINK("https://www.773grp.com/manufacturer/onsemi?pageNo=48", "ON Semiconductor")</f>
        <v>ON Semiconductor</v>
      </c>
      <c r="C39340" s="6">
        <v>3155</v>
      </c>
      <c r="D39340" s="7">
        <v>3</v>
      </c>
      <c r="E39340" t="s">
        <v>19</v>
      </c>
    </row>
    <row r="39341" spans="1:5" x14ac:dyDescent="0.25">
      <c r="A39341" t="str">
        <f>HYPERLINK("https://www.773grp.com/globalSearch/NCP5662DS30R4G/page-1", "NCP5662DS30R4G")</f>
        <v>NCP5662DS30R4G</v>
      </c>
      <c r="B39341" s="3" t="str">
        <f>HYPERLINK("https://www.773grp.com/manufacturer/onsemi?pageNo=49", "ON Semiconductor")</f>
        <v>ON Semiconductor</v>
      </c>
      <c r="C39341" s="6">
        <v>3190</v>
      </c>
      <c r="D39341" s="7">
        <v>3</v>
      </c>
      <c r="E39341" t="s">
        <v>19</v>
      </c>
    </row>
    <row r="39342" spans="1:5" x14ac:dyDescent="0.25">
      <c r="A39342" t="str">
        <f>HYPERLINK("https://www.773grp.com/globalSearch/NCP5662DS33R/page-1", "NCP5662DS33R")</f>
        <v>NCP5662DS33R</v>
      </c>
      <c r="B39342" s="3" t="str">
        <f>HYPERLINK("https://www.773grp.com/manufacturer/onsemi?pageNo=50", "ON Semiconductor")</f>
        <v>ON Semiconductor</v>
      </c>
      <c r="C39342" s="6">
        <v>7200</v>
      </c>
      <c r="D39342" s="7">
        <v>3</v>
      </c>
    </row>
    <row r="39343" spans="1:5" x14ac:dyDescent="0.25">
      <c r="A39343" t="str">
        <f>HYPERLINK("https://www.773grp.com/globalSearch/NCP5662DS33R4G/page-1", "NCP5662DS33R4G")</f>
        <v>NCP5662DS33R4G</v>
      </c>
      <c r="B39343" s="3" t="str">
        <f>HYPERLINK("https://www.773grp.com/manufacturer/onsemi?pageNo=51", "ON Semiconductor")</f>
        <v>ON Semiconductor</v>
      </c>
      <c r="C39343" s="6">
        <v>531550</v>
      </c>
      <c r="D39343" s="7">
        <v>3</v>
      </c>
      <c r="E39343" t="s">
        <v>19</v>
      </c>
    </row>
    <row r="39344" spans="1:5" x14ac:dyDescent="0.25">
      <c r="A39344" t="str">
        <f>HYPERLINK("https://www.773grp.com/globalSearch/NCP5662DSADJR4G/page-1", "NCP5662DSADJR4G")</f>
        <v>NCP5662DSADJR4G</v>
      </c>
      <c r="B39344" s="3" t="str">
        <f>HYPERLINK("https://www.773grp.com/manufacturer/onsemi?pageNo=52", "ON Semiconductor")</f>
        <v>ON Semiconductor</v>
      </c>
      <c r="C39344" s="6">
        <v>13621</v>
      </c>
      <c r="D39344" s="7">
        <v>3</v>
      </c>
      <c r="E39344" t="s">
        <v>25</v>
      </c>
    </row>
    <row r="39345" spans="1:5" x14ac:dyDescent="0.25">
      <c r="A39345" t="str">
        <f>HYPERLINK("https://www.773grp.com/globalSearch/NCV33039DR2G/page-1", "NCV33039DR2G")</f>
        <v>NCV33039DR2G</v>
      </c>
      <c r="B39345" s="3" t="str">
        <f>HYPERLINK("https://www.773grp.com/manufacturer/onsemi?pageNo=53", "ON Semiconductor")</f>
        <v>ON Semiconductor</v>
      </c>
      <c r="C39345" s="6">
        <v>2090</v>
      </c>
      <c r="D39345" s="7">
        <v>3</v>
      </c>
      <c r="E39345" t="s">
        <v>40</v>
      </c>
    </row>
    <row r="39346" spans="1:5" x14ac:dyDescent="0.25">
      <c r="A39346" t="str">
        <f>HYPERLINK("https://www.773grp.com/globalSearch/NCV4274AST25T3G/page-1", "NCV4274AST25T3G")</f>
        <v>NCV4274AST25T3G</v>
      </c>
      <c r="B39346" s="3" t="str">
        <f>HYPERLINK("https://www.773grp.com/manufacturer/onsemi?pageNo=54", "ON Semiconductor")</f>
        <v>ON Semiconductor</v>
      </c>
      <c r="C39346" s="6">
        <v>10536</v>
      </c>
      <c r="D39346" s="7">
        <v>3</v>
      </c>
      <c r="E39346" t="s">
        <v>28</v>
      </c>
    </row>
    <row r="39347" spans="1:5" x14ac:dyDescent="0.25">
      <c r="A39347" t="str">
        <f>HYPERLINK("https://www.773grp.com/globalSearch/NCV4274AST33T3G/page-1", "NCV4274AST33T3G")</f>
        <v>NCV4274AST33T3G</v>
      </c>
      <c r="B39347" s="3" t="str">
        <f>HYPERLINK("https://www.773grp.com/manufacturer/onsemi?pageNo=55", "ON Semiconductor")</f>
        <v>ON Semiconductor</v>
      </c>
      <c r="C39347" s="6">
        <v>1340</v>
      </c>
      <c r="D39347" s="7">
        <v>3</v>
      </c>
    </row>
    <row r="39348" spans="1:5" x14ac:dyDescent="0.25">
      <c r="A39348" t="str">
        <f>HYPERLINK("https://www.773grp.com/globalSearch/NCV4274ST25T3G/page-1", "NCV4274ST25T3G")</f>
        <v>NCV4274ST25T3G</v>
      </c>
      <c r="B39348" s="3" t="str">
        <f>HYPERLINK("https://www.773grp.com/manufacturer/onsemi?pageNo=56", "ON Semiconductor")</f>
        <v>ON Semiconductor</v>
      </c>
      <c r="C39348" s="6">
        <v>12000</v>
      </c>
      <c r="D39348" s="7">
        <v>3</v>
      </c>
      <c r="E39348" t="s">
        <v>28</v>
      </c>
    </row>
    <row r="39349" spans="1:5" x14ac:dyDescent="0.25">
      <c r="A39349" t="str">
        <f>HYPERLINK("https://www.773grp.com/globalSearch/NCV4274ST33T3G/page-1", "NCV4274ST33T3G")</f>
        <v>NCV4274ST33T3G</v>
      </c>
      <c r="B39349" s="3" t="str">
        <f>HYPERLINK("https://www.773grp.com/manufacturer/onsemi?pageNo=57", "ON Semiconductor")</f>
        <v>ON Semiconductor</v>
      </c>
      <c r="C39349" s="6">
        <v>1967</v>
      </c>
      <c r="D39349" s="7">
        <v>3</v>
      </c>
      <c r="E39349" t="s">
        <v>28</v>
      </c>
    </row>
    <row r="39350" spans="1:5" x14ac:dyDescent="0.25">
      <c r="A39350" t="str">
        <f>HYPERLINK("https://www.773grp.com/globalSearch/NTB45N06T4/page-1", "NTB45N06T4")</f>
        <v>NTB45N06T4</v>
      </c>
      <c r="B39350" s="3" t="str">
        <f>HYPERLINK("https://www.773grp.com/manufacturer/onsemi?pageNo=58", "ON Semiconductor")</f>
        <v>ON Semiconductor</v>
      </c>
      <c r="C39350" s="6">
        <v>1600</v>
      </c>
      <c r="D39350" s="7">
        <v>3</v>
      </c>
      <c r="E39350" t="s">
        <v>105</v>
      </c>
    </row>
    <row r="39351" spans="1:5" x14ac:dyDescent="0.25">
      <c r="A39351" t="str">
        <f>HYPERLINK("https://www.773grp.com/globalSearch/NTB45N06T4G/page-1", "NTB45N06T4G")</f>
        <v>NTB45N06T4G</v>
      </c>
      <c r="B39351" s="3" t="str">
        <f>HYPERLINK("https://www.773grp.com/manufacturer/onsemi?pageNo=59", "ON Semiconductor")</f>
        <v>ON Semiconductor</v>
      </c>
      <c r="C39351" s="6">
        <v>1600</v>
      </c>
      <c r="D39351" s="7">
        <v>3</v>
      </c>
      <c r="E39351" t="s">
        <v>105</v>
      </c>
    </row>
    <row r="39352" spans="1:5" x14ac:dyDescent="0.25">
      <c r="A39352" t="str">
        <f>HYPERLINK("https://www.773grp.com/globalSearch/ADP3198AJCPZ-RL/page-1", "ADP3198AJCPZ-RL")</f>
        <v>ADP3198AJCPZ-RL</v>
      </c>
      <c r="B39352" s="3" t="str">
        <f>HYPERLINK("https://www.773grp.com/manufacturer/onsemi?pageNo=60", "ON Semiconductor")</f>
        <v>ON Semiconductor</v>
      </c>
      <c r="C39352" s="6">
        <v>5000</v>
      </c>
      <c r="D39352" s="7">
        <v>3.05</v>
      </c>
      <c r="E39352" t="s">
        <v>7</v>
      </c>
    </row>
    <row r="39353" spans="1:5" x14ac:dyDescent="0.25">
      <c r="A39353" t="str">
        <f>HYPERLINK("https://www.773grp.com/globalSearch/ADP3212MNR2G/page-1", "ADP3212MNR2G")</f>
        <v>ADP3212MNR2G</v>
      </c>
      <c r="B39353" s="3" t="str">
        <f>HYPERLINK("https://www.773grp.com/manufacturer/onsemi?pageNo=61", "ON Semiconductor")</f>
        <v>ON Semiconductor</v>
      </c>
      <c r="C39353" s="6">
        <v>140800</v>
      </c>
      <c r="D39353" s="7">
        <v>3.05</v>
      </c>
      <c r="E39353" t="s">
        <v>7</v>
      </c>
    </row>
    <row r="39354" spans="1:5" x14ac:dyDescent="0.25">
      <c r="A39354" t="str">
        <f>HYPERLINK("https://www.773grp.com/globalSearch/AMIS41682CANM1RG/page-1", "AMIS41682CANM1RG")</f>
        <v>AMIS41682CANM1RG</v>
      </c>
      <c r="B39354" s="3" t="str">
        <f>HYPERLINK("https://www.773grp.com/manufacturer/onsemi?pageNo=62", "ON Semiconductor")</f>
        <v>ON Semiconductor</v>
      </c>
      <c r="C39354" s="6">
        <v>3000</v>
      </c>
      <c r="D39354" s="7">
        <v>3.05</v>
      </c>
      <c r="E39354" t="s">
        <v>55</v>
      </c>
    </row>
    <row r="39355" spans="1:5" x14ac:dyDescent="0.25">
      <c r="A39355" t="str">
        <f>HYPERLINK("https://www.773grp.com/globalSearch/AMIS41683CANN1G/page-1", "AMIS41683CANN1G")</f>
        <v>AMIS41683CANN1G</v>
      </c>
      <c r="B39355" s="3" t="str">
        <f>HYPERLINK("https://www.773grp.com/manufacturer/onsemi?pageNo=63", "ON Semiconductor")</f>
        <v>ON Semiconductor</v>
      </c>
      <c r="C39355" s="6">
        <v>12</v>
      </c>
      <c r="D39355" s="7">
        <v>3.05</v>
      </c>
      <c r="E39355" t="s">
        <v>55</v>
      </c>
    </row>
    <row r="39356" spans="1:5" x14ac:dyDescent="0.25">
      <c r="A39356" t="str">
        <f>HYPERLINK("https://www.773grp.com/globalSearch/AMIS41683CANN1G/page-1", "AMIS41683CANN1G")</f>
        <v>AMIS41683CANN1G</v>
      </c>
      <c r="B39356" s="3" t="str">
        <f>HYPERLINK("https://www.773grp.com/manufacturer/onsemi?pageNo=64", "ON Semiconductor")</f>
        <v>ON Semiconductor</v>
      </c>
      <c r="C39356" s="6">
        <v>295</v>
      </c>
      <c r="D39356" s="7">
        <v>3.05</v>
      </c>
      <c r="E39356" t="s">
        <v>55</v>
      </c>
    </row>
    <row r="39357" spans="1:5" x14ac:dyDescent="0.25">
      <c r="A39357" t="str">
        <f>HYPERLINK("https://www.773grp.com/globalSearch/CAT4016HV6-T2/page-1", "CAT4016HV6-T2")</f>
        <v>CAT4016HV6-T2</v>
      </c>
      <c r="B39357" s="3" t="str">
        <f>HYPERLINK("https://www.773grp.com/manufacturer/onsemi?pageNo=65", "ON Semiconductor")</f>
        <v>ON Semiconductor</v>
      </c>
      <c r="C39357" s="6">
        <v>10000</v>
      </c>
      <c r="D39357" s="7">
        <v>3.05</v>
      </c>
      <c r="E39357" t="s">
        <v>10</v>
      </c>
    </row>
    <row r="39358" spans="1:5" x14ac:dyDescent="0.25">
      <c r="A39358" t="str">
        <f>HYPERLINK("https://www.773grp.com/globalSearch/CAT4016VSR-T2/page-1", "CAT4016VSR-T2")</f>
        <v>CAT4016VSR-T2</v>
      </c>
      <c r="B39358" s="3" t="str">
        <f>HYPERLINK("https://www.773grp.com/manufacturer/onsemi?pageNo=66", "ON Semiconductor")</f>
        <v>ON Semiconductor</v>
      </c>
      <c r="C39358" s="6">
        <v>18000</v>
      </c>
      <c r="D39358" s="7">
        <v>3.05</v>
      </c>
      <c r="E39358" t="s">
        <v>10</v>
      </c>
    </row>
    <row r="39359" spans="1:5" x14ac:dyDescent="0.25">
      <c r="A39359" t="str">
        <f>HYPERLINK("https://www.773grp.com/globalSearch/CAT4016VS-T2/page-1", "CAT4016VS-T2")</f>
        <v>CAT4016VS-T2</v>
      </c>
      <c r="B39359" s="3" t="str">
        <f>HYPERLINK("https://www.773grp.com/manufacturer/onsemi?pageNo=67", "ON Semiconductor")</f>
        <v>ON Semiconductor</v>
      </c>
      <c r="C39359" s="6">
        <v>6000</v>
      </c>
      <c r="D39359" s="7">
        <v>3.05</v>
      </c>
      <c r="E39359" t="s">
        <v>10</v>
      </c>
    </row>
    <row r="39360" spans="1:5" x14ac:dyDescent="0.25">
      <c r="A39360" t="str">
        <f>HYPERLINK("https://www.773grp.com/globalSearch/CAT4016Y-T2/page-1", "CAT4016Y-T2")</f>
        <v>CAT4016Y-T2</v>
      </c>
      <c r="B39360" s="3" t="str">
        <f>HYPERLINK("https://www.773grp.com/manufacturer/onsemi?pageNo=68", "ON Semiconductor")</f>
        <v>ON Semiconductor</v>
      </c>
      <c r="C39360" s="6">
        <v>35800</v>
      </c>
      <c r="D39360" s="7">
        <v>3.05</v>
      </c>
    </row>
    <row r="39361" spans="1:5" x14ac:dyDescent="0.25">
      <c r="A39361" t="str">
        <f>HYPERLINK("https://www.773grp.com/globalSearch/CS3524AGDWR16/page-1", "CS3524AGDWR16")</f>
        <v>CS3524AGDWR16</v>
      </c>
      <c r="B39361" s="3" t="str">
        <f>HYPERLINK("https://www.773grp.com/manufacturer/onsemi?pageNo=69", "ON Semiconductor")</f>
        <v>ON Semiconductor</v>
      </c>
      <c r="C39361" s="6">
        <v>29000</v>
      </c>
      <c r="D39361" s="7">
        <v>3.05</v>
      </c>
      <c r="E39361" t="s">
        <v>7</v>
      </c>
    </row>
    <row r="39362" spans="1:5" x14ac:dyDescent="0.25">
      <c r="A39362" t="str">
        <f>HYPERLINK("https://www.773grp.com/globalSearch/CS3524AGN16/page-1", "CS3524AGN16")</f>
        <v>CS3524AGN16</v>
      </c>
      <c r="B39362" s="3" t="str">
        <f>HYPERLINK("https://www.773grp.com/manufacturer/onsemi?pageNo=70", "ON Semiconductor")</f>
        <v>ON Semiconductor</v>
      </c>
      <c r="C39362" s="6">
        <v>27748</v>
      </c>
      <c r="D39362" s="7">
        <v>3.05</v>
      </c>
      <c r="E39362" t="s">
        <v>7</v>
      </c>
    </row>
    <row r="39363" spans="1:5" x14ac:dyDescent="0.25">
      <c r="A39363" t="str">
        <f>HYPERLINK("https://www.773grp.com/globalSearch/CS5212GDR14/page-1", "CS5212GDR14")</f>
        <v>CS5212GDR14</v>
      </c>
      <c r="B39363" s="3" t="str">
        <f>HYPERLINK("https://www.773grp.com/manufacturer/onsemi?pageNo=71", "ON Semiconductor")</f>
        <v>ON Semiconductor</v>
      </c>
      <c r="C39363" s="6">
        <v>7933</v>
      </c>
      <c r="D39363" s="7">
        <v>3.05</v>
      </c>
      <c r="E39363" t="s">
        <v>7</v>
      </c>
    </row>
    <row r="39364" spans="1:5" x14ac:dyDescent="0.25">
      <c r="A39364" t="str">
        <f>HYPERLINK("https://www.773grp.com/globalSearch/FW274-TL-E/page-1", "FW274-TL-E")</f>
        <v>FW274-TL-E</v>
      </c>
      <c r="B39364" s="3" t="str">
        <f>HYPERLINK("https://www.773grp.com/manufacturer/onsemi?pageNo=72", "ON Semiconductor")</f>
        <v>ON Semiconductor</v>
      </c>
      <c r="C39364" s="6">
        <v>22000</v>
      </c>
      <c r="D39364" s="7">
        <v>3.05</v>
      </c>
    </row>
    <row r="39365" spans="1:5" x14ac:dyDescent="0.25">
      <c r="A39365" t="str">
        <f>HYPERLINK("https://www.773grp.com/globalSearch/JLC1562BFELG/page-1", "JLC1562BFELG")</f>
        <v>JLC1562BFELG</v>
      </c>
      <c r="B39365" s="3" t="str">
        <f>HYPERLINK("https://www.773grp.com/manufacturer/onsemi?pageNo=73", "ON Semiconductor")</f>
        <v>ON Semiconductor</v>
      </c>
      <c r="C39365" s="6">
        <v>84760</v>
      </c>
      <c r="D39365" s="7">
        <v>3.05</v>
      </c>
      <c r="E39365" t="s">
        <v>90</v>
      </c>
    </row>
    <row r="39366" spans="1:5" x14ac:dyDescent="0.25">
      <c r="A39366" t="str">
        <f>HYPERLINK("https://www.773grp.com/globalSearch/JLC1562BFG/page-1", "JLC1562BFG")</f>
        <v>JLC1562BFG</v>
      </c>
      <c r="B39366" s="3" t="str">
        <f>HYPERLINK("https://www.773grp.com/manufacturer/onsemi?pageNo=74", "ON Semiconductor")</f>
        <v>ON Semiconductor</v>
      </c>
      <c r="C39366" s="6">
        <v>3114</v>
      </c>
      <c r="D39366" s="7">
        <v>3.05</v>
      </c>
      <c r="E39366" t="s">
        <v>90</v>
      </c>
    </row>
    <row r="39367" spans="1:5" x14ac:dyDescent="0.25">
      <c r="A39367" t="str">
        <f>HYPERLINK("https://www.773grp.com/globalSearch/JLC1562BNG/page-1", "JLC1562BNG")</f>
        <v>JLC1562BNG</v>
      </c>
      <c r="B39367" s="3" t="str">
        <f>HYPERLINK("https://www.773grp.com/manufacturer/onsemi?pageNo=75", "ON Semiconductor")</f>
        <v>ON Semiconductor</v>
      </c>
      <c r="C39367" s="6">
        <v>4206</v>
      </c>
      <c r="D39367" s="7">
        <v>3.05</v>
      </c>
      <c r="E39367" t="s">
        <v>90</v>
      </c>
    </row>
    <row r="39368" spans="1:5" x14ac:dyDescent="0.25">
      <c r="A39368" t="str">
        <f>HYPERLINK("https://www.773grp.com/globalSearch/LM2595TVADJG/page-1", "LM2595TVADJG")</f>
        <v>LM2595TVADJG</v>
      </c>
      <c r="B39368" s="3" t="str">
        <f>HYPERLINK("https://www.773grp.com/manufacturer/onsemi?pageNo=76", "ON Semiconductor")</f>
        <v>ON Semiconductor</v>
      </c>
      <c r="C39368" s="6">
        <v>12950</v>
      </c>
      <c r="D39368" s="7">
        <v>3.05</v>
      </c>
      <c r="E39368" t="s">
        <v>7</v>
      </c>
    </row>
    <row r="39369" spans="1:5" x14ac:dyDescent="0.25">
      <c r="A39369" t="str">
        <f>HYPERLINK("https://www.773grp.com/globalSearch/MBR2060CTG/page-1", "MBR2060CTG")</f>
        <v>MBR2060CTG</v>
      </c>
      <c r="B39369" s="3" t="str">
        <f>HYPERLINK("https://www.773grp.com/manufacturer/onsemi?pageNo=77", "ON Semiconductor")</f>
        <v>ON Semiconductor</v>
      </c>
      <c r="C39369" s="6">
        <v>115640</v>
      </c>
      <c r="D39369" s="7">
        <v>3.05</v>
      </c>
      <c r="E39369" t="s">
        <v>103</v>
      </c>
    </row>
    <row r="39370" spans="1:5" x14ac:dyDescent="0.25">
      <c r="A39370" t="str">
        <f>HYPERLINK("https://www.773grp.com/globalSearch/MBR2080CTG/page-1", "MBR2080CTG")</f>
        <v>MBR2080CTG</v>
      </c>
      <c r="B39370" s="3" t="str">
        <f>HYPERLINK("https://www.773grp.com/manufacturer/onsemi?pageNo=78", "ON Semiconductor")</f>
        <v>ON Semiconductor</v>
      </c>
      <c r="C39370" s="6">
        <v>25600</v>
      </c>
      <c r="D39370" s="7">
        <v>3.05</v>
      </c>
      <c r="E39370" t="s">
        <v>103</v>
      </c>
    </row>
    <row r="39371" spans="1:5" x14ac:dyDescent="0.25">
      <c r="A39371" t="str">
        <f>HYPERLINK("https://www.773grp.com/globalSearch/MBR2090CTG/page-1", "MBR2090CTG")</f>
        <v>MBR2090CTG</v>
      </c>
      <c r="B39371" s="3" t="str">
        <f>HYPERLINK("https://www.773grp.com/manufacturer/onsemi?pageNo=79", "ON Semiconductor")</f>
        <v>ON Semiconductor</v>
      </c>
      <c r="C39371" s="6">
        <v>9897</v>
      </c>
      <c r="D39371" s="7">
        <v>3.05</v>
      </c>
      <c r="E39371" t="s">
        <v>103</v>
      </c>
    </row>
    <row r="39372" spans="1:5" x14ac:dyDescent="0.25">
      <c r="A39372" t="str">
        <f>HYPERLINK("https://www.773grp.com/globalSearch/MC10H115MR1/page-1", "MC10H115MR1")</f>
        <v>MC10H115MR1</v>
      </c>
      <c r="B39372" s="3" t="str">
        <f>HYPERLINK("https://www.773grp.com/manufacturer/onsemi?pageNo=80", "ON Semiconductor")</f>
        <v>ON Semiconductor</v>
      </c>
      <c r="C39372" s="6">
        <v>2970</v>
      </c>
      <c r="D39372" s="7">
        <v>3.05</v>
      </c>
      <c r="E39372" t="s">
        <v>21</v>
      </c>
    </row>
    <row r="39373" spans="1:5" x14ac:dyDescent="0.25">
      <c r="A39373" t="str">
        <f>HYPERLINK("https://www.773grp.com/globalSearch/MC14014BCL/page-1", "MC14014BCL")</f>
        <v>MC14014BCL</v>
      </c>
      <c r="B39373" s="3" t="str">
        <f>HYPERLINK("https://www.773grp.com/manufacturer/onsemi?pageNo=81", "ON Semiconductor")</f>
        <v>ON Semiconductor</v>
      </c>
      <c r="C39373" s="6">
        <v>670</v>
      </c>
      <c r="D39373" s="7">
        <v>3.05</v>
      </c>
      <c r="E39373" t="s">
        <v>32</v>
      </c>
    </row>
    <row r="39374" spans="1:5" x14ac:dyDescent="0.25">
      <c r="A39374" t="str">
        <f>HYPERLINK("https://www.773grp.com/globalSearch/MC14504BDTG/page-1", "MC14504BDTG")</f>
        <v>MC14504BDTG</v>
      </c>
      <c r="B39374" s="3" t="str">
        <f>HYPERLINK("https://www.773grp.com/manufacturer/onsemi?pageNo=82", "ON Semiconductor")</f>
        <v>ON Semiconductor</v>
      </c>
      <c r="C39374" s="6">
        <v>1633</v>
      </c>
      <c r="D39374" s="7">
        <v>3.05</v>
      </c>
      <c r="E39374" t="s">
        <v>73</v>
      </c>
    </row>
    <row r="39375" spans="1:5" x14ac:dyDescent="0.25">
      <c r="A39375" t="str">
        <f>HYPERLINK("https://www.773grp.com/globalSearch/MC54HC244AJ/page-1", "MC54HC244AJ")</f>
        <v>MC54HC244AJ</v>
      </c>
      <c r="B39375" s="3" t="str">
        <f>HYPERLINK("https://www.773grp.com/manufacturer/onsemi?pageNo=83", "ON Semiconductor")</f>
        <v>ON Semiconductor</v>
      </c>
      <c r="C39375" s="6">
        <v>9</v>
      </c>
      <c r="D39375" s="7">
        <v>3.05</v>
      </c>
      <c r="E39375" t="s">
        <v>14</v>
      </c>
    </row>
    <row r="39376" spans="1:5" x14ac:dyDescent="0.25">
      <c r="A39376" t="str">
        <f>HYPERLINK("https://www.773grp.com/globalSearch/MC74AC646N/page-1", "MC74AC646N")</f>
        <v>MC74AC646N</v>
      </c>
      <c r="B39376" s="3" t="str">
        <f>HYPERLINK("https://www.773grp.com/manufacturer/onsemi?pageNo=84", "ON Semiconductor")</f>
        <v>ON Semiconductor</v>
      </c>
      <c r="C39376" s="6">
        <v>30</v>
      </c>
      <c r="D39376" s="7">
        <v>3.05</v>
      </c>
      <c r="E39376" t="s">
        <v>14</v>
      </c>
    </row>
    <row r="39377" spans="1:5" x14ac:dyDescent="0.25">
      <c r="A39377" t="str">
        <f>HYPERLINK("https://www.773grp.com/globalSearch/MJF18004G/page-1", "MJF18004G")</f>
        <v>MJF18004G</v>
      </c>
      <c r="B39377" s="3" t="str">
        <f>HYPERLINK("https://www.773grp.com/manufacturer/onsemi?pageNo=85", "ON Semiconductor")</f>
        <v>ON Semiconductor</v>
      </c>
      <c r="C39377" s="6">
        <v>4068</v>
      </c>
      <c r="D39377" s="7">
        <v>3.05</v>
      </c>
    </row>
    <row r="39378" spans="1:5" x14ac:dyDescent="0.25">
      <c r="A39378" t="str">
        <f>HYPERLINK("https://www.773grp.com/globalSearch/MJF44H11G/page-1", "MJF44H11G")</f>
        <v>MJF44H11G</v>
      </c>
      <c r="B39378" s="3" t="str">
        <f>HYPERLINK("https://www.773grp.com/manufacturer/onsemi?pageNo=86", "ON Semiconductor")</f>
        <v>ON Semiconductor</v>
      </c>
      <c r="C39378" s="6">
        <v>500</v>
      </c>
      <c r="D39378" s="7">
        <v>3.05</v>
      </c>
    </row>
    <row r="39379" spans="1:5" x14ac:dyDescent="0.25">
      <c r="A39379" t="str">
        <f>HYPERLINK("https://www.773grp.com/globalSearch/MJF6388G/page-1", "MJF6388G")</f>
        <v>MJF6388G</v>
      </c>
      <c r="B39379" s="3" t="str">
        <f>HYPERLINK("https://www.773grp.com/manufacturer/onsemi?pageNo=87", "ON Semiconductor")</f>
        <v>ON Semiconductor</v>
      </c>
      <c r="C39379" s="6">
        <v>103</v>
      </c>
      <c r="D39379" s="7">
        <v>3.05</v>
      </c>
      <c r="E39379" t="s">
        <v>59</v>
      </c>
    </row>
    <row r="39380" spans="1:5" x14ac:dyDescent="0.25">
      <c r="A39380" t="str">
        <f>HYPERLINK("https://www.773grp.com/globalSearch/MTB15N06V/page-1", "MTB15N06V")</f>
        <v>MTB15N06V</v>
      </c>
      <c r="B39380" s="3" t="str">
        <f>HYPERLINK("https://www.773grp.com/manufacturer/onsemi?pageNo=88", "ON Semiconductor")</f>
        <v>ON Semiconductor</v>
      </c>
      <c r="C39380" s="6">
        <v>1881</v>
      </c>
      <c r="D39380" s="7">
        <v>3.05</v>
      </c>
      <c r="E39380" t="s">
        <v>105</v>
      </c>
    </row>
    <row r="39381" spans="1:5" x14ac:dyDescent="0.25">
      <c r="A39381" t="str">
        <f>HYPERLINK("https://www.773grp.com/globalSearch/NCV33074ADTBR2G/page-1", "NCV33074ADTBR2G")</f>
        <v>NCV33074ADTBR2G</v>
      </c>
      <c r="B39381" s="3" t="str">
        <f>HYPERLINK("https://www.773grp.com/manufacturer/onsemi?pageNo=89", "ON Semiconductor")</f>
        <v>ON Semiconductor</v>
      </c>
      <c r="C39381" s="6">
        <v>35</v>
      </c>
      <c r="D39381" s="7">
        <v>3.05</v>
      </c>
    </row>
    <row r="39382" spans="1:5" x14ac:dyDescent="0.25">
      <c r="A39382" t="str">
        <f>HYPERLINK("https://www.773grp.com/globalSearch/NCV4269DWR2G/page-1", "NCV4269DWR2G")</f>
        <v>NCV4269DWR2G</v>
      </c>
      <c r="B39382" s="3" t="str">
        <f>HYPERLINK("https://www.773grp.com/manufacturer/onsemi?pageNo=90", "ON Semiconductor")</f>
        <v>ON Semiconductor</v>
      </c>
      <c r="C39382" s="6">
        <v>3000</v>
      </c>
      <c r="D39382" s="7">
        <v>3.05</v>
      </c>
      <c r="E39382" t="s">
        <v>19</v>
      </c>
    </row>
    <row r="39383" spans="1:5" x14ac:dyDescent="0.25">
      <c r="A39383" t="str">
        <f>HYPERLINK("https://www.773grp.com/globalSearch/NCV4279D1G/page-1", "NCV4279D1G")</f>
        <v>NCV4279D1G</v>
      </c>
      <c r="B39383" s="3" t="str">
        <f>HYPERLINK("https://www.773grp.com/manufacturer/onsemi?pageNo=91", "ON Semiconductor")</f>
        <v>ON Semiconductor</v>
      </c>
      <c r="C39383" s="6">
        <v>1878</v>
      </c>
      <c r="D39383" s="7">
        <v>3.05</v>
      </c>
      <c r="E39383" t="s">
        <v>19</v>
      </c>
    </row>
    <row r="39384" spans="1:5" x14ac:dyDescent="0.25">
      <c r="A39384" t="str">
        <f>HYPERLINK("https://www.773grp.com/globalSearch/NCV4279D1R2G/page-1", "NCV4279D1R2G")</f>
        <v>NCV4279D1R2G</v>
      </c>
      <c r="B39384" s="3" t="str">
        <f>HYPERLINK("https://www.773grp.com/manufacturer/onsemi?pageNo=92", "ON Semiconductor")</f>
        <v>ON Semiconductor</v>
      </c>
      <c r="C39384" s="6">
        <v>27031</v>
      </c>
      <c r="D39384" s="7">
        <v>3.05</v>
      </c>
      <c r="E39384" t="s">
        <v>19</v>
      </c>
    </row>
    <row r="39385" spans="1:5" x14ac:dyDescent="0.25">
      <c r="A39385" t="str">
        <f>HYPERLINK("https://www.773grp.com/globalSearch/NLSX3373MUTAG/page-1", "NLSX3373MUTAG")</f>
        <v>NLSX3373MUTAG</v>
      </c>
      <c r="B39385" s="3" t="str">
        <f>HYPERLINK("https://www.773grp.com/manufacturer/onsemi?pageNo=93", "ON Semiconductor")</f>
        <v>ON Semiconductor</v>
      </c>
      <c r="C39385" s="6">
        <v>252000</v>
      </c>
      <c r="D39385" s="7">
        <v>3.05</v>
      </c>
      <c r="E39385" t="s">
        <v>14</v>
      </c>
    </row>
    <row r="39386" spans="1:5" x14ac:dyDescent="0.25">
      <c r="A39386" t="str">
        <f>HYPERLINK("https://www.773grp.com/globalSearch/SC65938FN115R2/page-1", "SC65938FN115R2")</f>
        <v>SC65938FN115R2</v>
      </c>
      <c r="B39386" s="3" t="str">
        <f>HYPERLINK("https://www.773grp.com/manufacturer/onsemi?pageNo=94", "ON Semiconductor")</f>
        <v>ON Semiconductor</v>
      </c>
      <c r="C39386" s="6">
        <v>5500</v>
      </c>
      <c r="D39386" s="7">
        <v>3.05</v>
      </c>
    </row>
    <row r="39387" spans="1:5" x14ac:dyDescent="0.25">
      <c r="A39387" t="str">
        <f>HYPERLINK("https://www.773grp.com/globalSearch/SC65938FN116R2/page-1", "SC65938FN116R2")</f>
        <v>SC65938FN116R2</v>
      </c>
      <c r="B39387" s="3" t="str">
        <f>HYPERLINK("https://www.773grp.com/manufacturer/onsemi?pageNo=95", "ON Semiconductor")</f>
        <v>ON Semiconductor</v>
      </c>
      <c r="C39387" s="6">
        <v>15000</v>
      </c>
      <c r="D39387" s="7">
        <v>3.05</v>
      </c>
    </row>
    <row r="39388" spans="1:5" x14ac:dyDescent="0.25">
      <c r="A39388" t="str">
        <f>HYPERLINK("https://www.773grp.com/globalSearch/CS3750ENF16/page-1", "CS3750ENF16")</f>
        <v>CS3750ENF16</v>
      </c>
      <c r="B39388" s="3" t="str">
        <f>HYPERLINK("https://www.773grp.com/manufacturer/onsemi?pageNo=96", "ON Semiconductor")</f>
        <v>ON Semiconductor</v>
      </c>
      <c r="C39388" s="6">
        <v>1150</v>
      </c>
      <c r="D39388" s="7">
        <v>2.81</v>
      </c>
      <c r="E39388" t="s">
        <v>11</v>
      </c>
    </row>
    <row r="39389" spans="1:5" x14ac:dyDescent="0.25">
      <c r="A39389" t="str">
        <f>HYPERLINK("https://www.773grp.com/globalSearch/CS3972YDW16/page-1", "CS3972YDW16")</f>
        <v>CS3972YDW16</v>
      </c>
      <c r="B39389" s="3" t="str">
        <f>HYPERLINK("https://www.773grp.com/manufacturer/onsemi?pageNo=97", "ON Semiconductor")</f>
        <v>ON Semiconductor</v>
      </c>
      <c r="C39389" s="6">
        <v>3120</v>
      </c>
      <c r="D39389" s="7">
        <v>2.81</v>
      </c>
      <c r="E39389" t="s">
        <v>7</v>
      </c>
    </row>
    <row r="39390" spans="1:5" x14ac:dyDescent="0.25">
      <c r="A39390" t="str">
        <f>HYPERLINK("https://www.773grp.com/globalSearch/CS3972YDWR16/page-1", "CS3972YDWR16")</f>
        <v>CS3972YDWR16</v>
      </c>
      <c r="B39390" s="3" t="str">
        <f>HYPERLINK("https://www.773grp.com/manufacturer/onsemi?pageNo=98", "ON Semiconductor")</f>
        <v>ON Semiconductor</v>
      </c>
      <c r="C39390" s="6">
        <v>3000</v>
      </c>
      <c r="D39390" s="7">
        <v>2.81</v>
      </c>
      <c r="E39390" t="s">
        <v>7</v>
      </c>
    </row>
    <row r="39391" spans="1:5" x14ac:dyDescent="0.25">
      <c r="A39391" t="str">
        <f>HYPERLINK("https://www.773grp.com/globalSearch/CS3972YN8/page-1", "CS3972YN8")</f>
        <v>CS3972YN8</v>
      </c>
      <c r="B39391" s="3" t="str">
        <f>HYPERLINK("https://www.773grp.com/manufacturer/onsemi?pageNo=99", "ON Semiconductor")</f>
        <v>ON Semiconductor</v>
      </c>
      <c r="C39391" s="6">
        <v>185331</v>
      </c>
      <c r="D39391" s="7">
        <v>2.81</v>
      </c>
      <c r="E39391" t="s">
        <v>7</v>
      </c>
    </row>
    <row r="39392" spans="1:5" x14ac:dyDescent="0.25">
      <c r="A39392" t="str">
        <f>HYPERLINK("https://www.773grp.com/globalSearch/CS45073N14/page-1", "CS45073N14")</f>
        <v>CS45073N14</v>
      </c>
      <c r="B39392" s="3" t="str">
        <f>HYPERLINK("https://www.773grp.com/manufacturer/onsemi?pageNo=100", "ON Semiconductor")</f>
        <v>ON Semiconductor</v>
      </c>
      <c r="C39392" s="6">
        <v>85000</v>
      </c>
      <c r="D39392" s="7">
        <v>2.81</v>
      </c>
    </row>
    <row r="39393" spans="1:5" x14ac:dyDescent="0.25">
      <c r="A39393" t="str">
        <f>HYPERLINK("https://www.773grp.com/globalSearch/MBR60H100CTG/page-1", "MBR60H100CTG")</f>
        <v>MBR60H100CTG</v>
      </c>
      <c r="B39393" s="3" t="str">
        <f>HYPERLINK("https://www.773grp.com/manufacturer/onsemi?pageNo=101", "ON Semiconductor")</f>
        <v>ON Semiconductor</v>
      </c>
      <c r="C39393" s="6">
        <v>152044</v>
      </c>
      <c r="D39393" s="7">
        <v>2.81</v>
      </c>
      <c r="E39393" t="s">
        <v>103</v>
      </c>
    </row>
    <row r="39394" spans="1:5" x14ac:dyDescent="0.25">
      <c r="A39394" t="str">
        <f>HYPERLINK("https://www.773grp.com/globalSearch/MC100EL16D/page-1", "MC100EL16D")</f>
        <v>MC100EL16D</v>
      </c>
      <c r="B39394" s="3" t="str">
        <f>HYPERLINK("https://www.773grp.com/manufacturer/onsemi?pageNo=102", "ON Semiconductor")</f>
        <v>ON Semiconductor</v>
      </c>
      <c r="C39394" s="6">
        <v>23724</v>
      </c>
      <c r="D39394" s="7">
        <v>2.81</v>
      </c>
      <c r="E39394" t="s">
        <v>21</v>
      </c>
    </row>
    <row r="39395" spans="1:5" x14ac:dyDescent="0.25">
      <c r="A39395" t="str">
        <f>HYPERLINK("https://www.773grp.com/globalSearch/MC100EL16DR2/page-1", "MC100EL16DR2")</f>
        <v>MC100EL16DR2</v>
      </c>
      <c r="B39395" s="3" t="str">
        <f>HYPERLINK("https://www.773grp.com/manufacturer/onsemi?pageNo=103", "ON Semiconductor")</f>
        <v>ON Semiconductor</v>
      </c>
      <c r="C39395" s="6">
        <v>8930</v>
      </c>
      <c r="D39395" s="7">
        <v>2.81</v>
      </c>
      <c r="E39395" t="s">
        <v>21</v>
      </c>
    </row>
    <row r="39396" spans="1:5" x14ac:dyDescent="0.25">
      <c r="A39396" t="str">
        <f>HYPERLINK("https://www.773grp.com/globalSearch/MC100EL16DTR2/page-1", "MC100EL16DTR2")</f>
        <v>MC100EL16DTR2</v>
      </c>
      <c r="B39396" s="3" t="str">
        <f>HYPERLINK("https://www.773grp.com/manufacturer/onsemi?pageNo=104", "ON Semiconductor")</f>
        <v>ON Semiconductor</v>
      </c>
      <c r="C39396" s="6">
        <v>5000</v>
      </c>
      <c r="D39396" s="7">
        <v>2.81</v>
      </c>
      <c r="E39396" t="s">
        <v>21</v>
      </c>
    </row>
    <row r="39397" spans="1:5" x14ac:dyDescent="0.25">
      <c r="A39397" t="str">
        <f>HYPERLINK("https://www.773grp.com/globalSearch/MC100ELT25DR2G/page-1", "MC100ELT25DR2G")</f>
        <v>MC100ELT25DR2G</v>
      </c>
      <c r="B39397" s="3" t="str">
        <f>HYPERLINK("https://www.773grp.com/manufacturer/onsemi?pageNo=105", "ON Semiconductor")</f>
        <v>ON Semiconductor</v>
      </c>
      <c r="C39397" s="6">
        <v>31500</v>
      </c>
      <c r="D39397" s="7">
        <v>2.81</v>
      </c>
      <c r="E39397" t="s">
        <v>73</v>
      </c>
    </row>
    <row r="39398" spans="1:5" x14ac:dyDescent="0.25">
      <c r="A39398" t="str">
        <f>HYPERLINK("https://www.773grp.com/globalSearch/MC100LVEL16D/page-1", "MC100LVEL16D")</f>
        <v>MC100LVEL16D</v>
      </c>
      <c r="B39398" s="3" t="str">
        <f>HYPERLINK("https://www.773grp.com/manufacturer/onsemi?pageNo=106", "ON Semiconductor")</f>
        <v>ON Semiconductor</v>
      </c>
      <c r="C39398" s="6">
        <v>22823</v>
      </c>
      <c r="D39398" s="7">
        <v>2.81</v>
      </c>
      <c r="E39398" t="s">
        <v>21</v>
      </c>
    </row>
    <row r="39399" spans="1:5" x14ac:dyDescent="0.25">
      <c r="A39399" t="str">
        <f>HYPERLINK("https://www.773grp.com/globalSearch/MC100LVEL16DT/page-1", "MC100LVEL16DT")</f>
        <v>MC100LVEL16DT</v>
      </c>
      <c r="B39399" s="3" t="str">
        <f>HYPERLINK("https://www.773grp.com/manufacturer/onsemi?pageNo=107", "ON Semiconductor")</f>
        <v>ON Semiconductor</v>
      </c>
      <c r="C39399" s="6">
        <v>7683</v>
      </c>
      <c r="D39399" s="7">
        <v>2.81</v>
      </c>
      <c r="E39399" t="s">
        <v>21</v>
      </c>
    </row>
    <row r="39400" spans="1:5" x14ac:dyDescent="0.25">
      <c r="A39400" t="str">
        <f>HYPERLINK("https://www.773grp.com/globalSearch/MC100LVELT23DR2G/page-1", "MC100LVELT23DR2G")</f>
        <v>MC100LVELT23DR2G</v>
      </c>
      <c r="B39400" s="3" t="str">
        <f>HYPERLINK("https://www.773grp.com/manufacturer/onsemi?pageNo=108", "ON Semiconductor")</f>
        <v>ON Semiconductor</v>
      </c>
      <c r="C39400" s="6">
        <v>9400</v>
      </c>
      <c r="D39400" s="7">
        <v>2.81</v>
      </c>
      <c r="E39400" t="s">
        <v>73</v>
      </c>
    </row>
    <row r="39401" spans="1:5" x14ac:dyDescent="0.25">
      <c r="A39401" t="str">
        <f>HYPERLINK("https://www.773grp.com/globalSearch/MC100LVELT23MNRG/page-1", "MC100LVELT23MNRG")</f>
        <v>MC100LVELT23MNRG</v>
      </c>
      <c r="B39401" s="3" t="str">
        <f>HYPERLINK("https://www.773grp.com/manufacturer/onsemi?pageNo=109", "ON Semiconductor")</f>
        <v>ON Semiconductor</v>
      </c>
      <c r="C39401" s="6">
        <v>32850</v>
      </c>
      <c r="D39401" s="7">
        <v>2.81</v>
      </c>
      <c r="E39401" t="s">
        <v>73</v>
      </c>
    </row>
    <row r="39402" spans="1:5" x14ac:dyDescent="0.25">
      <c r="A39402" t="str">
        <f>HYPERLINK("https://www.773grp.com/globalSearch/MC10EL16D/page-1", "MC10EL16D")</f>
        <v>MC10EL16D</v>
      </c>
      <c r="B39402" s="3" t="str">
        <f>HYPERLINK("https://www.773grp.com/manufacturer/onsemi?pageNo=110", "ON Semiconductor")</f>
        <v>ON Semiconductor</v>
      </c>
      <c r="C39402" s="6">
        <v>3631</v>
      </c>
      <c r="D39402" s="7">
        <v>2.81</v>
      </c>
      <c r="E39402" t="s">
        <v>21</v>
      </c>
    </row>
    <row r="39403" spans="1:5" x14ac:dyDescent="0.25">
      <c r="A39403" t="str">
        <f>HYPERLINK("https://www.773grp.com/globalSearch/MC10EL16DT/page-1", "MC10EL16DT")</f>
        <v>MC10EL16DT</v>
      </c>
      <c r="B39403" s="3" t="str">
        <f>HYPERLINK("https://www.773grp.com/manufacturer/onsemi?pageNo=111", "ON Semiconductor")</f>
        <v>ON Semiconductor</v>
      </c>
      <c r="C39403" s="6">
        <v>12705</v>
      </c>
      <c r="D39403" s="7">
        <v>2.81</v>
      </c>
      <c r="E39403" t="s">
        <v>21</v>
      </c>
    </row>
    <row r="39404" spans="1:5" x14ac:dyDescent="0.25">
      <c r="A39404" t="str">
        <f>HYPERLINK("https://www.773grp.com/globalSearch/MC10ELT21DR2G/page-1", "MC10ELT21DR2G")</f>
        <v>MC10ELT21DR2G</v>
      </c>
      <c r="B39404" s="3" t="str">
        <f>HYPERLINK("https://www.773grp.com/manufacturer/onsemi?pageNo=112", "ON Semiconductor")</f>
        <v>ON Semiconductor</v>
      </c>
      <c r="C39404" s="6">
        <v>2500</v>
      </c>
      <c r="D39404" s="7">
        <v>2.81</v>
      </c>
      <c r="E39404" t="s">
        <v>73</v>
      </c>
    </row>
    <row r="39405" spans="1:5" x14ac:dyDescent="0.25">
      <c r="A39405" t="str">
        <f>HYPERLINK("https://www.773grp.com/globalSearch/MC10H100L/page-1", "MC10H100L")</f>
        <v>MC10H100L</v>
      </c>
      <c r="B39405" s="3" t="str">
        <f>HYPERLINK("https://www.773grp.com/manufacturer/onsemi?pageNo=113", "ON Semiconductor")</f>
        <v>ON Semiconductor</v>
      </c>
      <c r="C39405" s="6">
        <v>275</v>
      </c>
      <c r="D39405" s="7">
        <v>2.81</v>
      </c>
      <c r="E39405" t="s">
        <v>31</v>
      </c>
    </row>
    <row r="39406" spans="1:5" x14ac:dyDescent="0.25">
      <c r="A39406" t="str">
        <f>HYPERLINK("https://www.773grp.com/globalSearch/MC10H101L/page-1", "MC10H101L")</f>
        <v>MC10H101L</v>
      </c>
      <c r="B39406" s="3" t="str">
        <f>HYPERLINK("https://www.773grp.com/manufacturer/onsemi?pageNo=114", "ON Semiconductor")</f>
        <v>ON Semiconductor</v>
      </c>
      <c r="C39406" s="6">
        <v>1162</v>
      </c>
      <c r="D39406" s="7">
        <v>2.81</v>
      </c>
      <c r="E39406" t="s">
        <v>31</v>
      </c>
    </row>
    <row r="39407" spans="1:5" x14ac:dyDescent="0.25">
      <c r="A39407" t="str">
        <f>HYPERLINK("https://www.773grp.com/globalSearch/MC10H106L/page-1", "MC10H106L")</f>
        <v>MC10H106L</v>
      </c>
      <c r="B39407" s="3" t="str">
        <f>HYPERLINK("https://www.773grp.com/manufacturer/onsemi?pageNo=115", "ON Semiconductor")</f>
        <v>ON Semiconductor</v>
      </c>
      <c r="C39407" s="6">
        <v>159</v>
      </c>
      <c r="D39407" s="7">
        <v>2.81</v>
      </c>
      <c r="E39407" t="s">
        <v>31</v>
      </c>
    </row>
    <row r="39408" spans="1:5" x14ac:dyDescent="0.25">
      <c r="A39408" t="str">
        <f>HYPERLINK("https://www.773grp.com/globalSearch/MC10H113L/page-1", "MC10H113L")</f>
        <v>MC10H113L</v>
      </c>
      <c r="B39408" s="3" t="str">
        <f>HYPERLINK("https://www.773grp.com/manufacturer/onsemi?pageNo=116", "ON Semiconductor")</f>
        <v>ON Semiconductor</v>
      </c>
      <c r="C39408" s="6">
        <v>625</v>
      </c>
      <c r="D39408" s="7">
        <v>2.81</v>
      </c>
      <c r="E39408" t="s">
        <v>31</v>
      </c>
    </row>
    <row r="39409" spans="1:5" x14ac:dyDescent="0.25">
      <c r="A39409" t="str">
        <f>HYPERLINK("https://www.773grp.com/globalSearch/MC14551BD/page-1", "MC14551BD")</f>
        <v>MC14551BD</v>
      </c>
      <c r="B39409" s="3" t="str">
        <f>HYPERLINK("https://www.773grp.com/manufacturer/onsemi?pageNo=117", "ON Semiconductor")</f>
        <v>ON Semiconductor</v>
      </c>
      <c r="C39409" s="6">
        <v>1502</v>
      </c>
      <c r="D39409" s="7">
        <v>2.81</v>
      </c>
      <c r="E39409" t="s">
        <v>56</v>
      </c>
    </row>
    <row r="39410" spans="1:5" x14ac:dyDescent="0.25">
      <c r="A39410" t="str">
        <f>HYPERLINK("https://www.773grp.com/globalSearch/MC14551BDG/page-1", "MC14551BDG")</f>
        <v>MC14551BDG</v>
      </c>
      <c r="B39410" s="3" t="str">
        <f>HYPERLINK("https://www.773grp.com/manufacturer/onsemi?pageNo=118", "ON Semiconductor")</f>
        <v>ON Semiconductor</v>
      </c>
      <c r="C39410" s="6">
        <v>54</v>
      </c>
      <c r="D39410" s="7">
        <v>2.81</v>
      </c>
      <c r="E39410" t="s">
        <v>56</v>
      </c>
    </row>
    <row r="39411" spans="1:5" x14ac:dyDescent="0.25">
      <c r="A39411" t="str">
        <f>HYPERLINK("https://www.773grp.com/globalSearch/MC14551BDR2G/page-1", "MC14551BDR2G")</f>
        <v>MC14551BDR2G</v>
      </c>
      <c r="B39411" s="3" t="str">
        <f>HYPERLINK("https://www.773grp.com/manufacturer/onsemi?pageNo=119", "ON Semiconductor")</f>
        <v>ON Semiconductor</v>
      </c>
      <c r="C39411" s="6">
        <v>12077</v>
      </c>
      <c r="D39411" s="7">
        <v>2.81</v>
      </c>
      <c r="E39411" t="s">
        <v>56</v>
      </c>
    </row>
    <row r="39412" spans="1:5" x14ac:dyDescent="0.25">
      <c r="A39412" t="str">
        <f>HYPERLINK("https://www.773grp.com/globalSearch/MC14551BFELG/page-1", "MC14551BFELG")</f>
        <v>MC14551BFELG</v>
      </c>
      <c r="B39412" s="3" t="str">
        <f>HYPERLINK("https://www.773grp.com/manufacturer/onsemi?pageNo=120", "ON Semiconductor")</f>
        <v>ON Semiconductor</v>
      </c>
      <c r="C39412" s="6">
        <v>9935</v>
      </c>
      <c r="D39412" s="7">
        <v>2.81</v>
      </c>
      <c r="E39412" t="s">
        <v>56</v>
      </c>
    </row>
    <row r="39413" spans="1:5" x14ac:dyDescent="0.25">
      <c r="A39413" t="str">
        <f>HYPERLINK("https://www.773grp.com/globalSearch/MC14551BFG/page-1", "MC14551BFG")</f>
        <v>MC14551BFG</v>
      </c>
      <c r="B39413" s="3" t="str">
        <f>HYPERLINK("https://www.773grp.com/manufacturer/onsemi?pageNo=121", "ON Semiconductor")</f>
        <v>ON Semiconductor</v>
      </c>
      <c r="C39413" s="6">
        <v>2954</v>
      </c>
      <c r="D39413" s="7">
        <v>2.81</v>
      </c>
      <c r="E39413" t="s">
        <v>56</v>
      </c>
    </row>
    <row r="39414" spans="1:5" x14ac:dyDescent="0.25">
      <c r="A39414" t="str">
        <f>HYPERLINK("https://www.773grp.com/globalSearch/MC33067DWG/page-1", "MC33067DWG")</f>
        <v>MC33067DWG</v>
      </c>
      <c r="B39414" s="3" t="str">
        <f>HYPERLINK("https://www.773grp.com/manufacturer/onsemi?pageNo=122", "ON Semiconductor")</f>
        <v>ON Semiconductor</v>
      </c>
      <c r="C39414" s="6">
        <v>96</v>
      </c>
      <c r="D39414" s="7">
        <v>2.81</v>
      </c>
      <c r="E39414" t="s">
        <v>7</v>
      </c>
    </row>
    <row r="39415" spans="1:5" x14ac:dyDescent="0.25">
      <c r="A39415" t="str">
        <f>HYPERLINK("https://www.773grp.com/globalSearch/MC33067DWR2G/page-1", "MC33067DWR2G")</f>
        <v>MC33067DWR2G</v>
      </c>
      <c r="B39415" s="3" t="str">
        <f>HYPERLINK("https://www.773grp.com/manufacturer/onsemi?pageNo=123", "ON Semiconductor")</f>
        <v>ON Semiconductor</v>
      </c>
      <c r="C39415" s="6">
        <v>2000</v>
      </c>
      <c r="D39415" s="7">
        <v>2.81</v>
      </c>
    </row>
    <row r="39416" spans="1:5" x14ac:dyDescent="0.25">
      <c r="A39416" t="str">
        <f>HYPERLINK("https://www.773grp.com/globalSearch/MC33067PG/page-1", "MC33067PG")</f>
        <v>MC33067PG</v>
      </c>
      <c r="B39416" s="3" t="str">
        <f>HYPERLINK("https://www.773grp.com/manufacturer/onsemi?pageNo=124", "ON Semiconductor")</f>
        <v>ON Semiconductor</v>
      </c>
      <c r="C39416" s="6">
        <v>29831</v>
      </c>
      <c r="D39416" s="7">
        <v>2.81</v>
      </c>
      <c r="E39416" t="s">
        <v>7</v>
      </c>
    </row>
    <row r="39417" spans="1:5" x14ac:dyDescent="0.25">
      <c r="A39417" t="str">
        <f>HYPERLINK("https://www.773grp.com/globalSearch/MC74AC646DWG/page-1", "MC74AC646DWG")</f>
        <v>MC74AC646DWG</v>
      </c>
      <c r="B39417" s="3" t="str">
        <f>HYPERLINK("https://www.773grp.com/manufacturer/onsemi?pageNo=125", "ON Semiconductor")</f>
        <v>ON Semiconductor</v>
      </c>
      <c r="C39417" s="6">
        <v>4620</v>
      </c>
      <c r="D39417" s="7">
        <v>2.81</v>
      </c>
      <c r="E39417" t="s">
        <v>14</v>
      </c>
    </row>
    <row r="39418" spans="1:5" x14ac:dyDescent="0.25">
      <c r="A39418" t="str">
        <f>HYPERLINK("https://www.773grp.com/globalSearch/MC74AC646DWR2/page-1", "MC74AC646DWR2")</f>
        <v>MC74AC646DWR2</v>
      </c>
      <c r="B39418" s="3" t="str">
        <f>HYPERLINK("https://www.773grp.com/manufacturer/onsemi?pageNo=126", "ON Semiconductor")</f>
        <v>ON Semiconductor</v>
      </c>
      <c r="C39418" s="6">
        <v>11000</v>
      </c>
      <c r="D39418" s="7">
        <v>2.81</v>
      </c>
      <c r="E39418" t="s">
        <v>14</v>
      </c>
    </row>
    <row r="39419" spans="1:5" x14ac:dyDescent="0.25">
      <c r="A39419" t="str">
        <f>HYPERLINK("https://www.773grp.com/globalSearch/MC74AC646DWR2G/page-1", "MC74AC646DWR2G")</f>
        <v>MC74AC646DWR2G</v>
      </c>
      <c r="B39419" s="3" t="str">
        <f>HYPERLINK("https://www.773grp.com/manufacturer/onsemi?pageNo=127", "ON Semiconductor")</f>
        <v>ON Semiconductor</v>
      </c>
      <c r="C39419" s="6">
        <v>900</v>
      </c>
      <c r="D39419" s="7">
        <v>2.81</v>
      </c>
      <c r="E39419" t="s">
        <v>14</v>
      </c>
    </row>
    <row r="39420" spans="1:5" x14ac:dyDescent="0.25">
      <c r="A39420" t="str">
        <f>HYPERLINK("https://www.773grp.com/globalSearch/MC74ACT646DWG/page-1", "MC74ACT646DWG")</f>
        <v>MC74ACT646DWG</v>
      </c>
      <c r="B39420" s="3" t="str">
        <f>HYPERLINK("https://www.773grp.com/manufacturer/onsemi?pageNo=128", "ON Semiconductor")</f>
        <v>ON Semiconductor</v>
      </c>
      <c r="C39420" s="6">
        <v>707</v>
      </c>
      <c r="D39420" s="7">
        <v>2.81</v>
      </c>
      <c r="E39420" t="s">
        <v>14</v>
      </c>
    </row>
    <row r="39421" spans="1:5" x14ac:dyDescent="0.25">
      <c r="A39421" t="str">
        <f>HYPERLINK("https://www.773grp.com/globalSearch/MC74ACT646DWR2G/page-1", "MC74ACT646DWR2G")</f>
        <v>MC74ACT646DWR2G</v>
      </c>
      <c r="B39421" s="3" t="str">
        <f>HYPERLINK("https://www.773grp.com/manufacturer/onsemi?pageNo=129", "ON Semiconductor")</f>
        <v>ON Semiconductor</v>
      </c>
      <c r="C39421" s="6">
        <v>865</v>
      </c>
      <c r="D39421" s="7">
        <v>2.81</v>
      </c>
      <c r="E39421" t="s">
        <v>14</v>
      </c>
    </row>
    <row r="39422" spans="1:5" x14ac:dyDescent="0.25">
      <c r="A39422" t="str">
        <f>HYPERLINK("https://www.773grp.com/globalSearch/NB3N2302DG/page-1", "NB3N2302DG")</f>
        <v>NB3N2302DG</v>
      </c>
      <c r="B39422" s="3" t="str">
        <f>HYPERLINK("https://www.773grp.com/manufacturer/onsemi?pageNo=130", "ON Semiconductor")</f>
        <v>ON Semiconductor</v>
      </c>
      <c r="C39422" s="6">
        <v>382</v>
      </c>
      <c r="D39422" s="7">
        <v>2.81</v>
      </c>
    </row>
    <row r="39423" spans="1:5" x14ac:dyDescent="0.25">
      <c r="A39423" t="str">
        <f>HYPERLINK("https://www.773grp.com/globalSearch/NCN6001DTBR2G/page-1", "NCN6001DTBR2G")</f>
        <v>NCN6001DTBR2G</v>
      </c>
      <c r="B39423" s="3" t="str">
        <f>HYPERLINK("https://www.773grp.com/manufacturer/onsemi?pageNo=131", "ON Semiconductor")</f>
        <v>ON Semiconductor</v>
      </c>
      <c r="C39423" s="6">
        <v>6169</v>
      </c>
      <c r="D39423" s="7">
        <v>2.81</v>
      </c>
      <c r="E39423" t="s">
        <v>74</v>
      </c>
    </row>
    <row r="39424" spans="1:5" x14ac:dyDescent="0.25">
      <c r="A39424" t="str">
        <f>HYPERLINK("https://www.773grp.com/globalSearch/NCP1562ADBR2G/page-1", "NCP1562ADBR2G")</f>
        <v>NCP1562ADBR2G</v>
      </c>
      <c r="B39424" s="3" t="str">
        <f>HYPERLINK("https://www.773grp.com/manufacturer/onsemi?pageNo=132", "ON Semiconductor")</f>
        <v>ON Semiconductor</v>
      </c>
      <c r="C39424" s="6">
        <v>9472</v>
      </c>
      <c r="D39424" s="7">
        <v>2.81</v>
      </c>
      <c r="E39424" t="s">
        <v>7</v>
      </c>
    </row>
    <row r="39425" spans="1:5" x14ac:dyDescent="0.25">
      <c r="A39425" t="str">
        <f>HYPERLINK("https://www.773grp.com/globalSearch/NCP1562ADR2G/page-1", "NCP1562ADR2G")</f>
        <v>NCP1562ADR2G</v>
      </c>
      <c r="B39425" s="3" t="str">
        <f>HYPERLINK("https://www.773grp.com/manufacturer/onsemi?pageNo=133", "ON Semiconductor")</f>
        <v>ON Semiconductor</v>
      </c>
      <c r="C39425" s="6">
        <v>9373</v>
      </c>
      <c r="D39425" s="7">
        <v>2.81</v>
      </c>
      <c r="E39425" t="s">
        <v>7</v>
      </c>
    </row>
    <row r="39426" spans="1:5" x14ac:dyDescent="0.25">
      <c r="A39426" t="str">
        <f>HYPERLINK("https://www.773grp.com/globalSearch/NCP1562BDBR2G/page-1", "NCP1562BDBR2G")</f>
        <v>NCP1562BDBR2G</v>
      </c>
      <c r="B39426" s="3" t="str">
        <f>HYPERLINK("https://www.773grp.com/manufacturer/onsemi?pageNo=134", "ON Semiconductor")</f>
        <v>ON Semiconductor</v>
      </c>
      <c r="C39426" s="6">
        <v>12600</v>
      </c>
      <c r="D39426" s="7">
        <v>2.81</v>
      </c>
      <c r="E39426" t="s">
        <v>7</v>
      </c>
    </row>
    <row r="39427" spans="1:5" x14ac:dyDescent="0.25">
      <c r="A39427" t="str">
        <f>HYPERLINK("https://www.773grp.com/globalSearch/NCP1562BDR2G/page-1", "NCP1562BDR2G")</f>
        <v>NCP1562BDR2G</v>
      </c>
      <c r="B39427" s="3" t="str">
        <f>HYPERLINK("https://www.773grp.com/manufacturer/onsemi?pageNo=135", "ON Semiconductor")</f>
        <v>ON Semiconductor</v>
      </c>
      <c r="C39427" s="6">
        <v>12673</v>
      </c>
      <c r="D39427" s="7">
        <v>2.81</v>
      </c>
      <c r="E39427" t="s">
        <v>7</v>
      </c>
    </row>
    <row r="39428" spans="1:5" x14ac:dyDescent="0.25">
      <c r="A39428" t="str">
        <f>HYPERLINK("https://www.773grp.com/globalSearch/NCV7703BD2R2G/page-1", "NCV7703BD2R2G")</f>
        <v>NCV7703BD2R2G</v>
      </c>
      <c r="B39428" s="3" t="str">
        <f>HYPERLINK("https://www.773grp.com/manufacturer/onsemi?pageNo=136", "ON Semiconductor")</f>
        <v>ON Semiconductor</v>
      </c>
      <c r="C39428" s="6">
        <v>7500</v>
      </c>
      <c r="D39428" s="7">
        <v>2.81</v>
      </c>
    </row>
    <row r="39429" spans="1:5" x14ac:dyDescent="0.25">
      <c r="A39429" t="str">
        <f>HYPERLINK("https://www.773grp.com/globalSearch/NCV8842MNR2G/page-1", "NCV8842MNR2G")</f>
        <v>NCV8842MNR2G</v>
      </c>
      <c r="B39429" s="3" t="str">
        <f>HYPERLINK("https://www.773grp.com/manufacturer/onsemi?pageNo=137", "ON Semiconductor")</f>
        <v>ON Semiconductor</v>
      </c>
      <c r="C39429" s="6">
        <v>15120</v>
      </c>
      <c r="D39429" s="7">
        <v>2.81</v>
      </c>
      <c r="E39429" t="s">
        <v>7</v>
      </c>
    </row>
    <row r="39430" spans="1:5" x14ac:dyDescent="0.25">
      <c r="A39430" t="str">
        <f>HYPERLINK("https://www.773grp.com/globalSearch/NTB30N20T4G/page-1", "NTB30N20T4G")</f>
        <v>NTB30N20T4G</v>
      </c>
      <c r="B39430" s="3" t="str">
        <f>HYPERLINK("https://www.773grp.com/manufacturer/onsemi?pageNo=138", "ON Semiconductor")</f>
        <v>ON Semiconductor</v>
      </c>
      <c r="C39430" s="6">
        <v>1</v>
      </c>
      <c r="D39430" s="7">
        <v>2.81</v>
      </c>
      <c r="E39430" t="s">
        <v>105</v>
      </c>
    </row>
    <row r="39431" spans="1:5" x14ac:dyDescent="0.25">
      <c r="A39431" t="str">
        <f>HYPERLINK("https://www.773grp.com/globalSearch/P3P623S00BG-08SR/page-1", "P3P623S00BG-08SR")</f>
        <v>P3P623S00BG-08SR</v>
      </c>
      <c r="B39431" s="3" t="str">
        <f>HYPERLINK("https://www.773grp.com/manufacturer/onsemi?pageNo=139", "ON Semiconductor")</f>
        <v>ON Semiconductor</v>
      </c>
      <c r="C39431" s="6">
        <v>10000</v>
      </c>
      <c r="D39431" s="7">
        <v>2.81</v>
      </c>
      <c r="E39431" t="s">
        <v>34</v>
      </c>
    </row>
    <row r="39432" spans="1:5" x14ac:dyDescent="0.25">
      <c r="A39432" t="str">
        <f>HYPERLINK("https://www.773grp.com/globalSearch/P3P623S05BG-08TR/page-1", "P3P623S05BG-08TR")</f>
        <v>P3P623S05BG-08TR</v>
      </c>
      <c r="B39432" s="3" t="str">
        <f>HYPERLINK("https://www.773grp.com/manufacturer/onsemi?pageNo=140", "ON Semiconductor")</f>
        <v>ON Semiconductor</v>
      </c>
      <c r="C39432" s="6">
        <v>2500</v>
      </c>
      <c r="D39432" s="7">
        <v>2.81</v>
      </c>
    </row>
    <row r="39433" spans="1:5" x14ac:dyDescent="0.25">
      <c r="A39433" t="str">
        <f>HYPERLINK("https://www.773grp.com/globalSearch/PCS2I2309NZG16SR/page-1", "PCS2I2309NZG16SR")</f>
        <v>PCS2I2309NZG16SR</v>
      </c>
      <c r="B39433" s="3" t="str">
        <f>HYPERLINK("https://www.773grp.com/manufacturer/onsemi?pageNo=141", "ON Semiconductor")</f>
        <v>ON Semiconductor</v>
      </c>
      <c r="C39433" s="6">
        <v>7302</v>
      </c>
      <c r="D39433" s="7">
        <v>2.81</v>
      </c>
    </row>
    <row r="39434" spans="1:5" x14ac:dyDescent="0.25">
      <c r="A39434" t="str">
        <f>HYPERLINK("https://www.773grp.com/globalSearch/SURB1660CTT4/page-1", "SURB1660CTT4")</f>
        <v>SURB1660CTT4</v>
      </c>
      <c r="B39434" s="3" t="str">
        <f>HYPERLINK("https://www.773grp.com/manufacturer/onsemi?pageNo=142", "ON Semiconductor")</f>
        <v>ON Semiconductor</v>
      </c>
      <c r="C39434" s="6">
        <v>800</v>
      </c>
      <c r="D39434" s="7">
        <v>2.81</v>
      </c>
    </row>
    <row r="39435" spans="1:5" x14ac:dyDescent="0.25">
      <c r="A39435" t="str">
        <f>HYPERLINK("https://www.773grp.com/globalSearch/ADP3182JRQZ-REEL/page-1", "ADP3182JRQZ-REEL")</f>
        <v>ADP3182JRQZ-REEL</v>
      </c>
      <c r="B39435" s="3" t="str">
        <f>HYPERLINK("https://www.773grp.com/manufacturer/onsemi?pageNo=143", "ON Semiconductor")</f>
        <v>ON Semiconductor</v>
      </c>
      <c r="C39435" s="6">
        <v>5000</v>
      </c>
      <c r="D39435" s="7">
        <v>3.1</v>
      </c>
      <c r="E39435" t="s">
        <v>7</v>
      </c>
    </row>
    <row r="39436" spans="1:5" x14ac:dyDescent="0.25">
      <c r="A39436" t="str">
        <f>HYPERLINK("https://www.773grp.com/globalSearch/ADP3182JRQZ-REEL/page-1", "ADP3182JRQZ-REEL")</f>
        <v>ADP3182JRQZ-REEL</v>
      </c>
      <c r="B39436" s="3" t="str">
        <f>HYPERLINK("https://www.773grp.com/manufacturer/onsemi?pageNo=144", "ON Semiconductor")</f>
        <v>ON Semiconductor</v>
      </c>
      <c r="C39436" s="6">
        <v>900</v>
      </c>
      <c r="D39436" s="7">
        <v>3.1</v>
      </c>
      <c r="E39436" t="s">
        <v>7</v>
      </c>
    </row>
    <row r="39437" spans="1:5" x14ac:dyDescent="0.25">
      <c r="A39437" t="str">
        <f>HYPERLINK("https://www.773grp.com/globalSearch/ADP3182JRQZ-REEL/page-1", "ADP3182JRQZ-REEL")</f>
        <v>ADP3182JRQZ-REEL</v>
      </c>
      <c r="B39437" s="3" t="str">
        <f>HYPERLINK("https://www.773grp.com/manufacturer/onsemi?pageNo=145", "ON Semiconductor")</f>
        <v>ON Semiconductor</v>
      </c>
      <c r="C39437" s="6">
        <v>20000</v>
      </c>
      <c r="D39437" s="7">
        <v>3.1</v>
      </c>
      <c r="E39437" t="s">
        <v>7</v>
      </c>
    </row>
    <row r="39438" spans="1:5" x14ac:dyDescent="0.25">
      <c r="A39438" t="str">
        <f>HYPERLINK("https://www.773grp.com/globalSearch/CAT1021WI-45-GT3/page-1", "CAT1021WI-45-GT3")</f>
        <v>CAT1021WI-45-GT3</v>
      </c>
      <c r="B39438" s="3" t="str">
        <f>HYPERLINK("https://www.773grp.com/manufacturer/onsemi?pageNo=146", "ON Semiconductor")</f>
        <v>ON Semiconductor</v>
      </c>
      <c r="C39438" s="6">
        <v>6000</v>
      </c>
      <c r="D39438" s="7">
        <v>3.1</v>
      </c>
    </row>
    <row r="39439" spans="1:5" x14ac:dyDescent="0.25">
      <c r="A39439" t="str">
        <f>HYPERLINK("https://www.773grp.com/globalSearch/CAT1023WI-42-GT3/page-1", "CAT1023WI-42-GT3")</f>
        <v>CAT1023WI-42-GT3</v>
      </c>
      <c r="B39439" s="3" t="str">
        <f>HYPERLINK("https://www.773grp.com/manufacturer/onsemi?pageNo=147", "ON Semiconductor")</f>
        <v>ON Semiconductor</v>
      </c>
      <c r="C39439" s="6">
        <v>3000</v>
      </c>
      <c r="D39439" s="7">
        <v>3.1</v>
      </c>
    </row>
    <row r="39440" spans="1:5" x14ac:dyDescent="0.25">
      <c r="A39440" t="str">
        <f>HYPERLINK("https://www.773grp.com/globalSearch/CAT1025WI-25-GT3/page-1", "CAT1025WI-25-GT3")</f>
        <v>CAT1025WI-25-GT3</v>
      </c>
      <c r="B39440" s="3" t="str">
        <f>HYPERLINK("https://www.773grp.com/manufacturer/onsemi?pageNo=148", "ON Semiconductor")</f>
        <v>ON Semiconductor</v>
      </c>
      <c r="C39440" s="6">
        <v>1700</v>
      </c>
      <c r="D39440" s="7">
        <v>3.1</v>
      </c>
    </row>
    <row r="39441" spans="1:5" x14ac:dyDescent="0.25">
      <c r="A39441" t="str">
        <f>HYPERLINK("https://www.773grp.com/globalSearch/CS3843AGD14/page-1", "CS3843AGD14")</f>
        <v>CS3843AGD14</v>
      </c>
      <c r="B39441" s="3" t="str">
        <f>HYPERLINK("https://www.773grp.com/manufacturer/onsemi?pageNo=149", "ON Semiconductor")</f>
        <v>ON Semiconductor</v>
      </c>
      <c r="C39441" s="6">
        <v>5505</v>
      </c>
      <c r="D39441" s="7">
        <v>3.1</v>
      </c>
      <c r="E39441" t="s">
        <v>7</v>
      </c>
    </row>
    <row r="39442" spans="1:5" x14ac:dyDescent="0.25">
      <c r="A39442" t="str">
        <f>HYPERLINK("https://www.773grp.com/globalSearch/CS3843AGDR14/page-1", "CS3843AGDR14")</f>
        <v>CS3843AGDR14</v>
      </c>
      <c r="B39442" s="3" t="str">
        <f>HYPERLINK("https://www.773grp.com/manufacturer/onsemi?pageNo=150", "ON Semiconductor")</f>
        <v>ON Semiconductor</v>
      </c>
      <c r="C39442" s="6">
        <v>2500</v>
      </c>
      <c r="D39442" s="7">
        <v>3.1</v>
      </c>
      <c r="E39442" t="s">
        <v>7</v>
      </c>
    </row>
    <row r="39443" spans="1:5" x14ac:dyDescent="0.25">
      <c r="A39443" t="str">
        <f>HYPERLINK("https://www.773grp.com/globalSearch/CS5212ED14/page-1", "CS5212ED14")</f>
        <v>CS5212ED14</v>
      </c>
      <c r="B39443" s="3" t="str">
        <f>HYPERLINK("https://www.773grp.com/manufacturer/onsemi?pageNo=151", "ON Semiconductor")</f>
        <v>ON Semiconductor</v>
      </c>
      <c r="C39443" s="6">
        <v>440</v>
      </c>
      <c r="D39443" s="7">
        <v>3.1</v>
      </c>
      <c r="E39443" t="s">
        <v>7</v>
      </c>
    </row>
    <row r="39444" spans="1:5" x14ac:dyDescent="0.25">
      <c r="A39444" t="str">
        <f>HYPERLINK("https://www.773grp.com/globalSearch/CS5212EDR14/page-1", "CS5212EDR14")</f>
        <v>CS5212EDR14</v>
      </c>
      <c r="B39444" s="3" t="str">
        <f>HYPERLINK("https://www.773grp.com/manufacturer/onsemi?pageNo=152", "ON Semiconductor")</f>
        <v>ON Semiconductor</v>
      </c>
      <c r="C39444" s="6">
        <v>7498</v>
      </c>
      <c r="D39444" s="7">
        <v>3.1</v>
      </c>
      <c r="E39444" t="s">
        <v>7</v>
      </c>
    </row>
    <row r="39445" spans="1:5" x14ac:dyDescent="0.25">
      <c r="A39445" t="str">
        <f>HYPERLINK("https://www.773grp.com/globalSearch/LB1830M-TLM-E/page-1", "LB1830M-TLM-E")</f>
        <v>LB1830M-TLM-E</v>
      </c>
      <c r="B39445" s="3" t="str">
        <f>HYPERLINK("https://www.773grp.com/manufacturer/onsemi?pageNo=153", "ON Semiconductor")</f>
        <v>ON Semiconductor</v>
      </c>
      <c r="C39445" s="6">
        <v>89</v>
      </c>
      <c r="D39445" s="7">
        <v>3.1</v>
      </c>
    </row>
    <row r="39446" spans="1:5" x14ac:dyDescent="0.25">
      <c r="A39446" t="str">
        <f>HYPERLINK("https://www.773grp.com/globalSearch/MBR3045STG/page-1", "MBR3045STG")</f>
        <v>MBR3045STG</v>
      </c>
      <c r="B39446" s="3" t="str">
        <f>HYPERLINK("https://www.773grp.com/manufacturer/onsemi?pageNo=154", "ON Semiconductor")</f>
        <v>ON Semiconductor</v>
      </c>
      <c r="C39446" s="6">
        <v>29407</v>
      </c>
      <c r="D39446" s="7">
        <v>3.1</v>
      </c>
      <c r="E39446" t="s">
        <v>103</v>
      </c>
    </row>
    <row r="39447" spans="1:5" x14ac:dyDescent="0.25">
      <c r="A39447" t="str">
        <f>HYPERLINK("https://www.773grp.com/globalSearch/MC33364D1G/page-1", "MC33364D1G")</f>
        <v>MC33364D1G</v>
      </c>
      <c r="B39447" s="3" t="str">
        <f>HYPERLINK("https://www.773grp.com/manufacturer/onsemi?pageNo=155", "ON Semiconductor")</f>
        <v>ON Semiconductor</v>
      </c>
      <c r="C39447" s="6">
        <v>2109</v>
      </c>
      <c r="D39447" s="7">
        <v>3.1</v>
      </c>
      <c r="E39447" t="s">
        <v>7</v>
      </c>
    </row>
    <row r="39448" spans="1:5" x14ac:dyDescent="0.25">
      <c r="A39448" t="str">
        <f>HYPERLINK("https://www.773grp.com/globalSearch/MC33364D1R2G/page-1", "MC33364D1R2G")</f>
        <v>MC33364D1R2G</v>
      </c>
      <c r="B39448" s="3" t="str">
        <f>HYPERLINK("https://www.773grp.com/manufacturer/onsemi?pageNo=156", "ON Semiconductor")</f>
        <v>ON Semiconductor</v>
      </c>
      <c r="C39448" s="6">
        <v>1680</v>
      </c>
      <c r="D39448" s="7">
        <v>3.1</v>
      </c>
    </row>
    <row r="39449" spans="1:5" x14ac:dyDescent="0.25">
      <c r="A39449" t="str">
        <f>HYPERLINK("https://www.773grp.com/globalSearch/MC33364D2G/page-1", "MC33364D2G")</f>
        <v>MC33364D2G</v>
      </c>
      <c r="B39449" s="3" t="str">
        <f>HYPERLINK("https://www.773grp.com/manufacturer/onsemi?pageNo=157", "ON Semiconductor")</f>
        <v>ON Semiconductor</v>
      </c>
      <c r="C39449" s="6">
        <v>38084</v>
      </c>
      <c r="D39449" s="7">
        <v>3.1</v>
      </c>
      <c r="E39449" t="s">
        <v>7</v>
      </c>
    </row>
    <row r="39450" spans="1:5" x14ac:dyDescent="0.25">
      <c r="A39450" t="str">
        <f>HYPERLINK("https://www.773grp.com/globalSearch/MC33364D2R2G/page-1", "MC33364D2R2G")</f>
        <v>MC33364D2R2G</v>
      </c>
      <c r="B39450" s="3" t="str">
        <f>HYPERLINK("https://www.773grp.com/manufacturer/onsemi?pageNo=158", "ON Semiconductor")</f>
        <v>ON Semiconductor</v>
      </c>
      <c r="C39450" s="6">
        <v>12154</v>
      </c>
      <c r="D39450" s="7">
        <v>3.1</v>
      </c>
      <c r="E39450" t="s">
        <v>7</v>
      </c>
    </row>
    <row r="39451" spans="1:5" x14ac:dyDescent="0.25">
      <c r="A39451" t="str">
        <f>HYPERLINK("https://www.773grp.com/globalSearch/MC33364DG/page-1", "MC33364DG")</f>
        <v>MC33364DG</v>
      </c>
      <c r="B39451" s="3" t="str">
        <f>HYPERLINK("https://www.773grp.com/manufacturer/onsemi?pageNo=159", "ON Semiconductor")</f>
        <v>ON Semiconductor</v>
      </c>
      <c r="C39451" s="6">
        <v>250</v>
      </c>
      <c r="D39451" s="7">
        <v>3.1</v>
      </c>
      <c r="E39451" t="s">
        <v>7</v>
      </c>
    </row>
    <row r="39452" spans="1:5" x14ac:dyDescent="0.25">
      <c r="A39452" t="str">
        <f>HYPERLINK("https://www.773grp.com/globalSearch/MC33364DR2G/page-1", "MC33364DR2G")</f>
        <v>MC33364DR2G</v>
      </c>
      <c r="B39452" s="3" t="str">
        <f>HYPERLINK("https://www.773grp.com/manufacturer/onsemi?pageNo=160", "ON Semiconductor")</f>
        <v>ON Semiconductor</v>
      </c>
      <c r="C39452" s="6">
        <v>2059</v>
      </c>
      <c r="D39452" s="7">
        <v>3.1</v>
      </c>
    </row>
    <row r="39453" spans="1:5" x14ac:dyDescent="0.25">
      <c r="A39453" t="str">
        <f>HYPERLINK("https://www.773grp.com/globalSearch/MC74AC4040DG/page-1", "MC74AC4040DG")</f>
        <v>MC74AC4040DG</v>
      </c>
      <c r="B39453" s="3" t="str">
        <f>HYPERLINK("https://www.773grp.com/manufacturer/onsemi?pageNo=161", "ON Semiconductor")</f>
        <v>ON Semiconductor</v>
      </c>
      <c r="C39453" s="6">
        <v>27473</v>
      </c>
      <c r="D39453" s="7">
        <v>3.1</v>
      </c>
      <c r="E39453" t="s">
        <v>26</v>
      </c>
    </row>
    <row r="39454" spans="1:5" x14ac:dyDescent="0.25">
      <c r="A39454" t="str">
        <f>HYPERLINK("https://www.773grp.com/globalSearch/MC74AC4040DR2G/page-1", "MC74AC4040DR2G")</f>
        <v>MC74AC4040DR2G</v>
      </c>
      <c r="B39454" s="3" t="str">
        <f>HYPERLINK("https://www.773grp.com/manufacturer/onsemi?pageNo=162", "ON Semiconductor")</f>
        <v>ON Semiconductor</v>
      </c>
      <c r="C39454" s="6">
        <v>15883</v>
      </c>
      <c r="D39454" s="7">
        <v>3.1</v>
      </c>
      <c r="E39454" t="s">
        <v>26</v>
      </c>
    </row>
    <row r="39455" spans="1:5" x14ac:dyDescent="0.25">
      <c r="A39455" t="str">
        <f>HYPERLINK("https://www.773grp.com/globalSearch/NCP1522ASNT1G/page-1", "NCP1522ASNT1G")</f>
        <v>NCP1522ASNT1G</v>
      </c>
      <c r="B39455" s="3" t="str">
        <f>HYPERLINK("https://www.773grp.com/manufacturer/onsemi?pageNo=163", "ON Semiconductor")</f>
        <v>ON Semiconductor</v>
      </c>
      <c r="C39455" s="6">
        <v>26970</v>
      </c>
      <c r="D39455" s="7">
        <v>3.1</v>
      </c>
      <c r="E39455" t="s">
        <v>7</v>
      </c>
    </row>
    <row r="39456" spans="1:5" x14ac:dyDescent="0.25">
      <c r="A39456" t="str">
        <f>HYPERLINK("https://www.773grp.com/globalSearch/NCP1653APG/page-1", "NCP1653APG")</f>
        <v>NCP1653APG</v>
      </c>
      <c r="B39456" s="3" t="str">
        <f>HYPERLINK("https://www.773grp.com/manufacturer/onsemi?pageNo=164", "ON Semiconductor")</f>
        <v>ON Semiconductor</v>
      </c>
      <c r="C39456" s="6">
        <v>36540</v>
      </c>
      <c r="D39456" s="7">
        <v>3.1</v>
      </c>
      <c r="E39456" t="s">
        <v>7</v>
      </c>
    </row>
    <row r="39457" spans="1:5" x14ac:dyDescent="0.25">
      <c r="A39457" t="str">
        <f>HYPERLINK("https://www.773grp.com/globalSearch/NCP1653PG/page-1", "NCP1653PG")</f>
        <v>NCP1653PG</v>
      </c>
      <c r="B39457" s="3" t="str">
        <f>HYPERLINK("https://www.773grp.com/manufacturer/onsemi?pageNo=165", "ON Semiconductor")</f>
        <v>ON Semiconductor</v>
      </c>
      <c r="C39457" s="6">
        <v>7238</v>
      </c>
      <c r="D39457" s="7">
        <v>3.1</v>
      </c>
      <c r="E39457" t="s">
        <v>7</v>
      </c>
    </row>
    <row r="39458" spans="1:5" x14ac:dyDescent="0.25">
      <c r="A39458" t="str">
        <f>HYPERLINK("https://www.773grp.com/globalSearch/NCP5008DMR2G/page-1", "NCP5008DMR2G")</f>
        <v>NCP5008DMR2G</v>
      </c>
      <c r="B39458" s="3" t="str">
        <f>HYPERLINK("https://www.773grp.com/manufacturer/onsemi?pageNo=166", "ON Semiconductor")</f>
        <v>ON Semiconductor</v>
      </c>
      <c r="C39458" s="6">
        <v>491</v>
      </c>
      <c r="D39458" s="7">
        <v>3.1</v>
      </c>
      <c r="E39458" t="s">
        <v>10</v>
      </c>
    </row>
    <row r="39459" spans="1:5" x14ac:dyDescent="0.25">
      <c r="A39459" t="str">
        <f>HYPERLINK("https://www.773grp.com/globalSearch/NCP5667DS50R4G/page-1", "NCP5667DS50R4G")</f>
        <v>NCP5667DS50R4G</v>
      </c>
      <c r="B39459" s="3" t="str">
        <f>HYPERLINK("https://www.773grp.com/manufacturer/onsemi?pageNo=167", "ON Semiconductor")</f>
        <v>ON Semiconductor</v>
      </c>
      <c r="C39459" s="6">
        <v>2058</v>
      </c>
      <c r="D39459" s="7">
        <v>3.1</v>
      </c>
      <c r="E39459" t="s">
        <v>19</v>
      </c>
    </row>
    <row r="39460" spans="1:5" x14ac:dyDescent="0.25">
      <c r="A39460" t="str">
        <f>HYPERLINK("https://www.773grp.com/globalSearch/NCP590MN5ATAG/page-1", "NCP590MN5ATAG")</f>
        <v>NCP590MN5ATAG</v>
      </c>
      <c r="B39460" s="3" t="str">
        <f>HYPERLINK("https://www.773grp.com/manufacturer/onsemi?pageNo=168", "ON Semiconductor")</f>
        <v>ON Semiconductor</v>
      </c>
      <c r="C39460" s="6">
        <v>14925</v>
      </c>
      <c r="D39460" s="7">
        <v>3.1</v>
      </c>
      <c r="E39460" t="s">
        <v>44</v>
      </c>
    </row>
    <row r="39461" spans="1:5" x14ac:dyDescent="0.25">
      <c r="A39461" t="str">
        <f>HYPERLINK("https://www.773grp.com/globalSearch/NCP590MNDPTAG/page-1", "NCP590MNDPTAG")</f>
        <v>NCP590MNDPTAG</v>
      </c>
      <c r="B39461" s="3" t="str">
        <f>HYPERLINK("https://www.773grp.com/manufacturer/onsemi?pageNo=169", "ON Semiconductor")</f>
        <v>ON Semiconductor</v>
      </c>
      <c r="C39461" s="6">
        <v>86660</v>
      </c>
      <c r="D39461" s="7">
        <v>3.1</v>
      </c>
      <c r="E39461" t="s">
        <v>44</v>
      </c>
    </row>
    <row r="39462" spans="1:5" x14ac:dyDescent="0.25">
      <c r="A39462" t="str">
        <f>HYPERLINK("https://www.773grp.com/globalSearch/NCP590MNOATAG/page-1", "NCP590MNOATAG")</f>
        <v>NCP590MNOATAG</v>
      </c>
      <c r="B39462" s="3" t="str">
        <f>HYPERLINK("https://www.773grp.com/manufacturer/onsemi?pageNo=170", "ON Semiconductor")</f>
        <v>ON Semiconductor</v>
      </c>
      <c r="C39462" s="6">
        <v>48000</v>
      </c>
      <c r="D39462" s="7">
        <v>3.1</v>
      </c>
      <c r="E39462" t="s">
        <v>44</v>
      </c>
    </row>
    <row r="39463" spans="1:5" x14ac:dyDescent="0.25">
      <c r="A39463" t="str">
        <f>HYPERLINK("https://www.773grp.com/globalSearch/NCP590MNVVTAG/page-1", "NCP590MNVVTAG")</f>
        <v>NCP590MNVVTAG</v>
      </c>
      <c r="B39463" s="3" t="str">
        <f>HYPERLINK("https://www.773grp.com/manufacturer/onsemi?pageNo=171", "ON Semiconductor")</f>
        <v>ON Semiconductor</v>
      </c>
      <c r="C39463" s="6">
        <v>30573</v>
      </c>
      <c r="D39463" s="7">
        <v>3.1</v>
      </c>
    </row>
    <row r="39464" spans="1:5" x14ac:dyDescent="0.25">
      <c r="A39464" t="str">
        <f>HYPERLINK("https://www.773grp.com/globalSearch/NCP81007MNTWG/page-1", "NCP81007MNTWG")</f>
        <v>NCP81007MNTWG</v>
      </c>
      <c r="B39464" s="3" t="str">
        <f>HYPERLINK("https://www.773grp.com/manufacturer/onsemi?pageNo=172", "ON Semiconductor")</f>
        <v>ON Semiconductor</v>
      </c>
      <c r="C39464" s="6">
        <v>105000</v>
      </c>
      <c r="D39464" s="7">
        <v>3.1</v>
      </c>
    </row>
    <row r="39465" spans="1:5" x14ac:dyDescent="0.25">
      <c r="A39465" t="str">
        <f>HYPERLINK("https://www.773grp.com/globalSearch/NCV2931AST-5T3G/page-1", "NCV2931AST-5T3G")</f>
        <v>NCV2931AST-5T3G</v>
      </c>
      <c r="B39465" s="3" t="str">
        <f>HYPERLINK("https://www.773grp.com/manufacturer/onsemi?pageNo=173", "ON Semiconductor")</f>
        <v>ON Semiconductor</v>
      </c>
      <c r="C39465" s="6">
        <v>18314</v>
      </c>
      <c r="D39465" s="7">
        <v>3.1</v>
      </c>
    </row>
    <row r="39466" spans="1:5" x14ac:dyDescent="0.25">
      <c r="A39466" t="str">
        <f>HYPERLINK("https://www.773grp.com/globalSearch/NCV4276ADT33RKG/page-1", "NCV4276ADT33RKG")</f>
        <v>NCV4276ADT33RKG</v>
      </c>
      <c r="B39466" s="3" t="str">
        <f>HYPERLINK("https://www.773grp.com/manufacturer/onsemi?pageNo=174", "ON Semiconductor")</f>
        <v>ON Semiconductor</v>
      </c>
      <c r="C39466" s="6">
        <v>9193</v>
      </c>
      <c r="D39466" s="7">
        <v>3.1</v>
      </c>
      <c r="E39466" t="s">
        <v>19</v>
      </c>
    </row>
    <row r="39467" spans="1:5" x14ac:dyDescent="0.25">
      <c r="A39467" t="str">
        <f>HYPERLINK("https://www.773grp.com/globalSearch/NCV5504DTRKG/page-1", "NCV5504DTRKG")</f>
        <v>NCV5504DTRKG</v>
      </c>
      <c r="B39467" s="3" t="str">
        <f>HYPERLINK("https://www.773grp.com/manufacturer/onsemi?pageNo=175", "ON Semiconductor")</f>
        <v>ON Semiconductor</v>
      </c>
      <c r="C39467" s="6">
        <v>9606</v>
      </c>
      <c r="D39467" s="7">
        <v>3.1</v>
      </c>
      <c r="E39467" t="s">
        <v>63</v>
      </c>
    </row>
    <row r="39468" spans="1:5" x14ac:dyDescent="0.25">
      <c r="A39468" t="str">
        <f>HYPERLINK("https://www.773grp.com/globalSearch/NCV8501D100G/page-1", "NCV8501D100G")</f>
        <v>NCV8501D100G</v>
      </c>
      <c r="B39468" s="3" t="str">
        <f>HYPERLINK("https://www.773grp.com/manufacturer/onsemi?pageNo=176", "ON Semiconductor")</f>
        <v>ON Semiconductor</v>
      </c>
      <c r="C39468" s="6">
        <v>227</v>
      </c>
      <c r="D39468" s="7">
        <v>3.1</v>
      </c>
      <c r="E39468" t="s">
        <v>19</v>
      </c>
    </row>
    <row r="39469" spans="1:5" x14ac:dyDescent="0.25">
      <c r="A39469" t="str">
        <f>HYPERLINK("https://www.773grp.com/globalSearch/NCV8501D25G/page-1", "NCV8501D25G")</f>
        <v>NCV8501D25G</v>
      </c>
      <c r="B39469" s="3" t="str">
        <f>HYPERLINK("https://www.773grp.com/manufacturer/onsemi?pageNo=177", "ON Semiconductor")</f>
        <v>ON Semiconductor</v>
      </c>
      <c r="C39469" s="6">
        <v>880</v>
      </c>
      <c r="D39469" s="7">
        <v>3.1</v>
      </c>
      <c r="E39469" t="s">
        <v>19</v>
      </c>
    </row>
    <row r="39470" spans="1:5" x14ac:dyDescent="0.25">
      <c r="A39470" t="str">
        <f>HYPERLINK("https://www.773grp.com/globalSearch/NCV8501D25R2G/page-1", "NCV8501D25R2G")</f>
        <v>NCV8501D25R2G</v>
      </c>
      <c r="B39470" s="3" t="str">
        <f>HYPERLINK("https://www.773grp.com/manufacturer/onsemi?pageNo=178", "ON Semiconductor")</f>
        <v>ON Semiconductor</v>
      </c>
      <c r="C39470" s="6">
        <v>680</v>
      </c>
      <c r="D39470" s="7">
        <v>3.1</v>
      </c>
      <c r="E39470" t="s">
        <v>19</v>
      </c>
    </row>
    <row r="39471" spans="1:5" x14ac:dyDescent="0.25">
      <c r="A39471" t="str">
        <f>HYPERLINK("https://www.773grp.com/globalSearch/NCV8501D33G/page-1", "NCV8501D33G")</f>
        <v>NCV8501D33G</v>
      </c>
      <c r="B39471" s="3" t="str">
        <f>HYPERLINK("https://www.773grp.com/manufacturer/onsemi?pageNo=179", "ON Semiconductor")</f>
        <v>ON Semiconductor</v>
      </c>
      <c r="C39471" s="6">
        <v>2504</v>
      </c>
      <c r="D39471" s="7">
        <v>3.1</v>
      </c>
      <c r="E39471" t="s">
        <v>19</v>
      </c>
    </row>
    <row r="39472" spans="1:5" x14ac:dyDescent="0.25">
      <c r="A39472" t="str">
        <f>HYPERLINK("https://www.773grp.com/globalSearch/NCV8501D50G/page-1", "NCV8501D50G")</f>
        <v>NCV8501D50G</v>
      </c>
      <c r="B39472" s="3" t="str">
        <f>HYPERLINK("https://www.773grp.com/manufacturer/onsemi?pageNo=180", "ON Semiconductor")</f>
        <v>ON Semiconductor</v>
      </c>
      <c r="C39472" s="6">
        <v>4998</v>
      </c>
      <c r="D39472" s="7">
        <v>3.1</v>
      </c>
    </row>
    <row r="39473" spans="1:5" x14ac:dyDescent="0.25">
      <c r="A39473" t="str">
        <f>HYPERLINK("https://www.773grp.com/globalSearch/NCV8501DADJG/page-1", "NCV8501DADJG")</f>
        <v>NCV8501DADJG</v>
      </c>
      <c r="B39473" s="3" t="str">
        <f>HYPERLINK("https://www.773grp.com/manufacturer/onsemi?pageNo=181", "ON Semiconductor")</f>
        <v>ON Semiconductor</v>
      </c>
      <c r="C39473" s="6">
        <v>3515</v>
      </c>
      <c r="D39473" s="7">
        <v>3.1</v>
      </c>
      <c r="E39473" t="s">
        <v>25</v>
      </c>
    </row>
    <row r="39474" spans="1:5" x14ac:dyDescent="0.25">
      <c r="A39474" t="str">
        <f>HYPERLINK("https://www.773grp.com/globalSearch/NID5001NT4/page-1", "NID5001NT4")</f>
        <v>NID5001NT4</v>
      </c>
      <c r="B39474" s="3" t="str">
        <f>HYPERLINK("https://www.773grp.com/manufacturer/onsemi?pageNo=182", "ON Semiconductor")</f>
        <v>ON Semiconductor</v>
      </c>
      <c r="C39474" s="6">
        <v>4470</v>
      </c>
      <c r="D39474" s="7">
        <v>3.1</v>
      </c>
      <c r="E39474" t="s">
        <v>105</v>
      </c>
    </row>
    <row r="39475" spans="1:5" x14ac:dyDescent="0.25">
      <c r="A39475" t="str">
        <f>HYPERLINK("https://www.773grp.com/globalSearch/NVD5802NT4G/page-1", "NVD5802NT4G")</f>
        <v>NVD5802NT4G</v>
      </c>
      <c r="B39475" s="3" t="str">
        <f>HYPERLINK("https://www.773grp.com/manufacturer/onsemi?pageNo=183", "ON Semiconductor")</f>
        <v>ON Semiconductor</v>
      </c>
      <c r="C39475" s="6">
        <v>2500</v>
      </c>
      <c r="D39475" s="7">
        <v>3.1</v>
      </c>
      <c r="E39475" t="s">
        <v>105</v>
      </c>
    </row>
    <row r="39476" spans="1:5" x14ac:dyDescent="0.25">
      <c r="A39476" t="str">
        <f>HYPERLINK("https://www.773grp.com/globalSearch/CS8101YTHA5/page-1", "CS8101YTHA5")</f>
        <v>CS8101YTHA5</v>
      </c>
      <c r="B39476" s="3" t="str">
        <f>HYPERLINK("https://www.773grp.com/manufacturer/onsemi?pageNo=184", "ON Semiconductor")</f>
        <v>ON Semiconductor</v>
      </c>
      <c r="C39476" s="6">
        <v>43</v>
      </c>
      <c r="D39476" s="7">
        <v>2.84</v>
      </c>
      <c r="E39476" t="s">
        <v>19</v>
      </c>
    </row>
    <row r="39477" spans="1:5" x14ac:dyDescent="0.25">
      <c r="A39477" t="str">
        <f>HYPERLINK("https://www.773grp.com/globalSearch/CS8101YTHA5G/page-1", "CS8101YTHA5G")</f>
        <v>CS8101YTHA5G</v>
      </c>
      <c r="B39477" s="3" t="str">
        <f>HYPERLINK("https://www.773grp.com/manufacturer/onsemi?pageNo=185", "ON Semiconductor")</f>
        <v>ON Semiconductor</v>
      </c>
      <c r="C39477" s="6">
        <v>250</v>
      </c>
      <c r="D39477" s="7">
        <v>2.84</v>
      </c>
      <c r="E39477" t="s">
        <v>19</v>
      </c>
    </row>
    <row r="39478" spans="1:5" x14ac:dyDescent="0.25">
      <c r="A39478" t="str">
        <f>HYPERLINK("https://www.773grp.com/globalSearch/CS8101YTVA5G/page-1", "CS8101YTVA5G")</f>
        <v>CS8101YTVA5G</v>
      </c>
      <c r="B39478" s="3" t="str">
        <f>HYPERLINK("https://www.773grp.com/manufacturer/onsemi?pageNo=186", "ON Semiconductor")</f>
        <v>ON Semiconductor</v>
      </c>
      <c r="C39478" s="6">
        <v>5650</v>
      </c>
      <c r="D39478" s="7">
        <v>2.84</v>
      </c>
      <c r="E39478" t="s">
        <v>19</v>
      </c>
    </row>
    <row r="39479" spans="1:5" x14ac:dyDescent="0.25">
      <c r="A39479" t="str">
        <f>HYPERLINK("https://www.773grp.com/globalSearch/CS8122YTHA5G/page-1", "CS8122YTHA5G")</f>
        <v>CS8122YTHA5G</v>
      </c>
      <c r="B39479" s="3" t="str">
        <f>HYPERLINK("https://www.773grp.com/manufacturer/onsemi?pageNo=187", "ON Semiconductor")</f>
        <v>ON Semiconductor</v>
      </c>
      <c r="C39479" s="6">
        <v>1195</v>
      </c>
      <c r="D39479" s="7">
        <v>2.84</v>
      </c>
      <c r="E39479" t="s">
        <v>19</v>
      </c>
    </row>
    <row r="39480" spans="1:5" x14ac:dyDescent="0.25">
      <c r="A39480" t="str">
        <f>HYPERLINK("https://www.773grp.com/globalSearch/CS8122YTVA5G/page-1", "CS8122YTVA5G")</f>
        <v>CS8122YTVA5G</v>
      </c>
      <c r="B39480" s="3" t="str">
        <f>HYPERLINK("https://www.773grp.com/manufacturer/onsemi?pageNo=188", "ON Semiconductor")</f>
        <v>ON Semiconductor</v>
      </c>
      <c r="C39480" s="6">
        <v>5449</v>
      </c>
      <c r="D39480" s="7">
        <v>2.84</v>
      </c>
      <c r="E39480" t="s">
        <v>19</v>
      </c>
    </row>
    <row r="39481" spans="1:5" x14ac:dyDescent="0.25">
      <c r="A39481" t="str">
        <f>HYPERLINK("https://www.773grp.com/globalSearch/CS8141YDPSR7/page-1", "CS8141YDPSR7")</f>
        <v>CS8141YDPSR7</v>
      </c>
      <c r="B39481" s="3" t="str">
        <f>HYPERLINK("https://www.773grp.com/manufacturer/onsemi?pageNo=189", "ON Semiconductor")</f>
        <v>ON Semiconductor</v>
      </c>
      <c r="C39481" s="6">
        <v>12750</v>
      </c>
      <c r="D39481" s="7">
        <v>2.84</v>
      </c>
      <c r="E39481" t="s">
        <v>19</v>
      </c>
    </row>
    <row r="39482" spans="1:5" x14ac:dyDescent="0.25">
      <c r="A39482" t="str">
        <f>HYPERLINK("https://www.773grp.com/globalSearch/LC75700T-MPB-E/page-1", "LC75700T-MPB-E")</f>
        <v>LC75700T-MPB-E</v>
      </c>
      <c r="B39482" s="3" t="str">
        <f>HYPERLINK("https://www.773grp.com/manufacturer/onsemi?pageNo=190", "ON Semiconductor")</f>
        <v>ON Semiconductor</v>
      </c>
      <c r="C39482" s="6">
        <v>70</v>
      </c>
      <c r="D39482" s="7">
        <v>2.84</v>
      </c>
    </row>
    <row r="39483" spans="1:5" x14ac:dyDescent="0.25">
      <c r="A39483" t="str">
        <f>HYPERLINK("https://www.773grp.com/globalSearch/MC10H103L/page-1", "MC10H103L")</f>
        <v>MC10H103L</v>
      </c>
      <c r="B39483" s="3" t="str">
        <f>HYPERLINK("https://www.773grp.com/manufacturer/onsemi?pageNo=191", "ON Semiconductor")</f>
        <v>ON Semiconductor</v>
      </c>
      <c r="C39483" s="6">
        <v>213</v>
      </c>
      <c r="D39483" s="7">
        <v>2.84</v>
      </c>
      <c r="E39483" t="s">
        <v>31</v>
      </c>
    </row>
    <row r="39484" spans="1:5" x14ac:dyDescent="0.25">
      <c r="A39484" t="str">
        <f>HYPERLINK("https://www.773grp.com/globalSearch/MC10H104L/page-1", "MC10H104L")</f>
        <v>MC10H104L</v>
      </c>
      <c r="B39484" s="3" t="str">
        <f>HYPERLINK("https://www.773grp.com/manufacturer/onsemi?pageNo=192", "ON Semiconductor")</f>
        <v>ON Semiconductor</v>
      </c>
      <c r="C39484" s="6">
        <v>688</v>
      </c>
      <c r="D39484" s="7">
        <v>2.84</v>
      </c>
      <c r="E39484" t="s">
        <v>31</v>
      </c>
    </row>
    <row r="39485" spans="1:5" x14ac:dyDescent="0.25">
      <c r="A39485" t="str">
        <f>HYPERLINK("https://www.773grp.com/globalSearch/MC10H105L/page-1", "MC10H105L")</f>
        <v>MC10H105L</v>
      </c>
      <c r="B39485" s="3" t="str">
        <f>HYPERLINK("https://www.773grp.com/manufacturer/onsemi?pageNo=193", "ON Semiconductor")</f>
        <v>ON Semiconductor</v>
      </c>
      <c r="C39485" s="6">
        <v>3548</v>
      </c>
      <c r="D39485" s="7">
        <v>2.84</v>
      </c>
      <c r="E39485" t="s">
        <v>31</v>
      </c>
    </row>
    <row r="39486" spans="1:5" x14ac:dyDescent="0.25">
      <c r="A39486" t="str">
        <f>HYPERLINK("https://www.773grp.com/globalSearch/MC10H107L/page-1", "MC10H107L")</f>
        <v>MC10H107L</v>
      </c>
      <c r="B39486" s="3" t="str">
        <f>HYPERLINK("https://www.773grp.com/manufacturer/onsemi?pageNo=194", "ON Semiconductor")</f>
        <v>ON Semiconductor</v>
      </c>
      <c r="C39486" s="6">
        <v>295</v>
      </c>
      <c r="D39486" s="7">
        <v>2.84</v>
      </c>
      <c r="E39486" t="s">
        <v>31</v>
      </c>
    </row>
    <row r="39487" spans="1:5" x14ac:dyDescent="0.25">
      <c r="A39487" t="str">
        <f>HYPERLINK("https://www.773grp.com/globalSearch/MC10H109L/page-1", "MC10H109L")</f>
        <v>MC10H109L</v>
      </c>
      <c r="B39487" s="3" t="str">
        <f>HYPERLINK("https://www.773grp.com/manufacturer/onsemi?pageNo=195", "ON Semiconductor")</f>
        <v>ON Semiconductor</v>
      </c>
      <c r="C39487" s="6">
        <v>95</v>
      </c>
      <c r="D39487" s="7">
        <v>2.84</v>
      </c>
      <c r="E39487" t="s">
        <v>31</v>
      </c>
    </row>
    <row r="39488" spans="1:5" x14ac:dyDescent="0.25">
      <c r="A39488" t="str">
        <f>HYPERLINK("https://www.773grp.com/globalSearch/MC10H115L/page-1", "MC10H115L")</f>
        <v>MC10H115L</v>
      </c>
      <c r="B39488" s="3" t="str">
        <f>HYPERLINK("https://www.773grp.com/manufacturer/onsemi?pageNo=196", "ON Semiconductor")</f>
        <v>ON Semiconductor</v>
      </c>
      <c r="C39488" s="6">
        <v>883</v>
      </c>
      <c r="D39488" s="7">
        <v>2.84</v>
      </c>
      <c r="E39488" t="s">
        <v>21</v>
      </c>
    </row>
    <row r="39489" spans="1:5" x14ac:dyDescent="0.25">
      <c r="A39489" t="str">
        <f>HYPERLINK("https://www.773grp.com/globalSearch/MC10H117L/page-1", "MC10H117L")</f>
        <v>MC10H117L</v>
      </c>
      <c r="B39489" s="3" t="str">
        <f>HYPERLINK("https://www.773grp.com/manufacturer/onsemi?pageNo=197", "ON Semiconductor")</f>
        <v>ON Semiconductor</v>
      </c>
      <c r="C39489" s="6">
        <v>307</v>
      </c>
      <c r="D39489" s="7">
        <v>2.84</v>
      </c>
      <c r="E39489" t="s">
        <v>31</v>
      </c>
    </row>
    <row r="39490" spans="1:5" x14ac:dyDescent="0.25">
      <c r="A39490" t="str">
        <f>HYPERLINK("https://www.773grp.com/globalSearch/NCP3123MNTXG/page-1", "NCP3123MNTXG")</f>
        <v>NCP3123MNTXG</v>
      </c>
      <c r="B39490" s="3" t="str">
        <f>HYPERLINK("https://www.773grp.com/manufacturer/onsemi?pageNo=198", "ON Semiconductor")</f>
        <v>ON Semiconductor</v>
      </c>
      <c r="C39490" s="6">
        <v>34133</v>
      </c>
      <c r="D39490" s="7">
        <v>2.84</v>
      </c>
    </row>
    <row r="39491" spans="1:5" x14ac:dyDescent="0.25">
      <c r="A39491" t="str">
        <f>HYPERLINK("https://www.773grp.com/globalSearch/NCP5162D/page-1", "NCP5162D")</f>
        <v>NCP5162D</v>
      </c>
      <c r="B39491" s="3" t="str">
        <f>HYPERLINK("https://www.773grp.com/manufacturer/onsemi?pageNo=199", "ON Semiconductor")</f>
        <v>ON Semiconductor</v>
      </c>
      <c r="C39491" s="6">
        <v>1296</v>
      </c>
      <c r="D39491" s="7">
        <v>2.84</v>
      </c>
      <c r="E39491" t="s">
        <v>7</v>
      </c>
    </row>
    <row r="39492" spans="1:5" x14ac:dyDescent="0.25">
      <c r="A39492" t="str">
        <f>HYPERLINK("https://www.773grp.com/globalSearch/NCP5162DR2/page-1", "NCP5162DR2")</f>
        <v>NCP5162DR2</v>
      </c>
      <c r="B39492" s="3" t="str">
        <f>HYPERLINK("https://www.773grp.com/manufacturer/onsemi?pageNo=200", "ON Semiconductor")</f>
        <v>ON Semiconductor</v>
      </c>
      <c r="C39492" s="6">
        <v>2500</v>
      </c>
      <c r="D39492" s="7">
        <v>2.84</v>
      </c>
      <c r="E39492" t="s">
        <v>7</v>
      </c>
    </row>
    <row r="39493" spans="1:5" x14ac:dyDescent="0.25">
      <c r="A39493" t="str">
        <f>HYPERLINK("https://www.773grp.com/globalSearch/2N4036/page-1", "2N4036")</f>
        <v>2N4036</v>
      </c>
      <c r="B39493" s="3" t="str">
        <f>HYPERLINK("https://www.773grp.com/manufacturer/onsemi?pageNo=201", "ON Semiconductor")</f>
        <v>ON Semiconductor</v>
      </c>
      <c r="C39493" s="6">
        <v>2</v>
      </c>
      <c r="D39493" s="7">
        <v>3.18</v>
      </c>
      <c r="E39493" t="s">
        <v>69</v>
      </c>
    </row>
    <row r="39494" spans="1:5" x14ac:dyDescent="0.25">
      <c r="A39494" t="str">
        <f>HYPERLINK("https://www.773grp.com/globalSearch/2N4037/page-1", "2N4037")</f>
        <v>2N4037</v>
      </c>
      <c r="B39494" s="3" t="str">
        <f>HYPERLINK("https://www.773grp.com/manufacturer/onsemi?pageNo=202", "ON Semiconductor")</f>
        <v>ON Semiconductor</v>
      </c>
      <c r="C39494" s="6">
        <v>1169</v>
      </c>
      <c r="D39494" s="7">
        <v>3.18</v>
      </c>
      <c r="E39494" t="s">
        <v>69</v>
      </c>
    </row>
    <row r="39495" spans="1:5" x14ac:dyDescent="0.25">
      <c r="A39495" t="str">
        <f>HYPERLINK("https://www.773grp.com/globalSearch/BUV26G/page-1", "BUV26G")</f>
        <v>BUV26G</v>
      </c>
      <c r="B39495" s="3" t="str">
        <f>HYPERLINK("https://www.773grp.com/manufacturer/onsemi?pageNo=203", "ON Semiconductor")</f>
        <v>ON Semiconductor</v>
      </c>
      <c r="C39495" s="6">
        <v>122</v>
      </c>
      <c r="D39495" s="7">
        <v>3.18</v>
      </c>
      <c r="E39495" t="s">
        <v>59</v>
      </c>
    </row>
    <row r="39496" spans="1:5" x14ac:dyDescent="0.25">
      <c r="A39496" t="str">
        <f>HYPERLINK("https://www.773grp.com/globalSearch/CAT3200ZI-T3/page-1", "CAT3200ZI-T3")</f>
        <v>CAT3200ZI-T3</v>
      </c>
      <c r="B39496" s="3" t="str">
        <f>HYPERLINK("https://www.773grp.com/manufacturer/onsemi?pageNo=204", "ON Semiconductor")</f>
        <v>ON Semiconductor</v>
      </c>
      <c r="C39496" s="6">
        <v>3000</v>
      </c>
      <c r="D39496" s="7">
        <v>3.18</v>
      </c>
      <c r="E39496" t="s">
        <v>7</v>
      </c>
    </row>
    <row r="39497" spans="1:5" x14ac:dyDescent="0.25">
      <c r="A39497" t="str">
        <f>HYPERLINK("https://www.773grp.com/globalSearch/CAT34TS02VP2GT4A/page-1", "CAT34TS02VP2GT4A")</f>
        <v>CAT34TS02VP2GT4A</v>
      </c>
      <c r="B39497" s="3" t="str">
        <f>HYPERLINK("https://www.773grp.com/manufacturer/onsemi?pageNo=205", "ON Semiconductor")</f>
        <v>ON Semiconductor</v>
      </c>
      <c r="C39497" s="6">
        <v>32758</v>
      </c>
      <c r="D39497" s="7">
        <v>3.18</v>
      </c>
    </row>
    <row r="39498" spans="1:5" x14ac:dyDescent="0.25">
      <c r="A39498" t="str">
        <f>HYPERLINK("https://www.773grp.com/globalSearch/CAT3636HV3-GT2/page-1", "CAT3636HV3-GT2")</f>
        <v>CAT3636HV3-GT2</v>
      </c>
      <c r="B39498" s="3" t="str">
        <f>HYPERLINK("https://www.773grp.com/manufacturer/onsemi?pageNo=206", "ON Semiconductor")</f>
        <v>ON Semiconductor</v>
      </c>
      <c r="C39498" s="6">
        <v>12000</v>
      </c>
      <c r="D39498" s="7">
        <v>3.18</v>
      </c>
      <c r="E39498" t="s">
        <v>10</v>
      </c>
    </row>
    <row r="39499" spans="1:5" x14ac:dyDescent="0.25">
      <c r="A39499" t="str">
        <f>HYPERLINK("https://www.773grp.com/globalSearch/CAT6095VP2-GT4/page-1", "CAT6095VP2-GT4")</f>
        <v>CAT6095VP2-GT4</v>
      </c>
      <c r="B39499" s="3" t="str">
        <f>HYPERLINK("https://www.773grp.com/manufacturer/onsemi?pageNo=207", "ON Semiconductor")</f>
        <v>ON Semiconductor</v>
      </c>
      <c r="C39499" s="6">
        <v>7358</v>
      </c>
      <c r="D39499" s="7">
        <v>3.18</v>
      </c>
      <c r="E39499" t="s">
        <v>12</v>
      </c>
    </row>
    <row r="39500" spans="1:5" x14ac:dyDescent="0.25">
      <c r="A39500" t="str">
        <f>HYPERLINK("https://www.773grp.com/globalSearch/CS3843BGD8/page-1", "CS3843BGD8")</f>
        <v>CS3843BGD8</v>
      </c>
      <c r="B39500" s="3" t="str">
        <f>HYPERLINK("https://www.773grp.com/manufacturer/onsemi?pageNo=208", "ON Semiconductor")</f>
        <v>ON Semiconductor</v>
      </c>
      <c r="C39500" s="6">
        <v>274</v>
      </c>
      <c r="D39500" s="7">
        <v>3.18</v>
      </c>
      <c r="E39500" t="s">
        <v>7</v>
      </c>
    </row>
    <row r="39501" spans="1:5" x14ac:dyDescent="0.25">
      <c r="A39501" t="str">
        <f>HYPERLINK("https://www.773grp.com/globalSearch/CS3843BGDR8/page-1", "CS3843BGDR8")</f>
        <v>CS3843BGDR8</v>
      </c>
      <c r="B39501" s="3" t="str">
        <f>HYPERLINK("https://www.773grp.com/manufacturer/onsemi?pageNo=209", "ON Semiconductor")</f>
        <v>ON Semiconductor</v>
      </c>
      <c r="C39501" s="6">
        <v>2500</v>
      </c>
      <c r="D39501" s="7">
        <v>3.18</v>
      </c>
      <c r="E39501" t="s">
        <v>7</v>
      </c>
    </row>
    <row r="39502" spans="1:5" x14ac:dyDescent="0.25">
      <c r="A39502" t="str">
        <f>HYPERLINK("https://www.773grp.com/globalSearch/CS3844GDR8/page-1", "CS3844GDR8")</f>
        <v>CS3844GDR8</v>
      </c>
      <c r="B39502" s="3" t="str">
        <f>HYPERLINK("https://www.773grp.com/manufacturer/onsemi?pageNo=210", "ON Semiconductor")</f>
        <v>ON Semiconductor</v>
      </c>
      <c r="C39502" s="6">
        <v>20000</v>
      </c>
      <c r="D39502" s="7">
        <v>3.18</v>
      </c>
      <c r="E39502" t="s">
        <v>7</v>
      </c>
    </row>
    <row r="39503" spans="1:5" x14ac:dyDescent="0.25">
      <c r="A39503" t="str">
        <f>HYPERLINK("https://www.773grp.com/globalSearch/CS51221ED16/page-1", "CS51221ED16")</f>
        <v>CS51221ED16</v>
      </c>
      <c r="B39503" s="3" t="str">
        <f>HYPERLINK("https://www.773grp.com/manufacturer/onsemi?pageNo=211", "ON Semiconductor")</f>
        <v>ON Semiconductor</v>
      </c>
      <c r="C39503" s="6">
        <v>427</v>
      </c>
      <c r="D39503" s="7">
        <v>3.18</v>
      </c>
      <c r="E39503" t="s">
        <v>7</v>
      </c>
    </row>
    <row r="39504" spans="1:5" x14ac:dyDescent="0.25">
      <c r="A39504" t="str">
        <f>HYPERLINK("https://www.773grp.com/globalSearch/CS51221EDR16/page-1", "CS51221EDR16")</f>
        <v>CS51221EDR16</v>
      </c>
      <c r="B39504" s="3" t="str">
        <f>HYPERLINK("https://www.773grp.com/manufacturer/onsemi?pageNo=212", "ON Semiconductor")</f>
        <v>ON Semiconductor</v>
      </c>
      <c r="C39504" s="6">
        <v>10000</v>
      </c>
      <c r="D39504" s="7">
        <v>3.18</v>
      </c>
      <c r="E39504" t="s">
        <v>7</v>
      </c>
    </row>
    <row r="39505" spans="1:5" x14ac:dyDescent="0.25">
      <c r="A39505" t="str">
        <f>HYPERLINK("https://www.773grp.com/globalSearch/CS51221EDTB16G/page-1", "CS51221EDTB16G")</f>
        <v>CS51221EDTB16G</v>
      </c>
      <c r="B39505" s="3" t="str">
        <f>HYPERLINK("https://www.773grp.com/manufacturer/onsemi?pageNo=213", "ON Semiconductor")</f>
        <v>ON Semiconductor</v>
      </c>
      <c r="C39505" s="6">
        <v>4459</v>
      </c>
      <c r="D39505" s="7">
        <v>3.18</v>
      </c>
      <c r="E39505" t="s">
        <v>7</v>
      </c>
    </row>
    <row r="39506" spans="1:5" x14ac:dyDescent="0.25">
      <c r="A39506" t="str">
        <f>HYPERLINK("https://www.773grp.com/globalSearch/CS5253-1GDP5/page-1", "CS5253-1GDP5")</f>
        <v>CS5253-1GDP5</v>
      </c>
      <c r="B39506" s="3" t="str">
        <f>HYPERLINK("https://www.773grp.com/manufacturer/onsemi?pageNo=214", "ON Semiconductor")</f>
        <v>ON Semiconductor</v>
      </c>
      <c r="C39506" s="6">
        <v>1031</v>
      </c>
      <c r="D39506" s="7">
        <v>3.18</v>
      </c>
      <c r="E39506" t="s">
        <v>25</v>
      </c>
    </row>
    <row r="39507" spans="1:5" x14ac:dyDescent="0.25">
      <c r="A39507" t="str">
        <f>HYPERLINK("https://www.773grp.com/globalSearch/CS5253B-1GDP5/page-1", "CS5253B-1GDP5")</f>
        <v>CS5253B-1GDP5</v>
      </c>
      <c r="B39507" s="3" t="str">
        <f>HYPERLINK("https://www.773grp.com/manufacturer/onsemi?pageNo=215", "ON Semiconductor")</f>
        <v>ON Semiconductor</v>
      </c>
      <c r="C39507" s="6">
        <v>100</v>
      </c>
      <c r="D39507" s="7">
        <v>3.18</v>
      </c>
      <c r="E39507" t="s">
        <v>25</v>
      </c>
    </row>
    <row r="39508" spans="1:5" x14ac:dyDescent="0.25">
      <c r="A39508" t="str">
        <f>HYPERLINK("https://www.773grp.com/globalSearch/CS5253B-1GDPR5/page-1", "CS5253B-1GDPR5")</f>
        <v>CS5253B-1GDPR5</v>
      </c>
      <c r="B39508" s="3" t="str">
        <f>HYPERLINK("https://www.773grp.com/manufacturer/onsemi?pageNo=216", "ON Semiconductor")</f>
        <v>ON Semiconductor</v>
      </c>
      <c r="C39508" s="6">
        <v>9246</v>
      </c>
      <c r="D39508" s="7">
        <v>3.18</v>
      </c>
      <c r="E39508" t="s">
        <v>25</v>
      </c>
    </row>
    <row r="39509" spans="1:5" x14ac:dyDescent="0.25">
      <c r="A39509" t="str">
        <f>HYPERLINK("https://www.773grp.com/globalSearch/LC945P/page-1", "LC945P")</f>
        <v>LC945P</v>
      </c>
      <c r="B39509" s="3" t="str">
        <f>HYPERLINK("https://www.773grp.com/manufacturer/onsemi?pageNo=217", "ON Semiconductor")</f>
        <v>ON Semiconductor</v>
      </c>
      <c r="C39509" s="6">
        <v>60000</v>
      </c>
      <c r="D39509" s="7">
        <v>3.18</v>
      </c>
    </row>
    <row r="39510" spans="1:5" x14ac:dyDescent="0.25">
      <c r="A39510" t="str">
        <f>HYPERLINK("https://www.773grp.com/globalSearch/M74LCX16240DTR2G/page-1", "M74LCX16240DTR2G")</f>
        <v>M74LCX16240DTR2G</v>
      </c>
      <c r="B39510" s="3" t="str">
        <f>HYPERLINK("https://www.773grp.com/manufacturer/onsemi?pageNo=218", "ON Semiconductor")</f>
        <v>ON Semiconductor</v>
      </c>
      <c r="C39510" s="6">
        <v>15000</v>
      </c>
      <c r="D39510" s="7">
        <v>3.18</v>
      </c>
      <c r="E39510" t="s">
        <v>14</v>
      </c>
    </row>
    <row r="39511" spans="1:5" x14ac:dyDescent="0.25">
      <c r="A39511" t="str">
        <f>HYPERLINK("https://www.773grp.com/globalSearch/M74LCX16244DTR2G/page-1", "M74LCX16244DTR2G")</f>
        <v>M74LCX16244DTR2G</v>
      </c>
      <c r="B39511" s="3" t="str">
        <f>HYPERLINK("https://www.773grp.com/manufacturer/onsemi?pageNo=219", "ON Semiconductor")</f>
        <v>ON Semiconductor</v>
      </c>
      <c r="C39511" s="6">
        <v>556347</v>
      </c>
      <c r="D39511" s="7">
        <v>3.18</v>
      </c>
      <c r="E39511" t="s">
        <v>14</v>
      </c>
    </row>
    <row r="39512" spans="1:5" x14ac:dyDescent="0.25">
      <c r="A39512" t="str">
        <f>HYPERLINK("https://www.773grp.com/globalSearch/M74LCX16245DTR2G/page-1", "M74LCX16245DTR2G")</f>
        <v>M74LCX16245DTR2G</v>
      </c>
      <c r="B39512" s="3" t="str">
        <f>HYPERLINK("https://www.773grp.com/manufacturer/onsemi?pageNo=220", "ON Semiconductor")</f>
        <v>ON Semiconductor</v>
      </c>
      <c r="C39512" s="6">
        <v>11598</v>
      </c>
      <c r="D39512" s="7">
        <v>3.18</v>
      </c>
      <c r="E39512" t="s">
        <v>14</v>
      </c>
    </row>
    <row r="39513" spans="1:5" x14ac:dyDescent="0.25">
      <c r="A39513" t="str">
        <f>HYPERLINK("https://www.773grp.com/globalSearch/M74LCX16374DTR/page-1", "M74LCX16374DTR")</f>
        <v>M74LCX16374DTR</v>
      </c>
      <c r="B39513" s="3" t="str">
        <f>HYPERLINK("https://www.773grp.com/manufacturer/onsemi?pageNo=221", "ON Semiconductor")</f>
        <v>ON Semiconductor</v>
      </c>
      <c r="C39513" s="6">
        <v>2500</v>
      </c>
      <c r="D39513" s="7">
        <v>3.18</v>
      </c>
    </row>
    <row r="39514" spans="1:5" x14ac:dyDescent="0.25">
      <c r="A39514" t="str">
        <f>HYPERLINK("https://www.773grp.com/globalSearch/M74LCX16374DTR2G/page-1", "M74LCX16374DTR2G")</f>
        <v>M74LCX16374DTR2G</v>
      </c>
      <c r="B39514" s="3" t="str">
        <f>HYPERLINK("https://www.773grp.com/manufacturer/onsemi?pageNo=222", "ON Semiconductor")</f>
        <v>ON Semiconductor</v>
      </c>
      <c r="C39514" s="6">
        <v>8427</v>
      </c>
      <c r="D39514" s="7">
        <v>3.18</v>
      </c>
      <c r="E39514" t="s">
        <v>14</v>
      </c>
    </row>
    <row r="39515" spans="1:5" x14ac:dyDescent="0.25">
      <c r="A39515" t="str">
        <f>HYPERLINK("https://www.773grp.com/globalSearch/MAC212A10G/page-1", "MAC212A10G")</f>
        <v>MAC212A10G</v>
      </c>
      <c r="B39515" s="3" t="str">
        <f>HYPERLINK("https://www.773grp.com/manufacturer/onsemi?pageNo=223", "ON Semiconductor")</f>
        <v>ON Semiconductor</v>
      </c>
      <c r="C39515" s="6">
        <v>3000</v>
      </c>
      <c r="D39515" s="7">
        <v>3.18</v>
      </c>
      <c r="E39515" t="s">
        <v>102</v>
      </c>
    </row>
    <row r="39516" spans="1:5" x14ac:dyDescent="0.25">
      <c r="A39516" t="str">
        <f>HYPERLINK("https://www.773grp.com/globalSearch/MBRB20200CTG/page-1", "MBRB20200CTG")</f>
        <v>MBRB20200CTG</v>
      </c>
      <c r="B39516" s="3" t="str">
        <f>HYPERLINK("https://www.773grp.com/manufacturer/onsemi?pageNo=224", "ON Semiconductor")</f>
        <v>ON Semiconductor</v>
      </c>
      <c r="C39516" s="6">
        <v>1220</v>
      </c>
      <c r="D39516" s="7">
        <v>3.18</v>
      </c>
    </row>
    <row r="39517" spans="1:5" x14ac:dyDescent="0.25">
      <c r="A39517" t="str">
        <f>HYPERLINK("https://www.773grp.com/globalSearch/MBRB20200CTT4G/page-1", "MBRB20200CTT4G")</f>
        <v>MBRB20200CTT4G</v>
      </c>
      <c r="B39517" s="3" t="str">
        <f>HYPERLINK("https://www.773grp.com/manufacturer/onsemi?pageNo=225", "ON Semiconductor")</f>
        <v>ON Semiconductor</v>
      </c>
      <c r="C39517" s="6">
        <v>1600</v>
      </c>
      <c r="D39517" s="7">
        <v>3.18</v>
      </c>
    </row>
    <row r="39518" spans="1:5" x14ac:dyDescent="0.25">
      <c r="A39518" t="str">
        <f>HYPERLINK("https://www.773grp.com/globalSearch/MC14557BF/page-1", "MC14557BF")</f>
        <v>MC14557BF</v>
      </c>
      <c r="B39518" s="3" t="str">
        <f>HYPERLINK("https://www.773grp.com/manufacturer/onsemi?pageNo=226", "ON Semiconductor")</f>
        <v>ON Semiconductor</v>
      </c>
      <c r="C39518" s="6">
        <v>840</v>
      </c>
      <c r="D39518" s="7">
        <v>3.18</v>
      </c>
      <c r="E39518" t="s">
        <v>32</v>
      </c>
    </row>
    <row r="39519" spans="1:5" x14ac:dyDescent="0.25">
      <c r="A39519" t="str">
        <f>HYPERLINK("https://www.773grp.com/globalSearch/MC34163DW/page-1", "MC34163DW")</f>
        <v>MC34163DW</v>
      </c>
      <c r="B39519" s="3" t="str">
        <f>HYPERLINK("https://www.773grp.com/manufacturer/onsemi?pageNo=227", "ON Semiconductor")</f>
        <v>ON Semiconductor</v>
      </c>
      <c r="C39519" s="6">
        <v>298</v>
      </c>
      <c r="D39519" s="7">
        <v>3.18</v>
      </c>
      <c r="E39519" t="s">
        <v>7</v>
      </c>
    </row>
    <row r="39520" spans="1:5" x14ac:dyDescent="0.25">
      <c r="A39520" t="str">
        <f>HYPERLINK("https://www.773grp.com/globalSearch/MC74ACT299DW/page-1", "MC74ACT299DW")</f>
        <v>MC74ACT299DW</v>
      </c>
      <c r="B39520" s="3" t="str">
        <f>HYPERLINK("https://www.773grp.com/manufacturer/onsemi?pageNo=228", "ON Semiconductor")</f>
        <v>ON Semiconductor</v>
      </c>
      <c r="C39520" s="6">
        <v>38</v>
      </c>
      <c r="D39520" s="7">
        <v>3.18</v>
      </c>
      <c r="E39520" t="s">
        <v>32</v>
      </c>
    </row>
    <row r="39521" spans="1:5" x14ac:dyDescent="0.25">
      <c r="A39521" t="str">
        <f>HYPERLINK("https://www.773grp.com/globalSearch/MC74LCX16244DTG/page-1", "MC74LCX16244DTG")</f>
        <v>MC74LCX16244DTG</v>
      </c>
      <c r="B39521" s="3" t="str">
        <f>HYPERLINK("https://www.773grp.com/manufacturer/onsemi?pageNo=229", "ON Semiconductor")</f>
        <v>ON Semiconductor</v>
      </c>
      <c r="C39521" s="6">
        <v>1437</v>
      </c>
      <c r="D39521" s="7">
        <v>3.18</v>
      </c>
      <c r="E39521" t="s">
        <v>14</v>
      </c>
    </row>
    <row r="39522" spans="1:5" x14ac:dyDescent="0.25">
      <c r="A39522" t="str">
        <f>HYPERLINK("https://www.773grp.com/globalSearch/MC74LCX16245DT/page-1", "MC74LCX16245DT")</f>
        <v>MC74LCX16245DT</v>
      </c>
      <c r="B39522" s="3" t="str">
        <f>HYPERLINK("https://www.773grp.com/manufacturer/onsemi?pageNo=230", "ON Semiconductor")</f>
        <v>ON Semiconductor</v>
      </c>
      <c r="C39522" s="6">
        <v>2760</v>
      </c>
      <c r="D39522" s="7">
        <v>3.18</v>
      </c>
      <c r="E39522" t="s">
        <v>14</v>
      </c>
    </row>
    <row r="39523" spans="1:5" x14ac:dyDescent="0.25">
      <c r="A39523" t="str">
        <f>HYPERLINK("https://www.773grp.com/globalSearch/MC74LCX16245DTG/page-1", "MC74LCX16245DTG")</f>
        <v>MC74LCX16245DTG</v>
      </c>
      <c r="B39523" s="3" t="str">
        <f>HYPERLINK("https://www.773grp.com/manufacturer/onsemi?pageNo=231", "ON Semiconductor")</f>
        <v>ON Semiconductor</v>
      </c>
      <c r="C39523" s="6">
        <v>3168</v>
      </c>
      <c r="D39523" s="7">
        <v>3.18</v>
      </c>
      <c r="E39523" t="s">
        <v>14</v>
      </c>
    </row>
    <row r="39524" spans="1:5" x14ac:dyDescent="0.25">
      <c r="A39524" t="str">
        <f>HYPERLINK("https://www.773grp.com/globalSearch/MC74LCX16373DTG/page-1", "MC74LCX16373DTG")</f>
        <v>MC74LCX16373DTG</v>
      </c>
      <c r="B39524" s="3" t="str">
        <f>HYPERLINK("https://www.773grp.com/manufacturer/onsemi?pageNo=232", "ON Semiconductor")</f>
        <v>ON Semiconductor</v>
      </c>
      <c r="C39524" s="6">
        <v>22</v>
      </c>
      <c r="D39524" s="7">
        <v>3.18</v>
      </c>
      <c r="E39524" t="s">
        <v>14</v>
      </c>
    </row>
    <row r="39525" spans="1:5" x14ac:dyDescent="0.25">
      <c r="A39525" t="str">
        <f>HYPERLINK("https://www.773grp.com/globalSearch/MC74LCX16374DTG/page-1", "MC74LCX16374DTG")</f>
        <v>MC74LCX16374DTG</v>
      </c>
      <c r="B39525" s="3" t="str">
        <f>HYPERLINK("https://www.773grp.com/manufacturer/onsemi?pageNo=233", "ON Semiconductor")</f>
        <v>ON Semiconductor</v>
      </c>
      <c r="C39525" s="6">
        <v>4524</v>
      </c>
      <c r="D39525" s="7">
        <v>3.18</v>
      </c>
      <c r="E39525" t="s">
        <v>14</v>
      </c>
    </row>
    <row r="39526" spans="1:5" x14ac:dyDescent="0.25">
      <c r="A39526" t="str">
        <f>HYPERLINK("https://www.773grp.com/globalSearch/MGP4N60ED/page-1", "MGP4N60ED")</f>
        <v>MGP4N60ED</v>
      </c>
      <c r="B39526" s="3" t="str">
        <f>HYPERLINK("https://www.773grp.com/manufacturer/onsemi?pageNo=234", "ON Semiconductor")</f>
        <v>ON Semiconductor</v>
      </c>
      <c r="C39526" s="6">
        <v>3631</v>
      </c>
      <c r="D39526" s="7">
        <v>3.18</v>
      </c>
      <c r="E39526" t="s">
        <v>115</v>
      </c>
    </row>
    <row r="39527" spans="1:5" x14ac:dyDescent="0.25">
      <c r="A39527" t="str">
        <f>HYPERLINK("https://www.773grp.com/globalSearch/MJF47G/page-1", "MJF47G")</f>
        <v>MJF47G</v>
      </c>
      <c r="B39527" s="3" t="str">
        <f>HYPERLINK("https://www.773grp.com/manufacturer/onsemi?pageNo=235", "ON Semiconductor")</f>
        <v>ON Semiconductor</v>
      </c>
      <c r="C39527" s="6">
        <v>1300</v>
      </c>
      <c r="D39527" s="7">
        <v>3.18</v>
      </c>
      <c r="E39527" t="s">
        <v>59</v>
      </c>
    </row>
    <row r="39528" spans="1:5" x14ac:dyDescent="0.25">
      <c r="A39528" t="str">
        <f>HYPERLINK("https://www.773grp.com/globalSearch/MSRF1560G/page-1", "MSRF1560G")</f>
        <v>MSRF1560G</v>
      </c>
      <c r="B39528" s="3" t="str">
        <f>HYPERLINK("https://www.773grp.com/manufacturer/onsemi?pageNo=236", "ON Semiconductor")</f>
        <v>ON Semiconductor</v>
      </c>
      <c r="C39528" s="6">
        <v>6989</v>
      </c>
      <c r="D39528" s="7">
        <v>3.18</v>
      </c>
      <c r="E39528" t="s">
        <v>103</v>
      </c>
    </row>
    <row r="39529" spans="1:5" x14ac:dyDescent="0.25">
      <c r="A39529" t="str">
        <f>HYPERLINK("https://www.773grp.com/globalSearch/MUR1520/page-1", "MUR1520")</f>
        <v>MUR1520</v>
      </c>
      <c r="B39529" s="3" t="str">
        <f>HYPERLINK("https://www.773grp.com/manufacturer/onsemi?pageNo=237", "ON Semiconductor")</f>
        <v>ON Semiconductor</v>
      </c>
      <c r="C39529" s="6">
        <v>1543</v>
      </c>
      <c r="D39529" s="7">
        <v>3.18</v>
      </c>
    </row>
    <row r="39530" spans="1:5" x14ac:dyDescent="0.25">
      <c r="A39530" t="str">
        <f>HYPERLINK("https://www.773grp.com/globalSearch/MUR1540/page-1", "MUR1540")</f>
        <v>MUR1540</v>
      </c>
      <c r="B39530" s="3" t="str">
        <f>HYPERLINK("https://www.773grp.com/manufacturer/onsemi?pageNo=238", "ON Semiconductor")</f>
        <v>ON Semiconductor</v>
      </c>
      <c r="C39530" s="6">
        <v>963</v>
      </c>
      <c r="D39530" s="7">
        <v>3.18</v>
      </c>
      <c r="E39530" t="s">
        <v>103</v>
      </c>
    </row>
    <row r="39531" spans="1:5" x14ac:dyDescent="0.25">
      <c r="A39531" t="str">
        <f>HYPERLINK("https://www.773grp.com/globalSearch/MURF1560G/page-1", "MURF1560G")</f>
        <v>MURF1560G</v>
      </c>
      <c r="B39531" s="3" t="str">
        <f>HYPERLINK("https://www.773grp.com/manufacturer/onsemi?pageNo=239", "ON Semiconductor")</f>
        <v>ON Semiconductor</v>
      </c>
      <c r="C39531" s="6">
        <v>15120</v>
      </c>
      <c r="D39531" s="7">
        <v>3.18</v>
      </c>
      <c r="E39531" t="s">
        <v>103</v>
      </c>
    </row>
    <row r="39532" spans="1:5" x14ac:dyDescent="0.25">
      <c r="A39532" t="str">
        <f>HYPERLINK("https://www.773grp.com/globalSearch/MURH860CTG/page-1", "MURH860CTG")</f>
        <v>MURH860CTG</v>
      </c>
      <c r="B39532" s="3" t="str">
        <f>HYPERLINK("https://www.773grp.com/manufacturer/onsemi?pageNo=240", "ON Semiconductor")</f>
        <v>ON Semiconductor</v>
      </c>
      <c r="C39532" s="6">
        <v>2280</v>
      </c>
      <c r="D39532" s="7">
        <v>3.18</v>
      </c>
      <c r="E39532" t="s">
        <v>103</v>
      </c>
    </row>
    <row r="39533" spans="1:5" x14ac:dyDescent="0.25">
      <c r="A39533" t="str">
        <f>HYPERLINK("https://www.773grp.com/globalSearch/NB3N551DG/page-1", "NB3N551DG")</f>
        <v>NB3N551DG</v>
      </c>
      <c r="B39533" s="3" t="str">
        <f>HYPERLINK("https://www.773grp.com/manufacturer/onsemi?pageNo=241", "ON Semiconductor")</f>
        <v>ON Semiconductor</v>
      </c>
      <c r="C39533" s="6">
        <v>11823</v>
      </c>
      <c r="D39533" s="7">
        <v>3.18</v>
      </c>
      <c r="E39533" t="s">
        <v>34</v>
      </c>
    </row>
    <row r="39534" spans="1:5" x14ac:dyDescent="0.25">
      <c r="A39534" t="str">
        <f>HYPERLINK("https://www.773grp.com/globalSearch/NB3RL02FCT2G/page-1", "NB3RL02FCT2G")</f>
        <v>NB3RL02FCT2G</v>
      </c>
      <c r="B39534" s="3" t="str">
        <f>HYPERLINK("https://www.773grp.com/manufacturer/onsemi?pageNo=242", "ON Semiconductor")</f>
        <v>ON Semiconductor</v>
      </c>
      <c r="C39534" s="6">
        <v>3000</v>
      </c>
      <c r="D39534" s="7">
        <v>3.18</v>
      </c>
    </row>
    <row r="39535" spans="1:5" x14ac:dyDescent="0.25">
      <c r="A39535" t="str">
        <f>HYPERLINK("https://www.773grp.com/globalSearch/NCN4555MNR2G/page-1", "NCN4555MNR2G")</f>
        <v>NCN4555MNR2G</v>
      </c>
      <c r="B39535" s="3" t="str">
        <f>HYPERLINK("https://www.773grp.com/manufacturer/onsemi?pageNo=243", "ON Semiconductor")</f>
        <v>ON Semiconductor</v>
      </c>
      <c r="C39535" s="6">
        <v>1074274</v>
      </c>
      <c r="D39535" s="7">
        <v>3.18</v>
      </c>
      <c r="E39535" t="s">
        <v>30</v>
      </c>
    </row>
    <row r="39536" spans="1:5" x14ac:dyDescent="0.25">
      <c r="A39536" t="str">
        <f>HYPERLINK("https://www.773grp.com/globalSearch/NCP112DG/page-1", "NCP112DG")</f>
        <v>NCP112DG</v>
      </c>
      <c r="B39536" s="3" t="str">
        <f>HYPERLINK("https://www.773grp.com/manufacturer/onsemi?pageNo=244", "ON Semiconductor")</f>
        <v>ON Semiconductor</v>
      </c>
      <c r="C39536" s="6">
        <v>18</v>
      </c>
      <c r="D39536" s="7">
        <v>3.18</v>
      </c>
      <c r="E39536" t="s">
        <v>30</v>
      </c>
    </row>
    <row r="39537" spans="1:5" x14ac:dyDescent="0.25">
      <c r="A39537" t="str">
        <f>HYPERLINK("https://www.773grp.com/globalSearch/NCP1605ADR2G/page-1", "NCP1605ADR2G")</f>
        <v>NCP1605ADR2G</v>
      </c>
      <c r="B39537" s="3" t="str">
        <f>HYPERLINK("https://www.773grp.com/manufacturer/onsemi?pageNo=245", "ON Semiconductor")</f>
        <v>ON Semiconductor</v>
      </c>
      <c r="C39537" s="6">
        <v>22195</v>
      </c>
      <c r="D39537" s="7">
        <v>3.18</v>
      </c>
      <c r="E39537" t="s">
        <v>7</v>
      </c>
    </row>
    <row r="39538" spans="1:5" x14ac:dyDescent="0.25">
      <c r="A39538" t="str">
        <f>HYPERLINK("https://www.773grp.com/globalSearch/NCP1605BDR2G/page-1", "NCP1605BDR2G")</f>
        <v>NCP1605BDR2G</v>
      </c>
      <c r="B39538" s="3" t="str">
        <f>HYPERLINK("https://www.773grp.com/manufacturer/onsemi?pageNo=246", "ON Semiconductor")</f>
        <v>ON Semiconductor</v>
      </c>
      <c r="C39538" s="6">
        <v>2494</v>
      </c>
      <c r="D39538" s="7">
        <v>3.18</v>
      </c>
    </row>
    <row r="39539" spans="1:5" x14ac:dyDescent="0.25">
      <c r="A39539" t="str">
        <f>HYPERLINK("https://www.773grp.com/globalSearch/NCP1605DR2G/page-1", "NCP1605DR2G")</f>
        <v>NCP1605DR2G</v>
      </c>
      <c r="B39539" s="3" t="str">
        <f>HYPERLINK("https://www.773grp.com/manufacturer/onsemi?pageNo=247", "ON Semiconductor")</f>
        <v>ON Semiconductor</v>
      </c>
      <c r="C39539" s="6">
        <v>3325</v>
      </c>
      <c r="D39539" s="7">
        <v>3.18</v>
      </c>
      <c r="E39539" t="s">
        <v>7</v>
      </c>
    </row>
    <row r="39540" spans="1:5" x14ac:dyDescent="0.25">
      <c r="A39540" t="str">
        <f>HYPERLINK("https://www.773grp.com/globalSearch/NCP4629HDT050T5G/page-1", "NCP4629HDT050T5G")</f>
        <v>NCP4629HDT050T5G</v>
      </c>
      <c r="B39540" s="3" t="str">
        <f>HYPERLINK("https://www.773grp.com/manufacturer/onsemi?pageNo=248", "ON Semiconductor")</f>
        <v>ON Semiconductor</v>
      </c>
      <c r="C39540" s="6">
        <v>146</v>
      </c>
      <c r="D39540" s="7">
        <v>3.18</v>
      </c>
    </row>
    <row r="39541" spans="1:5" x14ac:dyDescent="0.25">
      <c r="A39541" t="str">
        <f>HYPERLINK("https://www.773grp.com/globalSearch/NCP4629HDT060T5G/page-1", "NCP4629HDT060T5G")</f>
        <v>NCP4629HDT060T5G</v>
      </c>
      <c r="B39541" s="3" t="str">
        <f>HYPERLINK("https://www.773grp.com/manufacturer/onsemi?pageNo=249", "ON Semiconductor")</f>
        <v>ON Semiconductor</v>
      </c>
      <c r="C39541" s="6">
        <v>24000</v>
      </c>
      <c r="D39541" s="7">
        <v>3.18</v>
      </c>
    </row>
    <row r="39542" spans="1:5" x14ac:dyDescent="0.25">
      <c r="A39542" t="str">
        <f>HYPERLINK("https://www.773grp.com/globalSearch/NCP4629HDT120T5G/page-1", "NCP4629HDT120T5G")</f>
        <v>NCP4629HDT120T5G</v>
      </c>
      <c r="B39542" s="3" t="str">
        <f>HYPERLINK("https://www.773grp.com/manufacturer/onsemi?pageNo=250", "ON Semiconductor")</f>
        <v>ON Semiconductor</v>
      </c>
      <c r="C39542" s="6">
        <v>14907</v>
      </c>
      <c r="D39542" s="7">
        <v>3.18</v>
      </c>
    </row>
    <row r="39543" spans="1:5" x14ac:dyDescent="0.25">
      <c r="A39543" t="str">
        <f>HYPERLINK("https://www.773grp.com/globalSearch/NCP5050MTTXG/page-1", "NCP5050MTTXG")</f>
        <v>NCP5050MTTXG</v>
      </c>
      <c r="B39543" s="3" t="str">
        <f>HYPERLINK("https://www.773grp.com/manufacturer/onsemi?pageNo=251", "ON Semiconductor")</f>
        <v>ON Semiconductor</v>
      </c>
      <c r="C39543" s="6">
        <v>36513</v>
      </c>
      <c r="D39543" s="7">
        <v>3.18</v>
      </c>
      <c r="E39543" t="s">
        <v>7</v>
      </c>
    </row>
    <row r="39544" spans="1:5" x14ac:dyDescent="0.25">
      <c r="A39544" t="str">
        <f>HYPERLINK("https://www.773grp.com/globalSearch/NCP5210MNR2/page-1", "NCP5210MNR2")</f>
        <v>NCP5210MNR2</v>
      </c>
      <c r="B39544" s="3" t="str">
        <f>HYPERLINK("https://www.773grp.com/manufacturer/onsemi?pageNo=252", "ON Semiconductor")</f>
        <v>ON Semiconductor</v>
      </c>
      <c r="C39544" s="6">
        <v>228984</v>
      </c>
      <c r="D39544" s="7">
        <v>3.18</v>
      </c>
      <c r="E39544" t="s">
        <v>7</v>
      </c>
    </row>
    <row r="39545" spans="1:5" x14ac:dyDescent="0.25">
      <c r="A39545" t="str">
        <f>HYPERLINK("https://www.773grp.com/globalSearch/NCP5392HMNR2G/page-1", "NCP5392HMNR2G")</f>
        <v>NCP5392HMNR2G</v>
      </c>
      <c r="B39545" s="3" t="str">
        <f>HYPERLINK("https://www.773grp.com/manufacturer/onsemi?pageNo=253", "ON Semiconductor")</f>
        <v>ON Semiconductor</v>
      </c>
      <c r="C39545" s="6">
        <v>8052</v>
      </c>
      <c r="D39545" s="7">
        <v>3.18</v>
      </c>
    </row>
    <row r="39546" spans="1:5" x14ac:dyDescent="0.25">
      <c r="A39546" t="str">
        <f>HYPERLINK("https://www.773grp.com/globalSearch/NCP5666DS25R4G/page-1", "NCP5666DS25R4G")</f>
        <v>NCP5666DS25R4G</v>
      </c>
      <c r="B39546" s="3" t="str">
        <f>HYPERLINK("https://www.773grp.com/manufacturer/onsemi?pageNo=254", "ON Semiconductor")</f>
        <v>ON Semiconductor</v>
      </c>
      <c r="C39546" s="6">
        <v>7278</v>
      </c>
      <c r="D39546" s="7">
        <v>3.18</v>
      </c>
      <c r="E39546" t="s">
        <v>19</v>
      </c>
    </row>
    <row r="39547" spans="1:5" x14ac:dyDescent="0.25">
      <c r="A39547" t="str">
        <f>HYPERLINK("https://www.773grp.com/globalSearch/NCS2566DTBR2G/page-1", "NCS2566DTBR2G")</f>
        <v>NCS2566DTBR2G</v>
      </c>
      <c r="B39547" s="3" t="str">
        <f>HYPERLINK("https://www.773grp.com/manufacturer/onsemi?pageNo=255", "ON Semiconductor")</f>
        <v>ON Semiconductor</v>
      </c>
      <c r="C39547" s="6">
        <v>26175</v>
      </c>
      <c r="D39547" s="7">
        <v>3.18</v>
      </c>
    </row>
    <row r="39548" spans="1:5" x14ac:dyDescent="0.25">
      <c r="A39548" t="str">
        <f>HYPERLINK("https://www.773grp.com/globalSearch/NCV4299D2R2G/page-1", "NCV4299D2R2G")</f>
        <v>NCV4299D2R2G</v>
      </c>
      <c r="B39548" s="3" t="str">
        <f>HYPERLINK("https://www.773grp.com/manufacturer/onsemi?pageNo=256", "ON Semiconductor")</f>
        <v>ON Semiconductor</v>
      </c>
      <c r="C39548" s="6">
        <v>7405</v>
      </c>
      <c r="D39548" s="7">
        <v>3.18</v>
      </c>
      <c r="E39548" t="s">
        <v>19</v>
      </c>
    </row>
    <row r="39549" spans="1:5" x14ac:dyDescent="0.25">
      <c r="A39549" t="str">
        <f>HYPERLINK("https://www.773grp.com/globalSearch/NCV565D2TG/page-1", "NCV565D2TG")</f>
        <v>NCV565D2TG</v>
      </c>
      <c r="B39549" s="3" t="str">
        <f>HYPERLINK("https://www.773grp.com/manufacturer/onsemi?pageNo=257", "ON Semiconductor")</f>
        <v>ON Semiconductor</v>
      </c>
      <c r="C39549" s="6">
        <v>3250</v>
      </c>
      <c r="D39549" s="7">
        <v>3.18</v>
      </c>
    </row>
    <row r="39550" spans="1:5" x14ac:dyDescent="0.25">
      <c r="A39550" t="str">
        <f>HYPERLINK("https://www.773grp.com/globalSearch/NCV565D2TR4G/page-1", "NCV565D2TR4G")</f>
        <v>NCV565D2TR4G</v>
      </c>
      <c r="B39550" s="3" t="str">
        <f>HYPERLINK("https://www.773grp.com/manufacturer/onsemi?pageNo=258", "ON Semiconductor")</f>
        <v>ON Semiconductor</v>
      </c>
      <c r="C39550" s="6">
        <v>2994</v>
      </c>
      <c r="D39550" s="7">
        <v>3.18</v>
      </c>
      <c r="E39550" t="s">
        <v>25</v>
      </c>
    </row>
    <row r="39551" spans="1:5" x14ac:dyDescent="0.25">
      <c r="A39551" t="str">
        <f>HYPERLINK("https://www.773grp.com/globalSearch/NCV7441D20G/page-1", "NCV7441D20G")</f>
        <v>NCV7441D20G</v>
      </c>
      <c r="B39551" s="3" t="str">
        <f>HYPERLINK("https://www.773grp.com/manufacturer/onsemi?pageNo=259", "ON Semiconductor")</f>
        <v>ON Semiconductor</v>
      </c>
      <c r="C39551" s="6">
        <v>770</v>
      </c>
      <c r="D39551" s="7">
        <v>3.18</v>
      </c>
    </row>
    <row r="39552" spans="1:5" x14ac:dyDescent="0.25">
      <c r="A39552" t="str">
        <f>HYPERLINK("https://www.773grp.com/globalSearch/NCV8405ADTRKG/page-1", "NCV8405ADTRKG")</f>
        <v>NCV8405ADTRKG</v>
      </c>
      <c r="B39552" s="3" t="str">
        <f>HYPERLINK("https://www.773grp.com/manufacturer/onsemi?pageNo=260", "ON Semiconductor")</f>
        <v>ON Semiconductor</v>
      </c>
      <c r="C39552" s="6">
        <v>2000</v>
      </c>
      <c r="D39552" s="7">
        <v>3.18</v>
      </c>
    </row>
    <row r="39553" spans="1:5" x14ac:dyDescent="0.25">
      <c r="A39553" t="str">
        <f>HYPERLINK("https://www.773grp.com/globalSearch/NCV8405ASTT1G/page-1", "NCV8405ASTT1G")</f>
        <v>NCV8405ASTT1G</v>
      </c>
      <c r="B39553" s="3" t="str">
        <f>HYPERLINK("https://www.773grp.com/manufacturer/onsemi?pageNo=261", "ON Semiconductor")</f>
        <v>ON Semiconductor</v>
      </c>
      <c r="C39553" s="6">
        <v>10000</v>
      </c>
      <c r="D39553" s="7">
        <v>3.18</v>
      </c>
    </row>
    <row r="39554" spans="1:5" x14ac:dyDescent="0.25">
      <c r="A39554" t="str">
        <f>HYPERLINK("https://www.773grp.com/globalSearch/NCV8504PW33/page-1", "NCV8504PW33")</f>
        <v>NCV8504PW33</v>
      </c>
      <c r="B39554" s="3" t="str">
        <f>HYPERLINK("https://www.773grp.com/manufacturer/onsemi?pageNo=262", "ON Semiconductor")</f>
        <v>ON Semiconductor</v>
      </c>
      <c r="C39554" s="6">
        <v>528</v>
      </c>
      <c r="D39554" s="7">
        <v>3.18</v>
      </c>
      <c r="E39554" t="s">
        <v>19</v>
      </c>
    </row>
    <row r="39555" spans="1:5" x14ac:dyDescent="0.25">
      <c r="A39555" t="str">
        <f>HYPERLINK("https://www.773grp.com/globalSearch/NGB15N41ACLT4G/page-1", "NGB15N41ACLT4G")</f>
        <v>NGB15N41ACLT4G</v>
      </c>
      <c r="B39555" s="3" t="str">
        <f>HYPERLINK("https://www.773grp.com/manufacturer/onsemi?pageNo=263", "ON Semiconductor")</f>
        <v>ON Semiconductor</v>
      </c>
      <c r="C39555" s="6">
        <v>3200</v>
      </c>
      <c r="D39555" s="7">
        <v>3.18</v>
      </c>
    </row>
    <row r="39556" spans="1:5" x14ac:dyDescent="0.25">
      <c r="A39556" t="str">
        <f>HYPERLINK("https://www.773grp.com/globalSearch/NIF62514T1G/page-1", "NIF62514T1G")</f>
        <v>NIF62514T1G</v>
      </c>
      <c r="B39556" s="3" t="str">
        <f>HYPERLINK("https://www.773grp.com/manufacturer/onsemi?pageNo=264", "ON Semiconductor")</f>
        <v>ON Semiconductor</v>
      </c>
      <c r="C39556" s="6">
        <v>22393</v>
      </c>
      <c r="D39556" s="7">
        <v>3.18</v>
      </c>
      <c r="E39556" t="s">
        <v>105</v>
      </c>
    </row>
    <row r="39557" spans="1:5" x14ac:dyDescent="0.25">
      <c r="A39557" t="str">
        <f>HYPERLINK("https://www.773grp.com/globalSearch/NIF62514T3G/page-1", "NIF62514T3G")</f>
        <v>NIF62514T3G</v>
      </c>
      <c r="B39557" s="3" t="str">
        <f>HYPERLINK("https://www.773grp.com/manufacturer/onsemi?pageNo=265", "ON Semiconductor")</f>
        <v>ON Semiconductor</v>
      </c>
      <c r="C39557" s="6">
        <v>39500</v>
      </c>
      <c r="D39557" s="7">
        <v>3.18</v>
      </c>
      <c r="E39557" t="s">
        <v>105</v>
      </c>
    </row>
    <row r="39558" spans="1:5" x14ac:dyDescent="0.25">
      <c r="A39558" t="str">
        <f>HYPERLINK("https://www.773grp.com/globalSearch/NLAS5223LMNR2G/page-1", "NLAS5223LMNR2G")</f>
        <v>NLAS5223LMNR2G</v>
      </c>
      <c r="B39558" s="3" t="str">
        <f>HYPERLINK("https://www.773grp.com/manufacturer/onsemi?pageNo=266", "ON Semiconductor")</f>
        <v>ON Semiconductor</v>
      </c>
      <c r="C39558" s="6">
        <v>119730</v>
      </c>
      <c r="D39558" s="7">
        <v>3.18</v>
      </c>
      <c r="E39558" t="s">
        <v>56</v>
      </c>
    </row>
    <row r="39559" spans="1:5" x14ac:dyDescent="0.25">
      <c r="A39559" t="str">
        <f>HYPERLINK("https://www.773grp.com/globalSearch/NLSV22T244MUTAG/page-1", "NLSV22T244MUTAG")</f>
        <v>NLSV22T244MUTAG</v>
      </c>
      <c r="B39559" s="3" t="str">
        <f>HYPERLINK("https://www.773grp.com/manufacturer/onsemi?pageNo=267", "ON Semiconductor")</f>
        <v>ON Semiconductor</v>
      </c>
      <c r="C39559" s="6">
        <v>54000</v>
      </c>
      <c r="D39559" s="7">
        <v>3.18</v>
      </c>
      <c r="E39559" t="s">
        <v>14</v>
      </c>
    </row>
    <row r="39560" spans="1:5" x14ac:dyDescent="0.25">
      <c r="A39560" t="str">
        <f>HYPERLINK("https://www.773grp.com/globalSearch/NLSV4T240MUTAG/page-1", "NLSV4T240MUTAG")</f>
        <v>NLSV4T240MUTAG</v>
      </c>
      <c r="B39560" s="3" t="str">
        <f>HYPERLINK("https://www.773grp.com/manufacturer/onsemi?pageNo=268", "ON Semiconductor")</f>
        <v>ON Semiconductor</v>
      </c>
      <c r="C39560" s="6">
        <v>105986</v>
      </c>
      <c r="D39560" s="7">
        <v>3.18</v>
      </c>
      <c r="E39560" t="s">
        <v>14</v>
      </c>
    </row>
    <row r="39561" spans="1:5" x14ac:dyDescent="0.25">
      <c r="A39561" t="str">
        <f>HYPERLINK("https://www.773grp.com/globalSearch/NLSV4T244DTR2G/page-1", "NLSV4T244DTR2G")</f>
        <v>NLSV4T244DTR2G</v>
      </c>
      <c r="B39561" s="3" t="str">
        <f>HYPERLINK("https://www.773grp.com/manufacturer/onsemi?pageNo=269", "ON Semiconductor")</f>
        <v>ON Semiconductor</v>
      </c>
      <c r="C39561" s="6">
        <v>714</v>
      </c>
      <c r="D39561" s="7">
        <v>3.18</v>
      </c>
    </row>
    <row r="39562" spans="1:5" x14ac:dyDescent="0.25">
      <c r="A39562" t="str">
        <f>HYPERLINK("https://www.773grp.com/globalSearch/NLSV4T244EMUTAG/page-1", "NLSV4T244EMUTAG")</f>
        <v>NLSV4T244EMUTAG</v>
      </c>
      <c r="B39562" s="3" t="str">
        <f>HYPERLINK("https://www.773grp.com/manufacturer/onsemi?pageNo=270", "ON Semiconductor")</f>
        <v>ON Semiconductor</v>
      </c>
      <c r="C39562" s="6">
        <v>3000</v>
      </c>
      <c r="D39562" s="7">
        <v>3.18</v>
      </c>
    </row>
    <row r="39563" spans="1:5" x14ac:dyDescent="0.25">
      <c r="A39563" t="str">
        <f>HYPERLINK("https://www.773grp.com/globalSearch/NLSV4T244MUTAG/page-1", "NLSV4T244MUTAG")</f>
        <v>NLSV4T244MUTAG</v>
      </c>
      <c r="B39563" s="3" t="str">
        <f>HYPERLINK("https://www.773grp.com/manufacturer/onsemi?pageNo=271", "ON Semiconductor")</f>
        <v>ON Semiconductor</v>
      </c>
      <c r="C39563" s="6">
        <v>126300</v>
      </c>
      <c r="D39563" s="7">
        <v>3.18</v>
      </c>
      <c r="E39563" t="s">
        <v>14</v>
      </c>
    </row>
    <row r="39564" spans="1:5" x14ac:dyDescent="0.25">
      <c r="A39564" t="str">
        <f>HYPERLINK("https://www.773grp.com/globalSearch/NLSV4T3234FCT1G/page-1", "NLSV4T3234FCT1G")</f>
        <v>NLSV4T3234FCT1G</v>
      </c>
      <c r="B39564" s="3" t="str">
        <f>HYPERLINK("https://www.773grp.com/manufacturer/onsemi?pageNo=272", "ON Semiconductor")</f>
        <v>ON Semiconductor</v>
      </c>
      <c r="C39564" s="6">
        <v>249351</v>
      </c>
      <c r="D39564" s="7">
        <v>3.18</v>
      </c>
      <c r="E39564" t="s">
        <v>14</v>
      </c>
    </row>
    <row r="39565" spans="1:5" x14ac:dyDescent="0.25">
      <c r="A39565" t="str">
        <f>HYPERLINK("https://www.773grp.com/globalSearch/NLSV8T244DR2G/page-1", "NLSV8T244DR2G")</f>
        <v>NLSV8T244DR2G</v>
      </c>
      <c r="B39565" s="3" t="str">
        <f>HYPERLINK("https://www.773grp.com/manufacturer/onsemi?pageNo=273", "ON Semiconductor")</f>
        <v>ON Semiconductor</v>
      </c>
      <c r="C39565" s="6">
        <v>5000</v>
      </c>
      <c r="D39565" s="7">
        <v>3.18</v>
      </c>
    </row>
    <row r="39566" spans="1:5" x14ac:dyDescent="0.25">
      <c r="A39566" t="str">
        <f>HYPERLINK("https://www.773grp.com/globalSearch/NTB25P06T4G/page-1", "NTB25P06T4G")</f>
        <v>NTB25P06T4G</v>
      </c>
      <c r="B39566" s="3" t="str">
        <f>HYPERLINK("https://www.773grp.com/manufacturer/onsemi?pageNo=274", "ON Semiconductor")</f>
        <v>ON Semiconductor</v>
      </c>
      <c r="C39566" s="6">
        <v>68521</v>
      </c>
      <c r="D39566" s="7">
        <v>3.18</v>
      </c>
      <c r="E39566" t="s">
        <v>105</v>
      </c>
    </row>
    <row r="39567" spans="1:5" x14ac:dyDescent="0.25">
      <c r="A39567" t="str">
        <f>HYPERLINK("https://www.773grp.com/globalSearch/NTSB30100S-1G/page-1", "NTSB30100S-1G")</f>
        <v>NTSB30100S-1G</v>
      </c>
      <c r="B39567" s="3" t="str">
        <f>HYPERLINK("https://www.773grp.com/manufacturer/onsemi?pageNo=275", "ON Semiconductor")</f>
        <v>ON Semiconductor</v>
      </c>
      <c r="C39567" s="6">
        <v>4500</v>
      </c>
      <c r="D39567" s="7">
        <v>3.18</v>
      </c>
    </row>
    <row r="39568" spans="1:5" x14ac:dyDescent="0.25">
      <c r="A39568" t="str">
        <f>HYPERLINK("https://www.773grp.com/globalSearch/P1P3800AG12CRTWG/page-1", "P1P3800AG12CRTWG")</f>
        <v>P1P3800AG12CRTWG</v>
      </c>
      <c r="B39568" s="3" t="str">
        <f>HYPERLINK("https://www.773grp.com/manufacturer/onsemi?pageNo=276", "ON Semiconductor")</f>
        <v>ON Semiconductor</v>
      </c>
      <c r="C39568" s="6">
        <v>1089000</v>
      </c>
      <c r="D39568" s="7">
        <v>3.18</v>
      </c>
    </row>
    <row r="39569" spans="1:5" x14ac:dyDescent="0.25">
      <c r="A39569" t="str">
        <f>HYPERLINK("https://www.773grp.com/globalSearch/PCS3P8103AG-06JR/page-1", "PCS3P8103AG-06JR")</f>
        <v>PCS3P8103AG-06JR</v>
      </c>
      <c r="B39569" s="3" t="str">
        <f>HYPERLINK("https://www.773grp.com/manufacturer/onsemi?pageNo=277", "ON Semiconductor")</f>
        <v>ON Semiconductor</v>
      </c>
      <c r="C39569" s="6">
        <v>50</v>
      </c>
      <c r="D39569" s="7">
        <v>3.18</v>
      </c>
      <c r="E39569" t="s">
        <v>79</v>
      </c>
    </row>
    <row r="39570" spans="1:5" x14ac:dyDescent="0.25">
      <c r="A39570" t="str">
        <f>HYPERLINK("https://www.773grp.com/globalSearch/SC141D/page-1", "SC141D")</f>
        <v>SC141D</v>
      </c>
      <c r="B39570" s="3" t="str">
        <f>HYPERLINK("https://www.773grp.com/manufacturer/onsemi?pageNo=278", "ON Semiconductor")</f>
        <v>ON Semiconductor</v>
      </c>
      <c r="C39570" s="6">
        <v>300</v>
      </c>
      <c r="D39570" s="7">
        <v>3.18</v>
      </c>
    </row>
    <row r="39571" spans="1:5" x14ac:dyDescent="0.25">
      <c r="A39571" t="str">
        <f>HYPERLINK("https://www.773grp.com/globalSearch/SG3525ADWG/page-1", "SG3525ADWG")</f>
        <v>SG3525ADWG</v>
      </c>
      <c r="B39571" s="3" t="str">
        <f>HYPERLINK("https://www.773grp.com/manufacturer/onsemi?pageNo=279", "ON Semiconductor")</f>
        <v>ON Semiconductor</v>
      </c>
      <c r="C39571" s="6">
        <v>8780</v>
      </c>
      <c r="D39571" s="7">
        <v>3.18</v>
      </c>
      <c r="E39571" t="s">
        <v>7</v>
      </c>
    </row>
    <row r="39572" spans="1:5" x14ac:dyDescent="0.25">
      <c r="A39572" t="str">
        <f>HYPERLINK("https://www.773grp.com/globalSearch/SG3525ADWR2G/page-1", "SG3525ADWR2G")</f>
        <v>SG3525ADWR2G</v>
      </c>
      <c r="B39572" s="3" t="str">
        <f>HYPERLINK("https://www.773grp.com/manufacturer/onsemi?pageNo=280", "ON Semiconductor")</f>
        <v>ON Semiconductor</v>
      </c>
      <c r="C39572" s="6">
        <v>74000</v>
      </c>
      <c r="D39572" s="7">
        <v>3.18</v>
      </c>
      <c r="E39572" t="s">
        <v>7</v>
      </c>
    </row>
    <row r="39573" spans="1:5" x14ac:dyDescent="0.25">
      <c r="A39573" t="str">
        <f>HYPERLINK("https://www.773grp.com/globalSearch/TCM33063AVOATR/page-1", "TCM33063AVOATR")</f>
        <v>TCM33063AVOATR</v>
      </c>
      <c r="B39573" s="3" t="str">
        <f>HYPERLINK("https://www.773grp.com/manufacturer/onsemi?pageNo=281", "ON Semiconductor")</f>
        <v>ON Semiconductor</v>
      </c>
      <c r="C39573" s="6">
        <v>45000</v>
      </c>
      <c r="D39573" s="7">
        <v>3.18</v>
      </c>
    </row>
    <row r="39574" spans="1:5" x14ac:dyDescent="0.25">
      <c r="A39574" t="str">
        <f>HYPERLINK("https://www.773grp.com/globalSearch/TCM33063AVPA/page-1", "TCM33063AVPA")</f>
        <v>TCM33063AVPA</v>
      </c>
      <c r="B39574" s="3" t="str">
        <f>HYPERLINK("https://www.773grp.com/manufacturer/onsemi?pageNo=282", "ON Semiconductor")</f>
        <v>ON Semiconductor</v>
      </c>
      <c r="C39574" s="6">
        <v>14850</v>
      </c>
      <c r="D39574" s="7">
        <v>3.18</v>
      </c>
    </row>
    <row r="39575" spans="1:5" x14ac:dyDescent="0.25">
      <c r="A39575" t="str">
        <f>HYPERLINK("https://www.773grp.com/globalSearch/BUV48/page-1", "BUV48")</f>
        <v>BUV48</v>
      </c>
      <c r="B39575" s="3" t="str">
        <f>HYPERLINK("https://www.773grp.com/manufacturer/onsemi?pageNo=283", "ON Semiconductor")</f>
        <v>ON Semiconductor</v>
      </c>
      <c r="C39575" s="6">
        <v>3120</v>
      </c>
      <c r="D39575" s="7">
        <v>2.88</v>
      </c>
      <c r="E39575" t="s">
        <v>59</v>
      </c>
    </row>
    <row r="39576" spans="1:5" x14ac:dyDescent="0.25">
      <c r="A39576" t="str">
        <f>HYPERLINK("https://www.773grp.com/globalSearch/CS5150GD16/page-1", "CS5150GD16")</f>
        <v>CS5150GD16</v>
      </c>
      <c r="B39576" s="3" t="str">
        <f>HYPERLINK("https://www.773grp.com/manufacturer/onsemi?pageNo=284", "ON Semiconductor")</f>
        <v>ON Semiconductor</v>
      </c>
      <c r="C39576" s="6">
        <v>2538</v>
      </c>
      <c r="D39576" s="7">
        <v>2.88</v>
      </c>
      <c r="E39576" t="s">
        <v>7</v>
      </c>
    </row>
    <row r="39577" spans="1:5" x14ac:dyDescent="0.25">
      <c r="A39577" t="str">
        <f>HYPERLINK("https://www.773grp.com/globalSearch/CS5150GDR16/page-1", "CS5150GDR16")</f>
        <v>CS5150GDR16</v>
      </c>
      <c r="B39577" s="3" t="str">
        <f>HYPERLINK("https://www.773grp.com/manufacturer/onsemi?pageNo=285", "ON Semiconductor")</f>
        <v>ON Semiconductor</v>
      </c>
      <c r="C39577" s="6">
        <v>12500</v>
      </c>
      <c r="D39577" s="7">
        <v>2.88</v>
      </c>
      <c r="E39577" t="s">
        <v>7</v>
      </c>
    </row>
    <row r="39578" spans="1:5" x14ac:dyDescent="0.25">
      <c r="A39578" t="str">
        <f>HYPERLINK("https://www.773grp.com/globalSearch/CS5150GN16/page-1", "CS5150GN16")</f>
        <v>CS5150GN16</v>
      </c>
      <c r="B39578" s="3" t="str">
        <f>HYPERLINK("https://www.773grp.com/manufacturer/onsemi?pageNo=286", "ON Semiconductor")</f>
        <v>ON Semiconductor</v>
      </c>
      <c r="C39578" s="6">
        <v>1925</v>
      </c>
      <c r="D39578" s="7">
        <v>2.88</v>
      </c>
      <c r="E39578" t="s">
        <v>7</v>
      </c>
    </row>
    <row r="39579" spans="1:5" x14ac:dyDescent="0.25">
      <c r="A39579" t="str">
        <f>HYPERLINK("https://www.773grp.com/globalSearch/CS5151GN16/page-1", "CS5151GN16")</f>
        <v>CS5151GN16</v>
      </c>
      <c r="B39579" s="3" t="str">
        <f>HYPERLINK("https://www.773grp.com/manufacturer/onsemi?pageNo=287", "ON Semiconductor")</f>
        <v>ON Semiconductor</v>
      </c>
      <c r="C39579" s="6">
        <v>1000</v>
      </c>
      <c r="D39579" s="7">
        <v>2.88</v>
      </c>
      <c r="E39579" t="s">
        <v>7</v>
      </c>
    </row>
    <row r="39580" spans="1:5" x14ac:dyDescent="0.25">
      <c r="A39580" t="str">
        <f>HYPERLINK("https://www.773grp.com/globalSearch/CS5156GD16/page-1", "CS5156GD16")</f>
        <v>CS5156GD16</v>
      </c>
      <c r="B39580" s="3" t="str">
        <f>HYPERLINK("https://www.773grp.com/manufacturer/onsemi?pageNo=288", "ON Semiconductor")</f>
        <v>ON Semiconductor</v>
      </c>
      <c r="C39580" s="6">
        <v>1824</v>
      </c>
      <c r="D39580" s="7">
        <v>2.88</v>
      </c>
      <c r="E39580" t="s">
        <v>7</v>
      </c>
    </row>
    <row r="39581" spans="1:5" x14ac:dyDescent="0.25">
      <c r="A39581" t="str">
        <f>HYPERLINK("https://www.773grp.com/globalSearch/CS5156GN16/page-1", "CS5156GN16")</f>
        <v>CS5156GN16</v>
      </c>
      <c r="B39581" s="3" t="str">
        <f>HYPERLINK("https://www.773grp.com/manufacturer/onsemi?pageNo=289", "ON Semiconductor")</f>
        <v>ON Semiconductor</v>
      </c>
      <c r="C39581" s="6">
        <v>3775</v>
      </c>
      <c r="D39581" s="7">
        <v>2.88</v>
      </c>
      <c r="E39581" t="s">
        <v>7</v>
      </c>
    </row>
    <row r="39582" spans="1:5" x14ac:dyDescent="0.25">
      <c r="A39582" t="str">
        <f>HYPERLINK("https://www.773grp.com/globalSearch/CS5160GD/page-1", "CS5160GD")</f>
        <v>CS5160GD</v>
      </c>
      <c r="B39582" s="3" t="str">
        <f>HYPERLINK("https://www.773grp.com/manufacturer/onsemi?pageNo=290", "ON Semiconductor")</f>
        <v>ON Semiconductor</v>
      </c>
      <c r="C39582" s="6">
        <v>4416</v>
      </c>
      <c r="D39582" s="7">
        <v>2.88</v>
      </c>
    </row>
    <row r="39583" spans="1:5" x14ac:dyDescent="0.25">
      <c r="A39583" t="str">
        <f>HYPERLINK("https://www.773grp.com/globalSearch/CS5160GD16/page-1", "CS5160GD16")</f>
        <v>CS5160GD16</v>
      </c>
      <c r="B39583" s="3" t="str">
        <f>HYPERLINK("https://www.773grp.com/manufacturer/onsemi?pageNo=291", "ON Semiconductor")</f>
        <v>ON Semiconductor</v>
      </c>
      <c r="C39583" s="6">
        <v>10848</v>
      </c>
      <c r="D39583" s="7">
        <v>2.88</v>
      </c>
      <c r="E39583" t="s">
        <v>7</v>
      </c>
    </row>
    <row r="39584" spans="1:5" x14ac:dyDescent="0.25">
      <c r="A39584" t="str">
        <f>HYPERLINK("https://www.773grp.com/globalSearch/CS5160GDR16/page-1", "CS5160GDR16")</f>
        <v>CS5160GDR16</v>
      </c>
      <c r="B39584" s="3" t="str">
        <f>HYPERLINK("https://www.773grp.com/manufacturer/onsemi?pageNo=292", "ON Semiconductor")</f>
        <v>ON Semiconductor</v>
      </c>
      <c r="C39584" s="6">
        <v>45000</v>
      </c>
      <c r="D39584" s="7">
        <v>2.88</v>
      </c>
      <c r="E39584" t="s">
        <v>7</v>
      </c>
    </row>
    <row r="39585" spans="1:5" x14ac:dyDescent="0.25">
      <c r="A39585" t="str">
        <f>HYPERLINK("https://www.773grp.com/globalSearch/CS5161GD16/page-1", "CS5161GD16")</f>
        <v>CS5161GD16</v>
      </c>
      <c r="B39585" s="3" t="str">
        <f>HYPERLINK("https://www.773grp.com/manufacturer/onsemi?pageNo=293", "ON Semiconductor")</f>
        <v>ON Semiconductor</v>
      </c>
      <c r="C39585" s="6">
        <v>44</v>
      </c>
      <c r="D39585" s="7">
        <v>2.88</v>
      </c>
      <c r="E39585" t="s">
        <v>7</v>
      </c>
    </row>
    <row r="39586" spans="1:5" x14ac:dyDescent="0.25">
      <c r="A39586" t="str">
        <f>HYPERLINK("https://www.773grp.com/globalSearch/CS5161HGD16/page-1", "CS5161HGD16")</f>
        <v>CS5161HGD16</v>
      </c>
      <c r="B39586" s="3" t="str">
        <f>HYPERLINK("https://www.773grp.com/manufacturer/onsemi?pageNo=294", "ON Semiconductor")</f>
        <v>ON Semiconductor</v>
      </c>
      <c r="C39586" s="6">
        <v>288</v>
      </c>
      <c r="D39586" s="7">
        <v>2.88</v>
      </c>
      <c r="E39586" t="s">
        <v>7</v>
      </c>
    </row>
    <row r="39587" spans="1:5" x14ac:dyDescent="0.25">
      <c r="A39587" t="str">
        <f>HYPERLINK("https://www.773grp.com/globalSearch/CS5161HGDR16/page-1", "CS5161HGDR16")</f>
        <v>CS5161HGDR16</v>
      </c>
      <c r="B39587" s="3" t="str">
        <f>HYPERLINK("https://www.773grp.com/manufacturer/onsemi?pageNo=295", "ON Semiconductor")</f>
        <v>ON Semiconductor</v>
      </c>
      <c r="C39587" s="6">
        <v>2500</v>
      </c>
      <c r="D39587" s="7">
        <v>2.88</v>
      </c>
      <c r="E39587" t="s">
        <v>7</v>
      </c>
    </row>
    <row r="39588" spans="1:5" x14ac:dyDescent="0.25">
      <c r="A39588" t="str">
        <f>HYPERLINK("https://www.773grp.com/globalSearch/CS8126-2GT5/page-1", "CS8126-2GT5")</f>
        <v>CS8126-2GT5</v>
      </c>
      <c r="B39588" s="3" t="str">
        <f>HYPERLINK("https://www.773grp.com/manufacturer/onsemi?pageNo=296", "ON Semiconductor")</f>
        <v>ON Semiconductor</v>
      </c>
      <c r="C39588" s="6">
        <v>9802</v>
      </c>
      <c r="D39588" s="7">
        <v>2.88</v>
      </c>
      <c r="E39588" t="s">
        <v>19</v>
      </c>
    </row>
    <row r="39589" spans="1:5" x14ac:dyDescent="0.25">
      <c r="A39589" t="str">
        <f>HYPERLINK("https://www.773grp.com/globalSearch/MBRF40250TG/page-1", "MBRF40250TG")</f>
        <v>MBRF40250TG</v>
      </c>
      <c r="B39589" s="3" t="str">
        <f>HYPERLINK("https://www.773grp.com/manufacturer/onsemi?pageNo=297", "ON Semiconductor")</f>
        <v>ON Semiconductor</v>
      </c>
      <c r="C39589" s="6">
        <v>300</v>
      </c>
      <c r="D39589" s="7">
        <v>2.88</v>
      </c>
      <c r="E39589" t="s">
        <v>103</v>
      </c>
    </row>
    <row r="39590" spans="1:5" x14ac:dyDescent="0.25">
      <c r="A39590" t="str">
        <f>HYPERLINK("https://www.773grp.com/globalSearch/MC14574D/page-1", "MC14574D")</f>
        <v>MC14574D</v>
      </c>
      <c r="B39590" s="3" t="str">
        <f>HYPERLINK("https://www.773grp.com/manufacturer/onsemi?pageNo=298", "ON Semiconductor")</f>
        <v>ON Semiconductor</v>
      </c>
      <c r="C39590" s="6">
        <v>370</v>
      </c>
      <c r="D39590" s="7">
        <v>2.88</v>
      </c>
    </row>
    <row r="39591" spans="1:5" x14ac:dyDescent="0.25">
      <c r="A39591" t="str">
        <f>HYPERLINK("https://www.773grp.com/globalSearch/NTB6412ANG/page-1", "NTB6412ANG")</f>
        <v>NTB6412ANG</v>
      </c>
      <c r="B39591" s="3" t="str">
        <f>HYPERLINK("https://www.773grp.com/manufacturer/onsemi?pageNo=299", "ON Semiconductor")</f>
        <v>ON Semiconductor</v>
      </c>
      <c r="C39591" s="6">
        <v>16050</v>
      </c>
      <c r="D39591" s="7">
        <v>2.88</v>
      </c>
    </row>
    <row r="39592" spans="1:5" x14ac:dyDescent="0.25">
      <c r="A39592" t="str">
        <f>HYPERLINK("https://www.773grp.com/globalSearch/NTB6412ANT4G/page-1", "NTB6412ANT4G")</f>
        <v>NTB6412ANT4G</v>
      </c>
      <c r="B39592" s="3" t="str">
        <f>HYPERLINK("https://www.773grp.com/manufacturer/onsemi?pageNo=300", "ON Semiconductor")</f>
        <v>ON Semiconductor</v>
      </c>
      <c r="C39592" s="6">
        <v>585</v>
      </c>
      <c r="D39592" s="7">
        <v>2.88</v>
      </c>
    </row>
    <row r="39593" spans="1:5" x14ac:dyDescent="0.25">
      <c r="A39593" t="str">
        <f>HYPERLINK("https://www.773grp.com/globalSearch/ADP3186JRUZ-REEL/page-1", "ADP3186JRUZ-REEL")</f>
        <v>ADP3186JRUZ-REEL</v>
      </c>
      <c r="B39593" s="3" t="str">
        <f>HYPERLINK("https://www.773grp.com/manufacturer/onsemi?pageNo=301", "ON Semiconductor")</f>
        <v>ON Semiconductor</v>
      </c>
      <c r="C39593" s="6">
        <v>52242</v>
      </c>
      <c r="D39593" s="7">
        <v>2.9</v>
      </c>
      <c r="E39593" t="s">
        <v>7</v>
      </c>
    </row>
    <row r="39594" spans="1:5" x14ac:dyDescent="0.25">
      <c r="A39594" t="str">
        <f>HYPERLINK("https://www.773grp.com/globalSearch/JDX6002/page-1", "JDX6002")</f>
        <v>JDX6002</v>
      </c>
      <c r="B39594" s="3" t="str">
        <f>HYPERLINK("https://www.773grp.com/manufacturer/onsemi?pageNo=302", "ON Semiconductor")</f>
        <v>ON Semiconductor</v>
      </c>
      <c r="C39594" s="6">
        <v>497</v>
      </c>
      <c r="D39594" s="7">
        <v>2.9</v>
      </c>
    </row>
    <row r="39595" spans="1:5" x14ac:dyDescent="0.25">
      <c r="A39595" t="str">
        <f>HYPERLINK("https://www.773grp.com/globalSearch/MC10160L/page-1", "MC10160L")</f>
        <v>MC10160L</v>
      </c>
      <c r="B39595" s="3" t="str">
        <f>HYPERLINK("https://www.773grp.com/manufacturer/onsemi?pageNo=303", "ON Semiconductor")</f>
        <v>ON Semiconductor</v>
      </c>
      <c r="C39595" s="6">
        <v>3410</v>
      </c>
      <c r="D39595" s="7">
        <v>2.9</v>
      </c>
      <c r="E39595" t="s">
        <v>43</v>
      </c>
    </row>
    <row r="39596" spans="1:5" x14ac:dyDescent="0.25">
      <c r="A39596" t="str">
        <f>HYPERLINK("https://www.773grp.com/globalSearch/MC10H123FN/page-1", "MC10H123FN")</f>
        <v>MC10H123FN</v>
      </c>
      <c r="B39596" s="3" t="str">
        <f>HYPERLINK("https://www.773grp.com/manufacturer/onsemi?pageNo=304", "ON Semiconductor")</f>
        <v>ON Semiconductor</v>
      </c>
      <c r="C39596" s="6">
        <v>5472</v>
      </c>
      <c r="D39596" s="7">
        <v>2.9</v>
      </c>
      <c r="E39596" t="s">
        <v>14</v>
      </c>
    </row>
    <row r="39597" spans="1:5" x14ac:dyDescent="0.25">
      <c r="A39597" t="str">
        <f>HYPERLINK("https://www.773grp.com/globalSearch/MC10H123FNR2/page-1", "MC10H123FNR2")</f>
        <v>MC10H123FNR2</v>
      </c>
      <c r="B39597" s="3" t="str">
        <f>HYPERLINK("https://www.773grp.com/manufacturer/onsemi?pageNo=305", "ON Semiconductor")</f>
        <v>ON Semiconductor</v>
      </c>
      <c r="C39597" s="6">
        <v>4500</v>
      </c>
      <c r="D39597" s="7">
        <v>2.9</v>
      </c>
      <c r="E39597" t="s">
        <v>14</v>
      </c>
    </row>
    <row r="39598" spans="1:5" x14ac:dyDescent="0.25">
      <c r="A39598" t="str">
        <f>HYPERLINK("https://www.773grp.com/globalSearch/CS5257A-1GT5/page-1", "CS5257A-1GT5")</f>
        <v>CS5257A-1GT5</v>
      </c>
      <c r="B39598" s="3" t="str">
        <f>HYPERLINK("https://www.773grp.com/manufacturer/onsemi?pageNo=306", "ON Semiconductor")</f>
        <v>ON Semiconductor</v>
      </c>
      <c r="C39598" s="6">
        <v>50</v>
      </c>
      <c r="D39598" s="7">
        <v>3.23</v>
      </c>
      <c r="E39598" t="s">
        <v>25</v>
      </c>
    </row>
    <row r="39599" spans="1:5" x14ac:dyDescent="0.25">
      <c r="A39599" t="str">
        <f>HYPERLINK("https://www.773grp.com/globalSearch/CS5258-1GT5/page-1", "CS5258-1GT5")</f>
        <v>CS5258-1GT5</v>
      </c>
      <c r="B39599" s="3" t="str">
        <f>HYPERLINK("https://www.773grp.com/manufacturer/onsemi?pageNo=307", "ON Semiconductor")</f>
        <v>ON Semiconductor</v>
      </c>
      <c r="C39599" s="6">
        <v>2100</v>
      </c>
      <c r="D39599" s="7">
        <v>3.23</v>
      </c>
      <c r="E39599" t="s">
        <v>25</v>
      </c>
    </row>
    <row r="39600" spans="1:5" x14ac:dyDescent="0.25">
      <c r="A39600" t="str">
        <f>HYPERLINK("https://www.773grp.com/globalSearch/CS8151YNF16/page-1", "CS8151YNF16")</f>
        <v>CS8151YNF16</v>
      </c>
      <c r="B39600" s="3" t="str">
        <f>HYPERLINK("https://www.773grp.com/manufacturer/onsemi?pageNo=308", "ON Semiconductor")</f>
        <v>ON Semiconductor</v>
      </c>
      <c r="C39600" s="6">
        <v>800</v>
      </c>
      <c r="D39600" s="7">
        <v>3.23</v>
      </c>
      <c r="E39600" t="s">
        <v>19</v>
      </c>
    </row>
    <row r="39601" spans="1:5" x14ac:dyDescent="0.25">
      <c r="A39601" t="str">
        <f>HYPERLINK("https://www.773grp.com/globalSearch/L4949DG/page-1", "L4949DG")</f>
        <v>L4949DG</v>
      </c>
      <c r="B39601" s="3" t="str">
        <f>HYPERLINK("https://www.773grp.com/manufacturer/onsemi?pageNo=309", "ON Semiconductor")</f>
        <v>ON Semiconductor</v>
      </c>
      <c r="C39601" s="6">
        <v>1014</v>
      </c>
      <c r="D39601" s="7">
        <v>3.23</v>
      </c>
      <c r="E39601" t="s">
        <v>19</v>
      </c>
    </row>
    <row r="39602" spans="1:5" x14ac:dyDescent="0.25">
      <c r="A39602" t="str">
        <f>HYPERLINK("https://www.773grp.com/globalSearch/L4949DR2G/page-1", "L4949DR2G")</f>
        <v>L4949DR2G</v>
      </c>
      <c r="B39602" s="3" t="str">
        <f>HYPERLINK("https://www.773grp.com/manufacturer/onsemi?pageNo=310", "ON Semiconductor")</f>
        <v>ON Semiconductor</v>
      </c>
      <c r="C39602" s="6">
        <v>29950</v>
      </c>
      <c r="D39602" s="7">
        <v>3.23</v>
      </c>
      <c r="E39602" t="s">
        <v>19</v>
      </c>
    </row>
    <row r="39603" spans="1:5" x14ac:dyDescent="0.25">
      <c r="A39603" t="str">
        <f>HYPERLINK("https://www.773grp.com/globalSearch/MC33163DW/page-1", "MC33163DW")</f>
        <v>MC33163DW</v>
      </c>
      <c r="B39603" s="3" t="str">
        <f>HYPERLINK("https://www.773grp.com/manufacturer/onsemi?pageNo=311", "ON Semiconductor")</f>
        <v>ON Semiconductor</v>
      </c>
      <c r="C39603" s="6">
        <v>971</v>
      </c>
      <c r="D39603" s="7">
        <v>3.23</v>
      </c>
      <c r="E39603" t="s">
        <v>7</v>
      </c>
    </row>
    <row r="39604" spans="1:5" x14ac:dyDescent="0.25">
      <c r="A39604" t="str">
        <f>HYPERLINK("https://www.773grp.com/globalSearch/MC33163P/page-1", "MC33163P")</f>
        <v>MC33163P</v>
      </c>
      <c r="B39604" s="3" t="str">
        <f>HYPERLINK("https://www.773grp.com/manufacturer/onsemi?pageNo=312", "ON Semiconductor")</f>
        <v>ON Semiconductor</v>
      </c>
      <c r="C39604" s="6">
        <v>25</v>
      </c>
      <c r="D39604" s="7">
        <v>3.23</v>
      </c>
      <c r="E39604" t="s">
        <v>7</v>
      </c>
    </row>
    <row r="39605" spans="1:5" x14ac:dyDescent="0.25">
      <c r="A39605" t="str">
        <f>HYPERLINK("https://www.773grp.com/globalSearch/NCP5214MNR2G/page-1", "NCP5214MNR2G")</f>
        <v>NCP5214MNR2G</v>
      </c>
      <c r="B39605" s="3" t="str">
        <f>HYPERLINK("https://www.773grp.com/manufacturer/onsemi?pageNo=313", "ON Semiconductor")</f>
        <v>ON Semiconductor</v>
      </c>
      <c r="C39605" s="6">
        <v>574785</v>
      </c>
      <c r="D39605" s="7">
        <v>3.23</v>
      </c>
      <c r="E39605" t="s">
        <v>7</v>
      </c>
    </row>
    <row r="39606" spans="1:5" x14ac:dyDescent="0.25">
      <c r="A39606" t="str">
        <f>HYPERLINK("https://www.773grp.com/globalSearch/NCP5388MNR2G/page-1", "NCP5388MNR2G")</f>
        <v>NCP5388MNR2G</v>
      </c>
      <c r="B39606" s="3" t="str">
        <f>HYPERLINK("https://www.773grp.com/manufacturer/onsemi?pageNo=314", "ON Semiconductor")</f>
        <v>ON Semiconductor</v>
      </c>
      <c r="C39606" s="6">
        <v>50409</v>
      </c>
      <c r="D39606" s="7">
        <v>3.23</v>
      </c>
      <c r="E39606" t="s">
        <v>7</v>
      </c>
    </row>
    <row r="39607" spans="1:5" x14ac:dyDescent="0.25">
      <c r="A39607" t="str">
        <f>HYPERLINK("https://www.773grp.com/globalSearch/NCP5663DS15R4G/page-1", "NCP5663DS15R4G")</f>
        <v>NCP5663DS15R4G</v>
      </c>
      <c r="B39607" s="3" t="str">
        <f>HYPERLINK("https://www.773grp.com/manufacturer/onsemi?pageNo=315", "ON Semiconductor")</f>
        <v>ON Semiconductor</v>
      </c>
      <c r="C39607" s="6">
        <v>5130</v>
      </c>
      <c r="D39607" s="7">
        <v>3.23</v>
      </c>
      <c r="E39607" t="s">
        <v>19</v>
      </c>
    </row>
    <row r="39608" spans="1:5" x14ac:dyDescent="0.25">
      <c r="A39608" t="str">
        <f>HYPERLINK("https://www.773grp.com/globalSearch/NCP5663DS18R4G/page-1", "NCP5663DS18R4G")</f>
        <v>NCP5663DS18R4G</v>
      </c>
      <c r="B39608" s="3" t="str">
        <f>HYPERLINK("https://www.773grp.com/manufacturer/onsemi?pageNo=316", "ON Semiconductor")</f>
        <v>ON Semiconductor</v>
      </c>
      <c r="C39608" s="6">
        <v>1380</v>
      </c>
      <c r="D39608" s="7">
        <v>3.23</v>
      </c>
    </row>
    <row r="39609" spans="1:5" x14ac:dyDescent="0.25">
      <c r="A39609" t="str">
        <f>HYPERLINK("https://www.773grp.com/globalSearch/NCP5663DSADJ/page-1", "NCP5663DSADJ")</f>
        <v>NCP5663DSADJ</v>
      </c>
      <c r="B39609" s="3" t="str">
        <f>HYPERLINK("https://www.773grp.com/manufacturer/onsemi?pageNo=317", "ON Semiconductor")</f>
        <v>ON Semiconductor</v>
      </c>
      <c r="C39609" s="6">
        <v>800</v>
      </c>
      <c r="D39609" s="7">
        <v>3.23</v>
      </c>
    </row>
    <row r="39610" spans="1:5" x14ac:dyDescent="0.25">
      <c r="A39610" t="str">
        <f>HYPERLINK("https://www.773grp.com/globalSearch/NCP5663DSADJR4G/page-1", "NCP5663DSADJR4G")</f>
        <v>NCP5663DSADJR4G</v>
      </c>
      <c r="B39610" s="3" t="str">
        <f>HYPERLINK("https://www.773grp.com/manufacturer/onsemi?pageNo=318", "ON Semiconductor")</f>
        <v>ON Semiconductor</v>
      </c>
      <c r="C39610" s="6">
        <v>8703</v>
      </c>
      <c r="D39610" s="7">
        <v>3.23</v>
      </c>
      <c r="E39610" t="s">
        <v>25</v>
      </c>
    </row>
    <row r="39611" spans="1:5" x14ac:dyDescent="0.25">
      <c r="A39611" t="str">
        <f>HYPERLINK("https://www.773grp.com/globalSearch/NCV4276ADT50RKG/page-1", "NCV4276ADT50RKG")</f>
        <v>NCV4276ADT50RKG</v>
      </c>
      <c r="B39611" s="3" t="str">
        <f>HYPERLINK("https://www.773grp.com/manufacturer/onsemi?pageNo=319", "ON Semiconductor")</f>
        <v>ON Semiconductor</v>
      </c>
      <c r="C39611" s="6">
        <v>1640</v>
      </c>
      <c r="D39611" s="7">
        <v>3.23</v>
      </c>
      <c r="E39611" t="s">
        <v>19</v>
      </c>
    </row>
    <row r="39612" spans="1:5" x14ac:dyDescent="0.25">
      <c r="A39612" t="str">
        <f>HYPERLINK("https://www.773grp.com/globalSearch/NCV4276ADTADJRKG/page-1", "NCV4276ADTADJRKG")</f>
        <v>NCV4276ADTADJRKG</v>
      </c>
      <c r="B39612" s="3" t="str">
        <f>HYPERLINK("https://www.773grp.com/manufacturer/onsemi?pageNo=320", "ON Semiconductor")</f>
        <v>ON Semiconductor</v>
      </c>
      <c r="C39612" s="6">
        <v>2645</v>
      </c>
      <c r="D39612" s="7">
        <v>3.23</v>
      </c>
      <c r="E39612" t="s">
        <v>25</v>
      </c>
    </row>
    <row r="39613" spans="1:5" x14ac:dyDescent="0.25">
      <c r="A39613" t="str">
        <f>HYPERLINK("https://www.773grp.com/globalSearch/NCV4276DTADJRKG/page-1", "NCV4276DTADJRKG")</f>
        <v>NCV4276DTADJRKG</v>
      </c>
      <c r="B39613" s="3" t="str">
        <f>HYPERLINK("https://www.773grp.com/manufacturer/onsemi?pageNo=321", "ON Semiconductor")</f>
        <v>ON Semiconductor</v>
      </c>
      <c r="C39613" s="6">
        <v>54625</v>
      </c>
      <c r="D39613" s="7">
        <v>3.23</v>
      </c>
      <c r="E39613" t="s">
        <v>25</v>
      </c>
    </row>
    <row r="39614" spans="1:5" x14ac:dyDescent="0.25">
      <c r="A39614" t="str">
        <f>HYPERLINK("https://www.773grp.com/globalSearch/NLSV1T240MUTBG/page-1", "NLSV1T240MUTBG")</f>
        <v>NLSV1T240MUTBG</v>
      </c>
      <c r="B39614" s="3" t="str">
        <f>HYPERLINK("https://www.773grp.com/manufacturer/onsemi?pageNo=322", "ON Semiconductor")</f>
        <v>ON Semiconductor</v>
      </c>
      <c r="C39614" s="6">
        <v>86295</v>
      </c>
      <c r="D39614" s="7">
        <v>3.23</v>
      </c>
      <c r="E39614" t="s">
        <v>14</v>
      </c>
    </row>
    <row r="39615" spans="1:5" x14ac:dyDescent="0.25">
      <c r="A39615" t="str">
        <f>HYPERLINK("https://www.773grp.com/globalSearch/NLSV1T244MUTBG/page-1", "NLSV1T244MUTBG")</f>
        <v>NLSV1T244MUTBG</v>
      </c>
      <c r="B39615" s="3" t="str">
        <f>HYPERLINK("https://www.773grp.com/manufacturer/onsemi?pageNo=323", "ON Semiconductor")</f>
        <v>ON Semiconductor</v>
      </c>
      <c r="C39615" s="6">
        <v>6000</v>
      </c>
      <c r="D39615" s="7">
        <v>3.23</v>
      </c>
    </row>
    <row r="39616" spans="1:5" x14ac:dyDescent="0.25">
      <c r="A39616" t="str">
        <f>HYPERLINK("https://www.773grp.com/globalSearch/NLV14504BDG/page-1", "NLV14504BDG")</f>
        <v>NLV14504BDG</v>
      </c>
      <c r="B39616" s="3" t="str">
        <f>HYPERLINK("https://www.773grp.com/manufacturer/onsemi?pageNo=324", "ON Semiconductor")</f>
        <v>ON Semiconductor</v>
      </c>
      <c r="C39616" s="6">
        <v>2928</v>
      </c>
      <c r="D39616" s="7">
        <v>3.23</v>
      </c>
    </row>
    <row r="39617" spans="1:5" x14ac:dyDescent="0.25">
      <c r="A39617" t="str">
        <f>HYPERLINK("https://www.773grp.com/globalSearch/SBRB2545CTG/page-1", "SBRB2545CTG")</f>
        <v>SBRB2545CTG</v>
      </c>
      <c r="B39617" s="3" t="str">
        <f>HYPERLINK("https://www.773grp.com/manufacturer/onsemi?pageNo=325", "ON Semiconductor")</f>
        <v>ON Semiconductor</v>
      </c>
      <c r="C39617" s="6">
        <v>2200</v>
      </c>
      <c r="D39617" s="7">
        <v>3.23</v>
      </c>
    </row>
    <row r="39618" spans="1:5" x14ac:dyDescent="0.25">
      <c r="A39618" t="str">
        <f>HYPERLINK("https://www.773grp.com/globalSearch/SBRB2545CTT4G/page-1", "SBRB2545CTT4G")</f>
        <v>SBRB2545CTT4G</v>
      </c>
      <c r="B39618" s="3" t="str">
        <f>HYPERLINK("https://www.773grp.com/manufacturer/onsemi?pageNo=326", "ON Semiconductor")</f>
        <v>ON Semiconductor</v>
      </c>
      <c r="C39618" s="6">
        <v>800</v>
      </c>
      <c r="D39618" s="7">
        <v>3.23</v>
      </c>
    </row>
    <row r="39619" spans="1:5" x14ac:dyDescent="0.25">
      <c r="A39619" t="str">
        <f>HYPERLINK("https://www.773grp.com/globalSearch/MBRF2060CTG/page-1", "MBRF2060CTG")</f>
        <v>MBRF2060CTG</v>
      </c>
      <c r="B39619" s="3" t="str">
        <f>HYPERLINK("https://www.773grp.com/manufacturer/onsemi?pageNo=327", "ON Semiconductor")</f>
        <v>ON Semiconductor</v>
      </c>
      <c r="C39619" s="6">
        <v>498870</v>
      </c>
      <c r="D39619" s="7">
        <v>2.93</v>
      </c>
      <c r="E39619" t="s">
        <v>103</v>
      </c>
    </row>
    <row r="39620" spans="1:5" x14ac:dyDescent="0.25">
      <c r="A39620" t="str">
        <f>HYPERLINK("https://www.773grp.com/globalSearch/MC10101P/page-1", "MC10101P")</f>
        <v>MC10101P</v>
      </c>
      <c r="B39620" s="3" t="str">
        <f>HYPERLINK("https://www.773grp.com/manufacturer/onsemi?pageNo=328", "ON Semiconductor")</f>
        <v>ON Semiconductor</v>
      </c>
      <c r="C39620" s="6">
        <v>3146</v>
      </c>
      <c r="D39620" s="7">
        <v>2.93</v>
      </c>
      <c r="E39620" t="s">
        <v>31</v>
      </c>
    </row>
    <row r="39621" spans="1:5" x14ac:dyDescent="0.25">
      <c r="A39621" t="str">
        <f>HYPERLINK("https://www.773grp.com/globalSearch/MC10101PG/page-1", "MC10101PG")</f>
        <v>MC10101PG</v>
      </c>
      <c r="B39621" s="3" t="str">
        <f>HYPERLINK("https://www.773grp.com/manufacturer/onsemi?pageNo=329", "ON Semiconductor")</f>
        <v>ON Semiconductor</v>
      </c>
      <c r="C39621" s="6">
        <v>612</v>
      </c>
      <c r="D39621" s="7">
        <v>2.93</v>
      </c>
    </row>
    <row r="39622" spans="1:5" x14ac:dyDescent="0.25">
      <c r="A39622" t="str">
        <f>HYPERLINK("https://www.773grp.com/globalSearch/MC10102P/page-1", "MC10102P")</f>
        <v>MC10102P</v>
      </c>
      <c r="B39622" s="3" t="str">
        <f>HYPERLINK("https://www.773grp.com/manufacturer/onsemi?pageNo=330", "ON Semiconductor")</f>
        <v>ON Semiconductor</v>
      </c>
      <c r="C39622" s="6">
        <v>2675</v>
      </c>
      <c r="D39622" s="7">
        <v>2.93</v>
      </c>
      <c r="E39622" t="s">
        <v>31</v>
      </c>
    </row>
    <row r="39623" spans="1:5" x14ac:dyDescent="0.25">
      <c r="A39623" t="str">
        <f>HYPERLINK("https://www.773grp.com/globalSearch/MC10103P/page-1", "MC10103P")</f>
        <v>MC10103P</v>
      </c>
      <c r="B39623" s="3" t="str">
        <f>HYPERLINK("https://www.773grp.com/manufacturer/onsemi?pageNo=331", "ON Semiconductor")</f>
        <v>ON Semiconductor</v>
      </c>
      <c r="C39623" s="6">
        <v>1723</v>
      </c>
      <c r="D39623" s="7">
        <v>2.93</v>
      </c>
      <c r="E39623" t="s">
        <v>31</v>
      </c>
    </row>
    <row r="39624" spans="1:5" x14ac:dyDescent="0.25">
      <c r="A39624" t="str">
        <f>HYPERLINK("https://www.773grp.com/globalSearch/MC10104P/page-1", "MC10104P")</f>
        <v>MC10104P</v>
      </c>
      <c r="B39624" s="3" t="str">
        <f>HYPERLINK("https://www.773grp.com/manufacturer/onsemi?pageNo=332", "ON Semiconductor")</f>
        <v>ON Semiconductor</v>
      </c>
      <c r="C39624" s="6">
        <v>3238</v>
      </c>
      <c r="D39624" s="7">
        <v>2.93</v>
      </c>
      <c r="E39624" t="s">
        <v>31</v>
      </c>
    </row>
    <row r="39625" spans="1:5" x14ac:dyDescent="0.25">
      <c r="A39625" t="str">
        <f>HYPERLINK("https://www.773grp.com/globalSearch/MC10106P/page-1", "MC10106P")</f>
        <v>MC10106P</v>
      </c>
      <c r="B39625" s="3" t="str">
        <f>HYPERLINK("https://www.773grp.com/manufacturer/onsemi?pageNo=333", "ON Semiconductor")</f>
        <v>ON Semiconductor</v>
      </c>
      <c r="C39625" s="6">
        <v>1172</v>
      </c>
      <c r="D39625" s="7">
        <v>2.93</v>
      </c>
      <c r="E39625" t="s">
        <v>31</v>
      </c>
    </row>
    <row r="39626" spans="1:5" x14ac:dyDescent="0.25">
      <c r="A39626" t="str">
        <f>HYPERLINK("https://www.773grp.com/globalSearch/MC10107P/page-1", "MC10107P")</f>
        <v>MC10107P</v>
      </c>
      <c r="B39626" s="3" t="str">
        <f>HYPERLINK("https://www.773grp.com/manufacturer/onsemi?pageNo=334", "ON Semiconductor")</f>
        <v>ON Semiconductor</v>
      </c>
      <c r="C39626" s="6">
        <v>5449</v>
      </c>
      <c r="D39626" s="7">
        <v>2.93</v>
      </c>
      <c r="E39626" t="s">
        <v>31</v>
      </c>
    </row>
    <row r="39627" spans="1:5" x14ac:dyDescent="0.25">
      <c r="A39627" t="str">
        <f>HYPERLINK("https://www.773grp.com/globalSearch/MC10109P/page-1", "MC10109P")</f>
        <v>MC10109P</v>
      </c>
      <c r="B39627" s="3" t="str">
        <f>HYPERLINK("https://www.773grp.com/manufacturer/onsemi?pageNo=335", "ON Semiconductor")</f>
        <v>ON Semiconductor</v>
      </c>
      <c r="C39627" s="6">
        <v>2060</v>
      </c>
      <c r="D39627" s="7">
        <v>2.93</v>
      </c>
      <c r="E39627" t="s">
        <v>31</v>
      </c>
    </row>
    <row r="39628" spans="1:5" x14ac:dyDescent="0.25">
      <c r="A39628" t="str">
        <f>HYPERLINK("https://www.773grp.com/globalSearch/MC10113P/page-1", "MC10113P")</f>
        <v>MC10113P</v>
      </c>
      <c r="B39628" s="3" t="str">
        <f>HYPERLINK("https://www.773grp.com/manufacturer/onsemi?pageNo=336", "ON Semiconductor")</f>
        <v>ON Semiconductor</v>
      </c>
      <c r="C39628" s="6">
        <v>2510</v>
      </c>
      <c r="D39628" s="7">
        <v>2.93</v>
      </c>
      <c r="E39628" t="s">
        <v>31</v>
      </c>
    </row>
    <row r="39629" spans="1:5" x14ac:dyDescent="0.25">
      <c r="A39629" t="str">
        <f>HYPERLINK("https://www.773grp.com/globalSearch/MC10115P/page-1", "MC10115P")</f>
        <v>MC10115P</v>
      </c>
      <c r="B39629" s="3" t="str">
        <f>HYPERLINK("https://www.773grp.com/manufacturer/onsemi?pageNo=337", "ON Semiconductor")</f>
        <v>ON Semiconductor</v>
      </c>
      <c r="C39629" s="6">
        <v>910</v>
      </c>
      <c r="D39629" s="7">
        <v>2.93</v>
      </c>
      <c r="E39629" t="s">
        <v>21</v>
      </c>
    </row>
    <row r="39630" spans="1:5" x14ac:dyDescent="0.25">
      <c r="A39630" t="str">
        <f>HYPERLINK("https://www.773grp.com/globalSearch/MC10117P/page-1", "MC10117P")</f>
        <v>MC10117P</v>
      </c>
      <c r="B39630" s="3" t="str">
        <f>HYPERLINK("https://www.773grp.com/manufacturer/onsemi?pageNo=338", "ON Semiconductor")</f>
        <v>ON Semiconductor</v>
      </c>
      <c r="C39630" s="6">
        <v>1550</v>
      </c>
      <c r="D39630" s="7">
        <v>2.93</v>
      </c>
      <c r="E39630" t="s">
        <v>31</v>
      </c>
    </row>
    <row r="39631" spans="1:5" x14ac:dyDescent="0.25">
      <c r="A39631" t="str">
        <f>HYPERLINK("https://www.773grp.com/globalSearch/MC10123P/page-1", "MC10123P")</f>
        <v>MC10123P</v>
      </c>
      <c r="B39631" s="3" t="str">
        <f>HYPERLINK("https://www.773grp.com/manufacturer/onsemi?pageNo=339", "ON Semiconductor")</f>
        <v>ON Semiconductor</v>
      </c>
      <c r="C39631" s="6">
        <v>11425</v>
      </c>
      <c r="D39631" s="7">
        <v>2.93</v>
      </c>
      <c r="E39631" t="s">
        <v>14</v>
      </c>
    </row>
    <row r="39632" spans="1:5" x14ac:dyDescent="0.25">
      <c r="A39632" t="str">
        <f>HYPERLINK("https://www.773grp.com/globalSearch/NCP1280DR2G/page-1", "NCP1280DR2G")</f>
        <v>NCP1280DR2G</v>
      </c>
      <c r="B39632" s="3" t="str">
        <f>HYPERLINK("https://www.773grp.com/manufacturer/onsemi?pageNo=340", "ON Semiconductor")</f>
        <v>ON Semiconductor</v>
      </c>
      <c r="C39632" s="6">
        <v>58243</v>
      </c>
      <c r="D39632" s="7">
        <v>2.93</v>
      </c>
      <c r="E39632" t="s">
        <v>7</v>
      </c>
    </row>
    <row r="39633" spans="1:5" x14ac:dyDescent="0.25">
      <c r="A39633" t="str">
        <f>HYPERLINK("https://www.773grp.com/globalSearch/NCV51411PWR2G/page-1", "NCV51411PWR2G")</f>
        <v>NCV51411PWR2G</v>
      </c>
      <c r="B39633" s="3" t="str">
        <f>HYPERLINK("https://www.773grp.com/manufacturer/onsemi?pageNo=341", "ON Semiconductor")</f>
        <v>ON Semiconductor</v>
      </c>
      <c r="C39633" s="6">
        <v>1000</v>
      </c>
      <c r="D39633" s="7">
        <v>2.93</v>
      </c>
      <c r="E39633" t="s">
        <v>7</v>
      </c>
    </row>
    <row r="39634" spans="1:5" x14ac:dyDescent="0.25">
      <c r="A39634" t="str">
        <f>HYPERLINK("https://www.773grp.com/globalSearch/NCV5171EDR2G/page-1", "NCV5171EDR2G")</f>
        <v>NCV5171EDR2G</v>
      </c>
      <c r="B39634" s="3" t="str">
        <f>HYPERLINK("https://www.773grp.com/manufacturer/onsemi?pageNo=342", "ON Semiconductor")</f>
        <v>ON Semiconductor</v>
      </c>
      <c r="C39634" s="6">
        <v>6831</v>
      </c>
      <c r="D39634" s="7">
        <v>2.93</v>
      </c>
      <c r="E39634" t="s">
        <v>7</v>
      </c>
    </row>
    <row r="39635" spans="1:5" x14ac:dyDescent="0.25">
      <c r="A39635" t="str">
        <f>HYPERLINK("https://www.773grp.com/globalSearch/NCV59302DSADJR4G/page-1", "NCV59302DSADJR4G")</f>
        <v>NCV59302DSADJR4G</v>
      </c>
      <c r="B39635" s="3" t="str">
        <f>HYPERLINK("https://www.773grp.com/manufacturer/onsemi?pageNo=343", "ON Semiconductor")</f>
        <v>ON Semiconductor</v>
      </c>
      <c r="C39635" s="6">
        <v>1600</v>
      </c>
      <c r="D39635" s="7">
        <v>2.93</v>
      </c>
    </row>
    <row r="39636" spans="1:5" x14ac:dyDescent="0.25">
      <c r="A39636" t="str">
        <f>HYPERLINK("https://www.773grp.com/globalSearch/NTP6412ANG/page-1", "NTP6412ANG")</f>
        <v>NTP6412ANG</v>
      </c>
      <c r="B39636" s="3" t="str">
        <f>HYPERLINK("https://www.773grp.com/manufacturer/onsemi?pageNo=344", "ON Semiconductor")</f>
        <v>ON Semiconductor</v>
      </c>
      <c r="C39636" s="6">
        <v>500</v>
      </c>
      <c r="D39636" s="7">
        <v>2.93</v>
      </c>
    </row>
    <row r="39637" spans="1:5" x14ac:dyDescent="0.25">
      <c r="A39637" t="str">
        <f>HYPERLINK("https://www.773grp.com/globalSearch/CS5203A-2GDP3/page-1", "CS5203A-2GDP3")</f>
        <v>CS5203A-2GDP3</v>
      </c>
      <c r="B39637" s="3" t="str">
        <f>HYPERLINK("https://www.773grp.com/manufacturer/onsemi?pageNo=345", "ON Semiconductor")</f>
        <v>ON Semiconductor</v>
      </c>
      <c r="C39637" s="6">
        <v>712</v>
      </c>
      <c r="D39637" s="7">
        <v>2.95</v>
      </c>
      <c r="E39637" t="s">
        <v>19</v>
      </c>
    </row>
    <row r="39638" spans="1:5" x14ac:dyDescent="0.25">
      <c r="A39638" t="str">
        <f>HYPERLINK("https://www.773grp.com/globalSearch/CS5203A-2GDPR3G/page-1", "CS5203A-2GDPR3G")</f>
        <v>CS5203A-2GDPR3G</v>
      </c>
      <c r="B39638" s="3" t="str">
        <f>HYPERLINK("https://www.773grp.com/manufacturer/onsemi?pageNo=346", "ON Semiconductor")</f>
        <v>ON Semiconductor</v>
      </c>
      <c r="C39638" s="6">
        <v>1352</v>
      </c>
      <c r="D39638" s="7">
        <v>2.95</v>
      </c>
      <c r="E39638" t="s">
        <v>19</v>
      </c>
    </row>
    <row r="39639" spans="1:5" x14ac:dyDescent="0.25">
      <c r="A39639" t="str">
        <f>HYPERLINK("https://www.773grp.com/globalSearch/CS5205-2GDPR3/page-1", "CS5205-2GDPR3")</f>
        <v>CS5205-2GDPR3</v>
      </c>
      <c r="B39639" s="3" t="str">
        <f>HYPERLINK("https://www.773grp.com/manufacturer/onsemi?pageNo=347", "ON Semiconductor")</f>
        <v>ON Semiconductor</v>
      </c>
      <c r="C39639" s="6">
        <v>750</v>
      </c>
      <c r="D39639" s="7">
        <v>2.95</v>
      </c>
      <c r="E39639" t="s">
        <v>19</v>
      </c>
    </row>
    <row r="39640" spans="1:5" x14ac:dyDescent="0.25">
      <c r="A39640" t="str">
        <f>HYPERLINK("https://www.773grp.com/globalSearch/CS8191XDWF20/page-1", "CS8191XDWF20")</f>
        <v>CS8191XDWF20</v>
      </c>
      <c r="B39640" s="3" t="str">
        <f>HYPERLINK("https://www.773grp.com/manufacturer/onsemi?pageNo=348", "ON Semiconductor")</f>
        <v>ON Semiconductor</v>
      </c>
      <c r="C39640" s="6">
        <v>571</v>
      </c>
      <c r="D39640" s="7">
        <v>2.95</v>
      </c>
      <c r="E39640" t="s">
        <v>11</v>
      </c>
    </row>
    <row r="39641" spans="1:5" x14ac:dyDescent="0.25">
      <c r="A39641" t="str">
        <f>HYPERLINK("https://www.773grp.com/globalSearch/CS8191XDWFR20/page-1", "CS8191XDWFR20")</f>
        <v>CS8191XDWFR20</v>
      </c>
      <c r="B39641" s="3" t="str">
        <f>HYPERLINK("https://www.773grp.com/manufacturer/onsemi?pageNo=349", "ON Semiconductor")</f>
        <v>ON Semiconductor</v>
      </c>
      <c r="C39641" s="6">
        <v>1005</v>
      </c>
      <c r="D39641" s="7">
        <v>2.95</v>
      </c>
      <c r="E39641" t="s">
        <v>11</v>
      </c>
    </row>
    <row r="39642" spans="1:5" x14ac:dyDescent="0.25">
      <c r="A39642" t="str">
        <f>HYPERLINK("https://www.773grp.com/globalSearch/MBR3045PTG/page-1", "MBR3045PTG")</f>
        <v>MBR3045PTG</v>
      </c>
      <c r="B39642" s="3" t="str">
        <f>HYPERLINK("https://www.773grp.com/manufacturer/onsemi?pageNo=350", "ON Semiconductor")</f>
        <v>ON Semiconductor</v>
      </c>
      <c r="C39642" s="6">
        <v>13542</v>
      </c>
      <c r="D39642" s="7">
        <v>2.95</v>
      </c>
      <c r="E39642" t="s">
        <v>103</v>
      </c>
    </row>
    <row r="39643" spans="1:5" x14ac:dyDescent="0.25">
      <c r="A39643" t="str">
        <f>HYPERLINK("https://www.773grp.com/globalSearch/MBRB20100CT/page-1", "MBRB20100CT")</f>
        <v>MBRB20100CT</v>
      </c>
      <c r="B39643" s="3" t="str">
        <f>HYPERLINK("https://www.773grp.com/manufacturer/onsemi?pageNo=351", "ON Semiconductor")</f>
        <v>ON Semiconductor</v>
      </c>
      <c r="C39643" s="6">
        <v>1939</v>
      </c>
      <c r="D39643" s="7">
        <v>2.95</v>
      </c>
    </row>
    <row r="39644" spans="1:5" x14ac:dyDescent="0.25">
      <c r="A39644" t="str">
        <f>HYPERLINK("https://www.773grp.com/globalSearch/MC100EL11D/page-1", "MC100EL11D")</f>
        <v>MC100EL11D</v>
      </c>
      <c r="B39644" s="3" t="str">
        <f>HYPERLINK("https://www.773grp.com/manufacturer/onsemi?pageNo=352", "ON Semiconductor")</f>
        <v>ON Semiconductor</v>
      </c>
      <c r="C39644" s="6">
        <v>30560</v>
      </c>
      <c r="D39644" s="7">
        <v>2.95</v>
      </c>
      <c r="E39644" t="s">
        <v>34</v>
      </c>
    </row>
    <row r="39645" spans="1:5" x14ac:dyDescent="0.25">
      <c r="A39645" t="str">
        <f>HYPERLINK("https://www.773grp.com/globalSearch/MC100EL11DR2/page-1", "MC100EL11DR2")</f>
        <v>MC100EL11DR2</v>
      </c>
      <c r="B39645" s="3" t="str">
        <f>HYPERLINK("https://www.773grp.com/manufacturer/onsemi?pageNo=353", "ON Semiconductor")</f>
        <v>ON Semiconductor</v>
      </c>
      <c r="C39645" s="6">
        <v>2500</v>
      </c>
      <c r="D39645" s="7">
        <v>2.95</v>
      </c>
      <c r="E39645" t="s">
        <v>34</v>
      </c>
    </row>
    <row r="39646" spans="1:5" x14ac:dyDescent="0.25">
      <c r="A39646" t="str">
        <f>HYPERLINK("https://www.773grp.com/globalSearch/MC100EL11DT/page-1", "MC100EL11DT")</f>
        <v>MC100EL11DT</v>
      </c>
      <c r="B39646" s="3" t="str">
        <f>HYPERLINK("https://www.773grp.com/manufacturer/onsemi?pageNo=354", "ON Semiconductor")</f>
        <v>ON Semiconductor</v>
      </c>
      <c r="C39646" s="6">
        <v>21231</v>
      </c>
      <c r="D39646" s="7">
        <v>2.95</v>
      </c>
      <c r="E39646" t="s">
        <v>34</v>
      </c>
    </row>
    <row r="39647" spans="1:5" x14ac:dyDescent="0.25">
      <c r="A39647" t="str">
        <f>HYPERLINK("https://www.773grp.com/globalSearch/MC100EL12D/page-1", "MC100EL12D")</f>
        <v>MC100EL12D</v>
      </c>
      <c r="B39647" s="3" t="str">
        <f>HYPERLINK("https://www.773grp.com/manufacturer/onsemi?pageNo=355", "ON Semiconductor")</f>
        <v>ON Semiconductor</v>
      </c>
      <c r="C39647" s="6">
        <v>11834</v>
      </c>
      <c r="D39647" s="7">
        <v>2.95</v>
      </c>
      <c r="E39647" t="s">
        <v>31</v>
      </c>
    </row>
    <row r="39648" spans="1:5" x14ac:dyDescent="0.25">
      <c r="A39648" t="str">
        <f>HYPERLINK("https://www.773grp.com/globalSearch/MC100LVEL11D/page-1", "MC100LVEL11D")</f>
        <v>MC100LVEL11D</v>
      </c>
      <c r="B39648" s="3" t="str">
        <f>HYPERLINK("https://www.773grp.com/manufacturer/onsemi?pageNo=356", "ON Semiconductor")</f>
        <v>ON Semiconductor</v>
      </c>
      <c r="C39648" s="6">
        <v>26035</v>
      </c>
      <c r="D39648" s="7">
        <v>2.95</v>
      </c>
      <c r="E39648" t="s">
        <v>34</v>
      </c>
    </row>
    <row r="39649" spans="1:5" x14ac:dyDescent="0.25">
      <c r="A39649" t="str">
        <f>HYPERLINK("https://www.773grp.com/globalSearch/MC100LVEL11DT/page-1", "MC100LVEL11DT")</f>
        <v>MC100LVEL11DT</v>
      </c>
      <c r="B39649" s="3" t="str">
        <f>HYPERLINK("https://www.773grp.com/manufacturer/onsemi?pageNo=357", "ON Semiconductor")</f>
        <v>ON Semiconductor</v>
      </c>
      <c r="C39649" s="6">
        <v>14869</v>
      </c>
      <c r="D39649" s="7">
        <v>2.95</v>
      </c>
      <c r="E39649" t="s">
        <v>34</v>
      </c>
    </row>
    <row r="39650" spans="1:5" x14ac:dyDescent="0.25">
      <c r="A39650" t="str">
        <f>HYPERLINK("https://www.773grp.com/globalSearch/MC100LVEL11DTR2/page-1", "MC100LVEL11DTR2")</f>
        <v>MC100LVEL11DTR2</v>
      </c>
      <c r="B39650" s="3" t="str">
        <f>HYPERLINK("https://www.773grp.com/manufacturer/onsemi?pageNo=358", "ON Semiconductor")</f>
        <v>ON Semiconductor</v>
      </c>
      <c r="C39650" s="6">
        <v>2137</v>
      </c>
      <c r="D39650" s="7">
        <v>2.95</v>
      </c>
      <c r="E39650" t="s">
        <v>34</v>
      </c>
    </row>
    <row r="39651" spans="1:5" x14ac:dyDescent="0.25">
      <c r="A39651" t="str">
        <f>HYPERLINK("https://www.773grp.com/globalSearch/MC10EL11D/page-1", "MC10EL11D")</f>
        <v>MC10EL11D</v>
      </c>
      <c r="B39651" s="3" t="str">
        <f>HYPERLINK("https://www.773grp.com/manufacturer/onsemi?pageNo=359", "ON Semiconductor")</f>
        <v>ON Semiconductor</v>
      </c>
      <c r="C39651" s="6">
        <v>8151</v>
      </c>
      <c r="D39651" s="7">
        <v>2.95</v>
      </c>
      <c r="E39651" t="s">
        <v>34</v>
      </c>
    </row>
    <row r="39652" spans="1:5" x14ac:dyDescent="0.25">
      <c r="A39652" t="str">
        <f>HYPERLINK("https://www.773grp.com/globalSearch/MC10EL11DR2/page-1", "MC10EL11DR2")</f>
        <v>MC10EL11DR2</v>
      </c>
      <c r="B39652" s="3" t="str">
        <f>HYPERLINK("https://www.773grp.com/manufacturer/onsemi?pageNo=360", "ON Semiconductor")</f>
        <v>ON Semiconductor</v>
      </c>
      <c r="C39652" s="6">
        <v>127480</v>
      </c>
      <c r="D39652" s="7">
        <v>2.95</v>
      </c>
      <c r="E39652" t="s">
        <v>34</v>
      </c>
    </row>
    <row r="39653" spans="1:5" x14ac:dyDescent="0.25">
      <c r="A39653" t="str">
        <f>HYPERLINK("https://www.773grp.com/globalSearch/MC10EL11DT/page-1", "MC10EL11DT")</f>
        <v>MC10EL11DT</v>
      </c>
      <c r="B39653" s="3" t="str">
        <f>HYPERLINK("https://www.773grp.com/manufacturer/onsemi?pageNo=361", "ON Semiconductor")</f>
        <v>ON Semiconductor</v>
      </c>
      <c r="C39653" s="6">
        <v>1903</v>
      </c>
      <c r="D39653" s="7">
        <v>2.95</v>
      </c>
      <c r="E39653" t="s">
        <v>34</v>
      </c>
    </row>
    <row r="39654" spans="1:5" x14ac:dyDescent="0.25">
      <c r="A39654" t="str">
        <f>HYPERLINK("https://www.773grp.com/globalSearch/MC34067DWG/page-1", "MC34067DWG")</f>
        <v>MC34067DWG</v>
      </c>
      <c r="B39654" s="3" t="str">
        <f>HYPERLINK("https://www.773grp.com/manufacturer/onsemi?pageNo=362", "ON Semiconductor")</f>
        <v>ON Semiconductor</v>
      </c>
      <c r="C39654" s="6">
        <v>68</v>
      </c>
      <c r="D39654" s="7">
        <v>2.95</v>
      </c>
    </row>
    <row r="39655" spans="1:5" x14ac:dyDescent="0.25">
      <c r="A39655" t="str">
        <f>HYPERLINK("https://www.773grp.com/globalSearch/MC34067PG/page-1", "MC34067PG")</f>
        <v>MC34067PG</v>
      </c>
      <c r="B39655" s="3" t="str">
        <f>HYPERLINK("https://www.773grp.com/manufacturer/onsemi?pageNo=363", "ON Semiconductor")</f>
        <v>ON Semiconductor</v>
      </c>
      <c r="C39655" s="6">
        <v>490</v>
      </c>
      <c r="D39655" s="7">
        <v>2.95</v>
      </c>
      <c r="E39655" t="s">
        <v>7</v>
      </c>
    </row>
    <row r="39656" spans="1:5" x14ac:dyDescent="0.25">
      <c r="A39656" t="str">
        <f>HYPERLINK("https://www.773grp.com/globalSearch/MC74F646DW/page-1", "MC74F646DW")</f>
        <v>MC74F646DW</v>
      </c>
      <c r="B39656" s="3" t="str">
        <f>HYPERLINK("https://www.773grp.com/manufacturer/onsemi?pageNo=364", "ON Semiconductor")</f>
        <v>ON Semiconductor</v>
      </c>
      <c r="C39656" s="6">
        <v>4140</v>
      </c>
      <c r="D39656" s="7">
        <v>2.95</v>
      </c>
      <c r="E39656" t="s">
        <v>14</v>
      </c>
    </row>
    <row r="39657" spans="1:5" x14ac:dyDescent="0.25">
      <c r="A39657" t="str">
        <f>HYPERLINK("https://www.773grp.com/globalSearch/MC74F646DWR2/page-1", "MC74F646DWR2")</f>
        <v>MC74F646DWR2</v>
      </c>
      <c r="B39657" s="3" t="str">
        <f>HYPERLINK("https://www.773grp.com/manufacturer/onsemi?pageNo=365", "ON Semiconductor")</f>
        <v>ON Semiconductor</v>
      </c>
      <c r="C39657" s="6">
        <v>4000</v>
      </c>
      <c r="D39657" s="7">
        <v>2.95</v>
      </c>
      <c r="E39657" t="s">
        <v>14</v>
      </c>
    </row>
    <row r="39658" spans="1:5" x14ac:dyDescent="0.25">
      <c r="A39658" t="str">
        <f>HYPERLINK("https://www.773grp.com/globalSearch/MC74F657ADW/page-1", "MC74F657ADW")</f>
        <v>MC74F657ADW</v>
      </c>
      <c r="B39658" s="3" t="str">
        <f>HYPERLINK("https://www.773grp.com/manufacturer/onsemi?pageNo=366", "ON Semiconductor")</f>
        <v>ON Semiconductor</v>
      </c>
      <c r="C39658" s="6">
        <v>365</v>
      </c>
      <c r="D39658" s="7">
        <v>2.95</v>
      </c>
      <c r="E39658" t="s">
        <v>14</v>
      </c>
    </row>
    <row r="39659" spans="1:5" x14ac:dyDescent="0.25">
      <c r="A39659" t="str">
        <f>HYPERLINK("https://www.773grp.com/globalSearch/MC74F657ADWR2/page-1", "MC74F657ADWR2")</f>
        <v>MC74F657ADWR2</v>
      </c>
      <c r="B39659" s="3" t="str">
        <f>HYPERLINK("https://www.773grp.com/manufacturer/onsemi?pageNo=367", "ON Semiconductor")</f>
        <v>ON Semiconductor</v>
      </c>
      <c r="C39659" s="6">
        <v>1000</v>
      </c>
      <c r="D39659" s="7">
        <v>2.95</v>
      </c>
      <c r="E39659" t="s">
        <v>14</v>
      </c>
    </row>
    <row r="39660" spans="1:5" x14ac:dyDescent="0.25">
      <c r="A39660" t="str">
        <f>HYPERLINK("https://www.773grp.com/globalSearch/MC74F657AN/page-1", "MC74F657AN")</f>
        <v>MC74F657AN</v>
      </c>
      <c r="B39660" s="3" t="str">
        <f>HYPERLINK("https://www.773grp.com/manufacturer/onsemi?pageNo=368", "ON Semiconductor")</f>
        <v>ON Semiconductor</v>
      </c>
      <c r="C39660" s="6">
        <v>2450</v>
      </c>
      <c r="D39660" s="7">
        <v>2.95</v>
      </c>
      <c r="E39660" t="s">
        <v>14</v>
      </c>
    </row>
    <row r="39661" spans="1:5" x14ac:dyDescent="0.25">
      <c r="A39661" t="str">
        <f>HYPERLINK("https://www.773grp.com/globalSearch/MC74F657BDW/page-1", "MC74F657BDW")</f>
        <v>MC74F657BDW</v>
      </c>
      <c r="B39661" s="3" t="str">
        <f>HYPERLINK("https://www.773grp.com/manufacturer/onsemi?pageNo=369", "ON Semiconductor")</f>
        <v>ON Semiconductor</v>
      </c>
      <c r="C39661" s="6">
        <v>840</v>
      </c>
      <c r="D39661" s="7">
        <v>2.95</v>
      </c>
      <c r="E39661" t="s">
        <v>14</v>
      </c>
    </row>
    <row r="39662" spans="1:5" x14ac:dyDescent="0.25">
      <c r="A39662" t="str">
        <f>HYPERLINK("https://www.773grp.com/globalSearch/MC74F657BDWR/page-1", "MC74F657BDWR")</f>
        <v>MC74F657BDWR</v>
      </c>
      <c r="B39662" s="3" t="str">
        <f>HYPERLINK("https://www.773grp.com/manufacturer/onsemi?pageNo=370", "ON Semiconductor")</f>
        <v>ON Semiconductor</v>
      </c>
      <c r="C39662" s="6">
        <v>1000</v>
      </c>
      <c r="D39662" s="7">
        <v>2.95</v>
      </c>
    </row>
    <row r="39663" spans="1:5" x14ac:dyDescent="0.25">
      <c r="A39663" t="str">
        <f>HYPERLINK("https://www.773grp.com/globalSearch/MC74F657BDWR2/page-1", "MC74F657BDWR2")</f>
        <v>MC74F657BDWR2</v>
      </c>
      <c r="B39663" s="3" t="str">
        <f>HYPERLINK("https://www.773grp.com/manufacturer/onsemi?pageNo=371", "ON Semiconductor")</f>
        <v>ON Semiconductor</v>
      </c>
      <c r="C39663" s="6">
        <v>1000</v>
      </c>
      <c r="D39663" s="7">
        <v>2.95</v>
      </c>
      <c r="E39663" t="s">
        <v>14</v>
      </c>
    </row>
    <row r="39664" spans="1:5" x14ac:dyDescent="0.25">
      <c r="A39664" t="str">
        <f>HYPERLINK("https://www.773grp.com/globalSearch/MPIC2112DW/page-1", "MPIC2112DW")</f>
        <v>MPIC2112DW</v>
      </c>
      <c r="B39664" s="3" t="str">
        <f>HYPERLINK("https://www.773grp.com/manufacturer/onsemi?pageNo=372", "ON Semiconductor")</f>
        <v>ON Semiconductor</v>
      </c>
      <c r="C39664" s="6">
        <v>255</v>
      </c>
      <c r="D39664" s="7">
        <v>2.95</v>
      </c>
      <c r="E39664" t="s">
        <v>16</v>
      </c>
    </row>
    <row r="39665" spans="1:5" x14ac:dyDescent="0.25">
      <c r="A39665" t="str">
        <f>HYPERLINK("https://www.773grp.com/globalSearch/MTP50N06EL/page-1", "MTP50N06EL")</f>
        <v>MTP50N06EL</v>
      </c>
      <c r="B39665" s="3" t="str">
        <f>HYPERLINK("https://www.773grp.com/manufacturer/onsemi?pageNo=373", "ON Semiconductor")</f>
        <v>ON Semiconductor</v>
      </c>
      <c r="C39665" s="6">
        <v>27</v>
      </c>
      <c r="D39665" s="7">
        <v>2.95</v>
      </c>
      <c r="E39665" t="s">
        <v>105</v>
      </c>
    </row>
    <row r="39666" spans="1:5" x14ac:dyDescent="0.25">
      <c r="A39666" t="str">
        <f>HYPERLINK("https://www.773grp.com/globalSearch/MUR3040/page-1", "MUR3040")</f>
        <v>MUR3040</v>
      </c>
      <c r="B39666" s="3" t="str">
        <f>HYPERLINK("https://www.773grp.com/manufacturer/onsemi?pageNo=374", "ON Semiconductor")</f>
        <v>ON Semiconductor</v>
      </c>
      <c r="C39666" s="6">
        <v>1100</v>
      </c>
      <c r="D39666" s="7">
        <v>2.95</v>
      </c>
      <c r="E39666" t="s">
        <v>103</v>
      </c>
    </row>
    <row r="39667" spans="1:5" x14ac:dyDescent="0.25">
      <c r="A39667" t="str">
        <f>HYPERLINK("https://www.773grp.com/globalSearch/MUR3040/page-1", "MUR3040")</f>
        <v>MUR3040</v>
      </c>
      <c r="B39667" s="3" t="str">
        <f>HYPERLINK("https://www.773grp.com/manufacturer/onsemi?pageNo=375", "ON Semiconductor")</f>
        <v>ON Semiconductor</v>
      </c>
      <c r="C39667" s="6">
        <v>1330</v>
      </c>
      <c r="D39667" s="7">
        <v>2.95</v>
      </c>
      <c r="E39667" t="s">
        <v>103</v>
      </c>
    </row>
    <row r="39668" spans="1:5" x14ac:dyDescent="0.25">
      <c r="A39668" t="str">
        <f>HYPERLINK("https://www.773grp.com/globalSearch/NCL30001DR2G/page-1", "NCL30001DR2G")</f>
        <v>NCL30001DR2G</v>
      </c>
      <c r="B39668" s="3" t="str">
        <f>HYPERLINK("https://www.773grp.com/manufacturer/onsemi?pageNo=376", "ON Semiconductor")</f>
        <v>ON Semiconductor</v>
      </c>
      <c r="C39668" s="6">
        <v>9748</v>
      </c>
      <c r="D39668" s="7">
        <v>2.95</v>
      </c>
    </row>
    <row r="39669" spans="1:5" x14ac:dyDescent="0.25">
      <c r="A39669" t="str">
        <f>HYPERLINK("https://www.773grp.com/globalSearch/NCV8800HDW26R2/page-1", "NCV8800HDW26R2")</f>
        <v>NCV8800HDW26R2</v>
      </c>
      <c r="B39669" s="3" t="str">
        <f>HYPERLINK("https://www.773grp.com/manufacturer/onsemi?pageNo=377", "ON Semiconductor")</f>
        <v>ON Semiconductor</v>
      </c>
      <c r="C39669" s="6">
        <v>1000</v>
      </c>
      <c r="D39669" s="7">
        <v>2.95</v>
      </c>
      <c r="E39669" t="s">
        <v>7</v>
      </c>
    </row>
    <row r="39670" spans="1:5" x14ac:dyDescent="0.25">
      <c r="A39670" t="str">
        <f>HYPERLINK("https://www.773grp.com/globalSearch/NCV8800HDW75/page-1", "NCV8800HDW75")</f>
        <v>NCV8800HDW75</v>
      </c>
      <c r="B39670" s="3" t="str">
        <f>HYPERLINK("https://www.773grp.com/manufacturer/onsemi?pageNo=378", "ON Semiconductor")</f>
        <v>ON Semiconductor</v>
      </c>
      <c r="C39670" s="6">
        <v>1692</v>
      </c>
      <c r="D39670" s="7">
        <v>2.95</v>
      </c>
      <c r="E39670" t="s">
        <v>7</v>
      </c>
    </row>
    <row r="39671" spans="1:5" x14ac:dyDescent="0.25">
      <c r="A39671" t="str">
        <f>HYPERLINK("https://www.773grp.com/globalSearch/NCV8800HDW75R2/page-1", "NCV8800HDW75R2")</f>
        <v>NCV8800HDW75R2</v>
      </c>
      <c r="B39671" s="3" t="str">
        <f>HYPERLINK("https://www.773grp.com/manufacturer/onsemi?pageNo=379", "ON Semiconductor")</f>
        <v>ON Semiconductor</v>
      </c>
      <c r="C39671" s="6">
        <v>752</v>
      </c>
      <c r="D39671" s="7">
        <v>2.95</v>
      </c>
      <c r="E39671" t="s">
        <v>7</v>
      </c>
    </row>
    <row r="39672" spans="1:5" x14ac:dyDescent="0.25">
      <c r="A39672" t="str">
        <f>HYPERLINK("https://www.773grp.com/globalSearch/NTP35N15G/page-1", "NTP35N15G")</f>
        <v>NTP35N15G</v>
      </c>
      <c r="B39672" s="3" t="str">
        <f>HYPERLINK("https://www.773grp.com/manufacturer/onsemi?pageNo=380", "ON Semiconductor")</f>
        <v>ON Semiconductor</v>
      </c>
      <c r="C39672" s="6">
        <v>5395</v>
      </c>
      <c r="D39672" s="7">
        <v>2.95</v>
      </c>
      <c r="E39672" t="s">
        <v>105</v>
      </c>
    </row>
    <row r="39673" spans="1:5" x14ac:dyDescent="0.25">
      <c r="A39673" t="str">
        <f>HYPERLINK("https://www.773grp.com/globalSearch/2N6344G/page-1", "2N6344G")</f>
        <v>2N6344G</v>
      </c>
      <c r="B39673" s="3" t="str">
        <f>HYPERLINK("https://www.773grp.com/manufacturer/onsemi?pageNo=381", "ON Semiconductor")</f>
        <v>ON Semiconductor</v>
      </c>
      <c r="C39673" s="6">
        <v>4000</v>
      </c>
      <c r="D39673" s="7">
        <v>3.28</v>
      </c>
      <c r="E39673" t="s">
        <v>102</v>
      </c>
    </row>
    <row r="39674" spans="1:5" x14ac:dyDescent="0.25">
      <c r="A39674" t="str">
        <f>HYPERLINK("https://www.773grp.com/globalSearch/2N6348AG/page-1", "2N6348AG")</f>
        <v>2N6348AG</v>
      </c>
      <c r="B39674" s="3" t="str">
        <f>HYPERLINK("https://www.773grp.com/manufacturer/onsemi?pageNo=382", "ON Semiconductor")</f>
        <v>ON Semiconductor</v>
      </c>
      <c r="C39674" s="6">
        <v>15965</v>
      </c>
      <c r="D39674" s="7">
        <v>3.28</v>
      </c>
      <c r="E39674" t="s">
        <v>102</v>
      </c>
    </row>
    <row r="39675" spans="1:5" x14ac:dyDescent="0.25">
      <c r="A39675" t="str">
        <f>HYPERLINK("https://www.773grp.com/globalSearch/2N6349AG/page-1", "2N6349AG")</f>
        <v>2N6349AG</v>
      </c>
      <c r="B39675" s="3" t="str">
        <f>HYPERLINK("https://www.773grp.com/manufacturer/onsemi?pageNo=383", "ON Semiconductor")</f>
        <v>ON Semiconductor</v>
      </c>
      <c r="C39675" s="6">
        <v>2953</v>
      </c>
      <c r="D39675" s="7">
        <v>3.28</v>
      </c>
      <c r="E39675" t="s">
        <v>102</v>
      </c>
    </row>
    <row r="39676" spans="1:5" x14ac:dyDescent="0.25">
      <c r="A39676" t="str">
        <f>HYPERLINK("https://www.773grp.com/globalSearch/CS3844BGDR8/page-1", "CS3844BGDR8")</f>
        <v>CS3844BGDR8</v>
      </c>
      <c r="B39676" s="3" t="str">
        <f>HYPERLINK("https://www.773grp.com/manufacturer/onsemi?pageNo=384", "ON Semiconductor")</f>
        <v>ON Semiconductor</v>
      </c>
      <c r="C39676" s="6">
        <v>7500</v>
      </c>
      <c r="D39676" s="7">
        <v>3.28</v>
      </c>
      <c r="E39676" t="s">
        <v>7</v>
      </c>
    </row>
    <row r="39677" spans="1:5" x14ac:dyDescent="0.25">
      <c r="A39677" t="str">
        <f>HYPERLINK("https://www.773grp.com/globalSearch/CS3844GD8/page-1", "CS3844GD8")</f>
        <v>CS3844GD8</v>
      </c>
      <c r="B39677" s="3" t="str">
        <f>HYPERLINK("https://www.773grp.com/manufacturer/onsemi?pageNo=385", "ON Semiconductor")</f>
        <v>ON Semiconductor</v>
      </c>
      <c r="C39677" s="6">
        <v>6961</v>
      </c>
      <c r="D39677" s="7">
        <v>3.28</v>
      </c>
      <c r="E39677" t="s">
        <v>7</v>
      </c>
    </row>
    <row r="39678" spans="1:5" x14ac:dyDescent="0.25">
      <c r="A39678" t="str">
        <f>HYPERLINK("https://www.773grp.com/globalSearch/CS3845GD8/page-1", "CS3845GD8")</f>
        <v>CS3845GD8</v>
      </c>
      <c r="B39678" s="3" t="str">
        <f>HYPERLINK("https://www.773grp.com/manufacturer/onsemi?pageNo=386", "ON Semiconductor")</f>
        <v>ON Semiconductor</v>
      </c>
      <c r="C39678" s="6">
        <v>1217</v>
      </c>
      <c r="D39678" s="7">
        <v>3.28</v>
      </c>
      <c r="E39678" t="s">
        <v>7</v>
      </c>
    </row>
    <row r="39679" spans="1:5" x14ac:dyDescent="0.25">
      <c r="A39679" t="str">
        <f>HYPERLINK("https://www.773grp.com/globalSearch/LA6597FMC-AH/page-1", "LA6597FMC-AH")</f>
        <v>LA6597FMC-AH</v>
      </c>
      <c r="B39679" s="3" t="str">
        <f>HYPERLINK("https://www.773grp.com/manufacturer/onsemi?pageNo=387", "ON Semiconductor")</f>
        <v>ON Semiconductor</v>
      </c>
      <c r="C39679" s="6">
        <v>207500</v>
      </c>
      <c r="D39679" s="7">
        <v>3.28</v>
      </c>
    </row>
    <row r="39680" spans="1:5" x14ac:dyDescent="0.25">
      <c r="A39680" t="str">
        <f>HYPERLINK("https://www.773grp.com/globalSearch/LV8281VR-TLM-H/page-1", "LV8281VR-TLM-H")</f>
        <v>LV8281VR-TLM-H</v>
      </c>
      <c r="B39680" s="3" t="str">
        <f>HYPERLINK("https://www.773grp.com/manufacturer/onsemi?pageNo=388", "ON Semiconductor")</f>
        <v>ON Semiconductor</v>
      </c>
      <c r="C39680" s="6">
        <v>40000</v>
      </c>
      <c r="D39680" s="7">
        <v>3.28</v>
      </c>
    </row>
    <row r="39681" spans="1:5" x14ac:dyDescent="0.25">
      <c r="A39681" t="str">
        <f>HYPERLINK("https://www.773grp.com/globalSearch/MAC15A10G/page-1", "MAC15A10G")</f>
        <v>MAC15A10G</v>
      </c>
      <c r="B39681" s="3" t="str">
        <f>HYPERLINK("https://www.773grp.com/manufacturer/onsemi?pageNo=389", "ON Semiconductor")</f>
        <v>ON Semiconductor</v>
      </c>
      <c r="C39681" s="6">
        <v>1375</v>
      </c>
      <c r="D39681" s="7">
        <v>3.28</v>
      </c>
    </row>
    <row r="39682" spans="1:5" x14ac:dyDescent="0.25">
      <c r="A39682" t="str">
        <f>HYPERLINK("https://www.773grp.com/globalSearch/MAC15A6G/page-1", "MAC15A6G")</f>
        <v>MAC15A6G</v>
      </c>
      <c r="B39682" s="3" t="str">
        <f>HYPERLINK("https://www.773grp.com/manufacturer/onsemi?pageNo=390", "ON Semiconductor")</f>
        <v>ON Semiconductor</v>
      </c>
      <c r="C39682" s="6">
        <v>31400</v>
      </c>
      <c r="D39682" s="7">
        <v>3.28</v>
      </c>
      <c r="E39682" t="s">
        <v>102</v>
      </c>
    </row>
    <row r="39683" spans="1:5" x14ac:dyDescent="0.25">
      <c r="A39683" t="str">
        <f>HYPERLINK("https://www.773grp.com/globalSearch/MAC15A8G/page-1", "MAC15A8G")</f>
        <v>MAC15A8G</v>
      </c>
      <c r="B39683" s="3" t="str">
        <f>HYPERLINK("https://www.773grp.com/manufacturer/onsemi?pageNo=391", "ON Semiconductor")</f>
        <v>ON Semiconductor</v>
      </c>
      <c r="C39683" s="6">
        <v>5686</v>
      </c>
      <c r="D39683" s="7">
        <v>3.28</v>
      </c>
      <c r="E39683" t="s">
        <v>102</v>
      </c>
    </row>
    <row r="39684" spans="1:5" x14ac:dyDescent="0.25">
      <c r="A39684" t="str">
        <f>HYPERLINK("https://www.773grp.com/globalSearch/MC10134P/page-1", "MC10134P")</f>
        <v>MC10134P</v>
      </c>
      <c r="B39684" s="3" t="str">
        <f>HYPERLINK("https://www.773grp.com/manufacturer/onsemi?pageNo=392", "ON Semiconductor")</f>
        <v>ON Semiconductor</v>
      </c>
      <c r="C39684" s="6">
        <v>1950</v>
      </c>
      <c r="D39684" s="7">
        <v>3.28</v>
      </c>
      <c r="E39684" t="s">
        <v>35</v>
      </c>
    </row>
    <row r="39685" spans="1:5" x14ac:dyDescent="0.25">
      <c r="A39685" t="str">
        <f>HYPERLINK("https://www.773grp.com/globalSearch/MC14517BDWG/page-1", "MC14517BDWG")</f>
        <v>MC14517BDWG</v>
      </c>
      <c r="B39685" s="3" t="str">
        <f>HYPERLINK("https://www.773grp.com/manufacturer/onsemi?pageNo=393", "ON Semiconductor")</f>
        <v>ON Semiconductor</v>
      </c>
      <c r="C39685" s="6">
        <v>822</v>
      </c>
      <c r="D39685" s="7">
        <v>3.28</v>
      </c>
    </row>
    <row r="39686" spans="1:5" x14ac:dyDescent="0.25">
      <c r="A39686" t="str">
        <f>HYPERLINK("https://www.773grp.com/globalSearch/MCR25DG/page-1", "MCR25DG")</f>
        <v>MCR25DG</v>
      </c>
      <c r="B39686" s="3" t="str">
        <f>HYPERLINK("https://www.773grp.com/manufacturer/onsemi?pageNo=394", "ON Semiconductor")</f>
        <v>ON Semiconductor</v>
      </c>
      <c r="C39686" s="6">
        <v>14</v>
      </c>
      <c r="D39686" s="7">
        <v>3.28</v>
      </c>
      <c r="E39686" t="s">
        <v>97</v>
      </c>
    </row>
    <row r="39687" spans="1:5" x14ac:dyDescent="0.25">
      <c r="A39687" t="str">
        <f>HYPERLINK("https://www.773grp.com/globalSearch/MCR25MG/page-1", "MCR25MG")</f>
        <v>MCR25MG</v>
      </c>
      <c r="B39687" s="3" t="str">
        <f>HYPERLINK("https://www.773grp.com/manufacturer/onsemi?pageNo=395", "ON Semiconductor")</f>
        <v>ON Semiconductor</v>
      </c>
      <c r="C39687" s="6">
        <v>54172</v>
      </c>
      <c r="D39687" s="7">
        <v>3.28</v>
      </c>
      <c r="E39687" t="s">
        <v>97</v>
      </c>
    </row>
    <row r="39688" spans="1:5" x14ac:dyDescent="0.25">
      <c r="A39688" t="str">
        <f>HYPERLINK("https://www.773grp.com/globalSearch/MCR25NG/page-1", "MCR25NG")</f>
        <v>MCR25NG</v>
      </c>
      <c r="B39688" s="3" t="str">
        <f>HYPERLINK("https://www.773grp.com/manufacturer/onsemi?pageNo=396", "ON Semiconductor")</f>
        <v>ON Semiconductor</v>
      </c>
      <c r="C39688" s="6">
        <v>20</v>
      </c>
      <c r="D39688" s="7">
        <v>3.28</v>
      </c>
    </row>
    <row r="39689" spans="1:5" x14ac:dyDescent="0.25">
      <c r="A39689" t="str">
        <f>HYPERLINK("https://www.773grp.com/globalSearch/MTB15N06VT4/page-1", "MTB15N06VT4")</f>
        <v>MTB15N06VT4</v>
      </c>
      <c r="B39689" s="3" t="str">
        <f>HYPERLINK("https://www.773grp.com/manufacturer/onsemi?pageNo=397", "ON Semiconductor")</f>
        <v>ON Semiconductor</v>
      </c>
      <c r="C39689" s="6">
        <v>10400</v>
      </c>
      <c r="D39689" s="7">
        <v>3.28</v>
      </c>
      <c r="E39689" t="s">
        <v>105</v>
      </c>
    </row>
    <row r="39690" spans="1:5" x14ac:dyDescent="0.25">
      <c r="A39690" t="str">
        <f>HYPERLINK("https://www.773grp.com/globalSearch/MTB15N06VT4/page-1", "MTB15N06VT4")</f>
        <v>MTB15N06VT4</v>
      </c>
      <c r="B39690" s="3" t="str">
        <f>HYPERLINK("https://www.773grp.com/manufacturer/onsemi?pageNo=398", "ON Semiconductor")</f>
        <v>ON Semiconductor</v>
      </c>
      <c r="C39690" s="6">
        <v>800</v>
      </c>
      <c r="D39690" s="7">
        <v>3.28</v>
      </c>
      <c r="E39690" t="s">
        <v>105</v>
      </c>
    </row>
    <row r="39691" spans="1:5" x14ac:dyDescent="0.25">
      <c r="A39691" t="str">
        <f>HYPERLINK("https://www.773grp.com/globalSearch/MTB60N06HDT4/page-1", "MTB60N06HDT4")</f>
        <v>MTB60N06HDT4</v>
      </c>
      <c r="B39691" s="3" t="str">
        <f>HYPERLINK("https://www.773grp.com/manufacturer/onsemi?pageNo=399", "ON Semiconductor")</f>
        <v>ON Semiconductor</v>
      </c>
      <c r="C39691" s="6">
        <v>220</v>
      </c>
      <c r="D39691" s="7">
        <v>3.28</v>
      </c>
      <c r="E39691" t="s">
        <v>105</v>
      </c>
    </row>
    <row r="39692" spans="1:5" x14ac:dyDescent="0.25">
      <c r="A39692" t="str">
        <f>HYPERLINK("https://www.773grp.com/globalSearch/NCP1000T/page-1", "NCP1000T")</f>
        <v>NCP1000T</v>
      </c>
      <c r="B39692" s="3" t="str">
        <f>HYPERLINK("https://www.773grp.com/manufacturer/onsemi?pageNo=400", "ON Semiconductor")</f>
        <v>ON Semiconductor</v>
      </c>
      <c r="C39692" s="6">
        <v>5850</v>
      </c>
      <c r="D39692" s="7">
        <v>3.28</v>
      </c>
      <c r="E39692" t="s">
        <v>7</v>
      </c>
    </row>
    <row r="39693" spans="1:5" x14ac:dyDescent="0.25">
      <c r="A39693" t="str">
        <f>HYPERLINK("https://www.773grp.com/globalSearch/NCP1205DR2G/page-1", "NCP1205DR2G")</f>
        <v>NCP1205DR2G</v>
      </c>
      <c r="B39693" s="3" t="str">
        <f>HYPERLINK("https://www.773grp.com/manufacturer/onsemi?pageNo=401", "ON Semiconductor")</f>
        <v>ON Semiconductor</v>
      </c>
      <c r="C39693" s="6">
        <v>12439</v>
      </c>
      <c r="D39693" s="7">
        <v>3.28</v>
      </c>
      <c r="E39693" t="s">
        <v>7</v>
      </c>
    </row>
    <row r="39694" spans="1:5" x14ac:dyDescent="0.25">
      <c r="A39694" t="str">
        <f>HYPERLINK("https://www.773grp.com/globalSearch/NCP1382DR2G/page-1", "NCP1382DR2G")</f>
        <v>NCP1382DR2G</v>
      </c>
      <c r="B39694" s="3" t="str">
        <f>HYPERLINK("https://www.773grp.com/manufacturer/onsemi?pageNo=402", "ON Semiconductor")</f>
        <v>ON Semiconductor</v>
      </c>
      <c r="C39694" s="6">
        <v>439403</v>
      </c>
      <c r="D39694" s="7">
        <v>3.28</v>
      </c>
      <c r="E39694" t="s">
        <v>7</v>
      </c>
    </row>
    <row r="39695" spans="1:5" x14ac:dyDescent="0.25">
      <c r="A39695" t="str">
        <f>HYPERLINK("https://www.773grp.com/globalSearch/NCP4302ADR2G/page-1", "NCP4302ADR2G")</f>
        <v>NCP4302ADR2G</v>
      </c>
      <c r="B39695" s="3" t="str">
        <f>HYPERLINK("https://www.773grp.com/manufacturer/onsemi?pageNo=403", "ON Semiconductor")</f>
        <v>ON Semiconductor</v>
      </c>
      <c r="C39695" s="6">
        <v>2117</v>
      </c>
      <c r="D39695" s="7">
        <v>3.28</v>
      </c>
      <c r="E39695" t="s">
        <v>7</v>
      </c>
    </row>
    <row r="39696" spans="1:5" x14ac:dyDescent="0.25">
      <c r="A39696" t="str">
        <f>HYPERLINK("https://www.773grp.com/globalSearch/NCP4302BDR2G/page-1", "NCP4302BDR2G")</f>
        <v>NCP4302BDR2G</v>
      </c>
      <c r="B39696" s="3" t="str">
        <f>HYPERLINK("https://www.773grp.com/manufacturer/onsemi?pageNo=404", "ON Semiconductor")</f>
        <v>ON Semiconductor</v>
      </c>
      <c r="C39696" s="6">
        <v>18734</v>
      </c>
      <c r="D39696" s="7">
        <v>3.28</v>
      </c>
      <c r="E39696" t="s">
        <v>7</v>
      </c>
    </row>
    <row r="39697" spans="1:5" x14ac:dyDescent="0.25">
      <c r="A39697" t="str">
        <f>HYPERLINK("https://www.773grp.com/globalSearch/NCP4414P/page-1", "NCP4414P")</f>
        <v>NCP4414P</v>
      </c>
      <c r="B39697" s="3" t="str">
        <f>HYPERLINK("https://www.773grp.com/manufacturer/onsemi?pageNo=405", "ON Semiconductor")</f>
        <v>ON Semiconductor</v>
      </c>
      <c r="C39697" s="6">
        <v>27494</v>
      </c>
      <c r="D39697" s="7">
        <v>3.28</v>
      </c>
      <c r="E39697" t="s">
        <v>16</v>
      </c>
    </row>
    <row r="39698" spans="1:5" x14ac:dyDescent="0.25">
      <c r="A39698" t="str">
        <f>HYPERLINK("https://www.773grp.com/globalSearch/NCP5399MNR2G/page-1", "NCP5399MNR2G")</f>
        <v>NCP5399MNR2G</v>
      </c>
      <c r="B39698" s="3" t="str">
        <f>HYPERLINK("https://www.773grp.com/manufacturer/onsemi?pageNo=406", "ON Semiconductor")</f>
        <v>ON Semiconductor</v>
      </c>
      <c r="C39698" s="6">
        <v>252515</v>
      </c>
      <c r="D39698" s="7">
        <v>3.28</v>
      </c>
    </row>
    <row r="39699" spans="1:5" x14ac:dyDescent="0.25">
      <c r="A39699" t="str">
        <f>HYPERLINK("https://www.773grp.com/globalSearch/NCP59151DS18R4G/page-1", "NCP59151DS18R4G")</f>
        <v>NCP59151DS18R4G</v>
      </c>
      <c r="B39699" s="3" t="str">
        <f>HYPERLINK("https://www.773grp.com/manufacturer/onsemi?pageNo=407", "ON Semiconductor")</f>
        <v>ON Semiconductor</v>
      </c>
      <c r="C39699" s="6">
        <v>1600</v>
      </c>
      <c r="D39699" s="7">
        <v>3.28</v>
      </c>
    </row>
    <row r="39700" spans="1:5" x14ac:dyDescent="0.25">
      <c r="A39700" t="str">
        <f>HYPERLINK("https://www.773grp.com/globalSearch/NCP59151DS25R4G/page-1", "NCP59151DS25R4G")</f>
        <v>NCP59151DS25R4G</v>
      </c>
      <c r="B39700" s="3" t="str">
        <f>HYPERLINK("https://www.773grp.com/manufacturer/onsemi?pageNo=408", "ON Semiconductor")</f>
        <v>ON Semiconductor</v>
      </c>
      <c r="C39700" s="6">
        <v>800</v>
      </c>
      <c r="D39700" s="7">
        <v>3.28</v>
      </c>
    </row>
    <row r="39701" spans="1:5" x14ac:dyDescent="0.25">
      <c r="A39701" t="str">
        <f>HYPERLINK("https://www.773grp.com/globalSearch/NCP59151DS28R4G/page-1", "NCP59151DS28R4G")</f>
        <v>NCP59151DS28R4G</v>
      </c>
      <c r="B39701" s="3" t="str">
        <f>HYPERLINK("https://www.773grp.com/manufacturer/onsemi?pageNo=409", "ON Semiconductor")</f>
        <v>ON Semiconductor</v>
      </c>
      <c r="C39701" s="6">
        <v>800</v>
      </c>
      <c r="D39701" s="7">
        <v>3.28</v>
      </c>
    </row>
    <row r="39702" spans="1:5" x14ac:dyDescent="0.25">
      <c r="A39702" t="str">
        <f>HYPERLINK("https://www.773grp.com/globalSearch/NCP59151DS30R4G/page-1", "NCP59151DS30R4G")</f>
        <v>NCP59151DS30R4G</v>
      </c>
      <c r="B39702" s="3" t="str">
        <f>HYPERLINK("https://www.773grp.com/manufacturer/onsemi?pageNo=410", "ON Semiconductor")</f>
        <v>ON Semiconductor</v>
      </c>
      <c r="C39702" s="6">
        <v>800</v>
      </c>
      <c r="D39702" s="7">
        <v>3.28</v>
      </c>
    </row>
    <row r="39703" spans="1:5" x14ac:dyDescent="0.25">
      <c r="A39703" t="str">
        <f>HYPERLINK("https://www.773grp.com/globalSearch/NCP59151DS33R4G/page-1", "NCP59151DS33R4G")</f>
        <v>NCP59151DS33R4G</v>
      </c>
      <c r="B39703" s="3" t="str">
        <f>HYPERLINK("https://www.773grp.com/manufacturer/onsemi?pageNo=411", "ON Semiconductor")</f>
        <v>ON Semiconductor</v>
      </c>
      <c r="C39703" s="6">
        <v>800</v>
      </c>
      <c r="D39703" s="7">
        <v>3.28</v>
      </c>
    </row>
    <row r="39704" spans="1:5" x14ac:dyDescent="0.25">
      <c r="A39704" t="str">
        <f>HYPERLINK("https://www.773grp.com/globalSearch/NCP59151DS50R4G/page-1", "NCP59151DS50R4G")</f>
        <v>NCP59151DS50R4G</v>
      </c>
      <c r="B39704" s="3" t="str">
        <f>HYPERLINK("https://www.773grp.com/manufacturer/onsemi?pageNo=412", "ON Semiconductor")</f>
        <v>ON Semiconductor</v>
      </c>
      <c r="C39704" s="6">
        <v>730</v>
      </c>
      <c r="D39704" s="7">
        <v>3.28</v>
      </c>
    </row>
    <row r="39705" spans="1:5" x14ac:dyDescent="0.25">
      <c r="A39705" t="str">
        <f>HYPERLINK("https://www.773grp.com/globalSearch/NCP6151S52MNR2G/page-1", "NCP6151S52MNR2G")</f>
        <v>NCP6151S52MNR2G</v>
      </c>
      <c r="B39705" s="3" t="str">
        <f>HYPERLINK("https://www.773grp.com/manufacturer/onsemi?pageNo=413", "ON Semiconductor")</f>
        <v>ON Semiconductor</v>
      </c>
      <c r="C39705" s="6">
        <v>1120</v>
      </c>
      <c r="D39705" s="7">
        <v>3.28</v>
      </c>
    </row>
    <row r="39706" spans="1:5" x14ac:dyDescent="0.25">
      <c r="A39706" t="str">
        <f>HYPERLINK("https://www.773grp.com/globalSearch/NCT22DR2/page-1", "NCT22DR2")</f>
        <v>NCT22DR2</v>
      </c>
      <c r="B39706" s="3" t="str">
        <f>HYPERLINK("https://www.773grp.com/manufacturer/onsemi?pageNo=414", "ON Semiconductor")</f>
        <v>ON Semiconductor</v>
      </c>
      <c r="C39706" s="6">
        <v>26258</v>
      </c>
      <c r="D39706" s="7">
        <v>3.28</v>
      </c>
      <c r="E39706" t="s">
        <v>12</v>
      </c>
    </row>
    <row r="39707" spans="1:5" x14ac:dyDescent="0.25">
      <c r="A39707" t="str">
        <f>HYPERLINK("https://www.773grp.com/globalSearch/NCT24DR2/page-1", "NCT24DR2")</f>
        <v>NCT24DR2</v>
      </c>
      <c r="B39707" s="3" t="str">
        <f>HYPERLINK("https://www.773grp.com/manufacturer/onsemi?pageNo=415", "ON Semiconductor")</f>
        <v>ON Semiconductor</v>
      </c>
      <c r="C39707" s="6">
        <v>27495</v>
      </c>
      <c r="D39707" s="7">
        <v>3.28</v>
      </c>
      <c r="E39707" t="s">
        <v>12</v>
      </c>
    </row>
    <row r="39708" spans="1:5" x14ac:dyDescent="0.25">
      <c r="A39708" t="str">
        <f>HYPERLINK("https://www.773grp.com/globalSearch/NCV4269APD50G/page-1", "NCV4269APD50G")</f>
        <v>NCV4269APD50G</v>
      </c>
      <c r="B39708" s="3" t="str">
        <f>HYPERLINK("https://www.773grp.com/manufacturer/onsemi?pageNo=416", "ON Semiconductor")</f>
        <v>ON Semiconductor</v>
      </c>
      <c r="C39708" s="6">
        <v>1382</v>
      </c>
      <c r="D39708" s="7">
        <v>3.28</v>
      </c>
      <c r="E39708" t="s">
        <v>19</v>
      </c>
    </row>
    <row r="39709" spans="1:5" x14ac:dyDescent="0.25">
      <c r="A39709" t="str">
        <f>HYPERLINK("https://www.773grp.com/globalSearch/NCV4269APD50R2G/page-1", "NCV4269APD50R2G")</f>
        <v>NCV4269APD50R2G</v>
      </c>
      <c r="B39709" s="3" t="str">
        <f>HYPERLINK("https://www.773grp.com/manufacturer/onsemi?pageNo=417", "ON Semiconductor")</f>
        <v>ON Semiconductor</v>
      </c>
      <c r="C39709" s="6">
        <v>5000</v>
      </c>
      <c r="D39709" s="7">
        <v>3.28</v>
      </c>
    </row>
    <row r="39710" spans="1:5" x14ac:dyDescent="0.25">
      <c r="A39710" t="str">
        <f>HYPERLINK("https://www.773grp.com/globalSearch/NCV4274DT33RKG/page-1", "NCV4274DT33RKG")</f>
        <v>NCV4274DT33RKG</v>
      </c>
      <c r="B39710" s="3" t="str">
        <f>HYPERLINK("https://www.773grp.com/manufacturer/onsemi?pageNo=418", "ON Semiconductor")</f>
        <v>ON Semiconductor</v>
      </c>
      <c r="C39710" s="6">
        <v>139795</v>
      </c>
      <c r="D39710" s="7">
        <v>3.28</v>
      </c>
      <c r="E39710" t="s">
        <v>28</v>
      </c>
    </row>
    <row r="39711" spans="1:5" x14ac:dyDescent="0.25">
      <c r="A39711" t="str">
        <f>HYPERLINK("https://www.773grp.com/globalSearch/NCV8664DT33RKG/page-1", "NCV8664DT33RKG")</f>
        <v>NCV8664DT33RKG</v>
      </c>
      <c r="B39711" s="3" t="str">
        <f>HYPERLINK("https://www.773grp.com/manufacturer/onsemi?pageNo=419", "ON Semiconductor")</f>
        <v>ON Semiconductor</v>
      </c>
      <c r="C39711" s="6">
        <v>8884</v>
      </c>
      <c r="D39711" s="7">
        <v>3.28</v>
      </c>
    </row>
    <row r="39712" spans="1:5" x14ac:dyDescent="0.25">
      <c r="A39712" t="str">
        <f>HYPERLINK("https://www.773grp.com/globalSearch/NCV8664DT50RKG/page-1", "NCV8664DT50RKG")</f>
        <v>NCV8664DT50RKG</v>
      </c>
      <c r="B39712" s="3" t="str">
        <f>HYPERLINK("https://www.773grp.com/manufacturer/onsemi?pageNo=420", "ON Semiconductor")</f>
        <v>ON Semiconductor</v>
      </c>
      <c r="C39712" s="6">
        <v>10000</v>
      </c>
      <c r="D39712" s="7">
        <v>3.28</v>
      </c>
    </row>
    <row r="39713" spans="1:5" x14ac:dyDescent="0.25">
      <c r="A39713" t="str">
        <f>HYPERLINK("https://www.773grp.com/globalSearch/NLSX3012DMR2G/page-1", "NLSX3012DMR2G")</f>
        <v>NLSX3012DMR2G</v>
      </c>
      <c r="B39713" s="3" t="str">
        <f>HYPERLINK("https://www.773grp.com/manufacturer/onsemi?pageNo=421", "ON Semiconductor")</f>
        <v>ON Semiconductor</v>
      </c>
      <c r="C39713" s="6">
        <v>4000</v>
      </c>
      <c r="D39713" s="7">
        <v>3.28</v>
      </c>
    </row>
    <row r="39714" spans="1:5" x14ac:dyDescent="0.25">
      <c r="A39714" t="str">
        <f>HYPERLINK("https://www.773grp.com/globalSearch/NLSX3012MUTAG/page-1", "NLSX3012MUTAG")</f>
        <v>NLSX3012MUTAG</v>
      </c>
      <c r="B39714" s="3" t="str">
        <f>HYPERLINK("https://www.773grp.com/manufacturer/onsemi?pageNo=422", "ON Semiconductor")</f>
        <v>ON Semiconductor</v>
      </c>
      <c r="C39714" s="6">
        <v>4655</v>
      </c>
      <c r="D39714" s="7">
        <v>3.28</v>
      </c>
      <c r="E39714" t="s">
        <v>14</v>
      </c>
    </row>
    <row r="39715" spans="1:5" x14ac:dyDescent="0.25">
      <c r="A39715" t="str">
        <f>HYPERLINK("https://www.773grp.com/globalSearch/NLSX3018DWR2G/page-1", "NLSX3018DWR2G")</f>
        <v>NLSX3018DWR2G</v>
      </c>
      <c r="B39715" s="3" t="str">
        <f>HYPERLINK("https://www.773grp.com/manufacturer/onsemi?pageNo=423", "ON Semiconductor")</f>
        <v>ON Semiconductor</v>
      </c>
      <c r="C39715" s="6">
        <v>3425</v>
      </c>
      <c r="D39715" s="7">
        <v>3.28</v>
      </c>
      <c r="E39715" t="s">
        <v>14</v>
      </c>
    </row>
    <row r="39716" spans="1:5" x14ac:dyDescent="0.25">
      <c r="A39716" t="str">
        <f>HYPERLINK("https://www.773grp.com/globalSearch/NLSX3018MUTAG/page-1", "NLSX3018MUTAG")</f>
        <v>NLSX3018MUTAG</v>
      </c>
      <c r="B39716" s="3" t="str">
        <f>HYPERLINK("https://www.773grp.com/manufacturer/onsemi?pageNo=424", "ON Semiconductor")</f>
        <v>ON Semiconductor</v>
      </c>
      <c r="C39716" s="6">
        <v>74365</v>
      </c>
      <c r="D39716" s="7">
        <v>3.28</v>
      </c>
    </row>
    <row r="39717" spans="1:5" x14ac:dyDescent="0.25">
      <c r="A39717" t="str">
        <f>HYPERLINK("https://www.773grp.com/globalSearch/NTMS4935NR2G/page-1", "NTMS4935NR2G")</f>
        <v>NTMS4935NR2G</v>
      </c>
      <c r="B39717" s="3" t="str">
        <f>HYPERLINK("https://www.773grp.com/manufacturer/onsemi?pageNo=425", "ON Semiconductor")</f>
        <v>ON Semiconductor</v>
      </c>
      <c r="C39717" s="6">
        <v>197500</v>
      </c>
      <c r="D39717" s="7">
        <v>3.28</v>
      </c>
      <c r="E39717" t="s">
        <v>106</v>
      </c>
    </row>
    <row r="39718" spans="1:5" x14ac:dyDescent="0.25">
      <c r="A39718" t="str">
        <f>HYPERLINK("https://www.773grp.com/globalSearch/ADP3190AJRUZ-RL/page-1", "ADP3190AJRUZ-RL")</f>
        <v>ADP3190AJRUZ-RL</v>
      </c>
      <c r="B39718" s="3" t="str">
        <f>HYPERLINK("https://www.773grp.com/manufacturer/onsemi?pageNo=426", "ON Semiconductor")</f>
        <v>ON Semiconductor</v>
      </c>
      <c r="C39718" s="6">
        <v>120000</v>
      </c>
      <c r="D39718" s="7">
        <v>2.99</v>
      </c>
      <c r="E39718" t="s">
        <v>7</v>
      </c>
    </row>
    <row r="39719" spans="1:5" x14ac:dyDescent="0.25">
      <c r="A39719" t="str">
        <f>HYPERLINK("https://www.773grp.com/globalSearch/ADP3190AJRUZ-RL/page-1", "ADP3190AJRUZ-RL")</f>
        <v>ADP3190AJRUZ-RL</v>
      </c>
      <c r="B39719" s="3" t="str">
        <f>HYPERLINK("https://www.773grp.com/manufacturer/onsemi?pageNo=427", "ON Semiconductor")</f>
        <v>ON Semiconductor</v>
      </c>
      <c r="C39719" s="6">
        <v>422500</v>
      </c>
      <c r="D39719" s="7">
        <v>2.99</v>
      </c>
      <c r="E39719" t="s">
        <v>7</v>
      </c>
    </row>
    <row r="39720" spans="1:5" x14ac:dyDescent="0.25">
      <c r="A39720" t="str">
        <f>HYPERLINK("https://www.773grp.com/globalSearch/MC74AC652N/page-1", "MC74AC652N")</f>
        <v>MC74AC652N</v>
      </c>
      <c r="B39720" s="3" t="str">
        <f>HYPERLINK("https://www.773grp.com/manufacturer/onsemi?pageNo=428", "ON Semiconductor")</f>
        <v>ON Semiconductor</v>
      </c>
      <c r="C39720" s="6">
        <v>3609</v>
      </c>
      <c r="D39720" s="7">
        <v>2.99</v>
      </c>
      <c r="E39720" t="s">
        <v>14</v>
      </c>
    </row>
    <row r="39721" spans="1:5" x14ac:dyDescent="0.25">
      <c r="A39721" t="str">
        <f>HYPERLINK("https://www.773grp.com/globalSearch/NTB12N50T4/page-1", "NTB12N50T4")</f>
        <v>NTB12N50T4</v>
      </c>
      <c r="B39721" s="3" t="str">
        <f>HYPERLINK("https://www.773grp.com/manufacturer/onsemi?pageNo=429", "ON Semiconductor")</f>
        <v>ON Semiconductor</v>
      </c>
      <c r="C39721" s="6">
        <v>3989</v>
      </c>
      <c r="D39721" s="7">
        <v>2.99</v>
      </c>
      <c r="E39721" t="s">
        <v>105</v>
      </c>
    </row>
    <row r="39722" spans="1:5" x14ac:dyDescent="0.25">
      <c r="A39722" t="str">
        <f>HYPERLINK("https://www.773grp.com/globalSearch/ADP3207CJCPZ-RL/page-1", "ADP3207CJCPZ-RL")</f>
        <v>ADP3207CJCPZ-RL</v>
      </c>
      <c r="B39722" s="3" t="str">
        <f>HYPERLINK("https://www.773grp.com/manufacturer/onsemi?pageNo=430", "ON Semiconductor")</f>
        <v>ON Semiconductor</v>
      </c>
      <c r="C39722" s="6">
        <v>7480</v>
      </c>
      <c r="D39722" s="7">
        <v>3.33</v>
      </c>
      <c r="E39722" t="s">
        <v>7</v>
      </c>
    </row>
    <row r="39723" spans="1:5" x14ac:dyDescent="0.25">
      <c r="A39723" t="str">
        <f>HYPERLINK("https://www.773grp.com/globalSearch/BU323Z/page-1", "BU323Z")</f>
        <v>BU323Z</v>
      </c>
      <c r="B39723" s="3" t="str">
        <f>HYPERLINK("https://www.773grp.com/manufacturer/onsemi?pageNo=431", "ON Semiconductor")</f>
        <v>ON Semiconductor</v>
      </c>
      <c r="C39723" s="6">
        <v>8662</v>
      </c>
      <c r="D39723" s="7">
        <v>3.33</v>
      </c>
      <c r="E39723" t="s">
        <v>59</v>
      </c>
    </row>
    <row r="39724" spans="1:5" x14ac:dyDescent="0.25">
      <c r="A39724" t="str">
        <f>HYPERLINK("https://www.773grp.com/globalSearch/CS8127YD8/page-1", "CS8127YD8")</f>
        <v>CS8127YD8</v>
      </c>
      <c r="B39724" s="3" t="str">
        <f>HYPERLINK("https://www.773grp.com/manufacturer/onsemi?pageNo=432", "ON Semiconductor")</f>
        <v>ON Semiconductor</v>
      </c>
      <c r="C39724" s="6">
        <v>200</v>
      </c>
      <c r="D39724" s="7">
        <v>3.33</v>
      </c>
      <c r="E39724" t="s">
        <v>40</v>
      </c>
    </row>
    <row r="39725" spans="1:5" x14ac:dyDescent="0.25">
      <c r="A39725" t="str">
        <f>HYPERLINK("https://www.773grp.com/globalSearch/CS8182YDF8G/page-1", "CS8182YDF8G")</f>
        <v>CS8182YDF8G</v>
      </c>
      <c r="B39725" s="3" t="str">
        <f>HYPERLINK("https://www.773grp.com/manufacturer/onsemi?pageNo=433", "ON Semiconductor")</f>
        <v>ON Semiconductor</v>
      </c>
      <c r="C39725" s="6">
        <v>3146</v>
      </c>
      <c r="D39725" s="7">
        <v>3.33</v>
      </c>
      <c r="E39725" t="s">
        <v>25</v>
      </c>
    </row>
    <row r="39726" spans="1:5" x14ac:dyDescent="0.25">
      <c r="A39726" t="str">
        <f>HYPERLINK("https://www.773grp.com/globalSearch/CS8182YDFR8G/page-1", "CS8182YDFR8G")</f>
        <v>CS8182YDFR8G</v>
      </c>
      <c r="B39726" s="3" t="str">
        <f>HYPERLINK("https://www.773grp.com/manufacturer/onsemi?pageNo=434", "ON Semiconductor")</f>
        <v>ON Semiconductor</v>
      </c>
      <c r="C39726" s="6">
        <v>12987</v>
      </c>
      <c r="D39726" s="7">
        <v>3.33</v>
      </c>
      <c r="E39726" t="s">
        <v>25</v>
      </c>
    </row>
    <row r="39727" spans="1:5" x14ac:dyDescent="0.25">
      <c r="A39727" t="str">
        <f>HYPERLINK("https://www.773grp.com/globalSearch/CS8182YDPS5/page-1", "CS8182YDPS5")</f>
        <v>CS8182YDPS5</v>
      </c>
      <c r="B39727" s="3" t="str">
        <f>HYPERLINK("https://www.773grp.com/manufacturer/onsemi?pageNo=435", "ON Semiconductor")</f>
        <v>ON Semiconductor</v>
      </c>
      <c r="C39727" s="6">
        <v>2750</v>
      </c>
      <c r="D39727" s="7">
        <v>3.33</v>
      </c>
      <c r="E39727" t="s">
        <v>25</v>
      </c>
    </row>
    <row r="39728" spans="1:5" x14ac:dyDescent="0.25">
      <c r="A39728" t="str">
        <f>HYPERLINK("https://www.773grp.com/globalSearch/DAC-08ED/page-1", "DAC-08ED")</f>
        <v>DAC-08ED</v>
      </c>
      <c r="B39728" s="3" t="str">
        <f>HYPERLINK("https://www.773grp.com/manufacturer/onsemi?pageNo=436", "ON Semiconductor")</f>
        <v>ON Semiconductor</v>
      </c>
      <c r="C39728" s="6">
        <v>2296</v>
      </c>
      <c r="D39728" s="7">
        <v>3.33</v>
      </c>
      <c r="E39728" t="s">
        <v>33</v>
      </c>
    </row>
    <row r="39729" spans="1:5" x14ac:dyDescent="0.25">
      <c r="A39729" t="str">
        <f>HYPERLINK("https://www.773grp.com/globalSearch/DAC-08EDR2/page-1", "DAC-08EDR2")</f>
        <v>DAC-08EDR2</v>
      </c>
      <c r="B39729" s="3" t="str">
        <f>HYPERLINK("https://www.773grp.com/manufacturer/onsemi?pageNo=437", "ON Semiconductor")</f>
        <v>ON Semiconductor</v>
      </c>
      <c r="C39729" s="6">
        <v>12500</v>
      </c>
      <c r="D39729" s="7">
        <v>3.33</v>
      </c>
      <c r="E39729" t="s">
        <v>33</v>
      </c>
    </row>
    <row r="39730" spans="1:5" x14ac:dyDescent="0.25">
      <c r="A39730" t="str">
        <f>HYPERLINK("https://www.773grp.com/globalSearch/DAC-08EN/page-1", "DAC-08EN")</f>
        <v>DAC-08EN</v>
      </c>
      <c r="B39730" s="3" t="str">
        <f>HYPERLINK("https://www.773grp.com/manufacturer/onsemi?pageNo=438", "ON Semiconductor")</f>
        <v>ON Semiconductor</v>
      </c>
      <c r="C39730" s="6">
        <v>65</v>
      </c>
      <c r="D39730" s="7">
        <v>3.33</v>
      </c>
      <c r="E39730" t="s">
        <v>33</v>
      </c>
    </row>
    <row r="39731" spans="1:5" x14ac:dyDescent="0.25">
      <c r="A39731" t="str">
        <f>HYPERLINK("https://www.773grp.com/globalSearch/LMT358N/page-1", "LMT358N")</f>
        <v>LMT358N</v>
      </c>
      <c r="B39731" s="3" t="str">
        <f>HYPERLINK("https://www.773grp.com/manufacturer/onsemi?pageNo=439", "ON Semiconductor")</f>
        <v>ON Semiconductor</v>
      </c>
      <c r="C39731" s="6">
        <v>17839</v>
      </c>
      <c r="D39731" s="7">
        <v>3.33</v>
      </c>
      <c r="E39731" t="s">
        <v>13</v>
      </c>
    </row>
    <row r="39732" spans="1:5" x14ac:dyDescent="0.25">
      <c r="A39732" t="str">
        <f>HYPERLINK("https://www.773grp.com/globalSearch/MBR2535CTG/page-1", "MBR2535CTG")</f>
        <v>MBR2535CTG</v>
      </c>
      <c r="B39732" s="3" t="str">
        <f>HYPERLINK("https://www.773grp.com/manufacturer/onsemi?pageNo=440", "ON Semiconductor")</f>
        <v>ON Semiconductor</v>
      </c>
      <c r="C39732" s="6">
        <v>385</v>
      </c>
      <c r="D39732" s="7">
        <v>3.33</v>
      </c>
      <c r="E39732" t="s">
        <v>103</v>
      </c>
    </row>
    <row r="39733" spans="1:5" x14ac:dyDescent="0.25">
      <c r="A39733" t="str">
        <f>HYPERLINK("https://www.773grp.com/globalSearch/MBR3045WT/page-1", "MBR3045WT")</f>
        <v>MBR3045WT</v>
      </c>
      <c r="B39733" s="3" t="str">
        <f>HYPERLINK("https://www.773grp.com/manufacturer/onsemi?pageNo=441", "ON Semiconductor")</f>
        <v>ON Semiconductor</v>
      </c>
      <c r="C39733" s="6">
        <v>8850</v>
      </c>
      <c r="D39733" s="7">
        <v>3.33</v>
      </c>
      <c r="E39733" t="s">
        <v>103</v>
      </c>
    </row>
    <row r="39734" spans="1:5" x14ac:dyDescent="0.25">
      <c r="A39734" t="str">
        <f>HYPERLINK("https://www.773grp.com/globalSearch/MBRB2515L/page-1", "MBRB2515L")</f>
        <v>MBRB2515L</v>
      </c>
      <c r="B39734" s="3" t="str">
        <f>HYPERLINK("https://www.773grp.com/manufacturer/onsemi?pageNo=442", "ON Semiconductor")</f>
        <v>ON Semiconductor</v>
      </c>
      <c r="C39734" s="6">
        <v>861</v>
      </c>
      <c r="D39734" s="7">
        <v>3.33</v>
      </c>
      <c r="E39734" t="s">
        <v>103</v>
      </c>
    </row>
    <row r="39735" spans="1:5" x14ac:dyDescent="0.25">
      <c r="A39735" t="str">
        <f>HYPERLINK("https://www.773grp.com/globalSearch/MC74AC652DWR2/page-1", "MC74AC652DWR2")</f>
        <v>MC74AC652DWR2</v>
      </c>
      <c r="B39735" s="3" t="str">
        <f>HYPERLINK("https://www.773grp.com/manufacturer/onsemi?pageNo=443", "ON Semiconductor")</f>
        <v>ON Semiconductor</v>
      </c>
      <c r="C39735" s="6">
        <v>330</v>
      </c>
      <c r="D39735" s="7">
        <v>3.33</v>
      </c>
      <c r="E39735" t="s">
        <v>14</v>
      </c>
    </row>
    <row r="39736" spans="1:5" x14ac:dyDescent="0.25">
      <c r="A39736" t="str">
        <f>HYPERLINK("https://www.773grp.com/globalSearch/MC74ACT652DW/page-1", "MC74ACT652DW")</f>
        <v>MC74ACT652DW</v>
      </c>
      <c r="B39736" s="3" t="str">
        <f>HYPERLINK("https://www.773grp.com/manufacturer/onsemi?pageNo=444", "ON Semiconductor")</f>
        <v>ON Semiconductor</v>
      </c>
      <c r="C39736" s="6">
        <v>390</v>
      </c>
      <c r="D39736" s="7">
        <v>3.33</v>
      </c>
      <c r="E39736" t="s">
        <v>14</v>
      </c>
    </row>
    <row r="39737" spans="1:5" x14ac:dyDescent="0.25">
      <c r="A39737" t="str">
        <f>HYPERLINK("https://www.773grp.com/globalSearch/MC74ACT652N/page-1", "MC74ACT652N")</f>
        <v>MC74ACT652N</v>
      </c>
      <c r="B39737" s="3" t="str">
        <f>HYPERLINK("https://www.773grp.com/manufacturer/onsemi?pageNo=445", "ON Semiconductor")</f>
        <v>ON Semiconductor</v>
      </c>
      <c r="C39737" s="6">
        <v>8925</v>
      </c>
      <c r="D39737" s="7">
        <v>3.33</v>
      </c>
      <c r="E39737" t="s">
        <v>14</v>
      </c>
    </row>
    <row r="39738" spans="1:5" x14ac:dyDescent="0.25">
      <c r="A39738" t="str">
        <f>HYPERLINK("https://www.773grp.com/globalSearch/MC74F543N/page-1", "MC74F543N")</f>
        <v>MC74F543N</v>
      </c>
      <c r="B39738" s="3" t="str">
        <f>HYPERLINK("https://www.773grp.com/manufacturer/onsemi?pageNo=446", "ON Semiconductor")</f>
        <v>ON Semiconductor</v>
      </c>
      <c r="C39738" s="6">
        <v>2874</v>
      </c>
      <c r="D39738" s="7">
        <v>3.33</v>
      </c>
      <c r="E39738" t="s">
        <v>14</v>
      </c>
    </row>
    <row r="39739" spans="1:5" x14ac:dyDescent="0.25">
      <c r="A39739" t="str">
        <f>HYPERLINK("https://www.773grp.com/globalSearch/MC75172BDW/page-1", "MC75172BDW")</f>
        <v>MC75172BDW</v>
      </c>
      <c r="B39739" s="3" t="str">
        <f>HYPERLINK("https://www.773grp.com/manufacturer/onsemi?pageNo=447", "ON Semiconductor")</f>
        <v>ON Semiconductor</v>
      </c>
      <c r="C39739" s="6">
        <v>365</v>
      </c>
      <c r="D39739" s="7">
        <v>3.33</v>
      </c>
      <c r="E39739" t="s">
        <v>21</v>
      </c>
    </row>
    <row r="39740" spans="1:5" x14ac:dyDescent="0.25">
      <c r="A39740" t="str">
        <f>HYPERLINK("https://www.773grp.com/globalSearch/MJW21191/page-1", "MJW21191")</f>
        <v>MJW21191</v>
      </c>
      <c r="B39740" s="3" t="str">
        <f>HYPERLINK("https://www.773grp.com/manufacturer/onsemi?pageNo=448", "ON Semiconductor")</f>
        <v>ON Semiconductor</v>
      </c>
      <c r="C39740" s="6">
        <v>3090</v>
      </c>
      <c r="D39740" s="7">
        <v>3.33</v>
      </c>
      <c r="E39740" t="s">
        <v>59</v>
      </c>
    </row>
    <row r="39741" spans="1:5" x14ac:dyDescent="0.25">
      <c r="A39741" t="str">
        <f>HYPERLINK("https://www.773grp.com/globalSearch/MJW21191G/page-1", "MJW21191G")</f>
        <v>MJW21191G</v>
      </c>
      <c r="B39741" s="3" t="str">
        <f>HYPERLINK("https://www.773grp.com/manufacturer/onsemi?pageNo=449", "ON Semiconductor")</f>
        <v>ON Semiconductor</v>
      </c>
      <c r="C39741" s="6">
        <v>3962</v>
      </c>
      <c r="D39741" s="7">
        <v>3.33</v>
      </c>
      <c r="E39741" t="s">
        <v>59</v>
      </c>
    </row>
    <row r="39742" spans="1:5" x14ac:dyDescent="0.25">
      <c r="A39742" t="str">
        <f>HYPERLINK("https://www.773grp.com/globalSearch/MJW21192/page-1", "MJW21192")</f>
        <v>MJW21192</v>
      </c>
      <c r="B39742" s="3" t="str">
        <f>HYPERLINK("https://www.773grp.com/manufacturer/onsemi?pageNo=450", "ON Semiconductor")</f>
        <v>ON Semiconductor</v>
      </c>
      <c r="C39742" s="6">
        <v>4018</v>
      </c>
      <c r="D39742" s="7">
        <v>3.33</v>
      </c>
      <c r="E39742" t="s">
        <v>59</v>
      </c>
    </row>
    <row r="39743" spans="1:5" x14ac:dyDescent="0.25">
      <c r="A39743" t="str">
        <f>HYPERLINK("https://www.773grp.com/globalSearch/MTB55N06Z/page-1", "MTB55N06Z")</f>
        <v>MTB55N06Z</v>
      </c>
      <c r="B39743" s="3" t="str">
        <f>HYPERLINK("https://www.773grp.com/manufacturer/onsemi?pageNo=451", "ON Semiconductor")</f>
        <v>ON Semiconductor</v>
      </c>
      <c r="C39743" s="6">
        <v>3606</v>
      </c>
      <c r="D39743" s="7">
        <v>3.33</v>
      </c>
      <c r="E39743" t="s">
        <v>105</v>
      </c>
    </row>
    <row r="39744" spans="1:5" x14ac:dyDescent="0.25">
      <c r="A39744" t="str">
        <f>HYPERLINK("https://www.773grp.com/globalSearch/MTB55N06ZT4/page-1", "MTB55N06ZT4")</f>
        <v>MTB55N06ZT4</v>
      </c>
      <c r="B39744" s="3" t="str">
        <f>HYPERLINK("https://www.773grp.com/manufacturer/onsemi?pageNo=452", "ON Semiconductor")</f>
        <v>ON Semiconductor</v>
      </c>
      <c r="C39744" s="6">
        <v>24800</v>
      </c>
      <c r="D39744" s="7">
        <v>3.33</v>
      </c>
      <c r="E39744" t="s">
        <v>105</v>
      </c>
    </row>
    <row r="39745" spans="1:5" x14ac:dyDescent="0.25">
      <c r="A39745" t="str">
        <f>HYPERLINK("https://www.773grp.com/globalSearch/MTP23P06VG/page-1", "MTP23P06VG")</f>
        <v>MTP23P06VG</v>
      </c>
      <c r="B39745" s="3" t="str">
        <f>HYPERLINK("https://www.773grp.com/manufacturer/onsemi?pageNo=453", "ON Semiconductor")</f>
        <v>ON Semiconductor</v>
      </c>
      <c r="C39745" s="6">
        <v>26261</v>
      </c>
      <c r="D39745" s="7">
        <v>3.33</v>
      </c>
      <c r="E39745" t="s">
        <v>105</v>
      </c>
    </row>
    <row r="39746" spans="1:5" x14ac:dyDescent="0.25">
      <c r="A39746" t="str">
        <f>HYPERLINK("https://www.773grp.com/globalSearch/MUR1540G/page-1", "MUR1540G")</f>
        <v>MUR1540G</v>
      </c>
      <c r="B39746" s="3" t="str">
        <f>HYPERLINK("https://www.773grp.com/manufacturer/onsemi?pageNo=454", "ON Semiconductor")</f>
        <v>ON Semiconductor</v>
      </c>
      <c r="C39746" s="6">
        <v>3055</v>
      </c>
      <c r="D39746" s="7">
        <v>3.33</v>
      </c>
    </row>
    <row r="39747" spans="1:5" x14ac:dyDescent="0.25">
      <c r="A39747" t="str">
        <f>HYPERLINK("https://www.773grp.com/globalSearch/MUR1560G/page-1", "MUR1560G")</f>
        <v>MUR1560G</v>
      </c>
      <c r="B39747" s="3" t="str">
        <f>HYPERLINK("https://www.773grp.com/manufacturer/onsemi?pageNo=455", "ON Semiconductor")</f>
        <v>ON Semiconductor</v>
      </c>
      <c r="C39747" s="6">
        <v>52578</v>
      </c>
      <c r="D39747" s="7">
        <v>3.33</v>
      </c>
      <c r="E39747" t="s">
        <v>103</v>
      </c>
    </row>
    <row r="39748" spans="1:5" x14ac:dyDescent="0.25">
      <c r="A39748" t="str">
        <f>HYPERLINK("https://www.773grp.com/globalSearch/MUR1560H/page-1", "MUR1560H")</f>
        <v>MUR1560H</v>
      </c>
      <c r="B39748" s="3" t="str">
        <f>HYPERLINK("https://www.773grp.com/manufacturer/onsemi?pageNo=456", "ON Semiconductor")</f>
        <v>ON Semiconductor</v>
      </c>
      <c r="C39748" s="6">
        <v>4300</v>
      </c>
      <c r="D39748" s="7">
        <v>3.33</v>
      </c>
    </row>
    <row r="39749" spans="1:5" x14ac:dyDescent="0.25">
      <c r="A39749" t="str">
        <f>HYPERLINK("https://www.773grp.com/globalSearch/NC4413P/page-1", "NC4413P")</f>
        <v>NC4413P</v>
      </c>
      <c r="B39749" s="3" t="str">
        <f>HYPERLINK("https://www.773grp.com/manufacturer/onsemi?pageNo=457", "ON Semiconductor")</f>
        <v>ON Semiconductor</v>
      </c>
      <c r="C39749" s="6">
        <v>24000</v>
      </c>
      <c r="D39749" s="7">
        <v>3.33</v>
      </c>
    </row>
    <row r="39750" spans="1:5" x14ac:dyDescent="0.25">
      <c r="A39750" t="str">
        <f>HYPERLINK("https://www.773grp.com/globalSearch/NCP1601APG/page-1", "NCP1601APG")</f>
        <v>NCP1601APG</v>
      </c>
      <c r="B39750" s="3" t="str">
        <f>HYPERLINK("https://www.773grp.com/manufacturer/onsemi?pageNo=458", "ON Semiconductor")</f>
        <v>ON Semiconductor</v>
      </c>
      <c r="C39750" s="6">
        <v>1877</v>
      </c>
      <c r="D39750" s="7">
        <v>3.33</v>
      </c>
      <c r="E39750" t="s">
        <v>7</v>
      </c>
    </row>
    <row r="39751" spans="1:5" x14ac:dyDescent="0.25">
      <c r="A39751" t="str">
        <f>HYPERLINK("https://www.773grp.com/globalSearch/NCP1601BPG/page-1", "NCP1601BPG")</f>
        <v>NCP1601BPG</v>
      </c>
      <c r="B39751" s="3" t="str">
        <f>HYPERLINK("https://www.773grp.com/manufacturer/onsemi?pageNo=459", "ON Semiconductor")</f>
        <v>ON Semiconductor</v>
      </c>
      <c r="C39751" s="6">
        <v>4224</v>
      </c>
      <c r="D39751" s="7">
        <v>3.33</v>
      </c>
      <c r="E39751" t="s">
        <v>7</v>
      </c>
    </row>
    <row r="39752" spans="1:5" x14ac:dyDescent="0.25">
      <c r="A39752" t="str">
        <f>HYPERLINK("https://www.773grp.com/globalSearch/NCP6133MNTWG/page-1", "NCP6133MNTWG")</f>
        <v>NCP6133MNTWG</v>
      </c>
      <c r="B39752" s="3" t="str">
        <f>HYPERLINK("https://www.773grp.com/manufacturer/onsemi?pageNo=460", "ON Semiconductor")</f>
        <v>ON Semiconductor</v>
      </c>
      <c r="C39752" s="6">
        <v>5000</v>
      </c>
      <c r="D39752" s="7">
        <v>3.33</v>
      </c>
    </row>
    <row r="39753" spans="1:5" x14ac:dyDescent="0.25">
      <c r="A39753" t="str">
        <f>HYPERLINK("https://www.773grp.com/globalSearch/NCV4279D2G/page-1", "NCV4279D2G")</f>
        <v>NCV4279D2G</v>
      </c>
      <c r="B39753" s="3" t="str">
        <f>HYPERLINK("https://www.773grp.com/manufacturer/onsemi?pageNo=461", "ON Semiconductor")</f>
        <v>ON Semiconductor</v>
      </c>
      <c r="C39753" s="6">
        <v>20</v>
      </c>
      <c r="D39753" s="7">
        <v>3.33</v>
      </c>
      <c r="E39753" t="s">
        <v>19</v>
      </c>
    </row>
    <row r="39754" spans="1:5" x14ac:dyDescent="0.25">
      <c r="A39754" t="str">
        <f>HYPERLINK("https://www.773grp.com/globalSearch/NCV7425DW0R2G/page-1", "NCV7425DW0R2G")</f>
        <v>NCV7425DW0R2G</v>
      </c>
      <c r="B39754" s="3" t="str">
        <f>HYPERLINK("https://www.773grp.com/manufacturer/onsemi?pageNo=462", "ON Semiconductor")</f>
        <v>ON Semiconductor</v>
      </c>
      <c r="C39754" s="6">
        <v>1500</v>
      </c>
      <c r="D39754" s="7">
        <v>3.33</v>
      </c>
    </row>
    <row r="39755" spans="1:5" x14ac:dyDescent="0.25">
      <c r="A39755" t="str">
        <f>HYPERLINK("https://www.773grp.com/globalSearch/NTB75N03L09T4/page-1", "NTB75N03L09T4")</f>
        <v>NTB75N03L09T4</v>
      </c>
      <c r="B39755" s="3" t="str">
        <f>HYPERLINK("https://www.773grp.com/manufacturer/onsemi?pageNo=463", "ON Semiconductor")</f>
        <v>ON Semiconductor</v>
      </c>
      <c r="C39755" s="6">
        <v>807</v>
      </c>
      <c r="D39755" s="7">
        <v>3.33</v>
      </c>
      <c r="E39755" t="s">
        <v>105</v>
      </c>
    </row>
    <row r="39756" spans="1:5" x14ac:dyDescent="0.25">
      <c r="A39756" t="str">
        <f>HYPERLINK("https://www.773grp.com/globalSearch/SN74LS323N/page-1", "SN74LS323N")</f>
        <v>SN74LS323N</v>
      </c>
      <c r="B39756" s="3" t="str">
        <f>HYPERLINK("https://www.773grp.com/manufacturer/onsemi?pageNo=464", "ON Semiconductor")</f>
        <v>ON Semiconductor</v>
      </c>
      <c r="C39756" s="6">
        <v>172</v>
      </c>
      <c r="D39756" s="7">
        <v>3.33</v>
      </c>
      <c r="E39756" t="s">
        <v>32</v>
      </c>
    </row>
    <row r="39757" spans="1:5" x14ac:dyDescent="0.25">
      <c r="A39757" t="str">
        <f>HYPERLINK("https://www.773grp.com/globalSearch/TIP2955G/page-1", "TIP2955G")</f>
        <v>TIP2955G</v>
      </c>
      <c r="B39757" s="3" t="str">
        <f>HYPERLINK("https://www.773grp.com/manufacturer/onsemi?pageNo=465", "ON Semiconductor")</f>
        <v>ON Semiconductor</v>
      </c>
      <c r="C39757" s="6">
        <v>120</v>
      </c>
      <c r="D39757" s="7">
        <v>3.33</v>
      </c>
      <c r="E39757" t="s">
        <v>59</v>
      </c>
    </row>
    <row r="39758" spans="1:5" x14ac:dyDescent="0.25">
      <c r="A39758" t="str">
        <f>HYPERLINK("https://www.773grp.com/globalSearch/CS8126-2GTHA5/page-1", "CS8126-2GTHA5")</f>
        <v>CS8126-2GTHA5</v>
      </c>
      <c r="B39758" s="3" t="str">
        <f>HYPERLINK("https://www.773grp.com/manufacturer/onsemi?pageNo=466", "ON Semiconductor")</f>
        <v>ON Semiconductor</v>
      </c>
      <c r="C39758" s="6">
        <v>1019</v>
      </c>
      <c r="D39758" s="7">
        <v>3</v>
      </c>
      <c r="E39758" t="s">
        <v>19</v>
      </c>
    </row>
    <row r="39759" spans="1:5" x14ac:dyDescent="0.25">
      <c r="A39759" t="str">
        <f>HYPERLINK("https://www.773grp.com/globalSearch/LV5217GP-TE-L-E/page-1", "LV5217GP-TE-L-E")</f>
        <v>LV5217GP-TE-L-E</v>
      </c>
      <c r="B39759" s="3" t="str">
        <f>HYPERLINK("https://www.773grp.com/manufacturer/onsemi?pageNo=467", "ON Semiconductor")</f>
        <v>ON Semiconductor</v>
      </c>
      <c r="C39759" s="6">
        <v>70000</v>
      </c>
      <c r="D39759" s="7">
        <v>3</v>
      </c>
    </row>
    <row r="39760" spans="1:5" x14ac:dyDescent="0.25">
      <c r="A39760" t="str">
        <f>HYPERLINK("https://www.773grp.com/globalSearch/LV5725JA-AH/page-1", "LV5725JA-AH")</f>
        <v>LV5725JA-AH</v>
      </c>
      <c r="B39760" s="3" t="str">
        <f>HYPERLINK("https://www.773grp.com/manufacturer/onsemi?pageNo=468", "ON Semiconductor")</f>
        <v>ON Semiconductor</v>
      </c>
      <c r="C39760" s="6">
        <v>4000</v>
      </c>
      <c r="D39760" s="7">
        <v>3</v>
      </c>
    </row>
    <row r="39761" spans="1:5" x14ac:dyDescent="0.25">
      <c r="A39761" t="str">
        <f>HYPERLINK("https://www.773grp.com/globalSearch/LV8760T-MPB-E/page-1", "LV8760T-MPB-E")</f>
        <v>LV8760T-MPB-E</v>
      </c>
      <c r="B39761" s="3" t="str">
        <f>HYPERLINK("https://www.773grp.com/manufacturer/onsemi?pageNo=469", "ON Semiconductor")</f>
        <v>ON Semiconductor</v>
      </c>
      <c r="C39761" s="6">
        <v>420</v>
      </c>
      <c r="D39761" s="7">
        <v>3</v>
      </c>
    </row>
    <row r="39762" spans="1:5" x14ac:dyDescent="0.25">
      <c r="A39762" t="str">
        <f>HYPERLINK("https://www.773grp.com/globalSearch/LV8771VH-TLM-H/page-1", "LV8771VH-TLM-H")</f>
        <v>LV8771VH-TLM-H</v>
      </c>
      <c r="B39762" s="3" t="str">
        <f>HYPERLINK("https://www.773grp.com/manufacturer/onsemi?pageNo=470", "ON Semiconductor")</f>
        <v>ON Semiconductor</v>
      </c>
      <c r="C39762" s="6">
        <v>16100</v>
      </c>
      <c r="D39762" s="7">
        <v>3</v>
      </c>
    </row>
    <row r="39763" spans="1:5" x14ac:dyDescent="0.25">
      <c r="A39763" t="str">
        <f>HYPERLINK("https://www.773grp.com/globalSearch/N64S818HAT21I/page-1", "N64S818HAT21I")</f>
        <v>N64S818HAT21I</v>
      </c>
      <c r="B39763" s="3" t="str">
        <f>HYPERLINK("https://www.773grp.com/manufacturer/onsemi?pageNo=471", "ON Semiconductor")</f>
        <v>ON Semiconductor</v>
      </c>
      <c r="C39763" s="6">
        <v>10100</v>
      </c>
      <c r="D39763" s="7">
        <v>3</v>
      </c>
    </row>
    <row r="39764" spans="1:5" x14ac:dyDescent="0.25">
      <c r="A39764" t="str">
        <f>HYPERLINK("https://www.773grp.com/globalSearch/N64S830HAS22I/page-1", "N64S830HAS22I")</f>
        <v>N64S830HAS22I</v>
      </c>
      <c r="B39764" s="3" t="str">
        <f>HYPERLINK("https://www.773grp.com/manufacturer/onsemi?pageNo=472", "ON Semiconductor")</f>
        <v>ON Semiconductor</v>
      </c>
      <c r="C39764" s="6">
        <v>13076</v>
      </c>
      <c r="D39764" s="7">
        <v>3</v>
      </c>
      <c r="E39764" t="s">
        <v>75</v>
      </c>
    </row>
    <row r="39765" spans="1:5" x14ac:dyDescent="0.25">
      <c r="A39765" t="str">
        <f>HYPERLINK("https://www.773grp.com/globalSearch/CS51022ED16/page-1", "CS51022ED16")</f>
        <v>CS51022ED16</v>
      </c>
      <c r="B39765" s="3" t="str">
        <f>HYPERLINK("https://www.773grp.com/manufacturer/onsemi?pageNo=473", "ON Semiconductor")</f>
        <v>ON Semiconductor</v>
      </c>
      <c r="C39765" s="6">
        <v>25</v>
      </c>
      <c r="D39765" s="7">
        <v>3.04</v>
      </c>
      <c r="E39765" t="s">
        <v>7</v>
      </c>
    </row>
    <row r="39766" spans="1:5" x14ac:dyDescent="0.25">
      <c r="A39766" t="str">
        <f>HYPERLINK("https://www.773grp.com/globalSearch/CS51022EDR16/page-1", "CS51022EDR16")</f>
        <v>CS51022EDR16</v>
      </c>
      <c r="B39766" s="3" t="str">
        <f>HYPERLINK("https://www.773grp.com/manufacturer/onsemi?pageNo=474", "ON Semiconductor")</f>
        <v>ON Semiconductor</v>
      </c>
      <c r="C39766" s="6">
        <v>110739</v>
      </c>
      <c r="D39766" s="7">
        <v>3.04</v>
      </c>
      <c r="E39766" t="s">
        <v>7</v>
      </c>
    </row>
    <row r="39767" spans="1:5" x14ac:dyDescent="0.25">
      <c r="A39767" t="str">
        <f>HYPERLINK("https://www.773grp.com/globalSearch/CS51023ED16/page-1", "CS51023ED16")</f>
        <v>CS51023ED16</v>
      </c>
      <c r="B39767" s="3" t="str">
        <f>HYPERLINK("https://www.773grp.com/manufacturer/onsemi?pageNo=475", "ON Semiconductor")</f>
        <v>ON Semiconductor</v>
      </c>
      <c r="C39767" s="6">
        <v>915</v>
      </c>
      <c r="D39767" s="7">
        <v>3.04</v>
      </c>
      <c r="E39767" t="s">
        <v>7</v>
      </c>
    </row>
    <row r="39768" spans="1:5" x14ac:dyDescent="0.25">
      <c r="A39768" t="str">
        <f>HYPERLINK("https://www.773grp.com/globalSearch/CS51024ED16/page-1", "CS51024ED16")</f>
        <v>CS51024ED16</v>
      </c>
      <c r="B39768" s="3" t="str">
        <f>HYPERLINK("https://www.773grp.com/manufacturer/onsemi?pageNo=476", "ON Semiconductor")</f>
        <v>ON Semiconductor</v>
      </c>
      <c r="C39768" s="6">
        <v>46</v>
      </c>
      <c r="D39768" s="7">
        <v>3.04</v>
      </c>
      <c r="E39768" t="s">
        <v>7</v>
      </c>
    </row>
    <row r="39769" spans="1:5" x14ac:dyDescent="0.25">
      <c r="A39769" t="str">
        <f>HYPERLINK("https://www.773grp.com/globalSearch/CS5165HGDWR16/page-1", "CS5165HGDWR16")</f>
        <v>CS5165HGDWR16</v>
      </c>
      <c r="B39769" s="3" t="str">
        <f>HYPERLINK("https://www.773grp.com/manufacturer/onsemi?pageNo=477", "ON Semiconductor")</f>
        <v>ON Semiconductor</v>
      </c>
      <c r="C39769" s="6">
        <v>52768</v>
      </c>
      <c r="D39769" s="7">
        <v>3.04</v>
      </c>
      <c r="E39769" t="s">
        <v>7</v>
      </c>
    </row>
    <row r="39770" spans="1:5" x14ac:dyDescent="0.25">
      <c r="A39770" t="str">
        <f>HYPERLINK("https://www.773grp.com/globalSearch/CS5166HGDW16/page-1", "CS5166HGDW16")</f>
        <v>CS5166HGDW16</v>
      </c>
      <c r="B39770" s="3" t="str">
        <f>HYPERLINK("https://www.773grp.com/manufacturer/onsemi?pageNo=478", "ON Semiconductor")</f>
        <v>ON Semiconductor</v>
      </c>
      <c r="C39770" s="6">
        <v>1</v>
      </c>
      <c r="D39770" s="7">
        <v>3.04</v>
      </c>
      <c r="E39770" t="s">
        <v>7</v>
      </c>
    </row>
    <row r="39771" spans="1:5" x14ac:dyDescent="0.25">
      <c r="A39771" t="str">
        <f>HYPERLINK("https://www.773grp.com/globalSearch/CS8151CGN8G/page-1", "CS8151CGN8G")</f>
        <v>CS8151CGN8G</v>
      </c>
      <c r="B39771" s="3" t="str">
        <f>HYPERLINK("https://www.773grp.com/manufacturer/onsemi?pageNo=479", "ON Semiconductor")</f>
        <v>ON Semiconductor</v>
      </c>
      <c r="C39771" s="6">
        <v>550</v>
      </c>
      <c r="D39771" s="7">
        <v>3.04</v>
      </c>
      <c r="E39771" t="s">
        <v>19</v>
      </c>
    </row>
    <row r="39772" spans="1:5" x14ac:dyDescent="0.25">
      <c r="A39772" t="str">
        <f>HYPERLINK("https://www.773grp.com/globalSearch/CS8151YDWF16G/page-1", "CS8151YDWF16G")</f>
        <v>CS8151YDWF16G</v>
      </c>
      <c r="B39772" s="3" t="str">
        <f>HYPERLINK("https://www.773grp.com/manufacturer/onsemi?pageNo=480", "ON Semiconductor")</f>
        <v>ON Semiconductor</v>
      </c>
      <c r="C39772" s="6">
        <v>467</v>
      </c>
      <c r="D39772" s="7">
        <v>3.04</v>
      </c>
      <c r="E39772" t="s">
        <v>19</v>
      </c>
    </row>
    <row r="39773" spans="1:5" x14ac:dyDescent="0.25">
      <c r="A39773" t="str">
        <f>HYPERLINK("https://www.773grp.com/globalSearch/NCS6416DWR2G/page-1", "NCS6416DWR2G")</f>
        <v>NCS6416DWR2G</v>
      </c>
      <c r="B39773" s="3" t="str">
        <f>HYPERLINK("https://www.773grp.com/manufacturer/onsemi?pageNo=481", "ON Semiconductor")</f>
        <v>ON Semiconductor</v>
      </c>
      <c r="C39773" s="6">
        <v>1000</v>
      </c>
      <c r="D39773" s="7">
        <v>3.04</v>
      </c>
      <c r="E39773" t="s">
        <v>56</v>
      </c>
    </row>
    <row r="39774" spans="1:5" x14ac:dyDescent="0.25">
      <c r="A39774" t="str">
        <f>HYPERLINK("https://www.773grp.com/globalSearch/NGTB15N120LWG/page-1", "NGTB15N120LWG")</f>
        <v>NGTB15N120LWG</v>
      </c>
      <c r="B39774" s="3" t="str">
        <f>HYPERLINK("https://www.773grp.com/manufacturer/onsemi?pageNo=482", "ON Semiconductor")</f>
        <v>ON Semiconductor</v>
      </c>
      <c r="C39774" s="6">
        <v>275</v>
      </c>
      <c r="D39774" s="7">
        <v>3.04</v>
      </c>
    </row>
    <row r="39775" spans="1:5" x14ac:dyDescent="0.25">
      <c r="A39775" t="str">
        <f>HYPERLINK("https://www.773grp.com/globalSearch/ADP3293JCPZ-RL/page-1", "ADP3293JCPZ-RL")</f>
        <v>ADP3293JCPZ-RL</v>
      </c>
      <c r="B39775" s="3" t="str">
        <f>HYPERLINK("https://www.773grp.com/manufacturer/onsemi?pageNo=483", "ON Semiconductor")</f>
        <v>ON Semiconductor</v>
      </c>
      <c r="C39775" s="6">
        <v>2500</v>
      </c>
      <c r="D39775" s="7">
        <v>3.38</v>
      </c>
    </row>
    <row r="39776" spans="1:5" x14ac:dyDescent="0.25">
      <c r="A39776" t="str">
        <f>HYPERLINK("https://www.773grp.com/globalSearch/BTB16H-600BW3G/page-1", "BTB16H-600BW3G")</f>
        <v>BTB16H-600BW3G</v>
      </c>
      <c r="B39776" s="3" t="str">
        <f>HYPERLINK("https://www.773grp.com/manufacturer/onsemi?pageNo=484", "ON Semiconductor")</f>
        <v>ON Semiconductor</v>
      </c>
      <c r="C39776" s="6">
        <v>25850</v>
      </c>
      <c r="D39776" s="7">
        <v>3.38</v>
      </c>
    </row>
    <row r="39777" spans="1:5" x14ac:dyDescent="0.25">
      <c r="A39777" t="str">
        <f>HYPERLINK("https://www.773grp.com/globalSearch/CS5257A-1GDP5/page-1", "CS5257A-1GDP5")</f>
        <v>CS5257A-1GDP5</v>
      </c>
      <c r="B39777" s="3" t="str">
        <f>HYPERLINK("https://www.773grp.com/manufacturer/onsemi?pageNo=485", "ON Semiconductor")</f>
        <v>ON Semiconductor</v>
      </c>
      <c r="C39777" s="6">
        <v>4800</v>
      </c>
      <c r="D39777" s="7">
        <v>3.38</v>
      </c>
      <c r="E39777" t="s">
        <v>25</v>
      </c>
    </row>
    <row r="39778" spans="1:5" x14ac:dyDescent="0.25">
      <c r="A39778" t="str">
        <f>HYPERLINK("https://www.773grp.com/globalSearch/CS8101YD8G/page-1", "CS8101YD8G")</f>
        <v>CS8101YD8G</v>
      </c>
      <c r="B39778" s="3" t="str">
        <f>HYPERLINK("https://www.773grp.com/manufacturer/onsemi?pageNo=486", "ON Semiconductor")</f>
        <v>ON Semiconductor</v>
      </c>
      <c r="C39778" s="6">
        <v>953</v>
      </c>
      <c r="D39778" s="7">
        <v>3.38</v>
      </c>
      <c r="E39778" t="s">
        <v>19</v>
      </c>
    </row>
    <row r="39779" spans="1:5" x14ac:dyDescent="0.25">
      <c r="A39779" t="str">
        <f>HYPERLINK("https://www.773grp.com/globalSearch/CS8101YDR8G/page-1", "CS8101YDR8G")</f>
        <v>CS8101YDR8G</v>
      </c>
      <c r="B39779" s="3" t="str">
        <f>HYPERLINK("https://www.773grp.com/manufacturer/onsemi?pageNo=487", "ON Semiconductor")</f>
        <v>ON Semiconductor</v>
      </c>
      <c r="C39779" s="6">
        <v>29405</v>
      </c>
      <c r="D39779" s="7">
        <v>3.38</v>
      </c>
      <c r="E39779" t="s">
        <v>19</v>
      </c>
    </row>
    <row r="39780" spans="1:5" x14ac:dyDescent="0.25">
      <c r="A39780" t="str">
        <f>HYPERLINK("https://www.773grp.com/globalSearch/MC10H113ML1/page-1", "MC10H113ML1")</f>
        <v>MC10H113ML1</v>
      </c>
      <c r="B39780" s="3" t="str">
        <f>HYPERLINK("https://www.773grp.com/manufacturer/onsemi?pageNo=488", "ON Semiconductor")</f>
        <v>ON Semiconductor</v>
      </c>
      <c r="C39780" s="6">
        <v>1000</v>
      </c>
      <c r="D39780" s="7">
        <v>3.38</v>
      </c>
    </row>
    <row r="39781" spans="1:5" x14ac:dyDescent="0.25">
      <c r="A39781" t="str">
        <f>HYPERLINK("https://www.773grp.com/globalSearch/MC33260DG/page-1", "MC33260DG")</f>
        <v>MC33260DG</v>
      </c>
      <c r="B39781" s="3" t="str">
        <f>HYPERLINK("https://www.773grp.com/manufacturer/onsemi?pageNo=489", "ON Semiconductor")</f>
        <v>ON Semiconductor</v>
      </c>
      <c r="C39781" s="6">
        <v>88</v>
      </c>
      <c r="D39781" s="7">
        <v>3.38</v>
      </c>
    </row>
    <row r="39782" spans="1:5" x14ac:dyDescent="0.25">
      <c r="A39782" t="str">
        <f>HYPERLINK("https://www.773grp.com/globalSearch/MC34182M/page-1", "MC34182M")</f>
        <v>MC34182M</v>
      </c>
      <c r="B39782" s="3" t="str">
        <f>HYPERLINK("https://www.773grp.com/manufacturer/onsemi?pageNo=490", "ON Semiconductor")</f>
        <v>ON Semiconductor</v>
      </c>
      <c r="C39782" s="6">
        <v>15</v>
      </c>
      <c r="D39782" s="7">
        <v>3.38</v>
      </c>
    </row>
    <row r="39783" spans="1:5" x14ac:dyDescent="0.25">
      <c r="A39783" t="str">
        <f>HYPERLINK("https://www.773grp.com/globalSearch/MC44604/page-1", "MC44604")</f>
        <v>MC44604</v>
      </c>
      <c r="B39783" s="3" t="str">
        <f>HYPERLINK("https://www.773grp.com/manufacturer/onsemi?pageNo=491", "ON Semiconductor")</f>
        <v>ON Semiconductor</v>
      </c>
      <c r="C39783" s="6">
        <v>2475</v>
      </c>
      <c r="D39783" s="7">
        <v>3.38</v>
      </c>
    </row>
    <row r="39784" spans="1:5" x14ac:dyDescent="0.25">
      <c r="A39784" t="str">
        <f>HYPERLINK("https://www.773grp.com/globalSearch/MC54HC251J/page-1", "MC54HC251J")</f>
        <v>MC54HC251J</v>
      </c>
      <c r="B39784" s="3" t="str">
        <f>HYPERLINK("https://www.773grp.com/manufacturer/onsemi?pageNo=492", "ON Semiconductor")</f>
        <v>ON Semiconductor</v>
      </c>
      <c r="C39784" s="6">
        <v>1555</v>
      </c>
      <c r="D39784" s="7">
        <v>3.38</v>
      </c>
      <c r="E39784" t="s">
        <v>20</v>
      </c>
    </row>
    <row r="39785" spans="1:5" x14ac:dyDescent="0.25">
      <c r="A39785" t="str">
        <f>HYPERLINK("https://www.773grp.com/globalSearch/NCP6132AMNR2G/page-1", "NCP6132AMNR2G")</f>
        <v>NCP6132AMNR2G</v>
      </c>
      <c r="B39785" s="3" t="str">
        <f>HYPERLINK("https://www.773grp.com/manufacturer/onsemi?pageNo=493", "ON Semiconductor")</f>
        <v>ON Semiconductor</v>
      </c>
      <c r="C39785" s="6">
        <v>8700</v>
      </c>
      <c r="D39785" s="7">
        <v>3.38</v>
      </c>
    </row>
    <row r="39786" spans="1:5" x14ac:dyDescent="0.25">
      <c r="A39786" t="str">
        <f>HYPERLINK("https://www.773grp.com/globalSearch/NCV4949DG/page-1", "NCV4949DG")</f>
        <v>NCV4949DG</v>
      </c>
      <c r="B39786" s="3" t="str">
        <f>HYPERLINK("https://www.773grp.com/manufacturer/onsemi?pageNo=494", "ON Semiconductor")</f>
        <v>ON Semiconductor</v>
      </c>
      <c r="C39786" s="6">
        <v>181</v>
      </c>
      <c r="D39786" s="7">
        <v>3.38</v>
      </c>
      <c r="E39786" t="s">
        <v>19</v>
      </c>
    </row>
    <row r="39787" spans="1:5" x14ac:dyDescent="0.25">
      <c r="A39787" t="str">
        <f>HYPERLINK("https://www.773grp.com/globalSearch/NCV4949DR2G/page-1", "NCV4949DR2G")</f>
        <v>NCV4949DR2G</v>
      </c>
      <c r="B39787" s="3" t="str">
        <f>HYPERLINK("https://www.773grp.com/manufacturer/onsemi?pageNo=495", "ON Semiconductor")</f>
        <v>ON Semiconductor</v>
      </c>
      <c r="C39787" s="6">
        <v>16630</v>
      </c>
      <c r="D39787" s="7">
        <v>3.38</v>
      </c>
      <c r="E39787" t="s">
        <v>19</v>
      </c>
    </row>
    <row r="39788" spans="1:5" x14ac:dyDescent="0.25">
      <c r="A39788" t="str">
        <f>HYPERLINK("https://www.773grp.com/globalSearch/NCV8664D50R2G/page-1", "NCV8664D50R2G")</f>
        <v>NCV8664D50R2G</v>
      </c>
      <c r="B39788" s="3" t="str">
        <f>HYPERLINK("https://www.773grp.com/manufacturer/onsemi?pageNo=496", "ON Semiconductor")</f>
        <v>ON Semiconductor</v>
      </c>
      <c r="C39788" s="6">
        <v>14850</v>
      </c>
      <c r="D39788" s="7">
        <v>3.38</v>
      </c>
      <c r="E39788" t="s">
        <v>19</v>
      </c>
    </row>
    <row r="39789" spans="1:5" x14ac:dyDescent="0.25">
      <c r="A39789" t="str">
        <f>HYPERLINK("https://www.773grp.com/globalSearch/NLV14504BDTR2G/page-1", "NLV14504BDTR2G")</f>
        <v>NLV14504BDTR2G</v>
      </c>
      <c r="B39789" s="3" t="str">
        <f>HYPERLINK("https://www.773grp.com/manufacturer/onsemi?pageNo=497", "ON Semiconductor")</f>
        <v>ON Semiconductor</v>
      </c>
      <c r="C39789" s="6">
        <v>5000</v>
      </c>
      <c r="D39789" s="7">
        <v>3.38</v>
      </c>
    </row>
    <row r="39790" spans="1:5" x14ac:dyDescent="0.25">
      <c r="A39790" t="str">
        <f>HYPERLINK("https://www.773grp.com/globalSearch/NVD5890NT4G/page-1", "NVD5890NT4G")</f>
        <v>NVD5890NT4G</v>
      </c>
      <c r="B39790" s="3" t="str">
        <f>HYPERLINK("https://www.773grp.com/manufacturer/onsemi?pageNo=498", "ON Semiconductor")</f>
        <v>ON Semiconductor</v>
      </c>
      <c r="C39790" s="6">
        <v>2500</v>
      </c>
      <c r="D39790" s="7">
        <v>3.38</v>
      </c>
    </row>
    <row r="39791" spans="1:5" x14ac:dyDescent="0.25">
      <c r="A39791" t="str">
        <f>HYPERLINK("https://www.773grp.com/globalSearch/TIP3055G/page-1", "TIP3055G")</f>
        <v>TIP3055G</v>
      </c>
      <c r="B39791" s="3" t="str">
        <f>HYPERLINK("https://www.773grp.com/manufacturer/onsemi?pageNo=499", "ON Semiconductor")</f>
        <v>ON Semiconductor</v>
      </c>
      <c r="C39791" s="6">
        <v>185</v>
      </c>
      <c r="D39791" s="7">
        <v>3.38</v>
      </c>
    </row>
    <row r="39792" spans="1:5" x14ac:dyDescent="0.25">
      <c r="A39792" t="str">
        <f>HYPERLINK("https://www.773grp.com/globalSearch/TIP33CG/page-1", "TIP33CG")</f>
        <v>TIP33CG</v>
      </c>
      <c r="B39792" s="3" t="str">
        <f>HYPERLINK("https://www.773grp.com/manufacturer/onsemi?pageNo=500", "ON Semiconductor")</f>
        <v>ON Semiconductor</v>
      </c>
      <c r="C39792" s="6">
        <v>13780</v>
      </c>
      <c r="D39792" s="7">
        <v>3.38</v>
      </c>
      <c r="E39792" t="s">
        <v>59</v>
      </c>
    </row>
    <row r="39793" spans="1:5" x14ac:dyDescent="0.25">
      <c r="A39793" t="str">
        <f>HYPERLINK("https://www.773grp.com/globalSearch/CS8151YTHA7G/page-1", "CS8151YTHA7G")</f>
        <v>CS8151YTHA7G</v>
      </c>
      <c r="B39793" s="3" t="str">
        <f>HYPERLINK("https://www.773grp.com/manufacturer/onsemi?pageNo=501", "ON Semiconductor")</f>
        <v>ON Semiconductor</v>
      </c>
      <c r="C39793" s="6">
        <v>1250</v>
      </c>
      <c r="D39793" s="7">
        <v>3.08</v>
      </c>
      <c r="E39793" t="s">
        <v>19</v>
      </c>
    </row>
    <row r="39794" spans="1:5" x14ac:dyDescent="0.25">
      <c r="A39794" t="str">
        <f>HYPERLINK("https://www.773grp.com/globalSearch/CS8151YTVA7/page-1", "CS8151YTVA7")</f>
        <v>CS8151YTVA7</v>
      </c>
      <c r="B39794" s="3" t="str">
        <f>HYPERLINK("https://www.773grp.com/manufacturer/onsemi?pageNo=502", "ON Semiconductor")</f>
        <v>ON Semiconductor</v>
      </c>
      <c r="C39794" s="6">
        <v>4800</v>
      </c>
      <c r="D39794" s="7">
        <v>3.08</v>
      </c>
      <c r="E39794" t="s">
        <v>19</v>
      </c>
    </row>
    <row r="39795" spans="1:5" x14ac:dyDescent="0.25">
      <c r="A39795" t="str">
        <f>HYPERLINK("https://www.773grp.com/globalSearch/MBR4045WT/page-1", "MBR4045WT")</f>
        <v>MBR4045WT</v>
      </c>
      <c r="B39795" s="3" t="str">
        <f>HYPERLINK("https://www.773grp.com/manufacturer/onsemi?pageNo=503", "ON Semiconductor")</f>
        <v>ON Semiconductor</v>
      </c>
      <c r="C39795" s="6">
        <v>26</v>
      </c>
      <c r="D39795" s="7">
        <v>3.08</v>
      </c>
      <c r="E39795" t="s">
        <v>103</v>
      </c>
    </row>
    <row r="39796" spans="1:5" x14ac:dyDescent="0.25">
      <c r="A39796" t="str">
        <f>HYPERLINK("https://www.773grp.com/globalSearch/NCP4423P/page-1", "NCP4423P")</f>
        <v>NCP4423P</v>
      </c>
      <c r="B39796" s="3" t="str">
        <f>HYPERLINK("https://www.773grp.com/manufacturer/onsemi?pageNo=504", "ON Semiconductor")</f>
        <v>ON Semiconductor</v>
      </c>
      <c r="C39796" s="6">
        <v>19000</v>
      </c>
      <c r="D39796" s="7">
        <v>3.08</v>
      </c>
      <c r="E39796" t="s">
        <v>16</v>
      </c>
    </row>
    <row r="39797" spans="1:5" x14ac:dyDescent="0.25">
      <c r="A39797" t="str">
        <f>HYPERLINK("https://www.773grp.com/globalSearch/NCP4424P/page-1", "NCP4424P")</f>
        <v>NCP4424P</v>
      </c>
      <c r="B39797" s="3" t="str">
        <f>HYPERLINK("https://www.773grp.com/manufacturer/onsemi?pageNo=505", "ON Semiconductor")</f>
        <v>ON Semiconductor</v>
      </c>
      <c r="C39797" s="6">
        <v>26663</v>
      </c>
      <c r="D39797" s="7">
        <v>3.08</v>
      </c>
      <c r="E39797" t="s">
        <v>16</v>
      </c>
    </row>
    <row r="39798" spans="1:5" x14ac:dyDescent="0.25">
      <c r="A39798" t="str">
        <f>HYPERLINK("https://www.773grp.com/globalSearch/NCP4425P/page-1", "NCP4425P")</f>
        <v>NCP4425P</v>
      </c>
      <c r="B39798" s="3" t="str">
        <f>HYPERLINK("https://www.773grp.com/manufacturer/onsemi?pageNo=506", "ON Semiconductor")</f>
        <v>ON Semiconductor</v>
      </c>
      <c r="C39798" s="6">
        <v>20140</v>
      </c>
      <c r="D39798" s="7">
        <v>3.08</v>
      </c>
      <c r="E39798" t="s">
        <v>16</v>
      </c>
    </row>
    <row r="39799" spans="1:5" x14ac:dyDescent="0.25">
      <c r="A39799" t="str">
        <f>HYPERLINK("https://www.773grp.com/globalSearch/2N5885/page-1", "2N5885")</f>
        <v>2N5885</v>
      </c>
      <c r="B39799" s="3" t="str">
        <f>HYPERLINK("https://www.773grp.com/manufacturer/onsemi?pageNo=507", "ON Semiconductor")</f>
        <v>ON Semiconductor</v>
      </c>
      <c r="C39799" s="6">
        <v>405</v>
      </c>
      <c r="D39799" s="7">
        <v>3.43</v>
      </c>
      <c r="E39799" t="s">
        <v>59</v>
      </c>
    </row>
    <row r="39800" spans="1:5" x14ac:dyDescent="0.25">
      <c r="A39800" t="str">
        <f>HYPERLINK("https://www.773grp.com/globalSearch/ADP3208CJCPZ-RL/page-1", "ADP3208CJCPZ-RL")</f>
        <v>ADP3208CJCPZ-RL</v>
      </c>
      <c r="B39800" s="3" t="str">
        <f>HYPERLINK("https://www.773grp.com/manufacturer/onsemi?pageNo=508", "ON Semiconductor")</f>
        <v>ON Semiconductor</v>
      </c>
      <c r="C39800" s="6">
        <v>27165</v>
      </c>
      <c r="D39800" s="7">
        <v>3.43</v>
      </c>
    </row>
    <row r="39801" spans="1:5" x14ac:dyDescent="0.25">
      <c r="A39801" t="str">
        <f>HYPERLINK("https://www.773grp.com/globalSearch/ADP3208DJCPZ-RL/page-1", "ADP3208DJCPZ-RL")</f>
        <v>ADP3208DJCPZ-RL</v>
      </c>
      <c r="B39801" s="3" t="str">
        <f>HYPERLINK("https://www.773grp.com/manufacturer/onsemi?pageNo=509", "ON Semiconductor")</f>
        <v>ON Semiconductor</v>
      </c>
      <c r="C39801" s="6">
        <v>2500</v>
      </c>
      <c r="D39801" s="7">
        <v>3.43</v>
      </c>
      <c r="E39801" t="s">
        <v>7</v>
      </c>
    </row>
    <row r="39802" spans="1:5" x14ac:dyDescent="0.25">
      <c r="A39802" t="str">
        <f>HYPERLINK("https://www.773grp.com/globalSearch/ADP3209CJCPZ-RL/page-1", "ADP3209CJCPZ-RL")</f>
        <v>ADP3209CJCPZ-RL</v>
      </c>
      <c r="B39802" s="3" t="str">
        <f>HYPERLINK("https://www.773grp.com/manufacturer/onsemi?pageNo=510", "ON Semiconductor")</f>
        <v>ON Semiconductor</v>
      </c>
      <c r="C39802" s="6">
        <v>10000</v>
      </c>
      <c r="D39802" s="7">
        <v>3.43</v>
      </c>
    </row>
    <row r="39803" spans="1:5" x14ac:dyDescent="0.25">
      <c r="A39803" t="str">
        <f>HYPERLINK("https://www.773grp.com/globalSearch/ADP3209DJCPZ-RL/page-1", "ADP3209DJCPZ-RL")</f>
        <v>ADP3209DJCPZ-RL</v>
      </c>
      <c r="B39803" s="3" t="str">
        <f>HYPERLINK("https://www.773grp.com/manufacturer/onsemi?pageNo=511", "ON Semiconductor")</f>
        <v>ON Semiconductor</v>
      </c>
      <c r="C39803" s="6">
        <v>93706</v>
      </c>
      <c r="D39803" s="7">
        <v>3.43</v>
      </c>
      <c r="E39803" t="s">
        <v>7</v>
      </c>
    </row>
    <row r="39804" spans="1:5" x14ac:dyDescent="0.25">
      <c r="A39804" t="str">
        <f>HYPERLINK("https://www.773grp.com/globalSearch/CAT1021WI-25-G/page-1", "CAT1021WI-25-G")</f>
        <v>CAT1021WI-25-G</v>
      </c>
      <c r="B39804" s="3" t="str">
        <f>HYPERLINK("https://www.773grp.com/manufacturer/onsemi?pageNo=512", "ON Semiconductor")</f>
        <v>ON Semiconductor</v>
      </c>
      <c r="C39804" s="6">
        <v>4100</v>
      </c>
      <c r="D39804" s="7">
        <v>3.43</v>
      </c>
    </row>
    <row r="39805" spans="1:5" x14ac:dyDescent="0.25">
      <c r="A39805" t="str">
        <f>HYPERLINK("https://www.773grp.com/globalSearch/CAT1021WI-30-G/page-1", "CAT1021WI-30-G")</f>
        <v>CAT1021WI-30-G</v>
      </c>
      <c r="B39805" s="3" t="str">
        <f>HYPERLINK("https://www.773grp.com/manufacturer/onsemi?pageNo=513", "ON Semiconductor")</f>
        <v>ON Semiconductor</v>
      </c>
      <c r="C39805" s="6">
        <v>10000</v>
      </c>
      <c r="D39805" s="7">
        <v>3.43</v>
      </c>
    </row>
    <row r="39806" spans="1:5" x14ac:dyDescent="0.25">
      <c r="A39806" t="str">
        <f>HYPERLINK("https://www.773grp.com/globalSearch/CAT1021WI-42-G/page-1", "CAT1021WI-42-G")</f>
        <v>CAT1021WI-42-G</v>
      </c>
      <c r="B39806" s="3" t="str">
        <f>HYPERLINK("https://www.773grp.com/manufacturer/onsemi?pageNo=514", "ON Semiconductor")</f>
        <v>ON Semiconductor</v>
      </c>
      <c r="C39806" s="6">
        <v>3100</v>
      </c>
      <c r="D39806" s="7">
        <v>3.43</v>
      </c>
    </row>
    <row r="39807" spans="1:5" x14ac:dyDescent="0.25">
      <c r="A39807" t="str">
        <f>HYPERLINK("https://www.773grp.com/globalSearch/CAT1021WI-45-G/page-1", "CAT1021WI-45-G")</f>
        <v>CAT1021WI-45-G</v>
      </c>
      <c r="B39807" s="3" t="str">
        <f>HYPERLINK("https://www.773grp.com/manufacturer/onsemi?pageNo=515", "ON Semiconductor")</f>
        <v>ON Semiconductor</v>
      </c>
      <c r="C39807" s="6">
        <v>700</v>
      </c>
      <c r="D39807" s="7">
        <v>3.43</v>
      </c>
    </row>
    <row r="39808" spans="1:5" x14ac:dyDescent="0.25">
      <c r="A39808" t="str">
        <f>HYPERLINK("https://www.773grp.com/globalSearch/CAT1023WI-28-G/page-1", "CAT1023WI-28-G")</f>
        <v>CAT1023WI-28-G</v>
      </c>
      <c r="B39808" s="3" t="str">
        <f>HYPERLINK("https://www.773grp.com/manufacturer/onsemi?pageNo=516", "ON Semiconductor")</f>
        <v>ON Semiconductor</v>
      </c>
      <c r="C39808" s="6">
        <v>2100</v>
      </c>
      <c r="D39808" s="7">
        <v>3.43</v>
      </c>
    </row>
    <row r="39809" spans="1:5" x14ac:dyDescent="0.25">
      <c r="A39809" t="str">
        <f>HYPERLINK("https://www.773grp.com/globalSearch/CAT1023WI-42-G/page-1", "CAT1023WI-42-G")</f>
        <v>CAT1023WI-42-G</v>
      </c>
      <c r="B39809" s="3" t="str">
        <f>HYPERLINK("https://www.773grp.com/manufacturer/onsemi?pageNo=517", "ON Semiconductor")</f>
        <v>ON Semiconductor</v>
      </c>
      <c r="C39809" s="6">
        <v>3000</v>
      </c>
      <c r="D39809" s="7">
        <v>3.43</v>
      </c>
    </row>
    <row r="39810" spans="1:5" x14ac:dyDescent="0.25">
      <c r="A39810" t="str">
        <f>HYPERLINK("https://www.773grp.com/globalSearch/CAT1023WI-45-G/page-1", "CAT1023WI-45-G")</f>
        <v>CAT1023WI-45-G</v>
      </c>
      <c r="B39810" s="3" t="str">
        <f>HYPERLINK("https://www.773grp.com/manufacturer/onsemi?pageNo=518", "ON Semiconductor")</f>
        <v>ON Semiconductor</v>
      </c>
      <c r="C39810" s="6">
        <v>2500</v>
      </c>
      <c r="D39810" s="7">
        <v>3.43</v>
      </c>
    </row>
    <row r="39811" spans="1:5" x14ac:dyDescent="0.25">
      <c r="A39811" t="str">
        <f>HYPERLINK("https://www.773grp.com/globalSearch/CAT1025WI-28-G/page-1", "CAT1025WI-28-G")</f>
        <v>CAT1025WI-28-G</v>
      </c>
      <c r="B39811" s="3" t="str">
        <f>HYPERLINK("https://www.773grp.com/manufacturer/onsemi?pageNo=519", "ON Semiconductor")</f>
        <v>ON Semiconductor</v>
      </c>
      <c r="C39811" s="6">
        <v>700</v>
      </c>
      <c r="D39811" s="7">
        <v>3.43</v>
      </c>
      <c r="E39811" t="s">
        <v>30</v>
      </c>
    </row>
    <row r="39812" spans="1:5" x14ac:dyDescent="0.25">
      <c r="A39812" t="str">
        <f>HYPERLINK("https://www.773grp.com/globalSearch/CAT1025WI-30-G/page-1", "CAT1025WI-30-G")</f>
        <v>CAT1025WI-30-G</v>
      </c>
      <c r="B39812" s="3" t="str">
        <f>HYPERLINK("https://www.773grp.com/manufacturer/onsemi?pageNo=520", "ON Semiconductor")</f>
        <v>ON Semiconductor</v>
      </c>
      <c r="C39812" s="6">
        <v>2800</v>
      </c>
      <c r="D39812" s="7">
        <v>3.43</v>
      </c>
      <c r="E39812" t="s">
        <v>30</v>
      </c>
    </row>
    <row r="39813" spans="1:5" x14ac:dyDescent="0.25">
      <c r="A39813" t="str">
        <f>HYPERLINK("https://www.773grp.com/globalSearch/CAT1026WI-42-GT3/page-1", "CAT1026WI-42-GT3")</f>
        <v>CAT1026WI-42-GT3</v>
      </c>
      <c r="B39813" s="3" t="str">
        <f>HYPERLINK("https://www.773grp.com/manufacturer/onsemi?pageNo=521", "ON Semiconductor")</f>
        <v>ON Semiconductor</v>
      </c>
      <c r="C39813" s="6">
        <v>3000</v>
      </c>
      <c r="D39813" s="7">
        <v>3.43</v>
      </c>
    </row>
    <row r="39814" spans="1:5" x14ac:dyDescent="0.25">
      <c r="A39814" t="str">
        <f>HYPERLINK("https://www.773grp.com/globalSearch/CAT1027WI-45-G/page-1", "CAT1027WI-45-G")</f>
        <v>CAT1027WI-45-G</v>
      </c>
      <c r="B39814" s="3" t="str">
        <f>HYPERLINK("https://www.773grp.com/manufacturer/onsemi?pageNo=522", "ON Semiconductor")</f>
        <v>ON Semiconductor</v>
      </c>
      <c r="C39814" s="6">
        <v>2500</v>
      </c>
      <c r="D39814" s="7">
        <v>3.43</v>
      </c>
    </row>
    <row r="39815" spans="1:5" x14ac:dyDescent="0.25">
      <c r="A39815" t="str">
        <f>HYPERLINK("https://www.773grp.com/globalSearch/CAT3661HV3-GT2/page-1", "CAT3661HV3-GT2")</f>
        <v>CAT3661HV3-GT2</v>
      </c>
      <c r="B39815" s="3" t="str">
        <f>HYPERLINK("https://www.773grp.com/manufacturer/onsemi?pageNo=523", "ON Semiconductor")</f>
        <v>ON Semiconductor</v>
      </c>
      <c r="C39815" s="6">
        <v>150</v>
      </c>
      <c r="D39815" s="7">
        <v>3.43</v>
      </c>
    </row>
    <row r="39816" spans="1:5" x14ac:dyDescent="0.25">
      <c r="A39816" t="str">
        <f>HYPERLINK("https://www.773grp.com/globalSearch/CAT4134HV2-GT2/page-1", "CAT4134HV2-GT2")</f>
        <v>CAT4134HV2-GT2</v>
      </c>
      <c r="B39816" s="3" t="str">
        <f>HYPERLINK("https://www.773grp.com/manufacturer/onsemi?pageNo=524", "ON Semiconductor")</f>
        <v>ON Semiconductor</v>
      </c>
      <c r="C39816" s="6">
        <v>2000</v>
      </c>
      <c r="D39816" s="7">
        <v>3.43</v>
      </c>
    </row>
    <row r="39817" spans="1:5" x14ac:dyDescent="0.25">
      <c r="A39817" t="str">
        <f>HYPERLINK("https://www.773grp.com/globalSearch/CAT5136SDI-50GT3/page-1", "CAT5136SDI-50GT3")</f>
        <v>CAT5136SDI-50GT3</v>
      </c>
      <c r="B39817" s="3" t="str">
        <f>HYPERLINK("https://www.773grp.com/manufacturer/onsemi?pageNo=525", "ON Semiconductor")</f>
        <v>ON Semiconductor</v>
      </c>
      <c r="C39817" s="6">
        <v>3000</v>
      </c>
      <c r="D39817" s="7">
        <v>3.43</v>
      </c>
    </row>
    <row r="39818" spans="1:5" x14ac:dyDescent="0.25">
      <c r="A39818" t="str">
        <f>HYPERLINK("https://www.773grp.com/globalSearch/CAT5137SDI-00GT3/page-1", "CAT5137SDI-00GT3")</f>
        <v>CAT5137SDI-00GT3</v>
      </c>
      <c r="B39818" s="3" t="str">
        <f>HYPERLINK("https://www.773grp.com/manufacturer/onsemi?pageNo=526", "ON Semiconductor")</f>
        <v>ON Semiconductor</v>
      </c>
      <c r="C39818" s="6">
        <v>3000</v>
      </c>
      <c r="D39818" s="7">
        <v>3.43</v>
      </c>
    </row>
    <row r="39819" spans="1:5" x14ac:dyDescent="0.25">
      <c r="A39819" t="str">
        <f>HYPERLINK("https://www.773grp.com/globalSearch/CS3842AGD8/page-1", "CS3842AGD8")</f>
        <v>CS3842AGD8</v>
      </c>
      <c r="B39819" s="3" t="str">
        <f>HYPERLINK("https://www.773grp.com/manufacturer/onsemi?pageNo=527", "ON Semiconductor")</f>
        <v>ON Semiconductor</v>
      </c>
      <c r="C39819" s="6">
        <v>8119</v>
      </c>
      <c r="D39819" s="7">
        <v>3.43</v>
      </c>
      <c r="E39819" t="s">
        <v>7</v>
      </c>
    </row>
    <row r="39820" spans="1:5" x14ac:dyDescent="0.25">
      <c r="A39820" t="str">
        <f>HYPERLINK("https://www.773grp.com/globalSearch/CS51021AEDR16/page-1", "CS51021AEDR16")</f>
        <v>CS51021AEDR16</v>
      </c>
      <c r="B39820" s="3" t="str">
        <f>HYPERLINK("https://www.773grp.com/manufacturer/onsemi?pageNo=528", "ON Semiconductor")</f>
        <v>ON Semiconductor</v>
      </c>
      <c r="C39820" s="6">
        <v>1681</v>
      </c>
      <c r="D39820" s="7">
        <v>3.43</v>
      </c>
      <c r="E39820" t="s">
        <v>7</v>
      </c>
    </row>
    <row r="39821" spans="1:5" x14ac:dyDescent="0.25">
      <c r="A39821" t="str">
        <f>HYPERLINK("https://www.773grp.com/globalSearch/LB1838M-TRM-E/page-1", "LB1838M-TRM-E")</f>
        <v>LB1838M-TRM-E</v>
      </c>
      <c r="B39821" s="3" t="str">
        <f>HYPERLINK("https://www.773grp.com/manufacturer/onsemi?pageNo=529", "ON Semiconductor")</f>
        <v>ON Semiconductor</v>
      </c>
      <c r="C39821" s="6">
        <v>3739</v>
      </c>
      <c r="D39821" s="7">
        <v>3.43</v>
      </c>
    </row>
    <row r="39822" spans="1:5" x14ac:dyDescent="0.25">
      <c r="A39822" t="str">
        <f>HYPERLINK("https://www.773grp.com/globalSearch/LB1948MC-AH/page-1", "LB1948MC-AH")</f>
        <v>LB1948MC-AH</v>
      </c>
      <c r="B39822" s="3" t="str">
        <f>HYPERLINK("https://www.773grp.com/manufacturer/onsemi?pageNo=530", "ON Semiconductor")</f>
        <v>ON Semiconductor</v>
      </c>
      <c r="C39822" s="6">
        <v>14000</v>
      </c>
      <c r="D39822" s="7">
        <v>3.43</v>
      </c>
    </row>
    <row r="39823" spans="1:5" x14ac:dyDescent="0.25">
      <c r="A39823" t="str">
        <f>HYPERLINK("https://www.773grp.com/globalSearch/LB1948MC-ZH/page-1", "LB1948MC-ZH")</f>
        <v>LB1948MC-ZH</v>
      </c>
      <c r="B39823" s="3" t="str">
        <f>HYPERLINK("https://www.773grp.com/manufacturer/onsemi?pageNo=531", "ON Semiconductor")</f>
        <v>ON Semiconductor</v>
      </c>
      <c r="C39823" s="6">
        <v>1100</v>
      </c>
      <c r="D39823" s="7">
        <v>3.43</v>
      </c>
    </row>
    <row r="39824" spans="1:5" x14ac:dyDescent="0.25">
      <c r="A39824" t="str">
        <f>HYPERLINK("https://www.773grp.com/globalSearch/MAX1617DBR2/page-1", "MAX1617DBR2")</f>
        <v>MAX1617DBR2</v>
      </c>
      <c r="B39824" s="3" t="str">
        <f>HYPERLINK("https://www.773grp.com/manufacturer/onsemi?pageNo=532", "ON Semiconductor")</f>
        <v>ON Semiconductor</v>
      </c>
      <c r="C39824" s="6">
        <v>59800</v>
      </c>
      <c r="D39824" s="7">
        <v>3.43</v>
      </c>
      <c r="E39824" t="s">
        <v>12</v>
      </c>
    </row>
    <row r="39825" spans="1:5" x14ac:dyDescent="0.25">
      <c r="A39825" t="str">
        <f>HYPERLINK("https://www.773grp.com/globalSearch/MBR16100CTG/page-1", "MBR16100CTG")</f>
        <v>MBR16100CTG</v>
      </c>
      <c r="B39825" s="3" t="str">
        <f>HYPERLINK("https://www.773grp.com/manufacturer/onsemi?pageNo=533", "ON Semiconductor")</f>
        <v>ON Semiconductor</v>
      </c>
      <c r="C39825" s="6">
        <v>109200</v>
      </c>
      <c r="D39825" s="7">
        <v>3.43</v>
      </c>
      <c r="E39825" t="s">
        <v>103</v>
      </c>
    </row>
    <row r="39826" spans="1:5" x14ac:dyDescent="0.25">
      <c r="A39826" t="str">
        <f>HYPERLINK("https://www.773grp.com/globalSearch/MBR60L45CTG/page-1", "MBR60L45CTG")</f>
        <v>MBR60L45CTG</v>
      </c>
      <c r="B39826" s="3" t="str">
        <f>HYPERLINK("https://www.773grp.com/manufacturer/onsemi?pageNo=534", "ON Semiconductor")</f>
        <v>ON Semiconductor</v>
      </c>
      <c r="C39826" s="6">
        <v>56287</v>
      </c>
      <c r="D39826" s="7">
        <v>3.43</v>
      </c>
      <c r="E39826" t="s">
        <v>103</v>
      </c>
    </row>
    <row r="39827" spans="1:5" x14ac:dyDescent="0.25">
      <c r="A39827" t="str">
        <f>HYPERLINK("https://www.773grp.com/globalSearch/MBRB40250TG/page-1", "MBRB40250TG")</f>
        <v>MBRB40250TG</v>
      </c>
      <c r="B39827" s="3" t="str">
        <f>HYPERLINK("https://www.773grp.com/manufacturer/onsemi?pageNo=535", "ON Semiconductor")</f>
        <v>ON Semiconductor</v>
      </c>
      <c r="C39827" s="6">
        <v>7145</v>
      </c>
      <c r="D39827" s="7">
        <v>3.43</v>
      </c>
    </row>
    <row r="39828" spans="1:5" x14ac:dyDescent="0.25">
      <c r="A39828" t="str">
        <f>HYPERLINK("https://www.773grp.com/globalSearch/MC14067BCPG/page-1", "MC14067BCPG")</f>
        <v>MC14067BCPG</v>
      </c>
      <c r="B39828" s="3" t="str">
        <f>HYPERLINK("https://www.773grp.com/manufacturer/onsemi?pageNo=536", "ON Semiconductor")</f>
        <v>ON Semiconductor</v>
      </c>
      <c r="C39828" s="6">
        <v>1</v>
      </c>
      <c r="D39828" s="7">
        <v>3.43</v>
      </c>
      <c r="E39828" t="s">
        <v>56</v>
      </c>
    </row>
    <row r="39829" spans="1:5" x14ac:dyDescent="0.25">
      <c r="A39829" t="str">
        <f>HYPERLINK("https://www.773grp.com/globalSearch/MC14517BCPG/page-1", "MC14517BCPG")</f>
        <v>MC14517BCPG</v>
      </c>
      <c r="B39829" s="3" t="str">
        <f>HYPERLINK("https://www.773grp.com/manufacturer/onsemi?pageNo=537", "ON Semiconductor")</f>
        <v>ON Semiconductor</v>
      </c>
      <c r="C39829" s="6">
        <v>3364</v>
      </c>
      <c r="D39829" s="7">
        <v>3.43</v>
      </c>
      <c r="E39829" t="s">
        <v>32</v>
      </c>
    </row>
    <row r="39830" spans="1:5" x14ac:dyDescent="0.25">
      <c r="A39830" t="str">
        <f>HYPERLINK("https://www.773grp.com/globalSearch/MC33153DG/page-1", "MC33153DG")</f>
        <v>MC33153DG</v>
      </c>
      <c r="B39830" s="3" t="str">
        <f>HYPERLINK("https://www.773grp.com/manufacturer/onsemi?pageNo=538", "ON Semiconductor")</f>
        <v>ON Semiconductor</v>
      </c>
      <c r="C39830" s="6">
        <v>1002</v>
      </c>
      <c r="D39830" s="7">
        <v>3.43</v>
      </c>
    </row>
    <row r="39831" spans="1:5" x14ac:dyDescent="0.25">
      <c r="A39831" t="str">
        <f>HYPERLINK("https://www.773grp.com/globalSearch/MC33153DR2G/page-1", "MC33153DR2G")</f>
        <v>MC33153DR2G</v>
      </c>
      <c r="B39831" s="3" t="str">
        <f>HYPERLINK("https://www.773grp.com/manufacturer/onsemi?pageNo=539", "ON Semiconductor")</f>
        <v>ON Semiconductor</v>
      </c>
      <c r="C39831" s="6">
        <v>17548</v>
      </c>
      <c r="D39831" s="7">
        <v>3.43</v>
      </c>
      <c r="E39831" t="s">
        <v>11</v>
      </c>
    </row>
    <row r="39832" spans="1:5" x14ac:dyDescent="0.25">
      <c r="A39832" t="str">
        <f>HYPERLINK("https://www.773grp.com/globalSearch/MC33153PG/page-1", "MC33153PG")</f>
        <v>MC33153PG</v>
      </c>
      <c r="B39832" s="3" t="str">
        <f>HYPERLINK("https://www.773grp.com/manufacturer/onsemi?pageNo=540", "ON Semiconductor")</f>
        <v>ON Semiconductor</v>
      </c>
      <c r="C39832" s="6">
        <v>37918</v>
      </c>
      <c r="D39832" s="7">
        <v>3.43</v>
      </c>
      <c r="E39832" t="s">
        <v>11</v>
      </c>
    </row>
    <row r="39833" spans="1:5" x14ac:dyDescent="0.25">
      <c r="A39833" t="str">
        <f>HYPERLINK("https://www.773grp.com/globalSearch/MC33170DTB/page-1", "MC33170DTB")</f>
        <v>MC33170DTB</v>
      </c>
      <c r="B39833" s="3" t="str">
        <f>HYPERLINK("https://www.773grp.com/manufacturer/onsemi?pageNo=541", "ON Semiconductor")</f>
        <v>ON Semiconductor</v>
      </c>
      <c r="C39833" s="6">
        <v>14254</v>
      </c>
      <c r="D39833" s="7">
        <v>3.43</v>
      </c>
      <c r="E39833" t="s">
        <v>67</v>
      </c>
    </row>
    <row r="39834" spans="1:5" x14ac:dyDescent="0.25">
      <c r="A39834" t="str">
        <f>HYPERLINK("https://www.773grp.com/globalSearch/MC33170DTBR2/page-1", "MC33170DTBR2")</f>
        <v>MC33170DTBR2</v>
      </c>
      <c r="B39834" s="3" t="str">
        <f>HYPERLINK("https://www.773grp.com/manufacturer/onsemi?pageNo=542", "ON Semiconductor")</f>
        <v>ON Semiconductor</v>
      </c>
      <c r="C39834" s="6">
        <v>2500</v>
      </c>
      <c r="D39834" s="7">
        <v>3.43</v>
      </c>
      <c r="E39834" t="s">
        <v>67</v>
      </c>
    </row>
    <row r="39835" spans="1:5" x14ac:dyDescent="0.25">
      <c r="A39835" t="str">
        <f>HYPERLINK("https://www.773grp.com/globalSearch/MC33502DG/page-1", "MC33502DG")</f>
        <v>MC33502DG</v>
      </c>
      <c r="B39835" s="3" t="str">
        <f>HYPERLINK("https://www.773grp.com/manufacturer/onsemi?pageNo=543", "ON Semiconductor")</f>
        <v>ON Semiconductor</v>
      </c>
      <c r="C39835" s="6">
        <v>80</v>
      </c>
      <c r="D39835" s="7">
        <v>3.43</v>
      </c>
      <c r="E39835" t="s">
        <v>13</v>
      </c>
    </row>
    <row r="39836" spans="1:5" x14ac:dyDescent="0.25">
      <c r="A39836" t="str">
        <f>HYPERLINK("https://www.773grp.com/globalSearch/MC33502DR2G/page-1", "MC33502DR2G")</f>
        <v>MC33502DR2G</v>
      </c>
      <c r="B39836" s="3" t="str">
        <f>HYPERLINK("https://www.773grp.com/manufacturer/onsemi?pageNo=544", "ON Semiconductor")</f>
        <v>ON Semiconductor</v>
      </c>
      <c r="C39836" s="6">
        <v>2500</v>
      </c>
      <c r="D39836" s="7">
        <v>3.43</v>
      </c>
      <c r="E39836" t="s">
        <v>13</v>
      </c>
    </row>
    <row r="39837" spans="1:5" x14ac:dyDescent="0.25">
      <c r="A39837" t="str">
        <f>HYPERLINK("https://www.773grp.com/globalSearch/MC33502PG/page-1", "MC33502PG")</f>
        <v>MC33502PG</v>
      </c>
      <c r="B39837" s="3" t="str">
        <f>HYPERLINK("https://www.773grp.com/manufacturer/onsemi?pageNo=545", "ON Semiconductor")</f>
        <v>ON Semiconductor</v>
      </c>
      <c r="C39837" s="6">
        <v>9781</v>
      </c>
      <c r="D39837" s="7">
        <v>3.43</v>
      </c>
      <c r="E39837" t="s">
        <v>13</v>
      </c>
    </row>
    <row r="39838" spans="1:5" x14ac:dyDescent="0.25">
      <c r="A39838" t="str">
        <f>HYPERLINK("https://www.773grp.com/globalSearch/MC74A5-50T/page-1", "MC74A5-50T")</f>
        <v>MC74A5-50T</v>
      </c>
      <c r="B39838" s="3" t="str">
        <f>HYPERLINK("https://www.773grp.com/manufacturer/onsemi?pageNo=546", "ON Semiconductor")</f>
        <v>ON Semiconductor</v>
      </c>
      <c r="C39838" s="6">
        <v>24000</v>
      </c>
      <c r="D39838" s="7">
        <v>3.43</v>
      </c>
      <c r="E39838" t="s">
        <v>12</v>
      </c>
    </row>
    <row r="39839" spans="1:5" x14ac:dyDescent="0.25">
      <c r="A39839" t="str">
        <f>HYPERLINK("https://www.773grp.com/globalSearch/MC74AC4040NG/page-1", "MC74AC4040NG")</f>
        <v>MC74AC4040NG</v>
      </c>
      <c r="B39839" s="3" t="str">
        <f>HYPERLINK("https://www.773grp.com/manufacturer/onsemi?pageNo=547", "ON Semiconductor")</f>
        <v>ON Semiconductor</v>
      </c>
      <c r="C39839" s="6">
        <v>946</v>
      </c>
      <c r="D39839" s="7">
        <v>3.43</v>
      </c>
      <c r="E39839" t="s">
        <v>26</v>
      </c>
    </row>
    <row r="39840" spans="1:5" x14ac:dyDescent="0.25">
      <c r="A39840" t="str">
        <f>HYPERLINK("https://www.773grp.com/globalSearch/MC74LVX4245DTG/page-1", "MC74LVX4245DTG")</f>
        <v>MC74LVX4245DTG</v>
      </c>
      <c r="B39840" s="3" t="str">
        <f>HYPERLINK("https://www.773grp.com/manufacturer/onsemi?pageNo=548", "ON Semiconductor")</f>
        <v>ON Semiconductor</v>
      </c>
      <c r="C39840" s="6">
        <v>12593</v>
      </c>
      <c r="D39840" s="7">
        <v>3.43</v>
      </c>
      <c r="E39840" t="s">
        <v>14</v>
      </c>
    </row>
    <row r="39841" spans="1:5" x14ac:dyDescent="0.25">
      <c r="A39841" t="str">
        <f>HYPERLINK("https://www.773grp.com/globalSearch/MC74LVX4245DTR2G/page-1", "MC74LVX4245DTR2G")</f>
        <v>MC74LVX4245DTR2G</v>
      </c>
      <c r="B39841" s="3" t="str">
        <f>HYPERLINK("https://www.773grp.com/manufacturer/onsemi?pageNo=549", "ON Semiconductor")</f>
        <v>ON Semiconductor</v>
      </c>
      <c r="C39841" s="6">
        <v>11998</v>
      </c>
      <c r="D39841" s="7">
        <v>3.43</v>
      </c>
      <c r="E39841" t="s">
        <v>14</v>
      </c>
    </row>
    <row r="39842" spans="1:5" x14ac:dyDescent="0.25">
      <c r="A39842" t="str">
        <f>HYPERLINK("https://www.773grp.com/globalSearch/MC74LVX4245DWG/page-1", "MC74LVX4245DWG")</f>
        <v>MC74LVX4245DWG</v>
      </c>
      <c r="B39842" s="3" t="str">
        <f>HYPERLINK("https://www.773grp.com/manufacturer/onsemi?pageNo=550", "ON Semiconductor")</f>
        <v>ON Semiconductor</v>
      </c>
      <c r="C39842" s="6">
        <v>210</v>
      </c>
      <c r="D39842" s="7">
        <v>3.43</v>
      </c>
      <c r="E39842" t="s">
        <v>14</v>
      </c>
    </row>
    <row r="39843" spans="1:5" x14ac:dyDescent="0.25">
      <c r="A39843" t="str">
        <f>HYPERLINK("https://www.773grp.com/globalSearch/MC74LVX4245DWR2G/page-1", "MC74LVX4245DWR2G")</f>
        <v>MC74LVX4245DWR2G</v>
      </c>
      <c r="B39843" s="3" t="str">
        <f>HYPERLINK("https://www.773grp.com/manufacturer/onsemi?pageNo=551", "ON Semiconductor")</f>
        <v>ON Semiconductor</v>
      </c>
      <c r="C39843" s="6">
        <v>237</v>
      </c>
      <c r="D39843" s="7">
        <v>3.43</v>
      </c>
      <c r="E39843" t="s">
        <v>14</v>
      </c>
    </row>
    <row r="39844" spans="1:5" x14ac:dyDescent="0.25">
      <c r="A39844" t="str">
        <f>HYPERLINK("https://www.773grp.com/globalSearch/MC74LVXC3245DTG/page-1", "MC74LVXC3245DTG")</f>
        <v>MC74LVXC3245DTG</v>
      </c>
      <c r="B39844" s="3" t="str">
        <f>HYPERLINK("https://www.773grp.com/manufacturer/onsemi?pageNo=552", "ON Semiconductor")</f>
        <v>ON Semiconductor</v>
      </c>
      <c r="C39844" s="6">
        <v>18011</v>
      </c>
      <c r="D39844" s="7">
        <v>3.43</v>
      </c>
      <c r="E39844" t="s">
        <v>14</v>
      </c>
    </row>
    <row r="39845" spans="1:5" x14ac:dyDescent="0.25">
      <c r="A39845" t="str">
        <f>HYPERLINK("https://www.773grp.com/globalSearch/MC74LVXC3245DTRG/page-1", "MC74LVXC3245DTRG")</f>
        <v>MC74LVXC3245DTRG</v>
      </c>
      <c r="B39845" s="3" t="str">
        <f>HYPERLINK("https://www.773grp.com/manufacturer/onsemi?pageNo=553", "ON Semiconductor")</f>
        <v>ON Semiconductor</v>
      </c>
      <c r="C39845" s="6">
        <v>5131</v>
      </c>
      <c r="D39845" s="7">
        <v>3.43</v>
      </c>
      <c r="E39845" t="s">
        <v>14</v>
      </c>
    </row>
    <row r="39846" spans="1:5" x14ac:dyDescent="0.25">
      <c r="A39846" t="str">
        <f>HYPERLINK("https://www.773grp.com/globalSearch/MTB60N05HDL/page-1", "MTB60N05HDL")</f>
        <v>MTB60N05HDL</v>
      </c>
      <c r="B39846" s="3" t="str">
        <f>HYPERLINK("https://www.773grp.com/manufacturer/onsemi?pageNo=554", "ON Semiconductor")</f>
        <v>ON Semiconductor</v>
      </c>
      <c r="C39846" s="6">
        <v>40</v>
      </c>
      <c r="D39846" s="7">
        <v>3.43</v>
      </c>
      <c r="E39846" t="s">
        <v>105</v>
      </c>
    </row>
    <row r="39847" spans="1:5" x14ac:dyDescent="0.25">
      <c r="A39847" t="str">
        <f>HYPERLINK("https://www.773grp.com/globalSearch/MTB60N05HDLT4/page-1", "MTB60N05HDLT4")</f>
        <v>MTB60N05HDLT4</v>
      </c>
      <c r="B39847" s="3" t="str">
        <f>HYPERLINK("https://www.773grp.com/manufacturer/onsemi?pageNo=555", "ON Semiconductor")</f>
        <v>ON Semiconductor</v>
      </c>
      <c r="C39847" s="6">
        <v>23850</v>
      </c>
      <c r="D39847" s="7">
        <v>3.43</v>
      </c>
      <c r="E39847" t="s">
        <v>105</v>
      </c>
    </row>
    <row r="39848" spans="1:5" x14ac:dyDescent="0.25">
      <c r="A39848" t="str">
        <f>HYPERLINK("https://www.773grp.com/globalSearch/NB3L553DG/page-1", "NB3L553DG")</f>
        <v>NB3L553DG</v>
      </c>
      <c r="B39848" s="3" t="str">
        <f>HYPERLINK("https://www.773grp.com/manufacturer/onsemi?pageNo=556", "ON Semiconductor")</f>
        <v>ON Semiconductor</v>
      </c>
      <c r="C39848" s="6">
        <v>9201</v>
      </c>
      <c r="D39848" s="7">
        <v>3.43</v>
      </c>
    </row>
    <row r="39849" spans="1:5" x14ac:dyDescent="0.25">
      <c r="A39849" t="str">
        <f>HYPERLINK("https://www.773grp.com/globalSearch/NB3L553DR2G/page-1", "NB3L553DR2G")</f>
        <v>NB3L553DR2G</v>
      </c>
      <c r="B39849" s="3" t="str">
        <f>HYPERLINK("https://www.773grp.com/manufacturer/onsemi?pageNo=557", "ON Semiconductor")</f>
        <v>ON Semiconductor</v>
      </c>
      <c r="C39849" s="6">
        <v>5000</v>
      </c>
      <c r="D39849" s="7">
        <v>3.43</v>
      </c>
      <c r="E39849" t="s">
        <v>34</v>
      </c>
    </row>
    <row r="39850" spans="1:5" x14ac:dyDescent="0.25">
      <c r="A39850" t="str">
        <f>HYPERLINK("https://www.773grp.com/globalSearch/NB3N2304NZDTR2G/page-1", "NB3N2304NZDTR2G")</f>
        <v>NB3N2304NZDTR2G</v>
      </c>
      <c r="B39850" s="3" t="str">
        <f>HYPERLINK("https://www.773grp.com/manufacturer/onsemi?pageNo=558", "ON Semiconductor")</f>
        <v>ON Semiconductor</v>
      </c>
      <c r="C39850" s="6">
        <v>1147</v>
      </c>
      <c r="D39850" s="7">
        <v>3.43</v>
      </c>
    </row>
    <row r="39851" spans="1:5" x14ac:dyDescent="0.25">
      <c r="A39851" t="str">
        <f>HYPERLINK("https://www.773grp.com/globalSearch/NCN4555MNG/page-1", "NCN4555MNG")</f>
        <v>NCN4555MNG</v>
      </c>
      <c r="B39851" s="3" t="str">
        <f>HYPERLINK("https://www.773grp.com/manufacturer/onsemi?pageNo=559", "ON Semiconductor")</f>
        <v>ON Semiconductor</v>
      </c>
      <c r="C39851" s="6">
        <v>4379</v>
      </c>
      <c r="D39851" s="7">
        <v>3.43</v>
      </c>
      <c r="E39851" t="s">
        <v>30</v>
      </c>
    </row>
    <row r="39852" spans="1:5" x14ac:dyDescent="0.25">
      <c r="A39852" t="str">
        <f>HYPERLINK("https://www.773grp.com/globalSearch/NCP1395APG/page-1", "NCP1395APG")</f>
        <v>NCP1395APG</v>
      </c>
      <c r="B39852" s="3" t="str">
        <f>HYPERLINK("https://www.773grp.com/manufacturer/onsemi?pageNo=560", "ON Semiconductor")</f>
        <v>ON Semiconductor</v>
      </c>
      <c r="C39852" s="6">
        <v>13622</v>
      </c>
      <c r="D39852" s="7">
        <v>3.43</v>
      </c>
      <c r="E39852" t="s">
        <v>7</v>
      </c>
    </row>
    <row r="39853" spans="1:5" x14ac:dyDescent="0.25">
      <c r="A39853" t="str">
        <f>HYPERLINK("https://www.773grp.com/globalSearch/NCP1395BPG/page-1", "NCP1395BPG")</f>
        <v>NCP1395BPG</v>
      </c>
      <c r="B39853" s="3" t="str">
        <f>HYPERLINK("https://www.773grp.com/manufacturer/onsemi?pageNo=561", "ON Semiconductor")</f>
        <v>ON Semiconductor</v>
      </c>
      <c r="C39853" s="6">
        <v>2480</v>
      </c>
      <c r="D39853" s="7">
        <v>3.43</v>
      </c>
      <c r="E39853" t="s">
        <v>7</v>
      </c>
    </row>
    <row r="39854" spans="1:5" x14ac:dyDescent="0.25">
      <c r="A39854" t="str">
        <f>HYPERLINK("https://www.773grp.com/globalSearch/NCP51198PDR2G/page-1", "NCP51198PDR2G")</f>
        <v>NCP51198PDR2G</v>
      </c>
      <c r="B39854" s="3" t="str">
        <f>HYPERLINK("https://www.773grp.com/manufacturer/onsemi?pageNo=562", "ON Semiconductor")</f>
        <v>ON Semiconductor</v>
      </c>
      <c r="C39854" s="6">
        <v>2500</v>
      </c>
      <c r="D39854" s="7">
        <v>3.43</v>
      </c>
    </row>
    <row r="39855" spans="1:5" x14ac:dyDescent="0.25">
      <c r="A39855" t="str">
        <f>HYPERLINK("https://www.773grp.com/globalSearch/NCP5395MNR2G/page-1", "NCP5395MNR2G")</f>
        <v>NCP5395MNR2G</v>
      </c>
      <c r="B39855" s="3" t="str">
        <f>HYPERLINK("https://www.773grp.com/manufacturer/onsemi?pageNo=563", "ON Semiconductor")</f>
        <v>ON Semiconductor</v>
      </c>
      <c r="C39855" s="6">
        <v>40922</v>
      </c>
      <c r="D39855" s="7">
        <v>3.43</v>
      </c>
      <c r="E39855" t="s">
        <v>7</v>
      </c>
    </row>
    <row r="39856" spans="1:5" x14ac:dyDescent="0.25">
      <c r="A39856" t="str">
        <f>HYPERLINK("https://www.773grp.com/globalSearch/NCP5395TMNR2G/page-1", "NCP5395TMNR2G")</f>
        <v>NCP5395TMNR2G</v>
      </c>
      <c r="B39856" s="3" t="str">
        <f>HYPERLINK("https://www.773grp.com/manufacturer/onsemi?pageNo=564", "ON Semiconductor")</f>
        <v>ON Semiconductor</v>
      </c>
      <c r="C39856" s="6">
        <v>196443</v>
      </c>
      <c r="D39856" s="7">
        <v>3.43</v>
      </c>
      <c r="E39856" t="s">
        <v>7</v>
      </c>
    </row>
    <row r="39857" spans="1:5" x14ac:dyDescent="0.25">
      <c r="A39857" t="str">
        <f>HYPERLINK("https://www.773grp.com/globalSearch/NCP59151MN18TYG/page-1", "NCP59151MN18TYG")</f>
        <v>NCP59151MN18TYG</v>
      </c>
      <c r="B39857" s="3" t="str">
        <f>HYPERLINK("https://www.773grp.com/manufacturer/onsemi?pageNo=565", "ON Semiconductor")</f>
        <v>ON Semiconductor</v>
      </c>
      <c r="C39857" s="6">
        <v>4000</v>
      </c>
      <c r="D39857" s="7">
        <v>3.43</v>
      </c>
    </row>
    <row r="39858" spans="1:5" x14ac:dyDescent="0.25">
      <c r="A39858" t="str">
        <f>HYPERLINK("https://www.773grp.com/globalSearch/NCP59151MN25TYG/page-1", "NCP59151MN25TYG")</f>
        <v>NCP59151MN25TYG</v>
      </c>
      <c r="B39858" s="3" t="str">
        <f>HYPERLINK("https://www.773grp.com/manufacturer/onsemi?pageNo=566", "ON Semiconductor")</f>
        <v>ON Semiconductor</v>
      </c>
      <c r="C39858" s="6">
        <v>4000</v>
      </c>
      <c r="D39858" s="7">
        <v>3.43</v>
      </c>
    </row>
    <row r="39859" spans="1:5" x14ac:dyDescent="0.25">
      <c r="A39859" t="str">
        <f>HYPERLINK("https://www.773grp.com/globalSearch/NCP59151MN28TYG/page-1", "NCP59151MN28TYG")</f>
        <v>NCP59151MN28TYG</v>
      </c>
      <c r="B39859" s="3" t="str">
        <f>HYPERLINK("https://www.773grp.com/manufacturer/onsemi?pageNo=567", "ON Semiconductor")</f>
        <v>ON Semiconductor</v>
      </c>
      <c r="C39859" s="6">
        <v>4000</v>
      </c>
      <c r="D39859" s="7">
        <v>3.43</v>
      </c>
    </row>
    <row r="39860" spans="1:5" x14ac:dyDescent="0.25">
      <c r="A39860" t="str">
        <f>HYPERLINK("https://www.773grp.com/globalSearch/NCP59151MN30TYG/page-1", "NCP59151MN30TYG")</f>
        <v>NCP59151MN30TYG</v>
      </c>
      <c r="B39860" s="3" t="str">
        <f>HYPERLINK("https://www.773grp.com/manufacturer/onsemi?pageNo=568", "ON Semiconductor")</f>
        <v>ON Semiconductor</v>
      </c>
      <c r="C39860" s="6">
        <v>4000</v>
      </c>
      <c r="D39860" s="7">
        <v>3.43</v>
      </c>
    </row>
    <row r="39861" spans="1:5" x14ac:dyDescent="0.25">
      <c r="A39861" t="str">
        <f>HYPERLINK("https://www.773grp.com/globalSearch/NCP59151MN33TYG/page-1", "NCP59151MN33TYG")</f>
        <v>NCP59151MN33TYG</v>
      </c>
      <c r="B39861" s="3" t="str">
        <f>HYPERLINK("https://www.773grp.com/manufacturer/onsemi?pageNo=569", "ON Semiconductor")</f>
        <v>ON Semiconductor</v>
      </c>
      <c r="C39861" s="6">
        <v>11959</v>
      </c>
      <c r="D39861" s="7">
        <v>3.43</v>
      </c>
    </row>
    <row r="39862" spans="1:5" x14ac:dyDescent="0.25">
      <c r="A39862" t="str">
        <f>HYPERLINK("https://www.773grp.com/globalSearch/NCP59151MN50TYG/page-1", "NCP59151MN50TYG")</f>
        <v>NCP59151MN50TYG</v>
      </c>
      <c r="B39862" s="3" t="str">
        <f>HYPERLINK("https://www.773grp.com/manufacturer/onsemi?pageNo=570", "ON Semiconductor")</f>
        <v>ON Semiconductor</v>
      </c>
      <c r="C39862" s="6">
        <v>4000</v>
      </c>
      <c r="D39862" s="7">
        <v>3.43</v>
      </c>
    </row>
    <row r="39863" spans="1:5" x14ac:dyDescent="0.25">
      <c r="A39863" t="str">
        <f>HYPERLINK("https://www.773grp.com/globalSearch/NCP59152MNADJTYG/page-1", "NCP59152MNADJTYG")</f>
        <v>NCP59152MNADJTYG</v>
      </c>
      <c r="B39863" s="3" t="str">
        <f>HYPERLINK("https://www.773grp.com/manufacturer/onsemi?pageNo=571", "ON Semiconductor")</f>
        <v>ON Semiconductor</v>
      </c>
      <c r="C39863" s="6">
        <v>4000</v>
      </c>
      <c r="D39863" s="7">
        <v>3.43</v>
      </c>
    </row>
    <row r="39864" spans="1:5" x14ac:dyDescent="0.25">
      <c r="A39864" t="str">
        <f>HYPERLINK("https://www.773grp.com/globalSearch/NCV7341D21G/page-1", "NCV7341D21G")</f>
        <v>NCV7341D21G</v>
      </c>
      <c r="B39864" s="3" t="str">
        <f>HYPERLINK("https://www.773grp.com/manufacturer/onsemi?pageNo=572", "ON Semiconductor")</f>
        <v>ON Semiconductor</v>
      </c>
      <c r="C39864" s="6">
        <v>110</v>
      </c>
      <c r="D39864" s="7">
        <v>3.43</v>
      </c>
      <c r="E39864" t="s">
        <v>55</v>
      </c>
    </row>
    <row r="39865" spans="1:5" x14ac:dyDescent="0.25">
      <c r="A39865" t="str">
        <f>HYPERLINK("https://www.773grp.com/globalSearch/NGD15N41CLT4G/page-1", "NGD15N41CLT4G")</f>
        <v>NGD15N41CLT4G</v>
      </c>
      <c r="B39865" s="3" t="str">
        <f>HYPERLINK("https://www.773grp.com/manufacturer/onsemi?pageNo=573", "ON Semiconductor")</f>
        <v>ON Semiconductor</v>
      </c>
      <c r="C39865" s="6">
        <v>7745</v>
      </c>
      <c r="D39865" s="7">
        <v>3.43</v>
      </c>
      <c r="E39865" t="s">
        <v>115</v>
      </c>
    </row>
    <row r="39866" spans="1:5" x14ac:dyDescent="0.25">
      <c r="A39866" t="str">
        <f>HYPERLINK("https://www.773grp.com/globalSearch/NLVLVX4245DTR2G/page-1", "NLVLVX4245DTR2G")</f>
        <v>NLVLVX4245DTR2G</v>
      </c>
      <c r="B39866" s="3" t="str">
        <f>HYPERLINK("https://www.773grp.com/manufacturer/onsemi?pageNo=574", "ON Semiconductor")</f>
        <v>ON Semiconductor</v>
      </c>
      <c r="C39866" s="6">
        <v>7500</v>
      </c>
      <c r="D39866" s="7">
        <v>3.43</v>
      </c>
    </row>
    <row r="39867" spans="1:5" x14ac:dyDescent="0.25">
      <c r="A39867" t="str">
        <f>HYPERLINK("https://www.773grp.com/globalSearch/SE5230DG/page-1", "SE5230DG")</f>
        <v>SE5230DG</v>
      </c>
      <c r="B39867" s="3" t="str">
        <f>HYPERLINK("https://www.773grp.com/manufacturer/onsemi?pageNo=575", "ON Semiconductor")</f>
        <v>ON Semiconductor</v>
      </c>
      <c r="C39867" s="6">
        <v>2380</v>
      </c>
      <c r="D39867" s="7">
        <v>3.43</v>
      </c>
    </row>
    <row r="39868" spans="1:5" x14ac:dyDescent="0.25">
      <c r="A39868" t="str">
        <f>HYPERLINK("https://www.773grp.com/globalSearch/SE5230DR2G/page-1", "SE5230DR2G")</f>
        <v>SE5230DR2G</v>
      </c>
      <c r="B39868" s="3" t="str">
        <f>HYPERLINK("https://www.773grp.com/manufacturer/onsemi?pageNo=576", "ON Semiconductor")</f>
        <v>ON Semiconductor</v>
      </c>
      <c r="C39868" s="6">
        <v>1500</v>
      </c>
      <c r="D39868" s="7">
        <v>3.43</v>
      </c>
    </row>
    <row r="39869" spans="1:5" x14ac:dyDescent="0.25">
      <c r="A39869" t="str">
        <f>HYPERLINK("https://www.773grp.com/globalSearch/BTA30H-600CW3G/page-1", "BTA30H-600CW3G")</f>
        <v>BTA30H-600CW3G</v>
      </c>
      <c r="B39869" s="3" t="str">
        <f>HYPERLINK("https://www.773grp.com/manufacturer/onsemi?pageNo=577", "ON Semiconductor")</f>
        <v>ON Semiconductor</v>
      </c>
      <c r="C39869" s="6">
        <v>3100</v>
      </c>
      <c r="D39869" s="7">
        <v>3.09</v>
      </c>
    </row>
    <row r="39870" spans="1:5" x14ac:dyDescent="0.25">
      <c r="A39870" t="str">
        <f>HYPERLINK("https://www.773grp.com/globalSearch/CS5253B-8GDPR5/page-1", "CS5253B-8GDPR5")</f>
        <v>CS5253B-8GDPR5</v>
      </c>
      <c r="B39870" s="3" t="str">
        <f>HYPERLINK("https://www.773grp.com/manufacturer/onsemi?pageNo=578", "ON Semiconductor")</f>
        <v>ON Semiconductor</v>
      </c>
      <c r="C39870" s="6">
        <v>40500</v>
      </c>
      <c r="D39870" s="7">
        <v>3.09</v>
      </c>
      <c r="E39870" t="s">
        <v>19</v>
      </c>
    </row>
    <row r="39871" spans="1:5" x14ac:dyDescent="0.25">
      <c r="A39871" t="str">
        <f>HYPERLINK("https://www.773grp.com/globalSearch/CS5421GD16/page-1", "CS5421GD16")</f>
        <v>CS5421GD16</v>
      </c>
      <c r="B39871" s="3" t="str">
        <f>HYPERLINK("https://www.773grp.com/manufacturer/onsemi?pageNo=579", "ON Semiconductor")</f>
        <v>ON Semiconductor</v>
      </c>
      <c r="C39871" s="6">
        <v>672</v>
      </c>
      <c r="D39871" s="7">
        <v>3.09</v>
      </c>
      <c r="E39871" t="s">
        <v>7</v>
      </c>
    </row>
    <row r="39872" spans="1:5" x14ac:dyDescent="0.25">
      <c r="A39872" t="str">
        <f>HYPERLINK("https://www.773grp.com/globalSearch/CS8129YTVA5/page-1", "CS8129YTVA5")</f>
        <v>CS8129YTVA5</v>
      </c>
      <c r="B39872" s="3" t="str">
        <f>HYPERLINK("https://www.773grp.com/manufacturer/onsemi?pageNo=580", "ON Semiconductor")</f>
        <v>ON Semiconductor</v>
      </c>
      <c r="C39872" s="6">
        <v>2936</v>
      </c>
      <c r="D39872" s="7">
        <v>3.09</v>
      </c>
      <c r="E39872" t="s">
        <v>19</v>
      </c>
    </row>
    <row r="39873" spans="1:5" x14ac:dyDescent="0.25">
      <c r="A39873" t="str">
        <f>HYPERLINK("https://www.773grp.com/globalSearch/CS8129YTVA5G/page-1", "CS8129YTVA5G")</f>
        <v>CS8129YTVA5G</v>
      </c>
      <c r="B39873" s="3" t="str">
        <f>HYPERLINK("https://www.773grp.com/manufacturer/onsemi?pageNo=581", "ON Semiconductor")</f>
        <v>ON Semiconductor</v>
      </c>
      <c r="C39873" s="6">
        <v>59</v>
      </c>
      <c r="D39873" s="7">
        <v>3.09</v>
      </c>
      <c r="E39873" t="s">
        <v>19</v>
      </c>
    </row>
    <row r="39874" spans="1:5" x14ac:dyDescent="0.25">
      <c r="A39874" t="str">
        <f>HYPERLINK("https://www.773grp.com/globalSearch/CS8311YDR8/page-1", "CS8311YDR8")</f>
        <v>CS8311YDR8</v>
      </c>
      <c r="B39874" s="3" t="str">
        <f>HYPERLINK("https://www.773grp.com/manufacturer/onsemi?pageNo=582", "ON Semiconductor")</f>
        <v>ON Semiconductor</v>
      </c>
      <c r="C39874" s="6">
        <v>5000</v>
      </c>
      <c r="D39874" s="7">
        <v>3.09</v>
      </c>
      <c r="E39874" t="s">
        <v>19</v>
      </c>
    </row>
    <row r="39875" spans="1:5" x14ac:dyDescent="0.25">
      <c r="A39875" t="str">
        <f>HYPERLINK("https://www.773grp.com/globalSearch/LB11683V-TLM-E/page-1", "LB11683V-TLM-E")</f>
        <v>LB11683V-TLM-E</v>
      </c>
      <c r="B39875" s="3" t="str">
        <f>HYPERLINK("https://www.773grp.com/manufacturer/onsemi?pageNo=583", "ON Semiconductor")</f>
        <v>ON Semiconductor</v>
      </c>
      <c r="C39875" s="6">
        <v>34000</v>
      </c>
      <c r="D39875" s="7">
        <v>3.09</v>
      </c>
    </row>
    <row r="39876" spans="1:5" x14ac:dyDescent="0.25">
      <c r="A39876" t="str">
        <f>HYPERLINK("https://www.773grp.com/globalSearch/MBR60L45WTG/page-1", "MBR60L45WTG")</f>
        <v>MBR60L45WTG</v>
      </c>
      <c r="B39876" s="3" t="str">
        <f>HYPERLINK("https://www.773grp.com/manufacturer/onsemi?pageNo=584", "ON Semiconductor")</f>
        <v>ON Semiconductor</v>
      </c>
      <c r="C39876" s="6">
        <v>3056</v>
      </c>
      <c r="D39876" s="7">
        <v>3.09</v>
      </c>
      <c r="E39876" t="s">
        <v>103</v>
      </c>
    </row>
    <row r="39877" spans="1:5" x14ac:dyDescent="0.25">
      <c r="A39877" t="str">
        <f>HYPERLINK("https://www.773grp.com/globalSearch/MC14569BDWG/page-1", "MC14569BDWG")</f>
        <v>MC14569BDWG</v>
      </c>
      <c r="B39877" s="3" t="str">
        <f>HYPERLINK("https://www.773grp.com/manufacturer/onsemi?pageNo=585", "ON Semiconductor")</f>
        <v>ON Semiconductor</v>
      </c>
      <c r="C39877" s="6">
        <v>123</v>
      </c>
      <c r="D39877" s="7">
        <v>3.09</v>
      </c>
      <c r="E39877" t="s">
        <v>26</v>
      </c>
    </row>
    <row r="39878" spans="1:5" x14ac:dyDescent="0.25">
      <c r="A39878" t="str">
        <f>HYPERLINK("https://www.773grp.com/globalSearch/MC14569BDWR2G/page-1", "MC14569BDWR2G")</f>
        <v>MC14569BDWR2G</v>
      </c>
      <c r="B39878" s="3" t="str">
        <f>HYPERLINK("https://www.773grp.com/manufacturer/onsemi?pageNo=586", "ON Semiconductor")</f>
        <v>ON Semiconductor</v>
      </c>
      <c r="C39878" s="6">
        <v>4054</v>
      </c>
      <c r="D39878" s="7">
        <v>3.09</v>
      </c>
      <c r="E39878" t="s">
        <v>26</v>
      </c>
    </row>
    <row r="39879" spans="1:5" x14ac:dyDescent="0.25">
      <c r="A39879" t="str">
        <f>HYPERLINK("https://www.773grp.com/globalSearch/MTP2P50EG/page-1", "MTP2P50EG")</f>
        <v>MTP2P50EG</v>
      </c>
      <c r="B39879" s="3" t="str">
        <f>HYPERLINK("https://www.773grp.com/manufacturer/onsemi?pageNo=587", "ON Semiconductor")</f>
        <v>ON Semiconductor</v>
      </c>
      <c r="C39879" s="6">
        <v>1230</v>
      </c>
      <c r="D39879" s="7">
        <v>3.09</v>
      </c>
      <c r="E39879" t="s">
        <v>105</v>
      </c>
    </row>
    <row r="39880" spans="1:5" x14ac:dyDescent="0.25">
      <c r="A39880" t="str">
        <f>HYPERLINK("https://www.773grp.com/globalSearch/NCV51411MNR2G/page-1", "NCV51411MNR2G")</f>
        <v>NCV51411MNR2G</v>
      </c>
      <c r="B39880" s="3" t="str">
        <f>HYPERLINK("https://www.773grp.com/manufacturer/onsemi?pageNo=588", "ON Semiconductor")</f>
        <v>ON Semiconductor</v>
      </c>
      <c r="C39880" s="6">
        <v>7485</v>
      </c>
      <c r="D39880" s="7">
        <v>3.09</v>
      </c>
      <c r="E39880" t="s">
        <v>7</v>
      </c>
    </row>
    <row r="39881" spans="1:5" x14ac:dyDescent="0.25">
      <c r="A39881" t="str">
        <f>HYPERLINK("https://www.773grp.com/globalSearch/NGTB25N120IHLWG/page-1", "NGTB25N120IHLWG")</f>
        <v>NGTB25N120IHLWG</v>
      </c>
      <c r="B39881" s="3" t="str">
        <f>HYPERLINK("https://www.773grp.com/manufacturer/onsemi?pageNo=589", "ON Semiconductor")</f>
        <v>ON Semiconductor</v>
      </c>
      <c r="C39881" s="6">
        <v>550</v>
      </c>
      <c r="D39881" s="7">
        <v>3.09</v>
      </c>
    </row>
    <row r="39882" spans="1:5" x14ac:dyDescent="0.25">
      <c r="A39882" t="str">
        <f>HYPERLINK("https://www.773grp.com/globalSearch/NLMD5820MUTAG/page-1", "NLMD5820MUTAG")</f>
        <v>NLMD5820MUTAG</v>
      </c>
      <c r="B39882" s="3" t="str">
        <f>HYPERLINK("https://www.773grp.com/manufacturer/onsemi?pageNo=590", "ON Semiconductor")</f>
        <v>ON Semiconductor</v>
      </c>
      <c r="C39882" s="6">
        <v>6000</v>
      </c>
      <c r="D39882" s="7">
        <v>3.09</v>
      </c>
      <c r="E39882" t="s">
        <v>18</v>
      </c>
    </row>
    <row r="39883" spans="1:5" x14ac:dyDescent="0.25">
      <c r="A39883" t="str">
        <f>HYPERLINK("https://www.773grp.com/globalSearch/NLV14551BDR2G/page-1", "NLV14551BDR2G")</f>
        <v>NLV14551BDR2G</v>
      </c>
      <c r="B39883" s="3" t="str">
        <f>HYPERLINK("https://www.773grp.com/manufacturer/onsemi?pageNo=591", "ON Semiconductor")</f>
        <v>ON Semiconductor</v>
      </c>
      <c r="C39883" s="6">
        <v>1248</v>
      </c>
      <c r="D39883" s="7">
        <v>3.09</v>
      </c>
    </row>
    <row r="39884" spans="1:5" x14ac:dyDescent="0.25">
      <c r="A39884" t="str">
        <f>HYPERLINK("https://www.773grp.com/globalSearch/NTP52N10G/page-1", "NTP52N10G")</f>
        <v>NTP52N10G</v>
      </c>
      <c r="B39884" s="3" t="str">
        <f>HYPERLINK("https://www.773grp.com/manufacturer/onsemi?pageNo=592", "ON Semiconductor")</f>
        <v>ON Semiconductor</v>
      </c>
      <c r="C39884" s="6">
        <v>2150</v>
      </c>
      <c r="D39884" s="7">
        <v>3.09</v>
      </c>
      <c r="E39884" t="s">
        <v>105</v>
      </c>
    </row>
    <row r="39885" spans="1:5" x14ac:dyDescent="0.25">
      <c r="A39885" t="str">
        <f>HYPERLINK("https://www.773grp.com/globalSearch/NTP5426NG/page-1", "NTP5426NG")</f>
        <v>NTP5426NG</v>
      </c>
      <c r="B39885" s="3" t="str">
        <f>HYPERLINK("https://www.773grp.com/manufacturer/onsemi?pageNo=593", "ON Semiconductor")</f>
        <v>ON Semiconductor</v>
      </c>
      <c r="C39885" s="6">
        <v>38862</v>
      </c>
      <c r="D39885" s="7">
        <v>3.09</v>
      </c>
    </row>
    <row r="39886" spans="1:5" x14ac:dyDescent="0.25">
      <c r="A39886" t="str">
        <f>HYPERLINK("https://www.773grp.com/globalSearch/SA572D/page-1", "SA572D")</f>
        <v>SA572D</v>
      </c>
      <c r="B39886" s="3" t="str">
        <f>HYPERLINK("https://www.773grp.com/manufacturer/onsemi?pageNo=594", "ON Semiconductor")</f>
        <v>ON Semiconductor</v>
      </c>
      <c r="C39886" s="6">
        <v>8736</v>
      </c>
      <c r="D39886" s="7">
        <v>3.09</v>
      </c>
      <c r="E39886" t="s">
        <v>118</v>
      </c>
    </row>
    <row r="39887" spans="1:5" x14ac:dyDescent="0.25">
      <c r="A39887" t="str">
        <f>HYPERLINK("https://www.773grp.com/globalSearch/SA572DR2/page-1", "SA572DR2")</f>
        <v>SA572DR2</v>
      </c>
      <c r="B39887" s="3" t="str">
        <f>HYPERLINK("https://www.773grp.com/manufacturer/onsemi?pageNo=595", "ON Semiconductor")</f>
        <v>ON Semiconductor</v>
      </c>
      <c r="C39887" s="6">
        <v>72000</v>
      </c>
      <c r="D39887" s="7">
        <v>3.09</v>
      </c>
      <c r="E39887" t="s">
        <v>118</v>
      </c>
    </row>
    <row r="39888" spans="1:5" x14ac:dyDescent="0.25">
      <c r="A39888" t="str">
        <f>HYPERLINK("https://www.773grp.com/globalSearch/STB4N80ET4/page-1", "STB4N80ET4")</f>
        <v>STB4N80ET4</v>
      </c>
      <c r="B39888" s="3" t="str">
        <f>HYPERLINK("https://www.773grp.com/manufacturer/onsemi?pageNo=596", "ON Semiconductor")</f>
        <v>ON Semiconductor</v>
      </c>
      <c r="C39888" s="6">
        <v>38400</v>
      </c>
      <c r="D39888" s="7">
        <v>3.09</v>
      </c>
    </row>
    <row r="39889" spans="1:5" x14ac:dyDescent="0.25">
      <c r="A39889" t="str">
        <f>HYPERLINK("https://www.773grp.com/globalSearch/CS5422GDWFR24/page-1", "CS5422GDWFR24")</f>
        <v>CS5422GDWFR24</v>
      </c>
      <c r="B39889" s="3" t="str">
        <f>HYPERLINK("https://www.773grp.com/manufacturer/onsemi?pageNo=597", "ON Semiconductor")</f>
        <v>ON Semiconductor</v>
      </c>
      <c r="C39889" s="6">
        <v>1000</v>
      </c>
      <c r="D39889" s="7">
        <v>3.13</v>
      </c>
      <c r="E39889" t="s">
        <v>7</v>
      </c>
    </row>
    <row r="39890" spans="1:5" x14ac:dyDescent="0.25">
      <c r="A39890" t="str">
        <f>HYPERLINK("https://www.773grp.com/globalSearch/MC10101FN/page-1", "MC10101FN")</f>
        <v>MC10101FN</v>
      </c>
      <c r="B39890" s="3" t="str">
        <f>HYPERLINK("https://www.773grp.com/manufacturer/onsemi?pageNo=598", "ON Semiconductor")</f>
        <v>ON Semiconductor</v>
      </c>
      <c r="C39890" s="6">
        <v>273</v>
      </c>
      <c r="D39890" s="7">
        <v>3.13</v>
      </c>
      <c r="E39890" t="s">
        <v>31</v>
      </c>
    </row>
    <row r="39891" spans="1:5" x14ac:dyDescent="0.25">
      <c r="A39891" t="str">
        <f>HYPERLINK("https://www.773grp.com/globalSearch/MC10101FNR2/page-1", "MC10101FNR2")</f>
        <v>MC10101FNR2</v>
      </c>
      <c r="B39891" s="3" t="str">
        <f>HYPERLINK("https://www.773grp.com/manufacturer/onsemi?pageNo=599", "ON Semiconductor")</f>
        <v>ON Semiconductor</v>
      </c>
      <c r="C39891" s="6">
        <v>18500</v>
      </c>
      <c r="D39891" s="7">
        <v>3.13</v>
      </c>
      <c r="E39891" t="s">
        <v>31</v>
      </c>
    </row>
    <row r="39892" spans="1:5" x14ac:dyDescent="0.25">
      <c r="A39892" t="str">
        <f>HYPERLINK("https://www.773grp.com/globalSearch/MC10102FN/page-1", "MC10102FN")</f>
        <v>MC10102FN</v>
      </c>
      <c r="B39892" s="3" t="str">
        <f>HYPERLINK("https://www.773grp.com/manufacturer/onsemi?pageNo=600", "ON Semiconductor")</f>
        <v>ON Semiconductor</v>
      </c>
      <c r="C39892" s="6">
        <v>31</v>
      </c>
      <c r="D39892" s="7">
        <v>3.13</v>
      </c>
      <c r="E39892" t="s">
        <v>31</v>
      </c>
    </row>
    <row r="39893" spans="1:5" x14ac:dyDescent="0.25">
      <c r="A39893" t="str">
        <f>HYPERLINK("https://www.773grp.com/globalSearch/MC10102FNR2/page-1", "MC10102FNR2")</f>
        <v>MC10102FNR2</v>
      </c>
      <c r="B39893" s="3" t="str">
        <f>HYPERLINK("https://www.773grp.com/manufacturer/onsemi?pageNo=601", "ON Semiconductor")</f>
        <v>ON Semiconductor</v>
      </c>
      <c r="C39893" s="6">
        <v>500</v>
      </c>
      <c r="D39893" s="7">
        <v>3.13</v>
      </c>
      <c r="E39893" t="s">
        <v>31</v>
      </c>
    </row>
    <row r="39894" spans="1:5" x14ac:dyDescent="0.25">
      <c r="A39894" t="str">
        <f>HYPERLINK("https://www.773grp.com/globalSearch/MC10103FN/page-1", "MC10103FN")</f>
        <v>MC10103FN</v>
      </c>
      <c r="B39894" s="3" t="str">
        <f>HYPERLINK("https://www.773grp.com/manufacturer/onsemi?pageNo=602", "ON Semiconductor")</f>
        <v>ON Semiconductor</v>
      </c>
      <c r="C39894" s="6">
        <v>2693</v>
      </c>
      <c r="D39894" s="7">
        <v>3.13</v>
      </c>
      <c r="E39894" t="s">
        <v>31</v>
      </c>
    </row>
    <row r="39895" spans="1:5" x14ac:dyDescent="0.25">
      <c r="A39895" t="str">
        <f>HYPERLINK("https://www.773grp.com/globalSearch/MC10104FN/page-1", "MC10104FN")</f>
        <v>MC10104FN</v>
      </c>
      <c r="B39895" s="3" t="str">
        <f>HYPERLINK("https://www.773grp.com/manufacturer/onsemi?pageNo=603", "ON Semiconductor")</f>
        <v>ON Semiconductor</v>
      </c>
      <c r="C39895" s="6">
        <v>1030</v>
      </c>
      <c r="D39895" s="7">
        <v>3.13</v>
      </c>
      <c r="E39895" t="s">
        <v>31</v>
      </c>
    </row>
    <row r="39896" spans="1:5" x14ac:dyDescent="0.25">
      <c r="A39896" t="str">
        <f>HYPERLINK("https://www.773grp.com/globalSearch/MC10104FNR2/page-1", "MC10104FNR2")</f>
        <v>MC10104FNR2</v>
      </c>
      <c r="B39896" s="3" t="str">
        <f>HYPERLINK("https://www.773grp.com/manufacturer/onsemi?pageNo=604", "ON Semiconductor")</f>
        <v>ON Semiconductor</v>
      </c>
      <c r="C39896" s="6">
        <v>5000</v>
      </c>
      <c r="D39896" s="7">
        <v>3.13</v>
      </c>
      <c r="E39896" t="s">
        <v>31</v>
      </c>
    </row>
    <row r="39897" spans="1:5" x14ac:dyDescent="0.25">
      <c r="A39897" t="str">
        <f>HYPERLINK("https://www.773grp.com/globalSearch/MC10105FN/page-1", "MC10105FN")</f>
        <v>MC10105FN</v>
      </c>
      <c r="B39897" s="3" t="str">
        <f>HYPERLINK("https://www.773grp.com/manufacturer/onsemi?pageNo=605", "ON Semiconductor")</f>
        <v>ON Semiconductor</v>
      </c>
      <c r="C39897" s="6">
        <v>6670</v>
      </c>
      <c r="D39897" s="7">
        <v>3.13</v>
      </c>
      <c r="E39897" t="s">
        <v>31</v>
      </c>
    </row>
    <row r="39898" spans="1:5" x14ac:dyDescent="0.25">
      <c r="A39898" t="str">
        <f>HYPERLINK("https://www.773grp.com/globalSearch/MC10105FNR2/page-1", "MC10105FNR2")</f>
        <v>MC10105FNR2</v>
      </c>
      <c r="B39898" s="3" t="str">
        <f>HYPERLINK("https://www.773grp.com/manufacturer/onsemi?pageNo=606", "ON Semiconductor")</f>
        <v>ON Semiconductor</v>
      </c>
      <c r="C39898" s="6">
        <v>8500</v>
      </c>
      <c r="D39898" s="7">
        <v>3.13</v>
      </c>
      <c r="E39898" t="s">
        <v>31</v>
      </c>
    </row>
    <row r="39899" spans="1:5" x14ac:dyDescent="0.25">
      <c r="A39899" t="str">
        <f>HYPERLINK("https://www.773grp.com/globalSearch/MC10107FN/page-1", "MC10107FN")</f>
        <v>MC10107FN</v>
      </c>
      <c r="B39899" s="3" t="str">
        <f>HYPERLINK("https://www.773grp.com/manufacturer/onsemi?pageNo=607", "ON Semiconductor")</f>
        <v>ON Semiconductor</v>
      </c>
      <c r="C39899" s="6">
        <v>3393</v>
      </c>
      <c r="D39899" s="7">
        <v>3.13</v>
      </c>
      <c r="E39899" t="s">
        <v>31</v>
      </c>
    </row>
    <row r="39900" spans="1:5" x14ac:dyDescent="0.25">
      <c r="A39900" t="str">
        <f>HYPERLINK("https://www.773grp.com/globalSearch/MC10113FN/page-1", "MC10113FN")</f>
        <v>MC10113FN</v>
      </c>
      <c r="B39900" s="3" t="str">
        <f>HYPERLINK("https://www.773grp.com/manufacturer/onsemi?pageNo=608", "ON Semiconductor")</f>
        <v>ON Semiconductor</v>
      </c>
      <c r="C39900" s="6">
        <v>3128</v>
      </c>
      <c r="D39900" s="7">
        <v>3.13</v>
      </c>
      <c r="E39900" t="s">
        <v>31</v>
      </c>
    </row>
    <row r="39901" spans="1:5" x14ac:dyDescent="0.25">
      <c r="A39901" t="str">
        <f>HYPERLINK("https://www.773grp.com/globalSearch/MC10113FNR2/page-1", "MC10113FNR2")</f>
        <v>MC10113FNR2</v>
      </c>
      <c r="B39901" s="3" t="str">
        <f>HYPERLINK("https://www.773grp.com/manufacturer/onsemi?pageNo=609", "ON Semiconductor")</f>
        <v>ON Semiconductor</v>
      </c>
      <c r="C39901" s="6">
        <v>2500</v>
      </c>
      <c r="D39901" s="7">
        <v>3.13</v>
      </c>
      <c r="E39901" t="s">
        <v>31</v>
      </c>
    </row>
    <row r="39902" spans="1:5" x14ac:dyDescent="0.25">
      <c r="A39902" t="str">
        <f>HYPERLINK("https://www.773grp.com/globalSearch/MC10115FN/page-1", "MC10115FN")</f>
        <v>MC10115FN</v>
      </c>
      <c r="B39902" s="3" t="str">
        <f>HYPERLINK("https://www.773grp.com/manufacturer/onsemi?pageNo=610", "ON Semiconductor")</f>
        <v>ON Semiconductor</v>
      </c>
      <c r="C39902" s="6">
        <v>72</v>
      </c>
      <c r="D39902" s="7">
        <v>3.13</v>
      </c>
      <c r="E39902" t="s">
        <v>21</v>
      </c>
    </row>
    <row r="39903" spans="1:5" x14ac:dyDescent="0.25">
      <c r="A39903" t="str">
        <f>HYPERLINK("https://www.773grp.com/globalSearch/MC10115FNR2/page-1", "MC10115FNR2")</f>
        <v>MC10115FNR2</v>
      </c>
      <c r="B39903" s="3" t="str">
        <f>HYPERLINK("https://www.773grp.com/manufacturer/onsemi?pageNo=611", "ON Semiconductor")</f>
        <v>ON Semiconductor</v>
      </c>
      <c r="C39903" s="6">
        <v>61700</v>
      </c>
      <c r="D39903" s="7">
        <v>3.13</v>
      </c>
      <c r="E39903" t="s">
        <v>21</v>
      </c>
    </row>
    <row r="39904" spans="1:5" x14ac:dyDescent="0.25">
      <c r="A39904" t="str">
        <f>HYPERLINK("https://www.773grp.com/globalSearch/MC34167THG/page-1", "MC34167THG")</f>
        <v>MC34167THG</v>
      </c>
      <c r="B39904" s="3" t="str">
        <f>HYPERLINK("https://www.773grp.com/manufacturer/onsemi?pageNo=612", "ON Semiconductor")</f>
        <v>ON Semiconductor</v>
      </c>
      <c r="C39904" s="6">
        <v>514</v>
      </c>
      <c r="D39904" s="7">
        <v>3.13</v>
      </c>
      <c r="E39904" t="s">
        <v>7</v>
      </c>
    </row>
    <row r="39905" spans="1:5" x14ac:dyDescent="0.25">
      <c r="A39905" t="str">
        <f>HYPERLINK("https://www.773grp.com/globalSearch/N01L83W2AT25IT/page-1", "N01L83W2AT25IT")</f>
        <v>N01L83W2AT25IT</v>
      </c>
      <c r="B39905" s="3" t="str">
        <f>HYPERLINK("https://www.773grp.com/manufacturer/onsemi?pageNo=613", "ON Semiconductor")</f>
        <v>ON Semiconductor</v>
      </c>
      <c r="C39905" s="6">
        <v>27000</v>
      </c>
      <c r="D39905" s="7">
        <v>3.13</v>
      </c>
      <c r="E39905" t="s">
        <v>75</v>
      </c>
    </row>
    <row r="39906" spans="1:5" x14ac:dyDescent="0.25">
      <c r="A39906" t="str">
        <f>HYPERLINK("https://www.773grp.com/globalSearch/N01L83W2AT25IT/page-1", "N01L83W2AT25IT")</f>
        <v>N01L83W2AT25IT</v>
      </c>
      <c r="B39906" s="3" t="str">
        <f>HYPERLINK("https://www.773grp.com/manufacturer/onsemi?pageNo=614", "ON Semiconductor")</f>
        <v>ON Semiconductor</v>
      </c>
      <c r="C39906" s="6">
        <v>17000</v>
      </c>
      <c r="D39906" s="7">
        <v>3.13</v>
      </c>
      <c r="E39906" t="s">
        <v>75</v>
      </c>
    </row>
    <row r="39907" spans="1:5" x14ac:dyDescent="0.25">
      <c r="A39907" t="str">
        <f>HYPERLINK("https://www.773grp.com/globalSearch/NCP81005MNTWG/page-1", "NCP81005MNTWG")</f>
        <v>NCP81005MNTWG</v>
      </c>
      <c r="B39907" s="3" t="str">
        <f>HYPERLINK("https://www.773grp.com/manufacturer/onsemi?pageNo=615", "ON Semiconductor")</f>
        <v>ON Semiconductor</v>
      </c>
      <c r="C39907" s="6">
        <v>12500</v>
      </c>
      <c r="D39907" s="7">
        <v>3.13</v>
      </c>
    </row>
    <row r="39908" spans="1:5" x14ac:dyDescent="0.25">
      <c r="A39908" t="str">
        <f>HYPERLINK("https://www.773grp.com/globalSearch/CAT25128XE/page-1", "CAT25128XE")</f>
        <v>CAT25128XE</v>
      </c>
      <c r="B39908" s="3" t="str">
        <f>HYPERLINK("https://www.773grp.com/manufacturer/onsemi?pageNo=616", "ON Semiconductor")</f>
        <v>ON Semiconductor</v>
      </c>
      <c r="C39908" s="6">
        <v>6608</v>
      </c>
      <c r="D39908" s="7">
        <v>3.48</v>
      </c>
    </row>
    <row r="39909" spans="1:5" x14ac:dyDescent="0.25">
      <c r="A39909" t="str">
        <f>HYPERLINK("https://www.773grp.com/globalSearch/IRF830/page-1", "IRF830")</f>
        <v>IRF830</v>
      </c>
      <c r="B39909" s="3" t="str">
        <f>HYPERLINK("https://www.773grp.com/manufacturer/onsemi?pageNo=617", "ON Semiconductor")</f>
        <v>ON Semiconductor</v>
      </c>
      <c r="C39909" s="6">
        <v>523</v>
      </c>
      <c r="D39909" s="7">
        <v>3.48</v>
      </c>
      <c r="E39909" t="s">
        <v>105</v>
      </c>
    </row>
    <row r="39910" spans="1:5" x14ac:dyDescent="0.25">
      <c r="A39910" t="str">
        <f>HYPERLINK("https://www.773grp.com/globalSearch/LB1936V-TLM-E/page-1", "LB1936V-TLM-E")</f>
        <v>LB1936V-TLM-E</v>
      </c>
      <c r="B39910" s="3" t="str">
        <f>HYPERLINK("https://www.773grp.com/manufacturer/onsemi?pageNo=618", "ON Semiconductor")</f>
        <v>ON Semiconductor</v>
      </c>
      <c r="C39910" s="6">
        <v>2000</v>
      </c>
      <c r="D39910" s="7">
        <v>3.48</v>
      </c>
    </row>
    <row r="39911" spans="1:5" x14ac:dyDescent="0.25">
      <c r="A39911" t="str">
        <f>HYPERLINK("https://www.773grp.com/globalSearch/LC89057W-VF4AD-E/page-1", "LC89057W-VF4AD-E")</f>
        <v>LC89057W-VF4AD-E</v>
      </c>
      <c r="B39911" s="3" t="str">
        <f>HYPERLINK("https://www.773grp.com/manufacturer/onsemi?pageNo=619", "ON Semiconductor")</f>
        <v>ON Semiconductor</v>
      </c>
      <c r="C39911" s="6">
        <v>7000</v>
      </c>
      <c r="D39911" s="7">
        <v>3.48</v>
      </c>
    </row>
    <row r="39912" spans="1:5" x14ac:dyDescent="0.25">
      <c r="A39912" t="str">
        <f>HYPERLINK("https://www.773grp.com/globalSearch/LM2575T-005/page-1", "LM2575T-005")</f>
        <v>LM2575T-005</v>
      </c>
      <c r="B39912" s="3" t="str">
        <f>HYPERLINK("https://www.773grp.com/manufacturer/onsemi?pageNo=620", "ON Semiconductor")</f>
        <v>ON Semiconductor</v>
      </c>
      <c r="C39912" s="6">
        <v>4505</v>
      </c>
      <c r="D39912" s="7">
        <v>3.48</v>
      </c>
      <c r="E39912" t="s">
        <v>7</v>
      </c>
    </row>
    <row r="39913" spans="1:5" x14ac:dyDescent="0.25">
      <c r="A39913" t="str">
        <f>HYPERLINK("https://www.773grp.com/globalSearch/LM2575T-ADJ/page-1", "LM2575T-ADJ")</f>
        <v>LM2575T-ADJ</v>
      </c>
      <c r="B39913" s="3" t="str">
        <f>HYPERLINK("https://www.773grp.com/manufacturer/onsemi?pageNo=621", "ON Semiconductor")</f>
        <v>ON Semiconductor</v>
      </c>
      <c r="C39913" s="6">
        <v>161010</v>
      </c>
      <c r="D39913" s="7">
        <v>3.48</v>
      </c>
      <c r="E39913" t="s">
        <v>7</v>
      </c>
    </row>
    <row r="39914" spans="1:5" x14ac:dyDescent="0.25">
      <c r="A39914" t="str">
        <f>HYPERLINK("https://www.773grp.com/globalSearch/LM2575TV-ADJ/page-1", "LM2575TV-ADJ")</f>
        <v>LM2575TV-ADJ</v>
      </c>
      <c r="B39914" s="3" t="str">
        <f>HYPERLINK("https://www.773grp.com/manufacturer/onsemi?pageNo=622", "ON Semiconductor")</f>
        <v>ON Semiconductor</v>
      </c>
      <c r="C39914" s="6">
        <v>10</v>
      </c>
      <c r="D39914" s="7">
        <v>3.48</v>
      </c>
      <c r="E39914" t="s">
        <v>7</v>
      </c>
    </row>
    <row r="39915" spans="1:5" x14ac:dyDescent="0.25">
      <c r="A39915" t="str">
        <f>HYPERLINK("https://www.773grp.com/globalSearch/LM2576T-15G/page-1", "LM2576T-15G")</f>
        <v>LM2576T-15G</v>
      </c>
      <c r="B39915" s="3" t="str">
        <f>HYPERLINK("https://www.773grp.com/manufacturer/onsemi?pageNo=623", "ON Semiconductor")</f>
        <v>ON Semiconductor</v>
      </c>
      <c r="C39915" s="6">
        <v>800</v>
      </c>
      <c r="D39915" s="7">
        <v>3.48</v>
      </c>
      <c r="E39915" t="s">
        <v>7</v>
      </c>
    </row>
    <row r="39916" spans="1:5" x14ac:dyDescent="0.25">
      <c r="A39916" t="str">
        <f>HYPERLINK("https://www.773grp.com/globalSearch/LM2576TV-015G/page-1", "LM2576TV-015G")</f>
        <v>LM2576TV-015G</v>
      </c>
      <c r="B39916" s="3" t="str">
        <f>HYPERLINK("https://www.773grp.com/manufacturer/onsemi?pageNo=624", "ON Semiconductor")</f>
        <v>ON Semiconductor</v>
      </c>
      <c r="C39916" s="6">
        <v>19100</v>
      </c>
      <c r="D39916" s="7">
        <v>3.48</v>
      </c>
      <c r="E39916" t="s">
        <v>7</v>
      </c>
    </row>
    <row r="39917" spans="1:5" x14ac:dyDescent="0.25">
      <c r="A39917" t="str">
        <f>HYPERLINK("https://www.773grp.com/globalSearch/LV58061MX-TLM-H/page-1", "LV58061MX-TLM-H")</f>
        <v>LV58061MX-TLM-H</v>
      </c>
      <c r="B39917" s="3" t="str">
        <f>HYPERLINK("https://www.773grp.com/manufacturer/onsemi?pageNo=625", "ON Semiconductor")</f>
        <v>ON Semiconductor</v>
      </c>
      <c r="C39917" s="6">
        <v>1000</v>
      </c>
      <c r="D39917" s="7">
        <v>3.48</v>
      </c>
    </row>
    <row r="39918" spans="1:5" x14ac:dyDescent="0.25">
      <c r="A39918" t="str">
        <f>HYPERLINK("https://www.773grp.com/globalSearch/MBR41H100CTG/page-1", "MBR41H100CTG")</f>
        <v>MBR41H100CTG</v>
      </c>
      <c r="B39918" s="3" t="str">
        <f>HYPERLINK("https://www.773grp.com/manufacturer/onsemi?pageNo=626", "ON Semiconductor")</f>
        <v>ON Semiconductor</v>
      </c>
      <c r="C39918" s="6">
        <v>389692</v>
      </c>
      <c r="D39918" s="7">
        <v>3.48</v>
      </c>
      <c r="E39918" t="s">
        <v>103</v>
      </c>
    </row>
    <row r="39919" spans="1:5" x14ac:dyDescent="0.25">
      <c r="A39919" t="str">
        <f>HYPERLINK("https://www.773grp.com/globalSearch/MBR41H100CTH/page-1", "MBR41H100CTH")</f>
        <v>MBR41H100CTH</v>
      </c>
      <c r="B39919" s="3" t="str">
        <f>HYPERLINK("https://www.773grp.com/manufacturer/onsemi?pageNo=627", "ON Semiconductor")</f>
        <v>ON Semiconductor</v>
      </c>
      <c r="C39919" s="6">
        <v>2800</v>
      </c>
      <c r="D39919" s="7">
        <v>3.48</v>
      </c>
    </row>
    <row r="39920" spans="1:5" x14ac:dyDescent="0.25">
      <c r="A39920" t="str">
        <f>HYPERLINK("https://www.773grp.com/globalSearch/MBRB20H100CTT4G/page-1", "MBRB20H100CTT4G")</f>
        <v>MBRB20H100CTT4G</v>
      </c>
      <c r="B39920" s="3" t="str">
        <f>HYPERLINK("https://www.773grp.com/manufacturer/onsemi?pageNo=628", "ON Semiconductor")</f>
        <v>ON Semiconductor</v>
      </c>
      <c r="C39920" s="6">
        <v>1425</v>
      </c>
      <c r="D39920" s="7">
        <v>3.48</v>
      </c>
      <c r="E39920" t="s">
        <v>103</v>
      </c>
    </row>
    <row r="39921" spans="1:5" x14ac:dyDescent="0.25">
      <c r="A39921" t="str">
        <f>HYPERLINK("https://www.773grp.com/globalSearch/MC10111L/page-1", "MC10111L")</f>
        <v>MC10111L</v>
      </c>
      <c r="B39921" s="3" t="str">
        <f>HYPERLINK("https://www.773grp.com/manufacturer/onsemi?pageNo=629", "ON Semiconductor")</f>
        <v>ON Semiconductor</v>
      </c>
      <c r="C39921" s="6">
        <v>489</v>
      </c>
      <c r="D39921" s="7">
        <v>3.48</v>
      </c>
      <c r="E39921" t="s">
        <v>31</v>
      </c>
    </row>
    <row r="39922" spans="1:5" x14ac:dyDescent="0.25">
      <c r="A39922" t="str">
        <f>HYPERLINK("https://www.773grp.com/globalSearch/MJW3281A/page-1", "MJW3281A")</f>
        <v>MJW3281A</v>
      </c>
      <c r="B39922" s="3" t="str">
        <f>HYPERLINK("https://www.773grp.com/manufacturer/onsemi?pageNo=630", "ON Semiconductor")</f>
        <v>ON Semiconductor</v>
      </c>
      <c r="C39922" s="6">
        <v>219</v>
      </c>
      <c r="D39922" s="7">
        <v>3.48</v>
      </c>
      <c r="E39922" t="s">
        <v>59</v>
      </c>
    </row>
    <row r="39923" spans="1:5" x14ac:dyDescent="0.25">
      <c r="A39923" t="str">
        <f>HYPERLINK("https://www.773grp.com/globalSearch/NCP1653P/page-1", "NCP1653P")</f>
        <v>NCP1653P</v>
      </c>
      <c r="B39923" s="3" t="str">
        <f>HYPERLINK("https://www.773grp.com/manufacturer/onsemi?pageNo=631", "ON Semiconductor")</f>
        <v>ON Semiconductor</v>
      </c>
      <c r="C39923" s="6">
        <v>27</v>
      </c>
      <c r="D39923" s="7">
        <v>3.48</v>
      </c>
      <c r="E39923" t="s">
        <v>7</v>
      </c>
    </row>
    <row r="39924" spans="1:5" x14ac:dyDescent="0.25">
      <c r="A39924" t="str">
        <f>HYPERLINK("https://www.773grp.com/globalSearch/NCP5425DBG/page-1", "NCP5425DBG")</f>
        <v>NCP5425DBG</v>
      </c>
      <c r="B39924" s="3" t="str">
        <f>HYPERLINK("https://www.773grp.com/manufacturer/onsemi?pageNo=632", "ON Semiconductor")</f>
        <v>ON Semiconductor</v>
      </c>
      <c r="C39924" s="6">
        <v>38</v>
      </c>
      <c r="D39924" s="7">
        <v>3.48</v>
      </c>
    </row>
    <row r="39925" spans="1:5" x14ac:dyDescent="0.25">
      <c r="A39925" t="str">
        <f>HYPERLINK("https://www.773grp.com/globalSearch/NCV4275DTRKG/page-1", "NCV4275DTRKG")</f>
        <v>NCV4275DTRKG</v>
      </c>
      <c r="B39925" s="3" t="str">
        <f>HYPERLINK("https://www.773grp.com/manufacturer/onsemi?pageNo=633", "ON Semiconductor")</f>
        <v>ON Semiconductor</v>
      </c>
      <c r="C39925" s="6">
        <v>2500</v>
      </c>
      <c r="D39925" s="7">
        <v>3.48</v>
      </c>
      <c r="E39925" t="s">
        <v>19</v>
      </c>
    </row>
    <row r="39926" spans="1:5" x14ac:dyDescent="0.25">
      <c r="A39926" t="str">
        <f>HYPERLINK("https://www.773grp.com/globalSearch/NCV4949DWR2G/page-1", "NCV4949DWR2G")</f>
        <v>NCV4949DWR2G</v>
      </c>
      <c r="B39926" s="3" t="str">
        <f>HYPERLINK("https://www.773grp.com/manufacturer/onsemi?pageNo=634", "ON Semiconductor")</f>
        <v>ON Semiconductor</v>
      </c>
      <c r="C39926" s="6">
        <v>5880</v>
      </c>
      <c r="D39926" s="7">
        <v>3.48</v>
      </c>
      <c r="E39926" t="s">
        <v>19</v>
      </c>
    </row>
    <row r="39927" spans="1:5" x14ac:dyDescent="0.25">
      <c r="A39927" t="str">
        <f>HYPERLINK("https://www.773grp.com/globalSearch/CS8121YTVA5/page-1", "CS8121YTVA5")</f>
        <v>CS8121YTVA5</v>
      </c>
      <c r="B39927" s="3" t="str">
        <f>HYPERLINK("https://www.773grp.com/manufacturer/onsemi?pageNo=635", "ON Semiconductor")</f>
        <v>ON Semiconductor</v>
      </c>
      <c r="C39927" s="6">
        <v>2550</v>
      </c>
      <c r="D39927" s="7">
        <v>3.15</v>
      </c>
      <c r="E39927" t="s">
        <v>19</v>
      </c>
    </row>
    <row r="39928" spans="1:5" x14ac:dyDescent="0.25">
      <c r="A39928" t="str">
        <f>HYPERLINK("https://www.773grp.com/globalSearch/CS8361YDWF16G/page-1", "CS8361YDWF16G")</f>
        <v>CS8361YDWF16G</v>
      </c>
      <c r="B39928" s="3" t="str">
        <f>HYPERLINK("https://www.773grp.com/manufacturer/onsemi?pageNo=636", "ON Semiconductor")</f>
        <v>ON Semiconductor</v>
      </c>
      <c r="C39928" s="6">
        <v>2522</v>
      </c>
      <c r="D39928" s="7">
        <v>3.15</v>
      </c>
      <c r="E39928" t="s">
        <v>44</v>
      </c>
    </row>
    <row r="39929" spans="1:5" x14ac:dyDescent="0.25">
      <c r="A39929" t="str">
        <f>HYPERLINK("https://www.773grp.com/globalSearch/LC75857E-E/page-1", "LC75857E-E")</f>
        <v>LC75857E-E</v>
      </c>
      <c r="B39929" s="3" t="str">
        <f>HYPERLINK("https://www.773grp.com/manufacturer/onsemi?pageNo=637", "ON Semiconductor")</f>
        <v>ON Semiconductor</v>
      </c>
      <c r="C39929" s="6">
        <v>5220</v>
      </c>
      <c r="D39929" s="7">
        <v>3.15</v>
      </c>
    </row>
    <row r="39930" spans="1:5" x14ac:dyDescent="0.25">
      <c r="A39930" t="str">
        <f>HYPERLINK("https://www.773grp.com/globalSearch/LV5068V-MPB-H/page-1", "LV5068V-MPB-H")</f>
        <v>LV5068V-MPB-H</v>
      </c>
      <c r="B39930" s="3" t="str">
        <f>HYPERLINK("https://www.773grp.com/manufacturer/onsemi?pageNo=638", "ON Semiconductor")</f>
        <v>ON Semiconductor</v>
      </c>
      <c r="C39930" s="6">
        <v>90</v>
      </c>
      <c r="D39930" s="7">
        <v>3.15</v>
      </c>
    </row>
    <row r="39931" spans="1:5" x14ac:dyDescent="0.25">
      <c r="A39931" t="str">
        <f>HYPERLINK("https://www.773grp.com/globalSearch/MAX811REUS-T/page-1", "MAX811REUS-T")</f>
        <v>MAX811REUS-T</v>
      </c>
      <c r="B39931" s="3" t="str">
        <f>HYPERLINK("https://www.773grp.com/manufacturer/onsemi?pageNo=639", "ON Semiconductor")</f>
        <v>ON Semiconductor</v>
      </c>
      <c r="C39931" s="6">
        <v>142615</v>
      </c>
      <c r="D39931" s="7">
        <v>3.15</v>
      </c>
      <c r="E39931" t="s">
        <v>30</v>
      </c>
    </row>
    <row r="39932" spans="1:5" x14ac:dyDescent="0.25">
      <c r="A39932" t="str">
        <f>HYPERLINK("https://www.773grp.com/globalSearch/MC10165P/page-1", "MC10165P")</f>
        <v>MC10165P</v>
      </c>
      <c r="B39932" s="3" t="str">
        <f>HYPERLINK("https://www.773grp.com/manufacturer/onsemi?pageNo=640", "ON Semiconductor")</f>
        <v>ON Semiconductor</v>
      </c>
      <c r="C39932" s="6">
        <v>175</v>
      </c>
      <c r="D39932" s="7">
        <v>3.15</v>
      </c>
      <c r="E39932" t="s">
        <v>43</v>
      </c>
    </row>
    <row r="39933" spans="1:5" x14ac:dyDescent="0.25">
      <c r="A39933" t="str">
        <f>HYPERLINK("https://www.773grp.com/globalSearch/MC10166P/page-1", "MC10166P")</f>
        <v>MC10166P</v>
      </c>
      <c r="B39933" s="3" t="str">
        <f>HYPERLINK("https://www.773grp.com/manufacturer/onsemi?pageNo=641", "ON Semiconductor")</f>
        <v>ON Semiconductor</v>
      </c>
      <c r="C39933" s="6">
        <v>1545</v>
      </c>
      <c r="D39933" s="7">
        <v>3.15</v>
      </c>
      <c r="E39933" t="s">
        <v>43</v>
      </c>
    </row>
    <row r="39934" spans="1:5" x14ac:dyDescent="0.25">
      <c r="A39934" t="str">
        <f>HYPERLINK("https://www.773grp.com/globalSearch/MC10H100P/page-1", "MC10H100P")</f>
        <v>MC10H100P</v>
      </c>
      <c r="B39934" s="3" t="str">
        <f>HYPERLINK("https://www.773grp.com/manufacturer/onsemi?pageNo=642", "ON Semiconductor")</f>
        <v>ON Semiconductor</v>
      </c>
      <c r="C39934" s="6">
        <v>1075</v>
      </c>
      <c r="D39934" s="7">
        <v>3.15</v>
      </c>
      <c r="E39934" t="s">
        <v>31</v>
      </c>
    </row>
    <row r="39935" spans="1:5" x14ac:dyDescent="0.25">
      <c r="A39935" t="str">
        <f>HYPERLINK("https://www.773grp.com/globalSearch/MC54HC4053J/page-1", "MC54HC4053J")</f>
        <v>MC54HC4053J</v>
      </c>
      <c r="B39935" s="3" t="str">
        <f>HYPERLINK("https://www.773grp.com/manufacturer/onsemi?pageNo=643", "ON Semiconductor")</f>
        <v>ON Semiconductor</v>
      </c>
      <c r="C39935" s="6">
        <v>957</v>
      </c>
      <c r="D39935" s="7">
        <v>3.15</v>
      </c>
      <c r="E39935" t="s">
        <v>56</v>
      </c>
    </row>
    <row r="39936" spans="1:5" x14ac:dyDescent="0.25">
      <c r="A39936" t="str">
        <f>HYPERLINK("https://www.773grp.com/globalSearch/MC74AC640N/page-1", "MC74AC640N")</f>
        <v>MC74AC640N</v>
      </c>
      <c r="B39936" s="3" t="str">
        <f>HYPERLINK("https://www.773grp.com/manufacturer/onsemi?pageNo=644", "ON Semiconductor")</f>
        <v>ON Semiconductor</v>
      </c>
      <c r="C39936" s="6">
        <v>1484</v>
      </c>
      <c r="D39936" s="7">
        <v>3.15</v>
      </c>
      <c r="E39936" t="s">
        <v>14</v>
      </c>
    </row>
    <row r="39937" spans="1:5" x14ac:dyDescent="0.25">
      <c r="A39937" t="str">
        <f>HYPERLINK("https://www.773grp.com/globalSearch/MPQ6600A1/page-1", "MPQ6600A1")</f>
        <v>MPQ6600A1</v>
      </c>
      <c r="B39937" s="3" t="str">
        <f>HYPERLINK("https://www.773grp.com/manufacturer/onsemi?pageNo=645", "ON Semiconductor")</f>
        <v>ON Semiconductor</v>
      </c>
      <c r="C39937" s="6">
        <v>4890</v>
      </c>
      <c r="D39937" s="7">
        <v>3.15</v>
      </c>
      <c r="E39937" t="s">
        <v>69</v>
      </c>
    </row>
    <row r="39938" spans="1:5" x14ac:dyDescent="0.25">
      <c r="A39938" t="str">
        <f>HYPERLINK("https://www.773grp.com/globalSearch/NCV7361ADG/page-1", "NCV7361ADG")</f>
        <v>NCV7361ADG</v>
      </c>
      <c r="B39938" s="3" t="str">
        <f>HYPERLINK("https://www.773grp.com/manufacturer/onsemi?pageNo=646", "ON Semiconductor")</f>
        <v>ON Semiconductor</v>
      </c>
      <c r="C39938" s="6">
        <v>3867</v>
      </c>
      <c r="D39938" s="7">
        <v>3.15</v>
      </c>
      <c r="E39938" t="s">
        <v>21</v>
      </c>
    </row>
    <row r="39939" spans="1:5" x14ac:dyDescent="0.25">
      <c r="A39939" t="str">
        <f>HYPERLINK("https://www.773grp.com/globalSearch/NCV8505D2T25G/page-1", "NCV8505D2T25G")</f>
        <v>NCV8505D2T25G</v>
      </c>
      <c r="B39939" s="3" t="str">
        <f>HYPERLINK("https://www.773grp.com/manufacturer/onsemi?pageNo=647", "ON Semiconductor")</f>
        <v>ON Semiconductor</v>
      </c>
      <c r="C39939" s="6">
        <v>1150</v>
      </c>
      <c r="D39939" s="7">
        <v>3.15</v>
      </c>
      <c r="E39939" t="s">
        <v>19</v>
      </c>
    </row>
    <row r="39940" spans="1:5" x14ac:dyDescent="0.25">
      <c r="A39940" t="str">
        <f>HYPERLINK("https://www.773grp.com/globalSearch/NCV8505D2T25R4G/page-1", "NCV8505D2T25R4G")</f>
        <v>NCV8505D2T25R4G</v>
      </c>
      <c r="B39940" s="3" t="str">
        <f>HYPERLINK("https://www.773grp.com/manufacturer/onsemi?pageNo=648", "ON Semiconductor")</f>
        <v>ON Semiconductor</v>
      </c>
      <c r="C39940" s="6">
        <v>3295</v>
      </c>
      <c r="D39940" s="7">
        <v>3.15</v>
      </c>
      <c r="E39940" t="s">
        <v>19</v>
      </c>
    </row>
    <row r="39941" spans="1:5" x14ac:dyDescent="0.25">
      <c r="A39941" t="str">
        <f>HYPERLINK("https://www.773grp.com/globalSearch/NCV8505D2T33R4G/page-1", "NCV8505D2T33R4G")</f>
        <v>NCV8505D2T33R4G</v>
      </c>
      <c r="B39941" s="3" t="str">
        <f>HYPERLINK("https://www.773grp.com/manufacturer/onsemi?pageNo=649", "ON Semiconductor")</f>
        <v>ON Semiconductor</v>
      </c>
      <c r="C39941" s="6">
        <v>12000</v>
      </c>
      <c r="D39941" s="7">
        <v>3.15</v>
      </c>
    </row>
    <row r="39942" spans="1:5" x14ac:dyDescent="0.25">
      <c r="A39942" t="str">
        <f>HYPERLINK("https://www.773grp.com/globalSearch/NCV8505D2T50R4G/page-1", "NCV8505D2T50R4G")</f>
        <v>NCV8505D2T50R4G</v>
      </c>
      <c r="B39942" s="3" t="str">
        <f>HYPERLINK("https://www.773grp.com/manufacturer/onsemi?pageNo=650", "ON Semiconductor")</f>
        <v>ON Semiconductor</v>
      </c>
      <c r="C39942" s="6">
        <v>1170</v>
      </c>
      <c r="D39942" s="7">
        <v>3.15</v>
      </c>
      <c r="E39942" t="s">
        <v>19</v>
      </c>
    </row>
    <row r="39943" spans="1:5" x14ac:dyDescent="0.25">
      <c r="A39943" t="str">
        <f>HYPERLINK("https://www.773grp.com/globalSearch/NCV8505D2TADJG/page-1", "NCV8505D2TADJG")</f>
        <v>NCV8505D2TADJG</v>
      </c>
      <c r="B39943" s="3" t="str">
        <f>HYPERLINK("https://www.773grp.com/manufacturer/onsemi?pageNo=651", "ON Semiconductor")</f>
        <v>ON Semiconductor</v>
      </c>
      <c r="C39943" s="6">
        <v>526</v>
      </c>
      <c r="D39943" s="7">
        <v>3.15</v>
      </c>
      <c r="E39943" t="s">
        <v>25</v>
      </c>
    </row>
    <row r="39944" spans="1:5" x14ac:dyDescent="0.25">
      <c r="A39944" t="str">
        <f>HYPERLINK("https://www.773grp.com/globalSearch/NCV8505D2TADJR4/page-1", "NCV8505D2TADJR4")</f>
        <v>NCV8505D2TADJR4</v>
      </c>
      <c r="B39944" s="3" t="str">
        <f>HYPERLINK("https://www.773grp.com/manufacturer/onsemi?pageNo=652", "ON Semiconductor")</f>
        <v>ON Semiconductor</v>
      </c>
      <c r="C39944" s="6">
        <v>546</v>
      </c>
      <c r="D39944" s="7">
        <v>3.15</v>
      </c>
      <c r="E39944" t="s">
        <v>25</v>
      </c>
    </row>
    <row r="39945" spans="1:5" x14ac:dyDescent="0.25">
      <c r="A39945" t="str">
        <f>HYPERLINK("https://www.773grp.com/globalSearch/NCV8505D2TADJR4G/page-1", "NCV8505D2TADJR4G")</f>
        <v>NCV8505D2TADJR4G</v>
      </c>
      <c r="B39945" s="3" t="str">
        <f>HYPERLINK("https://www.773grp.com/manufacturer/onsemi?pageNo=653", "ON Semiconductor")</f>
        <v>ON Semiconductor</v>
      </c>
      <c r="C39945" s="6">
        <v>3003</v>
      </c>
      <c r="D39945" s="7">
        <v>3.15</v>
      </c>
      <c r="E39945" t="s">
        <v>25</v>
      </c>
    </row>
    <row r="39946" spans="1:5" x14ac:dyDescent="0.25">
      <c r="A39946" t="str">
        <f>HYPERLINK("https://www.773grp.com/globalSearch/CAT24M01WI-G/page-1", "CAT24M01WI-G")</f>
        <v>CAT24M01WI-G</v>
      </c>
      <c r="B39946" s="3" t="str">
        <f>HYPERLINK("https://www.773grp.com/manufacturer/onsemi?pageNo=654", "ON Semiconductor")</f>
        <v>ON Semiconductor</v>
      </c>
      <c r="C39946" s="6">
        <v>8200</v>
      </c>
      <c r="D39946" s="7">
        <v>3.18</v>
      </c>
    </row>
    <row r="39947" spans="1:5" x14ac:dyDescent="0.25">
      <c r="A39947" t="str">
        <f>HYPERLINK("https://www.773grp.com/globalSearch/CS8120YTHA5/page-1", "CS8120YTHA5")</f>
        <v>CS8120YTHA5</v>
      </c>
      <c r="B39947" s="3" t="str">
        <f>HYPERLINK("https://www.773grp.com/manufacturer/onsemi?pageNo=655", "ON Semiconductor")</f>
        <v>ON Semiconductor</v>
      </c>
      <c r="C39947" s="6">
        <v>350</v>
      </c>
      <c r="D39947" s="7">
        <v>3.18</v>
      </c>
      <c r="E39947" t="s">
        <v>19</v>
      </c>
    </row>
    <row r="39948" spans="1:5" x14ac:dyDescent="0.25">
      <c r="A39948" t="str">
        <f>HYPERLINK("https://www.773grp.com/globalSearch/CS8156YTHA5/page-1", "CS8156YTHA5")</f>
        <v>CS8156YTHA5</v>
      </c>
      <c r="B39948" s="3" t="str">
        <f>HYPERLINK("https://www.773grp.com/manufacturer/onsemi?pageNo=656", "ON Semiconductor")</f>
        <v>ON Semiconductor</v>
      </c>
      <c r="C39948" s="6">
        <v>1455</v>
      </c>
      <c r="D39948" s="7">
        <v>3.18</v>
      </c>
      <c r="E39948" t="s">
        <v>44</v>
      </c>
    </row>
    <row r="39949" spans="1:5" x14ac:dyDescent="0.25">
      <c r="A39949" t="str">
        <f>HYPERLINK("https://www.773grp.com/globalSearch/CS8156YTHA5G/page-1", "CS8156YTHA5G")</f>
        <v>CS8156YTHA5G</v>
      </c>
      <c r="B39949" s="3" t="str">
        <f>HYPERLINK("https://www.773grp.com/manufacturer/onsemi?pageNo=657", "ON Semiconductor")</f>
        <v>ON Semiconductor</v>
      </c>
      <c r="C39949" s="6">
        <v>2834</v>
      </c>
      <c r="D39949" s="7">
        <v>3.18</v>
      </c>
      <c r="E39949" t="s">
        <v>44</v>
      </c>
    </row>
    <row r="39950" spans="1:5" x14ac:dyDescent="0.25">
      <c r="A39950" t="str">
        <f>HYPERLINK("https://www.773grp.com/globalSearch/CS8156YTVA5G/page-1", "CS8156YTVA5G")</f>
        <v>CS8156YTVA5G</v>
      </c>
      <c r="B39950" s="3" t="str">
        <f>HYPERLINK("https://www.773grp.com/manufacturer/onsemi?pageNo=658", "ON Semiconductor")</f>
        <v>ON Semiconductor</v>
      </c>
      <c r="C39950" s="6">
        <v>1995</v>
      </c>
      <c r="D39950" s="7">
        <v>3.18</v>
      </c>
      <c r="E39950" t="s">
        <v>44</v>
      </c>
    </row>
    <row r="39951" spans="1:5" x14ac:dyDescent="0.25">
      <c r="A39951" t="str">
        <f>HYPERLINK("https://www.773grp.com/globalSearch/MC33167THG/page-1", "MC33167THG")</f>
        <v>MC33167THG</v>
      </c>
      <c r="B39951" s="3" t="str">
        <f>HYPERLINK("https://www.773grp.com/manufacturer/onsemi?pageNo=659", "ON Semiconductor")</f>
        <v>ON Semiconductor</v>
      </c>
      <c r="C39951" s="6">
        <v>42350</v>
      </c>
      <c r="D39951" s="7">
        <v>3.18</v>
      </c>
      <c r="E39951" t="s">
        <v>7</v>
      </c>
    </row>
    <row r="39952" spans="1:5" x14ac:dyDescent="0.25">
      <c r="A39952" t="str">
        <f>HYPERLINK("https://www.773grp.com/globalSearch/MC33167TV/page-1", "MC33167TV")</f>
        <v>MC33167TV</v>
      </c>
      <c r="B39952" s="3" t="str">
        <f>HYPERLINK("https://www.773grp.com/manufacturer/onsemi?pageNo=660", "ON Semiconductor")</f>
        <v>ON Semiconductor</v>
      </c>
      <c r="C39952" s="6">
        <v>662</v>
      </c>
      <c r="D39952" s="7">
        <v>3.18</v>
      </c>
      <c r="E39952" t="s">
        <v>7</v>
      </c>
    </row>
    <row r="39953" spans="1:5" x14ac:dyDescent="0.25">
      <c r="A39953" t="str">
        <f>HYPERLINK("https://www.773grp.com/globalSearch/MC33167TVG/page-1", "MC33167TVG")</f>
        <v>MC33167TVG</v>
      </c>
      <c r="B39953" s="3" t="str">
        <f>HYPERLINK("https://www.773grp.com/manufacturer/onsemi?pageNo=661", "ON Semiconductor")</f>
        <v>ON Semiconductor</v>
      </c>
      <c r="C39953" s="6">
        <v>226900</v>
      </c>
      <c r="D39953" s="7">
        <v>3.18</v>
      </c>
      <c r="E39953" t="s">
        <v>7</v>
      </c>
    </row>
    <row r="39954" spans="1:5" x14ac:dyDescent="0.25">
      <c r="A39954" t="str">
        <f>HYPERLINK("https://www.773grp.com/globalSearch/MC33363APG/page-1", "MC33363APG")</f>
        <v>MC33363APG</v>
      </c>
      <c r="B39954" s="3" t="str">
        <f>HYPERLINK("https://www.773grp.com/manufacturer/onsemi?pageNo=662", "ON Semiconductor")</f>
        <v>ON Semiconductor</v>
      </c>
      <c r="C39954" s="6">
        <v>4477</v>
      </c>
      <c r="D39954" s="7">
        <v>3.18</v>
      </c>
      <c r="E39954" t="s">
        <v>7</v>
      </c>
    </row>
    <row r="39955" spans="1:5" x14ac:dyDescent="0.25">
      <c r="A39955" t="str">
        <f>HYPERLINK("https://www.773grp.com/globalSearch/MC74AC640DT/page-1", "MC74AC640DT")</f>
        <v>MC74AC640DT</v>
      </c>
      <c r="B39955" s="3" t="str">
        <f>HYPERLINK("https://www.773grp.com/manufacturer/onsemi?pageNo=663", "ON Semiconductor")</f>
        <v>ON Semiconductor</v>
      </c>
      <c r="C39955" s="6">
        <v>1587</v>
      </c>
      <c r="D39955" s="7">
        <v>3.18</v>
      </c>
    </row>
    <row r="39956" spans="1:5" x14ac:dyDescent="0.25">
      <c r="A39956" t="str">
        <f>HYPERLINK("https://www.773grp.com/globalSearch/MC74AC640DTEL/page-1", "MC74AC640DTEL")</f>
        <v>MC74AC640DTEL</v>
      </c>
      <c r="B39956" s="3" t="str">
        <f>HYPERLINK("https://www.773grp.com/manufacturer/onsemi?pageNo=664", "ON Semiconductor")</f>
        <v>ON Semiconductor</v>
      </c>
      <c r="C39956" s="6">
        <v>2000</v>
      </c>
      <c r="D39956" s="7">
        <v>3.18</v>
      </c>
    </row>
    <row r="39957" spans="1:5" x14ac:dyDescent="0.25">
      <c r="A39957" t="str">
        <f>HYPERLINK("https://www.773grp.com/globalSearch/NCP5382MNR2G/page-1", "NCP5382MNR2G")</f>
        <v>NCP5382MNR2G</v>
      </c>
      <c r="B39957" s="3" t="str">
        <f>HYPERLINK("https://www.773grp.com/manufacturer/onsemi?pageNo=665", "ON Semiconductor")</f>
        <v>ON Semiconductor</v>
      </c>
      <c r="C39957" s="6">
        <v>20000</v>
      </c>
      <c r="D39957" s="7">
        <v>3.18</v>
      </c>
      <c r="E39957" t="s">
        <v>7</v>
      </c>
    </row>
    <row r="39958" spans="1:5" x14ac:dyDescent="0.25">
      <c r="A39958" t="str">
        <f>HYPERLINK("https://www.773grp.com/globalSearch/NCS2511SNT1G/page-1", "NCS2511SNT1G")</f>
        <v>NCS2511SNT1G</v>
      </c>
      <c r="B39958" s="3" t="str">
        <f>HYPERLINK("https://www.773grp.com/manufacturer/onsemi?pageNo=666", "ON Semiconductor")</f>
        <v>ON Semiconductor</v>
      </c>
      <c r="C39958" s="6">
        <v>8975</v>
      </c>
      <c r="D39958" s="7">
        <v>3.18</v>
      </c>
      <c r="E39958" t="s">
        <v>18</v>
      </c>
    </row>
    <row r="39959" spans="1:5" x14ac:dyDescent="0.25">
      <c r="A39959" t="str">
        <f>HYPERLINK("https://www.773grp.com/globalSearch/NCS2551SNT1G/page-1", "NCS2551SNT1G")</f>
        <v>NCS2551SNT1G</v>
      </c>
      <c r="B39959" s="3" t="str">
        <f>HYPERLINK("https://www.773grp.com/manufacturer/onsemi?pageNo=667", "ON Semiconductor")</f>
        <v>ON Semiconductor</v>
      </c>
      <c r="C39959" s="6">
        <v>8975</v>
      </c>
      <c r="D39959" s="7">
        <v>3.18</v>
      </c>
      <c r="E39959" t="s">
        <v>18</v>
      </c>
    </row>
    <row r="39960" spans="1:5" x14ac:dyDescent="0.25">
      <c r="A39960" t="str">
        <f>HYPERLINK("https://www.773grp.com/globalSearch/NCV890100PDR2G/page-1", "NCV890100PDR2G")</f>
        <v>NCV890100PDR2G</v>
      </c>
      <c r="B39960" s="3" t="str">
        <f>HYPERLINK("https://www.773grp.com/manufacturer/onsemi?pageNo=668", "ON Semiconductor")</f>
        <v>ON Semiconductor</v>
      </c>
      <c r="C39960" s="6">
        <v>2500</v>
      </c>
      <c r="D39960" s="7">
        <v>3.18</v>
      </c>
    </row>
    <row r="39961" spans="1:5" x14ac:dyDescent="0.25">
      <c r="A39961" t="str">
        <f>HYPERLINK("https://www.773grp.com/globalSearch/NTP5404NRG/page-1", "NTP5404NRG")</f>
        <v>NTP5404NRG</v>
      </c>
      <c r="B39961" s="3" t="str">
        <f>HYPERLINK("https://www.773grp.com/manufacturer/onsemi?pageNo=669", "ON Semiconductor")</f>
        <v>ON Semiconductor</v>
      </c>
      <c r="C39961" s="6">
        <v>1300</v>
      </c>
      <c r="D39961" s="7">
        <v>3.18</v>
      </c>
      <c r="E39961" t="s">
        <v>105</v>
      </c>
    </row>
    <row r="39962" spans="1:5" x14ac:dyDescent="0.25">
      <c r="A39962" t="str">
        <f>HYPERLINK("https://www.773grp.com/globalSearch/CAT310W-T1/page-1", "CAT310W-T1")</f>
        <v>CAT310W-T1</v>
      </c>
      <c r="B39962" s="3" t="str">
        <f>HYPERLINK("https://www.773grp.com/manufacturer/onsemi?pageNo=670", "ON Semiconductor")</f>
        <v>ON Semiconductor</v>
      </c>
      <c r="C39962" s="6">
        <v>2000</v>
      </c>
      <c r="D39962" s="7">
        <v>3.53</v>
      </c>
    </row>
    <row r="39963" spans="1:5" x14ac:dyDescent="0.25">
      <c r="A39963" t="str">
        <f>HYPERLINK("https://www.773grp.com/globalSearch/MAC210A8G/page-1", "MAC210A8G")</f>
        <v>MAC210A8G</v>
      </c>
      <c r="B39963" s="3" t="str">
        <f>HYPERLINK("https://www.773grp.com/manufacturer/onsemi?pageNo=671", "ON Semiconductor")</f>
        <v>ON Semiconductor</v>
      </c>
      <c r="C39963" s="6">
        <v>1448</v>
      </c>
      <c r="D39963" s="7">
        <v>3.53</v>
      </c>
      <c r="E39963" t="s">
        <v>102</v>
      </c>
    </row>
    <row r="39964" spans="1:5" x14ac:dyDescent="0.25">
      <c r="A39964" t="str">
        <f>HYPERLINK("https://www.773grp.com/globalSearch/MAC212A8G/page-1", "MAC212A8G")</f>
        <v>MAC212A8G</v>
      </c>
      <c r="B39964" s="3" t="str">
        <f>HYPERLINK("https://www.773grp.com/manufacturer/onsemi?pageNo=672", "ON Semiconductor")</f>
        <v>ON Semiconductor</v>
      </c>
      <c r="C39964" s="6">
        <v>1000</v>
      </c>
      <c r="D39964" s="7">
        <v>3.53</v>
      </c>
      <c r="E39964" t="s">
        <v>102</v>
      </c>
    </row>
    <row r="39965" spans="1:5" x14ac:dyDescent="0.25">
      <c r="A39965" t="str">
        <f>HYPERLINK("https://www.773grp.com/globalSearch/MBRD360-001/page-1", "MBRD360-001")</f>
        <v>MBRD360-001</v>
      </c>
      <c r="B39965" s="3" t="str">
        <f>HYPERLINK("https://www.773grp.com/manufacturer/onsemi?pageNo=673", "ON Semiconductor")</f>
        <v>ON Semiconductor</v>
      </c>
      <c r="C39965" s="6">
        <v>22425</v>
      </c>
      <c r="D39965" s="7">
        <v>3.53</v>
      </c>
    </row>
    <row r="39966" spans="1:5" x14ac:dyDescent="0.25">
      <c r="A39966" t="str">
        <f>HYPERLINK("https://www.773grp.com/globalSearch/MC34067DW/page-1", "MC34067DW")</f>
        <v>MC34067DW</v>
      </c>
      <c r="B39966" s="3" t="str">
        <f>HYPERLINK("https://www.773grp.com/manufacturer/onsemi?pageNo=674", "ON Semiconductor")</f>
        <v>ON Semiconductor</v>
      </c>
      <c r="C39966" s="6">
        <v>1709</v>
      </c>
      <c r="D39966" s="7">
        <v>3.53</v>
      </c>
      <c r="E39966" t="s">
        <v>7</v>
      </c>
    </row>
    <row r="39967" spans="1:5" x14ac:dyDescent="0.25">
      <c r="A39967" t="str">
        <f>HYPERLINK("https://www.773grp.com/globalSearch/MGP11N60ED/page-1", "MGP11N60ED")</f>
        <v>MGP11N60ED</v>
      </c>
      <c r="B39967" s="3" t="str">
        <f>HYPERLINK("https://www.773grp.com/manufacturer/onsemi?pageNo=675", "ON Semiconductor")</f>
        <v>ON Semiconductor</v>
      </c>
      <c r="C39967" s="6">
        <v>178</v>
      </c>
      <c r="D39967" s="7">
        <v>3.53</v>
      </c>
      <c r="E39967" t="s">
        <v>115</v>
      </c>
    </row>
    <row r="39968" spans="1:5" x14ac:dyDescent="0.25">
      <c r="A39968" t="str">
        <f>HYPERLINK("https://www.773grp.com/globalSearch/MJE18006G/page-1", "MJE18006G")</f>
        <v>MJE18006G</v>
      </c>
      <c r="B39968" s="3" t="str">
        <f>HYPERLINK("https://www.773grp.com/manufacturer/onsemi?pageNo=676", "ON Semiconductor")</f>
        <v>ON Semiconductor</v>
      </c>
      <c r="C39968" s="6">
        <v>20474</v>
      </c>
      <c r="D39968" s="7">
        <v>3.53</v>
      </c>
      <c r="E39968" t="s">
        <v>59</v>
      </c>
    </row>
    <row r="39969" spans="1:5" x14ac:dyDescent="0.25">
      <c r="A39969" t="str">
        <f>HYPERLINK("https://www.773grp.com/globalSearch/MPQ7091/page-1", "MPQ7091")</f>
        <v>MPQ7091</v>
      </c>
      <c r="B39969" s="3" t="str">
        <f>HYPERLINK("https://www.773grp.com/manufacturer/onsemi?pageNo=677", "ON Semiconductor")</f>
        <v>ON Semiconductor</v>
      </c>
      <c r="C39969" s="6">
        <v>2781</v>
      </c>
      <c r="D39969" s="7">
        <v>3.53</v>
      </c>
      <c r="E39969" t="s">
        <v>59</v>
      </c>
    </row>
    <row r="39970" spans="1:5" x14ac:dyDescent="0.25">
      <c r="A39970" t="str">
        <f>HYPERLINK("https://www.773grp.com/globalSearch/NCV33163P/page-1", "NCV33163P")</f>
        <v>NCV33163P</v>
      </c>
      <c r="B39970" s="3" t="str">
        <f>HYPERLINK("https://www.773grp.com/manufacturer/onsemi?pageNo=678", "ON Semiconductor")</f>
        <v>ON Semiconductor</v>
      </c>
      <c r="C39970" s="6">
        <v>2410</v>
      </c>
      <c r="D39970" s="7">
        <v>3.53</v>
      </c>
      <c r="E39970" t="s">
        <v>7</v>
      </c>
    </row>
    <row r="39971" spans="1:5" x14ac:dyDescent="0.25">
      <c r="A39971" t="str">
        <f>HYPERLINK("https://www.773grp.com/globalSearch/NCV33274ADG/page-1", "NCV33274ADG")</f>
        <v>NCV33274ADG</v>
      </c>
      <c r="B39971" s="3" t="str">
        <f>HYPERLINK("https://www.773grp.com/manufacturer/onsemi?pageNo=679", "ON Semiconductor")</f>
        <v>ON Semiconductor</v>
      </c>
      <c r="C39971" s="6">
        <v>1643</v>
      </c>
      <c r="D39971" s="7">
        <v>3.53</v>
      </c>
      <c r="E39971" t="s">
        <v>13</v>
      </c>
    </row>
    <row r="39972" spans="1:5" x14ac:dyDescent="0.25">
      <c r="A39972" t="str">
        <f>HYPERLINK("https://www.773grp.com/globalSearch/NCV4275ADS33G/page-1", "NCV4275ADS33G")</f>
        <v>NCV4275ADS33G</v>
      </c>
      <c r="B39972" s="3" t="str">
        <f>HYPERLINK("https://www.773grp.com/manufacturer/onsemi?pageNo=680", "ON Semiconductor")</f>
        <v>ON Semiconductor</v>
      </c>
      <c r="C39972" s="6">
        <v>1800</v>
      </c>
      <c r="D39972" s="7">
        <v>3.53</v>
      </c>
    </row>
    <row r="39973" spans="1:5" x14ac:dyDescent="0.25">
      <c r="A39973" t="str">
        <f>HYPERLINK("https://www.773grp.com/globalSearch/NCV4276BDS50R4G/page-1", "NCV4276BDS50R4G")</f>
        <v>NCV4276BDS50R4G</v>
      </c>
      <c r="B39973" s="3" t="str">
        <f>HYPERLINK("https://www.773grp.com/manufacturer/onsemi?pageNo=681", "ON Semiconductor")</f>
        <v>ON Semiconductor</v>
      </c>
      <c r="C39973" s="6">
        <v>2400</v>
      </c>
      <c r="D39973" s="7">
        <v>3.53</v>
      </c>
    </row>
    <row r="39974" spans="1:5" x14ac:dyDescent="0.25">
      <c r="A39974" t="str">
        <f>HYPERLINK("https://www.773grp.com/globalSearch/NCV4276DS33R4G/page-1", "NCV4276DS33R4G")</f>
        <v>NCV4276DS33R4G</v>
      </c>
      <c r="B39974" s="3" t="str">
        <f>HYPERLINK("https://www.773grp.com/manufacturer/onsemi?pageNo=682", "ON Semiconductor")</f>
        <v>ON Semiconductor</v>
      </c>
      <c r="C39974" s="6">
        <v>625</v>
      </c>
      <c r="D39974" s="7">
        <v>3.53</v>
      </c>
      <c r="E39974" t="s">
        <v>19</v>
      </c>
    </row>
    <row r="39975" spans="1:5" x14ac:dyDescent="0.25">
      <c r="A39975" t="str">
        <f>HYPERLINK("https://www.773grp.com/globalSearch/NCV8184DTRKG/page-1", "NCV8184DTRKG")</f>
        <v>NCV8184DTRKG</v>
      </c>
      <c r="B39975" s="3" t="str">
        <f>HYPERLINK("https://www.773grp.com/manufacturer/onsemi?pageNo=683", "ON Semiconductor")</f>
        <v>ON Semiconductor</v>
      </c>
      <c r="C39975" s="6">
        <v>1678</v>
      </c>
      <c r="D39975" s="7">
        <v>3.53</v>
      </c>
      <c r="E39975" t="s">
        <v>25</v>
      </c>
    </row>
    <row r="39976" spans="1:5" x14ac:dyDescent="0.25">
      <c r="A39976" t="str">
        <f>HYPERLINK("https://www.773grp.com/globalSearch/NE5517DG/page-1", "NE5517DG")</f>
        <v>NE5517DG</v>
      </c>
      <c r="B39976" s="3" t="str">
        <f>HYPERLINK("https://www.773grp.com/manufacturer/onsemi?pageNo=684", "ON Semiconductor")</f>
        <v>ON Semiconductor</v>
      </c>
      <c r="C39976" s="6">
        <v>480</v>
      </c>
      <c r="D39976" s="7">
        <v>3.53</v>
      </c>
      <c r="E39976" t="s">
        <v>13</v>
      </c>
    </row>
    <row r="39977" spans="1:5" x14ac:dyDescent="0.25">
      <c r="A39977" t="str">
        <f>HYPERLINK("https://www.773grp.com/globalSearch/NE5517DR2G/page-1", "NE5517DR2G")</f>
        <v>NE5517DR2G</v>
      </c>
      <c r="B39977" s="3" t="str">
        <f>HYPERLINK("https://www.773grp.com/manufacturer/onsemi?pageNo=685", "ON Semiconductor")</f>
        <v>ON Semiconductor</v>
      </c>
      <c r="C39977" s="6">
        <v>50293</v>
      </c>
      <c r="D39977" s="7">
        <v>3.53</v>
      </c>
      <c r="E39977" t="s">
        <v>13</v>
      </c>
    </row>
    <row r="39978" spans="1:5" x14ac:dyDescent="0.25">
      <c r="A39978" t="str">
        <f>HYPERLINK("https://www.773grp.com/globalSearch/NE5517NG/page-1", "NE5517NG")</f>
        <v>NE5517NG</v>
      </c>
      <c r="B39978" s="3" t="str">
        <f>HYPERLINK("https://www.773grp.com/manufacturer/onsemi?pageNo=686", "ON Semiconductor")</f>
        <v>ON Semiconductor</v>
      </c>
      <c r="C39978" s="6">
        <v>4725</v>
      </c>
      <c r="D39978" s="7">
        <v>3.53</v>
      </c>
      <c r="E39978" t="s">
        <v>13</v>
      </c>
    </row>
    <row r="39979" spans="1:5" x14ac:dyDescent="0.25">
      <c r="A39979" t="str">
        <f>HYPERLINK("https://www.773grp.com/globalSearch/NGB15N41CLT4G/page-1", "NGB15N41CLT4G")</f>
        <v>NGB15N41CLT4G</v>
      </c>
      <c r="B39979" s="3" t="str">
        <f>HYPERLINK("https://www.773grp.com/manufacturer/onsemi?pageNo=687", "ON Semiconductor")</f>
        <v>ON Semiconductor</v>
      </c>
      <c r="C39979" s="6">
        <v>138600</v>
      </c>
      <c r="D39979" s="7">
        <v>3.53</v>
      </c>
      <c r="E39979" t="s">
        <v>115</v>
      </c>
    </row>
    <row r="39980" spans="1:5" x14ac:dyDescent="0.25">
      <c r="A39980" t="str">
        <f>HYPERLINK("https://www.773grp.com/globalSearch/T2500DG/page-1", "T2500DG")</f>
        <v>T2500DG</v>
      </c>
      <c r="B39980" s="3" t="str">
        <f>HYPERLINK("https://www.773grp.com/manufacturer/onsemi?pageNo=688", "ON Semiconductor")</f>
        <v>ON Semiconductor</v>
      </c>
      <c r="C39980" s="6">
        <v>500</v>
      </c>
      <c r="D39980" s="7">
        <v>3.53</v>
      </c>
    </row>
    <row r="39981" spans="1:5" x14ac:dyDescent="0.25">
      <c r="A39981" t="str">
        <f>HYPERLINK("https://www.773grp.com/globalSearch/T2800D/page-1", "T2800D")</f>
        <v>T2800D</v>
      </c>
      <c r="B39981" s="3" t="str">
        <f>HYPERLINK("https://www.773grp.com/manufacturer/onsemi?pageNo=689", "ON Semiconductor")</f>
        <v>ON Semiconductor</v>
      </c>
      <c r="C39981" s="6">
        <v>500</v>
      </c>
      <c r="D39981" s="7">
        <v>3.53</v>
      </c>
      <c r="E39981" t="s">
        <v>102</v>
      </c>
    </row>
    <row r="39982" spans="1:5" x14ac:dyDescent="0.25">
      <c r="A39982" t="str">
        <f>HYPERLINK("https://www.773grp.com/globalSearch/T2800DG/page-1", "T2800DG")</f>
        <v>T2800DG</v>
      </c>
      <c r="B39982" s="3" t="str">
        <f>HYPERLINK("https://www.773grp.com/manufacturer/onsemi?pageNo=690", "ON Semiconductor")</f>
        <v>ON Semiconductor</v>
      </c>
      <c r="C39982" s="6">
        <v>4000</v>
      </c>
      <c r="D39982" s="7">
        <v>3.53</v>
      </c>
    </row>
    <row r="39983" spans="1:5" x14ac:dyDescent="0.25">
      <c r="A39983" t="str">
        <f>HYPERLINK("https://www.773grp.com/globalSearch/CS8120YT5/page-1", "CS8120YT5")</f>
        <v>CS8120YT5</v>
      </c>
      <c r="B39983" s="3" t="str">
        <f>HYPERLINK("https://www.773grp.com/manufacturer/onsemi?pageNo=691", "ON Semiconductor")</f>
        <v>ON Semiconductor</v>
      </c>
      <c r="C39983" s="6">
        <v>12609</v>
      </c>
      <c r="D39983" s="7">
        <v>3.21</v>
      </c>
      <c r="E39983" t="s">
        <v>19</v>
      </c>
    </row>
    <row r="39984" spans="1:5" x14ac:dyDescent="0.25">
      <c r="A39984" t="str">
        <f>HYPERLINK("https://www.773grp.com/globalSearch/CS8141YTHA7/page-1", "CS8141YTHA7")</f>
        <v>CS8141YTHA7</v>
      </c>
      <c r="B39984" s="3" t="str">
        <f>HYPERLINK("https://www.773grp.com/manufacturer/onsemi?pageNo=692", "ON Semiconductor")</f>
        <v>ON Semiconductor</v>
      </c>
      <c r="C39984" s="6">
        <v>606</v>
      </c>
      <c r="D39984" s="7">
        <v>3.24</v>
      </c>
      <c r="E39984" t="s">
        <v>19</v>
      </c>
    </row>
    <row r="39985" spans="1:5" x14ac:dyDescent="0.25">
      <c r="A39985" t="str">
        <f>HYPERLINK("https://www.773grp.com/globalSearch/LC75844M-TLM-E/page-1", "LC75844M-TLM-E")</f>
        <v>LC75844M-TLM-E</v>
      </c>
      <c r="B39985" s="3" t="str">
        <f>HYPERLINK("https://www.773grp.com/manufacturer/onsemi?pageNo=693", "ON Semiconductor")</f>
        <v>ON Semiconductor</v>
      </c>
      <c r="C39985" s="6">
        <v>4000</v>
      </c>
      <c r="D39985" s="7">
        <v>3.24</v>
      </c>
    </row>
    <row r="39986" spans="1:5" x14ac:dyDescent="0.25">
      <c r="A39986" t="str">
        <f>HYPERLINK("https://www.773grp.com/globalSearch/LM2575T-12G/page-1", "LM2575T-12G")</f>
        <v>LM2575T-12G</v>
      </c>
      <c r="B39986" s="3" t="str">
        <f>HYPERLINK("https://www.773grp.com/manufacturer/onsemi?pageNo=694", "ON Semiconductor")</f>
        <v>ON Semiconductor</v>
      </c>
      <c r="C39986" s="6">
        <v>15300</v>
      </c>
      <c r="D39986" s="7">
        <v>3.24</v>
      </c>
      <c r="E39986" t="s">
        <v>7</v>
      </c>
    </row>
    <row r="39987" spans="1:5" x14ac:dyDescent="0.25">
      <c r="A39987" t="str">
        <f>HYPERLINK("https://www.773grp.com/globalSearch/LM2575T-5G/page-1", "LM2575T-5G")</f>
        <v>LM2575T-5G</v>
      </c>
      <c r="B39987" s="3" t="str">
        <f>HYPERLINK("https://www.773grp.com/manufacturer/onsemi?pageNo=695", "ON Semiconductor")</f>
        <v>ON Semiconductor</v>
      </c>
      <c r="C39987" s="6">
        <v>25146</v>
      </c>
      <c r="D39987" s="7">
        <v>3.24</v>
      </c>
      <c r="E39987" t="s">
        <v>7</v>
      </c>
    </row>
    <row r="39988" spans="1:5" x14ac:dyDescent="0.25">
      <c r="A39988" t="str">
        <f>HYPERLINK("https://www.773grp.com/globalSearch/LM2575T-ADJG/page-1", "LM2575T-ADJG")</f>
        <v>LM2575T-ADJG</v>
      </c>
      <c r="B39988" s="3" t="str">
        <f>HYPERLINK("https://www.773grp.com/manufacturer/onsemi?pageNo=696", "ON Semiconductor")</f>
        <v>ON Semiconductor</v>
      </c>
      <c r="C39988" s="6">
        <v>1000</v>
      </c>
      <c r="D39988" s="7">
        <v>3.24</v>
      </c>
      <c r="E39988" t="s">
        <v>7</v>
      </c>
    </row>
    <row r="39989" spans="1:5" x14ac:dyDescent="0.25">
      <c r="A39989" t="str">
        <f>HYPERLINK("https://www.773grp.com/globalSearch/LM2575TV-15G/page-1", "LM2575TV-15G")</f>
        <v>LM2575TV-15G</v>
      </c>
      <c r="B39989" s="3" t="str">
        <f>HYPERLINK("https://www.773grp.com/manufacturer/onsemi?pageNo=697", "ON Semiconductor")</f>
        <v>ON Semiconductor</v>
      </c>
      <c r="C39989" s="6">
        <v>2597</v>
      </c>
      <c r="D39989" s="7">
        <v>3.24</v>
      </c>
      <c r="E39989" t="s">
        <v>7</v>
      </c>
    </row>
    <row r="39990" spans="1:5" x14ac:dyDescent="0.25">
      <c r="A39990" t="str">
        <f>HYPERLINK("https://www.773grp.com/globalSearch/LM2575TV-5G/page-1", "LM2575TV-5G")</f>
        <v>LM2575TV-5G</v>
      </c>
      <c r="B39990" s="3" t="str">
        <f>HYPERLINK("https://www.773grp.com/manufacturer/onsemi?pageNo=698", "ON Semiconductor")</f>
        <v>ON Semiconductor</v>
      </c>
      <c r="C39990" s="6">
        <v>6490</v>
      </c>
      <c r="D39990" s="7">
        <v>3.24</v>
      </c>
      <c r="E39990" t="s">
        <v>7</v>
      </c>
    </row>
    <row r="39991" spans="1:5" x14ac:dyDescent="0.25">
      <c r="A39991" t="str">
        <f>HYPERLINK("https://www.773grp.com/globalSearch/LV8139JA-AH/page-1", "LV8139JA-AH")</f>
        <v>LV8139JA-AH</v>
      </c>
      <c r="B39991" s="3" t="str">
        <f>HYPERLINK("https://www.773grp.com/manufacturer/onsemi?pageNo=699", "ON Semiconductor")</f>
        <v>ON Semiconductor</v>
      </c>
      <c r="C39991" s="6">
        <v>15000</v>
      </c>
      <c r="D39991" s="7">
        <v>3.24</v>
      </c>
    </row>
    <row r="39992" spans="1:5" x14ac:dyDescent="0.25">
      <c r="A39992" t="str">
        <f>HYPERLINK("https://www.773grp.com/globalSearch/MBR2515LG/page-1", "MBR2515LG")</f>
        <v>MBR2515LG</v>
      </c>
      <c r="B39992" s="3" t="str">
        <f>HYPERLINK("https://www.773grp.com/manufacturer/onsemi?pageNo=700", "ON Semiconductor")</f>
        <v>ON Semiconductor</v>
      </c>
      <c r="C39992" s="6">
        <v>560</v>
      </c>
      <c r="D39992" s="7">
        <v>3.24</v>
      </c>
      <c r="E39992" t="s">
        <v>103</v>
      </c>
    </row>
    <row r="39993" spans="1:5" x14ac:dyDescent="0.25">
      <c r="A39993" t="str">
        <f>HYPERLINK("https://www.773grp.com/globalSearch/MBRB20200CT/page-1", "MBRB20200CT")</f>
        <v>MBRB20200CT</v>
      </c>
      <c r="B39993" s="3" t="str">
        <f>HYPERLINK("https://www.773grp.com/manufacturer/onsemi?pageNo=701", "ON Semiconductor")</f>
        <v>ON Semiconductor</v>
      </c>
      <c r="C39993" s="6">
        <v>2650</v>
      </c>
      <c r="D39993" s="7">
        <v>3.24</v>
      </c>
    </row>
    <row r="39994" spans="1:5" x14ac:dyDescent="0.25">
      <c r="A39994" t="str">
        <f>HYPERLINK("https://www.773grp.com/globalSearch/MGP15N60U/page-1", "MGP15N60U")</f>
        <v>MGP15N60U</v>
      </c>
      <c r="B39994" s="3" t="str">
        <f>HYPERLINK("https://www.773grp.com/manufacturer/onsemi?pageNo=702", "ON Semiconductor")</f>
        <v>ON Semiconductor</v>
      </c>
      <c r="C39994" s="6">
        <v>9484</v>
      </c>
      <c r="D39994" s="7">
        <v>3.24</v>
      </c>
      <c r="E39994" t="s">
        <v>115</v>
      </c>
    </row>
    <row r="39995" spans="1:5" x14ac:dyDescent="0.25">
      <c r="A39995" t="str">
        <f>HYPERLINK("https://www.773grp.com/globalSearch/2N5884/page-1", "2N5884")</f>
        <v>2N5884</v>
      </c>
      <c r="B39995" s="3" t="str">
        <f>HYPERLINK("https://www.773grp.com/manufacturer/onsemi?pageNo=703", "ON Semiconductor")</f>
        <v>ON Semiconductor</v>
      </c>
      <c r="C39995" s="6">
        <v>9832</v>
      </c>
      <c r="D39995" s="7">
        <v>3.6</v>
      </c>
      <c r="E39995" t="s">
        <v>59</v>
      </c>
    </row>
    <row r="39996" spans="1:5" x14ac:dyDescent="0.25">
      <c r="A39996" t="str">
        <f>HYPERLINK("https://www.773grp.com/globalSearch/BUB323ZT4/page-1", "BUB323ZT4")</f>
        <v>BUB323ZT4</v>
      </c>
      <c r="B39996" s="3" t="str">
        <f>HYPERLINK("https://www.773grp.com/manufacturer/onsemi?pageNo=704", "ON Semiconductor")</f>
        <v>ON Semiconductor</v>
      </c>
      <c r="C39996" s="6">
        <v>1860</v>
      </c>
      <c r="D39996" s="7">
        <v>3.6</v>
      </c>
      <c r="E39996" t="s">
        <v>59</v>
      </c>
    </row>
    <row r="39997" spans="1:5" x14ac:dyDescent="0.25">
      <c r="A39997" t="str">
        <f>HYPERLINK("https://www.773grp.com/globalSearch/CAT1023ZI25/page-1", "CAT1023ZI25")</f>
        <v>CAT1023ZI25</v>
      </c>
      <c r="B39997" s="3" t="str">
        <f>HYPERLINK("https://www.773grp.com/manufacturer/onsemi?pageNo=705", "ON Semiconductor")</f>
        <v>ON Semiconductor</v>
      </c>
      <c r="C39997" s="6">
        <v>687</v>
      </c>
      <c r="D39997" s="7">
        <v>3.6</v>
      </c>
      <c r="E39997" t="s">
        <v>30</v>
      </c>
    </row>
    <row r="39998" spans="1:5" x14ac:dyDescent="0.25">
      <c r="A39998" t="str">
        <f>HYPERLINK("https://www.773grp.com/globalSearch/CAT24C512ZI-T3/page-1", "CAT24C512ZI-T3")</f>
        <v>CAT24C512ZI-T3</v>
      </c>
      <c r="B39998" s="3" t="str">
        <f>HYPERLINK("https://www.773grp.com/manufacturer/onsemi?pageNo=706", "ON Semiconductor")</f>
        <v>ON Semiconductor</v>
      </c>
      <c r="C39998" s="6">
        <v>2950</v>
      </c>
      <c r="D39998" s="7">
        <v>3.6</v>
      </c>
    </row>
    <row r="39999" spans="1:5" x14ac:dyDescent="0.25">
      <c r="A39999" t="str">
        <f>HYPERLINK("https://www.773grp.com/globalSearch/CS8151YDPS7/page-1", "CS8151YDPS7")</f>
        <v>CS8151YDPS7</v>
      </c>
      <c r="B39999" s="3" t="str">
        <f>HYPERLINK("https://www.773grp.com/manufacturer/onsemi?pageNo=707", "ON Semiconductor")</f>
        <v>ON Semiconductor</v>
      </c>
      <c r="C39999" s="6">
        <v>1500</v>
      </c>
      <c r="D39999" s="7">
        <v>3.6</v>
      </c>
      <c r="E39999" t="s">
        <v>19</v>
      </c>
    </row>
    <row r="40000" spans="1:5" x14ac:dyDescent="0.25">
      <c r="A40000" t="str">
        <f>HYPERLINK("https://www.773grp.com/globalSearch/CS951254DR8G/page-1", "CS951254DR8G")</f>
        <v>CS951254DR8G</v>
      </c>
      <c r="B40000" s="3" t="str">
        <f>HYPERLINK("https://www.773grp.com/manufacturer/onsemi?pageNo=708", "ON Semiconductor")</f>
        <v>ON Semiconductor</v>
      </c>
      <c r="C40000" s="6">
        <v>654</v>
      </c>
      <c r="D40000" s="7">
        <v>3.6</v>
      </c>
    </row>
    <row r="40001" spans="1:5" x14ac:dyDescent="0.25">
      <c r="A40001" t="str">
        <f>HYPERLINK("https://www.773grp.com/globalSearch/LB1860M-TLM-E/page-1", "LB1860M-TLM-E")</f>
        <v>LB1860M-TLM-E</v>
      </c>
      <c r="B40001" s="3" t="str">
        <f>HYPERLINK("https://www.773grp.com/manufacturer/onsemi?pageNo=709", "ON Semiconductor")</f>
        <v>ON Semiconductor</v>
      </c>
      <c r="C40001" s="6">
        <v>30000</v>
      </c>
      <c r="D40001" s="7">
        <v>3.6</v>
      </c>
    </row>
    <row r="40002" spans="1:5" x14ac:dyDescent="0.25">
      <c r="A40002" t="str">
        <f>HYPERLINK("https://www.773grp.com/globalSearch/LB1860M-TLM-H/page-1", "LB1860M-TLM-H")</f>
        <v>LB1860M-TLM-H</v>
      </c>
      <c r="B40002" s="3" t="str">
        <f>HYPERLINK("https://www.773grp.com/manufacturer/onsemi?pageNo=710", "ON Semiconductor")</f>
        <v>ON Semiconductor</v>
      </c>
      <c r="C40002" s="6">
        <v>30000</v>
      </c>
      <c r="D40002" s="7">
        <v>3.6</v>
      </c>
    </row>
    <row r="40003" spans="1:5" x14ac:dyDescent="0.25">
      <c r="A40003" t="str">
        <f>HYPERLINK("https://www.773grp.com/globalSearch/LM2595DSADJR4G/page-1", "LM2595DSADJR4G")</f>
        <v>LM2595DSADJR4G</v>
      </c>
      <c r="B40003" s="3" t="str">
        <f>HYPERLINK("https://www.773grp.com/manufacturer/onsemi?pageNo=711", "ON Semiconductor")</f>
        <v>ON Semiconductor</v>
      </c>
      <c r="C40003" s="6">
        <v>1600</v>
      </c>
      <c r="D40003" s="7">
        <v>3.6</v>
      </c>
      <c r="E40003" t="s">
        <v>7</v>
      </c>
    </row>
    <row r="40004" spans="1:5" x14ac:dyDescent="0.25">
      <c r="A40004" t="str">
        <f>HYPERLINK("https://www.773grp.com/globalSearch/LM2595TADJG/page-1", "LM2595TADJG")</f>
        <v>LM2595TADJG</v>
      </c>
      <c r="B40004" s="3" t="str">
        <f>HYPERLINK("https://www.773grp.com/manufacturer/onsemi?pageNo=712", "ON Semiconductor")</f>
        <v>ON Semiconductor</v>
      </c>
      <c r="C40004" s="6">
        <v>11800</v>
      </c>
      <c r="D40004" s="7">
        <v>3.6</v>
      </c>
      <c r="E40004" t="s">
        <v>7</v>
      </c>
    </row>
    <row r="40005" spans="1:5" x14ac:dyDescent="0.25">
      <c r="A40005" t="str">
        <f>HYPERLINK("https://www.773grp.com/globalSearch/MC33067DW/page-1", "MC33067DW")</f>
        <v>MC33067DW</v>
      </c>
      <c r="B40005" s="3" t="str">
        <f>HYPERLINK("https://www.773grp.com/manufacturer/onsemi?pageNo=713", "ON Semiconductor")</f>
        <v>ON Semiconductor</v>
      </c>
      <c r="C40005" s="6">
        <v>842</v>
      </c>
      <c r="D40005" s="7">
        <v>3.6</v>
      </c>
      <c r="E40005" t="s">
        <v>7</v>
      </c>
    </row>
    <row r="40006" spans="1:5" x14ac:dyDescent="0.25">
      <c r="A40006" t="str">
        <f>HYPERLINK("https://www.773grp.com/globalSearch/MC33067DWR2/page-1", "MC33067DWR2")</f>
        <v>MC33067DWR2</v>
      </c>
      <c r="B40006" s="3" t="str">
        <f>HYPERLINK("https://www.773grp.com/manufacturer/onsemi?pageNo=714", "ON Semiconductor")</f>
        <v>ON Semiconductor</v>
      </c>
      <c r="C40006" s="6">
        <v>26</v>
      </c>
      <c r="D40006" s="7">
        <v>3.6</v>
      </c>
      <c r="E40006" t="s">
        <v>7</v>
      </c>
    </row>
    <row r="40007" spans="1:5" x14ac:dyDescent="0.25">
      <c r="A40007" t="str">
        <f>HYPERLINK("https://www.773grp.com/globalSearch/MGP7N60E/page-1", "MGP7N60E")</f>
        <v>MGP7N60E</v>
      </c>
      <c r="B40007" s="3" t="str">
        <f>HYPERLINK("https://www.773grp.com/manufacturer/onsemi?pageNo=715", "ON Semiconductor")</f>
        <v>ON Semiconductor</v>
      </c>
      <c r="C40007" s="6">
        <v>6760</v>
      </c>
      <c r="D40007" s="7">
        <v>3.6</v>
      </c>
      <c r="E40007" t="s">
        <v>115</v>
      </c>
    </row>
    <row r="40008" spans="1:5" x14ac:dyDescent="0.25">
      <c r="A40008" t="str">
        <f>HYPERLINK("https://www.773grp.com/globalSearch/MTB30P06VT4/page-1", "MTB30P06VT4")</f>
        <v>MTB30P06VT4</v>
      </c>
      <c r="B40008" s="3" t="str">
        <f>HYPERLINK("https://www.773grp.com/manufacturer/onsemi?pageNo=716", "ON Semiconductor")</f>
        <v>ON Semiconductor</v>
      </c>
      <c r="C40008" s="6">
        <v>399</v>
      </c>
      <c r="D40008" s="7">
        <v>3.6</v>
      </c>
      <c r="E40008" t="s">
        <v>105</v>
      </c>
    </row>
    <row r="40009" spans="1:5" x14ac:dyDescent="0.25">
      <c r="A40009" t="str">
        <f>HYPERLINK("https://www.773grp.com/globalSearch/MURF1620CTG/page-1", "MURF1620CTG")</f>
        <v>MURF1620CTG</v>
      </c>
      <c r="B40009" s="3" t="str">
        <f>HYPERLINK("https://www.773grp.com/manufacturer/onsemi?pageNo=717", "ON Semiconductor")</f>
        <v>ON Semiconductor</v>
      </c>
      <c r="C40009" s="6">
        <v>2550</v>
      </c>
      <c r="D40009" s="7">
        <v>3.6</v>
      </c>
      <c r="E40009" t="s">
        <v>103</v>
      </c>
    </row>
    <row r="40010" spans="1:5" x14ac:dyDescent="0.25">
      <c r="A40010" t="str">
        <f>HYPERLINK("https://www.773grp.com/globalSearch/NCP1205PG/page-1", "NCP1205PG")</f>
        <v>NCP1205PG</v>
      </c>
      <c r="B40010" s="3" t="str">
        <f>HYPERLINK("https://www.773grp.com/manufacturer/onsemi?pageNo=718", "ON Semiconductor")</f>
        <v>ON Semiconductor</v>
      </c>
      <c r="C40010" s="6">
        <v>245</v>
      </c>
      <c r="D40010" s="7">
        <v>3.6</v>
      </c>
      <c r="E40010" t="s">
        <v>7</v>
      </c>
    </row>
    <row r="40011" spans="1:5" x14ac:dyDescent="0.25">
      <c r="A40011" t="str">
        <f>HYPERLINK("https://www.773grp.com/globalSearch/NCP4413DR2/page-1", "NCP4413DR2")</f>
        <v>NCP4413DR2</v>
      </c>
      <c r="B40011" s="3" t="str">
        <f>HYPERLINK("https://www.773grp.com/manufacturer/onsemi?pageNo=719", "ON Semiconductor")</f>
        <v>ON Semiconductor</v>
      </c>
      <c r="C40011" s="6">
        <v>53256</v>
      </c>
      <c r="D40011" s="7">
        <v>3.6</v>
      </c>
      <c r="E40011" t="s">
        <v>16</v>
      </c>
    </row>
    <row r="40012" spans="1:5" x14ac:dyDescent="0.25">
      <c r="A40012" t="str">
        <f>HYPERLINK("https://www.773grp.com/globalSearch/NCP4413P/page-1", "NCP4413P")</f>
        <v>NCP4413P</v>
      </c>
      <c r="B40012" s="3" t="str">
        <f>HYPERLINK("https://www.773grp.com/manufacturer/onsemi?pageNo=720", "ON Semiconductor")</f>
        <v>ON Semiconductor</v>
      </c>
      <c r="C40012" s="6">
        <v>3512</v>
      </c>
      <c r="D40012" s="7">
        <v>3.6</v>
      </c>
      <c r="E40012" t="s">
        <v>16</v>
      </c>
    </row>
    <row r="40013" spans="1:5" x14ac:dyDescent="0.25">
      <c r="A40013" t="str">
        <f>HYPERLINK("https://www.773grp.com/globalSearch/NCP5218MNR2G/page-1", "NCP5218MNR2G")</f>
        <v>NCP5218MNR2G</v>
      </c>
      <c r="B40013" s="3" t="str">
        <f>HYPERLINK("https://www.773grp.com/manufacturer/onsemi?pageNo=721", "ON Semiconductor")</f>
        <v>ON Semiconductor</v>
      </c>
      <c r="C40013" s="6">
        <v>4402</v>
      </c>
      <c r="D40013" s="7">
        <v>3.6</v>
      </c>
      <c r="E40013" t="s">
        <v>7</v>
      </c>
    </row>
    <row r="40014" spans="1:5" x14ac:dyDescent="0.25">
      <c r="A40014" t="str">
        <f>HYPERLINK("https://www.773grp.com/globalSearch/NCP81018AMNR2G/page-1", "NCP81018AMNR2G")</f>
        <v>NCP81018AMNR2G</v>
      </c>
      <c r="B40014" s="3" t="str">
        <f>HYPERLINK("https://www.773grp.com/manufacturer/onsemi?pageNo=722", "ON Semiconductor")</f>
        <v>ON Semiconductor</v>
      </c>
      <c r="C40014" s="6">
        <v>70000</v>
      </c>
      <c r="D40014" s="7">
        <v>3.6</v>
      </c>
    </row>
    <row r="40015" spans="1:5" x14ac:dyDescent="0.25">
      <c r="A40015" t="str">
        <f>HYPERLINK("https://www.773grp.com/globalSearch/NCP81018BMNR2G/page-1", "NCP81018BMNR2G")</f>
        <v>NCP81018BMNR2G</v>
      </c>
      <c r="B40015" s="3" t="str">
        <f>HYPERLINK("https://www.773grp.com/manufacturer/onsemi?pageNo=723", "ON Semiconductor")</f>
        <v>ON Semiconductor</v>
      </c>
      <c r="C40015" s="6">
        <v>15000</v>
      </c>
      <c r="D40015" s="7">
        <v>3.6</v>
      </c>
    </row>
    <row r="40016" spans="1:5" x14ac:dyDescent="0.25">
      <c r="A40016" t="str">
        <f>HYPERLINK("https://www.773grp.com/globalSearch/NCS2502DG/page-1", "NCS2502DG")</f>
        <v>NCS2502DG</v>
      </c>
      <c r="B40016" s="3" t="str">
        <f>HYPERLINK("https://www.773grp.com/manufacturer/onsemi?pageNo=724", "ON Semiconductor")</f>
        <v>ON Semiconductor</v>
      </c>
      <c r="C40016" s="6">
        <v>882</v>
      </c>
      <c r="D40016" s="7">
        <v>3.6</v>
      </c>
      <c r="E40016" t="s">
        <v>18</v>
      </c>
    </row>
    <row r="40017" spans="1:5" x14ac:dyDescent="0.25">
      <c r="A40017" t="str">
        <f>HYPERLINK("https://www.773grp.com/globalSearch/NTB5412NT4G/page-1", "NTB5412NT4G")</f>
        <v>NTB5412NT4G</v>
      </c>
      <c r="B40017" s="3" t="str">
        <f>HYPERLINK("https://www.773grp.com/manufacturer/onsemi?pageNo=725", "ON Semiconductor")</f>
        <v>ON Semiconductor</v>
      </c>
      <c r="C40017" s="6">
        <v>23200</v>
      </c>
      <c r="D40017" s="7">
        <v>3.6</v>
      </c>
      <c r="E40017" t="s">
        <v>105</v>
      </c>
    </row>
    <row r="40018" spans="1:5" x14ac:dyDescent="0.25">
      <c r="A40018" t="str">
        <f>HYPERLINK("https://www.773grp.com/globalSearch/NTP5412NG/page-1", "NTP5412NG")</f>
        <v>NTP5412NG</v>
      </c>
      <c r="B40018" s="3" t="str">
        <f>HYPERLINK("https://www.773grp.com/manufacturer/onsemi?pageNo=726", "ON Semiconductor")</f>
        <v>ON Semiconductor</v>
      </c>
      <c r="C40018" s="6">
        <v>32060</v>
      </c>
      <c r="D40018" s="7">
        <v>3.6</v>
      </c>
      <c r="E40018" t="s">
        <v>105</v>
      </c>
    </row>
    <row r="40019" spans="1:5" x14ac:dyDescent="0.25">
      <c r="A40019" t="str">
        <f>HYPERLINK("https://www.773grp.com/globalSearch/CS2516KDR8/page-1", "CS2516KDR8")</f>
        <v>CS2516KDR8</v>
      </c>
      <c r="B40019" s="3" t="str">
        <f>HYPERLINK("https://www.773grp.com/manufacturer/onsemi?pageNo=727", "ON Semiconductor")</f>
        <v>ON Semiconductor</v>
      </c>
      <c r="C40019" s="6">
        <v>2500</v>
      </c>
      <c r="D40019" s="7">
        <v>3.26</v>
      </c>
      <c r="E40019" t="s">
        <v>30</v>
      </c>
    </row>
    <row r="40020" spans="1:5" x14ac:dyDescent="0.25">
      <c r="A40020" t="str">
        <f>HYPERLINK("https://www.773grp.com/globalSearch/CS8140YDW24/page-1", "CS8140YDW24")</f>
        <v>CS8140YDW24</v>
      </c>
      <c r="B40020" s="3" t="str">
        <f>HYPERLINK("https://www.773grp.com/manufacturer/onsemi?pageNo=728", "ON Semiconductor")</f>
        <v>ON Semiconductor</v>
      </c>
      <c r="C40020" s="6">
        <v>780</v>
      </c>
      <c r="D40020" s="7">
        <v>3.26</v>
      </c>
      <c r="E40020" t="s">
        <v>19</v>
      </c>
    </row>
    <row r="40021" spans="1:5" x14ac:dyDescent="0.25">
      <c r="A40021" t="str">
        <f>HYPERLINK("https://www.773grp.com/globalSearch/CS8140YDWR24/page-1", "CS8140YDWR24")</f>
        <v>CS8140YDWR24</v>
      </c>
      <c r="B40021" s="3" t="str">
        <f>HYPERLINK("https://www.773grp.com/manufacturer/onsemi?pageNo=729", "ON Semiconductor")</f>
        <v>ON Semiconductor</v>
      </c>
      <c r="C40021" s="6">
        <v>1000</v>
      </c>
      <c r="D40021" s="7">
        <v>3.26</v>
      </c>
      <c r="E40021" t="s">
        <v>19</v>
      </c>
    </row>
    <row r="40022" spans="1:5" x14ac:dyDescent="0.25">
      <c r="A40022" t="str">
        <f>HYPERLINK("https://www.773grp.com/globalSearch/LV8080LP-E/page-1", "LV8080LP-E")</f>
        <v>LV8080LP-E</v>
      </c>
      <c r="B40022" s="3" t="str">
        <f>HYPERLINK("https://www.773grp.com/manufacturer/onsemi?pageNo=730", "ON Semiconductor")</f>
        <v>ON Semiconductor</v>
      </c>
      <c r="C40022" s="6">
        <v>200</v>
      </c>
      <c r="D40022" s="7">
        <v>3.26</v>
      </c>
    </row>
    <row r="40023" spans="1:5" x14ac:dyDescent="0.25">
      <c r="A40023" t="str">
        <f>HYPERLINK("https://www.773grp.com/globalSearch/LV8080LP-TE-L-E/page-1", "LV8080LP-TE-L-E")</f>
        <v>LV8080LP-TE-L-E</v>
      </c>
      <c r="B40023" s="3" t="str">
        <f>HYPERLINK("https://www.773grp.com/manufacturer/onsemi?pageNo=731", "ON Semiconductor")</f>
        <v>ON Semiconductor</v>
      </c>
      <c r="C40023" s="6">
        <v>90</v>
      </c>
      <c r="D40023" s="7">
        <v>3.26</v>
      </c>
    </row>
    <row r="40024" spans="1:5" x14ac:dyDescent="0.25">
      <c r="A40024" t="str">
        <f>HYPERLINK("https://www.773grp.com/globalSearch/LV8400V-MPB-E/page-1", "LV8400V-MPB-E")</f>
        <v>LV8400V-MPB-E</v>
      </c>
      <c r="B40024" s="3" t="str">
        <f>HYPERLINK("https://www.773grp.com/manufacturer/onsemi?pageNo=732", "ON Semiconductor")</f>
        <v>ON Semiconductor</v>
      </c>
      <c r="C40024" s="6">
        <v>1530</v>
      </c>
      <c r="D40024" s="7">
        <v>3.26</v>
      </c>
    </row>
    <row r="40025" spans="1:5" x14ac:dyDescent="0.25">
      <c r="A40025" t="str">
        <f>HYPERLINK("https://www.773grp.com/globalSearch/LV8400V-TLM-E/page-1", "LV8400V-TLM-E")</f>
        <v>LV8400V-TLM-E</v>
      </c>
      <c r="B40025" s="3" t="str">
        <f>HYPERLINK("https://www.773grp.com/manufacturer/onsemi?pageNo=733", "ON Semiconductor")</f>
        <v>ON Semiconductor</v>
      </c>
      <c r="C40025" s="6">
        <v>100</v>
      </c>
      <c r="D40025" s="7">
        <v>3.26</v>
      </c>
    </row>
    <row r="40026" spans="1:5" x14ac:dyDescent="0.25">
      <c r="A40026" t="str">
        <f>HYPERLINK("https://www.773grp.com/globalSearch/MC10H123L/page-1", "MC10H123L")</f>
        <v>MC10H123L</v>
      </c>
      <c r="B40026" s="3" t="str">
        <f>HYPERLINK("https://www.773grp.com/manufacturer/onsemi?pageNo=734", "ON Semiconductor")</f>
        <v>ON Semiconductor</v>
      </c>
      <c r="C40026" s="6">
        <v>275</v>
      </c>
      <c r="D40026" s="7">
        <v>3.26</v>
      </c>
      <c r="E40026" t="s">
        <v>14</v>
      </c>
    </row>
    <row r="40027" spans="1:5" x14ac:dyDescent="0.25">
      <c r="A40027" t="str">
        <f>HYPERLINK("https://www.773grp.com/globalSearch/NCP1561DR2/page-1", "NCP1561DR2")</f>
        <v>NCP1561DR2</v>
      </c>
      <c r="B40027" s="3" t="str">
        <f>HYPERLINK("https://www.773grp.com/manufacturer/onsemi?pageNo=735", "ON Semiconductor")</f>
        <v>ON Semiconductor</v>
      </c>
      <c r="C40027" s="6">
        <v>17500</v>
      </c>
      <c r="D40027" s="7">
        <v>3.26</v>
      </c>
      <c r="E40027" t="s">
        <v>7</v>
      </c>
    </row>
    <row r="40028" spans="1:5" x14ac:dyDescent="0.25">
      <c r="A40028" t="str">
        <f>HYPERLINK("https://www.773grp.com/globalSearch/NCP1561DR2G/page-1", "NCP1561DR2G")</f>
        <v>NCP1561DR2G</v>
      </c>
      <c r="B40028" s="3" t="str">
        <f>HYPERLINK("https://www.773grp.com/manufacturer/onsemi?pageNo=736", "ON Semiconductor")</f>
        <v>ON Semiconductor</v>
      </c>
      <c r="C40028" s="6">
        <v>2500</v>
      </c>
      <c r="D40028" s="7">
        <v>3.26</v>
      </c>
      <c r="E40028" t="s">
        <v>7</v>
      </c>
    </row>
    <row r="40029" spans="1:5" x14ac:dyDescent="0.25">
      <c r="A40029" t="str">
        <f>HYPERLINK("https://www.773grp.com/globalSearch/CAT24M01XI/page-1", "CAT24M01XI")</f>
        <v>CAT24M01XI</v>
      </c>
      <c r="B40029" s="3" t="str">
        <f>HYPERLINK("https://www.773grp.com/manufacturer/onsemi?pageNo=737", "ON Semiconductor")</f>
        <v>ON Semiconductor</v>
      </c>
      <c r="C40029" s="6">
        <v>2726</v>
      </c>
      <c r="D40029" s="7">
        <v>3.29</v>
      </c>
    </row>
    <row r="40030" spans="1:5" x14ac:dyDescent="0.25">
      <c r="A40030" t="str">
        <f>HYPERLINK("https://www.773grp.com/globalSearch/CAT5111VI-00-GT3/page-1", "CAT5111VI-00-GT3")</f>
        <v>CAT5111VI-00-GT3</v>
      </c>
      <c r="B40030" s="3" t="str">
        <f>HYPERLINK("https://www.773grp.com/manufacturer/onsemi?pageNo=738", "ON Semiconductor")</f>
        <v>ON Semiconductor</v>
      </c>
      <c r="C40030" s="6">
        <v>3000</v>
      </c>
      <c r="D40030" s="7">
        <v>3.29</v>
      </c>
      <c r="E40030" t="s">
        <v>99</v>
      </c>
    </row>
    <row r="40031" spans="1:5" x14ac:dyDescent="0.25">
      <c r="A40031" t="str">
        <f>HYPERLINK("https://www.773grp.com/globalSearch/CAT5111VI-50-GT3/page-1", "CAT5111VI-50-GT3")</f>
        <v>CAT5111VI-50-GT3</v>
      </c>
      <c r="B40031" s="3" t="str">
        <f>HYPERLINK("https://www.773grp.com/manufacturer/onsemi?pageNo=739", "ON Semiconductor")</f>
        <v>ON Semiconductor</v>
      </c>
      <c r="C40031" s="6">
        <v>9000</v>
      </c>
      <c r="D40031" s="7">
        <v>3.29</v>
      </c>
      <c r="E40031" t="s">
        <v>99</v>
      </c>
    </row>
    <row r="40032" spans="1:5" x14ac:dyDescent="0.25">
      <c r="A40032" t="str">
        <f>HYPERLINK("https://www.773grp.com/globalSearch/CAT5111YI-10-G/page-1", "CAT5111YI-10-G")</f>
        <v>CAT5111YI-10-G</v>
      </c>
      <c r="B40032" s="3" t="str">
        <f>HYPERLINK("https://www.773grp.com/manufacturer/onsemi?pageNo=740", "ON Semiconductor")</f>
        <v>ON Semiconductor</v>
      </c>
      <c r="C40032" s="6">
        <v>540</v>
      </c>
      <c r="D40032" s="7">
        <v>3.29</v>
      </c>
      <c r="E40032" t="s">
        <v>99</v>
      </c>
    </row>
    <row r="40033" spans="1:5" x14ac:dyDescent="0.25">
      <c r="A40033" t="str">
        <f>HYPERLINK("https://www.773grp.com/globalSearch/CAT5111YI-50-G/page-1", "CAT5111YI-50-G")</f>
        <v>CAT5111YI-50-G</v>
      </c>
      <c r="B40033" s="3" t="str">
        <f>HYPERLINK("https://www.773grp.com/manufacturer/onsemi?pageNo=741", "ON Semiconductor")</f>
        <v>ON Semiconductor</v>
      </c>
      <c r="C40033" s="6">
        <v>500</v>
      </c>
      <c r="D40033" s="7">
        <v>3.29</v>
      </c>
      <c r="E40033" t="s">
        <v>99</v>
      </c>
    </row>
    <row r="40034" spans="1:5" x14ac:dyDescent="0.25">
      <c r="A40034" t="str">
        <f>HYPERLINK("https://www.773grp.com/globalSearch/CS5124XDR8G/page-1", "CS5124XDR8G")</f>
        <v>CS5124XDR8G</v>
      </c>
      <c r="B40034" s="3" t="str">
        <f>HYPERLINK("https://www.773grp.com/manufacturer/onsemi?pageNo=742", "ON Semiconductor")</f>
        <v>ON Semiconductor</v>
      </c>
      <c r="C40034" s="6">
        <v>2500</v>
      </c>
      <c r="D40034" s="7">
        <v>3.29</v>
      </c>
    </row>
    <row r="40035" spans="1:5" x14ac:dyDescent="0.25">
      <c r="A40035" t="str">
        <f>HYPERLINK("https://www.773grp.com/globalSearch/LM4040AIZ-10.0-NOPB/page-1", "LM4040AIZ-10.0-NOPB")</f>
        <v>LM4040AIZ-10.0-NOPB</v>
      </c>
      <c r="B40035" s="3" t="str">
        <f>HYPERLINK("https://www.773grp.com/manufacturer/onsemi?pageNo=743", "ON Semiconductor")</f>
        <v>ON Semiconductor</v>
      </c>
      <c r="C40035" s="6">
        <v>1256</v>
      </c>
      <c r="D40035" s="7">
        <v>3.65</v>
      </c>
      <c r="E40035" t="s">
        <v>17</v>
      </c>
    </row>
    <row r="40036" spans="1:5" x14ac:dyDescent="0.25">
      <c r="A40036" t="str">
        <f>HYPERLINK("https://www.773grp.com/globalSearch/BDV64BG/page-1", "BDV64BG")</f>
        <v>BDV64BG</v>
      </c>
      <c r="B40036" s="3" t="str">
        <f>HYPERLINK("https://www.773grp.com/manufacturer/onsemi?pageNo=744", "ON Semiconductor")</f>
        <v>ON Semiconductor</v>
      </c>
      <c r="C40036" s="6">
        <v>300</v>
      </c>
      <c r="D40036" s="7">
        <v>3.65</v>
      </c>
    </row>
    <row r="40037" spans="1:5" x14ac:dyDescent="0.25">
      <c r="A40037" t="str">
        <f>HYPERLINK("https://www.773grp.com/globalSearch/BUH150G/page-1", "BUH150G")</f>
        <v>BUH150G</v>
      </c>
      <c r="B40037" s="3" t="str">
        <f>HYPERLINK("https://www.773grp.com/manufacturer/onsemi?pageNo=745", "ON Semiconductor")</f>
        <v>ON Semiconductor</v>
      </c>
      <c r="C40037" s="6">
        <v>2182</v>
      </c>
      <c r="D40037" s="7">
        <v>3.65</v>
      </c>
      <c r="E40037" t="s">
        <v>59</v>
      </c>
    </row>
    <row r="40038" spans="1:5" x14ac:dyDescent="0.25">
      <c r="A40038" t="str">
        <f>HYPERLINK("https://www.773grp.com/globalSearch/MGP20N14CL/page-1", "MGP20N14CL")</f>
        <v>MGP20N14CL</v>
      </c>
      <c r="B40038" s="3" t="str">
        <f>HYPERLINK("https://www.773grp.com/manufacturer/onsemi?pageNo=746", "ON Semiconductor")</f>
        <v>ON Semiconductor</v>
      </c>
      <c r="C40038" s="6">
        <v>6610</v>
      </c>
      <c r="D40038" s="7">
        <v>3.65</v>
      </c>
      <c r="E40038" t="s">
        <v>115</v>
      </c>
    </row>
    <row r="40039" spans="1:5" x14ac:dyDescent="0.25">
      <c r="A40039" t="str">
        <f>HYPERLINK("https://www.773grp.com/globalSearch/MGP20N36CL/page-1", "MGP20N36CL")</f>
        <v>MGP20N36CL</v>
      </c>
      <c r="B40039" s="3" t="str">
        <f>HYPERLINK("https://www.773grp.com/manufacturer/onsemi?pageNo=747", "ON Semiconductor")</f>
        <v>ON Semiconductor</v>
      </c>
      <c r="C40039" s="6">
        <v>82920</v>
      </c>
      <c r="D40039" s="7">
        <v>3.65</v>
      </c>
    </row>
    <row r="40040" spans="1:5" x14ac:dyDescent="0.25">
      <c r="A40040" t="str">
        <f>HYPERLINK("https://www.773grp.com/globalSearch/MTP10N40E/page-1", "MTP10N40E")</f>
        <v>MTP10N40E</v>
      </c>
      <c r="B40040" s="3" t="str">
        <f>HYPERLINK("https://www.773grp.com/manufacturer/onsemi?pageNo=748", "ON Semiconductor")</f>
        <v>ON Semiconductor</v>
      </c>
      <c r="C40040" s="6">
        <v>3826</v>
      </c>
      <c r="D40040" s="7">
        <v>3.65</v>
      </c>
      <c r="E40040" t="s">
        <v>105</v>
      </c>
    </row>
    <row r="40041" spans="1:5" x14ac:dyDescent="0.25">
      <c r="A40041" t="str">
        <f>HYPERLINK("https://www.773grp.com/globalSearch/NCP1546DR2G/page-1", "NCP1546DR2G")</f>
        <v>NCP1546DR2G</v>
      </c>
      <c r="B40041" s="3" t="str">
        <f>HYPERLINK("https://www.773grp.com/manufacturer/onsemi?pageNo=749", "ON Semiconductor")</f>
        <v>ON Semiconductor</v>
      </c>
      <c r="C40041" s="6">
        <v>2500</v>
      </c>
      <c r="D40041" s="7">
        <v>3.65</v>
      </c>
      <c r="E40041" t="s">
        <v>7</v>
      </c>
    </row>
    <row r="40042" spans="1:5" x14ac:dyDescent="0.25">
      <c r="A40042" t="str">
        <f>HYPERLINK("https://www.773grp.com/globalSearch/NCP81081MNR2G/page-1", "NCP81081MNR2G")</f>
        <v>NCP81081MNR2G</v>
      </c>
      <c r="B40042" s="3" t="str">
        <f>HYPERLINK("https://www.773grp.com/manufacturer/onsemi?pageNo=750", "ON Semiconductor")</f>
        <v>ON Semiconductor</v>
      </c>
      <c r="C40042" s="6">
        <v>2500</v>
      </c>
      <c r="D40042" s="7">
        <v>3.65</v>
      </c>
    </row>
    <row r="40043" spans="1:5" x14ac:dyDescent="0.25">
      <c r="A40043" t="str">
        <f>HYPERLINK("https://www.773grp.com/globalSearch/NCV4269ADW50G/page-1", "NCV4269ADW50G")</f>
        <v>NCV4269ADW50G</v>
      </c>
      <c r="B40043" s="3" t="str">
        <f>HYPERLINK("https://www.773grp.com/manufacturer/onsemi?pageNo=751", "ON Semiconductor")</f>
        <v>ON Semiconductor</v>
      </c>
      <c r="C40043" s="6">
        <v>1482</v>
      </c>
      <c r="D40043" s="7">
        <v>3.65</v>
      </c>
      <c r="E40043" t="s">
        <v>19</v>
      </c>
    </row>
    <row r="40044" spans="1:5" x14ac:dyDescent="0.25">
      <c r="A40044" t="str">
        <f>HYPERLINK("https://www.773grp.com/globalSearch/NCV86601D50R2G/page-1", "NCV86601D50R2G")</f>
        <v>NCV86601D50R2G</v>
      </c>
      <c r="B40044" s="3" t="str">
        <f>HYPERLINK("https://www.773grp.com/manufacturer/onsemi?pageNo=752", "ON Semiconductor")</f>
        <v>ON Semiconductor</v>
      </c>
      <c r="C40044" s="6">
        <v>2450</v>
      </c>
      <c r="D40044" s="7">
        <v>3.65</v>
      </c>
      <c r="E40044" t="s">
        <v>19</v>
      </c>
    </row>
    <row r="40045" spans="1:5" x14ac:dyDescent="0.25">
      <c r="A40045" t="str">
        <f>HYPERLINK("https://www.773grp.com/globalSearch/NCV86602BD33R2G/page-1", "NCV86602BD33R2G")</f>
        <v>NCV86602BD33R2G</v>
      </c>
      <c r="B40045" s="3" t="str">
        <f>HYPERLINK("https://www.773grp.com/manufacturer/onsemi?pageNo=753", "ON Semiconductor")</f>
        <v>ON Semiconductor</v>
      </c>
      <c r="C40045" s="6">
        <v>5000</v>
      </c>
      <c r="D40045" s="7">
        <v>3.65</v>
      </c>
    </row>
    <row r="40046" spans="1:5" x14ac:dyDescent="0.25">
      <c r="A40046" t="str">
        <f>HYPERLINK("https://www.773grp.com/globalSearch/NCV86603BD33R2G/page-1", "NCV86603BD33R2G")</f>
        <v>NCV86603BD33R2G</v>
      </c>
      <c r="B40046" s="3" t="str">
        <f>HYPERLINK("https://www.773grp.com/manufacturer/onsemi?pageNo=754", "ON Semiconductor")</f>
        <v>ON Semiconductor</v>
      </c>
      <c r="C40046" s="6">
        <v>4113</v>
      </c>
      <c r="D40046" s="7">
        <v>3.65</v>
      </c>
    </row>
    <row r="40047" spans="1:5" x14ac:dyDescent="0.25">
      <c r="A40047" t="str">
        <f>HYPERLINK("https://www.773grp.com/globalSearch/NCV86603BD50R2G/page-1", "NCV86603BD50R2G")</f>
        <v>NCV86603BD50R2G</v>
      </c>
      <c r="B40047" s="3" t="str">
        <f>HYPERLINK("https://www.773grp.com/manufacturer/onsemi?pageNo=755", "ON Semiconductor")</f>
        <v>ON Semiconductor</v>
      </c>
      <c r="C40047" s="6">
        <v>7500</v>
      </c>
      <c r="D40047" s="7">
        <v>3.65</v>
      </c>
      <c r="E40047" t="s">
        <v>19</v>
      </c>
    </row>
    <row r="40048" spans="1:5" x14ac:dyDescent="0.25">
      <c r="A40048" t="str">
        <f>HYPERLINK("https://www.773grp.com/globalSearch/NCV86604BD33R2G/page-1", "NCV86604BD33R2G")</f>
        <v>NCV86604BD33R2G</v>
      </c>
      <c r="B40048" s="3" t="str">
        <f>HYPERLINK("https://www.773grp.com/manufacturer/onsemi?pageNo=756", "ON Semiconductor")</f>
        <v>ON Semiconductor</v>
      </c>
      <c r="C40048" s="6">
        <v>2500</v>
      </c>
      <c r="D40048" s="7">
        <v>3.65</v>
      </c>
    </row>
    <row r="40049" spans="1:5" x14ac:dyDescent="0.25">
      <c r="A40049" t="str">
        <f>HYPERLINK("https://www.773grp.com/globalSearch/STD1028T4/page-1", "STD1028T4")</f>
        <v>STD1028T4</v>
      </c>
      <c r="B40049" s="3" t="str">
        <f>HYPERLINK("https://www.773grp.com/manufacturer/onsemi?pageNo=757", "ON Semiconductor")</f>
        <v>ON Semiconductor</v>
      </c>
      <c r="C40049" s="6">
        <v>75000</v>
      </c>
      <c r="D40049" s="7">
        <v>3.65</v>
      </c>
    </row>
    <row r="40050" spans="1:5" x14ac:dyDescent="0.25">
      <c r="A40050" t="str">
        <f>HYPERLINK("https://www.773grp.com/globalSearch/STD1047T4/page-1", "STD1047T4")</f>
        <v>STD1047T4</v>
      </c>
      <c r="B40050" s="3" t="str">
        <f>HYPERLINK("https://www.773grp.com/manufacturer/onsemi?pageNo=758", "ON Semiconductor")</f>
        <v>ON Semiconductor</v>
      </c>
      <c r="C40050" s="6">
        <v>12500</v>
      </c>
      <c r="D40050" s="7">
        <v>3.65</v>
      </c>
    </row>
    <row r="40051" spans="1:5" x14ac:dyDescent="0.25">
      <c r="A40051" t="str">
        <f>HYPERLINK("https://www.773grp.com/globalSearch/STD1057T4/page-1", "STD1057T4")</f>
        <v>STD1057T4</v>
      </c>
      <c r="B40051" s="3" t="str">
        <f>HYPERLINK("https://www.773grp.com/manufacturer/onsemi?pageNo=759", "ON Semiconductor")</f>
        <v>ON Semiconductor</v>
      </c>
      <c r="C40051" s="6">
        <v>2500</v>
      </c>
      <c r="D40051" s="7">
        <v>3.65</v>
      </c>
    </row>
    <row r="40052" spans="1:5" x14ac:dyDescent="0.25">
      <c r="A40052" t="str">
        <f>HYPERLINK("https://www.773grp.com/globalSearch/CS2001YDWFR20/page-1", "CS2001YDWFR20")</f>
        <v>CS2001YDWFR20</v>
      </c>
      <c r="B40052" s="3" t="str">
        <f>HYPERLINK("https://www.773grp.com/manufacturer/onsemi?pageNo=760", "ON Semiconductor")</f>
        <v>ON Semiconductor</v>
      </c>
      <c r="C40052" s="6">
        <v>1000</v>
      </c>
      <c r="D40052" s="7">
        <v>3.33</v>
      </c>
      <c r="E40052" t="s">
        <v>7</v>
      </c>
    </row>
    <row r="40053" spans="1:5" x14ac:dyDescent="0.25">
      <c r="A40053" t="str">
        <f>HYPERLINK("https://www.773grp.com/globalSearch/CS5120KDR16/page-1", "CS5120KDR16")</f>
        <v>CS5120KDR16</v>
      </c>
      <c r="B40053" s="3" t="str">
        <f>HYPERLINK("https://www.773grp.com/manufacturer/onsemi?pageNo=761", "ON Semiconductor")</f>
        <v>ON Semiconductor</v>
      </c>
      <c r="C40053" s="6">
        <v>2500</v>
      </c>
      <c r="D40053" s="7">
        <v>3.33</v>
      </c>
    </row>
    <row r="40054" spans="1:5" x14ac:dyDescent="0.25">
      <c r="A40054" t="str">
        <f>HYPERLINK("https://www.773grp.com/globalSearch/CS5121KD16/page-1", "CS5121KD16")</f>
        <v>CS5121KD16</v>
      </c>
      <c r="B40054" s="3" t="str">
        <f>HYPERLINK("https://www.773grp.com/manufacturer/onsemi?pageNo=762", "ON Semiconductor")</f>
        <v>ON Semiconductor</v>
      </c>
      <c r="C40054" s="6">
        <v>4473</v>
      </c>
      <c r="D40054" s="7">
        <v>3.33</v>
      </c>
    </row>
    <row r="40055" spans="1:5" x14ac:dyDescent="0.25">
      <c r="A40055" t="str">
        <f>HYPERLINK("https://www.773grp.com/globalSearch/CS59201GD8/page-1", "CS59201GD8")</f>
        <v>CS59201GD8</v>
      </c>
      <c r="B40055" s="3" t="str">
        <f>HYPERLINK("https://www.773grp.com/manufacturer/onsemi?pageNo=763", "ON Semiconductor")</f>
        <v>ON Semiconductor</v>
      </c>
      <c r="C40055" s="6">
        <v>1078</v>
      </c>
      <c r="D40055" s="7">
        <v>3.33</v>
      </c>
      <c r="E40055" t="s">
        <v>18</v>
      </c>
    </row>
    <row r="40056" spans="1:5" x14ac:dyDescent="0.25">
      <c r="A40056" t="str">
        <f>HYPERLINK("https://www.773grp.com/globalSearch/CS59201GDR8/page-1", "CS59201GDR8")</f>
        <v>CS59201GDR8</v>
      </c>
      <c r="B40056" s="3" t="str">
        <f>HYPERLINK("https://www.773grp.com/manufacturer/onsemi?pageNo=764", "ON Semiconductor")</f>
        <v>ON Semiconductor</v>
      </c>
      <c r="C40056" s="6">
        <v>25000</v>
      </c>
      <c r="D40056" s="7">
        <v>3.33</v>
      </c>
      <c r="E40056" t="s">
        <v>18</v>
      </c>
    </row>
    <row r="40057" spans="1:5" x14ac:dyDescent="0.25">
      <c r="A40057" t="str">
        <f>HYPERLINK("https://www.773grp.com/globalSearch/LV8402GP-H/page-1", "LV8402GP-H")</f>
        <v>LV8402GP-H</v>
      </c>
      <c r="B40057" s="3" t="str">
        <f>HYPERLINK("https://www.773grp.com/manufacturer/onsemi?pageNo=765", "ON Semiconductor")</f>
        <v>ON Semiconductor</v>
      </c>
      <c r="C40057" s="6">
        <v>200</v>
      </c>
      <c r="D40057" s="7">
        <v>3.33</v>
      </c>
    </row>
    <row r="40058" spans="1:5" x14ac:dyDescent="0.25">
      <c r="A40058" t="str">
        <f>HYPERLINK("https://www.773grp.com/globalSearch/LV8402GP-TE-L-H/page-1", "LV8402GP-TE-L-H")</f>
        <v>LV8402GP-TE-L-H</v>
      </c>
      <c r="B40058" s="3" t="str">
        <f>HYPERLINK("https://www.773grp.com/manufacturer/onsemi?pageNo=766", "ON Semiconductor")</f>
        <v>ON Semiconductor</v>
      </c>
      <c r="C40058" s="6">
        <v>2000</v>
      </c>
      <c r="D40058" s="7">
        <v>3.33</v>
      </c>
    </row>
    <row r="40059" spans="1:5" x14ac:dyDescent="0.25">
      <c r="A40059" t="str">
        <f>HYPERLINK("https://www.773grp.com/globalSearch/NCV8504PW25G/page-1", "NCV8504PW25G")</f>
        <v>NCV8504PW25G</v>
      </c>
      <c r="B40059" s="3" t="str">
        <f>HYPERLINK("https://www.773grp.com/manufacturer/onsemi?pageNo=767", "ON Semiconductor")</f>
        <v>ON Semiconductor</v>
      </c>
      <c r="C40059" s="6">
        <v>1645</v>
      </c>
      <c r="D40059" s="7">
        <v>3.33</v>
      </c>
      <c r="E40059" t="s">
        <v>19</v>
      </c>
    </row>
    <row r="40060" spans="1:5" x14ac:dyDescent="0.25">
      <c r="A40060" t="str">
        <f>HYPERLINK("https://www.773grp.com/globalSearch/NCV8504PW25R2G/page-1", "NCV8504PW25R2G")</f>
        <v>NCV8504PW25R2G</v>
      </c>
      <c r="B40060" s="3" t="str">
        <f>HYPERLINK("https://www.773grp.com/manufacturer/onsemi?pageNo=768", "ON Semiconductor")</f>
        <v>ON Semiconductor</v>
      </c>
      <c r="C40060" s="6">
        <v>2000</v>
      </c>
      <c r="D40060" s="7">
        <v>3.33</v>
      </c>
      <c r="E40060" t="s">
        <v>19</v>
      </c>
    </row>
    <row r="40061" spans="1:5" x14ac:dyDescent="0.25">
      <c r="A40061" t="str">
        <f>HYPERLINK("https://www.773grp.com/globalSearch/NCV8504PW33G/page-1", "NCV8504PW33G")</f>
        <v>NCV8504PW33G</v>
      </c>
      <c r="B40061" s="3" t="str">
        <f>HYPERLINK("https://www.773grp.com/manufacturer/onsemi?pageNo=769", "ON Semiconductor")</f>
        <v>ON Semiconductor</v>
      </c>
      <c r="C40061" s="6">
        <v>787</v>
      </c>
      <c r="D40061" s="7">
        <v>3.33</v>
      </c>
      <c r="E40061" t="s">
        <v>19</v>
      </c>
    </row>
    <row r="40062" spans="1:5" x14ac:dyDescent="0.25">
      <c r="A40062" t="str">
        <f>HYPERLINK("https://www.773grp.com/globalSearch/NCV8504PW33R2G/page-1", "NCV8504PW33R2G")</f>
        <v>NCV8504PW33R2G</v>
      </c>
      <c r="B40062" s="3" t="str">
        <f>HYPERLINK("https://www.773grp.com/manufacturer/onsemi?pageNo=770", "ON Semiconductor")</f>
        <v>ON Semiconductor</v>
      </c>
      <c r="C40062" s="6">
        <v>2980</v>
      </c>
      <c r="D40062" s="7">
        <v>3.33</v>
      </c>
      <c r="E40062" t="s">
        <v>19</v>
      </c>
    </row>
    <row r="40063" spans="1:5" x14ac:dyDescent="0.25">
      <c r="A40063" t="str">
        <f>HYPERLINK("https://www.773grp.com/globalSearch/NCV8504PW50G/page-1", "NCV8504PW50G")</f>
        <v>NCV8504PW50G</v>
      </c>
      <c r="B40063" s="3" t="str">
        <f>HYPERLINK("https://www.773grp.com/manufacturer/onsemi?pageNo=771", "ON Semiconductor")</f>
        <v>ON Semiconductor</v>
      </c>
      <c r="C40063" s="6">
        <v>887</v>
      </c>
      <c r="D40063" s="7">
        <v>3.33</v>
      </c>
      <c r="E40063" t="s">
        <v>19</v>
      </c>
    </row>
    <row r="40064" spans="1:5" x14ac:dyDescent="0.25">
      <c r="A40064" t="str">
        <f>HYPERLINK("https://www.773grp.com/globalSearch/NCV8504PW50R2G/page-1", "NCV8504PW50R2G")</f>
        <v>NCV8504PW50R2G</v>
      </c>
      <c r="B40064" s="3" t="str">
        <f>HYPERLINK("https://www.773grp.com/manufacturer/onsemi?pageNo=772", "ON Semiconductor")</f>
        <v>ON Semiconductor</v>
      </c>
      <c r="C40064" s="6">
        <v>4779</v>
      </c>
      <c r="D40064" s="7">
        <v>3.33</v>
      </c>
      <c r="E40064" t="s">
        <v>19</v>
      </c>
    </row>
    <row r="40065" spans="1:5" x14ac:dyDescent="0.25">
      <c r="A40065" t="str">
        <f>HYPERLINK("https://www.773grp.com/globalSearch/NCV8504PWADJG/page-1", "NCV8504PWADJG")</f>
        <v>NCV8504PWADJG</v>
      </c>
      <c r="B40065" s="3" t="str">
        <f>HYPERLINK("https://www.773grp.com/manufacturer/onsemi?pageNo=773", "ON Semiconductor")</f>
        <v>ON Semiconductor</v>
      </c>
      <c r="C40065" s="6">
        <v>5264</v>
      </c>
      <c r="D40065" s="7">
        <v>3.33</v>
      </c>
      <c r="E40065" t="s">
        <v>25</v>
      </c>
    </row>
    <row r="40066" spans="1:5" x14ac:dyDescent="0.25">
      <c r="A40066" t="str">
        <f>HYPERLINK("https://www.773grp.com/globalSearch/NCV8504PWADJR2G/page-1", "NCV8504PWADJR2G")</f>
        <v>NCV8504PWADJR2G</v>
      </c>
      <c r="B40066" s="3" t="str">
        <f>HYPERLINK("https://www.773grp.com/manufacturer/onsemi?pageNo=774", "ON Semiconductor")</f>
        <v>ON Semiconductor</v>
      </c>
      <c r="C40066" s="6">
        <v>2000</v>
      </c>
      <c r="D40066" s="7">
        <v>3.33</v>
      </c>
      <c r="E40066" t="s">
        <v>25</v>
      </c>
    </row>
    <row r="40067" spans="1:5" x14ac:dyDescent="0.25">
      <c r="A40067" t="str">
        <f>HYPERLINK("https://www.773grp.com/globalSearch/ADP3208JCPZ-RL/page-1", "ADP3208JCPZ-RL")</f>
        <v>ADP3208JCPZ-RL</v>
      </c>
      <c r="B40067" s="3" t="str">
        <f>HYPERLINK("https://www.773grp.com/manufacturer/onsemi?pageNo=775", "ON Semiconductor")</f>
        <v>ON Semiconductor</v>
      </c>
      <c r="C40067" s="6">
        <v>62252</v>
      </c>
      <c r="D40067" s="7">
        <v>3.7</v>
      </c>
      <c r="E40067" t="s">
        <v>7</v>
      </c>
    </row>
    <row r="40068" spans="1:5" x14ac:dyDescent="0.25">
      <c r="A40068" t="str">
        <f>HYPERLINK("https://www.773grp.com/globalSearch/CAT1161WI-28-G/page-1", "CAT1161WI-28-G")</f>
        <v>CAT1161WI-28-G</v>
      </c>
      <c r="B40068" s="3" t="str">
        <f>HYPERLINK("https://www.773grp.com/manufacturer/onsemi?pageNo=776", "ON Semiconductor")</f>
        <v>ON Semiconductor</v>
      </c>
      <c r="C40068" s="6">
        <v>10600</v>
      </c>
      <c r="D40068" s="7">
        <v>3.7</v>
      </c>
    </row>
    <row r="40069" spans="1:5" x14ac:dyDescent="0.25">
      <c r="A40069" t="str">
        <f>HYPERLINK("https://www.773grp.com/globalSearch/CAT1161WI-30-G/page-1", "CAT1161WI-30-G")</f>
        <v>CAT1161WI-30-G</v>
      </c>
      <c r="B40069" s="3" t="str">
        <f>HYPERLINK("https://www.773grp.com/manufacturer/onsemi?pageNo=777", "ON Semiconductor")</f>
        <v>ON Semiconductor</v>
      </c>
      <c r="C40069" s="6">
        <v>2100</v>
      </c>
      <c r="D40069" s="7">
        <v>3.7</v>
      </c>
    </row>
    <row r="40070" spans="1:5" x14ac:dyDescent="0.25">
      <c r="A40070" t="str">
        <f>HYPERLINK("https://www.773grp.com/globalSearch/CAT1161WI-42-G/page-1", "CAT1161WI-42-G")</f>
        <v>CAT1161WI-42-G</v>
      </c>
      <c r="B40070" s="3" t="str">
        <f>HYPERLINK("https://www.773grp.com/manufacturer/onsemi?pageNo=778", "ON Semiconductor")</f>
        <v>ON Semiconductor</v>
      </c>
      <c r="C40070" s="6">
        <v>9193</v>
      </c>
      <c r="D40070" s="7">
        <v>3.7</v>
      </c>
    </row>
    <row r="40071" spans="1:5" x14ac:dyDescent="0.25">
      <c r="A40071" t="str">
        <f>HYPERLINK("https://www.773grp.com/globalSearch/CAT1161WI-45-G/page-1", "CAT1161WI-45-G")</f>
        <v>CAT1161WI-45-G</v>
      </c>
      <c r="B40071" s="3" t="str">
        <f>HYPERLINK("https://www.773grp.com/manufacturer/onsemi?pageNo=779", "ON Semiconductor")</f>
        <v>ON Semiconductor</v>
      </c>
      <c r="C40071" s="6">
        <v>425</v>
      </c>
      <c r="D40071" s="7">
        <v>3.7</v>
      </c>
    </row>
    <row r="40072" spans="1:5" x14ac:dyDescent="0.25">
      <c r="A40072" t="str">
        <f>HYPERLINK("https://www.773grp.com/globalSearch/CAT1163WI-28-G/page-1", "CAT1163WI-28-G")</f>
        <v>CAT1163WI-28-G</v>
      </c>
      <c r="B40072" s="3" t="str">
        <f>HYPERLINK("https://www.773grp.com/manufacturer/onsemi?pageNo=780", "ON Semiconductor")</f>
        <v>ON Semiconductor</v>
      </c>
      <c r="C40072" s="6">
        <v>400</v>
      </c>
      <c r="D40072" s="7">
        <v>3.7</v>
      </c>
    </row>
    <row r="40073" spans="1:5" x14ac:dyDescent="0.25">
      <c r="A40073" t="str">
        <f>HYPERLINK("https://www.773grp.com/globalSearch/CAT1163WI-30-G/page-1", "CAT1163WI-30-G")</f>
        <v>CAT1163WI-30-G</v>
      </c>
      <c r="B40073" s="3" t="str">
        <f>HYPERLINK("https://www.773grp.com/manufacturer/onsemi?pageNo=781", "ON Semiconductor")</f>
        <v>ON Semiconductor</v>
      </c>
      <c r="C40073" s="6">
        <v>700</v>
      </c>
      <c r="D40073" s="7">
        <v>3.7</v>
      </c>
    </row>
    <row r="40074" spans="1:5" x14ac:dyDescent="0.25">
      <c r="A40074" t="str">
        <f>HYPERLINK("https://www.773grp.com/globalSearch/CAT1163WI-45-G/page-1", "CAT1163WI-45-G")</f>
        <v>CAT1163WI-45-G</v>
      </c>
      <c r="B40074" s="3" t="str">
        <f>HYPERLINK("https://www.773grp.com/manufacturer/onsemi?pageNo=782", "ON Semiconductor")</f>
        <v>ON Semiconductor</v>
      </c>
      <c r="C40074" s="6">
        <v>4695</v>
      </c>
      <c r="D40074" s="7">
        <v>3.7</v>
      </c>
    </row>
    <row r="40075" spans="1:5" x14ac:dyDescent="0.25">
      <c r="A40075" t="str">
        <f>HYPERLINK("https://www.773grp.com/globalSearch/CS5171GD8G/page-1", "CS5171GD8G")</f>
        <v>CS5171GD8G</v>
      </c>
      <c r="B40075" s="3" t="str">
        <f>HYPERLINK("https://www.773grp.com/manufacturer/onsemi?pageNo=783", "ON Semiconductor")</f>
        <v>ON Semiconductor</v>
      </c>
      <c r="C40075" s="6">
        <v>2318</v>
      </c>
      <c r="D40075" s="7">
        <v>3.7</v>
      </c>
      <c r="E40075" t="s">
        <v>7</v>
      </c>
    </row>
    <row r="40076" spans="1:5" x14ac:dyDescent="0.25">
      <c r="A40076" t="str">
        <f>HYPERLINK("https://www.773grp.com/globalSearch/CS5171GDR8G/page-1", "CS5171GDR8G")</f>
        <v>CS5171GDR8G</v>
      </c>
      <c r="B40076" s="3" t="str">
        <f>HYPERLINK("https://www.773grp.com/manufacturer/onsemi?pageNo=784", "ON Semiconductor")</f>
        <v>ON Semiconductor</v>
      </c>
      <c r="C40076" s="6">
        <v>7668</v>
      </c>
      <c r="D40076" s="7">
        <v>3.7</v>
      </c>
      <c r="E40076" t="s">
        <v>7</v>
      </c>
    </row>
    <row r="40077" spans="1:5" x14ac:dyDescent="0.25">
      <c r="A40077" t="str">
        <f>HYPERLINK("https://www.773grp.com/globalSearch/CS5172GD8G/page-1", "CS5172GD8G")</f>
        <v>CS5172GD8G</v>
      </c>
      <c r="B40077" s="3" t="str">
        <f>HYPERLINK("https://www.773grp.com/manufacturer/onsemi?pageNo=785", "ON Semiconductor")</f>
        <v>ON Semiconductor</v>
      </c>
      <c r="C40077" s="6">
        <v>6138</v>
      </c>
      <c r="D40077" s="7">
        <v>3.7</v>
      </c>
      <c r="E40077" t="s">
        <v>7</v>
      </c>
    </row>
    <row r="40078" spans="1:5" x14ac:dyDescent="0.25">
      <c r="A40078" t="str">
        <f>HYPERLINK("https://www.773grp.com/globalSearch/CS5172GDR8G/page-1", "CS5172GDR8G")</f>
        <v>CS5172GDR8G</v>
      </c>
      <c r="B40078" s="3" t="str">
        <f>HYPERLINK("https://www.773grp.com/manufacturer/onsemi?pageNo=786", "ON Semiconductor")</f>
        <v>ON Semiconductor</v>
      </c>
      <c r="C40078" s="6">
        <v>14935</v>
      </c>
      <c r="D40078" s="7">
        <v>3.7</v>
      </c>
      <c r="E40078" t="s">
        <v>7</v>
      </c>
    </row>
    <row r="40079" spans="1:5" x14ac:dyDescent="0.25">
      <c r="A40079" t="str">
        <f>HYPERLINK("https://www.773grp.com/globalSearch/CS5173GD8G/page-1", "CS5173GD8G")</f>
        <v>CS5173GD8G</v>
      </c>
      <c r="B40079" s="3" t="str">
        <f>HYPERLINK("https://www.773grp.com/manufacturer/onsemi?pageNo=787", "ON Semiconductor")</f>
        <v>ON Semiconductor</v>
      </c>
      <c r="C40079" s="6">
        <v>979</v>
      </c>
      <c r="D40079" s="7">
        <v>3.7</v>
      </c>
      <c r="E40079" t="s">
        <v>7</v>
      </c>
    </row>
    <row r="40080" spans="1:5" x14ac:dyDescent="0.25">
      <c r="A40080" t="str">
        <f>HYPERLINK("https://www.773grp.com/globalSearch/CS5173GDR8G/page-1", "CS5173GDR8G")</f>
        <v>CS5173GDR8G</v>
      </c>
      <c r="B40080" s="3" t="str">
        <f>HYPERLINK("https://www.773grp.com/manufacturer/onsemi?pageNo=788", "ON Semiconductor")</f>
        <v>ON Semiconductor</v>
      </c>
      <c r="C40080" s="6">
        <v>55332</v>
      </c>
      <c r="D40080" s="7">
        <v>3.7</v>
      </c>
    </row>
    <row r="40081" spans="1:5" x14ac:dyDescent="0.25">
      <c r="A40081" t="str">
        <f>HYPERLINK("https://www.773grp.com/globalSearch/CS5174GD8G/page-1", "CS5174GD8G")</f>
        <v>CS5174GD8G</v>
      </c>
      <c r="B40081" s="3" t="str">
        <f>HYPERLINK("https://www.773grp.com/manufacturer/onsemi?pageNo=789", "ON Semiconductor")</f>
        <v>ON Semiconductor</v>
      </c>
      <c r="C40081" s="6">
        <v>1525</v>
      </c>
      <c r="D40081" s="7">
        <v>3.7</v>
      </c>
      <c r="E40081" t="s">
        <v>7</v>
      </c>
    </row>
    <row r="40082" spans="1:5" x14ac:dyDescent="0.25">
      <c r="A40082" t="str">
        <f>HYPERLINK("https://www.773grp.com/globalSearch/CS5174GDR8G/page-1", "CS5174GDR8G")</f>
        <v>CS5174GDR8G</v>
      </c>
      <c r="B40082" s="3" t="str">
        <f>HYPERLINK("https://www.773grp.com/manufacturer/onsemi?pageNo=790", "ON Semiconductor")</f>
        <v>ON Semiconductor</v>
      </c>
      <c r="C40082" s="6">
        <v>5777</v>
      </c>
      <c r="D40082" s="7">
        <v>3.7</v>
      </c>
      <c r="E40082" t="s">
        <v>7</v>
      </c>
    </row>
    <row r="40083" spans="1:5" x14ac:dyDescent="0.25">
      <c r="A40083" t="str">
        <f>HYPERLINK("https://www.773grp.com/globalSearch/LB11685AV-TLM-H/page-1", "LB11685AV-TLM-H")</f>
        <v>LB11685AV-TLM-H</v>
      </c>
      <c r="B40083" s="3" t="str">
        <f>HYPERLINK("https://www.773grp.com/manufacturer/onsemi?pageNo=791", "ON Semiconductor")</f>
        <v>ON Semiconductor</v>
      </c>
      <c r="C40083" s="6">
        <v>1000</v>
      </c>
      <c r="D40083" s="7">
        <v>3.7</v>
      </c>
    </row>
    <row r="40084" spans="1:5" x14ac:dyDescent="0.25">
      <c r="A40084" t="str">
        <f>HYPERLINK("https://www.773grp.com/globalSearch/LB1848M-TRM-H/page-1", "LB1848M-TRM-H")</f>
        <v>LB1848M-TRM-H</v>
      </c>
      <c r="B40084" s="3" t="str">
        <f>HYPERLINK("https://www.773grp.com/manufacturer/onsemi?pageNo=792", "ON Semiconductor")</f>
        <v>ON Semiconductor</v>
      </c>
      <c r="C40084" s="6">
        <v>1513</v>
      </c>
      <c r="D40084" s="7">
        <v>3.7</v>
      </c>
    </row>
    <row r="40085" spans="1:5" x14ac:dyDescent="0.25">
      <c r="A40085" t="str">
        <f>HYPERLINK("https://www.773grp.com/globalSearch/LV8762T-MPB-H/page-1", "LV8762T-MPB-H")</f>
        <v>LV8762T-MPB-H</v>
      </c>
      <c r="B40085" s="3" t="str">
        <f>HYPERLINK("https://www.773grp.com/manufacturer/onsemi?pageNo=793", "ON Semiconductor")</f>
        <v>ON Semiconductor</v>
      </c>
      <c r="C40085" s="6">
        <v>70</v>
      </c>
      <c r="D40085" s="7">
        <v>3.7</v>
      </c>
    </row>
    <row r="40086" spans="1:5" x14ac:dyDescent="0.25">
      <c r="A40086" t="str">
        <f>HYPERLINK("https://www.773grp.com/globalSearch/LV8762T-TLM-H/page-1", "LV8762T-TLM-H")</f>
        <v>LV8762T-TLM-H</v>
      </c>
      <c r="B40086" s="3" t="str">
        <f>HYPERLINK("https://www.773grp.com/manufacturer/onsemi?pageNo=794", "ON Semiconductor")</f>
        <v>ON Semiconductor</v>
      </c>
      <c r="C40086" s="6">
        <v>100</v>
      </c>
      <c r="D40086" s="7">
        <v>3.7</v>
      </c>
    </row>
    <row r="40087" spans="1:5" x14ac:dyDescent="0.25">
      <c r="A40087" t="str">
        <f>HYPERLINK("https://www.773grp.com/globalSearch/MBR20100CT/page-1", "MBR20100CT")</f>
        <v>MBR20100CT</v>
      </c>
      <c r="B40087" s="3" t="str">
        <f>HYPERLINK("https://www.773grp.com/manufacturer/onsemi?pageNo=795", "ON Semiconductor")</f>
        <v>ON Semiconductor</v>
      </c>
      <c r="C40087" s="6">
        <v>63</v>
      </c>
      <c r="D40087" s="7">
        <v>3.7</v>
      </c>
      <c r="E40087" t="s">
        <v>103</v>
      </c>
    </row>
    <row r="40088" spans="1:5" x14ac:dyDescent="0.25">
      <c r="A40088" t="str">
        <f>HYPERLINK("https://www.773grp.com/globalSearch/MBR4015CTLG/page-1", "MBR4015CTLG")</f>
        <v>MBR4015CTLG</v>
      </c>
      <c r="B40088" s="3" t="str">
        <f>HYPERLINK("https://www.773grp.com/manufacturer/onsemi?pageNo=796", "ON Semiconductor")</f>
        <v>ON Semiconductor</v>
      </c>
      <c r="C40088" s="6">
        <v>500</v>
      </c>
      <c r="D40088" s="7">
        <v>3.7</v>
      </c>
      <c r="E40088" t="s">
        <v>103</v>
      </c>
    </row>
    <row r="40089" spans="1:5" x14ac:dyDescent="0.25">
      <c r="A40089" t="str">
        <f>HYPERLINK("https://www.773grp.com/globalSearch/MBRF20200CTG/page-1", "MBRF20200CTG")</f>
        <v>MBRF20200CTG</v>
      </c>
      <c r="B40089" s="3" t="str">
        <f>HYPERLINK("https://www.773grp.com/manufacturer/onsemi?pageNo=797", "ON Semiconductor")</f>
        <v>ON Semiconductor</v>
      </c>
      <c r="C40089" s="6">
        <v>38440</v>
      </c>
      <c r="D40089" s="7">
        <v>3.7</v>
      </c>
      <c r="E40089" t="s">
        <v>103</v>
      </c>
    </row>
    <row r="40090" spans="1:5" x14ac:dyDescent="0.25">
      <c r="A40090" t="str">
        <f>HYPERLINK("https://www.773grp.com/globalSearch/MC74ACT64ONG/page-1", "MC74ACT64ONG")</f>
        <v>MC74ACT64ONG</v>
      </c>
      <c r="B40090" s="3" t="str">
        <f>HYPERLINK("https://www.773grp.com/manufacturer/onsemi?pageNo=798", "ON Semiconductor")</f>
        <v>ON Semiconductor</v>
      </c>
      <c r="C40090" s="6">
        <v>26</v>
      </c>
      <c r="D40090" s="7">
        <v>3.7</v>
      </c>
    </row>
    <row r="40091" spans="1:5" x14ac:dyDescent="0.25">
      <c r="A40091" t="str">
        <f>HYPERLINK("https://www.773grp.com/globalSearch/MC74F569DW/page-1", "MC74F569DW")</f>
        <v>MC74F569DW</v>
      </c>
      <c r="B40091" s="3" t="str">
        <f>HYPERLINK("https://www.773grp.com/manufacturer/onsemi?pageNo=799", "ON Semiconductor")</f>
        <v>ON Semiconductor</v>
      </c>
      <c r="C40091" s="6">
        <v>5808</v>
      </c>
      <c r="D40091" s="7">
        <v>3.7</v>
      </c>
      <c r="E40091" t="s">
        <v>26</v>
      </c>
    </row>
    <row r="40092" spans="1:5" x14ac:dyDescent="0.25">
      <c r="A40092" t="str">
        <f>HYPERLINK("https://www.773grp.com/globalSearch/MC74F569N/page-1", "MC74F569N")</f>
        <v>MC74F569N</v>
      </c>
      <c r="B40092" s="3" t="str">
        <f>HYPERLINK("https://www.773grp.com/manufacturer/onsemi?pageNo=800", "ON Semiconductor")</f>
        <v>ON Semiconductor</v>
      </c>
      <c r="C40092" s="6">
        <v>2398</v>
      </c>
      <c r="D40092" s="7">
        <v>3.7</v>
      </c>
      <c r="E40092" t="s">
        <v>26</v>
      </c>
    </row>
    <row r="40093" spans="1:5" x14ac:dyDescent="0.25">
      <c r="A40093" t="str">
        <f>HYPERLINK("https://www.773grp.com/globalSearch/MGP14N60E/page-1", "MGP14N60E")</f>
        <v>MGP14N60E</v>
      </c>
      <c r="B40093" s="3" t="str">
        <f>HYPERLINK("https://www.773grp.com/manufacturer/onsemi?pageNo=801", "ON Semiconductor")</f>
        <v>ON Semiconductor</v>
      </c>
      <c r="C40093" s="6">
        <v>5908</v>
      </c>
      <c r="D40093" s="7">
        <v>3.7</v>
      </c>
      <c r="E40093" t="s">
        <v>115</v>
      </c>
    </row>
    <row r="40094" spans="1:5" x14ac:dyDescent="0.25">
      <c r="A40094" t="str">
        <f>HYPERLINK("https://www.773grp.com/globalSearch/MGP19N35CL/page-1", "MGP19N35CL")</f>
        <v>MGP19N35CL</v>
      </c>
      <c r="B40094" s="3" t="str">
        <f>HYPERLINK("https://www.773grp.com/manufacturer/onsemi?pageNo=802", "ON Semiconductor")</f>
        <v>ON Semiconductor</v>
      </c>
      <c r="C40094" s="6">
        <v>17050</v>
      </c>
      <c r="D40094" s="7">
        <v>3.7</v>
      </c>
      <c r="E40094" t="s">
        <v>115</v>
      </c>
    </row>
    <row r="40095" spans="1:5" x14ac:dyDescent="0.25">
      <c r="A40095" t="str">
        <f>HYPERLINK("https://www.773grp.com/globalSearch/MJ15012G/page-1", "MJ15012G")</f>
        <v>MJ15012G</v>
      </c>
      <c r="B40095" s="3" t="str">
        <f>HYPERLINK("https://www.773grp.com/manufacturer/onsemi?pageNo=803", "ON Semiconductor")</f>
        <v>ON Semiconductor</v>
      </c>
      <c r="C40095" s="6">
        <v>60</v>
      </c>
      <c r="D40095" s="7">
        <v>3.7</v>
      </c>
      <c r="E40095" t="s">
        <v>59</v>
      </c>
    </row>
    <row r="40096" spans="1:5" x14ac:dyDescent="0.25">
      <c r="A40096" t="str">
        <f>HYPERLINK("https://www.773grp.com/globalSearch/MJ21196/page-1", "MJ21196")</f>
        <v>MJ21196</v>
      </c>
      <c r="B40096" s="3" t="str">
        <f>HYPERLINK("https://www.773grp.com/manufacturer/onsemi?pageNo=804", "ON Semiconductor")</f>
        <v>ON Semiconductor</v>
      </c>
      <c r="C40096" s="6">
        <v>625</v>
      </c>
      <c r="D40096" s="7">
        <v>3.7</v>
      </c>
      <c r="E40096" t="s">
        <v>59</v>
      </c>
    </row>
    <row r="40097" spans="1:5" x14ac:dyDescent="0.25">
      <c r="A40097" t="str">
        <f>HYPERLINK("https://www.773grp.com/globalSearch/MJE4343/page-1", "MJE4343")</f>
        <v>MJE4343</v>
      </c>
      <c r="B40097" s="3" t="str">
        <f>HYPERLINK("https://www.773grp.com/manufacturer/onsemi?pageNo=805", "ON Semiconductor")</f>
        <v>ON Semiconductor</v>
      </c>
      <c r="C40097" s="6">
        <v>27</v>
      </c>
      <c r="D40097" s="7">
        <v>3.7</v>
      </c>
      <c r="E40097" t="s">
        <v>59</v>
      </c>
    </row>
    <row r="40098" spans="1:5" x14ac:dyDescent="0.25">
      <c r="A40098" t="str">
        <f>HYPERLINK("https://www.773grp.com/globalSearch/MTB4N40ET4/page-1", "MTB4N40ET4")</f>
        <v>MTB4N40ET4</v>
      </c>
      <c r="B40098" s="3" t="str">
        <f>HYPERLINK("https://www.773grp.com/manufacturer/onsemi?pageNo=806", "ON Semiconductor")</f>
        <v>ON Semiconductor</v>
      </c>
      <c r="C40098" s="6">
        <v>147200</v>
      </c>
      <c r="D40098" s="7">
        <v>3.7</v>
      </c>
    </row>
    <row r="40099" spans="1:5" x14ac:dyDescent="0.25">
      <c r="A40099" t="str">
        <f>HYPERLINK("https://www.773grp.com/globalSearch/MTP12P10G/page-1", "MTP12P10G")</f>
        <v>MTP12P10G</v>
      </c>
      <c r="B40099" s="3" t="str">
        <f>HYPERLINK("https://www.773grp.com/manufacturer/onsemi?pageNo=807", "ON Semiconductor")</f>
        <v>ON Semiconductor</v>
      </c>
      <c r="C40099" s="6">
        <v>2802</v>
      </c>
      <c r="D40099" s="7">
        <v>3.7</v>
      </c>
      <c r="E40099" t="s">
        <v>105</v>
      </c>
    </row>
    <row r="40100" spans="1:5" x14ac:dyDescent="0.25">
      <c r="A40100" t="str">
        <f>HYPERLINK("https://www.773grp.com/globalSearch/MUR8100E/page-1", "MUR8100E")</f>
        <v>MUR8100E</v>
      </c>
      <c r="B40100" s="3" t="str">
        <f>HYPERLINK("https://www.773grp.com/manufacturer/onsemi?pageNo=808", "ON Semiconductor")</f>
        <v>ON Semiconductor</v>
      </c>
      <c r="C40100" s="6">
        <v>3</v>
      </c>
      <c r="D40100" s="7">
        <v>3.7</v>
      </c>
      <c r="E40100" t="s">
        <v>103</v>
      </c>
    </row>
    <row r="40101" spans="1:5" x14ac:dyDescent="0.25">
      <c r="A40101" t="str">
        <f>HYPERLINK("https://www.773grp.com/globalSearch/NCP1294EDBR2G/page-1", "NCP1294EDBR2G")</f>
        <v>NCP1294EDBR2G</v>
      </c>
      <c r="B40101" s="3" t="str">
        <f>HYPERLINK("https://www.773grp.com/manufacturer/onsemi?pageNo=809", "ON Semiconductor")</f>
        <v>ON Semiconductor</v>
      </c>
      <c r="C40101" s="6">
        <v>1059</v>
      </c>
      <c r="D40101" s="7">
        <v>3.7</v>
      </c>
    </row>
    <row r="40102" spans="1:5" x14ac:dyDescent="0.25">
      <c r="A40102" t="str">
        <f>HYPERLINK("https://www.773grp.com/globalSearch/NCP5181DR2G/page-1", "NCP5181DR2G")</f>
        <v>NCP5181DR2G</v>
      </c>
      <c r="B40102" s="3" t="str">
        <f>HYPERLINK("https://www.773grp.com/manufacturer/onsemi?pageNo=810", "ON Semiconductor")</f>
        <v>ON Semiconductor</v>
      </c>
      <c r="C40102" s="6">
        <v>507971</v>
      </c>
      <c r="D40102" s="7">
        <v>3.7</v>
      </c>
      <c r="E40102" t="s">
        <v>21</v>
      </c>
    </row>
    <row r="40103" spans="1:5" x14ac:dyDescent="0.25">
      <c r="A40103" t="str">
        <f>HYPERLINK("https://www.773grp.com/globalSearch/NCV2931D2T5.0R4G/page-1", "NCV2931D2T5.0R4G")</f>
        <v>NCV2931D2T5.0R4G</v>
      </c>
      <c r="B40103" s="3" t="str">
        <f>HYPERLINK("https://www.773grp.com/manufacturer/onsemi?pageNo=811", "ON Semiconductor")</f>
        <v>ON Semiconductor</v>
      </c>
      <c r="C40103" s="6">
        <v>4679</v>
      </c>
      <c r="D40103" s="7">
        <v>3.7</v>
      </c>
      <c r="E40103" t="s">
        <v>19</v>
      </c>
    </row>
    <row r="40104" spans="1:5" x14ac:dyDescent="0.25">
      <c r="A40104" t="str">
        <f>HYPERLINK("https://www.773grp.com/globalSearch/NCV4949APDR2G/page-1", "NCV4949APDR2G")</f>
        <v>NCV4949APDR2G</v>
      </c>
      <c r="B40104" s="3" t="str">
        <f>HYPERLINK("https://www.773grp.com/manufacturer/onsemi?pageNo=812", "ON Semiconductor")</f>
        <v>ON Semiconductor</v>
      </c>
      <c r="C40104" s="6">
        <v>2500</v>
      </c>
      <c r="D40104" s="7">
        <v>3.7</v>
      </c>
    </row>
    <row r="40105" spans="1:5" x14ac:dyDescent="0.25">
      <c r="A40105" t="str">
        <f>HYPERLINK("https://www.773grp.com/globalSearch/NCV4949PDG/page-1", "NCV4949PDG")</f>
        <v>NCV4949PDG</v>
      </c>
      <c r="B40105" s="3" t="str">
        <f>HYPERLINK("https://www.773grp.com/manufacturer/onsemi?pageNo=813", "ON Semiconductor")</f>
        <v>ON Semiconductor</v>
      </c>
      <c r="C40105" s="6">
        <v>9408</v>
      </c>
      <c r="D40105" s="7">
        <v>3.7</v>
      </c>
    </row>
    <row r="40106" spans="1:5" x14ac:dyDescent="0.25">
      <c r="A40106" t="str">
        <f>HYPERLINK("https://www.773grp.com/globalSearch/NCV5663DSADJR4G/page-1", "NCV5663DSADJR4G")</f>
        <v>NCV5663DSADJR4G</v>
      </c>
      <c r="B40106" s="3" t="str">
        <f>HYPERLINK("https://www.773grp.com/manufacturer/onsemi?pageNo=814", "ON Semiconductor")</f>
        <v>ON Semiconductor</v>
      </c>
      <c r="C40106" s="6">
        <v>69</v>
      </c>
      <c r="D40106" s="7">
        <v>3.7</v>
      </c>
    </row>
    <row r="40107" spans="1:5" x14ac:dyDescent="0.25">
      <c r="A40107" t="str">
        <f>HYPERLINK("https://www.773grp.com/globalSearch/NGD8205NT4/page-1", "NGD8205NT4")</f>
        <v>NGD8205NT4</v>
      </c>
      <c r="B40107" s="3" t="str">
        <f>HYPERLINK("https://www.773grp.com/manufacturer/onsemi?pageNo=815", "ON Semiconductor")</f>
        <v>ON Semiconductor</v>
      </c>
      <c r="C40107" s="6">
        <v>2480</v>
      </c>
      <c r="D40107" s="7">
        <v>3.7</v>
      </c>
      <c r="E40107" t="s">
        <v>115</v>
      </c>
    </row>
    <row r="40108" spans="1:5" x14ac:dyDescent="0.25">
      <c r="A40108" t="str">
        <f>HYPERLINK("https://www.773grp.com/globalSearch/NGD8205NT4G/page-1", "NGD8205NT4G")</f>
        <v>NGD8205NT4G</v>
      </c>
      <c r="B40108" s="3" t="str">
        <f>HYPERLINK("https://www.773grp.com/manufacturer/onsemi?pageNo=816", "ON Semiconductor")</f>
        <v>ON Semiconductor</v>
      </c>
      <c r="C40108" s="6">
        <v>2500</v>
      </c>
      <c r="D40108" s="7">
        <v>3.7</v>
      </c>
    </row>
    <row r="40109" spans="1:5" x14ac:dyDescent="0.25">
      <c r="A40109" t="str">
        <f>HYPERLINK("https://www.773grp.com/globalSearch/NID5001NT4G/page-1", "NID5001NT4G")</f>
        <v>NID5001NT4G</v>
      </c>
      <c r="B40109" s="3" t="str">
        <f>HYPERLINK("https://www.773grp.com/manufacturer/onsemi?pageNo=817", "ON Semiconductor")</f>
        <v>ON Semiconductor</v>
      </c>
      <c r="C40109" s="6">
        <v>22500</v>
      </c>
      <c r="D40109" s="7">
        <v>3.7</v>
      </c>
      <c r="E40109" t="s">
        <v>105</v>
      </c>
    </row>
    <row r="40110" spans="1:5" x14ac:dyDescent="0.25">
      <c r="A40110" t="str">
        <f>HYPERLINK("https://www.773grp.com/globalSearch/NILMS4501NR2/page-1", "NILMS4501NR2")</f>
        <v>NILMS4501NR2</v>
      </c>
      <c r="B40110" s="3" t="str">
        <f>HYPERLINK("https://www.773grp.com/manufacturer/onsemi?pageNo=818", "ON Semiconductor")</f>
        <v>ON Semiconductor</v>
      </c>
      <c r="C40110" s="6">
        <v>4943</v>
      </c>
      <c r="D40110" s="7">
        <v>3.7</v>
      </c>
      <c r="E40110" t="s">
        <v>105</v>
      </c>
    </row>
    <row r="40111" spans="1:5" x14ac:dyDescent="0.25">
      <c r="A40111" t="str">
        <f>HYPERLINK("https://www.773grp.com/globalSearch/NJW0302G/page-1", "NJW0302G")</f>
        <v>NJW0302G</v>
      </c>
      <c r="B40111" s="3" t="str">
        <f>HYPERLINK("https://www.773grp.com/manufacturer/onsemi?pageNo=819", "ON Semiconductor")</f>
        <v>ON Semiconductor</v>
      </c>
      <c r="C40111" s="6">
        <v>43948</v>
      </c>
      <c r="D40111" s="7">
        <v>3.7</v>
      </c>
      <c r="E40111" t="s">
        <v>59</v>
      </c>
    </row>
    <row r="40112" spans="1:5" x14ac:dyDescent="0.25">
      <c r="A40112" t="str">
        <f>HYPERLINK("https://www.773grp.com/globalSearch/NLAS3799BMUR2G/page-1", "NLAS3799BMUR2G")</f>
        <v>NLAS3799BMUR2G</v>
      </c>
      <c r="B40112" s="3" t="str">
        <f>HYPERLINK("https://www.773grp.com/manufacturer/onsemi?pageNo=820", "ON Semiconductor")</f>
        <v>ON Semiconductor</v>
      </c>
      <c r="C40112" s="6">
        <v>11654</v>
      </c>
      <c r="D40112" s="7">
        <v>3.7</v>
      </c>
      <c r="E40112" t="s">
        <v>56</v>
      </c>
    </row>
    <row r="40113" spans="1:5" x14ac:dyDescent="0.25">
      <c r="A40113" t="str">
        <f>HYPERLINK("https://www.773grp.com/globalSearch/NLAS4684MR2/page-1", "NLAS4684MR2")</f>
        <v>NLAS4684MR2</v>
      </c>
      <c r="B40113" s="3" t="str">
        <f>HYPERLINK("https://www.773grp.com/manufacturer/onsemi?pageNo=821", "ON Semiconductor")</f>
        <v>ON Semiconductor</v>
      </c>
      <c r="C40113" s="6">
        <v>3355</v>
      </c>
      <c r="D40113" s="7">
        <v>3.7</v>
      </c>
      <c r="E40113" t="s">
        <v>56</v>
      </c>
    </row>
    <row r="40114" spans="1:5" x14ac:dyDescent="0.25">
      <c r="A40114" t="str">
        <f>HYPERLINK("https://www.773grp.com/globalSearch/PCA9535EDWR2G/page-1", "PCA9535EDWR2G")</f>
        <v>PCA9535EDWR2G</v>
      </c>
      <c r="B40114" s="3" t="str">
        <f>HYPERLINK("https://www.773grp.com/manufacturer/onsemi?pageNo=822", "ON Semiconductor")</f>
        <v>ON Semiconductor</v>
      </c>
      <c r="C40114" s="6">
        <v>3000</v>
      </c>
      <c r="D40114" s="7">
        <v>3.7</v>
      </c>
    </row>
    <row r="40115" spans="1:5" x14ac:dyDescent="0.25">
      <c r="A40115" t="str">
        <f>HYPERLINK("https://www.773grp.com/globalSearch/PCA9655EDTR2G/page-1", "PCA9655EDTR2G")</f>
        <v>PCA9655EDTR2G</v>
      </c>
      <c r="B40115" s="3" t="str">
        <f>HYPERLINK("https://www.773grp.com/manufacturer/onsemi?pageNo=823", "ON Semiconductor")</f>
        <v>ON Semiconductor</v>
      </c>
      <c r="C40115" s="6">
        <v>2500</v>
      </c>
      <c r="D40115" s="7">
        <v>3.7</v>
      </c>
    </row>
    <row r="40116" spans="1:5" x14ac:dyDescent="0.25">
      <c r="A40116" t="str">
        <f>HYPERLINK("https://www.773grp.com/globalSearch/PCA9655EDWR2G/page-1", "PCA9655EDWR2G")</f>
        <v>PCA9655EDWR2G</v>
      </c>
      <c r="B40116" s="3" t="str">
        <f>HYPERLINK("https://www.773grp.com/manufacturer/onsemi?pageNo=824", "ON Semiconductor")</f>
        <v>ON Semiconductor</v>
      </c>
      <c r="C40116" s="6">
        <v>2500</v>
      </c>
      <c r="D40116" s="7">
        <v>3.7</v>
      </c>
    </row>
    <row r="40117" spans="1:5" x14ac:dyDescent="0.25">
      <c r="A40117" t="str">
        <f>HYPERLINK("https://www.773grp.com/globalSearch/SA14551BDR2/page-1", "SA14551BDR2")</f>
        <v>SA14551BDR2</v>
      </c>
      <c r="B40117" s="3" t="str">
        <f>HYPERLINK("https://www.773grp.com/manufacturer/onsemi?pageNo=825", "ON Semiconductor")</f>
        <v>ON Semiconductor</v>
      </c>
      <c r="C40117" s="6">
        <v>15000</v>
      </c>
      <c r="D40117" s="7">
        <v>3.7</v>
      </c>
    </row>
    <row r="40118" spans="1:5" x14ac:dyDescent="0.25">
      <c r="A40118" t="str">
        <f>HYPERLINK("https://www.773grp.com/globalSearch/SCY99009PWPR2/page-1", "SCY99009PWPR2")</f>
        <v>SCY99009PWPR2</v>
      </c>
      <c r="B40118" s="3" t="str">
        <f>HYPERLINK("https://www.773grp.com/manufacturer/onsemi?pageNo=826", "ON Semiconductor")</f>
        <v>ON Semiconductor</v>
      </c>
      <c r="C40118" s="6">
        <v>183000</v>
      </c>
      <c r="D40118" s="7">
        <v>3.7</v>
      </c>
    </row>
    <row r="40119" spans="1:5" x14ac:dyDescent="0.25">
      <c r="A40119" t="str">
        <f>HYPERLINK("https://www.773grp.com/globalSearch/SJC1194L/page-1", "SJC1194L")</f>
        <v>SJC1194L</v>
      </c>
      <c r="B40119" s="3" t="str">
        <f>HYPERLINK("https://www.773grp.com/manufacturer/onsemi?pageNo=827", "ON Semiconductor")</f>
        <v>ON Semiconductor</v>
      </c>
      <c r="C40119" s="6">
        <v>1080</v>
      </c>
      <c r="D40119" s="7">
        <v>3.7</v>
      </c>
    </row>
    <row r="40120" spans="1:5" x14ac:dyDescent="0.25">
      <c r="A40120" t="str">
        <f>HYPERLINK("https://www.773grp.com/globalSearch/SR4491/page-1", "SR4491")</f>
        <v>SR4491</v>
      </c>
      <c r="B40120" s="3" t="str">
        <f>HYPERLINK("https://www.773grp.com/manufacturer/onsemi?pageNo=828", "ON Semiconductor")</f>
        <v>ON Semiconductor</v>
      </c>
      <c r="C40120" s="6">
        <v>20852</v>
      </c>
      <c r="D40120" s="7">
        <v>3.7</v>
      </c>
    </row>
    <row r="40121" spans="1:5" x14ac:dyDescent="0.25">
      <c r="A40121" t="str">
        <f>HYPERLINK("https://www.773grp.com/globalSearch/TIP141/page-1", "TIP141")</f>
        <v>TIP141</v>
      </c>
      <c r="B40121" s="3" t="str">
        <f>HYPERLINK("https://www.773grp.com/manufacturer/onsemi?pageNo=829", "ON Semiconductor")</f>
        <v>ON Semiconductor</v>
      </c>
      <c r="C40121" s="6">
        <v>1140</v>
      </c>
      <c r="D40121" s="7">
        <v>3.7</v>
      </c>
      <c r="E40121" t="s">
        <v>59</v>
      </c>
    </row>
    <row r="40122" spans="1:5" x14ac:dyDescent="0.25">
      <c r="A40122" t="str">
        <f>HYPERLINK("https://www.773grp.com/globalSearch/ADP3168JRUZ-REEL/page-1", "ADP3168JRUZ-REEL")</f>
        <v>ADP3168JRUZ-REEL</v>
      </c>
      <c r="B40122" s="3" t="str">
        <f>HYPERLINK("https://www.773grp.com/manufacturer/onsemi?pageNo=830", "ON Semiconductor")</f>
        <v>ON Semiconductor</v>
      </c>
      <c r="C40122" s="6">
        <v>7500</v>
      </c>
      <c r="D40122" s="7">
        <v>3.34</v>
      </c>
      <c r="E40122" t="s">
        <v>7</v>
      </c>
    </row>
    <row r="40123" spans="1:5" x14ac:dyDescent="0.25">
      <c r="A40123" t="str">
        <f>HYPERLINK("https://www.773grp.com/globalSearch/CS8481YDP5/page-1", "CS8481YDP5")</f>
        <v>CS8481YDP5</v>
      </c>
      <c r="B40123" s="3" t="str">
        <f>HYPERLINK("https://www.773grp.com/manufacturer/onsemi?pageNo=831", "ON Semiconductor")</f>
        <v>ON Semiconductor</v>
      </c>
      <c r="C40123" s="6">
        <v>1965</v>
      </c>
      <c r="D40123" s="7">
        <v>3.34</v>
      </c>
      <c r="E40123" t="s">
        <v>44</v>
      </c>
    </row>
    <row r="40124" spans="1:5" x14ac:dyDescent="0.25">
      <c r="A40124" t="str">
        <f>HYPERLINK("https://www.773grp.com/globalSearch/CS8481YDPR5/page-1", "CS8481YDPR5")</f>
        <v>CS8481YDPR5</v>
      </c>
      <c r="B40124" s="3" t="str">
        <f>HYPERLINK("https://www.773grp.com/manufacturer/onsemi?pageNo=832", "ON Semiconductor")</f>
        <v>ON Semiconductor</v>
      </c>
      <c r="C40124" s="6">
        <v>750</v>
      </c>
      <c r="D40124" s="7">
        <v>3.34</v>
      </c>
      <c r="E40124" t="s">
        <v>44</v>
      </c>
    </row>
    <row r="40125" spans="1:5" x14ac:dyDescent="0.25">
      <c r="A40125" t="str">
        <f>HYPERLINK("https://www.773grp.com/globalSearch/LV8019V-TLM-E/page-1", "LV8019V-TLM-E")</f>
        <v>LV8019V-TLM-E</v>
      </c>
      <c r="B40125" s="3" t="str">
        <f>HYPERLINK("https://www.773grp.com/manufacturer/onsemi?pageNo=833", "ON Semiconductor")</f>
        <v>ON Semiconductor</v>
      </c>
      <c r="C40125" s="6">
        <v>26000</v>
      </c>
      <c r="D40125" s="7">
        <v>3.34</v>
      </c>
    </row>
    <row r="40126" spans="1:5" x14ac:dyDescent="0.25">
      <c r="A40126" t="str">
        <f>HYPERLINK("https://www.773grp.com/globalSearch/ADP3208AJCPZ-RL/page-1", "ADP3208AJCPZ-RL")</f>
        <v>ADP3208AJCPZ-RL</v>
      </c>
      <c r="B40126" s="3" t="str">
        <f>HYPERLINK("https://www.773grp.com/manufacturer/onsemi?pageNo=834", "ON Semiconductor")</f>
        <v>ON Semiconductor</v>
      </c>
      <c r="C40126" s="6">
        <v>40000</v>
      </c>
      <c r="D40126" s="7">
        <v>3.38</v>
      </c>
    </row>
    <row r="40127" spans="1:5" x14ac:dyDescent="0.25">
      <c r="A40127" t="str">
        <f>HYPERLINK("https://www.773grp.com/globalSearch/ADP3208AJCPZ-RL/page-1", "ADP3208AJCPZ-RL")</f>
        <v>ADP3208AJCPZ-RL</v>
      </c>
      <c r="B40127" s="3" t="str">
        <f>HYPERLINK("https://www.773grp.com/manufacturer/onsemi?pageNo=835", "ON Semiconductor")</f>
        <v>ON Semiconductor</v>
      </c>
      <c r="C40127" s="6">
        <v>62500</v>
      </c>
      <c r="D40127" s="7">
        <v>3.38</v>
      </c>
    </row>
    <row r="40128" spans="1:5" x14ac:dyDescent="0.25">
      <c r="A40128" t="str">
        <f>HYPERLINK("https://www.773grp.com/globalSearch/ASM3P2853AG-08SR/page-1", "ASM3P2853AG-08SR")</f>
        <v>ASM3P2853AG-08SR</v>
      </c>
      <c r="B40128" s="3" t="str">
        <f>HYPERLINK("https://www.773grp.com/manufacturer/onsemi?pageNo=836", "ON Semiconductor")</f>
        <v>ON Semiconductor</v>
      </c>
      <c r="C40128" s="6">
        <v>2150</v>
      </c>
      <c r="D40128" s="7">
        <v>3.38</v>
      </c>
      <c r="E40128" t="s">
        <v>79</v>
      </c>
    </row>
    <row r="40129" spans="1:5" x14ac:dyDescent="0.25">
      <c r="A40129" t="str">
        <f>HYPERLINK("https://www.773grp.com/globalSearch/CAT5111ZI00/page-1", "CAT5111ZI00")</f>
        <v>CAT5111ZI00</v>
      </c>
      <c r="B40129" s="3" t="str">
        <f>HYPERLINK("https://www.773grp.com/manufacturer/onsemi?pageNo=837", "ON Semiconductor")</f>
        <v>ON Semiconductor</v>
      </c>
      <c r="C40129" s="6">
        <v>2780</v>
      </c>
      <c r="D40129" s="7">
        <v>3.38</v>
      </c>
      <c r="E40129" t="s">
        <v>99</v>
      </c>
    </row>
    <row r="40130" spans="1:5" x14ac:dyDescent="0.25">
      <c r="A40130" t="str">
        <f>HYPERLINK("https://www.773grp.com/globalSearch/CAT5271ZI-50-GT3/page-1", "CAT5271ZI-50-GT3")</f>
        <v>CAT5271ZI-50-GT3</v>
      </c>
      <c r="B40130" s="3" t="str">
        <f>HYPERLINK("https://www.773grp.com/manufacturer/onsemi?pageNo=838", "ON Semiconductor")</f>
        <v>ON Semiconductor</v>
      </c>
      <c r="C40130" s="6">
        <v>3000</v>
      </c>
      <c r="D40130" s="7">
        <v>3.38</v>
      </c>
      <c r="E40130" t="s">
        <v>99</v>
      </c>
    </row>
    <row r="40131" spans="1:5" x14ac:dyDescent="0.25">
      <c r="A40131" t="str">
        <f>HYPERLINK("https://www.773grp.com/globalSearch/CS5112YDWF24/page-1", "CS5112YDWF24")</f>
        <v>CS5112YDWF24</v>
      </c>
      <c r="B40131" s="3" t="str">
        <f>HYPERLINK("https://www.773grp.com/manufacturer/onsemi?pageNo=839", "ON Semiconductor")</f>
        <v>ON Semiconductor</v>
      </c>
      <c r="C40131" s="6">
        <v>1110</v>
      </c>
      <c r="D40131" s="7">
        <v>3.38</v>
      </c>
      <c r="E40131" t="s">
        <v>7</v>
      </c>
    </row>
    <row r="40132" spans="1:5" x14ac:dyDescent="0.25">
      <c r="A40132" t="str">
        <f>HYPERLINK("https://www.773grp.com/globalSearch/CS5112YDWFR24/page-1", "CS5112YDWFR24")</f>
        <v>CS5112YDWFR24</v>
      </c>
      <c r="B40132" s="3" t="str">
        <f>HYPERLINK("https://www.773grp.com/manufacturer/onsemi?pageNo=840", "ON Semiconductor")</f>
        <v>ON Semiconductor</v>
      </c>
      <c r="C40132" s="6">
        <v>1000</v>
      </c>
      <c r="D40132" s="7">
        <v>3.38</v>
      </c>
      <c r="E40132" t="s">
        <v>7</v>
      </c>
    </row>
    <row r="40133" spans="1:5" x14ac:dyDescent="0.25">
      <c r="A40133" t="str">
        <f>HYPERLINK("https://www.773grp.com/globalSearch/CS5165HGDW16/page-1", "CS5165HGDW16")</f>
        <v>CS5165HGDW16</v>
      </c>
      <c r="B40133" s="3" t="str">
        <f>HYPERLINK("https://www.773grp.com/manufacturer/onsemi?pageNo=841", "ON Semiconductor")</f>
        <v>ON Semiconductor</v>
      </c>
      <c r="C40133" s="6">
        <v>2350</v>
      </c>
      <c r="D40133" s="7">
        <v>3.38</v>
      </c>
      <c r="E40133" t="s">
        <v>7</v>
      </c>
    </row>
    <row r="40134" spans="1:5" x14ac:dyDescent="0.25">
      <c r="A40134" t="str">
        <f>HYPERLINK("https://www.773grp.com/globalSearch/CS8151YNF16G/page-1", "CS8151YNF16G")</f>
        <v>CS8151YNF16G</v>
      </c>
      <c r="B40134" s="3" t="str">
        <f>HYPERLINK("https://www.773grp.com/manufacturer/onsemi?pageNo=842", "ON Semiconductor")</f>
        <v>ON Semiconductor</v>
      </c>
      <c r="C40134" s="6">
        <v>2000</v>
      </c>
      <c r="D40134" s="7">
        <v>3.38</v>
      </c>
      <c r="E40134" t="s">
        <v>19</v>
      </c>
    </row>
    <row r="40135" spans="1:5" x14ac:dyDescent="0.25">
      <c r="A40135" t="str">
        <f>HYPERLINK("https://www.773grp.com/globalSearch/LA4425PV-MPB-H/page-1", "LA4425PV-MPB-H")</f>
        <v>LA4425PV-MPB-H</v>
      </c>
      <c r="B40135" s="3" t="str">
        <f>HYPERLINK("https://www.773grp.com/manufacturer/onsemi?pageNo=843", "ON Semiconductor")</f>
        <v>ON Semiconductor</v>
      </c>
      <c r="C40135" s="6">
        <v>240</v>
      </c>
      <c r="D40135" s="7">
        <v>3.38</v>
      </c>
    </row>
    <row r="40136" spans="1:5" x14ac:dyDescent="0.25">
      <c r="A40136" t="str">
        <f>HYPERLINK("https://www.773grp.com/globalSearch/MBRB3030CTG/page-1", "MBRB3030CTG")</f>
        <v>MBRB3030CTG</v>
      </c>
      <c r="B40136" s="3" t="str">
        <f>HYPERLINK("https://www.773grp.com/manufacturer/onsemi?pageNo=844", "ON Semiconductor")</f>
        <v>ON Semiconductor</v>
      </c>
      <c r="C40136" s="6">
        <v>250</v>
      </c>
      <c r="D40136" s="7">
        <v>3.38</v>
      </c>
    </row>
    <row r="40137" spans="1:5" x14ac:dyDescent="0.25">
      <c r="A40137" t="str">
        <f>HYPERLINK("https://www.773grp.com/globalSearch/MBRB3030CTLG/page-1", "MBRB3030CTLG")</f>
        <v>MBRB3030CTLG</v>
      </c>
      <c r="B40137" s="3" t="str">
        <f>HYPERLINK("https://www.773grp.com/manufacturer/onsemi?pageNo=845", "ON Semiconductor")</f>
        <v>ON Semiconductor</v>
      </c>
      <c r="C40137" s="6">
        <v>350</v>
      </c>
      <c r="D40137" s="7">
        <v>3.38</v>
      </c>
    </row>
    <row r="40138" spans="1:5" x14ac:dyDescent="0.25">
      <c r="A40138" t="str">
        <f>HYPERLINK("https://www.773grp.com/globalSearch/MBRB3030CTT4G/page-1", "MBRB3030CTT4G")</f>
        <v>MBRB3030CTT4G</v>
      </c>
      <c r="B40138" s="3" t="str">
        <f>HYPERLINK("https://www.773grp.com/manufacturer/onsemi?pageNo=846", "ON Semiconductor")</f>
        <v>ON Semiconductor</v>
      </c>
      <c r="C40138" s="6">
        <v>3890</v>
      </c>
      <c r="D40138" s="7">
        <v>3.38</v>
      </c>
      <c r="E40138" t="s">
        <v>103</v>
      </c>
    </row>
    <row r="40139" spans="1:5" x14ac:dyDescent="0.25">
      <c r="A40139" t="str">
        <f>HYPERLINK("https://www.773grp.com/globalSearch/MC100EL15D/page-1", "MC100EL15D")</f>
        <v>MC100EL15D</v>
      </c>
      <c r="B40139" s="3" t="str">
        <f>HYPERLINK("https://www.773grp.com/manufacturer/onsemi?pageNo=847", "ON Semiconductor")</f>
        <v>ON Semiconductor</v>
      </c>
      <c r="C40139" s="6">
        <v>13660</v>
      </c>
      <c r="D40139" s="7">
        <v>3.38</v>
      </c>
      <c r="E40139" t="s">
        <v>34</v>
      </c>
    </row>
    <row r="40140" spans="1:5" x14ac:dyDescent="0.25">
      <c r="A40140" t="str">
        <f>HYPERLINK("https://www.773grp.com/globalSearch/MC100LVELT22DR2G/page-1", "MC100LVELT22DR2G")</f>
        <v>MC100LVELT22DR2G</v>
      </c>
      <c r="B40140" s="3" t="str">
        <f>HYPERLINK("https://www.773grp.com/manufacturer/onsemi?pageNo=848", "ON Semiconductor")</f>
        <v>ON Semiconductor</v>
      </c>
      <c r="C40140" s="6">
        <v>7654</v>
      </c>
      <c r="D40140" s="7">
        <v>3.38</v>
      </c>
      <c r="E40140" t="s">
        <v>73</v>
      </c>
    </row>
    <row r="40141" spans="1:5" x14ac:dyDescent="0.25">
      <c r="A40141" t="str">
        <f>HYPERLINK("https://www.773grp.com/globalSearch/MC10EL15D/page-1", "MC10EL15D")</f>
        <v>MC10EL15D</v>
      </c>
      <c r="B40141" s="3" t="str">
        <f>HYPERLINK("https://www.773grp.com/manufacturer/onsemi?pageNo=849", "ON Semiconductor")</f>
        <v>ON Semiconductor</v>
      </c>
      <c r="C40141" s="6">
        <v>8058</v>
      </c>
      <c r="D40141" s="7">
        <v>3.38</v>
      </c>
      <c r="E40141" t="s">
        <v>34</v>
      </c>
    </row>
    <row r="40142" spans="1:5" x14ac:dyDescent="0.25">
      <c r="A40142" t="str">
        <f>HYPERLINK("https://www.773grp.com/globalSearch/MC33363BDWG/page-1", "MC33363BDWG")</f>
        <v>MC33363BDWG</v>
      </c>
      <c r="B40142" s="3" t="str">
        <f>HYPERLINK("https://www.773grp.com/manufacturer/onsemi?pageNo=850", "ON Semiconductor")</f>
        <v>ON Semiconductor</v>
      </c>
      <c r="C40142" s="6">
        <v>38</v>
      </c>
      <c r="D40142" s="7">
        <v>3.38</v>
      </c>
      <c r="E40142" t="s">
        <v>7</v>
      </c>
    </row>
    <row r="40143" spans="1:5" x14ac:dyDescent="0.25">
      <c r="A40143" t="str">
        <f>HYPERLINK("https://www.773grp.com/globalSearch/MC33363BDWR2G/page-1", "MC33363BDWR2G")</f>
        <v>MC33363BDWR2G</v>
      </c>
      <c r="B40143" s="3" t="str">
        <f>HYPERLINK("https://www.773grp.com/manufacturer/onsemi?pageNo=851", "ON Semiconductor")</f>
        <v>ON Semiconductor</v>
      </c>
      <c r="C40143" s="6">
        <v>4995</v>
      </c>
      <c r="D40143" s="7">
        <v>3.38</v>
      </c>
      <c r="E40143" t="s">
        <v>7</v>
      </c>
    </row>
    <row r="40144" spans="1:5" x14ac:dyDescent="0.25">
      <c r="A40144" t="str">
        <f>HYPERLINK("https://www.773grp.com/globalSearch/MC34163DWG/page-1", "MC34163DWG")</f>
        <v>MC34163DWG</v>
      </c>
      <c r="B40144" s="3" t="str">
        <f>HYPERLINK("https://www.773grp.com/manufacturer/onsemi?pageNo=852", "ON Semiconductor")</f>
        <v>ON Semiconductor</v>
      </c>
      <c r="C40144" s="6">
        <v>2389</v>
      </c>
      <c r="D40144" s="7">
        <v>3.38</v>
      </c>
      <c r="E40144" t="s">
        <v>7</v>
      </c>
    </row>
    <row r="40145" spans="1:5" x14ac:dyDescent="0.25">
      <c r="A40145" t="str">
        <f>HYPERLINK("https://www.773grp.com/globalSearch/MC34163P/page-1", "MC34163P")</f>
        <v>MC34163P</v>
      </c>
      <c r="B40145" s="3" t="str">
        <f>HYPERLINK("https://www.773grp.com/manufacturer/onsemi?pageNo=853", "ON Semiconductor")</f>
        <v>ON Semiconductor</v>
      </c>
      <c r="C40145" s="6">
        <v>25</v>
      </c>
      <c r="D40145" s="7">
        <v>3.38</v>
      </c>
      <c r="E40145" t="s">
        <v>7</v>
      </c>
    </row>
    <row r="40146" spans="1:5" x14ac:dyDescent="0.25">
      <c r="A40146" t="str">
        <f>HYPERLINK("https://www.773grp.com/globalSearch/MC34163PG/page-1", "MC34163PG")</f>
        <v>MC34163PG</v>
      </c>
      <c r="B40146" s="3" t="str">
        <f>HYPERLINK("https://www.773grp.com/manufacturer/onsemi?pageNo=854", "ON Semiconductor")</f>
        <v>ON Semiconductor</v>
      </c>
      <c r="C40146" s="6">
        <v>225</v>
      </c>
      <c r="D40146" s="7">
        <v>3.38</v>
      </c>
    </row>
    <row r="40147" spans="1:5" x14ac:dyDescent="0.25">
      <c r="A40147" t="str">
        <f>HYPERLINK("https://www.773grp.com/globalSearch/MCCS142237DT/page-1", "MCCS142237DT")</f>
        <v>MCCS142237DT</v>
      </c>
      <c r="B40147" s="3" t="str">
        <f>HYPERLINK("https://www.773grp.com/manufacturer/onsemi?pageNo=855", "ON Semiconductor")</f>
        <v>ON Semiconductor</v>
      </c>
      <c r="C40147" s="6">
        <v>8476</v>
      </c>
      <c r="D40147" s="7">
        <v>3.38</v>
      </c>
      <c r="E40147" t="s">
        <v>24</v>
      </c>
    </row>
    <row r="40148" spans="1:5" x14ac:dyDescent="0.25">
      <c r="A40148" t="str">
        <f>HYPERLINK("https://www.773grp.com/globalSearch/MCCS142237DTR2/page-1", "MCCS142237DTR2")</f>
        <v>MCCS142237DTR2</v>
      </c>
      <c r="B40148" s="3" t="str">
        <f>HYPERLINK("https://www.773grp.com/manufacturer/onsemi?pageNo=856", "ON Semiconductor")</f>
        <v>ON Semiconductor</v>
      </c>
      <c r="C40148" s="6">
        <v>2250</v>
      </c>
      <c r="D40148" s="7">
        <v>3.38</v>
      </c>
      <c r="E40148" t="s">
        <v>24</v>
      </c>
    </row>
    <row r="40149" spans="1:5" x14ac:dyDescent="0.25">
      <c r="A40149" t="str">
        <f>HYPERLINK("https://www.773grp.com/globalSearch/NB3H83905CDG/page-1", "NB3H83905CDG")</f>
        <v>NB3H83905CDG</v>
      </c>
      <c r="B40149" s="3" t="str">
        <f>HYPERLINK("https://www.773grp.com/manufacturer/onsemi?pageNo=857", "ON Semiconductor")</f>
        <v>ON Semiconductor</v>
      </c>
      <c r="C40149" s="6">
        <v>155</v>
      </c>
      <c r="D40149" s="7">
        <v>3.38</v>
      </c>
    </row>
    <row r="40150" spans="1:5" x14ac:dyDescent="0.25">
      <c r="A40150" t="str">
        <f>HYPERLINK("https://www.773grp.com/globalSearch/NB3H83905CDTG/page-1", "NB3H83905CDTG")</f>
        <v>NB3H83905CDTG</v>
      </c>
      <c r="B40150" s="3" t="str">
        <f>HYPERLINK("https://www.773grp.com/manufacturer/onsemi?pageNo=858", "ON Semiconductor")</f>
        <v>ON Semiconductor</v>
      </c>
      <c r="C40150" s="6">
        <v>96</v>
      </c>
      <c r="D40150" s="7">
        <v>3.38</v>
      </c>
    </row>
    <row r="40151" spans="1:5" x14ac:dyDescent="0.25">
      <c r="A40151" t="str">
        <f>HYPERLINK("https://www.773grp.com/globalSearch/NB3N3010BDG/page-1", "NB3N3010BDG")</f>
        <v>NB3N3010BDG</v>
      </c>
      <c r="B40151" s="3" t="str">
        <f>HYPERLINK("https://www.773grp.com/manufacturer/onsemi?pageNo=859", "ON Semiconductor")</f>
        <v>ON Semiconductor</v>
      </c>
      <c r="C40151" s="6">
        <v>1568</v>
      </c>
      <c r="D40151" s="7">
        <v>3.38</v>
      </c>
    </row>
    <row r="40152" spans="1:5" x14ac:dyDescent="0.25">
      <c r="A40152" t="str">
        <f>HYPERLINK("https://www.773grp.com/globalSearch/NB3N5573DTR2G/page-1", "NB3N5573DTR2G")</f>
        <v>NB3N5573DTR2G</v>
      </c>
      <c r="B40152" s="3" t="str">
        <f>HYPERLINK("https://www.773grp.com/manufacturer/onsemi?pageNo=860", "ON Semiconductor")</f>
        <v>ON Semiconductor</v>
      </c>
      <c r="C40152" s="6">
        <v>2300</v>
      </c>
      <c r="D40152" s="7">
        <v>3.38</v>
      </c>
    </row>
    <row r="40153" spans="1:5" x14ac:dyDescent="0.25">
      <c r="A40153" t="str">
        <f>HYPERLINK("https://www.773grp.com/globalSearch/NCP3163MNR2G/page-1", "NCP3163MNR2G")</f>
        <v>NCP3163MNR2G</v>
      </c>
      <c r="B40153" s="3" t="str">
        <f>HYPERLINK("https://www.773grp.com/manufacturer/onsemi?pageNo=861", "ON Semiconductor")</f>
        <v>ON Semiconductor</v>
      </c>
      <c r="C40153" s="6">
        <v>7500</v>
      </c>
      <c r="D40153" s="7">
        <v>3.38</v>
      </c>
      <c r="E40153" t="s">
        <v>7</v>
      </c>
    </row>
    <row r="40154" spans="1:5" x14ac:dyDescent="0.25">
      <c r="A40154" t="str">
        <f>HYPERLINK("https://www.773grp.com/globalSearch/NCP3163PWG/page-1", "NCP3163PWG")</f>
        <v>NCP3163PWG</v>
      </c>
      <c r="B40154" s="3" t="str">
        <f>HYPERLINK("https://www.773grp.com/manufacturer/onsemi?pageNo=862", "ON Semiconductor")</f>
        <v>ON Semiconductor</v>
      </c>
      <c r="C40154" s="6">
        <v>2295</v>
      </c>
      <c r="D40154" s="7">
        <v>3.38</v>
      </c>
      <c r="E40154" t="s">
        <v>7</v>
      </c>
    </row>
    <row r="40155" spans="1:5" x14ac:dyDescent="0.25">
      <c r="A40155" t="str">
        <f>HYPERLINK("https://www.773grp.com/globalSearch/NCP3163PWR2G/page-1", "NCP3163PWR2G")</f>
        <v>NCP3163PWR2G</v>
      </c>
      <c r="B40155" s="3" t="str">
        <f>HYPERLINK("https://www.773grp.com/manufacturer/onsemi?pageNo=863", "ON Semiconductor")</f>
        <v>ON Semiconductor</v>
      </c>
      <c r="C40155" s="6">
        <v>27950</v>
      </c>
      <c r="D40155" s="7">
        <v>3.38</v>
      </c>
      <c r="E40155" t="s">
        <v>7</v>
      </c>
    </row>
    <row r="40156" spans="1:5" x14ac:dyDescent="0.25">
      <c r="A40156" t="str">
        <f>HYPERLINK("https://www.773grp.com/globalSearch/NCS6416DWG/page-1", "NCS6416DWG")</f>
        <v>NCS6416DWG</v>
      </c>
      <c r="B40156" s="3" t="str">
        <f>HYPERLINK("https://www.773grp.com/manufacturer/onsemi?pageNo=864", "ON Semiconductor")</f>
        <v>ON Semiconductor</v>
      </c>
      <c r="C40156" s="6">
        <v>760</v>
      </c>
      <c r="D40156" s="7">
        <v>3.38</v>
      </c>
      <c r="E40156" t="s">
        <v>56</v>
      </c>
    </row>
    <row r="40157" spans="1:5" x14ac:dyDescent="0.25">
      <c r="A40157" t="str">
        <f>HYPERLINK("https://www.773grp.com/globalSearch/NCV8503PW25G/page-1", "NCV8503PW25G")</f>
        <v>NCV8503PW25G</v>
      </c>
      <c r="B40157" s="3" t="str">
        <f>HYPERLINK("https://www.773grp.com/manufacturer/onsemi?pageNo=865", "ON Semiconductor")</f>
        <v>ON Semiconductor</v>
      </c>
      <c r="C40157" s="6">
        <v>3760</v>
      </c>
      <c r="D40157" s="7">
        <v>3.38</v>
      </c>
      <c r="E40157" t="s">
        <v>19</v>
      </c>
    </row>
    <row r="40158" spans="1:5" x14ac:dyDescent="0.25">
      <c r="A40158" t="str">
        <f>HYPERLINK("https://www.773grp.com/globalSearch/NCV8503PW25R2G/page-1", "NCV8503PW25R2G")</f>
        <v>NCV8503PW25R2G</v>
      </c>
      <c r="B40158" s="3" t="str">
        <f>HYPERLINK("https://www.773grp.com/manufacturer/onsemi?pageNo=866", "ON Semiconductor")</f>
        <v>ON Semiconductor</v>
      </c>
      <c r="C40158" s="6">
        <v>3000</v>
      </c>
      <c r="D40158" s="7">
        <v>3.38</v>
      </c>
      <c r="E40158" t="s">
        <v>19</v>
      </c>
    </row>
    <row r="40159" spans="1:5" x14ac:dyDescent="0.25">
      <c r="A40159" t="str">
        <f>HYPERLINK("https://www.773grp.com/globalSearch/NCV8503PW33G/page-1", "NCV8503PW33G")</f>
        <v>NCV8503PW33G</v>
      </c>
      <c r="B40159" s="3" t="str">
        <f>HYPERLINK("https://www.773grp.com/manufacturer/onsemi?pageNo=867", "ON Semiconductor")</f>
        <v>ON Semiconductor</v>
      </c>
      <c r="C40159" s="6">
        <v>235</v>
      </c>
      <c r="D40159" s="7">
        <v>3.38</v>
      </c>
      <c r="E40159" t="s">
        <v>19</v>
      </c>
    </row>
    <row r="40160" spans="1:5" x14ac:dyDescent="0.25">
      <c r="A40160" t="str">
        <f>HYPERLINK("https://www.773grp.com/globalSearch/NCV8503PW33R2G/page-1", "NCV8503PW33R2G")</f>
        <v>NCV8503PW33R2G</v>
      </c>
      <c r="B40160" s="3" t="str">
        <f>HYPERLINK("https://www.773grp.com/manufacturer/onsemi?pageNo=868", "ON Semiconductor")</f>
        <v>ON Semiconductor</v>
      </c>
      <c r="C40160" s="6">
        <v>4795</v>
      </c>
      <c r="D40160" s="7">
        <v>3.38</v>
      </c>
      <c r="E40160" t="s">
        <v>19</v>
      </c>
    </row>
    <row r="40161" spans="1:5" x14ac:dyDescent="0.25">
      <c r="A40161" t="str">
        <f>HYPERLINK("https://www.773grp.com/globalSearch/NCV8503PW50R2G/page-1", "NCV8503PW50R2G")</f>
        <v>NCV8503PW50R2G</v>
      </c>
      <c r="B40161" s="3" t="str">
        <f>HYPERLINK("https://www.773grp.com/manufacturer/onsemi?pageNo=869", "ON Semiconductor")</f>
        <v>ON Semiconductor</v>
      </c>
      <c r="C40161" s="6">
        <v>602</v>
      </c>
      <c r="D40161" s="7">
        <v>3.38</v>
      </c>
      <c r="E40161" t="s">
        <v>19</v>
      </c>
    </row>
    <row r="40162" spans="1:5" x14ac:dyDescent="0.25">
      <c r="A40162" t="str">
        <f>HYPERLINK("https://www.773grp.com/globalSearch/NCV8503PWADJG/page-1", "NCV8503PWADJG")</f>
        <v>NCV8503PWADJG</v>
      </c>
      <c r="B40162" s="3" t="str">
        <f>HYPERLINK("https://www.773grp.com/manufacturer/onsemi?pageNo=870", "ON Semiconductor")</f>
        <v>ON Semiconductor</v>
      </c>
      <c r="C40162" s="6">
        <v>470</v>
      </c>
      <c r="D40162" s="7">
        <v>3.38</v>
      </c>
      <c r="E40162" t="s">
        <v>25</v>
      </c>
    </row>
    <row r="40163" spans="1:5" x14ac:dyDescent="0.25">
      <c r="A40163" t="str">
        <f>HYPERLINK("https://www.773grp.com/globalSearch/NCV8503PWADJR2G/page-1", "NCV8503PWADJR2G")</f>
        <v>NCV8503PWADJR2G</v>
      </c>
      <c r="B40163" s="3" t="str">
        <f>HYPERLINK("https://www.773grp.com/manufacturer/onsemi?pageNo=871", "ON Semiconductor")</f>
        <v>ON Semiconductor</v>
      </c>
      <c r="C40163" s="6">
        <v>2990</v>
      </c>
      <c r="D40163" s="7">
        <v>3.38</v>
      </c>
      <c r="E40163" t="s">
        <v>25</v>
      </c>
    </row>
    <row r="40164" spans="1:5" x14ac:dyDescent="0.25">
      <c r="A40164" t="str">
        <f>HYPERLINK("https://www.773grp.com/globalSearch/NCV890101MWTXG/page-1", "NCV890101MWTXG")</f>
        <v>NCV890101MWTXG</v>
      </c>
      <c r="B40164" s="3" t="str">
        <f>HYPERLINK("https://www.773grp.com/manufacturer/onsemi?pageNo=872", "ON Semiconductor")</f>
        <v>ON Semiconductor</v>
      </c>
      <c r="C40164" s="6">
        <v>3000</v>
      </c>
      <c r="D40164" s="7">
        <v>3.38</v>
      </c>
    </row>
    <row r="40165" spans="1:5" x14ac:dyDescent="0.25">
      <c r="A40165" t="str">
        <f>HYPERLINK("https://www.773grp.com/globalSearch/NCV890131MWTXG/page-1", "NCV890131MWTXG")</f>
        <v>NCV890131MWTXG</v>
      </c>
      <c r="B40165" s="3" t="str">
        <f>HYPERLINK("https://www.773grp.com/manufacturer/onsemi?pageNo=873", "ON Semiconductor")</f>
        <v>ON Semiconductor</v>
      </c>
      <c r="C40165" s="6">
        <v>3000</v>
      </c>
      <c r="D40165" s="7">
        <v>3.38</v>
      </c>
    </row>
    <row r="40166" spans="1:5" x14ac:dyDescent="0.25">
      <c r="A40166" t="str">
        <f>HYPERLINK("https://www.773grp.com/globalSearch/NGTB20N120LWG/page-1", "NGTB20N120LWG")</f>
        <v>NGTB20N120LWG</v>
      </c>
      <c r="B40166" s="3" t="str">
        <f>HYPERLINK("https://www.773grp.com/manufacturer/onsemi?pageNo=874", "ON Semiconductor")</f>
        <v>ON Semiconductor</v>
      </c>
      <c r="C40166" s="6">
        <v>266</v>
      </c>
      <c r="D40166" s="7">
        <v>3.38</v>
      </c>
    </row>
    <row r="40167" spans="1:5" x14ac:dyDescent="0.25">
      <c r="A40167" t="str">
        <f>HYPERLINK("https://www.773grp.com/globalSearch/NTB6411ANG/page-1", "NTB6411ANG")</f>
        <v>NTB6411ANG</v>
      </c>
      <c r="B40167" s="3" t="str">
        <f>HYPERLINK("https://www.773grp.com/manufacturer/onsemi?pageNo=875", "ON Semiconductor")</f>
        <v>ON Semiconductor</v>
      </c>
      <c r="C40167" s="6">
        <v>1124</v>
      </c>
      <c r="D40167" s="7">
        <v>3.38</v>
      </c>
      <c r="E40167" t="s">
        <v>105</v>
      </c>
    </row>
    <row r="40168" spans="1:5" x14ac:dyDescent="0.25">
      <c r="A40168" t="str">
        <f>HYPERLINK("https://www.773grp.com/globalSearch/NTB6411ANT4G/page-1", "NTB6411ANT4G")</f>
        <v>NTB6411ANT4G</v>
      </c>
      <c r="B40168" s="3" t="str">
        <f>HYPERLINK("https://www.773grp.com/manufacturer/onsemi?pageNo=876", "ON Semiconductor")</f>
        <v>ON Semiconductor</v>
      </c>
      <c r="C40168" s="6">
        <v>743</v>
      </c>
      <c r="D40168" s="7">
        <v>3.38</v>
      </c>
    </row>
    <row r="40169" spans="1:5" x14ac:dyDescent="0.25">
      <c r="A40169" t="str">
        <f>HYPERLINK("https://www.773grp.com/globalSearch/NTP75N06G/page-1", "NTP75N06G")</f>
        <v>NTP75N06G</v>
      </c>
      <c r="B40169" s="3" t="str">
        <f>HYPERLINK("https://www.773grp.com/manufacturer/onsemi?pageNo=877", "ON Semiconductor")</f>
        <v>ON Semiconductor</v>
      </c>
      <c r="C40169" s="6">
        <v>73</v>
      </c>
      <c r="D40169" s="7">
        <v>3.38</v>
      </c>
      <c r="E40169" t="s">
        <v>105</v>
      </c>
    </row>
    <row r="40170" spans="1:5" x14ac:dyDescent="0.25">
      <c r="A40170" t="str">
        <f>HYPERLINK("https://www.773grp.com/globalSearch/STB8N50ET4/page-1", "STB8N50ET4")</f>
        <v>STB8N50ET4</v>
      </c>
      <c r="B40170" s="3" t="str">
        <f>HYPERLINK("https://www.773grp.com/manufacturer/onsemi?pageNo=878", "ON Semiconductor")</f>
        <v>ON Semiconductor</v>
      </c>
      <c r="C40170" s="6">
        <v>1200</v>
      </c>
      <c r="D40170" s="7">
        <v>3.38</v>
      </c>
    </row>
    <row r="40171" spans="1:5" x14ac:dyDescent="0.25">
      <c r="A40171" t="str">
        <f>HYPERLINK("https://www.773grp.com/globalSearch/CS51411GD8G/page-1", "CS51411GD8G")</f>
        <v>CS51411GD8G</v>
      </c>
      <c r="B40171" s="3" t="str">
        <f>HYPERLINK("https://www.773grp.com/manufacturer/onsemi?pageNo=879", "ON Semiconductor")</f>
        <v>ON Semiconductor</v>
      </c>
      <c r="C40171" s="6">
        <v>5292</v>
      </c>
      <c r="D40171" s="7">
        <v>3.75</v>
      </c>
    </row>
    <row r="40172" spans="1:5" x14ac:dyDescent="0.25">
      <c r="A40172" t="str">
        <f>HYPERLINK("https://www.773grp.com/globalSearch/CS51411GDR8G/page-1", "CS51411GDR8G")</f>
        <v>CS51411GDR8G</v>
      </c>
      <c r="B40172" s="3" t="str">
        <f>HYPERLINK("https://www.773grp.com/manufacturer/onsemi?pageNo=880", "ON Semiconductor")</f>
        <v>ON Semiconductor</v>
      </c>
      <c r="C40172" s="6">
        <v>110000</v>
      </c>
      <c r="D40172" s="7">
        <v>3.75</v>
      </c>
      <c r="E40172" t="s">
        <v>7</v>
      </c>
    </row>
    <row r="40173" spans="1:5" x14ac:dyDescent="0.25">
      <c r="A40173" t="str">
        <f>HYPERLINK("https://www.773grp.com/globalSearch/CS51414GD8G/page-1", "CS51414GD8G")</f>
        <v>CS51414GD8G</v>
      </c>
      <c r="B40173" s="3" t="str">
        <f>HYPERLINK("https://www.773grp.com/manufacturer/onsemi?pageNo=881", "ON Semiconductor")</f>
        <v>ON Semiconductor</v>
      </c>
      <c r="C40173" s="6">
        <v>635</v>
      </c>
      <c r="D40173" s="7">
        <v>3.75</v>
      </c>
      <c r="E40173" t="s">
        <v>7</v>
      </c>
    </row>
    <row r="40174" spans="1:5" x14ac:dyDescent="0.25">
      <c r="A40174" t="str">
        <f>HYPERLINK("https://www.773grp.com/globalSearch/CS5204-2GT3/page-1", "CS5204-2GT3")</f>
        <v>CS5204-2GT3</v>
      </c>
      <c r="B40174" s="3" t="str">
        <f>HYPERLINK("https://www.773grp.com/manufacturer/onsemi?pageNo=882", "ON Semiconductor")</f>
        <v>ON Semiconductor</v>
      </c>
      <c r="C40174" s="6">
        <v>900</v>
      </c>
      <c r="D40174" s="7">
        <v>3.75</v>
      </c>
      <c r="E40174" t="s">
        <v>19</v>
      </c>
    </row>
    <row r="40175" spans="1:5" x14ac:dyDescent="0.25">
      <c r="A40175" t="str">
        <f>HYPERLINK("https://www.773grp.com/globalSearch/CS5204-3GT3/page-1", "CS5204-3GT3")</f>
        <v>CS5204-3GT3</v>
      </c>
      <c r="B40175" s="3" t="str">
        <f>HYPERLINK("https://www.773grp.com/manufacturer/onsemi?pageNo=883", "ON Semiconductor")</f>
        <v>ON Semiconductor</v>
      </c>
      <c r="C40175" s="6">
        <v>1350</v>
      </c>
      <c r="D40175" s="7">
        <v>3.75</v>
      </c>
      <c r="E40175" t="s">
        <v>19</v>
      </c>
    </row>
    <row r="40176" spans="1:5" x14ac:dyDescent="0.25">
      <c r="A40176" t="str">
        <f>HYPERLINK("https://www.773grp.com/globalSearch/CS5204-5GT3/page-1", "CS5204-5GT3")</f>
        <v>CS5204-5GT3</v>
      </c>
      <c r="B40176" s="3" t="str">
        <f>HYPERLINK("https://www.773grp.com/manufacturer/onsemi?pageNo=884", "ON Semiconductor")</f>
        <v>ON Semiconductor</v>
      </c>
      <c r="C40176" s="6">
        <v>21650</v>
      </c>
      <c r="D40176" s="7">
        <v>3.75</v>
      </c>
      <c r="E40176" t="s">
        <v>19</v>
      </c>
    </row>
    <row r="40177" spans="1:5" x14ac:dyDescent="0.25">
      <c r="A40177" t="str">
        <f>HYPERLINK("https://www.773grp.com/globalSearch/CS5253B-8GDP5/page-1", "CS5253B-8GDP5")</f>
        <v>CS5253B-8GDP5</v>
      </c>
      <c r="B40177" s="3" t="str">
        <f>HYPERLINK("https://www.773grp.com/manufacturer/onsemi?pageNo=885", "ON Semiconductor")</f>
        <v>ON Semiconductor</v>
      </c>
      <c r="C40177" s="6">
        <v>300</v>
      </c>
      <c r="D40177" s="7">
        <v>3.75</v>
      </c>
      <c r="E40177" t="s">
        <v>19</v>
      </c>
    </row>
    <row r="40178" spans="1:5" x14ac:dyDescent="0.25">
      <c r="A40178" t="str">
        <f>HYPERLINK("https://www.773grp.com/globalSearch/CS5253B-8GDP5G/page-1", "CS5253B-8GDP5G")</f>
        <v>CS5253B-8GDP5G</v>
      </c>
      <c r="B40178" s="3" t="str">
        <f>HYPERLINK("https://www.773grp.com/manufacturer/onsemi?pageNo=886", "ON Semiconductor")</f>
        <v>ON Semiconductor</v>
      </c>
      <c r="C40178" s="6">
        <v>1527</v>
      </c>
      <c r="D40178" s="7">
        <v>3.75</v>
      </c>
      <c r="E40178" t="s">
        <v>19</v>
      </c>
    </row>
    <row r="40179" spans="1:5" x14ac:dyDescent="0.25">
      <c r="A40179" t="str">
        <f>HYPERLINK("https://www.773grp.com/globalSearch/CS8312YN8/page-1", "CS8312YN8")</f>
        <v>CS8312YN8</v>
      </c>
      <c r="B40179" s="3" t="str">
        <f>HYPERLINK("https://www.773grp.com/manufacturer/onsemi?pageNo=887", "ON Semiconductor")</f>
        <v>ON Semiconductor</v>
      </c>
      <c r="C40179" s="6">
        <v>3012</v>
      </c>
      <c r="D40179" s="7">
        <v>3.75</v>
      </c>
      <c r="E40179" t="s">
        <v>11</v>
      </c>
    </row>
    <row r="40180" spans="1:5" x14ac:dyDescent="0.25">
      <c r="A40180" t="str">
        <f>HYPERLINK("https://www.773grp.com/globalSearch/CS8371ET7G/page-1", "CS8371ET7G")</f>
        <v>CS8371ET7G</v>
      </c>
      <c r="B40180" s="3" t="str">
        <f>HYPERLINK("https://www.773grp.com/manufacturer/onsemi?pageNo=888", "ON Semiconductor")</f>
        <v>ON Semiconductor</v>
      </c>
      <c r="C40180" s="6">
        <v>1700</v>
      </c>
      <c r="D40180" s="7">
        <v>3.75</v>
      </c>
      <c r="E40180" t="s">
        <v>117</v>
      </c>
    </row>
    <row r="40181" spans="1:5" x14ac:dyDescent="0.25">
      <c r="A40181" t="str">
        <f>HYPERLINK("https://www.773grp.com/globalSearch/LB11620T-TLM-H/page-1", "LB11620T-TLM-H")</f>
        <v>LB11620T-TLM-H</v>
      </c>
      <c r="B40181" s="3" t="str">
        <f>HYPERLINK("https://www.773grp.com/manufacturer/onsemi?pageNo=889", "ON Semiconductor")</f>
        <v>ON Semiconductor</v>
      </c>
      <c r="C40181" s="6">
        <v>10000</v>
      </c>
      <c r="D40181" s="7">
        <v>3.75</v>
      </c>
    </row>
    <row r="40182" spans="1:5" x14ac:dyDescent="0.25">
      <c r="A40182" t="str">
        <f>HYPERLINK("https://www.773grp.com/globalSearch/MC34166T/page-1", "MC34166T")</f>
        <v>MC34166T</v>
      </c>
      <c r="B40182" s="3" t="str">
        <f>HYPERLINK("https://www.773grp.com/manufacturer/onsemi?pageNo=890", "ON Semiconductor")</f>
        <v>ON Semiconductor</v>
      </c>
      <c r="C40182" s="6">
        <v>33</v>
      </c>
      <c r="D40182" s="7">
        <v>3.75</v>
      </c>
      <c r="E40182" t="s">
        <v>7</v>
      </c>
    </row>
    <row r="40183" spans="1:5" x14ac:dyDescent="0.25">
      <c r="A40183" t="str">
        <f>HYPERLINK("https://www.773grp.com/globalSearch/MC54HC174AJ/page-1", "MC54HC174AJ")</f>
        <v>MC54HC174AJ</v>
      </c>
      <c r="B40183" s="3" t="str">
        <f>HYPERLINK("https://www.773grp.com/manufacturer/onsemi?pageNo=891", "ON Semiconductor")</f>
        <v>ON Semiconductor</v>
      </c>
      <c r="C40183" s="6">
        <v>42</v>
      </c>
      <c r="D40183" s="7">
        <v>3.75</v>
      </c>
      <c r="E40183" t="s">
        <v>35</v>
      </c>
    </row>
    <row r="40184" spans="1:5" x14ac:dyDescent="0.25">
      <c r="A40184" t="str">
        <f>HYPERLINK("https://www.773grp.com/globalSearch/MTA15N06/page-1", "MTA15N06")</f>
        <v>MTA15N06</v>
      </c>
      <c r="B40184" s="3" t="str">
        <f>HYPERLINK("https://www.773grp.com/manufacturer/onsemi?pageNo=892", "ON Semiconductor")</f>
        <v>ON Semiconductor</v>
      </c>
      <c r="C40184" s="6">
        <v>33266</v>
      </c>
      <c r="D40184" s="7">
        <v>3.75</v>
      </c>
      <c r="E40184" t="s">
        <v>105</v>
      </c>
    </row>
    <row r="40185" spans="1:5" x14ac:dyDescent="0.25">
      <c r="A40185" t="str">
        <f>HYPERLINK("https://www.773grp.com/globalSearch/MTB30P06VT4G/page-1", "MTB30P06VT4G")</f>
        <v>MTB30P06VT4G</v>
      </c>
      <c r="B40185" s="3" t="str">
        <f>HYPERLINK("https://www.773grp.com/manufacturer/onsemi?pageNo=893", "ON Semiconductor")</f>
        <v>ON Semiconductor</v>
      </c>
      <c r="C40185" s="6">
        <v>2826</v>
      </c>
      <c r="D40185" s="7">
        <v>3.75</v>
      </c>
    </row>
    <row r="40186" spans="1:5" x14ac:dyDescent="0.25">
      <c r="A40186" t="str">
        <f>HYPERLINK("https://www.773grp.com/globalSearch/MTP1306/page-1", "MTP1306")</f>
        <v>MTP1306</v>
      </c>
      <c r="B40186" s="3" t="str">
        <f>HYPERLINK("https://www.773grp.com/manufacturer/onsemi?pageNo=894", "ON Semiconductor")</f>
        <v>ON Semiconductor</v>
      </c>
      <c r="C40186" s="6">
        <v>73900</v>
      </c>
      <c r="D40186" s="7">
        <v>3.75</v>
      </c>
      <c r="E40186" t="s">
        <v>105</v>
      </c>
    </row>
    <row r="40187" spans="1:5" x14ac:dyDescent="0.25">
      <c r="A40187" t="str">
        <f>HYPERLINK("https://www.773grp.com/globalSearch/NCP1294EDR2G/page-1", "NCP1294EDR2G")</f>
        <v>NCP1294EDR2G</v>
      </c>
      <c r="B40187" s="3" t="str">
        <f>HYPERLINK("https://www.773grp.com/manufacturer/onsemi?pageNo=895", "ON Semiconductor")</f>
        <v>ON Semiconductor</v>
      </c>
      <c r="C40187" s="6">
        <v>5044</v>
      </c>
      <c r="D40187" s="7">
        <v>3.75</v>
      </c>
      <c r="E40187" t="s">
        <v>7</v>
      </c>
    </row>
    <row r="40188" spans="1:5" x14ac:dyDescent="0.25">
      <c r="A40188" t="str">
        <f>HYPERLINK("https://www.773grp.com/globalSearch/NCP1442FR4/page-1", "NCP1442FR4")</f>
        <v>NCP1442FR4</v>
      </c>
      <c r="B40188" s="3" t="str">
        <f>HYPERLINK("https://www.773grp.com/manufacturer/onsemi?pageNo=896", "ON Semiconductor")</f>
        <v>ON Semiconductor</v>
      </c>
      <c r="C40188" s="6">
        <v>44000</v>
      </c>
      <c r="D40188" s="7">
        <v>3.75</v>
      </c>
      <c r="E40188" t="s">
        <v>7</v>
      </c>
    </row>
    <row r="40189" spans="1:5" x14ac:dyDescent="0.25">
      <c r="A40189" t="str">
        <f>HYPERLINK("https://www.773grp.com/globalSearch/NCP1443FR4/page-1", "NCP1443FR4")</f>
        <v>NCP1443FR4</v>
      </c>
      <c r="B40189" s="3" t="str">
        <f>HYPERLINK("https://www.773grp.com/manufacturer/onsemi?pageNo=897", "ON Semiconductor")</f>
        <v>ON Semiconductor</v>
      </c>
      <c r="C40189" s="6">
        <v>3523</v>
      </c>
      <c r="D40189" s="7">
        <v>3.75</v>
      </c>
      <c r="E40189" t="s">
        <v>7</v>
      </c>
    </row>
    <row r="40190" spans="1:5" x14ac:dyDescent="0.25">
      <c r="A40190" t="str">
        <f>HYPERLINK("https://www.773grp.com/globalSearch/NCP1444FR4/page-1", "NCP1444FR4")</f>
        <v>NCP1444FR4</v>
      </c>
      <c r="B40190" s="3" t="str">
        <f>HYPERLINK("https://www.773grp.com/manufacturer/onsemi?pageNo=898", "ON Semiconductor")</f>
        <v>ON Semiconductor</v>
      </c>
      <c r="C40190" s="6">
        <v>8000</v>
      </c>
      <c r="D40190" s="7">
        <v>3.75</v>
      </c>
      <c r="E40190" t="s">
        <v>7</v>
      </c>
    </row>
    <row r="40191" spans="1:5" x14ac:dyDescent="0.25">
      <c r="A40191" t="str">
        <f>HYPERLINK("https://www.773grp.com/globalSearch/NCP1445FR4/page-1", "NCP1445FR4")</f>
        <v>NCP1445FR4</v>
      </c>
      <c r="B40191" s="3" t="str">
        <f>HYPERLINK("https://www.773grp.com/manufacturer/onsemi?pageNo=899", "ON Semiconductor")</f>
        <v>ON Semiconductor</v>
      </c>
      <c r="C40191" s="6">
        <v>2000</v>
      </c>
      <c r="D40191" s="7">
        <v>3.75</v>
      </c>
      <c r="E40191" t="s">
        <v>7</v>
      </c>
    </row>
    <row r="40192" spans="1:5" x14ac:dyDescent="0.25">
      <c r="A40192" t="str">
        <f>HYPERLINK("https://www.773grp.com/globalSearch/NCP4429DR2/page-1", "NCP4429DR2")</f>
        <v>NCP4429DR2</v>
      </c>
      <c r="B40192" s="3" t="str">
        <f>HYPERLINK("https://www.773grp.com/manufacturer/onsemi?pageNo=900", "ON Semiconductor")</f>
        <v>ON Semiconductor</v>
      </c>
      <c r="C40192" s="6">
        <v>28121</v>
      </c>
      <c r="D40192" s="7">
        <v>3.75</v>
      </c>
      <c r="E40192" t="s">
        <v>16</v>
      </c>
    </row>
    <row r="40193" spans="1:5" x14ac:dyDescent="0.25">
      <c r="A40193" t="str">
        <f>HYPERLINK("https://www.773grp.com/globalSearch/NCV8675DT33RKG/page-1", "NCV8675DT33RKG")</f>
        <v>NCV8675DT33RKG</v>
      </c>
      <c r="B40193" s="3" t="str">
        <f>HYPERLINK("https://www.773grp.com/manufacturer/onsemi?pageNo=901", "ON Semiconductor")</f>
        <v>ON Semiconductor</v>
      </c>
      <c r="C40193" s="6">
        <v>35000</v>
      </c>
      <c r="D40193" s="7">
        <v>3.75</v>
      </c>
    </row>
    <row r="40194" spans="1:5" x14ac:dyDescent="0.25">
      <c r="A40194" t="str">
        <f>HYPERLINK("https://www.773grp.com/globalSearch/NTP6411ANG/page-1", "NTP6411ANG")</f>
        <v>NTP6411ANG</v>
      </c>
      <c r="B40194" s="3" t="str">
        <f>HYPERLINK("https://www.773grp.com/manufacturer/onsemi?pageNo=902", "ON Semiconductor")</f>
        <v>ON Semiconductor</v>
      </c>
      <c r="C40194" s="6">
        <v>95</v>
      </c>
      <c r="D40194" s="7">
        <v>3.75</v>
      </c>
    </row>
    <row r="40195" spans="1:5" x14ac:dyDescent="0.25">
      <c r="A40195" t="str">
        <f>HYPERLINK("https://www.773grp.com/globalSearch/2SK4043LS/page-1", "2SK4043LS")</f>
        <v>2SK4043LS</v>
      </c>
      <c r="B40195" s="3" t="str">
        <f>HYPERLINK("https://www.773grp.com/manufacturer/onsemi?pageNo=903", "ON Semiconductor")</f>
        <v>ON Semiconductor</v>
      </c>
      <c r="C40195" s="6">
        <v>100</v>
      </c>
      <c r="D40195" s="7">
        <v>3.41</v>
      </c>
    </row>
    <row r="40196" spans="1:5" x14ac:dyDescent="0.25">
      <c r="A40196" t="str">
        <f>HYPERLINK("https://www.773grp.com/globalSearch/CM74F299DWR2/page-1", "CM74F299DWR2")</f>
        <v>CM74F299DWR2</v>
      </c>
      <c r="B40196" s="3" t="str">
        <f>HYPERLINK("https://www.773grp.com/manufacturer/onsemi?pageNo=904", "ON Semiconductor")</f>
        <v>ON Semiconductor</v>
      </c>
      <c r="C40196" s="6">
        <v>1000</v>
      </c>
      <c r="D40196" s="7">
        <v>3.41</v>
      </c>
    </row>
    <row r="40197" spans="1:5" x14ac:dyDescent="0.25">
      <c r="A40197" t="str">
        <f>HYPERLINK("https://www.773grp.com/globalSearch/MBR5025L/page-1", "MBR5025L")</f>
        <v>MBR5025L</v>
      </c>
      <c r="B40197" s="3" t="str">
        <f>HYPERLINK("https://www.773grp.com/manufacturer/onsemi?pageNo=905", "ON Semiconductor")</f>
        <v>ON Semiconductor</v>
      </c>
      <c r="C40197" s="6">
        <v>265</v>
      </c>
      <c r="D40197" s="7">
        <v>3.41</v>
      </c>
      <c r="E40197" t="s">
        <v>103</v>
      </c>
    </row>
    <row r="40198" spans="1:5" x14ac:dyDescent="0.25">
      <c r="A40198" t="str">
        <f>HYPERLINK("https://www.773grp.com/globalSearch/BDV64B/page-1", "BDV64B")</f>
        <v>BDV64B</v>
      </c>
      <c r="B40198" s="3" t="str">
        <f>HYPERLINK("https://www.773grp.com/manufacturer/onsemi?pageNo=906", "ON Semiconductor")</f>
        <v>ON Semiconductor</v>
      </c>
      <c r="C40198" s="6">
        <v>877</v>
      </c>
      <c r="D40198" s="7">
        <v>3.8</v>
      </c>
      <c r="E40198" t="s">
        <v>59</v>
      </c>
    </row>
    <row r="40199" spans="1:5" x14ac:dyDescent="0.25">
      <c r="A40199" t="str">
        <f>HYPERLINK("https://www.773grp.com/globalSearch/CAT5171TBI-50GT3/page-1", "CAT5171TBI-50GT3")</f>
        <v>CAT5171TBI-50GT3</v>
      </c>
      <c r="B40199" s="3" t="str">
        <f>HYPERLINK("https://www.773grp.com/manufacturer/onsemi?pageNo=907", "ON Semiconductor")</f>
        <v>ON Semiconductor</v>
      </c>
      <c r="C40199" s="6">
        <v>6000</v>
      </c>
      <c r="D40199" s="7">
        <v>3.8</v>
      </c>
      <c r="E40199" t="s">
        <v>99</v>
      </c>
    </row>
    <row r="40200" spans="1:5" x14ac:dyDescent="0.25">
      <c r="A40200" t="str">
        <f>HYPERLINK("https://www.773grp.com/globalSearch/CAT5172TBI-00GT3/page-1", "CAT5172TBI-00GT3")</f>
        <v>CAT5172TBI-00GT3</v>
      </c>
      <c r="B40200" s="3" t="str">
        <f>HYPERLINK("https://www.773grp.com/manufacturer/onsemi?pageNo=908", "ON Semiconductor")</f>
        <v>ON Semiconductor</v>
      </c>
      <c r="C40200" s="6">
        <v>3000</v>
      </c>
      <c r="D40200" s="7">
        <v>3.8</v>
      </c>
      <c r="E40200" t="s">
        <v>99</v>
      </c>
    </row>
    <row r="40201" spans="1:5" x14ac:dyDescent="0.25">
      <c r="A40201" t="str">
        <f>HYPERLINK("https://www.773grp.com/globalSearch/CS5171ED8G/page-1", "CS5171ED8G")</f>
        <v>CS5171ED8G</v>
      </c>
      <c r="B40201" s="3" t="str">
        <f>HYPERLINK("https://www.773grp.com/manufacturer/onsemi?pageNo=909", "ON Semiconductor")</f>
        <v>ON Semiconductor</v>
      </c>
      <c r="C40201" s="6">
        <v>1312</v>
      </c>
      <c r="D40201" s="7">
        <v>3.8</v>
      </c>
      <c r="E40201" t="s">
        <v>7</v>
      </c>
    </row>
    <row r="40202" spans="1:5" x14ac:dyDescent="0.25">
      <c r="A40202" t="str">
        <f>HYPERLINK("https://www.773grp.com/globalSearch/CS5171EDR8G/page-1", "CS5171EDR8G")</f>
        <v>CS5171EDR8G</v>
      </c>
      <c r="B40202" s="3" t="str">
        <f>HYPERLINK("https://www.773grp.com/manufacturer/onsemi?pageNo=910", "ON Semiconductor")</f>
        <v>ON Semiconductor</v>
      </c>
      <c r="C40202" s="6">
        <v>131783</v>
      </c>
      <c r="D40202" s="7">
        <v>3.8</v>
      </c>
      <c r="E40202" t="s">
        <v>7</v>
      </c>
    </row>
    <row r="40203" spans="1:5" x14ac:dyDescent="0.25">
      <c r="A40203" t="str">
        <f>HYPERLINK("https://www.773grp.com/globalSearch/CS5172ED8G/page-1", "CS5172ED8G")</f>
        <v>CS5172ED8G</v>
      </c>
      <c r="B40203" s="3" t="str">
        <f>HYPERLINK("https://www.773grp.com/manufacturer/onsemi?pageNo=911", "ON Semiconductor")</f>
        <v>ON Semiconductor</v>
      </c>
      <c r="C40203" s="6">
        <v>600</v>
      </c>
      <c r="D40203" s="7">
        <v>3.8</v>
      </c>
    </row>
    <row r="40204" spans="1:5" x14ac:dyDescent="0.25">
      <c r="A40204" t="str">
        <f>HYPERLINK("https://www.773grp.com/globalSearch/CS5173ED8G/page-1", "CS5173ED8G")</f>
        <v>CS5173ED8G</v>
      </c>
      <c r="B40204" s="3" t="str">
        <f>HYPERLINK("https://www.773grp.com/manufacturer/onsemi?pageNo=912", "ON Semiconductor")</f>
        <v>ON Semiconductor</v>
      </c>
      <c r="C40204" s="6">
        <v>2350</v>
      </c>
      <c r="D40204" s="7">
        <v>3.8</v>
      </c>
      <c r="E40204" t="s">
        <v>7</v>
      </c>
    </row>
    <row r="40205" spans="1:5" x14ac:dyDescent="0.25">
      <c r="A40205" t="str">
        <f>HYPERLINK("https://www.773grp.com/globalSearch/CS5174EDR8G/page-1", "CS5174EDR8G")</f>
        <v>CS5174EDR8G</v>
      </c>
      <c r="B40205" s="3" t="str">
        <f>HYPERLINK("https://www.773grp.com/manufacturer/onsemi?pageNo=913", "ON Semiconductor")</f>
        <v>ON Semiconductor</v>
      </c>
      <c r="C40205" s="6">
        <v>5000</v>
      </c>
      <c r="D40205" s="7">
        <v>3.8</v>
      </c>
      <c r="E40205" t="s">
        <v>7</v>
      </c>
    </row>
    <row r="40206" spans="1:5" x14ac:dyDescent="0.25">
      <c r="A40206" t="str">
        <f>HYPERLINK("https://www.773grp.com/globalSearch/CS5204-1GDP3/page-1", "CS5204-1GDP3")</f>
        <v>CS5204-1GDP3</v>
      </c>
      <c r="B40206" s="3" t="str">
        <f>HYPERLINK("https://www.773grp.com/manufacturer/onsemi?pageNo=914", "ON Semiconductor")</f>
        <v>ON Semiconductor</v>
      </c>
      <c r="C40206" s="6">
        <v>250</v>
      </c>
      <c r="D40206" s="7">
        <v>3.8</v>
      </c>
      <c r="E40206" t="s">
        <v>25</v>
      </c>
    </row>
    <row r="40207" spans="1:5" x14ac:dyDescent="0.25">
      <c r="A40207" t="str">
        <f>HYPERLINK("https://www.773grp.com/globalSearch/CS5204-1GDPR3/page-1", "CS5204-1GDPR3")</f>
        <v>CS5204-1GDPR3</v>
      </c>
      <c r="B40207" s="3" t="str">
        <f>HYPERLINK("https://www.773grp.com/manufacturer/onsemi?pageNo=915", "ON Semiconductor")</f>
        <v>ON Semiconductor</v>
      </c>
      <c r="C40207" s="6">
        <v>744</v>
      </c>
      <c r="D40207" s="7">
        <v>3.8</v>
      </c>
      <c r="E40207" t="s">
        <v>25</v>
      </c>
    </row>
    <row r="40208" spans="1:5" x14ac:dyDescent="0.25">
      <c r="A40208" t="str">
        <f>HYPERLINK("https://www.773grp.com/globalSearch/CS5204-2GDP3/page-1", "CS5204-2GDP3")</f>
        <v>CS5204-2GDP3</v>
      </c>
      <c r="B40208" s="3" t="str">
        <f>HYPERLINK("https://www.773grp.com/manufacturer/onsemi?pageNo=916", "ON Semiconductor")</f>
        <v>ON Semiconductor</v>
      </c>
      <c r="C40208" s="6">
        <v>3593</v>
      </c>
      <c r="D40208" s="7">
        <v>3.8</v>
      </c>
      <c r="E40208" t="s">
        <v>19</v>
      </c>
    </row>
    <row r="40209" spans="1:5" x14ac:dyDescent="0.25">
      <c r="A40209" t="str">
        <f>HYPERLINK("https://www.773grp.com/globalSearch/CS5204-2GDPR3/page-1", "CS5204-2GDPR3")</f>
        <v>CS5204-2GDPR3</v>
      </c>
      <c r="B40209" s="3" t="str">
        <f>HYPERLINK("https://www.773grp.com/manufacturer/onsemi?pageNo=917", "ON Semiconductor")</f>
        <v>ON Semiconductor</v>
      </c>
      <c r="C40209" s="6">
        <v>750</v>
      </c>
      <c r="D40209" s="7">
        <v>3.8</v>
      </c>
      <c r="E40209" t="s">
        <v>19</v>
      </c>
    </row>
    <row r="40210" spans="1:5" x14ac:dyDescent="0.25">
      <c r="A40210" t="str">
        <f>HYPERLINK("https://www.773grp.com/globalSearch/CS5204-3GDP3/page-1", "CS5204-3GDP3")</f>
        <v>CS5204-3GDP3</v>
      </c>
      <c r="B40210" s="3" t="str">
        <f>HYPERLINK("https://www.773grp.com/manufacturer/onsemi?pageNo=918", "ON Semiconductor")</f>
        <v>ON Semiconductor</v>
      </c>
      <c r="C40210" s="6">
        <v>400</v>
      </c>
      <c r="D40210" s="7">
        <v>3.8</v>
      </c>
      <c r="E40210" t="s">
        <v>19</v>
      </c>
    </row>
    <row r="40211" spans="1:5" x14ac:dyDescent="0.25">
      <c r="A40211" t="str">
        <f>HYPERLINK("https://www.773grp.com/globalSearch/CS5204-3GDPR3/page-1", "CS5204-3GDPR3")</f>
        <v>CS5204-3GDPR3</v>
      </c>
      <c r="B40211" s="3" t="str">
        <f>HYPERLINK("https://www.773grp.com/manufacturer/onsemi?pageNo=919", "ON Semiconductor")</f>
        <v>ON Semiconductor</v>
      </c>
      <c r="C40211" s="6">
        <v>17250</v>
      </c>
      <c r="D40211" s="7">
        <v>3.8</v>
      </c>
      <c r="E40211" t="s">
        <v>19</v>
      </c>
    </row>
    <row r="40212" spans="1:5" x14ac:dyDescent="0.25">
      <c r="A40212" t="str">
        <f>HYPERLINK("https://www.773grp.com/globalSearch/CS5205-2GT3/page-1", "CS5205-2GT3")</f>
        <v>CS5205-2GT3</v>
      </c>
      <c r="B40212" s="3" t="str">
        <f>HYPERLINK("https://www.773grp.com/manufacturer/onsemi?pageNo=920", "ON Semiconductor")</f>
        <v>ON Semiconductor</v>
      </c>
      <c r="C40212" s="6">
        <v>850</v>
      </c>
      <c r="D40212" s="7">
        <v>3.8</v>
      </c>
      <c r="E40212" t="s">
        <v>19</v>
      </c>
    </row>
    <row r="40213" spans="1:5" x14ac:dyDescent="0.25">
      <c r="A40213" t="str">
        <f>HYPERLINK("https://www.773grp.com/globalSearch/CS5205-3GT3/page-1", "CS5205-3GT3")</f>
        <v>CS5205-3GT3</v>
      </c>
      <c r="B40213" s="3" t="str">
        <f>HYPERLINK("https://www.773grp.com/manufacturer/onsemi?pageNo=921", "ON Semiconductor")</f>
        <v>ON Semiconductor</v>
      </c>
      <c r="C40213" s="6">
        <v>350</v>
      </c>
      <c r="D40213" s="7">
        <v>3.8</v>
      </c>
      <c r="E40213" t="s">
        <v>19</v>
      </c>
    </row>
    <row r="40214" spans="1:5" x14ac:dyDescent="0.25">
      <c r="A40214" t="str">
        <f>HYPERLINK("https://www.773grp.com/globalSearch/CS5205-5GT3/page-1", "CS5205-5GT3")</f>
        <v>CS5205-5GT3</v>
      </c>
      <c r="B40214" s="3" t="str">
        <f>HYPERLINK("https://www.773grp.com/manufacturer/onsemi?pageNo=922", "ON Semiconductor")</f>
        <v>ON Semiconductor</v>
      </c>
      <c r="C40214" s="6">
        <v>8750</v>
      </c>
      <c r="D40214" s="7">
        <v>3.8</v>
      </c>
      <c r="E40214" t="s">
        <v>19</v>
      </c>
    </row>
    <row r="40215" spans="1:5" x14ac:dyDescent="0.25">
      <c r="A40215" t="str">
        <f>HYPERLINK("https://www.773grp.com/globalSearch/CS5205A-1GT3/page-1", "CS5205A-1GT3")</f>
        <v>CS5205A-1GT3</v>
      </c>
      <c r="B40215" s="3" t="str">
        <f>HYPERLINK("https://www.773grp.com/manufacturer/onsemi?pageNo=923", "ON Semiconductor")</f>
        <v>ON Semiconductor</v>
      </c>
      <c r="C40215" s="6">
        <v>2600</v>
      </c>
      <c r="D40215" s="7">
        <v>3.8</v>
      </c>
      <c r="E40215" t="s">
        <v>25</v>
      </c>
    </row>
    <row r="40216" spans="1:5" x14ac:dyDescent="0.25">
      <c r="A40216" t="str">
        <f>HYPERLINK("https://www.773grp.com/globalSearch/CS5206-1GT3/page-1", "CS5206-1GT3")</f>
        <v>CS5206-1GT3</v>
      </c>
      <c r="B40216" s="3" t="str">
        <f>HYPERLINK("https://www.773grp.com/manufacturer/onsemi?pageNo=924", "ON Semiconductor")</f>
        <v>ON Semiconductor</v>
      </c>
      <c r="C40216" s="6">
        <v>1600</v>
      </c>
      <c r="D40216" s="7">
        <v>3.8</v>
      </c>
      <c r="E40216" t="s">
        <v>25</v>
      </c>
    </row>
    <row r="40217" spans="1:5" x14ac:dyDescent="0.25">
      <c r="A40217" t="str">
        <f>HYPERLINK("https://www.773grp.com/globalSearch/CS5206-3GT3/page-1", "CS5206-3GT3")</f>
        <v>CS5206-3GT3</v>
      </c>
      <c r="B40217" s="3" t="str">
        <f>HYPERLINK("https://www.773grp.com/manufacturer/onsemi?pageNo=925", "ON Semiconductor")</f>
        <v>ON Semiconductor</v>
      </c>
      <c r="C40217" s="6">
        <v>50</v>
      </c>
      <c r="D40217" s="7">
        <v>3.8</v>
      </c>
      <c r="E40217" t="s">
        <v>19</v>
      </c>
    </row>
    <row r="40218" spans="1:5" x14ac:dyDescent="0.25">
      <c r="A40218" t="str">
        <f>HYPERLINK("https://www.773grp.com/globalSearch/CS5206-5GT3/page-1", "CS5206-5GT3")</f>
        <v>CS5206-5GT3</v>
      </c>
      <c r="B40218" s="3" t="str">
        <f>HYPERLINK("https://www.773grp.com/manufacturer/onsemi?pageNo=926", "ON Semiconductor")</f>
        <v>ON Semiconductor</v>
      </c>
      <c r="C40218" s="6">
        <v>3750</v>
      </c>
      <c r="D40218" s="7">
        <v>3.8</v>
      </c>
      <c r="E40218" t="s">
        <v>19</v>
      </c>
    </row>
    <row r="40219" spans="1:5" x14ac:dyDescent="0.25">
      <c r="A40219" t="str">
        <f>HYPERLINK("https://www.773grp.com/globalSearch/CS8101YDWF20G/page-1", "CS8101YDWF20G")</f>
        <v>CS8101YDWF20G</v>
      </c>
      <c r="B40219" s="3" t="str">
        <f>HYPERLINK("https://www.773grp.com/manufacturer/onsemi?pageNo=927", "ON Semiconductor")</f>
        <v>ON Semiconductor</v>
      </c>
      <c r="C40219" s="6">
        <v>1254</v>
      </c>
      <c r="D40219" s="7">
        <v>3.8</v>
      </c>
      <c r="E40219" t="s">
        <v>19</v>
      </c>
    </row>
    <row r="40220" spans="1:5" x14ac:dyDescent="0.25">
      <c r="A40220" t="str">
        <f>HYPERLINK("https://www.773grp.com/globalSearch/CS8101YDWFR20G/page-1", "CS8101YDWFR20G")</f>
        <v>CS8101YDWFR20G</v>
      </c>
      <c r="B40220" s="3" t="str">
        <f>HYPERLINK("https://www.773grp.com/manufacturer/onsemi?pageNo=928", "ON Semiconductor")</f>
        <v>ON Semiconductor</v>
      </c>
      <c r="C40220" s="6">
        <v>4157</v>
      </c>
      <c r="D40220" s="7">
        <v>3.8</v>
      </c>
      <c r="E40220" t="s">
        <v>19</v>
      </c>
    </row>
    <row r="40221" spans="1:5" x14ac:dyDescent="0.25">
      <c r="A40221" t="str">
        <f>HYPERLINK("https://www.773grp.com/globalSearch/LB1909M-TE-L-E/page-1", "LB1909M-TE-L-E")</f>
        <v>LB1909M-TE-L-E</v>
      </c>
      <c r="B40221" s="3" t="str">
        <f>HYPERLINK("https://www.773grp.com/manufacturer/onsemi?pageNo=929", "ON Semiconductor")</f>
        <v>ON Semiconductor</v>
      </c>
      <c r="C40221" s="6">
        <v>54</v>
      </c>
      <c r="D40221" s="7">
        <v>3.8</v>
      </c>
    </row>
    <row r="40222" spans="1:5" x14ac:dyDescent="0.25">
      <c r="A40222" t="str">
        <f>HYPERLINK("https://www.773grp.com/globalSearch/LV5011MD-AH/page-1", "LV5011MD-AH")</f>
        <v>LV5011MD-AH</v>
      </c>
      <c r="B40222" s="3" t="str">
        <f>HYPERLINK("https://www.773grp.com/manufacturer/onsemi?pageNo=930", "ON Semiconductor")</f>
        <v>ON Semiconductor</v>
      </c>
      <c r="C40222" s="6">
        <v>27500</v>
      </c>
      <c r="D40222" s="7">
        <v>3.8</v>
      </c>
    </row>
    <row r="40223" spans="1:5" x14ac:dyDescent="0.25">
      <c r="A40223" t="str">
        <f>HYPERLINK("https://www.773grp.com/globalSearch/LV5026MC-AH/page-1", "LV5026MC-AH")</f>
        <v>LV5026MC-AH</v>
      </c>
      <c r="B40223" s="3" t="str">
        <f>HYPERLINK("https://www.773grp.com/manufacturer/onsemi?pageNo=931", "ON Semiconductor")</f>
        <v>ON Semiconductor</v>
      </c>
      <c r="C40223" s="6">
        <v>94590</v>
      </c>
      <c r="D40223" s="7">
        <v>3.8</v>
      </c>
    </row>
    <row r="40224" spans="1:5" x14ac:dyDescent="0.25">
      <c r="A40224" t="str">
        <f>HYPERLINK("https://www.773grp.com/globalSearch/MAC228A4G/page-1", "MAC228A4G")</f>
        <v>MAC228A4G</v>
      </c>
      <c r="B40224" s="3" t="str">
        <f>HYPERLINK("https://www.773grp.com/manufacturer/onsemi?pageNo=932", "ON Semiconductor")</f>
        <v>ON Semiconductor</v>
      </c>
      <c r="C40224" s="6">
        <v>7000</v>
      </c>
      <c r="D40224" s="7">
        <v>3.8</v>
      </c>
      <c r="E40224" t="s">
        <v>102</v>
      </c>
    </row>
    <row r="40225" spans="1:5" x14ac:dyDescent="0.25">
      <c r="A40225" t="str">
        <f>HYPERLINK("https://www.773grp.com/globalSearch/MAC228A6G/page-1", "MAC228A6G")</f>
        <v>MAC228A6G</v>
      </c>
      <c r="B40225" s="3" t="str">
        <f>HYPERLINK("https://www.773grp.com/manufacturer/onsemi?pageNo=933", "ON Semiconductor")</f>
        <v>ON Semiconductor</v>
      </c>
      <c r="C40225" s="6">
        <v>18500</v>
      </c>
      <c r="D40225" s="7">
        <v>3.8</v>
      </c>
    </row>
    <row r="40226" spans="1:5" x14ac:dyDescent="0.25">
      <c r="A40226" t="str">
        <f>HYPERLINK("https://www.773grp.com/globalSearch/MAC228A8G/page-1", "MAC228A8G")</f>
        <v>MAC228A8G</v>
      </c>
      <c r="B40226" s="3" t="str">
        <f>HYPERLINK("https://www.773grp.com/manufacturer/onsemi?pageNo=934", "ON Semiconductor")</f>
        <v>ON Semiconductor</v>
      </c>
      <c r="C40226" s="6">
        <v>266</v>
      </c>
      <c r="D40226" s="7">
        <v>3.8</v>
      </c>
      <c r="E40226" t="s">
        <v>102</v>
      </c>
    </row>
    <row r="40227" spans="1:5" x14ac:dyDescent="0.25">
      <c r="A40227" t="str">
        <f>HYPERLINK("https://www.773grp.com/globalSearch/MAC228A8TG/page-1", "MAC228A8TG")</f>
        <v>MAC228A8TG</v>
      </c>
      <c r="B40227" s="3" t="str">
        <f>HYPERLINK("https://www.773grp.com/manufacturer/onsemi?pageNo=935", "ON Semiconductor")</f>
        <v>ON Semiconductor</v>
      </c>
      <c r="C40227" s="6">
        <v>1000</v>
      </c>
      <c r="D40227" s="7">
        <v>3.8</v>
      </c>
    </row>
    <row r="40228" spans="1:5" x14ac:dyDescent="0.25">
      <c r="A40228" t="str">
        <f>HYPERLINK("https://www.773grp.com/globalSearch/MBR735/page-1", "MBR735")</f>
        <v>MBR735</v>
      </c>
      <c r="B40228" s="3" t="str">
        <f>HYPERLINK("https://www.773grp.com/manufacturer/onsemi?pageNo=936", "ON Semiconductor")</f>
        <v>ON Semiconductor</v>
      </c>
      <c r="C40228" s="6">
        <v>6696</v>
      </c>
      <c r="D40228" s="7">
        <v>3.8</v>
      </c>
      <c r="E40228" t="s">
        <v>103</v>
      </c>
    </row>
    <row r="40229" spans="1:5" x14ac:dyDescent="0.25">
      <c r="A40229" t="str">
        <f>HYPERLINK("https://www.773grp.com/globalSearch/MBRB41H100CTT4G/page-1", "MBRB41H100CTT4G")</f>
        <v>MBRB41H100CTT4G</v>
      </c>
      <c r="B40229" s="3" t="str">
        <f>HYPERLINK("https://www.773grp.com/manufacturer/onsemi?pageNo=937", "ON Semiconductor")</f>
        <v>ON Semiconductor</v>
      </c>
      <c r="C40229" s="6">
        <v>8000</v>
      </c>
      <c r="D40229" s="7">
        <v>3.8</v>
      </c>
    </row>
    <row r="40230" spans="1:5" x14ac:dyDescent="0.25">
      <c r="A40230" t="str">
        <f>HYPERLINK("https://www.773grp.com/globalSearch/MC10H118P/page-1", "MC10H118P")</f>
        <v>MC10H118P</v>
      </c>
      <c r="B40230" s="3" t="str">
        <f>HYPERLINK("https://www.773grp.com/manufacturer/onsemi?pageNo=938", "ON Semiconductor")</f>
        <v>ON Semiconductor</v>
      </c>
      <c r="C40230" s="6">
        <v>5255</v>
      </c>
      <c r="D40230" s="7">
        <v>3.8</v>
      </c>
      <c r="E40230" t="s">
        <v>31</v>
      </c>
    </row>
    <row r="40231" spans="1:5" x14ac:dyDescent="0.25">
      <c r="A40231" t="str">
        <f>HYPERLINK("https://www.773grp.com/globalSearch/MC14557BCPG/page-1", "MC14557BCPG")</f>
        <v>MC14557BCPG</v>
      </c>
      <c r="B40231" s="3" t="str">
        <f>HYPERLINK("https://www.773grp.com/manufacturer/onsemi?pageNo=939", "ON Semiconductor")</f>
        <v>ON Semiconductor</v>
      </c>
      <c r="C40231" s="6">
        <v>1744</v>
      </c>
      <c r="D40231" s="7">
        <v>3.8</v>
      </c>
      <c r="E40231" t="s">
        <v>32</v>
      </c>
    </row>
    <row r="40232" spans="1:5" x14ac:dyDescent="0.25">
      <c r="A40232" t="str">
        <f>HYPERLINK("https://www.773grp.com/globalSearch/MC14557BDWG/page-1", "MC14557BDWG")</f>
        <v>MC14557BDWG</v>
      </c>
      <c r="B40232" s="3" t="str">
        <f>HYPERLINK("https://www.773grp.com/manufacturer/onsemi?pageNo=940", "ON Semiconductor")</f>
        <v>ON Semiconductor</v>
      </c>
      <c r="C40232" s="6">
        <v>3108</v>
      </c>
      <c r="D40232" s="7">
        <v>3.8</v>
      </c>
      <c r="E40232" t="s">
        <v>32</v>
      </c>
    </row>
    <row r="40233" spans="1:5" x14ac:dyDescent="0.25">
      <c r="A40233" t="str">
        <f>HYPERLINK("https://www.773grp.com/globalSearch/MC34160DWG/page-1", "MC34160DWG")</f>
        <v>MC34160DWG</v>
      </c>
      <c r="B40233" s="3" t="str">
        <f>HYPERLINK("https://www.773grp.com/manufacturer/onsemi?pageNo=941", "ON Semiconductor")</f>
        <v>ON Semiconductor</v>
      </c>
      <c r="C40233" s="6">
        <v>893</v>
      </c>
      <c r="D40233" s="7">
        <v>3.8</v>
      </c>
      <c r="E40233" t="s">
        <v>28</v>
      </c>
    </row>
    <row r="40234" spans="1:5" x14ac:dyDescent="0.25">
      <c r="A40234" t="str">
        <f>HYPERLINK("https://www.773grp.com/globalSearch/MC34160DWR2G/page-1", "MC34160DWR2G")</f>
        <v>MC34160DWR2G</v>
      </c>
      <c r="B40234" s="3" t="str">
        <f>HYPERLINK("https://www.773grp.com/manufacturer/onsemi?pageNo=942", "ON Semiconductor")</f>
        <v>ON Semiconductor</v>
      </c>
      <c r="C40234" s="6">
        <v>2250</v>
      </c>
      <c r="D40234" s="7">
        <v>3.8</v>
      </c>
      <c r="E40234" t="s">
        <v>28</v>
      </c>
    </row>
    <row r="40235" spans="1:5" x14ac:dyDescent="0.25">
      <c r="A40235" t="str">
        <f>HYPERLINK("https://www.773grp.com/globalSearch/MC34184DTB/page-1", "MC34184DTB")</f>
        <v>MC34184DTB</v>
      </c>
      <c r="B40235" s="3" t="str">
        <f>HYPERLINK("https://www.773grp.com/manufacturer/onsemi?pageNo=943", "ON Semiconductor")</f>
        <v>ON Semiconductor</v>
      </c>
      <c r="C40235" s="6">
        <v>975</v>
      </c>
      <c r="D40235" s="7">
        <v>3.8</v>
      </c>
      <c r="E40235" t="s">
        <v>13</v>
      </c>
    </row>
    <row r="40236" spans="1:5" x14ac:dyDescent="0.25">
      <c r="A40236" t="str">
        <f>HYPERLINK("https://www.773grp.com/globalSearch/MC34184M/page-1", "MC34184M")</f>
        <v>MC34184M</v>
      </c>
      <c r="B40236" s="3" t="str">
        <f>HYPERLINK("https://www.773grp.com/manufacturer/onsemi?pageNo=944", "ON Semiconductor")</f>
        <v>ON Semiconductor</v>
      </c>
      <c r="C40236" s="6">
        <v>1655</v>
      </c>
      <c r="D40236" s="7">
        <v>3.8</v>
      </c>
    </row>
    <row r="40237" spans="1:5" x14ac:dyDescent="0.25">
      <c r="A40237" t="str">
        <f>HYPERLINK("https://www.773grp.com/globalSearch/MC44603APG/page-1", "MC44603APG")</f>
        <v>MC44603APG</v>
      </c>
      <c r="B40237" s="3" t="str">
        <f>HYPERLINK("https://www.773grp.com/manufacturer/onsemi?pageNo=945", "ON Semiconductor")</f>
        <v>ON Semiconductor</v>
      </c>
      <c r="C40237" s="6">
        <v>2425</v>
      </c>
      <c r="D40237" s="7">
        <v>3.8</v>
      </c>
      <c r="E40237" t="s">
        <v>7</v>
      </c>
    </row>
    <row r="40238" spans="1:5" x14ac:dyDescent="0.25">
      <c r="A40238" t="str">
        <f>HYPERLINK("https://www.773grp.com/globalSearch/MJ15002G/page-1", "MJ15002G")</f>
        <v>MJ15002G</v>
      </c>
      <c r="B40238" s="3" t="str">
        <f>HYPERLINK("https://www.773grp.com/manufacturer/onsemi?pageNo=946", "ON Semiconductor")</f>
        <v>ON Semiconductor</v>
      </c>
      <c r="C40238" s="6">
        <v>617</v>
      </c>
      <c r="D40238" s="7">
        <v>3.8</v>
      </c>
      <c r="E40238" t="s">
        <v>59</v>
      </c>
    </row>
    <row r="40239" spans="1:5" x14ac:dyDescent="0.25">
      <c r="A40239" t="str">
        <f>HYPERLINK("https://www.773grp.com/globalSearch/MJE5740G/page-1", "MJE5740G")</f>
        <v>MJE5740G</v>
      </c>
      <c r="B40239" s="3" t="str">
        <f>HYPERLINK("https://www.773grp.com/manufacturer/onsemi?pageNo=947", "ON Semiconductor")</f>
        <v>ON Semiconductor</v>
      </c>
      <c r="C40239" s="6">
        <v>1009</v>
      </c>
      <c r="D40239" s="7">
        <v>3.8</v>
      </c>
      <c r="E40239" t="s">
        <v>59</v>
      </c>
    </row>
    <row r="40240" spans="1:5" x14ac:dyDescent="0.25">
      <c r="A40240" t="str">
        <f>HYPERLINK("https://www.773grp.com/globalSearch/MTB3N60E/page-1", "MTB3N60E")</f>
        <v>MTB3N60E</v>
      </c>
      <c r="B40240" s="3" t="str">
        <f>HYPERLINK("https://www.773grp.com/manufacturer/onsemi?pageNo=948", "ON Semiconductor")</f>
        <v>ON Semiconductor</v>
      </c>
      <c r="C40240" s="6">
        <v>550</v>
      </c>
      <c r="D40240" s="7">
        <v>3.8</v>
      </c>
      <c r="E40240" t="s">
        <v>105</v>
      </c>
    </row>
    <row r="40241" spans="1:5" x14ac:dyDescent="0.25">
      <c r="A40241" t="str">
        <f>HYPERLINK("https://www.773grp.com/globalSearch/MTB3N60ET4/page-1", "MTB3N60ET4")</f>
        <v>MTB3N60ET4</v>
      </c>
      <c r="B40241" s="3" t="str">
        <f>HYPERLINK("https://www.773grp.com/manufacturer/onsemi?pageNo=949", "ON Semiconductor")</f>
        <v>ON Semiconductor</v>
      </c>
      <c r="C40241" s="6">
        <v>700</v>
      </c>
      <c r="D40241" s="7">
        <v>3.8</v>
      </c>
    </row>
    <row r="40242" spans="1:5" x14ac:dyDescent="0.25">
      <c r="A40242" t="str">
        <f>HYPERLINK("https://www.773grp.com/globalSearch/NCP4420DR2/page-1", "NCP4420DR2")</f>
        <v>NCP4420DR2</v>
      </c>
      <c r="B40242" s="3" t="str">
        <f>HYPERLINK("https://www.773grp.com/manufacturer/onsemi?pageNo=950", "ON Semiconductor")</f>
        <v>ON Semiconductor</v>
      </c>
      <c r="C40242" s="6">
        <v>22406</v>
      </c>
      <c r="D40242" s="7">
        <v>3.8</v>
      </c>
      <c r="E40242" t="s">
        <v>16</v>
      </c>
    </row>
    <row r="40243" spans="1:5" x14ac:dyDescent="0.25">
      <c r="A40243" t="str">
        <f>HYPERLINK("https://www.773grp.com/globalSearch/NCP5422ADR2G/page-1", "NCP5422ADR2G")</f>
        <v>NCP5422ADR2G</v>
      </c>
      <c r="B40243" s="3" t="str">
        <f>HYPERLINK("https://www.773grp.com/manufacturer/onsemi?pageNo=951", "ON Semiconductor")</f>
        <v>ON Semiconductor</v>
      </c>
      <c r="C40243" s="6">
        <v>25000</v>
      </c>
      <c r="D40243" s="7">
        <v>3.8</v>
      </c>
      <c r="E40243" t="s">
        <v>7</v>
      </c>
    </row>
    <row r="40244" spans="1:5" x14ac:dyDescent="0.25">
      <c r="A40244" t="str">
        <f>HYPERLINK("https://www.773grp.com/globalSearch/NCP5608MTR2G/page-1", "NCP5608MTR2G")</f>
        <v>NCP5608MTR2G</v>
      </c>
      <c r="B40244" s="3" t="str">
        <f>HYPERLINK("https://www.773grp.com/manufacturer/onsemi?pageNo=952", "ON Semiconductor")</f>
        <v>ON Semiconductor</v>
      </c>
      <c r="C40244" s="6">
        <v>15447</v>
      </c>
      <c r="D40244" s="7">
        <v>3.8</v>
      </c>
      <c r="E40244" t="s">
        <v>10</v>
      </c>
    </row>
    <row r="40245" spans="1:5" x14ac:dyDescent="0.25">
      <c r="A40245" t="str">
        <f>HYPERLINK("https://www.773grp.com/globalSearch/NCV4274ADS33R4G/page-1", "NCV4274ADS33R4G")</f>
        <v>NCV4274ADS33R4G</v>
      </c>
      <c r="B40245" s="3" t="str">
        <f>HYPERLINK("https://www.773grp.com/manufacturer/onsemi?pageNo=953", "ON Semiconductor")</f>
        <v>ON Semiconductor</v>
      </c>
      <c r="C40245" s="6">
        <v>674</v>
      </c>
      <c r="D40245" s="7">
        <v>3.8</v>
      </c>
    </row>
    <row r="40246" spans="1:5" x14ac:dyDescent="0.25">
      <c r="A40246" t="str">
        <f>HYPERLINK("https://www.773grp.com/globalSearch/NCV4274ADS50G/page-1", "NCV4274ADS50G")</f>
        <v>NCV4274ADS50G</v>
      </c>
      <c r="B40246" s="3" t="str">
        <f>HYPERLINK("https://www.773grp.com/manufacturer/onsemi?pageNo=954", "ON Semiconductor")</f>
        <v>ON Semiconductor</v>
      </c>
      <c r="C40246" s="6">
        <v>45</v>
      </c>
      <c r="D40246" s="7">
        <v>3.8</v>
      </c>
      <c r="E40246" t="s">
        <v>28</v>
      </c>
    </row>
    <row r="40247" spans="1:5" x14ac:dyDescent="0.25">
      <c r="A40247" t="str">
        <f>HYPERLINK("https://www.773grp.com/globalSearch/NCV4274ADS50R4G/page-1", "NCV4274ADS50R4G")</f>
        <v>NCV4274ADS50R4G</v>
      </c>
      <c r="B40247" s="3" t="str">
        <f>HYPERLINK("https://www.773grp.com/manufacturer/onsemi?pageNo=955", "ON Semiconductor")</f>
        <v>ON Semiconductor</v>
      </c>
      <c r="C40247" s="6">
        <v>27</v>
      </c>
      <c r="D40247" s="7">
        <v>3.8</v>
      </c>
      <c r="E40247" t="s">
        <v>28</v>
      </c>
    </row>
    <row r="40248" spans="1:5" x14ac:dyDescent="0.25">
      <c r="A40248" t="str">
        <f>HYPERLINK("https://www.773grp.com/globalSearch/NCV4274ADS85R4G/page-1", "NCV4274ADS85R4G")</f>
        <v>NCV4274ADS85R4G</v>
      </c>
      <c r="B40248" s="3" t="str">
        <f>HYPERLINK("https://www.773grp.com/manufacturer/onsemi?pageNo=956", "ON Semiconductor")</f>
        <v>ON Semiconductor</v>
      </c>
      <c r="C40248" s="6">
        <v>2400</v>
      </c>
      <c r="D40248" s="7">
        <v>3.8</v>
      </c>
    </row>
    <row r="40249" spans="1:5" x14ac:dyDescent="0.25">
      <c r="A40249" t="str">
        <f>HYPERLINK("https://www.773grp.com/globalSearch/NCV4274DS50R4G/page-1", "NCV4274DS50R4G")</f>
        <v>NCV4274DS50R4G</v>
      </c>
      <c r="B40249" s="3" t="str">
        <f>HYPERLINK("https://www.773grp.com/manufacturer/onsemi?pageNo=957", "ON Semiconductor")</f>
        <v>ON Semiconductor</v>
      </c>
      <c r="C40249" s="6">
        <v>820</v>
      </c>
      <c r="D40249" s="7">
        <v>3.8</v>
      </c>
      <c r="E40249" t="s">
        <v>28</v>
      </c>
    </row>
    <row r="40250" spans="1:5" x14ac:dyDescent="0.25">
      <c r="A40250" t="str">
        <f>HYPERLINK("https://www.773grp.com/globalSearch/NCV7382DG/page-1", "NCV7382DG")</f>
        <v>NCV7382DG</v>
      </c>
      <c r="B40250" s="3" t="str">
        <f>HYPERLINK("https://www.773grp.com/manufacturer/onsemi?pageNo=958", "ON Semiconductor")</f>
        <v>ON Semiconductor</v>
      </c>
      <c r="C40250" s="6">
        <v>13034</v>
      </c>
      <c r="D40250" s="7">
        <v>3.8</v>
      </c>
      <c r="E40250" t="s">
        <v>21</v>
      </c>
    </row>
    <row r="40251" spans="1:5" x14ac:dyDescent="0.25">
      <c r="A40251" t="str">
        <f>HYPERLINK("https://www.773grp.com/globalSearch/NCV8509PDW18R2/page-1", "NCV8509PDW18R2")</f>
        <v>NCV8509PDW18R2</v>
      </c>
      <c r="B40251" s="3" t="str">
        <f>HYPERLINK("https://www.773grp.com/manufacturer/onsemi?pageNo=959", "ON Semiconductor")</f>
        <v>ON Semiconductor</v>
      </c>
      <c r="C40251" s="6">
        <v>3000</v>
      </c>
      <c r="D40251" s="7">
        <v>3.8</v>
      </c>
      <c r="E40251" t="s">
        <v>117</v>
      </c>
    </row>
    <row r="40252" spans="1:5" x14ac:dyDescent="0.25">
      <c r="A40252" t="str">
        <f>HYPERLINK("https://www.773grp.com/globalSearch/NIMD6302R2/page-1", "NIMD6302R2")</f>
        <v>NIMD6302R2</v>
      </c>
      <c r="B40252" s="3" t="str">
        <f>HYPERLINK("https://www.773grp.com/manufacturer/onsemi?pageNo=960", "ON Semiconductor")</f>
        <v>ON Semiconductor</v>
      </c>
      <c r="C40252" s="6">
        <v>7385</v>
      </c>
      <c r="D40252" s="7">
        <v>3.8</v>
      </c>
      <c r="E40252" t="s">
        <v>106</v>
      </c>
    </row>
    <row r="40253" spans="1:5" x14ac:dyDescent="0.25">
      <c r="A40253" t="str">
        <f>HYPERLINK("https://www.773grp.com/globalSearch/NVD5117PLT4G/page-1", "NVD5117PLT4G")</f>
        <v>NVD5117PLT4G</v>
      </c>
      <c r="B40253" s="3" t="str">
        <f>HYPERLINK("https://www.773grp.com/manufacturer/onsemi?pageNo=961", "ON Semiconductor")</f>
        <v>ON Semiconductor</v>
      </c>
      <c r="C40253" s="6">
        <v>2500</v>
      </c>
      <c r="D40253" s="7">
        <v>3.8</v>
      </c>
    </row>
    <row r="40254" spans="1:5" x14ac:dyDescent="0.25">
      <c r="A40254" t="str">
        <f>HYPERLINK("https://www.773grp.com/globalSearch/CAT5112VI00/page-1", "CAT5112VI00")</f>
        <v>CAT5112VI00</v>
      </c>
      <c r="B40254" s="3" t="str">
        <f>HYPERLINK("https://www.773grp.com/manufacturer/onsemi?pageNo=962", "ON Semiconductor")</f>
        <v>ON Semiconductor</v>
      </c>
      <c r="C40254" s="6">
        <v>10200</v>
      </c>
      <c r="D40254" s="7">
        <v>3.43</v>
      </c>
      <c r="E40254" t="s">
        <v>99</v>
      </c>
    </row>
    <row r="40255" spans="1:5" x14ac:dyDescent="0.25">
      <c r="A40255" t="str">
        <f>HYPERLINK("https://www.773grp.com/globalSearch/CAT5112VI-00-G/page-1", "CAT5112VI-00-G")</f>
        <v>CAT5112VI-00-G</v>
      </c>
      <c r="B40255" s="3" t="str">
        <f>HYPERLINK("https://www.773grp.com/manufacturer/onsemi?pageNo=963", "ON Semiconductor")</f>
        <v>ON Semiconductor</v>
      </c>
      <c r="C40255" s="6">
        <v>1800</v>
      </c>
      <c r="D40255" s="7">
        <v>3.43</v>
      </c>
      <c r="E40255" t="s">
        <v>99</v>
      </c>
    </row>
    <row r="40256" spans="1:5" x14ac:dyDescent="0.25">
      <c r="A40256" t="str">
        <f>HYPERLINK("https://www.773grp.com/globalSearch/CAT5112VI10/page-1", "CAT5112VI10")</f>
        <v>CAT5112VI10</v>
      </c>
      <c r="B40256" s="3" t="str">
        <f>HYPERLINK("https://www.773grp.com/manufacturer/onsemi?pageNo=964", "ON Semiconductor")</f>
        <v>ON Semiconductor</v>
      </c>
      <c r="C40256" s="6">
        <v>6500</v>
      </c>
      <c r="D40256" s="7">
        <v>3.43</v>
      </c>
      <c r="E40256" t="s">
        <v>99</v>
      </c>
    </row>
    <row r="40257" spans="1:5" x14ac:dyDescent="0.25">
      <c r="A40257" t="str">
        <f>HYPERLINK("https://www.773grp.com/globalSearch/CAT5112VI-10-G/page-1", "CAT5112VI-10-G")</f>
        <v>CAT5112VI-10-G</v>
      </c>
      <c r="B40257" s="3" t="str">
        <f>HYPERLINK("https://www.773grp.com/manufacturer/onsemi?pageNo=965", "ON Semiconductor")</f>
        <v>ON Semiconductor</v>
      </c>
      <c r="C40257" s="6">
        <v>4600</v>
      </c>
      <c r="D40257" s="7">
        <v>3.43</v>
      </c>
      <c r="E40257" t="s">
        <v>99</v>
      </c>
    </row>
    <row r="40258" spans="1:5" x14ac:dyDescent="0.25">
      <c r="A40258" t="str">
        <f>HYPERLINK("https://www.773grp.com/globalSearch/CAT5112VI-10-T3/page-1", "CAT5112VI-10-T3")</f>
        <v>CAT5112VI-10-T3</v>
      </c>
      <c r="B40258" s="3" t="str">
        <f>HYPERLINK("https://www.773grp.com/manufacturer/onsemi?pageNo=966", "ON Semiconductor")</f>
        <v>ON Semiconductor</v>
      </c>
      <c r="C40258" s="6">
        <v>2500</v>
      </c>
      <c r="D40258" s="7">
        <v>3.43</v>
      </c>
      <c r="E40258" t="s">
        <v>99</v>
      </c>
    </row>
    <row r="40259" spans="1:5" x14ac:dyDescent="0.25">
      <c r="A40259" t="str">
        <f>HYPERLINK("https://www.773grp.com/globalSearch/CAT5112VI-50-G/page-1", "CAT5112VI-50-G")</f>
        <v>CAT5112VI-50-G</v>
      </c>
      <c r="B40259" s="3" t="str">
        <f>HYPERLINK("https://www.773grp.com/manufacturer/onsemi?pageNo=967", "ON Semiconductor")</f>
        <v>ON Semiconductor</v>
      </c>
      <c r="C40259" s="6">
        <v>3800</v>
      </c>
      <c r="D40259" s="7">
        <v>3.43</v>
      </c>
      <c r="E40259" t="s">
        <v>99</v>
      </c>
    </row>
    <row r="40260" spans="1:5" x14ac:dyDescent="0.25">
      <c r="A40260" t="str">
        <f>HYPERLINK("https://www.773grp.com/globalSearch/CAT5112YI-10-G/page-1", "CAT5112YI-10-G")</f>
        <v>CAT5112YI-10-G</v>
      </c>
      <c r="B40260" s="3" t="str">
        <f>HYPERLINK("https://www.773grp.com/manufacturer/onsemi?pageNo=968", "ON Semiconductor")</f>
        <v>ON Semiconductor</v>
      </c>
      <c r="C40260" s="6">
        <v>700</v>
      </c>
      <c r="D40260" s="7">
        <v>3.43</v>
      </c>
      <c r="E40260" t="s">
        <v>99</v>
      </c>
    </row>
    <row r="40261" spans="1:5" x14ac:dyDescent="0.25">
      <c r="A40261" t="str">
        <f>HYPERLINK("https://www.773grp.com/globalSearch/CS8151YDPS7G/page-1", "CS8151YDPS7G")</f>
        <v>CS8151YDPS7G</v>
      </c>
      <c r="B40261" s="3" t="str">
        <f>HYPERLINK("https://www.773grp.com/manufacturer/onsemi?pageNo=969", "ON Semiconductor")</f>
        <v>ON Semiconductor</v>
      </c>
      <c r="C40261" s="6">
        <v>350</v>
      </c>
      <c r="D40261" s="7">
        <v>3.43</v>
      </c>
      <c r="E40261" t="s">
        <v>19</v>
      </c>
    </row>
    <row r="40262" spans="1:5" x14ac:dyDescent="0.25">
      <c r="A40262" t="str">
        <f>HYPERLINK("https://www.773grp.com/globalSearch/CS8151YDPSR7/page-1", "CS8151YDPSR7")</f>
        <v>CS8151YDPSR7</v>
      </c>
      <c r="B40262" s="3" t="str">
        <f>HYPERLINK("https://www.773grp.com/manufacturer/onsemi?pageNo=970", "ON Semiconductor")</f>
        <v>ON Semiconductor</v>
      </c>
      <c r="C40262" s="6">
        <v>1500</v>
      </c>
      <c r="D40262" s="7">
        <v>3.43</v>
      </c>
      <c r="E40262" t="s">
        <v>19</v>
      </c>
    </row>
    <row r="40263" spans="1:5" x14ac:dyDescent="0.25">
      <c r="A40263" t="str">
        <f>HYPERLINK("https://www.773grp.com/globalSearch/CS8151YDPSR7G/page-1", "CS8151YDPSR7G")</f>
        <v>CS8151YDPSR7G</v>
      </c>
      <c r="B40263" s="3" t="str">
        <f>HYPERLINK("https://www.773grp.com/manufacturer/onsemi?pageNo=971", "ON Semiconductor")</f>
        <v>ON Semiconductor</v>
      </c>
      <c r="C40263" s="6">
        <v>18694</v>
      </c>
      <c r="D40263" s="7">
        <v>3.43</v>
      </c>
      <c r="E40263" t="s">
        <v>19</v>
      </c>
    </row>
    <row r="40264" spans="1:5" x14ac:dyDescent="0.25">
      <c r="A40264" t="str">
        <f>HYPERLINK("https://www.773grp.com/globalSearch/MC10114P/page-1", "MC10114P")</f>
        <v>MC10114P</v>
      </c>
      <c r="B40264" s="3" t="str">
        <f>HYPERLINK("https://www.773grp.com/manufacturer/onsemi?pageNo=972", "ON Semiconductor")</f>
        <v>ON Semiconductor</v>
      </c>
      <c r="C40264" s="6">
        <v>2958</v>
      </c>
      <c r="D40264" s="7">
        <v>3.43</v>
      </c>
      <c r="E40264" t="s">
        <v>21</v>
      </c>
    </row>
    <row r="40265" spans="1:5" x14ac:dyDescent="0.25">
      <c r="A40265" t="str">
        <f>HYPERLINK("https://www.773grp.com/globalSearch/MC33163DWG/page-1", "MC33163DWG")</f>
        <v>MC33163DWG</v>
      </c>
      <c r="B40265" s="3" t="str">
        <f>HYPERLINK("https://www.773grp.com/manufacturer/onsemi?pageNo=973", "ON Semiconductor")</f>
        <v>ON Semiconductor</v>
      </c>
      <c r="C40265" s="6">
        <v>30</v>
      </c>
      <c r="D40265" s="7">
        <v>3.43</v>
      </c>
    </row>
    <row r="40266" spans="1:5" x14ac:dyDescent="0.25">
      <c r="A40266" t="str">
        <f>HYPERLINK("https://www.773grp.com/globalSearch/MC33163DWR2G/page-1", "MC33163DWR2G")</f>
        <v>MC33163DWR2G</v>
      </c>
      <c r="B40266" s="3" t="str">
        <f>HYPERLINK("https://www.773grp.com/manufacturer/onsemi?pageNo=974", "ON Semiconductor")</f>
        <v>ON Semiconductor</v>
      </c>
      <c r="C40266" s="6">
        <v>37</v>
      </c>
      <c r="D40266" s="7">
        <v>3.43</v>
      </c>
      <c r="E40266" t="s">
        <v>7</v>
      </c>
    </row>
    <row r="40267" spans="1:5" x14ac:dyDescent="0.25">
      <c r="A40267" t="str">
        <f>HYPERLINK("https://www.773grp.com/globalSearch/MC33163PG/page-1", "MC33163PG")</f>
        <v>MC33163PG</v>
      </c>
      <c r="B40267" s="3" t="str">
        <f>HYPERLINK("https://www.773grp.com/manufacturer/onsemi?pageNo=975", "ON Semiconductor")</f>
        <v>ON Semiconductor</v>
      </c>
      <c r="C40267" s="6">
        <v>1381</v>
      </c>
      <c r="D40267" s="7">
        <v>3.43</v>
      </c>
      <c r="E40267" t="s">
        <v>7</v>
      </c>
    </row>
    <row r="40268" spans="1:5" x14ac:dyDescent="0.25">
      <c r="A40268" t="str">
        <f>HYPERLINK("https://www.773grp.com/globalSearch/MR2835SKG/page-1", "MR2835SKG")</f>
        <v>MR2835SKG</v>
      </c>
      <c r="B40268" s="3" t="str">
        <f>HYPERLINK("https://www.773grp.com/manufacturer/onsemi?pageNo=976", "ON Semiconductor")</f>
        <v>ON Semiconductor</v>
      </c>
      <c r="C40268" s="6">
        <v>10500</v>
      </c>
      <c r="D40268" s="7">
        <v>3.43</v>
      </c>
    </row>
    <row r="40269" spans="1:5" x14ac:dyDescent="0.25">
      <c r="A40269" t="str">
        <f>HYPERLINK("https://www.773grp.com/globalSearch/CS8281YDPR5/page-1", "CS8281YDPR5")</f>
        <v>CS8281YDPR5</v>
      </c>
      <c r="B40269" s="3" t="str">
        <f>HYPERLINK("https://www.773grp.com/manufacturer/onsemi?pageNo=977", "ON Semiconductor")</f>
        <v>ON Semiconductor</v>
      </c>
      <c r="C40269" s="6">
        <v>7500</v>
      </c>
      <c r="D40269" s="7">
        <v>3.46</v>
      </c>
      <c r="E40269" t="s">
        <v>44</v>
      </c>
    </row>
    <row r="40270" spans="1:5" x14ac:dyDescent="0.25">
      <c r="A40270" t="str">
        <f>HYPERLINK("https://www.773grp.com/globalSearch/LC87F2H08AVU-QFP-E/page-1", "LC87F2H08AVU-QFP-E")</f>
        <v>LC87F2H08AVU-QFP-E</v>
      </c>
      <c r="B40270" s="3" t="str">
        <f>HYPERLINK("https://www.773grp.com/manufacturer/onsemi?pageNo=978", "ON Semiconductor")</f>
        <v>ON Semiconductor</v>
      </c>
      <c r="C40270" s="6">
        <v>11405</v>
      </c>
      <c r="D40270" s="7">
        <v>3.46</v>
      </c>
    </row>
    <row r="40271" spans="1:5" x14ac:dyDescent="0.25">
      <c r="A40271" t="str">
        <f>HYPERLINK("https://www.773grp.com/globalSearch/MBR2060CT/page-1", "MBR2060CT")</f>
        <v>MBR2060CT</v>
      </c>
      <c r="B40271" s="3" t="str">
        <f>HYPERLINK("https://www.773grp.com/manufacturer/onsemi?pageNo=979", "ON Semiconductor")</f>
        <v>ON Semiconductor</v>
      </c>
      <c r="C40271" s="6">
        <v>12069</v>
      </c>
      <c r="D40271" s="7">
        <v>3.46</v>
      </c>
      <c r="E40271" t="s">
        <v>103</v>
      </c>
    </row>
    <row r="40272" spans="1:5" x14ac:dyDescent="0.25">
      <c r="A40272" t="str">
        <f>HYPERLINK("https://www.773grp.com/globalSearch/MTB29N15ET4/page-1", "MTB29N15ET4")</f>
        <v>MTB29N15ET4</v>
      </c>
      <c r="B40272" s="3" t="str">
        <f>HYPERLINK("https://www.773grp.com/manufacturer/onsemi?pageNo=980", "ON Semiconductor")</f>
        <v>ON Semiconductor</v>
      </c>
      <c r="C40272" s="6">
        <v>47200</v>
      </c>
      <c r="D40272" s="7">
        <v>3.46</v>
      </c>
      <c r="E40272" t="s">
        <v>105</v>
      </c>
    </row>
    <row r="40273" spans="1:5" x14ac:dyDescent="0.25">
      <c r="A40273" t="str">
        <f>HYPERLINK("https://www.773grp.com/globalSearch/N01L63W3AT25I/page-1", "N01L63W3AT25I")</f>
        <v>N01L63W3AT25I</v>
      </c>
      <c r="B40273" s="3" t="str">
        <f>HYPERLINK("https://www.773grp.com/manufacturer/onsemi?pageNo=981", "ON Semiconductor")</f>
        <v>ON Semiconductor</v>
      </c>
      <c r="C40273" s="6">
        <v>528810</v>
      </c>
      <c r="D40273" s="7">
        <v>3.46</v>
      </c>
      <c r="E40273" t="s">
        <v>75</v>
      </c>
    </row>
    <row r="40274" spans="1:5" x14ac:dyDescent="0.25">
      <c r="A40274" t="str">
        <f>HYPERLINK("https://www.773grp.com/globalSearch/2N6052/page-1", "2N6052")</f>
        <v>2N6052</v>
      </c>
      <c r="B40274" s="3" t="str">
        <f>HYPERLINK("https://www.773grp.com/manufacturer/onsemi?pageNo=982", "ON Semiconductor")</f>
        <v>ON Semiconductor</v>
      </c>
      <c r="C40274" s="6">
        <v>33</v>
      </c>
      <c r="D40274" s="7">
        <v>3.85</v>
      </c>
      <c r="E40274" t="s">
        <v>59</v>
      </c>
    </row>
    <row r="40275" spans="1:5" x14ac:dyDescent="0.25">
      <c r="A40275" t="str">
        <f>HYPERLINK("https://www.773grp.com/globalSearch/LB8503V-MPB-E/page-1", "LB8503V-MPB-E")</f>
        <v>LB8503V-MPB-E</v>
      </c>
      <c r="B40275" s="3" t="str">
        <f>HYPERLINK("https://www.773grp.com/manufacturer/onsemi?pageNo=983", "ON Semiconductor")</f>
        <v>ON Semiconductor</v>
      </c>
      <c r="C40275" s="6">
        <v>2385</v>
      </c>
      <c r="D40275" s="7">
        <v>3.85</v>
      </c>
    </row>
    <row r="40276" spans="1:5" x14ac:dyDescent="0.25">
      <c r="A40276" t="str">
        <f>HYPERLINK("https://www.773grp.com/globalSearch/LM2575D2T-005/page-1", "LM2575D2T-005")</f>
        <v>LM2575D2T-005</v>
      </c>
      <c r="B40276" s="3" t="str">
        <f>HYPERLINK("https://www.773grp.com/manufacturer/onsemi?pageNo=984", "ON Semiconductor")</f>
        <v>ON Semiconductor</v>
      </c>
      <c r="C40276" s="6">
        <v>575</v>
      </c>
      <c r="D40276" s="7">
        <v>3.85</v>
      </c>
      <c r="E40276" t="s">
        <v>7</v>
      </c>
    </row>
    <row r="40277" spans="1:5" x14ac:dyDescent="0.25">
      <c r="A40277" t="str">
        <f>HYPERLINK("https://www.773grp.com/globalSearch/MBRB41H100CT-1G/page-1", "MBRB41H100CT-1G")</f>
        <v>MBRB41H100CT-1G</v>
      </c>
      <c r="B40277" s="3" t="str">
        <f>HYPERLINK("https://www.773grp.com/manufacturer/onsemi?pageNo=985", "ON Semiconductor")</f>
        <v>ON Semiconductor</v>
      </c>
      <c r="C40277" s="6">
        <v>46400</v>
      </c>
      <c r="D40277" s="7">
        <v>3.85</v>
      </c>
      <c r="E40277" t="s">
        <v>103</v>
      </c>
    </row>
    <row r="40278" spans="1:5" x14ac:dyDescent="0.25">
      <c r="A40278" t="str">
        <f>HYPERLINK("https://www.773grp.com/globalSearch/NCV2575D2T-ADJ/page-1", "NCV2575D2T-ADJ")</f>
        <v>NCV2575D2T-ADJ</v>
      </c>
      <c r="B40278" s="3" t="str">
        <f>HYPERLINK("https://www.773grp.com/manufacturer/onsemi?pageNo=986", "ON Semiconductor")</f>
        <v>ON Semiconductor</v>
      </c>
      <c r="C40278" s="6">
        <v>8000</v>
      </c>
      <c r="D40278" s="7">
        <v>3.85</v>
      </c>
    </row>
    <row r="40279" spans="1:5" x14ac:dyDescent="0.25">
      <c r="A40279" t="str">
        <f>HYPERLINK("https://www.773grp.com/globalSearch/NCV8665D50R2G/page-1", "NCV8665D50R2G")</f>
        <v>NCV8665D50R2G</v>
      </c>
      <c r="B40279" s="3" t="str">
        <f>HYPERLINK("https://www.773grp.com/manufacturer/onsemi?pageNo=987", "ON Semiconductor")</f>
        <v>ON Semiconductor</v>
      </c>
      <c r="C40279" s="6">
        <v>7500</v>
      </c>
      <c r="D40279" s="7">
        <v>3.85</v>
      </c>
      <c r="E40279" t="s">
        <v>19</v>
      </c>
    </row>
    <row r="40280" spans="1:5" x14ac:dyDescent="0.25">
      <c r="A40280" t="str">
        <f>HYPERLINK("https://www.773grp.com/globalSearch/NCV866710D150R2G/page-1", "NCV866710D150R2G")</f>
        <v>NCV866710D150R2G</v>
      </c>
      <c r="B40280" s="3" t="str">
        <f>HYPERLINK("https://www.773grp.com/manufacturer/onsemi?pageNo=988", "ON Semiconductor")</f>
        <v>ON Semiconductor</v>
      </c>
      <c r="C40280" s="6">
        <v>2500</v>
      </c>
      <c r="D40280" s="7">
        <v>3.85</v>
      </c>
    </row>
    <row r="40281" spans="1:5" x14ac:dyDescent="0.25">
      <c r="A40281" t="str">
        <f>HYPERLINK("https://www.773grp.com/globalSearch/NTB6413ANG/page-1", "NTB6413ANG")</f>
        <v>NTB6413ANG</v>
      </c>
      <c r="B40281" s="3" t="str">
        <f>HYPERLINK("https://www.773grp.com/manufacturer/onsemi?pageNo=989", "ON Semiconductor")</f>
        <v>ON Semiconductor</v>
      </c>
      <c r="C40281" s="6">
        <v>450</v>
      </c>
      <c r="D40281" s="7">
        <v>3.85</v>
      </c>
    </row>
    <row r="40282" spans="1:5" x14ac:dyDescent="0.25">
      <c r="A40282" t="str">
        <f>HYPERLINK("https://www.773grp.com/globalSearch/NTB6413ANT4G/page-1", "NTB6413ANT4G")</f>
        <v>NTB6413ANT4G</v>
      </c>
      <c r="B40282" s="3" t="str">
        <f>HYPERLINK("https://www.773grp.com/manufacturer/onsemi?pageNo=990", "ON Semiconductor")</f>
        <v>ON Semiconductor</v>
      </c>
      <c r="C40282" s="6">
        <v>2400</v>
      </c>
      <c r="D40282" s="7">
        <v>3.85</v>
      </c>
    </row>
    <row r="40283" spans="1:5" x14ac:dyDescent="0.25">
      <c r="A40283" t="str">
        <f>HYPERLINK("https://www.773grp.com/globalSearch/N25S830HAS22IT/page-1", "N25S830HAS22IT")</f>
        <v>N25S830HAS22IT</v>
      </c>
      <c r="B40283" s="3" t="str">
        <f>HYPERLINK("https://www.773grp.com/manufacturer/onsemi?pageNo=991", "ON Semiconductor")</f>
        <v>ON Semiconductor</v>
      </c>
      <c r="C40283" s="6">
        <v>1346950</v>
      </c>
      <c r="D40283" s="7">
        <v>3.49</v>
      </c>
      <c r="E40283" t="s">
        <v>75</v>
      </c>
    </row>
    <row r="40284" spans="1:5" x14ac:dyDescent="0.25">
      <c r="A40284" t="str">
        <f>HYPERLINK("https://www.773grp.com/globalSearch/ADP4000JCPZ-REEL/page-1", "ADP4000JCPZ-REEL")</f>
        <v>ADP4000JCPZ-REEL</v>
      </c>
      <c r="B40284" s="3" t="str">
        <f>HYPERLINK("https://www.773grp.com/manufacturer/onsemi?pageNo=992", "ON Semiconductor")</f>
        <v>ON Semiconductor</v>
      </c>
      <c r="C40284" s="6">
        <v>29500</v>
      </c>
      <c r="D40284" s="7">
        <v>3.51</v>
      </c>
      <c r="E40284" t="s">
        <v>7</v>
      </c>
    </row>
    <row r="40285" spans="1:5" x14ac:dyDescent="0.25">
      <c r="A40285" t="str">
        <f>HYPERLINK("https://www.773grp.com/globalSearch/CS51022ADBG/page-1", "CS51022ADBG")</f>
        <v>CS51022ADBG</v>
      </c>
      <c r="B40285" s="3" t="str">
        <f>HYPERLINK("https://www.773grp.com/manufacturer/onsemi?pageNo=993", "ON Semiconductor")</f>
        <v>ON Semiconductor</v>
      </c>
      <c r="C40285" s="6">
        <v>9747</v>
      </c>
      <c r="D40285" s="7">
        <v>3.51</v>
      </c>
      <c r="E40285" t="s">
        <v>7</v>
      </c>
    </row>
    <row r="40286" spans="1:5" x14ac:dyDescent="0.25">
      <c r="A40286" t="str">
        <f>HYPERLINK("https://www.773grp.com/globalSearch/CS51022ADBR2G/page-1", "CS51022ADBR2G")</f>
        <v>CS51022ADBR2G</v>
      </c>
      <c r="B40286" s="3" t="str">
        <f>HYPERLINK("https://www.773grp.com/manufacturer/onsemi?pageNo=994", "ON Semiconductor")</f>
        <v>ON Semiconductor</v>
      </c>
      <c r="C40286" s="6">
        <v>2075</v>
      </c>
      <c r="D40286" s="7">
        <v>3.51</v>
      </c>
    </row>
    <row r="40287" spans="1:5" x14ac:dyDescent="0.25">
      <c r="A40287" t="str">
        <f>HYPERLINK("https://www.773grp.com/globalSearch/CS5165AGDW16G/page-1", "CS5165AGDW16G")</f>
        <v>CS5165AGDW16G</v>
      </c>
      <c r="B40287" s="3" t="str">
        <f>HYPERLINK("https://www.773grp.com/manufacturer/onsemi?pageNo=995", "ON Semiconductor")</f>
        <v>ON Semiconductor</v>
      </c>
      <c r="C40287" s="6">
        <v>6</v>
      </c>
      <c r="D40287" s="7">
        <v>3.51</v>
      </c>
      <c r="E40287" t="s">
        <v>7</v>
      </c>
    </row>
    <row r="40288" spans="1:5" x14ac:dyDescent="0.25">
      <c r="A40288" t="str">
        <f>HYPERLINK("https://www.773grp.com/globalSearch/CS5165AGDWR16G/page-1", "CS5165AGDWR16G")</f>
        <v>CS5165AGDWR16G</v>
      </c>
      <c r="B40288" s="3" t="str">
        <f>HYPERLINK("https://www.773grp.com/manufacturer/onsemi?pageNo=996", "ON Semiconductor")</f>
        <v>ON Semiconductor</v>
      </c>
      <c r="C40288" s="6">
        <v>1060</v>
      </c>
      <c r="D40288" s="7">
        <v>3.51</v>
      </c>
      <c r="E40288" t="s">
        <v>7</v>
      </c>
    </row>
    <row r="40289" spans="1:5" x14ac:dyDescent="0.25">
      <c r="A40289" t="str">
        <f>HYPERLINK("https://www.773grp.com/globalSearch/CS8120YTV85/page-1", "CS8120YTV85")</f>
        <v>CS8120YTV85</v>
      </c>
      <c r="B40289" s="3" t="str">
        <f>HYPERLINK("https://www.773grp.com/manufacturer/onsemi?pageNo=997", "ON Semiconductor")</f>
        <v>ON Semiconductor</v>
      </c>
      <c r="C40289" s="6">
        <v>50</v>
      </c>
      <c r="D40289" s="7">
        <v>3.51</v>
      </c>
    </row>
    <row r="40290" spans="1:5" x14ac:dyDescent="0.25">
      <c r="A40290" t="str">
        <f>HYPERLINK("https://www.773grp.com/globalSearch/CS8120YTVA5/page-1", "CS8120YTVA5")</f>
        <v>CS8120YTVA5</v>
      </c>
      <c r="B40290" s="3" t="str">
        <f>HYPERLINK("https://www.773grp.com/manufacturer/onsemi?pageNo=998", "ON Semiconductor")</f>
        <v>ON Semiconductor</v>
      </c>
      <c r="C40290" s="6">
        <v>5050</v>
      </c>
      <c r="D40290" s="7">
        <v>3.51</v>
      </c>
      <c r="E40290" t="s">
        <v>19</v>
      </c>
    </row>
    <row r="40291" spans="1:5" x14ac:dyDescent="0.25">
      <c r="A40291" t="str">
        <f>HYPERLINK("https://www.773grp.com/globalSearch/CS8240YTQ5/page-1", "CS8240YTQ5")</f>
        <v>CS8240YTQ5</v>
      </c>
      <c r="B40291" s="3" t="str">
        <f>HYPERLINK("https://www.773grp.com/manufacturer/onsemi?pageNo=999", "ON Semiconductor")</f>
        <v>ON Semiconductor</v>
      </c>
      <c r="C40291" s="6">
        <v>3450</v>
      </c>
      <c r="D40291" s="7">
        <v>3.51</v>
      </c>
      <c r="E40291" t="s">
        <v>11</v>
      </c>
    </row>
    <row r="40292" spans="1:5" x14ac:dyDescent="0.25">
      <c r="A40292" t="str">
        <f>HYPERLINK("https://www.773grp.com/globalSearch/CS8361YDPSR7G/page-1", "CS8361YDPSR7G")</f>
        <v>CS8361YDPSR7G</v>
      </c>
      <c r="B40292" s="3" t="str">
        <f>HYPERLINK("https://www.773grp.com/manufacturer/onsemi?pageNo=1000", "ON Semiconductor")</f>
        <v>ON Semiconductor</v>
      </c>
      <c r="C40292" s="6">
        <v>9933</v>
      </c>
      <c r="D40292" s="7">
        <v>3.51</v>
      </c>
    </row>
    <row r="40293" spans="1:5" x14ac:dyDescent="0.25">
      <c r="A40293" t="str">
        <f>HYPERLINK("https://www.773grp.com/globalSearch/MBR4015LWT/page-1", "MBR4015LWT")</f>
        <v>MBR4015LWT</v>
      </c>
      <c r="B40293" s="3" t="str">
        <f>HYPERLINK("https://www.773grp.com/manufacturer/onsemi?pageNo=1001", "ON Semiconductor")</f>
        <v>ON Semiconductor</v>
      </c>
      <c r="C40293" s="6">
        <v>30</v>
      </c>
      <c r="D40293" s="7">
        <v>3.51</v>
      </c>
      <c r="E40293" t="s">
        <v>103</v>
      </c>
    </row>
    <row r="40294" spans="1:5" x14ac:dyDescent="0.25">
      <c r="A40294" t="str">
        <f>HYPERLINK("https://www.773grp.com/globalSearch/MC100EL01D/page-1", "MC100EL01D")</f>
        <v>MC100EL01D</v>
      </c>
      <c r="B40294" s="3" t="str">
        <f>HYPERLINK("https://www.773grp.com/manufacturer/onsemi?pageNo=1002", "ON Semiconductor")</f>
        <v>ON Semiconductor</v>
      </c>
      <c r="C40294" s="6">
        <v>30599</v>
      </c>
      <c r="D40294" s="7">
        <v>3.51</v>
      </c>
      <c r="E40294" t="s">
        <v>31</v>
      </c>
    </row>
    <row r="40295" spans="1:5" x14ac:dyDescent="0.25">
      <c r="A40295" t="str">
        <f>HYPERLINK("https://www.773grp.com/globalSearch/MC100EL01DR2/page-1", "MC100EL01DR2")</f>
        <v>MC100EL01DR2</v>
      </c>
      <c r="B40295" s="3" t="str">
        <f>HYPERLINK("https://www.773grp.com/manufacturer/onsemi?pageNo=1003", "ON Semiconductor")</f>
        <v>ON Semiconductor</v>
      </c>
      <c r="C40295" s="6">
        <v>6815</v>
      </c>
      <c r="D40295" s="7">
        <v>3.51</v>
      </c>
      <c r="E40295" t="s">
        <v>31</v>
      </c>
    </row>
    <row r="40296" spans="1:5" x14ac:dyDescent="0.25">
      <c r="A40296" t="str">
        <f>HYPERLINK("https://www.773grp.com/globalSearch/MC100EL01DT/page-1", "MC100EL01DT")</f>
        <v>MC100EL01DT</v>
      </c>
      <c r="B40296" s="3" t="str">
        <f>HYPERLINK("https://www.773grp.com/manufacturer/onsemi?pageNo=1004", "ON Semiconductor")</f>
        <v>ON Semiconductor</v>
      </c>
      <c r="C40296" s="6">
        <v>5078</v>
      </c>
      <c r="D40296" s="7">
        <v>3.51</v>
      </c>
      <c r="E40296" t="s">
        <v>31</v>
      </c>
    </row>
    <row r="40297" spans="1:5" x14ac:dyDescent="0.25">
      <c r="A40297" t="str">
        <f>HYPERLINK("https://www.773grp.com/globalSearch/MC100EL04D/page-1", "MC100EL04D")</f>
        <v>MC100EL04D</v>
      </c>
      <c r="B40297" s="3" t="str">
        <f>HYPERLINK("https://www.773grp.com/manufacturer/onsemi?pageNo=1005", "ON Semiconductor")</f>
        <v>ON Semiconductor</v>
      </c>
      <c r="C40297" s="6">
        <v>5566</v>
      </c>
      <c r="D40297" s="7">
        <v>3.51</v>
      </c>
      <c r="E40297" t="s">
        <v>31</v>
      </c>
    </row>
    <row r="40298" spans="1:5" x14ac:dyDescent="0.25">
      <c r="A40298" t="str">
        <f>HYPERLINK("https://www.773grp.com/globalSearch/MC100EL04DR2/page-1", "MC100EL04DR2")</f>
        <v>MC100EL04DR2</v>
      </c>
      <c r="B40298" s="3" t="str">
        <f>HYPERLINK("https://www.773grp.com/manufacturer/onsemi?pageNo=1006", "ON Semiconductor")</f>
        <v>ON Semiconductor</v>
      </c>
      <c r="C40298" s="6">
        <v>2500</v>
      </c>
      <c r="D40298" s="7">
        <v>3.51</v>
      </c>
      <c r="E40298" t="s">
        <v>31</v>
      </c>
    </row>
    <row r="40299" spans="1:5" x14ac:dyDescent="0.25">
      <c r="A40299" t="str">
        <f>HYPERLINK("https://www.773grp.com/globalSearch/MC100EL04DR2G/page-1", "MC100EL04DR2G")</f>
        <v>MC100EL04DR2G</v>
      </c>
      <c r="B40299" s="3" t="str">
        <f>HYPERLINK("https://www.773grp.com/manufacturer/onsemi?pageNo=1007", "ON Semiconductor")</f>
        <v>ON Semiconductor</v>
      </c>
      <c r="C40299" s="6">
        <v>7500</v>
      </c>
      <c r="D40299" s="7">
        <v>3.51</v>
      </c>
      <c r="E40299" t="s">
        <v>31</v>
      </c>
    </row>
    <row r="40300" spans="1:5" x14ac:dyDescent="0.25">
      <c r="A40300" t="str">
        <f>HYPERLINK("https://www.773grp.com/globalSearch/MC100EL04DT/page-1", "MC100EL04DT")</f>
        <v>MC100EL04DT</v>
      </c>
      <c r="B40300" s="3" t="str">
        <f>HYPERLINK("https://www.773grp.com/manufacturer/onsemi?pageNo=1008", "ON Semiconductor")</f>
        <v>ON Semiconductor</v>
      </c>
      <c r="C40300" s="6">
        <v>2670</v>
      </c>
      <c r="D40300" s="7">
        <v>3.51</v>
      </c>
      <c r="E40300" t="s">
        <v>31</v>
      </c>
    </row>
    <row r="40301" spans="1:5" x14ac:dyDescent="0.25">
      <c r="A40301" t="str">
        <f>HYPERLINK("https://www.773grp.com/globalSearch/MC100EL05D/page-1", "MC100EL05D")</f>
        <v>MC100EL05D</v>
      </c>
      <c r="B40301" s="3" t="str">
        <f>HYPERLINK("https://www.773grp.com/manufacturer/onsemi?pageNo=1009", "ON Semiconductor")</f>
        <v>ON Semiconductor</v>
      </c>
      <c r="C40301" s="6">
        <v>27727</v>
      </c>
      <c r="D40301" s="7">
        <v>3.51</v>
      </c>
      <c r="E40301" t="s">
        <v>31</v>
      </c>
    </row>
    <row r="40302" spans="1:5" x14ac:dyDescent="0.25">
      <c r="A40302" t="str">
        <f>HYPERLINK("https://www.773grp.com/globalSearch/MC100EL05DR2/page-1", "MC100EL05DR2")</f>
        <v>MC100EL05DR2</v>
      </c>
      <c r="B40302" s="3" t="str">
        <f>HYPERLINK("https://www.773grp.com/manufacturer/onsemi?pageNo=1010", "ON Semiconductor")</f>
        <v>ON Semiconductor</v>
      </c>
      <c r="C40302" s="6">
        <v>9360</v>
      </c>
      <c r="D40302" s="7">
        <v>3.51</v>
      </c>
      <c r="E40302" t="s">
        <v>31</v>
      </c>
    </row>
    <row r="40303" spans="1:5" x14ac:dyDescent="0.25">
      <c r="A40303" t="str">
        <f>HYPERLINK("https://www.773grp.com/globalSearch/MC100EL05DT/page-1", "MC100EL05DT")</f>
        <v>MC100EL05DT</v>
      </c>
      <c r="B40303" s="3" t="str">
        <f>HYPERLINK("https://www.773grp.com/manufacturer/onsemi?pageNo=1011", "ON Semiconductor")</f>
        <v>ON Semiconductor</v>
      </c>
      <c r="C40303" s="6">
        <v>4995</v>
      </c>
      <c r="D40303" s="7">
        <v>3.51</v>
      </c>
      <c r="E40303" t="s">
        <v>31</v>
      </c>
    </row>
    <row r="40304" spans="1:5" x14ac:dyDescent="0.25">
      <c r="A40304" t="str">
        <f>HYPERLINK("https://www.773grp.com/globalSearch/MC100EL07D/page-1", "MC100EL07D")</f>
        <v>MC100EL07D</v>
      </c>
      <c r="B40304" s="3" t="str">
        <f>HYPERLINK("https://www.773grp.com/manufacturer/onsemi?pageNo=1012", "ON Semiconductor")</f>
        <v>ON Semiconductor</v>
      </c>
      <c r="C40304" s="6">
        <v>36805</v>
      </c>
      <c r="D40304" s="7">
        <v>3.51</v>
      </c>
      <c r="E40304" t="s">
        <v>31</v>
      </c>
    </row>
    <row r="40305" spans="1:5" x14ac:dyDescent="0.25">
      <c r="A40305" t="str">
        <f>HYPERLINK("https://www.773grp.com/globalSearch/MC100EL07DG/page-1", "MC100EL07DG")</f>
        <v>MC100EL07DG</v>
      </c>
      <c r="B40305" s="3" t="str">
        <f>HYPERLINK("https://www.773grp.com/manufacturer/onsemi?pageNo=1013", "ON Semiconductor")</f>
        <v>ON Semiconductor</v>
      </c>
      <c r="C40305" s="6">
        <v>7610</v>
      </c>
      <c r="D40305" s="7">
        <v>3.51</v>
      </c>
      <c r="E40305" t="s">
        <v>31</v>
      </c>
    </row>
    <row r="40306" spans="1:5" x14ac:dyDescent="0.25">
      <c r="A40306" t="str">
        <f>HYPERLINK("https://www.773grp.com/globalSearch/MC100EL07DR2/page-1", "MC100EL07DR2")</f>
        <v>MC100EL07DR2</v>
      </c>
      <c r="B40306" s="3" t="str">
        <f>HYPERLINK("https://www.773grp.com/manufacturer/onsemi?pageNo=1014", "ON Semiconductor")</f>
        <v>ON Semiconductor</v>
      </c>
      <c r="C40306" s="6">
        <v>10000</v>
      </c>
      <c r="D40306" s="7">
        <v>3.51</v>
      </c>
      <c r="E40306" t="s">
        <v>31</v>
      </c>
    </row>
    <row r="40307" spans="1:5" x14ac:dyDescent="0.25">
      <c r="A40307" t="str">
        <f>HYPERLINK("https://www.773grp.com/globalSearch/MC100EL07DT/page-1", "MC100EL07DT")</f>
        <v>MC100EL07DT</v>
      </c>
      <c r="B40307" s="3" t="str">
        <f>HYPERLINK("https://www.773grp.com/manufacturer/onsemi?pageNo=1015", "ON Semiconductor")</f>
        <v>ON Semiconductor</v>
      </c>
      <c r="C40307" s="6">
        <v>1548</v>
      </c>
      <c r="D40307" s="7">
        <v>3.51</v>
      </c>
      <c r="E40307" t="s">
        <v>31</v>
      </c>
    </row>
    <row r="40308" spans="1:5" x14ac:dyDescent="0.25">
      <c r="A40308" t="str">
        <f>HYPERLINK("https://www.773grp.com/globalSearch/MC100EL12DT/page-1", "MC100EL12DT")</f>
        <v>MC100EL12DT</v>
      </c>
      <c r="B40308" s="3" t="str">
        <f>HYPERLINK("https://www.773grp.com/manufacturer/onsemi?pageNo=1016", "ON Semiconductor")</f>
        <v>ON Semiconductor</v>
      </c>
      <c r="C40308" s="6">
        <v>5098</v>
      </c>
      <c r="D40308" s="7">
        <v>3.51</v>
      </c>
      <c r="E40308" t="s">
        <v>31</v>
      </c>
    </row>
    <row r="40309" spans="1:5" x14ac:dyDescent="0.25">
      <c r="A40309" t="str">
        <f>HYPERLINK("https://www.773grp.com/globalSearch/MC100EL32D/page-1", "MC100EL32D")</f>
        <v>MC100EL32D</v>
      </c>
      <c r="B40309" s="3" t="str">
        <f>HYPERLINK("https://www.773grp.com/manufacturer/onsemi?pageNo=1017", "ON Semiconductor")</f>
        <v>ON Semiconductor</v>
      </c>
      <c r="C40309" s="6">
        <v>11609</v>
      </c>
      <c r="D40309" s="7">
        <v>3.51</v>
      </c>
      <c r="E40309" t="s">
        <v>54</v>
      </c>
    </row>
    <row r="40310" spans="1:5" x14ac:dyDescent="0.25">
      <c r="A40310" t="str">
        <f>HYPERLINK("https://www.773grp.com/globalSearch/MC100EL32DR2/page-1", "MC100EL32DR2")</f>
        <v>MC100EL32DR2</v>
      </c>
      <c r="B40310" s="3" t="str">
        <f>HYPERLINK("https://www.773grp.com/manufacturer/onsemi?pageNo=1018", "ON Semiconductor")</f>
        <v>ON Semiconductor</v>
      </c>
      <c r="C40310" s="6">
        <v>22500</v>
      </c>
      <c r="D40310" s="7">
        <v>3.51</v>
      </c>
      <c r="E40310" t="s">
        <v>54</v>
      </c>
    </row>
    <row r="40311" spans="1:5" x14ac:dyDescent="0.25">
      <c r="A40311" t="str">
        <f>HYPERLINK("https://www.773grp.com/globalSearch/MC100EL32DT/page-1", "MC100EL32DT")</f>
        <v>MC100EL32DT</v>
      </c>
      <c r="B40311" s="3" t="str">
        <f>HYPERLINK("https://www.773grp.com/manufacturer/onsemi?pageNo=1019", "ON Semiconductor")</f>
        <v>ON Semiconductor</v>
      </c>
      <c r="C40311" s="6">
        <v>17116</v>
      </c>
      <c r="D40311" s="7">
        <v>3.51</v>
      </c>
      <c r="E40311" t="s">
        <v>54</v>
      </c>
    </row>
    <row r="40312" spans="1:5" x14ac:dyDescent="0.25">
      <c r="A40312" t="str">
        <f>HYPERLINK("https://www.773grp.com/globalSearch/MC100EL33D/page-1", "MC100EL33D")</f>
        <v>MC100EL33D</v>
      </c>
      <c r="B40312" s="3" t="str">
        <f>HYPERLINK("https://www.773grp.com/manufacturer/onsemi?pageNo=1020", "ON Semiconductor")</f>
        <v>ON Semiconductor</v>
      </c>
      <c r="C40312" s="6">
        <v>12332</v>
      </c>
      <c r="D40312" s="7">
        <v>3.51</v>
      </c>
      <c r="E40312" t="s">
        <v>54</v>
      </c>
    </row>
    <row r="40313" spans="1:5" x14ac:dyDescent="0.25">
      <c r="A40313" t="str">
        <f>HYPERLINK("https://www.773grp.com/globalSearch/MC100EL33DT/page-1", "MC100EL33DT")</f>
        <v>MC100EL33DT</v>
      </c>
      <c r="B40313" s="3" t="str">
        <f>HYPERLINK("https://www.773grp.com/manufacturer/onsemi?pageNo=1021", "ON Semiconductor")</f>
        <v>ON Semiconductor</v>
      </c>
      <c r="C40313" s="6">
        <v>25959</v>
      </c>
      <c r="D40313" s="7">
        <v>3.51</v>
      </c>
      <c r="E40313" t="s">
        <v>54</v>
      </c>
    </row>
    <row r="40314" spans="1:5" x14ac:dyDescent="0.25">
      <c r="A40314" t="str">
        <f>HYPERLINK("https://www.773grp.com/globalSearch/MC100EL33DTR2/page-1", "MC100EL33DTR2")</f>
        <v>MC100EL33DTR2</v>
      </c>
      <c r="B40314" s="3" t="str">
        <f>HYPERLINK("https://www.773grp.com/manufacturer/onsemi?pageNo=1022", "ON Semiconductor")</f>
        <v>ON Semiconductor</v>
      </c>
      <c r="C40314" s="6">
        <v>2500</v>
      </c>
      <c r="D40314" s="7">
        <v>3.51</v>
      </c>
      <c r="E40314" t="s">
        <v>54</v>
      </c>
    </row>
    <row r="40315" spans="1:5" x14ac:dyDescent="0.25">
      <c r="A40315" t="str">
        <f>HYPERLINK("https://www.773grp.com/globalSearch/MC100EL35D/page-1", "MC100EL35D")</f>
        <v>MC100EL35D</v>
      </c>
      <c r="B40315" s="3" t="str">
        <f>HYPERLINK("https://www.773grp.com/manufacturer/onsemi?pageNo=1023", "ON Semiconductor")</f>
        <v>ON Semiconductor</v>
      </c>
      <c r="C40315" s="6">
        <v>2544</v>
      </c>
      <c r="D40315" s="7">
        <v>3.51</v>
      </c>
      <c r="E40315" t="s">
        <v>35</v>
      </c>
    </row>
    <row r="40316" spans="1:5" x14ac:dyDescent="0.25">
      <c r="A40316" t="str">
        <f>HYPERLINK("https://www.773grp.com/globalSearch/MC100EL35DT/page-1", "MC100EL35DT")</f>
        <v>MC100EL35DT</v>
      </c>
      <c r="B40316" s="3" t="str">
        <f>HYPERLINK("https://www.773grp.com/manufacturer/onsemi?pageNo=1024", "ON Semiconductor")</f>
        <v>ON Semiconductor</v>
      </c>
      <c r="C40316" s="6">
        <v>6200</v>
      </c>
      <c r="D40316" s="7">
        <v>3.51</v>
      </c>
      <c r="E40316" t="s">
        <v>35</v>
      </c>
    </row>
    <row r="40317" spans="1:5" x14ac:dyDescent="0.25">
      <c r="A40317" t="str">
        <f>HYPERLINK("https://www.773grp.com/globalSearch/MC100EL51D/page-1", "MC100EL51D")</f>
        <v>MC100EL51D</v>
      </c>
      <c r="B40317" s="3" t="str">
        <f>HYPERLINK("https://www.773grp.com/manufacturer/onsemi?pageNo=1025", "ON Semiconductor")</f>
        <v>ON Semiconductor</v>
      </c>
      <c r="C40317" s="6">
        <v>3390</v>
      </c>
      <c r="D40317" s="7">
        <v>3.51</v>
      </c>
      <c r="E40317" t="s">
        <v>35</v>
      </c>
    </row>
    <row r="40318" spans="1:5" x14ac:dyDescent="0.25">
      <c r="A40318" t="str">
        <f>HYPERLINK("https://www.773grp.com/globalSearch/MC100EL52D/page-1", "MC100EL52D")</f>
        <v>MC100EL52D</v>
      </c>
      <c r="B40318" s="3" t="str">
        <f>HYPERLINK("https://www.773grp.com/manufacturer/onsemi?pageNo=1026", "ON Semiconductor")</f>
        <v>ON Semiconductor</v>
      </c>
      <c r="C40318" s="6">
        <v>8161</v>
      </c>
      <c r="D40318" s="7">
        <v>3.51</v>
      </c>
      <c r="E40318" t="s">
        <v>35</v>
      </c>
    </row>
    <row r="40319" spans="1:5" x14ac:dyDescent="0.25">
      <c r="A40319" t="str">
        <f>HYPERLINK("https://www.773grp.com/globalSearch/MC100EL52DT/page-1", "MC100EL52DT")</f>
        <v>MC100EL52DT</v>
      </c>
      <c r="B40319" s="3" t="str">
        <f>HYPERLINK("https://www.773grp.com/manufacturer/onsemi?pageNo=1027", "ON Semiconductor")</f>
        <v>ON Semiconductor</v>
      </c>
      <c r="C40319" s="6">
        <v>2791</v>
      </c>
      <c r="D40319" s="7">
        <v>3.51</v>
      </c>
      <c r="E40319" t="s">
        <v>35</v>
      </c>
    </row>
    <row r="40320" spans="1:5" x14ac:dyDescent="0.25">
      <c r="A40320" t="str">
        <f>HYPERLINK("https://www.773grp.com/globalSearch/MC100LVEL32D/page-1", "MC100LVEL32D")</f>
        <v>MC100LVEL32D</v>
      </c>
      <c r="B40320" s="3" t="str">
        <f>HYPERLINK("https://www.773grp.com/manufacturer/onsemi?pageNo=1028", "ON Semiconductor")</f>
        <v>ON Semiconductor</v>
      </c>
      <c r="C40320" s="6">
        <v>13276</v>
      </c>
      <c r="D40320" s="7">
        <v>3.51</v>
      </c>
      <c r="E40320" t="s">
        <v>54</v>
      </c>
    </row>
    <row r="40321" spans="1:5" x14ac:dyDescent="0.25">
      <c r="A40321" t="str">
        <f>HYPERLINK("https://www.773grp.com/globalSearch/MC100LVEL32DR2/page-1", "MC100LVEL32DR2")</f>
        <v>MC100LVEL32DR2</v>
      </c>
      <c r="B40321" s="3" t="str">
        <f>HYPERLINK("https://www.773grp.com/manufacturer/onsemi?pageNo=1029", "ON Semiconductor")</f>
        <v>ON Semiconductor</v>
      </c>
      <c r="C40321" s="6">
        <v>12500</v>
      </c>
      <c r="D40321" s="7">
        <v>3.51</v>
      </c>
      <c r="E40321" t="s">
        <v>54</v>
      </c>
    </row>
    <row r="40322" spans="1:5" x14ac:dyDescent="0.25">
      <c r="A40322" t="str">
        <f>HYPERLINK("https://www.773grp.com/globalSearch/MC100LVEL32DT/page-1", "MC100LVEL32DT")</f>
        <v>MC100LVEL32DT</v>
      </c>
      <c r="B40322" s="3" t="str">
        <f>HYPERLINK("https://www.773grp.com/manufacturer/onsemi?pageNo=1030", "ON Semiconductor")</f>
        <v>ON Semiconductor</v>
      </c>
      <c r="C40322" s="6">
        <v>5663</v>
      </c>
      <c r="D40322" s="7">
        <v>3.51</v>
      </c>
      <c r="E40322" t="s">
        <v>54</v>
      </c>
    </row>
    <row r="40323" spans="1:5" x14ac:dyDescent="0.25">
      <c r="A40323" t="str">
        <f>HYPERLINK("https://www.773grp.com/globalSearch/MC100LVEL33DT/page-1", "MC100LVEL33DT")</f>
        <v>MC100LVEL33DT</v>
      </c>
      <c r="B40323" s="3" t="str">
        <f>HYPERLINK("https://www.773grp.com/manufacturer/onsemi?pageNo=1031", "ON Semiconductor")</f>
        <v>ON Semiconductor</v>
      </c>
      <c r="C40323" s="6">
        <v>10325</v>
      </c>
      <c r="D40323" s="7">
        <v>3.51</v>
      </c>
      <c r="E40323" t="s">
        <v>54</v>
      </c>
    </row>
    <row r="40324" spans="1:5" x14ac:dyDescent="0.25">
      <c r="A40324" t="str">
        <f>HYPERLINK("https://www.773grp.com/globalSearch/MC10101L/page-1", "MC10101L")</f>
        <v>MC10101L</v>
      </c>
      <c r="B40324" s="3" t="str">
        <f>HYPERLINK("https://www.773grp.com/manufacturer/onsemi?pageNo=1032", "ON Semiconductor")</f>
        <v>ON Semiconductor</v>
      </c>
      <c r="C40324" s="6">
        <v>647</v>
      </c>
      <c r="D40324" s="7">
        <v>3.51</v>
      </c>
      <c r="E40324" t="s">
        <v>31</v>
      </c>
    </row>
    <row r="40325" spans="1:5" x14ac:dyDescent="0.25">
      <c r="A40325" t="str">
        <f>HYPERLINK("https://www.773grp.com/globalSearch/MC10102L/page-1", "MC10102L")</f>
        <v>MC10102L</v>
      </c>
      <c r="B40325" s="3" t="str">
        <f>HYPERLINK("https://www.773grp.com/manufacturer/onsemi?pageNo=1033", "ON Semiconductor")</f>
        <v>ON Semiconductor</v>
      </c>
      <c r="C40325" s="6">
        <v>901</v>
      </c>
      <c r="D40325" s="7">
        <v>3.51</v>
      </c>
      <c r="E40325" t="s">
        <v>31</v>
      </c>
    </row>
    <row r="40326" spans="1:5" x14ac:dyDescent="0.25">
      <c r="A40326" t="str">
        <f>HYPERLINK("https://www.773grp.com/globalSearch/MC10103L/page-1", "MC10103L")</f>
        <v>MC10103L</v>
      </c>
      <c r="B40326" s="3" t="str">
        <f>HYPERLINK("https://www.773grp.com/manufacturer/onsemi?pageNo=1034", "ON Semiconductor")</f>
        <v>ON Semiconductor</v>
      </c>
      <c r="C40326" s="6">
        <v>1558</v>
      </c>
      <c r="D40326" s="7">
        <v>3.51</v>
      </c>
      <c r="E40326" t="s">
        <v>31</v>
      </c>
    </row>
    <row r="40327" spans="1:5" x14ac:dyDescent="0.25">
      <c r="A40327" t="str">
        <f>HYPERLINK("https://www.773grp.com/globalSearch/MC10104L/page-1", "MC10104L")</f>
        <v>MC10104L</v>
      </c>
      <c r="B40327" s="3" t="str">
        <f>HYPERLINK("https://www.773grp.com/manufacturer/onsemi?pageNo=1035", "ON Semiconductor")</f>
        <v>ON Semiconductor</v>
      </c>
      <c r="C40327" s="6">
        <v>3419</v>
      </c>
      <c r="D40327" s="7">
        <v>3.51</v>
      </c>
      <c r="E40327" t="s">
        <v>31</v>
      </c>
    </row>
    <row r="40328" spans="1:5" x14ac:dyDescent="0.25">
      <c r="A40328" t="str">
        <f>HYPERLINK("https://www.773grp.com/globalSearch/MC10105L/page-1", "MC10105L")</f>
        <v>MC10105L</v>
      </c>
      <c r="B40328" s="3" t="str">
        <f>HYPERLINK("https://www.773grp.com/manufacturer/onsemi?pageNo=1036", "ON Semiconductor")</f>
        <v>ON Semiconductor</v>
      </c>
      <c r="C40328" s="6">
        <v>26</v>
      </c>
      <c r="D40328" s="7">
        <v>3.51</v>
      </c>
      <c r="E40328" t="s">
        <v>31</v>
      </c>
    </row>
    <row r="40329" spans="1:5" x14ac:dyDescent="0.25">
      <c r="A40329" t="str">
        <f>HYPERLINK("https://www.773grp.com/globalSearch/MC10106L/page-1", "MC10106L")</f>
        <v>MC10106L</v>
      </c>
      <c r="B40329" s="3" t="str">
        <f>HYPERLINK("https://www.773grp.com/manufacturer/onsemi?pageNo=1037", "ON Semiconductor")</f>
        <v>ON Semiconductor</v>
      </c>
      <c r="C40329" s="6">
        <v>61</v>
      </c>
      <c r="D40329" s="7">
        <v>3.51</v>
      </c>
      <c r="E40329" t="s">
        <v>31</v>
      </c>
    </row>
    <row r="40330" spans="1:5" x14ac:dyDescent="0.25">
      <c r="A40330" t="str">
        <f>HYPERLINK("https://www.773grp.com/globalSearch/MC10107L/page-1", "MC10107L")</f>
        <v>MC10107L</v>
      </c>
      <c r="B40330" s="3" t="str">
        <f>HYPERLINK("https://www.773grp.com/manufacturer/onsemi?pageNo=1038", "ON Semiconductor")</f>
        <v>ON Semiconductor</v>
      </c>
      <c r="C40330" s="6">
        <v>4542</v>
      </c>
      <c r="D40330" s="7">
        <v>3.51</v>
      </c>
      <c r="E40330" t="s">
        <v>31</v>
      </c>
    </row>
    <row r="40331" spans="1:5" x14ac:dyDescent="0.25">
      <c r="A40331" t="str">
        <f>HYPERLINK("https://www.773grp.com/globalSearch/MC10109L/page-1", "MC10109L")</f>
        <v>MC10109L</v>
      </c>
      <c r="B40331" s="3" t="str">
        <f>HYPERLINK("https://www.773grp.com/manufacturer/onsemi?pageNo=1039", "ON Semiconductor")</f>
        <v>ON Semiconductor</v>
      </c>
      <c r="C40331" s="6">
        <v>3628</v>
      </c>
      <c r="D40331" s="7">
        <v>3.51</v>
      </c>
      <c r="E40331" t="s">
        <v>31</v>
      </c>
    </row>
    <row r="40332" spans="1:5" x14ac:dyDescent="0.25">
      <c r="A40332" t="str">
        <f>HYPERLINK("https://www.773grp.com/globalSearch/MC10113L/page-1", "MC10113L")</f>
        <v>MC10113L</v>
      </c>
      <c r="B40332" s="3" t="str">
        <f>HYPERLINK("https://www.773grp.com/manufacturer/onsemi?pageNo=1040", "ON Semiconductor")</f>
        <v>ON Semiconductor</v>
      </c>
      <c r="C40332" s="6">
        <v>75</v>
      </c>
      <c r="D40332" s="7">
        <v>3.51</v>
      </c>
      <c r="E40332" t="s">
        <v>31</v>
      </c>
    </row>
    <row r="40333" spans="1:5" x14ac:dyDescent="0.25">
      <c r="A40333" t="str">
        <f>HYPERLINK("https://www.773grp.com/globalSearch/MC10117L/page-1", "MC10117L")</f>
        <v>MC10117L</v>
      </c>
      <c r="B40333" s="3" t="str">
        <f>HYPERLINK("https://www.773grp.com/manufacturer/onsemi?pageNo=1041", "ON Semiconductor")</f>
        <v>ON Semiconductor</v>
      </c>
      <c r="C40333" s="6">
        <v>448</v>
      </c>
      <c r="D40333" s="7">
        <v>3.51</v>
      </c>
      <c r="E40333" t="s">
        <v>31</v>
      </c>
    </row>
    <row r="40334" spans="1:5" x14ac:dyDescent="0.25">
      <c r="A40334" t="str">
        <f>HYPERLINK("https://www.773grp.com/globalSearch/MC10123L/page-1", "MC10123L")</f>
        <v>MC10123L</v>
      </c>
      <c r="B40334" s="3" t="str">
        <f>HYPERLINK("https://www.773grp.com/manufacturer/onsemi?pageNo=1042", "ON Semiconductor")</f>
        <v>ON Semiconductor</v>
      </c>
      <c r="C40334" s="6">
        <v>3175</v>
      </c>
      <c r="D40334" s="7">
        <v>3.51</v>
      </c>
      <c r="E40334" t="s">
        <v>14</v>
      </c>
    </row>
    <row r="40335" spans="1:5" x14ac:dyDescent="0.25">
      <c r="A40335" t="str">
        <f>HYPERLINK("https://www.773grp.com/globalSearch/MC10165L/page-1", "MC10165L")</f>
        <v>MC10165L</v>
      </c>
      <c r="B40335" s="3" t="str">
        <f>HYPERLINK("https://www.773grp.com/manufacturer/onsemi?pageNo=1043", "ON Semiconductor")</f>
        <v>ON Semiconductor</v>
      </c>
      <c r="C40335" s="6">
        <v>222</v>
      </c>
      <c r="D40335" s="7">
        <v>3.51</v>
      </c>
      <c r="E40335" t="s">
        <v>43</v>
      </c>
    </row>
    <row r="40336" spans="1:5" x14ac:dyDescent="0.25">
      <c r="A40336" t="str">
        <f>HYPERLINK("https://www.773grp.com/globalSearch/MC10EL01D/page-1", "MC10EL01D")</f>
        <v>MC10EL01D</v>
      </c>
      <c r="B40336" s="3" t="str">
        <f>HYPERLINK("https://www.773grp.com/manufacturer/onsemi?pageNo=1044", "ON Semiconductor")</f>
        <v>ON Semiconductor</v>
      </c>
      <c r="C40336" s="6">
        <v>21302</v>
      </c>
      <c r="D40336" s="7">
        <v>3.51</v>
      </c>
      <c r="E40336" t="s">
        <v>31</v>
      </c>
    </row>
    <row r="40337" spans="1:5" x14ac:dyDescent="0.25">
      <c r="A40337" t="str">
        <f>HYPERLINK("https://www.773grp.com/globalSearch/MC10EL01DT/page-1", "MC10EL01DT")</f>
        <v>MC10EL01DT</v>
      </c>
      <c r="B40337" s="3" t="str">
        <f>HYPERLINK("https://www.773grp.com/manufacturer/onsemi?pageNo=1045", "ON Semiconductor")</f>
        <v>ON Semiconductor</v>
      </c>
      <c r="C40337" s="6">
        <v>11770</v>
      </c>
      <c r="D40337" s="7">
        <v>3.51</v>
      </c>
      <c r="E40337" t="s">
        <v>31</v>
      </c>
    </row>
    <row r="40338" spans="1:5" x14ac:dyDescent="0.25">
      <c r="A40338" t="str">
        <f>HYPERLINK("https://www.773grp.com/globalSearch/MC10EL04D/page-1", "MC10EL04D")</f>
        <v>MC10EL04D</v>
      </c>
      <c r="B40338" s="3" t="str">
        <f>HYPERLINK("https://www.773grp.com/manufacturer/onsemi?pageNo=1046", "ON Semiconductor")</f>
        <v>ON Semiconductor</v>
      </c>
      <c r="C40338" s="6">
        <v>1705</v>
      </c>
      <c r="D40338" s="7">
        <v>3.51</v>
      </c>
      <c r="E40338" t="s">
        <v>31</v>
      </c>
    </row>
    <row r="40339" spans="1:5" x14ac:dyDescent="0.25">
      <c r="A40339" t="str">
        <f>HYPERLINK("https://www.773grp.com/globalSearch/MC10EL04DT/page-1", "MC10EL04DT")</f>
        <v>MC10EL04DT</v>
      </c>
      <c r="B40339" s="3" t="str">
        <f>HYPERLINK("https://www.773grp.com/manufacturer/onsemi?pageNo=1047", "ON Semiconductor")</f>
        <v>ON Semiconductor</v>
      </c>
      <c r="C40339" s="6">
        <v>2887</v>
      </c>
      <c r="D40339" s="7">
        <v>3.51</v>
      </c>
      <c r="E40339" t="s">
        <v>31</v>
      </c>
    </row>
    <row r="40340" spans="1:5" x14ac:dyDescent="0.25">
      <c r="A40340" t="str">
        <f>HYPERLINK("https://www.773grp.com/globalSearch/MC10EL05D/page-1", "MC10EL05D")</f>
        <v>MC10EL05D</v>
      </c>
      <c r="B40340" s="3" t="str">
        <f>HYPERLINK("https://www.773grp.com/manufacturer/onsemi?pageNo=1048", "ON Semiconductor")</f>
        <v>ON Semiconductor</v>
      </c>
      <c r="C40340" s="6">
        <v>9381</v>
      </c>
      <c r="D40340" s="7">
        <v>3.51</v>
      </c>
      <c r="E40340" t="s">
        <v>31</v>
      </c>
    </row>
    <row r="40341" spans="1:5" x14ac:dyDescent="0.25">
      <c r="A40341" t="str">
        <f>HYPERLINK("https://www.773grp.com/globalSearch/MC10EL05DT/page-1", "MC10EL05DT")</f>
        <v>MC10EL05DT</v>
      </c>
      <c r="B40341" s="3" t="str">
        <f>HYPERLINK("https://www.773grp.com/manufacturer/onsemi?pageNo=1049", "ON Semiconductor")</f>
        <v>ON Semiconductor</v>
      </c>
      <c r="C40341" s="6">
        <v>5458</v>
      </c>
      <c r="D40341" s="7">
        <v>3.51</v>
      </c>
      <c r="E40341" t="s">
        <v>31</v>
      </c>
    </row>
    <row r="40342" spans="1:5" x14ac:dyDescent="0.25">
      <c r="A40342" t="str">
        <f>HYPERLINK("https://www.773grp.com/globalSearch/MC10EL07D/page-1", "MC10EL07D")</f>
        <v>MC10EL07D</v>
      </c>
      <c r="B40342" s="3" t="str">
        <f>HYPERLINK("https://www.773grp.com/manufacturer/onsemi?pageNo=1050", "ON Semiconductor")</f>
        <v>ON Semiconductor</v>
      </c>
      <c r="C40342" s="6">
        <v>45733</v>
      </c>
      <c r="D40342" s="7">
        <v>3.51</v>
      </c>
      <c r="E40342" t="s">
        <v>31</v>
      </c>
    </row>
    <row r="40343" spans="1:5" x14ac:dyDescent="0.25">
      <c r="A40343" t="str">
        <f>HYPERLINK("https://www.773grp.com/globalSearch/MC10EL07DT/page-1", "MC10EL07DT")</f>
        <v>MC10EL07DT</v>
      </c>
      <c r="B40343" s="3" t="str">
        <f>HYPERLINK("https://www.773grp.com/manufacturer/onsemi?pageNo=1051", "ON Semiconductor")</f>
        <v>ON Semiconductor</v>
      </c>
      <c r="C40343" s="6">
        <v>14458</v>
      </c>
      <c r="D40343" s="7">
        <v>3.51</v>
      </c>
      <c r="E40343" t="s">
        <v>31</v>
      </c>
    </row>
    <row r="40344" spans="1:5" x14ac:dyDescent="0.25">
      <c r="A40344" t="str">
        <f>HYPERLINK("https://www.773grp.com/globalSearch/MC10EL12D/page-1", "MC10EL12D")</f>
        <v>MC10EL12D</v>
      </c>
      <c r="B40344" s="3" t="str">
        <f>HYPERLINK("https://www.773grp.com/manufacturer/onsemi?pageNo=1052", "ON Semiconductor")</f>
        <v>ON Semiconductor</v>
      </c>
      <c r="C40344" s="6">
        <v>21635</v>
      </c>
      <c r="D40344" s="7">
        <v>3.51</v>
      </c>
      <c r="E40344" t="s">
        <v>31</v>
      </c>
    </row>
    <row r="40345" spans="1:5" x14ac:dyDescent="0.25">
      <c r="A40345" t="str">
        <f>HYPERLINK("https://www.773grp.com/globalSearch/MC10EL12DT/page-1", "MC10EL12DT")</f>
        <v>MC10EL12DT</v>
      </c>
      <c r="B40345" s="3" t="str">
        <f>HYPERLINK("https://www.773grp.com/manufacturer/onsemi?pageNo=1053", "ON Semiconductor")</f>
        <v>ON Semiconductor</v>
      </c>
      <c r="C40345" s="6">
        <v>12875</v>
      </c>
      <c r="D40345" s="7">
        <v>3.51</v>
      </c>
      <c r="E40345" t="s">
        <v>31</v>
      </c>
    </row>
    <row r="40346" spans="1:5" x14ac:dyDescent="0.25">
      <c r="A40346" t="str">
        <f>HYPERLINK("https://www.773grp.com/globalSearch/MC10EL32D/page-1", "MC10EL32D")</f>
        <v>MC10EL32D</v>
      </c>
      <c r="B40346" s="3" t="str">
        <f>HYPERLINK("https://www.773grp.com/manufacturer/onsemi?pageNo=1054", "ON Semiconductor")</f>
        <v>ON Semiconductor</v>
      </c>
      <c r="C40346" s="6">
        <v>8016</v>
      </c>
      <c r="D40346" s="7">
        <v>3.51</v>
      </c>
      <c r="E40346" t="s">
        <v>54</v>
      </c>
    </row>
    <row r="40347" spans="1:5" x14ac:dyDescent="0.25">
      <c r="A40347" t="str">
        <f>HYPERLINK("https://www.773grp.com/globalSearch/MC10EL32DT/page-1", "MC10EL32DT")</f>
        <v>MC10EL32DT</v>
      </c>
      <c r="B40347" s="3" t="str">
        <f>HYPERLINK("https://www.773grp.com/manufacturer/onsemi?pageNo=1055", "ON Semiconductor")</f>
        <v>ON Semiconductor</v>
      </c>
      <c r="C40347" s="6">
        <v>3051</v>
      </c>
      <c r="D40347" s="7">
        <v>3.51</v>
      </c>
      <c r="E40347" t="s">
        <v>54</v>
      </c>
    </row>
    <row r="40348" spans="1:5" x14ac:dyDescent="0.25">
      <c r="A40348" t="str">
        <f>HYPERLINK("https://www.773grp.com/globalSearch/MC10EL32DTR2/page-1", "MC10EL32DTR2")</f>
        <v>MC10EL32DTR2</v>
      </c>
      <c r="B40348" s="3" t="str">
        <f>HYPERLINK("https://www.773grp.com/manufacturer/onsemi?pageNo=1056", "ON Semiconductor")</f>
        <v>ON Semiconductor</v>
      </c>
      <c r="C40348" s="6">
        <v>20000</v>
      </c>
      <c r="D40348" s="7">
        <v>3.51</v>
      </c>
      <c r="E40348" t="s">
        <v>54</v>
      </c>
    </row>
    <row r="40349" spans="1:5" x14ac:dyDescent="0.25">
      <c r="A40349" t="str">
        <f>HYPERLINK("https://www.773grp.com/globalSearch/MC10EL33D/page-1", "MC10EL33D")</f>
        <v>MC10EL33D</v>
      </c>
      <c r="B40349" s="3" t="str">
        <f>HYPERLINK("https://www.773grp.com/manufacturer/onsemi?pageNo=1057", "ON Semiconductor")</f>
        <v>ON Semiconductor</v>
      </c>
      <c r="C40349" s="6">
        <v>35230</v>
      </c>
      <c r="D40349" s="7">
        <v>3.51</v>
      </c>
      <c r="E40349" t="s">
        <v>54</v>
      </c>
    </row>
    <row r="40350" spans="1:5" x14ac:dyDescent="0.25">
      <c r="A40350" t="str">
        <f>HYPERLINK("https://www.773grp.com/globalSearch/MC10EL33DT/page-1", "MC10EL33DT")</f>
        <v>MC10EL33DT</v>
      </c>
      <c r="B40350" s="3" t="str">
        <f>HYPERLINK("https://www.773grp.com/manufacturer/onsemi?pageNo=1058", "ON Semiconductor")</f>
        <v>ON Semiconductor</v>
      </c>
      <c r="C40350" s="6">
        <v>4625</v>
      </c>
      <c r="D40350" s="7">
        <v>3.51</v>
      </c>
      <c r="E40350" t="s">
        <v>54</v>
      </c>
    </row>
    <row r="40351" spans="1:5" x14ac:dyDescent="0.25">
      <c r="A40351" t="str">
        <f>HYPERLINK("https://www.773grp.com/globalSearch/MC10EL33DTR2/page-1", "MC10EL33DTR2")</f>
        <v>MC10EL33DTR2</v>
      </c>
      <c r="B40351" s="3" t="str">
        <f>HYPERLINK("https://www.773grp.com/manufacturer/onsemi?pageNo=1059", "ON Semiconductor")</f>
        <v>ON Semiconductor</v>
      </c>
      <c r="C40351" s="6">
        <v>10000</v>
      </c>
      <c r="D40351" s="7">
        <v>3.51</v>
      </c>
      <c r="E40351" t="s">
        <v>54</v>
      </c>
    </row>
    <row r="40352" spans="1:5" x14ac:dyDescent="0.25">
      <c r="A40352" t="str">
        <f>HYPERLINK("https://www.773grp.com/globalSearch/MC10EL35D/page-1", "MC10EL35D")</f>
        <v>MC10EL35D</v>
      </c>
      <c r="B40352" s="3" t="str">
        <f>HYPERLINK("https://www.773grp.com/manufacturer/onsemi?pageNo=1060", "ON Semiconductor")</f>
        <v>ON Semiconductor</v>
      </c>
      <c r="C40352" s="6">
        <v>17206</v>
      </c>
      <c r="D40352" s="7">
        <v>3.51</v>
      </c>
      <c r="E40352" t="s">
        <v>35</v>
      </c>
    </row>
    <row r="40353" spans="1:5" x14ac:dyDescent="0.25">
      <c r="A40353" t="str">
        <f>HYPERLINK("https://www.773grp.com/globalSearch/MC10EL35DR2/page-1", "MC10EL35DR2")</f>
        <v>MC10EL35DR2</v>
      </c>
      <c r="B40353" s="3" t="str">
        <f>HYPERLINK("https://www.773grp.com/manufacturer/onsemi?pageNo=1061", "ON Semiconductor")</f>
        <v>ON Semiconductor</v>
      </c>
      <c r="C40353" s="6">
        <v>15000</v>
      </c>
      <c r="D40353" s="7">
        <v>3.51</v>
      </c>
      <c r="E40353" t="s">
        <v>35</v>
      </c>
    </row>
    <row r="40354" spans="1:5" x14ac:dyDescent="0.25">
      <c r="A40354" t="str">
        <f>HYPERLINK("https://www.773grp.com/globalSearch/MC10EL35DT/page-1", "MC10EL35DT")</f>
        <v>MC10EL35DT</v>
      </c>
      <c r="B40354" s="3" t="str">
        <f>HYPERLINK("https://www.773grp.com/manufacturer/onsemi?pageNo=1062", "ON Semiconductor")</f>
        <v>ON Semiconductor</v>
      </c>
      <c r="C40354" s="6">
        <v>1265</v>
      </c>
      <c r="D40354" s="7">
        <v>3.51</v>
      </c>
      <c r="E40354" t="s">
        <v>35</v>
      </c>
    </row>
    <row r="40355" spans="1:5" x14ac:dyDescent="0.25">
      <c r="A40355" t="str">
        <f>HYPERLINK("https://www.773grp.com/globalSearch/MC10EL51D/page-1", "MC10EL51D")</f>
        <v>MC10EL51D</v>
      </c>
      <c r="B40355" s="3" t="str">
        <f>HYPERLINK("https://www.773grp.com/manufacturer/onsemi?pageNo=1063", "ON Semiconductor")</f>
        <v>ON Semiconductor</v>
      </c>
      <c r="C40355" s="6">
        <v>11130</v>
      </c>
      <c r="D40355" s="7">
        <v>3.51</v>
      </c>
      <c r="E40355" t="s">
        <v>35</v>
      </c>
    </row>
    <row r="40356" spans="1:5" x14ac:dyDescent="0.25">
      <c r="A40356" t="str">
        <f>HYPERLINK("https://www.773grp.com/globalSearch/MC10EL51DT/page-1", "MC10EL51DT")</f>
        <v>MC10EL51DT</v>
      </c>
      <c r="B40356" s="3" t="str">
        <f>HYPERLINK("https://www.773grp.com/manufacturer/onsemi?pageNo=1064", "ON Semiconductor")</f>
        <v>ON Semiconductor</v>
      </c>
      <c r="C40356" s="6">
        <v>4814</v>
      </c>
      <c r="D40356" s="7">
        <v>3.51</v>
      </c>
      <c r="E40356" t="s">
        <v>35</v>
      </c>
    </row>
    <row r="40357" spans="1:5" x14ac:dyDescent="0.25">
      <c r="A40357" t="str">
        <f>HYPERLINK("https://www.773grp.com/globalSearch/MC10EL52D/page-1", "MC10EL52D")</f>
        <v>MC10EL52D</v>
      </c>
      <c r="B40357" s="3" t="str">
        <f>HYPERLINK("https://www.773grp.com/manufacturer/onsemi?pageNo=1065", "ON Semiconductor")</f>
        <v>ON Semiconductor</v>
      </c>
      <c r="C40357" s="6">
        <v>13801</v>
      </c>
      <c r="D40357" s="7">
        <v>3.51</v>
      </c>
      <c r="E40357" t="s">
        <v>35</v>
      </c>
    </row>
    <row r="40358" spans="1:5" x14ac:dyDescent="0.25">
      <c r="A40358" t="str">
        <f>HYPERLINK("https://www.773grp.com/globalSearch/MC10EL52DT/page-1", "MC10EL52DT")</f>
        <v>MC10EL52DT</v>
      </c>
      <c r="B40358" s="3" t="str">
        <f>HYPERLINK("https://www.773grp.com/manufacturer/onsemi?pageNo=1066", "ON Semiconductor")</f>
        <v>ON Semiconductor</v>
      </c>
      <c r="C40358" s="6">
        <v>2695</v>
      </c>
      <c r="D40358" s="7">
        <v>3.51</v>
      </c>
      <c r="E40358" t="s">
        <v>35</v>
      </c>
    </row>
    <row r="40359" spans="1:5" x14ac:dyDescent="0.25">
      <c r="A40359" t="str">
        <f>HYPERLINK("https://www.773grp.com/globalSearch/MC33560DWR2/page-1", "MC33560DWR2")</f>
        <v>MC33560DWR2</v>
      </c>
      <c r="B40359" s="3" t="str">
        <f>HYPERLINK("https://www.773grp.com/manufacturer/onsemi?pageNo=1067", "ON Semiconductor")</f>
        <v>ON Semiconductor</v>
      </c>
      <c r="C40359" s="6">
        <v>145750</v>
      </c>
      <c r="D40359" s="7">
        <v>3.51</v>
      </c>
      <c r="E40359" t="s">
        <v>40</v>
      </c>
    </row>
    <row r="40360" spans="1:5" x14ac:dyDescent="0.25">
      <c r="A40360" t="str">
        <f>HYPERLINK("https://www.773grp.com/globalSearch/MC74ACT652DWG/page-1", "MC74ACT652DWG")</f>
        <v>MC74ACT652DWG</v>
      </c>
      <c r="B40360" s="3" t="str">
        <f>HYPERLINK("https://www.773grp.com/manufacturer/onsemi?pageNo=1068", "ON Semiconductor")</f>
        <v>ON Semiconductor</v>
      </c>
      <c r="C40360" s="6">
        <v>4680</v>
      </c>
      <c r="D40360" s="7">
        <v>3.51</v>
      </c>
      <c r="E40360" t="s">
        <v>14</v>
      </c>
    </row>
    <row r="40361" spans="1:5" x14ac:dyDescent="0.25">
      <c r="A40361" t="str">
        <f>HYPERLINK("https://www.773grp.com/globalSearch/MC74ACT652DWR2G/page-1", "MC74ACT652DWR2G")</f>
        <v>MC74ACT652DWR2G</v>
      </c>
      <c r="B40361" s="3" t="str">
        <f>HYPERLINK("https://www.773grp.com/manufacturer/onsemi?pageNo=1069", "ON Semiconductor")</f>
        <v>ON Semiconductor</v>
      </c>
      <c r="C40361" s="6">
        <v>12630</v>
      </c>
      <c r="D40361" s="7">
        <v>3.51</v>
      </c>
      <c r="E40361" t="s">
        <v>14</v>
      </c>
    </row>
    <row r="40362" spans="1:5" x14ac:dyDescent="0.25">
      <c r="A40362" t="str">
        <f>HYPERLINK("https://www.773grp.com/globalSearch/MC74ACT652NG/page-1", "MC74ACT652NG")</f>
        <v>MC74ACT652NG</v>
      </c>
      <c r="B40362" s="3" t="str">
        <f>HYPERLINK("https://www.773grp.com/manufacturer/onsemi?pageNo=1070", "ON Semiconductor")</f>
        <v>ON Semiconductor</v>
      </c>
      <c r="C40362" s="6">
        <v>15830</v>
      </c>
      <c r="D40362" s="7">
        <v>3.51</v>
      </c>
      <c r="E40362" t="s">
        <v>14</v>
      </c>
    </row>
    <row r="40363" spans="1:5" x14ac:dyDescent="0.25">
      <c r="A40363" t="str">
        <f>HYPERLINK("https://www.773grp.com/globalSearch/MC75172BDWG/page-1", "MC75172BDWG")</f>
        <v>MC75172BDWG</v>
      </c>
      <c r="B40363" s="3" t="str">
        <f>HYPERLINK("https://www.773grp.com/manufacturer/onsemi?pageNo=1071", "ON Semiconductor")</f>
        <v>ON Semiconductor</v>
      </c>
      <c r="C40363" s="6">
        <v>399</v>
      </c>
      <c r="D40363" s="7">
        <v>3.51</v>
      </c>
      <c r="E40363" t="s">
        <v>21</v>
      </c>
    </row>
    <row r="40364" spans="1:5" x14ac:dyDescent="0.25">
      <c r="A40364" t="str">
        <f>HYPERLINK("https://www.773grp.com/globalSearch/MC75172BDWR2G/page-1", "MC75172BDWR2G")</f>
        <v>MC75172BDWR2G</v>
      </c>
      <c r="B40364" s="3" t="str">
        <f>HYPERLINK("https://www.773grp.com/manufacturer/onsemi?pageNo=1072", "ON Semiconductor")</f>
        <v>ON Semiconductor</v>
      </c>
      <c r="C40364" s="6">
        <v>5427</v>
      </c>
      <c r="D40364" s="7">
        <v>3.51</v>
      </c>
      <c r="E40364" t="s">
        <v>21</v>
      </c>
    </row>
    <row r="40365" spans="1:5" x14ac:dyDescent="0.25">
      <c r="A40365" t="str">
        <f>HYPERLINK("https://www.773grp.com/globalSearch/MC75174BDWG/page-1", "MC75174BDWG")</f>
        <v>MC75174BDWG</v>
      </c>
      <c r="B40365" s="3" t="str">
        <f>HYPERLINK("https://www.773grp.com/manufacturer/onsemi?pageNo=1073", "ON Semiconductor")</f>
        <v>ON Semiconductor</v>
      </c>
      <c r="C40365" s="6">
        <v>54</v>
      </c>
      <c r="D40365" s="7">
        <v>3.51</v>
      </c>
      <c r="E40365" t="s">
        <v>21</v>
      </c>
    </row>
    <row r="40366" spans="1:5" x14ac:dyDescent="0.25">
      <c r="A40366" t="str">
        <f>HYPERLINK("https://www.773grp.com/globalSearch/MC75174BP/page-1", "MC75174BP")</f>
        <v>MC75174BP</v>
      </c>
      <c r="B40366" s="3" t="str">
        <f>HYPERLINK("https://www.773grp.com/manufacturer/onsemi?pageNo=1074", "ON Semiconductor")</f>
        <v>ON Semiconductor</v>
      </c>
      <c r="C40366" s="6">
        <v>535</v>
      </c>
      <c r="D40366" s="7">
        <v>3.51</v>
      </c>
      <c r="E40366" t="s">
        <v>21</v>
      </c>
    </row>
    <row r="40367" spans="1:5" x14ac:dyDescent="0.25">
      <c r="A40367" t="str">
        <f>HYPERLINK("https://www.773grp.com/globalSearch/MC75174BPG/page-1", "MC75174BPG")</f>
        <v>MC75174BPG</v>
      </c>
      <c r="B40367" s="3" t="str">
        <f>HYPERLINK("https://www.773grp.com/manufacturer/onsemi?pageNo=1075", "ON Semiconductor")</f>
        <v>ON Semiconductor</v>
      </c>
      <c r="C40367" s="6">
        <v>1899</v>
      </c>
      <c r="D40367" s="7">
        <v>3.51</v>
      </c>
      <c r="E40367" t="s">
        <v>21</v>
      </c>
    </row>
    <row r="40368" spans="1:5" x14ac:dyDescent="0.25">
      <c r="A40368" t="str">
        <f>HYPERLINK("https://www.773grp.com/globalSearch/MJL4281A/page-1", "MJL4281A")</f>
        <v>MJL4281A</v>
      </c>
      <c r="B40368" s="3" t="str">
        <f>HYPERLINK("https://www.773grp.com/manufacturer/onsemi?pageNo=1076", "ON Semiconductor")</f>
        <v>ON Semiconductor</v>
      </c>
      <c r="C40368" s="6">
        <v>75</v>
      </c>
      <c r="D40368" s="7">
        <v>3.51</v>
      </c>
      <c r="E40368" t="s">
        <v>59</v>
      </c>
    </row>
    <row r="40369" spans="1:5" x14ac:dyDescent="0.25">
      <c r="A40369" t="str">
        <f>HYPERLINK("https://www.773grp.com/globalSearch/MJW21192G/page-1", "MJW21192G")</f>
        <v>MJW21192G</v>
      </c>
      <c r="B40369" s="3" t="str">
        <f>HYPERLINK("https://www.773grp.com/manufacturer/onsemi?pageNo=1077", "ON Semiconductor")</f>
        <v>ON Semiconductor</v>
      </c>
      <c r="C40369" s="6">
        <v>245</v>
      </c>
      <c r="D40369" s="7">
        <v>3.51</v>
      </c>
      <c r="E40369" t="s">
        <v>59</v>
      </c>
    </row>
    <row r="40370" spans="1:5" x14ac:dyDescent="0.25">
      <c r="A40370" t="str">
        <f>HYPERLINK("https://www.773grp.com/globalSearch/NB3N502DG/page-1", "NB3N502DG")</f>
        <v>NB3N502DG</v>
      </c>
      <c r="B40370" s="3" t="str">
        <f>HYPERLINK("https://www.773grp.com/manufacturer/onsemi?pageNo=1078", "ON Semiconductor")</f>
        <v>ON Semiconductor</v>
      </c>
      <c r="C40370" s="6">
        <v>5559</v>
      </c>
      <c r="D40370" s="7">
        <v>3.51</v>
      </c>
      <c r="E40370" t="s">
        <v>79</v>
      </c>
    </row>
    <row r="40371" spans="1:5" x14ac:dyDescent="0.25">
      <c r="A40371" t="str">
        <f>HYPERLINK("https://www.773grp.com/globalSearch/NCL30051DR2G/page-1", "NCL30051DR2G")</f>
        <v>NCL30051DR2G</v>
      </c>
      <c r="B40371" s="3" t="str">
        <f>HYPERLINK("https://www.773grp.com/manufacturer/onsemi?pageNo=1079", "ON Semiconductor")</f>
        <v>ON Semiconductor</v>
      </c>
      <c r="C40371" s="6">
        <v>2500</v>
      </c>
      <c r="D40371" s="7">
        <v>3.51</v>
      </c>
    </row>
    <row r="40372" spans="1:5" x14ac:dyDescent="0.25">
      <c r="A40372" t="str">
        <f>HYPERLINK("https://www.773grp.com/globalSearch/NCP5314FTR2/page-1", "NCP5314FTR2")</f>
        <v>NCP5314FTR2</v>
      </c>
      <c r="B40372" s="3" t="str">
        <f>HYPERLINK("https://www.773grp.com/manufacturer/onsemi?pageNo=1080", "ON Semiconductor")</f>
        <v>ON Semiconductor</v>
      </c>
      <c r="C40372" s="6">
        <v>192000</v>
      </c>
      <c r="D40372" s="7">
        <v>3.51</v>
      </c>
      <c r="E40372" t="s">
        <v>7</v>
      </c>
    </row>
    <row r="40373" spans="1:5" x14ac:dyDescent="0.25">
      <c r="A40373" t="str">
        <f>HYPERLINK("https://www.773grp.com/globalSearch/NCP5314FTR2G/page-1", "NCP5314FTR2G")</f>
        <v>NCP5314FTR2G</v>
      </c>
      <c r="B40373" s="3" t="str">
        <f>HYPERLINK("https://www.773grp.com/manufacturer/onsemi?pageNo=1081", "ON Semiconductor")</f>
        <v>ON Semiconductor</v>
      </c>
      <c r="C40373" s="6">
        <v>11048</v>
      </c>
      <c r="D40373" s="7">
        <v>3.51</v>
      </c>
      <c r="E40373" t="s">
        <v>7</v>
      </c>
    </row>
    <row r="40374" spans="1:5" x14ac:dyDescent="0.25">
      <c r="A40374" t="str">
        <f>HYPERLINK("https://www.773grp.com/globalSearch/NCV3163PWG/page-1", "NCV3163PWG")</f>
        <v>NCV3163PWG</v>
      </c>
      <c r="B40374" s="3" t="str">
        <f>HYPERLINK("https://www.773grp.com/manufacturer/onsemi?pageNo=1082", "ON Semiconductor")</f>
        <v>ON Semiconductor</v>
      </c>
      <c r="C40374" s="6">
        <v>1504</v>
      </c>
      <c r="D40374" s="7">
        <v>3.51</v>
      </c>
    </row>
    <row r="40375" spans="1:5" x14ac:dyDescent="0.25">
      <c r="A40375" t="str">
        <f>HYPERLINK("https://www.773grp.com/globalSearch/NCV3163PWR2G/page-1", "NCV3163PWR2G")</f>
        <v>NCV3163PWR2G</v>
      </c>
      <c r="B40375" s="3" t="str">
        <f>HYPERLINK("https://www.773grp.com/manufacturer/onsemi?pageNo=1083", "ON Semiconductor")</f>
        <v>ON Semiconductor</v>
      </c>
      <c r="C40375" s="6">
        <v>2000</v>
      </c>
      <c r="D40375" s="7">
        <v>3.51</v>
      </c>
      <c r="E40375" t="s">
        <v>7</v>
      </c>
    </row>
    <row r="40376" spans="1:5" x14ac:dyDescent="0.25">
      <c r="A40376" t="str">
        <f>HYPERLINK("https://www.773grp.com/globalSearch/NTL4502NT1/page-1", "NTL4502NT1")</f>
        <v>NTL4502NT1</v>
      </c>
      <c r="B40376" s="3" t="str">
        <f>HYPERLINK("https://www.773grp.com/manufacturer/onsemi?pageNo=1084", "ON Semiconductor")</f>
        <v>ON Semiconductor</v>
      </c>
      <c r="C40376" s="6">
        <v>912</v>
      </c>
      <c r="D40376" s="7">
        <v>3.51</v>
      </c>
      <c r="E40376" t="s">
        <v>105</v>
      </c>
    </row>
    <row r="40377" spans="1:5" x14ac:dyDescent="0.25">
      <c r="A40377" t="str">
        <f>HYPERLINK("https://www.773grp.com/globalSearch/P2042AF-08TR/page-1", "P2042AF-08TR")</f>
        <v>P2042AF-08TR</v>
      </c>
      <c r="B40377" s="3" t="str">
        <f>HYPERLINK("https://www.773grp.com/manufacturer/onsemi?pageNo=1085", "ON Semiconductor")</f>
        <v>ON Semiconductor</v>
      </c>
      <c r="C40377" s="6">
        <v>5000</v>
      </c>
      <c r="D40377" s="7">
        <v>3.51</v>
      </c>
    </row>
    <row r="40378" spans="1:5" x14ac:dyDescent="0.25">
      <c r="A40378" t="str">
        <f>HYPERLINK("https://www.773grp.com/globalSearch/74VCX162240DT/page-1", "74VCX162240DT")</f>
        <v>74VCX162240DT</v>
      </c>
      <c r="B40378" s="3" t="str">
        <f>HYPERLINK("https://www.773grp.com/manufacturer/onsemi?pageNo=1086", "ON Semiconductor")</f>
        <v>ON Semiconductor</v>
      </c>
      <c r="C40378" s="6">
        <v>16926</v>
      </c>
      <c r="D40378" s="7">
        <v>3.9</v>
      </c>
      <c r="E40378" t="s">
        <v>14</v>
      </c>
    </row>
    <row r="40379" spans="1:5" x14ac:dyDescent="0.25">
      <c r="A40379" t="str">
        <f>HYPERLINK("https://www.773grp.com/globalSearch/CS51413ED8G/page-1", "CS51413ED8G")</f>
        <v>CS51413ED8G</v>
      </c>
      <c r="B40379" s="3" t="str">
        <f>HYPERLINK("https://www.773grp.com/manufacturer/onsemi?pageNo=1087", "ON Semiconductor")</f>
        <v>ON Semiconductor</v>
      </c>
      <c r="C40379" s="6">
        <v>547</v>
      </c>
      <c r="D40379" s="7">
        <v>3.9</v>
      </c>
    </row>
    <row r="40380" spans="1:5" x14ac:dyDescent="0.25">
      <c r="A40380" t="str">
        <f>HYPERLINK("https://www.773grp.com/globalSearch/CS5203A-2GDPR3/page-1", "CS5203A-2GDPR3")</f>
        <v>CS5203A-2GDPR3</v>
      </c>
      <c r="B40380" s="3" t="str">
        <f>HYPERLINK("https://www.773grp.com/manufacturer/onsemi?pageNo=1088", "ON Semiconductor")</f>
        <v>ON Semiconductor</v>
      </c>
      <c r="C40380" s="6">
        <v>5250</v>
      </c>
      <c r="D40380" s="7">
        <v>3.9</v>
      </c>
      <c r="E40380" t="s">
        <v>19</v>
      </c>
    </row>
    <row r="40381" spans="1:5" x14ac:dyDescent="0.25">
      <c r="A40381" t="str">
        <f>HYPERLINK("https://www.773grp.com/globalSearch/CS5205-1GDP3/page-1", "CS5205-1GDP3")</f>
        <v>CS5205-1GDP3</v>
      </c>
      <c r="B40381" s="3" t="str">
        <f>HYPERLINK("https://www.773grp.com/manufacturer/onsemi?pageNo=1089", "ON Semiconductor")</f>
        <v>ON Semiconductor</v>
      </c>
      <c r="C40381" s="6">
        <v>550</v>
      </c>
      <c r="D40381" s="7">
        <v>3.9</v>
      </c>
      <c r="E40381" t="s">
        <v>25</v>
      </c>
    </row>
    <row r="40382" spans="1:5" x14ac:dyDescent="0.25">
      <c r="A40382" t="str">
        <f>HYPERLINK("https://www.773grp.com/globalSearch/CS5205-2GDP3/page-1", "CS5205-2GDP3")</f>
        <v>CS5205-2GDP3</v>
      </c>
      <c r="B40382" s="3" t="str">
        <f>HYPERLINK("https://www.773grp.com/manufacturer/onsemi?pageNo=1090", "ON Semiconductor")</f>
        <v>ON Semiconductor</v>
      </c>
      <c r="C40382" s="6">
        <v>2950</v>
      </c>
      <c r="D40382" s="7">
        <v>3.9</v>
      </c>
      <c r="E40382" t="s">
        <v>19</v>
      </c>
    </row>
    <row r="40383" spans="1:5" x14ac:dyDescent="0.25">
      <c r="A40383" t="str">
        <f>HYPERLINK("https://www.773grp.com/globalSearch/CS5205A-1GDP3/page-1", "CS5205A-1GDP3")</f>
        <v>CS5205A-1GDP3</v>
      </c>
      <c r="B40383" s="3" t="str">
        <f>HYPERLINK("https://www.773grp.com/manufacturer/onsemi?pageNo=1091", "ON Semiconductor")</f>
        <v>ON Semiconductor</v>
      </c>
      <c r="C40383" s="6">
        <v>1100</v>
      </c>
      <c r="D40383" s="7">
        <v>3.9</v>
      </c>
      <c r="E40383" t="s">
        <v>25</v>
      </c>
    </row>
    <row r="40384" spans="1:5" x14ac:dyDescent="0.25">
      <c r="A40384" t="str">
        <f>HYPERLINK("https://www.773grp.com/globalSearch/CS5206-3GDP3/page-1", "CS5206-3GDP3")</f>
        <v>CS5206-3GDP3</v>
      </c>
      <c r="B40384" s="3" t="str">
        <f>HYPERLINK("https://www.773grp.com/manufacturer/onsemi?pageNo=1092", "ON Semiconductor")</f>
        <v>ON Semiconductor</v>
      </c>
      <c r="C40384" s="6">
        <v>918</v>
      </c>
      <c r="D40384" s="7">
        <v>3.9</v>
      </c>
      <c r="E40384" t="s">
        <v>19</v>
      </c>
    </row>
    <row r="40385" spans="1:5" x14ac:dyDescent="0.25">
      <c r="A40385" t="str">
        <f>HYPERLINK("https://www.773grp.com/globalSearch/CS5207-2GT3/page-1", "CS5207-2GT3")</f>
        <v>CS5207-2GT3</v>
      </c>
      <c r="B40385" s="3" t="str">
        <f>HYPERLINK("https://www.773grp.com/manufacturer/onsemi?pageNo=1093", "ON Semiconductor")</f>
        <v>ON Semiconductor</v>
      </c>
      <c r="C40385" s="6">
        <v>900</v>
      </c>
      <c r="D40385" s="7">
        <v>3.9</v>
      </c>
      <c r="E40385" t="s">
        <v>19</v>
      </c>
    </row>
    <row r="40386" spans="1:5" x14ac:dyDescent="0.25">
      <c r="A40386" t="str">
        <f>HYPERLINK("https://www.773grp.com/globalSearch/CS5207-3GT3/page-1", "CS5207-3GT3")</f>
        <v>CS5207-3GT3</v>
      </c>
      <c r="B40386" s="3" t="str">
        <f>HYPERLINK("https://www.773grp.com/manufacturer/onsemi?pageNo=1094", "ON Semiconductor")</f>
        <v>ON Semiconductor</v>
      </c>
      <c r="C40386" s="6">
        <v>1350</v>
      </c>
      <c r="D40386" s="7">
        <v>3.9</v>
      </c>
      <c r="E40386" t="s">
        <v>19</v>
      </c>
    </row>
    <row r="40387" spans="1:5" x14ac:dyDescent="0.25">
      <c r="A40387" t="str">
        <f>HYPERLINK("https://www.773grp.com/globalSearch/CS8121YDPS7/page-1", "CS8121YDPS7")</f>
        <v>CS8121YDPS7</v>
      </c>
      <c r="B40387" s="3" t="str">
        <f>HYPERLINK("https://www.773grp.com/manufacturer/onsemi?pageNo=1095", "ON Semiconductor")</f>
        <v>ON Semiconductor</v>
      </c>
      <c r="C40387" s="6">
        <v>550</v>
      </c>
      <c r="D40387" s="7">
        <v>3.9</v>
      </c>
      <c r="E40387" t="s">
        <v>19</v>
      </c>
    </row>
    <row r="40388" spans="1:5" x14ac:dyDescent="0.25">
      <c r="A40388" t="str">
        <f>HYPERLINK("https://www.773grp.com/globalSearch/LA5779-E/page-1", "LA5779-E")</f>
        <v>LA5779-E</v>
      </c>
      <c r="B40388" s="3" t="str">
        <f>HYPERLINK("https://www.773grp.com/manufacturer/onsemi?pageNo=1096", "ON Semiconductor")</f>
        <v>ON Semiconductor</v>
      </c>
      <c r="C40388" s="6">
        <v>330</v>
      </c>
      <c r="D40388" s="7">
        <v>3.9</v>
      </c>
    </row>
    <row r="40389" spans="1:5" x14ac:dyDescent="0.25">
      <c r="A40389" t="str">
        <f>HYPERLINK("https://www.773grp.com/globalSearch/LB1861M-TLM-H/page-1", "LB1861M-TLM-H")</f>
        <v>LB1861M-TLM-H</v>
      </c>
      <c r="B40389" s="3" t="str">
        <f>HYPERLINK("https://www.773grp.com/manufacturer/onsemi?pageNo=1097", "ON Semiconductor")</f>
        <v>ON Semiconductor</v>
      </c>
      <c r="C40389" s="6">
        <v>3000</v>
      </c>
      <c r="D40389" s="7">
        <v>3.9</v>
      </c>
    </row>
    <row r="40390" spans="1:5" x14ac:dyDescent="0.25">
      <c r="A40390" t="str">
        <f>HYPERLINK("https://www.773grp.com/globalSearch/LC717A00AJ-AH/page-1", "LC717A00AJ-AH")</f>
        <v>LC717A00AJ-AH</v>
      </c>
      <c r="B40390" s="3" t="str">
        <f>HYPERLINK("https://www.773grp.com/manufacturer/onsemi?pageNo=1098", "ON Semiconductor")</f>
        <v>ON Semiconductor</v>
      </c>
      <c r="C40390" s="6">
        <v>1000</v>
      </c>
      <c r="D40390" s="7">
        <v>3.9</v>
      </c>
    </row>
    <row r="40391" spans="1:5" x14ac:dyDescent="0.25">
      <c r="A40391" t="str">
        <f>HYPERLINK("https://www.773grp.com/globalSearch/LM2575T-15G/page-1", "LM2575T-15G")</f>
        <v>LM2575T-15G</v>
      </c>
      <c r="B40391" s="3" t="str">
        <f>HYPERLINK("https://www.773grp.com/manufacturer/onsemi?pageNo=1099", "ON Semiconductor")</f>
        <v>ON Semiconductor</v>
      </c>
      <c r="C40391" s="6">
        <v>3800</v>
      </c>
      <c r="D40391" s="7">
        <v>3.9</v>
      </c>
      <c r="E40391" t="s">
        <v>7</v>
      </c>
    </row>
    <row r="40392" spans="1:5" x14ac:dyDescent="0.25">
      <c r="A40392" t="str">
        <f>HYPERLINK("https://www.773grp.com/globalSearch/LM2575T-3.3G/page-1", "LM2575T-3.3G")</f>
        <v>LM2575T-3.3G</v>
      </c>
      <c r="B40392" s="3" t="str">
        <f>HYPERLINK("https://www.773grp.com/manufacturer/onsemi?pageNo=1100", "ON Semiconductor")</f>
        <v>ON Semiconductor</v>
      </c>
      <c r="C40392" s="6">
        <v>11200</v>
      </c>
      <c r="D40392" s="7">
        <v>3.9</v>
      </c>
      <c r="E40392" t="s">
        <v>7</v>
      </c>
    </row>
    <row r="40393" spans="1:5" x14ac:dyDescent="0.25">
      <c r="A40393" t="str">
        <f>HYPERLINK("https://www.773grp.com/globalSearch/LM2575TV-3.3G/page-1", "LM2575TV-3.3G")</f>
        <v>LM2575TV-3.3G</v>
      </c>
      <c r="B40393" s="3" t="str">
        <f>HYPERLINK("https://www.773grp.com/manufacturer/onsemi?pageNo=1101", "ON Semiconductor")</f>
        <v>ON Semiconductor</v>
      </c>
      <c r="C40393" s="6">
        <v>4560</v>
      </c>
      <c r="D40393" s="7">
        <v>3.9</v>
      </c>
      <c r="E40393" t="s">
        <v>7</v>
      </c>
    </row>
    <row r="40394" spans="1:5" x14ac:dyDescent="0.25">
      <c r="A40394" t="str">
        <f>HYPERLINK("https://www.773grp.com/globalSearch/LV8548M-TLM-H/page-1", "LV8548M-TLM-H")</f>
        <v>LV8548M-TLM-H</v>
      </c>
      <c r="B40394" s="3" t="str">
        <f>HYPERLINK("https://www.773grp.com/manufacturer/onsemi?pageNo=1102", "ON Semiconductor")</f>
        <v>ON Semiconductor</v>
      </c>
      <c r="C40394" s="6">
        <v>980</v>
      </c>
      <c r="D40394" s="7">
        <v>3.9</v>
      </c>
    </row>
    <row r="40395" spans="1:5" x14ac:dyDescent="0.25">
      <c r="A40395" t="str">
        <f>HYPERLINK("https://www.773grp.com/globalSearch/LV8549M-TLM-H/page-1", "LV8549M-TLM-H")</f>
        <v>LV8549M-TLM-H</v>
      </c>
      <c r="B40395" s="3" t="str">
        <f>HYPERLINK("https://www.773grp.com/manufacturer/onsemi?pageNo=1103", "ON Semiconductor")</f>
        <v>ON Semiconductor</v>
      </c>
      <c r="C40395" s="6">
        <v>1000</v>
      </c>
      <c r="D40395" s="7">
        <v>3.9</v>
      </c>
    </row>
    <row r="40396" spans="1:5" x14ac:dyDescent="0.25">
      <c r="A40396" t="str">
        <f>HYPERLINK("https://www.773grp.com/globalSearch/LV8549M-TLM-H/page-1", "LV8549M-TLM-H")</f>
        <v>LV8549M-TLM-H</v>
      </c>
      <c r="B40396" s="3" t="str">
        <f>HYPERLINK("https://www.773grp.com/manufacturer/onsemi?pageNo=1104", "ON Semiconductor")</f>
        <v>ON Semiconductor</v>
      </c>
      <c r="C40396" s="6">
        <v>879</v>
      </c>
      <c r="D40396" s="7">
        <v>3.9</v>
      </c>
    </row>
    <row r="40397" spans="1:5" x14ac:dyDescent="0.25">
      <c r="A40397" t="str">
        <f>HYPERLINK("https://www.773grp.com/globalSearch/MC10110L/page-1", "MC10110L")</f>
        <v>MC10110L</v>
      </c>
      <c r="B40397" s="3" t="str">
        <f>HYPERLINK("https://www.773grp.com/manufacturer/onsemi?pageNo=1105", "ON Semiconductor")</f>
        <v>ON Semiconductor</v>
      </c>
      <c r="C40397" s="6">
        <v>463</v>
      </c>
      <c r="D40397" s="7">
        <v>3.9</v>
      </c>
      <c r="E40397" t="s">
        <v>31</v>
      </c>
    </row>
    <row r="40398" spans="1:5" x14ac:dyDescent="0.25">
      <c r="A40398" t="str">
        <f>HYPERLINK("https://www.773grp.com/globalSearch/MC10H101P/page-1", "MC10H101P")</f>
        <v>MC10H101P</v>
      </c>
      <c r="B40398" s="3" t="str">
        <f>HYPERLINK("https://www.773grp.com/manufacturer/onsemi?pageNo=1106", "ON Semiconductor")</f>
        <v>ON Semiconductor</v>
      </c>
      <c r="C40398" s="6">
        <v>16215</v>
      </c>
      <c r="D40398" s="7">
        <v>3.9</v>
      </c>
      <c r="E40398" t="s">
        <v>31</v>
      </c>
    </row>
    <row r="40399" spans="1:5" x14ac:dyDescent="0.25">
      <c r="A40399" t="str">
        <f>HYPERLINK("https://www.773grp.com/globalSearch/MC10H102P/page-1", "MC10H102P")</f>
        <v>MC10H102P</v>
      </c>
      <c r="B40399" s="3" t="str">
        <f>HYPERLINK("https://www.773grp.com/manufacturer/onsemi?pageNo=1107", "ON Semiconductor")</f>
        <v>ON Semiconductor</v>
      </c>
      <c r="C40399" s="6">
        <v>9589</v>
      </c>
      <c r="D40399" s="7">
        <v>3.9</v>
      </c>
      <c r="E40399" t="s">
        <v>31</v>
      </c>
    </row>
    <row r="40400" spans="1:5" x14ac:dyDescent="0.25">
      <c r="A40400" t="str">
        <f>HYPERLINK("https://www.773grp.com/globalSearch/MC10H103P/page-1", "MC10H103P")</f>
        <v>MC10H103P</v>
      </c>
      <c r="B40400" s="3" t="str">
        <f>HYPERLINK("https://www.773grp.com/manufacturer/onsemi?pageNo=1108", "ON Semiconductor")</f>
        <v>ON Semiconductor</v>
      </c>
      <c r="C40400" s="6">
        <v>10327</v>
      </c>
      <c r="D40400" s="7">
        <v>3.9</v>
      </c>
      <c r="E40400" t="s">
        <v>31</v>
      </c>
    </row>
    <row r="40401" spans="1:5" x14ac:dyDescent="0.25">
      <c r="A40401" t="str">
        <f>HYPERLINK("https://www.773grp.com/globalSearch/MC10H104P/page-1", "MC10H104P")</f>
        <v>MC10H104P</v>
      </c>
      <c r="B40401" s="3" t="str">
        <f>HYPERLINK("https://www.773grp.com/manufacturer/onsemi?pageNo=1109", "ON Semiconductor")</f>
        <v>ON Semiconductor</v>
      </c>
      <c r="C40401" s="6">
        <v>4824</v>
      </c>
      <c r="D40401" s="7">
        <v>3.9</v>
      </c>
      <c r="E40401" t="s">
        <v>31</v>
      </c>
    </row>
    <row r="40402" spans="1:5" x14ac:dyDescent="0.25">
      <c r="A40402" t="str">
        <f>HYPERLINK("https://www.773grp.com/globalSearch/MC10H105P/page-1", "MC10H105P")</f>
        <v>MC10H105P</v>
      </c>
      <c r="B40402" s="3" t="str">
        <f>HYPERLINK("https://www.773grp.com/manufacturer/onsemi?pageNo=1110", "ON Semiconductor")</f>
        <v>ON Semiconductor</v>
      </c>
      <c r="C40402" s="6">
        <v>11190</v>
      </c>
      <c r="D40402" s="7">
        <v>3.9</v>
      </c>
      <c r="E40402" t="s">
        <v>31</v>
      </c>
    </row>
    <row r="40403" spans="1:5" x14ac:dyDescent="0.25">
      <c r="A40403" t="str">
        <f>HYPERLINK("https://www.773grp.com/globalSearch/MC10H106P/page-1", "MC10H106P")</f>
        <v>MC10H106P</v>
      </c>
      <c r="B40403" s="3" t="str">
        <f>HYPERLINK("https://www.773grp.com/manufacturer/onsemi?pageNo=1111", "ON Semiconductor")</f>
        <v>ON Semiconductor</v>
      </c>
      <c r="C40403" s="6">
        <v>6665</v>
      </c>
      <c r="D40403" s="7">
        <v>3.9</v>
      </c>
      <c r="E40403" t="s">
        <v>31</v>
      </c>
    </row>
    <row r="40404" spans="1:5" x14ac:dyDescent="0.25">
      <c r="A40404" t="str">
        <f>HYPERLINK("https://www.773grp.com/globalSearch/MC10H106PG/page-1", "MC10H106PG")</f>
        <v>MC10H106PG</v>
      </c>
      <c r="B40404" s="3" t="str">
        <f>HYPERLINK("https://www.773grp.com/manufacturer/onsemi?pageNo=1112", "ON Semiconductor")</f>
        <v>ON Semiconductor</v>
      </c>
      <c r="C40404" s="6">
        <v>10515</v>
      </c>
      <c r="D40404" s="7">
        <v>3.9</v>
      </c>
      <c r="E40404" t="s">
        <v>31</v>
      </c>
    </row>
    <row r="40405" spans="1:5" x14ac:dyDescent="0.25">
      <c r="A40405" t="str">
        <f>HYPERLINK("https://www.773grp.com/globalSearch/MC10H113P/page-1", "MC10H113P")</f>
        <v>MC10H113P</v>
      </c>
      <c r="B40405" s="3" t="str">
        <f>HYPERLINK("https://www.773grp.com/manufacturer/onsemi?pageNo=1113", "ON Semiconductor")</f>
        <v>ON Semiconductor</v>
      </c>
      <c r="C40405" s="6">
        <v>1651</v>
      </c>
      <c r="D40405" s="7">
        <v>3.9</v>
      </c>
      <c r="E40405" t="s">
        <v>31</v>
      </c>
    </row>
    <row r="40406" spans="1:5" x14ac:dyDescent="0.25">
      <c r="A40406" t="str">
        <f>HYPERLINK("https://www.773grp.com/globalSearch/MC10H115P/page-1", "MC10H115P")</f>
        <v>MC10H115P</v>
      </c>
      <c r="B40406" s="3" t="str">
        <f>HYPERLINK("https://www.773grp.com/manufacturer/onsemi?pageNo=1114", "ON Semiconductor")</f>
        <v>ON Semiconductor</v>
      </c>
      <c r="C40406" s="6">
        <v>2850</v>
      </c>
      <c r="D40406" s="7">
        <v>3.9</v>
      </c>
      <c r="E40406" t="s">
        <v>21</v>
      </c>
    </row>
    <row r="40407" spans="1:5" x14ac:dyDescent="0.25">
      <c r="A40407" t="str">
        <f>HYPERLINK("https://www.773grp.com/globalSearch/MC10H116P/page-1", "MC10H116P")</f>
        <v>MC10H116P</v>
      </c>
      <c r="B40407" s="3" t="str">
        <f>HYPERLINK("https://www.773grp.com/manufacturer/onsemi?pageNo=1115", "ON Semiconductor")</f>
        <v>ON Semiconductor</v>
      </c>
      <c r="C40407" s="6">
        <v>785</v>
      </c>
      <c r="D40407" s="7">
        <v>3.9</v>
      </c>
      <c r="E40407" t="s">
        <v>21</v>
      </c>
    </row>
    <row r="40408" spans="1:5" x14ac:dyDescent="0.25">
      <c r="A40408" t="str">
        <f>HYPERLINK("https://www.773grp.com/globalSearch/MC10H117P/page-1", "MC10H117P")</f>
        <v>MC10H117P</v>
      </c>
      <c r="B40408" s="3" t="str">
        <f>HYPERLINK("https://www.773grp.com/manufacturer/onsemi?pageNo=1116", "ON Semiconductor")</f>
        <v>ON Semiconductor</v>
      </c>
      <c r="C40408" s="6">
        <v>2333</v>
      </c>
      <c r="D40408" s="7">
        <v>3.9</v>
      </c>
      <c r="E40408" t="s">
        <v>31</v>
      </c>
    </row>
    <row r="40409" spans="1:5" x14ac:dyDescent="0.25">
      <c r="A40409" t="str">
        <f>HYPERLINK("https://www.773grp.com/globalSearch/MC10H121P/page-1", "MC10H121P")</f>
        <v>MC10H121P</v>
      </c>
      <c r="B40409" s="3" t="str">
        <f>HYPERLINK("https://www.773grp.com/manufacturer/onsemi?pageNo=1117", "ON Semiconductor")</f>
        <v>ON Semiconductor</v>
      </c>
      <c r="C40409" s="6">
        <v>3965</v>
      </c>
      <c r="D40409" s="7">
        <v>3.9</v>
      </c>
      <c r="E40409" t="s">
        <v>31</v>
      </c>
    </row>
    <row r="40410" spans="1:5" x14ac:dyDescent="0.25">
      <c r="A40410" t="str">
        <f>HYPERLINK("https://www.773grp.com/globalSearch/MC33160DWR2G/page-1", "MC33160DWR2G")</f>
        <v>MC33160DWR2G</v>
      </c>
      <c r="B40410" s="3" t="str">
        <f>HYPERLINK("https://www.773grp.com/manufacturer/onsemi?pageNo=1118", "ON Semiconductor")</f>
        <v>ON Semiconductor</v>
      </c>
      <c r="C40410" s="6">
        <v>536</v>
      </c>
      <c r="D40410" s="7">
        <v>3.9</v>
      </c>
    </row>
    <row r="40411" spans="1:5" x14ac:dyDescent="0.25">
      <c r="A40411" t="str">
        <f>HYPERLINK("https://www.773grp.com/globalSearch/MC33160PG/page-1", "MC33160PG")</f>
        <v>MC33160PG</v>
      </c>
      <c r="B40411" s="3" t="str">
        <f>HYPERLINK("https://www.773grp.com/manufacturer/onsemi?pageNo=1119", "ON Semiconductor")</f>
        <v>ON Semiconductor</v>
      </c>
      <c r="C40411" s="6">
        <v>275</v>
      </c>
      <c r="D40411" s="7">
        <v>3.9</v>
      </c>
      <c r="E40411" t="s">
        <v>28</v>
      </c>
    </row>
    <row r="40412" spans="1:5" x14ac:dyDescent="0.25">
      <c r="A40412" t="str">
        <f>HYPERLINK("https://www.773grp.com/globalSearch/MC44605P/page-1", "MC44605P")</f>
        <v>MC44605P</v>
      </c>
      <c r="B40412" s="3" t="str">
        <f>HYPERLINK("https://www.773grp.com/manufacturer/onsemi?pageNo=1120", "ON Semiconductor")</f>
        <v>ON Semiconductor</v>
      </c>
      <c r="C40412" s="6">
        <v>2949</v>
      </c>
      <c r="D40412" s="7">
        <v>3.9</v>
      </c>
      <c r="E40412" t="s">
        <v>7</v>
      </c>
    </row>
    <row r="40413" spans="1:5" x14ac:dyDescent="0.25">
      <c r="A40413" t="str">
        <f>HYPERLINK("https://www.773grp.com/globalSearch/MC623DR2/page-1", "MC623DR2")</f>
        <v>MC623DR2</v>
      </c>
      <c r="B40413" s="3" t="str">
        <f>HYPERLINK("https://www.773grp.com/manufacturer/onsemi?pageNo=1121", "ON Semiconductor")</f>
        <v>ON Semiconductor</v>
      </c>
      <c r="C40413" s="6">
        <v>2488</v>
      </c>
      <c r="D40413" s="7">
        <v>3.9</v>
      </c>
      <c r="E40413" t="s">
        <v>12</v>
      </c>
    </row>
    <row r="40414" spans="1:5" x14ac:dyDescent="0.25">
      <c r="A40414" t="str">
        <f>HYPERLINK("https://www.773grp.com/globalSearch/MC642DR2/page-1", "MC642DR2")</f>
        <v>MC642DR2</v>
      </c>
      <c r="B40414" s="3" t="str">
        <f>HYPERLINK("https://www.773grp.com/manufacturer/onsemi?pageNo=1122", "ON Semiconductor")</f>
        <v>ON Semiconductor</v>
      </c>
      <c r="C40414" s="6">
        <v>34900</v>
      </c>
      <c r="D40414" s="7">
        <v>3.9</v>
      </c>
      <c r="E40414" t="s">
        <v>62</v>
      </c>
    </row>
    <row r="40415" spans="1:5" x14ac:dyDescent="0.25">
      <c r="A40415" t="str">
        <f>HYPERLINK("https://www.773grp.com/globalSearch/MTB9N25ET4/page-1", "MTB9N25ET4")</f>
        <v>MTB9N25ET4</v>
      </c>
      <c r="B40415" s="3" t="str">
        <f>HYPERLINK("https://www.773grp.com/manufacturer/onsemi?pageNo=1123", "ON Semiconductor")</f>
        <v>ON Semiconductor</v>
      </c>
      <c r="C40415" s="6">
        <v>13312</v>
      </c>
      <c r="D40415" s="7">
        <v>3.9</v>
      </c>
      <c r="E40415" t="s">
        <v>105</v>
      </c>
    </row>
    <row r="40416" spans="1:5" x14ac:dyDescent="0.25">
      <c r="A40416" t="str">
        <f>HYPERLINK("https://www.773grp.com/globalSearch/MURF1660CTG/page-1", "MURF1660CTG")</f>
        <v>MURF1660CTG</v>
      </c>
      <c r="B40416" s="3" t="str">
        <f>HYPERLINK("https://www.773grp.com/manufacturer/onsemi?pageNo=1124", "ON Semiconductor")</f>
        <v>ON Semiconductor</v>
      </c>
      <c r="C40416" s="6">
        <v>3210</v>
      </c>
      <c r="D40416" s="7">
        <v>3.9</v>
      </c>
    </row>
    <row r="40417" spans="1:5" x14ac:dyDescent="0.25">
      <c r="A40417" t="str">
        <f>HYPERLINK("https://www.773grp.com/globalSearch/NCP1031MNTXG/page-1", "NCP1031MNTXG")</f>
        <v>NCP1031MNTXG</v>
      </c>
      <c r="B40417" s="3" t="str">
        <f>HYPERLINK("https://www.773grp.com/manufacturer/onsemi?pageNo=1125", "ON Semiconductor")</f>
        <v>ON Semiconductor</v>
      </c>
      <c r="C40417" s="6">
        <v>13683</v>
      </c>
      <c r="D40417" s="7">
        <v>3.9</v>
      </c>
    </row>
    <row r="40418" spans="1:5" x14ac:dyDescent="0.25">
      <c r="A40418" t="str">
        <f>HYPERLINK("https://www.773grp.com/globalSearch/NCP5424DR2/page-1", "NCP5424DR2")</f>
        <v>NCP5424DR2</v>
      </c>
      <c r="B40418" s="3" t="str">
        <f>HYPERLINK("https://www.773grp.com/manufacturer/onsemi?pageNo=1126", "ON Semiconductor")</f>
        <v>ON Semiconductor</v>
      </c>
      <c r="C40418" s="6">
        <v>5000</v>
      </c>
      <c r="D40418" s="7">
        <v>3.9</v>
      </c>
      <c r="E40418" t="s">
        <v>7</v>
      </c>
    </row>
    <row r="40419" spans="1:5" x14ac:dyDescent="0.25">
      <c r="A40419" t="str">
        <f>HYPERLINK("https://www.773grp.com/globalSearch/NCP5424DR2G/page-1", "NCP5424DR2G")</f>
        <v>NCP5424DR2G</v>
      </c>
      <c r="B40419" s="3" t="str">
        <f>HYPERLINK("https://www.773grp.com/manufacturer/onsemi?pageNo=1127", "ON Semiconductor")</f>
        <v>ON Semiconductor</v>
      </c>
      <c r="C40419" s="6">
        <v>105755</v>
      </c>
      <c r="D40419" s="7">
        <v>3.9</v>
      </c>
      <c r="E40419" t="s">
        <v>7</v>
      </c>
    </row>
    <row r="40420" spans="1:5" x14ac:dyDescent="0.25">
      <c r="A40420" t="str">
        <f>HYPERLINK("https://www.773grp.com/globalSearch/NCV4269PDG/page-1", "NCV4269PDG")</f>
        <v>NCV4269PDG</v>
      </c>
      <c r="B40420" s="3" t="str">
        <f>HYPERLINK("https://www.773grp.com/manufacturer/onsemi?pageNo=1128", "ON Semiconductor")</f>
        <v>ON Semiconductor</v>
      </c>
      <c r="C40420" s="6">
        <v>2156</v>
      </c>
      <c r="D40420" s="7">
        <v>3.9</v>
      </c>
    </row>
    <row r="40421" spans="1:5" x14ac:dyDescent="0.25">
      <c r="A40421" t="str">
        <f>HYPERLINK("https://www.773grp.com/globalSearch/NCV4269PDR2G/page-1", "NCV4269PDR2G")</f>
        <v>NCV4269PDR2G</v>
      </c>
      <c r="B40421" s="3" t="str">
        <f>HYPERLINK("https://www.773grp.com/manufacturer/onsemi?pageNo=1129", "ON Semiconductor")</f>
        <v>ON Semiconductor</v>
      </c>
      <c r="C40421" s="6">
        <v>6229</v>
      </c>
      <c r="D40421" s="7">
        <v>3.9</v>
      </c>
      <c r="E40421" t="s">
        <v>19</v>
      </c>
    </row>
    <row r="40422" spans="1:5" x14ac:dyDescent="0.25">
      <c r="A40422" t="str">
        <f>HYPERLINK("https://www.773grp.com/globalSearch/NTP5863NG/page-1", "NTP5863NG")</f>
        <v>NTP5863NG</v>
      </c>
      <c r="B40422" s="3" t="str">
        <f>HYPERLINK("https://www.773grp.com/manufacturer/onsemi?pageNo=1130", "ON Semiconductor")</f>
        <v>ON Semiconductor</v>
      </c>
      <c r="C40422" s="6">
        <v>500</v>
      </c>
      <c r="D40422" s="7">
        <v>3.9</v>
      </c>
      <c r="E40422" t="s">
        <v>105</v>
      </c>
    </row>
    <row r="40423" spans="1:5" x14ac:dyDescent="0.25">
      <c r="A40423" t="str">
        <f>HYPERLINK("https://www.773grp.com/globalSearch/MC74F579N/page-1", "MC74F579N")</f>
        <v>MC74F579N</v>
      </c>
      <c r="B40423" s="3" t="str">
        <f>HYPERLINK("https://www.773grp.com/manufacturer/onsemi?pageNo=1131", "ON Semiconductor")</f>
        <v>ON Semiconductor</v>
      </c>
      <c r="C40423" s="6">
        <v>5</v>
      </c>
      <c r="D40423" s="7">
        <v>3.55</v>
      </c>
      <c r="E40423" t="s">
        <v>26</v>
      </c>
    </row>
    <row r="40424" spans="1:5" x14ac:dyDescent="0.25">
      <c r="A40424" t="str">
        <f>HYPERLINK("https://www.773grp.com/globalSearch/NCS2510SNT1G/page-1", "NCS2510SNT1G")</f>
        <v>NCS2510SNT1G</v>
      </c>
      <c r="B40424" s="3" t="str">
        <f>HYPERLINK("https://www.773grp.com/manufacturer/onsemi?pageNo=1132", "ON Semiconductor")</f>
        <v>ON Semiconductor</v>
      </c>
      <c r="C40424" s="6">
        <v>8965</v>
      </c>
      <c r="D40424" s="7">
        <v>3.55</v>
      </c>
      <c r="E40424" t="s">
        <v>18</v>
      </c>
    </row>
    <row r="40425" spans="1:5" x14ac:dyDescent="0.25">
      <c r="A40425" t="str">
        <f>HYPERLINK("https://www.773grp.com/globalSearch/BUV48A/page-1", "BUV48A")</f>
        <v>BUV48A</v>
      </c>
      <c r="B40425" s="3" t="str">
        <f>HYPERLINK("https://www.773grp.com/manufacturer/onsemi?pageNo=1133", "ON Semiconductor")</f>
        <v>ON Semiconductor</v>
      </c>
      <c r="C40425" s="6">
        <v>138</v>
      </c>
      <c r="D40425" s="7">
        <v>3.58</v>
      </c>
      <c r="E40425" t="s">
        <v>59</v>
      </c>
    </row>
    <row r="40426" spans="1:5" x14ac:dyDescent="0.25">
      <c r="A40426" t="str">
        <f>HYPERLINK("https://www.773grp.com/globalSearch/CS2082EDWR20/page-1", "CS2082EDWR20")</f>
        <v>CS2082EDWR20</v>
      </c>
      <c r="B40426" s="3" t="str">
        <f>HYPERLINK("https://www.773grp.com/manufacturer/onsemi?pageNo=1134", "ON Semiconductor")</f>
        <v>ON Semiconductor</v>
      </c>
      <c r="C40426" s="6">
        <v>1000</v>
      </c>
      <c r="D40426" s="7">
        <v>3.58</v>
      </c>
      <c r="E40426" t="s">
        <v>23</v>
      </c>
    </row>
    <row r="40427" spans="1:5" x14ac:dyDescent="0.25">
      <c r="A40427" t="str">
        <f>HYPERLINK("https://www.773grp.com/globalSearch/CS41088T5/page-1", "CS41088T5")</f>
        <v>CS41088T5</v>
      </c>
      <c r="B40427" s="3" t="str">
        <f>HYPERLINK("https://www.773grp.com/manufacturer/onsemi?pageNo=1135", "ON Semiconductor")</f>
        <v>ON Semiconductor</v>
      </c>
      <c r="C40427" s="6">
        <v>1150</v>
      </c>
      <c r="D40427" s="7">
        <v>3.58</v>
      </c>
    </row>
    <row r="40428" spans="1:5" x14ac:dyDescent="0.25">
      <c r="A40428" t="str">
        <f>HYPERLINK("https://www.773grp.com/globalSearch/LV8741V-MPB-E/page-1", "LV8741V-MPB-E")</f>
        <v>LV8741V-MPB-E</v>
      </c>
      <c r="B40428" s="3" t="str">
        <f>HYPERLINK("https://www.773grp.com/manufacturer/onsemi?pageNo=1136", "ON Semiconductor")</f>
        <v>ON Semiconductor</v>
      </c>
      <c r="C40428" s="6">
        <v>60</v>
      </c>
      <c r="D40428" s="7">
        <v>3.58</v>
      </c>
    </row>
    <row r="40429" spans="1:5" x14ac:dyDescent="0.25">
      <c r="A40429" t="str">
        <f>HYPERLINK("https://www.773grp.com/globalSearch/LV8741V-TLM-E/page-1", "LV8741V-TLM-E")</f>
        <v>LV8741V-TLM-E</v>
      </c>
      <c r="B40429" s="3" t="str">
        <f>HYPERLINK("https://www.773grp.com/manufacturer/onsemi?pageNo=1137", "ON Semiconductor")</f>
        <v>ON Semiconductor</v>
      </c>
      <c r="C40429" s="6">
        <v>100</v>
      </c>
      <c r="D40429" s="7">
        <v>3.58</v>
      </c>
    </row>
    <row r="40430" spans="1:5" x14ac:dyDescent="0.25">
      <c r="A40430" t="str">
        <f>HYPERLINK("https://www.773grp.com/globalSearch/MC10H162P/page-1", "MC10H162P")</f>
        <v>MC10H162P</v>
      </c>
      <c r="B40430" s="3" t="str">
        <f>HYPERLINK("https://www.773grp.com/manufacturer/onsemi?pageNo=1138", "ON Semiconductor")</f>
        <v>ON Semiconductor</v>
      </c>
      <c r="C40430" s="6">
        <v>2925</v>
      </c>
      <c r="D40430" s="7">
        <v>3.58</v>
      </c>
      <c r="E40430" t="s">
        <v>36</v>
      </c>
    </row>
    <row r="40431" spans="1:5" x14ac:dyDescent="0.25">
      <c r="A40431" t="str">
        <f>HYPERLINK("https://www.773grp.com/globalSearch/MC10H164P/page-1", "MC10H164P")</f>
        <v>MC10H164P</v>
      </c>
      <c r="B40431" s="3" t="str">
        <f>HYPERLINK("https://www.773grp.com/manufacturer/onsemi?pageNo=1139", "ON Semiconductor")</f>
        <v>ON Semiconductor</v>
      </c>
      <c r="C40431" s="6">
        <v>3425</v>
      </c>
      <c r="D40431" s="7">
        <v>3.58</v>
      </c>
      <c r="E40431" t="s">
        <v>20</v>
      </c>
    </row>
    <row r="40432" spans="1:5" x14ac:dyDescent="0.25">
      <c r="A40432" t="str">
        <f>HYPERLINK("https://www.773grp.com/globalSearch/MC10H174P/page-1", "MC10H174P")</f>
        <v>MC10H174P</v>
      </c>
      <c r="B40432" s="3" t="str">
        <f>HYPERLINK("https://www.773grp.com/manufacturer/onsemi?pageNo=1140", "ON Semiconductor")</f>
        <v>ON Semiconductor</v>
      </c>
      <c r="C40432" s="6">
        <v>4262</v>
      </c>
      <c r="D40432" s="7">
        <v>3.58</v>
      </c>
      <c r="E40432" t="s">
        <v>20</v>
      </c>
    </row>
    <row r="40433" spans="1:5" x14ac:dyDescent="0.25">
      <c r="A40433" t="str">
        <f>HYPERLINK("https://www.773grp.com/globalSearch/CS8371ETVA7G/page-1", "CS8371ETVA7G")</f>
        <v>CS8371ETVA7G</v>
      </c>
      <c r="B40433" s="3" t="str">
        <f>HYPERLINK("https://www.773grp.com/manufacturer/onsemi?pageNo=1141", "ON Semiconductor")</f>
        <v>ON Semiconductor</v>
      </c>
      <c r="C40433" s="6">
        <v>3445</v>
      </c>
      <c r="D40433" s="7">
        <v>3.95</v>
      </c>
      <c r="E40433" t="s">
        <v>117</v>
      </c>
    </row>
    <row r="40434" spans="1:5" x14ac:dyDescent="0.25">
      <c r="A40434" t="str">
        <f>HYPERLINK("https://www.773grp.com/globalSearch/LM2576TV-3.3G/page-1", "LM2576TV-3.3G")</f>
        <v>LM2576TV-3.3G</v>
      </c>
      <c r="B40434" s="3" t="str">
        <f>HYPERLINK("https://www.773grp.com/manufacturer/onsemi?pageNo=1142", "ON Semiconductor")</f>
        <v>ON Semiconductor</v>
      </c>
      <c r="C40434" s="6">
        <v>3450</v>
      </c>
      <c r="D40434" s="7">
        <v>3.95</v>
      </c>
      <c r="E40434" t="s">
        <v>7</v>
      </c>
    </row>
    <row r="40435" spans="1:5" x14ac:dyDescent="0.25">
      <c r="A40435" t="str">
        <f>HYPERLINK("https://www.773grp.com/globalSearch/LV8075LP-E/page-1", "LV8075LP-E")</f>
        <v>LV8075LP-E</v>
      </c>
      <c r="B40435" s="3" t="str">
        <f>HYPERLINK("https://www.773grp.com/manufacturer/onsemi?pageNo=1143", "ON Semiconductor")</f>
        <v>ON Semiconductor</v>
      </c>
      <c r="C40435" s="6">
        <v>100</v>
      </c>
      <c r="D40435" s="7">
        <v>3.95</v>
      </c>
    </row>
    <row r="40436" spans="1:5" x14ac:dyDescent="0.25">
      <c r="A40436" t="str">
        <f>HYPERLINK("https://www.773grp.com/globalSearch/LV8075LP-TE-L-E/page-1", "LV8075LP-TE-L-E")</f>
        <v>LV8075LP-TE-L-E</v>
      </c>
      <c r="B40436" s="3" t="str">
        <f>HYPERLINK("https://www.773grp.com/manufacturer/onsemi?pageNo=1144", "ON Semiconductor")</f>
        <v>ON Semiconductor</v>
      </c>
      <c r="C40436" s="6">
        <v>67</v>
      </c>
      <c r="D40436" s="7">
        <v>3.95</v>
      </c>
    </row>
    <row r="40437" spans="1:5" x14ac:dyDescent="0.25">
      <c r="A40437" t="str">
        <f>HYPERLINK("https://www.773grp.com/globalSearch/MBR40250TG/page-1", "MBR40250TG")</f>
        <v>MBR40250TG</v>
      </c>
      <c r="B40437" s="3" t="str">
        <f>HYPERLINK("https://www.773grp.com/manufacturer/onsemi?pageNo=1145", "ON Semiconductor")</f>
        <v>ON Semiconductor</v>
      </c>
      <c r="C40437" s="6">
        <v>11841</v>
      </c>
      <c r="D40437" s="7">
        <v>3.95</v>
      </c>
      <c r="E40437" t="s">
        <v>103</v>
      </c>
    </row>
    <row r="40438" spans="1:5" x14ac:dyDescent="0.25">
      <c r="A40438" t="str">
        <f>HYPERLINK("https://www.773grp.com/globalSearch/MBR4045PT/page-1", "MBR4045PT")</f>
        <v>MBR4045PT</v>
      </c>
      <c r="B40438" s="3" t="str">
        <f>HYPERLINK("https://www.773grp.com/manufacturer/onsemi?pageNo=1146", "ON Semiconductor")</f>
        <v>ON Semiconductor</v>
      </c>
      <c r="C40438" s="6">
        <v>3934</v>
      </c>
      <c r="D40438" s="7">
        <v>3.95</v>
      </c>
      <c r="E40438" t="s">
        <v>103</v>
      </c>
    </row>
    <row r="40439" spans="1:5" x14ac:dyDescent="0.25">
      <c r="A40439" t="str">
        <f>HYPERLINK("https://www.773grp.com/globalSearch/MBRF20100CT/page-1", "MBRF20100CT")</f>
        <v>MBRF20100CT</v>
      </c>
      <c r="B40439" s="3" t="str">
        <f>HYPERLINK("https://www.773grp.com/manufacturer/onsemi?pageNo=1147", "ON Semiconductor")</f>
        <v>ON Semiconductor</v>
      </c>
      <c r="C40439" s="6">
        <v>286946</v>
      </c>
      <c r="D40439" s="7">
        <v>3.95</v>
      </c>
      <c r="E40439" t="s">
        <v>103</v>
      </c>
    </row>
    <row r="40440" spans="1:5" x14ac:dyDescent="0.25">
      <c r="A40440" t="str">
        <f>HYPERLINK("https://www.773grp.com/globalSearch/MBRF2060CT/page-1", "MBRF2060CT")</f>
        <v>MBRF2060CT</v>
      </c>
      <c r="B40440" s="3" t="str">
        <f>HYPERLINK("https://www.773grp.com/manufacturer/onsemi?pageNo=1148", "ON Semiconductor")</f>
        <v>ON Semiconductor</v>
      </c>
      <c r="C40440" s="6">
        <v>3248</v>
      </c>
      <c r="D40440" s="7">
        <v>3.95</v>
      </c>
      <c r="E40440" t="s">
        <v>103</v>
      </c>
    </row>
    <row r="40441" spans="1:5" x14ac:dyDescent="0.25">
      <c r="A40441" t="str">
        <f>HYPERLINK("https://www.773grp.com/globalSearch/MC10H109P/page-1", "MC10H109P")</f>
        <v>MC10H109P</v>
      </c>
      <c r="B40441" s="3" t="str">
        <f>HYPERLINK("https://www.773grp.com/manufacturer/onsemi?pageNo=1149", "ON Semiconductor")</f>
        <v>ON Semiconductor</v>
      </c>
      <c r="C40441" s="6">
        <v>4130</v>
      </c>
      <c r="D40441" s="7">
        <v>3.95</v>
      </c>
      <c r="E40441" t="s">
        <v>31</v>
      </c>
    </row>
    <row r="40442" spans="1:5" x14ac:dyDescent="0.25">
      <c r="A40442" t="str">
        <f>HYPERLINK("https://www.773grp.com/globalSearch/MC14067BDWG/page-1", "MC14067BDWG")</f>
        <v>MC14067BDWG</v>
      </c>
      <c r="B40442" s="3" t="str">
        <f>HYPERLINK("https://www.773grp.com/manufacturer/onsemi?pageNo=1150", "ON Semiconductor")</f>
        <v>ON Semiconductor</v>
      </c>
      <c r="C40442" s="6">
        <v>480</v>
      </c>
      <c r="D40442" s="7">
        <v>3.95</v>
      </c>
      <c r="E40442" t="s">
        <v>56</v>
      </c>
    </row>
    <row r="40443" spans="1:5" x14ac:dyDescent="0.25">
      <c r="A40443" t="str">
        <f>HYPERLINK("https://www.773grp.com/globalSearch/MC14067BDWR2/page-1", "MC14067BDWR2")</f>
        <v>MC14067BDWR2</v>
      </c>
      <c r="B40443" s="3" t="str">
        <f>HYPERLINK("https://www.773grp.com/manufacturer/onsemi?pageNo=1151", "ON Semiconductor")</f>
        <v>ON Semiconductor</v>
      </c>
      <c r="C40443" s="6">
        <v>2000</v>
      </c>
      <c r="D40443" s="7">
        <v>3.95</v>
      </c>
      <c r="E40443" t="s">
        <v>56</v>
      </c>
    </row>
    <row r="40444" spans="1:5" x14ac:dyDescent="0.25">
      <c r="A40444" t="str">
        <f>HYPERLINK("https://www.773grp.com/globalSearch/MC14067BDWR2G/page-1", "MC14067BDWR2G")</f>
        <v>MC14067BDWR2G</v>
      </c>
      <c r="B40444" s="3" t="str">
        <f>HYPERLINK("https://www.773grp.com/manufacturer/onsemi?pageNo=1152", "ON Semiconductor")</f>
        <v>ON Semiconductor</v>
      </c>
      <c r="C40444" s="6">
        <v>6000</v>
      </c>
      <c r="D40444" s="7">
        <v>3.95</v>
      </c>
      <c r="E40444" t="s">
        <v>56</v>
      </c>
    </row>
    <row r="40445" spans="1:5" x14ac:dyDescent="0.25">
      <c r="A40445" t="str">
        <f>HYPERLINK("https://www.773grp.com/globalSearch/MC642P/page-1", "MC642P")</f>
        <v>MC642P</v>
      </c>
      <c r="B40445" s="3" t="str">
        <f>HYPERLINK("https://www.773grp.com/manufacturer/onsemi?pageNo=1153", "ON Semiconductor")</f>
        <v>ON Semiconductor</v>
      </c>
      <c r="C40445" s="6">
        <v>2250</v>
      </c>
      <c r="D40445" s="7">
        <v>3.95</v>
      </c>
      <c r="E40445" t="s">
        <v>62</v>
      </c>
    </row>
    <row r="40446" spans="1:5" x14ac:dyDescent="0.25">
      <c r="A40446" t="str">
        <f>HYPERLINK("https://www.773grp.com/globalSearch/MC642P/page-1", "MC642P")</f>
        <v>MC642P</v>
      </c>
      <c r="B40446" s="3" t="str">
        <f>HYPERLINK("https://www.773grp.com/manufacturer/onsemi?pageNo=1154", "ON Semiconductor")</f>
        <v>ON Semiconductor</v>
      </c>
      <c r="C40446" s="6">
        <v>27800</v>
      </c>
      <c r="D40446" s="7">
        <v>3.95</v>
      </c>
      <c r="E40446" t="s">
        <v>62</v>
      </c>
    </row>
    <row r="40447" spans="1:5" x14ac:dyDescent="0.25">
      <c r="A40447" t="str">
        <f>HYPERLINK("https://www.773grp.com/globalSearch/MC74ACT646NG/page-1", "MC74ACT646NG")</f>
        <v>MC74ACT646NG</v>
      </c>
      <c r="B40447" s="3" t="str">
        <f>HYPERLINK("https://www.773grp.com/manufacturer/onsemi?pageNo=1155", "ON Semiconductor")</f>
        <v>ON Semiconductor</v>
      </c>
      <c r="C40447" s="6">
        <v>6440</v>
      </c>
      <c r="D40447" s="7">
        <v>3.95</v>
      </c>
      <c r="E40447" t="s">
        <v>14</v>
      </c>
    </row>
    <row r="40448" spans="1:5" x14ac:dyDescent="0.25">
      <c r="A40448" t="str">
        <f>HYPERLINK("https://www.773grp.com/globalSearch/MJ15011/page-1", "MJ15011")</f>
        <v>MJ15011</v>
      </c>
      <c r="B40448" s="3" t="str">
        <f>HYPERLINK("https://www.773grp.com/manufacturer/onsemi?pageNo=1156", "ON Semiconductor")</f>
        <v>ON Semiconductor</v>
      </c>
      <c r="C40448" s="6">
        <v>266</v>
      </c>
      <c r="D40448" s="7">
        <v>3.95</v>
      </c>
      <c r="E40448" t="s">
        <v>59</v>
      </c>
    </row>
    <row r="40449" spans="1:5" x14ac:dyDescent="0.25">
      <c r="A40449" t="str">
        <f>HYPERLINK("https://www.773grp.com/globalSearch/MJ15011G/page-1", "MJ15011G")</f>
        <v>MJ15011G</v>
      </c>
      <c r="B40449" s="3" t="str">
        <f>HYPERLINK("https://www.773grp.com/manufacturer/onsemi?pageNo=1157", "ON Semiconductor")</f>
        <v>ON Semiconductor</v>
      </c>
      <c r="C40449" s="6">
        <v>1335</v>
      </c>
      <c r="D40449" s="7">
        <v>3.95</v>
      </c>
      <c r="E40449" t="s">
        <v>59</v>
      </c>
    </row>
    <row r="40450" spans="1:5" x14ac:dyDescent="0.25">
      <c r="A40450" t="str">
        <f>HYPERLINK("https://www.773grp.com/globalSearch/MJE5850/page-1", "MJE5850")</f>
        <v>MJE5850</v>
      </c>
      <c r="B40450" s="3" t="str">
        <f>HYPERLINK("https://www.773grp.com/manufacturer/onsemi?pageNo=1158", "ON Semiconductor")</f>
        <v>ON Semiconductor</v>
      </c>
      <c r="C40450" s="6">
        <v>486</v>
      </c>
      <c r="D40450" s="7">
        <v>3.95</v>
      </c>
      <c r="E40450" t="s">
        <v>59</v>
      </c>
    </row>
    <row r="40451" spans="1:5" x14ac:dyDescent="0.25">
      <c r="A40451" t="str">
        <f>HYPERLINK("https://www.773grp.com/globalSearch/MJE5851/page-1", "MJE5851")</f>
        <v>MJE5851</v>
      </c>
      <c r="B40451" s="3" t="str">
        <f>HYPERLINK("https://www.773grp.com/manufacturer/onsemi?pageNo=1159", "ON Semiconductor")</f>
        <v>ON Semiconductor</v>
      </c>
      <c r="C40451" s="6">
        <v>50</v>
      </c>
      <c r="D40451" s="7">
        <v>3.95</v>
      </c>
      <c r="E40451" t="s">
        <v>59</v>
      </c>
    </row>
    <row r="40452" spans="1:5" x14ac:dyDescent="0.25">
      <c r="A40452" t="str">
        <f>HYPERLINK("https://www.773grp.com/globalSearch/MJW21195/page-1", "MJW21195")</f>
        <v>MJW21195</v>
      </c>
      <c r="B40452" s="3" t="str">
        <f>HYPERLINK("https://www.773grp.com/manufacturer/onsemi?pageNo=1160", "ON Semiconductor")</f>
        <v>ON Semiconductor</v>
      </c>
      <c r="C40452" s="6">
        <v>683</v>
      </c>
      <c r="D40452" s="7">
        <v>3.95</v>
      </c>
      <c r="E40452" t="s">
        <v>59</v>
      </c>
    </row>
    <row r="40453" spans="1:5" x14ac:dyDescent="0.25">
      <c r="A40453" t="str">
        <f>HYPERLINK("https://www.773grp.com/globalSearch/MURB1620CTRG/page-1", "MURB1620CTRG")</f>
        <v>MURB1620CTRG</v>
      </c>
      <c r="B40453" s="3" t="str">
        <f>HYPERLINK("https://www.773grp.com/manufacturer/onsemi?pageNo=1161", "ON Semiconductor")</f>
        <v>ON Semiconductor</v>
      </c>
      <c r="C40453" s="6">
        <v>730</v>
      </c>
      <c r="D40453" s="7">
        <v>3.95</v>
      </c>
      <c r="E40453" t="s">
        <v>103</v>
      </c>
    </row>
    <row r="40454" spans="1:5" x14ac:dyDescent="0.25">
      <c r="A40454" t="str">
        <f>HYPERLINK("https://www.773grp.com/globalSearch/MURB1620CTT4/page-1", "MURB1620CTT4")</f>
        <v>MURB1620CTT4</v>
      </c>
      <c r="B40454" s="3" t="str">
        <f>HYPERLINK("https://www.773grp.com/manufacturer/onsemi?pageNo=1162", "ON Semiconductor")</f>
        <v>ON Semiconductor</v>
      </c>
      <c r="C40454" s="6">
        <v>2400</v>
      </c>
      <c r="D40454" s="7">
        <v>3.95</v>
      </c>
    </row>
    <row r="40455" spans="1:5" x14ac:dyDescent="0.25">
      <c r="A40455" t="str">
        <f>HYPERLINK("https://www.773grp.com/globalSearch/MURB1620CTT4G/page-1", "MURB1620CTT4G")</f>
        <v>MURB1620CTT4G</v>
      </c>
      <c r="B40455" s="3" t="str">
        <f>HYPERLINK("https://www.773grp.com/manufacturer/onsemi?pageNo=1163", "ON Semiconductor")</f>
        <v>ON Semiconductor</v>
      </c>
      <c r="C40455" s="6">
        <v>4727</v>
      </c>
      <c r="D40455" s="7">
        <v>3.95</v>
      </c>
      <c r="E40455" t="s">
        <v>103</v>
      </c>
    </row>
    <row r="40456" spans="1:5" x14ac:dyDescent="0.25">
      <c r="A40456" t="str">
        <f>HYPERLINK("https://www.773grp.com/globalSearch/MURHB860CTG/page-1", "MURHB860CTG")</f>
        <v>MURHB860CTG</v>
      </c>
      <c r="B40456" s="3" t="str">
        <f>HYPERLINK("https://www.773grp.com/manufacturer/onsemi?pageNo=1164", "ON Semiconductor")</f>
        <v>ON Semiconductor</v>
      </c>
      <c r="C40456" s="6">
        <v>350</v>
      </c>
      <c r="D40456" s="7">
        <v>3.95</v>
      </c>
      <c r="E40456" t="s">
        <v>103</v>
      </c>
    </row>
    <row r="40457" spans="1:5" x14ac:dyDescent="0.25">
      <c r="A40457" t="str">
        <f>HYPERLINK("https://www.773grp.com/globalSearch/NCP1205P2G/page-1", "NCP1205P2G")</f>
        <v>NCP1205P2G</v>
      </c>
      <c r="B40457" s="3" t="str">
        <f>HYPERLINK("https://www.773grp.com/manufacturer/onsemi?pageNo=1165", "ON Semiconductor")</f>
        <v>ON Semiconductor</v>
      </c>
      <c r="C40457" s="6">
        <v>470</v>
      </c>
      <c r="D40457" s="7">
        <v>3.95</v>
      </c>
      <c r="E40457" t="s">
        <v>7</v>
      </c>
    </row>
    <row r="40458" spans="1:5" x14ac:dyDescent="0.25">
      <c r="A40458" t="str">
        <f>HYPERLINK("https://www.773grp.com/globalSearch/NCP1560HDR2G/page-1", "NCP1560HDR2G")</f>
        <v>NCP1560HDR2G</v>
      </c>
      <c r="B40458" s="3" t="str">
        <f>HYPERLINK("https://www.773grp.com/manufacturer/onsemi?pageNo=1166", "ON Semiconductor")</f>
        <v>ON Semiconductor</v>
      </c>
      <c r="C40458" s="6">
        <v>17500</v>
      </c>
      <c r="D40458" s="7">
        <v>3.95</v>
      </c>
      <c r="E40458" t="s">
        <v>7</v>
      </c>
    </row>
    <row r="40459" spans="1:5" x14ac:dyDescent="0.25">
      <c r="A40459" t="str">
        <f>HYPERLINK("https://www.773grp.com/globalSearch/NCP1652ADR2G/page-1", "NCP1652ADR2G")</f>
        <v>NCP1652ADR2G</v>
      </c>
      <c r="B40459" s="3" t="str">
        <f>HYPERLINK("https://www.773grp.com/manufacturer/onsemi?pageNo=1167", "ON Semiconductor")</f>
        <v>ON Semiconductor</v>
      </c>
      <c r="C40459" s="6">
        <v>22000</v>
      </c>
      <c r="D40459" s="7">
        <v>3.95</v>
      </c>
      <c r="E40459" t="s">
        <v>7</v>
      </c>
    </row>
    <row r="40460" spans="1:5" x14ac:dyDescent="0.25">
      <c r="A40460" t="str">
        <f>HYPERLINK("https://www.773grp.com/globalSearch/NCP1652DR2G/page-1", "NCP1652DR2G")</f>
        <v>NCP1652DR2G</v>
      </c>
      <c r="B40460" s="3" t="str">
        <f>HYPERLINK("https://www.773grp.com/manufacturer/onsemi?pageNo=1168", "ON Semiconductor")</f>
        <v>ON Semiconductor</v>
      </c>
      <c r="C40460" s="6">
        <v>62118</v>
      </c>
      <c r="D40460" s="7">
        <v>3.95</v>
      </c>
      <c r="E40460" t="s">
        <v>7</v>
      </c>
    </row>
    <row r="40461" spans="1:5" x14ac:dyDescent="0.25">
      <c r="A40461" t="str">
        <f>HYPERLINK("https://www.773grp.com/globalSearch/NCP1910A65DWR2G/page-1", "NCP1910A65DWR2G")</f>
        <v>NCP1910A65DWR2G</v>
      </c>
      <c r="B40461" s="3" t="str">
        <f>HYPERLINK("https://www.773grp.com/manufacturer/onsemi?pageNo=1169", "ON Semiconductor")</f>
        <v>ON Semiconductor</v>
      </c>
      <c r="C40461" s="6">
        <v>1000</v>
      </c>
      <c r="D40461" s="7">
        <v>3.95</v>
      </c>
    </row>
    <row r="40462" spans="1:5" x14ac:dyDescent="0.25">
      <c r="A40462" t="str">
        <f>HYPERLINK("https://www.773grp.com/globalSearch/NCP4632BDT08T5G/page-1", "NCP4632BDT08T5G")</f>
        <v>NCP4632BDT08T5G</v>
      </c>
      <c r="B40462" s="3" t="str">
        <f>HYPERLINK("https://www.773grp.com/manufacturer/onsemi?pageNo=1170", "ON Semiconductor")</f>
        <v>ON Semiconductor</v>
      </c>
      <c r="C40462" s="6">
        <v>6000</v>
      </c>
      <c r="D40462" s="7">
        <v>3.95</v>
      </c>
    </row>
    <row r="40463" spans="1:5" x14ac:dyDescent="0.25">
      <c r="A40463" t="str">
        <f>HYPERLINK("https://www.773grp.com/globalSearch/NCP4632DDT08T5G/page-1", "NCP4632DDT08T5G")</f>
        <v>NCP4632DDT08T5G</v>
      </c>
      <c r="B40463" s="3" t="str">
        <f>HYPERLINK("https://www.773grp.com/manufacturer/onsemi?pageNo=1171", "ON Semiconductor")</f>
        <v>ON Semiconductor</v>
      </c>
      <c r="C40463" s="6">
        <v>3000</v>
      </c>
      <c r="D40463" s="7">
        <v>3.95</v>
      </c>
    </row>
    <row r="40464" spans="1:5" x14ac:dyDescent="0.25">
      <c r="A40464" t="str">
        <f>HYPERLINK("https://www.773grp.com/globalSearch/NCP4632DDT15T5G/page-1", "NCP4632DDT15T5G")</f>
        <v>NCP4632DDT15T5G</v>
      </c>
      <c r="B40464" s="3" t="str">
        <f>HYPERLINK("https://www.773grp.com/manufacturer/onsemi?pageNo=1172", "ON Semiconductor")</f>
        <v>ON Semiconductor</v>
      </c>
      <c r="C40464" s="6">
        <v>5999</v>
      </c>
      <c r="D40464" s="7">
        <v>3.95</v>
      </c>
    </row>
    <row r="40465" spans="1:5" x14ac:dyDescent="0.25">
      <c r="A40465" t="str">
        <f>HYPERLINK("https://www.773grp.com/globalSearch/NCP4632DDT28T5G/page-1", "NCP4632DDT28T5G")</f>
        <v>NCP4632DDT28T5G</v>
      </c>
      <c r="B40465" s="3" t="str">
        <f>HYPERLINK("https://www.773grp.com/manufacturer/onsemi?pageNo=1173", "ON Semiconductor")</f>
        <v>ON Semiconductor</v>
      </c>
      <c r="C40465" s="6">
        <v>3000</v>
      </c>
      <c r="D40465" s="7">
        <v>3.95</v>
      </c>
    </row>
    <row r="40466" spans="1:5" x14ac:dyDescent="0.25">
      <c r="A40466" t="str">
        <f>HYPERLINK("https://www.773grp.com/globalSearch/NCP4632DDT33T5G/page-1", "NCP4632DDT33T5G")</f>
        <v>NCP4632DDT33T5G</v>
      </c>
      <c r="B40466" s="3" t="str">
        <f>HYPERLINK("https://www.773grp.com/manufacturer/onsemi?pageNo=1174", "ON Semiconductor")</f>
        <v>ON Semiconductor</v>
      </c>
      <c r="C40466" s="6">
        <v>5995</v>
      </c>
      <c r="D40466" s="7">
        <v>3.95</v>
      </c>
    </row>
    <row r="40467" spans="1:5" x14ac:dyDescent="0.25">
      <c r="A40467" t="str">
        <f>HYPERLINK("https://www.773grp.com/globalSearch/NCP5318FTR2G/page-1", "NCP5318FTR2G")</f>
        <v>NCP5318FTR2G</v>
      </c>
      <c r="B40467" s="3" t="str">
        <f>HYPERLINK("https://www.773grp.com/manufacturer/onsemi?pageNo=1175", "ON Semiconductor")</f>
        <v>ON Semiconductor</v>
      </c>
      <c r="C40467" s="6">
        <v>32000</v>
      </c>
      <c r="D40467" s="7">
        <v>3.95</v>
      </c>
      <c r="E40467" t="s">
        <v>7</v>
      </c>
    </row>
    <row r="40468" spans="1:5" x14ac:dyDescent="0.25">
      <c r="A40468" t="str">
        <f>HYPERLINK("https://www.773grp.com/globalSearch/NCP5391MNR2G/page-1", "NCP5391MNR2G")</f>
        <v>NCP5391MNR2G</v>
      </c>
      <c r="B40468" s="3" t="str">
        <f>HYPERLINK("https://www.773grp.com/manufacturer/onsemi?pageNo=1176", "ON Semiconductor")</f>
        <v>ON Semiconductor</v>
      </c>
      <c r="C40468" s="6">
        <v>32559</v>
      </c>
      <c r="D40468" s="7">
        <v>3.95</v>
      </c>
    </row>
    <row r="40469" spans="1:5" x14ac:dyDescent="0.25">
      <c r="A40469" t="str">
        <f>HYPERLINK("https://www.773grp.com/globalSearch/NCS2502DR2G/page-1", "NCS2502DR2G")</f>
        <v>NCS2502DR2G</v>
      </c>
      <c r="B40469" s="3" t="str">
        <f>HYPERLINK("https://www.773grp.com/manufacturer/onsemi?pageNo=1177", "ON Semiconductor")</f>
        <v>ON Semiconductor</v>
      </c>
      <c r="C40469" s="6">
        <v>4962</v>
      </c>
      <c r="D40469" s="7">
        <v>3.95</v>
      </c>
      <c r="E40469" t="s">
        <v>18</v>
      </c>
    </row>
    <row r="40470" spans="1:5" x14ac:dyDescent="0.25">
      <c r="A40470" t="str">
        <f>HYPERLINK("https://www.773grp.com/globalSearch/NCS2502SNT1G/page-1", "NCS2502SNT1G")</f>
        <v>NCS2502SNT1G</v>
      </c>
      <c r="B40470" s="3" t="str">
        <f>HYPERLINK("https://www.773grp.com/manufacturer/onsemi?pageNo=1178", "ON Semiconductor")</f>
        <v>ON Semiconductor</v>
      </c>
      <c r="C40470" s="6">
        <v>5965</v>
      </c>
      <c r="D40470" s="7">
        <v>3.95</v>
      </c>
      <c r="E40470" t="s">
        <v>18</v>
      </c>
    </row>
    <row r="40471" spans="1:5" x14ac:dyDescent="0.25">
      <c r="A40471" t="str">
        <f>HYPERLINK("https://www.773grp.com/globalSearch/NCV4275DSG/page-1", "NCV4275DSG")</f>
        <v>NCV4275DSG</v>
      </c>
      <c r="B40471" s="3" t="str">
        <f>HYPERLINK("https://www.773grp.com/manufacturer/onsemi?pageNo=1179", "ON Semiconductor")</f>
        <v>ON Semiconductor</v>
      </c>
      <c r="C40471" s="6">
        <v>3000</v>
      </c>
      <c r="D40471" s="7">
        <v>3.95</v>
      </c>
    </row>
    <row r="40472" spans="1:5" x14ac:dyDescent="0.25">
      <c r="A40472" t="str">
        <f>HYPERLINK("https://www.773grp.com/globalSearch/NCV59151DS18R4G/page-1", "NCV59151DS18R4G")</f>
        <v>NCV59151DS18R4G</v>
      </c>
      <c r="B40472" s="3" t="str">
        <f>HYPERLINK("https://www.773grp.com/manufacturer/onsemi?pageNo=1180", "ON Semiconductor")</f>
        <v>ON Semiconductor</v>
      </c>
      <c r="C40472" s="6">
        <v>800</v>
      </c>
      <c r="D40472" s="7">
        <v>3.95</v>
      </c>
    </row>
    <row r="40473" spans="1:5" x14ac:dyDescent="0.25">
      <c r="A40473" t="str">
        <f>HYPERLINK("https://www.773grp.com/globalSearch/NCV59151DS25R4G/page-1", "NCV59151DS25R4G")</f>
        <v>NCV59151DS25R4G</v>
      </c>
      <c r="B40473" s="3" t="str">
        <f>HYPERLINK("https://www.773grp.com/manufacturer/onsemi?pageNo=1181", "ON Semiconductor")</f>
        <v>ON Semiconductor</v>
      </c>
      <c r="C40473" s="6">
        <v>800</v>
      </c>
      <c r="D40473" s="7">
        <v>3.95</v>
      </c>
    </row>
    <row r="40474" spans="1:5" x14ac:dyDescent="0.25">
      <c r="A40474" t="str">
        <f>HYPERLINK("https://www.773grp.com/globalSearch/NCV59151DS28R4G/page-1", "NCV59151DS28R4G")</f>
        <v>NCV59151DS28R4G</v>
      </c>
      <c r="B40474" s="3" t="str">
        <f>HYPERLINK("https://www.773grp.com/manufacturer/onsemi?pageNo=1182", "ON Semiconductor")</f>
        <v>ON Semiconductor</v>
      </c>
      <c r="C40474" s="6">
        <v>800</v>
      </c>
      <c r="D40474" s="7">
        <v>3.95</v>
      </c>
    </row>
    <row r="40475" spans="1:5" x14ac:dyDescent="0.25">
      <c r="A40475" t="str">
        <f>HYPERLINK("https://www.773grp.com/globalSearch/NCV59151DS30R4G/page-1", "NCV59151DS30R4G")</f>
        <v>NCV59151DS30R4G</v>
      </c>
      <c r="B40475" s="3" t="str">
        <f>HYPERLINK("https://www.773grp.com/manufacturer/onsemi?pageNo=1183", "ON Semiconductor")</f>
        <v>ON Semiconductor</v>
      </c>
      <c r="C40475" s="6">
        <v>800</v>
      </c>
      <c r="D40475" s="7">
        <v>3.95</v>
      </c>
    </row>
    <row r="40476" spans="1:5" x14ac:dyDescent="0.25">
      <c r="A40476" t="str">
        <f>HYPERLINK("https://www.773grp.com/globalSearch/NCV59151DS33R4G/page-1", "NCV59151DS33R4G")</f>
        <v>NCV59151DS33R4G</v>
      </c>
      <c r="B40476" s="3" t="str">
        <f>HYPERLINK("https://www.773grp.com/manufacturer/onsemi?pageNo=1184", "ON Semiconductor")</f>
        <v>ON Semiconductor</v>
      </c>
      <c r="C40476" s="6">
        <v>800</v>
      </c>
      <c r="D40476" s="7">
        <v>3.95</v>
      </c>
    </row>
    <row r="40477" spans="1:5" x14ac:dyDescent="0.25">
      <c r="A40477" t="str">
        <f>HYPERLINK("https://www.773grp.com/globalSearch/NCV59152DSADJR4G/page-1", "NCV59152DSADJR4G")</f>
        <v>NCV59152DSADJR4G</v>
      </c>
      <c r="B40477" s="3" t="str">
        <f>HYPERLINK("https://www.773grp.com/manufacturer/onsemi?pageNo=1185", "ON Semiconductor")</f>
        <v>ON Semiconductor</v>
      </c>
      <c r="C40477" s="6">
        <v>1600</v>
      </c>
      <c r="D40477" s="7">
        <v>3.95</v>
      </c>
    </row>
    <row r="40478" spans="1:5" x14ac:dyDescent="0.25">
      <c r="A40478" t="str">
        <f>HYPERLINK("https://www.773grp.com/globalSearch/NCV8518BPDR2G/page-1", "NCV8518BPDR2G")</f>
        <v>NCV8518BPDR2G</v>
      </c>
      <c r="B40478" s="3" t="str">
        <f>HYPERLINK("https://www.773grp.com/manufacturer/onsemi?pageNo=1186", "ON Semiconductor")</f>
        <v>ON Semiconductor</v>
      </c>
      <c r="C40478" s="6">
        <v>6877</v>
      </c>
      <c r="D40478" s="7">
        <v>3.95</v>
      </c>
    </row>
    <row r="40479" spans="1:5" x14ac:dyDescent="0.25">
      <c r="A40479" t="str">
        <f>HYPERLINK("https://www.773grp.com/globalSearch/NGB8202ANT4G/page-1", "NGB8202ANT4G")</f>
        <v>NGB8202ANT4G</v>
      </c>
      <c r="B40479" s="3" t="str">
        <f>HYPERLINK("https://www.773grp.com/manufacturer/onsemi?pageNo=1187", "ON Semiconductor")</f>
        <v>ON Semiconductor</v>
      </c>
      <c r="C40479" s="6">
        <v>96800</v>
      </c>
      <c r="D40479" s="7">
        <v>3.95</v>
      </c>
    </row>
    <row r="40480" spans="1:5" x14ac:dyDescent="0.25">
      <c r="A40480" t="str">
        <f>HYPERLINK("https://www.773grp.com/globalSearch/NLAS3799BLMNR2G/page-1", "NLAS3799BLMNR2G")</f>
        <v>NLAS3799BLMNR2G</v>
      </c>
      <c r="B40480" s="3" t="str">
        <f>HYPERLINK("https://www.773grp.com/manufacturer/onsemi?pageNo=1188", "ON Semiconductor")</f>
        <v>ON Semiconductor</v>
      </c>
      <c r="C40480" s="6">
        <v>12695</v>
      </c>
      <c r="D40480" s="7">
        <v>3.95</v>
      </c>
      <c r="E40480" t="s">
        <v>56</v>
      </c>
    </row>
    <row r="40481" spans="1:5" x14ac:dyDescent="0.25">
      <c r="A40481" t="str">
        <f>HYPERLINK("https://www.773grp.com/globalSearch/NLAS3799BMNR2G/page-1", "NLAS3799BMNR2G")</f>
        <v>NLAS3799BMNR2G</v>
      </c>
      <c r="B40481" s="3" t="str">
        <f>HYPERLINK("https://www.773grp.com/manufacturer/onsemi?pageNo=1189", "ON Semiconductor")</f>
        <v>ON Semiconductor</v>
      </c>
      <c r="C40481" s="6">
        <v>24058</v>
      </c>
      <c r="D40481" s="7">
        <v>3.95</v>
      </c>
      <c r="E40481" t="s">
        <v>56</v>
      </c>
    </row>
    <row r="40482" spans="1:5" x14ac:dyDescent="0.25">
      <c r="A40482" t="str">
        <f>HYPERLINK("https://www.773grp.com/globalSearch/NLAS3799LMNR2G/page-1", "NLAS3799LMNR2G")</f>
        <v>NLAS3799LMNR2G</v>
      </c>
      <c r="B40482" s="3" t="str">
        <f>HYPERLINK("https://www.773grp.com/manufacturer/onsemi?pageNo=1190", "ON Semiconductor")</f>
        <v>ON Semiconductor</v>
      </c>
      <c r="C40482" s="6">
        <v>227131</v>
      </c>
      <c r="D40482" s="7">
        <v>3.95</v>
      </c>
      <c r="E40482" t="s">
        <v>56</v>
      </c>
    </row>
    <row r="40483" spans="1:5" x14ac:dyDescent="0.25">
      <c r="A40483" t="str">
        <f>HYPERLINK("https://www.773grp.com/globalSearch/NLAS3799MNR2G/page-1", "NLAS3799MNR2G")</f>
        <v>NLAS3799MNR2G</v>
      </c>
      <c r="B40483" s="3" t="str">
        <f>HYPERLINK("https://www.773grp.com/manufacturer/onsemi?pageNo=1191", "ON Semiconductor")</f>
        <v>ON Semiconductor</v>
      </c>
      <c r="C40483" s="6">
        <v>253866</v>
      </c>
      <c r="D40483" s="7">
        <v>3.95</v>
      </c>
      <c r="E40483" t="s">
        <v>56</v>
      </c>
    </row>
    <row r="40484" spans="1:5" x14ac:dyDescent="0.25">
      <c r="A40484" t="str">
        <f>HYPERLINK("https://www.773grp.com/globalSearch/NLSX3014MUTAG/page-1", "NLSX3014MUTAG")</f>
        <v>NLSX3014MUTAG</v>
      </c>
      <c r="B40484" s="3" t="str">
        <f>HYPERLINK("https://www.773grp.com/manufacturer/onsemi?pageNo=1192", "ON Semiconductor")</f>
        <v>ON Semiconductor</v>
      </c>
      <c r="C40484" s="6">
        <v>83080</v>
      </c>
      <c r="D40484" s="7">
        <v>3.95</v>
      </c>
      <c r="E40484" t="s">
        <v>14</v>
      </c>
    </row>
    <row r="40485" spans="1:5" x14ac:dyDescent="0.25">
      <c r="A40485" t="str">
        <f>HYPERLINK("https://www.773grp.com/globalSearch/NUP4106DR2G/page-1", "NUP4106DR2G")</f>
        <v>NUP4106DR2G</v>
      </c>
      <c r="B40485" s="3" t="str">
        <f>HYPERLINK("https://www.773grp.com/manufacturer/onsemi?pageNo=1193", "ON Semiconductor")</f>
        <v>ON Semiconductor</v>
      </c>
      <c r="C40485" s="6">
        <v>25000</v>
      </c>
      <c r="D40485" s="7">
        <v>3.95</v>
      </c>
      <c r="E40485" t="s">
        <v>96</v>
      </c>
    </row>
    <row r="40486" spans="1:5" x14ac:dyDescent="0.25">
      <c r="A40486" t="str">
        <f>HYPERLINK("https://www.773grp.com/globalSearch/TCM2574VOE/page-1", "TCM2574VOE")</f>
        <v>TCM2574VOE</v>
      </c>
      <c r="B40486" s="3" t="str">
        <f>HYPERLINK("https://www.773grp.com/manufacturer/onsemi?pageNo=1194", "ON Semiconductor")</f>
        <v>ON Semiconductor</v>
      </c>
      <c r="C40486" s="6">
        <v>19000</v>
      </c>
      <c r="D40486" s="7">
        <v>3.95</v>
      </c>
    </row>
    <row r="40487" spans="1:5" x14ac:dyDescent="0.25">
      <c r="A40487" t="str">
        <f>HYPERLINK("https://www.773grp.com/globalSearch/TCM2574VPA/page-1", "TCM2574VPA")</f>
        <v>TCM2574VPA</v>
      </c>
      <c r="B40487" s="3" t="str">
        <f>HYPERLINK("https://www.773grp.com/manufacturer/onsemi?pageNo=1195", "ON Semiconductor")</f>
        <v>ON Semiconductor</v>
      </c>
      <c r="C40487" s="6">
        <v>5953</v>
      </c>
      <c r="D40487" s="7">
        <v>3.95</v>
      </c>
    </row>
    <row r="40488" spans="1:5" x14ac:dyDescent="0.25">
      <c r="A40488" t="str">
        <f>HYPERLINK("https://www.773grp.com/globalSearch/TE02549/page-1", "TE02549")</f>
        <v>TE02549</v>
      </c>
      <c r="B40488" s="3" t="str">
        <f>HYPERLINK("https://www.773grp.com/manufacturer/onsemi?pageNo=1196", "ON Semiconductor")</f>
        <v>ON Semiconductor</v>
      </c>
      <c r="C40488" s="6">
        <v>12020</v>
      </c>
      <c r="D40488" s="7">
        <v>3.95</v>
      </c>
    </row>
    <row r="40489" spans="1:5" x14ac:dyDescent="0.25">
      <c r="A40489" t="str">
        <f>HYPERLINK("https://www.773grp.com/globalSearch/MBRB4030T4G/page-1", "MBRB4030T4G")</f>
        <v>MBRB4030T4G</v>
      </c>
      <c r="B40489" s="3" t="str">
        <f>HYPERLINK("https://www.773grp.com/manufacturer/onsemi?pageNo=1197", "ON Semiconductor")</f>
        <v>ON Semiconductor</v>
      </c>
      <c r="C40489" s="6">
        <v>12832</v>
      </c>
      <c r="D40489" s="7">
        <v>3.6</v>
      </c>
      <c r="E40489" t="s">
        <v>103</v>
      </c>
    </row>
    <row r="40490" spans="1:5" x14ac:dyDescent="0.25">
      <c r="A40490" t="str">
        <f>HYPERLINK("https://www.773grp.com/globalSearch/SJ81200/page-1", "SJ81200")</f>
        <v>SJ81200</v>
      </c>
      <c r="B40490" s="3" t="str">
        <f>HYPERLINK("https://www.773grp.com/manufacturer/onsemi?pageNo=1198", "ON Semiconductor")</f>
        <v>ON Semiconductor</v>
      </c>
      <c r="C40490" s="6">
        <v>8217</v>
      </c>
      <c r="D40490" s="7">
        <v>3.6</v>
      </c>
    </row>
    <row r="40491" spans="1:5" x14ac:dyDescent="0.25">
      <c r="A40491" t="str">
        <f>HYPERLINK("https://www.773grp.com/globalSearch/CAT5132ZI-10-GT3/page-1", "CAT5132ZI-10-GT3")</f>
        <v>CAT5132ZI-10-GT3</v>
      </c>
      <c r="B40491" s="3" t="str">
        <f>HYPERLINK("https://www.773grp.com/manufacturer/onsemi?pageNo=1199", "ON Semiconductor")</f>
        <v>ON Semiconductor</v>
      </c>
      <c r="C40491" s="6">
        <v>2514</v>
      </c>
      <c r="D40491" s="7">
        <v>3.63</v>
      </c>
    </row>
    <row r="40492" spans="1:5" x14ac:dyDescent="0.25">
      <c r="A40492" t="str">
        <f>HYPERLINK("https://www.773grp.com/globalSearch/LM2575D2T-012G/page-1", "LM2575D2T-012G")</f>
        <v>LM2575D2T-012G</v>
      </c>
      <c r="B40492" s="3" t="str">
        <f>HYPERLINK("https://www.773grp.com/manufacturer/onsemi?pageNo=1200", "ON Semiconductor")</f>
        <v>ON Semiconductor</v>
      </c>
      <c r="C40492" s="6">
        <v>10663</v>
      </c>
      <c r="D40492" s="7">
        <v>3.63</v>
      </c>
      <c r="E40492" t="s">
        <v>7</v>
      </c>
    </row>
    <row r="40493" spans="1:5" x14ac:dyDescent="0.25">
      <c r="A40493" t="str">
        <f>HYPERLINK("https://www.773grp.com/globalSearch/LM2575D2T-015G/page-1", "LM2575D2T-015G")</f>
        <v>LM2575D2T-015G</v>
      </c>
      <c r="B40493" s="3" t="str">
        <f>HYPERLINK("https://www.773grp.com/manufacturer/onsemi?pageNo=1201", "ON Semiconductor")</f>
        <v>ON Semiconductor</v>
      </c>
      <c r="C40493" s="6">
        <v>1800</v>
      </c>
      <c r="D40493" s="7">
        <v>3.63</v>
      </c>
      <c r="E40493" t="s">
        <v>7</v>
      </c>
    </row>
    <row r="40494" spans="1:5" x14ac:dyDescent="0.25">
      <c r="A40494" t="str">
        <f>HYPERLINK("https://www.773grp.com/globalSearch/LM2575D2T-12R4/page-1", "LM2575D2T-12R4")</f>
        <v>LM2575D2T-12R4</v>
      </c>
      <c r="B40494" s="3" t="str">
        <f>HYPERLINK("https://www.773grp.com/manufacturer/onsemi?pageNo=1202", "ON Semiconductor")</f>
        <v>ON Semiconductor</v>
      </c>
      <c r="C40494" s="6">
        <v>800</v>
      </c>
      <c r="D40494" s="7">
        <v>3.63</v>
      </c>
      <c r="E40494" t="s">
        <v>7</v>
      </c>
    </row>
    <row r="40495" spans="1:5" x14ac:dyDescent="0.25">
      <c r="A40495" t="str">
        <f>HYPERLINK("https://www.773grp.com/globalSearch/LM2575D2T-12R4G/page-1", "LM2575D2T-12R4G")</f>
        <v>LM2575D2T-12R4G</v>
      </c>
      <c r="B40495" s="3" t="str">
        <f>HYPERLINK("https://www.773grp.com/manufacturer/onsemi?pageNo=1203", "ON Semiconductor")</f>
        <v>ON Semiconductor</v>
      </c>
      <c r="C40495" s="6">
        <v>2400</v>
      </c>
      <c r="D40495" s="7">
        <v>3.63</v>
      </c>
      <c r="E40495" t="s">
        <v>7</v>
      </c>
    </row>
    <row r="40496" spans="1:5" x14ac:dyDescent="0.25">
      <c r="A40496" t="str">
        <f>HYPERLINK("https://www.773grp.com/globalSearch/LM2575D2T-3.3G/page-1", "LM2575D2T-3.3G")</f>
        <v>LM2575D2T-3.3G</v>
      </c>
      <c r="B40496" s="3" t="str">
        <f>HYPERLINK("https://www.773grp.com/manufacturer/onsemi?pageNo=1204", "ON Semiconductor")</f>
        <v>ON Semiconductor</v>
      </c>
      <c r="C40496" s="6">
        <v>320</v>
      </c>
      <c r="D40496" s="7">
        <v>3.63</v>
      </c>
    </row>
    <row r="40497" spans="1:5" x14ac:dyDescent="0.25">
      <c r="A40497" t="str">
        <f>HYPERLINK("https://www.773grp.com/globalSearch/LM2575D2T-3.3R4G/page-1", "LM2575D2T-3.3R4G")</f>
        <v>LM2575D2T-3.3R4G</v>
      </c>
      <c r="B40497" s="3" t="str">
        <f>HYPERLINK("https://www.773grp.com/manufacturer/onsemi?pageNo=1205", "ON Semiconductor")</f>
        <v>ON Semiconductor</v>
      </c>
      <c r="C40497" s="6">
        <v>8626</v>
      </c>
      <c r="D40497" s="7">
        <v>3.63</v>
      </c>
      <c r="E40497" t="s">
        <v>7</v>
      </c>
    </row>
    <row r="40498" spans="1:5" x14ac:dyDescent="0.25">
      <c r="A40498" t="str">
        <f>HYPERLINK("https://www.773grp.com/globalSearch/LM2575D2T-5G/page-1", "LM2575D2T-5G")</f>
        <v>LM2575D2T-5G</v>
      </c>
      <c r="B40498" s="3" t="str">
        <f>HYPERLINK("https://www.773grp.com/manufacturer/onsemi?pageNo=1206", "ON Semiconductor")</f>
        <v>ON Semiconductor</v>
      </c>
      <c r="C40498" s="6">
        <v>6000</v>
      </c>
      <c r="D40498" s="7">
        <v>3.63</v>
      </c>
      <c r="E40498" t="s">
        <v>7</v>
      </c>
    </row>
    <row r="40499" spans="1:5" x14ac:dyDescent="0.25">
      <c r="A40499" t="str">
        <f>HYPERLINK("https://www.773grp.com/globalSearch/LM2575D2T-5R4G/page-1", "LM2575D2T-5R4G")</f>
        <v>LM2575D2T-5R4G</v>
      </c>
      <c r="B40499" s="3" t="str">
        <f>HYPERLINK("https://www.773grp.com/manufacturer/onsemi?pageNo=1207", "ON Semiconductor")</f>
        <v>ON Semiconductor</v>
      </c>
      <c r="C40499" s="6">
        <v>7051</v>
      </c>
      <c r="D40499" s="7">
        <v>3.63</v>
      </c>
    </row>
    <row r="40500" spans="1:5" x14ac:dyDescent="0.25">
      <c r="A40500" t="str">
        <f>HYPERLINK("https://www.773grp.com/globalSearch/LM2575D2T-ADJG/page-1", "LM2575D2T-ADJG")</f>
        <v>LM2575D2T-ADJG</v>
      </c>
      <c r="B40500" s="3" t="str">
        <f>HYPERLINK("https://www.773grp.com/manufacturer/onsemi?pageNo=1208", "ON Semiconductor")</f>
        <v>ON Semiconductor</v>
      </c>
      <c r="C40500" s="6">
        <v>14050</v>
      </c>
      <c r="D40500" s="7">
        <v>3.63</v>
      </c>
      <c r="E40500" t="s">
        <v>7</v>
      </c>
    </row>
    <row r="40501" spans="1:5" x14ac:dyDescent="0.25">
      <c r="A40501" t="str">
        <f>HYPERLINK("https://www.773grp.com/globalSearch/LM2575D2T-ADJR4G/page-1", "LM2575D2T-ADJR4G")</f>
        <v>LM2575D2T-ADJR4G</v>
      </c>
      <c r="B40501" s="3" t="str">
        <f>HYPERLINK("https://www.773grp.com/manufacturer/onsemi?pageNo=1209", "ON Semiconductor")</f>
        <v>ON Semiconductor</v>
      </c>
      <c r="C40501" s="6">
        <v>86341</v>
      </c>
      <c r="D40501" s="7">
        <v>3.63</v>
      </c>
      <c r="E40501" t="s">
        <v>7</v>
      </c>
    </row>
    <row r="40502" spans="1:5" x14ac:dyDescent="0.25">
      <c r="A40502" t="str">
        <f>HYPERLINK("https://www.773grp.com/globalSearch/NCN6000DTBR2G/page-1", "NCN6000DTBR2G")</f>
        <v>NCN6000DTBR2G</v>
      </c>
      <c r="B40502" s="3" t="str">
        <f>HYPERLINK("https://www.773grp.com/manufacturer/onsemi?pageNo=1210", "ON Semiconductor")</f>
        <v>ON Semiconductor</v>
      </c>
      <c r="C40502" s="6">
        <v>9087</v>
      </c>
      <c r="D40502" s="7">
        <v>3.63</v>
      </c>
      <c r="E40502" t="s">
        <v>23</v>
      </c>
    </row>
    <row r="40503" spans="1:5" x14ac:dyDescent="0.25">
      <c r="A40503" t="str">
        <f>HYPERLINK("https://www.773grp.com/globalSearch/NTB35N15T4G/page-1", "NTB35N15T4G")</f>
        <v>NTB35N15T4G</v>
      </c>
      <c r="B40503" s="3" t="str">
        <f>HYPERLINK("https://www.773grp.com/manufacturer/onsemi?pageNo=1211", "ON Semiconductor")</f>
        <v>ON Semiconductor</v>
      </c>
      <c r="C40503" s="6">
        <v>4101</v>
      </c>
      <c r="D40503" s="7">
        <v>3.63</v>
      </c>
      <c r="E40503" t="s">
        <v>105</v>
      </c>
    </row>
    <row r="40504" spans="1:5" x14ac:dyDescent="0.25">
      <c r="A40504" t="str">
        <f>HYPERLINK("https://www.773grp.com/globalSearch/2N3055G/page-1", "2N3055G")</f>
        <v>2N3055G</v>
      </c>
      <c r="B40504" s="3" t="str">
        <f>HYPERLINK("https://www.773grp.com/manufacturer/onsemi?pageNo=1212", "ON Semiconductor")</f>
        <v>ON Semiconductor</v>
      </c>
      <c r="C40504" s="6">
        <v>36</v>
      </c>
      <c r="D40504" s="7">
        <v>4.01</v>
      </c>
    </row>
    <row r="40505" spans="1:5" x14ac:dyDescent="0.25">
      <c r="A40505" t="str">
        <f>HYPERLINK("https://www.773grp.com/globalSearch/BDV65BG/page-1", "BDV65BG")</f>
        <v>BDV65BG</v>
      </c>
      <c r="B40505" s="3" t="str">
        <f>HYPERLINK("https://www.773grp.com/manufacturer/onsemi?pageNo=1213", "ON Semiconductor")</f>
        <v>ON Semiconductor</v>
      </c>
      <c r="C40505" s="6">
        <v>487</v>
      </c>
      <c r="D40505" s="7">
        <v>4.01</v>
      </c>
      <c r="E40505" t="s">
        <v>59</v>
      </c>
    </row>
    <row r="40506" spans="1:5" x14ac:dyDescent="0.25">
      <c r="A40506" t="str">
        <f>HYPERLINK("https://www.773grp.com/globalSearch/CS5207-3GDP3/page-1", "CS5207-3GDP3")</f>
        <v>CS5207-3GDP3</v>
      </c>
      <c r="B40506" s="3" t="str">
        <f>HYPERLINK("https://www.773grp.com/manufacturer/onsemi?pageNo=1214", "ON Semiconductor")</f>
        <v>ON Semiconductor</v>
      </c>
      <c r="C40506" s="6">
        <v>700</v>
      </c>
      <c r="D40506" s="7">
        <v>4.01</v>
      </c>
      <c r="E40506" t="s">
        <v>19</v>
      </c>
    </row>
    <row r="40507" spans="1:5" x14ac:dyDescent="0.25">
      <c r="A40507" t="str">
        <f>HYPERLINK("https://www.773grp.com/globalSearch/CS5207-3GDPR3/page-1", "CS5207-3GDPR3")</f>
        <v>CS5207-3GDPR3</v>
      </c>
      <c r="B40507" s="3" t="str">
        <f>HYPERLINK("https://www.773grp.com/manufacturer/onsemi?pageNo=1215", "ON Semiconductor")</f>
        <v>ON Semiconductor</v>
      </c>
      <c r="C40507" s="6">
        <v>746</v>
      </c>
      <c r="D40507" s="7">
        <v>4.01</v>
      </c>
      <c r="E40507" t="s">
        <v>19</v>
      </c>
    </row>
    <row r="40508" spans="1:5" x14ac:dyDescent="0.25">
      <c r="A40508" t="str">
        <f>HYPERLINK("https://www.773grp.com/globalSearch/CS5207A-1GT3/page-1", "CS5207A-1GT3")</f>
        <v>CS5207A-1GT3</v>
      </c>
      <c r="B40508" s="3" t="str">
        <f>HYPERLINK("https://www.773grp.com/manufacturer/onsemi?pageNo=1216", "ON Semiconductor")</f>
        <v>ON Semiconductor</v>
      </c>
      <c r="C40508" s="6">
        <v>50</v>
      </c>
      <c r="D40508" s="7">
        <v>4.01</v>
      </c>
      <c r="E40508" t="s">
        <v>25</v>
      </c>
    </row>
    <row r="40509" spans="1:5" x14ac:dyDescent="0.25">
      <c r="A40509" t="str">
        <f>HYPERLINK("https://www.773grp.com/globalSearch/CS5208-1GT3/page-1", "CS5208-1GT3")</f>
        <v>CS5208-1GT3</v>
      </c>
      <c r="B40509" s="3" t="str">
        <f>HYPERLINK("https://www.773grp.com/manufacturer/onsemi?pageNo=1217", "ON Semiconductor")</f>
        <v>ON Semiconductor</v>
      </c>
      <c r="C40509" s="6">
        <v>900</v>
      </c>
      <c r="D40509" s="7">
        <v>4.01</v>
      </c>
      <c r="E40509" t="s">
        <v>25</v>
      </c>
    </row>
    <row r="40510" spans="1:5" x14ac:dyDescent="0.25">
      <c r="A40510" t="str">
        <f>HYPERLINK("https://www.773grp.com/globalSearch/CS8311YD8/page-1", "CS8311YD8")</f>
        <v>CS8311YD8</v>
      </c>
      <c r="B40510" s="3" t="str">
        <f>HYPERLINK("https://www.773grp.com/manufacturer/onsemi?pageNo=1218", "ON Semiconductor")</f>
        <v>ON Semiconductor</v>
      </c>
      <c r="C40510" s="6">
        <v>6762</v>
      </c>
      <c r="D40510" s="7">
        <v>4.01</v>
      </c>
      <c r="E40510" t="s">
        <v>19</v>
      </c>
    </row>
    <row r="40511" spans="1:5" x14ac:dyDescent="0.25">
      <c r="A40511" t="str">
        <f>HYPERLINK("https://www.773grp.com/globalSearch/LA42105-E/page-1", "LA42105-E")</f>
        <v>LA42105-E</v>
      </c>
      <c r="B40511" s="3" t="str">
        <f>HYPERLINK("https://www.773grp.com/manufacturer/onsemi?pageNo=1219", "ON Semiconductor")</f>
        <v>ON Semiconductor</v>
      </c>
      <c r="C40511" s="6">
        <v>2860</v>
      </c>
      <c r="D40511" s="7">
        <v>4.01</v>
      </c>
    </row>
    <row r="40512" spans="1:5" x14ac:dyDescent="0.25">
      <c r="A40512" t="str">
        <f>HYPERLINK("https://www.773grp.com/globalSearch/MC44603ADWG/page-1", "MC44603ADWG")</f>
        <v>MC44603ADWG</v>
      </c>
      <c r="B40512" s="3" t="str">
        <f>HYPERLINK("https://www.773grp.com/manufacturer/onsemi?pageNo=1220", "ON Semiconductor")</f>
        <v>ON Semiconductor</v>
      </c>
      <c r="C40512" s="6">
        <v>799</v>
      </c>
      <c r="D40512" s="7">
        <v>4.01</v>
      </c>
      <c r="E40512" t="s">
        <v>7</v>
      </c>
    </row>
    <row r="40513" spans="1:5" x14ac:dyDescent="0.25">
      <c r="A40513" t="str">
        <f>HYPERLINK("https://www.773grp.com/globalSearch/NCP2821FCT1G/page-1", "NCP2821FCT1G")</f>
        <v>NCP2821FCT1G</v>
      </c>
      <c r="B40513" s="3" t="str">
        <f>HYPERLINK("https://www.773grp.com/manufacturer/onsemi?pageNo=1221", "ON Semiconductor")</f>
        <v>ON Semiconductor</v>
      </c>
      <c r="C40513" s="6">
        <v>98970</v>
      </c>
      <c r="D40513" s="7">
        <v>4.01</v>
      </c>
      <c r="E40513" t="s">
        <v>18</v>
      </c>
    </row>
    <row r="40514" spans="1:5" x14ac:dyDescent="0.25">
      <c r="A40514" t="str">
        <f>HYPERLINK("https://www.773grp.com/globalSearch/NTB60N06LT4G/page-1", "NTB60N06LT4G")</f>
        <v>NTB60N06LT4G</v>
      </c>
      <c r="B40514" s="3" t="str">
        <f>HYPERLINK("https://www.773grp.com/manufacturer/onsemi?pageNo=1222", "ON Semiconductor")</f>
        <v>ON Semiconductor</v>
      </c>
      <c r="C40514" s="6">
        <v>800</v>
      </c>
      <c r="D40514" s="7">
        <v>4.01</v>
      </c>
    </row>
    <row r="40515" spans="1:5" x14ac:dyDescent="0.25">
      <c r="A40515" t="str">
        <f>HYPERLINK("https://www.773grp.com/globalSearch/TIP140G/page-1", "TIP140G")</f>
        <v>TIP140G</v>
      </c>
      <c r="B40515" s="3" t="str">
        <f>HYPERLINK("https://www.773grp.com/manufacturer/onsemi?pageNo=1223", "ON Semiconductor")</f>
        <v>ON Semiconductor</v>
      </c>
      <c r="C40515" s="6">
        <v>334</v>
      </c>
      <c r="D40515" s="7">
        <v>4.01</v>
      </c>
      <c r="E40515" t="s">
        <v>59</v>
      </c>
    </row>
    <row r="40516" spans="1:5" x14ac:dyDescent="0.25">
      <c r="A40516" t="str">
        <f>HYPERLINK("https://www.773grp.com/globalSearch/TIP141G/page-1", "TIP141G")</f>
        <v>TIP141G</v>
      </c>
      <c r="B40516" s="3" t="str">
        <f>HYPERLINK("https://www.773grp.com/manufacturer/onsemi?pageNo=1224", "ON Semiconductor")</f>
        <v>ON Semiconductor</v>
      </c>
      <c r="C40516" s="6">
        <v>1991</v>
      </c>
      <c r="D40516" s="7">
        <v>4.01</v>
      </c>
      <c r="E40516" t="s">
        <v>59</v>
      </c>
    </row>
    <row r="40517" spans="1:5" x14ac:dyDescent="0.25">
      <c r="A40517" t="str">
        <f>HYPERLINK("https://www.773grp.com/globalSearch/TIP142G/page-1", "TIP142G")</f>
        <v>TIP142G</v>
      </c>
      <c r="B40517" s="3" t="str">
        <f>HYPERLINK("https://www.773grp.com/manufacturer/onsemi?pageNo=1225", "ON Semiconductor")</f>
        <v>ON Semiconductor</v>
      </c>
      <c r="C40517" s="6">
        <v>5398</v>
      </c>
      <c r="D40517" s="7">
        <v>4.01</v>
      </c>
      <c r="E40517" t="s">
        <v>59</v>
      </c>
    </row>
    <row r="40518" spans="1:5" x14ac:dyDescent="0.25">
      <c r="A40518" t="str">
        <f>HYPERLINK("https://www.773grp.com/globalSearch/TND017MP-AZ/page-1", "TND017MP-AZ")</f>
        <v>TND017MP-AZ</v>
      </c>
      <c r="B40518" s="3" t="str">
        <f>HYPERLINK("https://www.773grp.com/manufacturer/onsemi?pageNo=1226", "ON Semiconductor")</f>
        <v>ON Semiconductor</v>
      </c>
      <c r="C40518" s="6">
        <v>1000</v>
      </c>
      <c r="D40518" s="7">
        <v>4.01</v>
      </c>
    </row>
    <row r="40519" spans="1:5" x14ac:dyDescent="0.25">
      <c r="A40519" t="str">
        <f>HYPERLINK("https://www.773grp.com/globalSearch/2N5886/page-1", "2N5886")</f>
        <v>2N5886</v>
      </c>
      <c r="B40519" s="3" t="str">
        <f>HYPERLINK("https://www.773grp.com/manufacturer/onsemi?pageNo=1227", "ON Semiconductor")</f>
        <v>ON Semiconductor</v>
      </c>
      <c r="C40519" s="6">
        <v>167</v>
      </c>
      <c r="D40519" s="7">
        <v>3.66</v>
      </c>
      <c r="E40519" t="s">
        <v>59</v>
      </c>
    </row>
    <row r="40520" spans="1:5" x14ac:dyDescent="0.25">
      <c r="A40520" t="str">
        <f>HYPERLINK("https://www.773grp.com/globalSearch/ADP3207JCPZ-RL/page-1", "ADP3207JCPZ-RL")</f>
        <v>ADP3207JCPZ-RL</v>
      </c>
      <c r="B40520" s="3" t="str">
        <f>HYPERLINK("https://www.773grp.com/manufacturer/onsemi?pageNo=1228", "ON Semiconductor")</f>
        <v>ON Semiconductor</v>
      </c>
      <c r="C40520" s="6">
        <v>22000</v>
      </c>
      <c r="D40520" s="7">
        <v>3.66</v>
      </c>
    </row>
    <row r="40521" spans="1:5" x14ac:dyDescent="0.25">
      <c r="A40521" t="str">
        <f>HYPERLINK("https://www.773grp.com/globalSearch/ADP4000JCPZ-RL7/page-1", "ADP4000JCPZ-RL7")</f>
        <v>ADP4000JCPZ-RL7</v>
      </c>
      <c r="B40521" s="3" t="str">
        <f>HYPERLINK("https://www.773grp.com/manufacturer/onsemi?pageNo=1229", "ON Semiconductor")</f>
        <v>ON Semiconductor</v>
      </c>
      <c r="C40521" s="6">
        <v>3750</v>
      </c>
      <c r="D40521" s="7">
        <v>3.66</v>
      </c>
    </row>
    <row r="40522" spans="1:5" x14ac:dyDescent="0.25">
      <c r="A40522" t="str">
        <f>HYPERLINK("https://www.773grp.com/globalSearch/ASM3P2180AF-08SR/page-1", "ASM3P2180AF-08SR")</f>
        <v>ASM3P2180AF-08SR</v>
      </c>
      <c r="B40522" s="3" t="str">
        <f>HYPERLINK("https://www.773grp.com/manufacturer/onsemi?pageNo=1230", "ON Semiconductor")</f>
        <v>ON Semiconductor</v>
      </c>
      <c r="C40522" s="6">
        <v>163</v>
      </c>
      <c r="D40522" s="7">
        <v>3.66</v>
      </c>
      <c r="E40522" t="s">
        <v>79</v>
      </c>
    </row>
    <row r="40523" spans="1:5" x14ac:dyDescent="0.25">
      <c r="A40523" t="str">
        <f>HYPERLINK("https://www.773grp.com/globalSearch/I2811BF-08ST/page-1", "I2811BF-08ST")</f>
        <v>I2811BF-08ST</v>
      </c>
      <c r="B40523" s="3" t="str">
        <f>HYPERLINK("https://www.773grp.com/manufacturer/onsemi?pageNo=1231", "ON Semiconductor")</f>
        <v>ON Semiconductor</v>
      </c>
      <c r="C40523" s="6">
        <v>705</v>
      </c>
      <c r="D40523" s="7">
        <v>3.66</v>
      </c>
    </row>
    <row r="40524" spans="1:5" x14ac:dyDescent="0.25">
      <c r="A40524" t="str">
        <f>HYPERLINK("https://www.773grp.com/globalSearch/LC87F5N62BVU-QIP-E/page-1", "LC87F5N62BVU-QIP-E")</f>
        <v>LC87F5N62BVU-QIP-E</v>
      </c>
      <c r="B40524" s="3" t="str">
        <f>HYPERLINK("https://www.773grp.com/manufacturer/onsemi?pageNo=1232", "ON Semiconductor")</f>
        <v>ON Semiconductor</v>
      </c>
      <c r="C40524" s="6">
        <v>11400</v>
      </c>
      <c r="D40524" s="7">
        <v>3.66</v>
      </c>
    </row>
    <row r="40525" spans="1:5" x14ac:dyDescent="0.25">
      <c r="A40525" t="str">
        <f>HYPERLINK("https://www.773grp.com/globalSearch/LM2596TADJG/page-1", "LM2596TADJG")</f>
        <v>LM2596TADJG</v>
      </c>
      <c r="B40525" s="3" t="str">
        <f>HYPERLINK("https://www.773grp.com/manufacturer/onsemi?pageNo=1233", "ON Semiconductor")</f>
        <v>ON Semiconductor</v>
      </c>
      <c r="C40525" s="6">
        <v>20521</v>
      </c>
      <c r="D40525" s="7">
        <v>3.66</v>
      </c>
      <c r="E40525" t="s">
        <v>7</v>
      </c>
    </row>
    <row r="40526" spans="1:5" x14ac:dyDescent="0.25">
      <c r="A40526" t="str">
        <f>HYPERLINK("https://www.773grp.com/globalSearch/LV8044LP-TLM-E/page-1", "LV8044LP-TLM-E")</f>
        <v>LV8044LP-TLM-E</v>
      </c>
      <c r="B40526" s="3" t="str">
        <f>HYPERLINK("https://www.773grp.com/manufacturer/onsemi?pageNo=1234", "ON Semiconductor")</f>
        <v>ON Semiconductor</v>
      </c>
      <c r="C40526" s="6">
        <v>2000</v>
      </c>
      <c r="D40526" s="7">
        <v>3.66</v>
      </c>
    </row>
    <row r="40527" spans="1:5" x14ac:dyDescent="0.25">
      <c r="A40527" t="str">
        <f>HYPERLINK("https://www.773grp.com/globalSearch/MC14490F/page-1", "MC14490F")</f>
        <v>MC14490F</v>
      </c>
      <c r="B40527" s="3" t="str">
        <f>HYPERLINK("https://www.773grp.com/manufacturer/onsemi?pageNo=1235", "ON Semiconductor")</f>
        <v>ON Semiconductor</v>
      </c>
      <c r="C40527" s="6">
        <v>2556</v>
      </c>
      <c r="D40527" s="7">
        <v>3.66</v>
      </c>
      <c r="E40527" t="s">
        <v>32</v>
      </c>
    </row>
    <row r="40528" spans="1:5" x14ac:dyDescent="0.25">
      <c r="A40528" t="str">
        <f>HYPERLINK("https://www.773grp.com/globalSearch/MCCS142238DWR2/page-1", "MCCS142238DWR2")</f>
        <v>MCCS142238DWR2</v>
      </c>
      <c r="B40528" s="3" t="str">
        <f>HYPERLINK("https://www.773grp.com/manufacturer/onsemi?pageNo=1236", "ON Semiconductor")</f>
        <v>ON Semiconductor</v>
      </c>
      <c r="C40528" s="6">
        <v>1000</v>
      </c>
      <c r="D40528" s="7">
        <v>3.66</v>
      </c>
      <c r="E40528" t="s">
        <v>24</v>
      </c>
    </row>
    <row r="40529" spans="1:5" x14ac:dyDescent="0.25">
      <c r="A40529" t="str">
        <f>HYPERLINK("https://www.773grp.com/globalSearch/MJ802/page-1", "MJ802")</f>
        <v>MJ802</v>
      </c>
      <c r="B40529" s="3" t="str">
        <f>HYPERLINK("https://www.773grp.com/manufacturer/onsemi?pageNo=1237", "ON Semiconductor")</f>
        <v>ON Semiconductor</v>
      </c>
      <c r="C40529" s="6">
        <v>11</v>
      </c>
      <c r="D40529" s="7">
        <v>3.66</v>
      </c>
      <c r="E40529" t="s">
        <v>59</v>
      </c>
    </row>
    <row r="40530" spans="1:5" x14ac:dyDescent="0.25">
      <c r="A40530" t="str">
        <f>HYPERLINK("https://www.773grp.com/globalSearch/MTB50P03HDL/page-1", "MTB50P03HDL")</f>
        <v>MTB50P03HDL</v>
      </c>
      <c r="B40530" s="3" t="str">
        <f>HYPERLINK("https://www.773grp.com/manufacturer/onsemi?pageNo=1238", "ON Semiconductor")</f>
        <v>ON Semiconductor</v>
      </c>
      <c r="C40530" s="6">
        <v>1000</v>
      </c>
      <c r="D40530" s="7">
        <v>3.66</v>
      </c>
    </row>
    <row r="40531" spans="1:5" x14ac:dyDescent="0.25">
      <c r="A40531" t="str">
        <f>HYPERLINK("https://www.773grp.com/globalSearch/MTB50P03HDLG/page-1", "MTB50P03HDLG")</f>
        <v>MTB50P03HDLG</v>
      </c>
      <c r="B40531" s="3" t="str">
        <f>HYPERLINK("https://www.773grp.com/manufacturer/onsemi?pageNo=1239", "ON Semiconductor")</f>
        <v>ON Semiconductor</v>
      </c>
      <c r="C40531" s="6">
        <v>1550</v>
      </c>
      <c r="D40531" s="7">
        <v>3.66</v>
      </c>
    </row>
    <row r="40532" spans="1:5" x14ac:dyDescent="0.25">
      <c r="A40532" t="str">
        <f>HYPERLINK("https://www.773grp.com/globalSearch/MTB50P03HDLT4/page-1", "MTB50P03HDLT4")</f>
        <v>MTB50P03HDLT4</v>
      </c>
      <c r="B40532" s="3" t="str">
        <f>HYPERLINK("https://www.773grp.com/manufacturer/onsemi?pageNo=1240", "ON Semiconductor")</f>
        <v>ON Semiconductor</v>
      </c>
      <c r="C40532" s="6">
        <v>1509</v>
      </c>
      <c r="D40532" s="7">
        <v>3.66</v>
      </c>
      <c r="E40532" t="s">
        <v>105</v>
      </c>
    </row>
    <row r="40533" spans="1:5" x14ac:dyDescent="0.25">
      <c r="A40533" t="str">
        <f>HYPERLINK("https://www.773grp.com/globalSearch/MTB50P03HDLT4G/page-1", "MTB50P03HDLT4G")</f>
        <v>MTB50P03HDLT4G</v>
      </c>
      <c r="B40533" s="3" t="str">
        <f>HYPERLINK("https://www.773grp.com/manufacturer/onsemi?pageNo=1241", "ON Semiconductor")</f>
        <v>ON Semiconductor</v>
      </c>
      <c r="C40533" s="6">
        <v>617</v>
      </c>
      <c r="D40533" s="7">
        <v>3.66</v>
      </c>
    </row>
    <row r="40534" spans="1:5" x14ac:dyDescent="0.25">
      <c r="A40534" t="str">
        <f>HYPERLINK("https://www.773grp.com/globalSearch/NCS6415DWG/page-1", "NCS6415DWG")</f>
        <v>NCS6415DWG</v>
      </c>
      <c r="B40534" s="3" t="str">
        <f>HYPERLINK("https://www.773grp.com/manufacturer/onsemi?pageNo=1242", "ON Semiconductor")</f>
        <v>ON Semiconductor</v>
      </c>
      <c r="C40534" s="6">
        <v>51300</v>
      </c>
      <c r="D40534" s="7">
        <v>3.66</v>
      </c>
      <c r="E40534" t="s">
        <v>56</v>
      </c>
    </row>
    <row r="40535" spans="1:5" x14ac:dyDescent="0.25">
      <c r="A40535" t="str">
        <f>HYPERLINK("https://www.773grp.com/globalSearch/NCS6415DWR2G/page-1", "NCS6415DWR2G")</f>
        <v>NCS6415DWR2G</v>
      </c>
      <c r="B40535" s="3" t="str">
        <f>HYPERLINK("https://www.773grp.com/manufacturer/onsemi?pageNo=1243", "ON Semiconductor")</f>
        <v>ON Semiconductor</v>
      </c>
      <c r="C40535" s="6">
        <v>103000</v>
      </c>
      <c r="D40535" s="7">
        <v>3.66</v>
      </c>
      <c r="E40535" t="s">
        <v>56</v>
      </c>
    </row>
    <row r="40536" spans="1:5" x14ac:dyDescent="0.25">
      <c r="A40536" t="str">
        <f>HYPERLINK("https://www.773grp.com/globalSearch/NCS8353MNTXG/page-1", "NCS8353MNTXG")</f>
        <v>NCS8353MNTXG</v>
      </c>
      <c r="B40536" s="3" t="str">
        <f>HYPERLINK("https://www.773grp.com/manufacturer/onsemi?pageNo=1244", "ON Semiconductor")</f>
        <v>ON Semiconductor</v>
      </c>
      <c r="C40536" s="6">
        <v>127500</v>
      </c>
      <c r="D40536" s="7">
        <v>3.66</v>
      </c>
    </row>
    <row r="40537" spans="1:5" x14ac:dyDescent="0.25">
      <c r="A40537" t="str">
        <f>HYPERLINK("https://www.773grp.com/globalSearch/P2784AF-08SR/page-1", "P2784AF-08SR")</f>
        <v>P2784AF-08SR</v>
      </c>
      <c r="B40537" s="3" t="str">
        <f>HYPERLINK("https://www.773grp.com/manufacturer/onsemi?pageNo=1245", "ON Semiconductor")</f>
        <v>ON Semiconductor</v>
      </c>
      <c r="C40537" s="6">
        <v>2500</v>
      </c>
      <c r="D40537" s="7">
        <v>3.66</v>
      </c>
      <c r="E40537" t="s">
        <v>79</v>
      </c>
    </row>
    <row r="40538" spans="1:5" x14ac:dyDescent="0.25">
      <c r="A40538" t="str">
        <f>HYPERLINK("https://www.773grp.com/globalSearch/ATP104-TL-H/page-1", "ATP104-TL-H")</f>
        <v>ATP104-TL-H</v>
      </c>
      <c r="B40538" s="3" t="str">
        <f>HYPERLINK("https://www.773grp.com/manufacturer/onsemi?pageNo=1246", "ON Semiconductor")</f>
        <v>ON Semiconductor</v>
      </c>
      <c r="C40538" s="6">
        <v>3000</v>
      </c>
      <c r="D40538" s="7">
        <v>4.0599999999999996</v>
      </c>
    </row>
    <row r="40539" spans="1:5" x14ac:dyDescent="0.25">
      <c r="A40539" t="str">
        <f>HYPERLINK("https://www.773grp.com/globalSearch/CS51311GD14/page-1", "CS51311GD14")</f>
        <v>CS51311GD14</v>
      </c>
      <c r="B40539" s="3" t="str">
        <f>HYPERLINK("https://www.773grp.com/manufacturer/onsemi?pageNo=1247", "ON Semiconductor")</f>
        <v>ON Semiconductor</v>
      </c>
      <c r="C40539" s="6">
        <v>1540</v>
      </c>
      <c r="D40539" s="7">
        <v>4.0599999999999996</v>
      </c>
      <c r="E40539" t="s">
        <v>7</v>
      </c>
    </row>
    <row r="40540" spans="1:5" x14ac:dyDescent="0.25">
      <c r="A40540" t="str">
        <f>HYPERLINK("https://www.773grp.com/globalSearch/CS5203A-1GT3/page-1", "CS5203A-1GT3")</f>
        <v>CS5203A-1GT3</v>
      </c>
      <c r="B40540" s="3" t="str">
        <f>HYPERLINK("https://www.773grp.com/manufacturer/onsemi?pageNo=1248", "ON Semiconductor")</f>
        <v>ON Semiconductor</v>
      </c>
      <c r="C40540" s="6">
        <v>46092</v>
      </c>
      <c r="D40540" s="7">
        <v>4.0599999999999996</v>
      </c>
      <c r="E40540" t="s">
        <v>25</v>
      </c>
    </row>
    <row r="40541" spans="1:5" x14ac:dyDescent="0.25">
      <c r="A40541" t="str">
        <f>HYPERLINK("https://www.773grp.com/globalSearch/CS5203A-2GT3/page-1", "CS5203A-2GT3")</f>
        <v>CS5203A-2GT3</v>
      </c>
      <c r="B40541" s="3" t="str">
        <f>HYPERLINK("https://www.773grp.com/manufacturer/onsemi?pageNo=1249", "ON Semiconductor")</f>
        <v>ON Semiconductor</v>
      </c>
      <c r="C40541" s="6">
        <v>164</v>
      </c>
      <c r="D40541" s="7">
        <v>4.0599999999999996</v>
      </c>
      <c r="E40541" t="s">
        <v>19</v>
      </c>
    </row>
    <row r="40542" spans="1:5" x14ac:dyDescent="0.25">
      <c r="A40542" t="str">
        <f>HYPERLINK("https://www.773grp.com/globalSearch/CS5203A-5GT3/page-1", "CS5203A-5GT3")</f>
        <v>CS5203A-5GT3</v>
      </c>
      <c r="B40542" s="3" t="str">
        <f>HYPERLINK("https://www.773grp.com/manufacturer/onsemi?pageNo=1250", "ON Semiconductor")</f>
        <v>ON Semiconductor</v>
      </c>
      <c r="C40542" s="6">
        <v>8850</v>
      </c>
      <c r="D40542" s="7">
        <v>4.0599999999999996</v>
      </c>
      <c r="E40542" t="s">
        <v>19</v>
      </c>
    </row>
    <row r="40543" spans="1:5" x14ac:dyDescent="0.25">
      <c r="A40543" t="str">
        <f>HYPERLINK("https://www.773grp.com/globalSearch/JDX5010/page-1", "JDX5010")</f>
        <v>JDX5010</v>
      </c>
      <c r="B40543" s="3" t="str">
        <f>HYPERLINK("https://www.773grp.com/manufacturer/onsemi?pageNo=1251", "ON Semiconductor")</f>
        <v>ON Semiconductor</v>
      </c>
      <c r="C40543" s="6">
        <v>27481</v>
      </c>
      <c r="D40543" s="7">
        <v>4.0599999999999996</v>
      </c>
    </row>
    <row r="40544" spans="1:5" x14ac:dyDescent="0.25">
      <c r="A40544" t="str">
        <f>HYPERLINK("https://www.773grp.com/globalSearch/JDX5010MLF/page-1", "JDX5010MLF")</f>
        <v>JDX5010MLF</v>
      </c>
      <c r="B40544" s="3" t="str">
        <f>HYPERLINK("https://www.773grp.com/manufacturer/onsemi?pageNo=1252", "ON Semiconductor")</f>
        <v>ON Semiconductor</v>
      </c>
      <c r="C40544" s="6">
        <v>59</v>
      </c>
      <c r="D40544" s="7">
        <v>4.0599999999999996</v>
      </c>
    </row>
    <row r="40545" spans="1:5" x14ac:dyDescent="0.25">
      <c r="A40545" t="str">
        <f>HYPERLINK("https://www.773grp.com/globalSearch/MC33351ADTB-001/page-1", "MC33351ADTB-001")</f>
        <v>MC33351ADTB-001</v>
      </c>
      <c r="B40545" s="3" t="str">
        <f>HYPERLINK("https://www.773grp.com/manufacturer/onsemi?pageNo=1253", "ON Semiconductor")</f>
        <v>ON Semiconductor</v>
      </c>
      <c r="C40545" s="6">
        <v>1200</v>
      </c>
      <c r="D40545" s="7">
        <v>4.0599999999999996</v>
      </c>
    </row>
    <row r="40546" spans="1:5" x14ac:dyDescent="0.25">
      <c r="A40546" t="str">
        <f>HYPERLINK("https://www.773grp.com/globalSearch/MC74ACT521N/page-1", "MC74ACT521N")</f>
        <v>MC74ACT521N</v>
      </c>
      <c r="B40546" s="3" t="str">
        <f>HYPERLINK("https://www.773grp.com/manufacturer/onsemi?pageNo=1254", "ON Semiconductor")</f>
        <v>ON Semiconductor</v>
      </c>
      <c r="C40546" s="6">
        <v>2451</v>
      </c>
      <c r="D40546" s="7">
        <v>4.0599999999999996</v>
      </c>
      <c r="E40546" t="s">
        <v>43</v>
      </c>
    </row>
    <row r="40547" spans="1:5" x14ac:dyDescent="0.25">
      <c r="A40547" t="str">
        <f>HYPERLINK("https://www.773grp.com/globalSearch/NB3N200SDG/page-1", "NB3N200SDG")</f>
        <v>NB3N200SDG</v>
      </c>
      <c r="B40547" s="3" t="str">
        <f>HYPERLINK("https://www.773grp.com/manufacturer/onsemi?pageNo=1255", "ON Semiconductor")</f>
        <v>ON Semiconductor</v>
      </c>
      <c r="C40547" s="6">
        <v>98</v>
      </c>
      <c r="D40547" s="7">
        <v>4.0599999999999996</v>
      </c>
    </row>
    <row r="40548" spans="1:5" x14ac:dyDescent="0.25">
      <c r="A40548" t="str">
        <f>HYPERLINK("https://www.773grp.com/globalSearch/NB3N201SDG/page-1", "NB3N201SDG")</f>
        <v>NB3N201SDG</v>
      </c>
      <c r="B40548" s="3" t="str">
        <f>HYPERLINK("https://www.773grp.com/manufacturer/onsemi?pageNo=1256", "ON Semiconductor")</f>
        <v>ON Semiconductor</v>
      </c>
      <c r="C40548" s="6">
        <v>98</v>
      </c>
      <c r="D40548" s="7">
        <v>4.0599999999999996</v>
      </c>
    </row>
    <row r="40549" spans="1:5" x14ac:dyDescent="0.25">
      <c r="A40549" t="str">
        <f>HYPERLINK("https://www.773grp.com/globalSearch/NB3N2304NZMNR4G/page-1", "NB3N2304NZMNR4G")</f>
        <v>NB3N2304NZMNR4G</v>
      </c>
      <c r="B40549" s="3" t="str">
        <f>HYPERLINK("https://www.773grp.com/manufacturer/onsemi?pageNo=1257", "ON Semiconductor")</f>
        <v>ON Semiconductor</v>
      </c>
      <c r="C40549" s="6">
        <v>10000</v>
      </c>
      <c r="D40549" s="7">
        <v>4.0599999999999996</v>
      </c>
      <c r="E40549" t="s">
        <v>34</v>
      </c>
    </row>
    <row r="40550" spans="1:5" x14ac:dyDescent="0.25">
      <c r="A40550" t="str">
        <f>HYPERLINK("https://www.773grp.com/globalSearch/NCP5104PG/page-1", "NCP5104PG")</f>
        <v>NCP5104PG</v>
      </c>
      <c r="B40550" s="3" t="str">
        <f>HYPERLINK("https://www.773grp.com/manufacturer/onsemi?pageNo=1258", "ON Semiconductor")</f>
        <v>ON Semiconductor</v>
      </c>
      <c r="C40550" s="6">
        <v>3470</v>
      </c>
      <c r="D40550" s="7">
        <v>4.0599999999999996</v>
      </c>
      <c r="E40550" t="s">
        <v>11</v>
      </c>
    </row>
    <row r="40551" spans="1:5" x14ac:dyDescent="0.25">
      <c r="A40551" t="str">
        <f>HYPERLINK("https://www.773grp.com/globalSearch/NCP5106APG/page-1", "NCP5106APG")</f>
        <v>NCP5106APG</v>
      </c>
      <c r="B40551" s="3" t="str">
        <f>HYPERLINK("https://www.773grp.com/manufacturer/onsemi?pageNo=1259", "ON Semiconductor")</f>
        <v>ON Semiconductor</v>
      </c>
      <c r="C40551" s="6">
        <v>8727</v>
      </c>
      <c r="D40551" s="7">
        <v>4.0599999999999996</v>
      </c>
      <c r="E40551" t="s">
        <v>11</v>
      </c>
    </row>
    <row r="40552" spans="1:5" x14ac:dyDescent="0.25">
      <c r="A40552" t="str">
        <f>HYPERLINK("https://www.773grp.com/globalSearch/NCP5106BPG/page-1", "NCP5106BPG")</f>
        <v>NCP5106BPG</v>
      </c>
      <c r="B40552" s="3" t="str">
        <f>HYPERLINK("https://www.773grp.com/manufacturer/onsemi?pageNo=1260", "ON Semiconductor")</f>
        <v>ON Semiconductor</v>
      </c>
      <c r="C40552" s="6">
        <v>1566</v>
      </c>
      <c r="D40552" s="7">
        <v>4.0599999999999996</v>
      </c>
      <c r="E40552" t="s">
        <v>11</v>
      </c>
    </row>
    <row r="40553" spans="1:5" x14ac:dyDescent="0.25">
      <c r="A40553" t="str">
        <f>HYPERLINK("https://www.773grp.com/globalSearch/NCP5111PG/page-1", "NCP5111PG")</f>
        <v>NCP5111PG</v>
      </c>
      <c r="B40553" s="3" t="str">
        <f>HYPERLINK("https://www.773grp.com/manufacturer/onsemi?pageNo=1261", "ON Semiconductor")</f>
        <v>ON Semiconductor</v>
      </c>
      <c r="C40553" s="6">
        <v>10316</v>
      </c>
      <c r="D40553" s="7">
        <v>4.0599999999999996</v>
      </c>
      <c r="E40553" t="s">
        <v>11</v>
      </c>
    </row>
    <row r="40554" spans="1:5" x14ac:dyDescent="0.25">
      <c r="A40554" t="str">
        <f>HYPERLINK("https://www.773grp.com/globalSearch/NCP5304PG/page-1", "NCP5304PG")</f>
        <v>NCP5304PG</v>
      </c>
      <c r="B40554" s="3" t="str">
        <f>HYPERLINK("https://www.773grp.com/manufacturer/onsemi?pageNo=1262", "ON Semiconductor")</f>
        <v>ON Semiconductor</v>
      </c>
      <c r="C40554" s="6">
        <v>3302</v>
      </c>
      <c r="D40554" s="7">
        <v>4.0599999999999996</v>
      </c>
      <c r="E40554" t="s">
        <v>11</v>
      </c>
    </row>
    <row r="40555" spans="1:5" x14ac:dyDescent="0.25">
      <c r="A40555" t="str">
        <f>HYPERLINK("https://www.773grp.com/globalSearch/NCV1124DG/page-1", "NCV1124DG")</f>
        <v>NCV1124DG</v>
      </c>
      <c r="B40555" s="3" t="str">
        <f>HYPERLINK("https://www.773grp.com/manufacturer/onsemi?pageNo=1263", "ON Semiconductor")</f>
        <v>ON Semiconductor</v>
      </c>
      <c r="C40555" s="6">
        <v>980</v>
      </c>
      <c r="D40555" s="7">
        <v>4.0599999999999996</v>
      </c>
    </row>
    <row r="40556" spans="1:5" x14ac:dyDescent="0.25">
      <c r="A40556" t="str">
        <f>HYPERLINK("https://www.773grp.com/globalSearch/NCV1124DR2G/page-1", "NCV1124DR2G")</f>
        <v>NCV1124DR2G</v>
      </c>
      <c r="B40556" s="3" t="str">
        <f>HYPERLINK("https://www.773grp.com/manufacturer/onsemi?pageNo=1264", "ON Semiconductor")</f>
        <v>ON Semiconductor</v>
      </c>
      <c r="C40556" s="6">
        <v>92500</v>
      </c>
      <c r="D40556" s="7">
        <v>4.0599999999999996</v>
      </c>
    </row>
    <row r="40557" spans="1:5" x14ac:dyDescent="0.25">
      <c r="A40557" t="str">
        <f>HYPERLINK("https://www.773grp.com/globalSearch/LM2575TV-012/page-1", "LM2575TV-012")</f>
        <v>LM2575TV-012</v>
      </c>
      <c r="B40557" s="3" t="str">
        <f>HYPERLINK("https://www.773grp.com/manufacturer/onsemi?pageNo=1265", "ON Semiconductor")</f>
        <v>ON Semiconductor</v>
      </c>
      <c r="C40557" s="6">
        <v>50</v>
      </c>
      <c r="D40557" s="7">
        <v>3.68</v>
      </c>
      <c r="E40557" t="s">
        <v>7</v>
      </c>
    </row>
    <row r="40558" spans="1:5" x14ac:dyDescent="0.25">
      <c r="A40558" t="str">
        <f>HYPERLINK("https://www.773grp.com/globalSearch/MJW1302AG/page-1", "MJW1302AG")</f>
        <v>MJW1302AG</v>
      </c>
      <c r="B40558" s="3" t="str">
        <f>HYPERLINK("https://www.773grp.com/manufacturer/onsemi?pageNo=1266", "ON Semiconductor")</f>
        <v>ON Semiconductor</v>
      </c>
      <c r="C40558" s="6">
        <v>2338</v>
      </c>
      <c r="D40558" s="7">
        <v>3.68</v>
      </c>
      <c r="E40558" t="s">
        <v>59</v>
      </c>
    </row>
    <row r="40559" spans="1:5" x14ac:dyDescent="0.25">
      <c r="A40559" t="str">
        <f>HYPERLINK("https://www.773grp.com/globalSearch/MJW3281AG/page-1", "MJW3281AG")</f>
        <v>MJW3281AG</v>
      </c>
      <c r="B40559" s="3" t="str">
        <f>HYPERLINK("https://www.773grp.com/manufacturer/onsemi?pageNo=1267", "ON Semiconductor")</f>
        <v>ON Semiconductor</v>
      </c>
      <c r="C40559" s="6">
        <v>8420</v>
      </c>
      <c r="D40559" s="7">
        <v>3.68</v>
      </c>
      <c r="E40559" t="s">
        <v>59</v>
      </c>
    </row>
    <row r="40560" spans="1:5" x14ac:dyDescent="0.25">
      <c r="A40560" t="str">
        <f>HYPERLINK("https://www.773grp.com/globalSearch/NCV87725D7S50R4G/page-1", "NCV87725D7S50R4G")</f>
        <v>NCV87725D7S50R4G</v>
      </c>
      <c r="B40560" s="3" t="str">
        <f>HYPERLINK("https://www.773grp.com/manufacturer/onsemi?pageNo=1268", "ON Semiconductor")</f>
        <v>ON Semiconductor</v>
      </c>
      <c r="C40560" s="6">
        <v>750</v>
      </c>
      <c r="D40560" s="7">
        <v>3.68</v>
      </c>
    </row>
    <row r="40561" spans="1:5" x14ac:dyDescent="0.25">
      <c r="A40561" t="str">
        <f>HYPERLINK("https://www.773grp.com/globalSearch/CS8183YDWFR20/page-1", "CS8183YDWFR20")</f>
        <v>CS8183YDWFR20</v>
      </c>
      <c r="B40561" s="3" t="str">
        <f>HYPERLINK("https://www.773grp.com/manufacturer/onsemi?pageNo=1269", "ON Semiconductor")</f>
        <v>ON Semiconductor</v>
      </c>
      <c r="C40561" s="6">
        <v>1982</v>
      </c>
      <c r="D40561" s="7">
        <v>3.71</v>
      </c>
      <c r="E40561" t="s">
        <v>116</v>
      </c>
    </row>
    <row r="40562" spans="1:5" x14ac:dyDescent="0.25">
      <c r="A40562" t="str">
        <f>HYPERLINK("https://www.773grp.com/globalSearch/LV8743V-TLM-E/page-1", "LV8743V-TLM-E")</f>
        <v>LV8743V-TLM-E</v>
      </c>
      <c r="B40562" s="3" t="str">
        <f>HYPERLINK("https://www.773grp.com/manufacturer/onsemi?pageNo=1270", "ON Semiconductor")</f>
        <v>ON Semiconductor</v>
      </c>
      <c r="C40562" s="6">
        <v>2000</v>
      </c>
      <c r="D40562" s="7">
        <v>3.71</v>
      </c>
    </row>
    <row r="40563" spans="1:5" x14ac:dyDescent="0.25">
      <c r="A40563" t="str">
        <f>HYPERLINK("https://www.773grp.com/globalSearch/NCP5322ADWR2/page-1", "NCP5322ADWR2")</f>
        <v>NCP5322ADWR2</v>
      </c>
      <c r="B40563" s="3" t="str">
        <f>HYPERLINK("https://www.773grp.com/manufacturer/onsemi?pageNo=1271", "ON Semiconductor")</f>
        <v>ON Semiconductor</v>
      </c>
      <c r="C40563" s="6">
        <v>2000</v>
      </c>
      <c r="D40563" s="7">
        <v>3.71</v>
      </c>
      <c r="E40563" t="s">
        <v>7</v>
      </c>
    </row>
    <row r="40564" spans="1:5" x14ac:dyDescent="0.25">
      <c r="A40564" t="str">
        <f>HYPERLINK("https://www.773grp.com/globalSearch/NGTB25N120LWG/page-1", "NGTB25N120LWG")</f>
        <v>NGTB25N120LWG</v>
      </c>
      <c r="B40564" s="3" t="str">
        <f>HYPERLINK("https://www.773grp.com/manufacturer/onsemi?pageNo=1272", "ON Semiconductor")</f>
        <v>ON Semiconductor</v>
      </c>
      <c r="C40564" s="6">
        <v>840</v>
      </c>
      <c r="D40564" s="7">
        <v>3.71</v>
      </c>
    </row>
    <row r="40565" spans="1:5" x14ac:dyDescent="0.25">
      <c r="A40565" t="str">
        <f>HYPERLINK("https://www.773grp.com/globalSearch/CAT3604AHV4-T2/page-1", "CAT3604AHV4-T2")</f>
        <v>CAT3604AHV4-T2</v>
      </c>
      <c r="B40565" s="3" t="str">
        <f>HYPERLINK("https://www.773grp.com/manufacturer/onsemi?pageNo=1273", "ON Semiconductor")</f>
        <v>ON Semiconductor</v>
      </c>
      <c r="C40565" s="6">
        <v>2091</v>
      </c>
      <c r="D40565" s="7">
        <v>4.1100000000000003</v>
      </c>
    </row>
    <row r="40566" spans="1:5" x14ac:dyDescent="0.25">
      <c r="A40566" t="str">
        <f>HYPERLINK("https://www.773grp.com/globalSearch/CS52843EDR14/page-1", "CS52843EDR14")</f>
        <v>CS52843EDR14</v>
      </c>
      <c r="B40566" s="3" t="str">
        <f>HYPERLINK("https://www.773grp.com/manufacturer/onsemi?pageNo=1274", "ON Semiconductor")</f>
        <v>ON Semiconductor</v>
      </c>
      <c r="C40566" s="6">
        <v>5000</v>
      </c>
      <c r="D40566" s="7">
        <v>4.1100000000000003</v>
      </c>
      <c r="E40566" t="s">
        <v>7</v>
      </c>
    </row>
    <row r="40567" spans="1:5" x14ac:dyDescent="0.25">
      <c r="A40567" t="str">
        <f>HYPERLINK("https://www.773grp.com/globalSearch/LA6565VR-TLM-E/page-1", "LA6565VR-TLM-E")</f>
        <v>LA6565VR-TLM-E</v>
      </c>
      <c r="B40567" s="3" t="str">
        <f>HYPERLINK("https://www.773grp.com/manufacturer/onsemi?pageNo=1275", "ON Semiconductor")</f>
        <v>ON Semiconductor</v>
      </c>
      <c r="C40567" s="6">
        <v>8000</v>
      </c>
      <c r="D40567" s="7">
        <v>4.1100000000000003</v>
      </c>
    </row>
    <row r="40568" spans="1:5" x14ac:dyDescent="0.25">
      <c r="A40568" t="str">
        <f>HYPERLINK("https://www.773grp.com/globalSearch/MBR20H150CTG/page-1", "MBR20H150CTG")</f>
        <v>MBR20H150CTG</v>
      </c>
      <c r="B40568" s="3" t="str">
        <f>HYPERLINK("https://www.773grp.com/manufacturer/onsemi?pageNo=1276", "ON Semiconductor")</f>
        <v>ON Semiconductor</v>
      </c>
      <c r="C40568" s="6">
        <v>29195</v>
      </c>
      <c r="D40568" s="7">
        <v>4.1100000000000003</v>
      </c>
      <c r="E40568" t="s">
        <v>103</v>
      </c>
    </row>
    <row r="40569" spans="1:5" x14ac:dyDescent="0.25">
      <c r="A40569" t="str">
        <f>HYPERLINK("https://www.773grp.com/globalSearch/MBR20H150CTH/page-1", "MBR20H150CTH")</f>
        <v>MBR20H150CTH</v>
      </c>
      <c r="B40569" s="3" t="str">
        <f>HYPERLINK("https://www.773grp.com/manufacturer/onsemi?pageNo=1277", "ON Semiconductor")</f>
        <v>ON Semiconductor</v>
      </c>
      <c r="C40569" s="6">
        <v>77000</v>
      </c>
      <c r="D40569" s="7">
        <v>4.1100000000000003</v>
      </c>
    </row>
    <row r="40570" spans="1:5" x14ac:dyDescent="0.25">
      <c r="A40570" t="str">
        <f>HYPERLINK("https://www.773grp.com/globalSearch/MBRF2545CTG/page-1", "MBRF2545CTG")</f>
        <v>MBRF2545CTG</v>
      </c>
      <c r="B40570" s="3" t="str">
        <f>HYPERLINK("https://www.773grp.com/manufacturer/onsemi?pageNo=1278", "ON Semiconductor")</f>
        <v>ON Semiconductor</v>
      </c>
      <c r="C40570" s="6">
        <v>183250</v>
      </c>
      <c r="D40570" s="7">
        <v>4.1100000000000003</v>
      </c>
      <c r="E40570" t="s">
        <v>103</v>
      </c>
    </row>
    <row r="40571" spans="1:5" x14ac:dyDescent="0.25">
      <c r="A40571" t="str">
        <f>HYPERLINK("https://www.773grp.com/globalSearch/MC33232DG/page-1", "MC33232DG")</f>
        <v>MC33232DG</v>
      </c>
      <c r="B40571" s="3" t="str">
        <f>HYPERLINK("https://www.773grp.com/manufacturer/onsemi?pageNo=1279", "ON Semiconductor")</f>
        <v>ON Semiconductor</v>
      </c>
      <c r="C40571" s="6">
        <v>14449</v>
      </c>
      <c r="D40571" s="7">
        <v>4.1100000000000003</v>
      </c>
      <c r="E40571" t="s">
        <v>7</v>
      </c>
    </row>
    <row r="40572" spans="1:5" x14ac:dyDescent="0.25">
      <c r="A40572" t="str">
        <f>HYPERLINK("https://www.773grp.com/globalSearch/MC33232DR2G/page-1", "MC33232DR2G")</f>
        <v>MC33232DR2G</v>
      </c>
      <c r="B40572" s="3" t="str">
        <f>HYPERLINK("https://www.773grp.com/manufacturer/onsemi?pageNo=1280", "ON Semiconductor")</f>
        <v>ON Semiconductor</v>
      </c>
      <c r="C40572" s="6">
        <v>12787</v>
      </c>
      <c r="D40572" s="7">
        <v>4.1100000000000003</v>
      </c>
      <c r="E40572" t="s">
        <v>7</v>
      </c>
    </row>
    <row r="40573" spans="1:5" x14ac:dyDescent="0.25">
      <c r="A40573" t="str">
        <f>HYPERLINK("https://www.773grp.com/globalSearch/MC33232PG/page-1", "MC33232PG")</f>
        <v>MC33232PG</v>
      </c>
      <c r="B40573" s="3" t="str">
        <f>HYPERLINK("https://www.773grp.com/manufacturer/onsemi?pageNo=1281", "ON Semiconductor")</f>
        <v>ON Semiconductor</v>
      </c>
      <c r="C40573" s="6">
        <v>5727</v>
      </c>
      <c r="D40573" s="7">
        <v>4.1100000000000003</v>
      </c>
      <c r="E40573" t="s">
        <v>7</v>
      </c>
    </row>
    <row r="40574" spans="1:5" x14ac:dyDescent="0.25">
      <c r="A40574" t="str">
        <f>HYPERLINK("https://www.773grp.com/globalSearch/MC33260PG/page-1", "MC33260PG")</f>
        <v>MC33260PG</v>
      </c>
      <c r="B40574" s="3" t="str">
        <f>HYPERLINK("https://www.773grp.com/manufacturer/onsemi?pageNo=1282", "ON Semiconductor")</f>
        <v>ON Semiconductor</v>
      </c>
      <c r="C40574" s="6">
        <v>751</v>
      </c>
      <c r="D40574" s="7">
        <v>4.1100000000000003</v>
      </c>
      <c r="E40574" t="s">
        <v>7</v>
      </c>
    </row>
    <row r="40575" spans="1:5" x14ac:dyDescent="0.25">
      <c r="A40575" t="str">
        <f>HYPERLINK("https://www.773grp.com/globalSearch/MC74AC4020N/page-1", "MC74AC4020N")</f>
        <v>MC74AC4020N</v>
      </c>
      <c r="B40575" s="3" t="str">
        <f>HYPERLINK("https://www.773grp.com/manufacturer/onsemi?pageNo=1283", "ON Semiconductor")</f>
        <v>ON Semiconductor</v>
      </c>
      <c r="C40575" s="6">
        <v>130</v>
      </c>
      <c r="D40575" s="7">
        <v>4.1100000000000003</v>
      </c>
      <c r="E40575" t="s">
        <v>26</v>
      </c>
    </row>
    <row r="40576" spans="1:5" x14ac:dyDescent="0.25">
      <c r="A40576" t="str">
        <f>HYPERLINK("https://www.773grp.com/globalSearch/MC74ACT640MELG/page-1", "MC74ACT640MELG")</f>
        <v>MC74ACT640MELG</v>
      </c>
      <c r="B40576" s="3" t="str">
        <f>HYPERLINK("https://www.773grp.com/manufacturer/onsemi?pageNo=1284", "ON Semiconductor")</f>
        <v>ON Semiconductor</v>
      </c>
      <c r="C40576" s="6">
        <v>11670</v>
      </c>
      <c r="D40576" s="7">
        <v>4.1100000000000003</v>
      </c>
      <c r="E40576" t="s">
        <v>14</v>
      </c>
    </row>
    <row r="40577" spans="1:5" x14ac:dyDescent="0.25">
      <c r="A40577" t="str">
        <f>HYPERLINK("https://www.773grp.com/globalSearch/MC74ACT640NG/page-1", "MC74ACT640NG")</f>
        <v>MC74ACT640NG</v>
      </c>
      <c r="B40577" s="3" t="str">
        <f>HYPERLINK("https://www.773grp.com/manufacturer/onsemi?pageNo=1285", "ON Semiconductor")</f>
        <v>ON Semiconductor</v>
      </c>
      <c r="C40577" s="6">
        <v>2775</v>
      </c>
      <c r="D40577" s="7">
        <v>4.1100000000000003</v>
      </c>
      <c r="E40577" t="s">
        <v>14</v>
      </c>
    </row>
    <row r="40578" spans="1:5" x14ac:dyDescent="0.25">
      <c r="A40578" t="str">
        <f>HYPERLINK("https://www.773grp.com/globalSearch/MJW21193/page-1", "MJW21193")</f>
        <v>MJW21193</v>
      </c>
      <c r="B40578" s="3" t="str">
        <f>HYPERLINK("https://www.773grp.com/manufacturer/onsemi?pageNo=1286", "ON Semiconductor")</f>
        <v>ON Semiconductor</v>
      </c>
      <c r="C40578" s="6">
        <v>5228</v>
      </c>
      <c r="D40578" s="7">
        <v>4.1100000000000003</v>
      </c>
      <c r="E40578" t="s">
        <v>59</v>
      </c>
    </row>
    <row r="40579" spans="1:5" x14ac:dyDescent="0.25">
      <c r="A40579" t="str">
        <f>HYPERLINK("https://www.773grp.com/globalSearch/NCP1001T/page-1", "NCP1001T")</f>
        <v>NCP1001T</v>
      </c>
      <c r="B40579" s="3" t="str">
        <f>HYPERLINK("https://www.773grp.com/manufacturer/onsemi?pageNo=1287", "ON Semiconductor")</f>
        <v>ON Semiconductor</v>
      </c>
      <c r="C40579" s="6">
        <v>50</v>
      </c>
      <c r="D40579" s="7">
        <v>4.1100000000000003</v>
      </c>
      <c r="E40579" t="s">
        <v>7</v>
      </c>
    </row>
    <row r="40580" spans="1:5" x14ac:dyDescent="0.25">
      <c r="A40580" t="str">
        <f>HYPERLINK("https://www.773grp.com/globalSearch/NCP5393AMNR2G/page-1", "NCP5393AMNR2G")</f>
        <v>NCP5393AMNR2G</v>
      </c>
      <c r="B40580" s="3" t="str">
        <f>HYPERLINK("https://www.773grp.com/manufacturer/onsemi?pageNo=1288", "ON Semiconductor")</f>
        <v>ON Semiconductor</v>
      </c>
      <c r="C40580" s="6">
        <v>345</v>
      </c>
      <c r="D40580" s="7">
        <v>4.1100000000000003</v>
      </c>
    </row>
    <row r="40581" spans="1:5" x14ac:dyDescent="0.25">
      <c r="A40581" t="str">
        <f>HYPERLINK("https://www.773grp.com/globalSearch/NCP5393BMNR2G/page-1", "NCP5393BMNR2G")</f>
        <v>NCP5393BMNR2G</v>
      </c>
      <c r="B40581" s="3" t="str">
        <f>HYPERLINK("https://www.773grp.com/manufacturer/onsemi?pageNo=1289", "ON Semiconductor")</f>
        <v>ON Semiconductor</v>
      </c>
      <c r="C40581" s="6">
        <v>95000</v>
      </c>
      <c r="D40581" s="7">
        <v>4.1100000000000003</v>
      </c>
      <c r="E40581" t="s">
        <v>7</v>
      </c>
    </row>
    <row r="40582" spans="1:5" x14ac:dyDescent="0.25">
      <c r="A40582" t="str">
        <f>HYPERLINK("https://www.773grp.com/globalSearch/NCP5393MNR2G/page-1", "NCP5393MNR2G")</f>
        <v>NCP5393MNR2G</v>
      </c>
      <c r="B40582" s="3" t="str">
        <f>HYPERLINK("https://www.773grp.com/manufacturer/onsemi?pageNo=1290", "ON Semiconductor")</f>
        <v>ON Semiconductor</v>
      </c>
      <c r="C40582" s="6">
        <v>11341</v>
      </c>
      <c r="D40582" s="7">
        <v>4.1100000000000003</v>
      </c>
    </row>
    <row r="40583" spans="1:5" x14ac:dyDescent="0.25">
      <c r="A40583" t="str">
        <f>HYPERLINK("https://www.773grp.com/globalSearch/NCP6132MNR2G/page-1", "NCP6132MNR2G")</f>
        <v>NCP6132MNR2G</v>
      </c>
      <c r="B40583" s="3" t="str">
        <f>HYPERLINK("https://www.773grp.com/manufacturer/onsemi?pageNo=1291", "ON Semiconductor")</f>
        <v>ON Semiconductor</v>
      </c>
      <c r="C40583" s="6">
        <v>25000</v>
      </c>
      <c r="D40583" s="7">
        <v>4.1100000000000003</v>
      </c>
    </row>
    <row r="40584" spans="1:5" x14ac:dyDescent="0.25">
      <c r="A40584" t="str">
        <f>HYPERLINK("https://www.773grp.com/globalSearch/NCP7662P/page-1", "NCP7662P")</f>
        <v>NCP7662P</v>
      </c>
      <c r="B40584" s="3" t="str">
        <f>HYPERLINK("https://www.773grp.com/manufacturer/onsemi?pageNo=1292", "ON Semiconductor")</f>
        <v>ON Semiconductor</v>
      </c>
      <c r="C40584" s="6">
        <v>58376</v>
      </c>
      <c r="D40584" s="7">
        <v>4.1100000000000003</v>
      </c>
      <c r="E40584" t="s">
        <v>7</v>
      </c>
    </row>
    <row r="40585" spans="1:5" x14ac:dyDescent="0.25">
      <c r="A40585" t="str">
        <f>HYPERLINK("https://www.773grp.com/globalSearch/NCP81022MNTXG/page-1", "NCP81022MNTXG")</f>
        <v>NCP81022MNTXG</v>
      </c>
      <c r="B40585" s="3" t="str">
        <f>HYPERLINK("https://www.773grp.com/manufacturer/onsemi?pageNo=1293", "ON Semiconductor")</f>
        <v>ON Semiconductor</v>
      </c>
      <c r="C40585" s="6">
        <v>2500</v>
      </c>
      <c r="D40585" s="7">
        <v>4.1100000000000003</v>
      </c>
    </row>
    <row r="40586" spans="1:5" x14ac:dyDescent="0.25">
      <c r="A40586" t="str">
        <f>HYPERLINK("https://www.773grp.com/globalSearch/NCS2530DTBG/page-1", "NCS2530DTBG")</f>
        <v>NCS2530DTBG</v>
      </c>
      <c r="B40586" s="3" t="str">
        <f>HYPERLINK("https://www.773grp.com/manufacturer/onsemi?pageNo=1294", "ON Semiconductor")</f>
        <v>ON Semiconductor</v>
      </c>
      <c r="C40586" s="6">
        <v>1536</v>
      </c>
      <c r="D40586" s="7">
        <v>4.1100000000000003</v>
      </c>
      <c r="E40586" t="s">
        <v>18</v>
      </c>
    </row>
    <row r="40587" spans="1:5" x14ac:dyDescent="0.25">
      <c r="A40587" t="str">
        <f>HYPERLINK("https://www.773grp.com/globalSearch/NCS2535DTBG/page-1", "NCS2535DTBG")</f>
        <v>NCS2535DTBG</v>
      </c>
      <c r="B40587" s="3" t="str">
        <f>HYPERLINK("https://www.773grp.com/manufacturer/onsemi?pageNo=1295", "ON Semiconductor")</f>
        <v>ON Semiconductor</v>
      </c>
      <c r="C40587" s="6">
        <v>1344</v>
      </c>
      <c r="D40587" s="7">
        <v>4.1100000000000003</v>
      </c>
      <c r="E40587" t="s">
        <v>18</v>
      </c>
    </row>
    <row r="40588" spans="1:5" x14ac:dyDescent="0.25">
      <c r="A40588" t="str">
        <f>HYPERLINK("https://www.773grp.com/globalSearch/NCV4276ADS50G/page-1", "NCV4276ADS50G")</f>
        <v>NCV4276ADS50G</v>
      </c>
      <c r="B40588" s="3" t="str">
        <f>HYPERLINK("https://www.773grp.com/manufacturer/onsemi?pageNo=1296", "ON Semiconductor")</f>
        <v>ON Semiconductor</v>
      </c>
      <c r="C40588" s="6">
        <v>65335</v>
      </c>
      <c r="D40588" s="7">
        <v>4.1100000000000003</v>
      </c>
      <c r="E40588" t="s">
        <v>19</v>
      </c>
    </row>
    <row r="40589" spans="1:5" x14ac:dyDescent="0.25">
      <c r="A40589" t="str">
        <f>HYPERLINK("https://www.773grp.com/globalSearch/NCV4276ADS50R4G/page-1", "NCV4276ADS50R4G")</f>
        <v>NCV4276ADS50R4G</v>
      </c>
      <c r="B40589" s="3" t="str">
        <f>HYPERLINK("https://www.773grp.com/manufacturer/onsemi?pageNo=1297", "ON Semiconductor")</f>
        <v>ON Semiconductor</v>
      </c>
      <c r="C40589" s="6">
        <v>871</v>
      </c>
      <c r="D40589" s="7">
        <v>4.1100000000000003</v>
      </c>
      <c r="E40589" t="s">
        <v>19</v>
      </c>
    </row>
    <row r="40590" spans="1:5" x14ac:dyDescent="0.25">
      <c r="A40590" t="str">
        <f>HYPERLINK("https://www.773grp.com/globalSearch/NCV4276ADSADJR4G/page-1", "NCV4276ADSADJR4G")</f>
        <v>NCV4276ADSADJR4G</v>
      </c>
      <c r="B40590" s="3" t="str">
        <f>HYPERLINK("https://www.773grp.com/manufacturer/onsemi?pageNo=1298", "ON Semiconductor")</f>
        <v>ON Semiconductor</v>
      </c>
      <c r="C40590" s="6">
        <v>15</v>
      </c>
      <c r="D40590" s="7">
        <v>4.1100000000000003</v>
      </c>
      <c r="E40590" t="s">
        <v>25</v>
      </c>
    </row>
    <row r="40591" spans="1:5" x14ac:dyDescent="0.25">
      <c r="A40591" t="str">
        <f>HYPERLINK("https://www.773grp.com/globalSearch/NCV4276DS18G/page-1", "NCV4276DS18G")</f>
        <v>NCV4276DS18G</v>
      </c>
      <c r="B40591" s="3" t="str">
        <f>HYPERLINK("https://www.773grp.com/manufacturer/onsemi?pageNo=1299", "ON Semiconductor")</f>
        <v>ON Semiconductor</v>
      </c>
      <c r="C40591" s="6">
        <v>2375</v>
      </c>
      <c r="D40591" s="7">
        <v>4.1100000000000003</v>
      </c>
      <c r="E40591" t="s">
        <v>19</v>
      </c>
    </row>
    <row r="40592" spans="1:5" x14ac:dyDescent="0.25">
      <c r="A40592" t="str">
        <f>HYPERLINK("https://www.773grp.com/globalSearch/NCV4276DS18R4G/page-1", "NCV4276DS18R4G")</f>
        <v>NCV4276DS18R4G</v>
      </c>
      <c r="B40592" s="3" t="str">
        <f>HYPERLINK("https://www.773grp.com/manufacturer/onsemi?pageNo=1300", "ON Semiconductor")</f>
        <v>ON Semiconductor</v>
      </c>
      <c r="C40592" s="6">
        <v>3932</v>
      </c>
      <c r="D40592" s="7">
        <v>4.1100000000000003</v>
      </c>
      <c r="E40592" t="s">
        <v>19</v>
      </c>
    </row>
    <row r="40593" spans="1:5" x14ac:dyDescent="0.25">
      <c r="A40593" t="str">
        <f>HYPERLINK("https://www.773grp.com/globalSearch/NCV4276DS25R4G/page-1", "NCV4276DS25R4G")</f>
        <v>NCV4276DS25R4G</v>
      </c>
      <c r="B40593" s="3" t="str">
        <f>HYPERLINK("https://www.773grp.com/manufacturer/onsemi?pageNo=1301", "ON Semiconductor")</f>
        <v>ON Semiconductor</v>
      </c>
      <c r="C40593" s="6">
        <v>6040</v>
      </c>
      <c r="D40593" s="7">
        <v>4.1100000000000003</v>
      </c>
      <c r="E40593" t="s">
        <v>19</v>
      </c>
    </row>
    <row r="40594" spans="1:5" x14ac:dyDescent="0.25">
      <c r="A40594" t="str">
        <f>HYPERLINK("https://www.773grp.com/globalSearch/NCV4276DS50G/page-1", "NCV4276DS50G")</f>
        <v>NCV4276DS50G</v>
      </c>
      <c r="B40594" s="3" t="str">
        <f>HYPERLINK("https://www.773grp.com/manufacturer/onsemi?pageNo=1302", "ON Semiconductor")</f>
        <v>ON Semiconductor</v>
      </c>
      <c r="C40594" s="6">
        <v>1700</v>
      </c>
      <c r="D40594" s="7">
        <v>4.1100000000000003</v>
      </c>
      <c r="E40594" t="s">
        <v>19</v>
      </c>
    </row>
    <row r="40595" spans="1:5" x14ac:dyDescent="0.25">
      <c r="A40595" t="str">
        <f>HYPERLINK("https://www.773grp.com/globalSearch/NCV4276DS50R4G/page-1", "NCV4276DS50R4G")</f>
        <v>NCV4276DS50R4G</v>
      </c>
      <c r="B40595" s="3" t="str">
        <f>HYPERLINK("https://www.773grp.com/manufacturer/onsemi?pageNo=1303", "ON Semiconductor")</f>
        <v>ON Semiconductor</v>
      </c>
      <c r="C40595" s="6">
        <v>1201</v>
      </c>
      <c r="D40595" s="7">
        <v>4.1100000000000003</v>
      </c>
      <c r="E40595" t="s">
        <v>19</v>
      </c>
    </row>
    <row r="40596" spans="1:5" x14ac:dyDescent="0.25">
      <c r="A40596" t="str">
        <f>HYPERLINK("https://www.773grp.com/globalSearch/NCV4276DSADJG/page-1", "NCV4276DSADJG")</f>
        <v>NCV4276DSADJG</v>
      </c>
      <c r="B40596" s="3" t="str">
        <f>HYPERLINK("https://www.773grp.com/manufacturer/onsemi?pageNo=1304", "ON Semiconductor")</f>
        <v>ON Semiconductor</v>
      </c>
      <c r="C40596" s="6">
        <v>458</v>
      </c>
      <c r="D40596" s="7">
        <v>4.1100000000000003</v>
      </c>
      <c r="E40596" t="s">
        <v>25</v>
      </c>
    </row>
    <row r="40597" spans="1:5" x14ac:dyDescent="0.25">
      <c r="A40597" t="str">
        <f>HYPERLINK("https://www.773grp.com/globalSearch/NCV4276DSADJR4G/page-1", "NCV4276DSADJR4G")</f>
        <v>NCV4276DSADJR4G</v>
      </c>
      <c r="B40597" s="3" t="str">
        <f>HYPERLINK("https://www.773grp.com/manufacturer/onsemi?pageNo=1305", "ON Semiconductor")</f>
        <v>ON Semiconductor</v>
      </c>
      <c r="C40597" s="6">
        <v>64197</v>
      </c>
      <c r="D40597" s="7">
        <v>4.1100000000000003</v>
      </c>
      <c r="E40597" t="s">
        <v>25</v>
      </c>
    </row>
    <row r="40598" spans="1:5" x14ac:dyDescent="0.25">
      <c r="A40598" t="str">
        <f>HYPERLINK("https://www.773grp.com/globalSearch/NTB8N50/page-1", "NTB8N50")</f>
        <v>NTB8N50</v>
      </c>
      <c r="B40598" s="3" t="str">
        <f>HYPERLINK("https://www.773grp.com/manufacturer/onsemi?pageNo=1306", "ON Semiconductor")</f>
        <v>ON Semiconductor</v>
      </c>
      <c r="C40598" s="6">
        <v>4250</v>
      </c>
      <c r="D40598" s="7">
        <v>4.1100000000000003</v>
      </c>
      <c r="E40598" t="s">
        <v>105</v>
      </c>
    </row>
    <row r="40599" spans="1:5" x14ac:dyDescent="0.25">
      <c r="A40599" t="str">
        <f>HYPERLINK("https://www.773grp.com/globalSearch/NTP60N06LG/page-1", "NTP60N06LG")</f>
        <v>NTP60N06LG</v>
      </c>
      <c r="B40599" s="3" t="str">
        <f>HYPERLINK("https://www.773grp.com/manufacturer/onsemi?pageNo=1307", "ON Semiconductor")</f>
        <v>ON Semiconductor</v>
      </c>
      <c r="C40599" s="6">
        <v>1812</v>
      </c>
      <c r="D40599" s="7">
        <v>4.1100000000000003</v>
      </c>
      <c r="E40599" t="s">
        <v>105</v>
      </c>
    </row>
    <row r="40600" spans="1:5" x14ac:dyDescent="0.25">
      <c r="A40600" t="str">
        <f>HYPERLINK("https://www.773grp.com/globalSearch/NTP6413ANG/page-1", "NTP6413ANG")</f>
        <v>NTP6413ANG</v>
      </c>
      <c r="B40600" s="3" t="str">
        <f>HYPERLINK("https://www.773grp.com/manufacturer/onsemi?pageNo=1308", "ON Semiconductor")</f>
        <v>ON Semiconductor</v>
      </c>
      <c r="C40600" s="6">
        <v>4850</v>
      </c>
      <c r="D40600" s="7">
        <v>4.1100000000000003</v>
      </c>
    </row>
    <row r="40601" spans="1:5" x14ac:dyDescent="0.25">
      <c r="A40601" t="str">
        <f>HYPERLINK("https://www.773grp.com/globalSearch/ATP401-TL-H/page-1", "ATP401-TL-H")</f>
        <v>ATP401-TL-H</v>
      </c>
      <c r="B40601" s="3" t="str">
        <f>HYPERLINK("https://www.773grp.com/manufacturer/onsemi?pageNo=1309", "ON Semiconductor")</f>
        <v>ON Semiconductor</v>
      </c>
      <c r="C40601" s="6">
        <v>3000</v>
      </c>
      <c r="D40601" s="7">
        <v>3.75</v>
      </c>
    </row>
    <row r="40602" spans="1:5" x14ac:dyDescent="0.25">
      <c r="A40602" t="str">
        <f>HYPERLINK("https://www.773grp.com/globalSearch/LV8712T-MPB-H/page-1", "LV8712T-MPB-H")</f>
        <v>LV8712T-MPB-H</v>
      </c>
      <c r="B40602" s="3" t="str">
        <f>HYPERLINK("https://www.773grp.com/manufacturer/onsemi?pageNo=1310", "ON Semiconductor")</f>
        <v>ON Semiconductor</v>
      </c>
      <c r="C40602" s="6">
        <v>70</v>
      </c>
      <c r="D40602" s="7">
        <v>3.75</v>
      </c>
    </row>
    <row r="40603" spans="1:5" x14ac:dyDescent="0.25">
      <c r="A40603" t="str">
        <f>HYPERLINK("https://www.773grp.com/globalSearch/MC10114FN/page-1", "MC10114FN")</f>
        <v>MC10114FN</v>
      </c>
      <c r="B40603" s="3" t="str">
        <f>HYPERLINK("https://www.773grp.com/manufacturer/onsemi?pageNo=1311", "ON Semiconductor")</f>
        <v>ON Semiconductor</v>
      </c>
      <c r="C40603" s="6">
        <v>853</v>
      </c>
      <c r="D40603" s="7">
        <v>3.75</v>
      </c>
      <c r="E40603" t="s">
        <v>21</v>
      </c>
    </row>
    <row r="40604" spans="1:5" x14ac:dyDescent="0.25">
      <c r="A40604" t="str">
        <f>HYPERLINK("https://www.773grp.com/globalSearch/MC1066DBR2/page-1", "MC1066DBR2")</f>
        <v>MC1066DBR2</v>
      </c>
      <c r="B40604" s="3" t="str">
        <f>HYPERLINK("https://www.773grp.com/manufacturer/onsemi?pageNo=1312", "ON Semiconductor")</f>
        <v>ON Semiconductor</v>
      </c>
      <c r="C40604" s="6">
        <v>10000</v>
      </c>
      <c r="D40604" s="7">
        <v>3.75</v>
      </c>
      <c r="E40604" t="s">
        <v>12</v>
      </c>
    </row>
    <row r="40605" spans="1:5" x14ac:dyDescent="0.25">
      <c r="A40605" t="str">
        <f>HYPERLINK("https://www.773grp.com/globalSearch/MC44605PG/page-1", "MC44605PG")</f>
        <v>MC44605PG</v>
      </c>
      <c r="B40605" s="3" t="str">
        <f>HYPERLINK("https://www.773grp.com/manufacturer/onsemi?pageNo=1313", "ON Semiconductor")</f>
        <v>ON Semiconductor</v>
      </c>
      <c r="C40605" s="6">
        <v>725</v>
      </c>
      <c r="D40605" s="7">
        <v>3.75</v>
      </c>
      <c r="E40605" t="s">
        <v>7</v>
      </c>
    </row>
    <row r="40606" spans="1:5" x14ac:dyDescent="0.25">
      <c r="A40606" t="str">
        <f>HYPERLINK("https://www.773grp.com/globalSearch/SJ84140/page-1", "SJ84140")</f>
        <v>SJ84140</v>
      </c>
      <c r="B40606" s="3" t="str">
        <f>HYPERLINK("https://www.773grp.com/manufacturer/onsemi?pageNo=1314", "ON Semiconductor")</f>
        <v>ON Semiconductor</v>
      </c>
      <c r="C40606" s="6">
        <v>300</v>
      </c>
      <c r="D40606" s="7">
        <v>3.75</v>
      </c>
    </row>
    <row r="40607" spans="1:5" x14ac:dyDescent="0.25">
      <c r="A40607" t="str">
        <f>HYPERLINK("https://www.773grp.com/globalSearch/2SK4197LS/page-1", "2SK4197LS")</f>
        <v>2SK4197LS</v>
      </c>
      <c r="B40607" s="3" t="str">
        <f>HYPERLINK("https://www.773grp.com/manufacturer/onsemi?pageNo=1315", "ON Semiconductor")</f>
        <v>ON Semiconductor</v>
      </c>
      <c r="C40607" s="6">
        <v>100</v>
      </c>
      <c r="D40607" s="7">
        <v>4.16</v>
      </c>
    </row>
    <row r="40608" spans="1:5" x14ac:dyDescent="0.25">
      <c r="A40608" t="str">
        <f>HYPERLINK("https://www.773grp.com/globalSearch/CAT5119TBI-00GT3/page-1", "CAT5119TBI-00GT3")</f>
        <v>CAT5119TBI-00GT3</v>
      </c>
      <c r="B40608" s="3" t="str">
        <f>HYPERLINK("https://www.773grp.com/manufacturer/onsemi?pageNo=1316", "ON Semiconductor")</f>
        <v>ON Semiconductor</v>
      </c>
      <c r="C40608" s="6">
        <v>3000</v>
      </c>
      <c r="D40608" s="7">
        <v>4.16</v>
      </c>
    </row>
    <row r="40609" spans="1:5" x14ac:dyDescent="0.25">
      <c r="A40609" t="str">
        <f>HYPERLINK("https://www.773grp.com/globalSearch/CAT5119TBI-50GT3/page-1", "CAT5119TBI-50GT3")</f>
        <v>CAT5119TBI-50GT3</v>
      </c>
      <c r="B40609" s="3" t="str">
        <f>HYPERLINK("https://www.773grp.com/manufacturer/onsemi?pageNo=1317", "ON Semiconductor")</f>
        <v>ON Semiconductor</v>
      </c>
      <c r="C40609" s="6">
        <v>12000</v>
      </c>
      <c r="D40609" s="7">
        <v>4.16</v>
      </c>
      <c r="E40609" t="s">
        <v>99</v>
      </c>
    </row>
    <row r="40610" spans="1:5" x14ac:dyDescent="0.25">
      <c r="A40610" t="str">
        <f>HYPERLINK("https://www.773grp.com/globalSearch/LV49821VH-MPB-H/page-1", "LV49821VH-MPB-H")</f>
        <v>LV49821VH-MPB-H</v>
      </c>
      <c r="B40610" s="3" t="str">
        <f>HYPERLINK("https://www.773grp.com/manufacturer/onsemi?pageNo=1318", "ON Semiconductor")</f>
        <v>ON Semiconductor</v>
      </c>
      <c r="C40610" s="6">
        <v>450</v>
      </c>
      <c r="D40610" s="7">
        <v>4.16</v>
      </c>
    </row>
    <row r="40611" spans="1:5" x14ac:dyDescent="0.25">
      <c r="A40611" t="str">
        <f>HYPERLINK("https://www.773grp.com/globalSearch/MC33151PG/page-1", "MC33151PG")</f>
        <v>MC33151PG</v>
      </c>
      <c r="B40611" s="3" t="str">
        <f>HYPERLINK("https://www.773grp.com/manufacturer/onsemi?pageNo=1319", "ON Semiconductor")</f>
        <v>ON Semiconductor</v>
      </c>
      <c r="C40611" s="6">
        <v>951</v>
      </c>
      <c r="D40611" s="7">
        <v>4.16</v>
      </c>
      <c r="E40611" t="s">
        <v>16</v>
      </c>
    </row>
    <row r="40612" spans="1:5" x14ac:dyDescent="0.25">
      <c r="A40612" t="str">
        <f>HYPERLINK("https://www.773grp.com/globalSearch/NCP1381DR2G/page-1", "NCP1381DR2G")</f>
        <v>NCP1381DR2G</v>
      </c>
      <c r="B40612" s="3" t="str">
        <f>HYPERLINK("https://www.773grp.com/manufacturer/onsemi?pageNo=1320", "ON Semiconductor")</f>
        <v>ON Semiconductor</v>
      </c>
      <c r="C40612" s="6">
        <v>52633</v>
      </c>
      <c r="D40612" s="7">
        <v>4.16</v>
      </c>
      <c r="E40612" t="s">
        <v>7</v>
      </c>
    </row>
    <row r="40613" spans="1:5" x14ac:dyDescent="0.25">
      <c r="A40613" t="str">
        <f>HYPERLINK("https://www.773grp.com/globalSearch/NCP4429P/page-1", "NCP4429P")</f>
        <v>NCP4429P</v>
      </c>
      <c r="B40613" s="3" t="str">
        <f>HYPERLINK("https://www.773grp.com/manufacturer/onsemi?pageNo=1321", "ON Semiconductor")</f>
        <v>ON Semiconductor</v>
      </c>
      <c r="C40613" s="6">
        <v>27685</v>
      </c>
      <c r="D40613" s="7">
        <v>4.16</v>
      </c>
      <c r="E40613" t="s">
        <v>16</v>
      </c>
    </row>
    <row r="40614" spans="1:5" x14ac:dyDescent="0.25">
      <c r="A40614" t="str">
        <f>HYPERLINK("https://www.773grp.com/globalSearch/NTP6N60/page-1", "NTP6N60")</f>
        <v>NTP6N60</v>
      </c>
      <c r="B40614" s="3" t="str">
        <f>HYPERLINK("https://www.773grp.com/manufacturer/onsemi?pageNo=1322", "ON Semiconductor")</f>
        <v>ON Semiconductor</v>
      </c>
      <c r="C40614" s="6">
        <v>165274</v>
      </c>
      <c r="D40614" s="7">
        <v>4.16</v>
      </c>
      <c r="E40614" t="s">
        <v>105</v>
      </c>
    </row>
    <row r="40615" spans="1:5" x14ac:dyDescent="0.25">
      <c r="A40615" t="str">
        <f>HYPERLINK("https://www.773grp.com/globalSearch/STB60N06HDT4/page-1", "STB60N06HDT4")</f>
        <v>STB60N06HDT4</v>
      </c>
      <c r="B40615" s="3" t="str">
        <f>HYPERLINK("https://www.773grp.com/manufacturer/onsemi?pageNo=1323", "ON Semiconductor")</f>
        <v>ON Semiconductor</v>
      </c>
      <c r="C40615" s="6">
        <v>14400</v>
      </c>
      <c r="D40615" s="7">
        <v>4.16</v>
      </c>
    </row>
    <row r="40616" spans="1:5" x14ac:dyDescent="0.25">
      <c r="A40616" t="str">
        <f>HYPERLINK("https://www.773grp.com/globalSearch/MC10H121PG/page-1", "MC10H121PG")</f>
        <v>MC10H121PG</v>
      </c>
      <c r="B40616" s="3" t="str">
        <f>HYPERLINK("https://www.773grp.com/manufacturer/onsemi?pageNo=1324", "ON Semiconductor")</f>
        <v>ON Semiconductor</v>
      </c>
      <c r="C40616" s="6">
        <v>5050</v>
      </c>
      <c r="D40616" s="7">
        <v>3.76</v>
      </c>
      <c r="E40616" t="s">
        <v>31</v>
      </c>
    </row>
    <row r="40617" spans="1:5" x14ac:dyDescent="0.25">
      <c r="A40617" t="str">
        <f>HYPERLINK("https://www.773grp.com/globalSearch/NCV33163DWR2G/page-1", "NCV33163DWR2G")</f>
        <v>NCV33163DWR2G</v>
      </c>
      <c r="B40617" s="3" t="str">
        <f>HYPERLINK("https://www.773grp.com/manufacturer/onsemi?pageNo=1325", "ON Semiconductor")</f>
        <v>ON Semiconductor</v>
      </c>
      <c r="C40617" s="6">
        <v>12423</v>
      </c>
      <c r="D40617" s="7">
        <v>3.76</v>
      </c>
      <c r="E40617" t="s">
        <v>7</v>
      </c>
    </row>
    <row r="40618" spans="1:5" x14ac:dyDescent="0.25">
      <c r="A40618" t="str">
        <f>HYPERLINK("https://www.773grp.com/globalSearch/NCV33163PG/page-1", "NCV33163PG")</f>
        <v>NCV33163PG</v>
      </c>
      <c r="B40618" s="3" t="str">
        <f>HYPERLINK("https://www.773grp.com/manufacturer/onsemi?pageNo=1326", "ON Semiconductor")</f>
        <v>ON Semiconductor</v>
      </c>
      <c r="C40618" s="6">
        <v>3905</v>
      </c>
      <c r="D40618" s="7">
        <v>3.76</v>
      </c>
      <c r="E40618" t="s">
        <v>7</v>
      </c>
    </row>
    <row r="40619" spans="1:5" x14ac:dyDescent="0.25">
      <c r="A40619" t="str">
        <f>HYPERLINK("https://www.773grp.com/globalSearch/ADP3207AJCPZ-RL/page-1", "ADP3207AJCPZ-RL")</f>
        <v>ADP3207AJCPZ-RL</v>
      </c>
      <c r="B40619" s="3" t="str">
        <f>HYPERLINK("https://www.773grp.com/manufacturer/onsemi?pageNo=1327", "ON Semiconductor")</f>
        <v>ON Semiconductor</v>
      </c>
      <c r="C40619" s="6">
        <v>174</v>
      </c>
      <c r="D40619" s="7">
        <v>3.8</v>
      </c>
    </row>
    <row r="40620" spans="1:5" x14ac:dyDescent="0.25">
      <c r="A40620" t="str">
        <f>HYPERLINK("https://www.773grp.com/globalSearch/CAT5113VI-00-G/page-1", "CAT5113VI-00-G")</f>
        <v>CAT5113VI-00-G</v>
      </c>
      <c r="B40620" s="3" t="str">
        <f>HYPERLINK("https://www.773grp.com/manufacturer/onsemi?pageNo=1328", "ON Semiconductor")</f>
        <v>ON Semiconductor</v>
      </c>
      <c r="C40620" s="6">
        <v>1380</v>
      </c>
      <c r="D40620" s="7">
        <v>3.8</v>
      </c>
      <c r="E40620" t="s">
        <v>99</v>
      </c>
    </row>
    <row r="40621" spans="1:5" x14ac:dyDescent="0.25">
      <c r="A40621" t="str">
        <f>HYPERLINK("https://www.773grp.com/globalSearch/CAT5113VI-10-GT3/page-1", "CAT5113VI-10-GT3")</f>
        <v>CAT5113VI-10-GT3</v>
      </c>
      <c r="B40621" s="3" t="str">
        <f>HYPERLINK("https://www.773grp.com/manufacturer/onsemi?pageNo=1329", "ON Semiconductor")</f>
        <v>ON Semiconductor</v>
      </c>
      <c r="C40621" s="6">
        <v>5850</v>
      </c>
      <c r="D40621" s="7">
        <v>3.8</v>
      </c>
    </row>
    <row r="40622" spans="1:5" x14ac:dyDescent="0.25">
      <c r="A40622" t="str">
        <f>HYPERLINK("https://www.773grp.com/globalSearch/CAT5113VI50/page-1", "CAT5113VI50")</f>
        <v>CAT5113VI50</v>
      </c>
      <c r="B40622" s="3" t="str">
        <f>HYPERLINK("https://www.773grp.com/manufacturer/onsemi?pageNo=1330", "ON Semiconductor")</f>
        <v>ON Semiconductor</v>
      </c>
      <c r="C40622" s="6">
        <v>300</v>
      </c>
      <c r="D40622" s="7">
        <v>3.8</v>
      </c>
      <c r="E40622" t="s">
        <v>99</v>
      </c>
    </row>
    <row r="40623" spans="1:5" x14ac:dyDescent="0.25">
      <c r="A40623" t="str">
        <f>HYPERLINK("https://www.773grp.com/globalSearch/CAT5113YI-00-G/page-1", "CAT5113YI-00-G")</f>
        <v>CAT5113YI-00-G</v>
      </c>
      <c r="B40623" s="3" t="str">
        <f>HYPERLINK("https://www.773grp.com/manufacturer/onsemi?pageNo=1331", "ON Semiconductor")</f>
        <v>ON Semiconductor</v>
      </c>
      <c r="C40623" s="6">
        <v>3000</v>
      </c>
      <c r="D40623" s="7">
        <v>3.8</v>
      </c>
      <c r="E40623" t="s">
        <v>99</v>
      </c>
    </row>
    <row r="40624" spans="1:5" x14ac:dyDescent="0.25">
      <c r="A40624" t="str">
        <f>HYPERLINK("https://www.773grp.com/globalSearch/CAT5113YI-01-GT3/page-1", "CAT5113YI-01-GT3")</f>
        <v>CAT5113YI-01-GT3</v>
      </c>
      <c r="B40624" s="3" t="str">
        <f>HYPERLINK("https://www.773grp.com/manufacturer/onsemi?pageNo=1332", "ON Semiconductor")</f>
        <v>ON Semiconductor</v>
      </c>
      <c r="C40624" s="6">
        <v>8968</v>
      </c>
      <c r="D40624" s="7">
        <v>3.8</v>
      </c>
      <c r="E40624" t="s">
        <v>99</v>
      </c>
    </row>
    <row r="40625" spans="1:5" x14ac:dyDescent="0.25">
      <c r="A40625" t="str">
        <f>HYPERLINK("https://www.773grp.com/globalSearch/CS3720XDPS7/page-1", "CS3720XDPS7")</f>
        <v>CS3720XDPS7</v>
      </c>
      <c r="B40625" s="3" t="str">
        <f>HYPERLINK("https://www.773grp.com/manufacturer/onsemi?pageNo=1333", "ON Semiconductor")</f>
        <v>ON Semiconductor</v>
      </c>
      <c r="C40625" s="6">
        <v>1900</v>
      </c>
      <c r="D40625" s="7">
        <v>3.8</v>
      </c>
      <c r="E40625" t="s">
        <v>62</v>
      </c>
    </row>
    <row r="40626" spans="1:5" x14ac:dyDescent="0.25">
      <c r="A40626" t="str">
        <f>HYPERLINK("https://www.773grp.com/globalSearch/LB11983-E/page-1", "LB11983-E")</f>
        <v>LB11983-E</v>
      </c>
      <c r="B40626" s="3" t="str">
        <f>HYPERLINK("https://www.773grp.com/manufacturer/onsemi?pageNo=1334", "ON Semiconductor")</f>
        <v>ON Semiconductor</v>
      </c>
      <c r="C40626" s="6">
        <v>160</v>
      </c>
      <c r="D40626" s="7">
        <v>3.8</v>
      </c>
    </row>
    <row r="40627" spans="1:5" x14ac:dyDescent="0.25">
      <c r="A40627" t="str">
        <f>HYPERLINK("https://www.773grp.com/globalSearch/MC100EP16D/page-1", "MC100EP16D")</f>
        <v>MC100EP16D</v>
      </c>
      <c r="B40627" s="3" t="str">
        <f>HYPERLINK("https://www.773grp.com/manufacturer/onsemi?pageNo=1335", "ON Semiconductor")</f>
        <v>ON Semiconductor</v>
      </c>
      <c r="C40627" s="6">
        <v>102314</v>
      </c>
      <c r="D40627" s="7">
        <v>3.8</v>
      </c>
      <c r="E40627" t="s">
        <v>21</v>
      </c>
    </row>
    <row r="40628" spans="1:5" x14ac:dyDescent="0.25">
      <c r="A40628" t="str">
        <f>HYPERLINK("https://www.773grp.com/globalSearch/MC100EP16VSDT/page-1", "MC100EP16VSDT")</f>
        <v>MC100EP16VSDT</v>
      </c>
      <c r="B40628" s="3" t="str">
        <f>HYPERLINK("https://www.773grp.com/manufacturer/onsemi?pageNo=1336", "ON Semiconductor")</f>
        <v>ON Semiconductor</v>
      </c>
      <c r="C40628" s="6">
        <v>1263</v>
      </c>
      <c r="D40628" s="7">
        <v>3.8</v>
      </c>
      <c r="E40628" t="s">
        <v>21</v>
      </c>
    </row>
    <row r="40629" spans="1:5" x14ac:dyDescent="0.25">
      <c r="A40629" t="str">
        <f>HYPERLINK("https://www.773grp.com/globalSearch/MC10EP16D/page-1", "MC10EP16D")</f>
        <v>MC10EP16D</v>
      </c>
      <c r="B40629" s="3" t="str">
        <f>HYPERLINK("https://www.773grp.com/manufacturer/onsemi?pageNo=1337", "ON Semiconductor")</f>
        <v>ON Semiconductor</v>
      </c>
      <c r="C40629" s="6">
        <v>52838</v>
      </c>
      <c r="D40629" s="7">
        <v>3.8</v>
      </c>
      <c r="E40629" t="s">
        <v>21</v>
      </c>
    </row>
    <row r="40630" spans="1:5" x14ac:dyDescent="0.25">
      <c r="A40630" t="str">
        <f>HYPERLINK("https://www.773grp.com/globalSearch/MC10EP16DT/page-1", "MC10EP16DT")</f>
        <v>MC10EP16DT</v>
      </c>
      <c r="B40630" s="3" t="str">
        <f>HYPERLINK("https://www.773grp.com/manufacturer/onsemi?pageNo=1338", "ON Semiconductor")</f>
        <v>ON Semiconductor</v>
      </c>
      <c r="C40630" s="6">
        <v>18861</v>
      </c>
      <c r="D40630" s="7">
        <v>3.8</v>
      </c>
      <c r="E40630" t="s">
        <v>21</v>
      </c>
    </row>
    <row r="40631" spans="1:5" x14ac:dyDescent="0.25">
      <c r="A40631" t="str">
        <f>HYPERLINK("https://www.773grp.com/globalSearch/MC33765DTBG/page-1", "MC33765DTBG")</f>
        <v>MC33765DTBG</v>
      </c>
      <c r="B40631" s="3" t="str">
        <f>HYPERLINK("https://www.773grp.com/manufacturer/onsemi?pageNo=1339", "ON Semiconductor")</f>
        <v>ON Semiconductor</v>
      </c>
      <c r="C40631" s="6">
        <v>576</v>
      </c>
      <c r="D40631" s="7">
        <v>3.8</v>
      </c>
      <c r="E40631" t="s">
        <v>44</v>
      </c>
    </row>
    <row r="40632" spans="1:5" x14ac:dyDescent="0.25">
      <c r="A40632" t="str">
        <f>HYPERLINK("https://www.773grp.com/globalSearch/MC74ACT648N/page-1", "MC74ACT648N")</f>
        <v>MC74ACT648N</v>
      </c>
      <c r="B40632" s="3" t="str">
        <f>HYPERLINK("https://www.773grp.com/manufacturer/onsemi?pageNo=1340", "ON Semiconductor")</f>
        <v>ON Semiconductor</v>
      </c>
      <c r="C40632" s="6">
        <v>3032</v>
      </c>
      <c r="D40632" s="7">
        <v>3.8</v>
      </c>
      <c r="E40632" t="s">
        <v>14</v>
      </c>
    </row>
    <row r="40633" spans="1:5" x14ac:dyDescent="0.25">
      <c r="A40633" t="str">
        <f>HYPERLINK("https://www.773grp.com/globalSearch/NB3N3002DTR2G/page-1", "NB3N3002DTR2G")</f>
        <v>NB3N3002DTR2G</v>
      </c>
      <c r="B40633" s="3" t="str">
        <f>HYPERLINK("https://www.773grp.com/manufacturer/onsemi?pageNo=1341", "ON Semiconductor")</f>
        <v>ON Semiconductor</v>
      </c>
      <c r="C40633" s="6">
        <v>9071</v>
      </c>
      <c r="D40633" s="7">
        <v>3.8</v>
      </c>
      <c r="E40633" t="s">
        <v>79</v>
      </c>
    </row>
    <row r="40634" spans="1:5" x14ac:dyDescent="0.25">
      <c r="A40634" t="str">
        <f>HYPERLINK("https://www.773grp.com/globalSearch/NCP1560HDR2/page-1", "NCP1560HDR2")</f>
        <v>NCP1560HDR2</v>
      </c>
      <c r="B40634" s="3" t="str">
        <f>HYPERLINK("https://www.773grp.com/manufacturer/onsemi?pageNo=1342", "ON Semiconductor")</f>
        <v>ON Semiconductor</v>
      </c>
      <c r="C40634" s="6">
        <v>11556</v>
      </c>
      <c r="D40634" s="7">
        <v>3.8</v>
      </c>
      <c r="E40634" t="s">
        <v>7</v>
      </c>
    </row>
    <row r="40635" spans="1:5" x14ac:dyDescent="0.25">
      <c r="A40635" t="str">
        <f>HYPERLINK("https://www.773grp.com/globalSearch/NCS2550SNT1G/page-1", "NCS2550SNT1G")</f>
        <v>NCS2550SNT1G</v>
      </c>
      <c r="B40635" s="3" t="str">
        <f>HYPERLINK("https://www.773grp.com/manufacturer/onsemi?pageNo=1343", "ON Semiconductor")</f>
        <v>ON Semiconductor</v>
      </c>
      <c r="C40635" s="6">
        <v>6000</v>
      </c>
      <c r="D40635" s="7">
        <v>3.8</v>
      </c>
      <c r="E40635" t="s">
        <v>18</v>
      </c>
    </row>
    <row r="40636" spans="1:5" x14ac:dyDescent="0.25">
      <c r="A40636" t="str">
        <f>HYPERLINK("https://www.773grp.com/globalSearch/1N5353B/page-1", "1N5353B")</f>
        <v>1N5353B</v>
      </c>
      <c r="B40636" s="3" t="str">
        <f>HYPERLINK("https://www.773grp.com/manufacturer/onsemi?pageNo=1344", "ON Semiconductor")</f>
        <v>ON Semiconductor</v>
      </c>
      <c r="C40636" s="6">
        <v>7000</v>
      </c>
      <c r="D40636" s="7">
        <v>4.2300000000000004</v>
      </c>
      <c r="E40636" t="s">
        <v>98</v>
      </c>
    </row>
    <row r="40637" spans="1:5" x14ac:dyDescent="0.25">
      <c r="A40637" t="str">
        <f>HYPERLINK("https://www.773grp.com/globalSearch/ADP3210MNR2G/page-1", "ADP3210MNR2G")</f>
        <v>ADP3210MNR2G</v>
      </c>
      <c r="B40637" s="3" t="str">
        <f>HYPERLINK("https://www.773grp.com/manufacturer/onsemi?pageNo=1345", "ON Semiconductor")</f>
        <v>ON Semiconductor</v>
      </c>
      <c r="C40637" s="6">
        <v>50000</v>
      </c>
      <c r="D40637" s="7">
        <v>4.2300000000000004</v>
      </c>
    </row>
    <row r="40638" spans="1:5" x14ac:dyDescent="0.25">
      <c r="A40638" t="str">
        <f>HYPERLINK("https://www.773grp.com/globalSearch/CAT25512VI-GT3/page-1", "CAT25512VI-GT3")</f>
        <v>CAT25512VI-GT3</v>
      </c>
      <c r="B40638" s="3" t="str">
        <f>HYPERLINK("https://www.773grp.com/manufacturer/onsemi?pageNo=1346", "ON Semiconductor")</f>
        <v>ON Semiconductor</v>
      </c>
      <c r="C40638" s="6">
        <v>3000</v>
      </c>
      <c r="D40638" s="7">
        <v>4.2300000000000004</v>
      </c>
    </row>
    <row r="40639" spans="1:5" x14ac:dyDescent="0.25">
      <c r="A40639" t="str">
        <f>HYPERLINK("https://www.773grp.com/globalSearch/CAT25512YI-GT3/page-1", "CAT25512YI-GT3")</f>
        <v>CAT25512YI-GT3</v>
      </c>
      <c r="B40639" s="3" t="str">
        <f>HYPERLINK("https://www.773grp.com/manufacturer/onsemi?pageNo=1347", "ON Semiconductor")</f>
        <v>ON Semiconductor</v>
      </c>
      <c r="C40639" s="6">
        <v>9000</v>
      </c>
      <c r="D40639" s="7">
        <v>4.2300000000000004</v>
      </c>
    </row>
    <row r="40640" spans="1:5" x14ac:dyDescent="0.25">
      <c r="A40640" t="str">
        <f>HYPERLINK("https://www.773grp.com/globalSearch/CAT3612HV2-GT2/page-1", "CAT3612HV2-GT2")</f>
        <v>CAT3612HV2-GT2</v>
      </c>
      <c r="B40640" s="3" t="str">
        <f>HYPERLINK("https://www.773grp.com/manufacturer/onsemi?pageNo=1348", "ON Semiconductor")</f>
        <v>ON Semiconductor</v>
      </c>
      <c r="C40640" s="6">
        <v>2000</v>
      </c>
      <c r="D40640" s="7">
        <v>4.2300000000000004</v>
      </c>
      <c r="E40640" t="s">
        <v>10</v>
      </c>
    </row>
    <row r="40641" spans="1:5" x14ac:dyDescent="0.25">
      <c r="A40641" t="str">
        <f>HYPERLINK("https://www.773grp.com/globalSearch/CAT3612HV2-T2/page-1", "CAT3612HV2-T2")</f>
        <v>CAT3612HV2-T2</v>
      </c>
      <c r="B40641" s="3" t="str">
        <f>HYPERLINK("https://www.773grp.com/manufacturer/onsemi?pageNo=1", "ON Semiconductor")</f>
        <v>ON Semiconductor</v>
      </c>
      <c r="C40641" s="6">
        <v>12000</v>
      </c>
      <c r="D40641" s="7">
        <v>4.2300000000000004</v>
      </c>
      <c r="E40641" t="s">
        <v>10</v>
      </c>
    </row>
    <row r="40642" spans="1:5" x14ac:dyDescent="0.25">
      <c r="A40642" t="str">
        <f>HYPERLINK("https://www.773grp.com/globalSearch/CAT5119SDI-00GT3/page-1", "CAT5119SDI-00GT3")</f>
        <v>CAT5119SDI-00GT3</v>
      </c>
      <c r="B40642" s="3" t="str">
        <f>HYPERLINK("https://www.773grp.com/manufacturer/onsemi?pageNo=2", "ON Semiconductor")</f>
        <v>ON Semiconductor</v>
      </c>
      <c r="C40642" s="6">
        <v>993</v>
      </c>
      <c r="D40642" s="7">
        <v>4.2300000000000004</v>
      </c>
      <c r="E40642" t="s">
        <v>99</v>
      </c>
    </row>
    <row r="40643" spans="1:5" x14ac:dyDescent="0.25">
      <c r="A40643" t="str">
        <f>HYPERLINK("https://www.773grp.com/globalSearch/CS51031GDR8/page-1", "CS51031GDR8")</f>
        <v>CS51031GDR8</v>
      </c>
      <c r="B40643" s="3" t="str">
        <f>HYPERLINK("https://www.773grp.com/manufacturer/onsemi?pageNo=3", "ON Semiconductor")</f>
        <v>ON Semiconductor</v>
      </c>
      <c r="C40643" s="6">
        <v>4950</v>
      </c>
      <c r="D40643" s="7">
        <v>4.2300000000000004</v>
      </c>
      <c r="E40643" t="s">
        <v>7</v>
      </c>
    </row>
    <row r="40644" spans="1:5" x14ac:dyDescent="0.25">
      <c r="A40644" t="str">
        <f>HYPERLINK("https://www.773grp.com/globalSearch/IRF840/page-1", "IRF840")</f>
        <v>IRF840</v>
      </c>
      <c r="B40644" s="3" t="str">
        <f>HYPERLINK("https://www.773grp.com/manufacturer/onsemi?pageNo=4", "ON Semiconductor")</f>
        <v>ON Semiconductor</v>
      </c>
      <c r="C40644" s="6">
        <v>24</v>
      </c>
      <c r="D40644" s="7">
        <v>4.2300000000000004</v>
      </c>
      <c r="E40644" t="s">
        <v>105</v>
      </c>
    </row>
    <row r="40645" spans="1:5" x14ac:dyDescent="0.25">
      <c r="A40645" t="str">
        <f>HYPERLINK("https://www.773grp.com/globalSearch/LA4815VH-MPB-H/page-1", "LA4815VH-MPB-H")</f>
        <v>LA4815VH-MPB-H</v>
      </c>
      <c r="B40645" s="3" t="str">
        <f>HYPERLINK("https://www.773grp.com/manufacturer/onsemi?pageNo=5", "ON Semiconductor")</f>
        <v>ON Semiconductor</v>
      </c>
      <c r="C40645" s="6">
        <v>420</v>
      </c>
      <c r="D40645" s="7">
        <v>4.2300000000000004</v>
      </c>
    </row>
    <row r="40646" spans="1:5" x14ac:dyDescent="0.25">
      <c r="A40646" t="str">
        <f>HYPERLINK("https://www.773grp.com/globalSearch/LV8413GP-E/page-1", "LV8413GP-E")</f>
        <v>LV8413GP-E</v>
      </c>
      <c r="B40646" s="3" t="str">
        <f>HYPERLINK("https://www.773grp.com/manufacturer/onsemi?pageNo=6", "ON Semiconductor")</f>
        <v>ON Semiconductor</v>
      </c>
      <c r="C40646" s="6">
        <v>203</v>
      </c>
      <c r="D40646" s="7">
        <v>4.2300000000000004</v>
      </c>
    </row>
    <row r="40647" spans="1:5" x14ac:dyDescent="0.25">
      <c r="A40647" t="str">
        <f>HYPERLINK("https://www.773grp.com/globalSearch/LV8413GP-H/page-1", "LV8413GP-H")</f>
        <v>LV8413GP-H</v>
      </c>
      <c r="B40647" s="3" t="str">
        <f>HYPERLINK("https://www.773grp.com/manufacturer/onsemi?pageNo=7", "ON Semiconductor")</f>
        <v>ON Semiconductor</v>
      </c>
      <c r="C40647" s="6">
        <v>200</v>
      </c>
      <c r="D40647" s="7">
        <v>4.2300000000000004</v>
      </c>
    </row>
    <row r="40648" spans="1:5" x14ac:dyDescent="0.25">
      <c r="A40648" t="str">
        <f>HYPERLINK("https://www.773grp.com/globalSearch/LV8413GP-TE-L-E/page-1", "LV8413GP-TE-L-E")</f>
        <v>LV8413GP-TE-L-E</v>
      </c>
      <c r="B40648" s="3" t="str">
        <f>HYPERLINK("https://www.773grp.com/manufacturer/onsemi?pageNo=8", "ON Semiconductor")</f>
        <v>ON Semiconductor</v>
      </c>
      <c r="C40648" s="6">
        <v>1800</v>
      </c>
      <c r="D40648" s="7">
        <v>4.2300000000000004</v>
      </c>
    </row>
    <row r="40649" spans="1:5" x14ac:dyDescent="0.25">
      <c r="A40649" t="str">
        <f>HYPERLINK("https://www.773grp.com/globalSearch/LV8413GP-TE-L-H/page-1", "LV8413GP-TE-L-H")</f>
        <v>LV8413GP-TE-L-H</v>
      </c>
      <c r="B40649" s="3" t="str">
        <f>HYPERLINK("https://www.773grp.com/manufacturer/onsemi?pageNo=9", "ON Semiconductor")</f>
        <v>ON Semiconductor</v>
      </c>
      <c r="C40649" s="6">
        <v>147</v>
      </c>
      <c r="D40649" s="7">
        <v>4.2300000000000004</v>
      </c>
    </row>
    <row r="40650" spans="1:5" x14ac:dyDescent="0.25">
      <c r="A40650" t="str">
        <f>HYPERLINK("https://www.773grp.com/globalSearch/LV8711T-MPB-H/page-1", "LV8711T-MPB-H")</f>
        <v>LV8711T-MPB-H</v>
      </c>
      <c r="B40650" s="3" t="str">
        <f>HYPERLINK("https://www.773grp.com/manufacturer/onsemi?pageNo=10", "ON Semiconductor")</f>
        <v>ON Semiconductor</v>
      </c>
      <c r="C40650" s="6">
        <v>490</v>
      </c>
      <c r="D40650" s="7">
        <v>4.2300000000000004</v>
      </c>
    </row>
    <row r="40651" spans="1:5" x14ac:dyDescent="0.25">
      <c r="A40651" t="str">
        <f>HYPERLINK("https://www.773grp.com/globalSearch/LV8711T-TLM-H/page-1", "LV8711T-TLM-H")</f>
        <v>LV8711T-TLM-H</v>
      </c>
      <c r="B40651" s="3" t="str">
        <f>HYPERLINK("https://www.773grp.com/manufacturer/onsemi?pageNo=11", "ON Semiconductor")</f>
        <v>ON Semiconductor</v>
      </c>
      <c r="C40651" s="6">
        <v>4233</v>
      </c>
      <c r="D40651" s="7">
        <v>4.2300000000000004</v>
      </c>
    </row>
    <row r="40652" spans="1:5" x14ac:dyDescent="0.25">
      <c r="A40652" t="str">
        <f>HYPERLINK("https://www.773grp.com/globalSearch/MBR20200CTG/page-1", "MBR20200CTG")</f>
        <v>MBR20200CTG</v>
      </c>
      <c r="B40652" s="3" t="str">
        <f>HYPERLINK("https://www.773grp.com/manufacturer/onsemi?pageNo=12", "ON Semiconductor")</f>
        <v>ON Semiconductor</v>
      </c>
      <c r="C40652" s="6">
        <v>28335</v>
      </c>
      <c r="D40652" s="7">
        <v>4.2300000000000004</v>
      </c>
      <c r="E40652" t="s">
        <v>103</v>
      </c>
    </row>
    <row r="40653" spans="1:5" x14ac:dyDescent="0.25">
      <c r="A40653" t="str">
        <f>HYPERLINK("https://www.773grp.com/globalSearch/MBR30H100CTH/page-1", "MBR30H100CTH")</f>
        <v>MBR30H100CTH</v>
      </c>
      <c r="B40653" s="3" t="str">
        <f>HYPERLINK("https://www.773grp.com/manufacturer/onsemi?pageNo=13", "ON Semiconductor")</f>
        <v>ON Semiconductor</v>
      </c>
      <c r="C40653" s="6">
        <v>3280</v>
      </c>
      <c r="D40653" s="7">
        <v>4.2300000000000004</v>
      </c>
    </row>
    <row r="40654" spans="1:5" x14ac:dyDescent="0.25">
      <c r="A40654" t="str">
        <f>HYPERLINK("https://www.773grp.com/globalSearch/MBRB3030CTT4/page-1", "MBRB3030CTT4")</f>
        <v>MBRB3030CTT4</v>
      </c>
      <c r="B40654" s="3" t="str">
        <f>HYPERLINK("https://www.773grp.com/manufacturer/onsemi?pageNo=14", "ON Semiconductor")</f>
        <v>ON Semiconductor</v>
      </c>
      <c r="C40654" s="6">
        <v>750</v>
      </c>
      <c r="D40654" s="7">
        <v>4.2300000000000004</v>
      </c>
      <c r="E40654" t="s">
        <v>103</v>
      </c>
    </row>
    <row r="40655" spans="1:5" x14ac:dyDescent="0.25">
      <c r="A40655" t="str">
        <f>HYPERLINK("https://www.773grp.com/globalSearch/MC14504BFELG/page-1", "MC14504BFELG")</f>
        <v>MC14504BFELG</v>
      </c>
      <c r="B40655" s="3" t="str">
        <f>HYPERLINK("https://www.773grp.com/manufacturer/onsemi?pageNo=15", "ON Semiconductor")</f>
        <v>ON Semiconductor</v>
      </c>
      <c r="C40655" s="6">
        <v>7200</v>
      </c>
      <c r="D40655" s="7">
        <v>4.2300000000000004</v>
      </c>
      <c r="E40655" t="s">
        <v>73</v>
      </c>
    </row>
    <row r="40656" spans="1:5" x14ac:dyDescent="0.25">
      <c r="A40656" t="str">
        <f>HYPERLINK("https://www.773grp.com/globalSearch/MGP7N60ED/page-1", "MGP7N60ED")</f>
        <v>MGP7N60ED</v>
      </c>
      <c r="B40656" s="3" t="str">
        <f>HYPERLINK("https://www.773grp.com/manufacturer/onsemi?pageNo=16", "ON Semiconductor")</f>
        <v>ON Semiconductor</v>
      </c>
      <c r="C40656" s="6">
        <v>5116</v>
      </c>
      <c r="D40656" s="7">
        <v>4.2300000000000004</v>
      </c>
      <c r="E40656" t="s">
        <v>115</v>
      </c>
    </row>
    <row r="40657" spans="1:5" x14ac:dyDescent="0.25">
      <c r="A40657" t="str">
        <f>HYPERLINK("https://www.773grp.com/globalSearch/MJB5742T4G/page-1", "MJB5742T4G")</f>
        <v>MJB5742T4G</v>
      </c>
      <c r="B40657" s="3" t="str">
        <f>HYPERLINK("https://www.773grp.com/manufacturer/onsemi?pageNo=17", "ON Semiconductor")</f>
        <v>ON Semiconductor</v>
      </c>
      <c r="C40657" s="6">
        <v>1600</v>
      </c>
      <c r="D40657" s="7">
        <v>4.2300000000000004</v>
      </c>
    </row>
    <row r="40658" spans="1:5" x14ac:dyDescent="0.25">
      <c r="A40658" t="str">
        <f>HYPERLINK("https://www.773grp.com/globalSearch/MR2535LRLG/page-1", "MR2535LRLG")</f>
        <v>MR2535LRLG</v>
      </c>
      <c r="B40658" s="3" t="str">
        <f>HYPERLINK("https://www.773grp.com/manufacturer/onsemi?pageNo=18", "ON Semiconductor")</f>
        <v>ON Semiconductor</v>
      </c>
      <c r="C40658" s="6">
        <v>38907</v>
      </c>
      <c r="D40658" s="7">
        <v>4.2300000000000004</v>
      </c>
      <c r="E40658" t="s">
        <v>96</v>
      </c>
    </row>
    <row r="40659" spans="1:5" x14ac:dyDescent="0.25">
      <c r="A40659" t="str">
        <f>HYPERLINK("https://www.773grp.com/globalSearch/MRJ2535-2LFG/page-1", "MRJ2535-2LFG")</f>
        <v>MRJ2535-2LFG</v>
      </c>
      <c r="B40659" s="3" t="str">
        <f>HYPERLINK("https://www.773grp.com/manufacturer/onsemi?pageNo=19", "ON Semiconductor")</f>
        <v>ON Semiconductor</v>
      </c>
      <c r="C40659" s="6">
        <v>122755</v>
      </c>
      <c r="D40659" s="7">
        <v>4.2300000000000004</v>
      </c>
    </row>
    <row r="40660" spans="1:5" x14ac:dyDescent="0.25">
      <c r="A40660" t="str">
        <f>HYPERLINK("https://www.773grp.com/globalSearch/MTB10N40E/page-1", "MTB10N40E")</f>
        <v>MTB10N40E</v>
      </c>
      <c r="B40660" s="3" t="str">
        <f>HYPERLINK("https://www.773grp.com/manufacturer/onsemi?pageNo=20", "ON Semiconductor")</f>
        <v>ON Semiconductor</v>
      </c>
      <c r="C40660" s="6">
        <v>729</v>
      </c>
      <c r="D40660" s="7">
        <v>4.2300000000000004</v>
      </c>
      <c r="E40660" t="s">
        <v>105</v>
      </c>
    </row>
    <row r="40661" spans="1:5" x14ac:dyDescent="0.25">
      <c r="A40661" t="str">
        <f>HYPERLINK("https://www.773grp.com/globalSearch/MTB10N40E/page-1", "MTB10N40E")</f>
        <v>MTB10N40E</v>
      </c>
      <c r="B40661" s="3" t="str">
        <f>HYPERLINK("https://www.773grp.com/manufacturer/onsemi?pageNo=21", "ON Semiconductor")</f>
        <v>ON Semiconductor</v>
      </c>
      <c r="C40661" s="6">
        <v>41875</v>
      </c>
      <c r="D40661" s="7">
        <v>4.2300000000000004</v>
      </c>
      <c r="E40661" t="s">
        <v>105</v>
      </c>
    </row>
    <row r="40662" spans="1:5" x14ac:dyDescent="0.25">
      <c r="A40662" t="str">
        <f>HYPERLINK("https://www.773grp.com/globalSearch/MTB10N40ET4/page-1", "MTB10N40ET4")</f>
        <v>MTB10N40ET4</v>
      </c>
      <c r="B40662" s="3" t="str">
        <f>HYPERLINK("https://www.773grp.com/manufacturer/onsemi?pageNo=22", "ON Semiconductor")</f>
        <v>ON Semiconductor</v>
      </c>
      <c r="C40662" s="6">
        <v>107200</v>
      </c>
      <c r="D40662" s="7">
        <v>4.2300000000000004</v>
      </c>
      <c r="E40662" t="s">
        <v>105</v>
      </c>
    </row>
    <row r="40663" spans="1:5" x14ac:dyDescent="0.25">
      <c r="A40663" t="str">
        <f>HYPERLINK("https://www.773grp.com/globalSearch/MTP16N25E/page-1", "MTP16N25E")</f>
        <v>MTP16N25E</v>
      </c>
      <c r="B40663" s="3" t="str">
        <f>HYPERLINK("https://www.773grp.com/manufacturer/onsemi?pageNo=23", "ON Semiconductor")</f>
        <v>ON Semiconductor</v>
      </c>
      <c r="C40663" s="6">
        <v>8809</v>
      </c>
      <c r="D40663" s="7">
        <v>4.2300000000000004</v>
      </c>
      <c r="E40663" t="s">
        <v>105</v>
      </c>
    </row>
    <row r="40664" spans="1:5" x14ac:dyDescent="0.25">
      <c r="A40664" t="str">
        <f>HYPERLINK("https://www.773grp.com/globalSearch/MTP75N06HD/page-1", "MTP75N06HD")</f>
        <v>MTP75N06HD</v>
      </c>
      <c r="B40664" s="3" t="str">
        <f>HYPERLINK("https://www.773grp.com/manufacturer/onsemi?pageNo=24", "ON Semiconductor")</f>
        <v>ON Semiconductor</v>
      </c>
      <c r="C40664" s="6">
        <v>1</v>
      </c>
      <c r="D40664" s="7">
        <v>4.2300000000000004</v>
      </c>
      <c r="E40664" t="s">
        <v>105</v>
      </c>
    </row>
    <row r="40665" spans="1:5" x14ac:dyDescent="0.25">
      <c r="A40665" t="str">
        <f>HYPERLINK("https://www.773grp.com/globalSearch/MURHF860CT/page-1", "MURHF860CT")</f>
        <v>MURHF860CT</v>
      </c>
      <c r="B40665" s="3" t="str">
        <f>HYPERLINK("https://www.773grp.com/manufacturer/onsemi?pageNo=25", "ON Semiconductor")</f>
        <v>ON Semiconductor</v>
      </c>
      <c r="C40665" s="6">
        <v>7378</v>
      </c>
      <c r="D40665" s="7">
        <v>4.2300000000000004</v>
      </c>
      <c r="E40665" t="s">
        <v>103</v>
      </c>
    </row>
    <row r="40666" spans="1:5" x14ac:dyDescent="0.25">
      <c r="A40666" t="str">
        <f>HYPERLINK("https://www.773grp.com/globalSearch/N25S818HAS21I/page-1", "N25S818HAS21I")</f>
        <v>N25S818HAS21I</v>
      </c>
      <c r="B40666" s="3" t="str">
        <f>HYPERLINK("https://www.773grp.com/manufacturer/onsemi?pageNo=26", "ON Semiconductor")</f>
        <v>ON Semiconductor</v>
      </c>
      <c r="C40666" s="6">
        <v>56</v>
      </c>
      <c r="D40666" s="7">
        <v>4.2300000000000004</v>
      </c>
    </row>
    <row r="40667" spans="1:5" x14ac:dyDescent="0.25">
      <c r="A40667" t="str">
        <f>HYPERLINK("https://www.773grp.com/globalSearch/N25S830HAS22I/page-1", "N25S830HAS22I")</f>
        <v>N25S830HAS22I</v>
      </c>
      <c r="B40667" s="3" t="str">
        <f>HYPERLINK("https://www.773grp.com/manufacturer/onsemi?pageNo=27", "ON Semiconductor")</f>
        <v>ON Semiconductor</v>
      </c>
      <c r="C40667" s="6">
        <v>100</v>
      </c>
      <c r="D40667" s="7">
        <v>4.2300000000000004</v>
      </c>
      <c r="E40667" t="s">
        <v>75</v>
      </c>
    </row>
    <row r="40668" spans="1:5" x14ac:dyDescent="0.25">
      <c r="A40668" t="str">
        <f>HYPERLINK("https://www.773grp.com/globalSearch/N25S830HAT22I/page-1", "N25S830HAT22I")</f>
        <v>N25S830HAT22I</v>
      </c>
      <c r="B40668" s="3" t="str">
        <f>HYPERLINK("https://www.773grp.com/manufacturer/onsemi?pageNo=28", "ON Semiconductor")</f>
        <v>ON Semiconductor</v>
      </c>
      <c r="C40668" s="6">
        <v>652</v>
      </c>
      <c r="D40668" s="7">
        <v>4.2300000000000004</v>
      </c>
      <c r="E40668" t="s">
        <v>75</v>
      </c>
    </row>
    <row r="40669" spans="1:5" x14ac:dyDescent="0.25">
      <c r="A40669" t="str">
        <f>HYPERLINK("https://www.773grp.com/globalSearch/NB3N508SDTG/page-1", "NB3N508SDTG")</f>
        <v>NB3N508SDTG</v>
      </c>
      <c r="B40669" s="3" t="str">
        <f>HYPERLINK("https://www.773grp.com/manufacturer/onsemi?pageNo=29", "ON Semiconductor")</f>
        <v>ON Semiconductor</v>
      </c>
      <c r="C40669" s="6">
        <v>7392</v>
      </c>
      <c r="D40669" s="7">
        <v>4.2300000000000004</v>
      </c>
      <c r="E40669" t="s">
        <v>79</v>
      </c>
    </row>
    <row r="40670" spans="1:5" x14ac:dyDescent="0.25">
      <c r="A40670" t="str">
        <f>HYPERLINK("https://www.773grp.com/globalSearch/NB3N508SDTR2G/page-1", "NB3N508SDTR2G")</f>
        <v>NB3N508SDTR2G</v>
      </c>
      <c r="B40670" s="3" t="str">
        <f>HYPERLINK("https://www.773grp.com/manufacturer/onsemi?pageNo=30", "ON Semiconductor")</f>
        <v>ON Semiconductor</v>
      </c>
      <c r="C40670" s="6">
        <v>1965</v>
      </c>
      <c r="D40670" s="7">
        <v>4.2300000000000004</v>
      </c>
    </row>
    <row r="40671" spans="1:5" x14ac:dyDescent="0.25">
      <c r="A40671" t="str">
        <f>HYPERLINK("https://www.773grp.com/globalSearch/NCP1530DM25R2/page-1", "NCP1530DM25R2")</f>
        <v>NCP1530DM25R2</v>
      </c>
      <c r="B40671" s="3" t="str">
        <f>HYPERLINK("https://www.773grp.com/manufacturer/onsemi?pageNo=31", "ON Semiconductor")</f>
        <v>ON Semiconductor</v>
      </c>
      <c r="C40671" s="6">
        <v>3910</v>
      </c>
      <c r="D40671" s="7">
        <v>4.2300000000000004</v>
      </c>
      <c r="E40671" t="s">
        <v>7</v>
      </c>
    </row>
    <row r="40672" spans="1:5" x14ac:dyDescent="0.25">
      <c r="A40672" t="str">
        <f>HYPERLINK("https://www.773grp.com/globalSearch/NCP1650DR2/page-1", "NCP1650DR2")</f>
        <v>NCP1650DR2</v>
      </c>
      <c r="B40672" s="3" t="str">
        <f>HYPERLINK("https://www.773grp.com/manufacturer/onsemi?pageNo=32", "ON Semiconductor")</f>
        <v>ON Semiconductor</v>
      </c>
      <c r="C40672" s="6">
        <v>15868</v>
      </c>
      <c r="D40672" s="7">
        <v>4.2300000000000004</v>
      </c>
      <c r="E40672" t="s">
        <v>7</v>
      </c>
    </row>
    <row r="40673" spans="1:5" x14ac:dyDescent="0.25">
      <c r="A40673" t="str">
        <f>HYPERLINK("https://www.773grp.com/globalSearch/NCP5810DMUTXG/page-1", "NCP5810DMUTXG")</f>
        <v>NCP5810DMUTXG</v>
      </c>
      <c r="B40673" s="3" t="str">
        <f>HYPERLINK("https://www.773grp.com/manufacturer/onsemi?pageNo=33", "ON Semiconductor")</f>
        <v>ON Semiconductor</v>
      </c>
      <c r="C40673" s="6">
        <v>1326</v>
      </c>
      <c r="D40673" s="7">
        <v>4.2300000000000004</v>
      </c>
      <c r="E40673" t="s">
        <v>7</v>
      </c>
    </row>
    <row r="40674" spans="1:5" x14ac:dyDescent="0.25">
      <c r="A40674" t="str">
        <f>HYPERLINK("https://www.773grp.com/globalSearch/NCV59151MN18TYG/page-1", "NCV59151MN18TYG")</f>
        <v>NCV59151MN18TYG</v>
      </c>
      <c r="B40674" s="3" t="str">
        <f>HYPERLINK("https://www.773grp.com/manufacturer/onsemi?pageNo=34", "ON Semiconductor")</f>
        <v>ON Semiconductor</v>
      </c>
      <c r="C40674" s="6">
        <v>4000</v>
      </c>
      <c r="D40674" s="7">
        <v>4.2300000000000004</v>
      </c>
    </row>
    <row r="40675" spans="1:5" x14ac:dyDescent="0.25">
      <c r="A40675" t="str">
        <f>HYPERLINK("https://www.773grp.com/globalSearch/NCV59151MN33TYG/page-1", "NCV59151MN33TYG")</f>
        <v>NCV59151MN33TYG</v>
      </c>
      <c r="B40675" s="3" t="str">
        <f>HYPERLINK("https://www.773grp.com/manufacturer/onsemi?pageNo=35", "ON Semiconductor")</f>
        <v>ON Semiconductor</v>
      </c>
      <c r="C40675" s="6">
        <v>4000</v>
      </c>
      <c r="D40675" s="7">
        <v>4.2300000000000004</v>
      </c>
    </row>
    <row r="40676" spans="1:5" x14ac:dyDescent="0.25">
      <c r="A40676" t="str">
        <f>HYPERLINK("https://www.773grp.com/globalSearch/NCV59151MN50TYG/page-1", "NCV59151MN50TYG")</f>
        <v>NCV59151MN50TYG</v>
      </c>
      <c r="B40676" s="3" t="str">
        <f>HYPERLINK("https://www.773grp.com/manufacturer/onsemi?pageNo=36", "ON Semiconductor")</f>
        <v>ON Semiconductor</v>
      </c>
      <c r="C40676" s="6">
        <v>4000</v>
      </c>
      <c r="D40676" s="7">
        <v>4.2300000000000004</v>
      </c>
    </row>
    <row r="40677" spans="1:5" x14ac:dyDescent="0.25">
      <c r="A40677" t="str">
        <f>HYPERLINK("https://www.773grp.com/globalSearch/NCV59152MNADJTYG/page-1", "NCV59152MNADJTYG")</f>
        <v>NCV59152MNADJTYG</v>
      </c>
      <c r="B40677" s="3" t="str">
        <f>HYPERLINK("https://www.773grp.com/manufacturer/onsemi?pageNo=37", "ON Semiconductor")</f>
        <v>ON Semiconductor</v>
      </c>
      <c r="C40677" s="6">
        <v>8000</v>
      </c>
      <c r="D40677" s="7">
        <v>4.2300000000000004</v>
      </c>
    </row>
    <row r="40678" spans="1:5" x14ac:dyDescent="0.25">
      <c r="A40678" t="str">
        <f>HYPERLINK("https://www.773grp.com/globalSearch/NCV7382DR2G/page-1", "NCV7382DR2G")</f>
        <v>NCV7382DR2G</v>
      </c>
      <c r="B40678" s="3" t="str">
        <f>HYPERLINK("https://www.773grp.com/manufacturer/onsemi?pageNo=38", "ON Semiconductor")</f>
        <v>ON Semiconductor</v>
      </c>
      <c r="C40678" s="6">
        <v>32500</v>
      </c>
      <c r="D40678" s="7">
        <v>4.2300000000000004</v>
      </c>
      <c r="E40678" t="s">
        <v>21</v>
      </c>
    </row>
    <row r="40679" spans="1:5" x14ac:dyDescent="0.25">
      <c r="A40679" t="str">
        <f>HYPERLINK("https://www.773grp.com/globalSearch/NGB8206ANSL3G/page-1", "NGB8206ANSL3G")</f>
        <v>NGB8206ANSL3G</v>
      </c>
      <c r="B40679" s="3" t="str">
        <f>HYPERLINK("https://www.773grp.com/manufacturer/onsemi?pageNo=39", "ON Semiconductor")</f>
        <v>ON Semiconductor</v>
      </c>
      <c r="C40679" s="6">
        <v>2800</v>
      </c>
      <c r="D40679" s="7">
        <v>4.2300000000000004</v>
      </c>
    </row>
    <row r="40680" spans="1:5" x14ac:dyDescent="0.25">
      <c r="A40680" t="str">
        <f>HYPERLINK("https://www.773grp.com/globalSearch/NGB8206ANT4G/page-1", "NGB8206ANT4G")</f>
        <v>NGB8206ANT4G</v>
      </c>
      <c r="B40680" s="3" t="str">
        <f>HYPERLINK("https://www.773grp.com/manufacturer/onsemi?pageNo=40", "ON Semiconductor")</f>
        <v>ON Semiconductor</v>
      </c>
      <c r="C40680" s="6">
        <v>50400</v>
      </c>
      <c r="D40680" s="7">
        <v>4.2300000000000004</v>
      </c>
    </row>
    <row r="40681" spans="1:5" x14ac:dyDescent="0.25">
      <c r="A40681" t="str">
        <f>HYPERLINK("https://www.773grp.com/globalSearch/NGB8206ANTF4G/page-1", "NGB8206ANTF4G")</f>
        <v>NGB8206ANTF4G</v>
      </c>
      <c r="B40681" s="3" t="str">
        <f>HYPERLINK("https://www.773grp.com/manufacturer/onsemi?pageNo=41", "ON Semiconductor")</f>
        <v>ON Semiconductor</v>
      </c>
      <c r="C40681" s="6">
        <v>3500</v>
      </c>
      <c r="D40681" s="7">
        <v>4.2300000000000004</v>
      </c>
    </row>
    <row r="40682" spans="1:5" x14ac:dyDescent="0.25">
      <c r="A40682" t="str">
        <f>HYPERLINK("https://www.773grp.com/globalSearch/NGP8203N/page-1", "NGP8203N")</f>
        <v>NGP8203N</v>
      </c>
      <c r="B40682" s="3" t="str">
        <f>HYPERLINK("https://www.773grp.com/manufacturer/onsemi?pageNo=42", "ON Semiconductor")</f>
        <v>ON Semiconductor</v>
      </c>
      <c r="C40682" s="6">
        <v>3980</v>
      </c>
      <c r="D40682" s="7">
        <v>4.2300000000000004</v>
      </c>
      <c r="E40682" t="s">
        <v>115</v>
      </c>
    </row>
    <row r="40683" spans="1:5" x14ac:dyDescent="0.25">
      <c r="A40683" t="str">
        <f>HYPERLINK("https://www.773grp.com/globalSearch/NTB5405NG/page-1", "NTB5405NG")</f>
        <v>NTB5405NG</v>
      </c>
      <c r="B40683" s="3" t="str">
        <f>HYPERLINK("https://www.773grp.com/manufacturer/onsemi?pageNo=43", "ON Semiconductor")</f>
        <v>ON Semiconductor</v>
      </c>
      <c r="C40683" s="6">
        <v>2300</v>
      </c>
      <c r="D40683" s="7">
        <v>4.2300000000000004</v>
      </c>
      <c r="E40683" t="s">
        <v>105</v>
      </c>
    </row>
    <row r="40684" spans="1:5" x14ac:dyDescent="0.25">
      <c r="A40684" t="str">
        <f>HYPERLINK("https://www.773grp.com/globalSearch/P2I2305NZG-08SR/page-1", "P2I2305NZG-08SR")</f>
        <v>P2I2305NZG-08SR</v>
      </c>
      <c r="B40684" s="3" t="str">
        <f>HYPERLINK("https://www.773grp.com/manufacturer/onsemi?pageNo=44", "ON Semiconductor")</f>
        <v>ON Semiconductor</v>
      </c>
      <c r="C40684" s="6">
        <v>2500</v>
      </c>
      <c r="D40684" s="7">
        <v>4.2300000000000004</v>
      </c>
      <c r="E40684" t="s">
        <v>34</v>
      </c>
    </row>
    <row r="40685" spans="1:5" x14ac:dyDescent="0.25">
      <c r="A40685" t="str">
        <f>HYPERLINK("https://www.773grp.com/globalSearch/SBT150-06J/page-1", "SBT150-06J")</f>
        <v>SBT150-06J</v>
      </c>
      <c r="B40685" s="3" t="str">
        <f>HYPERLINK("https://www.773grp.com/manufacturer/onsemi?pageNo=45", "ON Semiconductor")</f>
        <v>ON Semiconductor</v>
      </c>
      <c r="C40685" s="6">
        <v>4000</v>
      </c>
      <c r="D40685" s="7">
        <v>4.2300000000000004</v>
      </c>
    </row>
    <row r="40686" spans="1:5" x14ac:dyDescent="0.25">
      <c r="A40686" t="str">
        <f>HYPERLINK("https://www.773grp.com/globalSearch/CAT5113LI-01-G/page-1", "CAT5113LI-01-G")</f>
        <v>CAT5113LI-01-G</v>
      </c>
      <c r="B40686" s="3" t="str">
        <f>HYPERLINK("https://www.773grp.com/manufacturer/onsemi?pageNo=46", "ON Semiconductor")</f>
        <v>ON Semiconductor</v>
      </c>
      <c r="C40686" s="6">
        <v>250</v>
      </c>
      <c r="D40686" s="7">
        <v>3.85</v>
      </c>
    </row>
    <row r="40687" spans="1:5" x14ac:dyDescent="0.25">
      <c r="A40687" t="str">
        <f>HYPERLINK("https://www.773grp.com/globalSearch/CAT5113LI10/page-1", "CAT5113LI10")</f>
        <v>CAT5113LI10</v>
      </c>
      <c r="B40687" s="3" t="str">
        <f>HYPERLINK("https://www.773grp.com/manufacturer/onsemi?pageNo=47", "ON Semiconductor")</f>
        <v>ON Semiconductor</v>
      </c>
      <c r="C40687" s="6">
        <v>1950</v>
      </c>
      <c r="D40687" s="7">
        <v>3.85</v>
      </c>
      <c r="E40687" t="s">
        <v>99</v>
      </c>
    </row>
    <row r="40688" spans="1:5" x14ac:dyDescent="0.25">
      <c r="A40688" t="str">
        <f>HYPERLINK("https://www.773grp.com/globalSearch/CAT5113LI-10-G/page-1", "CAT5113LI-10-G")</f>
        <v>CAT5113LI-10-G</v>
      </c>
      <c r="B40688" s="3" t="str">
        <f>HYPERLINK("https://www.773grp.com/manufacturer/onsemi?pageNo=48", "ON Semiconductor")</f>
        <v>ON Semiconductor</v>
      </c>
      <c r="C40688" s="6">
        <v>149</v>
      </c>
      <c r="D40688" s="7">
        <v>3.85</v>
      </c>
      <c r="E40688" t="s">
        <v>99</v>
      </c>
    </row>
    <row r="40689" spans="1:5" x14ac:dyDescent="0.25">
      <c r="A40689" t="str">
        <f>HYPERLINK("https://www.773grp.com/globalSearch/SN54LS670J/page-1", "SN54LS670J")</f>
        <v>SN54LS670J</v>
      </c>
      <c r="B40689" s="3" t="str">
        <f>HYPERLINK("https://www.773grp.com/manufacturer/onsemi?pageNo=49", "ON Semiconductor")</f>
        <v>ON Semiconductor</v>
      </c>
      <c r="C40689" s="6">
        <v>266</v>
      </c>
      <c r="D40689" s="7">
        <v>3.85</v>
      </c>
      <c r="E40689" t="s">
        <v>75</v>
      </c>
    </row>
    <row r="40690" spans="1:5" x14ac:dyDescent="0.25">
      <c r="A40690" t="str">
        <f>HYPERLINK("https://www.773grp.com/globalSearch/CS44103TVA7/page-1", "CS44103TVA7")</f>
        <v>CS44103TVA7</v>
      </c>
      <c r="B40690" s="3" t="str">
        <f>HYPERLINK("https://www.773grp.com/manufacturer/onsemi?pageNo=50", "ON Semiconductor")</f>
        <v>ON Semiconductor</v>
      </c>
      <c r="C40690" s="6">
        <v>250</v>
      </c>
      <c r="D40690" s="7">
        <v>4.28</v>
      </c>
    </row>
    <row r="40691" spans="1:5" x14ac:dyDescent="0.25">
      <c r="A40691" t="str">
        <f>HYPERLINK("https://www.773grp.com/globalSearch/CS51021ED16/page-1", "CS51021ED16")</f>
        <v>CS51021ED16</v>
      </c>
      <c r="B40691" s="3" t="str">
        <f>HYPERLINK("https://www.773grp.com/manufacturer/onsemi?pageNo=51", "ON Semiconductor")</f>
        <v>ON Semiconductor</v>
      </c>
      <c r="C40691" s="6">
        <v>1728</v>
      </c>
      <c r="D40691" s="7">
        <v>4.28</v>
      </c>
      <c r="E40691" t="s">
        <v>7</v>
      </c>
    </row>
    <row r="40692" spans="1:5" x14ac:dyDescent="0.25">
      <c r="A40692" t="str">
        <f>HYPERLINK("https://www.773grp.com/globalSearch/CS51021EDR16/page-1", "CS51021EDR16")</f>
        <v>CS51021EDR16</v>
      </c>
      <c r="B40692" s="3" t="str">
        <f>HYPERLINK("https://www.773grp.com/manufacturer/onsemi?pageNo=52", "ON Semiconductor")</f>
        <v>ON Semiconductor</v>
      </c>
      <c r="C40692" s="6">
        <v>206062</v>
      </c>
      <c r="D40692" s="7">
        <v>4.28</v>
      </c>
      <c r="E40692" t="s">
        <v>7</v>
      </c>
    </row>
    <row r="40693" spans="1:5" x14ac:dyDescent="0.25">
      <c r="A40693" t="str">
        <f>HYPERLINK("https://www.773grp.com/globalSearch/CS8101YDWF20/page-1", "CS8101YDWF20")</f>
        <v>CS8101YDWF20</v>
      </c>
      <c r="B40693" s="3" t="str">
        <f>HYPERLINK("https://www.773grp.com/manufacturer/onsemi?pageNo=53", "ON Semiconductor")</f>
        <v>ON Semiconductor</v>
      </c>
      <c r="C40693" s="6">
        <v>1026</v>
      </c>
      <c r="D40693" s="7">
        <v>4.28</v>
      </c>
      <c r="E40693" t="s">
        <v>19</v>
      </c>
    </row>
    <row r="40694" spans="1:5" x14ac:dyDescent="0.25">
      <c r="A40694" t="str">
        <f>HYPERLINK("https://www.773grp.com/globalSearch/CS8126-1YDPSR7/page-1", "CS8126-1YDPSR7")</f>
        <v>CS8126-1YDPSR7</v>
      </c>
      <c r="B40694" s="3" t="str">
        <f>HYPERLINK("https://www.773grp.com/manufacturer/onsemi?pageNo=54", "ON Semiconductor")</f>
        <v>ON Semiconductor</v>
      </c>
      <c r="C40694" s="6">
        <v>3665</v>
      </c>
      <c r="D40694" s="7">
        <v>4.28</v>
      </c>
      <c r="E40694" t="s">
        <v>19</v>
      </c>
    </row>
    <row r="40695" spans="1:5" x14ac:dyDescent="0.25">
      <c r="A40695" t="str">
        <f>HYPERLINK("https://www.773grp.com/globalSearch/LM2576T-005/page-1", "LM2576T-005")</f>
        <v>LM2576T-005</v>
      </c>
      <c r="B40695" s="3" t="str">
        <f>HYPERLINK("https://www.773grp.com/manufacturer/onsemi?pageNo=55", "ON Semiconductor")</f>
        <v>ON Semiconductor</v>
      </c>
      <c r="C40695" s="6">
        <v>1100</v>
      </c>
      <c r="D40695" s="7">
        <v>4.28</v>
      </c>
      <c r="E40695" t="s">
        <v>7</v>
      </c>
    </row>
    <row r="40696" spans="1:5" x14ac:dyDescent="0.25">
      <c r="A40696" t="str">
        <f>HYPERLINK("https://www.773grp.com/globalSearch/LM2576T-3.3/page-1", "LM2576T-3.3")</f>
        <v>LM2576T-3.3</v>
      </c>
      <c r="B40696" s="3" t="str">
        <f>HYPERLINK("https://www.773grp.com/manufacturer/onsemi?pageNo=56", "ON Semiconductor")</f>
        <v>ON Semiconductor</v>
      </c>
      <c r="C40696" s="6">
        <v>20000</v>
      </c>
      <c r="D40696" s="7">
        <v>4.28</v>
      </c>
      <c r="E40696" t="s">
        <v>7</v>
      </c>
    </row>
    <row r="40697" spans="1:5" x14ac:dyDescent="0.25">
      <c r="A40697" t="str">
        <f>HYPERLINK("https://www.773grp.com/globalSearch/LM2576T-ADJ/page-1", "LM2576T-ADJ")</f>
        <v>LM2576T-ADJ</v>
      </c>
      <c r="B40697" s="3" t="str">
        <f>HYPERLINK("https://www.773grp.com/manufacturer/onsemi?pageNo=57", "ON Semiconductor")</f>
        <v>ON Semiconductor</v>
      </c>
      <c r="C40697" s="6">
        <v>8539</v>
      </c>
      <c r="D40697" s="7">
        <v>4.28</v>
      </c>
      <c r="E40697" t="s">
        <v>7</v>
      </c>
    </row>
    <row r="40698" spans="1:5" x14ac:dyDescent="0.25">
      <c r="A40698" t="str">
        <f>HYPERLINK("https://www.773grp.com/globalSearch/LM2576TV-005/page-1", "LM2576TV-005")</f>
        <v>LM2576TV-005</v>
      </c>
      <c r="B40698" s="3" t="str">
        <f>HYPERLINK("https://www.773grp.com/manufacturer/onsemi?pageNo=58", "ON Semiconductor")</f>
        <v>ON Semiconductor</v>
      </c>
      <c r="C40698" s="6">
        <v>9000</v>
      </c>
      <c r="D40698" s="7">
        <v>4.28</v>
      </c>
      <c r="E40698" t="s">
        <v>7</v>
      </c>
    </row>
    <row r="40699" spans="1:5" x14ac:dyDescent="0.25">
      <c r="A40699" t="str">
        <f>HYPERLINK("https://www.773grp.com/globalSearch/LM2576TV-012/page-1", "LM2576TV-012")</f>
        <v>LM2576TV-012</v>
      </c>
      <c r="B40699" s="3" t="str">
        <f>HYPERLINK("https://www.773grp.com/manufacturer/onsemi?pageNo=59", "ON Semiconductor")</f>
        <v>ON Semiconductor</v>
      </c>
      <c r="C40699" s="6">
        <v>4058</v>
      </c>
      <c r="D40699" s="7">
        <v>4.28</v>
      </c>
      <c r="E40699" t="s">
        <v>7</v>
      </c>
    </row>
    <row r="40700" spans="1:5" x14ac:dyDescent="0.25">
      <c r="A40700" t="str">
        <f>HYPERLINK("https://www.773grp.com/globalSearch/MBR2030CTLG/page-1", "MBR2030CTLG")</f>
        <v>MBR2030CTLG</v>
      </c>
      <c r="B40700" s="3" t="str">
        <f>HYPERLINK("https://www.773grp.com/manufacturer/onsemi?pageNo=60", "ON Semiconductor")</f>
        <v>ON Semiconductor</v>
      </c>
      <c r="C40700" s="6">
        <v>700</v>
      </c>
      <c r="D40700" s="7">
        <v>4.28</v>
      </c>
      <c r="E40700" t="s">
        <v>103</v>
      </c>
    </row>
    <row r="40701" spans="1:5" x14ac:dyDescent="0.25">
      <c r="A40701" t="str">
        <f>HYPERLINK("https://www.773grp.com/globalSearch/MC74ACT521M/page-1", "MC74ACT521M")</f>
        <v>MC74ACT521M</v>
      </c>
      <c r="B40701" s="3" t="str">
        <f>HYPERLINK("https://www.773grp.com/manufacturer/onsemi?pageNo=61", "ON Semiconductor")</f>
        <v>ON Semiconductor</v>
      </c>
      <c r="C40701" s="6">
        <v>3520</v>
      </c>
      <c r="D40701" s="7">
        <v>4.28</v>
      </c>
    </row>
    <row r="40702" spans="1:5" x14ac:dyDescent="0.25">
      <c r="A40702" t="str">
        <f>HYPERLINK("https://www.773grp.com/globalSearch/MC74ACT521MEL/page-1", "MC74ACT521MEL")</f>
        <v>MC74ACT521MEL</v>
      </c>
      <c r="B40702" s="3" t="str">
        <f>HYPERLINK("https://www.773grp.com/manufacturer/onsemi?pageNo=62", "ON Semiconductor")</f>
        <v>ON Semiconductor</v>
      </c>
      <c r="C40702" s="6">
        <v>2000</v>
      </c>
      <c r="D40702" s="7">
        <v>4.28</v>
      </c>
    </row>
    <row r="40703" spans="1:5" x14ac:dyDescent="0.25">
      <c r="A40703" t="str">
        <f>HYPERLINK("https://www.773grp.com/globalSearch/MR2835SK/page-1", "MR2835SK")</f>
        <v>MR2835SK</v>
      </c>
      <c r="B40703" s="3" t="str">
        <f>HYPERLINK("https://www.773grp.com/manufacturer/onsemi?pageNo=63", "ON Semiconductor")</f>
        <v>ON Semiconductor</v>
      </c>
      <c r="C40703" s="6">
        <v>10340</v>
      </c>
      <c r="D40703" s="7">
        <v>4.28</v>
      </c>
      <c r="E40703" t="s">
        <v>96</v>
      </c>
    </row>
    <row r="40704" spans="1:5" x14ac:dyDescent="0.25">
      <c r="A40704" t="str">
        <f>HYPERLINK("https://www.773grp.com/globalSearch/MTA2N60E/page-1", "MTA2N60E")</f>
        <v>MTA2N60E</v>
      </c>
      <c r="B40704" s="3" t="str">
        <f>HYPERLINK("https://www.773grp.com/manufacturer/onsemi?pageNo=64", "ON Semiconductor")</f>
        <v>ON Semiconductor</v>
      </c>
      <c r="C40704" s="6">
        <v>18829</v>
      </c>
      <c r="D40704" s="7">
        <v>4.28</v>
      </c>
      <c r="E40704" t="s">
        <v>105</v>
      </c>
    </row>
    <row r="40705" spans="1:5" x14ac:dyDescent="0.25">
      <c r="A40705" t="str">
        <f>HYPERLINK("https://www.773grp.com/globalSearch/MTP5P25/page-1", "MTP5P25")</f>
        <v>MTP5P25</v>
      </c>
      <c r="B40705" s="3" t="str">
        <f>HYPERLINK("https://www.773grp.com/manufacturer/onsemi?pageNo=65", "ON Semiconductor")</f>
        <v>ON Semiconductor</v>
      </c>
      <c r="C40705" s="6">
        <v>75900</v>
      </c>
      <c r="D40705" s="7">
        <v>4.28</v>
      </c>
      <c r="E40705" t="s">
        <v>105</v>
      </c>
    </row>
    <row r="40706" spans="1:5" x14ac:dyDescent="0.25">
      <c r="A40706" t="str">
        <f>HYPERLINK("https://www.773grp.com/globalSearch/NCV8675DS33G/page-1", "NCV8675DS33G")</f>
        <v>NCV8675DS33G</v>
      </c>
      <c r="B40706" s="3" t="str">
        <f>HYPERLINK("https://www.773grp.com/manufacturer/onsemi?pageNo=66", "ON Semiconductor")</f>
        <v>ON Semiconductor</v>
      </c>
      <c r="C40706" s="6">
        <v>1600</v>
      </c>
      <c r="D40706" s="7">
        <v>4.28</v>
      </c>
      <c r="E40706" t="s">
        <v>19</v>
      </c>
    </row>
    <row r="40707" spans="1:5" x14ac:dyDescent="0.25">
      <c r="A40707" t="str">
        <f>HYPERLINK("https://www.773grp.com/globalSearch/NCV8675DS50R4G/page-1", "NCV8675DS50R4G")</f>
        <v>NCV8675DS50R4G</v>
      </c>
      <c r="B40707" s="3" t="str">
        <f>HYPERLINK("https://www.773grp.com/manufacturer/onsemi?pageNo=67", "ON Semiconductor")</f>
        <v>ON Semiconductor</v>
      </c>
      <c r="C40707" s="6">
        <v>7760</v>
      </c>
      <c r="D40707" s="7">
        <v>4.28</v>
      </c>
    </row>
    <row r="40708" spans="1:5" x14ac:dyDescent="0.25">
      <c r="A40708" t="str">
        <f>HYPERLINK("https://www.773grp.com/globalSearch/NCV87722DT50RKG/page-1", "NCV87722DT50RKG")</f>
        <v>NCV87722DT50RKG</v>
      </c>
      <c r="B40708" s="3" t="str">
        <f>HYPERLINK("https://www.773grp.com/manufacturer/onsemi?pageNo=68", "ON Semiconductor")</f>
        <v>ON Semiconductor</v>
      </c>
      <c r="C40708" s="6">
        <v>2500</v>
      </c>
      <c r="D40708" s="7">
        <v>4.28</v>
      </c>
    </row>
    <row r="40709" spans="1:5" x14ac:dyDescent="0.25">
      <c r="A40709" t="str">
        <f>HYPERLINK("https://www.773grp.com/globalSearch/SN54LS399J/page-1", "SN54LS399J")</f>
        <v>SN54LS399J</v>
      </c>
      <c r="B40709" s="3" t="str">
        <f>HYPERLINK("https://www.773grp.com/manufacturer/onsemi?pageNo=69", "ON Semiconductor")</f>
        <v>ON Semiconductor</v>
      </c>
      <c r="C40709" s="6">
        <v>2856</v>
      </c>
      <c r="D40709" s="7">
        <v>4.28</v>
      </c>
      <c r="E40709" t="s">
        <v>35</v>
      </c>
    </row>
    <row r="40710" spans="1:5" x14ac:dyDescent="0.25">
      <c r="A40710" t="str">
        <f>HYPERLINK("https://www.773grp.com/globalSearch/CAT5113ZI00/page-1", "CAT5113ZI00")</f>
        <v>CAT5113ZI00</v>
      </c>
      <c r="B40710" s="3" t="str">
        <f>HYPERLINK("https://www.773grp.com/manufacturer/onsemi?pageNo=70", "ON Semiconductor")</f>
        <v>ON Semiconductor</v>
      </c>
      <c r="C40710" s="6">
        <v>896</v>
      </c>
      <c r="D40710" s="7">
        <v>3.89</v>
      </c>
      <c r="E40710" t="s">
        <v>99</v>
      </c>
    </row>
    <row r="40711" spans="1:5" x14ac:dyDescent="0.25">
      <c r="A40711" t="str">
        <f>HYPERLINK("https://www.773grp.com/globalSearch/CAT5113ZI-00-T3/page-1", "CAT5113ZI-00-T3")</f>
        <v>CAT5113ZI-00-T3</v>
      </c>
      <c r="B40711" s="3" t="str">
        <f>HYPERLINK("https://www.773grp.com/manufacturer/onsemi?pageNo=71", "ON Semiconductor")</f>
        <v>ON Semiconductor</v>
      </c>
      <c r="C40711" s="6">
        <v>2500</v>
      </c>
      <c r="D40711" s="7">
        <v>3.89</v>
      </c>
      <c r="E40711" t="s">
        <v>99</v>
      </c>
    </row>
    <row r="40712" spans="1:5" x14ac:dyDescent="0.25">
      <c r="A40712" t="str">
        <f>HYPERLINK("https://www.773grp.com/globalSearch/MC100EL31D/page-1", "MC100EL31D")</f>
        <v>MC100EL31D</v>
      </c>
      <c r="B40712" s="3" t="str">
        <f>HYPERLINK("https://www.773grp.com/manufacturer/onsemi?pageNo=72", "ON Semiconductor")</f>
        <v>ON Semiconductor</v>
      </c>
      <c r="C40712" s="6">
        <v>5282</v>
      </c>
      <c r="D40712" s="7">
        <v>3.89</v>
      </c>
      <c r="E40712" t="s">
        <v>35</v>
      </c>
    </row>
    <row r="40713" spans="1:5" x14ac:dyDescent="0.25">
      <c r="A40713" t="str">
        <f>HYPERLINK("https://www.773grp.com/globalSearch/MC100EL31DT/page-1", "MC100EL31DT")</f>
        <v>MC100EL31DT</v>
      </c>
      <c r="B40713" s="3" t="str">
        <f>HYPERLINK("https://www.773grp.com/manufacturer/onsemi?pageNo=73", "ON Semiconductor")</f>
        <v>ON Semiconductor</v>
      </c>
      <c r="C40713" s="6">
        <v>3870</v>
      </c>
      <c r="D40713" s="7">
        <v>3.89</v>
      </c>
      <c r="E40713" t="s">
        <v>35</v>
      </c>
    </row>
    <row r="40714" spans="1:5" x14ac:dyDescent="0.25">
      <c r="A40714" t="str">
        <f>HYPERLINK("https://www.773grp.com/globalSearch/MC100LVEL31D/page-1", "MC100LVEL31D")</f>
        <v>MC100LVEL31D</v>
      </c>
      <c r="B40714" s="3" t="str">
        <f>HYPERLINK("https://www.773grp.com/manufacturer/onsemi?pageNo=74", "ON Semiconductor")</f>
        <v>ON Semiconductor</v>
      </c>
      <c r="C40714" s="6">
        <v>5420</v>
      </c>
      <c r="D40714" s="7">
        <v>3.89</v>
      </c>
      <c r="E40714" t="s">
        <v>35</v>
      </c>
    </row>
    <row r="40715" spans="1:5" x14ac:dyDescent="0.25">
      <c r="A40715" t="str">
        <f>HYPERLINK("https://www.773grp.com/globalSearch/MC100LVEL31DT/page-1", "MC100LVEL31DT")</f>
        <v>MC100LVEL31DT</v>
      </c>
      <c r="B40715" s="3" t="str">
        <f>HYPERLINK("https://www.773grp.com/manufacturer/onsemi?pageNo=75", "ON Semiconductor")</f>
        <v>ON Semiconductor</v>
      </c>
      <c r="C40715" s="6">
        <v>492</v>
      </c>
      <c r="D40715" s="7">
        <v>3.89</v>
      </c>
      <c r="E40715" t="s">
        <v>35</v>
      </c>
    </row>
    <row r="40716" spans="1:5" x14ac:dyDescent="0.25">
      <c r="A40716" t="str">
        <f>HYPERLINK("https://www.773grp.com/globalSearch/MC10EL31D/page-1", "MC10EL31D")</f>
        <v>MC10EL31D</v>
      </c>
      <c r="B40716" s="3" t="str">
        <f>HYPERLINK("https://www.773grp.com/manufacturer/onsemi?pageNo=76", "ON Semiconductor")</f>
        <v>ON Semiconductor</v>
      </c>
      <c r="C40716" s="6">
        <v>32538</v>
      </c>
      <c r="D40716" s="7">
        <v>3.89</v>
      </c>
      <c r="E40716" t="s">
        <v>35</v>
      </c>
    </row>
    <row r="40717" spans="1:5" x14ac:dyDescent="0.25">
      <c r="A40717" t="str">
        <f>HYPERLINK("https://www.773grp.com/globalSearch/MC10EL31DT/page-1", "MC10EL31DT")</f>
        <v>MC10EL31DT</v>
      </c>
      <c r="B40717" s="3" t="str">
        <f>HYPERLINK("https://www.773grp.com/manufacturer/onsemi?pageNo=77", "ON Semiconductor")</f>
        <v>ON Semiconductor</v>
      </c>
      <c r="C40717" s="6">
        <v>5641</v>
      </c>
      <c r="D40717" s="7">
        <v>3.89</v>
      </c>
      <c r="E40717" t="s">
        <v>35</v>
      </c>
    </row>
    <row r="40718" spans="1:5" x14ac:dyDescent="0.25">
      <c r="A40718" t="str">
        <f>HYPERLINK("https://www.773grp.com/globalSearch/MC10EL89D/page-1", "MC10EL89D")</f>
        <v>MC10EL89D</v>
      </c>
      <c r="B40718" s="3" t="str">
        <f>HYPERLINK("https://www.773grp.com/manufacturer/onsemi?pageNo=78", "ON Semiconductor")</f>
        <v>ON Semiconductor</v>
      </c>
      <c r="C40718" s="6">
        <v>14042</v>
      </c>
      <c r="D40718" s="7">
        <v>3.89</v>
      </c>
      <c r="E40718" t="s">
        <v>21</v>
      </c>
    </row>
    <row r="40719" spans="1:5" x14ac:dyDescent="0.25">
      <c r="A40719" t="str">
        <f>HYPERLINK("https://www.773grp.com/globalSearch/MC10EL89DR2/page-1", "MC10EL89DR2")</f>
        <v>MC10EL89DR2</v>
      </c>
      <c r="B40719" s="3" t="str">
        <f>HYPERLINK("https://www.773grp.com/manufacturer/onsemi?pageNo=79", "ON Semiconductor")</f>
        <v>ON Semiconductor</v>
      </c>
      <c r="C40719" s="6">
        <v>7500</v>
      </c>
      <c r="D40719" s="7">
        <v>3.89</v>
      </c>
      <c r="E40719" t="s">
        <v>21</v>
      </c>
    </row>
    <row r="40720" spans="1:5" x14ac:dyDescent="0.25">
      <c r="A40720" t="str">
        <f>HYPERLINK("https://www.773grp.com/globalSearch/MC10EL89DT/page-1", "MC10EL89DT")</f>
        <v>MC10EL89DT</v>
      </c>
      <c r="B40720" s="3" t="str">
        <f>HYPERLINK("https://www.773grp.com/manufacturer/onsemi?pageNo=80", "ON Semiconductor")</f>
        <v>ON Semiconductor</v>
      </c>
      <c r="C40720" s="6">
        <v>2755</v>
      </c>
      <c r="D40720" s="7">
        <v>3.89</v>
      </c>
      <c r="E40720" t="s">
        <v>21</v>
      </c>
    </row>
    <row r="40721" spans="1:5" x14ac:dyDescent="0.25">
      <c r="A40721" t="str">
        <f>HYPERLINK("https://www.773grp.com/globalSearch/MC10H158FN/page-1", "MC10H158FN")</f>
        <v>MC10H158FN</v>
      </c>
      <c r="B40721" s="3" t="str">
        <f>HYPERLINK("https://www.773grp.com/manufacturer/onsemi?pageNo=81", "ON Semiconductor")</f>
        <v>ON Semiconductor</v>
      </c>
      <c r="C40721" s="6">
        <v>5277</v>
      </c>
      <c r="D40721" s="7">
        <v>3.89</v>
      </c>
      <c r="E40721" t="s">
        <v>20</v>
      </c>
    </row>
    <row r="40722" spans="1:5" x14ac:dyDescent="0.25">
      <c r="A40722" t="str">
        <f>HYPERLINK("https://www.773grp.com/globalSearch/MC10H158FNR2/page-1", "MC10H158FNR2")</f>
        <v>MC10H158FNR2</v>
      </c>
      <c r="B40722" s="3" t="str">
        <f>HYPERLINK("https://www.773grp.com/manufacturer/onsemi?pageNo=82", "ON Semiconductor")</f>
        <v>ON Semiconductor</v>
      </c>
      <c r="C40722" s="6">
        <v>4350</v>
      </c>
      <c r="D40722" s="7">
        <v>3.89</v>
      </c>
      <c r="E40722" t="s">
        <v>20</v>
      </c>
    </row>
    <row r="40723" spans="1:5" x14ac:dyDescent="0.25">
      <c r="A40723" t="str">
        <f>HYPERLINK("https://www.773grp.com/globalSearch/MC10H158FNR2G/page-1", "MC10H158FNR2G")</f>
        <v>MC10H158FNR2G</v>
      </c>
      <c r="B40723" s="3" t="str">
        <f>HYPERLINK("https://www.773grp.com/manufacturer/onsemi?pageNo=83", "ON Semiconductor")</f>
        <v>ON Semiconductor</v>
      </c>
      <c r="C40723" s="6">
        <v>2500</v>
      </c>
      <c r="D40723" s="7">
        <v>3.89</v>
      </c>
      <c r="E40723" t="s">
        <v>20</v>
      </c>
    </row>
    <row r="40724" spans="1:5" x14ac:dyDescent="0.25">
      <c r="A40724" t="str">
        <f>HYPERLINK("https://www.773grp.com/globalSearch/MC10H158M/page-1", "MC10H158M")</f>
        <v>MC10H158M</v>
      </c>
      <c r="B40724" s="3" t="str">
        <f>HYPERLINK("https://www.773grp.com/manufacturer/onsemi?pageNo=84", "ON Semiconductor")</f>
        <v>ON Semiconductor</v>
      </c>
      <c r="C40724" s="6">
        <v>4528</v>
      </c>
      <c r="D40724" s="7">
        <v>3.89</v>
      </c>
      <c r="E40724" t="s">
        <v>20</v>
      </c>
    </row>
    <row r="40725" spans="1:5" x14ac:dyDescent="0.25">
      <c r="A40725" t="str">
        <f>HYPERLINK("https://www.773grp.com/globalSearch/MC10H159FNR2/page-1", "MC10H159FNR2")</f>
        <v>MC10H159FNR2</v>
      </c>
      <c r="B40725" s="3" t="str">
        <f>HYPERLINK("https://www.773grp.com/manufacturer/onsemi?pageNo=85", "ON Semiconductor")</f>
        <v>ON Semiconductor</v>
      </c>
      <c r="C40725" s="6">
        <v>3000</v>
      </c>
      <c r="D40725" s="7">
        <v>3.89</v>
      </c>
      <c r="E40725" t="s">
        <v>20</v>
      </c>
    </row>
    <row r="40726" spans="1:5" x14ac:dyDescent="0.25">
      <c r="A40726" t="str">
        <f>HYPERLINK("https://www.773grp.com/globalSearch/MC10H162FN/page-1", "MC10H162FN")</f>
        <v>MC10H162FN</v>
      </c>
      <c r="B40726" s="3" t="str">
        <f>HYPERLINK("https://www.773grp.com/manufacturer/onsemi?pageNo=86", "ON Semiconductor")</f>
        <v>ON Semiconductor</v>
      </c>
      <c r="C40726" s="6">
        <v>2438</v>
      </c>
      <c r="D40726" s="7">
        <v>3.89</v>
      </c>
      <c r="E40726" t="s">
        <v>36</v>
      </c>
    </row>
    <row r="40727" spans="1:5" x14ac:dyDescent="0.25">
      <c r="A40727" t="str">
        <f>HYPERLINK("https://www.773grp.com/globalSearch/MC10H162FNR2/page-1", "MC10H162FNR2")</f>
        <v>MC10H162FNR2</v>
      </c>
      <c r="B40727" s="3" t="str">
        <f>HYPERLINK("https://www.773grp.com/manufacturer/onsemi?pageNo=87", "ON Semiconductor")</f>
        <v>ON Semiconductor</v>
      </c>
      <c r="C40727" s="6">
        <v>3500</v>
      </c>
      <c r="D40727" s="7">
        <v>3.89</v>
      </c>
      <c r="E40727" t="s">
        <v>36</v>
      </c>
    </row>
    <row r="40728" spans="1:5" x14ac:dyDescent="0.25">
      <c r="A40728" t="str">
        <f>HYPERLINK("https://www.773grp.com/globalSearch/MC10H162M/page-1", "MC10H162M")</f>
        <v>MC10H162M</v>
      </c>
      <c r="B40728" s="3" t="str">
        <f>HYPERLINK("https://www.773grp.com/manufacturer/onsemi?pageNo=88", "ON Semiconductor")</f>
        <v>ON Semiconductor</v>
      </c>
      <c r="C40728" s="6">
        <v>1831</v>
      </c>
      <c r="D40728" s="7">
        <v>3.89</v>
      </c>
      <c r="E40728" t="s">
        <v>36</v>
      </c>
    </row>
    <row r="40729" spans="1:5" x14ac:dyDescent="0.25">
      <c r="A40729" t="str">
        <f>HYPERLINK("https://www.773grp.com/globalSearch/MC10H174FNR2/page-1", "MC10H174FNR2")</f>
        <v>MC10H174FNR2</v>
      </c>
      <c r="B40729" s="3" t="str">
        <f>HYPERLINK("https://www.773grp.com/manufacturer/onsemi?pageNo=89", "ON Semiconductor")</f>
        <v>ON Semiconductor</v>
      </c>
      <c r="C40729" s="6">
        <v>500</v>
      </c>
      <c r="D40729" s="7">
        <v>3.89</v>
      </c>
      <c r="E40729" t="s">
        <v>20</v>
      </c>
    </row>
    <row r="40730" spans="1:5" x14ac:dyDescent="0.25">
      <c r="A40730" t="str">
        <f>HYPERLINK("https://www.773grp.com/globalSearch/MTW8N50E/page-1", "MTW8N50E")</f>
        <v>MTW8N50E</v>
      </c>
      <c r="B40730" s="3" t="str">
        <f>HYPERLINK("https://www.773grp.com/manufacturer/onsemi?pageNo=90", "ON Semiconductor")</f>
        <v>ON Semiconductor</v>
      </c>
      <c r="C40730" s="6">
        <v>2970</v>
      </c>
      <c r="D40730" s="7">
        <v>3.89</v>
      </c>
      <c r="E40730" t="s">
        <v>105</v>
      </c>
    </row>
    <row r="40731" spans="1:5" x14ac:dyDescent="0.25">
      <c r="A40731" t="str">
        <f>HYPERLINK("https://www.773grp.com/globalSearch/MTW8N50E/page-1", "MTW8N50E")</f>
        <v>MTW8N50E</v>
      </c>
      <c r="B40731" s="3" t="str">
        <f>HYPERLINK("https://www.773grp.com/manufacturer/onsemi?pageNo=91", "ON Semiconductor")</f>
        <v>ON Semiconductor</v>
      </c>
      <c r="C40731" s="6">
        <v>16800</v>
      </c>
      <c r="D40731" s="7">
        <v>3.89</v>
      </c>
      <c r="E40731" t="s">
        <v>105</v>
      </c>
    </row>
    <row r="40732" spans="1:5" x14ac:dyDescent="0.25">
      <c r="A40732" t="str">
        <f>HYPERLINK("https://www.773grp.com/globalSearch/N02L83W2AT25I/page-1", "N02L83W2AT25I")</f>
        <v>N02L83W2AT25I</v>
      </c>
      <c r="B40732" s="3" t="str">
        <f>HYPERLINK("https://www.773grp.com/manufacturer/onsemi?pageNo=92", "ON Semiconductor")</f>
        <v>ON Semiconductor</v>
      </c>
      <c r="C40732" s="6">
        <v>40113</v>
      </c>
      <c r="D40732" s="7">
        <v>3.89</v>
      </c>
      <c r="E40732" t="s">
        <v>75</v>
      </c>
    </row>
    <row r="40733" spans="1:5" x14ac:dyDescent="0.25">
      <c r="A40733" t="str">
        <f>HYPERLINK("https://www.773grp.com/globalSearch/NCV8506D2T25G/page-1", "NCV8506D2T25G")</f>
        <v>NCV8506D2T25G</v>
      </c>
      <c r="B40733" s="3" t="str">
        <f>HYPERLINK("https://www.773grp.com/manufacturer/onsemi?pageNo=93", "ON Semiconductor")</f>
        <v>ON Semiconductor</v>
      </c>
      <c r="C40733" s="6">
        <v>650</v>
      </c>
      <c r="D40733" s="7">
        <v>3.89</v>
      </c>
      <c r="E40733" t="s">
        <v>19</v>
      </c>
    </row>
    <row r="40734" spans="1:5" x14ac:dyDescent="0.25">
      <c r="A40734" t="str">
        <f>HYPERLINK("https://www.773grp.com/globalSearch/NCV8506D2T25R4G/page-1", "NCV8506D2T25R4G")</f>
        <v>NCV8506D2T25R4G</v>
      </c>
      <c r="B40734" s="3" t="str">
        <f>HYPERLINK("https://www.773grp.com/manufacturer/onsemi?pageNo=94", "ON Semiconductor")</f>
        <v>ON Semiconductor</v>
      </c>
      <c r="C40734" s="6">
        <v>4425</v>
      </c>
      <c r="D40734" s="7">
        <v>3.89</v>
      </c>
      <c r="E40734" t="s">
        <v>19</v>
      </c>
    </row>
    <row r="40735" spans="1:5" x14ac:dyDescent="0.25">
      <c r="A40735" t="str">
        <f>HYPERLINK("https://www.773grp.com/globalSearch/NCV8506D2T33G/page-1", "NCV8506D2T33G")</f>
        <v>NCV8506D2T33G</v>
      </c>
      <c r="B40735" s="3" t="str">
        <f>HYPERLINK("https://www.773grp.com/manufacturer/onsemi?pageNo=95", "ON Semiconductor")</f>
        <v>ON Semiconductor</v>
      </c>
      <c r="C40735" s="6">
        <v>2800</v>
      </c>
      <c r="D40735" s="7">
        <v>3.89</v>
      </c>
      <c r="E40735" t="s">
        <v>19</v>
      </c>
    </row>
    <row r="40736" spans="1:5" x14ac:dyDescent="0.25">
      <c r="A40736" t="str">
        <f>HYPERLINK("https://www.773grp.com/globalSearch/NCV8506D2T33R4G/page-1", "NCV8506D2T33R4G")</f>
        <v>NCV8506D2T33R4G</v>
      </c>
      <c r="B40736" s="3" t="str">
        <f>HYPERLINK("https://www.773grp.com/manufacturer/onsemi?pageNo=96", "ON Semiconductor")</f>
        <v>ON Semiconductor</v>
      </c>
      <c r="C40736" s="6">
        <v>4385</v>
      </c>
      <c r="D40736" s="7">
        <v>3.89</v>
      </c>
      <c r="E40736" t="s">
        <v>19</v>
      </c>
    </row>
    <row r="40737" spans="1:5" x14ac:dyDescent="0.25">
      <c r="A40737" t="str">
        <f>HYPERLINK("https://www.773grp.com/globalSearch/NCV8506D2T50G/page-1", "NCV8506D2T50G")</f>
        <v>NCV8506D2T50G</v>
      </c>
      <c r="B40737" s="3" t="str">
        <f>HYPERLINK("https://www.773grp.com/manufacturer/onsemi?pageNo=97", "ON Semiconductor")</f>
        <v>ON Semiconductor</v>
      </c>
      <c r="C40737" s="6">
        <v>200</v>
      </c>
      <c r="D40737" s="7">
        <v>3.89</v>
      </c>
      <c r="E40737" t="s">
        <v>19</v>
      </c>
    </row>
    <row r="40738" spans="1:5" x14ac:dyDescent="0.25">
      <c r="A40738" t="str">
        <f>HYPERLINK("https://www.773grp.com/globalSearch/NCV8506D2T50R4G/page-1", "NCV8506D2T50R4G")</f>
        <v>NCV8506D2T50R4G</v>
      </c>
      <c r="B40738" s="3" t="str">
        <f>HYPERLINK("https://www.773grp.com/manufacturer/onsemi?pageNo=98", "ON Semiconductor")</f>
        <v>ON Semiconductor</v>
      </c>
      <c r="C40738" s="6">
        <v>1628</v>
      </c>
      <c r="D40738" s="7">
        <v>3.89</v>
      </c>
      <c r="E40738" t="s">
        <v>19</v>
      </c>
    </row>
    <row r="40739" spans="1:5" x14ac:dyDescent="0.25">
      <c r="A40739" t="str">
        <f>HYPERLINK("https://www.773grp.com/globalSearch/NCV8506D2TADJG/page-1", "NCV8506D2TADJG")</f>
        <v>NCV8506D2TADJG</v>
      </c>
      <c r="B40739" s="3" t="str">
        <f>HYPERLINK("https://www.773grp.com/manufacturer/onsemi?pageNo=99", "ON Semiconductor")</f>
        <v>ON Semiconductor</v>
      </c>
      <c r="C40739" s="6">
        <v>650</v>
      </c>
      <c r="D40739" s="7">
        <v>3.89</v>
      </c>
      <c r="E40739" t="s">
        <v>25</v>
      </c>
    </row>
    <row r="40740" spans="1:5" x14ac:dyDescent="0.25">
      <c r="A40740" t="str">
        <f>HYPERLINK("https://www.773grp.com/globalSearch/NCV8506D2TADJR4G/page-1", "NCV8506D2TADJR4G")</f>
        <v>NCV8506D2TADJR4G</v>
      </c>
      <c r="B40740" s="3" t="str">
        <f>HYPERLINK("https://www.773grp.com/manufacturer/onsemi?pageNo=100", "ON Semiconductor")</f>
        <v>ON Semiconductor</v>
      </c>
      <c r="C40740" s="6">
        <v>3680</v>
      </c>
      <c r="D40740" s="7">
        <v>3.89</v>
      </c>
      <c r="E40740" t="s">
        <v>25</v>
      </c>
    </row>
    <row r="40741" spans="1:5" x14ac:dyDescent="0.25">
      <c r="A40741" t="str">
        <f>HYPERLINK("https://www.773grp.com/globalSearch/NCV8800HDW50R2G/page-1", "NCV8800HDW50R2G")</f>
        <v>NCV8800HDW50R2G</v>
      </c>
      <c r="B40741" s="3" t="str">
        <f>HYPERLINK("https://www.773grp.com/manufacturer/onsemi?pageNo=101", "ON Semiconductor")</f>
        <v>ON Semiconductor</v>
      </c>
      <c r="C40741" s="6">
        <v>60716</v>
      </c>
      <c r="D40741" s="7">
        <v>3.89</v>
      </c>
      <c r="E40741" t="s">
        <v>7</v>
      </c>
    </row>
    <row r="40742" spans="1:5" x14ac:dyDescent="0.25">
      <c r="A40742" t="str">
        <f>HYPERLINK("https://www.773grp.com/globalSearch/NGTG30N60FWG/page-1", "NGTG30N60FWG")</f>
        <v>NGTG30N60FWG</v>
      </c>
      <c r="B40742" s="3" t="str">
        <f>HYPERLINK("https://www.773grp.com/manufacturer/onsemi?pageNo=102", "ON Semiconductor")</f>
        <v>ON Semiconductor</v>
      </c>
      <c r="C40742" s="6">
        <v>60</v>
      </c>
      <c r="D40742" s="7">
        <v>3.89</v>
      </c>
    </row>
    <row r="40743" spans="1:5" x14ac:dyDescent="0.25">
      <c r="A40743" t="str">
        <f>HYPERLINK("https://www.773grp.com/globalSearch/ADP3196JCPZ-RL/page-1", "ADP3196JCPZ-RL")</f>
        <v>ADP3196JCPZ-RL</v>
      </c>
      <c r="B40743" s="3" t="str">
        <f>HYPERLINK("https://www.773grp.com/manufacturer/onsemi?pageNo=103", "ON Semiconductor")</f>
        <v>ON Semiconductor</v>
      </c>
      <c r="C40743" s="6">
        <v>30300</v>
      </c>
      <c r="D40743" s="7">
        <v>4.33</v>
      </c>
      <c r="E40743" t="s">
        <v>7</v>
      </c>
    </row>
    <row r="40744" spans="1:5" x14ac:dyDescent="0.25">
      <c r="A40744" t="str">
        <f>HYPERLINK("https://www.773grp.com/globalSearch/CS3351YD14G/page-1", "CS3351YD14G")</f>
        <v>CS3351YD14G</v>
      </c>
      <c r="B40744" s="3" t="str">
        <f>HYPERLINK("https://www.773grp.com/manufacturer/onsemi?pageNo=104", "ON Semiconductor")</f>
        <v>ON Semiconductor</v>
      </c>
      <c r="C40744" s="6">
        <v>1520</v>
      </c>
      <c r="D40744" s="7">
        <v>4.33</v>
      </c>
      <c r="E40744" t="s">
        <v>40</v>
      </c>
    </row>
    <row r="40745" spans="1:5" x14ac:dyDescent="0.25">
      <c r="A40745" t="str">
        <f>HYPERLINK("https://www.773grp.com/globalSearch/CS3351YDR14G/page-1", "CS3351YDR14G")</f>
        <v>CS3351YDR14G</v>
      </c>
      <c r="B40745" s="3" t="str">
        <f>HYPERLINK("https://www.773grp.com/manufacturer/onsemi?pageNo=105", "ON Semiconductor")</f>
        <v>ON Semiconductor</v>
      </c>
      <c r="C40745" s="6">
        <v>5420</v>
      </c>
      <c r="D40745" s="7">
        <v>4.33</v>
      </c>
      <c r="E40745" t="s">
        <v>40</v>
      </c>
    </row>
    <row r="40746" spans="1:5" x14ac:dyDescent="0.25">
      <c r="A40746" t="str">
        <f>HYPERLINK("https://www.773grp.com/globalSearch/CS43081TQVA5/page-1", "CS43081TQVA5")</f>
        <v>CS43081TQVA5</v>
      </c>
      <c r="B40746" s="3" t="str">
        <f>HYPERLINK("https://www.773grp.com/manufacturer/onsemi?pageNo=106", "ON Semiconductor")</f>
        <v>ON Semiconductor</v>
      </c>
      <c r="C40746" s="6">
        <v>439388</v>
      </c>
      <c r="D40746" s="7">
        <v>4.33</v>
      </c>
    </row>
    <row r="40747" spans="1:5" x14ac:dyDescent="0.25">
      <c r="A40747" t="str">
        <f>HYPERLINK("https://www.773grp.com/globalSearch/CS5101EN14/page-1", "CS5101EN14")</f>
        <v>CS5101EN14</v>
      </c>
      <c r="B40747" s="3" t="str">
        <f>HYPERLINK("https://www.773grp.com/manufacturer/onsemi?pageNo=107", "ON Semiconductor")</f>
        <v>ON Semiconductor</v>
      </c>
      <c r="C40747" s="6">
        <v>1189</v>
      </c>
      <c r="D40747" s="7">
        <v>4.33</v>
      </c>
      <c r="E40747" t="s">
        <v>7</v>
      </c>
    </row>
    <row r="40748" spans="1:5" x14ac:dyDescent="0.25">
      <c r="A40748" t="str">
        <f>HYPERLINK("https://www.773grp.com/globalSearch/CS5203A-1GDPR3/page-1", "CS5203A-1GDPR3")</f>
        <v>CS5203A-1GDPR3</v>
      </c>
      <c r="B40748" s="3" t="str">
        <f>HYPERLINK("https://www.773grp.com/manufacturer/onsemi?pageNo=108", "ON Semiconductor")</f>
        <v>ON Semiconductor</v>
      </c>
      <c r="C40748" s="6">
        <v>180384</v>
      </c>
      <c r="D40748" s="7">
        <v>4.33</v>
      </c>
      <c r="E40748" t="s">
        <v>25</v>
      </c>
    </row>
    <row r="40749" spans="1:5" x14ac:dyDescent="0.25">
      <c r="A40749" t="str">
        <f>HYPERLINK("https://www.773grp.com/globalSearch/LV5683P-E/page-1", "LV5683P-E")</f>
        <v>LV5683P-E</v>
      </c>
      <c r="B40749" s="3" t="str">
        <f>HYPERLINK("https://www.773grp.com/manufacturer/onsemi?pageNo=109", "ON Semiconductor")</f>
        <v>ON Semiconductor</v>
      </c>
      <c r="C40749" s="6">
        <v>3680</v>
      </c>
      <c r="D40749" s="7">
        <v>4.33</v>
      </c>
    </row>
    <row r="40750" spans="1:5" x14ac:dyDescent="0.25">
      <c r="A40750" t="str">
        <f>HYPERLINK("https://www.773grp.com/globalSearch/MBR30H150CTG/page-1", "MBR30H150CTG")</f>
        <v>MBR30H150CTG</v>
      </c>
      <c r="B40750" s="3" t="str">
        <f>HYPERLINK("https://www.773grp.com/manufacturer/onsemi?pageNo=110", "ON Semiconductor")</f>
        <v>ON Semiconductor</v>
      </c>
      <c r="C40750" s="6">
        <v>1819</v>
      </c>
      <c r="D40750" s="7">
        <v>4.33</v>
      </c>
      <c r="E40750" t="s">
        <v>103</v>
      </c>
    </row>
    <row r="40751" spans="1:5" x14ac:dyDescent="0.25">
      <c r="A40751" t="str">
        <f>HYPERLINK("https://www.773grp.com/globalSearch/MC33368DG/page-1", "MC33368DG")</f>
        <v>MC33368DG</v>
      </c>
      <c r="B40751" s="3" t="str">
        <f>HYPERLINK("https://www.773grp.com/manufacturer/onsemi?pageNo=111", "ON Semiconductor")</f>
        <v>ON Semiconductor</v>
      </c>
      <c r="C40751" s="6">
        <v>646</v>
      </c>
      <c r="D40751" s="7">
        <v>4.33</v>
      </c>
      <c r="E40751" t="s">
        <v>7</v>
      </c>
    </row>
    <row r="40752" spans="1:5" x14ac:dyDescent="0.25">
      <c r="A40752" t="str">
        <f>HYPERLINK("https://www.773grp.com/globalSearch/MC33368DR2G/page-1", "MC33368DR2G")</f>
        <v>MC33368DR2G</v>
      </c>
      <c r="B40752" s="3" t="str">
        <f>HYPERLINK("https://www.773grp.com/manufacturer/onsemi?pageNo=112", "ON Semiconductor")</f>
        <v>ON Semiconductor</v>
      </c>
      <c r="C40752" s="6">
        <v>70000</v>
      </c>
      <c r="D40752" s="7">
        <v>4.33</v>
      </c>
      <c r="E40752" t="s">
        <v>7</v>
      </c>
    </row>
    <row r="40753" spans="1:5" x14ac:dyDescent="0.25">
      <c r="A40753" t="str">
        <f>HYPERLINK("https://www.773grp.com/globalSearch/MC33368PG/page-1", "MC33368PG")</f>
        <v>MC33368PG</v>
      </c>
      <c r="B40753" s="3" t="str">
        <f>HYPERLINK("https://www.773grp.com/manufacturer/onsemi?pageNo=113", "ON Semiconductor")</f>
        <v>ON Semiconductor</v>
      </c>
      <c r="C40753" s="6">
        <v>68551</v>
      </c>
      <c r="D40753" s="7">
        <v>4.33</v>
      </c>
      <c r="E40753" t="s">
        <v>7</v>
      </c>
    </row>
    <row r="40754" spans="1:5" x14ac:dyDescent="0.25">
      <c r="A40754" t="str">
        <f>HYPERLINK("https://www.773grp.com/globalSearch/MURHB840CTG/page-1", "MURHB840CTG")</f>
        <v>MURHB840CTG</v>
      </c>
      <c r="B40754" s="3" t="str">
        <f>HYPERLINK("https://www.773grp.com/manufacturer/onsemi?pageNo=114", "ON Semiconductor")</f>
        <v>ON Semiconductor</v>
      </c>
      <c r="C40754" s="6">
        <v>2394</v>
      </c>
      <c r="D40754" s="7">
        <v>4.33</v>
      </c>
    </row>
    <row r="40755" spans="1:5" x14ac:dyDescent="0.25">
      <c r="A40755" t="str">
        <f>HYPERLINK("https://www.773grp.com/globalSearch/MURHB840CTT4G/page-1", "MURHB840CTT4G")</f>
        <v>MURHB840CTT4G</v>
      </c>
      <c r="B40755" s="3" t="str">
        <f>HYPERLINK("https://www.773grp.com/manufacturer/onsemi?pageNo=115", "ON Semiconductor")</f>
        <v>ON Semiconductor</v>
      </c>
      <c r="C40755" s="6">
        <v>10400</v>
      </c>
      <c r="D40755" s="7">
        <v>4.33</v>
      </c>
      <c r="E40755" t="s">
        <v>103</v>
      </c>
    </row>
    <row r="40756" spans="1:5" x14ac:dyDescent="0.25">
      <c r="A40756" t="str">
        <f>HYPERLINK("https://www.773grp.com/globalSearch/MURHB860CTT4G/page-1", "MURHB860CTT4G")</f>
        <v>MURHB860CTT4G</v>
      </c>
      <c r="B40756" s="3" t="str">
        <f>HYPERLINK("https://www.773grp.com/manufacturer/onsemi?pageNo=116", "ON Semiconductor")</f>
        <v>ON Semiconductor</v>
      </c>
      <c r="C40756" s="6">
        <v>1540</v>
      </c>
      <c r="D40756" s="7">
        <v>4.33</v>
      </c>
      <c r="E40756" t="s">
        <v>103</v>
      </c>
    </row>
    <row r="40757" spans="1:5" x14ac:dyDescent="0.25">
      <c r="A40757" t="str">
        <f>HYPERLINK("https://www.773grp.com/globalSearch/NCP5220AMNR2G/page-1", "NCP5220AMNR2G")</f>
        <v>NCP5220AMNR2G</v>
      </c>
      <c r="B40757" s="3" t="str">
        <f>HYPERLINK("https://www.773grp.com/manufacturer/onsemi?pageNo=117", "ON Semiconductor")</f>
        <v>ON Semiconductor</v>
      </c>
      <c r="C40757" s="6">
        <v>21489</v>
      </c>
      <c r="D40757" s="7">
        <v>4.33</v>
      </c>
      <c r="E40757" t="s">
        <v>7</v>
      </c>
    </row>
    <row r="40758" spans="1:5" x14ac:dyDescent="0.25">
      <c r="A40758" t="str">
        <f>HYPERLINK("https://www.773grp.com/globalSearch/NCP5220MNR2G/page-1", "NCP5220MNR2G")</f>
        <v>NCP5220MNR2G</v>
      </c>
      <c r="B40758" s="3" t="str">
        <f>HYPERLINK("https://www.773grp.com/manufacturer/onsemi?pageNo=118", "ON Semiconductor")</f>
        <v>ON Semiconductor</v>
      </c>
      <c r="C40758" s="6">
        <v>3213</v>
      </c>
      <c r="D40758" s="7">
        <v>4.33</v>
      </c>
      <c r="E40758" t="s">
        <v>7</v>
      </c>
    </row>
    <row r="40759" spans="1:5" x14ac:dyDescent="0.25">
      <c r="A40759" t="str">
        <f>HYPERLINK("https://www.773grp.com/globalSearch/NCP6251MNR2G/page-1", "NCP6251MNR2G")</f>
        <v>NCP6251MNR2G</v>
      </c>
      <c r="B40759" s="3" t="str">
        <f>HYPERLINK("https://www.773grp.com/manufacturer/onsemi?pageNo=119", "ON Semiconductor")</f>
        <v>ON Semiconductor</v>
      </c>
      <c r="C40759" s="6">
        <v>20000</v>
      </c>
      <c r="D40759" s="7">
        <v>4.33</v>
      </c>
    </row>
    <row r="40760" spans="1:5" x14ac:dyDescent="0.25">
      <c r="A40760" t="str">
        <f>HYPERLINK("https://www.773grp.com/globalSearch/NGB8202NT4/page-1", "NGB8202NT4")</f>
        <v>NGB8202NT4</v>
      </c>
      <c r="B40760" s="3" t="str">
        <f>HYPERLINK("https://www.773grp.com/manufacturer/onsemi?pageNo=120", "ON Semiconductor")</f>
        <v>ON Semiconductor</v>
      </c>
      <c r="C40760" s="6">
        <v>800</v>
      </c>
      <c r="D40760" s="7">
        <v>4.33</v>
      </c>
      <c r="E40760" t="s">
        <v>115</v>
      </c>
    </row>
    <row r="40761" spans="1:5" x14ac:dyDescent="0.25">
      <c r="A40761" t="str">
        <f>HYPERLINK("https://www.773grp.com/globalSearch/NGB8202NT4G/page-1", "NGB8202NT4G")</f>
        <v>NGB8202NT4G</v>
      </c>
      <c r="B40761" s="3" t="str">
        <f>HYPERLINK("https://www.773grp.com/manufacturer/onsemi?pageNo=121", "ON Semiconductor")</f>
        <v>ON Semiconductor</v>
      </c>
      <c r="C40761" s="6">
        <v>20582</v>
      </c>
      <c r="D40761" s="7">
        <v>4.33</v>
      </c>
      <c r="E40761" t="s">
        <v>115</v>
      </c>
    </row>
    <row r="40762" spans="1:5" x14ac:dyDescent="0.25">
      <c r="A40762" t="str">
        <f>HYPERLINK("https://www.773grp.com/globalSearch/NGB8206NSL3G/page-1", "NGB8206NSL3G")</f>
        <v>NGB8206NSL3G</v>
      </c>
      <c r="B40762" s="3" t="str">
        <f>HYPERLINK("https://www.773grp.com/manufacturer/onsemi?pageNo=122", "ON Semiconductor")</f>
        <v>ON Semiconductor</v>
      </c>
      <c r="C40762" s="6">
        <v>500</v>
      </c>
      <c r="D40762" s="7">
        <v>4.33</v>
      </c>
      <c r="E40762" t="s">
        <v>115</v>
      </c>
    </row>
    <row r="40763" spans="1:5" x14ac:dyDescent="0.25">
      <c r="A40763" t="str">
        <f>HYPERLINK("https://www.773grp.com/globalSearch/NGB8206NT4G/page-1", "NGB8206NT4G")</f>
        <v>NGB8206NT4G</v>
      </c>
      <c r="B40763" s="3" t="str">
        <f>HYPERLINK("https://www.773grp.com/manufacturer/onsemi?pageNo=123", "ON Semiconductor")</f>
        <v>ON Semiconductor</v>
      </c>
      <c r="C40763" s="6">
        <v>892</v>
      </c>
      <c r="D40763" s="7">
        <v>4.33</v>
      </c>
      <c r="E40763" t="s">
        <v>115</v>
      </c>
    </row>
    <row r="40764" spans="1:5" x14ac:dyDescent="0.25">
      <c r="A40764" t="str">
        <f>HYPERLINK("https://www.773grp.com/globalSearch/NGB8206NTF4G/page-1", "NGB8206NTF4G")</f>
        <v>NGB8206NTF4G</v>
      </c>
      <c r="B40764" s="3" t="str">
        <f>HYPERLINK("https://www.773grp.com/manufacturer/onsemi?pageNo=124", "ON Semiconductor")</f>
        <v>ON Semiconductor</v>
      </c>
      <c r="C40764" s="6">
        <v>12600</v>
      </c>
      <c r="D40764" s="7">
        <v>4.33</v>
      </c>
      <c r="E40764" t="s">
        <v>115</v>
      </c>
    </row>
    <row r="40765" spans="1:5" x14ac:dyDescent="0.25">
      <c r="A40765" t="str">
        <f>HYPERLINK("https://www.773grp.com/globalSearch/JDX5003-001/page-1", "JDX5003-001")</f>
        <v>JDX5003-001</v>
      </c>
      <c r="B40765" s="3" t="str">
        <f>HYPERLINK("https://www.773grp.com/manufacturer/onsemi?pageNo=125", "ON Semiconductor")</f>
        <v>ON Semiconductor</v>
      </c>
      <c r="C40765" s="6">
        <v>10</v>
      </c>
      <c r="D40765" s="7">
        <v>3.91</v>
      </c>
    </row>
    <row r="40766" spans="1:5" x14ac:dyDescent="0.25">
      <c r="A40766" t="str">
        <f>HYPERLINK("https://www.773grp.com/globalSearch/JDX5004/page-1", "JDX5004")</f>
        <v>JDX5004</v>
      </c>
      <c r="B40766" s="3" t="str">
        <f>HYPERLINK("https://www.773grp.com/manufacturer/onsemi?pageNo=126", "ON Semiconductor")</f>
        <v>ON Semiconductor</v>
      </c>
      <c r="C40766" s="6">
        <v>2332</v>
      </c>
      <c r="D40766" s="7">
        <v>3.91</v>
      </c>
    </row>
    <row r="40767" spans="1:5" x14ac:dyDescent="0.25">
      <c r="A40767" t="str">
        <f>HYPERLINK("https://www.773grp.com/globalSearch/MC10124P/page-1", "MC10124P")</f>
        <v>MC10124P</v>
      </c>
      <c r="B40767" s="3" t="str">
        <f>HYPERLINK("https://www.773grp.com/manufacturer/onsemi?pageNo=127", "ON Semiconductor")</f>
        <v>ON Semiconductor</v>
      </c>
      <c r="C40767" s="6">
        <v>2574</v>
      </c>
      <c r="D40767" s="7">
        <v>3.91</v>
      </c>
      <c r="E40767" t="s">
        <v>73</v>
      </c>
    </row>
    <row r="40768" spans="1:5" x14ac:dyDescent="0.25">
      <c r="A40768" t="str">
        <f>HYPERLINK("https://www.773grp.com/globalSearch/MJL3281A/page-1", "MJL3281A")</f>
        <v>MJL3281A</v>
      </c>
      <c r="B40768" s="3" t="str">
        <f>HYPERLINK("https://www.773grp.com/manufacturer/onsemi?pageNo=128", "ON Semiconductor")</f>
        <v>ON Semiconductor</v>
      </c>
      <c r="C40768" s="6">
        <v>1906</v>
      </c>
      <c r="D40768" s="7">
        <v>3.91</v>
      </c>
      <c r="E40768" t="s">
        <v>59</v>
      </c>
    </row>
    <row r="40769" spans="1:5" x14ac:dyDescent="0.25">
      <c r="A40769" t="str">
        <f>HYPERLINK("https://www.773grp.com/globalSearch/MJL3281AG/page-1", "MJL3281AG")</f>
        <v>MJL3281AG</v>
      </c>
      <c r="B40769" s="3" t="str">
        <f>HYPERLINK("https://www.773grp.com/manufacturer/onsemi?pageNo=129", "ON Semiconductor")</f>
        <v>ON Semiconductor</v>
      </c>
      <c r="C40769" s="6">
        <v>2648</v>
      </c>
      <c r="D40769" s="7">
        <v>3.91</v>
      </c>
      <c r="E40769" t="s">
        <v>59</v>
      </c>
    </row>
    <row r="40770" spans="1:5" x14ac:dyDescent="0.25">
      <c r="A40770" t="str">
        <f>HYPERLINK("https://www.773grp.com/globalSearch/2N3771G/page-1", "2N3771G")</f>
        <v>2N3771G</v>
      </c>
      <c r="B40770" s="3" t="str">
        <f>HYPERLINK("https://www.773grp.com/manufacturer/onsemi?pageNo=130", "ON Semiconductor")</f>
        <v>ON Semiconductor</v>
      </c>
      <c r="C40770" s="6">
        <v>444</v>
      </c>
      <c r="D40770" s="7">
        <v>3.94</v>
      </c>
      <c r="E40770" t="s">
        <v>59</v>
      </c>
    </row>
    <row r="40771" spans="1:5" x14ac:dyDescent="0.25">
      <c r="A40771" t="str">
        <f>HYPERLINK("https://www.773grp.com/globalSearch/2N3773G/page-1", "2N3773G")</f>
        <v>2N3773G</v>
      </c>
      <c r="B40771" s="3" t="str">
        <f>HYPERLINK("https://www.773grp.com/manufacturer/onsemi?pageNo=131", "ON Semiconductor")</f>
        <v>ON Semiconductor</v>
      </c>
      <c r="C40771" s="6">
        <v>36131</v>
      </c>
      <c r="D40771" s="7">
        <v>3.94</v>
      </c>
      <c r="E40771" t="s">
        <v>59</v>
      </c>
    </row>
    <row r="40772" spans="1:5" x14ac:dyDescent="0.25">
      <c r="A40772" t="str">
        <f>HYPERLINK("https://www.773grp.com/globalSearch/2N5302G/page-1", "2N5302G")</f>
        <v>2N5302G</v>
      </c>
      <c r="B40772" s="3" t="str">
        <f>HYPERLINK("https://www.773grp.com/manufacturer/onsemi?pageNo=132", "ON Semiconductor")</f>
        <v>ON Semiconductor</v>
      </c>
      <c r="C40772" s="6">
        <v>150</v>
      </c>
      <c r="D40772" s="7">
        <v>3.94</v>
      </c>
    </row>
    <row r="40773" spans="1:5" x14ac:dyDescent="0.25">
      <c r="A40773" t="str">
        <f>HYPERLINK("https://www.773grp.com/globalSearch/2N5885G/page-1", "2N5885G")</f>
        <v>2N5885G</v>
      </c>
      <c r="B40773" s="3" t="str">
        <f>HYPERLINK("https://www.773grp.com/manufacturer/onsemi?pageNo=133", "ON Semiconductor")</f>
        <v>ON Semiconductor</v>
      </c>
      <c r="C40773" s="6">
        <v>1144</v>
      </c>
      <c r="D40773" s="7">
        <v>3.94</v>
      </c>
      <c r="E40773" t="s">
        <v>59</v>
      </c>
    </row>
    <row r="40774" spans="1:5" x14ac:dyDescent="0.25">
      <c r="A40774" t="str">
        <f>HYPERLINK("https://www.773grp.com/globalSearch/LC87F2W48AVU-SQFP-H/page-1", "LC87F2W48AVU-SQFP-H")</f>
        <v>LC87F2W48AVU-SQFP-H</v>
      </c>
      <c r="B40774" s="3" t="str">
        <f>HYPERLINK("https://www.773grp.com/manufacturer/onsemi?pageNo=134", "ON Semiconductor")</f>
        <v>ON Semiconductor</v>
      </c>
      <c r="C40774" s="6">
        <v>500</v>
      </c>
      <c r="D40774" s="7">
        <v>3.94</v>
      </c>
    </row>
    <row r="40775" spans="1:5" x14ac:dyDescent="0.25">
      <c r="A40775" t="str">
        <f>HYPERLINK("https://www.773grp.com/globalSearch/LC898109-N-TBM-H/page-1", "LC898109-N-TBM-H")</f>
        <v>LC898109-N-TBM-H</v>
      </c>
      <c r="B40775" s="3" t="str">
        <f>HYPERLINK("https://www.773grp.com/manufacturer/onsemi?pageNo=135", "ON Semiconductor")</f>
        <v>ON Semiconductor</v>
      </c>
      <c r="C40775" s="6">
        <v>22000</v>
      </c>
      <c r="D40775" s="7">
        <v>3.94</v>
      </c>
    </row>
    <row r="40776" spans="1:5" x14ac:dyDescent="0.25">
      <c r="A40776" t="str">
        <f>HYPERLINK("https://www.773grp.com/globalSearch/LM2576T-005G/page-1", "LM2576T-005G")</f>
        <v>LM2576T-005G</v>
      </c>
      <c r="B40776" s="3" t="str">
        <f>HYPERLINK("https://www.773grp.com/manufacturer/onsemi?pageNo=136", "ON Semiconductor")</f>
        <v>ON Semiconductor</v>
      </c>
      <c r="C40776" s="6">
        <v>7089</v>
      </c>
      <c r="D40776" s="7">
        <v>3.94</v>
      </c>
      <c r="E40776" t="s">
        <v>7</v>
      </c>
    </row>
    <row r="40777" spans="1:5" x14ac:dyDescent="0.25">
      <c r="A40777" t="str">
        <f>HYPERLINK("https://www.773grp.com/globalSearch/LM2576T-012G/page-1", "LM2576T-012G")</f>
        <v>LM2576T-012G</v>
      </c>
      <c r="B40777" s="3" t="str">
        <f>HYPERLINK("https://www.773grp.com/manufacturer/onsemi?pageNo=137", "ON Semiconductor")</f>
        <v>ON Semiconductor</v>
      </c>
      <c r="C40777" s="6">
        <v>100</v>
      </c>
      <c r="D40777" s="7">
        <v>3.94</v>
      </c>
    </row>
    <row r="40778" spans="1:5" x14ac:dyDescent="0.25">
      <c r="A40778" t="str">
        <f>HYPERLINK("https://www.773grp.com/globalSearch/LM2576T-3.3G/page-1", "LM2576T-3.3G")</f>
        <v>LM2576T-3.3G</v>
      </c>
      <c r="B40778" s="3" t="str">
        <f>HYPERLINK("https://www.773grp.com/manufacturer/onsemi?pageNo=138", "ON Semiconductor")</f>
        <v>ON Semiconductor</v>
      </c>
      <c r="C40778" s="6">
        <v>12045</v>
      </c>
      <c r="D40778" s="7">
        <v>3.94</v>
      </c>
      <c r="E40778" t="s">
        <v>7</v>
      </c>
    </row>
    <row r="40779" spans="1:5" x14ac:dyDescent="0.25">
      <c r="A40779" t="str">
        <f>HYPERLINK("https://www.773grp.com/globalSearch/LM2576T-ADJG/page-1", "LM2576T-ADJG")</f>
        <v>LM2576T-ADJG</v>
      </c>
      <c r="B40779" s="3" t="str">
        <f>HYPERLINK("https://www.773grp.com/manufacturer/onsemi?pageNo=139", "ON Semiconductor")</f>
        <v>ON Semiconductor</v>
      </c>
      <c r="C40779" s="6">
        <v>45108</v>
      </c>
      <c r="D40779" s="7">
        <v>3.94</v>
      </c>
      <c r="E40779" t="s">
        <v>7</v>
      </c>
    </row>
    <row r="40780" spans="1:5" x14ac:dyDescent="0.25">
      <c r="A40780" t="str">
        <f>HYPERLINK("https://www.773grp.com/globalSearch/LM2576TV-012G/page-1", "LM2576TV-012G")</f>
        <v>LM2576TV-012G</v>
      </c>
      <c r="B40780" s="3" t="str">
        <f>HYPERLINK("https://www.773grp.com/manufacturer/onsemi?pageNo=140", "ON Semiconductor")</f>
        <v>ON Semiconductor</v>
      </c>
      <c r="C40780" s="6">
        <v>1424</v>
      </c>
      <c r="D40780" s="7">
        <v>3.94</v>
      </c>
      <c r="E40780" t="s">
        <v>7</v>
      </c>
    </row>
    <row r="40781" spans="1:5" x14ac:dyDescent="0.25">
      <c r="A40781" t="str">
        <f>HYPERLINK("https://www.773grp.com/globalSearch/LM2576TV-5G/page-1", "LM2576TV-5G")</f>
        <v>LM2576TV-5G</v>
      </c>
      <c r="B40781" s="3" t="str">
        <f>HYPERLINK("https://www.773grp.com/manufacturer/onsemi?pageNo=141", "ON Semiconductor")</f>
        <v>ON Semiconductor</v>
      </c>
      <c r="C40781" s="6">
        <v>4435</v>
      </c>
      <c r="D40781" s="7">
        <v>3.94</v>
      </c>
      <c r="E40781" t="s">
        <v>7</v>
      </c>
    </row>
    <row r="40782" spans="1:5" x14ac:dyDescent="0.25">
      <c r="A40782" t="str">
        <f>HYPERLINK("https://www.773grp.com/globalSearch/LM2596TVADJG/page-1", "LM2596TVADJG")</f>
        <v>LM2596TVADJG</v>
      </c>
      <c r="B40782" s="3" t="str">
        <f>HYPERLINK("https://www.773grp.com/manufacturer/onsemi?pageNo=142", "ON Semiconductor")</f>
        <v>ON Semiconductor</v>
      </c>
      <c r="C40782" s="6">
        <v>800</v>
      </c>
      <c r="D40782" s="7">
        <v>3.94</v>
      </c>
      <c r="E40782" t="s">
        <v>7</v>
      </c>
    </row>
    <row r="40783" spans="1:5" x14ac:dyDescent="0.25">
      <c r="A40783" t="str">
        <f>HYPERLINK("https://www.773grp.com/globalSearch/MC10H125P/page-1", "MC10H125P")</f>
        <v>MC10H125P</v>
      </c>
      <c r="B40783" s="3" t="str">
        <f>HYPERLINK("https://www.773grp.com/manufacturer/onsemi?pageNo=143", "ON Semiconductor")</f>
        <v>ON Semiconductor</v>
      </c>
      <c r="C40783" s="6">
        <v>2393</v>
      </c>
      <c r="D40783" s="7">
        <v>3.94</v>
      </c>
      <c r="E40783" t="s">
        <v>73</v>
      </c>
    </row>
    <row r="40784" spans="1:5" x14ac:dyDescent="0.25">
      <c r="A40784" t="str">
        <f>HYPERLINK("https://www.773grp.com/globalSearch/MC10H131P/page-1", "MC10H131P")</f>
        <v>MC10H131P</v>
      </c>
      <c r="B40784" s="3" t="str">
        <f>HYPERLINK("https://www.773grp.com/manufacturer/onsemi?pageNo=144", "ON Semiconductor")</f>
        <v>ON Semiconductor</v>
      </c>
      <c r="C40784" s="6">
        <v>1692</v>
      </c>
      <c r="D40784" s="7">
        <v>3.94</v>
      </c>
      <c r="E40784" t="s">
        <v>35</v>
      </c>
    </row>
    <row r="40785" spans="1:5" x14ac:dyDescent="0.25">
      <c r="A40785" t="str">
        <f>HYPERLINK("https://www.773grp.com/globalSearch/MJ802G/page-1", "MJ802G")</f>
        <v>MJ802G</v>
      </c>
      <c r="B40785" s="3" t="str">
        <f>HYPERLINK("https://www.773grp.com/manufacturer/onsemi?pageNo=145", "ON Semiconductor")</f>
        <v>ON Semiconductor</v>
      </c>
      <c r="C40785" s="6">
        <v>12036</v>
      </c>
      <c r="D40785" s="7">
        <v>3.94</v>
      </c>
      <c r="E40785" t="s">
        <v>59</v>
      </c>
    </row>
    <row r="40786" spans="1:5" x14ac:dyDescent="0.25">
      <c r="A40786" t="str">
        <f>HYPERLINK("https://www.773grp.com/globalSearch/MJE4343G/page-1", "MJE4343G")</f>
        <v>MJE4343G</v>
      </c>
      <c r="B40786" s="3" t="str">
        <f>HYPERLINK("https://www.773grp.com/manufacturer/onsemi?pageNo=146", "ON Semiconductor")</f>
        <v>ON Semiconductor</v>
      </c>
      <c r="C40786" s="6">
        <v>40</v>
      </c>
      <c r="D40786" s="7">
        <v>3.94</v>
      </c>
      <c r="E40786" t="s">
        <v>59</v>
      </c>
    </row>
    <row r="40787" spans="1:5" x14ac:dyDescent="0.25">
      <c r="A40787" t="str">
        <f>HYPERLINK("https://www.773grp.com/globalSearch/MJJ11016/page-1", "MJJ11016")</f>
        <v>MJJ11016</v>
      </c>
      <c r="B40787" s="3" t="str">
        <f>HYPERLINK("https://www.773grp.com/manufacturer/onsemi?pageNo=147", "ON Semiconductor")</f>
        <v>ON Semiconductor</v>
      </c>
      <c r="C40787" s="6">
        <v>2100</v>
      </c>
      <c r="D40787" s="7">
        <v>3.94</v>
      </c>
    </row>
    <row r="40788" spans="1:5" x14ac:dyDescent="0.25">
      <c r="A40788" t="str">
        <f>HYPERLINK("https://www.773grp.com/globalSearch/MPQ6842/page-1", "MPQ6842")</f>
        <v>MPQ6842</v>
      </c>
      <c r="B40788" s="3" t="str">
        <f>HYPERLINK("https://www.773grp.com/manufacturer/onsemi?pageNo=148", "ON Semiconductor")</f>
        <v>ON Semiconductor</v>
      </c>
      <c r="C40788" s="6">
        <v>6746</v>
      </c>
      <c r="D40788" s="7">
        <v>3.94</v>
      </c>
      <c r="E40788" t="s">
        <v>69</v>
      </c>
    </row>
    <row r="40789" spans="1:5" x14ac:dyDescent="0.25">
      <c r="A40789" t="str">
        <f>HYPERLINK("https://www.773grp.com/globalSearch/MTA30N06E/page-1", "MTA30N06E")</f>
        <v>MTA30N06E</v>
      </c>
      <c r="B40789" s="3" t="str">
        <f>HYPERLINK("https://www.773grp.com/manufacturer/onsemi?pageNo=149", "ON Semiconductor")</f>
        <v>ON Semiconductor</v>
      </c>
      <c r="C40789" s="6">
        <v>6141</v>
      </c>
      <c r="D40789" s="7">
        <v>3.94</v>
      </c>
      <c r="E40789" t="s">
        <v>105</v>
      </c>
    </row>
    <row r="40790" spans="1:5" x14ac:dyDescent="0.25">
      <c r="A40790" t="str">
        <f>HYPERLINK("https://www.773grp.com/globalSearch/NCS2552SNT1G/page-1", "NCS2552SNT1G")</f>
        <v>NCS2552SNT1G</v>
      </c>
      <c r="B40790" s="3" t="str">
        <f>HYPERLINK("https://www.773grp.com/manufacturer/onsemi?pageNo=150", "ON Semiconductor")</f>
        <v>ON Semiconductor</v>
      </c>
      <c r="C40790" s="6">
        <v>5795</v>
      </c>
      <c r="D40790" s="7">
        <v>3.94</v>
      </c>
      <c r="E40790" t="s">
        <v>18</v>
      </c>
    </row>
    <row r="40791" spans="1:5" x14ac:dyDescent="0.25">
      <c r="A40791" t="str">
        <f>HYPERLINK("https://www.773grp.com/globalSearch/NCS5650MNTXG/page-1", "NCS5650MNTXG")</f>
        <v>NCS5650MNTXG</v>
      </c>
      <c r="B40791" s="3" t="str">
        <f>HYPERLINK("https://www.773grp.com/manufacturer/onsemi?pageNo=151", "ON Semiconductor")</f>
        <v>ON Semiconductor</v>
      </c>
      <c r="C40791" s="6">
        <v>39678</v>
      </c>
      <c r="D40791" s="7">
        <v>3.94</v>
      </c>
    </row>
    <row r="40792" spans="1:5" x14ac:dyDescent="0.25">
      <c r="A40792" t="str">
        <f>HYPERLINK("https://www.773grp.com/globalSearch/NCV3163MNR2G/page-1", "NCV3163MNR2G")</f>
        <v>NCV3163MNR2G</v>
      </c>
      <c r="B40792" s="3" t="str">
        <f>HYPERLINK("https://www.773grp.com/manufacturer/onsemi?pageNo=152", "ON Semiconductor")</f>
        <v>ON Semiconductor</v>
      </c>
      <c r="C40792" s="6">
        <v>2500</v>
      </c>
      <c r="D40792" s="7">
        <v>3.94</v>
      </c>
    </row>
    <row r="40793" spans="1:5" x14ac:dyDescent="0.25">
      <c r="A40793" t="str">
        <f>HYPERLINK("https://www.773grp.com/globalSearch/NCV8141D2TR4G/page-1", "NCV8141D2TR4G")</f>
        <v>NCV8141D2TR4G</v>
      </c>
      <c r="B40793" s="3" t="str">
        <f>HYPERLINK("https://www.773grp.com/manufacturer/onsemi?pageNo=153", "ON Semiconductor")</f>
        <v>ON Semiconductor</v>
      </c>
      <c r="C40793" s="6">
        <v>400</v>
      </c>
      <c r="D40793" s="7">
        <v>3.94</v>
      </c>
    </row>
    <row r="40794" spans="1:5" x14ac:dyDescent="0.25">
      <c r="A40794" t="str">
        <f>HYPERLINK("https://www.773grp.com/globalSearch/NCV8851BDBR2G/page-1", "NCV8851BDBR2G")</f>
        <v>NCV8851BDBR2G</v>
      </c>
      <c r="B40794" s="3" t="str">
        <f>HYPERLINK("https://www.773grp.com/manufacturer/onsemi?pageNo=154", "ON Semiconductor")</f>
        <v>ON Semiconductor</v>
      </c>
      <c r="C40794" s="6">
        <v>2491</v>
      </c>
      <c r="D40794" s="7">
        <v>3.94</v>
      </c>
    </row>
    <row r="40795" spans="1:5" x14ac:dyDescent="0.25">
      <c r="A40795" t="str">
        <f>HYPERLINK("https://www.773grp.com/globalSearch/SA575DTBG/page-1", "SA575DTBG")</f>
        <v>SA575DTBG</v>
      </c>
      <c r="B40795" s="3" t="str">
        <f>HYPERLINK("https://www.773grp.com/manufacturer/onsemi?pageNo=155", "ON Semiconductor")</f>
        <v>ON Semiconductor</v>
      </c>
      <c r="C40795" s="6">
        <v>79</v>
      </c>
      <c r="D40795" s="7">
        <v>3.94</v>
      </c>
      <c r="E40795" t="s">
        <v>118</v>
      </c>
    </row>
    <row r="40796" spans="1:5" x14ac:dyDescent="0.25">
      <c r="A40796" t="str">
        <f>HYPERLINK("https://www.773grp.com/globalSearch/CS8371ET7/page-1", "CS8371ET7")</f>
        <v>CS8371ET7</v>
      </c>
      <c r="B40796" s="3" t="str">
        <f>HYPERLINK("https://www.773grp.com/manufacturer/onsemi?pageNo=156", "ON Semiconductor")</f>
        <v>ON Semiconductor</v>
      </c>
      <c r="C40796" s="6">
        <v>6800</v>
      </c>
      <c r="D40796" s="7">
        <v>3.96</v>
      </c>
      <c r="E40796" t="s">
        <v>117</v>
      </c>
    </row>
    <row r="40797" spans="1:5" x14ac:dyDescent="0.25">
      <c r="A40797" t="str">
        <f>HYPERLINK("https://www.773grp.com/globalSearch/MC74AC648DW/page-1", "MC74AC648DW")</f>
        <v>MC74AC648DW</v>
      </c>
      <c r="B40797" s="3" t="str">
        <f>HYPERLINK("https://www.773grp.com/manufacturer/onsemi?pageNo=157", "ON Semiconductor")</f>
        <v>ON Semiconductor</v>
      </c>
      <c r="C40797" s="6">
        <v>900</v>
      </c>
      <c r="D40797" s="7">
        <v>3.96</v>
      </c>
      <c r="E40797" t="s">
        <v>14</v>
      </c>
    </row>
    <row r="40798" spans="1:5" x14ac:dyDescent="0.25">
      <c r="A40798" t="str">
        <f>HYPERLINK("https://www.773grp.com/globalSearch/AD51-067ARMZ-R/page-1", "AD51-067ARMZ-R")</f>
        <v>AD51-067ARMZ-R</v>
      </c>
      <c r="B40798" s="3" t="str">
        <f>HYPERLINK("https://www.773grp.com/manufacturer/onsemi?pageNo=158", "ON Semiconductor")</f>
        <v>ON Semiconductor</v>
      </c>
      <c r="C40798" s="6">
        <v>1646</v>
      </c>
      <c r="D40798" s="7">
        <v>4.38</v>
      </c>
    </row>
    <row r="40799" spans="1:5" x14ac:dyDescent="0.25">
      <c r="A40799" t="str">
        <f>HYPERLINK("https://www.773grp.com/globalSearch/CS5165AGDWR16/page-1", "CS5165AGDWR16")</f>
        <v>CS5165AGDWR16</v>
      </c>
      <c r="B40799" s="3" t="str">
        <f>HYPERLINK("https://www.773grp.com/manufacturer/onsemi?pageNo=159", "ON Semiconductor")</f>
        <v>ON Semiconductor</v>
      </c>
      <c r="C40799" s="6">
        <v>1000</v>
      </c>
      <c r="D40799" s="7">
        <v>4.38</v>
      </c>
      <c r="E40799" t="s">
        <v>7</v>
      </c>
    </row>
    <row r="40800" spans="1:5" x14ac:dyDescent="0.25">
      <c r="A40800" t="str">
        <f>HYPERLINK("https://www.773grp.com/globalSearch/CS5211GD14G/page-1", "CS5211GD14G")</f>
        <v>CS5211GD14G</v>
      </c>
      <c r="B40800" s="3" t="str">
        <f>HYPERLINK("https://www.773grp.com/manufacturer/onsemi?pageNo=160", "ON Semiconductor")</f>
        <v>ON Semiconductor</v>
      </c>
      <c r="C40800" s="6">
        <v>90</v>
      </c>
      <c r="D40800" s="7">
        <v>4.38</v>
      </c>
      <c r="E40800" t="s">
        <v>7</v>
      </c>
    </row>
    <row r="40801" spans="1:5" x14ac:dyDescent="0.25">
      <c r="A40801" t="str">
        <f>HYPERLINK("https://www.773grp.com/globalSearch/MBRF20100CTG/page-1", "MBRF20100CTG")</f>
        <v>MBRF20100CTG</v>
      </c>
      <c r="B40801" s="3" t="str">
        <f>HYPERLINK("https://www.773grp.com/manufacturer/onsemi?pageNo=161", "ON Semiconductor")</f>
        <v>ON Semiconductor</v>
      </c>
      <c r="C40801" s="6">
        <v>638550</v>
      </c>
      <c r="D40801" s="7">
        <v>4.38</v>
      </c>
      <c r="E40801" t="s">
        <v>103</v>
      </c>
    </row>
    <row r="40802" spans="1:5" x14ac:dyDescent="0.25">
      <c r="A40802" t="str">
        <f>HYPERLINK("https://www.773grp.com/globalSearch/MBRF20H150CTG/page-1", "MBRF20H150CTG")</f>
        <v>MBRF20H150CTG</v>
      </c>
      <c r="B40802" s="3" t="str">
        <f>HYPERLINK("https://www.773grp.com/manufacturer/onsemi?pageNo=162", "ON Semiconductor")</f>
        <v>ON Semiconductor</v>
      </c>
      <c r="C40802" s="6">
        <v>183037</v>
      </c>
      <c r="D40802" s="7">
        <v>4.38</v>
      </c>
      <c r="E40802" t="s">
        <v>103</v>
      </c>
    </row>
    <row r="40803" spans="1:5" x14ac:dyDescent="0.25">
      <c r="A40803" t="str">
        <f>HYPERLINK("https://www.773grp.com/globalSearch/MC54HC165J/page-1", "MC54HC165J")</f>
        <v>MC54HC165J</v>
      </c>
      <c r="B40803" s="3" t="str">
        <f>HYPERLINK("https://www.773grp.com/manufacturer/onsemi?pageNo=163", "ON Semiconductor")</f>
        <v>ON Semiconductor</v>
      </c>
      <c r="C40803" s="6">
        <v>6</v>
      </c>
      <c r="D40803" s="7">
        <v>4.38</v>
      </c>
      <c r="E40803" t="s">
        <v>32</v>
      </c>
    </row>
    <row r="40804" spans="1:5" x14ac:dyDescent="0.25">
      <c r="A40804" t="str">
        <f>HYPERLINK("https://www.773grp.com/globalSearch/MPQ7051/page-1", "MPQ7051")</f>
        <v>MPQ7051</v>
      </c>
      <c r="B40804" s="3" t="str">
        <f>HYPERLINK("https://www.773grp.com/manufacturer/onsemi?pageNo=164", "ON Semiconductor")</f>
        <v>ON Semiconductor</v>
      </c>
      <c r="C40804" s="6">
        <v>8204</v>
      </c>
      <c r="D40804" s="7">
        <v>4.38</v>
      </c>
      <c r="E40804" t="s">
        <v>59</v>
      </c>
    </row>
    <row r="40805" spans="1:5" x14ac:dyDescent="0.25">
      <c r="A40805" t="str">
        <f>HYPERLINK("https://www.773grp.com/globalSearch/NB3L553MNR4G/page-1", "NB3L553MNR4G")</f>
        <v>NB3L553MNR4G</v>
      </c>
      <c r="B40805" s="3" t="str">
        <f>HYPERLINK("https://www.773grp.com/manufacturer/onsemi?pageNo=165", "ON Semiconductor")</f>
        <v>ON Semiconductor</v>
      </c>
      <c r="C40805" s="6">
        <v>900</v>
      </c>
      <c r="D40805" s="7">
        <v>4.38</v>
      </c>
    </row>
    <row r="40806" spans="1:5" x14ac:dyDescent="0.25">
      <c r="A40806" t="str">
        <f>HYPERLINK("https://www.773grp.com/globalSearch/NCP3163BPWG/page-1", "NCP3163BPWG")</f>
        <v>NCP3163BPWG</v>
      </c>
      <c r="B40806" s="3" t="str">
        <f>HYPERLINK("https://www.773grp.com/manufacturer/onsemi?pageNo=166", "ON Semiconductor")</f>
        <v>ON Semiconductor</v>
      </c>
      <c r="C40806" s="6">
        <v>376</v>
      </c>
      <c r="D40806" s="7">
        <v>4.38</v>
      </c>
      <c r="E40806" t="s">
        <v>7</v>
      </c>
    </row>
    <row r="40807" spans="1:5" x14ac:dyDescent="0.25">
      <c r="A40807" t="str">
        <f>HYPERLINK("https://www.773grp.com/globalSearch/NCP3163BPWR2G/page-1", "NCP3163BPWR2G")</f>
        <v>NCP3163BPWR2G</v>
      </c>
      <c r="B40807" s="3" t="str">
        <f>HYPERLINK("https://www.773grp.com/manufacturer/onsemi?pageNo=167", "ON Semiconductor")</f>
        <v>ON Semiconductor</v>
      </c>
      <c r="C40807" s="6">
        <v>10690</v>
      </c>
      <c r="D40807" s="7">
        <v>4.38</v>
      </c>
      <c r="E40807" t="s">
        <v>7</v>
      </c>
    </row>
    <row r="40808" spans="1:5" x14ac:dyDescent="0.25">
      <c r="A40808" t="str">
        <f>HYPERLINK("https://www.773grp.com/globalSearch/NCP4420P/page-1", "NCP4420P")</f>
        <v>NCP4420P</v>
      </c>
      <c r="B40808" s="3" t="str">
        <f>HYPERLINK("https://www.773grp.com/manufacturer/onsemi?pageNo=168", "ON Semiconductor")</f>
        <v>ON Semiconductor</v>
      </c>
      <c r="C40808" s="6">
        <v>27576</v>
      </c>
      <c r="D40808" s="7">
        <v>4.38</v>
      </c>
      <c r="E40808" t="s">
        <v>16</v>
      </c>
    </row>
    <row r="40809" spans="1:5" x14ac:dyDescent="0.25">
      <c r="A40809" t="str">
        <f>HYPERLINK("https://www.773grp.com/globalSearch/NCP5211DR2G/page-1", "NCP5211DR2G")</f>
        <v>NCP5211DR2G</v>
      </c>
      <c r="B40809" s="3" t="str">
        <f>HYPERLINK("https://www.773grp.com/manufacturer/onsemi?pageNo=169", "ON Semiconductor")</f>
        <v>ON Semiconductor</v>
      </c>
      <c r="C40809" s="6">
        <v>2150</v>
      </c>
      <c r="D40809" s="7">
        <v>4.38</v>
      </c>
      <c r="E40809" t="s">
        <v>7</v>
      </c>
    </row>
    <row r="40810" spans="1:5" x14ac:dyDescent="0.25">
      <c r="A40810" t="str">
        <f>HYPERLINK("https://www.773grp.com/globalSearch/NCV887000D1R2G/page-1", "NCV887000D1R2G")</f>
        <v>NCV887000D1R2G</v>
      </c>
      <c r="B40810" s="3" t="str">
        <f>HYPERLINK("https://www.773grp.com/manufacturer/onsemi?pageNo=170", "ON Semiconductor")</f>
        <v>ON Semiconductor</v>
      </c>
      <c r="C40810" s="6">
        <v>2500</v>
      </c>
      <c r="D40810" s="7">
        <v>4.38</v>
      </c>
    </row>
    <row r="40811" spans="1:5" x14ac:dyDescent="0.25">
      <c r="A40811" t="str">
        <f>HYPERLINK("https://www.773grp.com/globalSearch/NCV887100D1R2G/page-1", "NCV887100D1R2G")</f>
        <v>NCV887100D1R2G</v>
      </c>
      <c r="B40811" s="3" t="str">
        <f>HYPERLINK("https://www.773grp.com/manufacturer/onsemi?pageNo=171", "ON Semiconductor")</f>
        <v>ON Semiconductor</v>
      </c>
      <c r="C40811" s="6">
        <v>12470</v>
      </c>
      <c r="D40811" s="7">
        <v>4.38</v>
      </c>
    </row>
    <row r="40812" spans="1:5" x14ac:dyDescent="0.25">
      <c r="A40812" t="str">
        <f>HYPERLINK("https://www.773grp.com/globalSearch/NTB6N60/page-1", "NTB6N60")</f>
        <v>NTB6N60</v>
      </c>
      <c r="B40812" s="3" t="str">
        <f>HYPERLINK("https://www.773grp.com/manufacturer/onsemi?pageNo=172", "ON Semiconductor")</f>
        <v>ON Semiconductor</v>
      </c>
      <c r="C40812" s="6">
        <v>9939</v>
      </c>
      <c r="D40812" s="7">
        <v>4.38</v>
      </c>
      <c r="E40812" t="s">
        <v>105</v>
      </c>
    </row>
    <row r="40813" spans="1:5" x14ac:dyDescent="0.25">
      <c r="A40813" t="str">
        <f>HYPERLINK("https://www.773grp.com/globalSearch/CS3361YD14G/page-1", "CS3361YD14G")</f>
        <v>CS3361YD14G</v>
      </c>
      <c r="B40813" s="3" t="str">
        <f>HYPERLINK("https://www.773grp.com/manufacturer/onsemi?pageNo=173", "ON Semiconductor")</f>
        <v>ON Semiconductor</v>
      </c>
      <c r="C40813" s="6">
        <v>2970</v>
      </c>
      <c r="D40813" s="7">
        <v>4</v>
      </c>
    </row>
    <row r="40814" spans="1:5" x14ac:dyDescent="0.25">
      <c r="A40814" t="str">
        <f>HYPERLINK("https://www.773grp.com/globalSearch/CS3361YDR14G/page-1", "CS3361YDR14G")</f>
        <v>CS3361YDR14G</v>
      </c>
      <c r="B40814" s="3" t="str">
        <f>HYPERLINK("https://www.773grp.com/manufacturer/onsemi?pageNo=174", "ON Semiconductor")</f>
        <v>ON Semiconductor</v>
      </c>
      <c r="C40814" s="6">
        <v>12090</v>
      </c>
      <c r="D40814" s="7">
        <v>4</v>
      </c>
    </row>
    <row r="40815" spans="1:5" x14ac:dyDescent="0.25">
      <c r="A40815" t="str">
        <f>HYPERLINK("https://www.773grp.com/globalSearch/CS8140YN14/page-1", "CS8140YN14")</f>
        <v>CS8140YN14</v>
      </c>
      <c r="B40815" s="3" t="str">
        <f>HYPERLINK("https://www.773grp.com/manufacturer/onsemi?pageNo=175", "ON Semiconductor")</f>
        <v>ON Semiconductor</v>
      </c>
      <c r="C40815" s="6">
        <v>1425</v>
      </c>
      <c r="D40815" s="7">
        <v>4</v>
      </c>
      <c r="E40815" t="s">
        <v>19</v>
      </c>
    </row>
    <row r="40816" spans="1:5" x14ac:dyDescent="0.25">
      <c r="A40816" t="str">
        <f>HYPERLINK("https://www.773grp.com/globalSearch/JDX7004/page-1", "JDX7004")</f>
        <v>JDX7004</v>
      </c>
      <c r="B40816" s="3" t="str">
        <f>HYPERLINK("https://www.773grp.com/manufacturer/onsemi?pageNo=176", "ON Semiconductor")</f>
        <v>ON Semiconductor</v>
      </c>
      <c r="C40816" s="6">
        <v>700</v>
      </c>
      <c r="D40816" s="7">
        <v>4</v>
      </c>
    </row>
    <row r="40817" spans="1:5" x14ac:dyDescent="0.25">
      <c r="A40817" t="str">
        <f>HYPERLINK("https://www.773grp.com/globalSearch/MC34166TG/page-1", "MC34166TG")</f>
        <v>MC34166TG</v>
      </c>
      <c r="B40817" s="3" t="str">
        <f>HYPERLINK("https://www.773grp.com/manufacturer/onsemi?pageNo=177", "ON Semiconductor")</f>
        <v>ON Semiconductor</v>
      </c>
      <c r="C40817" s="6">
        <v>1500</v>
      </c>
      <c r="D40817" s="7">
        <v>4</v>
      </c>
      <c r="E40817" t="s">
        <v>7</v>
      </c>
    </row>
    <row r="40818" spans="1:5" x14ac:dyDescent="0.25">
      <c r="A40818" t="str">
        <f>HYPERLINK("https://www.773grp.com/globalSearch/MC34167T/page-1", "MC34167T")</f>
        <v>MC34167T</v>
      </c>
      <c r="B40818" s="3" t="str">
        <f>HYPERLINK("https://www.773grp.com/manufacturer/onsemi?pageNo=178", "ON Semiconductor")</f>
        <v>ON Semiconductor</v>
      </c>
      <c r="C40818" s="6">
        <v>625</v>
      </c>
      <c r="D40818" s="7">
        <v>4</v>
      </c>
      <c r="E40818" t="s">
        <v>7</v>
      </c>
    </row>
    <row r="40819" spans="1:5" x14ac:dyDescent="0.25">
      <c r="A40819" t="str">
        <f>HYPERLINK("https://www.773grp.com/globalSearch/MC34167TG/page-1", "MC34167TG")</f>
        <v>MC34167TG</v>
      </c>
      <c r="B40819" s="3" t="str">
        <f>HYPERLINK("https://www.773grp.com/manufacturer/onsemi?pageNo=179", "ON Semiconductor")</f>
        <v>ON Semiconductor</v>
      </c>
      <c r="C40819" s="6">
        <v>2200</v>
      </c>
      <c r="D40819" s="7">
        <v>4</v>
      </c>
      <c r="E40819" t="s">
        <v>7</v>
      </c>
    </row>
    <row r="40820" spans="1:5" x14ac:dyDescent="0.25">
      <c r="A40820" t="str">
        <f>HYPERLINK("https://www.773grp.com/globalSearch/MTAJ30N06ELFK/page-1", "MTAJ30N06ELFK")</f>
        <v>MTAJ30N06ELFK</v>
      </c>
      <c r="B40820" s="3" t="str">
        <f>HYPERLINK("https://www.773grp.com/manufacturer/onsemi?pageNo=180", "ON Semiconductor")</f>
        <v>ON Semiconductor</v>
      </c>
      <c r="C40820" s="6">
        <v>396</v>
      </c>
      <c r="D40820" s="7">
        <v>4</v>
      </c>
    </row>
    <row r="40821" spans="1:5" x14ac:dyDescent="0.25">
      <c r="A40821" t="str">
        <f>HYPERLINK("https://www.773grp.com/globalSearch/CAT5113VI10/page-1", "CAT5113VI10")</f>
        <v>CAT5113VI10</v>
      </c>
      <c r="B40821" s="3" t="str">
        <f>HYPERLINK("https://www.773grp.com/manufacturer/onsemi?pageNo=181", "ON Semiconductor")</f>
        <v>ON Semiconductor</v>
      </c>
      <c r="C40821" s="6">
        <v>64</v>
      </c>
      <c r="D40821" s="7">
        <v>4.4400000000000004</v>
      </c>
      <c r="E40821" t="s">
        <v>99</v>
      </c>
    </row>
    <row r="40822" spans="1:5" x14ac:dyDescent="0.25">
      <c r="A40822" t="str">
        <f>HYPERLINK("https://www.773grp.com/globalSearch/CAT5114VI-00-GT3/page-1", "CAT5114VI-00-GT3")</f>
        <v>CAT5114VI-00-GT3</v>
      </c>
      <c r="B40822" s="3" t="str">
        <f>HYPERLINK("https://www.773grp.com/manufacturer/onsemi?pageNo=182", "ON Semiconductor")</f>
        <v>ON Semiconductor</v>
      </c>
      <c r="C40822" s="6">
        <v>8740</v>
      </c>
      <c r="D40822" s="7">
        <v>4.4400000000000004</v>
      </c>
      <c r="E40822" t="s">
        <v>99</v>
      </c>
    </row>
    <row r="40823" spans="1:5" x14ac:dyDescent="0.25">
      <c r="A40823" t="str">
        <f>HYPERLINK("https://www.773grp.com/globalSearch/CAT5114VI10/page-1", "CAT5114VI10")</f>
        <v>CAT5114VI10</v>
      </c>
      <c r="B40823" s="3" t="str">
        <f>HYPERLINK("https://www.773grp.com/manufacturer/onsemi?pageNo=183", "ON Semiconductor")</f>
        <v>ON Semiconductor</v>
      </c>
      <c r="C40823" s="6">
        <v>2900</v>
      </c>
      <c r="D40823" s="7">
        <v>4.4400000000000004</v>
      </c>
      <c r="E40823" t="s">
        <v>99</v>
      </c>
    </row>
    <row r="40824" spans="1:5" x14ac:dyDescent="0.25">
      <c r="A40824" t="str">
        <f>HYPERLINK("https://www.773grp.com/globalSearch/CAT5114VI-10-GT3/page-1", "CAT5114VI-10-GT3")</f>
        <v>CAT5114VI-10-GT3</v>
      </c>
      <c r="B40824" s="3" t="str">
        <f>HYPERLINK("https://www.773grp.com/manufacturer/onsemi?pageNo=184", "ON Semiconductor")</f>
        <v>ON Semiconductor</v>
      </c>
      <c r="C40824" s="6">
        <v>6000</v>
      </c>
      <c r="D40824" s="7">
        <v>4.4400000000000004</v>
      </c>
      <c r="E40824" t="s">
        <v>99</v>
      </c>
    </row>
    <row r="40825" spans="1:5" x14ac:dyDescent="0.25">
      <c r="A40825" t="str">
        <f>HYPERLINK("https://www.773grp.com/globalSearch/CAT5114VI-10-T3/page-1", "CAT5114VI-10-T3")</f>
        <v>CAT5114VI-10-T3</v>
      </c>
      <c r="B40825" s="3" t="str">
        <f>HYPERLINK("https://www.773grp.com/manufacturer/onsemi?pageNo=185", "ON Semiconductor")</f>
        <v>ON Semiconductor</v>
      </c>
      <c r="C40825" s="6">
        <v>3000</v>
      </c>
      <c r="D40825" s="7">
        <v>4.4400000000000004</v>
      </c>
    </row>
    <row r="40826" spans="1:5" x14ac:dyDescent="0.25">
      <c r="A40826" t="str">
        <f>HYPERLINK("https://www.773grp.com/globalSearch/CAT5114VI50/page-1", "CAT5114VI50")</f>
        <v>CAT5114VI50</v>
      </c>
      <c r="B40826" s="3" t="str">
        <f>HYPERLINK("https://www.773grp.com/manufacturer/onsemi?pageNo=186", "ON Semiconductor")</f>
        <v>ON Semiconductor</v>
      </c>
      <c r="C40826" s="6">
        <v>18108</v>
      </c>
      <c r="D40826" s="7">
        <v>4.4400000000000004</v>
      </c>
      <c r="E40826" t="s">
        <v>99</v>
      </c>
    </row>
    <row r="40827" spans="1:5" x14ac:dyDescent="0.25">
      <c r="A40827" t="str">
        <f>HYPERLINK("https://www.773grp.com/globalSearch/CAT5114VI-50-G/page-1", "CAT5114VI-50-G")</f>
        <v>CAT5114VI-50-G</v>
      </c>
      <c r="B40827" s="3" t="str">
        <f>HYPERLINK("https://www.773grp.com/manufacturer/onsemi?pageNo=187", "ON Semiconductor")</f>
        <v>ON Semiconductor</v>
      </c>
      <c r="C40827" s="6">
        <v>4000</v>
      </c>
      <c r="D40827" s="7">
        <v>4.4400000000000004</v>
      </c>
      <c r="E40827" t="s">
        <v>99</v>
      </c>
    </row>
    <row r="40828" spans="1:5" x14ac:dyDescent="0.25">
      <c r="A40828" t="str">
        <f>HYPERLINK("https://www.773grp.com/globalSearch/CAT5114YI-10-GT3/page-1", "CAT5114YI-10-GT3")</f>
        <v>CAT5114YI-10-GT3</v>
      </c>
      <c r="B40828" s="3" t="str">
        <f>HYPERLINK("https://www.773grp.com/manufacturer/onsemi?pageNo=188", "ON Semiconductor")</f>
        <v>ON Semiconductor</v>
      </c>
      <c r="C40828" s="6">
        <v>3000</v>
      </c>
      <c r="D40828" s="7">
        <v>4.4400000000000004</v>
      </c>
      <c r="E40828" t="s">
        <v>99</v>
      </c>
    </row>
    <row r="40829" spans="1:5" x14ac:dyDescent="0.25">
      <c r="A40829" t="str">
        <f>HYPERLINK("https://www.773grp.com/globalSearch/CAT5114YI-10-T3/page-1", "CAT5114YI-10-T3")</f>
        <v>CAT5114YI-10-T3</v>
      </c>
      <c r="B40829" s="3" t="str">
        <f>HYPERLINK("https://www.773grp.com/manufacturer/onsemi?pageNo=189", "ON Semiconductor")</f>
        <v>ON Semiconductor</v>
      </c>
      <c r="C40829" s="6">
        <v>9000</v>
      </c>
      <c r="D40829" s="7">
        <v>4.4400000000000004</v>
      </c>
    </row>
    <row r="40830" spans="1:5" x14ac:dyDescent="0.25">
      <c r="A40830" t="str">
        <f>HYPERLINK("https://www.773grp.com/globalSearch/CS3865CGDW16/page-1", "CS3865CGDW16")</f>
        <v>CS3865CGDW16</v>
      </c>
      <c r="B40830" s="3" t="str">
        <f>HYPERLINK("https://www.773grp.com/manufacturer/onsemi?pageNo=190", "ON Semiconductor")</f>
        <v>ON Semiconductor</v>
      </c>
      <c r="C40830" s="6">
        <v>3669</v>
      </c>
      <c r="D40830" s="7">
        <v>4.4400000000000004</v>
      </c>
      <c r="E40830" t="s">
        <v>7</v>
      </c>
    </row>
    <row r="40831" spans="1:5" x14ac:dyDescent="0.25">
      <c r="A40831" t="str">
        <f>HYPERLINK("https://www.773grp.com/globalSearch/CS5231-3GDFR8/page-1", "CS5231-3GDFR8")</f>
        <v>CS5231-3GDFR8</v>
      </c>
      <c r="B40831" s="3" t="str">
        <f>HYPERLINK("https://www.773grp.com/manufacturer/onsemi?pageNo=191", "ON Semiconductor")</f>
        <v>ON Semiconductor</v>
      </c>
      <c r="C40831" s="6">
        <v>2500</v>
      </c>
      <c r="D40831" s="7">
        <v>4.4400000000000004</v>
      </c>
      <c r="E40831" t="s">
        <v>19</v>
      </c>
    </row>
    <row r="40832" spans="1:5" x14ac:dyDescent="0.25">
      <c r="A40832" t="str">
        <f>HYPERLINK("https://www.773grp.com/globalSearch/CS7054YDWR16/page-1", "CS7054YDWR16")</f>
        <v>CS7054YDWR16</v>
      </c>
      <c r="B40832" s="3" t="str">
        <f>HYPERLINK("https://www.773grp.com/manufacturer/onsemi?pageNo=192", "ON Semiconductor")</f>
        <v>ON Semiconductor</v>
      </c>
      <c r="C40832" s="6">
        <v>1000</v>
      </c>
      <c r="D40832" s="7">
        <v>4.4400000000000004</v>
      </c>
      <c r="E40832" t="s">
        <v>16</v>
      </c>
    </row>
    <row r="40833" spans="1:5" x14ac:dyDescent="0.25">
      <c r="A40833" t="str">
        <f>HYPERLINK("https://www.773grp.com/globalSearch/CS8129YDWR16/page-1", "CS8129YDWR16")</f>
        <v>CS8129YDWR16</v>
      </c>
      <c r="B40833" s="3" t="str">
        <f>HYPERLINK("https://www.773grp.com/manufacturer/onsemi?pageNo=193", "ON Semiconductor")</f>
        <v>ON Semiconductor</v>
      </c>
      <c r="C40833" s="6">
        <v>1000</v>
      </c>
      <c r="D40833" s="7">
        <v>4.4400000000000004</v>
      </c>
      <c r="E40833" t="s">
        <v>19</v>
      </c>
    </row>
    <row r="40834" spans="1:5" x14ac:dyDescent="0.25">
      <c r="A40834" t="str">
        <f>HYPERLINK("https://www.773grp.com/globalSearch/CS8182DTG/page-1", "CS8182DTG")</f>
        <v>CS8182DTG</v>
      </c>
      <c r="B40834" s="3" t="str">
        <f>HYPERLINK("https://www.773grp.com/manufacturer/onsemi?pageNo=194", "ON Semiconductor")</f>
        <v>ON Semiconductor</v>
      </c>
      <c r="C40834" s="6">
        <v>2280</v>
      </c>
      <c r="D40834" s="7">
        <v>4.4400000000000004</v>
      </c>
      <c r="E40834" t="s">
        <v>25</v>
      </c>
    </row>
    <row r="40835" spans="1:5" x14ac:dyDescent="0.25">
      <c r="A40835" t="str">
        <f>HYPERLINK("https://www.773grp.com/globalSearch/CS8182DTRKG/page-1", "CS8182DTRKG")</f>
        <v>CS8182DTRKG</v>
      </c>
      <c r="B40835" s="3" t="str">
        <f>HYPERLINK("https://www.773grp.com/manufacturer/onsemi?pageNo=195", "ON Semiconductor")</f>
        <v>ON Semiconductor</v>
      </c>
      <c r="C40835" s="6">
        <v>4411</v>
      </c>
      <c r="D40835" s="7">
        <v>4.4400000000000004</v>
      </c>
      <c r="E40835" t="s">
        <v>25</v>
      </c>
    </row>
    <row r="40836" spans="1:5" x14ac:dyDescent="0.25">
      <c r="A40836" t="str">
        <f>HYPERLINK("https://www.773grp.com/globalSearch/LA4425F-E/page-1", "LA4425F-E")</f>
        <v>LA4425F-E</v>
      </c>
      <c r="B40836" s="3" t="str">
        <f>HYPERLINK("https://www.773grp.com/manufacturer/onsemi?pageNo=196", "ON Semiconductor")</f>
        <v>ON Semiconductor</v>
      </c>
      <c r="C40836" s="6">
        <v>350</v>
      </c>
      <c r="D40836" s="7">
        <v>4.4400000000000004</v>
      </c>
    </row>
    <row r="40837" spans="1:5" x14ac:dyDescent="0.25">
      <c r="A40837" t="str">
        <f>HYPERLINK("https://www.773grp.com/globalSearch/LB1973JA-ZH/page-1", "LB1973JA-ZH")</f>
        <v>LB1973JA-ZH</v>
      </c>
      <c r="B40837" s="3" t="str">
        <f>HYPERLINK("https://www.773grp.com/manufacturer/onsemi?pageNo=197", "ON Semiconductor")</f>
        <v>ON Semiconductor</v>
      </c>
      <c r="C40837" s="6">
        <v>313</v>
      </c>
      <c r="D40837" s="7">
        <v>4.4400000000000004</v>
      </c>
    </row>
    <row r="40838" spans="1:5" x14ac:dyDescent="0.25">
      <c r="A40838" t="str">
        <f>HYPERLINK("https://www.773grp.com/globalSearch/LV8082LP-TE-L-H/page-1", "LV8082LP-TE-L-H")</f>
        <v>LV8082LP-TE-L-H</v>
      </c>
      <c r="B40838" s="3" t="str">
        <f>HYPERLINK("https://www.773grp.com/manufacturer/onsemi?pageNo=198", "ON Semiconductor")</f>
        <v>ON Semiconductor</v>
      </c>
      <c r="C40838" s="6">
        <v>1986</v>
      </c>
      <c r="D40838" s="7">
        <v>4.4400000000000004</v>
      </c>
    </row>
    <row r="40839" spans="1:5" x14ac:dyDescent="0.25">
      <c r="A40839" t="str">
        <f>HYPERLINK("https://www.773grp.com/globalSearch/MC10172P/page-1", "MC10172P")</f>
        <v>MC10172P</v>
      </c>
      <c r="B40839" s="3" t="str">
        <f>HYPERLINK("https://www.773grp.com/manufacturer/onsemi?pageNo=199", "ON Semiconductor")</f>
        <v>ON Semiconductor</v>
      </c>
      <c r="C40839" s="6">
        <v>2275</v>
      </c>
      <c r="D40839" s="7">
        <v>4.4400000000000004</v>
      </c>
      <c r="E40839" t="s">
        <v>36</v>
      </c>
    </row>
    <row r="40840" spans="1:5" x14ac:dyDescent="0.25">
      <c r="A40840" t="str">
        <f>HYPERLINK("https://www.773grp.com/globalSearch/MC14553BCP/page-1", "MC14553BCP")</f>
        <v>MC14553BCP</v>
      </c>
      <c r="B40840" s="3" t="str">
        <f>HYPERLINK("https://www.773grp.com/manufacturer/onsemi?pageNo=200", "ON Semiconductor")</f>
        <v>ON Semiconductor</v>
      </c>
      <c r="C40840" s="6">
        <v>635</v>
      </c>
      <c r="D40840" s="7">
        <v>4.4400000000000004</v>
      </c>
      <c r="E40840" t="s">
        <v>26</v>
      </c>
    </row>
    <row r="40841" spans="1:5" x14ac:dyDescent="0.25">
      <c r="A40841" t="str">
        <f>HYPERLINK("https://www.773grp.com/globalSearch/MC14553BCPG/page-1", "MC14553BCPG")</f>
        <v>MC14553BCPG</v>
      </c>
      <c r="B40841" s="3" t="str">
        <f>HYPERLINK("https://www.773grp.com/manufacturer/onsemi?pageNo=201", "ON Semiconductor")</f>
        <v>ON Semiconductor</v>
      </c>
      <c r="C40841" s="6">
        <v>668</v>
      </c>
      <c r="D40841" s="7">
        <v>4.4400000000000004</v>
      </c>
      <c r="E40841" t="s">
        <v>26</v>
      </c>
    </row>
    <row r="40842" spans="1:5" x14ac:dyDescent="0.25">
      <c r="A40842" t="str">
        <f>HYPERLINK("https://www.773grp.com/globalSearch/MC74ACT640DWG/page-1", "MC74ACT640DWG")</f>
        <v>MC74ACT640DWG</v>
      </c>
      <c r="B40842" s="3" t="str">
        <f>HYPERLINK("https://www.773grp.com/manufacturer/onsemi?pageNo=202", "ON Semiconductor")</f>
        <v>ON Semiconductor</v>
      </c>
      <c r="C40842" s="6">
        <v>2018</v>
      </c>
      <c r="D40842" s="7">
        <v>4.4400000000000004</v>
      </c>
      <c r="E40842" t="s">
        <v>14</v>
      </c>
    </row>
    <row r="40843" spans="1:5" x14ac:dyDescent="0.25">
      <c r="A40843" t="str">
        <f>HYPERLINK("https://www.773grp.com/globalSearch/MC74ACT640DWR2G/page-1", "MC74ACT640DWR2G")</f>
        <v>MC74ACT640DWR2G</v>
      </c>
      <c r="B40843" s="3" t="str">
        <f>HYPERLINK("https://www.773grp.com/manufacturer/onsemi?pageNo=203", "ON Semiconductor")</f>
        <v>ON Semiconductor</v>
      </c>
      <c r="C40843" s="6">
        <v>1994</v>
      </c>
      <c r="D40843" s="7">
        <v>4.4400000000000004</v>
      </c>
      <c r="E40843" t="s">
        <v>14</v>
      </c>
    </row>
    <row r="40844" spans="1:5" x14ac:dyDescent="0.25">
      <c r="A40844" t="str">
        <f>HYPERLINK("https://www.773grp.com/globalSearch/MGP20N60U/page-1", "MGP20N60U")</f>
        <v>MGP20N60U</v>
      </c>
      <c r="B40844" s="3" t="str">
        <f>HYPERLINK("https://www.773grp.com/manufacturer/onsemi?pageNo=204", "ON Semiconductor")</f>
        <v>ON Semiconductor</v>
      </c>
      <c r="C40844" s="6">
        <v>323</v>
      </c>
      <c r="D40844" s="7">
        <v>4.4400000000000004</v>
      </c>
      <c r="E40844" t="s">
        <v>115</v>
      </c>
    </row>
    <row r="40845" spans="1:5" x14ac:dyDescent="0.25">
      <c r="A40845" t="str">
        <f>HYPERLINK("https://www.773grp.com/globalSearch/NCV317BD2TR4G/page-1", "NCV317BD2TR4G")</f>
        <v>NCV317BD2TR4G</v>
      </c>
      <c r="B40845" s="3" t="str">
        <f>HYPERLINK("https://www.773grp.com/manufacturer/onsemi?pageNo=205", "ON Semiconductor")</f>
        <v>ON Semiconductor</v>
      </c>
      <c r="C40845" s="6">
        <v>52800</v>
      </c>
      <c r="D40845" s="7">
        <v>4.4400000000000004</v>
      </c>
      <c r="E40845" t="s">
        <v>22</v>
      </c>
    </row>
    <row r="40846" spans="1:5" x14ac:dyDescent="0.25">
      <c r="A40846" t="str">
        <f>HYPERLINK("https://www.773grp.com/globalSearch/NCV8501PDW100G/page-1", "NCV8501PDW100G")</f>
        <v>NCV8501PDW100G</v>
      </c>
      <c r="B40846" s="3" t="str">
        <f>HYPERLINK("https://www.773grp.com/manufacturer/onsemi?pageNo=206", "ON Semiconductor")</f>
        <v>ON Semiconductor</v>
      </c>
      <c r="C40846" s="6">
        <v>1024</v>
      </c>
      <c r="D40846" s="7">
        <v>4.4400000000000004</v>
      </c>
      <c r="E40846" t="s">
        <v>19</v>
      </c>
    </row>
    <row r="40847" spans="1:5" x14ac:dyDescent="0.25">
      <c r="A40847" t="str">
        <f>HYPERLINK("https://www.773grp.com/globalSearch/NCV8501PDW100R2G/page-1", "NCV8501PDW100R2G")</f>
        <v>NCV8501PDW100R2G</v>
      </c>
      <c r="B40847" s="3" t="str">
        <f>HYPERLINK("https://www.773grp.com/manufacturer/onsemi?pageNo=207", "ON Semiconductor")</f>
        <v>ON Semiconductor</v>
      </c>
      <c r="C40847" s="6">
        <v>3000</v>
      </c>
      <c r="D40847" s="7">
        <v>4.4400000000000004</v>
      </c>
      <c r="E40847" t="s">
        <v>19</v>
      </c>
    </row>
    <row r="40848" spans="1:5" x14ac:dyDescent="0.25">
      <c r="A40848" t="str">
        <f>HYPERLINK("https://www.773grp.com/globalSearch/NCV8501PDW25G/page-1", "NCV8501PDW25G")</f>
        <v>NCV8501PDW25G</v>
      </c>
      <c r="B40848" s="3" t="str">
        <f>HYPERLINK("https://www.773grp.com/manufacturer/onsemi?pageNo=208", "ON Semiconductor")</f>
        <v>ON Semiconductor</v>
      </c>
      <c r="C40848" s="6">
        <v>1363</v>
      </c>
      <c r="D40848" s="7">
        <v>4.4400000000000004</v>
      </c>
      <c r="E40848" t="s">
        <v>19</v>
      </c>
    </row>
    <row r="40849" spans="1:5" x14ac:dyDescent="0.25">
      <c r="A40849" t="str">
        <f>HYPERLINK("https://www.773grp.com/globalSearch/NCV8501PDW25R2G/page-1", "NCV8501PDW25R2G")</f>
        <v>NCV8501PDW25R2G</v>
      </c>
      <c r="B40849" s="3" t="str">
        <f>HYPERLINK("https://www.773grp.com/manufacturer/onsemi?pageNo=209", "ON Semiconductor")</f>
        <v>ON Semiconductor</v>
      </c>
      <c r="C40849" s="6">
        <v>2000</v>
      </c>
      <c r="D40849" s="7">
        <v>4.4400000000000004</v>
      </c>
      <c r="E40849" t="s">
        <v>19</v>
      </c>
    </row>
    <row r="40850" spans="1:5" x14ac:dyDescent="0.25">
      <c r="A40850" t="str">
        <f>HYPERLINK("https://www.773grp.com/globalSearch/NCV8501PDW33G/page-1", "NCV8501PDW33G")</f>
        <v>NCV8501PDW33G</v>
      </c>
      <c r="B40850" s="3" t="str">
        <f>HYPERLINK("https://www.773grp.com/manufacturer/onsemi?pageNo=210", "ON Semiconductor")</f>
        <v>ON Semiconductor</v>
      </c>
      <c r="C40850" s="6">
        <v>1081</v>
      </c>
      <c r="D40850" s="7">
        <v>4.4400000000000004</v>
      </c>
      <c r="E40850" t="s">
        <v>19</v>
      </c>
    </row>
    <row r="40851" spans="1:5" x14ac:dyDescent="0.25">
      <c r="A40851" t="str">
        <f>HYPERLINK("https://www.773grp.com/globalSearch/NCV8501PDW33R2G/page-1", "NCV8501PDW33R2G")</f>
        <v>NCV8501PDW33R2G</v>
      </c>
      <c r="B40851" s="3" t="str">
        <f>HYPERLINK("https://www.773grp.com/manufacturer/onsemi?pageNo=211", "ON Semiconductor")</f>
        <v>ON Semiconductor</v>
      </c>
      <c r="C40851" s="6">
        <v>7995</v>
      </c>
      <c r="D40851" s="7">
        <v>4.4400000000000004</v>
      </c>
      <c r="E40851" t="s">
        <v>19</v>
      </c>
    </row>
    <row r="40852" spans="1:5" x14ac:dyDescent="0.25">
      <c r="A40852" t="str">
        <f>HYPERLINK("https://www.773grp.com/globalSearch/NCV8501PDW50G/page-1", "NCV8501PDW50G")</f>
        <v>NCV8501PDW50G</v>
      </c>
      <c r="B40852" s="3" t="str">
        <f>HYPERLINK("https://www.773grp.com/manufacturer/onsemi?pageNo=212", "ON Semiconductor")</f>
        <v>ON Semiconductor</v>
      </c>
      <c r="C40852" s="6">
        <v>1445</v>
      </c>
      <c r="D40852" s="7">
        <v>4.4400000000000004</v>
      </c>
      <c r="E40852" t="s">
        <v>19</v>
      </c>
    </row>
    <row r="40853" spans="1:5" x14ac:dyDescent="0.25">
      <c r="A40853" t="str">
        <f>HYPERLINK("https://www.773grp.com/globalSearch/NCV8501PDW50R2G/page-1", "NCV8501PDW50R2G")</f>
        <v>NCV8501PDW50R2G</v>
      </c>
      <c r="B40853" s="3" t="str">
        <f>HYPERLINK("https://www.773grp.com/manufacturer/onsemi?pageNo=213", "ON Semiconductor")</f>
        <v>ON Semiconductor</v>
      </c>
      <c r="C40853" s="6">
        <v>5910</v>
      </c>
      <c r="D40853" s="7">
        <v>4.4400000000000004</v>
      </c>
      <c r="E40853" t="s">
        <v>19</v>
      </c>
    </row>
    <row r="40854" spans="1:5" x14ac:dyDescent="0.25">
      <c r="A40854" t="str">
        <f>HYPERLINK("https://www.773grp.com/globalSearch/NCV8501PDW80G/page-1", "NCV8501PDW80G")</f>
        <v>NCV8501PDW80G</v>
      </c>
      <c r="B40854" s="3" t="str">
        <f>HYPERLINK("https://www.773grp.com/manufacturer/onsemi?pageNo=214", "ON Semiconductor")</f>
        <v>ON Semiconductor</v>
      </c>
      <c r="C40854" s="6">
        <v>2767</v>
      </c>
      <c r="D40854" s="7">
        <v>4.4400000000000004</v>
      </c>
      <c r="E40854" t="s">
        <v>19</v>
      </c>
    </row>
    <row r="40855" spans="1:5" x14ac:dyDescent="0.25">
      <c r="A40855" t="str">
        <f>HYPERLINK("https://www.773grp.com/globalSearch/NCV8501PDWADJG/page-1", "NCV8501PDWADJG")</f>
        <v>NCV8501PDWADJG</v>
      </c>
      <c r="B40855" s="3" t="str">
        <f>HYPERLINK("https://www.773grp.com/manufacturer/onsemi?pageNo=215", "ON Semiconductor")</f>
        <v>ON Semiconductor</v>
      </c>
      <c r="C40855" s="6">
        <v>4258</v>
      </c>
      <c r="D40855" s="7">
        <v>4.4400000000000004</v>
      </c>
      <c r="E40855" t="s">
        <v>25</v>
      </c>
    </row>
    <row r="40856" spans="1:5" x14ac:dyDescent="0.25">
      <c r="A40856" t="str">
        <f>HYPERLINK("https://www.773grp.com/globalSearch/NCV8502PDW100G/page-1", "NCV8502PDW100G")</f>
        <v>NCV8502PDW100G</v>
      </c>
      <c r="B40856" s="3" t="str">
        <f>HYPERLINK("https://www.773grp.com/manufacturer/onsemi?pageNo=216", "ON Semiconductor")</f>
        <v>ON Semiconductor</v>
      </c>
      <c r="C40856" s="6">
        <v>2810</v>
      </c>
      <c r="D40856" s="7">
        <v>4.4400000000000004</v>
      </c>
      <c r="E40856" t="s">
        <v>19</v>
      </c>
    </row>
    <row r="40857" spans="1:5" x14ac:dyDescent="0.25">
      <c r="A40857" t="str">
        <f>HYPERLINK("https://www.773grp.com/globalSearch/NCV8502PDW100R2G/page-1", "NCV8502PDW100R2G")</f>
        <v>NCV8502PDW100R2G</v>
      </c>
      <c r="B40857" s="3" t="str">
        <f>HYPERLINK("https://www.773grp.com/manufacturer/onsemi?pageNo=217", "ON Semiconductor")</f>
        <v>ON Semiconductor</v>
      </c>
      <c r="C40857" s="6">
        <v>1000</v>
      </c>
      <c r="D40857" s="7">
        <v>4.4400000000000004</v>
      </c>
      <c r="E40857" t="s">
        <v>19</v>
      </c>
    </row>
    <row r="40858" spans="1:5" x14ac:dyDescent="0.25">
      <c r="A40858" t="str">
        <f>HYPERLINK("https://www.773grp.com/globalSearch/NCV8502PDW25G/page-1", "NCV8502PDW25G")</f>
        <v>NCV8502PDW25G</v>
      </c>
      <c r="B40858" s="3" t="str">
        <f>HYPERLINK("https://www.773grp.com/manufacturer/onsemi?pageNo=218", "ON Semiconductor")</f>
        <v>ON Semiconductor</v>
      </c>
      <c r="C40858" s="6">
        <v>225</v>
      </c>
      <c r="D40858" s="7">
        <v>4.4400000000000004</v>
      </c>
      <c r="E40858" t="s">
        <v>19</v>
      </c>
    </row>
    <row r="40859" spans="1:5" x14ac:dyDescent="0.25">
      <c r="A40859" t="str">
        <f>HYPERLINK("https://www.773grp.com/globalSearch/NCV8502PDW25R2G/page-1", "NCV8502PDW25R2G")</f>
        <v>NCV8502PDW25R2G</v>
      </c>
      <c r="B40859" s="3" t="str">
        <f>HYPERLINK("https://www.773grp.com/manufacturer/onsemi?pageNo=219", "ON Semiconductor")</f>
        <v>ON Semiconductor</v>
      </c>
      <c r="C40859" s="6">
        <v>2000</v>
      </c>
      <c r="D40859" s="7">
        <v>4.4400000000000004</v>
      </c>
      <c r="E40859" t="s">
        <v>19</v>
      </c>
    </row>
    <row r="40860" spans="1:5" x14ac:dyDescent="0.25">
      <c r="A40860" t="str">
        <f>HYPERLINK("https://www.773grp.com/globalSearch/NCV8502PDW33G/page-1", "NCV8502PDW33G")</f>
        <v>NCV8502PDW33G</v>
      </c>
      <c r="B40860" s="3" t="str">
        <f>HYPERLINK("https://www.773grp.com/manufacturer/onsemi?pageNo=220", "ON Semiconductor")</f>
        <v>ON Semiconductor</v>
      </c>
      <c r="C40860" s="6">
        <v>1917</v>
      </c>
      <c r="D40860" s="7">
        <v>4.4400000000000004</v>
      </c>
      <c r="E40860" t="s">
        <v>19</v>
      </c>
    </row>
    <row r="40861" spans="1:5" x14ac:dyDescent="0.25">
      <c r="A40861" t="str">
        <f>HYPERLINK("https://www.773grp.com/globalSearch/NCV8502PDW33R2G/page-1", "NCV8502PDW33R2G")</f>
        <v>NCV8502PDW33R2G</v>
      </c>
      <c r="B40861" s="3" t="str">
        <f>HYPERLINK("https://www.773grp.com/manufacturer/onsemi?pageNo=221", "ON Semiconductor")</f>
        <v>ON Semiconductor</v>
      </c>
      <c r="C40861" s="6">
        <v>5000</v>
      </c>
      <c r="D40861" s="7">
        <v>4.4400000000000004</v>
      </c>
      <c r="E40861" t="s">
        <v>19</v>
      </c>
    </row>
    <row r="40862" spans="1:5" x14ac:dyDescent="0.25">
      <c r="A40862" t="str">
        <f>HYPERLINK("https://www.773grp.com/globalSearch/NCV8502PDW50R2G/page-1", "NCV8502PDW50R2G")</f>
        <v>NCV8502PDW50R2G</v>
      </c>
      <c r="B40862" s="3" t="str">
        <f>HYPERLINK("https://www.773grp.com/manufacturer/onsemi?pageNo=222", "ON Semiconductor")</f>
        <v>ON Semiconductor</v>
      </c>
      <c r="C40862" s="6">
        <v>6250</v>
      </c>
      <c r="D40862" s="7">
        <v>4.4400000000000004</v>
      </c>
      <c r="E40862" t="s">
        <v>19</v>
      </c>
    </row>
    <row r="40863" spans="1:5" x14ac:dyDescent="0.25">
      <c r="A40863" t="str">
        <f>HYPERLINK("https://www.773grp.com/globalSearch/NCV8502PDW80G/page-1", "NCV8502PDW80G")</f>
        <v>NCV8502PDW80G</v>
      </c>
      <c r="B40863" s="3" t="str">
        <f>HYPERLINK("https://www.773grp.com/manufacturer/onsemi?pageNo=223", "ON Semiconductor")</f>
        <v>ON Semiconductor</v>
      </c>
      <c r="C40863" s="6">
        <v>1034</v>
      </c>
      <c r="D40863" s="7">
        <v>4.4400000000000004</v>
      </c>
      <c r="E40863" t="s">
        <v>19</v>
      </c>
    </row>
    <row r="40864" spans="1:5" x14ac:dyDescent="0.25">
      <c r="A40864" t="str">
        <f>HYPERLINK("https://www.773grp.com/globalSearch/NCV8502PDW80R2G/page-1", "NCV8502PDW80R2G")</f>
        <v>NCV8502PDW80R2G</v>
      </c>
      <c r="B40864" s="3" t="str">
        <f>HYPERLINK("https://www.773grp.com/manufacturer/onsemi?pageNo=224", "ON Semiconductor")</f>
        <v>ON Semiconductor</v>
      </c>
      <c r="C40864" s="6">
        <v>2990</v>
      </c>
      <c r="D40864" s="7">
        <v>4.4400000000000004</v>
      </c>
      <c r="E40864" t="s">
        <v>19</v>
      </c>
    </row>
    <row r="40865" spans="1:5" x14ac:dyDescent="0.25">
      <c r="A40865" t="str">
        <f>HYPERLINK("https://www.773grp.com/globalSearch/NCV8502PDWADJG/page-1", "NCV8502PDWADJG")</f>
        <v>NCV8502PDWADJG</v>
      </c>
      <c r="B40865" s="3" t="str">
        <f>HYPERLINK("https://www.773grp.com/manufacturer/onsemi?pageNo=225", "ON Semiconductor")</f>
        <v>ON Semiconductor</v>
      </c>
      <c r="C40865" s="6">
        <v>12314</v>
      </c>
      <c r="D40865" s="7">
        <v>4.4400000000000004</v>
      </c>
      <c r="E40865" t="s">
        <v>25</v>
      </c>
    </row>
    <row r="40866" spans="1:5" x14ac:dyDescent="0.25">
      <c r="A40866" t="str">
        <f>HYPERLINK("https://www.773grp.com/globalSearch/NCV8502PDWADJR2G/page-1", "NCV8502PDWADJR2G")</f>
        <v>NCV8502PDWADJR2G</v>
      </c>
      <c r="B40866" s="3" t="str">
        <f>HYPERLINK("https://www.773grp.com/manufacturer/onsemi?pageNo=226", "ON Semiconductor")</f>
        <v>ON Semiconductor</v>
      </c>
      <c r="C40866" s="6">
        <v>5000</v>
      </c>
      <c r="D40866" s="7">
        <v>4.4400000000000004</v>
      </c>
    </row>
    <row r="40867" spans="1:5" x14ac:dyDescent="0.25">
      <c r="A40867" t="str">
        <f>HYPERLINK("https://www.773grp.com/globalSearch/NCV85081BPD50R2G/page-1", "NCV85081BPD50R2G")</f>
        <v>NCV85081BPD50R2G</v>
      </c>
      <c r="B40867" s="3" t="str">
        <f>HYPERLINK("https://www.773grp.com/manufacturer/onsemi?pageNo=227", "ON Semiconductor")</f>
        <v>ON Semiconductor</v>
      </c>
      <c r="C40867" s="6">
        <v>7500</v>
      </c>
      <c r="D40867" s="7">
        <v>4.4400000000000004</v>
      </c>
    </row>
    <row r="40868" spans="1:5" x14ac:dyDescent="0.25">
      <c r="A40868" t="str">
        <f>HYPERLINK("https://www.773grp.com/globalSearch/NCV85082BPD33R2G/page-1", "NCV85082BPD33R2G")</f>
        <v>NCV85082BPD33R2G</v>
      </c>
      <c r="B40868" s="3" t="str">
        <f>HYPERLINK("https://www.773grp.com/manufacturer/onsemi?pageNo=228", "ON Semiconductor")</f>
        <v>ON Semiconductor</v>
      </c>
      <c r="C40868" s="6">
        <v>7500</v>
      </c>
      <c r="D40868" s="7">
        <v>4.4400000000000004</v>
      </c>
    </row>
    <row r="40869" spans="1:5" x14ac:dyDescent="0.25">
      <c r="A40869" t="str">
        <f>HYPERLINK("https://www.773grp.com/globalSearch/NCV8508PD50G/page-1", "NCV8508PD50G")</f>
        <v>NCV8508PD50G</v>
      </c>
      <c r="B40869" s="3" t="str">
        <f>HYPERLINK("https://www.773grp.com/manufacturer/onsemi?pageNo=229", "ON Semiconductor")</f>
        <v>ON Semiconductor</v>
      </c>
      <c r="C40869" s="6">
        <v>34378</v>
      </c>
      <c r="D40869" s="7">
        <v>4.4400000000000004</v>
      </c>
      <c r="E40869" t="s">
        <v>19</v>
      </c>
    </row>
    <row r="40870" spans="1:5" x14ac:dyDescent="0.25">
      <c r="A40870" t="str">
        <f>HYPERLINK("https://www.773grp.com/globalSearch/NCV8508PD50R2G/page-1", "NCV8508PD50R2G")</f>
        <v>NCV8508PD50R2G</v>
      </c>
      <c r="B40870" s="3" t="str">
        <f>HYPERLINK("https://www.773grp.com/manufacturer/onsemi?pageNo=230", "ON Semiconductor")</f>
        <v>ON Semiconductor</v>
      </c>
      <c r="C40870" s="6">
        <v>5000</v>
      </c>
      <c r="D40870" s="7">
        <v>4.4400000000000004</v>
      </c>
    </row>
    <row r="40871" spans="1:5" x14ac:dyDescent="0.25">
      <c r="A40871" t="str">
        <f>HYPERLINK("https://www.773grp.com/globalSearch/NCV8512PW50G/page-1", "NCV8512PW50G")</f>
        <v>NCV8512PW50G</v>
      </c>
      <c r="B40871" s="3" t="str">
        <f>HYPERLINK("https://www.773grp.com/manufacturer/onsemi?pageNo=231", "ON Semiconductor")</f>
        <v>ON Semiconductor</v>
      </c>
      <c r="C40871" s="6">
        <v>1316</v>
      </c>
      <c r="D40871" s="7">
        <v>4.4400000000000004</v>
      </c>
      <c r="E40871" t="s">
        <v>19</v>
      </c>
    </row>
    <row r="40872" spans="1:5" x14ac:dyDescent="0.25">
      <c r="A40872" t="str">
        <f>HYPERLINK("https://www.773grp.com/globalSearch/NCV8512PW50R2G/page-1", "NCV8512PW50R2G")</f>
        <v>NCV8512PW50R2G</v>
      </c>
      <c r="B40872" s="3" t="str">
        <f>HYPERLINK("https://www.773grp.com/manufacturer/onsemi?pageNo=232", "ON Semiconductor")</f>
        <v>ON Semiconductor</v>
      </c>
      <c r="C40872" s="6">
        <v>22935</v>
      </c>
      <c r="D40872" s="7">
        <v>4.4400000000000004</v>
      </c>
      <c r="E40872" t="s">
        <v>19</v>
      </c>
    </row>
    <row r="40873" spans="1:5" x14ac:dyDescent="0.25">
      <c r="A40873" t="str">
        <f>HYPERLINK("https://www.773grp.com/globalSearch/NGTB20N120IHLWG/page-1", "NGTB20N120IHLWG")</f>
        <v>NGTB20N120IHLWG</v>
      </c>
      <c r="B40873" s="3" t="str">
        <f>HYPERLINK("https://www.773grp.com/manufacturer/onsemi?pageNo=233", "ON Semiconductor")</f>
        <v>ON Semiconductor</v>
      </c>
      <c r="C40873" s="6">
        <v>9990</v>
      </c>
      <c r="D40873" s="7">
        <v>4.4400000000000004</v>
      </c>
    </row>
    <row r="40874" spans="1:5" x14ac:dyDescent="0.25">
      <c r="A40874" t="str">
        <f>HYPERLINK("https://www.773grp.com/globalSearch/TE02486/page-1", "TE02486")</f>
        <v>TE02486</v>
      </c>
      <c r="B40874" s="3" t="str">
        <f>HYPERLINK("https://www.773grp.com/manufacturer/onsemi?pageNo=234", "ON Semiconductor")</f>
        <v>ON Semiconductor</v>
      </c>
      <c r="C40874" s="6">
        <v>1680</v>
      </c>
      <c r="D40874" s="7">
        <v>4.4400000000000004</v>
      </c>
    </row>
    <row r="40875" spans="1:5" x14ac:dyDescent="0.25">
      <c r="A40875" t="str">
        <f>HYPERLINK("https://www.773grp.com/globalSearch/LM2576D2T-012G/page-1", "LM2576D2T-012G")</f>
        <v>LM2576D2T-012G</v>
      </c>
      <c r="B40875" s="3" t="str">
        <f>HYPERLINK("https://www.773grp.com/manufacturer/onsemi?pageNo=235", "ON Semiconductor")</f>
        <v>ON Semiconductor</v>
      </c>
      <c r="C40875" s="6">
        <v>1500</v>
      </c>
      <c r="D40875" s="7">
        <v>4.01</v>
      </c>
    </row>
    <row r="40876" spans="1:5" x14ac:dyDescent="0.25">
      <c r="A40876" t="str">
        <f>HYPERLINK("https://www.773grp.com/globalSearch/LM2576D2T-3.3G/page-1", "LM2576D2T-3.3G")</f>
        <v>LM2576D2T-3.3G</v>
      </c>
      <c r="B40876" s="3" t="str">
        <f>HYPERLINK("https://www.773grp.com/manufacturer/onsemi?pageNo=236", "ON Semiconductor")</f>
        <v>ON Semiconductor</v>
      </c>
      <c r="C40876" s="6">
        <v>2150</v>
      </c>
      <c r="D40876" s="7">
        <v>4.01</v>
      </c>
    </row>
    <row r="40877" spans="1:5" x14ac:dyDescent="0.25">
      <c r="A40877" t="str">
        <f>HYPERLINK("https://www.773grp.com/globalSearch/LV8044LP-MPB-E/page-1", "LV8044LP-MPB-E")</f>
        <v>LV8044LP-MPB-E</v>
      </c>
      <c r="B40877" s="3" t="str">
        <f>HYPERLINK("https://www.773grp.com/manufacturer/onsemi?pageNo=237", "ON Semiconductor")</f>
        <v>ON Semiconductor</v>
      </c>
      <c r="C40877" s="6">
        <v>590</v>
      </c>
      <c r="D40877" s="7">
        <v>4.01</v>
      </c>
    </row>
    <row r="40878" spans="1:5" x14ac:dyDescent="0.25">
      <c r="A40878" t="str">
        <f>HYPERLINK("https://www.773grp.com/globalSearch/LV8044LP-MPB-H/page-1", "LV8044LP-MPB-H")</f>
        <v>LV8044LP-MPB-H</v>
      </c>
      <c r="B40878" s="3" t="str">
        <f>HYPERLINK("https://www.773grp.com/manufacturer/onsemi?pageNo=238", "ON Semiconductor")</f>
        <v>ON Semiconductor</v>
      </c>
      <c r="C40878" s="6">
        <v>200</v>
      </c>
      <c r="D40878" s="7">
        <v>4.01</v>
      </c>
    </row>
    <row r="40879" spans="1:5" x14ac:dyDescent="0.25">
      <c r="A40879" t="str">
        <f>HYPERLINK("https://www.773grp.com/globalSearch/MC10216FN/page-1", "MC10216FN")</f>
        <v>MC10216FN</v>
      </c>
      <c r="B40879" s="3" t="str">
        <f>HYPERLINK("https://www.773grp.com/manufacturer/onsemi?pageNo=239", "ON Semiconductor")</f>
        <v>ON Semiconductor</v>
      </c>
      <c r="C40879" s="6">
        <v>6980</v>
      </c>
      <c r="D40879" s="7">
        <v>4.01</v>
      </c>
      <c r="E40879" t="s">
        <v>21</v>
      </c>
    </row>
    <row r="40880" spans="1:5" x14ac:dyDescent="0.25">
      <c r="A40880" t="str">
        <f>HYPERLINK("https://www.773grp.com/globalSearch/NCN6000DTBR2/page-1", "NCN6000DTBR2")</f>
        <v>NCN6000DTBR2</v>
      </c>
      <c r="B40880" s="3" t="str">
        <f>HYPERLINK("https://www.773grp.com/manufacturer/onsemi?pageNo=240", "ON Semiconductor")</f>
        <v>ON Semiconductor</v>
      </c>
      <c r="C40880" s="6">
        <v>1</v>
      </c>
      <c r="D40880" s="7">
        <v>4.01</v>
      </c>
    </row>
    <row r="40881" spans="1:5" x14ac:dyDescent="0.25">
      <c r="A40881" t="str">
        <f>HYPERLINK("https://www.773grp.com/globalSearch/CS8140YT7/page-1", "CS8140YT7")</f>
        <v>CS8140YT7</v>
      </c>
      <c r="B40881" s="3" t="str">
        <f>HYPERLINK("https://www.773grp.com/manufacturer/onsemi?pageNo=241", "ON Semiconductor")</f>
        <v>ON Semiconductor</v>
      </c>
      <c r="C40881" s="6">
        <v>2800</v>
      </c>
      <c r="D40881" s="7">
        <v>4.05</v>
      </c>
      <c r="E40881" t="s">
        <v>19</v>
      </c>
    </row>
    <row r="40882" spans="1:5" x14ac:dyDescent="0.25">
      <c r="A40882" t="str">
        <f>HYPERLINK("https://www.773grp.com/globalSearch/CS8182YDPSR5/page-1", "CS8182YDPSR5")</f>
        <v>CS8182YDPSR5</v>
      </c>
      <c r="B40882" s="3" t="str">
        <f>HYPERLINK("https://www.773grp.com/manufacturer/onsemi?pageNo=242", "ON Semiconductor")</f>
        <v>ON Semiconductor</v>
      </c>
      <c r="C40882" s="6">
        <v>6000</v>
      </c>
      <c r="D40882" s="7">
        <v>4.05</v>
      </c>
      <c r="E40882" t="s">
        <v>25</v>
      </c>
    </row>
    <row r="40883" spans="1:5" x14ac:dyDescent="0.25">
      <c r="A40883" t="str">
        <f>HYPERLINK("https://www.773grp.com/globalSearch/MBR4045PTG/page-1", "MBR4045PTG")</f>
        <v>MBR4045PTG</v>
      </c>
      <c r="B40883" s="3" t="str">
        <f>HYPERLINK("https://www.773grp.com/manufacturer/onsemi?pageNo=243", "ON Semiconductor")</f>
        <v>ON Semiconductor</v>
      </c>
      <c r="C40883" s="6">
        <v>6558</v>
      </c>
      <c r="D40883" s="7">
        <v>4.05</v>
      </c>
      <c r="E40883" t="s">
        <v>103</v>
      </c>
    </row>
    <row r="40884" spans="1:5" x14ac:dyDescent="0.25">
      <c r="A40884" t="str">
        <f>HYPERLINK("https://www.773grp.com/globalSearch/MC33166TG/page-1", "MC33166TG")</f>
        <v>MC33166TG</v>
      </c>
      <c r="B40884" s="3" t="str">
        <f>HYPERLINK("https://www.773grp.com/manufacturer/onsemi?pageNo=244", "ON Semiconductor")</f>
        <v>ON Semiconductor</v>
      </c>
      <c r="C40884" s="6">
        <v>2600</v>
      </c>
      <c r="D40884" s="7">
        <v>4.05</v>
      </c>
      <c r="E40884" t="s">
        <v>7</v>
      </c>
    </row>
    <row r="40885" spans="1:5" x14ac:dyDescent="0.25">
      <c r="A40885" t="str">
        <f>HYPERLINK("https://www.773grp.com/globalSearch/MC33166THG/page-1", "MC33166THG")</f>
        <v>MC33166THG</v>
      </c>
      <c r="B40885" s="3" t="str">
        <f>HYPERLINK("https://www.773grp.com/manufacturer/onsemi?pageNo=245", "ON Semiconductor")</f>
        <v>ON Semiconductor</v>
      </c>
      <c r="C40885" s="6">
        <v>447</v>
      </c>
      <c r="D40885" s="7">
        <v>4.05</v>
      </c>
      <c r="E40885" t="s">
        <v>7</v>
      </c>
    </row>
    <row r="40886" spans="1:5" x14ac:dyDescent="0.25">
      <c r="A40886" t="str">
        <f>HYPERLINK("https://www.773grp.com/globalSearch/MC33167TG/page-1", "MC33167TG")</f>
        <v>MC33167TG</v>
      </c>
      <c r="B40886" s="3" t="str">
        <f>HYPERLINK("https://www.773grp.com/manufacturer/onsemi?pageNo=246", "ON Semiconductor")</f>
        <v>ON Semiconductor</v>
      </c>
      <c r="C40886" s="6">
        <v>22600</v>
      </c>
      <c r="D40886" s="7">
        <v>4.05</v>
      </c>
      <c r="E40886" t="s">
        <v>7</v>
      </c>
    </row>
    <row r="40887" spans="1:5" x14ac:dyDescent="0.25">
      <c r="A40887" t="str">
        <f>HYPERLINK("https://www.773grp.com/globalSearch/MTW16N40E/page-1", "MTW16N40E")</f>
        <v>MTW16N40E</v>
      </c>
      <c r="B40887" s="3" t="str">
        <f>HYPERLINK("https://www.773grp.com/manufacturer/onsemi?pageNo=247", "ON Semiconductor")</f>
        <v>ON Semiconductor</v>
      </c>
      <c r="C40887" s="6">
        <v>8700</v>
      </c>
      <c r="D40887" s="7">
        <v>4.05</v>
      </c>
      <c r="E40887" t="s">
        <v>105</v>
      </c>
    </row>
    <row r="40888" spans="1:5" x14ac:dyDescent="0.25">
      <c r="A40888" t="str">
        <f>HYPERLINK("https://www.773grp.com/globalSearch/MTW16N40E/page-1", "MTW16N40E")</f>
        <v>MTW16N40E</v>
      </c>
      <c r="B40888" s="3" t="str">
        <f>HYPERLINK("https://www.773grp.com/manufacturer/onsemi?pageNo=248", "ON Semiconductor")</f>
        <v>ON Semiconductor</v>
      </c>
      <c r="C40888" s="6">
        <v>15720</v>
      </c>
      <c r="D40888" s="7">
        <v>4.05</v>
      </c>
      <c r="E40888" t="s">
        <v>105</v>
      </c>
    </row>
    <row r="40889" spans="1:5" x14ac:dyDescent="0.25">
      <c r="A40889" t="str">
        <f>HYPERLINK("https://www.773grp.com/globalSearch/NCP5306DW/page-1", "NCP5306DW")</f>
        <v>NCP5306DW</v>
      </c>
      <c r="B40889" s="3" t="str">
        <f>HYPERLINK("https://www.773grp.com/manufacturer/onsemi?pageNo=249", "ON Semiconductor")</f>
        <v>ON Semiconductor</v>
      </c>
      <c r="C40889" s="6">
        <v>4410</v>
      </c>
      <c r="D40889" s="7">
        <v>4.05</v>
      </c>
      <c r="E40889" t="s">
        <v>7</v>
      </c>
    </row>
    <row r="40890" spans="1:5" x14ac:dyDescent="0.25">
      <c r="A40890" t="str">
        <f>HYPERLINK("https://www.773grp.com/globalSearch/NCP5306DWR2/page-1", "NCP5306DWR2")</f>
        <v>NCP5306DWR2</v>
      </c>
      <c r="B40890" s="3" t="str">
        <f>HYPERLINK("https://www.773grp.com/manufacturer/onsemi?pageNo=250", "ON Semiconductor")</f>
        <v>ON Semiconductor</v>
      </c>
      <c r="C40890" s="6">
        <v>37000</v>
      </c>
      <c r="D40890" s="7">
        <v>4.05</v>
      </c>
      <c r="E40890" t="s">
        <v>7</v>
      </c>
    </row>
    <row r="40891" spans="1:5" x14ac:dyDescent="0.25">
      <c r="A40891" t="str">
        <f>HYPERLINK("https://www.773grp.com/globalSearch/NCV8141D2TG/page-1", "NCV8141D2TG")</f>
        <v>NCV8141D2TG</v>
      </c>
      <c r="B40891" s="3" t="str">
        <f>HYPERLINK("https://www.773grp.com/manufacturer/onsemi?pageNo=251", "ON Semiconductor")</f>
        <v>ON Semiconductor</v>
      </c>
      <c r="C40891" s="6">
        <v>10</v>
      </c>
      <c r="D40891" s="7">
        <v>4.05</v>
      </c>
      <c r="E40891" t="s">
        <v>28</v>
      </c>
    </row>
    <row r="40892" spans="1:5" x14ac:dyDescent="0.25">
      <c r="A40892" t="str">
        <f>HYPERLINK("https://www.773grp.com/globalSearch/ADT7473ARQZ-REEL/page-1", "ADT7473ARQZ-REEL")</f>
        <v>ADT7473ARQZ-REEL</v>
      </c>
      <c r="B40892" s="3" t="str">
        <f>HYPERLINK("https://www.773grp.com/manufacturer/onsemi?pageNo=252", "ON Semiconductor")</f>
        <v>ON Semiconductor</v>
      </c>
      <c r="C40892" s="6">
        <v>39935</v>
      </c>
      <c r="D40892" s="7">
        <v>4.49</v>
      </c>
      <c r="E40892" t="s">
        <v>12</v>
      </c>
    </row>
    <row r="40893" spans="1:5" x14ac:dyDescent="0.25">
      <c r="A40893" t="str">
        <f>HYPERLINK("https://www.773grp.com/globalSearch/CAT24M01WI-GT3/page-1", "CAT24M01WI-GT3")</f>
        <v>CAT24M01WI-GT3</v>
      </c>
      <c r="B40893" s="3" t="str">
        <f>HYPERLINK("https://www.773grp.com/manufacturer/onsemi?pageNo=253", "ON Semiconductor")</f>
        <v>ON Semiconductor</v>
      </c>
      <c r="C40893" s="6">
        <v>925</v>
      </c>
      <c r="D40893" s="7">
        <v>4.49</v>
      </c>
    </row>
    <row r="40894" spans="1:5" x14ac:dyDescent="0.25">
      <c r="A40894" t="str">
        <f>HYPERLINK("https://www.773grp.com/globalSearch/CAT5115YI-00-G/page-1", "CAT5115YI-00-G")</f>
        <v>CAT5115YI-00-G</v>
      </c>
      <c r="B40894" s="3" t="str">
        <f>HYPERLINK("https://www.773grp.com/manufacturer/onsemi?pageNo=254", "ON Semiconductor")</f>
        <v>ON Semiconductor</v>
      </c>
      <c r="C40894" s="6">
        <v>600</v>
      </c>
      <c r="D40894" s="7">
        <v>4.49</v>
      </c>
      <c r="E40894" t="s">
        <v>99</v>
      </c>
    </row>
    <row r="40895" spans="1:5" x14ac:dyDescent="0.25">
      <c r="A40895" t="str">
        <f>HYPERLINK("https://www.773grp.com/globalSearch/CAT5115YI-50-G/page-1", "CAT5115YI-50-G")</f>
        <v>CAT5115YI-50-G</v>
      </c>
      <c r="B40895" s="3" t="str">
        <f>HYPERLINK("https://www.773grp.com/manufacturer/onsemi?pageNo=255", "ON Semiconductor")</f>
        <v>ON Semiconductor</v>
      </c>
      <c r="C40895" s="6">
        <v>572</v>
      </c>
      <c r="D40895" s="7">
        <v>4.49</v>
      </c>
      <c r="E40895" t="s">
        <v>99</v>
      </c>
    </row>
    <row r="40896" spans="1:5" x14ac:dyDescent="0.25">
      <c r="A40896" t="str">
        <f>HYPERLINK("https://www.773grp.com/globalSearch/CAT9534WI-GT2/page-1", "CAT9534WI-GT2")</f>
        <v>CAT9534WI-GT2</v>
      </c>
      <c r="B40896" s="3" t="str">
        <f>HYPERLINK("https://www.773grp.com/manufacturer/onsemi?pageNo=256", "ON Semiconductor")</f>
        <v>ON Semiconductor</v>
      </c>
      <c r="C40896" s="6">
        <v>10000</v>
      </c>
      <c r="D40896" s="7">
        <v>4.49</v>
      </c>
      <c r="E40896" t="s">
        <v>90</v>
      </c>
    </row>
    <row r="40897" spans="1:5" x14ac:dyDescent="0.25">
      <c r="A40897" t="str">
        <f>HYPERLINK("https://www.773grp.com/globalSearch/CS51414EDR8/page-1", "CS51414EDR8")</f>
        <v>CS51414EDR8</v>
      </c>
      <c r="B40897" s="3" t="str">
        <f>HYPERLINK("https://www.773grp.com/manufacturer/onsemi?pageNo=257", "ON Semiconductor")</f>
        <v>ON Semiconductor</v>
      </c>
      <c r="C40897" s="6">
        <v>1968</v>
      </c>
      <c r="D40897" s="7">
        <v>4.49</v>
      </c>
      <c r="E40897" t="s">
        <v>7</v>
      </c>
    </row>
    <row r="40898" spans="1:5" x14ac:dyDescent="0.25">
      <c r="A40898" t="str">
        <f>HYPERLINK("https://www.773grp.com/globalSearch/CS5211ED14G/page-1", "CS5211ED14G")</f>
        <v>CS5211ED14G</v>
      </c>
      <c r="B40898" s="3" t="str">
        <f>HYPERLINK("https://www.773grp.com/manufacturer/onsemi?pageNo=258", "ON Semiconductor")</f>
        <v>ON Semiconductor</v>
      </c>
      <c r="C40898" s="6">
        <v>183</v>
      </c>
      <c r="D40898" s="7">
        <v>4.49</v>
      </c>
      <c r="E40898" t="s">
        <v>7</v>
      </c>
    </row>
    <row r="40899" spans="1:5" x14ac:dyDescent="0.25">
      <c r="A40899" t="str">
        <f>HYPERLINK("https://www.773grp.com/globalSearch/CS8126-1YTHER5G/page-1", "CS8126-1YTHER5G")</f>
        <v>CS8126-1YTHER5G</v>
      </c>
      <c r="B40899" s="3" t="str">
        <f>HYPERLINK("https://www.773grp.com/manufacturer/onsemi?pageNo=259", "ON Semiconductor")</f>
        <v>ON Semiconductor</v>
      </c>
      <c r="C40899" s="6">
        <v>350</v>
      </c>
      <c r="D40899" s="7">
        <v>4.49</v>
      </c>
      <c r="E40899" t="s">
        <v>19</v>
      </c>
    </row>
    <row r="40900" spans="1:5" x14ac:dyDescent="0.25">
      <c r="A40900" t="str">
        <f>HYPERLINK("https://www.773grp.com/globalSearch/LA5744MP-DL-E/page-1", "LA5744MP-DL-E")</f>
        <v>LA5744MP-DL-E</v>
      </c>
      <c r="B40900" s="3" t="str">
        <f>HYPERLINK("https://www.773grp.com/manufacturer/onsemi?pageNo=260", "ON Semiconductor")</f>
        <v>ON Semiconductor</v>
      </c>
      <c r="C40900" s="6">
        <v>54000</v>
      </c>
      <c r="D40900" s="7">
        <v>4.49</v>
      </c>
    </row>
    <row r="40901" spans="1:5" x14ac:dyDescent="0.25">
      <c r="A40901" t="str">
        <f>HYPERLINK("https://www.773grp.com/globalSearch/LB11620GP-TE-L-H/page-1", "LB11620GP-TE-L-H")</f>
        <v>LB11620GP-TE-L-H</v>
      </c>
      <c r="B40901" s="3" t="str">
        <f>HYPERLINK("https://www.773grp.com/manufacturer/onsemi?pageNo=261", "ON Semiconductor")</f>
        <v>ON Semiconductor</v>
      </c>
      <c r="C40901" s="6">
        <v>6000</v>
      </c>
      <c r="D40901" s="7">
        <v>4.49</v>
      </c>
    </row>
    <row r="40902" spans="1:5" x14ac:dyDescent="0.25">
      <c r="A40902" t="str">
        <f>HYPERLINK("https://www.773grp.com/globalSearch/LV8734V-MPB-H/page-1", "LV8734V-MPB-H")</f>
        <v>LV8734V-MPB-H</v>
      </c>
      <c r="B40902" s="3" t="str">
        <f>HYPERLINK("https://www.773grp.com/manufacturer/onsemi?pageNo=262", "ON Semiconductor")</f>
        <v>ON Semiconductor</v>
      </c>
      <c r="C40902" s="6">
        <v>240</v>
      </c>
      <c r="D40902" s="7">
        <v>4.49</v>
      </c>
    </row>
    <row r="40903" spans="1:5" x14ac:dyDescent="0.25">
      <c r="A40903" t="str">
        <f>HYPERLINK("https://www.773grp.com/globalSearch/MC33079MR1/page-1", "MC33079MR1")</f>
        <v>MC33079MR1</v>
      </c>
      <c r="B40903" s="3" t="str">
        <f>HYPERLINK("https://www.773grp.com/manufacturer/onsemi?pageNo=263", "ON Semiconductor")</f>
        <v>ON Semiconductor</v>
      </c>
      <c r="C40903" s="6">
        <v>40000</v>
      </c>
      <c r="D40903" s="7">
        <v>4.49</v>
      </c>
    </row>
    <row r="40904" spans="1:5" x14ac:dyDescent="0.25">
      <c r="A40904" t="str">
        <f>HYPERLINK("https://www.773grp.com/globalSearch/MC34025P/page-1", "MC34025P")</f>
        <v>MC34025P</v>
      </c>
      <c r="B40904" s="3" t="str">
        <f>HYPERLINK("https://www.773grp.com/manufacturer/onsemi?pageNo=264", "ON Semiconductor")</f>
        <v>ON Semiconductor</v>
      </c>
      <c r="C40904" s="6">
        <v>1812</v>
      </c>
      <c r="D40904" s="7">
        <v>4.49</v>
      </c>
      <c r="E40904" t="s">
        <v>7</v>
      </c>
    </row>
    <row r="40905" spans="1:5" x14ac:dyDescent="0.25">
      <c r="A40905" t="str">
        <f>HYPERLINK("https://www.773grp.com/globalSearch/MC74F299DW/page-1", "MC74F299DW")</f>
        <v>MC74F299DW</v>
      </c>
      <c r="B40905" s="3" t="str">
        <f>HYPERLINK("https://www.773grp.com/manufacturer/onsemi?pageNo=265", "ON Semiconductor")</f>
        <v>ON Semiconductor</v>
      </c>
      <c r="C40905" s="6">
        <v>665</v>
      </c>
      <c r="D40905" s="7">
        <v>4.49</v>
      </c>
      <c r="E40905" t="s">
        <v>32</v>
      </c>
    </row>
    <row r="40906" spans="1:5" x14ac:dyDescent="0.25">
      <c r="A40906" t="str">
        <f>HYPERLINK("https://www.773grp.com/globalSearch/MC74F823DW/page-1", "MC74F823DW")</f>
        <v>MC74F823DW</v>
      </c>
      <c r="B40906" s="3" t="str">
        <f>HYPERLINK("https://www.773grp.com/manufacturer/onsemi?pageNo=266", "ON Semiconductor")</f>
        <v>ON Semiconductor</v>
      </c>
      <c r="C40906" s="6">
        <v>2590</v>
      </c>
      <c r="D40906" s="7">
        <v>4.49</v>
      </c>
    </row>
    <row r="40907" spans="1:5" x14ac:dyDescent="0.25">
      <c r="A40907" t="str">
        <f>HYPERLINK("https://www.773grp.com/globalSearch/MC74F823N/page-1", "MC74F823N")</f>
        <v>MC74F823N</v>
      </c>
      <c r="B40907" s="3" t="str">
        <f>HYPERLINK("https://www.773grp.com/manufacturer/onsemi?pageNo=267", "ON Semiconductor")</f>
        <v>ON Semiconductor</v>
      </c>
      <c r="C40907" s="6">
        <v>1556</v>
      </c>
      <c r="D40907" s="7">
        <v>4.49</v>
      </c>
    </row>
    <row r="40908" spans="1:5" x14ac:dyDescent="0.25">
      <c r="A40908" t="str">
        <f>HYPERLINK("https://www.773grp.com/globalSearch/MC74F827DW/page-1", "MC74F827DW")</f>
        <v>MC74F827DW</v>
      </c>
      <c r="B40908" s="3" t="str">
        <f>HYPERLINK("https://www.773grp.com/manufacturer/onsemi?pageNo=268", "ON Semiconductor")</f>
        <v>ON Semiconductor</v>
      </c>
      <c r="C40908" s="6">
        <v>1433</v>
      </c>
      <c r="D40908" s="7">
        <v>4.49</v>
      </c>
      <c r="E40908" t="s">
        <v>14</v>
      </c>
    </row>
    <row r="40909" spans="1:5" x14ac:dyDescent="0.25">
      <c r="A40909" t="str">
        <f>HYPERLINK("https://www.773grp.com/globalSearch/MC74F827DWR2/page-1", "MC74F827DWR2")</f>
        <v>MC74F827DWR2</v>
      </c>
      <c r="B40909" s="3" t="str">
        <f>HYPERLINK("https://www.773grp.com/manufacturer/onsemi?pageNo=269", "ON Semiconductor")</f>
        <v>ON Semiconductor</v>
      </c>
      <c r="C40909" s="6">
        <v>1000</v>
      </c>
      <c r="D40909" s="7">
        <v>4.49</v>
      </c>
      <c r="E40909" t="s">
        <v>14</v>
      </c>
    </row>
    <row r="40910" spans="1:5" x14ac:dyDescent="0.25">
      <c r="A40910" t="str">
        <f>HYPERLINK("https://www.773grp.com/globalSearch/MC74HC646DW/page-1", "MC74HC646DW")</f>
        <v>MC74HC646DW</v>
      </c>
      <c r="B40910" s="3" t="str">
        <f>HYPERLINK("https://www.773grp.com/manufacturer/onsemi?pageNo=270", "ON Semiconductor")</f>
        <v>ON Semiconductor</v>
      </c>
      <c r="C40910" s="6">
        <v>1090</v>
      </c>
      <c r="D40910" s="7">
        <v>4.49</v>
      </c>
      <c r="E40910" t="s">
        <v>14</v>
      </c>
    </row>
    <row r="40911" spans="1:5" x14ac:dyDescent="0.25">
      <c r="A40911" t="str">
        <f>HYPERLINK("https://www.773grp.com/globalSearch/MC74HC646N/page-1", "MC74HC646N")</f>
        <v>MC74HC646N</v>
      </c>
      <c r="B40911" s="3" t="str">
        <f>HYPERLINK("https://www.773grp.com/manufacturer/onsemi?pageNo=271", "ON Semiconductor")</f>
        <v>ON Semiconductor</v>
      </c>
      <c r="C40911" s="6">
        <v>22</v>
      </c>
      <c r="D40911" s="7">
        <v>4.49</v>
      </c>
      <c r="E40911" t="s">
        <v>14</v>
      </c>
    </row>
    <row r="40912" spans="1:5" x14ac:dyDescent="0.25">
      <c r="A40912" t="str">
        <f>HYPERLINK("https://www.773grp.com/globalSearch/MJL21195/page-1", "MJL21195")</f>
        <v>MJL21195</v>
      </c>
      <c r="B40912" s="3" t="str">
        <f>HYPERLINK("https://www.773grp.com/manufacturer/onsemi?pageNo=272", "ON Semiconductor")</f>
        <v>ON Semiconductor</v>
      </c>
      <c r="C40912" s="6">
        <v>147</v>
      </c>
      <c r="D40912" s="7">
        <v>4.49</v>
      </c>
      <c r="E40912" t="s">
        <v>59</v>
      </c>
    </row>
    <row r="40913" spans="1:5" x14ac:dyDescent="0.25">
      <c r="A40913" t="str">
        <f>HYPERLINK("https://www.773grp.com/globalSearch/MJL21196/page-1", "MJL21196")</f>
        <v>MJL21196</v>
      </c>
      <c r="B40913" s="3" t="str">
        <f>HYPERLINK("https://www.773grp.com/manufacturer/onsemi?pageNo=273", "ON Semiconductor")</f>
        <v>ON Semiconductor</v>
      </c>
      <c r="C40913" s="6">
        <v>7</v>
      </c>
      <c r="D40913" s="7">
        <v>4.49</v>
      </c>
      <c r="E40913" t="s">
        <v>59</v>
      </c>
    </row>
    <row r="40914" spans="1:5" x14ac:dyDescent="0.25">
      <c r="A40914" t="str">
        <f>HYPERLINK("https://www.773grp.com/globalSearch/MTP75N03HDL/page-1", "MTP75N03HDL")</f>
        <v>MTP75N03HDL</v>
      </c>
      <c r="B40914" s="3" t="str">
        <f>HYPERLINK("https://www.773grp.com/manufacturer/onsemi?pageNo=274", "ON Semiconductor")</f>
        <v>ON Semiconductor</v>
      </c>
      <c r="C40914" s="6">
        <v>15</v>
      </c>
      <c r="D40914" s="7">
        <v>4.49</v>
      </c>
      <c r="E40914" t="s">
        <v>105</v>
      </c>
    </row>
    <row r="40915" spans="1:5" x14ac:dyDescent="0.25">
      <c r="A40915" t="str">
        <f>HYPERLINK("https://www.773grp.com/globalSearch/MTP8N50E/page-1", "MTP8N50E")</f>
        <v>MTP8N50E</v>
      </c>
      <c r="B40915" s="3" t="str">
        <f>HYPERLINK("https://www.773grp.com/manufacturer/onsemi?pageNo=275", "ON Semiconductor")</f>
        <v>ON Semiconductor</v>
      </c>
      <c r="C40915" s="6">
        <v>1784</v>
      </c>
      <c r="D40915" s="7">
        <v>4.49</v>
      </c>
      <c r="E40915" t="s">
        <v>105</v>
      </c>
    </row>
    <row r="40916" spans="1:5" x14ac:dyDescent="0.25">
      <c r="A40916" t="str">
        <f>HYPERLINK("https://www.773grp.com/globalSearch/MURB1660CTG/page-1", "MURB1660CTG")</f>
        <v>MURB1660CTG</v>
      </c>
      <c r="B40916" s="3" t="str">
        <f>HYPERLINK("https://www.773grp.com/manufacturer/onsemi?pageNo=276", "ON Semiconductor")</f>
        <v>ON Semiconductor</v>
      </c>
      <c r="C40916" s="6">
        <v>5050</v>
      </c>
      <c r="D40916" s="7">
        <v>4.49</v>
      </c>
      <c r="E40916" t="s">
        <v>103</v>
      </c>
    </row>
    <row r="40917" spans="1:5" x14ac:dyDescent="0.25">
      <c r="A40917" t="str">
        <f>HYPERLINK("https://www.773grp.com/globalSearch/MURB1660CTT4G/page-1", "MURB1660CTT4G")</f>
        <v>MURB1660CTT4G</v>
      </c>
      <c r="B40917" s="3" t="str">
        <f>HYPERLINK("https://www.773grp.com/manufacturer/onsemi?pageNo=277", "ON Semiconductor")</f>
        <v>ON Semiconductor</v>
      </c>
      <c r="C40917" s="6">
        <v>32800</v>
      </c>
      <c r="D40917" s="7">
        <v>4.49</v>
      </c>
      <c r="E40917" t="s">
        <v>103</v>
      </c>
    </row>
    <row r="40918" spans="1:5" x14ac:dyDescent="0.25">
      <c r="A40918" t="str">
        <f>HYPERLINK("https://www.773grp.com/globalSearch/NCP3163BMNR2G/page-1", "NCP3163BMNR2G")</f>
        <v>NCP3163BMNR2G</v>
      </c>
      <c r="B40918" s="3" t="str">
        <f>HYPERLINK("https://www.773grp.com/manufacturer/onsemi?pageNo=278", "ON Semiconductor")</f>
        <v>ON Semiconductor</v>
      </c>
      <c r="C40918" s="6">
        <v>112893</v>
      </c>
      <c r="D40918" s="7">
        <v>4.49</v>
      </c>
      <c r="E40918" t="s">
        <v>7</v>
      </c>
    </row>
    <row r="40919" spans="1:5" x14ac:dyDescent="0.25">
      <c r="A40919" t="str">
        <f>HYPERLINK("https://www.773grp.com/globalSearch/NCP5211BDR2G/page-1", "NCP5211BDR2G")</f>
        <v>NCP5211BDR2G</v>
      </c>
      <c r="B40919" s="3" t="str">
        <f>HYPERLINK("https://www.773grp.com/manufacturer/onsemi?pageNo=279", "ON Semiconductor")</f>
        <v>ON Semiconductor</v>
      </c>
      <c r="C40919" s="6">
        <v>22500</v>
      </c>
      <c r="D40919" s="7">
        <v>4.49</v>
      </c>
      <c r="E40919" t="s">
        <v>7</v>
      </c>
    </row>
    <row r="40920" spans="1:5" x14ac:dyDescent="0.25">
      <c r="A40920" t="str">
        <f>HYPERLINK("https://www.773grp.com/globalSearch/NCP5214AMNR2G/page-1", "NCP5214AMNR2G")</f>
        <v>NCP5214AMNR2G</v>
      </c>
      <c r="B40920" s="3" t="str">
        <f>HYPERLINK("https://www.773grp.com/manufacturer/onsemi?pageNo=280", "ON Semiconductor")</f>
        <v>ON Semiconductor</v>
      </c>
      <c r="C40920" s="6">
        <v>627</v>
      </c>
      <c r="D40920" s="7">
        <v>4.49</v>
      </c>
      <c r="E40920" t="s">
        <v>7</v>
      </c>
    </row>
    <row r="40921" spans="1:5" x14ac:dyDescent="0.25">
      <c r="A40921" t="str">
        <f>HYPERLINK("https://www.773grp.com/globalSearch/NGB8207ANT4G/page-1", "NGB8207ANT4G")</f>
        <v>NGB8207ANT4G</v>
      </c>
      <c r="B40921" s="3" t="str">
        <f>HYPERLINK("https://www.773grp.com/manufacturer/onsemi?pageNo=281", "ON Semiconductor")</f>
        <v>ON Semiconductor</v>
      </c>
      <c r="C40921" s="6">
        <v>19200</v>
      </c>
      <c r="D40921" s="7">
        <v>4.49</v>
      </c>
      <c r="E40921" t="s">
        <v>115</v>
      </c>
    </row>
    <row r="40922" spans="1:5" x14ac:dyDescent="0.25">
      <c r="A40922" t="str">
        <f>HYPERLINK("https://www.773grp.com/globalSearch/NGB8207NT4G/page-1", "NGB8207NT4G")</f>
        <v>NGB8207NT4G</v>
      </c>
      <c r="B40922" s="3" t="str">
        <f>HYPERLINK("https://www.773grp.com/manufacturer/onsemi?pageNo=282", "ON Semiconductor")</f>
        <v>ON Semiconductor</v>
      </c>
      <c r="C40922" s="6">
        <v>2400</v>
      </c>
      <c r="D40922" s="7">
        <v>4.49</v>
      </c>
      <c r="E40922" t="s">
        <v>115</v>
      </c>
    </row>
    <row r="40923" spans="1:5" x14ac:dyDescent="0.25">
      <c r="A40923" t="str">
        <f>HYPERLINK("https://www.773grp.com/globalSearch/NGP15N41CLG/page-1", "NGP15N41CLG")</f>
        <v>NGP15N41CLG</v>
      </c>
      <c r="B40923" s="3" t="str">
        <f>HYPERLINK("https://www.773grp.com/manufacturer/onsemi?pageNo=283", "ON Semiconductor")</f>
        <v>ON Semiconductor</v>
      </c>
      <c r="C40923" s="6">
        <v>40</v>
      </c>
      <c r="D40923" s="7">
        <v>4.49</v>
      </c>
    </row>
    <row r="40924" spans="1:5" x14ac:dyDescent="0.25">
      <c r="A40924" t="str">
        <f>HYPERLINK("https://www.773grp.com/globalSearch/NJW0281G/page-1", "NJW0281G")</f>
        <v>NJW0281G</v>
      </c>
      <c r="B40924" s="3" t="str">
        <f>HYPERLINK("https://www.773grp.com/manufacturer/onsemi?pageNo=284", "ON Semiconductor")</f>
        <v>ON Semiconductor</v>
      </c>
      <c r="C40924" s="6">
        <v>18735</v>
      </c>
      <c r="D40924" s="7">
        <v>4.49</v>
      </c>
      <c r="E40924" t="s">
        <v>59</v>
      </c>
    </row>
    <row r="40925" spans="1:5" x14ac:dyDescent="0.25">
      <c r="A40925" t="str">
        <f>HYPERLINK("https://www.773grp.com/globalSearch/TIP35A/page-1", "TIP35A")</f>
        <v>TIP35A</v>
      </c>
      <c r="B40925" s="3" t="str">
        <f>HYPERLINK("https://www.773grp.com/manufacturer/onsemi?pageNo=285", "ON Semiconductor")</f>
        <v>ON Semiconductor</v>
      </c>
      <c r="C40925" s="6">
        <v>723</v>
      </c>
      <c r="D40925" s="7">
        <v>4.49</v>
      </c>
      <c r="E40925" t="s">
        <v>59</v>
      </c>
    </row>
    <row r="40926" spans="1:5" x14ac:dyDescent="0.25">
      <c r="A40926" t="str">
        <f>HYPERLINK("https://www.773grp.com/globalSearch/TIP35B/page-1", "TIP35B")</f>
        <v>TIP35B</v>
      </c>
      <c r="B40926" s="3" t="str">
        <f>HYPERLINK("https://www.773grp.com/manufacturer/onsemi?pageNo=286", "ON Semiconductor")</f>
        <v>ON Semiconductor</v>
      </c>
      <c r="C40926" s="6">
        <v>10090</v>
      </c>
      <c r="D40926" s="7">
        <v>4.49</v>
      </c>
      <c r="E40926" t="s">
        <v>59</v>
      </c>
    </row>
    <row r="40927" spans="1:5" x14ac:dyDescent="0.25">
      <c r="A40927" t="str">
        <f>HYPERLINK("https://www.773grp.com/globalSearch/2N6287/page-1", "2N6287")</f>
        <v>2N6287</v>
      </c>
      <c r="B40927" s="3" t="str">
        <f>HYPERLINK("https://www.773grp.com/manufacturer/onsemi?pageNo=287", "ON Semiconductor")</f>
        <v>ON Semiconductor</v>
      </c>
      <c r="C40927" s="6">
        <v>31</v>
      </c>
      <c r="D40927" s="7">
        <v>4.09</v>
      </c>
      <c r="E40927" t="s">
        <v>59</v>
      </c>
    </row>
    <row r="40928" spans="1:5" x14ac:dyDescent="0.25">
      <c r="A40928" t="str">
        <f>HYPERLINK("https://www.773grp.com/globalSearch/ADT7484AARMZ-RL/page-1", "ADT7484AARMZ-RL")</f>
        <v>ADT7484AARMZ-RL</v>
      </c>
      <c r="B40928" s="3" t="str">
        <f>HYPERLINK("https://www.773grp.com/manufacturer/onsemi?pageNo=288", "ON Semiconductor")</f>
        <v>ON Semiconductor</v>
      </c>
      <c r="C40928" s="6">
        <v>6000</v>
      </c>
      <c r="D40928" s="7">
        <v>4.09</v>
      </c>
      <c r="E40928" t="s">
        <v>12</v>
      </c>
    </row>
    <row r="40929" spans="1:5" x14ac:dyDescent="0.25">
      <c r="A40929" t="str">
        <f>HYPERLINK("https://www.773grp.com/globalSearch/ADT7484AARZ-REEL/page-1", "ADT7484AARZ-REEL")</f>
        <v>ADT7484AARZ-REEL</v>
      </c>
      <c r="B40929" s="3" t="str">
        <f>HYPERLINK("https://www.773grp.com/manufacturer/onsemi?pageNo=289", "ON Semiconductor")</f>
        <v>ON Semiconductor</v>
      </c>
      <c r="C40929" s="6">
        <v>50000</v>
      </c>
      <c r="D40929" s="7">
        <v>4.09</v>
      </c>
      <c r="E40929" t="s">
        <v>12</v>
      </c>
    </row>
    <row r="40930" spans="1:5" x14ac:dyDescent="0.25">
      <c r="A40930" t="str">
        <f>HYPERLINK("https://www.773grp.com/globalSearch/LB8649W-MPB-E/page-1", "LB8649W-MPB-E")</f>
        <v>LB8649W-MPB-E</v>
      </c>
      <c r="B40930" s="3" t="str">
        <f>HYPERLINK("https://www.773grp.com/manufacturer/onsemi?pageNo=290", "ON Semiconductor")</f>
        <v>ON Semiconductor</v>
      </c>
      <c r="C40930" s="6">
        <v>200</v>
      </c>
      <c r="D40930" s="7">
        <v>4.09</v>
      </c>
    </row>
    <row r="40931" spans="1:5" x14ac:dyDescent="0.25">
      <c r="A40931" t="str">
        <f>HYPERLINK("https://www.773grp.com/globalSearch/LM2576D2T-005G/page-1", "LM2576D2T-005G")</f>
        <v>LM2576D2T-005G</v>
      </c>
      <c r="B40931" s="3" t="str">
        <f>HYPERLINK("https://www.773grp.com/manufacturer/onsemi?pageNo=291", "ON Semiconductor")</f>
        <v>ON Semiconductor</v>
      </c>
      <c r="C40931" s="6">
        <v>420</v>
      </c>
      <c r="D40931" s="7">
        <v>4.09</v>
      </c>
      <c r="E40931" t="s">
        <v>7</v>
      </c>
    </row>
    <row r="40932" spans="1:5" x14ac:dyDescent="0.25">
      <c r="A40932" t="str">
        <f>HYPERLINK("https://www.773grp.com/globalSearch/LM2576D2T-ADJR4G/page-1", "LM2576D2T-ADJR4G")</f>
        <v>LM2576D2T-ADJR4G</v>
      </c>
      <c r="B40932" s="3" t="str">
        <f>HYPERLINK("https://www.773grp.com/manufacturer/onsemi?pageNo=292", "ON Semiconductor")</f>
        <v>ON Semiconductor</v>
      </c>
      <c r="C40932" s="6">
        <v>22300</v>
      </c>
      <c r="D40932" s="7">
        <v>4.09</v>
      </c>
      <c r="E40932" t="s">
        <v>7</v>
      </c>
    </row>
    <row r="40933" spans="1:5" x14ac:dyDescent="0.25">
      <c r="A40933" t="str">
        <f>HYPERLINK("https://www.773grp.com/globalSearch/LM2576D2TR4-012G/page-1", "LM2576D2TR4-012G")</f>
        <v>LM2576D2TR4-012G</v>
      </c>
      <c r="B40933" s="3" t="str">
        <f>HYPERLINK("https://www.773grp.com/manufacturer/onsemi?pageNo=293", "ON Semiconductor")</f>
        <v>ON Semiconductor</v>
      </c>
      <c r="C40933" s="6">
        <v>800</v>
      </c>
      <c r="D40933" s="7">
        <v>4.09</v>
      </c>
    </row>
    <row r="40934" spans="1:5" x14ac:dyDescent="0.25">
      <c r="A40934" t="str">
        <f>HYPERLINK("https://www.773grp.com/globalSearch/LM2576D2TR4-3.3G/page-1", "LM2576D2TR4-3.3G")</f>
        <v>LM2576D2TR4-3.3G</v>
      </c>
      <c r="B40934" s="3" t="str">
        <f>HYPERLINK("https://www.773grp.com/manufacturer/onsemi?pageNo=294", "ON Semiconductor")</f>
        <v>ON Semiconductor</v>
      </c>
      <c r="C40934" s="6">
        <v>81406</v>
      </c>
      <c r="D40934" s="7">
        <v>4.09</v>
      </c>
      <c r="E40934" t="s">
        <v>7</v>
      </c>
    </row>
    <row r="40935" spans="1:5" x14ac:dyDescent="0.25">
      <c r="A40935" t="str">
        <f>HYPERLINK("https://www.773grp.com/globalSearch/LM2576D2TR4-5G/page-1", "LM2576D2TR4-5G")</f>
        <v>LM2576D2TR4-5G</v>
      </c>
      <c r="B40935" s="3" t="str">
        <f>HYPERLINK("https://www.773grp.com/manufacturer/onsemi?pageNo=295", "ON Semiconductor")</f>
        <v>ON Semiconductor</v>
      </c>
      <c r="C40935" s="6">
        <v>52000</v>
      </c>
      <c r="D40935" s="7">
        <v>4.09</v>
      </c>
      <c r="E40935" t="s">
        <v>7</v>
      </c>
    </row>
    <row r="40936" spans="1:5" x14ac:dyDescent="0.25">
      <c r="A40936" t="str">
        <f>HYPERLINK("https://www.773grp.com/globalSearch/LM2596DSADJG/page-1", "LM2596DSADJG")</f>
        <v>LM2596DSADJG</v>
      </c>
      <c r="B40936" s="3" t="str">
        <f>HYPERLINK("https://www.773grp.com/manufacturer/onsemi?pageNo=296", "ON Semiconductor")</f>
        <v>ON Semiconductor</v>
      </c>
      <c r="C40936" s="6">
        <v>583</v>
      </c>
      <c r="D40936" s="7">
        <v>4.09</v>
      </c>
      <c r="E40936" t="s">
        <v>7</v>
      </c>
    </row>
    <row r="40937" spans="1:5" x14ac:dyDescent="0.25">
      <c r="A40937" t="str">
        <f>HYPERLINK("https://www.773grp.com/globalSearch/LM2596DSADJR4G/page-1", "LM2596DSADJR4G")</f>
        <v>LM2596DSADJR4G</v>
      </c>
      <c r="B40937" s="3" t="str">
        <f>HYPERLINK("https://www.773grp.com/manufacturer/onsemi?pageNo=297", "ON Semiconductor")</f>
        <v>ON Semiconductor</v>
      </c>
      <c r="C40937" s="6">
        <v>31200</v>
      </c>
      <c r="D40937" s="7">
        <v>4.09</v>
      </c>
      <c r="E40937" t="s">
        <v>7</v>
      </c>
    </row>
    <row r="40938" spans="1:5" x14ac:dyDescent="0.25">
      <c r="A40938" t="str">
        <f>HYPERLINK("https://www.773grp.com/globalSearch/MJE4353/page-1", "MJE4353")</f>
        <v>MJE4353</v>
      </c>
      <c r="B40938" s="3" t="str">
        <f>HYPERLINK("https://www.773grp.com/manufacturer/onsemi?pageNo=298", "ON Semiconductor")</f>
        <v>ON Semiconductor</v>
      </c>
      <c r="C40938" s="6">
        <v>2646</v>
      </c>
      <c r="D40938" s="7">
        <v>4.09</v>
      </c>
      <c r="E40938" t="s">
        <v>59</v>
      </c>
    </row>
    <row r="40939" spans="1:5" x14ac:dyDescent="0.25">
      <c r="A40939" t="str">
        <f>HYPERLINK("https://www.773grp.com/globalSearch/MJE4353G/page-1", "MJE4353G")</f>
        <v>MJE4353G</v>
      </c>
      <c r="B40939" s="3" t="str">
        <f>HYPERLINK("https://www.773grp.com/manufacturer/onsemi?pageNo=299", "ON Semiconductor")</f>
        <v>ON Semiconductor</v>
      </c>
      <c r="C40939" s="6">
        <v>3568</v>
      </c>
      <c r="D40939" s="7">
        <v>4.09</v>
      </c>
    </row>
    <row r="40940" spans="1:5" x14ac:dyDescent="0.25">
      <c r="A40940" t="str">
        <f>HYPERLINK("https://www.773grp.com/globalSearch/NCV2575D2T-12G/page-1", "NCV2575D2T-12G")</f>
        <v>NCV2575D2T-12G</v>
      </c>
      <c r="B40940" s="3" t="str">
        <f>HYPERLINK("https://www.773grp.com/manufacturer/onsemi?pageNo=300", "ON Semiconductor")</f>
        <v>ON Semiconductor</v>
      </c>
      <c r="C40940" s="6">
        <v>2700</v>
      </c>
      <c r="D40940" s="7">
        <v>4.09</v>
      </c>
    </row>
    <row r="40941" spans="1:5" x14ac:dyDescent="0.25">
      <c r="A40941" t="str">
        <f>HYPERLINK("https://www.773grp.com/globalSearch/NJL0281DG/page-1", "NJL0281DG")</f>
        <v>NJL0281DG</v>
      </c>
      <c r="B40941" s="3" t="str">
        <f>HYPERLINK("https://www.773grp.com/manufacturer/onsemi?pageNo=301", "ON Semiconductor")</f>
        <v>ON Semiconductor</v>
      </c>
      <c r="C40941" s="6">
        <v>26204</v>
      </c>
      <c r="D40941" s="7">
        <v>4.09</v>
      </c>
      <c r="E40941" t="s">
        <v>59</v>
      </c>
    </row>
    <row r="40942" spans="1:5" x14ac:dyDescent="0.25">
      <c r="A40942" t="str">
        <f>HYPERLINK("https://www.773grp.com/globalSearch/NJL0302DG/page-1", "NJL0302DG")</f>
        <v>NJL0302DG</v>
      </c>
      <c r="B40942" s="3" t="str">
        <f>HYPERLINK("https://www.773grp.com/manufacturer/onsemi?pageNo=302", "ON Semiconductor")</f>
        <v>ON Semiconductor</v>
      </c>
      <c r="C40942" s="6">
        <v>2212</v>
      </c>
      <c r="D40942" s="7">
        <v>4.09</v>
      </c>
      <c r="E40942" t="s">
        <v>59</v>
      </c>
    </row>
    <row r="40943" spans="1:5" x14ac:dyDescent="0.25">
      <c r="A40943" t="str">
        <f>HYPERLINK("https://www.773grp.com/globalSearch/NTB6410ANG/page-1", "NTB6410ANG")</f>
        <v>NTB6410ANG</v>
      </c>
      <c r="B40943" s="3" t="str">
        <f>HYPERLINK("https://www.773grp.com/manufacturer/onsemi?pageNo=303", "ON Semiconductor")</f>
        <v>ON Semiconductor</v>
      </c>
      <c r="C40943" s="6">
        <v>494</v>
      </c>
      <c r="D40943" s="7">
        <v>4.09</v>
      </c>
    </row>
    <row r="40944" spans="1:5" x14ac:dyDescent="0.25">
      <c r="A40944" t="str">
        <f>HYPERLINK("https://www.773grp.com/globalSearch/NTB6410ANT4G/page-1", "NTB6410ANT4G")</f>
        <v>NTB6410ANT4G</v>
      </c>
      <c r="B40944" s="3" t="str">
        <f>HYPERLINK("https://www.773grp.com/manufacturer/onsemi?pageNo=304", "ON Semiconductor")</f>
        <v>ON Semiconductor</v>
      </c>
      <c r="C40944" s="6">
        <v>478</v>
      </c>
      <c r="D40944" s="7">
        <v>4.09</v>
      </c>
    </row>
    <row r="40945" spans="1:5" x14ac:dyDescent="0.25">
      <c r="A40945" t="str">
        <f>HYPERLINK("https://www.773grp.com/globalSearch/NTP6410ANG/page-1", "NTP6410ANG")</f>
        <v>NTP6410ANG</v>
      </c>
      <c r="B40945" s="3" t="str">
        <f>HYPERLINK("https://www.773grp.com/manufacturer/onsemi?pageNo=305", "ON Semiconductor")</f>
        <v>ON Semiconductor</v>
      </c>
      <c r="C40945" s="6">
        <v>3</v>
      </c>
      <c r="D40945" s="7">
        <v>4.09</v>
      </c>
    </row>
    <row r="40946" spans="1:5" x14ac:dyDescent="0.25">
      <c r="A40946" t="str">
        <f>HYPERLINK("https://www.773grp.com/globalSearch/BTA25-600CW3G/page-1", "BTA25-600CW3G")</f>
        <v>BTA25-600CW3G</v>
      </c>
      <c r="B40946" s="3" t="str">
        <f>HYPERLINK("https://www.773grp.com/manufacturer/onsemi?pageNo=306", "ON Semiconductor")</f>
        <v>ON Semiconductor</v>
      </c>
      <c r="C40946" s="6">
        <v>55000</v>
      </c>
      <c r="D40946" s="7">
        <v>4.54</v>
      </c>
      <c r="E40946" t="s">
        <v>102</v>
      </c>
    </row>
    <row r="40947" spans="1:5" x14ac:dyDescent="0.25">
      <c r="A40947" t="str">
        <f>HYPERLINK("https://www.773grp.com/globalSearch/CAT5116YI-G/page-1", "CAT5116YI-G")</f>
        <v>CAT5116YI-G</v>
      </c>
      <c r="B40947" s="3" t="str">
        <f>HYPERLINK("https://www.773grp.com/manufacturer/onsemi?pageNo=307", "ON Semiconductor")</f>
        <v>ON Semiconductor</v>
      </c>
      <c r="C40947" s="6">
        <v>700</v>
      </c>
      <c r="D40947" s="7">
        <v>4.54</v>
      </c>
      <c r="E40947" t="s">
        <v>99</v>
      </c>
    </row>
    <row r="40948" spans="1:5" x14ac:dyDescent="0.25">
      <c r="A40948" t="str">
        <f>HYPERLINK("https://www.773grp.com/globalSearch/CAT5120TBI-10GT3/page-1", "CAT5120TBI-10GT3")</f>
        <v>CAT5120TBI-10GT3</v>
      </c>
      <c r="B40948" s="3" t="str">
        <f>HYPERLINK("https://www.773grp.com/manufacturer/onsemi?pageNo=308", "ON Semiconductor")</f>
        <v>ON Semiconductor</v>
      </c>
      <c r="C40948" s="6">
        <v>3000</v>
      </c>
      <c r="D40948" s="7">
        <v>4.54</v>
      </c>
    </row>
    <row r="40949" spans="1:5" x14ac:dyDescent="0.25">
      <c r="A40949" t="str">
        <f>HYPERLINK("https://www.773grp.com/globalSearch/CS403GT5/page-1", "CS403GT5")</f>
        <v>CS403GT5</v>
      </c>
      <c r="B40949" s="3" t="str">
        <f>HYPERLINK("https://www.773grp.com/manufacturer/onsemi?pageNo=309", "ON Semiconductor")</f>
        <v>ON Semiconductor</v>
      </c>
      <c r="C40949" s="6">
        <v>23150</v>
      </c>
      <c r="D40949" s="7">
        <v>4.54</v>
      </c>
      <c r="E40949" t="s">
        <v>19</v>
      </c>
    </row>
    <row r="40950" spans="1:5" x14ac:dyDescent="0.25">
      <c r="A40950" t="str">
        <f>HYPERLINK("https://www.773grp.com/globalSearch/CS403GTHA5/page-1", "CS403GTHA5")</f>
        <v>CS403GTHA5</v>
      </c>
      <c r="B40950" s="3" t="str">
        <f>HYPERLINK("https://www.773grp.com/manufacturer/onsemi?pageNo=310", "ON Semiconductor")</f>
        <v>ON Semiconductor</v>
      </c>
      <c r="C40950" s="6">
        <v>7050</v>
      </c>
      <c r="D40950" s="7">
        <v>4.54</v>
      </c>
      <c r="E40950" t="s">
        <v>19</v>
      </c>
    </row>
    <row r="40951" spans="1:5" x14ac:dyDescent="0.25">
      <c r="A40951" t="str">
        <f>HYPERLINK("https://www.773grp.com/globalSearch/CS8126-1YTVA5G/page-1", "CS8126-1YTVA5G")</f>
        <v>CS8126-1YTVA5G</v>
      </c>
      <c r="B40951" s="3" t="str">
        <f>HYPERLINK("https://www.773grp.com/manufacturer/onsemi?pageNo=311", "ON Semiconductor")</f>
        <v>ON Semiconductor</v>
      </c>
      <c r="C40951" s="6">
        <v>100</v>
      </c>
      <c r="D40951" s="7">
        <v>4.54</v>
      </c>
      <c r="E40951" t="s">
        <v>19</v>
      </c>
    </row>
    <row r="40952" spans="1:5" x14ac:dyDescent="0.25">
      <c r="A40952" t="str">
        <f>HYPERLINK("https://www.773grp.com/globalSearch/CS8281YDP5/page-1", "CS8281YDP5")</f>
        <v>CS8281YDP5</v>
      </c>
      <c r="B40952" s="3" t="str">
        <f>HYPERLINK("https://www.773grp.com/manufacturer/onsemi?pageNo=312", "ON Semiconductor")</f>
        <v>ON Semiconductor</v>
      </c>
      <c r="C40952" s="6">
        <v>1850</v>
      </c>
      <c r="D40952" s="7">
        <v>4.54</v>
      </c>
      <c r="E40952" t="s">
        <v>44</v>
      </c>
    </row>
    <row r="40953" spans="1:5" x14ac:dyDescent="0.25">
      <c r="A40953" t="str">
        <f>HYPERLINK("https://www.773grp.com/globalSearch/LA5771-HK-E/page-1", "LA5771-HK-E")</f>
        <v>LA5771-HK-E</v>
      </c>
      <c r="B40953" s="3" t="str">
        <f>HYPERLINK("https://www.773grp.com/manufacturer/onsemi?pageNo=313", "ON Semiconductor")</f>
        <v>ON Semiconductor</v>
      </c>
      <c r="C40953" s="6">
        <v>16000</v>
      </c>
      <c r="D40953" s="7">
        <v>4.54</v>
      </c>
    </row>
    <row r="40954" spans="1:5" x14ac:dyDescent="0.25">
      <c r="A40954" t="str">
        <f>HYPERLINK("https://www.773grp.com/globalSearch/LA5774MP-DL-E/page-1", "LA5774MP-DL-E")</f>
        <v>LA5774MP-DL-E</v>
      </c>
      <c r="B40954" s="3" t="str">
        <f>HYPERLINK("https://www.773grp.com/manufacturer/onsemi?pageNo=314", "ON Semiconductor")</f>
        <v>ON Semiconductor</v>
      </c>
      <c r="C40954" s="6">
        <v>55000</v>
      </c>
      <c r="D40954" s="7">
        <v>4.54</v>
      </c>
    </row>
    <row r="40955" spans="1:5" x14ac:dyDescent="0.25">
      <c r="A40955" t="str">
        <f>HYPERLINK("https://www.773grp.com/globalSearch/LV4924VH-MPB-H/page-1", "LV4924VH-MPB-H")</f>
        <v>LV4924VH-MPB-H</v>
      </c>
      <c r="B40955" s="3" t="str">
        <f>HYPERLINK("https://www.773grp.com/manufacturer/onsemi?pageNo=315", "ON Semiconductor")</f>
        <v>ON Semiconductor</v>
      </c>
      <c r="C40955" s="6">
        <v>300</v>
      </c>
      <c r="D40955" s="7">
        <v>4.54</v>
      </c>
    </row>
    <row r="40956" spans="1:5" x14ac:dyDescent="0.25">
      <c r="A40956" t="str">
        <f>HYPERLINK("https://www.773grp.com/globalSearch/MC33151DG/page-1", "MC33151DG")</f>
        <v>MC33151DG</v>
      </c>
      <c r="B40956" s="3" t="str">
        <f>HYPERLINK("https://www.773grp.com/manufacturer/onsemi?pageNo=316", "ON Semiconductor")</f>
        <v>ON Semiconductor</v>
      </c>
      <c r="C40956" s="6">
        <v>792</v>
      </c>
      <c r="D40956" s="7">
        <v>4.54</v>
      </c>
      <c r="E40956" t="s">
        <v>16</v>
      </c>
    </row>
    <row r="40957" spans="1:5" x14ac:dyDescent="0.25">
      <c r="A40957" t="str">
        <f>HYPERLINK("https://www.773grp.com/globalSearch/MC33151DR2G/page-1", "MC33151DR2G")</f>
        <v>MC33151DR2G</v>
      </c>
      <c r="B40957" s="3" t="str">
        <f>HYPERLINK("https://www.773grp.com/manufacturer/onsemi?pageNo=317", "ON Semiconductor")</f>
        <v>ON Semiconductor</v>
      </c>
      <c r="C40957" s="6">
        <v>118205</v>
      </c>
      <c r="D40957" s="7">
        <v>4.54</v>
      </c>
      <c r="E40957" t="s">
        <v>16</v>
      </c>
    </row>
    <row r="40958" spans="1:5" x14ac:dyDescent="0.25">
      <c r="A40958" t="str">
        <f>HYPERLINK("https://www.773grp.com/globalSearch/MUR3040PT/page-1", "MUR3040PT")</f>
        <v>MUR3040PT</v>
      </c>
      <c r="B40958" s="3" t="str">
        <f>HYPERLINK("https://www.773grp.com/manufacturer/onsemi?pageNo=318", "ON Semiconductor")</f>
        <v>ON Semiconductor</v>
      </c>
      <c r="C40958" s="6">
        <v>2925</v>
      </c>
      <c r="D40958" s="7">
        <v>4.54</v>
      </c>
      <c r="E40958" t="s">
        <v>103</v>
      </c>
    </row>
    <row r="40959" spans="1:5" x14ac:dyDescent="0.25">
      <c r="A40959" t="str">
        <f>HYPERLINK("https://www.773grp.com/globalSearch/MUR3060WT/page-1", "MUR3060WT")</f>
        <v>MUR3060WT</v>
      </c>
      <c r="B40959" s="3" t="str">
        <f>HYPERLINK("https://www.773grp.com/manufacturer/onsemi?pageNo=319", "ON Semiconductor")</f>
        <v>ON Semiconductor</v>
      </c>
      <c r="C40959" s="6">
        <v>123</v>
      </c>
      <c r="D40959" s="7">
        <v>4.54</v>
      </c>
      <c r="E40959" t="s">
        <v>103</v>
      </c>
    </row>
    <row r="40960" spans="1:5" x14ac:dyDescent="0.25">
      <c r="A40960" t="str">
        <f>HYPERLINK("https://www.773grp.com/globalSearch/NB2579ASNR2G/page-1", "NB2579ASNR2G")</f>
        <v>NB2579ASNR2G</v>
      </c>
      <c r="B40960" s="3" t="str">
        <f>HYPERLINK("https://www.773grp.com/manufacturer/onsemi?pageNo=320", "ON Semiconductor")</f>
        <v>ON Semiconductor</v>
      </c>
      <c r="C40960" s="6">
        <v>5000</v>
      </c>
      <c r="D40960" s="7">
        <v>4.54</v>
      </c>
      <c r="E40960" t="s">
        <v>79</v>
      </c>
    </row>
    <row r="40961" spans="1:5" x14ac:dyDescent="0.25">
      <c r="A40961" t="str">
        <f>HYPERLINK("https://www.773grp.com/globalSearch/NB2669ASNR2G/page-1", "NB2669ASNR2G")</f>
        <v>NB2669ASNR2G</v>
      </c>
      <c r="B40961" s="3" t="str">
        <f>HYPERLINK("https://www.773grp.com/manufacturer/onsemi?pageNo=321", "ON Semiconductor")</f>
        <v>ON Semiconductor</v>
      </c>
      <c r="C40961" s="6">
        <v>5000</v>
      </c>
      <c r="D40961" s="7">
        <v>4.54</v>
      </c>
      <c r="E40961" t="s">
        <v>79</v>
      </c>
    </row>
    <row r="40962" spans="1:5" x14ac:dyDescent="0.25">
      <c r="A40962" t="str">
        <f>HYPERLINK("https://www.773grp.com/globalSearch/NB2760ASNR2G/page-1", "NB2760ASNR2G")</f>
        <v>NB2760ASNR2G</v>
      </c>
      <c r="B40962" s="3" t="str">
        <f>HYPERLINK("https://www.773grp.com/manufacturer/onsemi?pageNo=322", "ON Semiconductor")</f>
        <v>ON Semiconductor</v>
      </c>
      <c r="C40962" s="6">
        <v>2495</v>
      </c>
      <c r="D40962" s="7">
        <v>4.54</v>
      </c>
      <c r="E40962" t="s">
        <v>79</v>
      </c>
    </row>
    <row r="40963" spans="1:5" x14ac:dyDescent="0.25">
      <c r="A40963" t="str">
        <f>HYPERLINK("https://www.773grp.com/globalSearch/NB2762ASNR2G/page-1", "NB2762ASNR2G")</f>
        <v>NB2762ASNR2G</v>
      </c>
      <c r="B40963" s="3" t="str">
        <f>HYPERLINK("https://www.773grp.com/manufacturer/onsemi?pageNo=323", "ON Semiconductor")</f>
        <v>ON Semiconductor</v>
      </c>
      <c r="C40963" s="6">
        <v>5000</v>
      </c>
      <c r="D40963" s="7">
        <v>4.54</v>
      </c>
      <c r="E40963" t="s">
        <v>79</v>
      </c>
    </row>
    <row r="40964" spans="1:5" x14ac:dyDescent="0.25">
      <c r="A40964" t="str">
        <f>HYPERLINK("https://www.773grp.com/globalSearch/NB2769ASNR2G/page-1", "NB2769ASNR2G")</f>
        <v>NB2769ASNR2G</v>
      </c>
      <c r="B40964" s="3" t="str">
        <f>HYPERLINK("https://www.773grp.com/manufacturer/onsemi?pageNo=324", "ON Semiconductor")</f>
        <v>ON Semiconductor</v>
      </c>
      <c r="C40964" s="6">
        <v>4995</v>
      </c>
      <c r="D40964" s="7">
        <v>4.54</v>
      </c>
      <c r="E40964" t="s">
        <v>79</v>
      </c>
    </row>
    <row r="40965" spans="1:5" x14ac:dyDescent="0.25">
      <c r="A40965" t="str">
        <f>HYPERLINK("https://www.773grp.com/globalSearch/NB2780ASNR2G/page-1", "NB2780ASNR2G")</f>
        <v>NB2780ASNR2G</v>
      </c>
      <c r="B40965" s="3" t="str">
        <f>HYPERLINK("https://www.773grp.com/manufacturer/onsemi?pageNo=325", "ON Semiconductor")</f>
        <v>ON Semiconductor</v>
      </c>
      <c r="C40965" s="6">
        <v>2495</v>
      </c>
      <c r="D40965" s="7">
        <v>4.54</v>
      </c>
      <c r="E40965" t="s">
        <v>79</v>
      </c>
    </row>
    <row r="40966" spans="1:5" x14ac:dyDescent="0.25">
      <c r="A40966" t="str">
        <f>HYPERLINK("https://www.773grp.com/globalSearch/NB2869ASNR2G/page-1", "NB2869ASNR2G")</f>
        <v>NB2869ASNR2G</v>
      </c>
      <c r="B40966" s="3" t="str">
        <f>HYPERLINK("https://www.773grp.com/manufacturer/onsemi?pageNo=326", "ON Semiconductor")</f>
        <v>ON Semiconductor</v>
      </c>
      <c r="C40966" s="6">
        <v>5000</v>
      </c>
      <c r="D40966" s="7">
        <v>4.54</v>
      </c>
      <c r="E40966" t="s">
        <v>79</v>
      </c>
    </row>
    <row r="40967" spans="1:5" x14ac:dyDescent="0.25">
      <c r="A40967" t="str">
        <f>HYPERLINK("https://www.773grp.com/globalSearch/NB2870ASNR2G/page-1", "NB2870ASNR2G")</f>
        <v>NB2870ASNR2G</v>
      </c>
      <c r="B40967" s="3" t="str">
        <f>HYPERLINK("https://www.773grp.com/manufacturer/onsemi?pageNo=327", "ON Semiconductor")</f>
        <v>ON Semiconductor</v>
      </c>
      <c r="C40967" s="6">
        <v>5000</v>
      </c>
      <c r="D40967" s="7">
        <v>4.54</v>
      </c>
      <c r="E40967" t="s">
        <v>79</v>
      </c>
    </row>
    <row r="40968" spans="1:5" x14ac:dyDescent="0.25">
      <c r="A40968" t="str">
        <f>HYPERLINK("https://www.773grp.com/globalSearch/NB2872ASNR2G/page-1", "NB2872ASNR2G")</f>
        <v>NB2872ASNR2G</v>
      </c>
      <c r="B40968" s="3" t="str">
        <f>HYPERLINK("https://www.773grp.com/manufacturer/onsemi?pageNo=328", "ON Semiconductor")</f>
        <v>ON Semiconductor</v>
      </c>
      <c r="C40968" s="6">
        <v>5000</v>
      </c>
      <c r="D40968" s="7">
        <v>4.54</v>
      </c>
      <c r="E40968" t="s">
        <v>79</v>
      </c>
    </row>
    <row r="40969" spans="1:5" x14ac:dyDescent="0.25">
      <c r="A40969" t="str">
        <f>HYPERLINK("https://www.773grp.com/globalSearch/NB2879ASNR2G/page-1", "NB2879ASNR2G")</f>
        <v>NB2879ASNR2G</v>
      </c>
      <c r="B40969" s="3" t="str">
        <f>HYPERLINK("https://www.773grp.com/manufacturer/onsemi?pageNo=329", "ON Semiconductor")</f>
        <v>ON Semiconductor</v>
      </c>
      <c r="C40969" s="6">
        <v>5000</v>
      </c>
      <c r="D40969" s="7">
        <v>4.54</v>
      </c>
      <c r="E40969" t="s">
        <v>79</v>
      </c>
    </row>
    <row r="40970" spans="1:5" x14ac:dyDescent="0.25">
      <c r="A40970" t="str">
        <f>HYPERLINK("https://www.773grp.com/globalSearch/NB2969ASNR2G/page-1", "NB2969ASNR2G")</f>
        <v>NB2969ASNR2G</v>
      </c>
      <c r="B40970" s="3" t="str">
        <f>HYPERLINK("https://www.773grp.com/manufacturer/onsemi?pageNo=330", "ON Semiconductor")</f>
        <v>ON Semiconductor</v>
      </c>
      <c r="C40970" s="6">
        <v>5000</v>
      </c>
      <c r="D40970" s="7">
        <v>4.54</v>
      </c>
      <c r="E40970" t="s">
        <v>79</v>
      </c>
    </row>
    <row r="40971" spans="1:5" x14ac:dyDescent="0.25">
      <c r="A40971" t="str">
        <f>HYPERLINK("https://www.773grp.com/globalSearch/NCP1027PO65G/page-1", "NCP1027PO65G")</f>
        <v>NCP1027PO65G</v>
      </c>
      <c r="B40971" s="3" t="str">
        <f>HYPERLINK("https://www.773grp.com/manufacturer/onsemi?pageNo=331", "ON Semiconductor")</f>
        <v>ON Semiconductor</v>
      </c>
      <c r="C40971" s="6">
        <v>350</v>
      </c>
      <c r="D40971" s="7">
        <v>4.54</v>
      </c>
    </row>
    <row r="40972" spans="1:5" x14ac:dyDescent="0.25">
      <c r="A40972" t="str">
        <f>HYPERLINK("https://www.773grp.com/globalSearch/NCP5385MNR2G/page-1", "NCP5385MNR2G")</f>
        <v>NCP5385MNR2G</v>
      </c>
      <c r="B40972" s="3" t="str">
        <f>HYPERLINK("https://www.773grp.com/manufacturer/onsemi?pageNo=332", "ON Semiconductor")</f>
        <v>ON Semiconductor</v>
      </c>
      <c r="C40972" s="6">
        <v>263977</v>
      </c>
      <c r="D40972" s="7">
        <v>4.54</v>
      </c>
      <c r="E40972" t="s">
        <v>7</v>
      </c>
    </row>
    <row r="40973" spans="1:5" x14ac:dyDescent="0.25">
      <c r="A40973" t="str">
        <f>HYPERLINK("https://www.773grp.com/globalSearch/NCV8518APDR2G/page-1", "NCV8518APDR2G")</f>
        <v>NCV8518APDR2G</v>
      </c>
      <c r="B40973" s="3" t="str">
        <f>HYPERLINK("https://www.773grp.com/manufacturer/onsemi?pageNo=333", "ON Semiconductor")</f>
        <v>ON Semiconductor</v>
      </c>
      <c r="C40973" s="6">
        <v>2180</v>
      </c>
      <c r="D40973" s="7">
        <v>4.54</v>
      </c>
    </row>
    <row r="40974" spans="1:5" x14ac:dyDescent="0.25">
      <c r="A40974" t="str">
        <f>HYPERLINK("https://www.773grp.com/globalSearch/NCV8518PDG/page-1", "NCV8518PDG")</f>
        <v>NCV8518PDG</v>
      </c>
      <c r="B40974" s="3" t="str">
        <f>HYPERLINK("https://www.773grp.com/manufacturer/onsemi?pageNo=334", "ON Semiconductor")</f>
        <v>ON Semiconductor</v>
      </c>
      <c r="C40974" s="6">
        <v>20738</v>
      </c>
      <c r="D40974" s="7">
        <v>4.54</v>
      </c>
      <c r="E40974" t="s">
        <v>19</v>
      </c>
    </row>
    <row r="40975" spans="1:5" x14ac:dyDescent="0.25">
      <c r="A40975" t="str">
        <f>HYPERLINK("https://www.773grp.com/globalSearch/NCV8518PDR2G/page-1", "NCV8518PDR2G")</f>
        <v>NCV8518PDR2G</v>
      </c>
      <c r="B40975" s="3" t="str">
        <f>HYPERLINK("https://www.773grp.com/manufacturer/onsemi?pageNo=335", "ON Semiconductor")</f>
        <v>ON Semiconductor</v>
      </c>
      <c r="C40975" s="6">
        <v>582</v>
      </c>
      <c r="D40975" s="7">
        <v>4.54</v>
      </c>
      <c r="E40975" t="s">
        <v>19</v>
      </c>
    </row>
    <row r="40976" spans="1:5" x14ac:dyDescent="0.25">
      <c r="A40976" t="str">
        <f>HYPERLINK("https://www.773grp.com/globalSearch/SBT100-16LS/page-1", "SBT100-16LS")</f>
        <v>SBT100-16LS</v>
      </c>
      <c r="B40976" s="3" t="str">
        <f>HYPERLINK("https://www.773grp.com/manufacturer/onsemi?pageNo=336", "ON Semiconductor")</f>
        <v>ON Semiconductor</v>
      </c>
      <c r="C40976" s="6">
        <v>100</v>
      </c>
      <c r="D40976" s="7">
        <v>4.54</v>
      </c>
    </row>
    <row r="40977" spans="1:5" x14ac:dyDescent="0.25">
      <c r="A40977" t="str">
        <f>HYPERLINK("https://www.773grp.com/globalSearch/2N5883G/page-1", "2N5883G")</f>
        <v>2N5883G</v>
      </c>
      <c r="B40977" s="3" t="str">
        <f>HYPERLINK("https://www.773grp.com/manufacturer/onsemi?pageNo=337", "ON Semiconductor")</f>
        <v>ON Semiconductor</v>
      </c>
      <c r="C40977" s="6">
        <v>40</v>
      </c>
      <c r="D40977" s="7">
        <v>4.0999999999999996</v>
      </c>
      <c r="E40977" t="s">
        <v>59</v>
      </c>
    </row>
    <row r="40978" spans="1:5" x14ac:dyDescent="0.25">
      <c r="A40978" t="str">
        <f>HYPERLINK("https://www.773grp.com/globalSearch/SMP3003-DL-1E/page-1", "SMP3003-DL-1E")</f>
        <v>SMP3003-DL-1E</v>
      </c>
      <c r="B40978" s="3" t="str">
        <f>HYPERLINK("https://www.773grp.com/manufacturer/onsemi?pageNo=338", "ON Semiconductor")</f>
        <v>ON Semiconductor</v>
      </c>
      <c r="C40978" s="6">
        <v>570</v>
      </c>
      <c r="D40978" s="7">
        <v>4.0999999999999996</v>
      </c>
    </row>
    <row r="40979" spans="1:5" x14ac:dyDescent="0.25">
      <c r="A40979" t="str">
        <f>HYPERLINK("https://www.773grp.com/globalSearch/MC10H158P/page-1", "MC10H158P")</f>
        <v>MC10H158P</v>
      </c>
      <c r="B40979" s="3" t="str">
        <f>HYPERLINK("https://www.773grp.com/manufacturer/onsemi?pageNo=339", "ON Semiconductor")</f>
        <v>ON Semiconductor</v>
      </c>
      <c r="C40979" s="6">
        <v>575</v>
      </c>
      <c r="D40979" s="7">
        <v>4.1399999999999997</v>
      </c>
      <c r="E40979" t="s">
        <v>20</v>
      </c>
    </row>
    <row r="40980" spans="1:5" x14ac:dyDescent="0.25">
      <c r="A40980" t="str">
        <f>HYPERLINK("https://www.773grp.com/globalSearch/MGW12N120/page-1", "MGW12N120")</f>
        <v>MGW12N120</v>
      </c>
      <c r="B40980" s="3" t="str">
        <f>HYPERLINK("https://www.773grp.com/manufacturer/onsemi?pageNo=340", "ON Semiconductor")</f>
        <v>ON Semiconductor</v>
      </c>
      <c r="C40980" s="6">
        <v>37</v>
      </c>
      <c r="D40980" s="7">
        <v>4.1399999999999997</v>
      </c>
      <c r="E40980" t="s">
        <v>115</v>
      </c>
    </row>
    <row r="40981" spans="1:5" x14ac:dyDescent="0.25">
      <c r="A40981" t="str">
        <f>HYPERLINK("https://www.773grp.com/globalSearch/NCP5322ADWR2G/page-1", "NCP5322ADWR2G")</f>
        <v>NCP5322ADWR2G</v>
      </c>
      <c r="B40981" s="3" t="str">
        <f>HYPERLINK("https://www.773grp.com/manufacturer/onsemi?pageNo=341", "ON Semiconductor")</f>
        <v>ON Semiconductor</v>
      </c>
      <c r="C40981" s="6">
        <v>2000</v>
      </c>
      <c r="D40981" s="7">
        <v>4.1399999999999997</v>
      </c>
      <c r="E40981" t="s">
        <v>7</v>
      </c>
    </row>
    <row r="40982" spans="1:5" x14ac:dyDescent="0.25">
      <c r="A40982" t="str">
        <f>HYPERLINK("https://www.773grp.com/globalSearch/NCP5331FTR2G/page-1", "NCP5331FTR2G")</f>
        <v>NCP5331FTR2G</v>
      </c>
      <c r="B40982" s="3" t="str">
        <f>HYPERLINK("https://www.773grp.com/manufacturer/onsemi?pageNo=342", "ON Semiconductor")</f>
        <v>ON Semiconductor</v>
      </c>
      <c r="C40982" s="6">
        <v>126745</v>
      </c>
      <c r="D40982" s="7">
        <v>4.1399999999999997</v>
      </c>
      <c r="E40982" t="s">
        <v>7</v>
      </c>
    </row>
    <row r="40983" spans="1:5" x14ac:dyDescent="0.25">
      <c r="A40983" t="str">
        <f>HYPERLINK("https://www.773grp.com/globalSearch/NCP5332ADWR2/page-1", "NCP5332ADWR2")</f>
        <v>NCP5332ADWR2</v>
      </c>
      <c r="B40983" s="3" t="str">
        <f>HYPERLINK("https://www.773grp.com/manufacturer/onsemi?pageNo=343", "ON Semiconductor")</f>
        <v>ON Semiconductor</v>
      </c>
      <c r="C40983" s="6">
        <v>2990</v>
      </c>
      <c r="D40983" s="7">
        <v>4.1399999999999997</v>
      </c>
      <c r="E40983" t="s">
        <v>7</v>
      </c>
    </row>
    <row r="40984" spans="1:5" x14ac:dyDescent="0.25">
      <c r="A40984" t="str">
        <f>HYPERLINK("https://www.773grp.com/globalSearch/NCV8509PDW18G/page-1", "NCV8509PDW18G")</f>
        <v>NCV8509PDW18G</v>
      </c>
      <c r="B40984" s="3" t="str">
        <f>HYPERLINK("https://www.773grp.com/manufacturer/onsemi?pageNo=344", "ON Semiconductor")</f>
        <v>ON Semiconductor</v>
      </c>
      <c r="C40984" s="6">
        <v>3097</v>
      </c>
      <c r="D40984" s="7">
        <v>4.1399999999999997</v>
      </c>
      <c r="E40984" t="s">
        <v>117</v>
      </c>
    </row>
    <row r="40985" spans="1:5" x14ac:dyDescent="0.25">
      <c r="A40985" t="str">
        <f>HYPERLINK("https://www.773grp.com/globalSearch/NCV8509PDW18R2G/page-1", "NCV8509PDW18R2G")</f>
        <v>NCV8509PDW18R2G</v>
      </c>
      <c r="B40985" s="3" t="str">
        <f>HYPERLINK("https://www.773grp.com/manufacturer/onsemi?pageNo=345", "ON Semiconductor")</f>
        <v>ON Semiconductor</v>
      </c>
      <c r="C40985" s="6">
        <v>1257</v>
      </c>
      <c r="D40985" s="7">
        <v>4.1399999999999997</v>
      </c>
      <c r="E40985" t="s">
        <v>117</v>
      </c>
    </row>
    <row r="40986" spans="1:5" x14ac:dyDescent="0.25">
      <c r="A40986" t="str">
        <f>HYPERLINK("https://www.773grp.com/globalSearch/NCV8509PDW25G/page-1", "NCV8509PDW25G")</f>
        <v>NCV8509PDW25G</v>
      </c>
      <c r="B40986" s="3" t="str">
        <f>HYPERLINK("https://www.773grp.com/manufacturer/onsemi?pageNo=346", "ON Semiconductor")</f>
        <v>ON Semiconductor</v>
      </c>
      <c r="C40986" s="6">
        <v>1592</v>
      </c>
      <c r="D40986" s="7">
        <v>4.1399999999999997</v>
      </c>
      <c r="E40986" t="s">
        <v>117</v>
      </c>
    </row>
    <row r="40987" spans="1:5" x14ac:dyDescent="0.25">
      <c r="A40987" t="str">
        <f>HYPERLINK("https://www.773grp.com/globalSearch/NCV8509PDW25R2G/page-1", "NCV8509PDW25R2G")</f>
        <v>NCV8509PDW25R2G</v>
      </c>
      <c r="B40987" s="3" t="str">
        <f>HYPERLINK("https://www.773grp.com/manufacturer/onsemi?pageNo=347", "ON Semiconductor")</f>
        <v>ON Semiconductor</v>
      </c>
      <c r="C40987" s="6">
        <v>2000</v>
      </c>
      <c r="D40987" s="7">
        <v>4.1399999999999997</v>
      </c>
      <c r="E40987" t="s">
        <v>117</v>
      </c>
    </row>
    <row r="40988" spans="1:5" x14ac:dyDescent="0.25">
      <c r="A40988" t="str">
        <f>HYPERLINK("https://www.773grp.com/globalSearch/NCV8509PDW26G/page-1", "NCV8509PDW26G")</f>
        <v>NCV8509PDW26G</v>
      </c>
      <c r="B40988" s="3" t="str">
        <f>HYPERLINK("https://www.773grp.com/manufacturer/onsemi?pageNo=348", "ON Semiconductor")</f>
        <v>ON Semiconductor</v>
      </c>
      <c r="C40988" s="6">
        <v>893</v>
      </c>
      <c r="D40988" s="7">
        <v>4.1399999999999997</v>
      </c>
      <c r="E40988" t="s">
        <v>117</v>
      </c>
    </row>
    <row r="40989" spans="1:5" x14ac:dyDescent="0.25">
      <c r="A40989" t="str">
        <f>HYPERLINK("https://www.773grp.com/globalSearch/NCV8509PDW26R2G/page-1", "NCV8509PDW26R2G")</f>
        <v>NCV8509PDW26R2G</v>
      </c>
      <c r="B40989" s="3" t="str">
        <f>HYPERLINK("https://www.773grp.com/manufacturer/onsemi?pageNo=349", "ON Semiconductor")</f>
        <v>ON Semiconductor</v>
      </c>
      <c r="C40989" s="6">
        <v>5000</v>
      </c>
      <c r="D40989" s="7">
        <v>4.1399999999999997</v>
      </c>
      <c r="E40989" t="s">
        <v>117</v>
      </c>
    </row>
    <row r="40990" spans="1:5" x14ac:dyDescent="0.25">
      <c r="A40990" t="str">
        <f>HYPERLINK("https://www.773grp.com/globalSearch/CAT5114ZI-00-GT3/page-1", "CAT5114ZI-00-GT3")</f>
        <v>CAT5114ZI-00-GT3</v>
      </c>
      <c r="B40990" s="3" t="str">
        <f>HYPERLINK("https://www.773grp.com/manufacturer/onsemi?pageNo=350", "ON Semiconductor")</f>
        <v>ON Semiconductor</v>
      </c>
      <c r="C40990" s="6">
        <v>5000</v>
      </c>
      <c r="D40990" s="7">
        <v>4.59</v>
      </c>
      <c r="E40990" t="s">
        <v>99</v>
      </c>
    </row>
    <row r="40991" spans="1:5" x14ac:dyDescent="0.25">
      <c r="A40991" t="str">
        <f>HYPERLINK("https://www.773grp.com/globalSearch/CAT5114ZI10/page-1", "CAT5114ZI10")</f>
        <v>CAT5114ZI10</v>
      </c>
      <c r="B40991" s="3" t="str">
        <f>HYPERLINK("https://www.773grp.com/manufacturer/onsemi?pageNo=351", "ON Semiconductor")</f>
        <v>ON Semiconductor</v>
      </c>
      <c r="C40991" s="6">
        <v>15032</v>
      </c>
      <c r="D40991" s="7">
        <v>4.59</v>
      </c>
      <c r="E40991" t="s">
        <v>99</v>
      </c>
    </row>
    <row r="40992" spans="1:5" x14ac:dyDescent="0.25">
      <c r="A40992" t="str">
        <f>HYPERLINK("https://www.773grp.com/globalSearch/CAT5114ZI-50-G/page-1", "CAT5114ZI-50-G")</f>
        <v>CAT5114ZI-50-G</v>
      </c>
      <c r="B40992" s="3" t="str">
        <f>HYPERLINK("https://www.773grp.com/manufacturer/onsemi?pageNo=352", "ON Semiconductor")</f>
        <v>ON Semiconductor</v>
      </c>
      <c r="C40992" s="6">
        <v>272</v>
      </c>
      <c r="D40992" s="7">
        <v>4.59</v>
      </c>
      <c r="E40992" t="s">
        <v>99</v>
      </c>
    </row>
    <row r="40993" spans="1:5" x14ac:dyDescent="0.25">
      <c r="A40993" t="str">
        <f>HYPERLINK("https://www.773grp.com/globalSearch/CS5127GDW16/page-1", "CS5127GDW16")</f>
        <v>CS5127GDW16</v>
      </c>
      <c r="B40993" s="3" t="str">
        <f>HYPERLINK("https://www.773grp.com/manufacturer/onsemi?pageNo=353", "ON Semiconductor")</f>
        <v>ON Semiconductor</v>
      </c>
      <c r="C40993" s="6">
        <v>10921</v>
      </c>
      <c r="D40993" s="7">
        <v>4.59</v>
      </c>
      <c r="E40993" t="s">
        <v>7</v>
      </c>
    </row>
    <row r="40994" spans="1:5" x14ac:dyDescent="0.25">
      <c r="A40994" t="str">
        <f>HYPERLINK("https://www.773grp.com/globalSearch/CS5127GDWR16/page-1", "CS5127GDWR16")</f>
        <v>CS5127GDWR16</v>
      </c>
      <c r="B40994" s="3" t="str">
        <f>HYPERLINK("https://www.773grp.com/manufacturer/onsemi?pageNo=354", "ON Semiconductor")</f>
        <v>ON Semiconductor</v>
      </c>
      <c r="C40994" s="6">
        <v>3000</v>
      </c>
      <c r="D40994" s="7">
        <v>4.59</v>
      </c>
      <c r="E40994" t="s">
        <v>7</v>
      </c>
    </row>
    <row r="40995" spans="1:5" x14ac:dyDescent="0.25">
      <c r="A40995" t="str">
        <f>HYPERLINK("https://www.773grp.com/globalSearch/LB11685AV-MPB-H/page-1", "LB11685AV-MPB-H")</f>
        <v>LB11685AV-MPB-H</v>
      </c>
      <c r="B40995" s="3" t="str">
        <f>HYPERLINK("https://www.773grp.com/manufacturer/onsemi?pageNo=355", "ON Semiconductor")</f>
        <v>ON Semiconductor</v>
      </c>
      <c r="C40995" s="6">
        <v>9600</v>
      </c>
      <c r="D40995" s="7">
        <v>4.59</v>
      </c>
    </row>
    <row r="40996" spans="1:5" x14ac:dyDescent="0.25">
      <c r="A40996" t="str">
        <f>HYPERLINK("https://www.773grp.com/globalSearch/LM2574N-005G/page-1", "LM2574N-005G")</f>
        <v>LM2574N-005G</v>
      </c>
      <c r="B40996" s="3" t="str">
        <f>HYPERLINK("https://www.773grp.com/manufacturer/onsemi?pageNo=356", "ON Semiconductor")</f>
        <v>ON Semiconductor</v>
      </c>
      <c r="C40996" s="6">
        <v>100</v>
      </c>
      <c r="D40996" s="7">
        <v>4.59</v>
      </c>
    </row>
    <row r="40997" spans="1:5" x14ac:dyDescent="0.25">
      <c r="A40997" t="str">
        <f>HYPERLINK("https://www.773grp.com/globalSearch/LM2574N-12G/page-1", "LM2574N-12G")</f>
        <v>LM2574N-12G</v>
      </c>
      <c r="B40997" s="3" t="str">
        <f>HYPERLINK("https://www.773grp.com/manufacturer/onsemi?pageNo=357", "ON Semiconductor")</f>
        <v>ON Semiconductor</v>
      </c>
      <c r="C40997" s="6">
        <v>11500</v>
      </c>
      <c r="D40997" s="7">
        <v>4.59</v>
      </c>
      <c r="E40997" t="s">
        <v>7</v>
      </c>
    </row>
    <row r="40998" spans="1:5" x14ac:dyDescent="0.25">
      <c r="A40998" t="str">
        <f>HYPERLINK("https://www.773grp.com/globalSearch/LM2574N-3.3G/page-1", "LM2574N-3.3G")</f>
        <v>LM2574N-3.3G</v>
      </c>
      <c r="B40998" s="3" t="str">
        <f>HYPERLINK("https://www.773grp.com/manufacturer/onsemi?pageNo=358", "ON Semiconductor")</f>
        <v>ON Semiconductor</v>
      </c>
      <c r="C40998" s="6">
        <v>600</v>
      </c>
      <c r="D40998" s="7">
        <v>4.59</v>
      </c>
      <c r="E40998" t="s">
        <v>7</v>
      </c>
    </row>
    <row r="40999" spans="1:5" x14ac:dyDescent="0.25">
      <c r="A40999" t="str">
        <f>HYPERLINK("https://www.773grp.com/globalSearch/LM2574N-5G/page-1", "LM2574N-5G")</f>
        <v>LM2574N-5G</v>
      </c>
      <c r="B40999" s="3" t="str">
        <f>HYPERLINK("https://www.773grp.com/manufacturer/onsemi?pageNo=359", "ON Semiconductor")</f>
        <v>ON Semiconductor</v>
      </c>
      <c r="C40999" s="6">
        <v>4300</v>
      </c>
      <c r="D40999" s="7">
        <v>4.59</v>
      </c>
      <c r="E40999" t="s">
        <v>7</v>
      </c>
    </row>
    <row r="41000" spans="1:5" x14ac:dyDescent="0.25">
      <c r="A41000" t="str">
        <f>HYPERLINK("https://www.773grp.com/globalSearch/LM2574N-ADJ/page-1", "LM2574N-ADJ")</f>
        <v>LM2574N-ADJ</v>
      </c>
      <c r="B41000" s="3" t="str">
        <f>HYPERLINK("https://www.773grp.com/manufacturer/onsemi?pageNo=360", "ON Semiconductor")</f>
        <v>ON Semiconductor</v>
      </c>
      <c r="C41000" s="6">
        <v>3900</v>
      </c>
      <c r="D41000" s="7">
        <v>4.59</v>
      </c>
      <c r="E41000" t="s">
        <v>7</v>
      </c>
    </row>
    <row r="41001" spans="1:5" x14ac:dyDescent="0.25">
      <c r="A41001" t="str">
        <f>HYPERLINK("https://www.773grp.com/globalSearch/LM2574N-ADJG/page-1", "LM2574N-ADJG")</f>
        <v>LM2574N-ADJG</v>
      </c>
      <c r="B41001" s="3" t="str">
        <f>HYPERLINK("https://www.773grp.com/manufacturer/onsemi?pageNo=361", "ON Semiconductor")</f>
        <v>ON Semiconductor</v>
      </c>
      <c r="C41001" s="6">
        <v>830</v>
      </c>
      <c r="D41001" s="7">
        <v>4.59</v>
      </c>
      <c r="E41001" t="s">
        <v>7</v>
      </c>
    </row>
    <row r="41002" spans="1:5" x14ac:dyDescent="0.25">
      <c r="A41002" t="str">
        <f>HYPERLINK("https://www.773grp.com/globalSearch/NCP5389MNR2G/page-1", "NCP5389MNR2G")</f>
        <v>NCP5389MNR2G</v>
      </c>
      <c r="B41002" s="3" t="str">
        <f>HYPERLINK("https://www.773grp.com/manufacturer/onsemi?pageNo=362", "ON Semiconductor")</f>
        <v>ON Semiconductor</v>
      </c>
      <c r="C41002" s="6">
        <v>2985</v>
      </c>
      <c r="D41002" s="7">
        <v>4.59</v>
      </c>
      <c r="E41002" t="s">
        <v>7</v>
      </c>
    </row>
    <row r="41003" spans="1:5" x14ac:dyDescent="0.25">
      <c r="A41003" t="str">
        <f>HYPERLINK("https://www.773grp.com/globalSearch/NCV8665DS50G/page-1", "NCV8665DS50G")</f>
        <v>NCV8665DS50G</v>
      </c>
      <c r="B41003" s="3" t="str">
        <f>HYPERLINK("https://www.773grp.com/manufacturer/onsemi?pageNo=363", "ON Semiconductor")</f>
        <v>ON Semiconductor</v>
      </c>
      <c r="C41003" s="6">
        <v>2000</v>
      </c>
      <c r="D41003" s="7">
        <v>4.59</v>
      </c>
    </row>
    <row r="41004" spans="1:5" x14ac:dyDescent="0.25">
      <c r="A41004" t="str">
        <f>HYPERLINK("https://www.773grp.com/globalSearch/NCV8665DS50R4G/page-1", "NCV8665DS50R4G")</f>
        <v>NCV8665DS50R4G</v>
      </c>
      <c r="B41004" s="3" t="str">
        <f>HYPERLINK("https://www.773grp.com/manufacturer/onsemi?pageNo=364", "ON Semiconductor")</f>
        <v>ON Semiconductor</v>
      </c>
      <c r="C41004" s="6">
        <v>800</v>
      </c>
      <c r="D41004" s="7">
        <v>4.59</v>
      </c>
      <c r="E41004" t="s">
        <v>19</v>
      </c>
    </row>
    <row r="41005" spans="1:5" x14ac:dyDescent="0.25">
      <c r="A41005" t="str">
        <f>HYPERLINK("https://www.773grp.com/globalSearch/NCV8668ABD250R2G/page-1", "NCV8668ABD250R2G")</f>
        <v>NCV8668ABD250R2G</v>
      </c>
      <c r="B41005" s="3" t="str">
        <f>HYPERLINK("https://www.773grp.com/manufacturer/onsemi?pageNo=365", "ON Semiconductor")</f>
        <v>ON Semiconductor</v>
      </c>
      <c r="C41005" s="6">
        <v>2500</v>
      </c>
      <c r="D41005" s="7">
        <v>4.59</v>
      </c>
    </row>
    <row r="41006" spans="1:5" x14ac:dyDescent="0.25">
      <c r="A41006" t="str">
        <f>HYPERLINK("https://www.773grp.com/globalSearch/NCV876950D250R2G/page-1", "NCV876950D250R2G")</f>
        <v>NCV876950D250R2G</v>
      </c>
      <c r="B41006" s="3" t="str">
        <f>HYPERLINK("https://www.773grp.com/manufacturer/onsemi?pageNo=366", "ON Semiconductor")</f>
        <v>ON Semiconductor</v>
      </c>
      <c r="C41006" s="6">
        <v>2500</v>
      </c>
      <c r="D41006" s="7">
        <v>4.59</v>
      </c>
    </row>
    <row r="41007" spans="1:5" x14ac:dyDescent="0.25">
      <c r="A41007" t="str">
        <f>HYPERLINK("https://www.773grp.com/globalSearch/NCY9000DR2G/page-1", "NCY9000DR2G")</f>
        <v>NCY9000DR2G</v>
      </c>
      <c r="B41007" s="3" t="str">
        <f>HYPERLINK("https://www.773grp.com/manufacturer/onsemi?pageNo=367", "ON Semiconductor")</f>
        <v>ON Semiconductor</v>
      </c>
      <c r="C41007" s="6">
        <v>10000</v>
      </c>
      <c r="D41007" s="7">
        <v>4.59</v>
      </c>
    </row>
    <row r="41008" spans="1:5" x14ac:dyDescent="0.25">
      <c r="A41008" t="str">
        <f>HYPERLINK("https://www.773grp.com/globalSearch/SJ83100/page-1", "SJ83100")</f>
        <v>SJ83100</v>
      </c>
      <c r="B41008" s="3" t="str">
        <f>HYPERLINK("https://www.773grp.com/manufacturer/onsemi?pageNo=368", "ON Semiconductor")</f>
        <v>ON Semiconductor</v>
      </c>
      <c r="C41008" s="6">
        <v>1800</v>
      </c>
      <c r="D41008" s="7">
        <v>4.59</v>
      </c>
    </row>
    <row r="41009" spans="1:5" x14ac:dyDescent="0.25">
      <c r="A41009" t="str">
        <f>HYPERLINK("https://www.773grp.com/globalSearch/SN54LS273J/page-1", "SN54LS273J")</f>
        <v>SN54LS273J</v>
      </c>
      <c r="B41009" s="3" t="str">
        <f>HYPERLINK("https://www.773grp.com/manufacturer/onsemi?pageNo=369", "ON Semiconductor")</f>
        <v>ON Semiconductor</v>
      </c>
      <c r="C41009" s="6">
        <v>2338</v>
      </c>
      <c r="D41009" s="7">
        <v>4.59</v>
      </c>
      <c r="E41009" t="s">
        <v>35</v>
      </c>
    </row>
    <row r="41010" spans="1:5" x14ac:dyDescent="0.25">
      <c r="A41010" t="str">
        <f>HYPERLINK("https://www.773grp.com/globalSearch/MC1648M/page-1", "MC1648M")</f>
        <v>MC1648M</v>
      </c>
      <c r="B41010" s="3" t="str">
        <f>HYPERLINK("https://www.773grp.com/manufacturer/onsemi?pageNo=370", "ON Semiconductor")</f>
        <v>ON Semiconductor</v>
      </c>
      <c r="C41010" s="6">
        <v>30</v>
      </c>
      <c r="D41010" s="7">
        <v>4.16</v>
      </c>
    </row>
    <row r="41011" spans="1:5" x14ac:dyDescent="0.25">
      <c r="A41011" t="str">
        <f>HYPERLINK("https://www.773grp.com/globalSearch/MC34166D2TG/page-1", "MC34166D2TG")</f>
        <v>MC34166D2TG</v>
      </c>
      <c r="B41011" s="3" t="str">
        <f>HYPERLINK("https://www.773grp.com/manufacturer/onsemi?pageNo=371", "ON Semiconductor")</f>
        <v>ON Semiconductor</v>
      </c>
      <c r="C41011" s="6">
        <v>3204</v>
      </c>
      <c r="D41011" s="7">
        <v>4.16</v>
      </c>
      <c r="E41011" t="s">
        <v>7</v>
      </c>
    </row>
    <row r="41012" spans="1:5" x14ac:dyDescent="0.25">
      <c r="A41012" t="str">
        <f>HYPERLINK("https://www.773grp.com/globalSearch/MC34166D2TR4G/page-1", "MC34166D2TR4G")</f>
        <v>MC34166D2TR4G</v>
      </c>
      <c r="B41012" s="3" t="str">
        <f>HYPERLINK("https://www.773grp.com/manufacturer/onsemi?pageNo=372", "ON Semiconductor")</f>
        <v>ON Semiconductor</v>
      </c>
      <c r="C41012" s="6">
        <v>1690</v>
      </c>
      <c r="D41012" s="7">
        <v>4.16</v>
      </c>
    </row>
    <row r="41013" spans="1:5" x14ac:dyDescent="0.25">
      <c r="A41013" t="str">
        <f>HYPERLINK("https://www.773grp.com/globalSearch/CS8141YDPS7/page-1", "CS8141YDPS7")</f>
        <v>CS8141YDPS7</v>
      </c>
      <c r="B41013" s="3" t="str">
        <f>HYPERLINK("https://www.773grp.com/manufacturer/onsemi?pageNo=373", "ON Semiconductor")</f>
        <v>ON Semiconductor</v>
      </c>
      <c r="C41013" s="6">
        <v>1550</v>
      </c>
      <c r="D41013" s="7">
        <v>4.1900000000000004</v>
      </c>
      <c r="E41013" t="s">
        <v>19</v>
      </c>
    </row>
    <row r="41014" spans="1:5" x14ac:dyDescent="0.25">
      <c r="A41014" t="str">
        <f>HYPERLINK("https://www.773grp.com/globalSearch/CS8371ETVA7/page-1", "CS8371ETVA7")</f>
        <v>CS8371ETVA7</v>
      </c>
      <c r="B41014" s="3" t="str">
        <f>HYPERLINK("https://www.773grp.com/manufacturer/onsemi?pageNo=374", "ON Semiconductor")</f>
        <v>ON Semiconductor</v>
      </c>
      <c r="C41014" s="6">
        <v>4400</v>
      </c>
      <c r="D41014" s="7">
        <v>4.1900000000000004</v>
      </c>
      <c r="E41014" t="s">
        <v>117</v>
      </c>
    </row>
    <row r="41015" spans="1:5" x14ac:dyDescent="0.25">
      <c r="A41015" t="str">
        <f>HYPERLINK("https://www.773grp.com/globalSearch/LV8735V-MPB-H/page-1", "LV8735V-MPB-H")</f>
        <v>LV8735V-MPB-H</v>
      </c>
      <c r="B41015" s="3" t="str">
        <f>HYPERLINK("https://www.773grp.com/manufacturer/onsemi?pageNo=375", "ON Semiconductor")</f>
        <v>ON Semiconductor</v>
      </c>
      <c r="C41015" s="6">
        <v>60</v>
      </c>
      <c r="D41015" s="7">
        <v>4.1900000000000004</v>
      </c>
    </row>
    <row r="41016" spans="1:5" x14ac:dyDescent="0.25">
      <c r="A41016" t="str">
        <f>HYPERLINK("https://www.773grp.com/globalSearch/MC10H101PG/page-1", "MC10H101PG")</f>
        <v>MC10H101PG</v>
      </c>
      <c r="B41016" s="3" t="str">
        <f>HYPERLINK("https://www.773grp.com/manufacturer/onsemi?pageNo=376", "ON Semiconductor")</f>
        <v>ON Semiconductor</v>
      </c>
      <c r="C41016" s="6">
        <v>3561</v>
      </c>
      <c r="D41016" s="7">
        <v>4.1900000000000004</v>
      </c>
      <c r="E41016" t="s">
        <v>31</v>
      </c>
    </row>
    <row r="41017" spans="1:5" x14ac:dyDescent="0.25">
      <c r="A41017" t="str">
        <f>HYPERLINK("https://www.773grp.com/globalSearch/MC10H102PG/page-1", "MC10H102PG")</f>
        <v>MC10H102PG</v>
      </c>
      <c r="B41017" s="3" t="str">
        <f>HYPERLINK("https://www.773grp.com/manufacturer/onsemi?pageNo=377", "ON Semiconductor")</f>
        <v>ON Semiconductor</v>
      </c>
      <c r="C41017" s="6">
        <v>4345</v>
      </c>
      <c r="D41017" s="7">
        <v>4.1900000000000004</v>
      </c>
      <c r="E41017" t="s">
        <v>31</v>
      </c>
    </row>
    <row r="41018" spans="1:5" x14ac:dyDescent="0.25">
      <c r="A41018" t="str">
        <f>HYPERLINK("https://www.773grp.com/globalSearch/MC10H103PG/page-1", "MC10H103PG")</f>
        <v>MC10H103PG</v>
      </c>
      <c r="B41018" s="3" t="str">
        <f>HYPERLINK("https://www.773grp.com/manufacturer/onsemi?pageNo=378", "ON Semiconductor")</f>
        <v>ON Semiconductor</v>
      </c>
      <c r="C41018" s="6">
        <v>10254</v>
      </c>
      <c r="D41018" s="7">
        <v>4.1900000000000004</v>
      </c>
      <c r="E41018" t="s">
        <v>31</v>
      </c>
    </row>
    <row r="41019" spans="1:5" x14ac:dyDescent="0.25">
      <c r="A41019" t="str">
        <f>HYPERLINK("https://www.773grp.com/globalSearch/MC10H104PG/page-1", "MC10H104PG")</f>
        <v>MC10H104PG</v>
      </c>
      <c r="B41019" s="3" t="str">
        <f>HYPERLINK("https://www.773grp.com/manufacturer/onsemi?pageNo=379", "ON Semiconductor")</f>
        <v>ON Semiconductor</v>
      </c>
      <c r="C41019" s="6">
        <v>5348</v>
      </c>
      <c r="D41019" s="7">
        <v>4.1900000000000004</v>
      </c>
      <c r="E41019" t="s">
        <v>31</v>
      </c>
    </row>
    <row r="41020" spans="1:5" x14ac:dyDescent="0.25">
      <c r="A41020" t="str">
        <f>HYPERLINK("https://www.773grp.com/globalSearch/MC10H105PG/page-1", "MC10H105PG")</f>
        <v>MC10H105PG</v>
      </c>
      <c r="B41020" s="3" t="str">
        <f>HYPERLINK("https://www.773grp.com/manufacturer/onsemi?pageNo=380", "ON Semiconductor")</f>
        <v>ON Semiconductor</v>
      </c>
      <c r="C41020" s="6">
        <v>3609</v>
      </c>
      <c r="D41020" s="7">
        <v>4.1900000000000004</v>
      </c>
      <c r="E41020" t="s">
        <v>31</v>
      </c>
    </row>
    <row r="41021" spans="1:5" x14ac:dyDescent="0.25">
      <c r="A41021" t="str">
        <f>HYPERLINK("https://www.773grp.com/globalSearch/MC10H107P/page-1", "MC10H107P")</f>
        <v>MC10H107P</v>
      </c>
      <c r="B41021" s="3" t="str">
        <f>HYPERLINK("https://www.773grp.com/manufacturer/onsemi?pageNo=381", "ON Semiconductor")</f>
        <v>ON Semiconductor</v>
      </c>
      <c r="C41021" s="6">
        <v>3350</v>
      </c>
      <c r="D41021" s="7">
        <v>4.1900000000000004</v>
      </c>
    </row>
    <row r="41022" spans="1:5" x14ac:dyDescent="0.25">
      <c r="A41022" t="str">
        <f>HYPERLINK("https://www.773grp.com/globalSearch/MC10H107PG/page-1", "MC10H107PG")</f>
        <v>MC10H107PG</v>
      </c>
      <c r="B41022" s="3" t="str">
        <f>HYPERLINK("https://www.773grp.com/manufacturer/onsemi?pageNo=382", "ON Semiconductor")</f>
        <v>ON Semiconductor</v>
      </c>
      <c r="C41022" s="6">
        <v>4041</v>
      </c>
      <c r="D41022" s="7">
        <v>4.1900000000000004</v>
      </c>
      <c r="E41022" t="s">
        <v>31</v>
      </c>
    </row>
    <row r="41023" spans="1:5" x14ac:dyDescent="0.25">
      <c r="A41023" t="str">
        <f>HYPERLINK("https://www.773grp.com/globalSearch/MC10H109PG/page-1", "MC10H109PG")</f>
        <v>MC10H109PG</v>
      </c>
      <c r="B41023" s="3" t="str">
        <f>HYPERLINK("https://www.773grp.com/manufacturer/onsemi?pageNo=383", "ON Semiconductor")</f>
        <v>ON Semiconductor</v>
      </c>
      <c r="C41023" s="6">
        <v>4804</v>
      </c>
      <c r="D41023" s="7">
        <v>4.1900000000000004</v>
      </c>
      <c r="E41023" t="s">
        <v>31</v>
      </c>
    </row>
    <row r="41024" spans="1:5" x14ac:dyDescent="0.25">
      <c r="A41024" t="str">
        <f>HYPERLINK("https://www.773grp.com/globalSearch/MC10H115PG/page-1", "MC10H115PG")</f>
        <v>MC10H115PG</v>
      </c>
      <c r="B41024" s="3" t="str">
        <f>HYPERLINK("https://www.773grp.com/manufacturer/onsemi?pageNo=384", "ON Semiconductor")</f>
        <v>ON Semiconductor</v>
      </c>
      <c r="C41024" s="6">
        <v>11983</v>
      </c>
      <c r="D41024" s="7">
        <v>4.1900000000000004</v>
      </c>
      <c r="E41024" t="s">
        <v>21</v>
      </c>
    </row>
    <row r="41025" spans="1:5" x14ac:dyDescent="0.25">
      <c r="A41025" t="str">
        <f>HYPERLINK("https://www.773grp.com/globalSearch/MC10H116PG/page-1", "MC10H116PG")</f>
        <v>MC10H116PG</v>
      </c>
      <c r="B41025" s="3" t="str">
        <f>HYPERLINK("https://www.773grp.com/manufacturer/onsemi?pageNo=385", "ON Semiconductor")</f>
        <v>ON Semiconductor</v>
      </c>
      <c r="C41025" s="6">
        <v>1025</v>
      </c>
      <c r="D41025" s="7">
        <v>4.1900000000000004</v>
      </c>
      <c r="E41025" t="s">
        <v>21</v>
      </c>
    </row>
    <row r="41026" spans="1:5" x14ac:dyDescent="0.25">
      <c r="A41026" t="str">
        <f>HYPERLINK("https://www.773grp.com/globalSearch/MC10H117PG/page-1", "MC10H117PG")</f>
        <v>MC10H117PG</v>
      </c>
      <c r="B41026" s="3" t="str">
        <f>HYPERLINK("https://www.773grp.com/manufacturer/onsemi?pageNo=386", "ON Semiconductor")</f>
        <v>ON Semiconductor</v>
      </c>
      <c r="C41026" s="6">
        <v>8875</v>
      </c>
      <c r="D41026" s="7">
        <v>4.1900000000000004</v>
      </c>
      <c r="E41026" t="s">
        <v>31</v>
      </c>
    </row>
    <row r="41027" spans="1:5" x14ac:dyDescent="0.25">
      <c r="A41027" t="str">
        <f>HYPERLINK("https://www.773grp.com/globalSearch/MC10H210P/page-1", "MC10H210P")</f>
        <v>MC10H210P</v>
      </c>
      <c r="B41027" s="3" t="str">
        <f>HYPERLINK("https://www.773grp.com/manufacturer/onsemi?pageNo=387", "ON Semiconductor")</f>
        <v>ON Semiconductor</v>
      </c>
      <c r="C41027" s="6">
        <v>6025</v>
      </c>
      <c r="D41027" s="7">
        <v>4.1900000000000004</v>
      </c>
      <c r="E41027" t="s">
        <v>31</v>
      </c>
    </row>
    <row r="41028" spans="1:5" x14ac:dyDescent="0.25">
      <c r="A41028" t="str">
        <f>HYPERLINK("https://www.773grp.com/globalSearch/MC10H211P/page-1", "MC10H211P")</f>
        <v>MC10H211P</v>
      </c>
      <c r="B41028" s="3" t="str">
        <f>HYPERLINK("https://www.773grp.com/manufacturer/onsemi?pageNo=388", "ON Semiconductor")</f>
        <v>ON Semiconductor</v>
      </c>
      <c r="C41028" s="6">
        <v>3450</v>
      </c>
      <c r="D41028" s="7">
        <v>4.1900000000000004</v>
      </c>
      <c r="E41028" t="s">
        <v>31</v>
      </c>
    </row>
    <row r="41029" spans="1:5" x14ac:dyDescent="0.25">
      <c r="A41029" t="str">
        <f>HYPERLINK("https://www.773grp.com/globalSearch/ADT7476ARQZ/page-1", "ADT7476ARQZ")</f>
        <v>ADT7476ARQZ</v>
      </c>
      <c r="B41029" s="3" t="str">
        <f>HYPERLINK("https://www.773grp.com/manufacturer/onsemi?pageNo=389", "ON Semiconductor")</f>
        <v>ON Semiconductor</v>
      </c>
      <c r="C41029" s="6">
        <v>31</v>
      </c>
      <c r="D41029" s="7">
        <v>4.6399999999999997</v>
      </c>
      <c r="E41029" t="s">
        <v>12</v>
      </c>
    </row>
    <row r="41030" spans="1:5" x14ac:dyDescent="0.25">
      <c r="A41030" t="str">
        <f>HYPERLINK("https://www.773grp.com/globalSearch/CAT1640WI-30-G/page-1", "CAT1640WI-30-G")</f>
        <v>CAT1640WI-30-G</v>
      </c>
      <c r="B41030" s="3" t="str">
        <f>HYPERLINK("https://www.773grp.com/manufacturer/onsemi?pageNo=390", "ON Semiconductor")</f>
        <v>ON Semiconductor</v>
      </c>
      <c r="C41030" s="6">
        <v>600</v>
      </c>
      <c r="D41030" s="7">
        <v>4.6399999999999997</v>
      </c>
    </row>
    <row r="41031" spans="1:5" x14ac:dyDescent="0.25">
      <c r="A41031" t="str">
        <f>HYPERLINK("https://www.773grp.com/globalSearch/CAT5115ZI-10-G/page-1", "CAT5115ZI-10-G")</f>
        <v>CAT5115ZI-10-G</v>
      </c>
      <c r="B41031" s="3" t="str">
        <f>HYPERLINK("https://www.773grp.com/manufacturer/onsemi?pageNo=391", "ON Semiconductor")</f>
        <v>ON Semiconductor</v>
      </c>
      <c r="C41031" s="6">
        <v>1344</v>
      </c>
      <c r="D41031" s="7">
        <v>4.6399999999999997</v>
      </c>
      <c r="E41031" t="s">
        <v>99</v>
      </c>
    </row>
    <row r="41032" spans="1:5" x14ac:dyDescent="0.25">
      <c r="A41032" t="str">
        <f>HYPERLINK("https://www.773grp.com/globalSearch/CS8151D2R2G/page-1", "CS8151D2R2G")</f>
        <v>CS8151D2R2G</v>
      </c>
      <c r="B41032" s="3" t="str">
        <f>HYPERLINK("https://www.773grp.com/manufacturer/onsemi?pageNo=392", "ON Semiconductor")</f>
        <v>ON Semiconductor</v>
      </c>
      <c r="C41032" s="6">
        <v>9780</v>
      </c>
      <c r="D41032" s="7">
        <v>4.6399999999999997</v>
      </c>
      <c r="E41032" t="s">
        <v>19</v>
      </c>
    </row>
    <row r="41033" spans="1:5" x14ac:dyDescent="0.25">
      <c r="A41033" t="str">
        <f>HYPERLINK("https://www.773grp.com/globalSearch/L88M05T-TL-E/page-1", "L88M05T-TL-E")</f>
        <v>L88M05T-TL-E</v>
      </c>
      <c r="B41033" s="3" t="str">
        <f>HYPERLINK("https://www.773grp.com/manufacturer/onsemi?pageNo=393", "ON Semiconductor")</f>
        <v>ON Semiconductor</v>
      </c>
      <c r="C41033" s="6">
        <v>1400</v>
      </c>
      <c r="D41033" s="7">
        <v>4.6399999999999997</v>
      </c>
    </row>
    <row r="41034" spans="1:5" x14ac:dyDescent="0.25">
      <c r="A41034" t="str">
        <f>HYPERLINK("https://www.773grp.com/globalSearch/LM2576D2T-005/page-1", "LM2576D2T-005")</f>
        <v>LM2576D2T-005</v>
      </c>
      <c r="B41034" s="3" t="str">
        <f>HYPERLINK("https://www.773grp.com/manufacturer/onsemi?pageNo=394", "ON Semiconductor")</f>
        <v>ON Semiconductor</v>
      </c>
      <c r="C41034" s="6">
        <v>35711</v>
      </c>
      <c r="D41034" s="7">
        <v>4.6399999999999997</v>
      </c>
      <c r="E41034" t="s">
        <v>7</v>
      </c>
    </row>
    <row r="41035" spans="1:5" x14ac:dyDescent="0.25">
      <c r="A41035" t="str">
        <f>HYPERLINK("https://www.773grp.com/globalSearch/LM2576D2T-3.3/page-1", "LM2576D2T-3.3")</f>
        <v>LM2576D2T-3.3</v>
      </c>
      <c r="B41035" s="3" t="str">
        <f>HYPERLINK("https://www.773grp.com/manufacturer/onsemi?pageNo=395", "ON Semiconductor")</f>
        <v>ON Semiconductor</v>
      </c>
      <c r="C41035" s="6">
        <v>6265</v>
      </c>
      <c r="D41035" s="7">
        <v>4.6399999999999997</v>
      </c>
      <c r="E41035" t="s">
        <v>7</v>
      </c>
    </row>
    <row r="41036" spans="1:5" x14ac:dyDescent="0.25">
      <c r="A41036" t="str">
        <f>HYPERLINK("https://www.773grp.com/globalSearch/LM2576D2T-ADJR4/page-1", "LM2576D2T-ADJR4")</f>
        <v>LM2576D2T-ADJR4</v>
      </c>
      <c r="B41036" s="3" t="str">
        <f>HYPERLINK("https://www.773grp.com/manufacturer/onsemi?pageNo=396", "ON Semiconductor")</f>
        <v>ON Semiconductor</v>
      </c>
      <c r="C41036" s="6">
        <v>4000</v>
      </c>
      <c r="D41036" s="7">
        <v>4.6399999999999997</v>
      </c>
      <c r="E41036" t="s">
        <v>7</v>
      </c>
    </row>
    <row r="41037" spans="1:5" x14ac:dyDescent="0.25">
      <c r="A41037" t="str">
        <f>HYPERLINK("https://www.773grp.com/globalSearch/LM2576D2TR4-005/page-1", "LM2576D2TR4-005")</f>
        <v>LM2576D2TR4-005</v>
      </c>
      <c r="B41037" s="3" t="str">
        <f>HYPERLINK("https://www.773grp.com/manufacturer/onsemi?pageNo=397", "ON Semiconductor")</f>
        <v>ON Semiconductor</v>
      </c>
      <c r="C41037" s="6">
        <v>9</v>
      </c>
      <c r="D41037" s="7">
        <v>4.6399999999999997</v>
      </c>
      <c r="E41037" t="s">
        <v>7</v>
      </c>
    </row>
    <row r="41038" spans="1:5" x14ac:dyDescent="0.25">
      <c r="A41038" t="str">
        <f>HYPERLINK("https://www.773grp.com/globalSearch/MC10H100MEL/page-1", "MC10H100MEL")</f>
        <v>MC10H100MEL</v>
      </c>
      <c r="B41038" s="3" t="str">
        <f>HYPERLINK("https://www.773grp.com/manufacturer/onsemi?pageNo=398", "ON Semiconductor")</f>
        <v>ON Semiconductor</v>
      </c>
      <c r="C41038" s="6">
        <v>8000</v>
      </c>
      <c r="D41038" s="7">
        <v>4.6399999999999997</v>
      </c>
      <c r="E41038" t="s">
        <v>31</v>
      </c>
    </row>
    <row r="41039" spans="1:5" x14ac:dyDescent="0.25">
      <c r="A41039" t="str">
        <f>HYPERLINK("https://www.773grp.com/globalSearch/MC10H101FN/page-1", "MC10H101FN")</f>
        <v>MC10H101FN</v>
      </c>
      <c r="B41039" s="3" t="str">
        <f>HYPERLINK("https://www.773grp.com/manufacturer/onsemi?pageNo=399", "ON Semiconductor")</f>
        <v>ON Semiconductor</v>
      </c>
      <c r="C41039" s="6">
        <v>11290</v>
      </c>
      <c r="D41039" s="7">
        <v>4.6399999999999997</v>
      </c>
      <c r="E41039" t="s">
        <v>31</v>
      </c>
    </row>
    <row r="41040" spans="1:5" x14ac:dyDescent="0.25">
      <c r="A41040" t="str">
        <f>HYPERLINK("https://www.773grp.com/globalSearch/MC10H101M/page-1", "MC10H101M")</f>
        <v>MC10H101M</v>
      </c>
      <c r="B41040" s="3" t="str">
        <f>HYPERLINK("https://www.773grp.com/manufacturer/onsemi?pageNo=400", "ON Semiconductor")</f>
        <v>ON Semiconductor</v>
      </c>
      <c r="C41040" s="6">
        <v>1128</v>
      </c>
      <c r="D41040" s="7">
        <v>4.6399999999999997</v>
      </c>
      <c r="E41040" t="s">
        <v>31</v>
      </c>
    </row>
    <row r="41041" spans="1:5" x14ac:dyDescent="0.25">
      <c r="A41041" t="str">
        <f>HYPERLINK("https://www.773grp.com/globalSearch/MC10H101MEL/page-1", "MC10H101MEL")</f>
        <v>MC10H101MEL</v>
      </c>
      <c r="B41041" s="3" t="str">
        <f>HYPERLINK("https://www.773grp.com/manufacturer/onsemi?pageNo=401", "ON Semiconductor")</f>
        <v>ON Semiconductor</v>
      </c>
      <c r="C41041" s="6">
        <v>9842</v>
      </c>
      <c r="D41041" s="7">
        <v>4.6399999999999997</v>
      </c>
      <c r="E41041" t="s">
        <v>31</v>
      </c>
    </row>
    <row r="41042" spans="1:5" x14ac:dyDescent="0.25">
      <c r="A41042" t="str">
        <f>HYPERLINK("https://www.773grp.com/globalSearch/MC10H102FN/page-1", "MC10H102FN")</f>
        <v>MC10H102FN</v>
      </c>
      <c r="B41042" s="3" t="str">
        <f>HYPERLINK("https://www.773grp.com/manufacturer/onsemi?pageNo=402", "ON Semiconductor")</f>
        <v>ON Semiconductor</v>
      </c>
      <c r="C41042" s="6">
        <v>15420</v>
      </c>
      <c r="D41042" s="7">
        <v>4.6399999999999997</v>
      </c>
      <c r="E41042" t="s">
        <v>31</v>
      </c>
    </row>
    <row r="41043" spans="1:5" x14ac:dyDescent="0.25">
      <c r="A41043" t="str">
        <f>HYPERLINK("https://www.773grp.com/globalSearch/MC10H102FNG/page-1", "MC10H102FNG")</f>
        <v>MC10H102FNG</v>
      </c>
      <c r="B41043" s="3" t="str">
        <f>HYPERLINK("https://www.773grp.com/manufacturer/onsemi?pageNo=403", "ON Semiconductor")</f>
        <v>ON Semiconductor</v>
      </c>
      <c r="C41043" s="6">
        <v>5486</v>
      </c>
      <c r="D41043" s="7">
        <v>4.6399999999999997</v>
      </c>
      <c r="E41043" t="s">
        <v>31</v>
      </c>
    </row>
    <row r="41044" spans="1:5" x14ac:dyDescent="0.25">
      <c r="A41044" t="str">
        <f>HYPERLINK("https://www.773grp.com/globalSearch/MC10H102FNR2/page-1", "MC10H102FNR2")</f>
        <v>MC10H102FNR2</v>
      </c>
      <c r="B41044" s="3" t="str">
        <f>HYPERLINK("https://www.773grp.com/manufacturer/onsemi?pageNo=404", "ON Semiconductor")</f>
        <v>ON Semiconductor</v>
      </c>
      <c r="C41044" s="6">
        <v>19171</v>
      </c>
      <c r="D41044" s="7">
        <v>4.6399999999999997</v>
      </c>
      <c r="E41044" t="s">
        <v>31</v>
      </c>
    </row>
    <row r="41045" spans="1:5" x14ac:dyDescent="0.25">
      <c r="A41045" t="str">
        <f>HYPERLINK("https://www.773grp.com/globalSearch/MC10H102L/page-1", "MC10H102L")</f>
        <v>MC10H102L</v>
      </c>
      <c r="B41045" s="3" t="str">
        <f>HYPERLINK("https://www.773grp.com/manufacturer/onsemi?pageNo=405", "ON Semiconductor")</f>
        <v>ON Semiconductor</v>
      </c>
      <c r="C41045" s="6">
        <v>4668</v>
      </c>
      <c r="D41045" s="7">
        <v>4.6399999999999997</v>
      </c>
      <c r="E41045" t="s">
        <v>31</v>
      </c>
    </row>
    <row r="41046" spans="1:5" x14ac:dyDescent="0.25">
      <c r="A41046" t="str">
        <f>HYPERLINK("https://www.773grp.com/globalSearch/MC10H103FN/page-1", "MC10H103FN")</f>
        <v>MC10H103FN</v>
      </c>
      <c r="B41046" s="3" t="str">
        <f>HYPERLINK("https://www.773grp.com/manufacturer/onsemi?pageNo=406", "ON Semiconductor")</f>
        <v>ON Semiconductor</v>
      </c>
      <c r="C41046" s="6">
        <v>10802</v>
      </c>
      <c r="D41046" s="7">
        <v>4.6399999999999997</v>
      </c>
      <c r="E41046" t="s">
        <v>31</v>
      </c>
    </row>
    <row r="41047" spans="1:5" x14ac:dyDescent="0.25">
      <c r="A41047" t="str">
        <f>HYPERLINK("https://www.773grp.com/globalSearch/MC10H103FNR2G/page-1", "MC10H103FNR2G")</f>
        <v>MC10H103FNR2G</v>
      </c>
      <c r="B41047" s="3" t="str">
        <f>HYPERLINK("https://www.773grp.com/manufacturer/onsemi?pageNo=407", "ON Semiconductor")</f>
        <v>ON Semiconductor</v>
      </c>
      <c r="C41047" s="6">
        <v>4000</v>
      </c>
      <c r="D41047" s="7">
        <v>4.6399999999999997</v>
      </c>
      <c r="E41047" t="s">
        <v>31</v>
      </c>
    </row>
    <row r="41048" spans="1:5" x14ac:dyDescent="0.25">
      <c r="A41048" t="str">
        <f>HYPERLINK("https://www.773grp.com/globalSearch/MC10H103M/page-1", "MC10H103M")</f>
        <v>MC10H103M</v>
      </c>
      <c r="B41048" s="3" t="str">
        <f>HYPERLINK("https://www.773grp.com/manufacturer/onsemi?pageNo=408", "ON Semiconductor")</f>
        <v>ON Semiconductor</v>
      </c>
      <c r="C41048" s="6">
        <v>139</v>
      </c>
      <c r="D41048" s="7">
        <v>4.6399999999999997</v>
      </c>
      <c r="E41048" t="s">
        <v>31</v>
      </c>
    </row>
    <row r="41049" spans="1:5" x14ac:dyDescent="0.25">
      <c r="A41049" t="str">
        <f>HYPERLINK("https://www.773grp.com/globalSearch/MC10H104FN/page-1", "MC10H104FN")</f>
        <v>MC10H104FN</v>
      </c>
      <c r="B41049" s="3" t="str">
        <f>HYPERLINK("https://www.773grp.com/manufacturer/onsemi?pageNo=409", "ON Semiconductor")</f>
        <v>ON Semiconductor</v>
      </c>
      <c r="C41049" s="6">
        <v>3580</v>
      </c>
      <c r="D41049" s="7">
        <v>4.6399999999999997</v>
      </c>
      <c r="E41049" t="s">
        <v>31</v>
      </c>
    </row>
    <row r="41050" spans="1:5" x14ac:dyDescent="0.25">
      <c r="A41050" t="str">
        <f>HYPERLINK("https://www.773grp.com/globalSearch/MC10H104FNR2/page-1", "MC10H104FNR2")</f>
        <v>MC10H104FNR2</v>
      </c>
      <c r="B41050" s="3" t="str">
        <f>HYPERLINK("https://www.773grp.com/manufacturer/onsemi?pageNo=410", "ON Semiconductor")</f>
        <v>ON Semiconductor</v>
      </c>
      <c r="C41050" s="6">
        <v>3000</v>
      </c>
      <c r="D41050" s="7">
        <v>4.6399999999999997</v>
      </c>
      <c r="E41050" t="s">
        <v>31</v>
      </c>
    </row>
    <row r="41051" spans="1:5" x14ac:dyDescent="0.25">
      <c r="A41051" t="str">
        <f>HYPERLINK("https://www.773grp.com/globalSearch/MC10H104M/page-1", "MC10H104M")</f>
        <v>MC10H104M</v>
      </c>
      <c r="B41051" s="3" t="str">
        <f>HYPERLINK("https://www.773grp.com/manufacturer/onsemi?pageNo=411", "ON Semiconductor")</f>
        <v>ON Semiconductor</v>
      </c>
      <c r="C41051" s="6">
        <v>132</v>
      </c>
      <c r="D41051" s="7">
        <v>4.6399999999999997</v>
      </c>
      <c r="E41051" t="s">
        <v>31</v>
      </c>
    </row>
    <row r="41052" spans="1:5" x14ac:dyDescent="0.25">
      <c r="A41052" t="str">
        <f>HYPERLINK("https://www.773grp.com/globalSearch/MC10H105FN/page-1", "MC10H105FN")</f>
        <v>MC10H105FN</v>
      </c>
      <c r="B41052" s="3" t="str">
        <f>HYPERLINK("https://www.773grp.com/manufacturer/onsemi?pageNo=412", "ON Semiconductor")</f>
        <v>ON Semiconductor</v>
      </c>
      <c r="C41052" s="6">
        <v>14150</v>
      </c>
      <c r="D41052" s="7">
        <v>4.6399999999999997</v>
      </c>
      <c r="E41052" t="s">
        <v>31</v>
      </c>
    </row>
    <row r="41053" spans="1:5" x14ac:dyDescent="0.25">
      <c r="A41053" t="str">
        <f>HYPERLINK("https://www.773grp.com/globalSearch/MC10H105FNR2/page-1", "MC10H105FNR2")</f>
        <v>MC10H105FNR2</v>
      </c>
      <c r="B41053" s="3" t="str">
        <f>HYPERLINK("https://www.773grp.com/manufacturer/onsemi?pageNo=413", "ON Semiconductor")</f>
        <v>ON Semiconductor</v>
      </c>
      <c r="C41053" s="6">
        <v>4500</v>
      </c>
      <c r="D41053" s="7">
        <v>4.6399999999999997</v>
      </c>
      <c r="E41053" t="s">
        <v>31</v>
      </c>
    </row>
    <row r="41054" spans="1:5" x14ac:dyDescent="0.25">
      <c r="A41054" t="str">
        <f>HYPERLINK("https://www.773grp.com/globalSearch/MC10H105M/page-1", "MC10H105M")</f>
        <v>MC10H105M</v>
      </c>
      <c r="B41054" s="3" t="str">
        <f>HYPERLINK("https://www.773grp.com/manufacturer/onsemi?pageNo=414", "ON Semiconductor")</f>
        <v>ON Semiconductor</v>
      </c>
      <c r="C41054" s="6">
        <v>1005</v>
      </c>
      <c r="D41054" s="7">
        <v>4.6399999999999997</v>
      </c>
      <c r="E41054" t="s">
        <v>31</v>
      </c>
    </row>
    <row r="41055" spans="1:5" x14ac:dyDescent="0.25">
      <c r="A41055" t="str">
        <f>HYPERLINK("https://www.773grp.com/globalSearch/MC10H106M/page-1", "MC10H106M")</f>
        <v>MC10H106M</v>
      </c>
      <c r="B41055" s="3" t="str">
        <f>HYPERLINK("https://www.773grp.com/manufacturer/onsemi?pageNo=415", "ON Semiconductor")</f>
        <v>ON Semiconductor</v>
      </c>
      <c r="C41055" s="6">
        <v>800</v>
      </c>
      <c r="D41055" s="7">
        <v>4.6399999999999997</v>
      </c>
      <c r="E41055" t="s">
        <v>31</v>
      </c>
    </row>
    <row r="41056" spans="1:5" x14ac:dyDescent="0.25">
      <c r="A41056" t="str">
        <f>HYPERLINK("https://www.773grp.com/globalSearch/MC10H107FN/page-1", "MC10H107FN")</f>
        <v>MC10H107FN</v>
      </c>
      <c r="B41056" s="3" t="str">
        <f>HYPERLINK("https://www.773grp.com/manufacturer/onsemi?pageNo=416", "ON Semiconductor")</f>
        <v>ON Semiconductor</v>
      </c>
      <c r="C41056" s="6">
        <v>180</v>
      </c>
      <c r="D41056" s="7">
        <v>4.6399999999999997</v>
      </c>
      <c r="E41056" t="s">
        <v>31</v>
      </c>
    </row>
    <row r="41057" spans="1:5" x14ac:dyDescent="0.25">
      <c r="A41057" t="str">
        <f>HYPERLINK("https://www.773grp.com/globalSearch/MC10H107M/page-1", "MC10H107M")</f>
        <v>MC10H107M</v>
      </c>
      <c r="B41057" s="3" t="str">
        <f>HYPERLINK("https://www.773grp.com/manufacturer/onsemi?pageNo=417", "ON Semiconductor")</f>
        <v>ON Semiconductor</v>
      </c>
      <c r="C41057" s="6">
        <v>600</v>
      </c>
      <c r="D41057" s="7">
        <v>4.6399999999999997</v>
      </c>
      <c r="E41057" t="s">
        <v>31</v>
      </c>
    </row>
    <row r="41058" spans="1:5" x14ac:dyDescent="0.25">
      <c r="A41058" t="str">
        <f>HYPERLINK("https://www.773grp.com/globalSearch/MC10H107MEL/page-1", "MC10H107MEL")</f>
        <v>MC10H107MEL</v>
      </c>
      <c r="B41058" s="3" t="str">
        <f>HYPERLINK("https://www.773grp.com/manufacturer/onsemi?pageNo=418", "ON Semiconductor")</f>
        <v>ON Semiconductor</v>
      </c>
      <c r="C41058" s="6">
        <v>2000</v>
      </c>
      <c r="D41058" s="7">
        <v>4.6399999999999997</v>
      </c>
      <c r="E41058" t="s">
        <v>31</v>
      </c>
    </row>
    <row r="41059" spans="1:5" x14ac:dyDescent="0.25">
      <c r="A41059" t="str">
        <f>HYPERLINK("https://www.773grp.com/globalSearch/MC10H109FN/page-1", "MC10H109FN")</f>
        <v>MC10H109FN</v>
      </c>
      <c r="B41059" s="3" t="str">
        <f>HYPERLINK("https://www.773grp.com/manufacturer/onsemi?pageNo=419", "ON Semiconductor")</f>
        <v>ON Semiconductor</v>
      </c>
      <c r="C41059" s="6">
        <v>80</v>
      </c>
      <c r="D41059" s="7">
        <v>4.6399999999999997</v>
      </c>
      <c r="E41059" t="s">
        <v>31</v>
      </c>
    </row>
    <row r="41060" spans="1:5" x14ac:dyDescent="0.25">
      <c r="A41060" t="str">
        <f>HYPERLINK("https://www.773grp.com/globalSearch/MC10H109M/page-1", "MC10H109M")</f>
        <v>MC10H109M</v>
      </c>
      <c r="B41060" s="3" t="str">
        <f>HYPERLINK("https://www.773grp.com/manufacturer/onsemi?pageNo=420", "ON Semiconductor")</f>
        <v>ON Semiconductor</v>
      </c>
      <c r="C41060" s="6">
        <v>650</v>
      </c>
      <c r="D41060" s="7">
        <v>4.6399999999999997</v>
      </c>
      <c r="E41060" t="s">
        <v>31</v>
      </c>
    </row>
    <row r="41061" spans="1:5" x14ac:dyDescent="0.25">
      <c r="A41061" t="str">
        <f>HYPERLINK("https://www.773grp.com/globalSearch/MC10H113FN/page-1", "MC10H113FN")</f>
        <v>MC10H113FN</v>
      </c>
      <c r="B41061" s="3" t="str">
        <f>HYPERLINK("https://www.773grp.com/manufacturer/onsemi?pageNo=421", "ON Semiconductor")</f>
        <v>ON Semiconductor</v>
      </c>
      <c r="C41061" s="6">
        <v>3350</v>
      </c>
      <c r="D41061" s="7">
        <v>4.6399999999999997</v>
      </c>
      <c r="E41061" t="s">
        <v>31</v>
      </c>
    </row>
    <row r="41062" spans="1:5" x14ac:dyDescent="0.25">
      <c r="A41062" t="str">
        <f>HYPERLINK("https://www.773grp.com/globalSearch/MC10H113M/page-1", "MC10H113M")</f>
        <v>MC10H113M</v>
      </c>
      <c r="B41062" s="3" t="str">
        <f>HYPERLINK("https://www.773grp.com/manufacturer/onsemi?pageNo=422", "ON Semiconductor")</f>
        <v>ON Semiconductor</v>
      </c>
      <c r="C41062" s="6">
        <v>1932</v>
      </c>
      <c r="D41062" s="7">
        <v>4.6399999999999997</v>
      </c>
      <c r="E41062" t="s">
        <v>31</v>
      </c>
    </row>
    <row r="41063" spans="1:5" x14ac:dyDescent="0.25">
      <c r="A41063" t="str">
        <f>HYPERLINK("https://www.773grp.com/globalSearch/MC10H113MEL/page-1", "MC10H113MEL")</f>
        <v>MC10H113MEL</v>
      </c>
      <c r="B41063" s="3" t="str">
        <f>HYPERLINK("https://www.773grp.com/manufacturer/onsemi?pageNo=423", "ON Semiconductor")</f>
        <v>ON Semiconductor</v>
      </c>
      <c r="C41063" s="6">
        <v>22000</v>
      </c>
      <c r="D41063" s="7">
        <v>4.6399999999999997</v>
      </c>
      <c r="E41063" t="s">
        <v>31</v>
      </c>
    </row>
    <row r="41064" spans="1:5" x14ac:dyDescent="0.25">
      <c r="A41064" t="str">
        <f>HYPERLINK("https://www.773grp.com/globalSearch/MC10H115FN/page-1", "MC10H115FN")</f>
        <v>MC10H115FN</v>
      </c>
      <c r="B41064" s="3" t="str">
        <f>HYPERLINK("https://www.773grp.com/manufacturer/onsemi?pageNo=424", "ON Semiconductor")</f>
        <v>ON Semiconductor</v>
      </c>
      <c r="C41064" s="6">
        <v>7728</v>
      </c>
      <c r="D41064" s="7">
        <v>4.6399999999999997</v>
      </c>
      <c r="E41064" t="s">
        <v>21</v>
      </c>
    </row>
    <row r="41065" spans="1:5" x14ac:dyDescent="0.25">
      <c r="A41065" t="str">
        <f>HYPERLINK("https://www.773grp.com/globalSearch/MC10H115M/page-1", "MC10H115M")</f>
        <v>MC10H115M</v>
      </c>
      <c r="B41065" s="3" t="str">
        <f>HYPERLINK("https://www.773grp.com/manufacturer/onsemi?pageNo=425", "ON Semiconductor")</f>
        <v>ON Semiconductor</v>
      </c>
      <c r="C41065" s="6">
        <v>1760</v>
      </c>
      <c r="D41065" s="7">
        <v>4.6399999999999997</v>
      </c>
      <c r="E41065" t="s">
        <v>21</v>
      </c>
    </row>
    <row r="41066" spans="1:5" x14ac:dyDescent="0.25">
      <c r="A41066" t="str">
        <f>HYPERLINK("https://www.773grp.com/globalSearch/MC10H115MEL/page-1", "MC10H115MEL")</f>
        <v>MC10H115MEL</v>
      </c>
      <c r="B41066" s="3" t="str">
        <f>HYPERLINK("https://www.773grp.com/manufacturer/onsemi?pageNo=426", "ON Semiconductor")</f>
        <v>ON Semiconductor</v>
      </c>
      <c r="C41066" s="6">
        <v>1987</v>
      </c>
      <c r="D41066" s="7">
        <v>4.6399999999999997</v>
      </c>
      <c r="E41066" t="s">
        <v>21</v>
      </c>
    </row>
    <row r="41067" spans="1:5" x14ac:dyDescent="0.25">
      <c r="A41067" t="str">
        <f>HYPERLINK("https://www.773grp.com/globalSearch/MC10H116FN/page-1", "MC10H116FN")</f>
        <v>MC10H116FN</v>
      </c>
      <c r="B41067" s="3" t="str">
        <f>HYPERLINK("https://www.773grp.com/manufacturer/onsemi?pageNo=427", "ON Semiconductor")</f>
        <v>ON Semiconductor</v>
      </c>
      <c r="C41067" s="6">
        <v>1414</v>
      </c>
      <c r="D41067" s="7">
        <v>4.6399999999999997</v>
      </c>
      <c r="E41067" t="s">
        <v>21</v>
      </c>
    </row>
    <row r="41068" spans="1:5" x14ac:dyDescent="0.25">
      <c r="A41068" t="str">
        <f>HYPERLINK("https://www.773grp.com/globalSearch/MC10H117FNR2/page-1", "MC10H117FNR2")</f>
        <v>MC10H117FNR2</v>
      </c>
      <c r="B41068" s="3" t="str">
        <f>HYPERLINK("https://www.773grp.com/manufacturer/onsemi?pageNo=428", "ON Semiconductor")</f>
        <v>ON Semiconductor</v>
      </c>
      <c r="C41068" s="6">
        <v>3000</v>
      </c>
      <c r="D41068" s="7">
        <v>4.6399999999999997</v>
      </c>
      <c r="E41068" t="s">
        <v>31</v>
      </c>
    </row>
    <row r="41069" spans="1:5" x14ac:dyDescent="0.25">
      <c r="A41069" t="str">
        <f>HYPERLINK("https://www.773grp.com/globalSearch/MC10H117M/page-1", "MC10H117M")</f>
        <v>MC10H117M</v>
      </c>
      <c r="B41069" s="3" t="str">
        <f>HYPERLINK("https://www.773grp.com/manufacturer/onsemi?pageNo=429", "ON Semiconductor")</f>
        <v>ON Semiconductor</v>
      </c>
      <c r="C41069" s="6">
        <v>109</v>
      </c>
      <c r="D41069" s="7">
        <v>4.6399999999999997</v>
      </c>
      <c r="E41069" t="s">
        <v>31</v>
      </c>
    </row>
    <row r="41070" spans="1:5" x14ac:dyDescent="0.25">
      <c r="A41070" t="str">
        <f>HYPERLINK("https://www.773grp.com/globalSearch/MJ15023/page-1", "MJ15023")</f>
        <v>MJ15023</v>
      </c>
      <c r="B41070" s="3" t="str">
        <f>HYPERLINK("https://www.773grp.com/manufacturer/onsemi?pageNo=430", "ON Semiconductor")</f>
        <v>ON Semiconductor</v>
      </c>
      <c r="C41070" s="6">
        <v>2106</v>
      </c>
      <c r="D41070" s="7">
        <v>4.6399999999999997</v>
      </c>
      <c r="E41070" t="s">
        <v>59</v>
      </c>
    </row>
    <row r="41071" spans="1:5" x14ac:dyDescent="0.25">
      <c r="A41071" t="str">
        <f>HYPERLINK("https://www.773grp.com/globalSearch/MJ21193/page-1", "MJ21193")</f>
        <v>MJ21193</v>
      </c>
      <c r="B41071" s="3" t="str">
        <f>HYPERLINK("https://www.773grp.com/manufacturer/onsemi?pageNo=431", "ON Semiconductor")</f>
        <v>ON Semiconductor</v>
      </c>
      <c r="C41071" s="6">
        <v>64</v>
      </c>
      <c r="D41071" s="7">
        <v>4.6399999999999997</v>
      </c>
      <c r="E41071" t="s">
        <v>59</v>
      </c>
    </row>
    <row r="41072" spans="1:5" x14ac:dyDescent="0.25">
      <c r="A41072" t="str">
        <f>HYPERLINK("https://www.773grp.com/globalSearch/MJ21194/page-1", "MJ21194")</f>
        <v>MJ21194</v>
      </c>
      <c r="B41072" s="3" t="str">
        <f>HYPERLINK("https://www.773grp.com/manufacturer/onsemi?pageNo=432", "ON Semiconductor")</f>
        <v>ON Semiconductor</v>
      </c>
      <c r="C41072" s="6">
        <v>6</v>
      </c>
      <c r="D41072" s="7">
        <v>4.6399999999999997</v>
      </c>
      <c r="E41072" t="s">
        <v>59</v>
      </c>
    </row>
    <row r="41073" spans="1:5" x14ac:dyDescent="0.25">
      <c r="A41073" t="str">
        <f>HYPERLINK("https://www.773grp.com/globalSearch/NCP3120MNTXG/page-1", "NCP3120MNTXG")</f>
        <v>NCP3120MNTXG</v>
      </c>
      <c r="B41073" s="3" t="str">
        <f>HYPERLINK("https://www.773grp.com/manufacturer/onsemi?pageNo=433", "ON Semiconductor")</f>
        <v>ON Semiconductor</v>
      </c>
      <c r="C41073" s="6">
        <v>116273</v>
      </c>
      <c r="D41073" s="7">
        <v>4.6399999999999997</v>
      </c>
      <c r="E41073" t="s">
        <v>7</v>
      </c>
    </row>
    <row r="41074" spans="1:5" x14ac:dyDescent="0.25">
      <c r="A41074" t="str">
        <f>HYPERLINK("https://www.773grp.com/globalSearch/NCV4279BDWG/page-1", "NCV4279BDWG")</f>
        <v>NCV4279BDWG</v>
      </c>
      <c r="B41074" s="3" t="str">
        <f>HYPERLINK("https://www.773grp.com/manufacturer/onsemi?pageNo=434", "ON Semiconductor")</f>
        <v>ON Semiconductor</v>
      </c>
      <c r="C41074" s="6">
        <v>228</v>
      </c>
      <c r="D41074" s="7">
        <v>4.6399999999999997</v>
      </c>
      <c r="E41074" t="s">
        <v>19</v>
      </c>
    </row>
    <row r="41075" spans="1:5" x14ac:dyDescent="0.25">
      <c r="A41075" t="str">
        <f>HYPERLINK("https://www.773grp.com/globalSearch/NTB6N60T4/page-1", "NTB6N60T4")</f>
        <v>NTB6N60T4</v>
      </c>
      <c r="B41075" s="3" t="str">
        <f>HYPERLINK("https://www.773grp.com/manufacturer/onsemi?pageNo=435", "ON Semiconductor")</f>
        <v>ON Semiconductor</v>
      </c>
      <c r="C41075" s="6">
        <v>6400</v>
      </c>
      <c r="D41075" s="7">
        <v>4.6399999999999997</v>
      </c>
      <c r="E41075" t="s">
        <v>105</v>
      </c>
    </row>
    <row r="41076" spans="1:5" x14ac:dyDescent="0.25">
      <c r="A41076" t="str">
        <f>HYPERLINK("https://www.773grp.com/globalSearch/SC63504L124/page-1", "SC63504L124")</f>
        <v>SC63504L124</v>
      </c>
      <c r="B41076" s="3" t="str">
        <f>HYPERLINK("https://www.773grp.com/manufacturer/onsemi?pageNo=436", "ON Semiconductor")</f>
        <v>ON Semiconductor</v>
      </c>
      <c r="C41076" s="6">
        <v>1547</v>
      </c>
      <c r="D41076" s="7">
        <v>4.6399999999999997</v>
      </c>
    </row>
    <row r="41077" spans="1:5" x14ac:dyDescent="0.25">
      <c r="A41077" t="str">
        <f>HYPERLINK("https://www.773grp.com/globalSearch/ADT7484AARMZ-R7/page-1", "ADT7484AARMZ-R7")</f>
        <v>ADT7484AARMZ-R7</v>
      </c>
      <c r="B41077" s="3" t="str">
        <f>HYPERLINK("https://www.773grp.com/manufacturer/onsemi?pageNo=437", "ON Semiconductor")</f>
        <v>ON Semiconductor</v>
      </c>
      <c r="C41077" s="6">
        <v>29000</v>
      </c>
      <c r="D41077" s="7">
        <v>4.2300000000000004</v>
      </c>
      <c r="E41077" t="s">
        <v>12</v>
      </c>
    </row>
    <row r="41078" spans="1:5" x14ac:dyDescent="0.25">
      <c r="A41078" t="str">
        <f>HYPERLINK("https://www.773grp.com/globalSearch/ADT7484AARMZ-R7/page-1", "ADT7484AARMZ-R7")</f>
        <v>ADT7484AARMZ-R7</v>
      </c>
      <c r="B41078" s="3" t="str">
        <f>HYPERLINK("https://www.773grp.com/manufacturer/onsemi?pageNo=438", "ON Semiconductor")</f>
        <v>ON Semiconductor</v>
      </c>
      <c r="C41078" s="6">
        <v>4900</v>
      </c>
      <c r="D41078" s="7">
        <v>4.2300000000000004</v>
      </c>
      <c r="E41078" t="s">
        <v>12</v>
      </c>
    </row>
    <row r="41079" spans="1:5" x14ac:dyDescent="0.25">
      <c r="A41079" t="str">
        <f>HYPERLINK("https://www.773grp.com/globalSearch/ADT7488AARMZ-RL7/page-1", "ADT7488AARMZ-RL7")</f>
        <v>ADT7488AARMZ-RL7</v>
      </c>
      <c r="B41079" s="3" t="str">
        <f>HYPERLINK("https://www.773grp.com/manufacturer/onsemi?pageNo=439", "ON Semiconductor")</f>
        <v>ON Semiconductor</v>
      </c>
      <c r="C41079" s="6">
        <v>10000</v>
      </c>
      <c r="D41079" s="7">
        <v>4.2300000000000004</v>
      </c>
    </row>
    <row r="41080" spans="1:5" x14ac:dyDescent="0.25">
      <c r="A41080" t="str">
        <f>HYPERLINK("https://www.773grp.com/globalSearch/CS5157HGD16G/page-1", "CS5157HGD16G")</f>
        <v>CS5157HGD16G</v>
      </c>
      <c r="B41080" s="3" t="str">
        <f>HYPERLINK("https://www.773grp.com/manufacturer/onsemi?pageNo=440", "ON Semiconductor")</f>
        <v>ON Semiconductor</v>
      </c>
      <c r="C41080" s="6">
        <v>1296</v>
      </c>
      <c r="D41080" s="7">
        <v>4.2300000000000004</v>
      </c>
      <c r="E41080" t="s">
        <v>7</v>
      </c>
    </row>
    <row r="41081" spans="1:5" x14ac:dyDescent="0.25">
      <c r="A41081" t="str">
        <f>HYPERLINK("https://www.773grp.com/globalSearch/CS5157HGDR16G/page-1", "CS5157HGDR16G")</f>
        <v>CS5157HGDR16G</v>
      </c>
      <c r="B41081" s="3" t="str">
        <f>HYPERLINK("https://www.773grp.com/manufacturer/onsemi?pageNo=441", "ON Semiconductor")</f>
        <v>ON Semiconductor</v>
      </c>
      <c r="C41081" s="6">
        <v>1874</v>
      </c>
      <c r="D41081" s="7">
        <v>4.2300000000000004</v>
      </c>
      <c r="E41081" t="s">
        <v>7</v>
      </c>
    </row>
    <row r="41082" spans="1:5" x14ac:dyDescent="0.25">
      <c r="A41082" t="str">
        <f>HYPERLINK("https://www.773grp.com/globalSearch/CS8129YDW16G/page-1", "CS8129YDW16G")</f>
        <v>CS8129YDW16G</v>
      </c>
      <c r="B41082" s="3" t="str">
        <f>HYPERLINK("https://www.773grp.com/manufacturer/onsemi?pageNo=442", "ON Semiconductor")</f>
        <v>ON Semiconductor</v>
      </c>
      <c r="C41082" s="6">
        <v>457</v>
      </c>
      <c r="D41082" s="7">
        <v>4.2300000000000004</v>
      </c>
      <c r="E41082" t="s">
        <v>19</v>
      </c>
    </row>
    <row r="41083" spans="1:5" x14ac:dyDescent="0.25">
      <c r="A41083" t="str">
        <f>HYPERLINK("https://www.773grp.com/globalSearch/CS8183YDWF20G/page-1", "CS8183YDWF20G")</f>
        <v>CS8183YDWF20G</v>
      </c>
      <c r="B41083" s="3" t="str">
        <f>HYPERLINK("https://www.773grp.com/manufacturer/onsemi?pageNo=443", "ON Semiconductor")</f>
        <v>ON Semiconductor</v>
      </c>
      <c r="C41083" s="6">
        <v>1429</v>
      </c>
      <c r="D41083" s="7">
        <v>4.2300000000000004</v>
      </c>
      <c r="E41083" t="s">
        <v>116</v>
      </c>
    </row>
    <row r="41084" spans="1:5" x14ac:dyDescent="0.25">
      <c r="A41084" t="str">
        <f>HYPERLINK("https://www.773grp.com/globalSearch/CS8183YDWFR20G/page-1", "CS8183YDWFR20G")</f>
        <v>CS8183YDWFR20G</v>
      </c>
      <c r="B41084" s="3" t="str">
        <f>HYPERLINK("https://www.773grp.com/manufacturer/onsemi?pageNo=444", "ON Semiconductor")</f>
        <v>ON Semiconductor</v>
      </c>
      <c r="C41084" s="6">
        <v>3960</v>
      </c>
      <c r="D41084" s="7">
        <v>4.2300000000000004</v>
      </c>
      <c r="E41084" t="s">
        <v>116</v>
      </c>
    </row>
    <row r="41085" spans="1:5" x14ac:dyDescent="0.25">
      <c r="A41085" t="str">
        <f>HYPERLINK("https://www.773grp.com/globalSearch/JDX5005/page-1", "JDX5005")</f>
        <v>JDX5005</v>
      </c>
      <c r="B41085" s="3" t="str">
        <f>HYPERLINK("https://www.773grp.com/manufacturer/onsemi?pageNo=445", "ON Semiconductor")</f>
        <v>ON Semiconductor</v>
      </c>
      <c r="C41085" s="6">
        <v>88792</v>
      </c>
      <c r="D41085" s="7">
        <v>4.2300000000000004</v>
      </c>
    </row>
    <row r="41086" spans="1:5" x14ac:dyDescent="0.25">
      <c r="A41086" t="str">
        <f>HYPERLINK("https://www.773grp.com/globalSearch/JDX5014/page-1", "JDX5014")</f>
        <v>JDX5014</v>
      </c>
      <c r="B41086" s="3" t="str">
        <f>HYPERLINK("https://www.773grp.com/manufacturer/onsemi?pageNo=446", "ON Semiconductor")</f>
        <v>ON Semiconductor</v>
      </c>
      <c r="C41086" s="6">
        <v>65</v>
      </c>
      <c r="D41086" s="7">
        <v>4.2300000000000004</v>
      </c>
    </row>
    <row r="41087" spans="1:5" x14ac:dyDescent="0.25">
      <c r="A41087" t="str">
        <f>HYPERLINK("https://www.773grp.com/globalSearch/LB1843V-MPB-E/page-1", "LB1843V-MPB-E")</f>
        <v>LB1843V-MPB-E</v>
      </c>
      <c r="B41087" s="3" t="str">
        <f>HYPERLINK("https://www.773grp.com/manufacturer/onsemi?pageNo=447", "ON Semiconductor")</f>
        <v>ON Semiconductor</v>
      </c>
      <c r="C41087" s="6">
        <v>58</v>
      </c>
      <c r="D41087" s="7">
        <v>4.2300000000000004</v>
      </c>
    </row>
    <row r="41088" spans="1:5" x14ac:dyDescent="0.25">
      <c r="A41088" t="str">
        <f>HYPERLINK("https://www.773grp.com/globalSearch/LB1843V-TLM-E/page-1", "LB1843V-TLM-E")</f>
        <v>LB1843V-TLM-E</v>
      </c>
      <c r="B41088" s="3" t="str">
        <f>HYPERLINK("https://www.773grp.com/manufacturer/onsemi?pageNo=448", "ON Semiconductor")</f>
        <v>ON Semiconductor</v>
      </c>
      <c r="C41088" s="6">
        <v>2000</v>
      </c>
      <c r="D41088" s="7">
        <v>4.2300000000000004</v>
      </c>
    </row>
    <row r="41089" spans="1:5" x14ac:dyDescent="0.25">
      <c r="A41089" t="str">
        <f>HYPERLINK("https://www.773grp.com/globalSearch/MBR3045WTG/page-1", "MBR3045WTG")</f>
        <v>MBR3045WTG</v>
      </c>
      <c r="B41089" s="3" t="str">
        <f>HYPERLINK("https://www.773grp.com/manufacturer/onsemi?pageNo=449", "ON Semiconductor")</f>
        <v>ON Semiconductor</v>
      </c>
      <c r="C41089" s="6">
        <v>4470</v>
      </c>
      <c r="D41089" s="7">
        <v>4.2300000000000004</v>
      </c>
      <c r="E41089" t="s">
        <v>103</v>
      </c>
    </row>
    <row r="41090" spans="1:5" x14ac:dyDescent="0.25">
      <c r="A41090" t="str">
        <f>HYPERLINK("https://www.773grp.com/globalSearch/MBRF20200CT/page-1", "MBRF20200CT")</f>
        <v>MBRF20200CT</v>
      </c>
      <c r="B41090" s="3" t="str">
        <f>HYPERLINK("https://www.773grp.com/manufacturer/onsemi?pageNo=450", "ON Semiconductor")</f>
        <v>ON Semiconductor</v>
      </c>
      <c r="C41090" s="6">
        <v>9670</v>
      </c>
      <c r="D41090" s="7">
        <v>4.2300000000000004</v>
      </c>
      <c r="E41090" t="s">
        <v>103</v>
      </c>
    </row>
    <row r="41091" spans="1:5" x14ac:dyDescent="0.25">
      <c r="A41091" t="str">
        <f>HYPERLINK("https://www.773grp.com/globalSearch/MC100EL58D/page-1", "MC100EL58D")</f>
        <v>MC100EL58D</v>
      </c>
      <c r="B41091" s="3" t="str">
        <f>HYPERLINK("https://www.773grp.com/manufacturer/onsemi?pageNo=451", "ON Semiconductor")</f>
        <v>ON Semiconductor</v>
      </c>
      <c r="C41091" s="6">
        <v>6466</v>
      </c>
      <c r="D41091" s="7">
        <v>4.2300000000000004</v>
      </c>
      <c r="E41091" t="s">
        <v>20</v>
      </c>
    </row>
    <row r="41092" spans="1:5" x14ac:dyDescent="0.25">
      <c r="A41092" t="str">
        <f>HYPERLINK("https://www.773grp.com/globalSearch/MC100EL58DR2/page-1", "MC100EL58DR2")</f>
        <v>MC100EL58DR2</v>
      </c>
      <c r="B41092" s="3" t="str">
        <f>HYPERLINK("https://www.773grp.com/manufacturer/onsemi?pageNo=452", "ON Semiconductor")</f>
        <v>ON Semiconductor</v>
      </c>
      <c r="C41092" s="6">
        <v>20228</v>
      </c>
      <c r="D41092" s="7">
        <v>4.2300000000000004</v>
      </c>
      <c r="E41092" t="s">
        <v>20</v>
      </c>
    </row>
    <row r="41093" spans="1:5" x14ac:dyDescent="0.25">
      <c r="A41093" t="str">
        <f>HYPERLINK("https://www.773grp.com/globalSearch/MC100EL58DT/page-1", "MC100EL58DT")</f>
        <v>MC100EL58DT</v>
      </c>
      <c r="B41093" s="3" t="str">
        <f>HYPERLINK("https://www.773grp.com/manufacturer/onsemi?pageNo=453", "ON Semiconductor")</f>
        <v>ON Semiconductor</v>
      </c>
      <c r="C41093" s="6">
        <v>1526</v>
      </c>
      <c r="D41093" s="7">
        <v>4.2300000000000004</v>
      </c>
      <c r="E41093" t="s">
        <v>20</v>
      </c>
    </row>
    <row r="41094" spans="1:5" x14ac:dyDescent="0.25">
      <c r="A41094" t="str">
        <f>HYPERLINK("https://www.773grp.com/globalSearch/MC100ELT20DG/page-1", "MC100ELT20DG")</f>
        <v>MC100ELT20DG</v>
      </c>
      <c r="B41094" s="3" t="str">
        <f>HYPERLINK("https://www.773grp.com/manufacturer/onsemi?pageNo=454", "ON Semiconductor")</f>
        <v>ON Semiconductor</v>
      </c>
      <c r="C41094" s="6">
        <v>12558</v>
      </c>
      <c r="D41094" s="7">
        <v>4.2300000000000004</v>
      </c>
      <c r="E41094" t="s">
        <v>73</v>
      </c>
    </row>
    <row r="41095" spans="1:5" x14ac:dyDescent="0.25">
      <c r="A41095" t="str">
        <f>HYPERLINK("https://www.773grp.com/globalSearch/MC100ELT20DR2G/page-1", "MC100ELT20DR2G")</f>
        <v>MC100ELT20DR2G</v>
      </c>
      <c r="B41095" s="3" t="str">
        <f>HYPERLINK("https://www.773grp.com/manufacturer/onsemi?pageNo=455", "ON Semiconductor")</f>
        <v>ON Semiconductor</v>
      </c>
      <c r="C41095" s="6">
        <v>2500</v>
      </c>
      <c r="D41095" s="7">
        <v>4.2300000000000004</v>
      </c>
    </row>
    <row r="41096" spans="1:5" x14ac:dyDescent="0.25">
      <c r="A41096" t="str">
        <f>HYPERLINK("https://www.773grp.com/globalSearch/MC100ELT20DTG/page-1", "MC100ELT20DTG")</f>
        <v>MC100ELT20DTG</v>
      </c>
      <c r="B41096" s="3" t="str">
        <f>HYPERLINK("https://www.773grp.com/manufacturer/onsemi?pageNo=456", "ON Semiconductor")</f>
        <v>ON Semiconductor</v>
      </c>
      <c r="C41096" s="6">
        <v>5156</v>
      </c>
      <c r="D41096" s="7">
        <v>4.2300000000000004</v>
      </c>
      <c r="E41096" t="s">
        <v>73</v>
      </c>
    </row>
    <row r="41097" spans="1:5" x14ac:dyDescent="0.25">
      <c r="A41097" t="str">
        <f>HYPERLINK("https://www.773grp.com/globalSearch/MC100ELT20DTR2G/page-1", "MC100ELT20DTR2G")</f>
        <v>MC100ELT20DTR2G</v>
      </c>
      <c r="B41097" s="3" t="str">
        <f>HYPERLINK("https://www.773grp.com/manufacturer/onsemi?pageNo=457", "ON Semiconductor")</f>
        <v>ON Semiconductor</v>
      </c>
      <c r="C41097" s="6">
        <v>4400</v>
      </c>
      <c r="D41097" s="7">
        <v>4.2300000000000004</v>
      </c>
      <c r="E41097" t="s">
        <v>73</v>
      </c>
    </row>
    <row r="41098" spans="1:5" x14ac:dyDescent="0.25">
      <c r="A41098" t="str">
        <f>HYPERLINK("https://www.773grp.com/globalSearch/MC100ELT21DG/page-1", "MC100ELT21DG")</f>
        <v>MC100ELT21DG</v>
      </c>
      <c r="B41098" s="3" t="str">
        <f>HYPERLINK("https://www.773grp.com/manufacturer/onsemi?pageNo=458", "ON Semiconductor")</f>
        <v>ON Semiconductor</v>
      </c>
      <c r="C41098" s="6">
        <v>97</v>
      </c>
      <c r="D41098" s="7">
        <v>4.2300000000000004</v>
      </c>
      <c r="E41098" t="s">
        <v>73</v>
      </c>
    </row>
    <row r="41099" spans="1:5" x14ac:dyDescent="0.25">
      <c r="A41099" t="str">
        <f>HYPERLINK("https://www.773grp.com/globalSearch/MC100ELT21DR2G/page-1", "MC100ELT21DR2G")</f>
        <v>MC100ELT21DR2G</v>
      </c>
      <c r="B41099" s="3" t="str">
        <f>HYPERLINK("https://www.773grp.com/manufacturer/onsemi?pageNo=459", "ON Semiconductor")</f>
        <v>ON Semiconductor</v>
      </c>
      <c r="C41099" s="6">
        <v>3831</v>
      </c>
      <c r="D41099" s="7">
        <v>4.2300000000000004</v>
      </c>
      <c r="E41099" t="s">
        <v>73</v>
      </c>
    </row>
    <row r="41100" spans="1:5" x14ac:dyDescent="0.25">
      <c r="A41100" t="str">
        <f>HYPERLINK("https://www.773grp.com/globalSearch/MC100ELT21DTG/page-1", "MC100ELT21DTG")</f>
        <v>MC100ELT21DTG</v>
      </c>
      <c r="B41100" s="3" t="str">
        <f>HYPERLINK("https://www.773grp.com/manufacturer/onsemi?pageNo=460", "ON Semiconductor")</f>
        <v>ON Semiconductor</v>
      </c>
      <c r="C41100" s="6">
        <v>1900</v>
      </c>
      <c r="D41100" s="7">
        <v>4.2300000000000004</v>
      </c>
      <c r="E41100" t="s">
        <v>73</v>
      </c>
    </row>
    <row r="41101" spans="1:5" x14ac:dyDescent="0.25">
      <c r="A41101" t="str">
        <f>HYPERLINK("https://www.773grp.com/globalSearch/MC100ELT21DTR2G/page-1", "MC100ELT21DTR2G")</f>
        <v>MC100ELT21DTR2G</v>
      </c>
      <c r="B41101" s="3" t="str">
        <f>HYPERLINK("https://www.773grp.com/manufacturer/onsemi?pageNo=461", "ON Semiconductor")</f>
        <v>ON Semiconductor</v>
      </c>
      <c r="C41101" s="6">
        <v>4930</v>
      </c>
      <c r="D41101" s="7">
        <v>4.2300000000000004</v>
      </c>
      <c r="E41101" t="s">
        <v>73</v>
      </c>
    </row>
    <row r="41102" spans="1:5" x14ac:dyDescent="0.25">
      <c r="A41102" t="str">
        <f>HYPERLINK("https://www.773grp.com/globalSearch/MC100ELT22DG/page-1", "MC100ELT22DG")</f>
        <v>MC100ELT22DG</v>
      </c>
      <c r="B41102" s="3" t="str">
        <f>HYPERLINK("https://www.773grp.com/manufacturer/onsemi?pageNo=462", "ON Semiconductor")</f>
        <v>ON Semiconductor</v>
      </c>
      <c r="C41102" s="6">
        <v>14137</v>
      </c>
      <c r="D41102" s="7">
        <v>4.2300000000000004</v>
      </c>
      <c r="E41102" t="s">
        <v>73</v>
      </c>
    </row>
    <row r="41103" spans="1:5" x14ac:dyDescent="0.25">
      <c r="A41103" t="str">
        <f>HYPERLINK("https://www.773grp.com/globalSearch/MC100ELT22DR2G/page-1", "MC100ELT22DR2G")</f>
        <v>MC100ELT22DR2G</v>
      </c>
      <c r="B41103" s="3" t="str">
        <f>HYPERLINK("https://www.773grp.com/manufacturer/onsemi?pageNo=463", "ON Semiconductor")</f>
        <v>ON Semiconductor</v>
      </c>
      <c r="C41103" s="6">
        <v>4406</v>
      </c>
      <c r="D41103" s="7">
        <v>4.2300000000000004</v>
      </c>
      <c r="E41103" t="s">
        <v>73</v>
      </c>
    </row>
    <row r="41104" spans="1:5" x14ac:dyDescent="0.25">
      <c r="A41104" t="str">
        <f>HYPERLINK("https://www.773grp.com/globalSearch/MC100ELT22DTG/page-1", "MC100ELT22DTG")</f>
        <v>MC100ELT22DTG</v>
      </c>
      <c r="B41104" s="3" t="str">
        <f>HYPERLINK("https://www.773grp.com/manufacturer/onsemi?pageNo=464", "ON Semiconductor")</f>
        <v>ON Semiconductor</v>
      </c>
      <c r="C41104" s="6">
        <v>155</v>
      </c>
      <c r="D41104" s="7">
        <v>4.2300000000000004</v>
      </c>
      <c r="E41104" t="s">
        <v>73</v>
      </c>
    </row>
    <row r="41105" spans="1:5" x14ac:dyDescent="0.25">
      <c r="A41105" t="str">
        <f>HYPERLINK("https://www.773grp.com/globalSearch/MC100ELT22DTR2G/page-1", "MC100ELT22DTR2G")</f>
        <v>MC100ELT22DTR2G</v>
      </c>
      <c r="B41105" s="3" t="str">
        <f>HYPERLINK("https://www.773grp.com/manufacturer/onsemi?pageNo=465", "ON Semiconductor")</f>
        <v>ON Semiconductor</v>
      </c>
      <c r="C41105" s="6">
        <v>1235</v>
      </c>
      <c r="D41105" s="7">
        <v>4.2300000000000004</v>
      </c>
      <c r="E41105" t="s">
        <v>73</v>
      </c>
    </row>
    <row r="41106" spans="1:5" x14ac:dyDescent="0.25">
      <c r="A41106" t="str">
        <f>HYPERLINK("https://www.773grp.com/globalSearch/MC100ELT23DG/page-1", "MC100ELT23DG")</f>
        <v>MC100ELT23DG</v>
      </c>
      <c r="B41106" s="3" t="str">
        <f>HYPERLINK("https://www.773grp.com/manufacturer/onsemi?pageNo=466", "ON Semiconductor")</f>
        <v>ON Semiconductor</v>
      </c>
      <c r="C41106" s="6">
        <v>17681</v>
      </c>
      <c r="D41106" s="7">
        <v>4.2300000000000004</v>
      </c>
      <c r="E41106" t="s">
        <v>73</v>
      </c>
    </row>
    <row r="41107" spans="1:5" x14ac:dyDescent="0.25">
      <c r="A41107" t="str">
        <f>HYPERLINK("https://www.773grp.com/globalSearch/MC100ELT23DTG/page-1", "MC100ELT23DTG")</f>
        <v>MC100ELT23DTG</v>
      </c>
      <c r="B41107" s="3" t="str">
        <f>HYPERLINK("https://www.773grp.com/manufacturer/onsemi?pageNo=467", "ON Semiconductor")</f>
        <v>ON Semiconductor</v>
      </c>
      <c r="C41107" s="6">
        <v>120</v>
      </c>
      <c r="D41107" s="7">
        <v>4.2300000000000004</v>
      </c>
      <c r="E41107" t="s">
        <v>73</v>
      </c>
    </row>
    <row r="41108" spans="1:5" x14ac:dyDescent="0.25">
      <c r="A41108" t="str">
        <f>HYPERLINK("https://www.773grp.com/globalSearch/MC100ELT23DTR2G/page-1", "MC100ELT23DTR2G")</f>
        <v>MC100ELT23DTR2G</v>
      </c>
      <c r="B41108" s="3" t="str">
        <f>HYPERLINK("https://www.773grp.com/manufacturer/onsemi?pageNo=468", "ON Semiconductor")</f>
        <v>ON Semiconductor</v>
      </c>
      <c r="C41108" s="6">
        <v>27500</v>
      </c>
      <c r="D41108" s="7">
        <v>4.2300000000000004</v>
      </c>
      <c r="E41108" t="s">
        <v>73</v>
      </c>
    </row>
    <row r="41109" spans="1:5" x14ac:dyDescent="0.25">
      <c r="A41109" t="str">
        <f>HYPERLINK("https://www.773grp.com/globalSearch/MC100ELT24DG/page-1", "MC100ELT24DG")</f>
        <v>MC100ELT24DG</v>
      </c>
      <c r="B41109" s="3" t="str">
        <f>HYPERLINK("https://www.773grp.com/manufacturer/onsemi?pageNo=469", "ON Semiconductor")</f>
        <v>ON Semiconductor</v>
      </c>
      <c r="C41109" s="6">
        <v>937</v>
      </c>
      <c r="D41109" s="7">
        <v>4.2300000000000004</v>
      </c>
      <c r="E41109" t="s">
        <v>73</v>
      </c>
    </row>
    <row r="41110" spans="1:5" x14ac:dyDescent="0.25">
      <c r="A41110" t="str">
        <f>HYPERLINK("https://www.773grp.com/globalSearch/MC100ELT24DR2G/page-1", "MC100ELT24DR2G")</f>
        <v>MC100ELT24DR2G</v>
      </c>
      <c r="B41110" s="3" t="str">
        <f>HYPERLINK("https://www.773grp.com/manufacturer/onsemi?pageNo=470", "ON Semiconductor")</f>
        <v>ON Semiconductor</v>
      </c>
      <c r="C41110" s="6">
        <v>2500</v>
      </c>
      <c r="D41110" s="7">
        <v>4.2300000000000004</v>
      </c>
      <c r="E41110" t="s">
        <v>73</v>
      </c>
    </row>
    <row r="41111" spans="1:5" x14ac:dyDescent="0.25">
      <c r="A41111" t="str">
        <f>HYPERLINK("https://www.773grp.com/globalSearch/MC100ELT24DTG/page-1", "MC100ELT24DTG")</f>
        <v>MC100ELT24DTG</v>
      </c>
      <c r="B41111" s="3" t="str">
        <f>HYPERLINK("https://www.773grp.com/manufacturer/onsemi?pageNo=471", "ON Semiconductor")</f>
        <v>ON Semiconductor</v>
      </c>
      <c r="C41111" s="6">
        <v>499</v>
      </c>
      <c r="D41111" s="7">
        <v>4.2300000000000004</v>
      </c>
      <c r="E41111" t="s">
        <v>73</v>
      </c>
    </row>
    <row r="41112" spans="1:5" x14ac:dyDescent="0.25">
      <c r="A41112" t="str">
        <f>HYPERLINK("https://www.773grp.com/globalSearch/MC100ELT24DTR2G/page-1", "MC100ELT24DTR2G")</f>
        <v>MC100ELT24DTR2G</v>
      </c>
      <c r="B41112" s="3" t="str">
        <f>HYPERLINK("https://www.773grp.com/manufacturer/onsemi?pageNo=472", "ON Semiconductor")</f>
        <v>ON Semiconductor</v>
      </c>
      <c r="C41112" s="6">
        <v>2448</v>
      </c>
      <c r="D41112" s="7">
        <v>4.2300000000000004</v>
      </c>
      <c r="E41112" t="s">
        <v>73</v>
      </c>
    </row>
    <row r="41113" spans="1:5" x14ac:dyDescent="0.25">
      <c r="A41113" t="str">
        <f>HYPERLINK("https://www.773grp.com/globalSearch/MC100ELT24MNR4G/page-1", "MC100ELT24MNR4G")</f>
        <v>MC100ELT24MNR4G</v>
      </c>
      <c r="B41113" s="3" t="str">
        <f>HYPERLINK("https://www.773grp.com/manufacturer/onsemi?pageNo=473", "ON Semiconductor")</f>
        <v>ON Semiconductor</v>
      </c>
      <c r="C41113" s="6">
        <v>3000</v>
      </c>
      <c r="D41113" s="7">
        <v>4.2300000000000004</v>
      </c>
      <c r="E41113" t="s">
        <v>73</v>
      </c>
    </row>
    <row r="41114" spans="1:5" x14ac:dyDescent="0.25">
      <c r="A41114" t="str">
        <f>HYPERLINK("https://www.773grp.com/globalSearch/MC100ELT25DG/page-1", "MC100ELT25DG")</f>
        <v>MC100ELT25DG</v>
      </c>
      <c r="B41114" s="3" t="str">
        <f>HYPERLINK("https://www.773grp.com/manufacturer/onsemi?pageNo=474", "ON Semiconductor")</f>
        <v>ON Semiconductor</v>
      </c>
      <c r="C41114" s="6">
        <v>1381</v>
      </c>
      <c r="D41114" s="7">
        <v>4.2300000000000004</v>
      </c>
      <c r="E41114" t="s">
        <v>73</v>
      </c>
    </row>
    <row r="41115" spans="1:5" x14ac:dyDescent="0.25">
      <c r="A41115" t="str">
        <f>HYPERLINK("https://www.773grp.com/globalSearch/MC100ELT25DTG/page-1", "MC100ELT25DTG")</f>
        <v>MC100ELT25DTG</v>
      </c>
      <c r="B41115" s="3" t="str">
        <f>HYPERLINK("https://www.773grp.com/manufacturer/onsemi?pageNo=475", "ON Semiconductor")</f>
        <v>ON Semiconductor</v>
      </c>
      <c r="C41115" s="6">
        <v>300</v>
      </c>
      <c r="D41115" s="7">
        <v>4.2300000000000004</v>
      </c>
      <c r="E41115" t="s">
        <v>73</v>
      </c>
    </row>
    <row r="41116" spans="1:5" x14ac:dyDescent="0.25">
      <c r="A41116" t="str">
        <f>HYPERLINK("https://www.773grp.com/globalSearch/MC100ELT25MNR4G/page-1", "MC100ELT25MNR4G")</f>
        <v>MC100ELT25MNR4G</v>
      </c>
      <c r="B41116" s="3" t="str">
        <f>HYPERLINK("https://www.773grp.com/manufacturer/onsemi?pageNo=476", "ON Semiconductor")</f>
        <v>ON Semiconductor</v>
      </c>
      <c r="C41116" s="6">
        <v>3800</v>
      </c>
      <c r="D41116" s="7">
        <v>4.2300000000000004</v>
      </c>
      <c r="E41116" t="s">
        <v>73</v>
      </c>
    </row>
    <row r="41117" spans="1:5" x14ac:dyDescent="0.25">
      <c r="A41117" t="str">
        <f>HYPERLINK("https://www.773grp.com/globalSearch/MC100ELT28D/page-1", "MC100ELT28D")</f>
        <v>MC100ELT28D</v>
      </c>
      <c r="B41117" s="3" t="str">
        <f>HYPERLINK("https://www.773grp.com/manufacturer/onsemi?pageNo=477", "ON Semiconductor")</f>
        <v>ON Semiconductor</v>
      </c>
      <c r="C41117" s="6">
        <v>3317</v>
      </c>
      <c r="D41117" s="7">
        <v>4.2300000000000004</v>
      </c>
      <c r="E41117" t="s">
        <v>73</v>
      </c>
    </row>
    <row r="41118" spans="1:5" x14ac:dyDescent="0.25">
      <c r="A41118" t="str">
        <f>HYPERLINK("https://www.773grp.com/globalSearch/MC100ELT28DT/page-1", "MC100ELT28DT")</f>
        <v>MC100ELT28DT</v>
      </c>
      <c r="B41118" s="3" t="str">
        <f>HYPERLINK("https://www.773grp.com/manufacturer/onsemi?pageNo=478", "ON Semiconductor")</f>
        <v>ON Semiconductor</v>
      </c>
      <c r="C41118" s="6">
        <v>100</v>
      </c>
      <c r="D41118" s="7">
        <v>4.2300000000000004</v>
      </c>
      <c r="E41118" t="s">
        <v>73</v>
      </c>
    </row>
    <row r="41119" spans="1:5" x14ac:dyDescent="0.25">
      <c r="A41119" t="str">
        <f>HYPERLINK("https://www.773grp.com/globalSearch/MC100EP16DR2/page-1", "MC100EP16DR2")</f>
        <v>MC100EP16DR2</v>
      </c>
      <c r="B41119" s="3" t="str">
        <f>HYPERLINK("https://www.773grp.com/manufacturer/onsemi?pageNo=479", "ON Semiconductor")</f>
        <v>ON Semiconductor</v>
      </c>
      <c r="C41119" s="6">
        <v>9750</v>
      </c>
      <c r="D41119" s="7">
        <v>4.2300000000000004</v>
      </c>
      <c r="E41119" t="s">
        <v>21</v>
      </c>
    </row>
    <row r="41120" spans="1:5" x14ac:dyDescent="0.25">
      <c r="A41120" t="str">
        <f>HYPERLINK("https://www.773grp.com/globalSearch/MC100EP16VADR2/page-1", "MC100EP16VADR2")</f>
        <v>MC100EP16VADR2</v>
      </c>
      <c r="B41120" s="3" t="str">
        <f>HYPERLINK("https://www.773grp.com/manufacturer/onsemi?pageNo=480", "ON Semiconductor")</f>
        <v>ON Semiconductor</v>
      </c>
      <c r="C41120" s="6">
        <v>2500</v>
      </c>
      <c r="D41120" s="7">
        <v>4.2300000000000004</v>
      </c>
      <c r="E41120" t="s">
        <v>21</v>
      </c>
    </row>
    <row r="41121" spans="1:5" x14ac:dyDescent="0.25">
      <c r="A41121" t="str">
        <f>HYPERLINK("https://www.773grp.com/globalSearch/MC100EP16VADT/page-1", "MC100EP16VADT")</f>
        <v>MC100EP16VADT</v>
      </c>
      <c r="B41121" s="3" t="str">
        <f>HYPERLINK("https://www.773grp.com/manufacturer/onsemi?pageNo=481", "ON Semiconductor")</f>
        <v>ON Semiconductor</v>
      </c>
      <c r="C41121" s="6">
        <v>684</v>
      </c>
      <c r="D41121" s="7">
        <v>4.2300000000000004</v>
      </c>
      <c r="E41121" t="s">
        <v>21</v>
      </c>
    </row>
    <row r="41122" spans="1:5" x14ac:dyDescent="0.25">
      <c r="A41122" t="str">
        <f>HYPERLINK("https://www.773grp.com/globalSearch/MC100EP16VBD/page-1", "MC100EP16VBD")</f>
        <v>MC100EP16VBD</v>
      </c>
      <c r="B41122" s="3" t="str">
        <f>HYPERLINK("https://www.773grp.com/manufacturer/onsemi?pageNo=482", "ON Semiconductor")</f>
        <v>ON Semiconductor</v>
      </c>
      <c r="C41122" s="6">
        <v>10428</v>
      </c>
      <c r="D41122" s="7">
        <v>4.2300000000000004</v>
      </c>
      <c r="E41122" t="s">
        <v>21</v>
      </c>
    </row>
    <row r="41123" spans="1:5" x14ac:dyDescent="0.25">
      <c r="A41123" t="str">
        <f>HYPERLINK("https://www.773grp.com/globalSearch/MC100EP16VBDT/page-1", "MC100EP16VBDT")</f>
        <v>MC100EP16VBDT</v>
      </c>
      <c r="B41123" s="3" t="str">
        <f>HYPERLINK("https://www.773grp.com/manufacturer/onsemi?pageNo=483", "ON Semiconductor")</f>
        <v>ON Semiconductor</v>
      </c>
      <c r="C41123" s="6">
        <v>7324</v>
      </c>
      <c r="D41123" s="7">
        <v>4.2300000000000004</v>
      </c>
      <c r="E41123" t="s">
        <v>21</v>
      </c>
    </row>
    <row r="41124" spans="1:5" x14ac:dyDescent="0.25">
      <c r="A41124" t="str">
        <f>HYPERLINK("https://www.773grp.com/globalSearch/MC100EP16VCD/page-1", "MC100EP16VCD")</f>
        <v>MC100EP16VCD</v>
      </c>
      <c r="B41124" s="3" t="str">
        <f>HYPERLINK("https://www.773grp.com/manufacturer/onsemi?pageNo=484", "ON Semiconductor")</f>
        <v>ON Semiconductor</v>
      </c>
      <c r="C41124" s="6">
        <v>2413</v>
      </c>
      <c r="D41124" s="7">
        <v>4.2300000000000004</v>
      </c>
      <c r="E41124" t="s">
        <v>21</v>
      </c>
    </row>
    <row r="41125" spans="1:5" x14ac:dyDescent="0.25">
      <c r="A41125" t="str">
        <f>HYPERLINK("https://www.773grp.com/globalSearch/MC100EP16VCDT/page-1", "MC100EP16VCDT")</f>
        <v>MC100EP16VCDT</v>
      </c>
      <c r="B41125" s="3" t="str">
        <f>HYPERLINK("https://www.773grp.com/manufacturer/onsemi?pageNo=485", "ON Semiconductor")</f>
        <v>ON Semiconductor</v>
      </c>
      <c r="C41125" s="6">
        <v>22121</v>
      </c>
      <c r="D41125" s="7">
        <v>4.2300000000000004</v>
      </c>
      <c r="E41125" t="s">
        <v>21</v>
      </c>
    </row>
    <row r="41126" spans="1:5" x14ac:dyDescent="0.25">
      <c r="A41126" t="str">
        <f>HYPERLINK("https://www.773grp.com/globalSearch/MC100EP16VCDTR2/page-1", "MC100EP16VCDTR2")</f>
        <v>MC100EP16VCDTR2</v>
      </c>
      <c r="B41126" s="3" t="str">
        <f>HYPERLINK("https://www.773grp.com/manufacturer/onsemi?pageNo=486", "ON Semiconductor")</f>
        <v>ON Semiconductor</v>
      </c>
      <c r="C41126" s="6">
        <v>15000</v>
      </c>
      <c r="D41126" s="7">
        <v>4.2300000000000004</v>
      </c>
      <c r="E41126" t="s">
        <v>21</v>
      </c>
    </row>
    <row r="41127" spans="1:5" x14ac:dyDescent="0.25">
      <c r="A41127" t="str">
        <f>HYPERLINK("https://www.773grp.com/globalSearch/MC100EP16VSD/page-1", "MC100EP16VSD")</f>
        <v>MC100EP16VSD</v>
      </c>
      <c r="B41127" s="3" t="str">
        <f>HYPERLINK("https://www.773grp.com/manufacturer/onsemi?pageNo=487", "ON Semiconductor")</f>
        <v>ON Semiconductor</v>
      </c>
      <c r="C41127" s="6">
        <v>8752</v>
      </c>
      <c r="D41127" s="7">
        <v>4.2300000000000004</v>
      </c>
      <c r="E41127" t="s">
        <v>21</v>
      </c>
    </row>
    <row r="41128" spans="1:5" x14ac:dyDescent="0.25">
      <c r="A41128" t="str">
        <f>HYPERLINK("https://www.773grp.com/globalSearch/MC100LVEL01DT/page-1", "MC100LVEL01DT")</f>
        <v>MC100LVEL01DT</v>
      </c>
      <c r="B41128" s="3" t="str">
        <f>HYPERLINK("https://www.773grp.com/manufacturer/onsemi?pageNo=488", "ON Semiconductor")</f>
        <v>ON Semiconductor</v>
      </c>
      <c r="C41128" s="6">
        <v>1955</v>
      </c>
      <c r="D41128" s="7">
        <v>4.2300000000000004</v>
      </c>
      <c r="E41128" t="s">
        <v>31</v>
      </c>
    </row>
    <row r="41129" spans="1:5" x14ac:dyDescent="0.25">
      <c r="A41129" t="str">
        <f>HYPERLINK("https://www.773grp.com/globalSearch/MC100LVEL05D/page-1", "MC100LVEL05D")</f>
        <v>MC100LVEL05D</v>
      </c>
      <c r="B41129" s="3" t="str">
        <f>HYPERLINK("https://www.773grp.com/manufacturer/onsemi?pageNo=489", "ON Semiconductor")</f>
        <v>ON Semiconductor</v>
      </c>
      <c r="C41129" s="6">
        <v>23246</v>
      </c>
      <c r="D41129" s="7">
        <v>4.2300000000000004</v>
      </c>
      <c r="E41129" t="s">
        <v>31</v>
      </c>
    </row>
    <row r="41130" spans="1:5" x14ac:dyDescent="0.25">
      <c r="A41130" t="str">
        <f>HYPERLINK("https://www.773grp.com/globalSearch/MC100LVEL05DR2/page-1", "MC100LVEL05DR2")</f>
        <v>MC100LVEL05DR2</v>
      </c>
      <c r="B41130" s="3" t="str">
        <f>HYPERLINK("https://www.773grp.com/manufacturer/onsemi?pageNo=490", "ON Semiconductor")</f>
        <v>ON Semiconductor</v>
      </c>
      <c r="C41130" s="6">
        <v>7500</v>
      </c>
      <c r="D41130" s="7">
        <v>4.2300000000000004</v>
      </c>
      <c r="E41130" t="s">
        <v>31</v>
      </c>
    </row>
    <row r="41131" spans="1:5" x14ac:dyDescent="0.25">
      <c r="A41131" t="str">
        <f>HYPERLINK("https://www.773grp.com/globalSearch/MC100LVEL05DT/page-1", "MC100LVEL05DT")</f>
        <v>MC100LVEL05DT</v>
      </c>
      <c r="B41131" s="3" t="str">
        <f>HYPERLINK("https://www.773grp.com/manufacturer/onsemi?pageNo=491", "ON Semiconductor")</f>
        <v>ON Semiconductor</v>
      </c>
      <c r="C41131" s="6">
        <v>16930</v>
      </c>
      <c r="D41131" s="7">
        <v>4.2300000000000004</v>
      </c>
      <c r="E41131" t="s">
        <v>31</v>
      </c>
    </row>
    <row r="41132" spans="1:5" x14ac:dyDescent="0.25">
      <c r="A41132" t="str">
        <f>HYPERLINK("https://www.773grp.com/globalSearch/MC100LVEL12D/page-1", "MC100LVEL12D")</f>
        <v>MC100LVEL12D</v>
      </c>
      <c r="B41132" s="3" t="str">
        <f>HYPERLINK("https://www.773grp.com/manufacturer/onsemi?pageNo=492", "ON Semiconductor")</f>
        <v>ON Semiconductor</v>
      </c>
      <c r="C41132" s="6">
        <v>11363</v>
      </c>
      <c r="D41132" s="7">
        <v>4.2300000000000004</v>
      </c>
      <c r="E41132" t="s">
        <v>31</v>
      </c>
    </row>
    <row r="41133" spans="1:5" x14ac:dyDescent="0.25">
      <c r="A41133" t="str">
        <f>HYPERLINK("https://www.773grp.com/globalSearch/MC100LVEL12DR2/page-1", "MC100LVEL12DR2")</f>
        <v>MC100LVEL12DR2</v>
      </c>
      <c r="B41133" s="3" t="str">
        <f>HYPERLINK("https://www.773grp.com/manufacturer/onsemi?pageNo=493", "ON Semiconductor")</f>
        <v>ON Semiconductor</v>
      </c>
      <c r="C41133" s="6">
        <v>2500</v>
      </c>
      <c r="D41133" s="7">
        <v>4.2300000000000004</v>
      </c>
      <c r="E41133" t="s">
        <v>31</v>
      </c>
    </row>
    <row r="41134" spans="1:5" x14ac:dyDescent="0.25">
      <c r="A41134" t="str">
        <f>HYPERLINK("https://www.773grp.com/globalSearch/MC100LVEL12DT/page-1", "MC100LVEL12DT")</f>
        <v>MC100LVEL12DT</v>
      </c>
      <c r="B41134" s="3" t="str">
        <f>HYPERLINK("https://www.773grp.com/manufacturer/onsemi?pageNo=494", "ON Semiconductor")</f>
        <v>ON Semiconductor</v>
      </c>
      <c r="C41134" s="6">
        <v>2321</v>
      </c>
      <c r="D41134" s="7">
        <v>4.2300000000000004</v>
      </c>
      <c r="E41134" t="s">
        <v>31</v>
      </c>
    </row>
    <row r="41135" spans="1:5" x14ac:dyDescent="0.25">
      <c r="A41135" t="str">
        <f>HYPERLINK("https://www.773grp.com/globalSearch/MC100LVEL51D/page-1", "MC100LVEL51D")</f>
        <v>MC100LVEL51D</v>
      </c>
      <c r="B41135" s="3" t="str">
        <f>HYPERLINK("https://www.773grp.com/manufacturer/onsemi?pageNo=495", "ON Semiconductor")</f>
        <v>ON Semiconductor</v>
      </c>
      <c r="C41135" s="6">
        <v>1420</v>
      </c>
      <c r="D41135" s="7">
        <v>4.2300000000000004</v>
      </c>
      <c r="E41135" t="s">
        <v>35</v>
      </c>
    </row>
    <row r="41136" spans="1:5" x14ac:dyDescent="0.25">
      <c r="A41136" t="str">
        <f>HYPERLINK("https://www.773grp.com/globalSearch/MC100LVEL51DR2/page-1", "MC100LVEL51DR2")</f>
        <v>MC100LVEL51DR2</v>
      </c>
      <c r="B41136" s="3" t="str">
        <f>HYPERLINK("https://www.773grp.com/manufacturer/onsemi?pageNo=496", "ON Semiconductor")</f>
        <v>ON Semiconductor</v>
      </c>
      <c r="C41136" s="6">
        <v>7500</v>
      </c>
      <c r="D41136" s="7">
        <v>4.2300000000000004</v>
      </c>
      <c r="E41136" t="s">
        <v>35</v>
      </c>
    </row>
    <row r="41137" spans="1:5" x14ac:dyDescent="0.25">
      <c r="A41137" t="str">
        <f>HYPERLINK("https://www.773grp.com/globalSearch/MC100LVEL51DT/page-1", "MC100LVEL51DT")</f>
        <v>MC100LVEL51DT</v>
      </c>
      <c r="B41137" s="3" t="str">
        <f>HYPERLINK("https://www.773grp.com/manufacturer/onsemi?pageNo=497", "ON Semiconductor")</f>
        <v>ON Semiconductor</v>
      </c>
      <c r="C41137" s="6">
        <v>2891</v>
      </c>
      <c r="D41137" s="7">
        <v>4.2300000000000004</v>
      </c>
      <c r="E41137" t="s">
        <v>35</v>
      </c>
    </row>
    <row r="41138" spans="1:5" x14ac:dyDescent="0.25">
      <c r="A41138" t="str">
        <f>HYPERLINK("https://www.773grp.com/globalSearch/MC100LVEL58D/page-1", "MC100LVEL58D")</f>
        <v>MC100LVEL58D</v>
      </c>
      <c r="B41138" s="3" t="str">
        <f>HYPERLINK("https://www.773grp.com/manufacturer/onsemi?pageNo=498", "ON Semiconductor")</f>
        <v>ON Semiconductor</v>
      </c>
      <c r="C41138" s="6">
        <v>3108</v>
      </c>
      <c r="D41138" s="7">
        <v>4.2300000000000004</v>
      </c>
      <c r="E41138" t="s">
        <v>20</v>
      </c>
    </row>
    <row r="41139" spans="1:5" x14ac:dyDescent="0.25">
      <c r="A41139" t="str">
        <f>HYPERLINK("https://www.773grp.com/globalSearch/MC100LVEL58DT/page-1", "MC100LVEL58DT")</f>
        <v>MC100LVEL58DT</v>
      </c>
      <c r="B41139" s="3" t="str">
        <f>HYPERLINK("https://www.773grp.com/manufacturer/onsemi?pageNo=499", "ON Semiconductor")</f>
        <v>ON Semiconductor</v>
      </c>
      <c r="C41139" s="6">
        <v>2415</v>
      </c>
      <c r="D41139" s="7">
        <v>4.2300000000000004</v>
      </c>
      <c r="E41139" t="s">
        <v>20</v>
      </c>
    </row>
    <row r="41140" spans="1:5" x14ac:dyDescent="0.25">
      <c r="A41140" t="str">
        <f>HYPERLINK("https://www.773grp.com/globalSearch/MC100LVELT20DG/page-1", "MC100LVELT20DG")</f>
        <v>MC100LVELT20DG</v>
      </c>
      <c r="B41140" s="3" t="str">
        <f>HYPERLINK("https://www.773grp.com/manufacturer/onsemi?pageNo=500", "ON Semiconductor")</f>
        <v>ON Semiconductor</v>
      </c>
      <c r="C41140" s="6">
        <v>1076</v>
      </c>
      <c r="D41140" s="7">
        <v>4.2300000000000004</v>
      </c>
      <c r="E41140" t="s">
        <v>73</v>
      </c>
    </row>
    <row r="41141" spans="1:5" x14ac:dyDescent="0.25">
      <c r="A41141" t="str">
        <f>HYPERLINK("https://www.773grp.com/globalSearch/MC100LVELT20DR2G/page-1", "MC100LVELT20DR2G")</f>
        <v>MC100LVELT20DR2G</v>
      </c>
      <c r="B41141" s="3" t="str">
        <f>HYPERLINK("https://www.773grp.com/manufacturer/onsemi?pageNo=501", "ON Semiconductor")</f>
        <v>ON Semiconductor</v>
      </c>
      <c r="C41141" s="6">
        <v>15000</v>
      </c>
      <c r="D41141" s="7">
        <v>4.2300000000000004</v>
      </c>
    </row>
    <row r="41142" spans="1:5" x14ac:dyDescent="0.25">
      <c r="A41142" t="str">
        <f>HYPERLINK("https://www.773grp.com/globalSearch/MC100LVELT22DG/page-1", "MC100LVELT22DG")</f>
        <v>MC100LVELT22DG</v>
      </c>
      <c r="B41142" s="3" t="str">
        <f>HYPERLINK("https://www.773grp.com/manufacturer/onsemi?pageNo=502", "ON Semiconductor")</f>
        <v>ON Semiconductor</v>
      </c>
      <c r="C41142" s="6">
        <v>3605</v>
      </c>
      <c r="D41142" s="7">
        <v>4.2300000000000004</v>
      </c>
      <c r="E41142" t="s">
        <v>73</v>
      </c>
    </row>
    <row r="41143" spans="1:5" x14ac:dyDescent="0.25">
      <c r="A41143" t="str">
        <f>HYPERLINK("https://www.773grp.com/globalSearch/MC100LVELT22DTG/page-1", "MC100LVELT22DTG")</f>
        <v>MC100LVELT22DTG</v>
      </c>
      <c r="B41143" s="3" t="str">
        <f>HYPERLINK("https://www.773grp.com/manufacturer/onsemi?pageNo=503", "ON Semiconductor")</f>
        <v>ON Semiconductor</v>
      </c>
      <c r="C41143" s="6">
        <v>908</v>
      </c>
      <c r="D41143" s="7">
        <v>4.2300000000000004</v>
      </c>
      <c r="E41143" t="s">
        <v>73</v>
      </c>
    </row>
    <row r="41144" spans="1:5" x14ac:dyDescent="0.25">
      <c r="A41144" t="str">
        <f>HYPERLINK("https://www.773grp.com/globalSearch/MC100LVELT22DTRG/page-1", "MC100LVELT22DTRG")</f>
        <v>MC100LVELT22DTRG</v>
      </c>
      <c r="B41144" s="3" t="str">
        <f>HYPERLINK("https://www.773grp.com/manufacturer/onsemi?pageNo=504", "ON Semiconductor")</f>
        <v>ON Semiconductor</v>
      </c>
      <c r="C41144" s="6">
        <v>270</v>
      </c>
      <c r="D41144" s="7">
        <v>4.2300000000000004</v>
      </c>
      <c r="E41144" t="s">
        <v>73</v>
      </c>
    </row>
    <row r="41145" spans="1:5" x14ac:dyDescent="0.25">
      <c r="A41145" t="str">
        <f>HYPERLINK("https://www.773grp.com/globalSearch/MC100LVELT22MNRG/page-1", "MC100LVELT22MNRG")</f>
        <v>MC100LVELT22MNRG</v>
      </c>
      <c r="B41145" s="3" t="str">
        <f>HYPERLINK("https://www.773grp.com/manufacturer/onsemi?pageNo=505", "ON Semiconductor")</f>
        <v>ON Semiconductor</v>
      </c>
      <c r="C41145" s="6">
        <v>27900</v>
      </c>
      <c r="D41145" s="7">
        <v>4.2300000000000004</v>
      </c>
      <c r="E41145" t="s">
        <v>73</v>
      </c>
    </row>
    <row r="41146" spans="1:5" x14ac:dyDescent="0.25">
      <c r="A41146" t="str">
        <f>HYPERLINK("https://www.773grp.com/globalSearch/MC100LVELT23DG/page-1", "MC100LVELT23DG")</f>
        <v>MC100LVELT23DG</v>
      </c>
      <c r="B41146" s="3" t="str">
        <f>HYPERLINK("https://www.773grp.com/manufacturer/onsemi?pageNo=506", "ON Semiconductor")</f>
        <v>ON Semiconductor</v>
      </c>
      <c r="C41146" s="6">
        <v>820</v>
      </c>
      <c r="D41146" s="7">
        <v>4.2300000000000004</v>
      </c>
    </row>
    <row r="41147" spans="1:5" x14ac:dyDescent="0.25">
      <c r="A41147" t="str">
        <f>HYPERLINK("https://www.773grp.com/globalSearch/MC100LVELT23DTG/page-1", "MC100LVELT23DTG")</f>
        <v>MC100LVELT23DTG</v>
      </c>
      <c r="B41147" s="3" t="str">
        <f>HYPERLINK("https://www.773grp.com/manufacturer/onsemi?pageNo=507", "ON Semiconductor")</f>
        <v>ON Semiconductor</v>
      </c>
      <c r="C41147" s="6">
        <v>675</v>
      </c>
      <c r="D41147" s="7">
        <v>4.2300000000000004</v>
      </c>
    </row>
    <row r="41148" spans="1:5" x14ac:dyDescent="0.25">
      <c r="A41148" t="str">
        <f>HYPERLINK("https://www.773grp.com/globalSearch/MC10114L/page-1", "MC10114L")</f>
        <v>MC10114L</v>
      </c>
      <c r="B41148" s="3" t="str">
        <f>HYPERLINK("https://www.773grp.com/manufacturer/onsemi?pageNo=508", "ON Semiconductor")</f>
        <v>ON Semiconductor</v>
      </c>
      <c r="C41148" s="6">
        <v>1522</v>
      </c>
      <c r="D41148" s="7">
        <v>4.2300000000000004</v>
      </c>
      <c r="E41148" t="s">
        <v>21</v>
      </c>
    </row>
    <row r="41149" spans="1:5" x14ac:dyDescent="0.25">
      <c r="A41149" t="str">
        <f>HYPERLINK("https://www.773grp.com/globalSearch/MC10EL58D/page-1", "MC10EL58D")</f>
        <v>MC10EL58D</v>
      </c>
      <c r="B41149" s="3" t="str">
        <f>HYPERLINK("https://www.773grp.com/manufacturer/onsemi?pageNo=509", "ON Semiconductor")</f>
        <v>ON Semiconductor</v>
      </c>
      <c r="C41149" s="6">
        <v>12232</v>
      </c>
      <c r="D41149" s="7">
        <v>4.2300000000000004</v>
      </c>
      <c r="E41149" t="s">
        <v>20</v>
      </c>
    </row>
    <row r="41150" spans="1:5" x14ac:dyDescent="0.25">
      <c r="A41150" t="str">
        <f>HYPERLINK("https://www.773grp.com/globalSearch/MC10EL58DT/page-1", "MC10EL58DT")</f>
        <v>MC10EL58DT</v>
      </c>
      <c r="B41150" s="3" t="str">
        <f>HYPERLINK("https://www.773grp.com/manufacturer/onsemi?pageNo=510", "ON Semiconductor")</f>
        <v>ON Semiconductor</v>
      </c>
      <c r="C41150" s="6">
        <v>2300</v>
      </c>
      <c r="D41150" s="7">
        <v>4.2300000000000004</v>
      </c>
      <c r="E41150" t="s">
        <v>20</v>
      </c>
    </row>
    <row r="41151" spans="1:5" x14ac:dyDescent="0.25">
      <c r="A41151" t="str">
        <f>HYPERLINK("https://www.773grp.com/globalSearch/MC10ELT20DG/page-1", "MC10ELT20DG")</f>
        <v>MC10ELT20DG</v>
      </c>
      <c r="B41151" s="3" t="str">
        <f>HYPERLINK("https://www.773grp.com/manufacturer/onsemi?pageNo=511", "ON Semiconductor")</f>
        <v>ON Semiconductor</v>
      </c>
      <c r="C41151" s="6">
        <v>195</v>
      </c>
      <c r="D41151" s="7">
        <v>4.2300000000000004</v>
      </c>
      <c r="E41151" t="s">
        <v>73</v>
      </c>
    </row>
    <row r="41152" spans="1:5" x14ac:dyDescent="0.25">
      <c r="A41152" t="str">
        <f>HYPERLINK("https://www.773grp.com/globalSearch/MC10ELT20DR2G/page-1", "MC10ELT20DR2G")</f>
        <v>MC10ELT20DR2G</v>
      </c>
      <c r="B41152" s="3" t="str">
        <f>HYPERLINK("https://www.773grp.com/manufacturer/onsemi?pageNo=512", "ON Semiconductor")</f>
        <v>ON Semiconductor</v>
      </c>
      <c r="C41152" s="6">
        <v>452</v>
      </c>
      <c r="D41152" s="7">
        <v>4.2300000000000004</v>
      </c>
      <c r="E41152" t="s">
        <v>73</v>
      </c>
    </row>
    <row r="41153" spans="1:5" x14ac:dyDescent="0.25">
      <c r="A41153" t="str">
        <f>HYPERLINK("https://www.773grp.com/globalSearch/MC10ELT20DTG/page-1", "MC10ELT20DTG")</f>
        <v>MC10ELT20DTG</v>
      </c>
      <c r="B41153" s="3" t="str">
        <f>HYPERLINK("https://www.773grp.com/manufacturer/onsemi?pageNo=513", "ON Semiconductor")</f>
        <v>ON Semiconductor</v>
      </c>
      <c r="C41153" s="6">
        <v>354</v>
      </c>
      <c r="D41153" s="7">
        <v>4.2300000000000004</v>
      </c>
      <c r="E41153" t="s">
        <v>73</v>
      </c>
    </row>
    <row r="41154" spans="1:5" x14ac:dyDescent="0.25">
      <c r="A41154" t="str">
        <f>HYPERLINK("https://www.773grp.com/globalSearch/MC10ELT20DTR2G/page-1", "MC10ELT20DTR2G")</f>
        <v>MC10ELT20DTR2G</v>
      </c>
      <c r="B41154" s="3" t="str">
        <f>HYPERLINK("https://www.773grp.com/manufacturer/onsemi?pageNo=514", "ON Semiconductor")</f>
        <v>ON Semiconductor</v>
      </c>
      <c r="C41154" s="6">
        <v>533</v>
      </c>
      <c r="D41154" s="7">
        <v>4.2300000000000004</v>
      </c>
      <c r="E41154" t="s">
        <v>73</v>
      </c>
    </row>
    <row r="41155" spans="1:5" x14ac:dyDescent="0.25">
      <c r="A41155" t="str">
        <f>HYPERLINK("https://www.773grp.com/globalSearch/MC10ELT21DG/page-1", "MC10ELT21DG")</f>
        <v>MC10ELT21DG</v>
      </c>
      <c r="B41155" s="3" t="str">
        <f>HYPERLINK("https://www.773grp.com/manufacturer/onsemi?pageNo=515", "ON Semiconductor")</f>
        <v>ON Semiconductor</v>
      </c>
      <c r="C41155" s="6">
        <v>2676</v>
      </c>
      <c r="D41155" s="7">
        <v>4.2300000000000004</v>
      </c>
      <c r="E41155" t="s">
        <v>73</v>
      </c>
    </row>
    <row r="41156" spans="1:5" x14ac:dyDescent="0.25">
      <c r="A41156" t="str">
        <f>HYPERLINK("https://www.773grp.com/globalSearch/MC10ELT21DTG/page-1", "MC10ELT21DTG")</f>
        <v>MC10ELT21DTG</v>
      </c>
      <c r="B41156" s="3" t="str">
        <f>HYPERLINK("https://www.773grp.com/manufacturer/onsemi?pageNo=516", "ON Semiconductor")</f>
        <v>ON Semiconductor</v>
      </c>
      <c r="C41156" s="6">
        <v>1115</v>
      </c>
      <c r="D41156" s="7">
        <v>4.2300000000000004</v>
      </c>
      <c r="E41156" t="s">
        <v>73</v>
      </c>
    </row>
    <row r="41157" spans="1:5" x14ac:dyDescent="0.25">
      <c r="A41157" t="str">
        <f>HYPERLINK("https://www.773grp.com/globalSearch/MC10ELT21DTR2G/page-1", "MC10ELT21DTR2G")</f>
        <v>MC10ELT21DTR2G</v>
      </c>
      <c r="B41157" s="3" t="str">
        <f>HYPERLINK("https://www.773grp.com/manufacturer/onsemi?pageNo=517", "ON Semiconductor")</f>
        <v>ON Semiconductor</v>
      </c>
      <c r="C41157" s="6">
        <v>2554</v>
      </c>
      <c r="D41157" s="7">
        <v>4.2300000000000004</v>
      </c>
      <c r="E41157" t="s">
        <v>73</v>
      </c>
    </row>
    <row r="41158" spans="1:5" x14ac:dyDescent="0.25">
      <c r="A41158" t="str">
        <f>HYPERLINK("https://www.773grp.com/globalSearch/MC10ELT22DG/page-1", "MC10ELT22DG")</f>
        <v>MC10ELT22DG</v>
      </c>
      <c r="B41158" s="3" t="str">
        <f>HYPERLINK("https://www.773grp.com/manufacturer/onsemi?pageNo=518", "ON Semiconductor")</f>
        <v>ON Semiconductor</v>
      </c>
      <c r="C41158" s="6">
        <v>538</v>
      </c>
      <c r="D41158" s="7">
        <v>4.2300000000000004</v>
      </c>
      <c r="E41158" t="s">
        <v>73</v>
      </c>
    </row>
    <row r="41159" spans="1:5" x14ac:dyDescent="0.25">
      <c r="A41159" t="str">
        <f>HYPERLINK("https://www.773grp.com/globalSearch/MC10ELT22DR2G/page-1", "MC10ELT22DR2G")</f>
        <v>MC10ELT22DR2G</v>
      </c>
      <c r="B41159" s="3" t="str">
        <f>HYPERLINK("https://www.773grp.com/manufacturer/onsemi?pageNo=519", "ON Semiconductor")</f>
        <v>ON Semiconductor</v>
      </c>
      <c r="C41159" s="6">
        <v>2500</v>
      </c>
      <c r="D41159" s="7">
        <v>4.2300000000000004</v>
      </c>
      <c r="E41159" t="s">
        <v>73</v>
      </c>
    </row>
    <row r="41160" spans="1:5" x14ac:dyDescent="0.25">
      <c r="A41160" t="str">
        <f>HYPERLINK("https://www.773grp.com/globalSearch/MC10ELT22DTG/page-1", "MC10ELT22DTG")</f>
        <v>MC10ELT22DTG</v>
      </c>
      <c r="B41160" s="3" t="str">
        <f>HYPERLINK("https://www.773grp.com/manufacturer/onsemi?pageNo=520", "ON Semiconductor")</f>
        <v>ON Semiconductor</v>
      </c>
      <c r="C41160" s="6">
        <v>4469</v>
      </c>
      <c r="D41160" s="7">
        <v>4.2300000000000004</v>
      </c>
      <c r="E41160" t="s">
        <v>73</v>
      </c>
    </row>
    <row r="41161" spans="1:5" x14ac:dyDescent="0.25">
      <c r="A41161" t="str">
        <f>HYPERLINK("https://www.773grp.com/globalSearch/MC10ELT22DTR2G/page-1", "MC10ELT22DTR2G")</f>
        <v>MC10ELT22DTR2G</v>
      </c>
      <c r="B41161" s="3" t="str">
        <f>HYPERLINK("https://www.773grp.com/manufacturer/onsemi?pageNo=521", "ON Semiconductor")</f>
        <v>ON Semiconductor</v>
      </c>
      <c r="C41161" s="6">
        <v>5000</v>
      </c>
      <c r="D41161" s="7">
        <v>4.2300000000000004</v>
      </c>
      <c r="E41161" t="s">
        <v>73</v>
      </c>
    </row>
    <row r="41162" spans="1:5" x14ac:dyDescent="0.25">
      <c r="A41162" t="str">
        <f>HYPERLINK("https://www.773grp.com/globalSearch/MC10ELT24DR2G/page-1", "MC10ELT24DR2G")</f>
        <v>MC10ELT24DR2G</v>
      </c>
      <c r="B41162" s="3" t="str">
        <f>HYPERLINK("https://www.773grp.com/manufacturer/onsemi?pageNo=522", "ON Semiconductor")</f>
        <v>ON Semiconductor</v>
      </c>
      <c r="C41162" s="6">
        <v>160</v>
      </c>
      <c r="D41162" s="7">
        <v>4.2300000000000004</v>
      </c>
    </row>
    <row r="41163" spans="1:5" x14ac:dyDescent="0.25">
      <c r="A41163" t="str">
        <f>HYPERLINK("https://www.773grp.com/globalSearch/MC10ELT24DTG/page-1", "MC10ELT24DTG")</f>
        <v>MC10ELT24DTG</v>
      </c>
      <c r="B41163" s="3" t="str">
        <f>HYPERLINK("https://www.773grp.com/manufacturer/onsemi?pageNo=523", "ON Semiconductor")</f>
        <v>ON Semiconductor</v>
      </c>
      <c r="C41163" s="6">
        <v>3634</v>
      </c>
      <c r="D41163" s="7">
        <v>4.2300000000000004</v>
      </c>
      <c r="E41163" t="s">
        <v>73</v>
      </c>
    </row>
    <row r="41164" spans="1:5" x14ac:dyDescent="0.25">
      <c r="A41164" t="str">
        <f>HYPERLINK("https://www.773grp.com/globalSearch/MC10ELT24DTR2G/page-1", "MC10ELT24DTR2G")</f>
        <v>MC10ELT24DTR2G</v>
      </c>
      <c r="B41164" s="3" t="str">
        <f>HYPERLINK("https://www.773grp.com/manufacturer/onsemi?pageNo=524", "ON Semiconductor")</f>
        <v>ON Semiconductor</v>
      </c>
      <c r="C41164" s="6">
        <v>123</v>
      </c>
      <c r="D41164" s="7">
        <v>4.2300000000000004</v>
      </c>
      <c r="E41164" t="s">
        <v>73</v>
      </c>
    </row>
    <row r="41165" spans="1:5" x14ac:dyDescent="0.25">
      <c r="A41165" t="str">
        <f>HYPERLINK("https://www.773grp.com/globalSearch/MC10ELT25DG/page-1", "MC10ELT25DG")</f>
        <v>MC10ELT25DG</v>
      </c>
      <c r="B41165" s="3" t="str">
        <f>HYPERLINK("https://www.773grp.com/manufacturer/onsemi?pageNo=525", "ON Semiconductor")</f>
        <v>ON Semiconductor</v>
      </c>
      <c r="C41165" s="6">
        <v>64</v>
      </c>
      <c r="D41165" s="7">
        <v>4.2300000000000004</v>
      </c>
    </row>
    <row r="41166" spans="1:5" x14ac:dyDescent="0.25">
      <c r="A41166" t="str">
        <f>HYPERLINK("https://www.773grp.com/globalSearch/MC10ELT25DR2G/page-1", "MC10ELT25DR2G")</f>
        <v>MC10ELT25DR2G</v>
      </c>
      <c r="B41166" s="3" t="str">
        <f>HYPERLINK("https://www.773grp.com/manufacturer/onsemi?pageNo=526", "ON Semiconductor")</f>
        <v>ON Semiconductor</v>
      </c>
      <c r="C41166" s="6">
        <v>2904</v>
      </c>
      <c r="D41166" s="7">
        <v>4.2300000000000004</v>
      </c>
      <c r="E41166" t="s">
        <v>73</v>
      </c>
    </row>
    <row r="41167" spans="1:5" x14ac:dyDescent="0.25">
      <c r="A41167" t="str">
        <f>HYPERLINK("https://www.773grp.com/globalSearch/MC10ELT25DTG/page-1", "MC10ELT25DTG")</f>
        <v>MC10ELT25DTG</v>
      </c>
      <c r="B41167" s="3" t="str">
        <f>HYPERLINK("https://www.773grp.com/manufacturer/onsemi?pageNo=527", "ON Semiconductor")</f>
        <v>ON Semiconductor</v>
      </c>
      <c r="C41167" s="6">
        <v>4999</v>
      </c>
      <c r="D41167" s="7">
        <v>4.2300000000000004</v>
      </c>
      <c r="E41167" t="s">
        <v>73</v>
      </c>
    </row>
    <row r="41168" spans="1:5" x14ac:dyDescent="0.25">
      <c r="A41168" t="str">
        <f>HYPERLINK("https://www.773grp.com/globalSearch/MC10ELT28D/page-1", "MC10ELT28D")</f>
        <v>MC10ELT28D</v>
      </c>
      <c r="B41168" s="3" t="str">
        <f>HYPERLINK("https://www.773grp.com/manufacturer/onsemi?pageNo=528", "ON Semiconductor")</f>
        <v>ON Semiconductor</v>
      </c>
      <c r="C41168" s="6">
        <v>1523</v>
      </c>
      <c r="D41168" s="7">
        <v>4.2300000000000004</v>
      </c>
      <c r="E41168" t="s">
        <v>73</v>
      </c>
    </row>
    <row r="41169" spans="1:5" x14ac:dyDescent="0.25">
      <c r="A41169" t="str">
        <f>HYPERLINK("https://www.773grp.com/globalSearch/MC10ELT28DT/page-1", "MC10ELT28DT")</f>
        <v>MC10ELT28DT</v>
      </c>
      <c r="B41169" s="3" t="str">
        <f>HYPERLINK("https://www.773grp.com/manufacturer/onsemi?pageNo=529", "ON Semiconductor")</f>
        <v>ON Semiconductor</v>
      </c>
      <c r="C41169" s="6">
        <v>4686</v>
      </c>
      <c r="D41169" s="7">
        <v>4.2300000000000004</v>
      </c>
      <c r="E41169" t="s">
        <v>73</v>
      </c>
    </row>
    <row r="41170" spans="1:5" x14ac:dyDescent="0.25">
      <c r="A41170" t="str">
        <f>HYPERLINK("https://www.773grp.com/globalSearch/MC10EP16DR2/page-1", "MC10EP16DR2")</f>
        <v>MC10EP16DR2</v>
      </c>
      <c r="B41170" s="3" t="str">
        <f>HYPERLINK("https://www.773grp.com/manufacturer/onsemi?pageNo=530", "ON Semiconductor")</f>
        <v>ON Semiconductor</v>
      </c>
      <c r="C41170" s="6">
        <v>16394</v>
      </c>
      <c r="D41170" s="7">
        <v>4.2300000000000004</v>
      </c>
      <c r="E41170" t="s">
        <v>21</v>
      </c>
    </row>
    <row r="41171" spans="1:5" x14ac:dyDescent="0.25">
      <c r="A41171" t="str">
        <f>HYPERLINK("https://www.773grp.com/globalSearch/MC10EP16VAD/page-1", "MC10EP16VAD")</f>
        <v>MC10EP16VAD</v>
      </c>
      <c r="B41171" s="3" t="str">
        <f>HYPERLINK("https://www.773grp.com/manufacturer/onsemi?pageNo=531", "ON Semiconductor")</f>
        <v>ON Semiconductor</v>
      </c>
      <c r="C41171" s="6">
        <v>19286</v>
      </c>
      <c r="D41171" s="7">
        <v>4.2300000000000004</v>
      </c>
      <c r="E41171" t="s">
        <v>21</v>
      </c>
    </row>
    <row r="41172" spans="1:5" x14ac:dyDescent="0.25">
      <c r="A41172" t="str">
        <f>HYPERLINK("https://www.773grp.com/globalSearch/MC10EP16VADR2/page-1", "MC10EP16VADR2")</f>
        <v>MC10EP16VADR2</v>
      </c>
      <c r="B41172" s="3" t="str">
        <f>HYPERLINK("https://www.773grp.com/manufacturer/onsemi?pageNo=532", "ON Semiconductor")</f>
        <v>ON Semiconductor</v>
      </c>
      <c r="C41172" s="6">
        <v>12500</v>
      </c>
      <c r="D41172" s="7">
        <v>4.2300000000000004</v>
      </c>
      <c r="E41172" t="s">
        <v>21</v>
      </c>
    </row>
    <row r="41173" spans="1:5" x14ac:dyDescent="0.25">
      <c r="A41173" t="str">
        <f>HYPERLINK("https://www.773grp.com/globalSearch/MC10EP16VADT/page-1", "MC10EP16VADT")</f>
        <v>MC10EP16VADT</v>
      </c>
      <c r="B41173" s="3" t="str">
        <f>HYPERLINK("https://www.773grp.com/manufacturer/onsemi?pageNo=533", "ON Semiconductor")</f>
        <v>ON Semiconductor</v>
      </c>
      <c r="C41173" s="6">
        <v>2015</v>
      </c>
      <c r="D41173" s="7">
        <v>4.2300000000000004</v>
      </c>
      <c r="E41173" t="s">
        <v>21</v>
      </c>
    </row>
    <row r="41174" spans="1:5" x14ac:dyDescent="0.25">
      <c r="A41174" t="str">
        <f>HYPERLINK("https://www.773grp.com/globalSearch/MC10H164L/page-1", "MC10H164L")</f>
        <v>MC10H164L</v>
      </c>
      <c r="B41174" s="3" t="str">
        <f>HYPERLINK("https://www.773grp.com/manufacturer/onsemi?pageNo=534", "ON Semiconductor")</f>
        <v>ON Semiconductor</v>
      </c>
      <c r="C41174" s="6">
        <v>8320</v>
      </c>
      <c r="D41174" s="7">
        <v>4.2300000000000004</v>
      </c>
      <c r="E41174" t="s">
        <v>20</v>
      </c>
    </row>
    <row r="41175" spans="1:5" x14ac:dyDescent="0.25">
      <c r="A41175" t="str">
        <f>HYPERLINK("https://www.773grp.com/globalSearch/MC10H174L/page-1", "MC10H174L")</f>
        <v>MC10H174L</v>
      </c>
      <c r="B41175" s="3" t="str">
        <f>HYPERLINK("https://www.773grp.com/manufacturer/onsemi?pageNo=535", "ON Semiconductor")</f>
        <v>ON Semiconductor</v>
      </c>
      <c r="C41175" s="6">
        <v>20</v>
      </c>
      <c r="D41175" s="7">
        <v>4.2300000000000004</v>
      </c>
      <c r="E41175" t="s">
        <v>20</v>
      </c>
    </row>
    <row r="41176" spans="1:5" x14ac:dyDescent="0.25">
      <c r="A41176" t="str">
        <f>HYPERLINK("https://www.773grp.com/globalSearch/MC33167D2TG/page-1", "MC33167D2TG")</f>
        <v>MC33167D2TG</v>
      </c>
      <c r="B41176" s="3" t="str">
        <f>HYPERLINK("https://www.773grp.com/manufacturer/onsemi?pageNo=536", "ON Semiconductor")</f>
        <v>ON Semiconductor</v>
      </c>
      <c r="C41176" s="6">
        <v>10</v>
      </c>
      <c r="D41176" s="7">
        <v>4.2300000000000004</v>
      </c>
      <c r="E41176" t="s">
        <v>7</v>
      </c>
    </row>
    <row r="41177" spans="1:5" x14ac:dyDescent="0.25">
      <c r="A41177" t="str">
        <f>HYPERLINK("https://www.773grp.com/globalSearch/MC33470DWG/page-1", "MC33470DWG")</f>
        <v>MC33470DWG</v>
      </c>
      <c r="B41177" s="3" t="str">
        <f>HYPERLINK("https://www.773grp.com/manufacturer/onsemi?pageNo=537", "ON Semiconductor")</f>
        <v>ON Semiconductor</v>
      </c>
      <c r="C41177" s="6">
        <v>2175</v>
      </c>
      <c r="D41177" s="7">
        <v>4.2300000000000004</v>
      </c>
      <c r="E41177" t="s">
        <v>7</v>
      </c>
    </row>
    <row r="41178" spans="1:5" x14ac:dyDescent="0.25">
      <c r="A41178" t="str">
        <f>HYPERLINK("https://www.773grp.com/globalSearch/MC33470DWR2G/page-1", "MC33470DWR2G")</f>
        <v>MC33470DWR2G</v>
      </c>
      <c r="B41178" s="3" t="str">
        <f>HYPERLINK("https://www.773grp.com/manufacturer/onsemi?pageNo=538", "ON Semiconductor")</f>
        <v>ON Semiconductor</v>
      </c>
      <c r="C41178" s="6">
        <v>3000</v>
      </c>
      <c r="D41178" s="7">
        <v>4.2300000000000004</v>
      </c>
      <c r="E41178" t="s">
        <v>7</v>
      </c>
    </row>
    <row r="41179" spans="1:5" x14ac:dyDescent="0.25">
      <c r="A41179" t="str">
        <f>HYPERLINK("https://www.773grp.com/globalSearch/MC34023PG/page-1", "MC34023PG")</f>
        <v>MC34023PG</v>
      </c>
      <c r="B41179" s="3" t="str">
        <f>HYPERLINK("https://www.773grp.com/manufacturer/onsemi?pageNo=539", "ON Semiconductor")</f>
        <v>ON Semiconductor</v>
      </c>
      <c r="C41179" s="6">
        <v>800</v>
      </c>
      <c r="D41179" s="7">
        <v>4.2300000000000004</v>
      </c>
    </row>
    <row r="41180" spans="1:5" x14ac:dyDescent="0.25">
      <c r="A41180" t="str">
        <f>HYPERLINK("https://www.773grp.com/globalSearch/MC34166TVG/page-1", "MC34166TVG")</f>
        <v>MC34166TVG</v>
      </c>
      <c r="B41180" s="3" t="str">
        <f>HYPERLINK("https://www.773grp.com/manufacturer/onsemi?pageNo=540", "ON Semiconductor")</f>
        <v>ON Semiconductor</v>
      </c>
      <c r="C41180" s="6">
        <v>5975</v>
      </c>
      <c r="D41180" s="7">
        <v>4.2300000000000004</v>
      </c>
      <c r="E41180" t="s">
        <v>7</v>
      </c>
    </row>
    <row r="41181" spans="1:5" x14ac:dyDescent="0.25">
      <c r="A41181" t="str">
        <f>HYPERLINK("https://www.773grp.com/globalSearch/MJE5851G/page-1", "MJE5851G")</f>
        <v>MJE5851G</v>
      </c>
      <c r="B41181" s="3" t="str">
        <f>HYPERLINK("https://www.773grp.com/manufacturer/onsemi?pageNo=541", "ON Semiconductor")</f>
        <v>ON Semiconductor</v>
      </c>
      <c r="C41181" s="6">
        <v>14</v>
      </c>
      <c r="D41181" s="7">
        <v>4.2300000000000004</v>
      </c>
      <c r="E41181" t="s">
        <v>59</v>
      </c>
    </row>
    <row r="41182" spans="1:5" x14ac:dyDescent="0.25">
      <c r="A41182" t="str">
        <f>HYPERLINK("https://www.773grp.com/globalSearch/MJE5852G/page-1", "MJE5852G")</f>
        <v>MJE5852G</v>
      </c>
      <c r="B41182" s="3" t="str">
        <f>HYPERLINK("https://www.773grp.com/manufacturer/onsemi?pageNo=542", "ON Semiconductor")</f>
        <v>ON Semiconductor</v>
      </c>
      <c r="C41182" s="6">
        <v>71</v>
      </c>
      <c r="D41182" s="7">
        <v>4.2300000000000004</v>
      </c>
      <c r="E41182" t="s">
        <v>59</v>
      </c>
    </row>
    <row r="41183" spans="1:5" x14ac:dyDescent="0.25">
      <c r="A41183" t="str">
        <f>HYPERLINK("https://www.773grp.com/globalSearch/MJW21195G/page-1", "MJW21195G")</f>
        <v>MJW21195G</v>
      </c>
      <c r="B41183" s="3" t="str">
        <f>HYPERLINK("https://www.773grp.com/manufacturer/onsemi?pageNo=543", "ON Semiconductor")</f>
        <v>ON Semiconductor</v>
      </c>
      <c r="C41183" s="6">
        <v>13788</v>
      </c>
      <c r="D41183" s="7">
        <v>4.2300000000000004</v>
      </c>
      <c r="E41183" t="s">
        <v>59</v>
      </c>
    </row>
    <row r="41184" spans="1:5" x14ac:dyDescent="0.25">
      <c r="A41184" t="str">
        <f>HYPERLINK("https://www.773grp.com/globalSearch/MJW21196G/page-1", "MJW21196G")</f>
        <v>MJW21196G</v>
      </c>
      <c r="B41184" s="3" t="str">
        <f>HYPERLINK("https://www.773grp.com/manufacturer/onsemi?pageNo=544", "ON Semiconductor")</f>
        <v>ON Semiconductor</v>
      </c>
      <c r="C41184" s="6">
        <v>226</v>
      </c>
      <c r="D41184" s="7">
        <v>4.2300000000000004</v>
      </c>
      <c r="E41184" t="s">
        <v>59</v>
      </c>
    </row>
    <row r="41185" spans="1:5" x14ac:dyDescent="0.25">
      <c r="A41185" t="str">
        <f>HYPERLINK("https://www.773grp.com/globalSearch/MTAJ50N05HD/page-1", "MTAJ50N05HD")</f>
        <v>MTAJ50N05HD</v>
      </c>
      <c r="B41185" s="3" t="str">
        <f>HYPERLINK("https://www.773grp.com/manufacturer/onsemi?pageNo=545", "ON Semiconductor")</f>
        <v>ON Semiconductor</v>
      </c>
      <c r="C41185" s="6">
        <v>39</v>
      </c>
      <c r="D41185" s="7">
        <v>4.2300000000000004</v>
      </c>
    </row>
    <row r="41186" spans="1:5" x14ac:dyDescent="0.25">
      <c r="A41186" t="str">
        <f>HYPERLINK("https://www.773grp.com/globalSearch/MTAJ50N05HDLFK/page-1", "MTAJ50N05HDLFK")</f>
        <v>MTAJ50N05HDLFK</v>
      </c>
      <c r="B41186" s="3" t="str">
        <f>HYPERLINK("https://www.773grp.com/manufacturer/onsemi?pageNo=546", "ON Semiconductor")</f>
        <v>ON Semiconductor</v>
      </c>
      <c r="C41186" s="6">
        <v>935</v>
      </c>
      <c r="D41186" s="7">
        <v>4.2300000000000004</v>
      </c>
    </row>
    <row r="41187" spans="1:5" x14ac:dyDescent="0.25">
      <c r="A41187" t="str">
        <f>HYPERLINK("https://www.773grp.com/globalSearch/NB4N507AD/page-1", "NB4N507AD")</f>
        <v>NB4N507AD</v>
      </c>
      <c r="B41187" s="3" t="str">
        <f>HYPERLINK("https://www.773grp.com/manufacturer/onsemi?pageNo=547", "ON Semiconductor")</f>
        <v>ON Semiconductor</v>
      </c>
      <c r="C41187" s="6">
        <v>1072</v>
      </c>
      <c r="D41187" s="7">
        <v>4.2300000000000004</v>
      </c>
      <c r="E41187" t="s">
        <v>79</v>
      </c>
    </row>
    <row r="41188" spans="1:5" x14ac:dyDescent="0.25">
      <c r="A41188" t="str">
        <f>HYPERLINK("https://www.773grp.com/globalSearch/NB4N507ADR2/page-1", "NB4N507ADR2")</f>
        <v>NB4N507ADR2</v>
      </c>
      <c r="B41188" s="3" t="str">
        <f>HYPERLINK("https://www.773grp.com/manufacturer/onsemi?pageNo=548", "ON Semiconductor")</f>
        <v>ON Semiconductor</v>
      </c>
      <c r="C41188" s="6">
        <v>62500</v>
      </c>
      <c r="D41188" s="7">
        <v>4.2300000000000004</v>
      </c>
      <c r="E41188" t="s">
        <v>79</v>
      </c>
    </row>
    <row r="41189" spans="1:5" x14ac:dyDescent="0.25">
      <c r="A41189" t="str">
        <f>HYPERLINK("https://www.773grp.com/globalSearch/NCN4557MTG/page-1", "NCN4557MTG")</f>
        <v>NCN4557MTG</v>
      </c>
      <c r="B41189" s="3" t="str">
        <f>HYPERLINK("https://www.773grp.com/manufacturer/onsemi?pageNo=549", "ON Semiconductor")</f>
        <v>ON Semiconductor</v>
      </c>
      <c r="C41189" s="6">
        <v>7779</v>
      </c>
      <c r="D41189" s="7">
        <v>4.2300000000000004</v>
      </c>
      <c r="E41189" t="s">
        <v>30</v>
      </c>
    </row>
    <row r="41190" spans="1:5" x14ac:dyDescent="0.25">
      <c r="A41190" t="str">
        <f>HYPERLINK("https://www.773grp.com/globalSearch/NCN4557MTR2G/page-1", "NCN4557MTR2G")</f>
        <v>NCN4557MTR2G</v>
      </c>
      <c r="B41190" s="3" t="str">
        <f>HYPERLINK("https://www.773grp.com/manufacturer/onsemi?pageNo=550", "ON Semiconductor")</f>
        <v>ON Semiconductor</v>
      </c>
      <c r="C41190" s="6">
        <v>170443</v>
      </c>
      <c r="D41190" s="7">
        <v>4.2300000000000004</v>
      </c>
      <c r="E41190" t="s">
        <v>30</v>
      </c>
    </row>
    <row r="41191" spans="1:5" x14ac:dyDescent="0.25">
      <c r="A41191" t="str">
        <f>HYPERLINK("https://www.773grp.com/globalSearch/NCV7513AFTG/page-1", "NCV7513AFTG")</f>
        <v>NCV7513AFTG</v>
      </c>
      <c r="B41191" s="3" t="str">
        <f>HYPERLINK("https://www.773grp.com/manufacturer/onsemi?pageNo=551", "ON Semiconductor")</f>
        <v>ON Semiconductor</v>
      </c>
      <c r="C41191" s="6">
        <v>6250</v>
      </c>
      <c r="D41191" s="7">
        <v>4.2300000000000004</v>
      </c>
      <c r="E41191" t="s">
        <v>16</v>
      </c>
    </row>
    <row r="41192" spans="1:5" x14ac:dyDescent="0.25">
      <c r="A41192" t="str">
        <f>HYPERLINK("https://www.773grp.com/globalSearch/NCV7513BFTR2G/page-1", "NCV7513BFTR2G")</f>
        <v>NCV7513BFTR2G</v>
      </c>
      <c r="B41192" s="3" t="str">
        <f>HYPERLINK("https://www.773grp.com/manufacturer/onsemi?pageNo=552", "ON Semiconductor")</f>
        <v>ON Semiconductor</v>
      </c>
      <c r="C41192" s="6">
        <v>10659</v>
      </c>
      <c r="D41192" s="7">
        <v>4.2300000000000004</v>
      </c>
    </row>
    <row r="41193" spans="1:5" x14ac:dyDescent="0.25">
      <c r="A41193" t="str">
        <f>HYPERLINK("https://www.773grp.com/globalSearch/NCV7513FTG/page-1", "NCV7513FTG")</f>
        <v>NCV7513FTG</v>
      </c>
      <c r="B41193" s="3" t="str">
        <f>HYPERLINK("https://www.773grp.com/manufacturer/onsemi?pageNo=553", "ON Semiconductor")</f>
        <v>ON Semiconductor</v>
      </c>
      <c r="C41193" s="6">
        <v>265</v>
      </c>
      <c r="D41193" s="7">
        <v>4.2300000000000004</v>
      </c>
      <c r="E41193" t="s">
        <v>11</v>
      </c>
    </row>
    <row r="41194" spans="1:5" x14ac:dyDescent="0.25">
      <c r="A41194" t="str">
        <f>HYPERLINK("https://www.773grp.com/globalSearch/NIS6111QPT1/page-1", "NIS6111QPT1")</f>
        <v>NIS6111QPT1</v>
      </c>
      <c r="B41194" s="3" t="str">
        <f>HYPERLINK("https://www.773grp.com/manufacturer/onsemi?pageNo=554", "ON Semiconductor")</f>
        <v>ON Semiconductor</v>
      </c>
      <c r="C41194" s="6">
        <v>41688</v>
      </c>
      <c r="D41194" s="7">
        <v>4.2300000000000004</v>
      </c>
      <c r="E41194" t="s">
        <v>103</v>
      </c>
    </row>
    <row r="41195" spans="1:5" x14ac:dyDescent="0.25">
      <c r="A41195" t="str">
        <f>HYPERLINK("https://www.773grp.com/globalSearch/ADP4100JCPZ-REEL/page-1", "ADP4100JCPZ-REEL")</f>
        <v>ADP4100JCPZ-REEL</v>
      </c>
      <c r="B41195" s="3" t="str">
        <f>HYPERLINK("https://www.773grp.com/manufacturer/onsemi?pageNo=555", "ON Semiconductor")</f>
        <v>ON Semiconductor</v>
      </c>
      <c r="C41195" s="6">
        <v>32072</v>
      </c>
      <c r="D41195" s="7">
        <v>4.6900000000000004</v>
      </c>
      <c r="E41195" t="s">
        <v>7</v>
      </c>
    </row>
    <row r="41196" spans="1:5" x14ac:dyDescent="0.25">
      <c r="A41196" t="str">
        <f>HYPERLINK("https://www.773grp.com/globalSearch/ADP4101JCPZ-REEL/page-1", "ADP4101JCPZ-REEL")</f>
        <v>ADP4101JCPZ-REEL</v>
      </c>
      <c r="B41196" s="3" t="str">
        <f>HYPERLINK("https://www.773grp.com/manufacturer/onsemi?pageNo=556", "ON Semiconductor")</f>
        <v>ON Semiconductor</v>
      </c>
      <c r="C41196" s="6">
        <v>2500</v>
      </c>
      <c r="D41196" s="7">
        <v>4.6900000000000004</v>
      </c>
    </row>
    <row r="41197" spans="1:5" x14ac:dyDescent="0.25">
      <c r="A41197" t="str">
        <f>HYPERLINK("https://www.773grp.com/globalSearch/BTA25H-600CW3G/page-1", "BTA25H-600CW3G")</f>
        <v>BTA25H-600CW3G</v>
      </c>
      <c r="B41197" s="3" t="str">
        <f>HYPERLINK("https://www.773grp.com/manufacturer/onsemi?pageNo=557", "ON Semiconductor")</f>
        <v>ON Semiconductor</v>
      </c>
      <c r="C41197" s="6">
        <v>3300</v>
      </c>
      <c r="D41197" s="7">
        <v>4.6900000000000004</v>
      </c>
    </row>
    <row r="41198" spans="1:5" x14ac:dyDescent="0.25">
      <c r="A41198" t="str">
        <f>HYPERLINK("https://www.773grp.com/globalSearch/CAT24M01HU5I-GT3/page-1", "CAT24M01HU5I-GT3")</f>
        <v>CAT24M01HU5I-GT3</v>
      </c>
      <c r="B41198" s="3" t="str">
        <f>HYPERLINK("https://www.773grp.com/manufacturer/onsemi?pageNo=558", "ON Semiconductor")</f>
        <v>ON Semiconductor</v>
      </c>
      <c r="C41198" s="6">
        <v>26945</v>
      </c>
      <c r="D41198" s="7">
        <v>4.6900000000000004</v>
      </c>
    </row>
    <row r="41199" spans="1:5" x14ac:dyDescent="0.25">
      <c r="A41199" t="str">
        <f>HYPERLINK("https://www.773grp.com/globalSearch/LV8860V-MPB-H/page-1", "LV8860V-MPB-H")</f>
        <v>LV8860V-MPB-H</v>
      </c>
      <c r="B41199" s="3" t="str">
        <f>HYPERLINK("https://www.773grp.com/manufacturer/onsemi?pageNo=559", "ON Semiconductor")</f>
        <v>ON Semiconductor</v>
      </c>
      <c r="C41199" s="6">
        <v>90</v>
      </c>
      <c r="D41199" s="7">
        <v>4.6900000000000004</v>
      </c>
    </row>
    <row r="41200" spans="1:5" x14ac:dyDescent="0.25">
      <c r="A41200" t="str">
        <f>HYPERLINK("https://www.773grp.com/globalSearch/LV8860V-TLM-H/page-1", "LV8860V-TLM-H")</f>
        <v>LV8860V-TLM-H</v>
      </c>
      <c r="B41200" s="3" t="str">
        <f>HYPERLINK("https://www.773grp.com/manufacturer/onsemi?pageNo=560", "ON Semiconductor")</f>
        <v>ON Semiconductor</v>
      </c>
      <c r="C41200" s="6">
        <v>100</v>
      </c>
      <c r="D41200" s="7">
        <v>4.6900000000000004</v>
      </c>
    </row>
    <row r="41201" spans="1:5" x14ac:dyDescent="0.25">
      <c r="A41201" t="str">
        <f>HYPERLINK("https://www.773grp.com/globalSearch/NCP5181PG/page-1", "NCP5181PG")</f>
        <v>NCP5181PG</v>
      </c>
      <c r="B41201" s="3" t="str">
        <f>HYPERLINK("https://www.773grp.com/manufacturer/onsemi?pageNo=561", "ON Semiconductor")</f>
        <v>ON Semiconductor</v>
      </c>
      <c r="C41201" s="6">
        <v>64897</v>
      </c>
      <c r="D41201" s="7">
        <v>4.6900000000000004</v>
      </c>
      <c r="E41201" t="s">
        <v>21</v>
      </c>
    </row>
    <row r="41202" spans="1:5" x14ac:dyDescent="0.25">
      <c r="A41202" t="str">
        <f>HYPERLINK("https://www.773grp.com/globalSearch/XCP5201MNR2/page-1", "XCP5201MNR2")</f>
        <v>XCP5201MNR2</v>
      </c>
      <c r="B41202" s="3" t="str">
        <f>HYPERLINK("https://www.773grp.com/manufacturer/onsemi?pageNo=562", "ON Semiconductor")</f>
        <v>ON Semiconductor</v>
      </c>
      <c r="C41202" s="6">
        <v>2400</v>
      </c>
      <c r="D41202" s="7">
        <v>4.6900000000000004</v>
      </c>
    </row>
    <row r="41203" spans="1:5" x14ac:dyDescent="0.25">
      <c r="A41203" t="str">
        <f>HYPERLINK("https://www.773grp.com/globalSearch/MC10H162L/page-1", "MC10H162L")</f>
        <v>MC10H162L</v>
      </c>
      <c r="B41203" s="3" t="str">
        <f>HYPERLINK("https://www.773grp.com/manufacturer/onsemi?pageNo=563", "ON Semiconductor")</f>
        <v>ON Semiconductor</v>
      </c>
      <c r="C41203" s="6">
        <v>165</v>
      </c>
      <c r="D41203" s="7">
        <v>4.25</v>
      </c>
      <c r="E41203" t="s">
        <v>36</v>
      </c>
    </row>
    <row r="41204" spans="1:5" x14ac:dyDescent="0.25">
      <c r="A41204" t="str">
        <f>HYPERLINK("https://www.773grp.com/globalSearch/MJ15003G/page-1", "MJ15003G")</f>
        <v>MJ15003G</v>
      </c>
      <c r="B41204" s="3" t="str">
        <f>HYPERLINK("https://www.773grp.com/manufacturer/onsemi?pageNo=564", "ON Semiconductor")</f>
        <v>ON Semiconductor</v>
      </c>
      <c r="C41204" s="6">
        <v>1079</v>
      </c>
      <c r="D41204" s="7">
        <v>4.25</v>
      </c>
    </row>
    <row r="41205" spans="1:5" x14ac:dyDescent="0.25">
      <c r="A41205" t="str">
        <f>HYPERLINK("https://www.773grp.com/globalSearch/MJ21195G/page-1", "MJ21195G")</f>
        <v>MJ21195G</v>
      </c>
      <c r="B41205" s="3" t="str">
        <f>HYPERLINK("https://www.773grp.com/manufacturer/onsemi?pageNo=565", "ON Semiconductor")</f>
        <v>ON Semiconductor</v>
      </c>
      <c r="C41205" s="6">
        <v>19433</v>
      </c>
      <c r="D41205" s="7">
        <v>4.25</v>
      </c>
      <c r="E41205" t="s">
        <v>59</v>
      </c>
    </row>
    <row r="41206" spans="1:5" x14ac:dyDescent="0.25">
      <c r="A41206" t="str">
        <f>HYPERLINK("https://www.773grp.com/globalSearch/MJ21196G/page-1", "MJ21196G")</f>
        <v>MJ21196G</v>
      </c>
      <c r="B41206" s="3" t="str">
        <f>HYPERLINK("https://www.773grp.com/manufacturer/onsemi?pageNo=566", "ON Semiconductor")</f>
        <v>ON Semiconductor</v>
      </c>
      <c r="C41206" s="6">
        <v>15818</v>
      </c>
      <c r="D41206" s="7">
        <v>4.25</v>
      </c>
      <c r="E41206" t="s">
        <v>59</v>
      </c>
    </row>
    <row r="41207" spans="1:5" x14ac:dyDescent="0.25">
      <c r="A41207" t="str">
        <f>HYPERLINK("https://www.773grp.com/globalSearch/NGTB30N60FLWG/page-1", "NGTB30N60FLWG")</f>
        <v>NGTB30N60FLWG</v>
      </c>
      <c r="B41207" s="3" t="str">
        <f>HYPERLINK("https://www.773grp.com/manufacturer/onsemi?pageNo=567", "ON Semiconductor")</f>
        <v>ON Semiconductor</v>
      </c>
      <c r="C41207" s="6">
        <v>60</v>
      </c>
      <c r="D41207" s="7">
        <v>4.25</v>
      </c>
    </row>
    <row r="41208" spans="1:5" x14ac:dyDescent="0.25">
      <c r="A41208" t="str">
        <f>HYPERLINK("https://www.773grp.com/globalSearch/LB11683H-TLM-E/page-1", "LB11683H-TLM-E")</f>
        <v>LB11683H-TLM-E</v>
      </c>
      <c r="B41208" s="3" t="str">
        <f>HYPERLINK("https://www.773grp.com/manufacturer/onsemi?pageNo=568", "ON Semiconductor")</f>
        <v>ON Semiconductor</v>
      </c>
      <c r="C41208" s="6">
        <v>58935</v>
      </c>
      <c r="D41208" s="7">
        <v>4.28</v>
      </c>
    </row>
    <row r="41209" spans="1:5" x14ac:dyDescent="0.25">
      <c r="A41209" t="str">
        <f>HYPERLINK("https://www.773grp.com/globalSearch/LV8013T-A-TLM-E/page-1", "LV8013T-A-TLM-E")</f>
        <v>LV8013T-A-TLM-E</v>
      </c>
      <c r="B41209" s="3" t="str">
        <f>HYPERLINK("https://www.773grp.com/manufacturer/onsemi?pageNo=569", "ON Semiconductor")</f>
        <v>ON Semiconductor</v>
      </c>
      <c r="C41209" s="6">
        <v>12</v>
      </c>
      <c r="D41209" s="7">
        <v>4.28</v>
      </c>
    </row>
    <row r="41210" spans="1:5" x14ac:dyDescent="0.25">
      <c r="A41210" t="str">
        <f>HYPERLINK("https://www.773grp.com/globalSearch/MC10H125M/page-1", "MC10H125M")</f>
        <v>MC10H125M</v>
      </c>
      <c r="B41210" s="3" t="str">
        <f>HYPERLINK("https://www.773grp.com/manufacturer/onsemi?pageNo=570", "ON Semiconductor")</f>
        <v>ON Semiconductor</v>
      </c>
      <c r="C41210" s="6">
        <v>3520</v>
      </c>
      <c r="D41210" s="7">
        <v>4.28</v>
      </c>
      <c r="E41210" t="s">
        <v>73</v>
      </c>
    </row>
    <row r="41211" spans="1:5" x14ac:dyDescent="0.25">
      <c r="A41211" t="str">
        <f>HYPERLINK("https://www.773grp.com/globalSearch/MC10H135FN/page-1", "MC10H135FN")</f>
        <v>MC10H135FN</v>
      </c>
      <c r="B41211" s="3" t="str">
        <f>HYPERLINK("https://www.773grp.com/manufacturer/onsemi?pageNo=571", "ON Semiconductor")</f>
        <v>ON Semiconductor</v>
      </c>
      <c r="C41211" s="6">
        <v>4804</v>
      </c>
      <c r="D41211" s="7">
        <v>4.28</v>
      </c>
      <c r="E41211" t="s">
        <v>35</v>
      </c>
    </row>
    <row r="41212" spans="1:5" x14ac:dyDescent="0.25">
      <c r="A41212" t="str">
        <f>HYPERLINK("https://www.773grp.com/globalSearch/MC33023DWG/page-1", "MC33023DWG")</f>
        <v>MC33023DWG</v>
      </c>
      <c r="B41212" s="3" t="str">
        <f>HYPERLINK("https://www.773grp.com/manufacturer/onsemi?pageNo=572", "ON Semiconductor")</f>
        <v>ON Semiconductor</v>
      </c>
      <c r="C41212" s="6">
        <v>232</v>
      </c>
      <c r="D41212" s="7">
        <v>4.28</v>
      </c>
      <c r="E41212" t="s">
        <v>7</v>
      </c>
    </row>
    <row r="41213" spans="1:5" x14ac:dyDescent="0.25">
      <c r="A41213" t="str">
        <f>HYPERLINK("https://www.773grp.com/globalSearch/MC33023DWR2G/page-1", "MC33023DWR2G")</f>
        <v>MC33023DWR2G</v>
      </c>
      <c r="B41213" s="3" t="str">
        <f>HYPERLINK("https://www.773grp.com/manufacturer/onsemi?pageNo=573", "ON Semiconductor")</f>
        <v>ON Semiconductor</v>
      </c>
      <c r="C41213" s="6">
        <v>7501</v>
      </c>
      <c r="D41213" s="7">
        <v>4.28</v>
      </c>
      <c r="E41213" t="s">
        <v>7</v>
      </c>
    </row>
    <row r="41214" spans="1:5" x14ac:dyDescent="0.25">
      <c r="A41214" t="str">
        <f>HYPERLINK("https://www.773grp.com/globalSearch/170-0013-900/page-1", "170-0013-900")</f>
        <v>170-0013-900</v>
      </c>
      <c r="B41214" s="3" t="str">
        <f>HYPERLINK("https://www.773grp.com/manufacturer/onsemi?pageNo=574", "ON Semiconductor")</f>
        <v>ON Semiconductor</v>
      </c>
      <c r="C41214" s="6">
        <v>8</v>
      </c>
      <c r="D41214" s="7">
        <v>4.74</v>
      </c>
    </row>
    <row r="41215" spans="1:5" x14ac:dyDescent="0.25">
      <c r="A41215" t="str">
        <f>HYPERLINK("https://www.773grp.com/globalSearch/ASM3P1819NF-08SR/page-1", "ASM3P1819NF-08SR")</f>
        <v>ASM3P1819NF-08SR</v>
      </c>
      <c r="B41215" s="3" t="str">
        <f>HYPERLINK("https://www.773grp.com/manufacturer/onsemi?pageNo=575", "ON Semiconductor")</f>
        <v>ON Semiconductor</v>
      </c>
      <c r="C41215" s="6">
        <v>7881</v>
      </c>
      <c r="D41215" s="7">
        <v>4.74</v>
      </c>
    </row>
    <row r="41216" spans="1:5" x14ac:dyDescent="0.25">
      <c r="A41216" t="str">
        <f>HYPERLINK("https://www.773grp.com/globalSearch/ASM3P2474AF-06OR/page-1", "ASM3P2474AF-06OR")</f>
        <v>ASM3P2474AF-06OR</v>
      </c>
      <c r="B41216" s="3" t="str">
        <f>HYPERLINK("https://www.773grp.com/manufacturer/onsemi?pageNo=576", "ON Semiconductor")</f>
        <v>ON Semiconductor</v>
      </c>
      <c r="C41216" s="6">
        <v>3000</v>
      </c>
      <c r="D41216" s="7">
        <v>4.74</v>
      </c>
      <c r="E41216" t="s">
        <v>79</v>
      </c>
    </row>
    <row r="41217" spans="1:5" x14ac:dyDescent="0.25">
      <c r="A41217" t="str">
        <f>HYPERLINK("https://www.773grp.com/globalSearch/ASM3P2779AF-06OR/page-1", "ASM3P2779AF-06OR")</f>
        <v>ASM3P2779AF-06OR</v>
      </c>
      <c r="B41217" s="3" t="str">
        <f>HYPERLINK("https://www.773grp.com/manufacturer/onsemi?pageNo=577", "ON Semiconductor")</f>
        <v>ON Semiconductor</v>
      </c>
      <c r="C41217" s="6">
        <v>3000</v>
      </c>
      <c r="D41217" s="7">
        <v>4.74</v>
      </c>
      <c r="E41217" t="s">
        <v>79</v>
      </c>
    </row>
    <row r="41218" spans="1:5" x14ac:dyDescent="0.25">
      <c r="A41218" t="str">
        <f>HYPERLINK("https://www.773grp.com/globalSearch/ASM3P2863AF-06OR/page-1", "ASM3P2863AF-06OR")</f>
        <v>ASM3P2863AF-06OR</v>
      </c>
      <c r="B41218" s="3" t="str">
        <f>HYPERLINK("https://www.773grp.com/manufacturer/onsemi?pageNo=578", "ON Semiconductor")</f>
        <v>ON Semiconductor</v>
      </c>
      <c r="C41218" s="6">
        <v>6000</v>
      </c>
      <c r="D41218" s="7">
        <v>4.74</v>
      </c>
      <c r="E41218" t="s">
        <v>79</v>
      </c>
    </row>
    <row r="41219" spans="1:5" x14ac:dyDescent="0.25">
      <c r="A41219" t="str">
        <f>HYPERLINK("https://www.773grp.com/globalSearch/ASM3P2872AF-06OR/page-1", "ASM3P2872AF-06OR")</f>
        <v>ASM3P2872AF-06OR</v>
      </c>
      <c r="B41219" s="3" t="str">
        <f>HYPERLINK("https://www.773grp.com/manufacturer/onsemi?pageNo=579", "ON Semiconductor")</f>
        <v>ON Semiconductor</v>
      </c>
      <c r="C41219" s="6">
        <v>21000</v>
      </c>
      <c r="D41219" s="7">
        <v>4.74</v>
      </c>
      <c r="E41219" t="s">
        <v>79</v>
      </c>
    </row>
    <row r="41220" spans="1:5" x14ac:dyDescent="0.25">
      <c r="A41220" t="str">
        <f>HYPERLINK("https://www.773grp.com/globalSearch/AU5517DR2G/page-1", "AU5517DR2G")</f>
        <v>AU5517DR2G</v>
      </c>
      <c r="B41220" s="3" t="str">
        <f>HYPERLINK("https://www.773grp.com/manufacturer/onsemi?pageNo=580", "ON Semiconductor")</f>
        <v>ON Semiconductor</v>
      </c>
      <c r="C41220" s="6">
        <v>3305</v>
      </c>
      <c r="D41220" s="7">
        <v>4.74</v>
      </c>
    </row>
    <row r="41221" spans="1:5" x14ac:dyDescent="0.25">
      <c r="A41221" t="str">
        <f>HYPERLINK("https://www.773grp.com/globalSearch/BTA25-800CW3G/page-1", "BTA25-800CW3G")</f>
        <v>BTA25-800CW3G</v>
      </c>
      <c r="B41221" s="3" t="str">
        <f>HYPERLINK("https://www.773grp.com/manufacturer/onsemi?pageNo=581", "ON Semiconductor")</f>
        <v>ON Semiconductor</v>
      </c>
      <c r="C41221" s="6">
        <v>1450</v>
      </c>
      <c r="D41221" s="7">
        <v>4.74</v>
      </c>
    </row>
    <row r="41222" spans="1:5" x14ac:dyDescent="0.25">
      <c r="A41222" t="str">
        <f>HYPERLINK("https://www.773grp.com/globalSearch/BUB323ZG/page-1", "BUB323ZG")</f>
        <v>BUB323ZG</v>
      </c>
      <c r="B41222" s="3" t="str">
        <f>HYPERLINK("https://www.773grp.com/manufacturer/onsemi?pageNo=582", "ON Semiconductor")</f>
        <v>ON Semiconductor</v>
      </c>
      <c r="C41222" s="6">
        <v>500</v>
      </c>
      <c r="D41222" s="7">
        <v>4.74</v>
      </c>
    </row>
    <row r="41223" spans="1:5" x14ac:dyDescent="0.25">
      <c r="A41223" t="str">
        <f>HYPERLINK("https://www.773grp.com/globalSearch/BUB323ZT4G/page-1", "BUB323ZT4G")</f>
        <v>BUB323ZT4G</v>
      </c>
      <c r="B41223" s="3" t="str">
        <f>HYPERLINK("https://www.773grp.com/manufacturer/onsemi?pageNo=583", "ON Semiconductor")</f>
        <v>ON Semiconductor</v>
      </c>
      <c r="C41223" s="6">
        <v>1600</v>
      </c>
      <c r="D41223" s="7">
        <v>4.74</v>
      </c>
      <c r="E41223" t="s">
        <v>59</v>
      </c>
    </row>
    <row r="41224" spans="1:5" x14ac:dyDescent="0.25">
      <c r="A41224" t="str">
        <f>HYPERLINK("https://www.773grp.com/globalSearch/CAT4026V-T1/page-1", "CAT4026V-T1")</f>
        <v>CAT4026V-T1</v>
      </c>
      <c r="B41224" s="3" t="str">
        <f>HYPERLINK("https://www.773grp.com/manufacturer/onsemi?pageNo=584", "ON Semiconductor")</f>
        <v>ON Semiconductor</v>
      </c>
      <c r="C41224" s="6">
        <v>11055</v>
      </c>
      <c r="D41224" s="7">
        <v>4.74</v>
      </c>
      <c r="E41224" t="s">
        <v>10</v>
      </c>
    </row>
    <row r="41225" spans="1:5" x14ac:dyDescent="0.25">
      <c r="A41225" t="str">
        <f>HYPERLINK("https://www.773grp.com/globalSearch/CAT9534HV4I-GT2/page-1", "CAT9534HV4I-GT2")</f>
        <v>CAT9534HV4I-GT2</v>
      </c>
      <c r="B41225" s="3" t="str">
        <f>HYPERLINK("https://www.773grp.com/manufacturer/onsemi?pageNo=585", "ON Semiconductor")</f>
        <v>ON Semiconductor</v>
      </c>
      <c r="C41225" s="6">
        <v>295</v>
      </c>
      <c r="D41225" s="7">
        <v>4.74</v>
      </c>
    </row>
    <row r="41226" spans="1:5" x14ac:dyDescent="0.25">
      <c r="A41226" t="str">
        <f>HYPERLINK("https://www.773grp.com/globalSearch/CS51021AEDR16G/page-1", "CS51021AEDR16G")</f>
        <v>CS51021AEDR16G</v>
      </c>
      <c r="B41226" s="3" t="str">
        <f>HYPERLINK("https://www.773grp.com/manufacturer/onsemi?pageNo=586", "ON Semiconductor")</f>
        <v>ON Semiconductor</v>
      </c>
      <c r="C41226" s="6">
        <v>4470</v>
      </c>
      <c r="D41226" s="7">
        <v>4.74</v>
      </c>
    </row>
    <row r="41227" spans="1:5" x14ac:dyDescent="0.25">
      <c r="A41227" t="str">
        <f>HYPERLINK("https://www.773grp.com/globalSearch/CS51022AEDR16G/page-1", "CS51022AEDR16G")</f>
        <v>CS51022AEDR16G</v>
      </c>
      <c r="B41227" s="3" t="str">
        <f>HYPERLINK("https://www.773grp.com/manufacturer/onsemi?pageNo=587", "ON Semiconductor")</f>
        <v>ON Semiconductor</v>
      </c>
      <c r="C41227" s="6">
        <v>12520</v>
      </c>
      <c r="D41227" s="7">
        <v>4.74</v>
      </c>
      <c r="E41227" t="s">
        <v>7</v>
      </c>
    </row>
    <row r="41228" spans="1:5" x14ac:dyDescent="0.25">
      <c r="A41228" t="str">
        <f>HYPERLINK("https://www.773grp.com/globalSearch/CS51221ED16G/page-1", "CS51221ED16G")</f>
        <v>CS51221ED16G</v>
      </c>
      <c r="B41228" s="3" t="str">
        <f>HYPERLINK("https://www.773grp.com/manufacturer/onsemi?pageNo=588", "ON Semiconductor")</f>
        <v>ON Semiconductor</v>
      </c>
      <c r="C41228" s="6">
        <v>8123</v>
      </c>
      <c r="D41228" s="7">
        <v>4.74</v>
      </c>
      <c r="E41228" t="s">
        <v>7</v>
      </c>
    </row>
    <row r="41229" spans="1:5" x14ac:dyDescent="0.25">
      <c r="A41229" t="str">
        <f>HYPERLINK("https://www.773grp.com/globalSearch/CS51221EDR16G/page-1", "CS51221EDR16G")</f>
        <v>CS51221EDR16G</v>
      </c>
      <c r="B41229" s="3" t="str">
        <f>HYPERLINK("https://www.773grp.com/manufacturer/onsemi?pageNo=589", "ON Semiconductor")</f>
        <v>ON Semiconductor</v>
      </c>
      <c r="C41229" s="6">
        <v>20000</v>
      </c>
      <c r="D41229" s="7">
        <v>4.74</v>
      </c>
      <c r="E41229" t="s">
        <v>7</v>
      </c>
    </row>
    <row r="41230" spans="1:5" x14ac:dyDescent="0.25">
      <c r="A41230" t="str">
        <f>HYPERLINK("https://www.773grp.com/globalSearch/CS52845EDR8/page-1", "CS52845EDR8")</f>
        <v>CS52845EDR8</v>
      </c>
      <c r="B41230" s="3" t="str">
        <f>HYPERLINK("https://www.773grp.com/manufacturer/onsemi?pageNo=590", "ON Semiconductor")</f>
        <v>ON Semiconductor</v>
      </c>
      <c r="C41230" s="6">
        <v>2500</v>
      </c>
      <c r="D41230" s="7">
        <v>4.74</v>
      </c>
      <c r="E41230" t="s">
        <v>7</v>
      </c>
    </row>
    <row r="41231" spans="1:5" x14ac:dyDescent="0.25">
      <c r="A41231" t="str">
        <f>HYPERLINK("https://www.773grp.com/globalSearch/LA5693MD-AH/page-1", "LA5693MD-AH")</f>
        <v>LA5693MD-AH</v>
      </c>
      <c r="B41231" s="3" t="str">
        <f>HYPERLINK("https://www.773grp.com/manufacturer/onsemi?pageNo=591", "ON Semiconductor")</f>
        <v>ON Semiconductor</v>
      </c>
      <c r="C41231" s="6">
        <v>2500</v>
      </c>
      <c r="D41231" s="7">
        <v>4.74</v>
      </c>
    </row>
    <row r="41232" spans="1:5" x14ac:dyDescent="0.25">
      <c r="A41232" t="str">
        <f>HYPERLINK("https://www.773grp.com/globalSearch/MBRB2060CTT4G/page-1", "MBRB2060CTT4G")</f>
        <v>MBRB2060CTT4G</v>
      </c>
      <c r="B41232" s="3" t="str">
        <f>HYPERLINK("https://www.773grp.com/manufacturer/onsemi?pageNo=592", "ON Semiconductor")</f>
        <v>ON Semiconductor</v>
      </c>
      <c r="C41232" s="6">
        <v>1600</v>
      </c>
      <c r="D41232" s="7">
        <v>4.74</v>
      </c>
    </row>
    <row r="41233" spans="1:5" x14ac:dyDescent="0.25">
      <c r="A41233" t="str">
        <f>HYPERLINK("https://www.773grp.com/globalSearch/MC10115L/page-1", "MC10115L")</f>
        <v>MC10115L</v>
      </c>
      <c r="B41233" s="3" t="str">
        <f>HYPERLINK("https://www.773grp.com/manufacturer/onsemi?pageNo=593", "ON Semiconductor")</f>
        <v>ON Semiconductor</v>
      </c>
      <c r="C41233" s="6">
        <v>95</v>
      </c>
      <c r="D41233" s="7">
        <v>4.74</v>
      </c>
      <c r="E41233" t="s">
        <v>21</v>
      </c>
    </row>
    <row r="41234" spans="1:5" x14ac:dyDescent="0.25">
      <c r="A41234" t="str">
        <f>HYPERLINK("https://www.773grp.com/globalSearch/MC33166D2TG/page-1", "MC33166D2TG")</f>
        <v>MC33166D2TG</v>
      </c>
      <c r="B41234" s="3" t="str">
        <f>HYPERLINK("https://www.773grp.com/manufacturer/onsemi?pageNo=594", "ON Semiconductor")</f>
        <v>ON Semiconductor</v>
      </c>
      <c r="C41234" s="6">
        <v>369</v>
      </c>
      <c r="D41234" s="7">
        <v>4.74</v>
      </c>
    </row>
    <row r="41235" spans="1:5" x14ac:dyDescent="0.25">
      <c r="A41235" t="str">
        <f>HYPERLINK("https://www.773grp.com/globalSearch/MC34166THG/page-1", "MC34166THG")</f>
        <v>MC34166THG</v>
      </c>
      <c r="B41235" s="3" t="str">
        <f>HYPERLINK("https://www.773grp.com/manufacturer/onsemi?pageNo=595", "ON Semiconductor")</f>
        <v>ON Semiconductor</v>
      </c>
      <c r="C41235" s="6">
        <v>1120</v>
      </c>
      <c r="D41235" s="7">
        <v>4.74</v>
      </c>
      <c r="E41235" t="s">
        <v>7</v>
      </c>
    </row>
    <row r="41236" spans="1:5" x14ac:dyDescent="0.25">
      <c r="A41236" t="str">
        <f>HYPERLINK("https://www.773grp.com/globalSearch/MC74ACT623M/page-1", "MC74ACT623M")</f>
        <v>MC74ACT623M</v>
      </c>
      <c r="B41236" s="3" t="str">
        <f>HYPERLINK("https://www.773grp.com/manufacturer/onsemi?pageNo=596", "ON Semiconductor")</f>
        <v>ON Semiconductor</v>
      </c>
      <c r="C41236" s="6">
        <v>856</v>
      </c>
      <c r="D41236" s="7">
        <v>4.74</v>
      </c>
    </row>
    <row r="41237" spans="1:5" x14ac:dyDescent="0.25">
      <c r="A41237" t="str">
        <f>HYPERLINK("https://www.773grp.com/globalSearch/MC74ACT623N/page-1", "MC74ACT623N")</f>
        <v>MC74ACT623N</v>
      </c>
      <c r="B41237" s="3" t="str">
        <f>HYPERLINK("https://www.773grp.com/manufacturer/onsemi?pageNo=597", "ON Semiconductor")</f>
        <v>ON Semiconductor</v>
      </c>
      <c r="C41237" s="6">
        <v>1780</v>
      </c>
      <c r="D41237" s="7">
        <v>4.74</v>
      </c>
      <c r="E41237" t="s">
        <v>14</v>
      </c>
    </row>
    <row r="41238" spans="1:5" x14ac:dyDescent="0.25">
      <c r="A41238" t="str">
        <f>HYPERLINK("https://www.773grp.com/globalSearch/MJH6284/page-1", "MJH6284")</f>
        <v>MJH6284</v>
      </c>
      <c r="B41238" s="3" t="str">
        <f>HYPERLINK("https://www.773grp.com/manufacturer/onsemi?pageNo=598", "ON Semiconductor")</f>
        <v>ON Semiconductor</v>
      </c>
      <c r="C41238" s="6">
        <v>14528</v>
      </c>
      <c r="D41238" s="7">
        <v>4.74</v>
      </c>
      <c r="E41238" t="s">
        <v>59</v>
      </c>
    </row>
    <row r="41239" spans="1:5" x14ac:dyDescent="0.25">
      <c r="A41239" t="str">
        <f>HYPERLINK("https://www.773grp.com/globalSearch/MPIC2112P/page-1", "MPIC2112P")</f>
        <v>MPIC2112P</v>
      </c>
      <c r="B41239" s="3" t="str">
        <f>HYPERLINK("https://www.773grp.com/manufacturer/onsemi?pageNo=599", "ON Semiconductor")</f>
        <v>ON Semiconductor</v>
      </c>
      <c r="C41239" s="6">
        <v>265053</v>
      </c>
      <c r="D41239" s="7">
        <v>4.74</v>
      </c>
      <c r="E41239" t="s">
        <v>16</v>
      </c>
    </row>
    <row r="41240" spans="1:5" x14ac:dyDescent="0.25">
      <c r="A41240" t="str">
        <f>HYPERLINK("https://www.773grp.com/globalSearch/MTB16N25E/page-1", "MTB16N25E")</f>
        <v>MTB16N25E</v>
      </c>
      <c r="B41240" s="3" t="str">
        <f>HYPERLINK("https://www.773grp.com/manufacturer/onsemi?pageNo=600", "ON Semiconductor")</f>
        <v>ON Semiconductor</v>
      </c>
      <c r="C41240" s="6">
        <v>111037</v>
      </c>
      <c r="D41240" s="7">
        <v>4.74</v>
      </c>
      <c r="E41240" t="s">
        <v>105</v>
      </c>
    </row>
    <row r="41241" spans="1:5" x14ac:dyDescent="0.25">
      <c r="A41241" t="str">
        <f>HYPERLINK("https://www.773grp.com/globalSearch/MTB16N25ET4/page-1", "MTB16N25ET4")</f>
        <v>MTB16N25ET4</v>
      </c>
      <c r="B41241" s="3" t="str">
        <f>HYPERLINK("https://www.773grp.com/manufacturer/onsemi?pageNo=601", "ON Semiconductor")</f>
        <v>ON Semiconductor</v>
      </c>
      <c r="C41241" s="6">
        <v>184800</v>
      </c>
      <c r="D41241" s="7">
        <v>4.74</v>
      </c>
      <c r="E41241" t="s">
        <v>105</v>
      </c>
    </row>
    <row r="41242" spans="1:5" x14ac:dyDescent="0.25">
      <c r="A41242" t="str">
        <f>HYPERLINK("https://www.773grp.com/globalSearch/MTB4N50ET4/page-1", "MTB4N50ET4")</f>
        <v>MTB4N50ET4</v>
      </c>
      <c r="B41242" s="3" t="str">
        <f>HYPERLINK("https://www.773grp.com/manufacturer/onsemi?pageNo=602", "ON Semiconductor")</f>
        <v>ON Semiconductor</v>
      </c>
      <c r="C41242" s="6">
        <v>5600</v>
      </c>
      <c r="D41242" s="7">
        <v>4.74</v>
      </c>
    </row>
    <row r="41243" spans="1:5" x14ac:dyDescent="0.25">
      <c r="A41243" t="str">
        <f>HYPERLINK("https://www.773grp.com/globalSearch/NCP4331DBR2G/page-1", "NCP4331DBR2G")</f>
        <v>NCP4331DBR2G</v>
      </c>
      <c r="B41243" s="3" t="str">
        <f>HYPERLINK("https://www.773grp.com/manufacturer/onsemi?pageNo=603", "ON Semiconductor")</f>
        <v>ON Semiconductor</v>
      </c>
      <c r="C41243" s="6">
        <v>20000</v>
      </c>
      <c r="D41243" s="7">
        <v>4.74</v>
      </c>
      <c r="E41243" t="s">
        <v>7</v>
      </c>
    </row>
    <row r="41244" spans="1:5" x14ac:dyDescent="0.25">
      <c r="A41244" t="str">
        <f>HYPERLINK("https://www.773grp.com/globalSearch/NCP4331DR2G/page-1", "NCP4331DR2G")</f>
        <v>NCP4331DR2G</v>
      </c>
      <c r="B41244" s="3" t="str">
        <f>HYPERLINK("https://www.773grp.com/manufacturer/onsemi?pageNo=604", "ON Semiconductor")</f>
        <v>ON Semiconductor</v>
      </c>
      <c r="C41244" s="6">
        <v>22500</v>
      </c>
      <c r="D41244" s="7">
        <v>4.74</v>
      </c>
      <c r="E41244" t="s">
        <v>7</v>
      </c>
    </row>
    <row r="41245" spans="1:5" x14ac:dyDescent="0.25">
      <c r="A41245" t="str">
        <f>HYPERLINK("https://www.773grp.com/globalSearch/NCP5810CMUTXG/page-1", "NCP5810CMUTXG")</f>
        <v>NCP5810CMUTXG</v>
      </c>
      <c r="B41245" s="3" t="str">
        <f>HYPERLINK("https://www.773grp.com/manufacturer/onsemi?pageNo=605", "ON Semiconductor")</f>
        <v>ON Semiconductor</v>
      </c>
      <c r="C41245" s="6">
        <v>3000</v>
      </c>
      <c r="D41245" s="7">
        <v>4.74</v>
      </c>
    </row>
    <row r="41246" spans="1:5" x14ac:dyDescent="0.25">
      <c r="A41246" t="str">
        <f>HYPERLINK("https://www.773grp.com/globalSearch/NCP5810CUMUTXG/page-1", "NCP5810CUMUTXG")</f>
        <v>NCP5810CUMUTXG</v>
      </c>
      <c r="B41246" s="3" t="str">
        <f>HYPERLINK("https://www.773grp.com/manufacturer/onsemi?pageNo=606", "ON Semiconductor")</f>
        <v>ON Semiconductor</v>
      </c>
      <c r="C41246" s="6">
        <v>498000</v>
      </c>
      <c r="D41246" s="7">
        <v>4.74</v>
      </c>
    </row>
    <row r="41247" spans="1:5" x14ac:dyDescent="0.25">
      <c r="A41247" t="str">
        <f>HYPERLINK("https://www.773grp.com/globalSearch/NCP5810MUTXG/page-1", "NCP5810MUTXG")</f>
        <v>NCP5810MUTXG</v>
      </c>
      <c r="B41247" s="3" t="str">
        <f>HYPERLINK("https://www.773grp.com/manufacturer/onsemi?pageNo=607", "ON Semiconductor")</f>
        <v>ON Semiconductor</v>
      </c>
      <c r="C41247" s="6">
        <v>18982</v>
      </c>
      <c r="D41247" s="7">
        <v>4.74</v>
      </c>
      <c r="E41247" t="s">
        <v>7</v>
      </c>
    </row>
    <row r="41248" spans="1:5" x14ac:dyDescent="0.25">
      <c r="A41248" t="str">
        <f>HYPERLINK("https://www.773grp.com/globalSearch/NCP59302DSADJR4G/page-1", "NCP59302DSADJR4G")</f>
        <v>NCP59302DSADJR4G</v>
      </c>
      <c r="B41248" s="3" t="str">
        <f>HYPERLINK("https://www.773grp.com/manufacturer/onsemi?pageNo=608", "ON Semiconductor")</f>
        <v>ON Semiconductor</v>
      </c>
      <c r="C41248" s="6">
        <v>800</v>
      </c>
      <c r="D41248" s="7">
        <v>4.74</v>
      </c>
    </row>
    <row r="41249" spans="1:5" x14ac:dyDescent="0.25">
      <c r="A41249" t="str">
        <f>HYPERLINK("https://www.773grp.com/globalSearch/NCS2500SNT1G/page-1", "NCS2500SNT1G")</f>
        <v>NCS2500SNT1G</v>
      </c>
      <c r="B41249" s="3" t="str">
        <f>HYPERLINK("https://www.773grp.com/manufacturer/onsemi?pageNo=609", "ON Semiconductor")</f>
        <v>ON Semiconductor</v>
      </c>
      <c r="C41249" s="6">
        <v>5994</v>
      </c>
      <c r="D41249" s="7">
        <v>4.74</v>
      </c>
      <c r="E41249" t="s">
        <v>13</v>
      </c>
    </row>
    <row r="41250" spans="1:5" x14ac:dyDescent="0.25">
      <c r="A41250" t="str">
        <f>HYPERLINK("https://www.773grp.com/globalSearch/NCS2500SQT2G/page-1", "NCS2500SQT2G")</f>
        <v>NCS2500SQT2G</v>
      </c>
      <c r="B41250" s="3" t="str">
        <f>HYPERLINK("https://www.773grp.com/manufacturer/onsemi?pageNo=610", "ON Semiconductor")</f>
        <v>ON Semiconductor</v>
      </c>
      <c r="C41250" s="6">
        <v>6000</v>
      </c>
      <c r="D41250" s="7">
        <v>4.74</v>
      </c>
      <c r="E41250" t="s">
        <v>13</v>
      </c>
    </row>
    <row r="41251" spans="1:5" x14ac:dyDescent="0.25">
      <c r="A41251" t="str">
        <f>HYPERLINK("https://www.773grp.com/globalSearch/NCS2501SNT1G/page-1", "NCS2501SNT1G")</f>
        <v>NCS2501SNT1G</v>
      </c>
      <c r="B41251" s="3" t="str">
        <f>HYPERLINK("https://www.773grp.com/manufacturer/onsemi?pageNo=611", "ON Semiconductor")</f>
        <v>ON Semiconductor</v>
      </c>
      <c r="C41251" s="6">
        <v>5970</v>
      </c>
      <c r="D41251" s="7">
        <v>4.74</v>
      </c>
      <c r="E41251" t="s">
        <v>18</v>
      </c>
    </row>
    <row r="41252" spans="1:5" x14ac:dyDescent="0.25">
      <c r="A41252" t="str">
        <f>HYPERLINK("https://www.773grp.com/globalSearch/NCV8509PDW18/page-1", "NCV8509PDW18")</f>
        <v>NCV8509PDW18</v>
      </c>
      <c r="B41252" s="3" t="str">
        <f>HYPERLINK("https://www.773grp.com/manufacturer/onsemi?pageNo=612", "ON Semiconductor")</f>
        <v>ON Semiconductor</v>
      </c>
      <c r="C41252" s="6">
        <v>1316</v>
      </c>
      <c r="D41252" s="7">
        <v>4.74</v>
      </c>
      <c r="E41252" t="s">
        <v>117</v>
      </c>
    </row>
    <row r="41253" spans="1:5" x14ac:dyDescent="0.25">
      <c r="A41253" t="str">
        <f>HYPERLINK("https://www.773grp.com/globalSearch/NCV8842PWR2G/page-1", "NCV8842PWR2G")</f>
        <v>NCV8842PWR2G</v>
      </c>
      <c r="B41253" s="3" t="str">
        <f>HYPERLINK("https://www.773grp.com/manufacturer/onsemi?pageNo=613", "ON Semiconductor")</f>
        <v>ON Semiconductor</v>
      </c>
      <c r="C41253" s="6">
        <v>1743</v>
      </c>
      <c r="D41253" s="7">
        <v>4.74</v>
      </c>
    </row>
    <row r="41254" spans="1:5" x14ac:dyDescent="0.25">
      <c r="A41254" t="str">
        <f>HYPERLINK("https://www.773grp.com/globalSearch/NCV8843PWR2G/page-1", "NCV8843PWR2G")</f>
        <v>NCV8843PWR2G</v>
      </c>
      <c r="B41254" s="3" t="str">
        <f>HYPERLINK("https://www.773grp.com/manufacturer/onsemi?pageNo=614", "ON Semiconductor")</f>
        <v>ON Semiconductor</v>
      </c>
      <c r="C41254" s="6">
        <v>5825</v>
      </c>
      <c r="D41254" s="7">
        <v>4.74</v>
      </c>
      <c r="E41254" t="s">
        <v>7</v>
      </c>
    </row>
    <row r="41255" spans="1:5" x14ac:dyDescent="0.25">
      <c r="A41255" t="str">
        <f>HYPERLINK("https://www.773grp.com/globalSearch/NJW21193G/page-1", "NJW21193G")</f>
        <v>NJW21193G</v>
      </c>
      <c r="B41255" s="3" t="str">
        <f>HYPERLINK("https://www.773grp.com/manufacturer/onsemi?pageNo=615", "ON Semiconductor")</f>
        <v>ON Semiconductor</v>
      </c>
      <c r="C41255" s="6">
        <v>2790</v>
      </c>
      <c r="D41255" s="7">
        <v>4.74</v>
      </c>
      <c r="E41255" t="s">
        <v>59</v>
      </c>
    </row>
    <row r="41256" spans="1:5" x14ac:dyDescent="0.25">
      <c r="A41256" t="str">
        <f>HYPERLINK("https://www.773grp.com/globalSearch/NTB10N60/page-1", "NTB10N60")</f>
        <v>NTB10N60</v>
      </c>
      <c r="B41256" s="3" t="str">
        <f>HYPERLINK("https://www.773grp.com/manufacturer/onsemi?pageNo=616", "ON Semiconductor")</f>
        <v>ON Semiconductor</v>
      </c>
      <c r="C41256" s="6">
        <v>450</v>
      </c>
      <c r="D41256" s="7">
        <v>4.74</v>
      </c>
      <c r="E41256" t="s">
        <v>105</v>
      </c>
    </row>
    <row r="41257" spans="1:5" x14ac:dyDescent="0.25">
      <c r="A41257" t="str">
        <f>HYPERLINK("https://www.773grp.com/globalSearch/P1819BF-08SR/page-1", "P1819BF-08SR")</f>
        <v>P1819BF-08SR</v>
      </c>
      <c r="B41257" s="3" t="str">
        <f>HYPERLINK("https://www.773grp.com/manufacturer/onsemi?pageNo=617", "ON Semiconductor")</f>
        <v>ON Semiconductor</v>
      </c>
      <c r="C41257" s="6">
        <v>264442</v>
      </c>
      <c r="D41257" s="7">
        <v>4.74</v>
      </c>
    </row>
    <row r="41258" spans="1:5" x14ac:dyDescent="0.25">
      <c r="A41258" t="str">
        <f>HYPERLINK("https://www.773grp.com/globalSearch/P1819GF-08SR/page-1", "P1819GF-08SR")</f>
        <v>P1819GF-08SR</v>
      </c>
      <c r="B41258" s="3" t="str">
        <f>HYPERLINK("https://www.773grp.com/manufacturer/onsemi?pageNo=618", "ON Semiconductor")</f>
        <v>ON Semiconductor</v>
      </c>
      <c r="C41258" s="6">
        <v>2500</v>
      </c>
      <c r="D41258" s="7">
        <v>4.74</v>
      </c>
      <c r="E41258" t="s">
        <v>79</v>
      </c>
    </row>
    <row r="41259" spans="1:5" x14ac:dyDescent="0.25">
      <c r="A41259" t="str">
        <f>HYPERLINK("https://www.773grp.com/globalSearch/P3P73F01FG-08CR/page-1", "P3P73F01FG-08CR")</f>
        <v>P3P73F01FG-08CR</v>
      </c>
      <c r="B41259" s="3" t="str">
        <f>HYPERLINK("https://www.773grp.com/manufacturer/onsemi?pageNo=619", "ON Semiconductor")</f>
        <v>ON Semiconductor</v>
      </c>
      <c r="C41259" s="6">
        <v>285000</v>
      </c>
      <c r="D41259" s="7">
        <v>4.74</v>
      </c>
    </row>
    <row r="41260" spans="1:5" x14ac:dyDescent="0.25">
      <c r="A41260" t="str">
        <f>HYPERLINK("https://www.773grp.com/globalSearch/P3P73Z01BWG-08CR/page-1", "P3P73Z01BWG-08CR")</f>
        <v>P3P73Z01BWG-08CR</v>
      </c>
      <c r="B41260" s="3" t="str">
        <f>HYPERLINK("https://www.773grp.com/manufacturer/onsemi?pageNo=620", "ON Semiconductor")</f>
        <v>ON Semiconductor</v>
      </c>
      <c r="C41260" s="6">
        <v>243000</v>
      </c>
      <c r="D41260" s="7">
        <v>4.74</v>
      </c>
    </row>
    <row r="41261" spans="1:5" x14ac:dyDescent="0.25">
      <c r="A41261" t="str">
        <f>HYPERLINK("https://www.773grp.com/globalSearch/P3P73Z11BWHG08CR/page-1", "P3P73Z11BWHG08CR")</f>
        <v>P3P73Z11BWHG08CR</v>
      </c>
      <c r="B41261" s="3" t="str">
        <f>HYPERLINK("https://www.773grp.com/manufacturer/onsemi?pageNo=621", "ON Semiconductor")</f>
        <v>ON Semiconductor</v>
      </c>
      <c r="C41261" s="6">
        <v>6000</v>
      </c>
      <c r="D41261" s="7">
        <v>4.74</v>
      </c>
    </row>
    <row r="41262" spans="1:5" x14ac:dyDescent="0.25">
      <c r="A41262" t="str">
        <f>HYPERLINK("https://www.773grp.com/globalSearch/P3P8211AG-08CR/page-1", "P3P8211AG-08CR")</f>
        <v>P3P8211AG-08CR</v>
      </c>
      <c r="B41262" s="3" t="str">
        <f>HYPERLINK("https://www.773grp.com/manufacturer/onsemi?pageNo=622", "ON Semiconductor")</f>
        <v>ON Semiconductor</v>
      </c>
      <c r="C41262" s="6">
        <v>90000</v>
      </c>
      <c r="D41262" s="7">
        <v>4.74</v>
      </c>
    </row>
    <row r="41263" spans="1:5" x14ac:dyDescent="0.25">
      <c r="A41263" t="str">
        <f>HYPERLINK("https://www.773grp.com/globalSearch/P3P85G00AG-08CR/page-1", "P3P85G00AG-08CR")</f>
        <v>P3P85G00AG-08CR</v>
      </c>
      <c r="B41263" s="3" t="str">
        <f>HYPERLINK("https://www.773grp.com/manufacturer/onsemi?pageNo=623", "ON Semiconductor")</f>
        <v>ON Semiconductor</v>
      </c>
      <c r="C41263" s="6">
        <v>1045</v>
      </c>
      <c r="D41263" s="7">
        <v>4.74</v>
      </c>
    </row>
    <row r="41264" spans="1:5" x14ac:dyDescent="0.25">
      <c r="A41264" t="str">
        <f>HYPERLINK("https://www.773grp.com/globalSearch/PCS3P25811AG08SR/page-1", "PCS3P25811AG08SR")</f>
        <v>PCS3P25811AG08SR</v>
      </c>
      <c r="B41264" s="3" t="str">
        <f>HYPERLINK("https://www.773grp.com/manufacturer/onsemi?pageNo=624", "ON Semiconductor")</f>
        <v>ON Semiconductor</v>
      </c>
      <c r="C41264" s="6">
        <v>2481</v>
      </c>
      <c r="D41264" s="7">
        <v>4.74</v>
      </c>
    </row>
    <row r="41265" spans="1:5" x14ac:dyDescent="0.25">
      <c r="A41265" t="str">
        <f>HYPERLINK("https://www.773grp.com/globalSearch/2N5884G/page-1", "2N5884G")</f>
        <v>2N5884G</v>
      </c>
      <c r="B41265" s="3" t="str">
        <f>HYPERLINK("https://www.773grp.com/manufacturer/onsemi?pageNo=625", "ON Semiconductor")</f>
        <v>ON Semiconductor</v>
      </c>
      <c r="C41265" s="6">
        <v>14668</v>
      </c>
      <c r="D41265" s="7">
        <v>4.3</v>
      </c>
      <c r="E41265" t="s">
        <v>59</v>
      </c>
    </row>
    <row r="41266" spans="1:5" x14ac:dyDescent="0.25">
      <c r="A41266" t="str">
        <f>HYPERLINK("https://www.773grp.com/globalSearch/LV8713T-MPB-H/page-1", "LV8713T-MPB-H")</f>
        <v>LV8713T-MPB-H</v>
      </c>
      <c r="B41266" s="3" t="str">
        <f>HYPERLINK("https://www.773grp.com/manufacturer/onsemi?pageNo=626", "ON Semiconductor")</f>
        <v>ON Semiconductor</v>
      </c>
      <c r="C41266" s="6">
        <v>99</v>
      </c>
      <c r="D41266" s="7">
        <v>4.3</v>
      </c>
    </row>
    <row r="41267" spans="1:5" x14ac:dyDescent="0.25">
      <c r="A41267" t="str">
        <f>HYPERLINK("https://www.773grp.com/globalSearch/MC33033DWG/page-1", "MC33033DWG")</f>
        <v>MC33033DWG</v>
      </c>
      <c r="B41267" s="3" t="str">
        <f>HYPERLINK("https://www.773grp.com/manufacturer/onsemi?pageNo=627", "ON Semiconductor")</f>
        <v>ON Semiconductor</v>
      </c>
      <c r="C41267" s="6">
        <v>988</v>
      </c>
      <c r="D41267" s="7">
        <v>4.3</v>
      </c>
    </row>
    <row r="41268" spans="1:5" x14ac:dyDescent="0.25">
      <c r="A41268" t="str">
        <f>HYPERLINK("https://www.773grp.com/globalSearch/MC33033DWR2G/page-1", "MC33033DWR2G")</f>
        <v>MC33033DWR2G</v>
      </c>
      <c r="B41268" s="3" t="str">
        <f>HYPERLINK("https://www.773grp.com/manufacturer/onsemi?pageNo=628", "ON Semiconductor")</f>
        <v>ON Semiconductor</v>
      </c>
      <c r="C41268" s="6">
        <v>8016</v>
      </c>
      <c r="D41268" s="7">
        <v>4.3</v>
      </c>
      <c r="E41268" t="s">
        <v>62</v>
      </c>
    </row>
    <row r="41269" spans="1:5" x14ac:dyDescent="0.25">
      <c r="A41269" t="str">
        <f>HYPERLINK("https://www.773grp.com/globalSearch/MJ4502G/page-1", "MJ4502G")</f>
        <v>MJ4502G</v>
      </c>
      <c r="B41269" s="3" t="str">
        <f>HYPERLINK("https://www.773grp.com/manufacturer/onsemi?pageNo=629", "ON Semiconductor")</f>
        <v>ON Semiconductor</v>
      </c>
      <c r="C41269" s="6">
        <v>200</v>
      </c>
      <c r="D41269" s="7">
        <v>4.3</v>
      </c>
      <c r="E41269" t="s">
        <v>59</v>
      </c>
    </row>
    <row r="41270" spans="1:5" x14ac:dyDescent="0.25">
      <c r="A41270" t="str">
        <f>HYPERLINK("https://www.773grp.com/globalSearch/TE01829-001/page-1", "TE01829-001")</f>
        <v>TE01829-001</v>
      </c>
      <c r="B41270" s="3" t="str">
        <f>HYPERLINK("https://www.773grp.com/manufacturer/onsemi?pageNo=630", "ON Semiconductor")</f>
        <v>ON Semiconductor</v>
      </c>
      <c r="C41270" s="6">
        <v>300</v>
      </c>
      <c r="D41270" s="7">
        <v>4.3</v>
      </c>
    </row>
    <row r="41271" spans="1:5" x14ac:dyDescent="0.25">
      <c r="A41271" t="str">
        <f>HYPERLINK("https://www.773grp.com/globalSearch/ADT7461AR/page-1", "ADT7461AR")</f>
        <v>ADT7461AR</v>
      </c>
      <c r="B41271" s="3" t="str">
        <f>HYPERLINK("https://www.773grp.com/manufacturer/onsemi?pageNo=631", "ON Semiconductor")</f>
        <v>ON Semiconductor</v>
      </c>
      <c r="C41271" s="6">
        <v>463</v>
      </c>
      <c r="D41271" s="7">
        <v>4.34</v>
      </c>
      <c r="E41271" t="s">
        <v>40</v>
      </c>
    </row>
    <row r="41272" spans="1:5" x14ac:dyDescent="0.25">
      <c r="A41272" t="str">
        <f>HYPERLINK("https://www.773grp.com/globalSearch/ADT7461AR/page-1", "ADT7461AR")</f>
        <v>ADT7461AR</v>
      </c>
      <c r="B41272" s="3" t="str">
        <f>HYPERLINK("https://www.773grp.com/manufacturer/onsemi?pageNo=632", "ON Semiconductor")</f>
        <v>ON Semiconductor</v>
      </c>
      <c r="C41272" s="6">
        <v>6177</v>
      </c>
      <c r="D41272" s="7">
        <v>4.34</v>
      </c>
      <c r="E41272" t="s">
        <v>40</v>
      </c>
    </row>
    <row r="41273" spans="1:5" x14ac:dyDescent="0.25">
      <c r="A41273" t="str">
        <f>HYPERLINK("https://www.773grp.com/globalSearch/ADT7461ARMZ-002/page-1", "ADT7461ARMZ-002")</f>
        <v>ADT7461ARMZ-002</v>
      </c>
      <c r="B41273" s="3" t="str">
        <f>HYPERLINK("https://www.773grp.com/manufacturer/onsemi?pageNo=633", "ON Semiconductor")</f>
        <v>ON Semiconductor</v>
      </c>
      <c r="C41273" s="6">
        <v>1000</v>
      </c>
      <c r="D41273" s="7">
        <v>4.34</v>
      </c>
      <c r="E41273" t="s">
        <v>40</v>
      </c>
    </row>
    <row r="41274" spans="1:5" x14ac:dyDescent="0.25">
      <c r="A41274" t="str">
        <f>HYPERLINK("https://www.773grp.com/globalSearch/ADT7461ARMZ-R7/page-1", "ADT7461ARMZ-R7")</f>
        <v>ADT7461ARMZ-R7</v>
      </c>
      <c r="B41274" s="3" t="str">
        <f>HYPERLINK("https://www.773grp.com/manufacturer/onsemi?pageNo=634", "ON Semiconductor")</f>
        <v>ON Semiconductor</v>
      </c>
      <c r="C41274" s="6">
        <v>508</v>
      </c>
      <c r="D41274" s="7">
        <v>4.34</v>
      </c>
    </row>
    <row r="41275" spans="1:5" x14ac:dyDescent="0.25">
      <c r="A41275" t="str">
        <f>HYPERLINK("https://www.773grp.com/globalSearch/ADT7461ARZ/page-1", "ADT7461ARZ")</f>
        <v>ADT7461ARZ</v>
      </c>
      <c r="B41275" s="3" t="str">
        <f>HYPERLINK("https://www.773grp.com/manufacturer/onsemi?pageNo=635", "ON Semiconductor")</f>
        <v>ON Semiconductor</v>
      </c>
      <c r="C41275" s="6">
        <v>15</v>
      </c>
      <c r="D41275" s="7">
        <v>4.34</v>
      </c>
      <c r="E41275" t="s">
        <v>40</v>
      </c>
    </row>
    <row r="41276" spans="1:5" x14ac:dyDescent="0.25">
      <c r="A41276" t="str">
        <f>HYPERLINK("https://www.773grp.com/globalSearch/ADT7461ARZ-REEL/page-1", "ADT7461ARZ-REEL")</f>
        <v>ADT7461ARZ-REEL</v>
      </c>
      <c r="B41276" s="3" t="str">
        <f>HYPERLINK("https://www.773grp.com/manufacturer/onsemi?pageNo=636", "ON Semiconductor")</f>
        <v>ON Semiconductor</v>
      </c>
      <c r="C41276" s="6">
        <v>6151</v>
      </c>
      <c r="D41276" s="7">
        <v>4.34</v>
      </c>
    </row>
    <row r="41277" spans="1:5" x14ac:dyDescent="0.25">
      <c r="A41277" t="str">
        <f>HYPERLINK("https://www.773grp.com/globalSearch/NGTB15N120FLWG/page-1", "NGTB15N120FLWG")</f>
        <v>NGTB15N120FLWG</v>
      </c>
      <c r="B41277" s="3" t="str">
        <f>HYPERLINK("https://www.773grp.com/manufacturer/onsemi?pageNo=637", "ON Semiconductor")</f>
        <v>ON Semiconductor</v>
      </c>
      <c r="C41277" s="6">
        <v>180</v>
      </c>
      <c r="D41277" s="7">
        <v>4.34</v>
      </c>
    </row>
    <row r="41278" spans="1:5" x14ac:dyDescent="0.25">
      <c r="A41278" t="str">
        <f>HYPERLINK("https://www.773grp.com/globalSearch/CS51414GDR8G/page-1", "CS51414GDR8G")</f>
        <v>CS51414GDR8G</v>
      </c>
      <c r="B41278" s="3" t="str">
        <f>HYPERLINK("https://www.773grp.com/manufacturer/onsemi?pageNo=638", "ON Semiconductor")</f>
        <v>ON Semiconductor</v>
      </c>
      <c r="C41278" s="6">
        <v>17500</v>
      </c>
      <c r="D41278" s="7">
        <v>4.79</v>
      </c>
      <c r="E41278" t="s">
        <v>7</v>
      </c>
    </row>
    <row r="41279" spans="1:5" x14ac:dyDescent="0.25">
      <c r="A41279" t="str">
        <f>HYPERLINK("https://www.773grp.com/globalSearch/CS69062DW16/page-1", "CS69062DW16")</f>
        <v>CS69062DW16</v>
      </c>
      <c r="B41279" s="3" t="str">
        <f>HYPERLINK("https://www.773grp.com/manufacturer/onsemi?pageNo=639", "ON Semiconductor")</f>
        <v>ON Semiconductor</v>
      </c>
      <c r="C41279" s="6">
        <v>2867</v>
      </c>
      <c r="D41279" s="7">
        <v>4.79</v>
      </c>
    </row>
    <row r="41280" spans="1:5" x14ac:dyDescent="0.25">
      <c r="A41280" t="str">
        <f>HYPERLINK("https://www.773grp.com/globalSearch/CS69062DWR16/page-1", "CS69062DWR16")</f>
        <v>CS69062DWR16</v>
      </c>
      <c r="B41280" s="3" t="str">
        <f>HYPERLINK("https://www.773grp.com/manufacturer/onsemi?pageNo=640", "ON Semiconductor")</f>
        <v>ON Semiconductor</v>
      </c>
      <c r="C41280" s="6">
        <v>4000</v>
      </c>
      <c r="D41280" s="7">
        <v>4.79</v>
      </c>
    </row>
    <row r="41281" spans="1:5" x14ac:dyDescent="0.25">
      <c r="A41281" t="str">
        <f>HYPERLINK("https://www.773grp.com/globalSearch/LV8731V-TLM-H/page-1", "LV8731V-TLM-H")</f>
        <v>LV8731V-TLM-H</v>
      </c>
      <c r="B41281" s="3" t="str">
        <f>HYPERLINK("https://www.773grp.com/manufacturer/onsemi?pageNo=641", "ON Semiconductor")</f>
        <v>ON Semiconductor</v>
      </c>
      <c r="C41281" s="6">
        <v>564</v>
      </c>
      <c r="D41281" s="7">
        <v>4.79</v>
      </c>
    </row>
    <row r="41282" spans="1:5" x14ac:dyDescent="0.25">
      <c r="A41282" t="str">
        <f>HYPERLINK("https://www.773grp.com/globalSearch/MC33025DW/page-1", "MC33025DW")</f>
        <v>MC33025DW</v>
      </c>
      <c r="B41282" s="3" t="str">
        <f>HYPERLINK("https://www.773grp.com/manufacturer/onsemi?pageNo=642", "ON Semiconductor")</f>
        <v>ON Semiconductor</v>
      </c>
      <c r="C41282" s="6">
        <v>81</v>
      </c>
      <c r="D41282" s="7">
        <v>4.79</v>
      </c>
      <c r="E41282" t="s">
        <v>7</v>
      </c>
    </row>
    <row r="41283" spans="1:5" x14ac:dyDescent="0.25">
      <c r="A41283" t="str">
        <f>HYPERLINK("https://www.773grp.com/globalSearch/MC33025DWR2/page-1", "MC33025DWR2")</f>
        <v>MC33025DWR2</v>
      </c>
      <c r="B41283" s="3" t="str">
        <f>HYPERLINK("https://www.773grp.com/manufacturer/onsemi?pageNo=643", "ON Semiconductor")</f>
        <v>ON Semiconductor</v>
      </c>
      <c r="C41283" s="6">
        <v>7100</v>
      </c>
      <c r="D41283" s="7">
        <v>4.79</v>
      </c>
      <c r="E41283" t="s">
        <v>7</v>
      </c>
    </row>
    <row r="41284" spans="1:5" x14ac:dyDescent="0.25">
      <c r="A41284" t="str">
        <f>HYPERLINK("https://www.773grp.com/globalSearch/MPIC2117P/page-1", "MPIC2117P")</f>
        <v>MPIC2117P</v>
      </c>
      <c r="B41284" s="3" t="str">
        <f>HYPERLINK("https://www.773grp.com/manufacturer/onsemi?pageNo=644", "ON Semiconductor")</f>
        <v>ON Semiconductor</v>
      </c>
      <c r="C41284" s="6">
        <v>750</v>
      </c>
      <c r="D41284" s="7">
        <v>4.79</v>
      </c>
      <c r="E41284" t="s">
        <v>16</v>
      </c>
    </row>
    <row r="41285" spans="1:5" x14ac:dyDescent="0.25">
      <c r="A41285" t="str">
        <f>HYPERLINK("https://www.773grp.com/globalSearch/MTB6N60E/page-1", "MTB6N60E")</f>
        <v>MTB6N60E</v>
      </c>
      <c r="B41285" s="3" t="str">
        <f>HYPERLINK("https://www.773grp.com/manufacturer/onsemi?pageNo=645", "ON Semiconductor")</f>
        <v>ON Semiconductor</v>
      </c>
      <c r="C41285" s="6">
        <v>17</v>
      </c>
      <c r="D41285" s="7">
        <v>4.79</v>
      </c>
      <c r="E41285" t="s">
        <v>105</v>
      </c>
    </row>
    <row r="41286" spans="1:5" x14ac:dyDescent="0.25">
      <c r="A41286" t="str">
        <f>HYPERLINK("https://www.773grp.com/globalSearch/MTB6N60E1/page-1", "MTB6N60E1")</f>
        <v>MTB6N60E1</v>
      </c>
      <c r="B41286" s="3" t="str">
        <f>HYPERLINK("https://www.773grp.com/manufacturer/onsemi?pageNo=646", "ON Semiconductor")</f>
        <v>ON Semiconductor</v>
      </c>
      <c r="C41286" s="6">
        <v>125</v>
      </c>
      <c r="D41286" s="7">
        <v>4.79</v>
      </c>
      <c r="E41286" t="s">
        <v>105</v>
      </c>
    </row>
    <row r="41287" spans="1:5" x14ac:dyDescent="0.25">
      <c r="A41287" t="str">
        <f>HYPERLINK("https://www.773grp.com/globalSearch/MTB6N60ET4/page-1", "MTB6N60ET4")</f>
        <v>MTB6N60ET4</v>
      </c>
      <c r="B41287" s="3" t="str">
        <f>HYPERLINK("https://www.773grp.com/manufacturer/onsemi?pageNo=647", "ON Semiconductor")</f>
        <v>ON Semiconductor</v>
      </c>
      <c r="C41287" s="6">
        <v>940</v>
      </c>
      <c r="D41287" s="7">
        <v>4.79</v>
      </c>
      <c r="E41287" t="s">
        <v>105</v>
      </c>
    </row>
    <row r="41288" spans="1:5" x14ac:dyDescent="0.25">
      <c r="A41288" t="str">
        <f>HYPERLINK("https://www.773grp.com/globalSearch/NCP1651DR2/page-1", "NCP1651DR2")</f>
        <v>NCP1651DR2</v>
      </c>
      <c r="B41288" s="3" t="str">
        <f>HYPERLINK("https://www.773grp.com/manufacturer/onsemi?pageNo=648", "ON Semiconductor")</f>
        <v>ON Semiconductor</v>
      </c>
      <c r="C41288" s="6">
        <v>6788</v>
      </c>
      <c r="D41288" s="7">
        <v>4.79</v>
      </c>
      <c r="E41288" t="s">
        <v>7</v>
      </c>
    </row>
    <row r="41289" spans="1:5" x14ac:dyDescent="0.25">
      <c r="A41289" t="str">
        <f>HYPERLINK("https://www.773grp.com/globalSearch/ADT7488AARMZ-RL/page-1", "ADT7488AARMZ-RL")</f>
        <v>ADT7488AARMZ-RL</v>
      </c>
      <c r="B41289" s="3" t="str">
        <f>HYPERLINK("https://www.773grp.com/manufacturer/onsemi?pageNo=649", "ON Semiconductor")</f>
        <v>ON Semiconductor</v>
      </c>
      <c r="C41289" s="6">
        <v>9000</v>
      </c>
      <c r="D41289" s="7">
        <v>4.3499999999999996</v>
      </c>
    </row>
    <row r="41290" spans="1:5" x14ac:dyDescent="0.25">
      <c r="A41290" t="str">
        <f>HYPERLINK("https://www.773grp.com/globalSearch/LV47004P-E/page-1", "LV47004P-E")</f>
        <v>LV47004P-E</v>
      </c>
      <c r="B41290" s="3" t="str">
        <f>HYPERLINK("https://www.773grp.com/manufacturer/onsemi?pageNo=650", "ON Semiconductor")</f>
        <v>ON Semiconductor</v>
      </c>
      <c r="C41290" s="6">
        <v>9105</v>
      </c>
      <c r="D41290" s="7">
        <v>4.3499999999999996</v>
      </c>
    </row>
    <row r="41291" spans="1:5" x14ac:dyDescent="0.25">
      <c r="A41291" t="str">
        <f>HYPERLINK("https://www.773grp.com/globalSearch/MC100EP11D/page-1", "MC100EP11D")</f>
        <v>MC100EP11D</v>
      </c>
      <c r="B41291" s="3" t="str">
        <f>HYPERLINK("https://www.773grp.com/manufacturer/onsemi?pageNo=651", "ON Semiconductor")</f>
        <v>ON Semiconductor</v>
      </c>
      <c r="C41291" s="6">
        <v>29889</v>
      </c>
      <c r="D41291" s="7">
        <v>4.3499999999999996</v>
      </c>
      <c r="E41291" t="s">
        <v>34</v>
      </c>
    </row>
    <row r="41292" spans="1:5" x14ac:dyDescent="0.25">
      <c r="A41292" t="str">
        <f>HYPERLINK("https://www.773grp.com/globalSearch/MC100EP11DR2/page-1", "MC100EP11DR2")</f>
        <v>MC100EP11DR2</v>
      </c>
      <c r="B41292" s="3" t="str">
        <f>HYPERLINK("https://www.773grp.com/manufacturer/onsemi?pageNo=652", "ON Semiconductor")</f>
        <v>ON Semiconductor</v>
      </c>
      <c r="C41292" s="6">
        <v>9850</v>
      </c>
      <c r="D41292" s="7">
        <v>4.3499999999999996</v>
      </c>
      <c r="E41292" t="s">
        <v>34</v>
      </c>
    </row>
    <row r="41293" spans="1:5" x14ac:dyDescent="0.25">
      <c r="A41293" t="str">
        <f>HYPERLINK("https://www.773grp.com/globalSearch/MC100EP11DT/page-1", "MC100EP11DT")</f>
        <v>MC100EP11DT</v>
      </c>
      <c r="B41293" s="3" t="str">
        <f>HYPERLINK("https://www.773grp.com/manufacturer/onsemi?pageNo=653", "ON Semiconductor")</f>
        <v>ON Semiconductor</v>
      </c>
      <c r="C41293" s="6">
        <v>8040</v>
      </c>
      <c r="D41293" s="7">
        <v>4.3499999999999996</v>
      </c>
      <c r="E41293" t="s">
        <v>34</v>
      </c>
    </row>
    <row r="41294" spans="1:5" x14ac:dyDescent="0.25">
      <c r="A41294" t="str">
        <f>HYPERLINK("https://www.773grp.com/globalSearch/MC100LVEP11D/page-1", "MC100LVEP11D")</f>
        <v>MC100LVEP11D</v>
      </c>
      <c r="B41294" s="3" t="str">
        <f>HYPERLINK("https://www.773grp.com/manufacturer/onsemi?pageNo=654", "ON Semiconductor")</f>
        <v>ON Semiconductor</v>
      </c>
      <c r="C41294" s="6">
        <v>22608</v>
      </c>
      <c r="D41294" s="7">
        <v>4.3499999999999996</v>
      </c>
      <c r="E41294" t="s">
        <v>34</v>
      </c>
    </row>
    <row r="41295" spans="1:5" x14ac:dyDescent="0.25">
      <c r="A41295" t="str">
        <f>HYPERLINK("https://www.773grp.com/globalSearch/MC100LVEP11DR2/page-1", "MC100LVEP11DR2")</f>
        <v>MC100LVEP11DR2</v>
      </c>
      <c r="B41295" s="3" t="str">
        <f>HYPERLINK("https://www.773grp.com/manufacturer/onsemi?pageNo=655", "ON Semiconductor")</f>
        <v>ON Semiconductor</v>
      </c>
      <c r="C41295" s="6">
        <v>11900</v>
      </c>
      <c r="D41295" s="7">
        <v>4.3499999999999996</v>
      </c>
      <c r="E41295" t="s">
        <v>34</v>
      </c>
    </row>
    <row r="41296" spans="1:5" x14ac:dyDescent="0.25">
      <c r="A41296" t="str">
        <f>HYPERLINK("https://www.773grp.com/globalSearch/MC100LVEP11DT/page-1", "MC100LVEP11DT")</f>
        <v>MC100LVEP11DT</v>
      </c>
      <c r="B41296" s="3" t="str">
        <f>HYPERLINK("https://www.773grp.com/manufacturer/onsemi?pageNo=656", "ON Semiconductor")</f>
        <v>ON Semiconductor</v>
      </c>
      <c r="C41296" s="6">
        <v>16214</v>
      </c>
      <c r="D41296" s="7">
        <v>4.3499999999999996</v>
      </c>
      <c r="E41296" t="s">
        <v>34</v>
      </c>
    </row>
    <row r="41297" spans="1:5" x14ac:dyDescent="0.25">
      <c r="A41297" t="str">
        <f>HYPERLINK("https://www.773grp.com/globalSearch/MC100LVEP11DTR2/page-1", "MC100LVEP11DTR2")</f>
        <v>MC100LVEP11DTR2</v>
      </c>
      <c r="B41297" s="3" t="str">
        <f>HYPERLINK("https://www.773grp.com/manufacturer/onsemi?pageNo=657", "ON Semiconductor")</f>
        <v>ON Semiconductor</v>
      </c>
      <c r="C41297" s="6">
        <v>13044</v>
      </c>
      <c r="D41297" s="7">
        <v>4.3499999999999996</v>
      </c>
      <c r="E41297" t="s">
        <v>34</v>
      </c>
    </row>
    <row r="41298" spans="1:5" x14ac:dyDescent="0.25">
      <c r="A41298" t="str">
        <f>HYPERLINK("https://www.773grp.com/globalSearch/MC10EP11D/page-1", "MC10EP11D")</f>
        <v>MC10EP11D</v>
      </c>
      <c r="B41298" s="3" t="str">
        <f>HYPERLINK("https://www.773grp.com/manufacturer/onsemi?pageNo=658", "ON Semiconductor")</f>
        <v>ON Semiconductor</v>
      </c>
      <c r="C41298" s="6">
        <v>10764</v>
      </c>
      <c r="D41298" s="7">
        <v>4.3499999999999996</v>
      </c>
      <c r="E41298" t="s">
        <v>34</v>
      </c>
    </row>
    <row r="41299" spans="1:5" x14ac:dyDescent="0.25">
      <c r="A41299" t="str">
        <f>HYPERLINK("https://www.773grp.com/globalSearch/MC10H159PG/page-1", "MC10H159PG")</f>
        <v>MC10H159PG</v>
      </c>
      <c r="B41299" s="3" t="str">
        <f>HYPERLINK("https://www.773grp.com/manufacturer/onsemi?pageNo=659", "ON Semiconductor")</f>
        <v>ON Semiconductor</v>
      </c>
      <c r="C41299" s="6">
        <v>3650</v>
      </c>
      <c r="D41299" s="7">
        <v>4.3499999999999996</v>
      </c>
      <c r="E41299" t="s">
        <v>20</v>
      </c>
    </row>
    <row r="41300" spans="1:5" x14ac:dyDescent="0.25">
      <c r="A41300" t="str">
        <f>HYPERLINK("https://www.773grp.com/globalSearch/MC10H173FN/page-1", "MC10H173FN")</f>
        <v>MC10H173FN</v>
      </c>
      <c r="B41300" s="3" t="str">
        <f>HYPERLINK("https://www.773grp.com/manufacturer/onsemi?pageNo=660", "ON Semiconductor")</f>
        <v>ON Semiconductor</v>
      </c>
      <c r="C41300" s="6">
        <v>2484</v>
      </c>
      <c r="D41300" s="7">
        <v>4.3499999999999996</v>
      </c>
      <c r="E41300" t="s">
        <v>35</v>
      </c>
    </row>
    <row r="41301" spans="1:5" x14ac:dyDescent="0.25">
      <c r="A41301" t="str">
        <f>HYPERLINK("https://www.773grp.com/globalSearch/MC10LVEP11D/page-1", "MC10LVEP11D")</f>
        <v>MC10LVEP11D</v>
      </c>
      <c r="B41301" s="3" t="str">
        <f>HYPERLINK("https://www.773grp.com/manufacturer/onsemi?pageNo=661", "ON Semiconductor")</f>
        <v>ON Semiconductor</v>
      </c>
      <c r="C41301" s="6">
        <v>17560</v>
      </c>
      <c r="D41301" s="7">
        <v>4.3499999999999996</v>
      </c>
      <c r="E41301" t="s">
        <v>34</v>
      </c>
    </row>
    <row r="41302" spans="1:5" x14ac:dyDescent="0.25">
      <c r="A41302" t="str">
        <f>HYPERLINK("https://www.773grp.com/globalSearch/MC10LVEP11DR2/page-1", "MC10LVEP11DR2")</f>
        <v>MC10LVEP11DR2</v>
      </c>
      <c r="B41302" s="3" t="str">
        <f>HYPERLINK("https://www.773grp.com/manufacturer/onsemi?pageNo=662", "ON Semiconductor")</f>
        <v>ON Semiconductor</v>
      </c>
      <c r="C41302" s="6">
        <v>4600</v>
      </c>
      <c r="D41302" s="7">
        <v>4.3499999999999996</v>
      </c>
      <c r="E41302" t="s">
        <v>34</v>
      </c>
    </row>
    <row r="41303" spans="1:5" x14ac:dyDescent="0.25">
      <c r="A41303" t="str">
        <f>HYPERLINK("https://www.773grp.com/globalSearch/MC10LVEP11DT/page-1", "MC10LVEP11DT")</f>
        <v>MC10LVEP11DT</v>
      </c>
      <c r="B41303" s="3" t="str">
        <f>HYPERLINK("https://www.773grp.com/manufacturer/onsemi?pageNo=663", "ON Semiconductor")</f>
        <v>ON Semiconductor</v>
      </c>
      <c r="C41303" s="6">
        <v>25433</v>
      </c>
      <c r="D41303" s="7">
        <v>4.3499999999999996</v>
      </c>
      <c r="E41303" t="s">
        <v>34</v>
      </c>
    </row>
    <row r="41304" spans="1:5" x14ac:dyDescent="0.25">
      <c r="A41304" t="str">
        <f>HYPERLINK("https://www.773grp.com/globalSearch/MJW21193G/page-1", "MJW21193G")</f>
        <v>MJW21193G</v>
      </c>
      <c r="B41304" s="3" t="str">
        <f>HYPERLINK("https://www.773grp.com/manufacturer/onsemi?pageNo=664", "ON Semiconductor")</f>
        <v>ON Semiconductor</v>
      </c>
      <c r="C41304" s="6">
        <v>3135</v>
      </c>
      <c r="D41304" s="7">
        <v>4.3499999999999996</v>
      </c>
      <c r="E41304" t="s">
        <v>59</v>
      </c>
    </row>
    <row r="41305" spans="1:5" x14ac:dyDescent="0.25">
      <c r="A41305" t="str">
        <f>HYPERLINK("https://www.773grp.com/globalSearch/MJW21194G/page-1", "MJW21194G")</f>
        <v>MJW21194G</v>
      </c>
      <c r="B41305" s="3" t="str">
        <f>HYPERLINK("https://www.773grp.com/manufacturer/onsemi?pageNo=665", "ON Semiconductor")</f>
        <v>ON Semiconductor</v>
      </c>
      <c r="C41305" s="6">
        <v>1004</v>
      </c>
      <c r="D41305" s="7">
        <v>4.3499999999999996</v>
      </c>
      <c r="E41305" t="s">
        <v>59</v>
      </c>
    </row>
    <row r="41306" spans="1:5" x14ac:dyDescent="0.25">
      <c r="A41306" t="str">
        <f>HYPERLINK("https://www.773grp.com/globalSearch/2N3772G/page-1", "2N3772G")</f>
        <v>2N3772G</v>
      </c>
      <c r="B41306" s="3" t="str">
        <f>HYPERLINK("https://www.773grp.com/manufacturer/onsemi?pageNo=666", "ON Semiconductor")</f>
        <v>ON Semiconductor</v>
      </c>
      <c r="C41306" s="6">
        <v>900</v>
      </c>
      <c r="D41306" s="7">
        <v>4.3899999999999997</v>
      </c>
    </row>
    <row r="41307" spans="1:5" x14ac:dyDescent="0.25">
      <c r="A41307" t="str">
        <f>HYPERLINK("https://www.773grp.com/globalSearch/MC10124FN/page-1", "MC10124FN")</f>
        <v>MC10124FN</v>
      </c>
      <c r="B41307" s="3" t="str">
        <f>HYPERLINK("https://www.773grp.com/manufacturer/onsemi?pageNo=667", "ON Semiconductor")</f>
        <v>ON Semiconductor</v>
      </c>
      <c r="C41307" s="6">
        <v>979</v>
      </c>
      <c r="D41307" s="7">
        <v>4.3899999999999997</v>
      </c>
      <c r="E41307" t="s">
        <v>73</v>
      </c>
    </row>
    <row r="41308" spans="1:5" x14ac:dyDescent="0.25">
      <c r="A41308" t="str">
        <f>HYPERLINK("https://www.773grp.com/globalSearch/SJ83180/page-1", "SJ83180")</f>
        <v>SJ83180</v>
      </c>
      <c r="B41308" s="3" t="str">
        <f>HYPERLINK("https://www.773grp.com/manufacturer/onsemi?pageNo=668", "ON Semiconductor")</f>
        <v>ON Semiconductor</v>
      </c>
      <c r="C41308" s="6">
        <v>1200</v>
      </c>
      <c r="D41308" s="7">
        <v>4.3899999999999997</v>
      </c>
    </row>
    <row r="41309" spans="1:5" x14ac:dyDescent="0.25">
      <c r="A41309" t="str">
        <f>HYPERLINK("https://www.773grp.com/globalSearch/LB1941T-TLM-E/page-1", "LB1941T-TLM-E")</f>
        <v>LB1941T-TLM-E</v>
      </c>
      <c r="B41309" s="3" t="str">
        <f>HYPERLINK("https://www.773grp.com/manufacturer/onsemi?pageNo=669", "ON Semiconductor")</f>
        <v>ON Semiconductor</v>
      </c>
      <c r="C41309" s="6">
        <v>213</v>
      </c>
      <c r="D41309" s="7">
        <v>4.8600000000000003</v>
      </c>
    </row>
    <row r="41310" spans="1:5" x14ac:dyDescent="0.25">
      <c r="A41310" t="str">
        <f>HYPERLINK("https://www.773grp.com/globalSearch/MBRF30H150CTG/page-1", "MBRF30H150CTG")</f>
        <v>MBRF30H150CTG</v>
      </c>
      <c r="B41310" s="3" t="str">
        <f>HYPERLINK("https://www.773grp.com/manufacturer/onsemi?pageNo=670", "ON Semiconductor")</f>
        <v>ON Semiconductor</v>
      </c>
      <c r="C41310" s="6">
        <v>452862</v>
      </c>
      <c r="D41310" s="7">
        <v>4.8600000000000003</v>
      </c>
      <c r="E41310" t="s">
        <v>103</v>
      </c>
    </row>
    <row r="41311" spans="1:5" x14ac:dyDescent="0.25">
      <c r="A41311" t="str">
        <f>HYPERLINK("https://www.773grp.com/globalSearch/NCP4423DWR2/page-1", "NCP4423DWR2")</f>
        <v>NCP4423DWR2</v>
      </c>
      <c r="B41311" s="3" t="str">
        <f>HYPERLINK("https://www.773grp.com/manufacturer/onsemi?pageNo=671", "ON Semiconductor")</f>
        <v>ON Semiconductor</v>
      </c>
      <c r="C41311" s="6">
        <v>28700</v>
      </c>
      <c r="D41311" s="7">
        <v>4.8600000000000003</v>
      </c>
      <c r="E41311" t="s">
        <v>16</v>
      </c>
    </row>
    <row r="41312" spans="1:5" x14ac:dyDescent="0.25">
      <c r="A41312" t="str">
        <f>HYPERLINK("https://www.773grp.com/globalSearch/NCP4424DWR2/page-1", "NCP4424DWR2")</f>
        <v>NCP4424DWR2</v>
      </c>
      <c r="B41312" s="3" t="str">
        <f>HYPERLINK("https://www.773grp.com/manufacturer/onsemi?pageNo=672", "ON Semiconductor")</f>
        <v>ON Semiconductor</v>
      </c>
      <c r="C41312" s="6">
        <v>28715</v>
      </c>
      <c r="D41312" s="7">
        <v>4.8600000000000003</v>
      </c>
      <c r="E41312" t="s">
        <v>16</v>
      </c>
    </row>
    <row r="41313" spans="1:5" x14ac:dyDescent="0.25">
      <c r="A41313" t="str">
        <f>HYPERLINK("https://www.773grp.com/globalSearch/NCP4425DWR2/page-1", "NCP4425DWR2")</f>
        <v>NCP4425DWR2</v>
      </c>
      <c r="B41313" s="3" t="str">
        <f>HYPERLINK("https://www.773grp.com/manufacturer/onsemi?pageNo=673", "ON Semiconductor")</f>
        <v>ON Semiconductor</v>
      </c>
      <c r="C41313" s="6">
        <v>18675</v>
      </c>
      <c r="D41313" s="7">
        <v>4.8600000000000003</v>
      </c>
      <c r="E41313" t="s">
        <v>16</v>
      </c>
    </row>
    <row r="41314" spans="1:5" x14ac:dyDescent="0.25">
      <c r="A41314" t="str">
        <f>HYPERLINK("https://www.773grp.com/globalSearch/STP8057/page-1", "STP8057")</f>
        <v>STP8057</v>
      </c>
      <c r="B41314" s="3" t="str">
        <f>HYPERLINK("https://www.773grp.com/manufacturer/onsemi?pageNo=674", "ON Semiconductor")</f>
        <v>ON Semiconductor</v>
      </c>
      <c r="C41314" s="6">
        <v>1300</v>
      </c>
      <c r="D41314" s="7">
        <v>4.8600000000000003</v>
      </c>
    </row>
    <row r="41315" spans="1:5" x14ac:dyDescent="0.25">
      <c r="A41315" t="str">
        <f>HYPERLINK("https://www.773grp.com/globalSearch/TE02208/page-1", "TE02208")</f>
        <v>TE02208</v>
      </c>
      <c r="B41315" s="3" t="str">
        <f>HYPERLINK("https://www.773grp.com/manufacturer/onsemi?pageNo=675", "ON Semiconductor")</f>
        <v>ON Semiconductor</v>
      </c>
      <c r="C41315" s="6">
        <v>600</v>
      </c>
      <c r="D41315" s="7">
        <v>4.8600000000000003</v>
      </c>
    </row>
    <row r="41316" spans="1:5" x14ac:dyDescent="0.25">
      <c r="A41316" t="str">
        <f>HYPERLINK("https://www.773grp.com/globalSearch/2N6052G/page-1", "2N6052G")</f>
        <v>2N6052G</v>
      </c>
      <c r="B41316" s="3" t="str">
        <f>HYPERLINK("https://www.773grp.com/manufacturer/onsemi?pageNo=676", "ON Semiconductor")</f>
        <v>ON Semiconductor</v>
      </c>
      <c r="C41316" s="6">
        <v>103</v>
      </c>
      <c r="D41316" s="7">
        <v>4.43</v>
      </c>
      <c r="E41316" t="s">
        <v>59</v>
      </c>
    </row>
    <row r="41317" spans="1:5" x14ac:dyDescent="0.25">
      <c r="A41317" t="str">
        <f>HYPERLINK("https://www.773grp.com/globalSearch/2N6286G/page-1", "2N6286G")</f>
        <v>2N6286G</v>
      </c>
      <c r="B41317" s="3" t="str">
        <f>HYPERLINK("https://www.773grp.com/manufacturer/onsemi?pageNo=677", "ON Semiconductor")</f>
        <v>ON Semiconductor</v>
      </c>
      <c r="C41317" s="6">
        <v>413</v>
      </c>
      <c r="D41317" s="7">
        <v>4.43</v>
      </c>
      <c r="E41317" t="s">
        <v>59</v>
      </c>
    </row>
    <row r="41318" spans="1:5" x14ac:dyDescent="0.25">
      <c r="A41318" t="str">
        <f>HYPERLINK("https://www.773grp.com/globalSearch/2N6287G/page-1", "2N6287G")</f>
        <v>2N6287G</v>
      </c>
      <c r="B41318" s="3" t="str">
        <f>HYPERLINK("https://www.773grp.com/manufacturer/onsemi?pageNo=678", "ON Semiconductor")</f>
        <v>ON Semiconductor</v>
      </c>
      <c r="C41318" s="6">
        <v>500</v>
      </c>
      <c r="D41318" s="7">
        <v>4.43</v>
      </c>
      <c r="E41318" t="s">
        <v>59</v>
      </c>
    </row>
    <row r="41319" spans="1:5" x14ac:dyDescent="0.25">
      <c r="A41319" t="str">
        <f>HYPERLINK("https://www.773grp.com/globalSearch/LB11988-E/page-1", "LB11988-E")</f>
        <v>LB11988-E</v>
      </c>
      <c r="B41319" s="3" t="str">
        <f>HYPERLINK("https://www.773grp.com/manufacturer/onsemi?pageNo=679", "ON Semiconductor")</f>
        <v>ON Semiconductor</v>
      </c>
      <c r="C41319" s="6">
        <v>680</v>
      </c>
      <c r="D41319" s="7">
        <v>4.43</v>
      </c>
    </row>
    <row r="41320" spans="1:5" x14ac:dyDescent="0.25">
      <c r="A41320" t="str">
        <f>HYPERLINK("https://www.773grp.com/globalSearch/MJ11015G/page-1", "MJ11015G")</f>
        <v>MJ11015G</v>
      </c>
      <c r="B41320" s="3" t="str">
        <f>HYPERLINK("https://www.773grp.com/manufacturer/onsemi?pageNo=680", "ON Semiconductor")</f>
        <v>ON Semiconductor</v>
      </c>
      <c r="C41320" s="6">
        <v>20</v>
      </c>
      <c r="D41320" s="7">
        <v>4.43</v>
      </c>
      <c r="E41320" t="s">
        <v>59</v>
      </c>
    </row>
    <row r="41321" spans="1:5" x14ac:dyDescent="0.25">
      <c r="A41321" t="str">
        <f>HYPERLINK("https://www.773grp.com/globalSearch/ADT7473ARQZ-001/page-1", "ADT7473ARQZ-001")</f>
        <v>ADT7473ARQZ-001</v>
      </c>
      <c r="B41321" s="3" t="str">
        <f>HYPERLINK("https://www.773grp.com/manufacturer/onsemi?pageNo=681", "ON Semiconductor")</f>
        <v>ON Semiconductor</v>
      </c>
      <c r="C41321" s="6">
        <v>686</v>
      </c>
      <c r="D41321" s="7">
        <v>4.91</v>
      </c>
      <c r="E41321" t="s">
        <v>12</v>
      </c>
    </row>
    <row r="41322" spans="1:5" x14ac:dyDescent="0.25">
      <c r="A41322" t="str">
        <f>HYPERLINK("https://www.773grp.com/globalSearch/ADT7476AARQZ-R/page-1", "ADT7476AARQZ-R")</f>
        <v>ADT7476AARQZ-R</v>
      </c>
      <c r="B41322" s="3" t="str">
        <f>HYPERLINK("https://www.773grp.com/manufacturer/onsemi?pageNo=682", "ON Semiconductor")</f>
        <v>ON Semiconductor</v>
      </c>
      <c r="C41322" s="6">
        <v>950</v>
      </c>
      <c r="D41322" s="7">
        <v>4.91</v>
      </c>
    </row>
    <row r="41323" spans="1:5" x14ac:dyDescent="0.25">
      <c r="A41323" t="str">
        <f>HYPERLINK("https://www.773grp.com/globalSearch/BTA25H-800CW3G/page-1", "BTA25H-800CW3G")</f>
        <v>BTA25H-800CW3G</v>
      </c>
      <c r="B41323" s="3" t="str">
        <f>HYPERLINK("https://www.773grp.com/manufacturer/onsemi?pageNo=683", "ON Semiconductor")</f>
        <v>ON Semiconductor</v>
      </c>
      <c r="C41323" s="6">
        <v>37</v>
      </c>
      <c r="D41323" s="7">
        <v>4.91</v>
      </c>
    </row>
    <row r="41324" spans="1:5" x14ac:dyDescent="0.25">
      <c r="A41324" t="str">
        <f>HYPERLINK("https://www.773grp.com/globalSearch/CS51414GMNR2G/page-1", "CS51414GMNR2G")</f>
        <v>CS51414GMNR2G</v>
      </c>
      <c r="B41324" s="3" t="str">
        <f>HYPERLINK("https://www.773grp.com/manufacturer/onsemi?pageNo=684", "ON Semiconductor")</f>
        <v>ON Semiconductor</v>
      </c>
      <c r="C41324" s="6">
        <v>2480</v>
      </c>
      <c r="D41324" s="7">
        <v>4.91</v>
      </c>
      <c r="E41324" t="s">
        <v>7</v>
      </c>
    </row>
    <row r="41325" spans="1:5" x14ac:dyDescent="0.25">
      <c r="A41325" t="str">
        <f>HYPERLINK("https://www.773grp.com/globalSearch/LV8804FV-MPB-H/page-1", "LV8804FV-MPB-H")</f>
        <v>LV8804FV-MPB-H</v>
      </c>
      <c r="B41325" s="3" t="str">
        <f>HYPERLINK("https://www.773grp.com/manufacturer/onsemi?pageNo=685", "ON Semiconductor")</f>
        <v>ON Semiconductor</v>
      </c>
      <c r="C41325" s="6">
        <v>90</v>
      </c>
      <c r="D41325" s="7">
        <v>4.91</v>
      </c>
    </row>
    <row r="41326" spans="1:5" x14ac:dyDescent="0.25">
      <c r="A41326" t="str">
        <f>HYPERLINK("https://www.773grp.com/globalSearch/LV8804FV-TLM-H/page-1", "LV8804FV-TLM-H")</f>
        <v>LV8804FV-TLM-H</v>
      </c>
      <c r="B41326" s="3" t="str">
        <f>HYPERLINK("https://www.773grp.com/manufacturer/onsemi?pageNo=686", "ON Semiconductor")</f>
        <v>ON Semiconductor</v>
      </c>
      <c r="C41326" s="6">
        <v>10100</v>
      </c>
      <c r="D41326" s="7">
        <v>4.91</v>
      </c>
    </row>
    <row r="41327" spans="1:5" x14ac:dyDescent="0.25">
      <c r="A41327" t="str">
        <f>HYPERLINK("https://www.773grp.com/globalSearch/LV8804FV-TRM-H/page-1", "LV8804FV-TRM-H")</f>
        <v>LV8804FV-TRM-H</v>
      </c>
      <c r="B41327" s="3" t="str">
        <f>HYPERLINK("https://www.773grp.com/manufacturer/onsemi?pageNo=687", "ON Semiconductor")</f>
        <v>ON Semiconductor</v>
      </c>
      <c r="C41327" s="6">
        <v>2000</v>
      </c>
      <c r="D41327" s="7">
        <v>4.91</v>
      </c>
    </row>
    <row r="41328" spans="1:5" x14ac:dyDescent="0.25">
      <c r="A41328" t="str">
        <f>HYPERLINK("https://www.773grp.com/globalSearch/MC14585BCL/page-1", "MC14585BCL")</f>
        <v>MC14585BCL</v>
      </c>
      <c r="B41328" s="3" t="str">
        <f>HYPERLINK("https://www.773grp.com/manufacturer/onsemi?pageNo=688", "ON Semiconductor")</f>
        <v>ON Semiconductor</v>
      </c>
      <c r="C41328" s="6">
        <v>1871</v>
      </c>
      <c r="D41328" s="7">
        <v>4.91</v>
      </c>
      <c r="E41328" t="s">
        <v>43</v>
      </c>
    </row>
    <row r="41329" spans="1:5" x14ac:dyDescent="0.25">
      <c r="A41329" t="str">
        <f>HYPERLINK("https://www.773grp.com/globalSearch/MC33283FTB28/page-1", "MC33283FTB28")</f>
        <v>MC33283FTB28</v>
      </c>
      <c r="B41329" s="3" t="str">
        <f>HYPERLINK("https://www.773grp.com/manufacturer/onsemi?pageNo=689", "ON Semiconductor")</f>
        <v>ON Semiconductor</v>
      </c>
      <c r="C41329" s="6">
        <v>481</v>
      </c>
      <c r="D41329" s="7">
        <v>4.91</v>
      </c>
      <c r="E41329" t="s">
        <v>30</v>
      </c>
    </row>
    <row r="41330" spans="1:5" x14ac:dyDescent="0.25">
      <c r="A41330" t="str">
        <f>HYPERLINK("https://www.773grp.com/globalSearch/MC33283FTB28R2/page-1", "MC33283FTB28R2")</f>
        <v>MC33283FTB28R2</v>
      </c>
      <c r="B41330" s="3" t="str">
        <f>HYPERLINK("https://www.773grp.com/manufacturer/onsemi?pageNo=690", "ON Semiconductor")</f>
        <v>ON Semiconductor</v>
      </c>
      <c r="C41330" s="6">
        <v>12000</v>
      </c>
      <c r="D41330" s="7">
        <v>4.91</v>
      </c>
      <c r="E41330" t="s">
        <v>30</v>
      </c>
    </row>
    <row r="41331" spans="1:5" x14ac:dyDescent="0.25">
      <c r="A41331" t="str">
        <f>HYPERLINK("https://www.773grp.com/globalSearch/NE521N/page-1", "NE521N")</f>
        <v>NE521N</v>
      </c>
      <c r="B41331" s="3" t="str">
        <f>HYPERLINK("https://www.773grp.com/manufacturer/onsemi?pageNo=691", "ON Semiconductor")</f>
        <v>ON Semiconductor</v>
      </c>
      <c r="C41331" s="6">
        <v>2525</v>
      </c>
      <c r="D41331" s="7">
        <v>4.91</v>
      </c>
      <c r="E41331" t="s">
        <v>9</v>
      </c>
    </row>
    <row r="41332" spans="1:5" x14ac:dyDescent="0.25">
      <c r="A41332" t="str">
        <f>HYPERLINK("https://www.773grp.com/globalSearch/NLSV8T240MUTAG/page-1", "NLSV8T240MUTAG")</f>
        <v>NLSV8T240MUTAG</v>
      </c>
      <c r="B41332" s="3" t="str">
        <f>HYPERLINK("https://www.773grp.com/manufacturer/onsemi?pageNo=692", "ON Semiconductor")</f>
        <v>ON Semiconductor</v>
      </c>
      <c r="C41332" s="6">
        <v>33000</v>
      </c>
      <c r="D41332" s="7">
        <v>4.91</v>
      </c>
    </row>
    <row r="41333" spans="1:5" x14ac:dyDescent="0.25">
      <c r="A41333" t="str">
        <f>HYPERLINK("https://www.773grp.com/globalSearch/NLSV8T244DWR2G/page-1", "NLSV8T244DWR2G")</f>
        <v>NLSV8T244DWR2G</v>
      </c>
      <c r="B41333" s="3" t="str">
        <f>HYPERLINK("https://www.773grp.com/manufacturer/onsemi?pageNo=693", "ON Semiconductor")</f>
        <v>ON Semiconductor</v>
      </c>
      <c r="C41333" s="6">
        <v>4836</v>
      </c>
      <c r="D41333" s="7">
        <v>4.91</v>
      </c>
      <c r="E41333" t="s">
        <v>14</v>
      </c>
    </row>
    <row r="41334" spans="1:5" x14ac:dyDescent="0.25">
      <c r="A41334" t="str">
        <f>HYPERLINK("https://www.773grp.com/globalSearch/NLSV8T244MUTAG/page-1", "NLSV8T244MUTAG")</f>
        <v>NLSV8T244MUTAG</v>
      </c>
      <c r="B41334" s="3" t="str">
        <f>HYPERLINK("https://www.773grp.com/manufacturer/onsemi?pageNo=694", "ON Semiconductor")</f>
        <v>ON Semiconductor</v>
      </c>
      <c r="C41334" s="6">
        <v>19484</v>
      </c>
      <c r="D41334" s="7">
        <v>4.91</v>
      </c>
      <c r="E41334" t="s">
        <v>14</v>
      </c>
    </row>
    <row r="41335" spans="1:5" x14ac:dyDescent="0.25">
      <c r="A41335" t="str">
        <f>HYPERLINK("https://www.773grp.com/globalSearch/CS8126-1YT5G/page-1", "CS8126-1YT5G")</f>
        <v>CS8126-1YT5G</v>
      </c>
      <c r="B41335" s="3" t="str">
        <f>HYPERLINK("https://www.773grp.com/manufacturer/onsemi?pageNo=695", "ON Semiconductor")</f>
        <v>ON Semiconductor</v>
      </c>
      <c r="C41335" s="6">
        <v>3584</v>
      </c>
      <c r="D41335" s="7">
        <v>4.4400000000000004</v>
      </c>
      <c r="E41335" t="s">
        <v>19</v>
      </c>
    </row>
    <row r="41336" spans="1:5" x14ac:dyDescent="0.25">
      <c r="A41336" t="str">
        <f>HYPERLINK("https://www.773grp.com/globalSearch/MC10H100M/page-1", "MC10H100M")</f>
        <v>MC10H100M</v>
      </c>
      <c r="B41336" s="3" t="str">
        <f>HYPERLINK("https://www.773grp.com/manufacturer/onsemi?pageNo=696", "ON Semiconductor")</f>
        <v>ON Semiconductor</v>
      </c>
      <c r="C41336" s="6">
        <v>5950</v>
      </c>
      <c r="D41336" s="7">
        <v>4.4400000000000004</v>
      </c>
      <c r="E41336" t="s">
        <v>31</v>
      </c>
    </row>
    <row r="41337" spans="1:5" x14ac:dyDescent="0.25">
      <c r="A41337" t="str">
        <f>HYPERLINK("https://www.773grp.com/globalSearch/MC10H101FNR2/page-1", "MC10H101FNR2")</f>
        <v>MC10H101FNR2</v>
      </c>
      <c r="B41337" s="3" t="str">
        <f>HYPERLINK("https://www.773grp.com/manufacturer/onsemi?pageNo=697", "ON Semiconductor")</f>
        <v>ON Semiconductor</v>
      </c>
      <c r="C41337" s="6">
        <v>3500</v>
      </c>
      <c r="D41337" s="7">
        <v>4.4400000000000004</v>
      </c>
      <c r="E41337" t="s">
        <v>31</v>
      </c>
    </row>
    <row r="41338" spans="1:5" x14ac:dyDescent="0.25">
      <c r="A41338" t="str">
        <f>HYPERLINK("https://www.773grp.com/globalSearch/MC10H106FNR2/page-1", "MC10H106FNR2")</f>
        <v>MC10H106FNR2</v>
      </c>
      <c r="B41338" s="3" t="str">
        <f>HYPERLINK("https://www.773grp.com/manufacturer/onsemi?pageNo=698", "ON Semiconductor")</f>
        <v>ON Semiconductor</v>
      </c>
      <c r="C41338" s="6">
        <v>5500</v>
      </c>
      <c r="D41338" s="7">
        <v>4.4400000000000004</v>
      </c>
      <c r="E41338" t="s">
        <v>31</v>
      </c>
    </row>
    <row r="41339" spans="1:5" x14ac:dyDescent="0.25">
      <c r="A41339" t="str">
        <f>HYPERLINK("https://www.773grp.com/globalSearch/MC10H106MELG/page-1", "MC10H106MELG")</f>
        <v>MC10H106MELG</v>
      </c>
      <c r="B41339" s="3" t="str">
        <f>HYPERLINK("https://www.773grp.com/manufacturer/onsemi?pageNo=699", "ON Semiconductor")</f>
        <v>ON Semiconductor</v>
      </c>
      <c r="C41339" s="6">
        <v>720</v>
      </c>
      <c r="D41339" s="7">
        <v>4.4400000000000004</v>
      </c>
      <c r="E41339" t="s">
        <v>31</v>
      </c>
    </row>
    <row r="41340" spans="1:5" x14ac:dyDescent="0.25">
      <c r="A41340" t="str">
        <f>HYPERLINK("https://www.773grp.com/globalSearch/MC10H117FN/page-1", "MC10H117FN")</f>
        <v>MC10H117FN</v>
      </c>
      <c r="B41340" s="3" t="str">
        <f>HYPERLINK("https://www.773grp.com/manufacturer/onsemi?pageNo=700", "ON Semiconductor")</f>
        <v>ON Semiconductor</v>
      </c>
      <c r="C41340" s="6">
        <v>7868</v>
      </c>
      <c r="D41340" s="7">
        <v>4.4400000000000004</v>
      </c>
      <c r="E41340" t="s">
        <v>31</v>
      </c>
    </row>
    <row r="41341" spans="1:5" x14ac:dyDescent="0.25">
      <c r="A41341" t="str">
        <f>HYPERLINK("https://www.773grp.com/globalSearch/MC10H121FNR2/page-1", "MC10H121FNR2")</f>
        <v>MC10H121FNR2</v>
      </c>
      <c r="B41341" s="3" t="str">
        <f>HYPERLINK("https://www.773grp.com/manufacturer/onsemi?pageNo=701", "ON Semiconductor")</f>
        <v>ON Semiconductor</v>
      </c>
      <c r="C41341" s="6">
        <v>4500</v>
      </c>
      <c r="D41341" s="7">
        <v>4.4400000000000004</v>
      </c>
      <c r="E41341" t="s">
        <v>31</v>
      </c>
    </row>
    <row r="41342" spans="1:5" x14ac:dyDescent="0.25">
      <c r="A41342" t="str">
        <f>HYPERLINK("https://www.773grp.com/globalSearch/MC10H121M/page-1", "MC10H121M")</f>
        <v>MC10H121M</v>
      </c>
      <c r="B41342" s="3" t="str">
        <f>HYPERLINK("https://www.773grp.com/manufacturer/onsemi?pageNo=702", "ON Semiconductor")</f>
        <v>ON Semiconductor</v>
      </c>
      <c r="C41342" s="6">
        <v>5150</v>
      </c>
      <c r="D41342" s="7">
        <v>4.4400000000000004</v>
      </c>
      <c r="E41342" t="s">
        <v>31</v>
      </c>
    </row>
    <row r="41343" spans="1:5" x14ac:dyDescent="0.25">
      <c r="A41343" t="str">
        <f>HYPERLINK("https://www.773grp.com/globalSearch/NCS2540DTBG/page-1", "NCS2540DTBG")</f>
        <v>NCS2540DTBG</v>
      </c>
      <c r="B41343" s="3" t="str">
        <f>HYPERLINK("https://www.773grp.com/manufacturer/onsemi?pageNo=703", "ON Semiconductor")</f>
        <v>ON Semiconductor</v>
      </c>
      <c r="C41343" s="6">
        <v>960</v>
      </c>
      <c r="D41343" s="7">
        <v>4.4400000000000004</v>
      </c>
      <c r="E41343" t="s">
        <v>18</v>
      </c>
    </row>
    <row r="41344" spans="1:5" x14ac:dyDescent="0.25">
      <c r="A41344" t="str">
        <f>HYPERLINK("https://www.773grp.com/globalSearch/2N5302/page-1", "2N5302")</f>
        <v>2N5302</v>
      </c>
      <c r="B41344" s="3" t="str">
        <f>HYPERLINK("https://www.773grp.com/manufacturer/onsemi?pageNo=704", "ON Semiconductor")</f>
        <v>ON Semiconductor</v>
      </c>
      <c r="C41344" s="6">
        <v>589</v>
      </c>
      <c r="D41344" s="7">
        <v>4.4800000000000004</v>
      </c>
      <c r="E41344" t="s">
        <v>59</v>
      </c>
    </row>
    <row r="41345" spans="1:5" x14ac:dyDescent="0.25">
      <c r="A41345" t="str">
        <f>HYPERLINK("https://www.773grp.com/globalSearch/2SK3747-1E/page-1", "2SK3747-1E")</f>
        <v>2SK3747-1E</v>
      </c>
      <c r="B41345" s="3" t="str">
        <f>HYPERLINK("https://www.773grp.com/manufacturer/onsemi?pageNo=705", "ON Semiconductor")</f>
        <v>ON Semiconductor</v>
      </c>
      <c r="C41345" s="6">
        <v>10500</v>
      </c>
      <c r="D41345" s="7">
        <v>4.4800000000000004</v>
      </c>
    </row>
    <row r="41346" spans="1:5" x14ac:dyDescent="0.25">
      <c r="A41346" t="str">
        <f>HYPERLINK("https://www.773grp.com/globalSearch/MTP50P03HDLG/page-1", "MTP50P03HDLG")</f>
        <v>MTP50P03HDLG</v>
      </c>
      <c r="B41346" s="3" t="str">
        <f>HYPERLINK("https://www.773grp.com/manufacturer/onsemi?pageNo=706", "ON Semiconductor")</f>
        <v>ON Semiconductor</v>
      </c>
      <c r="C41346" s="6">
        <v>1538</v>
      </c>
      <c r="D41346" s="7">
        <v>4.4800000000000004</v>
      </c>
    </row>
    <row r="41347" spans="1:5" x14ac:dyDescent="0.25">
      <c r="A41347" t="str">
        <f>HYPERLINK("https://www.773grp.com/globalSearch/CS51411EDR8/page-1", "CS51411EDR8")</f>
        <v>CS51411EDR8</v>
      </c>
      <c r="B41347" s="3" t="str">
        <f>HYPERLINK("https://www.773grp.com/manufacturer/onsemi?pageNo=707", "ON Semiconductor")</f>
        <v>ON Semiconductor</v>
      </c>
      <c r="C41347" s="6">
        <v>413</v>
      </c>
      <c r="D41347" s="7">
        <v>4.96</v>
      </c>
      <c r="E41347" t="s">
        <v>7</v>
      </c>
    </row>
    <row r="41348" spans="1:5" x14ac:dyDescent="0.25">
      <c r="A41348" t="str">
        <f>HYPERLINK("https://www.773grp.com/globalSearch/CS51412EDR8/page-1", "CS51412EDR8")</f>
        <v>CS51412EDR8</v>
      </c>
      <c r="B41348" s="3" t="str">
        <f>HYPERLINK("https://www.773grp.com/manufacturer/onsemi?pageNo=708", "ON Semiconductor")</f>
        <v>ON Semiconductor</v>
      </c>
      <c r="C41348" s="6">
        <v>369</v>
      </c>
      <c r="D41348" s="7">
        <v>4.96</v>
      </c>
      <c r="E41348" t="s">
        <v>7</v>
      </c>
    </row>
    <row r="41349" spans="1:5" x14ac:dyDescent="0.25">
      <c r="A41349" t="str">
        <f>HYPERLINK("https://www.773grp.com/globalSearch/LV8805SV-MPB-H/page-1", "LV8805SV-MPB-H")</f>
        <v>LV8805SV-MPB-H</v>
      </c>
      <c r="B41349" s="3" t="str">
        <f>HYPERLINK("https://www.773grp.com/manufacturer/onsemi?pageNo=709", "ON Semiconductor")</f>
        <v>ON Semiconductor</v>
      </c>
      <c r="C41349" s="6">
        <v>5490</v>
      </c>
      <c r="D41349" s="7">
        <v>4.96</v>
      </c>
    </row>
    <row r="41350" spans="1:5" x14ac:dyDescent="0.25">
      <c r="A41350" t="str">
        <f>HYPERLINK("https://www.773grp.com/globalSearch/MC10121L/page-1", "MC10121L")</f>
        <v>MC10121L</v>
      </c>
      <c r="B41350" s="3" t="str">
        <f>HYPERLINK("https://www.773grp.com/manufacturer/onsemi?pageNo=710", "ON Semiconductor")</f>
        <v>ON Semiconductor</v>
      </c>
      <c r="C41350" s="6">
        <v>200</v>
      </c>
      <c r="D41350" s="7">
        <v>4.96</v>
      </c>
      <c r="E41350" t="s">
        <v>31</v>
      </c>
    </row>
    <row r="41351" spans="1:5" x14ac:dyDescent="0.25">
      <c r="A41351" t="str">
        <f>HYPERLINK("https://www.773grp.com/globalSearch/NCP1546MNR2G/page-1", "NCP1546MNR2G")</f>
        <v>NCP1546MNR2G</v>
      </c>
      <c r="B41351" s="3" t="str">
        <f>HYPERLINK("https://www.773grp.com/manufacturer/onsemi?pageNo=711", "ON Semiconductor")</f>
        <v>ON Semiconductor</v>
      </c>
      <c r="C41351" s="6">
        <v>9950</v>
      </c>
      <c r="D41351" s="7">
        <v>4.96</v>
      </c>
      <c r="E41351" t="s">
        <v>7</v>
      </c>
    </row>
    <row r="41352" spans="1:5" x14ac:dyDescent="0.25">
      <c r="A41352" t="str">
        <f>HYPERLINK("https://www.773grp.com/globalSearch/NCP1547MNR2G/page-1", "NCP1547MNR2G")</f>
        <v>NCP1547MNR2G</v>
      </c>
      <c r="B41352" s="3" t="str">
        <f>HYPERLINK("https://www.773grp.com/manufacturer/onsemi?pageNo=712", "ON Semiconductor")</f>
        <v>ON Semiconductor</v>
      </c>
      <c r="C41352" s="6">
        <v>5545</v>
      </c>
      <c r="D41352" s="7">
        <v>4.96</v>
      </c>
      <c r="E41352" t="s">
        <v>7</v>
      </c>
    </row>
    <row r="41353" spans="1:5" x14ac:dyDescent="0.25">
      <c r="A41353" t="str">
        <f>HYPERLINK("https://www.773grp.com/globalSearch/NCP3121MNTXG/page-1", "NCP3121MNTXG")</f>
        <v>NCP3121MNTXG</v>
      </c>
      <c r="B41353" s="3" t="str">
        <f>HYPERLINK("https://www.773grp.com/manufacturer/onsemi?pageNo=713", "ON Semiconductor")</f>
        <v>ON Semiconductor</v>
      </c>
      <c r="C41353" s="6">
        <v>48799</v>
      </c>
      <c r="D41353" s="7">
        <v>4.96</v>
      </c>
      <c r="E41353" t="s">
        <v>7</v>
      </c>
    </row>
    <row r="41354" spans="1:5" x14ac:dyDescent="0.25">
      <c r="A41354" t="str">
        <f>HYPERLINK("https://www.773grp.com/globalSearch/MC10H209FN/page-1", "MC10H209FN")</f>
        <v>MC10H209FN</v>
      </c>
      <c r="B41354" s="3" t="str">
        <f>HYPERLINK("https://www.773grp.com/manufacturer/onsemi?pageNo=714", "ON Semiconductor")</f>
        <v>ON Semiconductor</v>
      </c>
      <c r="C41354" s="6">
        <v>6210</v>
      </c>
      <c r="D41354" s="7">
        <v>4.5</v>
      </c>
      <c r="E41354" t="s">
        <v>31</v>
      </c>
    </row>
    <row r="41355" spans="1:5" x14ac:dyDescent="0.25">
      <c r="A41355" t="str">
        <f>HYPERLINK("https://www.773grp.com/globalSearch/MC10H209M/page-1", "MC10H209M")</f>
        <v>MC10H209M</v>
      </c>
      <c r="B41355" s="3" t="str">
        <f>HYPERLINK("https://www.773grp.com/manufacturer/onsemi?pageNo=715", "ON Semiconductor")</f>
        <v>ON Semiconductor</v>
      </c>
      <c r="C41355" s="6">
        <v>1450</v>
      </c>
      <c r="D41355" s="7">
        <v>4.5</v>
      </c>
      <c r="E41355" t="s">
        <v>31</v>
      </c>
    </row>
    <row r="41356" spans="1:5" x14ac:dyDescent="0.25">
      <c r="A41356" t="str">
        <f>HYPERLINK("https://www.773grp.com/globalSearch/MC10H210FN/page-1", "MC10H210FN")</f>
        <v>MC10H210FN</v>
      </c>
      <c r="B41356" s="3" t="str">
        <f>HYPERLINK("https://www.773grp.com/manufacturer/onsemi?pageNo=716", "ON Semiconductor")</f>
        <v>ON Semiconductor</v>
      </c>
      <c r="C41356" s="6">
        <v>4728</v>
      </c>
      <c r="D41356" s="7">
        <v>4.5</v>
      </c>
      <c r="E41356" t="s">
        <v>31</v>
      </c>
    </row>
    <row r="41357" spans="1:5" x14ac:dyDescent="0.25">
      <c r="A41357" t="str">
        <f>HYPERLINK("https://www.773grp.com/globalSearch/MC10H210M/page-1", "MC10H210M")</f>
        <v>MC10H210M</v>
      </c>
      <c r="B41357" s="3" t="str">
        <f>HYPERLINK("https://www.773grp.com/manufacturer/onsemi?pageNo=717", "ON Semiconductor")</f>
        <v>ON Semiconductor</v>
      </c>
      <c r="C41357" s="6">
        <v>875</v>
      </c>
      <c r="D41357" s="7">
        <v>4.5</v>
      </c>
      <c r="E41357" t="s">
        <v>31</v>
      </c>
    </row>
    <row r="41358" spans="1:5" x14ac:dyDescent="0.25">
      <c r="A41358" t="str">
        <f>HYPERLINK("https://www.773grp.com/globalSearch/MC10H210MEL/page-1", "MC10H210MEL")</f>
        <v>MC10H210MEL</v>
      </c>
      <c r="B41358" s="3" t="str">
        <f>HYPERLINK("https://www.773grp.com/manufacturer/onsemi?pageNo=718", "ON Semiconductor")</f>
        <v>ON Semiconductor</v>
      </c>
      <c r="C41358" s="6">
        <v>4000</v>
      </c>
      <c r="D41358" s="7">
        <v>4.5</v>
      </c>
      <c r="E41358" t="s">
        <v>31</v>
      </c>
    </row>
    <row r="41359" spans="1:5" x14ac:dyDescent="0.25">
      <c r="A41359" t="str">
        <f>HYPERLINK("https://www.773grp.com/globalSearch/MC10H211FNR2/page-1", "MC10H211FNR2")</f>
        <v>MC10H211FNR2</v>
      </c>
      <c r="B41359" s="3" t="str">
        <f>HYPERLINK("https://www.773grp.com/manufacturer/onsemi?pageNo=719", "ON Semiconductor")</f>
        <v>ON Semiconductor</v>
      </c>
      <c r="C41359" s="6">
        <v>500</v>
      </c>
      <c r="D41359" s="7">
        <v>4.5</v>
      </c>
      <c r="E41359" t="s">
        <v>31</v>
      </c>
    </row>
    <row r="41360" spans="1:5" x14ac:dyDescent="0.25">
      <c r="A41360" t="str">
        <f>HYPERLINK("https://www.773grp.com/globalSearch/MC10H211M/page-1", "MC10H211M")</f>
        <v>MC10H211M</v>
      </c>
      <c r="B41360" s="3" t="str">
        <f>HYPERLINK("https://www.773grp.com/manufacturer/onsemi?pageNo=720", "ON Semiconductor")</f>
        <v>ON Semiconductor</v>
      </c>
      <c r="C41360" s="6">
        <v>1700</v>
      </c>
      <c r="D41360" s="7">
        <v>4.5</v>
      </c>
      <c r="E41360" t="s">
        <v>31</v>
      </c>
    </row>
    <row r="41361" spans="1:5" x14ac:dyDescent="0.25">
      <c r="A41361" t="str">
        <f>HYPERLINK("https://www.773grp.com/globalSearch/NCP1650DR2G/page-1", "NCP1650DR2G")</f>
        <v>NCP1650DR2G</v>
      </c>
      <c r="B41361" s="3" t="str">
        <f>HYPERLINK("https://www.773grp.com/manufacturer/onsemi?pageNo=721", "ON Semiconductor")</f>
        <v>ON Semiconductor</v>
      </c>
      <c r="C41361" s="6">
        <v>20132</v>
      </c>
      <c r="D41361" s="7">
        <v>4.5</v>
      </c>
      <c r="E41361" t="s">
        <v>7</v>
      </c>
    </row>
    <row r="41362" spans="1:5" x14ac:dyDescent="0.25">
      <c r="A41362" t="str">
        <f>HYPERLINK("https://www.773grp.com/globalSearch/NLSX3013BFCT1G/page-1", "NLSX3013BFCT1G")</f>
        <v>NLSX3013BFCT1G</v>
      </c>
      <c r="B41362" s="3" t="str">
        <f>HYPERLINK("https://www.773grp.com/manufacturer/onsemi?pageNo=722", "ON Semiconductor")</f>
        <v>ON Semiconductor</v>
      </c>
      <c r="C41362" s="6">
        <v>110964</v>
      </c>
      <c r="D41362" s="7">
        <v>4.5</v>
      </c>
      <c r="E41362" t="s">
        <v>14</v>
      </c>
    </row>
    <row r="41363" spans="1:5" x14ac:dyDescent="0.25">
      <c r="A41363" t="str">
        <f>HYPERLINK("https://www.773grp.com/globalSearch/NLSX3013FCT1G/page-1", "NLSX3013FCT1G")</f>
        <v>NLSX3013FCT1G</v>
      </c>
      <c r="B41363" s="3" t="str">
        <f>HYPERLINK("https://www.773grp.com/manufacturer/onsemi?pageNo=723", "ON Semiconductor")</f>
        <v>ON Semiconductor</v>
      </c>
      <c r="C41363" s="6">
        <v>3970</v>
      </c>
      <c r="D41363" s="7">
        <v>4.5</v>
      </c>
    </row>
    <row r="41364" spans="1:5" x14ac:dyDescent="0.25">
      <c r="A41364" t="str">
        <f>HYPERLINK("https://www.773grp.com/globalSearch/ADT7473ARQZ-1R7/page-1", "ADT7473ARQZ-1R7")</f>
        <v>ADT7473ARQZ-1R7</v>
      </c>
      <c r="B41364" s="3" t="str">
        <f>HYPERLINK("https://www.773grp.com/manufacturer/onsemi?pageNo=724", "ON Semiconductor")</f>
        <v>ON Semiconductor</v>
      </c>
      <c r="C41364" s="6">
        <v>47386</v>
      </c>
      <c r="D41364" s="7">
        <v>5.01</v>
      </c>
      <c r="E41364" t="s">
        <v>12</v>
      </c>
    </row>
    <row r="41365" spans="1:5" x14ac:dyDescent="0.25">
      <c r="A41365" t="str">
        <f>HYPERLINK("https://www.773grp.com/globalSearch/CAT8900D204TBGT3/page-1", "CAT8900D204TBGT3")</f>
        <v>CAT8900D204TBGT3</v>
      </c>
      <c r="B41365" s="3" t="str">
        <f>HYPERLINK("https://www.773grp.com/manufacturer/onsemi?pageNo=725", "ON Semiconductor")</f>
        <v>ON Semiconductor</v>
      </c>
      <c r="C41365" s="6">
        <v>18000</v>
      </c>
      <c r="D41365" s="7">
        <v>5.01</v>
      </c>
    </row>
    <row r="41366" spans="1:5" x14ac:dyDescent="0.25">
      <c r="A41366" t="str">
        <f>HYPERLINK("https://www.773grp.com/globalSearch/CAT8900D250TBGT3/page-1", "CAT8900D250TBGT3")</f>
        <v>CAT8900D250TBGT3</v>
      </c>
      <c r="B41366" s="3" t="str">
        <f>HYPERLINK("https://www.773grp.com/manufacturer/onsemi?pageNo=726", "ON Semiconductor")</f>
        <v>ON Semiconductor</v>
      </c>
      <c r="C41366" s="6">
        <v>301</v>
      </c>
      <c r="D41366" s="7">
        <v>5.01</v>
      </c>
    </row>
    <row r="41367" spans="1:5" x14ac:dyDescent="0.25">
      <c r="A41367" t="str">
        <f>HYPERLINK("https://www.773grp.com/globalSearch/CAT9552YI-T2/page-1", "CAT9552YI-T2")</f>
        <v>CAT9552YI-T2</v>
      </c>
      <c r="B41367" s="3" t="str">
        <f>HYPERLINK("https://www.773grp.com/manufacturer/onsemi?pageNo=727", "ON Semiconductor")</f>
        <v>ON Semiconductor</v>
      </c>
      <c r="C41367" s="6">
        <v>2919</v>
      </c>
      <c r="D41367" s="7">
        <v>5.01</v>
      </c>
    </row>
    <row r="41368" spans="1:5" x14ac:dyDescent="0.25">
      <c r="A41368" t="str">
        <f>HYPERLINK("https://www.773grp.com/globalSearch/CS3524AGDW16/page-1", "CS3524AGDW16")</f>
        <v>CS3524AGDW16</v>
      </c>
      <c r="B41368" s="3" t="str">
        <f>HYPERLINK("https://www.773grp.com/manufacturer/onsemi?pageNo=728", "ON Semiconductor")</f>
        <v>ON Semiconductor</v>
      </c>
      <c r="C41368" s="6">
        <v>235</v>
      </c>
      <c r="D41368" s="7">
        <v>5.01</v>
      </c>
      <c r="E41368" t="s">
        <v>7</v>
      </c>
    </row>
    <row r="41369" spans="1:5" x14ac:dyDescent="0.25">
      <c r="A41369" t="str">
        <f>HYPERLINK("https://www.773grp.com/globalSearch/CS3843AGDR8/page-1", "CS3843AGDR8")</f>
        <v>CS3843AGDR8</v>
      </c>
      <c r="B41369" s="3" t="str">
        <f>HYPERLINK("https://www.773grp.com/manufacturer/onsemi?pageNo=729", "ON Semiconductor")</f>
        <v>ON Semiconductor</v>
      </c>
      <c r="C41369" s="6">
        <v>30000</v>
      </c>
      <c r="D41369" s="7">
        <v>5.01</v>
      </c>
      <c r="E41369" t="s">
        <v>7</v>
      </c>
    </row>
    <row r="41370" spans="1:5" x14ac:dyDescent="0.25">
      <c r="A41370" t="str">
        <f>HYPERLINK("https://www.773grp.com/globalSearch/CS8120YDP5/page-1", "CS8120YDP5")</f>
        <v>CS8120YDP5</v>
      </c>
      <c r="B41370" s="3" t="str">
        <f>HYPERLINK("https://www.773grp.com/manufacturer/onsemi?pageNo=730", "ON Semiconductor")</f>
        <v>ON Semiconductor</v>
      </c>
      <c r="C41370" s="6">
        <v>574</v>
      </c>
      <c r="D41370" s="7">
        <v>5.01</v>
      </c>
      <c r="E41370" t="s">
        <v>19</v>
      </c>
    </row>
    <row r="41371" spans="1:5" x14ac:dyDescent="0.25">
      <c r="A41371" t="str">
        <f>HYPERLINK("https://www.773grp.com/globalSearch/CS8120YDPR5/page-1", "CS8120YDPR5")</f>
        <v>CS8120YDPR5</v>
      </c>
      <c r="B41371" s="3" t="str">
        <f>HYPERLINK("https://www.773grp.com/manufacturer/onsemi?pageNo=731", "ON Semiconductor")</f>
        <v>ON Semiconductor</v>
      </c>
      <c r="C41371" s="6">
        <v>75248</v>
      </c>
      <c r="D41371" s="7">
        <v>5.01</v>
      </c>
      <c r="E41371" t="s">
        <v>19</v>
      </c>
    </row>
    <row r="41372" spans="1:5" x14ac:dyDescent="0.25">
      <c r="A41372" t="str">
        <f>HYPERLINK("https://www.773grp.com/globalSearch/CS8147YTHA5/page-1", "CS8147YTHA5")</f>
        <v>CS8147YTHA5</v>
      </c>
      <c r="B41372" s="3" t="str">
        <f>HYPERLINK("https://www.773grp.com/manufacturer/onsemi?pageNo=732", "ON Semiconductor")</f>
        <v>ON Semiconductor</v>
      </c>
      <c r="C41372" s="6">
        <v>2150</v>
      </c>
      <c r="D41372" s="7">
        <v>5.01</v>
      </c>
      <c r="E41372" t="s">
        <v>44</v>
      </c>
    </row>
    <row r="41373" spans="1:5" x14ac:dyDescent="0.25">
      <c r="A41373" t="str">
        <f>HYPERLINK("https://www.773grp.com/globalSearch/LV5680NPVC-XH/page-1", "LV5680NPVC-XH")</f>
        <v>LV5680NPVC-XH</v>
      </c>
      <c r="B41373" s="3" t="str">
        <f>HYPERLINK("https://www.773grp.com/manufacturer/onsemi?pageNo=733", "ON Semiconductor")</f>
        <v>ON Semiconductor</v>
      </c>
      <c r="C41373" s="6">
        <v>3100</v>
      </c>
      <c r="D41373" s="7">
        <v>5.01</v>
      </c>
    </row>
    <row r="41374" spans="1:5" x14ac:dyDescent="0.25">
      <c r="A41374" t="str">
        <f>HYPERLINK("https://www.773grp.com/globalSearch/MC100ELT20D/page-1", "MC100ELT20D")</f>
        <v>MC100ELT20D</v>
      </c>
      <c r="B41374" s="3" t="str">
        <f>HYPERLINK("https://www.773grp.com/manufacturer/onsemi?pageNo=734", "ON Semiconductor")</f>
        <v>ON Semiconductor</v>
      </c>
      <c r="C41374" s="6">
        <v>9557</v>
      </c>
      <c r="D41374" s="7">
        <v>5.01</v>
      </c>
      <c r="E41374" t="s">
        <v>73</v>
      </c>
    </row>
    <row r="41375" spans="1:5" x14ac:dyDescent="0.25">
      <c r="A41375" t="str">
        <f>HYPERLINK("https://www.773grp.com/globalSearch/MC100ELT20DT/page-1", "MC100ELT20DT")</f>
        <v>MC100ELT20DT</v>
      </c>
      <c r="B41375" s="3" t="str">
        <f>HYPERLINK("https://www.773grp.com/manufacturer/onsemi?pageNo=735", "ON Semiconductor")</f>
        <v>ON Semiconductor</v>
      </c>
      <c r="C41375" s="6">
        <v>149</v>
      </c>
      <c r="D41375" s="7">
        <v>5.01</v>
      </c>
      <c r="E41375" t="s">
        <v>73</v>
      </c>
    </row>
    <row r="41376" spans="1:5" x14ac:dyDescent="0.25">
      <c r="A41376" t="str">
        <f>HYPERLINK("https://www.773grp.com/globalSearch/MC100ELT21D/page-1", "MC100ELT21D")</f>
        <v>MC100ELT21D</v>
      </c>
      <c r="B41376" s="3" t="str">
        <f>HYPERLINK("https://www.773grp.com/manufacturer/onsemi?pageNo=736", "ON Semiconductor")</f>
        <v>ON Semiconductor</v>
      </c>
      <c r="C41376" s="6">
        <v>2796</v>
      </c>
      <c r="D41376" s="7">
        <v>5.01</v>
      </c>
      <c r="E41376" t="s">
        <v>73</v>
      </c>
    </row>
    <row r="41377" spans="1:5" x14ac:dyDescent="0.25">
      <c r="A41377" t="str">
        <f>HYPERLINK("https://www.773grp.com/globalSearch/MC100ELT21DT/page-1", "MC100ELT21DT")</f>
        <v>MC100ELT21DT</v>
      </c>
      <c r="B41377" s="3" t="str">
        <f>HYPERLINK("https://www.773grp.com/manufacturer/onsemi?pageNo=737", "ON Semiconductor")</f>
        <v>ON Semiconductor</v>
      </c>
      <c r="C41377" s="6">
        <v>437</v>
      </c>
      <c r="D41377" s="7">
        <v>5.01</v>
      </c>
      <c r="E41377" t="s">
        <v>73</v>
      </c>
    </row>
    <row r="41378" spans="1:5" x14ac:dyDescent="0.25">
      <c r="A41378" t="str">
        <f>HYPERLINK("https://www.773grp.com/globalSearch/MC100ELT21DTR2/page-1", "MC100ELT21DTR2")</f>
        <v>MC100ELT21DTR2</v>
      </c>
      <c r="B41378" s="3" t="str">
        <f>HYPERLINK("https://www.773grp.com/manufacturer/onsemi?pageNo=738", "ON Semiconductor")</f>
        <v>ON Semiconductor</v>
      </c>
      <c r="C41378" s="6">
        <v>8529</v>
      </c>
      <c r="D41378" s="7">
        <v>5.01</v>
      </c>
      <c r="E41378" t="s">
        <v>73</v>
      </c>
    </row>
    <row r="41379" spans="1:5" x14ac:dyDescent="0.25">
      <c r="A41379" t="str">
        <f>HYPERLINK("https://www.773grp.com/globalSearch/MC100ELT22D/page-1", "MC100ELT22D")</f>
        <v>MC100ELT22D</v>
      </c>
      <c r="B41379" s="3" t="str">
        <f>HYPERLINK("https://www.773grp.com/manufacturer/onsemi?pageNo=739", "ON Semiconductor")</f>
        <v>ON Semiconductor</v>
      </c>
      <c r="C41379" s="6">
        <v>7844</v>
      </c>
      <c r="D41379" s="7">
        <v>5.01</v>
      </c>
      <c r="E41379" t="s">
        <v>73</v>
      </c>
    </row>
    <row r="41380" spans="1:5" x14ac:dyDescent="0.25">
      <c r="A41380" t="str">
        <f>HYPERLINK("https://www.773grp.com/globalSearch/MC100ELT23DT/page-1", "MC100ELT23DT")</f>
        <v>MC100ELT23DT</v>
      </c>
      <c r="B41380" s="3" t="str">
        <f>HYPERLINK("https://www.773grp.com/manufacturer/onsemi?pageNo=740", "ON Semiconductor")</f>
        <v>ON Semiconductor</v>
      </c>
      <c r="C41380" s="6">
        <v>10126</v>
      </c>
      <c r="D41380" s="7">
        <v>5.01</v>
      </c>
      <c r="E41380" t="s">
        <v>73</v>
      </c>
    </row>
    <row r="41381" spans="1:5" x14ac:dyDescent="0.25">
      <c r="A41381" t="str">
        <f>HYPERLINK("https://www.773grp.com/globalSearch/MC100ELT23DTR2/page-1", "MC100ELT23DTR2")</f>
        <v>MC100ELT23DTR2</v>
      </c>
      <c r="B41381" s="3" t="str">
        <f>HYPERLINK("https://www.773grp.com/manufacturer/onsemi?pageNo=741", "ON Semiconductor")</f>
        <v>ON Semiconductor</v>
      </c>
      <c r="C41381" s="6">
        <v>5000</v>
      </c>
      <c r="D41381" s="7">
        <v>5.01</v>
      </c>
      <c r="E41381" t="s">
        <v>73</v>
      </c>
    </row>
    <row r="41382" spans="1:5" x14ac:dyDescent="0.25">
      <c r="A41382" t="str">
        <f>HYPERLINK("https://www.773grp.com/globalSearch/MC100ELT25D/page-1", "MC100ELT25D")</f>
        <v>MC100ELT25D</v>
      </c>
      <c r="B41382" s="3" t="str">
        <f>HYPERLINK("https://www.773grp.com/manufacturer/onsemi?pageNo=742", "ON Semiconductor")</f>
        <v>ON Semiconductor</v>
      </c>
      <c r="C41382" s="6">
        <v>15044</v>
      </c>
      <c r="D41382" s="7">
        <v>5.01</v>
      </c>
      <c r="E41382" t="s">
        <v>73</v>
      </c>
    </row>
    <row r="41383" spans="1:5" x14ac:dyDescent="0.25">
      <c r="A41383" t="str">
        <f>HYPERLINK("https://www.773grp.com/globalSearch/MC100ELT25DT/page-1", "MC100ELT25DT")</f>
        <v>MC100ELT25DT</v>
      </c>
      <c r="B41383" s="3" t="str">
        <f>HYPERLINK("https://www.773grp.com/manufacturer/onsemi?pageNo=743", "ON Semiconductor")</f>
        <v>ON Semiconductor</v>
      </c>
      <c r="C41383" s="6">
        <v>3471</v>
      </c>
      <c r="D41383" s="7">
        <v>5.01</v>
      </c>
      <c r="E41383" t="s">
        <v>73</v>
      </c>
    </row>
    <row r="41384" spans="1:5" x14ac:dyDescent="0.25">
      <c r="A41384" t="str">
        <f>HYPERLINK("https://www.773grp.com/globalSearch/MC100ELT25DTR2/page-1", "MC100ELT25DTR2")</f>
        <v>MC100ELT25DTR2</v>
      </c>
      <c r="B41384" s="3" t="str">
        <f>HYPERLINK("https://www.773grp.com/manufacturer/onsemi?pageNo=744", "ON Semiconductor")</f>
        <v>ON Semiconductor</v>
      </c>
      <c r="C41384" s="6">
        <v>4800</v>
      </c>
      <c r="D41384" s="7">
        <v>5.01</v>
      </c>
      <c r="E41384" t="s">
        <v>73</v>
      </c>
    </row>
    <row r="41385" spans="1:5" x14ac:dyDescent="0.25">
      <c r="A41385" t="str">
        <f>HYPERLINK("https://www.773grp.com/globalSearch/MC100LVELT20D/page-1", "MC100LVELT20D")</f>
        <v>MC100LVELT20D</v>
      </c>
      <c r="B41385" s="3" t="str">
        <f>HYPERLINK("https://www.773grp.com/manufacturer/onsemi?pageNo=745", "ON Semiconductor")</f>
        <v>ON Semiconductor</v>
      </c>
      <c r="C41385" s="6">
        <v>24837</v>
      </c>
      <c r="D41385" s="7">
        <v>5.01</v>
      </c>
      <c r="E41385" t="s">
        <v>73</v>
      </c>
    </row>
    <row r="41386" spans="1:5" x14ac:dyDescent="0.25">
      <c r="A41386" t="str">
        <f>HYPERLINK("https://www.773grp.com/globalSearch/MC100LVELT22D/page-1", "MC100LVELT22D")</f>
        <v>MC100LVELT22D</v>
      </c>
      <c r="B41386" s="3" t="str">
        <f>HYPERLINK("https://www.773grp.com/manufacturer/onsemi?pageNo=746", "ON Semiconductor")</f>
        <v>ON Semiconductor</v>
      </c>
      <c r="C41386" s="6">
        <v>10332</v>
      </c>
      <c r="D41386" s="7">
        <v>5.01</v>
      </c>
      <c r="E41386" t="s">
        <v>73</v>
      </c>
    </row>
    <row r="41387" spans="1:5" x14ac:dyDescent="0.25">
      <c r="A41387" t="str">
        <f>HYPERLINK("https://www.773grp.com/globalSearch/MC100LVELT22DT/page-1", "MC100LVELT22DT")</f>
        <v>MC100LVELT22DT</v>
      </c>
      <c r="B41387" s="3" t="str">
        <f>HYPERLINK("https://www.773grp.com/manufacturer/onsemi?pageNo=747", "ON Semiconductor")</f>
        <v>ON Semiconductor</v>
      </c>
      <c r="C41387" s="6">
        <v>14781</v>
      </c>
      <c r="D41387" s="7">
        <v>5.01</v>
      </c>
      <c r="E41387" t="s">
        <v>73</v>
      </c>
    </row>
    <row r="41388" spans="1:5" x14ac:dyDescent="0.25">
      <c r="A41388" t="str">
        <f>HYPERLINK("https://www.773grp.com/globalSearch/MC100LVELT22DTR2/page-1", "MC100LVELT22DTR2")</f>
        <v>MC100LVELT22DTR2</v>
      </c>
      <c r="B41388" s="3" t="str">
        <f>HYPERLINK("https://www.773grp.com/manufacturer/onsemi?pageNo=748", "ON Semiconductor")</f>
        <v>ON Semiconductor</v>
      </c>
      <c r="C41388" s="6">
        <v>19435</v>
      </c>
      <c r="D41388" s="7">
        <v>5.01</v>
      </c>
      <c r="E41388" t="s">
        <v>73</v>
      </c>
    </row>
    <row r="41389" spans="1:5" x14ac:dyDescent="0.25">
      <c r="A41389" t="str">
        <f>HYPERLINK("https://www.773grp.com/globalSearch/MC10ELT20D/page-1", "MC10ELT20D")</f>
        <v>MC10ELT20D</v>
      </c>
      <c r="B41389" s="3" t="str">
        <f>HYPERLINK("https://www.773grp.com/manufacturer/onsemi?pageNo=749", "ON Semiconductor")</f>
        <v>ON Semiconductor</v>
      </c>
      <c r="C41389" s="6">
        <v>2864</v>
      </c>
      <c r="D41389" s="7">
        <v>5.01</v>
      </c>
      <c r="E41389" t="s">
        <v>73</v>
      </c>
    </row>
    <row r="41390" spans="1:5" x14ac:dyDescent="0.25">
      <c r="A41390" t="str">
        <f>HYPERLINK("https://www.773grp.com/globalSearch/MC10ELT20DT/page-1", "MC10ELT20DT")</f>
        <v>MC10ELT20DT</v>
      </c>
      <c r="B41390" s="3" t="str">
        <f>HYPERLINK("https://www.773grp.com/manufacturer/onsemi?pageNo=750", "ON Semiconductor")</f>
        <v>ON Semiconductor</v>
      </c>
      <c r="C41390" s="6">
        <v>4032</v>
      </c>
      <c r="D41390" s="7">
        <v>5.01</v>
      </c>
      <c r="E41390" t="s">
        <v>73</v>
      </c>
    </row>
    <row r="41391" spans="1:5" x14ac:dyDescent="0.25">
      <c r="A41391" t="str">
        <f>HYPERLINK("https://www.773grp.com/globalSearch/MC10ELT21D/page-1", "MC10ELT21D")</f>
        <v>MC10ELT21D</v>
      </c>
      <c r="B41391" s="3" t="str">
        <f>HYPERLINK("https://www.773grp.com/manufacturer/onsemi?pageNo=751", "ON Semiconductor")</f>
        <v>ON Semiconductor</v>
      </c>
      <c r="C41391" s="6">
        <v>26282</v>
      </c>
      <c r="D41391" s="7">
        <v>5.01</v>
      </c>
      <c r="E41391" t="s">
        <v>73</v>
      </c>
    </row>
    <row r="41392" spans="1:5" x14ac:dyDescent="0.25">
      <c r="A41392" t="str">
        <f>HYPERLINK("https://www.773grp.com/globalSearch/MC10ELT21DR2/page-1", "MC10ELT21DR2")</f>
        <v>MC10ELT21DR2</v>
      </c>
      <c r="B41392" s="3" t="str">
        <f>HYPERLINK("https://www.773grp.com/manufacturer/onsemi?pageNo=752", "ON Semiconductor")</f>
        <v>ON Semiconductor</v>
      </c>
      <c r="C41392" s="6">
        <v>6500</v>
      </c>
      <c r="D41392" s="7">
        <v>5.01</v>
      </c>
      <c r="E41392" t="s">
        <v>73</v>
      </c>
    </row>
    <row r="41393" spans="1:5" x14ac:dyDescent="0.25">
      <c r="A41393" t="str">
        <f>HYPERLINK("https://www.773grp.com/globalSearch/MC10ELT21DT/page-1", "MC10ELT21DT")</f>
        <v>MC10ELT21DT</v>
      </c>
      <c r="B41393" s="3" t="str">
        <f>HYPERLINK("https://www.773grp.com/manufacturer/onsemi?pageNo=753", "ON Semiconductor")</f>
        <v>ON Semiconductor</v>
      </c>
      <c r="C41393" s="6">
        <v>4880</v>
      </c>
      <c r="D41393" s="7">
        <v>5.01</v>
      </c>
      <c r="E41393" t="s">
        <v>73</v>
      </c>
    </row>
    <row r="41394" spans="1:5" x14ac:dyDescent="0.25">
      <c r="A41394" t="str">
        <f>HYPERLINK("https://www.773grp.com/globalSearch/MC10ELT22DT/page-1", "MC10ELT22DT")</f>
        <v>MC10ELT22DT</v>
      </c>
      <c r="B41394" s="3" t="str">
        <f>HYPERLINK("https://www.773grp.com/manufacturer/onsemi?pageNo=754", "ON Semiconductor")</f>
        <v>ON Semiconductor</v>
      </c>
      <c r="C41394" s="6">
        <v>1828</v>
      </c>
      <c r="D41394" s="7">
        <v>5.01</v>
      </c>
      <c r="E41394" t="s">
        <v>73</v>
      </c>
    </row>
    <row r="41395" spans="1:5" x14ac:dyDescent="0.25">
      <c r="A41395" t="str">
        <f>HYPERLINK("https://www.773grp.com/globalSearch/MC10ELT24D/page-1", "MC10ELT24D")</f>
        <v>MC10ELT24D</v>
      </c>
      <c r="B41395" s="3" t="str">
        <f>HYPERLINK("https://www.773grp.com/manufacturer/onsemi?pageNo=755", "ON Semiconductor")</f>
        <v>ON Semiconductor</v>
      </c>
      <c r="C41395" s="6">
        <v>14431</v>
      </c>
      <c r="D41395" s="7">
        <v>5.01</v>
      </c>
      <c r="E41395" t="s">
        <v>73</v>
      </c>
    </row>
    <row r="41396" spans="1:5" x14ac:dyDescent="0.25">
      <c r="A41396" t="str">
        <f>HYPERLINK("https://www.773grp.com/globalSearch/MC10ELT24DT/page-1", "MC10ELT24DT")</f>
        <v>MC10ELT24DT</v>
      </c>
      <c r="B41396" s="3" t="str">
        <f>HYPERLINK("https://www.773grp.com/manufacturer/onsemi?pageNo=756", "ON Semiconductor")</f>
        <v>ON Semiconductor</v>
      </c>
      <c r="C41396" s="6">
        <v>3604</v>
      </c>
      <c r="D41396" s="7">
        <v>5.01</v>
      </c>
      <c r="E41396" t="s">
        <v>73</v>
      </c>
    </row>
    <row r="41397" spans="1:5" x14ac:dyDescent="0.25">
      <c r="A41397" t="str">
        <f>HYPERLINK("https://www.773grp.com/globalSearch/MC10ELT24DTR2/page-1", "MC10ELT24DTR2")</f>
        <v>MC10ELT24DTR2</v>
      </c>
      <c r="B41397" s="3" t="str">
        <f>HYPERLINK("https://www.773grp.com/manufacturer/onsemi?pageNo=757", "ON Semiconductor")</f>
        <v>ON Semiconductor</v>
      </c>
      <c r="C41397" s="6">
        <v>5423</v>
      </c>
      <c r="D41397" s="7">
        <v>5.01</v>
      </c>
      <c r="E41397" t="s">
        <v>73</v>
      </c>
    </row>
    <row r="41398" spans="1:5" x14ac:dyDescent="0.25">
      <c r="A41398" t="str">
        <f>HYPERLINK("https://www.773grp.com/globalSearch/MC10ELT24P/page-1", "MC10ELT24P")</f>
        <v>MC10ELT24P</v>
      </c>
      <c r="B41398" s="3" t="str">
        <f>HYPERLINK("https://www.773grp.com/manufacturer/onsemi?pageNo=758", "ON Semiconductor")</f>
        <v>ON Semiconductor</v>
      </c>
      <c r="C41398" s="6">
        <v>30</v>
      </c>
      <c r="D41398" s="7">
        <v>5.01</v>
      </c>
    </row>
    <row r="41399" spans="1:5" x14ac:dyDescent="0.25">
      <c r="A41399" t="str">
        <f>HYPERLINK("https://www.773grp.com/globalSearch/MC10ELT25DT/page-1", "MC10ELT25DT")</f>
        <v>MC10ELT25DT</v>
      </c>
      <c r="B41399" s="3" t="str">
        <f>HYPERLINK("https://www.773grp.com/manufacturer/onsemi?pageNo=759", "ON Semiconductor")</f>
        <v>ON Semiconductor</v>
      </c>
      <c r="C41399" s="6">
        <v>11868</v>
      </c>
      <c r="D41399" s="7">
        <v>5.01</v>
      </c>
      <c r="E41399" t="s">
        <v>73</v>
      </c>
    </row>
    <row r="41400" spans="1:5" x14ac:dyDescent="0.25">
      <c r="A41400" t="str">
        <f>HYPERLINK("https://www.773grp.com/globalSearch/MC12026AD/page-1", "MC12026AD")</f>
        <v>MC12026AD</v>
      </c>
      <c r="B41400" s="3" t="str">
        <f>HYPERLINK("https://www.773grp.com/manufacturer/onsemi?pageNo=760", "ON Semiconductor")</f>
        <v>ON Semiconductor</v>
      </c>
      <c r="C41400" s="6">
        <v>23344</v>
      </c>
      <c r="D41400" s="7">
        <v>5.01</v>
      </c>
      <c r="E41400" t="s">
        <v>54</v>
      </c>
    </row>
    <row r="41401" spans="1:5" x14ac:dyDescent="0.25">
      <c r="A41401" t="str">
        <f>HYPERLINK("https://www.773grp.com/globalSearch/MC12026ADR2/page-1", "MC12026ADR2")</f>
        <v>MC12026ADR2</v>
      </c>
      <c r="B41401" s="3" t="str">
        <f>HYPERLINK("https://www.773grp.com/manufacturer/onsemi?pageNo=761", "ON Semiconductor")</f>
        <v>ON Semiconductor</v>
      </c>
      <c r="C41401" s="6">
        <v>25000</v>
      </c>
      <c r="D41401" s="7">
        <v>5.01</v>
      </c>
      <c r="E41401" t="s">
        <v>54</v>
      </c>
    </row>
    <row r="41402" spans="1:5" x14ac:dyDescent="0.25">
      <c r="A41402" t="str">
        <f>HYPERLINK("https://www.773grp.com/globalSearch/MC12080D/page-1", "MC12080D")</f>
        <v>MC12080D</v>
      </c>
      <c r="B41402" s="3" t="str">
        <f>HYPERLINK("https://www.773grp.com/manufacturer/onsemi?pageNo=762", "ON Semiconductor")</f>
        <v>ON Semiconductor</v>
      </c>
      <c r="C41402" s="6">
        <v>13957</v>
      </c>
      <c r="D41402" s="7">
        <v>5.01</v>
      </c>
      <c r="E41402" t="s">
        <v>54</v>
      </c>
    </row>
    <row r="41403" spans="1:5" x14ac:dyDescent="0.25">
      <c r="A41403" t="str">
        <f>HYPERLINK("https://www.773grp.com/globalSearch/MC12093D/page-1", "MC12093D")</f>
        <v>MC12093D</v>
      </c>
      <c r="B41403" s="3" t="str">
        <f>HYPERLINK("https://www.773grp.com/manufacturer/onsemi?pageNo=763", "ON Semiconductor")</f>
        <v>ON Semiconductor</v>
      </c>
      <c r="C41403" s="6">
        <v>19333</v>
      </c>
      <c r="D41403" s="7">
        <v>5.01</v>
      </c>
      <c r="E41403" t="s">
        <v>54</v>
      </c>
    </row>
    <row r="41404" spans="1:5" x14ac:dyDescent="0.25">
      <c r="A41404" t="str">
        <f>HYPERLINK("https://www.773grp.com/globalSearch/MC12093DR2/page-1", "MC12093DR2")</f>
        <v>MC12093DR2</v>
      </c>
      <c r="B41404" s="3" t="str">
        <f>HYPERLINK("https://www.773grp.com/manufacturer/onsemi?pageNo=764", "ON Semiconductor")</f>
        <v>ON Semiconductor</v>
      </c>
      <c r="C41404" s="6">
        <v>9850</v>
      </c>
      <c r="D41404" s="7">
        <v>5.01</v>
      </c>
      <c r="E41404" t="s">
        <v>54</v>
      </c>
    </row>
    <row r="41405" spans="1:5" x14ac:dyDescent="0.25">
      <c r="A41405" t="str">
        <f>HYPERLINK("https://www.773grp.com/globalSearch/MC12095D/page-1", "MC12095D")</f>
        <v>MC12095D</v>
      </c>
      <c r="B41405" s="3" t="str">
        <f>HYPERLINK("https://www.773grp.com/manufacturer/onsemi?pageNo=765", "ON Semiconductor")</f>
        <v>ON Semiconductor</v>
      </c>
      <c r="C41405" s="6">
        <v>7823</v>
      </c>
      <c r="D41405" s="7">
        <v>5.01</v>
      </c>
      <c r="E41405" t="s">
        <v>54</v>
      </c>
    </row>
    <row r="41406" spans="1:5" x14ac:dyDescent="0.25">
      <c r="A41406" t="str">
        <f>HYPERLINK("https://www.773grp.com/globalSearch/MTB75N06HD/page-1", "MTB75N06HD")</f>
        <v>MTB75N06HD</v>
      </c>
      <c r="B41406" s="3" t="str">
        <f>HYPERLINK("https://www.773grp.com/manufacturer/onsemi?pageNo=766", "ON Semiconductor")</f>
        <v>ON Semiconductor</v>
      </c>
      <c r="C41406" s="6">
        <v>25</v>
      </c>
      <c r="D41406" s="7">
        <v>5.01</v>
      </c>
      <c r="E41406" t="s">
        <v>105</v>
      </c>
    </row>
    <row r="41407" spans="1:5" x14ac:dyDescent="0.25">
      <c r="A41407" t="str">
        <f>HYPERLINK("https://www.773grp.com/globalSearch/NB100ELT23LD/page-1", "NB100ELT23LD")</f>
        <v>NB100ELT23LD</v>
      </c>
      <c r="B41407" s="3" t="str">
        <f>HYPERLINK("https://www.773grp.com/manufacturer/onsemi?pageNo=767", "ON Semiconductor")</f>
        <v>ON Semiconductor</v>
      </c>
      <c r="C41407" s="6">
        <v>42963</v>
      </c>
      <c r="D41407" s="7">
        <v>5.01</v>
      </c>
      <c r="E41407" t="s">
        <v>73</v>
      </c>
    </row>
    <row r="41408" spans="1:5" x14ac:dyDescent="0.25">
      <c r="A41408" t="str">
        <f>HYPERLINK("https://www.773grp.com/globalSearch/NB100ELT23LDR2/page-1", "NB100ELT23LDR2")</f>
        <v>NB100ELT23LDR2</v>
      </c>
      <c r="B41408" s="3" t="str">
        <f>HYPERLINK("https://www.773grp.com/manufacturer/onsemi?pageNo=768", "ON Semiconductor")</f>
        <v>ON Semiconductor</v>
      </c>
      <c r="C41408" s="6">
        <v>35000</v>
      </c>
      <c r="D41408" s="7">
        <v>5.01</v>
      </c>
      <c r="E41408" t="s">
        <v>73</v>
      </c>
    </row>
    <row r="41409" spans="1:5" x14ac:dyDescent="0.25">
      <c r="A41409" t="str">
        <f>HYPERLINK("https://www.773grp.com/globalSearch/NB2579ASNR2/page-1", "NB2579ASNR2")</f>
        <v>NB2579ASNR2</v>
      </c>
      <c r="B41409" s="3" t="str">
        <f>HYPERLINK("https://www.773grp.com/manufacturer/onsemi?pageNo=769", "ON Semiconductor")</f>
        <v>ON Semiconductor</v>
      </c>
      <c r="C41409" s="6">
        <v>2500</v>
      </c>
      <c r="D41409" s="7">
        <v>5.01</v>
      </c>
      <c r="E41409" t="s">
        <v>79</v>
      </c>
    </row>
    <row r="41410" spans="1:5" x14ac:dyDescent="0.25">
      <c r="A41410" t="str">
        <f>HYPERLINK("https://www.773grp.com/globalSearch/NB2669ASNR2/page-1", "NB2669ASNR2")</f>
        <v>NB2669ASNR2</v>
      </c>
      <c r="B41410" s="3" t="str">
        <f>HYPERLINK("https://www.773grp.com/manufacturer/onsemi?pageNo=770", "ON Semiconductor")</f>
        <v>ON Semiconductor</v>
      </c>
      <c r="C41410" s="6">
        <v>2500</v>
      </c>
      <c r="D41410" s="7">
        <v>5.01</v>
      </c>
      <c r="E41410" t="s">
        <v>79</v>
      </c>
    </row>
    <row r="41411" spans="1:5" x14ac:dyDescent="0.25">
      <c r="A41411" t="str">
        <f>HYPERLINK("https://www.773grp.com/globalSearch/NB2760ASNR2/page-1", "NB2760ASNR2")</f>
        <v>NB2760ASNR2</v>
      </c>
      <c r="B41411" s="3" t="str">
        <f>HYPERLINK("https://www.773grp.com/manufacturer/onsemi?pageNo=771", "ON Semiconductor")</f>
        <v>ON Semiconductor</v>
      </c>
      <c r="C41411" s="6">
        <v>2500</v>
      </c>
      <c r="D41411" s="7">
        <v>5.01</v>
      </c>
      <c r="E41411" t="s">
        <v>79</v>
      </c>
    </row>
    <row r="41412" spans="1:5" x14ac:dyDescent="0.25">
      <c r="A41412" t="str">
        <f>HYPERLINK("https://www.773grp.com/globalSearch/NB2762ASNR2/page-1", "NB2762ASNR2")</f>
        <v>NB2762ASNR2</v>
      </c>
      <c r="B41412" s="3" t="str">
        <f>HYPERLINK("https://www.773grp.com/manufacturer/onsemi?pageNo=772", "ON Semiconductor")</f>
        <v>ON Semiconductor</v>
      </c>
      <c r="C41412" s="6">
        <v>2500</v>
      </c>
      <c r="D41412" s="7">
        <v>5.01</v>
      </c>
      <c r="E41412" t="s">
        <v>79</v>
      </c>
    </row>
    <row r="41413" spans="1:5" x14ac:dyDescent="0.25">
      <c r="A41413" t="str">
        <f>HYPERLINK("https://www.773grp.com/globalSearch/NB2769ASNR2/page-1", "NB2769ASNR2")</f>
        <v>NB2769ASNR2</v>
      </c>
      <c r="B41413" s="3" t="str">
        <f>HYPERLINK("https://www.773grp.com/manufacturer/onsemi?pageNo=773", "ON Semiconductor")</f>
        <v>ON Semiconductor</v>
      </c>
      <c r="C41413" s="6">
        <v>2500</v>
      </c>
      <c r="D41413" s="7">
        <v>5.01</v>
      </c>
      <c r="E41413" t="s">
        <v>79</v>
      </c>
    </row>
    <row r="41414" spans="1:5" x14ac:dyDescent="0.25">
      <c r="A41414" t="str">
        <f>HYPERLINK("https://www.773grp.com/globalSearch/NB2779ASNR2/page-1", "NB2779ASNR2")</f>
        <v>NB2779ASNR2</v>
      </c>
      <c r="B41414" s="3" t="str">
        <f>HYPERLINK("https://www.773grp.com/manufacturer/onsemi?pageNo=774", "ON Semiconductor")</f>
        <v>ON Semiconductor</v>
      </c>
      <c r="C41414" s="6">
        <v>2500</v>
      </c>
      <c r="D41414" s="7">
        <v>5.01</v>
      </c>
      <c r="E41414" t="s">
        <v>79</v>
      </c>
    </row>
    <row r="41415" spans="1:5" x14ac:dyDescent="0.25">
      <c r="A41415" t="str">
        <f>HYPERLINK("https://www.773grp.com/globalSearch/NB2779ASNR2G/page-1", "NB2779ASNR2G")</f>
        <v>NB2779ASNR2G</v>
      </c>
      <c r="B41415" s="3" t="str">
        <f>HYPERLINK("https://www.773grp.com/manufacturer/onsemi?pageNo=775", "ON Semiconductor")</f>
        <v>ON Semiconductor</v>
      </c>
      <c r="C41415" s="6">
        <v>4980</v>
      </c>
      <c r="D41415" s="7">
        <v>5.01</v>
      </c>
      <c r="E41415" t="s">
        <v>79</v>
      </c>
    </row>
    <row r="41416" spans="1:5" x14ac:dyDescent="0.25">
      <c r="A41416" t="str">
        <f>HYPERLINK("https://www.773grp.com/globalSearch/NB2780ASNR2/page-1", "NB2780ASNR2")</f>
        <v>NB2780ASNR2</v>
      </c>
      <c r="B41416" s="3" t="str">
        <f>HYPERLINK("https://www.773grp.com/manufacturer/onsemi?pageNo=776", "ON Semiconductor")</f>
        <v>ON Semiconductor</v>
      </c>
      <c r="C41416" s="6">
        <v>2500</v>
      </c>
      <c r="D41416" s="7">
        <v>5.01</v>
      </c>
      <c r="E41416" t="s">
        <v>79</v>
      </c>
    </row>
    <row r="41417" spans="1:5" x14ac:dyDescent="0.25">
      <c r="A41417" t="str">
        <f>HYPERLINK("https://www.773grp.com/globalSearch/NB2869ASNR2/page-1", "NB2869ASNR2")</f>
        <v>NB2869ASNR2</v>
      </c>
      <c r="B41417" s="3" t="str">
        <f>HYPERLINK("https://www.773grp.com/manufacturer/onsemi?pageNo=777", "ON Semiconductor")</f>
        <v>ON Semiconductor</v>
      </c>
      <c r="C41417" s="6">
        <v>2500</v>
      </c>
      <c r="D41417" s="7">
        <v>5.01</v>
      </c>
      <c r="E41417" t="s">
        <v>79</v>
      </c>
    </row>
    <row r="41418" spans="1:5" x14ac:dyDescent="0.25">
      <c r="A41418" t="str">
        <f>HYPERLINK("https://www.773grp.com/globalSearch/NB2870ASNR2/page-1", "NB2870ASNR2")</f>
        <v>NB2870ASNR2</v>
      </c>
      <c r="B41418" s="3" t="str">
        <f>HYPERLINK("https://www.773grp.com/manufacturer/onsemi?pageNo=778", "ON Semiconductor")</f>
        <v>ON Semiconductor</v>
      </c>
      <c r="C41418" s="6">
        <v>2500</v>
      </c>
      <c r="D41418" s="7">
        <v>5.01</v>
      </c>
      <c r="E41418" t="s">
        <v>79</v>
      </c>
    </row>
    <row r="41419" spans="1:5" x14ac:dyDescent="0.25">
      <c r="A41419" t="str">
        <f>HYPERLINK("https://www.773grp.com/globalSearch/NB2872ASNR2/page-1", "NB2872ASNR2")</f>
        <v>NB2872ASNR2</v>
      </c>
      <c r="B41419" s="3" t="str">
        <f>HYPERLINK("https://www.773grp.com/manufacturer/onsemi?pageNo=779", "ON Semiconductor")</f>
        <v>ON Semiconductor</v>
      </c>
      <c r="C41419" s="6">
        <v>2500</v>
      </c>
      <c r="D41419" s="7">
        <v>5.01</v>
      </c>
      <c r="E41419" t="s">
        <v>79</v>
      </c>
    </row>
    <row r="41420" spans="1:5" x14ac:dyDescent="0.25">
      <c r="A41420" t="str">
        <f>HYPERLINK("https://www.773grp.com/globalSearch/NB2879ASNR2/page-1", "NB2879ASNR2")</f>
        <v>NB2879ASNR2</v>
      </c>
      <c r="B41420" s="3" t="str">
        <f>HYPERLINK("https://www.773grp.com/manufacturer/onsemi?pageNo=780", "ON Semiconductor")</f>
        <v>ON Semiconductor</v>
      </c>
      <c r="C41420" s="6">
        <v>2500</v>
      </c>
      <c r="D41420" s="7">
        <v>5.01</v>
      </c>
      <c r="E41420" t="s">
        <v>79</v>
      </c>
    </row>
    <row r="41421" spans="1:5" x14ac:dyDescent="0.25">
      <c r="A41421" t="str">
        <f>HYPERLINK("https://www.773grp.com/globalSearch/NB2969ASNR2/page-1", "NB2969ASNR2")</f>
        <v>NB2969ASNR2</v>
      </c>
      <c r="B41421" s="3" t="str">
        <f>HYPERLINK("https://www.773grp.com/manufacturer/onsemi?pageNo=781", "ON Semiconductor")</f>
        <v>ON Semiconductor</v>
      </c>
      <c r="C41421" s="6">
        <v>2500</v>
      </c>
      <c r="D41421" s="7">
        <v>5.01</v>
      </c>
      <c r="E41421" t="s">
        <v>79</v>
      </c>
    </row>
    <row r="41422" spans="1:5" x14ac:dyDescent="0.25">
      <c r="A41422" t="str">
        <f>HYPERLINK("https://www.773grp.com/globalSearch/NCP1034DR2G/page-1", "NCP1034DR2G")</f>
        <v>NCP1034DR2G</v>
      </c>
      <c r="B41422" s="3" t="str">
        <f>HYPERLINK("https://www.773grp.com/manufacturer/onsemi?pageNo=782", "ON Semiconductor")</f>
        <v>ON Semiconductor</v>
      </c>
      <c r="C41422" s="6">
        <v>39975</v>
      </c>
      <c r="D41422" s="7">
        <v>5.01</v>
      </c>
      <c r="E41422" t="s">
        <v>7</v>
      </c>
    </row>
    <row r="41423" spans="1:5" x14ac:dyDescent="0.25">
      <c r="A41423" t="str">
        <f>HYPERLINK("https://www.773grp.com/globalSearch/NCP1852FCCT1G/page-1", "NCP1852FCCT1G")</f>
        <v>NCP1852FCCT1G</v>
      </c>
      <c r="B41423" s="3" t="str">
        <f>HYPERLINK("https://www.773grp.com/manufacturer/onsemi?pageNo=783", "ON Semiconductor")</f>
        <v>ON Semiconductor</v>
      </c>
      <c r="C41423" s="6">
        <v>18000</v>
      </c>
      <c r="D41423" s="7">
        <v>5.01</v>
      </c>
    </row>
    <row r="41424" spans="1:5" x14ac:dyDescent="0.25">
      <c r="A41424" t="str">
        <f>HYPERLINK("https://www.773grp.com/globalSearch/NCP5381AMNR2G/page-1", "NCP5381AMNR2G")</f>
        <v>NCP5381AMNR2G</v>
      </c>
      <c r="B41424" s="3" t="str">
        <f>HYPERLINK("https://www.773grp.com/manufacturer/onsemi?pageNo=784", "ON Semiconductor")</f>
        <v>ON Semiconductor</v>
      </c>
      <c r="C41424" s="6">
        <v>2480</v>
      </c>
      <c r="D41424" s="7">
        <v>5.01</v>
      </c>
    </row>
    <row r="41425" spans="1:5" x14ac:dyDescent="0.25">
      <c r="A41425" t="str">
        <f>HYPERLINK("https://www.773grp.com/globalSearch/NJL21193DG/page-1", "NJL21193DG")</f>
        <v>NJL21193DG</v>
      </c>
      <c r="B41425" s="3" t="str">
        <f>HYPERLINK("https://www.773grp.com/manufacturer/onsemi?pageNo=785", "ON Semiconductor")</f>
        <v>ON Semiconductor</v>
      </c>
      <c r="C41425" s="6">
        <v>4156</v>
      </c>
      <c r="D41425" s="7">
        <v>5.01</v>
      </c>
      <c r="E41425" t="s">
        <v>59</v>
      </c>
    </row>
    <row r="41426" spans="1:5" x14ac:dyDescent="0.25">
      <c r="A41426" t="str">
        <f>HYPERLINK("https://www.773grp.com/globalSearch/NJL21194DG/page-1", "NJL21194DG")</f>
        <v>NJL21194DG</v>
      </c>
      <c r="B41426" s="3" t="str">
        <f>HYPERLINK("https://www.773grp.com/manufacturer/onsemi?pageNo=786", "ON Semiconductor")</f>
        <v>ON Semiconductor</v>
      </c>
      <c r="C41426" s="6">
        <v>4744</v>
      </c>
      <c r="D41426" s="7">
        <v>5.01</v>
      </c>
      <c r="E41426" t="s">
        <v>59</v>
      </c>
    </row>
    <row r="41427" spans="1:5" x14ac:dyDescent="0.25">
      <c r="A41427" t="str">
        <f>HYPERLINK("https://www.773grp.com/globalSearch/NLSX3378BFCT1G/page-1", "NLSX3378BFCT1G")</f>
        <v>NLSX3378BFCT1G</v>
      </c>
      <c r="B41427" s="3" t="str">
        <f>HYPERLINK("https://www.773grp.com/manufacturer/onsemi?pageNo=787", "ON Semiconductor")</f>
        <v>ON Semiconductor</v>
      </c>
      <c r="C41427" s="6">
        <v>48000</v>
      </c>
      <c r="D41427" s="7">
        <v>5.01</v>
      </c>
      <c r="E41427" t="s">
        <v>14</v>
      </c>
    </row>
    <row r="41428" spans="1:5" x14ac:dyDescent="0.25">
      <c r="A41428" t="str">
        <f>HYPERLINK("https://www.773grp.com/globalSearch/NLSX3378FCT1G/page-1", "NLSX3378FCT1G")</f>
        <v>NLSX3378FCT1G</v>
      </c>
      <c r="B41428" s="3" t="str">
        <f>HYPERLINK("https://www.773grp.com/manufacturer/onsemi?pageNo=788", "ON Semiconductor")</f>
        <v>ON Semiconductor</v>
      </c>
      <c r="C41428" s="6">
        <v>41756</v>
      </c>
      <c r="D41428" s="7">
        <v>5.01</v>
      </c>
      <c r="E41428" t="s">
        <v>14</v>
      </c>
    </row>
    <row r="41429" spans="1:5" x14ac:dyDescent="0.25">
      <c r="A41429" t="str">
        <f>HYPERLINK("https://www.773grp.com/globalSearch/NRVB120ESFT1G/page-1", "NRVB120ESFT1G")</f>
        <v>NRVB120ESFT1G</v>
      </c>
      <c r="B41429" s="3" t="str">
        <f>HYPERLINK("https://www.773grp.com/manufacturer/onsemi?pageNo=789", "ON Semiconductor")</f>
        <v>ON Semiconductor</v>
      </c>
      <c r="C41429" s="6">
        <v>123000</v>
      </c>
      <c r="D41429" s="7">
        <v>5.01</v>
      </c>
    </row>
    <row r="41430" spans="1:5" x14ac:dyDescent="0.25">
      <c r="A41430" t="str">
        <f>HYPERLINK("https://www.773grp.com/globalSearch/NTB35N15G/page-1", "NTB35N15G")</f>
        <v>NTB35N15G</v>
      </c>
      <c r="B41430" s="3" t="str">
        <f>HYPERLINK("https://www.773grp.com/manufacturer/onsemi?pageNo=790", "ON Semiconductor")</f>
        <v>ON Semiconductor</v>
      </c>
      <c r="C41430" s="6">
        <v>300</v>
      </c>
      <c r="D41430" s="7">
        <v>5.01</v>
      </c>
      <c r="E41430" t="s">
        <v>105</v>
      </c>
    </row>
    <row r="41431" spans="1:5" x14ac:dyDescent="0.25">
      <c r="A41431" t="str">
        <f>HYPERLINK("https://www.773grp.com/globalSearch/NTB75N06G/page-1", "NTB75N06G")</f>
        <v>NTB75N06G</v>
      </c>
      <c r="B41431" s="3" t="str">
        <f>HYPERLINK("https://www.773grp.com/manufacturer/onsemi?pageNo=791", "ON Semiconductor")</f>
        <v>ON Semiconductor</v>
      </c>
      <c r="C41431" s="6">
        <v>2200</v>
      </c>
      <c r="D41431" s="7">
        <v>5.01</v>
      </c>
    </row>
    <row r="41432" spans="1:5" x14ac:dyDescent="0.25">
      <c r="A41432" t="str">
        <f>HYPERLINK("https://www.773grp.com/globalSearch/NTP30N20G/page-1", "NTP30N20G")</f>
        <v>NTP30N20G</v>
      </c>
      <c r="B41432" s="3" t="str">
        <f>HYPERLINK("https://www.773grp.com/manufacturer/onsemi?pageNo=792", "ON Semiconductor")</f>
        <v>ON Semiconductor</v>
      </c>
      <c r="C41432" s="6">
        <v>72</v>
      </c>
      <c r="D41432" s="7">
        <v>5.01</v>
      </c>
      <c r="E41432" t="s">
        <v>105</v>
      </c>
    </row>
    <row r="41433" spans="1:5" x14ac:dyDescent="0.25">
      <c r="A41433" t="str">
        <f>HYPERLINK("https://www.773grp.com/globalSearch/STB75N06HDT4/page-1", "STB75N06HDT4")</f>
        <v>STB75N06HDT4</v>
      </c>
      <c r="B41433" s="3" t="str">
        <f>HYPERLINK("https://www.773grp.com/manufacturer/onsemi?pageNo=793", "ON Semiconductor")</f>
        <v>ON Semiconductor</v>
      </c>
      <c r="C41433" s="6">
        <v>16800</v>
      </c>
      <c r="D41433" s="7">
        <v>5.01</v>
      </c>
    </row>
    <row r="41434" spans="1:5" x14ac:dyDescent="0.25">
      <c r="A41434" t="str">
        <f>HYPERLINK("https://www.773grp.com/globalSearch/CS2001YDWF20/page-1", "CS2001YDWF20")</f>
        <v>CS2001YDWF20</v>
      </c>
      <c r="B41434" s="3" t="str">
        <f>HYPERLINK("https://www.773grp.com/manufacturer/onsemi?pageNo=794", "ON Semiconductor")</f>
        <v>ON Semiconductor</v>
      </c>
      <c r="C41434" s="6">
        <v>950</v>
      </c>
      <c r="D41434" s="7">
        <v>4.5599999999999996</v>
      </c>
      <c r="E41434" t="s">
        <v>7</v>
      </c>
    </row>
    <row r="41435" spans="1:5" x14ac:dyDescent="0.25">
      <c r="A41435" t="str">
        <f>HYPERLINK("https://www.773grp.com/globalSearch/LV8761V-MPB-E/page-1", "LV8761V-MPB-E")</f>
        <v>LV8761V-MPB-E</v>
      </c>
      <c r="B41435" s="3" t="str">
        <f>HYPERLINK("https://www.773grp.com/manufacturer/onsemi?pageNo=795", "ON Semiconductor")</f>
        <v>ON Semiconductor</v>
      </c>
      <c r="C41435" s="6">
        <v>60</v>
      </c>
      <c r="D41435" s="7">
        <v>4.5599999999999996</v>
      </c>
    </row>
    <row r="41436" spans="1:5" x14ac:dyDescent="0.25">
      <c r="A41436" t="str">
        <f>HYPERLINK("https://www.773grp.com/globalSearch/BU323ZG/page-1", "BU323ZG")</f>
        <v>BU323ZG</v>
      </c>
      <c r="B41436" s="3" t="str">
        <f>HYPERLINK("https://www.773grp.com/manufacturer/onsemi?pageNo=796", "ON Semiconductor")</f>
        <v>ON Semiconductor</v>
      </c>
      <c r="C41436" s="6">
        <v>4565</v>
      </c>
      <c r="D41436" s="7">
        <v>5.0599999999999996</v>
      </c>
      <c r="E41436" t="s">
        <v>59</v>
      </c>
    </row>
    <row r="41437" spans="1:5" x14ac:dyDescent="0.25">
      <c r="A41437" t="str">
        <f>HYPERLINK("https://www.773grp.com/globalSearch/CAT4101TVT75/page-1", "CAT4101TVT75")</f>
        <v>CAT4101TVT75</v>
      </c>
      <c r="B41437" s="3" t="str">
        <f>HYPERLINK("https://www.773grp.com/manufacturer/onsemi?pageNo=797", "ON Semiconductor")</f>
        <v>ON Semiconductor</v>
      </c>
      <c r="C41437" s="6">
        <v>106</v>
      </c>
      <c r="D41437" s="7">
        <v>5.0599999999999996</v>
      </c>
    </row>
    <row r="41438" spans="1:5" x14ac:dyDescent="0.25">
      <c r="A41438" t="str">
        <f>HYPERLINK("https://www.773grp.com/globalSearch/CAT4101TV-T75/page-1", "CAT4101TV-T75")</f>
        <v>CAT4101TV-T75</v>
      </c>
      <c r="B41438" s="3" t="str">
        <f>HYPERLINK("https://www.773grp.com/manufacturer/onsemi?pageNo=798", "ON Semiconductor")</f>
        <v>ON Semiconductor</v>
      </c>
      <c r="C41438" s="6">
        <v>6699</v>
      </c>
      <c r="D41438" s="7">
        <v>5.0599999999999996</v>
      </c>
    </row>
    <row r="41439" spans="1:5" x14ac:dyDescent="0.25">
      <c r="A41439" t="str">
        <f>HYPERLINK("https://www.773grp.com/globalSearch/CAT885ZI-LA-GT3/page-1", "CAT885ZI-LA-GT3")</f>
        <v>CAT885ZI-LA-GT3</v>
      </c>
      <c r="B41439" s="3" t="str">
        <f>HYPERLINK("https://www.773grp.com/manufacturer/onsemi?pageNo=799", "ON Semiconductor")</f>
        <v>ON Semiconductor</v>
      </c>
      <c r="C41439" s="6">
        <v>12000</v>
      </c>
      <c r="D41439" s="7">
        <v>5.0599999999999996</v>
      </c>
    </row>
    <row r="41440" spans="1:5" x14ac:dyDescent="0.25">
      <c r="A41440" t="str">
        <f>HYPERLINK("https://www.773grp.com/globalSearch/CAT885ZI-LT-GT3/page-1", "CAT885ZI-LT-GT3")</f>
        <v>CAT885ZI-LT-GT3</v>
      </c>
      <c r="B41440" s="3" t="str">
        <f>HYPERLINK("https://www.773grp.com/manufacturer/onsemi?pageNo=800", "ON Semiconductor")</f>
        <v>ON Semiconductor</v>
      </c>
      <c r="C41440" s="6">
        <v>6000</v>
      </c>
      <c r="D41440" s="7">
        <v>5.0599999999999996</v>
      </c>
      <c r="E41440" t="s">
        <v>30</v>
      </c>
    </row>
    <row r="41441" spans="1:5" x14ac:dyDescent="0.25">
      <c r="A41441" t="str">
        <f>HYPERLINK("https://www.773grp.com/globalSearch/CAT885ZI-SA-GT3/page-1", "CAT885ZI-SA-GT3")</f>
        <v>CAT885ZI-SA-GT3</v>
      </c>
      <c r="B41441" s="3" t="str">
        <f>HYPERLINK("https://www.773grp.com/manufacturer/onsemi?pageNo=801", "ON Semiconductor")</f>
        <v>ON Semiconductor</v>
      </c>
      <c r="C41441" s="6">
        <v>9000</v>
      </c>
      <c r="D41441" s="7">
        <v>5.0599999999999996</v>
      </c>
      <c r="E41441" t="s">
        <v>30</v>
      </c>
    </row>
    <row r="41442" spans="1:5" x14ac:dyDescent="0.25">
      <c r="A41442" t="str">
        <f>HYPERLINK("https://www.773grp.com/globalSearch/CS51411EMNR2G/page-1", "CS51411EMNR2G")</f>
        <v>CS51411EMNR2G</v>
      </c>
      <c r="B41442" s="3" t="str">
        <f>HYPERLINK("https://www.773grp.com/manufacturer/onsemi?pageNo=802", "ON Semiconductor")</f>
        <v>ON Semiconductor</v>
      </c>
      <c r="C41442" s="6">
        <v>1107</v>
      </c>
      <c r="D41442" s="7">
        <v>5.0599999999999996</v>
      </c>
      <c r="E41442" t="s">
        <v>7</v>
      </c>
    </row>
    <row r="41443" spans="1:5" x14ac:dyDescent="0.25">
      <c r="A41443" t="str">
        <f>HYPERLINK("https://www.773grp.com/globalSearch/CS8122YT5/page-1", "CS8122YT5")</f>
        <v>CS8122YT5</v>
      </c>
      <c r="B41443" s="3" t="str">
        <f>HYPERLINK("https://www.773grp.com/manufacturer/onsemi?pageNo=803", "ON Semiconductor")</f>
        <v>ON Semiconductor</v>
      </c>
      <c r="C41443" s="6">
        <v>2678</v>
      </c>
      <c r="D41443" s="7">
        <v>5.0599999999999996</v>
      </c>
      <c r="E41443" t="s">
        <v>19</v>
      </c>
    </row>
    <row r="41444" spans="1:5" x14ac:dyDescent="0.25">
      <c r="A41444" t="str">
        <f>HYPERLINK("https://www.773grp.com/globalSearch/CS8122YT5G/page-1", "CS8122YT5G")</f>
        <v>CS8122YT5G</v>
      </c>
      <c r="B41444" s="3" t="str">
        <f>HYPERLINK("https://www.773grp.com/manufacturer/onsemi?pageNo=804", "ON Semiconductor")</f>
        <v>ON Semiconductor</v>
      </c>
      <c r="C41444" s="6">
        <v>237650</v>
      </c>
      <c r="D41444" s="7">
        <v>5.0599999999999996</v>
      </c>
      <c r="E41444" t="s">
        <v>19</v>
      </c>
    </row>
    <row r="41445" spans="1:5" x14ac:dyDescent="0.25">
      <c r="A41445" t="str">
        <f>HYPERLINK("https://www.773grp.com/globalSearch/TIP35AG/page-1", "TIP35AG")</f>
        <v>TIP35AG</v>
      </c>
      <c r="B41445" s="3" t="str">
        <f>HYPERLINK("https://www.773grp.com/manufacturer/onsemi?pageNo=805", "ON Semiconductor")</f>
        <v>ON Semiconductor</v>
      </c>
      <c r="C41445" s="6">
        <v>1079</v>
      </c>
      <c r="D41445" s="7">
        <v>5.0599999999999996</v>
      </c>
      <c r="E41445" t="s">
        <v>59</v>
      </c>
    </row>
    <row r="41446" spans="1:5" x14ac:dyDescent="0.25">
      <c r="A41446" t="str">
        <f>HYPERLINK("https://www.773grp.com/globalSearch/TIP35CG/page-1", "TIP35CG")</f>
        <v>TIP35CG</v>
      </c>
      <c r="B41446" s="3" t="str">
        <f>HYPERLINK("https://www.773grp.com/manufacturer/onsemi?pageNo=806", "ON Semiconductor")</f>
        <v>ON Semiconductor</v>
      </c>
      <c r="C41446" s="6">
        <v>5630</v>
      </c>
      <c r="D41446" s="7">
        <v>5.0599999999999996</v>
      </c>
    </row>
    <row r="41447" spans="1:5" x14ac:dyDescent="0.25">
      <c r="A41447" t="str">
        <f>HYPERLINK("https://www.773grp.com/globalSearch/TIP36AG/page-1", "TIP36AG")</f>
        <v>TIP36AG</v>
      </c>
      <c r="B41447" s="3" t="str">
        <f>HYPERLINK("https://www.773grp.com/manufacturer/onsemi?pageNo=807", "ON Semiconductor")</f>
        <v>ON Semiconductor</v>
      </c>
      <c r="C41447" s="6">
        <v>70</v>
      </c>
      <c r="D41447" s="7">
        <v>5.0599999999999996</v>
      </c>
      <c r="E41447" t="s">
        <v>59</v>
      </c>
    </row>
    <row r="41448" spans="1:5" x14ac:dyDescent="0.25">
      <c r="A41448" t="str">
        <f>HYPERLINK("https://www.773grp.com/globalSearch/TIP36CG/page-1", "TIP36CG")</f>
        <v>TIP36CG</v>
      </c>
      <c r="B41448" s="3" t="str">
        <f>HYPERLINK("https://www.773grp.com/manufacturer/onsemi?pageNo=808", "ON Semiconductor")</f>
        <v>ON Semiconductor</v>
      </c>
      <c r="C41448" s="6">
        <v>460</v>
      </c>
      <c r="D41448" s="7">
        <v>5.0599999999999996</v>
      </c>
    </row>
    <row r="41449" spans="1:5" x14ac:dyDescent="0.25">
      <c r="A41449" t="str">
        <f>HYPERLINK("https://www.773grp.com/globalSearch/TIP36G/page-1", "TIP36G")</f>
        <v>TIP36G</v>
      </c>
      <c r="B41449" s="3" t="str">
        <f>HYPERLINK("https://www.773grp.com/manufacturer/onsemi?pageNo=809", "ON Semiconductor")</f>
        <v>ON Semiconductor</v>
      </c>
      <c r="C41449" s="6">
        <v>1</v>
      </c>
      <c r="D41449" s="7">
        <v>5.0599999999999996</v>
      </c>
    </row>
    <row r="41450" spans="1:5" x14ac:dyDescent="0.25">
      <c r="A41450" t="str">
        <f>HYPERLINK("https://www.773grp.com/globalSearch/CS8126-1YDPSR7G/page-1", "CS8126-1YDPSR7G")</f>
        <v>CS8126-1YDPSR7G</v>
      </c>
      <c r="B41450" s="3" t="str">
        <f>HYPERLINK("https://www.773grp.com/manufacturer/onsemi?pageNo=810", "ON Semiconductor")</f>
        <v>ON Semiconductor</v>
      </c>
      <c r="C41450" s="6">
        <v>2896</v>
      </c>
      <c r="D41450" s="7">
        <v>4.59</v>
      </c>
      <c r="E41450" t="s">
        <v>19</v>
      </c>
    </row>
    <row r="41451" spans="1:5" x14ac:dyDescent="0.25">
      <c r="A41451" t="str">
        <f>HYPERLINK("https://www.773grp.com/globalSearch/CS93303DR16/page-1", "CS93303DR16")</f>
        <v>CS93303DR16</v>
      </c>
      <c r="B41451" s="3" t="str">
        <f>HYPERLINK("https://www.773grp.com/manufacturer/onsemi?pageNo=811", "ON Semiconductor")</f>
        <v>ON Semiconductor</v>
      </c>
      <c r="C41451" s="6">
        <v>129</v>
      </c>
      <c r="D41451" s="7">
        <v>4.59</v>
      </c>
    </row>
    <row r="41452" spans="1:5" x14ac:dyDescent="0.25">
      <c r="A41452" t="str">
        <f>HYPERLINK("https://www.773grp.com/globalSearch/MC10H131M/page-1", "MC10H131M")</f>
        <v>MC10H131M</v>
      </c>
      <c r="B41452" s="3" t="str">
        <f>HYPERLINK("https://www.773grp.com/manufacturer/onsemi?pageNo=812", "ON Semiconductor")</f>
        <v>ON Semiconductor</v>
      </c>
      <c r="C41452" s="6">
        <v>4</v>
      </c>
      <c r="D41452" s="7">
        <v>4.59</v>
      </c>
      <c r="E41452" t="s">
        <v>35</v>
      </c>
    </row>
    <row r="41453" spans="1:5" x14ac:dyDescent="0.25">
      <c r="A41453" t="str">
        <f>HYPERLINK("https://www.773grp.com/globalSearch/MJ15022/page-1", "MJ15022")</f>
        <v>MJ15022</v>
      </c>
      <c r="B41453" s="3" t="str">
        <f>HYPERLINK("https://www.773grp.com/manufacturer/onsemi?pageNo=813", "ON Semiconductor")</f>
        <v>ON Semiconductor</v>
      </c>
      <c r="C41453" s="6">
        <v>179</v>
      </c>
      <c r="D41453" s="7">
        <v>4.59</v>
      </c>
      <c r="E41453" t="s">
        <v>59</v>
      </c>
    </row>
    <row r="41454" spans="1:5" x14ac:dyDescent="0.25">
      <c r="A41454" t="str">
        <f>HYPERLINK("https://www.773grp.com/globalSearch/MJ15025/page-1", "MJ15025")</f>
        <v>MJ15025</v>
      </c>
      <c r="B41454" s="3" t="str">
        <f>HYPERLINK("https://www.773grp.com/manufacturer/onsemi?pageNo=814", "ON Semiconductor")</f>
        <v>ON Semiconductor</v>
      </c>
      <c r="C41454" s="6">
        <v>1678</v>
      </c>
      <c r="D41454" s="7">
        <v>4.59</v>
      </c>
      <c r="E41454" t="s">
        <v>59</v>
      </c>
    </row>
    <row r="41455" spans="1:5" x14ac:dyDescent="0.25">
      <c r="A41455" t="str">
        <f>HYPERLINK("https://www.773grp.com/globalSearch/CS5101EDW16G/page-1", "CS5101EDW16G")</f>
        <v>CS5101EDW16G</v>
      </c>
      <c r="B41455" s="3" t="str">
        <f>HYPERLINK("https://www.773grp.com/manufacturer/onsemi?pageNo=815", "ON Semiconductor")</f>
        <v>ON Semiconductor</v>
      </c>
      <c r="C41455" s="6">
        <v>4327</v>
      </c>
      <c r="D41455" s="7">
        <v>4.6100000000000003</v>
      </c>
      <c r="E41455" t="s">
        <v>7</v>
      </c>
    </row>
    <row r="41456" spans="1:5" x14ac:dyDescent="0.25">
      <c r="A41456" t="str">
        <f>HYPERLINK("https://www.773grp.com/globalSearch/CS5101EDWR16G/page-1", "CS5101EDWR16G")</f>
        <v>CS5101EDWR16G</v>
      </c>
      <c r="B41456" s="3" t="str">
        <f>HYPERLINK("https://www.773grp.com/manufacturer/onsemi?pageNo=816", "ON Semiconductor")</f>
        <v>ON Semiconductor</v>
      </c>
      <c r="C41456" s="6">
        <v>7785</v>
      </c>
      <c r="D41456" s="7">
        <v>4.6100000000000003</v>
      </c>
      <c r="E41456" t="s">
        <v>7</v>
      </c>
    </row>
    <row r="41457" spans="1:5" x14ac:dyDescent="0.25">
      <c r="A41457" t="str">
        <f>HYPERLINK("https://www.773grp.com/globalSearch/CS5101EN14G/page-1", "CS5101EN14G")</f>
        <v>CS5101EN14G</v>
      </c>
      <c r="B41457" s="3" t="str">
        <f>HYPERLINK("https://www.773grp.com/manufacturer/onsemi?pageNo=817", "ON Semiconductor")</f>
        <v>ON Semiconductor</v>
      </c>
      <c r="C41457" s="6">
        <v>1201</v>
      </c>
      <c r="D41457" s="7">
        <v>4.6100000000000003</v>
      </c>
      <c r="E41457" t="s">
        <v>7</v>
      </c>
    </row>
    <row r="41458" spans="1:5" x14ac:dyDescent="0.25">
      <c r="A41458" t="str">
        <f>HYPERLINK("https://www.773grp.com/globalSearch/CS8391YDP5/page-1", "CS8391YDP5")</f>
        <v>CS8391YDP5</v>
      </c>
      <c r="B41458" s="3" t="str">
        <f>HYPERLINK("https://www.773grp.com/manufacturer/onsemi?pageNo=818", "ON Semiconductor")</f>
        <v>ON Semiconductor</v>
      </c>
      <c r="C41458" s="6">
        <v>250</v>
      </c>
      <c r="D41458" s="7">
        <v>5.1100000000000003</v>
      </c>
      <c r="E41458" t="s">
        <v>44</v>
      </c>
    </row>
    <row r="41459" spans="1:5" x14ac:dyDescent="0.25">
      <c r="A41459" t="str">
        <f>HYPERLINK("https://www.773grp.com/globalSearch/CS8391YDPR5/page-1", "CS8391YDPR5")</f>
        <v>CS8391YDPR5</v>
      </c>
      <c r="B41459" s="3" t="str">
        <f>HYPERLINK("https://www.773grp.com/manufacturer/onsemi?pageNo=819", "ON Semiconductor")</f>
        <v>ON Semiconductor</v>
      </c>
      <c r="C41459" s="6">
        <v>9000</v>
      </c>
      <c r="D41459" s="7">
        <v>5.1100000000000003</v>
      </c>
      <c r="E41459" t="s">
        <v>44</v>
      </c>
    </row>
    <row r="41460" spans="1:5" x14ac:dyDescent="0.25">
      <c r="A41460" t="str">
        <f>HYPERLINK("https://www.773grp.com/globalSearch/LV5768M-TLM-H/page-1", "LV5768M-TLM-H")</f>
        <v>LV5768M-TLM-H</v>
      </c>
      <c r="B41460" s="3" t="str">
        <f>HYPERLINK("https://www.773grp.com/manufacturer/onsemi?pageNo=820", "ON Semiconductor")</f>
        <v>ON Semiconductor</v>
      </c>
      <c r="C41460" s="6">
        <v>51000</v>
      </c>
      <c r="D41460" s="7">
        <v>5.1100000000000003</v>
      </c>
    </row>
    <row r="41461" spans="1:5" x14ac:dyDescent="0.25">
      <c r="A41461" t="str">
        <f>HYPERLINK("https://www.773grp.com/globalSearch/MC10124L/page-1", "MC10124L")</f>
        <v>MC10124L</v>
      </c>
      <c r="B41461" s="3" t="str">
        <f>HYPERLINK("https://www.773grp.com/manufacturer/onsemi?pageNo=821", "ON Semiconductor")</f>
        <v>ON Semiconductor</v>
      </c>
      <c r="C41461" s="6">
        <v>11961</v>
      </c>
      <c r="D41461" s="7">
        <v>5.1100000000000003</v>
      </c>
      <c r="E41461" t="s">
        <v>73</v>
      </c>
    </row>
    <row r="41462" spans="1:5" x14ac:dyDescent="0.25">
      <c r="A41462" t="str">
        <f>HYPERLINK("https://www.773grp.com/globalSearch/MCR265-006/page-1", "MCR265-006")</f>
        <v>MCR265-006</v>
      </c>
      <c r="B41462" s="3" t="str">
        <f>HYPERLINK("https://www.773grp.com/manufacturer/onsemi?pageNo=822", "ON Semiconductor")</f>
        <v>ON Semiconductor</v>
      </c>
      <c r="C41462" s="6">
        <v>46528</v>
      </c>
      <c r="D41462" s="7">
        <v>5.1100000000000003</v>
      </c>
    </row>
    <row r="41463" spans="1:5" x14ac:dyDescent="0.25">
      <c r="A41463" t="str">
        <f>HYPERLINK("https://www.773grp.com/globalSearch/NCP3122MNTXG/page-1", "NCP3122MNTXG")</f>
        <v>NCP3122MNTXG</v>
      </c>
      <c r="B41463" s="3" t="str">
        <f>HYPERLINK("https://www.773grp.com/manufacturer/onsemi?pageNo=823", "ON Semiconductor")</f>
        <v>ON Semiconductor</v>
      </c>
      <c r="C41463" s="6">
        <v>16001</v>
      </c>
      <c r="D41463" s="7">
        <v>5.1100000000000003</v>
      </c>
      <c r="E41463" t="s">
        <v>7</v>
      </c>
    </row>
    <row r="41464" spans="1:5" x14ac:dyDescent="0.25">
      <c r="A41464" t="str">
        <f>HYPERLINK("https://www.773grp.com/globalSearch/NCP5201MNR2G/page-1", "NCP5201MNR2G")</f>
        <v>NCP5201MNR2G</v>
      </c>
      <c r="B41464" s="3" t="str">
        <f>HYPERLINK("https://www.773grp.com/manufacturer/onsemi?pageNo=824", "ON Semiconductor")</f>
        <v>ON Semiconductor</v>
      </c>
      <c r="C41464" s="6">
        <v>2435</v>
      </c>
      <c r="D41464" s="7">
        <v>5.1100000000000003</v>
      </c>
      <c r="E41464" t="s">
        <v>30</v>
      </c>
    </row>
    <row r="41465" spans="1:5" x14ac:dyDescent="0.25">
      <c r="A41465" t="str">
        <f>HYPERLINK("https://www.773grp.com/globalSearch/NCV2574DW-ADJR2/page-1", "NCV2574DW-ADJR2")</f>
        <v>NCV2574DW-ADJR2</v>
      </c>
      <c r="B41465" s="3" t="str">
        <f>HYPERLINK("https://www.773grp.com/manufacturer/onsemi?pageNo=825", "ON Semiconductor")</f>
        <v>ON Semiconductor</v>
      </c>
      <c r="C41465" s="6">
        <v>1977</v>
      </c>
      <c r="D41465" s="7">
        <v>5.1100000000000003</v>
      </c>
      <c r="E41465" t="s">
        <v>7</v>
      </c>
    </row>
    <row r="41466" spans="1:5" x14ac:dyDescent="0.25">
      <c r="A41466" t="str">
        <f>HYPERLINK("https://www.773grp.com/globalSearch/NCV2574DW-ADJR2G/page-1", "NCV2574DW-ADJR2G")</f>
        <v>NCV2574DW-ADJR2G</v>
      </c>
      <c r="B41466" s="3" t="str">
        <f>HYPERLINK("https://www.773grp.com/manufacturer/onsemi?pageNo=826", "ON Semiconductor")</f>
        <v>ON Semiconductor</v>
      </c>
      <c r="C41466" s="6">
        <v>176</v>
      </c>
      <c r="D41466" s="7">
        <v>5.1100000000000003</v>
      </c>
    </row>
    <row r="41467" spans="1:5" x14ac:dyDescent="0.25">
      <c r="A41467" t="str">
        <f>HYPERLINK("https://www.773grp.com/globalSearch/NCV8508DW50G/page-1", "NCV8508DW50G")</f>
        <v>NCV8508DW50G</v>
      </c>
      <c r="B41467" s="3" t="str">
        <f>HYPERLINK("https://www.773grp.com/manufacturer/onsemi?pageNo=827", "ON Semiconductor")</f>
        <v>ON Semiconductor</v>
      </c>
      <c r="C41467" s="6">
        <v>3659</v>
      </c>
      <c r="D41467" s="7">
        <v>5.1100000000000003</v>
      </c>
    </row>
    <row r="41468" spans="1:5" x14ac:dyDescent="0.25">
      <c r="A41468" t="str">
        <f>HYPERLINK("https://www.773grp.com/globalSearch/CS5323GDW20/page-1", "CS5323GDW20")</f>
        <v>CS5323GDW20</v>
      </c>
      <c r="B41468" s="3" t="str">
        <f>HYPERLINK("https://www.773grp.com/manufacturer/onsemi?pageNo=828", "ON Semiconductor")</f>
        <v>ON Semiconductor</v>
      </c>
      <c r="C41468" s="6">
        <v>52</v>
      </c>
      <c r="D41468" s="7">
        <v>4.6399999999999997</v>
      </c>
      <c r="E41468" t="s">
        <v>7</v>
      </c>
    </row>
    <row r="41469" spans="1:5" x14ac:dyDescent="0.25">
      <c r="A41469" t="str">
        <f>HYPERLINK("https://www.773grp.com/globalSearch/CS5323GDWR20/page-1", "CS5323GDWR20")</f>
        <v>CS5323GDWR20</v>
      </c>
      <c r="B41469" s="3" t="str">
        <f>HYPERLINK("https://www.773grp.com/manufacturer/onsemi?pageNo=829", "ON Semiconductor")</f>
        <v>ON Semiconductor</v>
      </c>
      <c r="C41469" s="6">
        <v>1000</v>
      </c>
      <c r="D41469" s="7">
        <v>4.6399999999999997</v>
      </c>
      <c r="E41469" t="s">
        <v>7</v>
      </c>
    </row>
    <row r="41470" spans="1:5" x14ac:dyDescent="0.25">
      <c r="A41470" t="str">
        <f>HYPERLINK("https://www.773grp.com/globalSearch/LA1780MA-A-MPB-E/page-1", "LA1780MA-A-MPB-E")</f>
        <v>LA1780MA-A-MPB-E</v>
      </c>
      <c r="B41470" s="3" t="str">
        <f>HYPERLINK("https://www.773grp.com/manufacturer/onsemi?pageNo=830", "ON Semiconductor")</f>
        <v>ON Semiconductor</v>
      </c>
      <c r="C41470" s="6">
        <v>54000</v>
      </c>
      <c r="D41470" s="7">
        <v>4.6399999999999997</v>
      </c>
    </row>
    <row r="41471" spans="1:5" x14ac:dyDescent="0.25">
      <c r="A41471" t="str">
        <f>HYPERLINK("https://www.773grp.com/globalSearch/NGTB50N60FLWG/page-1", "NGTB50N60FLWG")</f>
        <v>NGTB50N60FLWG</v>
      </c>
      <c r="B41471" s="3" t="str">
        <f>HYPERLINK("https://www.773grp.com/manufacturer/onsemi?pageNo=831", "ON Semiconductor")</f>
        <v>ON Semiconductor</v>
      </c>
      <c r="C41471" s="6">
        <v>120</v>
      </c>
      <c r="D41471" s="7">
        <v>4.6399999999999997</v>
      </c>
    </row>
    <row r="41472" spans="1:5" x14ac:dyDescent="0.25">
      <c r="A41472" t="str">
        <f>HYPERLINK("https://www.773grp.com/globalSearch/2SK4085LS-1E/page-1", "2SK4085LS-1E")</f>
        <v>2SK4085LS-1E</v>
      </c>
      <c r="B41472" s="3" t="str">
        <f>HYPERLINK("https://www.773grp.com/manufacturer/onsemi?pageNo=832", "ON Semiconductor")</f>
        <v>ON Semiconductor</v>
      </c>
      <c r="C41472" s="6">
        <v>45000</v>
      </c>
      <c r="D41472" s="7">
        <v>5.16</v>
      </c>
    </row>
    <row r="41473" spans="1:5" x14ac:dyDescent="0.25">
      <c r="A41473" t="str">
        <f>HYPERLINK("https://www.773grp.com/globalSearch/ADT7473ARQZ/page-1", "ADT7473ARQZ")</f>
        <v>ADT7473ARQZ</v>
      </c>
      <c r="B41473" s="3" t="str">
        <f>HYPERLINK("https://www.773grp.com/manufacturer/onsemi?pageNo=833", "ON Semiconductor")</f>
        <v>ON Semiconductor</v>
      </c>
      <c r="C41473" s="6">
        <v>392</v>
      </c>
      <c r="D41473" s="7">
        <v>5.16</v>
      </c>
      <c r="E41473" t="s">
        <v>12</v>
      </c>
    </row>
    <row r="41474" spans="1:5" x14ac:dyDescent="0.25">
      <c r="A41474" t="str">
        <f>HYPERLINK("https://www.773grp.com/globalSearch/CS51021AED16/page-1", "CS51021AED16")</f>
        <v>CS51021AED16</v>
      </c>
      <c r="B41474" s="3" t="str">
        <f>HYPERLINK("https://www.773grp.com/manufacturer/onsemi?pageNo=834", "ON Semiconductor")</f>
        <v>ON Semiconductor</v>
      </c>
      <c r="C41474" s="6">
        <v>1734</v>
      </c>
      <c r="D41474" s="7">
        <v>5.16</v>
      </c>
      <c r="E41474" t="s">
        <v>7</v>
      </c>
    </row>
    <row r="41475" spans="1:5" x14ac:dyDescent="0.25">
      <c r="A41475" t="str">
        <f>HYPERLINK("https://www.773grp.com/globalSearch/CS51022AED16/page-1", "CS51022AED16")</f>
        <v>CS51022AED16</v>
      </c>
      <c r="B41475" s="3" t="str">
        <f>HYPERLINK("https://www.773grp.com/manufacturer/onsemi?pageNo=835", "ON Semiconductor")</f>
        <v>ON Semiconductor</v>
      </c>
      <c r="C41475" s="6">
        <v>1824</v>
      </c>
      <c r="D41475" s="7">
        <v>5.16</v>
      </c>
      <c r="E41475" t="s">
        <v>7</v>
      </c>
    </row>
    <row r="41476" spans="1:5" x14ac:dyDescent="0.25">
      <c r="A41476" t="str">
        <f>HYPERLINK("https://www.773grp.com/globalSearch/CS51024AED16/page-1", "CS51024AED16")</f>
        <v>CS51024AED16</v>
      </c>
      <c r="B41476" s="3" t="str">
        <f>HYPERLINK("https://www.773grp.com/manufacturer/onsemi?pageNo=836", "ON Semiconductor")</f>
        <v>ON Semiconductor</v>
      </c>
      <c r="C41476" s="6">
        <v>2016</v>
      </c>
      <c r="D41476" s="7">
        <v>5.16</v>
      </c>
      <c r="E41476" t="s">
        <v>7</v>
      </c>
    </row>
    <row r="41477" spans="1:5" x14ac:dyDescent="0.25">
      <c r="A41477" t="str">
        <f>HYPERLINK("https://www.773grp.com/globalSearch/CS51024AEDR16/page-1", "CS51024AEDR16")</f>
        <v>CS51024AEDR16</v>
      </c>
      <c r="B41477" s="3" t="str">
        <f>HYPERLINK("https://www.773grp.com/manufacturer/onsemi?pageNo=837", "ON Semiconductor")</f>
        <v>ON Semiconductor</v>
      </c>
      <c r="C41477" s="6">
        <v>5000</v>
      </c>
      <c r="D41477" s="7">
        <v>5.16</v>
      </c>
      <c r="E41477" t="s">
        <v>7</v>
      </c>
    </row>
    <row r="41478" spans="1:5" x14ac:dyDescent="0.25">
      <c r="A41478" t="str">
        <f>HYPERLINK("https://www.773grp.com/globalSearch/CS51220ED16/page-1", "CS51220ED16")</f>
        <v>CS51220ED16</v>
      </c>
      <c r="B41478" s="3" t="str">
        <f>HYPERLINK("https://www.773grp.com/manufacturer/onsemi?pageNo=838", "ON Semiconductor")</f>
        <v>ON Semiconductor</v>
      </c>
      <c r="C41478" s="6">
        <v>4704</v>
      </c>
      <c r="D41478" s="7">
        <v>5.16</v>
      </c>
      <c r="E41478" t="s">
        <v>7</v>
      </c>
    </row>
    <row r="41479" spans="1:5" x14ac:dyDescent="0.25">
      <c r="A41479" t="str">
        <f>HYPERLINK("https://www.773grp.com/globalSearch/LB11923V-TLM-E/page-1", "LB11923V-TLM-E")</f>
        <v>LB11923V-TLM-E</v>
      </c>
      <c r="B41479" s="3" t="str">
        <f>HYPERLINK("https://www.773grp.com/manufacturer/onsemi?pageNo=839", "ON Semiconductor")</f>
        <v>ON Semiconductor</v>
      </c>
      <c r="C41479" s="6">
        <v>20000</v>
      </c>
      <c r="D41479" s="7">
        <v>5.16</v>
      </c>
    </row>
    <row r="41480" spans="1:5" x14ac:dyDescent="0.25">
      <c r="A41480" t="str">
        <f>HYPERLINK("https://www.773grp.com/globalSearch/MBRB2515LG/page-1", "MBRB2515LG")</f>
        <v>MBRB2515LG</v>
      </c>
      <c r="B41480" s="3" t="str">
        <f>HYPERLINK("https://www.773grp.com/manufacturer/onsemi?pageNo=840", "ON Semiconductor")</f>
        <v>ON Semiconductor</v>
      </c>
      <c r="C41480" s="6">
        <v>450</v>
      </c>
      <c r="D41480" s="7">
        <v>5.16</v>
      </c>
      <c r="E41480" t="s">
        <v>103</v>
      </c>
    </row>
    <row r="41481" spans="1:5" x14ac:dyDescent="0.25">
      <c r="A41481" t="str">
        <f>HYPERLINK("https://www.773grp.com/globalSearch/MBRB2515LT4G/page-1", "MBRB2515LT4G")</f>
        <v>MBRB2515LT4G</v>
      </c>
      <c r="B41481" s="3" t="str">
        <f>HYPERLINK("https://www.773grp.com/manufacturer/onsemi?pageNo=841", "ON Semiconductor")</f>
        <v>ON Semiconductor</v>
      </c>
      <c r="C41481" s="6">
        <v>2400</v>
      </c>
      <c r="D41481" s="7">
        <v>5.16</v>
      </c>
    </row>
    <row r="41482" spans="1:5" x14ac:dyDescent="0.25">
      <c r="A41482" t="str">
        <f>HYPERLINK("https://www.773grp.com/globalSearch/MBRB2535CTLG/page-1", "MBRB2535CTLG")</f>
        <v>MBRB2535CTLG</v>
      </c>
      <c r="B41482" s="3" t="str">
        <f>HYPERLINK("https://www.773grp.com/manufacturer/onsemi?pageNo=842", "ON Semiconductor")</f>
        <v>ON Semiconductor</v>
      </c>
      <c r="C41482" s="6">
        <v>410</v>
      </c>
      <c r="D41482" s="7">
        <v>5.16</v>
      </c>
    </row>
    <row r="41483" spans="1:5" x14ac:dyDescent="0.25">
      <c r="A41483" t="str">
        <f>HYPERLINK("https://www.773grp.com/globalSearch/MBRB2535CTLT4G/page-1", "MBRB2535CTLT4G")</f>
        <v>MBRB2535CTLT4G</v>
      </c>
      <c r="B41483" s="3" t="str">
        <f>HYPERLINK("https://www.773grp.com/manufacturer/onsemi?pageNo=843", "ON Semiconductor")</f>
        <v>ON Semiconductor</v>
      </c>
      <c r="C41483" s="6">
        <v>5640</v>
      </c>
      <c r="D41483" s="7">
        <v>5.16</v>
      </c>
      <c r="E41483" t="s">
        <v>103</v>
      </c>
    </row>
    <row r="41484" spans="1:5" x14ac:dyDescent="0.25">
      <c r="A41484" t="str">
        <f>HYPERLINK("https://www.773grp.com/globalSearch/MGB20N36CL/page-1", "MGB20N36CL")</f>
        <v>MGB20N36CL</v>
      </c>
      <c r="B41484" s="3" t="str">
        <f>HYPERLINK("https://www.773grp.com/manufacturer/onsemi?pageNo=844", "ON Semiconductor")</f>
        <v>ON Semiconductor</v>
      </c>
      <c r="C41484" s="6">
        <v>750</v>
      </c>
      <c r="D41484" s="7">
        <v>5.16</v>
      </c>
    </row>
    <row r="41485" spans="1:5" x14ac:dyDescent="0.25">
      <c r="A41485" t="str">
        <f>HYPERLINK("https://www.773grp.com/globalSearch/NCV4276DS33R4/page-1", "NCV4276DS33R4")</f>
        <v>NCV4276DS33R4</v>
      </c>
      <c r="B41485" s="3" t="str">
        <f>HYPERLINK("https://www.773grp.com/manufacturer/onsemi?pageNo=845", "ON Semiconductor")</f>
        <v>ON Semiconductor</v>
      </c>
      <c r="C41485" s="6">
        <v>500</v>
      </c>
      <c r="D41485" s="7">
        <v>5.16</v>
      </c>
      <c r="E41485" t="s">
        <v>19</v>
      </c>
    </row>
    <row r="41486" spans="1:5" x14ac:dyDescent="0.25">
      <c r="A41486" t="str">
        <f>HYPERLINK("https://www.773grp.com/globalSearch/NTB12N50/page-1", "NTB12N50")</f>
        <v>NTB12N50</v>
      </c>
      <c r="B41486" s="3" t="str">
        <f>HYPERLINK("https://www.773grp.com/manufacturer/onsemi?pageNo=846", "ON Semiconductor")</f>
        <v>ON Semiconductor</v>
      </c>
      <c r="C41486" s="6">
        <v>2</v>
      </c>
      <c r="D41486" s="7">
        <v>5.16</v>
      </c>
      <c r="E41486" t="s">
        <v>105</v>
      </c>
    </row>
    <row r="41487" spans="1:5" x14ac:dyDescent="0.25">
      <c r="A41487" t="str">
        <f>HYPERLINK("https://www.773grp.com/globalSearch/SGB15N40CLT4/page-1", "SGB15N40CLT4")</f>
        <v>SGB15N40CLT4</v>
      </c>
      <c r="B41487" s="3" t="str">
        <f>HYPERLINK("https://www.773grp.com/manufacturer/onsemi?pageNo=847", "ON Semiconductor")</f>
        <v>ON Semiconductor</v>
      </c>
      <c r="C41487" s="6">
        <v>8800</v>
      </c>
      <c r="D41487" s="7">
        <v>5.16</v>
      </c>
    </row>
    <row r="41488" spans="1:5" x14ac:dyDescent="0.25">
      <c r="A41488" t="str">
        <f>HYPERLINK("https://www.773grp.com/globalSearch/SGB20N35CLT4/page-1", "SGB20N35CLT4")</f>
        <v>SGB20N35CLT4</v>
      </c>
      <c r="B41488" s="3" t="str">
        <f>HYPERLINK("https://www.773grp.com/manufacturer/onsemi?pageNo=848", "ON Semiconductor")</f>
        <v>ON Semiconductor</v>
      </c>
      <c r="C41488" s="6">
        <v>1600</v>
      </c>
      <c r="D41488" s="7">
        <v>5.16</v>
      </c>
    </row>
    <row r="41489" spans="1:5" x14ac:dyDescent="0.25">
      <c r="A41489" t="str">
        <f>HYPERLINK("https://www.773grp.com/globalSearch/CS5253-1GDPR5/page-1", "CS5253-1GDPR5")</f>
        <v>CS5253-1GDPR5</v>
      </c>
      <c r="B41489" s="3" t="str">
        <f>HYPERLINK("https://www.773grp.com/manufacturer/onsemi?pageNo=849", "ON Semiconductor")</f>
        <v>ON Semiconductor</v>
      </c>
      <c r="C41489" s="6">
        <v>579</v>
      </c>
      <c r="D41489" s="7">
        <v>4.6900000000000004</v>
      </c>
      <c r="E41489" t="s">
        <v>25</v>
      </c>
    </row>
    <row r="41490" spans="1:5" x14ac:dyDescent="0.25">
      <c r="A41490" t="str">
        <f>HYPERLINK("https://www.773grp.com/globalSearch/CS8129YDWR16G/page-1", "CS8129YDWR16G")</f>
        <v>CS8129YDWR16G</v>
      </c>
      <c r="B41490" s="3" t="str">
        <f>HYPERLINK("https://www.773grp.com/manufacturer/onsemi?pageNo=850", "ON Semiconductor")</f>
        <v>ON Semiconductor</v>
      </c>
      <c r="C41490" s="6">
        <v>2000</v>
      </c>
      <c r="D41490" s="7">
        <v>4.6900000000000004</v>
      </c>
      <c r="E41490" t="s">
        <v>19</v>
      </c>
    </row>
    <row r="41491" spans="1:5" x14ac:dyDescent="0.25">
      <c r="A41491" t="str">
        <f>HYPERLINK("https://www.773grp.com/globalSearch/CS8190EDWFR20/page-1", "CS8190EDWFR20")</f>
        <v>CS8190EDWFR20</v>
      </c>
      <c r="B41491" s="3" t="str">
        <f>HYPERLINK("https://www.773grp.com/manufacturer/onsemi?pageNo=851", "ON Semiconductor")</f>
        <v>ON Semiconductor</v>
      </c>
      <c r="C41491" s="6">
        <v>1000</v>
      </c>
      <c r="D41491" s="7">
        <v>4.6900000000000004</v>
      </c>
      <c r="E41491" t="s">
        <v>11</v>
      </c>
    </row>
    <row r="41492" spans="1:5" x14ac:dyDescent="0.25">
      <c r="A41492" t="str">
        <f>HYPERLINK("https://www.773grp.com/globalSearch/LV8411GR-E/page-1", "LV8411GR-E")</f>
        <v>LV8411GR-E</v>
      </c>
      <c r="B41492" s="3" t="str">
        <f>HYPERLINK("https://www.773grp.com/manufacturer/onsemi?pageNo=852", "ON Semiconductor")</f>
        <v>ON Semiconductor</v>
      </c>
      <c r="C41492" s="6">
        <v>100</v>
      </c>
      <c r="D41492" s="7">
        <v>4.7300000000000004</v>
      </c>
    </row>
    <row r="41493" spans="1:5" x14ac:dyDescent="0.25">
      <c r="A41493" t="str">
        <f>HYPERLINK("https://www.773grp.com/globalSearch/LV8411GR-TE-L-E/page-1", "LV8411GR-TE-L-E")</f>
        <v>LV8411GR-TE-L-E</v>
      </c>
      <c r="B41493" s="3" t="str">
        <f>HYPERLINK("https://www.773grp.com/manufacturer/onsemi?pageNo=853", "ON Semiconductor")</f>
        <v>ON Semiconductor</v>
      </c>
      <c r="C41493" s="6">
        <v>59</v>
      </c>
      <c r="D41493" s="7">
        <v>4.7300000000000004</v>
      </c>
    </row>
    <row r="41494" spans="1:5" x14ac:dyDescent="0.25">
      <c r="A41494" t="str">
        <f>HYPERLINK("https://www.773grp.com/globalSearch/MC74F299N/page-1", "MC74F299N")</f>
        <v>MC74F299N</v>
      </c>
      <c r="B41494" s="3" t="str">
        <f>HYPERLINK("https://www.773grp.com/manufacturer/onsemi?pageNo=854", "ON Semiconductor")</f>
        <v>ON Semiconductor</v>
      </c>
      <c r="C41494" s="6">
        <v>1213</v>
      </c>
      <c r="D41494" s="7">
        <v>4.7300000000000004</v>
      </c>
      <c r="E41494" t="s">
        <v>32</v>
      </c>
    </row>
    <row r="41495" spans="1:5" x14ac:dyDescent="0.25">
      <c r="A41495" t="str">
        <f>HYPERLINK("https://www.773grp.com/globalSearch/ADT7475ARQZ-REEL/page-1", "ADT7475ARQZ-REEL")</f>
        <v>ADT7475ARQZ-REEL</v>
      </c>
      <c r="B41495" s="3" t="str">
        <f>HYPERLINK("https://www.773grp.com/manufacturer/onsemi?pageNo=855", "ON Semiconductor")</f>
        <v>ON Semiconductor</v>
      </c>
      <c r="C41495" s="6">
        <v>10000</v>
      </c>
      <c r="D41495" s="7">
        <v>5.21</v>
      </c>
    </row>
    <row r="41496" spans="1:5" x14ac:dyDescent="0.25">
      <c r="A41496" t="str">
        <f>HYPERLINK("https://www.773grp.com/globalSearch/CS5253B-8GDPR5G/page-1", "CS5253B-8GDPR5G")</f>
        <v>CS5253B-8GDPR5G</v>
      </c>
      <c r="B41496" s="3" t="str">
        <f>HYPERLINK("https://www.773grp.com/manufacturer/onsemi?pageNo=856", "ON Semiconductor")</f>
        <v>ON Semiconductor</v>
      </c>
      <c r="C41496" s="6">
        <v>266244</v>
      </c>
      <c r="D41496" s="7">
        <v>5.21</v>
      </c>
      <c r="E41496" t="s">
        <v>19</v>
      </c>
    </row>
    <row r="41497" spans="1:5" x14ac:dyDescent="0.25">
      <c r="A41497" t="str">
        <f>HYPERLINK("https://www.773grp.com/globalSearch/CS8135YTHA5/page-1", "CS8135YTHA5")</f>
        <v>CS8135YTHA5</v>
      </c>
      <c r="B41497" s="3" t="str">
        <f>HYPERLINK("https://www.773grp.com/manufacturer/onsemi?pageNo=857", "ON Semiconductor")</f>
        <v>ON Semiconductor</v>
      </c>
      <c r="C41497" s="6">
        <v>7003</v>
      </c>
      <c r="D41497" s="7">
        <v>5.21</v>
      </c>
      <c r="E41497" t="s">
        <v>44</v>
      </c>
    </row>
    <row r="41498" spans="1:5" x14ac:dyDescent="0.25">
      <c r="A41498" t="str">
        <f>HYPERLINK("https://www.773grp.com/globalSearch/CS8151YT7G/page-1", "CS8151YT7G")</f>
        <v>CS8151YT7G</v>
      </c>
      <c r="B41498" s="3" t="str">
        <f>HYPERLINK("https://www.773grp.com/manufacturer/onsemi?pageNo=858", "ON Semiconductor")</f>
        <v>ON Semiconductor</v>
      </c>
      <c r="C41498" s="6">
        <v>500</v>
      </c>
      <c r="D41498" s="7">
        <v>5.21</v>
      </c>
      <c r="E41498" t="s">
        <v>19</v>
      </c>
    </row>
    <row r="41499" spans="1:5" x14ac:dyDescent="0.25">
      <c r="A41499" t="str">
        <f>HYPERLINK("https://www.773grp.com/globalSearch/MC10121FN/page-1", "MC10121FN")</f>
        <v>MC10121FN</v>
      </c>
      <c r="B41499" s="3" t="str">
        <f>HYPERLINK("https://www.773grp.com/manufacturer/onsemi?pageNo=859", "ON Semiconductor")</f>
        <v>ON Semiconductor</v>
      </c>
      <c r="C41499" s="6">
        <v>218</v>
      </c>
      <c r="D41499" s="7">
        <v>5.21</v>
      </c>
      <c r="E41499" t="s">
        <v>31</v>
      </c>
    </row>
    <row r="41500" spans="1:5" x14ac:dyDescent="0.25">
      <c r="A41500" t="str">
        <f>HYPERLINK("https://www.773grp.com/globalSearch/MC74AC259MELG/page-1", "MC74AC259MELG")</f>
        <v>MC74AC259MELG</v>
      </c>
      <c r="B41500" s="3" t="str">
        <f>HYPERLINK("https://www.773grp.com/manufacturer/onsemi?pageNo=860", "ON Semiconductor")</f>
        <v>ON Semiconductor</v>
      </c>
      <c r="C41500" s="6">
        <v>3155</v>
      </c>
      <c r="D41500" s="7">
        <v>5.21</v>
      </c>
      <c r="E41500" t="s">
        <v>35</v>
      </c>
    </row>
    <row r="41501" spans="1:5" x14ac:dyDescent="0.25">
      <c r="A41501" t="str">
        <f>HYPERLINK("https://www.773grp.com/globalSearch/MC74AC259MG/page-1", "MC74AC259MG")</f>
        <v>MC74AC259MG</v>
      </c>
      <c r="B41501" s="3" t="str">
        <f>HYPERLINK("https://www.773grp.com/manufacturer/onsemi?pageNo=861", "ON Semiconductor")</f>
        <v>ON Semiconductor</v>
      </c>
      <c r="C41501" s="6">
        <v>300</v>
      </c>
      <c r="D41501" s="7">
        <v>5.21</v>
      </c>
      <c r="E41501" t="s">
        <v>35</v>
      </c>
    </row>
    <row r="41502" spans="1:5" x14ac:dyDescent="0.25">
      <c r="A41502" t="str">
        <f>HYPERLINK("https://www.773grp.com/globalSearch/MC74AC259NG/page-1", "MC74AC259NG")</f>
        <v>MC74AC259NG</v>
      </c>
      <c r="B41502" s="3" t="str">
        <f>HYPERLINK("https://www.773grp.com/manufacturer/onsemi?pageNo=862", "ON Semiconductor")</f>
        <v>ON Semiconductor</v>
      </c>
      <c r="C41502" s="6">
        <v>910</v>
      </c>
      <c r="D41502" s="7">
        <v>5.21</v>
      </c>
      <c r="E41502" t="s">
        <v>35</v>
      </c>
    </row>
    <row r="41503" spans="1:5" x14ac:dyDescent="0.25">
      <c r="A41503" t="str">
        <f>HYPERLINK("https://www.773grp.com/globalSearch/MC74ACT259NG/page-1", "MC74ACT259NG")</f>
        <v>MC74ACT259NG</v>
      </c>
      <c r="B41503" s="3" t="str">
        <f>HYPERLINK("https://www.773grp.com/manufacturer/onsemi?pageNo=863", "ON Semiconductor")</f>
        <v>ON Semiconductor</v>
      </c>
      <c r="C41503" s="6">
        <v>7550</v>
      </c>
      <c r="D41503" s="7">
        <v>5.21</v>
      </c>
      <c r="E41503" t="s">
        <v>35</v>
      </c>
    </row>
    <row r="41504" spans="1:5" x14ac:dyDescent="0.25">
      <c r="A41504" t="str">
        <f>HYPERLINK("https://www.773grp.com/globalSearch/NCP1082DER2G/page-1", "NCP1082DER2G")</f>
        <v>NCP1082DER2G</v>
      </c>
      <c r="B41504" s="3" t="str">
        <f>HYPERLINK("https://www.773grp.com/manufacturer/onsemi?pageNo=864", "ON Semiconductor")</f>
        <v>ON Semiconductor</v>
      </c>
      <c r="C41504" s="6">
        <v>2500</v>
      </c>
      <c r="D41504" s="7">
        <v>5.21</v>
      </c>
    </row>
    <row r="41505" spans="1:5" x14ac:dyDescent="0.25">
      <c r="A41505" t="str">
        <f>HYPERLINK("https://www.773grp.com/globalSearch/NCP1083DEG/page-1", "NCP1083DEG")</f>
        <v>NCP1083DEG</v>
      </c>
      <c r="B41505" s="3" t="str">
        <f>HYPERLINK("https://www.773grp.com/manufacturer/onsemi?pageNo=865", "ON Semiconductor")</f>
        <v>ON Semiconductor</v>
      </c>
      <c r="C41505" s="6">
        <v>32856</v>
      </c>
      <c r="D41505" s="7">
        <v>5.21</v>
      </c>
    </row>
    <row r="41506" spans="1:5" x14ac:dyDescent="0.25">
      <c r="A41506" t="str">
        <f>HYPERLINK("https://www.773grp.com/globalSearch/NCP1083DER2G/page-1", "NCP1083DER2G")</f>
        <v>NCP1083DER2G</v>
      </c>
      <c r="B41506" s="3" t="str">
        <f>HYPERLINK("https://www.773grp.com/manufacturer/onsemi?pageNo=866", "ON Semiconductor")</f>
        <v>ON Semiconductor</v>
      </c>
      <c r="C41506" s="6">
        <v>2292</v>
      </c>
      <c r="D41506" s="7">
        <v>5.21</v>
      </c>
      <c r="E41506" t="s">
        <v>7</v>
      </c>
    </row>
    <row r="41507" spans="1:5" x14ac:dyDescent="0.25">
      <c r="A41507" t="str">
        <f>HYPERLINK("https://www.773grp.com/globalSearch/NCP1442T/page-1", "NCP1442T")</f>
        <v>NCP1442T</v>
      </c>
      <c r="B41507" s="3" t="str">
        <f>HYPERLINK("https://www.773grp.com/manufacturer/onsemi?pageNo=867", "ON Semiconductor")</f>
        <v>ON Semiconductor</v>
      </c>
      <c r="C41507" s="6">
        <v>5579</v>
      </c>
      <c r="D41507" s="7">
        <v>5.21</v>
      </c>
      <c r="E41507" t="s">
        <v>7</v>
      </c>
    </row>
    <row r="41508" spans="1:5" x14ac:dyDescent="0.25">
      <c r="A41508" t="str">
        <f>HYPERLINK("https://www.773grp.com/globalSearch/NCP1443T/page-1", "NCP1443T")</f>
        <v>NCP1443T</v>
      </c>
      <c r="B41508" s="3" t="str">
        <f>HYPERLINK("https://www.773grp.com/manufacturer/onsemi?pageNo=868", "ON Semiconductor")</f>
        <v>ON Semiconductor</v>
      </c>
      <c r="C41508" s="6">
        <v>3000</v>
      </c>
      <c r="D41508" s="7">
        <v>5.21</v>
      </c>
      <c r="E41508" t="s">
        <v>7</v>
      </c>
    </row>
    <row r="41509" spans="1:5" x14ac:dyDescent="0.25">
      <c r="A41509" t="str">
        <f>HYPERLINK("https://www.773grp.com/globalSearch/NCP1444T/page-1", "NCP1444T")</f>
        <v>NCP1444T</v>
      </c>
      <c r="B41509" s="3" t="str">
        <f>HYPERLINK("https://www.773grp.com/manufacturer/onsemi?pageNo=869", "ON Semiconductor")</f>
        <v>ON Semiconductor</v>
      </c>
      <c r="C41509" s="6">
        <v>2930</v>
      </c>
      <c r="D41509" s="7">
        <v>5.21</v>
      </c>
      <c r="E41509" t="s">
        <v>7</v>
      </c>
    </row>
    <row r="41510" spans="1:5" x14ac:dyDescent="0.25">
      <c r="A41510" t="str">
        <f>HYPERLINK("https://www.773grp.com/globalSearch/NCP1445T/page-1", "NCP1445T")</f>
        <v>NCP1445T</v>
      </c>
      <c r="B41510" s="3" t="str">
        <f>HYPERLINK("https://www.773grp.com/manufacturer/onsemi?pageNo=870", "ON Semiconductor")</f>
        <v>ON Semiconductor</v>
      </c>
      <c r="C41510" s="6">
        <v>5605</v>
      </c>
      <c r="D41510" s="7">
        <v>5.21</v>
      </c>
      <c r="E41510" t="s">
        <v>7</v>
      </c>
    </row>
    <row r="41511" spans="1:5" x14ac:dyDescent="0.25">
      <c r="A41511" t="str">
        <f>HYPERLINK("https://www.773grp.com/globalSearch/NCV8508D2T50R4G/page-1", "NCV8508D2T50R4G")</f>
        <v>NCV8508D2T50R4G</v>
      </c>
      <c r="B41511" s="3" t="str">
        <f>HYPERLINK("https://www.773grp.com/manufacturer/onsemi?pageNo=871", "ON Semiconductor")</f>
        <v>ON Semiconductor</v>
      </c>
      <c r="C41511" s="6">
        <v>4751</v>
      </c>
      <c r="D41511" s="7">
        <v>5.21</v>
      </c>
      <c r="E41511" t="s">
        <v>19</v>
      </c>
    </row>
    <row r="41512" spans="1:5" x14ac:dyDescent="0.25">
      <c r="A41512" t="str">
        <f>HYPERLINK("https://www.773grp.com/globalSearch/NCV8518PWR2G/page-1", "NCV8518PWR2G")</f>
        <v>NCV8518PWR2G</v>
      </c>
      <c r="B41512" s="3" t="str">
        <f>HYPERLINK("https://www.773grp.com/manufacturer/onsemi?pageNo=872", "ON Semiconductor")</f>
        <v>ON Semiconductor</v>
      </c>
      <c r="C41512" s="6">
        <v>4000</v>
      </c>
      <c r="D41512" s="7">
        <v>5.21</v>
      </c>
    </row>
    <row r="41513" spans="1:5" x14ac:dyDescent="0.25">
      <c r="A41513" t="str">
        <f>HYPERLINK("https://www.773grp.com/globalSearch/2N6284G/page-1", "2N6284G")</f>
        <v>2N6284G</v>
      </c>
      <c r="B41513" s="3" t="str">
        <f>HYPERLINK("https://www.773grp.com/manufacturer/onsemi?pageNo=873", "ON Semiconductor")</f>
        <v>ON Semiconductor</v>
      </c>
      <c r="C41513" s="6">
        <v>801</v>
      </c>
      <c r="D41513" s="7">
        <v>4.76</v>
      </c>
      <c r="E41513" t="s">
        <v>59</v>
      </c>
    </row>
    <row r="41514" spans="1:5" x14ac:dyDescent="0.25">
      <c r="A41514" t="str">
        <f>HYPERLINK("https://www.773grp.com/globalSearch/MJ11012G/page-1", "MJ11012G")</f>
        <v>MJ11012G</v>
      </c>
      <c r="B41514" s="3" t="str">
        <f>HYPERLINK("https://www.773grp.com/manufacturer/onsemi?pageNo=874", "ON Semiconductor")</f>
        <v>ON Semiconductor</v>
      </c>
      <c r="C41514" s="6">
        <v>550</v>
      </c>
      <c r="D41514" s="7">
        <v>4.76</v>
      </c>
      <c r="E41514" t="s">
        <v>59</v>
      </c>
    </row>
    <row r="41515" spans="1:5" x14ac:dyDescent="0.25">
      <c r="A41515" t="str">
        <f>HYPERLINK("https://www.773grp.com/globalSearch/MJ11016G/page-1", "MJ11016G")</f>
        <v>MJ11016G</v>
      </c>
      <c r="B41515" s="3" t="str">
        <f>HYPERLINK("https://www.773grp.com/manufacturer/onsemi?pageNo=875", "ON Semiconductor")</f>
        <v>ON Semiconductor</v>
      </c>
      <c r="C41515" s="6">
        <v>11647</v>
      </c>
      <c r="D41515" s="7">
        <v>4.76</v>
      </c>
      <c r="E41515" t="s">
        <v>59</v>
      </c>
    </row>
    <row r="41516" spans="1:5" x14ac:dyDescent="0.25">
      <c r="A41516" t="str">
        <f>HYPERLINK("https://www.773grp.com/globalSearch/MC34025PG/page-1", "MC34025PG")</f>
        <v>MC34025PG</v>
      </c>
      <c r="B41516" s="3" t="str">
        <f>HYPERLINK("https://www.773grp.com/manufacturer/onsemi?pageNo=876", "ON Semiconductor")</f>
        <v>ON Semiconductor</v>
      </c>
      <c r="C41516" s="6">
        <v>50</v>
      </c>
      <c r="D41516" s="7">
        <v>4.78</v>
      </c>
    </row>
    <row r="41517" spans="1:5" x14ac:dyDescent="0.25">
      <c r="A41517" t="str">
        <f>HYPERLINK("https://www.773grp.com/globalSearch/MJL21195G/page-1", "MJL21195G")</f>
        <v>MJL21195G</v>
      </c>
      <c r="B41517" s="3" t="str">
        <f>HYPERLINK("https://www.773grp.com/manufacturer/onsemi?pageNo=877", "ON Semiconductor")</f>
        <v>ON Semiconductor</v>
      </c>
      <c r="C41517" s="6">
        <v>3709</v>
      </c>
      <c r="D41517" s="7">
        <v>4.78</v>
      </c>
      <c r="E41517" t="s">
        <v>59</v>
      </c>
    </row>
    <row r="41518" spans="1:5" x14ac:dyDescent="0.25">
      <c r="A41518" t="str">
        <f>HYPERLINK("https://www.773grp.com/globalSearch/MJL21196G/page-1", "MJL21196G")</f>
        <v>MJL21196G</v>
      </c>
      <c r="B41518" s="3" t="str">
        <f>HYPERLINK("https://www.773grp.com/manufacturer/onsemi?pageNo=878", "ON Semiconductor")</f>
        <v>ON Semiconductor</v>
      </c>
      <c r="C41518" s="6">
        <v>314</v>
      </c>
      <c r="D41518" s="7">
        <v>4.78</v>
      </c>
      <c r="E41518" t="s">
        <v>59</v>
      </c>
    </row>
    <row r="41519" spans="1:5" x14ac:dyDescent="0.25">
      <c r="A41519" t="str">
        <f>HYPERLINK("https://www.773grp.com/globalSearch/MC10H158L/page-1", "MC10H158L")</f>
        <v>MC10H158L</v>
      </c>
      <c r="B41519" s="3" t="str">
        <f>HYPERLINK("https://www.773grp.com/manufacturer/onsemi?pageNo=879", "ON Semiconductor")</f>
        <v>ON Semiconductor</v>
      </c>
      <c r="C41519" s="6">
        <v>514</v>
      </c>
      <c r="D41519" s="7">
        <v>4.8099999999999996</v>
      </c>
      <c r="E41519" t="s">
        <v>20</v>
      </c>
    </row>
    <row r="41520" spans="1:5" x14ac:dyDescent="0.25">
      <c r="A41520" t="str">
        <f>HYPERLINK("https://www.773grp.com/globalSearch/CS8140YTHA7/page-1", "CS8140YTHA7")</f>
        <v>CS8140YTHA7</v>
      </c>
      <c r="B41520" s="3" t="str">
        <f>HYPERLINK("https://www.773grp.com/manufacturer/onsemi?pageNo=880", "ON Semiconductor")</f>
        <v>ON Semiconductor</v>
      </c>
      <c r="C41520" s="6">
        <v>6739</v>
      </c>
      <c r="D41520" s="7">
        <v>4.84</v>
      </c>
      <c r="E41520" t="s">
        <v>19</v>
      </c>
    </row>
    <row r="41521" spans="1:5" x14ac:dyDescent="0.25">
      <c r="A41521" t="str">
        <f>HYPERLINK("https://www.773grp.com/globalSearch/MBR4045WTG/page-1", "MBR4045WTG")</f>
        <v>MBR4045WTG</v>
      </c>
      <c r="B41521" s="3" t="str">
        <f>HYPERLINK("https://www.773grp.com/manufacturer/onsemi?pageNo=881", "ON Semiconductor")</f>
        <v>ON Semiconductor</v>
      </c>
      <c r="C41521" s="6">
        <v>76</v>
      </c>
      <c r="D41521" s="7">
        <v>4.84</v>
      </c>
      <c r="E41521" t="s">
        <v>103</v>
      </c>
    </row>
    <row r="41522" spans="1:5" x14ac:dyDescent="0.25">
      <c r="A41522" t="str">
        <f>HYPERLINK("https://www.773grp.com/globalSearch/MC10H130P/page-1", "MC10H130P")</f>
        <v>MC10H130P</v>
      </c>
      <c r="B41522" s="3" t="str">
        <f>HYPERLINK("https://www.773grp.com/manufacturer/onsemi?pageNo=882", "ON Semiconductor")</f>
        <v>ON Semiconductor</v>
      </c>
      <c r="C41522" s="6">
        <v>2975</v>
      </c>
      <c r="D41522" s="7">
        <v>4.84</v>
      </c>
      <c r="E41522" t="s">
        <v>35</v>
      </c>
    </row>
    <row r="41523" spans="1:5" x14ac:dyDescent="0.25">
      <c r="A41523" t="str">
        <f>HYPERLINK("https://www.773grp.com/globalSearch/MUR3020WTG/page-1", "MUR3020WTG")</f>
        <v>MUR3020WTG</v>
      </c>
      <c r="B41523" s="3" t="str">
        <f>HYPERLINK("https://www.773grp.com/manufacturer/onsemi?pageNo=883", "ON Semiconductor")</f>
        <v>ON Semiconductor</v>
      </c>
      <c r="C41523" s="6">
        <v>8816</v>
      </c>
      <c r="D41523" s="7">
        <v>4.84</v>
      </c>
      <c r="E41523" t="s">
        <v>103</v>
      </c>
    </row>
    <row r="41524" spans="1:5" x14ac:dyDescent="0.25">
      <c r="A41524" t="str">
        <f>HYPERLINK("https://www.773grp.com/globalSearch/N02L63W3AB25I/page-1", "N02L63W3AB25I")</f>
        <v>N02L63W3AB25I</v>
      </c>
      <c r="B41524" s="3" t="str">
        <f>HYPERLINK("https://www.773grp.com/manufacturer/onsemi?pageNo=884", "ON Semiconductor")</f>
        <v>ON Semiconductor</v>
      </c>
      <c r="C41524" s="6">
        <v>3103</v>
      </c>
      <c r="D41524" s="7">
        <v>4.84</v>
      </c>
      <c r="E41524" t="s">
        <v>75</v>
      </c>
    </row>
    <row r="41525" spans="1:5" x14ac:dyDescent="0.25">
      <c r="A41525" t="str">
        <f>HYPERLINK("https://www.773grp.com/globalSearch/CS4122XDWF24/page-1", "CS4122XDWF24")</f>
        <v>CS4122XDWF24</v>
      </c>
      <c r="B41525" s="3" t="str">
        <f>HYPERLINK("https://www.773grp.com/manufacturer/onsemi?pageNo=885", "ON Semiconductor")</f>
        <v>ON Semiconductor</v>
      </c>
      <c r="C41525" s="6">
        <v>4450</v>
      </c>
      <c r="D41525" s="7">
        <v>4.8600000000000003</v>
      </c>
      <c r="E41525" t="s">
        <v>11</v>
      </c>
    </row>
    <row r="41526" spans="1:5" x14ac:dyDescent="0.25">
      <c r="A41526" t="str">
        <f>HYPERLINK("https://www.773grp.com/globalSearch/MC10EP11DR2/page-1", "MC10EP11DR2")</f>
        <v>MC10EP11DR2</v>
      </c>
      <c r="B41526" s="3" t="str">
        <f>HYPERLINK("https://www.773grp.com/manufacturer/onsemi?pageNo=886", "ON Semiconductor")</f>
        <v>ON Semiconductor</v>
      </c>
      <c r="C41526" s="6">
        <v>16435</v>
      </c>
      <c r="D41526" s="7">
        <v>4.8600000000000003</v>
      </c>
      <c r="E41526" t="s">
        <v>34</v>
      </c>
    </row>
    <row r="41527" spans="1:5" x14ac:dyDescent="0.25">
      <c r="A41527" t="str">
        <f>HYPERLINK("https://www.773grp.com/globalSearch/MC10H209L/page-1", "MC10H209L")</f>
        <v>MC10H209L</v>
      </c>
      <c r="B41527" s="3" t="str">
        <f>HYPERLINK("https://www.773grp.com/manufacturer/onsemi?pageNo=887", "ON Semiconductor")</f>
        <v>ON Semiconductor</v>
      </c>
      <c r="C41527" s="6">
        <v>79</v>
      </c>
      <c r="D41527" s="7">
        <v>4.8600000000000003</v>
      </c>
      <c r="E41527" t="s">
        <v>31</v>
      </c>
    </row>
    <row r="41528" spans="1:5" x14ac:dyDescent="0.25">
      <c r="A41528" t="str">
        <f>HYPERLINK("https://www.773grp.com/globalSearch/MC10H210L/page-1", "MC10H210L")</f>
        <v>MC10H210L</v>
      </c>
      <c r="B41528" s="3" t="str">
        <f>HYPERLINK("https://www.773grp.com/manufacturer/onsemi?pageNo=888", "ON Semiconductor")</f>
        <v>ON Semiconductor</v>
      </c>
      <c r="C41528" s="6">
        <v>25</v>
      </c>
      <c r="D41528" s="7">
        <v>4.8600000000000003</v>
      </c>
      <c r="E41528" t="s">
        <v>31</v>
      </c>
    </row>
    <row r="41529" spans="1:5" x14ac:dyDescent="0.25">
      <c r="A41529" t="str">
        <f>HYPERLINK("https://www.773grp.com/globalSearch/MC10H211L/page-1", "MC10H211L")</f>
        <v>MC10H211L</v>
      </c>
      <c r="B41529" s="3" t="str">
        <f>HYPERLINK("https://www.773grp.com/manufacturer/onsemi?pageNo=889", "ON Semiconductor")</f>
        <v>ON Semiconductor</v>
      </c>
      <c r="C41529" s="6">
        <v>80</v>
      </c>
      <c r="D41529" s="7">
        <v>4.8600000000000003</v>
      </c>
      <c r="E41529" t="s">
        <v>31</v>
      </c>
    </row>
    <row r="41530" spans="1:5" x14ac:dyDescent="0.25">
      <c r="A41530" t="str">
        <f>HYPERLINK("https://www.773grp.com/globalSearch/MUR3020WT/page-1", "MUR3020WT")</f>
        <v>MUR3020WT</v>
      </c>
      <c r="B41530" s="3" t="str">
        <f>HYPERLINK("https://www.773grp.com/manufacturer/onsemi?pageNo=890", "ON Semiconductor")</f>
        <v>ON Semiconductor</v>
      </c>
      <c r="C41530" s="6">
        <v>1470</v>
      </c>
      <c r="D41530" s="7">
        <v>4.8600000000000003</v>
      </c>
      <c r="E41530" t="s">
        <v>103</v>
      </c>
    </row>
    <row r="41531" spans="1:5" x14ac:dyDescent="0.25">
      <c r="A41531" t="str">
        <f>HYPERLINK("https://www.773grp.com/globalSearch/ADT7475ARQZ-RL7/page-1", "ADT7475ARQZ-RL7")</f>
        <v>ADT7475ARQZ-RL7</v>
      </c>
      <c r="B41531" s="3" t="str">
        <f>HYPERLINK("https://www.773grp.com/manufacturer/onsemi?pageNo=891", "ON Semiconductor")</f>
        <v>ON Semiconductor</v>
      </c>
      <c r="C41531" s="6">
        <v>4770</v>
      </c>
      <c r="D41531" s="7">
        <v>4.93</v>
      </c>
      <c r="E41531" t="s">
        <v>40</v>
      </c>
    </row>
    <row r="41532" spans="1:5" x14ac:dyDescent="0.25">
      <c r="A41532" t="str">
        <f>HYPERLINK("https://www.773grp.com/globalSearch/MC100EL11DG/page-1", "MC100EL11DG")</f>
        <v>MC100EL11DG</v>
      </c>
      <c r="B41532" s="3" t="str">
        <f>HYPERLINK("https://www.773grp.com/manufacturer/onsemi?pageNo=892", "ON Semiconductor")</f>
        <v>ON Semiconductor</v>
      </c>
      <c r="C41532" s="6">
        <v>13000</v>
      </c>
      <c r="D41532" s="7">
        <v>4.93</v>
      </c>
      <c r="E41532" t="s">
        <v>34</v>
      </c>
    </row>
    <row r="41533" spans="1:5" x14ac:dyDescent="0.25">
      <c r="A41533" t="str">
        <f>HYPERLINK("https://www.773grp.com/globalSearch/MC100EL11DR2G/page-1", "MC100EL11DR2G")</f>
        <v>MC100EL11DR2G</v>
      </c>
      <c r="B41533" s="3" t="str">
        <f>HYPERLINK("https://www.773grp.com/manufacturer/onsemi?pageNo=893", "ON Semiconductor")</f>
        <v>ON Semiconductor</v>
      </c>
      <c r="C41533" s="6">
        <v>12500</v>
      </c>
      <c r="D41533" s="7">
        <v>4.93</v>
      </c>
      <c r="E41533" t="s">
        <v>34</v>
      </c>
    </row>
    <row r="41534" spans="1:5" x14ac:dyDescent="0.25">
      <c r="A41534" t="str">
        <f>HYPERLINK("https://www.773grp.com/globalSearch/MC100EL11DTG/page-1", "MC100EL11DTG")</f>
        <v>MC100EL11DTG</v>
      </c>
      <c r="B41534" s="3" t="str">
        <f>HYPERLINK("https://www.773grp.com/manufacturer/onsemi?pageNo=894", "ON Semiconductor")</f>
        <v>ON Semiconductor</v>
      </c>
      <c r="C41534" s="6">
        <v>13399</v>
      </c>
      <c r="D41534" s="7">
        <v>4.93</v>
      </c>
      <c r="E41534" t="s">
        <v>34</v>
      </c>
    </row>
    <row r="41535" spans="1:5" x14ac:dyDescent="0.25">
      <c r="A41535" t="str">
        <f>HYPERLINK("https://www.773grp.com/globalSearch/MC100EL11DTR2G/page-1", "MC100EL11DTR2G")</f>
        <v>MC100EL11DTR2G</v>
      </c>
      <c r="B41535" s="3" t="str">
        <f>HYPERLINK("https://www.773grp.com/manufacturer/onsemi?pageNo=895", "ON Semiconductor")</f>
        <v>ON Semiconductor</v>
      </c>
      <c r="C41535" s="6">
        <v>2500</v>
      </c>
      <c r="D41535" s="7">
        <v>4.93</v>
      </c>
      <c r="E41535" t="s">
        <v>34</v>
      </c>
    </row>
    <row r="41536" spans="1:5" x14ac:dyDescent="0.25">
      <c r="A41536" t="str">
        <f>HYPERLINK("https://www.773grp.com/globalSearch/MC100EL57D/page-1", "MC100EL57D")</f>
        <v>MC100EL57D</v>
      </c>
      <c r="B41536" s="3" t="str">
        <f>HYPERLINK("https://www.773grp.com/manufacturer/onsemi?pageNo=896", "ON Semiconductor")</f>
        <v>ON Semiconductor</v>
      </c>
      <c r="C41536" s="6">
        <v>20775</v>
      </c>
      <c r="D41536" s="7">
        <v>4.93</v>
      </c>
      <c r="E41536" t="s">
        <v>20</v>
      </c>
    </row>
    <row r="41537" spans="1:5" x14ac:dyDescent="0.25">
      <c r="A41537" t="str">
        <f>HYPERLINK("https://www.773grp.com/globalSearch/MC100EL57DR2/page-1", "MC100EL57DR2")</f>
        <v>MC100EL57DR2</v>
      </c>
      <c r="B41537" s="3" t="str">
        <f>HYPERLINK("https://www.773grp.com/manufacturer/onsemi?pageNo=897", "ON Semiconductor")</f>
        <v>ON Semiconductor</v>
      </c>
      <c r="C41537" s="6">
        <v>15426</v>
      </c>
      <c r="D41537" s="7">
        <v>4.93</v>
      </c>
      <c r="E41537" t="s">
        <v>20</v>
      </c>
    </row>
    <row r="41538" spans="1:5" x14ac:dyDescent="0.25">
      <c r="A41538" t="str">
        <f>HYPERLINK("https://www.773grp.com/globalSearch/MC100LVEL11DG/page-1", "MC100LVEL11DG")</f>
        <v>MC100LVEL11DG</v>
      </c>
      <c r="B41538" s="3" t="str">
        <f>HYPERLINK("https://www.773grp.com/manufacturer/onsemi?pageNo=898", "ON Semiconductor")</f>
        <v>ON Semiconductor</v>
      </c>
      <c r="C41538" s="6">
        <v>5104</v>
      </c>
      <c r="D41538" s="7">
        <v>4.93</v>
      </c>
      <c r="E41538" t="s">
        <v>34</v>
      </c>
    </row>
    <row r="41539" spans="1:5" x14ac:dyDescent="0.25">
      <c r="A41539" t="str">
        <f>HYPERLINK("https://www.773grp.com/globalSearch/MC100LVEL11DTG/page-1", "MC100LVEL11DTG")</f>
        <v>MC100LVEL11DTG</v>
      </c>
      <c r="B41539" s="3" t="str">
        <f>HYPERLINK("https://www.773grp.com/manufacturer/onsemi?pageNo=899", "ON Semiconductor")</f>
        <v>ON Semiconductor</v>
      </c>
      <c r="C41539" s="6">
        <v>1272</v>
      </c>
      <c r="D41539" s="7">
        <v>4.93</v>
      </c>
      <c r="E41539" t="s">
        <v>34</v>
      </c>
    </row>
    <row r="41540" spans="1:5" x14ac:dyDescent="0.25">
      <c r="A41540" t="str">
        <f>HYPERLINK("https://www.773grp.com/globalSearch/MC100LVEL11DTR2G/page-1", "MC100LVEL11DTR2G")</f>
        <v>MC100LVEL11DTR2G</v>
      </c>
      <c r="B41540" s="3" t="str">
        <f>HYPERLINK("https://www.773grp.com/manufacturer/onsemi?pageNo=900", "ON Semiconductor")</f>
        <v>ON Semiconductor</v>
      </c>
      <c r="C41540" s="6">
        <v>10470</v>
      </c>
      <c r="D41540" s="7">
        <v>4.93</v>
      </c>
      <c r="E41540" t="s">
        <v>34</v>
      </c>
    </row>
    <row r="41541" spans="1:5" x14ac:dyDescent="0.25">
      <c r="A41541" t="str">
        <f>HYPERLINK("https://www.773grp.com/globalSearch/MC10EL11DG/page-1", "MC10EL11DG")</f>
        <v>MC10EL11DG</v>
      </c>
      <c r="B41541" s="3" t="str">
        <f>HYPERLINK("https://www.773grp.com/manufacturer/onsemi?pageNo=901", "ON Semiconductor")</f>
        <v>ON Semiconductor</v>
      </c>
      <c r="C41541" s="6">
        <v>21224</v>
      </c>
      <c r="D41541" s="7">
        <v>4.93</v>
      </c>
      <c r="E41541" t="s">
        <v>34</v>
      </c>
    </row>
    <row r="41542" spans="1:5" x14ac:dyDescent="0.25">
      <c r="A41542" t="str">
        <f>HYPERLINK("https://www.773grp.com/globalSearch/MC10EL11DR2G/page-1", "MC10EL11DR2G")</f>
        <v>MC10EL11DR2G</v>
      </c>
      <c r="B41542" s="3" t="str">
        <f>HYPERLINK("https://www.773grp.com/manufacturer/onsemi?pageNo=902", "ON Semiconductor")</f>
        <v>ON Semiconductor</v>
      </c>
      <c r="C41542" s="6">
        <v>24368</v>
      </c>
      <c r="D41542" s="7">
        <v>4.93</v>
      </c>
      <c r="E41542" t="s">
        <v>34</v>
      </c>
    </row>
    <row r="41543" spans="1:5" x14ac:dyDescent="0.25">
      <c r="A41543" t="str">
        <f>HYPERLINK("https://www.773grp.com/globalSearch/MC10EL11DTG/page-1", "MC10EL11DTG")</f>
        <v>MC10EL11DTG</v>
      </c>
      <c r="B41543" s="3" t="str">
        <f>HYPERLINK("https://www.773grp.com/manufacturer/onsemi?pageNo=903", "ON Semiconductor")</f>
        <v>ON Semiconductor</v>
      </c>
      <c r="C41543" s="6">
        <v>1143</v>
      </c>
      <c r="D41543" s="7">
        <v>4.93</v>
      </c>
      <c r="E41543" t="s">
        <v>34</v>
      </c>
    </row>
    <row r="41544" spans="1:5" x14ac:dyDescent="0.25">
      <c r="A41544" t="str">
        <f>HYPERLINK("https://www.773grp.com/globalSearch/MC10EL57D/page-1", "MC10EL57D")</f>
        <v>MC10EL57D</v>
      </c>
      <c r="B41544" s="3" t="str">
        <f>HYPERLINK("https://www.773grp.com/manufacturer/onsemi?pageNo=904", "ON Semiconductor")</f>
        <v>ON Semiconductor</v>
      </c>
      <c r="C41544" s="6">
        <v>2485</v>
      </c>
      <c r="D41544" s="7">
        <v>4.93</v>
      </c>
      <c r="E41544" t="s">
        <v>20</v>
      </c>
    </row>
    <row r="41545" spans="1:5" x14ac:dyDescent="0.25">
      <c r="A41545" t="str">
        <f>HYPERLINK("https://www.773grp.com/globalSearch/MC10H116D/page-1", "MC10H116D")</f>
        <v>MC10H116D</v>
      </c>
      <c r="B41545" s="3" t="str">
        <f>HYPERLINK("https://www.773grp.com/manufacturer/onsemi?pageNo=905", "ON Semiconductor")</f>
        <v>ON Semiconductor</v>
      </c>
      <c r="C41545" s="6">
        <v>10618</v>
      </c>
      <c r="D41545" s="7">
        <v>4.93</v>
      </c>
      <c r="E41545" t="s">
        <v>21</v>
      </c>
    </row>
    <row r="41546" spans="1:5" x14ac:dyDescent="0.25">
      <c r="A41546" t="str">
        <f>HYPERLINK("https://www.773grp.com/globalSearch/MC10H131L/page-1", "MC10H131L")</f>
        <v>MC10H131L</v>
      </c>
      <c r="B41546" s="3" t="str">
        <f>HYPERLINK("https://www.773grp.com/manufacturer/onsemi?pageNo=906", "ON Semiconductor")</f>
        <v>ON Semiconductor</v>
      </c>
      <c r="C41546" s="6">
        <v>1590</v>
      </c>
      <c r="D41546" s="7">
        <v>4.93</v>
      </c>
      <c r="E41546" t="s">
        <v>35</v>
      </c>
    </row>
    <row r="41547" spans="1:5" x14ac:dyDescent="0.25">
      <c r="A41547" t="str">
        <f>HYPERLINK("https://www.773grp.com/globalSearch/MC10H131ML2/page-1", "MC10H131ML2")</f>
        <v>MC10H131ML2</v>
      </c>
      <c r="B41547" s="3" t="str">
        <f>HYPERLINK("https://www.773grp.com/manufacturer/onsemi?pageNo=907", "ON Semiconductor")</f>
        <v>ON Semiconductor</v>
      </c>
      <c r="C41547" s="6">
        <v>14000</v>
      </c>
      <c r="D41547" s="7">
        <v>4.93</v>
      </c>
    </row>
    <row r="41548" spans="1:5" x14ac:dyDescent="0.25">
      <c r="A41548" t="str">
        <f>HYPERLINK("https://www.773grp.com/globalSearch/MPQ6100A/page-1", "MPQ6100A")</f>
        <v>MPQ6100A</v>
      </c>
      <c r="B41548" s="3" t="str">
        <f>HYPERLINK("https://www.773grp.com/manufacturer/onsemi?pageNo=908", "ON Semiconductor")</f>
        <v>ON Semiconductor</v>
      </c>
      <c r="C41548" s="6">
        <v>20387</v>
      </c>
      <c r="D41548" s="7">
        <v>4.93</v>
      </c>
      <c r="E41548" t="s">
        <v>69</v>
      </c>
    </row>
    <row r="41549" spans="1:5" x14ac:dyDescent="0.25">
      <c r="A41549" t="str">
        <f>HYPERLINK("https://www.773grp.com/globalSearch/NCP3101MNTXG/page-1", "NCP3101MNTXG")</f>
        <v>NCP3101MNTXG</v>
      </c>
      <c r="B41549" s="3" t="str">
        <f>HYPERLINK("https://www.773grp.com/manufacturer/onsemi?pageNo=909", "ON Semiconductor")</f>
        <v>ON Semiconductor</v>
      </c>
      <c r="C41549" s="6">
        <v>393</v>
      </c>
      <c r="D41549" s="7">
        <v>4.93</v>
      </c>
      <c r="E41549" t="s">
        <v>7</v>
      </c>
    </row>
    <row r="41550" spans="1:5" x14ac:dyDescent="0.25">
      <c r="A41550" t="str">
        <f>HYPERLINK("https://www.773grp.com/globalSearch/NCP4115AVKR2/page-1", "NCP4115AVKR2")</f>
        <v>NCP4115AVKR2</v>
      </c>
      <c r="B41550" s="3" t="str">
        <f>HYPERLINK("https://www.773grp.com/manufacturer/onsemi?pageNo=910", "ON Semiconductor")</f>
        <v>ON Semiconductor</v>
      </c>
      <c r="C41550" s="6">
        <v>196000</v>
      </c>
      <c r="D41550" s="7">
        <v>4.93</v>
      </c>
    </row>
    <row r="41551" spans="1:5" x14ac:dyDescent="0.25">
      <c r="A41551" t="str">
        <f>HYPERLINK("https://www.773grp.com/globalSearch/SBT250-04L/page-1", "SBT250-04L")</f>
        <v>SBT250-04L</v>
      </c>
      <c r="B41551" s="3" t="str">
        <f>HYPERLINK("https://www.773grp.com/manufacturer/onsemi?pageNo=911", "ON Semiconductor")</f>
        <v>ON Semiconductor</v>
      </c>
      <c r="C41551" s="6">
        <v>100</v>
      </c>
      <c r="D41551" s="7">
        <v>4.93</v>
      </c>
    </row>
    <row r="41552" spans="1:5" x14ac:dyDescent="0.25">
      <c r="A41552" t="str">
        <f>HYPERLINK("https://www.773grp.com/globalSearch/SUS5102QP1HT1G/page-1", "SUS5102QP1HT1G")</f>
        <v>SUS5102QP1HT1G</v>
      </c>
      <c r="B41552" s="3" t="str">
        <f>HYPERLINK("https://www.773grp.com/manufacturer/onsemi?pageNo=912", "ON Semiconductor")</f>
        <v>ON Semiconductor</v>
      </c>
      <c r="C41552" s="6">
        <v>1500</v>
      </c>
      <c r="D41552" s="7">
        <v>4.93</v>
      </c>
    </row>
    <row r="41553" spans="1:5" x14ac:dyDescent="0.25">
      <c r="A41553" t="str">
        <f>HYPERLINK("https://www.773grp.com/globalSearch/MC10133L/page-1", "MC10133L")</f>
        <v>MC10133L</v>
      </c>
      <c r="B41553" s="3" t="str">
        <f>HYPERLINK("https://www.773grp.com/manufacturer/onsemi?pageNo=913", "ON Semiconductor")</f>
        <v>ON Semiconductor</v>
      </c>
      <c r="C41553" s="6">
        <v>11</v>
      </c>
      <c r="D41553" s="7">
        <v>4.95</v>
      </c>
      <c r="E41553" t="s">
        <v>35</v>
      </c>
    </row>
    <row r="41554" spans="1:5" x14ac:dyDescent="0.25">
      <c r="A41554" t="str">
        <f>HYPERLINK("https://www.773grp.com/globalSearch/MC10H100MG/page-1", "MC10H100MG")</f>
        <v>MC10H100MG</v>
      </c>
      <c r="B41554" s="3" t="str">
        <f>HYPERLINK("https://www.773grp.com/manufacturer/onsemi?pageNo=914", "ON Semiconductor")</f>
        <v>ON Semiconductor</v>
      </c>
      <c r="C41554" s="6">
        <v>5564</v>
      </c>
      <c r="D41554" s="7">
        <v>4.95</v>
      </c>
      <c r="E41554" t="s">
        <v>31</v>
      </c>
    </row>
    <row r="41555" spans="1:5" x14ac:dyDescent="0.25">
      <c r="A41555" t="str">
        <f>HYPERLINK("https://www.773grp.com/globalSearch/MC10H101FNG/page-1", "MC10H101FNG")</f>
        <v>MC10H101FNG</v>
      </c>
      <c r="B41555" s="3" t="str">
        <f>HYPERLINK("https://www.773grp.com/manufacturer/onsemi?pageNo=915", "ON Semiconductor")</f>
        <v>ON Semiconductor</v>
      </c>
      <c r="C41555" s="6">
        <v>5462</v>
      </c>
      <c r="D41555" s="7">
        <v>4.95</v>
      </c>
      <c r="E41555" t="s">
        <v>31</v>
      </c>
    </row>
    <row r="41556" spans="1:5" x14ac:dyDescent="0.25">
      <c r="A41556" t="str">
        <f>HYPERLINK("https://www.773grp.com/globalSearch/MC10H101FNR2G/page-1", "MC10H101FNR2G")</f>
        <v>MC10H101FNR2G</v>
      </c>
      <c r="B41556" s="3" t="str">
        <f>HYPERLINK("https://www.773grp.com/manufacturer/onsemi?pageNo=916", "ON Semiconductor")</f>
        <v>ON Semiconductor</v>
      </c>
      <c r="C41556" s="6">
        <v>1677</v>
      </c>
      <c r="D41556" s="7">
        <v>4.95</v>
      </c>
      <c r="E41556" t="s">
        <v>31</v>
      </c>
    </row>
    <row r="41557" spans="1:5" x14ac:dyDescent="0.25">
      <c r="A41557" t="str">
        <f>HYPERLINK("https://www.773grp.com/globalSearch/MC10H101MELG/page-1", "MC10H101MELG")</f>
        <v>MC10H101MELG</v>
      </c>
      <c r="B41557" s="3" t="str">
        <f>HYPERLINK("https://www.773grp.com/manufacturer/onsemi?pageNo=917", "ON Semiconductor")</f>
        <v>ON Semiconductor</v>
      </c>
      <c r="C41557" s="6">
        <v>3022</v>
      </c>
      <c r="D41557" s="7">
        <v>4.95</v>
      </c>
      <c r="E41557" t="s">
        <v>31</v>
      </c>
    </row>
    <row r="41558" spans="1:5" x14ac:dyDescent="0.25">
      <c r="A41558" t="str">
        <f>HYPERLINK("https://www.773grp.com/globalSearch/MC10H101MG/page-1", "MC10H101MG")</f>
        <v>MC10H101MG</v>
      </c>
      <c r="B41558" s="3" t="str">
        <f>HYPERLINK("https://www.773grp.com/manufacturer/onsemi?pageNo=918", "ON Semiconductor")</f>
        <v>ON Semiconductor</v>
      </c>
      <c r="C41558" s="6">
        <v>2050</v>
      </c>
      <c r="D41558" s="7">
        <v>4.95</v>
      </c>
      <c r="E41558" t="s">
        <v>31</v>
      </c>
    </row>
    <row r="41559" spans="1:5" x14ac:dyDescent="0.25">
      <c r="A41559" t="str">
        <f>HYPERLINK("https://www.773grp.com/globalSearch/MC10H102FNR2G/page-1", "MC10H102FNR2G")</f>
        <v>MC10H102FNR2G</v>
      </c>
      <c r="B41559" s="3" t="str">
        <f>HYPERLINK("https://www.773grp.com/manufacturer/onsemi?pageNo=919", "ON Semiconductor")</f>
        <v>ON Semiconductor</v>
      </c>
      <c r="C41559" s="6">
        <v>3752</v>
      </c>
      <c r="D41559" s="7">
        <v>4.95</v>
      </c>
      <c r="E41559" t="s">
        <v>31</v>
      </c>
    </row>
    <row r="41560" spans="1:5" x14ac:dyDescent="0.25">
      <c r="A41560" t="str">
        <f>HYPERLINK("https://www.773grp.com/globalSearch/MC10H102M/page-1", "MC10H102M")</f>
        <v>MC10H102M</v>
      </c>
      <c r="B41560" s="3" t="str">
        <f>HYPERLINK("https://www.773grp.com/manufacturer/onsemi?pageNo=920", "ON Semiconductor")</f>
        <v>ON Semiconductor</v>
      </c>
      <c r="C41560" s="6">
        <v>5650</v>
      </c>
      <c r="D41560" s="7">
        <v>4.95</v>
      </c>
      <c r="E41560" t="s">
        <v>31</v>
      </c>
    </row>
    <row r="41561" spans="1:5" x14ac:dyDescent="0.25">
      <c r="A41561" t="str">
        <f>HYPERLINK("https://www.773grp.com/globalSearch/MC10H102MELG/page-1", "MC10H102MELG")</f>
        <v>MC10H102MELG</v>
      </c>
      <c r="B41561" s="3" t="str">
        <f>HYPERLINK("https://www.773grp.com/manufacturer/onsemi?pageNo=921", "ON Semiconductor")</f>
        <v>ON Semiconductor</v>
      </c>
      <c r="C41561" s="6">
        <v>8600</v>
      </c>
      <c r="D41561" s="7">
        <v>4.95</v>
      </c>
      <c r="E41561" t="s">
        <v>31</v>
      </c>
    </row>
    <row r="41562" spans="1:5" x14ac:dyDescent="0.25">
      <c r="A41562" t="str">
        <f>HYPERLINK("https://www.773grp.com/globalSearch/MC10H102MG/page-1", "MC10H102MG")</f>
        <v>MC10H102MG</v>
      </c>
      <c r="B41562" s="3" t="str">
        <f>HYPERLINK("https://www.773grp.com/manufacturer/onsemi?pageNo=922", "ON Semiconductor")</f>
        <v>ON Semiconductor</v>
      </c>
      <c r="C41562" s="6">
        <v>14169</v>
      </c>
      <c r="D41562" s="7">
        <v>4.95</v>
      </c>
      <c r="E41562" t="s">
        <v>31</v>
      </c>
    </row>
    <row r="41563" spans="1:5" x14ac:dyDescent="0.25">
      <c r="A41563" t="str">
        <f>HYPERLINK("https://www.773grp.com/globalSearch/MC10H103FNG/page-1", "MC10H103FNG")</f>
        <v>MC10H103FNG</v>
      </c>
      <c r="B41563" s="3" t="str">
        <f>HYPERLINK("https://www.773grp.com/manufacturer/onsemi?pageNo=923", "ON Semiconductor")</f>
        <v>ON Semiconductor</v>
      </c>
      <c r="C41563" s="6">
        <v>267</v>
      </c>
      <c r="D41563" s="7">
        <v>4.95</v>
      </c>
      <c r="E41563" t="s">
        <v>31</v>
      </c>
    </row>
    <row r="41564" spans="1:5" x14ac:dyDescent="0.25">
      <c r="A41564" t="str">
        <f>HYPERLINK("https://www.773grp.com/globalSearch/MC10H103MEL/page-1", "MC10H103MEL")</f>
        <v>MC10H103MEL</v>
      </c>
      <c r="B41564" s="3" t="str">
        <f>HYPERLINK("https://www.773grp.com/manufacturer/onsemi?pageNo=924", "ON Semiconductor")</f>
        <v>ON Semiconductor</v>
      </c>
      <c r="C41564" s="6">
        <v>90</v>
      </c>
      <c r="D41564" s="7">
        <v>4.95</v>
      </c>
      <c r="E41564" t="s">
        <v>31</v>
      </c>
    </row>
    <row r="41565" spans="1:5" x14ac:dyDescent="0.25">
      <c r="A41565" t="str">
        <f>HYPERLINK("https://www.773grp.com/globalSearch/MC10H103MELG/page-1", "MC10H103MELG")</f>
        <v>MC10H103MELG</v>
      </c>
      <c r="B41565" s="3" t="str">
        <f>HYPERLINK("https://www.773grp.com/manufacturer/onsemi?pageNo=925", "ON Semiconductor")</f>
        <v>ON Semiconductor</v>
      </c>
      <c r="C41565" s="6">
        <v>48584</v>
      </c>
      <c r="D41565" s="7">
        <v>4.95</v>
      </c>
      <c r="E41565" t="s">
        <v>31</v>
      </c>
    </row>
    <row r="41566" spans="1:5" x14ac:dyDescent="0.25">
      <c r="A41566" t="str">
        <f>HYPERLINK("https://www.773grp.com/globalSearch/MC10H103MG/page-1", "MC10H103MG")</f>
        <v>MC10H103MG</v>
      </c>
      <c r="B41566" s="3" t="str">
        <f>HYPERLINK("https://www.773grp.com/manufacturer/onsemi?pageNo=926", "ON Semiconductor")</f>
        <v>ON Semiconductor</v>
      </c>
      <c r="C41566" s="6">
        <v>5300</v>
      </c>
      <c r="D41566" s="7">
        <v>4.95</v>
      </c>
    </row>
    <row r="41567" spans="1:5" x14ac:dyDescent="0.25">
      <c r="A41567" t="str">
        <f>HYPERLINK("https://www.773grp.com/globalSearch/MC10H104FNG/page-1", "MC10H104FNG")</f>
        <v>MC10H104FNG</v>
      </c>
      <c r="B41567" s="3" t="str">
        <f>HYPERLINK("https://www.773grp.com/manufacturer/onsemi?pageNo=927", "ON Semiconductor")</f>
        <v>ON Semiconductor</v>
      </c>
      <c r="C41567" s="6">
        <v>322</v>
      </c>
      <c r="D41567" s="7">
        <v>4.95</v>
      </c>
    </row>
    <row r="41568" spans="1:5" x14ac:dyDescent="0.25">
      <c r="A41568" t="str">
        <f>HYPERLINK("https://www.773grp.com/globalSearch/MC10H104FNR2G/page-1", "MC10H104FNR2G")</f>
        <v>MC10H104FNR2G</v>
      </c>
      <c r="B41568" s="3" t="str">
        <f>HYPERLINK("https://www.773grp.com/manufacturer/onsemi?pageNo=928", "ON Semiconductor")</f>
        <v>ON Semiconductor</v>
      </c>
      <c r="C41568" s="6">
        <v>252</v>
      </c>
      <c r="D41568" s="7">
        <v>4.95</v>
      </c>
    </row>
    <row r="41569" spans="1:5" x14ac:dyDescent="0.25">
      <c r="A41569" t="str">
        <f>HYPERLINK("https://www.773grp.com/globalSearch/MC10H104MELG/page-1", "MC10H104MELG")</f>
        <v>MC10H104MELG</v>
      </c>
      <c r="B41569" s="3" t="str">
        <f>HYPERLINK("https://www.773grp.com/manufacturer/onsemi?pageNo=929", "ON Semiconductor")</f>
        <v>ON Semiconductor</v>
      </c>
      <c r="C41569" s="6">
        <v>6085</v>
      </c>
      <c r="D41569" s="7">
        <v>4.95</v>
      </c>
      <c r="E41569" t="s">
        <v>31</v>
      </c>
    </row>
    <row r="41570" spans="1:5" x14ac:dyDescent="0.25">
      <c r="A41570" t="str">
        <f>HYPERLINK("https://www.773grp.com/globalSearch/MC10H104MG/page-1", "MC10H104MG")</f>
        <v>MC10H104MG</v>
      </c>
      <c r="B41570" s="3" t="str">
        <f>HYPERLINK("https://www.773grp.com/manufacturer/onsemi?pageNo=930", "ON Semiconductor")</f>
        <v>ON Semiconductor</v>
      </c>
      <c r="C41570" s="6">
        <v>5960</v>
      </c>
      <c r="D41570" s="7">
        <v>4.95</v>
      </c>
      <c r="E41570" t="s">
        <v>31</v>
      </c>
    </row>
    <row r="41571" spans="1:5" x14ac:dyDescent="0.25">
      <c r="A41571" t="str">
        <f>HYPERLINK("https://www.773grp.com/globalSearch/MC10H105FNG/page-1", "MC10H105FNG")</f>
        <v>MC10H105FNG</v>
      </c>
      <c r="B41571" s="3" t="str">
        <f>HYPERLINK("https://www.773grp.com/manufacturer/onsemi?pageNo=931", "ON Semiconductor")</f>
        <v>ON Semiconductor</v>
      </c>
      <c r="C41571" s="6">
        <v>4912</v>
      </c>
      <c r="D41571" s="7">
        <v>4.95</v>
      </c>
      <c r="E41571" t="s">
        <v>31</v>
      </c>
    </row>
    <row r="41572" spans="1:5" x14ac:dyDescent="0.25">
      <c r="A41572" t="str">
        <f>HYPERLINK("https://www.773grp.com/globalSearch/MC10H105MELG/page-1", "MC10H105MELG")</f>
        <v>MC10H105MELG</v>
      </c>
      <c r="B41572" s="3" t="str">
        <f>HYPERLINK("https://www.773grp.com/manufacturer/onsemi?pageNo=932", "ON Semiconductor")</f>
        <v>ON Semiconductor</v>
      </c>
      <c r="C41572" s="6">
        <v>46957</v>
      </c>
      <c r="D41572" s="7">
        <v>4.95</v>
      </c>
      <c r="E41572" t="s">
        <v>31</v>
      </c>
    </row>
    <row r="41573" spans="1:5" x14ac:dyDescent="0.25">
      <c r="A41573" t="str">
        <f>HYPERLINK("https://www.773grp.com/globalSearch/MC10H105MG/page-1", "MC10H105MG")</f>
        <v>MC10H105MG</v>
      </c>
      <c r="B41573" s="3" t="str">
        <f>HYPERLINK("https://www.773grp.com/manufacturer/onsemi?pageNo=933", "ON Semiconductor")</f>
        <v>ON Semiconductor</v>
      </c>
      <c r="C41573" s="6">
        <v>7790</v>
      </c>
      <c r="D41573" s="7">
        <v>4.95</v>
      </c>
      <c r="E41573" t="s">
        <v>31</v>
      </c>
    </row>
    <row r="41574" spans="1:5" x14ac:dyDescent="0.25">
      <c r="A41574" t="str">
        <f>HYPERLINK("https://www.773grp.com/globalSearch/MC10H106FNG/page-1", "MC10H106FNG")</f>
        <v>MC10H106FNG</v>
      </c>
      <c r="B41574" s="3" t="str">
        <f>HYPERLINK("https://www.773grp.com/manufacturer/onsemi?pageNo=934", "ON Semiconductor")</f>
        <v>ON Semiconductor</v>
      </c>
      <c r="C41574" s="6">
        <v>4962</v>
      </c>
      <c r="D41574" s="7">
        <v>4.95</v>
      </c>
      <c r="E41574" t="s">
        <v>31</v>
      </c>
    </row>
    <row r="41575" spans="1:5" x14ac:dyDescent="0.25">
      <c r="A41575" t="str">
        <f>HYPERLINK("https://www.773grp.com/globalSearch/MC10H106MG/page-1", "MC10H106MG")</f>
        <v>MC10H106MG</v>
      </c>
      <c r="B41575" s="3" t="str">
        <f>HYPERLINK("https://www.773grp.com/manufacturer/onsemi?pageNo=935", "ON Semiconductor")</f>
        <v>ON Semiconductor</v>
      </c>
      <c r="C41575" s="6">
        <v>5200</v>
      </c>
      <c r="D41575" s="7">
        <v>4.95</v>
      </c>
      <c r="E41575" t="s">
        <v>31</v>
      </c>
    </row>
    <row r="41576" spans="1:5" x14ac:dyDescent="0.25">
      <c r="A41576" t="str">
        <f>HYPERLINK("https://www.773grp.com/globalSearch/MC10H107FNG/page-1", "MC10H107FNG")</f>
        <v>MC10H107FNG</v>
      </c>
      <c r="B41576" s="3" t="str">
        <f>HYPERLINK("https://www.773grp.com/manufacturer/onsemi?pageNo=936", "ON Semiconductor")</f>
        <v>ON Semiconductor</v>
      </c>
      <c r="C41576" s="6">
        <v>3595</v>
      </c>
      <c r="D41576" s="7">
        <v>4.95</v>
      </c>
      <c r="E41576" t="s">
        <v>31</v>
      </c>
    </row>
    <row r="41577" spans="1:5" x14ac:dyDescent="0.25">
      <c r="A41577" t="str">
        <f>HYPERLINK("https://www.773grp.com/globalSearch/MC10H107MELG/page-1", "MC10H107MELG")</f>
        <v>MC10H107MELG</v>
      </c>
      <c r="B41577" s="3" t="str">
        <f>HYPERLINK("https://www.773grp.com/manufacturer/onsemi?pageNo=937", "ON Semiconductor")</f>
        <v>ON Semiconductor</v>
      </c>
      <c r="C41577" s="6">
        <v>2000</v>
      </c>
      <c r="D41577" s="7">
        <v>4.95</v>
      </c>
      <c r="E41577" t="s">
        <v>31</v>
      </c>
    </row>
    <row r="41578" spans="1:5" x14ac:dyDescent="0.25">
      <c r="A41578" t="str">
        <f>HYPERLINK("https://www.773grp.com/globalSearch/MC10H107MG/page-1", "MC10H107MG")</f>
        <v>MC10H107MG</v>
      </c>
      <c r="B41578" s="3" t="str">
        <f>HYPERLINK("https://www.773grp.com/manufacturer/onsemi?pageNo=938", "ON Semiconductor")</f>
        <v>ON Semiconductor</v>
      </c>
      <c r="C41578" s="6">
        <v>4241</v>
      </c>
      <c r="D41578" s="7">
        <v>4.95</v>
      </c>
      <c r="E41578" t="s">
        <v>31</v>
      </c>
    </row>
    <row r="41579" spans="1:5" x14ac:dyDescent="0.25">
      <c r="A41579" t="str">
        <f>HYPERLINK("https://www.773grp.com/globalSearch/MC10H109FNG/page-1", "MC10H109FNG")</f>
        <v>MC10H109FNG</v>
      </c>
      <c r="B41579" s="3" t="str">
        <f>HYPERLINK("https://www.773grp.com/manufacturer/onsemi?pageNo=939", "ON Semiconductor")</f>
        <v>ON Semiconductor</v>
      </c>
      <c r="C41579" s="6">
        <v>5342</v>
      </c>
      <c r="D41579" s="7">
        <v>4.95</v>
      </c>
      <c r="E41579" t="s">
        <v>31</v>
      </c>
    </row>
    <row r="41580" spans="1:5" x14ac:dyDescent="0.25">
      <c r="A41580" t="str">
        <f>HYPERLINK("https://www.773grp.com/globalSearch/MC10H109MELG/page-1", "MC10H109MELG")</f>
        <v>MC10H109MELG</v>
      </c>
      <c r="B41580" s="3" t="str">
        <f>HYPERLINK("https://www.773grp.com/manufacturer/onsemi?pageNo=940", "ON Semiconductor")</f>
        <v>ON Semiconductor</v>
      </c>
      <c r="C41580" s="6">
        <v>28000</v>
      </c>
      <c r="D41580" s="7">
        <v>4.95</v>
      </c>
      <c r="E41580" t="s">
        <v>31</v>
      </c>
    </row>
    <row r="41581" spans="1:5" x14ac:dyDescent="0.25">
      <c r="A41581" t="str">
        <f>HYPERLINK("https://www.773grp.com/globalSearch/MC10H109MG/page-1", "MC10H109MG")</f>
        <v>MC10H109MG</v>
      </c>
      <c r="B41581" s="3" t="str">
        <f>HYPERLINK("https://www.773grp.com/manufacturer/onsemi?pageNo=941", "ON Semiconductor")</f>
        <v>ON Semiconductor</v>
      </c>
      <c r="C41581" s="6">
        <v>7086</v>
      </c>
      <c r="D41581" s="7">
        <v>4.95</v>
      </c>
      <c r="E41581" t="s">
        <v>31</v>
      </c>
    </row>
    <row r="41582" spans="1:5" x14ac:dyDescent="0.25">
      <c r="A41582" t="str">
        <f>HYPERLINK("https://www.773grp.com/globalSearch/MC10H115FNG/page-1", "MC10H115FNG")</f>
        <v>MC10H115FNG</v>
      </c>
      <c r="B41582" s="3" t="str">
        <f>HYPERLINK("https://www.773grp.com/manufacturer/onsemi?pageNo=942", "ON Semiconductor")</f>
        <v>ON Semiconductor</v>
      </c>
      <c r="C41582" s="6">
        <v>10150</v>
      </c>
      <c r="D41582" s="7">
        <v>4.95</v>
      </c>
      <c r="E41582" t="s">
        <v>21</v>
      </c>
    </row>
    <row r="41583" spans="1:5" x14ac:dyDescent="0.25">
      <c r="A41583" t="str">
        <f>HYPERLINK("https://www.773grp.com/globalSearch/MC10H115FNR2/page-1", "MC10H115FNR2")</f>
        <v>MC10H115FNR2</v>
      </c>
      <c r="B41583" s="3" t="str">
        <f>HYPERLINK("https://www.773grp.com/manufacturer/onsemi?pageNo=943", "ON Semiconductor")</f>
        <v>ON Semiconductor</v>
      </c>
      <c r="C41583" s="6">
        <v>4217</v>
      </c>
      <c r="D41583" s="7">
        <v>4.95</v>
      </c>
      <c r="E41583" t="s">
        <v>21</v>
      </c>
    </row>
    <row r="41584" spans="1:5" x14ac:dyDescent="0.25">
      <c r="A41584" t="str">
        <f>HYPERLINK("https://www.773grp.com/globalSearch/MC10H115FNR2G/page-1", "MC10H115FNR2G")</f>
        <v>MC10H115FNR2G</v>
      </c>
      <c r="B41584" s="3" t="str">
        <f>HYPERLINK("https://www.773grp.com/manufacturer/onsemi?pageNo=944", "ON Semiconductor")</f>
        <v>ON Semiconductor</v>
      </c>
      <c r="C41584" s="6">
        <v>2500</v>
      </c>
      <c r="D41584" s="7">
        <v>4.95</v>
      </c>
      <c r="E41584" t="s">
        <v>21</v>
      </c>
    </row>
    <row r="41585" spans="1:5" x14ac:dyDescent="0.25">
      <c r="A41585" t="str">
        <f>HYPERLINK("https://www.773grp.com/globalSearch/MC10H115MELG/page-1", "MC10H115MELG")</f>
        <v>MC10H115MELG</v>
      </c>
      <c r="B41585" s="3" t="str">
        <f>HYPERLINK("https://www.773grp.com/manufacturer/onsemi?pageNo=945", "ON Semiconductor")</f>
        <v>ON Semiconductor</v>
      </c>
      <c r="C41585" s="6">
        <v>70733</v>
      </c>
      <c r="D41585" s="7">
        <v>4.95</v>
      </c>
      <c r="E41585" t="s">
        <v>21</v>
      </c>
    </row>
    <row r="41586" spans="1:5" x14ac:dyDescent="0.25">
      <c r="A41586" t="str">
        <f>HYPERLINK("https://www.773grp.com/globalSearch/MC10H115MG/page-1", "MC10H115MG")</f>
        <v>MC10H115MG</v>
      </c>
      <c r="B41586" s="3" t="str">
        <f>HYPERLINK("https://www.773grp.com/manufacturer/onsemi?pageNo=946", "ON Semiconductor")</f>
        <v>ON Semiconductor</v>
      </c>
      <c r="C41586" s="6">
        <v>5919</v>
      </c>
      <c r="D41586" s="7">
        <v>4.95</v>
      </c>
      <c r="E41586" t="s">
        <v>21</v>
      </c>
    </row>
    <row r="41587" spans="1:5" x14ac:dyDescent="0.25">
      <c r="A41587" t="str">
        <f>HYPERLINK("https://www.773grp.com/globalSearch/MC10H116FNG/page-1", "MC10H116FNG")</f>
        <v>MC10H116FNG</v>
      </c>
      <c r="B41587" s="3" t="str">
        <f>HYPERLINK("https://www.773grp.com/manufacturer/onsemi?pageNo=947", "ON Semiconductor")</f>
        <v>ON Semiconductor</v>
      </c>
      <c r="C41587" s="6">
        <v>2799</v>
      </c>
      <c r="D41587" s="7">
        <v>4.95</v>
      </c>
      <c r="E41587" t="s">
        <v>21</v>
      </c>
    </row>
    <row r="41588" spans="1:5" x14ac:dyDescent="0.25">
      <c r="A41588" t="str">
        <f>HYPERLINK("https://www.773grp.com/globalSearch/MC10H116FNR2/page-1", "MC10H116FNR2")</f>
        <v>MC10H116FNR2</v>
      </c>
      <c r="B41588" s="3" t="str">
        <f>HYPERLINK("https://www.773grp.com/manufacturer/onsemi?pageNo=948", "ON Semiconductor")</f>
        <v>ON Semiconductor</v>
      </c>
      <c r="C41588" s="6">
        <v>9582</v>
      </c>
      <c r="D41588" s="7">
        <v>4.95</v>
      </c>
      <c r="E41588" t="s">
        <v>21</v>
      </c>
    </row>
    <row r="41589" spans="1:5" x14ac:dyDescent="0.25">
      <c r="A41589" t="str">
        <f>HYPERLINK("https://www.773grp.com/globalSearch/MC10H116MELG/page-1", "MC10H116MELG")</f>
        <v>MC10H116MELG</v>
      </c>
      <c r="B41589" s="3" t="str">
        <f>HYPERLINK("https://www.773grp.com/manufacturer/onsemi?pageNo=949", "ON Semiconductor")</f>
        <v>ON Semiconductor</v>
      </c>
      <c r="C41589" s="6">
        <v>362</v>
      </c>
      <c r="D41589" s="7">
        <v>4.95</v>
      </c>
    </row>
    <row r="41590" spans="1:5" x14ac:dyDescent="0.25">
      <c r="A41590" t="str">
        <f>HYPERLINK("https://www.773grp.com/globalSearch/MC10H117FNR2G/page-1", "MC10H117FNR2G")</f>
        <v>MC10H117FNR2G</v>
      </c>
      <c r="B41590" s="3" t="str">
        <f>HYPERLINK("https://www.773grp.com/manufacturer/onsemi?pageNo=950", "ON Semiconductor")</f>
        <v>ON Semiconductor</v>
      </c>
      <c r="C41590" s="6">
        <v>6500</v>
      </c>
      <c r="D41590" s="7">
        <v>4.95</v>
      </c>
      <c r="E41590" t="s">
        <v>31</v>
      </c>
    </row>
    <row r="41591" spans="1:5" x14ac:dyDescent="0.25">
      <c r="A41591" t="str">
        <f>HYPERLINK("https://www.773grp.com/globalSearch/MC10H117MELG/page-1", "MC10H117MELG")</f>
        <v>MC10H117MELG</v>
      </c>
      <c r="B41591" s="3" t="str">
        <f>HYPERLINK("https://www.773grp.com/manufacturer/onsemi?pageNo=951", "ON Semiconductor")</f>
        <v>ON Semiconductor</v>
      </c>
      <c r="C41591" s="6">
        <v>1450</v>
      </c>
      <c r="D41591" s="7">
        <v>4.95</v>
      </c>
      <c r="E41591" t="s">
        <v>31</v>
      </c>
    </row>
    <row r="41592" spans="1:5" x14ac:dyDescent="0.25">
      <c r="A41592" t="str">
        <f>HYPERLINK("https://www.773grp.com/globalSearch/MC10H121FNG/page-1", "MC10H121FNG")</f>
        <v>MC10H121FNG</v>
      </c>
      <c r="B41592" s="3" t="str">
        <f>HYPERLINK("https://www.773grp.com/manufacturer/onsemi?pageNo=952", "ON Semiconductor")</f>
        <v>ON Semiconductor</v>
      </c>
      <c r="C41592" s="6">
        <v>3476</v>
      </c>
      <c r="D41592" s="7">
        <v>4.95</v>
      </c>
      <c r="E41592" t="s">
        <v>31</v>
      </c>
    </row>
    <row r="41593" spans="1:5" x14ac:dyDescent="0.25">
      <c r="A41593" t="str">
        <f>HYPERLINK("https://www.773grp.com/globalSearch/MC10H121FNR2G/page-1", "MC10H121FNR2G")</f>
        <v>MC10H121FNR2G</v>
      </c>
      <c r="B41593" s="3" t="str">
        <f>HYPERLINK("https://www.773grp.com/manufacturer/onsemi?pageNo=953", "ON Semiconductor")</f>
        <v>ON Semiconductor</v>
      </c>
      <c r="C41593" s="6">
        <v>2960</v>
      </c>
      <c r="D41593" s="7">
        <v>4.95</v>
      </c>
      <c r="E41593" t="s">
        <v>31</v>
      </c>
    </row>
    <row r="41594" spans="1:5" x14ac:dyDescent="0.25">
      <c r="A41594" t="str">
        <f>HYPERLINK("https://www.773grp.com/globalSearch/MC10H121MG/page-1", "MC10H121MG")</f>
        <v>MC10H121MG</v>
      </c>
      <c r="B41594" s="3" t="str">
        <f>HYPERLINK("https://www.773grp.com/manufacturer/onsemi?pageNo=954", "ON Semiconductor")</f>
        <v>ON Semiconductor</v>
      </c>
      <c r="C41594" s="6">
        <v>11100</v>
      </c>
      <c r="D41594" s="7">
        <v>4.95</v>
      </c>
      <c r="E41594" t="s">
        <v>31</v>
      </c>
    </row>
    <row r="41595" spans="1:5" x14ac:dyDescent="0.25">
      <c r="A41595" t="str">
        <f>HYPERLINK("https://www.773grp.com/globalSearch/MC10EP01D/page-1", "MC10EP01D")</f>
        <v>MC10EP01D</v>
      </c>
      <c r="B41595" s="3" t="str">
        <f>HYPERLINK("https://www.773grp.com/manufacturer/onsemi?pageNo=955", "ON Semiconductor")</f>
        <v>ON Semiconductor</v>
      </c>
      <c r="C41595" s="6">
        <v>6583</v>
      </c>
      <c r="D41595" s="7">
        <v>4.9800000000000004</v>
      </c>
      <c r="E41595" t="s">
        <v>31</v>
      </c>
    </row>
    <row r="41596" spans="1:5" x14ac:dyDescent="0.25">
      <c r="A41596" t="str">
        <f>HYPERLINK("https://www.773grp.com/globalSearch/MC10EP01DT/page-1", "MC10EP01DT")</f>
        <v>MC10EP01DT</v>
      </c>
      <c r="B41596" s="3" t="str">
        <f>HYPERLINK("https://www.773grp.com/manufacturer/onsemi?pageNo=956", "ON Semiconductor")</f>
        <v>ON Semiconductor</v>
      </c>
      <c r="C41596" s="6">
        <v>33784</v>
      </c>
      <c r="D41596" s="7">
        <v>4.9800000000000004</v>
      </c>
      <c r="E41596" t="s">
        <v>31</v>
      </c>
    </row>
    <row r="41597" spans="1:5" x14ac:dyDescent="0.25">
      <c r="A41597" t="str">
        <f>HYPERLINK("https://www.773grp.com/globalSearch/MC10EP05D/page-1", "MC10EP05D")</f>
        <v>MC10EP05D</v>
      </c>
      <c r="B41597" s="3" t="str">
        <f>HYPERLINK("https://www.773grp.com/manufacturer/onsemi?pageNo=957", "ON Semiconductor")</f>
        <v>ON Semiconductor</v>
      </c>
      <c r="C41597" s="6">
        <v>46979</v>
      </c>
      <c r="D41597" s="7">
        <v>4.9800000000000004</v>
      </c>
      <c r="E41597" t="s">
        <v>31</v>
      </c>
    </row>
    <row r="41598" spans="1:5" x14ac:dyDescent="0.25">
      <c r="A41598" t="str">
        <f>HYPERLINK("https://www.773grp.com/globalSearch/MC10EP05DR2/page-1", "MC10EP05DR2")</f>
        <v>MC10EP05DR2</v>
      </c>
      <c r="B41598" s="3" t="str">
        <f>HYPERLINK("https://www.773grp.com/manufacturer/onsemi?pageNo=958", "ON Semiconductor")</f>
        <v>ON Semiconductor</v>
      </c>
      <c r="C41598" s="6">
        <v>12500</v>
      </c>
      <c r="D41598" s="7">
        <v>4.9800000000000004</v>
      </c>
      <c r="E41598" t="s">
        <v>31</v>
      </c>
    </row>
    <row r="41599" spans="1:5" x14ac:dyDescent="0.25">
      <c r="A41599" t="str">
        <f>HYPERLINK("https://www.773grp.com/globalSearch/MC10EP05DT/page-1", "MC10EP05DT")</f>
        <v>MC10EP05DT</v>
      </c>
      <c r="B41599" s="3" t="str">
        <f>HYPERLINK("https://www.773grp.com/manufacturer/onsemi?pageNo=959", "ON Semiconductor")</f>
        <v>ON Semiconductor</v>
      </c>
      <c r="C41599" s="6">
        <v>30903</v>
      </c>
      <c r="D41599" s="7">
        <v>4.9800000000000004</v>
      </c>
      <c r="E41599" t="s">
        <v>31</v>
      </c>
    </row>
    <row r="41600" spans="1:5" x14ac:dyDescent="0.25">
      <c r="A41600" t="str">
        <f>HYPERLINK("https://www.773grp.com/globalSearch/MC10EP08D/page-1", "MC10EP08D")</f>
        <v>MC10EP08D</v>
      </c>
      <c r="B41600" s="3" t="str">
        <f>HYPERLINK("https://www.773grp.com/manufacturer/onsemi?pageNo=960", "ON Semiconductor")</f>
        <v>ON Semiconductor</v>
      </c>
      <c r="C41600" s="6">
        <v>12193</v>
      </c>
      <c r="D41600" s="7">
        <v>4.9800000000000004</v>
      </c>
      <c r="E41600" t="s">
        <v>31</v>
      </c>
    </row>
    <row r="41601" spans="1:5" x14ac:dyDescent="0.25">
      <c r="A41601" t="str">
        <f>HYPERLINK("https://www.773grp.com/globalSearch/MC10EP08DT/page-1", "MC10EP08DT")</f>
        <v>MC10EP08DT</v>
      </c>
      <c r="B41601" s="3" t="str">
        <f>HYPERLINK("https://www.773grp.com/manufacturer/onsemi?pageNo=961", "ON Semiconductor")</f>
        <v>ON Semiconductor</v>
      </c>
      <c r="C41601" s="6">
        <v>31291</v>
      </c>
      <c r="D41601" s="7">
        <v>4.9800000000000004</v>
      </c>
      <c r="E41601" t="s">
        <v>31</v>
      </c>
    </row>
    <row r="41602" spans="1:5" x14ac:dyDescent="0.25">
      <c r="A41602" t="str">
        <f>HYPERLINK("https://www.773grp.com/globalSearch/ADP3209JCPZ-RL/page-1", "ADP3209JCPZ-RL")</f>
        <v>ADP3209JCPZ-RL</v>
      </c>
      <c r="B41602" s="3" t="str">
        <f>HYPERLINK("https://www.773grp.com/manufacturer/onsemi?pageNo=962", "ON Semiconductor")</f>
        <v>ON Semiconductor</v>
      </c>
      <c r="C41602" s="6">
        <v>10000</v>
      </c>
      <c r="D41602" s="7">
        <v>5.01</v>
      </c>
    </row>
    <row r="41603" spans="1:5" x14ac:dyDescent="0.25">
      <c r="A41603" t="str">
        <f>HYPERLINK("https://www.773grp.com/globalSearch/CS2082EDW20/page-1", "CS2082EDW20")</f>
        <v>CS2082EDW20</v>
      </c>
      <c r="B41603" s="3" t="str">
        <f>HYPERLINK("https://www.773grp.com/manufacturer/onsemi?pageNo=963", "ON Semiconductor")</f>
        <v>ON Semiconductor</v>
      </c>
      <c r="C41603" s="6">
        <v>4902</v>
      </c>
      <c r="D41603" s="7">
        <v>5.01</v>
      </c>
      <c r="E41603" t="s">
        <v>23</v>
      </c>
    </row>
    <row r="41604" spans="1:5" x14ac:dyDescent="0.25">
      <c r="A41604" t="str">
        <f>HYPERLINK("https://www.773grp.com/globalSearch/NCV7702BDWR2G/page-1", "NCV7702BDWR2G")</f>
        <v>NCV7702BDWR2G</v>
      </c>
      <c r="B41604" s="3" t="str">
        <f>HYPERLINK("https://www.773grp.com/manufacturer/onsemi?pageNo=964", "ON Semiconductor")</f>
        <v>ON Semiconductor</v>
      </c>
      <c r="C41604" s="6">
        <v>900</v>
      </c>
      <c r="D41604" s="7">
        <v>5.01</v>
      </c>
      <c r="E41604" t="s">
        <v>62</v>
      </c>
    </row>
    <row r="41605" spans="1:5" x14ac:dyDescent="0.25">
      <c r="A41605" t="str">
        <f>HYPERLINK("https://www.773grp.com/globalSearch/LA4631VC-XE/page-1", "LA4631VC-XE")</f>
        <v>LA4631VC-XE</v>
      </c>
      <c r="B41605" s="3" t="str">
        <f>HYPERLINK("https://www.773grp.com/manufacturer/onsemi?pageNo=965", "ON Semiconductor")</f>
        <v>ON Semiconductor</v>
      </c>
      <c r="C41605" s="6">
        <v>20</v>
      </c>
      <c r="D41605" s="7">
        <v>5.03</v>
      </c>
    </row>
    <row r="41606" spans="1:5" x14ac:dyDescent="0.25">
      <c r="A41606" t="str">
        <f>HYPERLINK("https://www.773grp.com/globalSearch/LC75822EHS-T-E/page-1", "LC75822EHS-T-E")</f>
        <v>LC75822EHS-T-E</v>
      </c>
      <c r="B41606" s="3" t="str">
        <f>HYPERLINK("https://www.773grp.com/manufacturer/onsemi?pageNo=966", "ON Semiconductor")</f>
        <v>ON Semiconductor</v>
      </c>
      <c r="C41606" s="6">
        <v>1800</v>
      </c>
      <c r="D41606" s="7">
        <v>5.03</v>
      </c>
    </row>
    <row r="41607" spans="1:5" x14ac:dyDescent="0.25">
      <c r="A41607" t="str">
        <f>HYPERLINK("https://www.773grp.com/globalSearch/LC75832E-E/page-1", "LC75832E-E")</f>
        <v>LC75832E-E</v>
      </c>
      <c r="B41607" s="3" t="str">
        <f>HYPERLINK("https://www.773grp.com/manufacturer/onsemi?pageNo=967", "ON Semiconductor")</f>
        <v>ON Semiconductor</v>
      </c>
      <c r="C41607" s="6">
        <v>1000</v>
      </c>
      <c r="D41607" s="7">
        <v>5.03</v>
      </c>
    </row>
    <row r="41608" spans="1:5" x14ac:dyDescent="0.25">
      <c r="A41608" t="str">
        <f>HYPERLINK("https://www.773grp.com/globalSearch/MC10H135P/page-1", "MC10H135P")</f>
        <v>MC10H135P</v>
      </c>
      <c r="B41608" s="3" t="str">
        <f>HYPERLINK("https://www.773grp.com/manufacturer/onsemi?pageNo=968", "ON Semiconductor")</f>
        <v>ON Semiconductor</v>
      </c>
      <c r="C41608" s="6">
        <v>4497</v>
      </c>
      <c r="D41608" s="7">
        <v>5.03</v>
      </c>
      <c r="E41608" t="s">
        <v>35</v>
      </c>
    </row>
    <row r="41609" spans="1:5" x14ac:dyDescent="0.25">
      <c r="A41609" t="str">
        <f>HYPERLINK("https://www.773grp.com/globalSearch/CS8363YDPS7G/page-1", "CS8363YDPS7G")</f>
        <v>CS8363YDPS7G</v>
      </c>
      <c r="B41609" s="3" t="str">
        <f>HYPERLINK("https://www.773grp.com/manufacturer/onsemi?pageNo=969", "ON Semiconductor")</f>
        <v>ON Semiconductor</v>
      </c>
      <c r="C41609" s="6">
        <v>64</v>
      </c>
      <c r="D41609" s="7">
        <v>5.0599999999999996</v>
      </c>
    </row>
    <row r="41610" spans="1:5" x14ac:dyDescent="0.25">
      <c r="A41610" t="str">
        <f>HYPERLINK("https://www.773grp.com/globalSearch/CS8363YDPSR7G/page-1", "CS8363YDPSR7G")</f>
        <v>CS8363YDPSR7G</v>
      </c>
      <c r="B41610" s="3" t="str">
        <f>HYPERLINK("https://www.773grp.com/manufacturer/onsemi?pageNo=970", "ON Semiconductor")</f>
        <v>ON Semiconductor</v>
      </c>
      <c r="C41610" s="6">
        <v>350</v>
      </c>
      <c r="D41610" s="7">
        <v>5.0599999999999996</v>
      </c>
    </row>
    <row r="41611" spans="1:5" x14ac:dyDescent="0.25">
      <c r="A41611" t="str">
        <f>HYPERLINK("https://www.773grp.com/globalSearch/LC75833W-E/page-1", "LC75833W-E")</f>
        <v>LC75833W-E</v>
      </c>
      <c r="B41611" s="3" t="str">
        <f>HYPERLINK("https://www.773grp.com/manufacturer/onsemi?pageNo=971", "ON Semiconductor")</f>
        <v>ON Semiconductor</v>
      </c>
      <c r="C41611" s="6">
        <v>50</v>
      </c>
      <c r="D41611" s="7">
        <v>5.0599999999999996</v>
      </c>
    </row>
    <row r="41612" spans="1:5" x14ac:dyDescent="0.25">
      <c r="A41612" t="str">
        <f>HYPERLINK("https://www.773grp.com/globalSearch/LC79431KNE-E/page-1", "LC79431KNE-E")</f>
        <v>LC79431KNE-E</v>
      </c>
      <c r="B41612" s="3" t="str">
        <f>HYPERLINK("https://www.773grp.com/manufacturer/onsemi?pageNo=972", "ON Semiconductor")</f>
        <v>ON Semiconductor</v>
      </c>
      <c r="C41612" s="6">
        <v>50</v>
      </c>
      <c r="D41612" s="7">
        <v>5.0599999999999996</v>
      </c>
    </row>
    <row r="41613" spans="1:5" x14ac:dyDescent="0.25">
      <c r="A41613" t="str">
        <f>HYPERLINK("https://www.773grp.com/globalSearch/MC100EL34D/page-1", "MC100EL34D")</f>
        <v>MC100EL34D</v>
      </c>
      <c r="B41613" s="3" t="str">
        <f>HYPERLINK("https://www.773grp.com/manufacturer/onsemi?pageNo=973", "ON Semiconductor")</f>
        <v>ON Semiconductor</v>
      </c>
      <c r="C41613" s="6">
        <v>10952</v>
      </c>
      <c r="D41613" s="7">
        <v>5.0599999999999996</v>
      </c>
      <c r="E41613" t="s">
        <v>34</v>
      </c>
    </row>
    <row r="41614" spans="1:5" x14ac:dyDescent="0.25">
      <c r="A41614" t="str">
        <f>HYPERLINK("https://www.773grp.com/globalSearch/MC100EL34DR2/page-1", "MC100EL34DR2")</f>
        <v>MC100EL34DR2</v>
      </c>
      <c r="B41614" s="3" t="str">
        <f>HYPERLINK("https://www.773grp.com/manufacturer/onsemi?pageNo=974", "ON Semiconductor")</f>
        <v>ON Semiconductor</v>
      </c>
      <c r="C41614" s="6">
        <v>5000</v>
      </c>
      <c r="D41614" s="7">
        <v>5.0599999999999996</v>
      </c>
      <c r="E41614" t="s">
        <v>34</v>
      </c>
    </row>
    <row r="41615" spans="1:5" x14ac:dyDescent="0.25">
      <c r="A41615" t="str">
        <f>HYPERLINK("https://www.773grp.com/globalSearch/MC100EPT20D/page-1", "MC100EPT20D")</f>
        <v>MC100EPT20D</v>
      </c>
      <c r="B41615" s="3" t="str">
        <f>HYPERLINK("https://www.773grp.com/manufacturer/onsemi?pageNo=975", "ON Semiconductor")</f>
        <v>ON Semiconductor</v>
      </c>
      <c r="C41615" s="6">
        <v>8307</v>
      </c>
      <c r="D41615" s="7">
        <v>5.0599999999999996</v>
      </c>
      <c r="E41615" t="s">
        <v>73</v>
      </c>
    </row>
    <row r="41616" spans="1:5" x14ac:dyDescent="0.25">
      <c r="A41616" t="str">
        <f>HYPERLINK("https://www.773grp.com/globalSearch/MC100EPT20DT/page-1", "MC100EPT20DT")</f>
        <v>MC100EPT20DT</v>
      </c>
      <c r="B41616" s="3" t="str">
        <f>HYPERLINK("https://www.773grp.com/manufacturer/onsemi?pageNo=976", "ON Semiconductor")</f>
        <v>ON Semiconductor</v>
      </c>
      <c r="C41616" s="6">
        <v>31094</v>
      </c>
      <c r="D41616" s="7">
        <v>5.0599999999999996</v>
      </c>
      <c r="E41616" t="s">
        <v>73</v>
      </c>
    </row>
    <row r="41617" spans="1:5" x14ac:dyDescent="0.25">
      <c r="A41617" t="str">
        <f>HYPERLINK("https://www.773grp.com/globalSearch/MC100EPT22D/page-1", "MC100EPT22D")</f>
        <v>MC100EPT22D</v>
      </c>
      <c r="B41617" s="3" t="str">
        <f>HYPERLINK("https://www.773grp.com/manufacturer/onsemi?pageNo=977", "ON Semiconductor")</f>
        <v>ON Semiconductor</v>
      </c>
      <c r="C41617" s="6">
        <v>41737</v>
      </c>
      <c r="D41617" s="7">
        <v>5.0599999999999996</v>
      </c>
      <c r="E41617" t="s">
        <v>73</v>
      </c>
    </row>
    <row r="41618" spans="1:5" x14ac:dyDescent="0.25">
      <c r="A41618" t="str">
        <f>HYPERLINK("https://www.773grp.com/globalSearch/MC100EPT22DR2/page-1", "MC100EPT22DR2")</f>
        <v>MC100EPT22DR2</v>
      </c>
      <c r="B41618" s="3" t="str">
        <f>HYPERLINK("https://www.773grp.com/manufacturer/onsemi?pageNo=978", "ON Semiconductor")</f>
        <v>ON Semiconductor</v>
      </c>
      <c r="C41618" s="6">
        <v>289872</v>
      </c>
      <c r="D41618" s="7">
        <v>5.0599999999999996</v>
      </c>
      <c r="E41618" t="s">
        <v>73</v>
      </c>
    </row>
    <row r="41619" spans="1:5" x14ac:dyDescent="0.25">
      <c r="A41619" t="str">
        <f>HYPERLINK("https://www.773grp.com/globalSearch/MC100LVEL34D/page-1", "MC100LVEL34D")</f>
        <v>MC100LVEL34D</v>
      </c>
      <c r="B41619" s="3" t="str">
        <f>HYPERLINK("https://www.773grp.com/manufacturer/onsemi?pageNo=979", "ON Semiconductor")</f>
        <v>ON Semiconductor</v>
      </c>
      <c r="C41619" s="6">
        <v>33135</v>
      </c>
      <c r="D41619" s="7">
        <v>5.0599999999999996</v>
      </c>
      <c r="E41619" t="s">
        <v>34</v>
      </c>
    </row>
    <row r="41620" spans="1:5" x14ac:dyDescent="0.25">
      <c r="A41620" t="str">
        <f>HYPERLINK("https://www.773grp.com/globalSearch/MC100LVEL34DR2/page-1", "MC100LVEL34DR2")</f>
        <v>MC100LVEL34DR2</v>
      </c>
      <c r="B41620" s="3" t="str">
        <f>HYPERLINK("https://www.773grp.com/manufacturer/onsemi?pageNo=980", "ON Semiconductor")</f>
        <v>ON Semiconductor</v>
      </c>
      <c r="C41620" s="6">
        <v>2361</v>
      </c>
      <c r="D41620" s="7">
        <v>5.0599999999999996</v>
      </c>
      <c r="E41620" t="s">
        <v>34</v>
      </c>
    </row>
    <row r="41621" spans="1:5" x14ac:dyDescent="0.25">
      <c r="A41621" t="str">
        <f>HYPERLINK("https://www.773grp.com/globalSearch/MC100LVEL34DT/page-1", "MC100LVEL34DT")</f>
        <v>MC100LVEL34DT</v>
      </c>
      <c r="B41621" s="3" t="str">
        <f>HYPERLINK("https://www.773grp.com/manufacturer/onsemi?pageNo=981", "ON Semiconductor")</f>
        <v>ON Semiconductor</v>
      </c>
      <c r="C41621" s="6">
        <v>7638</v>
      </c>
      <c r="D41621" s="7">
        <v>5.0599999999999996</v>
      </c>
      <c r="E41621" t="s">
        <v>34</v>
      </c>
    </row>
    <row r="41622" spans="1:5" x14ac:dyDescent="0.25">
      <c r="A41622" t="str">
        <f>HYPERLINK("https://www.773grp.com/globalSearch/MC100LVEP16D/page-1", "MC100LVEP16D")</f>
        <v>MC100LVEP16D</v>
      </c>
      <c r="B41622" s="3" t="str">
        <f>HYPERLINK("https://www.773grp.com/manufacturer/onsemi?pageNo=982", "ON Semiconductor")</f>
        <v>ON Semiconductor</v>
      </c>
      <c r="C41622" s="6">
        <v>47252</v>
      </c>
      <c r="D41622" s="7">
        <v>5.0599999999999996</v>
      </c>
      <c r="E41622" t="s">
        <v>21</v>
      </c>
    </row>
    <row r="41623" spans="1:5" x14ac:dyDescent="0.25">
      <c r="A41623" t="str">
        <f>HYPERLINK("https://www.773grp.com/globalSearch/MC100LVEP16DR2/page-1", "MC100LVEP16DR2")</f>
        <v>MC100LVEP16DR2</v>
      </c>
      <c r="B41623" s="3" t="str">
        <f>HYPERLINK("https://www.773grp.com/manufacturer/onsemi?pageNo=983", "ON Semiconductor")</f>
        <v>ON Semiconductor</v>
      </c>
      <c r="C41623" s="6">
        <v>5000</v>
      </c>
      <c r="D41623" s="7">
        <v>5.0599999999999996</v>
      </c>
      <c r="E41623" t="s">
        <v>21</v>
      </c>
    </row>
    <row r="41624" spans="1:5" x14ac:dyDescent="0.25">
      <c r="A41624" t="str">
        <f>HYPERLINK("https://www.773grp.com/globalSearch/MC100LVEP16DT/page-1", "MC100LVEP16DT")</f>
        <v>MC100LVEP16DT</v>
      </c>
      <c r="B41624" s="3" t="str">
        <f>HYPERLINK("https://www.773grp.com/manufacturer/onsemi?pageNo=984", "ON Semiconductor")</f>
        <v>ON Semiconductor</v>
      </c>
      <c r="C41624" s="6">
        <v>26299</v>
      </c>
      <c r="D41624" s="7">
        <v>5.0599999999999996</v>
      </c>
      <c r="E41624" t="s">
        <v>21</v>
      </c>
    </row>
    <row r="41625" spans="1:5" x14ac:dyDescent="0.25">
      <c r="A41625" t="str">
        <f>HYPERLINK("https://www.773grp.com/globalSearch/MC100LVEP16DTR2/page-1", "MC100LVEP16DTR2")</f>
        <v>MC100LVEP16DTR2</v>
      </c>
      <c r="B41625" s="3" t="str">
        <f>HYPERLINK("https://www.773grp.com/manufacturer/onsemi?pageNo=985", "ON Semiconductor")</f>
        <v>ON Semiconductor</v>
      </c>
      <c r="C41625" s="6">
        <v>5000</v>
      </c>
      <c r="D41625" s="7">
        <v>5.0599999999999996</v>
      </c>
      <c r="E41625" t="s">
        <v>21</v>
      </c>
    </row>
    <row r="41626" spans="1:5" x14ac:dyDescent="0.25">
      <c r="A41626" t="str">
        <f>HYPERLINK("https://www.773grp.com/globalSearch/MC10EL34D/page-1", "MC10EL34D")</f>
        <v>MC10EL34D</v>
      </c>
      <c r="B41626" s="3" t="str">
        <f>HYPERLINK("https://www.773grp.com/manufacturer/onsemi?pageNo=986", "ON Semiconductor")</f>
        <v>ON Semiconductor</v>
      </c>
      <c r="C41626" s="6">
        <v>17967</v>
      </c>
      <c r="D41626" s="7">
        <v>5.0599999999999996</v>
      </c>
      <c r="E41626" t="s">
        <v>34</v>
      </c>
    </row>
    <row r="41627" spans="1:5" x14ac:dyDescent="0.25">
      <c r="A41627" t="str">
        <f>HYPERLINK("https://www.773grp.com/globalSearch/MC10EP89D/page-1", "MC10EP89D")</f>
        <v>MC10EP89D</v>
      </c>
      <c r="B41627" s="3" t="str">
        <f>HYPERLINK("https://www.773grp.com/manufacturer/onsemi?pageNo=987", "ON Semiconductor")</f>
        <v>ON Semiconductor</v>
      </c>
      <c r="C41627" s="6">
        <v>22966</v>
      </c>
      <c r="D41627" s="7">
        <v>5.0599999999999996</v>
      </c>
      <c r="E41627" t="s">
        <v>21</v>
      </c>
    </row>
    <row r="41628" spans="1:5" x14ac:dyDescent="0.25">
      <c r="A41628" t="str">
        <f>HYPERLINK("https://www.773grp.com/globalSearch/MC10EPT20D/page-1", "MC10EPT20D")</f>
        <v>MC10EPT20D</v>
      </c>
      <c r="B41628" s="3" t="str">
        <f>HYPERLINK("https://www.773grp.com/manufacturer/onsemi?pageNo=988", "ON Semiconductor")</f>
        <v>ON Semiconductor</v>
      </c>
      <c r="C41628" s="6">
        <v>26630</v>
      </c>
      <c r="D41628" s="7">
        <v>5.0599999999999996</v>
      </c>
      <c r="E41628" t="s">
        <v>73</v>
      </c>
    </row>
    <row r="41629" spans="1:5" x14ac:dyDescent="0.25">
      <c r="A41629" t="str">
        <f>HYPERLINK("https://www.773grp.com/globalSearch/MC10EPT20DR2/page-1", "MC10EPT20DR2")</f>
        <v>MC10EPT20DR2</v>
      </c>
      <c r="B41629" s="3" t="str">
        <f>HYPERLINK("https://www.773grp.com/manufacturer/onsemi?pageNo=989", "ON Semiconductor")</f>
        <v>ON Semiconductor</v>
      </c>
      <c r="C41629" s="6">
        <v>2500</v>
      </c>
      <c r="D41629" s="7">
        <v>5.0599999999999996</v>
      </c>
      <c r="E41629" t="s">
        <v>73</v>
      </c>
    </row>
    <row r="41630" spans="1:5" x14ac:dyDescent="0.25">
      <c r="A41630" t="str">
        <f>HYPERLINK("https://www.773grp.com/globalSearch/MC10EPT20DT/page-1", "MC10EPT20DT")</f>
        <v>MC10EPT20DT</v>
      </c>
      <c r="B41630" s="3" t="str">
        <f>HYPERLINK("https://www.773grp.com/manufacturer/onsemi?pageNo=990", "ON Semiconductor")</f>
        <v>ON Semiconductor</v>
      </c>
      <c r="C41630" s="6">
        <v>12937</v>
      </c>
      <c r="D41630" s="7">
        <v>5.0599999999999996</v>
      </c>
      <c r="E41630" t="s">
        <v>73</v>
      </c>
    </row>
    <row r="41631" spans="1:5" x14ac:dyDescent="0.25">
      <c r="A41631" t="str">
        <f>HYPERLINK("https://www.773grp.com/globalSearch/MC10LVEP16D/page-1", "MC10LVEP16D")</f>
        <v>MC10LVEP16D</v>
      </c>
      <c r="B41631" s="3" t="str">
        <f>HYPERLINK("https://www.773grp.com/manufacturer/onsemi?pageNo=991", "ON Semiconductor")</f>
        <v>ON Semiconductor</v>
      </c>
      <c r="C41631" s="6">
        <v>14479</v>
      </c>
      <c r="D41631" s="7">
        <v>5.0599999999999996</v>
      </c>
      <c r="E41631" t="s">
        <v>21</v>
      </c>
    </row>
    <row r="41632" spans="1:5" x14ac:dyDescent="0.25">
      <c r="A41632" t="str">
        <f>HYPERLINK("https://www.773grp.com/globalSearch/MJ11029/page-1", "MJ11029")</f>
        <v>MJ11029</v>
      </c>
      <c r="B41632" s="3" t="str">
        <f>HYPERLINK("https://www.773grp.com/manufacturer/onsemi?pageNo=992", "ON Semiconductor")</f>
        <v>ON Semiconductor</v>
      </c>
      <c r="C41632" s="6">
        <v>439</v>
      </c>
      <c r="D41632" s="7">
        <v>5.0599999999999996</v>
      </c>
      <c r="E41632" t="s">
        <v>59</v>
      </c>
    </row>
    <row r="41633" spans="1:5" x14ac:dyDescent="0.25">
      <c r="A41633" t="str">
        <f>HYPERLINK("https://www.773grp.com/globalSearch/MJH11019G/page-1", "MJH11019G")</f>
        <v>MJH11019G</v>
      </c>
      <c r="B41633" s="3" t="str">
        <f>HYPERLINK("https://www.773grp.com/manufacturer/onsemi?pageNo=993", "ON Semiconductor")</f>
        <v>ON Semiconductor</v>
      </c>
      <c r="C41633" s="6">
        <v>149</v>
      </c>
      <c r="D41633" s="7">
        <v>5.0599999999999996</v>
      </c>
    </row>
    <row r="41634" spans="1:5" x14ac:dyDescent="0.25">
      <c r="A41634" t="str">
        <f>HYPERLINK("https://www.773grp.com/globalSearch/MJH11020/page-1", "MJH11020")</f>
        <v>MJH11020</v>
      </c>
      <c r="B41634" s="3" t="str">
        <f>HYPERLINK("https://www.773grp.com/manufacturer/onsemi?pageNo=994", "ON Semiconductor")</f>
        <v>ON Semiconductor</v>
      </c>
      <c r="C41634" s="6">
        <v>18</v>
      </c>
      <c r="D41634" s="7">
        <v>5.0599999999999996</v>
      </c>
      <c r="E41634" t="s">
        <v>59</v>
      </c>
    </row>
    <row r="41635" spans="1:5" x14ac:dyDescent="0.25">
      <c r="A41635" t="str">
        <f>HYPERLINK("https://www.773grp.com/globalSearch/MJH11020G/page-1", "MJH11020G")</f>
        <v>MJH11020G</v>
      </c>
      <c r="B41635" s="3" t="str">
        <f>HYPERLINK("https://www.773grp.com/manufacturer/onsemi?pageNo=995", "ON Semiconductor")</f>
        <v>ON Semiconductor</v>
      </c>
      <c r="C41635" s="6">
        <v>41</v>
      </c>
      <c r="D41635" s="7">
        <v>5.0599999999999996</v>
      </c>
      <c r="E41635" t="s">
        <v>59</v>
      </c>
    </row>
    <row r="41636" spans="1:5" x14ac:dyDescent="0.25">
      <c r="A41636" t="str">
        <f>HYPERLINK("https://www.773grp.com/globalSearch/MJL0281AG/page-1", "MJL0281AG")</f>
        <v>MJL0281AG</v>
      </c>
      <c r="B41636" s="3" t="str">
        <f>HYPERLINK("https://www.773grp.com/manufacturer/onsemi?pageNo=996", "ON Semiconductor")</f>
        <v>ON Semiconductor</v>
      </c>
      <c r="C41636" s="6">
        <v>367</v>
      </c>
      <c r="D41636" s="7">
        <v>5.0599999999999996</v>
      </c>
      <c r="E41636" t="s">
        <v>59</v>
      </c>
    </row>
    <row r="41637" spans="1:5" x14ac:dyDescent="0.25">
      <c r="A41637" t="str">
        <f>HYPERLINK("https://www.773grp.com/globalSearch/MJL0302A/page-1", "MJL0302A")</f>
        <v>MJL0302A</v>
      </c>
      <c r="B41637" s="3" t="str">
        <f>HYPERLINK("https://www.773grp.com/manufacturer/onsemi?pageNo=997", "ON Semiconductor")</f>
        <v>ON Semiconductor</v>
      </c>
      <c r="C41637" s="6">
        <v>755</v>
      </c>
      <c r="D41637" s="7">
        <v>5.0599999999999996</v>
      </c>
      <c r="E41637" t="s">
        <v>59</v>
      </c>
    </row>
    <row r="41638" spans="1:5" x14ac:dyDescent="0.25">
      <c r="A41638" t="str">
        <f>HYPERLINK("https://www.773grp.com/globalSearch/MJL0302AG/page-1", "MJL0302AG")</f>
        <v>MJL0302AG</v>
      </c>
      <c r="B41638" s="3" t="str">
        <f>HYPERLINK("https://www.773grp.com/manufacturer/onsemi?pageNo=998", "ON Semiconductor")</f>
        <v>ON Semiconductor</v>
      </c>
      <c r="C41638" s="6">
        <v>3200</v>
      </c>
      <c r="D41638" s="7">
        <v>5.0599999999999996</v>
      </c>
      <c r="E41638" t="s">
        <v>59</v>
      </c>
    </row>
    <row r="41639" spans="1:5" x14ac:dyDescent="0.25">
      <c r="A41639" t="str">
        <f>HYPERLINK("https://www.773grp.com/globalSearch/MJL21193/page-1", "MJL21193")</f>
        <v>MJL21193</v>
      </c>
      <c r="B41639" s="3" t="str">
        <f>HYPERLINK("https://www.773grp.com/manufacturer/onsemi?pageNo=999", "ON Semiconductor")</f>
        <v>ON Semiconductor</v>
      </c>
      <c r="C41639" s="6">
        <v>16267</v>
      </c>
      <c r="D41639" s="7">
        <v>5.0599999999999996</v>
      </c>
      <c r="E41639" t="s">
        <v>59</v>
      </c>
    </row>
    <row r="41640" spans="1:5" x14ac:dyDescent="0.25">
      <c r="A41640" t="str">
        <f>HYPERLINK("https://www.773grp.com/globalSearch/MJL21193G/page-1", "MJL21193G")</f>
        <v>MJL21193G</v>
      </c>
      <c r="B41640" s="3" t="str">
        <f>HYPERLINK("https://www.773grp.com/manufacturer/onsemi?pageNo=1000", "ON Semiconductor")</f>
        <v>ON Semiconductor</v>
      </c>
      <c r="C41640" s="6">
        <v>20996</v>
      </c>
      <c r="D41640" s="7">
        <v>5.0599999999999996</v>
      </c>
      <c r="E41640" t="s">
        <v>59</v>
      </c>
    </row>
    <row r="41641" spans="1:5" x14ac:dyDescent="0.25">
      <c r="A41641" t="str">
        <f>HYPERLINK("https://www.773grp.com/globalSearch/MJL21194/page-1", "MJL21194")</f>
        <v>MJL21194</v>
      </c>
      <c r="B41641" s="3" t="str">
        <f>HYPERLINK("https://www.773grp.com/manufacturer/onsemi?pageNo=1001", "ON Semiconductor")</f>
        <v>ON Semiconductor</v>
      </c>
      <c r="C41641" s="6">
        <v>5575</v>
      </c>
      <c r="D41641" s="7">
        <v>5.0599999999999996</v>
      </c>
      <c r="E41641" t="s">
        <v>59</v>
      </c>
    </row>
    <row r="41642" spans="1:5" x14ac:dyDescent="0.25">
      <c r="A41642" t="str">
        <f>HYPERLINK("https://www.773grp.com/globalSearch/MJL21194G/page-1", "MJL21194G")</f>
        <v>MJL21194G</v>
      </c>
      <c r="B41642" s="3" t="str">
        <f>HYPERLINK("https://www.773grp.com/manufacturer/onsemi?pageNo=1002", "ON Semiconductor")</f>
        <v>ON Semiconductor</v>
      </c>
      <c r="C41642" s="6">
        <v>20075</v>
      </c>
      <c r="D41642" s="7">
        <v>5.0599999999999996</v>
      </c>
      <c r="E41642" t="s">
        <v>59</v>
      </c>
    </row>
    <row r="41643" spans="1:5" x14ac:dyDescent="0.25">
      <c r="A41643" t="str">
        <f>HYPERLINK("https://www.773grp.com/globalSearch/MUR3040PTG/page-1", "MUR3040PTG")</f>
        <v>MUR3040PTG</v>
      </c>
      <c r="B41643" s="3" t="str">
        <f>HYPERLINK("https://www.773grp.com/manufacturer/onsemi?pageNo=1003", "ON Semiconductor")</f>
        <v>ON Semiconductor</v>
      </c>
      <c r="C41643" s="6">
        <v>43235</v>
      </c>
      <c r="D41643" s="7">
        <v>5.0599999999999996</v>
      </c>
      <c r="E41643" t="s">
        <v>103</v>
      </c>
    </row>
    <row r="41644" spans="1:5" x14ac:dyDescent="0.25">
      <c r="A41644" t="str">
        <f>HYPERLINK("https://www.773grp.com/globalSearch/MUR3060PTG/page-1", "MUR3060PTG")</f>
        <v>MUR3060PTG</v>
      </c>
      <c r="B41644" s="3" t="str">
        <f>HYPERLINK("https://www.773grp.com/manufacturer/onsemi?pageNo=1004", "ON Semiconductor")</f>
        <v>ON Semiconductor</v>
      </c>
      <c r="C41644" s="6">
        <v>22199</v>
      </c>
      <c r="D41644" s="7">
        <v>5.0599999999999996</v>
      </c>
      <c r="E41644" t="s">
        <v>103</v>
      </c>
    </row>
    <row r="41645" spans="1:5" x14ac:dyDescent="0.25">
      <c r="A41645" t="str">
        <f>HYPERLINK("https://www.773grp.com/globalSearch/MUR3060WTG/page-1", "MUR3060WTG")</f>
        <v>MUR3060WTG</v>
      </c>
      <c r="B41645" s="3" t="str">
        <f>HYPERLINK("https://www.773grp.com/manufacturer/onsemi?pageNo=1005", "ON Semiconductor")</f>
        <v>ON Semiconductor</v>
      </c>
      <c r="C41645" s="6">
        <v>610</v>
      </c>
      <c r="D41645" s="7">
        <v>5.0599999999999996</v>
      </c>
      <c r="E41645" t="s">
        <v>103</v>
      </c>
    </row>
    <row r="41646" spans="1:5" x14ac:dyDescent="0.25">
      <c r="A41646" t="str">
        <f>HYPERLINK("https://www.773grp.com/globalSearch/NB3N511DG/page-1", "NB3N511DG")</f>
        <v>NB3N511DG</v>
      </c>
      <c r="B41646" s="3" t="str">
        <f>HYPERLINK("https://www.773grp.com/manufacturer/onsemi?pageNo=1006", "ON Semiconductor")</f>
        <v>ON Semiconductor</v>
      </c>
      <c r="C41646" s="6">
        <v>98</v>
      </c>
      <c r="D41646" s="7">
        <v>5.0599999999999996</v>
      </c>
    </row>
    <row r="41647" spans="1:5" x14ac:dyDescent="0.25">
      <c r="A41647" t="str">
        <f>HYPERLINK("https://www.773grp.com/globalSearch/NB3N511DR2G/page-1", "NB3N511DR2G")</f>
        <v>NB3N511DR2G</v>
      </c>
      <c r="B41647" s="3" t="str">
        <f>HYPERLINK("https://www.773grp.com/manufacturer/onsemi?pageNo=1007", "ON Semiconductor")</f>
        <v>ON Semiconductor</v>
      </c>
      <c r="C41647" s="6">
        <v>2500</v>
      </c>
      <c r="D41647" s="7">
        <v>5.0599999999999996</v>
      </c>
    </row>
    <row r="41648" spans="1:5" x14ac:dyDescent="0.25">
      <c r="A41648" t="str">
        <f>HYPERLINK("https://www.773grp.com/globalSearch/NB3N5573DTG/page-1", "NB3N5573DTG")</f>
        <v>NB3N5573DTG</v>
      </c>
      <c r="B41648" s="3" t="str">
        <f>HYPERLINK("https://www.773grp.com/manufacturer/onsemi?pageNo=1008", "ON Semiconductor")</f>
        <v>ON Semiconductor</v>
      </c>
      <c r="C41648" s="6">
        <v>675</v>
      </c>
      <c r="D41648" s="7">
        <v>5.0599999999999996</v>
      </c>
      <c r="E41648" t="s">
        <v>79</v>
      </c>
    </row>
    <row r="41649" spans="1:5" x14ac:dyDescent="0.25">
      <c r="A41649" t="str">
        <f>HYPERLINK("https://www.773grp.com/globalSearch/NB3N65027DTR2G/page-1", "NB3N65027DTR2G")</f>
        <v>NB3N65027DTR2G</v>
      </c>
      <c r="B41649" s="3" t="str">
        <f>HYPERLINK("https://www.773grp.com/manufacturer/onsemi?pageNo=1009", "ON Semiconductor")</f>
        <v>ON Semiconductor</v>
      </c>
      <c r="C41649" s="6">
        <v>2500</v>
      </c>
      <c r="D41649" s="7">
        <v>5.0599999999999996</v>
      </c>
    </row>
    <row r="41650" spans="1:5" x14ac:dyDescent="0.25">
      <c r="A41650" t="str">
        <f>HYPERLINK("https://www.773grp.com/globalSearch/NCV8509PDW25R2/page-1", "NCV8509PDW25R2")</f>
        <v>NCV8509PDW25R2</v>
      </c>
      <c r="B41650" s="3" t="str">
        <f>HYPERLINK("https://www.773grp.com/manufacturer/onsemi?pageNo=1010", "ON Semiconductor")</f>
        <v>ON Semiconductor</v>
      </c>
      <c r="C41650" s="6">
        <v>1659</v>
      </c>
      <c r="D41650" s="7">
        <v>5.0599999999999996</v>
      </c>
      <c r="E41650" t="s">
        <v>117</v>
      </c>
    </row>
    <row r="41651" spans="1:5" x14ac:dyDescent="0.25">
      <c r="A41651" t="str">
        <f>HYPERLINK("https://www.773grp.com/globalSearch/NJL1302DG/page-1", "NJL1302DG")</f>
        <v>NJL1302DG</v>
      </c>
      <c r="B41651" s="3" t="str">
        <f>HYPERLINK("https://www.773grp.com/manufacturer/onsemi?pageNo=1011", "ON Semiconductor")</f>
        <v>ON Semiconductor</v>
      </c>
      <c r="C41651" s="6">
        <v>2</v>
      </c>
      <c r="D41651" s="7">
        <v>5.0599999999999996</v>
      </c>
    </row>
    <row r="41652" spans="1:5" x14ac:dyDescent="0.25">
      <c r="A41652" t="str">
        <f>HYPERLINK("https://www.773grp.com/globalSearch/NJL3281DG/page-1", "NJL3281DG")</f>
        <v>NJL3281DG</v>
      </c>
      <c r="B41652" s="3" t="str">
        <f>HYPERLINK("https://www.773grp.com/manufacturer/onsemi?pageNo=1012", "ON Semiconductor")</f>
        <v>ON Semiconductor</v>
      </c>
      <c r="C41652" s="6">
        <v>14</v>
      </c>
      <c r="D41652" s="7">
        <v>5.0599999999999996</v>
      </c>
      <c r="E41652" t="s">
        <v>59</v>
      </c>
    </row>
    <row r="41653" spans="1:5" x14ac:dyDescent="0.25">
      <c r="A41653" t="str">
        <f>HYPERLINK("https://www.773grp.com/globalSearch/SA571DR2/page-1", "SA571DR2")</f>
        <v>SA571DR2</v>
      </c>
      <c r="B41653" s="3" t="str">
        <f>HYPERLINK("https://www.773grp.com/manufacturer/onsemi?pageNo=1013", "ON Semiconductor")</f>
        <v>ON Semiconductor</v>
      </c>
      <c r="C41653" s="6">
        <v>2483</v>
      </c>
      <c r="D41653" s="7">
        <v>5.0599999999999996</v>
      </c>
      <c r="E41653" t="s">
        <v>118</v>
      </c>
    </row>
    <row r="41654" spans="1:5" x14ac:dyDescent="0.25">
      <c r="A41654" t="str">
        <f>HYPERLINK("https://www.773grp.com/globalSearch/SA575N/page-1", "SA575N")</f>
        <v>SA575N</v>
      </c>
      <c r="B41654" s="3" t="str">
        <f>HYPERLINK("https://www.773grp.com/manufacturer/onsemi?pageNo=1014", "ON Semiconductor")</f>
        <v>ON Semiconductor</v>
      </c>
      <c r="C41654" s="6">
        <v>1086</v>
      </c>
      <c r="D41654" s="7">
        <v>5.0599999999999996</v>
      </c>
      <c r="E41654" t="s">
        <v>67</v>
      </c>
    </row>
    <row r="41655" spans="1:5" x14ac:dyDescent="0.25">
      <c r="A41655" t="str">
        <f>HYPERLINK("https://www.773grp.com/globalSearch/LB1847-E/page-1", "LB1847-E")</f>
        <v>LB1847-E</v>
      </c>
      <c r="B41655" s="3" t="str">
        <f>HYPERLINK("https://www.773grp.com/manufacturer/onsemi?pageNo=1015", "ON Semiconductor")</f>
        <v>ON Semiconductor</v>
      </c>
      <c r="C41655" s="6">
        <v>142</v>
      </c>
      <c r="D41655" s="7">
        <v>5.0999999999999996</v>
      </c>
    </row>
    <row r="41656" spans="1:5" x14ac:dyDescent="0.25">
      <c r="A41656" t="str">
        <f>HYPERLINK("https://www.773grp.com/globalSearch/MC10180L/page-1", "MC10180L")</f>
        <v>MC10180L</v>
      </c>
      <c r="B41656" s="3" t="str">
        <f>HYPERLINK("https://www.773grp.com/manufacturer/onsemi?pageNo=1016", "ON Semiconductor")</f>
        <v>ON Semiconductor</v>
      </c>
      <c r="C41656" s="6">
        <v>848</v>
      </c>
      <c r="D41656" s="7">
        <v>5.0999999999999996</v>
      </c>
      <c r="E41656" t="s">
        <v>43</v>
      </c>
    </row>
    <row r="41657" spans="1:5" x14ac:dyDescent="0.25">
      <c r="A41657" t="str">
        <f>HYPERLINK("https://www.773grp.com/globalSearch/MC100EL38DW/page-1", "MC100EL38DW")</f>
        <v>MC100EL38DW</v>
      </c>
      <c r="B41657" s="3" t="str">
        <f>HYPERLINK("https://www.773grp.com/manufacturer/onsemi?pageNo=1017", "ON Semiconductor")</f>
        <v>ON Semiconductor</v>
      </c>
      <c r="C41657" s="6">
        <v>12880</v>
      </c>
      <c r="D41657" s="7">
        <v>5.1100000000000003</v>
      </c>
      <c r="E41657" t="s">
        <v>34</v>
      </c>
    </row>
    <row r="41658" spans="1:5" x14ac:dyDescent="0.25">
      <c r="A41658" t="str">
        <f>HYPERLINK("https://www.773grp.com/globalSearch/MC100EL38DWG/page-1", "MC100EL38DWG")</f>
        <v>MC100EL38DWG</v>
      </c>
      <c r="B41658" s="3" t="str">
        <f>HYPERLINK("https://www.773grp.com/manufacturer/onsemi?pageNo=1018", "ON Semiconductor")</f>
        <v>ON Semiconductor</v>
      </c>
      <c r="C41658" s="6">
        <v>1788</v>
      </c>
      <c r="D41658" s="7">
        <v>5.1100000000000003</v>
      </c>
      <c r="E41658" t="s">
        <v>34</v>
      </c>
    </row>
    <row r="41659" spans="1:5" x14ac:dyDescent="0.25">
      <c r="A41659" t="str">
        <f>HYPERLINK("https://www.773grp.com/globalSearch/MC100EL38DWR2/page-1", "MC100EL38DWR2")</f>
        <v>MC100EL38DWR2</v>
      </c>
      <c r="B41659" s="3" t="str">
        <f>HYPERLINK("https://www.773grp.com/manufacturer/onsemi?pageNo=1019", "ON Semiconductor")</f>
        <v>ON Semiconductor</v>
      </c>
      <c r="C41659" s="6">
        <v>4000</v>
      </c>
      <c r="D41659" s="7">
        <v>5.1100000000000003</v>
      </c>
      <c r="E41659" t="s">
        <v>34</v>
      </c>
    </row>
    <row r="41660" spans="1:5" x14ac:dyDescent="0.25">
      <c r="A41660" t="str">
        <f>HYPERLINK("https://www.773grp.com/globalSearch/MC100LVEL38DW/page-1", "MC100LVEL38DW")</f>
        <v>MC100LVEL38DW</v>
      </c>
      <c r="B41660" s="3" t="str">
        <f>HYPERLINK("https://www.773grp.com/manufacturer/onsemi?pageNo=1020", "ON Semiconductor")</f>
        <v>ON Semiconductor</v>
      </c>
      <c r="C41660" s="6">
        <v>2379</v>
      </c>
      <c r="D41660" s="7">
        <v>5.1100000000000003</v>
      </c>
      <c r="E41660" t="s">
        <v>34</v>
      </c>
    </row>
    <row r="41661" spans="1:5" x14ac:dyDescent="0.25">
      <c r="A41661" t="str">
        <f>HYPERLINK("https://www.773grp.com/globalSearch/MC14490FL1/page-1", "MC14490FL1")</f>
        <v>MC14490FL1</v>
      </c>
      <c r="B41661" s="3" t="str">
        <f>HYPERLINK("https://www.773grp.com/manufacturer/onsemi?pageNo=1021", "ON Semiconductor")</f>
        <v>ON Semiconductor</v>
      </c>
      <c r="C41661" s="6">
        <v>1000</v>
      </c>
      <c r="D41661" s="7">
        <v>5.1100000000000003</v>
      </c>
      <c r="E41661" t="s">
        <v>32</v>
      </c>
    </row>
    <row r="41662" spans="1:5" x14ac:dyDescent="0.25">
      <c r="A41662" t="str">
        <f>HYPERLINK("https://www.773grp.com/globalSearch/MC14490FR1/page-1", "MC14490FR1")</f>
        <v>MC14490FR1</v>
      </c>
      <c r="B41662" s="3" t="str">
        <f>HYPERLINK("https://www.773grp.com/manufacturer/onsemi?pageNo=1022", "ON Semiconductor")</f>
        <v>ON Semiconductor</v>
      </c>
      <c r="C41662" s="6">
        <v>2975</v>
      </c>
      <c r="D41662" s="7">
        <v>5.1100000000000003</v>
      </c>
      <c r="E41662" t="s">
        <v>32</v>
      </c>
    </row>
    <row r="41663" spans="1:5" x14ac:dyDescent="0.25">
      <c r="A41663" t="str">
        <f>HYPERLINK("https://www.773grp.com/globalSearch/MC33025DWG/page-1", "MC33025DWG")</f>
        <v>MC33025DWG</v>
      </c>
      <c r="B41663" s="3" t="str">
        <f>HYPERLINK("https://www.773grp.com/manufacturer/onsemi?pageNo=1023", "ON Semiconductor")</f>
        <v>ON Semiconductor</v>
      </c>
      <c r="C41663" s="6">
        <v>156</v>
      </c>
      <c r="D41663" s="7">
        <v>5.1100000000000003</v>
      </c>
      <c r="E41663" t="s">
        <v>7</v>
      </c>
    </row>
    <row r="41664" spans="1:5" x14ac:dyDescent="0.25">
      <c r="A41664" t="str">
        <f>HYPERLINK("https://www.773grp.com/globalSearch/MC33025PG/page-1", "MC33025PG")</f>
        <v>MC33025PG</v>
      </c>
      <c r="B41664" s="3" t="str">
        <f>HYPERLINK("https://www.773grp.com/manufacturer/onsemi?pageNo=1024", "ON Semiconductor")</f>
        <v>ON Semiconductor</v>
      </c>
      <c r="C41664" s="6">
        <v>600</v>
      </c>
      <c r="D41664" s="7">
        <v>5.1100000000000003</v>
      </c>
    </row>
    <row r="41665" spans="1:5" x14ac:dyDescent="0.25">
      <c r="A41665" t="str">
        <f>HYPERLINK("https://www.773grp.com/globalSearch/MJH10012/page-1", "MJH10012")</f>
        <v>MJH10012</v>
      </c>
      <c r="B41665" s="3" t="str">
        <f>HYPERLINK("https://www.773grp.com/manufacturer/onsemi?pageNo=1025", "ON Semiconductor")</f>
        <v>ON Semiconductor</v>
      </c>
      <c r="C41665" s="6">
        <v>11693</v>
      </c>
      <c r="D41665" s="7">
        <v>5.1100000000000003</v>
      </c>
      <c r="E41665" t="s">
        <v>59</v>
      </c>
    </row>
    <row r="41666" spans="1:5" x14ac:dyDescent="0.25">
      <c r="A41666" t="str">
        <f>HYPERLINK("https://www.773grp.com/globalSearch/NCP1592PAR2G/page-1", "NCP1592PAR2G")</f>
        <v>NCP1592PAR2G</v>
      </c>
      <c r="B41666" s="3" t="str">
        <f>HYPERLINK("https://www.773grp.com/manufacturer/onsemi?pageNo=1026", "ON Semiconductor")</f>
        <v>ON Semiconductor</v>
      </c>
      <c r="C41666" s="6">
        <v>2500</v>
      </c>
      <c r="D41666" s="7">
        <v>5.1100000000000003</v>
      </c>
    </row>
    <row r="41667" spans="1:5" x14ac:dyDescent="0.25">
      <c r="A41667" t="str">
        <f>HYPERLINK("https://www.773grp.com/globalSearch/NCP1651DR2G/page-1", "NCP1651DR2G")</f>
        <v>NCP1651DR2G</v>
      </c>
      <c r="B41667" s="3" t="str">
        <f>HYPERLINK("https://www.773grp.com/manufacturer/onsemi?pageNo=1027", "ON Semiconductor")</f>
        <v>ON Semiconductor</v>
      </c>
      <c r="C41667" s="6">
        <v>101814</v>
      </c>
      <c r="D41667" s="7">
        <v>5.1100000000000003</v>
      </c>
      <c r="E41667" t="s">
        <v>7</v>
      </c>
    </row>
    <row r="41668" spans="1:5" x14ac:dyDescent="0.25">
      <c r="A41668" t="str">
        <f>HYPERLINK("https://www.773grp.com/globalSearch/NGTB25N120FLWG/page-1", "NGTB25N120FLWG")</f>
        <v>NGTB25N120FLWG</v>
      </c>
      <c r="B41668" s="3" t="str">
        <f>HYPERLINK("https://www.773grp.com/manufacturer/onsemi?pageNo=1028", "ON Semiconductor")</f>
        <v>ON Semiconductor</v>
      </c>
      <c r="C41668" s="6">
        <v>150</v>
      </c>
      <c r="D41668" s="7">
        <v>5.1100000000000003</v>
      </c>
    </row>
    <row r="41669" spans="1:5" x14ac:dyDescent="0.25">
      <c r="A41669" t="str">
        <f>HYPERLINK("https://www.773grp.com/globalSearch/LB11847-E/page-1", "LB11847-E")</f>
        <v>LB11847-E</v>
      </c>
      <c r="B41669" s="3" t="str">
        <f>HYPERLINK("https://www.773grp.com/manufacturer/onsemi?pageNo=1029", "ON Semiconductor")</f>
        <v>ON Semiconductor</v>
      </c>
      <c r="C41669" s="6">
        <v>164</v>
      </c>
      <c r="D41669" s="7">
        <v>5.15</v>
      </c>
    </row>
    <row r="41670" spans="1:5" x14ac:dyDescent="0.25">
      <c r="A41670" t="str">
        <f>HYPERLINK("https://www.773grp.com/globalSearch/MC10H123PG/page-1", "MC10H123PG")</f>
        <v>MC10H123PG</v>
      </c>
      <c r="B41670" s="3" t="str">
        <f>HYPERLINK("https://www.773grp.com/manufacturer/onsemi?pageNo=1030", "ON Semiconductor")</f>
        <v>ON Semiconductor</v>
      </c>
      <c r="C41670" s="6">
        <v>3390</v>
      </c>
      <c r="D41670" s="7">
        <v>5.18</v>
      </c>
      <c r="E41670" t="s">
        <v>14</v>
      </c>
    </row>
    <row r="41671" spans="1:5" x14ac:dyDescent="0.25">
      <c r="A41671" t="str">
        <f>HYPERLINK("https://www.773grp.com/globalSearch/NE521NG/page-1", "NE521NG")</f>
        <v>NE521NG</v>
      </c>
      <c r="B41671" s="3" t="str">
        <f>HYPERLINK("https://www.773grp.com/manufacturer/onsemi?pageNo=1031", "ON Semiconductor")</f>
        <v>ON Semiconductor</v>
      </c>
      <c r="C41671" s="6">
        <v>2614</v>
      </c>
      <c r="D41671" s="7">
        <v>5.2</v>
      </c>
      <c r="E41671" t="s">
        <v>9</v>
      </c>
    </row>
    <row r="41672" spans="1:5" x14ac:dyDescent="0.25">
      <c r="A41672" t="str">
        <f>HYPERLINK("https://www.773grp.com/globalSearch/NGTB30N60FWG/page-1", "NGTB30N60FWG")</f>
        <v>NGTB30N60FWG</v>
      </c>
      <c r="B41672" s="3" t="str">
        <f>HYPERLINK("https://www.773grp.com/manufacturer/onsemi?pageNo=1032", "ON Semiconductor")</f>
        <v>ON Semiconductor</v>
      </c>
      <c r="C41672" s="6">
        <v>60</v>
      </c>
      <c r="D41672" s="7">
        <v>5.2</v>
      </c>
    </row>
    <row r="41673" spans="1:5" x14ac:dyDescent="0.25">
      <c r="A41673" t="str">
        <f>HYPERLINK("https://www.773grp.com/globalSearch/JDX5008/page-1", "JDX5008")</f>
        <v>JDX5008</v>
      </c>
      <c r="B41673" s="3" t="str">
        <f>HYPERLINK("https://www.773grp.com/manufacturer/onsemi?pageNo=1033", "ON Semiconductor")</f>
        <v>ON Semiconductor</v>
      </c>
      <c r="C41673" s="6">
        <v>3424</v>
      </c>
      <c r="D41673" s="7">
        <v>5.24</v>
      </c>
    </row>
    <row r="41674" spans="1:5" x14ac:dyDescent="0.25">
      <c r="A41674" t="str">
        <f>HYPERLINK("https://www.773grp.com/globalSearch/MC10H124L/page-1", "MC10H124L")</f>
        <v>MC10H124L</v>
      </c>
      <c r="B41674" s="3" t="str">
        <f>HYPERLINK("https://www.773grp.com/manufacturer/onsemi?pageNo=1034", "ON Semiconductor")</f>
        <v>ON Semiconductor</v>
      </c>
      <c r="C41674" s="6">
        <v>259</v>
      </c>
      <c r="D41674" s="7">
        <v>5.29</v>
      </c>
      <c r="E41674" t="s">
        <v>73</v>
      </c>
    </row>
    <row r="41675" spans="1:5" x14ac:dyDescent="0.25">
      <c r="A41675" t="str">
        <f>HYPERLINK("https://www.773grp.com/globalSearch/MC1658D/page-1", "MC1658D")</f>
        <v>MC1658D</v>
      </c>
      <c r="B41675" s="3" t="str">
        <f>HYPERLINK("https://www.773grp.com/manufacturer/onsemi?pageNo=1035", "ON Semiconductor")</f>
        <v>ON Semiconductor</v>
      </c>
      <c r="C41675" s="6">
        <v>5798</v>
      </c>
      <c r="D41675" s="7">
        <v>5.29</v>
      </c>
      <c r="E41675" t="s">
        <v>40</v>
      </c>
    </row>
    <row r="41676" spans="1:5" x14ac:dyDescent="0.25">
      <c r="A41676" t="str">
        <f>HYPERLINK("https://www.773grp.com/globalSearch/MC1658FN/page-1", "MC1658FN")</f>
        <v>MC1658FN</v>
      </c>
      <c r="B41676" s="3" t="str">
        <f>HYPERLINK("https://www.773grp.com/manufacturer/onsemi?pageNo=1036", "ON Semiconductor")</f>
        <v>ON Semiconductor</v>
      </c>
      <c r="C41676" s="6">
        <v>4457</v>
      </c>
      <c r="D41676" s="7">
        <v>5.29</v>
      </c>
      <c r="E41676" t="s">
        <v>40</v>
      </c>
    </row>
    <row r="41677" spans="1:5" x14ac:dyDescent="0.25">
      <c r="A41677" t="str">
        <f>HYPERLINK("https://www.773grp.com/globalSearch/MC1658M/page-1", "MC1658M")</f>
        <v>MC1658M</v>
      </c>
      <c r="B41677" s="3" t="str">
        <f>HYPERLINK("https://www.773grp.com/manufacturer/onsemi?pageNo=1037", "ON Semiconductor")</f>
        <v>ON Semiconductor</v>
      </c>
      <c r="C41677" s="6">
        <v>180</v>
      </c>
      <c r="D41677" s="7">
        <v>5.29</v>
      </c>
    </row>
    <row r="41678" spans="1:5" x14ac:dyDescent="0.25">
      <c r="A41678" t="str">
        <f>HYPERLINK("https://www.773grp.com/globalSearch/MC1658ML1/page-1", "MC1658ML1")</f>
        <v>MC1658ML1</v>
      </c>
      <c r="B41678" s="3" t="str">
        <f>HYPERLINK("https://www.773grp.com/manufacturer/onsemi?pageNo=1038", "ON Semiconductor")</f>
        <v>ON Semiconductor</v>
      </c>
      <c r="C41678" s="6">
        <v>3000</v>
      </c>
      <c r="D41678" s="7">
        <v>5.29</v>
      </c>
    </row>
    <row r="41679" spans="1:5" x14ac:dyDescent="0.25">
      <c r="A41679" t="str">
        <f>HYPERLINK("https://www.773grp.com/globalSearch/MGW12N120D/page-1", "MGW12N120D")</f>
        <v>MGW12N120D</v>
      </c>
      <c r="B41679" s="3" t="str">
        <f>HYPERLINK("https://www.773grp.com/manufacturer/onsemi?pageNo=1039", "ON Semiconductor")</f>
        <v>ON Semiconductor</v>
      </c>
      <c r="C41679" s="6">
        <v>540</v>
      </c>
      <c r="D41679" s="7">
        <v>5.29</v>
      </c>
      <c r="E41679" t="s">
        <v>115</v>
      </c>
    </row>
    <row r="41680" spans="1:5" x14ac:dyDescent="0.25">
      <c r="A41680" t="str">
        <f>HYPERLINK("https://www.773grp.com/globalSearch/ADT7486AARMZ-R7/page-1", "ADT7486AARMZ-R7")</f>
        <v>ADT7486AARMZ-R7</v>
      </c>
      <c r="B41680" s="3" t="str">
        <f>HYPERLINK("https://www.773grp.com/manufacturer/onsemi?pageNo=1040", "ON Semiconductor")</f>
        <v>ON Semiconductor</v>
      </c>
      <c r="C41680" s="6">
        <v>1000</v>
      </c>
      <c r="D41680" s="7">
        <v>5.35</v>
      </c>
      <c r="E41680" t="s">
        <v>12</v>
      </c>
    </row>
    <row r="41681" spans="1:5" x14ac:dyDescent="0.25">
      <c r="A41681" t="str">
        <f>HYPERLINK("https://www.773grp.com/globalSearch/CS8190EDWF20G/page-1", "CS8190EDWF20G")</f>
        <v>CS8190EDWF20G</v>
      </c>
      <c r="B41681" s="3" t="str">
        <f>HYPERLINK("https://www.773grp.com/manufacturer/onsemi?pageNo=1041", "ON Semiconductor")</f>
        <v>ON Semiconductor</v>
      </c>
      <c r="C41681" s="6">
        <v>187</v>
      </c>
      <c r="D41681" s="7">
        <v>5.35</v>
      </c>
    </row>
    <row r="41682" spans="1:5" x14ac:dyDescent="0.25">
      <c r="A41682" t="str">
        <f>HYPERLINK("https://www.773grp.com/globalSearch/MC100ELT21DR2/page-1", "MC100ELT21DR2")</f>
        <v>MC100ELT21DR2</v>
      </c>
      <c r="B41682" s="3" t="str">
        <f>HYPERLINK("https://www.773grp.com/manufacturer/onsemi?pageNo=1042", "ON Semiconductor")</f>
        <v>ON Semiconductor</v>
      </c>
      <c r="C41682" s="6">
        <v>3905</v>
      </c>
      <c r="D41682" s="7">
        <v>5.35</v>
      </c>
      <c r="E41682" t="s">
        <v>73</v>
      </c>
    </row>
    <row r="41683" spans="1:5" x14ac:dyDescent="0.25">
      <c r="A41683" t="str">
        <f>HYPERLINK("https://www.773grp.com/globalSearch/MC100ELT22DT/page-1", "MC100ELT22DT")</f>
        <v>MC100ELT22DT</v>
      </c>
      <c r="B41683" s="3" t="str">
        <f>HYPERLINK("https://www.773grp.com/manufacturer/onsemi?pageNo=1043", "ON Semiconductor")</f>
        <v>ON Semiconductor</v>
      </c>
      <c r="C41683" s="6">
        <v>2773</v>
      </c>
      <c r="D41683" s="7">
        <v>5.35</v>
      </c>
      <c r="E41683" t="s">
        <v>73</v>
      </c>
    </row>
    <row r="41684" spans="1:5" x14ac:dyDescent="0.25">
      <c r="A41684" t="str">
        <f>HYPERLINK("https://www.773grp.com/globalSearch/MC100ELT23D/page-1", "MC100ELT23D")</f>
        <v>MC100ELT23D</v>
      </c>
      <c r="B41684" s="3" t="str">
        <f>HYPERLINK("https://www.773grp.com/manufacturer/onsemi?pageNo=1044", "ON Semiconductor")</f>
        <v>ON Semiconductor</v>
      </c>
      <c r="C41684" s="6">
        <v>3902</v>
      </c>
      <c r="D41684" s="7">
        <v>5.35</v>
      </c>
    </row>
    <row r="41685" spans="1:5" x14ac:dyDescent="0.25">
      <c r="A41685" t="str">
        <f>HYPERLINK("https://www.773grp.com/globalSearch/MC100ELT23DR2/page-1", "MC100ELT23DR2")</f>
        <v>MC100ELT23DR2</v>
      </c>
      <c r="B41685" s="3" t="str">
        <f>HYPERLINK("https://www.773grp.com/manufacturer/onsemi?pageNo=1045", "ON Semiconductor")</f>
        <v>ON Semiconductor</v>
      </c>
      <c r="C41685" s="6">
        <v>2295</v>
      </c>
      <c r="D41685" s="7">
        <v>5.35</v>
      </c>
    </row>
    <row r="41686" spans="1:5" x14ac:dyDescent="0.25">
      <c r="A41686" t="str">
        <f>HYPERLINK("https://www.773grp.com/globalSearch/MC100LVELT23DR2/page-1", "MC100LVELT23DR2")</f>
        <v>MC100LVELT23DR2</v>
      </c>
      <c r="B41686" s="3" t="str">
        <f>HYPERLINK("https://www.773grp.com/manufacturer/onsemi?pageNo=1046", "ON Semiconductor")</f>
        <v>ON Semiconductor</v>
      </c>
      <c r="C41686" s="6">
        <v>16112</v>
      </c>
      <c r="D41686" s="7">
        <v>5.35</v>
      </c>
    </row>
    <row r="41687" spans="1:5" x14ac:dyDescent="0.25">
      <c r="A41687" t="str">
        <f>HYPERLINK("https://www.773grp.com/globalSearch/MC100LVELT23DTR2/page-1", "MC100LVELT23DTR2")</f>
        <v>MC100LVELT23DTR2</v>
      </c>
      <c r="B41687" s="3" t="str">
        <f>HYPERLINK("https://www.773grp.com/manufacturer/onsemi?pageNo=1047", "ON Semiconductor")</f>
        <v>ON Semiconductor</v>
      </c>
      <c r="C41687" s="6">
        <v>22390</v>
      </c>
      <c r="D41687" s="7">
        <v>5.35</v>
      </c>
      <c r="E41687" t="s">
        <v>73</v>
      </c>
    </row>
    <row r="41688" spans="1:5" x14ac:dyDescent="0.25">
      <c r="A41688" t="str">
        <f>HYPERLINK("https://www.773grp.com/globalSearch/MC10197FN/page-1", "MC10197FN")</f>
        <v>MC10197FN</v>
      </c>
      <c r="B41688" s="3" t="str">
        <f>HYPERLINK("https://www.773grp.com/manufacturer/onsemi?pageNo=1048", "ON Semiconductor")</f>
        <v>ON Semiconductor</v>
      </c>
      <c r="C41688" s="6">
        <v>1702</v>
      </c>
      <c r="D41688" s="7">
        <v>5.35</v>
      </c>
      <c r="E41688" t="s">
        <v>31</v>
      </c>
    </row>
    <row r="41689" spans="1:5" x14ac:dyDescent="0.25">
      <c r="A41689" t="str">
        <f>HYPERLINK("https://www.773grp.com/globalSearch/MC10ELT22D/page-1", "MC10ELT22D")</f>
        <v>MC10ELT22D</v>
      </c>
      <c r="B41689" s="3" t="str">
        <f>HYPERLINK("https://www.773grp.com/manufacturer/onsemi?pageNo=1049", "ON Semiconductor")</f>
        <v>ON Semiconductor</v>
      </c>
      <c r="C41689" s="6">
        <v>784</v>
      </c>
      <c r="D41689" s="7">
        <v>5.35</v>
      </c>
      <c r="E41689" t="s">
        <v>73</v>
      </c>
    </row>
    <row r="41690" spans="1:5" x14ac:dyDescent="0.25">
      <c r="A41690" t="str">
        <f>HYPERLINK("https://www.773grp.com/globalSearch/MC10ELT25D/page-1", "MC10ELT25D")</f>
        <v>MC10ELT25D</v>
      </c>
      <c r="B41690" s="3" t="str">
        <f>HYPERLINK("https://www.773grp.com/manufacturer/onsemi?pageNo=1050", "ON Semiconductor")</f>
        <v>ON Semiconductor</v>
      </c>
      <c r="C41690" s="6">
        <v>183</v>
      </c>
      <c r="D41690" s="7">
        <v>5.35</v>
      </c>
      <c r="E41690" t="s">
        <v>73</v>
      </c>
    </row>
    <row r="41691" spans="1:5" x14ac:dyDescent="0.25">
      <c r="A41691" t="str">
        <f>HYPERLINK("https://www.773grp.com/globalSearch/MC12026ADG/page-1", "MC12026ADG")</f>
        <v>MC12026ADG</v>
      </c>
      <c r="B41691" s="3" t="str">
        <f>HYPERLINK("https://www.773grp.com/manufacturer/onsemi?pageNo=1051", "ON Semiconductor")</f>
        <v>ON Semiconductor</v>
      </c>
      <c r="C41691" s="6">
        <v>7581</v>
      </c>
      <c r="D41691" s="7">
        <v>5.35</v>
      </c>
      <c r="E41691" t="s">
        <v>54</v>
      </c>
    </row>
    <row r="41692" spans="1:5" x14ac:dyDescent="0.25">
      <c r="A41692" t="str">
        <f>HYPERLINK("https://www.773grp.com/globalSearch/MC12026ADR2G/page-1", "MC12026ADR2G")</f>
        <v>MC12026ADR2G</v>
      </c>
      <c r="B41692" s="3" t="str">
        <f>HYPERLINK("https://www.773grp.com/manufacturer/onsemi?pageNo=1052", "ON Semiconductor")</f>
        <v>ON Semiconductor</v>
      </c>
      <c r="C41692" s="6">
        <v>547</v>
      </c>
      <c r="D41692" s="7">
        <v>5.35</v>
      </c>
      <c r="E41692" t="s">
        <v>54</v>
      </c>
    </row>
    <row r="41693" spans="1:5" x14ac:dyDescent="0.25">
      <c r="A41693" t="str">
        <f>HYPERLINK("https://www.773grp.com/globalSearch/MC12080DG/page-1", "MC12080DG")</f>
        <v>MC12080DG</v>
      </c>
      <c r="B41693" s="3" t="str">
        <f>HYPERLINK("https://www.773grp.com/manufacturer/onsemi?pageNo=1053", "ON Semiconductor")</f>
        <v>ON Semiconductor</v>
      </c>
      <c r="C41693" s="6">
        <v>880</v>
      </c>
      <c r="D41693" s="7">
        <v>5.35</v>
      </c>
      <c r="E41693" t="s">
        <v>54</v>
      </c>
    </row>
    <row r="41694" spans="1:5" x14ac:dyDescent="0.25">
      <c r="A41694" t="str">
        <f>HYPERLINK("https://www.773grp.com/globalSearch/MC12080DR2/page-1", "MC12080DR2")</f>
        <v>MC12080DR2</v>
      </c>
      <c r="B41694" s="3" t="str">
        <f>HYPERLINK("https://www.773grp.com/manufacturer/onsemi?pageNo=1054", "ON Semiconductor")</f>
        <v>ON Semiconductor</v>
      </c>
      <c r="C41694" s="6">
        <v>5000</v>
      </c>
      <c r="D41694" s="7">
        <v>5.35</v>
      </c>
      <c r="E41694" t="s">
        <v>54</v>
      </c>
    </row>
    <row r="41695" spans="1:5" x14ac:dyDescent="0.25">
      <c r="A41695" t="str">
        <f>HYPERLINK("https://www.773grp.com/globalSearch/MC12080DR2G/page-1", "MC12080DR2G")</f>
        <v>MC12080DR2G</v>
      </c>
      <c r="B41695" s="3" t="str">
        <f>HYPERLINK("https://www.773grp.com/manufacturer/onsemi?pageNo=1055", "ON Semiconductor")</f>
        <v>ON Semiconductor</v>
      </c>
      <c r="C41695" s="6">
        <v>4780</v>
      </c>
      <c r="D41695" s="7">
        <v>5.35</v>
      </c>
      <c r="E41695" t="s">
        <v>54</v>
      </c>
    </row>
    <row r="41696" spans="1:5" x14ac:dyDescent="0.25">
      <c r="A41696" t="str">
        <f>HYPERLINK("https://www.773grp.com/globalSearch/MC12093DG/page-1", "MC12093DG")</f>
        <v>MC12093DG</v>
      </c>
      <c r="B41696" s="3" t="str">
        <f>HYPERLINK("https://www.773grp.com/manufacturer/onsemi?pageNo=1056", "ON Semiconductor")</f>
        <v>ON Semiconductor</v>
      </c>
      <c r="C41696" s="6">
        <v>1005</v>
      </c>
      <c r="D41696" s="7">
        <v>5.35</v>
      </c>
      <c r="E41696" t="s">
        <v>54</v>
      </c>
    </row>
    <row r="41697" spans="1:5" x14ac:dyDescent="0.25">
      <c r="A41697" t="str">
        <f>HYPERLINK("https://www.773grp.com/globalSearch/MC12093DR2G/page-1", "MC12093DR2G")</f>
        <v>MC12093DR2G</v>
      </c>
      <c r="B41697" s="3" t="str">
        <f>HYPERLINK("https://www.773grp.com/manufacturer/onsemi?pageNo=1057", "ON Semiconductor")</f>
        <v>ON Semiconductor</v>
      </c>
      <c r="C41697" s="6">
        <v>4500</v>
      </c>
      <c r="D41697" s="7">
        <v>5.35</v>
      </c>
    </row>
    <row r="41698" spans="1:5" x14ac:dyDescent="0.25">
      <c r="A41698" t="str">
        <f>HYPERLINK("https://www.773grp.com/globalSearch/MC12093MNR4G/page-1", "MC12093MNR4G")</f>
        <v>MC12093MNR4G</v>
      </c>
      <c r="B41698" s="3" t="str">
        <f>HYPERLINK("https://www.773grp.com/manufacturer/onsemi?pageNo=1058", "ON Semiconductor")</f>
        <v>ON Semiconductor</v>
      </c>
      <c r="C41698" s="6">
        <v>500</v>
      </c>
      <c r="D41698" s="7">
        <v>5.35</v>
      </c>
      <c r="E41698" t="s">
        <v>54</v>
      </c>
    </row>
    <row r="41699" spans="1:5" x14ac:dyDescent="0.25">
      <c r="A41699" t="str">
        <f>HYPERLINK("https://www.773grp.com/globalSearch/MC12095DG/page-1", "MC12095DG")</f>
        <v>MC12095DG</v>
      </c>
      <c r="B41699" s="3" t="str">
        <f>HYPERLINK("https://www.773grp.com/manufacturer/onsemi?pageNo=1059", "ON Semiconductor")</f>
        <v>ON Semiconductor</v>
      </c>
      <c r="C41699" s="6">
        <v>10401</v>
      </c>
      <c r="D41699" s="7">
        <v>5.35</v>
      </c>
      <c r="E41699" t="s">
        <v>54</v>
      </c>
    </row>
    <row r="41700" spans="1:5" x14ac:dyDescent="0.25">
      <c r="A41700" t="str">
        <f>HYPERLINK("https://www.773grp.com/globalSearch/MC12095DR2G/page-1", "MC12095DR2G")</f>
        <v>MC12095DR2G</v>
      </c>
      <c r="B41700" s="3" t="str">
        <f>HYPERLINK("https://www.773grp.com/manufacturer/onsemi?pageNo=1060", "ON Semiconductor")</f>
        <v>ON Semiconductor</v>
      </c>
      <c r="C41700" s="6">
        <v>133</v>
      </c>
      <c r="D41700" s="7">
        <v>5.35</v>
      </c>
      <c r="E41700" t="s">
        <v>54</v>
      </c>
    </row>
    <row r="41701" spans="1:5" x14ac:dyDescent="0.25">
      <c r="A41701" t="str">
        <f>HYPERLINK("https://www.773grp.com/globalSearch/MC33680FTBR2/page-1", "MC33680FTBR2")</f>
        <v>MC33680FTBR2</v>
      </c>
      <c r="B41701" s="3" t="str">
        <f>HYPERLINK("https://www.773grp.com/manufacturer/onsemi?pageNo=1061", "ON Semiconductor")</f>
        <v>ON Semiconductor</v>
      </c>
      <c r="C41701" s="6">
        <v>3600</v>
      </c>
      <c r="D41701" s="7">
        <v>5.35</v>
      </c>
      <c r="E41701" t="s">
        <v>7</v>
      </c>
    </row>
    <row r="41702" spans="1:5" x14ac:dyDescent="0.25">
      <c r="A41702" t="str">
        <f>HYPERLINK("https://www.773grp.com/globalSearch/MGW14N60ED/page-1", "MGW14N60ED")</f>
        <v>MGW14N60ED</v>
      </c>
      <c r="B41702" s="3" t="str">
        <f>HYPERLINK("https://www.773grp.com/manufacturer/onsemi?pageNo=1062", "ON Semiconductor")</f>
        <v>ON Semiconductor</v>
      </c>
      <c r="C41702" s="6">
        <v>1103</v>
      </c>
      <c r="D41702" s="7">
        <v>5.35</v>
      </c>
      <c r="E41702" t="s">
        <v>115</v>
      </c>
    </row>
    <row r="41703" spans="1:5" x14ac:dyDescent="0.25">
      <c r="A41703" t="str">
        <f>HYPERLINK("https://www.773grp.com/globalSearch/NB100ELT23LDG/page-1", "NB100ELT23LDG")</f>
        <v>NB100ELT23LDG</v>
      </c>
      <c r="B41703" s="3" t="str">
        <f>HYPERLINK("https://www.773grp.com/manufacturer/onsemi?pageNo=1063", "ON Semiconductor")</f>
        <v>ON Semiconductor</v>
      </c>
      <c r="C41703" s="6">
        <v>956</v>
      </c>
      <c r="D41703" s="7">
        <v>5.35</v>
      </c>
      <c r="E41703" t="s">
        <v>73</v>
      </c>
    </row>
    <row r="41704" spans="1:5" x14ac:dyDescent="0.25">
      <c r="A41704" t="str">
        <f>HYPERLINK("https://www.773grp.com/globalSearch/NCP5383MNR2G/page-1", "NCP5383MNR2G")</f>
        <v>NCP5383MNR2G</v>
      </c>
      <c r="B41704" s="3" t="str">
        <f>HYPERLINK("https://www.773grp.com/manufacturer/onsemi?pageNo=1064", "ON Semiconductor")</f>
        <v>ON Semiconductor</v>
      </c>
      <c r="C41704" s="6">
        <v>84000</v>
      </c>
      <c r="D41704" s="7">
        <v>5.35</v>
      </c>
      <c r="E41704" t="s">
        <v>7</v>
      </c>
    </row>
    <row r="41705" spans="1:5" x14ac:dyDescent="0.25">
      <c r="A41705" t="str">
        <f>HYPERLINK("https://www.773grp.com/globalSearch/NCS2535DTBR2G/page-1", "NCS2535DTBR2G")</f>
        <v>NCS2535DTBR2G</v>
      </c>
      <c r="B41705" s="3" t="str">
        <f>HYPERLINK("https://www.773grp.com/manufacturer/onsemi?pageNo=1065", "ON Semiconductor")</f>
        <v>ON Semiconductor</v>
      </c>
      <c r="C41705" s="6">
        <v>4985</v>
      </c>
      <c r="D41705" s="7">
        <v>5.35</v>
      </c>
      <c r="E41705" t="s">
        <v>18</v>
      </c>
    </row>
    <row r="41706" spans="1:5" x14ac:dyDescent="0.25">
      <c r="A41706" t="str">
        <f>HYPERLINK("https://www.773grp.com/globalSearch/NCS2540DTBR2G/page-1", "NCS2540DTBR2G")</f>
        <v>NCS2540DTBR2G</v>
      </c>
      <c r="B41706" s="3" t="str">
        <f>HYPERLINK("https://www.773grp.com/manufacturer/onsemi?pageNo=1066", "ON Semiconductor")</f>
        <v>ON Semiconductor</v>
      </c>
      <c r="C41706" s="6">
        <v>4965</v>
      </c>
      <c r="D41706" s="7">
        <v>5.35</v>
      </c>
      <c r="E41706" t="s">
        <v>18</v>
      </c>
    </row>
    <row r="41707" spans="1:5" x14ac:dyDescent="0.25">
      <c r="A41707" t="str">
        <f>HYPERLINK("https://www.773grp.com/globalSearch/NE570DG/page-1", "NE570DG")</f>
        <v>NE570DG</v>
      </c>
      <c r="B41707" s="3" t="str">
        <f>HYPERLINK("https://www.773grp.com/manufacturer/onsemi?pageNo=1067", "ON Semiconductor")</f>
        <v>ON Semiconductor</v>
      </c>
      <c r="C41707" s="6">
        <v>764</v>
      </c>
      <c r="D41707" s="7">
        <v>5.35</v>
      </c>
      <c r="E41707" t="s">
        <v>118</v>
      </c>
    </row>
    <row r="41708" spans="1:5" x14ac:dyDescent="0.25">
      <c r="A41708" t="str">
        <f>HYPERLINK("https://www.773grp.com/globalSearch/NE570DR2G/page-1", "NE570DR2G")</f>
        <v>NE570DR2G</v>
      </c>
      <c r="B41708" s="3" t="str">
        <f>HYPERLINK("https://www.773grp.com/manufacturer/onsemi?pageNo=1068", "ON Semiconductor")</f>
        <v>ON Semiconductor</v>
      </c>
      <c r="C41708" s="6">
        <v>4715</v>
      </c>
      <c r="D41708" s="7">
        <v>5.35</v>
      </c>
      <c r="E41708" t="s">
        <v>118</v>
      </c>
    </row>
    <row r="41709" spans="1:5" x14ac:dyDescent="0.25">
      <c r="A41709" t="str">
        <f>HYPERLINK("https://www.773grp.com/globalSearch/LC75821EHS-E/page-1", "LC75821EHS-E")</f>
        <v>LC75821EHS-E</v>
      </c>
      <c r="B41709" s="3" t="str">
        <f>HYPERLINK("https://www.773grp.com/manufacturer/onsemi?pageNo=1069", "ON Semiconductor")</f>
        <v>ON Semiconductor</v>
      </c>
      <c r="C41709" s="6">
        <v>120</v>
      </c>
      <c r="D41709" s="7">
        <v>5.36</v>
      </c>
    </row>
    <row r="41710" spans="1:5" x14ac:dyDescent="0.25">
      <c r="A41710" t="str">
        <f>HYPERLINK("https://www.773grp.com/globalSearch/LV8014T-TLM-E/page-1", "LV8014T-TLM-E")</f>
        <v>LV8014T-TLM-E</v>
      </c>
      <c r="B41710" s="3" t="str">
        <f>HYPERLINK("https://www.773grp.com/manufacturer/onsemi?pageNo=1070", "ON Semiconductor")</f>
        <v>ON Semiconductor</v>
      </c>
      <c r="C41710" s="6">
        <v>1605</v>
      </c>
      <c r="D41710" s="7">
        <v>5.4</v>
      </c>
    </row>
    <row r="41711" spans="1:5" x14ac:dyDescent="0.25">
      <c r="A41711" t="str">
        <f>HYPERLINK("https://www.773grp.com/globalSearch/LV8136V-MPB-H/page-1", "LV8136V-MPB-H")</f>
        <v>LV8136V-MPB-H</v>
      </c>
      <c r="B41711" s="3" t="str">
        <f>HYPERLINK("https://www.773grp.com/manufacturer/onsemi?pageNo=1071", "ON Semiconductor")</f>
        <v>ON Semiconductor</v>
      </c>
      <c r="C41711" s="6">
        <v>288</v>
      </c>
      <c r="D41711" s="7">
        <v>5.4</v>
      </c>
    </row>
    <row r="41712" spans="1:5" x14ac:dyDescent="0.25">
      <c r="A41712" t="str">
        <f>HYPERLINK("https://www.773grp.com/globalSearch/LV8136V-TLM-H/page-1", "LV8136V-TLM-H")</f>
        <v>LV8136V-TLM-H</v>
      </c>
      <c r="B41712" s="3" t="str">
        <f>HYPERLINK("https://www.773grp.com/manufacturer/onsemi?pageNo=1072", "ON Semiconductor")</f>
        <v>ON Semiconductor</v>
      </c>
      <c r="C41712" s="6">
        <v>1000</v>
      </c>
      <c r="D41712" s="7">
        <v>5.4</v>
      </c>
    </row>
    <row r="41713" spans="1:5" x14ac:dyDescent="0.25">
      <c r="A41713" t="str">
        <f>HYPERLINK("https://www.773grp.com/globalSearch/LC75852W-E/page-1", "LC75852W-E")</f>
        <v>LC75852W-E</v>
      </c>
      <c r="B41713" s="3" t="str">
        <f>HYPERLINK("https://www.773grp.com/manufacturer/onsemi?pageNo=1073", "ON Semiconductor")</f>
        <v>ON Semiconductor</v>
      </c>
      <c r="C41713" s="6">
        <v>3000</v>
      </c>
      <c r="D41713" s="7">
        <v>5.44</v>
      </c>
    </row>
    <row r="41714" spans="1:5" x14ac:dyDescent="0.25">
      <c r="A41714" t="str">
        <f>HYPERLINK("https://www.773grp.com/globalSearch/MC10H164ML2/page-1", "MC10H164ML2")</f>
        <v>MC10H164ML2</v>
      </c>
      <c r="B41714" s="3" t="str">
        <f>HYPERLINK("https://www.773grp.com/manufacturer/onsemi?pageNo=1074", "ON Semiconductor")</f>
        <v>ON Semiconductor</v>
      </c>
      <c r="C41714" s="6">
        <v>4000</v>
      </c>
      <c r="D41714" s="7">
        <v>5.44</v>
      </c>
    </row>
    <row r="41715" spans="1:5" x14ac:dyDescent="0.25">
      <c r="A41715" t="str">
        <f>HYPERLINK("https://www.773grp.com/globalSearch/LB1927-E/page-1", "LB1927-E")</f>
        <v>LB1927-E</v>
      </c>
      <c r="B41715" s="3" t="str">
        <f>HYPERLINK("https://www.773grp.com/manufacturer/onsemi?pageNo=1075", "ON Semiconductor")</f>
        <v>ON Semiconductor</v>
      </c>
      <c r="C41715" s="6">
        <v>14404</v>
      </c>
      <c r="D41715" s="7">
        <v>5.45</v>
      </c>
    </row>
    <row r="41716" spans="1:5" x14ac:dyDescent="0.25">
      <c r="A41716" t="str">
        <f>HYPERLINK("https://www.773grp.com/globalSearch/MC10H116DG/page-1", "MC10H116DG")</f>
        <v>MC10H116DG</v>
      </c>
      <c r="B41716" s="3" t="str">
        <f>HYPERLINK("https://www.773grp.com/manufacturer/onsemi?pageNo=1076", "ON Semiconductor")</f>
        <v>ON Semiconductor</v>
      </c>
      <c r="C41716" s="6">
        <v>8750</v>
      </c>
      <c r="D41716" s="7">
        <v>5.45</v>
      </c>
      <c r="E41716" t="s">
        <v>21</v>
      </c>
    </row>
    <row r="41717" spans="1:5" x14ac:dyDescent="0.25">
      <c r="A41717" t="str">
        <f>HYPERLINK("https://www.773grp.com/globalSearch/MJH16006A/page-1", "MJH16006A")</f>
        <v>MJH16006A</v>
      </c>
      <c r="B41717" s="3" t="str">
        <f>HYPERLINK("https://www.773grp.com/manufacturer/onsemi?pageNo=1077", "ON Semiconductor")</f>
        <v>ON Semiconductor</v>
      </c>
      <c r="C41717" s="6">
        <v>2422</v>
      </c>
      <c r="D41717" s="7">
        <v>5.45</v>
      </c>
      <c r="E41717" t="s">
        <v>59</v>
      </c>
    </row>
    <row r="41718" spans="1:5" x14ac:dyDescent="0.25">
      <c r="A41718" t="str">
        <f>HYPERLINK("https://www.773grp.com/globalSearch/TCM78T12A-12VBB/page-1", "TCM78T12A-12VBB")</f>
        <v>TCM78T12A-12VBB</v>
      </c>
      <c r="B41718" s="3" t="str">
        <f>HYPERLINK("https://www.773grp.com/manufacturer/onsemi?pageNo=1078", "ON Semiconductor")</f>
        <v>ON Semiconductor</v>
      </c>
      <c r="C41718" s="6">
        <v>2828</v>
      </c>
      <c r="D41718" s="7">
        <v>5.45</v>
      </c>
    </row>
    <row r="41719" spans="1:5" x14ac:dyDescent="0.25">
      <c r="A41719" t="str">
        <f>HYPERLINK("https://www.773grp.com/globalSearch/CS5308GDW28/page-1", "CS5308GDW28")</f>
        <v>CS5308GDW28</v>
      </c>
      <c r="B41719" s="3" t="str">
        <f>HYPERLINK("https://www.773grp.com/manufacturer/onsemi?pageNo=1079", "ON Semiconductor")</f>
        <v>ON Semiconductor</v>
      </c>
      <c r="C41719" s="6">
        <v>988</v>
      </c>
      <c r="D41719" s="7">
        <v>5.49</v>
      </c>
      <c r="E41719" t="s">
        <v>7</v>
      </c>
    </row>
    <row r="41720" spans="1:5" x14ac:dyDescent="0.25">
      <c r="A41720" t="str">
        <f>HYPERLINK("https://www.773grp.com/globalSearch/CS5308GDWR28/page-1", "CS5308GDWR28")</f>
        <v>CS5308GDWR28</v>
      </c>
      <c r="B41720" s="3" t="str">
        <f>HYPERLINK("https://www.773grp.com/manufacturer/onsemi?pageNo=1080", "ON Semiconductor")</f>
        <v>ON Semiconductor</v>
      </c>
      <c r="C41720" s="6">
        <v>1000</v>
      </c>
      <c r="D41720" s="7">
        <v>5.49</v>
      </c>
      <c r="E41720" t="s">
        <v>7</v>
      </c>
    </row>
    <row r="41721" spans="1:5" x14ac:dyDescent="0.25">
      <c r="A41721" t="str">
        <f>HYPERLINK("https://www.773grp.com/globalSearch/LB11693H-TLM-E/page-1", "LB11693H-TLM-E")</f>
        <v>LB11693H-TLM-E</v>
      </c>
      <c r="B41721" s="3" t="str">
        <f>HYPERLINK("https://www.773grp.com/manufacturer/onsemi?pageNo=1081", "ON Semiconductor")</f>
        <v>ON Semiconductor</v>
      </c>
      <c r="C41721" s="6">
        <v>650</v>
      </c>
      <c r="D41721" s="7">
        <v>5.49</v>
      </c>
    </row>
    <row r="41722" spans="1:5" x14ac:dyDescent="0.25">
      <c r="A41722" t="str">
        <f>HYPERLINK("https://www.773grp.com/globalSearch/LC87F1HC4BUWA-2H/page-1", "LC87F1HC4BUWA-2H")</f>
        <v>LC87F1HC4BUWA-2H</v>
      </c>
      <c r="B41722" s="3" t="str">
        <f>HYPERLINK("https://www.773grp.com/manufacturer/onsemi?pageNo=1082", "ON Semiconductor")</f>
        <v>ON Semiconductor</v>
      </c>
      <c r="C41722" s="6">
        <v>7500</v>
      </c>
      <c r="D41722" s="7">
        <v>5.49</v>
      </c>
    </row>
    <row r="41723" spans="1:5" x14ac:dyDescent="0.25">
      <c r="A41723" t="str">
        <f>HYPERLINK("https://www.773grp.com/globalSearch/LC87F1K64AUWA-2H/page-1", "LC87F1K64AUWA-2H")</f>
        <v>LC87F1K64AUWA-2H</v>
      </c>
      <c r="B41723" s="3" t="str">
        <f>HYPERLINK("https://www.773grp.com/manufacturer/onsemi?pageNo=1083", "ON Semiconductor")</f>
        <v>ON Semiconductor</v>
      </c>
      <c r="C41723" s="6">
        <v>9500</v>
      </c>
      <c r="D41723" s="7">
        <v>5.49</v>
      </c>
    </row>
    <row r="41724" spans="1:5" x14ac:dyDescent="0.25">
      <c r="A41724" t="str">
        <f>HYPERLINK("https://www.773grp.com/globalSearch/MC100ELT24D/page-1", "MC100ELT24D")</f>
        <v>MC100ELT24D</v>
      </c>
      <c r="B41724" s="3" t="str">
        <f>HYPERLINK("https://www.773grp.com/manufacturer/onsemi?pageNo=1084", "ON Semiconductor")</f>
        <v>ON Semiconductor</v>
      </c>
      <c r="C41724" s="6">
        <v>13383</v>
      </c>
      <c r="D41724" s="7">
        <v>5.49</v>
      </c>
      <c r="E41724" t="s">
        <v>73</v>
      </c>
    </row>
    <row r="41725" spans="1:5" x14ac:dyDescent="0.25">
      <c r="A41725" t="str">
        <f>HYPERLINK("https://www.773grp.com/globalSearch/MC100LVELT23TG/page-1", "MC100LVELT23TG")</f>
        <v>MC100LVELT23TG</v>
      </c>
      <c r="B41725" s="3" t="str">
        <f>HYPERLINK("https://www.773grp.com/manufacturer/onsemi?pageNo=1085", "ON Semiconductor")</f>
        <v>ON Semiconductor</v>
      </c>
      <c r="C41725" s="6">
        <v>48</v>
      </c>
      <c r="D41725" s="7">
        <v>5.49</v>
      </c>
    </row>
    <row r="41726" spans="1:5" x14ac:dyDescent="0.25">
      <c r="A41726" t="str">
        <f>HYPERLINK("https://www.773grp.com/globalSearch/MC10ELT25DR2/page-1", "MC10ELT25DR2")</f>
        <v>MC10ELT25DR2</v>
      </c>
      <c r="B41726" s="3" t="str">
        <f>HYPERLINK("https://www.773grp.com/manufacturer/onsemi?pageNo=1086", "ON Semiconductor")</f>
        <v>ON Semiconductor</v>
      </c>
      <c r="C41726" s="6">
        <v>2500</v>
      </c>
      <c r="D41726" s="7">
        <v>5.49</v>
      </c>
      <c r="E41726" t="s">
        <v>73</v>
      </c>
    </row>
    <row r="41727" spans="1:5" x14ac:dyDescent="0.25">
      <c r="A41727" t="str">
        <f>HYPERLINK("https://www.773grp.com/globalSearch/NCP4421T/page-1", "NCP4421T")</f>
        <v>NCP4421T</v>
      </c>
      <c r="B41727" s="3" t="str">
        <f>HYPERLINK("https://www.773grp.com/manufacturer/onsemi?pageNo=1087", "ON Semiconductor")</f>
        <v>ON Semiconductor</v>
      </c>
      <c r="C41727" s="6">
        <v>14766</v>
      </c>
      <c r="D41727" s="7">
        <v>5.49</v>
      </c>
      <c r="E41727" t="s">
        <v>16</v>
      </c>
    </row>
    <row r="41728" spans="1:5" x14ac:dyDescent="0.25">
      <c r="A41728" t="str">
        <f>HYPERLINK("https://www.773grp.com/globalSearch/NCP4422T/page-1", "NCP4422T")</f>
        <v>NCP4422T</v>
      </c>
      <c r="B41728" s="3" t="str">
        <f>HYPERLINK("https://www.773grp.com/manufacturer/onsemi?pageNo=1088", "ON Semiconductor")</f>
        <v>ON Semiconductor</v>
      </c>
      <c r="C41728" s="6">
        <v>13435</v>
      </c>
      <c r="D41728" s="7">
        <v>5.49</v>
      </c>
      <c r="E41728" t="s">
        <v>16</v>
      </c>
    </row>
    <row r="41729" spans="1:5" x14ac:dyDescent="0.25">
      <c r="A41729" t="str">
        <f>HYPERLINK("https://www.773grp.com/globalSearch/SA575NG/page-1", "SA575NG")</f>
        <v>SA575NG</v>
      </c>
      <c r="B41729" s="3" t="str">
        <f>HYPERLINK("https://www.773grp.com/manufacturer/onsemi?pageNo=1089", "ON Semiconductor")</f>
        <v>ON Semiconductor</v>
      </c>
      <c r="C41729" s="6">
        <v>2566</v>
      </c>
      <c r="D41729" s="7">
        <v>5.49</v>
      </c>
      <c r="E41729" t="s">
        <v>118</v>
      </c>
    </row>
    <row r="41730" spans="1:5" x14ac:dyDescent="0.25">
      <c r="A41730" t="str">
        <f>HYPERLINK("https://www.773grp.com/globalSearch/FS6128-04G-XTD/page-1", "FS6128-04G-XTD")</f>
        <v>FS6128-04G-XTD</v>
      </c>
      <c r="B41730" s="3" t="str">
        <f>HYPERLINK("https://www.773grp.com/manufacturer/onsemi?pageNo=1090", "ON Semiconductor")</f>
        <v>ON Semiconductor</v>
      </c>
      <c r="C41730" s="6">
        <v>73</v>
      </c>
      <c r="D41730" s="7">
        <v>5.54</v>
      </c>
    </row>
    <row r="41731" spans="1:5" x14ac:dyDescent="0.25">
      <c r="A41731" t="str">
        <f>HYPERLINK("https://www.773grp.com/globalSearch/MC10H171FN/page-1", "MC10H171FN")</f>
        <v>MC10H171FN</v>
      </c>
      <c r="B41731" s="3" t="str">
        <f>HYPERLINK("https://www.773grp.com/manufacturer/onsemi?pageNo=1091", "ON Semiconductor")</f>
        <v>ON Semiconductor</v>
      </c>
      <c r="C41731" s="6">
        <v>1950</v>
      </c>
      <c r="D41731" s="7">
        <v>5.54</v>
      </c>
      <c r="E41731" t="s">
        <v>36</v>
      </c>
    </row>
    <row r="41732" spans="1:5" x14ac:dyDescent="0.25">
      <c r="A41732" t="str">
        <f>HYPERLINK("https://www.773grp.com/globalSearch/CS5322GDWR28/page-1", "CS5322GDWR28")</f>
        <v>CS5322GDWR28</v>
      </c>
      <c r="B41732" s="3" t="str">
        <f>HYPERLINK("https://www.773grp.com/manufacturer/onsemi?pageNo=1092", "ON Semiconductor")</f>
        <v>ON Semiconductor</v>
      </c>
      <c r="C41732" s="6">
        <v>63000</v>
      </c>
      <c r="D41732" s="7">
        <v>5.58</v>
      </c>
      <c r="E41732" t="s">
        <v>7</v>
      </c>
    </row>
    <row r="41733" spans="1:5" x14ac:dyDescent="0.25">
      <c r="A41733" t="str">
        <f>HYPERLINK("https://www.773grp.com/globalSearch/CS5332GDW28/page-1", "CS5332GDW28")</f>
        <v>CS5332GDW28</v>
      </c>
      <c r="B41733" s="3" t="str">
        <f>HYPERLINK("https://www.773grp.com/manufacturer/onsemi?pageNo=1093", "ON Semiconductor")</f>
        <v>ON Semiconductor</v>
      </c>
      <c r="C41733" s="6">
        <v>1040</v>
      </c>
      <c r="D41733" s="7">
        <v>5.58</v>
      </c>
      <c r="E41733" t="s">
        <v>7</v>
      </c>
    </row>
    <row r="41734" spans="1:5" x14ac:dyDescent="0.25">
      <c r="A41734" t="str">
        <f>HYPERLINK("https://www.773grp.com/globalSearch/CS5332GDWR28/page-1", "CS5332GDWR28")</f>
        <v>CS5332GDWR28</v>
      </c>
      <c r="B41734" s="3" t="str">
        <f>HYPERLINK("https://www.773grp.com/manufacturer/onsemi?pageNo=1094", "ON Semiconductor")</f>
        <v>ON Semiconductor</v>
      </c>
      <c r="C41734" s="6">
        <v>55000</v>
      </c>
      <c r="D41734" s="7">
        <v>5.58</v>
      </c>
      <c r="E41734" t="s">
        <v>7</v>
      </c>
    </row>
    <row r="41735" spans="1:5" x14ac:dyDescent="0.25">
      <c r="A41735" t="str">
        <f>HYPERLINK("https://www.773grp.com/globalSearch/CS8147YT5/page-1", "CS8147YT5")</f>
        <v>CS8147YT5</v>
      </c>
      <c r="B41735" s="3" t="str">
        <f>HYPERLINK("https://www.773grp.com/manufacturer/onsemi?pageNo=1095", "ON Semiconductor")</f>
        <v>ON Semiconductor</v>
      </c>
      <c r="C41735" s="6">
        <v>2200</v>
      </c>
      <c r="D41735" s="7">
        <v>5.58</v>
      </c>
      <c r="E41735" t="s">
        <v>44</v>
      </c>
    </row>
    <row r="41736" spans="1:5" x14ac:dyDescent="0.25">
      <c r="A41736" t="str">
        <f>HYPERLINK("https://www.773grp.com/globalSearch/CS8151YT7/page-1", "CS8151YT7")</f>
        <v>CS8151YT7</v>
      </c>
      <c r="B41736" s="3" t="str">
        <f>HYPERLINK("https://www.773grp.com/manufacturer/onsemi?pageNo=1096", "ON Semiconductor")</f>
        <v>ON Semiconductor</v>
      </c>
      <c r="C41736" s="6">
        <v>4800</v>
      </c>
      <c r="D41736" s="7">
        <v>5.58</v>
      </c>
      <c r="E41736" t="s">
        <v>19</v>
      </c>
    </row>
    <row r="41737" spans="1:5" x14ac:dyDescent="0.25">
      <c r="A41737" t="str">
        <f>HYPERLINK("https://www.773grp.com/globalSearch/MC100EP01D/page-1", "MC100EP01D")</f>
        <v>MC100EP01D</v>
      </c>
      <c r="B41737" s="3" t="str">
        <f>HYPERLINK("https://www.773grp.com/manufacturer/onsemi?pageNo=1097", "ON Semiconductor")</f>
        <v>ON Semiconductor</v>
      </c>
      <c r="C41737" s="6">
        <v>779</v>
      </c>
      <c r="D41737" s="7">
        <v>5.58</v>
      </c>
      <c r="E41737" t="s">
        <v>31</v>
      </c>
    </row>
    <row r="41738" spans="1:5" x14ac:dyDescent="0.25">
      <c r="A41738" t="str">
        <f>HYPERLINK("https://www.773grp.com/globalSearch/MC100EP01DT/page-1", "MC100EP01DT")</f>
        <v>MC100EP01DT</v>
      </c>
      <c r="B41738" s="3" t="str">
        <f>HYPERLINK("https://www.773grp.com/manufacturer/onsemi?pageNo=1098", "ON Semiconductor")</f>
        <v>ON Semiconductor</v>
      </c>
      <c r="C41738" s="6">
        <v>779</v>
      </c>
      <c r="D41738" s="7">
        <v>5.58</v>
      </c>
      <c r="E41738" t="s">
        <v>31</v>
      </c>
    </row>
    <row r="41739" spans="1:5" x14ac:dyDescent="0.25">
      <c r="A41739" t="str">
        <f>HYPERLINK("https://www.773grp.com/globalSearch/MC100EP05D/page-1", "MC100EP05D")</f>
        <v>MC100EP05D</v>
      </c>
      <c r="B41739" s="3" t="str">
        <f>HYPERLINK("https://www.773grp.com/manufacturer/onsemi?pageNo=1099", "ON Semiconductor")</f>
        <v>ON Semiconductor</v>
      </c>
      <c r="C41739" s="6">
        <v>46386</v>
      </c>
      <c r="D41739" s="7">
        <v>5.58</v>
      </c>
      <c r="E41739" t="s">
        <v>31</v>
      </c>
    </row>
    <row r="41740" spans="1:5" x14ac:dyDescent="0.25">
      <c r="A41740" t="str">
        <f>HYPERLINK("https://www.773grp.com/globalSearch/MC100EP05DR2/page-1", "MC100EP05DR2")</f>
        <v>MC100EP05DR2</v>
      </c>
      <c r="B41740" s="3" t="str">
        <f>HYPERLINK("https://www.773grp.com/manufacturer/onsemi?pageNo=1100", "ON Semiconductor")</f>
        <v>ON Semiconductor</v>
      </c>
      <c r="C41740" s="6">
        <v>2392</v>
      </c>
      <c r="D41740" s="7">
        <v>5.58</v>
      </c>
      <c r="E41740" t="s">
        <v>31</v>
      </c>
    </row>
    <row r="41741" spans="1:5" x14ac:dyDescent="0.25">
      <c r="A41741" t="str">
        <f>HYPERLINK("https://www.773grp.com/globalSearch/MC100EP05DT/page-1", "MC100EP05DT")</f>
        <v>MC100EP05DT</v>
      </c>
      <c r="B41741" s="3" t="str">
        <f>HYPERLINK("https://www.773grp.com/manufacturer/onsemi?pageNo=1101", "ON Semiconductor")</f>
        <v>ON Semiconductor</v>
      </c>
      <c r="C41741" s="6">
        <v>4593</v>
      </c>
      <c r="D41741" s="7">
        <v>5.58</v>
      </c>
      <c r="E41741" t="s">
        <v>31</v>
      </c>
    </row>
    <row r="41742" spans="1:5" x14ac:dyDescent="0.25">
      <c r="A41742" t="str">
        <f>HYPERLINK("https://www.773grp.com/globalSearch/MC100EP08D/page-1", "MC100EP08D")</f>
        <v>MC100EP08D</v>
      </c>
      <c r="B41742" s="3" t="str">
        <f>HYPERLINK("https://www.773grp.com/manufacturer/onsemi?pageNo=1102", "ON Semiconductor")</f>
        <v>ON Semiconductor</v>
      </c>
      <c r="C41742" s="6">
        <v>1885</v>
      </c>
      <c r="D41742" s="7">
        <v>5.58</v>
      </c>
      <c r="E41742" t="s">
        <v>31</v>
      </c>
    </row>
    <row r="41743" spans="1:5" x14ac:dyDescent="0.25">
      <c r="A41743" t="str">
        <f>HYPERLINK("https://www.773grp.com/globalSearch/MC100EP08DT/page-1", "MC100EP08DT")</f>
        <v>MC100EP08DT</v>
      </c>
      <c r="B41743" s="3" t="str">
        <f>HYPERLINK("https://www.773grp.com/manufacturer/onsemi?pageNo=1103", "ON Semiconductor")</f>
        <v>ON Semiconductor</v>
      </c>
      <c r="C41743" s="6">
        <v>18650</v>
      </c>
      <c r="D41743" s="7">
        <v>5.58</v>
      </c>
      <c r="E41743" t="s">
        <v>31</v>
      </c>
    </row>
    <row r="41744" spans="1:5" x14ac:dyDescent="0.25">
      <c r="A41744" t="str">
        <f>HYPERLINK("https://www.773grp.com/globalSearch/ADT7461AARMZ-2RL/page-1", "ADT7461AARMZ-2RL")</f>
        <v>ADT7461AARMZ-2RL</v>
      </c>
      <c r="B41744" s="3" t="str">
        <f>HYPERLINK("https://www.773grp.com/manufacturer/onsemi?pageNo=1104", "ON Semiconductor")</f>
        <v>ON Semiconductor</v>
      </c>
      <c r="C41744" s="6">
        <v>2480</v>
      </c>
      <c r="D41744" s="7">
        <v>5.6</v>
      </c>
    </row>
    <row r="41745" spans="1:5" x14ac:dyDescent="0.25">
      <c r="A41745" t="str">
        <f>HYPERLINK("https://www.773grp.com/globalSearch/ADT7461AARMZ-R/page-1", "ADT7461AARMZ-R")</f>
        <v>ADT7461AARMZ-R</v>
      </c>
      <c r="B41745" s="3" t="str">
        <f>HYPERLINK("https://www.773grp.com/manufacturer/onsemi?pageNo=1105", "ON Semiconductor")</f>
        <v>ON Semiconductor</v>
      </c>
      <c r="C41745" s="6">
        <v>8950</v>
      </c>
      <c r="D41745" s="7">
        <v>5.6</v>
      </c>
    </row>
    <row r="41746" spans="1:5" x14ac:dyDescent="0.25">
      <c r="A41746" t="str">
        <f>HYPERLINK("https://www.773grp.com/globalSearch/AMIS42700WCGA4RH/page-1", "AMIS42700WCGA4RH")</f>
        <v>AMIS42700WCGA4RH</v>
      </c>
      <c r="B41746" s="3" t="str">
        <f>HYPERLINK("https://www.773grp.com/manufacturer/onsemi?pageNo=1106", "ON Semiconductor")</f>
        <v>ON Semiconductor</v>
      </c>
      <c r="C41746" s="6">
        <v>32</v>
      </c>
      <c r="D41746" s="7">
        <v>5.63</v>
      </c>
    </row>
    <row r="41747" spans="1:5" x14ac:dyDescent="0.25">
      <c r="A41747" t="str">
        <f>HYPERLINK("https://www.773grp.com/globalSearch/ASM2I9940LG-32LT/page-1", "ASM2I9940LG-32LT")</f>
        <v>ASM2I9940LG-32LT</v>
      </c>
      <c r="B41747" s="3" t="str">
        <f>HYPERLINK("https://www.773grp.com/manufacturer/onsemi?pageNo=1107", "ON Semiconductor")</f>
        <v>ON Semiconductor</v>
      </c>
      <c r="C41747" s="6">
        <v>2207</v>
      </c>
      <c r="D41747" s="7">
        <v>5.63</v>
      </c>
    </row>
    <row r="41748" spans="1:5" x14ac:dyDescent="0.25">
      <c r="A41748" t="str">
        <f>HYPERLINK("https://www.773grp.com/globalSearch/CS5307GCWR24/page-1", "CS5307GCWR24")</f>
        <v>CS5307GCWR24</v>
      </c>
      <c r="B41748" s="3" t="str">
        <f>HYPERLINK("https://www.773grp.com/manufacturer/onsemi?pageNo=1108", "ON Semiconductor")</f>
        <v>ON Semiconductor</v>
      </c>
      <c r="C41748" s="6">
        <v>11000</v>
      </c>
      <c r="D41748" s="7">
        <v>5.63</v>
      </c>
    </row>
    <row r="41749" spans="1:5" x14ac:dyDescent="0.25">
      <c r="A41749" t="str">
        <f>HYPERLINK("https://www.773grp.com/globalSearch/CS5307GDW24/page-1", "CS5307GDW24")</f>
        <v>CS5307GDW24</v>
      </c>
      <c r="B41749" s="3" t="str">
        <f>HYPERLINK("https://www.773grp.com/manufacturer/onsemi?pageNo=1109", "ON Semiconductor")</f>
        <v>ON Semiconductor</v>
      </c>
      <c r="C41749" s="6">
        <v>990</v>
      </c>
      <c r="D41749" s="7">
        <v>5.63</v>
      </c>
      <c r="E41749" t="s">
        <v>7</v>
      </c>
    </row>
    <row r="41750" spans="1:5" x14ac:dyDescent="0.25">
      <c r="A41750" t="str">
        <f>HYPERLINK("https://www.773grp.com/globalSearch/CS5307GDWR24/page-1", "CS5307GDWR24")</f>
        <v>CS5307GDWR24</v>
      </c>
      <c r="B41750" s="3" t="str">
        <f>HYPERLINK("https://www.773grp.com/manufacturer/onsemi?pageNo=1110", "ON Semiconductor")</f>
        <v>ON Semiconductor</v>
      </c>
      <c r="C41750" s="6">
        <v>24000</v>
      </c>
      <c r="D41750" s="7">
        <v>5.63</v>
      </c>
      <c r="E41750" t="s">
        <v>7</v>
      </c>
    </row>
    <row r="41751" spans="1:5" x14ac:dyDescent="0.25">
      <c r="A41751" t="str">
        <f>HYPERLINK("https://www.773grp.com/globalSearch/LC71858750E/page-1", "LC71858750E")</f>
        <v>LC71858750E</v>
      </c>
      <c r="B41751" s="3" t="str">
        <f>HYPERLINK("https://www.773grp.com/manufacturer/onsemi?pageNo=1111", "ON Semiconductor")</f>
        <v>ON Semiconductor</v>
      </c>
      <c r="C41751" s="6">
        <v>10</v>
      </c>
      <c r="D41751" s="7">
        <v>5.63</v>
      </c>
    </row>
    <row r="41752" spans="1:5" x14ac:dyDescent="0.25">
      <c r="A41752" t="str">
        <f>HYPERLINK("https://www.773grp.com/globalSearch/MC100EL15DG/page-1", "MC100EL15DG")</f>
        <v>MC100EL15DG</v>
      </c>
      <c r="B41752" s="3" t="str">
        <f>HYPERLINK("https://www.773grp.com/manufacturer/onsemi?pageNo=1112", "ON Semiconductor")</f>
        <v>ON Semiconductor</v>
      </c>
      <c r="C41752" s="6">
        <v>3230</v>
      </c>
      <c r="D41752" s="7">
        <v>5.63</v>
      </c>
      <c r="E41752" t="s">
        <v>34</v>
      </c>
    </row>
    <row r="41753" spans="1:5" x14ac:dyDescent="0.25">
      <c r="A41753" t="str">
        <f>HYPERLINK("https://www.773grp.com/globalSearch/MC100EL17DW/page-1", "MC100EL17DW")</f>
        <v>MC100EL17DW</v>
      </c>
      <c r="B41753" s="3" t="str">
        <f>HYPERLINK("https://www.773grp.com/manufacturer/onsemi?pageNo=1113", "ON Semiconductor")</f>
        <v>ON Semiconductor</v>
      </c>
      <c r="C41753" s="6">
        <v>4311</v>
      </c>
      <c r="D41753" s="7">
        <v>5.63</v>
      </c>
      <c r="E41753" t="s">
        <v>21</v>
      </c>
    </row>
    <row r="41754" spans="1:5" x14ac:dyDescent="0.25">
      <c r="A41754" t="str">
        <f>HYPERLINK("https://www.773grp.com/globalSearch/MC100EL17DWR2/page-1", "MC100EL17DWR2")</f>
        <v>MC100EL17DWR2</v>
      </c>
      <c r="B41754" s="3" t="str">
        <f>HYPERLINK("https://www.773grp.com/manufacturer/onsemi?pageNo=1114", "ON Semiconductor")</f>
        <v>ON Semiconductor</v>
      </c>
      <c r="C41754" s="6">
        <v>4622</v>
      </c>
      <c r="D41754" s="7">
        <v>5.63</v>
      </c>
      <c r="E41754" t="s">
        <v>21</v>
      </c>
    </row>
    <row r="41755" spans="1:5" x14ac:dyDescent="0.25">
      <c r="A41755" t="str">
        <f>HYPERLINK("https://www.773grp.com/globalSearch/MC100EL56DW/page-1", "MC100EL56DW")</f>
        <v>MC100EL56DW</v>
      </c>
      <c r="B41755" s="3" t="str">
        <f>HYPERLINK("https://www.773grp.com/manufacturer/onsemi?pageNo=1115", "ON Semiconductor")</f>
        <v>ON Semiconductor</v>
      </c>
      <c r="C41755" s="6">
        <v>9159</v>
      </c>
      <c r="D41755" s="7">
        <v>5.63</v>
      </c>
      <c r="E41755" t="s">
        <v>20</v>
      </c>
    </row>
    <row r="41756" spans="1:5" x14ac:dyDescent="0.25">
      <c r="A41756" t="str">
        <f>HYPERLINK("https://www.773grp.com/globalSearch/MC100EP31D/page-1", "MC100EP31D")</f>
        <v>MC100EP31D</v>
      </c>
      <c r="B41756" s="3" t="str">
        <f>HYPERLINK("https://www.773grp.com/manufacturer/onsemi?pageNo=1116", "ON Semiconductor")</f>
        <v>ON Semiconductor</v>
      </c>
      <c r="C41756" s="6">
        <v>52009</v>
      </c>
      <c r="D41756" s="7">
        <v>5.63</v>
      </c>
      <c r="E41756" t="s">
        <v>35</v>
      </c>
    </row>
    <row r="41757" spans="1:5" x14ac:dyDescent="0.25">
      <c r="A41757" t="str">
        <f>HYPERLINK("https://www.773grp.com/globalSearch/MC100EP31DR2/page-1", "MC100EP31DR2")</f>
        <v>MC100EP31DR2</v>
      </c>
      <c r="B41757" s="3" t="str">
        <f>HYPERLINK("https://www.773grp.com/manufacturer/onsemi?pageNo=1117", "ON Semiconductor")</f>
        <v>ON Semiconductor</v>
      </c>
      <c r="C41757" s="6">
        <v>2478</v>
      </c>
      <c r="D41757" s="7">
        <v>5.63</v>
      </c>
      <c r="E41757" t="s">
        <v>35</v>
      </c>
    </row>
    <row r="41758" spans="1:5" x14ac:dyDescent="0.25">
      <c r="A41758" t="str">
        <f>HYPERLINK("https://www.773grp.com/globalSearch/MC100EP31DT/page-1", "MC100EP31DT")</f>
        <v>MC100EP31DT</v>
      </c>
      <c r="B41758" s="3" t="str">
        <f>HYPERLINK("https://www.773grp.com/manufacturer/onsemi?pageNo=1118", "ON Semiconductor")</f>
        <v>ON Semiconductor</v>
      </c>
      <c r="C41758" s="6">
        <v>5</v>
      </c>
      <c r="D41758" s="7">
        <v>5.63</v>
      </c>
      <c r="E41758" t="s">
        <v>35</v>
      </c>
    </row>
    <row r="41759" spans="1:5" x14ac:dyDescent="0.25">
      <c r="A41759" t="str">
        <f>HYPERLINK("https://www.773grp.com/globalSearch/MC100EP32D/page-1", "MC100EP32D")</f>
        <v>MC100EP32D</v>
      </c>
      <c r="B41759" s="3" t="str">
        <f>HYPERLINK("https://www.773grp.com/manufacturer/onsemi?pageNo=1119", "ON Semiconductor")</f>
        <v>ON Semiconductor</v>
      </c>
      <c r="C41759" s="6">
        <v>35122</v>
      </c>
      <c r="D41759" s="7">
        <v>5.63</v>
      </c>
      <c r="E41759" t="s">
        <v>54</v>
      </c>
    </row>
    <row r="41760" spans="1:5" x14ac:dyDescent="0.25">
      <c r="A41760" t="str">
        <f>HYPERLINK("https://www.773grp.com/globalSearch/MC100EP32DTR2/page-1", "MC100EP32DTR2")</f>
        <v>MC100EP32DTR2</v>
      </c>
      <c r="B41760" s="3" t="str">
        <f>HYPERLINK("https://www.773grp.com/manufacturer/onsemi?pageNo=1120", "ON Semiconductor")</f>
        <v>ON Semiconductor</v>
      </c>
      <c r="C41760" s="6">
        <v>7500</v>
      </c>
      <c r="D41760" s="7">
        <v>5.63</v>
      </c>
      <c r="E41760" t="s">
        <v>54</v>
      </c>
    </row>
    <row r="41761" spans="1:5" x14ac:dyDescent="0.25">
      <c r="A41761" t="str">
        <f>HYPERLINK("https://www.773grp.com/globalSearch/MC100EP32DTR2  REEL/page-1", "MC100EP32DTR2  REEL")</f>
        <v>MC100EP32DTR2  REEL</v>
      </c>
      <c r="B41761" s="3" t="str">
        <f>HYPERLINK("https://www.773grp.com/manufacturer/onsemi?pageNo=1121", "ON Semiconductor")</f>
        <v>ON Semiconductor</v>
      </c>
      <c r="C41761" s="6">
        <v>1603</v>
      </c>
      <c r="D41761" s="7">
        <v>5.63</v>
      </c>
    </row>
    <row r="41762" spans="1:5" x14ac:dyDescent="0.25">
      <c r="A41762" t="str">
        <f>HYPERLINK("https://www.773grp.com/globalSearch/MC100EP33D/page-1", "MC100EP33D")</f>
        <v>MC100EP33D</v>
      </c>
      <c r="B41762" s="3" t="str">
        <f>HYPERLINK("https://www.773grp.com/manufacturer/onsemi?pageNo=1122", "ON Semiconductor")</f>
        <v>ON Semiconductor</v>
      </c>
      <c r="C41762" s="6">
        <v>2271</v>
      </c>
      <c r="D41762" s="7">
        <v>5.63</v>
      </c>
      <c r="E41762" t="s">
        <v>54</v>
      </c>
    </row>
    <row r="41763" spans="1:5" x14ac:dyDescent="0.25">
      <c r="A41763" t="str">
        <f>HYPERLINK("https://www.773grp.com/globalSearch/MC100EP33DT/page-1", "MC100EP33DT")</f>
        <v>MC100EP33DT</v>
      </c>
      <c r="B41763" s="3" t="str">
        <f>HYPERLINK("https://www.773grp.com/manufacturer/onsemi?pageNo=1123", "ON Semiconductor")</f>
        <v>ON Semiconductor</v>
      </c>
      <c r="C41763" s="6">
        <v>35409</v>
      </c>
      <c r="D41763" s="7">
        <v>5.63</v>
      </c>
      <c r="E41763" t="s">
        <v>54</v>
      </c>
    </row>
    <row r="41764" spans="1:5" x14ac:dyDescent="0.25">
      <c r="A41764" t="str">
        <f>HYPERLINK("https://www.773grp.com/globalSearch/MC100EP33DTR2/page-1", "MC100EP33DTR2")</f>
        <v>MC100EP33DTR2</v>
      </c>
      <c r="B41764" s="3" t="str">
        <f>HYPERLINK("https://www.773grp.com/manufacturer/onsemi?pageNo=1124", "ON Semiconductor")</f>
        <v>ON Semiconductor</v>
      </c>
      <c r="C41764" s="6">
        <v>2500</v>
      </c>
      <c r="D41764" s="7">
        <v>5.63</v>
      </c>
      <c r="E41764" t="s">
        <v>54</v>
      </c>
    </row>
    <row r="41765" spans="1:5" x14ac:dyDescent="0.25">
      <c r="A41765" t="str">
        <f>HYPERLINK("https://www.773grp.com/globalSearch/MC100EP51D/page-1", "MC100EP51D")</f>
        <v>MC100EP51D</v>
      </c>
      <c r="B41765" s="3" t="str">
        <f>HYPERLINK("https://www.773grp.com/manufacturer/onsemi?pageNo=1125", "ON Semiconductor")</f>
        <v>ON Semiconductor</v>
      </c>
      <c r="C41765" s="6">
        <v>22178</v>
      </c>
      <c r="D41765" s="7">
        <v>5.63</v>
      </c>
      <c r="E41765" t="s">
        <v>35</v>
      </c>
    </row>
    <row r="41766" spans="1:5" x14ac:dyDescent="0.25">
      <c r="A41766" t="str">
        <f>HYPERLINK("https://www.773grp.com/globalSearch/MC100EP51DT/page-1", "MC100EP51DT")</f>
        <v>MC100EP51DT</v>
      </c>
      <c r="B41766" s="3" t="str">
        <f>HYPERLINK("https://www.773grp.com/manufacturer/onsemi?pageNo=1126", "ON Semiconductor")</f>
        <v>ON Semiconductor</v>
      </c>
      <c r="C41766" s="6">
        <v>9087</v>
      </c>
      <c r="D41766" s="7">
        <v>5.63</v>
      </c>
      <c r="E41766" t="s">
        <v>35</v>
      </c>
    </row>
    <row r="41767" spans="1:5" x14ac:dyDescent="0.25">
      <c r="A41767" t="str">
        <f>HYPERLINK("https://www.773grp.com/globalSearch/MC100EP52D/page-1", "MC100EP52D")</f>
        <v>MC100EP52D</v>
      </c>
      <c r="B41767" s="3" t="str">
        <f>HYPERLINK("https://www.773grp.com/manufacturer/onsemi?pageNo=1127", "ON Semiconductor")</f>
        <v>ON Semiconductor</v>
      </c>
      <c r="C41767" s="6">
        <v>27446</v>
      </c>
      <c r="D41767" s="7">
        <v>5.63</v>
      </c>
      <c r="E41767" t="s">
        <v>35</v>
      </c>
    </row>
    <row r="41768" spans="1:5" x14ac:dyDescent="0.25">
      <c r="A41768" t="str">
        <f>HYPERLINK("https://www.773grp.com/globalSearch/MC100EP52DT/page-1", "MC100EP52DT")</f>
        <v>MC100EP52DT</v>
      </c>
      <c r="B41768" s="3" t="str">
        <f>HYPERLINK("https://www.773grp.com/manufacturer/onsemi?pageNo=1128", "ON Semiconductor")</f>
        <v>ON Semiconductor</v>
      </c>
      <c r="C41768" s="6">
        <v>23448</v>
      </c>
      <c r="D41768" s="7">
        <v>5.63</v>
      </c>
      <c r="E41768" t="s">
        <v>35</v>
      </c>
    </row>
    <row r="41769" spans="1:5" x14ac:dyDescent="0.25">
      <c r="A41769" t="str">
        <f>HYPERLINK("https://www.773grp.com/globalSearch/MC100EP52DTR2/page-1", "MC100EP52DTR2")</f>
        <v>MC100EP52DTR2</v>
      </c>
      <c r="B41769" s="3" t="str">
        <f>HYPERLINK("https://www.773grp.com/manufacturer/onsemi?pageNo=1129", "ON Semiconductor")</f>
        <v>ON Semiconductor</v>
      </c>
      <c r="C41769" s="6">
        <v>2500</v>
      </c>
      <c r="D41769" s="7">
        <v>5.63</v>
      </c>
      <c r="E41769" t="s">
        <v>35</v>
      </c>
    </row>
    <row r="41770" spans="1:5" x14ac:dyDescent="0.25">
      <c r="A41770" t="str">
        <f>HYPERLINK("https://www.773grp.com/globalSearch/MC100EP58D/page-1", "MC100EP58D")</f>
        <v>MC100EP58D</v>
      </c>
      <c r="B41770" s="3" t="str">
        <f>HYPERLINK("https://www.773grp.com/manufacturer/onsemi?pageNo=1130", "ON Semiconductor")</f>
        <v>ON Semiconductor</v>
      </c>
      <c r="C41770" s="6">
        <v>2394</v>
      </c>
      <c r="D41770" s="7">
        <v>5.63</v>
      </c>
      <c r="E41770" t="s">
        <v>20</v>
      </c>
    </row>
    <row r="41771" spans="1:5" x14ac:dyDescent="0.25">
      <c r="A41771" t="str">
        <f>HYPERLINK("https://www.773grp.com/globalSearch/MC100EP58DT/page-1", "MC100EP58DT")</f>
        <v>MC100EP58DT</v>
      </c>
      <c r="B41771" s="3" t="str">
        <f>HYPERLINK("https://www.773grp.com/manufacturer/onsemi?pageNo=1131", "ON Semiconductor")</f>
        <v>ON Semiconductor</v>
      </c>
      <c r="C41771" s="6">
        <v>28856</v>
      </c>
      <c r="D41771" s="7">
        <v>5.63</v>
      </c>
      <c r="E41771" t="s">
        <v>20</v>
      </c>
    </row>
    <row r="41772" spans="1:5" x14ac:dyDescent="0.25">
      <c r="A41772" t="str">
        <f>HYPERLINK("https://www.773grp.com/globalSearch/MC100EPT24D/page-1", "MC100EPT24D")</f>
        <v>MC100EPT24D</v>
      </c>
      <c r="B41772" s="3" t="str">
        <f>HYPERLINK("https://www.773grp.com/manufacturer/onsemi?pageNo=1132", "ON Semiconductor")</f>
        <v>ON Semiconductor</v>
      </c>
      <c r="C41772" s="6">
        <v>40109</v>
      </c>
      <c r="D41772" s="7">
        <v>5.63</v>
      </c>
      <c r="E41772" t="s">
        <v>73</v>
      </c>
    </row>
    <row r="41773" spans="1:5" x14ac:dyDescent="0.25">
      <c r="A41773" t="str">
        <f>HYPERLINK("https://www.773grp.com/globalSearch/MC100EPT24DR2/page-1", "MC100EPT24DR2")</f>
        <v>MC100EPT24DR2</v>
      </c>
      <c r="B41773" s="3" t="str">
        <f>HYPERLINK("https://www.773grp.com/manufacturer/onsemi?pageNo=1133", "ON Semiconductor")</f>
        <v>ON Semiconductor</v>
      </c>
      <c r="C41773" s="6">
        <v>2500</v>
      </c>
      <c r="D41773" s="7">
        <v>5.63</v>
      </c>
      <c r="E41773" t="s">
        <v>73</v>
      </c>
    </row>
    <row r="41774" spans="1:5" x14ac:dyDescent="0.25">
      <c r="A41774" t="str">
        <f>HYPERLINK("https://www.773grp.com/globalSearch/MC100EPT24DT/page-1", "MC100EPT24DT")</f>
        <v>MC100EPT24DT</v>
      </c>
      <c r="B41774" s="3" t="str">
        <f>HYPERLINK("https://www.773grp.com/manufacturer/onsemi?pageNo=1134", "ON Semiconductor")</f>
        <v>ON Semiconductor</v>
      </c>
      <c r="C41774" s="6">
        <v>30087</v>
      </c>
      <c r="D41774" s="7">
        <v>5.63</v>
      </c>
      <c r="E41774" t="s">
        <v>73</v>
      </c>
    </row>
    <row r="41775" spans="1:5" x14ac:dyDescent="0.25">
      <c r="A41775" t="str">
        <f>HYPERLINK("https://www.773grp.com/globalSearch/MC100EPT25D/page-1", "MC100EPT25D")</f>
        <v>MC100EPT25D</v>
      </c>
      <c r="B41775" s="3" t="str">
        <f>HYPERLINK("https://www.773grp.com/manufacturer/onsemi?pageNo=1135", "ON Semiconductor")</f>
        <v>ON Semiconductor</v>
      </c>
      <c r="C41775" s="6">
        <v>40489</v>
      </c>
      <c r="D41775" s="7">
        <v>5.63</v>
      </c>
      <c r="E41775" t="s">
        <v>73</v>
      </c>
    </row>
    <row r="41776" spans="1:5" x14ac:dyDescent="0.25">
      <c r="A41776" t="str">
        <f>HYPERLINK("https://www.773grp.com/globalSearch/MC100EPT25DT/page-1", "MC100EPT25DT")</f>
        <v>MC100EPT25DT</v>
      </c>
      <c r="B41776" s="3" t="str">
        <f>HYPERLINK("https://www.773grp.com/manufacturer/onsemi?pageNo=1136", "ON Semiconductor")</f>
        <v>ON Semiconductor</v>
      </c>
      <c r="C41776" s="6">
        <v>8414</v>
      </c>
      <c r="D41776" s="7">
        <v>5.63</v>
      </c>
      <c r="E41776" t="s">
        <v>73</v>
      </c>
    </row>
    <row r="41777" spans="1:5" x14ac:dyDescent="0.25">
      <c r="A41777" t="str">
        <f>HYPERLINK("https://www.773grp.com/globalSearch/MC100EPT26D/page-1", "MC100EPT26D")</f>
        <v>MC100EPT26D</v>
      </c>
      <c r="B41777" s="3" t="str">
        <f>HYPERLINK("https://www.773grp.com/manufacturer/onsemi?pageNo=1137", "ON Semiconductor")</f>
        <v>ON Semiconductor</v>
      </c>
      <c r="C41777" s="6">
        <v>42499</v>
      </c>
      <c r="D41777" s="7">
        <v>5.63</v>
      </c>
      <c r="E41777" t="s">
        <v>73</v>
      </c>
    </row>
    <row r="41778" spans="1:5" x14ac:dyDescent="0.25">
      <c r="A41778" t="str">
        <f>HYPERLINK("https://www.773grp.com/globalSearch/MC100EPT26DR2/page-1", "MC100EPT26DR2")</f>
        <v>MC100EPT26DR2</v>
      </c>
      <c r="B41778" s="3" t="str">
        <f>HYPERLINK("https://www.773grp.com/manufacturer/onsemi?pageNo=1138", "ON Semiconductor")</f>
        <v>ON Semiconductor</v>
      </c>
      <c r="C41778" s="6">
        <v>22500</v>
      </c>
      <c r="D41778" s="7">
        <v>5.63</v>
      </c>
      <c r="E41778" t="s">
        <v>73</v>
      </c>
    </row>
    <row r="41779" spans="1:5" x14ac:dyDescent="0.25">
      <c r="A41779" t="str">
        <f>HYPERLINK("https://www.773grp.com/globalSearch/MC100EPT26DT/page-1", "MC100EPT26DT")</f>
        <v>MC100EPT26DT</v>
      </c>
      <c r="B41779" s="3" t="str">
        <f>HYPERLINK("https://www.773grp.com/manufacturer/onsemi?pageNo=1139", "ON Semiconductor")</f>
        <v>ON Semiconductor</v>
      </c>
      <c r="C41779" s="6">
        <v>7105</v>
      </c>
      <c r="D41779" s="7">
        <v>5.63</v>
      </c>
      <c r="E41779" t="s">
        <v>73</v>
      </c>
    </row>
    <row r="41780" spans="1:5" x14ac:dyDescent="0.25">
      <c r="A41780" t="str">
        <f>HYPERLINK("https://www.773grp.com/globalSearch/MC100LVEL16DR2/page-1", "MC100LVEL16DR2")</f>
        <v>MC100LVEL16DR2</v>
      </c>
      <c r="B41780" s="3" t="str">
        <f>HYPERLINK("https://www.773grp.com/manufacturer/onsemi?pageNo=1140", "ON Semiconductor")</f>
        <v>ON Semiconductor</v>
      </c>
      <c r="C41780" s="6">
        <v>8034</v>
      </c>
      <c r="D41780" s="7">
        <v>5.63</v>
      </c>
    </row>
    <row r="41781" spans="1:5" x14ac:dyDescent="0.25">
      <c r="A41781" t="str">
        <f>HYPERLINK("https://www.773grp.com/globalSearch/MC100LVEL16DTR2/page-1", "MC100LVEL16DTR2")</f>
        <v>MC100LVEL16DTR2</v>
      </c>
      <c r="B41781" s="3" t="str">
        <f>HYPERLINK("https://www.773grp.com/manufacturer/onsemi?pageNo=1141", "ON Semiconductor")</f>
        <v>ON Semiconductor</v>
      </c>
      <c r="C41781" s="6">
        <v>5672</v>
      </c>
      <c r="D41781" s="7">
        <v>5.63</v>
      </c>
      <c r="E41781" t="s">
        <v>21</v>
      </c>
    </row>
    <row r="41782" spans="1:5" x14ac:dyDescent="0.25">
      <c r="A41782" t="str">
        <f>HYPERLINK("https://www.773grp.com/globalSearch/MC100LVEL17DW/page-1", "MC100LVEL17DW")</f>
        <v>MC100LVEL17DW</v>
      </c>
      <c r="B41782" s="3" t="str">
        <f>HYPERLINK("https://www.773grp.com/manufacturer/onsemi?pageNo=1142", "ON Semiconductor")</f>
        <v>ON Semiconductor</v>
      </c>
      <c r="C41782" s="6">
        <v>1672</v>
      </c>
      <c r="D41782" s="7">
        <v>5.63</v>
      </c>
      <c r="E41782" t="s">
        <v>21</v>
      </c>
    </row>
    <row r="41783" spans="1:5" x14ac:dyDescent="0.25">
      <c r="A41783" t="str">
        <f>HYPERLINK("https://www.773grp.com/globalSearch/MC100LVEL56DW/page-1", "MC100LVEL56DW")</f>
        <v>MC100LVEL56DW</v>
      </c>
      <c r="B41783" s="3" t="str">
        <f>HYPERLINK("https://www.773grp.com/manufacturer/onsemi?pageNo=1143", "ON Semiconductor")</f>
        <v>ON Semiconductor</v>
      </c>
      <c r="C41783" s="6">
        <v>2286</v>
      </c>
      <c r="D41783" s="7">
        <v>5.63</v>
      </c>
      <c r="E41783" t="s">
        <v>20</v>
      </c>
    </row>
    <row r="41784" spans="1:5" x14ac:dyDescent="0.25">
      <c r="A41784" t="str">
        <f>HYPERLINK("https://www.773grp.com/globalSearch/MC10EL15DG/page-1", "MC10EL15DG")</f>
        <v>MC10EL15DG</v>
      </c>
      <c r="B41784" s="3" t="str">
        <f>HYPERLINK("https://www.773grp.com/manufacturer/onsemi?pageNo=1144", "ON Semiconductor")</f>
        <v>ON Semiconductor</v>
      </c>
      <c r="C41784" s="6">
        <v>7980</v>
      </c>
      <c r="D41784" s="7">
        <v>5.63</v>
      </c>
      <c r="E41784" t="s">
        <v>34</v>
      </c>
    </row>
    <row r="41785" spans="1:5" x14ac:dyDescent="0.25">
      <c r="A41785" t="str">
        <f>HYPERLINK("https://www.773grp.com/globalSearch/MC10EL15DR2G/page-1", "MC10EL15DR2G")</f>
        <v>MC10EL15DR2G</v>
      </c>
      <c r="B41785" s="3" t="str">
        <f>HYPERLINK("https://www.773grp.com/manufacturer/onsemi?pageNo=1145", "ON Semiconductor")</f>
        <v>ON Semiconductor</v>
      </c>
      <c r="C41785" s="6">
        <v>2380</v>
      </c>
      <c r="D41785" s="7">
        <v>5.63</v>
      </c>
      <c r="E41785" t="s">
        <v>34</v>
      </c>
    </row>
    <row r="41786" spans="1:5" x14ac:dyDescent="0.25">
      <c r="A41786" t="str">
        <f>HYPERLINK("https://www.773grp.com/globalSearch/MC10EL16DR2/page-1", "MC10EL16DR2")</f>
        <v>MC10EL16DR2</v>
      </c>
      <c r="B41786" s="3" t="str">
        <f>HYPERLINK("https://www.773grp.com/manufacturer/onsemi?pageNo=1146", "ON Semiconductor")</f>
        <v>ON Semiconductor</v>
      </c>
      <c r="C41786" s="6">
        <v>787</v>
      </c>
      <c r="D41786" s="7">
        <v>5.63</v>
      </c>
    </row>
    <row r="41787" spans="1:5" x14ac:dyDescent="0.25">
      <c r="A41787" t="str">
        <f>HYPERLINK("https://www.773grp.com/globalSearch/MC10EP31DT/page-1", "MC10EP31DT")</f>
        <v>MC10EP31DT</v>
      </c>
      <c r="B41787" s="3" t="str">
        <f>HYPERLINK("https://www.773grp.com/manufacturer/onsemi?pageNo=1147", "ON Semiconductor")</f>
        <v>ON Semiconductor</v>
      </c>
      <c r="C41787" s="6">
        <v>1440</v>
      </c>
      <c r="D41787" s="7">
        <v>5.63</v>
      </c>
      <c r="E41787" t="s">
        <v>35</v>
      </c>
    </row>
    <row r="41788" spans="1:5" x14ac:dyDescent="0.25">
      <c r="A41788" t="str">
        <f>HYPERLINK("https://www.773grp.com/globalSearch/MC10EP31D/page-1", "MC10EP31D")</f>
        <v>MC10EP31D</v>
      </c>
      <c r="B41788" s="3" t="str">
        <f>HYPERLINK("https://www.773grp.com/manufacturer/onsemi?pageNo=1148", "ON Semiconductor")</f>
        <v>ON Semiconductor</v>
      </c>
      <c r="C41788" s="6">
        <v>22397</v>
      </c>
      <c r="D41788" s="7">
        <v>5.63</v>
      </c>
      <c r="E41788" t="s">
        <v>35</v>
      </c>
    </row>
    <row r="41789" spans="1:5" x14ac:dyDescent="0.25">
      <c r="A41789" t="str">
        <f>HYPERLINK("https://www.773grp.com/globalSearch/MC10EP32D/page-1", "MC10EP32D")</f>
        <v>MC10EP32D</v>
      </c>
      <c r="B41789" s="3" t="str">
        <f>HYPERLINK("https://www.773grp.com/manufacturer/onsemi?pageNo=1149", "ON Semiconductor")</f>
        <v>ON Semiconductor</v>
      </c>
      <c r="C41789" s="6">
        <v>18532</v>
      </c>
      <c r="D41789" s="7">
        <v>5.63</v>
      </c>
      <c r="E41789" t="s">
        <v>54</v>
      </c>
    </row>
    <row r="41790" spans="1:5" x14ac:dyDescent="0.25">
      <c r="A41790" t="str">
        <f>HYPERLINK("https://www.773grp.com/globalSearch/MC10EP32DR2/page-1", "MC10EP32DR2")</f>
        <v>MC10EP32DR2</v>
      </c>
      <c r="B41790" s="3" t="str">
        <f>HYPERLINK("https://www.773grp.com/manufacturer/onsemi?pageNo=1150", "ON Semiconductor")</f>
        <v>ON Semiconductor</v>
      </c>
      <c r="C41790" s="6">
        <v>15000</v>
      </c>
      <c r="D41790" s="7">
        <v>5.63</v>
      </c>
      <c r="E41790" t="s">
        <v>54</v>
      </c>
    </row>
    <row r="41791" spans="1:5" x14ac:dyDescent="0.25">
      <c r="A41791" t="str">
        <f>HYPERLINK("https://www.773grp.com/globalSearch/MC10EP32DTR2/page-1", "MC10EP32DTR2")</f>
        <v>MC10EP32DTR2</v>
      </c>
      <c r="B41791" s="3" t="str">
        <f>HYPERLINK("https://www.773grp.com/manufacturer/onsemi?pageNo=1151", "ON Semiconductor")</f>
        <v>ON Semiconductor</v>
      </c>
      <c r="C41791" s="6">
        <v>3782</v>
      </c>
      <c r="D41791" s="7">
        <v>5.63</v>
      </c>
      <c r="E41791" t="s">
        <v>54</v>
      </c>
    </row>
    <row r="41792" spans="1:5" x14ac:dyDescent="0.25">
      <c r="A41792" t="str">
        <f>HYPERLINK("https://www.773grp.com/globalSearch/MC10EP33D/page-1", "MC10EP33D")</f>
        <v>MC10EP33D</v>
      </c>
      <c r="B41792" s="3" t="str">
        <f>HYPERLINK("https://www.773grp.com/manufacturer/onsemi?pageNo=1152", "ON Semiconductor")</f>
        <v>ON Semiconductor</v>
      </c>
      <c r="C41792" s="6">
        <v>8682</v>
      </c>
      <c r="D41792" s="7">
        <v>5.63</v>
      </c>
      <c r="E41792" t="s">
        <v>54</v>
      </c>
    </row>
    <row r="41793" spans="1:5" x14ac:dyDescent="0.25">
      <c r="A41793" t="str">
        <f>HYPERLINK("https://www.773grp.com/globalSearch/MC10EP51D/page-1", "MC10EP51D")</f>
        <v>MC10EP51D</v>
      </c>
      <c r="B41793" s="3" t="str">
        <f>HYPERLINK("https://www.773grp.com/manufacturer/onsemi?pageNo=1153", "ON Semiconductor")</f>
        <v>ON Semiconductor</v>
      </c>
      <c r="C41793" s="6">
        <v>2915</v>
      </c>
      <c r="D41793" s="7">
        <v>5.63</v>
      </c>
      <c r="E41793" t="s">
        <v>35</v>
      </c>
    </row>
    <row r="41794" spans="1:5" x14ac:dyDescent="0.25">
      <c r="A41794" t="str">
        <f>HYPERLINK("https://www.773grp.com/globalSearch/MC10EP51DT/page-1", "MC10EP51DT")</f>
        <v>MC10EP51DT</v>
      </c>
      <c r="B41794" s="3" t="str">
        <f>HYPERLINK("https://www.773grp.com/manufacturer/onsemi?pageNo=1154", "ON Semiconductor")</f>
        <v>ON Semiconductor</v>
      </c>
      <c r="C41794" s="6">
        <v>19575</v>
      </c>
      <c r="D41794" s="7">
        <v>5.63</v>
      </c>
      <c r="E41794" t="s">
        <v>35</v>
      </c>
    </row>
    <row r="41795" spans="1:5" x14ac:dyDescent="0.25">
      <c r="A41795" t="str">
        <f>HYPERLINK("https://www.773grp.com/globalSearch/MC10EP52D/page-1", "MC10EP52D")</f>
        <v>MC10EP52D</v>
      </c>
      <c r="B41795" s="3" t="str">
        <f>HYPERLINK("https://www.773grp.com/manufacturer/onsemi?pageNo=1155", "ON Semiconductor")</f>
        <v>ON Semiconductor</v>
      </c>
      <c r="C41795" s="6">
        <v>3073</v>
      </c>
      <c r="D41795" s="7">
        <v>5.63</v>
      </c>
      <c r="E41795" t="s">
        <v>35</v>
      </c>
    </row>
    <row r="41796" spans="1:5" x14ac:dyDescent="0.25">
      <c r="A41796" t="str">
        <f>HYPERLINK("https://www.773grp.com/globalSearch/MC10EP52DR2/page-1", "MC10EP52DR2")</f>
        <v>MC10EP52DR2</v>
      </c>
      <c r="B41796" s="3" t="str">
        <f>HYPERLINK("https://www.773grp.com/manufacturer/onsemi?pageNo=1156", "ON Semiconductor")</f>
        <v>ON Semiconductor</v>
      </c>
      <c r="C41796" s="6">
        <v>9978</v>
      </c>
      <c r="D41796" s="7">
        <v>5.63</v>
      </c>
      <c r="E41796" t="s">
        <v>35</v>
      </c>
    </row>
    <row r="41797" spans="1:5" x14ac:dyDescent="0.25">
      <c r="A41797" t="str">
        <f>HYPERLINK("https://www.773grp.com/globalSearch/MC10EP58D/page-1", "MC10EP58D")</f>
        <v>MC10EP58D</v>
      </c>
      <c r="B41797" s="3" t="str">
        <f>HYPERLINK("https://www.773grp.com/manufacturer/onsemi?pageNo=1157", "ON Semiconductor")</f>
        <v>ON Semiconductor</v>
      </c>
      <c r="C41797" s="6">
        <v>31929</v>
      </c>
      <c r="D41797" s="7">
        <v>5.63</v>
      </c>
      <c r="E41797" t="s">
        <v>20</v>
      </c>
    </row>
    <row r="41798" spans="1:5" x14ac:dyDescent="0.25">
      <c r="A41798" t="str">
        <f>HYPERLINK("https://www.773grp.com/globalSearch/MC10LVEP16DR2/page-1", "MC10LVEP16DR2")</f>
        <v>MC10LVEP16DR2</v>
      </c>
      <c r="B41798" s="3" t="str">
        <f>HYPERLINK("https://www.773grp.com/manufacturer/onsemi?pageNo=1158", "ON Semiconductor")</f>
        <v>ON Semiconductor</v>
      </c>
      <c r="C41798" s="6">
        <v>2497</v>
      </c>
      <c r="D41798" s="7">
        <v>5.63</v>
      </c>
      <c r="E41798" t="s">
        <v>21</v>
      </c>
    </row>
    <row r="41799" spans="1:5" x14ac:dyDescent="0.25">
      <c r="A41799" t="str">
        <f>HYPERLINK("https://www.773grp.com/globalSearch/MC10LVEP16DT/page-1", "MC10LVEP16DT")</f>
        <v>MC10LVEP16DT</v>
      </c>
      <c r="B41799" s="3" t="str">
        <f>HYPERLINK("https://www.773grp.com/manufacturer/onsemi?pageNo=1159", "ON Semiconductor")</f>
        <v>ON Semiconductor</v>
      </c>
      <c r="C41799" s="6">
        <v>6385</v>
      </c>
      <c r="D41799" s="7">
        <v>5.63</v>
      </c>
      <c r="E41799" t="s">
        <v>21</v>
      </c>
    </row>
    <row r="41800" spans="1:5" x14ac:dyDescent="0.25">
      <c r="A41800" t="str">
        <f>HYPERLINK("https://www.773grp.com/globalSearch/MC10LVEP16DTR2/page-1", "MC10LVEP16DTR2")</f>
        <v>MC10LVEP16DTR2</v>
      </c>
      <c r="B41800" s="3" t="str">
        <f>HYPERLINK("https://www.773grp.com/manufacturer/onsemi?pageNo=1160", "ON Semiconductor")</f>
        <v>ON Semiconductor</v>
      </c>
      <c r="C41800" s="6">
        <v>52250</v>
      </c>
      <c r="D41800" s="7">
        <v>5.63</v>
      </c>
      <c r="E41800" t="s">
        <v>21</v>
      </c>
    </row>
    <row r="41801" spans="1:5" x14ac:dyDescent="0.25">
      <c r="A41801" t="str">
        <f>HYPERLINK("https://www.773grp.com/globalSearch/NGTG50N60FWG/page-1", "NGTG50N60FWG")</f>
        <v>NGTG50N60FWG</v>
      </c>
      <c r="B41801" s="3" t="str">
        <f>HYPERLINK("https://www.773grp.com/manufacturer/onsemi?pageNo=1161", "ON Semiconductor")</f>
        <v>ON Semiconductor</v>
      </c>
      <c r="C41801" s="6">
        <v>180</v>
      </c>
      <c r="D41801" s="7">
        <v>5.63</v>
      </c>
    </row>
    <row r="41802" spans="1:5" x14ac:dyDescent="0.25">
      <c r="A41802" t="str">
        <f>HYPERLINK("https://www.773grp.com/globalSearch/SA571DG/page-1", "SA571DG")</f>
        <v>SA571DG</v>
      </c>
      <c r="B41802" s="3" t="str">
        <f>HYPERLINK("https://www.773grp.com/manufacturer/onsemi?pageNo=1162", "ON Semiconductor")</f>
        <v>ON Semiconductor</v>
      </c>
      <c r="C41802" s="6">
        <v>300</v>
      </c>
      <c r="D41802" s="7">
        <v>5.63</v>
      </c>
      <c r="E41802" t="s">
        <v>118</v>
      </c>
    </row>
    <row r="41803" spans="1:5" x14ac:dyDescent="0.25">
      <c r="A41803" t="str">
        <f>HYPERLINK("https://www.773grp.com/globalSearch/SA571DR2G/page-1", "SA571DR2G")</f>
        <v>SA571DR2G</v>
      </c>
      <c r="B41803" s="3" t="str">
        <f>HYPERLINK("https://www.773grp.com/manufacturer/onsemi?pageNo=1163", "ON Semiconductor")</f>
        <v>ON Semiconductor</v>
      </c>
      <c r="C41803" s="6">
        <v>20795</v>
      </c>
      <c r="D41803" s="7">
        <v>5.63</v>
      </c>
      <c r="E41803" t="s">
        <v>118</v>
      </c>
    </row>
    <row r="41804" spans="1:5" x14ac:dyDescent="0.25">
      <c r="A41804" t="str">
        <f>HYPERLINK("https://www.773grp.com/globalSearch/STK672-532/page-1", "STK672-532")</f>
        <v>STK672-532</v>
      </c>
      <c r="B41804" s="3" t="str">
        <f>HYPERLINK("https://www.773grp.com/manufacturer/onsemi?pageNo=1164", "ON Semiconductor")</f>
        <v>ON Semiconductor</v>
      </c>
      <c r="C41804" s="6">
        <v>150</v>
      </c>
      <c r="D41804" s="7">
        <v>5.63</v>
      </c>
    </row>
    <row r="41805" spans="1:5" x14ac:dyDescent="0.25">
      <c r="A41805" t="str">
        <f>HYPERLINK("https://www.773grp.com/globalSearch/CS8101YTVA5/page-1", "CS8101YTVA5")</f>
        <v>CS8101YTVA5</v>
      </c>
      <c r="B41805" s="3" t="str">
        <f>HYPERLINK("https://www.773grp.com/manufacturer/onsemi?pageNo=1165", "ON Semiconductor")</f>
        <v>ON Semiconductor</v>
      </c>
      <c r="C41805" s="6">
        <v>5950</v>
      </c>
      <c r="D41805" s="7">
        <v>5.65</v>
      </c>
      <c r="E41805" t="s">
        <v>19</v>
      </c>
    </row>
    <row r="41806" spans="1:5" x14ac:dyDescent="0.25">
      <c r="A41806" t="str">
        <f>HYPERLINK("https://www.773grp.com/globalSearch/CS8122YTHA5/page-1", "CS8122YTHA5")</f>
        <v>CS8122YTHA5</v>
      </c>
      <c r="B41806" s="3" t="str">
        <f>HYPERLINK("https://www.773grp.com/manufacturer/onsemi?pageNo=1166", "ON Semiconductor")</f>
        <v>ON Semiconductor</v>
      </c>
      <c r="C41806" s="6">
        <v>5000</v>
      </c>
      <c r="D41806" s="7">
        <v>5.65</v>
      </c>
      <c r="E41806" t="s">
        <v>19</v>
      </c>
    </row>
    <row r="41807" spans="1:5" x14ac:dyDescent="0.25">
      <c r="A41807" t="str">
        <f>HYPERLINK("https://www.773grp.com/globalSearch/CS8122YTVA5/page-1", "CS8122YTVA5")</f>
        <v>CS8122YTVA5</v>
      </c>
      <c r="B41807" s="3" t="str">
        <f>HYPERLINK("https://www.773grp.com/manufacturer/onsemi?pageNo=1167", "ON Semiconductor")</f>
        <v>ON Semiconductor</v>
      </c>
      <c r="C41807" s="6">
        <v>4950</v>
      </c>
      <c r="D41807" s="7">
        <v>5.65</v>
      </c>
      <c r="E41807" t="s">
        <v>19</v>
      </c>
    </row>
    <row r="41808" spans="1:5" x14ac:dyDescent="0.25">
      <c r="A41808" t="str">
        <f>HYPERLINK("https://www.773grp.com/globalSearch/LC75833E-E/page-1", "LC75833E-E")</f>
        <v>LC75833E-E</v>
      </c>
      <c r="B41808" s="3" t="str">
        <f>HYPERLINK("https://www.773grp.com/manufacturer/onsemi?pageNo=1168", "ON Semiconductor")</f>
        <v>ON Semiconductor</v>
      </c>
      <c r="C41808" s="6">
        <v>60</v>
      </c>
      <c r="D41808" s="7">
        <v>5.69</v>
      </c>
    </row>
    <row r="41809" spans="1:5" x14ac:dyDescent="0.25">
      <c r="A41809" t="str">
        <f>HYPERLINK("https://www.773grp.com/globalSearch/MC10SX1189D/page-1", "MC10SX1189D")</f>
        <v>MC10SX1189D</v>
      </c>
      <c r="B41809" s="3" t="str">
        <f>HYPERLINK("https://www.773grp.com/manufacturer/onsemi?pageNo=1169", "ON Semiconductor")</f>
        <v>ON Semiconductor</v>
      </c>
      <c r="C41809" s="6">
        <v>18038</v>
      </c>
      <c r="D41809" s="7">
        <v>5.69</v>
      </c>
      <c r="E41809" t="s">
        <v>21</v>
      </c>
    </row>
    <row r="41810" spans="1:5" x14ac:dyDescent="0.25">
      <c r="A41810" t="str">
        <f>HYPERLINK("https://www.773grp.com/globalSearch/FS6377-01G-XTD/page-1", "FS6377-01G-XTD")</f>
        <v>FS6377-01G-XTD</v>
      </c>
      <c r="B41810" s="3" t="str">
        <f>HYPERLINK("https://www.773grp.com/manufacturer/onsemi?pageNo=1170", "ON Semiconductor")</f>
        <v>ON Semiconductor</v>
      </c>
      <c r="C41810" s="6">
        <v>1464</v>
      </c>
      <c r="D41810" s="7">
        <v>5.7</v>
      </c>
      <c r="E41810" t="s">
        <v>79</v>
      </c>
    </row>
    <row r="41811" spans="1:5" x14ac:dyDescent="0.25">
      <c r="A41811" t="str">
        <f>HYPERLINK("https://www.773grp.com/globalSearch/FS6377-01G-XTP/page-1", "FS6377-01G-XTP")</f>
        <v>FS6377-01G-XTP</v>
      </c>
      <c r="B41811" s="3" t="str">
        <f>HYPERLINK("https://www.773grp.com/manufacturer/onsemi?pageNo=1171", "ON Semiconductor")</f>
        <v>ON Semiconductor</v>
      </c>
      <c r="C41811" s="6">
        <v>3000</v>
      </c>
      <c r="D41811" s="7">
        <v>5.7</v>
      </c>
    </row>
    <row r="41812" spans="1:5" x14ac:dyDescent="0.25">
      <c r="A41812" t="str">
        <f>HYPERLINK("https://www.773grp.com/globalSearch/MC10H135L/page-1", "MC10H135L")</f>
        <v>MC10H135L</v>
      </c>
      <c r="B41812" s="3" t="str">
        <f>HYPERLINK("https://www.773grp.com/manufacturer/onsemi?pageNo=1172", "ON Semiconductor")</f>
        <v>ON Semiconductor</v>
      </c>
      <c r="C41812" s="6">
        <v>355</v>
      </c>
      <c r="D41812" s="7">
        <v>5.7</v>
      </c>
      <c r="E41812" t="s">
        <v>35</v>
      </c>
    </row>
    <row r="41813" spans="1:5" x14ac:dyDescent="0.25">
      <c r="A41813" t="str">
        <f>HYPERLINK("https://www.773grp.com/globalSearch/MC14568BD/page-1", "MC14568BD")</f>
        <v>MC14568BD</v>
      </c>
      <c r="B41813" s="3" t="str">
        <f>HYPERLINK("https://www.773grp.com/manufacturer/onsemi?pageNo=1173", "ON Semiconductor")</f>
        <v>ON Semiconductor</v>
      </c>
      <c r="C41813" s="6">
        <v>448</v>
      </c>
      <c r="D41813" s="7">
        <v>5.7</v>
      </c>
      <c r="E41813" t="s">
        <v>26</v>
      </c>
    </row>
    <row r="41814" spans="1:5" x14ac:dyDescent="0.25">
      <c r="A41814" t="str">
        <f>HYPERLINK("https://www.773grp.com/globalSearch/MC14580BCP/page-1", "MC14580BCP")</f>
        <v>MC14580BCP</v>
      </c>
      <c r="B41814" s="3" t="str">
        <f>HYPERLINK("https://www.773grp.com/manufacturer/onsemi?pageNo=1174", "ON Semiconductor")</f>
        <v>ON Semiconductor</v>
      </c>
      <c r="C41814" s="6">
        <v>16</v>
      </c>
      <c r="D41814" s="7">
        <v>5.7</v>
      </c>
      <c r="E41814" t="s">
        <v>75</v>
      </c>
    </row>
    <row r="41815" spans="1:5" x14ac:dyDescent="0.25">
      <c r="A41815" t="str">
        <f>HYPERLINK("https://www.773grp.com/globalSearch/NE521D/page-1", "NE521D")</f>
        <v>NE521D</v>
      </c>
      <c r="B41815" s="3" t="str">
        <f>HYPERLINK("https://www.773grp.com/manufacturer/onsemi?pageNo=1175", "ON Semiconductor")</f>
        <v>ON Semiconductor</v>
      </c>
      <c r="C41815" s="6">
        <v>8011</v>
      </c>
      <c r="D41815" s="7">
        <v>5.7</v>
      </c>
      <c r="E41815" t="s">
        <v>9</v>
      </c>
    </row>
    <row r="41816" spans="1:5" x14ac:dyDescent="0.25">
      <c r="A41816" t="str">
        <f>HYPERLINK("https://www.773grp.com/globalSearch/NE521DG/page-1", "NE521DG")</f>
        <v>NE521DG</v>
      </c>
      <c r="B41816" s="3" t="str">
        <f>HYPERLINK("https://www.773grp.com/manufacturer/onsemi?pageNo=1176", "ON Semiconductor")</f>
        <v>ON Semiconductor</v>
      </c>
      <c r="C41816" s="6">
        <v>35</v>
      </c>
      <c r="D41816" s="7">
        <v>5.7</v>
      </c>
      <c r="E41816" t="s">
        <v>9</v>
      </c>
    </row>
    <row r="41817" spans="1:5" x14ac:dyDescent="0.25">
      <c r="A41817" t="str">
        <f>HYPERLINK("https://www.773grp.com/globalSearch/NE521DR2/page-1", "NE521DR2")</f>
        <v>NE521DR2</v>
      </c>
      <c r="B41817" s="3" t="str">
        <f>HYPERLINK("https://www.773grp.com/manufacturer/onsemi?pageNo=1177", "ON Semiconductor")</f>
        <v>ON Semiconductor</v>
      </c>
      <c r="C41817" s="6">
        <v>1209</v>
      </c>
      <c r="D41817" s="7">
        <v>5.7</v>
      </c>
      <c r="E41817" t="s">
        <v>9</v>
      </c>
    </row>
    <row r="41818" spans="1:5" x14ac:dyDescent="0.25">
      <c r="A41818" t="str">
        <f>HYPERLINK("https://www.773grp.com/globalSearch/NE521DR2G/page-1", "NE521DR2G")</f>
        <v>NE521DR2G</v>
      </c>
      <c r="B41818" s="3" t="str">
        <f>HYPERLINK("https://www.773grp.com/manufacturer/onsemi?pageNo=1178", "ON Semiconductor")</f>
        <v>ON Semiconductor</v>
      </c>
      <c r="C41818" s="6">
        <v>7053</v>
      </c>
      <c r="D41818" s="7">
        <v>5.7</v>
      </c>
      <c r="E41818" t="s">
        <v>9</v>
      </c>
    </row>
    <row r="41819" spans="1:5" x14ac:dyDescent="0.25">
      <c r="A41819" t="str">
        <f>HYPERLINK("https://www.773grp.com/globalSearch/MC10H174ML2/page-1", "MC10H174ML2")</f>
        <v>MC10H174ML2</v>
      </c>
      <c r="B41819" s="3" t="str">
        <f>HYPERLINK("https://www.773grp.com/manufacturer/onsemi?pageNo=1179", "ON Semiconductor")</f>
        <v>ON Semiconductor</v>
      </c>
      <c r="C41819" s="6">
        <v>1900</v>
      </c>
      <c r="D41819" s="7">
        <v>5.74</v>
      </c>
    </row>
    <row r="41820" spans="1:5" x14ac:dyDescent="0.25">
      <c r="A41820" t="str">
        <f>HYPERLINK("https://www.773grp.com/globalSearch/NCP4421P/page-1", "NCP4421P")</f>
        <v>NCP4421P</v>
      </c>
      <c r="B41820" s="3" t="str">
        <f>HYPERLINK("https://www.773grp.com/manufacturer/onsemi?pageNo=1180", "ON Semiconductor")</f>
        <v>ON Semiconductor</v>
      </c>
      <c r="C41820" s="6">
        <v>14518</v>
      </c>
      <c r="D41820" s="7">
        <v>5.74</v>
      </c>
      <c r="E41820" t="s">
        <v>16</v>
      </c>
    </row>
    <row r="41821" spans="1:5" x14ac:dyDescent="0.25">
      <c r="A41821" t="str">
        <f>HYPERLINK("https://www.773grp.com/globalSearch/NCP4422P/page-1", "NCP4422P")</f>
        <v>NCP4422P</v>
      </c>
      <c r="B41821" s="3" t="str">
        <f>HYPERLINK("https://www.773grp.com/manufacturer/onsemi?pageNo=1181", "ON Semiconductor")</f>
        <v>ON Semiconductor</v>
      </c>
      <c r="C41821" s="6">
        <v>13642</v>
      </c>
      <c r="D41821" s="7">
        <v>5.74</v>
      </c>
      <c r="E41821" t="s">
        <v>16</v>
      </c>
    </row>
    <row r="41822" spans="1:5" x14ac:dyDescent="0.25">
      <c r="A41822" t="str">
        <f>HYPERLINK("https://www.773grp.com/globalSearch/CAT5221WI00/page-1", "CAT5221WI00")</f>
        <v>CAT5221WI00</v>
      </c>
      <c r="B41822" s="3" t="str">
        <f>HYPERLINK("https://www.773grp.com/manufacturer/onsemi?pageNo=1182", "ON Semiconductor")</f>
        <v>ON Semiconductor</v>
      </c>
      <c r="C41822" s="6">
        <v>6048</v>
      </c>
      <c r="D41822" s="7">
        <v>5.78</v>
      </c>
      <c r="E41822" t="s">
        <v>99</v>
      </c>
    </row>
    <row r="41823" spans="1:5" x14ac:dyDescent="0.25">
      <c r="A41823" t="str">
        <f>HYPERLINK("https://www.773grp.com/globalSearch/CAT5221WI10/page-1", "CAT5221WI10")</f>
        <v>CAT5221WI10</v>
      </c>
      <c r="B41823" s="3" t="str">
        <f>HYPERLINK("https://www.773grp.com/manufacturer/onsemi?pageNo=1183", "ON Semiconductor")</f>
        <v>ON Semiconductor</v>
      </c>
      <c r="C41823" s="6">
        <v>735</v>
      </c>
      <c r="D41823" s="7">
        <v>5.78</v>
      </c>
      <c r="E41823" t="s">
        <v>99</v>
      </c>
    </row>
    <row r="41824" spans="1:5" x14ac:dyDescent="0.25">
      <c r="A41824" t="str">
        <f>HYPERLINK("https://www.773grp.com/globalSearch/CAT5221WI-25-T1/page-1", "CAT5221WI-25-T1")</f>
        <v>CAT5221WI-25-T1</v>
      </c>
      <c r="B41824" s="3" t="str">
        <f>HYPERLINK("https://www.773grp.com/manufacturer/onsemi?pageNo=1184", "ON Semiconductor")</f>
        <v>ON Semiconductor</v>
      </c>
      <c r="C41824" s="6">
        <v>2000</v>
      </c>
      <c r="D41824" s="7">
        <v>5.78</v>
      </c>
      <c r="E41824" t="s">
        <v>99</v>
      </c>
    </row>
    <row r="41825" spans="1:5" x14ac:dyDescent="0.25">
      <c r="A41825" t="str">
        <f>HYPERLINK("https://www.773grp.com/globalSearch/MC100LVE310FN/page-1", "MC100LVE310FN")</f>
        <v>MC100LVE310FN</v>
      </c>
      <c r="B41825" s="3" t="str">
        <f>HYPERLINK("https://www.773grp.com/manufacturer/onsemi?pageNo=1185", "ON Semiconductor")</f>
        <v>ON Semiconductor</v>
      </c>
      <c r="C41825" s="6">
        <v>3788</v>
      </c>
      <c r="D41825" s="7">
        <v>5.78</v>
      </c>
      <c r="E41825" t="s">
        <v>34</v>
      </c>
    </row>
    <row r="41826" spans="1:5" x14ac:dyDescent="0.25">
      <c r="A41826" t="str">
        <f>HYPERLINK("https://www.773grp.com/globalSearch/MC100LVE310FNR2/page-1", "MC100LVE310FNR2")</f>
        <v>MC100LVE310FNR2</v>
      </c>
      <c r="B41826" s="3" t="str">
        <f>HYPERLINK("https://www.773grp.com/manufacturer/onsemi?pageNo=1186", "ON Semiconductor")</f>
        <v>ON Semiconductor</v>
      </c>
      <c r="C41826" s="6">
        <v>13500</v>
      </c>
      <c r="D41826" s="7">
        <v>5.78</v>
      </c>
      <c r="E41826" t="s">
        <v>34</v>
      </c>
    </row>
    <row r="41827" spans="1:5" x14ac:dyDescent="0.25">
      <c r="A41827" t="str">
        <f>HYPERLINK("https://www.773grp.com/globalSearch/MC10131FN/page-1", "MC10131FN")</f>
        <v>MC10131FN</v>
      </c>
      <c r="B41827" s="3" t="str">
        <f>HYPERLINK("https://www.773grp.com/manufacturer/onsemi?pageNo=1187", "ON Semiconductor")</f>
        <v>ON Semiconductor</v>
      </c>
      <c r="C41827" s="6">
        <v>3747</v>
      </c>
      <c r="D41827" s="7">
        <v>5.79</v>
      </c>
      <c r="E41827" t="s">
        <v>35</v>
      </c>
    </row>
    <row r="41828" spans="1:5" x14ac:dyDescent="0.25">
      <c r="A41828" t="str">
        <f>HYPERLINK("https://www.773grp.com/globalSearch/MC10131FNR2/page-1", "MC10131FNR2")</f>
        <v>MC10131FNR2</v>
      </c>
      <c r="B41828" s="3" t="str">
        <f>HYPERLINK("https://www.773grp.com/manufacturer/onsemi?pageNo=1188", "ON Semiconductor")</f>
        <v>ON Semiconductor</v>
      </c>
      <c r="C41828" s="6">
        <v>3600</v>
      </c>
      <c r="D41828" s="7">
        <v>5.79</v>
      </c>
      <c r="E41828" t="s">
        <v>35</v>
      </c>
    </row>
    <row r="41829" spans="1:5" x14ac:dyDescent="0.25">
      <c r="A41829" t="str">
        <f>HYPERLINK("https://www.773grp.com/globalSearch/MC10159P/page-1", "MC10159P")</f>
        <v>MC10159P</v>
      </c>
      <c r="B41829" s="3" t="str">
        <f>HYPERLINK("https://www.773grp.com/manufacturer/onsemi?pageNo=1189", "ON Semiconductor")</f>
        <v>ON Semiconductor</v>
      </c>
      <c r="C41829" s="6">
        <v>1985</v>
      </c>
      <c r="D41829" s="7">
        <v>5.79</v>
      </c>
      <c r="E41829" t="s">
        <v>20</v>
      </c>
    </row>
    <row r="41830" spans="1:5" x14ac:dyDescent="0.25">
      <c r="A41830" t="str">
        <f>HYPERLINK("https://www.773grp.com/globalSearch/MC10161P/page-1", "MC10161P")</f>
        <v>MC10161P</v>
      </c>
      <c r="B41830" s="3" t="str">
        <f>HYPERLINK("https://www.773grp.com/manufacturer/onsemi?pageNo=1190", "ON Semiconductor")</f>
        <v>ON Semiconductor</v>
      </c>
      <c r="C41830" s="6">
        <v>2050</v>
      </c>
      <c r="D41830" s="7">
        <v>5.79</v>
      </c>
      <c r="E41830" t="s">
        <v>36</v>
      </c>
    </row>
    <row r="41831" spans="1:5" x14ac:dyDescent="0.25">
      <c r="A41831" t="str">
        <f>HYPERLINK("https://www.773grp.com/globalSearch/MC10164P/page-1", "MC10164P")</f>
        <v>MC10164P</v>
      </c>
      <c r="B41831" s="3" t="str">
        <f>HYPERLINK("https://www.773grp.com/manufacturer/onsemi?pageNo=1191", "ON Semiconductor")</f>
        <v>ON Semiconductor</v>
      </c>
      <c r="C41831" s="6">
        <v>110</v>
      </c>
      <c r="D41831" s="7">
        <v>5.79</v>
      </c>
      <c r="E41831" t="s">
        <v>20</v>
      </c>
    </row>
    <row r="41832" spans="1:5" x14ac:dyDescent="0.25">
      <c r="A41832" t="str">
        <f>HYPERLINK("https://www.773grp.com/globalSearch/MC10173P/page-1", "MC10173P")</f>
        <v>MC10173P</v>
      </c>
      <c r="B41832" s="3" t="str">
        <f>HYPERLINK("https://www.773grp.com/manufacturer/onsemi?pageNo=1192", "ON Semiconductor")</f>
        <v>ON Semiconductor</v>
      </c>
      <c r="C41832" s="6">
        <v>2795</v>
      </c>
      <c r="D41832" s="7">
        <v>5.79</v>
      </c>
      <c r="E41832" t="s">
        <v>35</v>
      </c>
    </row>
    <row r="41833" spans="1:5" x14ac:dyDescent="0.25">
      <c r="A41833" t="str">
        <f>HYPERLINK("https://www.773grp.com/globalSearch/MC10H123FNG/page-1", "MC10H123FNG")</f>
        <v>MC10H123FNG</v>
      </c>
      <c r="B41833" s="3" t="str">
        <f>HYPERLINK("https://www.773grp.com/manufacturer/onsemi?pageNo=1193", "ON Semiconductor")</f>
        <v>ON Semiconductor</v>
      </c>
      <c r="C41833" s="6">
        <v>445</v>
      </c>
      <c r="D41833" s="7">
        <v>5.79</v>
      </c>
      <c r="E41833" t="s">
        <v>14</v>
      </c>
    </row>
    <row r="41834" spans="1:5" x14ac:dyDescent="0.25">
      <c r="A41834" t="str">
        <f>HYPERLINK("https://www.773grp.com/globalSearch/MC10H123FNR2G/page-1", "MC10H123FNR2G")</f>
        <v>MC10H123FNR2G</v>
      </c>
      <c r="B41834" s="3" t="str">
        <f>HYPERLINK("https://www.773grp.com/manufacturer/onsemi?pageNo=1194", "ON Semiconductor")</f>
        <v>ON Semiconductor</v>
      </c>
      <c r="C41834" s="6">
        <v>1914</v>
      </c>
      <c r="D41834" s="7">
        <v>5.79</v>
      </c>
      <c r="E41834" t="s">
        <v>14</v>
      </c>
    </row>
    <row r="41835" spans="1:5" x14ac:dyDescent="0.25">
      <c r="A41835" t="str">
        <f>HYPERLINK("https://www.773grp.com/globalSearch/MC100LVEL11DR2/page-1", "MC100LVEL11DR2")</f>
        <v>MC100LVEL11DR2</v>
      </c>
      <c r="B41835" s="3" t="str">
        <f>HYPERLINK("https://www.773grp.com/manufacturer/onsemi?pageNo=1195", "ON Semiconductor")</f>
        <v>ON Semiconductor</v>
      </c>
      <c r="C41835" s="6">
        <v>40000</v>
      </c>
      <c r="D41835" s="7">
        <v>5.91</v>
      </c>
      <c r="E41835" t="s">
        <v>34</v>
      </c>
    </row>
    <row r="41836" spans="1:5" x14ac:dyDescent="0.25">
      <c r="A41836" t="str">
        <f>HYPERLINK("https://www.773grp.com/globalSearch/MC10158P/page-1", "MC10158P")</f>
        <v>MC10158P</v>
      </c>
      <c r="B41836" s="3" t="str">
        <f>HYPERLINK("https://www.773grp.com/manufacturer/onsemi?pageNo=1196", "ON Semiconductor")</f>
        <v>ON Semiconductor</v>
      </c>
      <c r="C41836" s="6">
        <v>2419</v>
      </c>
      <c r="D41836" s="7">
        <v>5.91</v>
      </c>
      <c r="E41836" t="s">
        <v>20</v>
      </c>
    </row>
    <row r="41837" spans="1:5" x14ac:dyDescent="0.25">
      <c r="A41837" t="str">
        <f>HYPERLINK("https://www.773grp.com/globalSearch/MC10H159ML2/page-1", "MC10H159ML2")</f>
        <v>MC10H159ML2</v>
      </c>
      <c r="B41837" s="3" t="str">
        <f>HYPERLINK("https://www.773grp.com/manufacturer/onsemi?pageNo=1197", "ON Semiconductor")</f>
        <v>ON Semiconductor</v>
      </c>
      <c r="C41837" s="6">
        <v>6000</v>
      </c>
      <c r="D41837" s="7">
        <v>5.91</v>
      </c>
    </row>
    <row r="41838" spans="1:5" x14ac:dyDescent="0.25">
      <c r="A41838" t="str">
        <f>HYPERLINK("https://www.773grp.com/globalSearch/MJ15022G/page-1", "MJ15022G")</f>
        <v>MJ15022G</v>
      </c>
      <c r="B41838" s="3" t="str">
        <f>HYPERLINK("https://www.773grp.com/manufacturer/onsemi?pageNo=1198", "ON Semiconductor")</f>
        <v>ON Semiconductor</v>
      </c>
      <c r="C41838" s="6">
        <v>20935</v>
      </c>
      <c r="D41838" s="7">
        <v>5.91</v>
      </c>
      <c r="E41838" t="s">
        <v>59</v>
      </c>
    </row>
    <row r="41839" spans="1:5" x14ac:dyDescent="0.25">
      <c r="A41839" t="str">
        <f>HYPERLINK("https://www.773grp.com/globalSearch/MJ15023G/page-1", "MJ15023G")</f>
        <v>MJ15023G</v>
      </c>
      <c r="B41839" s="3" t="str">
        <f>HYPERLINK("https://www.773grp.com/manufacturer/onsemi?pageNo=1199", "ON Semiconductor")</f>
        <v>ON Semiconductor</v>
      </c>
      <c r="C41839" s="6">
        <v>434</v>
      </c>
      <c r="D41839" s="7">
        <v>5.91</v>
      </c>
      <c r="E41839" t="s">
        <v>59</v>
      </c>
    </row>
    <row r="41840" spans="1:5" x14ac:dyDescent="0.25">
      <c r="A41840" t="str">
        <f>HYPERLINK("https://www.773grp.com/globalSearch/MJ15024G/page-1", "MJ15024G")</f>
        <v>MJ15024G</v>
      </c>
      <c r="B41840" s="3" t="str">
        <f>HYPERLINK("https://www.773grp.com/manufacturer/onsemi?pageNo=1200", "ON Semiconductor")</f>
        <v>ON Semiconductor</v>
      </c>
      <c r="C41840" s="6">
        <v>1000</v>
      </c>
      <c r="D41840" s="7">
        <v>5.91</v>
      </c>
    </row>
    <row r="41841" spans="1:5" x14ac:dyDescent="0.25">
      <c r="A41841" t="str">
        <f>HYPERLINK("https://www.773grp.com/globalSearch/MJ15025G/page-1", "MJ15025G")</f>
        <v>MJ15025G</v>
      </c>
      <c r="B41841" s="3" t="str">
        <f>HYPERLINK("https://www.773grp.com/manufacturer/onsemi?pageNo=1201", "ON Semiconductor")</f>
        <v>ON Semiconductor</v>
      </c>
      <c r="C41841" s="6">
        <v>15440</v>
      </c>
      <c r="D41841" s="7">
        <v>5.91</v>
      </c>
      <c r="E41841" t="s">
        <v>59</v>
      </c>
    </row>
    <row r="41842" spans="1:5" x14ac:dyDescent="0.25">
      <c r="A41842" t="str">
        <f>HYPERLINK("https://www.773grp.com/globalSearch/MJ21193G/page-1", "MJ21193G")</f>
        <v>MJ21193G</v>
      </c>
      <c r="B41842" s="3" t="str">
        <f>HYPERLINK("https://www.773grp.com/manufacturer/onsemi?pageNo=1202", "ON Semiconductor")</f>
        <v>ON Semiconductor</v>
      </c>
      <c r="C41842" s="6">
        <v>8983</v>
      </c>
      <c r="D41842" s="7">
        <v>5.91</v>
      </c>
      <c r="E41842" t="s">
        <v>59</v>
      </c>
    </row>
    <row r="41843" spans="1:5" x14ac:dyDescent="0.25">
      <c r="A41843" t="str">
        <f>HYPERLINK("https://www.773grp.com/globalSearch/MJ21194G/page-1", "MJ21194G")</f>
        <v>MJ21194G</v>
      </c>
      <c r="B41843" s="3" t="str">
        <f>HYPERLINK("https://www.773grp.com/manufacturer/onsemi?pageNo=1203", "ON Semiconductor")</f>
        <v>ON Semiconductor</v>
      </c>
      <c r="C41843" s="6">
        <v>1687</v>
      </c>
      <c r="D41843" s="7">
        <v>5.91</v>
      </c>
      <c r="E41843" t="s">
        <v>59</v>
      </c>
    </row>
    <row r="41844" spans="1:5" x14ac:dyDescent="0.25">
      <c r="A41844" t="str">
        <f>HYPERLINK("https://www.773grp.com/globalSearch/NCP3012DTBR2G/page-1", "NCP3012DTBR2G")</f>
        <v>NCP3012DTBR2G</v>
      </c>
      <c r="B41844" s="3" t="str">
        <f>HYPERLINK("https://www.773grp.com/manufacturer/onsemi?pageNo=1204", "ON Semiconductor")</f>
        <v>ON Semiconductor</v>
      </c>
      <c r="C41844" s="6">
        <v>8800</v>
      </c>
      <c r="D41844" s="7">
        <v>5.91</v>
      </c>
      <c r="E41844" t="s">
        <v>7</v>
      </c>
    </row>
    <row r="41845" spans="1:5" x14ac:dyDescent="0.25">
      <c r="A41845" t="str">
        <f>HYPERLINK("https://www.773grp.com/globalSearch/NCP4115VKR2/page-1", "NCP4115VKR2")</f>
        <v>NCP4115VKR2</v>
      </c>
      <c r="B41845" s="3" t="str">
        <f>HYPERLINK("https://www.773grp.com/manufacturer/onsemi?pageNo=1205", "ON Semiconductor")</f>
        <v>ON Semiconductor</v>
      </c>
      <c r="C41845" s="6">
        <v>119665</v>
      </c>
      <c r="D41845" s="7">
        <v>5.91</v>
      </c>
    </row>
    <row r="41846" spans="1:5" x14ac:dyDescent="0.25">
      <c r="A41846" t="str">
        <f>HYPERLINK("https://www.773grp.com/globalSearch/NCV33033DWR2G/page-1", "NCV33033DWR2G")</f>
        <v>NCV33033DWR2G</v>
      </c>
      <c r="B41846" s="3" t="str">
        <f>HYPERLINK("https://www.773grp.com/manufacturer/onsemi?pageNo=1206", "ON Semiconductor")</f>
        <v>ON Semiconductor</v>
      </c>
      <c r="C41846" s="6">
        <v>3082</v>
      </c>
      <c r="D41846" s="7">
        <v>5.91</v>
      </c>
      <c r="E41846" t="s">
        <v>62</v>
      </c>
    </row>
    <row r="41847" spans="1:5" x14ac:dyDescent="0.25">
      <c r="A41847" t="str">
        <f>HYPERLINK("https://www.773grp.com/globalSearch/SCV33033DWR2G/page-1", "SCV33033DWR2G")</f>
        <v>SCV33033DWR2G</v>
      </c>
      <c r="B41847" s="3" t="str">
        <f>HYPERLINK("https://www.773grp.com/manufacturer/onsemi?pageNo=1207", "ON Semiconductor")</f>
        <v>ON Semiconductor</v>
      </c>
      <c r="C41847" s="6">
        <v>1000</v>
      </c>
      <c r="D41847" s="7">
        <v>5.91</v>
      </c>
    </row>
    <row r="41848" spans="1:5" x14ac:dyDescent="0.25">
      <c r="A41848" t="str">
        <f>HYPERLINK("https://www.773grp.com/globalSearch/LC75833JE-E/page-1", "LC75833JE-E")</f>
        <v>LC75833JE-E</v>
      </c>
      <c r="B41848" s="3" t="str">
        <f>HYPERLINK("https://www.773grp.com/manufacturer/onsemi?pageNo=1208", "ON Semiconductor")</f>
        <v>ON Semiconductor</v>
      </c>
      <c r="C41848" s="6">
        <v>2151</v>
      </c>
      <c r="D41848" s="7">
        <v>5.99</v>
      </c>
    </row>
    <row r="41849" spans="1:5" x14ac:dyDescent="0.25">
      <c r="A41849" t="str">
        <f>HYPERLINK("https://www.773grp.com/globalSearch/LC75833JE-E/page-1", "LC75833JE-E")</f>
        <v>LC75833JE-E</v>
      </c>
      <c r="B41849" s="3" t="str">
        <f>HYPERLINK("https://www.773grp.com/manufacturer/onsemi?pageNo=1209", "ON Semiconductor")</f>
        <v>ON Semiconductor</v>
      </c>
      <c r="C41849" s="6">
        <v>1400</v>
      </c>
      <c r="D41849" s="7">
        <v>5.99</v>
      </c>
    </row>
    <row r="41850" spans="1:5" x14ac:dyDescent="0.25">
      <c r="A41850" t="str">
        <f>HYPERLINK("https://www.773grp.com/globalSearch/CS5302GDWR28/page-1", "CS5302GDWR28")</f>
        <v>CS5302GDWR28</v>
      </c>
      <c r="B41850" s="3" t="str">
        <f>HYPERLINK("https://www.773grp.com/manufacturer/onsemi?pageNo=1210", "ON Semiconductor")</f>
        <v>ON Semiconductor</v>
      </c>
      <c r="C41850" s="6">
        <v>18000</v>
      </c>
      <c r="D41850" s="7">
        <v>6.03</v>
      </c>
      <c r="E41850" t="s">
        <v>7</v>
      </c>
    </row>
    <row r="41851" spans="1:5" x14ac:dyDescent="0.25">
      <c r="A41851" t="str">
        <f>HYPERLINK("https://www.773grp.com/globalSearch/CS8190EDWF20/page-1", "CS8190EDWF20")</f>
        <v>CS8190EDWF20</v>
      </c>
      <c r="B41851" s="3" t="str">
        <f>HYPERLINK("https://www.773grp.com/manufacturer/onsemi?pageNo=1211", "ON Semiconductor")</f>
        <v>ON Semiconductor</v>
      </c>
      <c r="C41851" s="6">
        <v>798</v>
      </c>
      <c r="D41851" s="7">
        <v>6.03</v>
      </c>
      <c r="E41851" t="s">
        <v>11</v>
      </c>
    </row>
    <row r="41852" spans="1:5" x14ac:dyDescent="0.25">
      <c r="A41852" t="str">
        <f>HYPERLINK("https://www.773grp.com/globalSearch/MJW16206/page-1", "MJW16206")</f>
        <v>MJW16206</v>
      </c>
      <c r="B41852" s="3" t="str">
        <f>HYPERLINK("https://www.773grp.com/manufacturer/onsemi?pageNo=1212", "ON Semiconductor")</f>
        <v>ON Semiconductor</v>
      </c>
      <c r="C41852" s="6">
        <v>7869</v>
      </c>
      <c r="D41852" s="7">
        <v>6.03</v>
      </c>
      <c r="E41852" t="s">
        <v>59</v>
      </c>
    </row>
    <row r="41853" spans="1:5" x14ac:dyDescent="0.25">
      <c r="A41853" t="str">
        <f>HYPERLINK("https://www.773grp.com/globalSearch/LV56801P-E/page-1", "LV56801P-E")</f>
        <v>LV56801P-E</v>
      </c>
      <c r="B41853" s="3" t="str">
        <f>HYPERLINK("https://www.773grp.com/manufacturer/onsemi?pageNo=1213", "ON Semiconductor")</f>
        <v>ON Semiconductor</v>
      </c>
      <c r="C41853" s="6">
        <v>600</v>
      </c>
      <c r="D41853" s="7">
        <v>6.04</v>
      </c>
    </row>
    <row r="41854" spans="1:5" x14ac:dyDescent="0.25">
      <c r="A41854" t="str">
        <f>HYPERLINK("https://www.773grp.com/globalSearch/CS8151YTVA7G/page-1", "CS8151YTVA7G")</f>
        <v>CS8151YTVA7G</v>
      </c>
      <c r="B41854" s="3" t="str">
        <f>HYPERLINK("https://www.773grp.com/manufacturer/onsemi?pageNo=1214", "ON Semiconductor")</f>
        <v>ON Semiconductor</v>
      </c>
      <c r="C41854" s="6">
        <v>650</v>
      </c>
      <c r="D41854" s="7">
        <v>6.13</v>
      </c>
      <c r="E41854" t="s">
        <v>19</v>
      </c>
    </row>
    <row r="41855" spans="1:5" x14ac:dyDescent="0.25">
      <c r="A41855" t="str">
        <f>HYPERLINK("https://www.773grp.com/globalSearch/LB1946-E/page-1", "LB1946-E")</f>
        <v>LB1946-E</v>
      </c>
      <c r="B41855" s="3" t="str">
        <f>HYPERLINK("https://www.773grp.com/manufacturer/onsemi?pageNo=1215", "ON Semiconductor")</f>
        <v>ON Semiconductor</v>
      </c>
      <c r="C41855" s="6">
        <v>254</v>
      </c>
      <c r="D41855" s="7">
        <v>6.13</v>
      </c>
    </row>
    <row r="41856" spans="1:5" x14ac:dyDescent="0.25">
      <c r="A41856" t="str">
        <f>HYPERLINK("https://www.773grp.com/globalSearch/MC10H175FN/page-1", "MC10H175FN")</f>
        <v>MC10H175FN</v>
      </c>
      <c r="B41856" s="3" t="str">
        <f>HYPERLINK("https://www.773grp.com/manufacturer/onsemi?pageNo=1216", "ON Semiconductor")</f>
        <v>ON Semiconductor</v>
      </c>
      <c r="C41856" s="6">
        <v>2530</v>
      </c>
      <c r="D41856" s="7">
        <v>6.13</v>
      </c>
      <c r="E41856" t="s">
        <v>35</v>
      </c>
    </row>
    <row r="41857" spans="1:5" x14ac:dyDescent="0.25">
      <c r="A41857" t="str">
        <f>HYPERLINK("https://www.773grp.com/globalSearch/MC10H175FNR2/page-1", "MC10H175FNR2")</f>
        <v>MC10H175FNR2</v>
      </c>
      <c r="B41857" s="3" t="str">
        <f>HYPERLINK("https://www.773grp.com/manufacturer/onsemi?pageNo=1217", "ON Semiconductor")</f>
        <v>ON Semiconductor</v>
      </c>
      <c r="C41857" s="6">
        <v>2500</v>
      </c>
      <c r="D41857" s="7">
        <v>6.13</v>
      </c>
      <c r="E41857" t="s">
        <v>35</v>
      </c>
    </row>
    <row r="41858" spans="1:5" x14ac:dyDescent="0.25">
      <c r="A41858" t="str">
        <f>HYPERLINK("https://www.773grp.com/globalSearch/CS1084XN40/page-1", "CS1084XN40")</f>
        <v>CS1084XN40</v>
      </c>
      <c r="B41858" s="3" t="str">
        <f>HYPERLINK("https://www.773grp.com/manufacturer/onsemi?pageNo=1218", "ON Semiconductor")</f>
        <v>ON Semiconductor</v>
      </c>
      <c r="C41858" s="6">
        <v>189</v>
      </c>
      <c r="D41858" s="7">
        <v>6.16</v>
      </c>
      <c r="E41858" t="s">
        <v>10</v>
      </c>
    </row>
    <row r="41859" spans="1:5" x14ac:dyDescent="0.25">
      <c r="A41859" t="str">
        <f>HYPERLINK("https://www.773grp.com/globalSearch/2N3055AG/page-1", "2N3055AG")</f>
        <v>2N3055AG</v>
      </c>
      <c r="B41859" s="3" t="str">
        <f>HYPERLINK("https://www.773grp.com/manufacturer/onsemi?pageNo=1219", "ON Semiconductor")</f>
        <v>ON Semiconductor</v>
      </c>
      <c r="C41859" s="6">
        <v>576</v>
      </c>
      <c r="D41859" s="7">
        <v>6.19</v>
      </c>
      <c r="E41859" t="s">
        <v>59</v>
      </c>
    </row>
    <row r="41860" spans="1:5" x14ac:dyDescent="0.25">
      <c r="A41860" t="str">
        <f>HYPERLINK("https://www.773grp.com/globalSearch/2N3442G/page-1", "2N3442G")</f>
        <v>2N3442G</v>
      </c>
      <c r="B41860" s="3" t="str">
        <f>HYPERLINK("https://www.773grp.com/manufacturer/onsemi?pageNo=1220", "ON Semiconductor")</f>
        <v>ON Semiconductor</v>
      </c>
      <c r="C41860" s="6">
        <v>2363</v>
      </c>
      <c r="D41860" s="7">
        <v>6.19</v>
      </c>
      <c r="E41860" t="s">
        <v>59</v>
      </c>
    </row>
    <row r="41861" spans="1:5" x14ac:dyDescent="0.25">
      <c r="A41861" t="str">
        <f>HYPERLINK("https://www.773grp.com/globalSearch/CAT521WI/page-1", "CAT521WI")</f>
        <v>CAT521WI</v>
      </c>
      <c r="B41861" s="3" t="str">
        <f>HYPERLINK("https://www.773grp.com/manufacturer/onsemi?pageNo=1221", "ON Semiconductor")</f>
        <v>ON Semiconductor</v>
      </c>
      <c r="C41861" s="6">
        <v>2420</v>
      </c>
      <c r="D41861" s="7">
        <v>6.19</v>
      </c>
      <c r="E41861" t="s">
        <v>40</v>
      </c>
    </row>
    <row r="41862" spans="1:5" x14ac:dyDescent="0.25">
      <c r="A41862" t="str">
        <f>HYPERLINK("https://www.773grp.com/globalSearch/CS5322GDW28/page-1", "CS5322GDW28")</f>
        <v>CS5322GDW28</v>
      </c>
      <c r="B41862" s="3" t="str">
        <f>HYPERLINK("https://www.773grp.com/manufacturer/onsemi?pageNo=1222", "ON Semiconductor")</f>
        <v>ON Semiconductor</v>
      </c>
      <c r="C41862" s="6">
        <v>1092</v>
      </c>
      <c r="D41862" s="7">
        <v>6.19</v>
      </c>
      <c r="E41862" t="s">
        <v>7</v>
      </c>
    </row>
    <row r="41863" spans="1:5" x14ac:dyDescent="0.25">
      <c r="A41863" t="str">
        <f>HYPERLINK("https://www.773grp.com/globalSearch/MC10162P/page-1", "MC10162P")</f>
        <v>MC10162P</v>
      </c>
      <c r="B41863" s="3" t="str">
        <f>HYPERLINK("https://www.773grp.com/manufacturer/onsemi?pageNo=1223", "ON Semiconductor")</f>
        <v>ON Semiconductor</v>
      </c>
      <c r="C41863" s="6">
        <v>1875</v>
      </c>
      <c r="D41863" s="7">
        <v>6.19</v>
      </c>
      <c r="E41863" t="s">
        <v>36</v>
      </c>
    </row>
    <row r="41864" spans="1:5" x14ac:dyDescent="0.25">
      <c r="A41864" t="str">
        <f>HYPERLINK("https://www.773grp.com/globalSearch/MJ15015G/page-1", "MJ15015G")</f>
        <v>MJ15015G</v>
      </c>
      <c r="B41864" s="3" t="str">
        <f>HYPERLINK("https://www.773grp.com/manufacturer/onsemi?pageNo=1224", "ON Semiconductor")</f>
        <v>ON Semiconductor</v>
      </c>
      <c r="C41864" s="6">
        <v>1900</v>
      </c>
      <c r="D41864" s="7">
        <v>6.19</v>
      </c>
    </row>
    <row r="41865" spans="1:5" x14ac:dyDescent="0.25">
      <c r="A41865" t="str">
        <f>HYPERLINK("https://www.773grp.com/globalSearch/NJL4281DG/page-1", "NJL4281DG")</f>
        <v>NJL4281DG</v>
      </c>
      <c r="B41865" s="3" t="str">
        <f>HYPERLINK("https://www.773grp.com/manufacturer/onsemi?pageNo=1225", "ON Semiconductor")</f>
        <v>ON Semiconductor</v>
      </c>
      <c r="C41865" s="6">
        <v>3681</v>
      </c>
      <c r="D41865" s="7">
        <v>6.19</v>
      </c>
      <c r="E41865" t="s">
        <v>59</v>
      </c>
    </row>
    <row r="41866" spans="1:5" x14ac:dyDescent="0.25">
      <c r="A41866" t="str">
        <f>HYPERLINK("https://www.773grp.com/globalSearch/NJL4302DG/page-1", "NJL4302DG")</f>
        <v>NJL4302DG</v>
      </c>
      <c r="B41866" s="3" t="str">
        <f>HYPERLINK("https://www.773grp.com/manufacturer/onsemi?pageNo=1226", "ON Semiconductor")</f>
        <v>ON Semiconductor</v>
      </c>
      <c r="C41866" s="6">
        <v>8</v>
      </c>
      <c r="D41866" s="7">
        <v>6.19</v>
      </c>
      <c r="E41866" t="s">
        <v>59</v>
      </c>
    </row>
    <row r="41867" spans="1:5" x14ac:dyDescent="0.25">
      <c r="A41867" t="str">
        <f>HYPERLINK("https://www.773grp.com/globalSearch/SA572DG/page-1", "SA572DG")</f>
        <v>SA572DG</v>
      </c>
      <c r="B41867" s="3" t="str">
        <f>HYPERLINK("https://www.773grp.com/manufacturer/onsemi?pageNo=1227", "ON Semiconductor")</f>
        <v>ON Semiconductor</v>
      </c>
      <c r="C41867" s="6">
        <v>29</v>
      </c>
      <c r="D41867" s="7">
        <v>6.19</v>
      </c>
      <c r="E41867" t="s">
        <v>118</v>
      </c>
    </row>
    <row r="41868" spans="1:5" x14ac:dyDescent="0.25">
      <c r="A41868" t="str">
        <f>HYPERLINK("https://www.773grp.com/globalSearch/SA572DR2G/page-1", "SA572DR2G")</f>
        <v>SA572DR2G</v>
      </c>
      <c r="B41868" s="3" t="str">
        <f>HYPERLINK("https://www.773grp.com/manufacturer/onsemi?pageNo=1228", "ON Semiconductor")</f>
        <v>ON Semiconductor</v>
      </c>
      <c r="C41868" s="6">
        <v>25305</v>
      </c>
      <c r="D41868" s="7">
        <v>6.19</v>
      </c>
      <c r="E41868" t="s">
        <v>118</v>
      </c>
    </row>
    <row r="41869" spans="1:5" x14ac:dyDescent="0.25">
      <c r="A41869" t="str">
        <f>HYPERLINK("https://www.773grp.com/globalSearch/MC10216L/page-1", "MC10216L")</f>
        <v>MC10216L</v>
      </c>
      <c r="B41869" s="3" t="str">
        <f>HYPERLINK("https://www.773grp.com/manufacturer/onsemi?pageNo=1229", "ON Semiconductor")</f>
        <v>ON Semiconductor</v>
      </c>
      <c r="C41869" s="6">
        <v>1137</v>
      </c>
      <c r="D41869" s="7">
        <v>6.25</v>
      </c>
      <c r="E41869" t="s">
        <v>21</v>
      </c>
    </row>
    <row r="41870" spans="1:5" x14ac:dyDescent="0.25">
      <c r="A41870" t="str">
        <f>HYPERLINK("https://www.773grp.com/globalSearch/MC100E111FNR2/page-1", "MC100E111FNR2")</f>
        <v>MC100E111FNR2</v>
      </c>
      <c r="B41870" s="3" t="str">
        <f>HYPERLINK("https://www.773grp.com/manufacturer/onsemi?pageNo=1230", "ON Semiconductor")</f>
        <v>ON Semiconductor</v>
      </c>
      <c r="C41870" s="6">
        <v>21573</v>
      </c>
      <c r="D41870" s="7">
        <v>6.28</v>
      </c>
      <c r="E41870" t="s">
        <v>34</v>
      </c>
    </row>
    <row r="41871" spans="1:5" x14ac:dyDescent="0.25">
      <c r="A41871" t="str">
        <f>HYPERLINK("https://www.773grp.com/globalSearch/MC100LVE111FNR2/page-1", "MC100LVE111FNR2")</f>
        <v>MC100LVE111FNR2</v>
      </c>
      <c r="B41871" s="3" t="str">
        <f>HYPERLINK("https://www.773grp.com/manufacturer/onsemi?pageNo=1231", "ON Semiconductor")</f>
        <v>ON Semiconductor</v>
      </c>
      <c r="C41871" s="6">
        <v>6340</v>
      </c>
      <c r="D41871" s="7">
        <v>6.28</v>
      </c>
      <c r="E41871" t="s">
        <v>34</v>
      </c>
    </row>
    <row r="41872" spans="1:5" x14ac:dyDescent="0.25">
      <c r="A41872" t="str">
        <f>HYPERLINK("https://www.773grp.com/globalSearch/MC10161FN/page-1", "MC10161FN")</f>
        <v>MC10161FN</v>
      </c>
      <c r="B41872" s="3" t="str">
        <f>HYPERLINK("https://www.773grp.com/manufacturer/onsemi?pageNo=1232", "ON Semiconductor")</f>
        <v>ON Semiconductor</v>
      </c>
      <c r="C41872" s="6">
        <v>4561</v>
      </c>
      <c r="D41872" s="7">
        <v>6.28</v>
      </c>
      <c r="E41872" t="s">
        <v>36</v>
      </c>
    </row>
    <row r="41873" spans="1:5" x14ac:dyDescent="0.25">
      <c r="A41873" t="str">
        <f>HYPERLINK("https://www.773grp.com/globalSearch/MC10164FN/page-1", "MC10164FN")</f>
        <v>MC10164FN</v>
      </c>
      <c r="B41873" s="3" t="str">
        <f>HYPERLINK("https://www.773grp.com/manufacturer/onsemi?pageNo=1233", "ON Semiconductor")</f>
        <v>ON Semiconductor</v>
      </c>
      <c r="C41873" s="6">
        <v>2572</v>
      </c>
      <c r="D41873" s="7">
        <v>6.28</v>
      </c>
      <c r="E41873" t="s">
        <v>20</v>
      </c>
    </row>
    <row r="41874" spans="1:5" x14ac:dyDescent="0.25">
      <c r="A41874" t="str">
        <f>HYPERLINK("https://www.773grp.com/globalSearch/MC10E111FN/page-1", "MC10E111FN")</f>
        <v>MC10E111FN</v>
      </c>
      <c r="B41874" s="3" t="str">
        <f>HYPERLINK("https://www.773grp.com/manufacturer/onsemi?pageNo=1234", "ON Semiconductor")</f>
        <v>ON Semiconductor</v>
      </c>
      <c r="C41874" s="6">
        <v>2649</v>
      </c>
      <c r="D41874" s="7">
        <v>6.28</v>
      </c>
      <c r="E41874" t="s">
        <v>34</v>
      </c>
    </row>
    <row r="41875" spans="1:5" x14ac:dyDescent="0.25">
      <c r="A41875" t="str">
        <f>HYPERLINK("https://www.773grp.com/globalSearch/MC10E111FNR2/page-1", "MC10E111FNR2")</f>
        <v>MC10E111FNR2</v>
      </c>
      <c r="B41875" s="3" t="str">
        <f>HYPERLINK("https://www.773grp.com/manufacturer/onsemi?pageNo=1235", "ON Semiconductor")</f>
        <v>ON Semiconductor</v>
      </c>
      <c r="C41875" s="6">
        <v>8465</v>
      </c>
      <c r="D41875" s="7">
        <v>6.28</v>
      </c>
      <c r="E41875" t="s">
        <v>34</v>
      </c>
    </row>
    <row r="41876" spans="1:5" x14ac:dyDescent="0.25">
      <c r="A41876" t="str">
        <f>HYPERLINK("https://www.773grp.com/globalSearch/MC10E112FN/page-1", "MC10E112FN")</f>
        <v>MC10E112FN</v>
      </c>
      <c r="B41876" s="3" t="str">
        <f>HYPERLINK("https://www.773grp.com/manufacturer/onsemi?pageNo=1236", "ON Semiconductor")</f>
        <v>ON Semiconductor</v>
      </c>
      <c r="C41876" s="6">
        <v>4</v>
      </c>
      <c r="D41876" s="7">
        <v>6.28</v>
      </c>
      <c r="E41876" t="s">
        <v>31</v>
      </c>
    </row>
    <row r="41877" spans="1:5" x14ac:dyDescent="0.25">
      <c r="A41877" t="str">
        <f>HYPERLINK("https://www.773grp.com/globalSearch/MC10E112FNG/page-1", "MC10E112FNG")</f>
        <v>MC10E112FNG</v>
      </c>
      <c r="B41877" s="3" t="str">
        <f>HYPERLINK("https://www.773grp.com/manufacturer/onsemi?pageNo=1237", "ON Semiconductor")</f>
        <v>ON Semiconductor</v>
      </c>
      <c r="C41877" s="6">
        <v>2405</v>
      </c>
      <c r="D41877" s="7">
        <v>6.28</v>
      </c>
      <c r="E41877" t="s">
        <v>31</v>
      </c>
    </row>
    <row r="41878" spans="1:5" x14ac:dyDescent="0.25">
      <c r="A41878" t="str">
        <f>HYPERLINK("https://www.773grp.com/globalSearch/VMC10E111FNR2/page-1", "VMC10E111FNR2")</f>
        <v>VMC10E111FNR2</v>
      </c>
      <c r="B41878" s="3" t="str">
        <f>HYPERLINK("https://www.773grp.com/manufacturer/onsemi?pageNo=1238", "ON Semiconductor")</f>
        <v>ON Semiconductor</v>
      </c>
      <c r="C41878" s="6">
        <v>500</v>
      </c>
      <c r="D41878" s="7">
        <v>6.28</v>
      </c>
    </row>
    <row r="41879" spans="1:5" x14ac:dyDescent="0.25">
      <c r="A41879" t="str">
        <f>HYPERLINK("https://www.773grp.com/globalSearch/MC10135P/page-1", "MC10135P")</f>
        <v>MC10135P</v>
      </c>
      <c r="B41879" s="3" t="str">
        <f>HYPERLINK("https://www.773grp.com/manufacturer/onsemi?pageNo=1239", "ON Semiconductor")</f>
        <v>ON Semiconductor</v>
      </c>
      <c r="C41879" s="6">
        <v>7325</v>
      </c>
      <c r="D41879" s="7">
        <v>6.3</v>
      </c>
      <c r="E41879" t="s">
        <v>35</v>
      </c>
    </row>
    <row r="41880" spans="1:5" x14ac:dyDescent="0.25">
      <c r="A41880" t="str">
        <f>HYPERLINK("https://www.773grp.com/globalSearch/MC10158FN/page-1", "MC10158FN")</f>
        <v>MC10158FN</v>
      </c>
      <c r="B41880" s="3" t="str">
        <f>HYPERLINK("https://www.773grp.com/manufacturer/onsemi?pageNo=1240", "ON Semiconductor")</f>
        <v>ON Semiconductor</v>
      </c>
      <c r="C41880" s="6">
        <v>12</v>
      </c>
      <c r="D41880" s="7">
        <v>6.3</v>
      </c>
      <c r="E41880" t="s">
        <v>20</v>
      </c>
    </row>
    <row r="41881" spans="1:5" x14ac:dyDescent="0.25">
      <c r="A41881" t="str">
        <f>HYPERLINK("https://www.773grp.com/globalSearch/MC10158FNR2/page-1", "MC10158FNR2")</f>
        <v>MC10158FNR2</v>
      </c>
      <c r="B41881" s="3" t="str">
        <f>HYPERLINK("https://www.773grp.com/manufacturer/onsemi?pageNo=1241", "ON Semiconductor")</f>
        <v>ON Semiconductor</v>
      </c>
      <c r="C41881" s="6">
        <v>1700</v>
      </c>
      <c r="D41881" s="7">
        <v>6.3</v>
      </c>
      <c r="E41881" t="s">
        <v>20</v>
      </c>
    </row>
    <row r="41882" spans="1:5" x14ac:dyDescent="0.25">
      <c r="A41882" t="str">
        <f>HYPERLINK("https://www.773grp.com/globalSearch/MC10H176P/page-1", "MC10H176P")</f>
        <v>MC10H176P</v>
      </c>
      <c r="B41882" s="3" t="str">
        <f>HYPERLINK("https://www.773grp.com/manufacturer/onsemi?pageNo=1242", "ON Semiconductor")</f>
        <v>ON Semiconductor</v>
      </c>
      <c r="C41882" s="6">
        <v>1705</v>
      </c>
      <c r="D41882" s="7">
        <v>6.3</v>
      </c>
      <c r="E41882" t="s">
        <v>35</v>
      </c>
    </row>
    <row r="41883" spans="1:5" x14ac:dyDescent="0.25">
      <c r="A41883" t="str">
        <f>HYPERLINK("https://www.773grp.com/globalSearch/CS5301GDW32G/page-1", "CS5301GDW32G")</f>
        <v>CS5301GDW32G</v>
      </c>
      <c r="B41883" s="3" t="str">
        <f>HYPERLINK("https://www.773grp.com/manufacturer/onsemi?pageNo=1243", "ON Semiconductor")</f>
        <v>ON Semiconductor</v>
      </c>
      <c r="C41883" s="6">
        <v>316</v>
      </c>
      <c r="D41883" s="7">
        <v>6.33</v>
      </c>
      <c r="E41883" t="s">
        <v>7</v>
      </c>
    </row>
    <row r="41884" spans="1:5" x14ac:dyDescent="0.25">
      <c r="A41884" t="str">
        <f>HYPERLINK("https://www.773grp.com/globalSearch/MBR7030WT/page-1", "MBR7030WT")</f>
        <v>MBR7030WT</v>
      </c>
      <c r="B41884" s="3" t="str">
        <f>HYPERLINK("https://www.773grp.com/manufacturer/onsemi?pageNo=1244", "ON Semiconductor")</f>
        <v>ON Semiconductor</v>
      </c>
      <c r="C41884" s="6">
        <v>3940</v>
      </c>
      <c r="D41884" s="7">
        <v>6.33</v>
      </c>
      <c r="E41884" t="s">
        <v>103</v>
      </c>
    </row>
    <row r="41885" spans="1:5" x14ac:dyDescent="0.25">
      <c r="A41885" t="str">
        <f>HYPERLINK("https://www.773grp.com/globalSearch/MC100EL01DG/page-1", "MC100EL01DG")</f>
        <v>MC100EL01DG</v>
      </c>
      <c r="B41885" s="3" t="str">
        <f>HYPERLINK("https://www.773grp.com/manufacturer/onsemi?pageNo=1245", "ON Semiconductor")</f>
        <v>ON Semiconductor</v>
      </c>
      <c r="C41885" s="6">
        <v>449</v>
      </c>
      <c r="D41885" s="7">
        <v>6.33</v>
      </c>
      <c r="E41885" t="s">
        <v>31</v>
      </c>
    </row>
    <row r="41886" spans="1:5" x14ac:dyDescent="0.25">
      <c r="A41886" t="str">
        <f>HYPERLINK("https://www.773grp.com/globalSearch/MC100EL01DR2G/page-1", "MC100EL01DR2G")</f>
        <v>MC100EL01DR2G</v>
      </c>
      <c r="B41886" s="3" t="str">
        <f>HYPERLINK("https://www.773grp.com/manufacturer/onsemi?pageNo=1246", "ON Semiconductor")</f>
        <v>ON Semiconductor</v>
      </c>
      <c r="C41886" s="6">
        <v>5000</v>
      </c>
      <c r="D41886" s="7">
        <v>6.33</v>
      </c>
      <c r="E41886" t="s">
        <v>31</v>
      </c>
    </row>
    <row r="41887" spans="1:5" x14ac:dyDescent="0.25">
      <c r="A41887" t="str">
        <f>HYPERLINK("https://www.773grp.com/globalSearch/MC100EL01DTG/page-1", "MC100EL01DTG")</f>
        <v>MC100EL01DTG</v>
      </c>
      <c r="B41887" s="3" t="str">
        <f>HYPERLINK("https://www.773grp.com/manufacturer/onsemi?pageNo=1247", "ON Semiconductor")</f>
        <v>ON Semiconductor</v>
      </c>
      <c r="C41887" s="6">
        <v>2355</v>
      </c>
      <c r="D41887" s="7">
        <v>6.33</v>
      </c>
      <c r="E41887" t="s">
        <v>31</v>
      </c>
    </row>
    <row r="41888" spans="1:5" x14ac:dyDescent="0.25">
      <c r="A41888" t="str">
        <f>HYPERLINK("https://www.773grp.com/globalSearch/MC100EL01DTR2G/page-1", "MC100EL01DTR2G")</f>
        <v>MC100EL01DTR2G</v>
      </c>
      <c r="B41888" s="3" t="str">
        <f>HYPERLINK("https://www.773grp.com/manufacturer/onsemi?pageNo=1248", "ON Semiconductor")</f>
        <v>ON Semiconductor</v>
      </c>
      <c r="C41888" s="6">
        <v>2500</v>
      </c>
      <c r="D41888" s="7">
        <v>6.33</v>
      </c>
      <c r="E41888" t="s">
        <v>31</v>
      </c>
    </row>
    <row r="41889" spans="1:5" x14ac:dyDescent="0.25">
      <c r="A41889" t="str">
        <f>HYPERLINK("https://www.773grp.com/globalSearch/MC100EL04DG/page-1", "MC100EL04DG")</f>
        <v>MC100EL04DG</v>
      </c>
      <c r="B41889" s="3" t="str">
        <f>HYPERLINK("https://www.773grp.com/manufacturer/onsemi?pageNo=1249", "ON Semiconductor")</f>
        <v>ON Semiconductor</v>
      </c>
      <c r="C41889" s="6">
        <v>2261</v>
      </c>
      <c r="D41889" s="7">
        <v>6.33</v>
      </c>
      <c r="E41889" t="s">
        <v>31</v>
      </c>
    </row>
    <row r="41890" spans="1:5" x14ac:dyDescent="0.25">
      <c r="A41890" t="str">
        <f>HYPERLINK("https://www.773grp.com/globalSearch/MC100EL04DTG/page-1", "MC100EL04DTG")</f>
        <v>MC100EL04DTG</v>
      </c>
      <c r="B41890" s="3" t="str">
        <f>HYPERLINK("https://www.773grp.com/manufacturer/onsemi?pageNo=1250", "ON Semiconductor")</f>
        <v>ON Semiconductor</v>
      </c>
      <c r="C41890" s="6">
        <v>7615</v>
      </c>
      <c r="D41890" s="7">
        <v>6.33</v>
      </c>
      <c r="E41890" t="s">
        <v>31</v>
      </c>
    </row>
    <row r="41891" spans="1:5" x14ac:dyDescent="0.25">
      <c r="A41891" t="str">
        <f>HYPERLINK("https://www.773grp.com/globalSearch/MC100EL04DTR2G/page-1", "MC100EL04DTR2G")</f>
        <v>MC100EL04DTR2G</v>
      </c>
      <c r="B41891" s="3" t="str">
        <f>HYPERLINK("https://www.773grp.com/manufacturer/onsemi?pageNo=1251", "ON Semiconductor")</f>
        <v>ON Semiconductor</v>
      </c>
      <c r="C41891" s="6">
        <v>10000</v>
      </c>
      <c r="D41891" s="7">
        <v>6.33</v>
      </c>
      <c r="E41891" t="s">
        <v>31</v>
      </c>
    </row>
    <row r="41892" spans="1:5" x14ac:dyDescent="0.25">
      <c r="A41892" t="str">
        <f>HYPERLINK("https://www.773grp.com/globalSearch/MC100EL05DG/page-1", "MC100EL05DG")</f>
        <v>MC100EL05DG</v>
      </c>
      <c r="B41892" s="3" t="str">
        <f>HYPERLINK("https://www.773grp.com/manufacturer/onsemi?pageNo=1252", "ON Semiconductor")</f>
        <v>ON Semiconductor</v>
      </c>
      <c r="C41892" s="6">
        <v>1647</v>
      </c>
      <c r="D41892" s="7">
        <v>6.33</v>
      </c>
      <c r="E41892" t="s">
        <v>31</v>
      </c>
    </row>
    <row r="41893" spans="1:5" x14ac:dyDescent="0.25">
      <c r="A41893" t="str">
        <f>HYPERLINK("https://www.773grp.com/globalSearch/MC100EL05DR2G/page-1", "MC100EL05DR2G")</f>
        <v>MC100EL05DR2G</v>
      </c>
      <c r="B41893" s="3" t="str">
        <f>HYPERLINK("https://www.773grp.com/manufacturer/onsemi?pageNo=1253", "ON Semiconductor")</f>
        <v>ON Semiconductor</v>
      </c>
      <c r="C41893" s="6">
        <v>4020</v>
      </c>
      <c r="D41893" s="7">
        <v>6.33</v>
      </c>
      <c r="E41893" t="s">
        <v>31</v>
      </c>
    </row>
    <row r="41894" spans="1:5" x14ac:dyDescent="0.25">
      <c r="A41894" t="str">
        <f>HYPERLINK("https://www.773grp.com/globalSearch/MC100EL05DTG/page-1", "MC100EL05DTG")</f>
        <v>MC100EL05DTG</v>
      </c>
      <c r="B41894" s="3" t="str">
        <f>HYPERLINK("https://www.773grp.com/manufacturer/onsemi?pageNo=1254", "ON Semiconductor")</f>
        <v>ON Semiconductor</v>
      </c>
      <c r="C41894" s="6">
        <v>11542</v>
      </c>
      <c r="D41894" s="7">
        <v>6.33</v>
      </c>
      <c r="E41894" t="s">
        <v>31</v>
      </c>
    </row>
    <row r="41895" spans="1:5" x14ac:dyDescent="0.25">
      <c r="A41895" t="str">
        <f>HYPERLINK("https://www.773grp.com/globalSearch/MC100EL05DTR2G/page-1", "MC100EL05DTR2G")</f>
        <v>MC100EL05DTR2G</v>
      </c>
      <c r="B41895" s="3" t="str">
        <f>HYPERLINK("https://www.773grp.com/manufacturer/onsemi?pageNo=1255", "ON Semiconductor")</f>
        <v>ON Semiconductor</v>
      </c>
      <c r="C41895" s="6">
        <v>2360</v>
      </c>
      <c r="D41895" s="7">
        <v>6.33</v>
      </c>
      <c r="E41895" t="s">
        <v>31</v>
      </c>
    </row>
    <row r="41896" spans="1:5" x14ac:dyDescent="0.25">
      <c r="A41896" t="str">
        <f>HYPERLINK("https://www.773grp.com/globalSearch/MC100EL07DR2G/page-1", "MC100EL07DR2G")</f>
        <v>MC100EL07DR2G</v>
      </c>
      <c r="B41896" s="3" t="str">
        <f>HYPERLINK("https://www.773grp.com/manufacturer/onsemi?pageNo=1256", "ON Semiconductor")</f>
        <v>ON Semiconductor</v>
      </c>
      <c r="C41896" s="6">
        <v>2851</v>
      </c>
      <c r="D41896" s="7">
        <v>6.33</v>
      </c>
      <c r="E41896" t="s">
        <v>31</v>
      </c>
    </row>
    <row r="41897" spans="1:5" x14ac:dyDescent="0.25">
      <c r="A41897" t="str">
        <f>HYPERLINK("https://www.773grp.com/globalSearch/MC100EL07DTG/page-1", "MC100EL07DTG")</f>
        <v>MC100EL07DTG</v>
      </c>
      <c r="B41897" s="3" t="str">
        <f>HYPERLINK("https://www.773grp.com/manufacturer/onsemi?pageNo=1257", "ON Semiconductor")</f>
        <v>ON Semiconductor</v>
      </c>
      <c r="C41897" s="6">
        <v>22799</v>
      </c>
      <c r="D41897" s="7">
        <v>6.33</v>
      </c>
      <c r="E41897" t="s">
        <v>31</v>
      </c>
    </row>
    <row r="41898" spans="1:5" x14ac:dyDescent="0.25">
      <c r="A41898" t="str">
        <f>HYPERLINK("https://www.773grp.com/globalSearch/MC100EL07DTR2G/page-1", "MC100EL07DTR2G")</f>
        <v>MC100EL07DTR2G</v>
      </c>
      <c r="B41898" s="3" t="str">
        <f>HYPERLINK("https://www.773grp.com/manufacturer/onsemi?pageNo=1258", "ON Semiconductor")</f>
        <v>ON Semiconductor</v>
      </c>
      <c r="C41898" s="6">
        <v>2500</v>
      </c>
      <c r="D41898" s="7">
        <v>6.33</v>
      </c>
      <c r="E41898" t="s">
        <v>31</v>
      </c>
    </row>
    <row r="41899" spans="1:5" x14ac:dyDescent="0.25">
      <c r="A41899" t="str">
        <f>HYPERLINK("https://www.773grp.com/globalSearch/MC100EL07MNR4G/page-1", "MC100EL07MNR4G")</f>
        <v>MC100EL07MNR4G</v>
      </c>
      <c r="B41899" s="3" t="str">
        <f>HYPERLINK("https://www.773grp.com/manufacturer/onsemi?pageNo=1259", "ON Semiconductor")</f>
        <v>ON Semiconductor</v>
      </c>
      <c r="C41899" s="6">
        <v>10000</v>
      </c>
      <c r="D41899" s="7">
        <v>6.33</v>
      </c>
      <c r="E41899" t="s">
        <v>31</v>
      </c>
    </row>
    <row r="41900" spans="1:5" x14ac:dyDescent="0.25">
      <c r="A41900" t="str">
        <f>HYPERLINK("https://www.773grp.com/globalSearch/MC100EL12DG/page-1", "MC100EL12DG")</f>
        <v>MC100EL12DG</v>
      </c>
      <c r="B41900" s="3" t="str">
        <f>HYPERLINK("https://www.773grp.com/manufacturer/onsemi?pageNo=1260", "ON Semiconductor")</f>
        <v>ON Semiconductor</v>
      </c>
      <c r="C41900" s="6">
        <v>10874</v>
      </c>
      <c r="D41900" s="7">
        <v>6.33</v>
      </c>
      <c r="E41900" t="s">
        <v>31</v>
      </c>
    </row>
    <row r="41901" spans="1:5" x14ac:dyDescent="0.25">
      <c r="A41901" t="str">
        <f>HYPERLINK("https://www.773grp.com/globalSearch/MC100EL12DR2G/page-1", "MC100EL12DR2G")</f>
        <v>MC100EL12DR2G</v>
      </c>
      <c r="B41901" s="3" t="str">
        <f>HYPERLINK("https://www.773grp.com/manufacturer/onsemi?pageNo=1261", "ON Semiconductor")</f>
        <v>ON Semiconductor</v>
      </c>
      <c r="C41901" s="6">
        <v>5000</v>
      </c>
      <c r="D41901" s="7">
        <v>6.33</v>
      </c>
      <c r="E41901" t="s">
        <v>31</v>
      </c>
    </row>
    <row r="41902" spans="1:5" x14ac:dyDescent="0.25">
      <c r="A41902" t="str">
        <f>HYPERLINK("https://www.773grp.com/globalSearch/MC100EL12DTG/page-1", "MC100EL12DTG")</f>
        <v>MC100EL12DTG</v>
      </c>
      <c r="B41902" s="3" t="str">
        <f>HYPERLINK("https://www.773grp.com/manufacturer/onsemi?pageNo=1262", "ON Semiconductor")</f>
        <v>ON Semiconductor</v>
      </c>
      <c r="C41902" s="6">
        <v>295</v>
      </c>
      <c r="D41902" s="7">
        <v>6.33</v>
      </c>
      <c r="E41902" t="s">
        <v>31</v>
      </c>
    </row>
    <row r="41903" spans="1:5" x14ac:dyDescent="0.25">
      <c r="A41903" t="str">
        <f>HYPERLINK("https://www.773grp.com/globalSearch/MC100EL14DW/page-1", "MC100EL14DW")</f>
        <v>MC100EL14DW</v>
      </c>
      <c r="B41903" s="3" t="str">
        <f>HYPERLINK("https://www.773grp.com/manufacturer/onsemi?pageNo=1263", "ON Semiconductor")</f>
        <v>ON Semiconductor</v>
      </c>
      <c r="C41903" s="6">
        <v>1463</v>
      </c>
      <c r="D41903" s="7">
        <v>6.33</v>
      </c>
      <c r="E41903" t="s">
        <v>34</v>
      </c>
    </row>
    <row r="41904" spans="1:5" x14ac:dyDescent="0.25">
      <c r="A41904" t="str">
        <f>HYPERLINK("https://www.773grp.com/globalSearch/MC100EL16DG/page-1", "MC100EL16DG")</f>
        <v>MC100EL16DG</v>
      </c>
      <c r="B41904" s="3" t="str">
        <f>HYPERLINK("https://www.773grp.com/manufacturer/onsemi?pageNo=1264", "ON Semiconductor")</f>
        <v>ON Semiconductor</v>
      </c>
      <c r="C41904" s="6">
        <v>1980</v>
      </c>
      <c r="D41904" s="7">
        <v>6.33</v>
      </c>
      <c r="E41904" t="s">
        <v>21</v>
      </c>
    </row>
    <row r="41905" spans="1:5" x14ac:dyDescent="0.25">
      <c r="A41905" t="str">
        <f>HYPERLINK("https://www.773grp.com/globalSearch/MC100EL16DR2G/page-1", "MC100EL16DR2G")</f>
        <v>MC100EL16DR2G</v>
      </c>
      <c r="B41905" s="3" t="str">
        <f>HYPERLINK("https://www.773grp.com/manufacturer/onsemi?pageNo=1265", "ON Semiconductor")</f>
        <v>ON Semiconductor</v>
      </c>
      <c r="C41905" s="6">
        <v>7500</v>
      </c>
      <c r="D41905" s="7">
        <v>6.33</v>
      </c>
      <c r="E41905" t="s">
        <v>21</v>
      </c>
    </row>
    <row r="41906" spans="1:5" x14ac:dyDescent="0.25">
      <c r="A41906" t="str">
        <f>HYPERLINK("https://www.773grp.com/globalSearch/MC100EL16DTG/page-1", "MC100EL16DTG")</f>
        <v>MC100EL16DTG</v>
      </c>
      <c r="B41906" s="3" t="str">
        <f>HYPERLINK("https://www.773grp.com/manufacturer/onsemi?pageNo=1266", "ON Semiconductor")</f>
        <v>ON Semiconductor</v>
      </c>
      <c r="C41906" s="6">
        <v>276</v>
      </c>
      <c r="D41906" s="7">
        <v>6.33</v>
      </c>
      <c r="E41906" t="s">
        <v>21</v>
      </c>
    </row>
    <row r="41907" spans="1:5" x14ac:dyDescent="0.25">
      <c r="A41907" t="str">
        <f>HYPERLINK("https://www.773grp.com/globalSearch/MC100EL16DTR2G/page-1", "MC100EL16DTR2G")</f>
        <v>MC100EL16DTR2G</v>
      </c>
      <c r="B41907" s="3" t="str">
        <f>HYPERLINK("https://www.773grp.com/manufacturer/onsemi?pageNo=1267", "ON Semiconductor")</f>
        <v>ON Semiconductor</v>
      </c>
      <c r="C41907" s="6">
        <v>2400</v>
      </c>
      <c r="D41907" s="7">
        <v>6.33</v>
      </c>
      <c r="E41907" t="s">
        <v>21</v>
      </c>
    </row>
    <row r="41908" spans="1:5" x14ac:dyDescent="0.25">
      <c r="A41908" t="str">
        <f>HYPERLINK("https://www.773grp.com/globalSearch/MC100EL31DG/page-1", "MC100EL31DG")</f>
        <v>MC100EL31DG</v>
      </c>
      <c r="B41908" s="3" t="str">
        <f>HYPERLINK("https://www.773grp.com/manufacturer/onsemi?pageNo=1268", "ON Semiconductor")</f>
        <v>ON Semiconductor</v>
      </c>
      <c r="C41908" s="6">
        <v>1575</v>
      </c>
      <c r="D41908" s="7">
        <v>6.33</v>
      </c>
      <c r="E41908" t="s">
        <v>35</v>
      </c>
    </row>
    <row r="41909" spans="1:5" x14ac:dyDescent="0.25">
      <c r="A41909" t="str">
        <f>HYPERLINK("https://www.773grp.com/globalSearch/MC100EL31DR2G/page-1", "MC100EL31DR2G")</f>
        <v>MC100EL31DR2G</v>
      </c>
      <c r="B41909" s="3" t="str">
        <f>HYPERLINK("https://www.773grp.com/manufacturer/onsemi?pageNo=1269", "ON Semiconductor")</f>
        <v>ON Semiconductor</v>
      </c>
      <c r="C41909" s="6">
        <v>10000</v>
      </c>
      <c r="D41909" s="7">
        <v>6.33</v>
      </c>
      <c r="E41909" t="s">
        <v>35</v>
      </c>
    </row>
    <row r="41910" spans="1:5" x14ac:dyDescent="0.25">
      <c r="A41910" t="str">
        <f>HYPERLINK("https://www.773grp.com/globalSearch/MC100EL31DTG/page-1", "MC100EL31DTG")</f>
        <v>MC100EL31DTG</v>
      </c>
      <c r="B41910" s="3" t="str">
        <f>HYPERLINK("https://www.773grp.com/manufacturer/onsemi?pageNo=1270", "ON Semiconductor")</f>
        <v>ON Semiconductor</v>
      </c>
      <c r="C41910" s="6">
        <v>9375</v>
      </c>
      <c r="D41910" s="7">
        <v>6.33</v>
      </c>
      <c r="E41910" t="s">
        <v>35</v>
      </c>
    </row>
    <row r="41911" spans="1:5" x14ac:dyDescent="0.25">
      <c r="A41911" t="str">
        <f>HYPERLINK("https://www.773grp.com/globalSearch/MC100EL31DTR2G/page-1", "MC100EL31DTR2G")</f>
        <v>MC100EL31DTR2G</v>
      </c>
      <c r="B41911" s="3" t="str">
        <f>HYPERLINK("https://www.773grp.com/manufacturer/onsemi?pageNo=1271", "ON Semiconductor")</f>
        <v>ON Semiconductor</v>
      </c>
      <c r="C41911" s="6">
        <v>2300</v>
      </c>
      <c r="D41911" s="7">
        <v>6.33</v>
      </c>
      <c r="E41911" t="s">
        <v>35</v>
      </c>
    </row>
    <row r="41912" spans="1:5" x14ac:dyDescent="0.25">
      <c r="A41912" t="str">
        <f>HYPERLINK("https://www.773grp.com/globalSearch/MC100EL32DG/page-1", "MC100EL32DG")</f>
        <v>MC100EL32DG</v>
      </c>
      <c r="B41912" s="3" t="str">
        <f>HYPERLINK("https://www.773grp.com/manufacturer/onsemi?pageNo=1272", "ON Semiconductor")</f>
        <v>ON Semiconductor</v>
      </c>
      <c r="C41912" s="6">
        <v>1595</v>
      </c>
      <c r="D41912" s="7">
        <v>6.33</v>
      </c>
      <c r="E41912" t="s">
        <v>54</v>
      </c>
    </row>
    <row r="41913" spans="1:5" x14ac:dyDescent="0.25">
      <c r="A41913" t="str">
        <f>HYPERLINK("https://www.773grp.com/globalSearch/MC100EL32DR2G/page-1", "MC100EL32DR2G")</f>
        <v>MC100EL32DR2G</v>
      </c>
      <c r="B41913" s="3" t="str">
        <f>HYPERLINK("https://www.773grp.com/manufacturer/onsemi?pageNo=1273", "ON Semiconductor")</f>
        <v>ON Semiconductor</v>
      </c>
      <c r="C41913" s="6">
        <v>2400</v>
      </c>
      <c r="D41913" s="7">
        <v>6.33</v>
      </c>
      <c r="E41913" t="s">
        <v>54</v>
      </c>
    </row>
    <row r="41914" spans="1:5" x14ac:dyDescent="0.25">
      <c r="A41914" t="str">
        <f>HYPERLINK("https://www.773grp.com/globalSearch/MC100EL32DTG/page-1", "MC100EL32DTG")</f>
        <v>MC100EL32DTG</v>
      </c>
      <c r="B41914" s="3" t="str">
        <f>HYPERLINK("https://www.773grp.com/manufacturer/onsemi?pageNo=1274", "ON Semiconductor")</f>
        <v>ON Semiconductor</v>
      </c>
      <c r="C41914" s="6">
        <v>413</v>
      </c>
      <c r="D41914" s="7">
        <v>6.33</v>
      </c>
      <c r="E41914" t="s">
        <v>54</v>
      </c>
    </row>
    <row r="41915" spans="1:5" x14ac:dyDescent="0.25">
      <c r="A41915" t="str">
        <f>HYPERLINK("https://www.773grp.com/globalSearch/MC100EL32DTR2G/page-1", "MC100EL32DTR2G")</f>
        <v>MC100EL32DTR2G</v>
      </c>
      <c r="B41915" s="3" t="str">
        <f>HYPERLINK("https://www.773grp.com/manufacturer/onsemi?pageNo=1275", "ON Semiconductor")</f>
        <v>ON Semiconductor</v>
      </c>
      <c r="C41915" s="6">
        <v>2500</v>
      </c>
      <c r="D41915" s="7">
        <v>6.33</v>
      </c>
      <c r="E41915" t="s">
        <v>54</v>
      </c>
    </row>
    <row r="41916" spans="1:5" x14ac:dyDescent="0.25">
      <c r="A41916" t="str">
        <f>HYPERLINK("https://www.773grp.com/globalSearch/MC100EL33DG/page-1", "MC100EL33DG")</f>
        <v>MC100EL33DG</v>
      </c>
      <c r="B41916" s="3" t="str">
        <f>HYPERLINK("https://www.773grp.com/manufacturer/onsemi?pageNo=1276", "ON Semiconductor")</f>
        <v>ON Semiconductor</v>
      </c>
      <c r="C41916" s="6">
        <v>6064</v>
      </c>
      <c r="D41916" s="7">
        <v>6.33</v>
      </c>
      <c r="E41916" t="s">
        <v>54</v>
      </c>
    </row>
    <row r="41917" spans="1:5" x14ac:dyDescent="0.25">
      <c r="A41917" t="str">
        <f>HYPERLINK("https://www.773grp.com/globalSearch/MC100EL33DTG/page-1", "MC100EL33DTG")</f>
        <v>MC100EL33DTG</v>
      </c>
      <c r="B41917" s="3" t="str">
        <f>HYPERLINK("https://www.773grp.com/manufacturer/onsemi?pageNo=1277", "ON Semiconductor")</f>
        <v>ON Semiconductor</v>
      </c>
      <c r="C41917" s="6">
        <v>11162</v>
      </c>
      <c r="D41917" s="7">
        <v>6.33</v>
      </c>
      <c r="E41917" t="s">
        <v>54</v>
      </c>
    </row>
    <row r="41918" spans="1:5" x14ac:dyDescent="0.25">
      <c r="A41918" t="str">
        <f>HYPERLINK("https://www.773grp.com/globalSearch/MC100EL33DTR2G/page-1", "MC100EL33DTR2G")</f>
        <v>MC100EL33DTR2G</v>
      </c>
      <c r="B41918" s="3" t="str">
        <f>HYPERLINK("https://www.773grp.com/manufacturer/onsemi?pageNo=1278", "ON Semiconductor")</f>
        <v>ON Semiconductor</v>
      </c>
      <c r="C41918" s="6">
        <v>7500</v>
      </c>
      <c r="D41918" s="7">
        <v>6.33</v>
      </c>
      <c r="E41918" t="s">
        <v>54</v>
      </c>
    </row>
    <row r="41919" spans="1:5" x14ac:dyDescent="0.25">
      <c r="A41919" t="str">
        <f>HYPERLINK("https://www.773grp.com/globalSearch/MC100EL35DG/page-1", "MC100EL35DG")</f>
        <v>MC100EL35DG</v>
      </c>
      <c r="B41919" s="3" t="str">
        <f>HYPERLINK("https://www.773grp.com/manufacturer/onsemi?pageNo=1279", "ON Semiconductor")</f>
        <v>ON Semiconductor</v>
      </c>
      <c r="C41919" s="6">
        <v>11890</v>
      </c>
      <c r="D41919" s="7">
        <v>6.33</v>
      </c>
      <c r="E41919" t="s">
        <v>35</v>
      </c>
    </row>
    <row r="41920" spans="1:5" x14ac:dyDescent="0.25">
      <c r="A41920" t="str">
        <f>HYPERLINK("https://www.773grp.com/globalSearch/MC100EL35DR2G/page-1", "MC100EL35DR2G")</f>
        <v>MC100EL35DR2G</v>
      </c>
      <c r="B41920" s="3" t="str">
        <f>HYPERLINK("https://www.773grp.com/manufacturer/onsemi?pageNo=1280", "ON Semiconductor")</f>
        <v>ON Semiconductor</v>
      </c>
      <c r="C41920" s="6">
        <v>10000</v>
      </c>
      <c r="D41920" s="7">
        <v>6.33</v>
      </c>
      <c r="E41920" t="s">
        <v>35</v>
      </c>
    </row>
    <row r="41921" spans="1:5" x14ac:dyDescent="0.25">
      <c r="A41921" t="str">
        <f>HYPERLINK("https://www.773grp.com/globalSearch/MC100EL35DTG/page-1", "MC100EL35DTG")</f>
        <v>MC100EL35DTG</v>
      </c>
      <c r="B41921" s="3" t="str">
        <f>HYPERLINK("https://www.773grp.com/manufacturer/onsemi?pageNo=1281", "ON Semiconductor")</f>
        <v>ON Semiconductor</v>
      </c>
      <c r="C41921" s="6">
        <v>8380</v>
      </c>
      <c r="D41921" s="7">
        <v>6.33</v>
      </c>
      <c r="E41921" t="s">
        <v>35</v>
      </c>
    </row>
    <row r="41922" spans="1:5" x14ac:dyDescent="0.25">
      <c r="A41922" t="str">
        <f>HYPERLINK("https://www.773grp.com/globalSearch/MC100EL35DTR2G/page-1", "MC100EL35DTR2G")</f>
        <v>MC100EL35DTR2G</v>
      </c>
      <c r="B41922" s="3" t="str">
        <f>HYPERLINK("https://www.773grp.com/manufacturer/onsemi?pageNo=1282", "ON Semiconductor")</f>
        <v>ON Semiconductor</v>
      </c>
      <c r="C41922" s="6">
        <v>15366</v>
      </c>
      <c r="D41922" s="7">
        <v>6.33</v>
      </c>
      <c r="E41922" t="s">
        <v>35</v>
      </c>
    </row>
    <row r="41923" spans="1:5" x14ac:dyDescent="0.25">
      <c r="A41923" t="str">
        <f>HYPERLINK("https://www.773grp.com/globalSearch/MC100EL35MNR4G/page-1", "MC100EL35MNR4G")</f>
        <v>MC100EL35MNR4G</v>
      </c>
      <c r="B41923" s="3" t="str">
        <f>HYPERLINK("https://www.773grp.com/manufacturer/onsemi?pageNo=1283", "ON Semiconductor")</f>
        <v>ON Semiconductor</v>
      </c>
      <c r="C41923" s="6">
        <v>10000</v>
      </c>
      <c r="D41923" s="7">
        <v>6.33</v>
      </c>
      <c r="E41923" t="s">
        <v>35</v>
      </c>
    </row>
    <row r="41924" spans="1:5" x14ac:dyDescent="0.25">
      <c r="A41924" t="str">
        <f>HYPERLINK("https://www.773grp.com/globalSearch/MC100EL51DG/page-1", "MC100EL51DG")</f>
        <v>MC100EL51DG</v>
      </c>
      <c r="B41924" s="3" t="str">
        <f>HYPERLINK("https://www.773grp.com/manufacturer/onsemi?pageNo=1284", "ON Semiconductor")</f>
        <v>ON Semiconductor</v>
      </c>
      <c r="C41924" s="6">
        <v>5713</v>
      </c>
      <c r="D41924" s="7">
        <v>6.33</v>
      </c>
      <c r="E41924" t="s">
        <v>35</v>
      </c>
    </row>
    <row r="41925" spans="1:5" x14ac:dyDescent="0.25">
      <c r="A41925" t="str">
        <f>HYPERLINK("https://www.773grp.com/globalSearch/MC100EL51DR2G/page-1", "MC100EL51DR2G")</f>
        <v>MC100EL51DR2G</v>
      </c>
      <c r="B41925" s="3" t="str">
        <f>HYPERLINK("https://www.773grp.com/manufacturer/onsemi?pageNo=1285", "ON Semiconductor")</f>
        <v>ON Semiconductor</v>
      </c>
      <c r="C41925" s="6">
        <v>2500</v>
      </c>
      <c r="D41925" s="7">
        <v>6.33</v>
      </c>
      <c r="E41925" t="s">
        <v>35</v>
      </c>
    </row>
    <row r="41926" spans="1:5" x14ac:dyDescent="0.25">
      <c r="A41926" t="str">
        <f>HYPERLINK("https://www.773grp.com/globalSearch/MC100EL51DTG/page-1", "MC100EL51DTG")</f>
        <v>MC100EL51DTG</v>
      </c>
      <c r="B41926" s="3" t="str">
        <f>HYPERLINK("https://www.773grp.com/manufacturer/onsemi?pageNo=1286", "ON Semiconductor")</f>
        <v>ON Semiconductor</v>
      </c>
      <c r="C41926" s="6">
        <v>2580</v>
      </c>
      <c r="D41926" s="7">
        <v>6.33</v>
      </c>
      <c r="E41926" t="s">
        <v>35</v>
      </c>
    </row>
    <row r="41927" spans="1:5" x14ac:dyDescent="0.25">
      <c r="A41927" t="str">
        <f>HYPERLINK("https://www.773grp.com/globalSearch/MC100EL51DTR2G/page-1", "MC100EL51DTR2G")</f>
        <v>MC100EL51DTR2G</v>
      </c>
      <c r="B41927" s="3" t="str">
        <f>HYPERLINK("https://www.773grp.com/manufacturer/onsemi?pageNo=1287", "ON Semiconductor")</f>
        <v>ON Semiconductor</v>
      </c>
      <c r="C41927" s="6">
        <v>2330</v>
      </c>
      <c r="D41927" s="7">
        <v>6.33</v>
      </c>
      <c r="E41927" t="s">
        <v>35</v>
      </c>
    </row>
    <row r="41928" spans="1:5" x14ac:dyDescent="0.25">
      <c r="A41928" t="str">
        <f>HYPERLINK("https://www.773grp.com/globalSearch/MC100EL90DW/page-1", "MC100EL90DW")</f>
        <v>MC100EL90DW</v>
      </c>
      <c r="B41928" s="3" t="str">
        <f>HYPERLINK("https://www.773grp.com/manufacturer/onsemi?pageNo=1288", "ON Semiconductor")</f>
        <v>ON Semiconductor</v>
      </c>
      <c r="C41928" s="6">
        <v>4355</v>
      </c>
      <c r="D41928" s="7">
        <v>6.33</v>
      </c>
      <c r="E41928" t="s">
        <v>73</v>
      </c>
    </row>
    <row r="41929" spans="1:5" x14ac:dyDescent="0.25">
      <c r="A41929" t="str">
        <f>HYPERLINK("https://www.773grp.com/globalSearch/MC100EL90DWR2/page-1", "MC100EL90DWR2")</f>
        <v>MC100EL90DWR2</v>
      </c>
      <c r="B41929" s="3" t="str">
        <f>HYPERLINK("https://www.773grp.com/manufacturer/onsemi?pageNo=1289", "ON Semiconductor")</f>
        <v>ON Semiconductor</v>
      </c>
      <c r="C41929" s="6">
        <v>2000</v>
      </c>
      <c r="D41929" s="7">
        <v>6.33</v>
      </c>
      <c r="E41929" t="s">
        <v>73</v>
      </c>
    </row>
    <row r="41930" spans="1:5" x14ac:dyDescent="0.25">
      <c r="A41930" t="str">
        <f>HYPERLINK("https://www.773grp.com/globalSearch/MC100EL90DWR2G/page-1", "MC100EL90DWR2G")</f>
        <v>MC100EL90DWR2G</v>
      </c>
      <c r="B41930" s="3" t="str">
        <f>HYPERLINK("https://www.773grp.com/manufacturer/onsemi?pageNo=1290", "ON Semiconductor")</f>
        <v>ON Semiconductor</v>
      </c>
      <c r="C41930" s="6">
        <v>1000</v>
      </c>
      <c r="D41930" s="7">
        <v>6.33</v>
      </c>
      <c r="E41930" t="s">
        <v>73</v>
      </c>
    </row>
    <row r="41931" spans="1:5" x14ac:dyDescent="0.25">
      <c r="A41931" t="str">
        <f>HYPERLINK("https://www.773grp.com/globalSearch/MC100EL91DW/page-1", "MC100EL91DW")</f>
        <v>MC100EL91DW</v>
      </c>
      <c r="B41931" s="3" t="str">
        <f>HYPERLINK("https://www.773grp.com/manufacturer/onsemi?pageNo=1291", "ON Semiconductor")</f>
        <v>ON Semiconductor</v>
      </c>
      <c r="C41931" s="6">
        <v>3787</v>
      </c>
      <c r="D41931" s="7">
        <v>6.33</v>
      </c>
      <c r="E41931" t="s">
        <v>73</v>
      </c>
    </row>
    <row r="41932" spans="1:5" x14ac:dyDescent="0.25">
      <c r="A41932" t="str">
        <f>HYPERLINK("https://www.773grp.com/globalSearch/MC100EP16FD/page-1", "MC100EP16FD")</f>
        <v>MC100EP16FD</v>
      </c>
      <c r="B41932" s="3" t="str">
        <f>HYPERLINK("https://www.773grp.com/manufacturer/onsemi?pageNo=1292", "ON Semiconductor")</f>
        <v>ON Semiconductor</v>
      </c>
      <c r="C41932" s="6">
        <v>14578</v>
      </c>
      <c r="D41932" s="7">
        <v>6.33</v>
      </c>
      <c r="E41932" t="s">
        <v>21</v>
      </c>
    </row>
    <row r="41933" spans="1:5" x14ac:dyDescent="0.25">
      <c r="A41933" t="str">
        <f>HYPERLINK("https://www.773grp.com/globalSearch/MC100EP16FDT/page-1", "MC100EP16FDT")</f>
        <v>MC100EP16FDT</v>
      </c>
      <c r="B41933" s="3" t="str">
        <f>HYPERLINK("https://www.773grp.com/manufacturer/onsemi?pageNo=1293", "ON Semiconductor")</f>
        <v>ON Semiconductor</v>
      </c>
      <c r="C41933" s="6">
        <v>62</v>
      </c>
      <c r="D41933" s="7">
        <v>6.33</v>
      </c>
      <c r="E41933" t="s">
        <v>21</v>
      </c>
    </row>
    <row r="41934" spans="1:5" x14ac:dyDescent="0.25">
      <c r="A41934" t="str">
        <f>HYPERLINK("https://www.773grp.com/globalSearch/MC100EP16FDTR2/page-1", "MC100EP16FDTR2")</f>
        <v>MC100EP16FDTR2</v>
      </c>
      <c r="B41934" s="3" t="str">
        <f>HYPERLINK("https://www.773grp.com/manufacturer/onsemi?pageNo=1294", "ON Semiconductor")</f>
        <v>ON Semiconductor</v>
      </c>
      <c r="C41934" s="6">
        <v>10371</v>
      </c>
      <c r="D41934" s="7">
        <v>6.33</v>
      </c>
      <c r="E41934" t="s">
        <v>21</v>
      </c>
    </row>
    <row r="41935" spans="1:5" x14ac:dyDescent="0.25">
      <c r="A41935" t="str">
        <f>HYPERLINK("https://www.773grp.com/globalSearch/MC100EP16TD/page-1", "MC100EP16TD")</f>
        <v>MC100EP16TD</v>
      </c>
      <c r="B41935" s="3" t="str">
        <f>HYPERLINK("https://www.773grp.com/manufacturer/onsemi?pageNo=1295", "ON Semiconductor")</f>
        <v>ON Semiconductor</v>
      </c>
      <c r="C41935" s="6">
        <v>2175</v>
      </c>
      <c r="D41935" s="7">
        <v>6.33</v>
      </c>
      <c r="E41935" t="s">
        <v>21</v>
      </c>
    </row>
    <row r="41936" spans="1:5" x14ac:dyDescent="0.25">
      <c r="A41936" t="str">
        <f>HYPERLINK("https://www.773grp.com/globalSearch/MC100EP16TDT/page-1", "MC100EP16TDT")</f>
        <v>MC100EP16TDT</v>
      </c>
      <c r="B41936" s="3" t="str">
        <f>HYPERLINK("https://www.773grp.com/manufacturer/onsemi?pageNo=1296", "ON Semiconductor")</f>
        <v>ON Semiconductor</v>
      </c>
      <c r="C41936" s="6">
        <v>29175</v>
      </c>
      <c r="D41936" s="7">
        <v>6.33</v>
      </c>
      <c r="E41936" t="s">
        <v>21</v>
      </c>
    </row>
    <row r="41937" spans="1:5" x14ac:dyDescent="0.25">
      <c r="A41937" t="str">
        <f>HYPERLINK("https://www.773grp.com/globalSearch/MC100EP16VTD/page-1", "MC100EP16VTD")</f>
        <v>MC100EP16VTD</v>
      </c>
      <c r="B41937" s="3" t="str">
        <f>HYPERLINK("https://www.773grp.com/manufacturer/onsemi?pageNo=1297", "ON Semiconductor")</f>
        <v>ON Semiconductor</v>
      </c>
      <c r="C41937" s="6">
        <v>2450</v>
      </c>
      <c r="D41937" s="7">
        <v>6.33</v>
      </c>
      <c r="E41937" t="s">
        <v>21</v>
      </c>
    </row>
    <row r="41938" spans="1:5" x14ac:dyDescent="0.25">
      <c r="A41938" t="str">
        <f>HYPERLINK("https://www.773grp.com/globalSearch/MC100EP16VTDT/page-1", "MC100EP16VTDT")</f>
        <v>MC100EP16VTDT</v>
      </c>
      <c r="B41938" s="3" t="str">
        <f>HYPERLINK("https://www.773grp.com/manufacturer/onsemi?pageNo=1298", "ON Semiconductor")</f>
        <v>ON Semiconductor</v>
      </c>
      <c r="C41938" s="6">
        <v>3400</v>
      </c>
      <c r="D41938" s="7">
        <v>6.33</v>
      </c>
      <c r="E41938" t="s">
        <v>21</v>
      </c>
    </row>
    <row r="41939" spans="1:5" x14ac:dyDescent="0.25">
      <c r="A41939" t="str">
        <f>HYPERLINK("https://www.773grp.com/globalSearch/MC100LVEL16DG/page-1", "MC100LVEL16DG")</f>
        <v>MC100LVEL16DG</v>
      </c>
      <c r="B41939" s="3" t="str">
        <f>HYPERLINK("https://www.773grp.com/manufacturer/onsemi?pageNo=1299", "ON Semiconductor")</f>
        <v>ON Semiconductor</v>
      </c>
      <c r="C41939" s="6">
        <v>1248</v>
      </c>
      <c r="D41939" s="7">
        <v>6.33</v>
      </c>
      <c r="E41939" t="s">
        <v>21</v>
      </c>
    </row>
    <row r="41940" spans="1:5" x14ac:dyDescent="0.25">
      <c r="A41940" t="str">
        <f>HYPERLINK("https://www.773grp.com/globalSearch/MC100LVEL16DTG/page-1", "MC100LVEL16DTG")</f>
        <v>MC100LVEL16DTG</v>
      </c>
      <c r="B41940" s="3" t="str">
        <f>HYPERLINK("https://www.773grp.com/manufacturer/onsemi?pageNo=1300", "ON Semiconductor")</f>
        <v>ON Semiconductor</v>
      </c>
      <c r="C41940" s="6">
        <v>1140</v>
      </c>
      <c r="D41940" s="7">
        <v>6.33</v>
      </c>
      <c r="E41940" t="s">
        <v>21</v>
      </c>
    </row>
    <row r="41941" spans="1:5" x14ac:dyDescent="0.25">
      <c r="A41941" t="str">
        <f>HYPERLINK("https://www.773grp.com/globalSearch/MC100LVEL16DTR2G/page-1", "MC100LVEL16DTR2G")</f>
        <v>MC100LVEL16DTR2G</v>
      </c>
      <c r="B41941" s="3" t="str">
        <f>HYPERLINK("https://www.773grp.com/manufacturer/onsemi?pageNo=1301", "ON Semiconductor")</f>
        <v>ON Semiconductor</v>
      </c>
      <c r="C41941" s="6">
        <v>15000</v>
      </c>
      <c r="D41941" s="7">
        <v>6.33</v>
      </c>
      <c r="E41941" t="s">
        <v>21</v>
      </c>
    </row>
    <row r="41942" spans="1:5" x14ac:dyDescent="0.25">
      <c r="A41942" t="str">
        <f>HYPERLINK("https://www.773grp.com/globalSearch/MC100LVEL16MNR4G/page-1", "MC100LVEL16MNR4G")</f>
        <v>MC100LVEL16MNR4G</v>
      </c>
      <c r="B41942" s="3" t="str">
        <f>HYPERLINK("https://www.773grp.com/manufacturer/onsemi?pageNo=1302", "ON Semiconductor")</f>
        <v>ON Semiconductor</v>
      </c>
      <c r="C41942" s="6">
        <v>10950</v>
      </c>
      <c r="D41942" s="7">
        <v>6.33</v>
      </c>
      <c r="E41942" t="s">
        <v>21</v>
      </c>
    </row>
    <row r="41943" spans="1:5" x14ac:dyDescent="0.25">
      <c r="A41943" t="str">
        <f>HYPERLINK("https://www.773grp.com/globalSearch/MC100LVEL17DWR2G/page-1", "MC100LVEL17DWR2G")</f>
        <v>MC100LVEL17DWR2G</v>
      </c>
      <c r="B41943" s="3" t="str">
        <f>HYPERLINK("https://www.773grp.com/manufacturer/onsemi?pageNo=1303", "ON Semiconductor")</f>
        <v>ON Semiconductor</v>
      </c>
      <c r="C41943" s="6">
        <v>5000</v>
      </c>
      <c r="D41943" s="7">
        <v>6.33</v>
      </c>
      <c r="E41943" t="s">
        <v>21</v>
      </c>
    </row>
    <row r="41944" spans="1:5" x14ac:dyDescent="0.25">
      <c r="A41944" t="str">
        <f>HYPERLINK("https://www.773grp.com/globalSearch/MC100LVEL31DG/page-1", "MC100LVEL31DG")</f>
        <v>MC100LVEL31DG</v>
      </c>
      <c r="B41944" s="3" t="str">
        <f>HYPERLINK("https://www.773grp.com/manufacturer/onsemi?pageNo=1304", "ON Semiconductor")</f>
        <v>ON Semiconductor</v>
      </c>
      <c r="C41944" s="6">
        <v>8731</v>
      </c>
      <c r="D41944" s="7">
        <v>6.33</v>
      </c>
      <c r="E41944" t="s">
        <v>35</v>
      </c>
    </row>
    <row r="41945" spans="1:5" x14ac:dyDescent="0.25">
      <c r="A41945" t="str">
        <f>HYPERLINK("https://www.773grp.com/globalSearch/MC100LVEL31DR2G/page-1", "MC100LVEL31DR2G")</f>
        <v>MC100LVEL31DR2G</v>
      </c>
      <c r="B41945" s="3" t="str">
        <f>HYPERLINK("https://www.773grp.com/manufacturer/onsemi?pageNo=1305", "ON Semiconductor")</f>
        <v>ON Semiconductor</v>
      </c>
      <c r="C41945" s="6">
        <v>5000</v>
      </c>
      <c r="D41945" s="7">
        <v>6.33</v>
      </c>
      <c r="E41945" t="s">
        <v>35</v>
      </c>
    </row>
    <row r="41946" spans="1:5" x14ac:dyDescent="0.25">
      <c r="A41946" t="str">
        <f>HYPERLINK("https://www.773grp.com/globalSearch/MC100LVEL31DTG/page-1", "MC100LVEL31DTG")</f>
        <v>MC100LVEL31DTG</v>
      </c>
      <c r="B41946" s="3" t="str">
        <f>HYPERLINK("https://www.773grp.com/manufacturer/onsemi?pageNo=1306", "ON Semiconductor")</f>
        <v>ON Semiconductor</v>
      </c>
      <c r="C41946" s="6">
        <v>7712</v>
      </c>
      <c r="D41946" s="7">
        <v>6.33</v>
      </c>
      <c r="E41946" t="s">
        <v>35</v>
      </c>
    </row>
    <row r="41947" spans="1:5" x14ac:dyDescent="0.25">
      <c r="A41947" t="str">
        <f>HYPERLINK("https://www.773grp.com/globalSearch/MC100LVEL31DTR2G/page-1", "MC100LVEL31DTR2G")</f>
        <v>MC100LVEL31DTR2G</v>
      </c>
      <c r="B41947" s="3" t="str">
        <f>HYPERLINK("https://www.773grp.com/manufacturer/onsemi?pageNo=1307", "ON Semiconductor")</f>
        <v>ON Semiconductor</v>
      </c>
      <c r="C41947" s="6">
        <v>12312</v>
      </c>
      <c r="D41947" s="7">
        <v>6.33</v>
      </c>
      <c r="E41947" t="s">
        <v>35</v>
      </c>
    </row>
    <row r="41948" spans="1:5" x14ac:dyDescent="0.25">
      <c r="A41948" t="str">
        <f>HYPERLINK("https://www.773grp.com/globalSearch/MC100LVEL32DG/page-1", "MC100LVEL32DG")</f>
        <v>MC100LVEL32DG</v>
      </c>
      <c r="B41948" s="3" t="str">
        <f>HYPERLINK("https://www.773grp.com/manufacturer/onsemi?pageNo=1308", "ON Semiconductor")</f>
        <v>ON Semiconductor</v>
      </c>
      <c r="C41948" s="6">
        <v>4947</v>
      </c>
      <c r="D41948" s="7">
        <v>6.33</v>
      </c>
      <c r="E41948" t="s">
        <v>54</v>
      </c>
    </row>
    <row r="41949" spans="1:5" x14ac:dyDescent="0.25">
      <c r="A41949" t="str">
        <f>HYPERLINK("https://www.773grp.com/globalSearch/MC100LVEL32DR2G/page-1", "MC100LVEL32DR2G")</f>
        <v>MC100LVEL32DR2G</v>
      </c>
      <c r="B41949" s="3" t="str">
        <f>HYPERLINK("https://www.773grp.com/manufacturer/onsemi?pageNo=1309", "ON Semiconductor")</f>
        <v>ON Semiconductor</v>
      </c>
      <c r="C41949" s="6">
        <v>22465</v>
      </c>
      <c r="D41949" s="7">
        <v>6.33</v>
      </c>
      <c r="E41949" t="s">
        <v>54</v>
      </c>
    </row>
    <row r="41950" spans="1:5" x14ac:dyDescent="0.25">
      <c r="A41950" t="str">
        <f>HYPERLINK("https://www.773grp.com/globalSearch/MC100LVEL32DTG/page-1", "MC100LVEL32DTG")</f>
        <v>MC100LVEL32DTG</v>
      </c>
      <c r="B41950" s="3" t="str">
        <f>HYPERLINK("https://www.773grp.com/manufacturer/onsemi?pageNo=1310", "ON Semiconductor")</f>
        <v>ON Semiconductor</v>
      </c>
      <c r="C41950" s="6">
        <v>5586</v>
      </c>
      <c r="D41950" s="7">
        <v>6.33</v>
      </c>
      <c r="E41950" t="s">
        <v>54</v>
      </c>
    </row>
    <row r="41951" spans="1:5" x14ac:dyDescent="0.25">
      <c r="A41951" t="str">
        <f>HYPERLINK("https://www.773grp.com/globalSearch/MC100LVEL32DTR2G/page-1", "MC100LVEL32DTR2G")</f>
        <v>MC100LVEL32DTR2G</v>
      </c>
      <c r="B41951" s="3" t="str">
        <f>HYPERLINK("https://www.773grp.com/manufacturer/onsemi?pageNo=1311", "ON Semiconductor")</f>
        <v>ON Semiconductor</v>
      </c>
      <c r="C41951" s="6">
        <v>2500</v>
      </c>
      <c r="D41951" s="7">
        <v>6.33</v>
      </c>
      <c r="E41951" t="s">
        <v>54</v>
      </c>
    </row>
    <row r="41952" spans="1:5" x14ac:dyDescent="0.25">
      <c r="A41952" t="str">
        <f>HYPERLINK("https://www.773grp.com/globalSearch/MC100LVEL32MNR4G/page-1", "MC100LVEL32MNR4G")</f>
        <v>MC100LVEL32MNR4G</v>
      </c>
      <c r="B41952" s="3" t="str">
        <f>HYPERLINK("https://www.773grp.com/manufacturer/onsemi?pageNo=1312", "ON Semiconductor")</f>
        <v>ON Semiconductor</v>
      </c>
      <c r="C41952" s="6">
        <v>1000</v>
      </c>
      <c r="D41952" s="7">
        <v>6.33</v>
      </c>
    </row>
    <row r="41953" spans="1:5" x14ac:dyDescent="0.25">
      <c r="A41953" t="str">
        <f>HYPERLINK("https://www.773grp.com/globalSearch/MC100LVEL33DG/page-1", "MC100LVEL33DG")</f>
        <v>MC100LVEL33DG</v>
      </c>
      <c r="B41953" s="3" t="str">
        <f>HYPERLINK("https://www.773grp.com/manufacturer/onsemi?pageNo=1313", "ON Semiconductor")</f>
        <v>ON Semiconductor</v>
      </c>
      <c r="C41953" s="6">
        <v>436</v>
      </c>
      <c r="D41953" s="7">
        <v>6.33</v>
      </c>
      <c r="E41953" t="s">
        <v>54</v>
      </c>
    </row>
    <row r="41954" spans="1:5" x14ac:dyDescent="0.25">
      <c r="A41954" t="str">
        <f>HYPERLINK("https://www.773grp.com/globalSearch/MC100LVEL33DR2G/page-1", "MC100LVEL33DR2G")</f>
        <v>MC100LVEL33DR2G</v>
      </c>
      <c r="B41954" s="3" t="str">
        <f>HYPERLINK("https://www.773grp.com/manufacturer/onsemi?pageNo=1314", "ON Semiconductor")</f>
        <v>ON Semiconductor</v>
      </c>
      <c r="C41954" s="6">
        <v>52</v>
      </c>
      <c r="D41954" s="7">
        <v>6.33</v>
      </c>
    </row>
    <row r="41955" spans="1:5" x14ac:dyDescent="0.25">
      <c r="A41955" t="str">
        <f>HYPERLINK("https://www.773grp.com/globalSearch/MC100LVEL33DTG/page-1", "MC100LVEL33DTG")</f>
        <v>MC100LVEL33DTG</v>
      </c>
      <c r="B41955" s="3" t="str">
        <f>HYPERLINK("https://www.773grp.com/manufacturer/onsemi?pageNo=1315", "ON Semiconductor")</f>
        <v>ON Semiconductor</v>
      </c>
      <c r="C41955" s="6">
        <v>1584</v>
      </c>
      <c r="D41955" s="7">
        <v>6.33</v>
      </c>
      <c r="E41955" t="s">
        <v>54</v>
      </c>
    </row>
    <row r="41956" spans="1:5" x14ac:dyDescent="0.25">
      <c r="A41956" t="str">
        <f>HYPERLINK("https://www.773grp.com/globalSearch/MC100LVEL33DTR2G/page-1", "MC100LVEL33DTR2G")</f>
        <v>MC100LVEL33DTR2G</v>
      </c>
      <c r="B41956" s="3" t="str">
        <f>HYPERLINK("https://www.773grp.com/manufacturer/onsemi?pageNo=1316", "ON Semiconductor")</f>
        <v>ON Semiconductor</v>
      </c>
      <c r="C41956" s="6">
        <v>2500</v>
      </c>
      <c r="D41956" s="7">
        <v>6.33</v>
      </c>
      <c r="E41956" t="s">
        <v>54</v>
      </c>
    </row>
    <row r="41957" spans="1:5" x14ac:dyDescent="0.25">
      <c r="A41957" t="str">
        <f>HYPERLINK("https://www.773grp.com/globalSearch/MC100LVEL33MNR4G/page-1", "MC100LVEL33MNR4G")</f>
        <v>MC100LVEL33MNR4G</v>
      </c>
      <c r="B41957" s="3" t="str">
        <f>HYPERLINK("https://www.773grp.com/manufacturer/onsemi?pageNo=1317", "ON Semiconductor")</f>
        <v>ON Semiconductor</v>
      </c>
      <c r="C41957" s="6">
        <v>9000</v>
      </c>
      <c r="D41957" s="7">
        <v>6.33</v>
      </c>
      <c r="E41957" t="s">
        <v>54</v>
      </c>
    </row>
    <row r="41958" spans="1:5" x14ac:dyDescent="0.25">
      <c r="A41958" t="str">
        <f>HYPERLINK("https://www.773grp.com/globalSearch/MC100LVEL91DW/page-1", "MC100LVEL91DW")</f>
        <v>MC100LVEL91DW</v>
      </c>
      <c r="B41958" s="3" t="str">
        <f>HYPERLINK("https://www.773grp.com/manufacturer/onsemi?pageNo=1318", "ON Semiconductor")</f>
        <v>ON Semiconductor</v>
      </c>
      <c r="C41958" s="6">
        <v>7277</v>
      </c>
      <c r="D41958" s="7">
        <v>6.33</v>
      </c>
      <c r="E41958" t="s">
        <v>73</v>
      </c>
    </row>
    <row r="41959" spans="1:5" x14ac:dyDescent="0.25">
      <c r="A41959" t="str">
        <f>HYPERLINK("https://www.773grp.com/globalSearch/MC100LVEL91DWR2/page-1", "MC100LVEL91DWR2")</f>
        <v>MC100LVEL91DWR2</v>
      </c>
      <c r="B41959" s="3" t="str">
        <f>HYPERLINK("https://www.773grp.com/manufacturer/onsemi?pageNo=1319", "ON Semiconductor")</f>
        <v>ON Semiconductor</v>
      </c>
      <c r="C41959" s="6">
        <v>1728</v>
      </c>
      <c r="D41959" s="7">
        <v>6.33</v>
      </c>
      <c r="E41959" t="s">
        <v>73</v>
      </c>
    </row>
    <row r="41960" spans="1:5" x14ac:dyDescent="0.25">
      <c r="A41960" t="str">
        <f>HYPERLINK("https://www.773grp.com/globalSearch/MC100LVEL92DW/page-1", "MC100LVEL92DW")</f>
        <v>MC100LVEL92DW</v>
      </c>
      <c r="B41960" s="3" t="str">
        <f>HYPERLINK("https://www.773grp.com/manufacturer/onsemi?pageNo=1320", "ON Semiconductor")</f>
        <v>ON Semiconductor</v>
      </c>
      <c r="C41960" s="6">
        <v>10867</v>
      </c>
      <c r="D41960" s="7">
        <v>6.33</v>
      </c>
      <c r="E41960" t="s">
        <v>73</v>
      </c>
    </row>
    <row r="41961" spans="1:5" x14ac:dyDescent="0.25">
      <c r="A41961" t="str">
        <f>HYPERLINK("https://www.773grp.com/globalSearch/MC100LVEL92DWR2/page-1", "MC100LVEL92DWR2")</f>
        <v>MC100LVEL92DWR2</v>
      </c>
      <c r="B41961" s="3" t="str">
        <f>HYPERLINK("https://www.773grp.com/manufacturer/onsemi?pageNo=1321", "ON Semiconductor")</f>
        <v>ON Semiconductor</v>
      </c>
      <c r="C41961" s="6">
        <v>6259</v>
      </c>
      <c r="D41961" s="7">
        <v>6.33</v>
      </c>
      <c r="E41961" t="s">
        <v>73</v>
      </c>
    </row>
    <row r="41962" spans="1:5" x14ac:dyDescent="0.25">
      <c r="A41962" t="str">
        <f>HYPERLINK("https://www.773grp.com/globalSearch/MC100LVEP111FAG/page-1", "MC100LVEP111FAG")</f>
        <v>MC100LVEP111FAG</v>
      </c>
      <c r="B41962" s="3" t="str">
        <f>HYPERLINK("https://www.773grp.com/manufacturer/onsemi?pageNo=1322", "ON Semiconductor")</f>
        <v>ON Semiconductor</v>
      </c>
      <c r="C41962" s="6">
        <v>1467</v>
      </c>
      <c r="D41962" s="7">
        <v>6.33</v>
      </c>
    </row>
    <row r="41963" spans="1:5" x14ac:dyDescent="0.25">
      <c r="A41963" t="str">
        <f>HYPERLINK("https://www.773grp.com/globalSearch/MC100LVEP111MNRG/page-1", "MC100LVEP111MNRG")</f>
        <v>MC100LVEP111MNRG</v>
      </c>
      <c r="B41963" s="3" t="str">
        <f>HYPERLINK("https://www.773grp.com/manufacturer/onsemi?pageNo=1323", "ON Semiconductor")</f>
        <v>ON Semiconductor</v>
      </c>
      <c r="C41963" s="6">
        <v>1000</v>
      </c>
      <c r="D41963" s="7">
        <v>6.33</v>
      </c>
    </row>
    <row r="41964" spans="1:5" x14ac:dyDescent="0.25">
      <c r="A41964" t="str">
        <f>HYPERLINK("https://www.773grp.com/globalSearch/MC10EL01DG/page-1", "MC10EL01DG")</f>
        <v>MC10EL01DG</v>
      </c>
      <c r="B41964" s="3" t="str">
        <f>HYPERLINK("https://www.773grp.com/manufacturer/onsemi?pageNo=1324", "ON Semiconductor")</f>
        <v>ON Semiconductor</v>
      </c>
      <c r="C41964" s="6">
        <v>7705</v>
      </c>
      <c r="D41964" s="7">
        <v>6.33</v>
      </c>
      <c r="E41964" t="s">
        <v>31</v>
      </c>
    </row>
    <row r="41965" spans="1:5" x14ac:dyDescent="0.25">
      <c r="A41965" t="str">
        <f>HYPERLINK("https://www.773grp.com/globalSearch/MC10EL01DR2G/page-1", "MC10EL01DR2G")</f>
        <v>MC10EL01DR2G</v>
      </c>
      <c r="B41965" s="3" t="str">
        <f>HYPERLINK("https://www.773grp.com/manufacturer/onsemi?pageNo=1325", "ON Semiconductor")</f>
        <v>ON Semiconductor</v>
      </c>
      <c r="C41965" s="6">
        <v>4972</v>
      </c>
      <c r="D41965" s="7">
        <v>6.33</v>
      </c>
      <c r="E41965" t="s">
        <v>31</v>
      </c>
    </row>
    <row r="41966" spans="1:5" x14ac:dyDescent="0.25">
      <c r="A41966" t="str">
        <f>HYPERLINK("https://www.773grp.com/globalSearch/MC10EL01DTG/page-1", "MC10EL01DTG")</f>
        <v>MC10EL01DTG</v>
      </c>
      <c r="B41966" s="3" t="str">
        <f>HYPERLINK("https://www.773grp.com/manufacturer/onsemi?pageNo=1326", "ON Semiconductor")</f>
        <v>ON Semiconductor</v>
      </c>
      <c r="C41966" s="6">
        <v>2761</v>
      </c>
      <c r="D41966" s="7">
        <v>6.33</v>
      </c>
      <c r="E41966" t="s">
        <v>31</v>
      </c>
    </row>
    <row r="41967" spans="1:5" x14ac:dyDescent="0.25">
      <c r="A41967" t="str">
        <f>HYPERLINK("https://www.773grp.com/globalSearch/MC10EL01DTR2G/page-1", "MC10EL01DTR2G")</f>
        <v>MC10EL01DTR2G</v>
      </c>
      <c r="B41967" s="3" t="str">
        <f>HYPERLINK("https://www.773grp.com/manufacturer/onsemi?pageNo=1327", "ON Semiconductor")</f>
        <v>ON Semiconductor</v>
      </c>
      <c r="C41967" s="6">
        <v>2500</v>
      </c>
      <c r="D41967" s="7">
        <v>6.33</v>
      </c>
      <c r="E41967" t="s">
        <v>31</v>
      </c>
    </row>
    <row r="41968" spans="1:5" x14ac:dyDescent="0.25">
      <c r="A41968" t="str">
        <f>HYPERLINK("https://www.773grp.com/globalSearch/MC10EL04DG/page-1", "MC10EL04DG")</f>
        <v>MC10EL04DG</v>
      </c>
      <c r="B41968" s="3" t="str">
        <f>HYPERLINK("https://www.773grp.com/manufacturer/onsemi?pageNo=1328", "ON Semiconductor")</f>
        <v>ON Semiconductor</v>
      </c>
      <c r="C41968" s="6">
        <v>1821</v>
      </c>
      <c r="D41968" s="7">
        <v>6.33</v>
      </c>
      <c r="E41968" t="s">
        <v>31</v>
      </c>
    </row>
    <row r="41969" spans="1:5" x14ac:dyDescent="0.25">
      <c r="A41969" t="str">
        <f>HYPERLINK("https://www.773grp.com/globalSearch/MC10EL04DTG/page-1", "MC10EL04DTG")</f>
        <v>MC10EL04DTG</v>
      </c>
      <c r="B41969" s="3" t="str">
        <f>HYPERLINK("https://www.773grp.com/manufacturer/onsemi?pageNo=1329", "ON Semiconductor")</f>
        <v>ON Semiconductor</v>
      </c>
      <c r="C41969" s="6">
        <v>10018</v>
      </c>
      <c r="D41969" s="7">
        <v>6.33</v>
      </c>
      <c r="E41969" t="s">
        <v>31</v>
      </c>
    </row>
    <row r="41970" spans="1:5" x14ac:dyDescent="0.25">
      <c r="A41970" t="str">
        <f>HYPERLINK("https://www.773grp.com/globalSearch/MC10EL04DTR2G/page-1", "MC10EL04DTR2G")</f>
        <v>MC10EL04DTR2G</v>
      </c>
      <c r="B41970" s="3" t="str">
        <f>HYPERLINK("https://www.773grp.com/manufacturer/onsemi?pageNo=1330", "ON Semiconductor")</f>
        <v>ON Semiconductor</v>
      </c>
      <c r="C41970" s="6">
        <v>2500</v>
      </c>
      <c r="D41970" s="7">
        <v>6.33</v>
      </c>
      <c r="E41970" t="s">
        <v>31</v>
      </c>
    </row>
    <row r="41971" spans="1:5" x14ac:dyDescent="0.25">
      <c r="A41971" t="str">
        <f>HYPERLINK("https://www.773grp.com/globalSearch/MC10EL05DG/page-1", "MC10EL05DG")</f>
        <v>MC10EL05DG</v>
      </c>
      <c r="B41971" s="3" t="str">
        <f>HYPERLINK("https://www.773grp.com/manufacturer/onsemi?pageNo=1331", "ON Semiconductor")</f>
        <v>ON Semiconductor</v>
      </c>
      <c r="C41971" s="6">
        <v>2943</v>
      </c>
      <c r="D41971" s="7">
        <v>6.33</v>
      </c>
      <c r="E41971" t="s">
        <v>31</v>
      </c>
    </row>
    <row r="41972" spans="1:5" x14ac:dyDescent="0.25">
      <c r="A41972" t="str">
        <f>HYPERLINK("https://www.773grp.com/globalSearch/MC10EL05DTG/page-1", "MC10EL05DTG")</f>
        <v>MC10EL05DTG</v>
      </c>
      <c r="B41972" s="3" t="str">
        <f>HYPERLINK("https://www.773grp.com/manufacturer/onsemi?pageNo=1332", "ON Semiconductor")</f>
        <v>ON Semiconductor</v>
      </c>
      <c r="C41972" s="6">
        <v>19507</v>
      </c>
      <c r="D41972" s="7">
        <v>6.33</v>
      </c>
      <c r="E41972" t="s">
        <v>31</v>
      </c>
    </row>
    <row r="41973" spans="1:5" x14ac:dyDescent="0.25">
      <c r="A41973" t="str">
        <f>HYPERLINK("https://www.773grp.com/globalSearch/MC10EL05DTR2G/page-1", "MC10EL05DTR2G")</f>
        <v>MC10EL05DTR2G</v>
      </c>
      <c r="B41973" s="3" t="str">
        <f>HYPERLINK("https://www.773grp.com/manufacturer/onsemi?pageNo=1333", "ON Semiconductor")</f>
        <v>ON Semiconductor</v>
      </c>
      <c r="C41973" s="6">
        <v>10100</v>
      </c>
      <c r="D41973" s="7">
        <v>6.33</v>
      </c>
      <c r="E41973" t="s">
        <v>31</v>
      </c>
    </row>
    <row r="41974" spans="1:5" x14ac:dyDescent="0.25">
      <c r="A41974" t="str">
        <f>HYPERLINK("https://www.773grp.com/globalSearch/MC10EL07DG/page-1", "MC10EL07DG")</f>
        <v>MC10EL07DG</v>
      </c>
      <c r="B41974" s="3" t="str">
        <f>HYPERLINK("https://www.773grp.com/manufacturer/onsemi?pageNo=1334", "ON Semiconductor")</f>
        <v>ON Semiconductor</v>
      </c>
      <c r="C41974" s="6">
        <v>8445</v>
      </c>
      <c r="D41974" s="7">
        <v>6.33</v>
      </c>
      <c r="E41974" t="s">
        <v>31</v>
      </c>
    </row>
    <row r="41975" spans="1:5" x14ac:dyDescent="0.25">
      <c r="A41975" t="str">
        <f>HYPERLINK("https://www.773grp.com/globalSearch/MC10EL07DR2G/page-1", "MC10EL07DR2G")</f>
        <v>MC10EL07DR2G</v>
      </c>
      <c r="B41975" s="3" t="str">
        <f>HYPERLINK("https://www.773grp.com/manufacturer/onsemi?pageNo=1335", "ON Semiconductor")</f>
        <v>ON Semiconductor</v>
      </c>
      <c r="C41975" s="6">
        <v>6680</v>
      </c>
      <c r="D41975" s="7">
        <v>6.33</v>
      </c>
      <c r="E41975" t="s">
        <v>31</v>
      </c>
    </row>
    <row r="41976" spans="1:5" x14ac:dyDescent="0.25">
      <c r="A41976" t="str">
        <f>HYPERLINK("https://www.773grp.com/globalSearch/MC10EL07DTG/page-1", "MC10EL07DTG")</f>
        <v>MC10EL07DTG</v>
      </c>
      <c r="B41976" s="3" t="str">
        <f>HYPERLINK("https://www.773grp.com/manufacturer/onsemi?pageNo=1336", "ON Semiconductor")</f>
        <v>ON Semiconductor</v>
      </c>
      <c r="C41976" s="6">
        <v>24190</v>
      </c>
      <c r="D41976" s="7">
        <v>6.33</v>
      </c>
      <c r="E41976" t="s">
        <v>31</v>
      </c>
    </row>
    <row r="41977" spans="1:5" x14ac:dyDescent="0.25">
      <c r="A41977" t="str">
        <f>HYPERLINK("https://www.773grp.com/globalSearch/MC10EL07DTR2G/page-1", "MC10EL07DTR2G")</f>
        <v>MC10EL07DTR2G</v>
      </c>
      <c r="B41977" s="3" t="str">
        <f>HYPERLINK("https://www.773grp.com/manufacturer/onsemi?pageNo=1337", "ON Semiconductor")</f>
        <v>ON Semiconductor</v>
      </c>
      <c r="C41977" s="6">
        <v>5000</v>
      </c>
      <c r="D41977" s="7">
        <v>6.33</v>
      </c>
      <c r="E41977" t="s">
        <v>31</v>
      </c>
    </row>
    <row r="41978" spans="1:5" x14ac:dyDescent="0.25">
      <c r="A41978" t="str">
        <f>HYPERLINK("https://www.773grp.com/globalSearch/MC10EL12DG/page-1", "MC10EL12DG")</f>
        <v>MC10EL12DG</v>
      </c>
      <c r="B41978" s="3" t="str">
        <f>HYPERLINK("https://www.773grp.com/manufacturer/onsemi?pageNo=1338", "ON Semiconductor")</f>
        <v>ON Semiconductor</v>
      </c>
      <c r="C41978" s="6">
        <v>8579</v>
      </c>
      <c r="D41978" s="7">
        <v>6.33</v>
      </c>
      <c r="E41978" t="s">
        <v>31</v>
      </c>
    </row>
    <row r="41979" spans="1:5" x14ac:dyDescent="0.25">
      <c r="A41979" t="str">
        <f>HYPERLINK("https://www.773grp.com/globalSearch/MC10EL12DR2G/page-1", "MC10EL12DR2G")</f>
        <v>MC10EL12DR2G</v>
      </c>
      <c r="B41979" s="3" t="str">
        <f>HYPERLINK("https://www.773grp.com/manufacturer/onsemi?pageNo=1339", "ON Semiconductor")</f>
        <v>ON Semiconductor</v>
      </c>
      <c r="C41979" s="6">
        <v>2500</v>
      </c>
      <c r="D41979" s="7">
        <v>6.33</v>
      </c>
      <c r="E41979" t="s">
        <v>31</v>
      </c>
    </row>
    <row r="41980" spans="1:5" x14ac:dyDescent="0.25">
      <c r="A41980" t="str">
        <f>HYPERLINK("https://www.773grp.com/globalSearch/MC10EL12DTG/page-1", "MC10EL12DTG")</f>
        <v>MC10EL12DTG</v>
      </c>
      <c r="B41980" s="3" t="str">
        <f>HYPERLINK("https://www.773grp.com/manufacturer/onsemi?pageNo=1340", "ON Semiconductor")</f>
        <v>ON Semiconductor</v>
      </c>
      <c r="C41980" s="6">
        <v>9120</v>
      </c>
      <c r="D41980" s="7">
        <v>6.33</v>
      </c>
      <c r="E41980" t="s">
        <v>31</v>
      </c>
    </row>
    <row r="41981" spans="1:5" x14ac:dyDescent="0.25">
      <c r="A41981" t="str">
        <f>HYPERLINK("https://www.773grp.com/globalSearch/MC10EL12DTR2G/page-1", "MC10EL12DTR2G")</f>
        <v>MC10EL12DTR2G</v>
      </c>
      <c r="B41981" s="3" t="str">
        <f>HYPERLINK("https://www.773grp.com/manufacturer/onsemi?pageNo=1341", "ON Semiconductor")</f>
        <v>ON Semiconductor</v>
      </c>
      <c r="C41981" s="6">
        <v>2500</v>
      </c>
      <c r="D41981" s="7">
        <v>6.33</v>
      </c>
      <c r="E41981" t="s">
        <v>31</v>
      </c>
    </row>
    <row r="41982" spans="1:5" x14ac:dyDescent="0.25">
      <c r="A41982" t="str">
        <f>HYPERLINK("https://www.773grp.com/globalSearch/MC10EL16DG/page-1", "MC10EL16DG")</f>
        <v>MC10EL16DG</v>
      </c>
      <c r="B41982" s="3" t="str">
        <f>HYPERLINK("https://www.773grp.com/manufacturer/onsemi?pageNo=1342", "ON Semiconductor")</f>
        <v>ON Semiconductor</v>
      </c>
      <c r="C41982" s="6">
        <v>5682</v>
      </c>
      <c r="D41982" s="7">
        <v>6.33</v>
      </c>
      <c r="E41982" t="s">
        <v>21</v>
      </c>
    </row>
    <row r="41983" spans="1:5" x14ac:dyDescent="0.25">
      <c r="A41983" t="str">
        <f>HYPERLINK("https://www.773grp.com/globalSearch/MC10EL16DR2G/page-1", "MC10EL16DR2G")</f>
        <v>MC10EL16DR2G</v>
      </c>
      <c r="B41983" s="3" t="str">
        <f>HYPERLINK("https://www.773grp.com/manufacturer/onsemi?pageNo=1343", "ON Semiconductor")</f>
        <v>ON Semiconductor</v>
      </c>
      <c r="C41983" s="6">
        <v>31385</v>
      </c>
      <c r="D41983" s="7">
        <v>6.33</v>
      </c>
      <c r="E41983" t="s">
        <v>21</v>
      </c>
    </row>
    <row r="41984" spans="1:5" x14ac:dyDescent="0.25">
      <c r="A41984" t="str">
        <f>HYPERLINK("https://www.773grp.com/globalSearch/MC10EL16DTG/page-1", "MC10EL16DTG")</f>
        <v>MC10EL16DTG</v>
      </c>
      <c r="B41984" s="3" t="str">
        <f>HYPERLINK("https://www.773grp.com/manufacturer/onsemi?pageNo=1344", "ON Semiconductor")</f>
        <v>ON Semiconductor</v>
      </c>
      <c r="C41984" s="6">
        <v>3581</v>
      </c>
      <c r="D41984" s="7">
        <v>6.33</v>
      </c>
      <c r="E41984" t="s">
        <v>21</v>
      </c>
    </row>
    <row r="41985" spans="1:5" x14ac:dyDescent="0.25">
      <c r="A41985" t="str">
        <f>HYPERLINK("https://www.773grp.com/globalSearch/MC10EL31DG/page-1", "MC10EL31DG")</f>
        <v>MC10EL31DG</v>
      </c>
      <c r="B41985" s="3" t="str">
        <f>HYPERLINK("https://www.773grp.com/manufacturer/onsemi?pageNo=1345", "ON Semiconductor")</f>
        <v>ON Semiconductor</v>
      </c>
      <c r="C41985" s="6">
        <v>1506</v>
      </c>
      <c r="D41985" s="7">
        <v>6.33</v>
      </c>
      <c r="E41985" t="s">
        <v>35</v>
      </c>
    </row>
    <row r="41986" spans="1:5" x14ac:dyDescent="0.25">
      <c r="A41986" t="str">
        <f>HYPERLINK("https://www.773grp.com/globalSearch/MC10EL31DR2G/page-1", "MC10EL31DR2G")</f>
        <v>MC10EL31DR2G</v>
      </c>
      <c r="B41986" s="3" t="str">
        <f>HYPERLINK("https://www.773grp.com/manufacturer/onsemi?pageNo=1346", "ON Semiconductor")</f>
        <v>ON Semiconductor</v>
      </c>
      <c r="C41986" s="6">
        <v>7300</v>
      </c>
      <c r="D41986" s="7">
        <v>6.33</v>
      </c>
      <c r="E41986" t="s">
        <v>35</v>
      </c>
    </row>
    <row r="41987" spans="1:5" x14ac:dyDescent="0.25">
      <c r="A41987" t="str">
        <f>HYPERLINK("https://www.773grp.com/globalSearch/MC10EL31DTG/page-1", "MC10EL31DTG")</f>
        <v>MC10EL31DTG</v>
      </c>
      <c r="B41987" s="3" t="str">
        <f>HYPERLINK("https://www.773grp.com/manufacturer/onsemi?pageNo=1347", "ON Semiconductor")</f>
        <v>ON Semiconductor</v>
      </c>
      <c r="C41987" s="6">
        <v>3157</v>
      </c>
      <c r="D41987" s="7">
        <v>6.33</v>
      </c>
      <c r="E41987" t="s">
        <v>35</v>
      </c>
    </row>
    <row r="41988" spans="1:5" x14ac:dyDescent="0.25">
      <c r="A41988" t="str">
        <f>HYPERLINK("https://www.773grp.com/globalSearch/MC10EL32DG/page-1", "MC10EL32DG")</f>
        <v>MC10EL32DG</v>
      </c>
      <c r="B41988" s="3" t="str">
        <f>HYPERLINK("https://www.773grp.com/manufacturer/onsemi?pageNo=1348", "ON Semiconductor")</f>
        <v>ON Semiconductor</v>
      </c>
      <c r="C41988" s="6">
        <v>1446</v>
      </c>
      <c r="D41988" s="7">
        <v>6.33</v>
      </c>
      <c r="E41988" t="s">
        <v>54</v>
      </c>
    </row>
    <row r="41989" spans="1:5" x14ac:dyDescent="0.25">
      <c r="A41989" t="str">
        <f>HYPERLINK("https://www.773grp.com/globalSearch/MC10EL32DR2G/page-1", "MC10EL32DR2G")</f>
        <v>MC10EL32DR2G</v>
      </c>
      <c r="B41989" s="3" t="s">
        <v>95</v>
      </c>
      <c r="C41989" s="6">
        <v>2457</v>
      </c>
      <c r="D41989" s="7">
        <v>6.33</v>
      </c>
      <c r="E41989" t="s">
        <v>54</v>
      </c>
    </row>
    <row r="41990" spans="1:5" x14ac:dyDescent="0.25">
      <c r="A41990" t="str">
        <f>HYPERLINK("https://www.773grp.com/globalSearch/MC10EL32DTG/page-1", "MC10EL32DTG")</f>
        <v>MC10EL32DTG</v>
      </c>
      <c r="B41990" s="3" t="s">
        <v>95</v>
      </c>
      <c r="C41990" s="6">
        <v>12436</v>
      </c>
      <c r="D41990" s="7">
        <v>6.33</v>
      </c>
      <c r="E41990" t="s">
        <v>54</v>
      </c>
    </row>
    <row r="41991" spans="1:5" x14ac:dyDescent="0.25">
      <c r="A41991" t="str">
        <f>HYPERLINK("https://www.773grp.com/globalSearch/MC10EL32DTR2G/page-1", "MC10EL32DTR2G")</f>
        <v>MC10EL32DTR2G</v>
      </c>
      <c r="B41991" s="3" t="s">
        <v>95</v>
      </c>
      <c r="C41991" s="6">
        <v>9523</v>
      </c>
      <c r="D41991" s="7">
        <v>6.33</v>
      </c>
      <c r="E41991" t="s">
        <v>54</v>
      </c>
    </row>
    <row r="41992" spans="1:5" x14ac:dyDescent="0.25">
      <c r="A41992" t="str">
        <f>HYPERLINK("https://www.773grp.com/globalSearch/MC10EL33DG/page-1", "MC10EL33DG")</f>
        <v>MC10EL33DG</v>
      </c>
      <c r="B41992" s="3" t="s">
        <v>95</v>
      </c>
      <c r="C41992" s="6">
        <v>14563</v>
      </c>
      <c r="D41992" s="7">
        <v>6.33</v>
      </c>
      <c r="E41992" t="s">
        <v>54</v>
      </c>
    </row>
    <row r="41993" spans="1:5" x14ac:dyDescent="0.25">
      <c r="A41993" t="str">
        <f>HYPERLINK("https://www.773grp.com/globalSearch/MC10EL33DR2G/page-1", "MC10EL33DR2G")</f>
        <v>MC10EL33DR2G</v>
      </c>
      <c r="B41993" s="3" t="s">
        <v>95</v>
      </c>
      <c r="C41993" s="6">
        <v>4700</v>
      </c>
      <c r="D41993" s="7">
        <v>6.33</v>
      </c>
      <c r="E41993" t="s">
        <v>54</v>
      </c>
    </row>
    <row r="41994" spans="1:5" x14ac:dyDescent="0.25">
      <c r="A41994" t="str">
        <f>HYPERLINK("https://www.773grp.com/globalSearch/MC10EL33DTG/page-1", "MC10EL33DTG")</f>
        <v>MC10EL33DTG</v>
      </c>
      <c r="B41994" s="3" t="s">
        <v>95</v>
      </c>
      <c r="C41994" s="6">
        <v>9895</v>
      </c>
      <c r="D41994" s="7">
        <v>6.33</v>
      </c>
      <c r="E41994" t="s">
        <v>54</v>
      </c>
    </row>
    <row r="41995" spans="1:5" x14ac:dyDescent="0.25">
      <c r="A41995" t="str">
        <f>HYPERLINK("https://www.773grp.com/globalSearch/MC10EL33DTR2G/page-1", "MC10EL33DTR2G")</f>
        <v>MC10EL33DTR2G</v>
      </c>
      <c r="B41995" s="3" t="s">
        <v>95</v>
      </c>
      <c r="C41995" s="6">
        <v>31746</v>
      </c>
      <c r="D41995" s="7">
        <v>6.33</v>
      </c>
      <c r="E41995" t="s">
        <v>54</v>
      </c>
    </row>
    <row r="41996" spans="1:5" x14ac:dyDescent="0.25">
      <c r="A41996" t="str">
        <f>HYPERLINK("https://www.773grp.com/globalSearch/MC10EL35DG/page-1", "MC10EL35DG")</f>
        <v>MC10EL35DG</v>
      </c>
      <c r="B41996" s="3" t="s">
        <v>95</v>
      </c>
      <c r="C41996" s="6">
        <v>17056</v>
      </c>
      <c r="D41996" s="7">
        <v>6.33</v>
      </c>
      <c r="E41996" t="s">
        <v>35</v>
      </c>
    </row>
    <row r="41997" spans="1:5" x14ac:dyDescent="0.25">
      <c r="A41997" t="str">
        <f>HYPERLINK("https://www.773grp.com/globalSearch/MC10EL35DTG/page-1", "MC10EL35DTG")</f>
        <v>MC10EL35DTG</v>
      </c>
      <c r="B41997" s="3" t="s">
        <v>95</v>
      </c>
      <c r="C41997" s="6">
        <v>9151</v>
      </c>
      <c r="D41997" s="7">
        <v>6.33</v>
      </c>
      <c r="E41997" t="s">
        <v>35</v>
      </c>
    </row>
    <row r="41998" spans="1:5" x14ac:dyDescent="0.25">
      <c r="A41998" t="str">
        <f>HYPERLINK("https://www.773grp.com/globalSearch/MC10EL35DTR2G/page-1", "MC10EL35DTR2G")</f>
        <v>MC10EL35DTR2G</v>
      </c>
      <c r="B41998" s="3" t="s">
        <v>95</v>
      </c>
      <c r="C41998" s="6">
        <v>2500</v>
      </c>
      <c r="D41998" s="7">
        <v>6.33</v>
      </c>
      <c r="E41998" t="s">
        <v>35</v>
      </c>
    </row>
    <row r="41999" spans="1:5" x14ac:dyDescent="0.25">
      <c r="A41999" t="str">
        <f>HYPERLINK("https://www.773grp.com/globalSearch/MC10EL51DG/page-1", "MC10EL51DG")</f>
        <v>MC10EL51DG</v>
      </c>
      <c r="B41999" s="3" t="s">
        <v>95</v>
      </c>
      <c r="C41999" s="6">
        <v>1454</v>
      </c>
      <c r="D41999" s="7">
        <v>6.33</v>
      </c>
      <c r="E41999" t="s">
        <v>35</v>
      </c>
    </row>
    <row r="42000" spans="1:5" x14ac:dyDescent="0.25">
      <c r="A42000" t="str">
        <f>HYPERLINK("https://www.773grp.com/globalSearch/MC10EL51DR2G/page-1", "MC10EL51DR2G")</f>
        <v>MC10EL51DR2G</v>
      </c>
      <c r="B42000" s="3" t="s">
        <v>95</v>
      </c>
      <c r="C42000" s="6">
        <v>2585</v>
      </c>
      <c r="D42000" s="7">
        <v>6.33</v>
      </c>
      <c r="E42000" t="s">
        <v>35</v>
      </c>
    </row>
    <row r="42001" spans="1:5" x14ac:dyDescent="0.25">
      <c r="A42001" t="str">
        <f>HYPERLINK("https://www.773grp.com/globalSearch/MC10EL51DTG/page-1", "MC10EL51DTG")</f>
        <v>MC10EL51DTG</v>
      </c>
      <c r="B42001" s="3" t="s">
        <v>95</v>
      </c>
      <c r="C42001" s="6">
        <v>6880</v>
      </c>
      <c r="D42001" s="7">
        <v>6.33</v>
      </c>
      <c r="E42001" t="s">
        <v>35</v>
      </c>
    </row>
    <row r="42002" spans="1:5" x14ac:dyDescent="0.25">
      <c r="A42002" t="str">
        <f>HYPERLINK("https://www.773grp.com/globalSearch/MC10EL51DTR2G/page-1", "MC10EL51DTR2G")</f>
        <v>MC10EL51DTR2G</v>
      </c>
      <c r="B42002" s="3" t="s">
        <v>95</v>
      </c>
      <c r="C42002" s="6">
        <v>2500</v>
      </c>
      <c r="D42002" s="7">
        <v>6.33</v>
      </c>
      <c r="E42002" t="s">
        <v>35</v>
      </c>
    </row>
    <row r="42003" spans="1:5" x14ac:dyDescent="0.25">
      <c r="A42003" t="str">
        <f>HYPERLINK("https://www.773grp.com/globalSearch/MC10EP16TD/page-1", "MC10EP16TD")</f>
        <v>MC10EP16TD</v>
      </c>
      <c r="B42003" s="3" t="s">
        <v>95</v>
      </c>
      <c r="C42003" s="6">
        <v>16258</v>
      </c>
      <c r="D42003" s="7">
        <v>6.33</v>
      </c>
      <c r="E42003" t="s">
        <v>21</v>
      </c>
    </row>
    <row r="42004" spans="1:5" x14ac:dyDescent="0.25">
      <c r="A42004" t="str">
        <f>HYPERLINK("https://www.773grp.com/globalSearch/MC10EP16TDR2/page-1", "MC10EP16TDR2")</f>
        <v>MC10EP16TDR2</v>
      </c>
      <c r="B42004" s="3" t="s">
        <v>95</v>
      </c>
      <c r="C42004" s="6">
        <v>7500</v>
      </c>
      <c r="D42004" s="7">
        <v>6.33</v>
      </c>
      <c r="E42004" t="s">
        <v>21</v>
      </c>
    </row>
    <row r="42005" spans="1:5" x14ac:dyDescent="0.25">
      <c r="A42005" t="str">
        <f>HYPERLINK("https://www.773grp.com/globalSearch/MC10EP16TDT/page-1", "MC10EP16TDT")</f>
        <v>MC10EP16TDT</v>
      </c>
      <c r="B42005" s="3" t="s">
        <v>95</v>
      </c>
      <c r="C42005" s="6">
        <v>36</v>
      </c>
      <c r="D42005" s="7">
        <v>6.33</v>
      </c>
      <c r="E42005" t="s">
        <v>21</v>
      </c>
    </row>
    <row r="42006" spans="1:5" x14ac:dyDescent="0.25">
      <c r="A42006" t="str">
        <f>HYPERLINK("https://www.773grp.com/globalSearch/MC33560DWR2G/page-1", "MC33560DWR2G")</f>
        <v>MC33560DWR2G</v>
      </c>
      <c r="B42006" s="3" t="s">
        <v>95</v>
      </c>
      <c r="C42006" s="6">
        <v>4190</v>
      </c>
      <c r="D42006" s="7">
        <v>6.33</v>
      </c>
      <c r="E42006" t="s">
        <v>40</v>
      </c>
    </row>
    <row r="42007" spans="1:5" x14ac:dyDescent="0.25">
      <c r="A42007" t="str">
        <f>HYPERLINK("https://www.773grp.com/globalSearch/MJ15016G/page-1", "MJ15016G")</f>
        <v>MJ15016G</v>
      </c>
      <c r="B42007" s="3" t="s">
        <v>95</v>
      </c>
      <c r="C42007" s="6">
        <v>1200</v>
      </c>
      <c r="D42007" s="7">
        <v>6.33</v>
      </c>
      <c r="E42007" t="s">
        <v>59</v>
      </c>
    </row>
    <row r="42008" spans="1:5" x14ac:dyDescent="0.25">
      <c r="A42008" t="str">
        <f>HYPERLINK("https://www.773grp.com/globalSearch/NB4N316MDTG/page-1", "NB4N316MDTG")</f>
        <v>NB4N316MDTG</v>
      </c>
      <c r="B42008" s="3" t="s">
        <v>95</v>
      </c>
      <c r="C42008" s="6">
        <v>1543</v>
      </c>
      <c r="D42008" s="7">
        <v>6.33</v>
      </c>
      <c r="E42008" t="s">
        <v>73</v>
      </c>
    </row>
    <row r="42009" spans="1:5" x14ac:dyDescent="0.25">
      <c r="A42009" t="str">
        <f>HYPERLINK("https://www.773grp.com/globalSearch/NB4N316MDTR2G/page-1", "NB4N316MDTR2G")</f>
        <v>NB4N316MDTR2G</v>
      </c>
      <c r="B42009" s="3" t="s">
        <v>95</v>
      </c>
      <c r="C42009" s="6">
        <v>2029</v>
      </c>
      <c r="D42009" s="7">
        <v>6.33</v>
      </c>
      <c r="E42009" t="s">
        <v>73</v>
      </c>
    </row>
    <row r="42010" spans="1:5" x14ac:dyDescent="0.25">
      <c r="A42010" t="str">
        <f>HYPERLINK("https://www.773grp.com/globalSearch/NB6L14SMNG/page-1", "NB6L14SMNG")</f>
        <v>NB6L14SMNG</v>
      </c>
      <c r="B42010" s="3" t="s">
        <v>95</v>
      </c>
      <c r="C42010" s="6">
        <v>1353</v>
      </c>
      <c r="D42010" s="7">
        <v>6.33</v>
      </c>
      <c r="E42010" t="s">
        <v>34</v>
      </c>
    </row>
    <row r="42011" spans="1:5" x14ac:dyDescent="0.25">
      <c r="A42011" t="str">
        <f>HYPERLINK("https://www.773grp.com/globalSearch/NB6L14SMNTXG/page-1", "NB6L14SMNTXG")</f>
        <v>NB6L14SMNTXG</v>
      </c>
      <c r="B42011" s="3" t="s">
        <v>95</v>
      </c>
      <c r="C42011" s="6">
        <v>9000</v>
      </c>
      <c r="D42011" s="7">
        <v>6.33</v>
      </c>
      <c r="E42011" t="s">
        <v>34</v>
      </c>
    </row>
    <row r="42012" spans="1:5" x14ac:dyDescent="0.25">
      <c r="A42012" t="str">
        <f>HYPERLINK("https://www.773grp.com/globalSearch/CS8156YTVA5/page-1", "CS8156YTVA5")</f>
        <v>CS8156YTVA5</v>
      </c>
      <c r="B42012" s="3" t="s">
        <v>95</v>
      </c>
      <c r="C42012" s="6">
        <v>6450</v>
      </c>
      <c r="D42012" s="7">
        <v>6.36</v>
      </c>
      <c r="E42012" t="s">
        <v>44</v>
      </c>
    </row>
    <row r="42013" spans="1:5" x14ac:dyDescent="0.25">
      <c r="A42013" t="str">
        <f>HYPERLINK("https://www.773grp.com/globalSearch/SA572DTBG/page-1", "SA572DTBG")</f>
        <v>SA572DTBG</v>
      </c>
      <c r="B42013" s="3" t="s">
        <v>95</v>
      </c>
      <c r="C42013" s="6">
        <v>183</v>
      </c>
      <c r="D42013" s="7">
        <v>6.36</v>
      </c>
      <c r="E42013" t="s">
        <v>118</v>
      </c>
    </row>
    <row r="42014" spans="1:5" x14ac:dyDescent="0.25">
      <c r="A42014" t="str">
        <f>HYPERLINK("https://www.773grp.com/globalSearch/SA572DTBR2G/page-1", "SA572DTBR2G")</f>
        <v>SA572DTBR2G</v>
      </c>
      <c r="B42014" s="3" t="s">
        <v>95</v>
      </c>
      <c r="C42014" s="6">
        <v>8516</v>
      </c>
      <c r="D42014" s="7">
        <v>6.36</v>
      </c>
      <c r="E42014" t="s">
        <v>118</v>
      </c>
    </row>
    <row r="42015" spans="1:5" x14ac:dyDescent="0.25">
      <c r="A42015" t="str">
        <f>HYPERLINK("https://www.773grp.com/globalSearch/SA572NG/page-1", "SA572NG")</f>
        <v>SA572NG</v>
      </c>
      <c r="B42015" s="3" t="s">
        <v>95</v>
      </c>
      <c r="C42015" s="6">
        <v>1459</v>
      </c>
      <c r="D42015" s="7">
        <v>6.36</v>
      </c>
      <c r="E42015" t="s">
        <v>118</v>
      </c>
    </row>
    <row r="42016" spans="1:5" x14ac:dyDescent="0.25">
      <c r="A42016" t="str">
        <f>HYPERLINK("https://www.773grp.com/globalSearch/LV8746V-MPB-E/page-1", "LV8746V-MPB-E")</f>
        <v>LV8746V-MPB-E</v>
      </c>
      <c r="B42016" s="3" t="s">
        <v>95</v>
      </c>
      <c r="C42016" s="6">
        <v>320</v>
      </c>
      <c r="D42016" s="7">
        <v>6.41</v>
      </c>
    </row>
    <row r="42017" spans="1:5" x14ac:dyDescent="0.25">
      <c r="A42017" t="str">
        <f>HYPERLINK("https://www.773grp.com/globalSearch/MJ14003/page-1", "MJ14003")</f>
        <v>MJ14003</v>
      </c>
      <c r="B42017" s="3" t="s">
        <v>95</v>
      </c>
      <c r="C42017" s="6">
        <v>5266</v>
      </c>
      <c r="D42017" s="7">
        <v>6.41</v>
      </c>
      <c r="E42017" t="s">
        <v>59</v>
      </c>
    </row>
    <row r="42018" spans="1:5" x14ac:dyDescent="0.25">
      <c r="A42018" t="str">
        <f>HYPERLINK("https://www.773grp.com/globalSearch/MC10H161PG/page-1", "MC10H161PG")</f>
        <v>MC10H161PG</v>
      </c>
      <c r="B42018" s="3" t="s">
        <v>95</v>
      </c>
      <c r="C42018" s="6">
        <v>3375</v>
      </c>
      <c r="D42018" s="7">
        <v>6.45</v>
      </c>
      <c r="E42018" t="s">
        <v>36</v>
      </c>
    </row>
    <row r="42019" spans="1:5" x14ac:dyDescent="0.25">
      <c r="A42019" t="str">
        <f>HYPERLINK("https://www.773grp.com/globalSearch/MC10H162PG/page-1", "MC10H162PG")</f>
        <v>MC10H162PG</v>
      </c>
      <c r="B42019" s="3" t="s">
        <v>95</v>
      </c>
      <c r="C42019" s="6">
        <v>5000</v>
      </c>
      <c r="D42019" s="7">
        <v>6.45</v>
      </c>
      <c r="E42019" t="s">
        <v>36</v>
      </c>
    </row>
    <row r="42020" spans="1:5" x14ac:dyDescent="0.25">
      <c r="A42020" t="str">
        <f>HYPERLINK("https://www.773grp.com/globalSearch/CS8140YTVA7/page-1", "CS8140YTVA7")</f>
        <v>CS8140YTVA7</v>
      </c>
      <c r="B42020" s="3" t="s">
        <v>95</v>
      </c>
      <c r="C42020" s="6">
        <v>1450</v>
      </c>
      <c r="D42020" s="7">
        <v>6.46</v>
      </c>
      <c r="E42020" t="s">
        <v>19</v>
      </c>
    </row>
    <row r="42021" spans="1:5" x14ac:dyDescent="0.25">
      <c r="A42021" t="str">
        <f>HYPERLINK("https://www.773grp.com/globalSearch/NCV70521MN003G/page-1", "NCV70521MN003G")</f>
        <v>NCV70521MN003G</v>
      </c>
      <c r="B42021" s="3" t="s">
        <v>95</v>
      </c>
      <c r="C42021" s="6">
        <v>80</v>
      </c>
      <c r="D42021" s="7">
        <v>6.46</v>
      </c>
    </row>
    <row r="42022" spans="1:5" x14ac:dyDescent="0.25">
      <c r="A42022" t="str">
        <f>HYPERLINK("https://www.773grp.com/globalSearch/NCV70521MN003R2G/page-1", "NCV70521MN003R2G")</f>
        <v>NCV70521MN003R2G</v>
      </c>
      <c r="B42022" s="3" t="s">
        <v>95</v>
      </c>
      <c r="C42022" s="6">
        <v>2500</v>
      </c>
      <c r="D42022" s="7">
        <v>6.46</v>
      </c>
    </row>
    <row r="42023" spans="1:5" x14ac:dyDescent="0.25">
      <c r="A42023" t="str">
        <f>HYPERLINK("https://www.773grp.com/globalSearch/AMIS30421C4211G/page-1", "AMIS30421C4211G")</f>
        <v>AMIS30421C4211G</v>
      </c>
      <c r="B42023" s="3" t="s">
        <v>95</v>
      </c>
      <c r="C42023" s="6">
        <v>470</v>
      </c>
      <c r="D42023" s="7">
        <v>6.5</v>
      </c>
    </row>
    <row r="42024" spans="1:5" x14ac:dyDescent="0.25">
      <c r="A42024" t="str">
        <f>HYPERLINK("https://www.773grp.com/globalSearch/MC10189P/page-1", "MC10189P")</f>
        <v>MC10189P</v>
      </c>
      <c r="B42024" s="3" t="s">
        <v>95</v>
      </c>
      <c r="C42024" s="6">
        <v>6835</v>
      </c>
      <c r="D42024" s="7">
        <v>6.5</v>
      </c>
      <c r="E42024" t="s">
        <v>31</v>
      </c>
    </row>
    <row r="42025" spans="1:5" x14ac:dyDescent="0.25">
      <c r="A42025" t="str">
        <f>HYPERLINK("https://www.773grp.com/globalSearch/AMIS42770ICAW1RG/page-1", "AMIS42770ICAW1RG")</f>
        <v>AMIS42770ICAW1RG</v>
      </c>
      <c r="B42025" s="3" t="s">
        <v>95</v>
      </c>
      <c r="C42025" s="6">
        <v>9600</v>
      </c>
      <c r="D42025" s="7">
        <v>6.59</v>
      </c>
    </row>
    <row r="42026" spans="1:5" x14ac:dyDescent="0.25">
      <c r="A42026" t="str">
        <f>HYPERLINK("https://www.773grp.com/globalSearch/MC10162FN/page-1", "MC10162FN")</f>
        <v>MC10162FN</v>
      </c>
      <c r="B42026" s="3" t="s">
        <v>95</v>
      </c>
      <c r="C42026" s="6">
        <v>45</v>
      </c>
      <c r="D42026" s="7">
        <v>6.61</v>
      </c>
      <c r="E42026" t="s">
        <v>36</v>
      </c>
    </row>
    <row r="42027" spans="1:5" x14ac:dyDescent="0.25">
      <c r="A42027" t="str">
        <f>HYPERLINK("https://www.773grp.com/globalSearch/MC10162FNR2/page-1", "MC10162FNR2")</f>
        <v>MC10162FNR2</v>
      </c>
      <c r="B42027" s="3" t="s">
        <v>95</v>
      </c>
      <c r="C42027" s="6">
        <v>2000</v>
      </c>
      <c r="D42027" s="7">
        <v>6.61</v>
      </c>
      <c r="E42027" t="s">
        <v>36</v>
      </c>
    </row>
    <row r="42028" spans="1:5" x14ac:dyDescent="0.25">
      <c r="A42028" t="str">
        <f>HYPERLINK("https://www.773grp.com/globalSearch/MC10H176FN/page-1", "MC10H176FN")</f>
        <v>MC10H176FN</v>
      </c>
      <c r="B42028" s="3" t="s">
        <v>95</v>
      </c>
      <c r="C42028" s="6">
        <v>3423</v>
      </c>
      <c r="D42028" s="7">
        <v>6.61</v>
      </c>
      <c r="E42028" t="s">
        <v>35</v>
      </c>
    </row>
    <row r="42029" spans="1:5" x14ac:dyDescent="0.25">
      <c r="A42029" t="str">
        <f>HYPERLINK("https://www.773grp.com/globalSearch/MC10H176MEL/page-1", "MC10H176MEL")</f>
        <v>MC10H176MEL</v>
      </c>
      <c r="B42029" s="3" t="s">
        <v>95</v>
      </c>
      <c r="C42029" s="6">
        <v>1485</v>
      </c>
      <c r="D42029" s="7">
        <v>6.61</v>
      </c>
      <c r="E42029" t="s">
        <v>35</v>
      </c>
    </row>
    <row r="42030" spans="1:5" x14ac:dyDescent="0.25">
      <c r="A42030" t="str">
        <f>HYPERLINK("https://www.773grp.com/globalSearch/NGTB50N60FWG/page-1", "NGTB50N60FWG")</f>
        <v>NGTB50N60FWG</v>
      </c>
      <c r="B42030" s="3" t="s">
        <v>95</v>
      </c>
      <c r="C42030" s="6">
        <v>444</v>
      </c>
      <c r="D42030" s="7">
        <v>6.7</v>
      </c>
    </row>
    <row r="42031" spans="1:5" x14ac:dyDescent="0.25">
      <c r="A42031" t="str">
        <f>HYPERLINK("https://www.773grp.com/globalSearch/CS1084XFNR44/page-1", "CS1084XFNR44")</f>
        <v>CS1084XFNR44</v>
      </c>
      <c r="B42031" s="3" t="s">
        <v>95</v>
      </c>
      <c r="C42031" s="6">
        <v>2500</v>
      </c>
      <c r="D42031" s="7">
        <v>6.71</v>
      </c>
      <c r="E42031" t="s">
        <v>10</v>
      </c>
    </row>
    <row r="42032" spans="1:5" x14ac:dyDescent="0.25">
      <c r="A42032" t="str">
        <f>HYPERLINK("https://www.773grp.com/globalSearch/MC10159L/page-1", "MC10159L")</f>
        <v>MC10159L</v>
      </c>
      <c r="B42032" s="3" t="s">
        <v>95</v>
      </c>
      <c r="C42032" s="6">
        <v>145</v>
      </c>
      <c r="D42032" s="7">
        <v>6.71</v>
      </c>
      <c r="E42032" t="s">
        <v>20</v>
      </c>
    </row>
    <row r="42033" spans="1:5" x14ac:dyDescent="0.25">
      <c r="A42033" t="str">
        <f>HYPERLINK("https://www.773grp.com/globalSearch/MC10173L/page-1", "MC10173L")</f>
        <v>MC10173L</v>
      </c>
      <c r="B42033" s="3" t="s">
        <v>95</v>
      </c>
      <c r="C42033" s="6">
        <v>2288</v>
      </c>
      <c r="D42033" s="7">
        <v>6.71</v>
      </c>
      <c r="E42033" t="s">
        <v>35</v>
      </c>
    </row>
    <row r="42034" spans="1:5" x14ac:dyDescent="0.25">
      <c r="A42034" t="str">
        <f>HYPERLINK("https://www.773grp.com/globalSearch/MC10197P/page-1", "MC10197P")</f>
        <v>MC10197P</v>
      </c>
      <c r="B42034" s="3" t="s">
        <v>95</v>
      </c>
      <c r="C42034" s="6">
        <v>1941</v>
      </c>
      <c r="D42034" s="7">
        <v>6.71</v>
      </c>
      <c r="E42034" t="s">
        <v>31</v>
      </c>
    </row>
    <row r="42035" spans="1:5" x14ac:dyDescent="0.25">
      <c r="A42035" t="str">
        <f>HYPERLINK("https://www.773grp.com/globalSearch/LV8746V-TLM-E/page-1", "LV8746V-TLM-E")</f>
        <v>LV8746V-TLM-E</v>
      </c>
      <c r="B42035" s="3" t="s">
        <v>95</v>
      </c>
      <c r="C42035" s="6">
        <v>100</v>
      </c>
      <c r="D42035" s="7">
        <v>6.75</v>
      </c>
    </row>
    <row r="42036" spans="1:5" x14ac:dyDescent="0.25">
      <c r="A42036" t="str">
        <f>HYPERLINK("https://www.773grp.com/globalSearch/MC100EL15DR2/page-1", "MC100EL15DR2")</f>
        <v>MC100EL15DR2</v>
      </c>
      <c r="B42036" s="3" t="s">
        <v>95</v>
      </c>
      <c r="C42036" s="6">
        <v>2500</v>
      </c>
      <c r="D42036" s="7">
        <v>6.75</v>
      </c>
      <c r="E42036" t="s">
        <v>34</v>
      </c>
    </row>
    <row r="42037" spans="1:5" x14ac:dyDescent="0.25">
      <c r="A42037" t="str">
        <f>HYPERLINK("https://www.773grp.com/globalSearch/MC10161L/page-1", "MC10161L")</f>
        <v>MC10161L</v>
      </c>
      <c r="B42037" s="3" t="s">
        <v>95</v>
      </c>
      <c r="C42037" s="6">
        <v>1090</v>
      </c>
      <c r="D42037" s="7">
        <v>6.75</v>
      </c>
      <c r="E42037" t="s">
        <v>36</v>
      </c>
    </row>
    <row r="42038" spans="1:5" x14ac:dyDescent="0.25">
      <c r="A42038" t="str">
        <f>HYPERLINK("https://www.773grp.com/globalSearch/MC10164L/page-1", "MC10164L")</f>
        <v>MC10164L</v>
      </c>
      <c r="B42038" s="3" t="s">
        <v>95</v>
      </c>
      <c r="C42038" s="6">
        <v>640</v>
      </c>
      <c r="D42038" s="7">
        <v>6.75</v>
      </c>
      <c r="E42038" t="s">
        <v>20</v>
      </c>
    </row>
    <row r="42039" spans="1:5" x14ac:dyDescent="0.25">
      <c r="A42039" t="str">
        <f>HYPERLINK("https://www.773grp.com/globalSearch/MC10135FN/page-1", "MC10135FN")</f>
        <v>MC10135FN</v>
      </c>
      <c r="B42039" s="3" t="s">
        <v>95</v>
      </c>
      <c r="C42039" s="6">
        <v>7531</v>
      </c>
      <c r="D42039" s="7">
        <v>6.8</v>
      </c>
      <c r="E42039" t="s">
        <v>35</v>
      </c>
    </row>
    <row r="42040" spans="1:5" x14ac:dyDescent="0.25">
      <c r="A42040" t="str">
        <f>HYPERLINK("https://www.773grp.com/globalSearch/MC10158L/page-1", "MC10158L")</f>
        <v>MC10158L</v>
      </c>
      <c r="B42040" s="3" t="s">
        <v>95</v>
      </c>
      <c r="C42040" s="6">
        <v>4450</v>
      </c>
      <c r="D42040" s="7">
        <v>6.8</v>
      </c>
      <c r="E42040" t="s">
        <v>20</v>
      </c>
    </row>
    <row r="42041" spans="1:5" x14ac:dyDescent="0.25">
      <c r="A42041" t="str">
        <f>HYPERLINK("https://www.773grp.com/globalSearch/SA575D/page-1", "SA575D")</f>
        <v>SA575D</v>
      </c>
      <c r="B42041" s="3" t="s">
        <v>95</v>
      </c>
      <c r="C42041" s="6">
        <v>436</v>
      </c>
      <c r="D42041" s="7">
        <v>6.8</v>
      </c>
      <c r="E42041" t="s">
        <v>118</v>
      </c>
    </row>
    <row r="42042" spans="1:5" x14ac:dyDescent="0.25">
      <c r="A42042" t="str">
        <f>HYPERLINK("https://www.773grp.com/globalSearch/NB3N3001DTG/page-1", "NB3N3001DTG")</f>
        <v>NB3N3001DTG</v>
      </c>
      <c r="B42042" s="3" t="s">
        <v>95</v>
      </c>
      <c r="C42042" s="6">
        <v>6885</v>
      </c>
      <c r="D42042" s="7">
        <v>6.84</v>
      </c>
      <c r="E42042" t="s">
        <v>79</v>
      </c>
    </row>
    <row r="42043" spans="1:5" x14ac:dyDescent="0.25">
      <c r="A42043" t="str">
        <f>HYPERLINK("https://www.773grp.com/globalSearch/NB3N3001DTR2G/page-1", "NB3N3001DTR2G")</f>
        <v>NB3N3001DTR2G</v>
      </c>
      <c r="B42043" s="3" t="s">
        <v>95</v>
      </c>
      <c r="C42043" s="6">
        <v>44970</v>
      </c>
      <c r="D42043" s="7">
        <v>6.84</v>
      </c>
      <c r="E42043" t="s">
        <v>79</v>
      </c>
    </row>
    <row r="42044" spans="1:5" x14ac:dyDescent="0.25">
      <c r="A42044" t="str">
        <f>HYPERLINK("https://www.773grp.com/globalSearch/NB3N3011DTG/page-1", "NB3N3011DTG")</f>
        <v>NB3N3011DTG</v>
      </c>
      <c r="B42044" s="3" t="s">
        <v>95</v>
      </c>
      <c r="C42044" s="6">
        <v>40238</v>
      </c>
      <c r="D42044" s="7">
        <v>6.84</v>
      </c>
      <c r="E42044" t="s">
        <v>79</v>
      </c>
    </row>
    <row r="42045" spans="1:5" x14ac:dyDescent="0.25">
      <c r="A42045" t="str">
        <f>HYPERLINK("https://www.773grp.com/globalSearch/NB3N3011DTR2G/page-1", "NB3N3011DTR2G")</f>
        <v>NB3N3011DTR2G</v>
      </c>
      <c r="B42045" s="3" t="s">
        <v>95</v>
      </c>
      <c r="C42045" s="6">
        <v>34826</v>
      </c>
      <c r="D42045" s="7">
        <v>6.84</v>
      </c>
      <c r="E42045" t="s">
        <v>79</v>
      </c>
    </row>
    <row r="42046" spans="1:5" x14ac:dyDescent="0.25">
      <c r="A42046" t="str">
        <f>HYPERLINK("https://www.773grp.com/globalSearch/CAT8900B260TBGT3/page-1", "CAT8900B260TBGT3")</f>
        <v>CAT8900B260TBGT3</v>
      </c>
      <c r="B42046" s="3" t="s">
        <v>95</v>
      </c>
      <c r="C42046" s="6">
        <v>3000</v>
      </c>
      <c r="D42046" s="7">
        <v>6.89</v>
      </c>
    </row>
    <row r="42047" spans="1:5" x14ac:dyDescent="0.25">
      <c r="A42047" t="str">
        <f>HYPERLINK("https://www.773grp.com/globalSearch/CAT8900B300TBGT3/page-1", "CAT8900B300TBGT3")</f>
        <v>CAT8900B300TBGT3</v>
      </c>
      <c r="B42047" s="3" t="s">
        <v>95</v>
      </c>
      <c r="C42047" s="6">
        <v>3000</v>
      </c>
      <c r="D42047" s="7">
        <v>6.89</v>
      </c>
    </row>
    <row r="42048" spans="1:5" x14ac:dyDescent="0.25">
      <c r="A42048" t="str">
        <f>HYPERLINK("https://www.773grp.com/globalSearch/CAT8900B330TBGT3/page-1", "CAT8900B330TBGT3")</f>
        <v>CAT8900B330TBGT3</v>
      </c>
      <c r="B42048" s="3" t="s">
        <v>95</v>
      </c>
      <c r="C42048" s="6">
        <v>2889</v>
      </c>
      <c r="D42048" s="7">
        <v>6.89</v>
      </c>
    </row>
    <row r="42049" spans="1:5" x14ac:dyDescent="0.25">
      <c r="A42049" t="str">
        <f>HYPERLINK("https://www.773grp.com/globalSearch/STK672-640C-E/page-1", "STK672-640C-E")</f>
        <v>STK672-640C-E</v>
      </c>
      <c r="B42049" s="3" t="s">
        <v>95</v>
      </c>
      <c r="C42049" s="6">
        <v>30</v>
      </c>
      <c r="D42049" s="7">
        <v>6.89</v>
      </c>
    </row>
    <row r="42050" spans="1:5" x14ac:dyDescent="0.25">
      <c r="A42050" t="str">
        <f>HYPERLINK("https://www.773grp.com/globalSearch/2SC4110M/page-1", "2SC4110M")</f>
        <v>2SC4110M</v>
      </c>
      <c r="B42050" s="3" t="s">
        <v>95</v>
      </c>
      <c r="C42050" s="6">
        <v>11000</v>
      </c>
      <c r="D42050" s="7">
        <v>6.93</v>
      </c>
    </row>
    <row r="42051" spans="1:5" x14ac:dyDescent="0.25">
      <c r="A42051" t="str">
        <f>HYPERLINK("https://www.773grp.com/globalSearch/LB1845-E/page-1", "LB1845-E")</f>
        <v>LB1845-E</v>
      </c>
      <c r="B42051" s="3" t="s">
        <v>95</v>
      </c>
      <c r="C42051" s="6">
        <v>44</v>
      </c>
      <c r="D42051" s="7">
        <v>6.95</v>
      </c>
    </row>
    <row r="42052" spans="1:5" x14ac:dyDescent="0.25">
      <c r="A42052" t="str">
        <f>HYPERLINK("https://www.773grp.com/globalSearch/MC10174P/page-1", "MC10174P")</f>
        <v>MC10174P</v>
      </c>
      <c r="B42052" s="3" t="s">
        <v>95</v>
      </c>
      <c r="C42052" s="6">
        <v>2803</v>
      </c>
      <c r="D42052" s="7">
        <v>6.95</v>
      </c>
      <c r="E42052" t="s">
        <v>20</v>
      </c>
    </row>
    <row r="42053" spans="1:5" x14ac:dyDescent="0.25">
      <c r="A42053" t="str">
        <f>HYPERLINK("https://www.773grp.com/globalSearch/MC10175P/page-1", "MC10175P")</f>
        <v>MC10175P</v>
      </c>
      <c r="B42053" s="3" t="s">
        <v>95</v>
      </c>
      <c r="C42053" s="6">
        <v>2175</v>
      </c>
      <c r="D42053" s="7">
        <v>6.95</v>
      </c>
      <c r="E42053" t="s">
        <v>35</v>
      </c>
    </row>
    <row r="42054" spans="1:5" x14ac:dyDescent="0.25">
      <c r="A42054" t="str">
        <f>HYPERLINK("https://www.773grp.com/globalSearch/MC10176P/page-1", "MC10176P")</f>
        <v>MC10176P</v>
      </c>
      <c r="B42054" s="3" t="s">
        <v>95</v>
      </c>
      <c r="C42054" s="6">
        <v>1120</v>
      </c>
      <c r="D42054" s="7">
        <v>6.95</v>
      </c>
      <c r="E42054" t="s">
        <v>35</v>
      </c>
    </row>
    <row r="42055" spans="1:5" x14ac:dyDescent="0.25">
      <c r="A42055" t="str">
        <f>HYPERLINK("https://www.773grp.com/globalSearch/MC10H159M/page-1", "MC10H159M")</f>
        <v>MC10H159M</v>
      </c>
      <c r="B42055" s="3" t="s">
        <v>95</v>
      </c>
      <c r="C42055" s="6">
        <v>7100</v>
      </c>
      <c r="D42055" s="7">
        <v>6.98</v>
      </c>
      <c r="E42055" t="s">
        <v>20</v>
      </c>
    </row>
    <row r="42056" spans="1:5" x14ac:dyDescent="0.25">
      <c r="A42056" t="str">
        <f>HYPERLINK("https://www.773grp.com/globalSearch/MC10H160FN/page-1", "MC10H160FN")</f>
        <v>MC10H160FN</v>
      </c>
      <c r="B42056" s="3" t="s">
        <v>95</v>
      </c>
      <c r="C42056" s="6">
        <v>677</v>
      </c>
      <c r="D42056" s="7">
        <v>6.98</v>
      </c>
      <c r="E42056" t="s">
        <v>43</v>
      </c>
    </row>
    <row r="42057" spans="1:5" x14ac:dyDescent="0.25">
      <c r="A42057" t="str">
        <f>HYPERLINK("https://www.773grp.com/globalSearch/MC10H160FNG/page-1", "MC10H160FNG")</f>
        <v>MC10H160FNG</v>
      </c>
      <c r="B42057" s="3" t="s">
        <v>95</v>
      </c>
      <c r="C42057" s="6">
        <v>5198</v>
      </c>
      <c r="D42057" s="7">
        <v>6.98</v>
      </c>
      <c r="E42057" t="s">
        <v>43</v>
      </c>
    </row>
    <row r="42058" spans="1:5" x14ac:dyDescent="0.25">
      <c r="A42058" t="str">
        <f>HYPERLINK("https://www.773grp.com/globalSearch/MC10H160M/page-1", "MC10H160M")</f>
        <v>MC10H160M</v>
      </c>
      <c r="B42058" s="3" t="s">
        <v>95</v>
      </c>
      <c r="C42058" s="6">
        <v>5250</v>
      </c>
      <c r="D42058" s="7">
        <v>6.98</v>
      </c>
      <c r="E42058" t="s">
        <v>43</v>
      </c>
    </row>
    <row r="42059" spans="1:5" x14ac:dyDescent="0.25">
      <c r="A42059" t="str">
        <f>HYPERLINK("https://www.773grp.com/globalSearch/MC10H161FNR2/page-1", "MC10H161FNR2")</f>
        <v>MC10H161FNR2</v>
      </c>
      <c r="B42059" s="3" t="s">
        <v>95</v>
      </c>
      <c r="C42059" s="6">
        <v>2500</v>
      </c>
      <c r="D42059" s="7">
        <v>6.98</v>
      </c>
      <c r="E42059" t="s">
        <v>36</v>
      </c>
    </row>
    <row r="42060" spans="1:5" x14ac:dyDescent="0.25">
      <c r="A42060" t="str">
        <f>HYPERLINK("https://www.773grp.com/globalSearch/MC10H161M/page-1", "MC10H161M")</f>
        <v>MC10H161M</v>
      </c>
      <c r="B42060" s="3" t="s">
        <v>95</v>
      </c>
      <c r="C42060" s="6">
        <v>2250</v>
      </c>
      <c r="D42060" s="7">
        <v>6.98</v>
      </c>
      <c r="E42060" t="s">
        <v>36</v>
      </c>
    </row>
    <row r="42061" spans="1:5" x14ac:dyDescent="0.25">
      <c r="A42061" t="str">
        <f>HYPERLINK("https://www.773grp.com/globalSearch/MC10H161P/page-1", "MC10H161P")</f>
        <v>MC10H161P</v>
      </c>
      <c r="B42061" s="3" t="s">
        <v>95</v>
      </c>
      <c r="C42061" s="6">
        <v>3150</v>
      </c>
      <c r="D42061" s="7">
        <v>6.98</v>
      </c>
      <c r="E42061" t="s">
        <v>36</v>
      </c>
    </row>
    <row r="42062" spans="1:5" x14ac:dyDescent="0.25">
      <c r="A42062" t="str">
        <f>HYPERLINK("https://www.773grp.com/globalSearch/MC10H162FNG/page-1", "MC10H162FNG")</f>
        <v>MC10H162FNG</v>
      </c>
      <c r="B42062" s="3" t="s">
        <v>95</v>
      </c>
      <c r="C42062" s="6">
        <v>2990</v>
      </c>
      <c r="D42062" s="7">
        <v>6.98</v>
      </c>
      <c r="E42062" t="s">
        <v>36</v>
      </c>
    </row>
    <row r="42063" spans="1:5" x14ac:dyDescent="0.25">
      <c r="A42063" t="str">
        <f>HYPERLINK("https://www.773grp.com/globalSearch/MC10H162MG/page-1", "MC10H162MG")</f>
        <v>MC10H162MG</v>
      </c>
      <c r="B42063" s="3" t="s">
        <v>95</v>
      </c>
      <c r="C42063" s="6">
        <v>5495</v>
      </c>
      <c r="D42063" s="7">
        <v>6.98</v>
      </c>
      <c r="E42063" t="s">
        <v>36</v>
      </c>
    </row>
    <row r="42064" spans="1:5" x14ac:dyDescent="0.25">
      <c r="A42064" t="str">
        <f>HYPERLINK("https://www.773grp.com/globalSearch/MC10H164M/page-1", "MC10H164M")</f>
        <v>MC10H164M</v>
      </c>
      <c r="B42064" s="3" t="s">
        <v>95</v>
      </c>
      <c r="C42064" s="6">
        <v>3345</v>
      </c>
      <c r="D42064" s="7">
        <v>6.98</v>
      </c>
      <c r="E42064" t="s">
        <v>20</v>
      </c>
    </row>
    <row r="42065" spans="1:5" x14ac:dyDescent="0.25">
      <c r="A42065" t="str">
        <f>HYPERLINK("https://www.773grp.com/globalSearch/MC10H174M/page-1", "MC10H174M")</f>
        <v>MC10H174M</v>
      </c>
      <c r="B42065" s="3" t="s">
        <v>95</v>
      </c>
      <c r="C42065" s="6">
        <v>3000</v>
      </c>
      <c r="D42065" s="7">
        <v>6.98</v>
      </c>
      <c r="E42065" t="s">
        <v>20</v>
      </c>
    </row>
    <row r="42066" spans="1:5" x14ac:dyDescent="0.25">
      <c r="A42066" t="str">
        <f>HYPERLINK("https://www.773grp.com/globalSearch/NB6L16D/page-1", "NB6L16D")</f>
        <v>NB6L16D</v>
      </c>
      <c r="B42066" s="3" t="s">
        <v>95</v>
      </c>
      <c r="C42066" s="6">
        <v>490</v>
      </c>
      <c r="D42066" s="7">
        <v>6.98</v>
      </c>
      <c r="E42066" t="s">
        <v>34</v>
      </c>
    </row>
    <row r="42067" spans="1:5" x14ac:dyDescent="0.25">
      <c r="A42067" t="str">
        <f>HYPERLINK("https://www.773grp.com/globalSearch/ADT7481ARMZ/page-1", "ADT7481ARMZ")</f>
        <v>ADT7481ARMZ</v>
      </c>
      <c r="B42067" s="3" t="s">
        <v>95</v>
      </c>
      <c r="C42067" s="6">
        <v>350</v>
      </c>
      <c r="D42067" s="7">
        <v>7.04</v>
      </c>
      <c r="E42067" t="s">
        <v>12</v>
      </c>
    </row>
    <row r="42068" spans="1:5" x14ac:dyDescent="0.25">
      <c r="A42068" t="str">
        <f>HYPERLINK("https://www.773grp.com/globalSearch/ADT7481ARMZ-1RL/page-1", "ADT7481ARMZ-1RL")</f>
        <v>ADT7481ARMZ-1RL</v>
      </c>
      <c r="B42068" s="3" t="s">
        <v>95</v>
      </c>
      <c r="C42068" s="6">
        <v>410</v>
      </c>
      <c r="D42068" s="7">
        <v>7.04</v>
      </c>
    </row>
    <row r="42069" spans="1:5" x14ac:dyDescent="0.25">
      <c r="A42069" t="str">
        <f>HYPERLINK("https://www.773grp.com/globalSearch/ADT7481ARMZ-REEL/page-1", "ADT7481ARMZ-REEL")</f>
        <v>ADT7481ARMZ-REEL</v>
      </c>
      <c r="B42069" s="3" t="s">
        <v>95</v>
      </c>
      <c r="C42069" s="6">
        <v>8350</v>
      </c>
      <c r="D42069" s="7">
        <v>7.04</v>
      </c>
      <c r="E42069" t="s">
        <v>12</v>
      </c>
    </row>
    <row r="42070" spans="1:5" x14ac:dyDescent="0.25">
      <c r="A42070" t="str">
        <f>HYPERLINK("https://www.773grp.com/globalSearch/LV47011P-E/page-1", "LV47011P-E")</f>
        <v>LV47011P-E</v>
      </c>
      <c r="B42070" s="3" t="s">
        <v>95</v>
      </c>
      <c r="C42070" s="6">
        <v>15</v>
      </c>
      <c r="D42070" s="7">
        <v>7.04</v>
      </c>
    </row>
    <row r="42071" spans="1:5" x14ac:dyDescent="0.25">
      <c r="A42071" t="str">
        <f>HYPERLINK("https://www.773grp.com/globalSearch/MC100E016FN/page-1", "MC100E016FN")</f>
        <v>MC100E016FN</v>
      </c>
      <c r="B42071" s="3" t="s">
        <v>95</v>
      </c>
      <c r="C42071" s="6">
        <v>353</v>
      </c>
      <c r="D42071" s="7">
        <v>7.04</v>
      </c>
      <c r="E42071" t="s">
        <v>26</v>
      </c>
    </row>
    <row r="42072" spans="1:5" x14ac:dyDescent="0.25">
      <c r="A42072" t="str">
        <f>HYPERLINK("https://www.773grp.com/globalSearch/MC100E101FN/page-1", "MC100E101FN")</f>
        <v>MC100E101FN</v>
      </c>
      <c r="B42072" s="3" t="s">
        <v>95</v>
      </c>
      <c r="C42072" s="6">
        <v>352</v>
      </c>
      <c r="D42072" s="7">
        <v>7.04</v>
      </c>
      <c r="E42072" t="s">
        <v>31</v>
      </c>
    </row>
    <row r="42073" spans="1:5" x14ac:dyDescent="0.25">
      <c r="A42073" t="str">
        <f>HYPERLINK("https://www.773grp.com/globalSearch/MC100E101FNR2/page-1", "MC100E101FNR2")</f>
        <v>MC100E101FNR2</v>
      </c>
      <c r="B42073" s="3" t="s">
        <v>95</v>
      </c>
      <c r="C42073" s="6">
        <v>500</v>
      </c>
      <c r="D42073" s="7">
        <v>7.04</v>
      </c>
      <c r="E42073" t="s">
        <v>31</v>
      </c>
    </row>
    <row r="42074" spans="1:5" x14ac:dyDescent="0.25">
      <c r="A42074" t="str">
        <f>HYPERLINK("https://www.773grp.com/globalSearch/MC100E104FNG/page-1", "MC100E104FNG")</f>
        <v>MC100E104FNG</v>
      </c>
      <c r="B42074" s="3" t="s">
        <v>95</v>
      </c>
      <c r="C42074" s="6">
        <v>284</v>
      </c>
      <c r="D42074" s="7">
        <v>7.04</v>
      </c>
      <c r="E42074" t="s">
        <v>31</v>
      </c>
    </row>
    <row r="42075" spans="1:5" x14ac:dyDescent="0.25">
      <c r="A42075" t="str">
        <f>HYPERLINK("https://www.773grp.com/globalSearch/MC100E107FN/page-1", "MC100E107FN")</f>
        <v>MC100E107FN</v>
      </c>
      <c r="B42075" s="3" t="s">
        <v>95</v>
      </c>
      <c r="C42075" s="6">
        <v>565</v>
      </c>
      <c r="D42075" s="7">
        <v>7.04</v>
      </c>
      <c r="E42075" t="s">
        <v>31</v>
      </c>
    </row>
    <row r="42076" spans="1:5" x14ac:dyDescent="0.25">
      <c r="A42076" t="str">
        <f>HYPERLINK("https://www.773grp.com/globalSearch/MC100E107FNR2/page-1", "MC100E107FNR2")</f>
        <v>MC100E107FNR2</v>
      </c>
      <c r="B42076" s="3" t="s">
        <v>95</v>
      </c>
      <c r="C42076" s="6">
        <v>1000</v>
      </c>
      <c r="D42076" s="7">
        <v>7.04</v>
      </c>
      <c r="E42076" t="s">
        <v>31</v>
      </c>
    </row>
    <row r="42077" spans="1:5" x14ac:dyDescent="0.25">
      <c r="A42077" t="str">
        <f>HYPERLINK("https://www.773grp.com/globalSearch/MC100EL1648DT/page-1", "MC100EL1648DT")</f>
        <v>MC100EL1648DT</v>
      </c>
      <c r="B42077" s="3" t="s">
        <v>95</v>
      </c>
      <c r="C42077" s="6">
        <v>27179</v>
      </c>
      <c r="D42077" s="7">
        <v>7.04</v>
      </c>
      <c r="E42077" t="s">
        <v>40</v>
      </c>
    </row>
    <row r="42078" spans="1:5" x14ac:dyDescent="0.25">
      <c r="A42078" t="str">
        <f>HYPERLINK("https://www.773grp.com/globalSearch/MC100EL1648M/page-1", "MC100EL1648M")</f>
        <v>MC100EL1648M</v>
      </c>
      <c r="B42078" s="3" t="s">
        <v>95</v>
      </c>
      <c r="C42078" s="6">
        <v>11850</v>
      </c>
      <c r="D42078" s="7">
        <v>7.04</v>
      </c>
      <c r="E42078" t="s">
        <v>40</v>
      </c>
    </row>
    <row r="42079" spans="1:5" x14ac:dyDescent="0.25">
      <c r="A42079" t="str">
        <f>HYPERLINK("https://www.773grp.com/globalSearch/MC100EL52DG/page-1", "MC100EL52DG")</f>
        <v>MC100EL52DG</v>
      </c>
      <c r="B42079" s="3" t="s">
        <v>95</v>
      </c>
      <c r="C42079" s="6">
        <v>4444</v>
      </c>
      <c r="D42079" s="7">
        <v>7.04</v>
      </c>
      <c r="E42079" t="s">
        <v>35</v>
      </c>
    </row>
    <row r="42080" spans="1:5" x14ac:dyDescent="0.25">
      <c r="A42080" t="str">
        <f>HYPERLINK("https://www.773grp.com/globalSearch/MC100EL52DR2G/page-1", "MC100EL52DR2G")</f>
        <v>MC100EL52DR2G</v>
      </c>
      <c r="B42080" s="3" t="s">
        <v>95</v>
      </c>
      <c r="C42080" s="6">
        <v>2500</v>
      </c>
      <c r="D42080" s="7">
        <v>7.04</v>
      </c>
      <c r="E42080" t="s">
        <v>35</v>
      </c>
    </row>
    <row r="42081" spans="1:5" x14ac:dyDescent="0.25">
      <c r="A42081" t="str">
        <f>HYPERLINK("https://www.773grp.com/globalSearch/MC100EL52DTG/page-1", "MC100EL52DTG")</f>
        <v>MC100EL52DTG</v>
      </c>
      <c r="B42081" s="3" t="s">
        <v>95</v>
      </c>
      <c r="C42081" s="6">
        <v>295</v>
      </c>
      <c r="D42081" s="7">
        <v>7.04</v>
      </c>
      <c r="E42081" t="s">
        <v>35</v>
      </c>
    </row>
    <row r="42082" spans="1:5" x14ac:dyDescent="0.25">
      <c r="A42082" t="str">
        <f>HYPERLINK("https://www.773grp.com/globalSearch/MC100EL52DTR2G/page-1", "MC100EL52DTR2G")</f>
        <v>MC100EL52DTR2G</v>
      </c>
      <c r="B42082" s="3" t="s">
        <v>95</v>
      </c>
      <c r="C42082" s="6">
        <v>2500</v>
      </c>
      <c r="D42082" s="7">
        <v>7.04</v>
      </c>
      <c r="E42082" t="s">
        <v>35</v>
      </c>
    </row>
    <row r="42083" spans="1:5" x14ac:dyDescent="0.25">
      <c r="A42083" t="str">
        <f>HYPERLINK("https://www.773grp.com/globalSearch/MC100ELT28DG/page-1", "MC100ELT28DG")</f>
        <v>MC100ELT28DG</v>
      </c>
      <c r="B42083" s="3" t="s">
        <v>95</v>
      </c>
      <c r="C42083" s="6">
        <v>2569</v>
      </c>
      <c r="D42083" s="7">
        <v>7.04</v>
      </c>
      <c r="E42083" t="s">
        <v>73</v>
      </c>
    </row>
    <row r="42084" spans="1:5" x14ac:dyDescent="0.25">
      <c r="A42084" t="str">
        <f>HYPERLINK("https://www.773grp.com/globalSearch/MC100ELT28DR2G/page-1", "MC100ELT28DR2G")</f>
        <v>MC100ELT28DR2G</v>
      </c>
      <c r="B42084" s="3" t="s">
        <v>95</v>
      </c>
      <c r="C42084" s="6">
        <v>2642</v>
      </c>
      <c r="D42084" s="7">
        <v>7.04</v>
      </c>
      <c r="E42084" t="s">
        <v>73</v>
      </c>
    </row>
    <row r="42085" spans="1:5" x14ac:dyDescent="0.25">
      <c r="A42085" t="str">
        <f>HYPERLINK("https://www.773grp.com/globalSearch/MC100ELT28DTG/page-1", "MC100ELT28DTG")</f>
        <v>MC100ELT28DTG</v>
      </c>
      <c r="B42085" s="3" t="s">
        <v>95</v>
      </c>
      <c r="C42085" s="6">
        <v>82</v>
      </c>
      <c r="D42085" s="7">
        <v>7.04</v>
      </c>
      <c r="E42085" t="s">
        <v>73</v>
      </c>
    </row>
    <row r="42086" spans="1:5" x14ac:dyDescent="0.25">
      <c r="A42086" t="str">
        <f>HYPERLINK("https://www.773grp.com/globalSearch/MC100EP11DR2G/page-1", "MC100EP11DR2G")</f>
        <v>MC100EP11DR2G</v>
      </c>
      <c r="B42086" s="3" t="s">
        <v>95</v>
      </c>
      <c r="C42086" s="6">
        <v>11166</v>
      </c>
      <c r="D42086" s="7">
        <v>7.04</v>
      </c>
    </row>
    <row r="42087" spans="1:5" x14ac:dyDescent="0.25">
      <c r="A42087" t="str">
        <f>HYPERLINK("https://www.773grp.com/globalSearch/MC100EP140D/page-1", "MC100EP140D")</f>
        <v>MC100EP140D</v>
      </c>
      <c r="B42087" s="3" t="s">
        <v>95</v>
      </c>
      <c r="C42087" s="6">
        <v>10951</v>
      </c>
      <c r="D42087" s="7">
        <v>7.04</v>
      </c>
      <c r="E42087" t="s">
        <v>38</v>
      </c>
    </row>
    <row r="42088" spans="1:5" x14ac:dyDescent="0.25">
      <c r="A42088" t="str">
        <f>HYPERLINK("https://www.773grp.com/globalSearch/MC100EP51DTG/page-1", "MC100EP51DTG")</f>
        <v>MC100EP51DTG</v>
      </c>
      <c r="B42088" s="3" t="s">
        <v>95</v>
      </c>
      <c r="C42088" s="6">
        <v>9740</v>
      </c>
      <c r="D42088" s="7">
        <v>7.04</v>
      </c>
      <c r="E42088" t="s">
        <v>35</v>
      </c>
    </row>
    <row r="42089" spans="1:5" x14ac:dyDescent="0.25">
      <c r="A42089" t="str">
        <f>HYPERLINK("https://www.773grp.com/globalSearch/MC100EP51DTR2G/page-1", "MC100EP51DTR2G")</f>
        <v>MC100EP51DTR2G</v>
      </c>
      <c r="B42089" s="3" t="s">
        <v>95</v>
      </c>
      <c r="C42089" s="6">
        <v>42500</v>
      </c>
      <c r="D42089" s="7">
        <v>7.04</v>
      </c>
      <c r="E42089" t="s">
        <v>35</v>
      </c>
    </row>
    <row r="42090" spans="1:5" x14ac:dyDescent="0.25">
      <c r="A42090" t="str">
        <f>HYPERLINK("https://www.773grp.com/globalSearch/MC100EP51MNR4G/page-1", "MC100EP51MNR4G")</f>
        <v>MC100EP51MNR4G</v>
      </c>
      <c r="B42090" s="3" t="s">
        <v>95</v>
      </c>
      <c r="C42090" s="6">
        <v>52480</v>
      </c>
      <c r="D42090" s="7">
        <v>7.04</v>
      </c>
    </row>
    <row r="42091" spans="1:5" x14ac:dyDescent="0.25">
      <c r="A42091" t="str">
        <f>HYPERLINK("https://www.773grp.com/globalSearch/MC100EPT22DR2G/page-1", "MC100EPT22DR2G")</f>
        <v>MC100EPT22DR2G</v>
      </c>
      <c r="B42091" s="3" t="s">
        <v>95</v>
      </c>
      <c r="C42091" s="6">
        <v>2500</v>
      </c>
      <c r="D42091" s="7">
        <v>7.04</v>
      </c>
      <c r="E42091" t="s">
        <v>73</v>
      </c>
    </row>
    <row r="42092" spans="1:5" x14ac:dyDescent="0.25">
      <c r="A42092" t="str">
        <f>HYPERLINK("https://www.773grp.com/globalSearch/MC100LVEL01DG/page-1", "MC100LVEL01DG")</f>
        <v>MC100LVEL01DG</v>
      </c>
      <c r="B42092" s="3" t="s">
        <v>95</v>
      </c>
      <c r="C42092" s="6">
        <v>11039</v>
      </c>
      <c r="D42092" s="7">
        <v>7.04</v>
      </c>
      <c r="E42092" t="s">
        <v>31</v>
      </c>
    </row>
    <row r="42093" spans="1:5" x14ac:dyDescent="0.25">
      <c r="A42093" t="str">
        <f>HYPERLINK("https://www.773grp.com/globalSearch/MC100LVEL01DR2G/page-1", "MC100LVEL01DR2G")</f>
        <v>MC100LVEL01DR2G</v>
      </c>
      <c r="B42093" s="3" t="s">
        <v>95</v>
      </c>
      <c r="C42093" s="6">
        <v>3182</v>
      </c>
      <c r="D42093" s="7">
        <v>7.04</v>
      </c>
      <c r="E42093" t="s">
        <v>31</v>
      </c>
    </row>
    <row r="42094" spans="1:5" x14ac:dyDescent="0.25">
      <c r="A42094" t="str">
        <f>HYPERLINK("https://www.773grp.com/globalSearch/MC100LVEL01DTG/page-1", "MC100LVEL01DTG")</f>
        <v>MC100LVEL01DTG</v>
      </c>
      <c r="B42094" s="3" t="s">
        <v>95</v>
      </c>
      <c r="C42094" s="6">
        <v>7841</v>
      </c>
      <c r="D42094" s="7">
        <v>7.04</v>
      </c>
      <c r="E42094" t="s">
        <v>31</v>
      </c>
    </row>
    <row r="42095" spans="1:5" x14ac:dyDescent="0.25">
      <c r="A42095" t="str">
        <f>HYPERLINK("https://www.773grp.com/globalSearch/MC100LVEL01DTR2G/page-1", "MC100LVEL01DTR2G")</f>
        <v>MC100LVEL01DTR2G</v>
      </c>
      <c r="B42095" s="3" t="s">
        <v>95</v>
      </c>
      <c r="C42095" s="6">
        <v>2500</v>
      </c>
      <c r="D42095" s="7">
        <v>7.04</v>
      </c>
      <c r="E42095" t="s">
        <v>31</v>
      </c>
    </row>
    <row r="42096" spans="1:5" x14ac:dyDescent="0.25">
      <c r="A42096" t="str">
        <f>HYPERLINK("https://www.773grp.com/globalSearch/MC100LVEL05DG/page-1", "MC100LVEL05DG")</f>
        <v>MC100LVEL05DG</v>
      </c>
      <c r="B42096" s="3" t="s">
        <v>95</v>
      </c>
      <c r="C42096" s="6">
        <v>196</v>
      </c>
      <c r="D42096" s="7">
        <v>7.04</v>
      </c>
      <c r="E42096" t="s">
        <v>31</v>
      </c>
    </row>
    <row r="42097" spans="1:5" x14ac:dyDescent="0.25">
      <c r="A42097" t="str">
        <f>HYPERLINK("https://www.773grp.com/globalSearch/MC100LVEL05DR2G/page-1", "MC100LVEL05DR2G")</f>
        <v>MC100LVEL05DR2G</v>
      </c>
      <c r="B42097" s="3" t="s">
        <v>95</v>
      </c>
      <c r="C42097" s="6">
        <v>2500</v>
      </c>
      <c r="D42097" s="7">
        <v>7.04</v>
      </c>
    </row>
    <row r="42098" spans="1:5" x14ac:dyDescent="0.25">
      <c r="A42098" t="str">
        <f>HYPERLINK("https://www.773grp.com/globalSearch/MC100LVEL05DTG/page-1", "MC100LVEL05DTG")</f>
        <v>MC100LVEL05DTG</v>
      </c>
      <c r="B42098" s="3" t="s">
        <v>95</v>
      </c>
      <c r="C42098" s="6">
        <v>2975</v>
      </c>
      <c r="D42098" s="7">
        <v>7.04</v>
      </c>
      <c r="E42098" t="s">
        <v>31</v>
      </c>
    </row>
    <row r="42099" spans="1:5" x14ac:dyDescent="0.25">
      <c r="A42099" t="str">
        <f>HYPERLINK("https://www.773grp.com/globalSearch/MC100LVEL05DTR2G/page-1", "MC100LVEL05DTR2G")</f>
        <v>MC100LVEL05DTR2G</v>
      </c>
      <c r="B42099" s="3" t="s">
        <v>95</v>
      </c>
      <c r="C42099" s="6">
        <v>201</v>
      </c>
      <c r="D42099" s="7">
        <v>7.04</v>
      </c>
      <c r="E42099" t="s">
        <v>31</v>
      </c>
    </row>
    <row r="42100" spans="1:5" x14ac:dyDescent="0.25">
      <c r="A42100" t="str">
        <f>HYPERLINK("https://www.773grp.com/globalSearch/MC100LVEL12DG/page-1", "MC100LVEL12DG")</f>
        <v>MC100LVEL12DG</v>
      </c>
      <c r="B42100" s="3" t="s">
        <v>95</v>
      </c>
      <c r="C42100" s="6">
        <v>14635</v>
      </c>
      <c r="D42100" s="7">
        <v>7.04</v>
      </c>
      <c r="E42100" t="s">
        <v>31</v>
      </c>
    </row>
    <row r="42101" spans="1:5" x14ac:dyDescent="0.25">
      <c r="A42101" t="str">
        <f>HYPERLINK("https://www.773grp.com/globalSearch/MC100LVEL12DTG/page-1", "MC100LVEL12DTG")</f>
        <v>MC100LVEL12DTG</v>
      </c>
      <c r="B42101" s="3" t="s">
        <v>95</v>
      </c>
      <c r="C42101" s="6">
        <v>7586</v>
      </c>
      <c r="D42101" s="7">
        <v>7.04</v>
      </c>
      <c r="E42101" t="s">
        <v>31</v>
      </c>
    </row>
    <row r="42102" spans="1:5" x14ac:dyDescent="0.25">
      <c r="A42102" t="str">
        <f>HYPERLINK("https://www.773grp.com/globalSearch/MC100LVEL33D/page-1", "MC100LVEL33D")</f>
        <v>MC100LVEL33D</v>
      </c>
      <c r="B42102" s="3" t="s">
        <v>95</v>
      </c>
      <c r="C42102" s="6">
        <v>28445</v>
      </c>
      <c r="D42102" s="7">
        <v>7.04</v>
      </c>
      <c r="E42102" t="s">
        <v>54</v>
      </c>
    </row>
    <row r="42103" spans="1:5" x14ac:dyDescent="0.25">
      <c r="A42103" t="str">
        <f>HYPERLINK("https://www.773grp.com/globalSearch/MC100LVEL33DR2/page-1", "MC100LVEL33DR2")</f>
        <v>MC100LVEL33DR2</v>
      </c>
      <c r="B42103" s="3" t="s">
        <v>95</v>
      </c>
      <c r="C42103" s="6">
        <v>12500</v>
      </c>
      <c r="D42103" s="7">
        <v>7.04</v>
      </c>
      <c r="E42103" t="s">
        <v>54</v>
      </c>
    </row>
    <row r="42104" spans="1:5" x14ac:dyDescent="0.25">
      <c r="A42104" t="str">
        <f>HYPERLINK("https://www.773grp.com/globalSearch/MC100LVEL51DG/page-1", "MC100LVEL51DG")</f>
        <v>MC100LVEL51DG</v>
      </c>
      <c r="B42104" s="3" t="s">
        <v>95</v>
      </c>
      <c r="C42104" s="6">
        <v>8306</v>
      </c>
      <c r="D42104" s="7">
        <v>7.04</v>
      </c>
      <c r="E42104" t="s">
        <v>35</v>
      </c>
    </row>
    <row r="42105" spans="1:5" x14ac:dyDescent="0.25">
      <c r="A42105" t="str">
        <f>HYPERLINK("https://www.773grp.com/globalSearch/MC100LVEL51DR2G/page-1", "MC100LVEL51DR2G")</f>
        <v>MC100LVEL51DR2G</v>
      </c>
      <c r="B42105" s="3" t="s">
        <v>95</v>
      </c>
      <c r="C42105" s="6">
        <v>3905</v>
      </c>
      <c r="D42105" s="7">
        <v>7.04</v>
      </c>
      <c r="E42105" t="s">
        <v>35</v>
      </c>
    </row>
    <row r="42106" spans="1:5" x14ac:dyDescent="0.25">
      <c r="A42106" t="str">
        <f>HYPERLINK("https://www.773grp.com/globalSearch/MC100LVEL51DTG/page-1", "MC100LVEL51DTG")</f>
        <v>MC100LVEL51DTG</v>
      </c>
      <c r="B42106" s="3" t="s">
        <v>95</v>
      </c>
      <c r="C42106" s="6">
        <v>4574</v>
      </c>
      <c r="D42106" s="7">
        <v>7.04</v>
      </c>
      <c r="E42106" t="s">
        <v>35</v>
      </c>
    </row>
    <row r="42107" spans="1:5" x14ac:dyDescent="0.25">
      <c r="A42107" t="str">
        <f>HYPERLINK("https://www.773grp.com/globalSearch/MC100LVEL51MNR4G/page-1", "MC100LVEL51MNR4G")</f>
        <v>MC100LVEL51MNR4G</v>
      </c>
      <c r="B42107" s="3" t="s">
        <v>95</v>
      </c>
      <c r="C42107" s="6">
        <v>8802</v>
      </c>
      <c r="D42107" s="7">
        <v>7.04</v>
      </c>
      <c r="E42107" t="s">
        <v>35</v>
      </c>
    </row>
    <row r="42108" spans="1:5" x14ac:dyDescent="0.25">
      <c r="A42108" t="str">
        <f>HYPERLINK("https://www.773grp.com/globalSearch/MC100LVEL58DG/page-1", "MC100LVEL58DG")</f>
        <v>MC100LVEL58DG</v>
      </c>
      <c r="B42108" s="3" t="s">
        <v>95</v>
      </c>
      <c r="C42108" s="6">
        <v>3800</v>
      </c>
      <c r="D42108" s="7">
        <v>7.04</v>
      </c>
      <c r="E42108" t="s">
        <v>20</v>
      </c>
    </row>
    <row r="42109" spans="1:5" x14ac:dyDescent="0.25">
      <c r="A42109" t="str">
        <f>HYPERLINK("https://www.773grp.com/globalSearch/MC100LVEL58DTG/page-1", "MC100LVEL58DTG")</f>
        <v>MC100LVEL58DTG</v>
      </c>
      <c r="B42109" s="3" t="s">
        <v>95</v>
      </c>
      <c r="C42109" s="6">
        <v>542</v>
      </c>
      <c r="D42109" s="7">
        <v>7.04</v>
      </c>
      <c r="E42109" t="s">
        <v>20</v>
      </c>
    </row>
    <row r="42110" spans="1:5" x14ac:dyDescent="0.25">
      <c r="A42110" t="str">
        <f>HYPERLINK("https://www.773grp.com/globalSearch/MC100LVEL58DTR2G/page-1", "MC100LVEL58DTR2G")</f>
        <v>MC100LVEL58DTR2G</v>
      </c>
      <c r="B42110" s="3" t="s">
        <v>95</v>
      </c>
      <c r="C42110" s="6">
        <v>2500</v>
      </c>
      <c r="D42110" s="7">
        <v>7.04</v>
      </c>
    </row>
    <row r="42111" spans="1:5" x14ac:dyDescent="0.25">
      <c r="A42111" t="str">
        <f>HYPERLINK("https://www.773grp.com/globalSearch/MC100LVEP111FARG/page-1", "MC100LVEP111FARG")</f>
        <v>MC100LVEP111FARG</v>
      </c>
      <c r="B42111" s="3" t="s">
        <v>95</v>
      </c>
      <c r="C42111" s="6">
        <v>1800</v>
      </c>
      <c r="D42111" s="7">
        <v>7.04</v>
      </c>
      <c r="E42111" t="s">
        <v>34</v>
      </c>
    </row>
    <row r="42112" spans="1:5" x14ac:dyDescent="0.25">
      <c r="A42112" t="str">
        <f>HYPERLINK("https://www.773grp.com/globalSearch/MC10E101FNG/page-1", "MC10E101FNG")</f>
        <v>MC10E101FNG</v>
      </c>
      <c r="B42112" s="3" t="s">
        <v>95</v>
      </c>
      <c r="C42112" s="6">
        <v>7</v>
      </c>
      <c r="D42112" s="7">
        <v>7.04</v>
      </c>
      <c r="E42112" t="s">
        <v>31</v>
      </c>
    </row>
    <row r="42113" spans="1:5" x14ac:dyDescent="0.25">
      <c r="A42113" t="str">
        <f>HYPERLINK("https://www.773grp.com/globalSearch/MC10E101FNR2/page-1", "MC10E101FNR2")</f>
        <v>MC10E101FNR2</v>
      </c>
      <c r="B42113" s="3" t="s">
        <v>95</v>
      </c>
      <c r="C42113" s="6">
        <v>1000</v>
      </c>
      <c r="D42113" s="7">
        <v>7.04</v>
      </c>
      <c r="E42113" t="s">
        <v>31</v>
      </c>
    </row>
    <row r="42114" spans="1:5" x14ac:dyDescent="0.25">
      <c r="A42114" t="str">
        <f>HYPERLINK("https://www.773grp.com/globalSearch/MC10E104FN/page-1", "MC10E104FN")</f>
        <v>MC10E104FN</v>
      </c>
      <c r="B42114" s="3" t="s">
        <v>95</v>
      </c>
      <c r="C42114" s="6">
        <v>265</v>
      </c>
      <c r="D42114" s="7">
        <v>7.04</v>
      </c>
      <c r="E42114" t="s">
        <v>31</v>
      </c>
    </row>
    <row r="42115" spans="1:5" x14ac:dyDescent="0.25">
      <c r="A42115" t="str">
        <f>HYPERLINK("https://www.773grp.com/globalSearch/MC10E107FN/page-1", "MC10E107FN")</f>
        <v>MC10E107FN</v>
      </c>
      <c r="B42115" s="3" t="s">
        <v>95</v>
      </c>
      <c r="C42115" s="6">
        <v>1620</v>
      </c>
      <c r="D42115" s="7">
        <v>7.04</v>
      </c>
      <c r="E42115" t="s">
        <v>31</v>
      </c>
    </row>
    <row r="42116" spans="1:5" x14ac:dyDescent="0.25">
      <c r="A42116" t="str">
        <f>HYPERLINK("https://www.773grp.com/globalSearch/MC10E107FNR2/page-1", "MC10E107FNR2")</f>
        <v>MC10E107FNR2</v>
      </c>
      <c r="B42116" s="3" t="s">
        <v>95</v>
      </c>
      <c r="C42116" s="6">
        <v>500</v>
      </c>
      <c r="D42116" s="7">
        <v>7.04</v>
      </c>
      <c r="E42116" t="s">
        <v>31</v>
      </c>
    </row>
    <row r="42117" spans="1:5" x14ac:dyDescent="0.25">
      <c r="A42117" t="str">
        <f>HYPERLINK("https://www.773grp.com/globalSearch/MC10EL04DR2/page-1", "MC10EL04DR2")</f>
        <v>MC10EL04DR2</v>
      </c>
      <c r="B42117" s="3" t="s">
        <v>95</v>
      </c>
      <c r="C42117" s="6">
        <v>11785</v>
      </c>
      <c r="D42117" s="7">
        <v>7.04</v>
      </c>
      <c r="E42117" t="s">
        <v>31</v>
      </c>
    </row>
    <row r="42118" spans="1:5" x14ac:dyDescent="0.25">
      <c r="A42118" t="str">
        <f>HYPERLINK("https://www.773grp.com/globalSearch/MC10EL33DR2/page-1", "MC10EL33DR2")</f>
        <v>MC10EL33DR2</v>
      </c>
      <c r="B42118" s="3" t="s">
        <v>95</v>
      </c>
      <c r="C42118" s="6">
        <v>20000</v>
      </c>
      <c r="D42118" s="7">
        <v>7.04</v>
      </c>
      <c r="E42118" t="s">
        <v>54</v>
      </c>
    </row>
    <row r="42119" spans="1:5" x14ac:dyDescent="0.25">
      <c r="A42119" t="str">
        <f>HYPERLINK("https://www.773grp.com/globalSearch/MC10EL51DR2/page-1", "MC10EL51DR2")</f>
        <v>MC10EL51DR2</v>
      </c>
      <c r="B42119" s="3" t="s">
        <v>95</v>
      </c>
      <c r="C42119" s="6">
        <v>5000</v>
      </c>
      <c r="D42119" s="7">
        <v>7.04</v>
      </c>
      <c r="E42119" t="s">
        <v>35</v>
      </c>
    </row>
    <row r="42120" spans="1:5" x14ac:dyDescent="0.25">
      <c r="A42120" t="str">
        <f>HYPERLINK("https://www.773grp.com/globalSearch/MC10EL52DG/page-1", "MC10EL52DG")</f>
        <v>MC10EL52DG</v>
      </c>
      <c r="B42120" s="3" t="s">
        <v>95</v>
      </c>
      <c r="C42120" s="6">
        <v>10242</v>
      </c>
      <c r="D42120" s="7">
        <v>7.04</v>
      </c>
      <c r="E42120" t="s">
        <v>35</v>
      </c>
    </row>
    <row r="42121" spans="1:5" x14ac:dyDescent="0.25">
      <c r="A42121" t="str">
        <f>HYPERLINK("https://www.773grp.com/globalSearch/MC10EL52DR2G/page-1", "MC10EL52DR2G")</f>
        <v>MC10EL52DR2G</v>
      </c>
      <c r="B42121" s="3" t="s">
        <v>95</v>
      </c>
      <c r="C42121" s="6">
        <v>6600</v>
      </c>
      <c r="D42121" s="7">
        <v>7.04</v>
      </c>
      <c r="E42121" t="s">
        <v>35</v>
      </c>
    </row>
    <row r="42122" spans="1:5" x14ac:dyDescent="0.25">
      <c r="A42122" t="str">
        <f>HYPERLINK("https://www.773grp.com/globalSearch/MC10EL52DTG/page-1", "MC10EL52DTG")</f>
        <v>MC10EL52DTG</v>
      </c>
      <c r="B42122" s="3" t="s">
        <v>95</v>
      </c>
      <c r="C42122" s="6">
        <v>6300</v>
      </c>
      <c r="D42122" s="7">
        <v>7.04</v>
      </c>
      <c r="E42122" t="s">
        <v>35</v>
      </c>
    </row>
    <row r="42123" spans="1:5" x14ac:dyDescent="0.25">
      <c r="A42123" t="str">
        <f>HYPERLINK("https://www.773grp.com/globalSearch/MC10EL52DTR2G/page-1", "MC10EL52DTR2G")</f>
        <v>MC10EL52DTR2G</v>
      </c>
      <c r="B42123" s="3" t="s">
        <v>95</v>
      </c>
      <c r="C42123" s="6">
        <v>2500</v>
      </c>
      <c r="D42123" s="7">
        <v>7.04</v>
      </c>
      <c r="E42123" t="s">
        <v>35</v>
      </c>
    </row>
    <row r="42124" spans="1:5" x14ac:dyDescent="0.25">
      <c r="A42124" t="str">
        <f>HYPERLINK("https://www.773grp.com/globalSearch/MC10ELT28DG/page-1", "MC10ELT28DG")</f>
        <v>MC10ELT28DG</v>
      </c>
      <c r="B42124" s="3" t="s">
        <v>95</v>
      </c>
      <c r="C42124" s="6">
        <v>447</v>
      </c>
      <c r="D42124" s="7">
        <v>7.04</v>
      </c>
      <c r="E42124" t="s">
        <v>73</v>
      </c>
    </row>
    <row r="42125" spans="1:5" x14ac:dyDescent="0.25">
      <c r="A42125" t="str">
        <f>HYPERLINK("https://www.773grp.com/globalSearch/MC10ELT28DTG/page-1", "MC10ELT28DTG")</f>
        <v>MC10ELT28DTG</v>
      </c>
      <c r="B42125" s="3" t="s">
        <v>95</v>
      </c>
      <c r="C42125" s="6">
        <v>4387</v>
      </c>
      <c r="D42125" s="7">
        <v>7.04</v>
      </c>
      <c r="E42125" t="s">
        <v>73</v>
      </c>
    </row>
    <row r="42126" spans="1:5" x14ac:dyDescent="0.25">
      <c r="A42126" t="str">
        <f>HYPERLINK("https://www.773grp.com/globalSearch/MC10ELT28DTR2G/page-1", "MC10ELT28DTR2G")</f>
        <v>MC10ELT28DTR2G</v>
      </c>
      <c r="B42126" s="3" t="s">
        <v>95</v>
      </c>
      <c r="C42126" s="6">
        <v>2794</v>
      </c>
      <c r="D42126" s="7">
        <v>7.04</v>
      </c>
      <c r="E42126" t="s">
        <v>73</v>
      </c>
    </row>
    <row r="42127" spans="1:5" x14ac:dyDescent="0.25">
      <c r="A42127" t="str">
        <f>HYPERLINK("https://www.773grp.com/globalSearch/MC10H141P/page-1", "MC10H141P")</f>
        <v>MC10H141P</v>
      </c>
      <c r="B42127" s="3" t="s">
        <v>95</v>
      </c>
      <c r="C42127" s="6">
        <v>235</v>
      </c>
      <c r="D42127" s="7">
        <v>7.04</v>
      </c>
      <c r="E42127" t="s">
        <v>32</v>
      </c>
    </row>
    <row r="42128" spans="1:5" x14ac:dyDescent="0.25">
      <c r="A42128" t="str">
        <f>HYPERLINK("https://www.773grp.com/globalSearch/MC33560DTBR2G/page-1", "MC33560DTBR2G")</f>
        <v>MC33560DTBR2G</v>
      </c>
      <c r="B42128" s="3" t="s">
        <v>95</v>
      </c>
      <c r="C42128" s="6">
        <v>128932</v>
      </c>
      <c r="D42128" s="7">
        <v>7.04</v>
      </c>
    </row>
    <row r="42129" spans="1:5" x14ac:dyDescent="0.25">
      <c r="A42129" t="str">
        <f>HYPERLINK("https://www.773grp.com/globalSearch/MCH12140D/page-1", "MCH12140D")</f>
        <v>MCH12140D</v>
      </c>
      <c r="B42129" s="3" t="s">
        <v>95</v>
      </c>
      <c r="C42129" s="6">
        <v>24229</v>
      </c>
      <c r="D42129" s="7">
        <v>7.04</v>
      </c>
      <c r="E42129" t="s">
        <v>38</v>
      </c>
    </row>
    <row r="42130" spans="1:5" x14ac:dyDescent="0.25">
      <c r="A42130" t="str">
        <f>HYPERLINK("https://www.773grp.com/globalSearch/MCK12140D/page-1", "MCK12140D")</f>
        <v>MCK12140D</v>
      </c>
      <c r="B42130" s="3" t="s">
        <v>95</v>
      </c>
      <c r="C42130" s="6">
        <v>12332</v>
      </c>
      <c r="D42130" s="7">
        <v>7.04</v>
      </c>
      <c r="E42130" t="s">
        <v>38</v>
      </c>
    </row>
    <row r="42131" spans="1:5" x14ac:dyDescent="0.25">
      <c r="A42131" t="str">
        <f>HYPERLINK("https://www.773grp.com/globalSearch/MCK12140DR2/page-1", "MCK12140DR2")</f>
        <v>MCK12140DR2</v>
      </c>
      <c r="B42131" s="3" t="s">
        <v>95</v>
      </c>
      <c r="C42131" s="6">
        <v>11807</v>
      </c>
      <c r="D42131" s="7">
        <v>7.04</v>
      </c>
      <c r="E42131" t="s">
        <v>38</v>
      </c>
    </row>
    <row r="42132" spans="1:5" x14ac:dyDescent="0.25">
      <c r="A42132" t="str">
        <f>HYPERLINK("https://www.773grp.com/globalSearch/MJL4281AG/page-1", "MJL4281AG")</f>
        <v>MJL4281AG</v>
      </c>
      <c r="B42132" s="3" t="s">
        <v>95</v>
      </c>
      <c r="C42132" s="6">
        <v>302</v>
      </c>
      <c r="D42132" s="7">
        <v>7.04</v>
      </c>
      <c r="E42132" t="s">
        <v>59</v>
      </c>
    </row>
    <row r="42133" spans="1:5" x14ac:dyDescent="0.25">
      <c r="A42133" t="str">
        <f>HYPERLINK("https://www.773grp.com/globalSearch/NB4N1158DTG/page-1", "NB4N1158DTG")</f>
        <v>NB4N1158DTG</v>
      </c>
      <c r="B42133" s="3" t="s">
        <v>95</v>
      </c>
      <c r="C42133" s="6">
        <v>1373</v>
      </c>
      <c r="D42133" s="7">
        <v>7.04</v>
      </c>
      <c r="E42133" t="s">
        <v>55</v>
      </c>
    </row>
    <row r="42134" spans="1:5" x14ac:dyDescent="0.25">
      <c r="A42134" t="str">
        <f>HYPERLINK("https://www.773grp.com/globalSearch/NB4N1158DTR2G/page-1", "NB4N1158DTR2G")</f>
        <v>NB4N1158DTR2G</v>
      </c>
      <c r="B42134" s="3" t="s">
        <v>95</v>
      </c>
      <c r="C42134" s="6">
        <v>17480</v>
      </c>
      <c r="D42134" s="7">
        <v>7.04</v>
      </c>
      <c r="E42134" t="s">
        <v>55</v>
      </c>
    </row>
    <row r="42135" spans="1:5" x14ac:dyDescent="0.25">
      <c r="A42135" t="str">
        <f>HYPERLINK("https://www.773grp.com/globalSearch/AMIS30512C5122G/page-1", "AMIS30512C5122G")</f>
        <v>AMIS30512C5122G</v>
      </c>
      <c r="B42135" s="3" t="s">
        <v>95</v>
      </c>
      <c r="C42135" s="6">
        <v>20</v>
      </c>
      <c r="D42135" s="7">
        <v>7.13</v>
      </c>
    </row>
    <row r="42136" spans="1:5" x14ac:dyDescent="0.25">
      <c r="A42136" t="str">
        <f>HYPERLINK("https://www.773grp.com/globalSearch/AMIS30512C5122RG/page-1", "AMIS30512C5122RG")</f>
        <v>AMIS30512C5122RG</v>
      </c>
      <c r="B42136" s="3" t="s">
        <v>95</v>
      </c>
      <c r="C42136" s="6">
        <v>2900</v>
      </c>
      <c r="D42136" s="7">
        <v>7.13</v>
      </c>
    </row>
    <row r="42137" spans="1:5" x14ac:dyDescent="0.25">
      <c r="A42137" t="str">
        <f>HYPERLINK("https://www.773grp.com/globalSearch/MC10162L/page-1", "MC10162L")</f>
        <v>MC10162L</v>
      </c>
      <c r="B42137" s="3" t="s">
        <v>95</v>
      </c>
      <c r="C42137" s="6">
        <v>334</v>
      </c>
      <c r="D42137" s="7">
        <v>7.13</v>
      </c>
      <c r="E42137" t="s">
        <v>36</v>
      </c>
    </row>
    <row r="42138" spans="1:5" x14ac:dyDescent="0.25">
      <c r="A42138" t="str">
        <f>HYPERLINK("https://www.773grp.com/globalSearch/MC10189FN/page-1", "MC10189FN")</f>
        <v>MC10189FN</v>
      </c>
      <c r="B42138" s="3" t="s">
        <v>95</v>
      </c>
      <c r="C42138" s="6">
        <v>3772</v>
      </c>
      <c r="D42138" s="7">
        <v>7.13</v>
      </c>
      <c r="E42138" t="s">
        <v>31</v>
      </c>
    </row>
    <row r="42139" spans="1:5" x14ac:dyDescent="0.25">
      <c r="A42139" t="str">
        <f>HYPERLINK("https://www.773grp.com/globalSearch/MC10H160PG/page-1", "MC10H160PG")</f>
        <v>MC10H160PG</v>
      </c>
      <c r="B42139" s="3" t="s">
        <v>95</v>
      </c>
      <c r="C42139" s="6">
        <v>2394</v>
      </c>
      <c r="D42139" s="7">
        <v>7.14</v>
      </c>
      <c r="E42139" t="s">
        <v>43</v>
      </c>
    </row>
    <row r="42140" spans="1:5" x14ac:dyDescent="0.25">
      <c r="A42140" t="str">
        <f>HYPERLINK("https://www.773grp.com/globalSearch/MC10H164PG/page-1", "MC10H164PG")</f>
        <v>MC10H164PG</v>
      </c>
      <c r="B42140" s="3" t="s">
        <v>95</v>
      </c>
      <c r="C42140" s="6">
        <v>5025</v>
      </c>
      <c r="D42140" s="7">
        <v>7.14</v>
      </c>
      <c r="E42140" t="s">
        <v>20</v>
      </c>
    </row>
    <row r="42141" spans="1:5" x14ac:dyDescent="0.25">
      <c r="A42141" t="str">
        <f>HYPERLINK("https://www.773grp.com/globalSearch/MC10H174PG/page-1", "MC10H174PG")</f>
        <v>MC10H174PG</v>
      </c>
      <c r="B42141" s="3" t="s">
        <v>95</v>
      </c>
      <c r="C42141" s="6">
        <v>6706</v>
      </c>
      <c r="D42141" s="7">
        <v>7.14</v>
      </c>
      <c r="E42141" t="s">
        <v>20</v>
      </c>
    </row>
    <row r="42142" spans="1:5" x14ac:dyDescent="0.25">
      <c r="A42142" t="str">
        <f>HYPERLINK("https://www.773grp.com/globalSearch/MC10135L/page-1", "MC10135L")</f>
        <v>MC10135L</v>
      </c>
      <c r="B42142" s="3" t="s">
        <v>95</v>
      </c>
      <c r="C42142" s="6">
        <v>242</v>
      </c>
      <c r="D42142" s="7">
        <v>7.26</v>
      </c>
      <c r="E42142" t="s">
        <v>35</v>
      </c>
    </row>
    <row r="42143" spans="1:5" x14ac:dyDescent="0.25">
      <c r="A42143" t="str">
        <f>HYPERLINK("https://www.773grp.com/globalSearch/MC10171P/page-1", "MC10171P")</f>
        <v>MC10171P</v>
      </c>
      <c r="B42143" s="3" t="s">
        <v>95</v>
      </c>
      <c r="C42143" s="6">
        <v>2625</v>
      </c>
      <c r="D42143" s="7">
        <v>7.26</v>
      </c>
      <c r="E42143" t="s">
        <v>36</v>
      </c>
    </row>
    <row r="42144" spans="1:5" x14ac:dyDescent="0.25">
      <c r="A42144" t="str">
        <f>HYPERLINK("https://www.773grp.com/globalSearch/MTW7N80E/page-1", "MTW7N80E")</f>
        <v>MTW7N80E</v>
      </c>
      <c r="B42144" s="3" t="s">
        <v>95</v>
      </c>
      <c r="C42144" s="6">
        <v>575</v>
      </c>
      <c r="D42144" s="7">
        <v>7.26</v>
      </c>
      <c r="E42144" t="s">
        <v>105</v>
      </c>
    </row>
    <row r="42145" spans="1:5" x14ac:dyDescent="0.25">
      <c r="A42145" t="str">
        <f>HYPERLINK("https://www.773grp.com/globalSearch/NBC12429FAR2/page-1", "NBC12429FAR2")</f>
        <v>NBC12429FAR2</v>
      </c>
      <c r="B42145" s="3" t="s">
        <v>95</v>
      </c>
      <c r="C42145" s="6">
        <v>290</v>
      </c>
      <c r="D42145" s="7">
        <v>7.26</v>
      </c>
      <c r="E42145" t="s">
        <v>79</v>
      </c>
    </row>
    <row r="42146" spans="1:5" x14ac:dyDescent="0.25">
      <c r="A42146" t="str">
        <f>HYPERLINK("https://www.773grp.com/globalSearch/NBC12430FAR2/page-1", "NBC12430FAR2")</f>
        <v>NBC12430FAR2</v>
      </c>
      <c r="B42146" s="3" t="s">
        <v>95</v>
      </c>
      <c r="C42146" s="6">
        <v>18000</v>
      </c>
      <c r="D42146" s="7">
        <v>7.26</v>
      </c>
      <c r="E42146" t="s">
        <v>79</v>
      </c>
    </row>
    <row r="42147" spans="1:5" x14ac:dyDescent="0.25">
      <c r="A42147" t="str">
        <f>HYPERLINK("https://www.773grp.com/globalSearch/NBC12439FA/page-1", "NBC12439FA")</f>
        <v>NBC12439FA</v>
      </c>
      <c r="B42147" s="3" t="s">
        <v>95</v>
      </c>
      <c r="C42147" s="6">
        <v>4938</v>
      </c>
      <c r="D42147" s="7">
        <v>7.26</v>
      </c>
      <c r="E42147" t="s">
        <v>79</v>
      </c>
    </row>
    <row r="42148" spans="1:5" x14ac:dyDescent="0.25">
      <c r="A42148" t="str">
        <f>HYPERLINK("https://www.773grp.com/globalSearch/NBC12439FN/page-1", "NBC12439FN")</f>
        <v>NBC12439FN</v>
      </c>
      <c r="B42148" s="3" t="s">
        <v>95</v>
      </c>
      <c r="C42148" s="6">
        <v>2008</v>
      </c>
      <c r="D42148" s="7">
        <v>7.26</v>
      </c>
      <c r="E42148" t="s">
        <v>79</v>
      </c>
    </row>
    <row r="42149" spans="1:5" x14ac:dyDescent="0.25">
      <c r="A42149" t="str">
        <f>HYPERLINK("https://www.773grp.com/globalSearch/MC14490DW/page-1", "MC14490DW")</f>
        <v>MC14490DW</v>
      </c>
      <c r="B42149" s="3" t="s">
        <v>95</v>
      </c>
      <c r="C42149" s="6">
        <v>5388</v>
      </c>
      <c r="D42149" s="7">
        <v>7.31</v>
      </c>
      <c r="E42149" t="s">
        <v>32</v>
      </c>
    </row>
    <row r="42150" spans="1:5" x14ac:dyDescent="0.25">
      <c r="A42150" t="str">
        <f>HYPERLINK("https://www.773grp.com/globalSearch/MC14490DWG/page-1", "MC14490DWG")</f>
        <v>MC14490DWG</v>
      </c>
      <c r="B42150" s="3" t="s">
        <v>95</v>
      </c>
      <c r="C42150" s="6">
        <v>814</v>
      </c>
      <c r="D42150" s="7">
        <v>7.31</v>
      </c>
      <c r="E42150" t="s">
        <v>32</v>
      </c>
    </row>
    <row r="42151" spans="1:5" x14ac:dyDescent="0.25">
      <c r="A42151" t="str">
        <f>HYPERLINK("https://www.773grp.com/globalSearch/MC14490DWR2G/page-1", "MC14490DWR2G")</f>
        <v>MC14490DWR2G</v>
      </c>
      <c r="B42151" s="3" t="s">
        <v>95</v>
      </c>
      <c r="C42151" s="6">
        <v>1923</v>
      </c>
      <c r="D42151" s="7">
        <v>7.31</v>
      </c>
      <c r="E42151" t="s">
        <v>32</v>
      </c>
    </row>
    <row r="42152" spans="1:5" x14ac:dyDescent="0.25">
      <c r="A42152" t="str">
        <f>HYPERLINK("https://www.773grp.com/globalSearch/MTV32N20E/page-1", "MTV32N20E")</f>
        <v>MTV32N20E</v>
      </c>
      <c r="B42152" s="3" t="s">
        <v>95</v>
      </c>
      <c r="C42152" s="6">
        <v>6325</v>
      </c>
      <c r="D42152" s="7">
        <v>7.31</v>
      </c>
      <c r="E42152" t="s">
        <v>105</v>
      </c>
    </row>
    <row r="42153" spans="1:5" x14ac:dyDescent="0.25">
      <c r="A42153" t="str">
        <f>HYPERLINK("https://www.773grp.com/globalSearch/NCN6804MNR2G/page-1", "NCN6804MNR2G")</f>
        <v>NCN6804MNR2G</v>
      </c>
      <c r="B42153" s="3" t="s">
        <v>95</v>
      </c>
      <c r="C42153" s="6">
        <v>2825</v>
      </c>
      <c r="D42153" s="7">
        <v>7.31</v>
      </c>
      <c r="E42153" t="s">
        <v>23</v>
      </c>
    </row>
    <row r="42154" spans="1:5" x14ac:dyDescent="0.25">
      <c r="A42154" t="str">
        <f>HYPERLINK("https://www.773grp.com/globalSearch/LB1929-E/page-1", "LB1929-E")</f>
        <v>LB1929-E</v>
      </c>
      <c r="B42154" s="3" t="s">
        <v>95</v>
      </c>
      <c r="C42154" s="6">
        <v>60</v>
      </c>
      <c r="D42154" s="7">
        <v>7.34</v>
      </c>
    </row>
    <row r="42155" spans="1:5" x14ac:dyDescent="0.25">
      <c r="A42155" t="str">
        <f>HYPERLINK("https://www.773grp.com/globalSearch/MC10H141FN/page-1", "MC10H141FN")</f>
        <v>MC10H141FN</v>
      </c>
      <c r="B42155" s="3" t="s">
        <v>95</v>
      </c>
      <c r="C42155" s="6">
        <v>1024</v>
      </c>
      <c r="D42155" s="7">
        <v>7.38</v>
      </c>
      <c r="E42155" t="s">
        <v>32</v>
      </c>
    </row>
    <row r="42156" spans="1:5" x14ac:dyDescent="0.25">
      <c r="A42156" t="str">
        <f>HYPERLINK("https://www.773grp.com/globalSearch/LV8747T-TLM-E/page-1", "LV8747T-TLM-E")</f>
        <v>LV8747T-TLM-E</v>
      </c>
      <c r="B42156" s="3" t="s">
        <v>95</v>
      </c>
      <c r="C42156" s="6">
        <v>1000</v>
      </c>
      <c r="D42156" s="7">
        <v>7.39</v>
      </c>
    </row>
    <row r="42157" spans="1:5" x14ac:dyDescent="0.25">
      <c r="A42157" t="str">
        <f>HYPERLINK("https://www.773grp.com/globalSearch/MC10174FN/page-1", "MC10174FN")</f>
        <v>MC10174FN</v>
      </c>
      <c r="B42157" s="3" t="s">
        <v>95</v>
      </c>
      <c r="C42157" s="6">
        <v>1196</v>
      </c>
      <c r="D42157" s="7">
        <v>7.39</v>
      </c>
      <c r="E42157" t="s">
        <v>20</v>
      </c>
    </row>
    <row r="42158" spans="1:5" x14ac:dyDescent="0.25">
      <c r="A42158" t="str">
        <f>HYPERLINK("https://www.773grp.com/globalSearch/MC10175FN/page-1", "MC10175FN")</f>
        <v>MC10175FN</v>
      </c>
      <c r="B42158" s="3" t="s">
        <v>95</v>
      </c>
      <c r="C42158" s="6">
        <v>1978</v>
      </c>
      <c r="D42158" s="7">
        <v>7.39</v>
      </c>
      <c r="E42158" t="s">
        <v>35</v>
      </c>
    </row>
    <row r="42159" spans="1:5" x14ac:dyDescent="0.25">
      <c r="A42159" t="str">
        <f>HYPERLINK("https://www.773grp.com/globalSearch/ADM1021AARQZ-R/page-1", "ADM1021AARQZ-R")</f>
        <v>ADM1021AARQZ-R</v>
      </c>
      <c r="B42159" s="3" t="s">
        <v>95</v>
      </c>
      <c r="C42159" s="6">
        <v>21075</v>
      </c>
      <c r="D42159" s="7">
        <v>7.46</v>
      </c>
      <c r="E42159" t="s">
        <v>40</v>
      </c>
    </row>
    <row r="42160" spans="1:5" x14ac:dyDescent="0.25">
      <c r="A42160" t="str">
        <f>HYPERLINK("https://www.773grp.com/globalSearch/MC100LVEP11DR2G/page-1", "MC100LVEP11DR2G")</f>
        <v>MC100LVEP11DR2G</v>
      </c>
      <c r="B42160" s="3" t="s">
        <v>95</v>
      </c>
      <c r="C42160" s="6">
        <v>3800</v>
      </c>
      <c r="D42160" s="7">
        <v>7.46</v>
      </c>
    </row>
    <row r="42161" spans="1:5" x14ac:dyDescent="0.25">
      <c r="A42161" t="str">
        <f>HYPERLINK("https://www.773grp.com/globalSearch/MC10189L/page-1", "MC10189L")</f>
        <v>MC10189L</v>
      </c>
      <c r="B42161" s="3" t="s">
        <v>95</v>
      </c>
      <c r="C42161" s="6">
        <v>100</v>
      </c>
      <c r="D42161" s="7">
        <v>7.46</v>
      </c>
      <c r="E42161" t="s">
        <v>31</v>
      </c>
    </row>
    <row r="42162" spans="1:5" x14ac:dyDescent="0.25">
      <c r="A42162" t="str">
        <f>HYPERLINK("https://www.773grp.com/globalSearch/ADT7460ARQ/page-1", "ADT7460ARQ")</f>
        <v>ADT7460ARQ</v>
      </c>
      <c r="B42162" s="3" t="s">
        <v>95</v>
      </c>
      <c r="C42162" s="6">
        <v>7931</v>
      </c>
      <c r="D42162" s="7">
        <v>7.48</v>
      </c>
      <c r="E42162" t="s">
        <v>40</v>
      </c>
    </row>
    <row r="42163" spans="1:5" x14ac:dyDescent="0.25">
      <c r="A42163" t="str">
        <f>HYPERLINK("https://www.773grp.com/globalSearch/LV8732V-MPB-H/page-1", "LV8732V-MPB-H")</f>
        <v>LV8732V-MPB-H</v>
      </c>
      <c r="B42163" s="3" t="s">
        <v>95</v>
      </c>
      <c r="C42163" s="6">
        <v>87</v>
      </c>
      <c r="D42163" s="7">
        <v>7.48</v>
      </c>
    </row>
    <row r="42164" spans="1:5" x14ac:dyDescent="0.25">
      <c r="A42164" t="str">
        <f>HYPERLINK("https://www.773grp.com/globalSearch/LV8732V-TLM-H/page-1", "LV8732V-TLM-H")</f>
        <v>LV8732V-TLM-H</v>
      </c>
      <c r="B42164" s="3" t="s">
        <v>95</v>
      </c>
      <c r="C42164" s="6">
        <v>100</v>
      </c>
      <c r="D42164" s="7">
        <v>7.48</v>
      </c>
    </row>
    <row r="42165" spans="1:5" x14ac:dyDescent="0.25">
      <c r="A42165" t="str">
        <f>HYPERLINK("https://www.773grp.com/globalSearch/MC10188P/page-1", "MC10188P")</f>
        <v>MC10188P</v>
      </c>
      <c r="B42165" s="3" t="s">
        <v>95</v>
      </c>
      <c r="C42165" s="6">
        <v>4250</v>
      </c>
      <c r="D42165" s="7">
        <v>7.48</v>
      </c>
      <c r="E42165" t="s">
        <v>31</v>
      </c>
    </row>
    <row r="42166" spans="1:5" x14ac:dyDescent="0.25">
      <c r="A42166" t="str">
        <f>HYPERLINK("https://www.773grp.com/globalSearch/MTW24N40E/page-1", "MTW24N40E")</f>
        <v>MTW24N40E</v>
      </c>
      <c r="B42166" s="3" t="s">
        <v>95</v>
      </c>
      <c r="C42166" s="6">
        <v>5</v>
      </c>
      <c r="D42166" s="7">
        <v>7.48</v>
      </c>
      <c r="E42166" t="s">
        <v>105</v>
      </c>
    </row>
    <row r="42167" spans="1:5" x14ac:dyDescent="0.25">
      <c r="A42167" t="str">
        <f>HYPERLINK("https://www.773grp.com/globalSearch/CS5305GDW28/page-1", "CS5305GDW28")</f>
        <v>CS5305GDW28</v>
      </c>
      <c r="B42167" s="3" t="s">
        <v>95</v>
      </c>
      <c r="C42167" s="6">
        <v>881</v>
      </c>
      <c r="D42167" s="7">
        <v>7.51</v>
      </c>
      <c r="E42167" t="s">
        <v>7</v>
      </c>
    </row>
    <row r="42168" spans="1:5" x14ac:dyDescent="0.25">
      <c r="A42168" t="str">
        <f>HYPERLINK("https://www.773grp.com/globalSearch/MC10H188P/page-1", "MC10H188P")</f>
        <v>MC10H188P</v>
      </c>
      <c r="B42168" s="3" t="s">
        <v>95</v>
      </c>
      <c r="C42168" s="6">
        <v>4716</v>
      </c>
      <c r="D42168" s="7">
        <v>7.51</v>
      </c>
      <c r="E42168" t="s">
        <v>31</v>
      </c>
    </row>
    <row r="42169" spans="1:5" x14ac:dyDescent="0.25">
      <c r="A42169" t="str">
        <f>HYPERLINK("https://www.773grp.com/globalSearch/MC10H189P/page-1", "MC10H189P")</f>
        <v>MC10H189P</v>
      </c>
      <c r="B42169" s="3" t="s">
        <v>95</v>
      </c>
      <c r="C42169" s="6">
        <v>4050</v>
      </c>
      <c r="D42169" s="7">
        <v>7.51</v>
      </c>
      <c r="E42169" t="s">
        <v>31</v>
      </c>
    </row>
    <row r="42170" spans="1:5" x14ac:dyDescent="0.25">
      <c r="A42170" t="str">
        <f>HYPERLINK("https://www.773grp.com/globalSearch/N04L163WC2AT27I/page-1", "N04L163WC2AT27I")</f>
        <v>N04L163WC2AT27I</v>
      </c>
      <c r="B42170" s="3" t="s">
        <v>95</v>
      </c>
      <c r="C42170" s="6">
        <v>135</v>
      </c>
      <c r="D42170" s="7">
        <v>7.51</v>
      </c>
    </row>
    <row r="42171" spans="1:5" x14ac:dyDescent="0.25">
      <c r="A42171" t="str">
        <f>HYPERLINK("https://www.773grp.com/globalSearch/N04L63W1AT27I/page-1", "N04L63W1AT27I")</f>
        <v>N04L63W1AT27I</v>
      </c>
      <c r="B42171" s="3" t="s">
        <v>95</v>
      </c>
      <c r="C42171" s="6">
        <v>4674</v>
      </c>
      <c r="D42171" s="7">
        <v>7.51</v>
      </c>
      <c r="E42171" t="s">
        <v>75</v>
      </c>
    </row>
    <row r="42172" spans="1:5" x14ac:dyDescent="0.25">
      <c r="A42172" t="str">
        <f>HYPERLINK("https://www.773grp.com/globalSearch/N04L63W2AT27I/page-1", "N04L63W2AT27I")</f>
        <v>N04L63W2AT27I</v>
      </c>
      <c r="B42172" s="3" t="s">
        <v>95</v>
      </c>
      <c r="C42172" s="6">
        <v>99</v>
      </c>
      <c r="D42172" s="7">
        <v>7.51</v>
      </c>
      <c r="E42172" t="s">
        <v>75</v>
      </c>
    </row>
    <row r="42173" spans="1:5" x14ac:dyDescent="0.25">
      <c r="A42173" t="str">
        <f>HYPERLINK("https://www.773grp.com/globalSearch/LA1781MA-MPB-E/page-1", "LA1781MA-MPB-E")</f>
        <v>LA1781MA-MPB-E</v>
      </c>
      <c r="B42173" s="3" t="s">
        <v>95</v>
      </c>
      <c r="C42173" s="6">
        <v>300</v>
      </c>
      <c r="D42173" s="7">
        <v>7.54</v>
      </c>
    </row>
    <row r="42174" spans="1:5" x14ac:dyDescent="0.25">
      <c r="A42174" t="str">
        <f>HYPERLINK("https://www.773grp.com/globalSearch/MC10H166FN/page-1", "MC10H166FN")</f>
        <v>MC10H166FN</v>
      </c>
      <c r="B42174" s="3" t="s">
        <v>95</v>
      </c>
      <c r="C42174" s="6">
        <v>1922</v>
      </c>
      <c r="D42174" s="7">
        <v>7.56</v>
      </c>
      <c r="E42174" t="s">
        <v>43</v>
      </c>
    </row>
    <row r="42175" spans="1:5" x14ac:dyDescent="0.25">
      <c r="A42175" t="str">
        <f>HYPERLINK("https://www.773grp.com/globalSearch/MC10H166FNR2/page-1", "MC10H166FNR2")</f>
        <v>MC10H166FNR2</v>
      </c>
      <c r="B42175" s="3" t="s">
        <v>95</v>
      </c>
      <c r="C42175" s="6">
        <v>500</v>
      </c>
      <c r="D42175" s="7">
        <v>7.56</v>
      </c>
      <c r="E42175" t="s">
        <v>43</v>
      </c>
    </row>
    <row r="42176" spans="1:5" x14ac:dyDescent="0.25">
      <c r="A42176" t="str">
        <f>HYPERLINK("https://www.773grp.com/globalSearch/SA575DG/page-1", "SA575DG")</f>
        <v>SA575DG</v>
      </c>
      <c r="B42176" s="3" t="s">
        <v>95</v>
      </c>
      <c r="C42176" s="6">
        <v>1449</v>
      </c>
      <c r="D42176" s="7">
        <v>7.56</v>
      </c>
      <c r="E42176" t="s">
        <v>118</v>
      </c>
    </row>
    <row r="42177" spans="1:5" x14ac:dyDescent="0.25">
      <c r="A42177" t="str">
        <f>HYPERLINK("https://www.773grp.com/globalSearch/SA575DR2G/page-1", "SA575DR2G")</f>
        <v>SA575DR2G</v>
      </c>
      <c r="B42177" s="3" t="s">
        <v>95</v>
      </c>
      <c r="C42177" s="6">
        <v>1293</v>
      </c>
      <c r="D42177" s="7">
        <v>7.56</v>
      </c>
      <c r="E42177" t="s">
        <v>118</v>
      </c>
    </row>
    <row r="42178" spans="1:5" x14ac:dyDescent="0.25">
      <c r="A42178" t="str">
        <f>HYPERLINK("https://www.773grp.com/globalSearch/LC87F7J32AU-QIP-E/page-1", "LC87F7J32AU-QIP-E")</f>
        <v>LC87F7J32AU-QIP-E</v>
      </c>
      <c r="B42178" s="3" t="s">
        <v>95</v>
      </c>
      <c r="C42178" s="6">
        <v>1100</v>
      </c>
      <c r="D42178" s="7">
        <v>7.6</v>
      </c>
    </row>
    <row r="42179" spans="1:5" x14ac:dyDescent="0.25">
      <c r="A42179" t="str">
        <f>HYPERLINK("https://www.773grp.com/globalSearch/MBR40H100WTG/page-1", "MBR40H100WTG")</f>
        <v>MBR40H100WTG</v>
      </c>
      <c r="B42179" s="3" t="s">
        <v>95</v>
      </c>
      <c r="C42179" s="6">
        <v>115</v>
      </c>
      <c r="D42179" s="7">
        <v>7.6</v>
      </c>
      <c r="E42179" t="s">
        <v>103</v>
      </c>
    </row>
    <row r="42180" spans="1:5" x14ac:dyDescent="0.25">
      <c r="A42180" t="str">
        <f>HYPERLINK("https://www.773grp.com/globalSearch/MC100EP16DG/page-1", "MC100EP16DG")</f>
        <v>MC100EP16DG</v>
      </c>
      <c r="B42180" s="3" t="s">
        <v>95</v>
      </c>
      <c r="C42180" s="6">
        <v>189</v>
      </c>
      <c r="D42180" s="7">
        <v>7.6</v>
      </c>
      <c r="E42180" t="s">
        <v>21</v>
      </c>
    </row>
    <row r="42181" spans="1:5" x14ac:dyDescent="0.25">
      <c r="A42181" t="str">
        <f>HYPERLINK("https://www.773grp.com/globalSearch/MC100EP16DR2G/page-1", "MC100EP16DR2G")</f>
        <v>MC100EP16DR2G</v>
      </c>
      <c r="B42181" s="3" t="s">
        <v>95</v>
      </c>
      <c r="C42181" s="6">
        <v>3383</v>
      </c>
      <c r="D42181" s="7">
        <v>7.6</v>
      </c>
      <c r="E42181" t="s">
        <v>21</v>
      </c>
    </row>
    <row r="42182" spans="1:5" x14ac:dyDescent="0.25">
      <c r="A42182" t="str">
        <f>HYPERLINK("https://www.773grp.com/globalSearch/MC100EP16DT/page-1", "MC100EP16DT")</f>
        <v>MC100EP16DT</v>
      </c>
      <c r="B42182" s="3" t="s">
        <v>95</v>
      </c>
      <c r="C42182" s="6">
        <v>10592</v>
      </c>
      <c r="D42182" s="7">
        <v>7.6</v>
      </c>
      <c r="E42182" t="s">
        <v>21</v>
      </c>
    </row>
    <row r="42183" spans="1:5" x14ac:dyDescent="0.25">
      <c r="A42183" t="str">
        <f>HYPERLINK("https://www.773grp.com/globalSearch/MC100EP16DTG/page-1", "MC100EP16DTG")</f>
        <v>MC100EP16DTG</v>
      </c>
      <c r="B42183" s="3" t="s">
        <v>95</v>
      </c>
      <c r="C42183" s="6">
        <v>2817</v>
      </c>
      <c r="D42183" s="7">
        <v>7.6</v>
      </c>
      <c r="E42183" t="s">
        <v>21</v>
      </c>
    </row>
    <row r="42184" spans="1:5" x14ac:dyDescent="0.25">
      <c r="A42184" t="str">
        <f>HYPERLINK("https://www.773grp.com/globalSearch/MC100EP16DTR2G/page-1", "MC100EP16DTR2G")</f>
        <v>MC100EP16DTR2G</v>
      </c>
      <c r="B42184" s="3" t="s">
        <v>95</v>
      </c>
      <c r="C42184" s="6">
        <v>7500</v>
      </c>
      <c r="D42184" s="7">
        <v>7.6</v>
      </c>
      <c r="E42184" t="s">
        <v>21</v>
      </c>
    </row>
    <row r="42185" spans="1:5" x14ac:dyDescent="0.25">
      <c r="A42185" t="str">
        <f>HYPERLINK("https://www.773grp.com/globalSearch/MC100EP16VAD/page-1", "MC100EP16VAD")</f>
        <v>MC100EP16VAD</v>
      </c>
      <c r="B42185" s="3" t="s">
        <v>95</v>
      </c>
      <c r="C42185" s="6">
        <v>24466</v>
      </c>
      <c r="D42185" s="7">
        <v>7.6</v>
      </c>
      <c r="E42185" t="s">
        <v>21</v>
      </c>
    </row>
    <row r="42186" spans="1:5" x14ac:dyDescent="0.25">
      <c r="A42186" t="str">
        <f>HYPERLINK("https://www.773grp.com/globalSearch/MC100EP16VSDG/page-1", "MC100EP16VSDG")</f>
        <v>MC100EP16VSDG</v>
      </c>
      <c r="B42186" s="3" t="s">
        <v>95</v>
      </c>
      <c r="C42186" s="6">
        <v>29223</v>
      </c>
      <c r="D42186" s="7">
        <v>7.6</v>
      </c>
      <c r="E42186" t="s">
        <v>21</v>
      </c>
    </row>
    <row r="42187" spans="1:5" x14ac:dyDescent="0.25">
      <c r="A42187" t="str">
        <f>HYPERLINK("https://www.773grp.com/globalSearch/MC100EP16VSDTG/page-1", "MC100EP16VSDTG")</f>
        <v>MC100EP16VSDTG</v>
      </c>
      <c r="B42187" s="3" t="s">
        <v>95</v>
      </c>
      <c r="C42187" s="6">
        <v>995</v>
      </c>
      <c r="D42187" s="7">
        <v>7.6</v>
      </c>
      <c r="E42187" t="s">
        <v>21</v>
      </c>
    </row>
    <row r="42188" spans="1:5" x14ac:dyDescent="0.25">
      <c r="A42188" t="str">
        <f>HYPERLINK("https://www.773grp.com/globalSearch/MC100EP16VSDTR2G/page-1", "MC100EP16VSDTR2G")</f>
        <v>MC100EP16VSDTR2G</v>
      </c>
      <c r="B42188" s="3" t="s">
        <v>95</v>
      </c>
      <c r="C42188" s="6">
        <v>2500</v>
      </c>
      <c r="D42188" s="7">
        <v>7.6</v>
      </c>
      <c r="E42188" t="s">
        <v>21</v>
      </c>
    </row>
    <row r="42189" spans="1:5" x14ac:dyDescent="0.25">
      <c r="A42189" t="str">
        <f>HYPERLINK("https://www.773grp.com/globalSearch/MC100EPT20DR2G/page-1", "MC100EPT20DR2G")</f>
        <v>MC100EPT20DR2G</v>
      </c>
      <c r="B42189" s="3" t="s">
        <v>95</v>
      </c>
      <c r="C42189" s="6">
        <v>10000</v>
      </c>
      <c r="D42189" s="7">
        <v>7.6</v>
      </c>
      <c r="E42189" t="s">
        <v>73</v>
      </c>
    </row>
    <row r="42190" spans="1:5" x14ac:dyDescent="0.25">
      <c r="A42190" t="str">
        <f>HYPERLINK("https://www.773grp.com/globalSearch/MC100EPT20DTR2G/page-1", "MC100EPT20DTR2G")</f>
        <v>MC100EPT20DTR2G</v>
      </c>
      <c r="B42190" s="3" t="s">
        <v>95</v>
      </c>
      <c r="C42190" s="6">
        <v>1983</v>
      </c>
      <c r="D42190" s="7">
        <v>7.6</v>
      </c>
      <c r="E42190" t="s">
        <v>73</v>
      </c>
    </row>
    <row r="42191" spans="1:5" x14ac:dyDescent="0.25">
      <c r="A42191" t="str">
        <f>HYPERLINK("https://www.773grp.com/globalSearch/MC100EPT21DTR2G/page-1", "MC100EPT21DTR2G")</f>
        <v>MC100EPT21DTR2G</v>
      </c>
      <c r="B42191" s="3" t="s">
        <v>95</v>
      </c>
      <c r="C42191" s="6">
        <v>6212</v>
      </c>
      <c r="D42191" s="7">
        <v>7.6</v>
      </c>
      <c r="E42191" t="s">
        <v>73</v>
      </c>
    </row>
    <row r="42192" spans="1:5" x14ac:dyDescent="0.25">
      <c r="A42192" t="str">
        <f>HYPERLINK("https://www.773grp.com/globalSearch/MC100EPT22DTR2G/page-1", "MC100EPT22DTR2G")</f>
        <v>MC100EPT22DTR2G</v>
      </c>
      <c r="B42192" s="3" t="s">
        <v>95</v>
      </c>
      <c r="C42192" s="6">
        <v>2450</v>
      </c>
      <c r="D42192" s="7">
        <v>7.6</v>
      </c>
    </row>
    <row r="42193" spans="1:5" x14ac:dyDescent="0.25">
      <c r="A42193" t="str">
        <f>HYPERLINK("https://www.773grp.com/globalSearch/MC100EPT23DR2G/page-1", "MC100EPT23DR2G")</f>
        <v>MC100EPT23DR2G</v>
      </c>
      <c r="B42193" s="3" t="s">
        <v>95</v>
      </c>
      <c r="C42193" s="6">
        <v>4800</v>
      </c>
      <c r="D42193" s="7">
        <v>7.6</v>
      </c>
      <c r="E42193" t="s">
        <v>73</v>
      </c>
    </row>
    <row r="42194" spans="1:5" x14ac:dyDescent="0.25">
      <c r="A42194" t="str">
        <f>HYPERLINK("https://www.773grp.com/globalSearch/MC10EL07DR2/page-1", "MC10EL07DR2")</f>
        <v>MC10EL07DR2</v>
      </c>
      <c r="B42194" s="3" t="s">
        <v>95</v>
      </c>
      <c r="C42194" s="6">
        <v>1845</v>
      </c>
      <c r="D42194" s="7">
        <v>7.6</v>
      </c>
      <c r="E42194" t="s">
        <v>31</v>
      </c>
    </row>
    <row r="42195" spans="1:5" x14ac:dyDescent="0.25">
      <c r="A42195" t="str">
        <f>HYPERLINK("https://www.773grp.com/globalSearch/MC10EP16DG/page-1", "MC10EP16DG")</f>
        <v>MC10EP16DG</v>
      </c>
      <c r="B42195" s="3" t="s">
        <v>95</v>
      </c>
      <c r="C42195" s="6">
        <v>1367</v>
      </c>
      <c r="D42195" s="7">
        <v>7.6</v>
      </c>
      <c r="E42195" t="s">
        <v>21</v>
      </c>
    </row>
    <row r="42196" spans="1:5" x14ac:dyDescent="0.25">
      <c r="A42196" t="str">
        <f>HYPERLINK("https://www.773grp.com/globalSearch/MC10EP16DR2G/page-1", "MC10EP16DR2G")</f>
        <v>MC10EP16DR2G</v>
      </c>
      <c r="B42196" s="3" t="s">
        <v>95</v>
      </c>
      <c r="C42196" s="6">
        <v>24680</v>
      </c>
      <c r="D42196" s="7">
        <v>7.6</v>
      </c>
      <c r="E42196" t="s">
        <v>21</v>
      </c>
    </row>
    <row r="42197" spans="1:5" x14ac:dyDescent="0.25">
      <c r="A42197" t="str">
        <f>HYPERLINK("https://www.773grp.com/globalSearch/MC10EP16DTG/page-1", "MC10EP16DTG")</f>
        <v>MC10EP16DTG</v>
      </c>
      <c r="B42197" s="3" t="s">
        <v>95</v>
      </c>
      <c r="C42197" s="6">
        <v>597</v>
      </c>
      <c r="D42197" s="7">
        <v>7.6</v>
      </c>
      <c r="E42197" t="s">
        <v>21</v>
      </c>
    </row>
    <row r="42198" spans="1:5" x14ac:dyDescent="0.25">
      <c r="A42198" t="str">
        <f>HYPERLINK("https://www.773grp.com/globalSearch/MC10EP16DTR2G/page-1", "MC10EP16DTR2G")</f>
        <v>MC10EP16DTR2G</v>
      </c>
      <c r="B42198" s="3" t="s">
        <v>95</v>
      </c>
      <c r="C42198" s="6">
        <v>7468</v>
      </c>
      <c r="D42198" s="7">
        <v>7.6</v>
      </c>
      <c r="E42198" t="s">
        <v>21</v>
      </c>
    </row>
    <row r="42199" spans="1:5" x14ac:dyDescent="0.25">
      <c r="A42199" t="str">
        <f>HYPERLINK("https://www.773grp.com/globalSearch/MC10EPT20DR2G/page-1", "MC10EPT20DR2G")</f>
        <v>MC10EPT20DR2G</v>
      </c>
      <c r="B42199" s="3" t="s">
        <v>95</v>
      </c>
      <c r="C42199" s="6">
        <v>18070</v>
      </c>
      <c r="D42199" s="7">
        <v>7.6</v>
      </c>
      <c r="E42199" t="s">
        <v>73</v>
      </c>
    </row>
    <row r="42200" spans="1:5" x14ac:dyDescent="0.25">
      <c r="A42200" t="str">
        <f>HYPERLINK("https://www.773grp.com/globalSearch/MC10EPT20DTR2G/page-1", "MC10EPT20DTR2G")</f>
        <v>MC10EPT20DTR2G</v>
      </c>
      <c r="B42200" s="3" t="s">
        <v>95</v>
      </c>
      <c r="C42200" s="6">
        <v>22380</v>
      </c>
      <c r="D42200" s="7">
        <v>7.6</v>
      </c>
      <c r="E42200" t="s">
        <v>73</v>
      </c>
    </row>
    <row r="42201" spans="1:5" x14ac:dyDescent="0.25">
      <c r="A42201" t="str">
        <f>HYPERLINK("https://www.773grp.com/globalSearch/FS7145-01-XTD/page-1", "FS7145-01-XTD")</f>
        <v>FS7145-01-XTD</v>
      </c>
      <c r="B42201" s="3" t="s">
        <v>95</v>
      </c>
      <c r="C42201" s="6">
        <v>17</v>
      </c>
      <c r="D42201" s="7">
        <v>7.68</v>
      </c>
      <c r="E42201" t="s">
        <v>79</v>
      </c>
    </row>
    <row r="42202" spans="1:5" x14ac:dyDescent="0.25">
      <c r="A42202" t="str">
        <f>HYPERLINK("https://www.773grp.com/globalSearch/2N6338/page-1", "2N6338")</f>
        <v>2N6338</v>
      </c>
      <c r="B42202" s="3" t="s">
        <v>95</v>
      </c>
      <c r="C42202" s="6">
        <v>100</v>
      </c>
      <c r="D42202" s="7">
        <v>7.73</v>
      </c>
      <c r="E42202" t="s">
        <v>59</v>
      </c>
    </row>
    <row r="42203" spans="1:5" x14ac:dyDescent="0.25">
      <c r="A42203" t="str">
        <f>HYPERLINK("https://www.773grp.com/globalSearch/MC100E116FN/page-1", "MC100E116FN")</f>
        <v>MC100E116FN</v>
      </c>
      <c r="B42203" s="3" t="s">
        <v>95</v>
      </c>
      <c r="C42203" s="6">
        <v>2065</v>
      </c>
      <c r="D42203" s="7">
        <v>7.73</v>
      </c>
      <c r="E42203" t="s">
        <v>21</v>
      </c>
    </row>
    <row r="42204" spans="1:5" x14ac:dyDescent="0.25">
      <c r="A42204" t="str">
        <f>HYPERLINK("https://www.773grp.com/globalSearch/MC100E116FNR2/page-1", "MC100E116FNR2")</f>
        <v>MC100E116FNR2</v>
      </c>
      <c r="B42204" s="3" t="s">
        <v>95</v>
      </c>
      <c r="C42204" s="6">
        <v>500</v>
      </c>
      <c r="D42204" s="7">
        <v>7.73</v>
      </c>
      <c r="E42204" t="s">
        <v>21</v>
      </c>
    </row>
    <row r="42205" spans="1:5" x14ac:dyDescent="0.25">
      <c r="A42205" t="str">
        <f>HYPERLINK("https://www.773grp.com/globalSearch/MC100E136FN/page-1", "MC100E136FN")</f>
        <v>MC100E136FN</v>
      </c>
      <c r="B42205" s="3" t="s">
        <v>95</v>
      </c>
      <c r="C42205" s="6">
        <v>218</v>
      </c>
      <c r="D42205" s="7">
        <v>7.73</v>
      </c>
      <c r="E42205" t="s">
        <v>26</v>
      </c>
    </row>
    <row r="42206" spans="1:5" x14ac:dyDescent="0.25">
      <c r="A42206" t="str">
        <f>HYPERLINK("https://www.773grp.com/globalSearch/MC100E137FN/page-1", "MC100E137FN")</f>
        <v>MC100E137FN</v>
      </c>
      <c r="B42206" s="3" t="s">
        <v>95</v>
      </c>
      <c r="C42206" s="6">
        <v>2244</v>
      </c>
      <c r="D42206" s="7">
        <v>7.73</v>
      </c>
      <c r="E42206" t="s">
        <v>26</v>
      </c>
    </row>
    <row r="42207" spans="1:5" x14ac:dyDescent="0.25">
      <c r="A42207" t="str">
        <f>HYPERLINK("https://www.773grp.com/globalSearch/MC100E137FNR2/page-1", "MC100E137FNR2")</f>
        <v>MC100E137FNR2</v>
      </c>
      <c r="B42207" s="3" t="s">
        <v>95</v>
      </c>
      <c r="C42207" s="6">
        <v>2000</v>
      </c>
      <c r="D42207" s="7">
        <v>7.73</v>
      </c>
      <c r="E42207" t="s">
        <v>26</v>
      </c>
    </row>
    <row r="42208" spans="1:5" x14ac:dyDescent="0.25">
      <c r="A42208" t="str">
        <f>HYPERLINK("https://www.773grp.com/globalSearch/MC100E142FN/page-1", "MC100E142FN")</f>
        <v>MC100E142FN</v>
      </c>
      <c r="B42208" s="3" t="s">
        <v>95</v>
      </c>
      <c r="C42208" s="6">
        <v>196</v>
      </c>
      <c r="D42208" s="7">
        <v>7.73</v>
      </c>
      <c r="E42208" t="s">
        <v>32</v>
      </c>
    </row>
    <row r="42209" spans="1:5" x14ac:dyDescent="0.25">
      <c r="A42209" t="str">
        <f>HYPERLINK("https://www.773grp.com/globalSearch/MC100E142FNR2/page-1", "MC100E142FNR2")</f>
        <v>MC100E142FNR2</v>
      </c>
      <c r="B42209" s="3" t="s">
        <v>95</v>
      </c>
      <c r="C42209" s="6">
        <v>500</v>
      </c>
      <c r="D42209" s="7">
        <v>7.73</v>
      </c>
      <c r="E42209" t="s">
        <v>32</v>
      </c>
    </row>
    <row r="42210" spans="1:5" x14ac:dyDescent="0.25">
      <c r="A42210" t="str">
        <f>HYPERLINK("https://www.773grp.com/globalSearch/MC100E142FNR2G/page-1", "MC100E142FNR2G")</f>
        <v>MC100E142FNR2G</v>
      </c>
      <c r="B42210" s="3" t="s">
        <v>95</v>
      </c>
      <c r="C42210" s="6">
        <v>500</v>
      </c>
      <c r="D42210" s="7">
        <v>7.73</v>
      </c>
      <c r="E42210" t="s">
        <v>32</v>
      </c>
    </row>
    <row r="42211" spans="1:5" x14ac:dyDescent="0.25">
      <c r="A42211" t="str">
        <f>HYPERLINK("https://www.773grp.com/globalSearch/MC100E143FN/page-1", "MC100E143FN")</f>
        <v>MC100E143FN</v>
      </c>
      <c r="B42211" s="3" t="s">
        <v>95</v>
      </c>
      <c r="C42211" s="6">
        <v>2357</v>
      </c>
      <c r="D42211" s="7">
        <v>7.73</v>
      </c>
      <c r="E42211" t="s">
        <v>35</v>
      </c>
    </row>
    <row r="42212" spans="1:5" x14ac:dyDescent="0.25">
      <c r="A42212" t="str">
        <f>HYPERLINK("https://www.773grp.com/globalSearch/MC100E150FN/page-1", "MC100E150FN")</f>
        <v>MC100E150FN</v>
      </c>
      <c r="B42212" s="3" t="s">
        <v>95</v>
      </c>
      <c r="C42212" s="6">
        <v>1832</v>
      </c>
      <c r="D42212" s="7">
        <v>7.73</v>
      </c>
      <c r="E42212" t="s">
        <v>35</v>
      </c>
    </row>
    <row r="42213" spans="1:5" x14ac:dyDescent="0.25">
      <c r="A42213" t="str">
        <f>HYPERLINK("https://www.773grp.com/globalSearch/MC100E157FN/page-1", "MC100E157FN")</f>
        <v>MC100E157FN</v>
      </c>
      <c r="B42213" s="3" t="s">
        <v>95</v>
      </c>
      <c r="C42213" s="6">
        <v>151</v>
      </c>
      <c r="D42213" s="7">
        <v>7.73</v>
      </c>
      <c r="E42213" t="s">
        <v>20</v>
      </c>
    </row>
    <row r="42214" spans="1:5" x14ac:dyDescent="0.25">
      <c r="A42214" t="str">
        <f>HYPERLINK("https://www.773grp.com/globalSearch/MC100E158FN/page-1", "MC100E158FN")</f>
        <v>MC100E158FN</v>
      </c>
      <c r="B42214" s="3" t="s">
        <v>95</v>
      </c>
      <c r="C42214" s="6">
        <v>703</v>
      </c>
      <c r="D42214" s="7">
        <v>7.73</v>
      </c>
      <c r="E42214" t="s">
        <v>20</v>
      </c>
    </row>
    <row r="42215" spans="1:5" x14ac:dyDescent="0.25">
      <c r="A42215" t="str">
        <f>HYPERLINK("https://www.773grp.com/globalSearch/MC100E158FNR2/page-1", "MC100E158FNR2")</f>
        <v>MC100E158FNR2</v>
      </c>
      <c r="B42215" s="3" t="s">
        <v>95</v>
      </c>
      <c r="C42215" s="6">
        <v>1000</v>
      </c>
      <c r="D42215" s="7">
        <v>7.73</v>
      </c>
      <c r="E42215" t="s">
        <v>20</v>
      </c>
    </row>
    <row r="42216" spans="1:5" x14ac:dyDescent="0.25">
      <c r="A42216" t="str">
        <f>HYPERLINK("https://www.773grp.com/globalSearch/MC100E163FN/page-1", "MC100E163FN")</f>
        <v>MC100E163FN</v>
      </c>
      <c r="B42216" s="3" t="s">
        <v>95</v>
      </c>
      <c r="C42216" s="6">
        <v>615</v>
      </c>
      <c r="D42216" s="7">
        <v>7.73</v>
      </c>
      <c r="E42216" t="s">
        <v>20</v>
      </c>
    </row>
    <row r="42217" spans="1:5" x14ac:dyDescent="0.25">
      <c r="A42217" t="str">
        <f>HYPERLINK("https://www.773grp.com/globalSearch/MC100E163FNG/page-1", "MC100E163FNG")</f>
        <v>MC100E163FNG</v>
      </c>
      <c r="B42217" s="3" t="s">
        <v>95</v>
      </c>
      <c r="C42217" s="6">
        <v>4501</v>
      </c>
      <c r="D42217" s="7">
        <v>7.73</v>
      </c>
      <c r="E42217" t="s">
        <v>20</v>
      </c>
    </row>
    <row r="42218" spans="1:5" x14ac:dyDescent="0.25">
      <c r="A42218" t="str">
        <f>HYPERLINK("https://www.773grp.com/globalSearch/MC100E171FN/page-1", "MC100E171FN")</f>
        <v>MC100E171FN</v>
      </c>
      <c r="B42218" s="3" t="s">
        <v>95</v>
      </c>
      <c r="C42218" s="6">
        <v>354</v>
      </c>
      <c r="D42218" s="7">
        <v>7.73</v>
      </c>
      <c r="E42218" t="s">
        <v>20</v>
      </c>
    </row>
    <row r="42219" spans="1:5" x14ac:dyDescent="0.25">
      <c r="A42219" t="str">
        <f>HYPERLINK("https://www.773grp.com/globalSearch/MC100E196FN/page-1", "MC100E196FN")</f>
        <v>MC100E196FN</v>
      </c>
      <c r="B42219" s="3" t="s">
        <v>95</v>
      </c>
      <c r="C42219" s="6">
        <v>17</v>
      </c>
      <c r="D42219" s="7">
        <v>7.73</v>
      </c>
      <c r="E42219" t="s">
        <v>119</v>
      </c>
    </row>
    <row r="42220" spans="1:5" x14ac:dyDescent="0.25">
      <c r="A42220" t="str">
        <f>HYPERLINK("https://www.773grp.com/globalSearch/MC100E196FNG/page-1", "MC100E196FNG")</f>
        <v>MC100E196FNG</v>
      </c>
      <c r="B42220" s="3" t="s">
        <v>95</v>
      </c>
      <c r="C42220" s="6">
        <v>13</v>
      </c>
      <c r="D42220" s="7">
        <v>7.73</v>
      </c>
      <c r="E42220" t="s">
        <v>119</v>
      </c>
    </row>
    <row r="42221" spans="1:5" x14ac:dyDescent="0.25">
      <c r="A42221" t="str">
        <f>HYPERLINK("https://www.773grp.com/globalSearch/MC100E241FN/page-1", "MC100E241FN")</f>
        <v>MC100E241FN</v>
      </c>
      <c r="B42221" s="3" t="s">
        <v>95</v>
      </c>
      <c r="C42221" s="6">
        <v>851</v>
      </c>
      <c r="D42221" s="7">
        <v>7.73</v>
      </c>
      <c r="E42221" t="s">
        <v>32</v>
      </c>
    </row>
    <row r="42222" spans="1:5" x14ac:dyDescent="0.25">
      <c r="A42222" t="str">
        <f>HYPERLINK("https://www.773grp.com/globalSearch/MC100E404FNR2/page-1", "MC100E404FNR2")</f>
        <v>MC100E404FNR2</v>
      </c>
      <c r="B42222" s="3" t="s">
        <v>95</v>
      </c>
      <c r="C42222" s="6">
        <v>4000</v>
      </c>
      <c r="D42222" s="7">
        <v>7.73</v>
      </c>
      <c r="E42222" t="s">
        <v>31</v>
      </c>
    </row>
    <row r="42223" spans="1:5" x14ac:dyDescent="0.25">
      <c r="A42223" t="str">
        <f>HYPERLINK("https://www.773grp.com/globalSearch/MC100E416FN/page-1", "MC100E416FN")</f>
        <v>MC100E416FN</v>
      </c>
      <c r="B42223" s="3" t="s">
        <v>95</v>
      </c>
      <c r="C42223" s="6">
        <v>1718</v>
      </c>
      <c r="D42223" s="7">
        <v>7.73</v>
      </c>
      <c r="E42223" t="s">
        <v>21</v>
      </c>
    </row>
    <row r="42224" spans="1:5" x14ac:dyDescent="0.25">
      <c r="A42224" t="str">
        <f>HYPERLINK("https://www.773grp.com/globalSearch/MC100E446FN/page-1", "MC100E446FN")</f>
        <v>MC100E446FN</v>
      </c>
      <c r="B42224" s="3" t="s">
        <v>95</v>
      </c>
      <c r="C42224" s="6">
        <v>1739</v>
      </c>
      <c r="D42224" s="7">
        <v>7.73</v>
      </c>
      <c r="E42224" t="s">
        <v>32</v>
      </c>
    </row>
    <row r="42225" spans="1:5" x14ac:dyDescent="0.25">
      <c r="A42225" t="str">
        <f>HYPERLINK("https://www.773grp.com/globalSearch/MC100E452FNR2/page-1", "MC100E452FNR2")</f>
        <v>MC100E452FNR2</v>
      </c>
      <c r="B42225" s="3" t="s">
        <v>95</v>
      </c>
      <c r="C42225" s="6">
        <v>2671</v>
      </c>
      <c r="D42225" s="7">
        <v>7.73</v>
      </c>
      <c r="E42225" t="s">
        <v>35</v>
      </c>
    </row>
    <row r="42226" spans="1:5" x14ac:dyDescent="0.25">
      <c r="A42226" t="str">
        <f>HYPERLINK("https://www.773grp.com/globalSearch/MC100E457FNR2/page-1", "MC100E457FNR2")</f>
        <v>MC100E457FNR2</v>
      </c>
      <c r="B42226" s="3" t="s">
        <v>95</v>
      </c>
      <c r="C42226" s="6">
        <v>2142</v>
      </c>
      <c r="D42226" s="7">
        <v>7.73</v>
      </c>
      <c r="E42226" t="s">
        <v>20</v>
      </c>
    </row>
    <row r="42227" spans="1:5" x14ac:dyDescent="0.25">
      <c r="A42227" t="str">
        <f>HYPERLINK("https://www.773grp.com/globalSearch/MC100EL17DWG/page-1", "MC100EL17DWG")</f>
        <v>MC100EL17DWG</v>
      </c>
      <c r="B42227" s="3" t="s">
        <v>95</v>
      </c>
      <c r="C42227" s="6">
        <v>880</v>
      </c>
      <c r="D42227" s="7">
        <v>7.73</v>
      </c>
      <c r="E42227" t="s">
        <v>21</v>
      </c>
    </row>
    <row r="42228" spans="1:5" x14ac:dyDescent="0.25">
      <c r="A42228" t="str">
        <f>HYPERLINK("https://www.773grp.com/globalSearch/MC100EL17DWR2G/page-1", "MC100EL17DWR2G")</f>
        <v>MC100EL17DWR2G</v>
      </c>
      <c r="B42228" s="3" t="s">
        <v>95</v>
      </c>
      <c r="C42228" s="6">
        <v>1000</v>
      </c>
      <c r="D42228" s="7">
        <v>7.73</v>
      </c>
      <c r="E42228" t="s">
        <v>21</v>
      </c>
    </row>
    <row r="42229" spans="1:5" x14ac:dyDescent="0.25">
      <c r="A42229" t="str">
        <f>HYPERLINK("https://www.773grp.com/globalSearch/MC100LVEL17DWG/page-1", "MC100LVEL17DWG")</f>
        <v>MC100LVEL17DWG</v>
      </c>
      <c r="B42229" s="3" t="s">
        <v>95</v>
      </c>
      <c r="C42229" s="6">
        <v>5366</v>
      </c>
      <c r="D42229" s="7">
        <v>7.73</v>
      </c>
      <c r="E42229" t="s">
        <v>21</v>
      </c>
    </row>
    <row r="42230" spans="1:5" x14ac:dyDescent="0.25">
      <c r="A42230" t="str">
        <f>HYPERLINK("https://www.773grp.com/globalSearch/MC100LVEL37DW/page-1", "MC100LVEL37DW")</f>
        <v>MC100LVEL37DW</v>
      </c>
      <c r="B42230" s="3" t="s">
        <v>95</v>
      </c>
      <c r="C42230" s="6">
        <v>3545</v>
      </c>
      <c r="D42230" s="7">
        <v>7.73</v>
      </c>
      <c r="E42230" t="s">
        <v>34</v>
      </c>
    </row>
    <row r="42231" spans="1:5" x14ac:dyDescent="0.25">
      <c r="A42231" t="str">
        <f>HYPERLINK("https://www.773grp.com/globalSearch/MC100LVEL37DWR2/page-1", "MC100LVEL37DWR2")</f>
        <v>MC100LVEL37DWR2</v>
      </c>
      <c r="B42231" s="3" t="s">
        <v>95</v>
      </c>
      <c r="C42231" s="6">
        <v>1000</v>
      </c>
      <c r="D42231" s="7">
        <v>7.73</v>
      </c>
      <c r="E42231" t="s">
        <v>34</v>
      </c>
    </row>
    <row r="42232" spans="1:5" x14ac:dyDescent="0.25">
      <c r="A42232" t="str">
        <f>HYPERLINK("https://www.773grp.com/globalSearch/MC10E116FN/page-1", "MC10E116FN")</f>
        <v>MC10E116FN</v>
      </c>
      <c r="B42232" s="3" t="s">
        <v>95</v>
      </c>
      <c r="C42232" s="6">
        <v>1427</v>
      </c>
      <c r="D42232" s="7">
        <v>7.73</v>
      </c>
      <c r="E42232" t="s">
        <v>21</v>
      </c>
    </row>
    <row r="42233" spans="1:5" x14ac:dyDescent="0.25">
      <c r="A42233" t="str">
        <f>HYPERLINK("https://www.773grp.com/globalSearch/MC10E122FNR2/page-1", "MC10E122FNR2")</f>
        <v>MC10E122FNR2</v>
      </c>
      <c r="B42233" s="3" t="s">
        <v>95</v>
      </c>
      <c r="C42233" s="6">
        <v>500</v>
      </c>
      <c r="D42233" s="7">
        <v>7.73</v>
      </c>
      <c r="E42233" t="s">
        <v>31</v>
      </c>
    </row>
    <row r="42234" spans="1:5" x14ac:dyDescent="0.25">
      <c r="A42234" t="str">
        <f>HYPERLINK("https://www.773grp.com/globalSearch/MC10E131FN/page-1", "MC10E131FN")</f>
        <v>MC10E131FN</v>
      </c>
      <c r="B42234" s="3" t="s">
        <v>95</v>
      </c>
      <c r="C42234" s="6">
        <v>1720</v>
      </c>
      <c r="D42234" s="7">
        <v>7.73</v>
      </c>
      <c r="E42234" t="s">
        <v>35</v>
      </c>
    </row>
    <row r="42235" spans="1:5" x14ac:dyDescent="0.25">
      <c r="A42235" t="str">
        <f>HYPERLINK("https://www.773grp.com/globalSearch/MC10E131FNR2/page-1", "MC10E131FNR2")</f>
        <v>MC10E131FNR2</v>
      </c>
      <c r="B42235" s="3" t="s">
        <v>95</v>
      </c>
      <c r="C42235" s="6">
        <v>16200</v>
      </c>
      <c r="D42235" s="7">
        <v>7.73</v>
      </c>
      <c r="E42235" t="s">
        <v>35</v>
      </c>
    </row>
    <row r="42236" spans="1:5" x14ac:dyDescent="0.25">
      <c r="A42236" t="str">
        <f>HYPERLINK("https://www.773grp.com/globalSearch/MC10E136FN/page-1", "MC10E136FN")</f>
        <v>MC10E136FN</v>
      </c>
      <c r="B42236" s="3" t="s">
        <v>95</v>
      </c>
      <c r="C42236" s="6">
        <v>148</v>
      </c>
      <c r="D42236" s="7">
        <v>7.73</v>
      </c>
      <c r="E42236" t="s">
        <v>26</v>
      </c>
    </row>
    <row r="42237" spans="1:5" x14ac:dyDescent="0.25">
      <c r="A42237" t="str">
        <f>HYPERLINK("https://www.773grp.com/globalSearch/MC10E136FNR2/page-1", "MC10E136FNR2")</f>
        <v>MC10E136FNR2</v>
      </c>
      <c r="B42237" s="3" t="s">
        <v>95</v>
      </c>
      <c r="C42237" s="6">
        <v>500</v>
      </c>
      <c r="D42237" s="7">
        <v>7.73</v>
      </c>
      <c r="E42237" t="s">
        <v>26</v>
      </c>
    </row>
    <row r="42238" spans="1:5" x14ac:dyDescent="0.25">
      <c r="A42238" t="str">
        <f>HYPERLINK("https://www.773grp.com/globalSearch/MC10E141FN/page-1", "MC10E141FN")</f>
        <v>MC10E141FN</v>
      </c>
      <c r="B42238" s="3" t="s">
        <v>95</v>
      </c>
      <c r="C42238" s="6">
        <v>1544</v>
      </c>
      <c r="D42238" s="7">
        <v>7.73</v>
      </c>
      <c r="E42238" t="s">
        <v>32</v>
      </c>
    </row>
    <row r="42239" spans="1:5" x14ac:dyDescent="0.25">
      <c r="A42239" t="str">
        <f>HYPERLINK("https://www.773grp.com/globalSearch/MC10E142FN/page-1", "MC10E142FN")</f>
        <v>MC10E142FN</v>
      </c>
      <c r="B42239" s="3" t="s">
        <v>95</v>
      </c>
      <c r="C42239" s="6">
        <v>5514</v>
      </c>
      <c r="D42239" s="7">
        <v>7.73</v>
      </c>
      <c r="E42239" t="s">
        <v>32</v>
      </c>
    </row>
    <row r="42240" spans="1:5" x14ac:dyDescent="0.25">
      <c r="A42240" t="str">
        <f>HYPERLINK("https://www.773grp.com/globalSearch/MC10E142FNR2/page-1", "MC10E142FNR2")</f>
        <v>MC10E142FNR2</v>
      </c>
      <c r="B42240" s="3" t="s">
        <v>95</v>
      </c>
      <c r="C42240" s="6">
        <v>500</v>
      </c>
      <c r="D42240" s="7">
        <v>7.73</v>
      </c>
      <c r="E42240" t="s">
        <v>32</v>
      </c>
    </row>
    <row r="42241" spans="1:5" x14ac:dyDescent="0.25">
      <c r="A42241" t="str">
        <f>HYPERLINK("https://www.773grp.com/globalSearch/MC10E143FN/page-1", "MC10E143FN")</f>
        <v>MC10E143FN</v>
      </c>
      <c r="B42241" s="3" t="s">
        <v>95</v>
      </c>
      <c r="C42241" s="6">
        <v>3921</v>
      </c>
      <c r="D42241" s="7">
        <v>7.73</v>
      </c>
      <c r="E42241" t="s">
        <v>35</v>
      </c>
    </row>
    <row r="42242" spans="1:5" x14ac:dyDescent="0.25">
      <c r="A42242" t="str">
        <f>HYPERLINK("https://www.773grp.com/globalSearch/MC10E143FNR2/page-1", "MC10E143FNR2")</f>
        <v>MC10E143FNR2</v>
      </c>
      <c r="B42242" s="3" t="s">
        <v>95</v>
      </c>
      <c r="C42242" s="6">
        <v>7500</v>
      </c>
      <c r="D42242" s="7">
        <v>7.73</v>
      </c>
      <c r="E42242" t="s">
        <v>35</v>
      </c>
    </row>
    <row r="42243" spans="1:5" x14ac:dyDescent="0.25">
      <c r="A42243" t="str">
        <f>HYPERLINK("https://www.773grp.com/globalSearch/MC10E151FNR2/page-1", "MC10E151FNR2")</f>
        <v>MC10E151FNR2</v>
      </c>
      <c r="B42243" s="3" t="s">
        <v>95</v>
      </c>
      <c r="C42243" s="6">
        <v>4010</v>
      </c>
      <c r="D42243" s="7">
        <v>7.73</v>
      </c>
      <c r="E42243" t="s">
        <v>35</v>
      </c>
    </row>
    <row r="42244" spans="1:5" x14ac:dyDescent="0.25">
      <c r="A42244" t="str">
        <f>HYPERLINK("https://www.773grp.com/globalSearch/MC10E154FN/page-1", "MC10E154FN")</f>
        <v>MC10E154FN</v>
      </c>
      <c r="B42244" s="3" t="s">
        <v>95</v>
      </c>
      <c r="C42244" s="6">
        <v>222</v>
      </c>
      <c r="D42244" s="7">
        <v>7.73</v>
      </c>
      <c r="E42244" t="s">
        <v>35</v>
      </c>
    </row>
    <row r="42245" spans="1:5" x14ac:dyDescent="0.25">
      <c r="A42245" t="str">
        <f>HYPERLINK("https://www.773grp.com/globalSearch/MC10E156FN/page-1", "MC10E156FN")</f>
        <v>MC10E156FN</v>
      </c>
      <c r="B42245" s="3" t="s">
        <v>95</v>
      </c>
      <c r="C42245" s="6">
        <v>5789</v>
      </c>
      <c r="D42245" s="7">
        <v>7.73</v>
      </c>
      <c r="E42245" t="s">
        <v>35</v>
      </c>
    </row>
    <row r="42246" spans="1:5" x14ac:dyDescent="0.25">
      <c r="A42246" t="str">
        <f>HYPERLINK("https://www.773grp.com/globalSearch/MC10E156FNR2/page-1", "MC10E156FNR2")</f>
        <v>MC10E156FNR2</v>
      </c>
      <c r="B42246" s="3" t="s">
        <v>95</v>
      </c>
      <c r="C42246" s="6">
        <v>500</v>
      </c>
      <c r="D42246" s="7">
        <v>7.73</v>
      </c>
      <c r="E42246" t="s">
        <v>35</v>
      </c>
    </row>
    <row r="42247" spans="1:5" x14ac:dyDescent="0.25">
      <c r="A42247" t="str">
        <f>HYPERLINK("https://www.773grp.com/globalSearch/MC10E157FNR2/page-1", "MC10E157FNR2")</f>
        <v>MC10E157FNR2</v>
      </c>
      <c r="B42247" s="3" t="s">
        <v>95</v>
      </c>
      <c r="C42247" s="6">
        <v>500</v>
      </c>
      <c r="D42247" s="7">
        <v>7.73</v>
      </c>
      <c r="E42247" t="s">
        <v>20</v>
      </c>
    </row>
    <row r="42248" spans="1:5" x14ac:dyDescent="0.25">
      <c r="A42248" t="str">
        <f>HYPERLINK("https://www.773grp.com/globalSearch/MC10E157FNR2G/page-1", "MC10E157FNR2G")</f>
        <v>MC10E157FNR2G</v>
      </c>
      <c r="B42248" s="3" t="s">
        <v>95</v>
      </c>
      <c r="C42248" s="6">
        <v>1000</v>
      </c>
      <c r="D42248" s="7">
        <v>7.73</v>
      </c>
      <c r="E42248" t="s">
        <v>20</v>
      </c>
    </row>
    <row r="42249" spans="1:5" x14ac:dyDescent="0.25">
      <c r="A42249" t="str">
        <f>HYPERLINK("https://www.773grp.com/globalSearch/MC10E158FN/page-1", "MC10E158FN")</f>
        <v>MC10E158FN</v>
      </c>
      <c r="B42249" s="3" t="s">
        <v>95</v>
      </c>
      <c r="C42249" s="6">
        <v>3663</v>
      </c>
      <c r="D42249" s="7">
        <v>7.73</v>
      </c>
      <c r="E42249" t="s">
        <v>20</v>
      </c>
    </row>
    <row r="42250" spans="1:5" x14ac:dyDescent="0.25">
      <c r="A42250" t="str">
        <f>HYPERLINK("https://www.773grp.com/globalSearch/MC10E163FNG/page-1", "MC10E163FNG")</f>
        <v>MC10E163FNG</v>
      </c>
      <c r="B42250" s="3" t="s">
        <v>95</v>
      </c>
      <c r="C42250" s="6">
        <v>1275</v>
      </c>
      <c r="D42250" s="7">
        <v>7.73</v>
      </c>
      <c r="E42250" t="s">
        <v>20</v>
      </c>
    </row>
    <row r="42251" spans="1:5" x14ac:dyDescent="0.25">
      <c r="A42251" t="str">
        <f>HYPERLINK("https://www.773grp.com/globalSearch/MC10E164FNR2/page-1", "MC10E164FNR2")</f>
        <v>MC10E164FNR2</v>
      </c>
      <c r="B42251" s="3" t="s">
        <v>95</v>
      </c>
      <c r="C42251" s="6">
        <v>5425</v>
      </c>
      <c r="D42251" s="7">
        <v>7.73</v>
      </c>
      <c r="E42251" t="s">
        <v>20</v>
      </c>
    </row>
    <row r="42252" spans="1:5" x14ac:dyDescent="0.25">
      <c r="A42252" t="str">
        <f>HYPERLINK("https://www.773grp.com/globalSearch/MC10E166FN/page-1", "MC10E166FN")</f>
        <v>MC10E166FN</v>
      </c>
      <c r="B42252" s="3" t="s">
        <v>95</v>
      </c>
      <c r="C42252" s="6">
        <v>2098</v>
      </c>
      <c r="D42252" s="7">
        <v>7.73</v>
      </c>
      <c r="E42252" t="s">
        <v>43</v>
      </c>
    </row>
    <row r="42253" spans="1:5" x14ac:dyDescent="0.25">
      <c r="A42253" t="str">
        <f>HYPERLINK("https://www.773grp.com/globalSearch/MC10E167FN/page-1", "MC10E167FN")</f>
        <v>MC10E167FN</v>
      </c>
      <c r="B42253" s="3" t="s">
        <v>95</v>
      </c>
      <c r="C42253" s="6">
        <v>3139</v>
      </c>
      <c r="D42253" s="7">
        <v>7.73</v>
      </c>
      <c r="E42253" t="s">
        <v>35</v>
      </c>
    </row>
    <row r="42254" spans="1:5" x14ac:dyDescent="0.25">
      <c r="A42254" t="str">
        <f>HYPERLINK("https://www.773grp.com/globalSearch/MC10E171FN/page-1", "MC10E171FN")</f>
        <v>MC10E171FN</v>
      </c>
      <c r="B42254" s="3" t="s">
        <v>95</v>
      </c>
      <c r="C42254" s="6">
        <v>335</v>
      </c>
      <c r="D42254" s="7">
        <v>7.73</v>
      </c>
      <c r="E42254" t="s">
        <v>20</v>
      </c>
    </row>
    <row r="42255" spans="1:5" x14ac:dyDescent="0.25">
      <c r="A42255" t="str">
        <f>HYPERLINK("https://www.773grp.com/globalSearch/MC10E171FNR2/page-1", "MC10E171FNR2")</f>
        <v>MC10E171FNR2</v>
      </c>
      <c r="B42255" s="3" t="s">
        <v>95</v>
      </c>
      <c r="C42255" s="6">
        <v>1500</v>
      </c>
      <c r="D42255" s="7">
        <v>7.73</v>
      </c>
      <c r="E42255" t="s">
        <v>20</v>
      </c>
    </row>
    <row r="42256" spans="1:5" x14ac:dyDescent="0.25">
      <c r="A42256" t="str">
        <f>HYPERLINK("https://www.773grp.com/globalSearch/MC10E175FN/page-1", "MC10E175FN")</f>
        <v>MC10E175FN</v>
      </c>
      <c r="B42256" s="3" t="s">
        <v>95</v>
      </c>
      <c r="C42256" s="6">
        <v>344</v>
      </c>
      <c r="D42256" s="7">
        <v>7.73</v>
      </c>
      <c r="E42256" t="s">
        <v>35</v>
      </c>
    </row>
    <row r="42257" spans="1:5" x14ac:dyDescent="0.25">
      <c r="A42257" t="str">
        <f>HYPERLINK("https://www.773grp.com/globalSearch/MC10E195FN/page-1", "MC10E195FN")</f>
        <v>MC10E195FN</v>
      </c>
      <c r="B42257" s="3" t="s">
        <v>95</v>
      </c>
      <c r="C42257" s="6">
        <v>152</v>
      </c>
      <c r="D42257" s="7">
        <v>7.73</v>
      </c>
      <c r="E42257" t="s">
        <v>119</v>
      </c>
    </row>
    <row r="42258" spans="1:5" x14ac:dyDescent="0.25">
      <c r="A42258" t="str">
        <f>HYPERLINK("https://www.773grp.com/globalSearch/MC10E195FNR2/page-1", "MC10E195FNR2")</f>
        <v>MC10E195FNR2</v>
      </c>
      <c r="B42258" s="3" t="s">
        <v>95</v>
      </c>
      <c r="C42258" s="6">
        <v>1500</v>
      </c>
      <c r="D42258" s="7">
        <v>7.73</v>
      </c>
      <c r="E42258" t="s">
        <v>119</v>
      </c>
    </row>
    <row r="42259" spans="1:5" x14ac:dyDescent="0.25">
      <c r="A42259" t="str">
        <f>HYPERLINK("https://www.773grp.com/globalSearch/MC10E196FN/page-1", "MC10E196FN")</f>
        <v>MC10E196FN</v>
      </c>
      <c r="B42259" s="3" t="s">
        <v>95</v>
      </c>
      <c r="C42259" s="6">
        <v>36</v>
      </c>
      <c r="D42259" s="7">
        <v>7.73</v>
      </c>
      <c r="E42259" t="s">
        <v>119</v>
      </c>
    </row>
    <row r="42260" spans="1:5" x14ac:dyDescent="0.25">
      <c r="A42260" t="str">
        <f>HYPERLINK("https://www.773grp.com/globalSearch/MC10E196FNR2/page-1", "MC10E196FNR2")</f>
        <v>MC10E196FNR2</v>
      </c>
      <c r="B42260" s="3" t="s">
        <v>95</v>
      </c>
      <c r="C42260" s="6">
        <v>500</v>
      </c>
      <c r="D42260" s="7">
        <v>7.73</v>
      </c>
      <c r="E42260" t="s">
        <v>119</v>
      </c>
    </row>
    <row r="42261" spans="1:5" x14ac:dyDescent="0.25">
      <c r="A42261" t="str">
        <f>HYPERLINK("https://www.773grp.com/globalSearch/MC10E197FN/page-1", "MC10E197FN")</f>
        <v>MC10E197FN</v>
      </c>
      <c r="B42261" s="3" t="s">
        <v>95</v>
      </c>
      <c r="C42261" s="6">
        <v>56</v>
      </c>
      <c r="D42261" s="7">
        <v>7.73</v>
      </c>
      <c r="E42261" t="s">
        <v>77</v>
      </c>
    </row>
    <row r="42262" spans="1:5" x14ac:dyDescent="0.25">
      <c r="A42262" t="str">
        <f>HYPERLINK("https://www.773grp.com/globalSearch/MC10E404FN/page-1", "MC10E404FN")</f>
        <v>MC10E404FN</v>
      </c>
      <c r="B42262" s="3" t="s">
        <v>95</v>
      </c>
      <c r="C42262" s="6">
        <v>1681</v>
      </c>
      <c r="D42262" s="7">
        <v>7.73</v>
      </c>
      <c r="E42262" t="s">
        <v>31</v>
      </c>
    </row>
    <row r="42263" spans="1:5" x14ac:dyDescent="0.25">
      <c r="A42263" t="str">
        <f>HYPERLINK("https://www.773grp.com/globalSearch/MC10E416FN/page-1", "MC10E416FN")</f>
        <v>MC10E416FN</v>
      </c>
      <c r="B42263" s="3" t="s">
        <v>95</v>
      </c>
      <c r="C42263" s="6">
        <v>1468</v>
      </c>
      <c r="D42263" s="7">
        <v>7.73</v>
      </c>
      <c r="E42263" t="s">
        <v>21</v>
      </c>
    </row>
    <row r="42264" spans="1:5" x14ac:dyDescent="0.25">
      <c r="A42264" t="str">
        <f>HYPERLINK("https://www.773grp.com/globalSearch/MC10E416FNR2/page-1", "MC10E416FNR2")</f>
        <v>MC10E416FNR2</v>
      </c>
      <c r="B42264" s="3" t="s">
        <v>95</v>
      </c>
      <c r="C42264" s="6">
        <v>2000</v>
      </c>
      <c r="D42264" s="7">
        <v>7.73</v>
      </c>
      <c r="E42264" t="s">
        <v>21</v>
      </c>
    </row>
    <row r="42265" spans="1:5" x14ac:dyDescent="0.25">
      <c r="A42265" t="str">
        <f>HYPERLINK("https://www.773grp.com/globalSearch/MC10E431FNR2/page-1", "MC10E431FNR2")</f>
        <v>MC10E431FNR2</v>
      </c>
      <c r="B42265" s="3" t="s">
        <v>95</v>
      </c>
      <c r="C42265" s="6">
        <v>1000</v>
      </c>
      <c r="D42265" s="7">
        <v>7.73</v>
      </c>
      <c r="E42265" t="s">
        <v>35</v>
      </c>
    </row>
    <row r="42266" spans="1:5" x14ac:dyDescent="0.25">
      <c r="A42266" t="str">
        <f>HYPERLINK("https://www.773grp.com/globalSearch/MC10E446FN/page-1", "MC10E446FN")</f>
        <v>MC10E446FN</v>
      </c>
      <c r="B42266" s="3" t="s">
        <v>95</v>
      </c>
      <c r="C42266" s="6">
        <v>370</v>
      </c>
      <c r="D42266" s="7">
        <v>7.73</v>
      </c>
      <c r="E42266" t="s">
        <v>32</v>
      </c>
    </row>
    <row r="42267" spans="1:5" x14ac:dyDescent="0.25">
      <c r="A42267" t="str">
        <f>HYPERLINK("https://www.773grp.com/globalSearch/MC10E446FNR2/page-1", "MC10E446FNR2")</f>
        <v>MC10E446FNR2</v>
      </c>
      <c r="B42267" s="3" t="s">
        <v>95</v>
      </c>
      <c r="C42267" s="6">
        <v>1000</v>
      </c>
      <c r="D42267" s="7">
        <v>7.73</v>
      </c>
      <c r="E42267" t="s">
        <v>32</v>
      </c>
    </row>
    <row r="42268" spans="1:5" x14ac:dyDescent="0.25">
      <c r="A42268" t="str">
        <f>HYPERLINK("https://www.773grp.com/globalSearch/MC10E451FN/page-1", "MC10E451FN")</f>
        <v>MC10E451FN</v>
      </c>
      <c r="B42268" s="3" t="s">
        <v>95</v>
      </c>
      <c r="C42268" s="6">
        <v>1235</v>
      </c>
      <c r="D42268" s="7">
        <v>7.73</v>
      </c>
      <c r="E42268" t="s">
        <v>35</v>
      </c>
    </row>
    <row r="42269" spans="1:5" x14ac:dyDescent="0.25">
      <c r="A42269" t="str">
        <f>HYPERLINK("https://www.773grp.com/globalSearch/MC10E452FN/page-1", "MC10E452FN")</f>
        <v>MC10E452FN</v>
      </c>
      <c r="B42269" s="3" t="s">
        <v>95</v>
      </c>
      <c r="C42269" s="6">
        <v>3613</v>
      </c>
      <c r="D42269" s="7">
        <v>7.73</v>
      </c>
      <c r="E42269" t="s">
        <v>35</v>
      </c>
    </row>
    <row r="42270" spans="1:5" x14ac:dyDescent="0.25">
      <c r="A42270" t="str">
        <f>HYPERLINK("https://www.773grp.com/globalSearch/MC10E452FNR2/page-1", "MC10E452FNR2")</f>
        <v>MC10E452FNR2</v>
      </c>
      <c r="B42270" s="3" t="s">
        <v>95</v>
      </c>
      <c r="C42270" s="6">
        <v>10000</v>
      </c>
      <c r="D42270" s="7">
        <v>7.73</v>
      </c>
      <c r="E42270" t="s">
        <v>35</v>
      </c>
    </row>
    <row r="42271" spans="1:5" x14ac:dyDescent="0.25">
      <c r="A42271" t="str">
        <f>HYPERLINK("https://www.773grp.com/globalSearch/MC10E457FN/page-1", "MC10E457FN")</f>
        <v>MC10E457FN</v>
      </c>
      <c r="B42271" s="3" t="s">
        <v>95</v>
      </c>
      <c r="C42271" s="6">
        <v>4292</v>
      </c>
      <c r="D42271" s="7">
        <v>7.73</v>
      </c>
      <c r="E42271" t="s">
        <v>20</v>
      </c>
    </row>
    <row r="42272" spans="1:5" x14ac:dyDescent="0.25">
      <c r="A42272" t="str">
        <f>HYPERLINK("https://www.773grp.com/globalSearch/MC10E457FNG/page-1", "MC10E457FNG")</f>
        <v>MC10E457FNG</v>
      </c>
      <c r="B42272" s="3" t="s">
        <v>95</v>
      </c>
      <c r="C42272" s="6">
        <v>1790</v>
      </c>
      <c r="D42272" s="7">
        <v>7.73</v>
      </c>
      <c r="E42272" t="s">
        <v>20</v>
      </c>
    </row>
    <row r="42273" spans="1:5" x14ac:dyDescent="0.25">
      <c r="A42273" t="str">
        <f>HYPERLINK("https://www.773grp.com/globalSearch/MC10E457FNR2/page-1", "MC10E457FNR2")</f>
        <v>MC10E457FNR2</v>
      </c>
      <c r="B42273" s="3" t="s">
        <v>95</v>
      </c>
      <c r="C42273" s="6">
        <v>1000</v>
      </c>
      <c r="D42273" s="7">
        <v>7.73</v>
      </c>
      <c r="E42273" t="s">
        <v>20</v>
      </c>
    </row>
    <row r="42274" spans="1:5" x14ac:dyDescent="0.25">
      <c r="A42274" t="str">
        <f>HYPERLINK("https://www.773grp.com/globalSearch/MC10EL31DR2/page-1", "MC10EL31DR2")</f>
        <v>MC10EL31DR2</v>
      </c>
      <c r="B42274" s="3" t="s">
        <v>95</v>
      </c>
      <c r="C42274" s="6">
        <v>8861</v>
      </c>
      <c r="D42274" s="7">
        <v>7.73</v>
      </c>
      <c r="E42274" t="s">
        <v>35</v>
      </c>
    </row>
    <row r="42275" spans="1:5" x14ac:dyDescent="0.25">
      <c r="A42275" t="str">
        <f>HYPERLINK("https://www.773grp.com/globalSearch/MC10EL89DG/page-1", "MC10EL89DG")</f>
        <v>MC10EL89DG</v>
      </c>
      <c r="B42275" s="3" t="s">
        <v>95</v>
      </c>
      <c r="C42275" s="6">
        <v>1539</v>
      </c>
      <c r="D42275" s="7">
        <v>7.73</v>
      </c>
      <c r="E42275" t="s">
        <v>21</v>
      </c>
    </row>
    <row r="42276" spans="1:5" x14ac:dyDescent="0.25">
      <c r="A42276" t="str">
        <f>HYPERLINK("https://www.773grp.com/globalSearch/MC10EL89DR2G/page-1", "MC10EL89DR2G")</f>
        <v>MC10EL89DR2G</v>
      </c>
      <c r="B42276" s="3" t="s">
        <v>95</v>
      </c>
      <c r="C42276" s="6">
        <v>9000</v>
      </c>
      <c r="D42276" s="7">
        <v>7.73</v>
      </c>
      <c r="E42276" t="s">
        <v>21</v>
      </c>
    </row>
    <row r="42277" spans="1:5" x14ac:dyDescent="0.25">
      <c r="A42277" t="str">
        <f>HYPERLINK("https://www.773grp.com/globalSearch/MC10EL89DTG/page-1", "MC10EL89DTG")</f>
        <v>MC10EL89DTG</v>
      </c>
      <c r="B42277" s="3" t="s">
        <v>95</v>
      </c>
      <c r="C42277" s="6">
        <v>7240</v>
      </c>
      <c r="D42277" s="7">
        <v>7.73</v>
      </c>
      <c r="E42277" t="s">
        <v>21</v>
      </c>
    </row>
    <row r="42278" spans="1:5" x14ac:dyDescent="0.25">
      <c r="A42278" t="str">
        <f>HYPERLINK("https://www.773grp.com/globalSearch/MC10EL89DTR2G/page-1", "MC10EL89DTR2G")</f>
        <v>MC10EL89DTR2G</v>
      </c>
      <c r="B42278" s="3" t="s">
        <v>95</v>
      </c>
      <c r="C42278" s="6">
        <v>10000</v>
      </c>
      <c r="D42278" s="7">
        <v>7.73</v>
      </c>
      <c r="E42278" t="s">
        <v>21</v>
      </c>
    </row>
    <row r="42279" spans="1:5" x14ac:dyDescent="0.25">
      <c r="A42279" t="str">
        <f>HYPERLINK("https://www.773grp.com/globalSearch/MC10H179L/page-1", "MC10H179L")</f>
        <v>MC10H179L</v>
      </c>
      <c r="B42279" s="3" t="s">
        <v>95</v>
      </c>
      <c r="C42279" s="6">
        <v>475</v>
      </c>
      <c r="D42279" s="7">
        <v>7.73</v>
      </c>
      <c r="E42279" t="s">
        <v>43</v>
      </c>
    </row>
    <row r="42280" spans="1:5" x14ac:dyDescent="0.25">
      <c r="A42280" t="str">
        <f>HYPERLINK("https://www.773grp.com/globalSearch/NB4N7132DTG/page-1", "NB4N7132DTG")</f>
        <v>NB4N7132DTG</v>
      </c>
      <c r="B42280" s="3" t="s">
        <v>95</v>
      </c>
      <c r="C42280" s="6">
        <v>934</v>
      </c>
      <c r="D42280" s="7">
        <v>7.73</v>
      </c>
      <c r="E42280" t="s">
        <v>55</v>
      </c>
    </row>
    <row r="42281" spans="1:5" x14ac:dyDescent="0.25">
      <c r="A42281" t="str">
        <f>HYPERLINK("https://www.773grp.com/globalSearch/NB4N7132DTR2G/page-1", "NB4N7132DTR2G")</f>
        <v>NB4N7132DTR2G</v>
      </c>
      <c r="B42281" s="3" t="s">
        <v>95</v>
      </c>
      <c r="C42281" s="6">
        <v>28221</v>
      </c>
      <c r="D42281" s="7">
        <v>7.73</v>
      </c>
      <c r="E42281" t="s">
        <v>55</v>
      </c>
    </row>
    <row r="42282" spans="1:5" x14ac:dyDescent="0.25">
      <c r="A42282" t="str">
        <f>HYPERLINK("https://www.773grp.com/globalSearch/NB6L611MNG/page-1", "NB6L611MNG")</f>
        <v>NB6L611MNG</v>
      </c>
      <c r="B42282" s="3" t="s">
        <v>95</v>
      </c>
      <c r="C42282" s="6">
        <v>3489</v>
      </c>
      <c r="D42282" s="7">
        <v>7.73</v>
      </c>
      <c r="E42282" t="s">
        <v>34</v>
      </c>
    </row>
    <row r="42283" spans="1:5" x14ac:dyDescent="0.25">
      <c r="A42283" t="str">
        <f>HYPERLINK("https://www.773grp.com/globalSearch/NB6L611MNR2G/page-1", "NB6L611MNR2G")</f>
        <v>NB6L611MNR2G</v>
      </c>
      <c r="B42283" s="3" t="s">
        <v>95</v>
      </c>
      <c r="C42283" s="6">
        <v>8902</v>
      </c>
      <c r="D42283" s="7">
        <v>7.73</v>
      </c>
      <c r="E42283" t="s">
        <v>34</v>
      </c>
    </row>
    <row r="42284" spans="1:5" x14ac:dyDescent="0.25">
      <c r="A42284" t="str">
        <f>HYPERLINK("https://www.773grp.com/globalSearch/MBR4015LWTG/page-1", "MBR4015LWTG")</f>
        <v>MBR4015LWTG</v>
      </c>
      <c r="B42284" s="3" t="s">
        <v>95</v>
      </c>
      <c r="C42284" s="6">
        <v>1145</v>
      </c>
      <c r="D42284" s="7">
        <v>7.76</v>
      </c>
      <c r="E42284" t="s">
        <v>103</v>
      </c>
    </row>
    <row r="42285" spans="1:5" x14ac:dyDescent="0.25">
      <c r="A42285" t="str">
        <f>HYPERLINK("https://www.773grp.com/globalSearch/MBR6045WTG/page-1", "MBR6045WTG")</f>
        <v>MBR6045WTG</v>
      </c>
      <c r="B42285" s="3" t="s">
        <v>95</v>
      </c>
      <c r="C42285" s="6">
        <v>1021</v>
      </c>
      <c r="D42285" s="7">
        <v>7.76</v>
      </c>
      <c r="E42285" t="s">
        <v>103</v>
      </c>
    </row>
    <row r="42286" spans="1:5" x14ac:dyDescent="0.25">
      <c r="A42286" t="str">
        <f>HYPERLINK("https://www.773grp.com/globalSearch/MC10H158FNG/page-1", "MC10H158FNG")</f>
        <v>MC10H158FNG</v>
      </c>
      <c r="B42286" s="3" t="s">
        <v>95</v>
      </c>
      <c r="C42286" s="6">
        <v>2934</v>
      </c>
      <c r="D42286" s="7">
        <v>7.76</v>
      </c>
      <c r="E42286" t="s">
        <v>20</v>
      </c>
    </row>
    <row r="42287" spans="1:5" x14ac:dyDescent="0.25">
      <c r="A42287" t="str">
        <f>HYPERLINK("https://www.773grp.com/globalSearch/MC10H158MELG/page-1", "MC10H158MELG")</f>
        <v>MC10H158MELG</v>
      </c>
      <c r="B42287" s="3" t="s">
        <v>95</v>
      </c>
      <c r="C42287" s="6">
        <v>3259</v>
      </c>
      <c r="D42287" s="7">
        <v>7.76</v>
      </c>
      <c r="E42287" t="s">
        <v>20</v>
      </c>
    </row>
    <row r="42288" spans="1:5" x14ac:dyDescent="0.25">
      <c r="A42288" t="str">
        <f>HYPERLINK("https://www.773grp.com/globalSearch/MC10H158MG/page-1", "MC10H158MG")</f>
        <v>MC10H158MG</v>
      </c>
      <c r="B42288" s="3" t="s">
        <v>95</v>
      </c>
      <c r="C42288" s="6">
        <v>4887</v>
      </c>
      <c r="D42288" s="7">
        <v>7.76</v>
      </c>
      <c r="E42288" t="s">
        <v>20</v>
      </c>
    </row>
    <row r="42289" spans="1:5" x14ac:dyDescent="0.25">
      <c r="A42289" t="str">
        <f>HYPERLINK("https://www.773grp.com/globalSearch/MC10H159MG/page-1", "MC10H159MG")</f>
        <v>MC10H159MG</v>
      </c>
      <c r="B42289" s="3" t="s">
        <v>95</v>
      </c>
      <c r="C42289" s="6">
        <v>3700</v>
      </c>
      <c r="D42289" s="7">
        <v>7.76</v>
      </c>
      <c r="E42289" t="s">
        <v>20</v>
      </c>
    </row>
    <row r="42290" spans="1:5" x14ac:dyDescent="0.25">
      <c r="A42290" t="str">
        <f>HYPERLINK("https://www.773grp.com/globalSearch/MC10H161FNG/page-1", "MC10H161FNG")</f>
        <v>MC10H161FNG</v>
      </c>
      <c r="B42290" s="3" t="s">
        <v>95</v>
      </c>
      <c r="C42290" s="6">
        <v>1714</v>
      </c>
      <c r="D42290" s="7">
        <v>7.76</v>
      </c>
      <c r="E42290" t="s">
        <v>36</v>
      </c>
    </row>
    <row r="42291" spans="1:5" x14ac:dyDescent="0.25">
      <c r="A42291" t="str">
        <f>HYPERLINK("https://www.773grp.com/globalSearch/MC10H161MELG/page-1", "MC10H161MELG")</f>
        <v>MC10H161MELG</v>
      </c>
      <c r="B42291" s="3" t="s">
        <v>95</v>
      </c>
      <c r="C42291" s="6">
        <v>8000</v>
      </c>
      <c r="D42291" s="7">
        <v>7.76</v>
      </c>
      <c r="E42291" t="s">
        <v>36</v>
      </c>
    </row>
    <row r="42292" spans="1:5" x14ac:dyDescent="0.25">
      <c r="A42292" t="str">
        <f>HYPERLINK("https://www.773grp.com/globalSearch/MC10H161MG/page-1", "MC10H161MG")</f>
        <v>MC10H161MG</v>
      </c>
      <c r="B42292" s="3" t="s">
        <v>95</v>
      </c>
      <c r="C42292" s="6">
        <v>1100</v>
      </c>
      <c r="D42292" s="7">
        <v>7.76</v>
      </c>
      <c r="E42292" t="s">
        <v>36</v>
      </c>
    </row>
    <row r="42293" spans="1:5" x14ac:dyDescent="0.25">
      <c r="A42293" t="str">
        <f>HYPERLINK("https://www.773grp.com/globalSearch/MC10H162MELG/page-1", "MC10H162MELG")</f>
        <v>MC10H162MELG</v>
      </c>
      <c r="B42293" s="3" t="s">
        <v>95</v>
      </c>
      <c r="C42293" s="6">
        <v>2000</v>
      </c>
      <c r="D42293" s="7">
        <v>7.76</v>
      </c>
      <c r="E42293" t="s">
        <v>36</v>
      </c>
    </row>
    <row r="42294" spans="1:5" x14ac:dyDescent="0.25">
      <c r="A42294" t="str">
        <f>HYPERLINK("https://www.773grp.com/globalSearch/MC10H164FNG/page-1", "MC10H164FNG")</f>
        <v>MC10H164FNG</v>
      </c>
      <c r="B42294" s="3" t="s">
        <v>95</v>
      </c>
      <c r="C42294" s="6">
        <v>5915</v>
      </c>
      <c r="D42294" s="7">
        <v>7.76</v>
      </c>
      <c r="E42294" t="s">
        <v>20</v>
      </c>
    </row>
    <row r="42295" spans="1:5" x14ac:dyDescent="0.25">
      <c r="A42295" t="str">
        <f>HYPERLINK("https://www.773grp.com/globalSearch/MC10H164FNR2G/page-1", "MC10H164FNR2G")</f>
        <v>MC10H164FNR2G</v>
      </c>
      <c r="B42295" s="3" t="s">
        <v>95</v>
      </c>
      <c r="C42295" s="6">
        <v>2000</v>
      </c>
      <c r="D42295" s="7">
        <v>7.76</v>
      </c>
      <c r="E42295" t="s">
        <v>20</v>
      </c>
    </row>
    <row r="42296" spans="1:5" x14ac:dyDescent="0.25">
      <c r="A42296" t="str">
        <f>HYPERLINK("https://www.773grp.com/globalSearch/MC10H164MG/page-1", "MC10H164MG")</f>
        <v>MC10H164MG</v>
      </c>
      <c r="B42296" s="3" t="s">
        <v>95</v>
      </c>
      <c r="C42296" s="6">
        <v>2800</v>
      </c>
      <c r="D42296" s="7">
        <v>7.76</v>
      </c>
      <c r="E42296" t="s">
        <v>20</v>
      </c>
    </row>
    <row r="42297" spans="1:5" x14ac:dyDescent="0.25">
      <c r="A42297" t="str">
        <f>HYPERLINK("https://www.773grp.com/globalSearch/MC10H174FN/page-1", "MC10H174FN")</f>
        <v>MC10H174FN</v>
      </c>
      <c r="B42297" s="3" t="s">
        <v>95</v>
      </c>
      <c r="C42297" s="6">
        <v>3174</v>
      </c>
      <c r="D42297" s="7">
        <v>7.76</v>
      </c>
      <c r="E42297" t="s">
        <v>20</v>
      </c>
    </row>
    <row r="42298" spans="1:5" x14ac:dyDescent="0.25">
      <c r="A42298" t="str">
        <f>HYPERLINK("https://www.773grp.com/globalSearch/MC10H174FNG/page-1", "MC10H174FNG")</f>
        <v>MC10H174FNG</v>
      </c>
      <c r="B42298" s="3" t="s">
        <v>95</v>
      </c>
      <c r="C42298" s="6">
        <v>5233</v>
      </c>
      <c r="D42298" s="7">
        <v>7.76</v>
      </c>
      <c r="E42298" t="s">
        <v>20</v>
      </c>
    </row>
    <row r="42299" spans="1:5" x14ac:dyDescent="0.25">
      <c r="A42299" t="str">
        <f>HYPERLINK("https://www.773grp.com/globalSearch/MC10H174MG/page-1", "MC10H174MG")</f>
        <v>MC10H174MG</v>
      </c>
      <c r="B42299" s="3" t="s">
        <v>95</v>
      </c>
      <c r="C42299" s="6">
        <v>4750</v>
      </c>
      <c r="D42299" s="7">
        <v>7.76</v>
      </c>
      <c r="E42299" t="s">
        <v>20</v>
      </c>
    </row>
    <row r="42300" spans="1:5" x14ac:dyDescent="0.25">
      <c r="A42300" t="str">
        <f>HYPERLINK("https://www.773grp.com/globalSearch/CAT28C16AXI20/page-1", "CAT28C16AXI20")</f>
        <v>CAT28C16AXI20</v>
      </c>
      <c r="B42300" s="3" t="s">
        <v>95</v>
      </c>
      <c r="C42300" s="6">
        <v>1</v>
      </c>
      <c r="D42300" s="7">
        <v>7.8</v>
      </c>
      <c r="E42300" t="s">
        <v>64</v>
      </c>
    </row>
    <row r="42301" spans="1:5" x14ac:dyDescent="0.25">
      <c r="A42301" t="str">
        <f>HYPERLINK("https://www.773grp.com/globalSearch/LV47009P-E/page-1", "LV47009P-E")</f>
        <v>LV47009P-E</v>
      </c>
      <c r="B42301" s="3" t="s">
        <v>95</v>
      </c>
      <c r="C42301" s="6">
        <v>120</v>
      </c>
      <c r="D42301" s="7">
        <v>7.81</v>
      </c>
    </row>
    <row r="42302" spans="1:5" x14ac:dyDescent="0.25">
      <c r="A42302" t="str">
        <f>HYPERLINK("https://www.773grp.com/globalSearch/MC10H188FN/page-1", "MC10H188FN")</f>
        <v>MC10H188FN</v>
      </c>
      <c r="B42302" s="3" t="s">
        <v>95</v>
      </c>
      <c r="C42302" s="6">
        <v>4053</v>
      </c>
      <c r="D42302" s="7">
        <v>7.81</v>
      </c>
      <c r="E42302" t="s">
        <v>31</v>
      </c>
    </row>
    <row r="42303" spans="1:5" x14ac:dyDescent="0.25">
      <c r="A42303" t="str">
        <f>HYPERLINK("https://www.773grp.com/globalSearch/MC10H188FNR2/page-1", "MC10H188FNR2")</f>
        <v>MC10H188FNR2</v>
      </c>
      <c r="B42303" s="3" t="s">
        <v>95</v>
      </c>
      <c r="C42303" s="6">
        <v>6500</v>
      </c>
      <c r="D42303" s="7">
        <v>7.81</v>
      </c>
      <c r="E42303" t="s">
        <v>31</v>
      </c>
    </row>
    <row r="42304" spans="1:5" x14ac:dyDescent="0.25">
      <c r="A42304" t="str">
        <f>HYPERLINK("https://www.773grp.com/globalSearch/MC10H188MEL/page-1", "MC10H188MEL")</f>
        <v>MC10H188MEL</v>
      </c>
      <c r="B42304" s="3" t="s">
        <v>95</v>
      </c>
      <c r="C42304" s="6">
        <v>2000</v>
      </c>
      <c r="D42304" s="7">
        <v>7.81</v>
      </c>
      <c r="E42304" t="s">
        <v>31</v>
      </c>
    </row>
    <row r="42305" spans="1:5" x14ac:dyDescent="0.25">
      <c r="A42305" t="str">
        <f>HYPERLINK("https://www.773grp.com/globalSearch/MC10H189FN/page-1", "MC10H189FN")</f>
        <v>MC10H189FN</v>
      </c>
      <c r="B42305" s="3" t="s">
        <v>95</v>
      </c>
      <c r="C42305" s="6">
        <v>3914</v>
      </c>
      <c r="D42305" s="7">
        <v>7.81</v>
      </c>
      <c r="E42305" t="s">
        <v>31</v>
      </c>
    </row>
    <row r="42306" spans="1:5" x14ac:dyDescent="0.25">
      <c r="A42306" t="str">
        <f>HYPERLINK("https://www.773grp.com/globalSearch/MC10H189M/page-1", "MC10H189M")</f>
        <v>MC10H189M</v>
      </c>
      <c r="B42306" s="3" t="s">
        <v>95</v>
      </c>
      <c r="C42306" s="6">
        <v>1250</v>
      </c>
      <c r="D42306" s="7">
        <v>7.81</v>
      </c>
      <c r="E42306" t="s">
        <v>31</v>
      </c>
    </row>
    <row r="42307" spans="1:5" x14ac:dyDescent="0.25">
      <c r="A42307" t="str">
        <f>HYPERLINK("https://www.773grp.com/globalSearch/MC14598BCPG/page-1", "MC14598BCPG")</f>
        <v>MC14598BCPG</v>
      </c>
      <c r="B42307" s="3" t="s">
        <v>95</v>
      </c>
      <c r="C42307" s="6">
        <v>2915</v>
      </c>
      <c r="D42307" s="7">
        <v>7.81</v>
      </c>
      <c r="E42307" t="s">
        <v>35</v>
      </c>
    </row>
    <row r="42308" spans="1:5" x14ac:dyDescent="0.25">
      <c r="A42308" t="str">
        <f>HYPERLINK("https://www.773grp.com/globalSearch/LV49157V-MPB-H/page-1", "LV49157V-MPB-H")</f>
        <v>LV49157V-MPB-H</v>
      </c>
      <c r="B42308" s="3" t="s">
        <v>95</v>
      </c>
      <c r="C42308" s="6">
        <v>120</v>
      </c>
      <c r="D42308" s="7">
        <v>7.85</v>
      </c>
    </row>
    <row r="42309" spans="1:5" x14ac:dyDescent="0.25">
      <c r="A42309" t="str">
        <f>HYPERLINK("https://www.773grp.com/globalSearch/MC10H124P/page-1", "MC10H124P")</f>
        <v>MC10H124P</v>
      </c>
      <c r="B42309" s="3" t="s">
        <v>95</v>
      </c>
      <c r="C42309" s="6">
        <v>1750</v>
      </c>
      <c r="D42309" s="7">
        <v>7.85</v>
      </c>
    </row>
    <row r="42310" spans="1:5" x14ac:dyDescent="0.25">
      <c r="A42310" t="str">
        <f>HYPERLINK("https://www.773grp.com/globalSearch/MC10H124PG/page-1", "MC10H124PG")</f>
        <v>MC10H124PG</v>
      </c>
      <c r="B42310" s="3" t="s">
        <v>95</v>
      </c>
      <c r="C42310" s="6">
        <v>25</v>
      </c>
      <c r="D42310" s="7">
        <v>7.85</v>
      </c>
    </row>
    <row r="42311" spans="1:5" x14ac:dyDescent="0.25">
      <c r="A42311" t="str">
        <f>HYPERLINK("https://www.773grp.com/globalSearch/MC10H125PG/page-1", "MC10H125PG")</f>
        <v>MC10H125PG</v>
      </c>
      <c r="B42311" s="3" t="s">
        <v>95</v>
      </c>
      <c r="C42311" s="6">
        <v>15440</v>
      </c>
      <c r="D42311" s="7">
        <v>7.85</v>
      </c>
      <c r="E42311" t="s">
        <v>73</v>
      </c>
    </row>
    <row r="42312" spans="1:5" x14ac:dyDescent="0.25">
      <c r="A42312" t="str">
        <f>HYPERLINK("https://www.773grp.com/globalSearch/MC10H131PG/page-1", "MC10H131PG")</f>
        <v>MC10H131PG</v>
      </c>
      <c r="B42312" s="3" t="s">
        <v>95</v>
      </c>
      <c r="C42312" s="6">
        <v>4782</v>
      </c>
      <c r="D42312" s="7">
        <v>7.85</v>
      </c>
      <c r="E42312" t="s">
        <v>35</v>
      </c>
    </row>
    <row r="42313" spans="1:5" x14ac:dyDescent="0.25">
      <c r="A42313" t="str">
        <f>HYPERLINK("https://www.773grp.com/globalSearch/LC75813TS-E/page-1", "LC75813TS-E")</f>
        <v>LC75813TS-E</v>
      </c>
      <c r="B42313" s="3" t="s">
        <v>95</v>
      </c>
      <c r="C42313" s="6">
        <v>270</v>
      </c>
      <c r="D42313" s="7">
        <v>7.88</v>
      </c>
    </row>
    <row r="42314" spans="1:5" x14ac:dyDescent="0.25">
      <c r="A42314" t="str">
        <f>HYPERLINK("https://www.773grp.com/globalSearch/MC100H601FN/page-1", "MC100H601FN")</f>
        <v>MC100H601FN</v>
      </c>
      <c r="B42314" s="3" t="s">
        <v>95</v>
      </c>
      <c r="C42314" s="6">
        <v>22</v>
      </c>
      <c r="D42314" s="7">
        <v>7.88</v>
      </c>
      <c r="E42314" t="s">
        <v>73</v>
      </c>
    </row>
    <row r="42315" spans="1:5" x14ac:dyDescent="0.25">
      <c r="A42315" t="str">
        <f>HYPERLINK("https://www.773grp.com/globalSearch/MC100H603FN/page-1", "MC100H603FN")</f>
        <v>MC100H603FN</v>
      </c>
      <c r="B42315" s="3" t="s">
        <v>95</v>
      </c>
      <c r="C42315" s="6">
        <v>1679</v>
      </c>
      <c r="D42315" s="7">
        <v>7.88</v>
      </c>
      <c r="E42315" t="s">
        <v>73</v>
      </c>
    </row>
    <row r="42316" spans="1:5" x14ac:dyDescent="0.25">
      <c r="A42316" t="str">
        <f>HYPERLINK("https://www.773grp.com/globalSearch/MC100H606FN/page-1", "MC100H606FN")</f>
        <v>MC100H606FN</v>
      </c>
      <c r="B42316" s="3" t="s">
        <v>95</v>
      </c>
      <c r="C42316" s="6">
        <v>37</v>
      </c>
      <c r="D42316" s="7">
        <v>7.88</v>
      </c>
      <c r="E42316" t="s">
        <v>73</v>
      </c>
    </row>
    <row r="42317" spans="1:5" x14ac:dyDescent="0.25">
      <c r="A42317" t="str">
        <f>HYPERLINK("https://www.773grp.com/globalSearch/MC100H607FN/page-1", "MC100H607FN")</f>
        <v>MC100H607FN</v>
      </c>
      <c r="B42317" s="3" t="s">
        <v>95</v>
      </c>
      <c r="C42317" s="6">
        <v>1050</v>
      </c>
      <c r="D42317" s="7">
        <v>7.88</v>
      </c>
      <c r="E42317" t="s">
        <v>73</v>
      </c>
    </row>
    <row r="42318" spans="1:5" x14ac:dyDescent="0.25">
      <c r="A42318" t="str">
        <f>HYPERLINK("https://www.773grp.com/globalSearch/MC100H607FNG/page-1", "MC100H607FNG")</f>
        <v>MC100H607FNG</v>
      </c>
      <c r="B42318" s="3" t="s">
        <v>95</v>
      </c>
      <c r="C42318" s="6">
        <v>565</v>
      </c>
      <c r="D42318" s="7">
        <v>7.88</v>
      </c>
      <c r="E42318" t="s">
        <v>73</v>
      </c>
    </row>
    <row r="42319" spans="1:5" x14ac:dyDescent="0.25">
      <c r="A42319" t="str">
        <f>HYPERLINK("https://www.773grp.com/globalSearch/MC100H641FN/page-1", "MC100H641FN")</f>
        <v>MC100H641FN</v>
      </c>
      <c r="B42319" s="3" t="s">
        <v>95</v>
      </c>
      <c r="C42319" s="6">
        <v>88</v>
      </c>
      <c r="D42319" s="7">
        <v>7.88</v>
      </c>
      <c r="E42319" t="s">
        <v>34</v>
      </c>
    </row>
    <row r="42320" spans="1:5" x14ac:dyDescent="0.25">
      <c r="A42320" t="str">
        <f>HYPERLINK("https://www.773grp.com/globalSearch/MC100H646FN/page-1", "MC100H646FN")</f>
        <v>MC100H646FN</v>
      </c>
      <c r="B42320" s="3" t="s">
        <v>95</v>
      </c>
      <c r="C42320" s="6">
        <v>37</v>
      </c>
      <c r="D42320" s="7">
        <v>7.88</v>
      </c>
      <c r="E42320" t="s">
        <v>34</v>
      </c>
    </row>
    <row r="42321" spans="1:5" x14ac:dyDescent="0.25">
      <c r="A42321" t="str">
        <f>HYPERLINK("https://www.773grp.com/globalSearch/MC100H646FNR2/page-1", "MC100H646FNR2")</f>
        <v>MC100H646FNR2</v>
      </c>
      <c r="B42321" s="3" t="s">
        <v>95</v>
      </c>
      <c r="C42321" s="6">
        <v>2500</v>
      </c>
      <c r="D42321" s="7">
        <v>7.88</v>
      </c>
      <c r="E42321" t="s">
        <v>34</v>
      </c>
    </row>
    <row r="42322" spans="1:5" x14ac:dyDescent="0.25">
      <c r="A42322" t="str">
        <f>HYPERLINK("https://www.773grp.com/globalSearch/MC10175L/page-1", "MC10175L")</f>
        <v>MC10175L</v>
      </c>
      <c r="B42322" s="3" t="s">
        <v>95</v>
      </c>
      <c r="C42322" s="6">
        <v>400</v>
      </c>
      <c r="D42322" s="7">
        <v>7.88</v>
      </c>
      <c r="E42322" t="s">
        <v>35</v>
      </c>
    </row>
    <row r="42323" spans="1:5" x14ac:dyDescent="0.25">
      <c r="A42323" t="str">
        <f>HYPERLINK("https://www.773grp.com/globalSearch/MC10H600FN/page-1", "MC10H600FN")</f>
        <v>MC10H600FN</v>
      </c>
      <c r="B42323" s="3" t="s">
        <v>95</v>
      </c>
      <c r="C42323" s="6">
        <v>1603</v>
      </c>
      <c r="D42323" s="7">
        <v>7.88</v>
      </c>
      <c r="E42323" t="s">
        <v>73</v>
      </c>
    </row>
    <row r="42324" spans="1:5" x14ac:dyDescent="0.25">
      <c r="A42324" t="str">
        <f>HYPERLINK("https://www.773grp.com/globalSearch/MC10H600FNR2/page-1", "MC10H600FNR2")</f>
        <v>MC10H600FNR2</v>
      </c>
      <c r="B42324" s="3" t="s">
        <v>95</v>
      </c>
      <c r="C42324" s="6">
        <v>500</v>
      </c>
      <c r="D42324" s="7">
        <v>7.88</v>
      </c>
      <c r="E42324" t="s">
        <v>73</v>
      </c>
    </row>
    <row r="42325" spans="1:5" x14ac:dyDescent="0.25">
      <c r="A42325" t="str">
        <f>HYPERLINK("https://www.773grp.com/globalSearch/MC10H601FN/page-1", "MC10H601FN")</f>
        <v>MC10H601FN</v>
      </c>
      <c r="B42325" s="3" t="s">
        <v>95</v>
      </c>
      <c r="C42325" s="6">
        <v>1750</v>
      </c>
      <c r="D42325" s="7">
        <v>7.88</v>
      </c>
      <c r="E42325" t="s">
        <v>73</v>
      </c>
    </row>
    <row r="42326" spans="1:5" x14ac:dyDescent="0.25">
      <c r="A42326" t="str">
        <f>HYPERLINK("https://www.773grp.com/globalSearch/MC10H601FNR2/page-1", "MC10H601FNR2")</f>
        <v>MC10H601FNR2</v>
      </c>
      <c r="B42326" s="3" t="s">
        <v>95</v>
      </c>
      <c r="C42326" s="6">
        <v>15000</v>
      </c>
      <c r="D42326" s="7">
        <v>7.88</v>
      </c>
      <c r="E42326" t="s">
        <v>73</v>
      </c>
    </row>
    <row r="42327" spans="1:5" x14ac:dyDescent="0.25">
      <c r="A42327" t="str">
        <f>HYPERLINK("https://www.773grp.com/globalSearch/MC10H603FN/page-1", "MC10H603FN")</f>
        <v>MC10H603FN</v>
      </c>
      <c r="B42327" s="3" t="s">
        <v>95</v>
      </c>
      <c r="C42327" s="6">
        <v>619</v>
      </c>
      <c r="D42327" s="7">
        <v>7.88</v>
      </c>
      <c r="E42327" t="s">
        <v>73</v>
      </c>
    </row>
    <row r="42328" spans="1:5" x14ac:dyDescent="0.25">
      <c r="A42328" t="str">
        <f>HYPERLINK("https://www.773grp.com/globalSearch/MC10H607FN/page-1", "MC10H607FN")</f>
        <v>MC10H607FN</v>
      </c>
      <c r="B42328" s="3" t="s">
        <v>95</v>
      </c>
      <c r="C42328" s="6">
        <v>9938</v>
      </c>
      <c r="D42328" s="7">
        <v>7.88</v>
      </c>
      <c r="E42328" t="s">
        <v>73</v>
      </c>
    </row>
    <row r="42329" spans="1:5" x14ac:dyDescent="0.25">
      <c r="A42329" t="str">
        <f>HYPERLINK("https://www.773grp.com/globalSearch/MC10H641FN/page-1", "MC10H641FN")</f>
        <v>MC10H641FN</v>
      </c>
      <c r="B42329" s="3" t="s">
        <v>95</v>
      </c>
      <c r="C42329" s="6">
        <v>2539</v>
      </c>
      <c r="D42329" s="7">
        <v>7.88</v>
      </c>
      <c r="E42329" t="s">
        <v>34</v>
      </c>
    </row>
    <row r="42330" spans="1:5" x14ac:dyDescent="0.25">
      <c r="A42330" t="str">
        <f>HYPERLINK("https://www.773grp.com/globalSearch/MC10H641FNR2/page-1", "MC10H641FNR2")</f>
        <v>MC10H641FNR2</v>
      </c>
      <c r="B42330" s="3" t="s">
        <v>95</v>
      </c>
      <c r="C42330" s="6">
        <v>15500</v>
      </c>
      <c r="D42330" s="7">
        <v>7.88</v>
      </c>
      <c r="E42330" t="s">
        <v>34</v>
      </c>
    </row>
    <row r="42331" spans="1:5" x14ac:dyDescent="0.25">
      <c r="A42331" t="str">
        <f>HYPERLINK("https://www.773grp.com/globalSearch/MC10H646FN/page-1", "MC10H646FN")</f>
        <v>MC10H646FN</v>
      </c>
      <c r="B42331" s="3" t="s">
        <v>95</v>
      </c>
      <c r="C42331" s="6">
        <v>1393</v>
      </c>
      <c r="D42331" s="7">
        <v>7.88</v>
      </c>
      <c r="E42331" t="s">
        <v>34</v>
      </c>
    </row>
    <row r="42332" spans="1:5" x14ac:dyDescent="0.25">
      <c r="A42332" t="str">
        <f>HYPERLINK("https://www.773grp.com/globalSearch/MC10H646FNR2/page-1", "MC10H646FNR2")</f>
        <v>MC10H646FNR2</v>
      </c>
      <c r="B42332" s="3" t="s">
        <v>95</v>
      </c>
      <c r="C42332" s="6">
        <v>2488</v>
      </c>
      <c r="D42332" s="7">
        <v>7.88</v>
      </c>
      <c r="E42332" t="s">
        <v>34</v>
      </c>
    </row>
    <row r="42333" spans="1:5" x14ac:dyDescent="0.25">
      <c r="A42333" t="str">
        <f>HYPERLINK("https://www.773grp.com/globalSearch/LA4705NA-E/page-1", "LA4705NA-E")</f>
        <v>LA4705NA-E</v>
      </c>
      <c r="B42333" s="3" t="s">
        <v>95</v>
      </c>
      <c r="C42333" s="6">
        <v>600</v>
      </c>
      <c r="D42333" s="7">
        <v>7.9</v>
      </c>
    </row>
    <row r="42334" spans="1:5" x14ac:dyDescent="0.25">
      <c r="A42334" t="str">
        <f>HYPERLINK("https://www.773grp.com/globalSearch/LC898113-TBM-H/page-1", "LC898113-TBM-H")</f>
        <v>LC898113-TBM-H</v>
      </c>
      <c r="B42334" s="3" t="s">
        <v>95</v>
      </c>
      <c r="C42334" s="6">
        <v>144000</v>
      </c>
      <c r="D42334" s="7">
        <v>7.9</v>
      </c>
    </row>
    <row r="42335" spans="1:5" x14ac:dyDescent="0.25">
      <c r="A42335" t="str">
        <f>HYPERLINK("https://www.773grp.com/globalSearch/STK404-070N-E/page-1", "STK404-070N-E")</f>
        <v>STK404-070N-E</v>
      </c>
      <c r="B42335" s="3" t="s">
        <v>95</v>
      </c>
      <c r="C42335" s="6">
        <v>250</v>
      </c>
      <c r="D42335" s="7">
        <v>7.9</v>
      </c>
    </row>
    <row r="42336" spans="1:5" x14ac:dyDescent="0.25">
      <c r="A42336" t="str">
        <f>HYPERLINK("https://www.773grp.com/globalSearch/MC10188FN/page-1", "MC10188FN")</f>
        <v>MC10188FN</v>
      </c>
      <c r="B42336" s="3" t="s">
        <v>95</v>
      </c>
      <c r="C42336" s="6">
        <v>2430</v>
      </c>
      <c r="D42336" s="7">
        <v>7.94</v>
      </c>
      <c r="E42336" t="s">
        <v>31</v>
      </c>
    </row>
    <row r="42337" spans="1:5" x14ac:dyDescent="0.25">
      <c r="A42337" t="str">
        <f>HYPERLINK("https://www.773grp.com/globalSearch/MR10120E/page-1", "MR10120E")</f>
        <v>MR10120E</v>
      </c>
      <c r="B42337" s="3" t="s">
        <v>95</v>
      </c>
      <c r="C42337" s="6">
        <v>2166</v>
      </c>
      <c r="D42337" s="7">
        <v>7.94</v>
      </c>
    </row>
    <row r="42338" spans="1:5" x14ac:dyDescent="0.25">
      <c r="A42338" t="str">
        <f>HYPERLINK("https://www.773grp.com/globalSearch/MC10186FN/page-1", "MC10186FN")</f>
        <v>MC10186FN</v>
      </c>
      <c r="B42338" s="3" t="s">
        <v>95</v>
      </c>
      <c r="C42338" s="6">
        <v>1840</v>
      </c>
      <c r="D42338" s="7">
        <v>8.01</v>
      </c>
      <c r="E42338" t="s">
        <v>35</v>
      </c>
    </row>
    <row r="42339" spans="1:5" x14ac:dyDescent="0.25">
      <c r="A42339" t="str">
        <f>HYPERLINK("https://www.773grp.com/globalSearch/MJW18020G/page-1", "MJW18020G")</f>
        <v>MJW18020G</v>
      </c>
      <c r="B42339" s="3" t="s">
        <v>95</v>
      </c>
      <c r="C42339" s="6">
        <v>7</v>
      </c>
      <c r="D42339" s="7">
        <v>8.01</v>
      </c>
      <c r="E42339" t="s">
        <v>59</v>
      </c>
    </row>
    <row r="42340" spans="1:5" x14ac:dyDescent="0.25">
      <c r="A42340" t="str">
        <f>HYPERLINK("https://www.773grp.com/globalSearch/NBC12429FA/page-1", "NBC12429FA")</f>
        <v>NBC12429FA</v>
      </c>
      <c r="B42340" s="3" t="s">
        <v>95</v>
      </c>
      <c r="C42340" s="6">
        <v>3</v>
      </c>
      <c r="D42340" s="7">
        <v>8.01</v>
      </c>
      <c r="E42340" t="s">
        <v>79</v>
      </c>
    </row>
    <row r="42341" spans="1:5" x14ac:dyDescent="0.25">
      <c r="A42341" t="str">
        <f>HYPERLINK("https://www.773grp.com/globalSearch/NBC12430FA/page-1", "NBC12430FA")</f>
        <v>NBC12430FA</v>
      </c>
      <c r="B42341" s="3" t="s">
        <v>95</v>
      </c>
      <c r="C42341" s="6">
        <v>3424</v>
      </c>
      <c r="D42341" s="7">
        <v>8.01</v>
      </c>
      <c r="E42341" t="s">
        <v>79</v>
      </c>
    </row>
    <row r="42342" spans="1:5" x14ac:dyDescent="0.25">
      <c r="A42342" t="str">
        <f>HYPERLINK("https://www.773grp.com/globalSearch/FS7145-02G-XTD/page-1", "FS7145-02G-XTD")</f>
        <v>FS7145-02G-XTD</v>
      </c>
      <c r="B42342" s="3" t="s">
        <v>95</v>
      </c>
      <c r="C42342" s="6">
        <v>138</v>
      </c>
      <c r="D42342" s="7">
        <v>8.0500000000000007</v>
      </c>
    </row>
    <row r="42343" spans="1:5" x14ac:dyDescent="0.25">
      <c r="A42343" t="str">
        <f>HYPERLINK("https://www.773grp.com/globalSearch/FS7140-01G-XTP/page-1", "FS7140-01G-XTP")</f>
        <v>FS7140-01G-XTP</v>
      </c>
      <c r="B42343" s="3" t="s">
        <v>95</v>
      </c>
      <c r="C42343" s="6">
        <v>2725</v>
      </c>
      <c r="D42343" s="7">
        <v>8.06</v>
      </c>
    </row>
    <row r="42344" spans="1:5" x14ac:dyDescent="0.25">
      <c r="A42344" t="str">
        <f>HYPERLINK("https://www.773grp.com/globalSearch/MC10SX1130D/page-1", "MC10SX1130D")</f>
        <v>MC10SX1130D</v>
      </c>
      <c r="B42344" s="3" t="s">
        <v>95</v>
      </c>
      <c r="C42344" s="6">
        <v>6500</v>
      </c>
      <c r="D42344" s="7">
        <v>8.1</v>
      </c>
      <c r="E42344" t="s">
        <v>10</v>
      </c>
    </row>
    <row r="42345" spans="1:5" x14ac:dyDescent="0.25">
      <c r="A42345" t="str">
        <f>HYPERLINK("https://www.773grp.com/globalSearch/ADT7462ACPZ-REEL/page-1", "ADT7462ACPZ-REEL")</f>
        <v>ADT7462ACPZ-REEL</v>
      </c>
      <c r="B42345" s="3" t="s">
        <v>95</v>
      </c>
      <c r="C42345" s="6">
        <v>6202</v>
      </c>
      <c r="D42345" s="7">
        <v>8.14</v>
      </c>
    </row>
    <row r="42346" spans="1:5" x14ac:dyDescent="0.25">
      <c r="A42346" t="str">
        <f>HYPERLINK("https://www.773grp.com/globalSearch/ADT7467ARQZ-REEL/page-1", "ADT7467ARQZ-REEL")</f>
        <v>ADT7467ARQZ-REEL</v>
      </c>
      <c r="B42346" s="3" t="s">
        <v>95</v>
      </c>
      <c r="C42346" s="6">
        <v>6938</v>
      </c>
      <c r="D42346" s="7">
        <v>8.15</v>
      </c>
      <c r="E42346" t="s">
        <v>40</v>
      </c>
    </row>
    <row r="42347" spans="1:5" x14ac:dyDescent="0.25">
      <c r="A42347" t="str">
        <f>HYPERLINK("https://www.773grp.com/globalSearch/JANTXV2N2907A/page-1", "JANTXV2N2907A")</f>
        <v>JANTXV2N2907A</v>
      </c>
      <c r="B42347" s="3" t="s">
        <v>95</v>
      </c>
      <c r="C42347" s="6">
        <v>3000</v>
      </c>
      <c r="D42347" s="7">
        <v>8.15</v>
      </c>
      <c r="E42347" t="s">
        <v>69</v>
      </c>
    </row>
    <row r="42348" spans="1:5" x14ac:dyDescent="0.25">
      <c r="A42348" t="str">
        <f>HYPERLINK("https://www.773grp.com/globalSearch/LB11920-E/page-1", "LB11920-E")</f>
        <v>LB11920-E</v>
      </c>
      <c r="B42348" s="3" t="s">
        <v>95</v>
      </c>
      <c r="C42348" s="6">
        <v>818</v>
      </c>
      <c r="D42348" s="7">
        <v>8.15</v>
      </c>
    </row>
    <row r="42349" spans="1:5" x14ac:dyDescent="0.25">
      <c r="A42349" t="str">
        <f>HYPERLINK("https://www.773grp.com/globalSearch/LC75812PTS-8565-H/page-1", "LC75812PTS-8565-H")</f>
        <v>LC75812PTS-8565-H</v>
      </c>
      <c r="B42349" s="3" t="s">
        <v>95</v>
      </c>
      <c r="C42349" s="6">
        <v>79</v>
      </c>
      <c r="D42349" s="7">
        <v>8.15</v>
      </c>
    </row>
    <row r="42350" spans="1:5" x14ac:dyDescent="0.25">
      <c r="A42350" t="str">
        <f>HYPERLINK("https://www.773grp.com/globalSearch/MC100EP35D/page-1", "MC100EP35D")</f>
        <v>MC100EP35D</v>
      </c>
      <c r="B42350" s="3" t="s">
        <v>95</v>
      </c>
      <c r="C42350" s="6">
        <v>8828</v>
      </c>
      <c r="D42350" s="7">
        <v>8.15</v>
      </c>
      <c r="E42350" t="s">
        <v>35</v>
      </c>
    </row>
    <row r="42351" spans="1:5" x14ac:dyDescent="0.25">
      <c r="A42351" t="str">
        <f>HYPERLINK("https://www.773grp.com/globalSearch/MC100EP35DR2/page-1", "MC100EP35DR2")</f>
        <v>MC100EP35DR2</v>
      </c>
      <c r="B42351" s="3" t="s">
        <v>95</v>
      </c>
      <c r="C42351" s="6">
        <v>12500</v>
      </c>
      <c r="D42351" s="7">
        <v>8.15</v>
      </c>
      <c r="E42351" t="s">
        <v>35</v>
      </c>
    </row>
    <row r="42352" spans="1:5" x14ac:dyDescent="0.25">
      <c r="A42352" t="str">
        <f>HYPERLINK("https://www.773grp.com/globalSearch/MC100EP35DT/page-1", "MC100EP35DT")</f>
        <v>MC100EP35DT</v>
      </c>
      <c r="B42352" s="3" t="s">
        <v>95</v>
      </c>
      <c r="C42352" s="6">
        <v>1175</v>
      </c>
      <c r="D42352" s="7">
        <v>8.15</v>
      </c>
      <c r="E42352" t="s">
        <v>35</v>
      </c>
    </row>
    <row r="42353" spans="1:5" x14ac:dyDescent="0.25">
      <c r="A42353" t="str">
        <f>HYPERLINK("https://www.773grp.com/globalSearch/MC10EP35D/page-1", "MC10EP35D")</f>
        <v>MC10EP35D</v>
      </c>
      <c r="B42353" s="3" t="s">
        <v>95</v>
      </c>
      <c r="C42353" s="6">
        <v>13610</v>
      </c>
      <c r="D42353" s="7">
        <v>8.15</v>
      </c>
      <c r="E42353" t="s">
        <v>35</v>
      </c>
    </row>
    <row r="42354" spans="1:5" x14ac:dyDescent="0.25">
      <c r="A42354" t="str">
        <f>HYPERLINK("https://www.773grp.com/globalSearch/MC10EP35DT/page-1", "MC10EP35DT")</f>
        <v>MC10EP35DT</v>
      </c>
      <c r="B42354" s="3" t="s">
        <v>95</v>
      </c>
      <c r="C42354" s="6">
        <v>3995</v>
      </c>
      <c r="D42354" s="7">
        <v>8.15</v>
      </c>
      <c r="E42354" t="s">
        <v>35</v>
      </c>
    </row>
    <row r="42355" spans="1:5" x14ac:dyDescent="0.25">
      <c r="A42355" t="str">
        <f>HYPERLINK("https://www.773grp.com/globalSearch/MBR6045PTG/page-1", "MBR6045PTG")</f>
        <v>MBR6045PTG</v>
      </c>
      <c r="B42355" s="3" t="s">
        <v>95</v>
      </c>
      <c r="C42355" s="6">
        <v>10</v>
      </c>
      <c r="D42355" s="7">
        <v>8.19</v>
      </c>
    </row>
    <row r="42356" spans="1:5" x14ac:dyDescent="0.25">
      <c r="A42356" t="str">
        <f>HYPERLINK("https://www.773grp.com/globalSearch/MC10170L/page-1", "MC10170L")</f>
        <v>MC10170L</v>
      </c>
      <c r="B42356" s="3" t="s">
        <v>95</v>
      </c>
      <c r="C42356" s="6">
        <v>500</v>
      </c>
      <c r="D42356" s="7">
        <v>8.19</v>
      </c>
      <c r="E42356" t="s">
        <v>43</v>
      </c>
    </row>
    <row r="42357" spans="1:5" x14ac:dyDescent="0.25">
      <c r="A42357" t="str">
        <f>HYPERLINK("https://www.773grp.com/globalSearch/MC10H189L/page-1", "MC10H189L")</f>
        <v>MC10H189L</v>
      </c>
      <c r="B42357" s="3" t="s">
        <v>95</v>
      </c>
      <c r="C42357" s="6">
        <v>45</v>
      </c>
      <c r="D42357" s="7">
        <v>8.19</v>
      </c>
      <c r="E42357" t="s">
        <v>31</v>
      </c>
    </row>
    <row r="42358" spans="1:5" x14ac:dyDescent="0.25">
      <c r="A42358" t="str">
        <f>HYPERLINK("https://www.773grp.com/globalSearch/MC10H350ML1/page-1", "MC10H350ML1")</f>
        <v>MC10H350ML1</v>
      </c>
      <c r="B42358" s="3" t="s">
        <v>95</v>
      </c>
      <c r="C42358" s="6">
        <v>1000</v>
      </c>
      <c r="D42358" s="7">
        <v>8.19</v>
      </c>
    </row>
    <row r="42359" spans="1:5" x14ac:dyDescent="0.25">
      <c r="A42359" t="str">
        <f>HYPERLINK("https://www.773grp.com/globalSearch/MC10H130FNG/page-1", "MC10H130FNG")</f>
        <v>MC10H130FNG</v>
      </c>
      <c r="B42359" s="3" t="s">
        <v>95</v>
      </c>
      <c r="C42359" s="6">
        <v>3170</v>
      </c>
      <c r="D42359" s="7">
        <v>8.24</v>
      </c>
      <c r="E42359" t="s">
        <v>35</v>
      </c>
    </row>
    <row r="42360" spans="1:5" x14ac:dyDescent="0.25">
      <c r="A42360" t="str">
        <f>HYPERLINK("https://www.773grp.com/globalSearch/MC10H130FNR2/page-1", "MC10H130FNR2")</f>
        <v>MC10H130FNR2</v>
      </c>
      <c r="B42360" s="3" t="s">
        <v>95</v>
      </c>
      <c r="C42360" s="6">
        <v>3000</v>
      </c>
      <c r="D42360" s="7">
        <v>8.24</v>
      </c>
      <c r="E42360" t="s">
        <v>35</v>
      </c>
    </row>
    <row r="42361" spans="1:5" x14ac:dyDescent="0.25">
      <c r="A42361" t="str">
        <f>HYPERLINK("https://www.773grp.com/globalSearch/MC14490FELG/page-1", "MC14490FELG")</f>
        <v>MC14490FELG</v>
      </c>
      <c r="B42361" s="3" t="s">
        <v>95</v>
      </c>
      <c r="C42361" s="6">
        <v>5230</v>
      </c>
      <c r="D42361" s="7">
        <v>8.24</v>
      </c>
      <c r="E42361" t="s">
        <v>32</v>
      </c>
    </row>
    <row r="42362" spans="1:5" x14ac:dyDescent="0.25">
      <c r="A42362" t="str">
        <f>HYPERLINK("https://www.773grp.com/globalSearch/MC10H158PG/page-1", "MC10H158PG")</f>
        <v>MC10H158PG</v>
      </c>
      <c r="B42362" s="3" t="s">
        <v>95</v>
      </c>
      <c r="C42362" s="6">
        <v>8238</v>
      </c>
      <c r="D42362" s="7">
        <v>8.2799999999999994</v>
      </c>
      <c r="E42362" t="s">
        <v>20</v>
      </c>
    </row>
    <row r="42363" spans="1:5" x14ac:dyDescent="0.25">
      <c r="A42363" t="str">
        <f>HYPERLINK("https://www.773grp.com/globalSearch/ADT7460ARQ-REEL/page-1", "ADT7460ARQ-REEL")</f>
        <v>ADT7460ARQ-REEL</v>
      </c>
      <c r="B42363" s="3" t="s">
        <v>95</v>
      </c>
      <c r="C42363" s="6">
        <v>40000</v>
      </c>
      <c r="D42363" s="7">
        <v>8.3000000000000007</v>
      </c>
      <c r="E42363" t="s">
        <v>40</v>
      </c>
    </row>
    <row r="42364" spans="1:5" x14ac:dyDescent="0.25">
      <c r="A42364" t="str">
        <f>HYPERLINK("https://www.773grp.com/globalSearch/ADT7460ARQ-REEL7/page-1", "ADT7460ARQ-REEL7")</f>
        <v>ADT7460ARQ-REEL7</v>
      </c>
      <c r="B42364" s="3" t="s">
        <v>95</v>
      </c>
      <c r="C42364" s="6">
        <v>4000</v>
      </c>
      <c r="D42364" s="7">
        <v>8.3000000000000007</v>
      </c>
      <c r="E42364" t="s">
        <v>40</v>
      </c>
    </row>
    <row r="42365" spans="1:5" x14ac:dyDescent="0.25">
      <c r="A42365" t="str">
        <f>HYPERLINK("https://www.773grp.com/globalSearch/ADT7460ARQZ-REEL/page-1", "ADT7460ARQZ-REEL")</f>
        <v>ADT7460ARQZ-REEL</v>
      </c>
      <c r="B42365" s="3" t="s">
        <v>95</v>
      </c>
      <c r="C42365" s="6">
        <v>332</v>
      </c>
      <c r="D42365" s="7">
        <v>8.3000000000000007</v>
      </c>
    </row>
    <row r="42366" spans="1:5" x14ac:dyDescent="0.25">
      <c r="A42366" t="str">
        <f>HYPERLINK("https://www.773grp.com/globalSearch/LV762213C5BJ1-E/page-1", "LV762213C5BJ1-E")</f>
        <v>LV762213C5BJ1-E</v>
      </c>
      <c r="B42366" s="3" t="s">
        <v>95</v>
      </c>
      <c r="C42366" s="6">
        <v>1800</v>
      </c>
      <c r="D42366" s="7">
        <v>8.33</v>
      </c>
    </row>
    <row r="42367" spans="1:5" x14ac:dyDescent="0.25">
      <c r="A42367" t="str">
        <f>HYPERLINK("https://www.773grp.com/globalSearch/MC100EL30DW/page-1", "MC100EL30DW")</f>
        <v>MC100EL30DW</v>
      </c>
      <c r="B42367" s="3" t="s">
        <v>95</v>
      </c>
      <c r="C42367" s="6">
        <v>5342</v>
      </c>
      <c r="D42367" s="7">
        <v>8.33</v>
      </c>
      <c r="E42367" t="s">
        <v>35</v>
      </c>
    </row>
    <row r="42368" spans="1:5" x14ac:dyDescent="0.25">
      <c r="A42368" t="str">
        <f>HYPERLINK("https://www.773grp.com/globalSearch/MC10192L/page-1", "MC10192L")</f>
        <v>MC10192L</v>
      </c>
      <c r="B42368" s="3" t="s">
        <v>95</v>
      </c>
      <c r="C42368" s="6">
        <v>370</v>
      </c>
      <c r="D42368" s="7">
        <v>8.33</v>
      </c>
      <c r="E42368" t="s">
        <v>14</v>
      </c>
    </row>
    <row r="42369" spans="1:5" x14ac:dyDescent="0.25">
      <c r="A42369" t="str">
        <f>HYPERLINK("https://www.773grp.com/globalSearch/LV8740V-MPB-E/page-1", "LV8740V-MPB-E")</f>
        <v>LV8740V-MPB-E</v>
      </c>
      <c r="B42369" s="3" t="s">
        <v>95</v>
      </c>
      <c r="C42369" s="6">
        <v>60</v>
      </c>
      <c r="D42369" s="7">
        <v>8.35</v>
      </c>
    </row>
    <row r="42370" spans="1:5" x14ac:dyDescent="0.25">
      <c r="A42370" t="str">
        <f>HYPERLINK("https://www.773grp.com/globalSearch/LV8740V-TLM-E/page-1", "LV8740V-TLM-E")</f>
        <v>LV8740V-TLM-E</v>
      </c>
      <c r="B42370" s="3" t="s">
        <v>95</v>
      </c>
      <c r="C42370" s="6">
        <v>100</v>
      </c>
      <c r="D42370" s="7">
        <v>8.35</v>
      </c>
    </row>
    <row r="42371" spans="1:5" x14ac:dyDescent="0.25">
      <c r="A42371" t="str">
        <f>HYPERLINK("https://www.773grp.com/globalSearch/AMIS30521C5212G/page-1", "AMIS30521C5212G")</f>
        <v>AMIS30521C5212G</v>
      </c>
      <c r="B42371" s="3" t="s">
        <v>95</v>
      </c>
      <c r="C42371" s="6">
        <v>195</v>
      </c>
      <c r="D42371" s="7">
        <v>8.39</v>
      </c>
    </row>
    <row r="42372" spans="1:5" x14ac:dyDescent="0.25">
      <c r="A42372" t="str">
        <f>HYPERLINK("https://www.773grp.com/globalSearch/AMIS30522C5222G/page-1", "AMIS30522C5222G")</f>
        <v>AMIS30522C5222G</v>
      </c>
      <c r="B42372" s="3" t="s">
        <v>95</v>
      </c>
      <c r="C42372" s="6">
        <v>85</v>
      </c>
      <c r="D42372" s="7">
        <v>8.39</v>
      </c>
    </row>
    <row r="42373" spans="1:5" x14ac:dyDescent="0.25">
      <c r="A42373" t="str">
        <f>HYPERLINK("https://www.773grp.com/globalSearch/MC100EP56DW/page-1", "MC100EP56DW")</f>
        <v>MC100EP56DW</v>
      </c>
      <c r="B42373" s="3" t="s">
        <v>95</v>
      </c>
      <c r="C42373" s="6">
        <v>3198</v>
      </c>
      <c r="D42373" s="7">
        <v>8.39</v>
      </c>
      <c r="E42373" t="s">
        <v>20</v>
      </c>
    </row>
    <row r="42374" spans="1:5" x14ac:dyDescent="0.25">
      <c r="A42374" t="str">
        <f>HYPERLINK("https://www.773grp.com/globalSearch/MC100EP56DWR2/page-1", "MC100EP56DWR2")</f>
        <v>MC100EP56DWR2</v>
      </c>
      <c r="B42374" s="3" t="s">
        <v>95</v>
      </c>
      <c r="C42374" s="6">
        <v>3000</v>
      </c>
      <c r="D42374" s="7">
        <v>8.39</v>
      </c>
      <c r="E42374" t="s">
        <v>20</v>
      </c>
    </row>
    <row r="42375" spans="1:5" x14ac:dyDescent="0.25">
      <c r="A42375" t="str">
        <f>HYPERLINK("https://www.773grp.com/globalSearch/MC10EP56DTR2/page-1", "MC10EP56DTR2")</f>
        <v>MC10EP56DTR2</v>
      </c>
      <c r="B42375" s="3" t="s">
        <v>95</v>
      </c>
      <c r="C42375" s="6">
        <v>7500</v>
      </c>
      <c r="D42375" s="7">
        <v>8.39</v>
      </c>
      <c r="E42375" t="s">
        <v>20</v>
      </c>
    </row>
    <row r="42376" spans="1:5" x14ac:dyDescent="0.25">
      <c r="A42376" t="str">
        <f>HYPERLINK("https://www.773grp.com/globalSearch/MC10EP57DTR2/page-1", "MC10EP57DTR2")</f>
        <v>MC10EP57DTR2</v>
      </c>
      <c r="B42376" s="3" t="s">
        <v>95</v>
      </c>
      <c r="C42376" s="6">
        <v>2250</v>
      </c>
      <c r="D42376" s="7">
        <v>8.39</v>
      </c>
      <c r="E42376" t="s">
        <v>20</v>
      </c>
    </row>
    <row r="42377" spans="1:5" x14ac:dyDescent="0.25">
      <c r="A42377" t="str">
        <f>HYPERLINK("https://www.773grp.com/globalSearch/MC10H209P/page-1", "MC10H209P")</f>
        <v>MC10H209P</v>
      </c>
      <c r="B42377" s="3" t="s">
        <v>95</v>
      </c>
      <c r="C42377" s="6">
        <v>13428</v>
      </c>
      <c r="D42377" s="7">
        <v>8.39</v>
      </c>
      <c r="E42377" t="s">
        <v>31</v>
      </c>
    </row>
    <row r="42378" spans="1:5" x14ac:dyDescent="0.25">
      <c r="A42378" t="str">
        <f>HYPERLINK("https://www.773grp.com/globalSearch/MC10H210PG/page-1", "MC10H210PG")</f>
        <v>MC10H210PG</v>
      </c>
      <c r="B42378" s="3" t="s">
        <v>95</v>
      </c>
      <c r="C42378" s="6">
        <v>21100</v>
      </c>
      <c r="D42378" s="7">
        <v>8.39</v>
      </c>
      <c r="E42378" t="s">
        <v>31</v>
      </c>
    </row>
    <row r="42379" spans="1:5" x14ac:dyDescent="0.25">
      <c r="A42379" t="str">
        <f>HYPERLINK("https://www.773grp.com/globalSearch/FS7140-02G-XTD/page-1", "FS7140-02G-XTD")</f>
        <v>FS7140-02G-XTD</v>
      </c>
      <c r="B42379" s="3" t="s">
        <v>95</v>
      </c>
      <c r="C42379" s="6">
        <v>945</v>
      </c>
      <c r="D42379" s="7">
        <v>8.44</v>
      </c>
      <c r="E42379" t="s">
        <v>79</v>
      </c>
    </row>
    <row r="42380" spans="1:5" x14ac:dyDescent="0.25">
      <c r="A42380" t="str">
        <f>HYPERLINK("https://www.773grp.com/globalSearch/MC100EL58DG/page-1", "MC100EL58DG")</f>
        <v>MC100EL58DG</v>
      </c>
      <c r="B42380" s="3" t="s">
        <v>95</v>
      </c>
      <c r="C42380" s="6">
        <v>2780</v>
      </c>
      <c r="D42380" s="7">
        <v>8.44</v>
      </c>
      <c r="E42380" t="s">
        <v>20</v>
      </c>
    </row>
    <row r="42381" spans="1:5" x14ac:dyDescent="0.25">
      <c r="A42381" t="str">
        <f>HYPERLINK("https://www.773grp.com/globalSearch/MC100EL58DTG/page-1", "MC100EL58DTG")</f>
        <v>MC100EL58DTG</v>
      </c>
      <c r="B42381" s="3" t="s">
        <v>95</v>
      </c>
      <c r="C42381" s="6">
        <v>5695</v>
      </c>
      <c r="D42381" s="7">
        <v>8.44</v>
      </c>
      <c r="E42381" t="s">
        <v>20</v>
      </c>
    </row>
    <row r="42382" spans="1:5" x14ac:dyDescent="0.25">
      <c r="A42382" t="str">
        <f>HYPERLINK("https://www.773grp.com/globalSearch/MC100EL58DTR2G/page-1", "MC100EL58DTR2G")</f>
        <v>MC100EL58DTR2G</v>
      </c>
      <c r="B42382" s="3" t="s">
        <v>95</v>
      </c>
      <c r="C42382" s="6">
        <v>5000</v>
      </c>
      <c r="D42382" s="7">
        <v>8.44</v>
      </c>
      <c r="E42382" t="s">
        <v>20</v>
      </c>
    </row>
    <row r="42383" spans="1:5" x14ac:dyDescent="0.25">
      <c r="A42383" t="str">
        <f>HYPERLINK("https://www.773grp.com/globalSearch/MC100EP11DG/page-1", "MC100EP11DG")</f>
        <v>MC100EP11DG</v>
      </c>
      <c r="B42383" s="3" t="s">
        <v>95</v>
      </c>
      <c r="C42383" s="6">
        <v>6550</v>
      </c>
      <c r="D42383" s="7">
        <v>8.44</v>
      </c>
    </row>
    <row r="42384" spans="1:5" x14ac:dyDescent="0.25">
      <c r="A42384" t="str">
        <f>HYPERLINK("https://www.773grp.com/globalSearch/MC100EP11DTG/page-1", "MC100EP11DTG")</f>
        <v>MC100EP11DTG</v>
      </c>
      <c r="B42384" s="3" t="s">
        <v>95</v>
      </c>
      <c r="C42384" s="6">
        <v>7</v>
      </c>
      <c r="D42384" s="7">
        <v>8.44</v>
      </c>
    </row>
    <row r="42385" spans="1:5" x14ac:dyDescent="0.25">
      <c r="A42385" t="str">
        <f>HYPERLINK("https://www.773grp.com/globalSearch/MC100EP11MNR4G/page-1", "MC100EP11MNR4G")</f>
        <v>MC100EP11MNR4G</v>
      </c>
      <c r="B42385" s="3" t="s">
        <v>95</v>
      </c>
      <c r="C42385" s="6">
        <v>15000</v>
      </c>
      <c r="D42385" s="7">
        <v>8.44</v>
      </c>
      <c r="E42385" t="s">
        <v>34</v>
      </c>
    </row>
    <row r="42386" spans="1:5" x14ac:dyDescent="0.25">
      <c r="A42386" t="str">
        <f>HYPERLINK("https://www.773grp.com/globalSearch/MC100EP16FDG/page-1", "MC100EP16FDG")</f>
        <v>MC100EP16FDG</v>
      </c>
      <c r="B42386" s="3" t="s">
        <v>95</v>
      </c>
      <c r="C42386" s="6">
        <v>11211</v>
      </c>
      <c r="D42386" s="7">
        <v>8.44</v>
      </c>
      <c r="E42386" t="s">
        <v>21</v>
      </c>
    </row>
    <row r="42387" spans="1:5" x14ac:dyDescent="0.25">
      <c r="A42387" t="str">
        <f>HYPERLINK("https://www.773grp.com/globalSearch/MC100EP16VADG/page-1", "MC100EP16VADG")</f>
        <v>MC100EP16VADG</v>
      </c>
      <c r="B42387" s="3" t="s">
        <v>95</v>
      </c>
      <c r="C42387" s="6">
        <v>3053</v>
      </c>
      <c r="D42387" s="7">
        <v>8.44</v>
      </c>
      <c r="E42387" t="s">
        <v>21</v>
      </c>
    </row>
    <row r="42388" spans="1:5" x14ac:dyDescent="0.25">
      <c r="A42388" t="str">
        <f>HYPERLINK("https://www.773grp.com/globalSearch/MC100EP16VADR2G/page-1", "MC100EP16VADR2G")</f>
        <v>MC100EP16VADR2G</v>
      </c>
      <c r="B42388" s="3" t="s">
        <v>95</v>
      </c>
      <c r="C42388" s="6">
        <v>12340</v>
      </c>
      <c r="D42388" s="7">
        <v>8.44</v>
      </c>
      <c r="E42388" t="s">
        <v>21</v>
      </c>
    </row>
    <row r="42389" spans="1:5" x14ac:dyDescent="0.25">
      <c r="A42389" t="str">
        <f>HYPERLINK("https://www.773grp.com/globalSearch/MC100EP16VADTG/page-1", "MC100EP16VADTG")</f>
        <v>MC100EP16VADTG</v>
      </c>
      <c r="B42389" s="3" t="s">
        <v>95</v>
      </c>
      <c r="C42389" s="6">
        <v>2640</v>
      </c>
      <c r="D42389" s="7">
        <v>8.44</v>
      </c>
      <c r="E42389" t="s">
        <v>21</v>
      </c>
    </row>
    <row r="42390" spans="1:5" x14ac:dyDescent="0.25">
      <c r="A42390" t="str">
        <f>HYPERLINK("https://www.773grp.com/globalSearch/MC100EP16VADTR2G/page-1", "MC100EP16VADTR2G")</f>
        <v>MC100EP16VADTR2G</v>
      </c>
      <c r="B42390" s="3" t="s">
        <v>95</v>
      </c>
      <c r="C42390" s="6">
        <v>15000</v>
      </c>
      <c r="D42390" s="7">
        <v>8.44</v>
      </c>
      <c r="E42390" t="s">
        <v>21</v>
      </c>
    </row>
    <row r="42391" spans="1:5" x14ac:dyDescent="0.25">
      <c r="A42391" t="str">
        <f>HYPERLINK("https://www.773grp.com/globalSearch/MC100EP16VAMNR4G/page-1", "MC100EP16VAMNR4G")</f>
        <v>MC100EP16VAMNR4G</v>
      </c>
      <c r="B42391" s="3" t="s">
        <v>95</v>
      </c>
      <c r="C42391" s="6">
        <v>7532</v>
      </c>
      <c r="D42391" s="7">
        <v>8.44</v>
      </c>
      <c r="E42391" t="s">
        <v>21</v>
      </c>
    </row>
    <row r="42392" spans="1:5" x14ac:dyDescent="0.25">
      <c r="A42392" t="str">
        <f>HYPERLINK("https://www.773grp.com/globalSearch/MC100EP16VBDG/page-1", "MC100EP16VBDG")</f>
        <v>MC100EP16VBDG</v>
      </c>
      <c r="B42392" s="3" t="s">
        <v>95</v>
      </c>
      <c r="C42392" s="6">
        <v>13500</v>
      </c>
      <c r="D42392" s="7">
        <v>8.44</v>
      </c>
      <c r="E42392" t="s">
        <v>21</v>
      </c>
    </row>
    <row r="42393" spans="1:5" x14ac:dyDescent="0.25">
      <c r="A42393" t="str">
        <f>HYPERLINK("https://www.773grp.com/globalSearch/MC100EP16VBDTG/page-1", "MC100EP16VBDTG")</f>
        <v>MC100EP16VBDTG</v>
      </c>
      <c r="B42393" s="3" t="s">
        <v>95</v>
      </c>
      <c r="C42393" s="6">
        <v>292</v>
      </c>
      <c r="D42393" s="7">
        <v>8.44</v>
      </c>
      <c r="E42393" t="s">
        <v>21</v>
      </c>
    </row>
    <row r="42394" spans="1:5" x14ac:dyDescent="0.25">
      <c r="A42394" t="str">
        <f>HYPERLINK("https://www.773grp.com/globalSearch/MC100EP16VCDG/page-1", "MC100EP16VCDG")</f>
        <v>MC100EP16VCDG</v>
      </c>
      <c r="B42394" s="3" t="s">
        <v>95</v>
      </c>
      <c r="C42394" s="6">
        <v>25208</v>
      </c>
      <c r="D42394" s="7">
        <v>8.44</v>
      </c>
      <c r="E42394" t="s">
        <v>21</v>
      </c>
    </row>
    <row r="42395" spans="1:5" x14ac:dyDescent="0.25">
      <c r="A42395" t="str">
        <f>HYPERLINK("https://www.773grp.com/globalSearch/MC100EP16VCDR2G/page-1", "MC100EP16VCDR2G")</f>
        <v>MC100EP16VCDR2G</v>
      </c>
      <c r="B42395" s="3" t="s">
        <v>95</v>
      </c>
      <c r="C42395" s="6">
        <v>10000</v>
      </c>
      <c r="D42395" s="7">
        <v>8.44</v>
      </c>
      <c r="E42395" t="s">
        <v>21</v>
      </c>
    </row>
    <row r="42396" spans="1:5" x14ac:dyDescent="0.25">
      <c r="A42396" t="str">
        <f>HYPERLINK("https://www.773grp.com/globalSearch/MC100EP16VCDTG/page-1", "MC100EP16VCDTG")</f>
        <v>MC100EP16VCDTG</v>
      </c>
      <c r="B42396" s="3" t="s">
        <v>95</v>
      </c>
      <c r="C42396" s="6">
        <v>21640</v>
      </c>
      <c r="D42396" s="7">
        <v>8.44</v>
      </c>
      <c r="E42396" t="s">
        <v>21</v>
      </c>
    </row>
    <row r="42397" spans="1:5" x14ac:dyDescent="0.25">
      <c r="A42397" t="str">
        <f>HYPERLINK("https://www.773grp.com/globalSearch/MC100EP16VCDTR2G/page-1", "MC100EP16VCDTR2G")</f>
        <v>MC100EP16VCDTR2G</v>
      </c>
      <c r="B42397" s="3" t="s">
        <v>95</v>
      </c>
      <c r="C42397" s="6">
        <v>4594</v>
      </c>
      <c r="D42397" s="7">
        <v>8.44</v>
      </c>
      <c r="E42397" t="s">
        <v>21</v>
      </c>
    </row>
    <row r="42398" spans="1:5" x14ac:dyDescent="0.25">
      <c r="A42398" t="str">
        <f>HYPERLINK("https://www.773grp.com/globalSearch/MC100EP16VCMNR4G/page-1", "MC100EP16VCMNR4G")</f>
        <v>MC100EP16VCMNR4G</v>
      </c>
      <c r="B42398" s="3" t="s">
        <v>95</v>
      </c>
      <c r="C42398" s="6">
        <v>13990</v>
      </c>
      <c r="D42398" s="7">
        <v>8.44</v>
      </c>
      <c r="E42398" t="s">
        <v>21</v>
      </c>
    </row>
    <row r="42399" spans="1:5" x14ac:dyDescent="0.25">
      <c r="A42399" t="str">
        <f>HYPERLINK("https://www.773grp.com/globalSearch/MC100EP32DG/page-1", "MC100EP32DG")</f>
        <v>MC100EP32DG</v>
      </c>
      <c r="B42399" s="3" t="s">
        <v>95</v>
      </c>
      <c r="C42399" s="6">
        <v>9841</v>
      </c>
      <c r="D42399" s="7">
        <v>8.44</v>
      </c>
      <c r="E42399" t="s">
        <v>54</v>
      </c>
    </row>
    <row r="42400" spans="1:5" x14ac:dyDescent="0.25">
      <c r="A42400" t="str">
        <f>HYPERLINK("https://www.773grp.com/globalSearch/MC100EP32DR2G/page-1", "MC100EP32DR2G")</f>
        <v>MC100EP32DR2G</v>
      </c>
      <c r="B42400" s="3" t="s">
        <v>95</v>
      </c>
      <c r="C42400" s="6">
        <v>2250</v>
      </c>
      <c r="D42400" s="7">
        <v>8.44</v>
      </c>
      <c r="E42400" t="s">
        <v>54</v>
      </c>
    </row>
    <row r="42401" spans="1:5" x14ac:dyDescent="0.25">
      <c r="A42401" t="str">
        <f>HYPERLINK("https://www.773grp.com/globalSearch/MC100EP32DTG/page-1", "MC100EP32DTG")</f>
        <v>MC100EP32DTG</v>
      </c>
      <c r="B42401" s="3" t="s">
        <v>95</v>
      </c>
      <c r="C42401" s="6">
        <v>2347</v>
      </c>
      <c r="D42401" s="7">
        <v>8.44</v>
      </c>
      <c r="E42401" t="s">
        <v>54</v>
      </c>
    </row>
    <row r="42402" spans="1:5" x14ac:dyDescent="0.25">
      <c r="A42402" t="str">
        <f>HYPERLINK("https://www.773grp.com/globalSearch/MC100EP32DTR2G/page-1", "MC100EP32DTR2G")</f>
        <v>MC100EP32DTR2G</v>
      </c>
      <c r="B42402" s="3" t="s">
        <v>95</v>
      </c>
      <c r="C42402" s="6">
        <v>6979</v>
      </c>
      <c r="D42402" s="7">
        <v>8.44</v>
      </c>
      <c r="E42402" t="s">
        <v>54</v>
      </c>
    </row>
    <row r="42403" spans="1:5" x14ac:dyDescent="0.25">
      <c r="A42403" t="str">
        <f>HYPERLINK("https://www.773grp.com/globalSearch/MC100EP32MNR4G/page-1", "MC100EP32MNR4G")</f>
        <v>MC100EP32MNR4G</v>
      </c>
      <c r="B42403" s="3" t="s">
        <v>95</v>
      </c>
      <c r="C42403" s="6">
        <v>15022</v>
      </c>
      <c r="D42403" s="7">
        <v>8.44</v>
      </c>
      <c r="E42403" t="s">
        <v>54</v>
      </c>
    </row>
    <row r="42404" spans="1:5" x14ac:dyDescent="0.25">
      <c r="A42404" t="str">
        <f>HYPERLINK("https://www.773grp.com/globalSearch/MC100EP33DG/page-1", "MC100EP33DG")</f>
        <v>MC100EP33DG</v>
      </c>
      <c r="B42404" s="3" t="s">
        <v>95</v>
      </c>
      <c r="C42404" s="6">
        <v>28760</v>
      </c>
      <c r="D42404" s="7">
        <v>8.44</v>
      </c>
      <c r="E42404" t="s">
        <v>54</v>
      </c>
    </row>
    <row r="42405" spans="1:5" x14ac:dyDescent="0.25">
      <c r="A42405" t="str">
        <f>HYPERLINK("https://www.773grp.com/globalSearch/MC100EP33DR2G/page-1", "MC100EP33DR2G")</f>
        <v>MC100EP33DR2G</v>
      </c>
      <c r="B42405" s="3" t="s">
        <v>95</v>
      </c>
      <c r="C42405" s="6">
        <v>2500</v>
      </c>
      <c r="D42405" s="7">
        <v>8.44</v>
      </c>
      <c r="E42405" t="s">
        <v>54</v>
      </c>
    </row>
    <row r="42406" spans="1:5" x14ac:dyDescent="0.25">
      <c r="A42406" t="str">
        <f>HYPERLINK("https://www.773grp.com/globalSearch/MC100EP33DTG/page-1", "MC100EP33DTG")</f>
        <v>MC100EP33DTG</v>
      </c>
      <c r="B42406" s="3" t="s">
        <v>95</v>
      </c>
      <c r="C42406" s="6">
        <v>1890</v>
      </c>
      <c r="D42406" s="7">
        <v>8.44</v>
      </c>
      <c r="E42406" t="s">
        <v>54</v>
      </c>
    </row>
    <row r="42407" spans="1:5" x14ac:dyDescent="0.25">
      <c r="A42407" t="str">
        <f>HYPERLINK("https://www.773grp.com/globalSearch/MC100EP33DTR2G/page-1", "MC100EP33DTR2G")</f>
        <v>MC100EP33DTR2G</v>
      </c>
      <c r="B42407" s="3" t="s">
        <v>95</v>
      </c>
      <c r="C42407" s="6">
        <v>54</v>
      </c>
      <c r="D42407" s="7">
        <v>8.44</v>
      </c>
      <c r="E42407" t="s">
        <v>54</v>
      </c>
    </row>
    <row r="42408" spans="1:5" x14ac:dyDescent="0.25">
      <c r="A42408" t="str">
        <f>HYPERLINK("https://www.773grp.com/globalSearch/MC100EP33MNR4G/page-1", "MC100EP33MNR4G")</f>
        <v>MC100EP33MNR4G</v>
      </c>
      <c r="B42408" s="3" t="s">
        <v>95</v>
      </c>
      <c r="C42408" s="6">
        <v>4453</v>
      </c>
      <c r="D42408" s="7">
        <v>8.44</v>
      </c>
      <c r="E42408" t="s">
        <v>54</v>
      </c>
    </row>
    <row r="42409" spans="1:5" x14ac:dyDescent="0.25">
      <c r="A42409" t="str">
        <f>HYPERLINK("https://www.773grp.com/globalSearch/MC100EP52DG/page-1", "MC100EP52DG")</f>
        <v>MC100EP52DG</v>
      </c>
      <c r="B42409" s="3" t="s">
        <v>95</v>
      </c>
      <c r="C42409" s="6">
        <v>950</v>
      </c>
      <c r="D42409" s="7">
        <v>8.44</v>
      </c>
    </row>
    <row r="42410" spans="1:5" x14ac:dyDescent="0.25">
      <c r="A42410" t="str">
        <f>HYPERLINK("https://www.773grp.com/globalSearch/MC100EP52DR2G/page-1", "MC100EP52DR2G")</f>
        <v>MC100EP52DR2G</v>
      </c>
      <c r="B42410" s="3" t="s">
        <v>95</v>
      </c>
      <c r="C42410" s="6">
        <v>9800</v>
      </c>
      <c r="D42410" s="7">
        <v>8.44</v>
      </c>
      <c r="E42410" t="s">
        <v>35</v>
      </c>
    </row>
    <row r="42411" spans="1:5" x14ac:dyDescent="0.25">
      <c r="A42411" t="str">
        <f>HYPERLINK("https://www.773grp.com/globalSearch/MC100EP52DTG/page-1", "MC100EP52DTG")</f>
        <v>MC100EP52DTG</v>
      </c>
      <c r="B42411" s="3" t="s">
        <v>95</v>
      </c>
      <c r="C42411" s="6">
        <v>345</v>
      </c>
      <c r="D42411" s="7">
        <v>8.44</v>
      </c>
    </row>
    <row r="42412" spans="1:5" x14ac:dyDescent="0.25">
      <c r="A42412" t="str">
        <f>HYPERLINK("https://www.773grp.com/globalSearch/MC100EP52DTR2G/page-1", "MC100EP52DTR2G")</f>
        <v>MC100EP52DTR2G</v>
      </c>
      <c r="B42412" s="3" t="s">
        <v>95</v>
      </c>
      <c r="C42412" s="6">
        <v>343</v>
      </c>
      <c r="D42412" s="7">
        <v>8.44</v>
      </c>
      <c r="E42412" t="s">
        <v>35</v>
      </c>
    </row>
    <row r="42413" spans="1:5" x14ac:dyDescent="0.25">
      <c r="A42413" t="str">
        <f>HYPERLINK("https://www.773grp.com/globalSearch/MC100EP52MNR4G/page-1", "MC100EP52MNR4G")</f>
        <v>MC100EP52MNR4G</v>
      </c>
      <c r="B42413" s="3" t="s">
        <v>95</v>
      </c>
      <c r="C42413" s="6">
        <v>7865</v>
      </c>
      <c r="D42413" s="7">
        <v>8.44</v>
      </c>
      <c r="E42413" t="s">
        <v>35</v>
      </c>
    </row>
    <row r="42414" spans="1:5" x14ac:dyDescent="0.25">
      <c r="A42414" t="str">
        <f>HYPERLINK("https://www.773grp.com/globalSearch/MC100EP58DG/page-1", "MC100EP58DG")</f>
        <v>MC100EP58DG</v>
      </c>
      <c r="B42414" s="3" t="s">
        <v>95</v>
      </c>
      <c r="C42414" s="6">
        <v>35924</v>
      </c>
      <c r="D42414" s="7">
        <v>8.44</v>
      </c>
      <c r="E42414" t="s">
        <v>20</v>
      </c>
    </row>
    <row r="42415" spans="1:5" x14ac:dyDescent="0.25">
      <c r="A42415" t="str">
        <f>HYPERLINK("https://www.773grp.com/globalSearch/MC100EP58DR2G/page-1", "MC100EP58DR2G")</f>
        <v>MC100EP58DR2G</v>
      </c>
      <c r="B42415" s="3" t="s">
        <v>95</v>
      </c>
      <c r="C42415" s="6">
        <v>5000</v>
      </c>
      <c r="D42415" s="7">
        <v>8.44</v>
      </c>
    </row>
    <row r="42416" spans="1:5" x14ac:dyDescent="0.25">
      <c r="A42416" t="str">
        <f>HYPERLINK("https://www.773grp.com/globalSearch/MC100EP58DTG/page-1", "MC100EP58DTG")</f>
        <v>MC100EP58DTG</v>
      </c>
      <c r="B42416" s="3" t="s">
        <v>95</v>
      </c>
      <c r="C42416" s="6">
        <v>6337</v>
      </c>
      <c r="D42416" s="7">
        <v>8.44</v>
      </c>
      <c r="E42416" t="s">
        <v>20</v>
      </c>
    </row>
    <row r="42417" spans="1:5" x14ac:dyDescent="0.25">
      <c r="A42417" t="str">
        <f>HYPERLINK("https://www.773grp.com/globalSearch/MC100EP58DTR2G/page-1", "MC100EP58DTR2G")</f>
        <v>MC100EP58DTR2G</v>
      </c>
      <c r="B42417" s="3" t="s">
        <v>95</v>
      </c>
      <c r="C42417" s="6">
        <v>10022</v>
      </c>
      <c r="D42417" s="7">
        <v>8.44</v>
      </c>
      <c r="E42417" t="s">
        <v>20</v>
      </c>
    </row>
    <row r="42418" spans="1:5" x14ac:dyDescent="0.25">
      <c r="A42418" t="str">
        <f>HYPERLINK("https://www.773grp.com/globalSearch/MC100LVE222FA/page-1", "MC100LVE222FA")</f>
        <v>MC100LVE222FA</v>
      </c>
      <c r="B42418" s="3" t="s">
        <v>95</v>
      </c>
      <c r="C42418" s="6">
        <v>305</v>
      </c>
      <c r="D42418" s="7">
        <v>8.44</v>
      </c>
      <c r="E42418" t="s">
        <v>34</v>
      </c>
    </row>
    <row r="42419" spans="1:5" x14ac:dyDescent="0.25">
      <c r="A42419" t="str">
        <f>HYPERLINK("https://www.773grp.com/globalSearch/MC100LVE222FAR2/page-1", "MC100LVE222FAR2")</f>
        <v>MC100LVE222FAR2</v>
      </c>
      <c r="B42419" s="3" t="s">
        <v>95</v>
      </c>
      <c r="C42419" s="6">
        <v>1500</v>
      </c>
      <c r="D42419" s="7">
        <v>8.44</v>
      </c>
      <c r="E42419" t="s">
        <v>34</v>
      </c>
    </row>
    <row r="42420" spans="1:5" x14ac:dyDescent="0.25">
      <c r="A42420" t="str">
        <f>HYPERLINK("https://www.773grp.com/globalSearch/MC100LVEL58MNR4G/page-1", "MC100LVEL58MNR4G")</f>
        <v>MC100LVEL58MNR4G</v>
      </c>
      <c r="B42420" s="3" t="s">
        <v>95</v>
      </c>
      <c r="C42420" s="6">
        <v>3000</v>
      </c>
      <c r="D42420" s="7">
        <v>8.44</v>
      </c>
      <c r="E42420" t="s">
        <v>20</v>
      </c>
    </row>
    <row r="42421" spans="1:5" x14ac:dyDescent="0.25">
      <c r="A42421" t="str">
        <f>HYPERLINK("https://www.773grp.com/globalSearch/MC100LVEP11DG/page-1", "MC100LVEP11DG")</f>
        <v>MC100LVEP11DG</v>
      </c>
      <c r="B42421" s="3" t="s">
        <v>95</v>
      </c>
      <c r="C42421" s="6">
        <v>635</v>
      </c>
      <c r="D42421" s="7">
        <v>8.44</v>
      </c>
    </row>
    <row r="42422" spans="1:5" x14ac:dyDescent="0.25">
      <c r="A42422" t="str">
        <f>HYPERLINK("https://www.773grp.com/globalSearch/MC100LVEP11DTG/page-1", "MC100LVEP11DTG")</f>
        <v>MC100LVEP11DTG</v>
      </c>
      <c r="B42422" s="3" t="s">
        <v>95</v>
      </c>
      <c r="C42422" s="6">
        <v>1091</v>
      </c>
      <c r="D42422" s="7">
        <v>8.44</v>
      </c>
      <c r="E42422" t="s">
        <v>34</v>
      </c>
    </row>
    <row r="42423" spans="1:5" x14ac:dyDescent="0.25">
      <c r="A42423" t="str">
        <f>HYPERLINK("https://www.773grp.com/globalSearch/MC100LVEP11MNR4G/page-1", "MC100LVEP11MNR4G")</f>
        <v>MC100LVEP11MNR4G</v>
      </c>
      <c r="B42423" s="3" t="s">
        <v>95</v>
      </c>
      <c r="C42423" s="6">
        <v>3904</v>
      </c>
      <c r="D42423" s="7">
        <v>8.44</v>
      </c>
      <c r="E42423" t="s">
        <v>34</v>
      </c>
    </row>
    <row r="42424" spans="1:5" x14ac:dyDescent="0.25">
      <c r="A42424" t="str">
        <f>HYPERLINK("https://www.773grp.com/globalSearch/MC100LVEP16DG/page-1", "MC100LVEP16DG")</f>
        <v>MC100LVEP16DG</v>
      </c>
      <c r="B42424" s="3" t="s">
        <v>95</v>
      </c>
      <c r="C42424" s="6">
        <v>21507</v>
      </c>
      <c r="D42424" s="7">
        <v>8.44</v>
      </c>
      <c r="E42424" t="s">
        <v>21</v>
      </c>
    </row>
    <row r="42425" spans="1:5" x14ac:dyDescent="0.25">
      <c r="A42425" t="str">
        <f>HYPERLINK("https://www.773grp.com/globalSearch/MC100LVEP16DR2G/page-1", "MC100LVEP16DR2G")</f>
        <v>MC100LVEP16DR2G</v>
      </c>
      <c r="B42425" s="3" t="s">
        <v>95</v>
      </c>
      <c r="C42425" s="6">
        <v>15000</v>
      </c>
      <c r="D42425" s="7">
        <v>8.44</v>
      </c>
    </row>
    <row r="42426" spans="1:5" x14ac:dyDescent="0.25">
      <c r="A42426" t="str">
        <f>HYPERLINK("https://www.773grp.com/globalSearch/MC100LVEP16DTG/page-1", "MC100LVEP16DTG")</f>
        <v>MC100LVEP16DTG</v>
      </c>
      <c r="B42426" s="3" t="s">
        <v>95</v>
      </c>
      <c r="C42426" s="6">
        <v>18474</v>
      </c>
      <c r="D42426" s="7">
        <v>8.44</v>
      </c>
      <c r="E42426" t="s">
        <v>21</v>
      </c>
    </row>
    <row r="42427" spans="1:5" x14ac:dyDescent="0.25">
      <c r="A42427" t="str">
        <f>HYPERLINK("https://www.773grp.com/globalSearch/MC100LVEP16DTR2G/page-1", "MC100LVEP16DTR2G")</f>
        <v>MC100LVEP16DTR2G</v>
      </c>
      <c r="B42427" s="3" t="s">
        <v>95</v>
      </c>
      <c r="C42427" s="6">
        <v>4677</v>
      </c>
      <c r="D42427" s="7">
        <v>8.44</v>
      </c>
      <c r="E42427" t="s">
        <v>21</v>
      </c>
    </row>
    <row r="42428" spans="1:5" x14ac:dyDescent="0.25">
      <c r="A42428" t="str">
        <f>HYPERLINK("https://www.773grp.com/globalSearch/MC100LVEP16MNR4G/page-1", "MC100LVEP16MNR4G")</f>
        <v>MC100LVEP16MNR4G</v>
      </c>
      <c r="B42428" s="3" t="s">
        <v>95</v>
      </c>
      <c r="C42428" s="6">
        <v>13869</v>
      </c>
      <c r="D42428" s="7">
        <v>8.44</v>
      </c>
      <c r="E42428" t="s">
        <v>21</v>
      </c>
    </row>
    <row r="42429" spans="1:5" x14ac:dyDescent="0.25">
      <c r="A42429" t="str">
        <f>HYPERLINK("https://www.773grp.com/globalSearch/MC10188L/page-1", "MC10188L")</f>
        <v>MC10188L</v>
      </c>
      <c r="B42429" s="3" t="s">
        <v>95</v>
      </c>
      <c r="C42429" s="6">
        <v>54</v>
      </c>
      <c r="D42429" s="7">
        <v>8.44</v>
      </c>
      <c r="E42429" t="s">
        <v>31</v>
      </c>
    </row>
    <row r="42430" spans="1:5" x14ac:dyDescent="0.25">
      <c r="A42430" t="str">
        <f>HYPERLINK("https://www.773grp.com/globalSearch/MC10EL58DG/page-1", "MC10EL58DG")</f>
        <v>MC10EL58DG</v>
      </c>
      <c r="B42430" s="3" t="s">
        <v>95</v>
      </c>
      <c r="C42430" s="6">
        <v>1156</v>
      </c>
      <c r="D42430" s="7">
        <v>8.44</v>
      </c>
      <c r="E42430" t="s">
        <v>20</v>
      </c>
    </row>
    <row r="42431" spans="1:5" x14ac:dyDescent="0.25">
      <c r="A42431" t="str">
        <f>HYPERLINK("https://www.773grp.com/globalSearch/MC10EL58DR2G/page-1", "MC10EL58DR2G")</f>
        <v>MC10EL58DR2G</v>
      </c>
      <c r="B42431" s="3" t="s">
        <v>95</v>
      </c>
      <c r="C42431" s="6">
        <v>5000</v>
      </c>
      <c r="D42431" s="7">
        <v>8.44</v>
      </c>
      <c r="E42431" t="s">
        <v>20</v>
      </c>
    </row>
    <row r="42432" spans="1:5" x14ac:dyDescent="0.25">
      <c r="A42432" t="str">
        <f>HYPERLINK("https://www.773grp.com/globalSearch/MC10EL58DTG/page-1", "MC10EL58DTG")</f>
        <v>MC10EL58DTG</v>
      </c>
      <c r="B42432" s="3" t="s">
        <v>95</v>
      </c>
      <c r="C42432" s="6">
        <v>5621</v>
      </c>
      <c r="D42432" s="7">
        <v>8.44</v>
      </c>
      <c r="E42432" t="s">
        <v>20</v>
      </c>
    </row>
    <row r="42433" spans="1:5" x14ac:dyDescent="0.25">
      <c r="A42433" t="str">
        <f>HYPERLINK("https://www.773grp.com/globalSearch/MC10EL58DTR2/page-1", "MC10EL58DTR2")</f>
        <v>MC10EL58DTR2</v>
      </c>
      <c r="B42433" s="3" t="s">
        <v>95</v>
      </c>
      <c r="C42433" s="6">
        <v>2393</v>
      </c>
      <c r="D42433" s="7">
        <v>8.44</v>
      </c>
      <c r="E42433" t="s">
        <v>20</v>
      </c>
    </row>
    <row r="42434" spans="1:5" x14ac:dyDescent="0.25">
      <c r="A42434" t="str">
        <f>HYPERLINK("https://www.773grp.com/globalSearch/MC10EL58DTR2G/page-1", "MC10EL58DTR2G")</f>
        <v>MC10EL58DTR2G</v>
      </c>
      <c r="B42434" s="3" t="s">
        <v>95</v>
      </c>
      <c r="C42434" s="6">
        <v>7264</v>
      </c>
      <c r="D42434" s="7">
        <v>8.44</v>
      </c>
      <c r="E42434" t="s">
        <v>20</v>
      </c>
    </row>
    <row r="42435" spans="1:5" x14ac:dyDescent="0.25">
      <c r="A42435" t="str">
        <f>HYPERLINK("https://www.773grp.com/globalSearch/MC10EP01DG/page-1", "MC10EP01DG")</f>
        <v>MC10EP01DG</v>
      </c>
      <c r="B42435" s="3" t="s">
        <v>95</v>
      </c>
      <c r="C42435" s="6">
        <v>18757</v>
      </c>
      <c r="D42435" s="7">
        <v>8.44</v>
      </c>
      <c r="E42435" t="s">
        <v>31</v>
      </c>
    </row>
    <row r="42436" spans="1:5" x14ac:dyDescent="0.25">
      <c r="A42436" t="str">
        <f>HYPERLINK("https://www.773grp.com/globalSearch/MC10EP01DTG/page-1", "MC10EP01DTG")</f>
        <v>MC10EP01DTG</v>
      </c>
      <c r="B42436" s="3" t="s">
        <v>95</v>
      </c>
      <c r="C42436" s="6">
        <v>8917</v>
      </c>
      <c r="D42436" s="7">
        <v>8.44</v>
      </c>
      <c r="E42436" t="s">
        <v>31</v>
      </c>
    </row>
    <row r="42437" spans="1:5" x14ac:dyDescent="0.25">
      <c r="A42437" t="str">
        <f>HYPERLINK("https://www.773grp.com/globalSearch/MC10EP01DTR2G/page-1", "MC10EP01DTR2G")</f>
        <v>MC10EP01DTR2G</v>
      </c>
      <c r="B42437" s="3" t="s">
        <v>95</v>
      </c>
      <c r="C42437" s="6">
        <v>7500</v>
      </c>
      <c r="D42437" s="7">
        <v>8.44</v>
      </c>
      <c r="E42437" t="s">
        <v>31</v>
      </c>
    </row>
    <row r="42438" spans="1:5" x14ac:dyDescent="0.25">
      <c r="A42438" t="str">
        <f>HYPERLINK("https://www.773grp.com/globalSearch/MC10EP01MNR4G/page-1", "MC10EP01MNR4G")</f>
        <v>MC10EP01MNR4G</v>
      </c>
      <c r="B42438" s="3" t="s">
        <v>95</v>
      </c>
      <c r="C42438" s="6">
        <v>12931</v>
      </c>
      <c r="D42438" s="7">
        <v>8.44</v>
      </c>
      <c r="E42438" t="s">
        <v>31</v>
      </c>
    </row>
    <row r="42439" spans="1:5" x14ac:dyDescent="0.25">
      <c r="A42439" t="str">
        <f>HYPERLINK("https://www.773grp.com/globalSearch/MC10EP05DG/page-1", "MC10EP05DG")</f>
        <v>MC10EP05DG</v>
      </c>
      <c r="B42439" s="3" t="s">
        <v>95</v>
      </c>
      <c r="C42439" s="6">
        <v>23536</v>
      </c>
      <c r="D42439" s="7">
        <v>8.44</v>
      </c>
      <c r="E42439" t="s">
        <v>31</v>
      </c>
    </row>
    <row r="42440" spans="1:5" x14ac:dyDescent="0.25">
      <c r="A42440" t="str">
        <f>HYPERLINK("https://www.773grp.com/globalSearch/MC10EP05DR2G/page-1", "MC10EP05DR2G")</f>
        <v>MC10EP05DR2G</v>
      </c>
      <c r="B42440" s="3" t="s">
        <v>95</v>
      </c>
      <c r="C42440" s="6">
        <v>39200</v>
      </c>
      <c r="D42440" s="7">
        <v>8.44</v>
      </c>
      <c r="E42440" t="s">
        <v>31</v>
      </c>
    </row>
    <row r="42441" spans="1:5" x14ac:dyDescent="0.25">
      <c r="A42441" t="str">
        <f>HYPERLINK("https://www.773grp.com/globalSearch/MC10EP05DTG/page-1", "MC10EP05DTG")</f>
        <v>MC10EP05DTG</v>
      </c>
      <c r="B42441" s="3" t="s">
        <v>95</v>
      </c>
      <c r="C42441" s="6">
        <v>15219</v>
      </c>
      <c r="D42441" s="7">
        <v>8.44</v>
      </c>
      <c r="E42441" t="s">
        <v>31</v>
      </c>
    </row>
    <row r="42442" spans="1:5" x14ac:dyDescent="0.25">
      <c r="A42442" t="str">
        <f>HYPERLINK("https://www.773grp.com/globalSearch/MC10EP05DTR2G/page-1", "MC10EP05DTR2G")</f>
        <v>MC10EP05DTR2G</v>
      </c>
      <c r="B42442" s="3" t="s">
        <v>95</v>
      </c>
      <c r="C42442" s="6">
        <v>4160</v>
      </c>
      <c r="D42442" s="7">
        <v>8.44</v>
      </c>
      <c r="E42442" t="s">
        <v>31</v>
      </c>
    </row>
    <row r="42443" spans="1:5" x14ac:dyDescent="0.25">
      <c r="A42443" t="str">
        <f>HYPERLINK("https://www.773grp.com/globalSearch/MC10EP08DG/page-1", "MC10EP08DG")</f>
        <v>MC10EP08DG</v>
      </c>
      <c r="B42443" s="3" t="s">
        <v>95</v>
      </c>
      <c r="C42443" s="6">
        <v>3900</v>
      </c>
      <c r="D42443" s="7">
        <v>8.44</v>
      </c>
      <c r="E42443" t="s">
        <v>31</v>
      </c>
    </row>
    <row r="42444" spans="1:5" x14ac:dyDescent="0.25">
      <c r="A42444" t="str">
        <f>HYPERLINK("https://www.773grp.com/globalSearch/MC10EP08DR2G/page-1", "MC10EP08DR2G")</f>
        <v>MC10EP08DR2G</v>
      </c>
      <c r="B42444" s="3" t="s">
        <v>95</v>
      </c>
      <c r="C42444" s="6">
        <v>10400</v>
      </c>
      <c r="D42444" s="7">
        <v>8.44</v>
      </c>
      <c r="E42444" t="s">
        <v>31</v>
      </c>
    </row>
    <row r="42445" spans="1:5" x14ac:dyDescent="0.25">
      <c r="A42445" t="str">
        <f>HYPERLINK("https://www.773grp.com/globalSearch/MC10EP08DTG/page-1", "MC10EP08DTG")</f>
        <v>MC10EP08DTG</v>
      </c>
      <c r="B42445" s="3" t="s">
        <v>95</v>
      </c>
      <c r="C42445" s="6">
        <v>23890</v>
      </c>
      <c r="D42445" s="7">
        <v>8.44</v>
      </c>
      <c r="E42445" t="s">
        <v>31</v>
      </c>
    </row>
    <row r="42446" spans="1:5" x14ac:dyDescent="0.25">
      <c r="A42446" t="str">
        <f>HYPERLINK("https://www.773grp.com/globalSearch/MC10EP08DTR2G/page-1", "MC10EP08DTR2G")</f>
        <v>MC10EP08DTR2G</v>
      </c>
      <c r="B42446" s="3" t="s">
        <v>95</v>
      </c>
      <c r="C42446" s="6">
        <v>2683</v>
      </c>
      <c r="D42446" s="7">
        <v>8.44</v>
      </c>
      <c r="E42446" t="s">
        <v>31</v>
      </c>
    </row>
    <row r="42447" spans="1:5" x14ac:dyDescent="0.25">
      <c r="A42447" t="str">
        <f>HYPERLINK("https://www.773grp.com/globalSearch/MC10EP11DG/page-1", "MC10EP11DG")</f>
        <v>MC10EP11DG</v>
      </c>
      <c r="B42447" s="3" t="s">
        <v>95</v>
      </c>
      <c r="C42447" s="6">
        <v>266</v>
      </c>
      <c r="D42447" s="7">
        <v>8.44</v>
      </c>
      <c r="E42447" t="s">
        <v>34</v>
      </c>
    </row>
    <row r="42448" spans="1:5" x14ac:dyDescent="0.25">
      <c r="A42448" t="str">
        <f>HYPERLINK("https://www.773grp.com/globalSearch/MC10EP11DTG/page-1", "MC10EP11DTG")</f>
        <v>MC10EP11DTG</v>
      </c>
      <c r="B42448" s="3" t="s">
        <v>95</v>
      </c>
      <c r="C42448" s="6">
        <v>15086</v>
      </c>
      <c r="D42448" s="7">
        <v>8.44</v>
      </c>
      <c r="E42448" t="s">
        <v>34</v>
      </c>
    </row>
    <row r="42449" spans="1:5" x14ac:dyDescent="0.25">
      <c r="A42449" t="str">
        <f>HYPERLINK("https://www.773grp.com/globalSearch/MC10EP11DTR2G/page-1", "MC10EP11DTR2G")</f>
        <v>MC10EP11DTR2G</v>
      </c>
      <c r="B42449" s="3" t="s">
        <v>95</v>
      </c>
      <c r="C42449" s="6">
        <v>4411</v>
      </c>
      <c r="D42449" s="7">
        <v>8.44</v>
      </c>
      <c r="E42449" t="s">
        <v>34</v>
      </c>
    </row>
    <row r="42450" spans="1:5" x14ac:dyDescent="0.25">
      <c r="A42450" t="str">
        <f>HYPERLINK("https://www.773grp.com/globalSearch/MC10EP16VADG/page-1", "MC10EP16VADG")</f>
        <v>MC10EP16VADG</v>
      </c>
      <c r="B42450" s="3" t="s">
        <v>95</v>
      </c>
      <c r="C42450" s="6">
        <v>15171</v>
      </c>
      <c r="D42450" s="7">
        <v>8.44</v>
      </c>
      <c r="E42450" t="s">
        <v>21</v>
      </c>
    </row>
    <row r="42451" spans="1:5" x14ac:dyDescent="0.25">
      <c r="A42451" t="str">
        <f>HYPERLINK("https://www.773grp.com/globalSearch/MC10EP16VADTG/page-1", "MC10EP16VADTG")</f>
        <v>MC10EP16VADTG</v>
      </c>
      <c r="B42451" s="3" t="s">
        <v>95</v>
      </c>
      <c r="C42451" s="6">
        <v>15351</v>
      </c>
      <c r="D42451" s="7">
        <v>8.44</v>
      </c>
      <c r="E42451" t="s">
        <v>21</v>
      </c>
    </row>
    <row r="42452" spans="1:5" x14ac:dyDescent="0.25">
      <c r="A42452" t="str">
        <f>HYPERLINK("https://www.773grp.com/globalSearch/MC10EP16VADTR2G/page-1", "MC10EP16VADTR2G")</f>
        <v>MC10EP16VADTR2G</v>
      </c>
      <c r="B42452" s="3" t="s">
        <v>95</v>
      </c>
      <c r="C42452" s="6">
        <v>5000</v>
      </c>
      <c r="D42452" s="7">
        <v>8.44</v>
      </c>
      <c r="E42452" t="s">
        <v>21</v>
      </c>
    </row>
    <row r="42453" spans="1:5" x14ac:dyDescent="0.25">
      <c r="A42453" t="str">
        <f>HYPERLINK("https://www.773grp.com/globalSearch/MC10EP16VAMNR4G/page-1", "MC10EP16VAMNR4G")</f>
        <v>MC10EP16VAMNR4G</v>
      </c>
      <c r="B42453" s="3" t="s">
        <v>95</v>
      </c>
      <c r="C42453" s="6">
        <v>14026</v>
      </c>
      <c r="D42453" s="7">
        <v>8.44</v>
      </c>
      <c r="E42453" t="s">
        <v>21</v>
      </c>
    </row>
    <row r="42454" spans="1:5" x14ac:dyDescent="0.25">
      <c r="A42454" t="str">
        <f>HYPERLINK("https://www.773grp.com/globalSearch/MC10EP32DG/page-1", "MC10EP32DG")</f>
        <v>MC10EP32DG</v>
      </c>
      <c r="B42454" s="3" t="s">
        <v>95</v>
      </c>
      <c r="C42454" s="6">
        <v>2766</v>
      </c>
      <c r="D42454" s="7">
        <v>8.44</v>
      </c>
      <c r="E42454" t="s">
        <v>54</v>
      </c>
    </row>
    <row r="42455" spans="1:5" x14ac:dyDescent="0.25">
      <c r="A42455" t="str">
        <f>HYPERLINK("https://www.773grp.com/globalSearch/MC10EP32DR2G/page-1", "MC10EP32DR2G")</f>
        <v>MC10EP32DR2G</v>
      </c>
      <c r="B42455" s="3" t="s">
        <v>95</v>
      </c>
      <c r="C42455" s="6">
        <v>3881</v>
      </c>
      <c r="D42455" s="7">
        <v>8.44</v>
      </c>
      <c r="E42455" t="s">
        <v>54</v>
      </c>
    </row>
    <row r="42456" spans="1:5" x14ac:dyDescent="0.25">
      <c r="A42456" t="str">
        <f>HYPERLINK("https://www.773grp.com/globalSearch/MC10EP32DTG/page-1", "MC10EP32DTG")</f>
        <v>MC10EP32DTG</v>
      </c>
      <c r="B42456" s="3" t="s">
        <v>95</v>
      </c>
      <c r="C42456" s="6">
        <v>10649</v>
      </c>
      <c r="D42456" s="7">
        <v>8.44</v>
      </c>
      <c r="E42456" t="s">
        <v>54</v>
      </c>
    </row>
    <row r="42457" spans="1:5" x14ac:dyDescent="0.25">
      <c r="A42457" t="str">
        <f>HYPERLINK("https://www.773grp.com/globalSearch/MC10EP32DTR2G/page-1", "MC10EP32DTR2G")</f>
        <v>MC10EP32DTR2G</v>
      </c>
      <c r="B42457" s="3" t="s">
        <v>95</v>
      </c>
      <c r="C42457" s="6">
        <v>1250</v>
      </c>
      <c r="D42457" s="7">
        <v>8.44</v>
      </c>
      <c r="E42457" t="s">
        <v>54</v>
      </c>
    </row>
    <row r="42458" spans="1:5" x14ac:dyDescent="0.25">
      <c r="A42458" t="str">
        <f>HYPERLINK("https://www.773grp.com/globalSearch/MC10EP32MNR4G/page-1", "MC10EP32MNR4G")</f>
        <v>MC10EP32MNR4G</v>
      </c>
      <c r="B42458" s="3" t="s">
        <v>95</v>
      </c>
      <c r="C42458" s="6">
        <v>11040</v>
      </c>
      <c r="D42458" s="7">
        <v>8.44</v>
      </c>
      <c r="E42458" t="s">
        <v>54</v>
      </c>
    </row>
    <row r="42459" spans="1:5" x14ac:dyDescent="0.25">
      <c r="A42459" t="str">
        <f>HYPERLINK("https://www.773grp.com/globalSearch/MC10EP33DG/page-1", "MC10EP33DG")</f>
        <v>MC10EP33DG</v>
      </c>
      <c r="B42459" s="3" t="s">
        <v>95</v>
      </c>
      <c r="C42459" s="6">
        <v>10323</v>
      </c>
      <c r="D42459" s="7">
        <v>8.44</v>
      </c>
      <c r="E42459" t="s">
        <v>54</v>
      </c>
    </row>
    <row r="42460" spans="1:5" x14ac:dyDescent="0.25">
      <c r="A42460" t="str">
        <f>HYPERLINK("https://www.773grp.com/globalSearch/MC10EP33DR2G/page-1", "MC10EP33DR2G")</f>
        <v>MC10EP33DR2G</v>
      </c>
      <c r="B42460" s="3" t="s">
        <v>95</v>
      </c>
      <c r="C42460" s="6">
        <v>999</v>
      </c>
      <c r="D42460" s="7">
        <v>8.44</v>
      </c>
      <c r="E42460" t="s">
        <v>54</v>
      </c>
    </row>
    <row r="42461" spans="1:5" x14ac:dyDescent="0.25">
      <c r="A42461" t="str">
        <f>HYPERLINK("https://www.773grp.com/globalSearch/MC10EP33DTG/page-1", "MC10EP33DTG")</f>
        <v>MC10EP33DTG</v>
      </c>
      <c r="B42461" s="3" t="s">
        <v>95</v>
      </c>
      <c r="C42461" s="6">
        <v>15867</v>
      </c>
      <c r="D42461" s="7">
        <v>8.44</v>
      </c>
      <c r="E42461" t="s">
        <v>54</v>
      </c>
    </row>
    <row r="42462" spans="1:5" x14ac:dyDescent="0.25">
      <c r="A42462" t="str">
        <f>HYPERLINK("https://www.773grp.com/globalSearch/MC10EP51DG/page-1", "MC10EP51DG")</f>
        <v>MC10EP51DG</v>
      </c>
      <c r="B42462" s="3" t="s">
        <v>95</v>
      </c>
      <c r="C42462" s="6">
        <v>18777</v>
      </c>
      <c r="D42462" s="7">
        <v>8.44</v>
      </c>
      <c r="E42462" t="s">
        <v>35</v>
      </c>
    </row>
    <row r="42463" spans="1:5" x14ac:dyDescent="0.25">
      <c r="A42463" t="str">
        <f>HYPERLINK("https://www.773grp.com/globalSearch/MC10EP51DR2G/page-1", "MC10EP51DR2G")</f>
        <v>MC10EP51DR2G</v>
      </c>
      <c r="B42463" s="3" t="s">
        <v>95</v>
      </c>
      <c r="C42463" s="6">
        <v>30000</v>
      </c>
      <c r="D42463" s="7">
        <v>8.44</v>
      </c>
      <c r="E42463" t="s">
        <v>35</v>
      </c>
    </row>
    <row r="42464" spans="1:5" x14ac:dyDescent="0.25">
      <c r="A42464" t="str">
        <f>HYPERLINK("https://www.773grp.com/globalSearch/MC10EP51DTG/page-1", "MC10EP51DTG")</f>
        <v>MC10EP51DTG</v>
      </c>
      <c r="B42464" s="3" t="s">
        <v>95</v>
      </c>
      <c r="C42464" s="6">
        <v>28990</v>
      </c>
      <c r="D42464" s="7">
        <v>8.44</v>
      </c>
      <c r="E42464" t="s">
        <v>35</v>
      </c>
    </row>
    <row r="42465" spans="1:5" x14ac:dyDescent="0.25">
      <c r="A42465" t="str">
        <f>HYPERLINK("https://www.773grp.com/globalSearch/MC10EP51DTR2G/page-1", "MC10EP51DTR2G")</f>
        <v>MC10EP51DTR2G</v>
      </c>
      <c r="B42465" s="3" t="s">
        <v>95</v>
      </c>
      <c r="C42465" s="6">
        <v>2500</v>
      </c>
      <c r="D42465" s="7">
        <v>8.44</v>
      </c>
      <c r="E42465" t="s">
        <v>35</v>
      </c>
    </row>
    <row r="42466" spans="1:5" x14ac:dyDescent="0.25">
      <c r="A42466" t="str">
        <f>HYPERLINK("https://www.773grp.com/globalSearch/MC10EP52DG/page-1", "MC10EP52DG")</f>
        <v>MC10EP52DG</v>
      </c>
      <c r="B42466" s="3" t="s">
        <v>95</v>
      </c>
      <c r="C42466" s="6">
        <v>14596</v>
      </c>
      <c r="D42466" s="7">
        <v>8.44</v>
      </c>
      <c r="E42466" t="s">
        <v>35</v>
      </c>
    </row>
    <row r="42467" spans="1:5" x14ac:dyDescent="0.25">
      <c r="A42467" t="str">
        <f>HYPERLINK("https://www.773grp.com/globalSearch/MC10EP52DR2G/page-1", "MC10EP52DR2G")</f>
        <v>MC10EP52DR2G</v>
      </c>
      <c r="B42467" s="3" t="s">
        <v>95</v>
      </c>
      <c r="C42467" s="6">
        <v>16276</v>
      </c>
      <c r="D42467" s="7">
        <v>8.44</v>
      </c>
      <c r="E42467" t="s">
        <v>35</v>
      </c>
    </row>
    <row r="42468" spans="1:5" x14ac:dyDescent="0.25">
      <c r="A42468" t="str">
        <f>HYPERLINK("https://www.773grp.com/globalSearch/MC10EP52DTG/page-1", "MC10EP52DTG")</f>
        <v>MC10EP52DTG</v>
      </c>
      <c r="B42468" s="3" t="s">
        <v>95</v>
      </c>
      <c r="C42468" s="6">
        <v>4646</v>
      </c>
      <c r="D42468" s="7">
        <v>8.44</v>
      </c>
      <c r="E42468" t="s">
        <v>35</v>
      </c>
    </row>
    <row r="42469" spans="1:5" x14ac:dyDescent="0.25">
      <c r="A42469" t="str">
        <f>HYPERLINK("https://www.773grp.com/globalSearch/MC10EP52DTR2G/page-1", "MC10EP52DTR2G")</f>
        <v>MC10EP52DTR2G</v>
      </c>
      <c r="B42469" s="3" t="s">
        <v>95</v>
      </c>
      <c r="C42469" s="6">
        <v>10000</v>
      </c>
      <c r="D42469" s="7">
        <v>8.44</v>
      </c>
      <c r="E42469" t="s">
        <v>35</v>
      </c>
    </row>
    <row r="42470" spans="1:5" x14ac:dyDescent="0.25">
      <c r="A42470" t="str">
        <f>HYPERLINK("https://www.773grp.com/globalSearch/MC10EP58DG/page-1", "MC10EP58DG")</f>
        <v>MC10EP58DG</v>
      </c>
      <c r="B42470" s="3" t="s">
        <v>95</v>
      </c>
      <c r="C42470" s="6">
        <v>6214</v>
      </c>
      <c r="D42470" s="7">
        <v>8.44</v>
      </c>
      <c r="E42470" t="s">
        <v>20</v>
      </c>
    </row>
    <row r="42471" spans="1:5" x14ac:dyDescent="0.25">
      <c r="A42471" t="str">
        <f>HYPERLINK("https://www.773grp.com/globalSearch/MC10EP58DTG/page-1", "MC10EP58DTG")</f>
        <v>MC10EP58DTG</v>
      </c>
      <c r="B42471" s="3" t="s">
        <v>95</v>
      </c>
      <c r="C42471" s="6">
        <v>470</v>
      </c>
      <c r="D42471" s="7">
        <v>8.44</v>
      </c>
      <c r="E42471" t="s">
        <v>20</v>
      </c>
    </row>
    <row r="42472" spans="1:5" x14ac:dyDescent="0.25">
      <c r="A42472" t="str">
        <f>HYPERLINK("https://www.773grp.com/globalSearch/MC10EP58DTR2G/page-1", "MC10EP58DTR2G")</f>
        <v>MC10EP58DTR2G</v>
      </c>
      <c r="B42472" s="3" t="s">
        <v>95</v>
      </c>
      <c r="C42472" s="6">
        <v>2500</v>
      </c>
      <c r="D42472" s="7">
        <v>8.44</v>
      </c>
      <c r="E42472" t="s">
        <v>20</v>
      </c>
    </row>
    <row r="42473" spans="1:5" x14ac:dyDescent="0.25">
      <c r="A42473" t="str">
        <f>HYPERLINK("https://www.773grp.com/globalSearch/MC10LVEP11DG/page-1", "MC10LVEP11DG")</f>
        <v>MC10LVEP11DG</v>
      </c>
      <c r="B42473" s="3" t="s">
        <v>95</v>
      </c>
      <c r="C42473" s="6">
        <v>6352</v>
      </c>
      <c r="D42473" s="7">
        <v>8.44</v>
      </c>
      <c r="E42473" t="s">
        <v>34</v>
      </c>
    </row>
    <row r="42474" spans="1:5" x14ac:dyDescent="0.25">
      <c r="A42474" t="str">
        <f>HYPERLINK("https://www.773grp.com/globalSearch/MC10LVEP11DR2G/page-1", "MC10LVEP11DR2G")</f>
        <v>MC10LVEP11DR2G</v>
      </c>
      <c r="B42474" s="3" t="s">
        <v>95</v>
      </c>
      <c r="C42474" s="6">
        <v>27467</v>
      </c>
      <c r="D42474" s="7">
        <v>8.44</v>
      </c>
      <c r="E42474" t="s">
        <v>34</v>
      </c>
    </row>
    <row r="42475" spans="1:5" x14ac:dyDescent="0.25">
      <c r="A42475" t="str">
        <f>HYPERLINK("https://www.773grp.com/globalSearch/MC10LVEP11DTG/page-1", "MC10LVEP11DTG")</f>
        <v>MC10LVEP11DTG</v>
      </c>
      <c r="B42475" s="3" t="s">
        <v>95</v>
      </c>
      <c r="C42475" s="6">
        <v>8701</v>
      </c>
      <c r="D42475" s="7">
        <v>8.44</v>
      </c>
      <c r="E42475" t="s">
        <v>34</v>
      </c>
    </row>
    <row r="42476" spans="1:5" x14ac:dyDescent="0.25">
      <c r="A42476" t="str">
        <f>HYPERLINK("https://www.773grp.com/globalSearch/MC10LVEP16DG/page-1", "MC10LVEP16DG")</f>
        <v>MC10LVEP16DG</v>
      </c>
      <c r="B42476" s="3" t="s">
        <v>95</v>
      </c>
      <c r="C42476" s="6">
        <v>9443</v>
      </c>
      <c r="D42476" s="7">
        <v>8.44</v>
      </c>
      <c r="E42476" t="s">
        <v>21</v>
      </c>
    </row>
    <row r="42477" spans="1:5" x14ac:dyDescent="0.25">
      <c r="A42477" t="str">
        <f>HYPERLINK("https://www.773grp.com/globalSearch/MC10LVEP16DTG/page-1", "MC10LVEP16DTG")</f>
        <v>MC10LVEP16DTG</v>
      </c>
      <c r="B42477" s="3" t="s">
        <v>95</v>
      </c>
      <c r="C42477" s="6">
        <v>6806</v>
      </c>
      <c r="D42477" s="7">
        <v>8.44</v>
      </c>
      <c r="E42477" t="s">
        <v>21</v>
      </c>
    </row>
    <row r="42478" spans="1:5" x14ac:dyDescent="0.25">
      <c r="A42478" t="str">
        <f>HYPERLINK("https://www.773grp.com/globalSearch/MC10LVEP16DTR2G/page-1", "MC10LVEP16DTR2G")</f>
        <v>MC10LVEP16DTR2G</v>
      </c>
      <c r="B42478" s="3" t="s">
        <v>95</v>
      </c>
      <c r="C42478" s="6">
        <v>7207</v>
      </c>
      <c r="D42478" s="7">
        <v>8.44</v>
      </c>
      <c r="E42478" t="s">
        <v>21</v>
      </c>
    </row>
    <row r="42479" spans="1:5" x14ac:dyDescent="0.25">
      <c r="A42479" t="str">
        <f>HYPERLINK("https://www.773grp.com/globalSearch/MJ11032/page-1", "MJ11032")</f>
        <v>MJ11032</v>
      </c>
      <c r="B42479" s="3" t="s">
        <v>95</v>
      </c>
      <c r="C42479" s="6">
        <v>200</v>
      </c>
      <c r="D42479" s="7">
        <v>8.44</v>
      </c>
    </row>
    <row r="42480" spans="1:5" x14ac:dyDescent="0.25">
      <c r="A42480" t="str">
        <f>HYPERLINK("https://www.773grp.com/globalSearch/NCV7729BPPR2G/page-1", "NCV7729BPPR2G")</f>
        <v>NCV7729BPPR2G</v>
      </c>
      <c r="B42480" s="3" t="s">
        <v>95</v>
      </c>
      <c r="C42480" s="6">
        <v>1468</v>
      </c>
      <c r="D42480" s="7">
        <v>8.44</v>
      </c>
    </row>
    <row r="42481" spans="1:5" x14ac:dyDescent="0.25">
      <c r="A42481" t="str">
        <f>HYPERLINK("https://www.773grp.com/globalSearch/CAT28F001N-12B/page-1", "CAT28F001N-12B")</f>
        <v>CAT28F001N-12B</v>
      </c>
      <c r="B42481" s="3" t="s">
        <v>95</v>
      </c>
      <c r="C42481" s="6">
        <v>1928</v>
      </c>
      <c r="D42481" s="7">
        <v>8.5299999999999994</v>
      </c>
      <c r="E42481" t="s">
        <v>64</v>
      </c>
    </row>
    <row r="42482" spans="1:5" x14ac:dyDescent="0.25">
      <c r="A42482" t="str">
        <f>HYPERLINK("https://www.773grp.com/globalSearch/CAT28F020HI-12T/page-1", "CAT28F020HI-12T")</f>
        <v>CAT28F020HI-12T</v>
      </c>
      <c r="B42482" s="3" t="s">
        <v>95</v>
      </c>
      <c r="C42482" s="6">
        <v>500</v>
      </c>
      <c r="D42482" s="7">
        <v>8.5299999999999994</v>
      </c>
      <c r="E42482" t="s">
        <v>64</v>
      </c>
    </row>
    <row r="42483" spans="1:5" x14ac:dyDescent="0.25">
      <c r="A42483" t="str">
        <f>HYPERLINK("https://www.773grp.com/globalSearch/MC10H124FN/page-1", "MC10H124FN")</f>
        <v>MC10H124FN</v>
      </c>
      <c r="B42483" s="3" t="s">
        <v>95</v>
      </c>
      <c r="C42483" s="6">
        <v>3443</v>
      </c>
      <c r="D42483" s="7">
        <v>8.5500000000000007</v>
      </c>
      <c r="E42483" t="s">
        <v>73</v>
      </c>
    </row>
    <row r="42484" spans="1:5" x14ac:dyDescent="0.25">
      <c r="A42484" t="str">
        <f>HYPERLINK("https://www.773grp.com/globalSearch/MC10H124FNG/page-1", "MC10H124FNG")</f>
        <v>MC10H124FNG</v>
      </c>
      <c r="B42484" s="3" t="s">
        <v>95</v>
      </c>
      <c r="C42484" s="6">
        <v>835</v>
      </c>
      <c r="D42484" s="7">
        <v>8.5500000000000007</v>
      </c>
      <c r="E42484" t="s">
        <v>73</v>
      </c>
    </row>
    <row r="42485" spans="1:5" x14ac:dyDescent="0.25">
      <c r="A42485" t="str">
        <f>HYPERLINK("https://www.773grp.com/globalSearch/MC10H124FNR2/page-1", "MC10H124FNR2")</f>
        <v>MC10H124FNR2</v>
      </c>
      <c r="B42485" s="3" t="s">
        <v>95</v>
      </c>
      <c r="C42485" s="6">
        <v>2250</v>
      </c>
      <c r="D42485" s="7">
        <v>8.5500000000000007</v>
      </c>
      <c r="E42485" t="s">
        <v>73</v>
      </c>
    </row>
    <row r="42486" spans="1:5" x14ac:dyDescent="0.25">
      <c r="A42486" t="str">
        <f>HYPERLINK("https://www.773grp.com/globalSearch/MC10H124FNR2G/page-1", "MC10H124FNR2G")</f>
        <v>MC10H124FNR2G</v>
      </c>
      <c r="B42486" s="3" t="s">
        <v>95</v>
      </c>
      <c r="C42486" s="6">
        <v>3904</v>
      </c>
      <c r="D42486" s="7">
        <v>8.5500000000000007</v>
      </c>
      <c r="E42486" t="s">
        <v>73</v>
      </c>
    </row>
    <row r="42487" spans="1:5" x14ac:dyDescent="0.25">
      <c r="A42487" t="str">
        <f>HYPERLINK("https://www.773grp.com/globalSearch/MC10H124M/page-1", "MC10H124M")</f>
        <v>MC10H124M</v>
      </c>
      <c r="B42487" s="3" t="s">
        <v>95</v>
      </c>
      <c r="C42487" s="6">
        <v>9830</v>
      </c>
      <c r="D42487" s="7">
        <v>8.5500000000000007</v>
      </c>
      <c r="E42487" t="s">
        <v>73</v>
      </c>
    </row>
    <row r="42488" spans="1:5" x14ac:dyDescent="0.25">
      <c r="A42488" t="str">
        <f>HYPERLINK("https://www.773grp.com/globalSearch/MC10H124MEL/page-1", "MC10H124MEL")</f>
        <v>MC10H124MEL</v>
      </c>
      <c r="B42488" s="3" t="s">
        <v>95</v>
      </c>
      <c r="C42488" s="6">
        <v>810</v>
      </c>
      <c r="D42488" s="7">
        <v>8.5500000000000007</v>
      </c>
      <c r="E42488" t="s">
        <v>73</v>
      </c>
    </row>
    <row r="42489" spans="1:5" x14ac:dyDescent="0.25">
      <c r="A42489" t="str">
        <f>HYPERLINK("https://www.773grp.com/globalSearch/MC10H124MG/page-1", "MC10H124MG")</f>
        <v>MC10H124MG</v>
      </c>
      <c r="B42489" s="3" t="s">
        <v>95</v>
      </c>
      <c r="C42489" s="6">
        <v>765</v>
      </c>
      <c r="D42489" s="7">
        <v>8.5500000000000007</v>
      </c>
      <c r="E42489" t="s">
        <v>73</v>
      </c>
    </row>
    <row r="42490" spans="1:5" x14ac:dyDescent="0.25">
      <c r="A42490" t="str">
        <f>HYPERLINK("https://www.773grp.com/globalSearch/MC10H125FN/page-1", "MC10H125FN")</f>
        <v>MC10H125FN</v>
      </c>
      <c r="B42490" s="3" t="s">
        <v>95</v>
      </c>
      <c r="C42490" s="6">
        <v>6841</v>
      </c>
      <c r="D42490" s="7">
        <v>8.5500000000000007</v>
      </c>
      <c r="E42490" t="s">
        <v>73</v>
      </c>
    </row>
    <row r="42491" spans="1:5" x14ac:dyDescent="0.25">
      <c r="A42491" t="str">
        <f>HYPERLINK("https://www.773grp.com/globalSearch/MC10H125FNG/page-1", "MC10H125FNG")</f>
        <v>MC10H125FNG</v>
      </c>
      <c r="B42491" s="3" t="s">
        <v>95</v>
      </c>
      <c r="C42491" s="6">
        <v>973</v>
      </c>
      <c r="D42491" s="7">
        <v>8.5500000000000007</v>
      </c>
      <c r="E42491" t="s">
        <v>73</v>
      </c>
    </row>
    <row r="42492" spans="1:5" x14ac:dyDescent="0.25">
      <c r="A42492" t="str">
        <f>HYPERLINK("https://www.773grp.com/globalSearch/MC10H125FNR2/page-1", "MC10H125FNR2")</f>
        <v>MC10H125FNR2</v>
      </c>
      <c r="B42492" s="3" t="s">
        <v>95</v>
      </c>
      <c r="C42492" s="6">
        <v>727</v>
      </c>
      <c r="D42492" s="7">
        <v>8.5500000000000007</v>
      </c>
      <c r="E42492" t="s">
        <v>73</v>
      </c>
    </row>
    <row r="42493" spans="1:5" x14ac:dyDescent="0.25">
      <c r="A42493" t="str">
        <f>HYPERLINK("https://www.773grp.com/globalSearch/MC10H125FNR2G/page-1", "MC10H125FNR2G")</f>
        <v>MC10H125FNR2G</v>
      </c>
      <c r="B42493" s="3" t="s">
        <v>95</v>
      </c>
      <c r="C42493" s="6">
        <v>1500</v>
      </c>
      <c r="D42493" s="7">
        <v>8.5500000000000007</v>
      </c>
      <c r="E42493" t="s">
        <v>73</v>
      </c>
    </row>
    <row r="42494" spans="1:5" x14ac:dyDescent="0.25">
      <c r="A42494" t="str">
        <f>HYPERLINK("https://www.773grp.com/globalSearch/N04L63W1AT27IT/page-1", "N04L63W1AT27IT")</f>
        <v>N04L63W1AT27IT</v>
      </c>
      <c r="B42494" s="3" t="s">
        <v>95</v>
      </c>
      <c r="C42494" s="6">
        <v>3677</v>
      </c>
      <c r="D42494" s="7">
        <v>8.5500000000000007</v>
      </c>
      <c r="E42494" t="s">
        <v>75</v>
      </c>
    </row>
    <row r="42495" spans="1:5" x14ac:dyDescent="0.25">
      <c r="A42495" t="str">
        <f>HYPERLINK("https://www.773grp.com/globalSearch/LC75883E-E/page-1", "LC75883E-E")</f>
        <v>LC75883E-E</v>
      </c>
      <c r="B42495" s="3" t="s">
        <v>95</v>
      </c>
      <c r="C42495" s="6">
        <v>250</v>
      </c>
      <c r="D42495" s="7">
        <v>8.58</v>
      </c>
    </row>
    <row r="42496" spans="1:5" x14ac:dyDescent="0.25">
      <c r="A42496" t="str">
        <f>HYPERLINK("https://www.773grp.com/globalSearch/CS5301GDWR32/page-1", "CS5301GDWR32")</f>
        <v>CS5301GDWR32</v>
      </c>
      <c r="B42496" s="3" t="s">
        <v>95</v>
      </c>
      <c r="C42496" s="6">
        <v>998</v>
      </c>
      <c r="D42496" s="7">
        <v>8.61</v>
      </c>
      <c r="E42496" t="s">
        <v>7</v>
      </c>
    </row>
    <row r="42497" spans="1:5" x14ac:dyDescent="0.25">
      <c r="A42497" t="str">
        <f>HYPERLINK("https://www.773grp.com/globalSearch/MC10H130PG/page-1", "MC10H130PG")</f>
        <v>MC10H130PG</v>
      </c>
      <c r="B42497" s="3" t="s">
        <v>95</v>
      </c>
      <c r="C42497" s="6">
        <v>2920</v>
      </c>
      <c r="D42497" s="7">
        <v>8.69</v>
      </c>
      <c r="E42497" t="s">
        <v>35</v>
      </c>
    </row>
    <row r="42498" spans="1:5" x14ac:dyDescent="0.25">
      <c r="A42498" t="str">
        <f>HYPERLINK("https://www.773grp.com/globalSearch/MV1403/page-1", "MV1403")</f>
        <v>MV1403</v>
      </c>
      <c r="B42498" s="3" t="s">
        <v>95</v>
      </c>
      <c r="C42498" s="6">
        <v>5741</v>
      </c>
      <c r="D42498" s="7">
        <v>8.69</v>
      </c>
      <c r="E42498" t="s">
        <v>101</v>
      </c>
    </row>
    <row r="42499" spans="1:5" x14ac:dyDescent="0.25">
      <c r="A42499" t="str">
        <f>HYPERLINK("https://www.773grp.com/globalSearch/MC10EP11DT/page-1", "MC10EP11DT")</f>
        <v>MC10EP11DT</v>
      </c>
      <c r="B42499" s="3" t="s">
        <v>95</v>
      </c>
      <c r="C42499" s="6">
        <v>28670</v>
      </c>
      <c r="D42499" s="7">
        <v>8.73</v>
      </c>
      <c r="E42499" t="s">
        <v>34</v>
      </c>
    </row>
    <row r="42500" spans="1:5" x14ac:dyDescent="0.25">
      <c r="A42500" t="str">
        <f>HYPERLINK("https://www.773grp.com/globalSearch/MC10H135FNG/page-1", "MC10H135FNG")</f>
        <v>MC10H135FNG</v>
      </c>
      <c r="B42500" s="3" t="s">
        <v>95</v>
      </c>
      <c r="C42500" s="6">
        <v>1457</v>
      </c>
      <c r="D42500" s="7">
        <v>8.73</v>
      </c>
      <c r="E42500" t="s">
        <v>35</v>
      </c>
    </row>
    <row r="42501" spans="1:5" x14ac:dyDescent="0.25">
      <c r="A42501" t="str">
        <f>HYPERLINK("https://www.773grp.com/globalSearch/NB4N11MDTG/page-1", "NB4N11MDTG")</f>
        <v>NB4N11MDTG</v>
      </c>
      <c r="B42501" s="3" t="s">
        <v>95</v>
      </c>
      <c r="C42501" s="6">
        <v>4760</v>
      </c>
      <c r="D42501" s="7">
        <v>8.73</v>
      </c>
      <c r="E42501" t="s">
        <v>73</v>
      </c>
    </row>
    <row r="42502" spans="1:5" x14ac:dyDescent="0.25">
      <c r="A42502" t="str">
        <f>HYPERLINK("https://www.773grp.com/globalSearch/NB4N11MDTR2G/page-1", "NB4N11MDTR2G")</f>
        <v>NB4N11MDTR2G</v>
      </c>
      <c r="B42502" s="3" t="s">
        <v>95</v>
      </c>
      <c r="C42502" s="6">
        <v>5977</v>
      </c>
      <c r="D42502" s="7">
        <v>8.73</v>
      </c>
      <c r="E42502" t="s">
        <v>73</v>
      </c>
    </row>
    <row r="42503" spans="1:5" x14ac:dyDescent="0.25">
      <c r="A42503" t="str">
        <f>HYPERLINK("https://www.773grp.com/globalSearch/MJ11021G/page-1", "MJ11021G")</f>
        <v>MJ11021G</v>
      </c>
      <c r="B42503" s="3" t="s">
        <v>95</v>
      </c>
      <c r="C42503" s="6">
        <v>299</v>
      </c>
      <c r="D42503" s="7">
        <v>8.74</v>
      </c>
      <c r="E42503" t="s">
        <v>59</v>
      </c>
    </row>
    <row r="42504" spans="1:5" x14ac:dyDescent="0.25">
      <c r="A42504" t="str">
        <f>HYPERLINK("https://www.773grp.com/globalSearch/MJ11022G/page-1", "MJ11022G")</f>
        <v>MJ11022G</v>
      </c>
      <c r="B42504" s="3" t="s">
        <v>95</v>
      </c>
      <c r="C42504" s="6">
        <v>735</v>
      </c>
      <c r="D42504" s="7">
        <v>8.74</v>
      </c>
      <c r="E42504" t="s">
        <v>59</v>
      </c>
    </row>
    <row r="42505" spans="1:5" x14ac:dyDescent="0.25">
      <c r="A42505" t="str">
        <f>HYPERLINK("https://www.773grp.com/globalSearch/VMC100E111FN/page-1", "VMC100E111FN")</f>
        <v>VMC100E111FN</v>
      </c>
      <c r="B42505" s="3" t="s">
        <v>95</v>
      </c>
      <c r="C42505" s="6">
        <v>49</v>
      </c>
      <c r="D42505" s="7">
        <v>8.7799999999999994</v>
      </c>
    </row>
    <row r="42506" spans="1:5" x14ac:dyDescent="0.25">
      <c r="A42506" t="str">
        <f>HYPERLINK("https://www.773grp.com/globalSearch/VMC10E111FN/page-1", "VMC10E111FN")</f>
        <v>VMC10E111FN</v>
      </c>
      <c r="B42506" s="3" t="s">
        <v>95</v>
      </c>
      <c r="C42506" s="6">
        <v>150</v>
      </c>
      <c r="D42506" s="7">
        <v>8.7799999999999994</v>
      </c>
    </row>
    <row r="42507" spans="1:5" x14ac:dyDescent="0.25">
      <c r="A42507" t="str">
        <f>HYPERLINK("https://www.773grp.com/globalSearch/LV47022PH/page-1", "LV47022PH")</f>
        <v>LV47022PH</v>
      </c>
      <c r="B42507" s="3" t="s">
        <v>95</v>
      </c>
      <c r="C42507" s="6">
        <v>45</v>
      </c>
      <c r="D42507" s="7">
        <v>8.81</v>
      </c>
    </row>
    <row r="42508" spans="1:5" x14ac:dyDescent="0.25">
      <c r="A42508" t="str">
        <f>HYPERLINK("https://www.773grp.com/globalSearch/MC100LVEP210FA/page-1", "MC100LVEP210FA")</f>
        <v>MC100LVEP210FA</v>
      </c>
      <c r="B42508" s="3" t="s">
        <v>95</v>
      </c>
      <c r="C42508" s="6">
        <v>1233</v>
      </c>
      <c r="D42508" s="7">
        <v>8.86</v>
      </c>
      <c r="E42508" t="s">
        <v>34</v>
      </c>
    </row>
    <row r="42509" spans="1:5" x14ac:dyDescent="0.25">
      <c r="A42509" t="str">
        <f>HYPERLINK("https://www.773grp.com/globalSearch/MC10H210MG/page-1", "MC10H210MG")</f>
        <v>MC10H210MG</v>
      </c>
      <c r="B42509" s="3" t="s">
        <v>95</v>
      </c>
      <c r="C42509" s="6">
        <v>5839</v>
      </c>
      <c r="D42509" s="7">
        <v>9</v>
      </c>
      <c r="E42509" t="s">
        <v>31</v>
      </c>
    </row>
    <row r="42510" spans="1:5" x14ac:dyDescent="0.25">
      <c r="A42510" t="str">
        <f>HYPERLINK("https://www.773grp.com/globalSearch/MC14490FG/page-1", "MC14490FG")</f>
        <v>MC14490FG</v>
      </c>
      <c r="B42510" s="3" t="s">
        <v>95</v>
      </c>
      <c r="C42510" s="6">
        <v>20</v>
      </c>
      <c r="D42510" s="7">
        <v>9</v>
      </c>
      <c r="E42510" t="s">
        <v>32</v>
      </c>
    </row>
    <row r="42511" spans="1:5" x14ac:dyDescent="0.25">
      <c r="A42511" t="str">
        <f>HYPERLINK("https://www.773grp.com/globalSearch/MC100EL13DW/page-1", "MC100EL13DW")</f>
        <v>MC100EL13DW</v>
      </c>
      <c r="B42511" s="3" t="s">
        <v>95</v>
      </c>
      <c r="C42511" s="6">
        <v>7744</v>
      </c>
      <c r="D42511" s="7">
        <v>9.0299999999999994</v>
      </c>
      <c r="E42511" t="s">
        <v>34</v>
      </c>
    </row>
    <row r="42512" spans="1:5" x14ac:dyDescent="0.25">
      <c r="A42512" t="str">
        <f>HYPERLINK("https://www.773grp.com/globalSearch/MC100EL13DWR2/page-1", "MC100EL13DWR2")</f>
        <v>MC100EL13DWR2</v>
      </c>
      <c r="B42512" s="3" t="s">
        <v>95</v>
      </c>
      <c r="C42512" s="6">
        <v>1359</v>
      </c>
      <c r="D42512" s="7">
        <v>9.0299999999999994</v>
      </c>
      <c r="E42512" t="s">
        <v>34</v>
      </c>
    </row>
    <row r="42513" spans="1:5" x14ac:dyDescent="0.25">
      <c r="A42513" t="str">
        <f>HYPERLINK("https://www.773grp.com/globalSearch/MC100EL39DW/page-1", "MC100EL39DW")</f>
        <v>MC100EL39DW</v>
      </c>
      <c r="B42513" s="3" t="s">
        <v>95</v>
      </c>
      <c r="C42513" s="6">
        <v>124</v>
      </c>
      <c r="D42513" s="7">
        <v>9.0299999999999994</v>
      </c>
      <c r="E42513" t="s">
        <v>34</v>
      </c>
    </row>
    <row r="42514" spans="1:5" x14ac:dyDescent="0.25">
      <c r="A42514" t="str">
        <f>HYPERLINK("https://www.773grp.com/globalSearch/MC100EL39DWR2/page-1", "MC100EL39DWR2")</f>
        <v>MC100EL39DWR2</v>
      </c>
      <c r="B42514" s="3" t="s">
        <v>95</v>
      </c>
      <c r="C42514" s="6">
        <v>1000</v>
      </c>
      <c r="D42514" s="7">
        <v>9.0299999999999994</v>
      </c>
      <c r="E42514" t="s">
        <v>34</v>
      </c>
    </row>
    <row r="42515" spans="1:5" x14ac:dyDescent="0.25">
      <c r="A42515" t="str">
        <f>HYPERLINK("https://www.773grp.com/globalSearch/MC100EL59DW/page-1", "MC100EL59DW")</f>
        <v>MC100EL59DW</v>
      </c>
      <c r="B42515" s="3" t="s">
        <v>95</v>
      </c>
      <c r="C42515" s="6">
        <v>4066</v>
      </c>
      <c r="D42515" s="7">
        <v>9.0299999999999994</v>
      </c>
      <c r="E42515" t="s">
        <v>20</v>
      </c>
    </row>
    <row r="42516" spans="1:5" x14ac:dyDescent="0.25">
      <c r="A42516" t="str">
        <f>HYPERLINK("https://www.773grp.com/globalSearch/MC100LVEL13DW/page-1", "MC100LVEL13DW")</f>
        <v>MC100LVEL13DW</v>
      </c>
      <c r="B42516" s="3" t="s">
        <v>95</v>
      </c>
      <c r="C42516" s="6">
        <v>4061</v>
      </c>
      <c r="D42516" s="7">
        <v>9.0299999999999994</v>
      </c>
      <c r="E42516" t="s">
        <v>34</v>
      </c>
    </row>
    <row r="42517" spans="1:5" x14ac:dyDescent="0.25">
      <c r="A42517" t="str">
        <f>HYPERLINK("https://www.773grp.com/globalSearch/MC100LVEL39DW/page-1", "MC100LVEL39DW")</f>
        <v>MC100LVEL39DW</v>
      </c>
      <c r="B42517" s="3" t="s">
        <v>95</v>
      </c>
      <c r="C42517" s="6">
        <v>3177</v>
      </c>
      <c r="D42517" s="7">
        <v>9.0299999999999994</v>
      </c>
      <c r="E42517" t="s">
        <v>34</v>
      </c>
    </row>
    <row r="42518" spans="1:5" x14ac:dyDescent="0.25">
      <c r="A42518" t="str">
        <f>HYPERLINK("https://www.773grp.com/globalSearch/MC100LVEL39DWG/page-1", "MC100LVEL39DWG")</f>
        <v>MC100LVEL39DWG</v>
      </c>
      <c r="B42518" s="3" t="s">
        <v>95</v>
      </c>
      <c r="C42518" s="6">
        <v>305</v>
      </c>
      <c r="D42518" s="7">
        <v>9.0299999999999994</v>
      </c>
      <c r="E42518" t="s">
        <v>34</v>
      </c>
    </row>
    <row r="42519" spans="1:5" x14ac:dyDescent="0.25">
      <c r="A42519" t="str">
        <f>HYPERLINK("https://www.773grp.com/globalSearch/MC100LVEL40DW/page-1", "MC100LVEL40DW")</f>
        <v>MC100LVEL40DW</v>
      </c>
      <c r="B42519" s="3" t="s">
        <v>95</v>
      </c>
      <c r="C42519" s="6">
        <v>2733</v>
      </c>
      <c r="D42519" s="7">
        <v>9.0299999999999994</v>
      </c>
      <c r="E42519" t="s">
        <v>38</v>
      </c>
    </row>
    <row r="42520" spans="1:5" x14ac:dyDescent="0.25">
      <c r="A42520" t="str">
        <f>HYPERLINK("https://www.773grp.com/globalSearch/MC100LVEL59DWR2/page-1", "MC100LVEL59DWR2")</f>
        <v>MC100LVEL59DWR2</v>
      </c>
      <c r="B42520" s="3" t="s">
        <v>95</v>
      </c>
      <c r="C42520" s="6">
        <v>4000</v>
      </c>
      <c r="D42520" s="7">
        <v>9.0299999999999994</v>
      </c>
      <c r="E42520" t="s">
        <v>20</v>
      </c>
    </row>
    <row r="42521" spans="1:5" x14ac:dyDescent="0.25">
      <c r="A42521" t="str">
        <f>HYPERLINK("https://www.773grp.com/globalSearch/STK672-630A-E/page-1", "STK672-630A-E")</f>
        <v>STK672-630A-E</v>
      </c>
      <c r="B42521" s="3" t="s">
        <v>95</v>
      </c>
      <c r="C42521" s="6">
        <v>60</v>
      </c>
      <c r="D42521" s="7">
        <v>9.0299999999999994</v>
      </c>
    </row>
    <row r="42522" spans="1:5" x14ac:dyDescent="0.25">
      <c r="A42522" t="str">
        <f>HYPERLINK("https://www.773grp.com/globalSearch/MC100EL39DWG/page-1", "MC100EL39DWG")</f>
        <v>MC100EL39DWG</v>
      </c>
      <c r="B42522" s="3" t="s">
        <v>95</v>
      </c>
      <c r="C42522" s="6">
        <v>735</v>
      </c>
      <c r="D42522" s="7">
        <v>9.06</v>
      </c>
      <c r="E42522" t="s">
        <v>34</v>
      </c>
    </row>
    <row r="42523" spans="1:5" x14ac:dyDescent="0.25">
      <c r="A42523" t="str">
        <f>HYPERLINK("https://www.773grp.com/globalSearch/MC100LVEL40DWR2/page-1", "MC100LVEL40DWR2")</f>
        <v>MC100LVEL40DWR2</v>
      </c>
      <c r="B42523" s="3" t="s">
        <v>95</v>
      </c>
      <c r="C42523" s="6">
        <v>1000</v>
      </c>
      <c r="D42523" s="7">
        <v>9.06</v>
      </c>
      <c r="E42523" t="s">
        <v>38</v>
      </c>
    </row>
    <row r="42524" spans="1:5" x14ac:dyDescent="0.25">
      <c r="A42524" t="str">
        <f>HYPERLINK("https://www.773grp.com/globalSearch/MC100LVEL59DW/page-1", "MC100LVEL59DW")</f>
        <v>MC100LVEL59DW</v>
      </c>
      <c r="B42524" s="3" t="s">
        <v>95</v>
      </c>
      <c r="C42524" s="6">
        <v>1472</v>
      </c>
      <c r="D42524" s="7">
        <v>9.06</v>
      </c>
      <c r="E42524" t="s">
        <v>20</v>
      </c>
    </row>
    <row r="42525" spans="1:5" x14ac:dyDescent="0.25">
      <c r="A42525" t="str">
        <f>HYPERLINK("https://www.773grp.com/globalSearch/MTV16N50E/page-1", "MTV16N50E")</f>
        <v>MTV16N50E</v>
      </c>
      <c r="B42525" s="3" t="s">
        <v>95</v>
      </c>
      <c r="C42525" s="6">
        <v>1257</v>
      </c>
      <c r="D42525" s="7">
        <v>9.06</v>
      </c>
      <c r="E42525" t="s">
        <v>105</v>
      </c>
    </row>
    <row r="42526" spans="1:5" x14ac:dyDescent="0.25">
      <c r="A42526" t="str">
        <f>HYPERLINK("https://www.773grp.com/globalSearch/MTV32N25E/page-1", "MTV32N25E")</f>
        <v>MTV32N25E</v>
      </c>
      <c r="B42526" s="3" t="s">
        <v>95</v>
      </c>
      <c r="C42526" s="6">
        <v>20</v>
      </c>
      <c r="D42526" s="7">
        <v>9.06</v>
      </c>
      <c r="E42526" t="s">
        <v>105</v>
      </c>
    </row>
    <row r="42527" spans="1:5" x14ac:dyDescent="0.25">
      <c r="A42527" t="str">
        <f>HYPERLINK("https://www.773grp.com/globalSearch/MC100EP32DT/page-1", "MC100EP32DT")</f>
        <v>MC100EP32DT</v>
      </c>
      <c r="B42527" s="3" t="s">
        <v>95</v>
      </c>
      <c r="C42527" s="6">
        <v>33018</v>
      </c>
      <c r="D42527" s="7">
        <v>9.11</v>
      </c>
      <c r="E42527" t="s">
        <v>54</v>
      </c>
    </row>
    <row r="42528" spans="1:5" x14ac:dyDescent="0.25">
      <c r="A42528" t="str">
        <f>HYPERLINK("https://www.773grp.com/globalSearch/CAT28F001N-12BT/page-1", "CAT28F001N-12BT")</f>
        <v>CAT28F001N-12BT</v>
      </c>
      <c r="B42528" s="3" t="s">
        <v>95</v>
      </c>
      <c r="C42528" s="6">
        <v>1000</v>
      </c>
      <c r="D42528" s="7">
        <v>9.15</v>
      </c>
      <c r="E42528" t="s">
        <v>64</v>
      </c>
    </row>
    <row r="42529" spans="1:5" x14ac:dyDescent="0.25">
      <c r="A42529" t="str">
        <f>HYPERLINK("https://www.773grp.com/globalSearch/CAT5241YI25/page-1", "CAT5241YI25")</f>
        <v>CAT5241YI25</v>
      </c>
      <c r="B42529" s="3" t="s">
        <v>95</v>
      </c>
      <c r="C42529" s="6">
        <v>185</v>
      </c>
      <c r="D42529" s="7">
        <v>9.15</v>
      </c>
      <c r="E42529" t="s">
        <v>99</v>
      </c>
    </row>
    <row r="42530" spans="1:5" x14ac:dyDescent="0.25">
      <c r="A42530" t="str">
        <f>HYPERLINK("https://www.773grp.com/globalSearch/CAT5241YI-50-T2/page-1", "CAT5241YI-50-T2")</f>
        <v>CAT5241YI-50-T2</v>
      </c>
      <c r="B42530" s="3" t="s">
        <v>95</v>
      </c>
      <c r="C42530" s="6">
        <v>2000</v>
      </c>
      <c r="D42530" s="7">
        <v>9.15</v>
      </c>
    </row>
    <row r="42531" spans="1:5" x14ac:dyDescent="0.25">
      <c r="A42531" t="str">
        <f>HYPERLINK("https://www.773grp.com/globalSearch/MC100EL34DG/page-1", "MC100EL34DG")</f>
        <v>MC100EL34DG</v>
      </c>
      <c r="B42531" s="3" t="s">
        <v>95</v>
      </c>
      <c r="C42531" s="6">
        <v>733</v>
      </c>
      <c r="D42531" s="7">
        <v>9.15</v>
      </c>
      <c r="E42531" t="s">
        <v>34</v>
      </c>
    </row>
    <row r="42532" spans="1:5" x14ac:dyDescent="0.25">
      <c r="A42532" t="str">
        <f>HYPERLINK("https://www.773grp.com/globalSearch/MC100EL34DR2G/page-1", "MC100EL34DR2G")</f>
        <v>MC100EL34DR2G</v>
      </c>
      <c r="B42532" s="3" t="s">
        <v>95</v>
      </c>
      <c r="C42532" s="6">
        <v>4683</v>
      </c>
      <c r="D42532" s="7">
        <v>9.15</v>
      </c>
      <c r="E42532" t="s">
        <v>34</v>
      </c>
    </row>
    <row r="42533" spans="1:5" x14ac:dyDescent="0.25">
      <c r="A42533" t="str">
        <f>HYPERLINK("https://www.773grp.com/globalSearch/MC100EL56DWG/page-1", "MC100EL56DWG")</f>
        <v>MC100EL56DWG</v>
      </c>
      <c r="B42533" s="3" t="s">
        <v>95</v>
      </c>
      <c r="C42533" s="6">
        <v>2327</v>
      </c>
      <c r="D42533" s="7">
        <v>9.15</v>
      </c>
      <c r="E42533" t="s">
        <v>20</v>
      </c>
    </row>
    <row r="42534" spans="1:5" x14ac:dyDescent="0.25">
      <c r="A42534" t="str">
        <f>HYPERLINK("https://www.773grp.com/globalSearch/MC100EL56DWR2G/page-1", "MC100EL56DWR2G")</f>
        <v>MC100EL56DWR2G</v>
      </c>
      <c r="B42534" s="3" t="s">
        <v>95</v>
      </c>
      <c r="C42534" s="6">
        <v>12076</v>
      </c>
      <c r="D42534" s="7">
        <v>9.15</v>
      </c>
      <c r="E42534" t="s">
        <v>20</v>
      </c>
    </row>
    <row r="42535" spans="1:5" x14ac:dyDescent="0.25">
      <c r="A42535" t="str">
        <f>HYPERLINK("https://www.773grp.com/globalSearch/MC100EL57DG/page-1", "MC100EL57DG")</f>
        <v>MC100EL57DG</v>
      </c>
      <c r="B42535" s="3" t="s">
        <v>95</v>
      </c>
      <c r="C42535" s="6">
        <v>2700</v>
      </c>
      <c r="D42535" s="7">
        <v>9.15</v>
      </c>
      <c r="E42535" t="s">
        <v>20</v>
      </c>
    </row>
    <row r="42536" spans="1:5" x14ac:dyDescent="0.25">
      <c r="A42536" t="str">
        <f>HYPERLINK("https://www.773grp.com/globalSearch/MC100EL57DR2G/page-1", "MC100EL57DR2G")</f>
        <v>MC100EL57DR2G</v>
      </c>
      <c r="B42536" s="3" t="s">
        <v>95</v>
      </c>
      <c r="C42536" s="6">
        <v>7500</v>
      </c>
      <c r="D42536" s="7">
        <v>9.15</v>
      </c>
      <c r="E42536" t="s">
        <v>20</v>
      </c>
    </row>
    <row r="42537" spans="1:5" x14ac:dyDescent="0.25">
      <c r="A42537" t="str">
        <f>HYPERLINK("https://www.773grp.com/globalSearch/MC100EP01DG/page-1", "MC100EP01DG")</f>
        <v>MC100EP01DG</v>
      </c>
      <c r="B42537" s="3" t="s">
        <v>95</v>
      </c>
      <c r="C42537" s="6">
        <v>55047</v>
      </c>
      <c r="D42537" s="7">
        <v>9.15</v>
      </c>
      <c r="E42537" t="s">
        <v>31</v>
      </c>
    </row>
    <row r="42538" spans="1:5" x14ac:dyDescent="0.25">
      <c r="A42538" t="str">
        <f>HYPERLINK("https://www.773grp.com/globalSearch/MC100EP01DR2G/page-1", "MC100EP01DR2G")</f>
        <v>MC100EP01DR2G</v>
      </c>
      <c r="B42538" s="3" t="s">
        <v>95</v>
      </c>
      <c r="C42538" s="6">
        <v>14449</v>
      </c>
      <c r="D42538" s="7">
        <v>9.15</v>
      </c>
      <c r="E42538" t="s">
        <v>31</v>
      </c>
    </row>
    <row r="42539" spans="1:5" x14ac:dyDescent="0.25">
      <c r="A42539" t="str">
        <f>HYPERLINK("https://www.773grp.com/globalSearch/MC100EP01DTG/page-1", "MC100EP01DTG")</f>
        <v>MC100EP01DTG</v>
      </c>
      <c r="B42539" s="3" t="s">
        <v>95</v>
      </c>
      <c r="C42539" s="6">
        <v>11655</v>
      </c>
      <c r="D42539" s="7">
        <v>9.15</v>
      </c>
      <c r="E42539" t="s">
        <v>31</v>
      </c>
    </row>
    <row r="42540" spans="1:5" x14ac:dyDescent="0.25">
      <c r="A42540" t="str">
        <f>HYPERLINK("https://www.773grp.com/globalSearch/MC100EP01MNR4G/page-1", "MC100EP01MNR4G")</f>
        <v>MC100EP01MNR4G</v>
      </c>
      <c r="B42540" s="3" t="s">
        <v>95</v>
      </c>
      <c r="C42540" s="6">
        <v>12415</v>
      </c>
      <c r="D42540" s="7">
        <v>9.15</v>
      </c>
      <c r="E42540" t="s">
        <v>31</v>
      </c>
    </row>
    <row r="42541" spans="1:5" x14ac:dyDescent="0.25">
      <c r="A42541" t="str">
        <f>HYPERLINK("https://www.773grp.com/globalSearch/MC100EP05DG/page-1", "MC100EP05DG")</f>
        <v>MC100EP05DG</v>
      </c>
      <c r="B42541" s="3" t="s">
        <v>95</v>
      </c>
      <c r="C42541" s="6">
        <v>21416</v>
      </c>
      <c r="D42541" s="7">
        <v>9.15</v>
      </c>
      <c r="E42541" t="s">
        <v>31</v>
      </c>
    </row>
    <row r="42542" spans="1:5" x14ac:dyDescent="0.25">
      <c r="A42542" t="str">
        <f>HYPERLINK("https://www.773grp.com/globalSearch/MC100EP05DR2G/page-1", "MC100EP05DR2G")</f>
        <v>MC100EP05DR2G</v>
      </c>
      <c r="B42542" s="3" t="s">
        <v>95</v>
      </c>
      <c r="C42542" s="6">
        <v>19990</v>
      </c>
      <c r="D42542" s="7">
        <v>9.15</v>
      </c>
      <c r="E42542" t="s">
        <v>31</v>
      </c>
    </row>
    <row r="42543" spans="1:5" x14ac:dyDescent="0.25">
      <c r="A42543" t="str">
        <f>HYPERLINK("https://www.773grp.com/globalSearch/MC100EP05DTG/page-1", "MC100EP05DTG")</f>
        <v>MC100EP05DTG</v>
      </c>
      <c r="B42543" s="3" t="s">
        <v>95</v>
      </c>
      <c r="C42543" s="6">
        <v>6760</v>
      </c>
      <c r="D42543" s="7">
        <v>9.15</v>
      </c>
      <c r="E42543" t="s">
        <v>31</v>
      </c>
    </row>
    <row r="42544" spans="1:5" x14ac:dyDescent="0.25">
      <c r="A42544" t="str">
        <f>HYPERLINK("https://www.773grp.com/globalSearch/MC100EP05MNR4G/page-1", "MC100EP05MNR4G")</f>
        <v>MC100EP05MNR4G</v>
      </c>
      <c r="B42544" s="3" t="s">
        <v>95</v>
      </c>
      <c r="C42544" s="6">
        <v>15000</v>
      </c>
      <c r="D42544" s="7">
        <v>9.15</v>
      </c>
      <c r="E42544" t="s">
        <v>31</v>
      </c>
    </row>
    <row r="42545" spans="1:5" x14ac:dyDescent="0.25">
      <c r="A42545" t="str">
        <f>HYPERLINK("https://www.773grp.com/globalSearch/MC100EP08DG/page-1", "MC100EP08DG")</f>
        <v>MC100EP08DG</v>
      </c>
      <c r="B42545" s="3" t="s">
        <v>95</v>
      </c>
      <c r="C42545" s="6">
        <v>1862</v>
      </c>
      <c r="D42545" s="7">
        <v>9.15</v>
      </c>
      <c r="E42545" t="s">
        <v>31</v>
      </c>
    </row>
    <row r="42546" spans="1:5" x14ac:dyDescent="0.25">
      <c r="A42546" t="str">
        <f>HYPERLINK("https://www.773grp.com/globalSearch/MC100EP08DTG/page-1", "MC100EP08DTG")</f>
        <v>MC100EP08DTG</v>
      </c>
      <c r="B42546" s="3" t="s">
        <v>95</v>
      </c>
      <c r="C42546" s="6">
        <v>3192</v>
      </c>
      <c r="D42546" s="7">
        <v>9.15</v>
      </c>
      <c r="E42546" t="s">
        <v>31</v>
      </c>
    </row>
    <row r="42547" spans="1:5" x14ac:dyDescent="0.25">
      <c r="A42547" t="str">
        <f>HYPERLINK("https://www.773grp.com/globalSearch/MC100EP08DTR2G/page-1", "MC100EP08DTR2G")</f>
        <v>MC100EP08DTR2G</v>
      </c>
      <c r="B42547" s="3" t="s">
        <v>95</v>
      </c>
      <c r="C42547" s="6">
        <v>7480</v>
      </c>
      <c r="D42547" s="7">
        <v>9.15</v>
      </c>
      <c r="E42547" t="s">
        <v>31</v>
      </c>
    </row>
    <row r="42548" spans="1:5" x14ac:dyDescent="0.25">
      <c r="A42548" t="str">
        <f>HYPERLINK("https://www.773grp.com/globalSearch/MC100EP809FA/page-1", "MC100EP809FA")</f>
        <v>MC100EP809FA</v>
      </c>
      <c r="B42548" s="3" t="s">
        <v>95</v>
      </c>
      <c r="C42548" s="6">
        <v>2485</v>
      </c>
      <c r="D42548" s="7">
        <v>9.15</v>
      </c>
      <c r="E42548" t="s">
        <v>34</v>
      </c>
    </row>
    <row r="42549" spans="1:5" x14ac:dyDescent="0.25">
      <c r="A42549" t="str">
        <f>HYPERLINK("https://www.773grp.com/globalSearch/MC100EPT23MNR4G/page-1", "MC100EPT23MNR4G")</f>
        <v>MC100EPT23MNR4G</v>
      </c>
      <c r="B42549" s="3" t="s">
        <v>95</v>
      </c>
      <c r="C42549" s="6">
        <v>1200</v>
      </c>
      <c r="D42549" s="7">
        <v>9.15</v>
      </c>
      <c r="E42549" t="s">
        <v>73</v>
      </c>
    </row>
    <row r="42550" spans="1:5" x14ac:dyDescent="0.25">
      <c r="A42550" t="str">
        <f>HYPERLINK("https://www.773grp.com/globalSearch/MC100LVEL34DG/page-1", "MC100LVEL34DG")</f>
        <v>MC100LVEL34DG</v>
      </c>
      <c r="B42550" s="3" t="s">
        <v>95</v>
      </c>
      <c r="C42550" s="6">
        <v>1559</v>
      </c>
      <c r="D42550" s="7">
        <v>9.15</v>
      </c>
      <c r="E42550" t="s">
        <v>34</v>
      </c>
    </row>
    <row r="42551" spans="1:5" x14ac:dyDescent="0.25">
      <c r="A42551" t="str">
        <f>HYPERLINK("https://www.773grp.com/globalSearch/MC100LVEL34DTG/page-1", "MC100LVEL34DTG")</f>
        <v>MC100LVEL34DTG</v>
      </c>
      <c r="B42551" s="3" t="s">
        <v>95</v>
      </c>
      <c r="C42551" s="6">
        <v>296</v>
      </c>
      <c r="D42551" s="7">
        <v>9.15</v>
      </c>
      <c r="E42551" t="s">
        <v>34</v>
      </c>
    </row>
    <row r="42552" spans="1:5" x14ac:dyDescent="0.25">
      <c r="A42552" t="str">
        <f>HYPERLINK("https://www.773grp.com/globalSearch/MC100LVEL56DWG/page-1", "MC100LVEL56DWG")</f>
        <v>MC100LVEL56DWG</v>
      </c>
      <c r="B42552" s="3" t="s">
        <v>95</v>
      </c>
      <c r="C42552" s="6">
        <v>1635</v>
      </c>
      <c r="D42552" s="7">
        <v>9.15</v>
      </c>
      <c r="E42552" t="s">
        <v>20</v>
      </c>
    </row>
    <row r="42553" spans="1:5" x14ac:dyDescent="0.25">
      <c r="A42553" t="str">
        <f>HYPERLINK("https://www.773grp.com/globalSearch/MC100LVEL56DWR2G/page-1", "MC100LVEL56DWR2G")</f>
        <v>MC100LVEL56DWR2G</v>
      </c>
      <c r="B42553" s="3" t="s">
        <v>95</v>
      </c>
      <c r="C42553" s="6">
        <v>2000</v>
      </c>
      <c r="D42553" s="7">
        <v>9.15</v>
      </c>
      <c r="E42553" t="s">
        <v>20</v>
      </c>
    </row>
    <row r="42554" spans="1:5" x14ac:dyDescent="0.25">
      <c r="A42554" t="str">
        <f>HYPERLINK("https://www.773grp.com/globalSearch/MC10EL34DG/page-1", "MC10EL34DG")</f>
        <v>MC10EL34DG</v>
      </c>
      <c r="B42554" s="3" t="s">
        <v>95</v>
      </c>
      <c r="C42554" s="6">
        <v>16621</v>
      </c>
      <c r="D42554" s="7">
        <v>9.15</v>
      </c>
      <c r="E42554" t="s">
        <v>34</v>
      </c>
    </row>
    <row r="42555" spans="1:5" x14ac:dyDescent="0.25">
      <c r="A42555" t="str">
        <f>HYPERLINK("https://www.773grp.com/globalSearch/MC10EL34DR2G/page-1", "MC10EL34DR2G")</f>
        <v>MC10EL34DR2G</v>
      </c>
      <c r="B42555" s="3" t="s">
        <v>95</v>
      </c>
      <c r="C42555" s="6">
        <v>5000</v>
      </c>
      <c r="D42555" s="7">
        <v>9.15</v>
      </c>
    </row>
    <row r="42556" spans="1:5" x14ac:dyDescent="0.25">
      <c r="A42556" t="str">
        <f>HYPERLINK("https://www.773grp.com/globalSearch/MC10EL57DG/page-1", "MC10EL57DG")</f>
        <v>MC10EL57DG</v>
      </c>
      <c r="B42556" s="3" t="s">
        <v>95</v>
      </c>
      <c r="C42556" s="6">
        <v>413</v>
      </c>
      <c r="D42556" s="7">
        <v>9.15</v>
      </c>
      <c r="E42556" t="s">
        <v>20</v>
      </c>
    </row>
    <row r="42557" spans="1:5" x14ac:dyDescent="0.25">
      <c r="A42557" t="str">
        <f>HYPERLINK("https://www.773grp.com/globalSearch/MC10EP89DG/page-1", "MC10EP89DG")</f>
        <v>MC10EP89DG</v>
      </c>
      <c r="B42557" s="3" t="s">
        <v>95</v>
      </c>
      <c r="C42557" s="6">
        <v>314</v>
      </c>
      <c r="D42557" s="7">
        <v>9.15</v>
      </c>
      <c r="E42557" t="s">
        <v>21</v>
      </c>
    </row>
    <row r="42558" spans="1:5" x14ac:dyDescent="0.25">
      <c r="A42558" t="str">
        <f>HYPERLINK("https://www.773grp.com/globalSearch/MC10EP89DTG/page-1", "MC10EP89DTG")</f>
        <v>MC10EP89DTG</v>
      </c>
      <c r="B42558" s="3" t="s">
        <v>95</v>
      </c>
      <c r="C42558" s="6">
        <v>983</v>
      </c>
      <c r="D42558" s="7">
        <v>9.15</v>
      </c>
      <c r="E42558" t="s">
        <v>21</v>
      </c>
    </row>
    <row r="42559" spans="1:5" x14ac:dyDescent="0.25">
      <c r="A42559" t="str">
        <f>HYPERLINK("https://www.773grp.com/globalSearch/MC10EP89DTR2G/page-1", "MC10EP89DTR2G")</f>
        <v>MC10EP89DTR2G</v>
      </c>
      <c r="B42559" s="3" t="s">
        <v>95</v>
      </c>
      <c r="C42559" s="6">
        <v>8900</v>
      </c>
      <c r="D42559" s="7">
        <v>9.15</v>
      </c>
      <c r="E42559" t="s">
        <v>21</v>
      </c>
    </row>
    <row r="42560" spans="1:5" x14ac:dyDescent="0.25">
      <c r="A42560" t="str">
        <f>HYPERLINK("https://www.773grp.com/globalSearch/MC10EP89MNR4G/page-1", "MC10EP89MNR4G")</f>
        <v>MC10EP89MNR4G</v>
      </c>
      <c r="B42560" s="3" t="s">
        <v>95</v>
      </c>
      <c r="C42560" s="6">
        <v>26895</v>
      </c>
      <c r="D42560" s="7">
        <v>9.15</v>
      </c>
      <c r="E42560" t="s">
        <v>21</v>
      </c>
    </row>
    <row r="42561" spans="1:5" x14ac:dyDescent="0.25">
      <c r="A42561" t="str">
        <f>HYPERLINK("https://www.773grp.com/globalSearch/MC10H135PG/page-1", "MC10H135PG")</f>
        <v>MC10H135PG</v>
      </c>
      <c r="B42561" s="3" t="s">
        <v>95</v>
      </c>
      <c r="C42561" s="6">
        <v>3899</v>
      </c>
      <c r="D42561" s="7">
        <v>9.15</v>
      </c>
      <c r="E42561" t="s">
        <v>35</v>
      </c>
    </row>
    <row r="42562" spans="1:5" x14ac:dyDescent="0.25">
      <c r="A42562" t="str">
        <f>HYPERLINK("https://www.773grp.com/globalSearch/NB3F8L3010CMNG/page-1", "NB3F8L3010CMNG")</f>
        <v>NB3F8L3010CMNG</v>
      </c>
      <c r="B42562" s="3" t="s">
        <v>95</v>
      </c>
      <c r="C42562" s="6">
        <v>45</v>
      </c>
      <c r="D42562" s="7">
        <v>9.15</v>
      </c>
    </row>
    <row r="42563" spans="1:5" x14ac:dyDescent="0.25">
      <c r="A42563" t="str">
        <f>HYPERLINK("https://www.773grp.com/globalSearch/NB3N15552MNG/page-1", "NB3N15552MNG")</f>
        <v>NB3N15552MNG</v>
      </c>
      <c r="B42563" s="3" t="s">
        <v>95</v>
      </c>
      <c r="C42563" s="6">
        <v>184</v>
      </c>
      <c r="D42563" s="7">
        <v>9.15</v>
      </c>
    </row>
    <row r="42564" spans="1:5" x14ac:dyDescent="0.25">
      <c r="A42564" t="str">
        <f>HYPERLINK("https://www.773grp.com/globalSearch/NB3N15625MNG/page-1", "NB3N15625MNG")</f>
        <v>NB3N15625MNG</v>
      </c>
      <c r="B42564" s="3" t="s">
        <v>95</v>
      </c>
      <c r="C42564" s="6">
        <v>184</v>
      </c>
      <c r="D42564" s="7">
        <v>9.15</v>
      </c>
    </row>
    <row r="42565" spans="1:5" x14ac:dyDescent="0.25">
      <c r="A42565" t="str">
        <f>HYPERLINK("https://www.773grp.com/globalSearch/NB3N49152MNG/page-1", "NB3N49152MNG")</f>
        <v>NB3N49152MNG</v>
      </c>
      <c r="B42565" s="3" t="s">
        <v>95</v>
      </c>
      <c r="C42565" s="6">
        <v>184</v>
      </c>
      <c r="D42565" s="7">
        <v>9.15</v>
      </c>
    </row>
    <row r="42566" spans="1:5" x14ac:dyDescent="0.25">
      <c r="A42566" t="str">
        <f>HYPERLINK("https://www.773grp.com/globalSearch/MC10H131FNG/page-1", "MC10H131FNG")</f>
        <v>MC10H131FNG</v>
      </c>
      <c r="B42566" s="3" t="s">
        <v>95</v>
      </c>
      <c r="C42566" s="6">
        <v>30</v>
      </c>
      <c r="D42566" s="7">
        <v>9.16</v>
      </c>
      <c r="E42566" t="s">
        <v>35</v>
      </c>
    </row>
    <row r="42567" spans="1:5" x14ac:dyDescent="0.25">
      <c r="A42567" t="str">
        <f>HYPERLINK("https://www.773grp.com/globalSearch/MC10H131FNR2/page-1", "MC10H131FNR2")</f>
        <v>MC10H131FNR2</v>
      </c>
      <c r="B42567" s="3" t="s">
        <v>95</v>
      </c>
      <c r="C42567" s="6">
        <v>1564</v>
      </c>
      <c r="D42567" s="7">
        <v>9.16</v>
      </c>
      <c r="E42567" t="s">
        <v>35</v>
      </c>
    </row>
    <row r="42568" spans="1:5" x14ac:dyDescent="0.25">
      <c r="A42568" t="str">
        <f>HYPERLINK("https://www.773grp.com/globalSearch/MC10H131FNR2G/page-1", "MC10H131FNR2G")</f>
        <v>MC10H131FNR2G</v>
      </c>
      <c r="B42568" s="3" t="s">
        <v>95</v>
      </c>
      <c r="C42568" s="6">
        <v>223</v>
      </c>
      <c r="D42568" s="7">
        <v>9.16</v>
      </c>
    </row>
    <row r="42569" spans="1:5" x14ac:dyDescent="0.25">
      <c r="A42569" t="str">
        <f>HYPERLINK("https://www.773grp.com/globalSearch/MC10H131MELG/page-1", "MC10H131MELG")</f>
        <v>MC10H131MELG</v>
      </c>
      <c r="B42569" s="3" t="s">
        <v>95</v>
      </c>
      <c r="C42569" s="6">
        <v>640</v>
      </c>
      <c r="D42569" s="7">
        <v>9.16</v>
      </c>
      <c r="E42569" t="s">
        <v>35</v>
      </c>
    </row>
    <row r="42570" spans="1:5" x14ac:dyDescent="0.25">
      <c r="A42570" t="str">
        <f>HYPERLINK("https://www.773grp.com/globalSearch/MC10141FN/page-1", "MC10141FN")</f>
        <v>MC10141FN</v>
      </c>
      <c r="B42570" s="3" t="s">
        <v>95</v>
      </c>
      <c r="C42570" s="6">
        <v>1380</v>
      </c>
      <c r="D42570" s="7">
        <v>9.25</v>
      </c>
      <c r="E42570" t="s">
        <v>32</v>
      </c>
    </row>
    <row r="42571" spans="1:5" x14ac:dyDescent="0.25">
      <c r="A42571" t="str">
        <f>HYPERLINK("https://www.773grp.com/globalSearch/WPH4003-1E/page-1", "WPH4003-1E")</f>
        <v>WPH4003-1E</v>
      </c>
      <c r="B42571" s="3" t="s">
        <v>95</v>
      </c>
      <c r="C42571" s="6">
        <v>60</v>
      </c>
      <c r="D42571" s="7">
        <v>9.31</v>
      </c>
    </row>
    <row r="42572" spans="1:5" x14ac:dyDescent="0.25">
      <c r="A42572" t="str">
        <f>HYPERLINK("https://www.773grp.com/globalSearch/LC75812PT-8565-H/page-1", "LC75812PT-8565-H")</f>
        <v>LC75812PT-8565-H</v>
      </c>
      <c r="B42572" s="3" t="s">
        <v>95</v>
      </c>
      <c r="C42572" s="6">
        <v>90</v>
      </c>
      <c r="D42572" s="7">
        <v>9.49</v>
      </c>
    </row>
    <row r="42573" spans="1:5" x14ac:dyDescent="0.25">
      <c r="A42573" t="str">
        <f>HYPERLINK("https://www.773grp.com/globalSearch/LV8772-E/page-1", "LV8772-E")</f>
        <v>LV8772-E</v>
      </c>
      <c r="B42573" s="3" t="s">
        <v>95</v>
      </c>
      <c r="C42573" s="6">
        <v>40</v>
      </c>
      <c r="D42573" s="7">
        <v>9.5</v>
      </c>
    </row>
    <row r="42574" spans="1:5" x14ac:dyDescent="0.25">
      <c r="A42574" t="str">
        <f>HYPERLINK("https://www.773grp.com/globalSearch/MC10H186FN/page-1", "MC10H186FN")</f>
        <v>MC10H186FN</v>
      </c>
      <c r="B42574" s="3" t="s">
        <v>95</v>
      </c>
      <c r="C42574" s="6">
        <v>25675</v>
      </c>
      <c r="D42574" s="7">
        <v>9.5399999999999991</v>
      </c>
      <c r="E42574" t="s">
        <v>35</v>
      </c>
    </row>
    <row r="42575" spans="1:5" x14ac:dyDescent="0.25">
      <c r="A42575" t="str">
        <f>HYPERLINK("https://www.773grp.com/globalSearch/MC10H186FNR2/page-1", "MC10H186FNR2")</f>
        <v>MC10H186FNR2</v>
      </c>
      <c r="B42575" s="3" t="s">
        <v>95</v>
      </c>
      <c r="C42575" s="6">
        <v>2000</v>
      </c>
      <c r="D42575" s="7">
        <v>9.5399999999999991</v>
      </c>
      <c r="E42575" t="s">
        <v>35</v>
      </c>
    </row>
    <row r="42576" spans="1:5" x14ac:dyDescent="0.25">
      <c r="A42576" t="str">
        <f>HYPERLINK("https://www.773grp.com/globalSearch/MC10H186P/page-1", "MC10H186P")</f>
        <v>MC10H186P</v>
      </c>
      <c r="B42576" s="3" t="s">
        <v>95</v>
      </c>
      <c r="C42576" s="6">
        <v>2337</v>
      </c>
      <c r="D42576" s="7">
        <v>9.5399999999999991</v>
      </c>
      <c r="E42576" t="s">
        <v>35</v>
      </c>
    </row>
    <row r="42577" spans="1:5" x14ac:dyDescent="0.25">
      <c r="A42577" t="str">
        <f>HYPERLINK("https://www.773grp.com/globalSearch/FS6370-01G-XTD/page-1", "FS6370-01G-XTD")</f>
        <v>FS6370-01G-XTD</v>
      </c>
      <c r="B42577" s="3" t="s">
        <v>95</v>
      </c>
      <c r="C42577" s="6">
        <v>1011</v>
      </c>
      <c r="D42577" s="7">
        <v>9.56</v>
      </c>
      <c r="E42577" t="s">
        <v>79</v>
      </c>
    </row>
    <row r="42578" spans="1:5" x14ac:dyDescent="0.25">
      <c r="A42578" t="str">
        <f>HYPERLINK("https://www.773grp.com/globalSearch/NBC12430AFA/page-1", "NBC12430AFA")</f>
        <v>NBC12430AFA</v>
      </c>
      <c r="B42578" s="3" t="s">
        <v>95</v>
      </c>
      <c r="C42578" s="6">
        <v>4187</v>
      </c>
      <c r="D42578" s="7">
        <v>9.6300000000000008</v>
      </c>
      <c r="E42578" t="s">
        <v>79</v>
      </c>
    </row>
    <row r="42579" spans="1:5" x14ac:dyDescent="0.25">
      <c r="A42579" t="str">
        <f>HYPERLINK("https://www.773grp.com/globalSearch/NBC12439AFN/page-1", "NBC12439AFN")</f>
        <v>NBC12439AFN</v>
      </c>
      <c r="B42579" s="3" t="s">
        <v>95</v>
      </c>
      <c r="C42579" s="6">
        <v>74</v>
      </c>
      <c r="D42579" s="7">
        <v>9.6300000000000008</v>
      </c>
      <c r="E42579" t="s">
        <v>79</v>
      </c>
    </row>
    <row r="42580" spans="1:5" x14ac:dyDescent="0.25">
      <c r="A42580" t="str">
        <f>HYPERLINK("https://www.773grp.com/globalSearch/NBC12439AFNR2/page-1", "NBC12439AFNR2")</f>
        <v>NBC12439AFNR2</v>
      </c>
      <c r="B42580" s="3" t="s">
        <v>95</v>
      </c>
      <c r="C42580" s="6">
        <v>1000</v>
      </c>
      <c r="D42580" s="7">
        <v>9.6300000000000008</v>
      </c>
      <c r="E42580" t="s">
        <v>79</v>
      </c>
    </row>
    <row r="42581" spans="1:5" x14ac:dyDescent="0.25">
      <c r="A42581" t="str">
        <f>HYPERLINK("https://www.773grp.com/globalSearch/MC10H135M/page-1", "MC10H135M")</f>
        <v>MC10H135M</v>
      </c>
      <c r="B42581" s="3" t="s">
        <v>95</v>
      </c>
      <c r="C42581" s="6">
        <v>2500</v>
      </c>
      <c r="D42581" s="7">
        <v>9.65</v>
      </c>
      <c r="E42581" t="s">
        <v>35</v>
      </c>
    </row>
    <row r="42582" spans="1:5" x14ac:dyDescent="0.25">
      <c r="A42582" t="str">
        <f>HYPERLINK("https://www.773grp.com/globalSearch/MC10176L/page-1", "MC10176L")</f>
        <v>MC10176L</v>
      </c>
      <c r="B42582" s="3" t="s">
        <v>95</v>
      </c>
      <c r="C42582" s="6">
        <v>1667</v>
      </c>
      <c r="D42582" s="7">
        <v>9.68</v>
      </c>
      <c r="E42582" t="s">
        <v>35</v>
      </c>
    </row>
    <row r="42583" spans="1:5" x14ac:dyDescent="0.25">
      <c r="A42583" t="str">
        <f>HYPERLINK("https://www.773grp.com/globalSearch/ADT7463ARQZ/page-1", "ADT7463ARQZ")</f>
        <v>ADT7463ARQZ</v>
      </c>
      <c r="B42583" s="3" t="s">
        <v>95</v>
      </c>
      <c r="C42583" s="6">
        <v>4142</v>
      </c>
      <c r="D42583" s="7">
        <v>9.6999999999999993</v>
      </c>
      <c r="E42583" t="s">
        <v>40</v>
      </c>
    </row>
    <row r="42584" spans="1:5" x14ac:dyDescent="0.25">
      <c r="A42584" t="str">
        <f>HYPERLINK("https://www.773grp.com/globalSearch/CAT5419WI00/page-1", "CAT5419WI00")</f>
        <v>CAT5419WI00</v>
      </c>
      <c r="B42584" s="3" t="s">
        <v>95</v>
      </c>
      <c r="C42584" s="6">
        <v>3007</v>
      </c>
      <c r="D42584" s="7">
        <v>9.6999999999999993</v>
      </c>
      <c r="E42584" t="s">
        <v>99</v>
      </c>
    </row>
    <row r="42585" spans="1:5" x14ac:dyDescent="0.25">
      <c r="A42585" t="str">
        <f>HYPERLINK("https://www.773grp.com/globalSearch/CAT5419YI10/page-1", "CAT5419YI10")</f>
        <v>CAT5419YI10</v>
      </c>
      <c r="B42585" s="3" t="s">
        <v>95</v>
      </c>
      <c r="C42585" s="6">
        <v>11780</v>
      </c>
      <c r="D42585" s="7">
        <v>9.6999999999999993</v>
      </c>
      <c r="E42585" t="s">
        <v>99</v>
      </c>
    </row>
    <row r="42586" spans="1:5" x14ac:dyDescent="0.25">
      <c r="A42586" t="str">
        <f>HYPERLINK("https://www.773grp.com/globalSearch/CS4122XDWF24G/page-1", "CS4122XDWF24G")</f>
        <v>CS4122XDWF24G</v>
      </c>
      <c r="B42586" s="3" t="s">
        <v>95</v>
      </c>
      <c r="C42586" s="6">
        <v>2876</v>
      </c>
      <c r="D42586" s="7">
        <v>9.6999999999999993</v>
      </c>
      <c r="E42586" t="s">
        <v>11</v>
      </c>
    </row>
    <row r="42587" spans="1:5" x14ac:dyDescent="0.25">
      <c r="A42587" t="str">
        <f>HYPERLINK("https://www.773grp.com/globalSearch/STK432-050-E/page-1", "STK432-050-E")</f>
        <v>STK432-050-E</v>
      </c>
      <c r="B42587" s="3" t="s">
        <v>95</v>
      </c>
      <c r="C42587" s="6">
        <v>200</v>
      </c>
      <c r="D42587" s="7">
        <v>9.6999999999999993</v>
      </c>
    </row>
    <row r="42588" spans="1:5" x14ac:dyDescent="0.25">
      <c r="A42588" t="str">
        <f>HYPERLINK("https://www.773grp.com/globalSearch/MC10141L/page-1", "MC10141L")</f>
        <v>MC10141L</v>
      </c>
      <c r="B42588" s="3" t="s">
        <v>95</v>
      </c>
      <c r="C42588" s="6">
        <v>520</v>
      </c>
      <c r="D42588" s="7">
        <v>9.75</v>
      </c>
      <c r="E42588" t="s">
        <v>32</v>
      </c>
    </row>
    <row r="42589" spans="1:5" x14ac:dyDescent="0.25">
      <c r="A42589" t="str">
        <f>HYPERLINK("https://www.773grp.com/globalSearch/ADT7468ARQZ/page-1", "ADT7468ARQZ")</f>
        <v>ADT7468ARQZ</v>
      </c>
      <c r="B42589" s="3" t="s">
        <v>95</v>
      </c>
      <c r="C42589" s="6">
        <v>230</v>
      </c>
      <c r="D42589" s="7">
        <v>9.84</v>
      </c>
      <c r="E42589" t="s">
        <v>40</v>
      </c>
    </row>
    <row r="42590" spans="1:5" x14ac:dyDescent="0.25">
      <c r="A42590" t="str">
        <f>HYPERLINK("https://www.773grp.com/globalSearch/ADT7468ARQZ/page-1", "ADT7468ARQZ")</f>
        <v>ADT7468ARQZ</v>
      </c>
      <c r="B42590" s="3" t="s">
        <v>95</v>
      </c>
      <c r="C42590" s="6">
        <v>112</v>
      </c>
      <c r="D42590" s="7">
        <v>9.84</v>
      </c>
      <c r="E42590" t="s">
        <v>40</v>
      </c>
    </row>
    <row r="42591" spans="1:5" x14ac:dyDescent="0.25">
      <c r="A42591" t="str">
        <f>HYPERLINK("https://www.773grp.com/globalSearch/LC87F1HC8BU-SQFP-E/page-1", "LC87F1HC8BU-SQFP-E")</f>
        <v>LC87F1HC8BU-SQFP-E</v>
      </c>
      <c r="B42591" s="3" t="s">
        <v>95</v>
      </c>
      <c r="C42591" s="6">
        <v>4188</v>
      </c>
      <c r="D42591" s="7">
        <v>9.84</v>
      </c>
    </row>
    <row r="42592" spans="1:5" x14ac:dyDescent="0.25">
      <c r="A42592" t="str">
        <f>HYPERLINK("https://www.773grp.com/globalSearch/MC100EP31DG/page-1", "MC100EP31DG")</f>
        <v>MC100EP31DG</v>
      </c>
      <c r="B42592" s="3" t="s">
        <v>95</v>
      </c>
      <c r="C42592" s="6">
        <v>7482</v>
      </c>
      <c r="D42592" s="7">
        <v>9.84</v>
      </c>
      <c r="E42592" t="s">
        <v>35</v>
      </c>
    </row>
    <row r="42593" spans="1:5" x14ac:dyDescent="0.25">
      <c r="A42593" t="str">
        <f>HYPERLINK("https://www.773grp.com/globalSearch/MC100EP31DR2G/page-1", "MC100EP31DR2G")</f>
        <v>MC100EP31DR2G</v>
      </c>
      <c r="B42593" s="3" t="s">
        <v>95</v>
      </c>
      <c r="C42593" s="6">
        <v>12500</v>
      </c>
      <c r="D42593" s="7">
        <v>9.84</v>
      </c>
      <c r="E42593" t="s">
        <v>35</v>
      </c>
    </row>
    <row r="42594" spans="1:5" x14ac:dyDescent="0.25">
      <c r="A42594" t="str">
        <f>HYPERLINK("https://www.773grp.com/globalSearch/MC100EP31DTG/page-1", "MC100EP31DTG")</f>
        <v>MC100EP31DTG</v>
      </c>
      <c r="B42594" s="3" t="s">
        <v>95</v>
      </c>
      <c r="C42594" s="6">
        <v>16522</v>
      </c>
      <c r="D42594" s="7">
        <v>9.84</v>
      </c>
      <c r="E42594" t="s">
        <v>35</v>
      </c>
    </row>
    <row r="42595" spans="1:5" x14ac:dyDescent="0.25">
      <c r="A42595" t="str">
        <f>HYPERLINK("https://www.773grp.com/globalSearch/MC100EP31DTR2G/page-1", "MC100EP31DTR2G")</f>
        <v>MC100EP31DTR2G</v>
      </c>
      <c r="B42595" s="3" t="s">
        <v>95</v>
      </c>
      <c r="C42595" s="6">
        <v>4314</v>
      </c>
      <c r="D42595" s="7">
        <v>9.84</v>
      </c>
      <c r="E42595" t="s">
        <v>35</v>
      </c>
    </row>
    <row r="42596" spans="1:5" x14ac:dyDescent="0.25">
      <c r="A42596" t="str">
        <f>HYPERLINK("https://www.773grp.com/globalSearch/MC100EP31MNR4G/page-1", "MC100EP31MNR4G")</f>
        <v>MC100EP31MNR4G</v>
      </c>
      <c r="B42596" s="3" t="s">
        <v>95</v>
      </c>
      <c r="C42596" s="6">
        <v>5790</v>
      </c>
      <c r="D42596" s="7">
        <v>9.84</v>
      </c>
      <c r="E42596" t="s">
        <v>35</v>
      </c>
    </row>
    <row r="42597" spans="1:5" x14ac:dyDescent="0.25">
      <c r="A42597" t="str">
        <f>HYPERLINK("https://www.773grp.com/globalSearch/MC100EP51DG/page-1", "MC100EP51DG")</f>
        <v>MC100EP51DG</v>
      </c>
      <c r="B42597" s="3" t="s">
        <v>95</v>
      </c>
      <c r="C42597" s="6">
        <v>5038</v>
      </c>
      <c r="D42597" s="7">
        <v>9.84</v>
      </c>
      <c r="E42597" t="s">
        <v>35</v>
      </c>
    </row>
    <row r="42598" spans="1:5" x14ac:dyDescent="0.25">
      <c r="A42598" t="str">
        <f>HYPERLINK("https://www.773grp.com/globalSearch/MC10EP31DG/page-1", "MC10EP31DG")</f>
        <v>MC10EP31DG</v>
      </c>
      <c r="B42598" s="3" t="s">
        <v>95</v>
      </c>
      <c r="C42598" s="6">
        <v>11606</v>
      </c>
      <c r="D42598" s="7">
        <v>9.84</v>
      </c>
      <c r="E42598" t="s">
        <v>35</v>
      </c>
    </row>
    <row r="42599" spans="1:5" x14ac:dyDescent="0.25">
      <c r="A42599" t="str">
        <f>HYPERLINK("https://www.773grp.com/globalSearch/MC10EP31DTG/page-1", "MC10EP31DTG")</f>
        <v>MC10EP31DTG</v>
      </c>
      <c r="B42599" s="3" t="s">
        <v>95</v>
      </c>
      <c r="C42599" s="6">
        <v>2404</v>
      </c>
      <c r="D42599" s="7">
        <v>9.84</v>
      </c>
      <c r="E42599" t="s">
        <v>35</v>
      </c>
    </row>
    <row r="42600" spans="1:5" x14ac:dyDescent="0.25">
      <c r="A42600" t="str">
        <f>HYPERLINK("https://www.773grp.com/globalSearch/NB3N3020DTG/page-1", "NB3N3020DTG")</f>
        <v>NB3N3020DTG</v>
      </c>
      <c r="B42600" s="3" t="s">
        <v>95</v>
      </c>
      <c r="C42600" s="6">
        <v>100</v>
      </c>
      <c r="D42600" s="7">
        <v>9.84</v>
      </c>
    </row>
    <row r="42601" spans="1:5" x14ac:dyDescent="0.25">
      <c r="A42601" t="str">
        <f>HYPERLINK("https://www.773grp.com/globalSearch/NB3N3020DTR2G/page-1", "NB3N3020DTR2G")</f>
        <v>NB3N3020DTR2G</v>
      </c>
      <c r="B42601" s="3" t="s">
        <v>95</v>
      </c>
      <c r="C42601" s="6">
        <v>30000</v>
      </c>
      <c r="D42601" s="7">
        <v>9.84</v>
      </c>
      <c r="E42601" t="s">
        <v>34</v>
      </c>
    </row>
    <row r="42602" spans="1:5" x14ac:dyDescent="0.25">
      <c r="A42602" t="str">
        <f>HYPERLINK("https://www.773grp.com/globalSearch/NB4N11SMNG/page-1", "NB4N11SMNG")</f>
        <v>NB4N11SMNG</v>
      </c>
      <c r="B42602" s="3" t="s">
        <v>95</v>
      </c>
      <c r="C42602" s="6">
        <v>14453</v>
      </c>
      <c r="D42602" s="7">
        <v>9.84</v>
      </c>
      <c r="E42602" t="s">
        <v>73</v>
      </c>
    </row>
    <row r="42603" spans="1:5" x14ac:dyDescent="0.25">
      <c r="A42603" t="str">
        <f>HYPERLINK("https://www.773grp.com/globalSearch/NB4N11SMNR2G/page-1", "NB4N11SMNR2G")</f>
        <v>NB4N11SMNR2G</v>
      </c>
      <c r="B42603" s="3" t="s">
        <v>95</v>
      </c>
      <c r="C42603" s="6">
        <v>2750</v>
      </c>
      <c r="D42603" s="7">
        <v>9.84</v>
      </c>
      <c r="E42603" t="s">
        <v>73</v>
      </c>
    </row>
    <row r="42604" spans="1:5" x14ac:dyDescent="0.25">
      <c r="A42604" t="str">
        <f>HYPERLINK("https://www.773grp.com/globalSearch/NB6L11SMNG/page-1", "NB6L11SMNG")</f>
        <v>NB6L11SMNG</v>
      </c>
      <c r="B42604" s="3" t="s">
        <v>95</v>
      </c>
      <c r="C42604" s="6">
        <v>1290</v>
      </c>
      <c r="D42604" s="7">
        <v>9.84</v>
      </c>
      <c r="E42604" t="s">
        <v>34</v>
      </c>
    </row>
    <row r="42605" spans="1:5" x14ac:dyDescent="0.25">
      <c r="A42605" t="str">
        <f>HYPERLINK("https://www.773grp.com/globalSearch/CAT28C256H1315/page-1", "CAT28C256H1315")</f>
        <v>CAT28C256H1315</v>
      </c>
      <c r="B42605" s="3" t="s">
        <v>95</v>
      </c>
      <c r="C42605" s="6">
        <v>511</v>
      </c>
      <c r="D42605" s="7">
        <v>9.8800000000000008</v>
      </c>
      <c r="E42605" t="s">
        <v>64</v>
      </c>
    </row>
    <row r="42606" spans="1:5" x14ac:dyDescent="0.25">
      <c r="A42606" t="str">
        <f>HYPERLINK("https://www.773grp.com/globalSearch/LC75804W-E/page-1", "LC75804W-E")</f>
        <v>LC75804W-E</v>
      </c>
      <c r="B42606" s="3" t="s">
        <v>95</v>
      </c>
      <c r="C42606" s="6">
        <v>27040</v>
      </c>
      <c r="D42606" s="7">
        <v>9.8800000000000008</v>
      </c>
    </row>
    <row r="42607" spans="1:5" x14ac:dyDescent="0.25">
      <c r="A42607" t="str">
        <f>HYPERLINK("https://www.773grp.com/globalSearch/MC100E210FN/page-1", "MC100E210FN")</f>
        <v>MC100E210FN</v>
      </c>
      <c r="B42607" s="3" t="s">
        <v>95</v>
      </c>
      <c r="C42607" s="6">
        <v>429</v>
      </c>
      <c r="D42607" s="7">
        <v>9.8800000000000008</v>
      </c>
      <c r="E42607" t="s">
        <v>34</v>
      </c>
    </row>
    <row r="42608" spans="1:5" x14ac:dyDescent="0.25">
      <c r="A42608" t="str">
        <f>HYPERLINK("https://www.773grp.com/globalSearch/MC100E211FNR2/page-1", "MC100E211FNR2")</f>
        <v>MC100E211FNR2</v>
      </c>
      <c r="B42608" s="3" t="s">
        <v>95</v>
      </c>
      <c r="C42608" s="6">
        <v>4000</v>
      </c>
      <c r="D42608" s="7">
        <v>9.8800000000000008</v>
      </c>
      <c r="E42608" t="s">
        <v>34</v>
      </c>
    </row>
    <row r="42609" spans="1:5" x14ac:dyDescent="0.25">
      <c r="A42609" t="str">
        <f>HYPERLINK("https://www.773grp.com/globalSearch/MC100E310FNR2/page-1", "MC100E310FNR2")</f>
        <v>MC100E310FNR2</v>
      </c>
      <c r="B42609" s="3" t="s">
        <v>95</v>
      </c>
      <c r="C42609" s="6">
        <v>500</v>
      </c>
      <c r="D42609" s="7">
        <v>9.8800000000000008</v>
      </c>
      <c r="E42609" t="s">
        <v>34</v>
      </c>
    </row>
    <row r="42610" spans="1:5" x14ac:dyDescent="0.25">
      <c r="A42610" t="str">
        <f>HYPERLINK("https://www.773grp.com/globalSearch/MC100LVE210FNR2/page-1", "MC100LVE210FNR2")</f>
        <v>MC100LVE210FNR2</v>
      </c>
      <c r="B42610" s="3" t="s">
        <v>95</v>
      </c>
      <c r="C42610" s="6">
        <v>1997</v>
      </c>
      <c r="D42610" s="7">
        <v>9.8800000000000008</v>
      </c>
      <c r="E42610" t="s">
        <v>34</v>
      </c>
    </row>
    <row r="42611" spans="1:5" x14ac:dyDescent="0.25">
      <c r="A42611" t="str">
        <f>HYPERLINK("https://www.773grp.com/globalSearch/MC10E411FN/page-1", "MC10E411FN")</f>
        <v>MC10E411FN</v>
      </c>
      <c r="B42611" s="3" t="s">
        <v>95</v>
      </c>
      <c r="C42611" s="6">
        <v>383</v>
      </c>
      <c r="D42611" s="7">
        <v>9.8800000000000008</v>
      </c>
      <c r="E42611" t="s">
        <v>34</v>
      </c>
    </row>
    <row r="42612" spans="1:5" x14ac:dyDescent="0.25">
      <c r="A42612" t="str">
        <f>HYPERLINK("https://www.773grp.com/globalSearch/LC749402BG-TLM-H/page-1", "LC749402BG-TLM-H")</f>
        <v>LC749402BG-TLM-H</v>
      </c>
      <c r="B42612" s="3" t="s">
        <v>95</v>
      </c>
      <c r="C42612" s="6">
        <v>9000</v>
      </c>
      <c r="D42612" s="7">
        <v>9.9</v>
      </c>
    </row>
    <row r="42613" spans="1:5" x14ac:dyDescent="0.25">
      <c r="A42613" t="str">
        <f>HYPERLINK("https://www.773grp.com/globalSearch/MC10H186L/page-1", "MC10H186L")</f>
        <v>MC10H186L</v>
      </c>
      <c r="B42613" s="3" t="s">
        <v>95</v>
      </c>
      <c r="C42613" s="6">
        <v>4488</v>
      </c>
      <c r="D42613" s="7">
        <v>9.9</v>
      </c>
      <c r="E42613" t="s">
        <v>35</v>
      </c>
    </row>
    <row r="42614" spans="1:5" x14ac:dyDescent="0.25">
      <c r="A42614" t="str">
        <f>HYPERLINK("https://www.773grp.com/globalSearch/MC10EP08DR2/page-1", "MC10EP08DR2")</f>
        <v>MC10EP08DR2</v>
      </c>
      <c r="B42614" s="3" t="s">
        <v>95</v>
      </c>
      <c r="C42614" s="6">
        <v>40000</v>
      </c>
      <c r="D42614" s="7">
        <v>9.99</v>
      </c>
      <c r="E42614" t="s">
        <v>31</v>
      </c>
    </row>
    <row r="42615" spans="1:5" x14ac:dyDescent="0.25">
      <c r="A42615" t="str">
        <f>HYPERLINK("https://www.773grp.com/globalSearch/MC10EP08DTR2/page-1", "MC10EP08DTR2")</f>
        <v>MC10EP08DTR2</v>
      </c>
      <c r="B42615" s="3" t="s">
        <v>95</v>
      </c>
      <c r="C42615" s="6">
        <v>2214</v>
      </c>
      <c r="D42615" s="7">
        <v>9.99</v>
      </c>
      <c r="E42615" t="s">
        <v>31</v>
      </c>
    </row>
    <row r="42616" spans="1:5" x14ac:dyDescent="0.25">
      <c r="A42616" t="str">
        <f>HYPERLINK("https://www.773grp.com/globalSearch/AMIS30621C6213G/page-1", "AMIS30621C6213G")</f>
        <v>AMIS30621C6213G</v>
      </c>
      <c r="B42616" s="3" t="s">
        <v>95</v>
      </c>
      <c r="C42616" s="6">
        <v>18</v>
      </c>
      <c r="D42616" s="7">
        <v>10.01</v>
      </c>
    </row>
    <row r="42617" spans="1:5" x14ac:dyDescent="0.25">
      <c r="A42617" t="str">
        <f>HYPERLINK("https://www.773grp.com/globalSearch/AMIS30622C6223G/page-1", "AMIS30622C6223G")</f>
        <v>AMIS30622C6223G</v>
      </c>
      <c r="B42617" s="3" t="s">
        <v>95</v>
      </c>
      <c r="C42617" s="6">
        <v>254</v>
      </c>
      <c r="D42617" s="7">
        <v>10.01</v>
      </c>
      <c r="E42617" t="s">
        <v>62</v>
      </c>
    </row>
    <row r="42618" spans="1:5" x14ac:dyDescent="0.25">
      <c r="A42618" t="str">
        <f>HYPERLINK("https://www.773grp.com/globalSearch/MJ11030G/page-1", "MJ11030G")</f>
        <v>MJ11030G</v>
      </c>
      <c r="B42618" s="3" t="s">
        <v>95</v>
      </c>
      <c r="C42618" s="6">
        <v>86</v>
      </c>
      <c r="D42618" s="7">
        <v>10.08</v>
      </c>
    </row>
    <row r="42619" spans="1:5" x14ac:dyDescent="0.25">
      <c r="A42619" t="str">
        <f>HYPERLINK("https://www.773grp.com/globalSearch/MC100EPT23D/page-1", "MC100EPT23D")</f>
        <v>MC100EPT23D</v>
      </c>
      <c r="B42619" s="3" t="s">
        <v>95</v>
      </c>
      <c r="C42619" s="6">
        <v>1470</v>
      </c>
      <c r="D42619" s="7">
        <v>10.130000000000001</v>
      </c>
    </row>
    <row r="42620" spans="1:5" x14ac:dyDescent="0.25">
      <c r="A42620" t="str">
        <f>HYPERLINK("https://www.773grp.com/globalSearch/MC100LVEP05DTG/page-1", "MC100LVEP05DTG")</f>
        <v>MC100LVEP05DTG</v>
      </c>
      <c r="B42620" s="3" t="s">
        <v>95</v>
      </c>
      <c r="C42620" s="6">
        <v>8260</v>
      </c>
      <c r="D42620" s="7">
        <v>10.130000000000001</v>
      </c>
      <c r="E42620" t="s">
        <v>31</v>
      </c>
    </row>
    <row r="42621" spans="1:5" x14ac:dyDescent="0.25">
      <c r="A42621" t="str">
        <f>HYPERLINK("https://www.773grp.com/globalSearch/MC100LVEP05DTR2G/page-1", "MC100LVEP05DTR2G")</f>
        <v>MC100LVEP05DTR2G</v>
      </c>
      <c r="B42621" s="3" t="s">
        <v>95</v>
      </c>
      <c r="C42621" s="6">
        <v>10008</v>
      </c>
      <c r="D42621" s="7">
        <v>10.130000000000001</v>
      </c>
      <c r="E42621" t="s">
        <v>31</v>
      </c>
    </row>
    <row r="42622" spans="1:5" x14ac:dyDescent="0.25">
      <c r="A42622" t="str">
        <f>HYPERLINK("https://www.773grp.com/globalSearch/MC100LVEP05MNTXG/page-1", "MC100LVEP05MNTXG")</f>
        <v>MC100LVEP05MNTXG</v>
      </c>
      <c r="B42622" s="3" t="s">
        <v>95</v>
      </c>
      <c r="C42622" s="6">
        <v>13940</v>
      </c>
      <c r="D42622" s="7">
        <v>10.130000000000001</v>
      </c>
      <c r="E42622" t="s">
        <v>31</v>
      </c>
    </row>
    <row r="42623" spans="1:5" x14ac:dyDescent="0.25">
      <c r="A42623" t="str">
        <f>HYPERLINK("https://www.773grp.com/globalSearch/MC10EP52DT/page-1", "MC10EP52DT")</f>
        <v>MC10EP52DT</v>
      </c>
      <c r="B42623" s="3" t="s">
        <v>95</v>
      </c>
      <c r="C42623" s="6">
        <v>71</v>
      </c>
      <c r="D42623" s="7">
        <v>10.130000000000001</v>
      </c>
      <c r="E42623" t="s">
        <v>35</v>
      </c>
    </row>
    <row r="42624" spans="1:5" x14ac:dyDescent="0.25">
      <c r="A42624" t="str">
        <f>HYPERLINK("https://www.773grp.com/globalSearch/MC10EP58DT/page-1", "MC10EP58DT")</f>
        <v>MC10EP58DT</v>
      </c>
      <c r="B42624" s="3" t="s">
        <v>95</v>
      </c>
      <c r="C42624" s="6">
        <v>5592</v>
      </c>
      <c r="D42624" s="7">
        <v>10.130000000000001</v>
      </c>
      <c r="E42624" t="s">
        <v>20</v>
      </c>
    </row>
    <row r="42625" spans="1:5" x14ac:dyDescent="0.25">
      <c r="A42625" t="str">
        <f>HYPERLINK("https://www.773grp.com/globalSearch/MC10EP89DTR2/page-1", "MC10EP89DTR2")</f>
        <v>MC10EP89DTR2</v>
      </c>
      <c r="B42625" s="3" t="s">
        <v>95</v>
      </c>
      <c r="C42625" s="6">
        <v>3978</v>
      </c>
      <c r="D42625" s="7">
        <v>10.130000000000001</v>
      </c>
      <c r="E42625" t="s">
        <v>21</v>
      </c>
    </row>
    <row r="42626" spans="1:5" x14ac:dyDescent="0.25">
      <c r="A42626" t="str">
        <f>HYPERLINK("https://www.773grp.com/globalSearch/MJ11033/page-1", "MJ11033")</f>
        <v>MJ11033</v>
      </c>
      <c r="B42626" s="3" t="s">
        <v>95</v>
      </c>
      <c r="C42626" s="6">
        <v>100</v>
      </c>
      <c r="D42626" s="7">
        <v>10.130000000000001</v>
      </c>
    </row>
    <row r="42627" spans="1:5" x14ac:dyDescent="0.25">
      <c r="A42627" t="str">
        <f>HYPERLINK("https://www.773grp.com/globalSearch/NB100LVEP56DTR2/page-1", "NB100LVEP56DTR2")</f>
        <v>NB100LVEP56DTR2</v>
      </c>
      <c r="B42627" s="3" t="s">
        <v>95</v>
      </c>
      <c r="C42627" s="6">
        <v>9970</v>
      </c>
      <c r="D42627" s="7">
        <v>10.130000000000001</v>
      </c>
      <c r="E42627" t="s">
        <v>20</v>
      </c>
    </row>
    <row r="42628" spans="1:5" x14ac:dyDescent="0.25">
      <c r="A42628" t="str">
        <f>HYPERLINK("https://www.773grp.com/globalSearch/NB100LVEP56MN/page-1", "NB100LVEP56MN")</f>
        <v>NB100LVEP56MN</v>
      </c>
      <c r="B42628" s="3" t="s">
        <v>95</v>
      </c>
      <c r="C42628" s="6">
        <v>2057</v>
      </c>
      <c r="D42628" s="7">
        <v>10.130000000000001</v>
      </c>
      <c r="E42628" t="s">
        <v>20</v>
      </c>
    </row>
    <row r="42629" spans="1:5" x14ac:dyDescent="0.25">
      <c r="A42629" t="str">
        <f>HYPERLINK("https://www.773grp.com/globalSearch/NB100LVEP56MNR2/page-1", "NB100LVEP56MNR2")</f>
        <v>NB100LVEP56MNR2</v>
      </c>
      <c r="B42629" s="3" t="s">
        <v>95</v>
      </c>
      <c r="C42629" s="6">
        <v>48000</v>
      </c>
      <c r="D42629" s="7">
        <v>10.130000000000001</v>
      </c>
      <c r="E42629" t="s">
        <v>20</v>
      </c>
    </row>
    <row r="42630" spans="1:5" x14ac:dyDescent="0.25">
      <c r="A42630" t="str">
        <f>HYPERLINK("https://www.773grp.com/globalSearch/LC75883WHS-E/page-1", "LC75883WHS-E")</f>
        <v>LC75883WHS-E</v>
      </c>
      <c r="B42630" s="3" t="s">
        <v>95</v>
      </c>
      <c r="C42630" s="6">
        <v>300</v>
      </c>
      <c r="D42630" s="7">
        <v>10.18</v>
      </c>
    </row>
    <row r="42631" spans="1:5" x14ac:dyDescent="0.25">
      <c r="A42631" t="str">
        <f>HYPERLINK("https://www.773grp.com/globalSearch/AMIS30523C5231RG/page-1", "AMIS30523C5231RG")</f>
        <v>AMIS30523C5231RG</v>
      </c>
      <c r="B42631" s="3" t="s">
        <v>95</v>
      </c>
      <c r="C42631" s="6">
        <v>49</v>
      </c>
      <c r="D42631" s="7">
        <v>10.24</v>
      </c>
    </row>
    <row r="42632" spans="1:5" x14ac:dyDescent="0.25">
      <c r="A42632" t="str">
        <f>HYPERLINK("https://www.773grp.com/globalSearch/CAT5251WI00/page-1", "CAT5251WI00")</f>
        <v>CAT5251WI00</v>
      </c>
      <c r="B42632" s="3" t="s">
        <v>95</v>
      </c>
      <c r="C42632" s="6">
        <v>2299</v>
      </c>
      <c r="D42632" s="7">
        <v>10.26</v>
      </c>
      <c r="E42632" t="s">
        <v>99</v>
      </c>
    </row>
    <row r="42633" spans="1:5" x14ac:dyDescent="0.25">
      <c r="A42633" t="str">
        <f>HYPERLINK("https://www.773grp.com/globalSearch/CAT5251YI00/page-1", "CAT5251YI00")</f>
        <v>CAT5251YI00</v>
      </c>
      <c r="B42633" s="3" t="s">
        <v>95</v>
      </c>
      <c r="C42633" s="6">
        <v>1240</v>
      </c>
      <c r="D42633" s="7">
        <v>10.26</v>
      </c>
      <c r="E42633" t="s">
        <v>99</v>
      </c>
    </row>
    <row r="42634" spans="1:5" x14ac:dyDescent="0.25">
      <c r="A42634" t="str">
        <f>HYPERLINK("https://www.773grp.com/globalSearch/CAT5251YI-00-T2/page-1", "CAT5251YI-00-T2")</f>
        <v>CAT5251YI-00-T2</v>
      </c>
      <c r="B42634" s="3" t="s">
        <v>95</v>
      </c>
      <c r="C42634" s="6">
        <v>4000</v>
      </c>
      <c r="D42634" s="7">
        <v>10.26</v>
      </c>
      <c r="E42634" t="s">
        <v>99</v>
      </c>
    </row>
    <row r="42635" spans="1:5" x14ac:dyDescent="0.25">
      <c r="A42635" t="str">
        <f>HYPERLINK("https://www.773grp.com/globalSearch/CAT5251YI50/page-1", "CAT5251YI50")</f>
        <v>CAT5251YI50</v>
      </c>
      <c r="B42635" s="3" t="s">
        <v>95</v>
      </c>
      <c r="C42635" s="6">
        <v>93</v>
      </c>
      <c r="D42635" s="7">
        <v>10.26</v>
      </c>
      <c r="E42635" t="s">
        <v>99</v>
      </c>
    </row>
    <row r="42636" spans="1:5" x14ac:dyDescent="0.25">
      <c r="A42636" t="str">
        <f>HYPERLINK("https://www.773grp.com/globalSearch/CAT5259WI50/page-1", "CAT5259WI50")</f>
        <v>CAT5259WI50</v>
      </c>
      <c r="B42636" s="3" t="s">
        <v>95</v>
      </c>
      <c r="C42636" s="6">
        <v>434</v>
      </c>
      <c r="D42636" s="7">
        <v>10.26</v>
      </c>
      <c r="E42636" t="s">
        <v>99</v>
      </c>
    </row>
    <row r="42637" spans="1:5" x14ac:dyDescent="0.25">
      <c r="A42637" t="str">
        <f>HYPERLINK("https://www.773grp.com/globalSearch/CAT5259YI00/page-1", "CAT5259YI00")</f>
        <v>CAT5259YI00</v>
      </c>
      <c r="B42637" s="3" t="s">
        <v>95</v>
      </c>
      <c r="C42637" s="6">
        <v>6879</v>
      </c>
      <c r="D42637" s="7">
        <v>10.26</v>
      </c>
      <c r="E42637" t="s">
        <v>99</v>
      </c>
    </row>
    <row r="42638" spans="1:5" x14ac:dyDescent="0.25">
      <c r="A42638" t="str">
        <f>HYPERLINK("https://www.773grp.com/globalSearch/CAT5259YI50/page-1", "CAT5259YI50")</f>
        <v>CAT5259YI50</v>
      </c>
      <c r="B42638" s="3" t="s">
        <v>95</v>
      </c>
      <c r="C42638" s="6">
        <v>571</v>
      </c>
      <c r="D42638" s="7">
        <v>10.26</v>
      </c>
      <c r="E42638" t="s">
        <v>99</v>
      </c>
    </row>
    <row r="42639" spans="1:5" x14ac:dyDescent="0.25">
      <c r="A42639" t="str">
        <f>HYPERLINK("https://www.773grp.com/globalSearch/CAT5259YI-50-T2/page-1", "CAT5259YI-50-T2")</f>
        <v>CAT5259YI-50-T2</v>
      </c>
      <c r="B42639" s="3" t="s">
        <v>95</v>
      </c>
      <c r="C42639" s="6">
        <v>4000</v>
      </c>
      <c r="D42639" s="7">
        <v>10.26</v>
      </c>
    </row>
    <row r="42640" spans="1:5" x14ac:dyDescent="0.25">
      <c r="A42640" t="str">
        <f>HYPERLINK("https://www.773grp.com/globalSearch/CAT5261WI00/page-1", "CAT5261WI00")</f>
        <v>CAT5261WI00</v>
      </c>
      <c r="B42640" s="3" t="s">
        <v>95</v>
      </c>
      <c r="C42640" s="6">
        <v>1178</v>
      </c>
      <c r="D42640" s="7">
        <v>10.26</v>
      </c>
      <c r="E42640" t="s">
        <v>99</v>
      </c>
    </row>
    <row r="42641" spans="1:5" x14ac:dyDescent="0.25">
      <c r="A42641" t="str">
        <f>HYPERLINK("https://www.773grp.com/globalSearch/MC100LVEL38DWG/page-1", "MC100LVEL38DWG")</f>
        <v>MC100LVEL38DWG</v>
      </c>
      <c r="B42641" s="3" t="s">
        <v>95</v>
      </c>
      <c r="C42641" s="6">
        <v>1387</v>
      </c>
      <c r="D42641" s="7">
        <v>10.26</v>
      </c>
      <c r="E42641" t="s">
        <v>34</v>
      </c>
    </row>
    <row r="42642" spans="1:5" x14ac:dyDescent="0.25">
      <c r="A42642" t="str">
        <f>HYPERLINK("https://www.773grp.com/globalSearch/MC100LVEL38DWR2/page-1", "MC100LVEL38DWR2")</f>
        <v>MC100LVEL38DWR2</v>
      </c>
      <c r="B42642" s="3" t="s">
        <v>95</v>
      </c>
      <c r="C42642" s="6">
        <v>181</v>
      </c>
      <c r="D42642" s="7">
        <v>10.26</v>
      </c>
      <c r="E42642" t="s">
        <v>34</v>
      </c>
    </row>
    <row r="42643" spans="1:5" x14ac:dyDescent="0.25">
      <c r="A42643" t="str">
        <f>HYPERLINK("https://www.773grp.com/globalSearch/MC100LVEL38DWR2G/page-1", "MC100LVEL38DWR2G")</f>
        <v>MC100LVEL38DWR2G</v>
      </c>
      <c r="B42643" s="3" t="s">
        <v>95</v>
      </c>
      <c r="C42643" s="6">
        <v>3000</v>
      </c>
      <c r="D42643" s="7">
        <v>10.26</v>
      </c>
      <c r="E42643" t="s">
        <v>34</v>
      </c>
    </row>
    <row r="42644" spans="1:5" x14ac:dyDescent="0.25">
      <c r="A42644" t="str">
        <f>HYPERLINK("https://www.773grp.com/globalSearch/2N5684G/page-1", "2N5684G")</f>
        <v>2N5684G</v>
      </c>
      <c r="B42644" s="3" t="s">
        <v>95</v>
      </c>
      <c r="C42644" s="6">
        <v>2900</v>
      </c>
      <c r="D42644" s="7">
        <v>10.33</v>
      </c>
      <c r="E42644" t="s">
        <v>59</v>
      </c>
    </row>
    <row r="42645" spans="1:5" x14ac:dyDescent="0.25">
      <c r="A42645" t="str">
        <f>HYPERLINK("https://www.773grp.com/globalSearch/MC100EP17DW/page-1", "MC100EP17DW")</f>
        <v>MC100EP17DW</v>
      </c>
      <c r="B42645" s="3" t="s">
        <v>95</v>
      </c>
      <c r="C42645" s="6">
        <v>3470</v>
      </c>
      <c r="D42645" s="7">
        <v>10.33</v>
      </c>
      <c r="E42645" t="s">
        <v>21</v>
      </c>
    </row>
    <row r="42646" spans="1:5" x14ac:dyDescent="0.25">
      <c r="A42646" t="str">
        <f>HYPERLINK("https://www.773grp.com/globalSearch/MC100EPT20DG/page-1", "MC100EPT20DG")</f>
        <v>MC100EPT20DG</v>
      </c>
      <c r="B42646" s="3" t="s">
        <v>95</v>
      </c>
      <c r="C42646" s="6">
        <v>5219</v>
      </c>
      <c r="D42646" s="7">
        <v>10.41</v>
      </c>
      <c r="E42646" t="s">
        <v>73</v>
      </c>
    </row>
    <row r="42647" spans="1:5" x14ac:dyDescent="0.25">
      <c r="A42647" t="str">
        <f>HYPERLINK("https://www.773grp.com/globalSearch/MC100EPT20DTG/page-1", "MC100EPT20DTG")</f>
        <v>MC100EPT20DTG</v>
      </c>
      <c r="B42647" s="3" t="s">
        <v>95</v>
      </c>
      <c r="C42647" s="6">
        <v>143</v>
      </c>
      <c r="D42647" s="7">
        <v>10.41</v>
      </c>
      <c r="E42647" t="s">
        <v>73</v>
      </c>
    </row>
    <row r="42648" spans="1:5" x14ac:dyDescent="0.25">
      <c r="A42648" t="str">
        <f>HYPERLINK("https://www.773grp.com/globalSearch/MC100EPT20MNR4G/page-1", "MC100EPT20MNR4G")</f>
        <v>MC100EPT20MNR4G</v>
      </c>
      <c r="B42648" s="3" t="s">
        <v>95</v>
      </c>
      <c r="C42648" s="6">
        <v>12535</v>
      </c>
      <c r="D42648" s="7">
        <v>10.41</v>
      </c>
      <c r="E42648" t="s">
        <v>73</v>
      </c>
    </row>
    <row r="42649" spans="1:5" x14ac:dyDescent="0.25">
      <c r="A42649" t="str">
        <f>HYPERLINK("https://www.773grp.com/globalSearch/MC100EPT21D/page-1", "MC100EPT21D")</f>
        <v>MC100EPT21D</v>
      </c>
      <c r="B42649" s="3" t="s">
        <v>95</v>
      </c>
      <c r="C42649" s="6">
        <v>8160</v>
      </c>
      <c r="D42649" s="7">
        <v>10.41</v>
      </c>
      <c r="E42649" t="s">
        <v>73</v>
      </c>
    </row>
    <row r="42650" spans="1:5" x14ac:dyDescent="0.25">
      <c r="A42650" t="str">
        <f>HYPERLINK("https://www.773grp.com/globalSearch/MC100EPT21DG/page-1", "MC100EPT21DG")</f>
        <v>MC100EPT21DG</v>
      </c>
      <c r="B42650" s="3" t="s">
        <v>95</v>
      </c>
      <c r="C42650" s="6">
        <v>984</v>
      </c>
      <c r="D42650" s="7">
        <v>10.41</v>
      </c>
      <c r="E42650" t="s">
        <v>73</v>
      </c>
    </row>
    <row r="42651" spans="1:5" x14ac:dyDescent="0.25">
      <c r="A42651" t="str">
        <f>HYPERLINK("https://www.773grp.com/globalSearch/MC100EPT21DR2/page-1", "MC100EPT21DR2")</f>
        <v>MC100EPT21DR2</v>
      </c>
      <c r="B42651" s="3" t="s">
        <v>95</v>
      </c>
      <c r="C42651" s="6">
        <v>394</v>
      </c>
      <c r="D42651" s="7">
        <v>10.41</v>
      </c>
      <c r="E42651" t="s">
        <v>73</v>
      </c>
    </row>
    <row r="42652" spans="1:5" x14ac:dyDescent="0.25">
      <c r="A42652" t="str">
        <f>HYPERLINK("https://www.773grp.com/globalSearch/MC100EPT21DTG/page-1", "MC100EPT21DTG")</f>
        <v>MC100EPT21DTG</v>
      </c>
      <c r="B42652" s="3" t="s">
        <v>95</v>
      </c>
      <c r="C42652" s="6">
        <v>369</v>
      </c>
      <c r="D42652" s="7">
        <v>10.41</v>
      </c>
    </row>
    <row r="42653" spans="1:5" x14ac:dyDescent="0.25">
      <c r="A42653" t="str">
        <f>HYPERLINK("https://www.773grp.com/globalSearch/MC100EPT21MNR4G/page-1", "MC100EPT21MNR4G")</f>
        <v>MC100EPT21MNR4G</v>
      </c>
      <c r="B42653" s="3" t="s">
        <v>95</v>
      </c>
      <c r="C42653" s="6">
        <v>31900</v>
      </c>
      <c r="D42653" s="7">
        <v>10.41</v>
      </c>
      <c r="E42653" t="s">
        <v>73</v>
      </c>
    </row>
    <row r="42654" spans="1:5" x14ac:dyDescent="0.25">
      <c r="A42654" t="str">
        <f>HYPERLINK("https://www.773grp.com/globalSearch/MC100EPT22DG/page-1", "MC100EPT22DG")</f>
        <v>MC100EPT22DG</v>
      </c>
      <c r="B42654" s="3" t="s">
        <v>95</v>
      </c>
      <c r="C42654" s="6">
        <v>801</v>
      </c>
      <c r="D42654" s="7">
        <v>10.41</v>
      </c>
    </row>
    <row r="42655" spans="1:5" x14ac:dyDescent="0.25">
      <c r="A42655" t="str">
        <f>HYPERLINK("https://www.773grp.com/globalSearch/MC100EPT22MNR4G/page-1", "MC100EPT22MNR4G")</f>
        <v>MC100EPT22MNR4G</v>
      </c>
      <c r="B42655" s="3" t="s">
        <v>95</v>
      </c>
      <c r="C42655" s="6">
        <v>15000</v>
      </c>
      <c r="D42655" s="7">
        <v>10.41</v>
      </c>
      <c r="E42655" t="s">
        <v>73</v>
      </c>
    </row>
    <row r="42656" spans="1:5" x14ac:dyDescent="0.25">
      <c r="A42656" t="str">
        <f>HYPERLINK("https://www.773grp.com/globalSearch/MC100EPT23DG/page-1", "MC100EPT23DG")</f>
        <v>MC100EPT23DG</v>
      </c>
      <c r="B42656" s="3" t="s">
        <v>95</v>
      </c>
      <c r="C42656" s="6">
        <v>175</v>
      </c>
      <c r="D42656" s="7">
        <v>10.41</v>
      </c>
    </row>
    <row r="42657" spans="1:5" x14ac:dyDescent="0.25">
      <c r="A42657" t="str">
        <f>HYPERLINK("https://www.773grp.com/globalSearch/MC100EPT23DTG/page-1", "MC100EPT23DTG")</f>
        <v>MC100EPT23DTG</v>
      </c>
      <c r="B42657" s="3" t="s">
        <v>95</v>
      </c>
      <c r="C42657" s="6">
        <v>1698</v>
      </c>
      <c r="D42657" s="7">
        <v>10.41</v>
      </c>
      <c r="E42657" t="s">
        <v>73</v>
      </c>
    </row>
    <row r="42658" spans="1:5" x14ac:dyDescent="0.25">
      <c r="A42658" t="str">
        <f>HYPERLINK("https://www.773grp.com/globalSearch/MC10EPT20DG/page-1", "MC10EPT20DG")</f>
        <v>MC10EPT20DG</v>
      </c>
      <c r="B42658" s="3" t="s">
        <v>95</v>
      </c>
      <c r="C42658" s="6">
        <v>776</v>
      </c>
      <c r="D42658" s="7">
        <v>10.41</v>
      </c>
      <c r="E42658" t="s">
        <v>73</v>
      </c>
    </row>
    <row r="42659" spans="1:5" x14ac:dyDescent="0.25">
      <c r="A42659" t="str">
        <f>HYPERLINK("https://www.773grp.com/globalSearch/MC10EPT20DTG/page-1", "MC10EPT20DTG")</f>
        <v>MC10EPT20DTG</v>
      </c>
      <c r="B42659" s="3" t="s">
        <v>95</v>
      </c>
      <c r="C42659" s="6">
        <v>6083</v>
      </c>
      <c r="D42659" s="7">
        <v>10.41</v>
      </c>
      <c r="E42659" t="s">
        <v>73</v>
      </c>
    </row>
    <row r="42660" spans="1:5" x14ac:dyDescent="0.25">
      <c r="A42660" t="str">
        <f>HYPERLINK("https://www.773grp.com/globalSearch/MC10EPT20MNR4G/page-1", "MC10EPT20MNR4G")</f>
        <v>MC10EPT20MNR4G</v>
      </c>
      <c r="B42660" s="3" t="s">
        <v>95</v>
      </c>
      <c r="C42660" s="6">
        <v>10000</v>
      </c>
      <c r="D42660" s="7">
        <v>10.41</v>
      </c>
      <c r="E42660" t="s">
        <v>73</v>
      </c>
    </row>
    <row r="42661" spans="1:5" x14ac:dyDescent="0.25">
      <c r="A42661" t="str">
        <f>HYPERLINK("https://www.773grp.com/globalSearch/MC10H171PG/page-1", "MC10H171PG")</f>
        <v>MC10H171PG</v>
      </c>
      <c r="B42661" s="3" t="s">
        <v>95</v>
      </c>
      <c r="C42661" s="6">
        <v>3300</v>
      </c>
      <c r="D42661" s="7">
        <v>10.41</v>
      </c>
      <c r="E42661" t="s">
        <v>36</v>
      </c>
    </row>
    <row r="42662" spans="1:5" x14ac:dyDescent="0.25">
      <c r="A42662" t="str">
        <f>HYPERLINK("https://www.773grp.com/globalSearch/MC10H175PG/page-1", "MC10H175PG")</f>
        <v>MC10H175PG</v>
      </c>
      <c r="B42662" s="3" t="s">
        <v>95</v>
      </c>
      <c r="C42662" s="6">
        <v>5195</v>
      </c>
      <c r="D42662" s="7">
        <v>10.5</v>
      </c>
      <c r="E42662" t="s">
        <v>35</v>
      </c>
    </row>
    <row r="42663" spans="1:5" x14ac:dyDescent="0.25">
      <c r="A42663" t="str">
        <f>HYPERLINK("https://www.773grp.com/globalSearch/MC100EPT24DG/page-1", "MC100EPT24DG")</f>
        <v>MC100EPT24DG</v>
      </c>
      <c r="B42663" s="3" t="s">
        <v>95</v>
      </c>
      <c r="C42663" s="6">
        <v>2398</v>
      </c>
      <c r="D42663" s="7">
        <v>10.55</v>
      </c>
      <c r="E42663" t="s">
        <v>73</v>
      </c>
    </row>
    <row r="42664" spans="1:5" x14ac:dyDescent="0.25">
      <c r="A42664" t="str">
        <f>HYPERLINK("https://www.773grp.com/globalSearch/MC100EPT24DR2G/page-1", "MC100EPT24DR2G")</f>
        <v>MC100EPT24DR2G</v>
      </c>
      <c r="B42664" s="3" t="s">
        <v>95</v>
      </c>
      <c r="C42664" s="6">
        <v>5000</v>
      </c>
      <c r="D42664" s="7">
        <v>10.55</v>
      </c>
      <c r="E42664" t="s">
        <v>73</v>
      </c>
    </row>
    <row r="42665" spans="1:5" x14ac:dyDescent="0.25">
      <c r="A42665" t="str">
        <f>HYPERLINK("https://www.773grp.com/globalSearch/MC100EPT24DTG/page-1", "MC100EPT24DTG")</f>
        <v>MC100EPT24DTG</v>
      </c>
      <c r="B42665" s="3" t="s">
        <v>95</v>
      </c>
      <c r="C42665" s="6">
        <v>792</v>
      </c>
      <c r="D42665" s="7">
        <v>10.55</v>
      </c>
      <c r="E42665" t="s">
        <v>73</v>
      </c>
    </row>
    <row r="42666" spans="1:5" x14ac:dyDescent="0.25">
      <c r="A42666" t="str">
        <f>HYPERLINK("https://www.773grp.com/globalSearch/MC100EPT24MNR4G/page-1", "MC100EPT24MNR4G")</f>
        <v>MC100EPT24MNR4G</v>
      </c>
      <c r="B42666" s="3" t="s">
        <v>95</v>
      </c>
      <c r="C42666" s="6">
        <v>11800</v>
      </c>
      <c r="D42666" s="7">
        <v>10.55</v>
      </c>
      <c r="E42666" t="s">
        <v>73</v>
      </c>
    </row>
    <row r="42667" spans="1:5" x14ac:dyDescent="0.25">
      <c r="A42667" t="str">
        <f>HYPERLINK("https://www.773grp.com/globalSearch/MC100EPT25DG/page-1", "MC100EPT25DG")</f>
        <v>MC100EPT25DG</v>
      </c>
      <c r="B42667" s="3" t="s">
        <v>95</v>
      </c>
      <c r="C42667" s="6">
        <v>7610</v>
      </c>
      <c r="D42667" s="7">
        <v>10.55</v>
      </c>
      <c r="E42667" t="s">
        <v>73</v>
      </c>
    </row>
    <row r="42668" spans="1:5" x14ac:dyDescent="0.25">
      <c r="A42668" t="str">
        <f>HYPERLINK("https://www.773grp.com/globalSearch/MC100EPT25DR2G/page-1", "MC100EPT25DR2G")</f>
        <v>MC100EPT25DR2G</v>
      </c>
      <c r="B42668" s="3" t="s">
        <v>95</v>
      </c>
      <c r="C42668" s="6">
        <v>7500</v>
      </c>
      <c r="D42668" s="7">
        <v>10.55</v>
      </c>
      <c r="E42668" t="s">
        <v>73</v>
      </c>
    </row>
    <row r="42669" spans="1:5" x14ac:dyDescent="0.25">
      <c r="A42669" t="str">
        <f>HYPERLINK("https://www.773grp.com/globalSearch/MC100EPT25DTG/page-1", "MC100EPT25DTG")</f>
        <v>MC100EPT25DTG</v>
      </c>
      <c r="B42669" s="3" t="s">
        <v>95</v>
      </c>
      <c r="C42669" s="6">
        <v>100</v>
      </c>
      <c r="D42669" s="7">
        <v>10.55</v>
      </c>
      <c r="E42669" t="s">
        <v>73</v>
      </c>
    </row>
    <row r="42670" spans="1:5" x14ac:dyDescent="0.25">
      <c r="A42670" t="str">
        <f>HYPERLINK("https://www.773grp.com/globalSearch/MC100EPT25DTR2G/page-1", "MC100EPT25DTR2G")</f>
        <v>MC100EPT25DTR2G</v>
      </c>
      <c r="B42670" s="3" t="s">
        <v>95</v>
      </c>
      <c r="C42670" s="6">
        <v>1750</v>
      </c>
      <c r="D42670" s="7">
        <v>10.55</v>
      </c>
      <c r="E42670" t="s">
        <v>73</v>
      </c>
    </row>
    <row r="42671" spans="1:5" x14ac:dyDescent="0.25">
      <c r="A42671" t="str">
        <f>HYPERLINK("https://www.773grp.com/globalSearch/MC100EPT25MNR4G/page-1", "MC100EPT25MNR4G")</f>
        <v>MC100EPT25MNR4G</v>
      </c>
      <c r="B42671" s="3" t="s">
        <v>95</v>
      </c>
      <c r="C42671" s="6">
        <v>8900</v>
      </c>
      <c r="D42671" s="7">
        <v>10.55</v>
      </c>
      <c r="E42671" t="s">
        <v>73</v>
      </c>
    </row>
    <row r="42672" spans="1:5" x14ac:dyDescent="0.25">
      <c r="A42672" t="str">
        <f>HYPERLINK("https://www.773grp.com/globalSearch/MC100EPT26DG/page-1", "MC100EPT26DG")</f>
        <v>MC100EPT26DG</v>
      </c>
      <c r="B42672" s="3" t="s">
        <v>95</v>
      </c>
      <c r="C42672" s="6">
        <v>37088</v>
      </c>
      <c r="D42672" s="7">
        <v>10.55</v>
      </c>
      <c r="E42672" t="s">
        <v>73</v>
      </c>
    </row>
    <row r="42673" spans="1:5" x14ac:dyDescent="0.25">
      <c r="A42673" t="str">
        <f>HYPERLINK("https://www.773grp.com/globalSearch/MC100EPT26DR2G/page-1", "MC100EPT26DR2G")</f>
        <v>MC100EPT26DR2G</v>
      </c>
      <c r="B42673" s="3" t="s">
        <v>95</v>
      </c>
      <c r="C42673" s="6">
        <v>15000</v>
      </c>
      <c r="D42673" s="7">
        <v>10.55</v>
      </c>
      <c r="E42673" t="s">
        <v>73</v>
      </c>
    </row>
    <row r="42674" spans="1:5" x14ac:dyDescent="0.25">
      <c r="A42674" t="str">
        <f>HYPERLINK("https://www.773grp.com/globalSearch/MC100EPT26DTG/page-1", "MC100EPT26DTG")</f>
        <v>MC100EPT26DTG</v>
      </c>
      <c r="B42674" s="3" t="s">
        <v>95</v>
      </c>
      <c r="C42674" s="6">
        <v>923</v>
      </c>
      <c r="D42674" s="7">
        <v>10.55</v>
      </c>
    </row>
    <row r="42675" spans="1:5" x14ac:dyDescent="0.25">
      <c r="A42675" t="str">
        <f>HYPERLINK("https://www.773grp.com/globalSearch/MC100EPT26DTR2G/page-1", "MC100EPT26DTR2G")</f>
        <v>MC100EPT26DTR2G</v>
      </c>
      <c r="B42675" s="3" t="s">
        <v>95</v>
      </c>
      <c r="C42675" s="6">
        <v>2500</v>
      </c>
      <c r="D42675" s="7">
        <v>10.55</v>
      </c>
      <c r="E42675" t="s">
        <v>73</v>
      </c>
    </row>
    <row r="42676" spans="1:5" x14ac:dyDescent="0.25">
      <c r="A42676" t="str">
        <f>HYPERLINK("https://www.773grp.com/globalSearch/MC100EPT26MNR4G/page-1", "MC100EPT26MNR4G")</f>
        <v>MC100EPT26MNR4G</v>
      </c>
      <c r="B42676" s="3" t="s">
        <v>95</v>
      </c>
      <c r="C42676" s="6">
        <v>45710</v>
      </c>
      <c r="D42676" s="7">
        <v>10.55</v>
      </c>
      <c r="E42676" t="s">
        <v>73</v>
      </c>
    </row>
    <row r="42677" spans="1:5" x14ac:dyDescent="0.25">
      <c r="A42677" t="str">
        <f>HYPERLINK("https://www.773grp.com/globalSearch/MC10H125L/page-1", "MC10H125L")</f>
        <v>MC10H125L</v>
      </c>
      <c r="B42677" s="3" t="s">
        <v>95</v>
      </c>
      <c r="C42677" s="6">
        <v>1113</v>
      </c>
      <c r="D42677" s="7">
        <v>10.55</v>
      </c>
      <c r="E42677" t="s">
        <v>73</v>
      </c>
    </row>
    <row r="42678" spans="1:5" x14ac:dyDescent="0.25">
      <c r="A42678" t="str">
        <f>HYPERLINK("https://www.773grp.com/globalSearch/MC10H188M/page-1", "MC10H188M")</f>
        <v>MC10H188M</v>
      </c>
      <c r="B42678" s="3" t="s">
        <v>95</v>
      </c>
      <c r="C42678" s="6">
        <v>511</v>
      </c>
      <c r="D42678" s="7">
        <v>10.55</v>
      </c>
      <c r="E42678" t="s">
        <v>31</v>
      </c>
    </row>
    <row r="42679" spans="1:5" x14ac:dyDescent="0.25">
      <c r="A42679" t="str">
        <f>HYPERLINK("https://www.773grp.com/globalSearch/MC10H350FN/page-1", "MC10H350FN")</f>
        <v>MC10H350FN</v>
      </c>
      <c r="B42679" s="3" t="s">
        <v>95</v>
      </c>
      <c r="C42679" s="6">
        <v>1760</v>
      </c>
      <c r="D42679" s="7">
        <v>10.55</v>
      </c>
      <c r="E42679" t="s">
        <v>73</v>
      </c>
    </row>
    <row r="42680" spans="1:5" x14ac:dyDescent="0.25">
      <c r="A42680" t="str">
        <f>HYPERLINK("https://www.773grp.com/globalSearch/MC10H350FNR2/page-1", "MC10H350FNR2")</f>
        <v>MC10H350FNR2</v>
      </c>
      <c r="B42680" s="3" t="s">
        <v>95</v>
      </c>
      <c r="C42680" s="6">
        <v>5000</v>
      </c>
      <c r="D42680" s="7">
        <v>10.55</v>
      </c>
      <c r="E42680" t="s">
        <v>73</v>
      </c>
    </row>
    <row r="42681" spans="1:5" x14ac:dyDescent="0.25">
      <c r="A42681" t="str">
        <f>HYPERLINK("https://www.773grp.com/globalSearch/MC10H351FN/page-1", "MC10H351FN")</f>
        <v>MC10H351FN</v>
      </c>
      <c r="B42681" s="3" t="s">
        <v>95</v>
      </c>
      <c r="C42681" s="6">
        <v>6337</v>
      </c>
      <c r="D42681" s="7">
        <v>10.55</v>
      </c>
      <c r="E42681" t="s">
        <v>73</v>
      </c>
    </row>
    <row r="42682" spans="1:5" x14ac:dyDescent="0.25">
      <c r="A42682" t="str">
        <f>HYPERLINK("https://www.773grp.com/globalSearch/MC10H351FNR2/page-1", "MC10H351FNR2")</f>
        <v>MC10H351FNR2</v>
      </c>
      <c r="B42682" s="3" t="s">
        <v>95</v>
      </c>
      <c r="C42682" s="6">
        <v>645</v>
      </c>
      <c r="D42682" s="7">
        <v>10.55</v>
      </c>
      <c r="E42682" t="s">
        <v>73</v>
      </c>
    </row>
    <row r="42683" spans="1:5" x14ac:dyDescent="0.25">
      <c r="A42683" t="str">
        <f>HYPERLINK("https://www.773grp.com/globalSearch/MC10H352FN/page-1", "MC10H352FN")</f>
        <v>MC10H352FN</v>
      </c>
      <c r="B42683" s="3" t="s">
        <v>95</v>
      </c>
      <c r="C42683" s="6">
        <v>2162</v>
      </c>
      <c r="D42683" s="7">
        <v>10.55</v>
      </c>
      <c r="E42683" t="s">
        <v>73</v>
      </c>
    </row>
    <row r="42684" spans="1:5" x14ac:dyDescent="0.25">
      <c r="A42684" t="str">
        <f>HYPERLINK("https://www.773grp.com/globalSearch/MC10H352FNR2/page-1", "MC10H352FNR2")</f>
        <v>MC10H352FNR2</v>
      </c>
      <c r="B42684" s="3" t="s">
        <v>95</v>
      </c>
      <c r="C42684" s="6">
        <v>11000</v>
      </c>
      <c r="D42684" s="7">
        <v>10.55</v>
      </c>
      <c r="E42684" t="s">
        <v>73</v>
      </c>
    </row>
    <row r="42685" spans="1:5" x14ac:dyDescent="0.25">
      <c r="A42685" t="str">
        <f>HYPERLINK("https://www.773grp.com/globalSearch/MC10E107FNR/page-1", "MC10E107FNR")</f>
        <v>MC10E107FNR</v>
      </c>
      <c r="B42685" s="3" t="s">
        <v>95</v>
      </c>
      <c r="C42685" s="6">
        <v>500</v>
      </c>
      <c r="D42685" s="7">
        <v>10.58</v>
      </c>
    </row>
    <row r="42686" spans="1:5" x14ac:dyDescent="0.25">
      <c r="A42686" t="str">
        <f>HYPERLINK("https://www.773grp.com/globalSearch/MC1658L/page-1", "MC1658L")</f>
        <v>MC1658L</v>
      </c>
      <c r="B42686" s="3" t="s">
        <v>95</v>
      </c>
      <c r="C42686" s="6">
        <v>626</v>
      </c>
      <c r="D42686" s="7">
        <v>10.58</v>
      </c>
      <c r="E42686" t="s">
        <v>40</v>
      </c>
    </row>
    <row r="42687" spans="1:5" x14ac:dyDescent="0.25">
      <c r="A42687" t="str">
        <f>HYPERLINK("https://www.773grp.com/globalSearch/LC75813T-E/page-1", "LC75813T-E")</f>
        <v>LC75813T-E</v>
      </c>
      <c r="B42687" s="3" t="s">
        <v>95</v>
      </c>
      <c r="C42687" s="6">
        <v>5240</v>
      </c>
      <c r="D42687" s="7">
        <v>10.69</v>
      </c>
    </row>
    <row r="42688" spans="1:5" x14ac:dyDescent="0.25">
      <c r="A42688" t="str">
        <f>HYPERLINK("https://www.773grp.com/globalSearch/MTY30N50E/page-1", "MTY30N50E")</f>
        <v>MTY30N50E</v>
      </c>
      <c r="B42688" s="3" t="s">
        <v>95</v>
      </c>
      <c r="C42688" s="6">
        <v>9391</v>
      </c>
      <c r="D42688" s="7">
        <v>10.69</v>
      </c>
      <c r="E42688" t="s">
        <v>105</v>
      </c>
    </row>
    <row r="42689" spans="1:5" x14ac:dyDescent="0.25">
      <c r="A42689" t="str">
        <f>HYPERLINK("https://www.773grp.com/globalSearch/LC75808W-E/page-1", "LC75808W-E")</f>
        <v>LC75808W-E</v>
      </c>
      <c r="B42689" s="3" t="s">
        <v>95</v>
      </c>
      <c r="C42689" s="6">
        <v>4800</v>
      </c>
      <c r="D42689" s="7">
        <v>10.71</v>
      </c>
    </row>
    <row r="42690" spans="1:5" x14ac:dyDescent="0.25">
      <c r="A42690" t="str">
        <f>HYPERLINK("https://www.773grp.com/globalSearch/MC10H135MG/page-1", "MC10H135MG")</f>
        <v>MC10H135MG</v>
      </c>
      <c r="B42690" s="3" t="s">
        <v>95</v>
      </c>
      <c r="C42690" s="6">
        <v>8984</v>
      </c>
      <c r="D42690" s="7">
        <v>10.71</v>
      </c>
      <c r="E42690" t="s">
        <v>35</v>
      </c>
    </row>
    <row r="42691" spans="1:5" x14ac:dyDescent="0.25">
      <c r="A42691" t="str">
        <f>HYPERLINK("https://www.773grp.com/globalSearch/LC75878W-E/page-1", "LC75878W-E")</f>
        <v>LC75878W-E</v>
      </c>
      <c r="B42691" s="3" t="s">
        <v>95</v>
      </c>
      <c r="C42691" s="6">
        <v>480</v>
      </c>
      <c r="D42691" s="7">
        <v>10.75</v>
      </c>
    </row>
    <row r="42692" spans="1:5" x14ac:dyDescent="0.25">
      <c r="A42692" t="str">
        <f>HYPERLINK("https://www.773grp.com/globalSearch/MC10231P/page-1", "MC10231P")</f>
        <v>MC10231P</v>
      </c>
      <c r="B42692" s="3" t="s">
        <v>95</v>
      </c>
      <c r="C42692" s="6">
        <v>761</v>
      </c>
      <c r="D42692" s="7">
        <v>10.76</v>
      </c>
      <c r="E42692" t="s">
        <v>35</v>
      </c>
    </row>
    <row r="42693" spans="1:5" x14ac:dyDescent="0.25">
      <c r="A42693" t="str">
        <f>HYPERLINK("https://www.773grp.com/globalSearch/STK681-300/page-1", "STK681-300")</f>
        <v>STK681-300</v>
      </c>
      <c r="B42693" s="3" t="s">
        <v>95</v>
      </c>
      <c r="C42693" s="6">
        <v>330</v>
      </c>
      <c r="D42693" s="7">
        <v>10.8</v>
      </c>
    </row>
    <row r="42694" spans="1:5" x14ac:dyDescent="0.25">
      <c r="A42694" t="str">
        <f>HYPERLINK("https://www.773grp.com/globalSearch/ADM1029ARQZ/page-1", "ADM1029ARQZ")</f>
        <v>ADM1029ARQZ</v>
      </c>
      <c r="B42694" s="3" t="s">
        <v>95</v>
      </c>
      <c r="C42694" s="6">
        <v>1792</v>
      </c>
      <c r="D42694" s="7">
        <v>10.84</v>
      </c>
    </row>
    <row r="42695" spans="1:5" x14ac:dyDescent="0.25">
      <c r="A42695" t="str">
        <f>HYPERLINK("https://www.773grp.com/globalSearch/ADM1029ARQZ-R7/page-1", "ADM1029ARQZ-R7")</f>
        <v>ADM1029ARQZ-R7</v>
      </c>
      <c r="B42695" s="3" t="s">
        <v>95</v>
      </c>
      <c r="C42695" s="6">
        <v>1000</v>
      </c>
      <c r="D42695" s="7">
        <v>10.84</v>
      </c>
    </row>
    <row r="42696" spans="1:5" x14ac:dyDescent="0.25">
      <c r="A42696" t="str">
        <f>HYPERLINK("https://www.773grp.com/globalSearch/MC100E122FNR2/page-1", "MC100E122FNR2")</f>
        <v>MC100E122FNR2</v>
      </c>
      <c r="B42696" s="3" t="s">
        <v>95</v>
      </c>
      <c r="C42696" s="6">
        <v>449</v>
      </c>
      <c r="D42696" s="7">
        <v>10.84</v>
      </c>
      <c r="E42696" t="s">
        <v>31</v>
      </c>
    </row>
    <row r="42697" spans="1:5" x14ac:dyDescent="0.25">
      <c r="A42697" t="str">
        <f>HYPERLINK("https://www.773grp.com/globalSearch/MC100EP196FA/page-1", "MC100EP196FA")</f>
        <v>MC100EP196FA</v>
      </c>
      <c r="B42697" s="3" t="s">
        <v>95</v>
      </c>
      <c r="C42697" s="6">
        <v>15649</v>
      </c>
      <c r="D42697" s="7">
        <v>10.84</v>
      </c>
      <c r="E42697" t="s">
        <v>119</v>
      </c>
    </row>
    <row r="42698" spans="1:5" x14ac:dyDescent="0.25">
      <c r="A42698" t="str">
        <f>HYPERLINK("https://www.773grp.com/globalSearch/MC100H643FN/page-1", "MC100H643FN")</f>
        <v>MC100H643FN</v>
      </c>
      <c r="B42698" s="3" t="s">
        <v>95</v>
      </c>
      <c r="C42698" s="6">
        <v>244</v>
      </c>
      <c r="D42698" s="7">
        <v>10.84</v>
      </c>
      <c r="E42698" t="s">
        <v>34</v>
      </c>
    </row>
    <row r="42699" spans="1:5" x14ac:dyDescent="0.25">
      <c r="A42699" t="str">
        <f>HYPERLINK("https://www.773grp.com/globalSearch/MC10E212FN/page-1", "MC10E212FN")</f>
        <v>MC10E212FN</v>
      </c>
      <c r="B42699" s="3" t="s">
        <v>95</v>
      </c>
      <c r="C42699" s="6">
        <v>418</v>
      </c>
      <c r="D42699" s="7">
        <v>10.84</v>
      </c>
      <c r="E42699" t="s">
        <v>35</v>
      </c>
    </row>
    <row r="42700" spans="1:5" x14ac:dyDescent="0.25">
      <c r="A42700" t="str">
        <f>HYPERLINK("https://www.773grp.com/globalSearch/MC10E212FN/page-1", "MC10E212FN")</f>
        <v>MC10E212FN</v>
      </c>
      <c r="B42700" s="3" t="s">
        <v>95</v>
      </c>
      <c r="C42700" s="6">
        <v>2960</v>
      </c>
      <c r="D42700" s="7">
        <v>10.84</v>
      </c>
      <c r="E42700" t="s">
        <v>35</v>
      </c>
    </row>
    <row r="42701" spans="1:5" x14ac:dyDescent="0.25">
      <c r="A42701" t="str">
        <f>HYPERLINK("https://www.773grp.com/globalSearch/MC10E212FNR2/page-1", "MC10E212FNR2")</f>
        <v>MC10E212FNR2</v>
      </c>
      <c r="B42701" s="3" t="s">
        <v>95</v>
      </c>
      <c r="C42701" s="6">
        <v>4000</v>
      </c>
      <c r="D42701" s="7">
        <v>10.84</v>
      </c>
      <c r="E42701" t="s">
        <v>35</v>
      </c>
    </row>
    <row r="42702" spans="1:5" x14ac:dyDescent="0.25">
      <c r="A42702" t="str">
        <f>HYPERLINK("https://www.773grp.com/globalSearch/NB100LVEP221FA/page-1", "NB100LVEP221FA")</f>
        <v>NB100LVEP221FA</v>
      </c>
      <c r="B42702" s="3" t="s">
        <v>95</v>
      </c>
      <c r="C42702" s="6">
        <v>30</v>
      </c>
      <c r="D42702" s="7">
        <v>10.84</v>
      </c>
      <c r="E42702" t="s">
        <v>34</v>
      </c>
    </row>
    <row r="42703" spans="1:5" x14ac:dyDescent="0.25">
      <c r="A42703" t="str">
        <f>HYPERLINK("https://www.773grp.com/globalSearch/MJ11028G/page-1", "MJ11028G")</f>
        <v>MJ11028G</v>
      </c>
      <c r="B42703" s="3" t="s">
        <v>95</v>
      </c>
      <c r="C42703" s="6">
        <v>284</v>
      </c>
      <c r="D42703" s="7">
        <v>10.85</v>
      </c>
      <c r="E42703" t="s">
        <v>59</v>
      </c>
    </row>
    <row r="42704" spans="1:5" x14ac:dyDescent="0.25">
      <c r="A42704" t="str">
        <f>HYPERLINK("https://www.773grp.com/globalSearch/MJ11032G/page-1", "MJ11032G")</f>
        <v>MJ11032G</v>
      </c>
      <c r="B42704" s="3" t="s">
        <v>95</v>
      </c>
      <c r="C42704" s="6">
        <v>2717</v>
      </c>
      <c r="D42704" s="7">
        <v>10.85</v>
      </c>
      <c r="E42704" t="s">
        <v>59</v>
      </c>
    </row>
    <row r="42705" spans="1:5" x14ac:dyDescent="0.25">
      <c r="A42705" t="str">
        <f>HYPERLINK("https://www.773grp.com/globalSearch/2N5038G/page-1", "2N5038G")</f>
        <v>2N5038G</v>
      </c>
      <c r="B42705" s="3" t="s">
        <v>95</v>
      </c>
      <c r="C42705" s="6">
        <v>1987</v>
      </c>
      <c r="D42705" s="7">
        <v>10.94</v>
      </c>
      <c r="E42705" t="s">
        <v>59</v>
      </c>
    </row>
    <row r="42706" spans="1:5" x14ac:dyDescent="0.25">
      <c r="A42706" t="str">
        <f>HYPERLINK("https://www.773grp.com/globalSearch/MC10H171FNG/page-1", "MC10H171FNG")</f>
        <v>MC10H171FNG</v>
      </c>
      <c r="B42706" s="3" t="s">
        <v>95</v>
      </c>
      <c r="C42706" s="6">
        <v>2346</v>
      </c>
      <c r="D42706" s="7">
        <v>11.05</v>
      </c>
      <c r="E42706" t="s">
        <v>36</v>
      </c>
    </row>
    <row r="42707" spans="1:5" x14ac:dyDescent="0.25">
      <c r="A42707" t="str">
        <f>HYPERLINK("https://www.773grp.com/globalSearch/AD7887ARZ/page-1", "AD7887ARZ")</f>
        <v>AD7887ARZ</v>
      </c>
      <c r="B42707" s="3" t="s">
        <v>95</v>
      </c>
      <c r="C42707" s="6">
        <v>231</v>
      </c>
      <c r="D42707" s="7">
        <v>11.23</v>
      </c>
    </row>
    <row r="42708" spans="1:5" x14ac:dyDescent="0.25">
      <c r="A42708" t="str">
        <f>HYPERLINK("https://www.773grp.com/globalSearch/STK681-310/page-1", "STK681-310")</f>
        <v>STK681-310</v>
      </c>
      <c r="B42708" s="3" t="s">
        <v>95</v>
      </c>
      <c r="C42708" s="6">
        <v>30</v>
      </c>
      <c r="D42708" s="7">
        <v>11.23</v>
      </c>
    </row>
    <row r="42709" spans="1:5" x14ac:dyDescent="0.25">
      <c r="A42709" t="str">
        <f>HYPERLINK("https://www.773grp.com/globalSearch/AMIS49587C5872G/page-1", "AMIS49587C5872G")</f>
        <v>AMIS49587C5872G</v>
      </c>
      <c r="B42709" s="3" t="s">
        <v>95</v>
      </c>
      <c r="C42709" s="6">
        <v>28540</v>
      </c>
      <c r="D42709" s="7">
        <v>11.25</v>
      </c>
      <c r="E42709" t="s">
        <v>67</v>
      </c>
    </row>
    <row r="42710" spans="1:5" x14ac:dyDescent="0.25">
      <c r="A42710" t="str">
        <f>HYPERLINK("https://www.773grp.com/globalSearch/AMIS49587C5872RG/page-1", "AMIS49587C5872RG")</f>
        <v>AMIS49587C5872RG</v>
      </c>
      <c r="B42710" s="3" t="s">
        <v>95</v>
      </c>
      <c r="C42710" s="6">
        <v>7500</v>
      </c>
      <c r="D42710" s="7">
        <v>11.25</v>
      </c>
    </row>
    <row r="42711" spans="1:5" x14ac:dyDescent="0.25">
      <c r="A42711" t="str">
        <f>HYPERLINK("https://www.773grp.com/globalSearch/MC100E210FNG/page-1", "MC100E210FNG")</f>
        <v>MC100E210FNG</v>
      </c>
      <c r="B42711" s="3" t="s">
        <v>95</v>
      </c>
      <c r="C42711" s="6">
        <v>724</v>
      </c>
      <c r="D42711" s="7">
        <v>11.25</v>
      </c>
      <c r="E42711" t="s">
        <v>34</v>
      </c>
    </row>
    <row r="42712" spans="1:5" x14ac:dyDescent="0.25">
      <c r="A42712" t="str">
        <f>HYPERLINK("https://www.773grp.com/globalSearch/MC100E210FNR2G/page-1", "MC100E210FNR2G")</f>
        <v>MC100E210FNR2G</v>
      </c>
      <c r="B42712" s="3" t="s">
        <v>95</v>
      </c>
      <c r="C42712" s="6">
        <v>5000</v>
      </c>
      <c r="D42712" s="7">
        <v>11.25</v>
      </c>
      <c r="E42712" t="s">
        <v>34</v>
      </c>
    </row>
    <row r="42713" spans="1:5" x14ac:dyDescent="0.25">
      <c r="A42713" t="str">
        <f>HYPERLINK("https://www.773grp.com/globalSearch/MC100E211FNG/page-1", "MC100E211FNG")</f>
        <v>MC100E211FNG</v>
      </c>
      <c r="B42713" s="3" t="s">
        <v>95</v>
      </c>
      <c r="C42713" s="6">
        <v>1426</v>
      </c>
      <c r="D42713" s="7">
        <v>11.25</v>
      </c>
      <c r="E42713" t="s">
        <v>34</v>
      </c>
    </row>
    <row r="42714" spans="1:5" x14ac:dyDescent="0.25">
      <c r="A42714" t="str">
        <f>HYPERLINK("https://www.773grp.com/globalSearch/MC100E310FNG/page-1", "MC100E310FNG")</f>
        <v>MC100E310FNG</v>
      </c>
      <c r="B42714" s="3" t="s">
        <v>95</v>
      </c>
      <c r="C42714" s="6">
        <v>4764</v>
      </c>
      <c r="D42714" s="7">
        <v>11.25</v>
      </c>
      <c r="E42714" t="s">
        <v>34</v>
      </c>
    </row>
    <row r="42715" spans="1:5" x14ac:dyDescent="0.25">
      <c r="A42715" t="str">
        <f>HYPERLINK("https://www.773grp.com/globalSearch/MC100E310FNR2G/page-1", "MC100E310FNR2G")</f>
        <v>MC100E310FNR2G</v>
      </c>
      <c r="B42715" s="3" t="s">
        <v>95</v>
      </c>
      <c r="C42715" s="6">
        <v>2500</v>
      </c>
      <c r="D42715" s="7">
        <v>11.25</v>
      </c>
    </row>
    <row r="42716" spans="1:5" x14ac:dyDescent="0.25">
      <c r="A42716" t="str">
        <f>HYPERLINK("https://www.773grp.com/globalSearch/MC100EL14DWG/page-1", "MC100EL14DWG")</f>
        <v>MC100EL14DWG</v>
      </c>
      <c r="B42716" s="3" t="s">
        <v>95</v>
      </c>
      <c r="C42716" s="6">
        <v>2461</v>
      </c>
      <c r="D42716" s="7">
        <v>11.25</v>
      </c>
      <c r="E42716" t="s">
        <v>34</v>
      </c>
    </row>
    <row r="42717" spans="1:5" x14ac:dyDescent="0.25">
      <c r="A42717" t="str">
        <f>HYPERLINK("https://www.773grp.com/globalSearch/MC100EL14DWR2G/page-1", "MC100EL14DWR2G")</f>
        <v>MC100EL14DWR2G</v>
      </c>
      <c r="B42717" s="3" t="s">
        <v>95</v>
      </c>
      <c r="C42717" s="6">
        <v>1000</v>
      </c>
      <c r="D42717" s="7">
        <v>11.25</v>
      </c>
      <c r="E42717" t="s">
        <v>34</v>
      </c>
    </row>
    <row r="42718" spans="1:5" x14ac:dyDescent="0.25">
      <c r="A42718" t="str">
        <f>HYPERLINK("https://www.773grp.com/globalSearch/MC100EL90DWG/page-1", "MC100EL90DWG")</f>
        <v>MC100EL90DWG</v>
      </c>
      <c r="B42718" s="3" t="s">
        <v>95</v>
      </c>
      <c r="C42718" s="6">
        <v>4958</v>
      </c>
      <c r="D42718" s="7">
        <v>11.25</v>
      </c>
      <c r="E42718" t="s">
        <v>73</v>
      </c>
    </row>
    <row r="42719" spans="1:5" x14ac:dyDescent="0.25">
      <c r="A42719" t="str">
        <f>HYPERLINK("https://www.773grp.com/globalSearch/MC100EL91DWG/page-1", "MC100EL91DWG")</f>
        <v>MC100EL91DWG</v>
      </c>
      <c r="B42719" s="3" t="s">
        <v>95</v>
      </c>
      <c r="C42719" s="6">
        <v>444</v>
      </c>
      <c r="D42719" s="7">
        <v>11.25</v>
      </c>
      <c r="E42719" t="s">
        <v>73</v>
      </c>
    </row>
    <row r="42720" spans="1:5" x14ac:dyDescent="0.25">
      <c r="A42720" t="str">
        <f>HYPERLINK("https://www.773grp.com/globalSearch/MC100EL91DWR2G/page-1", "MC100EL91DWR2G")</f>
        <v>MC100EL91DWR2G</v>
      </c>
      <c r="B42720" s="3" t="s">
        <v>95</v>
      </c>
      <c r="C42720" s="6">
        <v>3233</v>
      </c>
      <c r="D42720" s="7">
        <v>11.25</v>
      </c>
      <c r="E42720" t="s">
        <v>73</v>
      </c>
    </row>
    <row r="42721" spans="1:5" x14ac:dyDescent="0.25">
      <c r="A42721" t="str">
        <f>HYPERLINK("https://www.773grp.com/globalSearch/MC100EP14DTG/page-1", "MC100EP14DTG")</f>
        <v>MC100EP14DTG</v>
      </c>
      <c r="B42721" s="3" t="s">
        <v>95</v>
      </c>
      <c r="C42721" s="6">
        <v>3226</v>
      </c>
      <c r="D42721" s="7">
        <v>11.25</v>
      </c>
    </row>
    <row r="42722" spans="1:5" x14ac:dyDescent="0.25">
      <c r="A42722" t="str">
        <f>HYPERLINK("https://www.773grp.com/globalSearch/MC100EP16FDR2G/page-1", "MC100EP16FDR2G")</f>
        <v>MC100EP16FDR2G</v>
      </c>
      <c r="B42722" s="3" t="s">
        <v>95</v>
      </c>
      <c r="C42722" s="6">
        <v>2500</v>
      </c>
      <c r="D42722" s="7">
        <v>11.25</v>
      </c>
      <c r="E42722" t="s">
        <v>21</v>
      </c>
    </row>
    <row r="42723" spans="1:5" x14ac:dyDescent="0.25">
      <c r="A42723" t="str">
        <f>HYPERLINK("https://www.773grp.com/globalSearch/MC100EP16FDTG/page-1", "MC100EP16FDTG")</f>
        <v>MC100EP16FDTG</v>
      </c>
      <c r="B42723" s="3" t="s">
        <v>95</v>
      </c>
      <c r="C42723" s="6">
        <v>55</v>
      </c>
      <c r="D42723" s="7">
        <v>11.25</v>
      </c>
      <c r="E42723" t="s">
        <v>21</v>
      </c>
    </row>
    <row r="42724" spans="1:5" x14ac:dyDescent="0.25">
      <c r="A42724" t="str">
        <f>HYPERLINK("https://www.773grp.com/globalSearch/MC100EP16FDTR2G/page-1", "MC100EP16FDTR2G")</f>
        <v>MC100EP16FDTR2G</v>
      </c>
      <c r="B42724" s="3" t="s">
        <v>95</v>
      </c>
      <c r="C42724" s="6">
        <v>7675</v>
      </c>
      <c r="D42724" s="7">
        <v>11.25</v>
      </c>
      <c r="E42724" t="s">
        <v>21</v>
      </c>
    </row>
    <row r="42725" spans="1:5" x14ac:dyDescent="0.25">
      <c r="A42725" t="str">
        <f>HYPERLINK("https://www.773grp.com/globalSearch/MC100EP16MNR4G/page-1", "MC100EP16MNR4G")</f>
        <v>MC100EP16MNR4G</v>
      </c>
      <c r="B42725" s="3" t="s">
        <v>95</v>
      </c>
      <c r="C42725" s="6">
        <v>1900</v>
      </c>
      <c r="D42725" s="7">
        <v>11.25</v>
      </c>
      <c r="E42725" t="s">
        <v>21</v>
      </c>
    </row>
    <row r="42726" spans="1:5" x14ac:dyDescent="0.25">
      <c r="A42726" t="str">
        <f>HYPERLINK("https://www.773grp.com/globalSearch/MC100EP51DTR2/page-1", "MC100EP51DTR2")</f>
        <v>MC100EP51DTR2</v>
      </c>
      <c r="B42726" s="3" t="s">
        <v>95</v>
      </c>
      <c r="C42726" s="6">
        <v>128</v>
      </c>
      <c r="D42726" s="7">
        <v>11.25</v>
      </c>
      <c r="E42726" t="s">
        <v>35</v>
      </c>
    </row>
    <row r="42727" spans="1:5" x14ac:dyDescent="0.25">
      <c r="A42727" t="str">
        <f>HYPERLINK("https://www.773grp.com/globalSearch/MC100EPT23DT/page-1", "MC100EPT23DT")</f>
        <v>MC100EPT23DT</v>
      </c>
      <c r="B42727" s="3" t="s">
        <v>95</v>
      </c>
      <c r="C42727" s="6">
        <v>13276</v>
      </c>
      <c r="D42727" s="7">
        <v>11.25</v>
      </c>
      <c r="E42727" t="s">
        <v>73</v>
      </c>
    </row>
    <row r="42728" spans="1:5" x14ac:dyDescent="0.25">
      <c r="A42728" t="str">
        <f>HYPERLINK("https://www.773grp.com/globalSearch/MC100EPT25DR2/page-1", "MC100EPT25DR2")</f>
        <v>MC100EPT25DR2</v>
      </c>
      <c r="B42728" s="3" t="s">
        <v>95</v>
      </c>
      <c r="C42728" s="6">
        <v>8904</v>
      </c>
      <c r="D42728" s="7">
        <v>11.25</v>
      </c>
      <c r="E42728" t="s">
        <v>73</v>
      </c>
    </row>
    <row r="42729" spans="1:5" x14ac:dyDescent="0.25">
      <c r="A42729" t="str">
        <f>HYPERLINK("https://www.773grp.com/globalSearch/MC100EPT26MNR4/page-1", "MC100EPT26MNR4")</f>
        <v>MC100EPT26MNR4</v>
      </c>
      <c r="B42729" s="3" t="s">
        <v>95</v>
      </c>
      <c r="C42729" s="6">
        <v>2000</v>
      </c>
      <c r="D42729" s="7">
        <v>11.25</v>
      </c>
      <c r="E42729" t="s">
        <v>73</v>
      </c>
    </row>
    <row r="42730" spans="1:5" x14ac:dyDescent="0.25">
      <c r="A42730" t="str">
        <f>HYPERLINK("https://www.773grp.com/globalSearch/MC100LVE210FNG/page-1", "MC100LVE210FNG")</f>
        <v>MC100LVE210FNG</v>
      </c>
      <c r="B42730" s="3" t="s">
        <v>95</v>
      </c>
      <c r="C42730" s="6">
        <v>854</v>
      </c>
      <c r="D42730" s="7">
        <v>11.25</v>
      </c>
      <c r="E42730" t="s">
        <v>34</v>
      </c>
    </row>
    <row r="42731" spans="1:5" x14ac:dyDescent="0.25">
      <c r="A42731" t="str">
        <f>HYPERLINK("https://www.773grp.com/globalSearch/MC100LVE210FNR2G/page-1", "MC100LVE210FNR2G")</f>
        <v>MC100LVE210FNR2G</v>
      </c>
      <c r="B42731" s="3" t="s">
        <v>95</v>
      </c>
      <c r="C42731" s="6">
        <v>808</v>
      </c>
      <c r="D42731" s="7">
        <v>11.25</v>
      </c>
      <c r="E42731" t="s">
        <v>34</v>
      </c>
    </row>
    <row r="42732" spans="1:5" x14ac:dyDescent="0.25">
      <c r="A42732" t="str">
        <f>HYPERLINK("https://www.773grp.com/globalSearch/MC100LVEL14DWG/page-1", "MC100LVEL14DWG")</f>
        <v>MC100LVEL14DWG</v>
      </c>
      <c r="B42732" s="3" t="s">
        <v>95</v>
      </c>
      <c r="C42732" s="6">
        <v>512</v>
      </c>
      <c r="D42732" s="7">
        <v>11.25</v>
      </c>
      <c r="E42732" t="s">
        <v>34</v>
      </c>
    </row>
    <row r="42733" spans="1:5" x14ac:dyDescent="0.25">
      <c r="A42733" t="str">
        <f>HYPERLINK("https://www.773grp.com/globalSearch/MC100LVEL56DWR2/page-1", "MC100LVEL56DWR2")</f>
        <v>MC100LVEL56DWR2</v>
      </c>
      <c r="B42733" s="3" t="s">
        <v>95</v>
      </c>
      <c r="C42733" s="6">
        <v>2000</v>
      </c>
      <c r="D42733" s="7">
        <v>11.25</v>
      </c>
      <c r="E42733" t="s">
        <v>20</v>
      </c>
    </row>
    <row r="42734" spans="1:5" x14ac:dyDescent="0.25">
      <c r="A42734" t="str">
        <f>HYPERLINK("https://www.773grp.com/globalSearch/MC100LVEL90DWG/page-1", "MC100LVEL90DWG")</f>
        <v>MC100LVEL90DWG</v>
      </c>
      <c r="B42734" s="3" t="s">
        <v>95</v>
      </c>
      <c r="C42734" s="6">
        <v>95</v>
      </c>
      <c r="D42734" s="7">
        <v>11.25</v>
      </c>
    </row>
    <row r="42735" spans="1:5" x14ac:dyDescent="0.25">
      <c r="A42735" t="str">
        <f>HYPERLINK("https://www.773grp.com/globalSearch/MC100LVEL90DWR2G/page-1", "MC100LVEL90DWR2G")</f>
        <v>MC100LVEL90DWR2G</v>
      </c>
      <c r="B42735" s="3" t="s">
        <v>95</v>
      </c>
      <c r="C42735" s="6">
        <v>18</v>
      </c>
      <c r="D42735" s="7">
        <v>11.25</v>
      </c>
    </row>
    <row r="42736" spans="1:5" x14ac:dyDescent="0.25">
      <c r="A42736" t="str">
        <f>HYPERLINK("https://www.773grp.com/globalSearch/MC100LVEL91DWG/page-1", "MC100LVEL91DWG")</f>
        <v>MC100LVEL91DWG</v>
      </c>
      <c r="B42736" s="3" t="s">
        <v>95</v>
      </c>
      <c r="C42736" s="6">
        <v>566</v>
      </c>
      <c r="D42736" s="7">
        <v>11.25</v>
      </c>
      <c r="E42736" t="s">
        <v>73</v>
      </c>
    </row>
    <row r="42737" spans="1:5" x14ac:dyDescent="0.25">
      <c r="A42737" t="str">
        <f>HYPERLINK("https://www.773grp.com/globalSearch/MC100LVEL91DWR2G/page-1", "MC100LVEL91DWR2G")</f>
        <v>MC100LVEL91DWR2G</v>
      </c>
      <c r="B42737" s="3" t="s">
        <v>95</v>
      </c>
      <c r="C42737" s="6">
        <v>2000</v>
      </c>
      <c r="D42737" s="7">
        <v>11.25</v>
      </c>
      <c r="E42737" t="s">
        <v>73</v>
      </c>
    </row>
    <row r="42738" spans="1:5" x14ac:dyDescent="0.25">
      <c r="A42738" t="str">
        <f>HYPERLINK("https://www.773grp.com/globalSearch/MC100LVEL92DWR2G/page-1", "MC100LVEL92DWR2G")</f>
        <v>MC100LVEL92DWR2G</v>
      </c>
      <c r="B42738" s="3" t="s">
        <v>95</v>
      </c>
      <c r="C42738" s="6">
        <v>700</v>
      </c>
      <c r="D42738" s="7">
        <v>11.25</v>
      </c>
      <c r="E42738" t="s">
        <v>73</v>
      </c>
    </row>
    <row r="42739" spans="1:5" x14ac:dyDescent="0.25">
      <c r="A42739" t="str">
        <f>HYPERLINK("https://www.773grp.com/globalSearch/MC100LVEP14DTG/page-1", "MC100LVEP14DTG")</f>
        <v>MC100LVEP14DTG</v>
      </c>
      <c r="B42739" s="3" t="s">
        <v>95</v>
      </c>
      <c r="C42739" s="6">
        <v>1250</v>
      </c>
      <c r="D42739" s="7">
        <v>11.25</v>
      </c>
    </row>
    <row r="42740" spans="1:5" x14ac:dyDescent="0.25">
      <c r="A42740" t="str">
        <f>HYPERLINK("https://www.773grp.com/globalSearch/MC10EP32DT/page-1", "MC10EP32DT")</f>
        <v>MC10EP32DT</v>
      </c>
      <c r="B42740" s="3" t="s">
        <v>95</v>
      </c>
      <c r="C42740" s="6">
        <v>10630</v>
      </c>
      <c r="D42740" s="7">
        <v>11.25</v>
      </c>
      <c r="E42740" t="s">
        <v>54</v>
      </c>
    </row>
    <row r="42741" spans="1:5" x14ac:dyDescent="0.25">
      <c r="A42741" t="str">
        <f>HYPERLINK("https://www.773grp.com/globalSearch/MC10EP33DT/page-1", "MC10EP33DT")</f>
        <v>MC10EP33DT</v>
      </c>
      <c r="B42741" s="3" t="s">
        <v>95</v>
      </c>
      <c r="C42741" s="6">
        <v>1048</v>
      </c>
      <c r="D42741" s="7">
        <v>11.25</v>
      </c>
      <c r="E42741" t="s">
        <v>54</v>
      </c>
    </row>
    <row r="42742" spans="1:5" x14ac:dyDescent="0.25">
      <c r="A42742" t="str">
        <f>HYPERLINK("https://www.773grp.com/globalSearch/MC10EP33DTR2/page-1", "MC10EP33DTR2")</f>
        <v>MC10EP33DTR2</v>
      </c>
      <c r="B42742" s="3" t="s">
        <v>95</v>
      </c>
      <c r="C42742" s="6">
        <v>12500</v>
      </c>
      <c r="D42742" s="7">
        <v>11.25</v>
      </c>
      <c r="E42742" t="s">
        <v>54</v>
      </c>
    </row>
    <row r="42743" spans="1:5" x14ac:dyDescent="0.25">
      <c r="A42743" t="str">
        <f>HYPERLINK("https://www.773grp.com/globalSearch/MC14559BDWR2/page-1", "MC14559BDWR2")</f>
        <v>MC14559BDWR2</v>
      </c>
      <c r="B42743" s="3" t="s">
        <v>95</v>
      </c>
      <c r="C42743" s="6">
        <v>501</v>
      </c>
      <c r="D42743" s="7">
        <v>11.25</v>
      </c>
      <c r="E42743" t="s">
        <v>83</v>
      </c>
    </row>
    <row r="42744" spans="1:5" x14ac:dyDescent="0.25">
      <c r="A42744" t="str">
        <f>HYPERLINK("https://www.773grp.com/globalSearch/MC14559BDWR2G/page-1", "MC14559BDWR2G")</f>
        <v>MC14559BDWR2G</v>
      </c>
      <c r="B42744" s="3" t="s">
        <v>95</v>
      </c>
      <c r="C42744" s="6">
        <v>1000</v>
      </c>
      <c r="D42744" s="7">
        <v>11.25</v>
      </c>
      <c r="E42744" t="s">
        <v>83</v>
      </c>
    </row>
    <row r="42745" spans="1:5" x14ac:dyDescent="0.25">
      <c r="A42745" t="str">
        <f>HYPERLINK("https://www.773grp.com/globalSearch/NB3N111KMNG/page-1", "NB3N111KMNG")</f>
        <v>NB3N111KMNG</v>
      </c>
      <c r="B42745" s="3" t="s">
        <v>95</v>
      </c>
      <c r="C42745" s="6">
        <v>148</v>
      </c>
      <c r="D42745" s="7">
        <v>11.25</v>
      </c>
    </row>
    <row r="42746" spans="1:5" x14ac:dyDescent="0.25">
      <c r="A42746" t="str">
        <f>HYPERLINK("https://www.773grp.com/globalSearch/NB3N121KMNG/page-1", "NB3N121KMNG")</f>
        <v>NB3N121KMNG</v>
      </c>
      <c r="B42746" s="3" t="s">
        <v>95</v>
      </c>
      <c r="C42746" s="6">
        <v>240</v>
      </c>
      <c r="D42746" s="7">
        <v>11.25</v>
      </c>
    </row>
    <row r="42747" spans="1:5" x14ac:dyDescent="0.25">
      <c r="A42747" t="str">
        <f>HYPERLINK("https://www.773grp.com/globalSearch/NB4N121KMNG/page-1", "NB4N121KMNG")</f>
        <v>NB4N121KMNG</v>
      </c>
      <c r="B42747" s="3" t="s">
        <v>95</v>
      </c>
      <c r="C42747" s="6">
        <v>955</v>
      </c>
      <c r="D42747" s="7">
        <v>11.25</v>
      </c>
      <c r="E42747" t="s">
        <v>73</v>
      </c>
    </row>
    <row r="42748" spans="1:5" x14ac:dyDescent="0.25">
      <c r="A42748" t="str">
        <f>HYPERLINK("https://www.773grp.com/globalSearch/NB6L11MMNG/page-1", "NB6L11MMNG")</f>
        <v>NB6L11MMNG</v>
      </c>
      <c r="B42748" s="3" t="s">
        <v>95</v>
      </c>
      <c r="C42748" s="6">
        <v>2</v>
      </c>
      <c r="D42748" s="7">
        <v>11.25</v>
      </c>
      <c r="E42748" t="s">
        <v>34</v>
      </c>
    </row>
    <row r="42749" spans="1:5" x14ac:dyDescent="0.25">
      <c r="A42749" t="str">
        <f>HYPERLINK("https://www.773grp.com/globalSearch/NB6L11MMNR2G/page-1", "NB6L11MMNR2G")</f>
        <v>NB6L11MMNR2G</v>
      </c>
      <c r="B42749" s="3" t="s">
        <v>95</v>
      </c>
      <c r="C42749" s="6">
        <v>14491</v>
      </c>
      <c r="D42749" s="7">
        <v>11.25</v>
      </c>
      <c r="E42749" t="s">
        <v>34</v>
      </c>
    </row>
    <row r="42750" spans="1:5" x14ac:dyDescent="0.25">
      <c r="A42750" t="str">
        <f>HYPERLINK("https://www.773grp.com/globalSearch/NB6N14SMNG/page-1", "NB6N14SMNG")</f>
        <v>NB6N14SMNG</v>
      </c>
      <c r="B42750" s="3" t="s">
        <v>95</v>
      </c>
      <c r="C42750" s="6">
        <v>46</v>
      </c>
      <c r="D42750" s="7">
        <v>11.25</v>
      </c>
      <c r="E42750" t="s">
        <v>34</v>
      </c>
    </row>
    <row r="42751" spans="1:5" x14ac:dyDescent="0.25">
      <c r="A42751" t="str">
        <f>HYPERLINK("https://www.773grp.com/globalSearch/NB7V58MMNG/page-1", "NB7V58MMNG")</f>
        <v>NB7V58MMNG</v>
      </c>
      <c r="B42751" s="3" t="s">
        <v>95</v>
      </c>
      <c r="C42751" s="6">
        <v>291</v>
      </c>
      <c r="D42751" s="7">
        <v>11.25</v>
      </c>
      <c r="E42751" t="s">
        <v>20</v>
      </c>
    </row>
    <row r="42752" spans="1:5" x14ac:dyDescent="0.25">
      <c r="A42752" t="str">
        <f>HYPERLINK("https://www.773grp.com/globalSearch/NB7V58MMNHTBG/page-1", "NB7V58MMNHTBG")</f>
        <v>NB7V58MMNHTBG</v>
      </c>
      <c r="B42752" s="3" t="s">
        <v>95</v>
      </c>
      <c r="C42752" s="6">
        <v>1360</v>
      </c>
      <c r="D42752" s="7">
        <v>11.25</v>
      </c>
      <c r="E42752" t="s">
        <v>20</v>
      </c>
    </row>
    <row r="42753" spans="1:5" x14ac:dyDescent="0.25">
      <c r="A42753" t="str">
        <f>HYPERLINK("https://www.773grp.com/globalSearch/NB7VQ58MMNG/page-1", "NB7VQ58MMNG")</f>
        <v>NB7VQ58MMNG</v>
      </c>
      <c r="B42753" s="3" t="s">
        <v>95</v>
      </c>
      <c r="C42753" s="6">
        <v>246</v>
      </c>
      <c r="D42753" s="7">
        <v>11.25</v>
      </c>
      <c r="E42753" t="s">
        <v>20</v>
      </c>
    </row>
    <row r="42754" spans="1:5" x14ac:dyDescent="0.25">
      <c r="A42754" t="str">
        <f>HYPERLINK("https://www.773grp.com/globalSearch/NB7VQ58MMNHTBG/page-1", "NB7VQ58MMNHTBG")</f>
        <v>NB7VQ58MMNHTBG</v>
      </c>
      <c r="B42754" s="3" t="s">
        <v>95</v>
      </c>
      <c r="C42754" s="6">
        <v>1000</v>
      </c>
      <c r="D42754" s="7">
        <v>11.25</v>
      </c>
      <c r="E42754" t="s">
        <v>20</v>
      </c>
    </row>
    <row r="42755" spans="1:5" x14ac:dyDescent="0.25">
      <c r="A42755" t="str">
        <f>HYPERLINK("https://www.773grp.com/globalSearch/NBC12429FNR2G/page-1", "NBC12429FNR2G")</f>
        <v>NBC12429FNR2G</v>
      </c>
      <c r="B42755" s="3" t="s">
        <v>95</v>
      </c>
      <c r="C42755" s="6">
        <v>12000</v>
      </c>
      <c r="D42755" s="7">
        <v>11.25</v>
      </c>
    </row>
    <row r="42756" spans="1:5" x14ac:dyDescent="0.25">
      <c r="A42756" t="str">
        <f>HYPERLINK("https://www.773grp.com/globalSearch/STK433-060N-E/page-1", "STK433-060N-E")</f>
        <v>STK433-060N-E</v>
      </c>
      <c r="B42756" s="3" t="s">
        <v>95</v>
      </c>
      <c r="C42756" s="6">
        <v>25</v>
      </c>
      <c r="D42756" s="7">
        <v>11.25</v>
      </c>
    </row>
    <row r="42757" spans="1:5" x14ac:dyDescent="0.25">
      <c r="A42757" t="str">
        <f>HYPERLINK("https://www.773grp.com/globalSearch/STK681-332-E/page-1", "STK681-332-E")</f>
        <v>STK681-332-E</v>
      </c>
      <c r="B42757" s="3" t="s">
        <v>95</v>
      </c>
      <c r="C42757" s="6">
        <v>40</v>
      </c>
      <c r="D42757" s="7">
        <v>11.25</v>
      </c>
    </row>
    <row r="42758" spans="1:5" x14ac:dyDescent="0.25">
      <c r="A42758" t="str">
        <f>HYPERLINK("https://www.773grp.com/globalSearch/STY30N50E/page-1", "STY30N50E")</f>
        <v>STY30N50E</v>
      </c>
      <c r="B42758" s="3" t="s">
        <v>95</v>
      </c>
      <c r="C42758" s="6">
        <v>35100</v>
      </c>
      <c r="D42758" s="7">
        <v>11.25</v>
      </c>
    </row>
    <row r="42759" spans="1:5" x14ac:dyDescent="0.25">
      <c r="A42759" t="str">
        <f>HYPERLINK("https://www.773grp.com/globalSearch/WIRF9150/page-1", "WIRF9150")</f>
        <v>WIRF9150</v>
      </c>
      <c r="B42759" s="3" t="str">
        <f>HYPERLINK("https://www.773grp.com/manufacturer/onsemi?pageNo=1", "ON Semiconductor")</f>
        <v>ON Semiconductor</v>
      </c>
      <c r="C42759" s="6">
        <v>215</v>
      </c>
      <c r="D42759" s="7">
        <v>11.25</v>
      </c>
    </row>
    <row r="42760" spans="1:5" x14ac:dyDescent="0.25">
      <c r="A42760" t="str">
        <f>HYPERLINK("https://www.773grp.com/globalSearch/MC14559BCPG/page-1", "MC14559BCPG")</f>
        <v>MC14559BCPG</v>
      </c>
      <c r="B42760" s="3" t="str">
        <f>HYPERLINK("https://www.773grp.com/manufacturer/onsemi?pageNo=2", "ON Semiconductor")</f>
        <v>ON Semiconductor</v>
      </c>
      <c r="C42760" s="6">
        <v>900</v>
      </c>
      <c r="D42760" s="7">
        <v>11.28</v>
      </c>
      <c r="E42760" t="s">
        <v>83</v>
      </c>
    </row>
    <row r="42761" spans="1:5" x14ac:dyDescent="0.25">
      <c r="A42761" t="str">
        <f>HYPERLINK("https://www.773grp.com/globalSearch/CAT28LV64G20/page-1", "CAT28LV64G20")</f>
        <v>CAT28LV64G20</v>
      </c>
      <c r="B42761" s="3" t="str">
        <f>HYPERLINK("https://www.773grp.com/manufacturer/onsemi?pageNo=3", "ON Semiconductor")</f>
        <v>ON Semiconductor</v>
      </c>
      <c r="C42761" s="6">
        <v>166</v>
      </c>
      <c r="D42761" s="7">
        <v>11.39</v>
      </c>
      <c r="E42761" t="s">
        <v>64</v>
      </c>
    </row>
    <row r="42762" spans="1:5" x14ac:dyDescent="0.25">
      <c r="A42762" t="str">
        <f>HYPERLINK("https://www.773grp.com/globalSearch/CAT28LV64GI20/page-1", "CAT28LV64GI20")</f>
        <v>CAT28LV64GI20</v>
      </c>
      <c r="B42762" s="3" t="str">
        <f>HYPERLINK("https://www.773grp.com/manufacturer/onsemi?pageNo=4", "ON Semiconductor")</f>
        <v>ON Semiconductor</v>
      </c>
      <c r="C42762" s="6">
        <v>672</v>
      </c>
      <c r="D42762" s="7">
        <v>11.39</v>
      </c>
      <c r="E42762" t="s">
        <v>64</v>
      </c>
    </row>
    <row r="42763" spans="1:5" x14ac:dyDescent="0.25">
      <c r="A42763" t="str">
        <f>HYPERLINK("https://www.773grp.com/globalSearch/CAT28LV64W25/page-1", "CAT28LV64W25")</f>
        <v>CAT28LV64W25</v>
      </c>
      <c r="B42763" s="3" t="str">
        <f>HYPERLINK("https://www.773grp.com/manufacturer/onsemi?pageNo=5", "ON Semiconductor")</f>
        <v>ON Semiconductor</v>
      </c>
      <c r="C42763" s="6">
        <v>1053</v>
      </c>
      <c r="D42763" s="7">
        <v>11.39</v>
      </c>
    </row>
    <row r="42764" spans="1:5" x14ac:dyDescent="0.25">
      <c r="A42764" t="str">
        <f>HYPERLINK("https://www.773grp.com/globalSearch/CAT28LV65W25/page-1", "CAT28LV65W25")</f>
        <v>CAT28LV65W25</v>
      </c>
      <c r="B42764" s="3" t="str">
        <f>HYPERLINK("https://www.773grp.com/manufacturer/onsemi?pageNo=6", "ON Semiconductor")</f>
        <v>ON Semiconductor</v>
      </c>
      <c r="C42764" s="6">
        <v>105</v>
      </c>
      <c r="D42764" s="7">
        <v>11.39</v>
      </c>
      <c r="E42764" t="s">
        <v>64</v>
      </c>
    </row>
    <row r="42765" spans="1:5" x14ac:dyDescent="0.25">
      <c r="A42765" t="str">
        <f>HYPERLINK("https://www.773grp.com/globalSearch/MC10SX1189DG/page-1", "MC10SX1189DG")</f>
        <v>MC10SX1189DG</v>
      </c>
      <c r="B42765" s="3" t="str">
        <f>HYPERLINK("https://www.773grp.com/manufacturer/onsemi?pageNo=7", "ON Semiconductor")</f>
        <v>ON Semiconductor</v>
      </c>
      <c r="C42765" s="6">
        <v>4520</v>
      </c>
      <c r="D42765" s="7">
        <v>11.39</v>
      </c>
      <c r="E42765" t="s">
        <v>21</v>
      </c>
    </row>
    <row r="42766" spans="1:5" x14ac:dyDescent="0.25">
      <c r="A42766" t="str">
        <f>HYPERLINK("https://www.773grp.com/globalSearch/MC10SX1189DR2G/page-1", "MC10SX1189DR2G")</f>
        <v>MC10SX1189DR2G</v>
      </c>
      <c r="B42766" s="3" t="str">
        <f>HYPERLINK("https://www.773grp.com/manufacturer/onsemi?pageNo=8", "ON Semiconductor")</f>
        <v>ON Semiconductor</v>
      </c>
      <c r="C42766" s="6">
        <v>2500</v>
      </c>
      <c r="D42766" s="7">
        <v>11.39</v>
      </c>
      <c r="E42766" t="s">
        <v>21</v>
      </c>
    </row>
    <row r="42767" spans="1:5" x14ac:dyDescent="0.25">
      <c r="A42767" t="str">
        <f>HYPERLINK("https://www.773grp.com/globalSearch/MC10231FN/page-1", "MC10231FN")</f>
        <v>MC10231FN</v>
      </c>
      <c r="B42767" s="3" t="str">
        <f>HYPERLINK("https://www.773grp.com/manufacturer/onsemi?pageNo=9", "ON Semiconductor")</f>
        <v>ON Semiconductor</v>
      </c>
      <c r="C42767" s="6">
        <v>1886</v>
      </c>
      <c r="D42767" s="7">
        <v>11.43</v>
      </c>
      <c r="E42767" t="s">
        <v>35</v>
      </c>
    </row>
    <row r="42768" spans="1:5" x14ac:dyDescent="0.25">
      <c r="A42768" t="str">
        <f>HYPERLINK("https://www.773grp.com/globalSearch/MC100EP17DT/page-1", "MC100EP17DT")</f>
        <v>MC100EP17DT</v>
      </c>
      <c r="B42768" s="3" t="str">
        <f>HYPERLINK("https://www.773grp.com/manufacturer/onsemi?pageNo=10", "ON Semiconductor")</f>
        <v>ON Semiconductor</v>
      </c>
      <c r="C42768" s="6">
        <v>12124</v>
      </c>
      <c r="D42768" s="7">
        <v>11.48</v>
      </c>
      <c r="E42768" t="s">
        <v>21</v>
      </c>
    </row>
    <row r="42769" spans="1:5" x14ac:dyDescent="0.25">
      <c r="A42769" t="str">
        <f>HYPERLINK("https://www.773grp.com/globalSearch/MC10EP17DT/page-1", "MC10EP17DT")</f>
        <v>MC10EP17DT</v>
      </c>
      <c r="B42769" s="3" t="str">
        <f>HYPERLINK("https://www.773grp.com/manufacturer/onsemi?pageNo=11", "ON Semiconductor")</f>
        <v>ON Semiconductor</v>
      </c>
      <c r="C42769" s="6">
        <v>7374</v>
      </c>
      <c r="D42769" s="7">
        <v>11.48</v>
      </c>
      <c r="E42769" t="s">
        <v>21</v>
      </c>
    </row>
    <row r="42770" spans="1:5" x14ac:dyDescent="0.25">
      <c r="A42770" t="str">
        <f>HYPERLINK("https://www.773grp.com/globalSearch/MC10EP17DW/page-1", "MC10EP17DW")</f>
        <v>MC10EP17DW</v>
      </c>
      <c r="B42770" s="3" t="str">
        <f>HYPERLINK("https://www.773grp.com/manufacturer/onsemi?pageNo=12", "ON Semiconductor")</f>
        <v>ON Semiconductor</v>
      </c>
      <c r="C42770" s="6">
        <v>2528</v>
      </c>
      <c r="D42770" s="7">
        <v>11.48</v>
      </c>
      <c r="E42770" t="s">
        <v>21</v>
      </c>
    </row>
    <row r="42771" spans="1:5" x14ac:dyDescent="0.25">
      <c r="A42771" t="str">
        <f>HYPERLINK("https://www.773grp.com/globalSearch/NB100LVEP17DT/page-1", "NB100LVEP17DT")</f>
        <v>NB100LVEP17DT</v>
      </c>
      <c r="B42771" s="3" t="str">
        <f>HYPERLINK("https://www.773grp.com/manufacturer/onsemi?pageNo=13", "ON Semiconductor")</f>
        <v>ON Semiconductor</v>
      </c>
      <c r="C42771" s="6">
        <v>5571</v>
      </c>
      <c r="D42771" s="7">
        <v>11.48</v>
      </c>
      <c r="E42771" t="s">
        <v>21</v>
      </c>
    </row>
    <row r="42772" spans="1:5" x14ac:dyDescent="0.25">
      <c r="A42772" t="str">
        <f>HYPERLINK("https://www.773grp.com/globalSearch/NB100LVEP17DTR2/page-1", "NB100LVEP17DTR2")</f>
        <v>NB100LVEP17DTR2</v>
      </c>
      <c r="B42772" s="3" t="str">
        <f>HYPERLINK("https://www.773grp.com/manufacturer/onsemi?pageNo=14", "ON Semiconductor")</f>
        <v>ON Semiconductor</v>
      </c>
      <c r="C42772" s="6">
        <v>2500</v>
      </c>
      <c r="D42772" s="7">
        <v>11.48</v>
      </c>
      <c r="E42772" t="s">
        <v>21</v>
      </c>
    </row>
    <row r="42773" spans="1:5" x14ac:dyDescent="0.25">
      <c r="A42773" t="str">
        <f>HYPERLINK("https://www.773grp.com/globalSearch/NB100LVEP17MN/page-1", "NB100LVEP17MN")</f>
        <v>NB100LVEP17MN</v>
      </c>
      <c r="B42773" s="3" t="str">
        <f>HYPERLINK("https://www.773grp.com/manufacturer/onsemi?pageNo=15", "ON Semiconductor")</f>
        <v>ON Semiconductor</v>
      </c>
      <c r="C42773" s="6">
        <v>2501</v>
      </c>
      <c r="D42773" s="7">
        <v>11.48</v>
      </c>
      <c r="E42773" t="s">
        <v>21</v>
      </c>
    </row>
    <row r="42774" spans="1:5" x14ac:dyDescent="0.25">
      <c r="A42774" t="str">
        <f>HYPERLINK("https://www.773grp.com/globalSearch/MC100LVE310FNG/page-1", "MC100LVE310FNG")</f>
        <v>MC100LVE310FNG</v>
      </c>
      <c r="B42774" s="3" t="str">
        <f>HYPERLINK("https://www.773grp.com/manufacturer/onsemi?pageNo=16", "ON Semiconductor")</f>
        <v>ON Semiconductor</v>
      </c>
      <c r="C42774" s="6">
        <v>2290</v>
      </c>
      <c r="D42774" s="7">
        <v>11.53</v>
      </c>
      <c r="E42774" t="s">
        <v>34</v>
      </c>
    </row>
    <row r="42775" spans="1:5" x14ac:dyDescent="0.25">
      <c r="A42775" t="str">
        <f>HYPERLINK("https://www.773grp.com/globalSearch/MC100LVE310FNR2G/page-1", "MC100LVE310FNR2G")</f>
        <v>MC100LVE310FNR2G</v>
      </c>
      <c r="B42775" s="3" t="str">
        <f>HYPERLINK("https://www.773grp.com/manufacturer/onsemi?pageNo=17", "ON Semiconductor")</f>
        <v>ON Semiconductor</v>
      </c>
      <c r="C42775" s="6">
        <v>9705</v>
      </c>
      <c r="D42775" s="7">
        <v>11.53</v>
      </c>
      <c r="E42775" t="s">
        <v>34</v>
      </c>
    </row>
    <row r="42776" spans="1:5" x14ac:dyDescent="0.25">
      <c r="A42776" t="str">
        <f>HYPERLINK("https://www.773grp.com/globalSearch/STK433-760-E/page-1", "STK433-760-E")</f>
        <v>STK433-760-E</v>
      </c>
      <c r="B42776" s="3" t="str">
        <f>HYPERLINK("https://www.773grp.com/manufacturer/onsemi?pageNo=18", "ON Semiconductor")</f>
        <v>ON Semiconductor</v>
      </c>
      <c r="C42776" s="6">
        <v>1388</v>
      </c>
      <c r="D42776" s="7">
        <v>11.53</v>
      </c>
    </row>
    <row r="42777" spans="1:5" x14ac:dyDescent="0.25">
      <c r="A42777" t="str">
        <f>HYPERLINK("https://www.773grp.com/globalSearch/LC75804WS-E/page-1", "LC75804WS-E")</f>
        <v>LC75804WS-E</v>
      </c>
      <c r="B42777" s="3" t="str">
        <f>HYPERLINK("https://www.773grp.com/manufacturer/onsemi?pageNo=19", "ON Semiconductor")</f>
        <v>ON Semiconductor</v>
      </c>
      <c r="C42777" s="6">
        <v>9540</v>
      </c>
      <c r="D42777" s="7">
        <v>11.59</v>
      </c>
    </row>
    <row r="42778" spans="1:5" x14ac:dyDescent="0.25">
      <c r="A42778" t="str">
        <f>HYPERLINK("https://www.773grp.com/globalSearch/MJ11033G/page-1", "MJ11033G")</f>
        <v>MJ11033G</v>
      </c>
      <c r="B42778" s="3" t="str">
        <f>HYPERLINK("https://www.773grp.com/manufacturer/onsemi?pageNo=20", "ON Semiconductor")</f>
        <v>ON Semiconductor</v>
      </c>
      <c r="C42778" s="6">
        <v>1700</v>
      </c>
      <c r="D42778" s="7">
        <v>11.59</v>
      </c>
      <c r="E42778" t="s">
        <v>59</v>
      </c>
    </row>
    <row r="42779" spans="1:5" x14ac:dyDescent="0.25">
      <c r="A42779" t="str">
        <f>HYPERLINK("https://www.773grp.com/globalSearch/AD790JRZ/page-1", "AD790JRZ")</f>
        <v>AD790JRZ</v>
      </c>
      <c r="B42779" s="3" t="str">
        <f>HYPERLINK("https://www.773grp.com/manufacturer/onsemi?pageNo=21", "ON Semiconductor")</f>
        <v>ON Semiconductor</v>
      </c>
      <c r="C42779" s="6">
        <v>4</v>
      </c>
      <c r="D42779" s="7">
        <v>11.61</v>
      </c>
    </row>
    <row r="42780" spans="1:5" x14ac:dyDescent="0.25">
      <c r="A42780" t="str">
        <f>HYPERLINK("https://www.773grp.com/globalSearch/AMIS30624C6244G/page-1", "AMIS30624C6244G")</f>
        <v>AMIS30624C6244G</v>
      </c>
      <c r="B42780" s="3" t="str">
        <f>HYPERLINK("https://www.773grp.com/manufacturer/onsemi?pageNo=22", "ON Semiconductor")</f>
        <v>ON Semiconductor</v>
      </c>
      <c r="C42780" s="6">
        <v>130</v>
      </c>
      <c r="D42780" s="7">
        <v>11.61</v>
      </c>
    </row>
    <row r="42781" spans="1:5" x14ac:dyDescent="0.25">
      <c r="A42781" t="str">
        <f>HYPERLINK("https://www.773grp.com/globalSearch/AMIS30624C6245G/page-1", "AMIS30624C6245G")</f>
        <v>AMIS30624C6245G</v>
      </c>
      <c r="B42781" s="3" t="str">
        <f>HYPERLINK("https://www.773grp.com/manufacturer/onsemi?pageNo=23", "ON Semiconductor")</f>
        <v>ON Semiconductor</v>
      </c>
      <c r="C42781" s="6">
        <v>27</v>
      </c>
      <c r="D42781" s="7">
        <v>11.61</v>
      </c>
    </row>
    <row r="42782" spans="1:5" x14ac:dyDescent="0.25">
      <c r="A42782" t="str">
        <f>HYPERLINK("https://www.773grp.com/globalSearch/AMIS30624C6245RG/page-1", "AMIS30624C6245RG")</f>
        <v>AMIS30624C6245RG</v>
      </c>
      <c r="B42782" s="3" t="str">
        <f>HYPERLINK("https://www.773grp.com/manufacturer/onsemi?pageNo=24", "ON Semiconductor")</f>
        <v>ON Semiconductor</v>
      </c>
      <c r="C42782" s="6">
        <v>2500</v>
      </c>
      <c r="D42782" s="7">
        <v>11.61</v>
      </c>
      <c r="E42782" t="s">
        <v>62</v>
      </c>
    </row>
    <row r="42783" spans="1:5" x14ac:dyDescent="0.25">
      <c r="A42783" t="str">
        <f>HYPERLINK("https://www.773grp.com/globalSearch/MC100EP139DW/page-1", "MC100EP139DW")</f>
        <v>MC100EP139DW</v>
      </c>
      <c r="B42783" s="3" t="str">
        <f>HYPERLINK("https://www.773grp.com/manufacturer/onsemi?pageNo=25", "ON Semiconductor")</f>
        <v>ON Semiconductor</v>
      </c>
      <c r="C42783" s="6">
        <v>1921</v>
      </c>
      <c r="D42783" s="7">
        <v>11.61</v>
      </c>
      <c r="E42783" t="s">
        <v>34</v>
      </c>
    </row>
    <row r="42784" spans="1:5" x14ac:dyDescent="0.25">
      <c r="A42784" t="str">
        <f>HYPERLINK("https://www.773grp.com/globalSearch/MC10EP139DT/page-1", "MC10EP139DT")</f>
        <v>MC10EP139DT</v>
      </c>
      <c r="B42784" s="3" t="str">
        <f>HYPERLINK("https://www.773grp.com/manufacturer/onsemi?pageNo=26", "ON Semiconductor")</f>
        <v>ON Semiconductor</v>
      </c>
      <c r="C42784" s="6">
        <v>4458</v>
      </c>
      <c r="D42784" s="7">
        <v>11.61</v>
      </c>
      <c r="E42784" t="s">
        <v>34</v>
      </c>
    </row>
    <row r="42785" spans="1:5" x14ac:dyDescent="0.25">
      <c r="A42785" t="str">
        <f>HYPERLINK("https://www.773grp.com/globalSearch/MC10EP139DW/page-1", "MC10EP139DW")</f>
        <v>MC10EP139DW</v>
      </c>
      <c r="B42785" s="3" t="str">
        <f>HYPERLINK("https://www.773grp.com/manufacturer/onsemi?pageNo=27", "ON Semiconductor")</f>
        <v>ON Semiconductor</v>
      </c>
      <c r="C42785" s="6">
        <v>10136</v>
      </c>
      <c r="D42785" s="7">
        <v>11.61</v>
      </c>
      <c r="E42785" t="s">
        <v>34</v>
      </c>
    </row>
    <row r="42786" spans="1:5" x14ac:dyDescent="0.25">
      <c r="A42786" t="str">
        <f>HYPERLINK("https://www.773grp.com/globalSearch/MC10138P/page-1", "MC10138P")</f>
        <v>MC10138P</v>
      </c>
      <c r="B42786" s="3" t="str">
        <f>HYPERLINK("https://www.773grp.com/manufacturer/onsemi?pageNo=28", "ON Semiconductor")</f>
        <v>ON Semiconductor</v>
      </c>
      <c r="C42786" s="6">
        <v>3</v>
      </c>
      <c r="D42786" s="7">
        <v>11.65</v>
      </c>
      <c r="E42786" t="s">
        <v>26</v>
      </c>
    </row>
    <row r="42787" spans="1:5" x14ac:dyDescent="0.25">
      <c r="A42787" t="str">
        <f>HYPERLINK("https://www.773grp.com/globalSearch/AD7940BRJZ-REEL7/page-1", "AD7940BRJZ-REEL7")</f>
        <v>AD7940BRJZ-REEL7</v>
      </c>
      <c r="B42787" s="3" t="str">
        <f>HYPERLINK("https://www.773grp.com/manufacturer/onsemi?pageNo=29", "ON Semiconductor")</f>
        <v>ON Semiconductor</v>
      </c>
      <c r="C42787" s="6">
        <v>1507</v>
      </c>
      <c r="D42787" s="7">
        <v>11.68</v>
      </c>
    </row>
    <row r="42788" spans="1:5" x14ac:dyDescent="0.25">
      <c r="A42788" t="str">
        <f>HYPERLINK("https://www.773grp.com/globalSearch/LC75808WS-E/page-1", "LC75808WS-E")</f>
        <v>LC75808WS-E</v>
      </c>
      <c r="B42788" s="3" t="str">
        <f>HYPERLINK("https://www.773grp.com/manufacturer/onsemi?pageNo=30", "ON Semiconductor")</f>
        <v>ON Semiconductor</v>
      </c>
      <c r="C42788" s="6">
        <v>23460</v>
      </c>
      <c r="D42788" s="7">
        <v>11.85</v>
      </c>
    </row>
    <row r="42789" spans="1:5" x14ac:dyDescent="0.25">
      <c r="A42789" t="str">
        <f>HYPERLINK("https://www.773grp.com/globalSearch/LV4904V-MPB-E/page-1", "LV4904V-MPB-E")</f>
        <v>LV4904V-MPB-E</v>
      </c>
      <c r="B42789" s="3" t="str">
        <f>HYPERLINK("https://www.773grp.com/manufacturer/onsemi?pageNo=31", "ON Semiconductor")</f>
        <v>ON Semiconductor</v>
      </c>
      <c r="C42789" s="6">
        <v>140</v>
      </c>
      <c r="D42789" s="7">
        <v>11.86</v>
      </c>
    </row>
    <row r="42790" spans="1:5" x14ac:dyDescent="0.25">
      <c r="A42790" t="str">
        <f>HYPERLINK("https://www.773grp.com/globalSearch/MC100EP195FA/page-1", "MC100EP195FA")</f>
        <v>MC100EP195FA</v>
      </c>
      <c r="B42790" s="3" t="str">
        <f>HYPERLINK("https://www.773grp.com/manufacturer/onsemi?pageNo=32", "ON Semiconductor")</f>
        <v>ON Semiconductor</v>
      </c>
      <c r="C42790" s="6">
        <v>4884</v>
      </c>
      <c r="D42790" s="7">
        <v>11.95</v>
      </c>
      <c r="E42790" t="s">
        <v>119</v>
      </c>
    </row>
    <row r="42791" spans="1:5" x14ac:dyDescent="0.25">
      <c r="A42791" t="str">
        <f>HYPERLINK("https://www.773grp.com/globalSearch/MC10EP195FA/page-1", "MC10EP195FA")</f>
        <v>MC10EP195FA</v>
      </c>
      <c r="B42791" s="3" t="str">
        <f>HYPERLINK("https://www.773grp.com/manufacturer/onsemi?pageNo=33", "ON Semiconductor")</f>
        <v>ON Semiconductor</v>
      </c>
      <c r="C42791" s="6">
        <v>12731</v>
      </c>
      <c r="D42791" s="7">
        <v>11.95</v>
      </c>
      <c r="E42791" t="s">
        <v>119</v>
      </c>
    </row>
    <row r="42792" spans="1:5" x14ac:dyDescent="0.25">
      <c r="A42792" t="str">
        <f>HYPERLINK("https://www.773grp.com/globalSearch/MC10EP195FAR2/page-1", "MC10EP195FAR2")</f>
        <v>MC10EP195FAR2</v>
      </c>
      <c r="B42792" s="3" t="str">
        <f>HYPERLINK("https://www.773grp.com/manufacturer/onsemi?pageNo=34", "ON Semiconductor")</f>
        <v>ON Semiconductor</v>
      </c>
      <c r="C42792" s="6">
        <v>7900</v>
      </c>
      <c r="D42792" s="7">
        <v>11.95</v>
      </c>
      <c r="E42792" t="s">
        <v>119</v>
      </c>
    </row>
    <row r="42793" spans="1:5" x14ac:dyDescent="0.25">
      <c r="A42793" t="str">
        <f>HYPERLINK("https://www.773grp.com/globalSearch/LC75847T-E/page-1", "LC75847T-E")</f>
        <v>LC75847T-E</v>
      </c>
      <c r="B42793" s="3" t="str">
        <f>HYPERLINK("https://www.773grp.com/manufacturer/onsemi?pageNo=35", "ON Semiconductor")</f>
        <v>ON Semiconductor</v>
      </c>
      <c r="C42793" s="6">
        <v>90</v>
      </c>
      <c r="D42793" s="7">
        <v>11.99</v>
      </c>
    </row>
    <row r="42794" spans="1:5" x14ac:dyDescent="0.25">
      <c r="A42794" t="str">
        <f>HYPERLINK("https://www.773grp.com/globalSearch/MC10231L/page-1", "MC10231L")</f>
        <v>MC10231L</v>
      </c>
      <c r="B42794" s="3" t="str">
        <f>HYPERLINK("https://www.773grp.com/manufacturer/onsemi?pageNo=36", "ON Semiconductor")</f>
        <v>ON Semiconductor</v>
      </c>
      <c r="C42794" s="6">
        <v>1208</v>
      </c>
      <c r="D42794" s="7">
        <v>12.04</v>
      </c>
      <c r="E42794" t="s">
        <v>35</v>
      </c>
    </row>
    <row r="42795" spans="1:5" x14ac:dyDescent="0.25">
      <c r="A42795" t="str">
        <f>HYPERLINK("https://www.773grp.com/globalSearch/MC10H145P/page-1", "MC10H145P")</f>
        <v>MC10H145P</v>
      </c>
      <c r="B42795" s="3" t="str">
        <f>HYPERLINK("https://www.773grp.com/manufacturer/onsemi?pageNo=37", "ON Semiconductor")</f>
        <v>ON Semiconductor</v>
      </c>
      <c r="C42795" s="6">
        <v>1</v>
      </c>
      <c r="D42795" s="7">
        <v>12.04</v>
      </c>
      <c r="E42795" t="s">
        <v>75</v>
      </c>
    </row>
    <row r="42796" spans="1:5" x14ac:dyDescent="0.25">
      <c r="A42796" t="str">
        <f>HYPERLINK("https://www.773grp.com/globalSearch/NB3N106KMNG/page-1", "NB3N106KMNG")</f>
        <v>NB3N106KMNG</v>
      </c>
      <c r="B42796" s="3" t="str">
        <f>HYPERLINK("https://www.773grp.com/manufacturer/onsemi?pageNo=38", "ON Semiconductor")</f>
        <v>ON Semiconductor</v>
      </c>
      <c r="C42796" s="6">
        <v>92</v>
      </c>
      <c r="D42796" s="7">
        <v>12.1</v>
      </c>
    </row>
    <row r="42797" spans="1:5" x14ac:dyDescent="0.25">
      <c r="A42797" t="str">
        <f>HYPERLINK("https://www.773grp.com/globalSearch/A5191HRTLG-XTD/page-1", "A5191HRTLG-XTD")</f>
        <v>A5191HRTLG-XTD</v>
      </c>
      <c r="B42797" s="3" t="str">
        <f>HYPERLINK("https://www.773grp.com/manufacturer/onsemi?pageNo=39", "ON Semiconductor")</f>
        <v>ON Semiconductor</v>
      </c>
      <c r="C42797" s="6">
        <v>677</v>
      </c>
      <c r="D42797" s="7">
        <v>12.11</v>
      </c>
      <c r="E42797" t="s">
        <v>120</v>
      </c>
    </row>
    <row r="42798" spans="1:5" x14ac:dyDescent="0.25">
      <c r="A42798" t="str">
        <f>HYPERLINK("https://www.773grp.com/globalSearch/A5191HRTPG-XTP/page-1", "A5191HRTPG-XTP")</f>
        <v>A5191HRTPG-XTP</v>
      </c>
      <c r="B42798" s="3" t="str">
        <f>HYPERLINK("https://www.773grp.com/manufacturer/onsemi?pageNo=40", "ON Semiconductor")</f>
        <v>ON Semiconductor</v>
      </c>
      <c r="C42798" s="6">
        <v>450</v>
      </c>
      <c r="D42798" s="7">
        <v>12.11</v>
      </c>
      <c r="E42798" t="s">
        <v>120</v>
      </c>
    </row>
    <row r="42799" spans="1:5" x14ac:dyDescent="0.25">
      <c r="A42799" t="str">
        <f>HYPERLINK("https://www.773grp.com/globalSearch/AMIS30542C5421G/page-1", "AMIS30542C5421G")</f>
        <v>AMIS30542C5421G</v>
      </c>
      <c r="B42799" s="3" t="str">
        <f>HYPERLINK("https://www.773grp.com/manufacturer/onsemi?pageNo=41", "ON Semiconductor")</f>
        <v>ON Semiconductor</v>
      </c>
      <c r="C42799" s="6">
        <v>610</v>
      </c>
      <c r="D42799" s="7">
        <v>12.11</v>
      </c>
    </row>
    <row r="42800" spans="1:5" x14ac:dyDescent="0.25">
      <c r="A42800" t="str">
        <f>HYPERLINK("https://www.773grp.com/globalSearch/AD7887BRZ-REEL7/page-1", "AD7887BRZ-REEL7")</f>
        <v>AD7887BRZ-REEL7</v>
      </c>
      <c r="B42800" s="3" t="str">
        <f>HYPERLINK("https://www.773grp.com/manufacturer/onsemi?pageNo=42", "ON Semiconductor")</f>
        <v>ON Semiconductor</v>
      </c>
      <c r="C42800" s="6">
        <v>64</v>
      </c>
      <c r="D42800" s="7">
        <v>12.24</v>
      </c>
    </row>
    <row r="42801" spans="1:5" x14ac:dyDescent="0.25">
      <c r="A42801" t="str">
        <f>HYPERLINK("https://www.773grp.com/globalSearch/MC100LVEP34D/page-1", "MC100LVEP34D")</f>
        <v>MC100LVEP34D</v>
      </c>
      <c r="B42801" s="3" t="str">
        <f>HYPERLINK("https://www.773grp.com/manufacturer/onsemi?pageNo=43", "ON Semiconductor")</f>
        <v>ON Semiconductor</v>
      </c>
      <c r="C42801" s="6">
        <v>5520</v>
      </c>
      <c r="D42801" s="7">
        <v>12.24</v>
      </c>
      <c r="E42801" t="s">
        <v>34</v>
      </c>
    </row>
    <row r="42802" spans="1:5" x14ac:dyDescent="0.25">
      <c r="A42802" t="str">
        <f>HYPERLINK("https://www.773grp.com/globalSearch/NB4L16MMNG/page-1", "NB4L16MMNG")</f>
        <v>NB4L16MMNG</v>
      </c>
      <c r="B42802" s="3" t="str">
        <f>HYPERLINK("https://www.773grp.com/manufacturer/onsemi?pageNo=44", "ON Semiconductor")</f>
        <v>ON Semiconductor</v>
      </c>
      <c r="C42802" s="6">
        <v>6850</v>
      </c>
      <c r="D42802" s="7">
        <v>12.24</v>
      </c>
      <c r="E42802" t="s">
        <v>74</v>
      </c>
    </row>
    <row r="42803" spans="1:5" x14ac:dyDescent="0.25">
      <c r="A42803" t="str">
        <f>HYPERLINK("https://www.773grp.com/globalSearch/MC10H175MG/page-1", "MC10H175MG")</f>
        <v>MC10H175MG</v>
      </c>
      <c r="B42803" s="3" t="str">
        <f>HYPERLINK("https://www.773grp.com/manufacturer/onsemi?pageNo=45", "ON Semiconductor")</f>
        <v>ON Semiconductor</v>
      </c>
      <c r="C42803" s="6">
        <v>3300</v>
      </c>
      <c r="D42803" s="7">
        <v>12.26</v>
      </c>
    </row>
    <row r="42804" spans="1:5" x14ac:dyDescent="0.25">
      <c r="A42804" t="str">
        <f>HYPERLINK("https://www.773grp.com/globalSearch/ADM1031ARQZ/page-1", "ADM1031ARQZ")</f>
        <v>ADM1031ARQZ</v>
      </c>
      <c r="B42804" s="3" t="str">
        <f>HYPERLINK("https://www.773grp.com/manufacturer/onsemi?pageNo=46", "ON Semiconductor")</f>
        <v>ON Semiconductor</v>
      </c>
      <c r="C42804" s="6">
        <v>45</v>
      </c>
      <c r="D42804" s="7">
        <v>12.38</v>
      </c>
    </row>
    <row r="42805" spans="1:5" x14ac:dyDescent="0.25">
      <c r="A42805" t="str">
        <f>HYPERLINK("https://www.773grp.com/globalSearch/ADM1031ARQZ-R7/page-1", "ADM1031ARQZ-R7")</f>
        <v>ADM1031ARQZ-R7</v>
      </c>
      <c r="B42805" s="3" t="str">
        <f>HYPERLINK("https://www.773grp.com/manufacturer/onsemi?pageNo=47", "ON Semiconductor")</f>
        <v>ON Semiconductor</v>
      </c>
      <c r="C42805" s="6">
        <v>365</v>
      </c>
      <c r="D42805" s="7">
        <v>12.38</v>
      </c>
      <c r="E42805" t="s">
        <v>12</v>
      </c>
    </row>
    <row r="42806" spans="1:5" x14ac:dyDescent="0.25">
      <c r="A42806" t="str">
        <f>HYPERLINK("https://www.773grp.com/globalSearch/CAT28C256G15/page-1", "CAT28C256G15")</f>
        <v>CAT28C256G15</v>
      </c>
      <c r="B42806" s="3" t="str">
        <f>HYPERLINK("https://www.773grp.com/manufacturer/onsemi?pageNo=48", "ON Semiconductor")</f>
        <v>ON Semiconductor</v>
      </c>
      <c r="C42806" s="6">
        <v>22</v>
      </c>
      <c r="D42806" s="7">
        <v>12.38</v>
      </c>
      <c r="E42806" t="s">
        <v>64</v>
      </c>
    </row>
    <row r="42807" spans="1:5" x14ac:dyDescent="0.25">
      <c r="A42807" t="str">
        <f>HYPERLINK("https://www.773grp.com/globalSearch/STK433-040N-E/page-1", "STK433-040N-E")</f>
        <v>STK433-040N-E</v>
      </c>
      <c r="B42807" s="3" t="str">
        <f>HYPERLINK("https://www.773grp.com/manufacturer/onsemi?pageNo=49", "ON Semiconductor")</f>
        <v>ON Semiconductor</v>
      </c>
      <c r="C42807" s="6">
        <v>105</v>
      </c>
      <c r="D42807" s="7">
        <v>12.38</v>
      </c>
    </row>
    <row r="42808" spans="1:5" x14ac:dyDescent="0.25">
      <c r="A42808" t="str">
        <f>HYPERLINK("https://www.773grp.com/globalSearch/STK672-220-E/page-1", "STK672-220-E")</f>
        <v>STK672-220-E</v>
      </c>
      <c r="B42808" s="3" t="str">
        <f>HYPERLINK("https://www.773grp.com/manufacturer/onsemi?pageNo=50", "ON Semiconductor")</f>
        <v>ON Semiconductor</v>
      </c>
      <c r="C42808" s="6">
        <v>1399</v>
      </c>
      <c r="D42808" s="7">
        <v>12.38</v>
      </c>
    </row>
    <row r="42809" spans="1:5" x14ac:dyDescent="0.25">
      <c r="A42809" t="str">
        <f>HYPERLINK("https://www.773grp.com/globalSearch/MGY30N60D/page-1", "MGY30N60D")</f>
        <v>MGY30N60D</v>
      </c>
      <c r="B42809" s="3" t="str">
        <f>HYPERLINK("https://www.773grp.com/manufacturer/onsemi?pageNo=51", "ON Semiconductor")</f>
        <v>ON Semiconductor</v>
      </c>
      <c r="C42809" s="6">
        <v>3098</v>
      </c>
      <c r="D42809" s="7">
        <v>12.4</v>
      </c>
      <c r="E42809" t="s">
        <v>115</v>
      </c>
    </row>
    <row r="42810" spans="1:5" x14ac:dyDescent="0.25">
      <c r="A42810" t="str">
        <f>HYPERLINK("https://www.773grp.com/globalSearch/STK681-320/page-1", "STK681-320")</f>
        <v>STK681-320</v>
      </c>
      <c r="B42810" s="3" t="str">
        <f>HYPERLINK("https://www.773grp.com/manufacturer/onsemi?pageNo=52", "ON Semiconductor")</f>
        <v>ON Semiconductor</v>
      </c>
      <c r="C42810" s="6">
        <v>30</v>
      </c>
      <c r="D42810" s="7">
        <v>12.4</v>
      </c>
    </row>
    <row r="42811" spans="1:5" x14ac:dyDescent="0.25">
      <c r="A42811" t="str">
        <f>HYPERLINK("https://www.773grp.com/globalSearch/MC10SX1190DT/page-1", "MC10SX1190DT")</f>
        <v>MC10SX1190DT</v>
      </c>
      <c r="B42811" s="3" t="str">
        <f>HYPERLINK("https://www.773grp.com/manufacturer/onsemi?pageNo=53", "ON Semiconductor")</f>
        <v>ON Semiconductor</v>
      </c>
      <c r="C42811" s="6">
        <v>9550</v>
      </c>
      <c r="D42811" s="7">
        <v>12.44</v>
      </c>
      <c r="E42811" t="s">
        <v>21</v>
      </c>
    </row>
    <row r="42812" spans="1:5" x14ac:dyDescent="0.25">
      <c r="A42812" t="str">
        <f>HYPERLINK("https://www.773grp.com/globalSearch/ADM1031ARQ/page-1", "ADM1031ARQ")</f>
        <v>ADM1031ARQ</v>
      </c>
      <c r="B42812" s="3" t="str">
        <f>HYPERLINK("https://www.773grp.com/manufacturer/onsemi?pageNo=54", "ON Semiconductor")</f>
        <v>ON Semiconductor</v>
      </c>
      <c r="C42812" s="6">
        <v>1492</v>
      </c>
      <c r="D42812" s="7">
        <v>12.49</v>
      </c>
      <c r="E42812" t="s">
        <v>12</v>
      </c>
    </row>
    <row r="42813" spans="1:5" x14ac:dyDescent="0.25">
      <c r="A42813" t="str">
        <f>HYPERLINK("https://www.773grp.com/globalSearch/MC100EP52DR2/page-1", "MC100EP52DR2")</f>
        <v>MC100EP52DR2</v>
      </c>
      <c r="B42813" s="3" t="str">
        <f>HYPERLINK("https://www.773grp.com/manufacturer/onsemi?pageNo=55", "ON Semiconductor")</f>
        <v>ON Semiconductor</v>
      </c>
      <c r="C42813" s="6">
        <v>163</v>
      </c>
      <c r="D42813" s="7">
        <v>12.49</v>
      </c>
      <c r="E42813" t="s">
        <v>35</v>
      </c>
    </row>
    <row r="42814" spans="1:5" x14ac:dyDescent="0.25">
      <c r="A42814" t="str">
        <f>HYPERLINK("https://www.773grp.com/globalSearch/MC100H642FN/page-1", "MC100H642FN")</f>
        <v>MC100H642FN</v>
      </c>
      <c r="B42814" s="3" t="str">
        <f>HYPERLINK("https://www.773grp.com/manufacturer/onsemi?pageNo=56", "ON Semiconductor")</f>
        <v>ON Semiconductor</v>
      </c>
      <c r="C42814" s="6">
        <v>481</v>
      </c>
      <c r="D42814" s="7">
        <v>12.49</v>
      </c>
      <c r="E42814" t="s">
        <v>34</v>
      </c>
    </row>
    <row r="42815" spans="1:5" x14ac:dyDescent="0.25">
      <c r="A42815" t="str">
        <f>HYPERLINK("https://www.773grp.com/globalSearch/MC10H642FN/page-1", "MC10H642FN")</f>
        <v>MC10H642FN</v>
      </c>
      <c r="B42815" s="3" t="str">
        <f>HYPERLINK("https://www.773grp.com/manufacturer/onsemi?pageNo=57", "ON Semiconductor")</f>
        <v>ON Semiconductor</v>
      </c>
      <c r="C42815" s="6">
        <v>247</v>
      </c>
      <c r="D42815" s="7">
        <v>12.49</v>
      </c>
      <c r="E42815" t="s">
        <v>34</v>
      </c>
    </row>
    <row r="42816" spans="1:5" x14ac:dyDescent="0.25">
      <c r="A42816" t="str">
        <f>HYPERLINK("https://www.773grp.com/globalSearch/MC10H642FNR2/page-1", "MC10H642FNR2")</f>
        <v>MC10H642FNR2</v>
      </c>
      <c r="B42816" s="3" t="str">
        <f>HYPERLINK("https://www.773grp.com/manufacturer/onsemi?pageNo=58", "ON Semiconductor")</f>
        <v>ON Semiconductor</v>
      </c>
      <c r="C42816" s="6">
        <v>500</v>
      </c>
      <c r="D42816" s="7">
        <v>12.49</v>
      </c>
      <c r="E42816" t="s">
        <v>34</v>
      </c>
    </row>
    <row r="42817" spans="1:5" x14ac:dyDescent="0.25">
      <c r="A42817" t="str">
        <f>HYPERLINK("https://www.773grp.com/globalSearch/MC100E016FNG/page-1", "MC100E016FNG")</f>
        <v>MC100E016FNG</v>
      </c>
      <c r="B42817" s="3" t="str">
        <f>HYPERLINK("https://www.773grp.com/manufacturer/onsemi?pageNo=59", "ON Semiconductor")</f>
        <v>ON Semiconductor</v>
      </c>
      <c r="C42817" s="6">
        <v>329</v>
      </c>
      <c r="D42817" s="7">
        <v>12.53</v>
      </c>
      <c r="E42817" t="s">
        <v>26</v>
      </c>
    </row>
    <row r="42818" spans="1:5" x14ac:dyDescent="0.25">
      <c r="A42818" t="str">
        <f>HYPERLINK("https://www.773grp.com/globalSearch/MC100E016FNR2G/page-1", "MC100E016FNR2G")</f>
        <v>MC100E016FNR2G</v>
      </c>
      <c r="B42818" s="3" t="str">
        <f>HYPERLINK("https://www.773grp.com/manufacturer/onsemi?pageNo=60", "ON Semiconductor")</f>
        <v>ON Semiconductor</v>
      </c>
      <c r="C42818" s="6">
        <v>500</v>
      </c>
      <c r="D42818" s="7">
        <v>12.53</v>
      </c>
    </row>
    <row r="42819" spans="1:5" x14ac:dyDescent="0.25">
      <c r="A42819" t="str">
        <f>HYPERLINK("https://www.773grp.com/globalSearch/MC100E101FNR2G/page-1", "MC100E101FNR2G")</f>
        <v>MC100E101FNR2G</v>
      </c>
      <c r="B42819" s="3" t="str">
        <f>HYPERLINK("https://www.773grp.com/manufacturer/onsemi?pageNo=61", "ON Semiconductor")</f>
        <v>ON Semiconductor</v>
      </c>
      <c r="C42819" s="6">
        <v>1854</v>
      </c>
      <c r="D42819" s="7">
        <v>12.53</v>
      </c>
      <c r="E42819" t="s">
        <v>31</v>
      </c>
    </row>
    <row r="42820" spans="1:5" x14ac:dyDescent="0.25">
      <c r="A42820" t="str">
        <f>HYPERLINK("https://www.773grp.com/globalSearch/MC100E104FNR2G/page-1", "MC100E104FNR2G")</f>
        <v>MC100E104FNR2G</v>
      </c>
      <c r="B42820" s="3" t="str">
        <f>HYPERLINK("https://www.773grp.com/manufacturer/onsemi?pageNo=62", "ON Semiconductor")</f>
        <v>ON Semiconductor</v>
      </c>
      <c r="C42820" s="6">
        <v>1448</v>
      </c>
      <c r="D42820" s="7">
        <v>12.53</v>
      </c>
      <c r="E42820" t="s">
        <v>31</v>
      </c>
    </row>
    <row r="42821" spans="1:5" x14ac:dyDescent="0.25">
      <c r="A42821" t="str">
        <f>HYPERLINK("https://www.773grp.com/globalSearch/MC100E107FNR2G/page-1", "MC100E107FNR2G")</f>
        <v>MC100E107FNR2G</v>
      </c>
      <c r="B42821" s="3" t="str">
        <f>HYPERLINK("https://www.773grp.com/manufacturer/onsemi?pageNo=63", "ON Semiconductor")</f>
        <v>ON Semiconductor</v>
      </c>
      <c r="C42821" s="6">
        <v>2500</v>
      </c>
      <c r="D42821" s="7">
        <v>12.53</v>
      </c>
      <c r="E42821" t="s">
        <v>31</v>
      </c>
    </row>
    <row r="42822" spans="1:5" x14ac:dyDescent="0.25">
      <c r="A42822" t="str">
        <f>HYPERLINK("https://www.773grp.com/globalSearch/MC100E111FN/page-1", "MC100E111FN")</f>
        <v>MC100E111FN</v>
      </c>
      <c r="B42822" s="3" t="str">
        <f>HYPERLINK("https://www.773grp.com/manufacturer/onsemi?pageNo=64", "ON Semiconductor")</f>
        <v>ON Semiconductor</v>
      </c>
      <c r="C42822" s="6">
        <v>4502</v>
      </c>
      <c r="D42822" s="7">
        <v>12.53</v>
      </c>
      <c r="E42822" t="s">
        <v>34</v>
      </c>
    </row>
    <row r="42823" spans="1:5" x14ac:dyDescent="0.25">
      <c r="A42823" t="str">
        <f>HYPERLINK("https://www.773grp.com/globalSearch/MC100E111FNG/page-1", "MC100E111FNG")</f>
        <v>MC100E111FNG</v>
      </c>
      <c r="B42823" s="3" t="str">
        <f>HYPERLINK("https://www.773grp.com/manufacturer/onsemi?pageNo=65", "ON Semiconductor")</f>
        <v>ON Semiconductor</v>
      </c>
      <c r="C42823" s="6">
        <v>185</v>
      </c>
      <c r="D42823" s="7">
        <v>12.53</v>
      </c>
      <c r="E42823" t="s">
        <v>34</v>
      </c>
    </row>
    <row r="42824" spans="1:5" x14ac:dyDescent="0.25">
      <c r="A42824" t="str">
        <f>HYPERLINK("https://www.773grp.com/globalSearch/MC100E111FNR2G/page-1", "MC100E111FNR2G")</f>
        <v>MC100E111FNR2G</v>
      </c>
      <c r="B42824" s="3" t="str">
        <f>HYPERLINK("https://www.773grp.com/manufacturer/onsemi?pageNo=66", "ON Semiconductor")</f>
        <v>ON Semiconductor</v>
      </c>
      <c r="C42824" s="6">
        <v>1000</v>
      </c>
      <c r="D42824" s="7">
        <v>12.53</v>
      </c>
    </row>
    <row r="42825" spans="1:5" x14ac:dyDescent="0.25">
      <c r="A42825" t="str">
        <f>HYPERLINK("https://www.773grp.com/globalSearch/MC100E112FNR2G/page-1", "MC100E112FNR2G")</f>
        <v>MC100E112FNR2G</v>
      </c>
      <c r="B42825" s="3" t="str">
        <f>HYPERLINK("https://www.773grp.com/manufacturer/onsemi?pageNo=67", "ON Semiconductor")</f>
        <v>ON Semiconductor</v>
      </c>
      <c r="C42825" s="6">
        <v>496</v>
      </c>
      <c r="D42825" s="7">
        <v>12.53</v>
      </c>
      <c r="E42825" t="s">
        <v>31</v>
      </c>
    </row>
    <row r="42826" spans="1:5" x14ac:dyDescent="0.25">
      <c r="A42826" t="str">
        <f>HYPERLINK("https://www.773grp.com/globalSearch/MC100E116FNG/page-1", "MC100E116FNG")</f>
        <v>MC100E116FNG</v>
      </c>
      <c r="B42826" s="3" t="str">
        <f>HYPERLINK("https://www.773grp.com/manufacturer/onsemi?pageNo=68", "ON Semiconductor")</f>
        <v>ON Semiconductor</v>
      </c>
      <c r="C42826" s="6">
        <v>642</v>
      </c>
      <c r="D42826" s="7">
        <v>12.53</v>
      </c>
      <c r="E42826" t="s">
        <v>21</v>
      </c>
    </row>
    <row r="42827" spans="1:5" x14ac:dyDescent="0.25">
      <c r="A42827" t="str">
        <f>HYPERLINK("https://www.773grp.com/globalSearch/MC100E116FNR2G/page-1", "MC100E116FNR2G")</f>
        <v>MC100E116FNR2G</v>
      </c>
      <c r="B42827" s="3" t="str">
        <f>HYPERLINK("https://www.773grp.com/manufacturer/onsemi?pageNo=69", "ON Semiconductor")</f>
        <v>ON Semiconductor</v>
      </c>
      <c r="C42827" s="6">
        <v>2000</v>
      </c>
      <c r="D42827" s="7">
        <v>12.53</v>
      </c>
      <c r="E42827" t="s">
        <v>21</v>
      </c>
    </row>
    <row r="42828" spans="1:5" x14ac:dyDescent="0.25">
      <c r="A42828" t="str">
        <f>HYPERLINK("https://www.773grp.com/globalSearch/MC100E131FNG/page-1", "MC100E131FNG")</f>
        <v>MC100E131FNG</v>
      </c>
      <c r="B42828" s="3" t="str">
        <f>HYPERLINK("https://www.773grp.com/manufacturer/onsemi?pageNo=70", "ON Semiconductor")</f>
        <v>ON Semiconductor</v>
      </c>
      <c r="C42828" s="6">
        <v>37</v>
      </c>
      <c r="D42828" s="7">
        <v>12.53</v>
      </c>
      <c r="E42828" t="s">
        <v>35</v>
      </c>
    </row>
    <row r="42829" spans="1:5" x14ac:dyDescent="0.25">
      <c r="A42829" t="str">
        <f>HYPERLINK("https://www.773grp.com/globalSearch/MC100E136FNG/page-1", "MC100E136FNG")</f>
        <v>MC100E136FNG</v>
      </c>
      <c r="B42829" s="3" t="str">
        <f>HYPERLINK("https://www.773grp.com/manufacturer/onsemi?pageNo=71", "ON Semiconductor")</f>
        <v>ON Semiconductor</v>
      </c>
      <c r="C42829" s="6">
        <v>4789</v>
      </c>
      <c r="D42829" s="7">
        <v>12.53</v>
      </c>
      <c r="E42829" t="s">
        <v>26</v>
      </c>
    </row>
    <row r="42830" spans="1:5" x14ac:dyDescent="0.25">
      <c r="A42830" t="str">
        <f>HYPERLINK("https://www.773grp.com/globalSearch/MC100E136FNR2G/page-1", "MC100E136FNR2G")</f>
        <v>MC100E136FNR2G</v>
      </c>
      <c r="B42830" s="3" t="str">
        <f>HYPERLINK("https://www.773grp.com/manufacturer/onsemi?pageNo=72", "ON Semiconductor")</f>
        <v>ON Semiconductor</v>
      </c>
      <c r="C42830" s="6">
        <v>2000</v>
      </c>
      <c r="D42830" s="7">
        <v>12.53</v>
      </c>
      <c r="E42830" t="s">
        <v>26</v>
      </c>
    </row>
    <row r="42831" spans="1:5" x14ac:dyDescent="0.25">
      <c r="A42831" t="str">
        <f>HYPERLINK("https://www.773grp.com/globalSearch/MC100E137FNG/page-1", "MC100E137FNG")</f>
        <v>MC100E137FNG</v>
      </c>
      <c r="B42831" s="3" t="str">
        <f>HYPERLINK("https://www.773grp.com/manufacturer/onsemi?pageNo=73", "ON Semiconductor")</f>
        <v>ON Semiconductor</v>
      </c>
      <c r="C42831" s="6">
        <v>3866</v>
      </c>
      <c r="D42831" s="7">
        <v>12.53</v>
      </c>
      <c r="E42831" t="s">
        <v>26</v>
      </c>
    </row>
    <row r="42832" spans="1:5" x14ac:dyDescent="0.25">
      <c r="A42832" t="str">
        <f>HYPERLINK("https://www.773grp.com/globalSearch/MC100E137FNR2G/page-1", "MC100E137FNR2G")</f>
        <v>MC100E137FNR2G</v>
      </c>
      <c r="B42832" s="3" t="str">
        <f>HYPERLINK("https://www.773grp.com/manufacturer/onsemi?pageNo=74", "ON Semiconductor")</f>
        <v>ON Semiconductor</v>
      </c>
      <c r="C42832" s="6">
        <v>3990</v>
      </c>
      <c r="D42832" s="7">
        <v>12.53</v>
      </c>
      <c r="E42832" t="s">
        <v>26</v>
      </c>
    </row>
    <row r="42833" spans="1:5" x14ac:dyDescent="0.25">
      <c r="A42833" t="str">
        <f>HYPERLINK("https://www.773grp.com/globalSearch/MC100E143FNG/page-1", "MC100E143FNG")</f>
        <v>MC100E143FNG</v>
      </c>
      <c r="B42833" s="3" t="str">
        <f>HYPERLINK("https://www.773grp.com/manufacturer/onsemi?pageNo=75", "ON Semiconductor")</f>
        <v>ON Semiconductor</v>
      </c>
      <c r="C42833" s="6">
        <v>4534</v>
      </c>
      <c r="D42833" s="7">
        <v>12.53</v>
      </c>
      <c r="E42833" t="s">
        <v>35</v>
      </c>
    </row>
    <row r="42834" spans="1:5" x14ac:dyDescent="0.25">
      <c r="A42834" t="str">
        <f>HYPERLINK("https://www.773grp.com/globalSearch/MC100E143FNR2G/page-1", "MC100E143FNR2G")</f>
        <v>MC100E143FNR2G</v>
      </c>
      <c r="B42834" s="3" t="str">
        <f>HYPERLINK("https://www.773grp.com/manufacturer/onsemi?pageNo=76", "ON Semiconductor")</f>
        <v>ON Semiconductor</v>
      </c>
      <c r="C42834" s="6">
        <v>1234</v>
      </c>
      <c r="D42834" s="7">
        <v>12.53</v>
      </c>
      <c r="E42834" t="s">
        <v>35</v>
      </c>
    </row>
    <row r="42835" spans="1:5" x14ac:dyDescent="0.25">
      <c r="A42835" t="str">
        <f>HYPERLINK("https://www.773grp.com/globalSearch/MC100E150FNG/page-1", "MC100E150FNG")</f>
        <v>MC100E150FNG</v>
      </c>
      <c r="B42835" s="3" t="str">
        <f>HYPERLINK("https://www.773grp.com/manufacturer/onsemi?pageNo=77", "ON Semiconductor")</f>
        <v>ON Semiconductor</v>
      </c>
      <c r="C42835" s="6">
        <v>4139</v>
      </c>
      <c r="D42835" s="7">
        <v>12.53</v>
      </c>
      <c r="E42835" t="s">
        <v>35</v>
      </c>
    </row>
    <row r="42836" spans="1:5" x14ac:dyDescent="0.25">
      <c r="A42836" t="str">
        <f>HYPERLINK("https://www.773grp.com/globalSearch/MC100E151FNG/page-1", "MC100E151FNG")</f>
        <v>MC100E151FNG</v>
      </c>
      <c r="B42836" s="3" t="str">
        <f>HYPERLINK("https://www.773grp.com/manufacturer/onsemi?pageNo=78", "ON Semiconductor")</f>
        <v>ON Semiconductor</v>
      </c>
      <c r="C42836" s="6">
        <v>1195</v>
      </c>
      <c r="D42836" s="7">
        <v>12.53</v>
      </c>
      <c r="E42836" t="s">
        <v>35</v>
      </c>
    </row>
    <row r="42837" spans="1:5" x14ac:dyDescent="0.25">
      <c r="A42837" t="str">
        <f>HYPERLINK("https://www.773grp.com/globalSearch/MC100E158FNG/page-1", "MC100E158FNG")</f>
        <v>MC100E158FNG</v>
      </c>
      <c r="B42837" s="3" t="str">
        <f>HYPERLINK("https://www.773grp.com/manufacturer/onsemi?pageNo=79", "ON Semiconductor")</f>
        <v>ON Semiconductor</v>
      </c>
      <c r="C42837" s="6">
        <v>2462</v>
      </c>
      <c r="D42837" s="7">
        <v>12.53</v>
      </c>
      <c r="E42837" t="s">
        <v>20</v>
      </c>
    </row>
    <row r="42838" spans="1:5" x14ac:dyDescent="0.25">
      <c r="A42838" t="str">
        <f>HYPERLINK("https://www.773grp.com/globalSearch/MC100E163FNR2G/page-1", "MC100E163FNR2G")</f>
        <v>MC100E163FNR2G</v>
      </c>
      <c r="B42838" s="3" t="str">
        <f>HYPERLINK("https://www.773grp.com/manufacturer/onsemi?pageNo=80", "ON Semiconductor")</f>
        <v>ON Semiconductor</v>
      </c>
      <c r="C42838" s="6">
        <v>1465</v>
      </c>
      <c r="D42838" s="7">
        <v>12.53</v>
      </c>
      <c r="E42838" t="s">
        <v>20</v>
      </c>
    </row>
    <row r="42839" spans="1:5" x14ac:dyDescent="0.25">
      <c r="A42839" t="str">
        <f>HYPERLINK("https://www.773grp.com/globalSearch/MC100E164FNR2G/page-1", "MC100E164FNR2G")</f>
        <v>MC100E164FNR2G</v>
      </c>
      <c r="B42839" s="3" t="str">
        <f>HYPERLINK("https://www.773grp.com/manufacturer/onsemi?pageNo=81", "ON Semiconductor")</f>
        <v>ON Semiconductor</v>
      </c>
      <c r="C42839" s="6">
        <v>227</v>
      </c>
      <c r="D42839" s="7">
        <v>12.53</v>
      </c>
      <c r="E42839" t="s">
        <v>20</v>
      </c>
    </row>
    <row r="42840" spans="1:5" x14ac:dyDescent="0.25">
      <c r="A42840" t="str">
        <f>HYPERLINK("https://www.773grp.com/globalSearch/MC100E171FNG/page-1", "MC100E171FNG")</f>
        <v>MC100E171FNG</v>
      </c>
      <c r="B42840" s="3" t="str">
        <f>HYPERLINK("https://www.773grp.com/manufacturer/onsemi?pageNo=82", "ON Semiconductor")</f>
        <v>ON Semiconductor</v>
      </c>
      <c r="C42840" s="6">
        <v>12</v>
      </c>
      <c r="D42840" s="7">
        <v>12.53</v>
      </c>
      <c r="E42840" t="s">
        <v>20</v>
      </c>
    </row>
    <row r="42841" spans="1:5" x14ac:dyDescent="0.25">
      <c r="A42841" t="str">
        <f>HYPERLINK("https://www.773grp.com/globalSearch/MC100E175FNG/page-1", "MC100E175FNG")</f>
        <v>MC100E175FNG</v>
      </c>
      <c r="B42841" s="3" t="str">
        <f>HYPERLINK("https://www.773grp.com/manufacturer/onsemi?pageNo=83", "ON Semiconductor")</f>
        <v>ON Semiconductor</v>
      </c>
      <c r="C42841" s="6">
        <v>5007</v>
      </c>
      <c r="D42841" s="7">
        <v>12.53</v>
      </c>
      <c r="E42841" t="s">
        <v>35</v>
      </c>
    </row>
    <row r="42842" spans="1:5" x14ac:dyDescent="0.25">
      <c r="A42842" t="str">
        <f>HYPERLINK("https://www.773grp.com/globalSearch/MC100E195FNG/page-1", "MC100E195FNG")</f>
        <v>MC100E195FNG</v>
      </c>
      <c r="B42842" s="3" t="str">
        <f>HYPERLINK("https://www.773grp.com/manufacturer/onsemi?pageNo=84", "ON Semiconductor")</f>
        <v>ON Semiconductor</v>
      </c>
      <c r="C42842" s="6">
        <v>1268</v>
      </c>
      <c r="D42842" s="7">
        <v>12.53</v>
      </c>
      <c r="E42842" t="s">
        <v>119</v>
      </c>
    </row>
    <row r="42843" spans="1:5" x14ac:dyDescent="0.25">
      <c r="A42843" t="str">
        <f>HYPERLINK("https://www.773grp.com/globalSearch/MC100E195FNR2G/page-1", "MC100E195FNR2G")</f>
        <v>MC100E195FNR2G</v>
      </c>
      <c r="B42843" s="3" t="str">
        <f>HYPERLINK("https://www.773grp.com/manufacturer/onsemi?pageNo=85", "ON Semiconductor")</f>
        <v>ON Semiconductor</v>
      </c>
      <c r="C42843" s="6">
        <v>500</v>
      </c>
      <c r="D42843" s="7">
        <v>12.53</v>
      </c>
      <c r="E42843" t="s">
        <v>119</v>
      </c>
    </row>
    <row r="42844" spans="1:5" x14ac:dyDescent="0.25">
      <c r="A42844" t="str">
        <f>HYPERLINK("https://www.773grp.com/globalSearch/MC100E196FNR2G/page-1", "MC100E196FNR2G")</f>
        <v>MC100E196FNR2G</v>
      </c>
      <c r="B42844" s="3" t="str">
        <f>HYPERLINK("https://www.773grp.com/manufacturer/onsemi?pageNo=86", "ON Semiconductor")</f>
        <v>ON Semiconductor</v>
      </c>
      <c r="C42844" s="6">
        <v>1677</v>
      </c>
      <c r="D42844" s="7">
        <v>12.53</v>
      </c>
      <c r="E42844" t="s">
        <v>119</v>
      </c>
    </row>
    <row r="42845" spans="1:5" x14ac:dyDescent="0.25">
      <c r="A42845" t="str">
        <f>HYPERLINK("https://www.773grp.com/globalSearch/MC100E241FNG/page-1", "MC100E241FNG")</f>
        <v>MC100E241FNG</v>
      </c>
      <c r="B42845" s="3" t="str">
        <f>HYPERLINK("https://www.773grp.com/manufacturer/onsemi?pageNo=87", "ON Semiconductor")</f>
        <v>ON Semiconductor</v>
      </c>
      <c r="C42845" s="6">
        <v>2016</v>
      </c>
      <c r="D42845" s="7">
        <v>12.53</v>
      </c>
      <c r="E42845" t="s">
        <v>32</v>
      </c>
    </row>
    <row r="42846" spans="1:5" x14ac:dyDescent="0.25">
      <c r="A42846" t="str">
        <f>HYPERLINK("https://www.773grp.com/globalSearch/MC100E404FNG/page-1", "MC100E404FNG")</f>
        <v>MC100E404FNG</v>
      </c>
      <c r="B42846" s="3" t="str">
        <f>HYPERLINK("https://www.773grp.com/manufacturer/onsemi?pageNo=88", "ON Semiconductor")</f>
        <v>ON Semiconductor</v>
      </c>
      <c r="C42846" s="6">
        <v>2199</v>
      </c>
      <c r="D42846" s="7">
        <v>12.53</v>
      </c>
    </row>
    <row r="42847" spans="1:5" x14ac:dyDescent="0.25">
      <c r="A42847" t="str">
        <f>HYPERLINK("https://www.773grp.com/globalSearch/MC100E431FNR2G/page-1", "MC100E431FNR2G")</f>
        <v>MC100E431FNR2G</v>
      </c>
      <c r="B42847" s="3" t="str">
        <f>HYPERLINK("https://www.773grp.com/manufacturer/onsemi?pageNo=89", "ON Semiconductor")</f>
        <v>ON Semiconductor</v>
      </c>
      <c r="C42847" s="6">
        <v>500</v>
      </c>
      <c r="D42847" s="7">
        <v>12.53</v>
      </c>
      <c r="E42847" t="s">
        <v>35</v>
      </c>
    </row>
    <row r="42848" spans="1:5" x14ac:dyDescent="0.25">
      <c r="A42848" t="str">
        <f>HYPERLINK("https://www.773grp.com/globalSearch/MC100E446FNG/page-1", "MC100E446FNG")</f>
        <v>MC100E446FNG</v>
      </c>
      <c r="B42848" s="3" t="str">
        <f>HYPERLINK("https://www.773grp.com/manufacturer/onsemi?pageNo=90", "ON Semiconductor")</f>
        <v>ON Semiconductor</v>
      </c>
      <c r="C42848" s="6">
        <v>259</v>
      </c>
      <c r="D42848" s="7">
        <v>12.53</v>
      </c>
      <c r="E42848" t="s">
        <v>32</v>
      </c>
    </row>
    <row r="42849" spans="1:5" x14ac:dyDescent="0.25">
      <c r="A42849" t="str">
        <f>HYPERLINK("https://www.773grp.com/globalSearch/MC100E446FNR2G/page-1", "MC100E446FNR2G")</f>
        <v>MC100E446FNR2G</v>
      </c>
      <c r="B42849" s="3" t="str">
        <f>HYPERLINK("https://www.773grp.com/manufacturer/onsemi?pageNo=91", "ON Semiconductor")</f>
        <v>ON Semiconductor</v>
      </c>
      <c r="C42849" s="6">
        <v>1500</v>
      </c>
      <c r="D42849" s="7">
        <v>12.53</v>
      </c>
      <c r="E42849" t="s">
        <v>32</v>
      </c>
    </row>
    <row r="42850" spans="1:5" x14ac:dyDescent="0.25">
      <c r="A42850" t="str">
        <f>HYPERLINK("https://www.773grp.com/globalSearch/MC100E451FNG/page-1", "MC100E451FNG")</f>
        <v>MC100E451FNG</v>
      </c>
      <c r="B42850" s="3" t="str">
        <f>HYPERLINK("https://www.773grp.com/manufacturer/onsemi?pageNo=92", "ON Semiconductor")</f>
        <v>ON Semiconductor</v>
      </c>
      <c r="C42850" s="6">
        <v>24</v>
      </c>
      <c r="D42850" s="7">
        <v>12.53</v>
      </c>
    </row>
    <row r="42851" spans="1:5" x14ac:dyDescent="0.25">
      <c r="A42851" t="str">
        <f>HYPERLINK("https://www.773grp.com/globalSearch/MC100E452FNG/page-1", "MC100E452FNG")</f>
        <v>MC100E452FNG</v>
      </c>
      <c r="B42851" s="3" t="str">
        <f>HYPERLINK("https://www.773grp.com/manufacturer/onsemi?pageNo=93", "ON Semiconductor")</f>
        <v>ON Semiconductor</v>
      </c>
      <c r="C42851" s="6">
        <v>3126</v>
      </c>
      <c r="D42851" s="7">
        <v>12.53</v>
      </c>
      <c r="E42851" t="s">
        <v>35</v>
      </c>
    </row>
    <row r="42852" spans="1:5" x14ac:dyDescent="0.25">
      <c r="A42852" t="str">
        <f>HYPERLINK("https://www.773grp.com/globalSearch/MC100E457FNG/page-1", "MC100E457FNG")</f>
        <v>MC100E457FNG</v>
      </c>
      <c r="B42852" s="3" t="str">
        <f>HYPERLINK("https://www.773grp.com/manufacturer/onsemi?pageNo=94", "ON Semiconductor")</f>
        <v>ON Semiconductor</v>
      </c>
      <c r="C42852" s="6">
        <v>2566</v>
      </c>
      <c r="D42852" s="7">
        <v>12.53</v>
      </c>
      <c r="E42852" t="s">
        <v>20</v>
      </c>
    </row>
    <row r="42853" spans="1:5" x14ac:dyDescent="0.25">
      <c r="A42853" t="str">
        <f>HYPERLINK("https://www.773grp.com/globalSearch/MC100E457FNR2G/page-1", "MC100E457FNR2G")</f>
        <v>MC100E457FNR2G</v>
      </c>
      <c r="B42853" s="3" t="str">
        <f>HYPERLINK("https://www.773grp.com/manufacturer/onsemi?pageNo=95", "ON Semiconductor")</f>
        <v>ON Semiconductor</v>
      </c>
      <c r="C42853" s="6">
        <v>1000</v>
      </c>
      <c r="D42853" s="7">
        <v>12.53</v>
      </c>
      <c r="E42853" t="s">
        <v>20</v>
      </c>
    </row>
    <row r="42854" spans="1:5" x14ac:dyDescent="0.25">
      <c r="A42854" t="str">
        <f>HYPERLINK("https://www.773grp.com/globalSearch/MC100EL1648DG/page-1", "MC100EL1648DG")</f>
        <v>MC100EL1648DG</v>
      </c>
      <c r="B42854" s="3" t="str">
        <f>HYPERLINK("https://www.773grp.com/manufacturer/onsemi?pageNo=96", "ON Semiconductor")</f>
        <v>ON Semiconductor</v>
      </c>
      <c r="C42854" s="6">
        <v>1329</v>
      </c>
      <c r="D42854" s="7">
        <v>12.53</v>
      </c>
      <c r="E42854" t="s">
        <v>40</v>
      </c>
    </row>
    <row r="42855" spans="1:5" x14ac:dyDescent="0.25">
      <c r="A42855" t="str">
        <f>HYPERLINK("https://www.773grp.com/globalSearch/MC100EL1648DR2G/page-1", "MC100EL1648DR2G")</f>
        <v>MC100EL1648DR2G</v>
      </c>
      <c r="B42855" s="3" t="str">
        <f>HYPERLINK("https://www.773grp.com/manufacturer/onsemi?pageNo=97", "ON Semiconductor")</f>
        <v>ON Semiconductor</v>
      </c>
      <c r="C42855" s="6">
        <v>10342</v>
      </c>
      <c r="D42855" s="7">
        <v>12.53</v>
      </c>
      <c r="E42855" t="s">
        <v>40</v>
      </c>
    </row>
    <row r="42856" spans="1:5" x14ac:dyDescent="0.25">
      <c r="A42856" t="str">
        <f>HYPERLINK("https://www.773grp.com/globalSearch/MC100EL1648DTG/page-1", "MC100EL1648DTG")</f>
        <v>MC100EL1648DTG</v>
      </c>
      <c r="B42856" s="3" t="str">
        <f>HYPERLINK("https://www.773grp.com/manufacturer/onsemi?pageNo=98", "ON Semiconductor")</f>
        <v>ON Semiconductor</v>
      </c>
      <c r="C42856" s="6">
        <v>8705</v>
      </c>
      <c r="D42856" s="7">
        <v>12.53</v>
      </c>
      <c r="E42856" t="s">
        <v>40</v>
      </c>
    </row>
    <row r="42857" spans="1:5" x14ac:dyDescent="0.25">
      <c r="A42857" t="str">
        <f>HYPERLINK("https://www.773grp.com/globalSearch/MC100EL1648DTR2G/page-1", "MC100EL1648DTR2G")</f>
        <v>MC100EL1648DTR2G</v>
      </c>
      <c r="B42857" s="3" t="str">
        <f>HYPERLINK("https://www.773grp.com/manufacturer/onsemi?pageNo=99", "ON Semiconductor")</f>
        <v>ON Semiconductor</v>
      </c>
      <c r="C42857" s="6">
        <v>10084</v>
      </c>
      <c r="D42857" s="7">
        <v>12.53</v>
      </c>
      <c r="E42857" t="s">
        <v>40</v>
      </c>
    </row>
    <row r="42858" spans="1:5" x14ac:dyDescent="0.25">
      <c r="A42858" t="str">
        <f>HYPERLINK("https://www.773grp.com/globalSearch/MC100EL1648MNR4G/page-1", "MC100EL1648MNR4G")</f>
        <v>MC100EL1648MNR4G</v>
      </c>
      <c r="B42858" s="3" t="str">
        <f>HYPERLINK("https://www.773grp.com/manufacturer/onsemi?pageNo=100", "ON Semiconductor")</f>
        <v>ON Semiconductor</v>
      </c>
      <c r="C42858" s="6">
        <v>13950</v>
      </c>
      <c r="D42858" s="7">
        <v>12.53</v>
      </c>
      <c r="E42858" t="s">
        <v>40</v>
      </c>
    </row>
    <row r="42859" spans="1:5" x14ac:dyDescent="0.25">
      <c r="A42859" t="str">
        <f>HYPERLINK("https://www.773grp.com/globalSearch/MC100EL29DWG/page-1", "MC100EL29DWG")</f>
        <v>MC100EL29DWG</v>
      </c>
      <c r="B42859" s="3" t="str">
        <f>HYPERLINK("https://www.773grp.com/manufacturer/onsemi?pageNo=101", "ON Semiconductor")</f>
        <v>ON Semiconductor</v>
      </c>
      <c r="C42859" s="6">
        <v>887</v>
      </c>
      <c r="D42859" s="7">
        <v>12.53</v>
      </c>
      <c r="E42859" t="s">
        <v>35</v>
      </c>
    </row>
    <row r="42860" spans="1:5" x14ac:dyDescent="0.25">
      <c r="A42860" t="str">
        <f>HYPERLINK("https://www.773grp.com/globalSearch/MC100EL29DWR2G/page-1", "MC100EL29DWR2G")</f>
        <v>MC100EL29DWR2G</v>
      </c>
      <c r="B42860" s="3" t="str">
        <f>HYPERLINK("https://www.773grp.com/manufacturer/onsemi?pageNo=102", "ON Semiconductor")</f>
        <v>ON Semiconductor</v>
      </c>
      <c r="C42860" s="6">
        <v>314</v>
      </c>
      <c r="D42860" s="7">
        <v>12.53</v>
      </c>
      <c r="E42860" t="s">
        <v>35</v>
      </c>
    </row>
    <row r="42861" spans="1:5" x14ac:dyDescent="0.25">
      <c r="A42861" t="str">
        <f>HYPERLINK("https://www.773grp.com/globalSearch/MC100EP140DG/page-1", "MC100EP140DG")</f>
        <v>MC100EP140DG</v>
      </c>
      <c r="B42861" s="3" t="str">
        <f>HYPERLINK("https://www.773grp.com/manufacturer/onsemi?pageNo=103", "ON Semiconductor")</f>
        <v>ON Semiconductor</v>
      </c>
      <c r="C42861" s="6">
        <v>299</v>
      </c>
      <c r="D42861" s="7">
        <v>12.53</v>
      </c>
    </row>
    <row r="42862" spans="1:5" x14ac:dyDescent="0.25">
      <c r="A42862" t="str">
        <f>HYPERLINK("https://www.773grp.com/globalSearch/MC100EP140DR2G/page-1", "MC100EP140DR2G")</f>
        <v>MC100EP140DR2G</v>
      </c>
      <c r="B42862" s="3" t="str">
        <f>HYPERLINK("https://www.773grp.com/manufacturer/onsemi?pageNo=104", "ON Semiconductor")</f>
        <v>ON Semiconductor</v>
      </c>
      <c r="C42862" s="6">
        <v>2000</v>
      </c>
      <c r="D42862" s="7">
        <v>12.53</v>
      </c>
    </row>
    <row r="42863" spans="1:5" x14ac:dyDescent="0.25">
      <c r="A42863" t="str">
        <f>HYPERLINK("https://www.773grp.com/globalSearch/MC100EP56DWG/page-1", "MC100EP56DWG")</f>
        <v>MC100EP56DWG</v>
      </c>
      <c r="B42863" s="3" t="str">
        <f>HYPERLINK("https://www.773grp.com/manufacturer/onsemi?pageNo=105", "ON Semiconductor")</f>
        <v>ON Semiconductor</v>
      </c>
      <c r="C42863" s="6">
        <v>468</v>
      </c>
      <c r="D42863" s="7">
        <v>12.53</v>
      </c>
      <c r="E42863" t="s">
        <v>20</v>
      </c>
    </row>
    <row r="42864" spans="1:5" x14ac:dyDescent="0.25">
      <c r="A42864" t="str">
        <f>HYPERLINK("https://www.773grp.com/globalSearch/MC100EP56DWR2G/page-1", "MC100EP56DWR2G")</f>
        <v>MC100EP56DWR2G</v>
      </c>
      <c r="B42864" s="3" t="str">
        <f>HYPERLINK("https://www.773grp.com/manufacturer/onsemi?pageNo=106", "ON Semiconductor")</f>
        <v>ON Semiconductor</v>
      </c>
      <c r="C42864" s="6">
        <v>16000</v>
      </c>
      <c r="D42864" s="7">
        <v>12.53</v>
      </c>
      <c r="E42864" t="s">
        <v>20</v>
      </c>
    </row>
    <row r="42865" spans="1:5" x14ac:dyDescent="0.25">
      <c r="A42865" t="str">
        <f>HYPERLINK("https://www.773grp.com/globalSearch/MC100EP56MNG/page-1", "MC100EP56MNG")</f>
        <v>MC100EP56MNG</v>
      </c>
      <c r="B42865" s="3" t="str">
        <f>HYPERLINK("https://www.773grp.com/manufacturer/onsemi?pageNo=107", "ON Semiconductor")</f>
        <v>ON Semiconductor</v>
      </c>
      <c r="C42865" s="6">
        <v>4440</v>
      </c>
      <c r="D42865" s="7">
        <v>12.53</v>
      </c>
      <c r="E42865" t="s">
        <v>20</v>
      </c>
    </row>
    <row r="42866" spans="1:5" x14ac:dyDescent="0.25">
      <c r="A42866" t="str">
        <f>HYPERLINK("https://www.773grp.com/globalSearch/MC100EP57DTG/page-1", "MC100EP57DTG")</f>
        <v>MC100EP57DTG</v>
      </c>
      <c r="B42866" s="3" t="str">
        <f>HYPERLINK("https://www.773grp.com/manufacturer/onsemi?pageNo=108", "ON Semiconductor")</f>
        <v>ON Semiconductor</v>
      </c>
      <c r="C42866" s="6">
        <v>874</v>
      </c>
      <c r="D42866" s="7">
        <v>12.53</v>
      </c>
      <c r="E42866" t="s">
        <v>20</v>
      </c>
    </row>
    <row r="42867" spans="1:5" x14ac:dyDescent="0.25">
      <c r="A42867" t="str">
        <f>HYPERLINK("https://www.773grp.com/globalSearch/MC100EP57DTR2G/page-1", "MC100EP57DTR2G")</f>
        <v>MC100EP57DTR2G</v>
      </c>
      <c r="B42867" s="3" t="str">
        <f>HYPERLINK("https://www.773grp.com/manufacturer/onsemi?pageNo=109", "ON Semiconductor")</f>
        <v>ON Semiconductor</v>
      </c>
      <c r="C42867" s="6">
        <v>450</v>
      </c>
      <c r="D42867" s="7">
        <v>12.53</v>
      </c>
      <c r="E42867" t="s">
        <v>20</v>
      </c>
    </row>
    <row r="42868" spans="1:5" x14ac:dyDescent="0.25">
      <c r="A42868" t="str">
        <f>HYPERLINK("https://www.773grp.com/globalSearch/MC100LVE111FN/page-1", "MC100LVE111FN")</f>
        <v>MC100LVE111FN</v>
      </c>
      <c r="B42868" s="3" t="str">
        <f>HYPERLINK("https://www.773grp.com/manufacturer/onsemi?pageNo=110", "ON Semiconductor")</f>
        <v>ON Semiconductor</v>
      </c>
      <c r="C42868" s="6">
        <v>83</v>
      </c>
      <c r="D42868" s="7">
        <v>12.53</v>
      </c>
      <c r="E42868" t="s">
        <v>34</v>
      </c>
    </row>
    <row r="42869" spans="1:5" x14ac:dyDescent="0.25">
      <c r="A42869" t="str">
        <f>HYPERLINK("https://www.773grp.com/globalSearch/MC100LVE111FNG/page-1", "MC100LVE111FNG")</f>
        <v>MC100LVE111FNG</v>
      </c>
      <c r="B42869" s="3" t="str">
        <f>HYPERLINK("https://www.773grp.com/manufacturer/onsemi?pageNo=111", "ON Semiconductor")</f>
        <v>ON Semiconductor</v>
      </c>
      <c r="C42869" s="6">
        <v>264</v>
      </c>
      <c r="D42869" s="7">
        <v>12.53</v>
      </c>
      <c r="E42869" t="s">
        <v>34</v>
      </c>
    </row>
    <row r="42870" spans="1:5" x14ac:dyDescent="0.25">
      <c r="A42870" t="str">
        <f>HYPERLINK("https://www.773grp.com/globalSearch/MC100LVE111FNR2G/page-1", "MC100LVE111FNR2G")</f>
        <v>MC100LVE111FNR2G</v>
      </c>
      <c r="B42870" s="3" t="str">
        <f>HYPERLINK("https://www.773grp.com/manufacturer/onsemi?pageNo=112", "ON Semiconductor")</f>
        <v>ON Semiconductor</v>
      </c>
      <c r="C42870" s="6">
        <v>500</v>
      </c>
      <c r="D42870" s="7">
        <v>12.53</v>
      </c>
    </row>
    <row r="42871" spans="1:5" x14ac:dyDescent="0.25">
      <c r="A42871" t="str">
        <f>HYPERLINK("https://www.773grp.com/globalSearch/MC100LVEL29DWG/page-1", "MC100LVEL29DWG")</f>
        <v>MC100LVEL29DWG</v>
      </c>
      <c r="B42871" s="3" t="str">
        <f>HYPERLINK("https://www.773grp.com/manufacturer/onsemi?pageNo=113", "ON Semiconductor")</f>
        <v>ON Semiconductor</v>
      </c>
      <c r="C42871" s="6">
        <v>572</v>
      </c>
      <c r="D42871" s="7">
        <v>12.53</v>
      </c>
    </row>
    <row r="42872" spans="1:5" x14ac:dyDescent="0.25">
      <c r="A42872" t="str">
        <f>HYPERLINK("https://www.773grp.com/globalSearch/MC100LVEL37DWG/page-1", "MC100LVEL37DWG")</f>
        <v>MC100LVEL37DWG</v>
      </c>
      <c r="B42872" s="3" t="str">
        <f>HYPERLINK("https://www.773grp.com/manufacturer/onsemi?pageNo=114", "ON Semiconductor")</f>
        <v>ON Semiconductor</v>
      </c>
      <c r="C42872" s="6">
        <v>1063</v>
      </c>
      <c r="D42872" s="7">
        <v>12.53</v>
      </c>
      <c r="E42872" t="s">
        <v>34</v>
      </c>
    </row>
    <row r="42873" spans="1:5" x14ac:dyDescent="0.25">
      <c r="A42873" t="str">
        <f>HYPERLINK("https://www.773grp.com/globalSearch/MC10E016FNG/page-1", "MC10E016FNG")</f>
        <v>MC10E016FNG</v>
      </c>
      <c r="B42873" s="3" t="str">
        <f>HYPERLINK("https://www.773grp.com/manufacturer/onsemi?pageNo=115", "ON Semiconductor")</f>
        <v>ON Semiconductor</v>
      </c>
      <c r="C42873" s="6">
        <v>68</v>
      </c>
      <c r="D42873" s="7">
        <v>12.53</v>
      </c>
      <c r="E42873" t="s">
        <v>26</v>
      </c>
    </row>
    <row r="42874" spans="1:5" x14ac:dyDescent="0.25">
      <c r="A42874" t="str">
        <f>HYPERLINK("https://www.773grp.com/globalSearch/MC10E016FNR2G/page-1", "MC10E016FNR2G")</f>
        <v>MC10E016FNR2G</v>
      </c>
      <c r="B42874" s="3" t="str">
        <f>HYPERLINK("https://www.773grp.com/manufacturer/onsemi?pageNo=116", "ON Semiconductor")</f>
        <v>ON Semiconductor</v>
      </c>
      <c r="C42874" s="6">
        <v>2500</v>
      </c>
      <c r="D42874" s="7">
        <v>12.53</v>
      </c>
      <c r="E42874" t="s">
        <v>26</v>
      </c>
    </row>
    <row r="42875" spans="1:5" x14ac:dyDescent="0.25">
      <c r="A42875" t="str">
        <f>HYPERLINK("https://www.773grp.com/globalSearch/MC10E101FNR2G/page-1", "MC10E101FNR2G")</f>
        <v>MC10E101FNR2G</v>
      </c>
      <c r="B42875" s="3" t="str">
        <f>HYPERLINK("https://www.773grp.com/manufacturer/onsemi?pageNo=117", "ON Semiconductor")</f>
        <v>ON Semiconductor</v>
      </c>
      <c r="C42875" s="6">
        <v>110</v>
      </c>
      <c r="D42875" s="7">
        <v>12.53</v>
      </c>
      <c r="E42875" t="s">
        <v>31</v>
      </c>
    </row>
    <row r="42876" spans="1:5" x14ac:dyDescent="0.25">
      <c r="A42876" t="str">
        <f>HYPERLINK("https://www.773grp.com/globalSearch/MC10E104FNG/page-1", "MC10E104FNG")</f>
        <v>MC10E104FNG</v>
      </c>
      <c r="B42876" s="3" t="str">
        <f>HYPERLINK("https://www.773grp.com/manufacturer/onsemi?pageNo=118", "ON Semiconductor")</f>
        <v>ON Semiconductor</v>
      </c>
      <c r="C42876" s="6">
        <v>175</v>
      </c>
      <c r="D42876" s="7">
        <v>12.53</v>
      </c>
      <c r="E42876" t="s">
        <v>31</v>
      </c>
    </row>
    <row r="42877" spans="1:5" x14ac:dyDescent="0.25">
      <c r="A42877" t="str">
        <f>HYPERLINK("https://www.773grp.com/globalSearch/MC10E104FNR2G/page-1", "MC10E104FNR2G")</f>
        <v>MC10E104FNR2G</v>
      </c>
      <c r="B42877" s="3" t="str">
        <f>HYPERLINK("https://www.773grp.com/manufacturer/onsemi?pageNo=119", "ON Semiconductor")</f>
        <v>ON Semiconductor</v>
      </c>
      <c r="C42877" s="6">
        <v>254</v>
      </c>
      <c r="D42877" s="7">
        <v>12.53</v>
      </c>
      <c r="E42877" t="s">
        <v>31</v>
      </c>
    </row>
    <row r="42878" spans="1:5" x14ac:dyDescent="0.25">
      <c r="A42878" t="str">
        <f>HYPERLINK("https://www.773grp.com/globalSearch/MC10E107FNG/page-1", "MC10E107FNG")</f>
        <v>MC10E107FNG</v>
      </c>
      <c r="B42878" s="3" t="str">
        <f>HYPERLINK("https://www.773grp.com/manufacturer/onsemi?pageNo=120", "ON Semiconductor")</f>
        <v>ON Semiconductor</v>
      </c>
      <c r="C42878" s="6">
        <v>5455</v>
      </c>
      <c r="D42878" s="7">
        <v>12.53</v>
      </c>
      <c r="E42878" t="s">
        <v>31</v>
      </c>
    </row>
    <row r="42879" spans="1:5" x14ac:dyDescent="0.25">
      <c r="A42879" t="str">
        <f>HYPERLINK("https://www.773grp.com/globalSearch/MC10E107FNR2G/page-1", "MC10E107FNR2G")</f>
        <v>MC10E107FNR2G</v>
      </c>
      <c r="B42879" s="3" t="str">
        <f>HYPERLINK("https://www.773grp.com/manufacturer/onsemi?pageNo=121", "ON Semiconductor")</f>
        <v>ON Semiconductor</v>
      </c>
      <c r="C42879" s="6">
        <v>1000</v>
      </c>
      <c r="D42879" s="7">
        <v>12.53</v>
      </c>
      <c r="E42879" t="s">
        <v>31</v>
      </c>
    </row>
    <row r="42880" spans="1:5" x14ac:dyDescent="0.25">
      <c r="A42880" t="str">
        <f>HYPERLINK("https://www.773grp.com/globalSearch/MC10E111FNG/page-1", "MC10E111FNG")</f>
        <v>MC10E111FNG</v>
      </c>
      <c r="B42880" s="3" t="str">
        <f>HYPERLINK("https://www.773grp.com/manufacturer/onsemi?pageNo=122", "ON Semiconductor")</f>
        <v>ON Semiconductor</v>
      </c>
      <c r="C42880" s="6">
        <v>5553</v>
      </c>
      <c r="D42880" s="7">
        <v>12.53</v>
      </c>
      <c r="E42880" t="s">
        <v>34</v>
      </c>
    </row>
    <row r="42881" spans="1:5" x14ac:dyDescent="0.25">
      <c r="A42881" t="str">
        <f>HYPERLINK("https://www.773grp.com/globalSearch/MC10E111FNR2G/page-1", "MC10E111FNR2G")</f>
        <v>MC10E111FNR2G</v>
      </c>
      <c r="B42881" s="3" t="str">
        <f>HYPERLINK("https://www.773grp.com/manufacturer/onsemi?pageNo=123", "ON Semiconductor")</f>
        <v>ON Semiconductor</v>
      </c>
      <c r="C42881" s="6">
        <v>2840</v>
      </c>
      <c r="D42881" s="7">
        <v>12.53</v>
      </c>
      <c r="E42881" t="s">
        <v>34</v>
      </c>
    </row>
    <row r="42882" spans="1:5" x14ac:dyDescent="0.25">
      <c r="A42882" t="str">
        <f>HYPERLINK("https://www.773grp.com/globalSearch/MC10E112FNR2G/page-1", "MC10E112FNR2G")</f>
        <v>MC10E112FNR2G</v>
      </c>
      <c r="B42882" s="3" t="str">
        <f>HYPERLINK("https://www.773grp.com/manufacturer/onsemi?pageNo=124", "ON Semiconductor")</f>
        <v>ON Semiconductor</v>
      </c>
      <c r="C42882" s="6">
        <v>1229</v>
      </c>
      <c r="D42882" s="7">
        <v>12.53</v>
      </c>
      <c r="E42882" t="s">
        <v>31</v>
      </c>
    </row>
    <row r="42883" spans="1:5" x14ac:dyDescent="0.25">
      <c r="A42883" t="str">
        <f>HYPERLINK("https://www.773grp.com/globalSearch/MC10E116FNG/page-1", "MC10E116FNG")</f>
        <v>MC10E116FNG</v>
      </c>
      <c r="B42883" s="3" t="str">
        <f>HYPERLINK("https://www.773grp.com/manufacturer/onsemi?pageNo=125", "ON Semiconductor")</f>
        <v>ON Semiconductor</v>
      </c>
      <c r="C42883" s="6">
        <v>804</v>
      </c>
      <c r="D42883" s="7">
        <v>12.53</v>
      </c>
      <c r="E42883" t="s">
        <v>21</v>
      </c>
    </row>
    <row r="42884" spans="1:5" x14ac:dyDescent="0.25">
      <c r="A42884" t="str">
        <f>HYPERLINK("https://www.773grp.com/globalSearch/MC10E116FNR2G/page-1", "MC10E116FNR2G")</f>
        <v>MC10E116FNR2G</v>
      </c>
      <c r="B42884" s="3" t="str">
        <f>HYPERLINK("https://www.773grp.com/manufacturer/onsemi?pageNo=126", "ON Semiconductor")</f>
        <v>ON Semiconductor</v>
      </c>
      <c r="C42884" s="6">
        <v>8500</v>
      </c>
      <c r="D42884" s="7">
        <v>12.53</v>
      </c>
      <c r="E42884" t="s">
        <v>21</v>
      </c>
    </row>
    <row r="42885" spans="1:5" x14ac:dyDescent="0.25">
      <c r="A42885" t="str">
        <f>HYPERLINK("https://www.773grp.com/globalSearch/MC10E122FNG/page-1", "MC10E122FNG")</f>
        <v>MC10E122FNG</v>
      </c>
      <c r="B42885" s="3" t="str">
        <f>HYPERLINK("https://www.773grp.com/manufacturer/onsemi?pageNo=127", "ON Semiconductor")</f>
        <v>ON Semiconductor</v>
      </c>
      <c r="C42885" s="6">
        <v>298</v>
      </c>
      <c r="D42885" s="7">
        <v>12.53</v>
      </c>
      <c r="E42885" t="s">
        <v>31</v>
      </c>
    </row>
    <row r="42886" spans="1:5" x14ac:dyDescent="0.25">
      <c r="A42886" t="str">
        <f>HYPERLINK("https://www.773grp.com/globalSearch/MC10E122FNR2G/page-1", "MC10E122FNR2G")</f>
        <v>MC10E122FNR2G</v>
      </c>
      <c r="B42886" s="3" t="str">
        <f>HYPERLINK("https://www.773grp.com/manufacturer/onsemi?pageNo=128", "ON Semiconductor")</f>
        <v>ON Semiconductor</v>
      </c>
      <c r="C42886" s="6">
        <v>12000</v>
      </c>
      <c r="D42886" s="7">
        <v>12.53</v>
      </c>
      <c r="E42886" t="s">
        <v>31</v>
      </c>
    </row>
    <row r="42887" spans="1:5" x14ac:dyDescent="0.25">
      <c r="A42887" t="str">
        <f>HYPERLINK("https://www.773grp.com/globalSearch/MC10E131FNG/page-1", "MC10E131FNG")</f>
        <v>MC10E131FNG</v>
      </c>
      <c r="B42887" s="3" t="str">
        <f>HYPERLINK("https://www.773grp.com/manufacturer/onsemi?pageNo=129", "ON Semiconductor")</f>
        <v>ON Semiconductor</v>
      </c>
      <c r="C42887" s="6">
        <v>704</v>
      </c>
      <c r="D42887" s="7">
        <v>12.53</v>
      </c>
      <c r="E42887" t="s">
        <v>35</v>
      </c>
    </row>
    <row r="42888" spans="1:5" x14ac:dyDescent="0.25">
      <c r="A42888" t="str">
        <f>HYPERLINK("https://www.773grp.com/globalSearch/MC10E131FNR2G/page-1", "MC10E131FNR2G")</f>
        <v>MC10E131FNR2G</v>
      </c>
      <c r="B42888" s="3" t="str">
        <f>HYPERLINK("https://www.773grp.com/manufacturer/onsemi?pageNo=130", "ON Semiconductor")</f>
        <v>ON Semiconductor</v>
      </c>
      <c r="C42888" s="6">
        <v>1981</v>
      </c>
      <c r="D42888" s="7">
        <v>12.53</v>
      </c>
      <c r="E42888" t="s">
        <v>35</v>
      </c>
    </row>
    <row r="42889" spans="1:5" x14ac:dyDescent="0.25">
      <c r="A42889" t="str">
        <f>HYPERLINK("https://www.773grp.com/globalSearch/MC10E136FNG/page-1", "MC10E136FNG")</f>
        <v>MC10E136FNG</v>
      </c>
      <c r="B42889" s="3" t="str">
        <f>HYPERLINK("https://www.773grp.com/manufacturer/onsemi?pageNo=131", "ON Semiconductor")</f>
        <v>ON Semiconductor</v>
      </c>
      <c r="C42889" s="6">
        <v>2617</v>
      </c>
      <c r="D42889" s="7">
        <v>12.53</v>
      </c>
      <c r="E42889" t="s">
        <v>26</v>
      </c>
    </row>
    <row r="42890" spans="1:5" x14ac:dyDescent="0.25">
      <c r="A42890" t="str">
        <f>HYPERLINK("https://www.773grp.com/globalSearch/MC10E136FNR2G/page-1", "MC10E136FNR2G")</f>
        <v>MC10E136FNR2G</v>
      </c>
      <c r="B42890" s="3" t="str">
        <f>HYPERLINK("https://www.773grp.com/manufacturer/onsemi?pageNo=132", "ON Semiconductor")</f>
        <v>ON Semiconductor</v>
      </c>
      <c r="C42890" s="6">
        <v>1426</v>
      </c>
      <c r="D42890" s="7">
        <v>12.53</v>
      </c>
      <c r="E42890" t="s">
        <v>26</v>
      </c>
    </row>
    <row r="42891" spans="1:5" x14ac:dyDescent="0.25">
      <c r="A42891" t="str">
        <f>HYPERLINK("https://www.773grp.com/globalSearch/MC10E137FNG/page-1", "MC10E137FNG")</f>
        <v>MC10E137FNG</v>
      </c>
      <c r="B42891" s="3" t="str">
        <f>HYPERLINK("https://www.773grp.com/manufacturer/onsemi?pageNo=133", "ON Semiconductor")</f>
        <v>ON Semiconductor</v>
      </c>
      <c r="C42891" s="6">
        <v>6743</v>
      </c>
      <c r="D42891" s="7">
        <v>12.53</v>
      </c>
      <c r="E42891" t="s">
        <v>26</v>
      </c>
    </row>
    <row r="42892" spans="1:5" x14ac:dyDescent="0.25">
      <c r="A42892" t="str">
        <f>HYPERLINK("https://www.773grp.com/globalSearch/MC10E137FNR2G/page-1", "MC10E137FNR2G")</f>
        <v>MC10E137FNR2G</v>
      </c>
      <c r="B42892" s="3" t="str">
        <f>HYPERLINK("https://www.773grp.com/manufacturer/onsemi?pageNo=134", "ON Semiconductor")</f>
        <v>ON Semiconductor</v>
      </c>
      <c r="C42892" s="6">
        <v>4475</v>
      </c>
      <c r="D42892" s="7">
        <v>12.53</v>
      </c>
      <c r="E42892" t="s">
        <v>26</v>
      </c>
    </row>
    <row r="42893" spans="1:5" x14ac:dyDescent="0.25">
      <c r="A42893" t="str">
        <f>HYPERLINK("https://www.773grp.com/globalSearch/MC10E141FNG/page-1", "MC10E141FNG")</f>
        <v>MC10E141FNG</v>
      </c>
      <c r="B42893" s="3" t="str">
        <f>HYPERLINK("https://www.773grp.com/manufacturer/onsemi?pageNo=135", "ON Semiconductor")</f>
        <v>ON Semiconductor</v>
      </c>
      <c r="C42893" s="6">
        <v>27</v>
      </c>
      <c r="D42893" s="7">
        <v>12.53</v>
      </c>
      <c r="E42893" t="s">
        <v>32</v>
      </c>
    </row>
    <row r="42894" spans="1:5" x14ac:dyDescent="0.25">
      <c r="A42894" t="str">
        <f>HYPERLINK("https://www.773grp.com/globalSearch/MC10E141FNR2G/page-1", "MC10E141FNR2G")</f>
        <v>MC10E141FNR2G</v>
      </c>
      <c r="B42894" s="3" t="str">
        <f>HYPERLINK("https://www.773grp.com/manufacturer/onsemi?pageNo=136", "ON Semiconductor")</f>
        <v>ON Semiconductor</v>
      </c>
      <c r="C42894" s="6">
        <v>5000</v>
      </c>
      <c r="D42894" s="7">
        <v>12.53</v>
      </c>
      <c r="E42894" t="s">
        <v>32</v>
      </c>
    </row>
    <row r="42895" spans="1:5" x14ac:dyDescent="0.25">
      <c r="A42895" t="str">
        <f>HYPERLINK("https://www.773grp.com/globalSearch/MC10E142FNG/page-1", "MC10E142FNG")</f>
        <v>MC10E142FNG</v>
      </c>
      <c r="B42895" s="3" t="str">
        <f>HYPERLINK("https://www.773grp.com/manufacturer/onsemi?pageNo=137", "ON Semiconductor")</f>
        <v>ON Semiconductor</v>
      </c>
      <c r="C42895" s="6">
        <v>326</v>
      </c>
      <c r="D42895" s="7">
        <v>12.53</v>
      </c>
      <c r="E42895" t="s">
        <v>32</v>
      </c>
    </row>
    <row r="42896" spans="1:5" x14ac:dyDescent="0.25">
      <c r="A42896" t="str">
        <f>HYPERLINK("https://www.773grp.com/globalSearch/MC10E142FNR2G/page-1", "MC10E142FNR2G")</f>
        <v>MC10E142FNR2G</v>
      </c>
      <c r="B42896" s="3" t="str">
        <f>HYPERLINK("https://www.773grp.com/manufacturer/onsemi?pageNo=138", "ON Semiconductor")</f>
        <v>ON Semiconductor</v>
      </c>
      <c r="C42896" s="6">
        <v>2862</v>
      </c>
      <c r="D42896" s="7">
        <v>12.53</v>
      </c>
      <c r="E42896" t="s">
        <v>32</v>
      </c>
    </row>
    <row r="42897" spans="1:5" x14ac:dyDescent="0.25">
      <c r="A42897" t="str">
        <f>HYPERLINK("https://www.773grp.com/globalSearch/MC10E143FNR2G/page-1", "MC10E143FNR2G")</f>
        <v>MC10E143FNR2G</v>
      </c>
      <c r="B42897" s="3" t="str">
        <f>HYPERLINK("https://www.773grp.com/manufacturer/onsemi?pageNo=139", "ON Semiconductor")</f>
        <v>ON Semiconductor</v>
      </c>
      <c r="C42897" s="6">
        <v>583</v>
      </c>
      <c r="D42897" s="7">
        <v>12.53</v>
      </c>
    </row>
    <row r="42898" spans="1:5" x14ac:dyDescent="0.25">
      <c r="A42898" t="str">
        <f>HYPERLINK("https://www.773grp.com/globalSearch/MC10E150FNG/page-1", "MC10E150FNG")</f>
        <v>MC10E150FNG</v>
      </c>
      <c r="B42898" s="3" t="str">
        <f>HYPERLINK("https://www.773grp.com/manufacturer/onsemi?pageNo=140", "ON Semiconductor")</f>
        <v>ON Semiconductor</v>
      </c>
      <c r="C42898" s="6">
        <v>4366</v>
      </c>
      <c r="D42898" s="7">
        <v>12.53</v>
      </c>
      <c r="E42898" t="s">
        <v>35</v>
      </c>
    </row>
    <row r="42899" spans="1:5" x14ac:dyDescent="0.25">
      <c r="A42899" t="str">
        <f>HYPERLINK("https://www.773grp.com/globalSearch/MC10E151FNG/page-1", "MC10E151FNG")</f>
        <v>MC10E151FNG</v>
      </c>
      <c r="B42899" s="3" t="str">
        <f>HYPERLINK("https://www.773grp.com/manufacturer/onsemi?pageNo=141", "ON Semiconductor")</f>
        <v>ON Semiconductor</v>
      </c>
      <c r="C42899" s="6">
        <v>2609</v>
      </c>
      <c r="D42899" s="7">
        <v>12.53</v>
      </c>
      <c r="E42899" t="s">
        <v>35</v>
      </c>
    </row>
    <row r="42900" spans="1:5" x14ac:dyDescent="0.25">
      <c r="A42900" t="str">
        <f>HYPERLINK("https://www.773grp.com/globalSearch/MC10E151FNR2G/page-1", "MC10E151FNR2G")</f>
        <v>MC10E151FNR2G</v>
      </c>
      <c r="B42900" s="3" t="str">
        <f>HYPERLINK("https://www.773grp.com/manufacturer/onsemi?pageNo=142", "ON Semiconductor")</f>
        <v>ON Semiconductor</v>
      </c>
      <c r="C42900" s="6">
        <v>15092</v>
      </c>
      <c r="D42900" s="7">
        <v>12.53</v>
      </c>
      <c r="E42900" t="s">
        <v>35</v>
      </c>
    </row>
    <row r="42901" spans="1:5" x14ac:dyDescent="0.25">
      <c r="A42901" t="str">
        <f>HYPERLINK("https://www.773grp.com/globalSearch/MC10E154FNG/page-1", "MC10E154FNG")</f>
        <v>MC10E154FNG</v>
      </c>
      <c r="B42901" s="3" t="str">
        <f>HYPERLINK("https://www.773grp.com/manufacturer/onsemi?pageNo=143", "ON Semiconductor")</f>
        <v>ON Semiconductor</v>
      </c>
      <c r="C42901" s="6">
        <v>1863</v>
      </c>
      <c r="D42901" s="7">
        <v>12.53</v>
      </c>
      <c r="E42901" t="s">
        <v>35</v>
      </c>
    </row>
    <row r="42902" spans="1:5" x14ac:dyDescent="0.25">
      <c r="A42902" t="str">
        <f>HYPERLINK("https://www.773grp.com/globalSearch/MC10E154FNR2G/page-1", "MC10E154FNR2G")</f>
        <v>MC10E154FNR2G</v>
      </c>
      <c r="B42902" s="3" t="str">
        <f>HYPERLINK("https://www.773grp.com/manufacturer/onsemi?pageNo=144", "ON Semiconductor")</f>
        <v>ON Semiconductor</v>
      </c>
      <c r="C42902" s="6">
        <v>232</v>
      </c>
      <c r="D42902" s="7">
        <v>12.53</v>
      </c>
      <c r="E42902" t="s">
        <v>35</v>
      </c>
    </row>
    <row r="42903" spans="1:5" x14ac:dyDescent="0.25">
      <c r="A42903" t="str">
        <f>HYPERLINK("https://www.773grp.com/globalSearch/MC10E155FNR2G/page-1", "MC10E155FNR2G")</f>
        <v>MC10E155FNR2G</v>
      </c>
      <c r="B42903" s="3" t="str">
        <f>HYPERLINK("https://www.773grp.com/manufacturer/onsemi?pageNo=145", "ON Semiconductor")</f>
        <v>ON Semiconductor</v>
      </c>
      <c r="C42903" s="6">
        <v>2000</v>
      </c>
      <c r="D42903" s="7">
        <v>12.53</v>
      </c>
      <c r="E42903" t="s">
        <v>35</v>
      </c>
    </row>
    <row r="42904" spans="1:5" x14ac:dyDescent="0.25">
      <c r="A42904" t="str">
        <f>HYPERLINK("https://www.773grp.com/globalSearch/MC10E156FNG/page-1", "MC10E156FNG")</f>
        <v>MC10E156FNG</v>
      </c>
      <c r="B42904" s="3" t="str">
        <f>HYPERLINK("https://www.773grp.com/manufacturer/onsemi?pageNo=146", "ON Semiconductor")</f>
        <v>ON Semiconductor</v>
      </c>
      <c r="C42904" s="6">
        <v>2463</v>
      </c>
      <c r="D42904" s="7">
        <v>12.53</v>
      </c>
      <c r="E42904" t="s">
        <v>35</v>
      </c>
    </row>
    <row r="42905" spans="1:5" x14ac:dyDescent="0.25">
      <c r="A42905" t="str">
        <f>HYPERLINK("https://www.773grp.com/globalSearch/MC10E156FNR2G/page-1", "MC10E156FNR2G")</f>
        <v>MC10E156FNR2G</v>
      </c>
      <c r="B42905" s="3" t="str">
        <f>HYPERLINK("https://www.773grp.com/manufacturer/onsemi?pageNo=147", "ON Semiconductor")</f>
        <v>ON Semiconductor</v>
      </c>
      <c r="C42905" s="6">
        <v>232</v>
      </c>
      <c r="D42905" s="7">
        <v>12.53</v>
      </c>
      <c r="E42905" t="s">
        <v>35</v>
      </c>
    </row>
    <row r="42906" spans="1:5" x14ac:dyDescent="0.25">
      <c r="A42906" t="str">
        <f>HYPERLINK("https://www.773grp.com/globalSearch/MC10E157FNG/page-1", "MC10E157FNG")</f>
        <v>MC10E157FNG</v>
      </c>
      <c r="B42906" s="3" t="str">
        <f>HYPERLINK("https://www.773grp.com/manufacturer/onsemi?pageNo=148", "ON Semiconductor")</f>
        <v>ON Semiconductor</v>
      </c>
      <c r="C42906" s="6">
        <v>3504</v>
      </c>
      <c r="D42906" s="7">
        <v>12.53</v>
      </c>
      <c r="E42906" t="s">
        <v>20</v>
      </c>
    </row>
    <row r="42907" spans="1:5" x14ac:dyDescent="0.25">
      <c r="A42907" t="str">
        <f>HYPERLINK("https://www.773grp.com/globalSearch/MC10E158FNG/page-1", "MC10E158FNG")</f>
        <v>MC10E158FNG</v>
      </c>
      <c r="B42907" s="3" t="str">
        <f>HYPERLINK("https://www.773grp.com/manufacturer/onsemi?pageNo=149", "ON Semiconductor")</f>
        <v>ON Semiconductor</v>
      </c>
      <c r="C42907" s="6">
        <v>1898</v>
      </c>
      <c r="D42907" s="7">
        <v>12.53</v>
      </c>
      <c r="E42907" t="s">
        <v>20</v>
      </c>
    </row>
    <row r="42908" spans="1:5" x14ac:dyDescent="0.25">
      <c r="A42908" t="str">
        <f>HYPERLINK("https://www.773grp.com/globalSearch/MC10E158FNR2G/page-1", "MC10E158FNR2G")</f>
        <v>MC10E158FNR2G</v>
      </c>
      <c r="B42908" s="3" t="str">
        <f>HYPERLINK("https://www.773grp.com/manufacturer/onsemi?pageNo=150", "ON Semiconductor")</f>
        <v>ON Semiconductor</v>
      </c>
      <c r="C42908" s="6">
        <v>1278</v>
      </c>
      <c r="D42908" s="7">
        <v>12.53</v>
      </c>
      <c r="E42908" t="s">
        <v>20</v>
      </c>
    </row>
    <row r="42909" spans="1:5" x14ac:dyDescent="0.25">
      <c r="A42909" t="str">
        <f>HYPERLINK("https://www.773grp.com/globalSearch/MC10E163FNR2G/page-1", "MC10E163FNR2G")</f>
        <v>MC10E163FNR2G</v>
      </c>
      <c r="B42909" s="3" t="str">
        <f>HYPERLINK("https://www.773grp.com/manufacturer/onsemi?pageNo=151", "ON Semiconductor")</f>
        <v>ON Semiconductor</v>
      </c>
      <c r="C42909" s="6">
        <v>981</v>
      </c>
      <c r="D42909" s="7">
        <v>12.53</v>
      </c>
      <c r="E42909" t="s">
        <v>20</v>
      </c>
    </row>
    <row r="42910" spans="1:5" x14ac:dyDescent="0.25">
      <c r="A42910" t="str">
        <f>HYPERLINK("https://www.773grp.com/globalSearch/MC10E164FNG/page-1", "MC10E164FNG")</f>
        <v>MC10E164FNG</v>
      </c>
      <c r="B42910" s="3" t="str">
        <f>HYPERLINK("https://www.773grp.com/manufacturer/onsemi?pageNo=152", "ON Semiconductor")</f>
        <v>ON Semiconductor</v>
      </c>
      <c r="C42910" s="6">
        <v>8264</v>
      </c>
      <c r="D42910" s="7">
        <v>12.53</v>
      </c>
      <c r="E42910" t="s">
        <v>20</v>
      </c>
    </row>
    <row r="42911" spans="1:5" x14ac:dyDescent="0.25">
      <c r="A42911" t="str">
        <f>HYPERLINK("https://www.773grp.com/globalSearch/MC10E164FNR2G/page-1", "MC10E164FNR2G")</f>
        <v>MC10E164FNR2G</v>
      </c>
      <c r="B42911" s="3" t="str">
        <f>HYPERLINK("https://www.773grp.com/manufacturer/onsemi?pageNo=153", "ON Semiconductor")</f>
        <v>ON Semiconductor</v>
      </c>
      <c r="C42911" s="6">
        <v>1000</v>
      </c>
      <c r="D42911" s="7">
        <v>12.53</v>
      </c>
      <c r="E42911" t="s">
        <v>20</v>
      </c>
    </row>
    <row r="42912" spans="1:5" x14ac:dyDescent="0.25">
      <c r="A42912" t="str">
        <f>HYPERLINK("https://www.773grp.com/globalSearch/MC10E167FNG/page-1", "MC10E167FNG")</f>
        <v>MC10E167FNG</v>
      </c>
      <c r="B42912" s="3" t="str">
        <f>HYPERLINK("https://www.773grp.com/manufacturer/onsemi?pageNo=154", "ON Semiconductor")</f>
        <v>ON Semiconductor</v>
      </c>
      <c r="C42912" s="6">
        <v>2015</v>
      </c>
      <c r="D42912" s="7">
        <v>12.53</v>
      </c>
      <c r="E42912" t="s">
        <v>35</v>
      </c>
    </row>
    <row r="42913" spans="1:5" x14ac:dyDescent="0.25">
      <c r="A42913" t="str">
        <f>HYPERLINK("https://www.773grp.com/globalSearch/MC10E171FNG/page-1", "MC10E171FNG")</f>
        <v>MC10E171FNG</v>
      </c>
      <c r="B42913" s="3" t="str">
        <f>HYPERLINK("https://www.773grp.com/manufacturer/onsemi?pageNo=155", "ON Semiconductor")</f>
        <v>ON Semiconductor</v>
      </c>
      <c r="C42913" s="6">
        <v>444</v>
      </c>
      <c r="D42913" s="7">
        <v>12.53</v>
      </c>
      <c r="E42913" t="s">
        <v>20</v>
      </c>
    </row>
    <row r="42914" spans="1:5" x14ac:dyDescent="0.25">
      <c r="A42914" t="str">
        <f>HYPERLINK("https://www.773grp.com/globalSearch/MC10E175FNG/page-1", "MC10E175FNG")</f>
        <v>MC10E175FNG</v>
      </c>
      <c r="B42914" s="3" t="str">
        <f>HYPERLINK("https://www.773grp.com/manufacturer/onsemi?pageNo=156", "ON Semiconductor")</f>
        <v>ON Semiconductor</v>
      </c>
      <c r="C42914" s="6">
        <v>1850</v>
      </c>
      <c r="D42914" s="7">
        <v>12.53</v>
      </c>
      <c r="E42914" t="s">
        <v>35</v>
      </c>
    </row>
    <row r="42915" spans="1:5" x14ac:dyDescent="0.25">
      <c r="A42915" t="str">
        <f>HYPERLINK("https://www.773grp.com/globalSearch/MC10E175FNR2G/page-1", "MC10E175FNR2G")</f>
        <v>MC10E175FNR2G</v>
      </c>
      <c r="B42915" s="3" t="str">
        <f>HYPERLINK("https://www.773grp.com/manufacturer/onsemi?pageNo=157", "ON Semiconductor")</f>
        <v>ON Semiconductor</v>
      </c>
      <c r="C42915" s="6">
        <v>1460</v>
      </c>
      <c r="D42915" s="7">
        <v>12.53</v>
      </c>
      <c r="E42915" t="s">
        <v>35</v>
      </c>
    </row>
    <row r="42916" spans="1:5" x14ac:dyDescent="0.25">
      <c r="A42916" t="str">
        <f>HYPERLINK("https://www.773grp.com/globalSearch/MC10E195FNR2G/page-1", "MC10E195FNR2G")</f>
        <v>MC10E195FNR2G</v>
      </c>
      <c r="B42916" s="3" t="str">
        <f>HYPERLINK("https://www.773grp.com/manufacturer/onsemi?pageNo=158", "ON Semiconductor")</f>
        <v>ON Semiconductor</v>
      </c>
      <c r="C42916" s="6">
        <v>729</v>
      </c>
      <c r="D42916" s="7">
        <v>12.53</v>
      </c>
      <c r="E42916" t="s">
        <v>119</v>
      </c>
    </row>
    <row r="42917" spans="1:5" x14ac:dyDescent="0.25">
      <c r="A42917" t="str">
        <f>HYPERLINK("https://www.773grp.com/globalSearch/MC10E196FNG/page-1", "MC10E196FNG")</f>
        <v>MC10E196FNG</v>
      </c>
      <c r="B42917" s="3" t="str">
        <f>HYPERLINK("https://www.773grp.com/manufacturer/onsemi?pageNo=159", "ON Semiconductor")</f>
        <v>ON Semiconductor</v>
      </c>
      <c r="C42917" s="6">
        <v>752</v>
      </c>
      <c r="D42917" s="7">
        <v>12.53</v>
      </c>
      <c r="E42917" t="s">
        <v>119</v>
      </c>
    </row>
    <row r="42918" spans="1:5" x14ac:dyDescent="0.25">
      <c r="A42918" t="str">
        <f>HYPERLINK("https://www.773grp.com/globalSearch/MC10E404FNG/page-1", "MC10E404FNG")</f>
        <v>MC10E404FNG</v>
      </c>
      <c r="B42918" s="3" t="str">
        <f>HYPERLINK("https://www.773grp.com/manufacturer/onsemi?pageNo=160", "ON Semiconductor")</f>
        <v>ON Semiconductor</v>
      </c>
      <c r="C42918" s="6">
        <v>864</v>
      </c>
      <c r="D42918" s="7">
        <v>12.53</v>
      </c>
      <c r="E42918" t="s">
        <v>31</v>
      </c>
    </row>
    <row r="42919" spans="1:5" x14ac:dyDescent="0.25">
      <c r="A42919" t="str">
        <f>HYPERLINK("https://www.773grp.com/globalSearch/MC10E404FNR2G/page-1", "MC10E404FNR2G")</f>
        <v>MC10E404FNR2G</v>
      </c>
      <c r="B42919" s="3" t="str">
        <f>HYPERLINK("https://www.773grp.com/manufacturer/onsemi?pageNo=161", "ON Semiconductor")</f>
        <v>ON Semiconductor</v>
      </c>
      <c r="C42919" s="6">
        <v>1000</v>
      </c>
      <c r="D42919" s="7">
        <v>12.53</v>
      </c>
      <c r="E42919" t="s">
        <v>31</v>
      </c>
    </row>
    <row r="42920" spans="1:5" x14ac:dyDescent="0.25">
      <c r="A42920" t="str">
        <f>HYPERLINK("https://www.773grp.com/globalSearch/MC10E416FNG/page-1", "MC10E416FNG")</f>
        <v>MC10E416FNG</v>
      </c>
      <c r="B42920" s="3" t="str">
        <f>HYPERLINK("https://www.773grp.com/manufacturer/onsemi?pageNo=162", "ON Semiconductor")</f>
        <v>ON Semiconductor</v>
      </c>
      <c r="C42920" s="6">
        <v>1958</v>
      </c>
      <c r="D42920" s="7">
        <v>12.53</v>
      </c>
      <c r="E42920" t="s">
        <v>21</v>
      </c>
    </row>
    <row r="42921" spans="1:5" x14ac:dyDescent="0.25">
      <c r="A42921" t="str">
        <f>HYPERLINK("https://www.773grp.com/globalSearch/MC10E416FNR2G/page-1", "MC10E416FNR2G")</f>
        <v>MC10E416FNR2G</v>
      </c>
      <c r="B42921" s="3" t="str">
        <f>HYPERLINK("https://www.773grp.com/manufacturer/onsemi?pageNo=163", "ON Semiconductor")</f>
        <v>ON Semiconductor</v>
      </c>
      <c r="C42921" s="6">
        <v>500</v>
      </c>
      <c r="D42921" s="7">
        <v>12.53</v>
      </c>
      <c r="E42921" t="s">
        <v>21</v>
      </c>
    </row>
    <row r="42922" spans="1:5" x14ac:dyDescent="0.25">
      <c r="A42922" t="str">
        <f>HYPERLINK("https://www.773grp.com/globalSearch/MC10E431FNG/page-1", "MC10E431FNG")</f>
        <v>MC10E431FNG</v>
      </c>
      <c r="B42922" s="3" t="str">
        <f>HYPERLINK("https://www.773grp.com/manufacturer/onsemi?pageNo=164", "ON Semiconductor")</f>
        <v>ON Semiconductor</v>
      </c>
      <c r="C42922" s="6">
        <v>311</v>
      </c>
      <c r="D42922" s="7">
        <v>12.53</v>
      </c>
      <c r="E42922" t="s">
        <v>35</v>
      </c>
    </row>
    <row r="42923" spans="1:5" x14ac:dyDescent="0.25">
      <c r="A42923" t="str">
        <f>HYPERLINK("https://www.773grp.com/globalSearch/MC10E431FNR2G/page-1", "MC10E431FNR2G")</f>
        <v>MC10E431FNR2G</v>
      </c>
      <c r="B42923" s="3" t="str">
        <f>HYPERLINK("https://www.773grp.com/manufacturer/onsemi?pageNo=165", "ON Semiconductor")</f>
        <v>ON Semiconductor</v>
      </c>
      <c r="C42923" s="6">
        <v>1500</v>
      </c>
      <c r="D42923" s="7">
        <v>12.53</v>
      </c>
      <c r="E42923" t="s">
        <v>35</v>
      </c>
    </row>
    <row r="42924" spans="1:5" x14ac:dyDescent="0.25">
      <c r="A42924" t="str">
        <f>HYPERLINK("https://www.773grp.com/globalSearch/MC10E446FNG/page-1", "MC10E446FNG")</f>
        <v>MC10E446FNG</v>
      </c>
      <c r="B42924" s="3" t="str">
        <f>HYPERLINK("https://www.773grp.com/manufacturer/onsemi?pageNo=166", "ON Semiconductor")</f>
        <v>ON Semiconductor</v>
      </c>
      <c r="C42924" s="6">
        <v>111</v>
      </c>
      <c r="D42924" s="7">
        <v>12.53</v>
      </c>
      <c r="E42924" t="s">
        <v>32</v>
      </c>
    </row>
    <row r="42925" spans="1:5" x14ac:dyDescent="0.25">
      <c r="A42925" t="str">
        <f>HYPERLINK("https://www.773grp.com/globalSearch/MC10E446FNR2G/page-1", "MC10E446FNR2G")</f>
        <v>MC10E446FNR2G</v>
      </c>
      <c r="B42925" s="3" t="str">
        <f>HYPERLINK("https://www.773grp.com/manufacturer/onsemi?pageNo=167", "ON Semiconductor")</f>
        <v>ON Semiconductor</v>
      </c>
      <c r="C42925" s="6">
        <v>1000</v>
      </c>
      <c r="D42925" s="7">
        <v>12.53</v>
      </c>
      <c r="E42925" t="s">
        <v>32</v>
      </c>
    </row>
    <row r="42926" spans="1:5" x14ac:dyDescent="0.25">
      <c r="A42926" t="str">
        <f>HYPERLINK("https://www.773grp.com/globalSearch/MC10E451FNG/page-1", "MC10E451FNG")</f>
        <v>MC10E451FNG</v>
      </c>
      <c r="B42926" s="3" t="str">
        <f>HYPERLINK("https://www.773grp.com/manufacturer/onsemi?pageNo=168", "ON Semiconductor")</f>
        <v>ON Semiconductor</v>
      </c>
      <c r="C42926" s="6">
        <v>1888</v>
      </c>
      <c r="D42926" s="7">
        <v>12.53</v>
      </c>
      <c r="E42926" t="s">
        <v>35</v>
      </c>
    </row>
    <row r="42927" spans="1:5" x14ac:dyDescent="0.25">
      <c r="A42927" t="str">
        <f>HYPERLINK("https://www.773grp.com/globalSearch/MC10E451FNR2G/page-1", "MC10E451FNR2G")</f>
        <v>MC10E451FNR2G</v>
      </c>
      <c r="B42927" s="3" t="str">
        <f>HYPERLINK("https://www.773grp.com/manufacturer/onsemi?pageNo=169", "ON Semiconductor")</f>
        <v>ON Semiconductor</v>
      </c>
      <c r="C42927" s="6">
        <v>1500</v>
      </c>
      <c r="D42927" s="7">
        <v>12.53</v>
      </c>
      <c r="E42927" t="s">
        <v>35</v>
      </c>
    </row>
    <row r="42928" spans="1:5" x14ac:dyDescent="0.25">
      <c r="A42928" t="str">
        <f>HYPERLINK("https://www.773grp.com/globalSearch/MC10E452FNR2G/page-1", "MC10E452FNR2G")</f>
        <v>MC10E452FNR2G</v>
      </c>
      <c r="B42928" s="3" t="str">
        <f>HYPERLINK("https://www.773grp.com/manufacturer/onsemi?pageNo=170", "ON Semiconductor")</f>
        <v>ON Semiconductor</v>
      </c>
      <c r="C42928" s="6">
        <v>2601</v>
      </c>
      <c r="D42928" s="7">
        <v>12.53</v>
      </c>
      <c r="E42928" t="s">
        <v>35</v>
      </c>
    </row>
    <row r="42929" spans="1:5" x14ac:dyDescent="0.25">
      <c r="A42929" t="str">
        <f>HYPERLINK("https://www.773grp.com/globalSearch/MC10E457FNR2G/page-1", "MC10E457FNR2G")</f>
        <v>MC10E457FNR2G</v>
      </c>
      <c r="B42929" s="3" t="str">
        <f>HYPERLINK("https://www.773grp.com/manufacturer/onsemi?pageNo=171", "ON Semiconductor")</f>
        <v>ON Semiconductor</v>
      </c>
      <c r="C42929" s="6">
        <v>998</v>
      </c>
      <c r="D42929" s="7">
        <v>12.53</v>
      </c>
      <c r="E42929" t="s">
        <v>20</v>
      </c>
    </row>
    <row r="42930" spans="1:5" x14ac:dyDescent="0.25">
      <c r="A42930" t="str">
        <f>HYPERLINK("https://www.773grp.com/globalSearch/MC10EP56DTG/page-1", "MC10EP56DTG")</f>
        <v>MC10EP56DTG</v>
      </c>
      <c r="B42930" s="3" t="str">
        <f>HYPERLINK("https://www.773grp.com/manufacturer/onsemi?pageNo=172", "ON Semiconductor")</f>
        <v>ON Semiconductor</v>
      </c>
      <c r="C42930" s="6">
        <v>1350</v>
      </c>
      <c r="D42930" s="7">
        <v>12.53</v>
      </c>
      <c r="E42930" t="s">
        <v>20</v>
      </c>
    </row>
    <row r="42931" spans="1:5" x14ac:dyDescent="0.25">
      <c r="A42931" t="str">
        <f>HYPERLINK("https://www.773grp.com/globalSearch/MC10EP56MNG/page-1", "MC10EP56MNG")</f>
        <v>MC10EP56MNG</v>
      </c>
      <c r="B42931" s="3" t="str">
        <f>HYPERLINK("https://www.773grp.com/manufacturer/onsemi?pageNo=173", "ON Semiconductor")</f>
        <v>ON Semiconductor</v>
      </c>
      <c r="C42931" s="6">
        <v>4500</v>
      </c>
      <c r="D42931" s="7">
        <v>12.53</v>
      </c>
      <c r="E42931" t="s">
        <v>20</v>
      </c>
    </row>
    <row r="42932" spans="1:5" x14ac:dyDescent="0.25">
      <c r="A42932" t="str">
        <f>HYPERLINK("https://www.773grp.com/globalSearch/MC1672L/page-1", "MC1672L")</f>
        <v>MC1672L</v>
      </c>
      <c r="B42932" s="3" t="str">
        <f>HYPERLINK("https://www.773grp.com/manufacturer/onsemi?pageNo=174", "ON Semiconductor")</f>
        <v>ON Semiconductor</v>
      </c>
      <c r="C42932" s="6">
        <v>11</v>
      </c>
      <c r="D42932" s="7">
        <v>12.58</v>
      </c>
      <c r="E42932" t="s">
        <v>31</v>
      </c>
    </row>
    <row r="42933" spans="1:5" x14ac:dyDescent="0.25">
      <c r="A42933" t="str">
        <f>HYPERLINK("https://www.773grp.com/globalSearch/MC1692L/page-1", "MC1692L")</f>
        <v>MC1692L</v>
      </c>
      <c r="B42933" s="3" t="str">
        <f>HYPERLINK("https://www.773grp.com/manufacturer/onsemi?pageNo=175", "ON Semiconductor")</f>
        <v>ON Semiconductor</v>
      </c>
      <c r="C42933" s="6">
        <v>161</v>
      </c>
      <c r="D42933" s="7">
        <v>12.58</v>
      </c>
      <c r="E42933" t="s">
        <v>21</v>
      </c>
    </row>
    <row r="42934" spans="1:5" x14ac:dyDescent="0.25">
      <c r="A42934" t="str">
        <f>HYPERLINK("https://www.773grp.com/globalSearch/BUV21G/page-1", "BUV21G")</f>
        <v>BUV21G</v>
      </c>
      <c r="B42934" s="3" t="str">
        <f>HYPERLINK("https://www.773grp.com/manufacturer/onsemi?pageNo=176", "ON Semiconductor")</f>
        <v>ON Semiconductor</v>
      </c>
      <c r="C42934" s="6">
        <v>139</v>
      </c>
      <c r="D42934" s="7">
        <v>12.6</v>
      </c>
      <c r="E42934" t="s">
        <v>59</v>
      </c>
    </row>
    <row r="42935" spans="1:5" x14ac:dyDescent="0.25">
      <c r="A42935" t="str">
        <f>HYPERLINK("https://www.773grp.com/globalSearch/MC10H176PG/page-1", "MC10H176PG")</f>
        <v>MC10H176PG</v>
      </c>
      <c r="B42935" s="3" t="str">
        <f>HYPERLINK("https://www.773grp.com/manufacturer/onsemi?pageNo=177", "ON Semiconductor")</f>
        <v>ON Semiconductor</v>
      </c>
      <c r="C42935" s="6">
        <v>3660</v>
      </c>
      <c r="D42935" s="7">
        <v>12.6</v>
      </c>
      <c r="E42935" t="s">
        <v>35</v>
      </c>
    </row>
    <row r="42936" spans="1:5" x14ac:dyDescent="0.25">
      <c r="A42936" t="str">
        <f>HYPERLINK("https://www.773grp.com/globalSearch/MC100E104FN/page-1", "MC100E104FN")</f>
        <v>MC100E104FN</v>
      </c>
      <c r="B42936" s="3" t="str">
        <f>HYPERLINK("https://www.773grp.com/manufacturer/onsemi?pageNo=178", "ON Semiconductor")</f>
        <v>ON Semiconductor</v>
      </c>
      <c r="C42936" s="6">
        <v>3794</v>
      </c>
      <c r="D42936" s="7">
        <v>12.66</v>
      </c>
      <c r="E42936" t="s">
        <v>31</v>
      </c>
    </row>
    <row r="42937" spans="1:5" x14ac:dyDescent="0.25">
      <c r="A42937" t="str">
        <f>HYPERLINK("https://www.773grp.com/globalSearch/MC100E107FNG/page-1", "MC100E107FNG")</f>
        <v>MC100E107FNG</v>
      </c>
      <c r="B42937" s="3" t="str">
        <f>HYPERLINK("https://www.773grp.com/manufacturer/onsemi?pageNo=179", "ON Semiconductor")</f>
        <v>ON Semiconductor</v>
      </c>
      <c r="C42937" s="6">
        <v>397</v>
      </c>
      <c r="D42937" s="7">
        <v>12.66</v>
      </c>
      <c r="E42937" t="s">
        <v>31</v>
      </c>
    </row>
    <row r="42938" spans="1:5" x14ac:dyDescent="0.25">
      <c r="A42938" t="str">
        <f>HYPERLINK("https://www.773grp.com/globalSearch/MC100EL14DWR2/page-1", "MC100EL14DWR2")</f>
        <v>MC100EL14DWR2</v>
      </c>
      <c r="B42938" s="3" t="str">
        <f>HYPERLINK("https://www.773grp.com/manufacturer/onsemi?pageNo=180", "ON Semiconductor")</f>
        <v>ON Semiconductor</v>
      </c>
      <c r="C42938" s="6">
        <v>2910</v>
      </c>
      <c r="D42938" s="7">
        <v>12.66</v>
      </c>
      <c r="E42938" t="s">
        <v>34</v>
      </c>
    </row>
    <row r="42939" spans="1:5" x14ac:dyDescent="0.25">
      <c r="A42939" t="str">
        <f>HYPERLINK("https://www.773grp.com/globalSearch/MC100EL91DWR2/page-1", "MC100EL91DWR2")</f>
        <v>MC100EL91DWR2</v>
      </c>
      <c r="B42939" s="3" t="str">
        <f>HYPERLINK("https://www.773grp.com/manufacturer/onsemi?pageNo=181", "ON Semiconductor")</f>
        <v>ON Semiconductor</v>
      </c>
      <c r="C42939" s="6">
        <v>1000</v>
      </c>
      <c r="D42939" s="7">
        <v>12.66</v>
      </c>
      <c r="E42939" t="s">
        <v>73</v>
      </c>
    </row>
    <row r="42940" spans="1:5" x14ac:dyDescent="0.25">
      <c r="A42940" t="str">
        <f>HYPERLINK("https://www.773grp.com/globalSearch/MC100EP16TDG/page-1", "MC100EP16TDG")</f>
        <v>MC100EP16TDG</v>
      </c>
      <c r="B42940" s="3" t="str">
        <f>HYPERLINK("https://www.773grp.com/manufacturer/onsemi?pageNo=182", "ON Semiconductor")</f>
        <v>ON Semiconductor</v>
      </c>
      <c r="C42940" s="6">
        <v>29059</v>
      </c>
      <c r="D42940" s="7">
        <v>12.66</v>
      </c>
      <c r="E42940" t="s">
        <v>21</v>
      </c>
    </row>
    <row r="42941" spans="1:5" x14ac:dyDescent="0.25">
      <c r="A42941" t="str">
        <f>HYPERLINK("https://www.773grp.com/globalSearch/MC100EP16TDTG/page-1", "MC100EP16TDTG")</f>
        <v>MC100EP16TDTG</v>
      </c>
      <c r="B42941" s="3" t="str">
        <f>HYPERLINK("https://www.773grp.com/manufacturer/onsemi?pageNo=183", "ON Semiconductor")</f>
        <v>ON Semiconductor</v>
      </c>
      <c r="C42941" s="6">
        <v>9700</v>
      </c>
      <c r="D42941" s="7">
        <v>12.66</v>
      </c>
      <c r="E42941" t="s">
        <v>21</v>
      </c>
    </row>
    <row r="42942" spans="1:5" x14ac:dyDescent="0.25">
      <c r="A42942" t="str">
        <f>HYPERLINK("https://www.773grp.com/globalSearch/MC100EP16TDTR2/page-1", "MC100EP16TDTR2")</f>
        <v>MC100EP16TDTR2</v>
      </c>
      <c r="B42942" s="3" t="str">
        <f>HYPERLINK("https://www.773grp.com/manufacturer/onsemi?pageNo=184", "ON Semiconductor")</f>
        <v>ON Semiconductor</v>
      </c>
      <c r="C42942" s="6">
        <v>15000</v>
      </c>
      <c r="D42942" s="7">
        <v>12.66</v>
      </c>
      <c r="E42942" t="s">
        <v>21</v>
      </c>
    </row>
    <row r="42943" spans="1:5" x14ac:dyDescent="0.25">
      <c r="A42943" t="str">
        <f>HYPERLINK("https://www.773grp.com/globalSearch/MC100EP16TMNR4G/page-1", "MC100EP16TMNR4G")</f>
        <v>MC100EP16TMNR4G</v>
      </c>
      <c r="B42943" s="3" t="str">
        <f>HYPERLINK("https://www.773grp.com/manufacturer/onsemi?pageNo=185", "ON Semiconductor")</f>
        <v>ON Semiconductor</v>
      </c>
      <c r="C42943" s="6">
        <v>13750</v>
      </c>
      <c r="D42943" s="7">
        <v>12.66</v>
      </c>
      <c r="E42943" t="s">
        <v>21</v>
      </c>
    </row>
    <row r="42944" spans="1:5" x14ac:dyDescent="0.25">
      <c r="A42944" t="str">
        <f>HYPERLINK("https://www.773grp.com/globalSearch/MC100EP16VTDG/page-1", "MC100EP16VTDG")</f>
        <v>MC100EP16VTDG</v>
      </c>
      <c r="B42944" s="3" t="str">
        <f>HYPERLINK("https://www.773grp.com/manufacturer/onsemi?pageNo=186", "ON Semiconductor")</f>
        <v>ON Semiconductor</v>
      </c>
      <c r="C42944" s="6">
        <v>542</v>
      </c>
      <c r="D42944" s="7">
        <v>12.66</v>
      </c>
      <c r="E42944" t="s">
        <v>21</v>
      </c>
    </row>
    <row r="42945" spans="1:5" x14ac:dyDescent="0.25">
      <c r="A42945" t="str">
        <f>HYPERLINK("https://www.773grp.com/globalSearch/MC100EP16VTDR2G/page-1", "MC100EP16VTDR2G")</f>
        <v>MC100EP16VTDR2G</v>
      </c>
      <c r="B42945" s="3" t="str">
        <f>HYPERLINK("https://www.773grp.com/manufacturer/onsemi?pageNo=187", "ON Semiconductor")</f>
        <v>ON Semiconductor</v>
      </c>
      <c r="C42945" s="6">
        <v>12465</v>
      </c>
      <c r="D42945" s="7">
        <v>12.66</v>
      </c>
      <c r="E42945" t="s">
        <v>21</v>
      </c>
    </row>
    <row r="42946" spans="1:5" x14ac:dyDescent="0.25">
      <c r="A42946" t="str">
        <f>HYPERLINK("https://www.773grp.com/globalSearch/MC100EP16VTDTG/page-1", "MC100EP16VTDTG")</f>
        <v>MC100EP16VTDTG</v>
      </c>
      <c r="B42946" s="3" t="str">
        <f>HYPERLINK("https://www.773grp.com/manufacturer/onsemi?pageNo=188", "ON Semiconductor")</f>
        <v>ON Semiconductor</v>
      </c>
      <c r="C42946" s="6">
        <v>5361</v>
      </c>
      <c r="D42946" s="7">
        <v>12.66</v>
      </c>
      <c r="E42946" t="s">
        <v>21</v>
      </c>
    </row>
    <row r="42947" spans="1:5" x14ac:dyDescent="0.25">
      <c r="A42947" t="str">
        <f>HYPERLINK("https://www.773grp.com/globalSearch/MC100EP16VTDTR2G/page-1", "MC100EP16VTDTR2G")</f>
        <v>MC100EP16VTDTR2G</v>
      </c>
      <c r="B42947" s="3" t="str">
        <f>HYPERLINK("https://www.773grp.com/manufacturer/onsemi?pageNo=189", "ON Semiconductor")</f>
        <v>ON Semiconductor</v>
      </c>
      <c r="C42947" s="6">
        <v>7500</v>
      </c>
      <c r="D42947" s="7">
        <v>12.66</v>
      </c>
      <c r="E42947" t="s">
        <v>21</v>
      </c>
    </row>
    <row r="42948" spans="1:5" x14ac:dyDescent="0.25">
      <c r="A42948" t="str">
        <f>HYPERLINK("https://www.773grp.com/globalSearch/MC100EP56DTG/page-1", "MC100EP56DTG")</f>
        <v>MC100EP56DTG</v>
      </c>
      <c r="B42948" s="3" t="str">
        <f>HYPERLINK("https://www.773grp.com/manufacturer/onsemi?pageNo=190", "ON Semiconductor")</f>
        <v>ON Semiconductor</v>
      </c>
      <c r="C42948" s="6">
        <v>1650</v>
      </c>
      <c r="D42948" s="7">
        <v>12.66</v>
      </c>
    </row>
    <row r="42949" spans="1:5" x14ac:dyDescent="0.25">
      <c r="A42949" t="str">
        <f>HYPERLINK("https://www.773grp.com/globalSearch/MC100EP56DTR2G/page-1", "MC100EP56DTR2G")</f>
        <v>MC100EP56DTR2G</v>
      </c>
      <c r="B42949" s="3" t="str">
        <f>HYPERLINK("https://www.773grp.com/manufacturer/onsemi?pageNo=191", "ON Semiconductor")</f>
        <v>ON Semiconductor</v>
      </c>
      <c r="C42949" s="6">
        <v>5000</v>
      </c>
      <c r="D42949" s="7">
        <v>12.66</v>
      </c>
    </row>
    <row r="42950" spans="1:5" x14ac:dyDescent="0.25">
      <c r="A42950" t="str">
        <f>HYPERLINK("https://www.773grp.com/globalSearch/MC100H646FNG/page-1", "MC100H646FNG")</f>
        <v>MC100H646FNG</v>
      </c>
      <c r="B42950" s="3" t="str">
        <f>HYPERLINK("https://www.773grp.com/manufacturer/onsemi?pageNo=192", "ON Semiconductor")</f>
        <v>ON Semiconductor</v>
      </c>
      <c r="C42950" s="6">
        <v>29</v>
      </c>
      <c r="D42950" s="7">
        <v>12.66</v>
      </c>
      <c r="E42950" t="s">
        <v>34</v>
      </c>
    </row>
    <row r="42951" spans="1:5" x14ac:dyDescent="0.25">
      <c r="A42951" t="str">
        <f>HYPERLINK("https://www.773grp.com/globalSearch/MC100H646FNR2G/page-1", "MC100H646FNR2G")</f>
        <v>MC100H646FNR2G</v>
      </c>
      <c r="B42951" s="3" t="str">
        <f>HYPERLINK("https://www.773grp.com/manufacturer/onsemi?pageNo=193", "ON Semiconductor")</f>
        <v>ON Semiconductor</v>
      </c>
      <c r="C42951" s="6">
        <v>3650</v>
      </c>
      <c r="D42951" s="7">
        <v>12.66</v>
      </c>
      <c r="E42951" t="s">
        <v>34</v>
      </c>
    </row>
    <row r="42952" spans="1:5" x14ac:dyDescent="0.25">
      <c r="A42952" t="str">
        <f>HYPERLINK("https://www.773grp.com/globalSearch/MC100LVEL14DW/page-1", "MC100LVEL14DW")</f>
        <v>MC100LVEL14DW</v>
      </c>
      <c r="B42952" s="3" t="str">
        <f>HYPERLINK("https://www.773grp.com/manufacturer/onsemi?pageNo=194", "ON Semiconductor")</f>
        <v>ON Semiconductor</v>
      </c>
      <c r="C42952" s="6">
        <v>2422</v>
      </c>
      <c r="D42952" s="7">
        <v>12.66</v>
      </c>
    </row>
    <row r="42953" spans="1:5" x14ac:dyDescent="0.25">
      <c r="A42953" t="str">
        <f>HYPERLINK("https://www.773grp.com/globalSearch/MC100LVEL90DW/page-1", "MC100LVEL90DW")</f>
        <v>MC100LVEL90DW</v>
      </c>
      <c r="B42953" s="3" t="str">
        <f>HYPERLINK("https://www.773grp.com/manufacturer/onsemi?pageNo=195", "ON Semiconductor")</f>
        <v>ON Semiconductor</v>
      </c>
      <c r="C42953" s="6">
        <v>5875</v>
      </c>
      <c r="D42953" s="7">
        <v>12.66</v>
      </c>
      <c r="E42953" t="s">
        <v>73</v>
      </c>
    </row>
    <row r="42954" spans="1:5" x14ac:dyDescent="0.25">
      <c r="A42954" t="str">
        <f>HYPERLINK("https://www.773grp.com/globalSearch/MC100LVEL90DWR2/page-1", "MC100LVEL90DWR2")</f>
        <v>MC100LVEL90DWR2</v>
      </c>
      <c r="B42954" s="3" t="str">
        <f>HYPERLINK("https://www.773grp.com/manufacturer/onsemi?pageNo=196", "ON Semiconductor")</f>
        <v>ON Semiconductor</v>
      </c>
      <c r="C42954" s="6">
        <v>1698</v>
      </c>
      <c r="D42954" s="7">
        <v>12.66</v>
      </c>
      <c r="E42954" t="s">
        <v>73</v>
      </c>
    </row>
    <row r="42955" spans="1:5" x14ac:dyDescent="0.25">
      <c r="A42955" t="str">
        <f>HYPERLINK("https://www.773grp.com/globalSearch/MC10EP16TDG/page-1", "MC10EP16TDG")</f>
        <v>MC10EP16TDG</v>
      </c>
      <c r="B42955" s="3" t="str">
        <f>HYPERLINK("https://www.773grp.com/manufacturer/onsemi?pageNo=197", "ON Semiconductor")</f>
        <v>ON Semiconductor</v>
      </c>
      <c r="C42955" s="6">
        <v>1208</v>
      </c>
      <c r="D42955" s="7">
        <v>12.66</v>
      </c>
      <c r="E42955" t="s">
        <v>21</v>
      </c>
    </row>
    <row r="42956" spans="1:5" x14ac:dyDescent="0.25">
      <c r="A42956" t="str">
        <f>HYPERLINK("https://www.773grp.com/globalSearch/MC10EP16TDR2G/page-1", "MC10EP16TDR2G")</f>
        <v>MC10EP16TDR2G</v>
      </c>
      <c r="B42956" s="3" t="str">
        <f>HYPERLINK("https://www.773grp.com/manufacturer/onsemi?pageNo=198", "ON Semiconductor")</f>
        <v>ON Semiconductor</v>
      </c>
      <c r="C42956" s="6">
        <v>15000</v>
      </c>
      <c r="D42956" s="7">
        <v>12.66</v>
      </c>
      <c r="E42956" t="s">
        <v>21</v>
      </c>
    </row>
    <row r="42957" spans="1:5" x14ac:dyDescent="0.25">
      <c r="A42957" t="str">
        <f>HYPERLINK("https://www.773grp.com/globalSearch/MC10EP16TDTG/page-1", "MC10EP16TDTG")</f>
        <v>MC10EP16TDTG</v>
      </c>
      <c r="B42957" s="3" t="str">
        <f>HYPERLINK("https://www.773grp.com/manufacturer/onsemi?pageNo=199", "ON Semiconductor")</f>
        <v>ON Semiconductor</v>
      </c>
      <c r="C42957" s="6">
        <v>2755</v>
      </c>
      <c r="D42957" s="7">
        <v>12.66</v>
      </c>
      <c r="E42957" t="s">
        <v>21</v>
      </c>
    </row>
    <row r="42958" spans="1:5" x14ac:dyDescent="0.25">
      <c r="A42958" t="str">
        <f>HYPERLINK("https://www.773grp.com/globalSearch/MC10EP16TDTR2G/page-1", "MC10EP16TDTR2G")</f>
        <v>MC10EP16TDTR2G</v>
      </c>
      <c r="B42958" s="3" t="str">
        <f>HYPERLINK("https://www.773grp.com/manufacturer/onsemi?pageNo=200", "ON Semiconductor")</f>
        <v>ON Semiconductor</v>
      </c>
      <c r="C42958" s="6">
        <v>2361</v>
      </c>
      <c r="D42958" s="7">
        <v>12.66</v>
      </c>
      <c r="E42958" t="s">
        <v>21</v>
      </c>
    </row>
    <row r="42959" spans="1:5" x14ac:dyDescent="0.25">
      <c r="A42959" t="str">
        <f>HYPERLINK("https://www.773grp.com/globalSearch/MC10H641FNG/page-1", "MC10H641FNG")</f>
        <v>MC10H641FNG</v>
      </c>
      <c r="B42959" s="3" t="str">
        <f>HYPERLINK("https://www.773grp.com/manufacturer/onsemi?pageNo=201", "ON Semiconductor")</f>
        <v>ON Semiconductor</v>
      </c>
      <c r="C42959" s="6">
        <v>929</v>
      </c>
      <c r="D42959" s="7">
        <v>12.66</v>
      </c>
      <c r="E42959" t="s">
        <v>34</v>
      </c>
    </row>
    <row r="42960" spans="1:5" x14ac:dyDescent="0.25">
      <c r="A42960" t="str">
        <f>HYPERLINK("https://www.773grp.com/globalSearch/MC10H641FNR2G/page-1", "MC10H641FNR2G")</f>
        <v>MC10H641FNR2G</v>
      </c>
      <c r="B42960" s="3" t="str">
        <f>HYPERLINK("https://www.773grp.com/manufacturer/onsemi?pageNo=202", "ON Semiconductor")</f>
        <v>ON Semiconductor</v>
      </c>
      <c r="C42960" s="6">
        <v>2512</v>
      </c>
      <c r="D42960" s="7">
        <v>12.66</v>
      </c>
      <c r="E42960" t="s">
        <v>34</v>
      </c>
    </row>
    <row r="42961" spans="1:5" x14ac:dyDescent="0.25">
      <c r="A42961" t="str">
        <f>HYPERLINK("https://www.773grp.com/globalSearch/MC10H646FNG/page-1", "MC10H646FNG")</f>
        <v>MC10H646FNG</v>
      </c>
      <c r="B42961" s="3" t="str">
        <f>HYPERLINK("https://www.773grp.com/manufacturer/onsemi?pageNo=203", "ON Semiconductor")</f>
        <v>ON Semiconductor</v>
      </c>
      <c r="C42961" s="6">
        <v>663</v>
      </c>
      <c r="D42961" s="7">
        <v>12.66</v>
      </c>
      <c r="E42961" t="s">
        <v>34</v>
      </c>
    </row>
    <row r="42962" spans="1:5" x14ac:dyDescent="0.25">
      <c r="A42962" t="str">
        <f>HYPERLINK("https://www.773grp.com/globalSearch/MC10H646FNR2G/page-1", "MC10H646FNR2G")</f>
        <v>MC10H646FNR2G</v>
      </c>
      <c r="B42962" s="3" t="str">
        <f>HYPERLINK("https://www.773grp.com/manufacturer/onsemi?pageNo=204", "ON Semiconductor")</f>
        <v>ON Semiconductor</v>
      </c>
      <c r="C42962" s="6">
        <v>19</v>
      </c>
      <c r="D42962" s="7">
        <v>12.66</v>
      </c>
      <c r="E42962" t="s">
        <v>34</v>
      </c>
    </row>
    <row r="42963" spans="1:5" x14ac:dyDescent="0.25">
      <c r="A42963" t="str">
        <f>HYPERLINK("https://www.773grp.com/globalSearch/NB7L14MNG/page-1", "NB7L14MNG")</f>
        <v>NB7L14MNG</v>
      </c>
      <c r="B42963" s="3" t="str">
        <f>HYPERLINK("https://www.773grp.com/manufacturer/onsemi?pageNo=205", "ON Semiconductor")</f>
        <v>ON Semiconductor</v>
      </c>
      <c r="C42963" s="6">
        <v>624</v>
      </c>
      <c r="D42963" s="7">
        <v>12.66</v>
      </c>
      <c r="E42963" t="s">
        <v>34</v>
      </c>
    </row>
    <row r="42964" spans="1:5" x14ac:dyDescent="0.25">
      <c r="A42964" t="str">
        <f>HYPERLINK("https://www.773grp.com/globalSearch/NBXDBA012LN1TAG/page-1", "NBXDBA012LN1TAG")</f>
        <v>NBXDBA012LN1TAG</v>
      </c>
      <c r="B42964" s="3" t="str">
        <f>HYPERLINK("https://www.773grp.com/manufacturer/onsemi?pageNo=206", "ON Semiconductor")</f>
        <v>ON Semiconductor</v>
      </c>
      <c r="C42964" s="6">
        <v>1910</v>
      </c>
      <c r="D42964" s="7">
        <v>12.66</v>
      </c>
    </row>
    <row r="42965" spans="1:5" x14ac:dyDescent="0.25">
      <c r="A42965" t="str">
        <f>HYPERLINK("https://www.773grp.com/globalSearch/NBXDBA014LN1TAG/page-1", "NBXDBA014LN1TAG")</f>
        <v>NBXDBA014LN1TAG</v>
      </c>
      <c r="B42965" s="3" t="str">
        <f>HYPERLINK("https://www.773grp.com/manufacturer/onsemi?pageNo=207", "ON Semiconductor")</f>
        <v>ON Semiconductor</v>
      </c>
      <c r="C42965" s="6">
        <v>13679</v>
      </c>
      <c r="D42965" s="7">
        <v>12.66</v>
      </c>
      <c r="E42965" t="s">
        <v>79</v>
      </c>
    </row>
    <row r="42966" spans="1:5" x14ac:dyDescent="0.25">
      <c r="A42966" t="str">
        <f>HYPERLINK("https://www.773grp.com/globalSearch/NBXDBA014LNHTAG/page-1", "NBXDBA014LNHTAG")</f>
        <v>NBXDBA014LNHTAG</v>
      </c>
      <c r="B42966" s="3" t="str">
        <f>HYPERLINK("https://www.773grp.com/manufacturer/onsemi?pageNo=208", "ON Semiconductor")</f>
        <v>ON Semiconductor</v>
      </c>
      <c r="C42966" s="6">
        <v>30</v>
      </c>
      <c r="D42966" s="7">
        <v>12.66</v>
      </c>
    </row>
    <row r="42967" spans="1:5" x14ac:dyDescent="0.25">
      <c r="A42967" t="str">
        <f>HYPERLINK("https://www.773grp.com/globalSearch/NBXDBA015LN1TAG/page-1", "NBXDBA015LN1TAG")</f>
        <v>NBXDBA015LN1TAG</v>
      </c>
      <c r="B42967" s="3" t="str">
        <f>HYPERLINK("https://www.773grp.com/manufacturer/onsemi?pageNo=209", "ON Semiconductor")</f>
        <v>ON Semiconductor</v>
      </c>
      <c r="C42967" s="6">
        <v>2389</v>
      </c>
      <c r="D42967" s="7">
        <v>12.66</v>
      </c>
      <c r="E42967" t="s">
        <v>79</v>
      </c>
    </row>
    <row r="42968" spans="1:5" x14ac:dyDescent="0.25">
      <c r="A42968" t="str">
        <f>HYPERLINK("https://www.773grp.com/globalSearch/NBXDBA015LNHTAG/page-1", "NBXDBA015LNHTAG")</f>
        <v>NBXDBA015LNHTAG</v>
      </c>
      <c r="B42968" s="3" t="str">
        <f>HYPERLINK("https://www.773grp.com/manufacturer/onsemi?pageNo=210", "ON Semiconductor")</f>
        <v>ON Semiconductor</v>
      </c>
      <c r="C42968" s="6">
        <v>134</v>
      </c>
      <c r="D42968" s="7">
        <v>12.66</v>
      </c>
      <c r="E42968" t="s">
        <v>79</v>
      </c>
    </row>
    <row r="42969" spans="1:5" x14ac:dyDescent="0.25">
      <c r="A42969" t="str">
        <f>HYPERLINK("https://www.773grp.com/globalSearch/NBXDBA017LN1TAG/page-1", "NBXDBA017LN1TAG")</f>
        <v>NBXDBA017LN1TAG</v>
      </c>
      <c r="B42969" s="3" t="str">
        <f>HYPERLINK("https://www.773grp.com/manufacturer/onsemi?pageNo=211", "ON Semiconductor")</f>
        <v>ON Semiconductor</v>
      </c>
      <c r="C42969" s="6">
        <v>19862</v>
      </c>
      <c r="D42969" s="7">
        <v>12.66</v>
      </c>
      <c r="E42969" t="s">
        <v>79</v>
      </c>
    </row>
    <row r="42970" spans="1:5" x14ac:dyDescent="0.25">
      <c r="A42970" t="str">
        <f>HYPERLINK("https://www.773grp.com/globalSearch/NBXDBA017LNHTAG/page-1", "NBXDBA017LNHTAG")</f>
        <v>NBXDBA017LNHTAG</v>
      </c>
      <c r="B42970" s="3" t="str">
        <f>HYPERLINK("https://www.773grp.com/manufacturer/onsemi?pageNo=212", "ON Semiconductor")</f>
        <v>ON Semiconductor</v>
      </c>
      <c r="C42970" s="6">
        <v>16</v>
      </c>
      <c r="D42970" s="7">
        <v>12.66</v>
      </c>
      <c r="E42970" t="s">
        <v>79</v>
      </c>
    </row>
    <row r="42971" spans="1:5" x14ac:dyDescent="0.25">
      <c r="A42971" t="str">
        <f>HYPERLINK("https://www.773grp.com/globalSearch/NBXDBA018LN1TAG/page-1", "NBXDBA018LN1TAG")</f>
        <v>NBXDBA018LN1TAG</v>
      </c>
      <c r="B42971" s="3" t="str">
        <f>HYPERLINK("https://www.773grp.com/manufacturer/onsemi?pageNo=213", "ON Semiconductor")</f>
        <v>ON Semiconductor</v>
      </c>
      <c r="C42971" s="6">
        <v>3496</v>
      </c>
      <c r="D42971" s="7">
        <v>12.66</v>
      </c>
      <c r="E42971" t="s">
        <v>79</v>
      </c>
    </row>
    <row r="42972" spans="1:5" x14ac:dyDescent="0.25">
      <c r="A42972" t="str">
        <f>HYPERLINK("https://www.773grp.com/globalSearch/NBXDBA019LN1TAG/page-1", "NBXDBA019LN1TAG")</f>
        <v>NBXDBA019LN1TAG</v>
      </c>
      <c r="B42972" s="3" t="str">
        <f>HYPERLINK("https://www.773grp.com/manufacturer/onsemi?pageNo=214", "ON Semiconductor")</f>
        <v>ON Semiconductor</v>
      </c>
      <c r="C42972" s="6">
        <v>14131</v>
      </c>
      <c r="D42972" s="7">
        <v>12.66</v>
      </c>
      <c r="E42972" t="s">
        <v>79</v>
      </c>
    </row>
    <row r="42973" spans="1:5" x14ac:dyDescent="0.25">
      <c r="A42973" t="str">
        <f>HYPERLINK("https://www.773grp.com/globalSearch/NBXDBA019LNHTAG/page-1", "NBXDBA019LNHTAG")</f>
        <v>NBXDBA019LNHTAG</v>
      </c>
      <c r="B42973" s="3" t="str">
        <f>HYPERLINK("https://www.773grp.com/manufacturer/onsemi?pageNo=215", "ON Semiconductor")</f>
        <v>ON Semiconductor</v>
      </c>
      <c r="C42973" s="6">
        <v>343</v>
      </c>
      <c r="D42973" s="7">
        <v>12.66</v>
      </c>
      <c r="E42973" t="s">
        <v>79</v>
      </c>
    </row>
    <row r="42974" spans="1:5" x14ac:dyDescent="0.25">
      <c r="A42974" t="str">
        <f>HYPERLINK("https://www.773grp.com/globalSearch/NBXDDA016LN1TAG/page-1", "NBXDDA016LN1TAG")</f>
        <v>NBXDDA016LN1TAG</v>
      </c>
      <c r="B42974" s="3" t="str">
        <f>HYPERLINK("https://www.773grp.com/manufacturer/onsemi?pageNo=216", "ON Semiconductor")</f>
        <v>ON Semiconductor</v>
      </c>
      <c r="C42974" s="6">
        <v>621</v>
      </c>
      <c r="D42974" s="7">
        <v>12.66</v>
      </c>
      <c r="E42974" t="s">
        <v>79</v>
      </c>
    </row>
    <row r="42975" spans="1:5" x14ac:dyDescent="0.25">
      <c r="A42975" t="str">
        <f>HYPERLINK("https://www.773grp.com/globalSearch/NBXDDA016LNHTAG/page-1", "NBXDDA016LNHTAG")</f>
        <v>NBXDDA016LNHTAG</v>
      </c>
      <c r="B42975" s="3" t="str">
        <f>HYPERLINK("https://www.773grp.com/manufacturer/onsemi?pageNo=217", "ON Semiconductor")</f>
        <v>ON Semiconductor</v>
      </c>
      <c r="C42975" s="6">
        <v>953</v>
      </c>
      <c r="D42975" s="7">
        <v>12.66</v>
      </c>
      <c r="E42975" t="s">
        <v>79</v>
      </c>
    </row>
    <row r="42976" spans="1:5" x14ac:dyDescent="0.25">
      <c r="A42976" t="str">
        <f>HYPERLINK("https://www.773grp.com/globalSearch/NBXDPA018LNHTAG/page-1", "NBXDPA018LNHTAG")</f>
        <v>NBXDPA018LNHTAG</v>
      </c>
      <c r="B42976" s="3" t="str">
        <f>HYPERLINK("https://www.773grp.com/manufacturer/onsemi?pageNo=218", "ON Semiconductor")</f>
        <v>ON Semiconductor</v>
      </c>
      <c r="C42976" s="6">
        <v>395</v>
      </c>
      <c r="D42976" s="7">
        <v>12.66</v>
      </c>
    </row>
    <row r="42977" spans="1:5" x14ac:dyDescent="0.25">
      <c r="A42977" t="str">
        <f>HYPERLINK("https://www.773grp.com/globalSearch/NBXHBA017LN1TAG/page-1", "NBXHBA017LN1TAG")</f>
        <v>NBXHBA017LN1TAG</v>
      </c>
      <c r="B42977" s="3" t="str">
        <f>HYPERLINK("https://www.773grp.com/manufacturer/onsemi?pageNo=219", "ON Semiconductor")</f>
        <v>ON Semiconductor</v>
      </c>
      <c r="C42977" s="6">
        <v>2091</v>
      </c>
      <c r="D42977" s="7">
        <v>12.66</v>
      </c>
      <c r="E42977" t="s">
        <v>79</v>
      </c>
    </row>
    <row r="42978" spans="1:5" x14ac:dyDescent="0.25">
      <c r="A42978" t="str">
        <f>HYPERLINK("https://www.773grp.com/globalSearch/NBXHBA017LNHTAG/page-1", "NBXHBA017LNHTAG")</f>
        <v>NBXHBA017LNHTAG</v>
      </c>
      <c r="B42978" s="3" t="str">
        <f>HYPERLINK("https://www.773grp.com/manufacturer/onsemi?pageNo=220", "ON Semiconductor")</f>
        <v>ON Semiconductor</v>
      </c>
      <c r="C42978" s="6">
        <v>478</v>
      </c>
      <c r="D42978" s="7">
        <v>12.66</v>
      </c>
      <c r="E42978" t="s">
        <v>79</v>
      </c>
    </row>
    <row r="42979" spans="1:5" x14ac:dyDescent="0.25">
      <c r="A42979" t="str">
        <f>HYPERLINK("https://www.773grp.com/globalSearch/NBXHBA019LN1TAG/page-1", "NBXHBA019LN1TAG")</f>
        <v>NBXHBA019LN1TAG</v>
      </c>
      <c r="B42979" s="3" t="str">
        <f>HYPERLINK("https://www.773grp.com/manufacturer/onsemi?pageNo=221", "ON Semiconductor")</f>
        <v>ON Semiconductor</v>
      </c>
      <c r="C42979" s="6">
        <v>6330</v>
      </c>
      <c r="D42979" s="7">
        <v>12.66</v>
      </c>
      <c r="E42979" t="s">
        <v>79</v>
      </c>
    </row>
    <row r="42980" spans="1:5" x14ac:dyDescent="0.25">
      <c r="A42980" t="str">
        <f>HYPERLINK("https://www.773grp.com/globalSearch/NBXMBA024LNHTAG/page-1", "NBXMBA024LNHTAG")</f>
        <v>NBXMBA024LNHTAG</v>
      </c>
      <c r="B42980" s="3" t="str">
        <f>HYPERLINK("https://www.773grp.com/manufacturer/onsemi?pageNo=222", "ON Semiconductor")</f>
        <v>ON Semiconductor</v>
      </c>
      <c r="C42980" s="6">
        <v>247</v>
      </c>
      <c r="D42980" s="7">
        <v>12.66</v>
      </c>
      <c r="E42980" t="s">
        <v>121</v>
      </c>
    </row>
    <row r="42981" spans="1:5" x14ac:dyDescent="0.25">
      <c r="A42981" t="str">
        <f>HYPERLINK("https://www.773grp.com/globalSearch/NBXSBA007LN1TAG/page-1", "NBXSBA007LN1TAG")</f>
        <v>NBXSBA007LN1TAG</v>
      </c>
      <c r="B42981" s="3" t="str">
        <f>HYPERLINK("https://www.773grp.com/manufacturer/onsemi?pageNo=223", "ON Semiconductor")</f>
        <v>ON Semiconductor</v>
      </c>
      <c r="C42981" s="6">
        <v>1883</v>
      </c>
      <c r="D42981" s="7">
        <v>12.66</v>
      </c>
    </row>
    <row r="42982" spans="1:5" x14ac:dyDescent="0.25">
      <c r="A42982" t="str">
        <f>HYPERLINK("https://www.773grp.com/globalSearch/NBXSBA007LNHTAG/page-1", "NBXSBA007LNHTAG")</f>
        <v>NBXSBA007LNHTAG</v>
      </c>
      <c r="B42982" s="3" t="str">
        <f>HYPERLINK("https://www.773grp.com/manufacturer/onsemi?pageNo=224", "ON Semiconductor")</f>
        <v>ON Semiconductor</v>
      </c>
      <c r="C42982" s="6">
        <v>995</v>
      </c>
      <c r="D42982" s="7">
        <v>12.66</v>
      </c>
      <c r="E42982" t="s">
        <v>79</v>
      </c>
    </row>
    <row r="42983" spans="1:5" x14ac:dyDescent="0.25">
      <c r="A42983" t="str">
        <f>HYPERLINK("https://www.773grp.com/globalSearch/NBXSBA008LN1TAG/page-1", "NBXSBA008LN1TAG")</f>
        <v>NBXSBA008LN1TAG</v>
      </c>
      <c r="B42983" s="3" t="str">
        <f>HYPERLINK("https://www.773grp.com/manufacturer/onsemi?pageNo=225", "ON Semiconductor")</f>
        <v>ON Semiconductor</v>
      </c>
      <c r="C42983" s="6">
        <v>6833</v>
      </c>
      <c r="D42983" s="7">
        <v>12.66</v>
      </c>
      <c r="E42983" t="s">
        <v>79</v>
      </c>
    </row>
    <row r="42984" spans="1:5" x14ac:dyDescent="0.25">
      <c r="A42984" t="str">
        <f>HYPERLINK("https://www.773grp.com/globalSearch/NBXSBA008LNHTAG/page-1", "NBXSBA008LNHTAG")</f>
        <v>NBXSBA008LNHTAG</v>
      </c>
      <c r="B42984" s="3" t="str">
        <f>HYPERLINK("https://www.773grp.com/manufacturer/onsemi?pageNo=226", "ON Semiconductor")</f>
        <v>ON Semiconductor</v>
      </c>
      <c r="C42984" s="6">
        <v>400</v>
      </c>
      <c r="D42984" s="7">
        <v>12.66</v>
      </c>
      <c r="E42984" t="s">
        <v>79</v>
      </c>
    </row>
    <row r="42985" spans="1:5" x14ac:dyDescent="0.25">
      <c r="A42985" t="str">
        <f>HYPERLINK("https://www.773grp.com/globalSearch/NBXSBA010LN1TAG/page-1", "NBXSBA010LN1TAG")</f>
        <v>NBXSBA010LN1TAG</v>
      </c>
      <c r="B42985" s="3" t="str">
        <f>HYPERLINK("https://www.773grp.com/manufacturer/onsemi?pageNo=227", "ON Semiconductor")</f>
        <v>ON Semiconductor</v>
      </c>
      <c r="C42985" s="6">
        <v>10791</v>
      </c>
      <c r="D42985" s="7">
        <v>12.66</v>
      </c>
      <c r="E42985" t="s">
        <v>121</v>
      </c>
    </row>
    <row r="42986" spans="1:5" x14ac:dyDescent="0.25">
      <c r="A42986" t="str">
        <f>HYPERLINK("https://www.773grp.com/globalSearch/NBXSBA010LNHTAG/page-1", "NBXSBA010LNHTAG")</f>
        <v>NBXSBA010LNHTAG</v>
      </c>
      <c r="B42986" s="3" t="str">
        <f>HYPERLINK("https://www.773grp.com/manufacturer/onsemi?pageNo=228", "ON Semiconductor")</f>
        <v>ON Semiconductor</v>
      </c>
      <c r="C42986" s="6">
        <v>308</v>
      </c>
      <c r="D42986" s="7">
        <v>12.66</v>
      </c>
      <c r="E42986" t="s">
        <v>121</v>
      </c>
    </row>
    <row r="42987" spans="1:5" x14ac:dyDescent="0.25">
      <c r="A42987" t="str">
        <f>HYPERLINK("https://www.773grp.com/globalSearch/NBXSBA017LNHTAG/page-1", "NBXSBA017LNHTAG")</f>
        <v>NBXSBA017LNHTAG</v>
      </c>
      <c r="B42987" s="3" t="str">
        <f>HYPERLINK("https://www.773grp.com/manufacturer/onsemi?pageNo=229", "ON Semiconductor")</f>
        <v>ON Semiconductor</v>
      </c>
      <c r="C42987" s="6">
        <v>730</v>
      </c>
      <c r="D42987" s="7">
        <v>12.66</v>
      </c>
      <c r="E42987" t="s">
        <v>79</v>
      </c>
    </row>
    <row r="42988" spans="1:5" x14ac:dyDescent="0.25">
      <c r="A42988" t="str">
        <f>HYPERLINK("https://www.773grp.com/globalSearch/NBXSBA019LN1TAG/page-1", "NBXSBA019LN1TAG")</f>
        <v>NBXSBA019LN1TAG</v>
      </c>
      <c r="B42988" s="3" t="str">
        <f>HYPERLINK("https://www.773grp.com/manufacturer/onsemi?pageNo=230", "ON Semiconductor")</f>
        <v>ON Semiconductor</v>
      </c>
      <c r="C42988" s="6">
        <v>11784</v>
      </c>
      <c r="D42988" s="7">
        <v>12.66</v>
      </c>
      <c r="E42988" t="s">
        <v>79</v>
      </c>
    </row>
    <row r="42989" spans="1:5" x14ac:dyDescent="0.25">
      <c r="A42989" t="str">
        <f>HYPERLINK("https://www.773grp.com/globalSearch/NBXSBA019LNHTAG/page-1", "NBXSBA019LNHTAG")</f>
        <v>NBXSBA019LNHTAG</v>
      </c>
      <c r="B42989" s="3" t="str">
        <f>HYPERLINK("https://www.773grp.com/manufacturer/onsemi?pageNo=231", "ON Semiconductor")</f>
        <v>ON Semiconductor</v>
      </c>
      <c r="C42989" s="6">
        <v>1600</v>
      </c>
      <c r="D42989" s="7">
        <v>12.66</v>
      </c>
      <c r="E42989" t="s">
        <v>79</v>
      </c>
    </row>
    <row r="42990" spans="1:5" x14ac:dyDescent="0.25">
      <c r="A42990" t="str">
        <f>HYPERLINK("https://www.773grp.com/globalSearch/NBXSBA020LN1TAG/page-1", "NBXSBA020LN1TAG")</f>
        <v>NBXSBA020LN1TAG</v>
      </c>
      <c r="B42990" s="3" t="str">
        <f>HYPERLINK("https://www.773grp.com/manufacturer/onsemi?pageNo=232", "ON Semiconductor")</f>
        <v>ON Semiconductor</v>
      </c>
      <c r="C42990" s="6">
        <v>10172</v>
      </c>
      <c r="D42990" s="7">
        <v>12.66</v>
      </c>
      <c r="E42990" t="s">
        <v>79</v>
      </c>
    </row>
    <row r="42991" spans="1:5" x14ac:dyDescent="0.25">
      <c r="A42991" t="str">
        <f>HYPERLINK("https://www.773grp.com/globalSearch/NBXSBA021LN1TAG/page-1", "NBXSBA021LN1TAG")</f>
        <v>NBXSBA021LN1TAG</v>
      </c>
      <c r="B42991" s="3" t="str">
        <f>HYPERLINK("https://www.773grp.com/manufacturer/onsemi?pageNo=233", "ON Semiconductor")</f>
        <v>ON Semiconductor</v>
      </c>
      <c r="C42991" s="6">
        <v>17941</v>
      </c>
      <c r="D42991" s="7">
        <v>12.66</v>
      </c>
      <c r="E42991" t="s">
        <v>79</v>
      </c>
    </row>
    <row r="42992" spans="1:5" x14ac:dyDescent="0.25">
      <c r="A42992" t="str">
        <f>HYPERLINK("https://www.773grp.com/globalSearch/NBXSBA021LNHTAG/page-1", "NBXSBA021LNHTAG")</f>
        <v>NBXSBA021LNHTAG</v>
      </c>
      <c r="B42992" s="3" t="str">
        <f>HYPERLINK("https://www.773grp.com/manufacturer/onsemi?pageNo=234", "ON Semiconductor")</f>
        <v>ON Semiconductor</v>
      </c>
      <c r="C42992" s="6">
        <v>800</v>
      </c>
      <c r="D42992" s="7">
        <v>12.66</v>
      </c>
      <c r="E42992" t="s">
        <v>79</v>
      </c>
    </row>
    <row r="42993" spans="1:5" x14ac:dyDescent="0.25">
      <c r="A42993" t="str">
        <f>HYPERLINK("https://www.773grp.com/globalSearch/NBXSBA022LN1TAG/page-1", "NBXSBA022LN1TAG")</f>
        <v>NBXSBA022LN1TAG</v>
      </c>
      <c r="B42993" s="3" t="str">
        <f>HYPERLINK("https://www.773grp.com/manufacturer/onsemi?pageNo=235", "ON Semiconductor")</f>
        <v>ON Semiconductor</v>
      </c>
      <c r="C42993" s="6">
        <v>2000</v>
      </c>
      <c r="D42993" s="7">
        <v>12.66</v>
      </c>
    </row>
    <row r="42994" spans="1:5" x14ac:dyDescent="0.25">
      <c r="A42994" t="str">
        <f>HYPERLINK("https://www.773grp.com/globalSearch/NBXSBA022LNHTAG/page-1", "NBXSBA022LNHTAG")</f>
        <v>NBXSBA022LNHTAG</v>
      </c>
      <c r="B42994" s="3" t="str">
        <f>HYPERLINK("https://www.773grp.com/manufacturer/onsemi?pageNo=236", "ON Semiconductor")</f>
        <v>ON Semiconductor</v>
      </c>
      <c r="C42994" s="6">
        <v>400</v>
      </c>
      <c r="D42994" s="7">
        <v>12.66</v>
      </c>
    </row>
    <row r="42995" spans="1:5" x14ac:dyDescent="0.25">
      <c r="A42995" t="str">
        <f>HYPERLINK("https://www.773grp.com/globalSearch/NBXSBA023LN1TAG/page-1", "NBXSBA023LN1TAG")</f>
        <v>NBXSBA023LN1TAG</v>
      </c>
      <c r="B42995" s="3" t="str">
        <f>HYPERLINK("https://www.773grp.com/manufacturer/onsemi?pageNo=237", "ON Semiconductor")</f>
        <v>ON Semiconductor</v>
      </c>
      <c r="C42995" s="6">
        <v>753</v>
      </c>
      <c r="D42995" s="7">
        <v>12.66</v>
      </c>
    </row>
    <row r="42996" spans="1:5" x14ac:dyDescent="0.25">
      <c r="A42996" t="str">
        <f>HYPERLINK("https://www.773grp.com/globalSearch/NBXSBA023LNHTAG/page-1", "NBXSBA023LNHTAG")</f>
        <v>NBXSBA023LNHTAG</v>
      </c>
      <c r="B42996" s="3" t="str">
        <f>HYPERLINK("https://www.773grp.com/manufacturer/onsemi?pageNo=238", "ON Semiconductor")</f>
        <v>ON Semiconductor</v>
      </c>
      <c r="C42996" s="6">
        <v>600</v>
      </c>
      <c r="D42996" s="7">
        <v>12.66</v>
      </c>
      <c r="E42996" t="s">
        <v>79</v>
      </c>
    </row>
    <row r="42997" spans="1:5" x14ac:dyDescent="0.25">
      <c r="A42997" t="str">
        <f>HYPERLINK("https://www.773grp.com/globalSearch/NBXSBA024LN1TAG/page-1", "NBXSBA024LN1TAG")</f>
        <v>NBXSBA024LN1TAG</v>
      </c>
      <c r="B42997" s="3" t="str">
        <f>HYPERLINK("https://www.773grp.com/manufacturer/onsemi?pageNo=239", "ON Semiconductor")</f>
        <v>ON Semiconductor</v>
      </c>
      <c r="C42997" s="6">
        <v>819</v>
      </c>
      <c r="D42997" s="7">
        <v>12.66</v>
      </c>
    </row>
    <row r="42998" spans="1:5" x14ac:dyDescent="0.25">
      <c r="A42998" t="str">
        <f>HYPERLINK("https://www.773grp.com/globalSearch/NBXSBA024LNHTAG/page-1", "NBXSBA024LNHTAG")</f>
        <v>NBXSBA024LNHTAG</v>
      </c>
      <c r="B42998" s="3" t="str">
        <f>HYPERLINK("https://www.773grp.com/manufacturer/onsemi?pageNo=240", "ON Semiconductor")</f>
        <v>ON Semiconductor</v>
      </c>
      <c r="C42998" s="6">
        <v>232</v>
      </c>
      <c r="D42998" s="7">
        <v>12.66</v>
      </c>
      <c r="E42998" t="s">
        <v>121</v>
      </c>
    </row>
    <row r="42999" spans="1:5" x14ac:dyDescent="0.25">
      <c r="A42999" t="str">
        <f>HYPERLINK("https://www.773grp.com/globalSearch/NBXSBA025LNHTAG/page-1", "NBXSBA025LNHTAG")</f>
        <v>NBXSBA025LNHTAG</v>
      </c>
      <c r="B42999" s="3" t="str">
        <f>HYPERLINK("https://www.773grp.com/manufacturer/onsemi?pageNo=241", "ON Semiconductor")</f>
        <v>ON Semiconductor</v>
      </c>
      <c r="C42999" s="6">
        <v>100</v>
      </c>
      <c r="D42999" s="7">
        <v>12.66</v>
      </c>
    </row>
    <row r="43000" spans="1:5" x14ac:dyDescent="0.25">
      <c r="A43000" t="str">
        <f>HYPERLINK("https://www.773grp.com/globalSearch/NBXSBA031LN1TAG/page-1", "NBXSBA031LN1TAG")</f>
        <v>NBXSBA031LN1TAG</v>
      </c>
      <c r="B43000" s="3" t="str">
        <f>HYPERLINK("https://www.773grp.com/manufacturer/onsemi?pageNo=242", "ON Semiconductor")</f>
        <v>ON Semiconductor</v>
      </c>
      <c r="C43000" s="6">
        <v>3000</v>
      </c>
      <c r="D43000" s="7">
        <v>12.66</v>
      </c>
      <c r="E43000" t="s">
        <v>121</v>
      </c>
    </row>
    <row r="43001" spans="1:5" x14ac:dyDescent="0.25">
      <c r="A43001" t="str">
        <f>HYPERLINK("https://www.773grp.com/globalSearch/NBXSBA031LNHTAG/page-1", "NBXSBA031LNHTAG")</f>
        <v>NBXSBA031LNHTAG</v>
      </c>
      <c r="B43001" s="3" t="str">
        <f>HYPERLINK("https://www.773grp.com/manufacturer/onsemi?pageNo=243", "ON Semiconductor")</f>
        <v>ON Semiconductor</v>
      </c>
      <c r="C43001" s="6">
        <v>287</v>
      </c>
      <c r="D43001" s="7">
        <v>12.66</v>
      </c>
      <c r="E43001" t="s">
        <v>121</v>
      </c>
    </row>
    <row r="43002" spans="1:5" x14ac:dyDescent="0.25">
      <c r="A43002" t="str">
        <f>HYPERLINK("https://www.773grp.com/globalSearch/NBXSBA045LN1TAG/page-1", "NBXSBA045LN1TAG")</f>
        <v>NBXSBA045LN1TAG</v>
      </c>
      <c r="B43002" s="3" t="str">
        <f>HYPERLINK("https://www.773grp.com/manufacturer/onsemi?pageNo=244", "ON Semiconductor")</f>
        <v>ON Semiconductor</v>
      </c>
      <c r="C43002" s="6">
        <v>7930</v>
      </c>
      <c r="D43002" s="7">
        <v>12.66</v>
      </c>
    </row>
    <row r="43003" spans="1:5" x14ac:dyDescent="0.25">
      <c r="A43003" t="str">
        <f>HYPERLINK("https://www.773grp.com/globalSearch/NBXSBA045LNHTAG/page-1", "NBXSBA045LNHTAG")</f>
        <v>NBXSBA045LNHTAG</v>
      </c>
      <c r="B43003" s="3" t="str">
        <f>HYPERLINK("https://www.773grp.com/manufacturer/onsemi?pageNo=245", "ON Semiconductor")</f>
        <v>ON Semiconductor</v>
      </c>
      <c r="C43003" s="6">
        <v>775</v>
      </c>
      <c r="D43003" s="7">
        <v>12.66</v>
      </c>
      <c r="E43003" t="s">
        <v>79</v>
      </c>
    </row>
    <row r="43004" spans="1:5" x14ac:dyDescent="0.25">
      <c r="A43004" t="str">
        <f>HYPERLINK("https://www.773grp.com/globalSearch/NBXSBA046LNHTAG/page-1", "NBXSBA046LNHTAG")</f>
        <v>NBXSBA046LNHTAG</v>
      </c>
      <c r="B43004" s="3" t="str">
        <f>HYPERLINK("https://www.773grp.com/manufacturer/onsemi?pageNo=246", "ON Semiconductor")</f>
        <v>ON Semiconductor</v>
      </c>
      <c r="C43004" s="6">
        <v>1300</v>
      </c>
      <c r="D43004" s="7">
        <v>12.66</v>
      </c>
      <c r="E43004" t="s">
        <v>79</v>
      </c>
    </row>
    <row r="43005" spans="1:5" x14ac:dyDescent="0.25">
      <c r="A43005" t="str">
        <f>HYPERLINK("https://www.773grp.com/globalSearch/STK404-120N-E/page-1", "STK404-120N-E")</f>
        <v>STK404-120N-E</v>
      </c>
      <c r="B43005" s="3" t="str">
        <f>HYPERLINK("https://www.773grp.com/manufacturer/onsemi?pageNo=247", "ON Semiconductor")</f>
        <v>ON Semiconductor</v>
      </c>
      <c r="C43005" s="6">
        <v>25</v>
      </c>
      <c r="D43005" s="7">
        <v>12.66</v>
      </c>
    </row>
    <row r="43006" spans="1:5" x14ac:dyDescent="0.25">
      <c r="A43006" t="str">
        <f>HYPERLINK("https://www.773grp.com/globalSearch/STK681-352-E/page-1", "STK681-352-E")</f>
        <v>STK681-352-E</v>
      </c>
      <c r="B43006" s="3" t="str">
        <f>HYPERLINK("https://www.773grp.com/manufacturer/onsemi?pageNo=248", "ON Semiconductor")</f>
        <v>ON Semiconductor</v>
      </c>
      <c r="C43006" s="6">
        <v>40</v>
      </c>
      <c r="D43006" s="7">
        <v>12.66</v>
      </c>
    </row>
    <row r="43007" spans="1:5" x14ac:dyDescent="0.25">
      <c r="A43007" t="str">
        <f>HYPERLINK("https://www.773grp.com/globalSearch/MC10137P/page-1", "MC10137P")</f>
        <v>MC10137P</v>
      </c>
      <c r="B43007" s="3" t="str">
        <f>HYPERLINK("https://www.773grp.com/manufacturer/onsemi?pageNo=249", "ON Semiconductor")</f>
        <v>ON Semiconductor</v>
      </c>
      <c r="C43007" s="6">
        <v>87</v>
      </c>
      <c r="D43007" s="7">
        <v>12.71</v>
      </c>
      <c r="E43007" t="s">
        <v>26</v>
      </c>
    </row>
    <row r="43008" spans="1:5" x14ac:dyDescent="0.25">
      <c r="A43008" t="str">
        <f>HYPERLINK("https://www.773grp.com/globalSearch/NB100LVEP222FA/page-1", "NB100LVEP222FA")</f>
        <v>NB100LVEP222FA</v>
      </c>
      <c r="B43008" s="3" t="str">
        <f>HYPERLINK("https://www.773grp.com/manufacturer/onsemi?pageNo=250", "ON Semiconductor")</f>
        <v>ON Semiconductor</v>
      </c>
      <c r="C43008" s="6">
        <v>2767</v>
      </c>
      <c r="D43008" s="7">
        <v>12.74</v>
      </c>
      <c r="E43008" t="s">
        <v>34</v>
      </c>
    </row>
    <row r="43009" spans="1:5" x14ac:dyDescent="0.25">
      <c r="A43009" t="str">
        <f>HYPERLINK("https://www.773grp.com/globalSearch/N08L63W2AB27I/page-1", "N08L63W2AB27I")</f>
        <v>N08L63W2AB27I</v>
      </c>
      <c r="B43009" s="3" t="str">
        <f>HYPERLINK("https://www.773grp.com/manufacturer/onsemi?pageNo=251", "ON Semiconductor")</f>
        <v>ON Semiconductor</v>
      </c>
      <c r="C43009" s="6">
        <v>11264</v>
      </c>
      <c r="D43009" s="7">
        <v>12.83</v>
      </c>
      <c r="E43009" t="s">
        <v>75</v>
      </c>
    </row>
    <row r="43010" spans="1:5" x14ac:dyDescent="0.25">
      <c r="A43010" t="str">
        <f>HYPERLINK("https://www.773grp.com/globalSearch/MC74F3893AFN/page-1", "MC74F3893AFN")</f>
        <v>MC74F3893AFN</v>
      </c>
      <c r="B43010" s="3" t="str">
        <f>HYPERLINK("https://www.773grp.com/manufacturer/onsemi?pageNo=252", "ON Semiconductor")</f>
        <v>ON Semiconductor</v>
      </c>
      <c r="C43010" s="6">
        <v>5693</v>
      </c>
      <c r="D43010" s="7">
        <v>12.91</v>
      </c>
      <c r="E43010" t="s">
        <v>14</v>
      </c>
    </row>
    <row r="43011" spans="1:5" x14ac:dyDescent="0.25">
      <c r="A43011" t="str">
        <f>HYPERLINK("https://www.773grp.com/globalSearch/MC10138FN/page-1", "MC10138FN")</f>
        <v>MC10138FN</v>
      </c>
      <c r="B43011" s="3" t="str">
        <f>HYPERLINK("https://www.773grp.com/manufacturer/onsemi?pageNo=253", "ON Semiconductor")</f>
        <v>ON Semiconductor</v>
      </c>
      <c r="C43011" s="6">
        <v>2408</v>
      </c>
      <c r="D43011" s="7">
        <v>12.96</v>
      </c>
      <c r="E43011" t="s">
        <v>26</v>
      </c>
    </row>
    <row r="43012" spans="1:5" x14ac:dyDescent="0.25">
      <c r="A43012" t="str">
        <f>HYPERLINK("https://www.773grp.com/globalSearch/NCP4326DR2G/page-1", "NCP4326DR2G")</f>
        <v>NCP4326DR2G</v>
      </c>
      <c r="B43012" s="3" t="str">
        <f>HYPERLINK("https://www.773grp.com/manufacturer/onsemi?pageNo=254", "ON Semiconductor")</f>
        <v>ON Semiconductor</v>
      </c>
      <c r="C43012" s="6">
        <v>102500</v>
      </c>
      <c r="D43012" s="7">
        <v>12.96</v>
      </c>
      <c r="E43012" t="s">
        <v>40</v>
      </c>
    </row>
    <row r="43013" spans="1:5" x14ac:dyDescent="0.25">
      <c r="A43013" t="str">
        <f>HYPERLINK("https://www.773grp.com/globalSearch/AD7888ARUZ/page-1", "AD7888ARUZ")</f>
        <v>AD7888ARUZ</v>
      </c>
      <c r="B43013" s="3" t="str">
        <f>HYPERLINK("https://www.773grp.com/manufacturer/onsemi?pageNo=255", "ON Semiconductor")</f>
        <v>ON Semiconductor</v>
      </c>
      <c r="C43013" s="6">
        <v>147</v>
      </c>
      <c r="D43013" s="7">
        <v>13.11</v>
      </c>
    </row>
    <row r="43014" spans="1:5" x14ac:dyDescent="0.25">
      <c r="A43014" t="str">
        <f>HYPERLINK("https://www.773grp.com/globalSearch/LC75813E-E/page-1", "LC75813E-E")</f>
        <v>LC75813E-E</v>
      </c>
      <c r="B43014" s="3" t="str">
        <f>HYPERLINK("https://www.773grp.com/manufacturer/onsemi?pageNo=256", "ON Semiconductor")</f>
        <v>ON Semiconductor</v>
      </c>
      <c r="C43014" s="6">
        <v>50</v>
      </c>
      <c r="D43014" s="7">
        <v>13.21</v>
      </c>
    </row>
    <row r="43015" spans="1:5" x14ac:dyDescent="0.25">
      <c r="A43015" t="str">
        <f>HYPERLINK("https://www.773grp.com/globalSearch/MC10H176FNG/page-1", "MC10H176FNG")</f>
        <v>MC10H176FNG</v>
      </c>
      <c r="B43015" s="3" t="str">
        <f>HYPERLINK("https://www.773grp.com/manufacturer/onsemi?pageNo=257", "ON Semiconductor")</f>
        <v>ON Semiconductor</v>
      </c>
      <c r="C43015" s="6">
        <v>5634</v>
      </c>
      <c r="D43015" s="7">
        <v>13.21</v>
      </c>
      <c r="E43015" t="s">
        <v>35</v>
      </c>
    </row>
    <row r="43016" spans="1:5" x14ac:dyDescent="0.25">
      <c r="A43016" t="str">
        <f>HYPERLINK("https://www.773grp.com/globalSearch/MC10H176MELG/page-1", "MC10H176MELG")</f>
        <v>MC10H176MELG</v>
      </c>
      <c r="B43016" s="3" t="str">
        <f>HYPERLINK("https://www.773grp.com/manufacturer/onsemi?pageNo=258", "ON Semiconductor")</f>
        <v>ON Semiconductor</v>
      </c>
      <c r="C43016" s="6">
        <v>2000</v>
      </c>
      <c r="D43016" s="7">
        <v>13.21</v>
      </c>
      <c r="E43016" t="s">
        <v>35</v>
      </c>
    </row>
    <row r="43017" spans="1:5" x14ac:dyDescent="0.25">
      <c r="A43017" t="str">
        <f>HYPERLINK("https://www.773grp.com/globalSearch/MC10H176MG/page-1", "MC10H176MG")</f>
        <v>MC10H176MG</v>
      </c>
      <c r="B43017" s="3" t="str">
        <f>HYPERLINK("https://www.773grp.com/manufacturer/onsemi?pageNo=259", "ON Semiconductor")</f>
        <v>ON Semiconductor</v>
      </c>
      <c r="C43017" s="6">
        <v>1329</v>
      </c>
      <c r="D43017" s="7">
        <v>13.21</v>
      </c>
      <c r="E43017" t="s">
        <v>35</v>
      </c>
    </row>
    <row r="43018" spans="1:5" x14ac:dyDescent="0.25">
      <c r="A43018" t="str">
        <f>HYPERLINK("https://www.773grp.com/globalSearch/AD7948BRZ/page-1", "AD7948BRZ")</f>
        <v>AD7948BRZ</v>
      </c>
      <c r="B43018" s="3" t="str">
        <f>HYPERLINK("https://www.773grp.com/manufacturer/onsemi?pageNo=260", "ON Semiconductor")</f>
        <v>ON Semiconductor</v>
      </c>
      <c r="C43018" s="6">
        <v>14</v>
      </c>
      <c r="D43018" s="7">
        <v>13.25</v>
      </c>
    </row>
    <row r="43019" spans="1:5" x14ac:dyDescent="0.25">
      <c r="A43019" t="str">
        <f>HYPERLINK("https://www.773grp.com/globalSearch/MC14549BCPG/page-1", "MC14549BCPG")</f>
        <v>MC14549BCPG</v>
      </c>
      <c r="B43019" s="3" t="str">
        <f>HYPERLINK("https://www.773grp.com/manufacturer/onsemi?pageNo=261", "ON Semiconductor")</f>
        <v>ON Semiconductor</v>
      </c>
      <c r="C43019" s="6">
        <v>1195</v>
      </c>
      <c r="D43019" s="7">
        <v>13.36</v>
      </c>
      <c r="E43019" t="s">
        <v>83</v>
      </c>
    </row>
    <row r="43020" spans="1:5" x14ac:dyDescent="0.25">
      <c r="A43020" t="str">
        <f>HYPERLINK("https://www.773grp.com/globalSearch/MC10H172P/page-1", "MC10H172P")</f>
        <v>MC10H172P</v>
      </c>
      <c r="B43020" s="3" t="str">
        <f>HYPERLINK("https://www.773grp.com/manufacturer/onsemi?pageNo=262", "ON Semiconductor")</f>
        <v>ON Semiconductor</v>
      </c>
      <c r="C43020" s="6">
        <v>3000</v>
      </c>
      <c r="D43020" s="7">
        <v>13.41</v>
      </c>
      <c r="E43020" t="s">
        <v>36</v>
      </c>
    </row>
    <row r="43021" spans="1:5" x14ac:dyDescent="0.25">
      <c r="A43021" t="str">
        <f>HYPERLINK("https://www.773grp.com/globalSearch/MC10H334FN/page-1", "MC10H334FN")</f>
        <v>MC10H334FN</v>
      </c>
      <c r="B43021" s="3" t="str">
        <f>HYPERLINK("https://www.773grp.com/manufacturer/onsemi?pageNo=263", "ON Semiconductor")</f>
        <v>ON Semiconductor</v>
      </c>
      <c r="C43021" s="6">
        <v>276</v>
      </c>
      <c r="D43021" s="7">
        <v>13.46</v>
      </c>
      <c r="E43021" t="s">
        <v>14</v>
      </c>
    </row>
    <row r="43022" spans="1:5" x14ac:dyDescent="0.25">
      <c r="A43022" t="str">
        <f>HYPERLINK("https://www.773grp.com/globalSearch/MC10H334FNR2/page-1", "MC10H334FNR2")</f>
        <v>MC10H334FNR2</v>
      </c>
      <c r="B43022" s="3" t="str">
        <f>HYPERLINK("https://www.773grp.com/manufacturer/onsemi?pageNo=264", "ON Semiconductor")</f>
        <v>ON Semiconductor</v>
      </c>
      <c r="C43022" s="6">
        <v>1000</v>
      </c>
      <c r="D43022" s="7">
        <v>13.46</v>
      </c>
      <c r="E43022" t="s">
        <v>14</v>
      </c>
    </row>
    <row r="43023" spans="1:5" x14ac:dyDescent="0.25">
      <c r="A43023" t="str">
        <f>HYPERLINK("https://www.773grp.com/globalSearch/LV8773-E/page-1", "LV8773-E")</f>
        <v>LV8773-E</v>
      </c>
      <c r="B43023" s="3" t="str">
        <f>HYPERLINK("https://www.773grp.com/manufacturer/onsemi?pageNo=265", "ON Semiconductor")</f>
        <v>ON Semiconductor</v>
      </c>
      <c r="C43023" s="6">
        <v>40</v>
      </c>
      <c r="D43023" s="7">
        <v>13.5</v>
      </c>
    </row>
    <row r="43024" spans="1:5" x14ac:dyDescent="0.25">
      <c r="A43024" t="str">
        <f>HYPERLINK("https://www.773grp.com/globalSearch/MC1660L/page-1", "MC1660L")</f>
        <v>MC1660L</v>
      </c>
      <c r="B43024" s="3" t="str">
        <f>HYPERLINK("https://www.773grp.com/manufacturer/onsemi?pageNo=266", "ON Semiconductor")</f>
        <v>ON Semiconductor</v>
      </c>
      <c r="C43024" s="6">
        <v>2115</v>
      </c>
      <c r="D43024" s="7">
        <v>13.5</v>
      </c>
      <c r="E43024" t="s">
        <v>31</v>
      </c>
    </row>
    <row r="43025" spans="1:5" x14ac:dyDescent="0.25">
      <c r="A43025" t="str">
        <f>HYPERLINK("https://www.773grp.com/globalSearch/NB3N853501EDTR2G/page-1", "NB3N853501EDTR2G")</f>
        <v>NB3N853501EDTR2G</v>
      </c>
      <c r="B43025" s="3" t="str">
        <f>HYPERLINK("https://www.773grp.com/manufacturer/onsemi?pageNo=267", "ON Semiconductor")</f>
        <v>ON Semiconductor</v>
      </c>
      <c r="C43025" s="6">
        <v>2500</v>
      </c>
      <c r="D43025" s="7">
        <v>13.5</v>
      </c>
    </row>
    <row r="43026" spans="1:5" x14ac:dyDescent="0.25">
      <c r="A43026" t="str">
        <f>HYPERLINK("https://www.773grp.com/globalSearch/NB4N111KMNG/page-1", "NB4N111KMNG")</f>
        <v>NB4N111KMNG</v>
      </c>
      <c r="B43026" s="3" t="str">
        <f>HYPERLINK("https://www.773grp.com/manufacturer/onsemi?pageNo=268", "ON Semiconductor")</f>
        <v>ON Semiconductor</v>
      </c>
      <c r="C43026" s="6">
        <v>194</v>
      </c>
      <c r="D43026" s="7">
        <v>13.5</v>
      </c>
      <c r="E43026" t="s">
        <v>73</v>
      </c>
    </row>
    <row r="43027" spans="1:5" x14ac:dyDescent="0.25">
      <c r="A43027" t="str">
        <f>HYPERLINK("https://www.773grp.com/globalSearch/NB4N111KMNR4G/page-1", "NB4N111KMNR4G")</f>
        <v>NB4N111KMNR4G</v>
      </c>
      <c r="B43027" s="3" t="str">
        <f>HYPERLINK("https://www.773grp.com/manufacturer/onsemi?pageNo=269", "ON Semiconductor")</f>
        <v>ON Semiconductor</v>
      </c>
      <c r="C43027" s="6">
        <v>465</v>
      </c>
      <c r="D43027" s="7">
        <v>13.5</v>
      </c>
      <c r="E43027" t="s">
        <v>73</v>
      </c>
    </row>
    <row r="43028" spans="1:5" x14ac:dyDescent="0.25">
      <c r="A43028" t="str">
        <f>HYPERLINK("https://www.773grp.com/globalSearch/MC100EP101FA/page-1", "MC100EP101FA")</f>
        <v>MC100EP101FA</v>
      </c>
      <c r="B43028" s="3" t="str">
        <f>HYPERLINK("https://www.773grp.com/manufacturer/onsemi?pageNo=270", "ON Semiconductor")</f>
        <v>ON Semiconductor</v>
      </c>
      <c r="C43028" s="6">
        <v>4247</v>
      </c>
      <c r="D43028" s="7">
        <v>13.54</v>
      </c>
      <c r="E43028" t="s">
        <v>31</v>
      </c>
    </row>
    <row r="43029" spans="1:5" x14ac:dyDescent="0.25">
      <c r="A43029" t="str">
        <f>HYPERLINK("https://www.773grp.com/globalSearch/MC100EP105FA/page-1", "MC100EP105FA")</f>
        <v>MC100EP105FA</v>
      </c>
      <c r="B43029" s="3" t="str">
        <f>HYPERLINK("https://www.773grp.com/manufacturer/onsemi?pageNo=271", "ON Semiconductor")</f>
        <v>ON Semiconductor</v>
      </c>
      <c r="C43029" s="6">
        <v>8061</v>
      </c>
      <c r="D43029" s="7">
        <v>13.54</v>
      </c>
      <c r="E43029" t="s">
        <v>31</v>
      </c>
    </row>
    <row r="43030" spans="1:5" x14ac:dyDescent="0.25">
      <c r="A43030" t="str">
        <f>HYPERLINK("https://www.773grp.com/globalSearch/MC100EP116FA/page-1", "MC100EP116FA")</f>
        <v>MC100EP116FA</v>
      </c>
      <c r="B43030" s="3" t="str">
        <f>HYPERLINK("https://www.773grp.com/manufacturer/onsemi?pageNo=272", "ON Semiconductor")</f>
        <v>ON Semiconductor</v>
      </c>
      <c r="C43030" s="6">
        <v>11310</v>
      </c>
      <c r="D43030" s="7">
        <v>13.54</v>
      </c>
      <c r="E43030" t="s">
        <v>21</v>
      </c>
    </row>
    <row r="43031" spans="1:5" x14ac:dyDescent="0.25">
      <c r="A43031" t="str">
        <f>HYPERLINK("https://www.773grp.com/globalSearch/MC100EP116FAR2/page-1", "MC100EP116FAR2")</f>
        <v>MC100EP116FAR2</v>
      </c>
      <c r="B43031" s="3" t="str">
        <f>HYPERLINK("https://www.773grp.com/manufacturer/onsemi?pageNo=273", "ON Semiconductor")</f>
        <v>ON Semiconductor</v>
      </c>
      <c r="C43031" s="6">
        <v>6000</v>
      </c>
      <c r="D43031" s="7">
        <v>13.54</v>
      </c>
      <c r="E43031" t="s">
        <v>21</v>
      </c>
    </row>
    <row r="43032" spans="1:5" x14ac:dyDescent="0.25">
      <c r="A43032" t="str">
        <f>HYPERLINK("https://www.773grp.com/globalSearch/MC100EP131FA/page-1", "MC100EP131FA")</f>
        <v>MC100EP131FA</v>
      </c>
      <c r="B43032" s="3" t="str">
        <f>HYPERLINK("https://www.773grp.com/manufacturer/onsemi?pageNo=274", "ON Semiconductor")</f>
        <v>ON Semiconductor</v>
      </c>
      <c r="C43032" s="6">
        <v>7891</v>
      </c>
      <c r="D43032" s="7">
        <v>13.54</v>
      </c>
      <c r="E43032" t="s">
        <v>35</v>
      </c>
    </row>
    <row r="43033" spans="1:5" x14ac:dyDescent="0.25">
      <c r="A43033" t="str">
        <f>HYPERLINK("https://www.773grp.com/globalSearch/MC100EP29DT/page-1", "MC100EP29DT")</f>
        <v>MC100EP29DT</v>
      </c>
      <c r="B43033" s="3" t="str">
        <f>HYPERLINK("https://www.773grp.com/manufacturer/onsemi?pageNo=275", "ON Semiconductor")</f>
        <v>ON Semiconductor</v>
      </c>
      <c r="C43033" s="6">
        <v>6628</v>
      </c>
      <c r="D43033" s="7">
        <v>13.54</v>
      </c>
      <c r="E43033" t="s">
        <v>35</v>
      </c>
    </row>
    <row r="43034" spans="1:5" x14ac:dyDescent="0.25">
      <c r="A43034" t="str">
        <f>HYPERLINK("https://www.773grp.com/globalSearch/MC100EP40DT/page-1", "MC100EP40DT")</f>
        <v>MC100EP40DT</v>
      </c>
      <c r="B43034" s="3" t="str">
        <f>HYPERLINK("https://www.773grp.com/manufacturer/onsemi?pageNo=276", "ON Semiconductor")</f>
        <v>ON Semiconductor</v>
      </c>
      <c r="C43034" s="6">
        <v>3058</v>
      </c>
      <c r="D43034" s="7">
        <v>13.54</v>
      </c>
      <c r="E43034" t="s">
        <v>38</v>
      </c>
    </row>
    <row r="43035" spans="1:5" x14ac:dyDescent="0.25">
      <c r="A43035" t="str">
        <f>HYPERLINK("https://www.773grp.com/globalSearch/MC100EP90DT/page-1", "MC100EP90DT")</f>
        <v>MC100EP90DT</v>
      </c>
      <c r="B43035" s="3" t="str">
        <f>HYPERLINK("https://www.773grp.com/manufacturer/onsemi?pageNo=277", "ON Semiconductor")</f>
        <v>ON Semiconductor</v>
      </c>
      <c r="C43035" s="6">
        <v>2552</v>
      </c>
      <c r="D43035" s="7">
        <v>13.54</v>
      </c>
      <c r="E43035" t="s">
        <v>73</v>
      </c>
    </row>
    <row r="43036" spans="1:5" x14ac:dyDescent="0.25">
      <c r="A43036" t="str">
        <f>HYPERLINK("https://www.773grp.com/globalSearch/MC100LVEP34DR2/page-1", "MC100LVEP34DR2")</f>
        <v>MC100LVEP34DR2</v>
      </c>
      <c r="B43036" s="3" t="str">
        <f>HYPERLINK("https://www.773grp.com/manufacturer/onsemi?pageNo=278", "ON Semiconductor")</f>
        <v>ON Semiconductor</v>
      </c>
      <c r="C43036" s="6">
        <v>2500</v>
      </c>
      <c r="D43036" s="7">
        <v>13.54</v>
      </c>
      <c r="E43036" t="s">
        <v>34</v>
      </c>
    </row>
    <row r="43037" spans="1:5" x14ac:dyDescent="0.25">
      <c r="A43037" t="str">
        <f>HYPERLINK("https://www.773grp.com/globalSearch/MC100LVGP19DT/page-1", "MC100LVGP19DT")</f>
        <v>MC100LVGP19DT</v>
      </c>
      <c r="B43037" s="3" t="str">
        <f>HYPERLINK("https://www.773grp.com/manufacturer/onsemi?pageNo=279", "ON Semiconductor")</f>
        <v>ON Semiconductor</v>
      </c>
      <c r="C43037" s="6">
        <v>40</v>
      </c>
      <c r="D43037" s="7">
        <v>13.54</v>
      </c>
    </row>
    <row r="43038" spans="1:5" x14ac:dyDescent="0.25">
      <c r="A43038" t="str">
        <f>HYPERLINK("https://www.773grp.com/globalSearch/MC10EP101FA/page-1", "MC10EP101FA")</f>
        <v>MC10EP101FA</v>
      </c>
      <c r="B43038" s="3" t="str">
        <f>HYPERLINK("https://www.773grp.com/manufacturer/onsemi?pageNo=280", "ON Semiconductor")</f>
        <v>ON Semiconductor</v>
      </c>
      <c r="C43038" s="6">
        <v>4839</v>
      </c>
      <c r="D43038" s="7">
        <v>13.54</v>
      </c>
      <c r="E43038" t="s">
        <v>31</v>
      </c>
    </row>
    <row r="43039" spans="1:5" x14ac:dyDescent="0.25">
      <c r="A43039" t="str">
        <f>HYPERLINK("https://www.773grp.com/globalSearch/MC10EP105FA/page-1", "MC10EP105FA")</f>
        <v>MC10EP105FA</v>
      </c>
      <c r="B43039" s="3" t="str">
        <f>HYPERLINK("https://www.773grp.com/manufacturer/onsemi?pageNo=281", "ON Semiconductor")</f>
        <v>ON Semiconductor</v>
      </c>
      <c r="C43039" s="6">
        <v>9901</v>
      </c>
      <c r="D43039" s="7">
        <v>13.54</v>
      </c>
      <c r="E43039" t="s">
        <v>31</v>
      </c>
    </row>
    <row r="43040" spans="1:5" x14ac:dyDescent="0.25">
      <c r="A43040" t="str">
        <f>HYPERLINK("https://www.773grp.com/globalSearch/MC10EP105FAR2/page-1", "MC10EP105FAR2")</f>
        <v>MC10EP105FAR2</v>
      </c>
      <c r="B43040" s="3" t="str">
        <f>HYPERLINK("https://www.773grp.com/manufacturer/onsemi?pageNo=282", "ON Semiconductor")</f>
        <v>ON Semiconductor</v>
      </c>
      <c r="C43040" s="6">
        <v>10000</v>
      </c>
      <c r="D43040" s="7">
        <v>13.54</v>
      </c>
      <c r="E43040" t="s">
        <v>31</v>
      </c>
    </row>
    <row r="43041" spans="1:5" x14ac:dyDescent="0.25">
      <c r="A43041" t="str">
        <f>HYPERLINK("https://www.773grp.com/globalSearch/MC10EP116FA/page-1", "MC10EP116FA")</f>
        <v>MC10EP116FA</v>
      </c>
      <c r="B43041" s="3" t="str">
        <f>HYPERLINK("https://www.773grp.com/manufacturer/onsemi?pageNo=283", "ON Semiconductor")</f>
        <v>ON Semiconductor</v>
      </c>
      <c r="C43041" s="6">
        <v>7195</v>
      </c>
      <c r="D43041" s="7">
        <v>13.54</v>
      </c>
      <c r="E43041" t="s">
        <v>21</v>
      </c>
    </row>
    <row r="43042" spans="1:5" x14ac:dyDescent="0.25">
      <c r="A43042" t="str">
        <f>HYPERLINK("https://www.773grp.com/globalSearch/MC10EP116FAR2/page-1", "MC10EP116FAR2")</f>
        <v>MC10EP116FAR2</v>
      </c>
      <c r="B43042" s="3" t="str">
        <f>HYPERLINK("https://www.773grp.com/manufacturer/onsemi?pageNo=284", "ON Semiconductor")</f>
        <v>ON Semiconductor</v>
      </c>
      <c r="C43042" s="6">
        <v>4000</v>
      </c>
      <c r="D43042" s="7">
        <v>13.54</v>
      </c>
      <c r="E43042" t="s">
        <v>21</v>
      </c>
    </row>
    <row r="43043" spans="1:5" x14ac:dyDescent="0.25">
      <c r="A43043" t="str">
        <f>HYPERLINK("https://www.773grp.com/globalSearch/MC10EP131FA/page-1", "MC10EP131FA")</f>
        <v>MC10EP131FA</v>
      </c>
      <c r="B43043" s="3" t="str">
        <f>HYPERLINK("https://www.773grp.com/manufacturer/onsemi?pageNo=285", "ON Semiconductor")</f>
        <v>ON Semiconductor</v>
      </c>
      <c r="C43043" s="6">
        <v>14625</v>
      </c>
      <c r="D43043" s="7">
        <v>13.54</v>
      </c>
      <c r="E43043" t="s">
        <v>35</v>
      </c>
    </row>
    <row r="43044" spans="1:5" x14ac:dyDescent="0.25">
      <c r="A43044" t="str">
        <f>HYPERLINK("https://www.773grp.com/globalSearch/MC10EP29DT/page-1", "MC10EP29DT")</f>
        <v>MC10EP29DT</v>
      </c>
      <c r="B43044" s="3" t="str">
        <f>HYPERLINK("https://www.773grp.com/manufacturer/onsemi?pageNo=286", "ON Semiconductor")</f>
        <v>ON Semiconductor</v>
      </c>
      <c r="C43044" s="6">
        <v>3060</v>
      </c>
      <c r="D43044" s="7">
        <v>13.54</v>
      </c>
      <c r="E43044" t="s">
        <v>35</v>
      </c>
    </row>
    <row r="43045" spans="1:5" x14ac:dyDescent="0.25">
      <c r="A43045" t="str">
        <f>HYPERLINK("https://www.773grp.com/globalSearch/MC10EP90DT/page-1", "MC10EP90DT")</f>
        <v>MC10EP90DT</v>
      </c>
      <c r="B43045" s="3" t="str">
        <f>HYPERLINK("https://www.773grp.com/manufacturer/onsemi?pageNo=287", "ON Semiconductor")</f>
        <v>ON Semiconductor</v>
      </c>
      <c r="C43045" s="6">
        <v>6320</v>
      </c>
      <c r="D43045" s="7">
        <v>13.54</v>
      </c>
      <c r="E43045" t="s">
        <v>73</v>
      </c>
    </row>
    <row r="43046" spans="1:5" x14ac:dyDescent="0.25">
      <c r="A43046" t="str">
        <f>HYPERLINK("https://www.773grp.com/globalSearch/NB100LVEP91DW/page-1", "NB100LVEP91DW")</f>
        <v>NB100LVEP91DW</v>
      </c>
      <c r="B43046" s="3" t="str">
        <f>HYPERLINK("https://www.773grp.com/manufacturer/onsemi?pageNo=288", "ON Semiconductor")</f>
        <v>ON Semiconductor</v>
      </c>
      <c r="C43046" s="6">
        <v>10888</v>
      </c>
      <c r="D43046" s="7">
        <v>13.54</v>
      </c>
      <c r="E43046" t="s">
        <v>73</v>
      </c>
    </row>
    <row r="43047" spans="1:5" x14ac:dyDescent="0.25">
      <c r="A43047" t="str">
        <f>HYPERLINK("https://www.773grp.com/globalSearch/NB100LVEP91DWR2/page-1", "NB100LVEP91DWR2")</f>
        <v>NB100LVEP91DWR2</v>
      </c>
      <c r="B43047" s="3" t="str">
        <f>HYPERLINK("https://www.773grp.com/manufacturer/onsemi?pageNo=289", "ON Semiconductor")</f>
        <v>ON Semiconductor</v>
      </c>
      <c r="C43047" s="6">
        <v>6000</v>
      </c>
      <c r="D43047" s="7">
        <v>13.54</v>
      </c>
      <c r="E43047" t="s">
        <v>73</v>
      </c>
    </row>
    <row r="43048" spans="1:5" x14ac:dyDescent="0.25">
      <c r="A43048" t="str">
        <f>HYPERLINK("https://www.773grp.com/globalSearch/NB100LVEP91MN/page-1", "NB100LVEP91MN")</f>
        <v>NB100LVEP91MN</v>
      </c>
      <c r="B43048" s="3" t="str">
        <f>HYPERLINK("https://www.773grp.com/manufacturer/onsemi?pageNo=290", "ON Semiconductor")</f>
        <v>ON Semiconductor</v>
      </c>
      <c r="C43048" s="6">
        <v>3952</v>
      </c>
      <c r="D43048" s="7">
        <v>13.54</v>
      </c>
      <c r="E43048" t="s">
        <v>73</v>
      </c>
    </row>
    <row r="43049" spans="1:5" x14ac:dyDescent="0.25">
      <c r="A43049" t="str">
        <f>HYPERLINK("https://www.773grp.com/globalSearch/NB100LVEP91MNR2/page-1", "NB100LVEP91MNR2")</f>
        <v>NB100LVEP91MNR2</v>
      </c>
      <c r="B43049" s="3" t="str">
        <f>HYPERLINK("https://www.773grp.com/manufacturer/onsemi?pageNo=291", "ON Semiconductor")</f>
        <v>ON Semiconductor</v>
      </c>
      <c r="C43049" s="6">
        <v>6000</v>
      </c>
      <c r="D43049" s="7">
        <v>13.54</v>
      </c>
      <c r="E43049" t="s">
        <v>73</v>
      </c>
    </row>
    <row r="43050" spans="1:5" x14ac:dyDescent="0.25">
      <c r="A43050" t="str">
        <f>HYPERLINK("https://www.773grp.com/globalSearch/MC10H643FN/page-1", "MC10H643FN")</f>
        <v>MC10H643FN</v>
      </c>
      <c r="B43050" s="3" t="str">
        <f>HYPERLINK("https://www.773grp.com/manufacturer/onsemi?pageNo=292", "ON Semiconductor")</f>
        <v>ON Semiconductor</v>
      </c>
      <c r="C43050" s="6">
        <v>450</v>
      </c>
      <c r="D43050" s="7">
        <v>13.55</v>
      </c>
      <c r="E43050" t="s">
        <v>34</v>
      </c>
    </row>
    <row r="43051" spans="1:5" x14ac:dyDescent="0.25">
      <c r="A43051" t="str">
        <f>HYPERLINK("https://www.773grp.com/globalSearch/MC10H643FNR2/page-1", "MC10H643FNR2")</f>
        <v>MC10H643FNR2</v>
      </c>
      <c r="B43051" s="3" t="str">
        <f>HYPERLINK("https://www.773grp.com/manufacturer/onsemi?pageNo=293", "ON Semiconductor")</f>
        <v>ON Semiconductor</v>
      </c>
      <c r="C43051" s="6">
        <v>1500</v>
      </c>
      <c r="D43051" s="7">
        <v>13.55</v>
      </c>
      <c r="E43051" t="s">
        <v>34</v>
      </c>
    </row>
    <row r="43052" spans="1:5" x14ac:dyDescent="0.25">
      <c r="A43052" t="str">
        <f>HYPERLINK("https://www.773grp.com/globalSearch/MC10H424FN/page-1", "MC10H424FN")</f>
        <v>MC10H424FN</v>
      </c>
      <c r="B43052" s="3" t="str">
        <f>HYPERLINK("https://www.773grp.com/manufacturer/onsemi?pageNo=294", "ON Semiconductor")</f>
        <v>ON Semiconductor</v>
      </c>
      <c r="C43052" s="6">
        <v>3404</v>
      </c>
      <c r="D43052" s="7">
        <v>13.61</v>
      </c>
      <c r="E43052" t="s">
        <v>73</v>
      </c>
    </row>
    <row r="43053" spans="1:5" x14ac:dyDescent="0.25">
      <c r="A43053" t="str">
        <f>HYPERLINK("https://www.773grp.com/globalSearch/NB4N527SMN/page-1", "NB4N527SMN")</f>
        <v>NB4N527SMN</v>
      </c>
      <c r="B43053" s="3" t="str">
        <f>HYPERLINK("https://www.773grp.com/manufacturer/onsemi?pageNo=295", "ON Semiconductor")</f>
        <v>ON Semiconductor</v>
      </c>
      <c r="C43053" s="6">
        <v>1310</v>
      </c>
      <c r="D43053" s="7">
        <v>13.64</v>
      </c>
      <c r="E43053" t="s">
        <v>74</v>
      </c>
    </row>
    <row r="43054" spans="1:5" x14ac:dyDescent="0.25">
      <c r="A43054" t="str">
        <f>HYPERLINK("https://www.773grp.com/globalSearch/NB4N527SMNG/page-1", "NB4N527SMNG")</f>
        <v>NB4N527SMNG</v>
      </c>
      <c r="B43054" s="3" t="str">
        <f>HYPERLINK("https://www.773grp.com/manufacturer/onsemi?pageNo=296", "ON Semiconductor")</f>
        <v>ON Semiconductor</v>
      </c>
      <c r="C43054" s="6">
        <v>346</v>
      </c>
      <c r="D43054" s="7">
        <v>13.64</v>
      </c>
      <c r="E43054" t="s">
        <v>74</v>
      </c>
    </row>
    <row r="43055" spans="1:5" x14ac:dyDescent="0.25">
      <c r="A43055" t="str">
        <f>HYPERLINK("https://www.773grp.com/globalSearch/NB4N855SMR4/page-1", "NB4N855SMR4")</f>
        <v>NB4N855SMR4</v>
      </c>
      <c r="B43055" s="3" t="str">
        <f>HYPERLINK("https://www.773grp.com/manufacturer/onsemi?pageNo=297", "ON Semiconductor")</f>
        <v>ON Semiconductor</v>
      </c>
      <c r="C43055" s="6">
        <v>9000</v>
      </c>
      <c r="D43055" s="7">
        <v>13.64</v>
      </c>
      <c r="E43055" t="s">
        <v>74</v>
      </c>
    </row>
    <row r="43056" spans="1:5" x14ac:dyDescent="0.25">
      <c r="A43056" t="str">
        <f>HYPERLINK("https://www.773grp.com/globalSearch/NB6N239SMNG/page-1", "NB6N239SMNG")</f>
        <v>NB6N239SMNG</v>
      </c>
      <c r="B43056" s="3" t="str">
        <f>HYPERLINK("https://www.773grp.com/manufacturer/onsemi?pageNo=298", "ON Semiconductor")</f>
        <v>ON Semiconductor</v>
      </c>
      <c r="C43056" s="6">
        <v>581</v>
      </c>
      <c r="D43056" s="7">
        <v>13.64</v>
      </c>
      <c r="E43056" t="s">
        <v>34</v>
      </c>
    </row>
    <row r="43057" spans="1:5" x14ac:dyDescent="0.25">
      <c r="A43057" t="str">
        <f>HYPERLINK("https://www.773grp.com/globalSearch/NB6N239SMNR2G/page-1", "NB6N239SMNR2G")</f>
        <v>NB6N239SMNR2G</v>
      </c>
      <c r="B43057" s="3" t="str">
        <f>HYPERLINK("https://www.773grp.com/manufacturer/onsemi?pageNo=299", "ON Semiconductor")</f>
        <v>ON Semiconductor</v>
      </c>
      <c r="C43057" s="6">
        <v>3000</v>
      </c>
      <c r="D43057" s="7">
        <v>13.64</v>
      </c>
    </row>
    <row r="43058" spans="1:5" x14ac:dyDescent="0.25">
      <c r="A43058" t="str">
        <f>HYPERLINK("https://www.773grp.com/globalSearch/MC100E445FNG/page-1", "MC100E445FNG")</f>
        <v>MC100E445FNG</v>
      </c>
      <c r="B43058" s="3" t="str">
        <f>HYPERLINK("https://www.773grp.com/manufacturer/onsemi?pageNo=300", "ON Semiconductor")</f>
        <v>ON Semiconductor</v>
      </c>
      <c r="C43058" s="6">
        <v>194</v>
      </c>
      <c r="D43058" s="7">
        <v>13.73</v>
      </c>
      <c r="E43058" t="s">
        <v>32</v>
      </c>
    </row>
    <row r="43059" spans="1:5" x14ac:dyDescent="0.25">
      <c r="A43059" t="str">
        <f>HYPERLINK("https://www.773grp.com/globalSearch/AD7888ARZ/page-1", "AD7888ARZ")</f>
        <v>AD7888ARZ</v>
      </c>
      <c r="B43059" s="3" t="str">
        <f>HYPERLINK("https://www.773grp.com/manufacturer/onsemi?pageNo=301", "ON Semiconductor")</f>
        <v>ON Semiconductor</v>
      </c>
      <c r="C43059" s="6">
        <v>163</v>
      </c>
      <c r="D43059" s="7">
        <v>13.75</v>
      </c>
    </row>
    <row r="43060" spans="1:5" x14ac:dyDescent="0.25">
      <c r="A43060" t="str">
        <f>HYPERLINK("https://www.773grp.com/globalSearch/MGY25N120D/page-1", "MGY25N120D")</f>
        <v>MGY25N120D</v>
      </c>
      <c r="B43060" s="3" t="str">
        <f>HYPERLINK("https://www.773grp.com/manufacturer/onsemi?pageNo=302", "ON Semiconductor")</f>
        <v>ON Semiconductor</v>
      </c>
      <c r="C43060" s="6">
        <v>362</v>
      </c>
      <c r="D43060" s="7">
        <v>13.79</v>
      </c>
      <c r="E43060" t="s">
        <v>115</v>
      </c>
    </row>
    <row r="43061" spans="1:5" x14ac:dyDescent="0.25">
      <c r="A43061" t="str">
        <f>HYPERLINK("https://www.773grp.com/globalSearch/MC100H605FN/page-1", "MC100H605FN")</f>
        <v>MC100H605FN</v>
      </c>
      <c r="B43061" s="3" t="str">
        <f>HYPERLINK("https://www.773grp.com/manufacturer/onsemi?pageNo=303", "ON Semiconductor")</f>
        <v>ON Semiconductor</v>
      </c>
      <c r="C43061" s="6">
        <v>1</v>
      </c>
      <c r="D43061" s="7">
        <v>13.88</v>
      </c>
      <c r="E43061" t="s">
        <v>73</v>
      </c>
    </row>
    <row r="43062" spans="1:5" x14ac:dyDescent="0.25">
      <c r="A43062" t="str">
        <f>HYPERLINK("https://www.773grp.com/globalSearch/MC10H604FNG/page-1", "MC10H604FNG")</f>
        <v>MC10H604FNG</v>
      </c>
      <c r="B43062" s="3" t="str">
        <f>HYPERLINK("https://www.773grp.com/manufacturer/onsemi?pageNo=304", "ON Semiconductor")</f>
        <v>ON Semiconductor</v>
      </c>
      <c r="C43062" s="6">
        <v>242</v>
      </c>
      <c r="D43062" s="7">
        <v>13.88</v>
      </c>
      <c r="E43062" t="s">
        <v>73</v>
      </c>
    </row>
    <row r="43063" spans="1:5" x14ac:dyDescent="0.25">
      <c r="A43063" t="str">
        <f>HYPERLINK("https://www.773grp.com/globalSearch/MC10H604FNR2/page-1", "MC10H604FNR2")</f>
        <v>MC10H604FNR2</v>
      </c>
      <c r="B43063" s="3" t="str">
        <f>HYPERLINK("https://www.773grp.com/manufacturer/onsemi?pageNo=305", "ON Semiconductor")</f>
        <v>ON Semiconductor</v>
      </c>
      <c r="C43063" s="6">
        <v>4881</v>
      </c>
      <c r="D43063" s="7">
        <v>13.88</v>
      </c>
      <c r="E43063" t="s">
        <v>73</v>
      </c>
    </row>
    <row r="43064" spans="1:5" x14ac:dyDescent="0.25">
      <c r="A43064" t="str">
        <f>HYPERLINK("https://www.773grp.com/globalSearch/MC10H605FNR2/page-1", "MC10H605FNR2")</f>
        <v>MC10H605FNR2</v>
      </c>
      <c r="B43064" s="3" t="str">
        <f>HYPERLINK("https://www.773grp.com/manufacturer/onsemi?pageNo=306", "ON Semiconductor")</f>
        <v>ON Semiconductor</v>
      </c>
      <c r="C43064" s="6">
        <v>1965</v>
      </c>
      <c r="D43064" s="7">
        <v>13.88</v>
      </c>
      <c r="E43064" t="s">
        <v>73</v>
      </c>
    </row>
    <row r="43065" spans="1:5" x14ac:dyDescent="0.25">
      <c r="A43065" t="str">
        <f>HYPERLINK("https://www.773grp.com/globalSearch/MC100E131FN/page-1", "MC100E131FN")</f>
        <v>MC100E131FN</v>
      </c>
      <c r="B43065" s="3" t="str">
        <f>HYPERLINK("https://www.773grp.com/manufacturer/onsemi?pageNo=307", "ON Semiconductor")</f>
        <v>ON Semiconductor</v>
      </c>
      <c r="C43065" s="6">
        <v>97</v>
      </c>
      <c r="D43065" s="7">
        <v>13.93</v>
      </c>
      <c r="E43065" t="s">
        <v>35</v>
      </c>
    </row>
    <row r="43066" spans="1:5" x14ac:dyDescent="0.25">
      <c r="A43066" t="str">
        <f>HYPERLINK("https://www.773grp.com/globalSearch/MC100EP14DT/page-1", "MC100EP14DT")</f>
        <v>MC100EP14DT</v>
      </c>
      <c r="B43066" s="3" t="str">
        <f>HYPERLINK("https://www.773grp.com/manufacturer/onsemi?pageNo=308", "ON Semiconductor")</f>
        <v>ON Semiconductor</v>
      </c>
      <c r="C43066" s="6">
        <v>7050</v>
      </c>
      <c r="D43066" s="7">
        <v>13.93</v>
      </c>
    </row>
    <row r="43067" spans="1:5" x14ac:dyDescent="0.25">
      <c r="A43067" t="str">
        <f>HYPERLINK("https://www.773grp.com/globalSearch/MC100LVEP14DT/page-1", "MC100LVEP14DT")</f>
        <v>MC100LVEP14DT</v>
      </c>
      <c r="B43067" s="3" t="str">
        <f>HYPERLINK("https://www.773grp.com/manufacturer/onsemi?pageNo=309", "ON Semiconductor")</f>
        <v>ON Semiconductor</v>
      </c>
      <c r="C43067" s="6">
        <v>3900</v>
      </c>
      <c r="D43067" s="7">
        <v>13.93</v>
      </c>
    </row>
    <row r="43068" spans="1:5" x14ac:dyDescent="0.25">
      <c r="A43068" t="str">
        <f>HYPERLINK("https://www.773grp.com/globalSearch/NB6L11D/page-1", "NB6L11D")</f>
        <v>NB6L11D</v>
      </c>
      <c r="B43068" s="3" t="str">
        <f>HYPERLINK("https://www.773grp.com/manufacturer/onsemi?pageNo=310", "ON Semiconductor")</f>
        <v>ON Semiconductor</v>
      </c>
      <c r="C43068" s="6">
        <v>17913</v>
      </c>
      <c r="D43068" s="7">
        <v>13.93</v>
      </c>
      <c r="E43068" t="s">
        <v>34</v>
      </c>
    </row>
    <row r="43069" spans="1:5" x14ac:dyDescent="0.25">
      <c r="A43069" t="str">
        <f>HYPERLINK("https://www.773grp.com/globalSearch/NB6L11DG/page-1", "NB6L11DG")</f>
        <v>NB6L11DG</v>
      </c>
      <c r="B43069" s="3" t="str">
        <f>HYPERLINK("https://www.773grp.com/manufacturer/onsemi?pageNo=311", "ON Semiconductor")</f>
        <v>ON Semiconductor</v>
      </c>
      <c r="C43069" s="6">
        <v>2</v>
      </c>
      <c r="D43069" s="7">
        <v>13.93</v>
      </c>
      <c r="E43069" t="s">
        <v>34</v>
      </c>
    </row>
    <row r="43070" spans="1:5" x14ac:dyDescent="0.25">
      <c r="A43070" t="str">
        <f>HYPERLINK("https://www.773grp.com/globalSearch/NB6L16DG/page-1", "NB6L16DG")</f>
        <v>NB6L16DG</v>
      </c>
      <c r="B43070" s="3" t="str">
        <f>HYPERLINK("https://www.773grp.com/manufacturer/onsemi?pageNo=312", "ON Semiconductor")</f>
        <v>ON Semiconductor</v>
      </c>
      <c r="C43070" s="6">
        <v>2683</v>
      </c>
      <c r="D43070" s="7">
        <v>13.93</v>
      </c>
      <c r="E43070" t="s">
        <v>34</v>
      </c>
    </row>
    <row r="43071" spans="1:5" x14ac:dyDescent="0.25">
      <c r="A43071" t="str">
        <f>HYPERLINK("https://www.773grp.com/globalSearch/NB6L16DR2G/page-1", "NB6L16DR2G")</f>
        <v>NB6L16DR2G</v>
      </c>
      <c r="B43071" s="3" t="str">
        <f>HYPERLINK("https://www.773grp.com/manufacturer/onsemi?pageNo=313", "ON Semiconductor")</f>
        <v>ON Semiconductor</v>
      </c>
      <c r="C43071" s="6">
        <v>12490</v>
      </c>
      <c r="D43071" s="7">
        <v>13.93</v>
      </c>
      <c r="E43071" t="s">
        <v>34</v>
      </c>
    </row>
    <row r="43072" spans="1:5" x14ac:dyDescent="0.25">
      <c r="A43072" t="str">
        <f>HYPERLINK("https://www.773grp.com/globalSearch/NB6L16DTG/page-1", "NB6L16DTG")</f>
        <v>NB6L16DTG</v>
      </c>
      <c r="B43072" s="3" t="str">
        <f>HYPERLINK("https://www.773grp.com/manufacturer/onsemi?pageNo=314", "ON Semiconductor")</f>
        <v>ON Semiconductor</v>
      </c>
      <c r="C43072" s="6">
        <v>1878</v>
      </c>
      <c r="D43072" s="7">
        <v>13.93</v>
      </c>
      <c r="E43072" t="s">
        <v>34</v>
      </c>
    </row>
    <row r="43073" spans="1:5" x14ac:dyDescent="0.25">
      <c r="A43073" t="str">
        <f>HYPERLINK("https://www.773grp.com/globalSearch/NB6L16DTR2G/page-1", "NB6L16DTR2G")</f>
        <v>NB6L16DTR2G</v>
      </c>
      <c r="B43073" s="3" t="str">
        <f>HYPERLINK("https://www.773grp.com/manufacturer/onsemi?pageNo=315", "ON Semiconductor")</f>
        <v>ON Semiconductor</v>
      </c>
      <c r="C43073" s="6">
        <v>12596</v>
      </c>
      <c r="D43073" s="7">
        <v>13.93</v>
      </c>
      <c r="E43073" t="s">
        <v>34</v>
      </c>
    </row>
    <row r="43074" spans="1:5" x14ac:dyDescent="0.25">
      <c r="A43074" t="str">
        <f>HYPERLINK("https://www.773grp.com/globalSearch/LC75281E-E/page-1", "LC75281E-E")</f>
        <v>LC75281E-E</v>
      </c>
      <c r="B43074" s="3" t="str">
        <f>HYPERLINK("https://www.773grp.com/manufacturer/onsemi?pageNo=316", "ON Semiconductor")</f>
        <v>ON Semiconductor</v>
      </c>
      <c r="C43074" s="6">
        <v>1811</v>
      </c>
      <c r="D43074" s="7">
        <v>14.04</v>
      </c>
    </row>
    <row r="43075" spans="1:5" x14ac:dyDescent="0.25">
      <c r="A43075" t="str">
        <f>HYPERLINK("https://www.773grp.com/globalSearch/AD7887BRZ/page-1", "AD7887BRZ")</f>
        <v>AD7887BRZ</v>
      </c>
      <c r="B43075" s="3" t="str">
        <f>HYPERLINK("https://www.773grp.com/manufacturer/onsemi?pageNo=317", "ON Semiconductor")</f>
        <v>ON Semiconductor</v>
      </c>
      <c r="C43075" s="6">
        <v>59</v>
      </c>
      <c r="D43075" s="7">
        <v>14.06</v>
      </c>
    </row>
    <row r="43076" spans="1:5" x14ac:dyDescent="0.25">
      <c r="A43076" t="str">
        <f>HYPERLINK("https://www.773grp.com/globalSearch/ADM1023ARQ-REEL7/page-1", "ADM1023ARQ-REEL7")</f>
        <v>ADM1023ARQ-REEL7</v>
      </c>
      <c r="B43076" s="3" t="str">
        <f>HYPERLINK("https://www.773grp.com/manufacturer/onsemi?pageNo=318", "ON Semiconductor")</f>
        <v>ON Semiconductor</v>
      </c>
      <c r="C43076" s="6">
        <v>2288</v>
      </c>
      <c r="D43076" s="7">
        <v>14.06</v>
      </c>
      <c r="E43076" t="s">
        <v>40</v>
      </c>
    </row>
    <row r="43077" spans="1:5" x14ac:dyDescent="0.25">
      <c r="A43077" t="str">
        <f>HYPERLINK("https://www.773grp.com/globalSearch/ADM1026JST/page-1", "ADM1026JST")</f>
        <v>ADM1026JST</v>
      </c>
      <c r="B43077" s="3" t="str">
        <f>HYPERLINK("https://www.773grp.com/manufacturer/onsemi?pageNo=319", "ON Semiconductor")</f>
        <v>ON Semiconductor</v>
      </c>
      <c r="C43077" s="6">
        <v>65</v>
      </c>
      <c r="D43077" s="7">
        <v>14.06</v>
      </c>
      <c r="E43077" t="s">
        <v>30</v>
      </c>
    </row>
    <row r="43078" spans="1:5" x14ac:dyDescent="0.25">
      <c r="A43078" t="str">
        <f>HYPERLINK("https://www.773grp.com/globalSearch/ADM1026JSTZ-R7/page-1", "ADM1026JSTZ-R7")</f>
        <v>ADM1026JSTZ-R7</v>
      </c>
      <c r="B43078" s="3" t="str">
        <f>HYPERLINK("https://www.773grp.com/manufacturer/onsemi?pageNo=320", "ON Semiconductor")</f>
        <v>ON Semiconductor</v>
      </c>
      <c r="C43078" s="6">
        <v>914</v>
      </c>
      <c r="D43078" s="7">
        <v>14.06</v>
      </c>
      <c r="E43078" t="s">
        <v>30</v>
      </c>
    </row>
    <row r="43079" spans="1:5" x14ac:dyDescent="0.25">
      <c r="A43079" t="str">
        <f>HYPERLINK("https://www.773grp.com/globalSearch/ADM1026JSTZ-REEL/page-1", "ADM1026JSTZ-REEL")</f>
        <v>ADM1026JSTZ-REEL</v>
      </c>
      <c r="B43079" s="3" t="str">
        <f>HYPERLINK("https://www.773grp.com/manufacturer/onsemi?pageNo=321", "ON Semiconductor")</f>
        <v>ON Semiconductor</v>
      </c>
      <c r="C43079" s="6">
        <v>1965</v>
      </c>
      <c r="D43079" s="7">
        <v>14.06</v>
      </c>
    </row>
    <row r="43080" spans="1:5" x14ac:dyDescent="0.25">
      <c r="A43080" t="str">
        <f>HYPERLINK("https://www.773grp.com/globalSearch/MC100E016FNR2/page-1", "MC100E016FNR2")</f>
        <v>MC100E016FNR2</v>
      </c>
      <c r="B43080" s="3" t="str">
        <f>HYPERLINK("https://www.773grp.com/manufacturer/onsemi?pageNo=322", "ON Semiconductor")</f>
        <v>ON Semiconductor</v>
      </c>
      <c r="C43080" s="6">
        <v>196</v>
      </c>
      <c r="D43080" s="7">
        <v>14.06</v>
      </c>
      <c r="E43080" t="s">
        <v>26</v>
      </c>
    </row>
    <row r="43081" spans="1:5" x14ac:dyDescent="0.25">
      <c r="A43081" t="str">
        <f>HYPERLINK("https://www.773grp.com/globalSearch/MC100E101FNG/page-1", "MC100E101FNG")</f>
        <v>MC100E101FNG</v>
      </c>
      <c r="B43081" s="3" t="str">
        <f>HYPERLINK("https://www.773grp.com/manufacturer/onsemi?pageNo=323", "ON Semiconductor")</f>
        <v>ON Semiconductor</v>
      </c>
      <c r="C43081" s="6">
        <v>1993</v>
      </c>
      <c r="D43081" s="7">
        <v>14.06</v>
      </c>
      <c r="E43081" t="s">
        <v>31</v>
      </c>
    </row>
    <row r="43082" spans="1:5" x14ac:dyDescent="0.25">
      <c r="A43082" t="str">
        <f>HYPERLINK("https://www.773grp.com/globalSearch/MC100EL1648MELG/page-1", "MC100EL1648MELG")</f>
        <v>MC100EL1648MELG</v>
      </c>
      <c r="B43082" s="3" t="str">
        <f>HYPERLINK("https://www.773grp.com/manufacturer/onsemi?pageNo=324", "ON Semiconductor")</f>
        <v>ON Semiconductor</v>
      </c>
      <c r="C43082" s="6">
        <v>25767</v>
      </c>
      <c r="D43082" s="7">
        <v>14.06</v>
      </c>
      <c r="E43082" t="s">
        <v>40</v>
      </c>
    </row>
    <row r="43083" spans="1:5" x14ac:dyDescent="0.25">
      <c r="A43083" t="str">
        <f>HYPERLINK("https://www.773grp.com/globalSearch/MC100EL1648MG/page-1", "MC100EL1648MG")</f>
        <v>MC100EL1648MG</v>
      </c>
      <c r="B43083" s="3" t="str">
        <f>HYPERLINK("https://www.773grp.com/manufacturer/onsemi?pageNo=325", "ON Semiconductor")</f>
        <v>ON Semiconductor</v>
      </c>
      <c r="C43083" s="6">
        <v>16100</v>
      </c>
      <c r="D43083" s="7">
        <v>14.06</v>
      </c>
      <c r="E43083" t="s">
        <v>40</v>
      </c>
    </row>
    <row r="43084" spans="1:5" x14ac:dyDescent="0.25">
      <c r="A43084" t="str">
        <f>HYPERLINK("https://www.773grp.com/globalSearch/MC100EL30DWG/page-1", "MC100EL30DWG")</f>
        <v>MC100EL30DWG</v>
      </c>
      <c r="B43084" s="3" t="str">
        <f>HYPERLINK("https://www.773grp.com/manufacturer/onsemi?pageNo=326", "ON Semiconductor")</f>
        <v>ON Semiconductor</v>
      </c>
      <c r="C43084" s="6">
        <v>5115</v>
      </c>
      <c r="D43084" s="7">
        <v>14.06</v>
      </c>
      <c r="E43084" t="s">
        <v>35</v>
      </c>
    </row>
    <row r="43085" spans="1:5" x14ac:dyDescent="0.25">
      <c r="A43085" t="str">
        <f>HYPERLINK("https://www.773grp.com/globalSearch/MC100EL30DWR2G/page-1", "MC100EL30DWR2G")</f>
        <v>MC100EL30DWR2G</v>
      </c>
      <c r="B43085" s="3" t="str">
        <f>HYPERLINK("https://www.773grp.com/manufacturer/onsemi?pageNo=327", "ON Semiconductor")</f>
        <v>ON Semiconductor</v>
      </c>
      <c r="C43085" s="6">
        <v>2000</v>
      </c>
      <c r="D43085" s="7">
        <v>14.06</v>
      </c>
      <c r="E43085" t="s">
        <v>35</v>
      </c>
    </row>
    <row r="43086" spans="1:5" x14ac:dyDescent="0.25">
      <c r="A43086" t="str">
        <f>HYPERLINK("https://www.773grp.com/globalSearch/MC100EP140DR2/page-1", "MC100EP140DR2")</f>
        <v>MC100EP140DR2</v>
      </c>
      <c r="B43086" s="3" t="str">
        <f>HYPERLINK("https://www.773grp.com/manufacturer/onsemi?pageNo=328", "ON Semiconductor")</f>
        <v>ON Semiconductor</v>
      </c>
      <c r="C43086" s="6">
        <v>6058</v>
      </c>
      <c r="D43086" s="7">
        <v>14.06</v>
      </c>
      <c r="E43086" t="s">
        <v>38</v>
      </c>
    </row>
    <row r="43087" spans="1:5" x14ac:dyDescent="0.25">
      <c r="A43087" t="str">
        <f>HYPERLINK("https://www.773grp.com/globalSearch/MC100LEVL14DW/page-1", "MC100LEVL14DW")</f>
        <v>MC100LEVL14DW</v>
      </c>
      <c r="B43087" s="3" t="str">
        <f>HYPERLINK("https://www.773grp.com/manufacturer/onsemi?pageNo=329", "ON Semiconductor")</f>
        <v>ON Semiconductor</v>
      </c>
      <c r="C43087" s="6">
        <v>37</v>
      </c>
      <c r="D43087" s="7">
        <v>14.06</v>
      </c>
    </row>
    <row r="43088" spans="1:5" x14ac:dyDescent="0.25">
      <c r="A43088" t="str">
        <f>HYPERLINK("https://www.773grp.com/globalSearch/MC100LVEL30DWG/page-1", "MC100LVEL30DWG")</f>
        <v>MC100LVEL30DWG</v>
      </c>
      <c r="B43088" s="3" t="str">
        <f>HYPERLINK("https://www.773grp.com/manufacturer/onsemi?pageNo=330", "ON Semiconductor")</f>
        <v>ON Semiconductor</v>
      </c>
      <c r="C43088" s="6">
        <v>360</v>
      </c>
      <c r="D43088" s="7">
        <v>14.06</v>
      </c>
      <c r="E43088" t="s">
        <v>35</v>
      </c>
    </row>
    <row r="43089" spans="1:5" x14ac:dyDescent="0.25">
      <c r="A43089" t="str">
        <f>HYPERLINK("https://www.773grp.com/globalSearch/MC10E016FN/page-1", "MC10E016FN")</f>
        <v>MC10E016FN</v>
      </c>
      <c r="B43089" s="3" t="str">
        <f>HYPERLINK("https://www.773grp.com/manufacturer/onsemi?pageNo=331", "ON Semiconductor")</f>
        <v>ON Semiconductor</v>
      </c>
      <c r="C43089" s="6">
        <v>1941</v>
      </c>
      <c r="D43089" s="7">
        <v>14.06</v>
      </c>
      <c r="E43089" t="s">
        <v>26</v>
      </c>
    </row>
    <row r="43090" spans="1:5" x14ac:dyDescent="0.25">
      <c r="A43090" t="str">
        <f>HYPERLINK("https://www.773grp.com/globalSearch/MC10E016FNR2/page-1", "MC10E016FNR2")</f>
        <v>MC10E016FNR2</v>
      </c>
      <c r="B43090" s="3" t="str">
        <f>HYPERLINK("https://www.773grp.com/manufacturer/onsemi?pageNo=332", "ON Semiconductor")</f>
        <v>ON Semiconductor</v>
      </c>
      <c r="C43090" s="6">
        <v>1500</v>
      </c>
      <c r="D43090" s="7">
        <v>14.06</v>
      </c>
      <c r="E43090" t="s">
        <v>26</v>
      </c>
    </row>
    <row r="43091" spans="1:5" x14ac:dyDescent="0.25">
      <c r="A43091" t="str">
        <f>HYPERLINK("https://www.773grp.com/globalSearch/MC10H141FNG/page-1", "MC10H141FNG")</f>
        <v>MC10H141FNG</v>
      </c>
      <c r="B43091" s="3" t="str">
        <f>HYPERLINK("https://www.773grp.com/manufacturer/onsemi?pageNo=333", "ON Semiconductor")</f>
        <v>ON Semiconductor</v>
      </c>
      <c r="C43091" s="6">
        <v>4048</v>
      </c>
      <c r="D43091" s="7">
        <v>14.06</v>
      </c>
      <c r="E43091" t="s">
        <v>32</v>
      </c>
    </row>
    <row r="43092" spans="1:5" x14ac:dyDescent="0.25">
      <c r="A43092" t="str">
        <f>HYPERLINK("https://www.773grp.com/globalSearch/MC10H141FNR2G/page-1", "MC10H141FNR2G")</f>
        <v>MC10H141FNR2G</v>
      </c>
      <c r="B43092" s="3" t="str">
        <f>HYPERLINK("https://www.773grp.com/manufacturer/onsemi?pageNo=334", "ON Semiconductor")</f>
        <v>ON Semiconductor</v>
      </c>
      <c r="C43092" s="6">
        <v>1500</v>
      </c>
      <c r="D43092" s="7">
        <v>14.06</v>
      </c>
      <c r="E43092" t="s">
        <v>32</v>
      </c>
    </row>
    <row r="43093" spans="1:5" x14ac:dyDescent="0.25">
      <c r="A43093" t="str">
        <f>HYPERLINK("https://www.773grp.com/globalSearch/MC10H141PG/page-1", "MC10H141PG")</f>
        <v>MC10H141PG</v>
      </c>
      <c r="B43093" s="3" t="str">
        <f>HYPERLINK("https://www.773grp.com/manufacturer/onsemi?pageNo=335", "ON Semiconductor")</f>
        <v>ON Semiconductor</v>
      </c>
      <c r="C43093" s="6">
        <v>2644</v>
      </c>
      <c r="D43093" s="7">
        <v>14.06</v>
      </c>
      <c r="E43093" t="s">
        <v>32</v>
      </c>
    </row>
    <row r="43094" spans="1:5" x14ac:dyDescent="0.25">
      <c r="A43094" t="str">
        <f>HYPERLINK("https://www.773grp.com/globalSearch/MCH12140DG/page-1", "MCH12140DG")</f>
        <v>MCH12140DG</v>
      </c>
      <c r="B43094" s="3" t="str">
        <f>HYPERLINK("https://www.773grp.com/manufacturer/onsemi?pageNo=336", "ON Semiconductor")</f>
        <v>ON Semiconductor</v>
      </c>
      <c r="C43094" s="6">
        <v>1370</v>
      </c>
      <c r="D43094" s="7">
        <v>14.06</v>
      </c>
      <c r="E43094" t="s">
        <v>38</v>
      </c>
    </row>
    <row r="43095" spans="1:5" x14ac:dyDescent="0.25">
      <c r="A43095" t="str">
        <f>HYPERLINK("https://www.773grp.com/globalSearch/MCH12140DR2/page-1", "MCH12140DR2")</f>
        <v>MCH12140DR2</v>
      </c>
      <c r="B43095" s="3" t="str">
        <f>HYPERLINK("https://www.773grp.com/manufacturer/onsemi?pageNo=337", "ON Semiconductor")</f>
        <v>ON Semiconductor</v>
      </c>
      <c r="C43095" s="6">
        <v>7500</v>
      </c>
      <c r="D43095" s="7">
        <v>14.06</v>
      </c>
      <c r="E43095" t="s">
        <v>38</v>
      </c>
    </row>
    <row r="43096" spans="1:5" x14ac:dyDescent="0.25">
      <c r="A43096" t="str">
        <f>HYPERLINK("https://www.773grp.com/globalSearch/MCH12140DR2G/page-1", "MCH12140DR2G")</f>
        <v>MCH12140DR2G</v>
      </c>
      <c r="B43096" s="3" t="str">
        <f>HYPERLINK("https://www.773grp.com/manufacturer/onsemi?pageNo=338", "ON Semiconductor")</f>
        <v>ON Semiconductor</v>
      </c>
      <c r="C43096" s="6">
        <v>12500</v>
      </c>
      <c r="D43096" s="7">
        <v>14.06</v>
      </c>
      <c r="E43096" t="s">
        <v>38</v>
      </c>
    </row>
    <row r="43097" spans="1:5" x14ac:dyDescent="0.25">
      <c r="A43097" t="str">
        <f>HYPERLINK("https://www.773grp.com/globalSearch/MCK12140DG/page-1", "MCK12140DG")</f>
        <v>MCK12140DG</v>
      </c>
      <c r="B43097" s="3" t="str">
        <f>HYPERLINK("https://www.773grp.com/manufacturer/onsemi?pageNo=339", "ON Semiconductor")</f>
        <v>ON Semiconductor</v>
      </c>
      <c r="C43097" s="6">
        <v>584</v>
      </c>
      <c r="D43097" s="7">
        <v>14.06</v>
      </c>
      <c r="E43097" t="s">
        <v>38</v>
      </c>
    </row>
    <row r="43098" spans="1:5" x14ac:dyDescent="0.25">
      <c r="A43098" t="str">
        <f>HYPERLINK("https://www.773grp.com/globalSearch/MCK12140DR2G/page-1", "MCK12140DR2G")</f>
        <v>MCK12140DR2G</v>
      </c>
      <c r="B43098" s="3" t="str">
        <f>HYPERLINK("https://www.773grp.com/manufacturer/onsemi?pageNo=340", "ON Semiconductor")</f>
        <v>ON Semiconductor</v>
      </c>
      <c r="C43098" s="6">
        <v>3473</v>
      </c>
      <c r="D43098" s="7">
        <v>14.06</v>
      </c>
      <c r="E43098" t="s">
        <v>38</v>
      </c>
    </row>
    <row r="43099" spans="1:5" x14ac:dyDescent="0.25">
      <c r="A43099" t="str">
        <f>HYPERLINK("https://www.773grp.com/globalSearch/NB4L52MNG/page-1", "NB4L52MNG")</f>
        <v>NB4L52MNG</v>
      </c>
      <c r="B43099" s="3" t="str">
        <f>HYPERLINK("https://www.773grp.com/manufacturer/onsemi?pageNo=341", "ON Semiconductor")</f>
        <v>ON Semiconductor</v>
      </c>
      <c r="C43099" s="6">
        <v>13597</v>
      </c>
      <c r="D43099" s="7">
        <v>14.06</v>
      </c>
      <c r="E43099" t="s">
        <v>35</v>
      </c>
    </row>
    <row r="43100" spans="1:5" x14ac:dyDescent="0.25">
      <c r="A43100" t="str">
        <f>HYPERLINK("https://www.773grp.com/globalSearch/NB4L858MFAG/page-1", "NB4L858MFAG")</f>
        <v>NB4L858MFAG</v>
      </c>
      <c r="B43100" s="3" t="str">
        <f>HYPERLINK("https://www.773grp.com/manufacturer/onsemi?pageNo=342", "ON Semiconductor")</f>
        <v>ON Semiconductor</v>
      </c>
      <c r="C43100" s="6">
        <v>4369</v>
      </c>
      <c r="D43100" s="7">
        <v>14.06</v>
      </c>
      <c r="E43100" t="s">
        <v>56</v>
      </c>
    </row>
    <row r="43101" spans="1:5" x14ac:dyDescent="0.25">
      <c r="A43101" t="str">
        <f>HYPERLINK("https://www.773grp.com/globalSearch/NB4L858MFAR2G/page-1", "NB4L858MFAR2G")</f>
        <v>NB4L858MFAR2G</v>
      </c>
      <c r="B43101" s="3" t="str">
        <f>HYPERLINK("https://www.773grp.com/manufacturer/onsemi?pageNo=343", "ON Semiconductor")</f>
        <v>ON Semiconductor</v>
      </c>
      <c r="C43101" s="6">
        <v>2000</v>
      </c>
      <c r="D43101" s="7">
        <v>14.06</v>
      </c>
      <c r="E43101" t="s">
        <v>56</v>
      </c>
    </row>
    <row r="43102" spans="1:5" x14ac:dyDescent="0.25">
      <c r="A43102" t="str">
        <f>HYPERLINK("https://www.773grp.com/globalSearch/NB7HQ14MMNG/page-1", "NB7HQ14MMNG")</f>
        <v>NB7HQ14MMNG</v>
      </c>
      <c r="B43102" s="3" t="str">
        <f>HYPERLINK("https://www.773grp.com/manufacturer/onsemi?pageNo=344", "ON Semiconductor")</f>
        <v>ON Semiconductor</v>
      </c>
      <c r="C43102" s="6">
        <v>1107</v>
      </c>
      <c r="D43102" s="7">
        <v>14.06</v>
      </c>
      <c r="E43102" t="s">
        <v>73</v>
      </c>
    </row>
    <row r="43103" spans="1:5" x14ac:dyDescent="0.25">
      <c r="A43103" t="str">
        <f>HYPERLINK("https://www.773grp.com/globalSearch/NB7HQ14MMNHTBG/page-1", "NB7HQ14MMNHTBG")</f>
        <v>NB7HQ14MMNHTBG</v>
      </c>
      <c r="B43103" s="3" t="str">
        <f>HYPERLINK("https://www.773grp.com/manufacturer/onsemi?pageNo=345", "ON Semiconductor")</f>
        <v>ON Semiconductor</v>
      </c>
      <c r="C43103" s="6">
        <v>20</v>
      </c>
      <c r="D43103" s="7">
        <v>14.06</v>
      </c>
    </row>
    <row r="43104" spans="1:5" x14ac:dyDescent="0.25">
      <c r="A43104" t="str">
        <f>HYPERLINK("https://www.773grp.com/globalSearch/NB7V33MMNG/page-1", "NB7V33MMNG")</f>
        <v>NB7V33MMNG</v>
      </c>
      <c r="B43104" s="3" t="str">
        <f>HYPERLINK("https://www.773grp.com/manufacturer/onsemi?pageNo=346", "ON Semiconductor")</f>
        <v>ON Semiconductor</v>
      </c>
      <c r="C43104" s="6">
        <v>359</v>
      </c>
      <c r="D43104" s="7">
        <v>14.06</v>
      </c>
      <c r="E43104" t="s">
        <v>34</v>
      </c>
    </row>
    <row r="43105" spans="1:5" x14ac:dyDescent="0.25">
      <c r="A43105" t="str">
        <f>HYPERLINK("https://www.773grp.com/globalSearch/NB7V33MMNHTBG/page-1", "NB7V33MMNHTBG")</f>
        <v>NB7V33MMNHTBG</v>
      </c>
      <c r="B43105" s="3" t="str">
        <f>HYPERLINK("https://www.773grp.com/manufacturer/onsemi?pageNo=347", "ON Semiconductor")</f>
        <v>ON Semiconductor</v>
      </c>
      <c r="C43105" s="6">
        <v>100</v>
      </c>
      <c r="D43105" s="7">
        <v>14.06</v>
      </c>
    </row>
    <row r="43106" spans="1:5" x14ac:dyDescent="0.25">
      <c r="A43106" t="str">
        <f>HYPERLINK("https://www.773grp.com/globalSearch/NB7V585MMNG/page-1", "NB7V585MMNG")</f>
        <v>NB7V585MMNG</v>
      </c>
      <c r="B43106" s="3" t="str">
        <f>HYPERLINK("https://www.773grp.com/manufacturer/onsemi?pageNo=348", "ON Semiconductor")</f>
        <v>ON Semiconductor</v>
      </c>
      <c r="C43106" s="6">
        <v>557</v>
      </c>
      <c r="D43106" s="7">
        <v>14.06</v>
      </c>
    </row>
    <row r="43107" spans="1:5" x14ac:dyDescent="0.25">
      <c r="A43107" t="str">
        <f>HYPERLINK("https://www.773grp.com/globalSearch/NB7V585MMNR4G/page-1", "NB7V585MMNR4G")</f>
        <v>NB7V585MMNR4G</v>
      </c>
      <c r="B43107" s="3" t="str">
        <f>HYPERLINK("https://www.773grp.com/manufacturer/onsemi?pageNo=349", "ON Semiconductor")</f>
        <v>ON Semiconductor</v>
      </c>
      <c r="C43107" s="6">
        <v>2500</v>
      </c>
      <c r="D43107" s="7">
        <v>14.06</v>
      </c>
      <c r="E43107" t="s">
        <v>20</v>
      </c>
    </row>
    <row r="43108" spans="1:5" x14ac:dyDescent="0.25">
      <c r="A43108" t="str">
        <f>HYPERLINK("https://www.773grp.com/globalSearch/NBC12429FAG/page-1", "NBC12429FAG")</f>
        <v>NBC12429FAG</v>
      </c>
      <c r="B43108" s="3" t="str">
        <f>HYPERLINK("https://www.773grp.com/manufacturer/onsemi?pageNo=350", "ON Semiconductor")</f>
        <v>ON Semiconductor</v>
      </c>
      <c r="C43108" s="6">
        <v>1323</v>
      </c>
      <c r="D43108" s="7">
        <v>14.06</v>
      </c>
      <c r="E43108" t="s">
        <v>79</v>
      </c>
    </row>
    <row r="43109" spans="1:5" x14ac:dyDescent="0.25">
      <c r="A43109" t="str">
        <f>HYPERLINK("https://www.773grp.com/globalSearch/NBC12429FAR2G/page-1", "NBC12429FAR2G")</f>
        <v>NBC12429FAR2G</v>
      </c>
      <c r="B43109" s="3" t="str">
        <f>HYPERLINK("https://www.773grp.com/manufacturer/onsemi?pageNo=351", "ON Semiconductor")</f>
        <v>ON Semiconductor</v>
      </c>
      <c r="C43109" s="6">
        <v>1399</v>
      </c>
      <c r="D43109" s="7">
        <v>14.06</v>
      </c>
      <c r="E43109" t="s">
        <v>79</v>
      </c>
    </row>
    <row r="43110" spans="1:5" x14ac:dyDescent="0.25">
      <c r="A43110" t="str">
        <f>HYPERLINK("https://www.773grp.com/globalSearch/NBC12429FNG/page-1", "NBC12429FNG")</f>
        <v>NBC12429FNG</v>
      </c>
      <c r="B43110" s="3" t="str">
        <f>HYPERLINK("https://www.773grp.com/manufacturer/onsemi?pageNo=352", "ON Semiconductor")</f>
        <v>ON Semiconductor</v>
      </c>
      <c r="C43110" s="6">
        <v>9</v>
      </c>
      <c r="D43110" s="7">
        <v>14.06</v>
      </c>
      <c r="E43110" t="s">
        <v>79</v>
      </c>
    </row>
    <row r="43111" spans="1:5" x14ac:dyDescent="0.25">
      <c r="A43111" t="str">
        <f>HYPERLINK("https://www.773grp.com/globalSearch/NBC12430FAG/page-1", "NBC12430FAG")</f>
        <v>NBC12430FAG</v>
      </c>
      <c r="B43111" s="3" t="str">
        <f>HYPERLINK("https://www.773grp.com/manufacturer/onsemi?pageNo=353", "ON Semiconductor")</f>
        <v>ON Semiconductor</v>
      </c>
      <c r="C43111" s="6">
        <v>384</v>
      </c>
      <c r="D43111" s="7">
        <v>14.06</v>
      </c>
      <c r="E43111" t="s">
        <v>79</v>
      </c>
    </row>
    <row r="43112" spans="1:5" x14ac:dyDescent="0.25">
      <c r="A43112" t="str">
        <f>HYPERLINK("https://www.773grp.com/globalSearch/NBC12430FAR2G/page-1", "NBC12430FAR2G")</f>
        <v>NBC12430FAR2G</v>
      </c>
      <c r="B43112" s="3" t="str">
        <f>HYPERLINK("https://www.773grp.com/manufacturer/onsemi?pageNo=354", "ON Semiconductor")</f>
        <v>ON Semiconductor</v>
      </c>
      <c r="C43112" s="6">
        <v>2080</v>
      </c>
      <c r="D43112" s="7">
        <v>14.06</v>
      </c>
      <c r="E43112" t="s">
        <v>79</v>
      </c>
    </row>
    <row r="43113" spans="1:5" x14ac:dyDescent="0.25">
      <c r="A43113" t="str">
        <f>HYPERLINK("https://www.773grp.com/globalSearch/NBC12430FNG/page-1", "NBC12430FNG")</f>
        <v>NBC12430FNG</v>
      </c>
      <c r="B43113" s="3" t="str">
        <f>HYPERLINK("https://www.773grp.com/manufacturer/onsemi?pageNo=355", "ON Semiconductor")</f>
        <v>ON Semiconductor</v>
      </c>
      <c r="C43113" s="6">
        <v>17</v>
      </c>
      <c r="D43113" s="7">
        <v>14.06</v>
      </c>
    </row>
    <row r="43114" spans="1:5" x14ac:dyDescent="0.25">
      <c r="A43114" t="str">
        <f>HYPERLINK("https://www.773grp.com/globalSearch/NBC12439FAG/page-1", "NBC12439FAG")</f>
        <v>NBC12439FAG</v>
      </c>
      <c r="B43114" s="3" t="str">
        <f>HYPERLINK("https://www.773grp.com/manufacturer/onsemi?pageNo=356", "ON Semiconductor")</f>
        <v>ON Semiconductor</v>
      </c>
      <c r="C43114" s="6">
        <v>2875</v>
      </c>
      <c r="D43114" s="7">
        <v>14.06</v>
      </c>
      <c r="E43114" t="s">
        <v>79</v>
      </c>
    </row>
    <row r="43115" spans="1:5" x14ac:dyDescent="0.25">
      <c r="A43115" t="str">
        <f>HYPERLINK("https://www.773grp.com/globalSearch/NBC12439FNG/page-1", "NBC12439FNG")</f>
        <v>NBC12439FNG</v>
      </c>
      <c r="B43115" s="3" t="str">
        <f>HYPERLINK("https://www.773grp.com/manufacturer/onsemi?pageNo=357", "ON Semiconductor")</f>
        <v>ON Semiconductor</v>
      </c>
      <c r="C43115" s="6">
        <v>1618</v>
      </c>
      <c r="D43115" s="7">
        <v>14.06</v>
      </c>
      <c r="E43115" t="s">
        <v>79</v>
      </c>
    </row>
    <row r="43116" spans="1:5" x14ac:dyDescent="0.25">
      <c r="A43116" t="str">
        <f>HYPERLINK("https://www.773grp.com/globalSearch/STK404-140N-E/page-1", "STK404-140N-E")</f>
        <v>STK404-140N-E</v>
      </c>
      <c r="B43116" s="3" t="str">
        <f>HYPERLINK("https://www.773grp.com/manufacturer/onsemi?pageNo=358", "ON Semiconductor")</f>
        <v>ON Semiconductor</v>
      </c>
      <c r="C43116" s="6">
        <v>25</v>
      </c>
      <c r="D43116" s="7">
        <v>14.06</v>
      </c>
    </row>
    <row r="43117" spans="1:5" x14ac:dyDescent="0.25">
      <c r="A43117" t="str">
        <f>HYPERLINK("https://www.773grp.com/globalSearch/STK672-110-SL-E/page-1", "STK672-110-SL-E")</f>
        <v>STK672-110-SL-E</v>
      </c>
      <c r="B43117" s="3" t="str">
        <f>HYPERLINK("https://www.773grp.com/manufacturer/onsemi?pageNo=359", "ON Semiconductor")</f>
        <v>ON Semiconductor</v>
      </c>
      <c r="C43117" s="6">
        <v>2000</v>
      </c>
      <c r="D43117" s="7">
        <v>14.06</v>
      </c>
    </row>
    <row r="43118" spans="1:5" x14ac:dyDescent="0.25">
      <c r="A43118" t="str">
        <f>HYPERLINK("https://www.773grp.com/globalSearch/FS6377-01IG-XTD/page-1", "FS6377-01IG-XTD")</f>
        <v>FS6377-01IG-XTD</v>
      </c>
      <c r="B43118" s="3" t="str">
        <f>HYPERLINK("https://www.773grp.com/manufacturer/onsemi?pageNo=360", "ON Semiconductor")</f>
        <v>ON Semiconductor</v>
      </c>
      <c r="C43118" s="6">
        <v>16</v>
      </c>
      <c r="D43118" s="7">
        <v>14.14</v>
      </c>
    </row>
    <row r="43119" spans="1:5" x14ac:dyDescent="0.25">
      <c r="A43119" t="str">
        <f>HYPERLINK("https://www.773grp.com/globalSearch/MC10H645FN/page-1", "MC10H645FN")</f>
        <v>MC10H645FN</v>
      </c>
      <c r="B43119" s="3" t="str">
        <f>HYPERLINK("https://www.773grp.com/manufacturer/onsemi?pageNo=361", "ON Semiconductor")</f>
        <v>ON Semiconductor</v>
      </c>
      <c r="C43119" s="6">
        <v>907</v>
      </c>
      <c r="D43119" s="7">
        <v>14.14</v>
      </c>
      <c r="E43119" t="s">
        <v>34</v>
      </c>
    </row>
    <row r="43120" spans="1:5" x14ac:dyDescent="0.25">
      <c r="A43120" t="str">
        <f>HYPERLINK("https://www.773grp.com/globalSearch/MC10H645FNR2/page-1", "MC10H645FNR2")</f>
        <v>MC10H645FNR2</v>
      </c>
      <c r="B43120" s="3" t="str">
        <f>HYPERLINK("https://www.773grp.com/manufacturer/onsemi?pageNo=362", "ON Semiconductor")</f>
        <v>ON Semiconductor</v>
      </c>
      <c r="C43120" s="6">
        <v>2370</v>
      </c>
      <c r="D43120" s="7">
        <v>14.14</v>
      </c>
      <c r="E43120" t="s">
        <v>34</v>
      </c>
    </row>
    <row r="43121" spans="1:5" x14ac:dyDescent="0.25">
      <c r="A43121" t="str">
        <f>HYPERLINK("https://www.773grp.com/globalSearch/MC100H602FNG/page-1", "MC100H602FNG")</f>
        <v>MC100H602FNG</v>
      </c>
      <c r="B43121" s="3" t="str">
        <f>HYPERLINK("https://www.773grp.com/manufacturer/onsemi?pageNo=363", "ON Semiconductor")</f>
        <v>ON Semiconductor</v>
      </c>
      <c r="C43121" s="6">
        <v>761</v>
      </c>
      <c r="D43121" s="7">
        <v>14.18</v>
      </c>
      <c r="E43121" t="s">
        <v>73</v>
      </c>
    </row>
    <row r="43122" spans="1:5" x14ac:dyDescent="0.25">
      <c r="A43122" t="str">
        <f>HYPERLINK("https://www.773grp.com/globalSearch/MC100H607FNR2G/page-1", "MC100H607FNR2G")</f>
        <v>MC100H607FNR2G</v>
      </c>
      <c r="B43122" s="3" t="str">
        <f>HYPERLINK("https://www.773grp.com/manufacturer/onsemi?pageNo=364", "ON Semiconductor")</f>
        <v>ON Semiconductor</v>
      </c>
      <c r="C43122" s="6">
        <v>2500</v>
      </c>
      <c r="D43122" s="7">
        <v>14.18</v>
      </c>
      <c r="E43122" t="s">
        <v>73</v>
      </c>
    </row>
    <row r="43123" spans="1:5" x14ac:dyDescent="0.25">
      <c r="A43123" t="str">
        <f>HYPERLINK("https://www.773grp.com/globalSearch/MC10H603FNR2/page-1", "MC10H603FNR2")</f>
        <v>MC10H603FNR2</v>
      </c>
      <c r="B43123" s="3" t="str">
        <f>HYPERLINK("https://www.773grp.com/manufacturer/onsemi?pageNo=365", "ON Semiconductor")</f>
        <v>ON Semiconductor</v>
      </c>
      <c r="C43123" s="6">
        <v>500</v>
      </c>
      <c r="D43123" s="7">
        <v>14.18</v>
      </c>
      <c r="E43123" t="s">
        <v>73</v>
      </c>
    </row>
    <row r="43124" spans="1:5" x14ac:dyDescent="0.25">
      <c r="A43124" t="str">
        <f>HYPERLINK("https://www.773grp.com/globalSearch/MC10H606FN/page-1", "MC10H606FN")</f>
        <v>MC10H606FN</v>
      </c>
      <c r="B43124" s="3" t="str">
        <f>HYPERLINK("https://www.773grp.com/manufacturer/onsemi?pageNo=366", "ON Semiconductor")</f>
        <v>ON Semiconductor</v>
      </c>
      <c r="C43124" s="6">
        <v>421</v>
      </c>
      <c r="D43124" s="7">
        <v>14.18</v>
      </c>
      <c r="E43124" t="s">
        <v>73</v>
      </c>
    </row>
    <row r="43125" spans="1:5" x14ac:dyDescent="0.25">
      <c r="A43125" t="str">
        <f>HYPERLINK("https://www.773grp.com/globalSearch/MC10H351P/page-1", "MC10H351P")</f>
        <v>MC10H351P</v>
      </c>
      <c r="B43125" s="3" t="str">
        <f>HYPERLINK("https://www.773grp.com/manufacturer/onsemi?pageNo=367", "ON Semiconductor")</f>
        <v>ON Semiconductor</v>
      </c>
      <c r="C43125" s="6">
        <v>7568</v>
      </c>
      <c r="D43125" s="7">
        <v>14.21</v>
      </c>
      <c r="E43125" t="s">
        <v>73</v>
      </c>
    </row>
    <row r="43126" spans="1:5" x14ac:dyDescent="0.25">
      <c r="A43126" t="str">
        <f>HYPERLINK("https://www.773grp.com/globalSearch/MC10H352P/page-1", "MC10H352P")</f>
        <v>MC10H352P</v>
      </c>
      <c r="B43126" s="3" t="str">
        <f>HYPERLINK("https://www.773grp.com/manufacturer/onsemi?pageNo=368", "ON Semiconductor")</f>
        <v>ON Semiconductor</v>
      </c>
      <c r="C43126" s="6">
        <v>6054</v>
      </c>
      <c r="D43126" s="7">
        <v>14.21</v>
      </c>
      <c r="E43126" t="s">
        <v>73</v>
      </c>
    </row>
    <row r="43127" spans="1:5" x14ac:dyDescent="0.25">
      <c r="A43127" t="str">
        <f>HYPERLINK("https://www.773grp.com/globalSearch/NBC12430FN/page-1", "NBC12430FN")</f>
        <v>NBC12430FN</v>
      </c>
      <c r="B43127" s="3" t="str">
        <f>HYPERLINK("https://www.773grp.com/manufacturer/onsemi?pageNo=369", "ON Semiconductor")</f>
        <v>ON Semiconductor</v>
      </c>
      <c r="C43127" s="6">
        <v>769</v>
      </c>
      <c r="D43127" s="7">
        <v>14.48</v>
      </c>
      <c r="E43127" t="s">
        <v>79</v>
      </c>
    </row>
    <row r="43128" spans="1:5" x14ac:dyDescent="0.25">
      <c r="A43128" t="str">
        <f>HYPERLINK("https://www.773grp.com/globalSearch/AD790JR/page-1", "AD790JR")</f>
        <v>AD790JR</v>
      </c>
      <c r="B43128" s="3" t="str">
        <f>HYPERLINK("https://www.773grp.com/manufacturer/onsemi?pageNo=370", "ON Semiconductor")</f>
        <v>ON Semiconductor</v>
      </c>
      <c r="C43128" s="6">
        <v>28</v>
      </c>
      <c r="D43128" s="7">
        <v>14.51</v>
      </c>
    </row>
    <row r="43129" spans="1:5" x14ac:dyDescent="0.25">
      <c r="A43129" t="str">
        <f>HYPERLINK("https://www.773grp.com/globalSearch/MC100EP57MNG/page-1", "MC100EP57MNG")</f>
        <v>MC100EP57MNG</v>
      </c>
      <c r="B43129" s="3" t="str">
        <f>HYPERLINK("https://www.773grp.com/manufacturer/onsemi?pageNo=371", "ON Semiconductor")</f>
        <v>ON Semiconductor</v>
      </c>
      <c r="C43129" s="6">
        <v>3562</v>
      </c>
      <c r="D43129" s="7">
        <v>14.76</v>
      </c>
      <c r="E43129" t="s">
        <v>20</v>
      </c>
    </row>
    <row r="43130" spans="1:5" x14ac:dyDescent="0.25">
      <c r="A43130" t="str">
        <f>HYPERLINK("https://www.773grp.com/globalSearch/MC10EP57DTG/page-1", "MC10EP57DTG")</f>
        <v>MC10EP57DTG</v>
      </c>
      <c r="B43130" s="3" t="str">
        <f>HYPERLINK("https://www.773grp.com/manufacturer/onsemi?pageNo=372", "ON Semiconductor")</f>
        <v>ON Semiconductor</v>
      </c>
      <c r="C43130" s="6">
        <v>4260</v>
      </c>
      <c r="D43130" s="7">
        <v>14.76</v>
      </c>
      <c r="E43130" t="s">
        <v>20</v>
      </c>
    </row>
    <row r="43131" spans="1:5" x14ac:dyDescent="0.25">
      <c r="A43131" t="str">
        <f>HYPERLINK("https://www.773grp.com/globalSearch/MC10EP57DTR2G/page-1", "MC10EP57DTR2G")</f>
        <v>MC10EP57DTR2G</v>
      </c>
      <c r="B43131" s="3" t="str">
        <f>HYPERLINK("https://www.773grp.com/manufacturer/onsemi?pageNo=373", "ON Semiconductor")</f>
        <v>ON Semiconductor</v>
      </c>
      <c r="C43131" s="6">
        <v>7500</v>
      </c>
      <c r="D43131" s="7">
        <v>14.76</v>
      </c>
      <c r="E43131" t="s">
        <v>20</v>
      </c>
    </row>
    <row r="43132" spans="1:5" x14ac:dyDescent="0.25">
      <c r="A43132" t="str">
        <f>HYPERLINK("https://www.773grp.com/globalSearch/MC10EP57MNG/page-1", "MC10EP57MNG")</f>
        <v>MC10EP57MNG</v>
      </c>
      <c r="B43132" s="3" t="str">
        <f>HYPERLINK("https://www.773grp.com/manufacturer/onsemi?pageNo=374", "ON Semiconductor")</f>
        <v>ON Semiconductor</v>
      </c>
      <c r="C43132" s="6">
        <v>236</v>
      </c>
      <c r="D43132" s="7">
        <v>14.76</v>
      </c>
      <c r="E43132" t="s">
        <v>20</v>
      </c>
    </row>
    <row r="43133" spans="1:5" x14ac:dyDescent="0.25">
      <c r="A43133" t="str">
        <f>HYPERLINK("https://www.773grp.com/globalSearch/MC10EP57MNTXG/page-1", "MC10EP57MNTXG")</f>
        <v>MC10EP57MNTXG</v>
      </c>
      <c r="B43133" s="3" t="str">
        <f>HYPERLINK("https://www.773grp.com/manufacturer/onsemi?pageNo=375", "ON Semiconductor")</f>
        <v>ON Semiconductor</v>
      </c>
      <c r="C43133" s="6">
        <v>3000</v>
      </c>
      <c r="D43133" s="7">
        <v>14.76</v>
      </c>
      <c r="E43133" t="s">
        <v>20</v>
      </c>
    </row>
    <row r="43134" spans="1:5" x14ac:dyDescent="0.25">
      <c r="A43134" t="str">
        <f>HYPERLINK("https://www.773grp.com/globalSearch/CAT28LV256G-25T/page-1", "CAT28LV256G-25T")</f>
        <v>CAT28LV256G-25T</v>
      </c>
      <c r="B43134" s="3" t="str">
        <f>HYPERLINK("https://www.773grp.com/manufacturer/onsemi?pageNo=376", "ON Semiconductor")</f>
        <v>ON Semiconductor</v>
      </c>
      <c r="C43134" s="6">
        <v>875</v>
      </c>
      <c r="D43134" s="7">
        <v>14.81</v>
      </c>
    </row>
    <row r="43135" spans="1:5" x14ac:dyDescent="0.25">
      <c r="A43135" t="str">
        <f>HYPERLINK("https://www.773grp.com/globalSearch/MC10H350M/page-1", "MC10H350M")</f>
        <v>MC10H350M</v>
      </c>
      <c r="B43135" s="3" t="str">
        <f>HYPERLINK("https://www.773grp.com/manufacturer/onsemi?pageNo=377", "ON Semiconductor")</f>
        <v>ON Semiconductor</v>
      </c>
      <c r="C43135" s="6">
        <v>148</v>
      </c>
      <c r="D43135" s="7">
        <v>14.89</v>
      </c>
      <c r="E43135" t="s">
        <v>73</v>
      </c>
    </row>
    <row r="43136" spans="1:5" x14ac:dyDescent="0.25">
      <c r="A43136" t="str">
        <f>HYPERLINK("https://www.773grp.com/globalSearch/MC10H351M/page-1", "MC10H351M")</f>
        <v>MC10H351M</v>
      </c>
      <c r="B43136" s="3" t="str">
        <f>HYPERLINK("https://www.773grp.com/manufacturer/onsemi?pageNo=378", "ON Semiconductor")</f>
        <v>ON Semiconductor</v>
      </c>
      <c r="C43136" s="6">
        <v>55</v>
      </c>
      <c r="D43136" s="7">
        <v>14.89</v>
      </c>
      <c r="E43136" t="s">
        <v>73</v>
      </c>
    </row>
    <row r="43137" spans="1:5" x14ac:dyDescent="0.25">
      <c r="A43137" t="str">
        <f>HYPERLINK("https://www.773grp.com/globalSearch/MC10H351MEL/page-1", "MC10H351MEL")</f>
        <v>MC10H351MEL</v>
      </c>
      <c r="B43137" s="3" t="str">
        <f>HYPERLINK("https://www.773grp.com/manufacturer/onsemi?pageNo=379", "ON Semiconductor")</f>
        <v>ON Semiconductor</v>
      </c>
      <c r="C43137" s="6">
        <v>4000</v>
      </c>
      <c r="D43137" s="7">
        <v>14.89</v>
      </c>
      <c r="E43137" t="s">
        <v>73</v>
      </c>
    </row>
    <row r="43138" spans="1:5" x14ac:dyDescent="0.25">
      <c r="A43138" t="str">
        <f>HYPERLINK("https://www.773grp.com/globalSearch/MC10H166PG/page-1", "MC10H166PG")</f>
        <v>MC10H166PG</v>
      </c>
      <c r="B43138" s="3" t="str">
        <f>HYPERLINK("https://www.773grp.com/manufacturer/onsemi?pageNo=380", "ON Semiconductor")</f>
        <v>ON Semiconductor</v>
      </c>
      <c r="C43138" s="6">
        <v>5274</v>
      </c>
      <c r="D43138" s="7">
        <v>14.9</v>
      </c>
      <c r="E43138" t="s">
        <v>43</v>
      </c>
    </row>
    <row r="43139" spans="1:5" x14ac:dyDescent="0.25">
      <c r="A43139" t="str">
        <f>HYPERLINK("https://www.773grp.com/globalSearch/LC75811W-8715-E/page-1", "LC75811W-8715-E")</f>
        <v>LC75811W-8715-E</v>
      </c>
      <c r="B43139" s="3" t="str">
        <f>HYPERLINK("https://www.773grp.com/manufacturer/onsemi?pageNo=381", "ON Semiconductor")</f>
        <v>ON Semiconductor</v>
      </c>
      <c r="C43139" s="6">
        <v>18660</v>
      </c>
      <c r="D43139" s="7">
        <v>14.94</v>
      </c>
    </row>
    <row r="43140" spans="1:5" x14ac:dyDescent="0.25">
      <c r="A43140" t="str">
        <f>HYPERLINK("https://www.773grp.com/globalSearch/MC10H188PG/page-1", "MC10H188PG")</f>
        <v>MC10H188PG</v>
      </c>
      <c r="B43140" s="3" t="str">
        <f>HYPERLINK("https://www.773grp.com/manufacturer/onsemi?pageNo=382", "ON Semiconductor")</f>
        <v>ON Semiconductor</v>
      </c>
      <c r="C43140" s="6">
        <v>2245</v>
      </c>
      <c r="D43140" s="7">
        <v>15.03</v>
      </c>
      <c r="E43140" t="s">
        <v>31</v>
      </c>
    </row>
    <row r="43141" spans="1:5" x14ac:dyDescent="0.25">
      <c r="A43141" t="str">
        <f>HYPERLINK("https://www.773grp.com/globalSearch/MC10H189PG/page-1", "MC10H189PG")</f>
        <v>MC10H189PG</v>
      </c>
      <c r="B43141" s="3" t="str">
        <f>HYPERLINK("https://www.773grp.com/manufacturer/onsemi?pageNo=383", "ON Semiconductor")</f>
        <v>ON Semiconductor</v>
      </c>
      <c r="C43141" s="6">
        <v>4125</v>
      </c>
      <c r="D43141" s="7">
        <v>15.03</v>
      </c>
      <c r="E43141" t="s">
        <v>31</v>
      </c>
    </row>
    <row r="43142" spans="1:5" x14ac:dyDescent="0.25">
      <c r="A43142" t="str">
        <f>HYPERLINK("https://www.773grp.com/globalSearch/MC10H166FNG/page-1", "MC10H166FNG")</f>
        <v>MC10H166FNG</v>
      </c>
      <c r="B43142" s="3" t="str">
        <f>HYPERLINK("https://www.773grp.com/manufacturer/onsemi?pageNo=384", "ON Semiconductor")</f>
        <v>ON Semiconductor</v>
      </c>
      <c r="C43142" s="6">
        <v>4039</v>
      </c>
      <c r="D43142" s="7">
        <v>15.14</v>
      </c>
      <c r="E43142" t="s">
        <v>43</v>
      </c>
    </row>
    <row r="43143" spans="1:5" x14ac:dyDescent="0.25">
      <c r="A43143" t="str">
        <f>HYPERLINK("https://www.773grp.com/globalSearch/MC10H172FNG/page-1", "MC10H172FNG")</f>
        <v>MC10H172FNG</v>
      </c>
      <c r="B43143" s="3" t="str">
        <f>HYPERLINK("https://www.773grp.com/manufacturer/onsemi?pageNo=385", "ON Semiconductor")</f>
        <v>ON Semiconductor</v>
      </c>
      <c r="C43143" s="6">
        <v>3220</v>
      </c>
      <c r="D43143" s="7">
        <v>15.14</v>
      </c>
      <c r="E43143" t="s">
        <v>36</v>
      </c>
    </row>
    <row r="43144" spans="1:5" x14ac:dyDescent="0.25">
      <c r="A43144" t="str">
        <f>HYPERLINK("https://www.773grp.com/globalSearch/MC10181L/page-1", "MC10181L")</f>
        <v>MC10181L</v>
      </c>
      <c r="B43144" s="3" t="str">
        <f>HYPERLINK("https://www.773grp.com/manufacturer/onsemi?pageNo=386", "ON Semiconductor")</f>
        <v>ON Semiconductor</v>
      </c>
      <c r="C43144" s="6">
        <v>57</v>
      </c>
      <c r="D43144" s="7">
        <v>15.28</v>
      </c>
      <c r="E43144" t="s">
        <v>43</v>
      </c>
    </row>
    <row r="43145" spans="1:5" x14ac:dyDescent="0.25">
      <c r="A43145" t="str">
        <f>HYPERLINK("https://www.773grp.com/globalSearch/NB6L14MMNG/page-1", "NB6L14MMNG")</f>
        <v>NB6L14MMNG</v>
      </c>
      <c r="B43145" s="3" t="str">
        <f>HYPERLINK("https://www.773grp.com/manufacturer/onsemi?pageNo=387", "ON Semiconductor")</f>
        <v>ON Semiconductor</v>
      </c>
      <c r="C43145" s="6">
        <v>10612</v>
      </c>
      <c r="D43145" s="7">
        <v>15.33</v>
      </c>
      <c r="E43145" t="s">
        <v>34</v>
      </c>
    </row>
    <row r="43146" spans="1:5" x14ac:dyDescent="0.25">
      <c r="A43146" t="str">
        <f>HYPERLINK("https://www.773grp.com/globalSearch/NB6L14MMNR2G/page-1", "NB6L14MMNR2G")</f>
        <v>NB6L14MMNR2G</v>
      </c>
      <c r="B43146" s="3" t="str">
        <f>HYPERLINK("https://www.773grp.com/manufacturer/onsemi?pageNo=388", "ON Semiconductor")</f>
        <v>ON Semiconductor</v>
      </c>
      <c r="C43146" s="6">
        <v>23521</v>
      </c>
      <c r="D43146" s="7">
        <v>15.33</v>
      </c>
      <c r="E43146" t="s">
        <v>34</v>
      </c>
    </row>
    <row r="43147" spans="1:5" x14ac:dyDescent="0.25">
      <c r="A43147" t="str">
        <f>HYPERLINK("https://www.773grp.com/globalSearch/NB6L14MNG/page-1", "NB6L14MNG")</f>
        <v>NB6L14MNG</v>
      </c>
      <c r="B43147" s="3" t="str">
        <f>HYPERLINK("https://www.773grp.com/manufacturer/onsemi?pageNo=389", "ON Semiconductor")</f>
        <v>ON Semiconductor</v>
      </c>
      <c r="C43147" s="6">
        <v>1438</v>
      </c>
      <c r="D43147" s="7">
        <v>15.33</v>
      </c>
    </row>
    <row r="43148" spans="1:5" x14ac:dyDescent="0.25">
      <c r="A43148" t="str">
        <f>HYPERLINK("https://www.773grp.com/globalSearch/NB6L14MNR2G/page-1", "NB6L14MNR2G")</f>
        <v>NB6L14MNR2G</v>
      </c>
      <c r="B43148" s="3" t="str">
        <f>HYPERLINK("https://www.773grp.com/manufacturer/onsemi?pageNo=390", "ON Semiconductor")</f>
        <v>ON Semiconductor</v>
      </c>
      <c r="C43148" s="6">
        <v>7772</v>
      </c>
      <c r="D43148" s="7">
        <v>15.33</v>
      </c>
      <c r="E43148" t="s">
        <v>34</v>
      </c>
    </row>
    <row r="43149" spans="1:5" x14ac:dyDescent="0.25">
      <c r="A43149" t="str">
        <f>HYPERLINK("https://www.773grp.com/globalSearch/MC10H016P/page-1", "MC10H016P")</f>
        <v>MC10H016P</v>
      </c>
      <c r="B43149" s="3" t="str">
        <f>HYPERLINK("https://www.773grp.com/manufacturer/onsemi?pageNo=391", "ON Semiconductor")</f>
        <v>ON Semiconductor</v>
      </c>
      <c r="C43149" s="6">
        <v>1613</v>
      </c>
      <c r="D43149" s="7">
        <v>15.36</v>
      </c>
      <c r="E43149" t="s">
        <v>26</v>
      </c>
    </row>
    <row r="43150" spans="1:5" x14ac:dyDescent="0.25">
      <c r="A43150" t="str">
        <f>HYPERLINK("https://www.773grp.com/globalSearch/NB6L239MNG/page-1", "NB6L239MNG")</f>
        <v>NB6L239MNG</v>
      </c>
      <c r="B43150" s="3" t="str">
        <f>HYPERLINK("https://www.773grp.com/manufacturer/onsemi?pageNo=392", "ON Semiconductor")</f>
        <v>ON Semiconductor</v>
      </c>
      <c r="C43150" s="6">
        <v>239</v>
      </c>
      <c r="D43150" s="7">
        <v>15.39</v>
      </c>
      <c r="E43150" t="s">
        <v>34</v>
      </c>
    </row>
    <row r="43151" spans="1:5" x14ac:dyDescent="0.25">
      <c r="A43151" t="str">
        <f>HYPERLINK("https://www.773grp.com/globalSearch/Q32M210F08ALNA/page-1", "Q32M210F08ALNA")</f>
        <v>Q32M210F08ALNA</v>
      </c>
      <c r="B43151" s="3" t="str">
        <f>HYPERLINK("https://www.773grp.com/manufacturer/onsemi?pageNo=393", "ON Semiconductor")</f>
        <v>ON Semiconductor</v>
      </c>
      <c r="C43151" s="6">
        <v>3000</v>
      </c>
      <c r="D43151" s="7">
        <v>15.41</v>
      </c>
    </row>
    <row r="43152" spans="1:5" x14ac:dyDescent="0.25">
      <c r="A43152" t="str">
        <f>HYPERLINK("https://www.773grp.com/globalSearch/LC822973-04V-TBM-GBE/page-1", "LC822973-04V-TBM-GBE")</f>
        <v>LC822973-04V-TBM-GBE</v>
      </c>
      <c r="B43152" s="3" t="str">
        <f>HYPERLINK("https://www.773grp.com/manufacturer/onsemi?pageNo=394", "ON Semiconductor")</f>
        <v>ON Semiconductor</v>
      </c>
      <c r="C43152" s="6">
        <v>8000</v>
      </c>
      <c r="D43152" s="7">
        <v>15.48</v>
      </c>
    </row>
    <row r="43153" spans="1:5" x14ac:dyDescent="0.25">
      <c r="A43153" t="str">
        <f>HYPERLINK("https://www.773grp.com/globalSearch/MC100E131FNR2/page-1", "MC100E131FNR2")</f>
        <v>MC100E131FNR2</v>
      </c>
      <c r="B43153" s="3" t="str">
        <f>HYPERLINK("https://www.773grp.com/manufacturer/onsemi?pageNo=395", "ON Semiconductor")</f>
        <v>ON Semiconductor</v>
      </c>
      <c r="C43153" s="6">
        <v>274</v>
      </c>
      <c r="D43153" s="7">
        <v>15.48</v>
      </c>
      <c r="E43153" t="s">
        <v>35</v>
      </c>
    </row>
    <row r="43154" spans="1:5" x14ac:dyDescent="0.25">
      <c r="A43154" t="str">
        <f>HYPERLINK("https://www.773grp.com/globalSearch/MC100E141FNG/page-1", "MC100E141FNG")</f>
        <v>MC100E141FNG</v>
      </c>
      <c r="B43154" s="3" t="str">
        <f>HYPERLINK("https://www.773grp.com/manufacturer/onsemi?pageNo=396", "ON Semiconductor")</f>
        <v>ON Semiconductor</v>
      </c>
      <c r="C43154" s="6">
        <v>1</v>
      </c>
      <c r="D43154" s="7">
        <v>15.48</v>
      </c>
      <c r="E43154" t="s">
        <v>32</v>
      </c>
    </row>
    <row r="43155" spans="1:5" x14ac:dyDescent="0.25">
      <c r="A43155" t="str">
        <f>HYPERLINK("https://www.773grp.com/globalSearch/MC100E142FNG/page-1", "MC100E142FNG")</f>
        <v>MC100E142FNG</v>
      </c>
      <c r="B43155" s="3" t="str">
        <f>HYPERLINK("https://www.773grp.com/manufacturer/onsemi?pageNo=397", "ON Semiconductor")</f>
        <v>ON Semiconductor</v>
      </c>
      <c r="C43155" s="6">
        <v>129</v>
      </c>
      <c r="D43155" s="7">
        <v>15.48</v>
      </c>
      <c r="E43155" t="s">
        <v>32</v>
      </c>
    </row>
    <row r="43156" spans="1:5" x14ac:dyDescent="0.25">
      <c r="A43156" t="str">
        <f>HYPERLINK("https://www.773grp.com/globalSearch/MC100E151FN/page-1", "MC100E151FN")</f>
        <v>MC100E151FN</v>
      </c>
      <c r="B43156" s="3" t="str">
        <f>HYPERLINK("https://www.773grp.com/manufacturer/onsemi?pageNo=398", "ON Semiconductor")</f>
        <v>ON Semiconductor</v>
      </c>
      <c r="C43156" s="6">
        <v>4181</v>
      </c>
      <c r="D43156" s="7">
        <v>15.48</v>
      </c>
      <c r="E43156" t="s">
        <v>35</v>
      </c>
    </row>
    <row r="43157" spans="1:5" x14ac:dyDescent="0.25">
      <c r="A43157" t="str">
        <f>HYPERLINK("https://www.773grp.com/globalSearch/MC100E157FNG/page-1", "MC100E157FNG")</f>
        <v>MC100E157FNG</v>
      </c>
      <c r="B43157" s="3" t="str">
        <f>HYPERLINK("https://www.773grp.com/manufacturer/onsemi?pageNo=399", "ON Semiconductor")</f>
        <v>ON Semiconductor</v>
      </c>
      <c r="C43157" s="6">
        <v>150</v>
      </c>
      <c r="D43157" s="7">
        <v>15.48</v>
      </c>
      <c r="E43157" t="s">
        <v>20</v>
      </c>
    </row>
    <row r="43158" spans="1:5" x14ac:dyDescent="0.25">
      <c r="A43158" t="str">
        <f>HYPERLINK("https://www.773grp.com/globalSearch/MC100E157FNR2G/page-1", "MC100E157FNR2G")</f>
        <v>MC100E157FNR2G</v>
      </c>
      <c r="B43158" s="3" t="str">
        <f>HYPERLINK("https://www.773grp.com/manufacturer/onsemi?pageNo=400", "ON Semiconductor")</f>
        <v>ON Semiconductor</v>
      </c>
      <c r="C43158" s="6">
        <v>500</v>
      </c>
      <c r="D43158" s="7">
        <v>15.48</v>
      </c>
      <c r="E43158" t="s">
        <v>20</v>
      </c>
    </row>
    <row r="43159" spans="1:5" x14ac:dyDescent="0.25">
      <c r="A43159" t="str">
        <f>HYPERLINK("https://www.773grp.com/globalSearch/MC100E404FN/page-1", "MC100E404FN")</f>
        <v>MC100E404FN</v>
      </c>
      <c r="B43159" s="3" t="str">
        <f>HYPERLINK("https://www.773grp.com/manufacturer/onsemi?pageNo=401", "ON Semiconductor")</f>
        <v>ON Semiconductor</v>
      </c>
      <c r="C43159" s="6">
        <v>2072</v>
      </c>
      <c r="D43159" s="7">
        <v>15.48</v>
      </c>
      <c r="E43159" t="s">
        <v>31</v>
      </c>
    </row>
    <row r="43160" spans="1:5" x14ac:dyDescent="0.25">
      <c r="A43160" t="str">
        <f>HYPERLINK("https://www.773grp.com/globalSearch/MC100E416FNG/page-1", "MC100E416FNG")</f>
        <v>MC100E416FNG</v>
      </c>
      <c r="B43160" s="3" t="str">
        <f>HYPERLINK("https://www.773grp.com/manufacturer/onsemi?pageNo=402", "ON Semiconductor")</f>
        <v>ON Semiconductor</v>
      </c>
      <c r="C43160" s="6">
        <v>1304</v>
      </c>
      <c r="D43160" s="7">
        <v>15.48</v>
      </c>
      <c r="E43160" t="s">
        <v>21</v>
      </c>
    </row>
    <row r="43161" spans="1:5" x14ac:dyDescent="0.25">
      <c r="A43161" t="str">
        <f>HYPERLINK("https://www.773grp.com/globalSearch/MC100E452FN/page-1", "MC100E452FN")</f>
        <v>MC100E452FN</v>
      </c>
      <c r="B43161" s="3" t="str">
        <f>HYPERLINK("https://www.773grp.com/manufacturer/onsemi?pageNo=403", "ON Semiconductor")</f>
        <v>ON Semiconductor</v>
      </c>
      <c r="C43161" s="6">
        <v>3663</v>
      </c>
      <c r="D43161" s="7">
        <v>15.48</v>
      </c>
      <c r="E43161" t="s">
        <v>35</v>
      </c>
    </row>
    <row r="43162" spans="1:5" x14ac:dyDescent="0.25">
      <c r="A43162" t="str">
        <f>HYPERLINK("https://www.773grp.com/globalSearch/MC100E457FN/page-1", "MC100E457FN")</f>
        <v>MC100E457FN</v>
      </c>
      <c r="B43162" s="3" t="str">
        <f>HYPERLINK("https://www.773grp.com/manufacturer/onsemi?pageNo=404", "ON Semiconductor")</f>
        <v>ON Semiconductor</v>
      </c>
      <c r="C43162" s="6">
        <v>7998</v>
      </c>
      <c r="D43162" s="7">
        <v>15.48</v>
      </c>
      <c r="E43162" t="s">
        <v>20</v>
      </c>
    </row>
    <row r="43163" spans="1:5" x14ac:dyDescent="0.25">
      <c r="A43163" t="str">
        <f>HYPERLINK("https://www.773grp.com/globalSearch/MC100EL59DWG/page-1", "MC100EL59DWG")</f>
        <v>MC100EL59DWG</v>
      </c>
      <c r="B43163" s="3" t="str">
        <f>HYPERLINK("https://www.773grp.com/manufacturer/onsemi?pageNo=405", "ON Semiconductor")</f>
        <v>ON Semiconductor</v>
      </c>
      <c r="C43163" s="6">
        <v>4016</v>
      </c>
      <c r="D43163" s="7">
        <v>15.48</v>
      </c>
      <c r="E43163" t="s">
        <v>20</v>
      </c>
    </row>
    <row r="43164" spans="1:5" x14ac:dyDescent="0.25">
      <c r="A43164" t="str">
        <f>HYPERLINK("https://www.773grp.com/globalSearch/MC100EPT622FA/page-1", "MC100EPT622FA")</f>
        <v>MC100EPT622FA</v>
      </c>
      <c r="B43164" s="3" t="str">
        <f>HYPERLINK("https://www.773grp.com/manufacturer/onsemi?pageNo=406", "ON Semiconductor")</f>
        <v>ON Semiconductor</v>
      </c>
      <c r="C43164" s="6">
        <v>17743</v>
      </c>
      <c r="D43164" s="7">
        <v>15.48</v>
      </c>
      <c r="E43164" t="s">
        <v>73</v>
      </c>
    </row>
    <row r="43165" spans="1:5" x14ac:dyDescent="0.25">
      <c r="A43165" t="str">
        <f>HYPERLINK("https://www.773grp.com/globalSearch/MC100EPT622FAR2/page-1", "MC100EPT622FAR2")</f>
        <v>MC100EPT622FAR2</v>
      </c>
      <c r="B43165" s="3" t="str">
        <f>HYPERLINK("https://www.773grp.com/manufacturer/onsemi?pageNo=407", "ON Semiconductor")</f>
        <v>ON Semiconductor</v>
      </c>
      <c r="C43165" s="6">
        <v>20000</v>
      </c>
      <c r="D43165" s="7">
        <v>15.48</v>
      </c>
      <c r="E43165" t="s">
        <v>73</v>
      </c>
    </row>
    <row r="43166" spans="1:5" x14ac:dyDescent="0.25">
      <c r="A43166" t="str">
        <f>HYPERLINK("https://www.773grp.com/globalSearch/MC100LVEL40DWG/page-1", "MC100LVEL40DWG")</f>
        <v>MC100LVEL40DWG</v>
      </c>
      <c r="B43166" s="3" t="str">
        <f>HYPERLINK("https://www.773grp.com/manufacturer/onsemi?pageNo=408", "ON Semiconductor")</f>
        <v>ON Semiconductor</v>
      </c>
      <c r="C43166" s="6">
        <v>3749</v>
      </c>
      <c r="D43166" s="7">
        <v>15.48</v>
      </c>
      <c r="E43166" t="s">
        <v>38</v>
      </c>
    </row>
    <row r="43167" spans="1:5" x14ac:dyDescent="0.25">
      <c r="A43167" t="str">
        <f>HYPERLINK("https://www.773grp.com/globalSearch/MC100LVEL40DWR2G/page-1", "MC100LVEL40DWR2G")</f>
        <v>MC100LVEL40DWR2G</v>
      </c>
      <c r="B43167" s="3" t="str">
        <f>HYPERLINK("https://www.773grp.com/manufacturer/onsemi?pageNo=409", "ON Semiconductor")</f>
        <v>ON Semiconductor</v>
      </c>
      <c r="C43167" s="6">
        <v>4280</v>
      </c>
      <c r="D43167" s="7">
        <v>15.48</v>
      </c>
      <c r="E43167" t="s">
        <v>38</v>
      </c>
    </row>
    <row r="43168" spans="1:5" x14ac:dyDescent="0.25">
      <c r="A43168" t="str">
        <f>HYPERLINK("https://www.773grp.com/globalSearch/MC100LVEL59DWG/page-1", "MC100LVEL59DWG")</f>
        <v>MC100LVEL59DWG</v>
      </c>
      <c r="B43168" s="3" t="str">
        <f>HYPERLINK("https://www.773grp.com/manufacturer/onsemi?pageNo=410", "ON Semiconductor")</f>
        <v>ON Semiconductor</v>
      </c>
      <c r="C43168" s="6">
        <v>3142</v>
      </c>
      <c r="D43168" s="7">
        <v>15.48</v>
      </c>
      <c r="E43168" t="s">
        <v>20</v>
      </c>
    </row>
    <row r="43169" spans="1:5" x14ac:dyDescent="0.25">
      <c r="A43169" t="str">
        <f>HYPERLINK("https://www.773grp.com/globalSearch/MC100LVEL59DWR2G/page-1", "MC100LVEL59DWR2G")</f>
        <v>MC100LVEL59DWR2G</v>
      </c>
      <c r="B43169" s="3" t="str">
        <f>HYPERLINK("https://www.773grp.com/manufacturer/onsemi?pageNo=411", "ON Semiconductor")</f>
        <v>ON Semiconductor</v>
      </c>
      <c r="C43169" s="6">
        <v>2000</v>
      </c>
      <c r="D43169" s="7">
        <v>15.48</v>
      </c>
      <c r="E43169" t="s">
        <v>20</v>
      </c>
    </row>
    <row r="43170" spans="1:5" x14ac:dyDescent="0.25">
      <c r="A43170" t="str">
        <f>HYPERLINK("https://www.773grp.com/globalSearch/MC10E151FN/page-1", "MC10E151FN")</f>
        <v>MC10E151FN</v>
      </c>
      <c r="B43170" s="3" t="str">
        <f>HYPERLINK("https://www.773grp.com/manufacturer/onsemi?pageNo=412", "ON Semiconductor")</f>
        <v>ON Semiconductor</v>
      </c>
      <c r="C43170" s="6">
        <v>1332</v>
      </c>
      <c r="D43170" s="7">
        <v>15.48</v>
      </c>
      <c r="E43170" t="s">
        <v>35</v>
      </c>
    </row>
    <row r="43171" spans="1:5" x14ac:dyDescent="0.25">
      <c r="A43171" t="str">
        <f>HYPERLINK("https://www.773grp.com/globalSearch/MC10E166FNG/page-1", "MC10E166FNG")</f>
        <v>MC10E166FNG</v>
      </c>
      <c r="B43171" s="3" t="str">
        <f>HYPERLINK("https://www.773grp.com/manufacturer/onsemi?pageNo=413", "ON Semiconductor")</f>
        <v>ON Semiconductor</v>
      </c>
      <c r="C43171" s="6">
        <v>2225</v>
      </c>
      <c r="D43171" s="7">
        <v>15.48</v>
      </c>
      <c r="E43171" t="s">
        <v>43</v>
      </c>
    </row>
    <row r="43172" spans="1:5" x14ac:dyDescent="0.25">
      <c r="A43172" t="str">
        <f>HYPERLINK("https://www.773grp.com/globalSearch/MC10E166FNR2G/page-1", "MC10E166FNR2G")</f>
        <v>MC10E166FNR2G</v>
      </c>
      <c r="B43172" s="3" t="str">
        <f>HYPERLINK("https://www.773grp.com/manufacturer/onsemi?pageNo=414", "ON Semiconductor")</f>
        <v>ON Semiconductor</v>
      </c>
      <c r="C43172" s="6">
        <v>3500</v>
      </c>
      <c r="D43172" s="7">
        <v>15.48</v>
      </c>
      <c r="E43172" t="s">
        <v>43</v>
      </c>
    </row>
    <row r="43173" spans="1:5" x14ac:dyDescent="0.25">
      <c r="A43173" t="str">
        <f>HYPERLINK("https://www.773grp.com/globalSearch/NTY100N10/page-1", "NTY100N10")</f>
        <v>NTY100N10</v>
      </c>
      <c r="B43173" s="3" t="str">
        <f>HYPERLINK("https://www.773grp.com/manufacturer/onsemi?pageNo=415", "ON Semiconductor")</f>
        <v>ON Semiconductor</v>
      </c>
      <c r="C43173" s="6">
        <v>75</v>
      </c>
      <c r="D43173" s="7">
        <v>15.48</v>
      </c>
      <c r="E43173" t="s">
        <v>105</v>
      </c>
    </row>
    <row r="43174" spans="1:5" x14ac:dyDescent="0.25">
      <c r="A43174" t="str">
        <f>HYPERLINK("https://www.773grp.com/globalSearch/NTY100N10G/page-1", "NTY100N10G")</f>
        <v>NTY100N10G</v>
      </c>
      <c r="B43174" s="3" t="str">
        <f>HYPERLINK("https://www.773grp.com/manufacturer/onsemi?pageNo=416", "ON Semiconductor")</f>
        <v>ON Semiconductor</v>
      </c>
      <c r="C43174" s="6">
        <v>2742</v>
      </c>
      <c r="D43174" s="7">
        <v>15.48</v>
      </c>
      <c r="E43174" t="s">
        <v>105</v>
      </c>
    </row>
    <row r="43175" spans="1:5" x14ac:dyDescent="0.25">
      <c r="A43175" t="str">
        <f>HYPERLINK("https://www.773grp.com/globalSearch/STK672-060-E/page-1", "STK672-060-E")</f>
        <v>STK672-060-E</v>
      </c>
      <c r="B43175" s="3" t="str">
        <f>HYPERLINK("https://www.773grp.com/manufacturer/onsemi?pageNo=417", "ON Semiconductor")</f>
        <v>ON Semiconductor</v>
      </c>
      <c r="C43175" s="6">
        <v>54</v>
      </c>
      <c r="D43175" s="7">
        <v>15.48</v>
      </c>
    </row>
    <row r="43176" spans="1:5" x14ac:dyDescent="0.25">
      <c r="A43176" t="str">
        <f>HYPERLINK("https://www.773grp.com/globalSearch/MC10H188FNG/page-1", "MC10H188FNG")</f>
        <v>MC10H188FNG</v>
      </c>
      <c r="B43176" s="3" t="str">
        <f>HYPERLINK("https://www.773grp.com/manufacturer/onsemi?pageNo=418", "ON Semiconductor")</f>
        <v>ON Semiconductor</v>
      </c>
      <c r="C43176" s="6">
        <v>3060</v>
      </c>
      <c r="D43176" s="7">
        <v>15.64</v>
      </c>
      <c r="E43176" t="s">
        <v>31</v>
      </c>
    </row>
    <row r="43177" spans="1:5" x14ac:dyDescent="0.25">
      <c r="A43177" t="str">
        <f>HYPERLINK("https://www.773grp.com/globalSearch/MC10H188FNR2G/page-1", "MC10H188FNR2G")</f>
        <v>MC10H188FNR2G</v>
      </c>
      <c r="B43177" s="3" t="str">
        <f>HYPERLINK("https://www.773grp.com/manufacturer/onsemi?pageNo=419", "ON Semiconductor")</f>
        <v>ON Semiconductor</v>
      </c>
      <c r="C43177" s="6">
        <v>8842</v>
      </c>
      <c r="D43177" s="7">
        <v>15.64</v>
      </c>
      <c r="E43177" t="s">
        <v>31</v>
      </c>
    </row>
    <row r="43178" spans="1:5" x14ac:dyDescent="0.25">
      <c r="A43178" t="str">
        <f>HYPERLINK("https://www.773grp.com/globalSearch/MC10H188MELG/page-1", "MC10H188MELG")</f>
        <v>MC10H188MELG</v>
      </c>
      <c r="B43178" s="3" t="str">
        <f>HYPERLINK("https://www.773grp.com/manufacturer/onsemi?pageNo=420", "ON Semiconductor")</f>
        <v>ON Semiconductor</v>
      </c>
      <c r="C43178" s="6">
        <v>12125</v>
      </c>
      <c r="D43178" s="7">
        <v>15.64</v>
      </c>
      <c r="E43178" t="s">
        <v>31</v>
      </c>
    </row>
    <row r="43179" spans="1:5" x14ac:dyDescent="0.25">
      <c r="A43179" t="str">
        <f>HYPERLINK("https://www.773grp.com/globalSearch/MC10H188MG/page-1", "MC10H188MG")</f>
        <v>MC10H188MG</v>
      </c>
      <c r="B43179" s="3" t="str">
        <f>HYPERLINK("https://www.773grp.com/manufacturer/onsemi?pageNo=421", "ON Semiconductor")</f>
        <v>ON Semiconductor</v>
      </c>
      <c r="C43179" s="6">
        <v>4430</v>
      </c>
      <c r="D43179" s="7">
        <v>15.64</v>
      </c>
      <c r="E43179" t="s">
        <v>31</v>
      </c>
    </row>
    <row r="43180" spans="1:5" x14ac:dyDescent="0.25">
      <c r="A43180" t="str">
        <f>HYPERLINK("https://www.773grp.com/globalSearch/MC10H189MELG/page-1", "MC10H189MELG")</f>
        <v>MC10H189MELG</v>
      </c>
      <c r="B43180" s="3" t="str">
        <f>HYPERLINK("https://www.773grp.com/manufacturer/onsemi?pageNo=422", "ON Semiconductor")</f>
        <v>ON Semiconductor</v>
      </c>
      <c r="C43180" s="6">
        <v>1900</v>
      </c>
      <c r="D43180" s="7">
        <v>15.64</v>
      </c>
      <c r="E43180" t="s">
        <v>31</v>
      </c>
    </row>
    <row r="43181" spans="1:5" x14ac:dyDescent="0.25">
      <c r="A43181" t="str">
        <f>HYPERLINK("https://www.773grp.com/globalSearch/MC100H600FNG/page-1", "MC100H600FNG")</f>
        <v>MC100H600FNG</v>
      </c>
      <c r="B43181" s="3" t="str">
        <f>HYPERLINK("https://www.773grp.com/manufacturer/onsemi?pageNo=423", "ON Semiconductor")</f>
        <v>ON Semiconductor</v>
      </c>
      <c r="C43181" s="6">
        <v>22</v>
      </c>
      <c r="D43181" s="7">
        <v>15.75</v>
      </c>
    </row>
    <row r="43182" spans="1:5" x14ac:dyDescent="0.25">
      <c r="A43182" t="str">
        <f>HYPERLINK("https://www.773grp.com/globalSearch/MC100H601FNG/page-1", "MC100H601FNG")</f>
        <v>MC100H601FNG</v>
      </c>
      <c r="B43182" s="3" t="str">
        <f>HYPERLINK("https://www.773grp.com/manufacturer/onsemi?pageNo=424", "ON Semiconductor")</f>
        <v>ON Semiconductor</v>
      </c>
      <c r="C43182" s="6">
        <v>484</v>
      </c>
      <c r="D43182" s="7">
        <v>15.75</v>
      </c>
      <c r="E43182" t="s">
        <v>73</v>
      </c>
    </row>
    <row r="43183" spans="1:5" x14ac:dyDescent="0.25">
      <c r="A43183" t="str">
        <f>HYPERLINK("https://www.773grp.com/globalSearch/MC100H603FNG/page-1", "MC100H603FNG")</f>
        <v>MC100H603FNG</v>
      </c>
      <c r="B43183" s="3" t="str">
        <f>HYPERLINK("https://www.773grp.com/manufacturer/onsemi?pageNo=425", "ON Semiconductor")</f>
        <v>ON Semiconductor</v>
      </c>
      <c r="C43183" s="6">
        <v>481</v>
      </c>
      <c r="D43183" s="7">
        <v>15.75</v>
      </c>
      <c r="E43183" t="s">
        <v>73</v>
      </c>
    </row>
    <row r="43184" spans="1:5" x14ac:dyDescent="0.25">
      <c r="A43184" t="str">
        <f>HYPERLINK("https://www.773grp.com/globalSearch/MC100H606FNG/page-1", "MC100H606FNG")</f>
        <v>MC100H606FNG</v>
      </c>
      <c r="B43184" s="3" t="str">
        <f>HYPERLINK("https://www.773grp.com/manufacturer/onsemi?pageNo=426", "ON Semiconductor")</f>
        <v>ON Semiconductor</v>
      </c>
      <c r="C43184" s="6">
        <v>296</v>
      </c>
      <c r="D43184" s="7">
        <v>15.75</v>
      </c>
      <c r="E43184" t="s">
        <v>73</v>
      </c>
    </row>
    <row r="43185" spans="1:5" x14ac:dyDescent="0.25">
      <c r="A43185" t="str">
        <f>HYPERLINK("https://www.773grp.com/globalSearch/MC100H641FNG/page-1", "MC100H641FNG")</f>
        <v>MC100H641FNG</v>
      </c>
      <c r="B43185" s="3" t="str">
        <f>HYPERLINK("https://www.773grp.com/manufacturer/onsemi?pageNo=427", "ON Semiconductor")</f>
        <v>ON Semiconductor</v>
      </c>
      <c r="C43185" s="6">
        <v>2320</v>
      </c>
      <c r="D43185" s="7">
        <v>15.75</v>
      </c>
      <c r="E43185" t="s">
        <v>34</v>
      </c>
    </row>
    <row r="43186" spans="1:5" x14ac:dyDescent="0.25">
      <c r="A43186" t="str">
        <f>HYPERLINK("https://www.773grp.com/globalSearch/MC100H641FNR2G/page-1", "MC100H641FNR2G")</f>
        <v>MC100H641FNR2G</v>
      </c>
      <c r="B43186" s="3" t="str">
        <f>HYPERLINK("https://www.773grp.com/manufacturer/onsemi?pageNo=428", "ON Semiconductor")</f>
        <v>ON Semiconductor</v>
      </c>
      <c r="C43186" s="6">
        <v>2339</v>
      </c>
      <c r="D43186" s="7">
        <v>15.75</v>
      </c>
      <c r="E43186" t="s">
        <v>34</v>
      </c>
    </row>
    <row r="43187" spans="1:5" x14ac:dyDescent="0.25">
      <c r="A43187" t="str">
        <f>HYPERLINK("https://www.773grp.com/globalSearch/MC10H600FNG/page-1", "MC10H600FNG")</f>
        <v>MC10H600FNG</v>
      </c>
      <c r="B43187" s="3" t="str">
        <f>HYPERLINK("https://www.773grp.com/manufacturer/onsemi?pageNo=429", "ON Semiconductor")</f>
        <v>ON Semiconductor</v>
      </c>
      <c r="C43187" s="6">
        <v>1852</v>
      </c>
      <c r="D43187" s="7">
        <v>15.75</v>
      </c>
      <c r="E43187" t="s">
        <v>73</v>
      </c>
    </row>
    <row r="43188" spans="1:5" x14ac:dyDescent="0.25">
      <c r="A43188" t="str">
        <f>HYPERLINK("https://www.773grp.com/globalSearch/MC10H600FNR2G/page-1", "MC10H600FNR2G")</f>
        <v>MC10H600FNR2G</v>
      </c>
      <c r="B43188" s="3" t="str">
        <f>HYPERLINK("https://www.773grp.com/manufacturer/onsemi?pageNo=430", "ON Semiconductor")</f>
        <v>ON Semiconductor</v>
      </c>
      <c r="C43188" s="6">
        <v>204</v>
      </c>
      <c r="D43188" s="7">
        <v>15.75</v>
      </c>
    </row>
    <row r="43189" spans="1:5" x14ac:dyDescent="0.25">
      <c r="A43189" t="str">
        <f>HYPERLINK("https://www.773grp.com/globalSearch/MC10H601FNG/page-1", "MC10H601FNG")</f>
        <v>MC10H601FNG</v>
      </c>
      <c r="B43189" s="3" t="str">
        <f>HYPERLINK("https://www.773grp.com/manufacturer/onsemi?pageNo=431", "ON Semiconductor")</f>
        <v>ON Semiconductor</v>
      </c>
      <c r="C43189" s="6">
        <v>1855</v>
      </c>
      <c r="D43189" s="7">
        <v>15.75</v>
      </c>
      <c r="E43189" t="s">
        <v>73</v>
      </c>
    </row>
    <row r="43190" spans="1:5" x14ac:dyDescent="0.25">
      <c r="A43190" t="str">
        <f>HYPERLINK("https://www.773grp.com/globalSearch/MC10H601FNR2G/page-1", "MC10H601FNR2G")</f>
        <v>MC10H601FNR2G</v>
      </c>
      <c r="B43190" s="3" t="str">
        <f>HYPERLINK("https://www.773grp.com/manufacturer/onsemi?pageNo=432", "ON Semiconductor")</f>
        <v>ON Semiconductor</v>
      </c>
      <c r="C43190" s="6">
        <v>500</v>
      </c>
      <c r="D43190" s="7">
        <v>15.75</v>
      </c>
    </row>
    <row r="43191" spans="1:5" x14ac:dyDescent="0.25">
      <c r="A43191" t="str">
        <f>HYPERLINK("https://www.773grp.com/globalSearch/MC10H602FNG/page-1", "MC10H602FNG")</f>
        <v>MC10H602FNG</v>
      </c>
      <c r="B43191" s="3" t="str">
        <f>HYPERLINK("https://www.773grp.com/manufacturer/onsemi?pageNo=433", "ON Semiconductor")</f>
        <v>ON Semiconductor</v>
      </c>
      <c r="C43191" s="6">
        <v>77</v>
      </c>
      <c r="D43191" s="7">
        <v>15.75</v>
      </c>
    </row>
    <row r="43192" spans="1:5" x14ac:dyDescent="0.25">
      <c r="A43192" t="str">
        <f>HYPERLINK("https://www.773grp.com/globalSearch/MC10H607FNG/page-1", "MC10H607FNG")</f>
        <v>MC10H607FNG</v>
      </c>
      <c r="B43192" s="3" t="str">
        <f>HYPERLINK("https://www.773grp.com/manufacturer/onsemi?pageNo=434", "ON Semiconductor")</f>
        <v>ON Semiconductor</v>
      </c>
      <c r="C43192" s="6">
        <v>1058</v>
      </c>
      <c r="D43192" s="7">
        <v>15.75</v>
      </c>
      <c r="E43192" t="s">
        <v>73</v>
      </c>
    </row>
    <row r="43193" spans="1:5" x14ac:dyDescent="0.25">
      <c r="A43193" t="str">
        <f>HYPERLINK("https://www.773grp.com/globalSearch/STK433-270-E/page-1", "STK433-270-E")</f>
        <v>STK433-270-E</v>
      </c>
      <c r="B43193" s="3" t="str">
        <f>HYPERLINK("https://www.773grp.com/manufacturer/onsemi?pageNo=435", "ON Semiconductor")</f>
        <v>ON Semiconductor</v>
      </c>
      <c r="C43193" s="6">
        <v>10000</v>
      </c>
      <c r="D43193" s="7">
        <v>15.75</v>
      </c>
    </row>
    <row r="43194" spans="1:5" x14ac:dyDescent="0.25">
      <c r="A43194" t="str">
        <f>HYPERLINK("https://www.773grp.com/globalSearch/MC10SX1130DG/page-1", "MC10SX1130DG")</f>
        <v>MC10SX1130DG</v>
      </c>
      <c r="B43194" s="3" t="str">
        <f>HYPERLINK("https://www.773grp.com/manufacturer/onsemi?pageNo=436", "ON Semiconductor")</f>
        <v>ON Semiconductor</v>
      </c>
      <c r="C43194" s="6">
        <v>14231</v>
      </c>
      <c r="D43194" s="7">
        <v>16.16</v>
      </c>
      <c r="E43194" t="s">
        <v>10</v>
      </c>
    </row>
    <row r="43195" spans="1:5" x14ac:dyDescent="0.25">
      <c r="A43195" t="str">
        <f>HYPERLINK("https://www.773grp.com/globalSearch/MC100EP35DG/page-1", "MC100EP35DG")</f>
        <v>MC100EP35DG</v>
      </c>
      <c r="B43195" s="3" t="str">
        <f>HYPERLINK("https://www.773grp.com/manufacturer/onsemi?pageNo=437", "ON Semiconductor")</f>
        <v>ON Semiconductor</v>
      </c>
      <c r="C43195" s="6">
        <v>14893</v>
      </c>
      <c r="D43195" s="7">
        <v>16.309999999999999</v>
      </c>
      <c r="E43195" t="s">
        <v>35</v>
      </c>
    </row>
    <row r="43196" spans="1:5" x14ac:dyDescent="0.25">
      <c r="A43196" t="str">
        <f>HYPERLINK("https://www.773grp.com/globalSearch/MC100EP35DR2G/page-1", "MC100EP35DR2G")</f>
        <v>MC100EP35DR2G</v>
      </c>
      <c r="B43196" s="3" t="str">
        <f>HYPERLINK("https://www.773grp.com/manufacturer/onsemi?pageNo=438", "ON Semiconductor")</f>
        <v>ON Semiconductor</v>
      </c>
      <c r="C43196" s="6">
        <v>15000</v>
      </c>
      <c r="D43196" s="7">
        <v>16.309999999999999</v>
      </c>
      <c r="E43196" t="s">
        <v>35</v>
      </c>
    </row>
    <row r="43197" spans="1:5" x14ac:dyDescent="0.25">
      <c r="A43197" t="str">
        <f>HYPERLINK("https://www.773grp.com/globalSearch/MC100EP35DTG/page-1", "MC100EP35DTG")</f>
        <v>MC100EP35DTG</v>
      </c>
      <c r="B43197" s="3" t="str">
        <f>HYPERLINK("https://www.773grp.com/manufacturer/onsemi?pageNo=439", "ON Semiconductor")</f>
        <v>ON Semiconductor</v>
      </c>
      <c r="C43197" s="6">
        <v>10119</v>
      </c>
      <c r="D43197" s="7">
        <v>16.309999999999999</v>
      </c>
      <c r="E43197" t="s">
        <v>35</v>
      </c>
    </row>
    <row r="43198" spans="1:5" x14ac:dyDescent="0.25">
      <c r="A43198" t="str">
        <f>HYPERLINK("https://www.773grp.com/globalSearch/MC100EP35DTR2G/page-1", "MC100EP35DTR2G")</f>
        <v>MC100EP35DTR2G</v>
      </c>
      <c r="B43198" s="3" t="str">
        <f>HYPERLINK("https://www.773grp.com/manufacturer/onsemi?pageNo=440", "ON Semiconductor")</f>
        <v>ON Semiconductor</v>
      </c>
      <c r="C43198" s="6">
        <v>2500</v>
      </c>
      <c r="D43198" s="7">
        <v>16.309999999999999</v>
      </c>
      <c r="E43198" t="s">
        <v>35</v>
      </c>
    </row>
    <row r="43199" spans="1:5" x14ac:dyDescent="0.25">
      <c r="A43199" t="str">
        <f>HYPERLINK("https://www.773grp.com/globalSearch/MC100EP35MNR4G/page-1", "MC100EP35MNR4G")</f>
        <v>MC100EP35MNR4G</v>
      </c>
      <c r="B43199" s="3" t="str">
        <f>HYPERLINK("https://www.773grp.com/manufacturer/onsemi?pageNo=441", "ON Semiconductor")</f>
        <v>ON Semiconductor</v>
      </c>
      <c r="C43199" s="6">
        <v>10044</v>
      </c>
      <c r="D43199" s="7">
        <v>16.309999999999999</v>
      </c>
      <c r="E43199" t="s">
        <v>35</v>
      </c>
    </row>
    <row r="43200" spans="1:5" x14ac:dyDescent="0.25">
      <c r="A43200" t="str">
        <f>HYPERLINK("https://www.773grp.com/globalSearch/MC10EP35DG/page-1", "MC10EP35DG")</f>
        <v>MC10EP35DG</v>
      </c>
      <c r="B43200" s="3" t="str">
        <f>HYPERLINK("https://www.773grp.com/manufacturer/onsemi?pageNo=442", "ON Semiconductor")</f>
        <v>ON Semiconductor</v>
      </c>
      <c r="C43200" s="6">
        <v>42871</v>
      </c>
      <c r="D43200" s="7">
        <v>16.309999999999999</v>
      </c>
      <c r="E43200" t="s">
        <v>35</v>
      </c>
    </row>
    <row r="43201" spans="1:5" x14ac:dyDescent="0.25">
      <c r="A43201" t="str">
        <f>HYPERLINK("https://www.773grp.com/globalSearch/MC10EP35DR2G/page-1", "MC10EP35DR2G")</f>
        <v>MC10EP35DR2G</v>
      </c>
      <c r="B43201" s="3" t="str">
        <f>HYPERLINK("https://www.773grp.com/manufacturer/onsemi?pageNo=443", "ON Semiconductor")</f>
        <v>ON Semiconductor</v>
      </c>
      <c r="C43201" s="6">
        <v>12500</v>
      </c>
      <c r="D43201" s="7">
        <v>16.309999999999999</v>
      </c>
      <c r="E43201" t="s">
        <v>35</v>
      </c>
    </row>
    <row r="43202" spans="1:5" x14ac:dyDescent="0.25">
      <c r="A43202" t="str">
        <f>HYPERLINK("https://www.773grp.com/globalSearch/MC10EP35DTG/page-1", "MC10EP35DTG")</f>
        <v>MC10EP35DTG</v>
      </c>
      <c r="B43202" s="3" t="str">
        <f>HYPERLINK("https://www.773grp.com/manufacturer/onsemi?pageNo=444", "ON Semiconductor")</f>
        <v>ON Semiconductor</v>
      </c>
      <c r="C43202" s="6">
        <v>12425</v>
      </c>
      <c r="D43202" s="7">
        <v>16.309999999999999</v>
      </c>
      <c r="E43202" t="s">
        <v>35</v>
      </c>
    </row>
    <row r="43203" spans="1:5" x14ac:dyDescent="0.25">
      <c r="A43203" t="str">
        <f>HYPERLINK("https://www.773grp.com/globalSearch/MC10EP35DTR2G/page-1", "MC10EP35DTR2G")</f>
        <v>MC10EP35DTR2G</v>
      </c>
      <c r="B43203" s="3" t="str">
        <f>HYPERLINK("https://www.773grp.com/manufacturer/onsemi?pageNo=445", "ON Semiconductor")</f>
        <v>ON Semiconductor</v>
      </c>
      <c r="C43203" s="6">
        <v>2500</v>
      </c>
      <c r="D43203" s="7">
        <v>16.309999999999999</v>
      </c>
      <c r="E43203" t="s">
        <v>35</v>
      </c>
    </row>
    <row r="43204" spans="1:5" x14ac:dyDescent="0.25">
      <c r="A43204" t="str">
        <f>HYPERLINK("https://www.773grp.com/globalSearch/NB6L56MNG/page-1", "NB6L56MNG")</f>
        <v>NB6L56MNG</v>
      </c>
      <c r="B43204" s="3" t="str">
        <f>HYPERLINK("https://www.773grp.com/manufacturer/onsemi?pageNo=446", "ON Semiconductor")</f>
        <v>ON Semiconductor</v>
      </c>
      <c r="C43204" s="6">
        <v>74</v>
      </c>
      <c r="D43204" s="7">
        <v>16.309999999999999</v>
      </c>
    </row>
    <row r="43205" spans="1:5" x14ac:dyDescent="0.25">
      <c r="A43205" t="str">
        <f>HYPERLINK("https://www.773grp.com/globalSearch/NB7L585RMNG/page-1", "NB7L585RMNG")</f>
        <v>NB7L585RMNG</v>
      </c>
      <c r="B43205" s="3" t="str">
        <f>HYPERLINK("https://www.773grp.com/manufacturer/onsemi?pageNo=447", "ON Semiconductor")</f>
        <v>ON Semiconductor</v>
      </c>
      <c r="C43205" s="6">
        <v>48</v>
      </c>
      <c r="D43205" s="7">
        <v>16.309999999999999</v>
      </c>
      <c r="E43205" t="s">
        <v>34</v>
      </c>
    </row>
    <row r="43206" spans="1:5" x14ac:dyDescent="0.25">
      <c r="A43206" t="str">
        <f>HYPERLINK("https://www.773grp.com/globalSearch/NB7L585RMNR4G/page-1", "NB7L585RMNR4G")</f>
        <v>NB7L585RMNR4G</v>
      </c>
      <c r="B43206" s="3" t="str">
        <f>HYPERLINK("https://www.773grp.com/manufacturer/onsemi?pageNo=448", "ON Semiconductor")</f>
        <v>ON Semiconductor</v>
      </c>
      <c r="C43206" s="6">
        <v>2000</v>
      </c>
      <c r="D43206" s="7">
        <v>16.309999999999999</v>
      </c>
      <c r="E43206" t="s">
        <v>34</v>
      </c>
    </row>
    <row r="43207" spans="1:5" x14ac:dyDescent="0.25">
      <c r="A43207" t="str">
        <f>HYPERLINK("https://www.773grp.com/globalSearch/MC10H330FN/page-1", "MC10H330FN")</f>
        <v>MC10H330FN</v>
      </c>
      <c r="B43207" s="3" t="str">
        <f>HYPERLINK("https://www.773grp.com/manufacturer/onsemi?pageNo=449", "ON Semiconductor")</f>
        <v>ON Semiconductor</v>
      </c>
      <c r="C43207" s="6">
        <v>2035</v>
      </c>
      <c r="D43207" s="7">
        <v>16.38</v>
      </c>
      <c r="E43207" t="s">
        <v>14</v>
      </c>
    </row>
    <row r="43208" spans="1:5" x14ac:dyDescent="0.25">
      <c r="A43208" t="str">
        <f>HYPERLINK("https://www.773grp.com/globalSearch/MC10H165P/page-1", "MC10H165P")</f>
        <v>MC10H165P</v>
      </c>
      <c r="B43208" s="3" t="str">
        <f>HYPERLINK("https://www.773grp.com/manufacturer/onsemi?pageNo=450", "ON Semiconductor")</f>
        <v>ON Semiconductor</v>
      </c>
      <c r="C43208" s="6">
        <v>1445</v>
      </c>
      <c r="D43208" s="7">
        <v>16.399999999999999</v>
      </c>
      <c r="E43208" t="s">
        <v>43</v>
      </c>
    </row>
    <row r="43209" spans="1:5" x14ac:dyDescent="0.25">
      <c r="A43209" t="str">
        <f>HYPERLINK("https://www.773grp.com/globalSearch/MC100LVEL30DWR2/page-1", "MC100LVEL30DWR2")</f>
        <v>MC100LVEL30DWR2</v>
      </c>
      <c r="B43209" s="3" t="str">
        <f>HYPERLINK("https://www.773grp.com/manufacturer/onsemi?pageNo=451", "ON Semiconductor")</f>
        <v>ON Semiconductor</v>
      </c>
      <c r="C43209" s="6">
        <v>310</v>
      </c>
      <c r="D43209" s="7">
        <v>16.649999999999999</v>
      </c>
      <c r="E43209" t="s">
        <v>35</v>
      </c>
    </row>
    <row r="43210" spans="1:5" x14ac:dyDescent="0.25">
      <c r="A43210" t="str">
        <f>HYPERLINK("https://www.773grp.com/globalSearch/2N6338G/page-1", "2N6338G")</f>
        <v>2N6338G</v>
      </c>
      <c r="B43210" s="3" t="str">
        <f>HYPERLINK("https://www.773grp.com/manufacturer/onsemi?pageNo=452", "ON Semiconductor")</f>
        <v>ON Semiconductor</v>
      </c>
      <c r="C43210" s="6">
        <v>50</v>
      </c>
      <c r="D43210" s="7">
        <v>16.71</v>
      </c>
      <c r="E43210" t="s">
        <v>59</v>
      </c>
    </row>
    <row r="43211" spans="1:5" x14ac:dyDescent="0.25">
      <c r="A43211" t="str">
        <f>HYPERLINK("https://www.773grp.com/globalSearch/2N6341G/page-1", "2N6341G")</f>
        <v>2N6341G</v>
      </c>
      <c r="B43211" s="3" t="str">
        <f>HYPERLINK("https://www.773grp.com/manufacturer/onsemi?pageNo=453", "ON Semiconductor")</f>
        <v>ON Semiconductor</v>
      </c>
      <c r="C43211" s="6">
        <v>170</v>
      </c>
      <c r="D43211" s="7">
        <v>16.71</v>
      </c>
      <c r="E43211" t="s">
        <v>59</v>
      </c>
    </row>
    <row r="43212" spans="1:5" x14ac:dyDescent="0.25">
      <c r="A43212" t="str">
        <f>HYPERLINK("https://www.773grp.com/globalSearch/MC10EP57DT/page-1", "MC10EP57DT")</f>
        <v>MC10EP57DT</v>
      </c>
      <c r="B43212" s="3" t="str">
        <f>HYPERLINK("https://www.773grp.com/manufacturer/onsemi?pageNo=454", "ON Semiconductor")</f>
        <v>ON Semiconductor</v>
      </c>
      <c r="C43212" s="6">
        <v>5175</v>
      </c>
      <c r="D43212" s="7">
        <v>16.739999999999998</v>
      </c>
    </row>
    <row r="43213" spans="1:5" x14ac:dyDescent="0.25">
      <c r="A43213" t="str">
        <f>HYPERLINK("https://www.773grp.com/globalSearch/LC74736PT-E/page-1", "LC74736PT-E")</f>
        <v>LC74736PT-E</v>
      </c>
      <c r="B43213" s="3" t="str">
        <f>HYPERLINK("https://www.773grp.com/manufacturer/onsemi?pageNo=455", "ON Semiconductor")</f>
        <v>ON Semiconductor</v>
      </c>
      <c r="C43213" s="6">
        <v>32</v>
      </c>
      <c r="D43213" s="7">
        <v>16.88</v>
      </c>
    </row>
    <row r="43214" spans="1:5" x14ac:dyDescent="0.25">
      <c r="A43214" t="str">
        <f>HYPERLINK("https://www.773grp.com/globalSearch/MC100EP809FAG/page-1", "MC100EP809FAG")</f>
        <v>MC100EP809FAG</v>
      </c>
      <c r="B43214" s="3" t="str">
        <f>HYPERLINK("https://www.773grp.com/manufacturer/onsemi?pageNo=456", "ON Semiconductor")</f>
        <v>ON Semiconductor</v>
      </c>
      <c r="C43214" s="6">
        <v>12070</v>
      </c>
      <c r="D43214" s="7">
        <v>16.88</v>
      </c>
      <c r="E43214" t="s">
        <v>34</v>
      </c>
    </row>
    <row r="43215" spans="1:5" x14ac:dyDescent="0.25">
      <c r="A43215" t="str">
        <f>HYPERLINK("https://www.773grp.com/globalSearch/MTY25N60E/page-1", "MTY25N60E")</f>
        <v>MTY25N60E</v>
      </c>
      <c r="B43215" s="3" t="str">
        <f>HYPERLINK("https://www.773grp.com/manufacturer/onsemi?pageNo=457", "ON Semiconductor")</f>
        <v>ON Semiconductor</v>
      </c>
      <c r="C43215" s="6">
        <v>4333</v>
      </c>
      <c r="D43215" s="7">
        <v>16.88</v>
      </c>
      <c r="E43215" t="s">
        <v>105</v>
      </c>
    </row>
    <row r="43216" spans="1:5" x14ac:dyDescent="0.25">
      <c r="A43216" t="str">
        <f>HYPERLINK("https://www.773grp.com/globalSearch/NB6L72MMNG/page-1", "NB6L72MMNG")</f>
        <v>NB6L72MMNG</v>
      </c>
      <c r="B43216" s="3" t="str">
        <f>HYPERLINK("https://www.773grp.com/manufacturer/onsemi?pageNo=458", "ON Semiconductor")</f>
        <v>ON Semiconductor</v>
      </c>
      <c r="C43216" s="6">
        <v>3336</v>
      </c>
      <c r="D43216" s="7">
        <v>16.88</v>
      </c>
      <c r="E43216" t="s">
        <v>56</v>
      </c>
    </row>
    <row r="43217" spans="1:5" x14ac:dyDescent="0.25">
      <c r="A43217" t="str">
        <f>HYPERLINK("https://www.773grp.com/globalSearch/NB6L72MMNR2G/page-1", "NB6L72MMNR2G")</f>
        <v>NB6L72MMNR2G</v>
      </c>
      <c r="B43217" s="3" t="str">
        <f>HYPERLINK("https://www.773grp.com/manufacturer/onsemi?pageNo=459", "ON Semiconductor")</f>
        <v>ON Semiconductor</v>
      </c>
      <c r="C43217" s="6">
        <v>11812</v>
      </c>
      <c r="D43217" s="7">
        <v>16.88</v>
      </c>
      <c r="E43217" t="s">
        <v>56</v>
      </c>
    </row>
    <row r="43218" spans="1:5" x14ac:dyDescent="0.25">
      <c r="A43218" t="str">
        <f>HYPERLINK("https://www.773grp.com/globalSearch/NB6L72MNG/page-1", "NB6L72MNG")</f>
        <v>NB6L72MNG</v>
      </c>
      <c r="B43218" s="3" t="str">
        <f>HYPERLINK("https://www.773grp.com/manufacturer/onsemi?pageNo=460", "ON Semiconductor")</f>
        <v>ON Semiconductor</v>
      </c>
      <c r="C43218" s="6">
        <v>1199</v>
      </c>
      <c r="D43218" s="7">
        <v>16.88</v>
      </c>
      <c r="E43218" t="s">
        <v>56</v>
      </c>
    </row>
    <row r="43219" spans="1:5" x14ac:dyDescent="0.25">
      <c r="A43219" t="str">
        <f>HYPERLINK("https://www.773grp.com/globalSearch/NB6L72MNR2G/page-1", "NB6L72MNR2G")</f>
        <v>NB6L72MNR2G</v>
      </c>
      <c r="B43219" s="3" t="str">
        <f>HYPERLINK("https://www.773grp.com/manufacturer/onsemi?pageNo=461", "ON Semiconductor")</f>
        <v>ON Semiconductor</v>
      </c>
      <c r="C43219" s="6">
        <v>6783</v>
      </c>
      <c r="D43219" s="7">
        <v>16.88</v>
      </c>
      <c r="E43219" t="s">
        <v>56</v>
      </c>
    </row>
    <row r="43220" spans="1:5" x14ac:dyDescent="0.25">
      <c r="A43220" t="str">
        <f>HYPERLINK("https://www.773grp.com/globalSearch/STK415-090J-E/page-1", "STK415-090J-E")</f>
        <v>STK415-090J-E</v>
      </c>
      <c r="B43220" s="3" t="str">
        <f>HYPERLINK("https://www.773grp.com/manufacturer/onsemi?pageNo=462", "ON Semiconductor")</f>
        <v>ON Semiconductor</v>
      </c>
      <c r="C43220" s="6">
        <v>5</v>
      </c>
      <c r="D43220" s="7">
        <v>16.88</v>
      </c>
    </row>
    <row r="43221" spans="1:5" x14ac:dyDescent="0.25">
      <c r="A43221" t="str">
        <f>HYPERLINK("https://www.773grp.com/globalSearch/STK672-040-E/page-1", "STK672-040-E")</f>
        <v>STK672-040-E</v>
      </c>
      <c r="B43221" s="3" t="str">
        <f>HYPERLINK("https://www.773grp.com/manufacturer/onsemi?pageNo=463", "ON Semiconductor")</f>
        <v>ON Semiconductor</v>
      </c>
      <c r="C43221" s="6">
        <v>54</v>
      </c>
      <c r="D43221" s="7">
        <v>16.88</v>
      </c>
    </row>
    <row r="43222" spans="1:5" x14ac:dyDescent="0.25">
      <c r="A43222" t="str">
        <f>HYPERLINK("https://www.773grp.com/globalSearch/CAT28LV256G25/page-1", "CAT28LV256G25")</f>
        <v>CAT28LV256G25</v>
      </c>
      <c r="B43222" s="3" t="str">
        <f>HYPERLINK("https://www.773grp.com/manufacturer/onsemi?pageNo=464", "ON Semiconductor")</f>
        <v>ON Semiconductor</v>
      </c>
      <c r="C43222" s="6">
        <v>448</v>
      </c>
      <c r="D43222" s="7">
        <v>17.010000000000002</v>
      </c>
      <c r="E43222" t="s">
        <v>64</v>
      </c>
    </row>
    <row r="43223" spans="1:5" x14ac:dyDescent="0.25">
      <c r="A43223" t="str">
        <f>HYPERLINK("https://www.773grp.com/globalSearch/CAT28LV256GI25/page-1", "CAT28LV256GI25")</f>
        <v>CAT28LV256GI25</v>
      </c>
      <c r="B43223" s="3" t="str">
        <f>HYPERLINK("https://www.773grp.com/manufacturer/onsemi?pageNo=465", "ON Semiconductor")</f>
        <v>ON Semiconductor</v>
      </c>
      <c r="C43223" s="6">
        <v>34</v>
      </c>
      <c r="D43223" s="7">
        <v>17.010000000000002</v>
      </c>
    </row>
    <row r="43224" spans="1:5" x14ac:dyDescent="0.25">
      <c r="A43224" t="str">
        <f>HYPERLINK("https://www.773grp.com/globalSearch/NBC12429AFA/page-1", "NBC12429AFA")</f>
        <v>NBC12429AFA</v>
      </c>
      <c r="B43224" s="3" t="str">
        <f>HYPERLINK("https://www.773grp.com/manufacturer/onsemi?pageNo=466", "ON Semiconductor")</f>
        <v>ON Semiconductor</v>
      </c>
      <c r="C43224" s="6">
        <v>2250</v>
      </c>
      <c r="D43224" s="7">
        <v>17.440000000000001</v>
      </c>
      <c r="E43224" t="s">
        <v>79</v>
      </c>
    </row>
    <row r="43225" spans="1:5" x14ac:dyDescent="0.25">
      <c r="A43225" t="str">
        <f>HYPERLINK("https://www.773grp.com/globalSearch/NBC12429AFAG/page-1", "NBC12429AFAG")</f>
        <v>NBC12429AFAG</v>
      </c>
      <c r="B43225" s="3" t="str">
        <f>HYPERLINK("https://www.773grp.com/manufacturer/onsemi?pageNo=467", "ON Semiconductor")</f>
        <v>ON Semiconductor</v>
      </c>
      <c r="C43225" s="6">
        <v>7</v>
      </c>
      <c r="D43225" s="7">
        <v>17.440000000000001</v>
      </c>
      <c r="E43225" t="s">
        <v>79</v>
      </c>
    </row>
    <row r="43226" spans="1:5" x14ac:dyDescent="0.25">
      <c r="A43226" t="str">
        <f>HYPERLINK("https://www.773grp.com/globalSearch/NBC12430AFAG/page-1", "NBC12430AFAG")</f>
        <v>NBC12430AFAG</v>
      </c>
      <c r="B43226" s="3" t="str">
        <f>HYPERLINK("https://www.773grp.com/manufacturer/onsemi?pageNo=468", "ON Semiconductor")</f>
        <v>ON Semiconductor</v>
      </c>
      <c r="C43226" s="6">
        <v>923</v>
      </c>
      <c r="D43226" s="7">
        <v>17.440000000000001</v>
      </c>
      <c r="E43226" t="s">
        <v>79</v>
      </c>
    </row>
    <row r="43227" spans="1:5" x14ac:dyDescent="0.25">
      <c r="A43227" t="str">
        <f>HYPERLINK("https://www.773grp.com/globalSearch/NBC12430AFAR2G/page-1", "NBC12430AFAR2G")</f>
        <v>NBC12430AFAR2G</v>
      </c>
      <c r="B43227" s="3" t="str">
        <f>HYPERLINK("https://www.773grp.com/manufacturer/onsemi?pageNo=469", "ON Semiconductor")</f>
        <v>ON Semiconductor</v>
      </c>
      <c r="C43227" s="6">
        <v>2000</v>
      </c>
      <c r="D43227" s="7">
        <v>17.440000000000001</v>
      </c>
      <c r="E43227" t="s">
        <v>79</v>
      </c>
    </row>
    <row r="43228" spans="1:5" x14ac:dyDescent="0.25">
      <c r="A43228" t="str">
        <f>HYPERLINK("https://www.773grp.com/globalSearch/NBC12430AFNG/page-1", "NBC12430AFNG")</f>
        <v>NBC12430AFNG</v>
      </c>
      <c r="B43228" s="3" t="str">
        <f>HYPERLINK("https://www.773grp.com/manufacturer/onsemi?pageNo=470", "ON Semiconductor")</f>
        <v>ON Semiconductor</v>
      </c>
      <c r="C43228" s="6">
        <v>317</v>
      </c>
      <c r="D43228" s="7">
        <v>17.440000000000001</v>
      </c>
      <c r="E43228" t="s">
        <v>79</v>
      </c>
    </row>
    <row r="43229" spans="1:5" x14ac:dyDescent="0.25">
      <c r="A43229" t="str">
        <f>HYPERLINK("https://www.773grp.com/globalSearch/NBC12439AFA/page-1", "NBC12439AFA")</f>
        <v>NBC12439AFA</v>
      </c>
      <c r="B43229" s="3" t="str">
        <f>HYPERLINK("https://www.773grp.com/manufacturer/onsemi?pageNo=471", "ON Semiconductor")</f>
        <v>ON Semiconductor</v>
      </c>
      <c r="C43229" s="6">
        <v>2013</v>
      </c>
      <c r="D43229" s="7">
        <v>17.440000000000001</v>
      </c>
      <c r="E43229" t="s">
        <v>79</v>
      </c>
    </row>
    <row r="43230" spans="1:5" x14ac:dyDescent="0.25">
      <c r="A43230" t="str">
        <f>HYPERLINK("https://www.773grp.com/globalSearch/NBC12439AFAG/page-1", "NBC12439AFAG")</f>
        <v>NBC12439AFAG</v>
      </c>
      <c r="B43230" s="3" t="str">
        <f>HYPERLINK("https://www.773grp.com/manufacturer/onsemi?pageNo=472", "ON Semiconductor")</f>
        <v>ON Semiconductor</v>
      </c>
      <c r="C43230" s="6">
        <v>2587</v>
      </c>
      <c r="D43230" s="7">
        <v>17.440000000000001</v>
      </c>
      <c r="E43230" t="s">
        <v>79</v>
      </c>
    </row>
    <row r="43231" spans="1:5" x14ac:dyDescent="0.25">
      <c r="A43231" t="str">
        <f>HYPERLINK("https://www.773grp.com/globalSearch/STK5C4-220J-E/page-1", "STK5C4-220J-E")</f>
        <v>STK5C4-220J-E</v>
      </c>
      <c r="B43231" s="3" t="str">
        <f>HYPERLINK("https://www.773grp.com/manufacturer/onsemi?pageNo=473", "ON Semiconductor")</f>
        <v>ON Semiconductor</v>
      </c>
      <c r="C43231" s="6">
        <v>57600</v>
      </c>
      <c r="D43231" s="7">
        <v>17.440000000000001</v>
      </c>
    </row>
    <row r="43232" spans="1:5" x14ac:dyDescent="0.25">
      <c r="A43232" t="str">
        <f>HYPERLINK("https://www.773grp.com/globalSearch/CAT28C256LI15/page-1", "CAT28C256LI15")</f>
        <v>CAT28C256LI15</v>
      </c>
      <c r="B43232" s="3" t="str">
        <f>HYPERLINK("https://www.773grp.com/manufacturer/onsemi?pageNo=474", "ON Semiconductor")</f>
        <v>ON Semiconductor</v>
      </c>
      <c r="C43232" s="6">
        <v>101</v>
      </c>
      <c r="D43232" s="7">
        <v>17.59</v>
      </c>
      <c r="E43232" t="s">
        <v>64</v>
      </c>
    </row>
    <row r="43233" spans="1:5" x14ac:dyDescent="0.25">
      <c r="A43233" t="str">
        <f>HYPERLINK("https://www.773grp.com/globalSearch/MC100H640FN/page-1", "MC100H640FN")</f>
        <v>MC100H640FN</v>
      </c>
      <c r="B43233" s="3" t="str">
        <f>HYPERLINK("https://www.773grp.com/manufacturer/onsemi?pageNo=475", "ON Semiconductor")</f>
        <v>ON Semiconductor</v>
      </c>
      <c r="C43233" s="6">
        <v>296</v>
      </c>
      <c r="D43233" s="7">
        <v>17.59</v>
      </c>
      <c r="E43233" t="s">
        <v>34</v>
      </c>
    </row>
    <row r="43234" spans="1:5" x14ac:dyDescent="0.25">
      <c r="A43234" t="str">
        <f>HYPERLINK("https://www.773grp.com/globalSearch/2N5686G/page-1", "2N5686G")</f>
        <v>2N5686G</v>
      </c>
      <c r="B43234" s="3" t="str">
        <f>HYPERLINK("https://www.773grp.com/manufacturer/onsemi?pageNo=476", "ON Semiconductor")</f>
        <v>ON Semiconductor</v>
      </c>
      <c r="C43234" s="6">
        <v>917</v>
      </c>
      <c r="D43234" s="7">
        <v>17.600000000000001</v>
      </c>
      <c r="E43234" t="s">
        <v>59</v>
      </c>
    </row>
    <row r="43235" spans="1:5" x14ac:dyDescent="0.25">
      <c r="A43235" t="str">
        <f>HYPERLINK("https://www.773grp.com/globalSearch/MJ14002/page-1", "MJ14002")</f>
        <v>MJ14002</v>
      </c>
      <c r="B43235" s="3" t="str">
        <f>HYPERLINK("https://www.773grp.com/manufacturer/onsemi?pageNo=477", "ON Semiconductor")</f>
        <v>ON Semiconductor</v>
      </c>
      <c r="C43235" s="6">
        <v>100</v>
      </c>
      <c r="D43235" s="7">
        <v>17.600000000000001</v>
      </c>
      <c r="E43235" t="s">
        <v>59</v>
      </c>
    </row>
    <row r="43236" spans="1:5" x14ac:dyDescent="0.25">
      <c r="A43236" t="str">
        <f>HYPERLINK("https://www.773grp.com/globalSearch/MJ14002G/page-1", "MJ14002G")</f>
        <v>MJ14002G</v>
      </c>
      <c r="B43236" s="3" t="str">
        <f>HYPERLINK("https://www.773grp.com/manufacturer/onsemi?pageNo=478", "ON Semiconductor")</f>
        <v>ON Semiconductor</v>
      </c>
      <c r="C43236" s="6">
        <v>721</v>
      </c>
      <c r="D43236" s="7">
        <v>17.600000000000001</v>
      </c>
      <c r="E43236" t="s">
        <v>59</v>
      </c>
    </row>
    <row r="43237" spans="1:5" x14ac:dyDescent="0.25">
      <c r="A43237" t="str">
        <f>HYPERLINK("https://www.773grp.com/globalSearch/MC100E336FN/page-1", "MC100E336FN")</f>
        <v>MC100E336FN</v>
      </c>
      <c r="B43237" s="3" t="str">
        <f>HYPERLINK("https://www.773grp.com/manufacturer/onsemi?pageNo=479", "ON Semiconductor")</f>
        <v>ON Semiconductor</v>
      </c>
      <c r="C43237" s="6">
        <v>518</v>
      </c>
      <c r="D43237" s="7">
        <v>17.73</v>
      </c>
      <c r="E43237" t="s">
        <v>14</v>
      </c>
    </row>
    <row r="43238" spans="1:5" x14ac:dyDescent="0.25">
      <c r="A43238" t="str">
        <f>HYPERLINK("https://www.773grp.com/globalSearch/MC100EP142FA/page-1", "MC100EP142FA")</f>
        <v>MC100EP142FA</v>
      </c>
      <c r="B43238" s="3" t="str">
        <f>HYPERLINK("https://www.773grp.com/manufacturer/onsemi?pageNo=480", "ON Semiconductor")</f>
        <v>ON Semiconductor</v>
      </c>
      <c r="C43238" s="6">
        <v>5066</v>
      </c>
      <c r="D43238" s="7">
        <v>17.8</v>
      </c>
      <c r="E43238" t="s">
        <v>32</v>
      </c>
    </row>
    <row r="43239" spans="1:5" x14ac:dyDescent="0.25">
      <c r="A43239" t="str">
        <f>HYPERLINK("https://www.773grp.com/globalSearch/MC100EP445FA/page-1", "MC100EP445FA")</f>
        <v>MC100EP445FA</v>
      </c>
      <c r="B43239" s="3" t="str">
        <f>HYPERLINK("https://www.773grp.com/manufacturer/onsemi?pageNo=481", "ON Semiconductor")</f>
        <v>ON Semiconductor</v>
      </c>
      <c r="C43239" s="6">
        <v>21832</v>
      </c>
      <c r="D43239" s="7">
        <v>17.8</v>
      </c>
      <c r="E43239" t="s">
        <v>32</v>
      </c>
    </row>
    <row r="43240" spans="1:5" x14ac:dyDescent="0.25">
      <c r="A43240" t="str">
        <f>HYPERLINK("https://www.773grp.com/globalSearch/MC100EP446FA/page-1", "MC100EP446FA")</f>
        <v>MC100EP446FA</v>
      </c>
      <c r="B43240" s="3" t="str">
        <f>HYPERLINK("https://www.773grp.com/manufacturer/onsemi?pageNo=482", "ON Semiconductor")</f>
        <v>ON Semiconductor</v>
      </c>
      <c r="C43240" s="6">
        <v>10747</v>
      </c>
      <c r="D43240" s="7">
        <v>17.8</v>
      </c>
      <c r="E43240" t="s">
        <v>32</v>
      </c>
    </row>
    <row r="43241" spans="1:5" x14ac:dyDescent="0.25">
      <c r="A43241" t="str">
        <f>HYPERLINK("https://www.773grp.com/globalSearch/MC100EP451FA/page-1", "MC100EP451FA")</f>
        <v>MC100EP451FA</v>
      </c>
      <c r="B43241" s="3" t="str">
        <f>HYPERLINK("https://www.773grp.com/manufacturer/onsemi?pageNo=483", "ON Semiconductor")</f>
        <v>ON Semiconductor</v>
      </c>
      <c r="C43241" s="6">
        <v>16602</v>
      </c>
      <c r="D43241" s="7">
        <v>17.8</v>
      </c>
      <c r="E43241" t="s">
        <v>35</v>
      </c>
    </row>
    <row r="43242" spans="1:5" x14ac:dyDescent="0.25">
      <c r="A43242" t="str">
        <f>HYPERLINK("https://www.773grp.com/globalSearch/MC100EP451FAR2/page-1", "MC100EP451FAR2")</f>
        <v>MC100EP451FAR2</v>
      </c>
      <c r="B43242" s="3" t="str">
        <f>HYPERLINK("https://www.773grp.com/manufacturer/onsemi?pageNo=484", "ON Semiconductor")</f>
        <v>ON Semiconductor</v>
      </c>
      <c r="C43242" s="6">
        <v>880</v>
      </c>
      <c r="D43242" s="7">
        <v>17.8</v>
      </c>
      <c r="E43242" t="s">
        <v>35</v>
      </c>
    </row>
    <row r="43243" spans="1:5" x14ac:dyDescent="0.25">
      <c r="A43243" t="str">
        <f>HYPERLINK("https://www.773grp.com/globalSearch/MC10EP142FA/page-1", "MC10EP142FA")</f>
        <v>MC10EP142FA</v>
      </c>
      <c r="B43243" s="3" t="str">
        <f>HYPERLINK("https://www.773grp.com/manufacturer/onsemi?pageNo=485", "ON Semiconductor")</f>
        <v>ON Semiconductor</v>
      </c>
      <c r="C43243" s="6">
        <v>10795</v>
      </c>
      <c r="D43243" s="7">
        <v>17.8</v>
      </c>
      <c r="E43243" t="s">
        <v>32</v>
      </c>
    </row>
    <row r="43244" spans="1:5" x14ac:dyDescent="0.25">
      <c r="A43244" t="str">
        <f>HYPERLINK("https://www.773grp.com/globalSearch/MC10EP445FA/page-1", "MC10EP445FA")</f>
        <v>MC10EP445FA</v>
      </c>
      <c r="B43244" s="3" t="str">
        <f>HYPERLINK("https://www.773grp.com/manufacturer/onsemi?pageNo=486", "ON Semiconductor")</f>
        <v>ON Semiconductor</v>
      </c>
      <c r="C43244" s="6">
        <v>17574</v>
      </c>
      <c r="D43244" s="7">
        <v>17.8</v>
      </c>
      <c r="E43244" t="s">
        <v>32</v>
      </c>
    </row>
    <row r="43245" spans="1:5" x14ac:dyDescent="0.25">
      <c r="A43245" t="str">
        <f>HYPERLINK("https://www.773grp.com/globalSearch/MC10EP445FAR2/page-1", "MC10EP445FAR2")</f>
        <v>MC10EP445FAR2</v>
      </c>
      <c r="B43245" s="3" t="str">
        <f>HYPERLINK("https://www.773grp.com/manufacturer/onsemi?pageNo=487", "ON Semiconductor")</f>
        <v>ON Semiconductor</v>
      </c>
      <c r="C43245" s="6">
        <v>6000</v>
      </c>
      <c r="D43245" s="7">
        <v>17.8</v>
      </c>
      <c r="E43245" t="s">
        <v>32</v>
      </c>
    </row>
    <row r="43246" spans="1:5" x14ac:dyDescent="0.25">
      <c r="A43246" t="str">
        <f>HYPERLINK("https://www.773grp.com/globalSearch/MC10EP446FA/page-1", "MC10EP446FA")</f>
        <v>MC10EP446FA</v>
      </c>
      <c r="B43246" s="3" t="str">
        <f>HYPERLINK("https://www.773grp.com/manufacturer/onsemi?pageNo=488", "ON Semiconductor")</f>
        <v>ON Semiconductor</v>
      </c>
      <c r="C43246" s="6">
        <v>13148</v>
      </c>
      <c r="D43246" s="7">
        <v>17.8</v>
      </c>
      <c r="E43246" t="s">
        <v>32</v>
      </c>
    </row>
    <row r="43247" spans="1:5" x14ac:dyDescent="0.25">
      <c r="A43247" t="str">
        <f>HYPERLINK("https://www.773grp.com/globalSearch/MC10EP451FA/page-1", "MC10EP451FA")</f>
        <v>MC10EP451FA</v>
      </c>
      <c r="B43247" s="3" t="str">
        <f>HYPERLINK("https://www.773grp.com/manufacturer/onsemi?pageNo=489", "ON Semiconductor")</f>
        <v>ON Semiconductor</v>
      </c>
      <c r="C43247" s="6">
        <v>3431</v>
      </c>
      <c r="D43247" s="7">
        <v>17.8</v>
      </c>
      <c r="E43247" t="s">
        <v>35</v>
      </c>
    </row>
    <row r="43248" spans="1:5" x14ac:dyDescent="0.25">
      <c r="A43248" t="str">
        <f>HYPERLINK("https://www.773grp.com/globalSearch/MC10EP451FAR2/page-1", "MC10EP451FAR2")</f>
        <v>MC10EP451FAR2</v>
      </c>
      <c r="B43248" s="3" t="str">
        <f>HYPERLINK("https://www.773grp.com/manufacturer/onsemi?pageNo=490", "ON Semiconductor")</f>
        <v>ON Semiconductor</v>
      </c>
      <c r="C43248" s="6">
        <v>1900</v>
      </c>
      <c r="D43248" s="7">
        <v>17.8</v>
      </c>
      <c r="E43248" t="s">
        <v>35</v>
      </c>
    </row>
    <row r="43249" spans="1:5" x14ac:dyDescent="0.25">
      <c r="A43249" t="str">
        <f>HYPERLINK("https://www.773grp.com/globalSearch/MGY40N60/page-1", "MGY40N60")</f>
        <v>MGY40N60</v>
      </c>
      <c r="B43249" s="3" t="str">
        <f>HYPERLINK("https://www.773grp.com/manufacturer/onsemi?pageNo=491", "ON Semiconductor")</f>
        <v>ON Semiconductor</v>
      </c>
      <c r="C43249" s="6">
        <v>12095</v>
      </c>
      <c r="D43249" s="7">
        <v>17.84</v>
      </c>
      <c r="E43249" t="s">
        <v>115</v>
      </c>
    </row>
    <row r="43250" spans="1:5" x14ac:dyDescent="0.25">
      <c r="A43250" t="str">
        <f>HYPERLINK("https://www.773grp.com/globalSearch/MC10H334L/page-1", "MC10H334L")</f>
        <v>MC10H334L</v>
      </c>
      <c r="B43250" s="3" t="str">
        <f>HYPERLINK("https://www.773grp.com/manufacturer/onsemi?pageNo=492", "ON Semiconductor")</f>
        <v>ON Semiconductor</v>
      </c>
      <c r="C43250" s="6">
        <v>475</v>
      </c>
      <c r="D43250" s="7">
        <v>17.850000000000001</v>
      </c>
      <c r="E43250" t="s">
        <v>14</v>
      </c>
    </row>
    <row r="43251" spans="1:5" x14ac:dyDescent="0.25">
      <c r="A43251" t="str">
        <f>HYPERLINK("https://www.773grp.com/globalSearch/MC100EL13DWG/page-1", "MC100EL13DWG")</f>
        <v>MC100EL13DWG</v>
      </c>
      <c r="B43251" s="3" t="str">
        <f>HYPERLINK("https://www.773grp.com/manufacturer/onsemi?pageNo=493", "ON Semiconductor")</f>
        <v>ON Semiconductor</v>
      </c>
      <c r="C43251" s="6">
        <v>987</v>
      </c>
      <c r="D43251" s="7">
        <v>18.09</v>
      </c>
      <c r="E43251" t="s">
        <v>34</v>
      </c>
    </row>
    <row r="43252" spans="1:5" x14ac:dyDescent="0.25">
      <c r="A43252" t="str">
        <f>HYPERLINK("https://www.773grp.com/globalSearch/MC100EL13DWR2G/page-1", "MC100EL13DWR2G")</f>
        <v>MC100EL13DWR2G</v>
      </c>
      <c r="B43252" s="3" t="str">
        <f>HYPERLINK("https://www.773grp.com/manufacturer/onsemi?pageNo=494", "ON Semiconductor")</f>
        <v>ON Semiconductor</v>
      </c>
      <c r="C43252" s="6">
        <v>2337</v>
      </c>
      <c r="D43252" s="7">
        <v>18.09</v>
      </c>
      <c r="E43252" t="s">
        <v>34</v>
      </c>
    </row>
    <row r="43253" spans="1:5" x14ac:dyDescent="0.25">
      <c r="A43253" t="str">
        <f>HYPERLINK("https://www.773grp.com/globalSearch/MC100LVEL13DWG/page-1", "MC100LVEL13DWG")</f>
        <v>MC100LVEL13DWG</v>
      </c>
      <c r="B43253" s="3" t="str">
        <f>HYPERLINK("https://www.773grp.com/manufacturer/onsemi?pageNo=495", "ON Semiconductor")</f>
        <v>ON Semiconductor</v>
      </c>
      <c r="C43253" s="6">
        <v>760</v>
      </c>
      <c r="D43253" s="7">
        <v>18.09</v>
      </c>
      <c r="E43253" t="s">
        <v>34</v>
      </c>
    </row>
    <row r="43254" spans="1:5" x14ac:dyDescent="0.25">
      <c r="A43254" t="str">
        <f>HYPERLINK("https://www.773grp.com/globalSearch/MC100LVEL13DWR2/page-1", "MC100LVEL13DWR2")</f>
        <v>MC100LVEL13DWR2</v>
      </c>
      <c r="B43254" s="3" t="str">
        <f>HYPERLINK("https://www.773grp.com/manufacturer/onsemi?pageNo=496", "ON Semiconductor")</f>
        <v>ON Semiconductor</v>
      </c>
      <c r="C43254" s="6">
        <v>3311</v>
      </c>
      <c r="D43254" s="7">
        <v>18.09</v>
      </c>
    </row>
    <row r="43255" spans="1:5" x14ac:dyDescent="0.25">
      <c r="A43255" t="str">
        <f>HYPERLINK("https://www.773grp.com/globalSearch/MC100LVEL13DWR2G/page-1", "MC100LVEL13DWR2G")</f>
        <v>MC100LVEL13DWR2G</v>
      </c>
      <c r="B43255" s="3" t="str">
        <f>HYPERLINK("https://www.773grp.com/manufacturer/onsemi?pageNo=497", "ON Semiconductor")</f>
        <v>ON Semiconductor</v>
      </c>
      <c r="C43255" s="6">
        <v>2000</v>
      </c>
      <c r="D43255" s="7">
        <v>18.09</v>
      </c>
      <c r="E43255" t="s">
        <v>34</v>
      </c>
    </row>
    <row r="43256" spans="1:5" x14ac:dyDescent="0.25">
      <c r="A43256" t="str">
        <f>HYPERLINK("https://www.773grp.com/globalSearch/MC100LVEL39DWR2/page-1", "MC100LVEL39DWR2")</f>
        <v>MC100LVEL39DWR2</v>
      </c>
      <c r="B43256" s="3" t="str">
        <f>HYPERLINK("https://www.773grp.com/manufacturer/onsemi?pageNo=498", "ON Semiconductor")</f>
        <v>ON Semiconductor</v>
      </c>
      <c r="C43256" s="6">
        <v>4763</v>
      </c>
      <c r="D43256" s="7">
        <v>18.09</v>
      </c>
      <c r="E43256" t="s">
        <v>34</v>
      </c>
    </row>
    <row r="43257" spans="1:5" x14ac:dyDescent="0.25">
      <c r="A43257" t="str">
        <f>HYPERLINK("https://www.773grp.com/globalSearch/LA47536-E/page-1", "LA47536-E")</f>
        <v>LA47536-E</v>
      </c>
      <c r="B43257" s="3" t="str">
        <f>HYPERLINK("https://www.773grp.com/manufacturer/onsemi?pageNo=499", "ON Semiconductor")</f>
        <v>ON Semiconductor</v>
      </c>
      <c r="C43257" s="6">
        <v>315</v>
      </c>
      <c r="D43257" s="7">
        <v>18.14</v>
      </c>
    </row>
    <row r="43258" spans="1:5" x14ac:dyDescent="0.25">
      <c r="A43258" t="str">
        <f>HYPERLINK("https://www.773grp.com/globalSearch/MC100EP016AFA/page-1", "MC100EP016AFA")</f>
        <v>MC100EP016AFA</v>
      </c>
      <c r="B43258" s="3" t="str">
        <f>HYPERLINK("https://www.773grp.com/manufacturer/onsemi?pageNo=500", "ON Semiconductor")</f>
        <v>ON Semiconductor</v>
      </c>
      <c r="C43258" s="6">
        <v>6318</v>
      </c>
      <c r="D43258" s="7">
        <v>18.28</v>
      </c>
      <c r="E43258" t="s">
        <v>26</v>
      </c>
    </row>
    <row r="43259" spans="1:5" x14ac:dyDescent="0.25">
      <c r="A43259" t="str">
        <f>HYPERLINK("https://www.773grp.com/globalSearch/MC100EP016AFAR2/page-1", "MC100EP016AFAR2")</f>
        <v>MC100EP016AFAR2</v>
      </c>
      <c r="B43259" s="3" t="str">
        <f>HYPERLINK("https://www.773grp.com/manufacturer/onsemi?pageNo=501", "ON Semiconductor")</f>
        <v>ON Semiconductor</v>
      </c>
      <c r="C43259" s="6">
        <v>2000</v>
      </c>
      <c r="D43259" s="7">
        <v>18.28</v>
      </c>
      <c r="E43259" t="s">
        <v>26</v>
      </c>
    </row>
    <row r="43260" spans="1:5" x14ac:dyDescent="0.25">
      <c r="A43260" t="str">
        <f>HYPERLINK("https://www.773grp.com/globalSearch/MC100EP016FA/page-1", "MC100EP016FA")</f>
        <v>MC100EP016FA</v>
      </c>
      <c r="B43260" s="3" t="str">
        <f>HYPERLINK("https://www.773grp.com/manufacturer/onsemi?pageNo=502", "ON Semiconductor")</f>
        <v>ON Semiconductor</v>
      </c>
      <c r="C43260" s="6">
        <v>485</v>
      </c>
      <c r="D43260" s="7">
        <v>18.28</v>
      </c>
      <c r="E43260" t="s">
        <v>26</v>
      </c>
    </row>
    <row r="43261" spans="1:5" x14ac:dyDescent="0.25">
      <c r="A43261" t="str">
        <f>HYPERLINK("https://www.773grp.com/globalSearch/MC100EP139DTG/page-1", "MC100EP139DTG")</f>
        <v>MC100EP139DTG</v>
      </c>
      <c r="B43261" s="3" t="str">
        <f>HYPERLINK("https://www.773grp.com/manufacturer/onsemi?pageNo=503", "ON Semiconductor")</f>
        <v>ON Semiconductor</v>
      </c>
      <c r="C43261" s="6">
        <v>908</v>
      </c>
      <c r="D43261" s="7">
        <v>18.28</v>
      </c>
      <c r="E43261" t="s">
        <v>34</v>
      </c>
    </row>
    <row r="43262" spans="1:5" x14ac:dyDescent="0.25">
      <c r="A43262" t="str">
        <f>HYPERLINK("https://www.773grp.com/globalSearch/MC10EP016FA/page-1", "MC10EP016FA")</f>
        <v>MC10EP016FA</v>
      </c>
      <c r="B43262" s="3" t="str">
        <f>HYPERLINK("https://www.773grp.com/manufacturer/onsemi?pageNo=504", "ON Semiconductor")</f>
        <v>ON Semiconductor</v>
      </c>
      <c r="C43262" s="6">
        <v>7872</v>
      </c>
      <c r="D43262" s="7">
        <v>18.28</v>
      </c>
      <c r="E43262" t="s">
        <v>26</v>
      </c>
    </row>
    <row r="43263" spans="1:5" x14ac:dyDescent="0.25">
      <c r="A43263" t="str">
        <f>HYPERLINK("https://www.773grp.com/globalSearch/MC10EP016FAR2/page-1", "MC10EP016FAR2")</f>
        <v>MC10EP016FAR2</v>
      </c>
      <c r="B43263" s="3" t="str">
        <f>HYPERLINK("https://www.773grp.com/manufacturer/onsemi?pageNo=505", "ON Semiconductor")</f>
        <v>ON Semiconductor</v>
      </c>
      <c r="C43263" s="6">
        <v>10000</v>
      </c>
      <c r="D43263" s="7">
        <v>18.28</v>
      </c>
      <c r="E43263" t="s">
        <v>26</v>
      </c>
    </row>
    <row r="43264" spans="1:5" x14ac:dyDescent="0.25">
      <c r="A43264" t="str">
        <f>HYPERLINK("https://www.773grp.com/globalSearch/NB6L572MMNR4G/page-1", "NB6L572MMNR4G")</f>
        <v>NB6L572MMNR4G</v>
      </c>
      <c r="B43264" s="3" t="str">
        <f>HYPERLINK("https://www.773grp.com/manufacturer/onsemi?pageNo=506", "ON Semiconductor")</f>
        <v>ON Semiconductor</v>
      </c>
      <c r="C43264" s="6">
        <v>4488</v>
      </c>
      <c r="D43264" s="7">
        <v>18.28</v>
      </c>
      <c r="E43264" t="s">
        <v>34</v>
      </c>
    </row>
    <row r="43265" spans="1:5" x14ac:dyDescent="0.25">
      <c r="A43265" t="str">
        <f>HYPERLINK("https://www.773grp.com/globalSearch/NB6LQ572MMNR4G/page-1", "NB6LQ572MMNR4G")</f>
        <v>NB6LQ572MMNR4G</v>
      </c>
      <c r="B43265" s="3" t="str">
        <f>HYPERLINK("https://www.773grp.com/manufacturer/onsemi?pageNo=507", "ON Semiconductor")</f>
        <v>ON Semiconductor</v>
      </c>
      <c r="C43265" s="6">
        <v>5800</v>
      </c>
      <c r="D43265" s="7">
        <v>18.28</v>
      </c>
      <c r="E43265" t="s">
        <v>34</v>
      </c>
    </row>
    <row r="43266" spans="1:5" x14ac:dyDescent="0.25">
      <c r="A43266" t="str">
        <f>HYPERLINK("https://www.773grp.com/globalSearch/CAT28F512G90/page-1", "CAT28F512G90")</f>
        <v>CAT28F512G90</v>
      </c>
      <c r="B43266" s="3" t="str">
        <f>HYPERLINK("https://www.773grp.com/manufacturer/onsemi?pageNo=508", "ON Semiconductor")</f>
        <v>ON Semiconductor</v>
      </c>
      <c r="C43266" s="6">
        <v>128</v>
      </c>
      <c r="D43266" s="7">
        <v>18.53</v>
      </c>
      <c r="E43266" t="s">
        <v>64</v>
      </c>
    </row>
    <row r="43267" spans="1:5" x14ac:dyDescent="0.25">
      <c r="A43267" t="str">
        <f>HYPERLINK("https://www.773grp.com/globalSearch/NBSG72AMN/page-1", "NBSG72AMN")</f>
        <v>NBSG72AMN</v>
      </c>
      <c r="B43267" s="3" t="str">
        <f>HYPERLINK("https://www.773grp.com/manufacturer/onsemi?pageNo=509", "ON Semiconductor")</f>
        <v>ON Semiconductor</v>
      </c>
      <c r="C43267" s="6">
        <v>2388</v>
      </c>
      <c r="D43267" s="7">
        <v>18.559999999999999</v>
      </c>
      <c r="E43267" t="s">
        <v>56</v>
      </c>
    </row>
    <row r="43268" spans="1:5" x14ac:dyDescent="0.25">
      <c r="A43268" t="str">
        <f>HYPERLINK("https://www.773grp.com/globalSearch/MC10H186FNG/page-1", "MC10H186FNG")</f>
        <v>MC10H186FNG</v>
      </c>
      <c r="B43268" s="3" t="str">
        <f>HYPERLINK("https://www.773grp.com/manufacturer/onsemi?pageNo=510", "ON Semiconductor")</f>
        <v>ON Semiconductor</v>
      </c>
      <c r="C43268" s="6">
        <v>4231</v>
      </c>
      <c r="D43268" s="7">
        <v>19.079999999999998</v>
      </c>
      <c r="E43268" t="s">
        <v>35</v>
      </c>
    </row>
    <row r="43269" spans="1:5" x14ac:dyDescent="0.25">
      <c r="A43269" t="str">
        <f>HYPERLINK("https://www.773grp.com/globalSearch/MC10H186PG/page-1", "MC10H186PG")</f>
        <v>MC10H186PG</v>
      </c>
      <c r="B43269" s="3" t="str">
        <f>HYPERLINK("https://www.773grp.com/manufacturer/onsemi?pageNo=511", "ON Semiconductor")</f>
        <v>ON Semiconductor</v>
      </c>
      <c r="C43269" s="6">
        <v>9253</v>
      </c>
      <c r="D43269" s="7">
        <v>19.079999999999998</v>
      </c>
      <c r="E43269" t="s">
        <v>35</v>
      </c>
    </row>
    <row r="43270" spans="1:5" x14ac:dyDescent="0.25">
      <c r="A43270" t="str">
        <f>HYPERLINK("https://www.773grp.com/globalSearch/MGY40N60D/page-1", "MGY40N60D")</f>
        <v>MGY40N60D</v>
      </c>
      <c r="B43270" s="3" t="str">
        <f>HYPERLINK("https://www.773grp.com/manufacturer/onsemi?pageNo=512", "ON Semiconductor")</f>
        <v>ON Semiconductor</v>
      </c>
      <c r="C43270" s="6">
        <v>1588</v>
      </c>
      <c r="D43270" s="7">
        <v>19.079999999999998</v>
      </c>
      <c r="E43270" t="s">
        <v>115</v>
      </c>
    </row>
    <row r="43271" spans="1:5" x14ac:dyDescent="0.25">
      <c r="A43271" t="str">
        <f>HYPERLINK("https://www.773grp.com/globalSearch/MC10H016FN/page-1", "MC10H016FN")</f>
        <v>MC10H016FN</v>
      </c>
      <c r="B43271" s="3" t="str">
        <f>HYPERLINK("https://www.773grp.com/manufacturer/onsemi?pageNo=513", "ON Semiconductor")</f>
        <v>ON Semiconductor</v>
      </c>
      <c r="C43271" s="6">
        <v>1464</v>
      </c>
      <c r="D43271" s="7">
        <v>19.2</v>
      </c>
      <c r="E43271" t="s">
        <v>26</v>
      </c>
    </row>
    <row r="43272" spans="1:5" x14ac:dyDescent="0.25">
      <c r="A43272" t="str">
        <f>HYPERLINK("https://www.773grp.com/globalSearch/MC10H016FNR2/page-1", "MC10H016FNR2")</f>
        <v>MC10H016FNR2</v>
      </c>
      <c r="B43272" s="3" t="str">
        <f>HYPERLINK("https://www.773grp.com/manufacturer/onsemi?pageNo=514", "ON Semiconductor")</f>
        <v>ON Semiconductor</v>
      </c>
      <c r="C43272" s="6">
        <v>500</v>
      </c>
      <c r="D43272" s="7">
        <v>19.2</v>
      </c>
      <c r="E43272" t="s">
        <v>26</v>
      </c>
    </row>
    <row r="43273" spans="1:5" x14ac:dyDescent="0.25">
      <c r="A43273" t="str">
        <f>HYPERLINK("https://www.773grp.com/globalSearch/NBC12429AFNG/page-1", "NBC12429AFNG")</f>
        <v>NBC12429AFNG</v>
      </c>
      <c r="B43273" s="3" t="str">
        <f>HYPERLINK("https://www.773grp.com/manufacturer/onsemi?pageNo=515", "ON Semiconductor")</f>
        <v>ON Semiconductor</v>
      </c>
      <c r="C43273" s="6">
        <v>20</v>
      </c>
      <c r="D43273" s="7">
        <v>19.239999999999998</v>
      </c>
    </row>
    <row r="43274" spans="1:5" x14ac:dyDescent="0.25">
      <c r="A43274" t="str">
        <f>HYPERLINK("https://www.773grp.com/globalSearch/NBC12429AFNR2G/page-1", "NBC12429AFNR2G")</f>
        <v>NBC12429AFNR2G</v>
      </c>
      <c r="B43274" s="3" t="str">
        <f>HYPERLINK("https://www.773grp.com/manufacturer/onsemi?pageNo=516", "ON Semiconductor")</f>
        <v>ON Semiconductor</v>
      </c>
      <c r="C43274" s="6">
        <v>8500</v>
      </c>
      <c r="D43274" s="7">
        <v>19.239999999999998</v>
      </c>
    </row>
    <row r="43275" spans="1:5" x14ac:dyDescent="0.25">
      <c r="A43275" t="str">
        <f>HYPERLINK("https://www.773grp.com/globalSearch/NBC12429AMNG/page-1", "NBC12429AMNG")</f>
        <v>NBC12429AMNG</v>
      </c>
      <c r="B43275" s="3" t="str">
        <f>HYPERLINK("https://www.773grp.com/manufacturer/onsemi?pageNo=517", "ON Semiconductor")</f>
        <v>ON Semiconductor</v>
      </c>
      <c r="C43275" s="6">
        <v>695</v>
      </c>
      <c r="D43275" s="7">
        <v>19.239999999999998</v>
      </c>
      <c r="E43275" t="s">
        <v>79</v>
      </c>
    </row>
    <row r="43276" spans="1:5" x14ac:dyDescent="0.25">
      <c r="A43276" t="str">
        <f>HYPERLINK("https://www.773grp.com/globalSearch/NBC12429AMNR4G/page-1", "NBC12429AMNR4G")</f>
        <v>NBC12429AMNR4G</v>
      </c>
      <c r="B43276" s="3" t="str">
        <f>HYPERLINK("https://www.773grp.com/manufacturer/onsemi?pageNo=518", "ON Semiconductor")</f>
        <v>ON Semiconductor</v>
      </c>
      <c r="C43276" s="6">
        <v>55</v>
      </c>
      <c r="D43276" s="7">
        <v>19.239999999999998</v>
      </c>
    </row>
    <row r="43277" spans="1:5" x14ac:dyDescent="0.25">
      <c r="A43277" t="str">
        <f>HYPERLINK("https://www.773grp.com/globalSearch/NBC12430AMNG/page-1", "NBC12430AMNG")</f>
        <v>NBC12430AMNG</v>
      </c>
      <c r="B43277" s="3" t="str">
        <f>HYPERLINK("https://www.773grp.com/manufacturer/onsemi?pageNo=519", "ON Semiconductor")</f>
        <v>ON Semiconductor</v>
      </c>
      <c r="C43277" s="6">
        <v>1263</v>
      </c>
      <c r="D43277" s="7">
        <v>19.239999999999998</v>
      </c>
      <c r="E43277" t="s">
        <v>79</v>
      </c>
    </row>
    <row r="43278" spans="1:5" x14ac:dyDescent="0.25">
      <c r="A43278" t="str">
        <f>HYPERLINK("https://www.773grp.com/globalSearch/NBC12439AFNG/page-1", "NBC12439AFNG")</f>
        <v>NBC12439AFNG</v>
      </c>
      <c r="B43278" s="3" t="str">
        <f>HYPERLINK("https://www.773grp.com/manufacturer/onsemi?pageNo=520", "ON Semiconductor")</f>
        <v>ON Semiconductor</v>
      </c>
      <c r="C43278" s="6">
        <v>485</v>
      </c>
      <c r="D43278" s="7">
        <v>19.239999999999998</v>
      </c>
      <c r="E43278" t="s">
        <v>79</v>
      </c>
    </row>
    <row r="43279" spans="1:5" x14ac:dyDescent="0.25">
      <c r="A43279" t="str">
        <f>HYPERLINK("https://www.773grp.com/globalSearch/NBC12439AFNR2G/page-1", "NBC12439AFNR2G")</f>
        <v>NBC12439AFNR2G</v>
      </c>
      <c r="B43279" s="3" t="str">
        <f>HYPERLINK("https://www.773grp.com/manufacturer/onsemi?pageNo=521", "ON Semiconductor")</f>
        <v>ON Semiconductor</v>
      </c>
      <c r="C43279" s="6">
        <v>500</v>
      </c>
      <c r="D43279" s="7">
        <v>19.239999999999998</v>
      </c>
      <c r="E43279" t="s">
        <v>79</v>
      </c>
    </row>
    <row r="43280" spans="1:5" x14ac:dyDescent="0.25">
      <c r="A43280" t="str">
        <f>HYPERLINK("https://www.773grp.com/globalSearch/NBC12439AMNG/page-1", "NBC12439AMNG")</f>
        <v>NBC12439AMNG</v>
      </c>
      <c r="B43280" s="3" t="str">
        <f>HYPERLINK("https://www.773grp.com/manufacturer/onsemi?pageNo=522", "ON Semiconductor")</f>
        <v>ON Semiconductor</v>
      </c>
      <c r="C43280" s="6">
        <v>729</v>
      </c>
      <c r="D43280" s="7">
        <v>19.239999999999998</v>
      </c>
      <c r="E43280" t="s">
        <v>79</v>
      </c>
    </row>
    <row r="43281" spans="1:5" x14ac:dyDescent="0.25">
      <c r="A43281" t="str">
        <f>HYPERLINK("https://www.773grp.com/globalSearch/LC74732W-9811-E/page-1", "LC74732W-9811-E")</f>
        <v>LC74732W-9811-E</v>
      </c>
      <c r="B43281" s="3" t="str">
        <f>HYPERLINK("https://www.773grp.com/manufacturer/onsemi?pageNo=523", "ON Semiconductor")</f>
        <v>ON Semiconductor</v>
      </c>
      <c r="C43281" s="6">
        <v>20</v>
      </c>
      <c r="D43281" s="7">
        <v>19.38</v>
      </c>
    </row>
    <row r="43282" spans="1:5" x14ac:dyDescent="0.25">
      <c r="A43282" t="str">
        <f>HYPERLINK("https://www.773grp.com/globalSearch/MC10H180L/page-1", "MC10H180L")</f>
        <v>MC10H180L</v>
      </c>
      <c r="B43282" s="3" t="str">
        <f>HYPERLINK("https://www.773grp.com/manufacturer/onsemi?pageNo=524", "ON Semiconductor")</f>
        <v>ON Semiconductor</v>
      </c>
      <c r="C43282" s="6">
        <v>2825</v>
      </c>
      <c r="D43282" s="7">
        <v>19.579999999999998</v>
      </c>
      <c r="E43282" t="s">
        <v>43</v>
      </c>
    </row>
    <row r="43283" spans="1:5" x14ac:dyDescent="0.25">
      <c r="A43283" t="str">
        <f>HYPERLINK("https://www.773grp.com/globalSearch/MC100EP196FAG/page-1", "MC100EP196FAG")</f>
        <v>MC100EP196FAG</v>
      </c>
      <c r="B43283" s="3" t="str">
        <f>HYPERLINK("https://www.773grp.com/manufacturer/onsemi?pageNo=525", "ON Semiconductor")</f>
        <v>ON Semiconductor</v>
      </c>
      <c r="C43283" s="6">
        <v>669</v>
      </c>
      <c r="D43283" s="7">
        <v>19.690000000000001</v>
      </c>
    </row>
    <row r="43284" spans="1:5" x14ac:dyDescent="0.25">
      <c r="A43284" t="str">
        <f>HYPERLINK("https://www.773grp.com/globalSearch/MC100LVE222FAG/page-1", "MC100LVE222FAG")</f>
        <v>MC100LVE222FAG</v>
      </c>
      <c r="B43284" s="3" t="str">
        <f>HYPERLINK("https://www.773grp.com/manufacturer/onsemi?pageNo=526", "ON Semiconductor")</f>
        <v>ON Semiconductor</v>
      </c>
      <c r="C43284" s="6">
        <v>3963</v>
      </c>
      <c r="D43284" s="7">
        <v>19.690000000000001</v>
      </c>
      <c r="E43284" t="s">
        <v>34</v>
      </c>
    </row>
    <row r="43285" spans="1:5" x14ac:dyDescent="0.25">
      <c r="A43285" t="str">
        <f>HYPERLINK("https://www.773grp.com/globalSearch/MC100LVEP34DG/page-1", "MC100LVEP34DG")</f>
        <v>MC100LVEP34DG</v>
      </c>
      <c r="B43285" s="3" t="str">
        <f>HYPERLINK("https://www.773grp.com/manufacturer/onsemi?pageNo=527", "ON Semiconductor")</f>
        <v>ON Semiconductor</v>
      </c>
      <c r="C43285" s="6">
        <v>1286</v>
      </c>
      <c r="D43285" s="7">
        <v>19.690000000000001</v>
      </c>
      <c r="E43285" t="s">
        <v>34</v>
      </c>
    </row>
    <row r="43286" spans="1:5" x14ac:dyDescent="0.25">
      <c r="A43286" t="str">
        <f>HYPERLINK("https://www.773grp.com/globalSearch/MC100LVEP34DTG/page-1", "MC100LVEP34DTG")</f>
        <v>MC100LVEP34DTG</v>
      </c>
      <c r="B43286" s="3" t="str">
        <f>HYPERLINK("https://www.773grp.com/manufacturer/onsemi?pageNo=528", "ON Semiconductor")</f>
        <v>ON Semiconductor</v>
      </c>
      <c r="C43286" s="6">
        <v>161</v>
      </c>
      <c r="D43286" s="7">
        <v>19.690000000000001</v>
      </c>
      <c r="E43286" t="s">
        <v>34</v>
      </c>
    </row>
    <row r="43287" spans="1:5" x14ac:dyDescent="0.25">
      <c r="A43287" t="str">
        <f>HYPERLINK("https://www.773grp.com/globalSearch/MTY14N100E/page-1", "MTY14N100E")</f>
        <v>MTY14N100E</v>
      </c>
      <c r="B43287" s="3" t="str">
        <f>HYPERLINK("https://www.773grp.com/manufacturer/onsemi?pageNo=529", "ON Semiconductor")</f>
        <v>ON Semiconductor</v>
      </c>
      <c r="C43287" s="6">
        <v>1900</v>
      </c>
      <c r="D43287" s="7">
        <v>19.690000000000001</v>
      </c>
      <c r="E43287" t="s">
        <v>105</v>
      </c>
    </row>
    <row r="43288" spans="1:5" x14ac:dyDescent="0.25">
      <c r="A43288" t="str">
        <f>HYPERLINK("https://www.773grp.com/globalSearch/NB7L572MNR4G/page-1", "NB7L572MNR4G")</f>
        <v>NB7L572MNR4G</v>
      </c>
      <c r="B43288" s="3" t="str">
        <f>HYPERLINK("https://www.773grp.com/manufacturer/onsemi?pageNo=530", "ON Semiconductor")</f>
        <v>ON Semiconductor</v>
      </c>
      <c r="C43288" s="6">
        <v>2800</v>
      </c>
      <c r="D43288" s="7">
        <v>19.690000000000001</v>
      </c>
      <c r="E43288" t="s">
        <v>34</v>
      </c>
    </row>
    <row r="43289" spans="1:5" x14ac:dyDescent="0.25">
      <c r="A43289" t="str">
        <f>HYPERLINK("https://www.773grp.com/globalSearch/NB7LQ572MNG/page-1", "NB7LQ572MNG")</f>
        <v>NB7LQ572MNG</v>
      </c>
      <c r="B43289" s="3" t="str">
        <f>HYPERLINK("https://www.773grp.com/manufacturer/onsemi?pageNo=531", "ON Semiconductor")</f>
        <v>ON Semiconductor</v>
      </c>
      <c r="C43289" s="6">
        <v>550</v>
      </c>
      <c r="D43289" s="7">
        <v>19.690000000000001</v>
      </c>
      <c r="E43289" t="s">
        <v>34</v>
      </c>
    </row>
    <row r="43290" spans="1:5" x14ac:dyDescent="0.25">
      <c r="A43290" t="str">
        <f>HYPERLINK("https://www.773grp.com/globalSearch/NB7LQ572MNR4G/page-1", "NB7LQ572MNR4G")</f>
        <v>NB7LQ572MNR4G</v>
      </c>
      <c r="B43290" s="3" t="str">
        <f>HYPERLINK("https://www.773grp.com/manufacturer/onsemi?pageNo=532", "ON Semiconductor")</f>
        <v>ON Semiconductor</v>
      </c>
      <c r="C43290" s="6">
        <v>3000</v>
      </c>
      <c r="D43290" s="7">
        <v>19.690000000000001</v>
      </c>
      <c r="E43290" t="s">
        <v>34</v>
      </c>
    </row>
    <row r="43291" spans="1:5" x14ac:dyDescent="0.25">
      <c r="A43291" t="str">
        <f>HYPERLINK("https://www.773grp.com/globalSearch/NB7V52MMNHTBG/page-1", "NB7V52MMNHTBG")</f>
        <v>NB7V52MMNHTBG</v>
      </c>
      <c r="B43291" s="3" t="str">
        <f>HYPERLINK("https://www.773grp.com/manufacturer/onsemi?pageNo=533", "ON Semiconductor")</f>
        <v>ON Semiconductor</v>
      </c>
      <c r="C43291" s="6">
        <v>2541</v>
      </c>
      <c r="D43291" s="7">
        <v>19.690000000000001</v>
      </c>
      <c r="E43291" t="s">
        <v>34</v>
      </c>
    </row>
    <row r="43292" spans="1:5" x14ac:dyDescent="0.25">
      <c r="A43292" t="str">
        <f>HYPERLINK("https://www.773grp.com/globalSearch/NB7V72MMNG/page-1", "NB7V72MMNG")</f>
        <v>NB7V72MMNG</v>
      </c>
      <c r="B43292" s="3" t="str">
        <f>HYPERLINK("https://www.773grp.com/manufacturer/onsemi?pageNo=534", "ON Semiconductor")</f>
        <v>ON Semiconductor</v>
      </c>
      <c r="C43292" s="6">
        <v>590</v>
      </c>
      <c r="D43292" s="7">
        <v>19.690000000000001</v>
      </c>
      <c r="E43292" t="s">
        <v>56</v>
      </c>
    </row>
    <row r="43293" spans="1:5" x14ac:dyDescent="0.25">
      <c r="A43293" t="str">
        <f>HYPERLINK("https://www.773grp.com/globalSearch/NB7V72MMNHTBG/page-1", "NB7V72MMNHTBG")</f>
        <v>NB7V72MMNHTBG</v>
      </c>
      <c r="B43293" s="3" t="str">
        <f>HYPERLINK("https://www.773grp.com/manufacturer/onsemi?pageNo=535", "ON Semiconductor")</f>
        <v>ON Semiconductor</v>
      </c>
      <c r="C43293" s="6">
        <v>900</v>
      </c>
      <c r="D43293" s="7">
        <v>19.690000000000001</v>
      </c>
      <c r="E43293" t="s">
        <v>56</v>
      </c>
    </row>
    <row r="43294" spans="1:5" x14ac:dyDescent="0.25">
      <c r="A43294" t="str">
        <f>HYPERLINK("https://www.773grp.com/globalSearch/NB7V72MMNTXG/page-1", "NB7V72MMNTXG")</f>
        <v>NB7V72MMNTXG</v>
      </c>
      <c r="B43294" s="3" t="str">
        <f>HYPERLINK("https://www.773grp.com/manufacturer/onsemi?pageNo=536", "ON Semiconductor")</f>
        <v>ON Semiconductor</v>
      </c>
      <c r="C43294" s="6">
        <v>12000</v>
      </c>
      <c r="D43294" s="7">
        <v>19.690000000000001</v>
      </c>
      <c r="E43294" t="s">
        <v>56</v>
      </c>
    </row>
    <row r="43295" spans="1:5" x14ac:dyDescent="0.25">
      <c r="A43295" t="str">
        <f>HYPERLINK("https://www.773grp.com/globalSearch/NB7VPQ16MMNG/page-1", "NB7VPQ16MMNG")</f>
        <v>NB7VPQ16MMNG</v>
      </c>
      <c r="B43295" s="3" t="str">
        <f>HYPERLINK("https://www.773grp.com/manufacturer/onsemi?pageNo=537", "ON Semiconductor")</f>
        <v>ON Semiconductor</v>
      </c>
      <c r="C43295" s="6">
        <v>4</v>
      </c>
      <c r="D43295" s="7">
        <v>19.690000000000001</v>
      </c>
      <c r="E43295" t="s">
        <v>74</v>
      </c>
    </row>
    <row r="43296" spans="1:5" x14ac:dyDescent="0.25">
      <c r="A43296" t="str">
        <f>HYPERLINK("https://www.773grp.com/globalSearch/NB7VPQ16MMNGM/page-1", "NB7VPQ16MMNGM")</f>
        <v>NB7VPQ16MMNGM</v>
      </c>
      <c r="B43296" s="3" t="str">
        <f>HYPERLINK("https://www.773grp.com/manufacturer/onsemi?pageNo=538", "ON Semiconductor")</f>
        <v>ON Semiconductor</v>
      </c>
      <c r="C43296" s="6">
        <v>98</v>
      </c>
      <c r="D43296" s="7">
        <v>19.690000000000001</v>
      </c>
    </row>
    <row r="43297" spans="1:5" x14ac:dyDescent="0.25">
      <c r="A43297" t="str">
        <f>HYPERLINK("https://www.773grp.com/globalSearch/NB7VPQ16MMNTXG/page-1", "NB7VPQ16MMNTXG")</f>
        <v>NB7VPQ16MMNTXG</v>
      </c>
      <c r="B43297" s="3" t="str">
        <f>HYPERLINK("https://www.773grp.com/manufacturer/onsemi?pageNo=539", "ON Semiconductor")</f>
        <v>ON Semiconductor</v>
      </c>
      <c r="C43297" s="6">
        <v>5950</v>
      </c>
      <c r="D43297" s="7">
        <v>19.690000000000001</v>
      </c>
      <c r="E43297" t="s">
        <v>74</v>
      </c>
    </row>
    <row r="43298" spans="1:5" x14ac:dyDescent="0.25">
      <c r="A43298" t="str">
        <f>HYPERLINK("https://www.773grp.com/globalSearch/MC100E310FN/page-1", "MC100E310FN")</f>
        <v>MC100E310FN</v>
      </c>
      <c r="B43298" s="3" t="str">
        <f>HYPERLINK("https://www.773grp.com/manufacturer/onsemi?pageNo=540", "ON Semiconductor")</f>
        <v>ON Semiconductor</v>
      </c>
      <c r="C43298" s="6">
        <v>2590</v>
      </c>
      <c r="D43298" s="7">
        <v>19.75</v>
      </c>
      <c r="E43298" t="s">
        <v>34</v>
      </c>
    </row>
    <row r="43299" spans="1:5" x14ac:dyDescent="0.25">
      <c r="A43299" t="str">
        <f>HYPERLINK("https://www.773grp.com/globalSearch/MC10E411FNG/page-1", "MC10E411FNG")</f>
        <v>MC10E411FNG</v>
      </c>
      <c r="B43299" s="3" t="str">
        <f>HYPERLINK("https://www.773grp.com/manufacturer/onsemi?pageNo=541", "ON Semiconductor")</f>
        <v>ON Semiconductor</v>
      </c>
      <c r="C43299" s="6">
        <v>2098</v>
      </c>
      <c r="D43299" s="7">
        <v>19.75</v>
      </c>
      <c r="E43299" t="s">
        <v>34</v>
      </c>
    </row>
    <row r="43300" spans="1:5" x14ac:dyDescent="0.25">
      <c r="A43300" t="str">
        <f>HYPERLINK("https://www.773grp.com/globalSearch/MC10136P/page-1", "MC10136P")</f>
        <v>MC10136P</v>
      </c>
      <c r="B43300" s="3" t="str">
        <f>HYPERLINK("https://www.773grp.com/manufacturer/onsemi?pageNo=542", "ON Semiconductor")</f>
        <v>ON Semiconductor</v>
      </c>
      <c r="C43300" s="6">
        <v>330</v>
      </c>
      <c r="D43300" s="7">
        <v>19.95</v>
      </c>
      <c r="E43300" t="s">
        <v>26</v>
      </c>
    </row>
    <row r="43301" spans="1:5" x14ac:dyDescent="0.25">
      <c r="A43301" t="str">
        <f>HYPERLINK("https://www.773grp.com/globalSearch/NB100LVEP56DTG/page-1", "NB100LVEP56DTG")</f>
        <v>NB100LVEP56DTG</v>
      </c>
      <c r="B43301" s="3" t="str">
        <f>HYPERLINK("https://www.773grp.com/manufacturer/onsemi?pageNo=543", "ON Semiconductor")</f>
        <v>ON Semiconductor</v>
      </c>
      <c r="C43301" s="6">
        <v>1869</v>
      </c>
      <c r="D43301" s="7">
        <v>20.25</v>
      </c>
      <c r="E43301" t="s">
        <v>20</v>
      </c>
    </row>
    <row r="43302" spans="1:5" x14ac:dyDescent="0.25">
      <c r="A43302" t="str">
        <f>HYPERLINK("https://www.773grp.com/globalSearch/NB100LVEP56DTR2G/page-1", "NB100LVEP56DTR2G")</f>
        <v>NB100LVEP56DTR2G</v>
      </c>
      <c r="B43302" s="3" t="str">
        <f>HYPERLINK("https://www.773grp.com/manufacturer/onsemi?pageNo=544", "ON Semiconductor")</f>
        <v>ON Semiconductor</v>
      </c>
      <c r="C43302" s="6">
        <v>1189</v>
      </c>
      <c r="D43302" s="7">
        <v>20.25</v>
      </c>
      <c r="E43302" t="s">
        <v>20</v>
      </c>
    </row>
    <row r="43303" spans="1:5" x14ac:dyDescent="0.25">
      <c r="A43303" t="str">
        <f>HYPERLINK("https://www.773grp.com/globalSearch/NB100LVEP56MNG/page-1", "NB100LVEP56MNG")</f>
        <v>NB100LVEP56MNG</v>
      </c>
      <c r="B43303" s="3" t="str">
        <f>HYPERLINK("https://www.773grp.com/manufacturer/onsemi?pageNo=545", "ON Semiconductor")</f>
        <v>ON Semiconductor</v>
      </c>
      <c r="C43303" s="6">
        <v>352</v>
      </c>
      <c r="D43303" s="7">
        <v>20.25</v>
      </c>
      <c r="E43303" t="s">
        <v>20</v>
      </c>
    </row>
    <row r="43304" spans="1:5" x14ac:dyDescent="0.25">
      <c r="A43304" t="str">
        <f>HYPERLINK("https://www.773grp.com/globalSearch/MC100EP17DTG/page-1", "MC100EP17DTG")</f>
        <v>MC100EP17DTG</v>
      </c>
      <c r="B43304" s="3" t="str">
        <f>HYPERLINK("https://www.773grp.com/manufacturer/onsemi?pageNo=546", "ON Semiconductor")</f>
        <v>ON Semiconductor</v>
      </c>
      <c r="C43304" s="6">
        <v>5281</v>
      </c>
      <c r="D43304" s="7">
        <v>20.39</v>
      </c>
      <c r="E43304" t="s">
        <v>21</v>
      </c>
    </row>
    <row r="43305" spans="1:5" x14ac:dyDescent="0.25">
      <c r="A43305" t="str">
        <f>HYPERLINK("https://www.773grp.com/globalSearch/MC100EP17DTR2G/page-1", "MC100EP17DTR2G")</f>
        <v>MC100EP17DTR2G</v>
      </c>
      <c r="B43305" s="3" t="str">
        <f>HYPERLINK("https://www.773grp.com/manufacturer/onsemi?pageNo=547", "ON Semiconductor")</f>
        <v>ON Semiconductor</v>
      </c>
      <c r="C43305" s="6">
        <v>4100</v>
      </c>
      <c r="D43305" s="7">
        <v>20.39</v>
      </c>
      <c r="E43305" t="s">
        <v>21</v>
      </c>
    </row>
    <row r="43306" spans="1:5" x14ac:dyDescent="0.25">
      <c r="A43306" t="str">
        <f>HYPERLINK("https://www.773grp.com/globalSearch/MC100EP195FAG/page-1", "MC100EP195FAG")</f>
        <v>MC100EP195FAG</v>
      </c>
      <c r="B43306" s="3" t="str">
        <f>HYPERLINK("https://www.773grp.com/manufacturer/onsemi?pageNo=548", "ON Semiconductor")</f>
        <v>ON Semiconductor</v>
      </c>
      <c r="C43306" s="6">
        <v>280</v>
      </c>
      <c r="D43306" s="7">
        <v>20.39</v>
      </c>
      <c r="E43306" t="s">
        <v>119</v>
      </c>
    </row>
    <row r="43307" spans="1:5" x14ac:dyDescent="0.25">
      <c r="A43307" t="str">
        <f>HYPERLINK("https://www.773grp.com/globalSearch/MC100EP195FAR2G/page-1", "MC100EP195FAR2G")</f>
        <v>MC100EP195FAR2G</v>
      </c>
      <c r="B43307" s="3" t="str">
        <f>HYPERLINK("https://www.773grp.com/manufacturer/onsemi?pageNo=549", "ON Semiconductor")</f>
        <v>ON Semiconductor</v>
      </c>
      <c r="C43307" s="6">
        <v>31500</v>
      </c>
      <c r="D43307" s="7">
        <v>20.39</v>
      </c>
      <c r="E43307" t="s">
        <v>119</v>
      </c>
    </row>
    <row r="43308" spans="1:5" x14ac:dyDescent="0.25">
      <c r="A43308" t="str">
        <f>HYPERLINK("https://www.773grp.com/globalSearch/MC100EP195MNG/page-1", "MC100EP195MNG")</f>
        <v>MC100EP195MNG</v>
      </c>
      <c r="B43308" s="3" t="str">
        <f>HYPERLINK("https://www.773grp.com/manufacturer/onsemi?pageNo=550", "ON Semiconductor")</f>
        <v>ON Semiconductor</v>
      </c>
      <c r="C43308" s="6">
        <v>12732</v>
      </c>
      <c r="D43308" s="7">
        <v>20.39</v>
      </c>
      <c r="E43308" t="s">
        <v>119</v>
      </c>
    </row>
    <row r="43309" spans="1:5" x14ac:dyDescent="0.25">
      <c r="A43309" t="str">
        <f>HYPERLINK("https://www.773grp.com/globalSearch/MC10EP17DTG/page-1", "MC10EP17DTG")</f>
        <v>MC10EP17DTG</v>
      </c>
      <c r="B43309" s="3" t="str">
        <f>HYPERLINK("https://www.773grp.com/manufacturer/onsemi?pageNo=551", "ON Semiconductor")</f>
        <v>ON Semiconductor</v>
      </c>
      <c r="C43309" s="6">
        <v>5058</v>
      </c>
      <c r="D43309" s="7">
        <v>20.39</v>
      </c>
      <c r="E43309" t="s">
        <v>21</v>
      </c>
    </row>
    <row r="43310" spans="1:5" x14ac:dyDescent="0.25">
      <c r="A43310" t="str">
        <f>HYPERLINK("https://www.773grp.com/globalSearch/MC10EP17DWG/page-1", "MC10EP17DWG")</f>
        <v>MC10EP17DWG</v>
      </c>
      <c r="B43310" s="3" t="str">
        <f>HYPERLINK("https://www.773grp.com/manufacturer/onsemi?pageNo=552", "ON Semiconductor")</f>
        <v>ON Semiconductor</v>
      </c>
      <c r="C43310" s="6">
        <v>2465</v>
      </c>
      <c r="D43310" s="7">
        <v>20.39</v>
      </c>
      <c r="E43310" t="s">
        <v>21</v>
      </c>
    </row>
    <row r="43311" spans="1:5" x14ac:dyDescent="0.25">
      <c r="A43311" t="str">
        <f>HYPERLINK("https://www.773grp.com/globalSearch/MC10EP17MNG/page-1", "MC10EP17MNG")</f>
        <v>MC10EP17MNG</v>
      </c>
      <c r="B43311" s="3" t="str">
        <f>HYPERLINK("https://www.773grp.com/manufacturer/onsemi?pageNo=553", "ON Semiconductor")</f>
        <v>ON Semiconductor</v>
      </c>
      <c r="C43311" s="6">
        <v>4416</v>
      </c>
      <c r="D43311" s="7">
        <v>20.39</v>
      </c>
      <c r="E43311" t="s">
        <v>21</v>
      </c>
    </row>
    <row r="43312" spans="1:5" x14ac:dyDescent="0.25">
      <c r="A43312" t="str">
        <f>HYPERLINK("https://www.773grp.com/globalSearch/MC10EP195FAG/page-1", "MC10EP195FAG")</f>
        <v>MC10EP195FAG</v>
      </c>
      <c r="B43312" s="3" t="str">
        <f>HYPERLINK("https://www.773grp.com/manufacturer/onsemi?pageNo=554", "ON Semiconductor")</f>
        <v>ON Semiconductor</v>
      </c>
      <c r="C43312" s="6">
        <v>1037</v>
      </c>
      <c r="D43312" s="7">
        <v>20.39</v>
      </c>
      <c r="E43312" t="s">
        <v>119</v>
      </c>
    </row>
    <row r="43313" spans="1:5" x14ac:dyDescent="0.25">
      <c r="A43313" t="str">
        <f>HYPERLINK("https://www.773grp.com/globalSearch/MC10EP195FAR2G/page-1", "MC10EP195FAR2G")</f>
        <v>MC10EP195FAR2G</v>
      </c>
      <c r="B43313" s="3" t="str">
        <f>HYPERLINK("https://www.773grp.com/manufacturer/onsemi?pageNo=555", "ON Semiconductor")</f>
        <v>ON Semiconductor</v>
      </c>
      <c r="C43313" s="6">
        <v>7995</v>
      </c>
      <c r="D43313" s="7">
        <v>20.39</v>
      </c>
      <c r="E43313" t="s">
        <v>119</v>
      </c>
    </row>
    <row r="43314" spans="1:5" x14ac:dyDescent="0.25">
      <c r="A43314" t="str">
        <f>HYPERLINK("https://www.773grp.com/globalSearch/MC10EP195MNR4G/page-1", "MC10EP195MNR4G")</f>
        <v>MC10EP195MNR4G</v>
      </c>
      <c r="B43314" s="3" t="str">
        <f>HYPERLINK("https://www.773grp.com/manufacturer/onsemi?pageNo=556", "ON Semiconductor")</f>
        <v>ON Semiconductor</v>
      </c>
      <c r="C43314" s="6">
        <v>2478</v>
      </c>
      <c r="D43314" s="7">
        <v>20.39</v>
      </c>
    </row>
    <row r="43315" spans="1:5" x14ac:dyDescent="0.25">
      <c r="A43315" t="str">
        <f>HYPERLINK("https://www.773grp.com/globalSearch/NB100LVEP17DTG/page-1", "NB100LVEP17DTG")</f>
        <v>NB100LVEP17DTG</v>
      </c>
      <c r="B43315" s="3" t="str">
        <f>HYPERLINK("https://www.773grp.com/manufacturer/onsemi?pageNo=557", "ON Semiconductor")</f>
        <v>ON Semiconductor</v>
      </c>
      <c r="C43315" s="6">
        <v>4327</v>
      </c>
      <c r="D43315" s="7">
        <v>20.39</v>
      </c>
      <c r="E43315" t="s">
        <v>21</v>
      </c>
    </row>
    <row r="43316" spans="1:5" x14ac:dyDescent="0.25">
      <c r="A43316" t="str">
        <f>HYPERLINK("https://www.773grp.com/globalSearch/NB100LVEP17DTR2G/page-1", "NB100LVEP17DTR2G")</f>
        <v>NB100LVEP17DTR2G</v>
      </c>
      <c r="B43316" s="3" t="str">
        <f>HYPERLINK("https://www.773grp.com/manufacturer/onsemi?pageNo=558", "ON Semiconductor")</f>
        <v>ON Semiconductor</v>
      </c>
      <c r="C43316" s="6">
        <v>7500</v>
      </c>
      <c r="D43316" s="7">
        <v>20.39</v>
      </c>
      <c r="E43316" t="s">
        <v>21</v>
      </c>
    </row>
    <row r="43317" spans="1:5" x14ac:dyDescent="0.25">
      <c r="A43317" t="str">
        <f>HYPERLINK("https://www.773grp.com/globalSearch/NB100LVEP17MNG/page-1", "NB100LVEP17MNG")</f>
        <v>NB100LVEP17MNG</v>
      </c>
      <c r="B43317" s="3" t="str">
        <f>HYPERLINK("https://www.773grp.com/manufacturer/onsemi?pageNo=559", "ON Semiconductor")</f>
        <v>ON Semiconductor</v>
      </c>
      <c r="C43317" s="6">
        <v>28802</v>
      </c>
      <c r="D43317" s="7">
        <v>20.39</v>
      </c>
      <c r="E43317" t="s">
        <v>21</v>
      </c>
    </row>
    <row r="43318" spans="1:5" x14ac:dyDescent="0.25">
      <c r="A43318" t="str">
        <f>HYPERLINK("https://www.773grp.com/globalSearch/NB100LVEP17MNR2G/page-1", "NB100LVEP17MNR2G")</f>
        <v>NB100LVEP17MNR2G</v>
      </c>
      <c r="B43318" s="3" t="str">
        <f>HYPERLINK("https://www.773grp.com/manufacturer/onsemi?pageNo=560", "ON Semiconductor")</f>
        <v>ON Semiconductor</v>
      </c>
      <c r="C43318" s="6">
        <v>48432</v>
      </c>
      <c r="D43318" s="7">
        <v>20.39</v>
      </c>
      <c r="E43318" t="s">
        <v>21</v>
      </c>
    </row>
    <row r="43319" spans="1:5" x14ac:dyDescent="0.25">
      <c r="A43319" t="str">
        <f>HYPERLINK("https://www.773grp.com/globalSearch/NB4N840MMNG/page-1", "NB4N840MMNG")</f>
        <v>NB4N840MMNG</v>
      </c>
      <c r="B43319" s="3" t="str">
        <f>HYPERLINK("https://www.773grp.com/manufacturer/onsemi?pageNo=561", "ON Semiconductor")</f>
        <v>ON Semiconductor</v>
      </c>
      <c r="C43319" s="6">
        <v>135</v>
      </c>
      <c r="D43319" s="7">
        <v>20.39</v>
      </c>
      <c r="E43319" t="s">
        <v>56</v>
      </c>
    </row>
    <row r="43320" spans="1:5" x14ac:dyDescent="0.25">
      <c r="A43320" t="str">
        <f>HYPERLINK("https://www.773grp.com/globalSearch/NB4N840MMNR4G/page-1", "NB4N840MMNR4G")</f>
        <v>NB4N840MMNR4G</v>
      </c>
      <c r="B43320" s="3" t="str">
        <f>HYPERLINK("https://www.773grp.com/manufacturer/onsemi?pageNo=562", "ON Semiconductor")</f>
        <v>ON Semiconductor</v>
      </c>
      <c r="C43320" s="6">
        <v>2329</v>
      </c>
      <c r="D43320" s="7">
        <v>20.39</v>
      </c>
      <c r="E43320" t="s">
        <v>56</v>
      </c>
    </row>
    <row r="43321" spans="1:5" x14ac:dyDescent="0.25">
      <c r="A43321" t="str">
        <f>HYPERLINK("https://www.773grp.com/globalSearch/NBVSBA011LN1TAG/page-1", "NBVSBA011LN1TAG")</f>
        <v>NBVSBA011LN1TAG</v>
      </c>
      <c r="B43321" s="3" t="str">
        <f>HYPERLINK("https://www.773grp.com/manufacturer/onsemi?pageNo=563", "ON Semiconductor")</f>
        <v>ON Semiconductor</v>
      </c>
      <c r="C43321" s="6">
        <v>995</v>
      </c>
      <c r="D43321" s="7">
        <v>20.39</v>
      </c>
    </row>
    <row r="43322" spans="1:5" x14ac:dyDescent="0.25">
      <c r="A43322" t="str">
        <f>HYPERLINK("https://www.773grp.com/globalSearch/NBVSBA011LNHTAG/page-1", "NBVSBA011LNHTAG")</f>
        <v>NBVSBA011LNHTAG</v>
      </c>
      <c r="B43322" s="3" t="str">
        <f>HYPERLINK("https://www.773grp.com/manufacturer/onsemi?pageNo=564", "ON Semiconductor")</f>
        <v>ON Semiconductor</v>
      </c>
      <c r="C43322" s="6">
        <v>251</v>
      </c>
      <c r="D43322" s="7">
        <v>20.39</v>
      </c>
    </row>
    <row r="43323" spans="1:5" x14ac:dyDescent="0.25">
      <c r="A43323" t="str">
        <f>HYPERLINK("https://www.773grp.com/globalSearch/NBVSBA018LNHTAG/page-1", "NBVSBA018LNHTAG")</f>
        <v>NBVSBA018LNHTAG</v>
      </c>
      <c r="B43323" s="3" t="str">
        <f>HYPERLINK("https://www.773grp.com/manufacturer/onsemi?pageNo=565", "ON Semiconductor")</f>
        <v>ON Semiconductor</v>
      </c>
      <c r="C43323" s="6">
        <v>1100</v>
      </c>
      <c r="D43323" s="7">
        <v>20.39</v>
      </c>
    </row>
    <row r="43324" spans="1:5" x14ac:dyDescent="0.25">
      <c r="A43324" t="str">
        <f>HYPERLINK("https://www.773grp.com/globalSearch/NBVSBA024LN1TAG/page-1", "NBVSBA024LN1TAG")</f>
        <v>NBVSBA024LN1TAG</v>
      </c>
      <c r="B43324" s="3" t="str">
        <f>HYPERLINK("https://www.773grp.com/manufacturer/onsemi?pageNo=566", "ON Semiconductor")</f>
        <v>ON Semiconductor</v>
      </c>
      <c r="C43324" s="6">
        <v>1000</v>
      </c>
      <c r="D43324" s="7">
        <v>20.39</v>
      </c>
    </row>
    <row r="43325" spans="1:5" x14ac:dyDescent="0.25">
      <c r="A43325" t="str">
        <f>HYPERLINK("https://www.773grp.com/globalSearch/NBVSBA024LNHTAG/page-1", "NBVSBA024LNHTAG")</f>
        <v>NBVSBA024LNHTAG</v>
      </c>
      <c r="B43325" s="3" t="str">
        <f>HYPERLINK("https://www.773grp.com/manufacturer/onsemi?pageNo=567", "ON Semiconductor")</f>
        <v>ON Semiconductor</v>
      </c>
      <c r="C43325" s="6">
        <v>780</v>
      </c>
      <c r="D43325" s="7">
        <v>20.39</v>
      </c>
    </row>
    <row r="43326" spans="1:5" x14ac:dyDescent="0.25">
      <c r="A43326" t="str">
        <f>HYPERLINK("https://www.773grp.com/globalSearch/NBVSBA026LN1TAG/page-1", "NBVSBA026LN1TAG")</f>
        <v>NBVSBA026LN1TAG</v>
      </c>
      <c r="B43326" s="3" t="str">
        <f>HYPERLINK("https://www.773grp.com/manufacturer/onsemi?pageNo=568", "ON Semiconductor")</f>
        <v>ON Semiconductor</v>
      </c>
      <c r="C43326" s="6">
        <v>495</v>
      </c>
      <c r="D43326" s="7">
        <v>20.39</v>
      </c>
    </row>
    <row r="43327" spans="1:5" x14ac:dyDescent="0.25">
      <c r="A43327" t="str">
        <f>HYPERLINK("https://www.773grp.com/globalSearch/NBVSBA026LNHTAG/page-1", "NBVSBA026LNHTAG")</f>
        <v>NBVSBA026LNHTAG</v>
      </c>
      <c r="B43327" s="3" t="str">
        <f>HYPERLINK("https://www.773grp.com/manufacturer/onsemi?pageNo=569", "ON Semiconductor")</f>
        <v>ON Semiconductor</v>
      </c>
      <c r="C43327" s="6">
        <v>99</v>
      </c>
      <c r="D43327" s="7">
        <v>20.39</v>
      </c>
    </row>
    <row r="43328" spans="1:5" x14ac:dyDescent="0.25">
      <c r="A43328" t="str">
        <f>HYPERLINK("https://www.773grp.com/globalSearch/NBVSBA041LN1TAG/page-1", "NBVSBA041LN1TAG")</f>
        <v>NBVSBA041LN1TAG</v>
      </c>
      <c r="B43328" s="3" t="str">
        <f>HYPERLINK("https://www.773grp.com/manufacturer/onsemi?pageNo=570", "ON Semiconductor")</f>
        <v>ON Semiconductor</v>
      </c>
      <c r="C43328" s="6">
        <v>3000</v>
      </c>
      <c r="D43328" s="7">
        <v>20.39</v>
      </c>
    </row>
    <row r="43329" spans="1:5" x14ac:dyDescent="0.25">
      <c r="A43329" t="str">
        <f>HYPERLINK("https://www.773grp.com/globalSearch/NBVSPA013LN1TAG/page-1", "NBVSPA013LN1TAG")</f>
        <v>NBVSPA013LN1TAG</v>
      </c>
      <c r="B43329" s="3" t="str">
        <f>HYPERLINK("https://www.773grp.com/manufacturer/onsemi?pageNo=571", "ON Semiconductor")</f>
        <v>ON Semiconductor</v>
      </c>
      <c r="C43329" s="6">
        <v>1000</v>
      </c>
      <c r="D43329" s="7">
        <v>20.39</v>
      </c>
    </row>
    <row r="43330" spans="1:5" x14ac:dyDescent="0.25">
      <c r="A43330" t="str">
        <f>HYPERLINK("https://www.773grp.com/globalSearch/NBVSPA013LNHTAG/page-1", "NBVSPA013LNHTAG")</f>
        <v>NBVSPA013LNHTAG</v>
      </c>
      <c r="B43330" s="3" t="str">
        <f>HYPERLINK("https://www.773grp.com/manufacturer/onsemi?pageNo=572", "ON Semiconductor")</f>
        <v>ON Semiconductor</v>
      </c>
      <c r="C43330" s="6">
        <v>100</v>
      </c>
      <c r="D43330" s="7">
        <v>20.39</v>
      </c>
    </row>
    <row r="43331" spans="1:5" x14ac:dyDescent="0.25">
      <c r="A43331" t="str">
        <f>HYPERLINK("https://www.773grp.com/globalSearch/NBVSPA015LNHTAG/page-1", "NBVSPA015LNHTAG")</f>
        <v>NBVSPA015LNHTAG</v>
      </c>
      <c r="B43331" s="3" t="str">
        <f>HYPERLINK("https://www.773grp.com/manufacturer/onsemi?pageNo=573", "ON Semiconductor")</f>
        <v>ON Semiconductor</v>
      </c>
      <c r="C43331" s="6">
        <v>100</v>
      </c>
      <c r="D43331" s="7">
        <v>20.39</v>
      </c>
    </row>
    <row r="43332" spans="1:5" x14ac:dyDescent="0.25">
      <c r="A43332" t="str">
        <f>HYPERLINK("https://www.773grp.com/globalSearch/NBVSPA019LNHTAG/page-1", "NBVSPA019LNHTAG")</f>
        <v>NBVSPA019LNHTAG</v>
      </c>
      <c r="B43332" s="3" t="str">
        <f>HYPERLINK("https://www.773grp.com/manufacturer/onsemi?pageNo=574", "ON Semiconductor")</f>
        <v>ON Semiconductor</v>
      </c>
      <c r="C43332" s="6">
        <v>40</v>
      </c>
      <c r="D43332" s="7">
        <v>20.39</v>
      </c>
    </row>
    <row r="43333" spans="1:5" x14ac:dyDescent="0.25">
      <c r="A43333" t="str">
        <f>HYPERLINK("https://www.773grp.com/globalSearch/NBVSPA024LN1TAG/page-1", "NBVSPA024LN1TAG")</f>
        <v>NBVSPA024LN1TAG</v>
      </c>
      <c r="B43333" s="3" t="str">
        <f>HYPERLINK("https://www.773grp.com/manufacturer/onsemi?pageNo=575", "ON Semiconductor")</f>
        <v>ON Semiconductor</v>
      </c>
      <c r="C43333" s="6">
        <v>1000</v>
      </c>
      <c r="D43333" s="7">
        <v>20.39</v>
      </c>
    </row>
    <row r="43334" spans="1:5" x14ac:dyDescent="0.25">
      <c r="A43334" t="str">
        <f>HYPERLINK("https://www.773grp.com/globalSearch/NBVSPA024LNHTAG/page-1", "NBVSPA024LNHTAG")</f>
        <v>NBVSPA024LNHTAG</v>
      </c>
      <c r="B43334" s="3" t="str">
        <f>HYPERLINK("https://www.773grp.com/manufacturer/onsemi?pageNo=576", "ON Semiconductor")</f>
        <v>ON Semiconductor</v>
      </c>
      <c r="C43334" s="6">
        <v>95</v>
      </c>
      <c r="D43334" s="7">
        <v>20.39</v>
      </c>
    </row>
    <row r="43335" spans="1:5" x14ac:dyDescent="0.25">
      <c r="A43335" t="str">
        <f>HYPERLINK("https://www.773grp.com/globalSearch/CAT28F020G12/page-1", "CAT28F020G12")</f>
        <v>CAT28F020G12</v>
      </c>
      <c r="B43335" s="3" t="str">
        <f>HYPERLINK("https://www.773grp.com/manufacturer/onsemi?pageNo=577", "ON Semiconductor")</f>
        <v>ON Semiconductor</v>
      </c>
      <c r="C43335" s="6">
        <v>8</v>
      </c>
      <c r="D43335" s="7">
        <v>20.81</v>
      </c>
    </row>
    <row r="43336" spans="1:5" x14ac:dyDescent="0.25">
      <c r="A43336" t="str">
        <f>HYPERLINK("https://www.773grp.com/globalSearch/STK672-081-E/page-1", "STK672-081-E")</f>
        <v>STK672-081-E</v>
      </c>
      <c r="B43336" s="3" t="str">
        <f>HYPERLINK("https://www.773grp.com/manufacturer/onsemi?pageNo=578", "ON Semiconductor")</f>
        <v>ON Semiconductor</v>
      </c>
      <c r="C43336" s="6">
        <v>40</v>
      </c>
      <c r="D43336" s="7">
        <v>20.81</v>
      </c>
    </row>
    <row r="43337" spans="1:5" x14ac:dyDescent="0.25">
      <c r="A43337" t="str">
        <f>HYPERLINK("https://www.773grp.com/globalSearch/MC10136FN/page-1", "MC10136FN")</f>
        <v>MC10136FN</v>
      </c>
      <c r="B43337" s="3" t="str">
        <f>HYPERLINK("https://www.773grp.com/manufacturer/onsemi?pageNo=579", "ON Semiconductor")</f>
        <v>ON Semiconductor</v>
      </c>
      <c r="C43337" s="6">
        <v>2428</v>
      </c>
      <c r="D43337" s="7">
        <v>20.88</v>
      </c>
      <c r="E43337" t="s">
        <v>26</v>
      </c>
    </row>
    <row r="43338" spans="1:5" x14ac:dyDescent="0.25">
      <c r="A43338" t="str">
        <f>HYPERLINK("https://www.773grp.com/globalSearch/MC100EP139DT/page-1", "MC100EP139DT")</f>
        <v>MC100EP139DT</v>
      </c>
      <c r="B43338" s="3" t="str">
        <f>HYPERLINK("https://www.773grp.com/manufacturer/onsemi?pageNo=580", "ON Semiconductor")</f>
        <v>ON Semiconductor</v>
      </c>
      <c r="C43338" s="6">
        <v>4350</v>
      </c>
      <c r="D43338" s="7">
        <v>20.96</v>
      </c>
    </row>
    <row r="43339" spans="1:5" x14ac:dyDescent="0.25">
      <c r="A43339" t="str">
        <f>HYPERLINK("https://www.773grp.com/globalSearch/MC10H350FNG/page-1", "MC10H350FNG")</f>
        <v>MC10H350FNG</v>
      </c>
      <c r="B43339" s="3" t="str">
        <f>HYPERLINK("https://www.773grp.com/manufacturer/onsemi?pageNo=581", "ON Semiconductor")</f>
        <v>ON Semiconductor</v>
      </c>
      <c r="C43339" s="6">
        <v>93</v>
      </c>
      <c r="D43339" s="7">
        <v>21.1</v>
      </c>
      <c r="E43339" t="s">
        <v>73</v>
      </c>
    </row>
    <row r="43340" spans="1:5" x14ac:dyDescent="0.25">
      <c r="A43340" t="str">
        <f>HYPERLINK("https://www.773grp.com/globalSearch/MC10H351FNG/page-1", "MC10H351FNG")</f>
        <v>MC10H351FNG</v>
      </c>
      <c r="B43340" s="3" t="str">
        <f>HYPERLINK("https://www.773grp.com/manufacturer/onsemi?pageNo=582", "ON Semiconductor")</f>
        <v>ON Semiconductor</v>
      </c>
      <c r="C43340" s="6">
        <v>887</v>
      </c>
      <c r="D43340" s="7">
        <v>21.1</v>
      </c>
      <c r="E43340" t="s">
        <v>73</v>
      </c>
    </row>
    <row r="43341" spans="1:5" x14ac:dyDescent="0.25">
      <c r="A43341" t="str">
        <f>HYPERLINK("https://www.773grp.com/globalSearch/MC10H351FNR2G/page-1", "MC10H351FNR2G")</f>
        <v>MC10H351FNR2G</v>
      </c>
      <c r="B43341" s="3" t="str">
        <f>HYPERLINK("https://www.773grp.com/manufacturer/onsemi?pageNo=583", "ON Semiconductor")</f>
        <v>ON Semiconductor</v>
      </c>
      <c r="C43341" s="6">
        <v>4000</v>
      </c>
      <c r="D43341" s="7">
        <v>21.1</v>
      </c>
      <c r="E43341" t="s">
        <v>73</v>
      </c>
    </row>
    <row r="43342" spans="1:5" x14ac:dyDescent="0.25">
      <c r="A43342" t="str">
        <f>HYPERLINK("https://www.773grp.com/globalSearch/MC10H352FNG/page-1", "MC10H352FNG")</f>
        <v>MC10H352FNG</v>
      </c>
      <c r="B43342" s="3" t="str">
        <f>HYPERLINK("https://www.773grp.com/manufacturer/onsemi?pageNo=584", "ON Semiconductor")</f>
        <v>ON Semiconductor</v>
      </c>
      <c r="C43342" s="6">
        <v>4426</v>
      </c>
      <c r="D43342" s="7">
        <v>21.1</v>
      </c>
      <c r="E43342" t="s">
        <v>73</v>
      </c>
    </row>
    <row r="43343" spans="1:5" x14ac:dyDescent="0.25">
      <c r="A43343" t="str">
        <f>HYPERLINK("https://www.773grp.com/globalSearch/MC10H352FNR2G/page-1", "MC10H352FNR2G")</f>
        <v>MC10H352FNR2G</v>
      </c>
      <c r="B43343" s="3" t="str">
        <f>HYPERLINK("https://www.773grp.com/manufacturer/onsemi?pageNo=585", "ON Semiconductor")</f>
        <v>ON Semiconductor</v>
      </c>
      <c r="C43343" s="6">
        <v>2500</v>
      </c>
      <c r="D43343" s="7">
        <v>21.1</v>
      </c>
      <c r="E43343" t="s">
        <v>73</v>
      </c>
    </row>
    <row r="43344" spans="1:5" x14ac:dyDescent="0.25">
      <c r="A43344" t="str">
        <f>HYPERLINK("https://www.773grp.com/globalSearch/MC10136L/page-1", "MC10136L")</f>
        <v>MC10136L</v>
      </c>
      <c r="B43344" s="3" t="str">
        <f>HYPERLINK("https://www.773grp.com/manufacturer/onsemi?pageNo=586", "ON Semiconductor")</f>
        <v>ON Semiconductor</v>
      </c>
      <c r="C43344" s="6">
        <v>743</v>
      </c>
      <c r="D43344" s="7">
        <v>21.35</v>
      </c>
      <c r="E43344" t="s">
        <v>26</v>
      </c>
    </row>
    <row r="43345" spans="1:5" x14ac:dyDescent="0.25">
      <c r="A43345" t="str">
        <f>HYPERLINK("https://www.773grp.com/globalSearch/STK433-840N-E/page-1", "STK433-840N-E")</f>
        <v>STK433-840N-E</v>
      </c>
      <c r="B43345" s="3" t="str">
        <f>HYPERLINK("https://www.773grp.com/manufacturer/onsemi?pageNo=587", "ON Semiconductor")</f>
        <v>ON Semiconductor</v>
      </c>
      <c r="C43345" s="6">
        <v>40</v>
      </c>
      <c r="D43345" s="7">
        <v>21.38</v>
      </c>
    </row>
    <row r="43346" spans="1:5" x14ac:dyDescent="0.25">
      <c r="A43346" t="str">
        <f>HYPERLINK("https://www.773grp.com/globalSearch/NBXDBB017LN1TAG/page-1", "NBXDBB017LN1TAG")</f>
        <v>NBXDBB017LN1TAG</v>
      </c>
      <c r="B43346" s="3" t="str">
        <f>HYPERLINK("https://www.773grp.com/manufacturer/onsemi?pageNo=588", "ON Semiconductor")</f>
        <v>ON Semiconductor</v>
      </c>
      <c r="C43346" s="6">
        <v>6533</v>
      </c>
      <c r="D43346" s="7">
        <v>21.51</v>
      </c>
      <c r="E43346" t="s">
        <v>79</v>
      </c>
    </row>
    <row r="43347" spans="1:5" x14ac:dyDescent="0.25">
      <c r="A43347" t="str">
        <f>HYPERLINK("https://www.773grp.com/globalSearch/NBXDBB017LNHTAG/page-1", "NBXDBB017LNHTAG")</f>
        <v>NBXDBB017LNHTAG</v>
      </c>
      <c r="B43347" s="3" t="str">
        <f>HYPERLINK("https://www.773grp.com/manufacturer/onsemi?pageNo=589", "ON Semiconductor")</f>
        <v>ON Semiconductor</v>
      </c>
      <c r="C43347" s="6">
        <v>500</v>
      </c>
      <c r="D43347" s="7">
        <v>21.51</v>
      </c>
      <c r="E43347" t="s">
        <v>79</v>
      </c>
    </row>
    <row r="43348" spans="1:5" x14ac:dyDescent="0.25">
      <c r="A43348" t="str">
        <f>HYPERLINK("https://www.773grp.com/globalSearch/MC10H136P/page-1", "MC10H136P")</f>
        <v>MC10H136P</v>
      </c>
      <c r="B43348" s="3" t="str">
        <f>HYPERLINK("https://www.773grp.com/manufacturer/onsemi?pageNo=590", "ON Semiconductor")</f>
        <v>ON Semiconductor</v>
      </c>
      <c r="C43348" s="6">
        <v>2697</v>
      </c>
      <c r="D43348" s="7">
        <v>21.6</v>
      </c>
      <c r="E43348" t="s">
        <v>26</v>
      </c>
    </row>
    <row r="43349" spans="1:5" x14ac:dyDescent="0.25">
      <c r="A43349" t="str">
        <f>HYPERLINK("https://www.773grp.com/globalSearch/AMIS30585C5852G/page-1", "AMIS30585C5852G")</f>
        <v>AMIS30585C5852G</v>
      </c>
      <c r="B43349" s="3" t="str">
        <f>HYPERLINK("https://www.773grp.com/manufacturer/onsemi?pageNo=591", "ON Semiconductor")</f>
        <v>ON Semiconductor</v>
      </c>
      <c r="C43349" s="6">
        <v>249</v>
      </c>
      <c r="D43349" s="7">
        <v>21.65</v>
      </c>
    </row>
    <row r="43350" spans="1:5" x14ac:dyDescent="0.25">
      <c r="A43350" t="str">
        <f>HYPERLINK("https://www.773grp.com/globalSearch/NB100LVEP221FAG/page-1", "NB100LVEP221FAG")</f>
        <v>NB100LVEP221FAG</v>
      </c>
      <c r="B43350" s="3" t="str">
        <f>HYPERLINK("https://www.773grp.com/manufacturer/onsemi?pageNo=592", "ON Semiconductor")</f>
        <v>ON Semiconductor</v>
      </c>
      <c r="C43350" s="6">
        <v>4</v>
      </c>
      <c r="D43350" s="7">
        <v>21.65</v>
      </c>
      <c r="E43350" t="s">
        <v>34</v>
      </c>
    </row>
    <row r="43351" spans="1:5" x14ac:dyDescent="0.25">
      <c r="A43351" t="str">
        <f>HYPERLINK("https://www.773grp.com/globalSearch/NB100LVEP221MNG/page-1", "NB100LVEP221MNG")</f>
        <v>NB100LVEP221MNG</v>
      </c>
      <c r="B43351" s="3" t="str">
        <f>HYPERLINK("https://www.773grp.com/manufacturer/onsemi?pageNo=593", "ON Semiconductor")</f>
        <v>ON Semiconductor</v>
      </c>
      <c r="C43351" s="6">
        <v>980</v>
      </c>
      <c r="D43351" s="7">
        <v>21.65</v>
      </c>
    </row>
    <row r="43352" spans="1:5" x14ac:dyDescent="0.25">
      <c r="A43352" t="str">
        <f>HYPERLINK("https://www.773grp.com/globalSearch/NB100LVEP221MNRG/page-1", "NB100LVEP221MNRG")</f>
        <v>NB100LVEP221MNRG</v>
      </c>
      <c r="B43352" s="3" t="str">
        <f>HYPERLINK("https://www.773grp.com/manufacturer/onsemi?pageNo=594", "ON Semiconductor")</f>
        <v>ON Semiconductor</v>
      </c>
      <c r="C43352" s="6">
        <v>2000</v>
      </c>
      <c r="D43352" s="7">
        <v>21.65</v>
      </c>
    </row>
    <row r="43353" spans="1:5" x14ac:dyDescent="0.25">
      <c r="A43353" t="str">
        <f>HYPERLINK("https://www.773grp.com/globalSearch/MC100H643FNG/page-1", "MC100H643FNG")</f>
        <v>MC100H643FNG</v>
      </c>
      <c r="B43353" s="3" t="str">
        <f>HYPERLINK("https://www.773grp.com/manufacturer/onsemi?pageNo=595", "ON Semiconductor")</f>
        <v>ON Semiconductor</v>
      </c>
      <c r="C43353" s="6">
        <v>1361</v>
      </c>
      <c r="D43353" s="7">
        <v>21.69</v>
      </c>
      <c r="E43353" t="s">
        <v>34</v>
      </c>
    </row>
    <row r="43354" spans="1:5" x14ac:dyDescent="0.25">
      <c r="A43354" t="str">
        <f>HYPERLINK("https://www.773grp.com/globalSearch/MC100H643FNR2/page-1", "MC100H643FNR2")</f>
        <v>MC100H643FNR2</v>
      </c>
      <c r="B43354" s="3" t="str">
        <f>HYPERLINK("https://www.773grp.com/manufacturer/onsemi?pageNo=596", "ON Semiconductor")</f>
        <v>ON Semiconductor</v>
      </c>
      <c r="C43354" s="6">
        <v>3087</v>
      </c>
      <c r="D43354" s="7">
        <v>21.69</v>
      </c>
      <c r="E43354" t="s">
        <v>34</v>
      </c>
    </row>
    <row r="43355" spans="1:5" x14ac:dyDescent="0.25">
      <c r="A43355" t="str">
        <f>HYPERLINK("https://www.773grp.com/globalSearch/MC100H643FNR2G/page-1", "MC100H643FNR2G")</f>
        <v>MC100H643FNR2G</v>
      </c>
      <c r="B43355" s="3" t="str">
        <f>HYPERLINK("https://www.773grp.com/manufacturer/onsemi?pageNo=597", "ON Semiconductor")</f>
        <v>ON Semiconductor</v>
      </c>
      <c r="C43355" s="6">
        <v>2220</v>
      </c>
      <c r="D43355" s="7">
        <v>21.69</v>
      </c>
      <c r="E43355" t="s">
        <v>34</v>
      </c>
    </row>
    <row r="43356" spans="1:5" x14ac:dyDescent="0.25">
      <c r="A43356" t="str">
        <f>HYPERLINK("https://www.773grp.com/globalSearch/MC100EP101FAG/page-1", "MC100EP101FAG")</f>
        <v>MC100EP101FAG</v>
      </c>
      <c r="B43356" s="3" t="str">
        <f>HYPERLINK("https://www.773grp.com/manufacturer/onsemi?pageNo=598", "ON Semiconductor")</f>
        <v>ON Semiconductor</v>
      </c>
      <c r="C43356" s="6">
        <v>6346</v>
      </c>
      <c r="D43356" s="7">
        <v>21.8</v>
      </c>
      <c r="E43356" t="s">
        <v>31</v>
      </c>
    </row>
    <row r="43357" spans="1:5" x14ac:dyDescent="0.25">
      <c r="A43357" t="str">
        <f>HYPERLINK("https://www.773grp.com/globalSearch/MC100EP101FAR2G/page-1", "MC100EP101FAR2G")</f>
        <v>MC100EP101FAR2G</v>
      </c>
      <c r="B43357" s="3" t="str">
        <f>HYPERLINK("https://www.773grp.com/manufacturer/onsemi?pageNo=599", "ON Semiconductor")</f>
        <v>ON Semiconductor</v>
      </c>
      <c r="C43357" s="6">
        <v>6000</v>
      </c>
      <c r="D43357" s="7">
        <v>21.8</v>
      </c>
      <c r="E43357" t="s">
        <v>31</v>
      </c>
    </row>
    <row r="43358" spans="1:5" x14ac:dyDescent="0.25">
      <c r="A43358" t="str">
        <f>HYPERLINK("https://www.773grp.com/globalSearch/MC100EP101MNG/page-1", "MC100EP101MNG")</f>
        <v>MC100EP101MNG</v>
      </c>
      <c r="B43358" s="3" t="str">
        <f>HYPERLINK("https://www.773grp.com/manufacturer/onsemi?pageNo=600", "ON Semiconductor")</f>
        <v>ON Semiconductor</v>
      </c>
      <c r="C43358" s="6">
        <v>4132</v>
      </c>
      <c r="D43358" s="7">
        <v>21.8</v>
      </c>
      <c r="E43358" t="s">
        <v>31</v>
      </c>
    </row>
    <row r="43359" spans="1:5" x14ac:dyDescent="0.25">
      <c r="A43359" t="str">
        <f>HYPERLINK("https://www.773grp.com/globalSearch/MC100EP101MNR4G/page-1", "MC100EP101MNR4G")</f>
        <v>MC100EP101MNR4G</v>
      </c>
      <c r="B43359" s="3" t="str">
        <f>HYPERLINK("https://www.773grp.com/manufacturer/onsemi?pageNo=601", "ON Semiconductor")</f>
        <v>ON Semiconductor</v>
      </c>
      <c r="C43359" s="6">
        <v>6663</v>
      </c>
      <c r="D43359" s="7">
        <v>21.8</v>
      </c>
      <c r="E43359" t="s">
        <v>31</v>
      </c>
    </row>
    <row r="43360" spans="1:5" x14ac:dyDescent="0.25">
      <c r="A43360" t="str">
        <f>HYPERLINK("https://www.773grp.com/globalSearch/MC100EP105FAG/page-1", "MC100EP105FAG")</f>
        <v>MC100EP105FAG</v>
      </c>
      <c r="B43360" s="3" t="str">
        <f>HYPERLINK("https://www.773grp.com/manufacturer/onsemi?pageNo=602", "ON Semiconductor")</f>
        <v>ON Semiconductor</v>
      </c>
      <c r="C43360" s="6">
        <v>3650</v>
      </c>
      <c r="D43360" s="7">
        <v>21.8</v>
      </c>
      <c r="E43360" t="s">
        <v>31</v>
      </c>
    </row>
    <row r="43361" spans="1:5" x14ac:dyDescent="0.25">
      <c r="A43361" t="str">
        <f>HYPERLINK("https://www.773grp.com/globalSearch/MC100EP105FAR2G/page-1", "MC100EP105FAR2G")</f>
        <v>MC100EP105FAR2G</v>
      </c>
      <c r="B43361" s="3" t="str">
        <f>HYPERLINK("https://www.773grp.com/manufacturer/onsemi?pageNo=603", "ON Semiconductor")</f>
        <v>ON Semiconductor</v>
      </c>
      <c r="C43361" s="6">
        <v>1700</v>
      </c>
      <c r="D43361" s="7">
        <v>21.8</v>
      </c>
      <c r="E43361" t="s">
        <v>31</v>
      </c>
    </row>
    <row r="43362" spans="1:5" x14ac:dyDescent="0.25">
      <c r="A43362" t="str">
        <f>HYPERLINK("https://www.773grp.com/globalSearch/MC100EP105MNG/page-1", "MC100EP105MNG")</f>
        <v>MC100EP105MNG</v>
      </c>
      <c r="B43362" s="3" t="str">
        <f>HYPERLINK("https://www.773grp.com/manufacturer/onsemi?pageNo=604", "ON Semiconductor")</f>
        <v>ON Semiconductor</v>
      </c>
      <c r="C43362" s="6">
        <v>10260</v>
      </c>
      <c r="D43362" s="7">
        <v>21.8</v>
      </c>
      <c r="E43362" t="s">
        <v>31</v>
      </c>
    </row>
    <row r="43363" spans="1:5" x14ac:dyDescent="0.25">
      <c r="A43363" t="str">
        <f>HYPERLINK("https://www.773grp.com/globalSearch/MC100EP139DWG/page-1", "MC100EP139DWG")</f>
        <v>MC100EP139DWG</v>
      </c>
      <c r="B43363" s="3" t="str">
        <f>HYPERLINK("https://www.773grp.com/manufacturer/onsemi?pageNo=605", "ON Semiconductor")</f>
        <v>ON Semiconductor</v>
      </c>
      <c r="C43363" s="6">
        <v>2047</v>
      </c>
      <c r="D43363" s="7">
        <v>21.8</v>
      </c>
      <c r="E43363" t="s">
        <v>34</v>
      </c>
    </row>
    <row r="43364" spans="1:5" x14ac:dyDescent="0.25">
      <c r="A43364" t="str">
        <f>HYPERLINK("https://www.773grp.com/globalSearch/MC100EP139DWR2G/page-1", "MC100EP139DWR2G")</f>
        <v>MC100EP139DWR2G</v>
      </c>
      <c r="B43364" s="3" t="str">
        <f>HYPERLINK("https://www.773grp.com/manufacturer/onsemi?pageNo=606", "ON Semiconductor")</f>
        <v>ON Semiconductor</v>
      </c>
      <c r="C43364" s="6">
        <v>18</v>
      </c>
      <c r="D43364" s="7">
        <v>21.8</v>
      </c>
      <c r="E43364" t="s">
        <v>34</v>
      </c>
    </row>
    <row r="43365" spans="1:5" x14ac:dyDescent="0.25">
      <c r="A43365" t="str">
        <f>HYPERLINK("https://www.773grp.com/globalSearch/MC10EP101FAG/page-1", "MC10EP101FAG")</f>
        <v>MC10EP101FAG</v>
      </c>
      <c r="B43365" s="3" t="str">
        <f>HYPERLINK("https://www.773grp.com/manufacturer/onsemi?pageNo=607", "ON Semiconductor")</f>
        <v>ON Semiconductor</v>
      </c>
      <c r="C43365" s="6">
        <v>7975</v>
      </c>
      <c r="D43365" s="7">
        <v>21.8</v>
      </c>
      <c r="E43365" t="s">
        <v>31</v>
      </c>
    </row>
    <row r="43366" spans="1:5" x14ac:dyDescent="0.25">
      <c r="A43366" t="str">
        <f>HYPERLINK("https://www.773grp.com/globalSearch/MC10EP101MNG/page-1", "MC10EP101MNG")</f>
        <v>MC10EP101MNG</v>
      </c>
      <c r="B43366" s="3" t="str">
        <f>HYPERLINK("https://www.773grp.com/manufacturer/onsemi?pageNo=608", "ON Semiconductor")</f>
        <v>ON Semiconductor</v>
      </c>
      <c r="C43366" s="6">
        <v>5084</v>
      </c>
      <c r="D43366" s="7">
        <v>21.8</v>
      </c>
      <c r="E43366" t="s">
        <v>31</v>
      </c>
    </row>
    <row r="43367" spans="1:5" x14ac:dyDescent="0.25">
      <c r="A43367" t="str">
        <f>HYPERLINK("https://www.773grp.com/globalSearch/MC10EP105FAG/page-1", "MC10EP105FAG")</f>
        <v>MC10EP105FAG</v>
      </c>
      <c r="B43367" s="3" t="str">
        <f>HYPERLINK("https://www.773grp.com/manufacturer/onsemi?pageNo=609", "ON Semiconductor")</f>
        <v>ON Semiconductor</v>
      </c>
      <c r="C43367" s="6">
        <v>3733</v>
      </c>
      <c r="D43367" s="7">
        <v>21.8</v>
      </c>
      <c r="E43367" t="s">
        <v>31</v>
      </c>
    </row>
    <row r="43368" spans="1:5" x14ac:dyDescent="0.25">
      <c r="A43368" t="str">
        <f>HYPERLINK("https://www.773grp.com/globalSearch/MC10EP105FAR2G/page-1", "MC10EP105FAR2G")</f>
        <v>MC10EP105FAR2G</v>
      </c>
      <c r="B43368" s="3" t="str">
        <f>HYPERLINK("https://www.773grp.com/manufacturer/onsemi?pageNo=610", "ON Semiconductor")</f>
        <v>ON Semiconductor</v>
      </c>
      <c r="C43368" s="6">
        <v>5593</v>
      </c>
      <c r="D43368" s="7">
        <v>21.8</v>
      </c>
      <c r="E43368" t="s">
        <v>31</v>
      </c>
    </row>
    <row r="43369" spans="1:5" x14ac:dyDescent="0.25">
      <c r="A43369" t="str">
        <f>HYPERLINK("https://www.773grp.com/globalSearch/MC10EP105MNG/page-1", "MC10EP105MNG")</f>
        <v>MC10EP105MNG</v>
      </c>
      <c r="B43369" s="3" t="str">
        <f>HYPERLINK("https://www.773grp.com/manufacturer/onsemi?pageNo=611", "ON Semiconductor")</f>
        <v>ON Semiconductor</v>
      </c>
      <c r="C43369" s="6">
        <v>4884</v>
      </c>
      <c r="D43369" s="7">
        <v>21.8</v>
      </c>
      <c r="E43369" t="s">
        <v>31</v>
      </c>
    </row>
    <row r="43370" spans="1:5" x14ac:dyDescent="0.25">
      <c r="A43370" t="str">
        <f>HYPERLINK("https://www.773grp.com/globalSearch/MC10EP139DTG/page-1", "MC10EP139DTG")</f>
        <v>MC10EP139DTG</v>
      </c>
      <c r="B43370" s="3" t="str">
        <f>HYPERLINK("https://www.773grp.com/manufacturer/onsemi?pageNo=612", "ON Semiconductor")</f>
        <v>ON Semiconductor</v>
      </c>
      <c r="C43370" s="6">
        <v>818</v>
      </c>
      <c r="D43370" s="7">
        <v>21.8</v>
      </c>
      <c r="E43370" t="s">
        <v>34</v>
      </c>
    </row>
    <row r="43371" spans="1:5" x14ac:dyDescent="0.25">
      <c r="A43371" t="str">
        <f>HYPERLINK("https://www.773grp.com/globalSearch/MC10EP139DTR2G/page-1", "MC10EP139DTR2G")</f>
        <v>MC10EP139DTR2G</v>
      </c>
      <c r="B43371" s="3" t="str">
        <f>HYPERLINK("https://www.773grp.com/manufacturer/onsemi?pageNo=613", "ON Semiconductor")</f>
        <v>ON Semiconductor</v>
      </c>
      <c r="C43371" s="6">
        <v>5000</v>
      </c>
      <c r="D43371" s="7">
        <v>21.8</v>
      </c>
      <c r="E43371" t="s">
        <v>34</v>
      </c>
    </row>
    <row r="43372" spans="1:5" x14ac:dyDescent="0.25">
      <c r="A43372" t="str">
        <f>HYPERLINK("https://www.773grp.com/globalSearch/MC10EP139DWG/page-1", "MC10EP139DWG")</f>
        <v>MC10EP139DWG</v>
      </c>
      <c r="B43372" s="3" t="str">
        <f>HYPERLINK("https://www.773grp.com/manufacturer/onsemi?pageNo=614", "ON Semiconductor")</f>
        <v>ON Semiconductor</v>
      </c>
      <c r="C43372" s="6">
        <v>10493</v>
      </c>
      <c r="D43372" s="7">
        <v>21.8</v>
      </c>
      <c r="E43372" t="s">
        <v>34</v>
      </c>
    </row>
    <row r="43373" spans="1:5" x14ac:dyDescent="0.25">
      <c r="A43373" t="str">
        <f>HYPERLINK("https://www.773grp.com/globalSearch/MC10EP139DWR2G/page-1", "MC10EP139DWR2G")</f>
        <v>MC10EP139DWR2G</v>
      </c>
      <c r="B43373" s="3" t="str">
        <f>HYPERLINK("https://www.773grp.com/manufacturer/onsemi?pageNo=615", "ON Semiconductor")</f>
        <v>ON Semiconductor</v>
      </c>
      <c r="C43373" s="6">
        <v>5000</v>
      </c>
      <c r="D43373" s="7">
        <v>21.8</v>
      </c>
      <c r="E43373" t="s">
        <v>34</v>
      </c>
    </row>
    <row r="43374" spans="1:5" x14ac:dyDescent="0.25">
      <c r="A43374" t="str">
        <f>HYPERLINK("https://www.773grp.com/globalSearch/MC10H181L/page-1", "MC10H181L")</f>
        <v>MC10H181L</v>
      </c>
      <c r="B43374" s="3" t="str">
        <f>HYPERLINK("https://www.773grp.com/manufacturer/onsemi?pageNo=616", "ON Semiconductor")</f>
        <v>ON Semiconductor</v>
      </c>
      <c r="C43374" s="6">
        <v>617</v>
      </c>
      <c r="D43374" s="7">
        <v>21.9</v>
      </c>
      <c r="E43374" t="s">
        <v>43</v>
      </c>
    </row>
    <row r="43375" spans="1:5" x14ac:dyDescent="0.25">
      <c r="A43375" t="str">
        <f>HYPERLINK("https://www.773grp.com/globalSearch/CAT28F020GI-90T/page-1", "CAT28F020GI-90T")</f>
        <v>CAT28F020GI-90T</v>
      </c>
      <c r="B43375" s="3" t="str">
        <f>HYPERLINK("https://www.773grp.com/manufacturer/onsemi?pageNo=617", "ON Semiconductor")</f>
        <v>ON Semiconductor</v>
      </c>
      <c r="C43375" s="6">
        <v>1755</v>
      </c>
      <c r="D43375" s="7">
        <v>22.33</v>
      </c>
    </row>
    <row r="43376" spans="1:5" x14ac:dyDescent="0.25">
      <c r="A43376" t="str">
        <f>HYPERLINK("https://www.773grp.com/globalSearch/NB100LVEP222FAG/page-1", "NB100LVEP222FAG")</f>
        <v>NB100LVEP222FAG</v>
      </c>
      <c r="B43376" s="3" t="str">
        <f>HYPERLINK("https://www.773grp.com/manufacturer/onsemi?pageNo=618", "ON Semiconductor")</f>
        <v>ON Semiconductor</v>
      </c>
      <c r="C43376" s="6">
        <v>53</v>
      </c>
      <c r="D43376" s="7">
        <v>22.36</v>
      </c>
      <c r="E43376" t="s">
        <v>34</v>
      </c>
    </row>
    <row r="43377" spans="1:5" x14ac:dyDescent="0.25">
      <c r="A43377" t="str">
        <f>HYPERLINK("https://www.773grp.com/globalSearch/NB100LVEP222MNG/page-1", "NB100LVEP222MNG")</f>
        <v>NB100LVEP222MNG</v>
      </c>
      <c r="B43377" s="3" t="str">
        <f>HYPERLINK("https://www.773grp.com/manufacturer/onsemi?pageNo=619", "ON Semiconductor")</f>
        <v>ON Semiconductor</v>
      </c>
      <c r="C43377" s="6">
        <v>505</v>
      </c>
      <c r="D43377" s="7">
        <v>22.36</v>
      </c>
      <c r="E43377" t="s">
        <v>34</v>
      </c>
    </row>
    <row r="43378" spans="1:5" x14ac:dyDescent="0.25">
      <c r="A43378" t="str">
        <f>HYPERLINK("https://www.773grp.com/globalSearch/MC100H642FNR2/page-1", "MC100H642FNR2")</f>
        <v>MC100H642FNR2</v>
      </c>
      <c r="B43378" s="3" t="str">
        <f>HYPERLINK("https://www.773grp.com/manufacturer/onsemi?pageNo=620", "ON Semiconductor")</f>
        <v>ON Semiconductor</v>
      </c>
      <c r="C43378" s="6">
        <v>3000</v>
      </c>
      <c r="D43378" s="7">
        <v>22.48</v>
      </c>
      <c r="E43378" t="s">
        <v>34</v>
      </c>
    </row>
    <row r="43379" spans="1:5" x14ac:dyDescent="0.25">
      <c r="A43379" t="str">
        <f>HYPERLINK("https://www.773grp.com/globalSearch/MC100EP195BFAG/page-1", "MC100EP195BFAG")</f>
        <v>MC100EP195BFAG</v>
      </c>
      <c r="B43379" s="3" t="str">
        <f>HYPERLINK("https://www.773grp.com/manufacturer/onsemi?pageNo=621", "ON Semiconductor")</f>
        <v>ON Semiconductor</v>
      </c>
      <c r="C43379" s="6">
        <v>63</v>
      </c>
      <c r="D43379" s="7">
        <v>22.5</v>
      </c>
      <c r="E43379" t="s">
        <v>119</v>
      </c>
    </row>
    <row r="43380" spans="1:5" x14ac:dyDescent="0.25">
      <c r="A43380" t="str">
        <f>HYPERLINK("https://www.773grp.com/globalSearch/MC100EP195BMNG/page-1", "MC100EP195BMNG")</f>
        <v>MC100EP195BMNG</v>
      </c>
      <c r="B43380" s="3" t="str">
        <f>HYPERLINK("https://www.773grp.com/manufacturer/onsemi?pageNo=622", "ON Semiconductor")</f>
        <v>ON Semiconductor</v>
      </c>
      <c r="C43380" s="6">
        <v>7</v>
      </c>
      <c r="D43380" s="7">
        <v>22.5</v>
      </c>
      <c r="E43380" t="s">
        <v>119</v>
      </c>
    </row>
    <row r="43381" spans="1:5" x14ac:dyDescent="0.25">
      <c r="A43381" t="str">
        <f>HYPERLINK("https://www.773grp.com/globalSearch/MC100EP195BMNR4G/page-1", "MC100EP195BMNR4G")</f>
        <v>MC100EP195BMNR4G</v>
      </c>
      <c r="B43381" s="3" t="str">
        <f>HYPERLINK("https://www.773grp.com/manufacturer/onsemi?pageNo=623", "ON Semiconductor")</f>
        <v>ON Semiconductor</v>
      </c>
      <c r="C43381" s="6">
        <v>2294</v>
      </c>
      <c r="D43381" s="7">
        <v>22.5</v>
      </c>
      <c r="E43381" t="s">
        <v>119</v>
      </c>
    </row>
    <row r="43382" spans="1:5" x14ac:dyDescent="0.25">
      <c r="A43382" t="str">
        <f>HYPERLINK("https://www.773grp.com/globalSearch/MC100EP196BFAG/page-1", "MC100EP196BFAG")</f>
        <v>MC100EP196BFAG</v>
      </c>
      <c r="B43382" s="3" t="str">
        <f>HYPERLINK("https://www.773grp.com/manufacturer/onsemi?pageNo=624", "ON Semiconductor")</f>
        <v>ON Semiconductor</v>
      </c>
      <c r="C43382" s="6">
        <v>2985</v>
      </c>
      <c r="D43382" s="7">
        <v>22.5</v>
      </c>
      <c r="E43382" t="s">
        <v>119</v>
      </c>
    </row>
    <row r="43383" spans="1:5" x14ac:dyDescent="0.25">
      <c r="A43383" t="str">
        <f>HYPERLINK("https://www.773grp.com/globalSearch/MC100EP196BFAR2G/page-1", "MC100EP196BFAR2G")</f>
        <v>MC100EP196BFAR2G</v>
      </c>
      <c r="B43383" s="3" t="str">
        <f>HYPERLINK("https://www.773grp.com/manufacturer/onsemi?pageNo=625", "ON Semiconductor")</f>
        <v>ON Semiconductor</v>
      </c>
      <c r="C43383" s="6">
        <v>941</v>
      </c>
      <c r="D43383" s="7">
        <v>22.5</v>
      </c>
      <c r="E43383" t="s">
        <v>119</v>
      </c>
    </row>
    <row r="43384" spans="1:5" x14ac:dyDescent="0.25">
      <c r="A43384" t="str">
        <f>HYPERLINK("https://www.773grp.com/globalSearch/MC100EP196BMNG/page-1", "MC100EP196BMNG")</f>
        <v>MC100EP196BMNG</v>
      </c>
      <c r="B43384" s="3" t="str">
        <f>HYPERLINK("https://www.773grp.com/manufacturer/onsemi?pageNo=626", "ON Semiconductor")</f>
        <v>ON Semiconductor</v>
      </c>
      <c r="C43384" s="6">
        <v>720</v>
      </c>
      <c r="D43384" s="7">
        <v>22.5</v>
      </c>
      <c r="E43384" t="s">
        <v>119</v>
      </c>
    </row>
    <row r="43385" spans="1:5" x14ac:dyDescent="0.25">
      <c r="A43385" t="str">
        <f>HYPERLINK("https://www.773grp.com/globalSearch/MC100EP196BMNR4G/page-1", "MC100EP196BMNR4G")</f>
        <v>MC100EP196BMNR4G</v>
      </c>
      <c r="B43385" s="3" t="str">
        <f>HYPERLINK("https://www.773grp.com/manufacturer/onsemi?pageNo=627", "ON Semiconductor")</f>
        <v>ON Semiconductor</v>
      </c>
      <c r="C43385" s="6">
        <v>5350</v>
      </c>
      <c r="D43385" s="7">
        <v>22.5</v>
      </c>
      <c r="E43385" t="s">
        <v>119</v>
      </c>
    </row>
    <row r="43386" spans="1:5" x14ac:dyDescent="0.25">
      <c r="A43386" t="str">
        <f>HYPERLINK("https://www.773grp.com/globalSearch/MC100EP29DTG/page-1", "MC100EP29DTG")</f>
        <v>MC100EP29DTG</v>
      </c>
      <c r="B43386" s="3" t="str">
        <f>HYPERLINK("https://www.773grp.com/manufacturer/onsemi?pageNo=628", "ON Semiconductor")</f>
        <v>ON Semiconductor</v>
      </c>
      <c r="C43386" s="6">
        <v>439</v>
      </c>
      <c r="D43386" s="7">
        <v>22.5</v>
      </c>
      <c r="E43386" t="s">
        <v>35</v>
      </c>
    </row>
    <row r="43387" spans="1:5" x14ac:dyDescent="0.25">
      <c r="A43387" t="str">
        <f>HYPERLINK("https://www.773grp.com/globalSearch/MC100EP29DTR2G/page-1", "MC100EP29DTR2G")</f>
        <v>MC100EP29DTR2G</v>
      </c>
      <c r="B43387" s="3" t="str">
        <f>HYPERLINK("https://www.773grp.com/manufacturer/onsemi?pageNo=629", "ON Semiconductor")</f>
        <v>ON Semiconductor</v>
      </c>
      <c r="C43387" s="6">
        <v>1383</v>
      </c>
      <c r="D43387" s="7">
        <v>22.5</v>
      </c>
    </row>
    <row r="43388" spans="1:5" x14ac:dyDescent="0.25">
      <c r="A43388" t="str">
        <f>HYPERLINK("https://www.773grp.com/globalSearch/MC100EP29MNG/page-1", "MC100EP29MNG")</f>
        <v>MC100EP29MNG</v>
      </c>
      <c r="B43388" s="3" t="str">
        <f>HYPERLINK("https://www.773grp.com/manufacturer/onsemi?pageNo=630", "ON Semiconductor")</f>
        <v>ON Semiconductor</v>
      </c>
      <c r="C43388" s="6">
        <v>2541</v>
      </c>
      <c r="D43388" s="7">
        <v>22.5</v>
      </c>
      <c r="E43388" t="s">
        <v>35</v>
      </c>
    </row>
    <row r="43389" spans="1:5" x14ac:dyDescent="0.25">
      <c r="A43389" t="str">
        <f>HYPERLINK("https://www.773grp.com/globalSearch/MC100EP90DTG/page-1", "MC100EP90DTG")</f>
        <v>MC100EP90DTG</v>
      </c>
      <c r="B43389" s="3" t="str">
        <f>HYPERLINK("https://www.773grp.com/manufacturer/onsemi?pageNo=631", "ON Semiconductor")</f>
        <v>ON Semiconductor</v>
      </c>
      <c r="C43389" s="6">
        <v>166</v>
      </c>
      <c r="D43389" s="7">
        <v>22.5</v>
      </c>
      <c r="E43389" t="s">
        <v>73</v>
      </c>
    </row>
    <row r="43390" spans="1:5" x14ac:dyDescent="0.25">
      <c r="A43390" t="str">
        <f>HYPERLINK("https://www.773grp.com/globalSearch/MC100LVE164FAG/page-1", "MC100LVE164FAG")</f>
        <v>MC100LVE164FAG</v>
      </c>
      <c r="B43390" s="3" t="str">
        <f>HYPERLINK("https://www.773grp.com/manufacturer/onsemi?pageNo=632", "ON Semiconductor")</f>
        <v>ON Semiconductor</v>
      </c>
      <c r="C43390" s="6">
        <v>3473</v>
      </c>
      <c r="D43390" s="7">
        <v>22.5</v>
      </c>
      <c r="E43390" t="s">
        <v>20</v>
      </c>
    </row>
    <row r="43391" spans="1:5" x14ac:dyDescent="0.25">
      <c r="A43391" t="str">
        <f>HYPERLINK("https://www.773grp.com/globalSearch/MC10EP29DTG/page-1", "MC10EP29DTG")</f>
        <v>MC10EP29DTG</v>
      </c>
      <c r="B43391" s="3" t="str">
        <f>HYPERLINK("https://www.773grp.com/manufacturer/onsemi?pageNo=633", "ON Semiconductor")</f>
        <v>ON Semiconductor</v>
      </c>
      <c r="C43391" s="6">
        <v>1029</v>
      </c>
      <c r="D43391" s="7">
        <v>22.5</v>
      </c>
      <c r="E43391" t="s">
        <v>35</v>
      </c>
    </row>
    <row r="43392" spans="1:5" x14ac:dyDescent="0.25">
      <c r="A43392" t="str">
        <f>HYPERLINK("https://www.773grp.com/globalSearch/MC10EP29MNG/page-1", "MC10EP29MNG")</f>
        <v>MC10EP29MNG</v>
      </c>
      <c r="B43392" s="3" t="str">
        <f>HYPERLINK("https://www.773grp.com/manufacturer/onsemi?pageNo=634", "ON Semiconductor")</f>
        <v>ON Semiconductor</v>
      </c>
      <c r="C43392" s="6">
        <v>4457</v>
      </c>
      <c r="D43392" s="7">
        <v>22.5</v>
      </c>
      <c r="E43392" t="s">
        <v>35</v>
      </c>
    </row>
    <row r="43393" spans="1:5" x14ac:dyDescent="0.25">
      <c r="A43393" t="str">
        <f>HYPERLINK("https://www.773grp.com/globalSearch/MC10EP90DTG/page-1", "MC10EP90DTG")</f>
        <v>MC10EP90DTG</v>
      </c>
      <c r="B43393" s="3" t="str">
        <f>HYPERLINK("https://www.773grp.com/manufacturer/onsemi?pageNo=635", "ON Semiconductor")</f>
        <v>ON Semiconductor</v>
      </c>
      <c r="C43393" s="6">
        <v>3954</v>
      </c>
      <c r="D43393" s="7">
        <v>22.5</v>
      </c>
      <c r="E43393" t="s">
        <v>73</v>
      </c>
    </row>
    <row r="43394" spans="1:5" x14ac:dyDescent="0.25">
      <c r="A43394" t="str">
        <f>HYPERLINK("https://www.773grp.com/globalSearch/MC10EP90DTR2G/page-1", "MC10EP90DTR2G")</f>
        <v>MC10EP90DTR2G</v>
      </c>
      <c r="B43394" s="3" t="str">
        <f>HYPERLINK("https://www.773grp.com/manufacturer/onsemi?pageNo=636", "ON Semiconductor")</f>
        <v>ON Semiconductor</v>
      </c>
      <c r="C43394" s="6">
        <v>2500</v>
      </c>
      <c r="D43394" s="7">
        <v>22.5</v>
      </c>
      <c r="E43394" t="s">
        <v>73</v>
      </c>
    </row>
    <row r="43395" spans="1:5" x14ac:dyDescent="0.25">
      <c r="A43395" t="str">
        <f>HYPERLINK("https://www.773grp.com/globalSearch/NB100LVEP224FA/page-1", "NB100LVEP224FA")</f>
        <v>NB100LVEP224FA</v>
      </c>
      <c r="B43395" s="3" t="str">
        <f>HYPERLINK("https://www.773grp.com/manufacturer/onsemi?pageNo=637", "ON Semiconductor")</f>
        <v>ON Semiconductor</v>
      </c>
      <c r="C43395" s="6">
        <v>2149</v>
      </c>
      <c r="D43395" s="7">
        <v>22.5</v>
      </c>
      <c r="E43395" t="s">
        <v>34</v>
      </c>
    </row>
    <row r="43396" spans="1:5" x14ac:dyDescent="0.25">
      <c r="A43396" t="str">
        <f>HYPERLINK("https://www.773grp.com/globalSearch/NB100LVEP91DWG/page-1", "NB100LVEP91DWG")</f>
        <v>NB100LVEP91DWG</v>
      </c>
      <c r="B43396" s="3" t="str">
        <f>HYPERLINK("https://www.773grp.com/manufacturer/onsemi?pageNo=638", "ON Semiconductor")</f>
        <v>ON Semiconductor</v>
      </c>
      <c r="C43396" s="6">
        <v>1909</v>
      </c>
      <c r="D43396" s="7">
        <v>22.5</v>
      </c>
      <c r="E43396" t="s">
        <v>73</v>
      </c>
    </row>
    <row r="43397" spans="1:5" x14ac:dyDescent="0.25">
      <c r="A43397" t="str">
        <f>HYPERLINK("https://www.773grp.com/globalSearch/NB100LVEP91DWR2G/page-1", "NB100LVEP91DWR2G")</f>
        <v>NB100LVEP91DWR2G</v>
      </c>
      <c r="B43397" s="3" t="str">
        <f>HYPERLINK("https://www.773grp.com/manufacturer/onsemi?pageNo=639", "ON Semiconductor")</f>
        <v>ON Semiconductor</v>
      </c>
      <c r="C43397" s="6">
        <v>5000</v>
      </c>
      <c r="D43397" s="7">
        <v>22.5</v>
      </c>
      <c r="E43397" t="s">
        <v>73</v>
      </c>
    </row>
    <row r="43398" spans="1:5" x14ac:dyDescent="0.25">
      <c r="A43398" t="str">
        <f>HYPERLINK("https://www.773grp.com/globalSearch/NB100LVEP91MNG/page-1", "NB100LVEP91MNG")</f>
        <v>NB100LVEP91MNG</v>
      </c>
      <c r="B43398" s="3" t="str">
        <f>HYPERLINK("https://www.773grp.com/manufacturer/onsemi?pageNo=640", "ON Semiconductor")</f>
        <v>ON Semiconductor</v>
      </c>
      <c r="C43398" s="6">
        <v>2601</v>
      </c>
      <c r="D43398" s="7">
        <v>22.5</v>
      </c>
      <c r="E43398" t="s">
        <v>73</v>
      </c>
    </row>
    <row r="43399" spans="1:5" x14ac:dyDescent="0.25">
      <c r="A43399" t="str">
        <f>HYPERLINK("https://www.773grp.com/globalSearch/NB100LVEP17MNR2/page-1", "NB100LVEP17MNR2")</f>
        <v>NB100LVEP17MNR2</v>
      </c>
      <c r="B43399" s="3" t="str">
        <f>HYPERLINK("https://www.773grp.com/manufacturer/onsemi?pageNo=641", "ON Semiconductor")</f>
        <v>ON Semiconductor</v>
      </c>
      <c r="C43399" s="6">
        <v>3000</v>
      </c>
      <c r="D43399" s="7">
        <v>22.91</v>
      </c>
      <c r="E43399" t="s">
        <v>21</v>
      </c>
    </row>
    <row r="43400" spans="1:5" x14ac:dyDescent="0.25">
      <c r="A43400" t="str">
        <f>HYPERLINK("https://www.773grp.com/globalSearch/STK428-920A-E/page-1", "STK428-920A-E")</f>
        <v>STK428-920A-E</v>
      </c>
      <c r="B43400" s="3" t="str">
        <f>HYPERLINK("https://www.773grp.com/manufacturer/onsemi?pageNo=642", "ON Semiconductor")</f>
        <v>ON Semiconductor</v>
      </c>
      <c r="C43400" s="6">
        <v>5000</v>
      </c>
      <c r="D43400" s="7">
        <v>23.06</v>
      </c>
    </row>
    <row r="43401" spans="1:5" x14ac:dyDescent="0.25">
      <c r="A43401" t="str">
        <f>HYPERLINK("https://www.773grp.com/globalSearch/MC1650L/page-1", "MC1650L")</f>
        <v>MC1650L</v>
      </c>
      <c r="B43401" s="3" t="str">
        <f>HYPERLINK("https://www.773grp.com/manufacturer/onsemi?pageNo=643", "ON Semiconductor")</f>
        <v>ON Semiconductor</v>
      </c>
      <c r="C43401" s="6">
        <v>147</v>
      </c>
      <c r="D43401" s="7">
        <v>23.51</v>
      </c>
      <c r="E43401" t="s">
        <v>9</v>
      </c>
    </row>
    <row r="43402" spans="1:5" x14ac:dyDescent="0.25">
      <c r="A43402" t="str">
        <f>HYPERLINK("https://www.773grp.com/globalSearch/MC1651L/page-1", "MC1651L")</f>
        <v>MC1651L</v>
      </c>
      <c r="B43402" s="3" t="str">
        <f>HYPERLINK("https://www.773grp.com/manufacturer/onsemi?pageNo=644", "ON Semiconductor")</f>
        <v>ON Semiconductor</v>
      </c>
      <c r="C43402" s="6">
        <v>784</v>
      </c>
      <c r="D43402" s="7">
        <v>23.51</v>
      </c>
      <c r="E43402" t="s">
        <v>9</v>
      </c>
    </row>
    <row r="43403" spans="1:5" x14ac:dyDescent="0.25">
      <c r="A43403" t="str">
        <f>HYPERLINK("https://www.773grp.com/globalSearch/AD790AQ/page-1", "AD790AQ")</f>
        <v>AD790AQ</v>
      </c>
      <c r="B43403" s="3" t="str">
        <f>HYPERLINK("https://www.773grp.com/manufacturer/onsemi?pageNo=645", "ON Semiconductor")</f>
        <v>ON Semiconductor</v>
      </c>
      <c r="C43403" s="6">
        <v>53</v>
      </c>
      <c r="D43403" s="7">
        <v>23.63</v>
      </c>
    </row>
    <row r="43404" spans="1:5" x14ac:dyDescent="0.25">
      <c r="A43404" t="str">
        <f>HYPERLINK("https://www.773grp.com/globalSearch/MC100EP17MNG/page-1", "MC100EP17MNG")</f>
        <v>MC100EP17MNG</v>
      </c>
      <c r="B43404" s="3" t="str">
        <f>HYPERLINK("https://www.773grp.com/manufacturer/onsemi?pageNo=646", "ON Semiconductor")</f>
        <v>ON Semiconductor</v>
      </c>
      <c r="C43404" s="6">
        <v>3128</v>
      </c>
      <c r="D43404" s="7">
        <v>23.91</v>
      </c>
      <c r="E43404" t="s">
        <v>21</v>
      </c>
    </row>
    <row r="43405" spans="1:5" x14ac:dyDescent="0.25">
      <c r="A43405" t="str">
        <f>HYPERLINK("https://www.773grp.com/globalSearch/MC100EP195FAR2/page-1", "MC100EP195FAR2")</f>
        <v>MC100EP195FAR2</v>
      </c>
      <c r="B43405" s="3" t="str">
        <f>HYPERLINK("https://www.773grp.com/manufacturer/onsemi?pageNo=647", "ON Semiconductor")</f>
        <v>ON Semiconductor</v>
      </c>
      <c r="C43405" s="6">
        <v>1539</v>
      </c>
      <c r="D43405" s="7">
        <v>23.91</v>
      </c>
      <c r="E43405" t="s">
        <v>119</v>
      </c>
    </row>
    <row r="43406" spans="1:5" x14ac:dyDescent="0.25">
      <c r="A43406" t="str">
        <f>HYPERLINK("https://www.773grp.com/globalSearch/MC10H424P/page-1", "MC10H424P")</f>
        <v>MC10H424P</v>
      </c>
      <c r="B43406" s="3" t="str">
        <f>HYPERLINK("https://www.773grp.com/manufacturer/onsemi?pageNo=648", "ON Semiconductor")</f>
        <v>ON Semiconductor</v>
      </c>
      <c r="C43406" s="6">
        <v>1958</v>
      </c>
      <c r="D43406" s="7">
        <v>24</v>
      </c>
      <c r="E43406" t="s">
        <v>73</v>
      </c>
    </row>
    <row r="43407" spans="1:5" x14ac:dyDescent="0.25">
      <c r="A43407" t="str">
        <f>HYPERLINK("https://www.773grp.com/globalSearch/MC100EP139MNG/page-1", "MC100EP139MNG")</f>
        <v>MC100EP139MNG</v>
      </c>
      <c r="B43407" s="3" t="str">
        <f>HYPERLINK("https://www.773grp.com/manufacturer/onsemi?pageNo=649", "ON Semiconductor")</f>
        <v>ON Semiconductor</v>
      </c>
      <c r="C43407" s="6">
        <v>7317</v>
      </c>
      <c r="D43407" s="7">
        <v>24.25</v>
      </c>
      <c r="E43407" t="s">
        <v>34</v>
      </c>
    </row>
    <row r="43408" spans="1:5" x14ac:dyDescent="0.25">
      <c r="A43408" t="str">
        <f>HYPERLINK("https://www.773grp.com/globalSearch/MC100EP210SFAG/page-1", "MC100EP210SFAG")</f>
        <v>MC100EP210SFAG</v>
      </c>
      <c r="B43408" s="3" t="str">
        <f>HYPERLINK("https://www.773grp.com/manufacturer/onsemi?pageNo=650", "ON Semiconductor")</f>
        <v>ON Semiconductor</v>
      </c>
      <c r="C43408" s="6">
        <v>1483</v>
      </c>
      <c r="D43408" s="7">
        <v>24.48</v>
      </c>
      <c r="E43408" t="s">
        <v>34</v>
      </c>
    </row>
    <row r="43409" spans="1:5" x14ac:dyDescent="0.25">
      <c r="A43409" t="str">
        <f>HYPERLINK("https://www.773grp.com/globalSearch/MC100EP210SMNG/page-1", "MC100EP210SMNG")</f>
        <v>MC100EP210SMNG</v>
      </c>
      <c r="B43409" s="3" t="str">
        <f>HYPERLINK("https://www.773grp.com/manufacturer/onsemi?pageNo=651", "ON Semiconductor")</f>
        <v>ON Semiconductor</v>
      </c>
      <c r="C43409" s="6">
        <v>7016</v>
      </c>
      <c r="D43409" s="7">
        <v>24.48</v>
      </c>
      <c r="E43409" t="s">
        <v>34</v>
      </c>
    </row>
    <row r="43410" spans="1:5" x14ac:dyDescent="0.25">
      <c r="A43410" t="str">
        <f>HYPERLINK("https://www.773grp.com/globalSearch/MC100EP210SMNR4G/page-1", "MC100EP210SMNR4G")</f>
        <v>MC100EP210SMNR4G</v>
      </c>
      <c r="B43410" s="3" t="str">
        <f>HYPERLINK("https://www.773grp.com/manufacturer/onsemi?pageNo=652", "ON Semiconductor")</f>
        <v>ON Semiconductor</v>
      </c>
      <c r="C43410" s="6">
        <v>26445</v>
      </c>
      <c r="D43410" s="7">
        <v>24.48</v>
      </c>
      <c r="E43410" t="s">
        <v>34</v>
      </c>
    </row>
    <row r="43411" spans="1:5" x14ac:dyDescent="0.25">
      <c r="A43411" t="str">
        <f>HYPERLINK("https://www.773grp.com/globalSearch/MC100LVEP210FAG/page-1", "MC100LVEP210FAG")</f>
        <v>MC100LVEP210FAG</v>
      </c>
      <c r="B43411" s="3" t="str">
        <f>HYPERLINK("https://www.773grp.com/manufacturer/onsemi?pageNo=653", "ON Semiconductor")</f>
        <v>ON Semiconductor</v>
      </c>
      <c r="C43411" s="6">
        <v>2686</v>
      </c>
      <c r="D43411" s="7">
        <v>24.75</v>
      </c>
      <c r="E43411" t="s">
        <v>34</v>
      </c>
    </row>
    <row r="43412" spans="1:5" x14ac:dyDescent="0.25">
      <c r="A43412" t="str">
        <f>HYPERLINK("https://www.773grp.com/globalSearch/MC100LVEP210FARG/page-1", "MC100LVEP210FARG")</f>
        <v>MC100LVEP210FARG</v>
      </c>
      <c r="B43412" s="3" t="str">
        <f>HYPERLINK("https://www.773grp.com/manufacturer/onsemi?pageNo=654", "ON Semiconductor")</f>
        <v>ON Semiconductor</v>
      </c>
      <c r="C43412" s="6">
        <v>7410</v>
      </c>
      <c r="D43412" s="7">
        <v>24.75</v>
      </c>
      <c r="E43412" t="s">
        <v>34</v>
      </c>
    </row>
    <row r="43413" spans="1:5" x14ac:dyDescent="0.25">
      <c r="A43413" t="str">
        <f>HYPERLINK("https://www.773grp.com/globalSearch/MC100LVEP210MNG/page-1", "MC100LVEP210MNG")</f>
        <v>MC100LVEP210MNG</v>
      </c>
      <c r="B43413" s="3" t="str">
        <f>HYPERLINK("https://www.773grp.com/manufacturer/onsemi?pageNo=655", "ON Semiconductor")</f>
        <v>ON Semiconductor</v>
      </c>
      <c r="C43413" s="6">
        <v>5066</v>
      </c>
      <c r="D43413" s="7">
        <v>24.75</v>
      </c>
      <c r="E43413" t="s">
        <v>34</v>
      </c>
    </row>
    <row r="43414" spans="1:5" x14ac:dyDescent="0.25">
      <c r="A43414" t="str">
        <f>HYPERLINK("https://www.773grp.com/globalSearch/MC100LVEP210MNRG/page-1", "MC100LVEP210MNRG")</f>
        <v>MC100LVEP210MNRG</v>
      </c>
      <c r="B43414" s="3" t="str">
        <f>HYPERLINK("https://www.773grp.com/manufacturer/onsemi?pageNo=656", "ON Semiconductor")</f>
        <v>ON Semiconductor</v>
      </c>
      <c r="C43414" s="6">
        <v>2500</v>
      </c>
      <c r="D43414" s="7">
        <v>24.75</v>
      </c>
    </row>
    <row r="43415" spans="1:5" x14ac:dyDescent="0.25">
      <c r="A43415" t="str">
        <f>HYPERLINK("https://www.773grp.com/globalSearch/MC10SX1190DTG/page-1", "MC10SX1190DTG")</f>
        <v>MC10SX1190DTG</v>
      </c>
      <c r="B43415" s="3" t="str">
        <f>HYPERLINK("https://www.773grp.com/manufacturer/onsemi?pageNo=657", "ON Semiconductor")</f>
        <v>ON Semiconductor</v>
      </c>
      <c r="C43415" s="6">
        <v>9900</v>
      </c>
      <c r="D43415" s="7">
        <v>24.86</v>
      </c>
      <c r="E43415" t="s">
        <v>21</v>
      </c>
    </row>
    <row r="43416" spans="1:5" x14ac:dyDescent="0.25">
      <c r="A43416" t="str">
        <f>HYPERLINK("https://www.773grp.com/globalSearch/MC10SX1190DTR2G/page-1", "MC10SX1190DTR2G")</f>
        <v>MC10SX1190DTR2G</v>
      </c>
      <c r="B43416" s="3" t="str">
        <f>HYPERLINK("https://www.773grp.com/manufacturer/onsemi?pageNo=658", "ON Semiconductor")</f>
        <v>ON Semiconductor</v>
      </c>
      <c r="C43416" s="6">
        <v>9970</v>
      </c>
      <c r="D43416" s="7">
        <v>24.86</v>
      </c>
      <c r="E43416" t="s">
        <v>21</v>
      </c>
    </row>
    <row r="43417" spans="1:5" x14ac:dyDescent="0.25">
      <c r="A43417" t="str">
        <f>HYPERLINK("https://www.773grp.com/globalSearch/MC100H642FNG/page-1", "MC100H642FNG")</f>
        <v>MC100H642FNG</v>
      </c>
      <c r="B43417" s="3" t="str">
        <f>HYPERLINK("https://www.773grp.com/manufacturer/onsemi?pageNo=659", "ON Semiconductor")</f>
        <v>ON Semiconductor</v>
      </c>
      <c r="C43417" s="6">
        <v>2506</v>
      </c>
      <c r="D43417" s="7">
        <v>24.98</v>
      </c>
      <c r="E43417" t="s">
        <v>34</v>
      </c>
    </row>
    <row r="43418" spans="1:5" x14ac:dyDescent="0.25">
      <c r="A43418" t="str">
        <f>HYPERLINK("https://www.773grp.com/globalSearch/MC100H642FNR2G/page-1", "MC100H642FNR2G")</f>
        <v>MC100H642FNR2G</v>
      </c>
      <c r="B43418" s="3" t="str">
        <f>HYPERLINK("https://www.773grp.com/manufacturer/onsemi?pageNo=660", "ON Semiconductor")</f>
        <v>ON Semiconductor</v>
      </c>
      <c r="C43418" s="6">
        <v>1000</v>
      </c>
      <c r="D43418" s="7">
        <v>24.98</v>
      </c>
      <c r="E43418" t="s">
        <v>34</v>
      </c>
    </row>
    <row r="43419" spans="1:5" x14ac:dyDescent="0.25">
      <c r="A43419" t="str">
        <f>HYPERLINK("https://www.773grp.com/globalSearch/MC10H642FNG/page-1", "MC10H642FNG")</f>
        <v>MC10H642FNG</v>
      </c>
      <c r="B43419" s="3" t="str">
        <f>HYPERLINK("https://www.773grp.com/manufacturer/onsemi?pageNo=661", "ON Semiconductor")</f>
        <v>ON Semiconductor</v>
      </c>
      <c r="C43419" s="6">
        <v>703</v>
      </c>
      <c r="D43419" s="7">
        <v>24.98</v>
      </c>
      <c r="E43419" t="s">
        <v>34</v>
      </c>
    </row>
    <row r="43420" spans="1:5" x14ac:dyDescent="0.25">
      <c r="A43420" t="str">
        <f>HYPERLINK("https://www.773grp.com/globalSearch/STK433-130N-E/page-1", "STK433-130N-E")</f>
        <v>STK433-130N-E</v>
      </c>
      <c r="B43420" s="3" t="str">
        <f>HYPERLINK("https://www.773grp.com/manufacturer/onsemi?pageNo=662", "ON Semiconductor")</f>
        <v>ON Semiconductor</v>
      </c>
      <c r="C43420" s="6">
        <v>40</v>
      </c>
      <c r="D43420" s="7">
        <v>25.06</v>
      </c>
    </row>
    <row r="43421" spans="1:5" x14ac:dyDescent="0.25">
      <c r="A43421" t="str">
        <f>HYPERLINK("https://www.773grp.com/globalSearch/STK621-033A-E/page-1", "STK621-033A-E")</f>
        <v>STK621-033A-E</v>
      </c>
      <c r="B43421" s="3" t="str">
        <f>HYPERLINK("https://www.773grp.com/manufacturer/onsemi?pageNo=663", "ON Semiconductor")</f>
        <v>ON Semiconductor</v>
      </c>
      <c r="C43421" s="6">
        <v>485</v>
      </c>
      <c r="D43421" s="7">
        <v>25.09</v>
      </c>
    </row>
    <row r="43422" spans="1:5" x14ac:dyDescent="0.25">
      <c r="A43422" t="str">
        <f>HYPERLINK("https://www.773grp.com/globalSearch/MC100EP116FAG/page-1", "MC100EP116FAG")</f>
        <v>MC100EP116FAG</v>
      </c>
      <c r="B43422" s="3" t="str">
        <f>HYPERLINK("https://www.773grp.com/manufacturer/onsemi?pageNo=664", "ON Semiconductor")</f>
        <v>ON Semiconductor</v>
      </c>
      <c r="C43422" s="6">
        <v>1590</v>
      </c>
      <c r="D43422" s="7">
        <v>25.31</v>
      </c>
      <c r="E43422" t="s">
        <v>21</v>
      </c>
    </row>
    <row r="43423" spans="1:5" x14ac:dyDescent="0.25">
      <c r="A43423" t="str">
        <f>HYPERLINK("https://www.773grp.com/globalSearch/MC100EP116FAR2G/page-1", "MC100EP116FAR2G")</f>
        <v>MC100EP116FAR2G</v>
      </c>
      <c r="B43423" s="3" t="str">
        <f>HYPERLINK("https://www.773grp.com/manufacturer/onsemi?pageNo=665", "ON Semiconductor")</f>
        <v>ON Semiconductor</v>
      </c>
      <c r="C43423" s="6">
        <v>500</v>
      </c>
      <c r="D43423" s="7">
        <v>25.31</v>
      </c>
      <c r="E43423" t="s">
        <v>21</v>
      </c>
    </row>
    <row r="43424" spans="1:5" x14ac:dyDescent="0.25">
      <c r="A43424" t="str">
        <f>HYPERLINK("https://www.773grp.com/globalSearch/MC100EP116MNG/page-1", "MC100EP116MNG")</f>
        <v>MC100EP116MNG</v>
      </c>
      <c r="B43424" s="3" t="str">
        <f>HYPERLINK("https://www.773grp.com/manufacturer/onsemi?pageNo=666", "ON Semiconductor")</f>
        <v>ON Semiconductor</v>
      </c>
      <c r="C43424" s="6">
        <v>15174</v>
      </c>
      <c r="D43424" s="7">
        <v>25.31</v>
      </c>
      <c r="E43424" t="s">
        <v>21</v>
      </c>
    </row>
    <row r="43425" spans="1:5" x14ac:dyDescent="0.25">
      <c r="A43425" t="str">
        <f>HYPERLINK("https://www.773grp.com/globalSearch/MC100EP131FAG/page-1", "MC100EP131FAG")</f>
        <v>MC100EP131FAG</v>
      </c>
      <c r="B43425" s="3" t="str">
        <f>HYPERLINK("https://www.773grp.com/manufacturer/onsemi?pageNo=667", "ON Semiconductor")</f>
        <v>ON Semiconductor</v>
      </c>
      <c r="C43425" s="6">
        <v>443</v>
      </c>
      <c r="D43425" s="7">
        <v>25.31</v>
      </c>
      <c r="E43425" t="s">
        <v>35</v>
      </c>
    </row>
    <row r="43426" spans="1:5" x14ac:dyDescent="0.25">
      <c r="A43426" t="str">
        <f>HYPERLINK("https://www.773grp.com/globalSearch/MC100EP131MNG/page-1", "MC100EP131MNG")</f>
        <v>MC100EP131MNG</v>
      </c>
      <c r="B43426" s="3" t="str">
        <f>HYPERLINK("https://www.773grp.com/manufacturer/onsemi?pageNo=668", "ON Semiconductor")</f>
        <v>ON Semiconductor</v>
      </c>
      <c r="C43426" s="6">
        <v>4431</v>
      </c>
      <c r="D43426" s="7">
        <v>25.31</v>
      </c>
      <c r="E43426" t="s">
        <v>35</v>
      </c>
    </row>
    <row r="43427" spans="1:5" x14ac:dyDescent="0.25">
      <c r="A43427" t="str">
        <f>HYPERLINK("https://www.773grp.com/globalSearch/MC100EP131MNR4G/page-1", "MC100EP131MNR4G")</f>
        <v>MC100EP131MNR4G</v>
      </c>
      <c r="B43427" s="3" t="str">
        <f>HYPERLINK("https://www.773grp.com/manufacturer/onsemi?pageNo=669", "ON Semiconductor")</f>
        <v>ON Semiconductor</v>
      </c>
      <c r="C43427" s="6">
        <v>9859</v>
      </c>
      <c r="D43427" s="7">
        <v>25.31</v>
      </c>
      <c r="E43427" t="s">
        <v>35</v>
      </c>
    </row>
    <row r="43428" spans="1:5" x14ac:dyDescent="0.25">
      <c r="A43428" t="str">
        <f>HYPERLINK("https://www.773grp.com/globalSearch/MC100EP40DTG/page-1", "MC100EP40DTG")</f>
        <v>MC100EP40DTG</v>
      </c>
      <c r="B43428" s="3" t="str">
        <f>HYPERLINK("https://www.773grp.com/manufacturer/onsemi?pageNo=670", "ON Semiconductor")</f>
        <v>ON Semiconductor</v>
      </c>
      <c r="C43428" s="6">
        <v>767</v>
      </c>
      <c r="D43428" s="7">
        <v>25.31</v>
      </c>
    </row>
    <row r="43429" spans="1:5" x14ac:dyDescent="0.25">
      <c r="A43429" t="str">
        <f>HYPERLINK("https://www.773grp.com/globalSearch/MC100EP91DWG/page-1", "MC100EP91DWG")</f>
        <v>MC100EP91DWG</v>
      </c>
      <c r="B43429" s="3" t="str">
        <f>HYPERLINK("https://www.773grp.com/manufacturer/onsemi?pageNo=671", "ON Semiconductor")</f>
        <v>ON Semiconductor</v>
      </c>
      <c r="C43429" s="6">
        <v>3594</v>
      </c>
      <c r="D43429" s="7">
        <v>25.31</v>
      </c>
      <c r="E43429" t="s">
        <v>73</v>
      </c>
    </row>
    <row r="43430" spans="1:5" x14ac:dyDescent="0.25">
      <c r="A43430" t="str">
        <f>HYPERLINK("https://www.773grp.com/globalSearch/MC100EP91MNG/page-1", "MC100EP91MNG")</f>
        <v>MC100EP91MNG</v>
      </c>
      <c r="B43430" s="3" t="str">
        <f>HYPERLINK("https://www.773grp.com/manufacturer/onsemi?pageNo=672", "ON Semiconductor")</f>
        <v>ON Semiconductor</v>
      </c>
      <c r="C43430" s="6">
        <v>2933</v>
      </c>
      <c r="D43430" s="7">
        <v>25.31</v>
      </c>
      <c r="E43430" t="s">
        <v>73</v>
      </c>
    </row>
    <row r="43431" spans="1:5" x14ac:dyDescent="0.25">
      <c r="A43431" t="str">
        <f>HYPERLINK("https://www.773grp.com/globalSearch/MC100EP91MNR2G/page-1", "MC100EP91MNR2G")</f>
        <v>MC100EP91MNR2G</v>
      </c>
      <c r="B43431" s="3" t="str">
        <f>HYPERLINK("https://www.773grp.com/manufacturer/onsemi?pageNo=673", "ON Semiconductor")</f>
        <v>ON Semiconductor</v>
      </c>
      <c r="C43431" s="6">
        <v>3000</v>
      </c>
      <c r="D43431" s="7">
        <v>25.31</v>
      </c>
      <c r="E43431" t="s">
        <v>73</v>
      </c>
    </row>
    <row r="43432" spans="1:5" x14ac:dyDescent="0.25">
      <c r="A43432" t="str">
        <f>HYPERLINK("https://www.773grp.com/globalSearch/MC100LVE164FA/page-1", "MC100LVE164FA")</f>
        <v>MC100LVE164FA</v>
      </c>
      <c r="B43432" s="3" t="str">
        <f>HYPERLINK("https://www.773grp.com/manufacturer/onsemi?pageNo=674", "ON Semiconductor")</f>
        <v>ON Semiconductor</v>
      </c>
      <c r="C43432" s="6">
        <v>3047</v>
      </c>
      <c r="D43432" s="7">
        <v>25.31</v>
      </c>
      <c r="E43432" t="s">
        <v>20</v>
      </c>
    </row>
    <row r="43433" spans="1:5" x14ac:dyDescent="0.25">
      <c r="A43433" t="str">
        <f>HYPERLINK("https://www.773grp.com/globalSearch/MC100LVE164FAR2/page-1", "MC100LVE164FAR2")</f>
        <v>MC100LVE164FAR2</v>
      </c>
      <c r="B43433" s="3" t="str">
        <f>HYPERLINK("https://www.773grp.com/manufacturer/onsemi?pageNo=675", "ON Semiconductor")</f>
        <v>ON Semiconductor</v>
      </c>
      <c r="C43433" s="6">
        <v>1730</v>
      </c>
      <c r="D43433" s="7">
        <v>25.31</v>
      </c>
      <c r="E43433" t="s">
        <v>20</v>
      </c>
    </row>
    <row r="43434" spans="1:5" x14ac:dyDescent="0.25">
      <c r="A43434" t="str">
        <f>HYPERLINK("https://www.773grp.com/globalSearch/MC10EP116FAG/page-1", "MC10EP116FAG")</f>
        <v>MC10EP116FAG</v>
      </c>
      <c r="B43434" s="3" t="str">
        <f>HYPERLINK("https://www.773grp.com/manufacturer/onsemi?pageNo=676", "ON Semiconductor")</f>
        <v>ON Semiconductor</v>
      </c>
      <c r="C43434" s="6">
        <v>3854</v>
      </c>
      <c r="D43434" s="7">
        <v>25.31</v>
      </c>
      <c r="E43434" t="s">
        <v>21</v>
      </c>
    </row>
    <row r="43435" spans="1:5" x14ac:dyDescent="0.25">
      <c r="A43435" t="str">
        <f>HYPERLINK("https://www.773grp.com/globalSearch/MC10EP116FAR2G/page-1", "MC10EP116FAR2G")</f>
        <v>MC10EP116FAR2G</v>
      </c>
      <c r="B43435" s="3" t="str">
        <f>HYPERLINK("https://www.773grp.com/manufacturer/onsemi?pageNo=677", "ON Semiconductor")</f>
        <v>ON Semiconductor</v>
      </c>
      <c r="C43435" s="6">
        <v>4000</v>
      </c>
      <c r="D43435" s="7">
        <v>25.31</v>
      </c>
      <c r="E43435" t="s">
        <v>21</v>
      </c>
    </row>
    <row r="43436" spans="1:5" x14ac:dyDescent="0.25">
      <c r="A43436" t="str">
        <f>HYPERLINK("https://www.773grp.com/globalSearch/MC10EP131FAG/page-1", "MC10EP131FAG")</f>
        <v>MC10EP131FAG</v>
      </c>
      <c r="B43436" s="3" t="str">
        <f>HYPERLINK("https://www.773grp.com/manufacturer/onsemi?pageNo=678", "ON Semiconductor")</f>
        <v>ON Semiconductor</v>
      </c>
      <c r="C43436" s="6">
        <v>9942</v>
      </c>
      <c r="D43436" s="7">
        <v>25.31</v>
      </c>
      <c r="E43436" t="s">
        <v>35</v>
      </c>
    </row>
    <row r="43437" spans="1:5" x14ac:dyDescent="0.25">
      <c r="A43437" t="str">
        <f>HYPERLINK("https://www.773grp.com/globalSearch/MC10EP131FAR2G/page-1", "MC10EP131FAR2G")</f>
        <v>MC10EP131FAR2G</v>
      </c>
      <c r="B43437" s="3" t="str">
        <f>HYPERLINK("https://www.773grp.com/manufacturer/onsemi?pageNo=679", "ON Semiconductor")</f>
        <v>ON Semiconductor</v>
      </c>
      <c r="C43437" s="6">
        <v>11396</v>
      </c>
      <c r="D43437" s="7">
        <v>25.31</v>
      </c>
      <c r="E43437" t="s">
        <v>35</v>
      </c>
    </row>
    <row r="43438" spans="1:5" x14ac:dyDescent="0.25">
      <c r="A43438" t="str">
        <f>HYPERLINK("https://www.773grp.com/globalSearch/MC10EP131MNG/page-1", "MC10EP131MNG")</f>
        <v>MC10EP131MNG</v>
      </c>
      <c r="B43438" s="3" t="str">
        <f>HYPERLINK("https://www.773grp.com/manufacturer/onsemi?pageNo=680", "ON Semiconductor")</f>
        <v>ON Semiconductor</v>
      </c>
      <c r="C43438" s="6">
        <v>9153</v>
      </c>
      <c r="D43438" s="7">
        <v>25.31</v>
      </c>
      <c r="E43438" t="s">
        <v>35</v>
      </c>
    </row>
    <row r="43439" spans="1:5" x14ac:dyDescent="0.25">
      <c r="A43439" t="str">
        <f>HYPERLINK("https://www.773grp.com/globalSearch/MC10EP131MNR4G/page-1", "MC10EP131MNR4G")</f>
        <v>MC10EP131MNR4G</v>
      </c>
      <c r="B43439" s="3" t="str">
        <f>HYPERLINK("https://www.773grp.com/manufacturer/onsemi?pageNo=681", "ON Semiconductor")</f>
        <v>ON Semiconductor</v>
      </c>
      <c r="C43439" s="6">
        <v>6000</v>
      </c>
      <c r="D43439" s="7">
        <v>25.31</v>
      </c>
      <c r="E43439" t="s">
        <v>35</v>
      </c>
    </row>
    <row r="43440" spans="1:5" x14ac:dyDescent="0.25">
      <c r="A43440" t="str">
        <f>HYPERLINK("https://www.773grp.com/globalSearch/NB4L6254FAG/page-1", "NB4L6254FAG")</f>
        <v>NB4L6254FAG</v>
      </c>
      <c r="B43440" s="3" t="str">
        <f>HYPERLINK("https://www.773grp.com/manufacturer/onsemi?pageNo=682", "ON Semiconductor")</f>
        <v>ON Semiconductor</v>
      </c>
      <c r="C43440" s="6">
        <v>6020</v>
      </c>
      <c r="D43440" s="7">
        <v>25.31</v>
      </c>
      <c r="E43440" t="s">
        <v>34</v>
      </c>
    </row>
    <row r="43441" spans="1:5" x14ac:dyDescent="0.25">
      <c r="A43441" t="str">
        <f>HYPERLINK("https://www.773grp.com/globalSearch/NB4L6254FAR2G/page-1", "NB4L6254FAR2G")</f>
        <v>NB4L6254FAR2G</v>
      </c>
      <c r="B43441" s="3" t="str">
        <f>HYPERLINK("https://www.773grp.com/manufacturer/onsemi?pageNo=683", "ON Semiconductor")</f>
        <v>ON Semiconductor</v>
      </c>
      <c r="C43441" s="6">
        <v>3362</v>
      </c>
      <c r="D43441" s="7">
        <v>25.31</v>
      </c>
      <c r="E43441" t="s">
        <v>34</v>
      </c>
    </row>
    <row r="43442" spans="1:5" x14ac:dyDescent="0.25">
      <c r="A43442" t="str">
        <f>HYPERLINK("https://www.773grp.com/globalSearch/MBRP20035L/page-1", "MBRP20035L")</f>
        <v>MBRP20035L</v>
      </c>
      <c r="B43442" s="3" t="str">
        <f>HYPERLINK("https://www.773grp.com/manufacturer/onsemi?pageNo=684", "ON Semiconductor")</f>
        <v>ON Semiconductor</v>
      </c>
      <c r="C43442" s="6">
        <v>74</v>
      </c>
      <c r="D43442" s="7">
        <v>25.35</v>
      </c>
      <c r="E43442" t="s">
        <v>103</v>
      </c>
    </row>
    <row r="43443" spans="1:5" x14ac:dyDescent="0.25">
      <c r="A43443" t="str">
        <f>HYPERLINK("https://www.773grp.com/globalSearch/MBRP20030CTL/page-1", "MBRP20030CTL")</f>
        <v>MBRP20030CTL</v>
      </c>
      <c r="B43443" s="3" t="str">
        <f>HYPERLINK("https://www.773grp.com/manufacturer/onsemi?pageNo=685", "ON Semiconductor")</f>
        <v>ON Semiconductor</v>
      </c>
      <c r="C43443" s="6">
        <v>859</v>
      </c>
      <c r="D43443" s="7">
        <v>26.03</v>
      </c>
      <c r="E43443" t="s">
        <v>103</v>
      </c>
    </row>
    <row r="43444" spans="1:5" x14ac:dyDescent="0.25">
      <c r="A43444" t="str">
        <f>HYPERLINK("https://www.773grp.com/globalSearch/MBRP40030CTL/page-1", "MBRP40030CTL")</f>
        <v>MBRP40030CTL</v>
      </c>
      <c r="B43444" s="3" t="str">
        <f>HYPERLINK("https://www.773grp.com/manufacturer/onsemi?pageNo=686", "ON Semiconductor")</f>
        <v>ON Semiconductor</v>
      </c>
      <c r="C43444" s="6">
        <v>21</v>
      </c>
      <c r="D43444" s="7">
        <v>26.03</v>
      </c>
      <c r="E43444" t="s">
        <v>103</v>
      </c>
    </row>
    <row r="43445" spans="1:5" x14ac:dyDescent="0.25">
      <c r="A43445" t="str">
        <f>HYPERLINK("https://www.773grp.com/globalSearch/AD7896ANZ/page-1", "AD7896ANZ")</f>
        <v>AD7896ANZ</v>
      </c>
      <c r="B43445" s="3" t="str">
        <f>HYPERLINK("https://www.773grp.com/manufacturer/onsemi?pageNo=687", "ON Semiconductor")</f>
        <v>ON Semiconductor</v>
      </c>
      <c r="C43445" s="6">
        <v>10</v>
      </c>
      <c r="D43445" s="7">
        <v>26.95</v>
      </c>
    </row>
    <row r="43446" spans="1:5" x14ac:dyDescent="0.25">
      <c r="A43446" t="str">
        <f>HYPERLINK("https://www.773grp.com/globalSearch/MC10H332FN/page-1", "MC10H332FN")</f>
        <v>MC10H332FN</v>
      </c>
      <c r="B43446" s="3" t="str">
        <f>HYPERLINK("https://www.773grp.com/manufacturer/onsemi?pageNo=688", "ON Semiconductor")</f>
        <v>ON Semiconductor</v>
      </c>
      <c r="C43446" s="6">
        <v>3169</v>
      </c>
      <c r="D43446" s="7">
        <v>26.96</v>
      </c>
      <c r="E43446" t="s">
        <v>14</v>
      </c>
    </row>
    <row r="43447" spans="1:5" x14ac:dyDescent="0.25">
      <c r="A43447" t="str">
        <f>HYPERLINK("https://www.773grp.com/globalSearch/MC10H332FNR2/page-1", "MC10H332FNR2")</f>
        <v>MC10H332FNR2</v>
      </c>
      <c r="B43447" s="3" t="str">
        <f>HYPERLINK("https://www.773grp.com/manufacturer/onsemi?pageNo=689", "ON Semiconductor")</f>
        <v>ON Semiconductor</v>
      </c>
      <c r="C43447" s="6">
        <v>2457</v>
      </c>
      <c r="D43447" s="7">
        <v>26.96</v>
      </c>
      <c r="E43447" t="s">
        <v>14</v>
      </c>
    </row>
    <row r="43448" spans="1:5" x14ac:dyDescent="0.25">
      <c r="A43448" t="str">
        <f>HYPERLINK("https://www.773grp.com/globalSearch/MC10H334FNG/page-1", "MC10H334FNG")</f>
        <v>MC10H334FNG</v>
      </c>
      <c r="B43448" s="3" t="str">
        <f>HYPERLINK("https://www.773grp.com/manufacturer/onsemi?pageNo=690", "ON Semiconductor")</f>
        <v>ON Semiconductor</v>
      </c>
      <c r="C43448" s="6">
        <v>1288</v>
      </c>
      <c r="D43448" s="7">
        <v>26.96</v>
      </c>
      <c r="E43448" t="s">
        <v>14</v>
      </c>
    </row>
    <row r="43449" spans="1:5" x14ac:dyDescent="0.25">
      <c r="A43449" t="str">
        <f>HYPERLINK("https://www.773grp.com/globalSearch/MC100EP131FAR2/page-1", "MC100EP131FAR2")</f>
        <v>MC100EP131FAR2</v>
      </c>
      <c r="B43449" s="3" t="str">
        <f>HYPERLINK("https://www.773grp.com/manufacturer/onsemi?pageNo=691", "ON Semiconductor")</f>
        <v>ON Semiconductor</v>
      </c>
      <c r="C43449" s="6">
        <v>352</v>
      </c>
      <c r="D43449" s="7">
        <v>27.05</v>
      </c>
      <c r="E43449" t="s">
        <v>35</v>
      </c>
    </row>
    <row r="43450" spans="1:5" x14ac:dyDescent="0.25">
      <c r="A43450" t="str">
        <f>HYPERLINK("https://www.773grp.com/globalSearch/MC100EP29DTR2  REEL/page-1", "MC100EP29DTR2  REEL")</f>
        <v>MC100EP29DTR2  REEL</v>
      </c>
      <c r="B43450" s="3" t="str">
        <f>HYPERLINK("https://www.773grp.com/manufacturer/onsemi?pageNo=692", "ON Semiconductor")</f>
        <v>ON Semiconductor</v>
      </c>
      <c r="C43450" s="6">
        <v>2400</v>
      </c>
      <c r="D43450" s="7">
        <v>27.05</v>
      </c>
    </row>
    <row r="43451" spans="1:5" x14ac:dyDescent="0.25">
      <c r="A43451" t="str">
        <f>HYPERLINK("https://www.773grp.com/globalSearch/MC100EP91DW/page-1", "MC100EP91DW")</f>
        <v>MC100EP91DW</v>
      </c>
      <c r="B43451" s="3" t="str">
        <f>HYPERLINK("https://www.773grp.com/manufacturer/onsemi?pageNo=693", "ON Semiconductor")</f>
        <v>ON Semiconductor</v>
      </c>
      <c r="C43451" s="6">
        <v>14269</v>
      </c>
      <c r="D43451" s="7">
        <v>27.05</v>
      </c>
      <c r="E43451" t="s">
        <v>73</v>
      </c>
    </row>
    <row r="43452" spans="1:5" x14ac:dyDescent="0.25">
      <c r="A43452" t="str">
        <f>HYPERLINK("https://www.773grp.com/globalSearch/MC100EP91MN/page-1", "MC100EP91MN")</f>
        <v>MC100EP91MN</v>
      </c>
      <c r="B43452" s="3" t="str">
        <f>HYPERLINK("https://www.773grp.com/manufacturer/onsemi?pageNo=694", "ON Semiconductor")</f>
        <v>ON Semiconductor</v>
      </c>
      <c r="C43452" s="6">
        <v>9384</v>
      </c>
      <c r="D43452" s="7">
        <v>27.05</v>
      </c>
      <c r="E43452" t="s">
        <v>73</v>
      </c>
    </row>
    <row r="43453" spans="1:5" x14ac:dyDescent="0.25">
      <c r="A43453" t="str">
        <f>HYPERLINK("https://www.773grp.com/globalSearch/MC10H643FNG/page-1", "MC10H643FNG")</f>
        <v>MC10H643FNG</v>
      </c>
      <c r="B43453" s="3" t="str">
        <f>HYPERLINK("https://www.773grp.com/manufacturer/onsemi?pageNo=695", "ON Semiconductor")</f>
        <v>ON Semiconductor</v>
      </c>
      <c r="C43453" s="6">
        <v>1087</v>
      </c>
      <c r="D43453" s="7">
        <v>27.11</v>
      </c>
      <c r="E43453" t="s">
        <v>34</v>
      </c>
    </row>
    <row r="43454" spans="1:5" x14ac:dyDescent="0.25">
      <c r="A43454" t="str">
        <f>HYPERLINK("https://www.773grp.com/globalSearch/MC10H643FNR2G/page-1", "MC10H643FNR2G")</f>
        <v>MC10H643FNR2G</v>
      </c>
      <c r="B43454" s="3" t="str">
        <f>HYPERLINK("https://www.773grp.com/manufacturer/onsemi?pageNo=696", "ON Semiconductor")</f>
        <v>ON Semiconductor</v>
      </c>
      <c r="C43454" s="6">
        <v>2265</v>
      </c>
      <c r="D43454" s="7">
        <v>27.11</v>
      </c>
      <c r="E43454" t="s">
        <v>34</v>
      </c>
    </row>
    <row r="43455" spans="1:5" x14ac:dyDescent="0.25">
      <c r="A43455" t="str">
        <f>HYPERLINK("https://www.773grp.com/globalSearch/LC74735NWH-9817-E/page-1", "LC74735NWH-9817-E")</f>
        <v>LC74735NWH-9817-E</v>
      </c>
      <c r="B43455" s="3" t="str">
        <f>HYPERLINK("https://www.773grp.com/manufacturer/onsemi?pageNo=697", "ON Semiconductor")</f>
        <v>ON Semiconductor</v>
      </c>
      <c r="C43455" s="6">
        <v>2400</v>
      </c>
      <c r="D43455" s="7">
        <v>27.34</v>
      </c>
    </row>
    <row r="43456" spans="1:5" x14ac:dyDescent="0.25">
      <c r="A43456" t="str">
        <f>HYPERLINK("https://www.773grp.com/globalSearch/AMIS-49200-XTD/page-1", "AMIS-49200-XTD")</f>
        <v>AMIS-49200-XTD</v>
      </c>
      <c r="B43456" s="3" t="str">
        <f>HYPERLINK("https://www.773grp.com/manufacturer/onsemi?pageNo=698", "ON Semiconductor")</f>
        <v>ON Semiconductor</v>
      </c>
      <c r="C43456" s="6">
        <v>348</v>
      </c>
      <c r="D43456" s="7">
        <v>27.51</v>
      </c>
    </row>
    <row r="43457" spans="1:5" x14ac:dyDescent="0.25">
      <c r="A43457" t="str">
        <f>HYPERLINK("https://www.773grp.com/globalSearch/AMIS-49200-XTP/page-1", "AMIS-49200-XTP")</f>
        <v>AMIS-49200-XTP</v>
      </c>
      <c r="B43457" s="3" t="str">
        <f>HYPERLINK("https://www.773grp.com/manufacturer/onsemi?pageNo=699", "ON Semiconductor")</f>
        <v>ON Semiconductor</v>
      </c>
      <c r="C43457" s="6">
        <v>1500</v>
      </c>
      <c r="D43457" s="7">
        <v>27.51</v>
      </c>
      <c r="E43457" t="s">
        <v>67</v>
      </c>
    </row>
    <row r="43458" spans="1:5" x14ac:dyDescent="0.25">
      <c r="A43458" t="str">
        <f>HYPERLINK("https://www.773grp.com/globalSearch/MC10H644FN/page-1", "MC10H644FN")</f>
        <v>MC10H644FN</v>
      </c>
      <c r="B43458" s="3" t="str">
        <f>HYPERLINK("https://www.773grp.com/manufacturer/onsemi?pageNo=700", "ON Semiconductor")</f>
        <v>ON Semiconductor</v>
      </c>
      <c r="C43458" s="6">
        <v>874</v>
      </c>
      <c r="D43458" s="7">
        <v>27.51</v>
      </c>
      <c r="E43458" t="s">
        <v>34</v>
      </c>
    </row>
    <row r="43459" spans="1:5" x14ac:dyDescent="0.25">
      <c r="A43459" t="str">
        <f>HYPERLINK("https://www.773grp.com/globalSearch/MC100EP17DWG/page-1", "MC100EP17DWG")</f>
        <v>MC100EP17DWG</v>
      </c>
      <c r="B43459" s="3" t="str">
        <f>HYPERLINK("https://www.773grp.com/manufacturer/onsemi?pageNo=701", "ON Semiconductor")</f>
        <v>ON Semiconductor</v>
      </c>
      <c r="C43459" s="6">
        <v>5260</v>
      </c>
      <c r="D43459" s="7">
        <v>27.56</v>
      </c>
      <c r="E43459" t="s">
        <v>21</v>
      </c>
    </row>
    <row r="43460" spans="1:5" x14ac:dyDescent="0.25">
      <c r="A43460" t="str">
        <f>HYPERLINK("https://www.773grp.com/globalSearch/MC100EP17DWR2G/page-1", "MC100EP17DWR2G")</f>
        <v>MC100EP17DWR2G</v>
      </c>
      <c r="B43460" s="3" t="str">
        <f>HYPERLINK("https://www.773grp.com/manufacturer/onsemi?pageNo=702", "ON Semiconductor")</f>
        <v>ON Semiconductor</v>
      </c>
      <c r="C43460" s="6">
        <v>5000</v>
      </c>
      <c r="D43460" s="7">
        <v>27.56</v>
      </c>
      <c r="E43460" t="s">
        <v>21</v>
      </c>
    </row>
    <row r="43461" spans="1:5" x14ac:dyDescent="0.25">
      <c r="A43461" t="str">
        <f>HYPERLINK("https://www.773grp.com/globalSearch/MC100H604FNG/page-1", "MC100H604FNG")</f>
        <v>MC100H604FNG</v>
      </c>
      <c r="B43461" s="3" t="str">
        <f>HYPERLINK("https://www.773grp.com/manufacturer/onsemi?pageNo=703", "ON Semiconductor")</f>
        <v>ON Semiconductor</v>
      </c>
      <c r="C43461" s="6">
        <v>444</v>
      </c>
      <c r="D43461" s="7">
        <v>27.73</v>
      </c>
      <c r="E43461" t="s">
        <v>73</v>
      </c>
    </row>
    <row r="43462" spans="1:5" x14ac:dyDescent="0.25">
      <c r="A43462" t="str">
        <f>HYPERLINK("https://www.773grp.com/globalSearch/MC100H605FNG/page-1", "MC100H605FNG")</f>
        <v>MC100H605FNG</v>
      </c>
      <c r="B43462" s="3" t="str">
        <f>HYPERLINK("https://www.773grp.com/manufacturer/onsemi?pageNo=704", "ON Semiconductor")</f>
        <v>ON Semiconductor</v>
      </c>
      <c r="C43462" s="6">
        <v>803</v>
      </c>
      <c r="D43462" s="7">
        <v>27.73</v>
      </c>
      <c r="E43462" t="s">
        <v>73</v>
      </c>
    </row>
    <row r="43463" spans="1:5" x14ac:dyDescent="0.25">
      <c r="A43463" t="str">
        <f>HYPERLINK("https://www.773grp.com/globalSearch/MC10H604FN/page-1", "MC10H604FN")</f>
        <v>MC10H604FN</v>
      </c>
      <c r="B43463" s="3" t="str">
        <f>HYPERLINK("https://www.773grp.com/manufacturer/onsemi?pageNo=705", "ON Semiconductor")</f>
        <v>ON Semiconductor</v>
      </c>
      <c r="C43463" s="6">
        <v>678</v>
      </c>
      <c r="D43463" s="7">
        <v>27.73</v>
      </c>
      <c r="E43463" t="s">
        <v>73</v>
      </c>
    </row>
    <row r="43464" spans="1:5" x14ac:dyDescent="0.25">
      <c r="A43464" t="str">
        <f>HYPERLINK("https://www.773grp.com/globalSearch/MC10H605FN/page-1", "MC10H605FN")</f>
        <v>MC10H605FN</v>
      </c>
      <c r="B43464" s="3" t="str">
        <f>HYPERLINK("https://www.773grp.com/manufacturer/onsemi?pageNo=706", "ON Semiconductor")</f>
        <v>ON Semiconductor</v>
      </c>
      <c r="C43464" s="6">
        <v>259</v>
      </c>
      <c r="D43464" s="7">
        <v>27.73</v>
      </c>
      <c r="E43464" t="s">
        <v>73</v>
      </c>
    </row>
    <row r="43465" spans="1:5" x14ac:dyDescent="0.25">
      <c r="A43465" t="str">
        <f>HYPERLINK("https://www.773grp.com/globalSearch/MC10H605FNG/page-1", "MC10H605FNG")</f>
        <v>MC10H605FNG</v>
      </c>
      <c r="B43465" s="3" t="str">
        <f>HYPERLINK("https://www.773grp.com/manufacturer/onsemi?pageNo=707", "ON Semiconductor")</f>
        <v>ON Semiconductor</v>
      </c>
      <c r="C43465" s="6">
        <v>216</v>
      </c>
      <c r="D43465" s="7">
        <v>27.73</v>
      </c>
      <c r="E43465" t="s">
        <v>73</v>
      </c>
    </row>
    <row r="43466" spans="1:5" x14ac:dyDescent="0.25">
      <c r="A43466" t="str">
        <f>HYPERLINK("https://www.773grp.com/globalSearch/MC10H605FNR2G/page-1", "MC10H605FNR2G")</f>
        <v>MC10H605FNR2G</v>
      </c>
      <c r="B43466" s="3" t="str">
        <f>HYPERLINK("https://www.773grp.com/manufacturer/onsemi?pageNo=708", "ON Semiconductor")</f>
        <v>ON Semiconductor</v>
      </c>
      <c r="C43466" s="6">
        <v>3155</v>
      </c>
      <c r="D43466" s="7">
        <v>27.73</v>
      </c>
      <c r="E43466" t="s">
        <v>73</v>
      </c>
    </row>
    <row r="43467" spans="1:5" x14ac:dyDescent="0.25">
      <c r="A43467" t="str">
        <f>HYPERLINK("https://www.773grp.com/globalSearch/NB6L295MMNG/page-1", "NB6L295MMNG")</f>
        <v>NB6L295MMNG</v>
      </c>
      <c r="B43467" s="3" t="str">
        <f>HYPERLINK("https://www.773grp.com/manufacturer/onsemi?pageNo=709", "ON Semiconductor")</f>
        <v>ON Semiconductor</v>
      </c>
      <c r="C43467" s="6">
        <v>9</v>
      </c>
      <c r="D43467" s="7">
        <v>28.13</v>
      </c>
      <c r="E43467" t="s">
        <v>119</v>
      </c>
    </row>
    <row r="43468" spans="1:5" x14ac:dyDescent="0.25">
      <c r="A43468" t="str">
        <f>HYPERLINK("https://www.773grp.com/globalSearch/NB6L295MMNTXG/page-1", "NB6L295MMNTXG")</f>
        <v>NB6L295MMNTXG</v>
      </c>
      <c r="B43468" s="3" t="str">
        <f>HYPERLINK("https://www.773grp.com/manufacturer/onsemi?pageNo=710", "ON Semiconductor")</f>
        <v>ON Semiconductor</v>
      </c>
      <c r="C43468" s="6">
        <v>11238</v>
      </c>
      <c r="D43468" s="7">
        <v>28.13</v>
      </c>
      <c r="E43468" t="s">
        <v>119</v>
      </c>
    </row>
    <row r="43469" spans="1:5" x14ac:dyDescent="0.25">
      <c r="A43469" t="str">
        <f>HYPERLINK("https://www.773grp.com/globalSearch/NB6L295MNG/page-1", "NB6L295MNG")</f>
        <v>NB6L295MNG</v>
      </c>
      <c r="B43469" s="3" t="str">
        <f>HYPERLINK("https://www.773grp.com/manufacturer/onsemi?pageNo=711", "ON Semiconductor")</f>
        <v>ON Semiconductor</v>
      </c>
      <c r="C43469" s="6">
        <v>91</v>
      </c>
      <c r="D43469" s="7">
        <v>28.13</v>
      </c>
      <c r="E43469" t="s">
        <v>119</v>
      </c>
    </row>
    <row r="43470" spans="1:5" x14ac:dyDescent="0.25">
      <c r="A43470" t="str">
        <f>HYPERLINK("https://www.773grp.com/globalSearch/STK625-711B-E/page-1", "STK625-711B-E")</f>
        <v>STK625-711B-E</v>
      </c>
      <c r="B43470" s="3" t="str">
        <f>HYPERLINK("https://www.773grp.com/manufacturer/onsemi?pageNo=712", "ON Semiconductor")</f>
        <v>ON Semiconductor</v>
      </c>
      <c r="C43470" s="6">
        <v>4230</v>
      </c>
      <c r="D43470" s="7">
        <v>28.13</v>
      </c>
    </row>
    <row r="43471" spans="1:5" x14ac:dyDescent="0.25">
      <c r="A43471" t="str">
        <f>HYPERLINK("https://www.773grp.com/globalSearch/MC10H645FNG/page-1", "MC10H645FNG")</f>
        <v>MC10H645FNG</v>
      </c>
      <c r="B43471" s="3" t="str">
        <f>HYPERLINK("https://www.773grp.com/manufacturer/onsemi?pageNo=713", "ON Semiconductor")</f>
        <v>ON Semiconductor</v>
      </c>
      <c r="C43471" s="6">
        <v>68</v>
      </c>
      <c r="D43471" s="7">
        <v>28.3</v>
      </c>
      <c r="E43471" t="s">
        <v>34</v>
      </c>
    </row>
    <row r="43472" spans="1:5" x14ac:dyDescent="0.25">
      <c r="A43472" t="str">
        <f>HYPERLINK("https://www.773grp.com/globalSearch/MC10H645FNR2G/page-1", "MC10H645FNR2G")</f>
        <v>MC10H645FNR2G</v>
      </c>
      <c r="B43472" s="3" t="str">
        <f>HYPERLINK("https://www.773grp.com/manufacturer/onsemi?pageNo=714", "ON Semiconductor")</f>
        <v>ON Semiconductor</v>
      </c>
      <c r="C43472" s="6">
        <v>1973</v>
      </c>
      <c r="D43472" s="7">
        <v>28.3</v>
      </c>
      <c r="E43472" t="s">
        <v>34</v>
      </c>
    </row>
    <row r="43473" spans="1:5" x14ac:dyDescent="0.25">
      <c r="A43473" t="str">
        <f>HYPERLINK("https://www.773grp.com/globalSearch/MC10H350P/page-1", "MC10H350P")</f>
        <v>MC10H350P</v>
      </c>
      <c r="B43473" s="3" t="str">
        <f>HYPERLINK("https://www.773grp.com/manufacturer/onsemi?pageNo=715", "ON Semiconductor")</f>
        <v>ON Semiconductor</v>
      </c>
      <c r="C43473" s="6">
        <v>2450</v>
      </c>
      <c r="D43473" s="7">
        <v>28.4</v>
      </c>
      <c r="E43473" t="s">
        <v>73</v>
      </c>
    </row>
    <row r="43474" spans="1:5" x14ac:dyDescent="0.25">
      <c r="A43474" t="str">
        <f>HYPERLINK("https://www.773grp.com/globalSearch/MC10H350PG/page-1", "MC10H350PG")</f>
        <v>MC10H350PG</v>
      </c>
      <c r="B43474" s="3" t="str">
        <f>HYPERLINK("https://www.773grp.com/manufacturer/onsemi?pageNo=716", "ON Semiconductor")</f>
        <v>ON Semiconductor</v>
      </c>
      <c r="C43474" s="6">
        <v>4281</v>
      </c>
      <c r="D43474" s="7">
        <v>28.4</v>
      </c>
      <c r="E43474" t="s">
        <v>73</v>
      </c>
    </row>
    <row r="43475" spans="1:5" x14ac:dyDescent="0.25">
      <c r="A43475" t="str">
        <f>HYPERLINK("https://www.773grp.com/globalSearch/MC10H351PG/page-1", "MC10H351PG")</f>
        <v>MC10H351PG</v>
      </c>
      <c r="B43475" s="3" t="str">
        <f>HYPERLINK("https://www.773grp.com/manufacturer/onsemi?pageNo=717", "ON Semiconductor")</f>
        <v>ON Semiconductor</v>
      </c>
      <c r="C43475" s="6">
        <v>5397</v>
      </c>
      <c r="D43475" s="7">
        <v>28.4</v>
      </c>
      <c r="E43475" t="s">
        <v>73</v>
      </c>
    </row>
    <row r="43476" spans="1:5" x14ac:dyDescent="0.25">
      <c r="A43476" t="str">
        <f>HYPERLINK("https://www.773grp.com/globalSearch/MC10H352PG/page-1", "MC10H352PG")</f>
        <v>MC10H352PG</v>
      </c>
      <c r="B43476" s="3" t="str">
        <f>HYPERLINK("https://www.773grp.com/manufacturer/onsemi?pageNo=718", "ON Semiconductor")</f>
        <v>ON Semiconductor</v>
      </c>
      <c r="C43476" s="6">
        <v>5013</v>
      </c>
      <c r="D43476" s="7">
        <v>28.4</v>
      </c>
      <c r="E43476" t="s">
        <v>73</v>
      </c>
    </row>
    <row r="43477" spans="1:5" x14ac:dyDescent="0.25">
      <c r="A43477" t="str">
        <f>HYPERLINK("https://www.773grp.com/globalSearch/STK413-530-E/page-1", "STK413-530-E")</f>
        <v>STK413-530-E</v>
      </c>
      <c r="B43477" s="3" t="str">
        <f>HYPERLINK("https://www.773grp.com/manufacturer/onsemi?pageNo=719", "ON Semiconductor")</f>
        <v>ON Semiconductor</v>
      </c>
      <c r="C43477" s="6">
        <v>2450</v>
      </c>
      <c r="D43477" s="7">
        <v>29.54</v>
      </c>
    </row>
    <row r="43478" spans="1:5" x14ac:dyDescent="0.25">
      <c r="A43478" t="str">
        <f>HYPERLINK("https://www.773grp.com/globalSearch/MC10H350MG/page-1", "MC10H350MG")</f>
        <v>MC10H350MG</v>
      </c>
      <c r="B43478" s="3" t="str">
        <f>HYPERLINK("https://www.773grp.com/manufacturer/onsemi?pageNo=720", "ON Semiconductor")</f>
        <v>ON Semiconductor</v>
      </c>
      <c r="C43478" s="6">
        <v>262</v>
      </c>
      <c r="D43478" s="7">
        <v>29.75</v>
      </c>
      <c r="E43478" t="s">
        <v>73</v>
      </c>
    </row>
    <row r="43479" spans="1:5" x14ac:dyDescent="0.25">
      <c r="A43479" t="str">
        <f>HYPERLINK("https://www.773grp.com/globalSearch/MC10H351MG/page-1", "MC10H351MG")</f>
        <v>MC10H351MG</v>
      </c>
      <c r="B43479" s="3" t="str">
        <f>HYPERLINK("https://www.773grp.com/manufacturer/onsemi?pageNo=721", "ON Semiconductor")</f>
        <v>ON Semiconductor</v>
      </c>
      <c r="C43479" s="6">
        <v>113</v>
      </c>
      <c r="D43479" s="7">
        <v>29.75</v>
      </c>
      <c r="E43479" t="s">
        <v>73</v>
      </c>
    </row>
    <row r="43480" spans="1:5" x14ac:dyDescent="0.25">
      <c r="A43480" t="str">
        <f>HYPERLINK("https://www.773grp.com/globalSearch/AD7853ARZ/page-1", "AD7853ARZ")</f>
        <v>AD7853ARZ</v>
      </c>
      <c r="B43480" s="3" t="str">
        <f>HYPERLINK("https://www.773grp.com/manufacturer/onsemi?pageNo=722", "ON Semiconductor")</f>
        <v>ON Semiconductor</v>
      </c>
      <c r="C43480" s="6">
        <v>11</v>
      </c>
      <c r="D43480" s="7">
        <v>29.9</v>
      </c>
    </row>
    <row r="43481" spans="1:5" x14ac:dyDescent="0.25">
      <c r="A43481" t="str">
        <f>HYPERLINK("https://www.773grp.com/globalSearch/MC100H680FN/page-1", "MC100H680FN")</f>
        <v>MC100H680FN</v>
      </c>
      <c r="B43481" s="3" t="str">
        <f>HYPERLINK("https://www.773grp.com/manufacturer/onsemi?pageNo=723", "ON Semiconductor")</f>
        <v>ON Semiconductor</v>
      </c>
      <c r="C43481" s="6">
        <v>344</v>
      </c>
      <c r="D43481" s="7">
        <v>30.08</v>
      </c>
      <c r="E43481" t="s">
        <v>73</v>
      </c>
    </row>
    <row r="43482" spans="1:5" x14ac:dyDescent="0.25">
      <c r="A43482" t="str">
        <f>HYPERLINK("https://www.773grp.com/globalSearch/NB100EP223FAG/page-1", "NB100EP223FAG")</f>
        <v>NB100EP223FAG</v>
      </c>
      <c r="B43482" s="3" t="str">
        <f>HYPERLINK("https://www.773grp.com/manufacturer/onsemi?pageNo=724", "ON Semiconductor")</f>
        <v>ON Semiconductor</v>
      </c>
      <c r="C43482" s="6">
        <v>600</v>
      </c>
      <c r="D43482" s="7">
        <v>30.66</v>
      </c>
      <c r="E43482" t="s">
        <v>34</v>
      </c>
    </row>
    <row r="43483" spans="1:5" x14ac:dyDescent="0.25">
      <c r="A43483" t="str">
        <f>HYPERLINK("https://www.773grp.com/globalSearch/MC10H016PG/page-1", "MC10H016PG")</f>
        <v>MC10H016PG</v>
      </c>
      <c r="B43483" s="3" t="str">
        <f>HYPERLINK("https://www.773grp.com/manufacturer/onsemi?pageNo=725", "ON Semiconductor")</f>
        <v>ON Semiconductor</v>
      </c>
      <c r="C43483" s="6">
        <v>36</v>
      </c>
      <c r="D43483" s="7">
        <v>30.75</v>
      </c>
      <c r="E43483" t="s">
        <v>26</v>
      </c>
    </row>
    <row r="43484" spans="1:5" x14ac:dyDescent="0.25">
      <c r="A43484" t="str">
        <f>HYPERLINK("https://www.773grp.com/globalSearch/MC100EP016AFAG/page-1", "MC100EP016AFAG")</f>
        <v>MC100EP016AFAG</v>
      </c>
      <c r="B43484" s="3" t="str">
        <f>HYPERLINK("https://www.773grp.com/manufacturer/onsemi?pageNo=726", "ON Semiconductor")</f>
        <v>ON Semiconductor</v>
      </c>
      <c r="C43484" s="6">
        <v>1106</v>
      </c>
      <c r="D43484" s="7">
        <v>30.94</v>
      </c>
    </row>
    <row r="43485" spans="1:5" x14ac:dyDescent="0.25">
      <c r="A43485" t="str">
        <f>HYPERLINK("https://www.773grp.com/globalSearch/MC100EP016AFAR2G/page-1", "MC100EP016AFAR2G")</f>
        <v>MC100EP016AFAR2G</v>
      </c>
      <c r="B43485" s="3" t="str">
        <f>HYPERLINK("https://www.773grp.com/manufacturer/onsemi?pageNo=727", "ON Semiconductor")</f>
        <v>ON Semiconductor</v>
      </c>
      <c r="C43485" s="6">
        <v>2000</v>
      </c>
      <c r="D43485" s="7">
        <v>30.94</v>
      </c>
      <c r="E43485" t="s">
        <v>26</v>
      </c>
    </row>
    <row r="43486" spans="1:5" x14ac:dyDescent="0.25">
      <c r="A43486" t="str">
        <f>HYPERLINK("https://www.773grp.com/globalSearch/MC100EP016AMNG/page-1", "MC100EP016AMNG")</f>
        <v>MC100EP016AMNG</v>
      </c>
      <c r="B43486" s="3" t="str">
        <f>HYPERLINK("https://www.773grp.com/manufacturer/onsemi?pageNo=728", "ON Semiconductor")</f>
        <v>ON Semiconductor</v>
      </c>
      <c r="C43486" s="6">
        <v>2774</v>
      </c>
      <c r="D43486" s="7">
        <v>30.94</v>
      </c>
      <c r="E43486" t="s">
        <v>26</v>
      </c>
    </row>
    <row r="43487" spans="1:5" x14ac:dyDescent="0.25">
      <c r="A43487" t="str">
        <f>HYPERLINK("https://www.773grp.com/globalSearch/MC100EPT622FAG/page-1", "MC100EPT622FAG")</f>
        <v>MC100EPT622FAG</v>
      </c>
      <c r="B43487" s="3" t="str">
        <f>HYPERLINK("https://www.773grp.com/manufacturer/onsemi?pageNo=729", "ON Semiconductor")</f>
        <v>ON Semiconductor</v>
      </c>
      <c r="C43487" s="6">
        <v>3505</v>
      </c>
      <c r="D43487" s="7">
        <v>30.94</v>
      </c>
      <c r="E43487" t="s">
        <v>73</v>
      </c>
    </row>
    <row r="43488" spans="1:5" x14ac:dyDescent="0.25">
      <c r="A43488" t="str">
        <f>HYPERLINK("https://www.773grp.com/globalSearch/MC100EPT622FAR2G/page-1", "MC100EPT622FAR2G")</f>
        <v>MC100EPT622FAR2G</v>
      </c>
      <c r="B43488" s="3" t="str">
        <f>HYPERLINK("https://www.773grp.com/manufacturer/onsemi?pageNo=730", "ON Semiconductor")</f>
        <v>ON Semiconductor</v>
      </c>
      <c r="C43488" s="6">
        <v>3879</v>
      </c>
      <c r="D43488" s="7">
        <v>30.94</v>
      </c>
      <c r="E43488" t="s">
        <v>73</v>
      </c>
    </row>
    <row r="43489" spans="1:5" x14ac:dyDescent="0.25">
      <c r="A43489" t="str">
        <f>HYPERLINK("https://www.773grp.com/globalSearch/MC100EPT622MNR4G/page-1", "MC100EPT622MNR4G")</f>
        <v>MC100EPT622MNR4G</v>
      </c>
      <c r="B43489" s="3" t="str">
        <f>HYPERLINK("https://www.773grp.com/manufacturer/onsemi?pageNo=731", "ON Semiconductor")</f>
        <v>ON Semiconductor</v>
      </c>
      <c r="C43489" s="6">
        <v>5000</v>
      </c>
      <c r="D43489" s="7">
        <v>30.94</v>
      </c>
      <c r="E43489" t="s">
        <v>73</v>
      </c>
    </row>
    <row r="43490" spans="1:5" x14ac:dyDescent="0.25">
      <c r="A43490" t="str">
        <f>HYPERLINK("https://www.773grp.com/globalSearch/NBSG16BA/page-1", "NBSG16BA")</f>
        <v>NBSG16BA</v>
      </c>
      <c r="B43490" s="3" t="str">
        <f>HYPERLINK("https://www.773grp.com/manufacturer/onsemi?pageNo=732", "ON Semiconductor")</f>
        <v>ON Semiconductor</v>
      </c>
      <c r="C43490" s="6">
        <v>2751</v>
      </c>
      <c r="D43490" s="7">
        <v>31.59</v>
      </c>
      <c r="E43490" t="s">
        <v>21</v>
      </c>
    </row>
    <row r="43491" spans="1:5" x14ac:dyDescent="0.25">
      <c r="A43491" t="str">
        <f>HYPERLINK("https://www.773grp.com/globalSearch/NBSG16MMN/page-1", "NBSG16MMN")</f>
        <v>NBSG16MMN</v>
      </c>
      <c r="B43491" s="3" t="str">
        <f>HYPERLINK("https://www.773grp.com/manufacturer/onsemi?pageNo=733", "ON Semiconductor")</f>
        <v>ON Semiconductor</v>
      </c>
      <c r="C43491" s="6">
        <v>9983</v>
      </c>
      <c r="D43491" s="7">
        <v>31.59</v>
      </c>
      <c r="E43491" t="s">
        <v>21</v>
      </c>
    </row>
    <row r="43492" spans="1:5" x14ac:dyDescent="0.25">
      <c r="A43492" t="str">
        <f>HYPERLINK("https://www.773grp.com/globalSearch/NBSG16MMNR2/page-1", "NBSG16MMNR2")</f>
        <v>NBSG16MMNR2</v>
      </c>
      <c r="B43492" s="3" t="str">
        <f>HYPERLINK("https://www.773grp.com/manufacturer/onsemi?pageNo=734", "ON Semiconductor")</f>
        <v>ON Semiconductor</v>
      </c>
      <c r="C43492" s="6">
        <v>50800</v>
      </c>
      <c r="D43492" s="7">
        <v>31.59</v>
      </c>
      <c r="E43492" t="s">
        <v>21</v>
      </c>
    </row>
    <row r="43493" spans="1:5" x14ac:dyDescent="0.25">
      <c r="A43493" t="str">
        <f>HYPERLINK("https://www.773grp.com/globalSearch/NBSG16MN/page-1", "NBSG16MN")</f>
        <v>NBSG16MN</v>
      </c>
      <c r="B43493" s="3" t="str">
        <f>HYPERLINK("https://www.773grp.com/manufacturer/onsemi?pageNo=735", "ON Semiconductor")</f>
        <v>ON Semiconductor</v>
      </c>
      <c r="C43493" s="6">
        <v>4078</v>
      </c>
      <c r="D43493" s="7">
        <v>31.59</v>
      </c>
      <c r="E43493" t="s">
        <v>21</v>
      </c>
    </row>
    <row r="43494" spans="1:5" x14ac:dyDescent="0.25">
      <c r="A43494" t="str">
        <f>HYPERLINK("https://www.773grp.com/globalSearch/NBSG86AMN/page-1", "NBSG86AMN")</f>
        <v>NBSG86AMN</v>
      </c>
      <c r="B43494" s="3" t="str">
        <f>HYPERLINK("https://www.773grp.com/manufacturer/onsemi?pageNo=736", "ON Semiconductor")</f>
        <v>ON Semiconductor</v>
      </c>
      <c r="C43494" s="6">
        <v>3111</v>
      </c>
      <c r="D43494" s="7">
        <v>31.59</v>
      </c>
      <c r="E43494" t="s">
        <v>83</v>
      </c>
    </row>
    <row r="43495" spans="1:5" x14ac:dyDescent="0.25">
      <c r="A43495" t="str">
        <f>HYPERLINK("https://www.773grp.com/globalSearch/NBSG86AMNR2/page-1", "NBSG86AMNR2")</f>
        <v>NBSG86AMNR2</v>
      </c>
      <c r="B43495" s="3" t="str">
        <f>HYPERLINK("https://www.773grp.com/manufacturer/onsemi?pageNo=737", "ON Semiconductor")</f>
        <v>ON Semiconductor</v>
      </c>
      <c r="C43495" s="6">
        <v>3000</v>
      </c>
      <c r="D43495" s="7">
        <v>31.59</v>
      </c>
      <c r="E43495" t="s">
        <v>83</v>
      </c>
    </row>
    <row r="43496" spans="1:5" x14ac:dyDescent="0.25">
      <c r="A43496" t="str">
        <f>HYPERLINK("https://www.773grp.com/globalSearch/MC10H330PG/page-1", "MC10H330PG")</f>
        <v>MC10H330PG</v>
      </c>
      <c r="B43496" s="3" t="str">
        <f>HYPERLINK("https://www.773grp.com/manufacturer/onsemi?pageNo=738", "ON Semiconductor")</f>
        <v>ON Semiconductor</v>
      </c>
      <c r="C43496" s="6">
        <v>4860</v>
      </c>
      <c r="D43496" s="7">
        <v>32.06</v>
      </c>
      <c r="E43496" t="s">
        <v>14</v>
      </c>
    </row>
    <row r="43497" spans="1:5" x14ac:dyDescent="0.25">
      <c r="A43497" t="str">
        <f>HYPERLINK("https://www.773grp.com/globalSearch/MC100EP142FAG/page-1", "MC100EP142FAG")</f>
        <v>MC100EP142FAG</v>
      </c>
      <c r="B43497" s="3" t="str">
        <f>HYPERLINK("https://www.773grp.com/manufacturer/onsemi?pageNo=739", "ON Semiconductor")</f>
        <v>ON Semiconductor</v>
      </c>
      <c r="C43497" s="6">
        <v>1715</v>
      </c>
      <c r="D43497" s="7">
        <v>32.35</v>
      </c>
      <c r="E43497" t="s">
        <v>32</v>
      </c>
    </row>
    <row r="43498" spans="1:5" x14ac:dyDescent="0.25">
      <c r="A43498" t="str">
        <f>HYPERLINK("https://www.773grp.com/globalSearch/MC100EP142MNG/page-1", "MC100EP142MNG")</f>
        <v>MC100EP142MNG</v>
      </c>
      <c r="B43498" s="3" t="str">
        <f>HYPERLINK("https://www.773grp.com/manufacturer/onsemi?pageNo=740", "ON Semiconductor")</f>
        <v>ON Semiconductor</v>
      </c>
      <c r="C43498" s="6">
        <v>13940</v>
      </c>
      <c r="D43498" s="7">
        <v>32.35</v>
      </c>
      <c r="E43498" t="s">
        <v>32</v>
      </c>
    </row>
    <row r="43499" spans="1:5" x14ac:dyDescent="0.25">
      <c r="A43499" t="str">
        <f>HYPERLINK("https://www.773grp.com/globalSearch/MC100EP142MNR4G/page-1", "MC100EP142MNR4G")</f>
        <v>MC100EP142MNR4G</v>
      </c>
      <c r="B43499" s="3" t="str">
        <f>HYPERLINK("https://www.773grp.com/manufacturer/onsemi?pageNo=741", "ON Semiconductor")</f>
        <v>ON Semiconductor</v>
      </c>
      <c r="C43499" s="6">
        <v>5000</v>
      </c>
      <c r="D43499" s="7">
        <v>32.35</v>
      </c>
      <c r="E43499" t="s">
        <v>32</v>
      </c>
    </row>
    <row r="43500" spans="1:5" x14ac:dyDescent="0.25">
      <c r="A43500" t="str">
        <f>HYPERLINK("https://www.773grp.com/globalSearch/MC100EP445FAG/page-1", "MC100EP445FAG")</f>
        <v>MC100EP445FAG</v>
      </c>
      <c r="B43500" s="3" t="str">
        <f>HYPERLINK("https://www.773grp.com/manufacturer/onsemi?pageNo=742", "ON Semiconductor")</f>
        <v>ON Semiconductor</v>
      </c>
      <c r="C43500" s="6">
        <v>3084</v>
      </c>
      <c r="D43500" s="7">
        <v>32.35</v>
      </c>
      <c r="E43500" t="s">
        <v>32</v>
      </c>
    </row>
    <row r="43501" spans="1:5" x14ac:dyDescent="0.25">
      <c r="A43501" t="str">
        <f>HYPERLINK("https://www.773grp.com/globalSearch/MC100EP445MNG/page-1", "MC100EP445MNG")</f>
        <v>MC100EP445MNG</v>
      </c>
      <c r="B43501" s="3" t="str">
        <f>HYPERLINK("https://www.773grp.com/manufacturer/onsemi?pageNo=743", "ON Semiconductor")</f>
        <v>ON Semiconductor</v>
      </c>
      <c r="C43501" s="6">
        <v>1859</v>
      </c>
      <c r="D43501" s="7">
        <v>32.35</v>
      </c>
      <c r="E43501" t="s">
        <v>32</v>
      </c>
    </row>
    <row r="43502" spans="1:5" x14ac:dyDescent="0.25">
      <c r="A43502" t="str">
        <f>HYPERLINK("https://www.773grp.com/globalSearch/MC100EP445MNR4G/page-1", "MC100EP445MNR4G")</f>
        <v>MC100EP445MNR4G</v>
      </c>
      <c r="B43502" s="3" t="str">
        <f>HYPERLINK("https://www.773grp.com/manufacturer/onsemi?pageNo=744", "ON Semiconductor")</f>
        <v>ON Semiconductor</v>
      </c>
      <c r="C43502" s="6">
        <v>3900</v>
      </c>
      <c r="D43502" s="7">
        <v>32.35</v>
      </c>
      <c r="E43502" t="s">
        <v>32</v>
      </c>
    </row>
    <row r="43503" spans="1:5" x14ac:dyDescent="0.25">
      <c r="A43503" t="str">
        <f>HYPERLINK("https://www.773grp.com/globalSearch/MC100EP446FAG/page-1", "MC100EP446FAG")</f>
        <v>MC100EP446FAG</v>
      </c>
      <c r="B43503" s="3" t="str">
        <f>HYPERLINK("https://www.773grp.com/manufacturer/onsemi?pageNo=745", "ON Semiconductor")</f>
        <v>ON Semiconductor</v>
      </c>
      <c r="C43503" s="6">
        <v>3931</v>
      </c>
      <c r="D43503" s="7">
        <v>32.35</v>
      </c>
      <c r="E43503" t="s">
        <v>32</v>
      </c>
    </row>
    <row r="43504" spans="1:5" x14ac:dyDescent="0.25">
      <c r="A43504" t="str">
        <f>HYPERLINK("https://www.773grp.com/globalSearch/MC100EP446MNG/page-1", "MC100EP446MNG")</f>
        <v>MC100EP446MNG</v>
      </c>
      <c r="B43504" s="3" t="str">
        <f>HYPERLINK("https://www.773grp.com/manufacturer/onsemi?pageNo=746", "ON Semiconductor")</f>
        <v>ON Semiconductor</v>
      </c>
      <c r="C43504" s="6">
        <v>10641</v>
      </c>
      <c r="D43504" s="7">
        <v>32.35</v>
      </c>
      <c r="E43504" t="s">
        <v>32</v>
      </c>
    </row>
    <row r="43505" spans="1:5" x14ac:dyDescent="0.25">
      <c r="A43505" t="str">
        <f>HYPERLINK("https://www.773grp.com/globalSearch/MC100EP451FAG/page-1", "MC100EP451FAG")</f>
        <v>MC100EP451FAG</v>
      </c>
      <c r="B43505" s="3" t="str">
        <f>HYPERLINK("https://www.773grp.com/manufacturer/onsemi?pageNo=747", "ON Semiconductor")</f>
        <v>ON Semiconductor</v>
      </c>
      <c r="C43505" s="6">
        <v>3132</v>
      </c>
      <c r="D43505" s="7">
        <v>32.35</v>
      </c>
      <c r="E43505" t="s">
        <v>35</v>
      </c>
    </row>
    <row r="43506" spans="1:5" x14ac:dyDescent="0.25">
      <c r="A43506" t="str">
        <f>HYPERLINK("https://www.773grp.com/globalSearch/MC100EP451FAR2G/page-1", "MC100EP451FAR2G")</f>
        <v>MC100EP451FAR2G</v>
      </c>
      <c r="B43506" s="3" t="str">
        <f>HYPERLINK("https://www.773grp.com/manufacturer/onsemi?pageNo=748", "ON Semiconductor")</f>
        <v>ON Semiconductor</v>
      </c>
      <c r="C43506" s="6">
        <v>8593</v>
      </c>
      <c r="D43506" s="7">
        <v>32.35</v>
      </c>
      <c r="E43506" t="s">
        <v>35</v>
      </c>
    </row>
    <row r="43507" spans="1:5" x14ac:dyDescent="0.25">
      <c r="A43507" t="str">
        <f>HYPERLINK("https://www.773grp.com/globalSearch/MC100EP451MNG/page-1", "MC100EP451MNG")</f>
        <v>MC100EP451MNG</v>
      </c>
      <c r="B43507" s="3" t="str">
        <f>HYPERLINK("https://www.773grp.com/manufacturer/onsemi?pageNo=749", "ON Semiconductor")</f>
        <v>ON Semiconductor</v>
      </c>
      <c r="C43507" s="6">
        <v>12258</v>
      </c>
      <c r="D43507" s="7">
        <v>32.35</v>
      </c>
      <c r="E43507" t="s">
        <v>35</v>
      </c>
    </row>
    <row r="43508" spans="1:5" x14ac:dyDescent="0.25">
      <c r="A43508" t="str">
        <f>HYPERLINK("https://www.773grp.com/globalSearch/MC100EP451MNR4G/page-1", "MC100EP451MNR4G")</f>
        <v>MC100EP451MNR4G</v>
      </c>
      <c r="B43508" s="3" t="str">
        <f>HYPERLINK("https://www.773grp.com/manufacturer/onsemi?pageNo=750", "ON Semiconductor")</f>
        <v>ON Semiconductor</v>
      </c>
      <c r="C43508" s="6">
        <v>5000</v>
      </c>
      <c r="D43508" s="7">
        <v>32.35</v>
      </c>
      <c r="E43508" t="s">
        <v>35</v>
      </c>
    </row>
    <row r="43509" spans="1:5" x14ac:dyDescent="0.25">
      <c r="A43509" t="str">
        <f>HYPERLINK("https://www.773grp.com/globalSearch/MC10EP142FAG/page-1", "MC10EP142FAG")</f>
        <v>MC10EP142FAG</v>
      </c>
      <c r="B43509" s="3" t="str">
        <f>HYPERLINK("https://www.773grp.com/manufacturer/onsemi?pageNo=751", "ON Semiconductor")</f>
        <v>ON Semiconductor</v>
      </c>
      <c r="C43509" s="6">
        <v>2337</v>
      </c>
      <c r="D43509" s="7">
        <v>32.35</v>
      </c>
      <c r="E43509" t="s">
        <v>32</v>
      </c>
    </row>
    <row r="43510" spans="1:5" x14ac:dyDescent="0.25">
      <c r="A43510" t="str">
        <f>HYPERLINK("https://www.773grp.com/globalSearch/MC10EP142FAR2G/page-1", "MC10EP142FAR2G")</f>
        <v>MC10EP142FAR2G</v>
      </c>
      <c r="B43510" s="3" t="str">
        <f>HYPERLINK("https://www.773grp.com/manufacturer/onsemi?pageNo=752", "ON Semiconductor")</f>
        <v>ON Semiconductor</v>
      </c>
      <c r="C43510" s="6">
        <v>4000</v>
      </c>
      <c r="D43510" s="7">
        <v>32.35</v>
      </c>
      <c r="E43510" t="s">
        <v>32</v>
      </c>
    </row>
    <row r="43511" spans="1:5" x14ac:dyDescent="0.25">
      <c r="A43511" t="str">
        <f>HYPERLINK("https://www.773grp.com/globalSearch/MC10EP142MNG/page-1", "MC10EP142MNG")</f>
        <v>MC10EP142MNG</v>
      </c>
      <c r="B43511" s="3" t="str">
        <f>HYPERLINK("https://www.773grp.com/manufacturer/onsemi?pageNo=753", "ON Semiconductor")</f>
        <v>ON Semiconductor</v>
      </c>
      <c r="C43511" s="6">
        <v>4884</v>
      </c>
      <c r="D43511" s="7">
        <v>32.35</v>
      </c>
      <c r="E43511" t="s">
        <v>32</v>
      </c>
    </row>
    <row r="43512" spans="1:5" x14ac:dyDescent="0.25">
      <c r="A43512" t="str">
        <f>HYPERLINK("https://www.773grp.com/globalSearch/MC10EP445FAG/page-1", "MC10EP445FAG")</f>
        <v>MC10EP445FAG</v>
      </c>
      <c r="B43512" s="3" t="str">
        <f>HYPERLINK("https://www.773grp.com/manufacturer/onsemi?pageNo=754", "ON Semiconductor")</f>
        <v>ON Semiconductor</v>
      </c>
      <c r="C43512" s="6">
        <v>6132</v>
      </c>
      <c r="D43512" s="7">
        <v>32.35</v>
      </c>
      <c r="E43512" t="s">
        <v>32</v>
      </c>
    </row>
    <row r="43513" spans="1:5" x14ac:dyDescent="0.25">
      <c r="A43513" t="str">
        <f>HYPERLINK("https://www.773grp.com/globalSearch/MC10EP445FAR2G/page-1", "MC10EP445FAR2G")</f>
        <v>MC10EP445FAR2G</v>
      </c>
      <c r="B43513" s="3" t="str">
        <f>HYPERLINK("https://www.773grp.com/manufacturer/onsemi?pageNo=755", "ON Semiconductor")</f>
        <v>ON Semiconductor</v>
      </c>
      <c r="C43513" s="6">
        <v>5925</v>
      </c>
      <c r="D43513" s="7">
        <v>32.35</v>
      </c>
      <c r="E43513" t="s">
        <v>32</v>
      </c>
    </row>
    <row r="43514" spans="1:5" x14ac:dyDescent="0.25">
      <c r="A43514" t="str">
        <f>HYPERLINK("https://www.773grp.com/globalSearch/MC10EP446FAG/page-1", "MC10EP446FAG")</f>
        <v>MC10EP446FAG</v>
      </c>
      <c r="B43514" s="3" t="str">
        <f>HYPERLINK("https://www.773grp.com/manufacturer/onsemi?pageNo=756", "ON Semiconductor")</f>
        <v>ON Semiconductor</v>
      </c>
      <c r="C43514" s="6">
        <v>1940</v>
      </c>
      <c r="D43514" s="7">
        <v>32.35</v>
      </c>
      <c r="E43514" t="s">
        <v>32</v>
      </c>
    </row>
    <row r="43515" spans="1:5" x14ac:dyDescent="0.25">
      <c r="A43515" t="str">
        <f>HYPERLINK("https://www.773grp.com/globalSearch/MC10EP446FAR2G/page-1", "MC10EP446FAR2G")</f>
        <v>MC10EP446FAR2G</v>
      </c>
      <c r="B43515" s="3" t="str">
        <f>HYPERLINK("https://www.773grp.com/manufacturer/onsemi?pageNo=757", "ON Semiconductor")</f>
        <v>ON Semiconductor</v>
      </c>
      <c r="C43515" s="6">
        <v>10000</v>
      </c>
      <c r="D43515" s="7">
        <v>32.35</v>
      </c>
      <c r="E43515" t="s">
        <v>32</v>
      </c>
    </row>
    <row r="43516" spans="1:5" x14ac:dyDescent="0.25">
      <c r="A43516" t="str">
        <f>HYPERLINK("https://www.773grp.com/globalSearch/MC10EP446MNG/page-1", "MC10EP446MNG")</f>
        <v>MC10EP446MNG</v>
      </c>
      <c r="B43516" s="3" t="str">
        <f>HYPERLINK("https://www.773grp.com/manufacturer/onsemi?pageNo=758", "ON Semiconductor")</f>
        <v>ON Semiconductor</v>
      </c>
      <c r="C43516" s="6">
        <v>9197</v>
      </c>
      <c r="D43516" s="7">
        <v>32.35</v>
      </c>
      <c r="E43516" t="s">
        <v>32</v>
      </c>
    </row>
    <row r="43517" spans="1:5" x14ac:dyDescent="0.25">
      <c r="A43517" t="str">
        <f>HYPERLINK("https://www.773grp.com/globalSearch/MC10EP451FAG/page-1", "MC10EP451FAG")</f>
        <v>MC10EP451FAG</v>
      </c>
      <c r="B43517" s="3" t="str">
        <f>HYPERLINK("https://www.773grp.com/manufacturer/onsemi?pageNo=759", "ON Semiconductor")</f>
        <v>ON Semiconductor</v>
      </c>
      <c r="C43517" s="6">
        <v>20619</v>
      </c>
      <c r="D43517" s="7">
        <v>32.35</v>
      </c>
      <c r="E43517" t="s">
        <v>35</v>
      </c>
    </row>
    <row r="43518" spans="1:5" x14ac:dyDescent="0.25">
      <c r="A43518" t="str">
        <f>HYPERLINK("https://www.773grp.com/globalSearch/MC10EP451FAR2G/page-1", "MC10EP451FAR2G")</f>
        <v>MC10EP451FAR2G</v>
      </c>
      <c r="B43518" s="3" t="str">
        <f>HYPERLINK("https://www.773grp.com/manufacturer/onsemi?pageNo=760", "ON Semiconductor")</f>
        <v>ON Semiconductor</v>
      </c>
      <c r="C43518" s="6">
        <v>5614</v>
      </c>
      <c r="D43518" s="7">
        <v>32.35</v>
      </c>
      <c r="E43518" t="s">
        <v>35</v>
      </c>
    </row>
    <row r="43519" spans="1:5" x14ac:dyDescent="0.25">
      <c r="A43519" t="str">
        <f>HYPERLINK("https://www.773grp.com/globalSearch/MC10EP451MNG/page-1", "MC10EP451MNG")</f>
        <v>MC10EP451MNG</v>
      </c>
      <c r="B43519" s="3" t="str">
        <f>HYPERLINK("https://www.773grp.com/manufacturer/onsemi?pageNo=761", "ON Semiconductor")</f>
        <v>ON Semiconductor</v>
      </c>
      <c r="C43519" s="6">
        <v>5254</v>
      </c>
      <c r="D43519" s="7">
        <v>32.35</v>
      </c>
      <c r="E43519" t="s">
        <v>35</v>
      </c>
    </row>
    <row r="43520" spans="1:5" x14ac:dyDescent="0.25">
      <c r="A43520" t="str">
        <f>HYPERLINK("https://www.773grp.com/globalSearch/MC10EP451MNR4G/page-1", "MC10EP451MNR4G")</f>
        <v>MC10EP451MNR4G</v>
      </c>
      <c r="B43520" s="3" t="str">
        <f>HYPERLINK("https://www.773grp.com/manufacturer/onsemi?pageNo=762", "ON Semiconductor")</f>
        <v>ON Semiconductor</v>
      </c>
      <c r="C43520" s="6">
        <v>4828</v>
      </c>
      <c r="D43520" s="7">
        <v>32.35</v>
      </c>
      <c r="E43520" t="s">
        <v>35</v>
      </c>
    </row>
    <row r="43521" spans="1:5" x14ac:dyDescent="0.25">
      <c r="A43521" t="str">
        <f>HYPERLINK("https://www.773grp.com/globalSearch/NB4L339MNG/page-1", "NB4L339MNG")</f>
        <v>NB4L339MNG</v>
      </c>
      <c r="B43521" s="3" t="str">
        <f>HYPERLINK("https://www.773grp.com/manufacturer/onsemi?pageNo=763", "ON Semiconductor")</f>
        <v>ON Semiconductor</v>
      </c>
      <c r="C43521" s="6">
        <v>3062</v>
      </c>
      <c r="D43521" s="7">
        <v>32.35</v>
      </c>
      <c r="E43521" t="s">
        <v>34</v>
      </c>
    </row>
    <row r="43522" spans="1:5" x14ac:dyDescent="0.25">
      <c r="A43522" t="str">
        <f>HYPERLINK("https://www.773grp.com/globalSearch/NB4L339MNR4G/page-1", "NB4L339MNR4G")</f>
        <v>NB4L339MNR4G</v>
      </c>
      <c r="B43522" s="3" t="str">
        <f>HYPERLINK("https://www.773grp.com/manufacturer/onsemi?pageNo=764", "ON Semiconductor")</f>
        <v>ON Semiconductor</v>
      </c>
      <c r="C43522" s="6">
        <v>3989</v>
      </c>
      <c r="D43522" s="7">
        <v>32.35</v>
      </c>
      <c r="E43522" t="s">
        <v>34</v>
      </c>
    </row>
    <row r="43523" spans="1:5" x14ac:dyDescent="0.25">
      <c r="A43523" t="str">
        <f>HYPERLINK("https://www.773grp.com/globalSearch/MC10H330FNG/page-1", "MC10H330FNG")</f>
        <v>MC10H330FNG</v>
      </c>
      <c r="B43523" s="3" t="str">
        <f>HYPERLINK("https://www.773grp.com/manufacturer/onsemi?pageNo=765", "ON Semiconductor")</f>
        <v>ON Semiconductor</v>
      </c>
      <c r="C43523" s="6">
        <v>3650</v>
      </c>
      <c r="D43523" s="7">
        <v>32.700000000000003</v>
      </c>
      <c r="E43523" t="s">
        <v>14</v>
      </c>
    </row>
    <row r="43524" spans="1:5" x14ac:dyDescent="0.25">
      <c r="A43524" t="str">
        <f>HYPERLINK("https://www.773grp.com/globalSearch/B250W48A106E1G/page-1", "B250W48A106E1G")</f>
        <v>B250W48A106E1G</v>
      </c>
      <c r="B43524" s="3" t="str">
        <f>HYPERLINK("https://www.773grp.com/manufacturer/onsemi?pageNo=766", "ON Semiconductor")</f>
        <v>ON Semiconductor</v>
      </c>
      <c r="C43524" s="6">
        <v>17500</v>
      </c>
      <c r="D43524" s="7">
        <v>33.75</v>
      </c>
    </row>
    <row r="43525" spans="1:5" x14ac:dyDescent="0.25">
      <c r="A43525" t="str">
        <f>HYPERLINK("https://www.773grp.com/globalSearch/B250W48A106XXG/page-1", "B250W48A106XXG")</f>
        <v>B250W48A106XXG</v>
      </c>
      <c r="B43525" s="3" t="str">
        <f>HYPERLINK("https://www.773grp.com/manufacturer/onsemi?pageNo=767", "ON Semiconductor")</f>
        <v>ON Semiconductor</v>
      </c>
      <c r="C43525" s="6">
        <v>2265</v>
      </c>
      <c r="D43525" s="7">
        <v>33.75</v>
      </c>
    </row>
    <row r="43526" spans="1:5" x14ac:dyDescent="0.25">
      <c r="A43526" t="str">
        <f>HYPERLINK("https://www.773grp.com/globalSearch/B300W35A102XYG/page-1", "B300W35A102XYG")</f>
        <v>B300W35A102XYG</v>
      </c>
      <c r="B43526" s="3" t="str">
        <f>HYPERLINK("https://www.773grp.com/manufacturer/onsemi?pageNo=768", "ON Semiconductor")</f>
        <v>ON Semiconductor</v>
      </c>
      <c r="C43526" s="6">
        <v>2340</v>
      </c>
      <c r="D43526" s="7">
        <v>33.75</v>
      </c>
      <c r="E43526" t="s">
        <v>23</v>
      </c>
    </row>
    <row r="43527" spans="1:5" x14ac:dyDescent="0.25">
      <c r="A43527" t="str">
        <f>HYPERLINK("https://www.773grp.com/globalSearch/AD7893ARZ-3/page-1", "AD7893ARZ-3")</f>
        <v>AD7893ARZ-3</v>
      </c>
      <c r="B43527" s="3" t="str">
        <f>HYPERLINK("https://www.773grp.com/manufacturer/onsemi?pageNo=769", "ON Semiconductor")</f>
        <v>ON Semiconductor</v>
      </c>
      <c r="C43527" s="6">
        <v>49</v>
      </c>
      <c r="D43527" s="7">
        <v>34.46</v>
      </c>
    </row>
    <row r="43528" spans="1:5" x14ac:dyDescent="0.25">
      <c r="A43528" t="str">
        <f>HYPERLINK("https://www.773grp.com/globalSearch/NBSG16VSBA/page-1", "NBSG16VSBA")</f>
        <v>NBSG16VSBA</v>
      </c>
      <c r="B43528" s="3" t="str">
        <f>HYPERLINK("https://www.773grp.com/manufacturer/onsemi?pageNo=770", "ON Semiconductor")</f>
        <v>ON Semiconductor</v>
      </c>
      <c r="C43528" s="6">
        <v>1</v>
      </c>
      <c r="D43528" s="7">
        <v>35.1</v>
      </c>
      <c r="E43528" t="s">
        <v>21</v>
      </c>
    </row>
    <row r="43529" spans="1:5" x14ac:dyDescent="0.25">
      <c r="A43529" t="str">
        <f>HYPERLINK("https://www.773grp.com/globalSearch/NBSG16VSMN/page-1", "NBSG16VSMN")</f>
        <v>NBSG16VSMN</v>
      </c>
      <c r="B43529" s="3" t="str">
        <f>HYPERLINK("https://www.773grp.com/manufacturer/onsemi?pageNo=771", "ON Semiconductor")</f>
        <v>ON Semiconductor</v>
      </c>
      <c r="C43529" s="6">
        <v>3119</v>
      </c>
      <c r="D43529" s="7">
        <v>35.1</v>
      </c>
      <c r="E43529" t="s">
        <v>21</v>
      </c>
    </row>
    <row r="43530" spans="1:5" x14ac:dyDescent="0.25">
      <c r="A43530" t="str">
        <f>HYPERLINK("https://www.773grp.com/globalSearch/NBSG16VSMNR2/page-1", "NBSG16VSMNR2")</f>
        <v>NBSG16VSMNR2</v>
      </c>
      <c r="B43530" s="3" t="str">
        <f>HYPERLINK("https://www.773grp.com/manufacturer/onsemi?pageNo=772", "ON Semiconductor")</f>
        <v>ON Semiconductor</v>
      </c>
      <c r="C43530" s="6">
        <v>33329</v>
      </c>
      <c r="D43530" s="7">
        <v>35.1</v>
      </c>
      <c r="E43530" t="s">
        <v>21</v>
      </c>
    </row>
    <row r="43531" spans="1:5" x14ac:dyDescent="0.25">
      <c r="A43531" t="str">
        <f>HYPERLINK("https://www.773grp.com/globalSearch/MC10E1651FN/page-1", "MC10E1651FN")</f>
        <v>MC10E1651FN</v>
      </c>
      <c r="B43531" s="3" t="str">
        <f>HYPERLINK("https://www.773grp.com/manufacturer/onsemi?pageNo=773", "ON Semiconductor")</f>
        <v>ON Semiconductor</v>
      </c>
      <c r="C43531" s="6">
        <v>9057</v>
      </c>
      <c r="D43531" s="7">
        <v>35.15</v>
      </c>
      <c r="E43531" t="s">
        <v>43</v>
      </c>
    </row>
    <row r="43532" spans="1:5" x14ac:dyDescent="0.25">
      <c r="A43532" t="str">
        <f>HYPERLINK("https://www.773grp.com/globalSearch/MC10E1651FNR2/page-1", "MC10E1651FNR2")</f>
        <v>MC10E1651FNR2</v>
      </c>
      <c r="B43532" s="3" t="str">
        <f>HYPERLINK("https://www.773grp.com/manufacturer/onsemi?pageNo=774", "ON Semiconductor")</f>
        <v>ON Semiconductor</v>
      </c>
      <c r="C43532" s="6">
        <v>2500</v>
      </c>
      <c r="D43532" s="7">
        <v>35.15</v>
      </c>
      <c r="E43532" t="s">
        <v>43</v>
      </c>
    </row>
    <row r="43533" spans="1:5" x14ac:dyDescent="0.25">
      <c r="A43533" t="str">
        <f>HYPERLINK("https://www.773grp.com/globalSearch/MC10E1652FN/page-1", "MC10E1652FN")</f>
        <v>MC10E1652FN</v>
      </c>
      <c r="B43533" s="3" t="str">
        <f>HYPERLINK("https://www.773grp.com/manufacturer/onsemi?pageNo=775", "ON Semiconductor")</f>
        <v>ON Semiconductor</v>
      </c>
      <c r="C43533" s="6">
        <v>7372</v>
      </c>
      <c r="D43533" s="7">
        <v>35.15</v>
      </c>
      <c r="E43533" t="s">
        <v>43</v>
      </c>
    </row>
    <row r="43534" spans="1:5" x14ac:dyDescent="0.25">
      <c r="A43534" t="str">
        <f>HYPERLINK("https://www.773grp.com/globalSearch/MC10E1652FNR2/page-1", "MC10E1652FNR2")</f>
        <v>MC10E1652FNR2</v>
      </c>
      <c r="B43534" s="3" t="str">
        <f>HYPERLINK("https://www.773grp.com/manufacturer/onsemi?pageNo=776", "ON Semiconductor")</f>
        <v>ON Semiconductor</v>
      </c>
      <c r="C43534" s="6">
        <v>7469</v>
      </c>
      <c r="D43534" s="7">
        <v>35.15</v>
      </c>
      <c r="E43534" t="s">
        <v>43</v>
      </c>
    </row>
    <row r="43535" spans="1:5" x14ac:dyDescent="0.25">
      <c r="A43535" t="str">
        <f>HYPERLINK("https://www.773grp.com/globalSearch/NB4L7210MNG/page-1", "NB4L7210MNG")</f>
        <v>NB4L7210MNG</v>
      </c>
      <c r="B43535" s="3" t="str">
        <f>HYPERLINK("https://www.773grp.com/manufacturer/onsemi?pageNo=777", "ON Semiconductor")</f>
        <v>ON Semiconductor</v>
      </c>
      <c r="C43535" s="6">
        <v>365</v>
      </c>
      <c r="D43535" s="7">
        <v>35.44</v>
      </c>
      <c r="E43535" t="s">
        <v>34</v>
      </c>
    </row>
    <row r="43536" spans="1:5" x14ac:dyDescent="0.25">
      <c r="A43536" t="str">
        <f>HYPERLINK("https://www.773grp.com/globalSearch/NB4L7210MNTXG/page-1", "NB4L7210MNTXG")</f>
        <v>NB4L7210MNTXG</v>
      </c>
      <c r="B43536" s="3" t="str">
        <f>HYPERLINK("https://www.773grp.com/manufacturer/onsemi?pageNo=778", "ON Semiconductor")</f>
        <v>ON Semiconductor</v>
      </c>
      <c r="C43536" s="6">
        <v>3970</v>
      </c>
      <c r="D43536" s="7">
        <v>35.44</v>
      </c>
      <c r="E43536" t="s">
        <v>34</v>
      </c>
    </row>
    <row r="43537" spans="1:5" x14ac:dyDescent="0.25">
      <c r="A43537" t="str">
        <f>HYPERLINK("https://www.773grp.com/globalSearch/MC10H640FNR2/page-1", "MC10H640FNR2")</f>
        <v>MC10H640FNR2</v>
      </c>
      <c r="B43537" s="3" t="str">
        <f>HYPERLINK("https://www.773grp.com/manufacturer/onsemi?pageNo=779", "ON Semiconductor")</f>
        <v>ON Semiconductor</v>
      </c>
      <c r="C43537" s="6">
        <v>1000</v>
      </c>
      <c r="D43537" s="7">
        <v>36.31</v>
      </c>
      <c r="E43537" t="s">
        <v>34</v>
      </c>
    </row>
    <row r="43538" spans="1:5" x14ac:dyDescent="0.25">
      <c r="A43538" t="str">
        <f>HYPERLINK("https://www.773grp.com/globalSearch/MC10EP016FAG/page-1", "MC10EP016FAG")</f>
        <v>MC10EP016FAG</v>
      </c>
      <c r="B43538" s="3" t="str">
        <f>HYPERLINK("https://www.773grp.com/manufacturer/onsemi?pageNo=780", "ON Semiconductor")</f>
        <v>ON Semiconductor</v>
      </c>
      <c r="C43538" s="6">
        <v>2893</v>
      </c>
      <c r="D43538" s="7">
        <v>36.56</v>
      </c>
      <c r="E43538" t="s">
        <v>26</v>
      </c>
    </row>
    <row r="43539" spans="1:5" x14ac:dyDescent="0.25">
      <c r="A43539" t="str">
        <f>HYPERLINK("https://www.773grp.com/globalSearch/MC10EP016FAR2G/page-1", "MC10EP016FAR2G")</f>
        <v>MC10EP016FAR2G</v>
      </c>
      <c r="B43539" s="3" t="str">
        <f>HYPERLINK("https://www.773grp.com/manufacturer/onsemi?pageNo=781", "ON Semiconductor")</f>
        <v>ON Semiconductor</v>
      </c>
      <c r="C43539" s="6">
        <v>10000</v>
      </c>
      <c r="D43539" s="7">
        <v>36.56</v>
      </c>
      <c r="E43539" t="s">
        <v>26</v>
      </c>
    </row>
    <row r="43540" spans="1:5" x14ac:dyDescent="0.25">
      <c r="A43540" t="str">
        <f>HYPERLINK("https://www.773grp.com/globalSearch/MC10H136FNG/page-1", "MC10H136FNG")</f>
        <v>MC10H136FNG</v>
      </c>
      <c r="B43540" s="3" t="str">
        <f>HYPERLINK("https://www.773grp.com/manufacturer/onsemi?pageNo=782", "ON Semiconductor")</f>
        <v>ON Semiconductor</v>
      </c>
      <c r="C43540" s="6">
        <v>1324</v>
      </c>
      <c r="D43540" s="7">
        <v>36.74</v>
      </c>
      <c r="E43540" t="s">
        <v>26</v>
      </c>
    </row>
    <row r="43541" spans="1:5" x14ac:dyDescent="0.25">
      <c r="A43541" t="str">
        <f>HYPERLINK("https://www.773grp.com/globalSearch/MC10H136FNR2G/page-1", "MC10H136FNR2G")</f>
        <v>MC10H136FNR2G</v>
      </c>
      <c r="B43541" s="3" t="str">
        <f>HYPERLINK("https://www.773grp.com/manufacturer/onsemi?pageNo=783", "ON Semiconductor")</f>
        <v>ON Semiconductor</v>
      </c>
      <c r="C43541" s="6">
        <v>1000</v>
      </c>
      <c r="D43541" s="7">
        <v>36.74</v>
      </c>
      <c r="E43541" t="s">
        <v>26</v>
      </c>
    </row>
    <row r="43542" spans="1:5" x14ac:dyDescent="0.25">
      <c r="A43542" t="str">
        <f>HYPERLINK("https://www.773grp.com/globalSearch/AD7851KRZ/page-1", "AD7851KRZ")</f>
        <v>AD7851KRZ</v>
      </c>
      <c r="B43542" s="3" t="str">
        <f>HYPERLINK("https://www.773grp.com/manufacturer/onsemi?pageNo=784", "ON Semiconductor")</f>
        <v>ON Semiconductor</v>
      </c>
      <c r="C43542" s="6">
        <v>30</v>
      </c>
      <c r="D43542" s="7">
        <v>36.93</v>
      </c>
    </row>
    <row r="43543" spans="1:5" x14ac:dyDescent="0.25">
      <c r="A43543" t="str">
        <f>HYPERLINK("https://www.773grp.com/globalSearch/NBSG72AMNG/page-1", "NBSG72AMNG")</f>
        <v>NBSG72AMNG</v>
      </c>
      <c r="B43543" s="3" t="str">
        <f>HYPERLINK("https://www.773grp.com/manufacturer/onsemi?pageNo=785", "ON Semiconductor")</f>
        <v>ON Semiconductor</v>
      </c>
      <c r="C43543" s="6">
        <v>8129</v>
      </c>
      <c r="D43543" s="7">
        <v>37.130000000000003</v>
      </c>
      <c r="E43543" t="s">
        <v>56</v>
      </c>
    </row>
    <row r="43544" spans="1:5" x14ac:dyDescent="0.25">
      <c r="A43544" t="str">
        <f>HYPERLINK("https://www.773grp.com/globalSearch/NBSG72AMNR2/page-1", "NBSG72AMNR2")</f>
        <v>NBSG72AMNR2</v>
      </c>
      <c r="B43544" s="3" t="str">
        <f>HYPERLINK("https://www.773grp.com/manufacturer/onsemi?pageNo=786", "ON Semiconductor")</f>
        <v>ON Semiconductor</v>
      </c>
      <c r="C43544" s="6">
        <v>3000</v>
      </c>
      <c r="D43544" s="7">
        <v>37.130000000000003</v>
      </c>
      <c r="E43544" t="s">
        <v>56</v>
      </c>
    </row>
    <row r="43545" spans="1:5" x14ac:dyDescent="0.25">
      <c r="A43545" t="str">
        <f>HYPERLINK("https://www.773grp.com/globalSearch/NBSG72AMNR2G/page-1", "NBSG72AMNR2G")</f>
        <v>NBSG72AMNR2G</v>
      </c>
      <c r="B43545" s="3" t="str">
        <f>HYPERLINK("https://www.773grp.com/manufacturer/onsemi?pageNo=787", "ON Semiconductor")</f>
        <v>ON Semiconductor</v>
      </c>
      <c r="C43545" s="6">
        <v>3000</v>
      </c>
      <c r="D43545" s="7">
        <v>37.130000000000003</v>
      </c>
      <c r="E43545" t="s">
        <v>56</v>
      </c>
    </row>
    <row r="43546" spans="1:5" x14ac:dyDescent="0.25">
      <c r="A43546" t="str">
        <f>HYPERLINK("https://www.773grp.com/globalSearch/SC10SX1401FJR2/page-1", "SC10SX1401FJR2")</f>
        <v>SC10SX1401FJR2</v>
      </c>
      <c r="B43546" s="3" t="str">
        <f>HYPERLINK("https://www.773grp.com/manufacturer/onsemi?pageNo=788", "ON Semiconductor")</f>
        <v>ON Semiconductor</v>
      </c>
      <c r="C43546" s="6">
        <v>79275</v>
      </c>
      <c r="D43546" s="7">
        <v>38.31</v>
      </c>
    </row>
    <row r="43547" spans="1:5" x14ac:dyDescent="0.25">
      <c r="A43547" t="str">
        <f>HYPERLINK("https://www.773grp.com/globalSearch/SC10SX1405FJ/page-1", "SC10SX1405FJ")</f>
        <v>SC10SX1405FJ</v>
      </c>
      <c r="B43547" s="3" t="str">
        <f>HYPERLINK("https://www.773grp.com/manufacturer/onsemi?pageNo=789", "ON Semiconductor")</f>
        <v>ON Semiconductor</v>
      </c>
      <c r="C43547" s="6">
        <v>552</v>
      </c>
      <c r="D43547" s="7">
        <v>38.31</v>
      </c>
    </row>
    <row r="43548" spans="1:5" x14ac:dyDescent="0.25">
      <c r="A43548" t="str">
        <f>HYPERLINK("https://www.773grp.com/globalSearch/MC10H016FNG/page-1", "MC10H016FNG")</f>
        <v>MC10H016FNG</v>
      </c>
      <c r="B43548" s="3" t="str">
        <f>HYPERLINK("https://www.773grp.com/manufacturer/onsemi?pageNo=790", "ON Semiconductor")</f>
        <v>ON Semiconductor</v>
      </c>
      <c r="C43548" s="6">
        <v>2644</v>
      </c>
      <c r="D43548" s="7">
        <v>38.43</v>
      </c>
      <c r="E43548" t="s">
        <v>26</v>
      </c>
    </row>
    <row r="43549" spans="1:5" x14ac:dyDescent="0.25">
      <c r="A43549" t="str">
        <f>HYPERLINK("https://www.773grp.com/globalSearch/MC10H016FNR2G/page-1", "MC10H016FNR2G")</f>
        <v>MC10H016FNR2G</v>
      </c>
      <c r="B43549" s="3" t="str">
        <f>HYPERLINK("https://www.773grp.com/manufacturer/onsemi?pageNo=791", "ON Semiconductor")</f>
        <v>ON Semiconductor</v>
      </c>
      <c r="C43549" s="6">
        <v>1131</v>
      </c>
      <c r="D43549" s="7">
        <v>38.43</v>
      </c>
      <c r="E43549" t="s">
        <v>26</v>
      </c>
    </row>
    <row r="43550" spans="1:5" x14ac:dyDescent="0.25">
      <c r="A43550" t="str">
        <f>HYPERLINK("https://www.773grp.com/globalSearch/MC10H180FNG/page-1", "MC10H180FNG")</f>
        <v>MC10H180FNG</v>
      </c>
      <c r="B43550" s="3" t="str">
        <f>HYPERLINK("https://www.773grp.com/manufacturer/onsemi?pageNo=792", "ON Semiconductor")</f>
        <v>ON Semiconductor</v>
      </c>
      <c r="C43550" s="6">
        <v>2888</v>
      </c>
      <c r="D43550" s="7">
        <v>38.43</v>
      </c>
      <c r="E43550" t="s">
        <v>43</v>
      </c>
    </row>
    <row r="43551" spans="1:5" x14ac:dyDescent="0.25">
      <c r="A43551" t="str">
        <f>HYPERLINK("https://www.773grp.com/globalSearch/NB7N017MMN/page-1", "NB7N017MMN")</f>
        <v>NB7N017MMN</v>
      </c>
      <c r="B43551" s="3" t="str">
        <f>HYPERLINK("https://www.773grp.com/manufacturer/onsemi?pageNo=793", "ON Semiconductor")</f>
        <v>ON Semiconductor</v>
      </c>
      <c r="C43551" s="6">
        <v>1315</v>
      </c>
      <c r="D43551" s="7">
        <v>38.68</v>
      </c>
      <c r="E43551" t="s">
        <v>54</v>
      </c>
    </row>
    <row r="43552" spans="1:5" x14ac:dyDescent="0.25">
      <c r="A43552" t="str">
        <f>HYPERLINK("https://www.773grp.com/globalSearch/0W633-001-XTP/page-1", "0W633-001-XTP")</f>
        <v>0W633-001-XTP</v>
      </c>
      <c r="B43552" s="3" t="str">
        <f>HYPERLINK("https://www.773grp.com/manufacturer/onsemi?pageNo=794", "ON Semiconductor")</f>
        <v>ON Semiconductor</v>
      </c>
      <c r="C43552" s="6">
        <v>2603</v>
      </c>
      <c r="D43552" s="7">
        <v>38.81</v>
      </c>
    </row>
    <row r="43553" spans="1:5" x14ac:dyDescent="0.25">
      <c r="A43553" t="str">
        <f>HYPERLINK("https://www.773grp.com/globalSearch/STK760-211C-E/page-1", "STK760-211C-E")</f>
        <v>STK760-211C-E</v>
      </c>
      <c r="B43553" s="3" t="str">
        <f>HYPERLINK("https://www.773grp.com/manufacturer/onsemi?pageNo=795", "ON Semiconductor")</f>
        <v>ON Semiconductor</v>
      </c>
      <c r="C43553" s="6">
        <v>10</v>
      </c>
      <c r="D43553" s="7">
        <v>38.81</v>
      </c>
    </row>
    <row r="43554" spans="1:5" x14ac:dyDescent="0.25">
      <c r="A43554" t="str">
        <f>HYPERLINK("https://www.773grp.com/globalSearch/NBSG11MN/page-1", "NBSG11MN")</f>
        <v>NBSG11MN</v>
      </c>
      <c r="B43554" s="3" t="str">
        <f>HYPERLINK("https://www.773grp.com/manufacturer/onsemi?pageNo=796", "ON Semiconductor")</f>
        <v>ON Semiconductor</v>
      </c>
      <c r="C43554" s="6">
        <v>20169</v>
      </c>
      <c r="D43554" s="7">
        <v>39.380000000000003</v>
      </c>
      <c r="E43554" t="s">
        <v>34</v>
      </c>
    </row>
    <row r="43555" spans="1:5" x14ac:dyDescent="0.25">
      <c r="A43555" t="str">
        <f>HYPERLINK("https://www.773grp.com/globalSearch/NBSG11MNR2/page-1", "NBSG11MNR2")</f>
        <v>NBSG11MNR2</v>
      </c>
      <c r="B43555" s="3" t="str">
        <f>HYPERLINK("https://www.773grp.com/manufacturer/onsemi?pageNo=797", "ON Semiconductor")</f>
        <v>ON Semiconductor</v>
      </c>
      <c r="C43555" s="6">
        <v>9540</v>
      </c>
      <c r="D43555" s="7">
        <v>39.380000000000003</v>
      </c>
      <c r="E43555" t="s">
        <v>34</v>
      </c>
    </row>
    <row r="43556" spans="1:5" x14ac:dyDescent="0.25">
      <c r="A43556" t="str">
        <f>HYPERLINK("https://www.773grp.com/globalSearch/STK629-720-E/page-1", "STK629-720-E")</f>
        <v>STK629-720-E</v>
      </c>
      <c r="B43556" s="3" t="str">
        <f>HYPERLINK("https://www.773grp.com/manufacturer/onsemi?pageNo=798", "ON Semiconductor")</f>
        <v>ON Semiconductor</v>
      </c>
      <c r="C43556" s="6">
        <v>4642</v>
      </c>
      <c r="D43556" s="7">
        <v>39.94</v>
      </c>
    </row>
    <row r="43557" spans="1:5" x14ac:dyDescent="0.25">
      <c r="A43557" t="str">
        <f>HYPERLINK("https://www.773grp.com/globalSearch/SBSG16BA/page-1", "SBSG16BA")</f>
        <v>SBSG16BA</v>
      </c>
      <c r="B43557" s="3" t="str">
        <f>HYPERLINK("https://www.773grp.com/manufacturer/onsemi?pageNo=799", "ON Semiconductor")</f>
        <v>ON Semiconductor</v>
      </c>
      <c r="C43557" s="6">
        <v>1491</v>
      </c>
      <c r="D43557" s="7">
        <v>42.14</v>
      </c>
    </row>
    <row r="43558" spans="1:5" x14ac:dyDescent="0.25">
      <c r="A43558" t="str">
        <f>HYPERLINK("https://www.773grp.com/globalSearch/MC10H640FN/page-1", "MC10H640FN")</f>
        <v>MC10H640FN</v>
      </c>
      <c r="B43558" s="3" t="str">
        <f>HYPERLINK("https://www.773grp.com/manufacturer/onsemi?pageNo=800", "ON Semiconductor")</f>
        <v>ON Semiconductor</v>
      </c>
      <c r="C43558" s="6">
        <v>74</v>
      </c>
      <c r="D43558" s="7">
        <v>42.19</v>
      </c>
      <c r="E43558" t="s">
        <v>34</v>
      </c>
    </row>
    <row r="43559" spans="1:5" x14ac:dyDescent="0.25">
      <c r="A43559" t="str">
        <f>HYPERLINK("https://www.773grp.com/globalSearch/MC10H640FNG/page-1", "MC10H640FNG")</f>
        <v>MC10H640FNG</v>
      </c>
      <c r="B43559" s="3" t="str">
        <f>HYPERLINK("https://www.773grp.com/manufacturer/onsemi?pageNo=801", "ON Semiconductor")</f>
        <v>ON Semiconductor</v>
      </c>
      <c r="C43559" s="6">
        <v>70</v>
      </c>
      <c r="D43559" s="7">
        <v>42.19</v>
      </c>
      <c r="E43559" t="s">
        <v>34</v>
      </c>
    </row>
    <row r="43560" spans="1:5" x14ac:dyDescent="0.25">
      <c r="A43560" t="str">
        <f>HYPERLINK("https://www.773grp.com/globalSearch/MC10H640FNR2G/page-1", "MC10H640FNR2G")</f>
        <v>MC10H640FNR2G</v>
      </c>
      <c r="B43560" s="3" t="str">
        <f>HYPERLINK("https://www.773grp.com/manufacturer/onsemi?pageNo=802", "ON Semiconductor")</f>
        <v>ON Semiconductor</v>
      </c>
      <c r="C43560" s="6">
        <v>1500</v>
      </c>
      <c r="D43560" s="7">
        <v>42.19</v>
      </c>
      <c r="E43560" t="s">
        <v>34</v>
      </c>
    </row>
    <row r="43561" spans="1:5" x14ac:dyDescent="0.25">
      <c r="A43561" t="str">
        <f>HYPERLINK("https://www.773grp.com/globalSearch/NB7L86MMNG/page-1", "NB7L86MMNG")</f>
        <v>NB7L86MMNG</v>
      </c>
      <c r="B43561" s="3" t="str">
        <f>HYPERLINK("https://www.773grp.com/manufacturer/onsemi?pageNo=803", "ON Semiconductor")</f>
        <v>ON Semiconductor</v>
      </c>
      <c r="C43561" s="6">
        <v>412</v>
      </c>
      <c r="D43561" s="7">
        <v>42.19</v>
      </c>
      <c r="E43561" t="s">
        <v>83</v>
      </c>
    </row>
    <row r="43562" spans="1:5" x14ac:dyDescent="0.25">
      <c r="A43562" t="str">
        <f>HYPERLINK("https://www.773grp.com/globalSearch/NBSG111BA/page-1", "NBSG111BA")</f>
        <v>NBSG111BA</v>
      </c>
      <c r="B43562" s="3" t="str">
        <f>HYPERLINK("https://www.773grp.com/manufacturer/onsemi?pageNo=804", "ON Semiconductor")</f>
        <v>ON Semiconductor</v>
      </c>
      <c r="C43562" s="6">
        <v>1714</v>
      </c>
      <c r="D43562" s="7">
        <v>42.19</v>
      </c>
      <c r="E43562" t="s">
        <v>34</v>
      </c>
    </row>
    <row r="43563" spans="1:5" x14ac:dyDescent="0.25">
      <c r="A43563" t="str">
        <f>HYPERLINK("https://www.773grp.com/globalSearch/NBSG111BAR2/page-1", "NBSG111BAR2")</f>
        <v>NBSG111BAR2</v>
      </c>
      <c r="B43563" s="3" t="str">
        <f>HYPERLINK("https://www.773grp.com/manufacturer/onsemi?pageNo=805", "ON Semiconductor")</f>
        <v>ON Semiconductor</v>
      </c>
      <c r="C43563" s="6">
        <v>488</v>
      </c>
      <c r="D43563" s="7">
        <v>42.19</v>
      </c>
      <c r="E43563" t="s">
        <v>34</v>
      </c>
    </row>
    <row r="43564" spans="1:5" x14ac:dyDescent="0.25">
      <c r="A43564" t="str">
        <f>HYPERLINK("https://www.773grp.com/globalSearch/STK433-890N-E/page-1", "STK433-890N-E")</f>
        <v>STK433-890N-E</v>
      </c>
      <c r="B43564" s="3" t="str">
        <f>HYPERLINK("https://www.773grp.com/manufacturer/onsemi?pageNo=806", "ON Semiconductor")</f>
        <v>ON Semiconductor</v>
      </c>
      <c r="C43564" s="6">
        <v>25</v>
      </c>
      <c r="D43564" s="7">
        <v>42.19</v>
      </c>
    </row>
    <row r="43565" spans="1:5" x14ac:dyDescent="0.25">
      <c r="A43565" t="str">
        <f>HYPERLINK("https://www.773grp.com/globalSearch/MC10H136PG/page-1", "MC10H136PG")</f>
        <v>MC10H136PG</v>
      </c>
      <c r="B43565" s="3" t="str">
        <f>HYPERLINK("https://www.773grp.com/manufacturer/onsemi?pageNo=807", "ON Semiconductor")</f>
        <v>ON Semiconductor</v>
      </c>
      <c r="C43565" s="6">
        <v>853</v>
      </c>
      <c r="D43565" s="7">
        <v>43.2</v>
      </c>
      <c r="E43565" t="s">
        <v>26</v>
      </c>
    </row>
    <row r="43566" spans="1:5" x14ac:dyDescent="0.25">
      <c r="A43566" t="str">
        <f>HYPERLINK("https://www.773grp.com/globalSearch/LC82162B-R1000-E/page-1", "LC82162B-R1000-E")</f>
        <v>LC82162B-R1000-E</v>
      </c>
      <c r="B43566" s="3" t="str">
        <f>HYPERLINK("https://www.773grp.com/manufacturer/onsemi?pageNo=808", "ON Semiconductor")</f>
        <v>ON Semiconductor</v>
      </c>
      <c r="C43566" s="6">
        <v>1608</v>
      </c>
      <c r="D43566" s="7">
        <v>43.59</v>
      </c>
    </row>
    <row r="43567" spans="1:5" x14ac:dyDescent="0.25">
      <c r="A43567" t="str">
        <f>HYPERLINK("https://www.773grp.com/globalSearch/NB100LVEP224FAG/page-1", "NB100LVEP224FAG")</f>
        <v>NB100LVEP224FAG</v>
      </c>
      <c r="B43567" s="3" t="str">
        <f>HYPERLINK("https://www.773grp.com/manufacturer/onsemi?pageNo=809", "ON Semiconductor")</f>
        <v>ON Semiconductor</v>
      </c>
      <c r="C43567" s="6">
        <v>401</v>
      </c>
      <c r="D43567" s="7">
        <v>45</v>
      </c>
      <c r="E43567" t="s">
        <v>34</v>
      </c>
    </row>
    <row r="43568" spans="1:5" x14ac:dyDescent="0.25">
      <c r="A43568" t="str">
        <f>HYPERLINK("https://www.773grp.com/globalSearch/NB100LVEP224FAR2/page-1", "NB100LVEP224FAR2")</f>
        <v>NB100LVEP224FAR2</v>
      </c>
      <c r="B43568" s="3" t="str">
        <f>HYPERLINK("https://www.773grp.com/manufacturer/onsemi?pageNo=810", "ON Semiconductor")</f>
        <v>ON Semiconductor</v>
      </c>
      <c r="C43568" s="6">
        <v>750</v>
      </c>
      <c r="D43568" s="7">
        <v>45</v>
      </c>
      <c r="E43568" t="s">
        <v>34</v>
      </c>
    </row>
    <row r="43569" spans="1:5" x14ac:dyDescent="0.25">
      <c r="A43569" t="str">
        <f>HYPERLINK("https://www.773grp.com/globalSearch/STK621-014-E/page-1", "STK621-014-E")</f>
        <v>STK621-014-E</v>
      </c>
      <c r="B43569" s="3" t="str">
        <f>HYPERLINK("https://www.773grp.com/manufacturer/onsemi?pageNo=811", "ON Semiconductor")</f>
        <v>ON Semiconductor</v>
      </c>
      <c r="C43569" s="6">
        <v>15</v>
      </c>
      <c r="D43569" s="7">
        <v>45</v>
      </c>
    </row>
    <row r="43570" spans="1:5" x14ac:dyDescent="0.25">
      <c r="A43570" t="str">
        <f>HYPERLINK("https://www.773grp.com/globalSearch/AD7890BNZ-4/page-1", "AD7890BNZ-4")</f>
        <v>AD7890BNZ-4</v>
      </c>
      <c r="B43570" s="3" t="str">
        <f>HYPERLINK("https://www.773grp.com/manufacturer/onsemi?pageNo=812", "ON Semiconductor")</f>
        <v>ON Semiconductor</v>
      </c>
      <c r="C43570" s="6">
        <v>12</v>
      </c>
      <c r="D43570" s="7">
        <v>51.05</v>
      </c>
    </row>
    <row r="43571" spans="1:5" x14ac:dyDescent="0.25">
      <c r="A43571" t="str">
        <f>HYPERLINK("https://www.773grp.com/globalSearch/MC10H680FNG/page-1", "MC10H680FNG")</f>
        <v>MC10H680FNG</v>
      </c>
      <c r="B43571" s="3" t="str">
        <f>HYPERLINK("https://www.773grp.com/manufacturer/onsemi?pageNo=813", "ON Semiconductor")</f>
        <v>ON Semiconductor</v>
      </c>
      <c r="C43571" s="6">
        <v>913</v>
      </c>
      <c r="D43571" s="7">
        <v>54.11</v>
      </c>
      <c r="E43571" t="s">
        <v>73</v>
      </c>
    </row>
    <row r="43572" spans="1:5" x14ac:dyDescent="0.25">
      <c r="A43572" t="str">
        <f>HYPERLINK("https://www.773grp.com/globalSearch/MC10H680FNR2G/page-1", "MC10H680FNR2G")</f>
        <v>MC10H680FNR2G</v>
      </c>
      <c r="B43572" s="3" t="str">
        <f>HYPERLINK("https://www.773grp.com/manufacturer/onsemi?pageNo=814", "ON Semiconductor")</f>
        <v>ON Semiconductor</v>
      </c>
      <c r="C43572" s="6">
        <v>2098</v>
      </c>
      <c r="D43572" s="7">
        <v>54.11</v>
      </c>
      <c r="E43572" t="s">
        <v>73</v>
      </c>
    </row>
    <row r="43573" spans="1:5" x14ac:dyDescent="0.25">
      <c r="A43573" t="str">
        <f>HYPERLINK("https://www.773grp.com/globalSearch/AD7880BNZ/page-1", "AD7880BNZ")</f>
        <v>AD7880BNZ</v>
      </c>
      <c r="B43573" s="3" t="str">
        <f>HYPERLINK("https://www.773grp.com/manufacturer/onsemi?pageNo=815", "ON Semiconductor")</f>
        <v>ON Semiconductor</v>
      </c>
      <c r="C43573" s="6">
        <v>2</v>
      </c>
      <c r="D43573" s="7">
        <v>57.38</v>
      </c>
    </row>
    <row r="43574" spans="1:5" x14ac:dyDescent="0.25">
      <c r="A43574" t="str">
        <f>HYPERLINK("https://www.773grp.com/globalSearch/MC100H680FNG/page-1", "MC100H680FNG")</f>
        <v>MC100H680FNG</v>
      </c>
      <c r="B43574" s="3" t="str">
        <f>HYPERLINK("https://www.773grp.com/manufacturer/onsemi?pageNo=816", "ON Semiconductor")</f>
        <v>ON Semiconductor</v>
      </c>
      <c r="C43574" s="6">
        <v>2578</v>
      </c>
      <c r="D43574" s="7">
        <v>60.13</v>
      </c>
      <c r="E43574" t="s">
        <v>73</v>
      </c>
    </row>
    <row r="43575" spans="1:5" x14ac:dyDescent="0.25">
      <c r="A43575" t="str">
        <f>HYPERLINK("https://www.773grp.com/globalSearch/NBSG16BAHTBG/page-1", "NBSG16BAHTBG")</f>
        <v>NBSG16BAHTBG</v>
      </c>
      <c r="B43575" s="3" t="str">
        <f>HYPERLINK("https://www.773grp.com/manufacturer/onsemi?pageNo=817", "ON Semiconductor")</f>
        <v>ON Semiconductor</v>
      </c>
      <c r="C43575" s="6">
        <v>18800</v>
      </c>
      <c r="D43575" s="7">
        <v>63.2</v>
      </c>
      <c r="E43575" t="s">
        <v>21</v>
      </c>
    </row>
    <row r="43576" spans="1:5" x14ac:dyDescent="0.25">
      <c r="A43576" t="str">
        <f>HYPERLINK("https://www.773grp.com/globalSearch/NBSG16BAR2/page-1", "NBSG16BAR2")</f>
        <v>NBSG16BAR2</v>
      </c>
      <c r="B43576" s="3" t="str">
        <f>HYPERLINK("https://www.773grp.com/manufacturer/onsemi?pageNo=818", "ON Semiconductor")</f>
        <v>ON Semiconductor</v>
      </c>
      <c r="C43576" s="6">
        <v>6500</v>
      </c>
      <c r="D43576" s="7">
        <v>63.2</v>
      </c>
      <c r="E43576" t="s">
        <v>21</v>
      </c>
    </row>
    <row r="43577" spans="1:5" x14ac:dyDescent="0.25">
      <c r="A43577" t="str">
        <f>HYPERLINK("https://www.773grp.com/globalSearch/NBSG16MMNG/page-1", "NBSG16MMNG")</f>
        <v>NBSG16MMNG</v>
      </c>
      <c r="B43577" s="3" t="str">
        <f>HYPERLINK("https://www.773grp.com/manufacturer/onsemi?pageNo=819", "ON Semiconductor")</f>
        <v>ON Semiconductor</v>
      </c>
      <c r="C43577" s="6">
        <v>1912</v>
      </c>
      <c r="D43577" s="7">
        <v>63.2</v>
      </c>
      <c r="E43577" t="s">
        <v>21</v>
      </c>
    </row>
    <row r="43578" spans="1:5" x14ac:dyDescent="0.25">
      <c r="A43578" t="str">
        <f>HYPERLINK("https://www.773grp.com/globalSearch/NBSG16MNG/page-1", "NBSG16MNG")</f>
        <v>NBSG16MNG</v>
      </c>
      <c r="B43578" s="3" t="str">
        <f>HYPERLINK("https://www.773grp.com/manufacturer/onsemi?pageNo=820", "ON Semiconductor")</f>
        <v>ON Semiconductor</v>
      </c>
      <c r="C43578" s="6">
        <v>7697</v>
      </c>
      <c r="D43578" s="7">
        <v>63.2</v>
      </c>
      <c r="E43578" t="s">
        <v>21</v>
      </c>
    </row>
    <row r="43579" spans="1:5" x14ac:dyDescent="0.25">
      <c r="A43579" t="str">
        <f>HYPERLINK("https://www.773grp.com/globalSearch/NBSG16MNHTBG/page-1", "NBSG16MNHTBG")</f>
        <v>NBSG16MNHTBG</v>
      </c>
      <c r="B43579" s="3" t="str">
        <f>HYPERLINK("https://www.773grp.com/manufacturer/onsemi?pageNo=821", "ON Semiconductor")</f>
        <v>ON Semiconductor</v>
      </c>
      <c r="C43579" s="6">
        <v>1900</v>
      </c>
      <c r="D43579" s="7">
        <v>63.2</v>
      </c>
      <c r="E43579" t="s">
        <v>21</v>
      </c>
    </row>
    <row r="43580" spans="1:5" x14ac:dyDescent="0.25">
      <c r="A43580" t="str">
        <f>HYPERLINK("https://www.773grp.com/globalSearch/NBSG16MNR2/page-1", "NBSG16MNR2")</f>
        <v>NBSG16MNR2</v>
      </c>
      <c r="B43580" s="3" t="str">
        <f>HYPERLINK("https://www.773grp.com/manufacturer/onsemi?pageNo=822", "ON Semiconductor")</f>
        <v>ON Semiconductor</v>
      </c>
      <c r="C43580" s="6">
        <v>18000</v>
      </c>
      <c r="D43580" s="7">
        <v>63.2</v>
      </c>
      <c r="E43580" t="s">
        <v>21</v>
      </c>
    </row>
    <row r="43581" spans="1:5" x14ac:dyDescent="0.25">
      <c r="A43581" t="str">
        <f>HYPERLINK("https://www.773grp.com/globalSearch/NBSG16MNR2G/page-1", "NBSG16MNR2G")</f>
        <v>NBSG16MNR2G</v>
      </c>
      <c r="B43581" s="3" t="str">
        <f>HYPERLINK("https://www.773grp.com/manufacturer/onsemi?pageNo=823", "ON Semiconductor")</f>
        <v>ON Semiconductor</v>
      </c>
      <c r="C43581" s="6">
        <v>6000</v>
      </c>
      <c r="D43581" s="7">
        <v>63.2</v>
      </c>
      <c r="E43581" t="s">
        <v>21</v>
      </c>
    </row>
    <row r="43582" spans="1:5" x14ac:dyDescent="0.25">
      <c r="A43582" t="str">
        <f>HYPERLINK("https://www.773grp.com/globalSearch/NBSG16VSBAHTBG/page-1", "NBSG16VSBAHTBG")</f>
        <v>NBSG16VSBAHTBG</v>
      </c>
      <c r="B43582" s="3" t="str">
        <f>HYPERLINK("https://www.773grp.com/manufacturer/onsemi?pageNo=824", "ON Semiconductor")</f>
        <v>ON Semiconductor</v>
      </c>
      <c r="C43582" s="6">
        <v>8500</v>
      </c>
      <c r="D43582" s="7">
        <v>63.2</v>
      </c>
      <c r="E43582" t="s">
        <v>21</v>
      </c>
    </row>
    <row r="43583" spans="1:5" x14ac:dyDescent="0.25">
      <c r="A43583" t="str">
        <f>HYPERLINK("https://www.773grp.com/globalSearch/NBSG86AMNG/page-1", "NBSG86AMNG")</f>
        <v>NBSG86AMNG</v>
      </c>
      <c r="B43583" s="3" t="str">
        <f>HYPERLINK("https://www.773grp.com/manufacturer/onsemi?pageNo=825", "ON Semiconductor")</f>
        <v>ON Semiconductor</v>
      </c>
      <c r="C43583" s="6">
        <v>440</v>
      </c>
      <c r="D43583" s="7">
        <v>63.2</v>
      </c>
      <c r="E43583" t="s">
        <v>83</v>
      </c>
    </row>
    <row r="43584" spans="1:5" x14ac:dyDescent="0.25">
      <c r="A43584" t="str">
        <f>HYPERLINK("https://www.773grp.com/globalSearch/NBSG86AMNHTBG/page-1", "NBSG86AMNHTBG")</f>
        <v>NBSG86AMNHTBG</v>
      </c>
      <c r="B43584" s="3" t="str">
        <f>HYPERLINK("https://www.773grp.com/manufacturer/onsemi?pageNo=826", "ON Semiconductor")</f>
        <v>ON Semiconductor</v>
      </c>
      <c r="C43584" s="6">
        <v>2200</v>
      </c>
      <c r="D43584" s="7">
        <v>63.2</v>
      </c>
      <c r="E43584" t="s">
        <v>83</v>
      </c>
    </row>
    <row r="43585" spans="1:5" x14ac:dyDescent="0.25">
      <c r="A43585" t="str">
        <f>HYPERLINK("https://www.773grp.com/globalSearch/NBSG86AMNR2G/page-1", "NBSG86AMNR2G")</f>
        <v>NBSG86AMNR2G</v>
      </c>
      <c r="B43585" s="3" t="str">
        <f>HYPERLINK("https://www.773grp.com/manufacturer/onsemi?pageNo=827", "ON Semiconductor")</f>
        <v>ON Semiconductor</v>
      </c>
      <c r="C43585" s="6">
        <v>9000</v>
      </c>
      <c r="D43585" s="7">
        <v>63.2</v>
      </c>
      <c r="E43585" t="s">
        <v>83</v>
      </c>
    </row>
    <row r="43586" spans="1:5" x14ac:dyDescent="0.25">
      <c r="A43586" t="str">
        <f>HYPERLINK("https://www.773grp.com/globalSearch/MC100SX1230FN/page-1", "MC100SX1230FN")</f>
        <v>MC100SX1230FN</v>
      </c>
      <c r="B43586" s="3" t="str">
        <f>HYPERLINK("https://www.773grp.com/manufacturer/onsemi?pageNo=828", "ON Semiconductor")</f>
        <v>ON Semiconductor</v>
      </c>
      <c r="C43586" s="6">
        <v>183</v>
      </c>
      <c r="D43586" s="7">
        <v>66.94</v>
      </c>
      <c r="E43586" t="s">
        <v>67</v>
      </c>
    </row>
    <row r="43587" spans="1:5" x14ac:dyDescent="0.25">
      <c r="A43587" t="str">
        <f>HYPERLINK("https://www.773grp.com/globalSearch/NBSG53ABAHTBG/page-1", "NBSG53ABAHTBG")</f>
        <v>NBSG53ABAHTBG</v>
      </c>
      <c r="B43587" s="3" t="str">
        <f>HYPERLINK("https://www.773grp.com/manufacturer/onsemi?pageNo=829", "ON Semiconductor")</f>
        <v>ON Semiconductor</v>
      </c>
      <c r="C43587" s="6">
        <v>1379</v>
      </c>
      <c r="D43587" s="7">
        <v>69.53</v>
      </c>
      <c r="E43587" t="s">
        <v>34</v>
      </c>
    </row>
    <row r="43588" spans="1:5" x14ac:dyDescent="0.25">
      <c r="A43588" t="str">
        <f>HYPERLINK("https://www.773grp.com/globalSearch/NBSG53AMN/page-1", "NBSG53AMN")</f>
        <v>NBSG53AMN</v>
      </c>
      <c r="B43588" s="3" t="str">
        <f>HYPERLINK("https://www.773grp.com/manufacturer/onsemi?pageNo=830", "ON Semiconductor")</f>
        <v>ON Semiconductor</v>
      </c>
      <c r="C43588" s="6">
        <v>7</v>
      </c>
      <c r="D43588" s="7">
        <v>69.53</v>
      </c>
      <c r="E43588" t="s">
        <v>34</v>
      </c>
    </row>
    <row r="43589" spans="1:5" x14ac:dyDescent="0.25">
      <c r="A43589" t="str">
        <f>HYPERLINK("https://www.773grp.com/globalSearch/NBSG53AMNG/page-1", "NBSG53AMNG")</f>
        <v>NBSG53AMNG</v>
      </c>
      <c r="B43589" s="3" t="str">
        <f>HYPERLINK("https://www.773grp.com/manufacturer/onsemi?pageNo=831", "ON Semiconductor")</f>
        <v>ON Semiconductor</v>
      </c>
      <c r="C43589" s="6">
        <v>596</v>
      </c>
      <c r="D43589" s="7">
        <v>69.53</v>
      </c>
      <c r="E43589" t="s">
        <v>34</v>
      </c>
    </row>
    <row r="43590" spans="1:5" x14ac:dyDescent="0.25">
      <c r="A43590" t="str">
        <f>HYPERLINK("https://www.773grp.com/globalSearch/NBSG53AMNR2/page-1", "NBSG53AMNR2")</f>
        <v>NBSG53AMNR2</v>
      </c>
      <c r="B43590" s="3" t="str">
        <f>HYPERLINK("https://www.773grp.com/manufacturer/onsemi?pageNo=832", "ON Semiconductor")</f>
        <v>ON Semiconductor</v>
      </c>
      <c r="C43590" s="6">
        <v>8684</v>
      </c>
      <c r="D43590" s="7">
        <v>69.53</v>
      </c>
      <c r="E43590" t="s">
        <v>34</v>
      </c>
    </row>
    <row r="43591" spans="1:5" x14ac:dyDescent="0.25">
      <c r="A43591" t="str">
        <f>HYPERLINK("https://www.773grp.com/globalSearch/NBSG16VSBAR2/page-1", "NBSG16VSBAR2")</f>
        <v>NBSG16VSBAR2</v>
      </c>
      <c r="B43591" s="3" t="str">
        <f>HYPERLINK("https://www.773grp.com/manufacturer/onsemi?pageNo=833", "ON Semiconductor")</f>
        <v>ON Semiconductor</v>
      </c>
      <c r="C43591" s="6">
        <v>2188</v>
      </c>
      <c r="D43591" s="7">
        <v>70.239999999999995</v>
      </c>
      <c r="E43591" t="s">
        <v>21</v>
      </c>
    </row>
    <row r="43592" spans="1:5" x14ac:dyDescent="0.25">
      <c r="A43592" t="str">
        <f>HYPERLINK("https://www.773grp.com/globalSearch/NBSG16VSMNG/page-1", "NBSG16VSMNG")</f>
        <v>NBSG16VSMNG</v>
      </c>
      <c r="B43592" s="3" t="str">
        <f>HYPERLINK("https://www.773grp.com/manufacturer/onsemi?pageNo=834", "ON Semiconductor")</f>
        <v>ON Semiconductor</v>
      </c>
      <c r="C43592" s="6">
        <v>5871</v>
      </c>
      <c r="D43592" s="7">
        <v>70.239999999999995</v>
      </c>
      <c r="E43592" t="s">
        <v>21</v>
      </c>
    </row>
    <row r="43593" spans="1:5" x14ac:dyDescent="0.25">
      <c r="A43593" t="str">
        <f>HYPERLINK("https://www.773grp.com/globalSearch/NBSG16VSMNHTBG/page-1", "NBSG16VSMNHTBG")</f>
        <v>NBSG16VSMNHTBG</v>
      </c>
      <c r="B43593" s="3" t="str">
        <f>HYPERLINK("https://www.773grp.com/manufacturer/onsemi?pageNo=835", "ON Semiconductor")</f>
        <v>ON Semiconductor</v>
      </c>
      <c r="C43593" s="6">
        <v>2000</v>
      </c>
      <c r="D43593" s="7">
        <v>70.239999999999995</v>
      </c>
      <c r="E43593" t="s">
        <v>21</v>
      </c>
    </row>
    <row r="43594" spans="1:5" x14ac:dyDescent="0.25">
      <c r="A43594" t="str">
        <f>HYPERLINK("https://www.773grp.com/globalSearch/MC10E1651FNG/page-1", "MC10E1651FNG")</f>
        <v>MC10E1651FNG</v>
      </c>
      <c r="B43594" s="3" t="str">
        <f>HYPERLINK("https://www.773grp.com/manufacturer/onsemi?pageNo=836", "ON Semiconductor")</f>
        <v>ON Semiconductor</v>
      </c>
      <c r="C43594" s="6">
        <v>19166</v>
      </c>
      <c r="D43594" s="7">
        <v>70.31</v>
      </c>
      <c r="E43594" t="s">
        <v>43</v>
      </c>
    </row>
    <row r="43595" spans="1:5" x14ac:dyDescent="0.25">
      <c r="A43595" t="str">
        <f>HYPERLINK("https://www.773grp.com/globalSearch/MC10E1651FNR2G/page-1", "MC10E1651FNR2G")</f>
        <v>MC10E1651FNR2G</v>
      </c>
      <c r="B43595" s="3" t="str">
        <f>HYPERLINK("https://www.773grp.com/manufacturer/onsemi?pageNo=837", "ON Semiconductor")</f>
        <v>ON Semiconductor</v>
      </c>
      <c r="C43595" s="6">
        <v>22815</v>
      </c>
      <c r="D43595" s="7">
        <v>70.31</v>
      </c>
      <c r="E43595" t="s">
        <v>43</v>
      </c>
    </row>
    <row r="43596" spans="1:5" x14ac:dyDescent="0.25">
      <c r="A43596" t="str">
        <f>HYPERLINK("https://www.773grp.com/globalSearch/MC10E1652FNG/page-1", "MC10E1652FNG")</f>
        <v>MC10E1652FNG</v>
      </c>
      <c r="B43596" s="3" t="str">
        <f>HYPERLINK("https://www.773grp.com/manufacturer/onsemi?pageNo=838", "ON Semiconductor")</f>
        <v>ON Semiconductor</v>
      </c>
      <c r="C43596" s="6">
        <v>6937</v>
      </c>
      <c r="D43596" s="7">
        <v>70.31</v>
      </c>
      <c r="E43596" t="s">
        <v>43</v>
      </c>
    </row>
    <row r="43597" spans="1:5" x14ac:dyDescent="0.25">
      <c r="A43597" t="str">
        <f>HYPERLINK("https://www.773grp.com/globalSearch/MC10E1652FNR2G/page-1", "MC10E1652FNR2G")</f>
        <v>MC10E1652FNR2G</v>
      </c>
      <c r="B43597" s="3" t="str">
        <f>HYPERLINK("https://www.773grp.com/manufacturer/onsemi?pageNo=839", "ON Semiconductor")</f>
        <v>ON Semiconductor</v>
      </c>
      <c r="C43597" s="6">
        <v>7311</v>
      </c>
      <c r="D43597" s="7">
        <v>70.31</v>
      </c>
      <c r="E43597" t="s">
        <v>43</v>
      </c>
    </row>
    <row r="43598" spans="1:5" x14ac:dyDescent="0.25">
      <c r="A43598" t="str">
        <f>HYPERLINK("https://www.773grp.com/globalSearch/NBSG11MAG/page-1", "NBSG11MAG")</f>
        <v>NBSG11MAG</v>
      </c>
      <c r="B43598" s="3" t="str">
        <f>HYPERLINK("https://www.773grp.com/manufacturer/onsemi?pageNo=840", "ON Semiconductor")</f>
        <v>ON Semiconductor</v>
      </c>
      <c r="C43598" s="6">
        <v>950</v>
      </c>
      <c r="D43598" s="7">
        <v>70.31</v>
      </c>
      <c r="E43598" t="s">
        <v>34</v>
      </c>
    </row>
    <row r="43599" spans="1:5" x14ac:dyDescent="0.25">
      <c r="A43599" t="str">
        <f>HYPERLINK("https://www.773grp.com/globalSearch/STK621-068R-E/page-1", "STK621-068R-E")</f>
        <v>STK621-068R-E</v>
      </c>
      <c r="B43599" s="3" t="str">
        <f>HYPERLINK("https://www.773grp.com/manufacturer/onsemi?pageNo=841", "ON Semiconductor")</f>
        <v>ON Semiconductor</v>
      </c>
      <c r="C43599" s="6">
        <v>49</v>
      </c>
      <c r="D43599" s="7">
        <v>74.25</v>
      </c>
    </row>
    <row r="43600" spans="1:5" x14ac:dyDescent="0.25">
      <c r="A43600" t="str">
        <f>HYPERLINK("https://www.773grp.com/globalSearch/NB7L32MMNG/page-1", "NB7L32MMNG")</f>
        <v>NB7L32MMNG</v>
      </c>
      <c r="B43600" s="3" t="str">
        <f>HYPERLINK("https://www.773grp.com/manufacturer/onsemi?pageNo=842", "ON Semiconductor")</f>
        <v>ON Semiconductor</v>
      </c>
      <c r="C43600" s="6">
        <v>7019</v>
      </c>
      <c r="D43600" s="7">
        <v>75.94</v>
      </c>
      <c r="E43600" t="s">
        <v>34</v>
      </c>
    </row>
    <row r="43601" spans="1:5" x14ac:dyDescent="0.25">
      <c r="A43601" t="str">
        <f>HYPERLINK("https://www.773grp.com/globalSearch/NB7N017MMNG/page-1", "NB7N017MMNG")</f>
        <v>NB7N017MMNG</v>
      </c>
      <c r="B43601" s="3" t="str">
        <f>HYPERLINK("https://www.773grp.com/manufacturer/onsemi?pageNo=843", "ON Semiconductor")</f>
        <v>ON Semiconductor</v>
      </c>
      <c r="C43601" s="6">
        <v>1083</v>
      </c>
      <c r="D43601" s="7">
        <v>77.34</v>
      </c>
      <c r="E43601" t="s">
        <v>54</v>
      </c>
    </row>
    <row r="43602" spans="1:5" x14ac:dyDescent="0.25">
      <c r="A43602" t="str">
        <f>HYPERLINK("https://www.773grp.com/globalSearch/NB7N017MMNR2G/page-1", "NB7N017MMNR2G")</f>
        <v>NB7N017MMNR2G</v>
      </c>
      <c r="B43602" s="3" t="str">
        <f>HYPERLINK("https://www.773grp.com/manufacturer/onsemi?pageNo=844", "ON Semiconductor")</f>
        <v>ON Semiconductor</v>
      </c>
      <c r="C43602" s="6">
        <v>4773</v>
      </c>
      <c r="D43602" s="7">
        <v>77.34</v>
      </c>
      <c r="E43602" t="s">
        <v>54</v>
      </c>
    </row>
    <row r="43603" spans="1:5" x14ac:dyDescent="0.25">
      <c r="A43603" t="str">
        <f>HYPERLINK("https://www.773grp.com/globalSearch/NB7L11MMNG/page-1", "NB7L11MMNG")</f>
        <v>NB7L11MMNG</v>
      </c>
      <c r="B43603" s="3" t="str">
        <f>HYPERLINK("https://www.773grp.com/manufacturer/onsemi?pageNo=845", "ON Semiconductor")</f>
        <v>ON Semiconductor</v>
      </c>
      <c r="C43603" s="6">
        <v>2993</v>
      </c>
      <c r="D43603" s="7">
        <v>78.75</v>
      </c>
      <c r="E43603" t="s">
        <v>34</v>
      </c>
    </row>
    <row r="43604" spans="1:5" x14ac:dyDescent="0.25">
      <c r="A43604" t="str">
        <f>HYPERLINK("https://www.773grp.com/globalSearch/NB7L11MMNR2G/page-1", "NB7L11MMNR2G")</f>
        <v>NB7L11MMNR2G</v>
      </c>
      <c r="B43604" s="3" t="str">
        <f>HYPERLINK("https://www.773grp.com/manufacturer/onsemi?pageNo=846", "ON Semiconductor")</f>
        <v>ON Semiconductor</v>
      </c>
      <c r="C43604" s="6">
        <v>6000</v>
      </c>
      <c r="D43604" s="7">
        <v>78.75</v>
      </c>
      <c r="E43604" t="s">
        <v>34</v>
      </c>
    </row>
    <row r="43605" spans="1:5" x14ac:dyDescent="0.25">
      <c r="A43605" t="str">
        <f>HYPERLINK("https://www.773grp.com/globalSearch/NBSG11BAHTBG/page-1", "NBSG11BAHTBG")</f>
        <v>NBSG11BAHTBG</v>
      </c>
      <c r="B43605" s="3" t="str">
        <f>HYPERLINK("https://www.773grp.com/manufacturer/onsemi?pageNo=847", "ON Semiconductor")</f>
        <v>ON Semiconductor</v>
      </c>
      <c r="C43605" s="6">
        <v>575</v>
      </c>
      <c r="D43605" s="7">
        <v>78.75</v>
      </c>
    </row>
    <row r="43606" spans="1:5" x14ac:dyDescent="0.25">
      <c r="A43606" t="str">
        <f>HYPERLINK("https://www.773grp.com/globalSearch/NBSG11BAR2/page-1", "NBSG11BAR2")</f>
        <v>NBSG11BAR2</v>
      </c>
      <c r="B43606" s="3" t="str">
        <f>HYPERLINK("https://www.773grp.com/manufacturer/onsemi?pageNo=848", "ON Semiconductor")</f>
        <v>ON Semiconductor</v>
      </c>
      <c r="C43606" s="6">
        <v>4790</v>
      </c>
      <c r="D43606" s="7">
        <v>78.75</v>
      </c>
      <c r="E43606" t="s">
        <v>34</v>
      </c>
    </row>
    <row r="43607" spans="1:5" x14ac:dyDescent="0.25">
      <c r="A43607" t="str">
        <f>HYPERLINK("https://www.773grp.com/globalSearch/NBSG11MNG/page-1", "NBSG11MNG")</f>
        <v>NBSG11MNG</v>
      </c>
      <c r="B43607" s="3" t="str">
        <f>HYPERLINK("https://www.773grp.com/manufacturer/onsemi?pageNo=849", "ON Semiconductor")</f>
        <v>ON Semiconductor</v>
      </c>
      <c r="C43607" s="6">
        <v>579</v>
      </c>
      <c r="D43607" s="7">
        <v>78.75</v>
      </c>
      <c r="E43607" t="s">
        <v>34</v>
      </c>
    </row>
    <row r="43608" spans="1:5" x14ac:dyDescent="0.25">
      <c r="A43608" t="str">
        <f>HYPERLINK("https://www.773grp.com/globalSearch/NBSG11MNHTBG/page-1", "NBSG11MNHTBG")</f>
        <v>NBSG11MNHTBG</v>
      </c>
      <c r="B43608" s="3" t="str">
        <f>HYPERLINK("https://www.773grp.com/manufacturer/onsemi?pageNo=850", "ON Semiconductor")</f>
        <v>ON Semiconductor</v>
      </c>
      <c r="C43608" s="6">
        <v>1600</v>
      </c>
      <c r="D43608" s="7">
        <v>78.75</v>
      </c>
      <c r="E43608" t="s">
        <v>34</v>
      </c>
    </row>
    <row r="43609" spans="1:5" x14ac:dyDescent="0.25">
      <c r="A43609" t="str">
        <f>HYPERLINK("https://www.773grp.com/globalSearch/NBSG111BAHTBG/page-1", "NBSG111BAHTBG")</f>
        <v>NBSG111BAHTBG</v>
      </c>
      <c r="B43609" s="3" t="str">
        <f>HYPERLINK("https://www.773grp.com/manufacturer/onsemi?pageNo=851", "ON Semiconductor")</f>
        <v>ON Semiconductor</v>
      </c>
      <c r="C43609" s="6">
        <v>4000</v>
      </c>
      <c r="D43609" s="7">
        <v>84.38</v>
      </c>
      <c r="E43609" t="s">
        <v>34</v>
      </c>
    </row>
    <row r="43610" spans="1:5" x14ac:dyDescent="0.25">
      <c r="A43610" t="str">
        <f>HYPERLINK("https://www.773grp.com/globalSearch/NB7L216MN/page-1", "NB7L216MN")</f>
        <v>NB7L216MN</v>
      </c>
      <c r="B43610" s="3" t="str">
        <f>HYPERLINK("https://www.773grp.com/manufacturer/onsemi?pageNo=852", "ON Semiconductor")</f>
        <v>ON Semiconductor</v>
      </c>
      <c r="C43610" s="6">
        <v>615</v>
      </c>
      <c r="D43610" s="7">
        <v>92.81</v>
      </c>
      <c r="E43610" t="s">
        <v>74</v>
      </c>
    </row>
    <row r="43611" spans="1:5" x14ac:dyDescent="0.25">
      <c r="A43611" t="str">
        <f>HYPERLINK("https://www.773grp.com/globalSearch/NB7L216MNG/page-1", "NB7L216MNG")</f>
        <v>NB7L216MNG</v>
      </c>
      <c r="B43611" s="3" t="str">
        <f>HYPERLINK("https://www.773grp.com/manufacturer/onsemi?pageNo=853", "ON Semiconductor")</f>
        <v>ON Semiconductor</v>
      </c>
      <c r="C43611" s="6">
        <v>960</v>
      </c>
      <c r="D43611" s="7">
        <v>92.81</v>
      </c>
      <c r="E43611" t="s">
        <v>74</v>
      </c>
    </row>
    <row r="43612" spans="1:5" x14ac:dyDescent="0.25">
      <c r="A43612" t="str">
        <f>HYPERLINK("https://www.773grp.com/globalSearch/02A6A-125-XMD/page-1", "02A6A-125-XMD")</f>
        <v>02A6A-125-XMD</v>
      </c>
      <c r="B43612" s="3" t="str">
        <f>HYPERLINK("https://www.773grp.com/manufacturer/onsemi?pageNo=854", "ON Semiconductor")</f>
        <v>ON Semiconductor</v>
      </c>
      <c r="C43612" s="6">
        <v>139</v>
      </c>
      <c r="D43612" s="7">
        <v>94.5</v>
      </c>
    </row>
    <row r="43613" spans="1:5" x14ac:dyDescent="0.25">
      <c r="A43613" t="str">
        <f>HYPERLINK("https://www.773grp.com/globalSearch/NBSG14BAR2/page-1", "NBSG14BAR2")</f>
        <v>NBSG14BAR2</v>
      </c>
      <c r="B43613" s="3" t="str">
        <f>HYPERLINK("https://www.773grp.com/manufacturer/onsemi?pageNo=855", "ON Semiconductor")</f>
        <v>ON Semiconductor</v>
      </c>
      <c r="C43613" s="6">
        <v>7778</v>
      </c>
      <c r="D43613" s="7">
        <v>94.5</v>
      </c>
      <c r="E43613" t="s">
        <v>34</v>
      </c>
    </row>
    <row r="43614" spans="1:5" x14ac:dyDescent="0.25">
      <c r="A43614" t="str">
        <f>HYPERLINK("https://www.773grp.com/globalSearch/NBSG14MN/page-1", "NBSG14MN")</f>
        <v>NBSG14MN</v>
      </c>
      <c r="B43614" s="3" t="str">
        <f>HYPERLINK("https://www.773grp.com/manufacturer/onsemi?pageNo=856", "ON Semiconductor")</f>
        <v>ON Semiconductor</v>
      </c>
      <c r="C43614" s="6">
        <v>8000</v>
      </c>
      <c r="D43614" s="7">
        <v>94.5</v>
      </c>
      <c r="E43614" t="s">
        <v>34</v>
      </c>
    </row>
    <row r="43615" spans="1:5" x14ac:dyDescent="0.25">
      <c r="A43615" t="str">
        <f>HYPERLINK("https://www.773grp.com/globalSearch/NBSG14MNG/page-1", "NBSG14MNG")</f>
        <v>NBSG14MNG</v>
      </c>
      <c r="B43615" s="3" t="str">
        <f>HYPERLINK("https://www.773grp.com/manufacturer/onsemi?pageNo=857", "ON Semiconductor")</f>
        <v>ON Semiconductor</v>
      </c>
      <c r="C43615" s="6">
        <v>3142</v>
      </c>
      <c r="D43615" s="7">
        <v>94.5</v>
      </c>
      <c r="E43615" t="s">
        <v>34</v>
      </c>
    </row>
    <row r="43616" spans="1:5" x14ac:dyDescent="0.25">
      <c r="A43616" t="str">
        <f>HYPERLINK("https://www.773grp.com/globalSearch/NBSG14MNHTBG/page-1", "NBSG14MNHTBG")</f>
        <v>NBSG14MNHTBG</v>
      </c>
      <c r="B43616" s="3" t="str">
        <f>HYPERLINK("https://www.773grp.com/manufacturer/onsemi?pageNo=858", "ON Semiconductor")</f>
        <v>ON Semiconductor</v>
      </c>
      <c r="C43616" s="6">
        <v>2200</v>
      </c>
      <c r="D43616" s="7">
        <v>94.5</v>
      </c>
      <c r="E43616" t="s">
        <v>34</v>
      </c>
    </row>
    <row r="43617" spans="1:5" x14ac:dyDescent="0.25">
      <c r="A43617" t="str">
        <f>HYPERLINK("https://www.773grp.com/globalSearch/NB7L111MMN/page-1", "NB7L111MMN")</f>
        <v>NB7L111MMN</v>
      </c>
      <c r="B43617" s="3" t="str">
        <f>HYPERLINK("https://www.773grp.com/manufacturer/onsemi?pageNo=859", "ON Semiconductor")</f>
        <v>ON Semiconductor</v>
      </c>
      <c r="C43617" s="6">
        <v>780</v>
      </c>
      <c r="D43617" s="7">
        <v>98.44</v>
      </c>
      <c r="E43617" t="s">
        <v>34</v>
      </c>
    </row>
    <row r="43618" spans="1:5" x14ac:dyDescent="0.25">
      <c r="A43618" t="str">
        <f>HYPERLINK("https://www.773grp.com/globalSearch/NB7L111MMNG/page-1", "NB7L111MMNG")</f>
        <v>NB7L111MMNG</v>
      </c>
      <c r="B43618" s="3" t="str">
        <f>HYPERLINK("https://www.773grp.com/manufacturer/onsemi?pageNo=860", "ON Semiconductor")</f>
        <v>ON Semiconductor</v>
      </c>
      <c r="C43618" s="6">
        <v>1084</v>
      </c>
      <c r="D43618" s="7">
        <v>98.44</v>
      </c>
      <c r="E43618" t="s">
        <v>34</v>
      </c>
    </row>
    <row r="43619" spans="1:5" x14ac:dyDescent="0.25">
      <c r="A43619" t="str">
        <f>HYPERLINK("https://www.773grp.com/globalSearch/NB7L111MMNR2G/page-1", "NB7L111MMNR2G")</f>
        <v>NB7L111MMNR2G</v>
      </c>
      <c r="B43619" s="3" t="str">
        <f>HYPERLINK("https://www.773grp.com/manufacturer/onsemi?pageNo=861", "ON Semiconductor")</f>
        <v>ON Semiconductor</v>
      </c>
      <c r="C43619" s="6">
        <v>25</v>
      </c>
      <c r="D43619" s="7">
        <v>98.44</v>
      </c>
      <c r="E43619" t="s">
        <v>34</v>
      </c>
    </row>
    <row r="43620" spans="1:5" x14ac:dyDescent="0.25">
      <c r="A43620" t="str">
        <f>HYPERLINK("https://www.773grp.com/globalSearch/AD7875KNZ/page-1", "AD7875KNZ")</f>
        <v>AD7875KNZ</v>
      </c>
      <c r="B43620" s="3" t="str">
        <f>HYPERLINK("https://www.773grp.com/manufacturer/onsemi?pageNo=862", "ON Semiconductor")</f>
        <v>ON Semiconductor</v>
      </c>
      <c r="C43620" s="6">
        <v>12</v>
      </c>
      <c r="D43620" s="7">
        <v>103.14</v>
      </c>
    </row>
    <row r="43621" spans="1:5" x14ac:dyDescent="0.25">
      <c r="A43621" t="str">
        <f>HYPERLINK("https://www.773grp.com/globalSearch/NOIL1SE0300A-QDC/page-1", "NOIL1SE0300A-QDC")</f>
        <v>NOIL1SE0300A-QDC</v>
      </c>
      <c r="B43621" s="3" t="str">
        <f>HYPERLINK("https://www.773grp.com/manufacturer/onsemi?pageNo=863", "ON Semiconductor")</f>
        <v>ON Semiconductor</v>
      </c>
      <c r="C43621" s="6">
        <v>2698</v>
      </c>
      <c r="D43621" s="7">
        <v>213.6</v>
      </c>
    </row>
    <row r="43622" spans="1:5" x14ac:dyDescent="0.25">
      <c r="A43622" t="str">
        <f>HYPERLINK("https://www.773grp.com/globalSearch/NOIV2SN1300A-QDC/page-1", "NOIV2SN1300A-QDC")</f>
        <v>NOIV2SN1300A-QDC</v>
      </c>
      <c r="B43622" s="3" t="str">
        <f>HYPERLINK("https://www.773grp.com/manufacturer/onsemi?pageNo=864", "ON Semiconductor")</f>
        <v>ON Semiconductor</v>
      </c>
      <c r="C43622" s="6">
        <v>843</v>
      </c>
      <c r="D43622" s="7">
        <v>253.13</v>
      </c>
    </row>
    <row r="43623" spans="1:5" x14ac:dyDescent="0.25">
      <c r="A43623" t="str">
        <f>HYPERLINK("https://www.773grp.com/globalSearch/NOIV1SE1300A-QDC/page-1", "NOIV1SE1300A-QDC")</f>
        <v>NOIV1SE1300A-QDC</v>
      </c>
      <c r="B43623" s="3" t="str">
        <f>HYPERLINK("https://www.773grp.com/manufacturer/onsemi?pageNo=865", "ON Semiconductor")</f>
        <v>ON Semiconductor</v>
      </c>
      <c r="C43623" s="6">
        <v>40</v>
      </c>
      <c r="D43623" s="7">
        <v>222.16</v>
      </c>
    </row>
    <row r="43624" spans="1:5" x14ac:dyDescent="0.25">
      <c r="A43624" t="str">
        <f>HYPERLINK("https://www.773grp.com/globalSearch/NCP5314MNR2/page-1", "NCP5314MNR2")</f>
        <v>NCP5314MNR2</v>
      </c>
      <c r="B43624" s="3" t="str">
        <f>HYPERLINK("https://www.773grp.com/manufacturer/onsemi?pageNo=866", "ON Semiconductor")</f>
        <v>ON Semiconductor</v>
      </c>
      <c r="C43624" s="6">
        <v>4952</v>
      </c>
      <c r="D43624" s="7">
        <v>278.44</v>
      </c>
      <c r="E43624" t="s">
        <v>7</v>
      </c>
    </row>
    <row r="43625" spans="1:5" x14ac:dyDescent="0.25">
      <c r="A43625" t="str">
        <f>HYPERLINK("https://www.773grp.com/globalSearch/NOIV1SE2000A-QDC/page-1", "NOIV1SE2000A-QDC")</f>
        <v>NOIV1SE2000A-QDC</v>
      </c>
      <c r="B43625" s="3" t="str">
        <f>HYPERLINK("https://www.773grp.com/manufacturer/onsemi?pageNo=867", "ON Semiconductor")</f>
        <v>ON Semiconductor</v>
      </c>
      <c r="C43625" s="6">
        <v>58</v>
      </c>
      <c r="D43625" s="7">
        <v>365.28</v>
      </c>
    </row>
    <row r="43626" spans="1:5" x14ac:dyDescent="0.25">
      <c r="A43626" t="str">
        <f>HYPERLINK("https://www.773grp.com/globalSearch/NBSG111BAEVB/page-1", "NBSG111BAEVB")</f>
        <v>NBSG111BAEVB</v>
      </c>
      <c r="B43626" s="3" t="str">
        <f>HYPERLINK("https://www.773grp.com/manufacturer/onsemi?pageNo=868", "ON Semiconductor")</f>
        <v>ON Semiconductor</v>
      </c>
      <c r="C43626" s="6">
        <v>2</v>
      </c>
      <c r="D43626" s="7">
        <v>854.44</v>
      </c>
    </row>
    <row r="43627" spans="1:5" x14ac:dyDescent="0.25">
      <c r="A43627" t="str">
        <f>HYPERLINK("https://www.773grp.com/globalSearch/NOIL2SM1300A-GDC/page-1", "NOIL2SM1300A-GDC")</f>
        <v>NOIL2SM1300A-GDC</v>
      </c>
      <c r="B43627" s="3" t="str">
        <f>HYPERLINK("https://www.773grp.com/manufacturer/onsemi?pageNo=869", "ON Semiconductor")</f>
        <v>ON Semiconductor</v>
      </c>
      <c r="C43627" s="6">
        <v>6</v>
      </c>
      <c r="D43627" s="7">
        <v>2048.4899999999998</v>
      </c>
    </row>
    <row r="43628" spans="1:5" x14ac:dyDescent="0.25">
      <c r="A43628" t="str">
        <f>HYPERLINK("https://www.773grp.com/globalSearch/NOIV1SN025KA-GDC/page-1", "NOIV1SN025KA-GDC")</f>
        <v>NOIV1SN025KA-GDC</v>
      </c>
      <c r="B43628" s="3" t="str">
        <f>HYPERLINK("https://www.773grp.com/manufacturer/onsemi?pageNo=870", "ON Semiconductor")</f>
        <v>ON Semiconductor</v>
      </c>
      <c r="C43628" s="6">
        <v>2</v>
      </c>
      <c r="D43628" s="7">
        <v>5874.2</v>
      </c>
    </row>
    <row r="43629" spans="1:5" x14ac:dyDescent="0.25">
      <c r="A43629" t="str">
        <f>HYPERLINK("https://www.773grp.com/globalSearch/100166FC-B  LT/page-1", "100166FC-B  LT")</f>
        <v>100166FC-B  LT</v>
      </c>
      <c r="B43629" s="3" t="str">
        <f>HYPERLINK("https://www.773grp.com/manufacturer/onsemi?pageNo=871", "ON Semiconductor")</f>
        <v>ON Semiconductor</v>
      </c>
      <c r="C43629" s="6">
        <v>48</v>
      </c>
      <c r="D43629" s="7">
        <v>0</v>
      </c>
    </row>
    <row r="43630" spans="1:5" x14ac:dyDescent="0.25">
      <c r="A43630" t="str">
        <f>HYPERLINK("https://www.773grp.com/globalSearch/100180FC/page-1", "100180FC")</f>
        <v>100180FC</v>
      </c>
      <c r="B43630" s="3" t="str">
        <f>HYPERLINK("https://www.773grp.com/manufacturer/onsemi?pageNo=872", "ON Semiconductor")</f>
        <v>ON Semiconductor</v>
      </c>
      <c r="C43630" s="6">
        <v>7</v>
      </c>
      <c r="D43630" s="7">
        <v>0</v>
      </c>
      <c r="E43630" t="s">
        <v>43</v>
      </c>
    </row>
    <row r="43631" spans="1:5" x14ac:dyDescent="0.25">
      <c r="A43631" t="str">
        <f>HYPERLINK("https://www.773grp.com/globalSearch/100180FC LT/page-1", "100180FC LT")</f>
        <v>100180FC LT</v>
      </c>
      <c r="B43631" s="3" t="str">
        <f>HYPERLINK("https://www.773grp.com/manufacturer/onsemi?pageNo=873", "ON Semiconductor")</f>
        <v>ON Semiconductor</v>
      </c>
      <c r="C43631" s="6">
        <v>17</v>
      </c>
      <c r="D43631" s="7">
        <v>0</v>
      </c>
    </row>
    <row r="43632" spans="1:5" x14ac:dyDescent="0.25">
      <c r="A43632" t="str">
        <f>HYPERLINK("https://www.773grp.com/globalSearch/27C16Q45-B/page-1", "27C16Q45-B")</f>
        <v>27C16Q45-B</v>
      </c>
      <c r="B43632" s="3" t="str">
        <f>HYPERLINK("https://www.773grp.com/manufacturer/onsemi?pageNo=874", "ON Semiconductor")</f>
        <v>ON Semiconductor</v>
      </c>
      <c r="C43632" s="6">
        <v>2</v>
      </c>
      <c r="D43632" s="7">
        <v>0</v>
      </c>
    </row>
    <row r="43633" spans="1:4" x14ac:dyDescent="0.25">
      <c r="A43633" t="str">
        <f>HYPERLINK("https://www.773grp.com/globalSearch/27LS00AFM-B  LT/page-1", "27LS00AFM-B  LT")</f>
        <v>27LS00AFM-B  LT</v>
      </c>
      <c r="B43633" s="3" t="str">
        <f>HYPERLINK("https://www.773grp.com/manufacturer/onsemi?pageNo=875", "ON Semiconductor")</f>
        <v>ON Semiconductor</v>
      </c>
      <c r="C43633" s="6">
        <v>140</v>
      </c>
      <c r="D43633" s="7">
        <v>0</v>
      </c>
    </row>
    <row r="43634" spans="1:4" x14ac:dyDescent="0.25">
      <c r="A43634" t="str">
        <f>HYPERLINK("https://www.773grp.com/globalSearch/27LS00DM-B  LT/page-1", "27LS00DM-B  LT")</f>
        <v>27LS00DM-B  LT</v>
      </c>
      <c r="B43634" s="3" t="str">
        <f>HYPERLINK("https://www.773grp.com/manufacturer/onsemi?pageNo=876", "ON Semiconductor")</f>
        <v>ON Semiconductor</v>
      </c>
      <c r="C43634" s="6">
        <v>48</v>
      </c>
      <c r="D43634" s="7">
        <v>0</v>
      </c>
    </row>
    <row r="43635" spans="1:4" x14ac:dyDescent="0.25">
      <c r="A43635" t="str">
        <f>HYPERLINK("https://www.773grp.com/globalSearch/27S35FM-B  LT/page-1", "27S35FM-B  LT")</f>
        <v>27S35FM-B  LT</v>
      </c>
      <c r="B43635" s="3" t="str">
        <f>HYPERLINK("https://www.773grp.com/manufacturer/onsemi?pageNo=877", "ON Semiconductor")</f>
        <v>ON Semiconductor</v>
      </c>
      <c r="C43635" s="6">
        <v>48</v>
      </c>
      <c r="D43635" s="7">
        <v>0</v>
      </c>
    </row>
    <row r="43636" spans="1:4" x14ac:dyDescent="0.25">
      <c r="A43636" t="str">
        <f>HYPERLINK("https://www.773grp.com/globalSearch/2909AFM-B  UT/page-1", "2909AFM-B  UT")</f>
        <v>2909AFM-B  UT</v>
      </c>
      <c r="B43636" s="3" t="str">
        <f>HYPERLINK("https://www.773grp.com/manufacturer/onsemi?pageNo=878", "ON Semiconductor")</f>
        <v>ON Semiconductor</v>
      </c>
      <c r="C43636" s="6">
        <v>48</v>
      </c>
      <c r="D43636" s="7">
        <v>0</v>
      </c>
    </row>
    <row r="43637" spans="1:4" x14ac:dyDescent="0.25">
      <c r="A43637" t="str">
        <f>HYPERLINK("https://www.773grp.com/globalSearch/29CPL154H-25DC/page-1", "29CPL154H-25DC")</f>
        <v>29CPL154H-25DC</v>
      </c>
      <c r="B43637" s="3" t="str">
        <f>HYPERLINK("https://www.773grp.com/manufacturer/onsemi?pageNo=879", "ON Semiconductor")</f>
        <v>ON Semiconductor</v>
      </c>
      <c r="C43637" s="6">
        <v>69</v>
      </c>
      <c r="D43637" s="7">
        <v>0</v>
      </c>
    </row>
    <row r="43638" spans="1:4" x14ac:dyDescent="0.25">
      <c r="A43638" t="str">
        <f>HYPERLINK("https://www.773grp.com/globalSearch/29CPL154H30DC LT/page-1", "29CPL154H30DC LT")</f>
        <v>29CPL154H30DC LT</v>
      </c>
      <c r="B43638" s="3" t="str">
        <f>HYPERLINK("https://www.773grp.com/manufacturer/onsemi?pageNo=880", "ON Semiconductor")</f>
        <v>ON Semiconductor</v>
      </c>
      <c r="C43638" s="6">
        <v>1</v>
      </c>
      <c r="D43638" s="7">
        <v>0</v>
      </c>
    </row>
    <row r="43639" spans="1:4" x14ac:dyDescent="0.25">
      <c r="A43639" t="str">
        <f>HYPERLINK("https://www.773grp.com/globalSearch/54100J-C  LT/page-1", "54100J-C  LT")</f>
        <v>54100J-C  LT</v>
      </c>
      <c r="B43639" s="3" t="str">
        <f>HYPERLINK("https://www.773grp.com/manufacturer/onsemi?pageNo=881", "ON Semiconductor")</f>
        <v>ON Semiconductor</v>
      </c>
      <c r="C43639" s="6">
        <v>44</v>
      </c>
      <c r="D43639" s="7">
        <v>0</v>
      </c>
    </row>
    <row r="43640" spans="1:4" x14ac:dyDescent="0.25">
      <c r="A43640" t="str">
        <f>HYPERLINK("https://www.773grp.com/globalSearch/54152ADM-B  LT/page-1", "54152ADM-B  LT")</f>
        <v>54152ADM-B  LT</v>
      </c>
      <c r="B43640" s="3" t="str">
        <f>HYPERLINK("https://www.773grp.com/manufacturer/onsemi?pageNo=882", "ON Semiconductor")</f>
        <v>ON Semiconductor</v>
      </c>
      <c r="C43640" s="6">
        <v>45</v>
      </c>
      <c r="D43640" s="7">
        <v>0</v>
      </c>
    </row>
    <row r="43641" spans="1:4" x14ac:dyDescent="0.25">
      <c r="A43641" t="str">
        <f>HYPERLINK("https://www.773grp.com/globalSearch/54152AW-B  LT/page-1", "54152AW-B  LT")</f>
        <v>54152AW-B  LT</v>
      </c>
      <c r="B43641" s="3" t="str">
        <f>HYPERLINK("https://www.773grp.com/manufacturer/onsemi?pageNo=883", "ON Semiconductor")</f>
        <v>ON Semiconductor</v>
      </c>
      <c r="C43641" s="6">
        <v>48</v>
      </c>
      <c r="D43641" s="7">
        <v>0</v>
      </c>
    </row>
    <row r="43642" spans="1:4" x14ac:dyDescent="0.25">
      <c r="A43642" t="str">
        <f>HYPERLINK("https://www.773grp.com/globalSearch/54184J-B/page-1", "54184J-B")</f>
        <v>54184J-B</v>
      </c>
      <c r="B43642" s="3" t="str">
        <f>HYPERLINK("https://www.773grp.com/manufacturer/onsemi?pageNo=884", "ON Semiconductor")</f>
        <v>ON Semiconductor</v>
      </c>
      <c r="C43642" s="6">
        <v>11</v>
      </c>
      <c r="D43642" s="7">
        <v>0</v>
      </c>
    </row>
    <row r="43643" spans="1:4" x14ac:dyDescent="0.25">
      <c r="A43643" t="str">
        <f>HYPERLINK("https://www.773grp.com/globalSearch/54184J-C  LT/page-1", "54184J-C  LT")</f>
        <v>54184J-C  LT</v>
      </c>
      <c r="B43643" s="3" t="str">
        <f>HYPERLINK("https://www.773grp.com/manufacturer/onsemi?pageNo=885", "ON Semiconductor")</f>
        <v>ON Semiconductor</v>
      </c>
      <c r="C43643" s="6">
        <v>90</v>
      </c>
      <c r="D43643" s="7">
        <v>0</v>
      </c>
    </row>
    <row r="43644" spans="1:4" x14ac:dyDescent="0.25">
      <c r="A43644" t="str">
        <f>HYPERLINK("https://www.773grp.com/globalSearch/54185AJ-C LT/page-1", "54185AJ-C LT")</f>
        <v>54185AJ-C LT</v>
      </c>
      <c r="B43644" s="3" t="str">
        <f>HYPERLINK("https://www.773grp.com/manufacturer/onsemi?pageNo=886", "ON Semiconductor")</f>
        <v>ON Semiconductor</v>
      </c>
      <c r="C43644" s="6">
        <v>45</v>
      </c>
      <c r="D43644" s="7">
        <v>0</v>
      </c>
    </row>
    <row r="43645" spans="1:4" x14ac:dyDescent="0.25">
      <c r="A43645" t="str">
        <f>HYPERLINK("https://www.773grp.com/globalSearch/54199FM-B  LT/page-1", "54199FM-B  LT")</f>
        <v>54199FM-B  LT</v>
      </c>
      <c r="B43645" s="3" t="str">
        <f>HYPERLINK("https://www.773grp.com/manufacturer/onsemi?pageNo=887", "ON Semiconductor")</f>
        <v>ON Semiconductor</v>
      </c>
      <c r="C43645" s="6">
        <v>48</v>
      </c>
      <c r="D43645" s="7">
        <v>0</v>
      </c>
    </row>
    <row r="43646" spans="1:4" x14ac:dyDescent="0.25">
      <c r="A43646" t="str">
        <f>HYPERLINK("https://www.773grp.com/globalSearch/54273J-C  LT/page-1", "54273J-C  LT")</f>
        <v>54273J-C  LT</v>
      </c>
      <c r="B43646" s="3" t="str">
        <f>HYPERLINK("https://www.773grp.com/manufacturer/onsemi?pageNo=888", "ON Semiconductor")</f>
        <v>ON Semiconductor</v>
      </c>
      <c r="C43646" s="6">
        <v>45</v>
      </c>
      <c r="D43646" s="7">
        <v>0</v>
      </c>
    </row>
    <row r="43647" spans="1:4" x14ac:dyDescent="0.25">
      <c r="A43647" t="str">
        <f>HYPERLINK("https://www.773grp.com/globalSearch/5460DM-B  LT/page-1", "5460DM-B  LT")</f>
        <v>5460DM-B  LT</v>
      </c>
      <c r="B43647" s="3" t="str">
        <f>HYPERLINK("https://www.773grp.com/manufacturer/onsemi?pageNo=889", "ON Semiconductor")</f>
        <v>ON Semiconductor</v>
      </c>
      <c r="C43647" s="6">
        <v>45</v>
      </c>
      <c r="D43647" s="7">
        <v>0</v>
      </c>
    </row>
    <row r="43648" spans="1:4" x14ac:dyDescent="0.25">
      <c r="A43648" t="str">
        <f>HYPERLINK("https://www.773grp.com/globalSearch/5472-BCA  LT/page-1", "5472-BCA  LT")</f>
        <v>5472-BCA  LT</v>
      </c>
      <c r="B43648" s="3" t="str">
        <f>HYPERLINK("https://www.773grp.com/manufacturer/onsemi?pageNo=890", "ON Semiconductor")</f>
        <v>ON Semiconductor</v>
      </c>
      <c r="C43648" s="6">
        <v>48</v>
      </c>
      <c r="D43648" s="7">
        <v>0</v>
      </c>
    </row>
    <row r="43649" spans="1:4" x14ac:dyDescent="0.25">
      <c r="A43649" t="str">
        <f>HYPERLINK("https://www.773grp.com/globalSearch/5482J-B  LT/page-1", "5482J-B  LT")</f>
        <v>5482J-B  LT</v>
      </c>
      <c r="B43649" s="3" t="str">
        <f>HYPERLINK("https://www.773grp.com/manufacturer/onsemi?pageNo=891", "ON Semiconductor")</f>
        <v>ON Semiconductor</v>
      </c>
      <c r="C43649" s="6">
        <v>48</v>
      </c>
      <c r="D43649" s="7">
        <v>0</v>
      </c>
    </row>
    <row r="43650" spans="1:4" x14ac:dyDescent="0.25">
      <c r="A43650" t="str">
        <f>HYPERLINK("https://www.773grp.com/globalSearch/5482W-R  LF/page-1", "5482W-R  LF")</f>
        <v>5482W-R  LF</v>
      </c>
      <c r="B43650" s="3" t="str">
        <f>HYPERLINK("https://www.773grp.com/manufacturer/onsemi?pageNo=892", "ON Semiconductor")</f>
        <v>ON Semiconductor</v>
      </c>
      <c r="C43650" s="6">
        <v>26</v>
      </c>
      <c r="D43650" s="7">
        <v>0</v>
      </c>
    </row>
    <row r="43651" spans="1:4" x14ac:dyDescent="0.25">
      <c r="A43651" t="str">
        <f>HYPERLINK("https://www.773grp.com/globalSearch/54ACT11004FK-B  LT/page-1", "54ACT11004FK-B  LT")</f>
        <v>54ACT11004FK-B  LT</v>
      </c>
      <c r="B43651" s="3" t="str">
        <f>HYPERLINK("https://www.773grp.com/manufacturer/onsemi?pageNo=893", "ON Semiconductor")</f>
        <v>ON Semiconductor</v>
      </c>
      <c r="C43651" s="6">
        <v>48</v>
      </c>
      <c r="D43651" s="7">
        <v>0</v>
      </c>
    </row>
    <row r="43652" spans="1:4" x14ac:dyDescent="0.25">
      <c r="A43652" t="str">
        <f>HYPERLINK("https://www.773grp.com/globalSearch/54H01J-B  LT/page-1", "54H01J-B  LT")</f>
        <v>54H01J-B  LT</v>
      </c>
      <c r="B43652" s="3" t="str">
        <f>HYPERLINK("https://www.773grp.com/manufacturer/onsemi?pageNo=894", "ON Semiconductor")</f>
        <v>ON Semiconductor</v>
      </c>
      <c r="C43652" s="6">
        <v>46</v>
      </c>
      <c r="D43652" s="7">
        <v>0</v>
      </c>
    </row>
    <row r="43653" spans="1:4" x14ac:dyDescent="0.25">
      <c r="A43653" t="str">
        <f>HYPERLINK("https://www.773grp.com/globalSearch/54H04-BCA  LT/page-1", "54H04-BCA  LT")</f>
        <v>54H04-BCA  LT</v>
      </c>
      <c r="B43653" s="3" t="str">
        <f>HYPERLINK("https://www.773grp.com/manufacturer/onsemi?pageNo=895", "ON Semiconductor")</f>
        <v>ON Semiconductor</v>
      </c>
      <c r="C43653" s="6">
        <v>34</v>
      </c>
      <c r="D43653" s="7">
        <v>0</v>
      </c>
    </row>
    <row r="43654" spans="1:4" x14ac:dyDescent="0.25">
      <c r="A43654" t="str">
        <f>HYPERLINK("https://www.773grp.com/globalSearch/54H08FM-B/page-1", "54H08FM-B")</f>
        <v>54H08FM-B</v>
      </c>
      <c r="B43654" s="3" t="str">
        <f>HYPERLINK("https://www.773grp.com/manufacturer/onsemi?pageNo=896", "ON Semiconductor")</f>
        <v>ON Semiconductor</v>
      </c>
      <c r="C43654" s="6">
        <v>199</v>
      </c>
      <c r="D43654" s="7">
        <v>0</v>
      </c>
    </row>
    <row r="43655" spans="1:4" x14ac:dyDescent="0.25">
      <c r="A43655" t="str">
        <f>HYPERLINK("https://www.773grp.com/globalSearch/54H106DM-C  LT/page-1", "54H106DM-C  LT")</f>
        <v>54H106DM-C  LT</v>
      </c>
      <c r="B43655" s="3" t="str">
        <f>HYPERLINK("https://www.773grp.com/manufacturer/onsemi?pageNo=897", "ON Semiconductor")</f>
        <v>ON Semiconductor</v>
      </c>
      <c r="C43655" s="6">
        <v>45</v>
      </c>
      <c r="D43655" s="7">
        <v>0</v>
      </c>
    </row>
    <row r="43656" spans="1:4" x14ac:dyDescent="0.25">
      <c r="A43656" t="str">
        <f>HYPERLINK("https://www.773grp.com/globalSearch/54H108J-C  LT/page-1", "54H108J-C  LT")</f>
        <v>54H108J-C  LT</v>
      </c>
      <c r="B43656" s="3" t="str">
        <f>HYPERLINK("https://www.773grp.com/manufacturer/onsemi?pageNo=898", "ON Semiconductor")</f>
        <v>ON Semiconductor</v>
      </c>
      <c r="C43656" s="6">
        <v>45</v>
      </c>
      <c r="D43656" s="7">
        <v>0</v>
      </c>
    </row>
    <row r="43657" spans="1:4" x14ac:dyDescent="0.25">
      <c r="A43657" t="str">
        <f>HYPERLINK("https://www.773grp.com/globalSearch/54H10J-C  LT/page-1", "54H10J-C  LT")</f>
        <v>54H10J-C  LT</v>
      </c>
      <c r="B43657" s="3" t="str">
        <f>HYPERLINK("https://www.773grp.com/manufacturer/onsemi?pageNo=899", "ON Semiconductor")</f>
        <v>ON Semiconductor</v>
      </c>
      <c r="C43657" s="6">
        <v>45</v>
      </c>
      <c r="D43657" s="7">
        <v>0</v>
      </c>
    </row>
    <row r="43658" spans="1:4" x14ac:dyDescent="0.25">
      <c r="A43658" t="str">
        <f>HYPERLINK("https://www.773grp.com/globalSearch/54H11DM-C  LT/page-1", "54H11DM-C  LT")</f>
        <v>54H11DM-C  LT</v>
      </c>
      <c r="B43658" s="3" t="str">
        <f>HYPERLINK("https://www.773grp.com/manufacturer/onsemi?pageNo=900", "ON Semiconductor")</f>
        <v>ON Semiconductor</v>
      </c>
      <c r="C43658" s="6">
        <v>45</v>
      </c>
      <c r="D43658" s="7">
        <v>0</v>
      </c>
    </row>
    <row r="43659" spans="1:4" x14ac:dyDescent="0.25">
      <c r="A43659" t="str">
        <f>HYPERLINK("https://www.773grp.com/globalSearch/54H20DM-B  LT/page-1", "54H20DM-B  LT")</f>
        <v>54H20DM-B  LT</v>
      </c>
      <c r="B43659" s="3" t="str">
        <f>HYPERLINK("https://www.773grp.com/manufacturer/onsemi?pageNo=901", "ON Semiconductor")</f>
        <v>ON Semiconductor</v>
      </c>
      <c r="C43659" s="6">
        <v>45</v>
      </c>
      <c r="D43659" s="7">
        <v>0</v>
      </c>
    </row>
    <row r="43660" spans="1:4" x14ac:dyDescent="0.25">
      <c r="A43660" t="str">
        <f>HYPERLINK("https://www.773grp.com/globalSearch/54H21W-C/page-1", "54H21W-C")</f>
        <v>54H21W-C</v>
      </c>
      <c r="B43660" s="3" t="str">
        <f>HYPERLINK("https://www.773grp.com/manufacturer/onsemi?pageNo=902", "ON Semiconductor")</f>
        <v>ON Semiconductor</v>
      </c>
      <c r="C43660" s="6">
        <v>228</v>
      </c>
      <c r="D43660" s="7">
        <v>0</v>
      </c>
    </row>
    <row r="43661" spans="1:4" x14ac:dyDescent="0.25">
      <c r="A43661" t="str">
        <f>HYPERLINK("https://www.773grp.com/globalSearch/54H30W-C  LT/page-1", "54H30W-C  LT")</f>
        <v>54H30W-C  LT</v>
      </c>
      <c r="B43661" s="3" t="str">
        <f>HYPERLINK("https://www.773grp.com/manufacturer/onsemi?pageNo=903", "ON Semiconductor")</f>
        <v>ON Semiconductor</v>
      </c>
      <c r="C43661" s="6">
        <v>45</v>
      </c>
      <c r="D43661" s="7">
        <v>0</v>
      </c>
    </row>
    <row r="43662" spans="1:4" x14ac:dyDescent="0.25">
      <c r="A43662" t="str">
        <f>HYPERLINK("https://www.773grp.com/globalSearch/54H30W-C  UT/page-1", "54H30W-C  UT")</f>
        <v>54H30W-C  UT</v>
      </c>
      <c r="B43662" s="3" t="str">
        <f>HYPERLINK("https://www.773grp.com/manufacturer/onsemi?pageNo=904", "ON Semiconductor")</f>
        <v>ON Semiconductor</v>
      </c>
      <c r="C43662" s="6">
        <v>2397</v>
      </c>
      <c r="D43662" s="7">
        <v>0</v>
      </c>
    </row>
    <row r="43663" spans="1:4" x14ac:dyDescent="0.25">
      <c r="A43663" t="str">
        <f>HYPERLINK("https://www.773grp.com/globalSearch/54H52J-C  LT/page-1", "54H52J-C  LT")</f>
        <v>54H52J-C  LT</v>
      </c>
      <c r="B43663" s="3" t="str">
        <f>HYPERLINK("https://www.773grp.com/manufacturer/onsemi?pageNo=905", "ON Semiconductor")</f>
        <v>ON Semiconductor</v>
      </c>
      <c r="C43663" s="6">
        <v>45</v>
      </c>
      <c r="D43663" s="7">
        <v>0</v>
      </c>
    </row>
    <row r="43664" spans="1:4" x14ac:dyDescent="0.25">
      <c r="A43664" t="str">
        <f>HYPERLINK("https://www.773grp.com/globalSearch/54H54W-C  LT/page-1", "54H54W-C  LT")</f>
        <v>54H54W-C  LT</v>
      </c>
      <c r="B43664" s="3" t="str">
        <f>HYPERLINK("https://www.773grp.com/manufacturer/onsemi?pageNo=906", "ON Semiconductor")</f>
        <v>ON Semiconductor</v>
      </c>
      <c r="C43664" s="6">
        <v>45</v>
      </c>
      <c r="D43664" s="7">
        <v>0</v>
      </c>
    </row>
    <row r="43665" spans="1:4" x14ac:dyDescent="0.25">
      <c r="A43665" t="str">
        <f>HYPERLINK("https://www.773grp.com/globalSearch/54H62J-B  LT/page-1", "54H62J-B  LT")</f>
        <v>54H62J-B  LT</v>
      </c>
      <c r="B43665" s="3" t="str">
        <f>HYPERLINK("https://www.773grp.com/manufacturer/onsemi?pageNo=907", "ON Semiconductor")</f>
        <v>ON Semiconductor</v>
      </c>
      <c r="C43665" s="6">
        <v>47</v>
      </c>
      <c r="D43665" s="7">
        <v>0</v>
      </c>
    </row>
    <row r="43666" spans="1:4" x14ac:dyDescent="0.25">
      <c r="A43666" t="str">
        <f>HYPERLINK("https://www.773grp.com/globalSearch/54H72J-B/page-1", "54H72J-B")</f>
        <v>54H72J-B</v>
      </c>
      <c r="B43666" s="3" t="str">
        <f>HYPERLINK("https://www.773grp.com/manufacturer/onsemi?pageNo=908", "ON Semiconductor")</f>
        <v>ON Semiconductor</v>
      </c>
      <c r="C43666" s="6">
        <v>200</v>
      </c>
      <c r="D43666" s="7">
        <v>0</v>
      </c>
    </row>
    <row r="43667" spans="1:4" x14ac:dyDescent="0.25">
      <c r="A43667" t="str">
        <f>HYPERLINK("https://www.773grp.com/globalSearch/54H73J-C  LT/page-1", "54H73J-C  LT")</f>
        <v>54H73J-C  LT</v>
      </c>
      <c r="B43667" s="3" t="str">
        <f>HYPERLINK("https://www.773grp.com/manufacturer/onsemi?pageNo=909", "ON Semiconductor")</f>
        <v>ON Semiconductor</v>
      </c>
      <c r="C43667" s="6">
        <v>48</v>
      </c>
      <c r="D43667" s="7">
        <v>0</v>
      </c>
    </row>
    <row r="43668" spans="1:4" x14ac:dyDescent="0.25">
      <c r="A43668" t="str">
        <f>HYPERLINK("https://www.773grp.com/globalSearch/54H74J-C  LT/page-1", "54H74J-C  LT")</f>
        <v>54H74J-C  LT</v>
      </c>
      <c r="B43668" s="3" t="str">
        <f>HYPERLINK("https://www.773grp.com/manufacturer/onsemi?pageNo=910", "ON Semiconductor")</f>
        <v>ON Semiconductor</v>
      </c>
      <c r="C43668" s="6">
        <v>50</v>
      </c>
      <c r="D43668" s="7">
        <v>0</v>
      </c>
    </row>
    <row r="43669" spans="1:4" x14ac:dyDescent="0.25">
      <c r="A43669" t="str">
        <f>HYPERLINK("https://www.773grp.com/globalSearch/54H78J-B  LT/page-1", "54H78J-B  LT")</f>
        <v>54H78J-B  LT</v>
      </c>
      <c r="B43669" s="3" t="str">
        <f>HYPERLINK("https://www.773grp.com/manufacturer/onsemi?pageNo=911", "ON Semiconductor")</f>
        <v>ON Semiconductor</v>
      </c>
      <c r="C43669" s="6">
        <v>45</v>
      </c>
      <c r="D43669" s="7">
        <v>0</v>
      </c>
    </row>
    <row r="43670" spans="1:4" x14ac:dyDescent="0.25">
      <c r="A43670" t="str">
        <f>HYPERLINK("https://www.773grp.com/globalSearch/54HC194E-B  LT/page-1", "54HC194E-B  LT")</f>
        <v>54HC194E-B  LT</v>
      </c>
      <c r="B43670" s="3" t="str">
        <f>HYPERLINK("https://www.773grp.com/manufacturer/onsemi?pageNo=912", "ON Semiconductor")</f>
        <v>ON Semiconductor</v>
      </c>
      <c r="C43670" s="6">
        <v>48</v>
      </c>
      <c r="D43670" s="7">
        <v>0</v>
      </c>
    </row>
    <row r="43671" spans="1:4" x14ac:dyDescent="0.25">
      <c r="A43671" t="str">
        <f>HYPERLINK("https://www.773grp.com/globalSearch/54HC238FK-B  LT/page-1", "54HC238FK-B  LT")</f>
        <v>54HC238FK-B  LT</v>
      </c>
      <c r="B43671" s="3" t="str">
        <f>HYPERLINK("https://www.773grp.com/manufacturer/onsemi?pageNo=913", "ON Semiconductor")</f>
        <v>ON Semiconductor</v>
      </c>
      <c r="C43671" s="6">
        <v>48</v>
      </c>
      <c r="D43671" s="7">
        <v>0</v>
      </c>
    </row>
    <row r="43672" spans="1:4" x14ac:dyDescent="0.25">
      <c r="A43672" t="str">
        <f>HYPERLINK("https://www.773grp.com/globalSearch/54HC390J-B  LT/page-1", "54HC390J-B  LT")</f>
        <v>54HC390J-B  LT</v>
      </c>
      <c r="B43672" s="3" t="str">
        <f>HYPERLINK("https://www.773grp.com/manufacturer/onsemi?pageNo=914", "ON Semiconductor")</f>
        <v>ON Semiconductor</v>
      </c>
      <c r="C43672" s="6">
        <v>48</v>
      </c>
      <c r="D43672" s="7">
        <v>0</v>
      </c>
    </row>
    <row r="43673" spans="1:4" x14ac:dyDescent="0.25">
      <c r="A43673" t="str">
        <f>HYPERLINK("https://www.773grp.com/globalSearch/54HC4049E-B  LT/page-1", "54HC4049E-B  LT")</f>
        <v>54HC4049E-B  LT</v>
      </c>
      <c r="B43673" s="3" t="str">
        <f>HYPERLINK("https://www.773grp.com/manufacturer/onsemi?pageNo=915", "ON Semiconductor")</f>
        <v>ON Semiconductor</v>
      </c>
      <c r="C43673" s="6">
        <v>48</v>
      </c>
      <c r="D43673" s="7">
        <v>0</v>
      </c>
    </row>
    <row r="43674" spans="1:4" x14ac:dyDescent="0.25">
      <c r="A43674" t="str">
        <f>HYPERLINK("https://www.773grp.com/globalSearch/54HC4050E-B  LT/page-1", "54HC4050E-B  LT")</f>
        <v>54HC4050E-B  LT</v>
      </c>
      <c r="B43674" s="3" t="str">
        <f>HYPERLINK("https://www.773grp.com/manufacturer/onsemi?pageNo=916", "ON Semiconductor")</f>
        <v>ON Semiconductor</v>
      </c>
      <c r="C43674" s="6">
        <v>48</v>
      </c>
      <c r="D43674" s="7">
        <v>0</v>
      </c>
    </row>
    <row r="43675" spans="1:4" x14ac:dyDescent="0.25">
      <c r="A43675" t="str">
        <f>HYPERLINK("https://www.773grp.com/globalSearch/54HC4543J-B LT/page-1", "54HC4543J-B LT")</f>
        <v>54HC4543J-B LT</v>
      </c>
      <c r="B43675" s="3" t="str">
        <f>HYPERLINK("https://www.773grp.com/manufacturer/onsemi?pageNo=917", "ON Semiconductor")</f>
        <v>ON Semiconductor</v>
      </c>
      <c r="C43675" s="6">
        <v>35</v>
      </c>
      <c r="D43675" s="7">
        <v>0</v>
      </c>
    </row>
    <row r="43676" spans="1:4" x14ac:dyDescent="0.25">
      <c r="A43676" t="str">
        <f>HYPERLINK("https://www.773grp.com/globalSearch/54HC51J-B  LT/page-1", "54HC51J-B  LT")</f>
        <v>54HC51J-B  LT</v>
      </c>
      <c r="B43676" s="3" t="str">
        <f>HYPERLINK("https://www.773grp.com/manufacturer/onsemi?pageNo=918", "ON Semiconductor")</f>
        <v>ON Semiconductor</v>
      </c>
      <c r="C43676" s="6">
        <v>48</v>
      </c>
      <c r="D43676" s="7">
        <v>0</v>
      </c>
    </row>
    <row r="43677" spans="1:4" x14ac:dyDescent="0.25">
      <c r="A43677" t="str">
        <f>HYPERLINK("https://www.773grp.com/globalSearch/54HC646J-B  LT/page-1", "54HC646J-B  LT")</f>
        <v>54HC646J-B  LT</v>
      </c>
      <c r="B43677" s="3" t="str">
        <f>HYPERLINK("https://www.773grp.com/manufacturer/onsemi?pageNo=919", "ON Semiconductor")</f>
        <v>ON Semiconductor</v>
      </c>
      <c r="C43677" s="6">
        <v>48</v>
      </c>
      <c r="D43677" s="7">
        <v>0</v>
      </c>
    </row>
    <row r="43678" spans="1:4" x14ac:dyDescent="0.25">
      <c r="A43678" t="str">
        <f>HYPERLINK("https://www.773grp.com/globalSearch/54HC76J-B  LT/page-1", "54HC76J-B  LT")</f>
        <v>54HC76J-B  LT</v>
      </c>
      <c r="B43678" s="3" t="str">
        <f>HYPERLINK("https://www.773grp.com/manufacturer/onsemi?pageNo=920", "ON Semiconductor")</f>
        <v>ON Semiconductor</v>
      </c>
      <c r="C43678" s="6">
        <v>48</v>
      </c>
      <c r="D43678" s="7">
        <v>0</v>
      </c>
    </row>
    <row r="43679" spans="1:4" x14ac:dyDescent="0.25">
      <c r="A43679" t="str">
        <f>HYPERLINK("https://www.773grp.com/globalSearch/54L04J  UT/page-1", "54L04J  UT")</f>
        <v>54L04J  UT</v>
      </c>
      <c r="B43679" s="3" t="str">
        <f>HYPERLINK("https://www.773grp.com/manufacturer/onsemi?pageNo=921", "ON Semiconductor")</f>
        <v>ON Semiconductor</v>
      </c>
      <c r="C43679" s="6">
        <v>500</v>
      </c>
      <c r="D43679" s="7">
        <v>0</v>
      </c>
    </row>
    <row r="43680" spans="1:4" x14ac:dyDescent="0.25">
      <c r="A43680" t="str">
        <f>HYPERLINK("https://www.773grp.com/globalSearch/54L157J  UT/page-1", "54L157J  UT")</f>
        <v>54L157J  UT</v>
      </c>
      <c r="B43680" s="3" t="str">
        <f>HYPERLINK("https://www.773grp.com/manufacturer/onsemi?pageNo=922", "ON Semiconductor")</f>
        <v>ON Semiconductor</v>
      </c>
      <c r="C43680" s="6">
        <v>318</v>
      </c>
      <c r="D43680" s="7">
        <v>0</v>
      </c>
    </row>
    <row r="43681" spans="1:4" x14ac:dyDescent="0.25">
      <c r="A43681" t="str">
        <f>HYPERLINK("https://www.773grp.com/globalSearch/54L165AJ-B  LT/page-1", "54L165AJ-B  LT")</f>
        <v>54L165AJ-B  LT</v>
      </c>
      <c r="B43681" s="3" t="str">
        <f>HYPERLINK("https://www.773grp.com/manufacturer/onsemi?pageNo=923", "ON Semiconductor")</f>
        <v>ON Semiconductor</v>
      </c>
      <c r="C43681" s="6">
        <v>48</v>
      </c>
      <c r="D43681" s="7">
        <v>0</v>
      </c>
    </row>
    <row r="43682" spans="1:4" x14ac:dyDescent="0.25">
      <c r="A43682" t="str">
        <f>HYPERLINK("https://www.773grp.com/globalSearch/54L192DM-B/page-1", "54L192DM-B")</f>
        <v>54L192DM-B</v>
      </c>
      <c r="B43682" s="3" t="str">
        <f>HYPERLINK("https://www.773grp.com/manufacturer/onsemi?pageNo=924", "ON Semiconductor")</f>
        <v>ON Semiconductor</v>
      </c>
      <c r="C43682" s="6">
        <v>118</v>
      </c>
      <c r="D43682" s="7">
        <v>0</v>
      </c>
    </row>
    <row r="43683" spans="1:4" x14ac:dyDescent="0.25">
      <c r="A43683" t="str">
        <f>HYPERLINK("https://www.773grp.com/globalSearch/54L193W-C  LT/page-1", "54L193W-C  LT")</f>
        <v>54L193W-C  LT</v>
      </c>
      <c r="B43683" s="3" t="str">
        <f>HYPERLINK("https://www.773grp.com/manufacturer/onsemi?pageNo=925", "ON Semiconductor")</f>
        <v>ON Semiconductor</v>
      </c>
      <c r="C43683" s="6">
        <v>42</v>
      </c>
      <c r="D43683" s="7">
        <v>0</v>
      </c>
    </row>
    <row r="43684" spans="1:4" x14ac:dyDescent="0.25">
      <c r="A43684" t="str">
        <f>HYPERLINK("https://www.773grp.com/globalSearch/54L20W-C  LT/page-1", "54L20W-C  LT")</f>
        <v>54L20W-C  LT</v>
      </c>
      <c r="B43684" s="3" t="str">
        <f>HYPERLINK("https://www.773grp.com/manufacturer/onsemi?pageNo=926", "ON Semiconductor")</f>
        <v>ON Semiconductor</v>
      </c>
      <c r="C43684" s="6">
        <v>45</v>
      </c>
      <c r="D43684" s="7">
        <v>0</v>
      </c>
    </row>
    <row r="43685" spans="1:4" x14ac:dyDescent="0.25">
      <c r="A43685" t="str">
        <f>HYPERLINK("https://www.773grp.com/globalSearch/54L42DM/page-1", "54L42DM")</f>
        <v>54L42DM</v>
      </c>
      <c r="B43685" s="3" t="str">
        <f>HYPERLINK("https://www.773grp.com/manufacturer/onsemi?pageNo=927", "ON Semiconductor")</f>
        <v>ON Semiconductor</v>
      </c>
      <c r="C43685" s="6">
        <v>27</v>
      </c>
      <c r="D43685" s="7">
        <v>0</v>
      </c>
    </row>
    <row r="43686" spans="1:4" x14ac:dyDescent="0.25">
      <c r="A43686" t="str">
        <f>HYPERLINK("https://www.773grp.com/globalSearch/54L51FM-B  LT/page-1", "54L51FM-B  LT")</f>
        <v>54L51FM-B  LT</v>
      </c>
      <c r="B43686" s="3" t="str">
        <f>HYPERLINK("https://www.773grp.com/manufacturer/onsemi?pageNo=928", "ON Semiconductor")</f>
        <v>ON Semiconductor</v>
      </c>
      <c r="C43686" s="6">
        <v>77</v>
      </c>
      <c r="D43686" s="7">
        <v>0</v>
      </c>
    </row>
    <row r="43687" spans="1:4" x14ac:dyDescent="0.25">
      <c r="A43687" t="str">
        <f>HYPERLINK("https://www.773grp.com/globalSearch/54L51J-C  LT/page-1", "54L51J-C  LT")</f>
        <v>54L51J-C  LT</v>
      </c>
      <c r="B43687" s="3" t="str">
        <f>HYPERLINK("https://www.773grp.com/manufacturer/onsemi?pageNo=929", "ON Semiconductor")</f>
        <v>ON Semiconductor</v>
      </c>
      <c r="C43687" s="6">
        <v>45</v>
      </c>
      <c r="D43687" s="7">
        <v>0</v>
      </c>
    </row>
    <row r="43688" spans="1:4" x14ac:dyDescent="0.25">
      <c r="A43688" t="str">
        <f>HYPERLINK("https://www.773grp.com/globalSearch/54L55W-B  LT/page-1", "54L55W-B  LT")</f>
        <v>54L55W-B  LT</v>
      </c>
      <c r="B43688" s="3" t="str">
        <f>HYPERLINK("https://www.773grp.com/manufacturer/onsemi?pageNo=930", "ON Semiconductor")</f>
        <v>ON Semiconductor</v>
      </c>
      <c r="C43688" s="6">
        <v>48</v>
      </c>
      <c r="D43688" s="7">
        <v>0</v>
      </c>
    </row>
    <row r="43689" spans="1:4" x14ac:dyDescent="0.25">
      <c r="A43689" t="str">
        <f>HYPERLINK("https://www.773grp.com/globalSearch/54L74W-B  LT/page-1", "54L74W-B  LT")</f>
        <v>54L74W-B  LT</v>
      </c>
      <c r="B43689" s="3" t="str">
        <f>HYPERLINK("https://www.773grp.com/manufacturer/onsemi?pageNo=931", "ON Semiconductor")</f>
        <v>ON Semiconductor</v>
      </c>
      <c r="C43689" s="6">
        <v>48</v>
      </c>
      <c r="D43689" s="7">
        <v>0</v>
      </c>
    </row>
    <row r="43690" spans="1:4" x14ac:dyDescent="0.25">
      <c r="A43690" t="str">
        <f>HYPERLINK("https://www.773grp.com/globalSearch/54L75J-C  LT/page-1", "54L75J-C  LT")</f>
        <v>54L75J-C  LT</v>
      </c>
      <c r="B43690" s="3" t="str">
        <f>HYPERLINK("https://www.773grp.com/manufacturer/onsemi?pageNo=932", "ON Semiconductor")</f>
        <v>ON Semiconductor</v>
      </c>
      <c r="C43690" s="6">
        <v>45</v>
      </c>
      <c r="D43690" s="7">
        <v>0</v>
      </c>
    </row>
    <row r="43691" spans="1:4" x14ac:dyDescent="0.25">
      <c r="A43691" t="str">
        <f>HYPERLINK("https://www.773grp.com/globalSearch/54L78FM/page-1", "54L78FM")</f>
        <v>54L78FM</v>
      </c>
      <c r="B43691" s="3" t="str">
        <f>HYPERLINK("https://www.773grp.com/manufacturer/onsemi?pageNo=933", "ON Semiconductor")</f>
        <v>ON Semiconductor</v>
      </c>
      <c r="C43691" s="6">
        <v>120</v>
      </c>
      <c r="D43691" s="7">
        <v>0</v>
      </c>
    </row>
    <row r="43692" spans="1:4" x14ac:dyDescent="0.25">
      <c r="A43692" t="str">
        <f>HYPERLINK("https://www.773grp.com/globalSearch/54L85DM-C  LT/page-1", "54L85DM-C  LT")</f>
        <v>54L85DM-C  LT</v>
      </c>
      <c r="B43692" s="3" t="str">
        <f>HYPERLINK("https://www.773grp.com/manufacturer/onsemi?pageNo=934", "ON Semiconductor")</f>
        <v>ON Semiconductor</v>
      </c>
      <c r="C43692" s="6">
        <v>45</v>
      </c>
      <c r="D43692" s="7">
        <v>0</v>
      </c>
    </row>
    <row r="43693" spans="1:4" x14ac:dyDescent="0.25">
      <c r="A43693" t="str">
        <f>HYPERLINK("https://www.773grp.com/globalSearch/54L85J-C  LT/page-1", "54L85J-C  LT")</f>
        <v>54L85J-C  LT</v>
      </c>
      <c r="B43693" s="3" t="str">
        <f>HYPERLINK("https://www.773grp.com/manufacturer/onsemi?pageNo=935", "ON Semiconductor")</f>
        <v>ON Semiconductor</v>
      </c>
      <c r="C43693" s="6">
        <v>90</v>
      </c>
      <c r="D43693" s="7">
        <v>0</v>
      </c>
    </row>
    <row r="43694" spans="1:4" x14ac:dyDescent="0.25">
      <c r="A43694" t="str">
        <f>HYPERLINK("https://www.773grp.com/globalSearch/54L86FM-B  LT/page-1", "54L86FM-B  LT")</f>
        <v>54L86FM-B  LT</v>
      </c>
      <c r="B43694" s="3" t="str">
        <f>HYPERLINK("https://www.773grp.com/manufacturer/onsemi?pageNo=936", "ON Semiconductor")</f>
        <v>ON Semiconductor</v>
      </c>
      <c r="C43694" s="6">
        <v>80</v>
      </c>
      <c r="D43694" s="7">
        <v>0</v>
      </c>
    </row>
    <row r="43695" spans="1:4" x14ac:dyDescent="0.25">
      <c r="A43695" t="str">
        <f>HYPERLINK("https://www.773grp.com/globalSearch/54LS122J-B  LT/page-1", "54LS122J-B  LT")</f>
        <v>54LS122J-B  LT</v>
      </c>
      <c r="B43695" s="3" t="str">
        <f>HYPERLINK("https://www.773grp.com/manufacturer/onsemi?pageNo=937", "ON Semiconductor")</f>
        <v>ON Semiconductor</v>
      </c>
      <c r="C43695" s="6">
        <v>48</v>
      </c>
      <c r="D43695" s="7">
        <v>0</v>
      </c>
    </row>
    <row r="43696" spans="1:4" x14ac:dyDescent="0.25">
      <c r="A43696" t="str">
        <f>HYPERLINK("https://www.773grp.com/globalSearch/54LS219AJ-B  LT/page-1", "54LS219AJ-B  LT")</f>
        <v>54LS219AJ-B  LT</v>
      </c>
      <c r="B43696" s="3" t="str">
        <f>HYPERLINK("https://www.773grp.com/manufacturer/onsemi?pageNo=938", "ON Semiconductor")</f>
        <v>ON Semiconductor</v>
      </c>
      <c r="C43696" s="6">
        <v>48</v>
      </c>
      <c r="D43696" s="7">
        <v>0</v>
      </c>
    </row>
    <row r="43697" spans="1:4" x14ac:dyDescent="0.25">
      <c r="A43697" t="str">
        <f>HYPERLINK("https://www.773grp.com/globalSearch/54LS22J-B/page-1", "54LS22J-B")</f>
        <v>54LS22J-B</v>
      </c>
      <c r="B43697" s="3" t="str">
        <f>HYPERLINK("https://www.773grp.com/manufacturer/onsemi?pageNo=939", "ON Semiconductor")</f>
        <v>ON Semiconductor</v>
      </c>
      <c r="C43697" s="6">
        <v>80</v>
      </c>
      <c r="D43697" s="7">
        <v>0</v>
      </c>
    </row>
    <row r="43698" spans="1:4" x14ac:dyDescent="0.25">
      <c r="A43698" t="str">
        <f>HYPERLINK("https://www.773grp.com/globalSearch/54LS293J-B  LT/page-1", "54LS293J-B  LT")</f>
        <v>54LS293J-B  LT</v>
      </c>
      <c r="B43698" s="3" t="str">
        <f>HYPERLINK("https://www.773grp.com/manufacturer/onsemi?pageNo=940", "ON Semiconductor")</f>
        <v>ON Semiconductor</v>
      </c>
      <c r="C43698" s="6">
        <v>48</v>
      </c>
      <c r="D43698" s="7">
        <v>0</v>
      </c>
    </row>
    <row r="43699" spans="1:4" x14ac:dyDescent="0.25">
      <c r="A43699" t="str">
        <f>HYPERLINK("https://www.773grp.com/globalSearch/54LS382AJ-B  LT/page-1", "54LS382AJ-B  LT")</f>
        <v>54LS382AJ-B  LT</v>
      </c>
      <c r="B43699" s="3" t="str">
        <f>HYPERLINK("https://www.773grp.com/manufacturer/onsemi?pageNo=941", "ON Semiconductor")</f>
        <v>ON Semiconductor</v>
      </c>
      <c r="C43699" s="6">
        <v>96</v>
      </c>
      <c r="D43699" s="7">
        <v>0</v>
      </c>
    </row>
    <row r="43700" spans="1:4" x14ac:dyDescent="0.25">
      <c r="A43700" t="str">
        <f>HYPERLINK("https://www.773grp.com/globalSearch/54LS681J  UT/page-1", "54LS681J  UT")</f>
        <v>54LS681J  UT</v>
      </c>
      <c r="B43700" s="3" t="str">
        <f>HYPERLINK("https://www.773grp.com/manufacturer/onsemi?pageNo=942", "ON Semiconductor")</f>
        <v>ON Semiconductor</v>
      </c>
      <c r="C43700" s="6">
        <v>391</v>
      </c>
      <c r="D43700" s="7">
        <v>0</v>
      </c>
    </row>
    <row r="43701" spans="1:4" x14ac:dyDescent="0.25">
      <c r="A43701" t="str">
        <f>HYPERLINK("https://www.773grp.com/globalSearch/54S163J-B  LT/page-1", "54S163J-B  LT")</f>
        <v>54S163J-B  LT</v>
      </c>
      <c r="B43701" s="3" t="str">
        <f>HYPERLINK("https://www.773grp.com/manufacturer/onsemi?pageNo=943", "ON Semiconductor")</f>
        <v>ON Semiconductor</v>
      </c>
      <c r="C43701" s="6">
        <v>45</v>
      </c>
      <c r="D43701" s="7">
        <v>0</v>
      </c>
    </row>
    <row r="43702" spans="1:4" x14ac:dyDescent="0.25">
      <c r="A43702" t="str">
        <f>HYPERLINK("https://www.773grp.com/globalSearch/54S189J-C/page-1", "54S189J-C")</f>
        <v>54S189J-C</v>
      </c>
      <c r="B43702" s="3" t="str">
        <f>HYPERLINK("https://www.773grp.com/manufacturer/onsemi?pageNo=944", "ON Semiconductor")</f>
        <v>ON Semiconductor</v>
      </c>
      <c r="C43702" s="6">
        <v>45</v>
      </c>
      <c r="D43702" s="7">
        <v>0</v>
      </c>
    </row>
    <row r="43703" spans="1:4" x14ac:dyDescent="0.25">
      <c r="A43703" t="str">
        <f>HYPERLINK("https://www.773grp.com/globalSearch/54S189J-C  LT/page-1", "54S189J-C  LT")</f>
        <v>54S189J-C  LT</v>
      </c>
      <c r="B43703" s="3" t="str">
        <f>HYPERLINK("https://www.773grp.com/manufacturer/onsemi?pageNo=945", "ON Semiconductor")</f>
        <v>ON Semiconductor</v>
      </c>
      <c r="C43703" s="6">
        <v>36</v>
      </c>
      <c r="D43703" s="7">
        <v>0</v>
      </c>
    </row>
    <row r="43704" spans="1:4" x14ac:dyDescent="0.25">
      <c r="A43704" t="str">
        <f>HYPERLINK("https://www.773grp.com/globalSearch/54S253DM-B  LT/page-1", "54S253DM-B  LT")</f>
        <v>54S253DM-B  LT</v>
      </c>
      <c r="B43704" s="3" t="str">
        <f>HYPERLINK("https://www.773grp.com/manufacturer/onsemi?pageNo=946", "ON Semiconductor")</f>
        <v>ON Semiconductor</v>
      </c>
      <c r="C43704" s="6">
        <v>48</v>
      </c>
      <c r="D43704" s="7">
        <v>0</v>
      </c>
    </row>
    <row r="43705" spans="1:4" x14ac:dyDescent="0.25">
      <c r="A43705" t="str">
        <f>HYPERLINK("https://www.773grp.com/globalSearch/54S482AJ-B  LT/page-1", "54S482AJ-B  LT")</f>
        <v>54S482AJ-B  LT</v>
      </c>
      <c r="B43705" s="3" t="str">
        <f>HYPERLINK("https://www.773grp.com/manufacturer/onsemi?pageNo=947", "ON Semiconductor")</f>
        <v>ON Semiconductor</v>
      </c>
      <c r="C43705" s="6">
        <v>96</v>
      </c>
      <c r="D43705" s="7">
        <v>0</v>
      </c>
    </row>
    <row r="43706" spans="1:4" x14ac:dyDescent="0.25">
      <c r="A43706" t="str">
        <f>HYPERLINK("https://www.773grp.com/globalSearch/55119JG-B  LT/page-1", "55119JG-B  LT")</f>
        <v>55119JG-B  LT</v>
      </c>
      <c r="B43706" s="3" t="str">
        <f>HYPERLINK("https://www.773grp.com/manufacturer/onsemi?pageNo=948", "ON Semiconductor")</f>
        <v>ON Semiconductor</v>
      </c>
      <c r="C43706" s="6">
        <v>48</v>
      </c>
      <c r="D43706" s="7">
        <v>0</v>
      </c>
    </row>
    <row r="43707" spans="1:4" x14ac:dyDescent="0.25">
      <c r="A43707" t="str">
        <f>HYPERLINK("https://www.773grp.com/globalSearch/55142AJ-B  LT/page-1", "55142AJ-B  LT")</f>
        <v>55142AJ-B  LT</v>
      </c>
      <c r="B43707" s="3" t="str">
        <f>HYPERLINK("https://www.773grp.com/manufacturer/onsemi?pageNo=949", "ON Semiconductor")</f>
        <v>ON Semiconductor</v>
      </c>
      <c r="C43707" s="6">
        <v>47</v>
      </c>
      <c r="D43707" s="7">
        <v>0</v>
      </c>
    </row>
    <row r="43708" spans="1:4" x14ac:dyDescent="0.25">
      <c r="A43708" t="str">
        <f>HYPERLINK("https://www.773grp.com/globalSearch/55234J-B  LT/page-1", "55234J-B  LT")</f>
        <v>55234J-B  LT</v>
      </c>
      <c r="B43708" s="3" t="str">
        <f>HYPERLINK("https://www.773grp.com/manufacturer/onsemi?pageNo=950", "ON Semiconductor")</f>
        <v>ON Semiconductor</v>
      </c>
      <c r="C43708" s="6">
        <v>48</v>
      </c>
      <c r="D43708" s="7">
        <v>0</v>
      </c>
    </row>
    <row r="43709" spans="1:4" x14ac:dyDescent="0.25">
      <c r="A43709" t="str">
        <f>HYPERLINK("https://www.773grp.com/globalSearch/55365J-B  LT/page-1", "55365J-B  LT")</f>
        <v>55365J-B  LT</v>
      </c>
      <c r="B43709" s="3" t="str">
        <f>HYPERLINK("https://www.773grp.com/manufacturer/onsemi?pageNo=951", "ON Semiconductor")</f>
        <v>ON Semiconductor</v>
      </c>
      <c r="C43709" s="6">
        <v>47</v>
      </c>
      <c r="D43709" s="7">
        <v>0</v>
      </c>
    </row>
    <row r="43710" spans="1:4" x14ac:dyDescent="0.25">
      <c r="A43710" t="str">
        <f>HYPERLINK("https://www.773grp.com/globalSearch/55365J-C  LT/page-1", "55365J-C  LT")</f>
        <v>55365J-C  LT</v>
      </c>
      <c r="B43710" s="3" t="str">
        <f>HYPERLINK("https://www.773grp.com/manufacturer/onsemi?pageNo=952", "ON Semiconductor")</f>
        <v>ON Semiconductor</v>
      </c>
      <c r="C43710" s="6">
        <v>44</v>
      </c>
      <c r="D43710" s="7">
        <v>0</v>
      </c>
    </row>
    <row r="43711" spans="1:4" x14ac:dyDescent="0.25">
      <c r="A43711" t="str">
        <f>HYPERLINK("https://www.773grp.com/globalSearch/55460J-C  LT/page-1", "55460J-C  LT")</f>
        <v>55460J-C  LT</v>
      </c>
      <c r="B43711" s="3" t="str">
        <f>HYPERLINK("https://www.773grp.com/manufacturer/onsemi?pageNo=953", "ON Semiconductor")</f>
        <v>ON Semiconductor</v>
      </c>
      <c r="C43711" s="6">
        <v>35</v>
      </c>
      <c r="D43711" s="7">
        <v>0</v>
      </c>
    </row>
    <row r="43712" spans="1:4" x14ac:dyDescent="0.25">
      <c r="A43712" t="str">
        <f>HYPERLINK("https://www.773grp.com/globalSearch/5962-8501002YA  UT/page-1", "5962-8501002YA  UT")</f>
        <v>5962-8501002YA  UT</v>
      </c>
      <c r="B43712" s="3" t="str">
        <f>HYPERLINK("https://www.773grp.com/manufacturer/onsemi?pageNo=954", "ON Semiconductor")</f>
        <v>ON Semiconductor</v>
      </c>
      <c r="C43712" s="6">
        <v>96</v>
      </c>
      <c r="D43712" s="7">
        <v>0</v>
      </c>
    </row>
    <row r="43713" spans="1:4" x14ac:dyDescent="0.25">
      <c r="A43713" t="str">
        <f>HYPERLINK("https://www.773grp.com/globalSearch/618624-1/page-1", "618624-1")</f>
        <v>618624-1</v>
      </c>
      <c r="B43713" s="3" t="str">
        <f>HYPERLINK("https://www.773grp.com/manufacturer/onsemi?pageNo=955", "ON Semiconductor")</f>
        <v>ON Semiconductor</v>
      </c>
      <c r="C43713" s="6">
        <v>134</v>
      </c>
      <c r="D43713" s="7">
        <v>0</v>
      </c>
    </row>
    <row r="43714" spans="1:4" x14ac:dyDescent="0.25">
      <c r="A43714" t="str">
        <f>HYPERLINK("https://www.773grp.com/globalSearch/7123J-C  LT/page-1", "7123J-C  LT")</f>
        <v>7123J-C  LT</v>
      </c>
      <c r="B43714" s="3" t="str">
        <f>HYPERLINK("https://www.773grp.com/manufacturer/onsemi?pageNo=956", "ON Semiconductor")</f>
        <v>ON Semiconductor</v>
      </c>
      <c r="C43714" s="6">
        <v>40</v>
      </c>
      <c r="D43714" s="7">
        <v>0</v>
      </c>
    </row>
    <row r="43715" spans="1:4" x14ac:dyDescent="0.25">
      <c r="A43715" t="str">
        <f>HYPERLINK("https://www.773grp.com/globalSearch/7160J-B  LT/page-1", "7160J-B  LT")</f>
        <v>7160J-B  LT</v>
      </c>
      <c r="B43715" s="3" t="str">
        <f>HYPERLINK("https://www.773grp.com/manufacturer/onsemi?pageNo=957", "ON Semiconductor")</f>
        <v>ON Semiconductor</v>
      </c>
      <c r="C43715" s="6">
        <v>45</v>
      </c>
      <c r="D43715" s="7">
        <v>0</v>
      </c>
    </row>
    <row r="43716" spans="1:4" x14ac:dyDescent="0.25">
      <c r="A43716" t="str">
        <f>HYPERLINK("https://www.773grp.com/globalSearch/74ALS29809NT  UT/page-1", "74ALS29809NT  UT")</f>
        <v>74ALS29809NT  UT</v>
      </c>
      <c r="B43716" s="3" t="str">
        <f>HYPERLINK("https://www.773grp.com/manufacturer/onsemi?pageNo=958", "ON Semiconductor")</f>
        <v>ON Semiconductor</v>
      </c>
      <c r="C43716" s="6">
        <v>970</v>
      </c>
      <c r="D43716" s="7">
        <v>0</v>
      </c>
    </row>
    <row r="43717" spans="1:4" x14ac:dyDescent="0.25">
      <c r="A43717" t="str">
        <f>HYPERLINK("https://www.773grp.com/globalSearch/74H106PC/page-1", "74H106PC")</f>
        <v>74H106PC</v>
      </c>
      <c r="B43717" s="3" t="str">
        <f>HYPERLINK("https://www.773grp.com/manufacturer/onsemi?pageNo=959", "ON Semiconductor")</f>
        <v>ON Semiconductor</v>
      </c>
      <c r="C43717" s="6">
        <v>61</v>
      </c>
      <c r="D43717" s="7">
        <v>0</v>
      </c>
    </row>
    <row r="43718" spans="1:4" x14ac:dyDescent="0.25">
      <c r="A43718" t="str">
        <f>HYPERLINK("https://www.773grp.com/globalSearch/74LS384N  UT/page-1", "74LS384N  UT")</f>
        <v>74LS384N  UT</v>
      </c>
      <c r="B43718" s="3" t="str">
        <f>HYPERLINK("https://www.773grp.com/manufacturer/onsemi?pageNo=960", "ON Semiconductor")</f>
        <v>ON Semiconductor</v>
      </c>
      <c r="C43718" s="6">
        <v>1166</v>
      </c>
      <c r="D43718" s="7">
        <v>0</v>
      </c>
    </row>
    <row r="43719" spans="1:4" x14ac:dyDescent="0.25">
      <c r="A43719" t="str">
        <f>HYPERLINK("https://www.773grp.com/globalSearch/74LS671N  UT/page-1", "74LS671N  UT")</f>
        <v>74LS671N  UT</v>
      </c>
      <c r="B43719" s="3" t="str">
        <f>HYPERLINK("https://www.773grp.com/manufacturer/onsemi?pageNo=961", "ON Semiconductor")</f>
        <v>ON Semiconductor</v>
      </c>
      <c r="C43719" s="6">
        <v>1617</v>
      </c>
      <c r="D43719" s="7">
        <v>0</v>
      </c>
    </row>
    <row r="43720" spans="1:4" x14ac:dyDescent="0.25">
      <c r="A43720" t="str">
        <f>HYPERLINK("https://www.773grp.com/globalSearch/74S22SC  UT/page-1", "74S22SC  UT")</f>
        <v>74S22SC  UT</v>
      </c>
      <c r="B43720" s="3" t="str">
        <f>HYPERLINK("https://www.773grp.com/manufacturer/onsemi?pageNo=962", "ON Semiconductor")</f>
        <v>ON Semiconductor</v>
      </c>
      <c r="C43720" s="6">
        <v>865</v>
      </c>
      <c r="D43720" s="7">
        <v>0</v>
      </c>
    </row>
    <row r="43721" spans="1:4" x14ac:dyDescent="0.25">
      <c r="A43721" t="str">
        <f>HYPERLINK("https://www.773grp.com/globalSearch/7556J-C  LT/page-1", "7556J-C  LT")</f>
        <v>7556J-C  LT</v>
      </c>
      <c r="B43721" s="3" t="str">
        <f>HYPERLINK("https://www.773grp.com/manufacturer/onsemi?pageNo=963", "ON Semiconductor")</f>
        <v>ON Semiconductor</v>
      </c>
      <c r="C43721" s="6">
        <v>25</v>
      </c>
      <c r="D43721" s="7">
        <v>0</v>
      </c>
    </row>
    <row r="43722" spans="1:4" x14ac:dyDescent="0.25">
      <c r="A43722" t="str">
        <f>HYPERLINK("https://www.773grp.com/globalSearch/7641DM-C  LT/page-1", "7641DM-C  LT")</f>
        <v>7641DM-C  LT</v>
      </c>
      <c r="B43722" s="3" t="str">
        <f>HYPERLINK("https://www.773grp.com/manufacturer/onsemi?pageNo=964", "ON Semiconductor")</f>
        <v>ON Semiconductor</v>
      </c>
      <c r="C43722" s="6">
        <v>45</v>
      </c>
      <c r="D43722" s="7">
        <v>0</v>
      </c>
    </row>
    <row r="43723" spans="1:4" x14ac:dyDescent="0.25">
      <c r="A43723" t="str">
        <f>HYPERLINK("https://www.773grp.com/globalSearch/79M06ML-B  LT/page-1", "79M06ML-B  LT")</f>
        <v>79M06ML-B  LT</v>
      </c>
      <c r="B43723" s="3" t="str">
        <f>HYPERLINK("https://www.773grp.com/manufacturer/onsemi?pageNo=965", "ON Semiconductor")</f>
        <v>ON Semiconductor</v>
      </c>
      <c r="C43723" s="6">
        <v>45</v>
      </c>
      <c r="D43723" s="7">
        <v>0</v>
      </c>
    </row>
    <row r="43724" spans="1:4" x14ac:dyDescent="0.25">
      <c r="A43724" t="str">
        <f>HYPERLINK("https://www.773grp.com/globalSearch/7C909-40FK-B  UT/page-1", "7C909-40FK-B  UT")</f>
        <v>7C909-40FK-B  UT</v>
      </c>
      <c r="B43724" s="3" t="str">
        <f>HYPERLINK("https://www.773grp.com/manufacturer/onsemi?pageNo=966", "ON Semiconductor")</f>
        <v>ON Semiconductor</v>
      </c>
      <c r="C43724" s="6">
        <v>181</v>
      </c>
      <c r="D43724" s="7">
        <v>0</v>
      </c>
    </row>
    <row r="43725" spans="1:4" x14ac:dyDescent="0.25">
      <c r="A43725" t="str">
        <f>HYPERLINK("https://www.773grp.com/globalSearch/9004FM-B  UT/page-1", "9004FM-B  UT")</f>
        <v>9004FM-B  UT</v>
      </c>
      <c r="B43725" s="3" t="str">
        <f>HYPERLINK("https://www.773grp.com/manufacturer/onsemi?pageNo=967", "ON Semiconductor")</f>
        <v>ON Semiconductor</v>
      </c>
      <c r="C43725" s="6">
        <v>583</v>
      </c>
      <c r="D43725" s="7">
        <v>0</v>
      </c>
    </row>
    <row r="43726" spans="1:4" x14ac:dyDescent="0.25">
      <c r="A43726" t="str">
        <f>HYPERLINK("https://www.773grp.com/globalSearch/9009DM-C  LT/page-1", "9009DM-C  LT")</f>
        <v>9009DM-C  LT</v>
      </c>
      <c r="B43726" s="3" t="str">
        <f>HYPERLINK("https://www.773grp.com/manufacturer/onsemi?pageNo=968", "ON Semiconductor")</f>
        <v>ON Semiconductor</v>
      </c>
      <c r="C43726" s="6">
        <v>45</v>
      </c>
      <c r="D43726" s="7">
        <v>0</v>
      </c>
    </row>
    <row r="43727" spans="1:4" x14ac:dyDescent="0.25">
      <c r="A43727" t="str">
        <f>HYPERLINK("https://www.773grp.com/globalSearch/9014DM-B  LT/page-1", "9014DM-B  LT")</f>
        <v>9014DM-B  LT</v>
      </c>
      <c r="B43727" s="3" t="str">
        <f>HYPERLINK("https://www.773grp.com/manufacturer/onsemi?pageNo=969", "ON Semiconductor")</f>
        <v>ON Semiconductor</v>
      </c>
      <c r="C43727" s="6">
        <v>93</v>
      </c>
      <c r="D43727" s="7">
        <v>0</v>
      </c>
    </row>
    <row r="43728" spans="1:4" x14ac:dyDescent="0.25">
      <c r="A43728" t="str">
        <f>HYPERLINK("https://www.773grp.com/globalSearch/9015  PROGRAM/page-1", "9015  PROGRAM")</f>
        <v>9015  PROGRAM</v>
      </c>
      <c r="B43728" s="3" t="str">
        <f>HYPERLINK("https://www.773grp.com/manufacturer/onsemi?pageNo=970", "ON Semiconductor")</f>
        <v>ON Semiconductor</v>
      </c>
      <c r="C43728" s="6">
        <v>1</v>
      </c>
      <c r="D43728" s="7">
        <v>0</v>
      </c>
    </row>
    <row r="43729" spans="1:4" x14ac:dyDescent="0.25">
      <c r="A43729" t="str">
        <f>HYPERLINK("https://www.773grp.com/globalSearch/9015DM-B/page-1", "9015DM-B")</f>
        <v>9015DM-B</v>
      </c>
      <c r="B43729" s="3" t="str">
        <f>HYPERLINK("https://www.773grp.com/manufacturer/onsemi?pageNo=971", "ON Semiconductor")</f>
        <v>ON Semiconductor</v>
      </c>
      <c r="C43729" s="6">
        <v>760</v>
      </c>
      <c r="D43729" s="7">
        <v>0</v>
      </c>
    </row>
    <row r="43730" spans="1:4" x14ac:dyDescent="0.25">
      <c r="A43730" t="str">
        <f>HYPERLINK("https://www.773grp.com/globalSearch/9016FM  UT/page-1", "9016FM  UT")</f>
        <v>9016FM  UT</v>
      </c>
      <c r="B43730" s="3" t="str">
        <f>HYPERLINK("https://www.773grp.com/manufacturer/onsemi?pageNo=972", "ON Semiconductor")</f>
        <v>ON Semiconductor</v>
      </c>
      <c r="C43730" s="6">
        <v>239</v>
      </c>
      <c r="D43730" s="7">
        <v>0</v>
      </c>
    </row>
    <row r="43731" spans="1:4" x14ac:dyDescent="0.25">
      <c r="A43731" t="str">
        <f>HYPERLINK("https://www.773grp.com/globalSearch/9020DM-B  LT/page-1", "9020DM-B  LT")</f>
        <v>9020DM-B  LT</v>
      </c>
      <c r="B43731" s="3" t="str">
        <f>HYPERLINK("https://www.773grp.com/manufacturer/onsemi?pageNo=973", "ON Semiconductor")</f>
        <v>ON Semiconductor</v>
      </c>
      <c r="C43731" s="6">
        <v>47</v>
      </c>
      <c r="D43731" s="7">
        <v>0</v>
      </c>
    </row>
    <row r="43732" spans="1:4" x14ac:dyDescent="0.25">
      <c r="A43732" t="str">
        <f>HYPERLINK("https://www.773grp.com/globalSearch/9022DM-B  LT/page-1", "9022DM-B  LT")</f>
        <v>9022DM-B  LT</v>
      </c>
      <c r="B43732" s="3" t="str">
        <f>HYPERLINK("https://www.773grp.com/manufacturer/onsemi?pageNo=974", "ON Semiconductor")</f>
        <v>ON Semiconductor</v>
      </c>
      <c r="C43732" s="6">
        <v>45</v>
      </c>
      <c r="D43732" s="7">
        <v>0</v>
      </c>
    </row>
    <row r="43733" spans="1:4" x14ac:dyDescent="0.25">
      <c r="A43733" t="str">
        <f>HYPERLINK("https://www.773grp.com/globalSearch/9094DM UT/page-1", "9094DM UT")</f>
        <v>9094DM UT</v>
      </c>
      <c r="B43733" s="3" t="str">
        <f>HYPERLINK("https://www.773grp.com/manufacturer/onsemi?pageNo=975", "ON Semiconductor")</f>
        <v>ON Semiconductor</v>
      </c>
      <c r="C43733" s="6">
        <v>755</v>
      </c>
      <c r="D43733" s="7">
        <v>0</v>
      </c>
    </row>
    <row r="43734" spans="1:4" x14ac:dyDescent="0.25">
      <c r="A43734" t="str">
        <f>HYPERLINK("https://www.773grp.com/globalSearch/9097DM-C  LT/page-1", "9097DM-C  LT")</f>
        <v>9097DM-C  LT</v>
      </c>
      <c r="B43734" s="3" t="str">
        <f>HYPERLINK("https://www.773grp.com/manufacturer/onsemi?pageNo=976", "ON Semiconductor")</f>
        <v>ON Semiconductor</v>
      </c>
      <c r="C43734" s="6">
        <v>50</v>
      </c>
      <c r="D43734" s="7">
        <v>0</v>
      </c>
    </row>
    <row r="43735" spans="1:4" x14ac:dyDescent="0.25">
      <c r="A43735" t="str">
        <f>HYPERLINK("https://www.773grp.com/globalSearch/910HM-B  LT/page-1", "910HM-B  LT")</f>
        <v>910HM-B  LT</v>
      </c>
      <c r="B43735" s="3" t="str">
        <f>HYPERLINK("https://www.773grp.com/manufacturer/onsemi?pageNo=977", "ON Semiconductor")</f>
        <v>ON Semiconductor</v>
      </c>
      <c r="C43735" s="6">
        <v>45</v>
      </c>
      <c r="D43735" s="7">
        <v>0</v>
      </c>
    </row>
    <row r="43736" spans="1:4" x14ac:dyDescent="0.25">
      <c r="A43736" t="str">
        <f>HYPERLINK("https://www.773grp.com/globalSearch/9110DM  UT/page-1", "9110DM  UT")</f>
        <v>9110DM  UT</v>
      </c>
      <c r="B43736" s="3" t="str">
        <f>HYPERLINK("https://www.773grp.com/manufacturer/onsemi?pageNo=978", "ON Semiconductor")</f>
        <v>ON Semiconductor</v>
      </c>
      <c r="C43736" s="6">
        <v>510</v>
      </c>
      <c r="D43736" s="7">
        <v>0</v>
      </c>
    </row>
    <row r="43737" spans="1:4" x14ac:dyDescent="0.25">
      <c r="A43737" t="str">
        <f>HYPERLINK("https://www.773grp.com/globalSearch/915HM-C  LT/page-1", "915HM-C  LT")</f>
        <v>915HM-C  LT</v>
      </c>
      <c r="B43737" s="3" t="str">
        <f>HYPERLINK("https://www.773grp.com/manufacturer/onsemi?pageNo=979", "ON Semiconductor")</f>
        <v>ON Semiconductor</v>
      </c>
      <c r="C43737" s="6">
        <v>45</v>
      </c>
      <c r="D43737" s="7">
        <v>0</v>
      </c>
    </row>
    <row r="43738" spans="1:4" x14ac:dyDescent="0.25">
      <c r="A43738" t="str">
        <f>HYPERLINK("https://www.773grp.com/globalSearch/927HM-B  LT/page-1", "927HM-B  LT")</f>
        <v>927HM-B  LT</v>
      </c>
      <c r="B43738" s="3" t="str">
        <f>HYPERLINK("https://www.773grp.com/manufacturer/onsemi?pageNo=980", "ON Semiconductor")</f>
        <v>ON Semiconductor</v>
      </c>
      <c r="C43738" s="6">
        <v>30</v>
      </c>
      <c r="D43738" s="7">
        <v>0</v>
      </c>
    </row>
    <row r="43739" spans="1:4" x14ac:dyDescent="0.25">
      <c r="A43739" t="str">
        <f>HYPERLINK("https://www.773grp.com/globalSearch/9307DM-B  LT/page-1", "9307DM-B  LT")</f>
        <v>9307DM-B  LT</v>
      </c>
      <c r="B43739" s="3" t="str">
        <f>HYPERLINK("https://www.773grp.com/manufacturer/onsemi?pageNo=981", "ON Semiconductor")</f>
        <v>ON Semiconductor</v>
      </c>
      <c r="C43739" s="6">
        <v>45</v>
      </c>
      <c r="D43739" s="7">
        <v>0</v>
      </c>
    </row>
    <row r="43740" spans="1:4" x14ac:dyDescent="0.25">
      <c r="A43740" t="str">
        <f>HYPERLINK("https://www.773grp.com/globalSearch/9307FM-B  LT/page-1", "9307FM-B  LT")</f>
        <v>9307FM-B  LT</v>
      </c>
      <c r="B43740" s="3" t="str">
        <f>HYPERLINK("https://www.773grp.com/manufacturer/onsemi?pageNo=982", "ON Semiconductor")</f>
        <v>ON Semiconductor</v>
      </c>
      <c r="C43740" s="6">
        <v>5</v>
      </c>
      <c r="D43740" s="7">
        <v>0</v>
      </c>
    </row>
    <row r="43741" spans="1:4" x14ac:dyDescent="0.25">
      <c r="A43741" t="str">
        <f>HYPERLINK("https://www.773grp.com/globalSearch/9310DM-C  LT/page-1", "9310DM-C  LT")</f>
        <v>9310DM-C  LT</v>
      </c>
      <c r="B43741" s="3" t="str">
        <f>HYPERLINK("https://www.773grp.com/manufacturer/onsemi?pageNo=983", "ON Semiconductor")</f>
        <v>ON Semiconductor</v>
      </c>
      <c r="C43741" s="6">
        <v>45</v>
      </c>
      <c r="D43741" s="7">
        <v>0</v>
      </c>
    </row>
    <row r="43742" spans="1:4" x14ac:dyDescent="0.25">
      <c r="A43742" t="str">
        <f>HYPERLINK("https://www.773grp.com/globalSearch/9319DM-B  LT/page-1", "9319DM-B  LT")</f>
        <v>9319DM-B  LT</v>
      </c>
      <c r="B43742" s="3" t="str">
        <f>HYPERLINK("https://www.773grp.com/manufacturer/onsemi?pageNo=984", "ON Semiconductor")</f>
        <v>ON Semiconductor</v>
      </c>
      <c r="C43742" s="6">
        <v>45</v>
      </c>
      <c r="D43742" s="7">
        <v>0</v>
      </c>
    </row>
    <row r="43743" spans="1:4" x14ac:dyDescent="0.25">
      <c r="A43743" t="str">
        <f>HYPERLINK("https://www.773grp.com/globalSearch/932913-1B  LT/page-1", "932913-1B  LT")</f>
        <v>932913-1B  LT</v>
      </c>
      <c r="B43743" s="3" t="str">
        <f>HYPERLINK("https://www.773grp.com/manufacturer/onsemi?pageNo=985", "ON Semiconductor")</f>
        <v>ON Semiconductor</v>
      </c>
      <c r="C43743" s="6">
        <v>45</v>
      </c>
      <c r="D43743" s="7">
        <v>0</v>
      </c>
    </row>
    <row r="43744" spans="1:4" x14ac:dyDescent="0.25">
      <c r="A43744" t="str">
        <f>HYPERLINK("https://www.773grp.com/globalSearch/93419DM-B  LT/page-1", "93419DM-B  LT")</f>
        <v>93419DM-B  LT</v>
      </c>
      <c r="B43744" s="3" t="str">
        <f>HYPERLINK("https://www.773grp.com/manufacturer/onsemi?pageNo=986", "ON Semiconductor")</f>
        <v>ON Semiconductor</v>
      </c>
      <c r="C43744" s="6">
        <v>85</v>
      </c>
      <c r="D43744" s="7">
        <v>0</v>
      </c>
    </row>
    <row r="43745" spans="1:4" x14ac:dyDescent="0.25">
      <c r="A43745" t="str">
        <f>HYPERLINK("https://www.773grp.com/globalSearch/93H72DC/page-1", "93H72DC")</f>
        <v>93H72DC</v>
      </c>
      <c r="B43745" s="3" t="str">
        <f>HYPERLINK("https://www.773grp.com/manufacturer/onsemi?pageNo=987", "ON Semiconductor")</f>
        <v>ON Semiconductor</v>
      </c>
      <c r="C43745" s="6">
        <v>24</v>
      </c>
      <c r="D43745" s="7">
        <v>0</v>
      </c>
    </row>
    <row r="43746" spans="1:4" x14ac:dyDescent="0.25">
      <c r="A43746" t="str">
        <f>HYPERLINK("https://www.773grp.com/globalSearch/93L01DM-B  LT/page-1", "93L01DM-B  LT")</f>
        <v>93L01DM-B  LT</v>
      </c>
      <c r="B43746" s="3" t="str">
        <f>HYPERLINK("https://www.773grp.com/manufacturer/onsemi?pageNo=988", "ON Semiconductor")</f>
        <v>ON Semiconductor</v>
      </c>
      <c r="C43746" s="6">
        <v>48</v>
      </c>
      <c r="D43746" s="7">
        <v>0</v>
      </c>
    </row>
    <row r="43747" spans="1:4" x14ac:dyDescent="0.25">
      <c r="A43747" t="str">
        <f>HYPERLINK("https://www.773grp.com/globalSearch/93L01DM-B  UT/page-1", "93L01DM-B  UT")</f>
        <v>93L01DM-B  UT</v>
      </c>
      <c r="B43747" s="3" t="str">
        <f>HYPERLINK("https://www.773grp.com/manufacturer/onsemi?pageNo=989", "ON Semiconductor")</f>
        <v>ON Semiconductor</v>
      </c>
      <c r="C43747" s="6">
        <v>35</v>
      </c>
      <c r="D43747" s="7">
        <v>0</v>
      </c>
    </row>
    <row r="43748" spans="1:4" x14ac:dyDescent="0.25">
      <c r="A43748" t="str">
        <f>HYPERLINK("https://www.773grp.com/globalSearch/93L16DM-B  LT/page-1", "93L16DM-B  LT")</f>
        <v>93L16DM-B  LT</v>
      </c>
      <c r="B43748" s="3" t="str">
        <f>HYPERLINK("https://www.773grp.com/manufacturer/onsemi?pageNo=990", "ON Semiconductor")</f>
        <v>ON Semiconductor</v>
      </c>
      <c r="C43748" s="6">
        <v>77</v>
      </c>
      <c r="D43748" s="7">
        <v>0</v>
      </c>
    </row>
    <row r="43749" spans="1:4" x14ac:dyDescent="0.25">
      <c r="A43749" t="str">
        <f>HYPERLINK("https://www.773grp.com/globalSearch/93S46DM-B/page-1", "93S46DM-B")</f>
        <v>93S46DM-B</v>
      </c>
      <c r="B43749" s="3" t="str">
        <f>HYPERLINK("https://www.773grp.com/manufacturer/onsemi?pageNo=991", "ON Semiconductor")</f>
        <v>ON Semiconductor</v>
      </c>
      <c r="C43749" s="6">
        <v>45</v>
      </c>
      <c r="D43749" s="7">
        <v>0</v>
      </c>
    </row>
    <row r="43750" spans="1:4" x14ac:dyDescent="0.25">
      <c r="A43750" t="str">
        <f>HYPERLINK("https://www.773grp.com/globalSearch/93Z665DM-B-45/page-1", "93Z665DM-B-45")</f>
        <v>93Z665DM-B-45</v>
      </c>
      <c r="B43750" s="3" t="str">
        <f>HYPERLINK("https://www.773grp.com/manufacturer/onsemi?pageNo=992", "ON Semiconductor")</f>
        <v>ON Semiconductor</v>
      </c>
      <c r="C43750" s="6">
        <v>144</v>
      </c>
      <c r="D43750" s="7">
        <v>0</v>
      </c>
    </row>
    <row r="43751" spans="1:4" x14ac:dyDescent="0.25">
      <c r="A43751" t="str">
        <f>HYPERLINK("https://www.773grp.com/globalSearch/946HM-C  LT/page-1", "946HM-C  LT")</f>
        <v>946HM-C  LT</v>
      </c>
      <c r="B43751" s="3" t="str">
        <f>HYPERLINK("https://www.773grp.com/manufacturer/onsemi?pageNo=993", "ON Semiconductor")</f>
        <v>ON Semiconductor</v>
      </c>
      <c r="C43751" s="6">
        <v>45</v>
      </c>
      <c r="D43751" s="7">
        <v>0</v>
      </c>
    </row>
    <row r="43752" spans="1:4" x14ac:dyDescent="0.25">
      <c r="A43752" t="str">
        <f>HYPERLINK("https://www.773grp.com/globalSearch/951G-C  LT/page-1", "951G-C  LT")</f>
        <v>951G-C  LT</v>
      </c>
      <c r="B43752" s="3" t="str">
        <f>HYPERLINK("https://www.773grp.com/manufacturer/onsemi?pageNo=994", "ON Semiconductor")</f>
        <v>ON Semiconductor</v>
      </c>
      <c r="C43752" s="6">
        <v>48</v>
      </c>
      <c r="D43752" s="7">
        <v>0</v>
      </c>
    </row>
    <row r="43753" spans="1:4" x14ac:dyDescent="0.25">
      <c r="A43753" t="str">
        <f>HYPERLINK("https://www.773grp.com/globalSearch/9600DM-B/page-1", "9600DM-B")</f>
        <v>9600DM-B</v>
      </c>
      <c r="B43753" s="3" t="str">
        <f>HYPERLINK("https://www.773grp.com/manufacturer/onsemi?pageNo=995", "ON Semiconductor")</f>
        <v>ON Semiconductor</v>
      </c>
      <c r="C43753" s="6">
        <v>104</v>
      </c>
      <c r="D43753" s="7">
        <v>0</v>
      </c>
    </row>
    <row r="43754" spans="1:4" x14ac:dyDescent="0.25">
      <c r="A43754" t="str">
        <f>HYPERLINK("https://www.773grp.com/globalSearch/9600DM-B  LT/page-1", "9600DM-B  LT")</f>
        <v>9600DM-B  LT</v>
      </c>
      <c r="B43754" s="3" t="str">
        <f>HYPERLINK("https://www.773grp.com/manufacturer/onsemi?pageNo=996", "ON Semiconductor")</f>
        <v>ON Semiconductor</v>
      </c>
      <c r="C43754" s="6">
        <v>45</v>
      </c>
      <c r="D43754" s="7">
        <v>0</v>
      </c>
    </row>
    <row r="43755" spans="1:4" x14ac:dyDescent="0.25">
      <c r="A43755" t="str">
        <f>HYPERLINK("https://www.773grp.com/globalSearch/96101DM-R  LT/page-1", "96101DM-R  LT")</f>
        <v>96101DM-R  LT</v>
      </c>
      <c r="B43755" s="3" t="str">
        <f>HYPERLINK("https://www.773grp.com/manufacturer/onsemi?pageNo=997", "ON Semiconductor")</f>
        <v>ON Semiconductor</v>
      </c>
      <c r="C43755" s="6">
        <v>45</v>
      </c>
      <c r="D43755" s="7">
        <v>0</v>
      </c>
    </row>
    <row r="43756" spans="1:4" x14ac:dyDescent="0.25">
      <c r="A43756" t="str">
        <f>HYPERLINK("https://www.773grp.com/globalSearch/96106DM-B  LT/page-1", "96106DM-B  LT")</f>
        <v>96106DM-B  LT</v>
      </c>
      <c r="B43756" s="3" t="str">
        <f>HYPERLINK("https://www.773grp.com/manufacturer/onsemi?pageNo=998", "ON Semiconductor")</f>
        <v>ON Semiconductor</v>
      </c>
      <c r="C43756" s="6">
        <v>50</v>
      </c>
      <c r="D43756" s="7">
        <v>0</v>
      </c>
    </row>
    <row r="43757" spans="1:4" x14ac:dyDescent="0.25">
      <c r="A43757" t="str">
        <f>HYPERLINK("https://www.773grp.com/globalSearch/9620DM-B/page-1", "9620DM-B")</f>
        <v>9620DM-B</v>
      </c>
      <c r="B43757" s="3" t="str">
        <f>HYPERLINK("https://www.773grp.com/manufacturer/onsemi?pageNo=999", "ON Semiconductor")</f>
        <v>ON Semiconductor</v>
      </c>
      <c r="C43757" s="6">
        <v>48</v>
      </c>
      <c r="D43757" s="7">
        <v>0</v>
      </c>
    </row>
    <row r="43758" spans="1:4" x14ac:dyDescent="0.25">
      <c r="A43758" t="str">
        <f>HYPERLINK("https://www.773grp.com/globalSearch/9621PC  UT/page-1", "9621PC  UT")</f>
        <v>9621PC  UT</v>
      </c>
      <c r="B43758" s="3" t="str">
        <f>HYPERLINK("https://www.773grp.com/manufacturer/onsemi?pageNo=1000", "ON Semiconductor")</f>
        <v>ON Semiconductor</v>
      </c>
      <c r="C43758" s="6">
        <v>2456</v>
      </c>
      <c r="D43758" s="7">
        <v>0</v>
      </c>
    </row>
    <row r="43759" spans="1:4" x14ac:dyDescent="0.25">
      <c r="A43759" t="str">
        <f>HYPERLINK("https://www.773grp.com/globalSearch/963DM-B  LT/page-1", "963DM-B  LT")</f>
        <v>963DM-B  LT</v>
      </c>
      <c r="B43759" s="3" t="str">
        <f>HYPERLINK("https://www.773grp.com/manufacturer/onsemi?pageNo=1001", "ON Semiconductor")</f>
        <v>ON Semiconductor</v>
      </c>
      <c r="C43759" s="6">
        <v>44</v>
      </c>
      <c r="D43759" s="7">
        <v>0</v>
      </c>
    </row>
    <row r="43760" spans="1:4" x14ac:dyDescent="0.25">
      <c r="A43760" t="str">
        <f>HYPERLINK("https://www.773grp.com/globalSearch/9L24DM-B  LT/page-1", "9L24DM-B  LT")</f>
        <v>9L24DM-B  LT</v>
      </c>
      <c r="B43760" s="3" t="str">
        <f>HYPERLINK("https://www.773grp.com/manufacturer/onsemi?pageNo=1002", "ON Semiconductor")</f>
        <v>ON Semiconductor</v>
      </c>
      <c r="C43760" s="6">
        <v>75</v>
      </c>
      <c r="D43760" s="7">
        <v>0</v>
      </c>
    </row>
    <row r="43761" spans="1:4" x14ac:dyDescent="0.25">
      <c r="A43761" t="str">
        <f>HYPERLINK("https://www.773grp.com/globalSearch/9S41DM-B  LT/page-1", "9S41DM-B  LT")</f>
        <v>9S41DM-B  LT</v>
      </c>
      <c r="B43761" s="3" t="str">
        <f>HYPERLINK("https://www.773grp.com/manufacturer/onsemi?pageNo=1003", "ON Semiconductor")</f>
        <v>ON Semiconductor</v>
      </c>
      <c r="C43761" s="6">
        <v>45</v>
      </c>
      <c r="D43761" s="7">
        <v>0</v>
      </c>
    </row>
    <row r="43762" spans="1:4" x14ac:dyDescent="0.25">
      <c r="A43762" t="str">
        <f>HYPERLINK("https://www.773grp.com/globalSearch/9S42DM-C  LT/page-1", "9S42DM-C  LT")</f>
        <v>9S42DM-C  LT</v>
      </c>
      <c r="B43762" s="3" t="str">
        <f>HYPERLINK("https://www.773grp.com/manufacturer/onsemi?pageNo=1004", "ON Semiconductor")</f>
        <v>ON Semiconductor</v>
      </c>
      <c r="C43762" s="6">
        <v>45</v>
      </c>
      <c r="D43762" s="7">
        <v>0</v>
      </c>
    </row>
    <row r="43763" spans="1:4" x14ac:dyDescent="0.25">
      <c r="A43763" t="str">
        <f>HYPERLINK("https://www.773grp.com/globalSearch/CRT9128-000P/page-1", "CRT9128-000P")</f>
        <v>CRT9128-000P</v>
      </c>
      <c r="B43763" s="3" t="str">
        <f>HYPERLINK("https://www.773grp.com/manufacturer/onsemi?pageNo=1005", "ON Semiconductor")</f>
        <v>ON Semiconductor</v>
      </c>
      <c r="C43763" s="6">
        <v>922</v>
      </c>
      <c r="D43763" s="7">
        <v>0</v>
      </c>
    </row>
    <row r="43764" spans="1:4" x14ac:dyDescent="0.25">
      <c r="A43764" t="str">
        <f>HYPERLINK("https://www.773grp.com/globalSearch/D139AP-C  LT/page-1", "D139AP-C  LT")</f>
        <v>D139AP-C  LT</v>
      </c>
      <c r="B43764" s="3" t="str">
        <f>HYPERLINK("https://www.773grp.com/manufacturer/onsemi?pageNo=1006", "ON Semiconductor")</f>
        <v>ON Semiconductor</v>
      </c>
      <c r="C43764" s="6">
        <v>45</v>
      </c>
      <c r="D43764" s="7">
        <v>0</v>
      </c>
    </row>
    <row r="43765" spans="1:4" x14ac:dyDescent="0.25">
      <c r="A43765" t="str">
        <f>HYPERLINK("https://www.773grp.com/globalSearch/DM8131N/page-1", "DM8131N")</f>
        <v>DM8131N</v>
      </c>
      <c r="B43765" s="3" t="str">
        <f>HYPERLINK("https://www.773grp.com/manufacturer/onsemi?pageNo=1007", "ON Semiconductor")</f>
        <v>ON Semiconductor</v>
      </c>
      <c r="C43765" s="6">
        <v>640</v>
      </c>
      <c r="D43765" s="7">
        <v>0</v>
      </c>
    </row>
    <row r="43766" spans="1:4" x14ac:dyDescent="0.25">
      <c r="A43766" t="str">
        <f>HYPERLINK("https://www.773grp.com/globalSearch/DS3687N  UT/page-1", "DS3687N  UT")</f>
        <v>DS3687N  UT</v>
      </c>
      <c r="B43766" s="3" t="str">
        <f>HYPERLINK("https://www.773grp.com/manufacturer/onsemi?pageNo=1008", "ON Semiconductor")</f>
        <v>ON Semiconductor</v>
      </c>
      <c r="C43766" s="6">
        <v>1805</v>
      </c>
      <c r="D43766" s="7">
        <v>0</v>
      </c>
    </row>
    <row r="43767" spans="1:4" x14ac:dyDescent="0.25">
      <c r="A43767" t="str">
        <f>HYPERLINK("https://www.773grp.com/globalSearch/LM106W-C  LT/page-1", "LM106W-C  LT")</f>
        <v>LM106W-C  LT</v>
      </c>
      <c r="B43767" s="3" t="str">
        <f>HYPERLINK("https://www.773grp.com/manufacturer/onsemi?pageNo=1009", "ON Semiconductor")</f>
        <v>ON Semiconductor</v>
      </c>
      <c r="C43767" s="6">
        <v>45</v>
      </c>
      <c r="D43767" s="7">
        <v>0</v>
      </c>
    </row>
    <row r="43768" spans="1:4" x14ac:dyDescent="0.25">
      <c r="A43768" t="str">
        <f>HYPERLINK("https://www.773grp.com/globalSearch/LM192H-C  LT/page-1", "LM192H-C  LT")</f>
        <v>LM192H-C  LT</v>
      </c>
      <c r="B43768" s="3" t="str">
        <f>HYPERLINK("https://www.773grp.com/manufacturer/onsemi?pageNo=1010", "ON Semiconductor")</f>
        <v>ON Semiconductor</v>
      </c>
      <c r="C43768" s="6">
        <v>45</v>
      </c>
      <c r="D43768" s="7">
        <v>0</v>
      </c>
    </row>
    <row r="43769" spans="1:4" x14ac:dyDescent="0.25">
      <c r="A43769" t="str">
        <f>HYPERLINK("https://www.773grp.com/globalSearch/MC10525L UT/page-1", "MC10525L UT")</f>
        <v>MC10525L UT</v>
      </c>
      <c r="B43769" s="3" t="str">
        <f>HYPERLINK("https://www.773grp.com/manufacturer/onsemi?pageNo=1011", "ON Semiconductor")</f>
        <v>ON Semiconductor</v>
      </c>
      <c r="C43769" s="6">
        <v>1279</v>
      </c>
      <c r="D43769" s="7">
        <v>0</v>
      </c>
    </row>
    <row r="43770" spans="1:4" x14ac:dyDescent="0.25">
      <c r="A43770" t="str">
        <f>HYPERLINK("https://www.773grp.com/globalSearch/MC503L  UT/page-1", "MC503L  UT")</f>
        <v>MC503L  UT</v>
      </c>
      <c r="B43770" s="3" t="str">
        <f>HYPERLINK("https://www.773grp.com/manufacturer/onsemi?pageNo=1012", "ON Semiconductor")</f>
        <v>ON Semiconductor</v>
      </c>
      <c r="C43770" s="6">
        <v>921</v>
      </c>
      <c r="D43770" s="7">
        <v>0</v>
      </c>
    </row>
    <row r="43771" spans="1:4" x14ac:dyDescent="0.25">
      <c r="A43771" t="str">
        <f>HYPERLINK("https://www.773grp.com/globalSearch/MD8080A-C  LT/page-1", "MD8080A-C  LT")</f>
        <v>MD8080A-C  LT</v>
      </c>
      <c r="B43771" s="3" t="str">
        <f>HYPERLINK("https://www.773grp.com/manufacturer/onsemi?pageNo=1013", "ON Semiconductor")</f>
        <v>ON Semiconductor</v>
      </c>
      <c r="C43771" s="6">
        <v>45</v>
      </c>
      <c r="D43771" s="7">
        <v>0</v>
      </c>
    </row>
    <row r="43772" spans="1:4" x14ac:dyDescent="0.25">
      <c r="A43772" t="str">
        <f>HYPERLINK("https://www.773grp.com/globalSearch/MD8155-B  LT/page-1", "MD8155-B  LT")</f>
        <v>MD8155-B  LT</v>
      </c>
      <c r="B43772" s="3" t="str">
        <f>HYPERLINK("https://www.773grp.com/manufacturer/onsemi?pageNo=1014", "ON Semiconductor")</f>
        <v>ON Semiconductor</v>
      </c>
      <c r="C43772" s="6">
        <v>48</v>
      </c>
      <c r="D43772" s="7">
        <v>0</v>
      </c>
    </row>
    <row r="43773" spans="1:4" x14ac:dyDescent="0.25">
      <c r="A43773" t="str">
        <f>HYPERLINK("https://www.773grp.com/globalSearch/PAL20L10-25MJT-B  LT/page-1", "PAL20L10-25MJT-B  LT")</f>
        <v>PAL20L10-25MJT-B  LT</v>
      </c>
      <c r="B43773" s="3" t="str">
        <f>HYPERLINK("https://www.773grp.com/manufacturer/onsemi?pageNo=1015", "ON Semiconductor")</f>
        <v>ON Semiconductor</v>
      </c>
      <c r="C43773" s="6">
        <v>48</v>
      </c>
      <c r="D43773" s="7">
        <v>0</v>
      </c>
    </row>
    <row r="43774" spans="1:4" x14ac:dyDescent="0.25">
      <c r="A43774" t="str">
        <f>HYPERLINK("https://www.773grp.com/globalSearch/R503102  LT/page-1", "R503102  LT")</f>
        <v>R503102  LT</v>
      </c>
      <c r="B43774" s="3" t="str">
        <f>HYPERLINK("https://www.773grp.com/manufacturer/onsemi?pageNo=1016", "ON Semiconductor")</f>
        <v>ON Semiconductor</v>
      </c>
      <c r="C43774" s="6">
        <v>48</v>
      </c>
      <c r="D43774" s="7">
        <v>0</v>
      </c>
    </row>
    <row r="43775" spans="1:4" x14ac:dyDescent="0.25">
      <c r="A43775" t="str">
        <f>HYPERLINK("https://www.773grp.com/globalSearch/R534112  LT/page-1", "R534112  LT")</f>
        <v>R534112  LT</v>
      </c>
      <c r="B43775" s="3" t="str">
        <f>HYPERLINK("https://www.773grp.com/manufacturer/onsemi?pageNo=1017", "ON Semiconductor")</f>
        <v>ON Semiconductor</v>
      </c>
      <c r="C43775" s="6">
        <v>45</v>
      </c>
      <c r="D43775" s="7">
        <v>0</v>
      </c>
    </row>
    <row r="43776" spans="1:4" x14ac:dyDescent="0.25">
      <c r="A43776" t="str">
        <f>HYPERLINK("https://www.773grp.com/globalSearch/R534184/page-1", "R534184")</f>
        <v>R534184</v>
      </c>
      <c r="B43776" s="3" t="str">
        <f>HYPERLINK("https://www.773grp.com/manufacturer/onsemi?pageNo=1018", "ON Semiconductor")</f>
        <v>ON Semiconductor</v>
      </c>
      <c r="C43776" s="6">
        <v>414</v>
      </c>
      <c r="D43776" s="7">
        <v>0</v>
      </c>
    </row>
    <row r="43777" spans="1:4" x14ac:dyDescent="0.25">
      <c r="A43777" t="str">
        <f>HYPERLINK("https://www.773grp.com/globalSearch/R534185  LT/page-1", "R534185  LT")</f>
        <v>R534185  LT</v>
      </c>
      <c r="B43777" s="3" t="str">
        <f>HYPERLINK("https://www.773grp.com/manufacturer/onsemi?pageNo=1019", "ON Semiconductor")</f>
        <v>ON Semiconductor</v>
      </c>
      <c r="C43777" s="6">
        <v>45</v>
      </c>
      <c r="D43777" s="7">
        <v>0</v>
      </c>
    </row>
    <row r="43778" spans="1:4" x14ac:dyDescent="0.25">
      <c r="A43778" t="str">
        <f>HYPERLINK("https://www.773grp.com/globalSearch/R54L96DM-B  LT/page-1", "R54L96DM-B  LT")</f>
        <v>R54L96DM-B  LT</v>
      </c>
      <c r="B43778" s="3" t="str">
        <f>HYPERLINK("https://www.773grp.com/manufacturer/onsemi?pageNo=1020", "ON Semiconductor")</f>
        <v>ON Semiconductor</v>
      </c>
      <c r="C43778" s="6">
        <v>45</v>
      </c>
      <c r="D43778" s="7">
        <v>0</v>
      </c>
    </row>
    <row r="43779" spans="1:4" x14ac:dyDescent="0.25">
      <c r="A43779" t="str">
        <f>HYPERLINK("https://www.773grp.com/globalSearch/R552100/page-1", "R552100")</f>
        <v>R552100</v>
      </c>
      <c r="B43779" s="3" t="str">
        <f>HYPERLINK("https://www.773grp.com/manufacturer/onsemi?pageNo=1021", "ON Semiconductor")</f>
        <v>ON Semiconductor</v>
      </c>
      <c r="C43779" s="6">
        <v>166</v>
      </c>
      <c r="D43779" s="7">
        <v>0</v>
      </c>
    </row>
    <row r="43780" spans="1:4" x14ac:dyDescent="0.25">
      <c r="A43780" t="str">
        <f>HYPERLINK("https://www.773grp.com/globalSearch/R552125  LT/page-1", "R552125  LT")</f>
        <v>R552125  LT</v>
      </c>
      <c r="B43780" s="3" t="str">
        <f>HYPERLINK("https://www.773grp.com/manufacturer/onsemi?pageNo=1022", "ON Semiconductor")</f>
        <v>ON Semiconductor</v>
      </c>
      <c r="C43780" s="6">
        <v>45</v>
      </c>
      <c r="D43780" s="7">
        <v>0</v>
      </c>
    </row>
    <row r="43781" spans="1:4" x14ac:dyDescent="0.25">
      <c r="A43781" t="str">
        <f>HYPERLINK("https://www.773grp.com/globalSearch/R552133  LT/page-1", "R552133  LT")</f>
        <v>R552133  LT</v>
      </c>
      <c r="B43781" s="3" t="str">
        <f>HYPERLINK("https://www.773grp.com/manufacturer/onsemi?pageNo=1023", "ON Semiconductor")</f>
        <v>ON Semiconductor</v>
      </c>
      <c r="C43781" s="6">
        <v>45</v>
      </c>
      <c r="D43781" s="7">
        <v>0</v>
      </c>
    </row>
    <row r="43782" spans="1:4" x14ac:dyDescent="0.25">
      <c r="A43782" t="str">
        <f>HYPERLINK("https://www.773grp.com/globalSearch/R552179  LT/page-1", "R552179  LT")</f>
        <v>R552179  LT</v>
      </c>
      <c r="B43782" s="3" t="str">
        <f>HYPERLINK("https://www.773grp.com/manufacturer/onsemi?pageNo=1024", "ON Semiconductor")</f>
        <v>ON Semiconductor</v>
      </c>
      <c r="C43782" s="6">
        <v>153</v>
      </c>
      <c r="D43782" s="7">
        <v>0</v>
      </c>
    </row>
    <row r="43783" spans="1:4" x14ac:dyDescent="0.25">
      <c r="A43783" t="str">
        <f>HYPERLINK("https://www.773grp.com/globalSearch/R554100  LT/page-1", "R554100  LT")</f>
        <v>R554100  LT</v>
      </c>
      <c r="B43783" s="3" t="str">
        <f>HYPERLINK("https://www.773grp.com/manufacturer/onsemi?pageNo=1025", "ON Semiconductor")</f>
        <v>ON Semiconductor</v>
      </c>
      <c r="C43783" s="6">
        <v>45</v>
      </c>
      <c r="D43783" s="7">
        <v>0</v>
      </c>
    </row>
    <row r="43784" spans="1:4" x14ac:dyDescent="0.25">
      <c r="A43784" t="str">
        <f>HYPERLINK("https://www.773grp.com/globalSearch/R554135  LT/page-1", "R554135  LT")</f>
        <v>R554135  LT</v>
      </c>
      <c r="B43784" s="3" t="str">
        <f>HYPERLINK("https://www.773grp.com/manufacturer/onsemi?pageNo=1026", "ON Semiconductor")</f>
        <v>ON Semiconductor</v>
      </c>
      <c r="C43784" s="6">
        <v>45</v>
      </c>
      <c r="D43784" s="7">
        <v>0</v>
      </c>
    </row>
    <row r="43785" spans="1:4" x14ac:dyDescent="0.25">
      <c r="A43785" t="str">
        <f>HYPERLINK("https://www.773grp.com/globalSearch/R554139  LT/page-1", "R554139  LT")</f>
        <v>R554139  LT</v>
      </c>
      <c r="B43785" s="3" t="str">
        <f>HYPERLINK("https://www.773grp.com/manufacturer/onsemi?pageNo=1027", "ON Semiconductor")</f>
        <v>ON Semiconductor</v>
      </c>
      <c r="C43785" s="6">
        <v>76</v>
      </c>
      <c r="D43785" s="7">
        <v>0</v>
      </c>
    </row>
    <row r="43786" spans="1:4" x14ac:dyDescent="0.25">
      <c r="A43786" t="str">
        <f>HYPERLINK("https://www.773grp.com/globalSearch/R554151  UT/page-1", "R554151  UT")</f>
        <v>R554151  UT</v>
      </c>
      <c r="B43786" s="3" t="str">
        <f>HYPERLINK("https://www.773grp.com/manufacturer/onsemi?pageNo=1028", "ON Semiconductor")</f>
        <v>ON Semiconductor</v>
      </c>
      <c r="C43786" s="6">
        <v>602</v>
      </c>
      <c r="D43786" s="7">
        <v>0</v>
      </c>
    </row>
    <row r="43787" spans="1:4" x14ac:dyDescent="0.25">
      <c r="A43787" t="str">
        <f>HYPERLINK("https://www.773grp.com/globalSearch/R554901  LT/page-1", "R554901  LT")</f>
        <v>R554901  LT</v>
      </c>
      <c r="B43787" s="3" t="str">
        <f>HYPERLINK("https://www.773grp.com/manufacturer/onsemi?pageNo=1029", "ON Semiconductor")</f>
        <v>ON Semiconductor</v>
      </c>
      <c r="C43787" s="6">
        <v>45</v>
      </c>
      <c r="D43787" s="7">
        <v>0</v>
      </c>
    </row>
    <row r="43788" spans="1:4" x14ac:dyDescent="0.25">
      <c r="A43788" t="str">
        <f>HYPERLINK("https://www.773grp.com/globalSearch/R554906  LT/page-1", "R554906  LT")</f>
        <v>R554906  LT</v>
      </c>
      <c r="B43788" s="3" t="str">
        <f>HYPERLINK("https://www.773grp.com/manufacturer/onsemi?pageNo=1030", "ON Semiconductor")</f>
        <v>ON Semiconductor</v>
      </c>
      <c r="C43788" s="6">
        <v>45</v>
      </c>
      <c r="D43788" s="7">
        <v>0</v>
      </c>
    </row>
    <row r="43789" spans="1:4" x14ac:dyDescent="0.25">
      <c r="A43789" t="str">
        <f>HYPERLINK("https://www.773grp.com/globalSearch/R554910  LT/page-1", "R554910  LT")</f>
        <v>R554910  LT</v>
      </c>
      <c r="B43789" s="3" t="str">
        <f>HYPERLINK("https://www.773grp.com/manufacturer/onsemi?pageNo=1031", "ON Semiconductor")</f>
        <v>ON Semiconductor</v>
      </c>
      <c r="C43789" s="6">
        <v>45</v>
      </c>
      <c r="D43789" s="7">
        <v>0</v>
      </c>
    </row>
    <row r="43790" spans="1:4" x14ac:dyDescent="0.25">
      <c r="A43790" t="str">
        <f>HYPERLINK("https://www.773grp.com/globalSearch/R573103  LT/page-1", "R573103  LT")</f>
        <v>R573103  LT</v>
      </c>
      <c r="B43790" s="3" t="str">
        <f>HYPERLINK("https://www.773grp.com/manufacturer/onsemi?pageNo=1032", "ON Semiconductor")</f>
        <v>ON Semiconductor</v>
      </c>
      <c r="C43790" s="6">
        <v>489</v>
      </c>
      <c r="D43790" s="7">
        <v>0</v>
      </c>
    </row>
    <row r="43791" spans="1:4" x14ac:dyDescent="0.25">
      <c r="A43791" t="str">
        <f>HYPERLINK("https://www.773grp.com/globalSearch/R574103  LT/page-1", "R574103  LT")</f>
        <v>R574103  LT</v>
      </c>
      <c r="B43791" s="3" t="str">
        <f>HYPERLINK("https://www.773grp.com/manufacturer/onsemi?pageNo=1033", "ON Semiconductor")</f>
        <v>ON Semiconductor</v>
      </c>
      <c r="C43791" s="6">
        <v>45</v>
      </c>
      <c r="D43791" s="7">
        <v>0</v>
      </c>
    </row>
    <row r="43792" spans="1:4" x14ac:dyDescent="0.25">
      <c r="A43792" t="str">
        <f>HYPERLINK("https://www.773grp.com/globalSearch/R574112/page-1", "R574112")</f>
        <v>R574112</v>
      </c>
      <c r="B43792" s="3" t="str">
        <f>HYPERLINK("https://www.773grp.com/manufacturer/onsemi?pageNo=1034", "ON Semiconductor")</f>
        <v>ON Semiconductor</v>
      </c>
      <c r="C43792" s="6">
        <v>776</v>
      </c>
      <c r="D43792" s="7">
        <v>0</v>
      </c>
    </row>
    <row r="43793" spans="1:4" x14ac:dyDescent="0.25">
      <c r="A43793" t="str">
        <f>HYPERLINK("https://www.773grp.com/globalSearch/R574112  LT/page-1", "R574112  LT")</f>
        <v>R574112  LT</v>
      </c>
      <c r="B43793" s="3" t="str">
        <f>HYPERLINK("https://www.773grp.com/manufacturer/onsemi?pageNo=1035", "ON Semiconductor")</f>
        <v>ON Semiconductor</v>
      </c>
      <c r="C43793" s="6">
        <v>90</v>
      </c>
      <c r="D43793" s="7">
        <v>0</v>
      </c>
    </row>
    <row r="43794" spans="1:4" x14ac:dyDescent="0.25">
      <c r="A43794" t="str">
        <f>HYPERLINK("https://www.773grp.com/globalSearch/R574114/page-1", "R574114")</f>
        <v>R574114</v>
      </c>
      <c r="B43794" s="3" t="str">
        <f>HYPERLINK("https://www.773grp.com/manufacturer/onsemi?pageNo=1036", "ON Semiconductor")</f>
        <v>ON Semiconductor</v>
      </c>
      <c r="C43794" s="6">
        <v>858</v>
      </c>
      <c r="D43794" s="7">
        <v>0</v>
      </c>
    </row>
    <row r="43795" spans="1:4" x14ac:dyDescent="0.25">
      <c r="A43795" t="str">
        <f>HYPERLINK("https://www.773grp.com/globalSearch/R574114  LT/page-1", "R574114  LT")</f>
        <v>R574114  LT</v>
      </c>
      <c r="B43795" s="3" t="str">
        <f>HYPERLINK("https://www.773grp.com/manufacturer/onsemi?pageNo=1037", "ON Semiconductor")</f>
        <v>ON Semiconductor</v>
      </c>
      <c r="C43795" s="6">
        <v>45</v>
      </c>
      <c r="D43795" s="7">
        <v>0</v>
      </c>
    </row>
    <row r="43796" spans="1:4" x14ac:dyDescent="0.25">
      <c r="A43796" t="str">
        <f>HYPERLINK("https://www.773grp.com/globalSearch/R574132/page-1", "R574132")</f>
        <v>R574132</v>
      </c>
      <c r="B43796" s="3" t="str">
        <f>HYPERLINK("https://www.773grp.com/manufacturer/onsemi?pageNo=1038", "ON Semiconductor")</f>
        <v>ON Semiconductor</v>
      </c>
      <c r="C43796" s="6">
        <v>456</v>
      </c>
      <c r="D43796" s="7">
        <v>0</v>
      </c>
    </row>
    <row r="43797" spans="1:4" x14ac:dyDescent="0.25">
      <c r="A43797" t="str">
        <f>HYPERLINK("https://www.773grp.com/globalSearch/R652101  LT/page-1", "R652101  LT")</f>
        <v>R652101  LT</v>
      </c>
      <c r="B43797" s="3" t="str">
        <f>HYPERLINK("https://www.773grp.com/manufacturer/onsemi?pageNo=1039", "ON Semiconductor")</f>
        <v>ON Semiconductor</v>
      </c>
      <c r="C43797" s="6">
        <v>45</v>
      </c>
      <c r="D43797" s="7">
        <v>0</v>
      </c>
    </row>
    <row r="43798" spans="1:4" x14ac:dyDescent="0.25">
      <c r="A43798" t="str">
        <f>HYPERLINK("https://www.773grp.com/globalSearch/R652106  LT/page-1", "R652106  LT")</f>
        <v>R652106  LT</v>
      </c>
      <c r="B43798" s="3" t="str">
        <f>HYPERLINK("https://www.773grp.com/manufacturer/onsemi?pageNo=1040", "ON Semiconductor")</f>
        <v>ON Semiconductor</v>
      </c>
      <c r="C43798" s="6">
        <v>45</v>
      </c>
      <c r="D43798" s="7">
        <v>0</v>
      </c>
    </row>
    <row r="43799" spans="1:4" x14ac:dyDescent="0.25">
      <c r="A43799" t="str">
        <f>HYPERLINK("https://www.773grp.com/globalSearch/R652107  LT/page-1", "R652107  LT")</f>
        <v>R652107  LT</v>
      </c>
      <c r="B43799" s="3" t="str">
        <f>HYPERLINK("https://www.773grp.com/manufacturer/onsemi?pageNo=1041", "ON Semiconductor")</f>
        <v>ON Semiconductor</v>
      </c>
      <c r="C43799" s="6">
        <v>22</v>
      </c>
      <c r="D43799" s="7">
        <v>0</v>
      </c>
    </row>
    <row r="43800" spans="1:4" x14ac:dyDescent="0.25">
      <c r="A43800" t="str">
        <f>HYPERLINK("https://www.773grp.com/globalSearch/R652119  LT/page-1", "R652119  LT")</f>
        <v>R652119  LT</v>
      </c>
      <c r="B43800" s="3" t="str">
        <f>HYPERLINK("https://www.773grp.com/manufacturer/onsemi?pageNo=1042", "ON Semiconductor")</f>
        <v>ON Semiconductor</v>
      </c>
      <c r="C43800" s="6">
        <v>45</v>
      </c>
      <c r="D43800" s="7">
        <v>0</v>
      </c>
    </row>
    <row r="43801" spans="1:4" x14ac:dyDescent="0.25">
      <c r="A43801" t="str">
        <f>HYPERLINK("https://www.773grp.com/globalSearch/R652121/page-1", "R652121")</f>
        <v>R652121</v>
      </c>
      <c r="B43801" s="3" t="str">
        <f>HYPERLINK("https://www.773grp.com/manufacturer/onsemi?pageNo=1043", "ON Semiconductor")</f>
        <v>ON Semiconductor</v>
      </c>
      <c r="C43801" s="6">
        <v>372</v>
      </c>
      <c r="D43801" s="7">
        <v>0</v>
      </c>
    </row>
    <row r="43802" spans="1:4" x14ac:dyDescent="0.25">
      <c r="A43802" t="str">
        <f>HYPERLINK("https://www.773grp.com/globalSearch/R652123/page-1", "R652123")</f>
        <v>R652123</v>
      </c>
      <c r="B43802" s="3" t="str">
        <f>HYPERLINK("https://www.773grp.com/manufacturer/onsemi?pageNo=1044", "ON Semiconductor")</f>
        <v>ON Semiconductor</v>
      </c>
      <c r="C43802" s="6">
        <v>346</v>
      </c>
      <c r="D43802" s="7">
        <v>0</v>
      </c>
    </row>
    <row r="43803" spans="1:4" x14ac:dyDescent="0.25">
      <c r="A43803" t="str">
        <f>HYPERLINK("https://www.773grp.com/globalSearch/R652123  LT/page-1", "R652123  LT")</f>
        <v>R652123  LT</v>
      </c>
      <c r="B43803" s="3" t="str">
        <f>HYPERLINK("https://www.773grp.com/manufacturer/onsemi?pageNo=1045", "ON Semiconductor")</f>
        <v>ON Semiconductor</v>
      </c>
      <c r="C43803" s="6">
        <v>45</v>
      </c>
      <c r="D43803" s="7">
        <v>0</v>
      </c>
    </row>
    <row r="43804" spans="1:4" x14ac:dyDescent="0.25">
      <c r="A43804" t="str">
        <f>HYPERLINK("https://www.773grp.com/globalSearch/R652130  LT/page-1", "R652130  LT")</f>
        <v>R652130  LT</v>
      </c>
      <c r="B43804" s="3" t="str">
        <f>HYPERLINK("https://www.773grp.com/manufacturer/onsemi?pageNo=1046", "ON Semiconductor")</f>
        <v>ON Semiconductor</v>
      </c>
      <c r="C43804" s="6">
        <v>45</v>
      </c>
      <c r="D43804" s="7">
        <v>0</v>
      </c>
    </row>
    <row r="43805" spans="1:4" x14ac:dyDescent="0.25">
      <c r="A43805" t="str">
        <f>HYPERLINK("https://www.773grp.com/globalSearch/R655145  UT/page-1", "R655145  UT")</f>
        <v>R655145  UT</v>
      </c>
      <c r="B43805" s="3" t="str">
        <f>HYPERLINK("https://www.773grp.com/manufacturer/onsemi?pageNo=1047", "ON Semiconductor")</f>
        <v>ON Semiconductor</v>
      </c>
      <c r="C43805" s="6">
        <v>50</v>
      </c>
      <c r="D43805" s="7">
        <v>0</v>
      </c>
    </row>
    <row r="43806" spans="1:4" x14ac:dyDescent="0.25">
      <c r="A43806" t="str">
        <f>HYPERLINK("https://www.773grp.com/globalSearch/R694102 UT/page-1", "R694102 UT")</f>
        <v>R694102 UT</v>
      </c>
      <c r="B43806" s="3" t="str">
        <f>HYPERLINK("https://www.773grp.com/manufacturer/onsemi?pageNo=1048", "ON Semiconductor")</f>
        <v>ON Semiconductor</v>
      </c>
      <c r="C43806" s="6">
        <v>223</v>
      </c>
      <c r="D43806" s="7">
        <v>0</v>
      </c>
    </row>
    <row r="43807" spans="1:4" x14ac:dyDescent="0.25">
      <c r="A43807" t="str">
        <f>HYPERLINK("https://www.773grp.com/globalSearch/R723103  LT/page-1", "R723103  LT")</f>
        <v>R723103  LT</v>
      </c>
      <c r="B43807" s="3" t="str">
        <f>HYPERLINK("https://www.773grp.com/manufacturer/onsemi?pageNo=1049", "ON Semiconductor")</f>
        <v>ON Semiconductor</v>
      </c>
      <c r="C43807" s="6">
        <v>45</v>
      </c>
      <c r="D43807" s="7">
        <v>0</v>
      </c>
    </row>
    <row r="43808" spans="1:4" x14ac:dyDescent="0.25">
      <c r="A43808" t="str">
        <f>HYPERLINK("https://www.773grp.com/globalSearch/R754101  LT/page-1", "R754101  LT")</f>
        <v>R754101  LT</v>
      </c>
      <c r="B43808" s="3" t="str">
        <f>HYPERLINK("https://www.773grp.com/manufacturer/onsemi?pageNo=1050", "ON Semiconductor")</f>
        <v>ON Semiconductor</v>
      </c>
      <c r="C43808" s="6">
        <v>45</v>
      </c>
      <c r="D43808" s="7">
        <v>0</v>
      </c>
    </row>
    <row r="43809" spans="1:4" x14ac:dyDescent="0.25">
      <c r="A43809" t="str">
        <f>HYPERLINK("https://www.773grp.com/globalSearch/R754102  LT/page-1", "R754102  LT")</f>
        <v>R754102  LT</v>
      </c>
      <c r="B43809" s="3" t="str">
        <f>HYPERLINK("https://www.773grp.com/manufacturer/onsemi?pageNo=1051", "ON Semiconductor")</f>
        <v>ON Semiconductor</v>
      </c>
      <c r="C43809" s="6">
        <v>45</v>
      </c>
      <c r="D43809" s="7">
        <v>0</v>
      </c>
    </row>
    <row r="43810" spans="1:4" x14ac:dyDescent="0.25">
      <c r="A43810" t="str">
        <f>HYPERLINK("https://www.773grp.com/globalSearch/R754105  LT/page-1", "R754105  LT")</f>
        <v>R754105  LT</v>
      </c>
      <c r="B43810" s="3" t="str">
        <f>HYPERLINK("https://www.773grp.com/manufacturer/onsemi?pageNo=1052", "ON Semiconductor")</f>
        <v>ON Semiconductor</v>
      </c>
      <c r="C43810" s="6">
        <v>45</v>
      </c>
      <c r="D43810" s="7">
        <v>0</v>
      </c>
    </row>
    <row r="43811" spans="1:4" x14ac:dyDescent="0.25">
      <c r="A43811" t="str">
        <f>HYPERLINK("https://www.773grp.com/globalSearch/R763101  LT/page-1", "R763101  LT")</f>
        <v>R763101  LT</v>
      </c>
      <c r="B43811" s="3" t="str">
        <f>HYPERLINK("https://www.773grp.com/manufacturer/onsemi?pageNo=1053", "ON Semiconductor")</f>
        <v>ON Semiconductor</v>
      </c>
      <c r="C43811" s="6">
        <v>45</v>
      </c>
      <c r="D43811" s="7">
        <v>0</v>
      </c>
    </row>
    <row r="43812" spans="1:4" x14ac:dyDescent="0.25">
      <c r="A43812" t="str">
        <f>HYPERLINK("https://www.773grp.com/globalSearch/R783102/page-1", "R783102")</f>
        <v>R783102</v>
      </c>
      <c r="B43812" s="3" t="str">
        <f>HYPERLINK("https://www.773grp.com/manufacturer/onsemi?pageNo=1054", "ON Semiconductor")</f>
        <v>ON Semiconductor</v>
      </c>
      <c r="C43812" s="6">
        <v>152</v>
      </c>
      <c r="D43812" s="7">
        <v>0</v>
      </c>
    </row>
    <row r="43813" spans="1:4" x14ac:dyDescent="0.25">
      <c r="A43813" t="str">
        <f>HYPERLINK("https://www.773grp.com/globalSearch/R866101  LT/page-1", "R866101  LT")</f>
        <v>R866101  LT</v>
      </c>
      <c r="B43813" s="3" t="str">
        <f>HYPERLINK("https://www.773grp.com/manufacturer/onsemi?pageNo=1055", "ON Semiconductor")</f>
        <v>ON Semiconductor</v>
      </c>
      <c r="C43813" s="6">
        <v>76</v>
      </c>
      <c r="D43813" s="7">
        <v>0</v>
      </c>
    </row>
    <row r="43814" spans="1:4" x14ac:dyDescent="0.25">
      <c r="A43814" t="str">
        <f>HYPERLINK("https://www.773grp.com/globalSearch/R866104  LT/page-1", "R866104  LT")</f>
        <v>R866104  LT</v>
      </c>
      <c r="B43814" s="3" t="str">
        <f>HYPERLINK("https://www.773grp.com/manufacturer/onsemi?pageNo=1056", "ON Semiconductor")</f>
        <v>ON Semiconductor</v>
      </c>
      <c r="C43814" s="6">
        <v>95</v>
      </c>
      <c r="D43814" s="7">
        <v>0</v>
      </c>
    </row>
    <row r="43815" spans="1:4" x14ac:dyDescent="0.25">
      <c r="A43815" t="str">
        <f>HYPERLINK("https://www.773grp.com/globalSearch/R922101  LT/page-1", "R922101  LT")</f>
        <v>R922101  LT</v>
      </c>
      <c r="B43815" s="3" t="str">
        <f>HYPERLINK("https://www.773grp.com/manufacturer/onsemi?pageNo=1057", "ON Semiconductor")</f>
        <v>ON Semiconductor</v>
      </c>
      <c r="C43815" s="6">
        <v>135</v>
      </c>
      <c r="D43815" s="7">
        <v>0</v>
      </c>
    </row>
    <row r="43816" spans="1:4" x14ac:dyDescent="0.25">
      <c r="A43816" t="str">
        <f>HYPERLINK("https://www.773grp.com/globalSearch/RC14531BF-B  LT/page-1", "RC14531BF-B  LT")</f>
        <v>RC14531BF-B  LT</v>
      </c>
      <c r="B43816" s="3" t="str">
        <f>HYPERLINK("https://www.773grp.com/manufacturer/onsemi?pageNo=1058", "ON Semiconductor")</f>
        <v>ON Semiconductor</v>
      </c>
      <c r="C43816" s="6">
        <v>45</v>
      </c>
      <c r="D43816" s="7">
        <v>0</v>
      </c>
    </row>
    <row r="43817" spans="1:4" x14ac:dyDescent="0.25">
      <c r="A43817" t="str">
        <f>HYPERLINK("https://www.773grp.com/globalSearch/RC1520G-C  LT/page-1", "RC1520G-C  LT")</f>
        <v>RC1520G-C  LT</v>
      </c>
      <c r="B43817" s="3" t="str">
        <f>HYPERLINK("https://www.773grp.com/manufacturer/onsemi?pageNo=1059", "ON Semiconductor")</f>
        <v>ON Semiconductor</v>
      </c>
      <c r="C43817" s="6">
        <v>45</v>
      </c>
      <c r="D43817" s="7">
        <v>0</v>
      </c>
    </row>
    <row r="43818" spans="1:4" x14ac:dyDescent="0.25">
      <c r="A43818" t="str">
        <f>HYPERLINK("https://www.773grp.com/globalSearch/RC1550F-B  LT/page-1", "RC1550F-B  LT")</f>
        <v>RC1550F-B  LT</v>
      </c>
      <c r="B43818" s="3" t="str">
        <f>HYPERLINK("https://www.773grp.com/manufacturer/onsemi?pageNo=1060", "ON Semiconductor")</f>
        <v>ON Semiconductor</v>
      </c>
      <c r="C43818" s="6">
        <v>45</v>
      </c>
      <c r="D43818" s="7">
        <v>0</v>
      </c>
    </row>
    <row r="43819" spans="1:4" x14ac:dyDescent="0.25">
      <c r="A43819" t="str">
        <f>HYPERLINK("https://www.773grp.com/globalSearch/RC1688L-R/page-1", "RC1688L-R")</f>
        <v>RC1688L-R</v>
      </c>
      <c r="B43819" s="3" t="str">
        <f>HYPERLINK("https://www.773grp.com/manufacturer/onsemi?pageNo=1061", "ON Semiconductor")</f>
        <v>ON Semiconductor</v>
      </c>
      <c r="C43819" s="6">
        <v>233</v>
      </c>
      <c r="D43819" s="7">
        <v>0</v>
      </c>
    </row>
    <row r="43820" spans="1:4" x14ac:dyDescent="0.25">
      <c r="A43820" t="str">
        <f>HYPERLINK("https://www.773grp.com/globalSearch/TD82530-6  UT/page-1", "TD82530-6  UT")</f>
        <v>TD82530-6  UT</v>
      </c>
      <c r="B43820" s="3" t="str">
        <f>HYPERLINK("https://www.773grp.com/manufacturer/onsemi?pageNo=1062", "ON Semiconductor")</f>
        <v>ON Semiconductor</v>
      </c>
      <c r="C43820" s="6">
        <v>318</v>
      </c>
      <c r="D43820" s="7">
        <v>0</v>
      </c>
    </row>
    <row r="43821" spans="1:4" x14ac:dyDescent="0.25">
      <c r="A43821" t="str">
        <f>HYPERLINK("https://www.773grp.com/globalSearch/TL080MJG-C  LT/page-1", "TL080MJG-C  LT")</f>
        <v>TL080MJG-C  LT</v>
      </c>
      <c r="B43821" s="3" t="str">
        <f>HYPERLINK("https://www.773grp.com/manufacturer/onsemi?pageNo=1063", "ON Semiconductor")</f>
        <v>ON Semiconductor</v>
      </c>
      <c r="C43821" s="6">
        <v>45</v>
      </c>
      <c r="D43821" s="7">
        <v>0</v>
      </c>
    </row>
    <row r="43822" spans="1:4" x14ac:dyDescent="0.25">
      <c r="A43822" t="str">
        <f>HYPERLINK("https://www.773grp.com/globalSearch/TL820MJ-B/page-1", "TL820MJ-B")</f>
        <v>TL820MJ-B</v>
      </c>
      <c r="B43822" s="3" t="str">
        <f>HYPERLINK("https://www.773grp.com/manufacturer/onsemi?pageNo=1064", "ON Semiconductor")</f>
        <v>ON Semiconductor</v>
      </c>
      <c r="C43822" s="6">
        <v>30</v>
      </c>
      <c r="D43822" s="7">
        <v>0</v>
      </c>
    </row>
    <row r="43823" spans="1:4" x14ac:dyDescent="0.25">
      <c r="A43823" t="str">
        <f>HYPERLINK("https://www.773grp.com/globalSearch/UA7906CL-R  UT/page-1", "UA7906CL-R  UT")</f>
        <v>UA7906CL-R  UT</v>
      </c>
      <c r="B43823" s="3" t="str">
        <f>HYPERLINK("https://www.773grp.com/manufacturer/onsemi?pageNo=1065", "ON Semiconductor")</f>
        <v>ON Semiconductor</v>
      </c>
      <c r="C43823" s="6">
        <v>16</v>
      </c>
      <c r="D43823" s="7">
        <v>0</v>
      </c>
    </row>
    <row r="43824" spans="1:4" x14ac:dyDescent="0.25">
      <c r="A43824" t="str">
        <f>HYPERLINK("https://www.773grp.com/globalSearch/UDS2983R-B/page-1", "UDS2983R-B")</f>
        <v>UDS2983R-B</v>
      </c>
      <c r="B43824" s="3" t="str">
        <f>HYPERLINK("https://www.773grp.com/manufacturer/onsemi?pageNo=1066", "ON Semiconductor")</f>
        <v>ON Semiconductor</v>
      </c>
      <c r="C43824" s="6">
        <v>47</v>
      </c>
      <c r="D43824" s="7">
        <v>0</v>
      </c>
    </row>
    <row r="43825" spans="1:4" x14ac:dyDescent="0.25">
      <c r="A43825" t="str">
        <f>HYPERLINK("https://www.773grp.com/globalSearch/R1151/page-1", "R1151")</f>
        <v>R1151</v>
      </c>
      <c r="B43825" s="3" t="str">
        <f>HYPERLINK("https://www.773grp.com/manufacturer/onsemi?pageNo=1067", "ON Semiconductor")</f>
        <v>ON Semiconductor</v>
      </c>
      <c r="C43825" s="6">
        <v>122</v>
      </c>
      <c r="D43825" s="7">
        <v>0</v>
      </c>
    </row>
    <row r="43826" spans="1:4" x14ac:dyDescent="0.25">
      <c r="A43826" t="str">
        <f>HYPERLINK("https://www.773grp.com/globalSearch/R451000/page-1", "R451000")</f>
        <v>R451000</v>
      </c>
      <c r="B43826" s="3" t="str">
        <f>HYPERLINK("https://www.773grp.com/manufacturer/onsemi?pageNo=1068", "ON Semiconductor")</f>
        <v>ON Semiconductor</v>
      </c>
      <c r="C43826" s="6">
        <v>1</v>
      </c>
      <c r="D43826" s="7">
        <v>0</v>
      </c>
    </row>
    <row r="43827" spans="1:4" x14ac:dyDescent="0.25">
      <c r="A43827" t="str">
        <f>HYPERLINK("https://www.773grp.com/globalSearch/UCS5801H-B  UT/page-1", "UCS5801H-B  UT")</f>
        <v>UCS5801H-B  UT</v>
      </c>
      <c r="B43827" s="3" t="str">
        <f>HYPERLINK("https://www.773grp.com/manufacturer/onsemi?pageNo=1069", "ON Semiconductor")</f>
        <v>ON Semiconductor</v>
      </c>
      <c r="C43827" s="6">
        <v>773</v>
      </c>
      <c r="D43827" s="7">
        <v>0</v>
      </c>
    </row>
    <row r="43828" spans="1:4" x14ac:dyDescent="0.25">
      <c r="A43828" t="str">
        <f>HYPERLINK("https://www.773grp.com/globalSearch/UCS5810R-B/page-1", "UCS5810R-B")</f>
        <v>UCS5810R-B</v>
      </c>
      <c r="B43828" s="3" t="str">
        <f>HYPERLINK("https://www.773grp.com/manufacturer/onsemi?pageNo=1070", "ON Semiconductor")</f>
        <v>ON Semiconductor</v>
      </c>
      <c r="C43828" s="6">
        <v>259</v>
      </c>
      <c r="D43828" s="7">
        <v>0</v>
      </c>
    </row>
    <row r="43829" spans="1:4" x14ac:dyDescent="0.25">
      <c r="A43829" t="str">
        <f>HYPERLINK("https://www.773grp.com/globalSearch/UDS2984R-B  UT/page-1", "UDS2984R-B  UT")</f>
        <v>UDS2984R-B  UT</v>
      </c>
      <c r="B43829" s="3" t="str">
        <f>HYPERLINK("https://www.773grp.com/manufacturer/onsemi?pageNo=1071", "ON Semiconductor")</f>
        <v>ON Semiconductor</v>
      </c>
      <c r="C43829" s="6">
        <v>38</v>
      </c>
      <c r="D43829" s="7">
        <v>0</v>
      </c>
    </row>
    <row r="43830" spans="1:4" x14ac:dyDescent="0.25">
      <c r="A43830" t="str">
        <f>HYPERLINK("https://www.773grp.com/globalSearch/ULS2023H-R/page-1", "ULS2023H-R")</f>
        <v>ULS2023H-R</v>
      </c>
      <c r="B43830" s="3" t="str">
        <f>HYPERLINK("https://www.773grp.com/manufacturer/onsemi?pageNo=1072", "ON Semiconductor")</f>
        <v>ON Semiconductor</v>
      </c>
      <c r="C43830" s="6">
        <v>2</v>
      </c>
      <c r="D43830" s="7">
        <v>0</v>
      </c>
    </row>
    <row r="43831" spans="1:4" x14ac:dyDescent="0.25">
      <c r="A43831" t="str">
        <f>HYPERLINK("https://www.773grp.com/globalSearch/ULS2823H-R/page-1", "ULS2823H-R")</f>
        <v>ULS2823H-R</v>
      </c>
      <c r="B43831" s="3" t="str">
        <f>HYPERLINK("https://www.773grp.com/manufacturer/onsemi?pageNo=1073", "ON Semiconductor")</f>
        <v>ON Semiconductor</v>
      </c>
      <c r="C43831" s="6">
        <v>41</v>
      </c>
      <c r="D43831" s="7">
        <v>0</v>
      </c>
    </row>
    <row r="43832" spans="1:4" x14ac:dyDescent="0.25">
      <c r="A43832" t="str">
        <f>HYPERLINK("https://www.773grp.com/globalSearch/ULS2823H-R  UT/page-1", "ULS2823H-R  UT")</f>
        <v>ULS2823H-R  UT</v>
      </c>
      <c r="B43832" s="3" t="str">
        <f>HYPERLINK("https://www.773grp.com/manufacturer/onsemi?pageNo=1074", "ON Semiconductor")</f>
        <v>ON Semiconductor</v>
      </c>
      <c r="C43832" s="6">
        <v>100</v>
      </c>
      <c r="D43832" s="7">
        <v>0</v>
      </c>
    </row>
    <row r="43833" spans="1:4" x14ac:dyDescent="0.25">
      <c r="A43833" t="str">
        <f>HYPERLINK("https://www.773grp.com/globalSearch/EP1800GM-75-B/page-1", "EP1800GM-75-B")</f>
        <v>EP1800GM-75-B</v>
      </c>
      <c r="B43833" s="3" t="str">
        <f>HYPERLINK("https://www.773grp.com/manufacturer/onsemi?pageNo=1075", "ON Semiconductor")</f>
        <v>ON Semiconductor</v>
      </c>
      <c r="C43833" s="6">
        <v>199</v>
      </c>
      <c r="D43833" s="7">
        <v>0</v>
      </c>
    </row>
    <row r="43834" spans="1:4" x14ac:dyDescent="0.25">
      <c r="A43834" t="str">
        <f>HYPERLINK("https://www.773grp.com/globalSearch/EP1810GM-B/page-1", "EP1810GM-B")</f>
        <v>EP1810GM-B</v>
      </c>
      <c r="B43834" s="3" t="str">
        <f>HYPERLINK("https://www.773grp.com/manufacturer/onsemi?pageNo=1076", "ON Semiconductor")</f>
        <v>ON Semiconductor</v>
      </c>
      <c r="C43834" s="6">
        <v>80</v>
      </c>
      <c r="D43834" s="7">
        <v>0</v>
      </c>
    </row>
    <row r="43835" spans="1:4" x14ac:dyDescent="0.25">
      <c r="A43835" t="str">
        <f>HYPERLINK("https://www.773grp.com/globalSearch/EP1810LC-35/page-1", "EP1810LC-35")</f>
        <v>EP1810LC-35</v>
      </c>
      <c r="B43835" s="3" t="str">
        <f>HYPERLINK("https://www.773grp.com/manufacturer/onsemi?pageNo=1077", "ON Semiconductor")</f>
        <v>ON Semiconductor</v>
      </c>
      <c r="C43835" s="6">
        <v>4</v>
      </c>
      <c r="D43835" s="7">
        <v>0</v>
      </c>
    </row>
    <row r="43836" spans="1:4" x14ac:dyDescent="0.25">
      <c r="A43836" t="str">
        <f>HYPERLINK("https://www.773grp.com/globalSearch/EP1810LC-35  UM/page-1", "EP1810LC-35  UM")</f>
        <v>EP1810LC-35  UM</v>
      </c>
      <c r="B43836" s="3" t="str">
        <f>HYPERLINK("https://www.773grp.com/manufacturer/onsemi?pageNo=1078", "ON Semiconductor")</f>
        <v>ON Semiconductor</v>
      </c>
      <c r="C43836" s="6">
        <v>2036</v>
      </c>
      <c r="D43836" s="7">
        <v>0</v>
      </c>
    </row>
    <row r="43837" spans="1:4" x14ac:dyDescent="0.25">
      <c r="A43837" t="str">
        <f>HYPERLINK("https://www.773grp.com/globalSearch/EP1810LC-35-G/page-1", "EP1810LC-35-G")</f>
        <v>EP1810LC-35-G</v>
      </c>
      <c r="B43837" s="3" t="str">
        <f>HYPERLINK("https://www.773grp.com/manufacturer/onsemi?pageNo=1079", "ON Semiconductor")</f>
        <v>ON Semiconductor</v>
      </c>
      <c r="C43837" s="6">
        <v>2174</v>
      </c>
      <c r="D43837" s="7">
        <v>0</v>
      </c>
    </row>
    <row r="43838" spans="1:4" x14ac:dyDescent="0.25">
      <c r="A43838" t="str">
        <f>HYPERLINK("https://www.773grp.com/globalSearch/EP1810LC-35-G  UM/page-1", "EP1810LC-35-G  UM")</f>
        <v>EP1810LC-35-G  UM</v>
      </c>
      <c r="B43838" s="3" t="str">
        <f>HYPERLINK("https://www.773grp.com/manufacturer/onsemi?pageNo=1080", "ON Semiconductor")</f>
        <v>ON Semiconductor</v>
      </c>
      <c r="C43838" s="6">
        <v>4699</v>
      </c>
      <c r="D43838" s="7">
        <v>0</v>
      </c>
    </row>
    <row r="43839" spans="1:4" x14ac:dyDescent="0.25">
      <c r="A43839" t="str">
        <f>HYPERLINK("https://www.773grp.com/globalSearch/EP1810LC-45  UM/page-1", "EP1810LC-45  UM")</f>
        <v>EP1810LC-45  UM</v>
      </c>
      <c r="B43839" s="3" t="str">
        <f>HYPERLINK("https://www.773grp.com/manufacturer/onsemi?pageNo=1081", "ON Semiconductor")</f>
        <v>ON Semiconductor</v>
      </c>
      <c r="C43839" s="6">
        <v>66</v>
      </c>
      <c r="D43839" s="7">
        <v>0</v>
      </c>
    </row>
    <row r="43840" spans="1:4" x14ac:dyDescent="0.25">
      <c r="A43840" t="str">
        <f>HYPERLINK("https://www.773grp.com/globalSearch/EP1810LI-35/page-1", "EP1810LI-35")</f>
        <v>EP1810LI-35</v>
      </c>
      <c r="B43840" s="3" t="str">
        <f>HYPERLINK("https://www.773grp.com/manufacturer/onsemi?pageNo=1082", "ON Semiconductor")</f>
        <v>ON Semiconductor</v>
      </c>
      <c r="C43840" s="6">
        <v>339</v>
      </c>
      <c r="D43840" s="7">
        <v>0</v>
      </c>
    </row>
    <row r="43841" spans="1:5" x14ac:dyDescent="0.25">
      <c r="A43841" t="str">
        <f>HYPERLINK("https://www.773grp.com/globalSearch/EP1810LI-35  UM/page-1", "EP1810LI-35  UM")</f>
        <v>EP1810LI-35  UM</v>
      </c>
      <c r="B43841" s="3" t="str">
        <f>HYPERLINK("https://www.773grp.com/manufacturer/onsemi?pageNo=1083", "ON Semiconductor")</f>
        <v>ON Semiconductor</v>
      </c>
      <c r="C43841" s="6">
        <v>4349</v>
      </c>
      <c r="D43841" s="7">
        <v>0</v>
      </c>
    </row>
    <row r="43842" spans="1:5" x14ac:dyDescent="0.25">
      <c r="A43842" t="str">
        <f>HYPERLINK("https://www.773grp.com/globalSearch/EP600DI-25  UM/page-1", "EP600DI-25  UM")</f>
        <v>EP600DI-25  UM</v>
      </c>
      <c r="B43842" s="3" t="str">
        <f>HYPERLINK("https://www.773grp.com/manufacturer/onsemi?pageNo=1084", "ON Semiconductor")</f>
        <v>ON Semiconductor</v>
      </c>
      <c r="C43842" s="6">
        <v>72</v>
      </c>
      <c r="D43842" s="7">
        <v>0</v>
      </c>
    </row>
    <row r="43843" spans="1:5" x14ac:dyDescent="0.25">
      <c r="A43843" t="str">
        <f>HYPERLINK("https://www.773grp.com/globalSearch/EP600DM-25-B  UM/page-1", "EP600DM-25-B  UM")</f>
        <v>EP600DM-25-B  UM</v>
      </c>
      <c r="B43843" s="3" t="str">
        <f>HYPERLINK("https://www.773grp.com/manufacturer/onsemi?pageNo=1085", "ON Semiconductor")</f>
        <v>ON Semiconductor</v>
      </c>
      <c r="C43843" s="6">
        <v>124</v>
      </c>
      <c r="D43843" s="7">
        <v>0</v>
      </c>
    </row>
    <row r="43844" spans="1:5" x14ac:dyDescent="0.25">
      <c r="A43844" t="str">
        <f>HYPERLINK("https://www.773grp.com/globalSearch/EP600DM-30-B  UM/page-1", "EP600DM-30-B  UM")</f>
        <v>EP600DM-30-B  UM</v>
      </c>
      <c r="B43844" s="3" t="str">
        <f>HYPERLINK("https://www.773grp.com/manufacturer/onsemi?pageNo=1086", "ON Semiconductor")</f>
        <v>ON Semiconductor</v>
      </c>
      <c r="C43844" s="6">
        <v>711</v>
      </c>
      <c r="D43844" s="7">
        <v>0</v>
      </c>
    </row>
    <row r="43845" spans="1:5" x14ac:dyDescent="0.25">
      <c r="A43845" t="str">
        <f>HYPERLINK("https://www.773grp.com/globalSearch/EP600DM-45-B/page-1", "EP600DM-45-B")</f>
        <v>EP600DM-45-B</v>
      </c>
      <c r="B43845" s="3" t="str">
        <f>HYPERLINK("https://www.773grp.com/manufacturer/onsemi?pageNo=1087", "ON Semiconductor")</f>
        <v>ON Semiconductor</v>
      </c>
      <c r="C43845" s="6">
        <v>46</v>
      </c>
      <c r="D43845" s="7">
        <v>0</v>
      </c>
    </row>
    <row r="43846" spans="1:5" x14ac:dyDescent="0.25">
      <c r="A43846" t="str">
        <f>HYPERLINK("https://www.773grp.com/globalSearch/EP600IDC-25  UM/page-1", "EP600IDC-25  UM")</f>
        <v>EP600IDC-25  UM</v>
      </c>
      <c r="B43846" s="3" t="str">
        <f>HYPERLINK("https://www.773grp.com/manufacturer/onsemi?pageNo=1088", "ON Semiconductor")</f>
        <v>ON Semiconductor</v>
      </c>
      <c r="C43846" s="6">
        <v>491</v>
      </c>
      <c r="D43846" s="7">
        <v>0</v>
      </c>
    </row>
    <row r="43847" spans="1:5" x14ac:dyDescent="0.25">
      <c r="A43847" t="str">
        <f>HYPERLINK("https://www.773grp.com/globalSearch/EP600IDC-45/page-1", "EP600IDC-45")</f>
        <v>EP600IDC-45</v>
      </c>
      <c r="B43847" s="3" t="str">
        <f>HYPERLINK("https://www.773grp.com/manufacturer/onsemi?pageNo=1089", "ON Semiconductor")</f>
        <v>ON Semiconductor</v>
      </c>
      <c r="C43847" s="6">
        <v>172</v>
      </c>
      <c r="D43847" s="7">
        <v>0</v>
      </c>
    </row>
    <row r="43848" spans="1:5" x14ac:dyDescent="0.25">
      <c r="A43848" t="str">
        <f>HYPERLINK("https://www.773grp.com/globalSearch/EP610DC-25/page-1", "EP610DC-25")</f>
        <v>EP610DC-25</v>
      </c>
      <c r="B43848" s="3" t="str">
        <f>HYPERLINK("https://www.773grp.com/manufacturer/onsemi?pageNo=1090", "ON Semiconductor")</f>
        <v>ON Semiconductor</v>
      </c>
      <c r="C43848" s="6">
        <v>126</v>
      </c>
      <c r="D43848" s="7">
        <v>0</v>
      </c>
      <c r="E43848" t="s">
        <v>51</v>
      </c>
    </row>
    <row r="43849" spans="1:5" x14ac:dyDescent="0.25">
      <c r="A43849" t="str">
        <f>HYPERLINK("https://www.773grp.com/globalSearch/EP610DC-30/page-1", "EP610DC-30")</f>
        <v>EP610DC-30</v>
      </c>
      <c r="B43849" s="3" t="str">
        <f>HYPERLINK("https://www.773grp.com/manufacturer/onsemi?pageNo=1091", "ON Semiconductor")</f>
        <v>ON Semiconductor</v>
      </c>
      <c r="C43849" s="6">
        <v>199</v>
      </c>
      <c r="D43849" s="7">
        <v>0</v>
      </c>
      <c r="E43849" t="s">
        <v>51</v>
      </c>
    </row>
    <row r="43850" spans="1:5" x14ac:dyDescent="0.25">
      <c r="A43850" t="str">
        <f>HYPERLINK("https://www.773grp.com/globalSearch/EP610DM-30  UM/page-1", "EP610DM-30  UM")</f>
        <v>EP610DM-30  UM</v>
      </c>
      <c r="B43850" s="3" t="str">
        <f>HYPERLINK("https://www.773grp.com/manufacturer/onsemi?pageNo=1092", "ON Semiconductor")</f>
        <v>ON Semiconductor</v>
      </c>
      <c r="C43850" s="6">
        <v>785</v>
      </c>
      <c r="D43850" s="7">
        <v>0</v>
      </c>
    </row>
    <row r="43851" spans="1:5" x14ac:dyDescent="0.25">
      <c r="A43851" t="str">
        <f>HYPERLINK("https://www.773grp.com/globalSearch/EP610DM-30-R/page-1", "EP610DM-30-R")</f>
        <v>EP610DM-30-R</v>
      </c>
      <c r="B43851" s="3" t="str">
        <f>HYPERLINK("https://www.773grp.com/manufacturer/onsemi?pageNo=1093", "ON Semiconductor")</f>
        <v>ON Semiconductor</v>
      </c>
      <c r="C43851" s="6">
        <v>47</v>
      </c>
      <c r="D43851" s="7">
        <v>0</v>
      </c>
    </row>
    <row r="43852" spans="1:5" x14ac:dyDescent="0.25">
      <c r="A43852" t="str">
        <f>HYPERLINK("https://www.773grp.com/globalSearch/EP610DM-30-R  UM/page-1", "EP610DM-30-R  UM")</f>
        <v>EP610DM-30-R  UM</v>
      </c>
      <c r="B43852" s="3" t="str">
        <f>HYPERLINK("https://www.773grp.com/manufacturer/onsemi?pageNo=1094", "ON Semiconductor")</f>
        <v>ON Semiconductor</v>
      </c>
      <c r="C43852" s="6">
        <v>1502</v>
      </c>
      <c r="D43852" s="7">
        <v>0</v>
      </c>
    </row>
    <row r="43853" spans="1:5" x14ac:dyDescent="0.25">
      <c r="A43853" t="str">
        <f>HYPERLINK("https://www.773grp.com/globalSearch/EP610LC-15/page-1", "EP610LC-15")</f>
        <v>EP610LC-15</v>
      </c>
      <c r="B43853" s="3" t="str">
        <f>HYPERLINK("https://www.773grp.com/manufacturer/onsemi?pageNo=1095", "ON Semiconductor")</f>
        <v>ON Semiconductor</v>
      </c>
      <c r="C43853" s="6">
        <v>120</v>
      </c>
      <c r="D43853" s="7">
        <v>0</v>
      </c>
      <c r="E43853" t="s">
        <v>51</v>
      </c>
    </row>
    <row r="43854" spans="1:5" x14ac:dyDescent="0.25">
      <c r="A43854" t="str">
        <f>HYPERLINK("https://www.773grp.com/globalSearch/EP610LC-15-G  UM/page-1", "EP610LC-15-G  UM")</f>
        <v>EP610LC-15-G  UM</v>
      </c>
      <c r="B43854" s="3" t="str">
        <f>HYPERLINK("https://www.773grp.com/manufacturer/onsemi?pageNo=1096", "ON Semiconductor")</f>
        <v>ON Semiconductor</v>
      </c>
      <c r="C43854" s="6">
        <v>478</v>
      </c>
      <c r="D43854" s="7">
        <v>0</v>
      </c>
    </row>
    <row r="43855" spans="1:5" x14ac:dyDescent="0.25">
      <c r="A43855" t="str">
        <f>HYPERLINK("https://www.773grp.com/globalSearch/EP610LC-20-G  UM/page-1", "EP610LC-20-G  UM")</f>
        <v>EP610LC-20-G  UM</v>
      </c>
      <c r="B43855" s="3" t="str">
        <f>HYPERLINK("https://www.773grp.com/manufacturer/onsemi?pageNo=1097", "ON Semiconductor")</f>
        <v>ON Semiconductor</v>
      </c>
      <c r="C43855" s="6">
        <v>838</v>
      </c>
      <c r="D43855" s="7">
        <v>0</v>
      </c>
    </row>
    <row r="43856" spans="1:5" x14ac:dyDescent="0.25">
      <c r="A43856" t="str">
        <f>HYPERLINK("https://www.773grp.com/globalSearch/EP610LC-35/page-1", "EP610LC-35")</f>
        <v>EP610LC-35</v>
      </c>
      <c r="B43856" s="3" t="str">
        <f>HYPERLINK("https://www.773grp.com/manufacturer/onsemi?pageNo=1098", "ON Semiconductor")</f>
        <v>ON Semiconductor</v>
      </c>
      <c r="C43856" s="6">
        <v>1500</v>
      </c>
      <c r="D43856" s="7">
        <v>0</v>
      </c>
    </row>
    <row r="43857" spans="1:5" x14ac:dyDescent="0.25">
      <c r="A43857" t="str">
        <f>HYPERLINK("https://www.773grp.com/globalSearch/EP610LI-15  UM/page-1", "EP610LI-15  UM")</f>
        <v>EP610LI-15  UM</v>
      </c>
      <c r="B43857" s="3" t="str">
        <f>HYPERLINK("https://www.773grp.com/manufacturer/onsemi?pageNo=1099", "ON Semiconductor")</f>
        <v>ON Semiconductor</v>
      </c>
      <c r="C43857" s="6">
        <v>8474</v>
      </c>
      <c r="D43857" s="7">
        <v>0</v>
      </c>
    </row>
    <row r="43858" spans="1:5" x14ac:dyDescent="0.25">
      <c r="A43858" t="str">
        <f>HYPERLINK("https://www.773grp.com/globalSearch/EP610LI-20/page-1", "EP610LI-20")</f>
        <v>EP610LI-20</v>
      </c>
      <c r="B43858" s="3" t="str">
        <f>HYPERLINK("https://www.773grp.com/manufacturer/onsemi?pageNo=1100", "ON Semiconductor")</f>
        <v>ON Semiconductor</v>
      </c>
      <c r="C43858" s="6">
        <v>500</v>
      </c>
      <c r="D43858" s="7">
        <v>0</v>
      </c>
      <c r="E43858" t="s">
        <v>51</v>
      </c>
    </row>
    <row r="43859" spans="1:5" x14ac:dyDescent="0.25">
      <c r="A43859" t="str">
        <f>HYPERLINK("https://www.773grp.com/globalSearch/EP610LI-25/page-1", "EP610LI-25")</f>
        <v>EP610LI-25</v>
      </c>
      <c r="B43859" s="3" t="str">
        <f>HYPERLINK("https://www.773grp.com/manufacturer/onsemi?pageNo=1101", "ON Semiconductor")</f>
        <v>ON Semiconductor</v>
      </c>
      <c r="C43859" s="6">
        <v>542</v>
      </c>
      <c r="D43859" s="7">
        <v>0</v>
      </c>
    </row>
    <row r="43860" spans="1:5" x14ac:dyDescent="0.25">
      <c r="A43860" t="str">
        <f>HYPERLINK("https://www.773grp.com/globalSearch/EP610LI-25  UM/page-1", "EP610LI-25  UM")</f>
        <v>EP610LI-25  UM</v>
      </c>
      <c r="B43860" s="3" t="str">
        <f>HYPERLINK("https://www.773grp.com/manufacturer/onsemi?pageNo=1102", "ON Semiconductor")</f>
        <v>ON Semiconductor</v>
      </c>
      <c r="C43860" s="6">
        <v>5705</v>
      </c>
      <c r="D43860" s="7">
        <v>0</v>
      </c>
    </row>
    <row r="43861" spans="1:5" x14ac:dyDescent="0.25">
      <c r="A43861" t="str">
        <f>HYPERLINK("https://www.773grp.com/globalSearch/EP610PC-15/page-1", "EP610PC-15")</f>
        <v>EP610PC-15</v>
      </c>
      <c r="B43861" s="3" t="str">
        <f>HYPERLINK("https://www.773grp.com/manufacturer/onsemi?pageNo=1103", "ON Semiconductor")</f>
        <v>ON Semiconductor</v>
      </c>
      <c r="C43861" s="6">
        <v>115</v>
      </c>
      <c r="D43861" s="7">
        <v>0</v>
      </c>
    </row>
    <row r="43862" spans="1:5" x14ac:dyDescent="0.25">
      <c r="A43862" t="str">
        <f>HYPERLINK("https://www.773grp.com/globalSearch/EP610PC-15 UM/page-1", "EP610PC-15 UM")</f>
        <v>EP610PC-15 UM</v>
      </c>
      <c r="B43862" s="3" t="str">
        <f>HYPERLINK("https://www.773grp.com/manufacturer/onsemi?pageNo=1104", "ON Semiconductor")</f>
        <v>ON Semiconductor</v>
      </c>
      <c r="C43862" s="6">
        <v>2000</v>
      </c>
      <c r="D43862" s="7">
        <v>0</v>
      </c>
    </row>
    <row r="43863" spans="1:5" x14ac:dyDescent="0.25">
      <c r="A43863" t="str">
        <f>HYPERLINK("https://www.773grp.com/globalSearch/EP610PC-20 UM/page-1", "EP610PC-20 UM")</f>
        <v>EP610PC-20 UM</v>
      </c>
      <c r="B43863" s="3" t="str">
        <f>HYPERLINK("https://www.773grp.com/manufacturer/onsemi?pageNo=1105", "ON Semiconductor")</f>
        <v>ON Semiconductor</v>
      </c>
      <c r="C43863" s="6">
        <v>7551</v>
      </c>
      <c r="D43863" s="7">
        <v>0</v>
      </c>
    </row>
    <row r="43864" spans="1:5" x14ac:dyDescent="0.25">
      <c r="A43864" t="str">
        <f>HYPERLINK("https://www.773grp.com/globalSearch/EP610PC-25 UM/page-1", "EP610PC-25 UM")</f>
        <v>EP610PC-25 UM</v>
      </c>
      <c r="B43864" s="3" t="str">
        <f>HYPERLINK("https://www.773grp.com/manufacturer/onsemi?pageNo=1106", "ON Semiconductor")</f>
        <v>ON Semiconductor</v>
      </c>
      <c r="C43864" s="6">
        <v>12428</v>
      </c>
      <c r="D43864" s="7">
        <v>0</v>
      </c>
    </row>
    <row r="43865" spans="1:5" x14ac:dyDescent="0.25">
      <c r="A43865" t="str">
        <f>HYPERLINK("https://www.773grp.com/globalSearch/EP610PC-25T/page-1", "EP610PC-25T")</f>
        <v>EP610PC-25T</v>
      </c>
      <c r="B43865" s="3" t="str">
        <f>HYPERLINK("https://www.773grp.com/manufacturer/onsemi?pageNo=1107", "ON Semiconductor")</f>
        <v>ON Semiconductor</v>
      </c>
      <c r="C43865" s="6">
        <v>95</v>
      </c>
      <c r="D43865" s="7">
        <v>0</v>
      </c>
      <c r="E43865" t="s">
        <v>51</v>
      </c>
    </row>
    <row r="43866" spans="1:5" x14ac:dyDescent="0.25">
      <c r="A43866" t="str">
        <f>HYPERLINK("https://www.773grp.com/globalSearch/EP610PC-30/page-1", "EP610PC-30")</f>
        <v>EP610PC-30</v>
      </c>
      <c r="B43866" s="3" t="str">
        <f>HYPERLINK("https://www.773grp.com/manufacturer/onsemi?pageNo=1108", "ON Semiconductor")</f>
        <v>ON Semiconductor</v>
      </c>
      <c r="C43866" s="6">
        <v>386</v>
      </c>
      <c r="D43866" s="7">
        <v>0</v>
      </c>
    </row>
    <row r="43867" spans="1:5" x14ac:dyDescent="0.25">
      <c r="A43867" t="str">
        <f>HYPERLINK("https://www.773grp.com/globalSearch/EP610PI-25  UM/page-1", "EP610PI-25  UM")</f>
        <v>EP610PI-25  UM</v>
      </c>
      <c r="B43867" s="3" t="str">
        <f>HYPERLINK("https://www.773grp.com/manufacturer/onsemi?pageNo=1109", "ON Semiconductor")</f>
        <v>ON Semiconductor</v>
      </c>
      <c r="C43867" s="6">
        <v>9794</v>
      </c>
      <c r="D43867" s="7">
        <v>0</v>
      </c>
    </row>
    <row r="43868" spans="1:5" x14ac:dyDescent="0.25">
      <c r="A43868" t="str">
        <f>HYPERLINK("https://www.773grp.com/globalSearch/EP610PI-30  UM/page-1", "EP610PI-30  UM")</f>
        <v>EP610PI-30  UM</v>
      </c>
      <c r="B43868" s="3" t="str">
        <f>HYPERLINK("https://www.773grp.com/manufacturer/onsemi?pageNo=1110", "ON Semiconductor")</f>
        <v>ON Semiconductor</v>
      </c>
      <c r="C43868" s="6">
        <v>783</v>
      </c>
      <c r="D43868" s="7">
        <v>0</v>
      </c>
    </row>
    <row r="43869" spans="1:5" x14ac:dyDescent="0.25">
      <c r="A43869" t="str">
        <f>HYPERLINK("https://www.773grp.com/globalSearch/EP610SC-15  UM/page-1", "EP610SC-15  UM")</f>
        <v>EP610SC-15  UM</v>
      </c>
      <c r="B43869" s="3" t="str">
        <f>HYPERLINK("https://www.773grp.com/manufacturer/onsemi?pageNo=1111", "ON Semiconductor")</f>
        <v>ON Semiconductor</v>
      </c>
      <c r="C43869" s="6">
        <v>44</v>
      </c>
      <c r="D43869" s="7">
        <v>0</v>
      </c>
    </row>
    <row r="43870" spans="1:5" x14ac:dyDescent="0.25">
      <c r="A43870" t="str">
        <f>HYPERLINK("https://www.773grp.com/globalSearch/EP610SC-20/page-1", "EP610SC-20")</f>
        <v>EP610SC-20</v>
      </c>
      <c r="B43870" s="3" t="str">
        <f>HYPERLINK("https://www.773grp.com/manufacturer/onsemi?pageNo=1112", "ON Semiconductor")</f>
        <v>ON Semiconductor</v>
      </c>
      <c r="C43870" s="6">
        <v>1531</v>
      </c>
      <c r="D43870" s="7">
        <v>0</v>
      </c>
      <c r="E43870" t="s">
        <v>51</v>
      </c>
    </row>
    <row r="43871" spans="1:5" x14ac:dyDescent="0.25">
      <c r="A43871" t="str">
        <f>HYPERLINK("https://www.773grp.com/globalSearch/EP610SC-20  UM/page-1", "EP610SC-20  UM")</f>
        <v>EP610SC-20  UM</v>
      </c>
      <c r="B43871" s="3" t="str">
        <f>HYPERLINK("https://www.773grp.com/manufacturer/onsemi?pageNo=1113", "ON Semiconductor")</f>
        <v>ON Semiconductor</v>
      </c>
      <c r="C43871" s="6">
        <v>5057</v>
      </c>
      <c r="D43871" s="7">
        <v>0</v>
      </c>
    </row>
    <row r="43872" spans="1:5" x14ac:dyDescent="0.25">
      <c r="A43872" t="str">
        <f>HYPERLINK("https://www.773grp.com/globalSearch/EP610SI-25  UM/page-1", "EP610SI-25  UM")</f>
        <v>EP610SI-25  UM</v>
      </c>
      <c r="B43872" s="3" t="str">
        <f>HYPERLINK("https://www.773grp.com/manufacturer/onsemi?pageNo=1114", "ON Semiconductor")</f>
        <v>ON Semiconductor</v>
      </c>
      <c r="C43872" s="6">
        <v>4821</v>
      </c>
      <c r="D43872" s="7">
        <v>0</v>
      </c>
    </row>
    <row r="43873" spans="1:5" x14ac:dyDescent="0.25">
      <c r="A43873" t="str">
        <f>HYPERLINK("https://www.773grp.com/globalSearch/EP610SI-30  UM/page-1", "EP610SI-30  UM")</f>
        <v>EP610SI-30  UM</v>
      </c>
      <c r="B43873" s="3" t="str">
        <f>HYPERLINK("https://www.773grp.com/manufacturer/onsemi?pageNo=1115", "ON Semiconductor")</f>
        <v>ON Semiconductor</v>
      </c>
      <c r="C43873" s="6">
        <v>105</v>
      </c>
      <c r="D43873" s="7">
        <v>0</v>
      </c>
    </row>
    <row r="43874" spans="1:5" x14ac:dyDescent="0.25">
      <c r="A43874" t="str">
        <f>HYPERLINK("https://www.773grp.com/globalSearch/EP6XXDX-25  UM/page-1", "EP6XXDX-25  UM")</f>
        <v>EP6XXDX-25  UM</v>
      </c>
      <c r="B43874" s="3" t="str">
        <f>HYPERLINK("https://www.773grp.com/manufacturer/onsemi?pageNo=1116", "ON Semiconductor")</f>
        <v>ON Semiconductor</v>
      </c>
      <c r="C43874" s="6">
        <v>15492</v>
      </c>
      <c r="D43874" s="7">
        <v>0</v>
      </c>
    </row>
    <row r="43875" spans="1:5" x14ac:dyDescent="0.25">
      <c r="A43875" t="str">
        <f>HYPERLINK("https://www.773grp.com/globalSearch/EP6XXDX-30  UM/page-1", "EP6XXDX-30  UM")</f>
        <v>EP6XXDX-30  UM</v>
      </c>
      <c r="B43875" s="3" t="str">
        <f>HYPERLINK("https://www.773grp.com/manufacturer/onsemi?pageNo=1117", "ON Semiconductor")</f>
        <v>ON Semiconductor</v>
      </c>
      <c r="C43875" s="6">
        <v>83</v>
      </c>
      <c r="D43875" s="7">
        <v>0</v>
      </c>
    </row>
    <row r="43876" spans="1:5" x14ac:dyDescent="0.25">
      <c r="A43876" t="str">
        <f>HYPERLINK("https://www.773grp.com/globalSearch/EP900DM-B/page-1", "EP900DM-B")</f>
        <v>EP900DM-B</v>
      </c>
      <c r="B43876" s="3" t="str">
        <f>HYPERLINK("https://www.773grp.com/manufacturer/onsemi?pageNo=1118", "ON Semiconductor")</f>
        <v>ON Semiconductor</v>
      </c>
      <c r="C43876" s="6">
        <v>1200</v>
      </c>
      <c r="D43876" s="7">
        <v>0</v>
      </c>
    </row>
    <row r="43877" spans="1:5" x14ac:dyDescent="0.25">
      <c r="A43877" t="str">
        <f>HYPERLINK("https://www.773grp.com/globalSearch/EP910DI-15  UM/page-1", "EP910DI-15  UM")</f>
        <v>EP910DI-15  UM</v>
      </c>
      <c r="B43877" s="3" t="str">
        <f>HYPERLINK("https://www.773grp.com/manufacturer/onsemi?pageNo=1119", "ON Semiconductor")</f>
        <v>ON Semiconductor</v>
      </c>
      <c r="C43877" s="6">
        <v>97</v>
      </c>
      <c r="D43877" s="7">
        <v>0</v>
      </c>
    </row>
    <row r="43878" spans="1:5" x14ac:dyDescent="0.25">
      <c r="A43878" t="str">
        <f>HYPERLINK("https://www.773grp.com/globalSearch/EP910DI-25  UM/page-1", "EP910DI-25  UM")</f>
        <v>EP910DI-25  UM</v>
      </c>
      <c r="B43878" s="3" t="str">
        <f>HYPERLINK("https://www.773grp.com/manufacturer/onsemi?pageNo=1120", "ON Semiconductor")</f>
        <v>ON Semiconductor</v>
      </c>
      <c r="C43878" s="6">
        <v>5355</v>
      </c>
      <c r="D43878" s="7">
        <v>0</v>
      </c>
    </row>
    <row r="43879" spans="1:5" x14ac:dyDescent="0.25">
      <c r="A43879" t="str">
        <f>HYPERLINK("https://www.773grp.com/globalSearch/EP910DI-30/page-1", "EP910DI-30")</f>
        <v>EP910DI-30</v>
      </c>
      <c r="B43879" s="3" t="str">
        <f>HYPERLINK("https://www.773grp.com/manufacturer/onsemi?pageNo=1121", "ON Semiconductor")</f>
        <v>ON Semiconductor</v>
      </c>
      <c r="C43879" s="6">
        <v>154</v>
      </c>
      <c r="D43879" s="7">
        <v>0</v>
      </c>
    </row>
    <row r="43880" spans="1:5" x14ac:dyDescent="0.25">
      <c r="A43880" t="str">
        <f>HYPERLINK("https://www.773grp.com/globalSearch/EP910DI-30  UM/page-1", "EP910DI-30  UM")</f>
        <v>EP910DI-30  UM</v>
      </c>
      <c r="B43880" s="3" t="str">
        <f>HYPERLINK("https://www.773grp.com/manufacturer/onsemi?pageNo=1122", "ON Semiconductor")</f>
        <v>ON Semiconductor</v>
      </c>
      <c r="C43880" s="6">
        <v>2664</v>
      </c>
      <c r="D43880" s="7">
        <v>0</v>
      </c>
    </row>
    <row r="43881" spans="1:5" x14ac:dyDescent="0.25">
      <c r="A43881" t="str">
        <f>HYPERLINK("https://www.773grp.com/globalSearch/EP910DI-35/page-1", "EP910DI-35")</f>
        <v>EP910DI-35</v>
      </c>
      <c r="B43881" s="3" t="str">
        <f>HYPERLINK("https://www.773grp.com/manufacturer/onsemi?pageNo=1123", "ON Semiconductor")</f>
        <v>ON Semiconductor</v>
      </c>
      <c r="C43881" s="6">
        <v>100</v>
      </c>
      <c r="D43881" s="7">
        <v>0</v>
      </c>
      <c r="E43881" t="s">
        <v>51</v>
      </c>
    </row>
    <row r="43882" spans="1:5" x14ac:dyDescent="0.25">
      <c r="A43882" t="str">
        <f>HYPERLINK("https://www.773grp.com/globalSearch/EP910LC-30/page-1", "EP910LC-30")</f>
        <v>EP910LC-30</v>
      </c>
      <c r="B43882" s="3" t="str">
        <f>HYPERLINK("https://www.773grp.com/manufacturer/onsemi?pageNo=1124", "ON Semiconductor")</f>
        <v>ON Semiconductor</v>
      </c>
      <c r="C43882" s="6">
        <v>324</v>
      </c>
      <c r="D43882" s="7">
        <v>0</v>
      </c>
    </row>
    <row r="43883" spans="1:5" x14ac:dyDescent="0.25">
      <c r="A43883" t="str">
        <f>HYPERLINK("https://www.773grp.com/globalSearch/EP910LC-30-G  UM/page-1", "EP910LC-30-G  UM")</f>
        <v>EP910LC-30-G  UM</v>
      </c>
      <c r="B43883" s="3" t="str">
        <f>HYPERLINK("https://www.773grp.com/manufacturer/onsemi?pageNo=1125", "ON Semiconductor")</f>
        <v>ON Semiconductor</v>
      </c>
      <c r="C43883" s="6">
        <v>1311</v>
      </c>
      <c r="D43883" s="7">
        <v>0</v>
      </c>
    </row>
    <row r="43884" spans="1:5" x14ac:dyDescent="0.25">
      <c r="A43884" t="str">
        <f>HYPERLINK("https://www.773grp.com/globalSearch/EP910LC-35/page-1", "EP910LC-35")</f>
        <v>EP910LC-35</v>
      </c>
      <c r="B43884" s="3" t="str">
        <f>HYPERLINK("https://www.773grp.com/manufacturer/onsemi?pageNo=1126", "ON Semiconductor")</f>
        <v>ON Semiconductor</v>
      </c>
      <c r="C43884" s="6">
        <v>645</v>
      </c>
      <c r="D43884" s="7">
        <v>0</v>
      </c>
    </row>
    <row r="43885" spans="1:5" x14ac:dyDescent="0.25">
      <c r="A43885" t="str">
        <f>HYPERLINK("https://www.773grp.com/globalSearch/EP910LI-15  UM/page-1", "EP910LI-15  UM")</f>
        <v>EP910LI-15  UM</v>
      </c>
      <c r="B43885" s="3" t="str">
        <f>HYPERLINK("https://www.773grp.com/manufacturer/onsemi?pageNo=1127", "ON Semiconductor")</f>
        <v>ON Semiconductor</v>
      </c>
      <c r="C43885" s="6">
        <v>4398</v>
      </c>
      <c r="D43885" s="7">
        <v>0</v>
      </c>
    </row>
    <row r="43886" spans="1:5" x14ac:dyDescent="0.25">
      <c r="A43886" t="str">
        <f>HYPERLINK("https://www.773grp.com/globalSearch/EP910LI-25  UM/page-1", "EP910LI-25  UM")</f>
        <v>EP910LI-25  UM</v>
      </c>
      <c r="B43886" s="3" t="str">
        <f>HYPERLINK("https://www.773grp.com/manufacturer/onsemi?pageNo=1128", "ON Semiconductor")</f>
        <v>ON Semiconductor</v>
      </c>
      <c r="C43886" s="6">
        <v>896</v>
      </c>
      <c r="D43886" s="7">
        <v>0</v>
      </c>
    </row>
    <row r="43887" spans="1:5" x14ac:dyDescent="0.25">
      <c r="A43887" t="str">
        <f>HYPERLINK("https://www.773grp.com/globalSearch/EP910LI-30  UM/page-1", "EP910LI-30  UM")</f>
        <v>EP910LI-30  UM</v>
      </c>
      <c r="B43887" s="3" t="str">
        <f>HYPERLINK("https://www.773grp.com/manufacturer/onsemi?pageNo=1129", "ON Semiconductor")</f>
        <v>ON Semiconductor</v>
      </c>
      <c r="C43887" s="6">
        <v>13592</v>
      </c>
      <c r="D43887" s="7">
        <v>0</v>
      </c>
    </row>
    <row r="43888" spans="1:5" x14ac:dyDescent="0.25">
      <c r="A43888" t="str">
        <f>HYPERLINK("https://www.773grp.com/globalSearch/EP910PI-15  UM/page-1", "EP910PI-15  UM")</f>
        <v>EP910PI-15  UM</v>
      </c>
      <c r="B43888" s="3" t="str">
        <f>HYPERLINK("https://www.773grp.com/manufacturer/onsemi?pageNo=1130", "ON Semiconductor")</f>
        <v>ON Semiconductor</v>
      </c>
      <c r="C43888" s="6">
        <v>2841</v>
      </c>
      <c r="D43888" s="7">
        <v>0</v>
      </c>
    </row>
    <row r="43889" spans="1:5" x14ac:dyDescent="0.25">
      <c r="A43889" t="str">
        <f>HYPERLINK("https://www.773grp.com/globalSearch/EP910PI-25  UM/page-1", "EP910PI-25  UM")</f>
        <v>EP910PI-25  UM</v>
      </c>
      <c r="B43889" s="3" t="str">
        <f>HYPERLINK("https://www.773grp.com/manufacturer/onsemi?pageNo=1131", "ON Semiconductor")</f>
        <v>ON Semiconductor</v>
      </c>
      <c r="C43889" s="6">
        <v>2806</v>
      </c>
      <c r="D43889" s="7">
        <v>0</v>
      </c>
    </row>
    <row r="43890" spans="1:5" x14ac:dyDescent="0.25">
      <c r="A43890" t="str">
        <f>HYPERLINK("https://www.773grp.com/globalSearch/EP910PI-30/page-1", "EP910PI-30")</f>
        <v>EP910PI-30</v>
      </c>
      <c r="B43890" s="3" t="str">
        <f>HYPERLINK("https://www.773grp.com/manufacturer/onsemi?pageNo=1132", "ON Semiconductor")</f>
        <v>ON Semiconductor</v>
      </c>
      <c r="C43890" s="6">
        <v>315</v>
      </c>
      <c r="D43890" s="7">
        <v>0</v>
      </c>
    </row>
    <row r="43891" spans="1:5" x14ac:dyDescent="0.25">
      <c r="A43891" t="str">
        <f>HYPERLINK("https://www.773grp.com/globalSearch/EP910PI-30  UM/page-1", "EP910PI-30  UM")</f>
        <v>EP910PI-30  UM</v>
      </c>
      <c r="B43891" s="3" t="str">
        <f>HYPERLINK("https://www.773grp.com/manufacturer/onsemi?pageNo=1133", "ON Semiconductor")</f>
        <v>ON Semiconductor</v>
      </c>
      <c r="C43891" s="6">
        <v>3507</v>
      </c>
      <c r="D43891" s="7">
        <v>0</v>
      </c>
    </row>
    <row r="43892" spans="1:5" x14ac:dyDescent="0.25">
      <c r="A43892" t="str">
        <f>HYPERLINK("https://www.773grp.com/globalSearch/EP910PI-35/page-1", "EP910PI-35")</f>
        <v>EP910PI-35</v>
      </c>
      <c r="B43892" s="3" t="str">
        <f>HYPERLINK("https://www.773grp.com/manufacturer/onsemi?pageNo=1134", "ON Semiconductor")</f>
        <v>ON Semiconductor</v>
      </c>
      <c r="C43892" s="6">
        <v>251</v>
      </c>
      <c r="D43892" s="7">
        <v>0</v>
      </c>
      <c r="E43892" t="s">
        <v>51</v>
      </c>
    </row>
    <row r="43893" spans="1:5" x14ac:dyDescent="0.25">
      <c r="A43893" t="str">
        <f>HYPERLINK("https://www.773grp.com/globalSearch/R1233/page-1", "R1233")</f>
        <v>R1233</v>
      </c>
      <c r="B43893" s="3" t="str">
        <f>HYPERLINK("https://www.773grp.com/manufacturer/onsemi?pageNo=1135", "ON Semiconductor")</f>
        <v>ON Semiconductor</v>
      </c>
      <c r="C43893" s="6">
        <v>61</v>
      </c>
      <c r="D43893" s="7">
        <v>0</v>
      </c>
    </row>
    <row r="43894" spans="1:5" x14ac:dyDescent="0.25">
      <c r="A43894" t="str">
        <f>HYPERLINK("https://www.773grp.com/globalSearch/R1290/page-1", "R1290")</f>
        <v>R1290</v>
      </c>
      <c r="B43894" s="3" t="str">
        <f>HYPERLINK("https://www.773grp.com/manufacturer/onsemi?pageNo=1136", "ON Semiconductor")</f>
        <v>ON Semiconductor</v>
      </c>
      <c r="C43894" s="6">
        <v>5</v>
      </c>
      <c r="D43894" s="7">
        <v>0</v>
      </c>
    </row>
    <row r="43895" spans="1:5" x14ac:dyDescent="0.25">
      <c r="A43895" t="str">
        <f>HYPERLINK("https://www.773grp.com/globalSearch/R1291/page-1", "R1291")</f>
        <v>R1291</v>
      </c>
      <c r="B43895" s="3" t="str">
        <f>HYPERLINK("https://www.773grp.com/manufacturer/onsemi?pageNo=1137", "ON Semiconductor")</f>
        <v>ON Semiconductor</v>
      </c>
      <c r="C43895" s="6">
        <v>2</v>
      </c>
      <c r="D43895" s="7">
        <v>0</v>
      </c>
    </row>
    <row r="43896" spans="1:5" x14ac:dyDescent="0.25">
      <c r="A43896" t="str">
        <f>HYPERLINK("https://www.773grp.com/globalSearch/R1364/page-1", "R1364")</f>
        <v>R1364</v>
      </c>
      <c r="B43896" s="3" t="str">
        <f>HYPERLINK("https://www.773grp.com/manufacturer/onsemi?pageNo=1138", "ON Semiconductor")</f>
        <v>ON Semiconductor</v>
      </c>
      <c r="C43896" s="6">
        <v>20</v>
      </c>
      <c r="D43896" s="7">
        <v>0</v>
      </c>
    </row>
    <row r="43897" spans="1:5" x14ac:dyDescent="0.25">
      <c r="A43897" t="str">
        <f>HYPERLINK("https://www.773grp.com/globalSearch/R1525/page-1", "R1525")</f>
        <v>R1525</v>
      </c>
      <c r="B43897" s="3" t="str">
        <f>HYPERLINK("https://www.773grp.com/manufacturer/onsemi?pageNo=1139", "ON Semiconductor")</f>
        <v>ON Semiconductor</v>
      </c>
      <c r="C43897" s="6">
        <v>6</v>
      </c>
      <c r="D43897" s="7">
        <v>0</v>
      </c>
    </row>
    <row r="43898" spans="1:5" x14ac:dyDescent="0.25">
      <c r="A43898" t="str">
        <f>HYPERLINK("https://www.773grp.com/globalSearch/R1718/page-1", "R1718")</f>
        <v>R1718</v>
      </c>
      <c r="B43898" s="3" t="str">
        <f>HYPERLINK("https://www.773grp.com/manufacturer/onsemi?pageNo=1140", "ON Semiconductor")</f>
        <v>ON Semiconductor</v>
      </c>
      <c r="C43898" s="6">
        <v>12</v>
      </c>
      <c r="D43898" s="7">
        <v>0</v>
      </c>
    </row>
    <row r="43899" spans="1:5" x14ac:dyDescent="0.25">
      <c r="A43899" t="str">
        <f>HYPERLINK("https://www.773grp.com/globalSearch/25LS2518FM-B  LT/page-1", "25LS2518FM-B  LT")</f>
        <v>25LS2518FM-B  LT</v>
      </c>
      <c r="B43899" s="3" t="str">
        <f>HYPERLINK("https://www.773grp.com/manufacturer/onsemi?pageNo=1141", "ON Semiconductor")</f>
        <v>ON Semiconductor</v>
      </c>
      <c r="C43899" s="6">
        <v>48</v>
      </c>
      <c r="D43899" s="7">
        <v>0</v>
      </c>
    </row>
    <row r="43900" spans="1:5" x14ac:dyDescent="0.25">
      <c r="A43900" t="str">
        <f>HYPERLINK("https://www.773grp.com/globalSearch/25LS2519DM-B/page-1", "25LS2519DM-B")</f>
        <v>25LS2519DM-B</v>
      </c>
      <c r="B43900" s="3" t="str">
        <f>HYPERLINK("https://www.773grp.com/manufacturer/onsemi?pageNo=1142", "ON Semiconductor")</f>
        <v>ON Semiconductor</v>
      </c>
      <c r="C43900" s="6">
        <v>1190</v>
      </c>
      <c r="D43900" s="7">
        <v>0</v>
      </c>
    </row>
    <row r="43901" spans="1:5" x14ac:dyDescent="0.25">
      <c r="A43901" t="str">
        <f>HYPERLINK("https://www.773grp.com/globalSearch/25LS2521-BRA  LT/page-1", "25LS2521-BRA  LT")</f>
        <v>25LS2521-BRA  LT</v>
      </c>
      <c r="B43901" s="3" t="str">
        <f>HYPERLINK("https://www.773grp.com/manufacturer/onsemi?pageNo=1143", "ON Semiconductor")</f>
        <v>ON Semiconductor</v>
      </c>
      <c r="C43901" s="6">
        <v>48</v>
      </c>
      <c r="D43901" s="7">
        <v>0</v>
      </c>
    </row>
    <row r="43902" spans="1:5" x14ac:dyDescent="0.25">
      <c r="A43902" t="str">
        <f>HYPERLINK("https://www.773grp.com/globalSearch/25LS2569DM-B  LT/page-1", "25LS2569DM-B  LT")</f>
        <v>25LS2569DM-B  LT</v>
      </c>
      <c r="B43902" s="3" t="str">
        <f>HYPERLINK("https://www.773grp.com/manufacturer/onsemi?pageNo=1144", "ON Semiconductor")</f>
        <v>ON Semiconductor</v>
      </c>
      <c r="C43902" s="6">
        <v>48</v>
      </c>
      <c r="D43902" s="7">
        <v>0</v>
      </c>
    </row>
    <row r="43903" spans="1:5" x14ac:dyDescent="0.25">
      <c r="A43903" t="str">
        <f>HYPERLINK("https://www.773grp.com/globalSearch/25S558DM/page-1", "25S558DM")</f>
        <v>25S558DM</v>
      </c>
      <c r="B43903" s="3" t="str">
        <f>HYPERLINK("https://www.773grp.com/manufacturer/onsemi?pageNo=1145", "ON Semiconductor")</f>
        <v>ON Semiconductor</v>
      </c>
      <c r="C43903" s="6">
        <v>120</v>
      </c>
      <c r="D43903" s="7">
        <v>0</v>
      </c>
    </row>
    <row r="43904" spans="1:5" x14ac:dyDescent="0.25">
      <c r="A43904" t="str">
        <f>HYPERLINK("https://www.773grp.com/globalSearch/25S558DM-B/page-1", "25S558DM-B")</f>
        <v>25S558DM-B</v>
      </c>
      <c r="B43904" s="3" t="str">
        <f>HYPERLINK("https://www.773grp.com/manufacturer/onsemi?pageNo=1146", "ON Semiconductor")</f>
        <v>ON Semiconductor</v>
      </c>
      <c r="C43904" s="6">
        <v>162</v>
      </c>
      <c r="D43904" s="7">
        <v>0</v>
      </c>
    </row>
    <row r="43905" spans="1:4" x14ac:dyDescent="0.25">
      <c r="A43905" t="str">
        <f>HYPERLINK("https://www.773grp.com/globalSearch/26LS32BDC/page-1", "26LS32BDC")</f>
        <v>26LS32BDC</v>
      </c>
      <c r="B43905" s="3" t="str">
        <f>HYPERLINK("https://www.773grp.com/manufacturer/onsemi?pageNo=1147", "ON Semiconductor")</f>
        <v>ON Semiconductor</v>
      </c>
      <c r="C43905" s="6">
        <v>96</v>
      </c>
      <c r="D43905" s="7">
        <v>0</v>
      </c>
    </row>
    <row r="43906" spans="1:4" x14ac:dyDescent="0.25">
      <c r="A43906" t="str">
        <f>HYPERLINK("https://www.773grp.com/globalSearch/26LS32BPC-G/page-1", "26LS32BPC-G")</f>
        <v>26LS32BPC-G</v>
      </c>
      <c r="B43906" s="3" t="str">
        <f>HYPERLINK("https://www.773grp.com/manufacturer/onsemi?pageNo=1148", "ON Semiconductor")</f>
        <v>ON Semiconductor</v>
      </c>
      <c r="C43906" s="6">
        <v>2514</v>
      </c>
      <c r="D43906" s="7">
        <v>0</v>
      </c>
    </row>
    <row r="43907" spans="1:4" x14ac:dyDescent="0.25">
      <c r="A43907" t="str">
        <f>HYPERLINK("https://www.773grp.com/globalSearch/26LS33LM-B  LT/page-1", "26LS33LM-B  LT")</f>
        <v>26LS33LM-B  LT</v>
      </c>
      <c r="B43907" s="3" t="str">
        <f>HYPERLINK("https://www.773grp.com/manufacturer/onsemi?pageNo=1149", "ON Semiconductor")</f>
        <v>ON Semiconductor</v>
      </c>
      <c r="C43907" s="6">
        <v>48</v>
      </c>
      <c r="D43907" s="7">
        <v>0</v>
      </c>
    </row>
    <row r="43908" spans="1:4" x14ac:dyDescent="0.25">
      <c r="A43908" t="str">
        <f>HYPERLINK("https://www.773grp.com/globalSearch/26LS34DC/page-1", "26LS34DC")</f>
        <v>26LS34DC</v>
      </c>
      <c r="B43908" s="3" t="str">
        <f>HYPERLINK("https://www.773grp.com/manufacturer/onsemi?pageNo=1150", "ON Semiconductor")</f>
        <v>ON Semiconductor</v>
      </c>
      <c r="C43908" s="6">
        <v>142</v>
      </c>
      <c r="D43908" s="7">
        <v>0</v>
      </c>
    </row>
    <row r="43909" spans="1:4" x14ac:dyDescent="0.25">
      <c r="A43909" t="str">
        <f>HYPERLINK("https://www.773grp.com/globalSearch/26S02LM-B  LT/page-1", "26S02LM-B  LT")</f>
        <v>26S02LM-B  LT</v>
      </c>
      <c r="B43909" s="3" t="str">
        <f>HYPERLINK("https://www.773grp.com/manufacturer/onsemi?pageNo=1151", "ON Semiconductor")</f>
        <v>ON Semiconductor</v>
      </c>
      <c r="C43909" s="6">
        <v>48</v>
      </c>
      <c r="D43909" s="7">
        <v>0</v>
      </c>
    </row>
    <row r="43910" spans="1:4" x14ac:dyDescent="0.25">
      <c r="A43910" t="str">
        <f>HYPERLINK("https://www.773grp.com/globalSearch/27C010-70DM-B  UM/page-1", "27C010-70DM-B  UM")</f>
        <v>27C010-70DM-B  UM</v>
      </c>
      <c r="B43910" s="3" t="str">
        <f>HYPERLINK("https://www.773grp.com/manufacturer/onsemi?pageNo=1152", "ON Semiconductor")</f>
        <v>ON Semiconductor</v>
      </c>
      <c r="C43910" s="6">
        <v>75</v>
      </c>
      <c r="D43910" s="7">
        <v>0</v>
      </c>
    </row>
    <row r="43911" spans="1:4" x14ac:dyDescent="0.25">
      <c r="A43911" t="str">
        <f>HYPERLINK("https://www.773grp.com/globalSearch/27C512-200DM-B/page-1", "27C512-200DM-B")</f>
        <v>27C512-200DM-B</v>
      </c>
      <c r="B43911" s="3" t="str">
        <f>HYPERLINK("https://www.773grp.com/manufacturer/onsemi?pageNo=1153", "ON Semiconductor")</f>
        <v>ON Semiconductor</v>
      </c>
      <c r="C43911" s="6">
        <v>1</v>
      </c>
      <c r="D43911" s="7">
        <v>0</v>
      </c>
    </row>
    <row r="43912" spans="1:4" x14ac:dyDescent="0.25">
      <c r="A43912" t="str">
        <f>HYPERLINK("https://www.773grp.com/globalSearch/27C512-70DM-B  UM/page-1", "27C512-70DM-B  UM")</f>
        <v>27C512-70DM-B  UM</v>
      </c>
      <c r="B43912" s="3" t="str">
        <f>HYPERLINK("https://www.773grp.com/manufacturer/onsemi?pageNo=1154", "ON Semiconductor")</f>
        <v>ON Semiconductor</v>
      </c>
      <c r="C43912" s="6">
        <v>312</v>
      </c>
      <c r="D43912" s="7">
        <v>0</v>
      </c>
    </row>
    <row r="43913" spans="1:4" x14ac:dyDescent="0.25">
      <c r="A43913" t="str">
        <f>HYPERLINK("https://www.773grp.com/globalSearch/27LS03-BEA/page-1", "27LS03-BEA")</f>
        <v>27LS03-BEA</v>
      </c>
      <c r="B43913" s="3" t="str">
        <f>HYPERLINK("https://www.773grp.com/manufacturer/onsemi?pageNo=1155", "ON Semiconductor")</f>
        <v>ON Semiconductor</v>
      </c>
      <c r="C43913" s="6">
        <v>1943</v>
      </c>
      <c r="D43913" s="7">
        <v>0</v>
      </c>
    </row>
    <row r="43914" spans="1:4" x14ac:dyDescent="0.25">
      <c r="A43914" t="str">
        <f>HYPERLINK("https://www.773grp.com/globalSearch/27LS03DM-B/page-1", "27LS03DM-B")</f>
        <v>27LS03DM-B</v>
      </c>
      <c r="B43914" s="3" t="str">
        <f>HYPERLINK("https://www.773grp.com/manufacturer/onsemi?pageNo=1156", "ON Semiconductor")</f>
        <v>ON Semiconductor</v>
      </c>
      <c r="C43914" s="6">
        <v>1410</v>
      </c>
      <c r="D43914" s="7">
        <v>0</v>
      </c>
    </row>
    <row r="43915" spans="1:4" x14ac:dyDescent="0.25">
      <c r="A43915" t="str">
        <f>HYPERLINK("https://www.773grp.com/globalSearch/27S03A-BEA/page-1", "27S03A-BEA")</f>
        <v>27S03A-BEA</v>
      </c>
      <c r="B43915" s="3" t="str">
        <f>HYPERLINK("https://www.773grp.com/manufacturer/onsemi?pageNo=1157", "ON Semiconductor")</f>
        <v>ON Semiconductor</v>
      </c>
      <c r="C43915" s="6">
        <v>1500</v>
      </c>
      <c r="D43915" s="7">
        <v>0</v>
      </c>
    </row>
    <row r="43916" spans="1:4" x14ac:dyDescent="0.25">
      <c r="A43916" t="str">
        <f>HYPERLINK("https://www.773grp.com/globalSearch/27S03ADM-B/page-1", "27S03ADM-B")</f>
        <v>27S03ADM-B</v>
      </c>
      <c r="B43916" s="3" t="str">
        <f>HYPERLINK("https://www.773grp.com/manufacturer/onsemi?pageNo=1158", "ON Semiconductor")</f>
        <v>ON Semiconductor</v>
      </c>
      <c r="C43916" s="6">
        <v>1162</v>
      </c>
      <c r="D43916" s="7">
        <v>0</v>
      </c>
    </row>
    <row r="43917" spans="1:4" x14ac:dyDescent="0.25">
      <c r="A43917" t="str">
        <f>HYPERLINK("https://www.773grp.com/globalSearch/27S181PC/page-1", "27S181PC")</f>
        <v>27S181PC</v>
      </c>
      <c r="B43917" s="3" t="str">
        <f>HYPERLINK("https://www.773grp.com/manufacturer/onsemi?pageNo=1159", "ON Semiconductor")</f>
        <v>ON Semiconductor</v>
      </c>
      <c r="C43917" s="6">
        <v>3015</v>
      </c>
      <c r="D43917" s="7">
        <v>0</v>
      </c>
    </row>
    <row r="43918" spans="1:4" x14ac:dyDescent="0.25">
      <c r="A43918" t="str">
        <f>HYPERLINK("https://www.773grp.com/globalSearch/27S181PC-G/page-1", "27S181PC-G")</f>
        <v>27S181PC-G</v>
      </c>
      <c r="B43918" s="3" t="str">
        <f>HYPERLINK("https://www.773grp.com/manufacturer/onsemi?pageNo=1160", "ON Semiconductor")</f>
        <v>ON Semiconductor</v>
      </c>
      <c r="C43918" s="6">
        <v>2645</v>
      </c>
      <c r="D43918" s="7">
        <v>0</v>
      </c>
    </row>
    <row r="43919" spans="1:4" x14ac:dyDescent="0.25">
      <c r="A43919" t="str">
        <f>HYPERLINK("https://www.773grp.com/globalSearch/27S191AJC/page-1", "27S191AJC")</f>
        <v>27S191AJC</v>
      </c>
      <c r="B43919" s="3" t="str">
        <f>HYPERLINK("https://www.773grp.com/manufacturer/onsemi?pageNo=1161", "ON Semiconductor")</f>
        <v>ON Semiconductor</v>
      </c>
      <c r="C43919" s="6">
        <v>1668</v>
      </c>
      <c r="D43919" s="7">
        <v>0</v>
      </c>
    </row>
    <row r="43920" spans="1:4" x14ac:dyDescent="0.25">
      <c r="A43920" t="str">
        <f>HYPERLINK("https://www.773grp.com/globalSearch/27S191DM-B/page-1", "27S191DM-B")</f>
        <v>27S191DM-B</v>
      </c>
      <c r="B43920" s="3" t="str">
        <f>HYPERLINK("https://www.773grp.com/manufacturer/onsemi?pageNo=1162", "ON Semiconductor")</f>
        <v>ON Semiconductor</v>
      </c>
      <c r="C43920" s="6">
        <v>318</v>
      </c>
      <c r="D43920" s="7">
        <v>0</v>
      </c>
    </row>
    <row r="43921" spans="1:4" x14ac:dyDescent="0.25">
      <c r="A43921" t="str">
        <f>HYPERLINK("https://www.773grp.com/globalSearch/27S85ALM-B/page-1", "27S85ALM-B")</f>
        <v>27S85ALM-B</v>
      </c>
      <c r="B43921" s="3" t="str">
        <f>HYPERLINK("https://www.773grp.com/manufacturer/onsemi?pageNo=1163", "ON Semiconductor")</f>
        <v>ON Semiconductor</v>
      </c>
      <c r="C43921" s="6">
        <v>17</v>
      </c>
      <c r="D43921" s="7">
        <v>0</v>
      </c>
    </row>
    <row r="43922" spans="1:4" x14ac:dyDescent="0.25">
      <c r="A43922" t="str">
        <f>HYPERLINK("https://www.773grp.com/globalSearch/2902ADM-B  LT/page-1", "2902ADM-B  LT")</f>
        <v>2902ADM-B  LT</v>
      </c>
      <c r="B43922" s="3" t="str">
        <f>HYPERLINK("https://www.773grp.com/manufacturer/onsemi?pageNo=1164", "ON Semiconductor")</f>
        <v>ON Semiconductor</v>
      </c>
      <c r="C43922" s="6">
        <v>48</v>
      </c>
      <c r="D43922" s="7">
        <v>0</v>
      </c>
    </row>
    <row r="43923" spans="1:4" x14ac:dyDescent="0.25">
      <c r="A43923" t="str">
        <f>HYPERLINK("https://www.773grp.com/globalSearch/2910-BQA/page-1", "2910-BQA")</f>
        <v>2910-BQA</v>
      </c>
      <c r="B43923" s="3" t="str">
        <f>HYPERLINK("https://www.773grp.com/manufacturer/onsemi?pageNo=1165", "ON Semiconductor")</f>
        <v>ON Semiconductor</v>
      </c>
      <c r="C43923" s="6">
        <v>1108</v>
      </c>
      <c r="D43923" s="7">
        <v>0</v>
      </c>
    </row>
    <row r="43924" spans="1:4" x14ac:dyDescent="0.25">
      <c r="A43924" t="str">
        <f>HYPERLINK("https://www.773grp.com/globalSearch/2910ADM-B  LT/page-1", "2910ADM-B  LT")</f>
        <v>2910ADM-B  LT</v>
      </c>
      <c r="B43924" s="3" t="str">
        <f>HYPERLINK("https://www.773grp.com/manufacturer/onsemi?pageNo=1166", "ON Semiconductor")</f>
        <v>ON Semiconductor</v>
      </c>
      <c r="C43924" s="6">
        <v>43</v>
      </c>
      <c r="D43924" s="7">
        <v>0</v>
      </c>
    </row>
    <row r="43925" spans="1:4" x14ac:dyDescent="0.25">
      <c r="A43925" t="str">
        <f>HYPERLINK("https://www.773grp.com/globalSearch/2914DM-B  LT/page-1", "2914DM-B  LT")</f>
        <v>2914DM-B  LT</v>
      </c>
      <c r="B43925" s="3" t="str">
        <f>HYPERLINK("https://www.773grp.com/manufacturer/onsemi?pageNo=1167", "ON Semiconductor")</f>
        <v>ON Semiconductor</v>
      </c>
      <c r="C43925" s="6">
        <v>54</v>
      </c>
      <c r="D43925" s="7">
        <v>0</v>
      </c>
    </row>
    <row r="43926" spans="1:4" x14ac:dyDescent="0.25">
      <c r="A43926" t="str">
        <f>HYPERLINK("https://www.773grp.com/globalSearch/2914PC/page-1", "2914PC")</f>
        <v>2914PC</v>
      </c>
      <c r="B43926" s="3" t="str">
        <f>HYPERLINK("https://www.773grp.com/manufacturer/onsemi?pageNo=1168", "ON Semiconductor")</f>
        <v>ON Semiconductor</v>
      </c>
      <c r="C43926" s="6">
        <v>45</v>
      </c>
      <c r="D43926" s="7">
        <v>0</v>
      </c>
    </row>
    <row r="43927" spans="1:4" x14ac:dyDescent="0.25">
      <c r="A43927" t="str">
        <f>HYPERLINK("https://www.773grp.com/globalSearch/2946DM-B/page-1", "2946DM-B")</f>
        <v>2946DM-B</v>
      </c>
      <c r="B43927" s="3" t="str">
        <f>HYPERLINK("https://www.773grp.com/manufacturer/onsemi?pageNo=1169", "ON Semiconductor")</f>
        <v>ON Semiconductor</v>
      </c>
      <c r="C43927" s="6">
        <v>77</v>
      </c>
      <c r="D43927" s="7">
        <v>0</v>
      </c>
    </row>
    <row r="43928" spans="1:4" x14ac:dyDescent="0.25">
      <c r="A43928" t="str">
        <f>HYPERLINK("https://www.773grp.com/globalSearch/2947PC UT/page-1", "2947PC UT")</f>
        <v>2947PC UT</v>
      </c>
      <c r="B43928" s="3" t="str">
        <f>HYPERLINK("https://www.773grp.com/manufacturer/onsemi?pageNo=1170", "ON Semiconductor")</f>
        <v>ON Semiconductor</v>
      </c>
      <c r="C43928" s="6">
        <v>4321</v>
      </c>
      <c r="D43928" s="7">
        <v>0</v>
      </c>
    </row>
    <row r="43929" spans="1:4" x14ac:dyDescent="0.25">
      <c r="A43929" t="str">
        <f>HYPERLINK("https://www.773grp.com/globalSearch/29520ALM-B  LT/page-1", "29520ALM-B  LT")</f>
        <v>29520ALM-B  LT</v>
      </c>
      <c r="B43929" s="3" t="str">
        <f>HYPERLINK("https://www.773grp.com/manufacturer/onsemi?pageNo=1171", "ON Semiconductor")</f>
        <v>ON Semiconductor</v>
      </c>
      <c r="C43929" s="6">
        <v>48</v>
      </c>
      <c r="D43929" s="7">
        <v>0</v>
      </c>
    </row>
    <row r="43930" spans="1:4" x14ac:dyDescent="0.25">
      <c r="A43930" t="str">
        <f>HYPERLINK("https://www.773grp.com/globalSearch/2952APC UT/page-1", "2952APC UT")</f>
        <v>2952APC UT</v>
      </c>
      <c r="B43930" s="3" t="str">
        <f>HYPERLINK("https://www.773grp.com/manufacturer/onsemi?pageNo=1172", "ON Semiconductor")</f>
        <v>ON Semiconductor</v>
      </c>
      <c r="C43930" s="6">
        <v>375</v>
      </c>
      <c r="D43930" s="7">
        <v>0</v>
      </c>
    </row>
    <row r="43931" spans="1:4" x14ac:dyDescent="0.25">
      <c r="A43931" t="str">
        <f>HYPERLINK("https://www.773grp.com/globalSearch/29705-BXA/page-1", "29705-BXA")</f>
        <v>29705-BXA</v>
      </c>
      <c r="B43931" s="3" t="str">
        <f>HYPERLINK("https://www.773grp.com/manufacturer/onsemi?pageNo=1173", "ON Semiconductor")</f>
        <v>ON Semiconductor</v>
      </c>
      <c r="C43931" s="6">
        <v>1314</v>
      </c>
      <c r="D43931" s="7">
        <v>0</v>
      </c>
    </row>
    <row r="43932" spans="1:4" x14ac:dyDescent="0.25">
      <c r="A43932" t="str">
        <f>HYPERLINK("https://www.773grp.com/globalSearch/29705ADM-B  UT/page-1", "29705ADM-B  UT")</f>
        <v>29705ADM-B  UT</v>
      </c>
      <c r="B43932" s="3" t="str">
        <f>HYPERLINK("https://www.773grp.com/manufacturer/onsemi?pageNo=1174", "ON Semiconductor")</f>
        <v>ON Semiconductor</v>
      </c>
      <c r="C43932" s="6">
        <v>48</v>
      </c>
      <c r="D43932" s="7">
        <v>0</v>
      </c>
    </row>
    <row r="43933" spans="1:4" x14ac:dyDescent="0.25">
      <c r="A43933" t="str">
        <f>HYPERLINK("https://www.773grp.com/globalSearch/29821ALM-B/page-1", "29821ALM-B")</f>
        <v>29821ALM-B</v>
      </c>
      <c r="B43933" s="3" t="str">
        <f>HYPERLINK("https://www.773grp.com/manufacturer/onsemi?pageNo=1175", "ON Semiconductor")</f>
        <v>ON Semiconductor</v>
      </c>
      <c r="C43933" s="6">
        <v>740</v>
      </c>
      <c r="D43933" s="7">
        <v>0</v>
      </c>
    </row>
    <row r="43934" spans="1:4" x14ac:dyDescent="0.25">
      <c r="A43934" t="str">
        <f>HYPERLINK("https://www.773grp.com/globalSearch/29825ADM  UT/page-1", "29825ADM  UT")</f>
        <v>29825ADM  UT</v>
      </c>
      <c r="B43934" s="3" t="str">
        <f>HYPERLINK("https://www.773grp.com/manufacturer/onsemi?pageNo=1176", "ON Semiconductor")</f>
        <v>ON Semiconductor</v>
      </c>
      <c r="C43934" s="6">
        <v>5552</v>
      </c>
      <c r="D43934" s="7">
        <v>0</v>
      </c>
    </row>
    <row r="43935" spans="1:4" x14ac:dyDescent="0.25">
      <c r="A43935" t="str">
        <f>HYPERLINK("https://www.773grp.com/globalSearch/29825AW-B  LT/page-1", "29825AW-B  LT")</f>
        <v>29825AW-B  LT</v>
      </c>
      <c r="B43935" s="3" t="str">
        <f>HYPERLINK("https://www.773grp.com/manufacturer/onsemi?pageNo=1177", "ON Semiconductor")</f>
        <v>ON Semiconductor</v>
      </c>
      <c r="C43935" s="6">
        <v>47</v>
      </c>
      <c r="D43935" s="7">
        <v>0</v>
      </c>
    </row>
    <row r="43936" spans="1:4" x14ac:dyDescent="0.25">
      <c r="A43936" t="str">
        <f>HYPERLINK("https://www.773grp.com/globalSearch/29C10A-1JC/page-1", "29C10A-1JC")</f>
        <v>29C10A-1JC</v>
      </c>
      <c r="B43936" s="3" t="str">
        <f>HYPERLINK("https://www.773grp.com/manufacturer/onsemi?pageNo=1178", "ON Semiconductor")</f>
        <v>ON Semiconductor</v>
      </c>
      <c r="C43936" s="6">
        <v>1000</v>
      </c>
      <c r="D43936" s="7">
        <v>0</v>
      </c>
    </row>
    <row r="43937" spans="1:4" x14ac:dyDescent="0.25">
      <c r="A43937" t="str">
        <f>HYPERLINK("https://www.773grp.com/globalSearch/29C10ADM/page-1", "29C10ADM")</f>
        <v>29C10ADM</v>
      </c>
      <c r="B43937" s="3" t="str">
        <f>HYPERLINK("https://www.773grp.com/manufacturer/onsemi?pageNo=1179", "ON Semiconductor")</f>
        <v>ON Semiconductor</v>
      </c>
      <c r="C43937" s="6">
        <v>27</v>
      </c>
      <c r="D43937" s="7">
        <v>0</v>
      </c>
    </row>
    <row r="43938" spans="1:4" x14ac:dyDescent="0.25">
      <c r="A43938" t="str">
        <f>HYPERLINK("https://www.773grp.com/globalSearch/29C10AJC/page-1", "29C10AJC")</f>
        <v>29C10AJC</v>
      </c>
      <c r="B43938" s="3" t="str">
        <f>HYPERLINK("https://www.773grp.com/manufacturer/onsemi?pageNo=1180", "ON Semiconductor")</f>
        <v>ON Semiconductor</v>
      </c>
      <c r="C43938" s="6">
        <v>650</v>
      </c>
      <c r="D43938" s="7">
        <v>0</v>
      </c>
    </row>
    <row r="43939" spans="1:4" x14ac:dyDescent="0.25">
      <c r="A43939" t="str">
        <f>HYPERLINK("https://www.773grp.com/globalSearch/29C116LM-B/page-1", "29C116LM-B")</f>
        <v>29C116LM-B</v>
      </c>
      <c r="B43939" s="3" t="str">
        <f>HYPERLINK("https://www.773grp.com/manufacturer/onsemi?pageNo=1181", "ON Semiconductor")</f>
        <v>ON Semiconductor</v>
      </c>
      <c r="C43939" s="6">
        <v>473</v>
      </c>
      <c r="D43939" s="7">
        <v>0</v>
      </c>
    </row>
    <row r="43940" spans="1:4" x14ac:dyDescent="0.25">
      <c r="A43940" t="str">
        <f>HYPERLINK("https://www.773grp.com/globalSearch/29C863ADM-B/page-1", "29C863ADM-B")</f>
        <v>29C863ADM-B</v>
      </c>
      <c r="B43940" s="3" t="str">
        <f>HYPERLINK("https://www.773grp.com/manufacturer/onsemi?pageNo=1182", "ON Semiconductor")</f>
        <v>ON Semiconductor</v>
      </c>
      <c r="C43940" s="6">
        <v>378</v>
      </c>
      <c r="D43940" s="7">
        <v>0</v>
      </c>
    </row>
    <row r="43941" spans="1:4" x14ac:dyDescent="0.25">
      <c r="A43941" t="str">
        <f>HYPERLINK("https://www.773grp.com/globalSearch/54LS461AW-B  LT/page-1", "54LS461AW-B  LT")</f>
        <v>54LS461AW-B  LT</v>
      </c>
      <c r="B43941" s="3" t="str">
        <f>HYPERLINK("https://www.773grp.com/manufacturer/onsemi?pageNo=1183", "ON Semiconductor")</f>
        <v>ON Semiconductor</v>
      </c>
      <c r="C43941" s="6">
        <v>44</v>
      </c>
      <c r="D43941" s="7">
        <v>0</v>
      </c>
    </row>
    <row r="43942" spans="1:4" x14ac:dyDescent="0.25">
      <c r="A43942" t="str">
        <f>HYPERLINK("https://www.773grp.com/globalSearch/74LS469ANS/page-1", "74LS469ANS")</f>
        <v>74LS469ANS</v>
      </c>
      <c r="B43942" s="3" t="str">
        <f>HYPERLINK("https://www.773grp.com/manufacturer/onsemi?pageNo=1184", "ON Semiconductor")</f>
        <v>ON Semiconductor</v>
      </c>
      <c r="C43942" s="6">
        <v>1179</v>
      </c>
      <c r="D43942" s="7">
        <v>0</v>
      </c>
    </row>
    <row r="43943" spans="1:4" x14ac:dyDescent="0.25">
      <c r="A43943" t="str">
        <f>HYPERLINK("https://www.773grp.com/globalSearch/7996JC/page-1", "7996JC")</f>
        <v>7996JC</v>
      </c>
      <c r="B43943" s="3" t="str">
        <f>HYPERLINK("https://www.773grp.com/manufacturer/onsemi?pageNo=1185", "ON Semiconductor")</f>
        <v>ON Semiconductor</v>
      </c>
      <c r="C43943" s="6">
        <v>2253</v>
      </c>
      <c r="D43943" s="7">
        <v>0</v>
      </c>
    </row>
    <row r="43944" spans="1:4" x14ac:dyDescent="0.25">
      <c r="A43944" t="str">
        <f>HYPERLINK("https://www.773grp.com/globalSearch/7996JC-G/page-1", "7996JC-G")</f>
        <v>7996JC-G</v>
      </c>
      <c r="B43944" s="3" t="str">
        <f>HYPERLINK("https://www.773grp.com/manufacturer/onsemi?pageNo=1186", "ON Semiconductor")</f>
        <v>ON Semiconductor</v>
      </c>
      <c r="C43944" s="6">
        <v>2340</v>
      </c>
      <c r="D43944" s="7">
        <v>0</v>
      </c>
    </row>
    <row r="43945" spans="1:4" x14ac:dyDescent="0.25">
      <c r="A43945" t="str">
        <f>HYPERLINK("https://www.773grp.com/globalSearch/79C965AKC  UT/page-1", "79C965AKC  UT")</f>
        <v>79C965AKC  UT</v>
      </c>
      <c r="B43945" s="3" t="str">
        <f>HYPERLINK("https://www.773grp.com/manufacturer/onsemi?pageNo=1187", "ON Semiconductor")</f>
        <v>ON Semiconductor</v>
      </c>
      <c r="C43945" s="6">
        <v>4931</v>
      </c>
      <c r="D43945" s="7">
        <v>0</v>
      </c>
    </row>
    <row r="43946" spans="1:4" x14ac:dyDescent="0.25">
      <c r="A43946" t="str">
        <f>HYPERLINK("https://www.773grp.com/globalSearch/79C984AJC/page-1", "79C984AJC")</f>
        <v>79C984AJC</v>
      </c>
      <c r="B43946" s="3" t="str">
        <f>HYPERLINK("https://www.773grp.com/manufacturer/onsemi?pageNo=1188", "ON Semiconductor")</f>
        <v>ON Semiconductor</v>
      </c>
      <c r="C43946" s="6">
        <v>910</v>
      </c>
      <c r="D43946" s="7">
        <v>0</v>
      </c>
    </row>
    <row r="43947" spans="1:4" x14ac:dyDescent="0.25">
      <c r="A43947" t="str">
        <f>HYPERLINK("https://www.773grp.com/globalSearch/8751H-8-BQA  UT/page-1", "8751H-8-BQA  UT")</f>
        <v>8751H-8-BQA  UT</v>
      </c>
      <c r="B43947" s="3" t="str">
        <f>HYPERLINK("https://www.773grp.com/manufacturer/onsemi?pageNo=1189", "ON Semiconductor")</f>
        <v>ON Semiconductor</v>
      </c>
      <c r="C43947" s="6">
        <v>449</v>
      </c>
      <c r="D43947" s="7">
        <v>0</v>
      </c>
    </row>
    <row r="43948" spans="1:4" x14ac:dyDescent="0.25">
      <c r="A43948" t="str">
        <f>HYPERLINK("https://www.773grp.com/globalSearch/93S16-BEA/page-1", "93S16-BEA")</f>
        <v>93S16-BEA</v>
      </c>
      <c r="B43948" s="3" t="str">
        <f>HYPERLINK("https://www.773grp.com/manufacturer/onsemi?pageNo=1190", "ON Semiconductor")</f>
        <v>ON Semiconductor</v>
      </c>
      <c r="C43948" s="6">
        <v>1139</v>
      </c>
      <c r="D43948" s="7">
        <v>0</v>
      </c>
    </row>
    <row r="43949" spans="1:4" x14ac:dyDescent="0.25">
      <c r="A43949" t="str">
        <f>HYPERLINK("https://www.773grp.com/globalSearch/93S16DM-B  LT/page-1", "93S16DM-B  LT")</f>
        <v>93S16DM-B  LT</v>
      </c>
      <c r="B43949" s="3" t="str">
        <f>HYPERLINK("https://www.773grp.com/manufacturer/onsemi?pageNo=1191", "ON Semiconductor")</f>
        <v>ON Semiconductor</v>
      </c>
      <c r="C43949" s="6">
        <v>48</v>
      </c>
      <c r="D43949" s="7">
        <v>0</v>
      </c>
    </row>
    <row r="43950" spans="1:4" x14ac:dyDescent="0.25">
      <c r="A43950" t="str">
        <f>HYPERLINK("https://www.773grp.com/globalSearch/93S16DM-B  UT/page-1", "93S16DM-B  UT")</f>
        <v>93S16DM-B  UT</v>
      </c>
      <c r="B43950" s="3" t="str">
        <f>HYPERLINK("https://www.773grp.com/manufacturer/onsemi?pageNo=1192", "ON Semiconductor")</f>
        <v>ON Semiconductor</v>
      </c>
      <c r="C43950" s="6">
        <v>259</v>
      </c>
      <c r="D43950" s="7">
        <v>0</v>
      </c>
    </row>
    <row r="43951" spans="1:4" x14ac:dyDescent="0.25">
      <c r="A43951" t="str">
        <f>HYPERLINK("https://www.773grp.com/globalSearch/9511A-1DC/page-1", "9511A-1DC")</f>
        <v>9511A-1DC</v>
      </c>
      <c r="B43951" s="3" t="str">
        <f>HYPERLINK("https://www.773grp.com/manufacturer/onsemi?pageNo=1193", "ON Semiconductor")</f>
        <v>ON Semiconductor</v>
      </c>
      <c r="C43951" s="6">
        <v>19</v>
      </c>
      <c r="D43951" s="7">
        <v>0</v>
      </c>
    </row>
    <row r="43952" spans="1:4" x14ac:dyDescent="0.25">
      <c r="A43952" t="str">
        <f>HYPERLINK("https://www.773grp.com/globalSearch/9511A-1DM/page-1", "9511A-1DM")</f>
        <v>9511A-1DM</v>
      </c>
      <c r="B43952" s="3" t="str">
        <f>HYPERLINK("https://www.773grp.com/manufacturer/onsemi?pageNo=1194", "ON Semiconductor")</f>
        <v>ON Semiconductor</v>
      </c>
      <c r="C43952" s="6">
        <v>593</v>
      </c>
      <c r="D43952" s="7">
        <v>0</v>
      </c>
    </row>
    <row r="43953" spans="1:4" x14ac:dyDescent="0.25">
      <c r="A43953" t="str">
        <f>HYPERLINK("https://www.773grp.com/globalSearch/9511ADC  UT/page-1", "9511ADC  UT")</f>
        <v>9511ADC  UT</v>
      </c>
      <c r="B43953" s="3" t="str">
        <f>HYPERLINK("https://www.773grp.com/manufacturer/onsemi?pageNo=1195", "ON Semiconductor")</f>
        <v>ON Semiconductor</v>
      </c>
      <c r="C43953" s="6">
        <v>113</v>
      </c>
      <c r="D43953" s="7">
        <v>0</v>
      </c>
    </row>
    <row r="43954" spans="1:4" x14ac:dyDescent="0.25">
      <c r="A43954" t="str">
        <f>HYPERLINK("https://www.773grp.com/globalSearch/9513ASM-B/page-1", "9513ASM-B")</f>
        <v>9513ASM-B</v>
      </c>
      <c r="B43954" s="3" t="str">
        <f>HYPERLINK("https://www.773grp.com/manufacturer/onsemi?pageNo=1196", "ON Semiconductor")</f>
        <v>ON Semiconductor</v>
      </c>
      <c r="C43954" s="6">
        <v>90</v>
      </c>
      <c r="D43954" s="7">
        <v>0</v>
      </c>
    </row>
    <row r="43955" spans="1:4" x14ac:dyDescent="0.25">
      <c r="A43955" t="str">
        <f>HYPERLINK("https://www.773grp.com/globalSearch/9517A-4DM-B  LT/page-1", "9517A-4DM-B  LT")</f>
        <v>9517A-4DM-B  LT</v>
      </c>
      <c r="B43955" s="3" t="str">
        <f>HYPERLINK("https://www.773grp.com/manufacturer/onsemi?pageNo=1197", "ON Semiconductor")</f>
        <v>ON Semiconductor</v>
      </c>
      <c r="C43955" s="6">
        <v>139</v>
      </c>
      <c r="D43955" s="7">
        <v>0</v>
      </c>
    </row>
    <row r="43956" spans="1:4" x14ac:dyDescent="0.25">
      <c r="A43956" t="str">
        <f>HYPERLINK("https://www.773grp.com/globalSearch/9519APC/page-1", "9519APC")</f>
        <v>9519APC</v>
      </c>
      <c r="B43956" s="3" t="str">
        <f>HYPERLINK("https://www.773grp.com/manufacturer/onsemi?pageNo=1198", "ON Semiconductor")</f>
        <v>ON Semiconductor</v>
      </c>
      <c r="C43956" s="6">
        <v>400</v>
      </c>
      <c r="D43956" s="7">
        <v>0</v>
      </c>
    </row>
    <row r="43957" spans="1:4" x14ac:dyDescent="0.25">
      <c r="A43957" t="str">
        <f>HYPERLINK("https://www.773grp.com/globalSearch/95C60-16GM-R/page-1", "95C60-16GM-R")</f>
        <v>95C60-16GM-R</v>
      </c>
      <c r="B43957" s="3" t="str">
        <f>HYPERLINK("https://www.773grp.com/manufacturer/onsemi?pageNo=1199", "ON Semiconductor")</f>
        <v>ON Semiconductor</v>
      </c>
      <c r="C43957" s="6">
        <v>11</v>
      </c>
      <c r="D43957" s="7">
        <v>0</v>
      </c>
    </row>
    <row r="43958" spans="1:4" x14ac:dyDescent="0.25">
      <c r="A43958" t="str">
        <f>HYPERLINK("https://www.773grp.com/globalSearch/95C60-16GM-R UT/page-1", "95C60-16GM-R UT")</f>
        <v>95C60-16GM-R UT</v>
      </c>
      <c r="B43958" s="3" t="str">
        <f>HYPERLINK("https://www.773grp.com/manufacturer/onsemi?pageNo=1200", "ON Semiconductor")</f>
        <v>ON Semiconductor</v>
      </c>
      <c r="C43958" s="6">
        <v>153</v>
      </c>
      <c r="D43958" s="7">
        <v>0</v>
      </c>
    </row>
    <row r="43959" spans="1:4" x14ac:dyDescent="0.25">
      <c r="A43959" t="str">
        <f>HYPERLINK("https://www.773grp.com/globalSearch/AM186ED-20KC\W/page-1", "AM186ED-20KC-W")</f>
        <v>AM186ED-20KC-W</v>
      </c>
      <c r="B43959" s="3" t="str">
        <f>HYPERLINK("https://www.773grp.com/manufacturer/onsemi?pageNo=1201", "ON Semiconductor")</f>
        <v>ON Semiconductor</v>
      </c>
      <c r="C43959" s="6">
        <v>213</v>
      </c>
      <c r="D43959" s="7">
        <v>0</v>
      </c>
    </row>
    <row r="43960" spans="1:4" x14ac:dyDescent="0.25">
      <c r="A43960" t="str">
        <f>HYPERLINK("https://www.773grp.com/globalSearch/AM186ED-20VC\W/page-1", "AM186ED-20VC-W")</f>
        <v>AM186ED-20VC-W</v>
      </c>
      <c r="B43960" s="3" t="str">
        <f>HYPERLINK("https://www.773grp.com/manufacturer/onsemi?pageNo=1202", "ON Semiconductor")</f>
        <v>ON Semiconductor</v>
      </c>
      <c r="C43960" s="6">
        <v>595</v>
      </c>
      <c r="D43960" s="7">
        <v>0</v>
      </c>
    </row>
    <row r="43961" spans="1:4" x14ac:dyDescent="0.25">
      <c r="A43961" t="str">
        <f>HYPERLINK("https://www.773grp.com/globalSearch/AM186ED-25KC\W-G/page-1", "AM186ED-25KC-W-G")</f>
        <v>AM186ED-25KC-W-G</v>
      </c>
      <c r="B43961" s="3" t="str">
        <f>HYPERLINK("https://www.773grp.com/manufacturer/onsemi?pageNo=1203", "ON Semiconductor")</f>
        <v>ON Semiconductor</v>
      </c>
      <c r="C43961" s="6">
        <v>114</v>
      </c>
      <c r="D43961" s="7">
        <v>0</v>
      </c>
    </row>
    <row r="43962" spans="1:4" x14ac:dyDescent="0.25">
      <c r="A43962" t="str">
        <f>HYPERLINK("https://www.773grp.com/globalSearch/AM186ED-25VC\W/page-1", "AM186ED-25VC-W")</f>
        <v>AM186ED-25VC-W</v>
      </c>
      <c r="B43962" s="3" t="str">
        <f>HYPERLINK("https://www.773grp.com/manufacturer/onsemi?pageNo=1204", "ON Semiconductor")</f>
        <v>ON Semiconductor</v>
      </c>
      <c r="C43962" s="6">
        <v>388</v>
      </c>
      <c r="D43962" s="7">
        <v>0</v>
      </c>
    </row>
    <row r="43963" spans="1:4" x14ac:dyDescent="0.25">
      <c r="A43963" t="str">
        <f>HYPERLINK("https://www.773grp.com/globalSearch/AM186ED-25VC\W UM/page-1", "AM186ED-25VC-W UM")</f>
        <v>AM186ED-25VC-W UM</v>
      </c>
      <c r="B43963" s="3" t="str">
        <f>HYPERLINK("https://www.773grp.com/manufacturer/onsemi?pageNo=1205", "ON Semiconductor")</f>
        <v>ON Semiconductor</v>
      </c>
      <c r="C43963" s="6">
        <v>6801</v>
      </c>
      <c r="D43963" s="7">
        <v>0</v>
      </c>
    </row>
    <row r="43964" spans="1:4" x14ac:dyDescent="0.25">
      <c r="A43964" t="str">
        <f>HYPERLINK("https://www.773grp.com/globalSearch/AM186ED-33KC\W/page-1", "AM186ED-33KC-W")</f>
        <v>AM186ED-33KC-W</v>
      </c>
      <c r="B43964" s="3" t="str">
        <f>HYPERLINK("https://www.773grp.com/manufacturer/onsemi?pageNo=1206", "ON Semiconductor")</f>
        <v>ON Semiconductor</v>
      </c>
      <c r="C43964" s="6">
        <v>40</v>
      </c>
      <c r="D43964" s="7">
        <v>0</v>
      </c>
    </row>
    <row r="43965" spans="1:4" x14ac:dyDescent="0.25">
      <c r="A43965" t="str">
        <f>HYPERLINK("https://www.773grp.com/globalSearch/AM186ED-33KC\W-G/page-1", "AM186ED-33KC-W-G")</f>
        <v>AM186ED-33KC-W-G</v>
      </c>
      <c r="B43965" s="3" t="str">
        <f>HYPERLINK("https://www.773grp.com/manufacturer/onsemi?pageNo=1207", "ON Semiconductor")</f>
        <v>ON Semiconductor</v>
      </c>
      <c r="C43965" s="6">
        <v>42</v>
      </c>
      <c r="D43965" s="7">
        <v>0</v>
      </c>
    </row>
    <row r="43966" spans="1:4" x14ac:dyDescent="0.25">
      <c r="A43966" t="str">
        <f>HYPERLINK("https://www.773grp.com/globalSearch/AM186ED-33VC\W/page-1", "AM186ED-33VC-W")</f>
        <v>AM186ED-33VC-W</v>
      </c>
      <c r="B43966" s="3" t="str">
        <f>HYPERLINK("https://www.773grp.com/manufacturer/onsemi?pageNo=1208", "ON Semiconductor")</f>
        <v>ON Semiconductor</v>
      </c>
      <c r="C43966" s="6">
        <v>343</v>
      </c>
      <c r="D43966" s="7">
        <v>0</v>
      </c>
    </row>
    <row r="43967" spans="1:4" x14ac:dyDescent="0.25">
      <c r="A43967" t="str">
        <f>HYPERLINK("https://www.773grp.com/globalSearch/AM186ED-40KC\W  UM/page-1", "AM186ED-40KC-W  UM")</f>
        <v>AM186ED-40KC-W  UM</v>
      </c>
      <c r="B43967" s="3" t="str">
        <f>HYPERLINK("https://www.773grp.com/manufacturer/onsemi?pageNo=1209", "ON Semiconductor")</f>
        <v>ON Semiconductor</v>
      </c>
      <c r="C43967" s="6">
        <v>2678</v>
      </c>
      <c r="D43967" s="7">
        <v>0</v>
      </c>
    </row>
    <row r="43968" spans="1:4" x14ac:dyDescent="0.25">
      <c r="A43968" t="str">
        <f>HYPERLINK("https://www.773grp.com/globalSearch/AM186ED-40KC\W-G  UM/page-1", "AM186ED-40KC-W-G  UM")</f>
        <v>AM186ED-40KC-W-G  UM</v>
      </c>
      <c r="B43968" s="3" t="str">
        <f>HYPERLINK("https://www.773grp.com/manufacturer/onsemi?pageNo=1210", "ON Semiconductor")</f>
        <v>ON Semiconductor</v>
      </c>
      <c r="C43968" s="6">
        <v>2021</v>
      </c>
      <c r="D43968" s="7">
        <v>0</v>
      </c>
    </row>
    <row r="43969" spans="1:4" x14ac:dyDescent="0.25">
      <c r="A43969" t="str">
        <f>HYPERLINK("https://www.773grp.com/globalSearch/AM186ED-40KI\W/page-1", "AM186ED-40KI-W")</f>
        <v>AM186ED-40KI-W</v>
      </c>
      <c r="B43969" s="3" t="str">
        <f>HYPERLINK("https://www.773grp.com/manufacturer/onsemi?pageNo=1211", "ON Semiconductor")</f>
        <v>ON Semiconductor</v>
      </c>
      <c r="C43969" s="6">
        <v>97</v>
      </c>
      <c r="D43969" s="7">
        <v>0</v>
      </c>
    </row>
    <row r="43970" spans="1:4" x14ac:dyDescent="0.25">
      <c r="A43970" t="str">
        <f>HYPERLINK("https://www.773grp.com/globalSearch/AM186ED-40VC\W/page-1", "AM186ED-40VC-W")</f>
        <v>AM186ED-40VC-W</v>
      </c>
      <c r="B43970" s="3" t="str">
        <f>HYPERLINK("https://www.773grp.com/manufacturer/onsemi?pageNo=1212", "ON Semiconductor")</f>
        <v>ON Semiconductor</v>
      </c>
      <c r="C43970" s="6">
        <v>648</v>
      </c>
      <c r="D43970" s="7">
        <v>0</v>
      </c>
    </row>
    <row r="43971" spans="1:4" x14ac:dyDescent="0.25">
      <c r="A43971" t="str">
        <f>HYPERLINK("https://www.773grp.com/globalSearch/AM186ED-40VC\W  UM/page-1", "AM186ED-40VC-W  UM")</f>
        <v>AM186ED-40VC-W  UM</v>
      </c>
      <c r="B43971" s="3" t="str">
        <f>HYPERLINK("https://www.773grp.com/manufacturer/onsemi?pageNo=1213", "ON Semiconductor")</f>
        <v>ON Semiconductor</v>
      </c>
      <c r="C43971" s="6">
        <v>68</v>
      </c>
      <c r="D43971" s="7">
        <v>0</v>
      </c>
    </row>
    <row r="43972" spans="1:4" x14ac:dyDescent="0.25">
      <c r="A43972" t="str">
        <f>HYPERLINK("https://www.773grp.com/globalSearch/AM188EM-20VC/page-1", "AM188EM-20VC")</f>
        <v>AM188EM-20VC</v>
      </c>
      <c r="B43972" s="3" t="str">
        <f>HYPERLINK("https://www.773grp.com/manufacturer/onsemi?pageNo=1214", "ON Semiconductor")</f>
        <v>ON Semiconductor</v>
      </c>
      <c r="C43972" s="6">
        <v>300</v>
      </c>
      <c r="D43972" s="7">
        <v>0</v>
      </c>
    </row>
    <row r="43973" spans="1:4" x14ac:dyDescent="0.25">
      <c r="A43973" t="str">
        <f>HYPERLINK("https://www.773grp.com/globalSearch/AM188EM-25KC\W/page-1", "AM188EM-25KC-W")</f>
        <v>AM188EM-25KC-W</v>
      </c>
      <c r="B43973" s="3" t="str">
        <f>HYPERLINK("https://www.773grp.com/manufacturer/onsemi?pageNo=1215", "ON Semiconductor")</f>
        <v>ON Semiconductor</v>
      </c>
      <c r="C43973" s="6">
        <v>79</v>
      </c>
      <c r="D43973" s="7">
        <v>0</v>
      </c>
    </row>
    <row r="43974" spans="1:4" x14ac:dyDescent="0.25">
      <c r="A43974" t="str">
        <f>HYPERLINK("https://www.773grp.com/globalSearch/AM188EM-25KC\W-G/page-1", "AM188EM-25KC-W-G")</f>
        <v>AM188EM-25KC-W-G</v>
      </c>
      <c r="B43974" s="3" t="str">
        <f>HYPERLINK("https://www.773grp.com/manufacturer/onsemi?pageNo=1216", "ON Semiconductor")</f>
        <v>ON Semiconductor</v>
      </c>
      <c r="C43974" s="6">
        <v>12</v>
      </c>
      <c r="D43974" s="7">
        <v>0</v>
      </c>
    </row>
    <row r="43975" spans="1:4" x14ac:dyDescent="0.25">
      <c r="A43975" t="str">
        <f>HYPERLINK("https://www.773grp.com/globalSearch/AM188EM-25VC\W/page-1", "AM188EM-25VC-W")</f>
        <v>AM188EM-25VC-W</v>
      </c>
      <c r="B43975" s="3" t="str">
        <f>HYPERLINK("https://www.773grp.com/manufacturer/onsemi?pageNo=1217", "ON Semiconductor")</f>
        <v>ON Semiconductor</v>
      </c>
      <c r="C43975" s="6">
        <v>117</v>
      </c>
      <c r="D43975" s="7">
        <v>0</v>
      </c>
    </row>
    <row r="43976" spans="1:4" x14ac:dyDescent="0.25">
      <c r="A43976" t="str">
        <f>HYPERLINK("https://www.773grp.com/globalSearch/AM188EM-33VC/page-1", "AM188EM-33VC")</f>
        <v>AM188EM-33VC</v>
      </c>
      <c r="B43976" s="3" t="str">
        <f>HYPERLINK("https://www.773grp.com/manufacturer/onsemi?pageNo=1218", "ON Semiconductor")</f>
        <v>ON Semiconductor</v>
      </c>
      <c r="C43976" s="6">
        <v>300</v>
      </c>
      <c r="D43976" s="7">
        <v>0</v>
      </c>
    </row>
    <row r="43977" spans="1:4" x14ac:dyDescent="0.25">
      <c r="A43977" t="str">
        <f>HYPERLINK("https://www.773grp.com/globalSearch/AM188EM-40KC\W/page-1", "AM188EM-40KC-W")</f>
        <v>AM188EM-40KC-W</v>
      </c>
      <c r="B43977" s="3" t="str">
        <f>HYPERLINK("https://www.773grp.com/manufacturer/onsemi?pageNo=1219", "ON Semiconductor")</f>
        <v>ON Semiconductor</v>
      </c>
      <c r="C43977" s="6">
        <v>2885</v>
      </c>
      <c r="D43977" s="7">
        <v>0</v>
      </c>
    </row>
    <row r="43978" spans="1:4" x14ac:dyDescent="0.25">
      <c r="A43978" t="str">
        <f>HYPERLINK("https://www.773grp.com/globalSearch/AM188EM-40KC\W  UM-UT/page-1", "AM188EM-40KC-W  UM-UT")</f>
        <v>AM188EM-40KC-W  UM-UT</v>
      </c>
      <c r="B43978" s="3" t="str">
        <f>HYPERLINK("https://www.773grp.com/manufacturer/onsemi?pageNo=1220", "ON Semiconductor")</f>
        <v>ON Semiconductor</v>
      </c>
      <c r="C43978" s="6">
        <v>3742</v>
      </c>
      <c r="D43978" s="7">
        <v>0</v>
      </c>
    </row>
    <row r="43979" spans="1:4" x14ac:dyDescent="0.25">
      <c r="A43979" t="str">
        <f>HYPERLINK("https://www.773grp.com/globalSearch/AM188EM-40KC\W UM/page-1", "AM188EM-40KC-W UM")</f>
        <v>AM188EM-40KC-W UM</v>
      </c>
      <c r="B43979" s="3" t="str">
        <f>HYPERLINK("https://www.773grp.com/manufacturer/onsemi?pageNo=1221", "ON Semiconductor")</f>
        <v>ON Semiconductor</v>
      </c>
      <c r="C43979" s="6">
        <v>1340</v>
      </c>
      <c r="D43979" s="7">
        <v>0</v>
      </c>
    </row>
    <row r="43980" spans="1:4" x14ac:dyDescent="0.25">
      <c r="A43980" t="str">
        <f>HYPERLINK("https://www.773grp.com/globalSearch/AM188EM-40VC\W/page-1", "AM188EM-40VC-W")</f>
        <v>AM188EM-40VC-W</v>
      </c>
      <c r="B43980" s="3" t="str">
        <f>HYPERLINK("https://www.773grp.com/manufacturer/onsemi?pageNo=1222", "ON Semiconductor")</f>
        <v>ON Semiconductor</v>
      </c>
      <c r="C43980" s="6">
        <v>1749</v>
      </c>
      <c r="D43980" s="7">
        <v>0</v>
      </c>
    </row>
    <row r="43981" spans="1:4" x14ac:dyDescent="0.25">
      <c r="A43981" t="str">
        <f>HYPERLINK("https://www.773grp.com/globalSearch/AM188EM-40VC\W  UM/page-1", "AM188EM-40VC-W  UM")</f>
        <v>AM188EM-40VC-W  UM</v>
      </c>
      <c r="B43981" s="3" t="str">
        <f>HYPERLINK("https://www.773grp.com/manufacturer/onsemi?pageNo=1223", "ON Semiconductor")</f>
        <v>ON Semiconductor</v>
      </c>
      <c r="C43981" s="6">
        <v>1800</v>
      </c>
      <c r="D43981" s="7">
        <v>0</v>
      </c>
    </row>
    <row r="43982" spans="1:4" x14ac:dyDescent="0.25">
      <c r="A43982" t="str">
        <f>HYPERLINK("https://www.773grp.com/globalSearch/AM188EM-40VC\W UM/page-1", "AM188EM-40VC-W UM")</f>
        <v>AM188EM-40VC-W UM</v>
      </c>
      <c r="B43982" s="3" t="str">
        <f>HYPERLINK("https://www.773grp.com/manufacturer/onsemi?pageNo=1224", "ON Semiconductor")</f>
        <v>ON Semiconductor</v>
      </c>
      <c r="C43982" s="6">
        <v>4529</v>
      </c>
      <c r="D43982" s="7">
        <v>0</v>
      </c>
    </row>
    <row r="43983" spans="1:4" x14ac:dyDescent="0.25">
      <c r="A43983" t="str">
        <f>HYPERLINK("https://www.773grp.com/globalSearch/AM188EM-40VI\W-G/page-1", "AM188EM-40VI-W-G")</f>
        <v>AM188EM-40VI-W-G</v>
      </c>
      <c r="B43983" s="3" t="str">
        <f>HYPERLINK("https://www.773grp.com/manufacturer/onsemi?pageNo=1225", "ON Semiconductor")</f>
        <v>ON Semiconductor</v>
      </c>
      <c r="C43983" s="6">
        <v>64</v>
      </c>
      <c r="D43983" s="7">
        <v>0</v>
      </c>
    </row>
    <row r="43984" spans="1:4" x14ac:dyDescent="0.25">
      <c r="A43984" t="str">
        <f>HYPERLINK("https://www.773grp.com/globalSearch/AM188EM-40VI\W-G  UM/page-1", "AM188EM-40VI-W-G  UM")</f>
        <v>AM188EM-40VI-W-G  UM</v>
      </c>
      <c r="B43984" s="3" t="str">
        <f>HYPERLINK("https://www.773grp.com/manufacturer/onsemi?pageNo=1226", "ON Semiconductor")</f>
        <v>ON Semiconductor</v>
      </c>
      <c r="C43984" s="6">
        <v>1502</v>
      </c>
      <c r="D43984" s="7">
        <v>0</v>
      </c>
    </row>
    <row r="43985" spans="1:5" x14ac:dyDescent="0.25">
      <c r="A43985" t="str">
        <f>HYPERLINK("https://www.773grp.com/globalSearch/AM188EMLV-20KC\W/page-1", "AM188EMLV-20KC-W")</f>
        <v>AM188EMLV-20KC-W</v>
      </c>
      <c r="B43985" s="3" t="str">
        <f>HYPERLINK("https://www.773grp.com/manufacturer/onsemi?pageNo=1227", "ON Semiconductor")</f>
        <v>ON Semiconductor</v>
      </c>
      <c r="C43985" s="6">
        <v>87</v>
      </c>
      <c r="D43985" s="7">
        <v>0</v>
      </c>
    </row>
    <row r="43986" spans="1:5" x14ac:dyDescent="0.25">
      <c r="A43986" t="str">
        <f>HYPERLINK("https://www.773grp.com/globalSearch/AM188EMLV-25KC\W  UM/page-1", "AM188EMLV-25KC-W  UM")</f>
        <v>AM188EMLV-25KC-W  UM</v>
      </c>
      <c r="B43986" s="3" t="str">
        <f>HYPERLINK("https://www.773grp.com/manufacturer/onsemi?pageNo=1228", "ON Semiconductor")</f>
        <v>ON Semiconductor</v>
      </c>
      <c r="C43986" s="6">
        <v>2174</v>
      </c>
      <c r="D43986" s="7">
        <v>0</v>
      </c>
    </row>
    <row r="43987" spans="1:5" x14ac:dyDescent="0.25">
      <c r="A43987" t="str">
        <f>HYPERLINK("https://www.773grp.com/globalSearch/AM7200-25JC/page-1", "AM7200-25JC")</f>
        <v>AM7200-25JC</v>
      </c>
      <c r="B43987" s="3" t="str">
        <f>HYPERLINK("https://www.773grp.com/manufacturer/onsemi?pageNo=1229", "ON Semiconductor")</f>
        <v>ON Semiconductor</v>
      </c>
      <c r="C43987" s="6">
        <v>695</v>
      </c>
      <c r="D43987" s="7">
        <v>0</v>
      </c>
      <c r="E43987" t="s">
        <v>89</v>
      </c>
    </row>
    <row r="43988" spans="1:5" x14ac:dyDescent="0.25">
      <c r="A43988" t="str">
        <f>HYPERLINK("https://www.773grp.com/globalSearch/AM7203A-50RC/page-1", "AM7203A-50RC")</f>
        <v>AM7203A-50RC</v>
      </c>
      <c r="B43988" s="3" t="str">
        <f>HYPERLINK("https://www.773grp.com/manufacturer/onsemi?pageNo=1230", "ON Semiconductor")</f>
        <v>ON Semiconductor</v>
      </c>
      <c r="C43988" s="6">
        <v>4255</v>
      </c>
      <c r="D43988" s="7">
        <v>0</v>
      </c>
      <c r="E43988" t="s">
        <v>89</v>
      </c>
    </row>
    <row r="43989" spans="1:5" x14ac:dyDescent="0.25">
      <c r="A43989" t="str">
        <f>HYPERLINK("https://www.773grp.com/globalSearch/AM7968-175DC/page-1", "AM7968-175DC")</f>
        <v>AM7968-175DC</v>
      </c>
      <c r="B43989" s="3" t="str">
        <f>HYPERLINK("https://www.773grp.com/manufacturer/onsemi?pageNo=1231", "ON Semiconductor")</f>
        <v>ON Semiconductor</v>
      </c>
      <c r="C43989" s="6">
        <v>240</v>
      </c>
      <c r="D43989" s="7">
        <v>0</v>
      </c>
    </row>
    <row r="43990" spans="1:5" x14ac:dyDescent="0.25">
      <c r="A43990" t="str">
        <f>HYPERLINK("https://www.773grp.com/globalSearch/AM7968-175DC  UM/page-1", "AM7968-175DC  UM")</f>
        <v>AM7968-175DC  UM</v>
      </c>
      <c r="B43990" s="3" t="str">
        <f>HYPERLINK("https://www.773grp.com/manufacturer/onsemi?pageNo=1232", "ON Semiconductor")</f>
        <v>ON Semiconductor</v>
      </c>
      <c r="C43990" s="6">
        <v>620</v>
      </c>
      <c r="D43990" s="7">
        <v>0</v>
      </c>
    </row>
    <row r="43991" spans="1:5" x14ac:dyDescent="0.25">
      <c r="A43991" t="str">
        <f>HYPERLINK("https://www.773grp.com/globalSearch/AM79865JC-G/page-1", "AM79865JC-G")</f>
        <v>AM79865JC-G</v>
      </c>
      <c r="B43991" s="3" t="str">
        <f>HYPERLINK("https://www.773grp.com/manufacturer/onsemi?pageNo=1233", "ON Semiconductor")</f>
        <v>ON Semiconductor</v>
      </c>
      <c r="C43991" s="6">
        <v>24443</v>
      </c>
      <c r="D43991" s="7">
        <v>0</v>
      </c>
    </row>
    <row r="43992" spans="1:5" x14ac:dyDescent="0.25">
      <c r="A43992" t="str">
        <f>HYPERLINK("https://www.773grp.com/globalSearch/AM79866AJC/page-1", "AM79866AJC")</f>
        <v>AM79866AJC</v>
      </c>
      <c r="B43992" s="3" t="str">
        <f>HYPERLINK("https://www.773grp.com/manufacturer/onsemi?pageNo=1234", "ON Semiconductor")</f>
        <v>ON Semiconductor</v>
      </c>
      <c r="C43992" s="6">
        <v>560</v>
      </c>
      <c r="D43992" s="7">
        <v>0</v>
      </c>
      <c r="E43992" t="s">
        <v>67</v>
      </c>
    </row>
    <row r="43993" spans="1:5" x14ac:dyDescent="0.25">
      <c r="A43993" t="str">
        <f>HYPERLINK("https://www.773grp.com/globalSearch/AM79866AJC-G/page-1", "AM79866AJC-G")</f>
        <v>AM79866AJC-G</v>
      </c>
      <c r="B43993" s="3" t="str">
        <f>HYPERLINK("https://www.773grp.com/manufacturer/onsemi?pageNo=1235", "ON Semiconductor")</f>
        <v>ON Semiconductor</v>
      </c>
      <c r="C43993" s="6">
        <v>2404</v>
      </c>
      <c r="D43993" s="7">
        <v>0</v>
      </c>
    </row>
    <row r="43994" spans="1:5" x14ac:dyDescent="0.25">
      <c r="A43994" t="str">
        <f>HYPERLINK("https://www.773grp.com/globalSearch/AM79C90JC-G/page-1", "AM79C90JC-G")</f>
        <v>AM79C90JC-G</v>
      </c>
      <c r="B43994" s="3" t="str">
        <f>HYPERLINK("https://www.773grp.com/manufacturer/onsemi?pageNo=1236", "ON Semiconductor")</f>
        <v>ON Semiconductor</v>
      </c>
      <c r="C43994" s="6">
        <v>17728</v>
      </c>
      <c r="D43994" s="7">
        <v>0</v>
      </c>
    </row>
    <row r="43995" spans="1:5" x14ac:dyDescent="0.25">
      <c r="A43995" t="str">
        <f>HYPERLINK("https://www.773grp.com/globalSearch/AM79C940BJI  UT/page-1", "AM79C940BJI  UT")</f>
        <v>AM79C940BJI  UT</v>
      </c>
      <c r="B43995" s="3" t="str">
        <f>HYPERLINK("https://www.773grp.com/manufacturer/onsemi?pageNo=1237", "ON Semiconductor")</f>
        <v>ON Semiconductor</v>
      </c>
      <c r="C43995" s="6">
        <v>1425</v>
      </c>
      <c r="D43995" s="7">
        <v>0</v>
      </c>
    </row>
    <row r="43996" spans="1:5" x14ac:dyDescent="0.25">
      <c r="A43996" t="str">
        <f>HYPERLINK("https://www.773grp.com/globalSearch/AM79C961AVC\W/page-1", "AM79C961AVC-W")</f>
        <v>AM79C961AVC-W</v>
      </c>
      <c r="B43996" s="3" t="str">
        <f>HYPERLINK("https://www.773grp.com/manufacturer/onsemi?pageNo=1238", "ON Semiconductor")</f>
        <v>ON Semiconductor</v>
      </c>
      <c r="C43996" s="6">
        <v>509</v>
      </c>
      <c r="D43996" s="7">
        <v>0</v>
      </c>
    </row>
    <row r="43997" spans="1:5" x14ac:dyDescent="0.25">
      <c r="A43997" t="str">
        <f>HYPERLINK("https://www.773grp.com/globalSearch/AM79C970AVC\W/page-1", "AM79C970AVC-W")</f>
        <v>AM79C970AVC-W</v>
      </c>
      <c r="B43997" s="3" t="str">
        <f>HYPERLINK("https://www.773grp.com/manufacturer/onsemi?pageNo=1239", "ON Semiconductor")</f>
        <v>ON Semiconductor</v>
      </c>
      <c r="C43997" s="6">
        <v>39</v>
      </c>
      <c r="D43997" s="7">
        <v>0</v>
      </c>
    </row>
    <row r="43998" spans="1:5" x14ac:dyDescent="0.25">
      <c r="A43998" t="str">
        <f>HYPERLINK("https://www.773grp.com/globalSearch/AM79C970AVC-G/page-1", "AM79C970AVC-G")</f>
        <v>AM79C970AVC-G</v>
      </c>
      <c r="B43998" s="3" t="str">
        <f>HYPERLINK("https://www.773grp.com/manufacturer/onsemi?pageNo=1240", "ON Semiconductor")</f>
        <v>ON Semiconductor</v>
      </c>
      <c r="C43998" s="6">
        <v>9579</v>
      </c>
      <c r="D43998" s="7">
        <v>0</v>
      </c>
    </row>
    <row r="43999" spans="1:5" x14ac:dyDescent="0.25">
      <c r="A43999" t="str">
        <f>HYPERLINK("https://www.773grp.com/globalSearch/AM79C971AVC\W/page-1", "AM79C971AVC-W")</f>
        <v>AM79C971AVC-W</v>
      </c>
      <c r="B43999" s="3" t="str">
        <f>HYPERLINK("https://www.773grp.com/manufacturer/onsemi?pageNo=1241", "ON Semiconductor")</f>
        <v>ON Semiconductor</v>
      </c>
      <c r="C43999" s="6">
        <v>13454</v>
      </c>
      <c r="D43999" s="7">
        <v>0</v>
      </c>
    </row>
    <row r="44000" spans="1:5" x14ac:dyDescent="0.25">
      <c r="A44000" t="str">
        <f>HYPERLINK("https://www.773grp.com/globalSearch/AM79C971KC\W  UT/page-1", "AM79C971KC-W  UT")</f>
        <v>AM79C971KC-W  UT</v>
      </c>
      <c r="B44000" s="3" t="str">
        <f>HYPERLINK("https://www.773grp.com/manufacturer/onsemi?pageNo=1242", "ON Semiconductor")</f>
        <v>ON Semiconductor</v>
      </c>
      <c r="C44000" s="6">
        <v>1402</v>
      </c>
      <c r="D44000" s="7">
        <v>0</v>
      </c>
    </row>
    <row r="44001" spans="1:5" x14ac:dyDescent="0.25">
      <c r="A44001" t="str">
        <f>HYPERLINK("https://www.773grp.com/globalSearch/AM79C971KC\W-G  UT/page-1", "AM79C971KC-W-G  UT")</f>
        <v>AM79C971KC-W-G  UT</v>
      </c>
      <c r="B44001" s="3" t="str">
        <f>HYPERLINK("https://www.773grp.com/manufacturer/onsemi?pageNo=1243", "ON Semiconductor")</f>
        <v>ON Semiconductor</v>
      </c>
      <c r="C44001" s="6">
        <v>1561</v>
      </c>
      <c r="D44001" s="7">
        <v>0</v>
      </c>
    </row>
    <row r="44002" spans="1:5" x14ac:dyDescent="0.25">
      <c r="A44002" t="str">
        <f>HYPERLINK("https://www.773grp.com/globalSearch/AM79C984AJC/page-1", "AM79C984AJC")</f>
        <v>AM79C984AJC</v>
      </c>
      <c r="B44002" s="3" t="str">
        <f>HYPERLINK("https://www.773grp.com/manufacturer/onsemi?pageNo=1244", "ON Semiconductor")</f>
        <v>ON Semiconductor</v>
      </c>
      <c r="C44002" s="6">
        <v>3905</v>
      </c>
      <c r="D44002" s="7">
        <v>0</v>
      </c>
      <c r="E44002" t="s">
        <v>55</v>
      </c>
    </row>
    <row r="44003" spans="1:5" x14ac:dyDescent="0.25">
      <c r="A44003" t="str">
        <f>HYPERLINK("https://www.773grp.com/globalSearch/AM79C984AJC  UT/page-1", "AM79C984AJC  UT")</f>
        <v>AM79C984AJC  UT</v>
      </c>
      <c r="B44003" s="3" t="str">
        <f>HYPERLINK("https://www.773grp.com/manufacturer/onsemi?pageNo=1245", "ON Semiconductor")</f>
        <v>ON Semiconductor</v>
      </c>
      <c r="C44003" s="6">
        <v>5521</v>
      </c>
      <c r="D44003" s="7">
        <v>0</v>
      </c>
    </row>
    <row r="44004" spans="1:5" x14ac:dyDescent="0.25">
      <c r="A44004" t="str">
        <f>HYPERLINK("https://www.773grp.com/globalSearch/AM79C984AKC\W/page-1", "AM79C984AKC-W")</f>
        <v>AM79C984AKC-W</v>
      </c>
      <c r="B44004" s="3" t="str">
        <f>HYPERLINK("https://www.773grp.com/manufacturer/onsemi?pageNo=1246", "ON Semiconductor")</f>
        <v>ON Semiconductor</v>
      </c>
      <c r="C44004" s="6">
        <v>344</v>
      </c>
      <c r="D44004" s="7">
        <v>0</v>
      </c>
    </row>
    <row r="44005" spans="1:5" x14ac:dyDescent="0.25">
      <c r="A44005" t="str">
        <f>HYPERLINK("https://www.773grp.com/globalSearch/AM79C984AKC\W  UT/page-1", "AM79C984AKC-W  UT")</f>
        <v>AM79C984AKC-W  UT</v>
      </c>
      <c r="B44005" s="3" t="str">
        <f>HYPERLINK("https://www.773grp.com/manufacturer/onsemi?pageNo=1247", "ON Semiconductor")</f>
        <v>ON Semiconductor</v>
      </c>
      <c r="C44005" s="6">
        <v>4999</v>
      </c>
      <c r="D44005" s="7">
        <v>0</v>
      </c>
    </row>
    <row r="44006" spans="1:5" x14ac:dyDescent="0.25">
      <c r="A44006" t="str">
        <f>HYPERLINK("https://www.773grp.com/globalSearch/AM79C985KC\W  UT/page-1", "AM79C985KC-W  UT")</f>
        <v>AM79C985KC-W  UT</v>
      </c>
      <c r="B44006" s="3" t="str">
        <f>HYPERLINK("https://www.773grp.com/manufacturer/onsemi?pageNo=1248", "ON Semiconductor")</f>
        <v>ON Semiconductor</v>
      </c>
      <c r="C44006" s="6">
        <v>1983</v>
      </c>
      <c r="D44006" s="7">
        <v>0</v>
      </c>
    </row>
    <row r="44007" spans="1:5" x14ac:dyDescent="0.25">
      <c r="A44007" t="str">
        <f>HYPERLINK("https://www.773grp.com/globalSearch/ELANSC300-33VC/page-1", "ELANSC300-33VC")</f>
        <v>ELANSC300-33VC</v>
      </c>
      <c r="B44007" s="3" t="str">
        <f>HYPERLINK("https://www.773grp.com/manufacturer/onsemi?pageNo=1249", "ON Semiconductor")</f>
        <v>ON Semiconductor</v>
      </c>
      <c r="C44007" s="6">
        <v>1707</v>
      </c>
      <c r="D44007" s="7">
        <v>0</v>
      </c>
      <c r="E44007" t="s">
        <v>52</v>
      </c>
    </row>
    <row r="44008" spans="1:5" x14ac:dyDescent="0.25">
      <c r="A44008" t="str">
        <f>HYPERLINK("https://www.773grp.com/globalSearch/IN80C186/page-1", "IN80C186")</f>
        <v>IN80C186</v>
      </c>
      <c r="B44008" s="3" t="str">
        <f>HYPERLINK("https://www.773grp.com/manufacturer/onsemi?pageNo=1250", "ON Semiconductor")</f>
        <v>ON Semiconductor</v>
      </c>
      <c r="C44008" s="6">
        <v>132</v>
      </c>
      <c r="D44008" s="7">
        <v>0</v>
      </c>
      <c r="E44008" t="s">
        <v>81</v>
      </c>
    </row>
    <row r="44009" spans="1:5" x14ac:dyDescent="0.25">
      <c r="A44009" t="str">
        <f>HYPERLINK("https://www.773grp.com/globalSearch/IN80C186-16  UM/page-1", "IN80C186-16  UM")</f>
        <v>IN80C186-16  UM</v>
      </c>
      <c r="B44009" s="3" t="str">
        <f>HYPERLINK("https://www.773grp.com/manufacturer/onsemi?pageNo=1251", "ON Semiconductor")</f>
        <v>ON Semiconductor</v>
      </c>
      <c r="C44009" s="6">
        <v>747</v>
      </c>
      <c r="D44009" s="7">
        <v>0</v>
      </c>
    </row>
    <row r="44010" spans="1:5" x14ac:dyDescent="0.25">
      <c r="A44010" t="str">
        <f>HYPERLINK("https://www.773grp.com/globalSearch/IN80C188-16 UM/page-1", "IN80C188-16 UM")</f>
        <v>IN80C188-16 UM</v>
      </c>
      <c r="B44010" s="3" t="str">
        <f>HYPERLINK("https://www.773grp.com/manufacturer/onsemi?pageNo=1252", "ON Semiconductor")</f>
        <v>ON Semiconductor</v>
      </c>
      <c r="C44010" s="6">
        <v>446</v>
      </c>
      <c r="D44010" s="7">
        <v>0</v>
      </c>
    </row>
    <row r="44011" spans="1:5" x14ac:dyDescent="0.25">
      <c r="A44011" t="str">
        <f>HYPERLINK("https://www.773grp.com/globalSearch/IN80C188-16-G/page-1", "IN80C188-16-G")</f>
        <v>IN80C188-16-G</v>
      </c>
      <c r="B44011" s="3" t="str">
        <f>HYPERLINK("https://www.773grp.com/manufacturer/onsemi?pageNo=1253", "ON Semiconductor")</f>
        <v>ON Semiconductor</v>
      </c>
      <c r="C44011" s="6">
        <v>522</v>
      </c>
      <c r="D44011" s="7">
        <v>0</v>
      </c>
    </row>
    <row r="44012" spans="1:5" x14ac:dyDescent="0.25">
      <c r="A44012" t="str">
        <f>HYPERLINK("https://www.773grp.com/globalSearch/IN80C188-20/page-1", "IN80C188-20")</f>
        <v>IN80C188-20</v>
      </c>
      <c r="B44012" s="3" t="str">
        <f>HYPERLINK("https://www.773grp.com/manufacturer/onsemi?pageNo=1254", "ON Semiconductor")</f>
        <v>ON Semiconductor</v>
      </c>
      <c r="C44012" s="6">
        <v>123</v>
      </c>
      <c r="D44012" s="7">
        <v>0</v>
      </c>
      <c r="E44012" t="s">
        <v>81</v>
      </c>
    </row>
    <row r="44013" spans="1:5" x14ac:dyDescent="0.25">
      <c r="A44013" t="str">
        <f>HYPERLINK("https://www.773grp.com/globalSearch/IN80C188-25 UM/page-1", "IN80C188-25 UM")</f>
        <v>IN80C188-25 UM</v>
      </c>
      <c r="B44013" s="3" t="str">
        <f>HYPERLINK("https://www.773grp.com/manufacturer/onsemi?pageNo=1255", "ON Semiconductor")</f>
        <v>ON Semiconductor</v>
      </c>
      <c r="C44013" s="6">
        <v>12815</v>
      </c>
      <c r="D44013" s="7">
        <v>0</v>
      </c>
    </row>
    <row r="44014" spans="1:5" x14ac:dyDescent="0.25">
      <c r="A44014" t="str">
        <f>HYPERLINK("https://www.773grp.com/globalSearch/MD8284A-B  D1/page-1", "MD8284A-B  D1")</f>
        <v>MD8284A-B  D1</v>
      </c>
      <c r="B44014" s="3" t="str">
        <f>HYPERLINK("https://www.773grp.com/manufacturer/onsemi?pageNo=1256", "ON Semiconductor")</f>
        <v>ON Semiconductor</v>
      </c>
      <c r="C44014" s="6">
        <v>89</v>
      </c>
      <c r="D44014" s="7">
        <v>0</v>
      </c>
    </row>
    <row r="44015" spans="1:5" x14ac:dyDescent="0.25">
      <c r="A44015" t="str">
        <f>HYPERLINK("https://www.773grp.com/globalSearch/N80C186-12-G UM/page-1", "N80C186-12-G UM")</f>
        <v>N80C186-12-G UM</v>
      </c>
      <c r="B44015" s="3" t="str">
        <f>HYPERLINK("https://www.773grp.com/manufacturer/onsemi?pageNo=1257", "ON Semiconductor")</f>
        <v>ON Semiconductor</v>
      </c>
      <c r="C44015" s="6">
        <v>13</v>
      </c>
      <c r="D44015" s="7">
        <v>0</v>
      </c>
    </row>
    <row r="44016" spans="1:5" x14ac:dyDescent="0.25">
      <c r="A44016" t="str">
        <f>HYPERLINK("https://www.773grp.com/globalSearch/N80C186-16-G UM/page-1", "N80C186-16-G UM")</f>
        <v>N80C186-16-G UM</v>
      </c>
      <c r="B44016" s="3" t="str">
        <f>HYPERLINK("https://www.773grp.com/manufacturer/onsemi?pageNo=1258", "ON Semiconductor")</f>
        <v>ON Semiconductor</v>
      </c>
      <c r="C44016" s="6">
        <v>5</v>
      </c>
      <c r="D44016" s="7">
        <v>0</v>
      </c>
    </row>
    <row r="44017" spans="1:5" x14ac:dyDescent="0.25">
      <c r="A44017" t="str">
        <f>HYPERLINK("https://www.773grp.com/globalSearch/N80C186-20/page-1", "N80C186-20")</f>
        <v>N80C186-20</v>
      </c>
      <c r="B44017" s="3" t="str">
        <f>HYPERLINK("https://www.773grp.com/manufacturer/onsemi?pageNo=1259", "ON Semiconductor")</f>
        <v>ON Semiconductor</v>
      </c>
      <c r="C44017" s="6">
        <v>49</v>
      </c>
      <c r="D44017" s="7">
        <v>0</v>
      </c>
      <c r="E44017" t="s">
        <v>81</v>
      </c>
    </row>
    <row r="44018" spans="1:5" x14ac:dyDescent="0.25">
      <c r="A44018" t="str">
        <f>HYPERLINK("https://www.773grp.com/globalSearch/N80C186-20-G UM/page-1", "N80C186-20-G UM")</f>
        <v>N80C186-20-G UM</v>
      </c>
      <c r="B44018" s="3" t="str">
        <f>HYPERLINK("https://www.773grp.com/manufacturer/onsemi?pageNo=1260", "ON Semiconductor")</f>
        <v>ON Semiconductor</v>
      </c>
      <c r="C44018" s="6">
        <v>2526</v>
      </c>
      <c r="D44018" s="7">
        <v>0</v>
      </c>
    </row>
    <row r="44019" spans="1:5" x14ac:dyDescent="0.25">
      <c r="A44019" t="str">
        <f>HYPERLINK("https://www.773grp.com/globalSearch/N80C186-25 UM/page-1", "N80C186-25 UM")</f>
        <v>N80C186-25 UM</v>
      </c>
      <c r="B44019" s="3" t="str">
        <f>HYPERLINK("https://www.773grp.com/manufacturer/onsemi?pageNo=1261", "ON Semiconductor")</f>
        <v>ON Semiconductor</v>
      </c>
      <c r="C44019" s="6">
        <v>10975</v>
      </c>
      <c r="D44019" s="7">
        <v>0</v>
      </c>
    </row>
    <row r="44020" spans="1:5" x14ac:dyDescent="0.25">
      <c r="A44020" t="str">
        <f>HYPERLINK("https://www.773grp.com/globalSearch/N80C186-25-G UM/page-1", "N80C186-25-G UM")</f>
        <v>N80C186-25-G UM</v>
      </c>
      <c r="B44020" s="3" t="str">
        <f>HYPERLINK("https://www.773grp.com/manufacturer/onsemi?pageNo=1262", "ON Semiconductor")</f>
        <v>ON Semiconductor</v>
      </c>
      <c r="C44020" s="6">
        <v>21456</v>
      </c>
      <c r="D44020" s="7">
        <v>0</v>
      </c>
    </row>
    <row r="44021" spans="1:5" x14ac:dyDescent="0.25">
      <c r="A44021" t="str">
        <f>HYPERLINK("https://www.773grp.com/globalSearch/N80C188-12/page-1", "N80C188-12")</f>
        <v>N80C188-12</v>
      </c>
      <c r="B44021" s="3" t="str">
        <f>HYPERLINK("https://www.773grp.com/manufacturer/onsemi?pageNo=1263", "ON Semiconductor")</f>
        <v>ON Semiconductor</v>
      </c>
      <c r="C44021" s="6">
        <v>71</v>
      </c>
      <c r="D44021" s="7">
        <v>0</v>
      </c>
    </row>
    <row r="44022" spans="1:5" x14ac:dyDescent="0.25">
      <c r="A44022" t="str">
        <f>HYPERLINK("https://www.773grp.com/globalSearch/N80C188-12  UM/page-1", "N80C188-12  UM")</f>
        <v>N80C188-12  UM</v>
      </c>
      <c r="B44022" s="3" t="str">
        <f>HYPERLINK("https://www.773grp.com/manufacturer/onsemi?pageNo=1264", "ON Semiconductor")</f>
        <v>ON Semiconductor</v>
      </c>
      <c r="C44022" s="6">
        <v>3</v>
      </c>
      <c r="D44022" s="7">
        <v>0</v>
      </c>
    </row>
    <row r="44023" spans="1:5" x14ac:dyDescent="0.25">
      <c r="A44023" t="str">
        <f>HYPERLINK("https://www.773grp.com/globalSearch/N80C188-16 UM/page-1", "N80C188-16 UM")</f>
        <v>N80C188-16 UM</v>
      </c>
      <c r="B44023" s="3" t="str">
        <f>HYPERLINK("https://www.773grp.com/manufacturer/onsemi?pageNo=1265", "ON Semiconductor")</f>
        <v>ON Semiconductor</v>
      </c>
      <c r="C44023" s="6">
        <v>73</v>
      </c>
      <c r="D44023" s="7">
        <v>0</v>
      </c>
    </row>
    <row r="44024" spans="1:5" x14ac:dyDescent="0.25">
      <c r="A44024" t="str">
        <f>HYPERLINK("https://www.773grp.com/globalSearch/N80C188-20/page-1", "N80C188-20")</f>
        <v>N80C188-20</v>
      </c>
      <c r="B44024" s="3" t="str">
        <f>HYPERLINK("https://www.773grp.com/manufacturer/onsemi?pageNo=1266", "ON Semiconductor")</f>
        <v>ON Semiconductor</v>
      </c>
      <c r="C44024" s="6">
        <v>466</v>
      </c>
      <c r="D44024" s="7">
        <v>0</v>
      </c>
    </row>
    <row r="44025" spans="1:5" x14ac:dyDescent="0.25">
      <c r="A44025" t="str">
        <f>HYPERLINK("https://www.773grp.com/globalSearch/N80C188-20  UM/page-1", "N80C188-20  UM")</f>
        <v>N80C188-20  UM</v>
      </c>
      <c r="B44025" s="3" t="str">
        <f>HYPERLINK("https://www.773grp.com/manufacturer/onsemi?pageNo=1267", "ON Semiconductor")</f>
        <v>ON Semiconductor</v>
      </c>
      <c r="C44025" s="6">
        <v>1345</v>
      </c>
      <c r="D44025" s="7">
        <v>0</v>
      </c>
    </row>
    <row r="44026" spans="1:5" x14ac:dyDescent="0.25">
      <c r="A44026" t="str">
        <f>HYPERLINK("https://www.773grp.com/globalSearch/N80C188-20-G UM/page-1", "N80C188-20-G UM")</f>
        <v>N80C188-20-G UM</v>
      </c>
      <c r="B44026" s="3" t="str">
        <f>HYPERLINK("https://www.773grp.com/manufacturer/onsemi?pageNo=1268", "ON Semiconductor")</f>
        <v>ON Semiconductor</v>
      </c>
      <c r="C44026" s="6">
        <v>7395</v>
      </c>
      <c r="D44026" s="7">
        <v>0</v>
      </c>
    </row>
    <row r="44027" spans="1:5" x14ac:dyDescent="0.25">
      <c r="A44027" t="str">
        <f>HYPERLINK("https://www.773grp.com/globalSearch/N80C188-25/page-1", "N80C188-25")</f>
        <v>N80C188-25</v>
      </c>
      <c r="B44027" s="3" t="str">
        <f>HYPERLINK("https://www.773grp.com/manufacturer/onsemi?pageNo=1269", "ON Semiconductor")</f>
        <v>ON Semiconductor</v>
      </c>
      <c r="C44027" s="6">
        <v>6300</v>
      </c>
      <c r="D44027" s="7">
        <v>0</v>
      </c>
      <c r="E44027" t="s">
        <v>81</v>
      </c>
    </row>
    <row r="44028" spans="1:5" x14ac:dyDescent="0.25">
      <c r="A44028" t="str">
        <f>HYPERLINK("https://www.773grp.com/globalSearch/N80C188-25 UM/page-1", "N80C188-25 UM")</f>
        <v>N80C188-25 UM</v>
      </c>
      <c r="B44028" s="3" t="str">
        <f>HYPERLINK("https://www.773grp.com/manufacturer/onsemi?pageNo=1270", "ON Semiconductor")</f>
        <v>ON Semiconductor</v>
      </c>
      <c r="C44028" s="6">
        <v>14328</v>
      </c>
      <c r="D44028" s="7">
        <v>0</v>
      </c>
    </row>
    <row r="44029" spans="1:5" x14ac:dyDescent="0.25">
      <c r="A44029" t="str">
        <f>HYPERLINK("https://www.773grp.com/globalSearch/N80C188-25-G UM/page-1", "N80C188-25-G UM")</f>
        <v>N80C188-25-G UM</v>
      </c>
      <c r="B44029" s="3" t="str">
        <f>HYPERLINK("https://www.773grp.com/manufacturer/onsemi?pageNo=1271", "ON Semiconductor")</f>
        <v>ON Semiconductor</v>
      </c>
      <c r="C44029" s="6">
        <v>29553</v>
      </c>
      <c r="D44029" s="7">
        <v>0</v>
      </c>
    </row>
    <row r="44030" spans="1:5" x14ac:dyDescent="0.25">
      <c r="A44030" t="str">
        <f>HYPERLINK("https://www.773grp.com/globalSearch/PAL16L8A-4MJ-B UT/page-1", "PAL16L8A-4MJ-B UT")</f>
        <v>PAL16L8A-4MJ-B UT</v>
      </c>
      <c r="B44030" s="3" t="str">
        <f>HYPERLINK("https://www.773grp.com/manufacturer/onsemi?pageNo=1272", "ON Semiconductor")</f>
        <v>ON Semiconductor</v>
      </c>
      <c r="C44030" s="6">
        <v>1519</v>
      </c>
      <c r="D44030" s="7">
        <v>0</v>
      </c>
    </row>
    <row r="44031" spans="1:5" x14ac:dyDescent="0.25">
      <c r="A44031" t="str">
        <f>HYPERLINK("https://www.773grp.com/globalSearch/PAL16R4A-7CJ  UT/page-1", "PAL16R4A-7CJ  UT")</f>
        <v>PAL16R4A-7CJ  UT</v>
      </c>
      <c r="B44031" s="3" t="str">
        <f>HYPERLINK("https://www.773grp.com/manufacturer/onsemi?pageNo=1273", "ON Semiconductor")</f>
        <v>ON Semiconductor</v>
      </c>
      <c r="C44031" s="6">
        <v>7097</v>
      </c>
      <c r="D44031" s="7">
        <v>0</v>
      </c>
    </row>
    <row r="44032" spans="1:5" x14ac:dyDescent="0.25">
      <c r="A44032" t="str">
        <f>HYPERLINK("https://www.773grp.com/globalSearch/PAL16R8-4JC-SPECIAL/page-1", "PAL16R8-4JC-SPECIAL")</f>
        <v>PAL16R8-4JC-SPECIAL</v>
      </c>
      <c r="B44032" s="3" t="str">
        <f>HYPERLINK("https://www.773grp.com/manufacturer/onsemi?pageNo=1274", "ON Semiconductor")</f>
        <v>ON Semiconductor</v>
      </c>
      <c r="C44032" s="6">
        <v>229</v>
      </c>
      <c r="D44032" s="7">
        <v>0</v>
      </c>
    </row>
    <row r="44033" spans="1:4" x14ac:dyDescent="0.25">
      <c r="A44033" t="str">
        <f>HYPERLINK("https://www.773grp.com/globalSearch/PAL16R8-4JC-UNPROGRAMMED/page-1", "PAL16R8-4JC-UNPROGRAMMED")</f>
        <v>PAL16R8-4JC-UNPROGRAMMED</v>
      </c>
      <c r="B44033" s="3" t="str">
        <f>HYPERLINK("https://www.773grp.com/manufacturer/onsemi?pageNo=1275", "ON Semiconductor")</f>
        <v>ON Semiconductor</v>
      </c>
      <c r="C44033" s="6">
        <v>3023</v>
      </c>
      <c r="D44033" s="7">
        <v>0</v>
      </c>
    </row>
    <row r="44034" spans="1:4" x14ac:dyDescent="0.25">
      <c r="A44034" t="str">
        <f>HYPERLINK("https://www.773grp.com/globalSearch/R1144  UT/page-1", "R1144  UT")</f>
        <v>R1144  UT</v>
      </c>
      <c r="B44034" s="3" t="str">
        <f>HYPERLINK("https://www.773grp.com/manufacturer/onsemi?pageNo=1276", "ON Semiconductor")</f>
        <v>ON Semiconductor</v>
      </c>
      <c r="C44034" s="6">
        <v>19694</v>
      </c>
      <c r="D44034" s="7">
        <v>0</v>
      </c>
    </row>
    <row r="44035" spans="1:4" x14ac:dyDescent="0.25">
      <c r="A44035" t="str">
        <f>HYPERLINK("https://www.773grp.com/globalSearch/R1156/page-1", "R1156")</f>
        <v>R1156</v>
      </c>
      <c r="B44035" s="3" t="str">
        <f>HYPERLINK("https://www.773grp.com/manufacturer/onsemi?pageNo=1277", "ON Semiconductor")</f>
        <v>ON Semiconductor</v>
      </c>
      <c r="C44035" s="6">
        <v>449</v>
      </c>
      <c r="D44035" s="7">
        <v>0</v>
      </c>
    </row>
    <row r="44036" spans="1:4" x14ac:dyDescent="0.25">
      <c r="A44036" t="str">
        <f>HYPERLINK("https://www.773grp.com/globalSearch/R1157/page-1", "R1157")</f>
        <v>R1157</v>
      </c>
      <c r="B44036" s="3" t="str">
        <f>HYPERLINK("https://www.773grp.com/manufacturer/onsemi?pageNo=1278", "ON Semiconductor")</f>
        <v>ON Semiconductor</v>
      </c>
      <c r="C44036" s="6">
        <v>7</v>
      </c>
      <c r="D44036" s="7">
        <v>0</v>
      </c>
    </row>
    <row r="44037" spans="1:4" x14ac:dyDescent="0.25">
      <c r="A44037" t="str">
        <f>HYPERLINK("https://www.773grp.com/globalSearch/R1318 (5962-8984102KA)/page-1", "R1318 (5962-8984102KA)")</f>
        <v>R1318 (5962-8984102KA)</v>
      </c>
      <c r="B44037" s="3" t="str">
        <f>HYPERLINK("https://www.773grp.com/manufacturer/onsemi?pageNo=1279", "ON Semiconductor")</f>
        <v>ON Semiconductor</v>
      </c>
      <c r="C44037" s="6">
        <v>43</v>
      </c>
      <c r="D44037" s="7">
        <v>0</v>
      </c>
    </row>
    <row r="44038" spans="1:4" x14ac:dyDescent="0.25">
      <c r="A44038" t="str">
        <f>HYPERLINK("https://www.773grp.com/globalSearch/R1383/page-1", "R1383")</f>
        <v>R1383</v>
      </c>
      <c r="B44038" s="3" t="str">
        <f>HYPERLINK("https://www.773grp.com/manufacturer/onsemi?pageNo=1280", "ON Semiconductor")</f>
        <v>ON Semiconductor</v>
      </c>
      <c r="C44038" s="6">
        <v>60</v>
      </c>
      <c r="D44038" s="7">
        <v>0</v>
      </c>
    </row>
    <row r="44039" spans="1:4" x14ac:dyDescent="0.25">
      <c r="A44039" t="str">
        <f>HYPERLINK("https://www.773grp.com/globalSearch/R1516/page-1", "R1516")</f>
        <v>R1516</v>
      </c>
      <c r="B44039" s="3" t="str">
        <f>HYPERLINK("https://www.773grp.com/manufacturer/onsemi?pageNo=1281", "ON Semiconductor")</f>
        <v>ON Semiconductor</v>
      </c>
      <c r="C44039" s="6">
        <v>297</v>
      </c>
      <c r="D44039" s="7">
        <v>0</v>
      </c>
    </row>
    <row r="44040" spans="1:4" x14ac:dyDescent="0.25">
      <c r="A44040" t="str">
        <f>HYPERLINK("https://www.773grp.com/globalSearch/R176003 UT/page-1", "R176003 UT")</f>
        <v>R176003 UT</v>
      </c>
      <c r="B44040" s="3" t="str">
        <f>HYPERLINK("https://www.773grp.com/manufacturer/onsemi?pageNo=1282", "ON Semiconductor")</f>
        <v>ON Semiconductor</v>
      </c>
      <c r="C44040" s="6">
        <v>48</v>
      </c>
      <c r="D44040" s="7">
        <v>0</v>
      </c>
    </row>
    <row r="44041" spans="1:4" x14ac:dyDescent="0.25">
      <c r="A44041" t="str">
        <f>HYPERLINK("https://www.773grp.com/globalSearch/R186001/page-1", "R186001")</f>
        <v>R186001</v>
      </c>
      <c r="B44041" s="3" t="str">
        <f>HYPERLINK("https://www.773grp.com/manufacturer/onsemi?pageNo=1283", "ON Semiconductor")</f>
        <v>ON Semiconductor</v>
      </c>
      <c r="C44041" s="6">
        <v>48</v>
      </c>
      <c r="D44041" s="7">
        <v>0</v>
      </c>
    </row>
    <row r="44042" spans="1:4" x14ac:dyDescent="0.25">
      <c r="A44042" t="str">
        <f>HYPERLINK("https://www.773grp.com/globalSearch/R594110/page-1", "R594110")</f>
        <v>R594110</v>
      </c>
      <c r="B44042" s="3" t="str">
        <f>HYPERLINK("https://www.773grp.com/manufacturer/onsemi?pageNo=1284", "ON Semiconductor")</f>
        <v>ON Semiconductor</v>
      </c>
      <c r="C44042" s="6">
        <v>26</v>
      </c>
      <c r="D44042" s="7">
        <v>0</v>
      </c>
    </row>
    <row r="44043" spans="1:4" x14ac:dyDescent="0.25">
      <c r="A44043" t="str">
        <f>HYPERLINK("https://www.773grp.com/globalSearch/R618006/page-1", "R618006")</f>
        <v>R618006</v>
      </c>
      <c r="B44043" s="3" t="str">
        <f>HYPERLINK("https://www.773grp.com/manufacturer/onsemi?pageNo=1285", "ON Semiconductor")</f>
        <v>ON Semiconductor</v>
      </c>
      <c r="C44043" s="6">
        <v>459</v>
      </c>
      <c r="D44043" s="7">
        <v>0</v>
      </c>
    </row>
    <row r="44044" spans="1:4" x14ac:dyDescent="0.25">
      <c r="A44044" t="str">
        <f>HYPERLINK("https://www.773grp.com/globalSearch/R716001/page-1", "R716001")</f>
        <v>R716001</v>
      </c>
      <c r="B44044" s="3" t="str">
        <f>HYPERLINK("https://www.773grp.com/manufacturer/onsemi?pageNo=1286", "ON Semiconductor")</f>
        <v>ON Semiconductor</v>
      </c>
      <c r="C44044" s="6">
        <v>112</v>
      </c>
      <c r="D44044" s="7">
        <v>0</v>
      </c>
    </row>
    <row r="44045" spans="1:4" x14ac:dyDescent="0.25">
      <c r="A44045" t="str">
        <f>HYPERLINK("https://www.773grp.com/globalSearch/SB80C186-25  UF/page-1", "SB80C186-25  UF")</f>
        <v>SB80C186-25  UF</v>
      </c>
      <c r="B44045" s="3" t="str">
        <f>HYPERLINK("https://www.773grp.com/manufacturer/onsemi?pageNo=1287", "ON Semiconductor")</f>
        <v>ON Semiconductor</v>
      </c>
      <c r="C44045" s="6">
        <v>4636</v>
      </c>
      <c r="D44045" s="7">
        <v>0</v>
      </c>
    </row>
    <row r="44046" spans="1:4" x14ac:dyDescent="0.25">
      <c r="A44046" t="str">
        <f>HYPERLINK("https://www.773grp.com/globalSearch/AD624BD-G/page-1", "AD624BD-G")</f>
        <v>AD624BD-G</v>
      </c>
      <c r="B44046" s="3" t="str">
        <f>HYPERLINK("https://www.773grp.com/manufacturer/onsemi?pageNo=1288", "ON Semiconductor")</f>
        <v>ON Semiconductor</v>
      </c>
      <c r="C44046" s="6">
        <v>1353</v>
      </c>
      <c r="D44046" s="7">
        <v>0</v>
      </c>
    </row>
    <row r="44047" spans="1:4" x14ac:dyDescent="0.25">
      <c r="A44047" t="str">
        <f>HYPERLINK("https://www.773grp.com/globalSearch/R1126/page-1", "R1126")</f>
        <v>R1126</v>
      </c>
      <c r="B44047" s="3" t="str">
        <f>HYPERLINK("https://www.773grp.com/manufacturer/onsemi?pageNo=1289", "ON Semiconductor")</f>
        <v>ON Semiconductor</v>
      </c>
      <c r="C44047" s="6">
        <v>16</v>
      </c>
      <c r="D44047" s="7">
        <v>0</v>
      </c>
    </row>
    <row r="44048" spans="1:4" x14ac:dyDescent="0.25">
      <c r="A44048" t="str">
        <f>HYPERLINK("https://www.773grp.com/globalSearch/R1342/page-1", "R1342")</f>
        <v>R1342</v>
      </c>
      <c r="B44048" s="3" t="str">
        <f>HYPERLINK("https://www.773grp.com/manufacturer/onsemi?pageNo=1290", "ON Semiconductor")</f>
        <v>ON Semiconductor</v>
      </c>
      <c r="C44048" s="6">
        <v>3808</v>
      </c>
      <c r="D44048" s="7">
        <v>0</v>
      </c>
    </row>
    <row r="44049" spans="1:5" x14ac:dyDescent="0.25">
      <c r="A44049" t="str">
        <f>HYPERLINK("https://www.773grp.com/globalSearch/CS5012A-BL7 REJECTS/page-1", "CS5012A-BL7 REJECTS")</f>
        <v>CS5012A-BL7 REJECTS</v>
      </c>
      <c r="B44049" s="3" t="str">
        <f>HYPERLINK("https://www.773grp.com/manufacturer/onsemi?pageNo=1291", "ON Semiconductor")</f>
        <v>ON Semiconductor</v>
      </c>
      <c r="C44049" s="6">
        <v>11</v>
      </c>
      <c r="D44049" s="7">
        <v>0</v>
      </c>
    </row>
    <row r="44050" spans="1:5" x14ac:dyDescent="0.25">
      <c r="A44050" t="str">
        <f>HYPERLINK("https://www.773grp.com/globalSearch/CY7C429-15VC  UM/page-1", "CY7C429-15VC  UM")</f>
        <v>CY7C429-15VC  UM</v>
      </c>
      <c r="B44050" s="3" t="str">
        <f>HYPERLINK("https://www.773grp.com/manufacturer/onsemi?pageNo=1292", "ON Semiconductor")</f>
        <v>ON Semiconductor</v>
      </c>
      <c r="C44050" s="6">
        <v>1207</v>
      </c>
      <c r="D44050" s="7">
        <v>0</v>
      </c>
    </row>
    <row r="44051" spans="1:5" x14ac:dyDescent="0.25">
      <c r="A44051" t="str">
        <f>HYPERLINK("https://www.773grp.com/globalSearch/R1482/page-1", "R1482")</f>
        <v>R1482</v>
      </c>
      <c r="B44051" s="3" t="str">
        <f>HYPERLINK("https://www.773grp.com/manufacturer/onsemi?pageNo=1293", "ON Semiconductor")</f>
        <v>ON Semiconductor</v>
      </c>
      <c r="C44051" s="6">
        <v>98</v>
      </c>
      <c r="D44051" s="7">
        <v>0</v>
      </c>
    </row>
    <row r="44052" spans="1:5" x14ac:dyDescent="0.25">
      <c r="A44052" t="str">
        <f>HYPERLINK("https://www.773grp.com/globalSearch/100201SCX/page-1", "100201SCX")</f>
        <v>100201SCX</v>
      </c>
      <c r="B44052" s="3" t="str">
        <f>HYPERLINK("https://www.773grp.com/manufacturer/onsemi?pageNo=1294", "ON Semiconductor")</f>
        <v>ON Semiconductor</v>
      </c>
      <c r="C44052" s="6">
        <v>3349</v>
      </c>
      <c r="D44052" s="7">
        <v>0</v>
      </c>
      <c r="E44052" t="s">
        <v>31</v>
      </c>
    </row>
    <row r="44053" spans="1:5" x14ac:dyDescent="0.25">
      <c r="A44053" t="str">
        <f>HYPERLINK("https://www.773grp.com/globalSearch/100371SC/page-1", "100371SC")</f>
        <v>100371SC</v>
      </c>
      <c r="B44053" s="3" t="str">
        <f>HYPERLINK("https://www.773grp.com/manufacturer/onsemi?pageNo=1295", "ON Semiconductor")</f>
        <v>ON Semiconductor</v>
      </c>
      <c r="C44053" s="6">
        <v>771</v>
      </c>
      <c r="D44053" s="7">
        <v>0</v>
      </c>
      <c r="E44053" t="s">
        <v>20</v>
      </c>
    </row>
    <row r="44054" spans="1:5" x14ac:dyDescent="0.25">
      <c r="A44054" t="str">
        <f>HYPERLINK("https://www.773grp.com/globalSearch/54AC00-QCA/page-1", "54AC00-QCA")</f>
        <v>54AC00-QCA</v>
      </c>
      <c r="B44054" s="3" t="str">
        <f>HYPERLINK("https://www.773grp.com/manufacturer/onsemi?pageNo=1296", "ON Semiconductor")</f>
        <v>ON Semiconductor</v>
      </c>
      <c r="C44054" s="6">
        <v>947</v>
      </c>
      <c r="D44054" s="7">
        <v>0</v>
      </c>
    </row>
    <row r="44055" spans="1:5" x14ac:dyDescent="0.25">
      <c r="A44055" t="str">
        <f>HYPERLINK("https://www.773grp.com/globalSearch/54AC08-BCA/page-1", "54AC08-BCA")</f>
        <v>54AC08-BCA</v>
      </c>
      <c r="B44055" s="3" t="str">
        <f>HYPERLINK("https://www.773grp.com/manufacturer/onsemi?pageNo=1297", "ON Semiconductor")</f>
        <v>ON Semiconductor</v>
      </c>
      <c r="C44055" s="6">
        <v>926</v>
      </c>
      <c r="D44055" s="7">
        <v>0</v>
      </c>
    </row>
    <row r="44056" spans="1:5" x14ac:dyDescent="0.25">
      <c r="A44056" t="str">
        <f>HYPERLINK("https://www.773grp.com/globalSearch/54AC14-BDA/page-1", "54AC14-BDA")</f>
        <v>54AC14-BDA</v>
      </c>
      <c r="B44056" s="3" t="str">
        <f>HYPERLINK("https://www.773grp.com/manufacturer/onsemi?pageNo=1298", "ON Semiconductor")</f>
        <v>ON Semiconductor</v>
      </c>
      <c r="C44056" s="6">
        <v>204</v>
      </c>
      <c r="D44056" s="7">
        <v>0</v>
      </c>
    </row>
    <row r="44057" spans="1:5" x14ac:dyDescent="0.25">
      <c r="A44057" t="str">
        <f>HYPERLINK("https://www.773grp.com/globalSearch/54AC244-BRA  WIP/page-1", "54AC244-BRA  WIP")</f>
        <v>54AC244-BRA  WIP</v>
      </c>
      <c r="B44057" s="3" t="str">
        <f>HYPERLINK("https://www.773grp.com/manufacturer/onsemi?pageNo=1299", "ON Semiconductor")</f>
        <v>ON Semiconductor</v>
      </c>
      <c r="C44057" s="6">
        <v>982</v>
      </c>
      <c r="D44057" s="7">
        <v>0</v>
      </c>
    </row>
    <row r="44058" spans="1:5" x14ac:dyDescent="0.25">
      <c r="A44058" t="str">
        <f>HYPERLINK("https://www.773grp.com/globalSearch/54ACT373DM-B/page-1", "54ACT373DM-B")</f>
        <v>54ACT373DM-B</v>
      </c>
      <c r="B44058" s="3" t="str">
        <f>HYPERLINK("https://www.773grp.com/manufacturer/onsemi?pageNo=1300", "ON Semiconductor")</f>
        <v>ON Semiconductor</v>
      </c>
      <c r="C44058" s="6">
        <v>639</v>
      </c>
      <c r="D44058" s="7">
        <v>0</v>
      </c>
    </row>
    <row r="44059" spans="1:5" x14ac:dyDescent="0.25">
      <c r="A44059" t="str">
        <f>HYPERLINK("https://www.773grp.com/globalSearch/54ACTQ02-Q2A/page-1", "54ACTQ02-Q2A")</f>
        <v>54ACTQ02-Q2A</v>
      </c>
      <c r="B44059" s="3" t="str">
        <f>HYPERLINK("https://www.773grp.com/manufacturer/onsemi?pageNo=1301", "ON Semiconductor")</f>
        <v>ON Semiconductor</v>
      </c>
      <c r="C44059" s="6">
        <v>181</v>
      </c>
      <c r="D44059" s="7">
        <v>0</v>
      </c>
    </row>
    <row r="44060" spans="1:5" x14ac:dyDescent="0.25">
      <c r="A44060" t="str">
        <f>HYPERLINK("https://www.773grp.com/globalSearch/54ACTQ245DM-B/page-1", "54ACTQ245DM-B")</f>
        <v>54ACTQ245DM-B</v>
      </c>
      <c r="B44060" s="3" t="str">
        <f>HYPERLINK("https://www.773grp.com/manufacturer/onsemi?pageNo=1302", "ON Semiconductor")</f>
        <v>ON Semiconductor</v>
      </c>
      <c r="C44060" s="6">
        <v>6264</v>
      </c>
      <c r="D44060" s="7">
        <v>0</v>
      </c>
    </row>
    <row r="44061" spans="1:5" x14ac:dyDescent="0.25">
      <c r="A44061" t="str">
        <f>HYPERLINK("https://www.773grp.com/globalSearch/54ACTQ32-QCA/page-1", "54ACTQ32-QCA")</f>
        <v>54ACTQ32-QCA</v>
      </c>
      <c r="B44061" s="3" t="str">
        <f>HYPERLINK("https://www.773grp.com/manufacturer/onsemi?pageNo=1303", "ON Semiconductor")</f>
        <v>ON Semiconductor</v>
      </c>
      <c r="C44061" s="6">
        <v>127</v>
      </c>
      <c r="D44061" s="7">
        <v>0</v>
      </c>
    </row>
    <row r="44062" spans="1:5" x14ac:dyDescent="0.25">
      <c r="A44062" t="str">
        <f>HYPERLINK("https://www.773grp.com/globalSearch/54F02DC/page-1", "54F02DC")</f>
        <v>54F02DC</v>
      </c>
      <c r="B44062" s="3" t="str">
        <f>HYPERLINK("https://www.773grp.com/manufacturer/onsemi?pageNo=1304", "ON Semiconductor")</f>
        <v>ON Semiconductor</v>
      </c>
      <c r="C44062" s="6">
        <v>968</v>
      </c>
      <c r="D44062" s="7">
        <v>0</v>
      </c>
    </row>
    <row r="44063" spans="1:5" x14ac:dyDescent="0.25">
      <c r="A44063" t="str">
        <f>HYPERLINK("https://www.773grp.com/globalSearch/54F04-BCA/page-1", "54F04-BCA")</f>
        <v>54F04-BCA</v>
      </c>
      <c r="B44063" s="3" t="str">
        <f>HYPERLINK("https://www.773grp.com/manufacturer/onsemi?pageNo=1305", "ON Semiconductor")</f>
        <v>ON Semiconductor</v>
      </c>
      <c r="C44063" s="6">
        <v>922</v>
      </c>
      <c r="D44063" s="7">
        <v>0</v>
      </c>
    </row>
    <row r="44064" spans="1:5" x14ac:dyDescent="0.25">
      <c r="A44064" t="str">
        <f>HYPERLINK("https://www.773grp.com/globalSearch/54F10-BCA/page-1", "54F10-BCA")</f>
        <v>54F10-BCA</v>
      </c>
      <c r="B44064" s="3" t="str">
        <f>HYPERLINK("https://www.773grp.com/manufacturer/onsemi?pageNo=1306", "ON Semiconductor")</f>
        <v>ON Semiconductor</v>
      </c>
      <c r="C44064" s="6">
        <v>955</v>
      </c>
      <c r="D44064" s="7">
        <v>0</v>
      </c>
    </row>
    <row r="44065" spans="1:5" x14ac:dyDescent="0.25">
      <c r="A44065" t="str">
        <f>HYPERLINK("https://www.773grp.com/globalSearch/54F151-BFA/page-1", "54F151-BFA")</f>
        <v>54F151-BFA</v>
      </c>
      <c r="B44065" s="3" t="str">
        <f>HYPERLINK("https://www.773grp.com/manufacturer/onsemi?pageNo=1307", "ON Semiconductor")</f>
        <v>ON Semiconductor</v>
      </c>
      <c r="C44065" s="6">
        <v>326</v>
      </c>
      <c r="D44065" s="7">
        <v>0</v>
      </c>
    </row>
    <row r="44066" spans="1:5" x14ac:dyDescent="0.25">
      <c r="A44066" t="str">
        <f>HYPERLINK("https://www.773grp.com/globalSearch/54F153-BEA/page-1", "54F153-BEA")</f>
        <v>54F153-BEA</v>
      </c>
      <c r="B44066" s="3" t="str">
        <f>HYPERLINK("https://www.773grp.com/manufacturer/onsemi?pageNo=1308", "ON Semiconductor")</f>
        <v>ON Semiconductor</v>
      </c>
      <c r="C44066" s="6">
        <v>1350</v>
      </c>
      <c r="D44066" s="7">
        <v>0</v>
      </c>
      <c r="E44066" t="s">
        <v>20</v>
      </c>
    </row>
    <row r="44067" spans="1:5" x14ac:dyDescent="0.25">
      <c r="A44067" t="str">
        <f>HYPERLINK("https://www.773grp.com/globalSearch/54F161-B2A/page-1", "54F161-B2A")</f>
        <v>54F161-B2A</v>
      </c>
      <c r="B44067" s="3" t="str">
        <f>HYPERLINK("https://www.773grp.com/manufacturer/onsemi?pageNo=1309", "ON Semiconductor")</f>
        <v>ON Semiconductor</v>
      </c>
      <c r="C44067" s="6">
        <v>912</v>
      </c>
      <c r="D44067" s="7">
        <v>0</v>
      </c>
    </row>
    <row r="44068" spans="1:5" x14ac:dyDescent="0.25">
      <c r="A44068" t="str">
        <f>HYPERLINK("https://www.773grp.com/globalSearch/54F163-B2A/page-1", "54F163-B2A")</f>
        <v>54F163-B2A</v>
      </c>
      <c r="B44068" s="3" t="str">
        <f>HYPERLINK("https://www.773grp.com/manufacturer/onsemi?pageNo=1310", "ON Semiconductor")</f>
        <v>ON Semiconductor</v>
      </c>
      <c r="C44068" s="6">
        <v>230</v>
      </c>
      <c r="D44068" s="7">
        <v>0</v>
      </c>
    </row>
    <row r="44069" spans="1:5" x14ac:dyDescent="0.25">
      <c r="A44069" t="str">
        <f>HYPERLINK("https://www.773grp.com/globalSearch/54F280-B2A/page-1", "54F280-B2A")</f>
        <v>54F280-B2A</v>
      </c>
      <c r="B44069" s="3" t="str">
        <f>HYPERLINK("https://www.773grp.com/manufacturer/onsemi?pageNo=1311", "ON Semiconductor")</f>
        <v>ON Semiconductor</v>
      </c>
      <c r="C44069" s="6">
        <v>931</v>
      </c>
      <c r="D44069" s="7">
        <v>0</v>
      </c>
    </row>
    <row r="44070" spans="1:5" x14ac:dyDescent="0.25">
      <c r="A44070" t="str">
        <f>HYPERLINK("https://www.773grp.com/globalSearch/54F280-BCA/page-1", "54F280-BCA")</f>
        <v>54F280-BCA</v>
      </c>
      <c r="B44070" s="3" t="str">
        <f>HYPERLINK("https://www.773grp.com/manufacturer/onsemi?pageNo=1312", "ON Semiconductor")</f>
        <v>ON Semiconductor</v>
      </c>
      <c r="C44070" s="6">
        <v>869</v>
      </c>
      <c r="D44070" s="7">
        <v>0</v>
      </c>
    </row>
    <row r="44071" spans="1:5" x14ac:dyDescent="0.25">
      <c r="A44071" t="str">
        <f>HYPERLINK("https://www.773grp.com/globalSearch/54F280-BDA/page-1", "54F280-BDA")</f>
        <v>54F280-BDA</v>
      </c>
      <c r="B44071" s="3" t="str">
        <f>HYPERLINK("https://www.773grp.com/manufacturer/onsemi?pageNo=1313", "ON Semiconductor")</f>
        <v>ON Semiconductor</v>
      </c>
      <c r="C44071" s="6">
        <v>947</v>
      </c>
      <c r="D44071" s="7">
        <v>0</v>
      </c>
    </row>
    <row r="44072" spans="1:5" x14ac:dyDescent="0.25">
      <c r="A44072" t="str">
        <f>HYPERLINK("https://www.773grp.com/globalSearch/54F32-BCA/page-1", "54F32-BCA")</f>
        <v>54F32-BCA</v>
      </c>
      <c r="B44072" s="3" t="str">
        <f>HYPERLINK("https://www.773grp.com/manufacturer/onsemi?pageNo=1314", "ON Semiconductor")</f>
        <v>ON Semiconductor</v>
      </c>
      <c r="C44072" s="6">
        <v>275</v>
      </c>
      <c r="D44072" s="7">
        <v>0</v>
      </c>
    </row>
    <row r="44073" spans="1:5" x14ac:dyDescent="0.25">
      <c r="A44073" t="str">
        <f>HYPERLINK("https://www.773grp.com/globalSearch/54F374-BRA/page-1", "54F374-BRA")</f>
        <v>54F374-BRA</v>
      </c>
      <c r="B44073" s="3" t="str">
        <f>HYPERLINK("https://www.773grp.com/manufacturer/onsemi?pageNo=1315", "ON Semiconductor")</f>
        <v>ON Semiconductor</v>
      </c>
      <c r="C44073" s="6">
        <v>824</v>
      </c>
      <c r="D44073" s="7">
        <v>0</v>
      </c>
    </row>
    <row r="44074" spans="1:5" x14ac:dyDescent="0.25">
      <c r="A44074" t="str">
        <f>HYPERLINK("https://www.773grp.com/globalSearch/74AC241SC/page-1", "74AC241SC")</f>
        <v>74AC241SC</v>
      </c>
      <c r="B44074" s="3" t="str">
        <f>HYPERLINK("https://www.773grp.com/manufacturer/onsemi?pageNo=1316", "ON Semiconductor")</f>
        <v>ON Semiconductor</v>
      </c>
      <c r="C44074" s="6">
        <v>5875</v>
      </c>
      <c r="D44074" s="7">
        <v>0</v>
      </c>
      <c r="E44074" t="s">
        <v>14</v>
      </c>
    </row>
    <row r="44075" spans="1:5" x14ac:dyDescent="0.25">
      <c r="A44075" t="str">
        <f>HYPERLINK("https://www.773grp.com/globalSearch/74F182SJ/page-1", "74F182SJ")</f>
        <v>74F182SJ</v>
      </c>
      <c r="B44075" s="3" t="str">
        <f>HYPERLINK("https://www.773grp.com/manufacturer/onsemi?pageNo=1317", "ON Semiconductor")</f>
        <v>ON Semiconductor</v>
      </c>
      <c r="C44075" s="6">
        <v>9789</v>
      </c>
      <c r="D44075" s="7">
        <v>0</v>
      </c>
      <c r="E44075" t="s">
        <v>43</v>
      </c>
    </row>
    <row r="44076" spans="1:5" x14ac:dyDescent="0.25">
      <c r="A44076" t="str">
        <f>HYPERLINK("https://www.773grp.com/globalSearch/74F269SPC/page-1", "74F269SPC")</f>
        <v>74F269SPC</v>
      </c>
      <c r="B44076" s="3" t="str">
        <f>HYPERLINK("https://www.773grp.com/manufacturer/onsemi?pageNo=1318", "ON Semiconductor")</f>
        <v>ON Semiconductor</v>
      </c>
      <c r="C44076" s="6">
        <v>1701</v>
      </c>
      <c r="D44076" s="7">
        <v>0</v>
      </c>
    </row>
    <row r="44077" spans="1:5" x14ac:dyDescent="0.25">
      <c r="A44077" t="str">
        <f>HYPERLINK("https://www.773grp.com/globalSearch/74F381SJ/page-1", "74F381SJ")</f>
        <v>74F381SJ</v>
      </c>
      <c r="B44077" s="3" t="str">
        <f>HYPERLINK("https://www.773grp.com/manufacturer/onsemi?pageNo=1319", "ON Semiconductor")</f>
        <v>ON Semiconductor</v>
      </c>
      <c r="C44077" s="6">
        <v>8682</v>
      </c>
      <c r="D44077" s="7">
        <v>0</v>
      </c>
      <c r="E44077" t="s">
        <v>43</v>
      </c>
    </row>
    <row r="44078" spans="1:5" x14ac:dyDescent="0.25">
      <c r="A44078" t="str">
        <f>HYPERLINK("https://www.773grp.com/globalSearch/74F403SPC/page-1", "74F403SPC")</f>
        <v>74F403SPC</v>
      </c>
      <c r="B44078" s="3" t="str">
        <f>HYPERLINK("https://www.773grp.com/manufacturer/onsemi?pageNo=1320", "ON Semiconductor")</f>
        <v>ON Semiconductor</v>
      </c>
      <c r="C44078" s="6">
        <v>1873</v>
      </c>
      <c r="D44078" s="7">
        <v>0</v>
      </c>
      <c r="E44078" t="s">
        <v>89</v>
      </c>
    </row>
    <row r="44079" spans="1:5" x14ac:dyDescent="0.25">
      <c r="A44079" t="str">
        <f>HYPERLINK("https://www.773grp.com/globalSearch/74F433SPC/page-1", "74F433SPC")</f>
        <v>74F433SPC</v>
      </c>
      <c r="B44079" s="3" t="str">
        <f>HYPERLINK("https://www.773grp.com/manufacturer/onsemi?pageNo=1321", "ON Semiconductor")</f>
        <v>ON Semiconductor</v>
      </c>
      <c r="C44079" s="6">
        <v>1322</v>
      </c>
      <c r="D44079" s="7">
        <v>0</v>
      </c>
      <c r="E44079" t="s">
        <v>89</v>
      </c>
    </row>
    <row r="44080" spans="1:5" x14ac:dyDescent="0.25">
      <c r="A44080" t="str">
        <f>HYPERLINK("https://www.773grp.com/globalSearch/74F779SC-G/page-1", "74F779SC-G")</f>
        <v>74F779SC-G</v>
      </c>
      <c r="B44080" s="3" t="str">
        <f>HYPERLINK("https://www.773grp.com/manufacturer/onsemi?pageNo=1322", "ON Semiconductor")</f>
        <v>ON Semiconductor</v>
      </c>
      <c r="C44080" s="6">
        <v>1191</v>
      </c>
      <c r="D44080" s="7">
        <v>0</v>
      </c>
    </row>
    <row r="44081" spans="1:5" x14ac:dyDescent="0.25">
      <c r="A44081" t="str">
        <f>HYPERLINK("https://www.773grp.com/globalSearch/74F828SC/page-1", "74F828SC")</f>
        <v>74F828SC</v>
      </c>
      <c r="B44081" s="3" t="str">
        <f>HYPERLINK("https://www.773grp.com/manufacturer/onsemi?pageNo=1323", "ON Semiconductor")</f>
        <v>ON Semiconductor</v>
      </c>
      <c r="C44081" s="6">
        <v>3299</v>
      </c>
      <c r="D44081" s="7">
        <v>0</v>
      </c>
      <c r="E44081" t="s">
        <v>14</v>
      </c>
    </row>
    <row r="44082" spans="1:5" x14ac:dyDescent="0.25">
      <c r="A44082" t="str">
        <f>HYPERLINK("https://www.773grp.com/globalSearch/9004FM-B/page-1", "9004FM-B")</f>
        <v>9004FM-B</v>
      </c>
      <c r="B44082" s="3" t="str">
        <f>HYPERLINK("https://www.773grp.com/manufacturer/onsemi?pageNo=1324", "ON Semiconductor")</f>
        <v>ON Semiconductor</v>
      </c>
      <c r="C44082" s="6">
        <v>435</v>
      </c>
      <c r="D44082" s="7">
        <v>0</v>
      </c>
    </row>
    <row r="44083" spans="1:5" x14ac:dyDescent="0.25">
      <c r="A44083" t="str">
        <f>HYPERLINK("https://www.773grp.com/globalSearch/930DM-B  LT/page-1", "930DM-B  LT")</f>
        <v>930DM-B  LT</v>
      </c>
      <c r="B44083" s="3" t="str">
        <f>HYPERLINK("https://www.773grp.com/manufacturer/onsemi?pageNo=1325", "ON Semiconductor")</f>
        <v>ON Semiconductor</v>
      </c>
      <c r="C44083" s="6">
        <v>48</v>
      </c>
      <c r="D44083" s="7">
        <v>0</v>
      </c>
    </row>
    <row r="44084" spans="1:5" x14ac:dyDescent="0.25">
      <c r="A44084" t="str">
        <f>HYPERLINK("https://www.773grp.com/globalSearch/CD4049UBMW-B/page-1", "CD4049UBMW-B")</f>
        <v>CD4049UBMW-B</v>
      </c>
      <c r="B44084" s="3" t="str">
        <f>HYPERLINK("https://www.773grp.com/manufacturer/onsemi?pageNo=1326", "ON Semiconductor")</f>
        <v>ON Semiconductor</v>
      </c>
      <c r="C44084" s="6">
        <v>516</v>
      </c>
      <c r="D44084" s="7">
        <v>0</v>
      </c>
    </row>
    <row r="44085" spans="1:5" x14ac:dyDescent="0.25">
      <c r="A44085" t="str">
        <f>HYPERLINK("https://www.773grp.com/globalSearch/DM74LS503N/page-1", "DM74LS503N")</f>
        <v>DM74LS503N</v>
      </c>
      <c r="B44085" s="3" t="str">
        <f>HYPERLINK("https://www.773grp.com/manufacturer/onsemi?pageNo=1327", "ON Semiconductor")</f>
        <v>ON Semiconductor</v>
      </c>
      <c r="C44085" s="6">
        <v>1044</v>
      </c>
      <c r="D44085" s="7">
        <v>0</v>
      </c>
    </row>
    <row r="44086" spans="1:5" x14ac:dyDescent="0.25">
      <c r="A44086" t="str">
        <f>HYPERLINK("https://www.773grp.com/globalSearch/DM96LS02M/page-1", "DM96LS02M")</f>
        <v>DM96LS02M</v>
      </c>
      <c r="B44086" s="3" t="str">
        <f>HYPERLINK("https://www.773grp.com/manufacturer/onsemi?pageNo=1328", "ON Semiconductor")</f>
        <v>ON Semiconductor</v>
      </c>
      <c r="C44086" s="6">
        <v>1848</v>
      </c>
      <c r="D44086" s="7">
        <v>0</v>
      </c>
      <c r="E44086" t="s">
        <v>54</v>
      </c>
    </row>
    <row r="44087" spans="1:5" x14ac:dyDescent="0.25">
      <c r="A44087" t="str">
        <f>HYPERLINK("https://www.773grp.com/globalSearch/FPF2504-G/page-1", "FPF2504-G")</f>
        <v>FPF2504-G</v>
      </c>
      <c r="B44087" s="3" t="str">
        <f>HYPERLINK("https://www.773grp.com/manufacturer/onsemi?pageNo=1329", "ON Semiconductor")</f>
        <v>ON Semiconductor</v>
      </c>
      <c r="C44087" s="6">
        <v>146</v>
      </c>
      <c r="D44087" s="7">
        <v>0</v>
      </c>
    </row>
    <row r="44088" spans="1:5" x14ac:dyDescent="0.25">
      <c r="A44088" t="str">
        <f>HYPERLINK("https://www.773grp.com/globalSearch/FPF2504-G  UT/page-1", "FPF2504-G  UT")</f>
        <v>FPF2504-G  UT</v>
      </c>
      <c r="B44088" s="3" t="str">
        <f>HYPERLINK("https://www.773grp.com/manufacturer/onsemi?pageNo=1330", "ON Semiconductor")</f>
        <v>ON Semiconductor</v>
      </c>
      <c r="C44088" s="6">
        <v>38674</v>
      </c>
      <c r="D44088" s="7">
        <v>0</v>
      </c>
    </row>
    <row r="44089" spans="1:5" x14ac:dyDescent="0.25">
      <c r="A44089" t="str">
        <f>HYPERLINK("https://www.773grp.com/globalSearch/IXF1002ED/page-1", "IXF1002ED")</f>
        <v>IXF1002ED</v>
      </c>
      <c r="B44089" s="3" t="str">
        <f>HYPERLINK("https://www.773grp.com/manufacturer/onsemi?pageNo=1331", "ON Semiconductor")</f>
        <v>ON Semiconductor</v>
      </c>
      <c r="C44089" s="6">
        <v>8926</v>
      </c>
      <c r="D44089" s="7">
        <v>0</v>
      </c>
    </row>
    <row r="44090" spans="1:5" x14ac:dyDescent="0.25">
      <c r="A44090" t="str">
        <f>HYPERLINK("https://www.773grp.com/globalSearch/IXF1002ED-G/page-1", "IXF1002ED-G")</f>
        <v>IXF1002ED-G</v>
      </c>
      <c r="B44090" s="3" t="str">
        <f>HYPERLINK("https://www.773grp.com/manufacturer/onsemi?pageNo=1332", "ON Semiconductor")</f>
        <v>ON Semiconductor</v>
      </c>
      <c r="C44090" s="6">
        <v>1167</v>
      </c>
      <c r="D44090" s="7">
        <v>0</v>
      </c>
    </row>
    <row r="44091" spans="1:5" x14ac:dyDescent="0.25">
      <c r="A44091" t="str">
        <f>HYPERLINK("https://www.773grp.com/globalSearch/IXF1002EDT/page-1", "IXF1002EDT")</f>
        <v>IXF1002EDT</v>
      </c>
      <c r="B44091" s="3" t="str">
        <f>HYPERLINK("https://www.773grp.com/manufacturer/onsemi?pageNo=1333", "ON Semiconductor")</f>
        <v>ON Semiconductor</v>
      </c>
      <c r="C44091" s="6">
        <v>6295</v>
      </c>
      <c r="D44091" s="7">
        <v>0</v>
      </c>
    </row>
    <row r="44092" spans="1:5" x14ac:dyDescent="0.25">
      <c r="A44092" t="str">
        <f>HYPERLINK("https://www.773grp.com/globalSearch/IXF1002EDT-G/page-1", "IXF1002EDT-G")</f>
        <v>IXF1002EDT-G</v>
      </c>
      <c r="B44092" s="3" t="str">
        <f>HYPERLINK("https://www.773grp.com/manufacturer/onsemi?pageNo=1334", "ON Semiconductor")</f>
        <v>ON Semiconductor</v>
      </c>
      <c r="C44092" s="6">
        <v>9493</v>
      </c>
      <c r="D44092" s="7">
        <v>0</v>
      </c>
    </row>
    <row r="44093" spans="1:5" x14ac:dyDescent="0.25">
      <c r="A44093" t="str">
        <f>HYPERLINK("https://www.773grp.com/globalSearch/MIS-29515-62/page-1", "MIS-29515-62")</f>
        <v>MIS-29515-62</v>
      </c>
      <c r="B44093" s="3" t="str">
        <f>HYPERLINK("https://www.773grp.com/manufacturer/onsemi?pageNo=1335", "ON Semiconductor")</f>
        <v>ON Semiconductor</v>
      </c>
      <c r="C44093" s="6">
        <v>27</v>
      </c>
      <c r="D44093" s="7">
        <v>0</v>
      </c>
    </row>
    <row r="44094" spans="1:5" x14ac:dyDescent="0.25">
      <c r="A44094" t="str">
        <f>HYPERLINK("https://www.773grp.com/globalSearch/ML2258CIQ/page-1", "ML2258CIQ")</f>
        <v>ML2258CIQ</v>
      </c>
      <c r="B44094" s="3" t="str">
        <f>HYPERLINK("https://www.773grp.com/manufacturer/onsemi?pageNo=1336", "ON Semiconductor")</f>
        <v>ON Semiconductor</v>
      </c>
      <c r="C44094" s="6">
        <v>6022</v>
      </c>
      <c r="D44094" s="7">
        <v>0</v>
      </c>
      <c r="E44094" t="s">
        <v>39</v>
      </c>
    </row>
    <row r="44095" spans="1:5" x14ac:dyDescent="0.25">
      <c r="A44095" t="str">
        <f>HYPERLINK("https://www.773grp.com/globalSearch/ML4875CS-5  UT/page-1", "ML4875CS-5  UT")</f>
        <v>ML4875CS-5  UT</v>
      </c>
      <c r="B44095" s="3" t="str">
        <f>HYPERLINK("https://www.773grp.com/manufacturer/onsemi?pageNo=1337", "ON Semiconductor")</f>
        <v>ON Semiconductor</v>
      </c>
      <c r="C44095" s="6">
        <v>2715</v>
      </c>
      <c r="D44095" s="7">
        <v>0</v>
      </c>
    </row>
    <row r="44096" spans="1:5" x14ac:dyDescent="0.25">
      <c r="A44096" t="str">
        <f>HYPERLINK("https://www.773grp.com/globalSearch/ML4875CS-T  UT/page-1", "ML4875CS-T  UT")</f>
        <v>ML4875CS-T  UT</v>
      </c>
      <c r="B44096" s="3" t="str">
        <f>HYPERLINK("https://www.773grp.com/manufacturer/onsemi?pageNo=1338", "ON Semiconductor")</f>
        <v>ON Semiconductor</v>
      </c>
      <c r="C44096" s="6">
        <v>1798</v>
      </c>
      <c r="D44096" s="7">
        <v>0</v>
      </c>
    </row>
    <row r="44097" spans="1:5" x14ac:dyDescent="0.25">
      <c r="A44097" t="str">
        <f>HYPERLINK("https://www.773grp.com/globalSearch/MM74C48N/page-1", "MM74C48N")</f>
        <v>MM74C48N</v>
      </c>
      <c r="B44097" s="3" t="str">
        <f>HYPERLINK("https://www.773grp.com/manufacturer/onsemi?pageNo=1339", "ON Semiconductor")</f>
        <v>ON Semiconductor</v>
      </c>
      <c r="C44097" s="6">
        <v>1311</v>
      </c>
      <c r="D44097" s="7">
        <v>0</v>
      </c>
    </row>
    <row r="44098" spans="1:5" x14ac:dyDescent="0.25">
      <c r="A44098" t="str">
        <f>HYPERLINK("https://www.773grp.com/globalSearch/MM74C76N/page-1", "MM74C76N")</f>
        <v>MM74C76N</v>
      </c>
      <c r="B44098" s="3" t="str">
        <f>HYPERLINK("https://www.773grp.com/manufacturer/onsemi?pageNo=1340", "ON Semiconductor")</f>
        <v>ON Semiconductor</v>
      </c>
      <c r="C44098" s="6">
        <v>2171</v>
      </c>
      <c r="D44098" s="7">
        <v>0</v>
      </c>
      <c r="E44098" t="s">
        <v>35</v>
      </c>
    </row>
    <row r="44099" spans="1:5" x14ac:dyDescent="0.25">
      <c r="A44099" t="str">
        <f>HYPERLINK("https://www.773grp.com/globalSearch/MM74C901M/page-1", "MM74C901M")</f>
        <v>MM74C901M</v>
      </c>
      <c r="B44099" s="3" t="str">
        <f>HYPERLINK("https://www.773grp.com/manufacturer/onsemi?pageNo=1341", "ON Semiconductor")</f>
        <v>ON Semiconductor</v>
      </c>
      <c r="C44099" s="6">
        <v>1663</v>
      </c>
      <c r="D44099" s="7">
        <v>0</v>
      </c>
      <c r="E44099" t="s">
        <v>31</v>
      </c>
    </row>
    <row r="44100" spans="1:5" x14ac:dyDescent="0.25">
      <c r="A44100" t="str">
        <f>HYPERLINK("https://www.773grp.com/globalSearch/MM74C93N/page-1", "MM74C93N")</f>
        <v>MM74C93N</v>
      </c>
      <c r="B44100" s="3" t="str">
        <f>HYPERLINK("https://www.773grp.com/manufacturer/onsemi?pageNo=1342", "ON Semiconductor")</f>
        <v>ON Semiconductor</v>
      </c>
      <c r="C44100" s="6">
        <v>2801</v>
      </c>
      <c r="D44100" s="7">
        <v>0</v>
      </c>
    </row>
    <row r="44101" spans="1:5" x14ac:dyDescent="0.25">
      <c r="A44101" t="str">
        <f>HYPERLINK("https://www.773grp.com/globalSearch/MM88C29N/page-1", "MM88C29N")</f>
        <v>MM88C29N</v>
      </c>
      <c r="B44101" s="3" t="str">
        <f>HYPERLINK("https://www.773grp.com/manufacturer/onsemi?pageNo=1343", "ON Semiconductor")</f>
        <v>ON Semiconductor</v>
      </c>
      <c r="C44101" s="6">
        <v>4774</v>
      </c>
      <c r="D44101" s="7">
        <v>0</v>
      </c>
    </row>
    <row r="44102" spans="1:5" x14ac:dyDescent="0.25">
      <c r="A44102" t="str">
        <f>HYPERLINK("https://www.773grp.com/globalSearch/R1427/page-1", "R1427")</f>
        <v>R1427</v>
      </c>
      <c r="B44102" s="3" t="str">
        <f>HYPERLINK("https://www.773grp.com/manufacturer/onsemi?pageNo=1344", "ON Semiconductor")</f>
        <v>ON Semiconductor</v>
      </c>
      <c r="C44102" s="6">
        <v>872</v>
      </c>
      <c r="D44102" s="7">
        <v>0</v>
      </c>
    </row>
    <row r="44103" spans="1:5" x14ac:dyDescent="0.25">
      <c r="A44103" t="str">
        <f>HYPERLINK("https://www.773grp.com/globalSearch/R1449-S/page-1", "R1449-S")</f>
        <v>R1449-S</v>
      </c>
      <c r="B44103" s="3" t="str">
        <f>HYPERLINK("https://www.773grp.com/manufacturer/onsemi?pageNo=1345", "ON Semiconductor")</f>
        <v>ON Semiconductor</v>
      </c>
      <c r="C44103" s="6">
        <v>220</v>
      </c>
      <c r="D44103" s="7">
        <v>0</v>
      </c>
    </row>
    <row r="44104" spans="1:5" x14ac:dyDescent="0.25">
      <c r="A44104" t="str">
        <f>HYPERLINK("https://www.773grp.com/globalSearch/R1638/page-1", "R1638")</f>
        <v>R1638</v>
      </c>
      <c r="B44104" s="3" t="str">
        <f>HYPERLINK("https://www.773grp.com/manufacturer/onsemi?pageNo=1346", "ON Semiconductor")</f>
        <v>ON Semiconductor</v>
      </c>
      <c r="C44104" s="6">
        <v>865</v>
      </c>
      <c r="D44104" s="7">
        <v>0</v>
      </c>
    </row>
    <row r="44105" spans="1:5" x14ac:dyDescent="0.25">
      <c r="A44105" t="str">
        <f>HYPERLINK("https://www.773grp.com/globalSearch/R1669  UM/page-1", "R1669  UM")</f>
        <v>R1669  UM</v>
      </c>
      <c r="B44105" s="3" t="str">
        <f>HYPERLINK("https://www.773grp.com/manufacturer/onsemi?pageNo=1347", "ON Semiconductor")</f>
        <v>ON Semiconductor</v>
      </c>
      <c r="C44105" s="6">
        <v>692</v>
      </c>
      <c r="D44105" s="7">
        <v>0</v>
      </c>
    </row>
    <row r="44106" spans="1:5" x14ac:dyDescent="0.25">
      <c r="A44106" t="str">
        <f>HYPERLINK("https://www.773grp.com/globalSearch/TDC1044AR4C  UT/page-1", "TDC1044AR4C  UT")</f>
        <v>TDC1044AR4C  UT</v>
      </c>
      <c r="B44106" s="3" t="str">
        <f>HYPERLINK("https://www.773grp.com/manufacturer/onsemi?pageNo=1348", "ON Semiconductor")</f>
        <v>ON Semiconductor</v>
      </c>
      <c r="C44106" s="6">
        <v>5078</v>
      </c>
      <c r="D44106" s="7">
        <v>0</v>
      </c>
    </row>
    <row r="44107" spans="1:5" x14ac:dyDescent="0.25">
      <c r="A44107" t="str">
        <f>HYPERLINK("https://www.773grp.com/globalSearch/MC68020EH16E-G PRE-QUAL/page-1", "MC68020EH16E-G PRE-QUAL")</f>
        <v>MC68020EH16E-G PRE-QUAL</v>
      </c>
      <c r="B44107" s="3" t="str">
        <f>HYPERLINK("https://www.773grp.com/manufacturer/onsemi?pageNo=1", "ON Semiconductor")</f>
        <v>ON Semiconductor</v>
      </c>
      <c r="C44107" s="6">
        <v>49</v>
      </c>
      <c r="D44107" s="7">
        <v>0</v>
      </c>
    </row>
    <row r="44108" spans="1:5" x14ac:dyDescent="0.25">
      <c r="A44108" t="str">
        <f>HYPERLINK("https://www.773grp.com/globalSearch/5042-BEA/page-1", "5042-BEA")</f>
        <v>5042-BEA</v>
      </c>
      <c r="B44108" s="3" t="str">
        <f>HYPERLINK("https://www.773grp.com/manufacturer/onsemi?pageNo=2", "ON Semiconductor")</f>
        <v>ON Semiconductor</v>
      </c>
      <c r="C44108" s="6">
        <v>1175</v>
      </c>
      <c r="D44108" s="7">
        <v>0</v>
      </c>
    </row>
    <row r="44109" spans="1:5" x14ac:dyDescent="0.25">
      <c r="A44109" t="str">
        <f>HYPERLINK("https://www.773grp.com/globalSearch/CA3039/page-1", "CA3039")</f>
        <v>CA3039</v>
      </c>
      <c r="B44109" s="3" t="str">
        <f>HYPERLINK("https://www.773grp.com/manufacturer/onsemi?pageNo=3", "ON Semiconductor")</f>
        <v>ON Semiconductor</v>
      </c>
      <c r="C44109" s="6">
        <v>1157</v>
      </c>
      <c r="D44109" s="7">
        <v>0</v>
      </c>
    </row>
    <row r="44110" spans="1:5" x14ac:dyDescent="0.25">
      <c r="A44110" t="str">
        <f>HYPERLINK("https://www.773grp.com/globalSearch/CA3049T/page-1", "CA3049T")</f>
        <v>CA3049T</v>
      </c>
      <c r="B44110" s="3" t="str">
        <f>HYPERLINK("https://www.773grp.com/manufacturer/onsemi?pageNo=4", "ON Semiconductor")</f>
        <v>ON Semiconductor</v>
      </c>
      <c r="C44110" s="6">
        <v>362</v>
      </c>
      <c r="D44110" s="7">
        <v>0</v>
      </c>
      <c r="E44110" t="s">
        <v>13</v>
      </c>
    </row>
    <row r="44111" spans="1:5" x14ac:dyDescent="0.25">
      <c r="A44111" t="str">
        <f>HYPERLINK("https://www.773grp.com/globalSearch/CA3058/page-1", "CA3058")</f>
        <v>CA3058</v>
      </c>
      <c r="B44111" s="3" t="str">
        <f>HYPERLINK("https://www.773grp.com/manufacturer/onsemi?pageNo=5", "ON Semiconductor")</f>
        <v>ON Semiconductor</v>
      </c>
      <c r="C44111" s="6">
        <v>461</v>
      </c>
      <c r="D44111" s="7">
        <v>0</v>
      </c>
    </row>
    <row r="44112" spans="1:5" x14ac:dyDescent="0.25">
      <c r="A44112" t="str">
        <f>HYPERLINK("https://www.773grp.com/globalSearch/CA3078AT/page-1", "CA3078AT")</f>
        <v>CA3078AT</v>
      </c>
      <c r="B44112" s="3" t="str">
        <f>HYPERLINK("https://www.773grp.com/manufacturer/onsemi?pageNo=6", "ON Semiconductor")</f>
        <v>ON Semiconductor</v>
      </c>
      <c r="C44112" s="6">
        <v>1306</v>
      </c>
      <c r="D44112" s="7">
        <v>0</v>
      </c>
    </row>
    <row r="44113" spans="1:5" x14ac:dyDescent="0.25">
      <c r="A44113" t="str">
        <f>HYPERLINK("https://www.773grp.com/globalSearch/CA3078AT-B/page-1", "CA3078AT-B")</f>
        <v>CA3078AT-B</v>
      </c>
      <c r="B44113" s="3" t="str">
        <f>HYPERLINK("https://www.773grp.com/manufacturer/onsemi?pageNo=7", "ON Semiconductor")</f>
        <v>ON Semiconductor</v>
      </c>
      <c r="C44113" s="6">
        <v>484</v>
      </c>
      <c r="D44113" s="7">
        <v>0</v>
      </c>
    </row>
    <row r="44114" spans="1:5" x14ac:dyDescent="0.25">
      <c r="A44114" t="str">
        <f>HYPERLINK("https://www.773grp.com/globalSearch/CA3081F/page-1", "CA3081F")</f>
        <v>CA3081F</v>
      </c>
      <c r="B44114" s="3" t="str">
        <f>HYPERLINK("https://www.773grp.com/manufacturer/onsemi?pageNo=8", "ON Semiconductor")</f>
        <v>ON Semiconductor</v>
      </c>
      <c r="C44114" s="6">
        <v>14062</v>
      </c>
      <c r="D44114" s="7">
        <v>0</v>
      </c>
      <c r="E44114" t="s">
        <v>69</v>
      </c>
    </row>
    <row r="44115" spans="1:5" x14ac:dyDescent="0.25">
      <c r="A44115" t="str">
        <f>HYPERLINK("https://www.773grp.com/globalSearch/CA3098E/page-1", "CA3098E")</f>
        <v>CA3098E</v>
      </c>
      <c r="B44115" s="3" t="str">
        <f>HYPERLINK("https://www.773grp.com/manufacturer/onsemi?pageNo=9", "ON Semiconductor")</f>
        <v>ON Semiconductor</v>
      </c>
      <c r="C44115" s="6">
        <v>4656</v>
      </c>
      <c r="D44115" s="7">
        <v>0</v>
      </c>
    </row>
    <row r="44116" spans="1:5" x14ac:dyDescent="0.25">
      <c r="A44116" t="str">
        <f>HYPERLINK("https://www.773grp.com/globalSearch/CA3130AT-B/page-1", "CA3130AT-B")</f>
        <v>CA3130AT-B</v>
      </c>
      <c r="B44116" s="3" t="str">
        <f>HYPERLINK("https://www.773grp.com/manufacturer/onsemi?pageNo=10", "ON Semiconductor")</f>
        <v>ON Semiconductor</v>
      </c>
      <c r="C44116" s="6">
        <v>1</v>
      </c>
      <c r="D44116" s="7">
        <v>0</v>
      </c>
    </row>
    <row r="44117" spans="1:5" x14ac:dyDescent="0.25">
      <c r="A44117" t="str">
        <f>HYPERLINK("https://www.773grp.com/globalSearch/CA3130AT-B  UM/page-1", "CA3130AT-B  UM")</f>
        <v>CA3130AT-B  UM</v>
      </c>
      <c r="B44117" s="3" t="str">
        <f>HYPERLINK("https://www.773grp.com/manufacturer/onsemi?pageNo=11", "ON Semiconductor")</f>
        <v>ON Semiconductor</v>
      </c>
      <c r="C44117" s="6">
        <v>7</v>
      </c>
      <c r="D44117" s="7">
        <v>0</v>
      </c>
    </row>
    <row r="44118" spans="1:5" x14ac:dyDescent="0.25">
      <c r="A44118" t="str">
        <f>HYPERLINK("https://www.773grp.com/globalSearch/CA3160T/page-1", "CA3160T")</f>
        <v>CA3160T</v>
      </c>
      <c r="B44118" s="3" t="str">
        <f>HYPERLINK("https://www.773grp.com/manufacturer/onsemi?pageNo=12", "ON Semiconductor")</f>
        <v>ON Semiconductor</v>
      </c>
      <c r="C44118" s="6">
        <v>388</v>
      </c>
      <c r="D44118" s="7">
        <v>0</v>
      </c>
      <c r="E44118" t="s">
        <v>13</v>
      </c>
    </row>
    <row r="44119" spans="1:5" x14ac:dyDescent="0.25">
      <c r="A44119" t="str">
        <f>HYPERLINK("https://www.773grp.com/globalSearch/CA3310AD/page-1", "CA3310AD")</f>
        <v>CA3310AD</v>
      </c>
      <c r="B44119" s="3" t="str">
        <f>HYPERLINK("https://www.773grp.com/manufacturer/onsemi?pageNo=13", "ON Semiconductor")</f>
        <v>ON Semiconductor</v>
      </c>
      <c r="C44119" s="6">
        <v>867</v>
      </c>
      <c r="D44119" s="7">
        <v>0</v>
      </c>
      <c r="E44119" t="s">
        <v>39</v>
      </c>
    </row>
    <row r="44120" spans="1:5" x14ac:dyDescent="0.25">
      <c r="A44120" t="str">
        <f>HYPERLINK("https://www.773grp.com/globalSearch/CDP1854AD-R/page-1", "CDP1854AD-R")</f>
        <v>CDP1854AD-R</v>
      </c>
      <c r="B44120" s="3" t="str">
        <f>HYPERLINK("https://www.773grp.com/manufacturer/onsemi?pageNo=14", "ON Semiconductor")</f>
        <v>ON Semiconductor</v>
      </c>
      <c r="C44120" s="6">
        <v>258</v>
      </c>
      <c r="D44120" s="7">
        <v>0</v>
      </c>
    </row>
    <row r="44121" spans="1:5" x14ac:dyDescent="0.25">
      <c r="A44121" t="str">
        <f>HYPERLINK("https://www.773grp.com/globalSearch/DG181BA/page-1", "DG181BA")</f>
        <v>DG181BA</v>
      </c>
      <c r="B44121" s="3" t="str">
        <f>HYPERLINK("https://www.773grp.com/manufacturer/onsemi?pageNo=15", "ON Semiconductor")</f>
        <v>ON Semiconductor</v>
      </c>
      <c r="C44121" s="6">
        <v>461</v>
      </c>
      <c r="D44121" s="7">
        <v>0</v>
      </c>
      <c r="E44121" t="s">
        <v>56</v>
      </c>
    </row>
    <row r="44122" spans="1:5" x14ac:dyDescent="0.25">
      <c r="A44122" t="str">
        <f>HYPERLINK("https://www.773grp.com/globalSearch/DG300A-BCA/page-1", "DG300A-BCA")</f>
        <v>DG300A-BCA</v>
      </c>
      <c r="B44122" s="3" t="str">
        <f>HYPERLINK("https://www.773grp.com/manufacturer/onsemi?pageNo=16", "ON Semiconductor")</f>
        <v>ON Semiconductor</v>
      </c>
      <c r="C44122" s="6">
        <v>919</v>
      </c>
      <c r="D44122" s="7">
        <v>0</v>
      </c>
    </row>
    <row r="44123" spans="1:5" x14ac:dyDescent="0.25">
      <c r="A44123" t="str">
        <f>HYPERLINK("https://www.773grp.com/globalSearch/HA1-2542-2/page-1", "HA1-2542-2")</f>
        <v>HA1-2542-2</v>
      </c>
      <c r="B44123" s="3" t="str">
        <f>HYPERLINK("https://www.773grp.com/manufacturer/onsemi?pageNo=17", "ON Semiconductor")</f>
        <v>ON Semiconductor</v>
      </c>
      <c r="C44123" s="6">
        <v>2472</v>
      </c>
      <c r="D44123" s="7">
        <v>0</v>
      </c>
      <c r="E44123" t="s">
        <v>13</v>
      </c>
    </row>
    <row r="44124" spans="1:5" x14ac:dyDescent="0.25">
      <c r="A44124" t="str">
        <f>HYPERLINK("https://www.773grp.com/globalSearch/HA2-2541-2/page-1", "HA2-2541-2")</f>
        <v>HA2-2541-2</v>
      </c>
      <c r="B44124" s="3" t="str">
        <f>HYPERLINK("https://www.773grp.com/manufacturer/onsemi?pageNo=18", "ON Semiconductor")</f>
        <v>ON Semiconductor</v>
      </c>
      <c r="C44124" s="6">
        <v>286</v>
      </c>
      <c r="D44124" s="7">
        <v>0</v>
      </c>
    </row>
    <row r="44125" spans="1:5" x14ac:dyDescent="0.25">
      <c r="A44125" t="str">
        <f>HYPERLINK("https://www.773grp.com/globalSearch/HA2-5102-5  UT/page-1", "HA2-5102-5  UT")</f>
        <v>HA2-5102-5  UT</v>
      </c>
      <c r="B44125" s="3" t="str">
        <f>HYPERLINK("https://www.773grp.com/manufacturer/onsemi?pageNo=19", "ON Semiconductor")</f>
        <v>ON Semiconductor</v>
      </c>
      <c r="C44125" s="6">
        <v>1885</v>
      </c>
      <c r="D44125" s="7">
        <v>0</v>
      </c>
    </row>
    <row r="44126" spans="1:5" x14ac:dyDescent="0.25">
      <c r="A44126" t="str">
        <f>HYPERLINK("https://www.773grp.com/globalSearch/HA7-5137A-5/page-1", "HA7-5137A-5")</f>
        <v>HA7-5137A-5</v>
      </c>
      <c r="B44126" s="3" t="str">
        <f>HYPERLINK("https://www.773grp.com/manufacturer/onsemi?pageNo=20", "ON Semiconductor")</f>
        <v>ON Semiconductor</v>
      </c>
      <c r="C44126" s="6">
        <v>139</v>
      </c>
      <c r="D44126" s="7">
        <v>0</v>
      </c>
      <c r="E44126" t="s">
        <v>13</v>
      </c>
    </row>
    <row r="44127" spans="1:5" x14ac:dyDescent="0.25">
      <c r="A44127" t="str">
        <f>HYPERLINK("https://www.773grp.com/globalSearch/HA7-5137A-5  UT/page-1", "HA7-5137A-5  UT")</f>
        <v>HA7-5137A-5  UT</v>
      </c>
      <c r="B44127" s="3" t="str">
        <f>HYPERLINK("https://www.773grp.com/manufacturer/onsemi?pageNo=21", "ON Semiconductor")</f>
        <v>ON Semiconductor</v>
      </c>
      <c r="C44127" s="6">
        <v>990</v>
      </c>
      <c r="D44127" s="7">
        <v>0</v>
      </c>
    </row>
    <row r="44128" spans="1:5" x14ac:dyDescent="0.25">
      <c r="A44128" t="str">
        <f>HYPERLINK("https://www.773grp.com/globalSearch/HFA5253CB UT/page-1", "HFA5253CB UT")</f>
        <v>HFA5253CB UT</v>
      </c>
      <c r="B44128" s="3" t="str">
        <f>HYPERLINK("https://www.773grp.com/manufacturer/onsemi?pageNo=22", "ON Semiconductor")</f>
        <v>ON Semiconductor</v>
      </c>
      <c r="C44128" s="6">
        <v>4445</v>
      </c>
      <c r="D44128" s="7">
        <v>0</v>
      </c>
    </row>
    <row r="44129" spans="1:5" x14ac:dyDescent="0.25">
      <c r="A44129" t="str">
        <f>HYPERLINK("https://www.773grp.com/globalSearch/HFA5253CB-G  UT/page-1", "HFA5253CB-G  UT")</f>
        <v>HFA5253CB-G  UT</v>
      </c>
      <c r="B44129" s="3" t="str">
        <f>HYPERLINK("https://www.773grp.com/manufacturer/onsemi?pageNo=23", "ON Semiconductor")</f>
        <v>ON Semiconductor</v>
      </c>
      <c r="C44129" s="6">
        <v>3040</v>
      </c>
      <c r="D44129" s="7">
        <v>0</v>
      </c>
    </row>
    <row r="44130" spans="1:5" x14ac:dyDescent="0.25">
      <c r="A44130" t="str">
        <f>HYPERLINK("https://www.773grp.com/globalSearch/HM4-6504B-9/page-1", "HM4-6504B-9")</f>
        <v>HM4-6504B-9</v>
      </c>
      <c r="B44130" s="3" t="str">
        <f>HYPERLINK("https://www.773grp.com/manufacturer/onsemi?pageNo=24", "ON Semiconductor")</f>
        <v>ON Semiconductor</v>
      </c>
      <c r="C44130" s="6">
        <v>298</v>
      </c>
      <c r="D44130" s="7">
        <v>0</v>
      </c>
    </row>
    <row r="44131" spans="1:5" x14ac:dyDescent="0.25">
      <c r="A44131" t="str">
        <f>HYPERLINK("https://www.773grp.com/globalSearch/ICL7182CPL/page-1", "ICL7182CPL")</f>
        <v>ICL7182CPL</v>
      </c>
      <c r="B44131" s="3" t="str">
        <f>HYPERLINK("https://www.773grp.com/manufacturer/onsemi?pageNo=25", "ON Semiconductor")</f>
        <v>ON Semiconductor</v>
      </c>
      <c r="C44131" s="6">
        <v>684</v>
      </c>
      <c r="D44131" s="7">
        <v>0</v>
      </c>
    </row>
    <row r="44132" spans="1:5" x14ac:dyDescent="0.25">
      <c r="A44132" t="str">
        <f>HYPERLINK("https://www.773grp.com/globalSearch/ICL7667MJA/page-1", "ICL7667MJA")</f>
        <v>ICL7667MJA</v>
      </c>
      <c r="B44132" s="3" t="str">
        <f>HYPERLINK("https://www.773grp.com/manufacturer/onsemi?pageNo=26", "ON Semiconductor")</f>
        <v>ON Semiconductor</v>
      </c>
      <c r="C44132" s="6">
        <v>3258</v>
      </c>
      <c r="D44132" s="7">
        <v>0</v>
      </c>
      <c r="E44132" t="s">
        <v>16</v>
      </c>
    </row>
    <row r="44133" spans="1:5" x14ac:dyDescent="0.25">
      <c r="A44133" t="str">
        <f>HYPERLINK("https://www.773grp.com/globalSearch/ICL7667MJA-883B/page-1", "ICL7667MJA-883B")</f>
        <v>ICL7667MJA-883B</v>
      </c>
      <c r="B44133" s="3" t="str">
        <f>HYPERLINK("https://www.773grp.com/manufacturer/onsemi?pageNo=27", "ON Semiconductor")</f>
        <v>ON Semiconductor</v>
      </c>
      <c r="C44133" s="6">
        <v>5491</v>
      </c>
      <c r="D44133" s="7">
        <v>0</v>
      </c>
      <c r="E44133" t="s">
        <v>16</v>
      </c>
    </row>
    <row r="44134" spans="1:5" x14ac:dyDescent="0.25">
      <c r="A44134" t="str">
        <f>HYPERLINK("https://www.773grp.com/globalSearch/ICM7170IBG/page-1", "ICM7170IBG")</f>
        <v>ICM7170IBG</v>
      </c>
      <c r="B44134" s="3" t="str">
        <f>HYPERLINK("https://www.773grp.com/manufacturer/onsemi?pageNo=28", "ON Semiconductor")</f>
        <v>ON Semiconductor</v>
      </c>
      <c r="C44134" s="6">
        <v>244</v>
      </c>
      <c r="D44134" s="7">
        <v>0</v>
      </c>
    </row>
    <row r="44135" spans="1:5" x14ac:dyDescent="0.25">
      <c r="A44135" t="str">
        <f>HYPERLINK("https://www.773grp.com/globalSearch/ICM7207IPD  UT/page-1", "ICM7207IPD  UT")</f>
        <v>ICM7207IPD  UT</v>
      </c>
      <c r="B44135" s="3" t="str">
        <f>HYPERLINK("https://www.773grp.com/manufacturer/onsemi?pageNo=29", "ON Semiconductor")</f>
        <v>ON Semiconductor</v>
      </c>
      <c r="C44135" s="6">
        <v>5093</v>
      </c>
      <c r="D44135" s="7">
        <v>0</v>
      </c>
    </row>
    <row r="44136" spans="1:5" x14ac:dyDescent="0.25">
      <c r="A44136" t="str">
        <f>HYPERLINK("https://www.773grp.com/globalSearch/ICM7211AIM44/page-1", "ICM7211AIM44")</f>
        <v>ICM7211AIM44</v>
      </c>
      <c r="B44136" s="3" t="str">
        <f>HYPERLINK("https://www.773grp.com/manufacturer/onsemi?pageNo=30", "ON Semiconductor")</f>
        <v>ON Semiconductor</v>
      </c>
      <c r="C44136" s="6">
        <v>1228</v>
      </c>
      <c r="D44136" s="7">
        <v>0</v>
      </c>
      <c r="E44136" t="s">
        <v>10</v>
      </c>
    </row>
    <row r="44137" spans="1:5" x14ac:dyDescent="0.25">
      <c r="A44137" t="str">
        <f>HYPERLINK("https://www.773grp.com/globalSearch/IH5012MDE-B/page-1", "IH5012MDE-B")</f>
        <v>IH5012MDE-B</v>
      </c>
      <c r="B44137" s="3" t="str">
        <f>HYPERLINK("https://www.773grp.com/manufacturer/onsemi?pageNo=31", "ON Semiconductor")</f>
        <v>ON Semiconductor</v>
      </c>
      <c r="C44137" s="6">
        <v>13</v>
      </c>
      <c r="D44137" s="7">
        <v>0</v>
      </c>
    </row>
    <row r="44138" spans="1:5" x14ac:dyDescent="0.25">
      <c r="A44138" t="str">
        <f>HYPERLINK("https://www.773grp.com/globalSearch/R1043/page-1", "R1043")</f>
        <v>R1043</v>
      </c>
      <c r="B44138" s="3" t="str">
        <f>HYPERLINK("https://www.773grp.com/manufacturer/onsemi?pageNo=32", "ON Semiconductor")</f>
        <v>ON Semiconductor</v>
      </c>
      <c r="C44138" s="6">
        <v>13</v>
      </c>
      <c r="D44138" s="7">
        <v>0</v>
      </c>
    </row>
    <row r="44139" spans="1:5" x14ac:dyDescent="0.25">
      <c r="A44139" t="str">
        <f>HYPERLINK("https://www.773grp.com/globalSearch/R1047/page-1", "R1047")</f>
        <v>R1047</v>
      </c>
      <c r="B44139" s="3" t="str">
        <f>HYPERLINK("https://www.773grp.com/manufacturer/onsemi?pageNo=33", "ON Semiconductor")</f>
        <v>ON Semiconductor</v>
      </c>
      <c r="C44139" s="6">
        <v>676</v>
      </c>
      <c r="D44139" s="7">
        <v>0</v>
      </c>
    </row>
    <row r="44140" spans="1:5" x14ac:dyDescent="0.25">
      <c r="A44140" t="str">
        <f>HYPERLINK("https://www.773grp.com/globalSearch/R1060/page-1", "R1060")</f>
        <v>R1060</v>
      </c>
      <c r="B44140" s="3" t="str">
        <f>HYPERLINK("https://www.773grp.com/manufacturer/onsemi?pageNo=34", "ON Semiconductor")</f>
        <v>ON Semiconductor</v>
      </c>
      <c r="C44140" s="6">
        <v>43</v>
      </c>
      <c r="D44140" s="7">
        <v>0</v>
      </c>
    </row>
    <row r="44141" spans="1:5" x14ac:dyDescent="0.25">
      <c r="A44141" t="str">
        <f>HYPERLINK("https://www.773grp.com/globalSearch/R1082/page-1", "R1082")</f>
        <v>R1082</v>
      </c>
      <c r="B44141" s="3" t="str">
        <f>HYPERLINK("https://www.773grp.com/manufacturer/onsemi?pageNo=35", "ON Semiconductor")</f>
        <v>ON Semiconductor</v>
      </c>
      <c r="C44141" s="6">
        <v>44</v>
      </c>
      <c r="D44141" s="7">
        <v>0</v>
      </c>
    </row>
    <row r="44142" spans="1:5" x14ac:dyDescent="0.25">
      <c r="A44142" t="str">
        <f>HYPERLINK("https://www.773grp.com/globalSearch/R1125/page-1", "R1125")</f>
        <v>R1125</v>
      </c>
      <c r="B44142" s="3" t="str">
        <f>HYPERLINK("https://www.773grp.com/manufacturer/onsemi?pageNo=36", "ON Semiconductor")</f>
        <v>ON Semiconductor</v>
      </c>
      <c r="C44142" s="6">
        <v>143</v>
      </c>
      <c r="D44142" s="7">
        <v>0</v>
      </c>
    </row>
    <row r="44143" spans="1:5" x14ac:dyDescent="0.25">
      <c r="A44143" t="str">
        <f>HYPERLINK("https://www.773grp.com/globalSearch/R1174 (616610-901) (CA3083)/page-1", "R1174 (616610-901) (CA3083)")</f>
        <v>R1174 (616610-901) (CA3083)</v>
      </c>
      <c r="B44143" s="3" t="str">
        <f>HYPERLINK("https://www.773grp.com/manufacturer/onsemi?pageNo=37", "ON Semiconductor")</f>
        <v>ON Semiconductor</v>
      </c>
      <c r="C44143" s="6">
        <v>183</v>
      </c>
      <c r="D44143" s="7">
        <v>0</v>
      </c>
    </row>
    <row r="44144" spans="1:5" x14ac:dyDescent="0.25">
      <c r="A44144" t="str">
        <f>HYPERLINK("https://www.773grp.com/globalSearch/R1232/page-1", "R1232")</f>
        <v>R1232</v>
      </c>
      <c r="B44144" s="3" t="str">
        <f>HYPERLINK("https://www.773grp.com/manufacturer/onsemi?pageNo=38", "ON Semiconductor")</f>
        <v>ON Semiconductor</v>
      </c>
      <c r="C44144" s="6">
        <v>109</v>
      </c>
      <c r="D44144" s="7">
        <v>0</v>
      </c>
    </row>
    <row r="44145" spans="1:5" x14ac:dyDescent="0.25">
      <c r="A44145" t="str">
        <f>HYPERLINK("https://www.773grp.com/globalSearch/R1232  UT/page-1", "R1232  UT")</f>
        <v>R1232  UT</v>
      </c>
      <c r="B44145" s="3" t="str">
        <f>HYPERLINK("https://www.773grp.com/manufacturer/onsemi?pageNo=39", "ON Semiconductor")</f>
        <v>ON Semiconductor</v>
      </c>
      <c r="C44145" s="6">
        <v>180</v>
      </c>
      <c r="D44145" s="7">
        <v>0</v>
      </c>
    </row>
    <row r="44146" spans="1:5" x14ac:dyDescent="0.25">
      <c r="A44146" t="str">
        <f>HYPERLINK("https://www.773grp.com/globalSearch/R1371/page-1", "R1371")</f>
        <v>R1371</v>
      </c>
      <c r="B44146" s="3" t="str">
        <f>HYPERLINK("https://www.773grp.com/manufacturer/onsemi?pageNo=40", "ON Semiconductor")</f>
        <v>ON Semiconductor</v>
      </c>
      <c r="C44146" s="6">
        <v>216</v>
      </c>
      <c r="D44146" s="7">
        <v>0</v>
      </c>
    </row>
    <row r="44147" spans="1:5" x14ac:dyDescent="0.25">
      <c r="A44147" t="str">
        <f>HYPERLINK("https://www.773grp.com/globalSearch/R1612/page-1", "R1612")</f>
        <v>R1612</v>
      </c>
      <c r="B44147" s="3" t="str">
        <f>HYPERLINK("https://www.773grp.com/manufacturer/onsemi?pageNo=41", "ON Semiconductor")</f>
        <v>ON Semiconductor</v>
      </c>
      <c r="C44147" s="6">
        <v>4</v>
      </c>
      <c r="D44147" s="7">
        <v>0</v>
      </c>
    </row>
    <row r="44148" spans="1:5" x14ac:dyDescent="0.25">
      <c r="A44148" t="str">
        <f>HYPERLINK("https://www.773grp.com/globalSearch/51063-0002/page-1", "51063-0002")</f>
        <v>51063-0002</v>
      </c>
      <c r="B44148" s="3" t="str">
        <f>HYPERLINK("https://www.773grp.com/manufacturer/onsemi?pageNo=42", "ON Semiconductor")</f>
        <v>ON Semiconductor</v>
      </c>
      <c r="C44148" s="6">
        <v>195</v>
      </c>
      <c r="D44148" s="7">
        <v>0</v>
      </c>
    </row>
    <row r="44149" spans="1:5" x14ac:dyDescent="0.25">
      <c r="A44149" t="str">
        <f>HYPERLINK("https://www.773grp.com/globalSearch/R1024/page-1", "R1024")</f>
        <v>R1024</v>
      </c>
      <c r="B44149" s="3" t="str">
        <f>HYPERLINK("https://www.773grp.com/manufacturer/onsemi?pageNo=43", "ON Semiconductor")</f>
        <v>ON Semiconductor</v>
      </c>
      <c r="C44149" s="6">
        <v>241</v>
      </c>
      <c r="D44149" s="7">
        <v>0</v>
      </c>
    </row>
    <row r="44150" spans="1:5" x14ac:dyDescent="0.25">
      <c r="A44150" t="str">
        <f>HYPERLINK("https://www.773grp.com/globalSearch/87C51-BUA/page-1", "87C51-BUA")</f>
        <v>87C51-BUA</v>
      </c>
      <c r="B44150" s="3" t="str">
        <f>HYPERLINK("https://www.773grp.com/manufacturer/onsemi?pageNo=44", "ON Semiconductor")</f>
        <v>ON Semiconductor</v>
      </c>
      <c r="C44150" s="6">
        <v>1</v>
      </c>
      <c r="D44150" s="7">
        <v>0</v>
      </c>
      <c r="E44150" t="s">
        <v>52</v>
      </c>
    </row>
    <row r="44151" spans="1:5" x14ac:dyDescent="0.25">
      <c r="A44151" t="str">
        <f>HYPERLINK("https://www.773grp.com/globalSearch/87C51-16-BUA/page-1", "87C51-16-BUA")</f>
        <v>87C51-16-BUA</v>
      </c>
      <c r="B44151" s="3" t="str">
        <f>HYPERLINK("https://www.773grp.com/manufacturer/onsemi?pageNo=45", "ON Semiconductor")</f>
        <v>ON Semiconductor</v>
      </c>
      <c r="C44151" s="6">
        <v>1</v>
      </c>
      <c r="D44151" s="7">
        <v>0</v>
      </c>
      <c r="E44151" t="s">
        <v>52</v>
      </c>
    </row>
    <row r="44152" spans="1:5" x14ac:dyDescent="0.25">
      <c r="A44152" t="str">
        <f>HYPERLINK("https://www.773grp.com/globalSearch/87C51-16-BUA  UM/page-1", "87C51-16-BUA  UM")</f>
        <v>87C51-16-BUA  UM</v>
      </c>
      <c r="B44152" s="3" t="str">
        <f>HYPERLINK("https://www.773grp.com/manufacturer/onsemi?pageNo=46", "ON Semiconductor")</f>
        <v>ON Semiconductor</v>
      </c>
      <c r="C44152" s="6">
        <v>1334</v>
      </c>
      <c r="D44152" s="7">
        <v>0</v>
      </c>
    </row>
    <row r="44153" spans="1:5" x14ac:dyDescent="0.25">
      <c r="A44153" t="str">
        <f>HYPERLINK("https://www.773grp.com/globalSearch/A80C186-10 UT/page-1", "A80C186-10 UT")</f>
        <v>A80C186-10 UT</v>
      </c>
      <c r="B44153" s="3" t="str">
        <f>HYPERLINK("https://www.773grp.com/manufacturer/onsemi?pageNo=47", "ON Semiconductor")</f>
        <v>ON Semiconductor</v>
      </c>
      <c r="C44153" s="6">
        <v>472</v>
      </c>
      <c r="D44153" s="7">
        <v>0</v>
      </c>
    </row>
    <row r="44154" spans="1:5" x14ac:dyDescent="0.25">
      <c r="A44154" t="str">
        <f>HYPERLINK("https://www.773grp.com/globalSearch/A82370-16/page-1", "A82370-16")</f>
        <v>A82370-16</v>
      </c>
      <c r="B44154" s="3" t="str">
        <f>HYPERLINK("https://www.773grp.com/manufacturer/onsemi?pageNo=48", "ON Semiconductor")</f>
        <v>ON Semiconductor</v>
      </c>
      <c r="C44154" s="6">
        <v>200</v>
      </c>
      <c r="D44154" s="7">
        <v>0</v>
      </c>
      <c r="E44154" t="s">
        <v>72</v>
      </c>
    </row>
    <row r="44155" spans="1:5" x14ac:dyDescent="0.25">
      <c r="A44155" t="str">
        <f>HYPERLINK("https://www.773grp.com/globalSearch/AN87C196KDF8/page-1", "AN87C196KDF8")</f>
        <v>AN87C196KDF8</v>
      </c>
      <c r="B44155" s="3" t="str">
        <f>HYPERLINK("https://www.773grp.com/manufacturer/onsemi?pageNo=49", "ON Semiconductor")</f>
        <v>ON Semiconductor</v>
      </c>
      <c r="C44155" s="6">
        <v>390</v>
      </c>
      <c r="D44155" s="7">
        <v>0</v>
      </c>
    </row>
    <row r="44156" spans="1:5" x14ac:dyDescent="0.25">
      <c r="A44156" t="str">
        <f>HYPERLINK("https://www.773grp.com/globalSearch/C2732A-XX  UT-UM/page-1", "C2732A-XX  UT-UM")</f>
        <v>C2732A-XX  UT-UM</v>
      </c>
      <c r="B44156" s="3" t="str">
        <f>HYPERLINK("https://www.773grp.com/manufacturer/onsemi?pageNo=50", "ON Semiconductor")</f>
        <v>ON Semiconductor</v>
      </c>
      <c r="C44156" s="6">
        <v>597</v>
      </c>
      <c r="D44156" s="7">
        <v>0</v>
      </c>
    </row>
    <row r="44157" spans="1:5" x14ac:dyDescent="0.25">
      <c r="A44157" t="str">
        <f>HYPERLINK("https://www.773grp.com/globalSearch/D2732A-2/page-1", "D2732A-2")</f>
        <v>D2732A-2</v>
      </c>
      <c r="B44157" s="3" t="str">
        <f>HYPERLINK("https://www.773grp.com/manufacturer/onsemi?pageNo=51", "ON Semiconductor")</f>
        <v>ON Semiconductor</v>
      </c>
      <c r="C44157" s="6">
        <v>277</v>
      </c>
      <c r="D44157" s="7">
        <v>0</v>
      </c>
    </row>
    <row r="44158" spans="1:5" x14ac:dyDescent="0.25">
      <c r="A44158" t="str">
        <f>HYPERLINK("https://www.773grp.com/globalSearch/D2732A-2  UM/page-1", "D2732A-2  UM")</f>
        <v>D2732A-2  UM</v>
      </c>
      <c r="B44158" s="3" t="str">
        <f>HYPERLINK("https://www.773grp.com/manufacturer/onsemi?pageNo=52", "ON Semiconductor")</f>
        <v>ON Semiconductor</v>
      </c>
      <c r="C44158" s="6">
        <v>1283</v>
      </c>
      <c r="D44158" s="7">
        <v>0</v>
      </c>
    </row>
    <row r="44159" spans="1:5" x14ac:dyDescent="0.25">
      <c r="A44159" t="str">
        <f>HYPERLINK("https://www.773grp.com/globalSearch/D2732A-3  UM/page-1", "D2732A-3  UM")</f>
        <v>D2732A-3  UM</v>
      </c>
      <c r="B44159" s="3" t="str">
        <f>HYPERLINK("https://www.773grp.com/manufacturer/onsemi?pageNo=53", "ON Semiconductor")</f>
        <v>ON Semiconductor</v>
      </c>
      <c r="C44159" s="6">
        <v>563</v>
      </c>
      <c r="D44159" s="7">
        <v>0</v>
      </c>
    </row>
    <row r="44160" spans="1:5" x14ac:dyDescent="0.25">
      <c r="A44160" t="str">
        <f>HYPERLINK("https://www.773grp.com/globalSearch/D8155H/page-1", "D8155H")</f>
        <v>D8155H</v>
      </c>
      <c r="B44160" s="3" t="str">
        <f>HYPERLINK("https://www.773grp.com/manufacturer/onsemi?pageNo=54", "ON Semiconductor")</f>
        <v>ON Semiconductor</v>
      </c>
      <c r="C44160" s="6">
        <v>604</v>
      </c>
      <c r="D44160" s="7">
        <v>0</v>
      </c>
      <c r="E44160" t="s">
        <v>90</v>
      </c>
    </row>
    <row r="44161" spans="1:5" x14ac:dyDescent="0.25">
      <c r="A44161" t="str">
        <f>HYPERLINK("https://www.773grp.com/globalSearch/D82530-6/page-1", "D82530-6")</f>
        <v>D82530-6</v>
      </c>
      <c r="B44161" s="3" t="str">
        <f>HYPERLINK("https://www.773grp.com/manufacturer/onsemi?pageNo=55", "ON Semiconductor")</f>
        <v>ON Semiconductor</v>
      </c>
      <c r="C44161" s="6">
        <v>1399</v>
      </c>
      <c r="D44161" s="7">
        <v>0</v>
      </c>
      <c r="E44161" t="s">
        <v>71</v>
      </c>
    </row>
    <row r="44162" spans="1:5" x14ac:dyDescent="0.25">
      <c r="A44162" t="str">
        <f>HYPERLINK("https://www.773grp.com/globalSearch/D82C284-12  UM/page-1", "D82C284-12  UM")</f>
        <v>D82C284-12  UM</v>
      </c>
      <c r="B44162" s="3" t="str">
        <f>HYPERLINK("https://www.773grp.com/manufacturer/onsemi?pageNo=56", "ON Semiconductor")</f>
        <v>ON Semiconductor</v>
      </c>
      <c r="C44162" s="6">
        <v>685</v>
      </c>
      <c r="D44162" s="7">
        <v>0</v>
      </c>
    </row>
    <row r="44163" spans="1:5" x14ac:dyDescent="0.25">
      <c r="A44163" t="str">
        <f>HYPERLINK("https://www.773grp.com/globalSearch/D82C288-12/page-1", "D82C288-12")</f>
        <v>D82C288-12</v>
      </c>
      <c r="B44163" s="3" t="str">
        <f>HYPERLINK("https://www.773grp.com/manufacturer/onsemi?pageNo=57", "ON Semiconductor")</f>
        <v>ON Semiconductor</v>
      </c>
      <c r="C44163" s="6">
        <v>1014</v>
      </c>
      <c r="D44163" s="7">
        <v>0</v>
      </c>
      <c r="E44163" t="s">
        <v>91</v>
      </c>
    </row>
    <row r="44164" spans="1:5" x14ac:dyDescent="0.25">
      <c r="A44164" t="str">
        <f>HYPERLINK("https://www.773grp.com/globalSearch/D82C288-8/page-1", "D82C288-8")</f>
        <v>D82C288-8</v>
      </c>
      <c r="B44164" s="3" t="str">
        <f>HYPERLINK("https://www.773grp.com/manufacturer/onsemi?pageNo=58", "ON Semiconductor")</f>
        <v>ON Semiconductor</v>
      </c>
      <c r="C44164" s="6">
        <v>2529</v>
      </c>
      <c r="D44164" s="7">
        <v>0</v>
      </c>
      <c r="E44164" t="s">
        <v>91</v>
      </c>
    </row>
    <row r="44165" spans="1:5" x14ac:dyDescent="0.25">
      <c r="A44165" t="str">
        <f>HYPERLINK("https://www.773grp.com/globalSearch/D8749H/page-1", "D8749H")</f>
        <v>D8749H</v>
      </c>
      <c r="B44165" s="3" t="str">
        <f>HYPERLINK("https://www.773grp.com/manufacturer/onsemi?pageNo=59", "ON Semiconductor")</f>
        <v>ON Semiconductor</v>
      </c>
      <c r="C44165" s="6">
        <v>37</v>
      </c>
      <c r="D44165" s="7">
        <v>0</v>
      </c>
      <c r="E44165" t="s">
        <v>52</v>
      </c>
    </row>
    <row r="44166" spans="1:5" x14ac:dyDescent="0.25">
      <c r="A44166" t="str">
        <f>HYPERLINK("https://www.773grp.com/globalSearch/D8751H  UT/page-1", "D8751H  UT")</f>
        <v>D8751H  UT</v>
      </c>
      <c r="B44166" s="3" t="str">
        <f>HYPERLINK("https://www.773grp.com/manufacturer/onsemi?pageNo=60", "ON Semiconductor")</f>
        <v>ON Semiconductor</v>
      </c>
      <c r="C44166" s="6">
        <v>823</v>
      </c>
      <c r="D44166" s="7">
        <v>0</v>
      </c>
    </row>
    <row r="44167" spans="1:5" x14ac:dyDescent="0.25">
      <c r="A44167" t="str">
        <f>HYPERLINK("https://www.773grp.com/globalSearch/EN80C196NT-G  UT/page-1", "EN80C196NT-G  UT")</f>
        <v>EN80C196NT-G  UT</v>
      </c>
      <c r="B44167" s="3" t="str">
        <f>HYPERLINK("https://www.773grp.com/manufacturer/onsemi?pageNo=61", "ON Semiconductor")</f>
        <v>ON Semiconductor</v>
      </c>
      <c r="C44167" s="6">
        <v>1122</v>
      </c>
      <c r="D44167" s="7">
        <v>0</v>
      </c>
    </row>
    <row r="44168" spans="1:5" x14ac:dyDescent="0.25">
      <c r="A44168" t="str">
        <f>HYPERLINK("https://www.773grp.com/globalSearch/LD8748H/page-1", "LD8748H")</f>
        <v>LD8748H</v>
      </c>
      <c r="B44168" s="3" t="str">
        <f>HYPERLINK("https://www.773grp.com/manufacturer/onsemi?pageNo=62", "ON Semiconductor")</f>
        <v>ON Semiconductor</v>
      </c>
      <c r="C44168" s="6">
        <v>85</v>
      </c>
      <c r="D44168" s="7">
        <v>0</v>
      </c>
    </row>
    <row r="44169" spans="1:5" x14ac:dyDescent="0.25">
      <c r="A44169" t="str">
        <f>HYPERLINK("https://www.773grp.com/globalSearch/LD87C51FA-1/page-1", "LD87C51FA-1")</f>
        <v>LD87C51FA-1</v>
      </c>
      <c r="B44169" s="3" t="str">
        <f>HYPERLINK("https://www.773grp.com/manufacturer/onsemi?pageNo=63", "ON Semiconductor")</f>
        <v>ON Semiconductor</v>
      </c>
      <c r="C44169" s="6">
        <v>50</v>
      </c>
      <c r="D44169" s="7">
        <v>0</v>
      </c>
    </row>
    <row r="44170" spans="1:5" x14ac:dyDescent="0.25">
      <c r="A44170" t="str">
        <f>HYPERLINK("https://www.773grp.com/globalSearch/LD87C51FA-1  UM/page-1", "LD87C51FA-1  UM")</f>
        <v>LD87C51FA-1  UM</v>
      </c>
      <c r="B44170" s="3" t="str">
        <f>HYPERLINK("https://www.773grp.com/manufacturer/onsemi?pageNo=64", "ON Semiconductor")</f>
        <v>ON Semiconductor</v>
      </c>
      <c r="C44170" s="6">
        <v>1135</v>
      </c>
      <c r="D44170" s="7">
        <v>0</v>
      </c>
    </row>
    <row r="44171" spans="1:5" x14ac:dyDescent="0.25">
      <c r="A44171" t="str">
        <f>HYPERLINK("https://www.773grp.com/globalSearch/LD87C51FC-1  UM/page-1", "LD87C51FC-1  UM")</f>
        <v>LD87C51FC-1  UM</v>
      </c>
      <c r="B44171" s="3" t="str">
        <f>HYPERLINK("https://www.773grp.com/manufacturer/onsemi?pageNo=65", "ON Semiconductor")</f>
        <v>ON Semiconductor</v>
      </c>
      <c r="C44171" s="6">
        <v>559</v>
      </c>
      <c r="D44171" s="7">
        <v>0</v>
      </c>
    </row>
    <row r="44172" spans="1:5" x14ac:dyDescent="0.25">
      <c r="A44172" t="str">
        <f>HYPERLINK("https://www.773grp.com/globalSearch/MC27128A-25-BYA/page-1", "MC27128A-25-BYA")</f>
        <v>MC27128A-25-BYA</v>
      </c>
      <c r="B44172" s="3" t="str">
        <f>HYPERLINK("https://www.773grp.com/manufacturer/onsemi?pageNo=66", "ON Semiconductor")</f>
        <v>ON Semiconductor</v>
      </c>
      <c r="C44172" s="6">
        <v>50</v>
      </c>
      <c r="D44172" s="7">
        <v>0</v>
      </c>
    </row>
    <row r="44173" spans="1:5" x14ac:dyDescent="0.25">
      <c r="A44173" t="str">
        <f>HYPERLINK("https://www.773grp.com/globalSearch/MC2732A-25-BJA/page-1", "MC2732A-25-BJA")</f>
        <v>MC2732A-25-BJA</v>
      </c>
      <c r="B44173" s="3" t="str">
        <f>HYPERLINK("https://www.773grp.com/manufacturer/onsemi?pageNo=67", "ON Semiconductor")</f>
        <v>ON Semiconductor</v>
      </c>
      <c r="C44173" s="6">
        <v>3</v>
      </c>
      <c r="D44173" s="7">
        <v>0</v>
      </c>
    </row>
    <row r="44174" spans="1:5" x14ac:dyDescent="0.25">
      <c r="A44174" t="str">
        <f>HYPERLINK("https://www.773grp.com/globalSearch/MC2764A-25-B UF/page-1", "MC2764A-25-B UF")</f>
        <v>MC2764A-25-B UF</v>
      </c>
      <c r="B44174" s="3" t="str">
        <f>HYPERLINK("https://www.773grp.com/manufacturer/onsemi?pageNo=68", "ON Semiconductor")</f>
        <v>ON Semiconductor</v>
      </c>
      <c r="C44174" s="6">
        <v>555</v>
      </c>
      <c r="D44174" s="7">
        <v>0</v>
      </c>
    </row>
    <row r="44175" spans="1:5" x14ac:dyDescent="0.25">
      <c r="A44175" t="str">
        <f>HYPERLINK("https://www.773grp.com/globalSearch/MC27C64-20  UF/page-1", "MC27C64-20  UF")</f>
        <v>MC27C64-20  UF</v>
      </c>
      <c r="B44175" s="3" t="str">
        <f>HYPERLINK("https://www.773grp.com/manufacturer/onsemi?pageNo=69", "ON Semiconductor")</f>
        <v>ON Semiconductor</v>
      </c>
      <c r="C44175" s="6">
        <v>354</v>
      </c>
      <c r="D44175" s="7">
        <v>0</v>
      </c>
    </row>
    <row r="44176" spans="1:5" x14ac:dyDescent="0.25">
      <c r="A44176" t="str">
        <f>HYPERLINK("https://www.773grp.com/globalSearch/MC80C187-10/page-1", "MC80C187-10")</f>
        <v>MC80C187-10</v>
      </c>
      <c r="B44176" s="3" t="str">
        <f>HYPERLINK("https://www.773grp.com/manufacturer/onsemi?pageNo=70", "ON Semiconductor")</f>
        <v>ON Semiconductor</v>
      </c>
      <c r="C44176" s="6">
        <v>67</v>
      </c>
      <c r="D44176" s="7">
        <v>0</v>
      </c>
    </row>
    <row r="44177" spans="1:4" x14ac:dyDescent="0.25">
      <c r="A44177" t="str">
        <f>HYPERLINK("https://www.773grp.com/globalSearch/MC80C31BH/page-1", "MC80C31BH")</f>
        <v>MC80C31BH</v>
      </c>
      <c r="B44177" s="3" t="str">
        <f>HYPERLINK("https://www.773grp.com/manufacturer/onsemi?pageNo=71", "ON Semiconductor")</f>
        <v>ON Semiconductor</v>
      </c>
      <c r="C44177" s="6">
        <v>190</v>
      </c>
      <c r="D44177" s="7">
        <v>0</v>
      </c>
    </row>
    <row r="44178" spans="1:4" x14ac:dyDescent="0.25">
      <c r="A44178" t="str">
        <f>HYPERLINK("https://www.773grp.com/globalSearch/MC87C51FCZ-B LT/page-1", "MC87C51FCZ-B LT")</f>
        <v>MC87C51FCZ-B LT</v>
      </c>
      <c r="B44178" s="3" t="str">
        <f>HYPERLINK("https://www.773grp.com/manufacturer/onsemi?pageNo=72", "ON Semiconductor")</f>
        <v>ON Semiconductor</v>
      </c>
      <c r="C44178" s="6">
        <v>331</v>
      </c>
      <c r="D44178" s="7">
        <v>0</v>
      </c>
    </row>
    <row r="44179" spans="1:4" x14ac:dyDescent="0.25">
      <c r="A44179" t="str">
        <f>HYPERLINK("https://www.773grp.com/globalSearch/MD2114A-5/page-1", "MD2114A-5")</f>
        <v>MD2114A-5</v>
      </c>
      <c r="B44179" s="3" t="str">
        <f>HYPERLINK("https://www.773grp.com/manufacturer/onsemi?pageNo=73", "ON Semiconductor")</f>
        <v>ON Semiconductor</v>
      </c>
      <c r="C44179" s="6">
        <v>784</v>
      </c>
      <c r="D44179" s="7">
        <v>0</v>
      </c>
    </row>
    <row r="44180" spans="1:4" x14ac:dyDescent="0.25">
      <c r="A44180" t="str">
        <f>HYPERLINK("https://www.773grp.com/globalSearch/MD2114A-5-B/page-1", "MD2114A-5-B")</f>
        <v>MD2114A-5-B</v>
      </c>
      <c r="B44180" s="3" t="str">
        <f>HYPERLINK("https://www.773grp.com/manufacturer/onsemi?pageNo=74", "ON Semiconductor")</f>
        <v>ON Semiconductor</v>
      </c>
      <c r="C44180" s="6">
        <v>6</v>
      </c>
      <c r="D44180" s="7">
        <v>0</v>
      </c>
    </row>
    <row r="44181" spans="1:4" x14ac:dyDescent="0.25">
      <c r="A44181" t="str">
        <f>HYPERLINK("https://www.773grp.com/globalSearch/MD27128A-15-B/page-1", "MD27128A-15-B")</f>
        <v>MD27128A-15-B</v>
      </c>
      <c r="B44181" s="3" t="str">
        <f>HYPERLINK("https://www.773grp.com/manufacturer/onsemi?pageNo=75", "ON Semiconductor")</f>
        <v>ON Semiconductor</v>
      </c>
      <c r="C44181" s="6">
        <v>335</v>
      </c>
      <c r="D44181" s="7">
        <v>0</v>
      </c>
    </row>
    <row r="44182" spans="1:4" x14ac:dyDescent="0.25">
      <c r="A44182" t="str">
        <f>HYPERLINK("https://www.773grp.com/globalSearch/MD27128A-15-B  UM/page-1", "MD27128A-15-B  UM")</f>
        <v>MD27128A-15-B  UM</v>
      </c>
      <c r="B44182" s="3" t="str">
        <f>HYPERLINK("https://www.773grp.com/manufacturer/onsemi?pageNo=76", "ON Semiconductor")</f>
        <v>ON Semiconductor</v>
      </c>
      <c r="C44182" s="6">
        <v>230</v>
      </c>
      <c r="D44182" s="7">
        <v>0</v>
      </c>
    </row>
    <row r="44183" spans="1:4" x14ac:dyDescent="0.25">
      <c r="A44183" t="str">
        <f>HYPERLINK("https://www.773grp.com/globalSearch/MD27128A-20-B/page-1", "MD27128A-20-B")</f>
        <v>MD27128A-20-B</v>
      </c>
      <c r="B44183" s="3" t="str">
        <f>HYPERLINK("https://www.773grp.com/manufacturer/onsemi?pageNo=77", "ON Semiconductor")</f>
        <v>ON Semiconductor</v>
      </c>
      <c r="C44183" s="6">
        <v>100</v>
      </c>
      <c r="D44183" s="7">
        <v>0</v>
      </c>
    </row>
    <row r="44184" spans="1:4" x14ac:dyDescent="0.25">
      <c r="A44184" t="str">
        <f>HYPERLINK("https://www.773grp.com/globalSearch/MD27128A-25-B/page-1", "MD27128A-25-B")</f>
        <v>MD27128A-25-B</v>
      </c>
      <c r="B44184" s="3" t="str">
        <f>HYPERLINK("https://www.773grp.com/manufacturer/onsemi?pageNo=78", "ON Semiconductor")</f>
        <v>ON Semiconductor</v>
      </c>
      <c r="C44184" s="6">
        <v>74</v>
      </c>
      <c r="D44184" s="7">
        <v>0</v>
      </c>
    </row>
    <row r="44185" spans="1:4" x14ac:dyDescent="0.25">
      <c r="A44185" t="str">
        <f>HYPERLINK("https://www.773grp.com/globalSearch/MD2716M-B/page-1", "MD2716M-B")</f>
        <v>MD2716M-B</v>
      </c>
      <c r="B44185" s="3" t="str">
        <f>HYPERLINK("https://www.773grp.com/manufacturer/onsemi?pageNo=79", "ON Semiconductor")</f>
        <v>ON Semiconductor</v>
      </c>
      <c r="C44185" s="6">
        <v>3796</v>
      </c>
      <c r="D44185" s="7">
        <v>0</v>
      </c>
    </row>
    <row r="44186" spans="1:4" x14ac:dyDescent="0.25">
      <c r="A44186" t="str">
        <f>HYPERLINK("https://www.773grp.com/globalSearch/MD2716M-B  UF/page-1", "MD2716M-B  UF")</f>
        <v>MD2716M-B  UF</v>
      </c>
      <c r="B44186" s="3" t="str">
        <f>HYPERLINK("https://www.773grp.com/manufacturer/onsemi?pageNo=80", "ON Semiconductor")</f>
        <v>ON Semiconductor</v>
      </c>
      <c r="C44186" s="6">
        <v>3300</v>
      </c>
      <c r="D44186" s="7">
        <v>0</v>
      </c>
    </row>
    <row r="44187" spans="1:4" x14ac:dyDescent="0.25">
      <c r="A44187" t="str">
        <f>HYPERLINK("https://www.773grp.com/globalSearch/MD2716M-B  UM/page-1", "MD2716M-B  UM")</f>
        <v>MD2716M-B  UM</v>
      </c>
      <c r="B44187" s="3" t="str">
        <f>HYPERLINK("https://www.773grp.com/manufacturer/onsemi?pageNo=81", "ON Semiconductor")</f>
        <v>ON Semiconductor</v>
      </c>
      <c r="C44187" s="6">
        <v>973</v>
      </c>
      <c r="D44187" s="7">
        <v>0</v>
      </c>
    </row>
    <row r="44188" spans="1:4" x14ac:dyDescent="0.25">
      <c r="A44188" t="str">
        <f>HYPERLINK("https://www.773grp.com/globalSearch/MD2732A-25-B  UF/page-1", "MD2732A-25-B  UF")</f>
        <v>MD2732A-25-B  UF</v>
      </c>
      <c r="B44188" s="3" t="str">
        <f>HYPERLINK("https://www.773grp.com/manufacturer/onsemi?pageNo=82", "ON Semiconductor")</f>
        <v>ON Semiconductor</v>
      </c>
      <c r="C44188" s="6">
        <v>10132</v>
      </c>
      <c r="D44188" s="7">
        <v>0</v>
      </c>
    </row>
    <row r="44189" spans="1:4" x14ac:dyDescent="0.25">
      <c r="A44189" t="str">
        <f>HYPERLINK("https://www.773grp.com/globalSearch/MD2732A-25-B  UM/page-1", "MD2732A-25-B  UM")</f>
        <v>MD2732A-25-B  UM</v>
      </c>
      <c r="B44189" s="3" t="str">
        <f>HYPERLINK("https://www.773grp.com/manufacturer/onsemi?pageNo=83", "ON Semiconductor")</f>
        <v>ON Semiconductor</v>
      </c>
      <c r="C44189" s="6">
        <v>1075</v>
      </c>
      <c r="D44189" s="7">
        <v>0</v>
      </c>
    </row>
    <row r="44190" spans="1:4" x14ac:dyDescent="0.25">
      <c r="A44190" t="str">
        <f>HYPERLINK("https://www.773grp.com/globalSearch/MD2732A-45-B  UM/page-1", "MD2732A-45-B  UM")</f>
        <v>MD2732A-45-B  UM</v>
      </c>
      <c r="B44190" s="3" t="str">
        <f>HYPERLINK("https://www.773grp.com/manufacturer/onsemi?pageNo=84", "ON Semiconductor")</f>
        <v>ON Semiconductor</v>
      </c>
      <c r="C44190" s="6">
        <v>14</v>
      </c>
      <c r="D44190" s="7">
        <v>0</v>
      </c>
    </row>
    <row r="44191" spans="1:4" x14ac:dyDescent="0.25">
      <c r="A44191" t="str">
        <f>HYPERLINK("https://www.773grp.com/globalSearch/MD2764A-25-B/page-1", "MD2764A-25-B")</f>
        <v>MD2764A-25-B</v>
      </c>
      <c r="B44191" s="3" t="str">
        <f>HYPERLINK("https://www.773grp.com/manufacturer/onsemi?pageNo=85", "ON Semiconductor")</f>
        <v>ON Semiconductor</v>
      </c>
      <c r="C44191" s="6">
        <v>50</v>
      </c>
      <c r="D44191" s="7">
        <v>0</v>
      </c>
    </row>
    <row r="44192" spans="1:4" x14ac:dyDescent="0.25">
      <c r="A44192" t="str">
        <f>HYPERLINK("https://www.773grp.com/globalSearch/MD27C256-12-B  UM/page-1", "MD27C256-12-B  UM")</f>
        <v>MD27C256-12-B  UM</v>
      </c>
      <c r="B44192" s="3" t="str">
        <f>HYPERLINK("https://www.773grp.com/manufacturer/onsemi?pageNo=86", "ON Semiconductor")</f>
        <v>ON Semiconductor</v>
      </c>
      <c r="C44192" s="6">
        <v>213</v>
      </c>
      <c r="D44192" s="7">
        <v>0</v>
      </c>
    </row>
    <row r="44193" spans="1:4" x14ac:dyDescent="0.25">
      <c r="A44193" t="str">
        <f>HYPERLINK("https://www.773grp.com/globalSearch/MD27C256-20-B/page-1", "MD27C256-20-B")</f>
        <v>MD27C256-20-B</v>
      </c>
      <c r="B44193" s="3" t="str">
        <f>HYPERLINK("https://www.773grp.com/manufacturer/onsemi?pageNo=87", "ON Semiconductor")</f>
        <v>ON Semiconductor</v>
      </c>
      <c r="C44193" s="6">
        <v>96</v>
      </c>
      <c r="D44193" s="7">
        <v>0</v>
      </c>
    </row>
    <row r="44194" spans="1:4" x14ac:dyDescent="0.25">
      <c r="A44194" t="str">
        <f>HYPERLINK("https://www.773grp.com/globalSearch/MD27C256-90-B  UM/page-1", "MD27C256-90-B  UM")</f>
        <v>MD27C256-90-B  UM</v>
      </c>
      <c r="B44194" s="3" t="str">
        <f>HYPERLINK("https://www.773grp.com/manufacturer/onsemi?pageNo=88", "ON Semiconductor")</f>
        <v>ON Semiconductor</v>
      </c>
      <c r="C44194" s="6">
        <v>588</v>
      </c>
      <c r="D44194" s="7">
        <v>0</v>
      </c>
    </row>
    <row r="44195" spans="1:4" x14ac:dyDescent="0.25">
      <c r="A44195" t="str">
        <f>HYPERLINK("https://www.773grp.com/globalSearch/MD27C64-15  UM/page-1", "MD27C64-15  UM")</f>
        <v>MD27C64-15  UM</v>
      </c>
      <c r="B44195" s="3" t="str">
        <f>HYPERLINK("https://www.773grp.com/manufacturer/onsemi?pageNo=89", "ON Semiconductor")</f>
        <v>ON Semiconductor</v>
      </c>
      <c r="C44195" s="6">
        <v>1173</v>
      </c>
      <c r="D44195" s="7">
        <v>0</v>
      </c>
    </row>
    <row r="44196" spans="1:4" x14ac:dyDescent="0.25">
      <c r="A44196" t="str">
        <f>HYPERLINK("https://www.773grp.com/globalSearch/MD27C64-15-B/page-1", "MD27C64-15-B")</f>
        <v>MD27C64-15-B</v>
      </c>
      <c r="B44196" s="3" t="str">
        <f>HYPERLINK("https://www.773grp.com/manufacturer/onsemi?pageNo=90", "ON Semiconductor")</f>
        <v>ON Semiconductor</v>
      </c>
      <c r="C44196" s="6">
        <v>83</v>
      </c>
      <c r="D44196" s="7">
        <v>0</v>
      </c>
    </row>
    <row r="44197" spans="1:4" x14ac:dyDescent="0.25">
      <c r="A44197" t="str">
        <f>HYPERLINK("https://www.773grp.com/globalSearch/MD27C64-15-B  UF/page-1", "MD27C64-15-B  UF")</f>
        <v>MD27C64-15-B  UF</v>
      </c>
      <c r="B44197" s="3" t="str">
        <f>HYPERLINK("https://www.773grp.com/manufacturer/onsemi?pageNo=91", "ON Semiconductor")</f>
        <v>ON Semiconductor</v>
      </c>
      <c r="C44197" s="6">
        <v>4055</v>
      </c>
      <c r="D44197" s="7">
        <v>0</v>
      </c>
    </row>
    <row r="44198" spans="1:4" x14ac:dyDescent="0.25">
      <c r="A44198" t="str">
        <f>HYPERLINK("https://www.773grp.com/globalSearch/MD27C64-15-B  UM/page-1", "MD27C64-15-B  UM")</f>
        <v>MD27C64-15-B  UM</v>
      </c>
      <c r="B44198" s="3" t="str">
        <f>HYPERLINK("https://www.773grp.com/manufacturer/onsemi?pageNo=92", "ON Semiconductor")</f>
        <v>ON Semiconductor</v>
      </c>
      <c r="C44198" s="6">
        <v>8192</v>
      </c>
      <c r="D44198" s="7">
        <v>0</v>
      </c>
    </row>
    <row r="44199" spans="1:4" x14ac:dyDescent="0.25">
      <c r="A44199" t="str">
        <f>HYPERLINK("https://www.773grp.com/globalSearch/MD27C64-20-B/page-1", "MD27C64-20-B")</f>
        <v>MD27C64-20-B</v>
      </c>
      <c r="B44199" s="3" t="str">
        <f>HYPERLINK("https://www.773grp.com/manufacturer/onsemi?pageNo=93", "ON Semiconductor")</f>
        <v>ON Semiconductor</v>
      </c>
      <c r="C44199" s="6">
        <v>17</v>
      </c>
      <c r="D44199" s="7">
        <v>0</v>
      </c>
    </row>
    <row r="44200" spans="1:4" x14ac:dyDescent="0.25">
      <c r="A44200" t="str">
        <f>HYPERLINK("https://www.773grp.com/globalSearch/MD27C64-20-B  UM/page-1", "MD27C64-20-B  UM")</f>
        <v>MD27C64-20-B  UM</v>
      </c>
      <c r="B44200" s="3" t="str">
        <f>HYPERLINK("https://www.773grp.com/manufacturer/onsemi?pageNo=94", "ON Semiconductor")</f>
        <v>ON Semiconductor</v>
      </c>
      <c r="C44200" s="6">
        <v>28</v>
      </c>
      <c r="D44200" s="7">
        <v>0</v>
      </c>
    </row>
    <row r="44201" spans="1:4" x14ac:dyDescent="0.25">
      <c r="A44201" t="str">
        <f>HYPERLINK("https://www.773grp.com/globalSearch/MD27C64-25-B/page-1", "MD27C64-25-B")</f>
        <v>MD27C64-25-B</v>
      </c>
      <c r="B44201" s="3" t="str">
        <f>HYPERLINK("https://www.773grp.com/manufacturer/onsemi?pageNo=95", "ON Semiconductor")</f>
        <v>ON Semiconductor</v>
      </c>
      <c r="C44201" s="6">
        <v>76</v>
      </c>
      <c r="D44201" s="7">
        <v>0</v>
      </c>
    </row>
    <row r="44202" spans="1:4" x14ac:dyDescent="0.25">
      <c r="A44202" t="str">
        <f>HYPERLINK("https://www.773grp.com/globalSearch/MD27C64-35-B/page-1", "MD27C64-35-B")</f>
        <v>MD27C64-35-B</v>
      </c>
      <c r="B44202" s="3" t="str">
        <f>HYPERLINK("https://www.773grp.com/manufacturer/onsemi?pageNo=96", "ON Semiconductor")</f>
        <v>ON Semiconductor</v>
      </c>
      <c r="C44202" s="6">
        <v>338</v>
      </c>
      <c r="D44202" s="7">
        <v>0</v>
      </c>
    </row>
    <row r="44203" spans="1:4" x14ac:dyDescent="0.25">
      <c r="A44203" t="str">
        <f>HYPERLINK("https://www.773grp.com/globalSearch/MD28F010-12-B/page-1", "MD28F010-12-B")</f>
        <v>MD28F010-12-B</v>
      </c>
      <c r="B44203" s="3" t="str">
        <f>HYPERLINK("https://www.773grp.com/manufacturer/onsemi?pageNo=97", "ON Semiconductor")</f>
        <v>ON Semiconductor</v>
      </c>
      <c r="C44203" s="6">
        <v>263</v>
      </c>
      <c r="D44203" s="7">
        <v>0</v>
      </c>
    </row>
    <row r="44204" spans="1:4" x14ac:dyDescent="0.25">
      <c r="A44204" t="str">
        <f>HYPERLINK("https://www.773grp.com/globalSearch/MD28F010-25-B/page-1", "MD28F010-25-B")</f>
        <v>MD28F010-25-B</v>
      </c>
      <c r="B44204" s="3" t="str">
        <f>HYPERLINK("https://www.773grp.com/manufacturer/onsemi?pageNo=98", "ON Semiconductor")</f>
        <v>ON Semiconductor</v>
      </c>
      <c r="C44204" s="6">
        <v>398</v>
      </c>
      <c r="D44204" s="7">
        <v>0</v>
      </c>
    </row>
    <row r="44205" spans="1:4" x14ac:dyDescent="0.25">
      <c r="A44205" t="str">
        <f>HYPERLINK("https://www.773grp.com/globalSearch/MD28F010-90 UM/page-1", "MD28F010-90 UM")</f>
        <v>MD28F010-90 UM</v>
      </c>
      <c r="B44205" s="3" t="str">
        <f>HYPERLINK("https://www.773grp.com/manufacturer/onsemi?pageNo=99", "ON Semiconductor")</f>
        <v>ON Semiconductor</v>
      </c>
      <c r="C44205" s="6">
        <v>1930</v>
      </c>
      <c r="D44205" s="7">
        <v>0</v>
      </c>
    </row>
    <row r="44206" spans="1:4" x14ac:dyDescent="0.25">
      <c r="A44206" t="str">
        <f>HYPERLINK("https://www.773grp.com/globalSearch/MD28F010-90-B/page-1", "MD28F010-90-B")</f>
        <v>MD28F010-90-B</v>
      </c>
      <c r="B44206" s="3" t="str">
        <f>HYPERLINK("https://www.773grp.com/manufacturer/onsemi?pageNo=100", "ON Semiconductor")</f>
        <v>ON Semiconductor</v>
      </c>
      <c r="C44206" s="6">
        <v>228</v>
      </c>
      <c r="D44206" s="7">
        <v>0</v>
      </c>
    </row>
    <row r="44207" spans="1:4" x14ac:dyDescent="0.25">
      <c r="A44207" t="str">
        <f>HYPERLINK("https://www.773grp.com/globalSearch/MD28F010-90-B UF/page-1", "MD28F010-90-B UF")</f>
        <v>MD28F010-90-B UF</v>
      </c>
      <c r="B44207" s="3" t="str">
        <f>HYPERLINK("https://www.773grp.com/manufacturer/onsemi?pageNo=101", "ON Semiconductor")</f>
        <v>ON Semiconductor</v>
      </c>
      <c r="C44207" s="6">
        <v>6989</v>
      </c>
      <c r="D44207" s="7">
        <v>0</v>
      </c>
    </row>
    <row r="44208" spans="1:4" x14ac:dyDescent="0.25">
      <c r="A44208" t="str">
        <f>HYPERLINK("https://www.773grp.com/globalSearch/MD28F010-90-B UM/page-1", "MD28F010-90-B UM")</f>
        <v>MD28F010-90-B UM</v>
      </c>
      <c r="B44208" s="3" t="str">
        <f>HYPERLINK("https://www.773grp.com/manufacturer/onsemi?pageNo=102", "ON Semiconductor")</f>
        <v>ON Semiconductor</v>
      </c>
      <c r="C44208" s="6">
        <v>1173</v>
      </c>
      <c r="D44208" s="7">
        <v>0</v>
      </c>
    </row>
    <row r="44209" spans="1:5" x14ac:dyDescent="0.25">
      <c r="A44209" t="str">
        <f>HYPERLINK("https://www.773grp.com/globalSearch/MD28F010-90-R UF/page-1", "MD28F010-90-R UF")</f>
        <v>MD28F010-90-R UF</v>
      </c>
      <c r="B44209" s="3" t="str">
        <f>HYPERLINK("https://www.773grp.com/manufacturer/onsemi?pageNo=103", "ON Semiconductor")</f>
        <v>ON Semiconductor</v>
      </c>
      <c r="C44209" s="6">
        <v>4</v>
      </c>
      <c r="D44209" s="7">
        <v>0</v>
      </c>
    </row>
    <row r="44210" spans="1:5" x14ac:dyDescent="0.25">
      <c r="A44210" t="str">
        <f>HYPERLINK("https://www.773grp.com/globalSearch/MD28F010-90-R UM/page-1", "MD28F010-90-R UM")</f>
        <v>MD28F010-90-R UM</v>
      </c>
      <c r="B44210" s="3" t="str">
        <f>HYPERLINK("https://www.773grp.com/manufacturer/onsemi?pageNo=104", "ON Semiconductor")</f>
        <v>ON Semiconductor</v>
      </c>
      <c r="C44210" s="6">
        <v>133</v>
      </c>
      <c r="D44210" s="7">
        <v>0</v>
      </c>
    </row>
    <row r="44211" spans="1:5" x14ac:dyDescent="0.25">
      <c r="A44211" t="str">
        <f>HYPERLINK("https://www.773grp.com/globalSearch/MD28F020-90  UM/page-1", "MD28F020-90  UM")</f>
        <v>MD28F020-90  UM</v>
      </c>
      <c r="B44211" s="3" t="str">
        <f>HYPERLINK("https://www.773grp.com/manufacturer/onsemi?pageNo=105", "ON Semiconductor")</f>
        <v>ON Semiconductor</v>
      </c>
      <c r="C44211" s="6">
        <v>523</v>
      </c>
      <c r="D44211" s="7">
        <v>0</v>
      </c>
    </row>
    <row r="44212" spans="1:5" x14ac:dyDescent="0.25">
      <c r="A44212" t="str">
        <f>HYPERLINK("https://www.773grp.com/globalSearch/MD28F020-90-B  UF/page-1", "MD28F020-90-B  UF")</f>
        <v>MD28F020-90-B  UF</v>
      </c>
      <c r="B44212" s="3" t="str">
        <f>HYPERLINK("https://www.773grp.com/manufacturer/onsemi?pageNo=106", "ON Semiconductor")</f>
        <v>ON Semiconductor</v>
      </c>
      <c r="C44212" s="6">
        <v>1250</v>
      </c>
      <c r="D44212" s="7">
        <v>0</v>
      </c>
    </row>
    <row r="44213" spans="1:5" x14ac:dyDescent="0.25">
      <c r="A44213" t="str">
        <f>HYPERLINK("https://www.773grp.com/globalSearch/MD8039AHL-R/page-1", "MD8039AHL-R")</f>
        <v>MD8039AHL-R</v>
      </c>
      <c r="B44213" s="3" t="str">
        <f>HYPERLINK("https://www.773grp.com/manufacturer/onsemi?pageNo=107", "ON Semiconductor")</f>
        <v>ON Semiconductor</v>
      </c>
      <c r="C44213" s="6">
        <v>346</v>
      </c>
      <c r="D44213" s="7">
        <v>0</v>
      </c>
    </row>
    <row r="44214" spans="1:5" x14ac:dyDescent="0.25">
      <c r="A44214" t="str">
        <f>HYPERLINK("https://www.773grp.com/globalSearch/MD8086-B UM/page-1", "MD8086-B UM")</f>
        <v>MD8086-B UM</v>
      </c>
      <c r="B44214" s="3" t="str">
        <f>HYPERLINK("https://www.773grp.com/manufacturer/onsemi?pageNo=108", "ON Semiconductor")</f>
        <v>ON Semiconductor</v>
      </c>
      <c r="C44214" s="6">
        <v>792</v>
      </c>
      <c r="D44214" s="7">
        <v>0</v>
      </c>
    </row>
    <row r="44215" spans="1:5" x14ac:dyDescent="0.25">
      <c r="A44215" t="str">
        <f>HYPERLINK("https://www.773grp.com/globalSearch/MD8087/page-1", "MD8087")</f>
        <v>MD8087</v>
      </c>
      <c r="B44215" s="3" t="str">
        <f>HYPERLINK("https://www.773grp.com/manufacturer/onsemi?pageNo=109", "ON Semiconductor")</f>
        <v>ON Semiconductor</v>
      </c>
      <c r="C44215" s="6">
        <v>83</v>
      </c>
      <c r="D44215" s="7">
        <v>0</v>
      </c>
    </row>
    <row r="44216" spans="1:5" x14ac:dyDescent="0.25">
      <c r="A44216" t="str">
        <f>HYPERLINK("https://www.773grp.com/globalSearch/MD8087-R/page-1", "MD8087-R")</f>
        <v>MD8087-R</v>
      </c>
      <c r="B44216" s="3" t="str">
        <f>HYPERLINK("https://www.773grp.com/manufacturer/onsemi?pageNo=110", "ON Semiconductor")</f>
        <v>ON Semiconductor</v>
      </c>
      <c r="C44216" s="6">
        <v>1</v>
      </c>
      <c r="D44216" s="7">
        <v>0</v>
      </c>
    </row>
    <row r="44217" spans="1:5" x14ac:dyDescent="0.25">
      <c r="A44217" t="str">
        <f>HYPERLINK("https://www.773grp.com/globalSearch/MD80C51FB (R1006)/page-1", "MD80C51FB (R1006)")</f>
        <v>MD80C51FB (R1006)</v>
      </c>
      <c r="B44217" s="3" t="str">
        <f>HYPERLINK("https://www.773grp.com/manufacturer/onsemi?pageNo=111", "ON Semiconductor")</f>
        <v>ON Semiconductor</v>
      </c>
      <c r="C44217" s="6">
        <v>1157</v>
      </c>
      <c r="D44217" s="7">
        <v>0</v>
      </c>
    </row>
    <row r="44218" spans="1:5" x14ac:dyDescent="0.25">
      <c r="A44218" t="str">
        <f>HYPERLINK("https://www.773grp.com/globalSearch/MD8155H-BQA/page-1", "MD8155H-BQA")</f>
        <v>MD8155H-BQA</v>
      </c>
      <c r="B44218" s="3" t="str">
        <f>HYPERLINK("https://www.773grp.com/manufacturer/onsemi?pageNo=112", "ON Semiconductor")</f>
        <v>ON Semiconductor</v>
      </c>
      <c r="C44218" s="6">
        <v>760</v>
      </c>
      <c r="D44218" s="7">
        <v>0</v>
      </c>
    </row>
    <row r="44219" spans="1:5" x14ac:dyDescent="0.25">
      <c r="A44219" t="str">
        <f>HYPERLINK("https://www.773grp.com/globalSearch/MD82188-R/page-1", "MD82188-R")</f>
        <v>MD82188-R</v>
      </c>
      <c r="B44219" s="3" t="str">
        <f>HYPERLINK("https://www.773grp.com/manufacturer/onsemi?pageNo=113", "ON Semiconductor")</f>
        <v>ON Semiconductor</v>
      </c>
      <c r="C44219" s="6">
        <v>47</v>
      </c>
      <c r="D44219" s="7">
        <v>0</v>
      </c>
    </row>
    <row r="44220" spans="1:5" x14ac:dyDescent="0.25">
      <c r="A44220" t="str">
        <f>HYPERLINK("https://www.773grp.com/globalSearch/MD8251A/page-1", "MD8251A")</f>
        <v>MD8251A</v>
      </c>
      <c r="B44220" s="3" t="str">
        <f>HYPERLINK("https://www.773grp.com/manufacturer/onsemi?pageNo=114", "ON Semiconductor")</f>
        <v>ON Semiconductor</v>
      </c>
      <c r="C44220" s="6">
        <v>3</v>
      </c>
      <c r="D44220" s="7">
        <v>0</v>
      </c>
      <c r="E44220" t="s">
        <v>71</v>
      </c>
    </row>
    <row r="44221" spans="1:5" x14ac:dyDescent="0.25">
      <c r="A44221" t="str">
        <f>HYPERLINK("https://www.773grp.com/globalSearch/MD8251A-B/page-1", "MD8251A-B")</f>
        <v>MD8251A-B</v>
      </c>
      <c r="B44221" s="3" t="str">
        <f>HYPERLINK("https://www.773grp.com/manufacturer/onsemi?pageNo=115", "ON Semiconductor")</f>
        <v>ON Semiconductor</v>
      </c>
      <c r="C44221" s="6">
        <v>42</v>
      </c>
      <c r="D44221" s="7">
        <v>0</v>
      </c>
    </row>
    <row r="44222" spans="1:5" x14ac:dyDescent="0.25">
      <c r="A44222" t="str">
        <f>HYPERLINK("https://www.773grp.com/globalSearch/MD82C284-10-B  UF/page-1", "MD82C284-10-B  UF")</f>
        <v>MD82C284-10-B  UF</v>
      </c>
      <c r="B44222" s="3" t="str">
        <f>HYPERLINK("https://www.773grp.com/manufacturer/onsemi?pageNo=116", "ON Semiconductor")</f>
        <v>ON Semiconductor</v>
      </c>
      <c r="C44222" s="6">
        <v>22</v>
      </c>
      <c r="D44222" s="7">
        <v>0</v>
      </c>
    </row>
    <row r="44223" spans="1:5" x14ac:dyDescent="0.25">
      <c r="A44223" t="str">
        <f>HYPERLINK("https://www.773grp.com/globalSearch/MD82C288-8-B  UF/page-1", "MD82C288-8-B  UF")</f>
        <v>MD82C288-8-B  UF</v>
      </c>
      <c r="B44223" s="3" t="str">
        <f>HYPERLINK("https://www.773grp.com/manufacturer/onsemi?pageNo=117", "ON Semiconductor")</f>
        <v>ON Semiconductor</v>
      </c>
      <c r="C44223" s="6">
        <v>928</v>
      </c>
      <c r="D44223" s="7">
        <v>0</v>
      </c>
    </row>
    <row r="44224" spans="1:5" x14ac:dyDescent="0.25">
      <c r="A44224" t="str">
        <f>HYPERLINK("https://www.773grp.com/globalSearch/MD82C55A-B/page-1", "MD82C55A-B")</f>
        <v>MD82C55A-B</v>
      </c>
      <c r="B44224" s="3" t="str">
        <f>HYPERLINK("https://www.773grp.com/manufacturer/onsemi?pageNo=118", "ON Semiconductor")</f>
        <v>ON Semiconductor</v>
      </c>
      <c r="C44224" s="6">
        <v>2954</v>
      </c>
      <c r="D44224" s="7">
        <v>0</v>
      </c>
      <c r="E44224" t="s">
        <v>90</v>
      </c>
    </row>
    <row r="44225" spans="1:5" x14ac:dyDescent="0.25">
      <c r="A44225" t="str">
        <f>HYPERLINK("https://www.773grp.com/globalSearch/MD8748H-B/page-1", "MD8748H-B")</f>
        <v>MD8748H-B</v>
      </c>
      <c r="B44225" s="3" t="str">
        <f>HYPERLINK("https://www.773grp.com/manufacturer/onsemi?pageNo=119", "ON Semiconductor")</f>
        <v>ON Semiconductor</v>
      </c>
      <c r="C44225" s="6">
        <v>140</v>
      </c>
      <c r="D44225" s="7">
        <v>0</v>
      </c>
    </row>
    <row r="44226" spans="1:5" x14ac:dyDescent="0.25">
      <c r="A44226" t="str">
        <f>HYPERLINK("https://www.773grp.com/globalSearch/MD87C51-16-B  UF/page-1", "MD87C51-16-B  UF")</f>
        <v>MD87C51-16-B  UF</v>
      </c>
      <c r="B44226" s="3" t="str">
        <f>HYPERLINK("https://www.773grp.com/manufacturer/onsemi?pageNo=120", "ON Semiconductor")</f>
        <v>ON Semiconductor</v>
      </c>
      <c r="C44226" s="6">
        <v>12</v>
      </c>
      <c r="D44226" s="7">
        <v>0</v>
      </c>
    </row>
    <row r="44227" spans="1:5" x14ac:dyDescent="0.25">
      <c r="A44227" t="str">
        <f>HYPERLINK("https://www.773grp.com/globalSearch/MD87C51-16-BQA  UF/page-1", "MD87C51-16-BQA  UF")</f>
        <v>MD87C51-16-BQA  UF</v>
      </c>
      <c r="B44227" s="3" t="str">
        <f>HYPERLINK("https://www.773grp.com/manufacturer/onsemi?pageNo=121", "ON Semiconductor")</f>
        <v>ON Semiconductor</v>
      </c>
      <c r="C44227" s="6">
        <v>1357</v>
      </c>
      <c r="D44227" s="7">
        <v>0</v>
      </c>
    </row>
    <row r="44228" spans="1:5" x14ac:dyDescent="0.25">
      <c r="A44228" t="str">
        <f>HYPERLINK("https://www.773grp.com/globalSearch/MD87C51FC/page-1", "MD87C51FC")</f>
        <v>MD87C51FC</v>
      </c>
      <c r="B44228" s="3" t="str">
        <f>HYPERLINK("https://www.773grp.com/manufacturer/onsemi?pageNo=122", "ON Semiconductor")</f>
        <v>ON Semiconductor</v>
      </c>
      <c r="C44228" s="6">
        <v>91</v>
      </c>
      <c r="D44228" s="7">
        <v>0</v>
      </c>
      <c r="E44228" t="s">
        <v>52</v>
      </c>
    </row>
    <row r="44229" spans="1:5" x14ac:dyDescent="0.25">
      <c r="A44229" t="str">
        <f>HYPERLINK("https://www.773grp.com/globalSearch/MD87C51FC-B/page-1", "MD87C51FC-B")</f>
        <v>MD87C51FC-B</v>
      </c>
      <c r="B44229" s="3" t="str">
        <f>HYPERLINK("https://www.773grp.com/manufacturer/onsemi?pageNo=123", "ON Semiconductor")</f>
        <v>ON Semiconductor</v>
      </c>
      <c r="C44229" s="6">
        <v>5994</v>
      </c>
      <c r="D44229" s="7">
        <v>0</v>
      </c>
    </row>
    <row r="44230" spans="1:5" x14ac:dyDescent="0.25">
      <c r="A44230" t="str">
        <f>HYPERLINK("https://www.773grp.com/globalSearch/MD87C51FC-R/page-1", "MD87C51FC-R")</f>
        <v>MD87C51FC-R</v>
      </c>
      <c r="B44230" s="3" t="str">
        <f>HYPERLINK("https://www.773grp.com/manufacturer/onsemi?pageNo=124", "ON Semiconductor")</f>
        <v>ON Semiconductor</v>
      </c>
      <c r="C44230" s="6">
        <v>2147</v>
      </c>
      <c r="D44230" s="7">
        <v>0</v>
      </c>
    </row>
    <row r="44231" spans="1:5" x14ac:dyDescent="0.25">
      <c r="A44231" t="str">
        <f>HYPERLINK("https://www.773grp.com/globalSearch/MG80186-6 MTO UT/page-1", "MG80186-6 MTO UT")</f>
        <v>MG80186-6 MTO UT</v>
      </c>
      <c r="B44231" s="3" t="str">
        <f>HYPERLINK("https://www.773grp.com/manufacturer/onsemi?pageNo=125", "ON Semiconductor")</f>
        <v>ON Semiconductor</v>
      </c>
      <c r="C44231" s="6">
        <v>2418</v>
      </c>
      <c r="D44231" s="7">
        <v>0</v>
      </c>
    </row>
    <row r="44232" spans="1:5" x14ac:dyDescent="0.25">
      <c r="A44232" t="str">
        <f>HYPERLINK("https://www.773grp.com/globalSearch/MG80186-8-BZA  UM/page-1", "MG80186-8-BZA  UM")</f>
        <v>MG80186-8-BZA  UM</v>
      </c>
      <c r="B44232" s="3" t="str">
        <f>HYPERLINK("https://www.773grp.com/manufacturer/onsemi?pageNo=126", "ON Semiconductor")</f>
        <v>ON Semiconductor</v>
      </c>
      <c r="C44232" s="6">
        <v>888</v>
      </c>
      <c r="D44232" s="7">
        <v>0</v>
      </c>
    </row>
    <row r="44233" spans="1:5" x14ac:dyDescent="0.25">
      <c r="A44233" t="str">
        <f>HYPERLINK("https://www.773grp.com/globalSearch/MG80387-25 UT/page-1", "MG80387-25 UT")</f>
        <v>MG80387-25 UT</v>
      </c>
      <c r="B44233" s="3" t="str">
        <f>HYPERLINK("https://www.773grp.com/manufacturer/onsemi?pageNo=127", "ON Semiconductor")</f>
        <v>ON Semiconductor</v>
      </c>
      <c r="C44233" s="6">
        <v>40</v>
      </c>
      <c r="D44233" s="7">
        <v>0</v>
      </c>
    </row>
    <row r="44234" spans="1:5" x14ac:dyDescent="0.25">
      <c r="A44234" t="str">
        <f>HYPERLINK("https://www.773grp.com/globalSearch/MG80387-25-R  UT/page-1", "MG80387-25-R  UT")</f>
        <v>MG80387-25-R  UT</v>
      </c>
      <c r="B44234" s="3" t="str">
        <f>HYPERLINK("https://www.773grp.com/manufacturer/onsemi?pageNo=128", "ON Semiconductor")</f>
        <v>ON Semiconductor</v>
      </c>
      <c r="C44234" s="6">
        <v>18</v>
      </c>
      <c r="D44234" s="7">
        <v>0</v>
      </c>
    </row>
    <row r="44235" spans="1:5" x14ac:dyDescent="0.25">
      <c r="A44235" t="str">
        <f>HYPERLINK("https://www.773grp.com/globalSearch/MG80960MC-20  UM/page-1", "MG80960MC-20  UM")</f>
        <v>MG80960MC-20  UM</v>
      </c>
      <c r="B44235" s="3" t="str">
        <f>HYPERLINK("https://www.773grp.com/manufacturer/onsemi?pageNo=129", "ON Semiconductor")</f>
        <v>ON Semiconductor</v>
      </c>
      <c r="C44235" s="6">
        <v>1</v>
      </c>
      <c r="D44235" s="7">
        <v>0</v>
      </c>
    </row>
    <row r="44236" spans="1:5" x14ac:dyDescent="0.25">
      <c r="A44236" t="str">
        <f>HYPERLINK("https://www.773grp.com/globalSearch/MG80960MC-25/page-1", "MG80960MC-25")</f>
        <v>MG80960MC-25</v>
      </c>
      <c r="B44236" s="3" t="str">
        <f>HYPERLINK("https://www.773grp.com/manufacturer/onsemi?pageNo=130", "ON Semiconductor")</f>
        <v>ON Semiconductor</v>
      </c>
      <c r="C44236" s="6">
        <v>1097</v>
      </c>
      <c r="D44236" s="7">
        <v>0</v>
      </c>
    </row>
    <row r="44237" spans="1:5" x14ac:dyDescent="0.25">
      <c r="A44237" t="str">
        <f>HYPERLINK("https://www.773grp.com/globalSearch/MG80960MC-25  UF/page-1", "MG80960MC-25  UF")</f>
        <v>MG80960MC-25  UF</v>
      </c>
      <c r="B44237" s="3" t="str">
        <f>HYPERLINK("https://www.773grp.com/manufacturer/onsemi?pageNo=131", "ON Semiconductor")</f>
        <v>ON Semiconductor</v>
      </c>
      <c r="C44237" s="6">
        <v>30</v>
      </c>
      <c r="D44237" s="7">
        <v>0</v>
      </c>
    </row>
    <row r="44238" spans="1:5" x14ac:dyDescent="0.25">
      <c r="A44238" t="str">
        <f>HYPERLINK("https://www.773grp.com/globalSearch/MG80960MC-25-B/page-1", "MG80960MC-25-B")</f>
        <v>MG80960MC-25-B</v>
      </c>
      <c r="B44238" s="3" t="str">
        <f>HYPERLINK("https://www.773grp.com/manufacturer/onsemi?pageNo=132", "ON Semiconductor")</f>
        <v>ON Semiconductor</v>
      </c>
      <c r="C44238" s="6">
        <v>93</v>
      </c>
      <c r="D44238" s="7">
        <v>0</v>
      </c>
    </row>
    <row r="44239" spans="1:5" x14ac:dyDescent="0.25">
      <c r="A44239" t="str">
        <f>HYPERLINK("https://www.773grp.com/globalSearch/MG80960MC-25-B  UM/page-1", "MG80960MC-25-B  UM")</f>
        <v>MG80960MC-25-B  UM</v>
      </c>
      <c r="B44239" s="3" t="str">
        <f>HYPERLINK("https://www.773grp.com/manufacturer/onsemi?pageNo=133", "ON Semiconductor")</f>
        <v>ON Semiconductor</v>
      </c>
      <c r="C44239" s="6">
        <v>411</v>
      </c>
      <c r="D44239" s="7">
        <v>0</v>
      </c>
    </row>
    <row r="44240" spans="1:5" x14ac:dyDescent="0.25">
      <c r="A44240" t="str">
        <f>HYPERLINK("https://www.773grp.com/globalSearch/MG8097  UT/page-1", "MG8097  UT")</f>
        <v>MG8097  UT</v>
      </c>
      <c r="B44240" s="3" t="str">
        <f>HYPERLINK("https://www.773grp.com/manufacturer/onsemi?pageNo=134", "ON Semiconductor")</f>
        <v>ON Semiconductor</v>
      </c>
      <c r="C44240" s="6">
        <v>9</v>
      </c>
      <c r="D44240" s="7">
        <v>0</v>
      </c>
    </row>
    <row r="44241" spans="1:5" x14ac:dyDescent="0.25">
      <c r="A44241" t="str">
        <f>HYPERLINK("https://www.773grp.com/globalSearch/MG8097BH/page-1", "MG8097BH")</f>
        <v>MG8097BH</v>
      </c>
      <c r="B44241" s="3" t="str">
        <f>HYPERLINK("https://www.773grp.com/manufacturer/onsemi?pageNo=135", "ON Semiconductor")</f>
        <v>ON Semiconductor</v>
      </c>
      <c r="C44241" s="6">
        <v>3003</v>
      </c>
      <c r="D44241" s="7">
        <v>0</v>
      </c>
    </row>
    <row r="44242" spans="1:5" x14ac:dyDescent="0.25">
      <c r="A44242" t="str">
        <f>HYPERLINK("https://www.773grp.com/globalSearch/MG80C186-12/page-1", "MG80C186-12")</f>
        <v>MG80C186-12</v>
      </c>
      <c r="B44242" s="3" t="str">
        <f>HYPERLINK("https://www.773grp.com/manufacturer/onsemi?pageNo=136", "ON Semiconductor")</f>
        <v>ON Semiconductor</v>
      </c>
      <c r="C44242" s="6">
        <v>1</v>
      </c>
      <c r="D44242" s="7">
        <v>0</v>
      </c>
      <c r="E44242" t="s">
        <v>81</v>
      </c>
    </row>
    <row r="44243" spans="1:5" x14ac:dyDescent="0.25">
      <c r="A44243" t="str">
        <f>HYPERLINK("https://www.773grp.com/globalSearch/MG80C186-12  UF/page-1", "MG80C186-12  UF")</f>
        <v>MG80C186-12  UF</v>
      </c>
      <c r="B44243" s="3" t="str">
        <f>HYPERLINK("https://www.773grp.com/manufacturer/onsemi?pageNo=137", "ON Semiconductor")</f>
        <v>ON Semiconductor</v>
      </c>
      <c r="C44243" s="6">
        <v>98</v>
      </c>
      <c r="D44243" s="7">
        <v>0</v>
      </c>
    </row>
    <row r="44244" spans="1:5" x14ac:dyDescent="0.25">
      <c r="A44244" t="str">
        <f>HYPERLINK("https://www.773grp.com/globalSearch/MG80C186-12-BZC/page-1", "MG80C186-12-BZC")</f>
        <v>MG80C186-12-BZC</v>
      </c>
      <c r="B44244" s="3" t="str">
        <f>HYPERLINK("https://www.773grp.com/manufacturer/onsemi?pageNo=138", "ON Semiconductor")</f>
        <v>ON Semiconductor</v>
      </c>
      <c r="C44244" s="6">
        <v>17</v>
      </c>
      <c r="D44244" s="7">
        <v>0</v>
      </c>
    </row>
    <row r="44245" spans="1:5" x14ac:dyDescent="0.25">
      <c r="A44245" t="str">
        <f>HYPERLINK("https://www.773grp.com/globalSearch/MG80C186EB-13-R/page-1", "MG80C186EB-13-R")</f>
        <v>MG80C186EB-13-R</v>
      </c>
      <c r="B44245" s="3" t="str">
        <f>HYPERLINK("https://www.773grp.com/manufacturer/onsemi?pageNo=139", "ON Semiconductor")</f>
        <v>ON Semiconductor</v>
      </c>
      <c r="C44245" s="6">
        <v>119</v>
      </c>
      <c r="D44245" s="7">
        <v>0</v>
      </c>
    </row>
    <row r="44246" spans="1:5" x14ac:dyDescent="0.25">
      <c r="A44246" t="str">
        <f>HYPERLINK("https://www.773grp.com/globalSearch/MG80C186EB-16-B  UM/page-1", "MG80C186EB-16-B  UM")</f>
        <v>MG80C186EB-16-B  UM</v>
      </c>
      <c r="B44246" s="3" t="str">
        <f>HYPERLINK("https://www.773grp.com/manufacturer/onsemi?pageNo=140", "ON Semiconductor")</f>
        <v>ON Semiconductor</v>
      </c>
      <c r="C44246" s="6">
        <v>657</v>
      </c>
      <c r="D44246" s="7">
        <v>0</v>
      </c>
    </row>
    <row r="44247" spans="1:5" x14ac:dyDescent="0.25">
      <c r="A44247" t="str">
        <f>HYPERLINK("https://www.773grp.com/globalSearch/MG80C186EB-8-B/page-1", "MG80C186EB-8-B")</f>
        <v>MG80C186EB-8-B</v>
      </c>
      <c r="B44247" s="3" t="str">
        <f>HYPERLINK("https://www.773grp.com/manufacturer/onsemi?pageNo=141", "ON Semiconductor")</f>
        <v>ON Semiconductor</v>
      </c>
      <c r="C44247" s="6">
        <v>5</v>
      </c>
      <c r="D44247" s="7">
        <v>0</v>
      </c>
    </row>
    <row r="44248" spans="1:5" x14ac:dyDescent="0.25">
      <c r="A44248" t="str">
        <f>HYPERLINK("https://www.773grp.com/globalSearch/MG80C186XL-12-B/page-1", "MG80C186XL-12-B")</f>
        <v>MG80C186XL-12-B</v>
      </c>
      <c r="B44248" s="3" t="str">
        <f>HYPERLINK("https://www.773grp.com/manufacturer/onsemi?pageNo=142", "ON Semiconductor")</f>
        <v>ON Semiconductor</v>
      </c>
      <c r="C44248" s="6">
        <v>20</v>
      </c>
      <c r="D44248" s="7">
        <v>0</v>
      </c>
    </row>
    <row r="44249" spans="1:5" x14ac:dyDescent="0.25">
      <c r="A44249" t="str">
        <f>HYPERLINK("https://www.773grp.com/globalSearch/MG80C186XL-20-B  UM/page-1", "MG80C186XL-20-B  UM")</f>
        <v>MG80C186XL-20-B  UM</v>
      </c>
      <c r="B44249" s="3" t="str">
        <f>HYPERLINK("https://www.773grp.com/manufacturer/onsemi?pageNo=143", "ON Semiconductor")</f>
        <v>ON Semiconductor</v>
      </c>
      <c r="C44249" s="6">
        <v>603</v>
      </c>
      <c r="D44249" s="7">
        <v>0</v>
      </c>
    </row>
    <row r="44250" spans="1:5" x14ac:dyDescent="0.25">
      <c r="A44250" t="str">
        <f>HYPERLINK("https://www.773grp.com/globalSearch/MG80C186XL-20-R/page-1", "MG80C186XL-20-R")</f>
        <v>MG80C186XL-20-R</v>
      </c>
      <c r="B44250" s="3" t="str">
        <f>HYPERLINK("https://www.773grp.com/manufacturer/onsemi?pageNo=144", "ON Semiconductor")</f>
        <v>ON Semiconductor</v>
      </c>
      <c r="C44250" s="6">
        <v>6</v>
      </c>
      <c r="D44250" s="7">
        <v>0</v>
      </c>
    </row>
    <row r="44251" spans="1:5" x14ac:dyDescent="0.25">
      <c r="A44251" t="str">
        <f>HYPERLINK("https://www.773grp.com/globalSearch/MG80C286-10-R/page-1", "MG80C286-10-R")</f>
        <v>MG80C286-10-R</v>
      </c>
      <c r="B44251" s="3" t="str">
        <f>HYPERLINK("https://www.773grp.com/manufacturer/onsemi?pageNo=145", "ON Semiconductor")</f>
        <v>ON Semiconductor</v>
      </c>
      <c r="C44251" s="6">
        <v>1139</v>
      </c>
      <c r="D44251" s="7">
        <v>0</v>
      </c>
    </row>
    <row r="44252" spans="1:5" x14ac:dyDescent="0.25">
      <c r="A44252" t="str">
        <f>HYPERLINK("https://www.773grp.com/globalSearch/MG80C286-12-B  UM/page-1", "MG80C286-12-B  UM")</f>
        <v>MG80C286-12-B  UM</v>
      </c>
      <c r="B44252" s="3" t="str">
        <f>HYPERLINK("https://www.773grp.com/manufacturer/onsemi?pageNo=146", "ON Semiconductor")</f>
        <v>ON Semiconductor</v>
      </c>
      <c r="C44252" s="6">
        <v>247</v>
      </c>
      <c r="D44252" s="7">
        <v>0</v>
      </c>
    </row>
    <row r="44253" spans="1:5" x14ac:dyDescent="0.25">
      <c r="A44253" t="str">
        <f>HYPERLINK("https://www.773grp.com/globalSearch/MG87C196KD-16-R/page-1", "MG87C196KD-16-R")</f>
        <v>MG87C196KD-16-R</v>
      </c>
      <c r="B44253" s="3" t="str">
        <f>HYPERLINK("https://www.773grp.com/manufacturer/onsemi?pageNo=147", "ON Semiconductor")</f>
        <v>ON Semiconductor</v>
      </c>
      <c r="C44253" s="6">
        <v>19</v>
      </c>
      <c r="D44253" s="7">
        <v>0</v>
      </c>
    </row>
    <row r="44254" spans="1:5" x14ac:dyDescent="0.25">
      <c r="A44254" t="str">
        <f>HYPERLINK("https://www.773grp.com/globalSearch/MG87C196KD-20-R/page-1", "MG87C196KD-20-R")</f>
        <v>MG87C196KD-20-R</v>
      </c>
      <c r="B44254" s="3" t="str">
        <f>HYPERLINK("https://www.773grp.com/manufacturer/onsemi?pageNo=148", "ON Semiconductor")</f>
        <v>ON Semiconductor</v>
      </c>
      <c r="C44254" s="6">
        <v>166</v>
      </c>
      <c r="D44254" s="7">
        <v>0</v>
      </c>
    </row>
    <row r="44255" spans="1:5" x14ac:dyDescent="0.25">
      <c r="A44255" t="str">
        <f>HYPERLINK("https://www.773grp.com/globalSearch/MG87C196KD-20-R UM/page-1", "MG87C196KD-20-R UM")</f>
        <v>MG87C196KD-20-R UM</v>
      </c>
      <c r="B44255" s="3" t="str">
        <f>HYPERLINK("https://www.773grp.com/manufacturer/onsemi?pageNo=149", "ON Semiconductor")</f>
        <v>ON Semiconductor</v>
      </c>
      <c r="C44255" s="6">
        <v>589</v>
      </c>
      <c r="D44255" s="7">
        <v>0</v>
      </c>
    </row>
    <row r="44256" spans="1:5" x14ac:dyDescent="0.25">
      <c r="A44256" t="str">
        <f>HYPERLINK("https://www.773grp.com/globalSearch/MQ80186-6-B UT/page-1", "MQ80186-6-B UT")</f>
        <v>MQ80186-6-B UT</v>
      </c>
      <c r="B44256" s="3" t="str">
        <f>HYPERLINK("https://www.773grp.com/manufacturer/onsemi?pageNo=150", "ON Semiconductor")</f>
        <v>ON Semiconductor</v>
      </c>
      <c r="C44256" s="6">
        <v>2</v>
      </c>
      <c r="D44256" s="7">
        <v>0</v>
      </c>
    </row>
    <row r="44257" spans="1:4" x14ac:dyDescent="0.25">
      <c r="A44257" t="str">
        <f>HYPERLINK("https://www.773grp.com/globalSearch/MQ80186-6-BYA UT/page-1", "MQ80186-6-BYA UT")</f>
        <v>MQ80186-6-BYA UT</v>
      </c>
      <c r="B44257" s="3" t="str">
        <f>HYPERLINK("https://www.773grp.com/manufacturer/onsemi?pageNo=151", "ON Semiconductor")</f>
        <v>ON Semiconductor</v>
      </c>
      <c r="C44257" s="6">
        <v>22</v>
      </c>
      <c r="D44257" s="7">
        <v>0</v>
      </c>
    </row>
    <row r="44258" spans="1:4" x14ac:dyDescent="0.25">
      <c r="A44258" t="str">
        <f>HYPERLINK("https://www.773grp.com/globalSearch/MQ80186-8-B  UT/page-1", "MQ80186-8-B  UT")</f>
        <v>MQ80186-8-B  UT</v>
      </c>
      <c r="B44258" s="3" t="str">
        <f>HYPERLINK("https://www.773grp.com/manufacturer/onsemi?pageNo=152", "ON Semiconductor")</f>
        <v>ON Semiconductor</v>
      </c>
      <c r="C44258" s="6">
        <v>9</v>
      </c>
      <c r="D44258" s="7">
        <v>0</v>
      </c>
    </row>
    <row r="44259" spans="1:4" x14ac:dyDescent="0.25">
      <c r="A44259" t="str">
        <f>HYPERLINK("https://www.773grp.com/globalSearch/MQ80860-40 UT/page-1", "MQ80860-40 UT")</f>
        <v>MQ80860-40 UT</v>
      </c>
      <c r="B44259" s="3" t="str">
        <f>HYPERLINK("https://www.773grp.com/manufacturer/onsemi?pageNo=153", "ON Semiconductor")</f>
        <v>ON Semiconductor</v>
      </c>
      <c r="C44259" s="6">
        <v>21</v>
      </c>
      <c r="D44259" s="7">
        <v>0</v>
      </c>
    </row>
    <row r="44260" spans="1:4" x14ac:dyDescent="0.25">
      <c r="A44260" t="str">
        <f>HYPERLINK("https://www.773grp.com/globalSearch/MQ80860-40-R UT/page-1", "MQ80860-40-R UT")</f>
        <v>MQ80860-40-R UT</v>
      </c>
      <c r="B44260" s="3" t="str">
        <f>HYPERLINK("https://www.773grp.com/manufacturer/onsemi?pageNo=154", "ON Semiconductor")</f>
        <v>ON Semiconductor</v>
      </c>
      <c r="C44260" s="6">
        <v>47</v>
      </c>
      <c r="D44260" s="7">
        <v>0</v>
      </c>
    </row>
    <row r="44261" spans="1:4" x14ac:dyDescent="0.25">
      <c r="A44261" t="str">
        <f>HYPERLINK("https://www.773grp.com/globalSearch/MQ80960MC-25-B  UM/page-1", "MQ80960MC-25-B  UM")</f>
        <v>MQ80960MC-25-B  UM</v>
      </c>
      <c r="B44261" s="3" t="str">
        <f>HYPERLINK("https://www.773grp.com/manufacturer/onsemi?pageNo=155", "ON Semiconductor")</f>
        <v>ON Semiconductor</v>
      </c>
      <c r="C44261" s="6">
        <v>659</v>
      </c>
      <c r="D44261" s="7">
        <v>0</v>
      </c>
    </row>
    <row r="44262" spans="1:4" x14ac:dyDescent="0.25">
      <c r="A44262" t="str">
        <f>HYPERLINK("https://www.773grp.com/globalSearch/MQ80960MC-25-BGROUP A SAMPL/page-1", "MQ80960MC-25-BGROUP A SAMPL")</f>
        <v>MQ80960MC-25-BGROUP A SAMPL</v>
      </c>
      <c r="B44262" s="3" t="str">
        <f>HYPERLINK("https://www.773grp.com/manufacturer/onsemi?pageNo=156", "ON Semiconductor")</f>
        <v>ON Semiconductor</v>
      </c>
      <c r="C44262" s="6">
        <v>107</v>
      </c>
      <c r="D44262" s="7">
        <v>0</v>
      </c>
    </row>
    <row r="44263" spans="1:4" x14ac:dyDescent="0.25">
      <c r="A44263" t="str">
        <f>HYPERLINK("https://www.773grp.com/globalSearch/MQ80960MC-25-BGROUP B SAMPL/page-1", "MQ80960MC-25-BGROUP B SAMPL")</f>
        <v>MQ80960MC-25-BGROUP B SAMPL</v>
      </c>
      <c r="B44263" s="3" t="str">
        <f>HYPERLINK("https://www.773grp.com/manufacturer/onsemi?pageNo=157", "ON Semiconductor")</f>
        <v>ON Semiconductor</v>
      </c>
      <c r="C44263" s="6">
        <v>3</v>
      </c>
      <c r="D44263" s="7">
        <v>0</v>
      </c>
    </row>
    <row r="44264" spans="1:4" x14ac:dyDescent="0.25">
      <c r="A44264" t="str">
        <f>HYPERLINK("https://www.773grp.com/globalSearch/MQ80960MC-25-B-SPECIAL/page-1", "MQ80960MC-25-B-SPECIAL")</f>
        <v>MQ80960MC-25-B-SPECIAL</v>
      </c>
      <c r="B44264" s="3" t="str">
        <f>HYPERLINK("https://www.773grp.com/manufacturer/onsemi?pageNo=158", "ON Semiconductor")</f>
        <v>ON Semiconductor</v>
      </c>
      <c r="C44264" s="6">
        <v>435</v>
      </c>
      <c r="D44264" s="7">
        <v>0</v>
      </c>
    </row>
    <row r="44265" spans="1:4" x14ac:dyDescent="0.25">
      <c r="A44265" t="str">
        <f>HYPERLINK("https://www.773grp.com/globalSearch/MQ8097-B  UT/page-1", "MQ8097-B  UT")</f>
        <v>MQ8097-B  UT</v>
      </c>
      <c r="B44265" s="3" t="str">
        <f>HYPERLINK("https://www.773grp.com/manufacturer/onsemi?pageNo=159", "ON Semiconductor")</f>
        <v>ON Semiconductor</v>
      </c>
      <c r="C44265" s="6">
        <v>47</v>
      </c>
      <c r="D44265" s="7">
        <v>0</v>
      </c>
    </row>
    <row r="44266" spans="1:4" x14ac:dyDescent="0.25">
      <c r="A44266" t="str">
        <f>HYPERLINK("https://www.773grp.com/globalSearch/MQ8097BH/page-1", "MQ8097BH")</f>
        <v>MQ8097BH</v>
      </c>
      <c r="B44266" s="3" t="str">
        <f>HYPERLINK("https://www.773grp.com/manufacturer/onsemi?pageNo=160", "ON Semiconductor")</f>
        <v>ON Semiconductor</v>
      </c>
      <c r="C44266" s="6">
        <v>1003</v>
      </c>
      <c r="D44266" s="7">
        <v>0</v>
      </c>
    </row>
    <row r="44267" spans="1:4" x14ac:dyDescent="0.25">
      <c r="A44267" t="str">
        <f>HYPERLINK("https://www.773grp.com/globalSearch/MQ8097BH  UT/page-1", "MQ8097BH  UT")</f>
        <v>MQ8097BH  UT</v>
      </c>
      <c r="B44267" s="3" t="str">
        <f>HYPERLINK("https://www.773grp.com/manufacturer/onsemi?pageNo=161", "ON Semiconductor")</f>
        <v>ON Semiconductor</v>
      </c>
      <c r="C44267" s="6">
        <v>798</v>
      </c>
      <c r="D44267" s="7">
        <v>0</v>
      </c>
    </row>
    <row r="44268" spans="1:4" x14ac:dyDescent="0.25">
      <c r="A44268" t="str">
        <f>HYPERLINK("https://www.773grp.com/globalSearch/MQ8097BH-BYA  UF/page-1", "MQ8097BH-BYA  UF")</f>
        <v>MQ8097BH-BYA  UF</v>
      </c>
      <c r="B44268" s="3" t="str">
        <f>HYPERLINK("https://www.773grp.com/manufacturer/onsemi?pageNo=162", "ON Semiconductor")</f>
        <v>ON Semiconductor</v>
      </c>
      <c r="C44268" s="6">
        <v>5</v>
      </c>
      <c r="D44268" s="7">
        <v>0</v>
      </c>
    </row>
    <row r="44269" spans="1:4" x14ac:dyDescent="0.25">
      <c r="A44269" t="str">
        <f>HYPERLINK("https://www.773grp.com/globalSearch/MQ8097BH-R UT/page-1", "MQ8097BH-R UT")</f>
        <v>MQ8097BH-R UT</v>
      </c>
      <c r="B44269" s="3" t="str">
        <f>HYPERLINK("https://www.773grp.com/manufacturer/onsemi?pageNo=163", "ON Semiconductor")</f>
        <v>ON Semiconductor</v>
      </c>
      <c r="C44269" s="6">
        <v>103</v>
      </c>
      <c r="D44269" s="7">
        <v>0</v>
      </c>
    </row>
    <row r="44270" spans="1:4" x14ac:dyDescent="0.25">
      <c r="A44270" t="str">
        <f>HYPERLINK("https://www.773grp.com/globalSearch/MQ80C186-10-BYA/page-1", "MQ80C186-10-BYA")</f>
        <v>MQ80C186-10-BYA</v>
      </c>
      <c r="B44270" s="3" t="str">
        <f>HYPERLINK("https://www.773grp.com/manufacturer/onsemi?pageNo=164", "ON Semiconductor")</f>
        <v>ON Semiconductor</v>
      </c>
      <c r="C44270" s="6">
        <v>58</v>
      </c>
      <c r="D44270" s="7">
        <v>0</v>
      </c>
    </row>
    <row r="44271" spans="1:4" x14ac:dyDescent="0.25">
      <c r="A44271" t="str">
        <f>HYPERLINK("https://www.773grp.com/globalSearch/MQ80C186-12-BYA/page-1", "MQ80C186-12-BYA")</f>
        <v>MQ80C186-12-BYA</v>
      </c>
      <c r="B44271" s="3" t="str">
        <f>HYPERLINK("https://www.773grp.com/manufacturer/onsemi?pageNo=165", "ON Semiconductor")</f>
        <v>ON Semiconductor</v>
      </c>
      <c r="C44271" s="6">
        <v>23</v>
      </c>
      <c r="D44271" s="7">
        <v>0</v>
      </c>
    </row>
    <row r="44272" spans="1:4" x14ac:dyDescent="0.25">
      <c r="A44272" t="str">
        <f>HYPERLINK("https://www.773grp.com/globalSearch/MQ80C186-12-BYC  UF/page-1", "MQ80C186-12-BYC  UF")</f>
        <v>MQ80C186-12-BYC  UF</v>
      </c>
      <c r="B44272" s="3" t="str">
        <f>HYPERLINK("https://www.773grp.com/manufacturer/onsemi?pageNo=166", "ON Semiconductor")</f>
        <v>ON Semiconductor</v>
      </c>
      <c r="C44272" s="6">
        <v>77</v>
      </c>
      <c r="D44272" s="7">
        <v>0</v>
      </c>
    </row>
    <row r="44273" spans="1:5" x14ac:dyDescent="0.25">
      <c r="A44273" t="str">
        <f>HYPERLINK("https://www.773grp.com/globalSearch/MQ80C286-10-R/page-1", "MQ80C286-10-R")</f>
        <v>MQ80C286-10-R</v>
      </c>
      <c r="B44273" s="3" t="str">
        <f>HYPERLINK("https://www.773grp.com/manufacturer/onsemi?pageNo=167", "ON Semiconductor")</f>
        <v>ON Semiconductor</v>
      </c>
      <c r="C44273" s="6">
        <v>2004</v>
      </c>
      <c r="D44273" s="7">
        <v>0</v>
      </c>
    </row>
    <row r="44274" spans="1:5" x14ac:dyDescent="0.25">
      <c r="A44274" t="str">
        <f>HYPERLINK("https://www.773grp.com/globalSearch/MQ82380-20-R  UT/page-1", "MQ82380-20-R  UT")</f>
        <v>MQ82380-20-R  UT</v>
      </c>
      <c r="B44274" s="3" t="str">
        <f>HYPERLINK("https://www.773grp.com/manufacturer/onsemi?pageNo=168", "ON Semiconductor")</f>
        <v>ON Semiconductor</v>
      </c>
      <c r="C44274" s="6">
        <v>45</v>
      </c>
      <c r="D44274" s="7">
        <v>0</v>
      </c>
    </row>
    <row r="44275" spans="1:5" x14ac:dyDescent="0.25">
      <c r="A44275" t="str">
        <f>HYPERLINK("https://www.773grp.com/globalSearch/MQ82380-25 UT/page-1", "MQ82380-25 UT")</f>
        <v>MQ82380-25 UT</v>
      </c>
      <c r="B44275" s="3" t="str">
        <f>HYPERLINK("https://www.773grp.com/manufacturer/onsemi?pageNo=169", "ON Semiconductor")</f>
        <v>ON Semiconductor</v>
      </c>
      <c r="C44275" s="6">
        <v>10</v>
      </c>
      <c r="D44275" s="7">
        <v>0</v>
      </c>
    </row>
    <row r="44276" spans="1:5" x14ac:dyDescent="0.25">
      <c r="A44276" t="str">
        <f>HYPERLINK("https://www.773grp.com/globalSearch/MQ87C196KD-16-B  UT/page-1", "MQ87C196KD-16-B  UT")</f>
        <v>MQ87C196KD-16-B  UT</v>
      </c>
      <c r="B44276" s="3" t="str">
        <f>HYPERLINK("https://www.773grp.com/manufacturer/onsemi?pageNo=170", "ON Semiconductor")</f>
        <v>ON Semiconductor</v>
      </c>
      <c r="C44276" s="6">
        <v>48</v>
      </c>
      <c r="D44276" s="7">
        <v>0</v>
      </c>
    </row>
    <row r="44277" spans="1:5" x14ac:dyDescent="0.25">
      <c r="A44277" t="str">
        <f>HYPERLINK("https://www.773grp.com/globalSearch/MR27256-17-B UM/page-1", "MR27256-17-B UM")</f>
        <v>MR27256-17-B UM</v>
      </c>
      <c r="B44277" s="3" t="str">
        <f>HYPERLINK("https://www.773grp.com/manufacturer/onsemi?pageNo=171", "ON Semiconductor")</f>
        <v>ON Semiconductor</v>
      </c>
      <c r="C44277" s="6">
        <v>403</v>
      </c>
      <c r="D44277" s="7">
        <v>0</v>
      </c>
    </row>
    <row r="44278" spans="1:5" x14ac:dyDescent="0.25">
      <c r="A44278" t="str">
        <f>HYPERLINK("https://www.773grp.com/globalSearch/MR27256-25-B/page-1", "MR27256-25-B")</f>
        <v>MR27256-25-B</v>
      </c>
      <c r="B44278" s="3" t="str">
        <f>HYPERLINK("https://www.773grp.com/manufacturer/onsemi?pageNo=172", "ON Semiconductor")</f>
        <v>ON Semiconductor</v>
      </c>
      <c r="C44278" s="6">
        <v>243</v>
      </c>
      <c r="D44278" s="7">
        <v>0</v>
      </c>
    </row>
    <row r="44279" spans="1:5" x14ac:dyDescent="0.25">
      <c r="A44279" t="str">
        <f>HYPERLINK("https://www.773grp.com/globalSearch/MR27256-25-B  UT/page-1", "MR27256-25-B  UT")</f>
        <v>MR27256-25-B  UT</v>
      </c>
      <c r="B44279" s="3" t="str">
        <f>HYPERLINK("https://www.773grp.com/manufacturer/onsemi?pageNo=173", "ON Semiconductor")</f>
        <v>ON Semiconductor</v>
      </c>
      <c r="C44279" s="6">
        <v>6725</v>
      </c>
      <c r="D44279" s="7">
        <v>0</v>
      </c>
    </row>
    <row r="44280" spans="1:5" x14ac:dyDescent="0.25">
      <c r="A44280" t="str">
        <f>HYPERLINK("https://www.773grp.com/globalSearch/MR2764A-25-BZA  UF/page-1", "MR2764A-25-BZA  UF")</f>
        <v>MR2764A-25-BZA  UF</v>
      </c>
      <c r="B44280" s="3" t="str">
        <f>HYPERLINK("https://www.773grp.com/manufacturer/onsemi?pageNo=174", "ON Semiconductor")</f>
        <v>ON Semiconductor</v>
      </c>
      <c r="C44280" s="6">
        <v>622</v>
      </c>
      <c r="D44280" s="7">
        <v>0</v>
      </c>
    </row>
    <row r="44281" spans="1:5" x14ac:dyDescent="0.25">
      <c r="A44281" t="str">
        <f>HYPERLINK("https://www.773grp.com/globalSearch/MR2764A-35-BZA/page-1", "MR2764A-35-BZA")</f>
        <v>MR2764A-35-BZA</v>
      </c>
      <c r="B44281" s="3" t="str">
        <f>HYPERLINK("https://www.773grp.com/manufacturer/onsemi?pageNo=175", "ON Semiconductor")</f>
        <v>ON Semiconductor</v>
      </c>
      <c r="C44281" s="6">
        <v>5</v>
      </c>
      <c r="D44281" s="7">
        <v>0</v>
      </c>
    </row>
    <row r="44282" spans="1:5" x14ac:dyDescent="0.25">
      <c r="A44282" t="str">
        <f>HYPERLINK("https://www.773grp.com/globalSearch/MR27C256-20  UT/page-1", "MR27C256-20  UT")</f>
        <v>MR27C256-20  UT</v>
      </c>
      <c r="B44282" s="3" t="str">
        <f>HYPERLINK("https://www.773grp.com/manufacturer/onsemi?pageNo=176", "ON Semiconductor")</f>
        <v>ON Semiconductor</v>
      </c>
      <c r="C44282" s="6">
        <v>1316</v>
      </c>
      <c r="D44282" s="7">
        <v>0</v>
      </c>
    </row>
    <row r="44283" spans="1:5" x14ac:dyDescent="0.25">
      <c r="A44283" t="str">
        <f>HYPERLINK("https://www.773grp.com/globalSearch/MR27C256-20-B/page-1", "MR27C256-20-B")</f>
        <v>MR27C256-20-B</v>
      </c>
      <c r="B44283" s="3" t="str">
        <f>HYPERLINK("https://www.773grp.com/manufacturer/onsemi?pageNo=177", "ON Semiconductor")</f>
        <v>ON Semiconductor</v>
      </c>
      <c r="C44283" s="6">
        <v>170</v>
      </c>
      <c r="D44283" s="7">
        <v>0</v>
      </c>
    </row>
    <row r="44284" spans="1:5" x14ac:dyDescent="0.25">
      <c r="A44284" t="str">
        <f>HYPERLINK("https://www.773grp.com/globalSearch/MR27C64-20-B UM/page-1", "MR27C64-20-B UM")</f>
        <v>MR27C64-20-B UM</v>
      </c>
      <c r="B44284" s="3" t="str">
        <f>HYPERLINK("https://www.773grp.com/manufacturer/onsemi?pageNo=178", "ON Semiconductor")</f>
        <v>ON Semiconductor</v>
      </c>
      <c r="C44284" s="6">
        <v>644</v>
      </c>
      <c r="D44284" s="7">
        <v>0</v>
      </c>
    </row>
    <row r="44285" spans="1:5" x14ac:dyDescent="0.25">
      <c r="A44285" t="str">
        <f>HYPERLINK("https://www.773grp.com/globalSearch/MR27C64-25-B/page-1", "MR27C64-25-B")</f>
        <v>MR27C64-25-B</v>
      </c>
      <c r="B44285" s="3" t="str">
        <f>HYPERLINK("https://www.773grp.com/manufacturer/onsemi?pageNo=179", "ON Semiconductor")</f>
        <v>ON Semiconductor</v>
      </c>
      <c r="C44285" s="6">
        <v>100</v>
      </c>
      <c r="D44285" s="7">
        <v>0</v>
      </c>
    </row>
    <row r="44286" spans="1:5" x14ac:dyDescent="0.25">
      <c r="A44286" t="str">
        <f>HYPERLINK("https://www.773grp.com/globalSearch/MR82510-B/page-1", "MR82510-B")</f>
        <v>MR82510-B</v>
      </c>
      <c r="B44286" s="3" t="str">
        <f>HYPERLINK("https://www.773grp.com/manufacturer/onsemi?pageNo=180", "ON Semiconductor")</f>
        <v>ON Semiconductor</v>
      </c>
      <c r="C44286" s="6">
        <v>983</v>
      </c>
      <c r="D44286" s="7">
        <v>0</v>
      </c>
      <c r="E44286" t="s">
        <v>71</v>
      </c>
    </row>
    <row r="44287" spans="1:5" x14ac:dyDescent="0.25">
      <c r="A44287" t="str">
        <f>HYPERLINK("https://www.773grp.com/globalSearch/MR8251A-B  UT/page-1", "MR8251A-B  UT")</f>
        <v>MR8251A-B  UT</v>
      </c>
      <c r="B44287" s="3" t="str">
        <f>HYPERLINK("https://www.773grp.com/manufacturer/onsemi?pageNo=181", "ON Semiconductor")</f>
        <v>ON Semiconductor</v>
      </c>
      <c r="C44287" s="6">
        <v>96</v>
      </c>
      <c r="D44287" s="7">
        <v>0</v>
      </c>
    </row>
    <row r="44288" spans="1:5" x14ac:dyDescent="0.25">
      <c r="A44288" t="str">
        <f>HYPERLINK("https://www.773grp.com/globalSearch/MR8259A-B/page-1", "MR8259A-B")</f>
        <v>MR8259A-B</v>
      </c>
      <c r="B44288" s="3" t="str">
        <f>HYPERLINK("https://www.773grp.com/manufacturer/onsemi?pageNo=182", "ON Semiconductor")</f>
        <v>ON Semiconductor</v>
      </c>
      <c r="C44288" s="6">
        <v>2254</v>
      </c>
      <c r="D44288" s="7">
        <v>0</v>
      </c>
    </row>
    <row r="44289" spans="1:5" x14ac:dyDescent="0.25">
      <c r="A44289" t="str">
        <f>HYPERLINK("https://www.773grp.com/globalSearch/MR87C51-16-B/page-1", "MR87C51-16-B")</f>
        <v>MR87C51-16-B</v>
      </c>
      <c r="B44289" s="3" t="str">
        <f>HYPERLINK("https://www.773grp.com/manufacturer/onsemi?pageNo=183", "ON Semiconductor")</f>
        <v>ON Semiconductor</v>
      </c>
      <c r="C44289" s="6">
        <v>18</v>
      </c>
      <c r="D44289" s="7">
        <v>0</v>
      </c>
    </row>
    <row r="44290" spans="1:5" x14ac:dyDescent="0.25">
      <c r="A44290" t="str">
        <f>HYPERLINK("https://www.773grp.com/globalSearch/MR87C51-16-B  UF/page-1", "MR87C51-16-B  UF")</f>
        <v>MR87C51-16-B  UF</v>
      </c>
      <c r="B44290" s="3" t="str">
        <f>HYPERLINK("https://www.773grp.com/manufacturer/onsemi?pageNo=184", "ON Semiconductor")</f>
        <v>ON Semiconductor</v>
      </c>
      <c r="C44290" s="6">
        <v>606</v>
      </c>
      <c r="D44290" s="7">
        <v>0</v>
      </c>
    </row>
    <row r="44291" spans="1:5" x14ac:dyDescent="0.25">
      <c r="A44291" t="str">
        <f>HYPERLINK("https://www.773grp.com/globalSearch/N80C152JB-1  UM/page-1", "N80C152JB-1  UM")</f>
        <v>N80C152JB-1  UM</v>
      </c>
      <c r="B44291" s="3" t="str">
        <f>HYPERLINK("https://www.773grp.com/manufacturer/onsemi?pageNo=185", "ON Semiconductor")</f>
        <v>ON Semiconductor</v>
      </c>
      <c r="C44291" s="6">
        <v>2465</v>
      </c>
      <c r="D44291" s="7">
        <v>0</v>
      </c>
    </row>
    <row r="44292" spans="1:5" x14ac:dyDescent="0.25">
      <c r="A44292" t="str">
        <f>HYPERLINK("https://www.773grp.com/globalSearch/N80C152JB-G/page-1", "N80C152JB-G")</f>
        <v>N80C152JB-G</v>
      </c>
      <c r="B44292" s="3" t="str">
        <f>HYPERLINK("https://www.773grp.com/manufacturer/onsemi?pageNo=186", "ON Semiconductor")</f>
        <v>ON Semiconductor</v>
      </c>
      <c r="C44292" s="6">
        <v>196</v>
      </c>
      <c r="D44292" s="7">
        <v>0</v>
      </c>
    </row>
    <row r="44293" spans="1:5" x14ac:dyDescent="0.25">
      <c r="A44293" t="str">
        <f>HYPERLINK("https://www.773grp.com/globalSearch/N80C152JC/page-1", "N80C152JC")</f>
        <v>N80C152JC</v>
      </c>
      <c r="B44293" s="3" t="str">
        <f>HYPERLINK("https://www.773grp.com/manufacturer/onsemi?pageNo=187", "ON Semiconductor")</f>
        <v>ON Semiconductor</v>
      </c>
      <c r="C44293" s="6">
        <v>5200</v>
      </c>
      <c r="D44293" s="7">
        <v>0</v>
      </c>
      <c r="E44293" t="s">
        <v>52</v>
      </c>
    </row>
    <row r="44294" spans="1:5" x14ac:dyDescent="0.25">
      <c r="A44294" t="str">
        <f>HYPERLINK("https://www.773grp.com/globalSearch/N80C152JD  UM/page-1", "N80C152JD  UM")</f>
        <v>N80C152JD  UM</v>
      </c>
      <c r="B44294" s="3" t="str">
        <f>HYPERLINK("https://www.773grp.com/manufacturer/onsemi?pageNo=188", "ON Semiconductor")</f>
        <v>ON Semiconductor</v>
      </c>
      <c r="C44294" s="6">
        <v>1122</v>
      </c>
      <c r="D44294" s="7">
        <v>0</v>
      </c>
    </row>
    <row r="44295" spans="1:5" x14ac:dyDescent="0.25">
      <c r="A44295" t="str">
        <f>HYPERLINK("https://www.773grp.com/globalSearch/N80C152JD-1  UM/page-1", "N80C152JD-1  UM")</f>
        <v>N80C152JD-1  UM</v>
      </c>
      <c r="B44295" s="3" t="str">
        <f>HYPERLINK("https://www.773grp.com/manufacturer/onsemi?pageNo=189", "ON Semiconductor")</f>
        <v>ON Semiconductor</v>
      </c>
      <c r="C44295" s="6">
        <v>14717</v>
      </c>
      <c r="D44295" s="7">
        <v>0</v>
      </c>
    </row>
    <row r="44296" spans="1:5" x14ac:dyDescent="0.25">
      <c r="A44296" t="str">
        <f>HYPERLINK("https://www.773grp.com/globalSearch/N80C152JD-G  UM/page-1", "N80C152JD-G  UM")</f>
        <v>N80C152JD-G  UM</v>
      </c>
      <c r="B44296" s="3" t="str">
        <f>HYPERLINK("https://www.773grp.com/manufacturer/onsemi?pageNo=190", "ON Semiconductor")</f>
        <v>ON Semiconductor</v>
      </c>
      <c r="C44296" s="6">
        <v>8016</v>
      </c>
      <c r="D44296" s="7">
        <v>0</v>
      </c>
    </row>
    <row r="44297" spans="1:5" x14ac:dyDescent="0.25">
      <c r="A44297" t="str">
        <f>HYPERLINK("https://www.773grp.com/globalSearch/N80C51GB  UT/page-1", "N80C51GB  UT")</f>
        <v>N80C51GB  UT</v>
      </c>
      <c r="B44297" s="3" t="str">
        <f>HYPERLINK("https://www.773grp.com/manufacturer/onsemi?pageNo=191", "ON Semiconductor")</f>
        <v>ON Semiconductor</v>
      </c>
      <c r="C44297" s="6">
        <v>749</v>
      </c>
      <c r="D44297" s="7">
        <v>0</v>
      </c>
    </row>
    <row r="44298" spans="1:5" x14ac:dyDescent="0.25">
      <c r="A44298" t="str">
        <f>HYPERLINK("https://www.773grp.com/globalSearch/N8749H-G/page-1", "N8749H-G")</f>
        <v>N8749H-G</v>
      </c>
      <c r="B44298" s="3" t="str">
        <f>HYPERLINK("https://www.773grp.com/manufacturer/onsemi?pageNo=192", "ON Semiconductor")</f>
        <v>ON Semiconductor</v>
      </c>
      <c r="C44298" s="6">
        <v>331</v>
      </c>
      <c r="D44298" s="7">
        <v>0</v>
      </c>
    </row>
    <row r="44299" spans="1:5" x14ac:dyDescent="0.25">
      <c r="A44299" t="str">
        <f>HYPERLINK("https://www.773grp.com/globalSearch/N87C196KC-20/page-1", "N87C196KC-20")</f>
        <v>N87C196KC-20</v>
      </c>
      <c r="B44299" s="3" t="str">
        <f>HYPERLINK("https://www.773grp.com/manufacturer/onsemi?pageNo=193", "ON Semiconductor")</f>
        <v>ON Semiconductor</v>
      </c>
      <c r="C44299" s="6">
        <v>2407</v>
      </c>
      <c r="D44299" s="7">
        <v>0</v>
      </c>
    </row>
    <row r="44300" spans="1:5" x14ac:dyDescent="0.25">
      <c r="A44300" t="str">
        <f>HYPERLINK("https://www.773grp.com/globalSearch/N87C196KD-20/page-1", "N87C196KD-20")</f>
        <v>N87C196KD-20</v>
      </c>
      <c r="B44300" s="3" t="str">
        <f>HYPERLINK("https://www.773grp.com/manufacturer/onsemi?pageNo=194", "ON Semiconductor")</f>
        <v>ON Semiconductor</v>
      </c>
      <c r="C44300" s="6">
        <v>1128</v>
      </c>
      <c r="D44300" s="7">
        <v>0</v>
      </c>
      <c r="E44300" t="s">
        <v>52</v>
      </c>
    </row>
    <row r="44301" spans="1:5" x14ac:dyDescent="0.25">
      <c r="A44301" t="str">
        <f>HYPERLINK("https://www.773grp.com/globalSearch/P8039AHL/page-1", "P8039AHL")</f>
        <v>P8039AHL</v>
      </c>
      <c r="B44301" s="3" t="str">
        <f>HYPERLINK("https://www.773grp.com/manufacturer/onsemi?pageNo=195", "ON Semiconductor")</f>
        <v>ON Semiconductor</v>
      </c>
      <c r="C44301" s="6">
        <v>839</v>
      </c>
      <c r="D44301" s="7">
        <v>0</v>
      </c>
      <c r="E44301" t="s">
        <v>52</v>
      </c>
    </row>
    <row r="44302" spans="1:5" x14ac:dyDescent="0.25">
      <c r="A44302" t="str">
        <f>HYPERLINK("https://www.773grp.com/globalSearch/P8085AH-2 UM/page-1", "P8085AH-2 UM")</f>
        <v>P8085AH-2 UM</v>
      </c>
      <c r="B44302" s="3" t="str">
        <f>HYPERLINK("https://www.773grp.com/manufacturer/onsemi?pageNo=196", "ON Semiconductor")</f>
        <v>ON Semiconductor</v>
      </c>
      <c r="C44302" s="6">
        <v>280</v>
      </c>
      <c r="D44302" s="7">
        <v>0</v>
      </c>
    </row>
    <row r="44303" spans="1:5" x14ac:dyDescent="0.25">
      <c r="A44303" t="str">
        <f>HYPERLINK("https://www.773grp.com/globalSearch/P80C152JA-1  UM/page-1", "P80C152JA-1  UM")</f>
        <v>P80C152JA-1  UM</v>
      </c>
      <c r="B44303" s="3" t="str">
        <f>HYPERLINK("https://www.773grp.com/manufacturer/onsemi?pageNo=197", "ON Semiconductor")</f>
        <v>ON Semiconductor</v>
      </c>
      <c r="C44303" s="6">
        <v>87</v>
      </c>
      <c r="D44303" s="7">
        <v>0</v>
      </c>
    </row>
    <row r="44304" spans="1:5" x14ac:dyDescent="0.25">
      <c r="A44304" t="str">
        <f>HYPERLINK("https://www.773grp.com/globalSearch/P80C152JC  UM/page-1", "P80C152JC  UM")</f>
        <v>P80C152JC  UM</v>
      </c>
      <c r="B44304" s="3" t="str">
        <f>HYPERLINK("https://www.773grp.com/manufacturer/onsemi?pageNo=198", "ON Semiconductor")</f>
        <v>ON Semiconductor</v>
      </c>
      <c r="C44304" s="6">
        <v>3212</v>
      </c>
      <c r="D44304" s="7">
        <v>0</v>
      </c>
    </row>
    <row r="44305" spans="1:5" x14ac:dyDescent="0.25">
      <c r="A44305" t="str">
        <f>HYPERLINK("https://www.773grp.com/globalSearch/P82C54-2/page-1", "P82C54-2")</f>
        <v>P82C54-2</v>
      </c>
      <c r="B44305" s="3" t="str">
        <f>HYPERLINK("https://www.773grp.com/manufacturer/onsemi?pageNo=199", "ON Semiconductor")</f>
        <v>ON Semiconductor</v>
      </c>
      <c r="C44305" s="6">
        <v>9712</v>
      </c>
      <c r="D44305" s="7">
        <v>0</v>
      </c>
      <c r="E44305" t="s">
        <v>82</v>
      </c>
    </row>
    <row r="44306" spans="1:5" x14ac:dyDescent="0.25">
      <c r="A44306" t="str">
        <f>HYPERLINK("https://www.773grp.com/globalSearch/P8798/page-1", "P8798")</f>
        <v>P8798</v>
      </c>
      <c r="B44306" s="3" t="str">
        <f>HYPERLINK("https://www.773grp.com/manufacturer/onsemi?pageNo=200", "ON Semiconductor")</f>
        <v>ON Semiconductor</v>
      </c>
      <c r="C44306" s="6">
        <v>9203</v>
      </c>
      <c r="D44306" s="7">
        <v>0</v>
      </c>
      <c r="E44306" t="s">
        <v>52</v>
      </c>
    </row>
    <row r="44307" spans="1:5" x14ac:dyDescent="0.25">
      <c r="A44307" t="str">
        <f>HYPERLINK("https://www.773grp.com/globalSearch/QD8751H-8 UT/page-1", "QD8751H-8 UT")</f>
        <v>QD8751H-8 UT</v>
      </c>
      <c r="B44307" s="3" t="str">
        <f>HYPERLINK("https://www.773grp.com/manufacturer/onsemi?pageNo=201", "ON Semiconductor")</f>
        <v>ON Semiconductor</v>
      </c>
      <c r="C44307" s="6">
        <v>2418</v>
      </c>
      <c r="D44307" s="7">
        <v>0</v>
      </c>
    </row>
    <row r="44308" spans="1:5" x14ac:dyDescent="0.25">
      <c r="A44308" t="str">
        <f>HYPERLINK("https://www.773grp.com/globalSearch/R1030/page-1", "R1030")</f>
        <v>R1030</v>
      </c>
      <c r="B44308" s="3" t="str">
        <f>HYPERLINK("https://www.773grp.com/manufacturer/onsemi?pageNo=202", "ON Semiconductor")</f>
        <v>ON Semiconductor</v>
      </c>
      <c r="C44308" s="6">
        <v>22</v>
      </c>
      <c r="D44308" s="7">
        <v>0</v>
      </c>
      <c r="E44308" t="s">
        <v>122</v>
      </c>
    </row>
    <row r="44309" spans="1:5" x14ac:dyDescent="0.25">
      <c r="A44309" t="str">
        <f>HYPERLINK("https://www.773grp.com/globalSearch/R1071/page-1", "R1071")</f>
        <v>R1071</v>
      </c>
      <c r="B44309" s="3" t="str">
        <f>HYPERLINK("https://www.773grp.com/manufacturer/onsemi?pageNo=203", "ON Semiconductor")</f>
        <v>ON Semiconductor</v>
      </c>
      <c r="C44309" s="6">
        <v>7</v>
      </c>
      <c r="D44309" s="7">
        <v>0</v>
      </c>
    </row>
    <row r="44310" spans="1:5" x14ac:dyDescent="0.25">
      <c r="A44310" t="str">
        <f>HYPERLINK("https://www.773grp.com/globalSearch/R1078/page-1", "R1078")</f>
        <v>R1078</v>
      </c>
      <c r="B44310" s="3" t="str">
        <f>HYPERLINK("https://www.773grp.com/manufacturer/onsemi?pageNo=204", "ON Semiconductor")</f>
        <v>ON Semiconductor</v>
      </c>
      <c r="C44310" s="6">
        <v>36</v>
      </c>
      <c r="D44310" s="7">
        <v>0</v>
      </c>
    </row>
    <row r="44311" spans="1:5" x14ac:dyDescent="0.25">
      <c r="A44311" t="str">
        <f>HYPERLINK("https://www.773grp.com/globalSearch/R1169/page-1", "R1169")</f>
        <v>R1169</v>
      </c>
      <c r="B44311" s="3" t="str">
        <f>HYPERLINK("https://www.773grp.com/manufacturer/onsemi?pageNo=205", "ON Semiconductor")</f>
        <v>ON Semiconductor</v>
      </c>
      <c r="C44311" s="6">
        <v>42</v>
      </c>
      <c r="D44311" s="7">
        <v>0</v>
      </c>
    </row>
    <row r="44312" spans="1:5" x14ac:dyDescent="0.25">
      <c r="A44312" t="str">
        <f>HYPERLINK("https://www.773grp.com/globalSearch/R1173  UM/page-1", "R1173  UM")</f>
        <v>R1173  UM</v>
      </c>
      <c r="B44312" s="3" t="str">
        <f>HYPERLINK("https://www.773grp.com/manufacturer/onsemi?pageNo=206", "ON Semiconductor")</f>
        <v>ON Semiconductor</v>
      </c>
      <c r="C44312" s="6">
        <v>631</v>
      </c>
      <c r="D44312" s="7">
        <v>0</v>
      </c>
    </row>
    <row r="44313" spans="1:5" x14ac:dyDescent="0.25">
      <c r="A44313" t="str">
        <f>HYPERLINK("https://www.773grp.com/globalSearch/R1292/page-1", "R1292")</f>
        <v>R1292</v>
      </c>
      <c r="B44313" s="3" t="str">
        <f>HYPERLINK("https://www.773grp.com/manufacturer/onsemi?pageNo=207", "ON Semiconductor")</f>
        <v>ON Semiconductor</v>
      </c>
      <c r="C44313" s="6">
        <v>4679</v>
      </c>
      <c r="D44313" s="7">
        <v>0</v>
      </c>
    </row>
    <row r="44314" spans="1:5" x14ac:dyDescent="0.25">
      <c r="A44314" t="str">
        <f>HYPERLINK("https://www.773grp.com/globalSearch/R1313/page-1", "R1313")</f>
        <v>R1313</v>
      </c>
      <c r="B44314" s="3" t="str">
        <f>HYPERLINK("https://www.773grp.com/manufacturer/onsemi?pageNo=208", "ON Semiconductor")</f>
        <v>ON Semiconductor</v>
      </c>
      <c r="C44314" s="6">
        <v>4</v>
      </c>
      <c r="D44314" s="7">
        <v>0</v>
      </c>
    </row>
    <row r="44315" spans="1:5" x14ac:dyDescent="0.25">
      <c r="A44315" t="str">
        <f>HYPERLINK("https://www.773grp.com/globalSearch/R1324/page-1", "R1324")</f>
        <v>R1324</v>
      </c>
      <c r="B44315" s="3" t="str">
        <f>HYPERLINK("https://www.773grp.com/manufacturer/onsemi?pageNo=209", "ON Semiconductor")</f>
        <v>ON Semiconductor</v>
      </c>
      <c r="C44315" s="6">
        <v>8</v>
      </c>
      <c r="D44315" s="7">
        <v>0</v>
      </c>
    </row>
    <row r="44316" spans="1:5" x14ac:dyDescent="0.25">
      <c r="A44316" t="str">
        <f>HYPERLINK("https://www.773grp.com/globalSearch/R1385/page-1", "R1385")</f>
        <v>R1385</v>
      </c>
      <c r="B44316" s="3" t="str">
        <f>HYPERLINK("https://www.773grp.com/manufacturer/onsemi?pageNo=210", "ON Semiconductor")</f>
        <v>ON Semiconductor</v>
      </c>
      <c r="C44316" s="6">
        <v>268</v>
      </c>
      <c r="D44316" s="7">
        <v>0</v>
      </c>
    </row>
    <row r="44317" spans="1:5" x14ac:dyDescent="0.25">
      <c r="A44317" t="str">
        <f>HYPERLINK("https://www.773grp.com/globalSearch/R1506/page-1", "R1506")</f>
        <v>R1506</v>
      </c>
      <c r="B44317" s="3" t="str">
        <f>HYPERLINK("https://www.773grp.com/manufacturer/onsemi?pageNo=211", "ON Semiconductor")</f>
        <v>ON Semiconductor</v>
      </c>
      <c r="C44317" s="6">
        <v>7</v>
      </c>
      <c r="D44317" s="7">
        <v>0</v>
      </c>
    </row>
    <row r="44318" spans="1:5" x14ac:dyDescent="0.25">
      <c r="A44318" t="str">
        <f>HYPERLINK("https://www.773grp.com/globalSearch/R1668/page-1", "R1668")</f>
        <v>R1668</v>
      </c>
      <c r="B44318" s="3" t="str">
        <f>HYPERLINK("https://www.773grp.com/manufacturer/onsemi?pageNo=212", "ON Semiconductor")</f>
        <v>ON Semiconductor</v>
      </c>
      <c r="C44318" s="6">
        <v>538</v>
      </c>
      <c r="D44318" s="7">
        <v>0</v>
      </c>
    </row>
    <row r="44319" spans="1:5" x14ac:dyDescent="0.25">
      <c r="A44319" t="str">
        <f>HYPERLINK("https://www.773grp.com/globalSearch/TA8097BH UT/page-1", "TA8097BH UT")</f>
        <v>TA8097BH UT</v>
      </c>
      <c r="B44319" s="3" t="str">
        <f>HYPERLINK("https://www.773grp.com/manufacturer/onsemi?pageNo=213", "ON Semiconductor")</f>
        <v>ON Semiconductor</v>
      </c>
      <c r="C44319" s="6">
        <v>140</v>
      </c>
      <c r="D44319" s="7">
        <v>0</v>
      </c>
    </row>
    <row r="44320" spans="1:5" x14ac:dyDescent="0.25">
      <c r="A44320" t="str">
        <f>HYPERLINK("https://www.773grp.com/globalSearch/TA80C186XL-20  UM/page-1", "TA80C186XL-20  UM")</f>
        <v>TA80C186XL-20  UM</v>
      </c>
      <c r="B44320" s="3" t="str">
        <f>HYPERLINK("https://www.773grp.com/manufacturer/onsemi?pageNo=214", "ON Semiconductor")</f>
        <v>ON Semiconductor</v>
      </c>
      <c r="C44320" s="6">
        <v>531</v>
      </c>
      <c r="D44320" s="7">
        <v>0</v>
      </c>
    </row>
    <row r="44321" spans="1:5" x14ac:dyDescent="0.25">
      <c r="A44321" t="str">
        <f>HYPERLINK("https://www.773grp.com/globalSearch/TD8243/page-1", "TD8243")</f>
        <v>TD8243</v>
      </c>
      <c r="B44321" s="3" t="str">
        <f>HYPERLINK("https://www.773grp.com/manufacturer/onsemi?pageNo=215", "ON Semiconductor")</f>
        <v>ON Semiconductor</v>
      </c>
      <c r="C44321" s="6">
        <v>167</v>
      </c>
      <c r="D44321" s="7">
        <v>0</v>
      </c>
      <c r="E44321" t="s">
        <v>90</v>
      </c>
    </row>
    <row r="44322" spans="1:5" x14ac:dyDescent="0.25">
      <c r="A44322" t="str">
        <f>HYPERLINK("https://www.773grp.com/globalSearch/TE28F010-90/page-1", "TE28F010-90")</f>
        <v>TE28F010-90</v>
      </c>
      <c r="B44322" s="3" t="str">
        <f>HYPERLINK("https://www.773grp.com/manufacturer/onsemi?pageNo=216", "ON Semiconductor")</f>
        <v>ON Semiconductor</v>
      </c>
      <c r="C44322" s="6">
        <v>50</v>
      </c>
      <c r="D44322" s="7">
        <v>0</v>
      </c>
    </row>
    <row r="44323" spans="1:5" x14ac:dyDescent="0.25">
      <c r="A44323" t="str">
        <f>HYPERLINK("https://www.773grp.com/globalSearch/TE28F010-90  UM/page-1", "TE28F010-90  UM")</f>
        <v>TE28F010-90  UM</v>
      </c>
      <c r="B44323" s="3" t="str">
        <f>HYPERLINK("https://www.773grp.com/manufacturer/onsemi?pageNo=217", "ON Semiconductor")</f>
        <v>ON Semiconductor</v>
      </c>
      <c r="C44323" s="6">
        <v>596</v>
      </c>
      <c r="D44323" s="7">
        <v>0</v>
      </c>
    </row>
    <row r="44324" spans="1:5" x14ac:dyDescent="0.25">
      <c r="A44324" t="str">
        <f>HYPERLINK("https://www.773grp.com/globalSearch/TE28F800B5B90  UF/page-1", "TE28F800B5B90  UF")</f>
        <v>TE28F800B5B90  UF</v>
      </c>
      <c r="B44324" s="3" t="str">
        <f>HYPERLINK("https://www.773grp.com/manufacturer/onsemi?pageNo=218", "ON Semiconductor")</f>
        <v>ON Semiconductor</v>
      </c>
      <c r="C44324" s="6">
        <v>6743</v>
      </c>
      <c r="D44324" s="7">
        <v>0</v>
      </c>
    </row>
    <row r="44325" spans="1:5" x14ac:dyDescent="0.25">
      <c r="A44325" t="str">
        <f>HYPERLINK("https://www.773grp.com/globalSearch/TF28F010-90/page-1", "TF28F010-90")</f>
        <v>TF28F010-90</v>
      </c>
      <c r="B44325" s="3" t="str">
        <f>HYPERLINK("https://www.773grp.com/manufacturer/onsemi?pageNo=219", "ON Semiconductor")</f>
        <v>ON Semiconductor</v>
      </c>
      <c r="C44325" s="6">
        <v>2074</v>
      </c>
      <c r="D44325" s="7">
        <v>0</v>
      </c>
    </row>
    <row r="44326" spans="1:5" x14ac:dyDescent="0.25">
      <c r="A44326" t="str">
        <f>HYPERLINK("https://www.773grp.com/globalSearch/TN28F010-90-G  UM/page-1", "TN28F010-90-G  UM")</f>
        <v>TN28F010-90-G  UM</v>
      </c>
      <c r="B44326" s="3" t="str">
        <f>HYPERLINK("https://www.773grp.com/manufacturer/onsemi?pageNo=220", "ON Semiconductor")</f>
        <v>ON Semiconductor</v>
      </c>
      <c r="C44326" s="6">
        <v>1278</v>
      </c>
      <c r="D44326" s="7">
        <v>0</v>
      </c>
    </row>
    <row r="44327" spans="1:5" x14ac:dyDescent="0.25">
      <c r="A44327" t="str">
        <f>HYPERLINK("https://www.773grp.com/globalSearch/TN28F020-150 UM/page-1", "TN28F020-150 UM")</f>
        <v>TN28F020-150 UM</v>
      </c>
      <c r="B44327" s="3" t="str">
        <f>HYPERLINK("https://www.773grp.com/manufacturer/onsemi?pageNo=221", "ON Semiconductor")</f>
        <v>ON Semiconductor</v>
      </c>
      <c r="C44327" s="6">
        <v>490</v>
      </c>
      <c r="D44327" s="7">
        <v>0</v>
      </c>
    </row>
    <row r="44328" spans="1:5" x14ac:dyDescent="0.25">
      <c r="A44328" t="str">
        <f>HYPERLINK("https://www.773grp.com/globalSearch/TN80C186EB-16  UM/page-1", "TN80C186EB-16  UM")</f>
        <v>TN80C186EB-16  UM</v>
      </c>
      <c r="B44328" s="3" t="str">
        <f>HYPERLINK("https://www.773grp.com/manufacturer/onsemi?pageNo=222", "ON Semiconductor")</f>
        <v>ON Semiconductor</v>
      </c>
      <c r="C44328" s="6">
        <v>876</v>
      </c>
      <c r="D44328" s="7">
        <v>0</v>
      </c>
    </row>
    <row r="44329" spans="1:5" x14ac:dyDescent="0.25">
      <c r="A44329" t="str">
        <f>HYPERLINK("https://www.773grp.com/globalSearch/TN80C196KC20/page-1", "TN80C196KC20")</f>
        <v>TN80C196KC20</v>
      </c>
      <c r="B44329" s="3" t="str">
        <f>HYPERLINK("https://www.773grp.com/manufacturer/onsemi?pageNo=223", "ON Semiconductor")</f>
        <v>ON Semiconductor</v>
      </c>
      <c r="C44329" s="6">
        <v>478</v>
      </c>
      <c r="D44329" s="7">
        <v>0</v>
      </c>
      <c r="E44329" t="s">
        <v>52</v>
      </c>
    </row>
    <row r="44330" spans="1:5" x14ac:dyDescent="0.25">
      <c r="A44330" t="str">
        <f>HYPERLINK("https://www.773grp.com/globalSearch/TN82C54-2/page-1", "TN82C54-2")</f>
        <v>TN82C54-2</v>
      </c>
      <c r="B44330" s="3" t="str">
        <f>HYPERLINK("https://www.773grp.com/manufacturer/onsemi?pageNo=224", "ON Semiconductor")</f>
        <v>ON Semiconductor</v>
      </c>
      <c r="C44330" s="6">
        <v>8210</v>
      </c>
      <c r="D44330" s="7">
        <v>0</v>
      </c>
      <c r="E44330" t="s">
        <v>82</v>
      </c>
    </row>
    <row r="44331" spans="1:5" x14ac:dyDescent="0.25">
      <c r="A44331" t="str">
        <f>HYPERLINK("https://www.773grp.com/globalSearch/TN82C54-2  UM/page-1", "TN82C54-2  UM")</f>
        <v>TN82C54-2  UM</v>
      </c>
      <c r="B44331" s="3" t="str">
        <f>HYPERLINK("https://www.773grp.com/manufacturer/onsemi?pageNo=225", "ON Semiconductor")</f>
        <v>ON Semiconductor</v>
      </c>
      <c r="C44331" s="6">
        <v>9421</v>
      </c>
      <c r="D44331" s="7">
        <v>0</v>
      </c>
    </row>
    <row r="44332" spans="1:5" x14ac:dyDescent="0.25">
      <c r="A44332" t="str">
        <f>HYPERLINK("https://www.773grp.com/globalSearch/TN87C196KC/page-1", "TN87C196KC")</f>
        <v>TN87C196KC</v>
      </c>
      <c r="B44332" s="3" t="str">
        <f>HYPERLINK("https://www.773grp.com/manufacturer/onsemi?pageNo=226", "ON Semiconductor")</f>
        <v>ON Semiconductor</v>
      </c>
      <c r="C44332" s="6">
        <v>953</v>
      </c>
      <c r="D44332" s="7">
        <v>0</v>
      </c>
    </row>
    <row r="44333" spans="1:5" x14ac:dyDescent="0.25">
      <c r="A44333" t="str">
        <f>HYPERLINK("https://www.773grp.com/globalSearch/TN87C196KD/page-1", "TN87C196KD")</f>
        <v>TN87C196KD</v>
      </c>
      <c r="B44333" s="3" t="str">
        <f>HYPERLINK("https://www.773grp.com/manufacturer/onsemi?pageNo=227", "ON Semiconductor")</f>
        <v>ON Semiconductor</v>
      </c>
      <c r="C44333" s="6">
        <v>200</v>
      </c>
      <c r="D44333" s="7">
        <v>0</v>
      </c>
    </row>
    <row r="44334" spans="1:5" x14ac:dyDescent="0.25">
      <c r="A44334" t="str">
        <f>HYPERLINK("https://www.773grp.com/globalSearch/TN87C196KD UM/page-1", "TN87C196KD UM")</f>
        <v>TN87C196KD UM</v>
      </c>
      <c r="B44334" s="3" t="str">
        <f>HYPERLINK("https://www.773grp.com/manufacturer/onsemi?pageNo=228", "ON Semiconductor")</f>
        <v>ON Semiconductor</v>
      </c>
      <c r="C44334" s="6">
        <v>673</v>
      </c>
      <c r="D44334" s="7">
        <v>0</v>
      </c>
    </row>
    <row r="44335" spans="1:5" x14ac:dyDescent="0.25">
      <c r="A44335" t="str">
        <f>HYPERLINK("https://www.773grp.com/globalSearch/TP8044AH/page-1", "TP8044AH")</f>
        <v>TP8044AH</v>
      </c>
      <c r="B44335" s="3" t="str">
        <f>HYPERLINK("https://www.773grp.com/manufacturer/onsemi?pageNo=229", "ON Semiconductor")</f>
        <v>ON Semiconductor</v>
      </c>
      <c r="C44335" s="6">
        <v>33</v>
      </c>
      <c r="D44335" s="7">
        <v>0</v>
      </c>
    </row>
    <row r="44336" spans="1:5" x14ac:dyDescent="0.25">
      <c r="A44336" t="str">
        <f>HYPERLINK("https://www.773grp.com/globalSearch/TP8044AH  UT/page-1", "TP8044AH  UT")</f>
        <v>TP8044AH  UT</v>
      </c>
      <c r="B44336" s="3" t="str">
        <f>HYPERLINK("https://www.773grp.com/manufacturer/onsemi?pageNo=230", "ON Semiconductor")</f>
        <v>ON Semiconductor</v>
      </c>
      <c r="C44336" s="6">
        <v>57</v>
      </c>
      <c r="D44336" s="7">
        <v>0</v>
      </c>
    </row>
    <row r="44337" spans="1:5" x14ac:dyDescent="0.25">
      <c r="A44337" t="str">
        <f>HYPERLINK("https://www.773grp.com/globalSearch/TP82C54/page-1", "TP82C54")</f>
        <v>TP82C54</v>
      </c>
      <c r="B44337" s="3" t="str">
        <f>HYPERLINK("https://www.773grp.com/manufacturer/onsemi?pageNo=231", "ON Semiconductor")</f>
        <v>ON Semiconductor</v>
      </c>
      <c r="C44337" s="6">
        <v>1000</v>
      </c>
      <c r="D44337" s="7">
        <v>0</v>
      </c>
      <c r="E44337" t="s">
        <v>82</v>
      </c>
    </row>
    <row r="44338" spans="1:5" x14ac:dyDescent="0.25">
      <c r="A44338" t="str">
        <f>HYPERLINK("https://www.773grp.com/globalSearch/TP82C54-2/page-1", "TP82C54-2")</f>
        <v>TP82C54-2</v>
      </c>
      <c r="B44338" s="3" t="str">
        <f>HYPERLINK("https://www.773grp.com/manufacturer/onsemi?pageNo=232", "ON Semiconductor")</f>
        <v>ON Semiconductor</v>
      </c>
      <c r="C44338" s="6">
        <v>1096</v>
      </c>
      <c r="D44338" s="7">
        <v>0</v>
      </c>
      <c r="E44338" t="s">
        <v>82</v>
      </c>
    </row>
    <row r="44339" spans="1:5" x14ac:dyDescent="0.25">
      <c r="A44339" t="str">
        <f>HYPERLINK("https://www.773grp.com/globalSearch/TP82C54-2  UM/page-1", "TP82C54-2  UM")</f>
        <v>TP82C54-2  UM</v>
      </c>
      <c r="B44339" s="3" t="str">
        <f>HYPERLINK("https://www.773grp.com/manufacturer/onsemi?pageNo=233", "ON Semiconductor")</f>
        <v>ON Semiconductor</v>
      </c>
      <c r="C44339" s="6">
        <v>11217</v>
      </c>
      <c r="D44339" s="7">
        <v>0</v>
      </c>
    </row>
    <row r="44340" spans="1:5" x14ac:dyDescent="0.25">
      <c r="A44340" t="str">
        <f>HYPERLINK("https://www.773grp.com/globalSearch/ICM7170AIPG/page-1", "ICM7170AIPG")</f>
        <v>ICM7170AIPG</v>
      </c>
      <c r="B44340" s="3" t="str">
        <f>HYPERLINK("https://www.773grp.com/manufacturer/onsemi?pageNo=234", "ON Semiconductor")</f>
        <v>ON Semiconductor</v>
      </c>
      <c r="C44340" s="6">
        <v>14</v>
      </c>
      <c r="D44340" s="7">
        <v>0</v>
      </c>
      <c r="E44340" t="s">
        <v>82</v>
      </c>
    </row>
    <row r="44341" spans="1:5" x14ac:dyDescent="0.25">
      <c r="A44341" t="str">
        <f>HYPERLINK("https://www.773grp.com/globalSearch/X28C512DM-15-B/page-1", "X28C512DM-15-B")</f>
        <v>X28C512DM-15-B</v>
      </c>
      <c r="B44341" s="3" t="str">
        <f>HYPERLINK("https://www.773grp.com/manufacturer/onsemi?pageNo=235", "ON Semiconductor")</f>
        <v>ON Semiconductor</v>
      </c>
      <c r="C44341" s="6">
        <v>282</v>
      </c>
      <c r="D44341" s="7">
        <v>0</v>
      </c>
    </row>
    <row r="44342" spans="1:5" x14ac:dyDescent="0.25">
      <c r="A44342" t="str">
        <f>HYPERLINK("https://www.773grp.com/globalSearch/X28C512EM-12/page-1", "X28C512EM-12")</f>
        <v>X28C512EM-12</v>
      </c>
      <c r="B44342" s="3" t="str">
        <f>HYPERLINK("https://www.773grp.com/manufacturer/onsemi?pageNo=236", "ON Semiconductor")</f>
        <v>ON Semiconductor</v>
      </c>
      <c r="C44342" s="6">
        <v>312</v>
      </c>
      <c r="D44342" s="7">
        <v>0</v>
      </c>
    </row>
    <row r="44343" spans="1:5" x14ac:dyDescent="0.25">
      <c r="A44343" t="str">
        <f>HYPERLINK("https://www.773grp.com/globalSearch/X28C512JI-12/page-1", "X28C512JI-12")</f>
        <v>X28C512JI-12</v>
      </c>
      <c r="B44343" s="3" t="str">
        <f>HYPERLINK("https://www.773grp.com/manufacturer/onsemi?pageNo=237", "ON Semiconductor")</f>
        <v>ON Semiconductor</v>
      </c>
      <c r="C44343" s="6">
        <v>150</v>
      </c>
      <c r="D44343" s="7">
        <v>0</v>
      </c>
    </row>
    <row r="44344" spans="1:5" x14ac:dyDescent="0.25">
      <c r="A44344" t="str">
        <f>HYPERLINK("https://www.773grp.com/globalSearch/X28C512JI-15/page-1", "X28C512JI-15")</f>
        <v>X28C512JI-15</v>
      </c>
      <c r="B44344" s="3" t="str">
        <f>HYPERLINK("https://www.773grp.com/manufacturer/onsemi?pageNo=238", "ON Semiconductor")</f>
        <v>ON Semiconductor</v>
      </c>
      <c r="C44344" s="6">
        <v>50</v>
      </c>
      <c r="D44344" s="7">
        <v>0</v>
      </c>
    </row>
    <row r="44345" spans="1:5" x14ac:dyDescent="0.25">
      <c r="A44345" t="str">
        <f>HYPERLINK("https://www.773grp.com/globalSearch/X28C513JI-12/page-1", "X28C513JI-12")</f>
        <v>X28C513JI-12</v>
      </c>
      <c r="B44345" s="3" t="str">
        <f>HYPERLINK("https://www.773grp.com/manufacturer/onsemi?pageNo=239", "ON Semiconductor")</f>
        <v>ON Semiconductor</v>
      </c>
      <c r="C44345" s="6">
        <v>554</v>
      </c>
      <c r="D44345" s="7">
        <v>0</v>
      </c>
    </row>
    <row r="44346" spans="1:5" x14ac:dyDescent="0.25">
      <c r="A44346" t="str">
        <f>HYPERLINK("https://www.773grp.com/globalSearch/R1133/page-1", "R1133")</f>
        <v>R1133</v>
      </c>
      <c r="B44346" s="3" t="str">
        <f>HYPERLINK("https://www.773grp.com/manufacturer/onsemi?pageNo=240", "ON Semiconductor")</f>
        <v>ON Semiconductor</v>
      </c>
      <c r="C44346" s="6">
        <v>94</v>
      </c>
      <c r="D44346" s="7">
        <v>0</v>
      </c>
    </row>
    <row r="44347" spans="1:5" x14ac:dyDescent="0.25">
      <c r="A44347" t="str">
        <f>HYPERLINK("https://www.773grp.com/globalSearch/R1236/page-1", "R1236")</f>
        <v>R1236</v>
      </c>
      <c r="B44347" s="3" t="str">
        <f>HYPERLINK("https://www.773grp.com/manufacturer/onsemi?pageNo=241", "ON Semiconductor")</f>
        <v>ON Semiconductor</v>
      </c>
      <c r="C44347" s="6">
        <v>668</v>
      </c>
      <c r="D44347" s="7">
        <v>0</v>
      </c>
    </row>
    <row r="44348" spans="1:5" x14ac:dyDescent="0.25">
      <c r="A44348" t="str">
        <f>HYPERLINK("https://www.773grp.com/globalSearch/R1336/page-1", "R1336")</f>
        <v>R1336</v>
      </c>
      <c r="B44348" s="3" t="str">
        <f>HYPERLINK("https://www.773grp.com/manufacturer/onsemi?pageNo=242", "ON Semiconductor")</f>
        <v>ON Semiconductor</v>
      </c>
      <c r="C44348" s="6">
        <v>2471</v>
      </c>
      <c r="D44348" s="7">
        <v>0</v>
      </c>
    </row>
    <row r="44349" spans="1:5" x14ac:dyDescent="0.25">
      <c r="A44349" t="str">
        <f>HYPERLINK("https://www.773grp.com/globalSearch/R1336  UT/page-1", "R1336  UT")</f>
        <v>R1336  UT</v>
      </c>
      <c r="B44349" s="3" t="str">
        <f>HYPERLINK("https://www.773grp.com/manufacturer/onsemi?pageNo=243", "ON Semiconductor")</f>
        <v>ON Semiconductor</v>
      </c>
      <c r="C44349" s="6">
        <v>5874</v>
      </c>
      <c r="D44349" s="7">
        <v>0</v>
      </c>
    </row>
    <row r="44350" spans="1:5" x14ac:dyDescent="0.25">
      <c r="A44350" t="str">
        <f>HYPERLINK("https://www.773grp.com/globalSearch/R1352/page-1", "R1352")</f>
        <v>R1352</v>
      </c>
      <c r="B44350" s="3" t="str">
        <f>HYPERLINK("https://www.773grp.com/manufacturer/onsemi?pageNo=244", "ON Semiconductor")</f>
        <v>ON Semiconductor</v>
      </c>
      <c r="C44350" s="6">
        <v>1613</v>
      </c>
      <c r="D44350" s="7">
        <v>0</v>
      </c>
    </row>
    <row r="44351" spans="1:5" x14ac:dyDescent="0.25">
      <c r="A44351" t="str">
        <f>HYPERLINK("https://www.773grp.com/globalSearch/R1354/page-1", "R1354")</f>
        <v>R1354</v>
      </c>
      <c r="B44351" s="3" t="str">
        <f>HYPERLINK("https://www.773grp.com/manufacturer/onsemi?pageNo=245", "ON Semiconductor")</f>
        <v>ON Semiconductor</v>
      </c>
      <c r="C44351" s="6">
        <v>1663</v>
      </c>
      <c r="D44351" s="7">
        <v>0</v>
      </c>
    </row>
    <row r="44352" spans="1:5" x14ac:dyDescent="0.25">
      <c r="A44352" t="str">
        <f>HYPERLINK("https://www.773grp.com/globalSearch/R1356/page-1", "R1356")</f>
        <v>R1356</v>
      </c>
      <c r="B44352" s="3" t="str">
        <f>HYPERLINK("https://www.773grp.com/manufacturer/onsemi?pageNo=246", "ON Semiconductor")</f>
        <v>ON Semiconductor</v>
      </c>
      <c r="C44352" s="6">
        <v>402</v>
      </c>
      <c r="D44352" s="7">
        <v>0</v>
      </c>
    </row>
    <row r="44353" spans="1:5" x14ac:dyDescent="0.25">
      <c r="A44353" t="str">
        <f>HYPERLINK("https://www.773grp.com/globalSearch/R1518  UM-UT/page-1", "R1518  UM-UT")</f>
        <v>R1518  UM-UT</v>
      </c>
      <c r="B44353" s="3" t="str">
        <f>HYPERLINK("https://www.773grp.com/manufacturer/onsemi?pageNo=247", "ON Semiconductor")</f>
        <v>ON Semiconductor</v>
      </c>
      <c r="C44353" s="6">
        <v>637</v>
      </c>
      <c r="D44353" s="7">
        <v>0</v>
      </c>
    </row>
    <row r="44354" spans="1:5" x14ac:dyDescent="0.25">
      <c r="A44354" t="str">
        <f>HYPERLINK("https://www.773grp.com/globalSearch/R1518  UT/page-1", "R1518  UT")</f>
        <v>R1518  UT</v>
      </c>
      <c r="B44354" s="3" t="str">
        <f>HYPERLINK("https://www.773grp.com/manufacturer/onsemi?pageNo=248", "ON Semiconductor")</f>
        <v>ON Semiconductor</v>
      </c>
      <c r="C44354" s="6">
        <v>81</v>
      </c>
      <c r="D44354" s="7">
        <v>0</v>
      </c>
    </row>
    <row r="44355" spans="1:5" x14ac:dyDescent="0.25">
      <c r="A44355" t="str">
        <f>HYPERLINK("https://www.773grp.com/globalSearch/R1518 UT REJECTS/page-1", "R1518 UT REJECTS")</f>
        <v>R1518 UT REJECTS</v>
      </c>
      <c r="B44355" s="3" t="str">
        <f>HYPERLINK("https://www.773grp.com/manufacturer/onsemi?pageNo=249", "ON Semiconductor")</f>
        <v>ON Semiconductor</v>
      </c>
      <c r="C44355" s="6">
        <v>150</v>
      </c>
      <c r="D44355" s="7">
        <v>0</v>
      </c>
    </row>
    <row r="44356" spans="1:5" x14ac:dyDescent="0.25">
      <c r="A44356" t="str">
        <f>HYPERLINK("https://www.773grp.com/globalSearch/ICL7612DMTV/page-1", "ICL7612DMTV")</f>
        <v>ICL7612DMTV</v>
      </c>
      <c r="B44356" s="3" t="str">
        <f>HYPERLINK("https://www.773grp.com/manufacturer/onsemi?pageNo=250", "ON Semiconductor")</f>
        <v>ON Semiconductor</v>
      </c>
      <c r="C44356" s="6">
        <v>244</v>
      </c>
      <c r="D44356" s="7">
        <v>0</v>
      </c>
      <c r="E44356" t="s">
        <v>13</v>
      </c>
    </row>
    <row r="44357" spans="1:5" x14ac:dyDescent="0.25">
      <c r="A44357" t="str">
        <f>HYPERLINK("https://www.773grp.com/globalSearch/R1545/page-1", "R1545")</f>
        <v>R1545</v>
      </c>
      <c r="B44357" s="3" t="str">
        <f>HYPERLINK("https://www.773grp.com/manufacturer/onsemi?pageNo=251", "ON Semiconductor")</f>
        <v>ON Semiconductor</v>
      </c>
      <c r="C44357" s="6">
        <v>321</v>
      </c>
      <c r="D44357" s="7">
        <v>0</v>
      </c>
    </row>
    <row r="44358" spans="1:5" x14ac:dyDescent="0.25">
      <c r="A44358" t="str">
        <f>HYPERLINK("https://www.773grp.com/globalSearch/27C128-30MD/page-1", "27C128-30MD")</f>
        <v>27C128-30MD</v>
      </c>
      <c r="B44358" s="3" t="str">
        <f>HYPERLINK("https://www.773grp.com/manufacturer/onsemi?pageNo=252", "ON Semiconductor")</f>
        <v>ON Semiconductor</v>
      </c>
      <c r="C44358" s="6">
        <v>154</v>
      </c>
      <c r="D44358" s="7">
        <v>0</v>
      </c>
    </row>
    <row r="44359" spans="1:5" x14ac:dyDescent="0.25">
      <c r="A44359" t="str">
        <f>HYPERLINK("https://www.773grp.com/globalSearch/R1537/page-1", "R1537")</f>
        <v>R1537</v>
      </c>
      <c r="B44359" s="3" t="str">
        <f>HYPERLINK("https://www.773grp.com/manufacturer/onsemi?pageNo=253", "ON Semiconductor")</f>
        <v>ON Semiconductor</v>
      </c>
      <c r="C44359" s="6">
        <v>23159</v>
      </c>
      <c r="D44359" s="7">
        <v>0</v>
      </c>
    </row>
    <row r="44360" spans="1:5" x14ac:dyDescent="0.25">
      <c r="A44360" t="str">
        <f>HYPERLINK("https://www.773grp.com/globalSearch/MC1505L  UF/page-1", "MC1505L  UF")</f>
        <v>MC1505L  UF</v>
      </c>
      <c r="B44360" s="3" t="str">
        <f>HYPERLINK("https://www.773grp.com/manufacturer/onsemi?pageNo=254", "ON Semiconductor")</f>
        <v>ON Semiconductor</v>
      </c>
      <c r="C44360" s="6">
        <v>437</v>
      </c>
      <c r="D44360" s="7">
        <v>0</v>
      </c>
    </row>
    <row r="44361" spans="1:5" x14ac:dyDescent="0.25">
      <c r="A44361" t="str">
        <f>HYPERLINK("https://www.773grp.com/globalSearch/MC502F-R/page-1", "MC502F-R")</f>
        <v>MC502F-R</v>
      </c>
      <c r="B44361" s="3" t="str">
        <f>HYPERLINK("https://www.773grp.com/manufacturer/onsemi?pageNo=255", "ON Semiconductor")</f>
        <v>ON Semiconductor</v>
      </c>
      <c r="C44361" s="6">
        <v>699</v>
      </c>
      <c r="D44361" s="7">
        <v>0</v>
      </c>
    </row>
    <row r="44362" spans="1:5" x14ac:dyDescent="0.25">
      <c r="A44362" t="str">
        <f>HYPERLINK("https://www.773grp.com/globalSearch/R1379/page-1", "R1379")</f>
        <v>R1379</v>
      </c>
      <c r="B44362" s="3" t="str">
        <f>HYPERLINK("https://www.773grp.com/manufacturer/onsemi?pageNo=256", "ON Semiconductor")</f>
        <v>ON Semiconductor</v>
      </c>
      <c r="C44362" s="6">
        <v>26</v>
      </c>
      <c r="D44362" s="7">
        <v>0</v>
      </c>
    </row>
    <row r="44363" spans="1:5" x14ac:dyDescent="0.25">
      <c r="A44363" t="str">
        <f>HYPERLINK("https://www.773grp.com/globalSearch/100324-VYA/page-1", "100324-VYA")</f>
        <v>100324-VYA</v>
      </c>
      <c r="B44363" s="3" t="str">
        <f>HYPERLINK("https://www.773grp.com/manufacturer/onsemi?pageNo=257", "ON Semiconductor")</f>
        <v>ON Semiconductor</v>
      </c>
      <c r="C44363" s="6">
        <v>200</v>
      </c>
      <c r="D44363" s="7">
        <v>0</v>
      </c>
    </row>
    <row r="44364" spans="1:5" x14ac:dyDescent="0.25">
      <c r="A44364" t="str">
        <f>HYPERLINK("https://www.773grp.com/globalSearch/100331-VYA/page-1", "100331-VYA")</f>
        <v>100331-VYA</v>
      </c>
      <c r="B44364" s="3" t="str">
        <f>HYPERLINK("https://www.773grp.com/manufacturer/onsemi?pageNo=258", "ON Semiconductor")</f>
        <v>ON Semiconductor</v>
      </c>
      <c r="C44364" s="6">
        <v>215</v>
      </c>
      <c r="D44364" s="7">
        <v>0</v>
      </c>
    </row>
    <row r="44365" spans="1:5" x14ac:dyDescent="0.25">
      <c r="A44365" t="str">
        <f>HYPERLINK("https://www.773grp.com/globalSearch/11C70DC UT-UM/page-1", "11C70DC UT-UM")</f>
        <v>11C70DC UT-UM</v>
      </c>
      <c r="B44365" s="3" t="str">
        <f>HYPERLINK("https://www.773grp.com/manufacturer/onsemi?pageNo=259", "ON Semiconductor")</f>
        <v>ON Semiconductor</v>
      </c>
      <c r="C44365" s="6">
        <v>301</v>
      </c>
      <c r="D44365" s="7">
        <v>0</v>
      </c>
    </row>
    <row r="44366" spans="1:5" x14ac:dyDescent="0.25">
      <c r="A44366" t="str">
        <f>HYPERLINK("https://www.773grp.com/globalSearch/27C16Q45-B/page-1", "27C16Q45-B")</f>
        <v>27C16Q45-B</v>
      </c>
      <c r="B44366" s="3" t="str">
        <f>HYPERLINK("https://www.773grp.com/manufacturer/onsemi?pageNo=260", "ON Semiconductor")</f>
        <v>ON Semiconductor</v>
      </c>
      <c r="C44366" s="6">
        <v>717</v>
      </c>
      <c r="D44366" s="7">
        <v>0</v>
      </c>
    </row>
    <row r="44367" spans="1:5" x14ac:dyDescent="0.25">
      <c r="A44367" t="str">
        <f>HYPERLINK("https://www.773grp.com/globalSearch/4015A-BFA/page-1", "4015A-BFA")</f>
        <v>4015A-BFA</v>
      </c>
      <c r="B44367" s="3" t="str">
        <f>HYPERLINK("https://www.773grp.com/manufacturer/onsemi?pageNo=261", "ON Semiconductor")</f>
        <v>ON Semiconductor</v>
      </c>
      <c r="C44367" s="6">
        <v>1630</v>
      </c>
      <c r="D44367" s="7">
        <v>0</v>
      </c>
    </row>
    <row r="44368" spans="1:5" x14ac:dyDescent="0.25">
      <c r="A44368" t="str">
        <f>HYPERLINK("https://www.773grp.com/globalSearch/4018B-BEA/page-1", "4018B-BEA")</f>
        <v>4018B-BEA</v>
      </c>
      <c r="B44368" s="3" t="str">
        <f>HYPERLINK("https://www.773grp.com/manufacturer/onsemi?pageNo=262", "ON Semiconductor")</f>
        <v>ON Semiconductor</v>
      </c>
      <c r="C44368" s="6">
        <v>2226</v>
      </c>
      <c r="D44368" s="7">
        <v>0</v>
      </c>
    </row>
    <row r="44369" spans="1:4" x14ac:dyDescent="0.25">
      <c r="A44369" t="str">
        <f>HYPERLINK("https://www.773grp.com/globalSearch/4020A-BEA/page-1", "4020A-BEA")</f>
        <v>4020A-BEA</v>
      </c>
      <c r="B44369" s="3" t="str">
        <f>HYPERLINK("https://www.773grp.com/manufacturer/onsemi?pageNo=263", "ON Semiconductor")</f>
        <v>ON Semiconductor</v>
      </c>
      <c r="C44369" s="6">
        <v>1417</v>
      </c>
      <c r="D44369" s="7">
        <v>0</v>
      </c>
    </row>
    <row r="44370" spans="1:4" x14ac:dyDescent="0.25">
      <c r="A44370" t="str">
        <f>HYPERLINK("https://www.773grp.com/globalSearch/4022A-BEA/page-1", "4022A-BEA")</f>
        <v>4022A-BEA</v>
      </c>
      <c r="B44370" s="3" t="str">
        <f>HYPERLINK("https://www.773grp.com/manufacturer/onsemi?pageNo=264", "ON Semiconductor")</f>
        <v>ON Semiconductor</v>
      </c>
      <c r="C44370" s="6">
        <v>1665</v>
      </c>
      <c r="D44370" s="7">
        <v>0</v>
      </c>
    </row>
    <row r="44371" spans="1:4" x14ac:dyDescent="0.25">
      <c r="A44371" t="str">
        <f>HYPERLINK("https://www.773grp.com/globalSearch/4031A-BEA/page-1", "4031A-BEA")</f>
        <v>4031A-BEA</v>
      </c>
      <c r="B44371" s="3" t="str">
        <f>HYPERLINK("https://www.773grp.com/manufacturer/onsemi?pageNo=265", "ON Semiconductor")</f>
        <v>ON Semiconductor</v>
      </c>
      <c r="C44371" s="6">
        <v>445</v>
      </c>
      <c r="D44371" s="7">
        <v>0</v>
      </c>
    </row>
    <row r="44372" spans="1:4" x14ac:dyDescent="0.25">
      <c r="A44372" t="str">
        <f>HYPERLINK("https://www.773grp.com/globalSearch/54121-BAA/page-1", "54121-BAA")</f>
        <v>54121-BAA</v>
      </c>
      <c r="B44372" s="3" t="str">
        <f>HYPERLINK("https://www.773grp.com/manufacturer/onsemi?pageNo=266", "ON Semiconductor")</f>
        <v>ON Semiconductor</v>
      </c>
      <c r="C44372" s="6">
        <v>162</v>
      </c>
      <c r="D44372" s="7">
        <v>0</v>
      </c>
    </row>
    <row r="44373" spans="1:4" x14ac:dyDescent="0.25">
      <c r="A44373" t="str">
        <f>HYPERLINK("https://www.773grp.com/globalSearch/54126W-B  LT/page-1", "54126W-B  LT")</f>
        <v>54126W-B  LT</v>
      </c>
      <c r="B44373" s="3" t="str">
        <f>HYPERLINK("https://www.773grp.com/manufacturer/onsemi?pageNo=267", "ON Semiconductor")</f>
        <v>ON Semiconductor</v>
      </c>
      <c r="C44373" s="6">
        <v>48</v>
      </c>
      <c r="D44373" s="7">
        <v>0</v>
      </c>
    </row>
    <row r="44374" spans="1:4" x14ac:dyDescent="0.25">
      <c r="A44374" t="str">
        <f>HYPERLINK("https://www.773grp.com/globalSearch/54161FM-B  UM/page-1", "54161FM-B  UM")</f>
        <v>54161FM-B  UM</v>
      </c>
      <c r="B44374" s="3" t="str">
        <f>HYPERLINK("https://www.773grp.com/manufacturer/onsemi?pageNo=268", "ON Semiconductor")</f>
        <v>ON Semiconductor</v>
      </c>
      <c r="C44374" s="6">
        <v>478</v>
      </c>
      <c r="D44374" s="7">
        <v>0</v>
      </c>
    </row>
    <row r="44375" spans="1:4" x14ac:dyDescent="0.25">
      <c r="A44375" t="str">
        <f>HYPERLINK("https://www.773grp.com/globalSearch/5417-BCA/page-1", "5417-BCA")</f>
        <v>5417-BCA</v>
      </c>
      <c r="B44375" s="3" t="str">
        <f>HYPERLINK("https://www.773grp.com/manufacturer/onsemi?pageNo=269", "ON Semiconductor")</f>
        <v>ON Semiconductor</v>
      </c>
      <c r="C44375" s="6">
        <v>999</v>
      </c>
      <c r="D44375" s="7">
        <v>0</v>
      </c>
    </row>
    <row r="44376" spans="1:4" x14ac:dyDescent="0.25">
      <c r="A44376" t="str">
        <f>HYPERLINK("https://www.773grp.com/globalSearch/5446-BEA/page-1", "5446-BEA")</f>
        <v>5446-BEA</v>
      </c>
      <c r="B44376" s="3" t="str">
        <f>HYPERLINK("https://www.773grp.com/manufacturer/onsemi?pageNo=270", "ON Semiconductor")</f>
        <v>ON Semiconductor</v>
      </c>
      <c r="C44376" s="6">
        <v>2075</v>
      </c>
      <c r="D44376" s="7">
        <v>0</v>
      </c>
    </row>
    <row r="44377" spans="1:4" x14ac:dyDescent="0.25">
      <c r="A44377" t="str">
        <f>HYPERLINK("https://www.773grp.com/globalSearch/5490-BCA/page-1", "5490-BCA")</f>
        <v>5490-BCA</v>
      </c>
      <c r="B44377" s="3" t="str">
        <f>HYPERLINK("https://www.773grp.com/manufacturer/onsemi?pageNo=271", "ON Semiconductor")</f>
        <v>ON Semiconductor</v>
      </c>
      <c r="C44377" s="6">
        <v>1030</v>
      </c>
      <c r="D44377" s="7">
        <v>0</v>
      </c>
    </row>
    <row r="44378" spans="1:4" x14ac:dyDescent="0.25">
      <c r="A44378" t="str">
        <f>HYPERLINK("https://www.773grp.com/globalSearch/5495A-BDA/page-1", "5495A-BDA")</f>
        <v>5495A-BDA</v>
      </c>
      <c r="B44378" s="3" t="str">
        <f>HYPERLINK("https://www.773grp.com/manufacturer/onsemi?pageNo=272", "ON Semiconductor")</f>
        <v>ON Semiconductor</v>
      </c>
      <c r="C44378" s="6">
        <v>480</v>
      </c>
      <c r="D44378" s="7">
        <v>0</v>
      </c>
    </row>
    <row r="44379" spans="1:4" x14ac:dyDescent="0.25">
      <c r="A44379" t="str">
        <f>HYPERLINK("https://www.773grp.com/globalSearch/54AC05SDA-R/page-1", "54AC05SDA-R")</f>
        <v>54AC05SDA-R</v>
      </c>
      <c r="B44379" s="3" t="str">
        <f>HYPERLINK("https://www.773grp.com/manufacturer/onsemi?pageNo=273", "ON Semiconductor")</f>
        <v>ON Semiconductor</v>
      </c>
      <c r="C44379" s="6">
        <v>273</v>
      </c>
      <c r="D44379" s="7">
        <v>0</v>
      </c>
    </row>
    <row r="44380" spans="1:4" x14ac:dyDescent="0.25">
      <c r="A44380" t="str">
        <f>HYPERLINK("https://www.773grp.com/globalSearch/54AC175-VFA-R/page-1", "54AC175-VFA-R")</f>
        <v>54AC175-VFA-R</v>
      </c>
      <c r="B44380" s="3" t="str">
        <f>HYPERLINK("https://www.773grp.com/manufacturer/onsemi?pageNo=274", "ON Semiconductor")</f>
        <v>ON Semiconductor</v>
      </c>
      <c r="C44380" s="6">
        <v>159</v>
      </c>
      <c r="D44380" s="7">
        <v>0</v>
      </c>
    </row>
    <row r="44381" spans="1:4" x14ac:dyDescent="0.25">
      <c r="A44381" t="str">
        <f>HYPERLINK("https://www.773grp.com/globalSearch/54F648-BLA/page-1", "54F648-BLA")</f>
        <v>54F648-BLA</v>
      </c>
      <c r="B44381" s="3" t="str">
        <f>HYPERLINK("https://www.773grp.com/manufacturer/onsemi?pageNo=275", "ON Semiconductor")</f>
        <v>ON Semiconductor</v>
      </c>
      <c r="C44381" s="6">
        <v>930</v>
      </c>
      <c r="D44381" s="7">
        <v>0</v>
      </c>
    </row>
    <row r="44382" spans="1:4" x14ac:dyDescent="0.25">
      <c r="A44382" t="str">
        <f>HYPERLINK("https://www.773grp.com/globalSearch/54HC221AJ-883C  LT/page-1", "54HC221AJ-883C  LT")</f>
        <v>54HC221AJ-883C  LT</v>
      </c>
      <c r="B44382" s="3" t="str">
        <f>HYPERLINK("https://www.773grp.com/manufacturer/onsemi?pageNo=276", "ON Semiconductor")</f>
        <v>ON Semiconductor</v>
      </c>
      <c r="C44382" s="6">
        <v>48</v>
      </c>
      <c r="D44382" s="7">
        <v>0</v>
      </c>
    </row>
    <row r="44383" spans="1:4" x14ac:dyDescent="0.25">
      <c r="A44383" t="str">
        <f>HYPERLINK("https://www.773grp.com/globalSearch/54L73-BDA/page-1", "54L73-BDA")</f>
        <v>54L73-BDA</v>
      </c>
      <c r="B44383" s="3" t="str">
        <f>HYPERLINK("https://www.773grp.com/manufacturer/onsemi?pageNo=277", "ON Semiconductor")</f>
        <v>ON Semiconductor</v>
      </c>
      <c r="C44383" s="6">
        <v>299</v>
      </c>
      <c r="D44383" s="7">
        <v>0</v>
      </c>
    </row>
    <row r="44384" spans="1:4" x14ac:dyDescent="0.25">
      <c r="A44384" t="str">
        <f>HYPERLINK("https://www.773grp.com/globalSearch/54L73FM-B  UF/page-1", "54L73FM-B  UF")</f>
        <v>54L73FM-B  UF</v>
      </c>
      <c r="B44384" s="3" t="str">
        <f>HYPERLINK("https://www.773grp.com/manufacturer/onsemi?pageNo=278", "ON Semiconductor")</f>
        <v>ON Semiconductor</v>
      </c>
      <c r="C44384" s="6">
        <v>1718</v>
      </c>
      <c r="D44384" s="7">
        <v>0</v>
      </c>
    </row>
    <row r="44385" spans="1:5" x14ac:dyDescent="0.25">
      <c r="A44385" t="str">
        <f>HYPERLINK("https://www.773grp.com/globalSearch/54L74-BDA/page-1", "54L74-BDA")</f>
        <v>54L74-BDA</v>
      </c>
      <c r="B44385" s="3" t="str">
        <f>HYPERLINK("https://www.773grp.com/manufacturer/onsemi?pageNo=279", "ON Semiconductor")</f>
        <v>ON Semiconductor</v>
      </c>
      <c r="C44385" s="6">
        <v>764</v>
      </c>
      <c r="D44385" s="7">
        <v>0</v>
      </c>
    </row>
    <row r="44386" spans="1:5" x14ac:dyDescent="0.25">
      <c r="A44386" t="str">
        <f>HYPERLINK("https://www.773grp.com/globalSearch/54L74-SCA/page-1", "54L74-SCA")</f>
        <v>54L74-SCA</v>
      </c>
      <c r="B44386" s="3" t="str">
        <f>HYPERLINK("https://www.773grp.com/manufacturer/onsemi?pageNo=280", "ON Semiconductor")</f>
        <v>ON Semiconductor</v>
      </c>
      <c r="C44386" s="6">
        <v>196</v>
      </c>
      <c r="D44386" s="7">
        <v>0</v>
      </c>
    </row>
    <row r="44387" spans="1:5" x14ac:dyDescent="0.25">
      <c r="A44387" t="str">
        <f>HYPERLINK("https://www.773grp.com/globalSearch/54L95-BCA/page-1", "54L95-BCA")</f>
        <v>54L95-BCA</v>
      </c>
      <c r="B44387" s="3" t="str">
        <f>HYPERLINK("https://www.773grp.com/manufacturer/onsemi?pageNo=281", "ON Semiconductor")</f>
        <v>ON Semiconductor</v>
      </c>
      <c r="C44387" s="6">
        <v>635</v>
      </c>
      <c r="D44387" s="7">
        <v>0</v>
      </c>
    </row>
    <row r="44388" spans="1:5" x14ac:dyDescent="0.25">
      <c r="A44388" t="str">
        <f>HYPERLINK("https://www.773grp.com/globalSearch/54L95-SCA/page-1", "54L95-SCA")</f>
        <v>54L95-SCA</v>
      </c>
      <c r="B44388" s="3" t="str">
        <f>HYPERLINK("https://www.773grp.com/manufacturer/onsemi?pageNo=282", "ON Semiconductor")</f>
        <v>ON Semiconductor</v>
      </c>
      <c r="C44388" s="6">
        <v>198</v>
      </c>
      <c r="D44388" s="7">
        <v>0</v>
      </c>
    </row>
    <row r="44389" spans="1:5" x14ac:dyDescent="0.25">
      <c r="A44389" t="str">
        <f>HYPERLINK("https://www.773grp.com/globalSearch/54LS113FM-B LT/page-1", "54LS113FM-B LT")</f>
        <v>54LS113FM-B LT</v>
      </c>
      <c r="B44389" s="3" t="str">
        <f>HYPERLINK("https://www.773grp.com/manufacturer/onsemi?pageNo=283", "ON Semiconductor")</f>
        <v>ON Semiconductor</v>
      </c>
      <c r="C44389" s="6">
        <v>48</v>
      </c>
      <c r="D44389" s="7">
        <v>0</v>
      </c>
    </row>
    <row r="44390" spans="1:5" x14ac:dyDescent="0.25">
      <c r="A44390" t="str">
        <f>HYPERLINK("https://www.773grp.com/globalSearch/54LS258B-BEA/page-1", "54LS258B-BEA")</f>
        <v>54LS258B-BEA</v>
      </c>
      <c r="B44390" s="3" t="str">
        <f>HYPERLINK("https://www.773grp.com/manufacturer/onsemi?pageNo=284", "ON Semiconductor")</f>
        <v>ON Semiconductor</v>
      </c>
      <c r="C44390" s="6">
        <v>223</v>
      </c>
      <c r="D44390" s="7">
        <v>0</v>
      </c>
    </row>
    <row r="44391" spans="1:5" x14ac:dyDescent="0.25">
      <c r="A44391" t="str">
        <f>HYPERLINK("https://www.773grp.com/globalSearch/54LS353DM-B/page-1", "54LS353DM-B")</f>
        <v>54LS353DM-B</v>
      </c>
      <c r="B44391" s="3" t="str">
        <f>HYPERLINK("https://www.773grp.com/manufacturer/onsemi?pageNo=285", "ON Semiconductor")</f>
        <v>ON Semiconductor</v>
      </c>
      <c r="C44391" s="6">
        <v>858</v>
      </c>
      <c r="D44391" s="7">
        <v>0</v>
      </c>
    </row>
    <row r="44392" spans="1:5" x14ac:dyDescent="0.25">
      <c r="A44392" t="str">
        <f>HYPERLINK("https://www.773grp.com/globalSearch/71L22DM-B UT/page-1", "71L22DM-B UT")</f>
        <v>71L22DM-B UT</v>
      </c>
      <c r="B44392" s="3" t="str">
        <f>HYPERLINK("https://www.773grp.com/manufacturer/onsemi?pageNo=286", "ON Semiconductor")</f>
        <v>ON Semiconductor</v>
      </c>
      <c r="C44392" s="6">
        <v>744</v>
      </c>
      <c r="D44392" s="7">
        <v>0</v>
      </c>
    </row>
    <row r="44393" spans="1:5" x14ac:dyDescent="0.25">
      <c r="A44393" t="str">
        <f>HYPERLINK("https://www.773grp.com/globalSearch/74C941N/page-1", "74C941N")</f>
        <v>74C941N</v>
      </c>
      <c r="B44393" s="3" t="str">
        <f>HYPERLINK("https://www.773grp.com/manufacturer/onsemi?pageNo=287", "ON Semiconductor")</f>
        <v>ON Semiconductor</v>
      </c>
      <c r="C44393" s="6">
        <v>2837</v>
      </c>
      <c r="D44393" s="7">
        <v>0</v>
      </c>
    </row>
    <row r="44394" spans="1:5" x14ac:dyDescent="0.25">
      <c r="A44394" t="str">
        <f>HYPERLINK("https://www.773grp.com/globalSearch/74FCT244APC/page-1", "74FCT244APC")</f>
        <v>74FCT244APC</v>
      </c>
      <c r="B44394" s="3" t="str">
        <f>HYPERLINK("https://www.773grp.com/manufacturer/onsemi?pageNo=288", "ON Semiconductor")</f>
        <v>ON Semiconductor</v>
      </c>
      <c r="C44394" s="6">
        <v>1366</v>
      </c>
      <c r="D44394" s="7">
        <v>0</v>
      </c>
      <c r="E44394" t="s">
        <v>14</v>
      </c>
    </row>
    <row r="44395" spans="1:5" x14ac:dyDescent="0.25">
      <c r="A44395" t="str">
        <f>HYPERLINK("https://www.773grp.com/globalSearch/74S288N  UM/page-1", "74S288N  UM")</f>
        <v>74S288N  UM</v>
      </c>
      <c r="B44395" s="3" t="str">
        <f>HYPERLINK("https://www.773grp.com/manufacturer/onsemi?pageNo=289", "ON Semiconductor")</f>
        <v>ON Semiconductor</v>
      </c>
      <c r="C44395" s="6">
        <v>11592</v>
      </c>
      <c r="D44395" s="7">
        <v>0</v>
      </c>
    </row>
    <row r="44396" spans="1:5" x14ac:dyDescent="0.25">
      <c r="A44396" t="str">
        <f>HYPERLINK("https://www.773grp.com/globalSearch/74S472AN/page-1", "74S472AN")</f>
        <v>74S472AN</v>
      </c>
      <c r="B44396" s="3" t="str">
        <f>HYPERLINK("https://www.773grp.com/manufacturer/onsemi?pageNo=290", "ON Semiconductor")</f>
        <v>ON Semiconductor</v>
      </c>
      <c r="C44396" s="6">
        <v>2927</v>
      </c>
      <c r="D44396" s="7">
        <v>0</v>
      </c>
    </row>
    <row r="44397" spans="1:5" x14ac:dyDescent="0.25">
      <c r="A44397" t="str">
        <f>HYPERLINK("https://www.773grp.com/globalSearch/7641DM-C/page-1", "7641DM-C")</f>
        <v>7641DM-C</v>
      </c>
      <c r="B44397" s="3" t="str">
        <f>HYPERLINK("https://www.773grp.com/manufacturer/onsemi?pageNo=291", "ON Semiconductor")</f>
        <v>ON Semiconductor</v>
      </c>
      <c r="C44397" s="6">
        <v>58</v>
      </c>
      <c r="D44397" s="7">
        <v>0</v>
      </c>
    </row>
    <row r="44398" spans="1:5" x14ac:dyDescent="0.25">
      <c r="A44398" t="str">
        <f>HYPERLINK("https://www.773grp.com/globalSearch/9109DM-R/page-1", "9109DM-R")</f>
        <v>9109DM-R</v>
      </c>
      <c r="B44398" s="3" t="str">
        <f>HYPERLINK("https://www.773grp.com/manufacturer/onsemi?pageNo=292", "ON Semiconductor")</f>
        <v>ON Semiconductor</v>
      </c>
      <c r="C44398" s="6">
        <v>667</v>
      </c>
      <c r="D44398" s="7">
        <v>0</v>
      </c>
    </row>
    <row r="44399" spans="1:5" x14ac:dyDescent="0.25">
      <c r="A44399" t="str">
        <f>HYPERLINK("https://www.773grp.com/globalSearch/9317CDC/page-1", "9317CDC")</f>
        <v>9317CDC</v>
      </c>
      <c r="B44399" s="3" t="str">
        <f>HYPERLINK("https://www.773grp.com/manufacturer/onsemi?pageNo=293", "ON Semiconductor")</f>
        <v>ON Semiconductor</v>
      </c>
      <c r="C44399" s="6">
        <v>894</v>
      </c>
      <c r="D44399" s="7">
        <v>0</v>
      </c>
    </row>
    <row r="44400" spans="1:5" x14ac:dyDescent="0.25">
      <c r="A44400" t="str">
        <f>HYPERLINK("https://www.773grp.com/globalSearch/9317CDM/page-1", "9317CDM")</f>
        <v>9317CDM</v>
      </c>
      <c r="B44400" s="3" t="str">
        <f>HYPERLINK("https://www.773grp.com/manufacturer/onsemi?pageNo=294", "ON Semiconductor")</f>
        <v>ON Semiconductor</v>
      </c>
      <c r="C44400" s="6">
        <v>416</v>
      </c>
      <c r="D44400" s="7">
        <v>0</v>
      </c>
    </row>
    <row r="44401" spans="1:5" x14ac:dyDescent="0.25">
      <c r="A44401" t="str">
        <f>HYPERLINK("https://www.773grp.com/globalSearch/933HM-B/page-1", "933HM-B")</f>
        <v>933HM-B</v>
      </c>
      <c r="B44401" s="3" t="str">
        <f>HYPERLINK("https://www.773grp.com/manufacturer/onsemi?pageNo=295", "ON Semiconductor")</f>
        <v>ON Semiconductor</v>
      </c>
      <c r="C44401" s="6">
        <v>285</v>
      </c>
      <c r="D44401" s="7">
        <v>0</v>
      </c>
    </row>
    <row r="44402" spans="1:5" x14ac:dyDescent="0.25">
      <c r="A44402" t="str">
        <f>HYPERLINK("https://www.773grp.com/globalSearch/93425DM-B/page-1", "93425DM-B")</f>
        <v>93425DM-B</v>
      </c>
      <c r="B44402" s="3" t="str">
        <f>HYPERLINK("https://www.773grp.com/manufacturer/onsemi?pageNo=296", "ON Semiconductor")</f>
        <v>ON Semiconductor</v>
      </c>
      <c r="C44402" s="6">
        <v>206</v>
      </c>
      <c r="D44402" s="7">
        <v>0</v>
      </c>
    </row>
    <row r="44403" spans="1:5" x14ac:dyDescent="0.25">
      <c r="A44403" t="str">
        <f>HYPERLINK("https://www.773grp.com/globalSearch/93L22DM-B/page-1", "93L22DM-B")</f>
        <v>93L22DM-B</v>
      </c>
      <c r="B44403" s="3" t="str">
        <f>HYPERLINK("https://www.773grp.com/manufacturer/onsemi?pageNo=297", "ON Semiconductor")</f>
        <v>ON Semiconductor</v>
      </c>
      <c r="C44403" s="6">
        <v>224</v>
      </c>
      <c r="D44403" s="7">
        <v>0</v>
      </c>
    </row>
    <row r="44404" spans="1:5" x14ac:dyDescent="0.25">
      <c r="A44404" t="str">
        <f>HYPERLINK("https://www.773grp.com/globalSearch/93L22FM-B/page-1", "93L22FM-B")</f>
        <v>93L22FM-B</v>
      </c>
      <c r="B44404" s="3" t="str">
        <f>HYPERLINK("https://www.773grp.com/manufacturer/onsemi?pageNo=298", "ON Semiconductor")</f>
        <v>ON Semiconductor</v>
      </c>
      <c r="C44404" s="6">
        <v>1316</v>
      </c>
      <c r="D44404" s="7">
        <v>0</v>
      </c>
    </row>
    <row r="44405" spans="1:5" x14ac:dyDescent="0.25">
      <c r="A44405" t="str">
        <f>HYPERLINK("https://www.773grp.com/globalSearch/93L422DM-B/page-1", "93L422DM-B")</f>
        <v>93L422DM-B</v>
      </c>
      <c r="B44405" s="3" t="str">
        <f>HYPERLINK("https://www.773grp.com/manufacturer/onsemi?pageNo=299", "ON Semiconductor")</f>
        <v>ON Semiconductor</v>
      </c>
      <c r="C44405" s="6">
        <v>10</v>
      </c>
      <c r="D44405" s="7">
        <v>0</v>
      </c>
    </row>
    <row r="44406" spans="1:5" x14ac:dyDescent="0.25">
      <c r="A44406" t="str">
        <f>HYPERLINK("https://www.773grp.com/globalSearch/93L422FM-B/page-1", "93L422FM-B")</f>
        <v>93L422FM-B</v>
      </c>
      <c r="B44406" s="3" t="str">
        <f>HYPERLINK("https://www.773grp.com/manufacturer/onsemi?pageNo=300", "ON Semiconductor")</f>
        <v>ON Semiconductor</v>
      </c>
      <c r="C44406" s="6">
        <v>48</v>
      </c>
      <c r="D44406" s="7">
        <v>0</v>
      </c>
    </row>
    <row r="44407" spans="1:5" x14ac:dyDescent="0.25">
      <c r="A44407" t="str">
        <f>HYPERLINK("https://www.773grp.com/globalSearch/9601-BDA/page-1", "9601-BDA")</f>
        <v>9601-BDA</v>
      </c>
      <c r="B44407" s="3" t="str">
        <f>HYPERLINK("https://www.773grp.com/manufacturer/onsemi?pageNo=301", "ON Semiconductor")</f>
        <v>ON Semiconductor</v>
      </c>
      <c r="C44407" s="6">
        <v>1786</v>
      </c>
      <c r="D44407" s="7">
        <v>0</v>
      </c>
    </row>
    <row r="44408" spans="1:5" x14ac:dyDescent="0.25">
      <c r="A44408" t="str">
        <f>HYPERLINK("https://www.773grp.com/globalSearch/CLC110A-BPA/page-1", "CLC110A-BPA")</f>
        <v>CLC110A-BPA</v>
      </c>
      <c r="B44408" s="3" t="str">
        <f>HYPERLINK("https://www.773grp.com/manufacturer/onsemi?pageNo=302", "ON Semiconductor")</f>
        <v>ON Semiconductor</v>
      </c>
      <c r="C44408" s="6">
        <v>835</v>
      </c>
      <c r="D44408" s="7">
        <v>0</v>
      </c>
    </row>
    <row r="44409" spans="1:5" x14ac:dyDescent="0.25">
      <c r="A44409" t="str">
        <f>HYPERLINK("https://www.773grp.com/globalSearch/CLC400A-BPA/page-1", "CLC400A-BPA")</f>
        <v>CLC400A-BPA</v>
      </c>
      <c r="B44409" s="3" t="str">
        <f>HYPERLINK("https://www.773grp.com/manufacturer/onsemi?pageNo=303", "ON Semiconductor")</f>
        <v>ON Semiconductor</v>
      </c>
      <c r="C44409" s="6">
        <v>1114</v>
      </c>
      <c r="D44409" s="7">
        <v>0</v>
      </c>
    </row>
    <row r="44410" spans="1:5" x14ac:dyDescent="0.25">
      <c r="A44410" t="str">
        <f>HYPERLINK("https://www.773grp.com/globalSearch/CLC449AD/page-1", "CLC449AD")</f>
        <v>CLC449AD</v>
      </c>
      <c r="B44410" s="3" t="str">
        <f>HYPERLINK("https://www.773grp.com/manufacturer/onsemi?pageNo=304", "ON Semiconductor")</f>
        <v>ON Semiconductor</v>
      </c>
      <c r="C44410" s="6">
        <v>871</v>
      </c>
      <c r="D44410" s="7">
        <v>0</v>
      </c>
    </row>
    <row r="44411" spans="1:5" x14ac:dyDescent="0.25">
      <c r="A44411" t="str">
        <f>HYPERLINK("https://www.773grp.com/globalSearch/CLC449AJE/page-1", "CLC449AJE")</f>
        <v>CLC449AJE</v>
      </c>
      <c r="B44411" s="3" t="str">
        <f>HYPERLINK("https://www.773grp.com/manufacturer/onsemi?pageNo=305", "ON Semiconductor")</f>
        <v>ON Semiconductor</v>
      </c>
      <c r="C44411" s="6">
        <v>341</v>
      </c>
      <c r="D44411" s="7">
        <v>0</v>
      </c>
    </row>
    <row r="44412" spans="1:5" x14ac:dyDescent="0.25">
      <c r="A44412" t="str">
        <f>HYPERLINK("https://www.773grp.com/globalSearch/CLC505AJ-B/page-1", "CLC505AJ-B")</f>
        <v>CLC505AJ-B</v>
      </c>
      <c r="B44412" s="3" t="str">
        <f>HYPERLINK("https://www.773grp.com/manufacturer/onsemi?pageNo=306", "ON Semiconductor")</f>
        <v>ON Semiconductor</v>
      </c>
      <c r="C44412" s="6">
        <v>645</v>
      </c>
      <c r="D44412" s="7">
        <v>0</v>
      </c>
    </row>
    <row r="44413" spans="1:5" x14ac:dyDescent="0.25">
      <c r="A44413" t="str">
        <f>HYPERLINK("https://www.773grp.com/globalSearch/CLC533AIB/page-1", "CLC533AIB")</f>
        <v>CLC533AIB</v>
      </c>
      <c r="B44413" s="3" t="str">
        <f>HYPERLINK("https://www.773grp.com/manufacturer/onsemi?pageNo=307", "ON Semiconductor")</f>
        <v>ON Semiconductor</v>
      </c>
      <c r="C44413" s="6">
        <v>181</v>
      </c>
      <c r="D44413" s="7">
        <v>0</v>
      </c>
      <c r="E44413" t="s">
        <v>56</v>
      </c>
    </row>
    <row r="44414" spans="1:5" x14ac:dyDescent="0.25">
      <c r="A44414" t="str">
        <f>HYPERLINK("https://www.773grp.com/globalSearch/DM5495J/page-1", "DM5495J")</f>
        <v>DM5495J</v>
      </c>
      <c r="B44414" s="3" t="str">
        <f>HYPERLINK("https://www.773grp.com/manufacturer/onsemi?pageNo=308", "ON Semiconductor")</f>
        <v>ON Semiconductor</v>
      </c>
      <c r="C44414" s="6">
        <v>2509</v>
      </c>
      <c r="D44414" s="7">
        <v>0</v>
      </c>
      <c r="E44414" t="s">
        <v>32</v>
      </c>
    </row>
    <row r="44415" spans="1:5" x14ac:dyDescent="0.25">
      <c r="A44415" t="str">
        <f>HYPERLINK("https://www.773grp.com/globalSearch/DM74161J/page-1", "DM74161J")</f>
        <v>DM74161J</v>
      </c>
      <c r="B44415" s="3" t="str">
        <f>HYPERLINK("https://www.773grp.com/manufacturer/onsemi?pageNo=309", "ON Semiconductor")</f>
        <v>ON Semiconductor</v>
      </c>
      <c r="C44415" s="6">
        <v>625</v>
      </c>
      <c r="D44415" s="7">
        <v>0</v>
      </c>
    </row>
    <row r="44416" spans="1:5" x14ac:dyDescent="0.25">
      <c r="A44416" t="str">
        <f>HYPERLINK("https://www.773grp.com/globalSearch/DM7440N/page-1", "DM7440N")</f>
        <v>DM7440N</v>
      </c>
      <c r="B44416" s="3" t="str">
        <f>HYPERLINK("https://www.773grp.com/manufacturer/onsemi?pageNo=310", "ON Semiconductor")</f>
        <v>ON Semiconductor</v>
      </c>
      <c r="C44416" s="6">
        <v>1271</v>
      </c>
      <c r="D44416" s="7">
        <v>0</v>
      </c>
    </row>
    <row r="44417" spans="1:5" x14ac:dyDescent="0.25">
      <c r="A44417" t="str">
        <f>HYPERLINK("https://www.773grp.com/globalSearch/DM74LS22J/page-1", "DM74LS22J")</f>
        <v>DM74LS22J</v>
      </c>
      <c r="B44417" s="3" t="str">
        <f>HYPERLINK("https://www.773grp.com/manufacturer/onsemi?pageNo=311", "ON Semiconductor")</f>
        <v>ON Semiconductor</v>
      </c>
      <c r="C44417" s="6">
        <v>6748</v>
      </c>
      <c r="D44417" s="7">
        <v>0</v>
      </c>
    </row>
    <row r="44418" spans="1:5" x14ac:dyDescent="0.25">
      <c r="A44418" t="str">
        <f>HYPERLINK("https://www.773grp.com/globalSearch/DM8556N UT/page-1", "DM8556N UT")</f>
        <v>DM8556N UT</v>
      </c>
      <c r="B44418" s="3" t="str">
        <f>HYPERLINK("https://www.773grp.com/manufacturer/onsemi?pageNo=312", "ON Semiconductor")</f>
        <v>ON Semiconductor</v>
      </c>
      <c r="C44418" s="6">
        <v>1711</v>
      </c>
      <c r="D44418" s="7">
        <v>0</v>
      </c>
    </row>
    <row r="44419" spans="1:5" x14ac:dyDescent="0.25">
      <c r="A44419" t="str">
        <f>HYPERLINK("https://www.773grp.com/globalSearch/DP83907VF/page-1", "DP83907VF")</f>
        <v>DP83907VF</v>
      </c>
      <c r="B44419" s="3" t="str">
        <f>HYPERLINK("https://www.773grp.com/manufacturer/onsemi?pageNo=313", "ON Semiconductor")</f>
        <v>ON Semiconductor</v>
      </c>
      <c r="C44419" s="6">
        <v>6</v>
      </c>
      <c r="D44419" s="7">
        <v>0</v>
      </c>
      <c r="E44419" t="s">
        <v>71</v>
      </c>
    </row>
    <row r="44420" spans="1:5" x14ac:dyDescent="0.25">
      <c r="A44420" t="str">
        <f>HYPERLINK("https://www.773grp.com/globalSearch/DP83907VF  UT/page-1", "DP83907VF  UT")</f>
        <v>DP83907VF  UT</v>
      </c>
      <c r="B44420" s="3" t="str">
        <f>HYPERLINK("https://www.773grp.com/manufacturer/onsemi?pageNo=314", "ON Semiconductor")</f>
        <v>ON Semiconductor</v>
      </c>
      <c r="C44420" s="6">
        <v>4098</v>
      </c>
      <c r="D44420" s="7">
        <v>0</v>
      </c>
    </row>
    <row r="44421" spans="1:5" x14ac:dyDescent="0.25">
      <c r="A44421" t="str">
        <f>HYPERLINK("https://www.773grp.com/globalSearch/DP83907VF  UT REJECTS/page-1", "DP83907VF  UT REJECTS")</f>
        <v>DP83907VF  UT REJECTS</v>
      </c>
      <c r="B44421" s="3" t="str">
        <f>HYPERLINK("https://www.773grp.com/manufacturer/onsemi?pageNo=315", "ON Semiconductor")</f>
        <v>ON Semiconductor</v>
      </c>
      <c r="C44421" s="6">
        <v>2382</v>
      </c>
      <c r="D44421" s="7">
        <v>0</v>
      </c>
    </row>
    <row r="44422" spans="1:5" x14ac:dyDescent="0.25">
      <c r="A44422" t="str">
        <f>HYPERLINK("https://www.773grp.com/globalSearch/DP83907VF-G  UT/page-1", "DP83907VF-G  UT")</f>
        <v>DP83907VF-G  UT</v>
      </c>
      <c r="B44422" s="3" t="str">
        <f>HYPERLINK("https://www.773grp.com/manufacturer/onsemi?pageNo=316", "ON Semiconductor")</f>
        <v>ON Semiconductor</v>
      </c>
      <c r="C44422" s="6">
        <v>14328</v>
      </c>
      <c r="D44422" s="7">
        <v>0</v>
      </c>
    </row>
    <row r="44423" spans="1:5" x14ac:dyDescent="0.25">
      <c r="A44423" t="str">
        <f>HYPERLINK("https://www.773grp.com/globalSearch/DP83934CVUL-25/page-1", "DP83934CVUL-25")</f>
        <v>DP83934CVUL-25</v>
      </c>
      <c r="B44423" s="3" t="str">
        <f>HYPERLINK("https://www.773grp.com/manufacturer/onsemi?pageNo=317", "ON Semiconductor")</f>
        <v>ON Semiconductor</v>
      </c>
      <c r="C44423" s="6">
        <v>569</v>
      </c>
      <c r="D44423" s="7">
        <v>0</v>
      </c>
    </row>
    <row r="44424" spans="1:5" x14ac:dyDescent="0.25">
      <c r="A44424" t="str">
        <f>HYPERLINK("https://www.773grp.com/globalSearch/DS3875-G/page-1", "DS3875-G")</f>
        <v>DS3875-G</v>
      </c>
      <c r="B44424" s="3" t="str">
        <f>HYPERLINK("https://www.773grp.com/manufacturer/onsemi?pageNo=318", "ON Semiconductor")</f>
        <v>ON Semiconductor</v>
      </c>
      <c r="C44424" s="6">
        <v>8131</v>
      </c>
      <c r="D44424" s="7">
        <v>0</v>
      </c>
    </row>
    <row r="44425" spans="1:5" x14ac:dyDescent="0.25">
      <c r="A44425" t="str">
        <f>HYPERLINK("https://www.773grp.com/globalSearch/DS3884AVF/page-1", "DS3884AVF")</f>
        <v>DS3884AVF</v>
      </c>
      <c r="B44425" s="3" t="str">
        <f>HYPERLINK("https://www.773grp.com/manufacturer/onsemi?pageNo=319", "ON Semiconductor")</f>
        <v>ON Semiconductor</v>
      </c>
      <c r="C44425" s="6">
        <v>914</v>
      </c>
      <c r="D44425" s="7">
        <v>0</v>
      </c>
      <c r="E44425" t="s">
        <v>21</v>
      </c>
    </row>
    <row r="44426" spans="1:5" x14ac:dyDescent="0.25">
      <c r="A44426" t="str">
        <f>HYPERLINK("https://www.773grp.com/globalSearch/DS3884AVF-G/page-1", "DS3884AVF-G")</f>
        <v>DS3884AVF-G</v>
      </c>
      <c r="B44426" s="3" t="str">
        <f>HYPERLINK("https://www.773grp.com/manufacturer/onsemi?pageNo=320", "ON Semiconductor")</f>
        <v>ON Semiconductor</v>
      </c>
      <c r="C44426" s="6">
        <v>5888</v>
      </c>
      <c r="D44426" s="7">
        <v>0</v>
      </c>
    </row>
    <row r="44427" spans="1:5" x14ac:dyDescent="0.25">
      <c r="A44427" t="str">
        <f>HYPERLINK("https://www.773grp.com/globalSearch/DS3886AVF/page-1", "DS3886AVF")</f>
        <v>DS3886AVF</v>
      </c>
      <c r="B44427" s="3" t="str">
        <f>HYPERLINK("https://www.773grp.com/manufacturer/onsemi?pageNo=321", "ON Semiconductor")</f>
        <v>ON Semiconductor</v>
      </c>
      <c r="C44427" s="6">
        <v>1422</v>
      </c>
      <c r="D44427" s="7">
        <v>0</v>
      </c>
      <c r="E44427" t="s">
        <v>21</v>
      </c>
    </row>
    <row r="44428" spans="1:5" x14ac:dyDescent="0.25">
      <c r="A44428" t="str">
        <f>HYPERLINK("https://www.773grp.com/globalSearch/DS3886AVF-G/page-1", "DS3886AVF-G")</f>
        <v>DS3886AVF-G</v>
      </c>
      <c r="B44428" s="3" t="str">
        <f>HYPERLINK("https://www.773grp.com/manufacturer/onsemi?pageNo=322", "ON Semiconductor")</f>
        <v>ON Semiconductor</v>
      </c>
      <c r="C44428" s="6">
        <v>19895</v>
      </c>
      <c r="D44428" s="7">
        <v>0</v>
      </c>
    </row>
    <row r="44429" spans="1:5" x14ac:dyDescent="0.25">
      <c r="A44429" t="str">
        <f>HYPERLINK("https://www.773grp.com/globalSearch/DS7838J-B/page-1", "DS7838J-B")</f>
        <v>DS7838J-B</v>
      </c>
      <c r="B44429" s="3" t="str">
        <f>HYPERLINK("https://www.773grp.com/manufacturer/onsemi?pageNo=323", "ON Semiconductor")</f>
        <v>ON Semiconductor</v>
      </c>
      <c r="C44429" s="6">
        <v>782</v>
      </c>
      <c r="D44429" s="7">
        <v>0</v>
      </c>
    </row>
    <row r="44430" spans="1:5" x14ac:dyDescent="0.25">
      <c r="A44430" t="str">
        <f>HYPERLINK("https://www.773grp.com/globalSearch/LM107J-14-883/page-1", "LM107J-14-883")</f>
        <v>LM107J-14-883</v>
      </c>
      <c r="B44430" s="3" t="str">
        <f>HYPERLINK("https://www.773grp.com/manufacturer/onsemi?pageNo=324", "ON Semiconductor")</f>
        <v>ON Semiconductor</v>
      </c>
      <c r="C44430" s="6">
        <v>1156</v>
      </c>
      <c r="D44430" s="7">
        <v>0</v>
      </c>
      <c r="E44430" t="s">
        <v>13</v>
      </c>
    </row>
    <row r="44431" spans="1:5" x14ac:dyDescent="0.25">
      <c r="A44431" t="str">
        <f>HYPERLINK("https://www.773grp.com/globalSearch/LM146J-B/page-1", "LM146J-B")</f>
        <v>LM146J-B</v>
      </c>
      <c r="B44431" s="3" t="str">
        <f>HYPERLINK("https://www.773grp.com/manufacturer/onsemi?pageNo=325", "ON Semiconductor")</f>
        <v>ON Semiconductor</v>
      </c>
      <c r="C44431" s="6">
        <v>921</v>
      </c>
      <c r="D44431" s="7">
        <v>0</v>
      </c>
    </row>
    <row r="44432" spans="1:5" x14ac:dyDescent="0.25">
      <c r="A44432" t="str">
        <f>HYPERLINK("https://www.773grp.com/globalSearch/LM1536H-883/page-1", "LM1536H-883")</f>
        <v>LM1536H-883</v>
      </c>
      <c r="B44432" s="3" t="str">
        <f>HYPERLINK("https://www.773grp.com/manufacturer/onsemi?pageNo=326", "ON Semiconductor")</f>
        <v>ON Semiconductor</v>
      </c>
      <c r="C44432" s="6">
        <v>322</v>
      </c>
      <c r="D44432" s="7">
        <v>0</v>
      </c>
    </row>
    <row r="44433" spans="1:5" x14ac:dyDescent="0.25">
      <c r="A44433" t="str">
        <f>HYPERLINK("https://www.773grp.com/globalSearch/LM1893N UT/page-1", "LM1893N UT")</f>
        <v>LM1893N UT</v>
      </c>
      <c r="B44433" s="3" t="str">
        <f>HYPERLINK("https://www.773grp.com/manufacturer/onsemi?pageNo=327", "ON Semiconductor")</f>
        <v>ON Semiconductor</v>
      </c>
      <c r="C44433" s="6">
        <v>2914</v>
      </c>
      <c r="D44433" s="7">
        <v>0</v>
      </c>
    </row>
    <row r="44434" spans="1:5" x14ac:dyDescent="0.25">
      <c r="A44434" t="str">
        <f>HYPERLINK("https://www.773grp.com/globalSearch/LM27297MTD-G  UT-UM/page-1", "LM27297MTD-G  UT-UM")</f>
        <v>LM27297MTD-G  UT-UM</v>
      </c>
      <c r="B44434" s="3" t="str">
        <f>HYPERLINK("https://www.773grp.com/manufacturer/onsemi?pageNo=328", "ON Semiconductor")</f>
        <v>ON Semiconductor</v>
      </c>
      <c r="C44434" s="6">
        <v>317</v>
      </c>
      <c r="D44434" s="7">
        <v>0</v>
      </c>
    </row>
    <row r="44435" spans="1:5" x14ac:dyDescent="0.25">
      <c r="A44435" t="str">
        <f>HYPERLINK("https://www.773grp.com/globalSearch/LM307J/page-1", "LM307J")</f>
        <v>LM307J</v>
      </c>
      <c r="B44435" s="3" t="str">
        <f>HYPERLINK("https://www.773grp.com/manufacturer/onsemi?pageNo=329", "ON Semiconductor")</f>
        <v>ON Semiconductor</v>
      </c>
      <c r="C44435" s="6">
        <v>139</v>
      </c>
      <c r="D44435" s="7">
        <v>0</v>
      </c>
      <c r="E44435" t="s">
        <v>13</v>
      </c>
    </row>
    <row r="44436" spans="1:5" x14ac:dyDescent="0.25">
      <c r="A44436" t="str">
        <f>HYPERLINK("https://www.773grp.com/globalSearch/LM361J/page-1", "LM361J")</f>
        <v>LM361J</v>
      </c>
      <c r="B44436" s="3" t="str">
        <f>HYPERLINK("https://www.773grp.com/manufacturer/onsemi?pageNo=330", "ON Semiconductor")</f>
        <v>ON Semiconductor</v>
      </c>
      <c r="C44436" s="6">
        <v>46</v>
      </c>
      <c r="D44436" s="7">
        <v>0</v>
      </c>
      <c r="E44436" t="s">
        <v>9</v>
      </c>
    </row>
    <row r="44437" spans="1:5" x14ac:dyDescent="0.25">
      <c r="A44437" t="str">
        <f>HYPERLINK("https://www.773grp.com/globalSearch/LM3916N/page-1", "LM3916N")</f>
        <v>LM3916N</v>
      </c>
      <c r="B44437" s="3" t="str">
        <f>HYPERLINK("https://www.773grp.com/manufacturer/onsemi?pageNo=331", "ON Semiconductor")</f>
        <v>ON Semiconductor</v>
      </c>
      <c r="C44437" s="6">
        <v>613</v>
      </c>
      <c r="D44437" s="7">
        <v>0</v>
      </c>
      <c r="E44437" t="s">
        <v>10</v>
      </c>
    </row>
    <row r="44438" spans="1:5" x14ac:dyDescent="0.25">
      <c r="A44438" t="str">
        <f>HYPERLINK("https://www.773grp.com/globalSearch/LM709H/page-1", "LM709H")</f>
        <v>LM709H</v>
      </c>
      <c r="B44438" s="3" t="str">
        <f>HYPERLINK("https://www.773grp.com/manufacturer/onsemi?pageNo=332", "ON Semiconductor")</f>
        <v>ON Semiconductor</v>
      </c>
      <c r="C44438" s="6">
        <v>6</v>
      </c>
      <c r="D44438" s="7">
        <v>0</v>
      </c>
    </row>
    <row r="44439" spans="1:5" x14ac:dyDescent="0.25">
      <c r="A44439" t="str">
        <f>HYPERLINK("https://www.773grp.com/globalSearch/LM709H-B/page-1", "LM709H-B")</f>
        <v>LM709H-B</v>
      </c>
      <c r="B44439" s="3" t="str">
        <f>HYPERLINK("https://www.773grp.com/manufacturer/onsemi?pageNo=333", "ON Semiconductor")</f>
        <v>ON Semiconductor</v>
      </c>
      <c r="C44439" s="6">
        <v>706</v>
      </c>
      <c r="D44439" s="7">
        <v>0</v>
      </c>
    </row>
    <row r="44440" spans="1:5" x14ac:dyDescent="0.25">
      <c r="A44440" t="str">
        <f>HYPERLINK("https://www.773grp.com/globalSearch/LM710H/page-1", "LM710H")</f>
        <v>LM710H</v>
      </c>
      <c r="B44440" s="3" t="str">
        <f>HYPERLINK("https://www.773grp.com/manufacturer/onsemi?pageNo=334", "ON Semiconductor")</f>
        <v>ON Semiconductor</v>
      </c>
      <c r="C44440" s="6">
        <v>66</v>
      </c>
      <c r="D44440" s="7">
        <v>0</v>
      </c>
      <c r="E44440" t="s">
        <v>9</v>
      </c>
    </row>
    <row r="44441" spans="1:5" x14ac:dyDescent="0.25">
      <c r="A44441" t="str">
        <f>HYPERLINK("https://www.773grp.com/globalSearch/LMX2305WG-B/page-1", "LMX2305WG-B")</f>
        <v>LMX2305WG-B</v>
      </c>
      <c r="B44441" s="3" t="str">
        <f>HYPERLINK("https://www.773grp.com/manufacturer/onsemi?pageNo=335", "ON Semiconductor")</f>
        <v>ON Semiconductor</v>
      </c>
      <c r="C44441" s="6">
        <v>16</v>
      </c>
      <c r="D44441" s="7">
        <v>0</v>
      </c>
    </row>
    <row r="44442" spans="1:5" x14ac:dyDescent="0.25">
      <c r="A44442" t="str">
        <f>HYPERLINK("https://www.773grp.com/globalSearch/LMX2325TMX-G/page-1", "LMX2325TMX-G")</f>
        <v>LMX2325TMX-G</v>
      </c>
      <c r="B44442" s="3" t="str">
        <f>HYPERLINK("https://www.773grp.com/manufacturer/onsemi?pageNo=336", "ON Semiconductor")</f>
        <v>ON Semiconductor</v>
      </c>
      <c r="C44442" s="6">
        <v>40930</v>
      </c>
      <c r="D44442" s="7">
        <v>0</v>
      </c>
    </row>
    <row r="44443" spans="1:5" x14ac:dyDescent="0.25">
      <c r="A44443" t="str">
        <f>HYPERLINK("https://www.773grp.com/globalSearch/LMX2335UTMX-G  UT/page-1", "LMX2335UTMX-G  UT")</f>
        <v>LMX2335UTMX-G  UT</v>
      </c>
      <c r="B44443" s="3" t="str">
        <f>HYPERLINK("https://www.773grp.com/manufacturer/onsemi?pageNo=337", "ON Semiconductor")</f>
        <v>ON Semiconductor</v>
      </c>
      <c r="C44443" s="6">
        <v>4203</v>
      </c>
      <c r="D44443" s="7">
        <v>0</v>
      </c>
    </row>
    <row r="44444" spans="1:5" x14ac:dyDescent="0.25">
      <c r="A44444" t="str">
        <f>HYPERLINK("https://www.773grp.com/globalSearch/LPC660AMJ-883/page-1", "LPC660AMJ-883")</f>
        <v>LPC660AMJ-883</v>
      </c>
      <c r="B44444" s="3" t="str">
        <f>HYPERLINK("https://www.773grp.com/manufacturer/onsemi?pageNo=338", "ON Semiconductor")</f>
        <v>ON Semiconductor</v>
      </c>
      <c r="C44444" s="6">
        <v>632</v>
      </c>
      <c r="D44444" s="7">
        <v>0</v>
      </c>
      <c r="E44444" t="s">
        <v>13</v>
      </c>
    </row>
    <row r="44445" spans="1:5" x14ac:dyDescent="0.25">
      <c r="A44445" t="str">
        <f>HYPERLINK("https://www.773grp.com/globalSearch/MIS-29515-73  UT/page-1", "MIS-29515-73  UT")</f>
        <v>MIS-29515-73  UT</v>
      </c>
      <c r="B44445" s="3" t="str">
        <f>HYPERLINK("https://www.773grp.com/manufacturer/onsemi?pageNo=339", "ON Semiconductor")</f>
        <v>ON Semiconductor</v>
      </c>
      <c r="C44445" s="6">
        <v>8</v>
      </c>
      <c r="D44445" s="7">
        <v>0</v>
      </c>
    </row>
    <row r="44446" spans="1:5" x14ac:dyDescent="0.25">
      <c r="A44446" t="str">
        <f>HYPERLINK("https://www.773grp.com/globalSearch/MM54C905J-B/page-1", "MM54C905J-B")</f>
        <v>MM54C905J-B</v>
      </c>
      <c r="B44446" s="3" t="str">
        <f>HYPERLINK("https://www.773grp.com/manufacturer/onsemi?pageNo=340", "ON Semiconductor")</f>
        <v>ON Semiconductor</v>
      </c>
      <c r="C44446" s="6">
        <v>678</v>
      </c>
      <c r="D44446" s="7">
        <v>0</v>
      </c>
    </row>
    <row r="44447" spans="1:5" x14ac:dyDescent="0.25">
      <c r="A44447" t="str">
        <f>HYPERLINK("https://www.773grp.com/globalSearch/MM54HC154JS-883/page-1", "MM54HC154JS-883")</f>
        <v>MM54HC154JS-883</v>
      </c>
      <c r="B44447" s="3" t="str">
        <f>HYPERLINK("https://www.773grp.com/manufacturer/onsemi?pageNo=341", "ON Semiconductor")</f>
        <v>ON Semiconductor</v>
      </c>
      <c r="C44447" s="6">
        <v>975</v>
      </c>
      <c r="D44447" s="7">
        <v>0</v>
      </c>
    </row>
    <row r="44448" spans="1:5" x14ac:dyDescent="0.25">
      <c r="A44448" t="str">
        <f>HYPERLINK("https://www.773grp.com/globalSearch/MM54HCT192J/page-1", "MM54HCT192J")</f>
        <v>MM54HCT192J</v>
      </c>
      <c r="B44448" s="3" t="str">
        <f>HYPERLINK("https://www.773grp.com/manufacturer/onsemi?pageNo=342", "ON Semiconductor")</f>
        <v>ON Semiconductor</v>
      </c>
      <c r="C44448" s="6">
        <v>700</v>
      </c>
      <c r="D44448" s="7">
        <v>0</v>
      </c>
      <c r="E44448" t="s">
        <v>26</v>
      </c>
    </row>
    <row r="44449" spans="1:4" x14ac:dyDescent="0.25">
      <c r="A44449" t="str">
        <f>HYPERLINK("https://www.773grp.com/globalSearch/R1008/page-1", "R1008")</f>
        <v>R1008</v>
      </c>
      <c r="B44449" s="3" t="str">
        <f>HYPERLINK("https://www.773grp.com/manufacturer/onsemi?pageNo=343", "ON Semiconductor")</f>
        <v>ON Semiconductor</v>
      </c>
      <c r="C44449" s="6">
        <v>368</v>
      </c>
      <c r="D44449" s="7">
        <v>0</v>
      </c>
    </row>
    <row r="44450" spans="1:4" x14ac:dyDescent="0.25">
      <c r="A44450" t="str">
        <f>HYPERLINK("https://www.773grp.com/globalSearch/R1052/page-1", "R1052")</f>
        <v>R1052</v>
      </c>
      <c r="B44450" s="3" t="str">
        <f>HYPERLINK("https://www.773grp.com/manufacturer/onsemi?pageNo=344", "ON Semiconductor")</f>
        <v>ON Semiconductor</v>
      </c>
      <c r="C44450" s="6">
        <v>199</v>
      </c>
      <c r="D44450" s="7">
        <v>0</v>
      </c>
    </row>
    <row r="44451" spans="1:4" x14ac:dyDescent="0.25">
      <c r="A44451" t="str">
        <f>HYPERLINK("https://www.773grp.com/globalSearch/R1136/page-1", "R1136")</f>
        <v>R1136</v>
      </c>
      <c r="B44451" s="3" t="str">
        <f>HYPERLINK("https://www.773grp.com/manufacturer/onsemi?pageNo=345", "ON Semiconductor")</f>
        <v>ON Semiconductor</v>
      </c>
      <c r="C44451" s="6">
        <v>352</v>
      </c>
      <c r="D44451" s="7">
        <v>0</v>
      </c>
    </row>
    <row r="44452" spans="1:4" x14ac:dyDescent="0.25">
      <c r="A44452" t="str">
        <f>HYPERLINK("https://www.773grp.com/globalSearch/R1197/page-1", "R1197")</f>
        <v>R1197</v>
      </c>
      <c r="B44452" s="3" t="str">
        <f>HYPERLINK("https://www.773grp.com/manufacturer/onsemi?pageNo=346", "ON Semiconductor")</f>
        <v>ON Semiconductor</v>
      </c>
      <c r="C44452" s="6">
        <v>1182</v>
      </c>
      <c r="D44452" s="7">
        <v>0</v>
      </c>
    </row>
    <row r="44453" spans="1:4" x14ac:dyDescent="0.25">
      <c r="A44453" t="str">
        <f>HYPERLINK("https://www.773grp.com/globalSearch/R1210/page-1", "R1210")</f>
        <v>R1210</v>
      </c>
      <c r="B44453" s="3" t="str">
        <f>HYPERLINK("https://www.773grp.com/manufacturer/onsemi?pageNo=347", "ON Semiconductor")</f>
        <v>ON Semiconductor</v>
      </c>
      <c r="C44453" s="6">
        <v>412</v>
      </c>
      <c r="D44453" s="7">
        <v>0</v>
      </c>
    </row>
    <row r="44454" spans="1:4" x14ac:dyDescent="0.25">
      <c r="A44454" t="str">
        <f>HYPERLINK("https://www.773grp.com/globalSearch/R1259/page-1", "R1259")</f>
        <v>R1259</v>
      </c>
      <c r="B44454" s="3" t="str">
        <f>HYPERLINK("https://www.773grp.com/manufacturer/onsemi?pageNo=348", "ON Semiconductor")</f>
        <v>ON Semiconductor</v>
      </c>
      <c r="C44454" s="6">
        <v>138</v>
      </c>
      <c r="D44454" s="7">
        <v>0</v>
      </c>
    </row>
    <row r="44455" spans="1:4" x14ac:dyDescent="0.25">
      <c r="A44455" t="str">
        <f>HYPERLINK("https://www.773grp.com/globalSearch/R1302-S/page-1", "R1302-S")</f>
        <v>R1302-S</v>
      </c>
      <c r="B44455" s="3" t="str">
        <f>HYPERLINK("https://www.773grp.com/manufacturer/onsemi?pageNo=349", "ON Semiconductor")</f>
        <v>ON Semiconductor</v>
      </c>
      <c r="C44455" s="6">
        <v>73</v>
      </c>
      <c r="D44455" s="7">
        <v>0</v>
      </c>
    </row>
    <row r="44456" spans="1:4" x14ac:dyDescent="0.25">
      <c r="A44456" t="str">
        <f>HYPERLINK("https://www.773grp.com/globalSearch/R1303-S/page-1", "R1303-S")</f>
        <v>R1303-S</v>
      </c>
      <c r="B44456" s="3" t="str">
        <f>HYPERLINK("https://www.773grp.com/manufacturer/onsemi?pageNo=350", "ON Semiconductor")</f>
        <v>ON Semiconductor</v>
      </c>
      <c r="C44456" s="6">
        <v>38</v>
      </c>
      <c r="D44456" s="7">
        <v>0</v>
      </c>
    </row>
    <row r="44457" spans="1:4" x14ac:dyDescent="0.25">
      <c r="A44457" t="str">
        <f>HYPERLINK("https://www.773grp.com/globalSearch/R1314/page-1", "R1314")</f>
        <v>R1314</v>
      </c>
      <c r="B44457" s="3" t="str">
        <f>HYPERLINK("https://www.773grp.com/manufacturer/onsemi?pageNo=351", "ON Semiconductor")</f>
        <v>ON Semiconductor</v>
      </c>
      <c r="C44457" s="6">
        <v>45</v>
      </c>
      <c r="D44457" s="7">
        <v>0</v>
      </c>
    </row>
    <row r="44458" spans="1:4" x14ac:dyDescent="0.25">
      <c r="A44458" t="str">
        <f>HYPERLINK("https://www.773grp.com/globalSearch/R1389  UT/page-1", "R1389  UT")</f>
        <v>R1389  UT</v>
      </c>
      <c r="B44458" s="3" t="str">
        <f>HYPERLINK("https://www.773grp.com/manufacturer/onsemi?pageNo=352", "ON Semiconductor")</f>
        <v>ON Semiconductor</v>
      </c>
      <c r="C44458" s="6">
        <v>21939</v>
      </c>
      <c r="D44458" s="7">
        <v>0</v>
      </c>
    </row>
    <row r="44459" spans="1:4" x14ac:dyDescent="0.25">
      <c r="A44459" t="str">
        <f>HYPERLINK("https://www.773grp.com/globalSearch/R1394/page-1", "R1394")</f>
        <v>R1394</v>
      </c>
      <c r="B44459" s="3" t="str">
        <f>HYPERLINK("https://www.773grp.com/manufacturer/onsemi?pageNo=353", "ON Semiconductor")</f>
        <v>ON Semiconductor</v>
      </c>
      <c r="C44459" s="6">
        <v>913</v>
      </c>
      <c r="D44459" s="7">
        <v>0</v>
      </c>
    </row>
    <row r="44460" spans="1:4" x14ac:dyDescent="0.25">
      <c r="A44460" t="str">
        <f>HYPERLINK("https://www.773grp.com/globalSearch/R1412/page-1", "R1412")</f>
        <v>R1412</v>
      </c>
      <c r="B44460" s="3" t="str">
        <f>HYPERLINK("https://www.773grp.com/manufacturer/onsemi?pageNo=354", "ON Semiconductor")</f>
        <v>ON Semiconductor</v>
      </c>
      <c r="C44460" s="6">
        <v>484</v>
      </c>
      <c r="D44460" s="7">
        <v>0</v>
      </c>
    </row>
    <row r="44461" spans="1:4" x14ac:dyDescent="0.25">
      <c r="A44461" t="str">
        <f>HYPERLINK("https://www.773grp.com/globalSearch/R1445  UT/page-1", "R1445  UT")</f>
        <v>R1445  UT</v>
      </c>
      <c r="B44461" s="3" t="str">
        <f>HYPERLINK("https://www.773grp.com/manufacturer/onsemi?pageNo=355", "ON Semiconductor")</f>
        <v>ON Semiconductor</v>
      </c>
      <c r="C44461" s="6">
        <v>584</v>
      </c>
      <c r="D44461" s="7">
        <v>0</v>
      </c>
    </row>
    <row r="44462" spans="1:4" x14ac:dyDescent="0.25">
      <c r="A44462" t="str">
        <f>HYPERLINK("https://www.773grp.com/globalSearch/R1515/page-1", "R1515")</f>
        <v>R1515</v>
      </c>
      <c r="B44462" s="3" t="str">
        <f>HYPERLINK("https://www.773grp.com/manufacturer/onsemi?pageNo=356", "ON Semiconductor")</f>
        <v>ON Semiconductor</v>
      </c>
      <c r="C44462" s="6">
        <v>5</v>
      </c>
      <c r="D44462" s="7">
        <v>0</v>
      </c>
    </row>
    <row r="44463" spans="1:4" x14ac:dyDescent="0.25">
      <c r="A44463" t="str">
        <f>HYPERLINK("https://www.773grp.com/globalSearch/R1579/page-1", "R1579")</f>
        <v>R1579</v>
      </c>
      <c r="B44463" s="3" t="str">
        <f>HYPERLINK("https://www.773grp.com/manufacturer/onsemi?pageNo=357", "ON Semiconductor")</f>
        <v>ON Semiconductor</v>
      </c>
      <c r="C44463" s="6">
        <v>238</v>
      </c>
      <c r="D44463" s="7">
        <v>0</v>
      </c>
    </row>
    <row r="44464" spans="1:4" x14ac:dyDescent="0.25">
      <c r="A44464" t="str">
        <f>HYPERLINK("https://www.773grp.com/globalSearch/R1617/page-1", "R1617")</f>
        <v>R1617</v>
      </c>
      <c r="B44464" s="3" t="str">
        <f>HYPERLINK("https://www.773grp.com/manufacturer/onsemi?pageNo=358", "ON Semiconductor")</f>
        <v>ON Semiconductor</v>
      </c>
      <c r="C44464" s="6">
        <v>453</v>
      </c>
      <c r="D44464" s="7">
        <v>0</v>
      </c>
    </row>
    <row r="44465" spans="1:5" x14ac:dyDescent="0.25">
      <c r="A44465" t="str">
        <f>HYPERLINK("https://www.773grp.com/globalSearch/R271000/page-1", "R271000")</f>
        <v>R271000</v>
      </c>
      <c r="B44465" s="3" t="str">
        <f>HYPERLINK("https://www.773grp.com/manufacturer/onsemi?pageNo=359", "ON Semiconductor")</f>
        <v>ON Semiconductor</v>
      </c>
      <c r="C44465" s="6">
        <v>30</v>
      </c>
      <c r="D44465" s="7">
        <v>0</v>
      </c>
    </row>
    <row r="44466" spans="1:5" x14ac:dyDescent="0.25">
      <c r="A44466" t="str">
        <f>HYPERLINK("https://www.773grp.com/globalSearch/R321000/page-1", "R321000")</f>
        <v>R321000</v>
      </c>
      <c r="B44466" s="3" t="str">
        <f>HYPERLINK("https://www.773grp.com/manufacturer/onsemi?pageNo=360", "ON Semiconductor")</f>
        <v>ON Semiconductor</v>
      </c>
      <c r="C44466" s="6">
        <v>76</v>
      </c>
      <c r="D44466" s="7">
        <v>0</v>
      </c>
    </row>
    <row r="44467" spans="1:5" x14ac:dyDescent="0.25">
      <c r="A44467" t="str">
        <f>HYPERLINK("https://www.773grp.com/globalSearch/SCAN18541T-MXA/page-1", "SCAN18541T-MXA")</f>
        <v>SCAN18541T-MXA</v>
      </c>
      <c r="B44467" s="3" t="str">
        <f>HYPERLINK("https://www.773grp.com/manufacturer/onsemi?pageNo=361", "ON Semiconductor")</f>
        <v>ON Semiconductor</v>
      </c>
      <c r="C44467" s="6">
        <v>402</v>
      </c>
      <c r="D44467" s="7">
        <v>0</v>
      </c>
    </row>
    <row r="44468" spans="1:5" x14ac:dyDescent="0.25">
      <c r="A44468" t="str">
        <f>HYPERLINK("https://www.773grp.com/globalSearch/SCAN18541TSSC-G/page-1", "SCAN18541TSSC-G")</f>
        <v>SCAN18541TSSC-G</v>
      </c>
      <c r="B44468" s="3" t="str">
        <f>HYPERLINK("https://www.773grp.com/manufacturer/onsemi?pageNo=362", "ON Semiconductor")</f>
        <v>ON Semiconductor</v>
      </c>
      <c r="C44468" s="6">
        <v>1171</v>
      </c>
      <c r="D44468" s="7">
        <v>0</v>
      </c>
    </row>
    <row r="44469" spans="1:5" x14ac:dyDescent="0.25">
      <c r="A44469" t="str">
        <f>HYPERLINK("https://www.773grp.com/globalSearch/MC10115L  UT/page-1", "MC10115L  UT")</f>
        <v>MC10115L  UT</v>
      </c>
      <c r="B44469" s="3" t="str">
        <f>HYPERLINK("https://www.773grp.com/manufacturer/onsemi?pageNo=363", "ON Semiconductor")</f>
        <v>ON Semiconductor</v>
      </c>
      <c r="C44469" s="6">
        <v>568</v>
      </c>
      <c r="D44469" s="7">
        <v>0</v>
      </c>
    </row>
    <row r="44470" spans="1:5" x14ac:dyDescent="0.25">
      <c r="A44470" t="str">
        <f>HYPERLINK("https://www.773grp.com/globalSearch/MC10501L UT/page-1", "MC10501L UT")</f>
        <v>MC10501L UT</v>
      </c>
      <c r="B44470" s="3" t="str">
        <f>HYPERLINK("https://www.773grp.com/manufacturer/onsemi?pageNo=364", "ON Semiconductor")</f>
        <v>ON Semiconductor</v>
      </c>
      <c r="C44470" s="6">
        <v>994</v>
      </c>
      <c r="D44470" s="7">
        <v>0</v>
      </c>
    </row>
    <row r="44471" spans="1:5" x14ac:dyDescent="0.25">
      <c r="A44471" t="str">
        <f>HYPERLINK("https://www.773grp.com/globalSearch/MC10505L UT/page-1", "MC10505L UT")</f>
        <v>MC10505L UT</v>
      </c>
      <c r="B44471" s="3" t="str">
        <f>HYPERLINK("https://www.773grp.com/manufacturer/onsemi?pageNo=365", "ON Semiconductor")</f>
        <v>ON Semiconductor</v>
      </c>
      <c r="C44471" s="6">
        <v>992</v>
      </c>
      <c r="D44471" s="7">
        <v>0</v>
      </c>
    </row>
    <row r="44472" spans="1:5" x14ac:dyDescent="0.25">
      <c r="A44472" t="str">
        <f>HYPERLINK("https://www.773grp.com/globalSearch/MC10509L UT/page-1", "MC10509L UT")</f>
        <v>MC10509L UT</v>
      </c>
      <c r="B44472" s="3" t="str">
        <f>HYPERLINK("https://www.773grp.com/manufacturer/onsemi?pageNo=366", "ON Semiconductor")</f>
        <v>ON Semiconductor</v>
      </c>
      <c r="C44472" s="6">
        <v>997</v>
      </c>
      <c r="D44472" s="7">
        <v>0</v>
      </c>
    </row>
    <row r="44473" spans="1:5" x14ac:dyDescent="0.25">
      <c r="A44473" t="str">
        <f>HYPERLINK("https://www.773grp.com/globalSearch/MC10531L UT/page-1", "MC10531L UT")</f>
        <v>MC10531L UT</v>
      </c>
      <c r="B44473" s="3" t="str">
        <f>HYPERLINK("https://www.773grp.com/manufacturer/onsemi?pageNo=367", "ON Semiconductor")</f>
        <v>ON Semiconductor</v>
      </c>
      <c r="C44473" s="6">
        <v>997</v>
      </c>
      <c r="D44473" s="7">
        <v>0</v>
      </c>
    </row>
    <row r="44474" spans="1:5" x14ac:dyDescent="0.25">
      <c r="A44474" t="str">
        <f>HYPERLINK("https://www.773grp.com/globalSearch/MC10538F-R/page-1", "MC10538F-R")</f>
        <v>MC10538F-R</v>
      </c>
      <c r="B44474" s="3" t="str">
        <f>HYPERLINK("https://www.773grp.com/manufacturer/onsemi?pageNo=368", "ON Semiconductor")</f>
        <v>ON Semiconductor</v>
      </c>
      <c r="C44474" s="6">
        <v>81</v>
      </c>
      <c r="D44474" s="7">
        <v>0</v>
      </c>
    </row>
    <row r="44475" spans="1:5" x14ac:dyDescent="0.25">
      <c r="A44475" t="str">
        <f>HYPERLINK("https://www.773grp.com/globalSearch/MC10538F-R  UT/page-1", "MC10538F-R  UT")</f>
        <v>MC10538F-R  UT</v>
      </c>
      <c r="B44475" s="3" t="str">
        <f>HYPERLINK("https://www.773grp.com/manufacturer/onsemi?pageNo=369", "ON Semiconductor")</f>
        <v>ON Semiconductor</v>
      </c>
      <c r="C44475" s="6">
        <v>728</v>
      </c>
      <c r="D44475" s="7">
        <v>0</v>
      </c>
    </row>
    <row r="44476" spans="1:5" x14ac:dyDescent="0.25">
      <c r="A44476" t="str">
        <f>HYPERLINK("https://www.773grp.com/globalSearch/MC14572UBAL-B/page-1", "MC14572UBAL-B")</f>
        <v>MC14572UBAL-B</v>
      </c>
      <c r="B44476" s="3" t="str">
        <f>HYPERLINK("https://www.773grp.com/manufacturer/onsemi?pageNo=370", "ON Semiconductor")</f>
        <v>ON Semiconductor</v>
      </c>
      <c r="C44476" s="6">
        <v>735</v>
      </c>
      <c r="D44476" s="7">
        <v>0</v>
      </c>
    </row>
    <row r="44477" spans="1:5" x14ac:dyDescent="0.25">
      <c r="A44477" t="str">
        <f>HYPERLINK("https://www.773grp.com/globalSearch/MC33074AD/page-1", "MC33074AD")</f>
        <v>MC33074AD</v>
      </c>
      <c r="B44477" s="3" t="str">
        <f>HYPERLINK("https://www.773grp.com/manufacturer/onsemi?pageNo=371", "ON Semiconductor")</f>
        <v>ON Semiconductor</v>
      </c>
      <c r="C44477" s="6">
        <v>1587</v>
      </c>
      <c r="D44477" s="7">
        <v>0</v>
      </c>
      <c r="E44477" t="s">
        <v>13</v>
      </c>
    </row>
    <row r="44478" spans="1:5" x14ac:dyDescent="0.25">
      <c r="A44478" t="str">
        <f>HYPERLINK("https://www.773grp.com/globalSearch/R1152  UF/page-1", "R1152  UF")</f>
        <v>R1152  UF</v>
      </c>
      <c r="B44478" s="3" t="str">
        <f>HYPERLINK("https://www.773grp.com/manufacturer/onsemi?pageNo=372", "ON Semiconductor")</f>
        <v>ON Semiconductor</v>
      </c>
      <c r="C44478" s="6">
        <v>961</v>
      </c>
      <c r="D44478" s="7">
        <v>0</v>
      </c>
    </row>
    <row r="44479" spans="1:5" x14ac:dyDescent="0.25">
      <c r="A44479" t="str">
        <f>HYPERLINK("https://www.773grp.com/globalSearch/R1223/page-1", "R1223")</f>
        <v>R1223</v>
      </c>
      <c r="B44479" s="3" t="str">
        <f>HYPERLINK("https://www.773grp.com/manufacturer/onsemi?pageNo=373", "ON Semiconductor")</f>
        <v>ON Semiconductor</v>
      </c>
      <c r="C44479" s="6">
        <v>155</v>
      </c>
      <c r="D44479" s="7">
        <v>0</v>
      </c>
    </row>
    <row r="44480" spans="1:5" x14ac:dyDescent="0.25">
      <c r="A44480" t="str">
        <f>HYPERLINK("https://www.773grp.com/globalSearch/R1270/page-1", "R1270")</f>
        <v>R1270</v>
      </c>
      <c r="B44480" s="3" t="str">
        <f>HYPERLINK("https://www.773grp.com/manufacturer/onsemi?pageNo=374", "ON Semiconductor")</f>
        <v>ON Semiconductor</v>
      </c>
      <c r="C44480" s="6">
        <v>83</v>
      </c>
      <c r="D44480" s="7">
        <v>0</v>
      </c>
    </row>
    <row r="44481" spans="1:5" x14ac:dyDescent="0.25">
      <c r="A44481" t="str">
        <f>HYPERLINK("https://www.773grp.com/globalSearch/R1678/page-1", "R1678")</f>
        <v>R1678</v>
      </c>
      <c r="B44481" s="3" t="str">
        <f>HYPERLINK("https://www.773grp.com/manufacturer/onsemi?pageNo=375", "ON Semiconductor")</f>
        <v>ON Semiconductor</v>
      </c>
      <c r="C44481" s="6">
        <v>612</v>
      </c>
      <c r="D44481" s="7">
        <v>0</v>
      </c>
    </row>
    <row r="44482" spans="1:5" x14ac:dyDescent="0.25">
      <c r="A44482" t="str">
        <f>HYPERLINK("https://www.773grp.com/globalSearch/QLGV360EPC-50LP/page-1", "QLGV360EPC-50LP")</f>
        <v>QLGV360EPC-50LP</v>
      </c>
      <c r="B44482" s="3" t="str">
        <f>HYPERLINK("https://www.773grp.com/manufacturer/onsemi?pageNo=376", "ON Semiconductor")</f>
        <v>ON Semiconductor</v>
      </c>
      <c r="C44482" s="6">
        <v>3</v>
      </c>
      <c r="D44482" s="7">
        <v>0</v>
      </c>
    </row>
    <row r="44483" spans="1:5" x14ac:dyDescent="0.25">
      <c r="A44483" t="str">
        <f>HYPERLINK("https://www.773grp.com/globalSearch/25LS2518PC LT/page-1", "25LS2518PC LT")</f>
        <v>25LS2518PC LT</v>
      </c>
      <c r="B44483" s="3" t="str">
        <f>HYPERLINK("https://www.773grp.com/manufacturer/onsemi?pageNo=377", "ON Semiconductor")</f>
        <v>ON Semiconductor</v>
      </c>
      <c r="C44483" s="6">
        <v>104</v>
      </c>
      <c r="D44483" s="7">
        <v>0</v>
      </c>
    </row>
    <row r="44484" spans="1:5" x14ac:dyDescent="0.25">
      <c r="A44484" t="str">
        <f>HYPERLINK("https://www.773grp.com/globalSearch/27LS00ADC  UT/page-1", "27LS00ADC  UT")</f>
        <v>27LS00ADC  UT</v>
      </c>
      <c r="B44484" s="3" t="str">
        <f>HYPERLINK("https://www.773grp.com/manufacturer/onsemi?pageNo=378", "ON Semiconductor")</f>
        <v>ON Semiconductor</v>
      </c>
      <c r="C44484" s="6">
        <v>516</v>
      </c>
      <c r="D44484" s="7">
        <v>0</v>
      </c>
    </row>
    <row r="44485" spans="1:5" x14ac:dyDescent="0.25">
      <c r="A44485" t="str">
        <f>HYPERLINK("https://www.773grp.com/globalSearch/27LS00PC/page-1", "27LS00PC")</f>
        <v>27LS00PC</v>
      </c>
      <c r="B44485" s="3" t="str">
        <f>HYPERLINK("https://www.773grp.com/manufacturer/onsemi?pageNo=379", "ON Semiconductor")</f>
        <v>ON Semiconductor</v>
      </c>
      <c r="C44485" s="6">
        <v>3808</v>
      </c>
      <c r="D44485" s="7">
        <v>0</v>
      </c>
    </row>
    <row r="44486" spans="1:5" x14ac:dyDescent="0.25">
      <c r="A44486" t="str">
        <f>HYPERLINK("https://www.773grp.com/globalSearch/27S185ADM-B/page-1", "27S185ADM-B")</f>
        <v>27S185ADM-B</v>
      </c>
      <c r="B44486" s="3" t="str">
        <f>HYPERLINK("https://www.773grp.com/manufacturer/onsemi?pageNo=380", "ON Semiconductor")</f>
        <v>ON Semiconductor</v>
      </c>
      <c r="C44486" s="6">
        <v>17</v>
      </c>
      <c r="D44486" s="7">
        <v>0</v>
      </c>
    </row>
    <row r="44487" spans="1:5" x14ac:dyDescent="0.25">
      <c r="A44487" t="str">
        <f>HYPERLINK("https://www.773grp.com/globalSearch/27S19AJC/page-1", "27S19AJC")</f>
        <v>27S19AJC</v>
      </c>
      <c r="B44487" s="3" t="str">
        <f>HYPERLINK("https://www.773grp.com/manufacturer/onsemi?pageNo=381", "ON Semiconductor")</f>
        <v>ON Semiconductor</v>
      </c>
      <c r="C44487" s="6">
        <v>3003</v>
      </c>
      <c r="D44487" s="7">
        <v>0</v>
      </c>
    </row>
    <row r="44488" spans="1:5" x14ac:dyDescent="0.25">
      <c r="A44488" t="str">
        <f>HYPERLINK("https://www.773grp.com/globalSearch/27S19APC/page-1", "27S19APC")</f>
        <v>27S19APC</v>
      </c>
      <c r="B44488" s="3" t="str">
        <f>HYPERLINK("https://www.773grp.com/manufacturer/onsemi?pageNo=382", "ON Semiconductor")</f>
        <v>ON Semiconductor</v>
      </c>
      <c r="C44488" s="6">
        <v>3527</v>
      </c>
      <c r="D44488" s="7">
        <v>0</v>
      </c>
    </row>
    <row r="44489" spans="1:5" x14ac:dyDescent="0.25">
      <c r="A44489" t="str">
        <f>HYPERLINK("https://www.773grp.com/globalSearch/54123W-B  LT/page-1", "54123W-B  LT")</f>
        <v>54123W-B  LT</v>
      </c>
      <c r="B44489" s="3" t="str">
        <f>HYPERLINK("https://www.773grp.com/manufacturer/onsemi?pageNo=383", "ON Semiconductor")</f>
        <v>ON Semiconductor</v>
      </c>
      <c r="C44489" s="6">
        <v>45</v>
      </c>
      <c r="D44489" s="7">
        <v>0</v>
      </c>
    </row>
    <row r="44490" spans="1:5" x14ac:dyDescent="0.25">
      <c r="A44490" t="str">
        <f>HYPERLINK("https://www.773grp.com/globalSearch/54F74-BCA/page-1", "54F74-BCA")</f>
        <v>54F74-BCA</v>
      </c>
      <c r="B44490" s="3" t="str">
        <f>HYPERLINK("https://www.773grp.com/manufacturer/onsemi?pageNo=384", "ON Semiconductor")</f>
        <v>ON Semiconductor</v>
      </c>
      <c r="C44490" s="6">
        <v>956</v>
      </c>
      <c r="D44490" s="7">
        <v>0</v>
      </c>
      <c r="E44490" t="s">
        <v>35</v>
      </c>
    </row>
    <row r="44491" spans="1:5" x14ac:dyDescent="0.25">
      <c r="A44491" t="str">
        <f>HYPERLINK("https://www.773grp.com/globalSearch/5962-8672601EA/page-1", "5962-8672601EA")</f>
        <v>5962-8672601EA</v>
      </c>
      <c r="B44491" s="3" t="str">
        <f>HYPERLINK("https://www.773grp.com/manufacturer/onsemi?pageNo=385", "ON Semiconductor")</f>
        <v>ON Semiconductor</v>
      </c>
      <c r="C44491" s="6">
        <v>442</v>
      </c>
      <c r="D44491" s="7">
        <v>0</v>
      </c>
      <c r="E44491" t="s">
        <v>43</v>
      </c>
    </row>
    <row r="44492" spans="1:5" x14ac:dyDescent="0.25">
      <c r="A44492" t="str">
        <f>HYPERLINK("https://www.773grp.com/globalSearch/5962-8672601FA/page-1", "5962-8672601FA")</f>
        <v>5962-8672601FA</v>
      </c>
      <c r="B44492" s="3" t="str">
        <f>HYPERLINK("https://www.773grp.com/manufacturer/onsemi?pageNo=386", "ON Semiconductor")</f>
        <v>ON Semiconductor</v>
      </c>
      <c r="C44492" s="6">
        <v>335</v>
      </c>
      <c r="D44492" s="7">
        <v>0</v>
      </c>
      <c r="E44492" t="s">
        <v>43</v>
      </c>
    </row>
    <row r="44493" spans="1:5" x14ac:dyDescent="0.25">
      <c r="A44493" t="str">
        <f>HYPERLINK("https://www.773grp.com/globalSearch/74RACTQ16646Z6B_BDC  UP/page-1", "74RACTQ16646Z6B_BDC  UP")</f>
        <v>74RACTQ16646Z6B_BDC  UP</v>
      </c>
      <c r="B44493" s="3" t="str">
        <f>HYPERLINK("https://www.773grp.com/manufacturer/onsemi?pageNo=387", "ON Semiconductor")</f>
        <v>ON Semiconductor</v>
      </c>
      <c r="C44493" s="6">
        <v>12</v>
      </c>
      <c r="D44493" s="7">
        <v>0</v>
      </c>
    </row>
    <row r="44494" spans="1:5" x14ac:dyDescent="0.25">
      <c r="A44494" t="str">
        <f>HYPERLINK("https://www.773grp.com/globalSearch/74REAC245S6B_BHA/page-1", "74REAC245S6B_BHA")</f>
        <v>74REAC245S6B_BHA</v>
      </c>
      <c r="B44494" s="3" t="str">
        <f>HYPERLINK("https://www.773grp.com/manufacturer/onsemi?pageNo=388", "ON Semiconductor")</f>
        <v>ON Semiconductor</v>
      </c>
      <c r="C44494" s="6">
        <v>24</v>
      </c>
      <c r="D44494" s="7">
        <v>0</v>
      </c>
    </row>
    <row r="44495" spans="1:5" x14ac:dyDescent="0.25">
      <c r="A44495" t="str">
        <f>HYPERLINK("https://www.773grp.com/globalSearch/74REAC273Z6B_BBA/page-1", "74REAC273Z6B_BBA")</f>
        <v>74REAC273Z6B_BBA</v>
      </c>
      <c r="B44495" s="3" t="str">
        <f>HYPERLINK("https://www.773grp.com/manufacturer/onsemi?pageNo=389", "ON Semiconductor")</f>
        <v>ON Semiconductor</v>
      </c>
      <c r="C44495" s="6">
        <v>12</v>
      </c>
      <c r="D44495" s="7">
        <v>0</v>
      </c>
    </row>
    <row r="44496" spans="1:5" x14ac:dyDescent="0.25">
      <c r="A44496" t="str">
        <f>HYPERLINK("https://www.773grp.com/globalSearch/74REACT244V6B_BFA  UP/page-1", "74REACT244V6B_BFA  UP")</f>
        <v>74REACT244V6B_BFA  UP</v>
      </c>
      <c r="B44496" s="3" t="str">
        <f>HYPERLINK("https://www.773grp.com/manufacturer/onsemi?pageNo=390", "ON Semiconductor")</f>
        <v>ON Semiconductor</v>
      </c>
      <c r="C44496" s="6">
        <v>12</v>
      </c>
      <c r="D44496" s="7">
        <v>0</v>
      </c>
    </row>
    <row r="44497" spans="1:5" x14ac:dyDescent="0.25">
      <c r="A44497" t="str">
        <f>HYPERLINK("https://www.773grp.com/globalSearch/74REACTQ244T6B_BDC/page-1", "74REACTQ244T6B_BDC")</f>
        <v>74REACTQ244T6B_BDC</v>
      </c>
      <c r="B44497" s="3" t="str">
        <f>HYPERLINK("https://www.773grp.com/manufacturer/onsemi?pageNo=391", "ON Semiconductor")</f>
        <v>ON Semiconductor</v>
      </c>
      <c r="C44497" s="6">
        <v>23</v>
      </c>
      <c r="D44497" s="7">
        <v>0</v>
      </c>
    </row>
    <row r="44498" spans="1:5" x14ac:dyDescent="0.25">
      <c r="A44498" t="str">
        <f>HYPERLINK("https://www.773grp.com/globalSearch/74REACTQ574T6B_BBC/page-1", "74REACTQ574T6B_BBC")</f>
        <v>74REACTQ574T6B_BBC</v>
      </c>
      <c r="B44498" s="3" t="str">
        <f>HYPERLINK("https://www.773grp.com/manufacturer/onsemi?pageNo=392", "ON Semiconductor")</f>
        <v>ON Semiconductor</v>
      </c>
      <c r="C44498" s="6">
        <v>12</v>
      </c>
      <c r="D44498" s="7">
        <v>0</v>
      </c>
    </row>
    <row r="44499" spans="1:5" x14ac:dyDescent="0.25">
      <c r="A44499" t="str">
        <f>HYPERLINK("https://www.773grp.com/globalSearch/74REF161AT6B_BNH/page-1", "74REF161AT6B_BNH")</f>
        <v>74REF161AT6B_BNH</v>
      </c>
      <c r="B44499" s="3" t="str">
        <f>HYPERLINK("https://www.773grp.com/manufacturer/onsemi?pageNo=393", "ON Semiconductor")</f>
        <v>ON Semiconductor</v>
      </c>
      <c r="C44499" s="6">
        <v>11</v>
      </c>
      <c r="D44499" s="7">
        <v>0</v>
      </c>
    </row>
    <row r="44500" spans="1:5" x14ac:dyDescent="0.25">
      <c r="A44500" t="str">
        <f>HYPERLINK("https://www.773grp.com/globalSearch/9513ADC/page-1", "9513ADC")</f>
        <v>9513ADC</v>
      </c>
      <c r="B44500" s="3" t="str">
        <f>HYPERLINK("https://www.773grp.com/manufacturer/onsemi?pageNo=394", "ON Semiconductor")</f>
        <v>ON Semiconductor</v>
      </c>
      <c r="C44500" s="6">
        <v>3148</v>
      </c>
      <c r="D44500" s="7">
        <v>0</v>
      </c>
    </row>
    <row r="44501" spans="1:5" x14ac:dyDescent="0.25">
      <c r="A44501" t="str">
        <f>HYPERLINK("https://www.773grp.com/globalSearch/9513ADC-SPECIAL/page-1", "9513ADC-SPECIAL")</f>
        <v>9513ADC-SPECIAL</v>
      </c>
      <c r="B44501" s="3" t="str">
        <f>HYPERLINK("https://www.773grp.com/manufacturer/onsemi?pageNo=395", "ON Semiconductor")</f>
        <v>ON Semiconductor</v>
      </c>
      <c r="C44501" s="6">
        <v>107</v>
      </c>
      <c r="D44501" s="7">
        <v>0</v>
      </c>
    </row>
    <row r="44502" spans="1:5" x14ac:dyDescent="0.25">
      <c r="A44502" t="str">
        <f>HYPERLINK("https://www.773grp.com/globalSearch/9513AJC/page-1", "9513AJC")</f>
        <v>9513AJC</v>
      </c>
      <c r="B44502" s="3" t="str">
        <f>HYPERLINK("https://www.773grp.com/manufacturer/onsemi?pageNo=396", "ON Semiconductor")</f>
        <v>ON Semiconductor</v>
      </c>
      <c r="C44502" s="6">
        <v>3062</v>
      </c>
      <c r="D44502" s="7">
        <v>0</v>
      </c>
    </row>
    <row r="44503" spans="1:5" x14ac:dyDescent="0.25">
      <c r="A44503" t="str">
        <f>HYPERLINK("https://www.773grp.com/globalSearch/9513AJI-G/page-1", "9513AJI-G")</f>
        <v>9513AJI-G</v>
      </c>
      <c r="B44503" s="3" t="str">
        <f>HYPERLINK("https://www.773grp.com/manufacturer/onsemi?pageNo=397", "ON Semiconductor")</f>
        <v>ON Semiconductor</v>
      </c>
      <c r="C44503" s="6">
        <v>5960</v>
      </c>
      <c r="D44503" s="7">
        <v>0</v>
      </c>
    </row>
    <row r="44504" spans="1:5" x14ac:dyDescent="0.25">
      <c r="A44504" t="str">
        <f>HYPERLINK("https://www.773grp.com/globalSearch/9513APC-G/page-1", "9513APC-G")</f>
        <v>9513APC-G</v>
      </c>
      <c r="B44504" s="3" t="str">
        <f>HYPERLINK("https://www.773grp.com/manufacturer/onsemi?pageNo=398", "ON Semiconductor")</f>
        <v>ON Semiconductor</v>
      </c>
      <c r="C44504" s="6">
        <v>5943</v>
      </c>
      <c r="D44504" s="7">
        <v>0</v>
      </c>
    </row>
    <row r="44505" spans="1:5" x14ac:dyDescent="0.25">
      <c r="A44505" t="str">
        <f>HYPERLINK("https://www.773grp.com/globalSearch/9513ASP/page-1", "9513ASP")</f>
        <v>9513ASP</v>
      </c>
      <c r="B44505" s="3" t="str">
        <f>HYPERLINK("https://www.773grp.com/manufacturer/onsemi?pageNo=399", "ON Semiconductor")</f>
        <v>ON Semiconductor</v>
      </c>
      <c r="C44505" s="6">
        <v>12</v>
      </c>
      <c r="D44505" s="7">
        <v>0</v>
      </c>
    </row>
    <row r="44506" spans="1:5" x14ac:dyDescent="0.25">
      <c r="A44506" t="str">
        <f>HYPERLINK("https://www.773grp.com/globalSearch/AM486 RED DOT REJECTS/page-1", "AM486 RED DOT REJECTS")</f>
        <v>AM486 RED DOT REJECTS</v>
      </c>
      <c r="B44506" s="3" t="str">
        <f>HYPERLINK("https://www.773grp.com/manufacturer/onsemi?pageNo=400", "ON Semiconductor")</f>
        <v>ON Semiconductor</v>
      </c>
      <c r="C44506" s="6">
        <v>2</v>
      </c>
      <c r="D44506" s="7">
        <v>0</v>
      </c>
    </row>
    <row r="44507" spans="1:5" x14ac:dyDescent="0.25">
      <c r="A44507" t="str">
        <f>HYPERLINK("https://www.773grp.com/globalSearch/AM7968-125JC/page-1", "AM7968-125JC")</f>
        <v>AM7968-125JC</v>
      </c>
      <c r="B44507" s="3" t="str">
        <f>HYPERLINK("https://www.773grp.com/manufacturer/onsemi?pageNo=401", "ON Semiconductor")</f>
        <v>ON Semiconductor</v>
      </c>
      <c r="C44507" s="6">
        <v>1502</v>
      </c>
      <c r="D44507" s="7">
        <v>0</v>
      </c>
      <c r="E44507" t="s">
        <v>21</v>
      </c>
    </row>
    <row r="44508" spans="1:5" x14ac:dyDescent="0.25">
      <c r="A44508" t="str">
        <f>HYPERLINK("https://www.773grp.com/globalSearch/AM7969-125DC/page-1", "AM7969-125DC")</f>
        <v>AM7969-125DC</v>
      </c>
      <c r="B44508" s="3" t="str">
        <f>HYPERLINK("https://www.773grp.com/manufacturer/onsemi?pageNo=402", "ON Semiconductor")</f>
        <v>ON Semiconductor</v>
      </c>
      <c r="C44508" s="6">
        <v>537</v>
      </c>
      <c r="D44508" s="7">
        <v>0</v>
      </c>
      <c r="E44508" t="s">
        <v>21</v>
      </c>
    </row>
    <row r="44509" spans="1:5" x14ac:dyDescent="0.25">
      <c r="A44509" t="str">
        <f>HYPERLINK("https://www.773grp.com/globalSearch/AM9513ADIB/page-1", "AM9513ADIB")</f>
        <v>AM9513ADIB</v>
      </c>
      <c r="B44509" s="3" t="str">
        <f>HYPERLINK("https://www.773grp.com/manufacturer/onsemi?pageNo=403", "ON Semiconductor")</f>
        <v>ON Semiconductor</v>
      </c>
      <c r="C44509" s="6">
        <v>481</v>
      </c>
      <c r="D44509" s="7">
        <v>0</v>
      </c>
    </row>
    <row r="44510" spans="1:5" x14ac:dyDescent="0.25">
      <c r="A44510" t="str">
        <f>HYPERLINK("https://www.773grp.com/globalSearch/D8274/page-1", "D8274")</f>
        <v>D8274</v>
      </c>
      <c r="B44510" s="3" t="str">
        <f>HYPERLINK("https://www.773grp.com/manufacturer/onsemi?pageNo=404", "ON Semiconductor")</f>
        <v>ON Semiconductor</v>
      </c>
      <c r="C44510" s="6">
        <v>212</v>
      </c>
      <c r="D44510" s="7">
        <v>0</v>
      </c>
      <c r="E44510" t="s">
        <v>71</v>
      </c>
    </row>
    <row r="44511" spans="1:5" x14ac:dyDescent="0.25">
      <c r="A44511" t="str">
        <f>HYPERLINK("https://www.773grp.com/globalSearch/DM8136N/page-1", "DM8136N")</f>
        <v>DM8136N</v>
      </c>
      <c r="B44511" s="3" t="str">
        <f>HYPERLINK("https://www.773grp.com/manufacturer/onsemi?pageNo=405", "ON Semiconductor")</f>
        <v>ON Semiconductor</v>
      </c>
      <c r="C44511" s="6">
        <v>7044</v>
      </c>
      <c r="D44511" s="7">
        <v>0</v>
      </c>
    </row>
    <row r="44512" spans="1:5" x14ac:dyDescent="0.25">
      <c r="A44512" t="str">
        <f>HYPERLINK("https://www.773grp.com/globalSearch/DS1631J-8-B/page-1", "DS1631J-8-B")</f>
        <v>DS1631J-8-B</v>
      </c>
      <c r="B44512" s="3" t="str">
        <f>HYPERLINK("https://www.773grp.com/manufacturer/onsemi?pageNo=406", "ON Semiconductor")</f>
        <v>ON Semiconductor</v>
      </c>
      <c r="C44512" s="6">
        <v>156</v>
      </c>
      <c r="D44512" s="7">
        <v>0</v>
      </c>
    </row>
    <row r="44513" spans="1:5" x14ac:dyDescent="0.25">
      <c r="A44513" t="str">
        <f>HYPERLINK("https://www.773grp.com/globalSearch/DS3884AVFN/page-1", "DS3884AVFN")</f>
        <v>DS3884AVFN</v>
      </c>
      <c r="B44513" s="3" t="str">
        <f>HYPERLINK("https://www.773grp.com/manufacturer/onsemi?pageNo=407", "ON Semiconductor")</f>
        <v>ON Semiconductor</v>
      </c>
      <c r="C44513" s="6">
        <v>4878</v>
      </c>
      <c r="D44513" s="7">
        <v>0</v>
      </c>
    </row>
    <row r="44514" spans="1:5" x14ac:dyDescent="0.25">
      <c r="A44514" t="str">
        <f>HYPERLINK("https://www.773grp.com/globalSearch/DS3886AVFN/page-1", "DS3886AVFN")</f>
        <v>DS3886AVFN</v>
      </c>
      <c r="B44514" s="3" t="str">
        <f>HYPERLINK("https://www.773grp.com/manufacturer/onsemi?pageNo=408", "ON Semiconductor")</f>
        <v>ON Semiconductor</v>
      </c>
      <c r="C44514" s="6">
        <v>10659</v>
      </c>
      <c r="D44514" s="7">
        <v>0</v>
      </c>
    </row>
    <row r="44515" spans="1:5" x14ac:dyDescent="0.25">
      <c r="A44515" t="str">
        <f>HYPERLINK("https://www.773grp.com/globalSearch/EP1810GI-35/page-1", "EP1810GI-35")</f>
        <v>EP1810GI-35</v>
      </c>
      <c r="B44515" s="3" t="str">
        <f>HYPERLINK("https://www.773grp.com/manufacturer/onsemi?pageNo=409", "ON Semiconductor")</f>
        <v>ON Semiconductor</v>
      </c>
      <c r="C44515" s="6">
        <v>150</v>
      </c>
      <c r="D44515" s="7">
        <v>0</v>
      </c>
    </row>
    <row r="44516" spans="1:5" x14ac:dyDescent="0.25">
      <c r="A44516" t="str">
        <f>HYPERLINK("https://www.773grp.com/globalSearch/EP1810GI-35  UM/page-1", "EP1810GI-35  UM")</f>
        <v>EP1810GI-35  UM</v>
      </c>
      <c r="B44516" s="3" t="str">
        <f>HYPERLINK("https://www.773grp.com/manufacturer/onsemi?pageNo=410", "ON Semiconductor")</f>
        <v>ON Semiconductor</v>
      </c>
      <c r="C44516" s="6">
        <v>1497</v>
      </c>
      <c r="D44516" s="7">
        <v>0</v>
      </c>
    </row>
    <row r="44517" spans="1:5" x14ac:dyDescent="0.25">
      <c r="A44517" t="str">
        <f>HYPERLINK("https://www.773grp.com/globalSearch/ICM7170AIPG/page-1", "ICM7170AIPG")</f>
        <v>ICM7170AIPG</v>
      </c>
      <c r="B44517" s="3" t="str">
        <f>HYPERLINK("https://www.773grp.com/manufacturer/onsemi?pageNo=411", "ON Semiconductor")</f>
        <v>ON Semiconductor</v>
      </c>
      <c r="C44517" s="6">
        <v>4717</v>
      </c>
      <c r="D44517" s="7">
        <v>0</v>
      </c>
      <c r="E44517" t="s">
        <v>82</v>
      </c>
    </row>
    <row r="44518" spans="1:5" x14ac:dyDescent="0.25">
      <c r="A44518" t="str">
        <f>HYPERLINK("https://www.773grp.com/globalSearch/LM105H-B/page-1", "LM105H-B")</f>
        <v>LM105H-B</v>
      </c>
      <c r="B44518" s="3" t="str">
        <f>HYPERLINK("https://www.773grp.com/manufacturer/onsemi?pageNo=412", "ON Semiconductor")</f>
        <v>ON Semiconductor</v>
      </c>
      <c r="C44518" s="6">
        <v>149</v>
      </c>
      <c r="D44518" s="7">
        <v>0</v>
      </c>
    </row>
    <row r="44519" spans="1:5" x14ac:dyDescent="0.25">
      <c r="A44519" t="str">
        <f>HYPERLINK("https://www.773grp.com/globalSearch/LM7709AJ-883/page-1", "LM7709AJ-883")</f>
        <v>LM7709AJ-883</v>
      </c>
      <c r="B44519" s="3" t="str">
        <f>HYPERLINK("https://www.773grp.com/manufacturer/onsemi?pageNo=413", "ON Semiconductor")</f>
        <v>ON Semiconductor</v>
      </c>
      <c r="C44519" s="6">
        <v>23</v>
      </c>
      <c r="D44519" s="7">
        <v>0</v>
      </c>
    </row>
    <row r="44520" spans="1:5" x14ac:dyDescent="0.25">
      <c r="A44520" t="str">
        <f>HYPERLINK("https://www.773grp.com/globalSearch/MD80C187-10-B  UM/page-1", "MD80C187-10-B  UM")</f>
        <v>MD80C187-10-B  UM</v>
      </c>
      <c r="B44520" s="3" t="str">
        <f>HYPERLINK("https://www.773grp.com/manufacturer/onsemi?pageNo=414", "ON Semiconductor")</f>
        <v>ON Semiconductor</v>
      </c>
      <c r="C44520" s="6">
        <v>33</v>
      </c>
      <c r="D44520" s="7">
        <v>0</v>
      </c>
    </row>
    <row r="44521" spans="1:5" x14ac:dyDescent="0.25">
      <c r="A44521" t="str">
        <f>HYPERLINK("https://www.773grp.com/globalSearch/MD80C187-12-B  UM/page-1", "MD80C187-12-B  UM")</f>
        <v>MD80C187-12-B  UM</v>
      </c>
      <c r="B44521" s="3" t="str">
        <f>HYPERLINK("https://www.773grp.com/manufacturer/onsemi?pageNo=415", "ON Semiconductor")</f>
        <v>ON Semiconductor</v>
      </c>
      <c r="C44521" s="6">
        <v>524</v>
      </c>
      <c r="D44521" s="7">
        <v>0</v>
      </c>
    </row>
    <row r="44522" spans="1:5" x14ac:dyDescent="0.25">
      <c r="A44522" t="str">
        <f>HYPERLINK("https://www.773grp.com/globalSearch/MD8251A/page-1", "MD8251A")</f>
        <v>MD8251A</v>
      </c>
      <c r="B44522" s="3" t="str">
        <f>HYPERLINK("https://www.773grp.com/manufacturer/onsemi?pageNo=416", "ON Semiconductor")</f>
        <v>ON Semiconductor</v>
      </c>
      <c r="C44522" s="6">
        <v>608</v>
      </c>
      <c r="D44522" s="7">
        <v>0</v>
      </c>
      <c r="E44522" t="s">
        <v>71</v>
      </c>
    </row>
    <row r="44523" spans="1:5" x14ac:dyDescent="0.25">
      <c r="A44523" t="str">
        <f>HYPERLINK("https://www.773grp.com/globalSearch/MD8274-B/page-1", "MD8274-B")</f>
        <v>MD8274-B</v>
      </c>
      <c r="B44523" s="3" t="str">
        <f>HYPERLINK("https://www.773grp.com/manufacturer/onsemi?pageNo=417", "ON Semiconductor")</f>
        <v>ON Semiconductor</v>
      </c>
      <c r="C44523" s="6">
        <v>107</v>
      </c>
      <c r="D44523" s="7">
        <v>0</v>
      </c>
    </row>
    <row r="44524" spans="1:5" x14ac:dyDescent="0.25">
      <c r="A44524" t="str">
        <f>HYPERLINK("https://www.773grp.com/globalSearch/MG80C186-10-B/page-1", "MG80C186-10-B")</f>
        <v>MG80C186-10-B</v>
      </c>
      <c r="B44524" s="3" t="str">
        <f>HYPERLINK("https://www.773grp.com/manufacturer/onsemi?pageNo=418", "ON Semiconductor")</f>
        <v>ON Semiconductor</v>
      </c>
      <c r="C44524" s="6">
        <v>200</v>
      </c>
      <c r="D44524" s="7">
        <v>0</v>
      </c>
    </row>
    <row r="44525" spans="1:5" x14ac:dyDescent="0.25">
      <c r="A44525" t="str">
        <f>HYPERLINK("https://www.773grp.com/globalSearch/MG80C186-12-B  UM/page-1", "MG80C186-12-B  UM")</f>
        <v>MG80C186-12-B  UM</v>
      </c>
      <c r="B44525" s="3" t="str">
        <f>HYPERLINK("https://www.773grp.com/manufacturer/onsemi?pageNo=419", "ON Semiconductor")</f>
        <v>ON Semiconductor</v>
      </c>
      <c r="C44525" s="6">
        <v>349</v>
      </c>
      <c r="D44525" s="7">
        <v>0</v>
      </c>
    </row>
    <row r="44526" spans="1:5" x14ac:dyDescent="0.25">
      <c r="A44526" t="str">
        <f>HYPERLINK("https://www.773grp.com/globalSearch/MG80C186-12-BZA/page-1", "MG80C186-12-BZA")</f>
        <v>MG80C186-12-BZA</v>
      </c>
      <c r="B44526" s="3" t="str">
        <f>HYPERLINK("https://www.773grp.com/manufacturer/onsemi?pageNo=420", "ON Semiconductor")</f>
        <v>ON Semiconductor</v>
      </c>
      <c r="C44526" s="6">
        <v>320</v>
      </c>
      <c r="D44526" s="7">
        <v>0</v>
      </c>
    </row>
    <row r="44527" spans="1:5" x14ac:dyDescent="0.25">
      <c r="A44527" t="str">
        <f>HYPERLINK("https://www.773grp.com/globalSearch/MG80C186-12-BZC/page-1", "MG80C186-12-BZC")</f>
        <v>MG80C186-12-BZC</v>
      </c>
      <c r="B44527" s="3" t="str">
        <f>HYPERLINK("https://www.773grp.com/manufacturer/onsemi?pageNo=421", "ON Semiconductor")</f>
        <v>ON Semiconductor</v>
      </c>
      <c r="C44527" s="6">
        <v>48</v>
      </c>
      <c r="D44527" s="7">
        <v>0</v>
      </c>
    </row>
    <row r="44528" spans="1:5" x14ac:dyDescent="0.25">
      <c r="A44528" t="str">
        <f>HYPERLINK("https://www.773grp.com/globalSearch/MG80C186-12-BZC  UM/page-1", "MG80C186-12-BZC  UM")</f>
        <v>MG80C186-12-BZC  UM</v>
      </c>
      <c r="B44528" s="3" t="str">
        <f>HYPERLINK("https://www.773grp.com/manufacturer/onsemi?pageNo=422", "ON Semiconductor")</f>
        <v>ON Semiconductor</v>
      </c>
      <c r="C44528" s="6">
        <v>1015</v>
      </c>
      <c r="D44528" s="7">
        <v>0</v>
      </c>
    </row>
    <row r="44529" spans="1:4" x14ac:dyDescent="0.25">
      <c r="A44529" t="str">
        <f>HYPERLINK("https://www.773grp.com/globalSearch/R1127/page-1", "R1127")</f>
        <v>R1127</v>
      </c>
      <c r="B44529" s="3" t="str">
        <f>HYPERLINK("https://www.773grp.com/manufacturer/onsemi?pageNo=423", "ON Semiconductor")</f>
        <v>ON Semiconductor</v>
      </c>
      <c r="C44529" s="6">
        <v>205</v>
      </c>
      <c r="D44529" s="7">
        <v>0</v>
      </c>
    </row>
    <row r="44530" spans="1:4" x14ac:dyDescent="0.25">
      <c r="A44530" t="str">
        <f>HYPERLINK("https://www.773grp.com/globalSearch/R1154/page-1", "R1154")</f>
        <v>R1154</v>
      </c>
      <c r="B44530" s="3" t="str">
        <f>HYPERLINK("https://www.773grp.com/manufacturer/onsemi?pageNo=424", "ON Semiconductor")</f>
        <v>ON Semiconductor</v>
      </c>
      <c r="C44530" s="6">
        <v>1232</v>
      </c>
      <c r="D44530" s="7">
        <v>0</v>
      </c>
    </row>
    <row r="44531" spans="1:4" x14ac:dyDescent="0.25">
      <c r="A44531" t="str">
        <f>HYPERLINK("https://www.773grp.com/globalSearch/R1167/page-1", "R1167")</f>
        <v>R1167</v>
      </c>
      <c r="B44531" s="3" t="str">
        <f>HYPERLINK("https://www.773grp.com/manufacturer/onsemi?pageNo=425", "ON Semiconductor")</f>
        <v>ON Semiconductor</v>
      </c>
      <c r="C44531" s="6">
        <v>254</v>
      </c>
      <c r="D44531" s="7">
        <v>0</v>
      </c>
    </row>
    <row r="44532" spans="1:4" x14ac:dyDescent="0.25">
      <c r="A44532" t="str">
        <f>HYPERLINK("https://www.773grp.com/globalSearch/R1316/page-1", "R1316")</f>
        <v>R1316</v>
      </c>
      <c r="B44532" s="3" t="str">
        <f>HYPERLINK("https://www.773grp.com/manufacturer/onsemi?pageNo=426", "ON Semiconductor")</f>
        <v>ON Semiconductor</v>
      </c>
      <c r="C44532" s="6">
        <v>3742</v>
      </c>
      <c r="D44532" s="7">
        <v>0</v>
      </c>
    </row>
    <row r="44533" spans="1:4" x14ac:dyDescent="0.25">
      <c r="A44533" t="str">
        <f>HYPERLINK("https://www.773grp.com/globalSearch/R1382/page-1", "R1382")</f>
        <v>R1382</v>
      </c>
      <c r="B44533" s="3" t="str">
        <f>HYPERLINK("https://www.773grp.com/manufacturer/onsemi?pageNo=427", "ON Semiconductor")</f>
        <v>ON Semiconductor</v>
      </c>
      <c r="C44533" s="6">
        <v>2818</v>
      </c>
      <c r="D44533" s="7">
        <v>0</v>
      </c>
    </row>
    <row r="44534" spans="1:4" x14ac:dyDescent="0.25">
      <c r="A44534" t="str">
        <f>HYPERLINK("https://www.773grp.com/globalSearch/R1403/page-1", "R1403")</f>
        <v>R1403</v>
      </c>
      <c r="B44534" s="3" t="str">
        <f>HYPERLINK("https://www.773grp.com/manufacturer/onsemi?pageNo=428", "ON Semiconductor")</f>
        <v>ON Semiconductor</v>
      </c>
      <c r="C44534" s="6">
        <v>1515</v>
      </c>
      <c r="D44534" s="7">
        <v>0</v>
      </c>
    </row>
    <row r="44535" spans="1:4" x14ac:dyDescent="0.25">
      <c r="A44535" t="str">
        <f>HYPERLINK("https://www.773grp.com/globalSearch/R1424/page-1", "R1424")</f>
        <v>R1424</v>
      </c>
      <c r="B44535" s="3" t="str">
        <f>HYPERLINK("https://www.773grp.com/manufacturer/onsemi?pageNo=429", "ON Semiconductor")</f>
        <v>ON Semiconductor</v>
      </c>
      <c r="C44535" s="6">
        <v>1116</v>
      </c>
      <c r="D44535" s="7">
        <v>0</v>
      </c>
    </row>
    <row r="44536" spans="1:4" x14ac:dyDescent="0.25">
      <c r="A44536" t="str">
        <f>HYPERLINK("https://www.773grp.com/globalSearch/R456000/page-1", "R456000")</f>
        <v>R456000</v>
      </c>
      <c r="B44536" s="3" t="str">
        <f>HYPERLINK("https://www.773grp.com/manufacturer/onsemi?pageNo=430", "ON Semiconductor")</f>
        <v>ON Semiconductor</v>
      </c>
      <c r="C44536" s="6">
        <v>2762</v>
      </c>
      <c r="D44536" s="7">
        <v>0</v>
      </c>
    </row>
    <row r="44537" spans="1:4" x14ac:dyDescent="0.25">
      <c r="A44537" t="str">
        <f>HYPERLINK("https://www.773grp.com/globalSearch/UHC508J-883C/page-1", "UHC508J-883C")</f>
        <v>UHC508J-883C</v>
      </c>
      <c r="B44537" s="3" t="str">
        <f>HYPERLINK("https://www.773grp.com/manufacturer/onsemi?pageNo=431", "ON Semiconductor")</f>
        <v>ON Semiconductor</v>
      </c>
      <c r="C44537" s="6">
        <v>1077</v>
      </c>
      <c r="D44537" s="7">
        <v>0</v>
      </c>
    </row>
    <row r="44538" spans="1:4" x14ac:dyDescent="0.25">
      <c r="A44538" t="str">
        <f>HYPERLINK("https://www.773grp.com/globalSearch/COM1553A-B/page-1", "COM1553A-B")</f>
        <v>COM1553A-B</v>
      </c>
      <c r="B44538" s="3" t="str">
        <f>HYPERLINK("https://www.773grp.com/manufacturer/onsemi?pageNo=432", "ON Semiconductor")</f>
        <v>ON Semiconductor</v>
      </c>
      <c r="C44538" s="6">
        <v>74</v>
      </c>
      <c r="D44538" s="7">
        <v>0</v>
      </c>
    </row>
    <row r="44539" spans="1:4" x14ac:dyDescent="0.25">
      <c r="A44539" t="str">
        <f>HYPERLINK("https://www.773grp.com/globalSearch/27C010-120DI/page-1", "27C010-120DI")</f>
        <v>27C010-120DI</v>
      </c>
      <c r="B44539" s="3" t="str">
        <f>HYPERLINK("https://www.773grp.com/manufacturer/onsemi?pageNo=433", "ON Semiconductor")</f>
        <v>ON Semiconductor</v>
      </c>
      <c r="C44539" s="6">
        <v>395</v>
      </c>
      <c r="D44539" s="7">
        <v>0</v>
      </c>
    </row>
    <row r="44540" spans="1:4" x14ac:dyDescent="0.25">
      <c r="A44540" t="str">
        <f>HYPERLINK("https://www.773grp.com/globalSearch/27C010-55DI UM/page-1", "27C010-55DI UM")</f>
        <v>27C010-55DI UM</v>
      </c>
      <c r="B44540" s="3" t="str">
        <f>HYPERLINK("https://www.773grp.com/manufacturer/onsemi?pageNo=434", "ON Semiconductor")</f>
        <v>ON Semiconductor</v>
      </c>
      <c r="C44540" s="6">
        <v>876</v>
      </c>
      <c r="D44540" s="7">
        <v>0</v>
      </c>
    </row>
    <row r="44541" spans="1:4" x14ac:dyDescent="0.25">
      <c r="A44541" t="str">
        <f>HYPERLINK("https://www.773grp.com/globalSearch/27C512-150JI/page-1", "27C512-150JI")</f>
        <v>27C512-150JI</v>
      </c>
      <c r="B44541" s="3" t="str">
        <f>HYPERLINK("https://www.773grp.com/manufacturer/onsemi?pageNo=435", "ON Semiconductor")</f>
        <v>ON Semiconductor</v>
      </c>
      <c r="C44541" s="6">
        <v>45</v>
      </c>
      <c r="D44541" s="7">
        <v>0</v>
      </c>
    </row>
    <row r="44542" spans="1:4" x14ac:dyDescent="0.25">
      <c r="A44542" t="str">
        <f>HYPERLINK("https://www.773grp.com/globalSearch/27C512-55DI UM/page-1", "27C512-55DI UM")</f>
        <v>27C512-55DI UM</v>
      </c>
      <c r="B44542" s="3" t="str">
        <f>HYPERLINK("https://www.773grp.com/manufacturer/onsemi?pageNo=436", "ON Semiconductor")</f>
        <v>ON Semiconductor</v>
      </c>
      <c r="C44542" s="6">
        <v>1169</v>
      </c>
      <c r="D44542" s="7">
        <v>0</v>
      </c>
    </row>
    <row r="44543" spans="1:4" x14ac:dyDescent="0.25">
      <c r="A44543" t="str">
        <f>HYPERLINK("https://www.773grp.com/globalSearch/27C512-75DC/page-1", "27C512-75DC")</f>
        <v>27C512-75DC</v>
      </c>
      <c r="B44543" s="3" t="str">
        <f>HYPERLINK("https://www.773grp.com/manufacturer/onsemi?pageNo=437", "ON Semiconductor")</f>
        <v>ON Semiconductor</v>
      </c>
      <c r="C44543" s="6">
        <v>85</v>
      </c>
      <c r="D44543" s="7">
        <v>0</v>
      </c>
    </row>
    <row r="44544" spans="1:4" x14ac:dyDescent="0.25">
      <c r="A44544" t="str">
        <f>HYPERLINK("https://www.773grp.com/globalSearch/27C512-XXJC  UM/page-1", "27C512-XXJC  UM")</f>
        <v>27C512-XXJC  UM</v>
      </c>
      <c r="B44544" s="3" t="str">
        <f>HYPERLINK("https://www.773grp.com/manufacturer/onsemi?pageNo=438", "ON Semiconductor")</f>
        <v>ON Semiconductor</v>
      </c>
      <c r="C44544" s="6">
        <v>4347</v>
      </c>
      <c r="D44544" s="7">
        <v>0</v>
      </c>
    </row>
    <row r="44545" spans="1:5" x14ac:dyDescent="0.25">
      <c r="A44545" t="str">
        <f>HYPERLINK("https://www.773grp.com/globalSearch/27C512-XXJI  UM/page-1", "27C512-XXJI  UM")</f>
        <v>27C512-XXJI  UM</v>
      </c>
      <c r="B44545" s="3" t="str">
        <f>HYPERLINK("https://www.773grp.com/manufacturer/onsemi?pageNo=439", "ON Semiconductor")</f>
        <v>ON Semiconductor</v>
      </c>
      <c r="C44545" s="6">
        <v>4322</v>
      </c>
      <c r="D44545" s="7">
        <v>0</v>
      </c>
    </row>
    <row r="44546" spans="1:5" x14ac:dyDescent="0.25">
      <c r="A44546" t="str">
        <f>HYPERLINK("https://www.773grp.com/globalSearch/AM27C010-150DI/page-1", "AM27C010-150DI")</f>
        <v>AM27C010-150DI</v>
      </c>
      <c r="B44546" s="3" t="str">
        <f>HYPERLINK("https://www.773grp.com/manufacturer/onsemi?pageNo=440", "ON Semiconductor")</f>
        <v>ON Semiconductor</v>
      </c>
      <c r="C44546" s="6">
        <v>1098</v>
      </c>
      <c r="D44546" s="7">
        <v>0</v>
      </c>
      <c r="E44546" t="s">
        <v>64</v>
      </c>
    </row>
    <row r="44547" spans="1:5" x14ac:dyDescent="0.25">
      <c r="A44547" t="str">
        <f>HYPERLINK("https://www.773grp.com/globalSearch/AM27C010-55DC  UM/page-1", "AM27C010-55DC  UM")</f>
        <v>AM27C010-55DC  UM</v>
      </c>
      <c r="B44547" s="3" t="str">
        <f>HYPERLINK("https://www.773grp.com/manufacturer/onsemi?pageNo=441", "ON Semiconductor")</f>
        <v>ON Semiconductor</v>
      </c>
      <c r="C44547" s="6">
        <v>1463</v>
      </c>
      <c r="D44547" s="7">
        <v>0</v>
      </c>
    </row>
    <row r="44548" spans="1:5" x14ac:dyDescent="0.25">
      <c r="A44548" t="str">
        <f>HYPERLINK("https://www.773grp.com/globalSearch/AM27C010-55JC UM/page-1", "AM27C010-55JC UM")</f>
        <v>AM27C010-55JC UM</v>
      </c>
      <c r="B44548" s="3" t="str">
        <f>HYPERLINK("https://www.773grp.com/manufacturer/onsemi?pageNo=442", "ON Semiconductor")</f>
        <v>ON Semiconductor</v>
      </c>
      <c r="C44548" s="6">
        <v>4888</v>
      </c>
      <c r="D44548" s="7">
        <v>0</v>
      </c>
    </row>
    <row r="44549" spans="1:5" x14ac:dyDescent="0.25">
      <c r="A44549" t="str">
        <f>HYPERLINK("https://www.773grp.com/globalSearch/AM27C010-55PC  UM/page-1", "AM27C010-55PC  UM")</f>
        <v>AM27C010-55PC  UM</v>
      </c>
      <c r="B44549" s="3" t="str">
        <f>HYPERLINK("https://www.773grp.com/manufacturer/onsemi?pageNo=443", "ON Semiconductor")</f>
        <v>ON Semiconductor</v>
      </c>
      <c r="C44549" s="6">
        <v>6402</v>
      </c>
      <c r="D44549" s="7">
        <v>0</v>
      </c>
    </row>
    <row r="44550" spans="1:5" x14ac:dyDescent="0.25">
      <c r="A44550" t="str">
        <f>HYPERLINK("https://www.773grp.com/globalSearch/AM27C256-120DI/page-1", "AM27C256-120DI")</f>
        <v>AM27C256-120DI</v>
      </c>
      <c r="B44550" s="3" t="str">
        <f>HYPERLINK("https://www.773grp.com/manufacturer/onsemi?pageNo=444", "ON Semiconductor")</f>
        <v>ON Semiconductor</v>
      </c>
      <c r="C44550" s="6">
        <v>100</v>
      </c>
      <c r="D44550" s="7">
        <v>0</v>
      </c>
    </row>
    <row r="44551" spans="1:5" x14ac:dyDescent="0.25">
      <c r="A44551" t="str">
        <f>HYPERLINK("https://www.773grp.com/globalSearch/AM27C256-150DE/page-1", "AM27C256-150DE")</f>
        <v>AM27C256-150DE</v>
      </c>
      <c r="B44551" s="3" t="str">
        <f>HYPERLINK("https://www.773grp.com/manufacturer/onsemi?pageNo=445", "ON Semiconductor")</f>
        <v>ON Semiconductor</v>
      </c>
      <c r="C44551" s="6">
        <v>378</v>
      </c>
      <c r="D44551" s="7">
        <v>0</v>
      </c>
    </row>
    <row r="44552" spans="1:5" x14ac:dyDescent="0.25">
      <c r="A44552" t="str">
        <f>HYPERLINK("https://www.773grp.com/globalSearch/AM27C256-45DI  UM/page-1", "AM27C256-45DI  UM")</f>
        <v>AM27C256-45DI  UM</v>
      </c>
      <c r="B44552" s="3" t="str">
        <f>HYPERLINK("https://www.773grp.com/manufacturer/onsemi?pageNo=446", "ON Semiconductor")</f>
        <v>ON Semiconductor</v>
      </c>
      <c r="C44552" s="6">
        <v>355</v>
      </c>
      <c r="D44552" s="7">
        <v>0</v>
      </c>
    </row>
    <row r="44553" spans="1:5" x14ac:dyDescent="0.25">
      <c r="A44553" t="str">
        <f>HYPERLINK("https://www.773grp.com/globalSearch/AM27C256-55DI/page-1", "AM27C256-55DI")</f>
        <v>AM27C256-55DI</v>
      </c>
      <c r="B44553" s="3" t="str">
        <f>HYPERLINK("https://www.773grp.com/manufacturer/onsemi?pageNo=447", "ON Semiconductor")</f>
        <v>ON Semiconductor</v>
      </c>
      <c r="C44553" s="6">
        <v>341</v>
      </c>
      <c r="D44553" s="7">
        <v>0</v>
      </c>
    </row>
    <row r="44554" spans="1:5" x14ac:dyDescent="0.25">
      <c r="A44554" t="str">
        <f>HYPERLINK("https://www.773grp.com/globalSearch/AM27C256-55DI UM/page-1", "AM27C256-55DI UM")</f>
        <v>AM27C256-55DI UM</v>
      </c>
      <c r="B44554" s="3" t="str">
        <f>HYPERLINK("https://www.773grp.com/manufacturer/onsemi?pageNo=448", "ON Semiconductor")</f>
        <v>ON Semiconductor</v>
      </c>
      <c r="C44554" s="6">
        <v>5000</v>
      </c>
      <c r="D44554" s="7">
        <v>0</v>
      </c>
    </row>
    <row r="44555" spans="1:5" x14ac:dyDescent="0.25">
      <c r="A44555" t="str">
        <f>HYPERLINK("https://www.773grp.com/globalSearch/AM27C256-55PC  UM/page-1", "AM27C256-55PC  UM")</f>
        <v>AM27C256-55PC  UM</v>
      </c>
      <c r="B44555" s="3" t="str">
        <f>HYPERLINK("https://www.773grp.com/manufacturer/onsemi?pageNo=449", "ON Semiconductor")</f>
        <v>ON Semiconductor</v>
      </c>
      <c r="C44555" s="6">
        <v>1295</v>
      </c>
      <c r="D44555" s="7">
        <v>0</v>
      </c>
    </row>
    <row r="44556" spans="1:5" x14ac:dyDescent="0.25">
      <c r="A44556" t="str">
        <f>HYPERLINK("https://www.773grp.com/globalSearch/AM27C512-120DC/page-1", "AM27C512-120DC")</f>
        <v>AM27C512-120DC</v>
      </c>
      <c r="B44556" s="3" t="str">
        <f>HYPERLINK("https://www.773grp.com/manufacturer/onsemi?pageNo=450", "ON Semiconductor")</f>
        <v>ON Semiconductor</v>
      </c>
      <c r="C44556" s="6">
        <v>570</v>
      </c>
      <c r="D44556" s="7">
        <v>0</v>
      </c>
      <c r="E44556" t="s">
        <v>64</v>
      </c>
    </row>
    <row r="44557" spans="1:5" x14ac:dyDescent="0.25">
      <c r="A44557" t="str">
        <f>HYPERLINK("https://www.773grp.com/globalSearch/AM27C512-150DC/page-1", "AM27C512-150DC")</f>
        <v>AM27C512-150DC</v>
      </c>
      <c r="B44557" s="3" t="str">
        <f>HYPERLINK("https://www.773grp.com/manufacturer/onsemi?pageNo=451", "ON Semiconductor")</f>
        <v>ON Semiconductor</v>
      </c>
      <c r="C44557" s="6">
        <v>100</v>
      </c>
      <c r="D44557" s="7">
        <v>0</v>
      </c>
      <c r="E44557" t="s">
        <v>64</v>
      </c>
    </row>
    <row r="44558" spans="1:5" x14ac:dyDescent="0.25">
      <c r="A44558" t="str">
        <f>HYPERLINK("https://www.773grp.com/globalSearch/AM27C512-200JI/page-1", "AM27C512-200JI")</f>
        <v>AM27C512-200JI</v>
      </c>
      <c r="B44558" s="3" t="str">
        <f>HYPERLINK("https://www.773grp.com/manufacturer/onsemi?pageNo=452", "ON Semiconductor")</f>
        <v>ON Semiconductor</v>
      </c>
      <c r="C44558" s="6">
        <v>48</v>
      </c>
      <c r="D44558" s="7">
        <v>0</v>
      </c>
    </row>
    <row r="44559" spans="1:5" x14ac:dyDescent="0.25">
      <c r="A44559" t="str">
        <f>HYPERLINK("https://www.773grp.com/globalSearch/AM27C512-70DC/page-1", "AM27C512-70DC")</f>
        <v>AM27C512-70DC</v>
      </c>
      <c r="B44559" s="3" t="str">
        <f>HYPERLINK("https://www.773grp.com/manufacturer/onsemi?pageNo=453", "ON Semiconductor")</f>
        <v>ON Semiconductor</v>
      </c>
      <c r="C44559" s="6">
        <v>95</v>
      </c>
      <c r="D44559" s="7">
        <v>0</v>
      </c>
      <c r="E44559" t="s">
        <v>64</v>
      </c>
    </row>
    <row r="44560" spans="1:5" x14ac:dyDescent="0.25">
      <c r="A44560" t="str">
        <f>HYPERLINK("https://www.773grp.com/globalSearch/2532A-45JM-B  LT/page-1", "2532A-45JM-B  LT")</f>
        <v>2532A-45JM-B  LT</v>
      </c>
      <c r="B44560" s="3" t="str">
        <f>HYPERLINK("https://www.773grp.com/manufacturer/onsemi?pageNo=454", "ON Semiconductor")</f>
        <v>ON Semiconductor</v>
      </c>
      <c r="C44560" s="6">
        <v>48</v>
      </c>
      <c r="D44560" s="7">
        <v>0</v>
      </c>
    </row>
    <row r="44561" spans="1:5" x14ac:dyDescent="0.25">
      <c r="A44561" t="str">
        <f>HYPERLINK("https://www.773grp.com/globalSearch/54105J  UT/page-1", "54105J  UT")</f>
        <v>54105J  UT</v>
      </c>
      <c r="B44561" s="3" t="str">
        <f>HYPERLINK("https://www.773grp.com/manufacturer/onsemi?pageNo=455", "ON Semiconductor")</f>
        <v>ON Semiconductor</v>
      </c>
      <c r="C44561" s="6">
        <v>268</v>
      </c>
      <c r="D44561" s="7">
        <v>0</v>
      </c>
    </row>
    <row r="44562" spans="1:5" x14ac:dyDescent="0.25">
      <c r="A44562" t="str">
        <f>HYPERLINK("https://www.773grp.com/globalSearch/5413J-B/page-1", "5413J-B")</f>
        <v>5413J-B</v>
      </c>
      <c r="B44562" s="3" t="str">
        <f>HYPERLINK("https://www.773grp.com/manufacturer/onsemi?pageNo=456", "ON Semiconductor")</f>
        <v>ON Semiconductor</v>
      </c>
      <c r="C44562" s="6">
        <v>206</v>
      </c>
      <c r="D44562" s="7">
        <v>0</v>
      </c>
    </row>
    <row r="44563" spans="1:5" x14ac:dyDescent="0.25">
      <c r="A44563" t="str">
        <f>HYPERLINK("https://www.773grp.com/globalSearch/54175-BFA/page-1", "54175-BFA")</f>
        <v>54175-BFA</v>
      </c>
      <c r="B44563" s="3" t="str">
        <f>HYPERLINK("https://www.773grp.com/manufacturer/onsemi?pageNo=457", "ON Semiconductor")</f>
        <v>ON Semiconductor</v>
      </c>
      <c r="C44563" s="6">
        <v>3779</v>
      </c>
      <c r="D44563" s="7">
        <v>0</v>
      </c>
      <c r="E44563" t="s">
        <v>35</v>
      </c>
    </row>
    <row r="44564" spans="1:5" x14ac:dyDescent="0.25">
      <c r="A44564" t="str">
        <f>HYPERLINK("https://www.773grp.com/globalSearch/54177J-B  LT/page-1", "54177J-B  LT")</f>
        <v>54177J-B  LT</v>
      </c>
      <c r="B44564" s="3" t="str">
        <f>HYPERLINK("https://www.773grp.com/manufacturer/onsemi?pageNo=458", "ON Semiconductor")</f>
        <v>ON Semiconductor</v>
      </c>
      <c r="C44564" s="6">
        <v>48</v>
      </c>
      <c r="D44564" s="7">
        <v>0</v>
      </c>
    </row>
    <row r="44565" spans="1:5" x14ac:dyDescent="0.25">
      <c r="A44565" t="str">
        <f>HYPERLINK("https://www.773grp.com/globalSearch/54366AJ-B/page-1", "54366AJ-B")</f>
        <v>54366AJ-B</v>
      </c>
      <c r="B44565" s="3" t="str">
        <f>HYPERLINK("https://www.773grp.com/manufacturer/onsemi?pageNo=459", "ON Semiconductor")</f>
        <v>ON Semiconductor</v>
      </c>
      <c r="C44565" s="6">
        <v>731</v>
      </c>
      <c r="D44565" s="7">
        <v>0</v>
      </c>
    </row>
    <row r="44566" spans="1:5" x14ac:dyDescent="0.25">
      <c r="A44566" t="str">
        <f>HYPERLINK("https://www.773grp.com/globalSearch/5446AW-B  LT/page-1", "5446AW-B  LT")</f>
        <v>5446AW-B  LT</v>
      </c>
      <c r="B44566" s="3" t="str">
        <f>HYPERLINK("https://www.773grp.com/manufacturer/onsemi?pageNo=460", "ON Semiconductor")</f>
        <v>ON Semiconductor</v>
      </c>
      <c r="C44566" s="6">
        <v>48</v>
      </c>
      <c r="D44566" s="7">
        <v>0</v>
      </c>
    </row>
    <row r="44567" spans="1:5" x14ac:dyDescent="0.25">
      <c r="A44567" t="str">
        <f>HYPERLINK("https://www.773grp.com/globalSearch/5496J-B/page-1", "5496J-B")</f>
        <v>5496J-B</v>
      </c>
      <c r="B44567" s="3" t="str">
        <f>HYPERLINK("https://www.773grp.com/manufacturer/onsemi?pageNo=461", "ON Semiconductor")</f>
        <v>ON Semiconductor</v>
      </c>
      <c r="C44567" s="6">
        <v>667</v>
      </c>
      <c r="D44567" s="7">
        <v>0</v>
      </c>
    </row>
    <row r="44568" spans="1:5" x14ac:dyDescent="0.25">
      <c r="A44568" t="str">
        <f>HYPERLINK("https://www.773grp.com/globalSearch/54ACT11032J-B/page-1", "54ACT11032J-B")</f>
        <v>54ACT11032J-B</v>
      </c>
      <c r="B44568" s="3" t="str">
        <f>HYPERLINK("https://www.773grp.com/manufacturer/onsemi?pageNo=462", "ON Semiconductor")</f>
        <v>ON Semiconductor</v>
      </c>
      <c r="C44568" s="6">
        <v>120</v>
      </c>
      <c r="D44568" s="7">
        <v>0</v>
      </c>
    </row>
    <row r="44569" spans="1:5" x14ac:dyDescent="0.25">
      <c r="A44569" t="str">
        <f>HYPERLINK("https://www.773grp.com/globalSearch/54ACT11138FK-B/page-1", "54ACT11138FK-B")</f>
        <v>54ACT11138FK-B</v>
      </c>
      <c r="B44569" s="3" t="str">
        <f>HYPERLINK("https://www.773grp.com/manufacturer/onsemi?pageNo=463", "ON Semiconductor")</f>
        <v>ON Semiconductor</v>
      </c>
      <c r="C44569" s="6">
        <v>425</v>
      </c>
      <c r="D44569" s="7">
        <v>0</v>
      </c>
    </row>
    <row r="44570" spans="1:5" x14ac:dyDescent="0.25">
      <c r="A44570" t="str">
        <f>HYPERLINK("https://www.773grp.com/globalSearch/54ACT11240JT-B LT/page-1", "54ACT11240JT-B LT")</f>
        <v>54ACT11240JT-B LT</v>
      </c>
      <c r="B44570" s="3" t="str">
        <f>HYPERLINK("https://www.773grp.com/manufacturer/onsemi?pageNo=464", "ON Semiconductor")</f>
        <v>ON Semiconductor</v>
      </c>
      <c r="C44570" s="6">
        <v>48</v>
      </c>
      <c r="D44570" s="7">
        <v>0</v>
      </c>
    </row>
    <row r="44571" spans="1:5" x14ac:dyDescent="0.25">
      <c r="A44571" t="str">
        <f>HYPERLINK("https://www.773grp.com/globalSearch/54ACT11245JT-B/page-1", "54ACT11245JT-B")</f>
        <v>54ACT11245JT-B</v>
      </c>
      <c r="B44571" s="3" t="str">
        <f>HYPERLINK("https://www.773grp.com/manufacturer/onsemi?pageNo=465", "ON Semiconductor")</f>
        <v>ON Semiconductor</v>
      </c>
      <c r="C44571" s="6">
        <v>139</v>
      </c>
      <c r="D44571" s="7">
        <v>0</v>
      </c>
    </row>
    <row r="44572" spans="1:5" x14ac:dyDescent="0.25">
      <c r="A44572" t="str">
        <f>HYPERLINK("https://www.773grp.com/globalSearch/54ALS162BJ-B  LT/page-1", "54ALS162BJ-B  LT")</f>
        <v>54ALS162BJ-B  LT</v>
      </c>
      <c r="B44572" s="3" t="str">
        <f>HYPERLINK("https://www.773grp.com/manufacturer/onsemi?pageNo=466", "ON Semiconductor")</f>
        <v>ON Semiconductor</v>
      </c>
      <c r="C44572" s="6">
        <v>48</v>
      </c>
      <c r="D44572" s="7">
        <v>0</v>
      </c>
    </row>
    <row r="44573" spans="1:5" x14ac:dyDescent="0.25">
      <c r="A44573" t="str">
        <f>HYPERLINK("https://www.773grp.com/globalSearch/54AS882AJ-B  LT/page-1", "54AS882AJ-B  LT")</f>
        <v>54AS882AJ-B  LT</v>
      </c>
      <c r="B44573" s="3" t="str">
        <f>HYPERLINK("https://www.773grp.com/manufacturer/onsemi?pageNo=467", "ON Semiconductor")</f>
        <v>ON Semiconductor</v>
      </c>
      <c r="C44573" s="6">
        <v>48</v>
      </c>
      <c r="D44573" s="7">
        <v>0</v>
      </c>
    </row>
    <row r="44574" spans="1:5" x14ac:dyDescent="0.25">
      <c r="A44574" t="str">
        <f>HYPERLINK("https://www.773grp.com/globalSearch/54F21-BCA/page-1", "54F21-BCA")</f>
        <v>54F21-BCA</v>
      </c>
      <c r="B44574" s="3" t="str">
        <f>HYPERLINK("https://www.773grp.com/manufacturer/onsemi?pageNo=468", "ON Semiconductor")</f>
        <v>ON Semiconductor</v>
      </c>
      <c r="C44574" s="6">
        <v>757</v>
      </c>
      <c r="D44574" s="7">
        <v>0</v>
      </c>
    </row>
    <row r="44575" spans="1:5" x14ac:dyDescent="0.25">
      <c r="A44575" t="str">
        <f>HYPERLINK("https://www.773grp.com/globalSearch/54F245W-B  UT/page-1", "54F245W-B  UT")</f>
        <v>54F245W-B  UT</v>
      </c>
      <c r="B44575" s="3" t="str">
        <f>HYPERLINK("https://www.773grp.com/manufacturer/onsemi?pageNo=469", "ON Semiconductor")</f>
        <v>ON Semiconductor</v>
      </c>
      <c r="C44575" s="6">
        <v>369</v>
      </c>
      <c r="D44575" s="7">
        <v>0</v>
      </c>
    </row>
    <row r="44576" spans="1:5" x14ac:dyDescent="0.25">
      <c r="A44576" t="str">
        <f>HYPERLINK("https://www.773grp.com/globalSearch/54F38-B2A/page-1", "54F38-B2A")</f>
        <v>54F38-B2A</v>
      </c>
      <c r="B44576" s="3" t="str">
        <f>HYPERLINK("https://www.773grp.com/manufacturer/onsemi?pageNo=470", "ON Semiconductor")</f>
        <v>ON Semiconductor</v>
      </c>
      <c r="C44576" s="6">
        <v>731</v>
      </c>
      <c r="D44576" s="7">
        <v>0</v>
      </c>
      <c r="E44576" t="s">
        <v>31</v>
      </c>
    </row>
    <row r="44577" spans="1:4" x14ac:dyDescent="0.25">
      <c r="A44577" t="str">
        <f>HYPERLINK("https://www.773grp.com/globalSearch/54F381ADM-B LT/page-1", "54F381ADM-B LT")</f>
        <v>54F381ADM-B LT</v>
      </c>
      <c r="B44577" s="3" t="str">
        <f>HYPERLINK("https://www.773grp.com/manufacturer/onsemi?pageNo=471", "ON Semiconductor")</f>
        <v>ON Semiconductor</v>
      </c>
      <c r="C44577" s="6">
        <v>48</v>
      </c>
      <c r="D44577" s="7">
        <v>0</v>
      </c>
    </row>
    <row r="44578" spans="1:4" x14ac:dyDescent="0.25">
      <c r="A44578" t="str">
        <f>HYPERLINK("https://www.773grp.com/globalSearch/54HC09J-B  LT/page-1", "54HC09J-B  LT")</f>
        <v>54HC09J-B  LT</v>
      </c>
      <c r="B44578" s="3" t="str">
        <f>HYPERLINK("https://www.773grp.com/manufacturer/onsemi?pageNo=472", "ON Semiconductor")</f>
        <v>ON Semiconductor</v>
      </c>
      <c r="C44578" s="6">
        <v>48</v>
      </c>
      <c r="D44578" s="7">
        <v>0</v>
      </c>
    </row>
    <row r="44579" spans="1:4" x14ac:dyDescent="0.25">
      <c r="A44579" t="str">
        <f>HYPERLINK("https://www.773grp.com/globalSearch/54HC113J-B/page-1", "54HC113J-B")</f>
        <v>54HC113J-B</v>
      </c>
      <c r="B44579" s="3" t="str">
        <f>HYPERLINK("https://www.773grp.com/manufacturer/onsemi?pageNo=473", "ON Semiconductor")</f>
        <v>ON Semiconductor</v>
      </c>
      <c r="C44579" s="6">
        <v>160</v>
      </c>
      <c r="D44579" s="7">
        <v>0</v>
      </c>
    </row>
    <row r="44580" spans="1:4" x14ac:dyDescent="0.25">
      <c r="A44580" t="str">
        <f>HYPERLINK("https://www.773grp.com/globalSearch/54HC152J-B/page-1", "54HC152J-B")</f>
        <v>54HC152J-B</v>
      </c>
      <c r="B44580" s="3" t="str">
        <f>HYPERLINK("https://www.773grp.com/manufacturer/onsemi?pageNo=474", "ON Semiconductor")</f>
        <v>ON Semiconductor</v>
      </c>
      <c r="C44580" s="6">
        <v>784</v>
      </c>
      <c r="D44580" s="7">
        <v>0</v>
      </c>
    </row>
    <row r="44581" spans="1:4" x14ac:dyDescent="0.25">
      <c r="A44581" t="str">
        <f>HYPERLINK("https://www.773grp.com/globalSearch/54HC158-BEA/page-1", "54HC158-BEA")</f>
        <v>54HC158-BEA</v>
      </c>
      <c r="B44581" s="3" t="str">
        <f>HYPERLINK("https://www.773grp.com/manufacturer/onsemi?pageNo=475", "ON Semiconductor")</f>
        <v>ON Semiconductor</v>
      </c>
      <c r="C44581" s="6">
        <v>977</v>
      </c>
      <c r="D44581" s="7">
        <v>0</v>
      </c>
    </row>
    <row r="44582" spans="1:4" x14ac:dyDescent="0.25">
      <c r="A44582" t="str">
        <f>HYPERLINK("https://www.773grp.com/globalSearch/54L122J-B/page-1", "54L122J-B")</f>
        <v>54L122J-B</v>
      </c>
      <c r="B44582" s="3" t="str">
        <f>HYPERLINK("https://www.773grp.com/manufacturer/onsemi?pageNo=476", "ON Semiconductor")</f>
        <v>ON Semiconductor</v>
      </c>
      <c r="C44582" s="6">
        <v>1597</v>
      </c>
      <c r="D44582" s="7">
        <v>0</v>
      </c>
    </row>
    <row r="44583" spans="1:4" x14ac:dyDescent="0.25">
      <c r="A44583" t="str">
        <f>HYPERLINK("https://www.773grp.com/globalSearch/54LS107A-BCA/page-1", "54LS107A-BCA")</f>
        <v>54LS107A-BCA</v>
      </c>
      <c r="B44583" s="3" t="str">
        <f>HYPERLINK("https://www.773grp.com/manufacturer/onsemi?pageNo=477", "ON Semiconductor")</f>
        <v>ON Semiconductor</v>
      </c>
      <c r="C44583" s="6">
        <v>1636</v>
      </c>
      <c r="D44583" s="7">
        <v>0</v>
      </c>
    </row>
    <row r="44584" spans="1:4" x14ac:dyDescent="0.25">
      <c r="A44584" t="str">
        <f>HYPERLINK("https://www.773grp.com/globalSearch/54LS122-BDA/page-1", "54LS122-BDA")</f>
        <v>54LS122-BDA</v>
      </c>
      <c r="B44584" s="3" t="str">
        <f>HYPERLINK("https://www.773grp.com/manufacturer/onsemi?pageNo=478", "ON Semiconductor")</f>
        <v>ON Semiconductor</v>
      </c>
      <c r="C44584" s="6">
        <v>873</v>
      </c>
      <c r="D44584" s="7">
        <v>0</v>
      </c>
    </row>
    <row r="44585" spans="1:4" x14ac:dyDescent="0.25">
      <c r="A44585" t="str">
        <f>HYPERLINK("https://www.773grp.com/globalSearch/54LS122-SCA/page-1", "54LS122-SCA")</f>
        <v>54LS122-SCA</v>
      </c>
      <c r="B44585" s="3" t="str">
        <f>HYPERLINK("https://www.773grp.com/manufacturer/onsemi?pageNo=479", "ON Semiconductor")</f>
        <v>ON Semiconductor</v>
      </c>
      <c r="C44585" s="6">
        <v>103</v>
      </c>
      <c r="D44585" s="7">
        <v>0</v>
      </c>
    </row>
    <row r="44586" spans="1:4" x14ac:dyDescent="0.25">
      <c r="A44586" t="str">
        <f>HYPERLINK("https://www.773grp.com/globalSearch/54LS122-SDA/page-1", "54LS122-SDA")</f>
        <v>54LS122-SDA</v>
      </c>
      <c r="B44586" s="3" t="str">
        <f>HYPERLINK("https://www.773grp.com/manufacturer/onsemi?pageNo=480", "ON Semiconductor")</f>
        <v>ON Semiconductor</v>
      </c>
      <c r="C44586" s="6">
        <v>303</v>
      </c>
      <c r="D44586" s="7">
        <v>0</v>
      </c>
    </row>
    <row r="44587" spans="1:4" x14ac:dyDescent="0.25">
      <c r="A44587" t="str">
        <f>HYPERLINK("https://www.773grp.com/globalSearch/54LS126A-BCA/page-1", "54LS126A-BCA")</f>
        <v>54LS126A-BCA</v>
      </c>
      <c r="B44587" s="3" t="str">
        <f>HYPERLINK("https://www.773grp.com/manufacturer/onsemi?pageNo=481", "ON Semiconductor")</f>
        <v>ON Semiconductor</v>
      </c>
      <c r="C44587" s="6">
        <v>1157</v>
      </c>
      <c r="D44587" s="7">
        <v>0</v>
      </c>
    </row>
    <row r="44588" spans="1:4" x14ac:dyDescent="0.25">
      <c r="A44588" t="str">
        <f>HYPERLINK("https://www.773grp.com/globalSearch/54LS126AJ-B  LT/page-1", "54LS126AJ-B  LT")</f>
        <v>54LS126AJ-B  LT</v>
      </c>
      <c r="B44588" s="3" t="str">
        <f>HYPERLINK("https://www.773grp.com/manufacturer/onsemi?pageNo=482", "ON Semiconductor")</f>
        <v>ON Semiconductor</v>
      </c>
      <c r="C44588" s="6">
        <v>48</v>
      </c>
      <c r="D44588" s="7">
        <v>0</v>
      </c>
    </row>
    <row r="44589" spans="1:4" x14ac:dyDescent="0.25">
      <c r="A44589" t="str">
        <f>HYPERLINK("https://www.773grp.com/globalSearch/54LS196W-B  LT/page-1", "54LS196W-B  LT")</f>
        <v>54LS196W-B  LT</v>
      </c>
      <c r="B44589" s="3" t="str">
        <f>HYPERLINK("https://www.773grp.com/manufacturer/onsemi?pageNo=483", "ON Semiconductor")</f>
        <v>ON Semiconductor</v>
      </c>
      <c r="C44589" s="6">
        <v>48</v>
      </c>
      <c r="D44589" s="7">
        <v>0</v>
      </c>
    </row>
    <row r="44590" spans="1:4" x14ac:dyDescent="0.25">
      <c r="A44590" t="str">
        <f>HYPERLINK("https://www.773grp.com/globalSearch/54LS248J-B  LT/page-1", "54LS248J-B  LT")</f>
        <v>54LS248J-B  LT</v>
      </c>
      <c r="B44590" s="3" t="str">
        <f>HYPERLINK("https://www.773grp.com/manufacturer/onsemi?pageNo=484", "ON Semiconductor")</f>
        <v>ON Semiconductor</v>
      </c>
      <c r="C44590" s="6">
        <v>48</v>
      </c>
      <c r="D44590" s="7">
        <v>0</v>
      </c>
    </row>
    <row r="44591" spans="1:4" x14ac:dyDescent="0.25">
      <c r="A44591" t="str">
        <f>HYPERLINK("https://www.773grp.com/globalSearch/54LS259B-BEA/page-1", "54LS259B-BEA")</f>
        <v>54LS259B-BEA</v>
      </c>
      <c r="B44591" s="3" t="str">
        <f>HYPERLINK("https://www.773grp.com/manufacturer/onsemi?pageNo=485", "ON Semiconductor")</f>
        <v>ON Semiconductor</v>
      </c>
      <c r="C44591" s="6">
        <v>2319</v>
      </c>
      <c r="D44591" s="7">
        <v>0</v>
      </c>
    </row>
    <row r="44592" spans="1:4" x14ac:dyDescent="0.25">
      <c r="A44592" t="str">
        <f>HYPERLINK("https://www.773grp.com/globalSearch/54LS28-BDA/page-1", "54LS28-BDA")</f>
        <v>54LS28-BDA</v>
      </c>
      <c r="B44592" s="3" t="str">
        <f>HYPERLINK("https://www.773grp.com/manufacturer/onsemi?pageNo=486", "ON Semiconductor")</f>
        <v>ON Semiconductor</v>
      </c>
      <c r="C44592" s="6">
        <v>551</v>
      </c>
      <c r="D44592" s="7">
        <v>0</v>
      </c>
    </row>
    <row r="44593" spans="1:5" x14ac:dyDescent="0.25">
      <c r="A44593" t="str">
        <f>HYPERLINK("https://www.773grp.com/globalSearch/54LS290-BDA/page-1", "54LS290-BDA")</f>
        <v>54LS290-BDA</v>
      </c>
      <c r="B44593" s="3" t="str">
        <f>HYPERLINK("https://www.773grp.com/manufacturer/onsemi?pageNo=487", "ON Semiconductor")</f>
        <v>ON Semiconductor</v>
      </c>
      <c r="C44593" s="6">
        <v>1342</v>
      </c>
      <c r="D44593" s="7">
        <v>0</v>
      </c>
    </row>
    <row r="44594" spans="1:5" x14ac:dyDescent="0.25">
      <c r="A44594" t="str">
        <f>HYPERLINK("https://www.773grp.com/globalSearch/54LS293-BCA/page-1", "54LS293-BCA")</f>
        <v>54LS293-BCA</v>
      </c>
      <c r="B44594" s="3" t="str">
        <f>HYPERLINK("https://www.773grp.com/manufacturer/onsemi?pageNo=488", "ON Semiconductor")</f>
        <v>ON Semiconductor</v>
      </c>
      <c r="C44594" s="6">
        <v>1422</v>
      </c>
      <c r="D44594" s="7">
        <v>0</v>
      </c>
    </row>
    <row r="44595" spans="1:5" x14ac:dyDescent="0.25">
      <c r="A44595" t="str">
        <f>HYPERLINK("https://www.773grp.com/globalSearch/54LS295B-BCA/page-1", "54LS295B-BCA")</f>
        <v>54LS295B-BCA</v>
      </c>
      <c r="B44595" s="3" t="str">
        <f>HYPERLINK("https://www.773grp.com/manufacturer/onsemi?pageNo=489", "ON Semiconductor")</f>
        <v>ON Semiconductor</v>
      </c>
      <c r="C44595" s="6">
        <v>773</v>
      </c>
      <c r="D44595" s="7">
        <v>0</v>
      </c>
      <c r="E44595" t="s">
        <v>32</v>
      </c>
    </row>
    <row r="44596" spans="1:5" x14ac:dyDescent="0.25">
      <c r="A44596" t="str">
        <f>HYPERLINK("https://www.773grp.com/globalSearch/54LS48J-B  LT/page-1", "54LS48J-B  LT")</f>
        <v>54LS48J-B  LT</v>
      </c>
      <c r="B44596" s="3" t="str">
        <f>HYPERLINK("https://www.773grp.com/manufacturer/onsemi?pageNo=490", "ON Semiconductor")</f>
        <v>ON Semiconductor</v>
      </c>
      <c r="C44596" s="6">
        <v>48</v>
      </c>
      <c r="D44596" s="7">
        <v>0</v>
      </c>
    </row>
    <row r="44597" spans="1:5" x14ac:dyDescent="0.25">
      <c r="A44597" t="str">
        <f>HYPERLINK("https://www.773grp.com/globalSearch/54LS54-BCA/page-1", "54LS54-BCA")</f>
        <v>54LS54-BCA</v>
      </c>
      <c r="B44597" s="3" t="str">
        <f>HYPERLINK("https://www.773grp.com/manufacturer/onsemi?pageNo=491", "ON Semiconductor")</f>
        <v>ON Semiconductor</v>
      </c>
      <c r="C44597" s="6">
        <v>904</v>
      </c>
      <c r="D44597" s="7">
        <v>0</v>
      </c>
    </row>
    <row r="44598" spans="1:5" x14ac:dyDescent="0.25">
      <c r="A44598" t="str">
        <f>HYPERLINK("https://www.773grp.com/globalSearch/54LS54-SDA/page-1", "54LS54-SDA")</f>
        <v>54LS54-SDA</v>
      </c>
      <c r="B44598" s="3" t="str">
        <f>HYPERLINK("https://www.773grp.com/manufacturer/onsemi?pageNo=492", "ON Semiconductor")</f>
        <v>ON Semiconductor</v>
      </c>
      <c r="C44598" s="6">
        <v>208</v>
      </c>
      <c r="D44598" s="7">
        <v>0</v>
      </c>
    </row>
    <row r="44599" spans="1:5" x14ac:dyDescent="0.25">
      <c r="A44599" t="str">
        <f>HYPERLINK("https://www.773grp.com/globalSearch/54LS626J-B  LT/page-1", "54LS626J-B  LT")</f>
        <v>54LS626J-B  LT</v>
      </c>
      <c r="B44599" s="3" t="str">
        <f>HYPERLINK("https://www.773grp.com/manufacturer/onsemi?pageNo=493", "ON Semiconductor")</f>
        <v>ON Semiconductor</v>
      </c>
      <c r="C44599" s="6">
        <v>45</v>
      </c>
      <c r="D44599" s="7">
        <v>0</v>
      </c>
    </row>
    <row r="44600" spans="1:5" x14ac:dyDescent="0.25">
      <c r="A44600" t="str">
        <f>HYPERLINK("https://www.773grp.com/globalSearch/54LS646JT-B  LT/page-1", "54LS646JT-B  LT")</f>
        <v>54LS646JT-B  LT</v>
      </c>
      <c r="B44600" s="3" t="str">
        <f>HYPERLINK("https://www.773grp.com/manufacturer/onsemi?pageNo=494", "ON Semiconductor")</f>
        <v>ON Semiconductor</v>
      </c>
      <c r="C44600" s="6">
        <v>45</v>
      </c>
      <c r="D44600" s="7">
        <v>0</v>
      </c>
    </row>
    <row r="44601" spans="1:5" x14ac:dyDescent="0.25">
      <c r="A44601" t="str">
        <f>HYPERLINK("https://www.773grp.com/globalSearch/54LS691FK-B  LT/page-1", "54LS691FK-B  LT")</f>
        <v>54LS691FK-B  LT</v>
      </c>
      <c r="B44601" s="3" t="str">
        <f>HYPERLINK("https://www.773grp.com/manufacturer/onsemi?pageNo=495", "ON Semiconductor")</f>
        <v>ON Semiconductor</v>
      </c>
      <c r="C44601" s="6">
        <v>48</v>
      </c>
      <c r="D44601" s="7">
        <v>0</v>
      </c>
    </row>
    <row r="44602" spans="1:5" x14ac:dyDescent="0.25">
      <c r="A44602" t="str">
        <f>HYPERLINK("https://www.773grp.com/globalSearch/54LS83AW-B  UT/page-1", "54LS83AW-B  UT")</f>
        <v>54LS83AW-B  UT</v>
      </c>
      <c r="B44602" s="3" t="str">
        <f>HYPERLINK("https://www.773grp.com/manufacturer/onsemi?pageNo=496", "ON Semiconductor")</f>
        <v>ON Semiconductor</v>
      </c>
      <c r="C44602" s="6">
        <v>2266</v>
      </c>
      <c r="D44602" s="7">
        <v>0</v>
      </c>
    </row>
    <row r="44603" spans="1:5" x14ac:dyDescent="0.25">
      <c r="A44603" t="str">
        <f>HYPERLINK("https://www.773grp.com/globalSearch/54LS95B-BCA/page-1", "54LS95B-BCA")</f>
        <v>54LS95B-BCA</v>
      </c>
      <c r="B44603" s="3" t="str">
        <f>HYPERLINK("https://www.773grp.com/manufacturer/onsemi?pageNo=497", "ON Semiconductor")</f>
        <v>ON Semiconductor</v>
      </c>
      <c r="C44603" s="6">
        <v>3635</v>
      </c>
      <c r="D44603" s="7">
        <v>0</v>
      </c>
    </row>
    <row r="44604" spans="1:5" x14ac:dyDescent="0.25">
      <c r="A44604" t="str">
        <f>HYPERLINK("https://www.773grp.com/globalSearch/54LS95BJ-B LT/page-1", "54LS95BJ-B LT")</f>
        <v>54LS95BJ-B LT</v>
      </c>
      <c r="B44604" s="3" t="str">
        <f>HYPERLINK("https://www.773grp.com/manufacturer/onsemi?pageNo=498", "ON Semiconductor")</f>
        <v>ON Semiconductor</v>
      </c>
      <c r="C44604" s="6">
        <v>45</v>
      </c>
      <c r="D44604" s="7">
        <v>0</v>
      </c>
    </row>
    <row r="44605" spans="1:5" x14ac:dyDescent="0.25">
      <c r="A44605" t="str">
        <f>HYPERLINK("https://www.773grp.com/globalSearch/54S197J-B  LT/page-1", "54S197J-B  LT")</f>
        <v>54S197J-B  LT</v>
      </c>
      <c r="B44605" s="3" t="str">
        <f>HYPERLINK("https://www.773grp.com/manufacturer/onsemi?pageNo=499", "ON Semiconductor")</f>
        <v>ON Semiconductor</v>
      </c>
      <c r="C44605" s="6">
        <v>48</v>
      </c>
      <c r="D44605" s="7">
        <v>0</v>
      </c>
    </row>
    <row r="44606" spans="1:5" x14ac:dyDescent="0.25">
      <c r="A44606" t="str">
        <f>HYPERLINK("https://www.773grp.com/globalSearch/54S22FK-B  LT/page-1", "54S22FK-B  LT")</f>
        <v>54S22FK-B  LT</v>
      </c>
      <c r="B44606" s="3" t="str">
        <f>HYPERLINK("https://www.773grp.com/manufacturer/onsemi?pageNo=500", "ON Semiconductor")</f>
        <v>ON Semiconductor</v>
      </c>
      <c r="C44606" s="6">
        <v>48</v>
      </c>
      <c r="D44606" s="7">
        <v>0</v>
      </c>
    </row>
    <row r="44607" spans="1:5" x14ac:dyDescent="0.25">
      <c r="A44607" t="str">
        <f>HYPERLINK("https://www.773grp.com/globalSearch/55157JG-B LT/page-1", "55157JG-B LT")</f>
        <v>55157JG-B LT</v>
      </c>
      <c r="B44607" s="3" t="str">
        <f>HYPERLINK("https://www.773grp.com/manufacturer/onsemi?pageNo=501", "ON Semiconductor")</f>
        <v>ON Semiconductor</v>
      </c>
      <c r="C44607" s="6">
        <v>96</v>
      </c>
      <c r="D44607" s="7">
        <v>0</v>
      </c>
    </row>
    <row r="44608" spans="1:5" x14ac:dyDescent="0.25">
      <c r="A44608" t="str">
        <f>HYPERLINK("https://www.773grp.com/globalSearch/55461JG-B/page-1", "55461JG-B")</f>
        <v>55461JG-B</v>
      </c>
      <c r="B44608" s="3" t="str">
        <f>HYPERLINK("https://www.773grp.com/manufacturer/onsemi?pageNo=502", "ON Semiconductor")</f>
        <v>ON Semiconductor</v>
      </c>
      <c r="C44608" s="6">
        <v>48</v>
      </c>
      <c r="D44608" s="7">
        <v>0</v>
      </c>
    </row>
    <row r="44609" spans="1:4" x14ac:dyDescent="0.25">
      <c r="A44609" t="str">
        <f>HYPERLINK("https://www.773grp.com/globalSearch/55462H-B/page-1", "55462H-B")</f>
        <v>55462H-B</v>
      </c>
      <c r="B44609" s="3" t="str">
        <f>HYPERLINK("https://www.773grp.com/manufacturer/onsemi?pageNo=503", "ON Semiconductor")</f>
        <v>ON Semiconductor</v>
      </c>
      <c r="C44609" s="6">
        <v>453</v>
      </c>
      <c r="D44609" s="7">
        <v>0</v>
      </c>
    </row>
    <row r="44610" spans="1:4" x14ac:dyDescent="0.25">
      <c r="A44610" t="str">
        <f>HYPERLINK("https://www.773grp.com/globalSearch/55463-BPA/page-1", "55463-BPA")</f>
        <v>55463-BPA</v>
      </c>
      <c r="B44610" s="3" t="str">
        <f>HYPERLINK("https://www.773grp.com/manufacturer/onsemi?pageNo=504", "ON Semiconductor")</f>
        <v>ON Semiconductor</v>
      </c>
      <c r="C44610" s="6">
        <v>1177</v>
      </c>
      <c r="D44610" s="7">
        <v>0</v>
      </c>
    </row>
    <row r="44611" spans="1:4" x14ac:dyDescent="0.25">
      <c r="A44611" t="str">
        <f>HYPERLINK("https://www.773grp.com/globalSearch/55500EFD-BZA/page-1", "55500EFD-BZA")</f>
        <v>55500EFD-BZA</v>
      </c>
      <c r="B44611" s="3" t="str">
        <f>HYPERLINK("https://www.773grp.com/manufacturer/onsemi?pageNo=505", "ON Semiconductor")</f>
        <v>ON Semiconductor</v>
      </c>
      <c r="C44611" s="6">
        <v>453</v>
      </c>
      <c r="D44611" s="7">
        <v>0</v>
      </c>
    </row>
    <row r="44612" spans="1:4" x14ac:dyDescent="0.25">
      <c r="A44612" t="str">
        <f>HYPERLINK("https://www.773grp.com/globalSearch/55500EFJ-R  UT/page-1", "55500EFJ-R  UT")</f>
        <v>55500EFJ-R  UT</v>
      </c>
      <c r="B44612" s="3" t="str">
        <f>HYPERLINK("https://www.773grp.com/manufacturer/onsemi?pageNo=506", "ON Semiconductor")</f>
        <v>ON Semiconductor</v>
      </c>
      <c r="C44612" s="6">
        <v>286</v>
      </c>
      <c r="D44612" s="7">
        <v>0</v>
      </c>
    </row>
    <row r="44613" spans="1:4" x14ac:dyDescent="0.25">
      <c r="A44613" t="str">
        <f>HYPERLINK("https://www.773grp.com/globalSearch/55500EJ-B LT/page-1", "55500EJ-B LT")</f>
        <v>55500EJ-B LT</v>
      </c>
      <c r="B44613" s="3" t="str">
        <f>HYPERLINK("https://www.773grp.com/manufacturer/onsemi?pageNo=507", "ON Semiconductor")</f>
        <v>ON Semiconductor</v>
      </c>
      <c r="C44613" s="6">
        <v>140</v>
      </c>
      <c r="D44613" s="7">
        <v>0</v>
      </c>
    </row>
    <row r="44614" spans="1:4" x14ac:dyDescent="0.25">
      <c r="A44614" t="str">
        <f>HYPERLINK("https://www.773grp.com/globalSearch/55500EJ-R UT/page-1", "55500EJ-R UT")</f>
        <v>55500EJ-R UT</v>
      </c>
      <c r="B44614" s="3" t="str">
        <f>HYPERLINK("https://www.773grp.com/manufacturer/onsemi?pageNo=508", "ON Semiconductor")</f>
        <v>ON Semiconductor</v>
      </c>
      <c r="C44614" s="6">
        <v>582</v>
      </c>
      <c r="D44614" s="7">
        <v>0</v>
      </c>
    </row>
    <row r="44615" spans="1:4" x14ac:dyDescent="0.25">
      <c r="A44615" t="str">
        <f>HYPERLINK("https://www.773grp.com/globalSearch/55501EFD-BZA/page-1", "55501EFD-BZA")</f>
        <v>55501EFD-BZA</v>
      </c>
      <c r="B44615" s="3" t="str">
        <f>HYPERLINK("https://www.773grp.com/manufacturer/onsemi?pageNo=509", "ON Semiconductor")</f>
        <v>ON Semiconductor</v>
      </c>
      <c r="C44615" s="6">
        <v>75</v>
      </c>
      <c r="D44615" s="7">
        <v>0</v>
      </c>
    </row>
    <row r="44616" spans="1:4" x14ac:dyDescent="0.25">
      <c r="A44616" t="str">
        <f>HYPERLINK("https://www.773grp.com/globalSearch/55501EFJ/page-1", "55501EFJ")</f>
        <v>55501EFJ</v>
      </c>
      <c r="B44616" s="3" t="str">
        <f>HYPERLINK("https://www.773grp.com/manufacturer/onsemi?pageNo=510", "ON Semiconductor")</f>
        <v>ON Semiconductor</v>
      </c>
      <c r="C44616" s="6">
        <v>327</v>
      </c>
      <c r="D44616" s="7">
        <v>0</v>
      </c>
    </row>
    <row r="44617" spans="1:4" x14ac:dyDescent="0.25">
      <c r="A44617" t="str">
        <f>HYPERLINK("https://www.773grp.com/globalSearch/55501EJ-B LT/page-1", "55501EJ-B LT")</f>
        <v>55501EJ-B LT</v>
      </c>
      <c r="B44617" s="3" t="str">
        <f>HYPERLINK("https://www.773grp.com/manufacturer/onsemi?pageNo=511", "ON Semiconductor")</f>
        <v>ON Semiconductor</v>
      </c>
      <c r="C44617" s="6">
        <v>46</v>
      </c>
      <c r="D44617" s="7">
        <v>0</v>
      </c>
    </row>
    <row r="44618" spans="1:4" x14ac:dyDescent="0.25">
      <c r="A44618" t="str">
        <f>HYPERLINK("https://www.773grp.com/globalSearch/74143N  UT/page-1", "74143N  UT")</f>
        <v>74143N  UT</v>
      </c>
      <c r="B44618" s="3" t="str">
        <f>HYPERLINK("https://www.773grp.com/manufacturer/onsemi?pageNo=512", "ON Semiconductor")</f>
        <v>ON Semiconductor</v>
      </c>
      <c r="C44618" s="6">
        <v>726</v>
      </c>
      <c r="D44618" s="7">
        <v>0</v>
      </c>
    </row>
    <row r="44619" spans="1:4" x14ac:dyDescent="0.25">
      <c r="A44619" t="str">
        <f>HYPERLINK("https://www.773grp.com/globalSearch/74174J/page-1", "74174J")</f>
        <v>74174J</v>
      </c>
      <c r="B44619" s="3" t="str">
        <f>HYPERLINK("https://www.773grp.com/manufacturer/onsemi?pageNo=513", "ON Semiconductor")</f>
        <v>ON Semiconductor</v>
      </c>
      <c r="C44619" s="6">
        <v>4167</v>
      </c>
      <c r="D44619" s="7">
        <v>0</v>
      </c>
    </row>
    <row r="44620" spans="1:4" x14ac:dyDescent="0.25">
      <c r="A44620" t="str">
        <f>HYPERLINK("https://www.773grp.com/globalSearch/7473N/page-1", "7473N")</f>
        <v>7473N</v>
      </c>
      <c r="B44620" s="3" t="str">
        <f>HYPERLINK("https://www.773grp.com/manufacturer/onsemi?pageNo=514", "ON Semiconductor")</f>
        <v>ON Semiconductor</v>
      </c>
      <c r="C44620" s="6">
        <v>2185</v>
      </c>
      <c r="D44620" s="7">
        <v>0</v>
      </c>
    </row>
    <row r="44621" spans="1:4" x14ac:dyDescent="0.25">
      <c r="A44621" t="str">
        <f>HYPERLINK("https://www.773grp.com/globalSearch/7495ADC  UT/page-1", "7495ADC  UT")</f>
        <v>7495ADC  UT</v>
      </c>
      <c r="B44621" s="3" t="str">
        <f>HYPERLINK("https://www.773grp.com/manufacturer/onsemi?pageNo=515", "ON Semiconductor")</f>
        <v>ON Semiconductor</v>
      </c>
      <c r="C44621" s="6">
        <v>1770</v>
      </c>
      <c r="D44621" s="7">
        <v>0</v>
      </c>
    </row>
    <row r="44622" spans="1:4" x14ac:dyDescent="0.25">
      <c r="A44622" t="str">
        <f>HYPERLINK("https://www.773grp.com/globalSearch/74ALS34N  UT/page-1", "74ALS34N  UT")</f>
        <v>74ALS34N  UT</v>
      </c>
      <c r="B44622" s="3" t="str">
        <f>HYPERLINK("https://www.773grp.com/manufacturer/onsemi?pageNo=516", "ON Semiconductor")</f>
        <v>ON Semiconductor</v>
      </c>
      <c r="C44622" s="6">
        <v>3200</v>
      </c>
      <c r="D44622" s="7">
        <v>0</v>
      </c>
    </row>
    <row r="44623" spans="1:4" x14ac:dyDescent="0.25">
      <c r="A44623" t="str">
        <f>HYPERLINK("https://www.773grp.com/globalSearch/74ALS878ADW/page-1", "74ALS878ADW")</f>
        <v>74ALS878ADW</v>
      </c>
      <c r="B44623" s="3" t="str">
        <f>HYPERLINK("https://www.773grp.com/manufacturer/onsemi?pageNo=517", "ON Semiconductor")</f>
        <v>ON Semiconductor</v>
      </c>
      <c r="C44623" s="6">
        <v>1500</v>
      </c>
      <c r="D44623" s="7">
        <v>0</v>
      </c>
    </row>
    <row r="44624" spans="1:4" x14ac:dyDescent="0.25">
      <c r="A44624" t="str">
        <f>HYPERLINK("https://www.773grp.com/globalSearch/74AS881ANT  UT/page-1", "74AS881ANT  UT")</f>
        <v>74AS881ANT  UT</v>
      </c>
      <c r="B44624" s="3" t="str">
        <f>HYPERLINK("https://www.773grp.com/manufacturer/onsemi?pageNo=518", "ON Semiconductor")</f>
        <v>ON Semiconductor</v>
      </c>
      <c r="C44624" s="6">
        <v>1000</v>
      </c>
      <c r="D44624" s="7">
        <v>0</v>
      </c>
    </row>
    <row r="44625" spans="1:5" x14ac:dyDescent="0.25">
      <c r="A44625" t="str">
        <f>HYPERLINK("https://www.773grp.com/globalSearch/74HC804N/page-1", "74HC804N")</f>
        <v>74HC804N</v>
      </c>
      <c r="B44625" s="3" t="str">
        <f>HYPERLINK("https://www.773grp.com/manufacturer/onsemi?pageNo=519", "ON Semiconductor")</f>
        <v>ON Semiconductor</v>
      </c>
      <c r="C44625" s="6">
        <v>1557</v>
      </c>
      <c r="D44625" s="7">
        <v>0</v>
      </c>
    </row>
    <row r="44626" spans="1:5" x14ac:dyDescent="0.25">
      <c r="A44626" t="str">
        <f>HYPERLINK("https://www.773grp.com/globalSearch/74HC805N/page-1", "74HC805N")</f>
        <v>74HC805N</v>
      </c>
      <c r="B44626" s="3" t="str">
        <f>HYPERLINK("https://www.773grp.com/manufacturer/onsemi?pageNo=520", "ON Semiconductor")</f>
        <v>ON Semiconductor</v>
      </c>
      <c r="C44626" s="6">
        <v>1551</v>
      </c>
      <c r="D44626" s="7">
        <v>0</v>
      </c>
    </row>
    <row r="44627" spans="1:5" x14ac:dyDescent="0.25">
      <c r="A44627" t="str">
        <f>HYPERLINK("https://www.773grp.com/globalSearch/74LS190N UT/page-1", "74LS190N UT")</f>
        <v>74LS190N UT</v>
      </c>
      <c r="B44627" s="3" t="str">
        <f>HYPERLINK("https://www.773grp.com/manufacturer/onsemi?pageNo=521", "ON Semiconductor")</f>
        <v>ON Semiconductor</v>
      </c>
      <c r="C44627" s="6">
        <v>5388</v>
      </c>
      <c r="D44627" s="7">
        <v>0</v>
      </c>
    </row>
    <row r="44628" spans="1:5" x14ac:dyDescent="0.25">
      <c r="A44628" t="str">
        <f>HYPERLINK("https://www.773grp.com/globalSearch/74LS384N/page-1", "74LS384N")</f>
        <v>74LS384N</v>
      </c>
      <c r="B44628" s="3" t="str">
        <f>HYPERLINK("https://www.773grp.com/manufacturer/onsemi?pageNo=522", "ON Semiconductor")</f>
        <v>ON Semiconductor</v>
      </c>
      <c r="C44628" s="6">
        <v>1239</v>
      </c>
      <c r="D44628" s="7">
        <v>0</v>
      </c>
    </row>
    <row r="44629" spans="1:5" x14ac:dyDescent="0.25">
      <c r="A44629" t="str">
        <f>HYPERLINK("https://www.773grp.com/globalSearch/74S40J/page-1", "74S40J")</f>
        <v>74S40J</v>
      </c>
      <c r="B44629" s="3" t="str">
        <f>HYPERLINK("https://www.773grp.com/manufacturer/onsemi?pageNo=523", "ON Semiconductor")</f>
        <v>ON Semiconductor</v>
      </c>
      <c r="C44629" s="6">
        <v>1390</v>
      </c>
      <c r="D44629" s="7">
        <v>0</v>
      </c>
      <c r="E44629" t="s">
        <v>31</v>
      </c>
    </row>
    <row r="44630" spans="1:5" x14ac:dyDescent="0.25">
      <c r="A44630" t="str">
        <f>HYPERLINK("https://www.773grp.com/globalSearch/ADC0808MJ-B/page-1", "ADC0808MJ-B")</f>
        <v>ADC0808MJ-B</v>
      </c>
      <c r="B44630" s="3" t="str">
        <f>HYPERLINK("https://www.773grp.com/manufacturer/onsemi?pageNo=524", "ON Semiconductor")</f>
        <v>ON Semiconductor</v>
      </c>
      <c r="C44630" s="6">
        <v>54</v>
      </c>
      <c r="D44630" s="7">
        <v>0</v>
      </c>
    </row>
    <row r="44631" spans="1:5" x14ac:dyDescent="0.25">
      <c r="A44631" t="str">
        <f>HYPERLINK("https://www.773grp.com/globalSearch/OP37AL/page-1", "OP37AL")</f>
        <v>OP37AL</v>
      </c>
      <c r="B44631" s="3" t="str">
        <f>HYPERLINK("https://www.773grp.com/manufacturer/onsemi?pageNo=525", "ON Semiconductor")</f>
        <v>ON Semiconductor</v>
      </c>
      <c r="C44631" s="6">
        <v>79</v>
      </c>
      <c r="D44631" s="7">
        <v>0</v>
      </c>
    </row>
    <row r="44632" spans="1:5" x14ac:dyDescent="0.25">
      <c r="A44632" t="str">
        <f>HYPERLINK("https://www.773grp.com/globalSearch/R1019/page-1", "R1019")</f>
        <v>R1019</v>
      </c>
      <c r="B44632" s="3" t="str">
        <f>HYPERLINK("https://www.773grp.com/manufacturer/onsemi?pageNo=526", "ON Semiconductor")</f>
        <v>ON Semiconductor</v>
      </c>
      <c r="C44632" s="6">
        <v>373</v>
      </c>
      <c r="D44632" s="7">
        <v>0</v>
      </c>
    </row>
    <row r="44633" spans="1:5" x14ac:dyDescent="0.25">
      <c r="A44633" t="str">
        <f>HYPERLINK("https://www.773grp.com/globalSearch/R1020/page-1", "R1020")</f>
        <v>R1020</v>
      </c>
      <c r="B44633" s="3" t="str">
        <f>HYPERLINK("https://www.773grp.com/manufacturer/onsemi?pageNo=527", "ON Semiconductor")</f>
        <v>ON Semiconductor</v>
      </c>
      <c r="C44633" s="6">
        <v>360</v>
      </c>
      <c r="D44633" s="7">
        <v>0</v>
      </c>
      <c r="E44633" t="s">
        <v>122</v>
      </c>
    </row>
    <row r="44634" spans="1:5" x14ac:dyDescent="0.25">
      <c r="A44634" t="str">
        <f>HYPERLINK("https://www.773grp.com/globalSearch/R1045/page-1", "R1045")</f>
        <v>R1045</v>
      </c>
      <c r="B44634" s="3" t="str">
        <f>HYPERLINK("https://www.773grp.com/manufacturer/onsemi?pageNo=528", "ON Semiconductor")</f>
        <v>ON Semiconductor</v>
      </c>
      <c r="C44634" s="6">
        <v>173</v>
      </c>
      <c r="D44634" s="7">
        <v>0</v>
      </c>
    </row>
    <row r="44635" spans="1:5" x14ac:dyDescent="0.25">
      <c r="A44635" t="str">
        <f>HYPERLINK("https://www.773grp.com/globalSearch/R1051/page-1", "R1051")</f>
        <v>R1051</v>
      </c>
      <c r="B44635" s="3" t="str">
        <f>HYPERLINK("https://www.773grp.com/manufacturer/onsemi?pageNo=529", "ON Semiconductor")</f>
        <v>ON Semiconductor</v>
      </c>
      <c r="C44635" s="6">
        <v>452</v>
      </c>
      <c r="D44635" s="7">
        <v>0</v>
      </c>
    </row>
    <row r="44636" spans="1:5" x14ac:dyDescent="0.25">
      <c r="A44636" t="str">
        <f>HYPERLINK("https://www.773grp.com/globalSearch/R1145/page-1", "R1145")</f>
        <v>R1145</v>
      </c>
      <c r="B44636" s="3" t="str">
        <f>HYPERLINK("https://www.773grp.com/manufacturer/onsemi?pageNo=530", "ON Semiconductor")</f>
        <v>ON Semiconductor</v>
      </c>
      <c r="C44636" s="6">
        <v>141</v>
      </c>
      <c r="D44636" s="7">
        <v>0</v>
      </c>
    </row>
    <row r="44637" spans="1:5" x14ac:dyDescent="0.25">
      <c r="A44637" t="str">
        <f>HYPERLINK("https://www.773grp.com/globalSearch/R1186/page-1", "R1186")</f>
        <v>R1186</v>
      </c>
      <c r="B44637" s="3" t="str">
        <f>HYPERLINK("https://www.773grp.com/manufacturer/onsemi?pageNo=531", "ON Semiconductor")</f>
        <v>ON Semiconductor</v>
      </c>
      <c r="C44637" s="6">
        <v>344</v>
      </c>
      <c r="D44637" s="7">
        <v>0</v>
      </c>
    </row>
    <row r="44638" spans="1:5" x14ac:dyDescent="0.25">
      <c r="A44638" t="str">
        <f>HYPERLINK("https://www.773grp.com/globalSearch/R1189/page-1", "R1189")</f>
        <v>R1189</v>
      </c>
      <c r="B44638" s="3" t="str">
        <f>HYPERLINK("https://www.773grp.com/manufacturer/onsemi?pageNo=532", "ON Semiconductor")</f>
        <v>ON Semiconductor</v>
      </c>
      <c r="C44638" s="6">
        <v>601</v>
      </c>
      <c r="D44638" s="7">
        <v>0</v>
      </c>
    </row>
    <row r="44639" spans="1:5" x14ac:dyDescent="0.25">
      <c r="A44639" t="str">
        <f>HYPERLINK("https://www.773grp.com/globalSearch/R1196/page-1", "R1196")</f>
        <v>R1196</v>
      </c>
      <c r="B44639" s="3" t="str">
        <f>HYPERLINK("https://www.773grp.com/manufacturer/onsemi?pageNo=533", "ON Semiconductor")</f>
        <v>ON Semiconductor</v>
      </c>
      <c r="C44639" s="6">
        <v>1396</v>
      </c>
      <c r="D44639" s="7">
        <v>0</v>
      </c>
    </row>
    <row r="44640" spans="1:5" x14ac:dyDescent="0.25">
      <c r="A44640" t="str">
        <f>HYPERLINK("https://www.773grp.com/globalSearch/R1203/page-1", "R1203")</f>
        <v>R1203</v>
      </c>
      <c r="B44640" s="3" t="str">
        <f>HYPERLINK("https://www.773grp.com/manufacturer/onsemi?pageNo=534", "ON Semiconductor")</f>
        <v>ON Semiconductor</v>
      </c>
      <c r="C44640" s="6">
        <v>336</v>
      </c>
      <c r="D44640" s="7">
        <v>0</v>
      </c>
    </row>
    <row r="44641" spans="1:4" x14ac:dyDescent="0.25">
      <c r="A44641" t="str">
        <f>HYPERLINK("https://www.773grp.com/globalSearch/R1361/page-1", "R1361")</f>
        <v>R1361</v>
      </c>
      <c r="B44641" s="3" t="str">
        <f>HYPERLINK("https://www.773grp.com/manufacturer/onsemi?pageNo=535", "ON Semiconductor")</f>
        <v>ON Semiconductor</v>
      </c>
      <c r="C44641" s="6">
        <v>79</v>
      </c>
      <c r="D44641" s="7">
        <v>0</v>
      </c>
    </row>
    <row r="44642" spans="1:4" x14ac:dyDescent="0.25">
      <c r="A44642" t="str">
        <f>HYPERLINK("https://www.773grp.com/globalSearch/R1416/page-1", "R1416")</f>
        <v>R1416</v>
      </c>
      <c r="B44642" s="3" t="str">
        <f>HYPERLINK("https://www.773grp.com/manufacturer/onsemi?pageNo=536", "ON Semiconductor")</f>
        <v>ON Semiconductor</v>
      </c>
      <c r="C44642" s="6">
        <v>246</v>
      </c>
      <c r="D44642" s="7">
        <v>0</v>
      </c>
    </row>
    <row r="44643" spans="1:4" x14ac:dyDescent="0.25">
      <c r="A44643" t="str">
        <f>HYPERLINK("https://www.773grp.com/globalSearch/R1431/page-1", "R1431")</f>
        <v>R1431</v>
      </c>
      <c r="B44643" s="3" t="str">
        <f>HYPERLINK("https://www.773grp.com/manufacturer/onsemi?pageNo=537", "ON Semiconductor")</f>
        <v>ON Semiconductor</v>
      </c>
      <c r="C44643" s="6">
        <v>247</v>
      </c>
      <c r="D44643" s="7">
        <v>0</v>
      </c>
    </row>
    <row r="44644" spans="1:4" x14ac:dyDescent="0.25">
      <c r="A44644" t="str">
        <f>HYPERLINK("https://www.773grp.com/globalSearch/R1432/page-1", "R1432")</f>
        <v>R1432</v>
      </c>
      <c r="B44644" s="3" t="str">
        <f>HYPERLINK("https://www.773grp.com/manufacturer/onsemi?pageNo=538", "ON Semiconductor")</f>
        <v>ON Semiconductor</v>
      </c>
      <c r="C44644" s="6">
        <v>193</v>
      </c>
      <c r="D44644" s="7">
        <v>0</v>
      </c>
    </row>
    <row r="44645" spans="1:4" x14ac:dyDescent="0.25">
      <c r="A44645" t="str">
        <f>HYPERLINK("https://www.773grp.com/globalSearch/R1492/page-1", "R1492")</f>
        <v>R1492</v>
      </c>
      <c r="B44645" s="3" t="str">
        <f>HYPERLINK("https://www.773grp.com/manufacturer/onsemi?pageNo=539", "ON Semiconductor")</f>
        <v>ON Semiconductor</v>
      </c>
      <c r="C44645" s="6">
        <v>204</v>
      </c>
      <c r="D44645" s="7">
        <v>0</v>
      </c>
    </row>
    <row r="44646" spans="1:4" x14ac:dyDescent="0.25">
      <c r="A44646" t="str">
        <f>HYPERLINK("https://www.773grp.com/globalSearch/R1539/page-1", "R1539")</f>
        <v>R1539</v>
      </c>
      <c r="B44646" s="3" t="str">
        <f>HYPERLINK("https://www.773grp.com/manufacturer/onsemi?pageNo=540", "ON Semiconductor")</f>
        <v>ON Semiconductor</v>
      </c>
      <c r="C44646" s="6">
        <v>142</v>
      </c>
      <c r="D44646" s="7">
        <v>0</v>
      </c>
    </row>
    <row r="44647" spans="1:4" x14ac:dyDescent="0.25">
      <c r="A44647" t="str">
        <f>HYPERLINK("https://www.773grp.com/globalSearch/R4108000/page-1", "R4108000")</f>
        <v>R4108000</v>
      </c>
      <c r="B44647" s="3" t="str">
        <f>HYPERLINK("https://www.773grp.com/manufacturer/onsemi?pageNo=541", "ON Semiconductor")</f>
        <v>ON Semiconductor</v>
      </c>
      <c r="C44647" s="6">
        <v>57</v>
      </c>
      <c r="D44647" s="7">
        <v>0</v>
      </c>
    </row>
    <row r="44648" spans="1:4" x14ac:dyDescent="0.25">
      <c r="A44648" t="str">
        <f>HYPERLINK("https://www.773grp.com/globalSearch/R469001/page-1", "R469001")</f>
        <v>R469001</v>
      </c>
      <c r="B44648" s="3" t="str">
        <f>HYPERLINK("https://www.773grp.com/manufacturer/onsemi?pageNo=542", "ON Semiconductor")</f>
        <v>ON Semiconductor</v>
      </c>
      <c r="C44648" s="6">
        <v>202</v>
      </c>
      <c r="D44648" s="7">
        <v>0</v>
      </c>
    </row>
    <row r="44649" spans="1:4" x14ac:dyDescent="0.25">
      <c r="A44649" t="str">
        <f>HYPERLINK("https://www.773grp.com/globalSearch/R494001 UT/page-1", "R494001 UT")</f>
        <v>R494001 UT</v>
      </c>
      <c r="B44649" s="3" t="str">
        <f>HYPERLINK("https://www.773grp.com/manufacturer/onsemi?pageNo=543", "ON Semiconductor")</f>
        <v>ON Semiconductor</v>
      </c>
      <c r="C44649" s="6">
        <v>48</v>
      </c>
      <c r="D44649" s="7">
        <v>0</v>
      </c>
    </row>
    <row r="44650" spans="1:4" x14ac:dyDescent="0.25">
      <c r="A44650" t="str">
        <f>HYPERLINK("https://www.773grp.com/globalSearch/R534003  LT/page-1", "R534003  LT")</f>
        <v>R534003  LT</v>
      </c>
      <c r="B44650" s="3" t="str">
        <f>HYPERLINK("https://www.773grp.com/manufacturer/onsemi?pageNo=544", "ON Semiconductor")</f>
        <v>ON Semiconductor</v>
      </c>
      <c r="C44650" s="6">
        <v>48</v>
      </c>
      <c r="D44650" s="7">
        <v>0</v>
      </c>
    </row>
    <row r="44651" spans="1:4" x14ac:dyDescent="0.25">
      <c r="A44651" t="str">
        <f>HYPERLINK("https://www.773grp.com/globalSearch/R754103/page-1", "R754103")</f>
        <v>R754103</v>
      </c>
      <c r="B44651" s="3" t="str">
        <f>HYPERLINK("https://www.773grp.com/manufacturer/onsemi?pageNo=545", "ON Semiconductor")</f>
        <v>ON Semiconductor</v>
      </c>
      <c r="C44651" s="6">
        <v>391</v>
      </c>
      <c r="D44651" s="7">
        <v>0</v>
      </c>
    </row>
    <row r="44652" spans="1:4" x14ac:dyDescent="0.25">
      <c r="A44652" t="str">
        <f>HYPERLINK("https://www.773grp.com/globalSearch/SN74LS490N/page-1", "SN74LS490N")</f>
        <v>SN74LS490N</v>
      </c>
      <c r="B44652" s="3" t="str">
        <f>HYPERLINK("https://www.773grp.com/manufacturer/onsemi?pageNo=546", "ON Semiconductor")</f>
        <v>ON Semiconductor</v>
      </c>
      <c r="C44652" s="6">
        <v>1393</v>
      </c>
      <c r="D44652" s="7">
        <v>0</v>
      </c>
    </row>
    <row r="44653" spans="1:4" x14ac:dyDescent="0.25">
      <c r="A44653" t="str">
        <f>HYPERLINK("https://www.773grp.com/globalSearch/SN75325J  UT/page-1", "SN75325J  UT")</f>
        <v>SN75325J  UT</v>
      </c>
      <c r="B44653" s="3" t="str">
        <f>HYPERLINK("https://www.773grp.com/manufacturer/onsemi?pageNo=547", "ON Semiconductor")</f>
        <v>ON Semiconductor</v>
      </c>
      <c r="C44653" s="6">
        <v>167</v>
      </c>
      <c r="D44653" s="7">
        <v>0</v>
      </c>
    </row>
    <row r="44654" spans="1:4" x14ac:dyDescent="0.25">
      <c r="A44654" t="str">
        <f>HYPERLINK("https://www.773grp.com/globalSearch/TL32088CN  UT/page-1", "TL32088CN  UT")</f>
        <v>TL32088CN  UT</v>
      </c>
      <c r="B44654" s="3" t="str">
        <f>HYPERLINK("https://www.773grp.com/manufacturer/onsemi?pageNo=548", "ON Semiconductor")</f>
        <v>ON Semiconductor</v>
      </c>
      <c r="C44654" s="6">
        <v>5569</v>
      </c>
      <c r="D44654" s="7">
        <v>0</v>
      </c>
    </row>
    <row r="44655" spans="1:4" x14ac:dyDescent="0.25">
      <c r="A44655" t="str">
        <f>HYPERLINK("https://www.773grp.com/globalSearch/TL32088CNS UT/page-1", "TL32088CNS UT")</f>
        <v>TL32088CNS UT</v>
      </c>
      <c r="B44655" s="3" t="str">
        <f>HYPERLINK("https://www.773grp.com/manufacturer/onsemi?pageNo=549", "ON Semiconductor")</f>
        <v>ON Semiconductor</v>
      </c>
      <c r="C44655" s="6">
        <v>9261</v>
      </c>
      <c r="D44655" s="7">
        <v>0</v>
      </c>
    </row>
    <row r="44656" spans="1:4" x14ac:dyDescent="0.25">
      <c r="A44656" t="str">
        <f>HYPERLINK("https://www.773grp.com/globalSearch/TLC2472ID  UT/page-1", "TLC2472ID  UT")</f>
        <v>TLC2472ID  UT</v>
      </c>
      <c r="B44656" s="3" t="str">
        <f>HYPERLINK("https://www.773grp.com/manufacturer/onsemi?pageNo=550", "ON Semiconductor")</f>
        <v>ON Semiconductor</v>
      </c>
      <c r="C44656" s="6">
        <v>1235</v>
      </c>
      <c r="D44656" s="7">
        <v>0</v>
      </c>
    </row>
    <row r="44657" spans="1:5" x14ac:dyDescent="0.25">
      <c r="A44657" t="str">
        <f>HYPERLINK("https://www.773grp.com/globalSearch/TLC32042EFN/page-1", "TLC32042EFN")</f>
        <v>TLC32042EFN</v>
      </c>
      <c r="B44657" s="3" t="str">
        <f>HYPERLINK("https://www.773grp.com/manufacturer/onsemi?pageNo=551", "ON Semiconductor")</f>
        <v>ON Semiconductor</v>
      </c>
      <c r="C44657" s="6">
        <v>280</v>
      </c>
      <c r="D44657" s="7">
        <v>0</v>
      </c>
    </row>
    <row r="44658" spans="1:5" x14ac:dyDescent="0.25">
      <c r="A44658" t="str">
        <f>HYPERLINK("https://www.773grp.com/globalSearch/TLC32044EFN/page-1", "TLC32044EFN")</f>
        <v>TLC32044EFN</v>
      </c>
      <c r="B44658" s="3" t="str">
        <f>HYPERLINK("https://www.773grp.com/manufacturer/onsemi?pageNo=552", "ON Semiconductor")</f>
        <v>ON Semiconductor</v>
      </c>
      <c r="C44658" s="6">
        <v>1890</v>
      </c>
      <c r="D44658" s="7">
        <v>0</v>
      </c>
      <c r="E44658" t="s">
        <v>66</v>
      </c>
    </row>
    <row r="44659" spans="1:5" x14ac:dyDescent="0.25">
      <c r="A44659" t="str">
        <f>HYPERLINK("https://www.773grp.com/globalSearch/TLC32044IFK/page-1", "TLC32044IFK")</f>
        <v>TLC32044IFK</v>
      </c>
      <c r="B44659" s="3" t="str">
        <f>HYPERLINK("https://www.773grp.com/manufacturer/onsemi?pageNo=553", "ON Semiconductor")</f>
        <v>ON Semiconductor</v>
      </c>
      <c r="C44659" s="6">
        <v>411</v>
      </c>
      <c r="D44659" s="7">
        <v>0</v>
      </c>
      <c r="E44659" t="s">
        <v>66</v>
      </c>
    </row>
    <row r="44660" spans="1:5" x14ac:dyDescent="0.25">
      <c r="A44660" t="str">
        <f>HYPERLINK("https://www.773grp.com/globalSearch/TLC32044IN/page-1", "TLC32044IN")</f>
        <v>TLC32044IN</v>
      </c>
      <c r="B44660" s="3" t="str">
        <f>HYPERLINK("https://www.773grp.com/manufacturer/onsemi?pageNo=554", "ON Semiconductor")</f>
        <v>ON Semiconductor</v>
      </c>
      <c r="C44660" s="6">
        <v>664</v>
      </c>
      <c r="D44660" s="7">
        <v>0</v>
      </c>
      <c r="E44660" t="s">
        <v>66</v>
      </c>
    </row>
    <row r="44661" spans="1:5" x14ac:dyDescent="0.25">
      <c r="A44661" t="str">
        <f>HYPERLINK("https://www.773grp.com/globalSearch/UA733M-BIA/page-1", "UA733M-BIA")</f>
        <v>UA733M-BIA</v>
      </c>
      <c r="B44661" s="3" t="str">
        <f>HYPERLINK("https://www.773grp.com/manufacturer/onsemi?pageNo=555", "ON Semiconductor")</f>
        <v>ON Semiconductor</v>
      </c>
      <c r="C44661" s="6">
        <v>539</v>
      </c>
      <c r="D44661" s="7">
        <v>0</v>
      </c>
    </row>
    <row r="44662" spans="1:5" x14ac:dyDescent="0.25">
      <c r="A44662" t="str">
        <f>HYPERLINK("https://www.773grp.com/globalSearch/UA78M05MJG-B/page-1", "UA78M05MJG-B")</f>
        <v>UA78M05MJG-B</v>
      </c>
      <c r="B44662" s="3" t="str">
        <f>HYPERLINK("https://www.773grp.com/manufacturer/onsemi?pageNo=556", "ON Semiconductor")</f>
        <v>ON Semiconductor</v>
      </c>
      <c r="C44662" s="6">
        <v>1653</v>
      </c>
      <c r="D44662" s="7">
        <v>0</v>
      </c>
    </row>
    <row r="44663" spans="1:5" x14ac:dyDescent="0.25">
      <c r="A44663" t="str">
        <f>HYPERLINK("https://www.773grp.com/globalSearch/UC2633N-G/page-1", "UC2633N-G")</f>
        <v>UC2633N-G</v>
      </c>
      <c r="B44663" s="3" t="str">
        <f>HYPERLINK("https://www.773grp.com/manufacturer/onsemi?pageNo=557", "ON Semiconductor")</f>
        <v>ON Semiconductor</v>
      </c>
      <c r="C44663" s="6">
        <v>103</v>
      </c>
      <c r="D44663" s="7">
        <v>0</v>
      </c>
    </row>
    <row r="44664" spans="1:5" x14ac:dyDescent="0.25">
      <c r="A44664" t="str">
        <f>HYPERLINK("https://www.773grp.com/globalSearch/TE505S16-40LC/page-1", "TE505S16-40LC")</f>
        <v>TE505S16-40LC</v>
      </c>
      <c r="B44664" s="3" t="str">
        <f>HYPERLINK("https://www.773grp.com/manufacturer/onsemi?pageNo=558", "ON Semiconductor")</f>
        <v>ON Semiconductor</v>
      </c>
      <c r="C44664" s="6">
        <v>80</v>
      </c>
      <c r="D44664" s="7">
        <v>0</v>
      </c>
    </row>
    <row r="44665" spans="1:5" x14ac:dyDescent="0.25">
      <c r="A44665" t="str">
        <f>HYPERLINK("https://www.773grp.com/globalSearch/TE505S16-40QC/page-1", "TE505S16-40QC")</f>
        <v>TE505S16-40QC</v>
      </c>
      <c r="B44665" s="3" t="str">
        <f>HYPERLINK("https://www.773grp.com/manufacturer/onsemi?pageNo=559", "ON Semiconductor")</f>
        <v>ON Semiconductor</v>
      </c>
      <c r="C44665" s="6">
        <v>707</v>
      </c>
      <c r="D44665" s="7">
        <v>0</v>
      </c>
    </row>
    <row r="44666" spans="1:5" x14ac:dyDescent="0.25">
      <c r="A44666" t="str">
        <f>HYPERLINK("https://www.773grp.com/globalSearch/TE505S16-40QI/page-1", "TE505S16-40QI")</f>
        <v>TE505S16-40QI</v>
      </c>
      <c r="B44666" s="3" t="str">
        <f>HYPERLINK("https://www.773grp.com/manufacturer/onsemi?pageNo=560", "ON Semiconductor")</f>
        <v>ON Semiconductor</v>
      </c>
      <c r="C44666" s="6">
        <v>2045</v>
      </c>
      <c r="D44666" s="7">
        <v>0</v>
      </c>
    </row>
    <row r="44667" spans="1:5" x14ac:dyDescent="0.25">
      <c r="A44667" t="str">
        <f>HYPERLINK("https://www.773grp.com/globalSearch/TE505S16-40QI-G/page-1", "TE505S16-40QI-G")</f>
        <v>TE505S16-40QI-G</v>
      </c>
      <c r="B44667" s="3" t="str">
        <f>HYPERLINK("https://www.773grp.com/manufacturer/onsemi?pageNo=561", "ON Semiconductor")</f>
        <v>ON Semiconductor</v>
      </c>
      <c r="C44667" s="6">
        <v>4622</v>
      </c>
      <c r="D44667" s="7">
        <v>0</v>
      </c>
    </row>
    <row r="44668" spans="1:5" x14ac:dyDescent="0.25">
      <c r="A44668" t="str">
        <f>HYPERLINK("https://www.773grp.com/globalSearch/DM74S40N/page-1", "DM74S40N")</f>
        <v>DM74S40N</v>
      </c>
      <c r="B44668" s="3" t="str">
        <f>HYPERLINK("https://www.773grp.com/manufacturer/onsemi?pageNo=562", "ON Semiconductor")</f>
        <v>ON Semiconductor</v>
      </c>
      <c r="C44668" s="6">
        <v>7082</v>
      </c>
      <c r="D44668" s="7">
        <v>1.79</v>
      </c>
      <c r="E44668" t="s">
        <v>31</v>
      </c>
    </row>
    <row r="44669" spans="1:5" x14ac:dyDescent="0.25">
      <c r="A44669" t="str">
        <f>HYPERLINK("https://www.773grp.com/globalSearch/CA3080AE/page-1", "CA3080AE")</f>
        <v>CA3080AE</v>
      </c>
      <c r="B44669" s="3" t="str">
        <f>HYPERLINK("https://www.773grp.com/manufacturer/onsemi?pageNo=563", "ON Semiconductor")</f>
        <v>ON Semiconductor</v>
      </c>
      <c r="C44669" s="6">
        <v>10215</v>
      </c>
      <c r="D44669" s="7">
        <v>4.43</v>
      </c>
      <c r="E44669" t="s">
        <v>13</v>
      </c>
    </row>
    <row r="44670" spans="1:5" x14ac:dyDescent="0.25">
      <c r="A44670" t="str">
        <f>HYPERLINK("https://www.773grp.com/globalSearch/CA3080M/page-1", "CA3080M")</f>
        <v>CA3080M</v>
      </c>
      <c r="B44670" s="3" t="str">
        <f>HYPERLINK("https://www.773grp.com/manufacturer/onsemi?pageNo=564", "ON Semiconductor")</f>
        <v>ON Semiconductor</v>
      </c>
      <c r="C44670" s="6">
        <v>23484</v>
      </c>
      <c r="D44670" s="7">
        <v>4.74</v>
      </c>
      <c r="E44670" t="s">
        <v>13</v>
      </c>
    </row>
    <row r="44671" spans="1:5" x14ac:dyDescent="0.25">
      <c r="A44671" t="str">
        <f>HYPERLINK("https://www.773grp.com/globalSearch/74S22PC/page-1", "74S22PC")</f>
        <v>74S22PC</v>
      </c>
      <c r="B44671" s="3" t="str">
        <f>HYPERLINK("https://www.773grp.com/manufacturer/onsemi?pageNo=565", "ON Semiconductor")</f>
        <v>ON Semiconductor</v>
      </c>
      <c r="C44671" s="6">
        <v>1278</v>
      </c>
      <c r="D44671" s="7">
        <v>4.91</v>
      </c>
    </row>
    <row r="44672" spans="1:5" x14ac:dyDescent="0.25">
      <c r="A44672" t="str">
        <f>HYPERLINK("https://www.773grp.com/globalSearch/CA3080AE-G/page-1", "CA3080AE-G")</f>
        <v>CA3080AE-G</v>
      </c>
      <c r="B44672" s="3" t="str">
        <f>HYPERLINK("https://www.773grp.com/manufacturer/onsemi?pageNo=566", "ON Semiconductor")</f>
        <v>ON Semiconductor</v>
      </c>
      <c r="C44672" s="6">
        <v>6701</v>
      </c>
      <c r="D44672" s="7">
        <v>4.91</v>
      </c>
    </row>
    <row r="44673" spans="1:5" x14ac:dyDescent="0.25">
      <c r="A44673" t="str">
        <f>HYPERLINK("https://www.773grp.com/globalSearch/7412N/page-1", "7412N")</f>
        <v>7412N</v>
      </c>
      <c r="B44673" s="3" t="str">
        <f>HYPERLINK("https://www.773grp.com/manufacturer/onsemi?pageNo=567", "ON Semiconductor")</f>
        <v>ON Semiconductor</v>
      </c>
      <c r="C44673" s="6">
        <v>934</v>
      </c>
      <c r="D44673" s="7">
        <v>5.05</v>
      </c>
      <c r="E44673" t="s">
        <v>31</v>
      </c>
    </row>
    <row r="44674" spans="1:5" x14ac:dyDescent="0.25">
      <c r="A44674" t="str">
        <f>HYPERLINK("https://www.773grp.com/globalSearch/CA3080AM-G/page-1", "CA3080AM-G")</f>
        <v>CA3080AM-G</v>
      </c>
      <c r="B44674" s="3" t="str">
        <f>HYPERLINK("https://www.773grp.com/manufacturer/onsemi?pageNo=568", "ON Semiconductor")</f>
        <v>ON Semiconductor</v>
      </c>
      <c r="C44674" s="6">
        <v>8408</v>
      </c>
      <c r="D44674" s="7">
        <v>5.16</v>
      </c>
    </row>
    <row r="44675" spans="1:5" x14ac:dyDescent="0.25">
      <c r="A44675" t="str">
        <f>HYPERLINK("https://www.773grp.com/globalSearch/MC10116FNR2/page-1", "MC10116FNR2")</f>
        <v>MC10116FNR2</v>
      </c>
      <c r="B44675" s="3" t="str">
        <f>HYPERLINK("https://www.773grp.com/manufacturer/onsemi?pageNo=569", "ON Semiconductor")</f>
        <v>ON Semiconductor</v>
      </c>
      <c r="C44675" s="6">
        <v>8946</v>
      </c>
      <c r="D44675" s="7">
        <v>5.73</v>
      </c>
      <c r="E44675" t="s">
        <v>21</v>
      </c>
    </row>
    <row r="44676" spans="1:5" x14ac:dyDescent="0.25">
      <c r="A44676" t="str">
        <f>HYPERLINK("https://www.773grp.com/globalSearch/CA3080M-G/page-1", "CA3080M-G")</f>
        <v>CA3080M-G</v>
      </c>
      <c r="B44676" s="3" t="str">
        <f>HYPERLINK("https://www.773grp.com/manufacturer/onsemi?pageNo=570", "ON Semiconductor")</f>
        <v>ON Semiconductor</v>
      </c>
      <c r="C44676" s="6">
        <v>9087</v>
      </c>
      <c r="D44676" s="7">
        <v>5.78</v>
      </c>
    </row>
    <row r="44677" spans="1:5" x14ac:dyDescent="0.25">
      <c r="A44677" t="str">
        <f>HYPERLINK("https://www.773grp.com/globalSearch/TL510CP/page-1", "TL510CP")</f>
        <v>TL510CP</v>
      </c>
      <c r="B44677" s="3" t="str">
        <f>HYPERLINK("https://www.773grp.com/manufacturer/onsemi?pageNo=571", "ON Semiconductor")</f>
        <v>ON Semiconductor</v>
      </c>
      <c r="C44677" s="6">
        <v>114</v>
      </c>
      <c r="D44677" s="7">
        <v>7.44</v>
      </c>
    </row>
    <row r="44678" spans="1:5" x14ac:dyDescent="0.25">
      <c r="A44678" t="str">
        <f>HYPERLINK("https://www.773grp.com/globalSearch/LM3080N/page-1", "LM3080N")</f>
        <v>LM3080N</v>
      </c>
      <c r="B44678" s="3" t="str">
        <f>HYPERLINK("https://www.773grp.com/manufacturer/onsemi?pageNo=572", "ON Semiconductor")</f>
        <v>ON Semiconductor</v>
      </c>
      <c r="C44678" s="6">
        <v>50495</v>
      </c>
      <c r="D44678" s="7">
        <v>7.44</v>
      </c>
      <c r="E44678" t="s">
        <v>13</v>
      </c>
    </row>
    <row r="44679" spans="1:5" x14ac:dyDescent="0.25">
      <c r="A44679" t="str">
        <f>HYPERLINK("https://www.773grp.com/globalSearch/74ACT11175DW/page-1", "74ACT11175DW")</f>
        <v>74ACT11175DW</v>
      </c>
      <c r="B44679" s="3" t="str">
        <f>HYPERLINK("https://www.773grp.com/manufacturer/onsemi?pageNo=573", "ON Semiconductor")</f>
        <v>ON Semiconductor</v>
      </c>
      <c r="C44679" s="6">
        <v>2498</v>
      </c>
      <c r="D44679" s="7">
        <v>8.1999999999999993</v>
      </c>
      <c r="E44679" t="s">
        <v>35</v>
      </c>
    </row>
    <row r="44680" spans="1:5" x14ac:dyDescent="0.25">
      <c r="A44680" t="str">
        <f>HYPERLINK("https://www.773grp.com/globalSearch/74AC521SC  REEL/page-1", "74AC521SC  REEL")</f>
        <v>74AC521SC  REEL</v>
      </c>
      <c r="B44680" s="3" t="str">
        <f>HYPERLINK("https://www.773grp.com/manufacturer/onsemi?pageNo=574", "ON Semiconductor")</f>
        <v>ON Semiconductor</v>
      </c>
      <c r="C44680" s="6">
        <v>22000</v>
      </c>
      <c r="D44680" s="7">
        <v>9.73</v>
      </c>
    </row>
    <row r="44681" spans="1:5" x14ac:dyDescent="0.25">
      <c r="A44681" t="str">
        <f>HYPERLINK("https://www.773grp.com/globalSearch/74178PC/page-1", "74178PC")</f>
        <v>74178PC</v>
      </c>
      <c r="B44681" s="3" t="str">
        <f>HYPERLINK("https://www.773grp.com/manufacturer/onsemi?pageNo=575", "ON Semiconductor")</f>
        <v>ON Semiconductor</v>
      </c>
      <c r="C44681" s="6">
        <v>430</v>
      </c>
      <c r="D44681" s="7">
        <v>9.9600000000000009</v>
      </c>
      <c r="E44681" t="s">
        <v>32</v>
      </c>
    </row>
    <row r="44682" spans="1:5" x14ac:dyDescent="0.25">
      <c r="A44682" t="str">
        <f>HYPERLINK("https://www.773grp.com/globalSearch/74ACTQ245SCX-G  REEL/page-1", "74ACTQ245SCX-G  REEL")</f>
        <v>74ACTQ245SCX-G  REEL</v>
      </c>
      <c r="B44682" s="3" t="str">
        <f>HYPERLINK("https://www.773grp.com/manufacturer/onsemi?pageNo=576", "ON Semiconductor")</f>
        <v>ON Semiconductor</v>
      </c>
      <c r="C44682" s="6">
        <v>18160</v>
      </c>
      <c r="D44682" s="7">
        <v>10.06</v>
      </c>
    </row>
    <row r="44683" spans="1:5" x14ac:dyDescent="0.25">
      <c r="A44683" t="str">
        <f>HYPERLINK("https://www.773grp.com/globalSearch/ULN2429A/page-1", "ULN2429A")</f>
        <v>ULN2429A</v>
      </c>
      <c r="B44683" s="3" t="str">
        <f>HYPERLINK("https://www.773grp.com/manufacturer/onsemi?pageNo=577", "ON Semiconductor")</f>
        <v>ON Semiconductor</v>
      </c>
      <c r="C44683" s="6">
        <v>5401</v>
      </c>
      <c r="D44683" s="7">
        <v>11.99</v>
      </c>
      <c r="E44683" t="s">
        <v>40</v>
      </c>
    </row>
    <row r="44684" spans="1:5" x14ac:dyDescent="0.25">
      <c r="A44684" t="str">
        <f>HYPERLINK("https://www.773grp.com/globalSearch/74F552SC/page-1", "74F552SC")</f>
        <v>74F552SC</v>
      </c>
      <c r="B44684" s="3" t="str">
        <f>HYPERLINK("https://www.773grp.com/manufacturer/onsemi?pageNo=578", "ON Semiconductor")</f>
        <v>ON Semiconductor</v>
      </c>
      <c r="C44684" s="6">
        <v>2391</v>
      </c>
      <c r="D44684" s="7">
        <v>12.48</v>
      </c>
      <c r="E44684" t="s">
        <v>14</v>
      </c>
    </row>
    <row r="44685" spans="1:5" x14ac:dyDescent="0.25">
      <c r="A44685" t="str">
        <f>HYPERLINK("https://www.773grp.com/globalSearch/74141PC/page-1", "74141PC")</f>
        <v>74141PC</v>
      </c>
      <c r="B44685" s="3" t="str">
        <f>HYPERLINK("https://www.773grp.com/manufacturer/onsemi?pageNo=579", "ON Semiconductor")</f>
        <v>ON Semiconductor</v>
      </c>
      <c r="C44685" s="6">
        <v>1503</v>
      </c>
      <c r="D44685" s="7">
        <v>12.48</v>
      </c>
    </row>
    <row r="44686" spans="1:5" x14ac:dyDescent="0.25">
      <c r="A44686" t="str">
        <f>HYPERLINK("https://www.773grp.com/globalSearch/74F353D/page-1", "74F353D")</f>
        <v>74F353D</v>
      </c>
      <c r="B44686" s="3" t="str">
        <f>HYPERLINK("https://www.773grp.com/manufacturer/onsemi?pageNo=580", "ON Semiconductor")</f>
        <v>ON Semiconductor</v>
      </c>
      <c r="C44686" s="6">
        <v>3013</v>
      </c>
      <c r="D44686" s="7">
        <v>13.11</v>
      </c>
      <c r="E44686" t="s">
        <v>20</v>
      </c>
    </row>
    <row r="44687" spans="1:5" x14ac:dyDescent="0.25">
      <c r="A44687" t="str">
        <f>HYPERLINK("https://www.773grp.com/globalSearch/IN80C188-12/page-1", "IN80C188-12")</f>
        <v>IN80C188-12</v>
      </c>
      <c r="B44687" s="3" t="str">
        <f>HYPERLINK("https://www.773grp.com/manufacturer/onsemi?pageNo=581", "ON Semiconductor")</f>
        <v>ON Semiconductor</v>
      </c>
      <c r="C44687" s="6">
        <v>910</v>
      </c>
      <c r="D44687" s="7">
        <v>13.35</v>
      </c>
    </row>
    <row r="44688" spans="1:5" x14ac:dyDescent="0.25">
      <c r="A44688" t="str">
        <f>HYPERLINK("https://www.773grp.com/globalSearch/DM8556N/page-1", "DM8556N")</f>
        <v>DM8556N</v>
      </c>
      <c r="B44688" s="3" t="str">
        <f>HYPERLINK("https://www.773grp.com/manufacturer/onsemi?pageNo=582", "ON Semiconductor")</f>
        <v>ON Semiconductor</v>
      </c>
      <c r="C44688" s="6">
        <v>156</v>
      </c>
      <c r="D44688" s="7">
        <v>13.88</v>
      </c>
      <c r="E44688" t="s">
        <v>26</v>
      </c>
    </row>
    <row r="44689" spans="1:5" x14ac:dyDescent="0.25">
      <c r="A44689" t="str">
        <f>HYPERLINK("https://www.773grp.com/globalSearch/8T26APC/page-1", "8T26APC")</f>
        <v>8T26APC</v>
      </c>
      <c r="B44689" s="3" t="str">
        <f>HYPERLINK("https://www.773grp.com/manufacturer/onsemi?pageNo=583", "ON Semiconductor")</f>
        <v>ON Semiconductor</v>
      </c>
      <c r="C44689" s="6">
        <v>562</v>
      </c>
      <c r="D44689" s="7">
        <v>13.98</v>
      </c>
    </row>
    <row r="44690" spans="1:5" x14ac:dyDescent="0.25">
      <c r="A44690" t="str">
        <f>HYPERLINK("https://www.773grp.com/globalSearch/N80C188-25-G/page-1", "N80C188-25-G")</f>
        <v>N80C188-25-G</v>
      </c>
      <c r="B44690" s="3" t="str">
        <f>HYPERLINK("https://www.773grp.com/manufacturer/onsemi?pageNo=584", "ON Semiconductor")</f>
        <v>ON Semiconductor</v>
      </c>
      <c r="C44690" s="6">
        <v>97</v>
      </c>
      <c r="D44690" s="7">
        <v>14.41</v>
      </c>
    </row>
    <row r="44691" spans="1:5" x14ac:dyDescent="0.25">
      <c r="A44691" t="str">
        <f>HYPERLINK("https://www.773grp.com/globalSearch/N80C186-20 UM/page-1", "N80C186-20 UM")</f>
        <v>N80C186-20 UM</v>
      </c>
      <c r="B44691" s="3" t="str">
        <f>HYPERLINK("https://www.773grp.com/manufacturer/onsemi?pageNo=585", "ON Semiconductor")</f>
        <v>ON Semiconductor</v>
      </c>
      <c r="C44691" s="6">
        <v>20</v>
      </c>
      <c r="D44691" s="7">
        <v>14.5</v>
      </c>
    </row>
    <row r="44692" spans="1:5" x14ac:dyDescent="0.25">
      <c r="A44692" t="str">
        <f>HYPERLINK("https://www.773grp.com/globalSearch/74S472AV/page-1", "74S472AV")</f>
        <v>74S472AV</v>
      </c>
      <c r="B44692" s="3" t="str">
        <f>HYPERLINK("https://www.773grp.com/manufacturer/onsemi?pageNo=586", "ON Semiconductor")</f>
        <v>ON Semiconductor</v>
      </c>
      <c r="C44692" s="6">
        <v>4823</v>
      </c>
      <c r="D44692" s="7">
        <v>14.5</v>
      </c>
    </row>
    <row r="44693" spans="1:5" x14ac:dyDescent="0.25">
      <c r="A44693" t="str">
        <f>HYPERLINK("https://www.773grp.com/globalSearch/29825AJC/page-1", "29825AJC")</f>
        <v>29825AJC</v>
      </c>
      <c r="B44693" s="3" t="str">
        <f>HYPERLINK("https://www.773grp.com/manufacturer/onsemi?pageNo=587", "ON Semiconductor")</f>
        <v>ON Semiconductor</v>
      </c>
      <c r="C44693" s="6">
        <v>2595</v>
      </c>
      <c r="D44693" s="7">
        <v>15</v>
      </c>
    </row>
    <row r="44694" spans="1:5" x14ac:dyDescent="0.25">
      <c r="A44694" t="str">
        <f>HYPERLINK("https://www.773grp.com/globalSearch/DM8136N/page-1", "DM8136N")</f>
        <v>DM8136N</v>
      </c>
      <c r="B44694" s="3" t="str">
        <f>HYPERLINK("https://www.773grp.com/manufacturer/onsemi?pageNo=588", "ON Semiconductor")</f>
        <v>ON Semiconductor</v>
      </c>
      <c r="C44694" s="6">
        <v>17</v>
      </c>
      <c r="D44694" s="7">
        <v>15.13</v>
      </c>
    </row>
    <row r="44695" spans="1:5" x14ac:dyDescent="0.25">
      <c r="A44695" t="str">
        <f>HYPERLINK("https://www.773grp.com/globalSearch/DS96174N/page-1", "DS96174N")</f>
        <v>DS96174N</v>
      </c>
      <c r="B44695" s="3" t="str">
        <f>HYPERLINK("https://www.773grp.com/manufacturer/onsemi?pageNo=589", "ON Semiconductor")</f>
        <v>ON Semiconductor</v>
      </c>
      <c r="C44695" s="6">
        <v>4965</v>
      </c>
      <c r="D44695" s="7">
        <v>15.13</v>
      </c>
      <c r="E44695" t="s">
        <v>21</v>
      </c>
    </row>
    <row r="44696" spans="1:5" x14ac:dyDescent="0.25">
      <c r="A44696" t="str">
        <f>HYPERLINK("https://www.773grp.com/globalSearch/26S02PC/page-1", "26S02PC")</f>
        <v>26S02PC</v>
      </c>
      <c r="B44696" s="3" t="str">
        <f>HYPERLINK("https://www.773grp.com/manufacturer/onsemi?pageNo=590", "ON Semiconductor")</f>
        <v>ON Semiconductor</v>
      </c>
      <c r="C44696" s="6">
        <v>2366</v>
      </c>
      <c r="D44696" s="7">
        <v>15.83</v>
      </c>
    </row>
    <row r="44697" spans="1:5" x14ac:dyDescent="0.25">
      <c r="A44697" t="str">
        <f>HYPERLINK("https://www.773grp.com/globalSearch/MM74C914M/page-1", "MM74C914M")</f>
        <v>MM74C914M</v>
      </c>
      <c r="B44697" s="3" t="str">
        <f>HYPERLINK("https://www.773grp.com/manufacturer/onsemi?pageNo=591", "ON Semiconductor")</f>
        <v>ON Semiconductor</v>
      </c>
      <c r="C44697" s="6">
        <v>15115</v>
      </c>
      <c r="D44697" s="7">
        <v>16.39</v>
      </c>
      <c r="E44697" t="s">
        <v>31</v>
      </c>
    </row>
    <row r="44698" spans="1:5" x14ac:dyDescent="0.25">
      <c r="A44698" t="str">
        <f>HYPERLINK("https://www.773grp.com/globalSearch/7423N/page-1", "7423N")</f>
        <v>7423N</v>
      </c>
      <c r="B44698" s="3" t="str">
        <f>HYPERLINK("https://www.773grp.com/manufacturer/onsemi?pageNo=592", "ON Semiconductor")</f>
        <v>ON Semiconductor</v>
      </c>
      <c r="C44698" s="6">
        <v>5015</v>
      </c>
      <c r="D44698" s="7">
        <v>16.39</v>
      </c>
      <c r="E44698" t="s">
        <v>31</v>
      </c>
    </row>
    <row r="44699" spans="1:5" x14ac:dyDescent="0.25">
      <c r="A44699" t="str">
        <f>HYPERLINK("https://www.773grp.com/globalSearch/7433N/page-1", "7433N")</f>
        <v>7433N</v>
      </c>
      <c r="B44699" s="3" t="str">
        <f>HYPERLINK("https://www.773grp.com/manufacturer/onsemi?pageNo=593", "ON Semiconductor")</f>
        <v>ON Semiconductor</v>
      </c>
      <c r="C44699" s="6">
        <v>920</v>
      </c>
      <c r="D44699" s="7">
        <v>16.39</v>
      </c>
      <c r="E44699" t="s">
        <v>31</v>
      </c>
    </row>
    <row r="44700" spans="1:5" x14ac:dyDescent="0.25">
      <c r="A44700" t="str">
        <f>HYPERLINK("https://www.773grp.com/globalSearch/74S288N/page-1", "74S288N")</f>
        <v>74S288N</v>
      </c>
      <c r="B44700" s="3" t="str">
        <f>HYPERLINK("https://www.773grp.com/manufacturer/onsemi?pageNo=594", "ON Semiconductor")</f>
        <v>ON Semiconductor</v>
      </c>
      <c r="C44700" s="6">
        <v>649</v>
      </c>
      <c r="D44700" s="7">
        <v>16.5</v>
      </c>
    </row>
    <row r="44701" spans="1:5" x14ac:dyDescent="0.25">
      <c r="A44701" t="str">
        <f>HYPERLINK("https://www.773grp.com/globalSearch/74ACTQ16543MTD-G/page-1", "74ACTQ16543MTD-G")</f>
        <v>74ACTQ16543MTD-G</v>
      </c>
      <c r="B44701" s="3" t="str">
        <f>HYPERLINK("https://www.773grp.com/manufacturer/onsemi?pageNo=595", "ON Semiconductor")</f>
        <v>ON Semiconductor</v>
      </c>
      <c r="C44701" s="6">
        <v>744</v>
      </c>
      <c r="D44701" s="7">
        <v>16.78</v>
      </c>
    </row>
    <row r="44702" spans="1:5" x14ac:dyDescent="0.25">
      <c r="A44702" t="str">
        <f>HYPERLINK("https://www.773grp.com/globalSearch/CD40106BCN-G/page-1", "CD40106BCN-G")</f>
        <v>CD40106BCN-G</v>
      </c>
      <c r="B44702" s="3" t="str">
        <f>HYPERLINK("https://www.773grp.com/manufacturer/onsemi?pageNo=596", "ON Semiconductor")</f>
        <v>ON Semiconductor</v>
      </c>
      <c r="C44702" s="6">
        <v>9854</v>
      </c>
      <c r="D44702" s="7">
        <v>16.96</v>
      </c>
    </row>
    <row r="44703" spans="1:5" x14ac:dyDescent="0.25">
      <c r="A44703" t="str">
        <f>HYPERLINK("https://www.773grp.com/globalSearch/93L16DM/page-1", "93L16DM")</f>
        <v>93L16DM</v>
      </c>
      <c r="B44703" s="3" t="str">
        <f>HYPERLINK("https://www.773grp.com/manufacturer/onsemi?pageNo=597", "ON Semiconductor")</f>
        <v>ON Semiconductor</v>
      </c>
      <c r="C44703" s="6">
        <v>394</v>
      </c>
      <c r="D44703" s="7">
        <v>17.03</v>
      </c>
    </row>
    <row r="44704" spans="1:5" x14ac:dyDescent="0.25">
      <c r="A44704" t="str">
        <f>HYPERLINK("https://www.773grp.com/globalSearch/74S288AV/page-1", "74S288AV")</f>
        <v>74S288AV</v>
      </c>
      <c r="B44704" s="3" t="str">
        <f>HYPERLINK("https://www.773grp.com/manufacturer/onsemi?pageNo=598", "ON Semiconductor")</f>
        <v>ON Semiconductor</v>
      </c>
      <c r="C44704" s="6">
        <v>14255</v>
      </c>
      <c r="D44704" s="7">
        <v>17.03</v>
      </c>
    </row>
    <row r="44705" spans="1:5" x14ac:dyDescent="0.25">
      <c r="A44705" t="str">
        <f>HYPERLINK("https://www.773grp.com/globalSearch/74S288AN/page-1", "74S288AN")</f>
        <v>74S288AN</v>
      </c>
      <c r="B44705" s="3" t="str">
        <f>HYPERLINK("https://www.773grp.com/manufacturer/onsemi?pageNo=599", "ON Semiconductor")</f>
        <v>ON Semiconductor</v>
      </c>
      <c r="C44705" s="6">
        <v>3186</v>
      </c>
      <c r="D44705" s="7">
        <v>17.260000000000002</v>
      </c>
    </row>
    <row r="44706" spans="1:5" x14ac:dyDescent="0.25">
      <c r="A44706" t="str">
        <f>HYPERLINK("https://www.773grp.com/globalSearch/74ALS647-1NT/page-1", "74ALS647-1NT")</f>
        <v>74ALS647-1NT</v>
      </c>
      <c r="B44706" s="3" t="str">
        <f>HYPERLINK("https://www.773grp.com/manufacturer/onsemi?pageNo=600", "ON Semiconductor")</f>
        <v>ON Semiconductor</v>
      </c>
      <c r="C44706" s="6">
        <v>727</v>
      </c>
      <c r="D44706" s="7">
        <v>17.510000000000002</v>
      </c>
    </row>
    <row r="44707" spans="1:5" x14ac:dyDescent="0.25">
      <c r="A44707" t="str">
        <f>HYPERLINK("https://www.773grp.com/globalSearch/74AS842DWR/page-1", "74AS842DWR")</f>
        <v>74AS842DWR</v>
      </c>
      <c r="B44707" s="3" t="str">
        <f>HYPERLINK("https://www.773grp.com/manufacturer/onsemi?pageNo=601", "ON Semiconductor")</f>
        <v>ON Semiconductor</v>
      </c>
      <c r="C44707" s="6">
        <v>1694</v>
      </c>
      <c r="D44707" s="7">
        <v>17.510000000000002</v>
      </c>
    </row>
    <row r="44708" spans="1:5" x14ac:dyDescent="0.25">
      <c r="A44708" t="str">
        <f>HYPERLINK("https://www.773grp.com/globalSearch/TL060ID/page-1", "TL060ID")</f>
        <v>TL060ID</v>
      </c>
      <c r="B44708" s="3" t="str">
        <f>HYPERLINK("https://www.773grp.com/manufacturer/onsemi?pageNo=602", "ON Semiconductor")</f>
        <v>ON Semiconductor</v>
      </c>
      <c r="C44708" s="6">
        <v>2739</v>
      </c>
      <c r="D44708" s="7">
        <v>17.510000000000002</v>
      </c>
      <c r="E44708" t="s">
        <v>13</v>
      </c>
    </row>
    <row r="44709" spans="1:5" x14ac:dyDescent="0.25">
      <c r="A44709" t="str">
        <f>HYPERLINK("https://www.773grp.com/globalSearch/25LS2538PC/page-1", "25LS2538PC")</f>
        <v>25LS2538PC</v>
      </c>
      <c r="B44709" s="3" t="str">
        <f>HYPERLINK("https://www.773grp.com/manufacturer/onsemi?pageNo=603", "ON Semiconductor")</f>
        <v>ON Semiconductor</v>
      </c>
      <c r="C44709" s="6">
        <v>5314</v>
      </c>
      <c r="D44709" s="7">
        <v>17.600000000000001</v>
      </c>
    </row>
    <row r="44710" spans="1:5" x14ac:dyDescent="0.25">
      <c r="A44710" t="str">
        <f>HYPERLINK("https://www.773grp.com/globalSearch/DM74LS533N/page-1", "DM74LS533N")</f>
        <v>DM74LS533N</v>
      </c>
      <c r="B44710" s="3" t="str">
        <f>HYPERLINK("https://www.773grp.com/manufacturer/onsemi?pageNo=604", "ON Semiconductor")</f>
        <v>ON Semiconductor</v>
      </c>
      <c r="C44710" s="6">
        <v>4798</v>
      </c>
      <c r="D44710" s="7">
        <v>17.649999999999999</v>
      </c>
      <c r="E44710" t="s">
        <v>14</v>
      </c>
    </row>
    <row r="44711" spans="1:5" x14ac:dyDescent="0.25">
      <c r="A44711" t="str">
        <f>HYPERLINK("https://www.773grp.com/globalSearch/25S10PC/page-1", "25S10PC")</f>
        <v>25S10PC</v>
      </c>
      <c r="B44711" s="3" t="str">
        <f>HYPERLINK("https://www.773grp.com/manufacturer/onsemi?pageNo=605", "ON Semiconductor")</f>
        <v>ON Semiconductor</v>
      </c>
      <c r="C44711" s="6">
        <v>5755</v>
      </c>
      <c r="D44711" s="7">
        <v>17.84</v>
      </c>
    </row>
    <row r="44712" spans="1:5" x14ac:dyDescent="0.25">
      <c r="A44712" t="str">
        <f>HYPERLINK("https://www.773grp.com/globalSearch/74AS870NT/page-1", "74AS870NT")</f>
        <v>74AS870NT</v>
      </c>
      <c r="B44712" s="3" t="str">
        <f>HYPERLINK("https://www.773grp.com/manufacturer/onsemi?pageNo=606", "ON Semiconductor")</f>
        <v>ON Semiconductor</v>
      </c>
      <c r="C44712" s="6">
        <v>213</v>
      </c>
      <c r="D44712" s="7">
        <v>18.29</v>
      </c>
    </row>
    <row r="44713" spans="1:5" x14ac:dyDescent="0.25">
      <c r="A44713" t="str">
        <f>HYPERLINK("https://www.773grp.com/globalSearch/ML4875CS-3/page-1", "ML4875CS-3")</f>
        <v>ML4875CS-3</v>
      </c>
      <c r="B44713" s="3" t="str">
        <f>HYPERLINK("https://www.773grp.com/manufacturer/onsemi?pageNo=607", "ON Semiconductor")</f>
        <v>ON Semiconductor</v>
      </c>
      <c r="C44713" s="6">
        <v>1284</v>
      </c>
      <c r="D44713" s="7">
        <v>18.899999999999999</v>
      </c>
      <c r="E44713" t="s">
        <v>7</v>
      </c>
    </row>
    <row r="44714" spans="1:5" x14ac:dyDescent="0.25">
      <c r="A44714" t="str">
        <f>HYPERLINK("https://www.773grp.com/globalSearch/ML4875CS-T/page-1", "ML4875CS-T")</f>
        <v>ML4875CS-T</v>
      </c>
      <c r="B44714" s="3" t="str">
        <f>HYPERLINK("https://www.773grp.com/manufacturer/onsemi?pageNo=608", "ON Semiconductor")</f>
        <v>ON Semiconductor</v>
      </c>
      <c r="C44714" s="6">
        <v>153</v>
      </c>
      <c r="D44714" s="7">
        <v>18.899999999999999</v>
      </c>
      <c r="E44714" t="s">
        <v>7</v>
      </c>
    </row>
    <row r="44715" spans="1:5" x14ac:dyDescent="0.25">
      <c r="A44715" t="str">
        <f>HYPERLINK("https://www.773grp.com/globalSearch/CA3078E/page-1", "CA3078E")</f>
        <v>CA3078E</v>
      </c>
      <c r="B44715" s="3" t="str">
        <f>HYPERLINK("https://www.773grp.com/manufacturer/onsemi?pageNo=609", "ON Semiconductor")</f>
        <v>ON Semiconductor</v>
      </c>
      <c r="C44715" s="6">
        <v>9933</v>
      </c>
      <c r="D44715" s="7">
        <v>18.899999999999999</v>
      </c>
      <c r="E44715" t="s">
        <v>13</v>
      </c>
    </row>
    <row r="44716" spans="1:5" x14ac:dyDescent="0.25">
      <c r="A44716" t="str">
        <f>HYPERLINK("https://www.773grp.com/globalSearch/74LS12N/page-1", "74LS12N")</f>
        <v>74LS12N</v>
      </c>
      <c r="B44716" s="3" t="str">
        <f>HYPERLINK("https://www.773grp.com/manufacturer/onsemi?pageNo=610", "ON Semiconductor")</f>
        <v>ON Semiconductor</v>
      </c>
      <c r="C44716" s="6">
        <v>13073</v>
      </c>
      <c r="D44716" s="7">
        <v>19.29</v>
      </c>
      <c r="E44716" t="s">
        <v>31</v>
      </c>
    </row>
    <row r="44717" spans="1:5" x14ac:dyDescent="0.25">
      <c r="A44717" t="str">
        <f>HYPERLINK("https://www.773grp.com/globalSearch/74AS242N/page-1", "74AS242N")</f>
        <v>74AS242N</v>
      </c>
      <c r="B44717" s="3" t="str">
        <f>HYPERLINK("https://www.773grp.com/manufacturer/onsemi?pageNo=611", "ON Semiconductor")</f>
        <v>ON Semiconductor</v>
      </c>
      <c r="C44717" s="6">
        <v>1647</v>
      </c>
      <c r="D44717" s="7">
        <v>19.510000000000002</v>
      </c>
    </row>
    <row r="44718" spans="1:5" x14ac:dyDescent="0.25">
      <c r="A44718" t="str">
        <f>HYPERLINK("https://www.773grp.com/globalSearch/CA3078AE/page-1", "CA3078AE")</f>
        <v>CA3078AE</v>
      </c>
      <c r="B44718" s="3" t="str">
        <f>HYPERLINK("https://www.773grp.com/manufacturer/onsemi?pageNo=612", "ON Semiconductor")</f>
        <v>ON Semiconductor</v>
      </c>
      <c r="C44718" s="6">
        <v>7927</v>
      </c>
      <c r="D44718" s="7">
        <v>19.54</v>
      </c>
      <c r="E44718" t="s">
        <v>13</v>
      </c>
    </row>
    <row r="44719" spans="1:5" x14ac:dyDescent="0.25">
      <c r="A44719" t="str">
        <f>HYPERLINK("https://www.773grp.com/globalSearch/LMX2325TMX/page-1", "LMX2325TMX")</f>
        <v>LMX2325TMX</v>
      </c>
      <c r="B44719" s="3" t="str">
        <f>HYPERLINK("https://www.773grp.com/manufacturer/onsemi?pageNo=613", "ON Semiconductor")</f>
        <v>ON Semiconductor</v>
      </c>
      <c r="C44719" s="6">
        <v>905</v>
      </c>
      <c r="D44719" s="7">
        <v>20</v>
      </c>
      <c r="E44719" t="s">
        <v>38</v>
      </c>
    </row>
    <row r="44720" spans="1:5" x14ac:dyDescent="0.25">
      <c r="A44720" t="str">
        <f>HYPERLINK("https://www.773grp.com/globalSearch/27LS00PC  UT/page-1", "27LS00PC  UT")</f>
        <v>27LS00PC  UT</v>
      </c>
      <c r="B44720" s="3" t="str">
        <f>HYPERLINK("https://www.773grp.com/manufacturer/onsemi?pageNo=614", "ON Semiconductor")</f>
        <v>ON Semiconductor</v>
      </c>
      <c r="C44720" s="6">
        <v>51</v>
      </c>
      <c r="D44720" s="7">
        <v>20.03</v>
      </c>
    </row>
    <row r="44721" spans="1:5" x14ac:dyDescent="0.25">
      <c r="A44721" t="str">
        <f>HYPERLINK("https://www.773grp.com/globalSearch/27LS00PC/page-1", "27LS00PC")</f>
        <v>27LS00PC</v>
      </c>
      <c r="B44721" s="3" t="str">
        <f>HYPERLINK("https://www.773grp.com/manufacturer/onsemi?pageNo=615", "ON Semiconductor")</f>
        <v>ON Semiconductor</v>
      </c>
      <c r="C44721" s="6">
        <v>93</v>
      </c>
      <c r="D44721" s="7">
        <v>20.03</v>
      </c>
    </row>
    <row r="44722" spans="1:5" x14ac:dyDescent="0.25">
      <c r="A44722" t="str">
        <f>HYPERLINK("https://www.773grp.com/globalSearch/27S21PC/page-1", "27S21PC")</f>
        <v>27S21PC</v>
      </c>
      <c r="B44722" s="3" t="str">
        <f>HYPERLINK("https://www.773grp.com/manufacturer/onsemi?pageNo=616", "ON Semiconductor")</f>
        <v>ON Semiconductor</v>
      </c>
      <c r="C44722" s="6">
        <v>3338</v>
      </c>
      <c r="D44722" s="7">
        <v>20.03</v>
      </c>
    </row>
    <row r="44723" spans="1:5" x14ac:dyDescent="0.25">
      <c r="A44723" t="str">
        <f>HYPERLINK("https://www.773grp.com/globalSearch/DM8160N/page-1", "DM8160N")</f>
        <v>DM8160N</v>
      </c>
      <c r="B44723" s="3" t="str">
        <f>HYPERLINK("https://www.773grp.com/manufacturer/onsemi?pageNo=617", "ON Semiconductor")</f>
        <v>ON Semiconductor</v>
      </c>
      <c r="C44723" s="6">
        <v>1354</v>
      </c>
      <c r="D44723" s="7">
        <v>20.03</v>
      </c>
      <c r="E44723" t="s">
        <v>43</v>
      </c>
    </row>
    <row r="44724" spans="1:5" x14ac:dyDescent="0.25">
      <c r="A44724" t="str">
        <f>HYPERLINK("https://www.773grp.com/globalSearch/2908PC/page-1", "2908PC")</f>
        <v>2908PC</v>
      </c>
      <c r="B44724" s="3" t="str">
        <f>HYPERLINK("https://www.773grp.com/manufacturer/onsemi?pageNo=618", "ON Semiconductor")</f>
        <v>ON Semiconductor</v>
      </c>
      <c r="C44724" s="6">
        <v>5584</v>
      </c>
      <c r="D44724" s="7">
        <v>20.11</v>
      </c>
    </row>
    <row r="44725" spans="1:5" x14ac:dyDescent="0.25">
      <c r="A44725" t="str">
        <f>HYPERLINK("https://www.773grp.com/globalSearch/26LS31JC/page-1", "26LS31JC")</f>
        <v>26LS31JC</v>
      </c>
      <c r="B44725" s="3" t="str">
        <f>HYPERLINK("https://www.773grp.com/manufacturer/onsemi?pageNo=619", "ON Semiconductor")</f>
        <v>ON Semiconductor</v>
      </c>
      <c r="C44725" s="6">
        <v>6377</v>
      </c>
      <c r="D44725" s="7">
        <v>20.16</v>
      </c>
    </row>
    <row r="44726" spans="1:5" x14ac:dyDescent="0.25">
      <c r="A44726" t="str">
        <f>HYPERLINK("https://www.773grp.com/globalSearch/26LS31PC/page-1", "26LS31PC")</f>
        <v>26LS31PC</v>
      </c>
      <c r="B44726" s="3" t="str">
        <f>HYPERLINK("https://www.773grp.com/manufacturer/onsemi?pageNo=620", "ON Semiconductor")</f>
        <v>ON Semiconductor</v>
      </c>
      <c r="C44726" s="6">
        <v>4957</v>
      </c>
      <c r="D44726" s="7">
        <v>20.16</v>
      </c>
    </row>
    <row r="44727" spans="1:5" x14ac:dyDescent="0.25">
      <c r="A44727" t="str">
        <f>HYPERLINK("https://www.773grp.com/globalSearch/26LS33PC/page-1", "26LS33PC")</f>
        <v>26LS33PC</v>
      </c>
      <c r="B44727" s="3" t="str">
        <f>HYPERLINK("https://www.773grp.com/manufacturer/onsemi?pageNo=621", "ON Semiconductor")</f>
        <v>ON Semiconductor</v>
      </c>
      <c r="C44727" s="6">
        <v>3123</v>
      </c>
      <c r="D44727" s="7">
        <v>20.16</v>
      </c>
    </row>
    <row r="44728" spans="1:5" x14ac:dyDescent="0.25">
      <c r="A44728" t="str">
        <f>HYPERLINK("https://www.773grp.com/globalSearch/27S25AJC/page-1", "27S25AJC")</f>
        <v>27S25AJC</v>
      </c>
      <c r="B44728" s="3" t="str">
        <f>HYPERLINK("https://www.773grp.com/manufacturer/onsemi?pageNo=622", "ON Semiconductor")</f>
        <v>ON Semiconductor</v>
      </c>
      <c r="C44728" s="6">
        <v>5307</v>
      </c>
      <c r="D44728" s="7">
        <v>20.16</v>
      </c>
    </row>
    <row r="44729" spans="1:5" x14ac:dyDescent="0.25">
      <c r="A44729" t="str">
        <f>HYPERLINK("https://www.773grp.com/globalSearch/DM9368N/page-1", "DM9368N")</f>
        <v>DM9368N</v>
      </c>
      <c r="B44729" s="3" t="str">
        <f>HYPERLINK("https://www.773grp.com/manufacturer/onsemi?pageNo=623", "ON Semiconductor")</f>
        <v>ON Semiconductor</v>
      </c>
      <c r="C44729" s="6">
        <v>821</v>
      </c>
      <c r="D44729" s="7">
        <v>20.16</v>
      </c>
      <c r="E44729" t="s">
        <v>36</v>
      </c>
    </row>
    <row r="44730" spans="1:5" x14ac:dyDescent="0.25">
      <c r="A44730" t="str">
        <f>HYPERLINK("https://www.773grp.com/globalSearch/CA3078AM/page-1", "CA3078AM")</f>
        <v>CA3078AM</v>
      </c>
      <c r="B44730" s="3" t="str">
        <f>HYPERLINK("https://www.773grp.com/manufacturer/onsemi?pageNo=624", "ON Semiconductor")</f>
        <v>ON Semiconductor</v>
      </c>
      <c r="C44730" s="6">
        <v>1785</v>
      </c>
      <c r="D44730" s="7">
        <v>20.16</v>
      </c>
      <c r="E44730" t="s">
        <v>13</v>
      </c>
    </row>
    <row r="44731" spans="1:5" x14ac:dyDescent="0.25">
      <c r="A44731" t="str">
        <f>HYPERLINK("https://www.773grp.com/globalSearch/P8243/page-1", "P8243")</f>
        <v>P8243</v>
      </c>
      <c r="B44731" s="3" t="str">
        <f>HYPERLINK("https://www.773grp.com/manufacturer/onsemi?pageNo=625", "ON Semiconductor")</f>
        <v>ON Semiconductor</v>
      </c>
      <c r="C44731" s="6">
        <v>14080</v>
      </c>
      <c r="D44731" s="7">
        <v>20.16</v>
      </c>
      <c r="E44731" t="s">
        <v>90</v>
      </c>
    </row>
    <row r="44732" spans="1:5" x14ac:dyDescent="0.25">
      <c r="A44732" t="str">
        <f>HYPERLINK("https://www.773grp.com/globalSearch/P8259A-2/page-1", "P8259A-2")</f>
        <v>P8259A-2</v>
      </c>
      <c r="B44732" s="3" t="str">
        <f>HYPERLINK("https://www.773grp.com/manufacturer/onsemi?pageNo=626", "ON Semiconductor")</f>
        <v>ON Semiconductor</v>
      </c>
      <c r="C44732" s="6">
        <v>20352</v>
      </c>
      <c r="D44732" s="7">
        <v>20.16</v>
      </c>
      <c r="E44732" t="s">
        <v>123</v>
      </c>
    </row>
    <row r="44733" spans="1:5" x14ac:dyDescent="0.25">
      <c r="A44733" t="str">
        <f>HYPERLINK("https://www.773grp.com/globalSearch/25LS2519PC/page-1", "25LS2519PC")</f>
        <v>25LS2519PC</v>
      </c>
      <c r="B44733" s="3" t="str">
        <f>HYPERLINK("https://www.773grp.com/manufacturer/onsemi?pageNo=627", "ON Semiconductor")</f>
        <v>ON Semiconductor</v>
      </c>
      <c r="C44733" s="6">
        <v>4876</v>
      </c>
      <c r="D44733" s="7">
        <v>20.81</v>
      </c>
    </row>
    <row r="44734" spans="1:5" x14ac:dyDescent="0.25">
      <c r="A44734" t="str">
        <f>HYPERLINK("https://www.773grp.com/globalSearch/74S65N/page-1", "74S65N")</f>
        <v>74S65N</v>
      </c>
      <c r="B44734" s="3" t="str">
        <f>HYPERLINK("https://www.773grp.com/manufacturer/onsemi?pageNo=628", "ON Semiconductor")</f>
        <v>ON Semiconductor</v>
      </c>
      <c r="C44734" s="6">
        <v>689</v>
      </c>
      <c r="D44734" s="7">
        <v>20.81</v>
      </c>
    </row>
    <row r="44735" spans="1:5" x14ac:dyDescent="0.25">
      <c r="A44735" t="str">
        <f>HYPERLINK("https://www.773grp.com/globalSearch/CA3081M-G/page-1", "CA3081M-G")</f>
        <v>CA3081M-G</v>
      </c>
      <c r="B44735" s="3" t="str">
        <f>HYPERLINK("https://www.773grp.com/manufacturer/onsemi?pageNo=629", "ON Semiconductor")</f>
        <v>ON Semiconductor</v>
      </c>
      <c r="C44735" s="6">
        <v>893</v>
      </c>
      <c r="D44735" s="7">
        <v>21.16</v>
      </c>
    </row>
    <row r="44736" spans="1:5" x14ac:dyDescent="0.25">
      <c r="A44736" t="str">
        <f>HYPERLINK("https://www.773grp.com/globalSearch/74F779PC/page-1", "74F779PC")</f>
        <v>74F779PC</v>
      </c>
      <c r="B44736" s="3" t="str">
        <f>HYPERLINK("https://www.773grp.com/manufacturer/onsemi?pageNo=630", "ON Semiconductor")</f>
        <v>ON Semiconductor</v>
      </c>
      <c r="C44736" s="6">
        <v>1706</v>
      </c>
      <c r="D44736" s="7">
        <v>21.21</v>
      </c>
    </row>
    <row r="44737" spans="1:5" x14ac:dyDescent="0.25">
      <c r="A44737" t="str">
        <f>HYPERLINK("https://www.773grp.com/globalSearch/26S12APC/page-1", "26S12APC")</f>
        <v>26S12APC</v>
      </c>
      <c r="B44737" s="3" t="str">
        <f>HYPERLINK("https://www.773grp.com/manufacturer/onsemi?pageNo=631", "ON Semiconductor")</f>
        <v>ON Semiconductor</v>
      </c>
      <c r="C44737" s="6">
        <v>9931</v>
      </c>
      <c r="D44737" s="7">
        <v>21.35</v>
      </c>
    </row>
    <row r="44738" spans="1:5" x14ac:dyDescent="0.25">
      <c r="A44738" t="str">
        <f>HYPERLINK("https://www.773grp.com/globalSearch/74H101PC/page-1", "74H101PC")</f>
        <v>74H101PC</v>
      </c>
      <c r="B44738" s="3" t="str">
        <f>HYPERLINK("https://www.773grp.com/manufacturer/onsemi?pageNo=632", "ON Semiconductor")</f>
        <v>ON Semiconductor</v>
      </c>
      <c r="C44738" s="6">
        <v>1684</v>
      </c>
      <c r="D44738" s="7">
        <v>21.44</v>
      </c>
    </row>
    <row r="44739" spans="1:5" x14ac:dyDescent="0.25">
      <c r="A44739" t="str">
        <f>HYPERLINK("https://www.773grp.com/globalSearch/27S21APC/page-1", "27S21APC")</f>
        <v>27S21APC</v>
      </c>
      <c r="B44739" s="3" t="str">
        <f>HYPERLINK("https://www.773grp.com/manufacturer/onsemi?pageNo=633", "ON Semiconductor")</f>
        <v>ON Semiconductor</v>
      </c>
      <c r="C44739" s="6">
        <v>6246</v>
      </c>
      <c r="D44739" s="7">
        <v>21.44</v>
      </c>
    </row>
    <row r="44740" spans="1:5" x14ac:dyDescent="0.25">
      <c r="A44740" t="str">
        <f>HYPERLINK("https://www.773grp.com/globalSearch/PAL16L8-7PC/page-1", "PAL16L8-7PC")</f>
        <v>PAL16L8-7PC</v>
      </c>
      <c r="B44740" s="3" t="str">
        <f>HYPERLINK("https://www.773grp.com/manufacturer/onsemi?pageNo=634", "ON Semiconductor")</f>
        <v>ON Semiconductor</v>
      </c>
      <c r="C44740" s="6">
        <v>2050</v>
      </c>
      <c r="D44740" s="7">
        <v>21.55</v>
      </c>
      <c r="E44740" t="s">
        <v>51</v>
      </c>
    </row>
    <row r="44741" spans="1:5" x14ac:dyDescent="0.25">
      <c r="A44741" t="str">
        <f>HYPERLINK("https://www.773grp.com/globalSearch/DM74LS154N/page-1", "DM74LS154N")</f>
        <v>DM74LS154N</v>
      </c>
      <c r="B44741" s="3" t="str">
        <f>HYPERLINK("https://www.773grp.com/manufacturer/onsemi?pageNo=635", "ON Semiconductor")</f>
        <v>ON Semiconductor</v>
      </c>
      <c r="C44741" s="6">
        <v>8304</v>
      </c>
      <c r="D44741" s="7">
        <v>22.08</v>
      </c>
      <c r="E44741" t="s">
        <v>36</v>
      </c>
    </row>
    <row r="44742" spans="1:5" x14ac:dyDescent="0.25">
      <c r="A44742" t="str">
        <f>HYPERLINK("https://www.773grp.com/globalSearch/CA3079/page-1", "CA3079")</f>
        <v>CA3079</v>
      </c>
      <c r="B44742" s="3" t="str">
        <f>HYPERLINK("https://www.773grp.com/manufacturer/onsemi?pageNo=636", "ON Semiconductor")</f>
        <v>ON Semiconductor</v>
      </c>
      <c r="C44742" s="6">
        <v>8266</v>
      </c>
      <c r="D44742" s="7">
        <v>22.08</v>
      </c>
      <c r="E44742" t="s">
        <v>40</v>
      </c>
    </row>
    <row r="44743" spans="1:5" x14ac:dyDescent="0.25">
      <c r="A44743" t="str">
        <f>HYPERLINK("https://www.773grp.com/globalSearch/DM7411N/page-1", "DM7411N")</f>
        <v>DM7411N</v>
      </c>
      <c r="B44743" s="3" t="str">
        <f>HYPERLINK("https://www.773grp.com/manufacturer/onsemi?pageNo=637", "ON Semiconductor")</f>
        <v>ON Semiconductor</v>
      </c>
      <c r="C44743" s="6">
        <v>1353</v>
      </c>
      <c r="D44743" s="7">
        <v>22.08</v>
      </c>
      <c r="E44743" t="s">
        <v>31</v>
      </c>
    </row>
    <row r="44744" spans="1:5" x14ac:dyDescent="0.25">
      <c r="A44744" t="str">
        <f>HYPERLINK("https://www.773grp.com/globalSearch/DM74LS197N/page-1", "DM74LS197N")</f>
        <v>DM74LS197N</v>
      </c>
      <c r="B44744" s="3" t="str">
        <f>HYPERLINK("https://www.773grp.com/manufacturer/onsemi?pageNo=638", "ON Semiconductor")</f>
        <v>ON Semiconductor</v>
      </c>
      <c r="C44744" s="6">
        <v>694</v>
      </c>
      <c r="D44744" s="7">
        <v>22.08</v>
      </c>
    </row>
    <row r="44745" spans="1:5" x14ac:dyDescent="0.25">
      <c r="A44745" t="str">
        <f>HYPERLINK("https://www.773grp.com/globalSearch/26LS32JC/page-1", "26LS32JC")</f>
        <v>26LS32JC</v>
      </c>
      <c r="B44745" s="3" t="str">
        <f>HYPERLINK("https://www.773grp.com/manufacturer/onsemi?pageNo=639", "ON Semiconductor")</f>
        <v>ON Semiconductor</v>
      </c>
      <c r="C44745" s="6">
        <v>5239</v>
      </c>
      <c r="D44745" s="7">
        <v>22.56</v>
      </c>
    </row>
    <row r="44746" spans="1:5" x14ac:dyDescent="0.25">
      <c r="A44746" t="str">
        <f>HYPERLINK("https://www.773grp.com/globalSearch/26LS32PC/page-1", "26LS32PC")</f>
        <v>26LS32PC</v>
      </c>
      <c r="B44746" s="3" t="str">
        <f>HYPERLINK("https://www.773grp.com/manufacturer/onsemi?pageNo=640", "ON Semiconductor")</f>
        <v>ON Semiconductor</v>
      </c>
      <c r="C44746" s="6">
        <v>9934</v>
      </c>
      <c r="D44746" s="7">
        <v>22.56</v>
      </c>
    </row>
    <row r="44747" spans="1:5" x14ac:dyDescent="0.25">
      <c r="A44747" t="str">
        <f>HYPERLINK("https://www.773grp.com/globalSearch/CA3085AE/page-1", "CA3085AE")</f>
        <v>CA3085AE</v>
      </c>
      <c r="B44747" s="3" t="str">
        <f>HYPERLINK("https://www.773grp.com/manufacturer/onsemi?pageNo=641", "ON Semiconductor")</f>
        <v>ON Semiconductor</v>
      </c>
      <c r="C44747" s="6">
        <v>4894</v>
      </c>
      <c r="D44747" s="7">
        <v>22.56</v>
      </c>
      <c r="E44747" t="s">
        <v>22</v>
      </c>
    </row>
    <row r="44748" spans="1:5" x14ac:dyDescent="0.25">
      <c r="A44748" t="str">
        <f>HYPERLINK("https://www.773grp.com/globalSearch/74FR16245QC/page-1", "74FR16245QC")</f>
        <v>74FR16245QC</v>
      </c>
      <c r="B44748" s="3" t="str">
        <f>HYPERLINK("https://www.773grp.com/manufacturer/onsemi?pageNo=642", "ON Semiconductor")</f>
        <v>ON Semiconductor</v>
      </c>
      <c r="C44748" s="6">
        <v>1491</v>
      </c>
      <c r="D44748" s="7">
        <v>22.58</v>
      </c>
      <c r="E44748" t="s">
        <v>14</v>
      </c>
    </row>
    <row r="44749" spans="1:5" x14ac:dyDescent="0.25">
      <c r="A44749" t="str">
        <f>HYPERLINK("https://www.773grp.com/globalSearch/2946PC/page-1", "2946PC")</f>
        <v>2946PC</v>
      </c>
      <c r="B44749" s="3" t="str">
        <f>HYPERLINK("https://www.773grp.com/manufacturer/onsemi?pageNo=643", "ON Semiconductor")</f>
        <v>ON Semiconductor</v>
      </c>
      <c r="C44749" s="6">
        <v>5419</v>
      </c>
      <c r="D44749" s="7">
        <v>22.68</v>
      </c>
    </row>
    <row r="44750" spans="1:5" x14ac:dyDescent="0.25">
      <c r="A44750" t="str">
        <f>HYPERLINK("https://www.773grp.com/globalSearch/P8279/page-1", "P8279")</f>
        <v>P8279</v>
      </c>
      <c r="B44750" s="3" t="str">
        <f>HYPERLINK("https://www.773grp.com/manufacturer/onsemi?pageNo=644", "ON Semiconductor")</f>
        <v>ON Semiconductor</v>
      </c>
      <c r="C44750" s="6">
        <v>7393</v>
      </c>
      <c r="D44750" s="7">
        <v>22.68</v>
      </c>
      <c r="E44750" t="s">
        <v>42</v>
      </c>
    </row>
    <row r="44751" spans="1:5" x14ac:dyDescent="0.25">
      <c r="A44751" t="str">
        <f>HYPERLINK("https://www.773grp.com/globalSearch/74HC677NT/page-1", "74HC677NT")</f>
        <v>74HC677NT</v>
      </c>
      <c r="B44751" s="3" t="str">
        <f>HYPERLINK("https://www.773grp.com/manufacturer/onsemi?pageNo=645", "ON Semiconductor")</f>
        <v>ON Semiconductor</v>
      </c>
      <c r="C44751" s="6">
        <v>853</v>
      </c>
      <c r="D44751" s="7">
        <v>23.06</v>
      </c>
    </row>
    <row r="44752" spans="1:5" x14ac:dyDescent="0.25">
      <c r="A44752" t="str">
        <f>HYPERLINK("https://www.773grp.com/globalSearch/SN74HC298N/page-1", "SN74HC298N")</f>
        <v>SN74HC298N</v>
      </c>
      <c r="B44752" s="3" t="str">
        <f>HYPERLINK("https://www.773grp.com/manufacturer/onsemi?pageNo=646", "ON Semiconductor")</f>
        <v>ON Semiconductor</v>
      </c>
      <c r="C44752" s="6">
        <v>786</v>
      </c>
      <c r="D44752" s="7">
        <v>23.06</v>
      </c>
    </row>
    <row r="44753" spans="1:5" x14ac:dyDescent="0.25">
      <c r="A44753" t="str">
        <f>HYPERLINK("https://www.773grp.com/globalSearch/CA3310M/page-1", "CA3310M")</f>
        <v>CA3310M</v>
      </c>
      <c r="B44753" s="3" t="str">
        <f>HYPERLINK("https://www.773grp.com/manufacturer/onsemi?pageNo=647", "ON Semiconductor")</f>
        <v>ON Semiconductor</v>
      </c>
      <c r="C44753" s="6">
        <v>2513</v>
      </c>
      <c r="D44753" s="7">
        <v>23.33</v>
      </c>
      <c r="E44753" t="s">
        <v>39</v>
      </c>
    </row>
    <row r="44754" spans="1:5" x14ac:dyDescent="0.25">
      <c r="A44754" t="str">
        <f>HYPERLINK("https://www.773grp.com/globalSearch/74ALS29809DW/page-1", "74ALS29809DW")</f>
        <v>74ALS29809DW</v>
      </c>
      <c r="B44754" s="3" t="str">
        <f>HYPERLINK("https://www.773grp.com/manufacturer/onsemi?pageNo=648", "ON Semiconductor")</f>
        <v>ON Semiconductor</v>
      </c>
      <c r="C44754" s="6">
        <v>839</v>
      </c>
      <c r="D44754" s="7">
        <v>23.48</v>
      </c>
    </row>
    <row r="44755" spans="1:5" x14ac:dyDescent="0.25">
      <c r="A44755" t="str">
        <f>HYPERLINK("https://www.773grp.com/globalSearch/CA3081/page-1", "CA3081")</f>
        <v>CA3081</v>
      </c>
      <c r="B44755" s="3" t="str">
        <f>HYPERLINK("https://www.773grp.com/manufacturer/onsemi?pageNo=649", "ON Semiconductor")</f>
        <v>ON Semiconductor</v>
      </c>
      <c r="C44755" s="6">
        <v>4139</v>
      </c>
      <c r="D44755" s="7">
        <v>23.56</v>
      </c>
      <c r="E44755" t="s">
        <v>69</v>
      </c>
    </row>
    <row r="44756" spans="1:5" x14ac:dyDescent="0.25">
      <c r="A44756" t="str">
        <f>HYPERLINK("https://www.773grp.com/globalSearch/CA3082/page-1", "CA3082")</f>
        <v>CA3082</v>
      </c>
      <c r="B44756" s="3" t="str">
        <f>HYPERLINK("https://www.773grp.com/manufacturer/onsemi?pageNo=650", "ON Semiconductor")</f>
        <v>ON Semiconductor</v>
      </c>
      <c r="C44756" s="6">
        <v>16528</v>
      </c>
      <c r="D44756" s="7">
        <v>23.56</v>
      </c>
      <c r="E44756" t="s">
        <v>69</v>
      </c>
    </row>
    <row r="44757" spans="1:5" x14ac:dyDescent="0.25">
      <c r="A44757" t="str">
        <f>HYPERLINK("https://www.773grp.com/globalSearch/2907PC/page-1", "2907PC")</f>
        <v>2907PC</v>
      </c>
      <c r="B44757" s="3" t="str">
        <f>HYPERLINK("https://www.773grp.com/manufacturer/onsemi?pageNo=651", "ON Semiconductor")</f>
        <v>ON Semiconductor</v>
      </c>
      <c r="C44757" s="6">
        <v>6770</v>
      </c>
      <c r="D44757" s="7">
        <v>23.68</v>
      </c>
    </row>
    <row r="44758" spans="1:5" x14ac:dyDescent="0.25">
      <c r="A44758" t="str">
        <f>HYPERLINK("https://www.773grp.com/globalSearch/CA3089E/page-1", "CA3089E")</f>
        <v>CA3089E</v>
      </c>
      <c r="B44758" s="3" t="str">
        <f>HYPERLINK("https://www.773grp.com/manufacturer/onsemi?pageNo=652", "ON Semiconductor")</f>
        <v>ON Semiconductor</v>
      </c>
      <c r="C44758" s="6">
        <v>1700</v>
      </c>
      <c r="D44758" s="7">
        <v>23.81</v>
      </c>
      <c r="E44758" t="s">
        <v>60</v>
      </c>
    </row>
    <row r="44759" spans="1:5" x14ac:dyDescent="0.25">
      <c r="A44759" t="str">
        <f>HYPERLINK("https://www.773grp.com/globalSearch/74ALS646FN/page-1", "74ALS646FN")</f>
        <v>74ALS646FN</v>
      </c>
      <c r="B44759" s="3" t="str">
        <f>HYPERLINK("https://www.773grp.com/manufacturer/onsemi?pageNo=653", "ON Semiconductor")</f>
        <v>ON Semiconductor</v>
      </c>
      <c r="C44759" s="6">
        <v>1027</v>
      </c>
      <c r="D44759" s="7">
        <v>23.95</v>
      </c>
    </row>
    <row r="44760" spans="1:5" x14ac:dyDescent="0.25">
      <c r="A44760" t="str">
        <f>HYPERLINK("https://www.773grp.com/globalSearch/74AC11158N/page-1", "74AC11158N")</f>
        <v>74AC11158N</v>
      </c>
      <c r="B44760" s="3" t="str">
        <f>HYPERLINK("https://www.773grp.com/manufacturer/onsemi?pageNo=654", "ON Semiconductor")</f>
        <v>ON Semiconductor</v>
      </c>
      <c r="C44760" s="6">
        <v>1025</v>
      </c>
      <c r="D44760" s="7">
        <v>23.95</v>
      </c>
      <c r="E44760" t="s">
        <v>20</v>
      </c>
    </row>
    <row r="44761" spans="1:5" x14ac:dyDescent="0.25">
      <c r="A44761" t="str">
        <f>HYPERLINK("https://www.773grp.com/globalSearch/74LS461ANS/page-1", "74LS461ANS")</f>
        <v>74LS461ANS</v>
      </c>
      <c r="B44761" s="3" t="str">
        <f>HYPERLINK("https://www.773grp.com/manufacturer/onsemi?pageNo=655", "ON Semiconductor")</f>
        <v>ON Semiconductor</v>
      </c>
      <c r="C44761" s="6">
        <v>3693</v>
      </c>
      <c r="D44761" s="7">
        <v>24.14</v>
      </c>
    </row>
    <row r="44762" spans="1:5" x14ac:dyDescent="0.25">
      <c r="A44762" t="str">
        <f>HYPERLINK("https://www.773grp.com/globalSearch/74LS491ANS/page-1", "74LS491ANS")</f>
        <v>74LS491ANS</v>
      </c>
      <c r="B44762" s="3" t="str">
        <f>HYPERLINK("https://www.773grp.com/manufacturer/onsemi?pageNo=656", "ON Semiconductor")</f>
        <v>ON Semiconductor</v>
      </c>
      <c r="C44762" s="6">
        <v>2957</v>
      </c>
      <c r="D44762" s="7">
        <v>24.14</v>
      </c>
    </row>
    <row r="44763" spans="1:5" x14ac:dyDescent="0.25">
      <c r="A44763" t="str">
        <f>HYPERLINK("https://www.773grp.com/globalSearch/74HC378N/page-1", "74HC378N")</f>
        <v>74HC378N</v>
      </c>
      <c r="B44763" s="3" t="str">
        <f>HYPERLINK("https://www.773grp.com/manufacturer/onsemi?pageNo=657", "ON Semiconductor")</f>
        <v>ON Semiconductor</v>
      </c>
      <c r="C44763" s="6">
        <v>1381</v>
      </c>
      <c r="D44763" s="7">
        <v>24.5</v>
      </c>
    </row>
    <row r="44764" spans="1:5" x14ac:dyDescent="0.25">
      <c r="A44764" t="str">
        <f>HYPERLINK("https://www.773grp.com/globalSearch/26LS32SC/page-1", "26LS32SC")</f>
        <v>26LS32SC</v>
      </c>
      <c r="B44764" s="3" t="str">
        <f>HYPERLINK("https://www.773grp.com/manufacturer/onsemi?pageNo=658", "ON Semiconductor")</f>
        <v>ON Semiconductor</v>
      </c>
      <c r="C44764" s="6">
        <v>2465</v>
      </c>
      <c r="D44764" s="7">
        <v>24.59</v>
      </c>
    </row>
    <row r="44765" spans="1:5" x14ac:dyDescent="0.25">
      <c r="A44765" t="str">
        <f>HYPERLINK("https://www.773grp.com/globalSearch/27S21AJC/page-1", "27S21AJC")</f>
        <v>27S21AJC</v>
      </c>
      <c r="B44765" s="3" t="str">
        <f>HYPERLINK("https://www.773grp.com/manufacturer/onsemi?pageNo=659", "ON Semiconductor")</f>
        <v>ON Semiconductor</v>
      </c>
      <c r="C44765" s="6">
        <v>5142</v>
      </c>
      <c r="D44765" s="7">
        <v>24.59</v>
      </c>
    </row>
    <row r="44766" spans="1:5" x14ac:dyDescent="0.25">
      <c r="A44766" t="str">
        <f>HYPERLINK("https://www.773grp.com/globalSearch/P8254/page-1", "P8254")</f>
        <v>P8254</v>
      </c>
      <c r="B44766" s="3" t="str">
        <f>HYPERLINK("https://www.773grp.com/manufacturer/onsemi?pageNo=660", "ON Semiconductor")</f>
        <v>ON Semiconductor</v>
      </c>
      <c r="C44766" s="6">
        <v>2607</v>
      </c>
      <c r="D44766" s="7">
        <v>24.59</v>
      </c>
      <c r="E44766" t="s">
        <v>82</v>
      </c>
    </row>
    <row r="44767" spans="1:5" x14ac:dyDescent="0.25">
      <c r="A44767" t="str">
        <f>HYPERLINK("https://www.773grp.com/globalSearch/74ACT11520DW/page-1", "74ACT11520DW")</f>
        <v>74ACT11520DW</v>
      </c>
      <c r="B44767" s="3" t="str">
        <f>HYPERLINK("https://www.773grp.com/manufacturer/onsemi?pageNo=661", "ON Semiconductor")</f>
        <v>ON Semiconductor</v>
      </c>
      <c r="C44767" s="6">
        <v>1051</v>
      </c>
      <c r="D44767" s="7">
        <v>24.59</v>
      </c>
      <c r="E44767" t="s">
        <v>43</v>
      </c>
    </row>
    <row r="44768" spans="1:5" x14ac:dyDescent="0.25">
      <c r="A44768" t="str">
        <f>HYPERLINK("https://www.773grp.com/globalSearch/75150N/page-1", "75150N")</f>
        <v>75150N</v>
      </c>
      <c r="B44768" s="3" t="str">
        <f>HYPERLINK("https://www.773grp.com/manufacturer/onsemi?pageNo=662", "ON Semiconductor")</f>
        <v>ON Semiconductor</v>
      </c>
      <c r="C44768" s="6">
        <v>2628</v>
      </c>
      <c r="D44768" s="7">
        <v>24.69</v>
      </c>
    </row>
    <row r="44769" spans="1:5" x14ac:dyDescent="0.25">
      <c r="A44769" t="str">
        <f>HYPERLINK("https://www.773grp.com/globalSearch/ICL8211CPA/page-1", "ICL8211CPA")</f>
        <v>ICL8211CPA</v>
      </c>
      <c r="B44769" s="3" t="str">
        <f>HYPERLINK("https://www.773grp.com/manufacturer/onsemi?pageNo=663", "ON Semiconductor")</f>
        <v>ON Semiconductor</v>
      </c>
      <c r="C44769" s="6">
        <v>1972</v>
      </c>
      <c r="D44769" s="7">
        <v>24.69</v>
      </c>
      <c r="E44769" t="s">
        <v>30</v>
      </c>
    </row>
    <row r="44770" spans="1:5" x14ac:dyDescent="0.25">
      <c r="A44770" t="str">
        <f>HYPERLINK("https://www.773grp.com/globalSearch/2947PC/page-1", "2947PC")</f>
        <v>2947PC</v>
      </c>
      <c r="B44770" s="3" t="str">
        <f>HYPERLINK("https://www.773grp.com/manufacturer/onsemi?pageNo=664", "ON Semiconductor")</f>
        <v>ON Semiconductor</v>
      </c>
      <c r="C44770" s="6">
        <v>976</v>
      </c>
      <c r="D44770" s="7">
        <v>24.74</v>
      </c>
    </row>
    <row r="44771" spans="1:5" x14ac:dyDescent="0.25">
      <c r="A44771" t="str">
        <f>HYPERLINK("https://www.773grp.com/globalSearch/74LS626N/page-1", "74LS626N")</f>
        <v>74LS626N</v>
      </c>
      <c r="B44771" s="3" t="str">
        <f>HYPERLINK("https://www.773grp.com/manufacturer/onsemi?pageNo=665", "ON Semiconductor")</f>
        <v>ON Semiconductor</v>
      </c>
      <c r="C44771" s="6">
        <v>3574</v>
      </c>
      <c r="D44771" s="7">
        <v>24.83</v>
      </c>
    </row>
    <row r="44772" spans="1:5" x14ac:dyDescent="0.25">
      <c r="A44772" t="str">
        <f>HYPERLINK("https://www.773grp.com/globalSearch/ICL7662CBD-0/page-1", "ICL7662CBD-0")</f>
        <v>ICL7662CBD-0</v>
      </c>
      <c r="B44772" s="3" t="str">
        <f>HYPERLINK("https://www.773grp.com/manufacturer/onsemi?pageNo=666", "ON Semiconductor")</f>
        <v>ON Semiconductor</v>
      </c>
      <c r="C44772" s="6">
        <v>289</v>
      </c>
      <c r="D44772" s="7">
        <v>24.89</v>
      </c>
      <c r="E44772" t="s">
        <v>7</v>
      </c>
    </row>
    <row r="44773" spans="1:5" x14ac:dyDescent="0.25">
      <c r="A44773" t="str">
        <f>HYPERLINK("https://www.773grp.com/globalSearch/LM4665LDX-G/page-1", "LM4665LDX-G")</f>
        <v>LM4665LDX-G</v>
      </c>
      <c r="B44773" s="3" t="str">
        <f>HYPERLINK("https://www.773grp.com/manufacturer/onsemi?pageNo=667", "ON Semiconductor")</f>
        <v>ON Semiconductor</v>
      </c>
      <c r="C44773" s="6">
        <v>616</v>
      </c>
      <c r="D44773" s="7">
        <v>24.94</v>
      </c>
    </row>
    <row r="44774" spans="1:5" x14ac:dyDescent="0.25">
      <c r="A44774" t="str">
        <f>HYPERLINK("https://www.773grp.com/globalSearch/26LS33SC/page-1", "26LS33SC")</f>
        <v>26LS33SC</v>
      </c>
      <c r="B44774" s="3" t="str">
        <f>HYPERLINK("https://www.773grp.com/manufacturer/onsemi?pageNo=668", "ON Semiconductor")</f>
        <v>ON Semiconductor</v>
      </c>
      <c r="C44774" s="6">
        <v>3292</v>
      </c>
      <c r="D44774" s="7">
        <v>25.08</v>
      </c>
    </row>
    <row r="44775" spans="1:5" x14ac:dyDescent="0.25">
      <c r="A44775" t="str">
        <f>HYPERLINK("https://www.773grp.com/globalSearch/79865JC/page-1", "79865JC")</f>
        <v>79865JC</v>
      </c>
      <c r="B44775" s="3" t="str">
        <f>HYPERLINK("https://www.773grp.com/manufacturer/onsemi?pageNo=669", "ON Semiconductor")</f>
        <v>ON Semiconductor</v>
      </c>
      <c r="C44775" s="6">
        <v>955</v>
      </c>
      <c r="D44775" s="7">
        <v>25.21</v>
      </c>
    </row>
    <row r="44776" spans="1:5" x14ac:dyDescent="0.25">
      <c r="A44776" t="str">
        <f>HYPERLINK("https://www.773grp.com/globalSearch/7992BJC/page-1", "7992BJC")</f>
        <v>7992BJC</v>
      </c>
      <c r="B44776" s="3" t="str">
        <f>HYPERLINK("https://www.773grp.com/manufacturer/onsemi?pageNo=670", "ON Semiconductor")</f>
        <v>ON Semiconductor</v>
      </c>
      <c r="C44776" s="6">
        <v>481</v>
      </c>
      <c r="D44776" s="7">
        <v>25.21</v>
      </c>
    </row>
    <row r="44777" spans="1:5" x14ac:dyDescent="0.25">
      <c r="A44777" t="str">
        <f>HYPERLINK("https://www.773grp.com/globalSearch/AM79865JC/page-1", "AM79865JC")</f>
        <v>AM79865JC</v>
      </c>
      <c r="B44777" s="3" t="str">
        <f>HYPERLINK("https://www.773grp.com/manufacturer/onsemi?pageNo=671", "ON Semiconductor")</f>
        <v>ON Semiconductor</v>
      </c>
      <c r="C44777" s="6">
        <v>11847</v>
      </c>
      <c r="D44777" s="7">
        <v>25.21</v>
      </c>
      <c r="E44777" t="s">
        <v>67</v>
      </c>
    </row>
    <row r="44778" spans="1:5" x14ac:dyDescent="0.25">
      <c r="A44778" t="str">
        <f>HYPERLINK("https://www.773grp.com/globalSearch/AM7992BJC/page-1", "AM7992BJC")</f>
        <v>AM7992BJC</v>
      </c>
      <c r="B44778" s="3" t="str">
        <f>HYPERLINK("https://www.773grp.com/manufacturer/onsemi?pageNo=672", "ON Semiconductor")</f>
        <v>ON Semiconductor</v>
      </c>
      <c r="C44778" s="6">
        <v>10195</v>
      </c>
      <c r="D44778" s="7">
        <v>25.21</v>
      </c>
    </row>
    <row r="44779" spans="1:5" x14ac:dyDescent="0.25">
      <c r="A44779" t="str">
        <f>HYPERLINK("https://www.773grp.com/globalSearch/AM7992BPC/page-1", "AM7992BPC")</f>
        <v>AM7992BPC</v>
      </c>
      <c r="B44779" s="3" t="str">
        <f>HYPERLINK("https://www.773grp.com/manufacturer/onsemi?pageNo=673", "ON Semiconductor")</f>
        <v>ON Semiconductor</v>
      </c>
      <c r="C44779" s="6">
        <v>17261</v>
      </c>
      <c r="D44779" s="7">
        <v>25.21</v>
      </c>
    </row>
    <row r="44780" spans="1:5" x14ac:dyDescent="0.25">
      <c r="A44780" t="str">
        <f>HYPERLINK("https://www.773grp.com/globalSearch/P8212/page-1", "P8212")</f>
        <v>P8212</v>
      </c>
      <c r="B44780" s="3" t="str">
        <f>HYPERLINK("https://www.773grp.com/manufacturer/onsemi?pageNo=674", "ON Semiconductor")</f>
        <v>ON Semiconductor</v>
      </c>
      <c r="C44780" s="6">
        <v>1008</v>
      </c>
      <c r="D44780" s="7">
        <v>25.21</v>
      </c>
      <c r="E44780" t="s">
        <v>14</v>
      </c>
    </row>
    <row r="44781" spans="1:5" x14ac:dyDescent="0.25">
      <c r="A44781" t="str">
        <f>HYPERLINK("https://www.773grp.com/globalSearch/N8259A-2/page-1", "N8259A-2")</f>
        <v>N8259A-2</v>
      </c>
      <c r="B44781" s="3" t="str">
        <f>HYPERLINK("https://www.773grp.com/manufacturer/onsemi?pageNo=675", "ON Semiconductor")</f>
        <v>ON Semiconductor</v>
      </c>
      <c r="C44781" s="6">
        <v>8557</v>
      </c>
      <c r="D44781" s="7">
        <v>25.36</v>
      </c>
      <c r="E44781" t="s">
        <v>123</v>
      </c>
    </row>
    <row r="44782" spans="1:5" x14ac:dyDescent="0.25">
      <c r="A44782" t="str">
        <f>HYPERLINK("https://www.773grp.com/globalSearch/74HC133D-G/page-1", "74HC133D-G")</f>
        <v>74HC133D-G</v>
      </c>
      <c r="B44782" s="3" t="str">
        <f>HYPERLINK("https://www.773grp.com/manufacturer/onsemi?pageNo=676", "ON Semiconductor")</f>
        <v>ON Semiconductor</v>
      </c>
      <c r="C44782" s="6">
        <v>1816</v>
      </c>
      <c r="D44782" s="7">
        <v>25.55</v>
      </c>
    </row>
    <row r="44783" spans="1:5" x14ac:dyDescent="0.25">
      <c r="A44783" t="str">
        <f>HYPERLINK("https://www.773grp.com/globalSearch/P82530/page-1", "P82530")</f>
        <v>P82530</v>
      </c>
      <c r="B44783" s="3" t="str">
        <f>HYPERLINK("https://www.773grp.com/manufacturer/onsemi?pageNo=677", "ON Semiconductor")</f>
        <v>ON Semiconductor</v>
      </c>
      <c r="C44783" s="6">
        <v>4885</v>
      </c>
      <c r="D44783" s="7">
        <v>25.71</v>
      </c>
      <c r="E44783" t="s">
        <v>71</v>
      </c>
    </row>
    <row r="44784" spans="1:5" x14ac:dyDescent="0.25">
      <c r="A44784" t="str">
        <f>HYPERLINK("https://www.773grp.com/globalSearch/P8253-5/page-1", "P8253-5")</f>
        <v>P8253-5</v>
      </c>
      <c r="B44784" s="3" t="str">
        <f>HYPERLINK("https://www.773grp.com/manufacturer/onsemi?pageNo=678", "ON Semiconductor")</f>
        <v>ON Semiconductor</v>
      </c>
      <c r="C44784" s="6">
        <v>731</v>
      </c>
      <c r="D44784" s="7">
        <v>25.71</v>
      </c>
      <c r="E44784" t="s">
        <v>82</v>
      </c>
    </row>
    <row r="44785" spans="1:5" x14ac:dyDescent="0.25">
      <c r="A44785" t="str">
        <f>HYPERLINK("https://www.773grp.com/globalSearch/8T28PC/page-1", "8T28PC")</f>
        <v>8T28PC</v>
      </c>
      <c r="B44785" s="3" t="str">
        <f>HYPERLINK("https://www.773grp.com/manufacturer/onsemi?pageNo=679", "ON Semiconductor")</f>
        <v>ON Semiconductor</v>
      </c>
      <c r="C44785" s="6">
        <v>196</v>
      </c>
      <c r="D44785" s="7">
        <v>26.09</v>
      </c>
    </row>
    <row r="44786" spans="1:5" x14ac:dyDescent="0.25">
      <c r="A44786" t="str">
        <f>HYPERLINK("https://www.773grp.com/globalSearch/26LS32BPC/page-1", "26LS32BPC")</f>
        <v>26LS32BPC</v>
      </c>
      <c r="B44786" s="3" t="str">
        <f>HYPERLINK("https://www.773grp.com/manufacturer/onsemi?pageNo=680", "ON Semiconductor")</f>
        <v>ON Semiconductor</v>
      </c>
      <c r="C44786" s="6">
        <v>3216</v>
      </c>
      <c r="D44786" s="7">
        <v>26.09</v>
      </c>
    </row>
    <row r="44787" spans="1:5" x14ac:dyDescent="0.25">
      <c r="A44787" t="str">
        <f>HYPERLINK("https://www.773grp.com/globalSearch/TL505CN/page-1", "TL505CN")</f>
        <v>TL505CN</v>
      </c>
      <c r="B44787" s="3" t="str">
        <f>HYPERLINK("https://www.773grp.com/manufacturer/onsemi?pageNo=681", "ON Semiconductor")</f>
        <v>ON Semiconductor</v>
      </c>
      <c r="C44787" s="6">
        <v>124</v>
      </c>
      <c r="D44787" s="7">
        <v>26.09</v>
      </c>
      <c r="E44787" t="s">
        <v>39</v>
      </c>
    </row>
    <row r="44788" spans="1:5" x14ac:dyDescent="0.25">
      <c r="A44788" t="str">
        <f>HYPERLINK("https://www.773grp.com/globalSearch/29818APC/page-1", "29818APC")</f>
        <v>29818APC</v>
      </c>
      <c r="B44788" s="3" t="str">
        <f>HYPERLINK("https://www.773grp.com/manufacturer/onsemi?pageNo=682", "ON Semiconductor")</f>
        <v>ON Semiconductor</v>
      </c>
      <c r="C44788" s="6">
        <v>4441</v>
      </c>
      <c r="D44788" s="7">
        <v>26.23</v>
      </c>
    </row>
    <row r="44789" spans="1:5" x14ac:dyDescent="0.25">
      <c r="A44789" t="str">
        <f>HYPERLINK("https://www.773grp.com/globalSearch/P8255A-5/page-1", "P8255A-5")</f>
        <v>P8255A-5</v>
      </c>
      <c r="B44789" s="3" t="str">
        <f>HYPERLINK("https://www.773grp.com/manufacturer/onsemi?pageNo=683", "ON Semiconductor")</f>
        <v>ON Semiconductor</v>
      </c>
      <c r="C44789" s="6">
        <v>530</v>
      </c>
      <c r="D44789" s="7">
        <v>26.31</v>
      </c>
      <c r="E44789" t="s">
        <v>90</v>
      </c>
    </row>
    <row r="44790" spans="1:5" x14ac:dyDescent="0.25">
      <c r="A44790" t="str">
        <f>HYPERLINK("https://www.773grp.com/globalSearch/74AC11191DW/page-1", "74AC11191DW")</f>
        <v>74AC11191DW</v>
      </c>
      <c r="B44790" s="3" t="str">
        <f>HYPERLINK("https://www.773grp.com/manufacturer/onsemi?pageNo=684", "ON Semiconductor")</f>
        <v>ON Semiconductor</v>
      </c>
      <c r="C44790" s="6">
        <v>737</v>
      </c>
      <c r="D44790" s="7">
        <v>26.34</v>
      </c>
      <c r="E44790" t="s">
        <v>26</v>
      </c>
    </row>
    <row r="44791" spans="1:5" x14ac:dyDescent="0.25">
      <c r="A44791" t="str">
        <f>HYPERLINK("https://www.773grp.com/globalSearch/93S48PC/page-1", "93S48PC")</f>
        <v>93S48PC</v>
      </c>
      <c r="B44791" s="3" t="str">
        <f>HYPERLINK("https://www.773grp.com/manufacturer/onsemi?pageNo=685", "ON Semiconductor")</f>
        <v>ON Semiconductor</v>
      </c>
      <c r="C44791" s="6">
        <v>12594</v>
      </c>
      <c r="D44791" s="7">
        <v>26.55</v>
      </c>
    </row>
    <row r="44792" spans="1:5" x14ac:dyDescent="0.25">
      <c r="A44792" t="str">
        <f>HYPERLINK("https://www.773grp.com/globalSearch/MC10131P/page-1", "MC10131P")</f>
        <v>MC10131P</v>
      </c>
      <c r="B44792" s="3" t="str">
        <f>HYPERLINK("https://www.773grp.com/manufacturer/onsemi?pageNo=686", "ON Semiconductor")</f>
        <v>ON Semiconductor</v>
      </c>
      <c r="C44792" s="6">
        <v>1883</v>
      </c>
      <c r="D44792" s="7">
        <v>26.6</v>
      </c>
      <c r="E44792" t="s">
        <v>35</v>
      </c>
    </row>
    <row r="44793" spans="1:5" x14ac:dyDescent="0.25">
      <c r="A44793" t="str">
        <f>HYPERLINK("https://www.773grp.com/globalSearch/DM8160N/page-1", "DM8160N")</f>
        <v>DM8160N</v>
      </c>
      <c r="B44793" s="3" t="str">
        <f>HYPERLINK("https://www.773grp.com/manufacturer/onsemi?pageNo=687", "ON Semiconductor")</f>
        <v>ON Semiconductor</v>
      </c>
      <c r="C44793" s="6">
        <v>2</v>
      </c>
      <c r="D44793" s="7">
        <v>26.63</v>
      </c>
      <c r="E44793" t="s">
        <v>43</v>
      </c>
    </row>
    <row r="44794" spans="1:5" x14ac:dyDescent="0.25">
      <c r="A44794" t="str">
        <f>HYPERLINK("https://www.773grp.com/globalSearch/74ALS878ANT/page-1", "74ALS878ANT")</f>
        <v>74ALS878ANT</v>
      </c>
      <c r="B44794" s="3" t="str">
        <f>HYPERLINK("https://www.773grp.com/manufacturer/onsemi?pageNo=688", "ON Semiconductor")</f>
        <v>ON Semiconductor</v>
      </c>
      <c r="C44794" s="6">
        <v>549</v>
      </c>
      <c r="D44794" s="7">
        <v>27.34</v>
      </c>
    </row>
    <row r="44795" spans="1:5" x14ac:dyDescent="0.25">
      <c r="A44795" t="str">
        <f>HYPERLINK("https://www.773grp.com/globalSearch/74LS681N/page-1", "74LS681N")</f>
        <v>74LS681N</v>
      </c>
      <c r="B44795" s="3" t="str">
        <f>HYPERLINK("https://www.773grp.com/manufacturer/onsemi?pageNo=689", "ON Semiconductor")</f>
        <v>ON Semiconductor</v>
      </c>
      <c r="C44795" s="6">
        <v>1964</v>
      </c>
      <c r="D44795" s="7">
        <v>27.34</v>
      </c>
    </row>
    <row r="44796" spans="1:5" x14ac:dyDescent="0.25">
      <c r="A44796" t="str">
        <f>HYPERLINK("https://www.773grp.com/globalSearch/P82C55A-2/page-1", "P82C55A-2")</f>
        <v>P82C55A-2</v>
      </c>
      <c r="B44796" s="3" t="str">
        <f>HYPERLINK("https://www.773grp.com/manufacturer/onsemi?pageNo=690", "ON Semiconductor")</f>
        <v>ON Semiconductor</v>
      </c>
      <c r="C44796" s="6">
        <v>8104</v>
      </c>
      <c r="D44796" s="7">
        <v>27.59</v>
      </c>
      <c r="E44796" t="s">
        <v>90</v>
      </c>
    </row>
    <row r="44797" spans="1:5" x14ac:dyDescent="0.25">
      <c r="A44797" t="str">
        <f>HYPERLINK("https://www.773grp.com/globalSearch/26LS32BJC/page-1", "26LS32BJC")</f>
        <v>26LS32BJC</v>
      </c>
      <c r="B44797" s="3" t="str">
        <f>HYPERLINK("https://www.773grp.com/manufacturer/onsemi?pageNo=691", "ON Semiconductor")</f>
        <v>ON Semiconductor</v>
      </c>
      <c r="C44797" s="6">
        <v>5224</v>
      </c>
      <c r="D44797" s="7">
        <v>27.73</v>
      </c>
    </row>
    <row r="44798" spans="1:5" x14ac:dyDescent="0.25">
      <c r="A44798" t="str">
        <f>HYPERLINK("https://www.773grp.com/globalSearch/29705APC/page-1", "29705APC")</f>
        <v>29705APC</v>
      </c>
      <c r="B44798" s="3" t="str">
        <f>HYPERLINK("https://www.773grp.com/manufacturer/onsemi?pageNo=692", "ON Semiconductor")</f>
        <v>ON Semiconductor</v>
      </c>
      <c r="C44798" s="6">
        <v>87</v>
      </c>
      <c r="D44798" s="7">
        <v>27.73</v>
      </c>
    </row>
    <row r="44799" spans="1:5" x14ac:dyDescent="0.25">
      <c r="A44799" t="str">
        <f>HYPERLINK("https://www.773grp.com/globalSearch/TDC1044AN9C/page-1", "TDC1044AN9C")</f>
        <v>TDC1044AN9C</v>
      </c>
      <c r="B44799" s="3" t="str">
        <f>HYPERLINK("https://www.773grp.com/manufacturer/onsemi?pageNo=693", "ON Semiconductor")</f>
        <v>ON Semiconductor</v>
      </c>
      <c r="C44799" s="6">
        <v>10111</v>
      </c>
      <c r="D44799" s="7">
        <v>27.73</v>
      </c>
      <c r="E44799" t="s">
        <v>39</v>
      </c>
    </row>
    <row r="44800" spans="1:5" x14ac:dyDescent="0.25">
      <c r="A44800" t="str">
        <f>HYPERLINK("https://www.773grp.com/globalSearch/LMX1501AMX/page-1", "LMX1501AMX")</f>
        <v>LMX1501AMX</v>
      </c>
      <c r="B44800" s="3" t="str">
        <f>HYPERLINK("https://www.773grp.com/manufacturer/onsemi?pageNo=694", "ON Semiconductor")</f>
        <v>ON Semiconductor</v>
      </c>
      <c r="C44800" s="6">
        <v>45</v>
      </c>
      <c r="D44800" s="7">
        <v>27.73</v>
      </c>
      <c r="E44800" t="s">
        <v>38</v>
      </c>
    </row>
    <row r="44801" spans="1:5" x14ac:dyDescent="0.25">
      <c r="A44801" t="str">
        <f>HYPERLINK("https://www.773grp.com/globalSearch/74185AN/page-1", "74185AN")</f>
        <v>74185AN</v>
      </c>
      <c r="B44801" s="3" t="str">
        <f>HYPERLINK("https://www.773grp.com/manufacturer/onsemi?pageNo=695", "ON Semiconductor")</f>
        <v>ON Semiconductor</v>
      </c>
      <c r="C44801" s="6">
        <v>779</v>
      </c>
      <c r="D44801" s="7">
        <v>27.73</v>
      </c>
    </row>
    <row r="44802" spans="1:5" x14ac:dyDescent="0.25">
      <c r="A44802" t="str">
        <f>HYPERLINK("https://www.773grp.com/globalSearch/DM8131N/page-1", "DM8131N")</f>
        <v>DM8131N</v>
      </c>
      <c r="B44802" s="3" t="str">
        <f>HYPERLINK("https://www.773grp.com/manufacturer/onsemi?pageNo=696", "ON Semiconductor")</f>
        <v>ON Semiconductor</v>
      </c>
      <c r="C44802" s="6">
        <v>5164</v>
      </c>
      <c r="D44802" s="7">
        <v>28.24</v>
      </c>
    </row>
    <row r="44803" spans="1:5" x14ac:dyDescent="0.25">
      <c r="A44803" t="str">
        <f>HYPERLINK("https://www.773grp.com/globalSearch/75491J/page-1", "75491J")</f>
        <v>75491J</v>
      </c>
      <c r="B44803" s="3" t="str">
        <f>HYPERLINK("https://www.773grp.com/manufacturer/onsemi?pageNo=697", "ON Semiconductor")</f>
        <v>ON Semiconductor</v>
      </c>
      <c r="C44803" s="6">
        <v>82</v>
      </c>
      <c r="D44803" s="7">
        <v>28.36</v>
      </c>
    </row>
    <row r="44804" spans="1:5" x14ac:dyDescent="0.25">
      <c r="A44804" t="str">
        <f>HYPERLINK("https://www.773grp.com/globalSearch/27LS00APC/page-1", "27LS00APC")</f>
        <v>27LS00APC</v>
      </c>
      <c r="B44804" s="3" t="str">
        <f>HYPERLINK("https://www.773grp.com/manufacturer/onsemi?pageNo=698", "ON Semiconductor")</f>
        <v>ON Semiconductor</v>
      </c>
      <c r="C44804" s="6">
        <v>2660</v>
      </c>
      <c r="D44804" s="7">
        <v>28.41</v>
      </c>
    </row>
    <row r="44805" spans="1:5" x14ac:dyDescent="0.25">
      <c r="A44805" t="str">
        <f>HYPERLINK("https://www.773grp.com/globalSearch/TDC1044AR4C/page-1", "TDC1044AR4C")</f>
        <v>TDC1044AR4C</v>
      </c>
      <c r="B44805" s="3" t="str">
        <f>HYPERLINK("https://www.773grp.com/manufacturer/onsemi?pageNo=699", "ON Semiconductor")</f>
        <v>ON Semiconductor</v>
      </c>
      <c r="C44805" s="6">
        <v>50146</v>
      </c>
      <c r="D44805" s="7">
        <v>28.69</v>
      </c>
      <c r="E44805" t="s">
        <v>39</v>
      </c>
    </row>
    <row r="44806" spans="1:5" x14ac:dyDescent="0.25">
      <c r="A44806" t="str">
        <f>HYPERLINK("https://www.773grp.com/globalSearch/74S22SC/page-1", "74S22SC")</f>
        <v>74S22SC</v>
      </c>
      <c r="B44806" s="3" t="str">
        <f>HYPERLINK("https://www.773grp.com/manufacturer/onsemi?pageNo=700", "ON Semiconductor")</f>
        <v>ON Semiconductor</v>
      </c>
      <c r="C44806" s="6">
        <v>214</v>
      </c>
      <c r="D44806" s="7">
        <v>28.74</v>
      </c>
    </row>
    <row r="44807" spans="1:5" x14ac:dyDescent="0.25">
      <c r="A44807" t="str">
        <f>HYPERLINK("https://www.773grp.com/globalSearch/N8251A-G/page-1", "N8251A-G")</f>
        <v>N8251A-G</v>
      </c>
      <c r="B44807" s="3" t="str">
        <f>HYPERLINK("https://www.773grp.com/manufacturer/onsemi?pageNo=701", "ON Semiconductor")</f>
        <v>ON Semiconductor</v>
      </c>
      <c r="C44807" s="6">
        <v>1255</v>
      </c>
      <c r="D44807" s="7">
        <v>28.75</v>
      </c>
    </row>
    <row r="44808" spans="1:5" x14ac:dyDescent="0.25">
      <c r="A44808" t="str">
        <f>HYPERLINK("https://www.773grp.com/globalSearch/CA3310AM/page-1", "CA3310AM")</f>
        <v>CA3310AM</v>
      </c>
      <c r="B44808" s="3" t="str">
        <f>HYPERLINK("https://www.773grp.com/manufacturer/onsemi?pageNo=702", "ON Semiconductor")</f>
        <v>ON Semiconductor</v>
      </c>
      <c r="C44808" s="6">
        <v>188</v>
      </c>
      <c r="D44808" s="7">
        <v>28.79</v>
      </c>
      <c r="E44808" t="s">
        <v>39</v>
      </c>
    </row>
    <row r="44809" spans="1:5" x14ac:dyDescent="0.25">
      <c r="A44809" t="str">
        <f>HYPERLINK("https://www.773grp.com/globalSearch/P8251A/page-1", "P8251A")</f>
        <v>P8251A</v>
      </c>
      <c r="B44809" s="3" t="str">
        <f>HYPERLINK("https://www.773grp.com/manufacturer/onsemi?pageNo=703", "ON Semiconductor")</f>
        <v>ON Semiconductor</v>
      </c>
      <c r="C44809" s="6">
        <v>7848</v>
      </c>
      <c r="D44809" s="7">
        <v>28.91</v>
      </c>
      <c r="E44809" t="s">
        <v>71</v>
      </c>
    </row>
    <row r="44810" spans="1:5" x14ac:dyDescent="0.25">
      <c r="A44810" t="str">
        <f>HYPERLINK("https://www.773grp.com/globalSearch/MM74C922N/page-1", "MM74C922N")</f>
        <v>MM74C922N</v>
      </c>
      <c r="B44810" s="3" t="str">
        <f>HYPERLINK("https://www.773grp.com/manufacturer/onsemi?pageNo=704", "ON Semiconductor")</f>
        <v>ON Semiconductor</v>
      </c>
      <c r="C44810" s="6">
        <v>1364</v>
      </c>
      <c r="D44810" s="7">
        <v>28.99</v>
      </c>
    </row>
    <row r="44811" spans="1:5" x14ac:dyDescent="0.25">
      <c r="A44811" t="str">
        <f>HYPERLINK("https://www.773grp.com/globalSearch/75126D/page-1", "75126D")</f>
        <v>75126D</v>
      </c>
      <c r="B44811" s="3" t="str">
        <f>HYPERLINK("https://www.773grp.com/manufacturer/onsemi?pageNo=705", "ON Semiconductor")</f>
        <v>ON Semiconductor</v>
      </c>
      <c r="C44811" s="6">
        <v>1212</v>
      </c>
      <c r="D44811" s="7">
        <v>28.99</v>
      </c>
    </row>
    <row r="44812" spans="1:5" x14ac:dyDescent="0.25">
      <c r="A44812" t="str">
        <f>HYPERLINK("https://www.773grp.com/globalSearch/MM74C922N-G/page-1", "MM74C922N-G")</f>
        <v>MM74C922N-G</v>
      </c>
      <c r="B44812" s="3" t="str">
        <f>HYPERLINK("https://www.773grp.com/manufacturer/onsemi?pageNo=706", "ON Semiconductor")</f>
        <v>ON Semiconductor</v>
      </c>
      <c r="C44812" s="6">
        <v>798</v>
      </c>
      <c r="D44812" s="7">
        <v>29.51</v>
      </c>
    </row>
    <row r="44813" spans="1:5" x14ac:dyDescent="0.25">
      <c r="A44813" t="str">
        <f>HYPERLINK("https://www.773grp.com/globalSearch/CA3059/page-1", "CA3059")</f>
        <v>CA3059</v>
      </c>
      <c r="B44813" s="3" t="str">
        <f>HYPERLINK("https://www.773grp.com/manufacturer/onsemi?pageNo=707", "ON Semiconductor")</f>
        <v>ON Semiconductor</v>
      </c>
      <c r="C44813" s="6">
        <v>13787</v>
      </c>
      <c r="D44813" s="7">
        <v>29.66</v>
      </c>
      <c r="E44813" t="s">
        <v>40</v>
      </c>
    </row>
    <row r="44814" spans="1:5" x14ac:dyDescent="0.25">
      <c r="A44814" t="str">
        <f>HYPERLINK("https://www.773grp.com/globalSearch/74HC133D/page-1", "74HC133D")</f>
        <v>74HC133D</v>
      </c>
      <c r="B44814" s="3" t="str">
        <f>HYPERLINK("https://www.773grp.com/manufacturer/onsemi?pageNo=708", "ON Semiconductor")</f>
        <v>ON Semiconductor</v>
      </c>
      <c r="C44814" s="6">
        <v>982</v>
      </c>
      <c r="D44814" s="7">
        <v>29.88</v>
      </c>
      <c r="E44814" t="s">
        <v>31</v>
      </c>
    </row>
    <row r="44815" spans="1:5" x14ac:dyDescent="0.25">
      <c r="A44815" t="str">
        <f>HYPERLINK("https://www.773grp.com/globalSearch/74AC11828NT/page-1", "74AC11828NT")</f>
        <v>74AC11828NT</v>
      </c>
      <c r="B44815" s="3" t="str">
        <f>HYPERLINK("https://www.773grp.com/manufacturer/onsemi?pageNo=709", "ON Semiconductor")</f>
        <v>ON Semiconductor</v>
      </c>
      <c r="C44815" s="6">
        <v>117</v>
      </c>
      <c r="D44815" s="7">
        <v>30.13</v>
      </c>
      <c r="E44815" t="s">
        <v>14</v>
      </c>
    </row>
    <row r="44816" spans="1:5" x14ac:dyDescent="0.25">
      <c r="A44816" t="str">
        <f>HYPERLINK("https://www.773grp.com/globalSearch/TLC2472ID/page-1", "TLC2472ID")</f>
        <v>TLC2472ID</v>
      </c>
      <c r="B44816" s="3" t="str">
        <f>HYPERLINK("https://www.773grp.com/manufacturer/onsemi?pageNo=710", "ON Semiconductor")</f>
        <v>ON Semiconductor</v>
      </c>
      <c r="C44816" s="6">
        <v>500</v>
      </c>
      <c r="D44816" s="7">
        <v>30.24</v>
      </c>
    </row>
    <row r="44817" spans="1:5" x14ac:dyDescent="0.25">
      <c r="A44817" t="str">
        <f>HYPERLINK("https://www.773grp.com/globalSearch/26LS32BSC/page-1", "26LS32BSC")</f>
        <v>26LS32BSC</v>
      </c>
      <c r="B44817" s="3" t="str">
        <f>HYPERLINK("https://www.773grp.com/manufacturer/onsemi?pageNo=711", "ON Semiconductor")</f>
        <v>ON Semiconductor</v>
      </c>
      <c r="C44817" s="6">
        <v>7784</v>
      </c>
      <c r="D44817" s="7">
        <v>30.63</v>
      </c>
    </row>
    <row r="44818" spans="1:5" x14ac:dyDescent="0.25">
      <c r="A44818" t="str">
        <f>HYPERLINK("https://www.773grp.com/globalSearch/74HC239N/page-1", "74HC239N")</f>
        <v>74HC239N</v>
      </c>
      <c r="B44818" s="3" t="str">
        <f>HYPERLINK("https://www.773grp.com/manufacturer/onsemi?pageNo=712", "ON Semiconductor")</f>
        <v>ON Semiconductor</v>
      </c>
      <c r="C44818" s="6">
        <v>3042</v>
      </c>
      <c r="D44818" s="7">
        <v>31.19</v>
      </c>
    </row>
    <row r="44819" spans="1:5" x14ac:dyDescent="0.25">
      <c r="A44819" t="str">
        <f>HYPERLINK("https://www.773grp.com/globalSearch/27S33APC/page-1", "27S33APC")</f>
        <v>27S33APC</v>
      </c>
      <c r="B44819" s="3" t="str">
        <f>HYPERLINK("https://www.773grp.com/manufacturer/onsemi?pageNo=713", "ON Semiconductor")</f>
        <v>ON Semiconductor</v>
      </c>
      <c r="C44819" s="6">
        <v>13619</v>
      </c>
      <c r="D44819" s="7">
        <v>31.38</v>
      </c>
    </row>
    <row r="44820" spans="1:5" x14ac:dyDescent="0.25">
      <c r="A44820" t="str">
        <f>HYPERLINK("https://www.773grp.com/globalSearch/ML6554CUX/page-1", "ML6554CUX")</f>
        <v>ML6554CUX</v>
      </c>
      <c r="B44820" s="3" t="str">
        <f>HYPERLINK("https://www.773grp.com/manufacturer/onsemi?pageNo=714", "ON Semiconductor")</f>
        <v>ON Semiconductor</v>
      </c>
      <c r="C44820" s="6">
        <v>1823</v>
      </c>
      <c r="D44820" s="7">
        <v>31.38</v>
      </c>
    </row>
    <row r="44821" spans="1:5" x14ac:dyDescent="0.25">
      <c r="A44821" t="str">
        <f>HYPERLINK("https://www.773grp.com/globalSearch/MM88C30N/page-1", "MM88C30N")</f>
        <v>MM88C30N</v>
      </c>
      <c r="B44821" s="3" t="str">
        <f>HYPERLINK("https://www.773grp.com/manufacturer/onsemi?pageNo=715", "ON Semiconductor")</f>
        <v>ON Semiconductor</v>
      </c>
      <c r="C44821" s="6">
        <v>1780</v>
      </c>
      <c r="D44821" s="7">
        <v>31.5</v>
      </c>
      <c r="E44821" t="s">
        <v>21</v>
      </c>
    </row>
    <row r="44822" spans="1:5" x14ac:dyDescent="0.25">
      <c r="A44822" t="str">
        <f>HYPERLINK("https://www.773grp.com/globalSearch/74LS190N/page-1", "74LS190N")</f>
        <v>74LS190N</v>
      </c>
      <c r="B44822" s="3" t="str">
        <f>HYPERLINK("https://www.773grp.com/manufacturer/onsemi?pageNo=716", "ON Semiconductor")</f>
        <v>ON Semiconductor</v>
      </c>
      <c r="C44822" s="6">
        <v>193</v>
      </c>
      <c r="D44822" s="7">
        <v>31.5</v>
      </c>
    </row>
    <row r="44823" spans="1:5" x14ac:dyDescent="0.25">
      <c r="A44823" t="str">
        <f>HYPERLINK("https://www.773grp.com/globalSearch/27S29APC/page-1", "27S29APC")</f>
        <v>27S29APC</v>
      </c>
      <c r="B44823" s="3" t="str">
        <f>HYPERLINK("https://www.773grp.com/manufacturer/onsemi?pageNo=717", "ON Semiconductor")</f>
        <v>ON Semiconductor</v>
      </c>
      <c r="C44823" s="6">
        <v>1469</v>
      </c>
      <c r="D44823" s="7">
        <v>31.69</v>
      </c>
    </row>
    <row r="44824" spans="1:5" x14ac:dyDescent="0.25">
      <c r="A44824" t="str">
        <f>HYPERLINK("https://www.773grp.com/globalSearch/MM74HC123AN-G/page-1", "MM74HC123AN-G")</f>
        <v>MM74HC123AN-G</v>
      </c>
      <c r="B44824" s="3" t="str">
        <f>HYPERLINK("https://www.773grp.com/manufacturer/onsemi?pageNo=718", "ON Semiconductor")</f>
        <v>ON Semiconductor</v>
      </c>
      <c r="C44824" s="6">
        <v>7441</v>
      </c>
      <c r="D44824" s="7">
        <v>32.15</v>
      </c>
    </row>
    <row r="44825" spans="1:5" x14ac:dyDescent="0.25">
      <c r="A44825" t="str">
        <f>HYPERLINK("https://www.773grp.com/globalSearch/CA3146AE/page-1", "CA3146AE")</f>
        <v>CA3146AE</v>
      </c>
      <c r="B44825" s="3" t="str">
        <f>HYPERLINK("https://www.773grp.com/manufacturer/onsemi?pageNo=719", "ON Semiconductor")</f>
        <v>ON Semiconductor</v>
      </c>
      <c r="C44825" s="6">
        <v>1572</v>
      </c>
      <c r="D44825" s="7">
        <v>32.29</v>
      </c>
    </row>
    <row r="44826" spans="1:5" x14ac:dyDescent="0.25">
      <c r="A44826" t="str">
        <f>HYPERLINK("https://www.773grp.com/globalSearch/P8085AH/page-1", "P8085AH")</f>
        <v>P8085AH</v>
      </c>
      <c r="B44826" s="3" t="str">
        <f>HYPERLINK("https://www.773grp.com/manufacturer/onsemi?pageNo=720", "ON Semiconductor")</f>
        <v>ON Semiconductor</v>
      </c>
      <c r="C44826" s="6">
        <v>94</v>
      </c>
      <c r="D44826" s="7">
        <v>32.39</v>
      </c>
      <c r="E44826" t="s">
        <v>81</v>
      </c>
    </row>
    <row r="44827" spans="1:5" x14ac:dyDescent="0.25">
      <c r="A44827" t="str">
        <f>HYPERLINK("https://www.773grp.com/globalSearch/74HC659DW/page-1", "74HC659DW")</f>
        <v>74HC659DW</v>
      </c>
      <c r="B44827" s="3" t="str">
        <f>HYPERLINK("https://www.773grp.com/manufacturer/onsemi?pageNo=721", "ON Semiconductor")</f>
        <v>ON Semiconductor</v>
      </c>
      <c r="C44827" s="6">
        <v>405</v>
      </c>
      <c r="D44827" s="7">
        <v>32.39</v>
      </c>
    </row>
    <row r="44828" spans="1:5" x14ac:dyDescent="0.25">
      <c r="A44828" t="str">
        <f>HYPERLINK("https://www.773grp.com/globalSearch/P8279-5/page-1", "P8279-5")</f>
        <v>P8279-5</v>
      </c>
      <c r="B44828" s="3" t="str">
        <f>HYPERLINK("https://www.773grp.com/manufacturer/onsemi?pageNo=722", "ON Semiconductor")</f>
        <v>ON Semiconductor</v>
      </c>
      <c r="C44828" s="6">
        <v>8071</v>
      </c>
      <c r="D44828" s="7">
        <v>32.630000000000003</v>
      </c>
      <c r="E44828" t="s">
        <v>42</v>
      </c>
    </row>
    <row r="44829" spans="1:5" x14ac:dyDescent="0.25">
      <c r="A44829" t="str">
        <f>HYPERLINK("https://www.773grp.com/globalSearch/MC10198FNR2/page-1", "MC10198FNR2")</f>
        <v>MC10198FNR2</v>
      </c>
      <c r="B44829" s="3" t="str">
        <f>HYPERLINK("https://www.773grp.com/manufacturer/onsemi?pageNo=723", "ON Semiconductor")</f>
        <v>ON Semiconductor</v>
      </c>
      <c r="C44829" s="6">
        <v>2327</v>
      </c>
      <c r="D44829" s="7">
        <v>32.64</v>
      </c>
      <c r="E44829" t="s">
        <v>54</v>
      </c>
    </row>
    <row r="44830" spans="1:5" x14ac:dyDescent="0.25">
      <c r="A44830" t="str">
        <f>HYPERLINK("https://www.773grp.com/globalSearch/DS8838N/page-1", "DS8838N")</f>
        <v>DS8838N</v>
      </c>
      <c r="B44830" s="3" t="str">
        <f>HYPERLINK("https://www.773grp.com/manufacturer/onsemi?pageNo=724", "ON Semiconductor")</f>
        <v>ON Semiconductor</v>
      </c>
      <c r="C44830" s="6">
        <v>2068</v>
      </c>
      <c r="D44830" s="7">
        <v>32.69</v>
      </c>
      <c r="E44830" t="s">
        <v>21</v>
      </c>
    </row>
    <row r="44831" spans="1:5" x14ac:dyDescent="0.25">
      <c r="A44831" t="str">
        <f>HYPERLINK("https://www.773grp.com/globalSearch/74AS850AN/page-1", "74AS850AN")</f>
        <v>74AS850AN</v>
      </c>
      <c r="B44831" s="3" t="str">
        <f>HYPERLINK("https://www.773grp.com/manufacturer/onsemi?pageNo=725", "ON Semiconductor")</f>
        <v>ON Semiconductor</v>
      </c>
      <c r="C44831" s="6">
        <v>724</v>
      </c>
      <c r="D44831" s="7">
        <v>32.729999999999997</v>
      </c>
    </row>
    <row r="44832" spans="1:5" x14ac:dyDescent="0.25">
      <c r="A44832" t="str">
        <f>HYPERLINK("https://www.773grp.com/globalSearch/DM2502CN/page-1", "DM2502CN")</f>
        <v>DM2502CN</v>
      </c>
      <c r="B44832" s="3" t="str">
        <f>HYPERLINK("https://www.773grp.com/manufacturer/onsemi?pageNo=726", "ON Semiconductor")</f>
        <v>ON Semiconductor</v>
      </c>
      <c r="C44832" s="6">
        <v>379</v>
      </c>
      <c r="D44832" s="7">
        <v>32.78</v>
      </c>
      <c r="E44832" t="s">
        <v>32</v>
      </c>
    </row>
    <row r="44833" spans="1:5" x14ac:dyDescent="0.25">
      <c r="A44833" t="str">
        <f>HYPERLINK("https://www.773grp.com/globalSearch/P8254-2/page-1", "P8254-2")</f>
        <v>P8254-2</v>
      </c>
      <c r="B44833" s="3" t="str">
        <f>HYPERLINK("https://www.773grp.com/manufacturer/onsemi?pageNo=727", "ON Semiconductor")</f>
        <v>ON Semiconductor</v>
      </c>
      <c r="C44833" s="6">
        <v>101</v>
      </c>
      <c r="D44833" s="7">
        <v>32.85</v>
      </c>
      <c r="E44833" t="s">
        <v>82</v>
      </c>
    </row>
    <row r="44834" spans="1:5" x14ac:dyDescent="0.25">
      <c r="A44834" t="str">
        <f>HYPERLINK("https://www.773grp.com/globalSearch/UCN5801LW/page-1", "UCN5801LW")</f>
        <v>UCN5801LW</v>
      </c>
      <c r="B44834" s="3" t="str">
        <f>HYPERLINK("https://www.773grp.com/manufacturer/onsemi?pageNo=728", "ON Semiconductor")</f>
        <v>ON Semiconductor</v>
      </c>
      <c r="C44834" s="6">
        <v>1432</v>
      </c>
      <c r="D44834" s="7">
        <v>33.299999999999997</v>
      </c>
    </row>
    <row r="44835" spans="1:5" x14ac:dyDescent="0.25">
      <c r="A44835" t="str">
        <f>HYPERLINK("https://www.773grp.com/globalSearch/74LS295BN/page-1", "74LS295BN")</f>
        <v>74LS295BN</v>
      </c>
      <c r="B44835" s="3" t="str">
        <f>HYPERLINK("https://www.773grp.com/manufacturer/onsemi?pageNo=729", "ON Semiconductor")</f>
        <v>ON Semiconductor</v>
      </c>
      <c r="C44835" s="6">
        <v>2085</v>
      </c>
      <c r="D44835" s="7">
        <v>33.409999999999997</v>
      </c>
    </row>
    <row r="44836" spans="1:5" x14ac:dyDescent="0.25">
      <c r="A44836" t="str">
        <f>HYPERLINK("https://www.773grp.com/globalSearch/27S185APC/page-1", "27S185APC")</f>
        <v>27S185APC</v>
      </c>
      <c r="B44836" s="3" t="str">
        <f>HYPERLINK("https://www.773grp.com/manufacturer/onsemi?pageNo=730", "ON Semiconductor")</f>
        <v>ON Semiconductor</v>
      </c>
      <c r="C44836" s="6">
        <v>1429</v>
      </c>
      <c r="D44836" s="7">
        <v>33.9</v>
      </c>
    </row>
    <row r="44837" spans="1:5" x14ac:dyDescent="0.25">
      <c r="A44837" t="str">
        <f>HYPERLINK("https://www.773grp.com/globalSearch/54L164DM/page-1", "54L164DM")</f>
        <v>54L164DM</v>
      </c>
      <c r="B44837" s="3" t="str">
        <f>HYPERLINK("https://www.773grp.com/manufacturer/onsemi?pageNo=731", "ON Semiconductor")</f>
        <v>ON Semiconductor</v>
      </c>
      <c r="C44837" s="6">
        <v>163</v>
      </c>
      <c r="D44837" s="7">
        <v>34.03</v>
      </c>
    </row>
    <row r="44838" spans="1:5" x14ac:dyDescent="0.25">
      <c r="A44838" t="str">
        <f>HYPERLINK("https://www.773grp.com/globalSearch/74ALS29809NT/page-1", "74ALS29809NT")</f>
        <v>74ALS29809NT</v>
      </c>
      <c r="B44838" s="3" t="str">
        <f>HYPERLINK("https://www.773grp.com/manufacturer/onsemi?pageNo=732", "ON Semiconductor")</f>
        <v>ON Semiconductor</v>
      </c>
      <c r="C44838" s="6">
        <v>165</v>
      </c>
      <c r="D44838" s="7">
        <v>34.03</v>
      </c>
    </row>
    <row r="44839" spans="1:5" x14ac:dyDescent="0.25">
      <c r="A44839" t="str">
        <f>HYPERLINK("https://www.773grp.com/globalSearch/AD584IR/page-1", "AD584IR")</f>
        <v>AD584IR</v>
      </c>
      <c r="B44839" s="3" t="str">
        <f>HYPERLINK("https://www.773grp.com/manufacturer/onsemi?pageNo=733", "ON Semiconductor")</f>
        <v>ON Semiconductor</v>
      </c>
      <c r="C44839" s="6">
        <v>1099</v>
      </c>
      <c r="D44839" s="7">
        <v>34.03</v>
      </c>
    </row>
    <row r="44840" spans="1:5" x14ac:dyDescent="0.25">
      <c r="A44840" t="str">
        <f>HYPERLINK("https://www.773grp.com/globalSearch/P82530-6/page-1", "P82530-6")</f>
        <v>P82530-6</v>
      </c>
      <c r="B44840" s="3" t="str">
        <f>HYPERLINK("https://www.773grp.com/manufacturer/onsemi?pageNo=734", "ON Semiconductor")</f>
        <v>ON Semiconductor</v>
      </c>
      <c r="C44840" s="6">
        <v>1660</v>
      </c>
      <c r="D44840" s="7">
        <v>34.15</v>
      </c>
      <c r="E44840" t="s">
        <v>71</v>
      </c>
    </row>
    <row r="44841" spans="1:5" x14ac:dyDescent="0.25">
      <c r="A44841" t="str">
        <f>HYPERLINK("https://www.773grp.com/globalSearch/26LS34PC/page-1", "26LS34PC")</f>
        <v>26LS34PC</v>
      </c>
      <c r="B44841" s="3" t="str">
        <f>HYPERLINK("https://www.773grp.com/manufacturer/onsemi?pageNo=735", "ON Semiconductor")</f>
        <v>ON Semiconductor</v>
      </c>
      <c r="C44841" s="6">
        <v>2369</v>
      </c>
      <c r="D44841" s="7">
        <v>34.659999999999997</v>
      </c>
    </row>
    <row r="44842" spans="1:5" x14ac:dyDescent="0.25">
      <c r="A44842" t="str">
        <f>HYPERLINK("https://www.773grp.com/globalSearch/74ALS993NT/page-1", "74ALS993NT")</f>
        <v>74ALS993NT</v>
      </c>
      <c r="B44842" s="3" t="str">
        <f>HYPERLINK("https://www.773grp.com/manufacturer/onsemi?pageNo=736", "ON Semiconductor")</f>
        <v>ON Semiconductor</v>
      </c>
      <c r="C44842" s="6">
        <v>929</v>
      </c>
      <c r="D44842" s="7">
        <v>34.659999999999997</v>
      </c>
    </row>
    <row r="44843" spans="1:5" x14ac:dyDescent="0.25">
      <c r="A44843" t="str">
        <f>HYPERLINK("https://www.773grp.com/globalSearch/SN74HC534DW/page-1", "SN74HC534DW")</f>
        <v>SN74HC534DW</v>
      </c>
      <c r="B44843" s="3" t="str">
        <f>HYPERLINK("https://www.773grp.com/manufacturer/onsemi?pageNo=737", "ON Semiconductor")</f>
        <v>ON Semiconductor</v>
      </c>
      <c r="C44843" s="6">
        <v>3477</v>
      </c>
      <c r="D44843" s="7">
        <v>34.659999999999997</v>
      </c>
      <c r="E44843" t="s">
        <v>14</v>
      </c>
    </row>
    <row r="44844" spans="1:5" x14ac:dyDescent="0.25">
      <c r="A44844" t="str">
        <f>HYPERLINK("https://www.773grp.com/globalSearch/TE28F800B5B90/page-1", "TE28F800B5B90")</f>
        <v>TE28F800B5B90</v>
      </c>
      <c r="B44844" s="3" t="str">
        <f>HYPERLINK("https://www.773grp.com/manufacturer/onsemi?pageNo=738", "ON Semiconductor")</f>
        <v>ON Semiconductor</v>
      </c>
      <c r="C44844" s="6">
        <v>22284</v>
      </c>
      <c r="D44844" s="7">
        <v>35.159999999999997</v>
      </c>
      <c r="E44844" t="s">
        <v>64</v>
      </c>
    </row>
    <row r="44845" spans="1:5" x14ac:dyDescent="0.25">
      <c r="A44845" t="str">
        <f>HYPERLINK("https://www.773grp.com/globalSearch/93H72PC/page-1", "93H72PC")</f>
        <v>93H72PC</v>
      </c>
      <c r="B44845" s="3" t="str">
        <f>HYPERLINK("https://www.773grp.com/manufacturer/onsemi?pageNo=739", "ON Semiconductor")</f>
        <v>ON Semiconductor</v>
      </c>
      <c r="C44845" s="6">
        <v>2416</v>
      </c>
      <c r="D44845" s="7">
        <v>35.29</v>
      </c>
    </row>
    <row r="44846" spans="1:5" x14ac:dyDescent="0.25">
      <c r="A44846" t="str">
        <f>HYPERLINK("https://www.773grp.com/globalSearch/27S29AJC/page-1", "27S29AJC")</f>
        <v>27S29AJC</v>
      </c>
      <c r="B44846" s="3" t="str">
        <f>HYPERLINK("https://www.773grp.com/manufacturer/onsemi?pageNo=740", "ON Semiconductor")</f>
        <v>ON Semiconductor</v>
      </c>
      <c r="C44846" s="6">
        <v>5366</v>
      </c>
      <c r="D44846" s="7">
        <v>35.29</v>
      </c>
    </row>
    <row r="44847" spans="1:5" x14ac:dyDescent="0.25">
      <c r="A44847" t="str">
        <f>HYPERLINK("https://www.773grp.com/globalSearch/74LS652NS/page-1", "74LS652NS")</f>
        <v>74LS652NS</v>
      </c>
      <c r="B44847" s="3" t="str">
        <f>HYPERLINK("https://www.773grp.com/manufacturer/onsemi?pageNo=741", "ON Semiconductor")</f>
        <v>ON Semiconductor</v>
      </c>
      <c r="C44847" s="6">
        <v>3524</v>
      </c>
      <c r="D44847" s="7">
        <v>35.29</v>
      </c>
    </row>
    <row r="44848" spans="1:5" x14ac:dyDescent="0.25">
      <c r="A44848" t="str">
        <f>HYPERLINK("https://www.773grp.com/globalSearch/79866AJC/page-1", "79866AJC")</f>
        <v>79866AJC</v>
      </c>
      <c r="B44848" s="3" t="str">
        <f>HYPERLINK("https://www.773grp.com/manufacturer/onsemi?pageNo=742", "ON Semiconductor")</f>
        <v>ON Semiconductor</v>
      </c>
      <c r="C44848" s="6">
        <v>594</v>
      </c>
      <c r="D44848" s="7">
        <v>35.29</v>
      </c>
    </row>
    <row r="44849" spans="1:5" x14ac:dyDescent="0.25">
      <c r="A44849" t="str">
        <f>HYPERLINK("https://www.773grp.com/globalSearch/ICM7213IPD/page-1", "ICM7213IPD")</f>
        <v>ICM7213IPD</v>
      </c>
      <c r="B44849" s="3" t="str">
        <f>HYPERLINK("https://www.773grp.com/manufacturer/onsemi?pageNo=743", "ON Semiconductor")</f>
        <v>ON Semiconductor</v>
      </c>
      <c r="C44849" s="6">
        <v>1068</v>
      </c>
      <c r="D44849" s="7">
        <v>35.29</v>
      </c>
      <c r="E44849" t="s">
        <v>77</v>
      </c>
    </row>
    <row r="44850" spans="1:5" x14ac:dyDescent="0.25">
      <c r="A44850" t="str">
        <f>HYPERLINK("https://www.773grp.com/globalSearch/27S13PC/page-1", "27S13PC")</f>
        <v>27S13PC</v>
      </c>
      <c r="B44850" s="3" t="str">
        <f>HYPERLINK("https://www.773grp.com/manufacturer/onsemi?pageNo=744", "ON Semiconductor")</f>
        <v>ON Semiconductor</v>
      </c>
      <c r="C44850" s="6">
        <v>1424</v>
      </c>
      <c r="D44850" s="7">
        <v>35.29</v>
      </c>
    </row>
    <row r="44851" spans="1:5" x14ac:dyDescent="0.25">
      <c r="A44851" t="str">
        <f>HYPERLINK("https://www.773grp.com/globalSearch/AM79866AJC/page-1", "AM79866AJC")</f>
        <v>AM79866AJC</v>
      </c>
      <c r="B44851" s="3" t="str">
        <f>HYPERLINK("https://www.773grp.com/manufacturer/onsemi?pageNo=745", "ON Semiconductor")</f>
        <v>ON Semiconductor</v>
      </c>
      <c r="C44851" s="6">
        <v>15</v>
      </c>
      <c r="D44851" s="7">
        <v>35.29</v>
      </c>
      <c r="E44851" t="s">
        <v>67</v>
      </c>
    </row>
    <row r="44852" spans="1:5" x14ac:dyDescent="0.25">
      <c r="A44852" t="str">
        <f>HYPERLINK("https://www.773grp.com/globalSearch/25LS2518PC/page-1", "25LS2518PC")</f>
        <v>25LS2518PC</v>
      </c>
      <c r="B44852" s="3" t="str">
        <f>HYPERLINK("https://www.773grp.com/manufacturer/onsemi?pageNo=746", "ON Semiconductor")</f>
        <v>ON Semiconductor</v>
      </c>
      <c r="C44852" s="6">
        <v>1817</v>
      </c>
      <c r="D44852" s="7">
        <v>35.44</v>
      </c>
    </row>
    <row r="44853" spans="1:5" x14ac:dyDescent="0.25">
      <c r="A44853" t="str">
        <f>HYPERLINK("https://www.773grp.com/globalSearch/AMPAL20L10APC/page-1", "AMPAL20L10APC")</f>
        <v>AMPAL20L10APC</v>
      </c>
      <c r="B44853" s="3" t="str">
        <f>HYPERLINK("https://www.773grp.com/manufacturer/onsemi?pageNo=747", "ON Semiconductor")</f>
        <v>ON Semiconductor</v>
      </c>
      <c r="C44853" s="6">
        <v>1197</v>
      </c>
      <c r="D44853" s="7">
        <v>35.76</v>
      </c>
      <c r="E44853" t="s">
        <v>51</v>
      </c>
    </row>
    <row r="44854" spans="1:5" x14ac:dyDescent="0.25">
      <c r="A44854" t="str">
        <f>HYPERLINK("https://www.773grp.com/globalSearch/RC1472U/page-1", "RC1472U")</f>
        <v>RC1472U</v>
      </c>
      <c r="B44854" s="3" t="str">
        <f>HYPERLINK("https://www.773grp.com/manufacturer/onsemi?pageNo=748", "ON Semiconductor")</f>
        <v>ON Semiconductor</v>
      </c>
      <c r="C44854" s="6">
        <v>385</v>
      </c>
      <c r="D44854" s="7">
        <v>35.93</v>
      </c>
    </row>
    <row r="44855" spans="1:5" x14ac:dyDescent="0.25">
      <c r="A44855" t="str">
        <f>HYPERLINK("https://www.773grp.com/globalSearch/27S23JC/page-1", "27S23JC")</f>
        <v>27S23JC</v>
      </c>
      <c r="B44855" s="3" t="str">
        <f>HYPERLINK("https://www.773grp.com/manufacturer/onsemi?pageNo=749", "ON Semiconductor")</f>
        <v>ON Semiconductor</v>
      </c>
      <c r="C44855" s="6">
        <v>4235</v>
      </c>
      <c r="D44855" s="7">
        <v>35.93</v>
      </c>
    </row>
    <row r="44856" spans="1:5" x14ac:dyDescent="0.25">
      <c r="A44856" t="str">
        <f>HYPERLINK("https://www.773grp.com/globalSearch/TE505S16-25QC-G/page-1", "TE505S16-25QC-G")</f>
        <v>TE505S16-25QC-G</v>
      </c>
      <c r="B44856" s="3" t="str">
        <f>HYPERLINK("https://www.773grp.com/manufacturer/onsemi?pageNo=750", "ON Semiconductor")</f>
        <v>ON Semiconductor</v>
      </c>
      <c r="C44856" s="6">
        <v>2423</v>
      </c>
      <c r="D44856" s="7">
        <v>36.159999999999997</v>
      </c>
    </row>
    <row r="44857" spans="1:5" x14ac:dyDescent="0.25">
      <c r="A44857" t="str">
        <f>HYPERLINK("https://www.773grp.com/globalSearch/100351QIX/page-1", "100351QIX")</f>
        <v>100351QIX</v>
      </c>
      <c r="B44857" s="3" t="str">
        <f>HYPERLINK("https://www.773grp.com/manufacturer/onsemi?pageNo=751", "ON Semiconductor")</f>
        <v>ON Semiconductor</v>
      </c>
      <c r="C44857" s="6">
        <v>1012</v>
      </c>
      <c r="D44857" s="7">
        <v>36.18</v>
      </c>
    </row>
    <row r="44858" spans="1:5" x14ac:dyDescent="0.25">
      <c r="A44858" t="str">
        <f>HYPERLINK("https://www.773grp.com/globalSearch/74167N/page-1", "74167N")</f>
        <v>74167N</v>
      </c>
      <c r="B44858" s="3" t="str">
        <f>HYPERLINK("https://www.773grp.com/manufacturer/onsemi?pageNo=752", "ON Semiconductor")</f>
        <v>ON Semiconductor</v>
      </c>
      <c r="C44858" s="6">
        <v>2829</v>
      </c>
      <c r="D44858" s="7">
        <v>36.409999999999997</v>
      </c>
    </row>
    <row r="44859" spans="1:5" x14ac:dyDescent="0.25">
      <c r="A44859" t="str">
        <f>HYPERLINK("https://www.773grp.com/globalSearch/54L153DM/page-1", "54L153DM")</f>
        <v>54L153DM</v>
      </c>
      <c r="B44859" s="3" t="str">
        <f>HYPERLINK("https://www.773grp.com/manufacturer/onsemi?pageNo=753", "ON Semiconductor")</f>
        <v>ON Semiconductor</v>
      </c>
      <c r="C44859" s="6">
        <v>342</v>
      </c>
      <c r="D44859" s="7">
        <v>36.549999999999997</v>
      </c>
    </row>
    <row r="44860" spans="1:5" x14ac:dyDescent="0.25">
      <c r="A44860" t="str">
        <f>HYPERLINK("https://www.773grp.com/globalSearch/944PC/page-1", "944PC")</f>
        <v>944PC</v>
      </c>
      <c r="B44860" s="3" t="str">
        <f>HYPERLINK("https://www.773grp.com/manufacturer/onsemi?pageNo=754", "ON Semiconductor")</f>
        <v>ON Semiconductor</v>
      </c>
      <c r="C44860" s="6">
        <v>2601</v>
      </c>
      <c r="D44860" s="7">
        <v>36.549999999999997</v>
      </c>
    </row>
    <row r="44861" spans="1:5" x14ac:dyDescent="0.25">
      <c r="A44861" t="str">
        <f>HYPERLINK("https://www.773grp.com/globalSearch/946PC/page-1", "946PC")</f>
        <v>946PC</v>
      </c>
      <c r="B44861" s="3" t="str">
        <f>HYPERLINK("https://www.773grp.com/manufacturer/onsemi?pageNo=755", "ON Semiconductor")</f>
        <v>ON Semiconductor</v>
      </c>
      <c r="C44861" s="6">
        <v>670</v>
      </c>
      <c r="D44861" s="7">
        <v>36.549999999999997</v>
      </c>
      <c r="E44861" t="s">
        <v>31</v>
      </c>
    </row>
    <row r="44862" spans="1:5" x14ac:dyDescent="0.25">
      <c r="A44862" t="str">
        <f>HYPERLINK("https://www.773grp.com/globalSearch/74LS56P/page-1", "74LS56P")</f>
        <v>74LS56P</v>
      </c>
      <c r="B44862" s="3" t="str">
        <f>HYPERLINK("https://www.773grp.com/manufacturer/onsemi?pageNo=756", "ON Semiconductor")</f>
        <v>ON Semiconductor</v>
      </c>
      <c r="C44862" s="6">
        <v>1590</v>
      </c>
      <c r="D44862" s="7">
        <v>36.68</v>
      </c>
    </row>
    <row r="44863" spans="1:5" x14ac:dyDescent="0.25">
      <c r="A44863" t="str">
        <f>HYPERLINK("https://www.773grp.com/globalSearch/2952APC/page-1", "2952APC")</f>
        <v>2952APC</v>
      </c>
      <c r="B44863" s="3" t="str">
        <f>HYPERLINK("https://www.773grp.com/manufacturer/onsemi?pageNo=757", "ON Semiconductor")</f>
        <v>ON Semiconductor</v>
      </c>
      <c r="C44863" s="6">
        <v>4079</v>
      </c>
      <c r="D44863" s="7">
        <v>36.83</v>
      </c>
    </row>
    <row r="44864" spans="1:5" x14ac:dyDescent="0.25">
      <c r="A44864" t="str">
        <f>HYPERLINK("https://www.773grp.com/globalSearch/PAL16R8-5JC/page-1", "PAL16R8-5JC")</f>
        <v>PAL16R8-5JC</v>
      </c>
      <c r="B44864" s="3" t="str">
        <f>HYPERLINK("https://www.773grp.com/manufacturer/onsemi?pageNo=758", "ON Semiconductor")</f>
        <v>ON Semiconductor</v>
      </c>
      <c r="C44864" s="6">
        <v>3952</v>
      </c>
      <c r="D44864" s="7">
        <v>37.19</v>
      </c>
      <c r="E44864" t="s">
        <v>51</v>
      </c>
    </row>
    <row r="44865" spans="1:5" x14ac:dyDescent="0.25">
      <c r="A44865" t="str">
        <f>HYPERLINK("https://www.773grp.com/globalSearch/2966PC/page-1", "2966PC")</f>
        <v>2966PC</v>
      </c>
      <c r="B44865" s="3" t="str">
        <f>HYPERLINK("https://www.773grp.com/manufacturer/onsemi?pageNo=759", "ON Semiconductor")</f>
        <v>ON Semiconductor</v>
      </c>
      <c r="C44865" s="6">
        <v>5491</v>
      </c>
      <c r="D44865" s="7">
        <v>37.43</v>
      </c>
    </row>
    <row r="44866" spans="1:5" x14ac:dyDescent="0.25">
      <c r="A44866" t="str">
        <f>HYPERLINK("https://www.773grp.com/globalSearch/P8284A/page-1", "P8284A")</f>
        <v>P8284A</v>
      </c>
      <c r="B44866" s="3" t="str">
        <f>HYPERLINK("https://www.773grp.com/manufacturer/onsemi?pageNo=760", "ON Semiconductor")</f>
        <v>ON Semiconductor</v>
      </c>
      <c r="C44866" s="6">
        <v>7532</v>
      </c>
      <c r="D44866" s="7">
        <v>37.43</v>
      </c>
      <c r="E44866" t="s">
        <v>79</v>
      </c>
    </row>
    <row r="44867" spans="1:5" x14ac:dyDescent="0.25">
      <c r="A44867" t="str">
        <f>HYPERLINK("https://www.773grp.com/globalSearch/2504PC/page-1", "2504PC")</f>
        <v>2504PC</v>
      </c>
      <c r="B44867" s="3" t="str">
        <f>HYPERLINK("https://www.773grp.com/manufacturer/onsemi?pageNo=761", "ON Semiconductor")</f>
        <v>ON Semiconductor</v>
      </c>
      <c r="C44867" s="6">
        <v>1712</v>
      </c>
      <c r="D44867" s="7">
        <v>37.69</v>
      </c>
    </row>
    <row r="44868" spans="1:5" x14ac:dyDescent="0.25">
      <c r="A44868" t="str">
        <f>HYPERLINK("https://www.773grp.com/globalSearch/27S23AJC/page-1", "27S23AJC")</f>
        <v>27S23AJC</v>
      </c>
      <c r="B44868" s="3" t="str">
        <f>HYPERLINK("https://www.773grp.com/manufacturer/onsemi?pageNo=762", "ON Semiconductor")</f>
        <v>ON Semiconductor</v>
      </c>
      <c r="C44868" s="6">
        <v>3251</v>
      </c>
      <c r="D44868" s="7">
        <v>37.81</v>
      </c>
    </row>
    <row r="44869" spans="1:5" x14ac:dyDescent="0.25">
      <c r="A44869" t="str">
        <f>HYPERLINK("https://www.773grp.com/globalSearch/TN28F010-90-G/page-1", "TN28F010-90-G")</f>
        <v>TN28F010-90-G</v>
      </c>
      <c r="B44869" s="3" t="str">
        <f>HYPERLINK("https://www.773grp.com/manufacturer/onsemi?pageNo=763", "ON Semiconductor")</f>
        <v>ON Semiconductor</v>
      </c>
      <c r="C44869" s="6">
        <v>100</v>
      </c>
      <c r="D44869" s="7">
        <v>38.28</v>
      </c>
    </row>
    <row r="44870" spans="1:5" x14ac:dyDescent="0.25">
      <c r="A44870" t="str">
        <f>HYPERLINK("https://www.773grp.com/globalSearch/2102-1N/page-1", "2102-1N")</f>
        <v>2102-1N</v>
      </c>
      <c r="B44870" s="3" t="str">
        <f>HYPERLINK("https://www.773grp.com/manufacturer/onsemi?pageNo=764", "ON Semiconductor")</f>
        <v>ON Semiconductor</v>
      </c>
      <c r="C44870" s="6">
        <v>328</v>
      </c>
      <c r="D44870" s="7">
        <v>38.44</v>
      </c>
    </row>
    <row r="44871" spans="1:5" x14ac:dyDescent="0.25">
      <c r="A44871" t="str">
        <f>HYPERLINK("https://www.773grp.com/globalSearch/74LS574N/page-1", "74LS574N")</f>
        <v>74LS574N</v>
      </c>
      <c r="B44871" s="3" t="str">
        <f>HYPERLINK("https://www.773grp.com/manufacturer/onsemi?pageNo=765", "ON Semiconductor")</f>
        <v>ON Semiconductor</v>
      </c>
      <c r="C44871" s="6">
        <v>3778</v>
      </c>
      <c r="D44871" s="7">
        <v>38.68</v>
      </c>
    </row>
    <row r="44872" spans="1:5" x14ac:dyDescent="0.25">
      <c r="A44872" t="str">
        <f>HYPERLINK("https://www.773grp.com/globalSearch/FM93CS46M8/page-1", "FM93CS46M8")</f>
        <v>FM93CS46M8</v>
      </c>
      <c r="B44872" s="3" t="str">
        <f>HYPERLINK("https://www.773grp.com/manufacturer/onsemi?pageNo=766", "ON Semiconductor")</f>
        <v>ON Semiconductor</v>
      </c>
      <c r="C44872" s="6">
        <v>5293</v>
      </c>
      <c r="D44872" s="7">
        <v>38.68</v>
      </c>
      <c r="E44872" t="s">
        <v>64</v>
      </c>
    </row>
    <row r="44873" spans="1:5" x14ac:dyDescent="0.25">
      <c r="A44873" t="str">
        <f>HYPERLINK("https://www.773grp.com/globalSearch/TP82530-6/page-1", "TP82530-6")</f>
        <v>TP82530-6</v>
      </c>
      <c r="B44873" s="3" t="str">
        <f>HYPERLINK("https://www.773grp.com/manufacturer/onsemi?pageNo=767", "ON Semiconductor")</f>
        <v>ON Semiconductor</v>
      </c>
      <c r="C44873" s="6">
        <v>118</v>
      </c>
      <c r="D44873" s="7">
        <v>39.299999999999997</v>
      </c>
    </row>
    <row r="44874" spans="1:5" x14ac:dyDescent="0.25">
      <c r="A44874" t="str">
        <f>HYPERLINK("https://www.773grp.com/globalSearch/74177N/page-1", "74177N")</f>
        <v>74177N</v>
      </c>
      <c r="B44874" s="3" t="str">
        <f>HYPERLINK("https://www.773grp.com/manufacturer/onsemi?pageNo=768", "ON Semiconductor")</f>
        <v>ON Semiconductor</v>
      </c>
      <c r="C44874" s="6">
        <v>1479</v>
      </c>
      <c r="D44874" s="7">
        <v>39.33</v>
      </c>
    </row>
    <row r="44875" spans="1:5" x14ac:dyDescent="0.25">
      <c r="A44875" t="str">
        <f>HYPERLINK("https://www.773grp.com/globalSearch/54LS92J-B/page-1", "54LS92J-B")</f>
        <v>54LS92J-B</v>
      </c>
      <c r="B44875" s="3" t="str">
        <f>HYPERLINK("https://www.773grp.com/manufacturer/onsemi?pageNo=769", "ON Semiconductor")</f>
        <v>ON Semiconductor</v>
      </c>
      <c r="C44875" s="6">
        <v>2606</v>
      </c>
      <c r="D44875" s="7">
        <v>39.5</v>
      </c>
    </row>
    <row r="44876" spans="1:5" x14ac:dyDescent="0.25">
      <c r="A44876" t="str">
        <f>HYPERLINK("https://www.773grp.com/globalSearch/TN28F020-150/page-1", "TN28F020-150")</f>
        <v>TN28F020-150</v>
      </c>
      <c r="B44876" s="3" t="str">
        <f>HYPERLINK("https://www.773grp.com/manufacturer/onsemi?pageNo=770", "ON Semiconductor")</f>
        <v>ON Semiconductor</v>
      </c>
      <c r="C44876" s="6">
        <v>600</v>
      </c>
      <c r="D44876" s="7">
        <v>39.6</v>
      </c>
    </row>
    <row r="44877" spans="1:5" x14ac:dyDescent="0.25">
      <c r="A44877" t="str">
        <f>HYPERLINK("https://www.773grp.com/globalSearch/PAL16R8-4JC/page-1", "PAL16R8-4JC")</f>
        <v>PAL16R8-4JC</v>
      </c>
      <c r="B44877" s="3" t="str">
        <f>HYPERLINK("https://www.773grp.com/manufacturer/onsemi?pageNo=771", "ON Semiconductor")</f>
        <v>ON Semiconductor</v>
      </c>
      <c r="C44877" s="6">
        <v>604</v>
      </c>
      <c r="D44877" s="7">
        <v>39.71</v>
      </c>
      <c r="E44877" t="s">
        <v>51</v>
      </c>
    </row>
    <row r="44878" spans="1:5" x14ac:dyDescent="0.25">
      <c r="A44878" t="str">
        <f>HYPERLINK("https://www.773grp.com/globalSearch/N82C54-2/page-1", "N82C54-2")</f>
        <v>N82C54-2</v>
      </c>
      <c r="B44878" s="3" t="str">
        <f>HYPERLINK("https://www.773grp.com/manufacturer/onsemi?pageNo=772", "ON Semiconductor")</f>
        <v>ON Semiconductor</v>
      </c>
      <c r="C44878" s="6">
        <v>1827</v>
      </c>
      <c r="D44878" s="7">
        <v>39.729999999999997</v>
      </c>
      <c r="E44878" t="s">
        <v>82</v>
      </c>
    </row>
    <row r="44879" spans="1:5" x14ac:dyDescent="0.25">
      <c r="A44879" t="str">
        <f>HYPERLINK("https://www.773grp.com/globalSearch/27LS00DC/page-1", "27LS00DC")</f>
        <v>27LS00DC</v>
      </c>
      <c r="B44879" s="3" t="str">
        <f>HYPERLINK("https://www.773grp.com/manufacturer/onsemi?pageNo=773", "ON Semiconductor")</f>
        <v>ON Semiconductor</v>
      </c>
      <c r="C44879" s="6">
        <v>32</v>
      </c>
      <c r="D44879" s="7">
        <v>40.200000000000003</v>
      </c>
    </row>
    <row r="44880" spans="1:5" x14ac:dyDescent="0.25">
      <c r="A44880" t="str">
        <f>HYPERLINK("https://www.773grp.com/globalSearch/P8086/page-1", "P8086")</f>
        <v>P8086</v>
      </c>
      <c r="B44880" s="3" t="str">
        <f>HYPERLINK("https://www.773grp.com/manufacturer/onsemi?pageNo=774", "ON Semiconductor")</f>
        <v>ON Semiconductor</v>
      </c>
      <c r="C44880" s="6">
        <v>7624</v>
      </c>
      <c r="D44880" s="7">
        <v>40.200000000000003</v>
      </c>
      <c r="E44880" t="s">
        <v>81</v>
      </c>
    </row>
    <row r="44881" spans="1:5" x14ac:dyDescent="0.25">
      <c r="A44881" t="str">
        <f>HYPERLINK("https://www.773grp.com/globalSearch/74LS468N/page-1", "74LS468N")</f>
        <v>74LS468N</v>
      </c>
      <c r="B44881" s="3" t="str">
        <f>HYPERLINK("https://www.773grp.com/manufacturer/onsemi?pageNo=775", "ON Semiconductor")</f>
        <v>ON Semiconductor</v>
      </c>
      <c r="C44881" s="6">
        <v>754</v>
      </c>
      <c r="D44881" s="7">
        <v>40.200000000000003</v>
      </c>
    </row>
    <row r="44882" spans="1:5" x14ac:dyDescent="0.25">
      <c r="A44882" t="str">
        <f>HYPERLINK("https://www.773grp.com/globalSearch/ICL8212CPA/page-1", "ICL8212CPA")</f>
        <v>ICL8212CPA</v>
      </c>
      <c r="B44882" s="3" t="str">
        <f>HYPERLINK("https://www.773grp.com/manufacturer/onsemi?pageNo=776", "ON Semiconductor")</f>
        <v>ON Semiconductor</v>
      </c>
      <c r="C44882" s="6">
        <v>2475</v>
      </c>
      <c r="D44882" s="7">
        <v>40.340000000000003</v>
      </c>
      <c r="E44882" t="s">
        <v>30</v>
      </c>
    </row>
    <row r="44883" spans="1:5" x14ac:dyDescent="0.25">
      <c r="A44883" t="str">
        <f>HYPERLINK("https://www.773grp.com/globalSearch/P8085AH-2-G/page-1", "P8085AH-2-G")</f>
        <v>P8085AH-2-G</v>
      </c>
      <c r="B44883" s="3" t="str">
        <f>HYPERLINK("https://www.773grp.com/manufacturer/onsemi?pageNo=777", "ON Semiconductor")</f>
        <v>ON Semiconductor</v>
      </c>
      <c r="C44883" s="6">
        <v>203</v>
      </c>
      <c r="D44883" s="7">
        <v>40.36</v>
      </c>
    </row>
    <row r="44884" spans="1:5" x14ac:dyDescent="0.25">
      <c r="A44884" t="str">
        <f>HYPERLINK("https://www.773grp.com/globalSearch/AM188EM-33KC\W/page-1", "AM188EM-33KC-W")</f>
        <v>AM188EM-33KC-W</v>
      </c>
      <c r="B44884" s="3" t="str">
        <f>HYPERLINK("https://www.773grp.com/manufacturer/onsemi?pageNo=778", "ON Semiconductor")</f>
        <v>ON Semiconductor</v>
      </c>
      <c r="C44884" s="6">
        <v>2225</v>
      </c>
      <c r="D44884" s="7">
        <v>40.729999999999997</v>
      </c>
    </row>
    <row r="44885" spans="1:5" x14ac:dyDescent="0.25">
      <c r="A44885" t="str">
        <f>HYPERLINK("https://www.773grp.com/globalSearch/TE502S08-25LC/page-1", "TE502S08-25LC")</f>
        <v>TE502S08-25LC</v>
      </c>
      <c r="B44885" s="3" t="str">
        <f>HYPERLINK("https://www.773grp.com/manufacturer/onsemi?pageNo=779", "ON Semiconductor")</f>
        <v>ON Semiconductor</v>
      </c>
      <c r="C44885" s="6">
        <v>432</v>
      </c>
      <c r="D44885" s="7">
        <v>40.729999999999997</v>
      </c>
    </row>
    <row r="44886" spans="1:5" x14ac:dyDescent="0.25">
      <c r="A44886" t="str">
        <f>HYPERLINK("https://www.773grp.com/globalSearch/IP82C83H/page-1", "IP82C83H")</f>
        <v>IP82C83H</v>
      </c>
      <c r="B44886" s="3" t="str">
        <f>HYPERLINK("https://www.773grp.com/manufacturer/onsemi?pageNo=780", "ON Semiconductor")</f>
        <v>ON Semiconductor</v>
      </c>
      <c r="C44886" s="6">
        <v>696</v>
      </c>
      <c r="D44886" s="7">
        <v>41.4</v>
      </c>
    </row>
    <row r="44887" spans="1:5" x14ac:dyDescent="0.25">
      <c r="A44887" t="str">
        <f>HYPERLINK("https://www.773grp.com/globalSearch/AM188EM-33KC\W-G/page-1", "AM188EM-33KC-W-G")</f>
        <v>AM188EM-33KC-W-G</v>
      </c>
      <c r="B44887" s="3" t="str">
        <f>HYPERLINK("https://www.773grp.com/manufacturer/onsemi?pageNo=781", "ON Semiconductor")</f>
        <v>ON Semiconductor</v>
      </c>
      <c r="C44887" s="6">
        <v>427</v>
      </c>
      <c r="D44887" s="7">
        <v>41.6</v>
      </c>
    </row>
    <row r="44888" spans="1:5" x14ac:dyDescent="0.25">
      <c r="A44888" t="str">
        <f>HYPERLINK("https://www.773grp.com/globalSearch/CLC111AJE/page-1", "CLC111AJE")</f>
        <v>CLC111AJE</v>
      </c>
      <c r="B44888" s="3" t="str">
        <f>HYPERLINK("https://www.773grp.com/manufacturer/onsemi?pageNo=782", "ON Semiconductor")</f>
        <v>ON Semiconductor</v>
      </c>
      <c r="C44888" s="6">
        <v>1848</v>
      </c>
      <c r="D44888" s="7">
        <v>41.69</v>
      </c>
    </row>
    <row r="44889" spans="1:5" x14ac:dyDescent="0.25">
      <c r="A44889" t="str">
        <f>HYPERLINK("https://www.773grp.com/globalSearch/OP15GZ/page-1", "OP15GZ")</f>
        <v>OP15GZ</v>
      </c>
      <c r="B44889" s="3" t="str">
        <f>HYPERLINK("https://www.773grp.com/manufacturer/onsemi?pageNo=783", "ON Semiconductor")</f>
        <v>ON Semiconductor</v>
      </c>
      <c r="C44889" s="6">
        <v>20</v>
      </c>
      <c r="D44889" s="7">
        <v>42.03</v>
      </c>
      <c r="E44889" t="s">
        <v>13</v>
      </c>
    </row>
    <row r="44890" spans="1:5" x14ac:dyDescent="0.25">
      <c r="A44890" t="str">
        <f>HYPERLINK("https://www.773grp.com/globalSearch/74ALS8161NT/page-1", "74ALS8161NT")</f>
        <v>74ALS8161NT</v>
      </c>
      <c r="B44890" s="3" t="str">
        <f>HYPERLINK("https://www.773grp.com/manufacturer/onsemi?pageNo=784", "ON Semiconductor")</f>
        <v>ON Semiconductor</v>
      </c>
      <c r="C44890" s="6">
        <v>856</v>
      </c>
      <c r="D44890" s="7">
        <v>42.24</v>
      </c>
    </row>
    <row r="44891" spans="1:5" x14ac:dyDescent="0.25">
      <c r="A44891" t="str">
        <f>HYPERLINK("https://www.773grp.com/globalSearch/UCC1926DS  REEL/page-1", "UCC1926DS  REEL")</f>
        <v>UCC1926DS  REEL</v>
      </c>
      <c r="B44891" s="3" t="str">
        <f>HYPERLINK("https://www.773grp.com/manufacturer/onsemi?pageNo=785", "ON Semiconductor")</f>
        <v>ON Semiconductor</v>
      </c>
      <c r="C44891" s="6">
        <v>430</v>
      </c>
      <c r="D44891" s="7">
        <v>42.33</v>
      </c>
    </row>
    <row r="44892" spans="1:5" x14ac:dyDescent="0.25">
      <c r="A44892" t="str">
        <f>HYPERLINK("https://www.773grp.com/globalSearch/N8085AH-2-G/page-1", "N8085AH-2-G")</f>
        <v>N8085AH-2-G</v>
      </c>
      <c r="B44892" s="3" t="str">
        <f>HYPERLINK("https://www.773grp.com/manufacturer/onsemi?pageNo=786", "ON Semiconductor")</f>
        <v>ON Semiconductor</v>
      </c>
      <c r="C44892" s="6">
        <v>1008</v>
      </c>
      <c r="D44892" s="7">
        <v>42.41</v>
      </c>
    </row>
    <row r="44893" spans="1:5" x14ac:dyDescent="0.25">
      <c r="A44893" t="str">
        <f>HYPERLINK("https://www.773grp.com/globalSearch/AM27LS07PC/page-1", "AM27LS07PC")</f>
        <v>AM27LS07PC</v>
      </c>
      <c r="B44893" s="3" t="str">
        <f>HYPERLINK("https://www.773grp.com/manufacturer/onsemi?pageNo=787", "ON Semiconductor")</f>
        <v>ON Semiconductor</v>
      </c>
      <c r="C44893" s="6">
        <v>5684</v>
      </c>
      <c r="D44893" s="7">
        <v>42.46</v>
      </c>
      <c r="E44893" t="s">
        <v>75</v>
      </c>
    </row>
    <row r="44894" spans="1:5" x14ac:dyDescent="0.25">
      <c r="A44894" t="str">
        <f>HYPERLINK("https://www.773grp.com/globalSearch/963HC/page-1", "963HC")</f>
        <v>963HC</v>
      </c>
      <c r="B44894" s="3" t="str">
        <f>HYPERLINK("https://www.773grp.com/manufacturer/onsemi?pageNo=788", "ON Semiconductor")</f>
        <v>ON Semiconductor</v>
      </c>
      <c r="C44894" s="6">
        <v>28</v>
      </c>
      <c r="D44894" s="7">
        <v>42.56</v>
      </c>
    </row>
    <row r="44895" spans="1:5" x14ac:dyDescent="0.25">
      <c r="A44895" t="str">
        <f>HYPERLINK("https://www.773grp.com/globalSearch/R534145  LT/page-1", "R534145  LT")</f>
        <v>R534145  LT</v>
      </c>
      <c r="B44895" s="3" t="str">
        <f>HYPERLINK("https://www.773grp.com/manufacturer/onsemi?pageNo=789", "ON Semiconductor")</f>
        <v>ON Semiconductor</v>
      </c>
      <c r="C44895" s="6">
        <v>40</v>
      </c>
      <c r="D44895" s="7">
        <v>42.85</v>
      </c>
    </row>
    <row r="44896" spans="1:5" x14ac:dyDescent="0.25">
      <c r="A44896" t="str">
        <f>HYPERLINK("https://www.773grp.com/globalSearch/N80C152JB/page-1", "N80C152JB")</f>
        <v>N80C152JB</v>
      </c>
      <c r="B44896" s="3" t="str">
        <f>HYPERLINK("https://www.773grp.com/manufacturer/onsemi?pageNo=790", "ON Semiconductor")</f>
        <v>ON Semiconductor</v>
      </c>
      <c r="C44896" s="6">
        <v>976</v>
      </c>
      <c r="D44896" s="7">
        <v>42.85</v>
      </c>
      <c r="E44896" t="s">
        <v>52</v>
      </c>
    </row>
    <row r="44897" spans="1:5" x14ac:dyDescent="0.25">
      <c r="A44897" t="str">
        <f>HYPERLINK("https://www.773grp.com/globalSearch/100183FC/page-1", "100183FC")</f>
        <v>100183FC</v>
      </c>
      <c r="B44897" s="3" t="str">
        <f>HYPERLINK("https://www.773grp.com/manufacturer/onsemi?pageNo=791", "ON Semiconductor")</f>
        <v>ON Semiconductor</v>
      </c>
      <c r="C44897" s="6">
        <v>204</v>
      </c>
      <c r="D44897" s="7">
        <v>43.6</v>
      </c>
      <c r="E44897" t="s">
        <v>43</v>
      </c>
    </row>
    <row r="44898" spans="1:5" x14ac:dyDescent="0.25">
      <c r="A44898" t="str">
        <f>HYPERLINK("https://www.773grp.com/globalSearch/AM27C256-55PC/page-1", "AM27C256-55PC")</f>
        <v>AM27C256-55PC</v>
      </c>
      <c r="B44898" s="3" t="str">
        <f>HYPERLINK("https://www.773grp.com/manufacturer/onsemi?pageNo=792", "ON Semiconductor")</f>
        <v>ON Semiconductor</v>
      </c>
      <c r="C44898" s="6">
        <v>75</v>
      </c>
      <c r="D44898" s="7">
        <v>43.79</v>
      </c>
    </row>
    <row r="44899" spans="1:5" x14ac:dyDescent="0.25">
      <c r="A44899" t="str">
        <f>HYPERLINK("https://www.773grp.com/globalSearch/MM74C911N/page-1", "MM74C911N")</f>
        <v>MM74C911N</v>
      </c>
      <c r="B44899" s="3" t="str">
        <f>HYPERLINK("https://www.773grp.com/manufacturer/onsemi?pageNo=793", "ON Semiconductor")</f>
        <v>ON Semiconductor</v>
      </c>
      <c r="C44899" s="6">
        <v>2021</v>
      </c>
      <c r="D44899" s="7">
        <v>43.86</v>
      </c>
      <c r="E44899" t="s">
        <v>10</v>
      </c>
    </row>
    <row r="44900" spans="1:5" x14ac:dyDescent="0.25">
      <c r="A44900" t="str">
        <f>HYPERLINK("https://www.773grp.com/globalSearch/D8243/page-1", "D8243")</f>
        <v>D8243</v>
      </c>
      <c r="B44900" s="3" t="str">
        <f>HYPERLINK("https://www.773grp.com/manufacturer/onsemi?pageNo=794", "ON Semiconductor")</f>
        <v>ON Semiconductor</v>
      </c>
      <c r="C44900" s="6">
        <v>837</v>
      </c>
      <c r="D44900" s="7">
        <v>43.98</v>
      </c>
      <c r="E44900" t="s">
        <v>46</v>
      </c>
    </row>
    <row r="44901" spans="1:5" x14ac:dyDescent="0.25">
      <c r="A44901" t="str">
        <f>HYPERLINK("https://www.773grp.com/globalSearch/74LS794N/page-1", "74LS794N")</f>
        <v>74LS794N</v>
      </c>
      <c r="B44901" s="3" t="str">
        <f>HYPERLINK("https://www.773grp.com/manufacturer/onsemi?pageNo=795", "ON Semiconductor")</f>
        <v>ON Semiconductor</v>
      </c>
      <c r="C44901" s="6">
        <v>1545</v>
      </c>
      <c r="D44901" s="7">
        <v>44.11</v>
      </c>
    </row>
    <row r="44902" spans="1:5" x14ac:dyDescent="0.25">
      <c r="A44902" t="str">
        <f>HYPERLINK("https://www.773grp.com/globalSearch/9519AJC/page-1", "9519AJC")</f>
        <v>9519AJC</v>
      </c>
      <c r="B44902" s="3" t="str">
        <f>HYPERLINK("https://www.773grp.com/manufacturer/onsemi?pageNo=796", "ON Semiconductor")</f>
        <v>ON Semiconductor</v>
      </c>
      <c r="C44902" s="6">
        <v>49</v>
      </c>
      <c r="D44902" s="7">
        <v>44.36</v>
      </c>
    </row>
    <row r="44903" spans="1:5" x14ac:dyDescent="0.25">
      <c r="A44903" t="str">
        <f>HYPERLINK("https://www.773grp.com/globalSearch/946HM/page-1", "946HM")</f>
        <v>946HM</v>
      </c>
      <c r="B44903" s="3" t="str">
        <f>HYPERLINK("https://www.773grp.com/manufacturer/onsemi?pageNo=797", "ON Semiconductor")</f>
        <v>ON Semiconductor</v>
      </c>
      <c r="C44903" s="6">
        <v>192</v>
      </c>
      <c r="D44903" s="7">
        <v>44.56</v>
      </c>
    </row>
    <row r="44904" spans="1:5" x14ac:dyDescent="0.25">
      <c r="A44904" t="str">
        <f>HYPERLINK("https://www.773grp.com/globalSearch/P8085AH-2/page-1", "P8085AH-2")</f>
        <v>P8085AH-2</v>
      </c>
      <c r="B44904" s="3" t="str">
        <f>HYPERLINK("https://www.773grp.com/manufacturer/onsemi?pageNo=798", "ON Semiconductor")</f>
        <v>ON Semiconductor</v>
      </c>
      <c r="C44904" s="6">
        <v>221</v>
      </c>
      <c r="D44904" s="7">
        <v>44.99</v>
      </c>
      <c r="E44904" t="s">
        <v>81</v>
      </c>
    </row>
    <row r="44905" spans="1:5" x14ac:dyDescent="0.25">
      <c r="A44905" t="str">
        <f>HYPERLINK("https://www.773grp.com/globalSearch/9305DM/page-1", "9305DM")</f>
        <v>9305DM</v>
      </c>
      <c r="B44905" s="3" t="str">
        <f>HYPERLINK("https://www.773grp.com/manufacturer/onsemi?pageNo=799", "ON Semiconductor")</f>
        <v>ON Semiconductor</v>
      </c>
      <c r="C44905" s="6">
        <v>20</v>
      </c>
      <c r="D44905" s="7">
        <v>45.38</v>
      </c>
    </row>
    <row r="44906" spans="1:5" x14ac:dyDescent="0.25">
      <c r="A44906" t="str">
        <f>HYPERLINK("https://www.773grp.com/globalSearch/ICL8211CTY/page-1", "ICL8211CTY")</f>
        <v>ICL8211CTY</v>
      </c>
      <c r="B44906" s="3" t="str">
        <f>HYPERLINK("https://www.773grp.com/manufacturer/onsemi?pageNo=800", "ON Semiconductor")</f>
        <v>ON Semiconductor</v>
      </c>
      <c r="C44906" s="6">
        <v>599</v>
      </c>
      <c r="D44906" s="7">
        <v>45.38</v>
      </c>
      <c r="E44906" t="s">
        <v>30</v>
      </c>
    </row>
    <row r="44907" spans="1:5" x14ac:dyDescent="0.25">
      <c r="A44907" t="str">
        <f>HYPERLINK("https://www.773grp.com/globalSearch/2952ADC/page-1", "2952ADC")</f>
        <v>2952ADC</v>
      </c>
      <c r="B44907" s="3" t="str">
        <f>HYPERLINK("https://www.773grp.com/manufacturer/onsemi?pageNo=801", "ON Semiconductor")</f>
        <v>ON Semiconductor</v>
      </c>
      <c r="C44907" s="6">
        <v>566</v>
      </c>
      <c r="D44907" s="7">
        <v>45.38</v>
      </c>
    </row>
    <row r="44908" spans="1:5" x14ac:dyDescent="0.25">
      <c r="A44908" t="str">
        <f>HYPERLINK("https://www.773grp.com/globalSearch/74HCT620N/page-1", "74HCT620N")</f>
        <v>74HCT620N</v>
      </c>
      <c r="B44908" s="3" t="str">
        <f>HYPERLINK("https://www.773grp.com/manufacturer/onsemi?pageNo=802", "ON Semiconductor")</f>
        <v>ON Semiconductor</v>
      </c>
      <c r="C44908" s="6">
        <v>2311</v>
      </c>
      <c r="D44908" s="7">
        <v>45.38</v>
      </c>
    </row>
    <row r="44909" spans="1:5" x14ac:dyDescent="0.25">
      <c r="A44909" t="str">
        <f>HYPERLINK("https://www.773grp.com/globalSearch/MC10125L/page-1", "MC10125L")</f>
        <v>MC10125L</v>
      </c>
      <c r="B44909" s="3" t="str">
        <f>HYPERLINK("https://www.773grp.com/manufacturer/onsemi?pageNo=803", "ON Semiconductor")</f>
        <v>ON Semiconductor</v>
      </c>
      <c r="C44909" s="6">
        <v>805</v>
      </c>
      <c r="D44909" s="7">
        <v>45.66</v>
      </c>
      <c r="E44909" t="s">
        <v>73</v>
      </c>
    </row>
    <row r="44910" spans="1:5" x14ac:dyDescent="0.25">
      <c r="A44910" t="str">
        <f>HYPERLINK("https://www.773grp.com/globalSearch/TL514CN/page-1", "TL514CN")</f>
        <v>TL514CN</v>
      </c>
      <c r="B44910" s="3" t="str">
        <f>HYPERLINK("https://www.773grp.com/manufacturer/onsemi?pageNo=804", "ON Semiconductor")</f>
        <v>ON Semiconductor</v>
      </c>
      <c r="C44910" s="6">
        <v>2498</v>
      </c>
      <c r="D44910" s="7">
        <v>45.74</v>
      </c>
    </row>
    <row r="44911" spans="1:5" x14ac:dyDescent="0.25">
      <c r="A44911" t="str">
        <f>HYPERLINK("https://www.773grp.com/globalSearch/TD8259A-2/page-1", "TD8259A-2")</f>
        <v>TD8259A-2</v>
      </c>
      <c r="B44911" s="3" t="str">
        <f>HYPERLINK("https://www.773grp.com/manufacturer/onsemi?pageNo=805", "ON Semiconductor")</f>
        <v>ON Semiconductor</v>
      </c>
      <c r="C44911" s="6">
        <v>2235</v>
      </c>
      <c r="D44911" s="7">
        <v>45.81</v>
      </c>
      <c r="E44911" t="s">
        <v>123</v>
      </c>
    </row>
    <row r="44912" spans="1:5" x14ac:dyDescent="0.25">
      <c r="A44912" t="str">
        <f>HYPERLINK("https://www.773grp.com/globalSearch/HA3-2425-5/page-1", "HA3-2425-5")</f>
        <v>HA3-2425-5</v>
      </c>
      <c r="B44912" s="3" t="str">
        <f>HYPERLINK("https://www.773grp.com/manufacturer/onsemi?pageNo=806", "ON Semiconductor")</f>
        <v>ON Semiconductor</v>
      </c>
      <c r="C44912" s="6">
        <v>344</v>
      </c>
      <c r="D44912" s="7">
        <v>46.3</v>
      </c>
    </row>
    <row r="44913" spans="1:5" x14ac:dyDescent="0.25">
      <c r="A44913" t="str">
        <f>HYPERLINK("https://www.773grp.com/globalSearch/54L86DM/page-1", "54L86DM")</f>
        <v>54L86DM</v>
      </c>
      <c r="B44913" s="3" t="str">
        <f>HYPERLINK("https://www.773grp.com/manufacturer/onsemi?pageNo=807", "ON Semiconductor")</f>
        <v>ON Semiconductor</v>
      </c>
      <c r="C44913" s="6">
        <v>1</v>
      </c>
      <c r="D44913" s="7">
        <v>46.63</v>
      </c>
    </row>
    <row r="44914" spans="1:5" x14ac:dyDescent="0.25">
      <c r="A44914" t="str">
        <f>HYPERLINK("https://www.773grp.com/globalSearch/R534145/page-1", "R534145")</f>
        <v>R534145</v>
      </c>
      <c r="B44914" s="3" t="str">
        <f>HYPERLINK("https://www.773grp.com/manufacturer/onsemi?pageNo=808", "ON Semiconductor")</f>
        <v>ON Semiconductor</v>
      </c>
      <c r="C44914" s="6">
        <v>44</v>
      </c>
      <c r="D44914" s="7">
        <v>46.63</v>
      </c>
    </row>
    <row r="44915" spans="1:5" x14ac:dyDescent="0.25">
      <c r="A44915" t="str">
        <f>HYPERLINK("https://www.773grp.com/globalSearch/D8253-5/page-1", "D8253-5")</f>
        <v>D8253-5</v>
      </c>
      <c r="B44915" s="3" t="str">
        <f>HYPERLINK("https://www.773grp.com/manufacturer/onsemi?pageNo=809", "ON Semiconductor")</f>
        <v>ON Semiconductor</v>
      </c>
      <c r="C44915" s="6">
        <v>2</v>
      </c>
      <c r="D44915" s="7">
        <v>47.74</v>
      </c>
      <c r="E44915" t="s">
        <v>82</v>
      </c>
    </row>
    <row r="44916" spans="1:5" x14ac:dyDescent="0.25">
      <c r="A44916" t="str">
        <f>HYPERLINK("https://www.773grp.com/globalSearch/D8253-5/page-1", "D8253-5")</f>
        <v>D8253-5</v>
      </c>
      <c r="B44916" s="3" t="str">
        <f>HYPERLINK("https://www.773grp.com/manufacturer/onsemi?pageNo=810", "ON Semiconductor")</f>
        <v>ON Semiconductor</v>
      </c>
      <c r="C44916" s="6">
        <v>462</v>
      </c>
      <c r="D44916" s="7">
        <v>47.74</v>
      </c>
      <c r="E44916" t="s">
        <v>82</v>
      </c>
    </row>
    <row r="44917" spans="1:5" x14ac:dyDescent="0.25">
      <c r="A44917" t="str">
        <f>HYPERLINK("https://www.773grp.com/globalSearch/R932172/page-1", "R932172")</f>
        <v>R932172</v>
      </c>
      <c r="B44917" s="3" t="str">
        <f>HYPERLINK("https://www.773grp.com/manufacturer/onsemi?pageNo=811", "ON Semiconductor")</f>
        <v>ON Semiconductor</v>
      </c>
      <c r="C44917" s="6">
        <v>456</v>
      </c>
      <c r="D44917" s="7">
        <v>47.89</v>
      </c>
    </row>
    <row r="44918" spans="1:5" x14ac:dyDescent="0.25">
      <c r="A44918" t="str">
        <f>HYPERLINK("https://www.773grp.com/globalSearch/R932172  LT/page-1", "R932172  LT")</f>
        <v>R932172  LT</v>
      </c>
      <c r="B44918" s="3" t="str">
        <f>HYPERLINK("https://www.773grp.com/manufacturer/onsemi?pageNo=812", "ON Semiconductor")</f>
        <v>ON Semiconductor</v>
      </c>
      <c r="C44918" s="6">
        <v>90</v>
      </c>
      <c r="D44918" s="7">
        <v>47.89</v>
      </c>
    </row>
    <row r="44919" spans="1:5" x14ac:dyDescent="0.25">
      <c r="A44919" t="str">
        <f>HYPERLINK("https://www.773grp.com/globalSearch/DS3632J-8/page-1", "DS3632J-8")</f>
        <v>DS3632J-8</v>
      </c>
      <c r="B44919" s="3" t="str">
        <f>HYPERLINK("https://www.773grp.com/manufacturer/onsemi?pageNo=813", "ON Semiconductor")</f>
        <v>ON Semiconductor</v>
      </c>
      <c r="C44919" s="6">
        <v>2261</v>
      </c>
      <c r="D44919" s="7">
        <v>47.89</v>
      </c>
    </row>
    <row r="44920" spans="1:5" x14ac:dyDescent="0.25">
      <c r="A44920" t="str">
        <f>HYPERLINK("https://www.773grp.com/globalSearch/AM27C256-120PC/page-1", "AM27C256-120PC")</f>
        <v>AM27C256-120PC</v>
      </c>
      <c r="B44920" s="3" t="str">
        <f>HYPERLINK("https://www.773grp.com/manufacturer/onsemi?pageNo=814", "ON Semiconductor")</f>
        <v>ON Semiconductor</v>
      </c>
      <c r="C44920" s="6">
        <v>126</v>
      </c>
      <c r="D44920" s="7">
        <v>47.89</v>
      </c>
      <c r="E44920" t="s">
        <v>64</v>
      </c>
    </row>
    <row r="44921" spans="1:5" x14ac:dyDescent="0.25">
      <c r="A44921" t="str">
        <f>HYPERLINK("https://www.773grp.com/globalSearch/TE512S32-25LC/page-1", "TE512S32-25LC")</f>
        <v>TE512S32-25LC</v>
      </c>
      <c r="B44921" s="3" t="str">
        <f>HYPERLINK("https://www.773grp.com/manufacturer/onsemi?pageNo=815", "ON Semiconductor")</f>
        <v>ON Semiconductor</v>
      </c>
      <c r="C44921" s="6">
        <v>901</v>
      </c>
      <c r="D44921" s="7">
        <v>47.99</v>
      </c>
    </row>
    <row r="44922" spans="1:5" x14ac:dyDescent="0.25">
      <c r="A44922" t="str">
        <f>HYPERLINK("https://www.773grp.com/globalSearch/93L12FM/page-1", "93L12FM")</f>
        <v>93L12FM</v>
      </c>
      <c r="B44922" s="3" t="str">
        <f>HYPERLINK("https://www.773grp.com/manufacturer/onsemi?pageNo=816", "ON Semiconductor")</f>
        <v>ON Semiconductor</v>
      </c>
      <c r="C44922" s="6">
        <v>341</v>
      </c>
      <c r="D44922" s="7">
        <v>48.21</v>
      </c>
    </row>
    <row r="44923" spans="1:5" x14ac:dyDescent="0.25">
      <c r="A44923" t="str">
        <f>HYPERLINK("https://www.773grp.com/globalSearch/AM7992BDC/page-1", "AM7992BDC")</f>
        <v>AM7992BDC</v>
      </c>
      <c r="B44923" s="3" t="str">
        <f>HYPERLINK("https://www.773grp.com/manufacturer/onsemi?pageNo=817", "ON Semiconductor")</f>
        <v>ON Semiconductor</v>
      </c>
      <c r="C44923" s="6">
        <v>1034</v>
      </c>
      <c r="D44923" s="7">
        <v>48.28</v>
      </c>
    </row>
    <row r="44924" spans="1:5" x14ac:dyDescent="0.25">
      <c r="A44924" t="str">
        <f>HYPERLINK("https://www.773grp.com/globalSearch/79C90JC/page-1", "79C90JC")</f>
        <v>79C90JC</v>
      </c>
      <c r="B44924" s="3" t="str">
        <f>HYPERLINK("https://www.773grp.com/manufacturer/onsemi?pageNo=818", "ON Semiconductor")</f>
        <v>ON Semiconductor</v>
      </c>
      <c r="C44924" s="6">
        <v>7732</v>
      </c>
      <c r="D44924" s="7">
        <v>48.3</v>
      </c>
    </row>
    <row r="44925" spans="1:5" x14ac:dyDescent="0.25">
      <c r="A44925" t="str">
        <f>HYPERLINK("https://www.773grp.com/globalSearch/AM79C90JC/page-1", "AM79C90JC")</f>
        <v>AM79C90JC</v>
      </c>
      <c r="B44925" s="3" t="str">
        <f>HYPERLINK("https://www.773grp.com/manufacturer/onsemi?pageNo=819", "ON Semiconductor")</f>
        <v>ON Semiconductor</v>
      </c>
      <c r="C44925" s="6">
        <v>11443</v>
      </c>
      <c r="D44925" s="7">
        <v>48.3</v>
      </c>
      <c r="E44925" t="s">
        <v>71</v>
      </c>
    </row>
    <row r="44926" spans="1:5" x14ac:dyDescent="0.25">
      <c r="A44926" t="str">
        <f>HYPERLINK("https://www.773grp.com/globalSearch/R552114  LT/page-1", "R552114  LT")</f>
        <v>R552114  LT</v>
      </c>
      <c r="B44926" s="3" t="str">
        <f>HYPERLINK("https://www.773grp.com/manufacturer/onsemi?pageNo=820", "ON Semiconductor")</f>
        <v>ON Semiconductor</v>
      </c>
      <c r="C44926" s="6">
        <v>48</v>
      </c>
      <c r="D44926" s="7">
        <v>48.54</v>
      </c>
    </row>
    <row r="44927" spans="1:5" x14ac:dyDescent="0.25">
      <c r="A44927" t="str">
        <f>HYPERLINK("https://www.773grp.com/globalSearch/5482W-R/page-1", "5482W-R")</f>
        <v>5482W-R</v>
      </c>
      <c r="B44927" s="3" t="str">
        <f>HYPERLINK("https://www.773grp.com/manufacturer/onsemi?pageNo=821", "ON Semiconductor")</f>
        <v>ON Semiconductor</v>
      </c>
      <c r="C44927" s="6">
        <v>167</v>
      </c>
      <c r="D44927" s="7">
        <v>49.16</v>
      </c>
    </row>
    <row r="44928" spans="1:5" x14ac:dyDescent="0.25">
      <c r="A44928" t="str">
        <f>HYPERLINK("https://www.773grp.com/globalSearch/LD8752BH/page-1", "LD8752BH")</f>
        <v>LD8752BH</v>
      </c>
      <c r="B44928" s="3" t="str">
        <f>HYPERLINK("https://www.773grp.com/manufacturer/onsemi?pageNo=822", "ON Semiconductor")</f>
        <v>ON Semiconductor</v>
      </c>
      <c r="C44928" s="6">
        <v>71</v>
      </c>
      <c r="D44928" s="7">
        <v>49.16</v>
      </c>
      <c r="E44928" t="s">
        <v>52</v>
      </c>
    </row>
    <row r="44929" spans="1:5" x14ac:dyDescent="0.25">
      <c r="A44929" t="str">
        <f>HYPERLINK("https://www.773grp.com/globalSearch/N80C152JB-1/page-1", "N80C152JB-1")</f>
        <v>N80C152JB-1</v>
      </c>
      <c r="B44929" s="3" t="str">
        <f>HYPERLINK("https://www.773grp.com/manufacturer/onsemi?pageNo=823", "ON Semiconductor")</f>
        <v>ON Semiconductor</v>
      </c>
      <c r="C44929" s="6">
        <v>794</v>
      </c>
      <c r="D44929" s="7">
        <v>49.16</v>
      </c>
      <c r="E44929" t="s">
        <v>52</v>
      </c>
    </row>
    <row r="44930" spans="1:5" x14ac:dyDescent="0.25">
      <c r="A44930" t="str">
        <f>HYPERLINK("https://www.773grp.com/globalSearch/CLC406AJE/page-1", "CLC406AJE")</f>
        <v>CLC406AJE</v>
      </c>
      <c r="B44930" s="3" t="str">
        <f>HYPERLINK("https://www.773grp.com/manufacturer/onsemi?pageNo=824", "ON Semiconductor")</f>
        <v>ON Semiconductor</v>
      </c>
      <c r="C44930" s="6">
        <v>4836</v>
      </c>
      <c r="D44930" s="7">
        <v>49.16</v>
      </c>
      <c r="E44930" t="s">
        <v>13</v>
      </c>
    </row>
    <row r="44931" spans="1:5" x14ac:dyDescent="0.25">
      <c r="A44931" t="str">
        <f>HYPERLINK("https://www.773grp.com/globalSearch/2502DC/page-1", "2502DC")</f>
        <v>2502DC</v>
      </c>
      <c r="B44931" s="3" t="str">
        <f>HYPERLINK("https://www.773grp.com/manufacturer/onsemi?pageNo=825", "ON Semiconductor")</f>
        <v>ON Semiconductor</v>
      </c>
      <c r="C44931" s="6">
        <v>230</v>
      </c>
      <c r="D44931" s="7">
        <v>49.16</v>
      </c>
    </row>
    <row r="44932" spans="1:5" x14ac:dyDescent="0.25">
      <c r="A44932" t="str">
        <f>HYPERLINK("https://www.773grp.com/globalSearch/DM7136J  LT/page-1", "DM7136J  LT")</f>
        <v>DM7136J  LT</v>
      </c>
      <c r="B44932" s="3" t="str">
        <f>HYPERLINK("https://www.773grp.com/manufacturer/onsemi?pageNo=826", "ON Semiconductor")</f>
        <v>ON Semiconductor</v>
      </c>
      <c r="C44932" s="6">
        <v>43</v>
      </c>
      <c r="D44932" s="7">
        <v>49.8</v>
      </c>
    </row>
    <row r="44933" spans="1:5" x14ac:dyDescent="0.25">
      <c r="A44933" t="str">
        <f>HYPERLINK("https://www.773grp.com/globalSearch/9519A-1JC/page-1", "9519A-1JC")</f>
        <v>9519A-1JC</v>
      </c>
      <c r="B44933" s="3" t="str">
        <f>HYPERLINK("https://www.773grp.com/manufacturer/onsemi?pageNo=827", "ON Semiconductor")</f>
        <v>ON Semiconductor</v>
      </c>
      <c r="C44933" s="6">
        <v>2465</v>
      </c>
      <c r="D44933" s="7">
        <v>50.04</v>
      </c>
    </row>
    <row r="44934" spans="1:5" x14ac:dyDescent="0.25">
      <c r="A44934" t="str">
        <f>HYPERLINK("https://www.773grp.com/globalSearch/74184N/page-1", "74184N")</f>
        <v>74184N</v>
      </c>
      <c r="B44934" s="3" t="str">
        <f>HYPERLINK("https://www.773grp.com/manufacturer/onsemi?pageNo=828", "ON Semiconductor")</f>
        <v>ON Semiconductor</v>
      </c>
      <c r="C44934" s="6">
        <v>1866</v>
      </c>
      <c r="D44934" s="7">
        <v>50.4</v>
      </c>
    </row>
    <row r="44935" spans="1:5" x14ac:dyDescent="0.25">
      <c r="A44935" t="str">
        <f>HYPERLINK("https://www.773grp.com/globalSearch/HC9P55564-9/page-1", "HC9P55564-9")</f>
        <v>HC9P55564-9</v>
      </c>
      <c r="B44935" s="3" t="str">
        <f>HYPERLINK("https://www.773grp.com/manufacturer/onsemi?pageNo=829", "ON Semiconductor")</f>
        <v>ON Semiconductor</v>
      </c>
      <c r="C44935" s="6">
        <v>11</v>
      </c>
      <c r="D44935" s="7">
        <v>50.4</v>
      </c>
      <c r="E44935" t="s">
        <v>66</v>
      </c>
    </row>
    <row r="44936" spans="1:5" x14ac:dyDescent="0.25">
      <c r="A44936" t="str">
        <f>HYPERLINK("https://www.773grp.com/globalSearch/AM188EM-40KC\W-G  UM/page-1", "AM188EM-40KC-W-G  UM")</f>
        <v>AM188EM-40KC-W-G  UM</v>
      </c>
      <c r="B44936" s="3" t="str">
        <f>HYPERLINK("https://www.773grp.com/manufacturer/onsemi?pageNo=830", "ON Semiconductor")</f>
        <v>ON Semiconductor</v>
      </c>
      <c r="C44936" s="6">
        <v>2694</v>
      </c>
      <c r="D44936" s="7">
        <v>51.1</v>
      </c>
    </row>
    <row r="44937" spans="1:5" x14ac:dyDescent="0.25">
      <c r="A44937" t="str">
        <f>HYPERLINK("https://www.773grp.com/globalSearch/54H62J-B/page-1", "54H62J-B")</f>
        <v>54H62J-B</v>
      </c>
      <c r="B44937" s="3" t="str">
        <f>HYPERLINK("https://www.773grp.com/manufacturer/onsemi?pageNo=831", "ON Semiconductor")</f>
        <v>ON Semiconductor</v>
      </c>
      <c r="C44937" s="6">
        <v>61</v>
      </c>
      <c r="D44937" s="7">
        <v>51.29</v>
      </c>
    </row>
    <row r="44938" spans="1:5" x14ac:dyDescent="0.25">
      <c r="A44938" t="str">
        <f>HYPERLINK("https://www.773grp.com/globalSearch/MAX3657ETC-G/page-1", "MAX3657ETC-G")</f>
        <v>MAX3657ETC-G</v>
      </c>
      <c r="B44938" s="3" t="str">
        <f>HYPERLINK("https://www.773grp.com/manufacturer/onsemi?pageNo=832", "ON Semiconductor")</f>
        <v>ON Semiconductor</v>
      </c>
      <c r="C44938" s="6">
        <v>148</v>
      </c>
      <c r="D44938" s="7">
        <v>51.29</v>
      </c>
    </row>
    <row r="44939" spans="1:5" x14ac:dyDescent="0.25">
      <c r="A44939" t="str">
        <f>HYPERLINK("https://www.773grp.com/globalSearch/ADC1005CCJ/page-1", "ADC1005CCJ")</f>
        <v>ADC1005CCJ</v>
      </c>
      <c r="B44939" s="3" t="str">
        <f>HYPERLINK("https://www.773grp.com/manufacturer/onsemi?pageNo=833", "ON Semiconductor")</f>
        <v>ON Semiconductor</v>
      </c>
      <c r="C44939" s="6">
        <v>1196</v>
      </c>
      <c r="D44939" s="7">
        <v>52.59</v>
      </c>
    </row>
    <row r="44940" spans="1:5" x14ac:dyDescent="0.25">
      <c r="A44940" t="str">
        <f>HYPERLINK("https://www.773grp.com/globalSearch/9L00FM/page-1", "9L00FM")</f>
        <v>9L00FM</v>
      </c>
      <c r="B44940" s="3" t="str">
        <f>HYPERLINK("https://www.773grp.com/manufacturer/onsemi?pageNo=834", "ON Semiconductor")</f>
        <v>ON Semiconductor</v>
      </c>
      <c r="C44940" s="6">
        <v>177</v>
      </c>
      <c r="D44940" s="7">
        <v>52.94</v>
      </c>
    </row>
    <row r="44941" spans="1:5" x14ac:dyDescent="0.25">
      <c r="A44941" t="str">
        <f>HYPERLINK("https://www.773grp.com/globalSearch/R652106/page-1", "R652106")</f>
        <v>R652106</v>
      </c>
      <c r="B44941" s="3" t="str">
        <f>HYPERLINK("https://www.773grp.com/manufacturer/onsemi?pageNo=835", "ON Semiconductor")</f>
        <v>ON Semiconductor</v>
      </c>
      <c r="C44941" s="6">
        <v>162</v>
      </c>
      <c r="D44941" s="7">
        <v>52.94</v>
      </c>
    </row>
    <row r="44942" spans="1:5" x14ac:dyDescent="0.25">
      <c r="A44942" t="str">
        <f>HYPERLINK("https://www.773grp.com/globalSearch/27S29ADC/page-1", "27S29ADC")</f>
        <v>27S29ADC</v>
      </c>
      <c r="B44942" s="3" t="str">
        <f>HYPERLINK("https://www.773grp.com/manufacturer/onsemi?pageNo=836", "ON Semiconductor")</f>
        <v>ON Semiconductor</v>
      </c>
      <c r="C44942" s="6">
        <v>819</v>
      </c>
      <c r="D44942" s="7">
        <v>52.94</v>
      </c>
    </row>
    <row r="44943" spans="1:5" x14ac:dyDescent="0.25">
      <c r="A44943" t="str">
        <f>HYPERLINK("https://www.773grp.com/globalSearch/COP370N/page-1", "COP370N")</f>
        <v>COP370N</v>
      </c>
      <c r="B44943" s="3" t="str">
        <f>HYPERLINK("https://www.773grp.com/manufacturer/onsemi?pageNo=837", "ON Semiconductor")</f>
        <v>ON Semiconductor</v>
      </c>
      <c r="C44943" s="6">
        <v>962</v>
      </c>
      <c r="D44943" s="7">
        <v>52.94</v>
      </c>
    </row>
    <row r="44944" spans="1:5" x14ac:dyDescent="0.25">
      <c r="A44944" t="str">
        <f>HYPERLINK("https://www.773grp.com/globalSearch/9513APC/page-1", "9513APC")</f>
        <v>9513APC</v>
      </c>
      <c r="B44944" s="3" t="str">
        <f>HYPERLINK("https://www.773grp.com/manufacturer/onsemi?pageNo=838", "ON Semiconductor")</f>
        <v>ON Semiconductor</v>
      </c>
      <c r="C44944" s="6">
        <v>1413</v>
      </c>
      <c r="D44944" s="7">
        <v>53.41</v>
      </c>
    </row>
    <row r="44945" spans="1:5" x14ac:dyDescent="0.25">
      <c r="A44945" t="str">
        <f>HYPERLINK("https://www.773grp.com/globalSearch/TE505S16-40QC-G/page-1", "TE505S16-40QC-G")</f>
        <v>TE505S16-40QC-G</v>
      </c>
      <c r="B44945" s="3" t="str">
        <f>HYPERLINK("https://www.773grp.com/manufacturer/onsemi?pageNo=839", "ON Semiconductor")</f>
        <v>ON Semiconductor</v>
      </c>
      <c r="C44945" s="6">
        <v>317</v>
      </c>
      <c r="D44945" s="7">
        <v>54.24</v>
      </c>
    </row>
    <row r="44946" spans="1:5" x14ac:dyDescent="0.25">
      <c r="A44946" t="str">
        <f>HYPERLINK("https://www.773grp.com/globalSearch/AM27C512-150JI/page-1", "AM27C512-150JI")</f>
        <v>AM27C512-150JI</v>
      </c>
      <c r="B44946" s="3" t="str">
        <f>HYPERLINK("https://www.773grp.com/manufacturer/onsemi?pageNo=840", "ON Semiconductor")</f>
        <v>ON Semiconductor</v>
      </c>
      <c r="C44946" s="6">
        <v>50</v>
      </c>
      <c r="D44946" s="7">
        <v>54.38</v>
      </c>
    </row>
    <row r="44947" spans="1:5" x14ac:dyDescent="0.25">
      <c r="A44947" t="str">
        <f>HYPERLINK("https://www.773grp.com/globalSearch/54H01J-B/page-1", "54H01J-B")</f>
        <v>54H01J-B</v>
      </c>
      <c r="B44947" s="3" t="str">
        <f>HYPERLINK("https://www.773grp.com/manufacturer/onsemi?pageNo=841", "ON Semiconductor")</f>
        <v>ON Semiconductor</v>
      </c>
      <c r="C44947" s="6">
        <v>146</v>
      </c>
      <c r="D44947" s="7">
        <v>54.83</v>
      </c>
    </row>
    <row r="44948" spans="1:5" x14ac:dyDescent="0.25">
      <c r="A44948" t="str">
        <f>HYPERLINK("https://www.773grp.com/globalSearch/54H10J-C/page-1", "54H10J-C")</f>
        <v>54H10J-C</v>
      </c>
      <c r="B44948" s="3" t="str">
        <f>HYPERLINK("https://www.773grp.com/manufacturer/onsemi?pageNo=842", "ON Semiconductor")</f>
        <v>ON Semiconductor</v>
      </c>
      <c r="C44948" s="6">
        <v>163</v>
      </c>
      <c r="D44948" s="7">
        <v>54.83</v>
      </c>
    </row>
    <row r="44949" spans="1:5" x14ac:dyDescent="0.25">
      <c r="A44949" t="str">
        <f>HYPERLINK("https://www.773grp.com/globalSearch/54H74J-C/page-1", "54H74J-C")</f>
        <v>54H74J-C</v>
      </c>
      <c r="B44949" s="3" t="str">
        <f>HYPERLINK("https://www.773grp.com/manufacturer/onsemi?pageNo=843", "ON Semiconductor")</f>
        <v>ON Semiconductor</v>
      </c>
      <c r="C44949" s="6">
        <v>138</v>
      </c>
      <c r="D44949" s="7">
        <v>54.83</v>
      </c>
    </row>
    <row r="44950" spans="1:5" x14ac:dyDescent="0.25">
      <c r="A44950" t="str">
        <f>HYPERLINK("https://www.773grp.com/globalSearch/AM186ED-40KC\W/page-1", "AM186ED-40KC-W")</f>
        <v>AM186ED-40KC-W</v>
      </c>
      <c r="B44950" s="3" t="str">
        <f>HYPERLINK("https://www.773grp.com/manufacturer/onsemi?pageNo=844", "ON Semiconductor")</f>
        <v>ON Semiconductor</v>
      </c>
      <c r="C44950" s="6">
        <v>55</v>
      </c>
      <c r="D44950" s="7">
        <v>55</v>
      </c>
    </row>
    <row r="44951" spans="1:5" x14ac:dyDescent="0.25">
      <c r="A44951" t="str">
        <f>HYPERLINK("https://www.773grp.com/globalSearch/54S226J/page-1", "54S226J")</f>
        <v>54S226J</v>
      </c>
      <c r="B44951" s="3" t="str">
        <f>HYPERLINK("https://www.773grp.com/manufacturer/onsemi?pageNo=845", "ON Semiconductor")</f>
        <v>ON Semiconductor</v>
      </c>
      <c r="C44951" s="6">
        <v>209</v>
      </c>
      <c r="D44951" s="7">
        <v>55.45</v>
      </c>
    </row>
    <row r="44952" spans="1:5" x14ac:dyDescent="0.25">
      <c r="A44952" t="str">
        <f>HYPERLINK("https://www.773grp.com/globalSearch/P8085AH-1/page-1", "P8085AH-1")</f>
        <v>P8085AH-1</v>
      </c>
      <c r="B44952" s="3" t="str">
        <f>HYPERLINK("https://www.773grp.com/manufacturer/onsemi?pageNo=846", "ON Semiconductor")</f>
        <v>ON Semiconductor</v>
      </c>
      <c r="C44952" s="6">
        <v>338</v>
      </c>
      <c r="D44952" s="7">
        <v>55.45</v>
      </c>
      <c r="E44952" t="s">
        <v>81</v>
      </c>
    </row>
    <row r="44953" spans="1:5" x14ac:dyDescent="0.25">
      <c r="A44953" t="str">
        <f>HYPERLINK("https://www.773grp.com/globalSearch/26S02DI/page-1", "26S02DI")</f>
        <v>26S02DI</v>
      </c>
      <c r="B44953" s="3" t="str">
        <f>HYPERLINK("https://www.773grp.com/manufacturer/onsemi?pageNo=847", "ON Semiconductor")</f>
        <v>ON Semiconductor</v>
      </c>
      <c r="C44953" s="6">
        <v>1731</v>
      </c>
      <c r="D44953" s="7">
        <v>55.86</v>
      </c>
    </row>
    <row r="44954" spans="1:5" x14ac:dyDescent="0.25">
      <c r="A44954" t="str">
        <f>HYPERLINK("https://www.773grp.com/globalSearch/CLC533AJE/page-1", "CLC533AJE")</f>
        <v>CLC533AJE</v>
      </c>
      <c r="B44954" s="3" t="str">
        <f>HYPERLINK("https://www.773grp.com/manufacturer/onsemi?pageNo=848", "ON Semiconductor")</f>
        <v>ON Semiconductor</v>
      </c>
      <c r="C44954" s="6">
        <v>2415</v>
      </c>
      <c r="D44954" s="7">
        <v>56.4</v>
      </c>
      <c r="E44954" t="s">
        <v>56</v>
      </c>
    </row>
    <row r="44955" spans="1:5" x14ac:dyDescent="0.25">
      <c r="A44955" t="str">
        <f>HYPERLINK("https://www.773grp.com/globalSearch/2911ADC/page-1", "2911ADC")</f>
        <v>2911ADC</v>
      </c>
      <c r="B44955" s="3" t="str">
        <f>HYPERLINK("https://www.773grp.com/manufacturer/onsemi?pageNo=849", "ON Semiconductor")</f>
        <v>ON Semiconductor</v>
      </c>
      <c r="C44955" s="6">
        <v>12</v>
      </c>
      <c r="D44955" s="7">
        <v>56.71</v>
      </c>
    </row>
    <row r="44956" spans="1:5" x14ac:dyDescent="0.25">
      <c r="A44956" t="str">
        <f>HYPERLINK("https://www.773grp.com/globalSearch/SCANPSC110FSC/page-1", "SCANPSC110FSC")</f>
        <v>SCANPSC110FSC</v>
      </c>
      <c r="B44956" s="3" t="str">
        <f>HYPERLINK("https://www.773grp.com/manufacturer/onsemi?pageNo=850", "ON Semiconductor")</f>
        <v>ON Semiconductor</v>
      </c>
      <c r="C44956" s="6">
        <v>836</v>
      </c>
      <c r="D44956" s="7">
        <v>56.71</v>
      </c>
    </row>
    <row r="44957" spans="1:5" x14ac:dyDescent="0.25">
      <c r="A44957" t="str">
        <f>HYPERLINK("https://www.773grp.com/globalSearch/75478JG/page-1", "75478JG")</f>
        <v>75478JG</v>
      </c>
      <c r="B44957" s="3" t="str">
        <f>HYPERLINK("https://www.773grp.com/manufacturer/onsemi?pageNo=851", "ON Semiconductor")</f>
        <v>ON Semiconductor</v>
      </c>
      <c r="C44957" s="6">
        <v>305</v>
      </c>
      <c r="D44957" s="7">
        <v>56.98</v>
      </c>
    </row>
    <row r="44958" spans="1:5" x14ac:dyDescent="0.25">
      <c r="A44958" t="str">
        <f>HYPERLINK("https://www.773grp.com/globalSearch/54196DM-B/page-1", "54196DM-B")</f>
        <v>54196DM-B</v>
      </c>
      <c r="B44958" s="3" t="str">
        <f>HYPERLINK("https://www.773grp.com/manufacturer/onsemi?pageNo=852", "ON Semiconductor")</f>
        <v>ON Semiconductor</v>
      </c>
      <c r="C44958" s="6">
        <v>248</v>
      </c>
      <c r="D44958" s="7">
        <v>58.61</v>
      </c>
    </row>
    <row r="44959" spans="1:5" x14ac:dyDescent="0.25">
      <c r="A44959" t="str">
        <f>HYPERLINK("https://www.773grp.com/globalSearch/N82C288-10/page-1", "N82C288-10")</f>
        <v>N82C288-10</v>
      </c>
      <c r="B44959" s="3" t="str">
        <f>HYPERLINK("https://www.773grp.com/manufacturer/onsemi?pageNo=853", "ON Semiconductor")</f>
        <v>ON Semiconductor</v>
      </c>
      <c r="C44959" s="6">
        <v>4069</v>
      </c>
      <c r="D44959" s="7">
        <v>58.84</v>
      </c>
      <c r="E44959" t="s">
        <v>91</v>
      </c>
    </row>
    <row r="44960" spans="1:5" x14ac:dyDescent="0.25">
      <c r="A44960" t="str">
        <f>HYPERLINK("https://www.773grp.com/globalSearch/7123J-C/page-1", "7123J-C")</f>
        <v>7123J-C</v>
      </c>
      <c r="B44960" s="3" t="str">
        <f>HYPERLINK("https://www.773grp.com/manufacturer/onsemi?pageNo=854", "ON Semiconductor")</f>
        <v>ON Semiconductor</v>
      </c>
      <c r="C44960" s="6">
        <v>110</v>
      </c>
      <c r="D44960" s="7">
        <v>59.24</v>
      </c>
    </row>
    <row r="44961" spans="1:5" x14ac:dyDescent="0.25">
      <c r="A44961" t="str">
        <f>HYPERLINK("https://www.773grp.com/globalSearch/HA7-5221-5/page-1", "HA7-5221-5")</f>
        <v>HA7-5221-5</v>
      </c>
      <c r="B44961" s="3" t="str">
        <f>HYPERLINK("https://www.773grp.com/manufacturer/onsemi?pageNo=855", "ON Semiconductor")</f>
        <v>ON Semiconductor</v>
      </c>
      <c r="C44961" s="6">
        <v>820</v>
      </c>
      <c r="D44961" s="7">
        <v>59.8</v>
      </c>
      <c r="E44961" t="s">
        <v>13</v>
      </c>
    </row>
    <row r="44962" spans="1:5" x14ac:dyDescent="0.25">
      <c r="A44962" t="str">
        <f>HYPERLINK("https://www.773grp.com/globalSearch/970088-51/page-1", "970088-51")</f>
        <v>970088-51</v>
      </c>
      <c r="B44962" s="3" t="str">
        <f>HYPERLINK("https://www.773grp.com/manufacturer/onsemi?pageNo=856", "ON Semiconductor")</f>
        <v>ON Semiconductor</v>
      </c>
      <c r="C44962" s="6">
        <v>311</v>
      </c>
      <c r="D44962" s="7">
        <v>59.88</v>
      </c>
    </row>
    <row r="44963" spans="1:5" x14ac:dyDescent="0.25">
      <c r="A44963" t="str">
        <f>HYPERLINK("https://www.773grp.com/globalSearch/100182FC/page-1", "100182FC")</f>
        <v>100182FC</v>
      </c>
      <c r="B44963" s="3" t="str">
        <f>HYPERLINK("https://www.773grp.com/manufacturer/onsemi?pageNo=857", "ON Semiconductor")</f>
        <v>ON Semiconductor</v>
      </c>
      <c r="C44963" s="6">
        <v>128</v>
      </c>
      <c r="D44963" s="7">
        <v>60.09</v>
      </c>
      <c r="E44963" t="s">
        <v>43</v>
      </c>
    </row>
    <row r="44964" spans="1:5" x14ac:dyDescent="0.25">
      <c r="A44964" t="str">
        <f>HYPERLINK("https://www.773grp.com/globalSearch/TE512S32-40LC/page-1", "TE512S32-40LC")</f>
        <v>TE512S32-40LC</v>
      </c>
      <c r="B44964" s="3" t="str">
        <f>HYPERLINK("https://www.773grp.com/manufacturer/onsemi?pageNo=858", "ON Semiconductor")</f>
        <v>ON Semiconductor</v>
      </c>
      <c r="C44964" s="6">
        <v>746</v>
      </c>
      <c r="D44964" s="7">
        <v>60.11</v>
      </c>
    </row>
    <row r="44965" spans="1:5" x14ac:dyDescent="0.25">
      <c r="A44965" t="str">
        <f>HYPERLINK("https://www.773grp.com/globalSearch/HIP0081AS2/page-1", "HIP0081AS2")</f>
        <v>HIP0081AS2</v>
      </c>
      <c r="B44965" s="3" t="str">
        <f>HYPERLINK("https://www.773grp.com/manufacturer/onsemi?pageNo=859", "ON Semiconductor")</f>
        <v>ON Semiconductor</v>
      </c>
      <c r="C44965" s="6">
        <v>817</v>
      </c>
      <c r="D44965" s="7">
        <v>60.5</v>
      </c>
      <c r="E44965" t="s">
        <v>11</v>
      </c>
    </row>
    <row r="44966" spans="1:5" x14ac:dyDescent="0.25">
      <c r="A44966" t="str">
        <f>HYPERLINK("https://www.773grp.com/globalSearch/MC1505L/page-1", "MC1505L")</f>
        <v>MC1505L</v>
      </c>
      <c r="B44966" s="3" t="str">
        <f>HYPERLINK("https://www.773grp.com/manufacturer/onsemi?pageNo=860", "ON Semiconductor")</f>
        <v>ON Semiconductor</v>
      </c>
      <c r="C44966" s="6">
        <v>563</v>
      </c>
      <c r="D44966" s="7">
        <v>60.5</v>
      </c>
    </row>
    <row r="44967" spans="1:5" x14ac:dyDescent="0.25">
      <c r="A44967" t="str">
        <f>HYPERLINK("https://www.773grp.com/globalSearch/LM310J-8/page-1", "LM310J-8")</f>
        <v>LM310J-8</v>
      </c>
      <c r="B44967" s="3" t="str">
        <f>HYPERLINK("https://www.773grp.com/manufacturer/onsemi?pageNo=861", "ON Semiconductor")</f>
        <v>ON Semiconductor</v>
      </c>
      <c r="C44967" s="6">
        <v>1843</v>
      </c>
      <c r="D44967" s="7">
        <v>60.5</v>
      </c>
    </row>
    <row r="44968" spans="1:5" x14ac:dyDescent="0.25">
      <c r="A44968" t="str">
        <f>HYPERLINK("https://www.773grp.com/globalSearch/LM615AIN/page-1", "LM615AIN")</f>
        <v>LM615AIN</v>
      </c>
      <c r="B44968" s="3" t="str">
        <f>HYPERLINK("https://www.773grp.com/manufacturer/onsemi?pageNo=862", "ON Semiconductor")</f>
        <v>ON Semiconductor</v>
      </c>
      <c r="C44968" s="6">
        <v>483</v>
      </c>
      <c r="D44968" s="7">
        <v>60.5</v>
      </c>
      <c r="E44968" t="s">
        <v>9</v>
      </c>
    </row>
    <row r="44969" spans="1:5" x14ac:dyDescent="0.25">
      <c r="A44969" t="str">
        <f>HYPERLINK("https://www.773grp.com/globalSearch/LM615IM/page-1", "LM615IM")</f>
        <v>LM615IM</v>
      </c>
      <c r="B44969" s="3" t="str">
        <f>HYPERLINK("https://www.773grp.com/manufacturer/onsemi?pageNo=863", "ON Semiconductor")</f>
        <v>ON Semiconductor</v>
      </c>
      <c r="C44969" s="6">
        <v>1485</v>
      </c>
      <c r="D44969" s="7">
        <v>60.5</v>
      </c>
    </row>
    <row r="44970" spans="1:5" x14ac:dyDescent="0.25">
      <c r="A44970" t="str">
        <f>HYPERLINK("https://www.773grp.com/globalSearch/74143N/page-1", "74143N")</f>
        <v>74143N</v>
      </c>
      <c r="B44970" s="3" t="str">
        <f>HYPERLINK("https://www.773grp.com/manufacturer/onsemi?pageNo=864", "ON Semiconductor")</f>
        <v>ON Semiconductor</v>
      </c>
      <c r="C44970" s="6">
        <v>311</v>
      </c>
      <c r="D44970" s="7">
        <v>60.5</v>
      </c>
    </row>
    <row r="44971" spans="1:5" x14ac:dyDescent="0.25">
      <c r="A44971" t="str">
        <f>HYPERLINK("https://www.773grp.com/globalSearch/74AS881ANT/page-1", "74AS881ANT")</f>
        <v>74AS881ANT</v>
      </c>
      <c r="B44971" s="3" t="str">
        <f>HYPERLINK("https://www.773grp.com/manufacturer/onsemi?pageNo=865", "ON Semiconductor")</f>
        <v>ON Semiconductor</v>
      </c>
      <c r="C44971" s="6">
        <v>214</v>
      </c>
      <c r="D44971" s="7">
        <v>60.74</v>
      </c>
    </row>
    <row r="44972" spans="1:5" x14ac:dyDescent="0.25">
      <c r="A44972" t="str">
        <f>HYPERLINK("https://www.773grp.com/globalSearch/AM186ED-40VI\W/page-1", "AM186ED-40VI-W")</f>
        <v>AM186ED-40VI-W</v>
      </c>
      <c r="B44972" s="3" t="str">
        <f>HYPERLINK("https://www.773grp.com/manufacturer/onsemi?pageNo=866", "ON Semiconductor")</f>
        <v>ON Semiconductor</v>
      </c>
      <c r="C44972" s="6">
        <v>1879</v>
      </c>
      <c r="D44972" s="7">
        <v>61.14</v>
      </c>
    </row>
    <row r="44973" spans="1:5" x14ac:dyDescent="0.25">
      <c r="A44973" t="str">
        <f>HYPERLINK("https://www.773grp.com/globalSearch/P82050/page-1", "P82050")</f>
        <v>P82050</v>
      </c>
      <c r="B44973" s="3" t="str">
        <f>HYPERLINK("https://www.773grp.com/manufacturer/onsemi?pageNo=867", "ON Semiconductor")</f>
        <v>ON Semiconductor</v>
      </c>
      <c r="C44973" s="6">
        <v>2011</v>
      </c>
      <c r="D44973" s="7">
        <v>61.65</v>
      </c>
      <c r="E44973" t="s">
        <v>71</v>
      </c>
    </row>
    <row r="44974" spans="1:5" x14ac:dyDescent="0.25">
      <c r="A44974" t="str">
        <f>HYPERLINK("https://www.773grp.com/globalSearch/P82510/page-1", "P82510")</f>
        <v>P82510</v>
      </c>
      <c r="B44974" s="3" t="str">
        <f>HYPERLINK("https://www.773grp.com/manufacturer/onsemi?pageNo=868", "ON Semiconductor")</f>
        <v>ON Semiconductor</v>
      </c>
      <c r="C44974" s="6">
        <v>4249</v>
      </c>
      <c r="D44974" s="7">
        <v>61.65</v>
      </c>
      <c r="E44974" t="s">
        <v>71</v>
      </c>
    </row>
    <row r="44975" spans="1:5" x14ac:dyDescent="0.25">
      <c r="A44975" t="str">
        <f>HYPERLINK("https://www.773grp.com/globalSearch/P8749H/page-1", "P8749H")</f>
        <v>P8749H</v>
      </c>
      <c r="B44975" s="3" t="str">
        <f>HYPERLINK("https://www.773grp.com/manufacturer/onsemi?pageNo=869", "ON Semiconductor")</f>
        <v>ON Semiconductor</v>
      </c>
      <c r="C44975" s="6">
        <v>820</v>
      </c>
      <c r="D44975" s="7">
        <v>61.88</v>
      </c>
      <c r="E44975" t="s">
        <v>52</v>
      </c>
    </row>
    <row r="44976" spans="1:5" x14ac:dyDescent="0.25">
      <c r="A44976" t="str">
        <f>HYPERLINK("https://www.773grp.com/globalSearch/9519A-1PC/page-1", "9519A-1PC")</f>
        <v>9519A-1PC</v>
      </c>
      <c r="B44976" s="3" t="str">
        <f>HYPERLINK("https://www.773grp.com/manufacturer/onsemi?pageNo=870", "ON Semiconductor")</f>
        <v>ON Semiconductor</v>
      </c>
      <c r="C44976" s="6">
        <v>680</v>
      </c>
      <c r="D44976" s="7">
        <v>62.01</v>
      </c>
    </row>
    <row r="44977" spans="1:5" x14ac:dyDescent="0.25">
      <c r="A44977" t="str">
        <f>HYPERLINK("https://www.773grp.com/globalSearch/960DC/page-1", "960DC")</f>
        <v>960DC</v>
      </c>
      <c r="B44977" s="3" t="str">
        <f>HYPERLINK("https://www.773grp.com/manufacturer/onsemi?pageNo=871", "ON Semiconductor")</f>
        <v>ON Semiconductor</v>
      </c>
      <c r="C44977" s="6">
        <v>382</v>
      </c>
      <c r="D44977" s="7">
        <v>63.01</v>
      </c>
    </row>
    <row r="44978" spans="1:5" x14ac:dyDescent="0.25">
      <c r="A44978" t="str">
        <f>HYPERLINK("https://www.773grp.com/globalSearch/SN7495AJ/page-1", "SN7495AJ")</f>
        <v>SN7495AJ</v>
      </c>
      <c r="B44978" s="3" t="str">
        <f>HYPERLINK("https://www.773grp.com/manufacturer/onsemi?pageNo=872", "ON Semiconductor")</f>
        <v>ON Semiconductor</v>
      </c>
      <c r="C44978" s="6">
        <v>788</v>
      </c>
      <c r="D44978" s="7">
        <v>63.01</v>
      </c>
    </row>
    <row r="44979" spans="1:5" x14ac:dyDescent="0.25">
      <c r="A44979" t="str">
        <f>HYPERLINK("https://www.773grp.com/globalSearch/74LS384N/page-1", "74LS384N")</f>
        <v>74LS384N</v>
      </c>
      <c r="B44979" s="3" t="str">
        <f>HYPERLINK("https://www.773grp.com/manufacturer/onsemi?pageNo=873", "ON Semiconductor")</f>
        <v>ON Semiconductor</v>
      </c>
      <c r="C44979" s="6">
        <v>25</v>
      </c>
      <c r="D44979" s="7">
        <v>63.75</v>
      </c>
    </row>
    <row r="44980" spans="1:5" x14ac:dyDescent="0.25">
      <c r="A44980" t="str">
        <f>HYPERLINK("https://www.773grp.com/globalSearch/N82050/page-1", "N82050")</f>
        <v>N82050</v>
      </c>
      <c r="B44980" s="3" t="str">
        <f>HYPERLINK("https://www.773grp.com/manufacturer/onsemi?pageNo=874", "ON Semiconductor")</f>
        <v>ON Semiconductor</v>
      </c>
      <c r="C44980" s="6">
        <v>1196</v>
      </c>
      <c r="D44980" s="7">
        <v>64.180000000000007</v>
      </c>
      <c r="E44980" t="s">
        <v>71</v>
      </c>
    </row>
    <row r="44981" spans="1:5" x14ac:dyDescent="0.25">
      <c r="A44981" t="str">
        <f>HYPERLINK("https://www.773grp.com/globalSearch/CY7C429-20VC/page-1", "CY7C429-20VC")</f>
        <v>CY7C429-20VC</v>
      </c>
      <c r="B44981" s="3" t="str">
        <f>HYPERLINK("https://www.773grp.com/manufacturer/onsemi?pageNo=875", "ON Semiconductor")</f>
        <v>ON Semiconductor</v>
      </c>
      <c r="C44981" s="6">
        <v>185</v>
      </c>
      <c r="D44981" s="7">
        <v>64.28</v>
      </c>
      <c r="E44981" t="s">
        <v>89</v>
      </c>
    </row>
    <row r="44982" spans="1:5" x14ac:dyDescent="0.25">
      <c r="A44982" t="str">
        <f>HYPERLINK("https://www.773grp.com/globalSearch/P8044AH/page-1", "P8044AH")</f>
        <v>P8044AH</v>
      </c>
      <c r="B44982" s="3" t="str">
        <f>HYPERLINK("https://www.773grp.com/manufacturer/onsemi?pageNo=876", "ON Semiconductor")</f>
        <v>ON Semiconductor</v>
      </c>
      <c r="C44982" s="6">
        <v>22250</v>
      </c>
      <c r="D44982" s="7">
        <v>65.540000000000006</v>
      </c>
      <c r="E44982" t="s">
        <v>52</v>
      </c>
    </row>
    <row r="44983" spans="1:5" x14ac:dyDescent="0.25">
      <c r="A44983" t="str">
        <f>HYPERLINK("https://www.773grp.com/globalSearch/P80C152JC/page-1", "P80C152JC")</f>
        <v>P80C152JC</v>
      </c>
      <c r="B44983" s="3" t="str">
        <f>HYPERLINK("https://www.773grp.com/manufacturer/onsemi?pageNo=877", "ON Semiconductor")</f>
        <v>ON Semiconductor</v>
      </c>
      <c r="C44983" s="6">
        <v>654</v>
      </c>
      <c r="D44983" s="7">
        <v>65.540000000000006</v>
      </c>
      <c r="E44983" t="s">
        <v>52</v>
      </c>
    </row>
    <row r="44984" spans="1:5" x14ac:dyDescent="0.25">
      <c r="A44984" t="str">
        <f>HYPERLINK("https://www.773grp.com/globalSearch/TN82527/page-1", "TN82527")</f>
        <v>TN82527</v>
      </c>
      <c r="B44984" s="3" t="str">
        <f>HYPERLINK("https://www.773grp.com/manufacturer/onsemi?pageNo=878", "ON Semiconductor")</f>
        <v>ON Semiconductor</v>
      </c>
      <c r="C44984" s="6">
        <v>129</v>
      </c>
      <c r="D44984" s="7">
        <v>66.19</v>
      </c>
      <c r="E44984" t="s">
        <v>71</v>
      </c>
    </row>
    <row r="44985" spans="1:5" x14ac:dyDescent="0.25">
      <c r="A44985" t="str">
        <f>HYPERLINK("https://www.773grp.com/globalSearch/ADC1038CIWM/page-1", "ADC1038CIWM")</f>
        <v>ADC1038CIWM</v>
      </c>
      <c r="B44985" s="3" t="str">
        <f>HYPERLINK("https://www.773grp.com/manufacturer/onsemi?pageNo=879", "ON Semiconductor")</f>
        <v>ON Semiconductor</v>
      </c>
      <c r="C44985" s="6">
        <v>793</v>
      </c>
      <c r="D44985" s="7">
        <v>66.19</v>
      </c>
      <c r="E44985" t="s">
        <v>39</v>
      </c>
    </row>
    <row r="44986" spans="1:5" x14ac:dyDescent="0.25">
      <c r="A44986" t="str">
        <f>HYPERLINK("https://www.773grp.com/globalSearch/11C90DM/page-1", "11C90DM")</f>
        <v>11C90DM</v>
      </c>
      <c r="B44986" s="3" t="str">
        <f>HYPERLINK("https://www.773grp.com/manufacturer/onsemi?pageNo=880", "ON Semiconductor")</f>
        <v>ON Semiconductor</v>
      </c>
      <c r="C44986" s="6">
        <v>1334</v>
      </c>
      <c r="D44986" s="7">
        <v>66.540000000000006</v>
      </c>
      <c r="E44986" t="s">
        <v>54</v>
      </c>
    </row>
    <row r="44987" spans="1:5" x14ac:dyDescent="0.25">
      <c r="A44987" t="str">
        <f>HYPERLINK("https://www.773grp.com/globalSearch/54L20W-C/page-1", "54L20W-C")</f>
        <v>54L20W-C</v>
      </c>
      <c r="B44987" s="3" t="str">
        <f>HYPERLINK("https://www.773grp.com/manufacturer/onsemi?pageNo=881", "ON Semiconductor")</f>
        <v>ON Semiconductor</v>
      </c>
      <c r="C44987" s="6">
        <v>245</v>
      </c>
      <c r="D44987" s="7">
        <v>66.790000000000006</v>
      </c>
    </row>
    <row r="44988" spans="1:5" x14ac:dyDescent="0.25">
      <c r="A44988" t="str">
        <f>HYPERLINK("https://www.773grp.com/globalSearch/ICL8049CCPE/page-1", "ICL8049CCPE")</f>
        <v>ICL8049CCPE</v>
      </c>
      <c r="B44988" s="3" t="str">
        <f>HYPERLINK("https://www.773grp.com/manufacturer/onsemi?pageNo=882", "ON Semiconductor")</f>
        <v>ON Semiconductor</v>
      </c>
      <c r="C44988" s="6">
        <v>3957</v>
      </c>
      <c r="D44988" s="7">
        <v>66.790000000000006</v>
      </c>
    </row>
    <row r="44989" spans="1:5" x14ac:dyDescent="0.25">
      <c r="A44989" t="str">
        <f>HYPERLINK("https://www.773grp.com/globalSearch/MC68HC711E9CFU3/page-1", "MC68HC711E9CFU3")</f>
        <v>MC68HC711E9CFU3</v>
      </c>
      <c r="B44989" s="3" t="str">
        <f>HYPERLINK("https://www.773grp.com/manufacturer/onsemi?pageNo=883", "ON Semiconductor")</f>
        <v>ON Semiconductor</v>
      </c>
      <c r="C44989" s="6">
        <v>1440</v>
      </c>
      <c r="D44989" s="7">
        <v>67.08</v>
      </c>
    </row>
    <row r="44990" spans="1:5" x14ac:dyDescent="0.25">
      <c r="A44990" t="str">
        <f>HYPERLINK("https://www.773grp.com/globalSearch/AM79C940BKC\W/page-1", "AM79C940BKC-W")</f>
        <v>AM79C940BKC-W</v>
      </c>
      <c r="B44990" s="3" t="str">
        <f>HYPERLINK("https://www.773grp.com/manufacturer/onsemi?pageNo=884", "ON Semiconductor")</f>
        <v>ON Semiconductor</v>
      </c>
      <c r="C44990" s="6">
        <v>1286</v>
      </c>
      <c r="D44990" s="7">
        <v>67.739999999999995</v>
      </c>
    </row>
    <row r="44991" spans="1:5" x14ac:dyDescent="0.25">
      <c r="A44991" t="str">
        <f>HYPERLINK("https://www.773grp.com/globalSearch/25LS2521DC/page-1", "25LS2521DC")</f>
        <v>25LS2521DC</v>
      </c>
      <c r="B44991" s="3" t="str">
        <f>HYPERLINK("https://www.773grp.com/manufacturer/onsemi?pageNo=885", "ON Semiconductor")</f>
        <v>ON Semiconductor</v>
      </c>
      <c r="C44991" s="6">
        <v>25</v>
      </c>
      <c r="D44991" s="7">
        <v>67.8</v>
      </c>
    </row>
    <row r="44992" spans="1:5" x14ac:dyDescent="0.25">
      <c r="A44992" t="str">
        <f>HYPERLINK("https://www.773grp.com/globalSearch/R534176/page-1", "R534176")</f>
        <v>R534176</v>
      </c>
      <c r="B44992" s="3" t="str">
        <f>HYPERLINK("https://www.773grp.com/manufacturer/onsemi?pageNo=886", "ON Semiconductor")</f>
        <v>ON Semiconductor</v>
      </c>
      <c r="C44992" s="6">
        <v>1123</v>
      </c>
      <c r="D44992" s="7">
        <v>68.06</v>
      </c>
    </row>
    <row r="44993" spans="1:5" x14ac:dyDescent="0.25">
      <c r="A44993" t="str">
        <f>HYPERLINK("https://www.773grp.com/globalSearch/R534176  LT/page-1", "R534176  LT")</f>
        <v>R534176  LT</v>
      </c>
      <c r="B44993" s="3" t="str">
        <f>HYPERLINK("https://www.773grp.com/manufacturer/onsemi?pageNo=887", "ON Semiconductor")</f>
        <v>ON Semiconductor</v>
      </c>
      <c r="C44993" s="6">
        <v>45</v>
      </c>
      <c r="D44993" s="7">
        <v>68.06</v>
      </c>
    </row>
    <row r="44994" spans="1:5" x14ac:dyDescent="0.25">
      <c r="A44994" t="str">
        <f>HYPERLINK("https://www.773grp.com/globalSearch/26LS29DM-B/page-1", "26LS29DM-B")</f>
        <v>26LS29DM-B</v>
      </c>
      <c r="B44994" s="3" t="str">
        <f>HYPERLINK("https://www.773grp.com/manufacturer/onsemi?pageNo=888", "ON Semiconductor")</f>
        <v>ON Semiconductor</v>
      </c>
      <c r="C44994" s="6">
        <v>1037</v>
      </c>
      <c r="D44994" s="7">
        <v>68.06</v>
      </c>
    </row>
    <row r="44995" spans="1:5" x14ac:dyDescent="0.25">
      <c r="A44995" t="str">
        <f>HYPERLINK("https://www.773grp.com/globalSearch/26LS31DM-B/page-1", "26LS31DM-B")</f>
        <v>26LS31DM-B</v>
      </c>
      <c r="B44995" s="3" t="str">
        <f>HYPERLINK("https://www.773grp.com/manufacturer/onsemi?pageNo=889", "ON Semiconductor")</f>
        <v>ON Semiconductor</v>
      </c>
      <c r="C44995" s="6">
        <v>730</v>
      </c>
      <c r="D44995" s="7">
        <v>68.06</v>
      </c>
    </row>
    <row r="44996" spans="1:5" x14ac:dyDescent="0.25">
      <c r="A44996" t="str">
        <f>HYPERLINK("https://www.773grp.com/globalSearch/26LS32DM-B/page-1", "26LS32DM-B")</f>
        <v>26LS32DM-B</v>
      </c>
      <c r="B44996" s="3" t="str">
        <f>HYPERLINK("https://www.773grp.com/manufacturer/onsemi?pageNo=890", "ON Semiconductor")</f>
        <v>ON Semiconductor</v>
      </c>
      <c r="C44996" s="6">
        <v>1245</v>
      </c>
      <c r="D44996" s="7">
        <v>68.06</v>
      </c>
    </row>
    <row r="44997" spans="1:5" x14ac:dyDescent="0.25">
      <c r="A44997" t="str">
        <f>HYPERLINK("https://www.773grp.com/globalSearch/26LS33DM-B/page-1", "26LS33DM-B")</f>
        <v>26LS33DM-B</v>
      </c>
      <c r="B44997" s="3" t="str">
        <f>HYPERLINK("https://www.773grp.com/manufacturer/onsemi?pageNo=891", "ON Semiconductor")</f>
        <v>ON Semiconductor</v>
      </c>
      <c r="C44997" s="6">
        <v>1324</v>
      </c>
      <c r="D44997" s="7">
        <v>68.06</v>
      </c>
    </row>
    <row r="44998" spans="1:5" x14ac:dyDescent="0.25">
      <c r="A44998" t="str">
        <f>HYPERLINK("https://www.773grp.com/globalSearch/N8044AH/page-1", "N8044AH")</f>
        <v>N8044AH</v>
      </c>
      <c r="B44998" s="3" t="str">
        <f>HYPERLINK("https://www.773grp.com/manufacturer/onsemi?pageNo=892", "ON Semiconductor")</f>
        <v>ON Semiconductor</v>
      </c>
      <c r="C44998" s="6">
        <v>1618</v>
      </c>
      <c r="D44998" s="7">
        <v>68.06</v>
      </c>
      <c r="E44998" t="s">
        <v>52</v>
      </c>
    </row>
    <row r="44999" spans="1:5" x14ac:dyDescent="0.25">
      <c r="A44999" t="str">
        <f>HYPERLINK("https://www.773grp.com/globalSearch/54HC238FK-B/page-1", "54HC238FK-B")</f>
        <v>54HC238FK-B</v>
      </c>
      <c r="B44999" s="3" t="str">
        <f>HYPERLINK("https://www.773grp.com/manufacturer/onsemi?pageNo=893", "ON Semiconductor")</f>
        <v>ON Semiconductor</v>
      </c>
      <c r="C44999" s="6">
        <v>183</v>
      </c>
      <c r="D44999" s="7">
        <v>68.7</v>
      </c>
    </row>
    <row r="45000" spans="1:5" x14ac:dyDescent="0.25">
      <c r="A45000" t="str">
        <f>HYPERLINK("https://www.773grp.com/globalSearch/26S02-BEA/page-1", "26S02-BEA")</f>
        <v>26S02-BEA</v>
      </c>
      <c r="B45000" s="3" t="str">
        <f>HYPERLINK("https://www.773grp.com/manufacturer/onsemi?pageNo=894", "ON Semiconductor")</f>
        <v>ON Semiconductor</v>
      </c>
      <c r="C45000" s="6">
        <v>691</v>
      </c>
      <c r="D45000" s="7">
        <v>68.8</v>
      </c>
    </row>
    <row r="45001" spans="1:5" x14ac:dyDescent="0.25">
      <c r="A45001" t="str">
        <f>HYPERLINK("https://www.773grp.com/globalSearch/D8254-2/page-1", "D8254-2")</f>
        <v>D8254-2</v>
      </c>
      <c r="B45001" s="3" t="str">
        <f>HYPERLINK("https://www.773grp.com/manufacturer/onsemi?pageNo=895", "ON Semiconductor")</f>
        <v>ON Semiconductor</v>
      </c>
      <c r="C45001" s="6">
        <v>2102</v>
      </c>
      <c r="D45001" s="7">
        <v>68.89</v>
      </c>
      <c r="E45001" t="s">
        <v>82</v>
      </c>
    </row>
    <row r="45002" spans="1:5" x14ac:dyDescent="0.25">
      <c r="A45002" t="str">
        <f>HYPERLINK("https://www.773grp.com/globalSearch/AN82527/page-1", "AN82527")</f>
        <v>AN82527</v>
      </c>
      <c r="B45002" s="3" t="str">
        <f>HYPERLINK("https://www.773grp.com/manufacturer/onsemi?pageNo=896", "ON Semiconductor")</f>
        <v>ON Semiconductor</v>
      </c>
      <c r="C45002" s="6">
        <v>2201</v>
      </c>
      <c r="D45002" s="7">
        <v>68.94</v>
      </c>
      <c r="E45002" t="s">
        <v>71</v>
      </c>
    </row>
    <row r="45003" spans="1:5" x14ac:dyDescent="0.25">
      <c r="A45003" t="str">
        <f>HYPERLINK("https://www.773grp.com/globalSearch/ADC1005BCJ-1/page-1", "ADC1005BCJ-1")</f>
        <v>ADC1005BCJ-1</v>
      </c>
      <c r="B45003" s="3" t="str">
        <f>HYPERLINK("https://www.773grp.com/manufacturer/onsemi?pageNo=897", "ON Semiconductor")</f>
        <v>ON Semiconductor</v>
      </c>
      <c r="C45003" s="6">
        <v>800</v>
      </c>
      <c r="D45003" s="7">
        <v>68.94</v>
      </c>
      <c r="E45003" t="s">
        <v>39</v>
      </c>
    </row>
    <row r="45004" spans="1:5" x14ac:dyDescent="0.25">
      <c r="A45004" t="str">
        <f>HYPERLINK("https://www.773grp.com/globalSearch/P8291A/page-1", "P8291A")</f>
        <v>P8291A</v>
      </c>
      <c r="B45004" s="3" t="str">
        <f>HYPERLINK("https://www.773grp.com/manufacturer/onsemi?pageNo=898", "ON Semiconductor")</f>
        <v>ON Semiconductor</v>
      </c>
      <c r="C45004" s="6">
        <v>2162</v>
      </c>
      <c r="D45004" s="7">
        <v>69.19</v>
      </c>
      <c r="E45004" t="s">
        <v>68</v>
      </c>
    </row>
    <row r="45005" spans="1:5" x14ac:dyDescent="0.25">
      <c r="A45005" t="str">
        <f>HYPERLINK("https://www.773grp.com/globalSearch/D82C284-8/page-1", "D82C284-8")</f>
        <v>D82C284-8</v>
      </c>
      <c r="B45005" s="3" t="str">
        <f>HYPERLINK("https://www.773grp.com/manufacturer/onsemi?pageNo=899", "ON Semiconductor")</f>
        <v>ON Semiconductor</v>
      </c>
      <c r="C45005" s="6">
        <v>120</v>
      </c>
      <c r="D45005" s="7">
        <v>69.56</v>
      </c>
      <c r="E45005" t="s">
        <v>79</v>
      </c>
    </row>
    <row r="45006" spans="1:5" x14ac:dyDescent="0.25">
      <c r="A45006" t="str">
        <f>HYPERLINK("https://www.773grp.com/globalSearch/TL604IP/page-1", "TL604IP")</f>
        <v>TL604IP</v>
      </c>
      <c r="B45006" s="3" t="str">
        <f>HYPERLINK("https://www.773grp.com/manufacturer/onsemi?pageNo=900", "ON Semiconductor")</f>
        <v>ON Semiconductor</v>
      </c>
      <c r="C45006" s="6">
        <v>1567</v>
      </c>
      <c r="D45006" s="7">
        <v>69.849999999999994</v>
      </c>
      <c r="E45006" t="s">
        <v>56</v>
      </c>
    </row>
    <row r="45007" spans="1:5" x14ac:dyDescent="0.25">
      <c r="A45007" t="str">
        <f>HYPERLINK("https://www.773grp.com/globalSearch/AM7968-175JC-G/page-1", "AM7968-175JC-G")</f>
        <v>AM7968-175JC-G</v>
      </c>
      <c r="B45007" s="3" t="str">
        <f>HYPERLINK("https://www.773grp.com/manufacturer/onsemi?pageNo=901", "ON Semiconductor")</f>
        <v>ON Semiconductor</v>
      </c>
      <c r="C45007" s="6">
        <v>45</v>
      </c>
      <c r="D45007" s="7">
        <v>69.959999999999994</v>
      </c>
    </row>
    <row r="45008" spans="1:5" x14ac:dyDescent="0.25">
      <c r="A45008" t="str">
        <f>HYPERLINK("https://www.773grp.com/globalSearch/CLC522AJE/page-1", "CLC522AJE")</f>
        <v>CLC522AJE</v>
      </c>
      <c r="B45008" s="3" t="str">
        <f>HYPERLINK("https://www.773grp.com/manufacturer/onsemi?pageNo=902", "ON Semiconductor")</f>
        <v>ON Semiconductor</v>
      </c>
      <c r="C45008" s="6">
        <v>1915</v>
      </c>
      <c r="D45008" s="7">
        <v>69.959999999999994</v>
      </c>
      <c r="E45008" t="s">
        <v>40</v>
      </c>
    </row>
    <row r="45009" spans="1:5" x14ac:dyDescent="0.25">
      <c r="A45009" t="str">
        <f>HYPERLINK("https://www.773grp.com/globalSearch/P8748H/page-1", "P8748H")</f>
        <v>P8748H</v>
      </c>
      <c r="B45009" s="3" t="str">
        <f>HYPERLINK("https://www.773grp.com/manufacturer/onsemi?pageNo=903", "ON Semiconductor")</f>
        <v>ON Semiconductor</v>
      </c>
      <c r="C45009" s="6">
        <v>5171</v>
      </c>
      <c r="D45009" s="7">
        <v>70.19</v>
      </c>
      <c r="E45009" t="s">
        <v>52</v>
      </c>
    </row>
    <row r="45010" spans="1:5" x14ac:dyDescent="0.25">
      <c r="A45010" t="str">
        <f>HYPERLINK("https://www.773grp.com/globalSearch/54H30J/page-1", "54H30J")</f>
        <v>54H30J</v>
      </c>
      <c r="B45010" s="3" t="str">
        <f>HYPERLINK("https://www.773grp.com/manufacturer/onsemi?pageNo=904", "ON Semiconductor")</f>
        <v>ON Semiconductor</v>
      </c>
      <c r="C45010" s="6">
        <v>202</v>
      </c>
      <c r="D45010" s="7">
        <v>70.58</v>
      </c>
      <c r="E45010" t="s">
        <v>31</v>
      </c>
    </row>
    <row r="45011" spans="1:5" x14ac:dyDescent="0.25">
      <c r="A45011" t="str">
        <f>HYPERLINK("https://www.773grp.com/globalSearch/915PC/page-1", "915PC")</f>
        <v>915PC</v>
      </c>
      <c r="B45011" s="3" t="str">
        <f>HYPERLINK("https://www.773grp.com/manufacturer/onsemi?pageNo=905", "ON Semiconductor")</f>
        <v>ON Semiconductor</v>
      </c>
      <c r="C45011" s="6">
        <v>2313</v>
      </c>
      <c r="D45011" s="7">
        <v>70.58</v>
      </c>
    </row>
    <row r="45012" spans="1:5" x14ac:dyDescent="0.25">
      <c r="A45012" t="str">
        <f>HYPERLINK("https://www.773grp.com/globalSearch/93L18DC/page-1", "93L18DC")</f>
        <v>93L18DC</v>
      </c>
      <c r="B45012" s="3" t="str">
        <f>HYPERLINK("https://www.773grp.com/manufacturer/onsemi?pageNo=906", "ON Semiconductor")</f>
        <v>ON Semiconductor</v>
      </c>
      <c r="C45012" s="6">
        <v>269</v>
      </c>
      <c r="D45012" s="7">
        <v>70.58</v>
      </c>
    </row>
    <row r="45013" spans="1:5" x14ac:dyDescent="0.25">
      <c r="A45013" t="str">
        <f>HYPERLINK("https://www.773grp.com/globalSearch/5410W-B/page-1", "5410W-B")</f>
        <v>5410W-B</v>
      </c>
      <c r="B45013" s="3" t="str">
        <f>HYPERLINK("https://www.773grp.com/manufacturer/onsemi?pageNo=907", "ON Semiconductor")</f>
        <v>ON Semiconductor</v>
      </c>
      <c r="C45013" s="6">
        <v>228</v>
      </c>
      <c r="D45013" s="7">
        <v>70.58</v>
      </c>
    </row>
    <row r="45014" spans="1:5" x14ac:dyDescent="0.25">
      <c r="A45014" t="str">
        <f>HYPERLINK("https://www.773grp.com/globalSearch/54LS183J/page-1", "54LS183J")</f>
        <v>54LS183J</v>
      </c>
      <c r="B45014" s="3" t="str">
        <f>HYPERLINK("https://www.773grp.com/manufacturer/onsemi?pageNo=908", "ON Semiconductor")</f>
        <v>ON Semiconductor</v>
      </c>
      <c r="C45014" s="6">
        <v>300</v>
      </c>
      <c r="D45014" s="7">
        <v>70.58</v>
      </c>
    </row>
    <row r="45015" spans="1:5" x14ac:dyDescent="0.25">
      <c r="A45015" t="str">
        <f>HYPERLINK("https://www.773grp.com/globalSearch/54H00W-B/page-1", "54H00W-B")</f>
        <v>54H00W-B</v>
      </c>
      <c r="B45015" s="3" t="str">
        <f>HYPERLINK("https://www.773grp.com/manufacturer/onsemi?pageNo=909", "ON Semiconductor")</f>
        <v>ON Semiconductor</v>
      </c>
      <c r="C45015" s="6">
        <v>420</v>
      </c>
      <c r="D45015" s="7">
        <v>70.709999999999994</v>
      </c>
    </row>
    <row r="45016" spans="1:5" x14ac:dyDescent="0.25">
      <c r="A45016" t="str">
        <f>HYPERLINK("https://www.773grp.com/globalSearch/946DM/page-1", "946DM")</f>
        <v>946DM</v>
      </c>
      <c r="B45016" s="3" t="str">
        <f>HYPERLINK("https://www.773grp.com/manufacturer/onsemi?pageNo=910", "ON Semiconductor")</f>
        <v>ON Semiconductor</v>
      </c>
      <c r="C45016" s="6">
        <v>970</v>
      </c>
      <c r="D45016" s="7">
        <v>70.94</v>
      </c>
    </row>
    <row r="45017" spans="1:5" x14ac:dyDescent="0.25">
      <c r="A45017" t="str">
        <f>HYPERLINK("https://www.773grp.com/globalSearch/TE512S32-40LI/page-1", "TE512S32-40LI")</f>
        <v>TE512S32-40LI</v>
      </c>
      <c r="B45017" s="3" t="str">
        <f>HYPERLINK("https://www.773grp.com/manufacturer/onsemi?pageNo=911", "ON Semiconductor")</f>
        <v>ON Semiconductor</v>
      </c>
      <c r="C45017" s="6">
        <v>268</v>
      </c>
      <c r="D45017" s="7">
        <v>70.959999999999994</v>
      </c>
    </row>
    <row r="45018" spans="1:5" x14ac:dyDescent="0.25">
      <c r="A45018" t="str">
        <f>HYPERLINK("https://www.773grp.com/globalSearch/AS82527/page-1", "AS82527")</f>
        <v>AS82527</v>
      </c>
      <c r="B45018" s="3" t="str">
        <f>HYPERLINK("https://www.773grp.com/manufacturer/onsemi?pageNo=912", "ON Semiconductor")</f>
        <v>ON Semiconductor</v>
      </c>
      <c r="C45018" s="6">
        <v>5231</v>
      </c>
      <c r="D45018" s="7">
        <v>71.33</v>
      </c>
      <c r="E45018" t="s">
        <v>71</v>
      </c>
    </row>
    <row r="45019" spans="1:5" x14ac:dyDescent="0.25">
      <c r="A45019" t="str">
        <f>HYPERLINK("https://www.773grp.com/globalSearch/N80C152JD/page-1", "N80C152JD")</f>
        <v>N80C152JD</v>
      </c>
      <c r="B45019" s="3" t="str">
        <f>HYPERLINK("https://www.773grp.com/manufacturer/onsemi?pageNo=913", "ON Semiconductor")</f>
        <v>ON Semiconductor</v>
      </c>
      <c r="C45019" s="6">
        <v>5425</v>
      </c>
      <c r="D45019" s="7">
        <v>71.84</v>
      </c>
      <c r="E45019" t="s">
        <v>52</v>
      </c>
    </row>
    <row r="45020" spans="1:5" x14ac:dyDescent="0.25">
      <c r="A45020" t="str">
        <f>HYPERLINK("https://www.773grp.com/globalSearch/54LS190J/page-1", "54LS190J")</f>
        <v>54LS190J</v>
      </c>
      <c r="B45020" s="3" t="str">
        <f>HYPERLINK("https://www.773grp.com/manufacturer/onsemi?pageNo=914", "ON Semiconductor")</f>
        <v>ON Semiconductor</v>
      </c>
      <c r="C45020" s="6">
        <v>1286</v>
      </c>
      <c r="D45020" s="7">
        <v>71.84</v>
      </c>
    </row>
    <row r="45021" spans="1:5" x14ac:dyDescent="0.25">
      <c r="A45021" t="str">
        <f>HYPERLINK("https://www.773grp.com/globalSearch/9003DM-B/page-1", "9003DM-B")</f>
        <v>9003DM-B</v>
      </c>
      <c r="B45021" s="3" t="str">
        <f>HYPERLINK("https://www.773grp.com/manufacturer/onsemi?pageNo=915", "ON Semiconductor")</f>
        <v>ON Semiconductor</v>
      </c>
      <c r="C45021" s="6">
        <v>548</v>
      </c>
      <c r="D45021" s="7">
        <v>72.14</v>
      </c>
    </row>
    <row r="45022" spans="1:5" x14ac:dyDescent="0.25">
      <c r="A45022" t="str">
        <f>HYPERLINK("https://www.773grp.com/globalSearch/958HC/page-1", "958HC")</f>
        <v>958HC</v>
      </c>
      <c r="B45022" s="3" t="str">
        <f>HYPERLINK("https://www.773grp.com/manufacturer/onsemi?pageNo=916", "ON Semiconductor")</f>
        <v>ON Semiconductor</v>
      </c>
      <c r="C45022" s="6">
        <v>60</v>
      </c>
      <c r="D45022" s="7">
        <v>72.14</v>
      </c>
    </row>
    <row r="45023" spans="1:5" x14ac:dyDescent="0.25">
      <c r="A45023" t="str">
        <f>HYPERLINK("https://www.773grp.com/globalSearch/R554153/page-1", "R554153")</f>
        <v>R554153</v>
      </c>
      <c r="B45023" s="3" t="str">
        <f>HYPERLINK("https://www.773grp.com/manufacturer/onsemi?pageNo=917", "ON Semiconductor")</f>
        <v>ON Semiconductor</v>
      </c>
      <c r="C45023" s="6">
        <v>154</v>
      </c>
      <c r="D45023" s="7">
        <v>72.48</v>
      </c>
    </row>
    <row r="45024" spans="1:5" x14ac:dyDescent="0.25">
      <c r="A45024" t="str">
        <f>HYPERLINK("https://www.773grp.com/globalSearch/S8T28F/page-1", "S8T28F")</f>
        <v>S8T28F</v>
      </c>
      <c r="B45024" s="3" t="str">
        <f>HYPERLINK("https://www.773grp.com/manufacturer/onsemi?pageNo=918", "ON Semiconductor")</f>
        <v>ON Semiconductor</v>
      </c>
      <c r="C45024" s="6">
        <v>105</v>
      </c>
      <c r="D45024" s="7">
        <v>72.58</v>
      </c>
      <c r="E45024" t="s">
        <v>14</v>
      </c>
    </row>
    <row r="45025" spans="1:5" x14ac:dyDescent="0.25">
      <c r="A45025" t="str">
        <f>HYPERLINK("https://www.773grp.com/globalSearch/RC1688F/page-1", "RC1688F")</f>
        <v>RC1688F</v>
      </c>
      <c r="B45025" s="3" t="str">
        <f>HYPERLINK("https://www.773grp.com/manufacturer/onsemi?pageNo=919", "ON Semiconductor")</f>
        <v>ON Semiconductor</v>
      </c>
      <c r="C45025" s="6">
        <v>64</v>
      </c>
      <c r="D45025" s="7">
        <v>73.099999999999994</v>
      </c>
    </row>
    <row r="45026" spans="1:5" x14ac:dyDescent="0.25">
      <c r="A45026" t="str">
        <f>HYPERLINK("https://www.773grp.com/globalSearch/AM7968-125DC/page-1", "AM7968-125DC")</f>
        <v>AM7968-125DC</v>
      </c>
      <c r="B45026" s="3" t="str">
        <f>HYPERLINK("https://www.773grp.com/manufacturer/onsemi?pageNo=920", "ON Semiconductor")</f>
        <v>ON Semiconductor</v>
      </c>
      <c r="C45026" s="6">
        <v>287</v>
      </c>
      <c r="D45026" s="7">
        <v>73.099999999999994</v>
      </c>
      <c r="E45026" t="s">
        <v>21</v>
      </c>
    </row>
    <row r="45027" spans="1:5" x14ac:dyDescent="0.25">
      <c r="A45027" t="str">
        <f>HYPERLINK("https://www.773grp.com/globalSearch/D8742/page-1", "D8742")</f>
        <v>D8742</v>
      </c>
      <c r="B45027" s="3" t="str">
        <f>HYPERLINK("https://www.773grp.com/manufacturer/onsemi?pageNo=921", "ON Semiconductor")</f>
        <v>ON Semiconductor</v>
      </c>
      <c r="C45027" s="6">
        <v>186</v>
      </c>
      <c r="D45027" s="7">
        <v>73.099999999999994</v>
      </c>
      <c r="E45027" t="s">
        <v>52</v>
      </c>
    </row>
    <row r="45028" spans="1:5" x14ac:dyDescent="0.25">
      <c r="A45028" t="str">
        <f>HYPERLINK("https://www.773grp.com/globalSearch/P80C152JC-1/page-1", "P80C152JC-1")</f>
        <v>P80C152JC-1</v>
      </c>
      <c r="B45028" s="3" t="str">
        <f>HYPERLINK("https://www.773grp.com/manufacturer/onsemi?pageNo=922", "ON Semiconductor")</f>
        <v>ON Semiconductor</v>
      </c>
      <c r="C45028" s="6">
        <v>164</v>
      </c>
      <c r="D45028" s="7">
        <v>73.099999999999994</v>
      </c>
      <c r="E45028" t="s">
        <v>52</v>
      </c>
    </row>
    <row r="45029" spans="1:5" x14ac:dyDescent="0.25">
      <c r="A45029" t="str">
        <f>HYPERLINK("https://www.773grp.com/globalSearch/ICM7170AIBG/page-1", "ICM7170AIBG")</f>
        <v>ICM7170AIBG</v>
      </c>
      <c r="B45029" s="3" t="str">
        <f>HYPERLINK("https://www.773grp.com/manufacturer/onsemi?pageNo=923", "ON Semiconductor")</f>
        <v>ON Semiconductor</v>
      </c>
      <c r="C45029" s="6">
        <v>900</v>
      </c>
      <c r="D45029" s="7">
        <v>73.099999999999994</v>
      </c>
      <c r="E45029" t="s">
        <v>82</v>
      </c>
    </row>
    <row r="45030" spans="1:5" x14ac:dyDescent="0.25">
      <c r="A45030" t="str">
        <f>HYPERLINK("https://www.773grp.com/globalSearch/AM79C940BKI/page-1", "AM79C940BKI")</f>
        <v>AM79C940BKI</v>
      </c>
      <c r="B45030" s="3" t="str">
        <f>HYPERLINK("https://www.773grp.com/manufacturer/onsemi?pageNo=924", "ON Semiconductor")</f>
        <v>ON Semiconductor</v>
      </c>
      <c r="C45030" s="6">
        <v>4634</v>
      </c>
      <c r="D45030" s="7">
        <v>73.48</v>
      </c>
    </row>
    <row r="45031" spans="1:5" x14ac:dyDescent="0.25">
      <c r="A45031" t="str">
        <f>HYPERLINK("https://www.773grp.com/globalSearch/P80C152JA-1/page-1", "P80C152JA-1")</f>
        <v>P80C152JA-1</v>
      </c>
      <c r="B45031" s="3" t="str">
        <f>HYPERLINK("https://www.773grp.com/manufacturer/onsemi?pageNo=925", "ON Semiconductor")</f>
        <v>ON Semiconductor</v>
      </c>
      <c r="C45031" s="6">
        <v>8</v>
      </c>
      <c r="D45031" s="7">
        <v>74.11</v>
      </c>
      <c r="E45031" t="s">
        <v>52</v>
      </c>
    </row>
    <row r="45032" spans="1:5" x14ac:dyDescent="0.25">
      <c r="A45032" t="str">
        <f>HYPERLINK("https://www.773grp.com/globalSearch/AMD27C256-120DC/page-1", "AMD27C256-120DC")</f>
        <v>AMD27C256-120DC</v>
      </c>
      <c r="B45032" s="3" t="str">
        <f>HYPERLINK("https://www.773grp.com/manufacturer/onsemi?pageNo=926", "ON Semiconductor")</f>
        <v>ON Semiconductor</v>
      </c>
      <c r="C45032" s="6">
        <v>50</v>
      </c>
      <c r="D45032" s="7">
        <v>74.989999999999995</v>
      </c>
    </row>
    <row r="45033" spans="1:5" x14ac:dyDescent="0.25">
      <c r="A45033" t="str">
        <f>HYPERLINK("https://www.773grp.com/globalSearch/54H08DM-B/page-1", "54H08DM-B")</f>
        <v>54H08DM-B</v>
      </c>
      <c r="B45033" s="3" t="str">
        <f>HYPERLINK("https://www.773grp.com/manufacturer/onsemi?pageNo=927", "ON Semiconductor")</f>
        <v>ON Semiconductor</v>
      </c>
      <c r="C45033" s="6">
        <v>541</v>
      </c>
      <c r="D45033" s="7">
        <v>75.489999999999995</v>
      </c>
    </row>
    <row r="45034" spans="1:5" x14ac:dyDescent="0.25">
      <c r="A45034" t="str">
        <f>HYPERLINK("https://www.773grp.com/globalSearch/R503102/page-1", "R503102")</f>
        <v>R503102</v>
      </c>
      <c r="B45034" s="3" t="str">
        <f>HYPERLINK("https://www.773grp.com/manufacturer/onsemi?pageNo=928", "ON Semiconductor")</f>
        <v>ON Semiconductor</v>
      </c>
      <c r="C45034" s="6">
        <v>278</v>
      </c>
      <c r="D45034" s="7">
        <v>75.489999999999995</v>
      </c>
    </row>
    <row r="45035" spans="1:5" x14ac:dyDescent="0.25">
      <c r="A45035" t="str">
        <f>HYPERLINK("https://www.773grp.com/globalSearch/54H54W-C/page-1", "54H54W-C")</f>
        <v>54H54W-C</v>
      </c>
      <c r="B45035" s="3" t="str">
        <f>HYPERLINK("https://www.773grp.com/manufacturer/onsemi?pageNo=929", "ON Semiconductor")</f>
        <v>ON Semiconductor</v>
      </c>
      <c r="C45035" s="6">
        <v>241</v>
      </c>
      <c r="D45035" s="7">
        <v>75.61</v>
      </c>
    </row>
    <row r="45036" spans="1:5" x14ac:dyDescent="0.25">
      <c r="A45036" t="str">
        <f>HYPERLINK("https://www.773grp.com/globalSearch/26LS29-BEA/page-1", "26LS29-BEA")</f>
        <v>26LS29-BEA</v>
      </c>
      <c r="B45036" s="3" t="str">
        <f>HYPERLINK("https://www.773grp.com/manufacturer/onsemi?pageNo=930", "ON Semiconductor")</f>
        <v>ON Semiconductor</v>
      </c>
      <c r="C45036" s="6">
        <v>150</v>
      </c>
      <c r="D45036" s="7">
        <v>75.61</v>
      </c>
    </row>
    <row r="45037" spans="1:5" x14ac:dyDescent="0.25">
      <c r="A45037" t="str">
        <f>HYPERLINK("https://www.773grp.com/globalSearch/26LS30-BEA/page-1", "26LS30-BEA")</f>
        <v>26LS30-BEA</v>
      </c>
      <c r="B45037" s="3" t="str">
        <f>HYPERLINK("https://www.773grp.com/manufacturer/onsemi?pageNo=931", "ON Semiconductor")</f>
        <v>ON Semiconductor</v>
      </c>
      <c r="C45037" s="6">
        <v>17</v>
      </c>
      <c r="D45037" s="7">
        <v>75.61</v>
      </c>
    </row>
    <row r="45038" spans="1:5" x14ac:dyDescent="0.25">
      <c r="A45038" t="str">
        <f>HYPERLINK("https://www.773grp.com/globalSearch/26LS31-BEA/page-1", "26LS31-BEA")</f>
        <v>26LS31-BEA</v>
      </c>
      <c r="B45038" s="3" t="str">
        <f>HYPERLINK("https://www.773grp.com/manufacturer/onsemi?pageNo=932", "ON Semiconductor")</f>
        <v>ON Semiconductor</v>
      </c>
      <c r="C45038" s="6">
        <v>4028</v>
      </c>
      <c r="D45038" s="7">
        <v>75.61</v>
      </c>
      <c r="E45038" t="s">
        <v>21</v>
      </c>
    </row>
    <row r="45039" spans="1:5" x14ac:dyDescent="0.25">
      <c r="A45039" t="str">
        <f>HYPERLINK("https://www.773grp.com/globalSearch/26LS32B-BEA/page-1", "26LS32B-BEA")</f>
        <v>26LS32B-BEA</v>
      </c>
      <c r="B45039" s="3" t="str">
        <f>HYPERLINK("https://www.773grp.com/manufacturer/onsemi?pageNo=933", "ON Semiconductor")</f>
        <v>ON Semiconductor</v>
      </c>
      <c r="C45039" s="6">
        <v>2730</v>
      </c>
      <c r="D45039" s="7">
        <v>75.61</v>
      </c>
    </row>
    <row r="45040" spans="1:5" x14ac:dyDescent="0.25">
      <c r="A45040" t="str">
        <f>HYPERLINK("https://www.773grp.com/globalSearch/26LS33-BEA/page-1", "26LS33-BEA")</f>
        <v>26LS33-BEA</v>
      </c>
      <c r="B45040" s="3" t="str">
        <f>HYPERLINK("https://www.773grp.com/manufacturer/onsemi?pageNo=934", "ON Semiconductor")</f>
        <v>ON Semiconductor</v>
      </c>
      <c r="C45040" s="6">
        <v>766</v>
      </c>
      <c r="D45040" s="7">
        <v>75.61</v>
      </c>
      <c r="E45040" t="s">
        <v>21</v>
      </c>
    </row>
    <row r="45041" spans="1:5" x14ac:dyDescent="0.25">
      <c r="A45041" t="str">
        <f>HYPERLINK("https://www.773grp.com/globalSearch/26LS34-BEA/page-1", "26LS34-BEA")</f>
        <v>26LS34-BEA</v>
      </c>
      <c r="B45041" s="3" t="str">
        <f>HYPERLINK("https://www.773grp.com/manufacturer/onsemi?pageNo=935", "ON Semiconductor")</f>
        <v>ON Semiconductor</v>
      </c>
      <c r="C45041" s="6">
        <v>1312</v>
      </c>
      <c r="D45041" s="7">
        <v>75.61</v>
      </c>
    </row>
    <row r="45042" spans="1:5" x14ac:dyDescent="0.25">
      <c r="A45042" t="str">
        <f>HYPERLINK("https://www.773grp.com/globalSearch/54S163J-B/page-1", "54S163J-B")</f>
        <v>54S163J-B</v>
      </c>
      <c r="B45042" s="3" t="str">
        <f>HYPERLINK("https://www.773grp.com/manufacturer/onsemi?pageNo=936", "ON Semiconductor")</f>
        <v>ON Semiconductor</v>
      </c>
      <c r="C45042" s="6">
        <v>72</v>
      </c>
      <c r="D45042" s="7">
        <v>76.180000000000007</v>
      </c>
    </row>
    <row r="45043" spans="1:5" x14ac:dyDescent="0.25">
      <c r="A45043" t="str">
        <f>HYPERLINK("https://www.773grp.com/globalSearch/TL082ML/page-1", "TL082ML")</f>
        <v>TL082ML</v>
      </c>
      <c r="B45043" s="3" t="str">
        <f>HYPERLINK("https://www.773grp.com/manufacturer/onsemi?pageNo=937", "ON Semiconductor")</f>
        <v>ON Semiconductor</v>
      </c>
      <c r="C45043" s="6">
        <v>88</v>
      </c>
      <c r="D45043" s="7">
        <v>76.36</v>
      </c>
    </row>
    <row r="45044" spans="1:5" x14ac:dyDescent="0.25">
      <c r="A45044" t="str">
        <f>HYPERLINK("https://www.773grp.com/globalSearch/54L121DM-B/page-1", "54L121DM-B")</f>
        <v>54L121DM-B</v>
      </c>
      <c r="B45044" s="3" t="str">
        <f>HYPERLINK("https://www.773grp.com/manufacturer/onsemi?pageNo=938", "ON Semiconductor")</f>
        <v>ON Semiconductor</v>
      </c>
      <c r="C45044" s="6">
        <v>384</v>
      </c>
      <c r="D45044" s="7">
        <v>76.75</v>
      </c>
    </row>
    <row r="45045" spans="1:5" x14ac:dyDescent="0.25">
      <c r="A45045" t="str">
        <f>HYPERLINK("https://www.773grp.com/globalSearch/ID8155H/page-1", "ID8155H")</f>
        <v>ID8155H</v>
      </c>
      <c r="B45045" s="3" t="str">
        <f>HYPERLINK("https://www.773grp.com/manufacturer/onsemi?pageNo=939", "ON Semiconductor")</f>
        <v>ON Semiconductor</v>
      </c>
      <c r="C45045" s="6">
        <v>850</v>
      </c>
      <c r="D45045" s="7">
        <v>77.290000000000006</v>
      </c>
    </row>
    <row r="45046" spans="1:5" x14ac:dyDescent="0.25">
      <c r="A45046" t="str">
        <f>HYPERLINK("https://www.773grp.com/globalSearch/TP8256AH/page-1", "TP8256AH")</f>
        <v>TP8256AH</v>
      </c>
      <c r="B45046" s="3" t="str">
        <f>HYPERLINK("https://www.773grp.com/manufacturer/onsemi?pageNo=940", "ON Semiconductor")</f>
        <v>ON Semiconductor</v>
      </c>
      <c r="C45046" s="6">
        <v>2933</v>
      </c>
      <c r="D45046" s="7">
        <v>77.709999999999994</v>
      </c>
    </row>
    <row r="45047" spans="1:5" x14ac:dyDescent="0.25">
      <c r="A45047" t="str">
        <f>HYPERLINK("https://www.773grp.com/globalSearch/R554155/page-1", "R554155")</f>
        <v>R554155</v>
      </c>
      <c r="B45047" s="3" t="str">
        <f>HYPERLINK("https://www.773grp.com/manufacturer/onsemi?pageNo=941", "ON Semiconductor")</f>
        <v>ON Semiconductor</v>
      </c>
      <c r="C45047" s="6">
        <v>57</v>
      </c>
      <c r="D45047" s="7">
        <v>78.010000000000005</v>
      </c>
    </row>
    <row r="45048" spans="1:5" x14ac:dyDescent="0.25">
      <c r="A45048" t="str">
        <f>HYPERLINK("https://www.773grp.com/globalSearch/RC1533L/page-1", "RC1533L")</f>
        <v>RC1533L</v>
      </c>
      <c r="B45048" s="3" t="str">
        <f>HYPERLINK("https://www.773grp.com/manufacturer/onsemi?pageNo=942", "ON Semiconductor")</f>
        <v>ON Semiconductor</v>
      </c>
      <c r="C45048" s="6">
        <v>138</v>
      </c>
      <c r="D45048" s="7">
        <v>78.14</v>
      </c>
    </row>
    <row r="45049" spans="1:5" x14ac:dyDescent="0.25">
      <c r="A45049" t="str">
        <f>HYPERLINK("https://www.773grp.com/globalSearch/AM27C256-200DI/page-1", "AM27C256-200DI")</f>
        <v>AM27C256-200DI</v>
      </c>
      <c r="B45049" s="3" t="str">
        <f>HYPERLINK("https://www.773grp.com/manufacturer/onsemi?pageNo=943", "ON Semiconductor")</f>
        <v>ON Semiconductor</v>
      </c>
      <c r="C45049" s="6">
        <v>2</v>
      </c>
      <c r="D45049" s="7">
        <v>78.14</v>
      </c>
      <c r="E45049" t="s">
        <v>64</v>
      </c>
    </row>
    <row r="45050" spans="1:5" x14ac:dyDescent="0.25">
      <c r="A45050" t="str">
        <f>HYPERLINK("https://www.773grp.com/globalSearch/AM27C256-55DC/page-1", "AM27C256-55DC")</f>
        <v>AM27C256-55DC</v>
      </c>
      <c r="B45050" s="3" t="str">
        <f>HYPERLINK("https://www.773grp.com/manufacturer/onsemi?pageNo=944", "ON Semiconductor")</f>
        <v>ON Semiconductor</v>
      </c>
      <c r="C45050" s="6">
        <v>96</v>
      </c>
      <c r="D45050" s="7">
        <v>78.14</v>
      </c>
      <c r="E45050" t="s">
        <v>64</v>
      </c>
    </row>
    <row r="45051" spans="1:5" x14ac:dyDescent="0.25">
      <c r="A45051" t="str">
        <f>HYPERLINK("https://www.773grp.com/globalSearch/AM79C940BVI-G/page-1", "AM79C940BVI-G")</f>
        <v>AM79C940BVI-G</v>
      </c>
      <c r="B45051" s="3" t="str">
        <f>HYPERLINK("https://www.773grp.com/manufacturer/onsemi?pageNo=945", "ON Semiconductor")</f>
        <v>ON Semiconductor</v>
      </c>
      <c r="C45051" s="6">
        <v>787</v>
      </c>
      <c r="D45051" s="7">
        <v>78.53</v>
      </c>
    </row>
    <row r="45052" spans="1:5" x14ac:dyDescent="0.25">
      <c r="A45052" t="str">
        <f>HYPERLINK("https://www.773grp.com/globalSearch/R554154/page-1", "R554154")</f>
        <v>R554154</v>
      </c>
      <c r="B45052" s="3" t="str">
        <f>HYPERLINK("https://www.773grp.com/manufacturer/onsemi?pageNo=946", "ON Semiconductor")</f>
        <v>ON Semiconductor</v>
      </c>
      <c r="C45052" s="6">
        <v>251</v>
      </c>
      <c r="D45052" s="7">
        <v>79.260000000000005</v>
      </c>
    </row>
    <row r="45053" spans="1:5" x14ac:dyDescent="0.25">
      <c r="A45053" t="str">
        <f>HYPERLINK("https://www.773grp.com/globalSearch/P8273-4/page-1", "P8273-4")</f>
        <v>P8273-4</v>
      </c>
      <c r="B45053" s="3" t="str">
        <f>HYPERLINK("https://www.773grp.com/manufacturer/onsemi?pageNo=947", "ON Semiconductor")</f>
        <v>ON Semiconductor</v>
      </c>
      <c r="C45053" s="6">
        <v>9639</v>
      </c>
      <c r="D45053" s="7">
        <v>79.260000000000005</v>
      </c>
    </row>
    <row r="45054" spans="1:5" x14ac:dyDescent="0.25">
      <c r="A45054" t="str">
        <f>HYPERLINK("https://www.773grp.com/globalSearch/29C60APC/page-1", "29C60APC")</f>
        <v>29C60APC</v>
      </c>
      <c r="B45054" s="3" t="str">
        <f>HYPERLINK("https://www.773grp.com/manufacturer/onsemi?pageNo=948", "ON Semiconductor")</f>
        <v>ON Semiconductor</v>
      </c>
      <c r="C45054" s="6">
        <v>4844</v>
      </c>
      <c r="D45054" s="7">
        <v>80.66</v>
      </c>
    </row>
    <row r="45055" spans="1:5" x14ac:dyDescent="0.25">
      <c r="A45055" t="str">
        <f>HYPERLINK("https://www.773grp.com/globalSearch/D2716/page-1", "D2716")</f>
        <v>D2716</v>
      </c>
      <c r="B45055" s="3" t="str">
        <f>HYPERLINK("https://www.773grp.com/manufacturer/onsemi?pageNo=949", "ON Semiconductor")</f>
        <v>ON Semiconductor</v>
      </c>
      <c r="C45055" s="6">
        <v>28473</v>
      </c>
      <c r="D45055" s="7">
        <v>80.66</v>
      </c>
    </row>
    <row r="45056" spans="1:5" x14ac:dyDescent="0.25">
      <c r="A45056" t="str">
        <f>HYPERLINK("https://www.773grp.com/globalSearch/AM27C256-45DI UM/page-1", "AM27C256-45DI UM")</f>
        <v>AM27C256-45DI UM</v>
      </c>
      <c r="B45056" s="3" t="str">
        <f>HYPERLINK("https://www.773grp.com/manufacturer/onsemi?pageNo=950", "ON Semiconductor")</f>
        <v>ON Semiconductor</v>
      </c>
      <c r="C45056" s="6">
        <v>1663</v>
      </c>
      <c r="D45056" s="7">
        <v>80.66</v>
      </c>
    </row>
    <row r="45057" spans="1:5" x14ac:dyDescent="0.25">
      <c r="A45057" t="str">
        <f>HYPERLINK("https://www.773grp.com/globalSearch/AM27C256-90DI/page-1", "AM27C256-90DI")</f>
        <v>AM27C256-90DI</v>
      </c>
      <c r="B45057" s="3" t="str">
        <f>HYPERLINK("https://www.773grp.com/manufacturer/onsemi?pageNo=951", "ON Semiconductor")</f>
        <v>ON Semiconductor</v>
      </c>
      <c r="C45057" s="6">
        <v>79</v>
      </c>
      <c r="D45057" s="7">
        <v>80.66</v>
      </c>
      <c r="E45057" t="s">
        <v>64</v>
      </c>
    </row>
    <row r="45058" spans="1:5" x14ac:dyDescent="0.25">
      <c r="A45058" t="str">
        <f>HYPERLINK("https://www.773grp.com/globalSearch/26LS33-BFA/page-1", "26LS33-BFA")</f>
        <v>26LS33-BFA</v>
      </c>
      <c r="B45058" s="3" t="str">
        <f>HYPERLINK("https://www.773grp.com/manufacturer/onsemi?pageNo=952", "ON Semiconductor")</f>
        <v>ON Semiconductor</v>
      </c>
      <c r="C45058" s="6">
        <v>902</v>
      </c>
      <c r="D45058" s="7">
        <v>81.180000000000007</v>
      </c>
    </row>
    <row r="45059" spans="1:5" x14ac:dyDescent="0.25">
      <c r="A45059" t="str">
        <f>HYPERLINK("https://www.773grp.com/globalSearch/D82C284-12/page-1", "D82C284-12")</f>
        <v>D82C284-12</v>
      </c>
      <c r="B45059" s="3" t="str">
        <f>HYPERLINK("https://www.773grp.com/manufacturer/onsemi?pageNo=953", "ON Semiconductor")</f>
        <v>ON Semiconductor</v>
      </c>
      <c r="C45059" s="6">
        <v>15</v>
      </c>
      <c r="D45059" s="7">
        <v>81.790000000000006</v>
      </c>
    </row>
    <row r="45060" spans="1:5" x14ac:dyDescent="0.25">
      <c r="A45060" t="str">
        <f>HYPERLINK("https://www.773grp.com/globalSearch/N8273-4/page-1", "N8273-4")</f>
        <v>N8273-4</v>
      </c>
      <c r="B45060" s="3" t="str">
        <f>HYPERLINK("https://www.773grp.com/manufacturer/onsemi?pageNo=954", "ON Semiconductor")</f>
        <v>ON Semiconductor</v>
      </c>
      <c r="C45060" s="6">
        <v>4743</v>
      </c>
      <c r="D45060" s="7">
        <v>81.790000000000006</v>
      </c>
    </row>
    <row r="45061" spans="1:5" x14ac:dyDescent="0.25">
      <c r="A45061" t="str">
        <f>HYPERLINK("https://www.773grp.com/globalSearch/N8273-4  UT/page-1", "N8273-4  UT")</f>
        <v>N8273-4  UT</v>
      </c>
      <c r="B45061" s="3" t="str">
        <f>HYPERLINK("https://www.773grp.com/manufacturer/onsemi?pageNo=955", "ON Semiconductor")</f>
        <v>ON Semiconductor</v>
      </c>
      <c r="C45061" s="6">
        <v>6515</v>
      </c>
      <c r="D45061" s="7">
        <v>81.790000000000006</v>
      </c>
    </row>
    <row r="45062" spans="1:5" x14ac:dyDescent="0.25">
      <c r="A45062" t="str">
        <f>HYPERLINK("https://www.773grp.com/globalSearch/54L72J/page-1", "54L72J")</f>
        <v>54L72J</v>
      </c>
      <c r="B45062" s="3" t="str">
        <f>HYPERLINK("https://www.773grp.com/manufacturer/onsemi?pageNo=956", "ON Semiconductor")</f>
        <v>ON Semiconductor</v>
      </c>
      <c r="C45062" s="6">
        <v>308</v>
      </c>
      <c r="D45062" s="7">
        <v>82.79</v>
      </c>
    </row>
    <row r="45063" spans="1:5" x14ac:dyDescent="0.25">
      <c r="A45063" t="str">
        <f>HYPERLINK("https://www.773grp.com/globalSearch/AM79C970AVI\W/page-1", "AM79C970AVI-W")</f>
        <v>AM79C970AVI-W</v>
      </c>
      <c r="B45063" s="3" t="str">
        <f>HYPERLINK("https://www.773grp.com/manufacturer/onsemi?pageNo=957", "ON Semiconductor")</f>
        <v>ON Semiconductor</v>
      </c>
      <c r="C45063" s="6">
        <v>1208</v>
      </c>
      <c r="D45063" s="7">
        <v>82.86</v>
      </c>
    </row>
    <row r="45064" spans="1:5" x14ac:dyDescent="0.25">
      <c r="A45064" t="str">
        <f>HYPERLINK("https://www.773grp.com/globalSearch/54122W-B/page-1", "54122W-B")</f>
        <v>54122W-B</v>
      </c>
      <c r="B45064" s="3" t="str">
        <f>HYPERLINK("https://www.773grp.com/manufacturer/onsemi?pageNo=958", "ON Semiconductor")</f>
        <v>ON Semiconductor</v>
      </c>
      <c r="C45064" s="6">
        <v>2020</v>
      </c>
      <c r="D45064" s="7">
        <v>83.18</v>
      </c>
    </row>
    <row r="45065" spans="1:5" x14ac:dyDescent="0.25">
      <c r="A45065" t="str">
        <f>HYPERLINK("https://www.773grp.com/globalSearch/93S48DM/page-1", "93S48DM")</f>
        <v>93S48DM</v>
      </c>
      <c r="B45065" s="3" t="str">
        <f>HYPERLINK("https://www.773grp.com/manufacturer/onsemi?pageNo=959", "ON Semiconductor")</f>
        <v>ON Semiconductor</v>
      </c>
      <c r="C45065" s="6">
        <v>154</v>
      </c>
      <c r="D45065" s="7">
        <v>83.18</v>
      </c>
    </row>
    <row r="45066" spans="1:5" x14ac:dyDescent="0.25">
      <c r="A45066" t="str">
        <f>HYPERLINK("https://www.773grp.com/globalSearch/MD8259A-B  UT/page-1", "MD8259A-B  UT")</f>
        <v>MD8259A-B  UT</v>
      </c>
      <c r="B45066" s="3" t="str">
        <f>HYPERLINK("https://www.773grp.com/manufacturer/onsemi?pageNo=960", "ON Semiconductor")</f>
        <v>ON Semiconductor</v>
      </c>
      <c r="C45066" s="6">
        <v>48</v>
      </c>
      <c r="D45066" s="7">
        <v>83.18</v>
      </c>
    </row>
    <row r="45067" spans="1:5" x14ac:dyDescent="0.25">
      <c r="A45067" t="str">
        <f>HYPERLINK("https://www.773grp.com/globalSearch/N80C152JA-1/page-1", "N80C152JA-1")</f>
        <v>N80C152JA-1</v>
      </c>
      <c r="B45067" s="3" t="str">
        <f>HYPERLINK("https://www.773grp.com/manufacturer/onsemi?pageNo=961", "ON Semiconductor")</f>
        <v>ON Semiconductor</v>
      </c>
      <c r="C45067" s="6">
        <v>67</v>
      </c>
      <c r="D45067" s="7">
        <v>83.18</v>
      </c>
      <c r="E45067" t="s">
        <v>52</v>
      </c>
    </row>
    <row r="45068" spans="1:5" x14ac:dyDescent="0.25">
      <c r="A45068" t="str">
        <f>HYPERLINK("https://www.773grp.com/globalSearch/2946-BRA/page-1", "2946-BRA")</f>
        <v>2946-BRA</v>
      </c>
      <c r="B45068" s="3" t="str">
        <f>HYPERLINK("https://www.773grp.com/manufacturer/onsemi?pageNo=962", "ON Semiconductor")</f>
        <v>ON Semiconductor</v>
      </c>
      <c r="C45068" s="6">
        <v>549</v>
      </c>
      <c r="D45068" s="7">
        <v>83.31</v>
      </c>
    </row>
    <row r="45069" spans="1:5" x14ac:dyDescent="0.25">
      <c r="A45069" t="str">
        <f>HYPERLINK("https://www.773grp.com/globalSearch/9002DM-B/page-1", "9002DM-B")</f>
        <v>9002DM-B</v>
      </c>
      <c r="B45069" s="3" t="str">
        <f>HYPERLINK("https://www.773grp.com/manufacturer/onsemi?pageNo=963", "ON Semiconductor")</f>
        <v>ON Semiconductor</v>
      </c>
      <c r="C45069" s="6">
        <v>279</v>
      </c>
      <c r="D45069" s="7">
        <v>84.63</v>
      </c>
    </row>
    <row r="45070" spans="1:5" x14ac:dyDescent="0.25">
      <c r="A45070" t="str">
        <f>HYPERLINK("https://www.773grp.com/globalSearch/CLC411AJE/page-1", "CLC411AJE")</f>
        <v>CLC411AJE</v>
      </c>
      <c r="B45070" s="3" t="str">
        <f>HYPERLINK("https://www.773grp.com/manufacturer/onsemi?pageNo=964", "ON Semiconductor")</f>
        <v>ON Semiconductor</v>
      </c>
      <c r="C45070" s="6">
        <v>127</v>
      </c>
      <c r="D45070" s="7">
        <v>85.04</v>
      </c>
      <c r="E45070" t="s">
        <v>18</v>
      </c>
    </row>
    <row r="45071" spans="1:5" x14ac:dyDescent="0.25">
      <c r="A45071" t="str">
        <f>HYPERLINK("https://www.773grp.com/globalSearch/DM54S288J/page-1", "DM54S288J")</f>
        <v>DM54S288J</v>
      </c>
      <c r="B45071" s="3" t="str">
        <f>HYPERLINK("https://www.773grp.com/manufacturer/onsemi?pageNo=965", "ON Semiconductor")</f>
        <v>ON Semiconductor</v>
      </c>
      <c r="C45071" s="6">
        <v>899</v>
      </c>
      <c r="D45071" s="7">
        <v>85.09</v>
      </c>
      <c r="E45071" t="s">
        <v>64</v>
      </c>
    </row>
    <row r="45072" spans="1:5" x14ac:dyDescent="0.25">
      <c r="A45072" t="str">
        <f>HYPERLINK("https://www.773grp.com/globalSearch/74AS866AN/page-1", "74AS866AN")</f>
        <v>74AS866AN</v>
      </c>
      <c r="B45072" s="3" t="str">
        <f>HYPERLINK("https://www.773grp.com/manufacturer/onsemi?pageNo=966", "ON Semiconductor")</f>
        <v>ON Semiconductor</v>
      </c>
      <c r="C45072" s="6">
        <v>5190</v>
      </c>
      <c r="D45072" s="7">
        <v>85.33</v>
      </c>
    </row>
    <row r="45073" spans="1:5" x14ac:dyDescent="0.25">
      <c r="A45073" t="str">
        <f>HYPERLINK("https://www.773grp.com/globalSearch/54F251ADM/page-1", "54F251ADM")</f>
        <v>54F251ADM</v>
      </c>
      <c r="B45073" s="3" t="str">
        <f>HYPERLINK("https://www.773grp.com/manufacturer/onsemi?pageNo=967", "ON Semiconductor")</f>
        <v>ON Semiconductor</v>
      </c>
      <c r="C45073" s="6">
        <v>565</v>
      </c>
      <c r="D45073" s="7">
        <v>85.33</v>
      </c>
      <c r="E45073" t="s">
        <v>20</v>
      </c>
    </row>
    <row r="45074" spans="1:5" x14ac:dyDescent="0.25">
      <c r="A45074" t="str">
        <f>HYPERLINK("https://www.773grp.com/globalSearch/74S226J/page-1", "74S226J")</f>
        <v>74S226J</v>
      </c>
      <c r="B45074" s="3" t="str">
        <f>HYPERLINK("https://www.773grp.com/manufacturer/onsemi?pageNo=968", "ON Semiconductor")</f>
        <v>ON Semiconductor</v>
      </c>
      <c r="C45074" s="6">
        <v>176</v>
      </c>
      <c r="D45074" s="7">
        <v>85.69</v>
      </c>
    </row>
    <row r="45075" spans="1:5" x14ac:dyDescent="0.25">
      <c r="A45075" t="str">
        <f>HYPERLINK("https://www.773grp.com/globalSearch/54LS95BJ/page-1", "54LS95BJ")</f>
        <v>54LS95BJ</v>
      </c>
      <c r="B45075" s="3" t="str">
        <f>HYPERLINK("https://www.773grp.com/manufacturer/onsemi?pageNo=969", "ON Semiconductor")</f>
        <v>ON Semiconductor</v>
      </c>
      <c r="C45075" s="6">
        <v>228</v>
      </c>
      <c r="D45075" s="7">
        <v>85.69</v>
      </c>
    </row>
    <row r="45076" spans="1:5" x14ac:dyDescent="0.25">
      <c r="A45076" t="str">
        <f>HYPERLINK("https://www.773grp.com/globalSearch/LMX2305TM/page-1", "LMX2305TM")</f>
        <v>LMX2305TM</v>
      </c>
      <c r="B45076" s="3" t="str">
        <f>HYPERLINK("https://www.773grp.com/manufacturer/onsemi?pageNo=970", "ON Semiconductor")</f>
        <v>ON Semiconductor</v>
      </c>
      <c r="C45076" s="6">
        <v>4172</v>
      </c>
      <c r="D45076" s="7">
        <v>86.08</v>
      </c>
      <c r="E45076" t="s">
        <v>38</v>
      </c>
    </row>
    <row r="45077" spans="1:5" x14ac:dyDescent="0.25">
      <c r="A45077" t="str">
        <f>HYPERLINK("https://www.773grp.com/globalSearch/54LS113FM-B/page-1", "54LS113FM-B")</f>
        <v>54LS113FM-B</v>
      </c>
      <c r="B45077" s="3" t="str">
        <f>HYPERLINK("https://www.773grp.com/manufacturer/onsemi?pageNo=971", "ON Semiconductor")</f>
        <v>ON Semiconductor</v>
      </c>
      <c r="C45077" s="6">
        <v>615</v>
      </c>
      <c r="D45077" s="7">
        <v>86.96</v>
      </c>
    </row>
    <row r="45078" spans="1:5" x14ac:dyDescent="0.25">
      <c r="A45078" t="str">
        <f>HYPERLINK("https://www.773grp.com/globalSearch/5476-BEA/page-1", "5476-BEA")</f>
        <v>5476-BEA</v>
      </c>
      <c r="B45078" s="3" t="str">
        <f>HYPERLINK("https://www.773grp.com/manufacturer/onsemi?pageNo=972", "ON Semiconductor")</f>
        <v>ON Semiconductor</v>
      </c>
      <c r="C45078" s="6">
        <v>105</v>
      </c>
      <c r="D45078" s="7">
        <v>87.21</v>
      </c>
    </row>
    <row r="45079" spans="1:5" x14ac:dyDescent="0.25">
      <c r="A45079" t="str">
        <f>HYPERLINK("https://www.773grp.com/globalSearch/LM310H/page-1", "LM310H")</f>
        <v>LM310H</v>
      </c>
      <c r="B45079" s="3" t="str">
        <f>HYPERLINK("https://www.773grp.com/manufacturer/onsemi?pageNo=973", "ON Semiconductor")</f>
        <v>ON Semiconductor</v>
      </c>
      <c r="C45079" s="6">
        <v>336</v>
      </c>
      <c r="D45079" s="7">
        <v>87.36</v>
      </c>
      <c r="E45079" t="s">
        <v>48</v>
      </c>
    </row>
    <row r="45080" spans="1:5" x14ac:dyDescent="0.25">
      <c r="A45080" t="str">
        <f>HYPERLINK("https://www.773grp.com/globalSearch/CLC114AJE/page-1", "CLC114AJE")</f>
        <v>CLC114AJE</v>
      </c>
      <c r="B45080" s="3" t="str">
        <f>HYPERLINK("https://www.773grp.com/manufacturer/onsemi?pageNo=974", "ON Semiconductor")</f>
        <v>ON Semiconductor</v>
      </c>
      <c r="C45080" s="6">
        <v>636</v>
      </c>
      <c r="D45080" s="7">
        <v>87.75</v>
      </c>
      <c r="E45080" t="s">
        <v>48</v>
      </c>
    </row>
    <row r="45081" spans="1:5" x14ac:dyDescent="0.25">
      <c r="A45081" t="str">
        <f>HYPERLINK("https://www.773grp.com/globalSearch/CLC114AJP/page-1", "CLC114AJP")</f>
        <v>CLC114AJP</v>
      </c>
      <c r="B45081" s="3" t="str">
        <f>HYPERLINK("https://www.773grp.com/manufacturer/onsemi?pageNo=975", "ON Semiconductor")</f>
        <v>ON Semiconductor</v>
      </c>
      <c r="C45081" s="6">
        <v>721</v>
      </c>
      <c r="D45081" s="7">
        <v>87.75</v>
      </c>
      <c r="E45081" t="s">
        <v>48</v>
      </c>
    </row>
    <row r="45082" spans="1:5" x14ac:dyDescent="0.25">
      <c r="A45082" t="str">
        <f>HYPERLINK("https://www.773grp.com/globalSearch/RC529F-R/page-1", "RC529F-R")</f>
        <v>RC529F-R</v>
      </c>
      <c r="B45082" s="3" t="str">
        <f>HYPERLINK("https://www.773grp.com/manufacturer/onsemi?pageNo=976", "ON Semiconductor")</f>
        <v>ON Semiconductor</v>
      </c>
      <c r="C45082" s="6">
        <v>101</v>
      </c>
      <c r="D45082" s="7">
        <v>88.23</v>
      </c>
    </row>
    <row r="45083" spans="1:5" x14ac:dyDescent="0.25">
      <c r="A45083" t="str">
        <f>HYPERLINK("https://www.773grp.com/globalSearch/MD8243-B/page-1", "MD8243-B")</f>
        <v>MD8243-B</v>
      </c>
      <c r="B45083" s="3" t="str">
        <f>HYPERLINK("https://www.773grp.com/manufacturer/onsemi?pageNo=977", "ON Semiconductor")</f>
        <v>ON Semiconductor</v>
      </c>
      <c r="C45083" s="6">
        <v>496</v>
      </c>
      <c r="D45083" s="7">
        <v>88.23</v>
      </c>
    </row>
    <row r="45084" spans="1:5" x14ac:dyDescent="0.25">
      <c r="A45084" t="str">
        <f>HYPERLINK("https://www.773grp.com/globalSearch/D8255A/page-1", "D8255A")</f>
        <v>D8255A</v>
      </c>
      <c r="B45084" s="3" t="str">
        <f>HYPERLINK("https://www.773grp.com/manufacturer/onsemi?pageNo=978", "ON Semiconductor")</f>
        <v>ON Semiconductor</v>
      </c>
      <c r="C45084" s="6">
        <v>434</v>
      </c>
      <c r="D45084" s="7">
        <v>88.88</v>
      </c>
      <c r="E45084" t="s">
        <v>90</v>
      </c>
    </row>
    <row r="45085" spans="1:5" x14ac:dyDescent="0.25">
      <c r="A45085" t="str">
        <f>HYPERLINK("https://www.773grp.com/globalSearch/54H21W-C  LT/page-1", "54H21W-C  LT")</f>
        <v>54H21W-C  LT</v>
      </c>
      <c r="B45085" s="3" t="str">
        <f>HYPERLINK("https://www.773grp.com/manufacturer/onsemi?pageNo=979", "ON Semiconductor")</f>
        <v>ON Semiconductor</v>
      </c>
      <c r="C45085" s="6">
        <v>45</v>
      </c>
      <c r="D45085" s="7">
        <v>89.49</v>
      </c>
    </row>
    <row r="45086" spans="1:5" x14ac:dyDescent="0.25">
      <c r="A45086" t="str">
        <f>HYPERLINK("https://www.773grp.com/globalSearch/TN87C51FC-1/page-1", "TN87C51FC-1")</f>
        <v>TN87C51FC-1</v>
      </c>
      <c r="B45086" s="3" t="str">
        <f>HYPERLINK("https://www.773grp.com/manufacturer/onsemi?pageNo=980", "ON Semiconductor")</f>
        <v>ON Semiconductor</v>
      </c>
      <c r="C45086" s="6">
        <v>697</v>
      </c>
      <c r="D45086" s="7">
        <v>89.76</v>
      </c>
      <c r="E45086" t="s">
        <v>52</v>
      </c>
    </row>
    <row r="45087" spans="1:5" x14ac:dyDescent="0.25">
      <c r="A45087" t="str">
        <f>HYPERLINK("https://www.773grp.com/globalSearch/N2912A/page-1", "N2912A")</f>
        <v>N2912A</v>
      </c>
      <c r="B45087" s="3" t="str">
        <f>HYPERLINK("https://www.773grp.com/manufacturer/onsemi?pageNo=981", "ON Semiconductor")</f>
        <v>ON Semiconductor</v>
      </c>
      <c r="C45087" s="6">
        <v>11</v>
      </c>
      <c r="D45087" s="7">
        <v>90.13</v>
      </c>
    </row>
    <row r="45088" spans="1:5" x14ac:dyDescent="0.25">
      <c r="A45088" t="str">
        <f>HYPERLINK("https://www.773grp.com/globalSearch/9097DM-C/page-1", "9097DM-C")</f>
        <v>9097DM-C</v>
      </c>
      <c r="B45088" s="3" t="str">
        <f>HYPERLINK("https://www.773grp.com/manufacturer/onsemi?pageNo=982", "ON Semiconductor")</f>
        <v>ON Semiconductor</v>
      </c>
      <c r="C45088" s="6">
        <v>118</v>
      </c>
      <c r="D45088" s="7">
        <v>90.63</v>
      </c>
    </row>
    <row r="45089" spans="1:5" x14ac:dyDescent="0.25">
      <c r="A45089" t="str">
        <f>HYPERLINK("https://www.773grp.com/globalSearch/25LS2521-BRA/page-1", "25LS2521-BRA")</f>
        <v>25LS2521-BRA</v>
      </c>
      <c r="B45089" s="3" t="str">
        <f>HYPERLINK("https://www.773grp.com/manufacturer/onsemi?pageNo=983", "ON Semiconductor")</f>
        <v>ON Semiconductor</v>
      </c>
      <c r="C45089" s="6">
        <v>252</v>
      </c>
      <c r="D45089" s="7">
        <v>90.74</v>
      </c>
    </row>
    <row r="45090" spans="1:5" x14ac:dyDescent="0.25">
      <c r="A45090" t="str">
        <f>HYPERLINK("https://www.773grp.com/globalSearch/D82C288-10/page-1", "D82C288-10")</f>
        <v>D82C288-10</v>
      </c>
      <c r="B45090" s="3" t="str">
        <f>HYPERLINK("https://www.773grp.com/manufacturer/onsemi?pageNo=984", "ON Semiconductor")</f>
        <v>ON Semiconductor</v>
      </c>
      <c r="C45090" s="6">
        <v>139</v>
      </c>
      <c r="D45090" s="7">
        <v>91.55</v>
      </c>
      <c r="E45090" t="s">
        <v>91</v>
      </c>
    </row>
    <row r="45091" spans="1:5" x14ac:dyDescent="0.25">
      <c r="A45091" t="str">
        <f>HYPERLINK("https://www.773grp.com/globalSearch/TN82510/page-1", "TN82510")</f>
        <v>TN82510</v>
      </c>
      <c r="B45091" s="3" t="str">
        <f>HYPERLINK("https://www.773grp.com/manufacturer/onsemi?pageNo=985", "ON Semiconductor")</f>
        <v>ON Semiconductor</v>
      </c>
      <c r="C45091" s="6">
        <v>237</v>
      </c>
      <c r="D45091" s="7">
        <v>91.85</v>
      </c>
      <c r="E45091" t="s">
        <v>71</v>
      </c>
    </row>
    <row r="45092" spans="1:5" x14ac:dyDescent="0.25">
      <c r="A45092" t="str">
        <f>HYPERLINK("https://www.773grp.com/globalSearch/MD27C64-35/page-1", "MD27C64-35")</f>
        <v>MD27C64-35</v>
      </c>
      <c r="B45092" s="3" t="str">
        <f>HYPERLINK("https://www.773grp.com/manufacturer/onsemi?pageNo=986", "ON Semiconductor")</f>
        <v>ON Semiconductor</v>
      </c>
      <c r="C45092" s="6">
        <v>249</v>
      </c>
      <c r="D45092" s="7">
        <v>92.75</v>
      </c>
    </row>
    <row r="45093" spans="1:5" x14ac:dyDescent="0.25">
      <c r="A45093" t="str">
        <f>HYPERLINK("https://www.773grp.com/globalSearch/944DM/page-1", "944DM")</f>
        <v>944DM</v>
      </c>
      <c r="B45093" s="3" t="str">
        <f>HYPERLINK("https://www.773grp.com/manufacturer/onsemi?pageNo=987", "ON Semiconductor")</f>
        <v>ON Semiconductor</v>
      </c>
      <c r="C45093" s="6">
        <v>287</v>
      </c>
      <c r="D45093" s="7">
        <v>93.26</v>
      </c>
      <c r="E45093" t="s">
        <v>31</v>
      </c>
    </row>
    <row r="45094" spans="1:5" x14ac:dyDescent="0.25">
      <c r="A45094" t="str">
        <f>HYPERLINK("https://www.773grp.com/globalSearch/R554137/page-1", "R554137")</f>
        <v>R554137</v>
      </c>
      <c r="B45094" s="3" t="str">
        <f>HYPERLINK("https://www.773grp.com/manufacturer/onsemi?pageNo=988", "ON Semiconductor")</f>
        <v>ON Semiconductor</v>
      </c>
      <c r="C45094" s="6">
        <v>348</v>
      </c>
      <c r="D45094" s="7">
        <v>93.26</v>
      </c>
    </row>
    <row r="45095" spans="1:5" x14ac:dyDescent="0.25">
      <c r="A45095" t="str">
        <f>HYPERLINK("https://www.773grp.com/globalSearch/R554139/page-1", "R554139")</f>
        <v>R554139</v>
      </c>
      <c r="B45095" s="3" t="str">
        <f>HYPERLINK("https://www.773grp.com/manufacturer/onsemi?pageNo=989", "ON Semiconductor")</f>
        <v>ON Semiconductor</v>
      </c>
      <c r="C45095" s="6">
        <v>2</v>
      </c>
      <c r="D45095" s="7">
        <v>93.26</v>
      </c>
    </row>
    <row r="45096" spans="1:5" x14ac:dyDescent="0.25">
      <c r="A45096" t="str">
        <f>HYPERLINK("https://www.773grp.com/globalSearch/R554169/page-1", "R554169")</f>
        <v>R554169</v>
      </c>
      <c r="B45096" s="3" t="str">
        <f>HYPERLINK("https://www.773grp.com/manufacturer/onsemi?pageNo=990", "ON Semiconductor")</f>
        <v>ON Semiconductor</v>
      </c>
      <c r="C45096" s="6">
        <v>335</v>
      </c>
      <c r="D45096" s="7">
        <v>93.26</v>
      </c>
    </row>
    <row r="45097" spans="1:5" x14ac:dyDescent="0.25">
      <c r="A45097" t="str">
        <f>HYPERLINK("https://www.773grp.com/globalSearch/R554906/page-1", "R554906")</f>
        <v>R554906</v>
      </c>
      <c r="B45097" s="3" t="str">
        <f>HYPERLINK("https://www.773grp.com/manufacturer/onsemi?pageNo=991", "ON Semiconductor")</f>
        <v>ON Semiconductor</v>
      </c>
      <c r="C45097" s="6">
        <v>374</v>
      </c>
      <c r="D45097" s="7">
        <v>93.26</v>
      </c>
    </row>
    <row r="45098" spans="1:5" x14ac:dyDescent="0.25">
      <c r="A45098" t="str">
        <f>HYPERLINK("https://www.773grp.com/globalSearch/26LS30FM-B/page-1", "26LS30FM-B")</f>
        <v>26LS30FM-B</v>
      </c>
      <c r="B45098" s="3" t="str">
        <f>HYPERLINK("https://www.773grp.com/manufacturer/onsemi?pageNo=992", "ON Semiconductor")</f>
        <v>ON Semiconductor</v>
      </c>
      <c r="C45098" s="6">
        <v>523</v>
      </c>
      <c r="D45098" s="7">
        <v>93.26</v>
      </c>
    </row>
    <row r="45099" spans="1:5" x14ac:dyDescent="0.25">
      <c r="A45099" t="str">
        <f>HYPERLINK("https://www.773grp.com/globalSearch/54F381ADM-B/page-1", "54F381ADM-B")</f>
        <v>54F381ADM-B</v>
      </c>
      <c r="B45099" s="3" t="str">
        <f>HYPERLINK("https://www.773grp.com/manufacturer/onsemi?pageNo=993", "ON Semiconductor")</f>
        <v>ON Semiconductor</v>
      </c>
      <c r="C45099" s="6">
        <v>258</v>
      </c>
      <c r="D45099" s="7">
        <v>93.26</v>
      </c>
    </row>
    <row r="45100" spans="1:5" x14ac:dyDescent="0.25">
      <c r="A45100" t="str">
        <f>HYPERLINK("https://www.773grp.com/globalSearch/54LS28J-B/page-1", "54LS28J-B")</f>
        <v>54LS28J-B</v>
      </c>
      <c r="B45100" s="3" t="str">
        <f>HYPERLINK("https://www.773grp.com/manufacturer/onsemi?pageNo=994", "ON Semiconductor")</f>
        <v>ON Semiconductor</v>
      </c>
      <c r="C45100" s="6">
        <v>104</v>
      </c>
      <c r="D45100" s="7">
        <v>93.26</v>
      </c>
    </row>
    <row r="45101" spans="1:5" x14ac:dyDescent="0.25">
      <c r="A45101" t="str">
        <f>HYPERLINK("https://www.773grp.com/globalSearch/D8748H/page-1", "D8748H")</f>
        <v>D8748H</v>
      </c>
      <c r="B45101" s="3" t="str">
        <f>HYPERLINK("https://www.773grp.com/manufacturer/onsemi?pageNo=995", "ON Semiconductor")</f>
        <v>ON Semiconductor</v>
      </c>
      <c r="C45101" s="6">
        <v>1453</v>
      </c>
      <c r="D45101" s="7">
        <v>93.64</v>
      </c>
      <c r="E45101" t="s">
        <v>52</v>
      </c>
    </row>
    <row r="45102" spans="1:5" x14ac:dyDescent="0.25">
      <c r="A45102" t="str">
        <f>HYPERLINK("https://www.773grp.com/globalSearch/AM27C512-200DI/page-1", "AM27C512-200DI")</f>
        <v>AM27C512-200DI</v>
      </c>
      <c r="B45102" s="3" t="str">
        <f>HYPERLINK("https://www.773grp.com/manufacturer/onsemi?pageNo=996", "ON Semiconductor")</f>
        <v>ON Semiconductor</v>
      </c>
      <c r="C45102" s="6">
        <v>69</v>
      </c>
      <c r="D45102" s="7">
        <v>93.78</v>
      </c>
      <c r="E45102" t="s">
        <v>64</v>
      </c>
    </row>
    <row r="45103" spans="1:5" x14ac:dyDescent="0.25">
      <c r="A45103" t="str">
        <f>HYPERLINK("https://www.773grp.com/globalSearch/54L04J/page-1", "54L04J")</f>
        <v>54L04J</v>
      </c>
      <c r="B45103" s="3" t="str">
        <f>HYPERLINK("https://www.773grp.com/manufacturer/onsemi?pageNo=997", "ON Semiconductor")</f>
        <v>ON Semiconductor</v>
      </c>
      <c r="C45103" s="6">
        <v>139</v>
      </c>
      <c r="D45103" s="7">
        <v>93.91</v>
      </c>
    </row>
    <row r="45104" spans="1:5" x14ac:dyDescent="0.25">
      <c r="A45104" t="str">
        <f>HYPERLINK("https://www.773grp.com/globalSearch/HA2-5102-5/page-1", "HA2-5102-5")</f>
        <v>HA2-5102-5</v>
      </c>
      <c r="B45104" s="3" t="str">
        <f>HYPERLINK("https://www.773grp.com/manufacturer/onsemi?pageNo=998", "ON Semiconductor")</f>
        <v>ON Semiconductor</v>
      </c>
      <c r="C45104" s="6">
        <v>8067</v>
      </c>
      <c r="D45104" s="7">
        <v>94.93</v>
      </c>
      <c r="E45104" t="s">
        <v>13</v>
      </c>
    </row>
    <row r="45105" spans="1:5" x14ac:dyDescent="0.25">
      <c r="A45105" t="str">
        <f>HYPERLINK("https://www.773grp.com/globalSearch/54S40-BCA/page-1", "54S40-BCA")</f>
        <v>54S40-BCA</v>
      </c>
      <c r="B45105" s="3" t="str">
        <f>HYPERLINK("https://www.773grp.com/manufacturer/onsemi?pageNo=999", "ON Semiconductor")</f>
        <v>ON Semiconductor</v>
      </c>
      <c r="C45105" s="6">
        <v>2246</v>
      </c>
      <c r="D45105" s="7">
        <v>95.09</v>
      </c>
      <c r="E45105" t="s">
        <v>31</v>
      </c>
    </row>
    <row r="45106" spans="1:5" x14ac:dyDescent="0.25">
      <c r="A45106" t="str">
        <f>HYPERLINK("https://www.773grp.com/globalSearch/29705APCB/page-1", "29705APCB")</f>
        <v>29705APCB</v>
      </c>
      <c r="B45106" s="3" t="str">
        <f>HYPERLINK("https://www.773grp.com/manufacturer/onsemi?pageNo=1000", "ON Semiconductor")</f>
        <v>ON Semiconductor</v>
      </c>
      <c r="C45106" s="6">
        <v>205</v>
      </c>
      <c r="D45106" s="7">
        <v>95.36</v>
      </c>
    </row>
    <row r="45107" spans="1:5" x14ac:dyDescent="0.25">
      <c r="A45107" t="str">
        <f>HYPERLINK("https://www.773grp.com/globalSearch/MD27C64-25/page-1", "MD27C64-25")</f>
        <v>MD27C64-25</v>
      </c>
      <c r="B45107" s="3" t="str">
        <f>HYPERLINK("https://www.773grp.com/manufacturer/onsemi?pageNo=1001", "ON Semiconductor")</f>
        <v>ON Semiconductor</v>
      </c>
      <c r="C45107" s="6">
        <v>434</v>
      </c>
      <c r="D45107" s="7">
        <v>95.65</v>
      </c>
    </row>
    <row r="45108" spans="1:5" x14ac:dyDescent="0.25">
      <c r="A45108" t="str">
        <f>HYPERLINK("https://www.773grp.com/globalSearch/2102AJ-R/page-1", "2102AJ-R")</f>
        <v>2102AJ-R</v>
      </c>
      <c r="B45108" s="3" t="str">
        <f>HYPERLINK("https://www.773grp.com/manufacturer/onsemi?pageNo=1002", "ON Semiconductor")</f>
        <v>ON Semiconductor</v>
      </c>
      <c r="C45108" s="6">
        <v>15</v>
      </c>
      <c r="D45108" s="7">
        <v>95.79</v>
      </c>
    </row>
    <row r="45109" spans="1:5" x14ac:dyDescent="0.25">
      <c r="A45109" t="str">
        <f>HYPERLINK("https://www.773grp.com/globalSearch/54H04-BCA/page-1", "54H04-BCA")</f>
        <v>54H04-BCA</v>
      </c>
      <c r="B45109" s="3" t="str">
        <f>HYPERLINK("https://www.773grp.com/manufacturer/onsemi?pageNo=1003", "ON Semiconductor")</f>
        <v>ON Semiconductor</v>
      </c>
      <c r="C45109" s="6">
        <v>51</v>
      </c>
      <c r="D45109" s="7">
        <v>95.79</v>
      </c>
    </row>
    <row r="45110" spans="1:5" x14ac:dyDescent="0.25">
      <c r="A45110" t="str">
        <f>HYPERLINK("https://www.773grp.com/globalSearch/54H20DM-B/page-1", "54H20DM-B")</f>
        <v>54H20DM-B</v>
      </c>
      <c r="B45110" s="3" t="str">
        <f>HYPERLINK("https://www.773grp.com/manufacturer/onsemi?pageNo=1004", "ON Semiconductor")</f>
        <v>ON Semiconductor</v>
      </c>
      <c r="C45110" s="6">
        <v>212</v>
      </c>
      <c r="D45110" s="7">
        <v>95.79</v>
      </c>
    </row>
    <row r="45111" spans="1:5" x14ac:dyDescent="0.25">
      <c r="A45111" t="str">
        <f>HYPERLINK("https://www.773grp.com/globalSearch/R574145/page-1", "R574145")</f>
        <v>R574145</v>
      </c>
      <c r="B45111" s="3" t="str">
        <f>HYPERLINK("https://www.773grp.com/manufacturer/onsemi?pageNo=1005", "ON Semiconductor")</f>
        <v>ON Semiconductor</v>
      </c>
      <c r="C45111" s="6">
        <v>481</v>
      </c>
      <c r="D45111" s="7">
        <v>95.79</v>
      </c>
    </row>
    <row r="45112" spans="1:5" x14ac:dyDescent="0.25">
      <c r="A45112" t="str">
        <f>HYPERLINK("https://www.773grp.com/globalSearch/26LS32-BFA/page-1", "26LS32-BFA")</f>
        <v>26LS32-BFA</v>
      </c>
      <c r="B45112" s="3" t="str">
        <f>HYPERLINK("https://www.773grp.com/manufacturer/onsemi?pageNo=1006", "ON Semiconductor")</f>
        <v>ON Semiconductor</v>
      </c>
      <c r="C45112" s="6">
        <v>229</v>
      </c>
      <c r="D45112" s="7">
        <v>95.79</v>
      </c>
      <c r="E45112" t="s">
        <v>21</v>
      </c>
    </row>
    <row r="45113" spans="1:5" x14ac:dyDescent="0.25">
      <c r="A45113" t="str">
        <f>HYPERLINK("https://www.773grp.com/globalSearch/29C60AJC/page-1", "29C60AJC")</f>
        <v>29C60AJC</v>
      </c>
      <c r="B45113" s="3" t="str">
        <f>HYPERLINK("https://www.773grp.com/manufacturer/onsemi?pageNo=1007", "ON Semiconductor")</f>
        <v>ON Semiconductor</v>
      </c>
      <c r="C45113" s="6">
        <v>995</v>
      </c>
      <c r="D45113" s="7">
        <v>95.79</v>
      </c>
    </row>
    <row r="45114" spans="1:5" x14ac:dyDescent="0.25">
      <c r="A45114" t="str">
        <f>HYPERLINK("https://www.773grp.com/globalSearch/9513ADC/page-1", "9513ADC")</f>
        <v>9513ADC</v>
      </c>
      <c r="B45114" s="3" t="str">
        <f>HYPERLINK("https://www.773grp.com/manufacturer/onsemi?pageNo=1008", "ON Semiconductor")</f>
        <v>ON Semiconductor</v>
      </c>
      <c r="C45114" s="6">
        <v>50</v>
      </c>
      <c r="D45114" s="7">
        <v>95.79</v>
      </c>
    </row>
    <row r="45115" spans="1:5" x14ac:dyDescent="0.25">
      <c r="A45115" t="str">
        <f>HYPERLINK("https://www.773grp.com/globalSearch/9519ADC/page-1", "9519ADC")</f>
        <v>9519ADC</v>
      </c>
      <c r="B45115" s="3" t="str">
        <f>HYPERLINK("https://www.773grp.com/manufacturer/onsemi?pageNo=1009", "ON Semiconductor")</f>
        <v>ON Semiconductor</v>
      </c>
      <c r="C45115" s="6">
        <v>31</v>
      </c>
      <c r="D45115" s="7">
        <v>95.79</v>
      </c>
    </row>
    <row r="45116" spans="1:5" x14ac:dyDescent="0.25">
      <c r="A45116" t="str">
        <f>HYPERLINK("https://www.773grp.com/globalSearch/MD2764A-35-B/page-1", "MD2764A-35-B")</f>
        <v>MD2764A-35-B</v>
      </c>
      <c r="B45116" s="3" t="str">
        <f>HYPERLINK("https://www.773grp.com/manufacturer/onsemi?pageNo=1010", "ON Semiconductor")</f>
        <v>ON Semiconductor</v>
      </c>
      <c r="C45116" s="6">
        <v>8</v>
      </c>
      <c r="D45116" s="7">
        <v>95.79</v>
      </c>
    </row>
    <row r="45117" spans="1:5" x14ac:dyDescent="0.25">
      <c r="A45117" t="str">
        <f>HYPERLINK("https://www.773grp.com/globalSearch/DS0026CH/page-1", "DS0026CH")</f>
        <v>DS0026CH</v>
      </c>
      <c r="B45117" s="3" t="str">
        <f>HYPERLINK("https://www.773grp.com/manufacturer/onsemi?pageNo=1011", "ON Semiconductor")</f>
        <v>ON Semiconductor</v>
      </c>
      <c r="C45117" s="6">
        <v>748</v>
      </c>
      <c r="D45117" s="7">
        <v>95.79</v>
      </c>
    </row>
    <row r="45118" spans="1:5" x14ac:dyDescent="0.25">
      <c r="A45118" t="str">
        <f>HYPERLINK("https://www.773grp.com/globalSearch/54H22-BCA/page-1", "54H22-BCA")</f>
        <v>54H22-BCA</v>
      </c>
      <c r="B45118" s="3" t="str">
        <f>HYPERLINK("https://www.773grp.com/manufacturer/onsemi?pageNo=1012", "ON Semiconductor")</f>
        <v>ON Semiconductor</v>
      </c>
      <c r="C45118" s="6">
        <v>601</v>
      </c>
      <c r="D45118" s="7">
        <v>95.79</v>
      </c>
    </row>
    <row r="45119" spans="1:5" x14ac:dyDescent="0.25">
      <c r="A45119" t="str">
        <f>HYPERLINK("https://www.773grp.com/globalSearch/54LS03-BCA/page-1", "54LS03-BCA")</f>
        <v>54LS03-BCA</v>
      </c>
      <c r="B45119" s="3" t="str">
        <f>HYPERLINK("https://www.773grp.com/manufacturer/onsemi?pageNo=1013", "ON Semiconductor")</f>
        <v>ON Semiconductor</v>
      </c>
      <c r="C45119" s="6">
        <v>909</v>
      </c>
      <c r="D45119" s="7">
        <v>95.79</v>
      </c>
    </row>
    <row r="45120" spans="1:5" x14ac:dyDescent="0.25">
      <c r="A45120" t="str">
        <f>HYPERLINK("https://www.773grp.com/globalSearch/54LS13-BCA/page-1", "54LS13-BCA")</f>
        <v>54LS13-BCA</v>
      </c>
      <c r="B45120" s="3" t="str">
        <f>HYPERLINK("https://www.773grp.com/manufacturer/onsemi?pageNo=1014", "ON Semiconductor")</f>
        <v>ON Semiconductor</v>
      </c>
      <c r="C45120" s="6">
        <v>1030</v>
      </c>
      <c r="D45120" s="7">
        <v>95.79</v>
      </c>
    </row>
    <row r="45121" spans="1:4" x14ac:dyDescent="0.25">
      <c r="A45121" t="str">
        <f>HYPERLINK("https://www.773grp.com/globalSearch/54LS147-BEA/page-1", "54LS147-BEA")</f>
        <v>54LS147-BEA</v>
      </c>
      <c r="B45121" s="3" t="str">
        <f>HYPERLINK("https://www.773grp.com/manufacturer/onsemi?pageNo=1015", "ON Semiconductor")</f>
        <v>ON Semiconductor</v>
      </c>
      <c r="C45121" s="6">
        <v>1070</v>
      </c>
      <c r="D45121" s="7">
        <v>95.79</v>
      </c>
    </row>
    <row r="45122" spans="1:4" x14ac:dyDescent="0.25">
      <c r="A45122" t="str">
        <f>HYPERLINK("https://www.773grp.com/globalSearch/54LS48J-B/page-1", "54LS48J-B")</f>
        <v>54LS48J-B</v>
      </c>
      <c r="B45122" s="3" t="str">
        <f>HYPERLINK("https://www.773grp.com/manufacturer/onsemi?pageNo=1016", "ON Semiconductor")</f>
        <v>ON Semiconductor</v>
      </c>
      <c r="C45122" s="6">
        <v>2</v>
      </c>
      <c r="D45122" s="7">
        <v>95.79</v>
      </c>
    </row>
    <row r="45123" spans="1:4" x14ac:dyDescent="0.25">
      <c r="A45123" t="str">
        <f>HYPERLINK("https://www.773grp.com/globalSearch/54H73J-C/page-1", "54H73J-C")</f>
        <v>54H73J-C</v>
      </c>
      <c r="B45123" s="3" t="str">
        <f>HYPERLINK("https://www.773grp.com/manufacturer/onsemi?pageNo=1017", "ON Semiconductor")</f>
        <v>ON Semiconductor</v>
      </c>
      <c r="C45123" s="6">
        <v>134</v>
      </c>
      <c r="D45123" s="7">
        <v>96.04</v>
      </c>
    </row>
    <row r="45124" spans="1:4" x14ac:dyDescent="0.25">
      <c r="A45124" t="str">
        <f>HYPERLINK("https://www.773grp.com/globalSearch/54L78J-C/page-1", "54L78J-C")</f>
        <v>54L78J-C</v>
      </c>
      <c r="B45124" s="3" t="str">
        <f>HYPERLINK("https://www.773grp.com/manufacturer/onsemi?pageNo=1018", "ON Semiconductor")</f>
        <v>ON Semiconductor</v>
      </c>
      <c r="C45124" s="6">
        <v>201</v>
      </c>
      <c r="D45124" s="7">
        <v>96.33</v>
      </c>
    </row>
    <row r="45125" spans="1:4" x14ac:dyDescent="0.25">
      <c r="A45125" t="str">
        <f>HYPERLINK("https://www.773grp.com/globalSearch/74AS632FN/page-1", "74AS632FN")</f>
        <v>74AS632FN</v>
      </c>
      <c r="B45125" s="3" t="str">
        <f>HYPERLINK("https://www.773grp.com/manufacturer/onsemi?pageNo=1019", "ON Semiconductor")</f>
        <v>ON Semiconductor</v>
      </c>
      <c r="C45125" s="6">
        <v>66</v>
      </c>
      <c r="D45125" s="7">
        <v>96.75</v>
      </c>
    </row>
    <row r="45126" spans="1:4" x14ac:dyDescent="0.25">
      <c r="A45126" t="str">
        <f>HYPERLINK("https://www.773grp.com/globalSearch/5410-BDA/page-1", "5410-BDA")</f>
        <v>5410-BDA</v>
      </c>
      <c r="B45126" s="3" t="str">
        <f>HYPERLINK("https://www.773grp.com/manufacturer/onsemi?pageNo=1020", "ON Semiconductor")</f>
        <v>ON Semiconductor</v>
      </c>
      <c r="C45126" s="6">
        <v>373</v>
      </c>
      <c r="D45126" s="7">
        <v>97.21</v>
      </c>
    </row>
    <row r="45127" spans="1:4" x14ac:dyDescent="0.25">
      <c r="A45127" t="str">
        <f>HYPERLINK("https://www.773grp.com/globalSearch/RC668L/page-1", "RC668L")</f>
        <v>RC668L</v>
      </c>
      <c r="B45127" s="3" t="str">
        <f>HYPERLINK("https://www.773grp.com/manufacturer/onsemi?pageNo=1021", "ON Semiconductor")</f>
        <v>ON Semiconductor</v>
      </c>
      <c r="C45127" s="6">
        <v>131</v>
      </c>
      <c r="D45127" s="7">
        <v>97.3</v>
      </c>
    </row>
    <row r="45128" spans="1:4" x14ac:dyDescent="0.25">
      <c r="A45128" t="str">
        <f>HYPERLINK("https://www.773grp.com/globalSearch/54F38-QCA/page-1", "54F38-QCA")</f>
        <v>54F38-QCA</v>
      </c>
      <c r="B45128" s="3" t="str">
        <f>HYPERLINK("https://www.773grp.com/manufacturer/onsemi?pageNo=1022", "ON Semiconductor")</f>
        <v>ON Semiconductor</v>
      </c>
      <c r="C45128" s="6">
        <v>244</v>
      </c>
      <c r="D45128" s="7">
        <v>97.55</v>
      </c>
    </row>
    <row r="45129" spans="1:4" x14ac:dyDescent="0.25">
      <c r="A45129" t="str">
        <f>HYPERLINK("https://www.773grp.com/globalSearch/D8255A-5/page-1", "D8255A-5")</f>
        <v>D8255A-5</v>
      </c>
      <c r="B45129" s="3" t="str">
        <f>HYPERLINK("https://www.773grp.com/manufacturer/onsemi?pageNo=1023", "ON Semiconductor")</f>
        <v>ON Semiconductor</v>
      </c>
      <c r="C45129" s="6">
        <v>321</v>
      </c>
      <c r="D45129" s="7">
        <v>97.69</v>
      </c>
    </row>
    <row r="45130" spans="1:4" x14ac:dyDescent="0.25">
      <c r="A45130" t="str">
        <f>HYPERLINK("https://www.773grp.com/globalSearch/11C90DM-B/page-1", "11C90DM-B")</f>
        <v>11C90DM-B</v>
      </c>
      <c r="B45130" s="3" t="str">
        <f>HYPERLINK("https://www.773grp.com/manufacturer/onsemi?pageNo=1024", "ON Semiconductor")</f>
        <v>ON Semiconductor</v>
      </c>
      <c r="C45130" s="6">
        <v>3192</v>
      </c>
      <c r="D45130" s="7">
        <v>97.69</v>
      </c>
    </row>
    <row r="45131" spans="1:4" x14ac:dyDescent="0.25">
      <c r="A45131" t="str">
        <f>HYPERLINK("https://www.773grp.com/globalSearch/54152AW-B/page-1", "54152AW-B")</f>
        <v>54152AW-B</v>
      </c>
      <c r="B45131" s="3" t="str">
        <f>HYPERLINK("https://www.773grp.com/manufacturer/onsemi?pageNo=1025", "ON Semiconductor")</f>
        <v>ON Semiconductor</v>
      </c>
      <c r="C45131" s="6">
        <v>226</v>
      </c>
      <c r="D45131" s="7">
        <v>98.18</v>
      </c>
    </row>
    <row r="45132" spans="1:4" x14ac:dyDescent="0.25">
      <c r="A45132" t="str">
        <f>HYPERLINK("https://www.773grp.com/globalSearch/5403-BCA/page-1", "5403-BCA")</f>
        <v>5403-BCA</v>
      </c>
      <c r="B45132" s="3" t="str">
        <f>HYPERLINK("https://www.773grp.com/manufacturer/onsemi?pageNo=1026", "ON Semiconductor")</f>
        <v>ON Semiconductor</v>
      </c>
      <c r="C45132" s="6">
        <v>908</v>
      </c>
      <c r="D45132" s="7">
        <v>98.26</v>
      </c>
    </row>
    <row r="45133" spans="1:4" x14ac:dyDescent="0.25">
      <c r="A45133" t="str">
        <f>HYPERLINK("https://www.773grp.com/globalSearch/R554152/page-1", "R554152")</f>
        <v>R554152</v>
      </c>
      <c r="B45133" s="3" t="str">
        <f>HYPERLINK("https://www.773grp.com/manufacturer/onsemi?pageNo=1027", "ON Semiconductor")</f>
        <v>ON Semiconductor</v>
      </c>
      <c r="C45133" s="6">
        <v>372</v>
      </c>
      <c r="D45133" s="7">
        <v>98.3</v>
      </c>
    </row>
    <row r="45134" spans="1:4" x14ac:dyDescent="0.25">
      <c r="A45134" t="str">
        <f>HYPERLINK("https://www.773grp.com/globalSearch/R554901/page-1", "R554901")</f>
        <v>R554901</v>
      </c>
      <c r="B45134" s="3" t="str">
        <f>HYPERLINK("https://www.773grp.com/manufacturer/onsemi?pageNo=1028", "ON Semiconductor")</f>
        <v>ON Semiconductor</v>
      </c>
      <c r="C45134" s="6">
        <v>119</v>
      </c>
      <c r="D45134" s="7">
        <v>98.3</v>
      </c>
    </row>
    <row r="45135" spans="1:4" x14ac:dyDescent="0.25">
      <c r="A45135" t="str">
        <f>HYPERLINK("https://www.773grp.com/globalSearch/2947-BRA/page-1", "2947-BRA")</f>
        <v>2947-BRA</v>
      </c>
      <c r="B45135" s="3" t="str">
        <f>HYPERLINK("https://www.773grp.com/manufacturer/onsemi?pageNo=1029", "ON Semiconductor")</f>
        <v>ON Semiconductor</v>
      </c>
      <c r="C45135" s="6">
        <v>658</v>
      </c>
      <c r="D45135" s="7">
        <v>98.3</v>
      </c>
    </row>
    <row r="45136" spans="1:4" x14ac:dyDescent="0.25">
      <c r="A45136" t="str">
        <f>HYPERLINK("https://www.773grp.com/globalSearch/3448AL-R/page-1", "3448AL-R")</f>
        <v>3448AL-R</v>
      </c>
      <c r="B45136" s="3" t="str">
        <f>HYPERLINK("https://www.773grp.com/manufacturer/onsemi?pageNo=1030", "ON Semiconductor")</f>
        <v>ON Semiconductor</v>
      </c>
      <c r="C45136" s="6">
        <v>578</v>
      </c>
      <c r="D45136" s="7">
        <v>98.3</v>
      </c>
    </row>
    <row r="45137" spans="1:5" x14ac:dyDescent="0.25">
      <c r="A45137" t="str">
        <f>HYPERLINK("https://www.773grp.com/globalSearch/7200-50DC/page-1", "7200-50DC")</f>
        <v>7200-50DC</v>
      </c>
      <c r="B45137" s="3" t="str">
        <f>HYPERLINK("https://www.773grp.com/manufacturer/onsemi?pageNo=1031", "ON Semiconductor")</f>
        <v>ON Semiconductor</v>
      </c>
      <c r="C45137" s="6">
        <v>98</v>
      </c>
      <c r="D45137" s="7">
        <v>98.3</v>
      </c>
    </row>
    <row r="45138" spans="1:5" x14ac:dyDescent="0.25">
      <c r="A45138" t="str">
        <f>HYPERLINK("https://www.773grp.com/globalSearch/MD27256-25-B/page-1", "MD27256-25-B")</f>
        <v>MD27256-25-B</v>
      </c>
      <c r="B45138" s="3" t="str">
        <f>HYPERLINK("https://www.773grp.com/manufacturer/onsemi?pageNo=1032", "ON Semiconductor")</f>
        <v>ON Semiconductor</v>
      </c>
      <c r="C45138" s="6">
        <v>77</v>
      </c>
      <c r="D45138" s="7">
        <v>98.3</v>
      </c>
    </row>
    <row r="45139" spans="1:5" x14ac:dyDescent="0.25">
      <c r="A45139" t="str">
        <f>HYPERLINK("https://www.773grp.com/globalSearch/CA3080A/page-1", "CA3080A")</f>
        <v>CA3080A</v>
      </c>
      <c r="B45139" s="3" t="str">
        <f>HYPERLINK("https://www.773grp.com/manufacturer/onsemi?pageNo=1033", "ON Semiconductor")</f>
        <v>ON Semiconductor</v>
      </c>
      <c r="C45139" s="6">
        <v>368</v>
      </c>
      <c r="D45139" s="7">
        <v>98.3</v>
      </c>
    </row>
    <row r="45140" spans="1:5" x14ac:dyDescent="0.25">
      <c r="A45140" t="str">
        <f>HYPERLINK("https://www.773grp.com/globalSearch/54141DM/page-1", "54141DM")</f>
        <v>54141DM</v>
      </c>
      <c r="B45140" s="3" t="str">
        <f>HYPERLINK("https://www.773grp.com/manufacturer/onsemi?pageNo=1034", "ON Semiconductor")</f>
        <v>ON Semiconductor</v>
      </c>
      <c r="C45140" s="6">
        <v>283</v>
      </c>
      <c r="D45140" s="7">
        <v>98.3</v>
      </c>
    </row>
    <row r="45141" spans="1:5" x14ac:dyDescent="0.25">
      <c r="A45141" t="str">
        <f>HYPERLINK("https://www.773grp.com/globalSearch/54LS293J-B/page-1", "54LS293J-B")</f>
        <v>54LS293J-B</v>
      </c>
      <c r="B45141" s="3" t="str">
        <f>HYPERLINK("https://www.773grp.com/manufacturer/onsemi?pageNo=1035", "ON Semiconductor")</f>
        <v>ON Semiconductor</v>
      </c>
      <c r="C45141" s="6">
        <v>30</v>
      </c>
      <c r="D45141" s="7">
        <v>98.3</v>
      </c>
    </row>
    <row r="45142" spans="1:5" x14ac:dyDescent="0.25">
      <c r="A45142" t="str">
        <f>HYPERLINK("https://www.773grp.com/globalSearch/TP8032AH/page-1", "TP8032AH")</f>
        <v>TP8032AH</v>
      </c>
      <c r="B45142" s="3" t="str">
        <f>HYPERLINK("https://www.773grp.com/manufacturer/onsemi?pageNo=1036", "ON Semiconductor")</f>
        <v>ON Semiconductor</v>
      </c>
      <c r="C45142" s="6">
        <v>1681</v>
      </c>
      <c r="D45142" s="7">
        <v>98.46</v>
      </c>
      <c r="E45142" t="s">
        <v>52</v>
      </c>
    </row>
    <row r="45143" spans="1:5" x14ac:dyDescent="0.25">
      <c r="A45143" t="str">
        <f>HYPERLINK("https://www.773grp.com/globalSearch/MD27C64-20/page-1", "MD27C64-20")</f>
        <v>MD27C64-20</v>
      </c>
      <c r="B45143" s="3" t="str">
        <f>HYPERLINK("https://www.773grp.com/manufacturer/onsemi?pageNo=1037", "ON Semiconductor")</f>
        <v>ON Semiconductor</v>
      </c>
      <c r="C45143" s="6">
        <v>698</v>
      </c>
      <c r="D45143" s="7">
        <v>98.56</v>
      </c>
    </row>
    <row r="45144" spans="1:5" x14ac:dyDescent="0.25">
      <c r="A45144" t="str">
        <f>HYPERLINK("https://www.773grp.com/globalSearch/N82510/page-1", "N82510")</f>
        <v>N82510</v>
      </c>
      <c r="B45144" s="3" t="str">
        <f>HYPERLINK("https://www.773grp.com/manufacturer/onsemi?pageNo=1038", "ON Semiconductor")</f>
        <v>ON Semiconductor</v>
      </c>
      <c r="C45144" s="6">
        <v>33213</v>
      </c>
      <c r="D45144" s="7">
        <v>98.74</v>
      </c>
      <c r="E45144" t="s">
        <v>71</v>
      </c>
    </row>
    <row r="45145" spans="1:5" x14ac:dyDescent="0.25">
      <c r="A45145" t="str">
        <f>HYPERLINK("https://www.773grp.com/globalSearch/AM27C010-55DI/page-1", "AM27C010-55DI")</f>
        <v>AM27C010-55DI</v>
      </c>
      <c r="B45145" s="3" t="str">
        <f>HYPERLINK("https://www.773grp.com/manufacturer/onsemi?pageNo=1039", "ON Semiconductor")</f>
        <v>ON Semiconductor</v>
      </c>
      <c r="C45145" s="6">
        <v>50</v>
      </c>
      <c r="D45145" s="7">
        <v>99.09</v>
      </c>
    </row>
    <row r="45146" spans="1:5" x14ac:dyDescent="0.25">
      <c r="A45146" t="str">
        <f>HYPERLINK("https://www.773grp.com/globalSearch/R82C501AD/page-1", "R82C501AD")</f>
        <v>R82C501AD</v>
      </c>
      <c r="B45146" s="3" t="str">
        <f>HYPERLINK("https://www.773grp.com/manufacturer/onsemi?pageNo=1040", "ON Semiconductor")</f>
        <v>ON Semiconductor</v>
      </c>
      <c r="C45146" s="6">
        <v>1168</v>
      </c>
      <c r="D45146" s="7">
        <v>99.29</v>
      </c>
    </row>
    <row r="45147" spans="1:5" x14ac:dyDescent="0.25">
      <c r="A45147" t="str">
        <f>HYPERLINK("https://www.773grp.com/globalSearch/D8251A/page-1", "D8251A")</f>
        <v>D8251A</v>
      </c>
      <c r="B45147" s="3" t="str">
        <f>HYPERLINK("https://www.773grp.com/manufacturer/onsemi?pageNo=1041", "ON Semiconductor")</f>
        <v>ON Semiconductor</v>
      </c>
      <c r="C45147" s="6">
        <v>914</v>
      </c>
      <c r="D45147" s="7">
        <v>99.56</v>
      </c>
      <c r="E45147" t="s">
        <v>71</v>
      </c>
    </row>
    <row r="45148" spans="1:5" x14ac:dyDescent="0.25">
      <c r="A45148" t="str">
        <f>HYPERLINK("https://www.773grp.com/globalSearch/54C905J/page-1", "54C905J")</f>
        <v>54C905J</v>
      </c>
      <c r="B45148" s="3" t="str">
        <f>HYPERLINK("https://www.773grp.com/manufacturer/onsemi?pageNo=1042", "ON Semiconductor")</f>
        <v>ON Semiconductor</v>
      </c>
      <c r="C45148" s="6">
        <v>541</v>
      </c>
      <c r="D45148" s="7">
        <v>99.7</v>
      </c>
    </row>
    <row r="45149" spans="1:5" x14ac:dyDescent="0.25">
      <c r="A45149" t="str">
        <f>HYPERLINK("https://www.773grp.com/globalSearch/SN55450BJ/page-1", "SN55450BJ")</f>
        <v>SN55450BJ</v>
      </c>
      <c r="B45149" s="3" t="str">
        <f>HYPERLINK("https://www.773grp.com/manufacturer/onsemi?pageNo=1043", "ON Semiconductor")</f>
        <v>ON Semiconductor</v>
      </c>
      <c r="C45149" s="6">
        <v>739</v>
      </c>
      <c r="D45149" s="7">
        <v>100.2</v>
      </c>
    </row>
    <row r="45150" spans="1:5" x14ac:dyDescent="0.25">
      <c r="A45150" t="str">
        <f>HYPERLINK("https://www.773grp.com/globalSearch/5496-BEA/page-1", "5496-BEA")</f>
        <v>5496-BEA</v>
      </c>
      <c r="B45150" s="3" t="str">
        <f>HYPERLINK("https://www.773grp.com/manufacturer/onsemi?pageNo=1044", "ON Semiconductor")</f>
        <v>ON Semiconductor</v>
      </c>
      <c r="C45150" s="6">
        <v>1147</v>
      </c>
      <c r="D45150" s="7">
        <v>100.61</v>
      </c>
    </row>
    <row r="45151" spans="1:5" x14ac:dyDescent="0.25">
      <c r="A45151" t="str">
        <f>HYPERLINK("https://www.773grp.com/globalSearch/R554151/page-1", "R554151")</f>
        <v>R554151</v>
      </c>
      <c r="B45151" s="3" t="str">
        <f>HYPERLINK("https://www.773grp.com/manufacturer/onsemi?pageNo=1045", "ON Semiconductor")</f>
        <v>ON Semiconductor</v>
      </c>
      <c r="C45151" s="6">
        <v>178</v>
      </c>
      <c r="D45151" s="7">
        <v>100.69</v>
      </c>
    </row>
    <row r="45152" spans="1:5" x14ac:dyDescent="0.25">
      <c r="A45152" t="str">
        <f>HYPERLINK("https://www.773grp.com/globalSearch/CA3085B/page-1", "CA3085B")</f>
        <v>CA3085B</v>
      </c>
      <c r="B45152" s="3" t="str">
        <f>HYPERLINK("https://www.773grp.com/manufacturer/onsemi?pageNo=1046", "ON Semiconductor")</f>
        <v>ON Semiconductor</v>
      </c>
      <c r="C45152" s="6">
        <v>1190</v>
      </c>
      <c r="D45152" s="7">
        <v>100.69</v>
      </c>
    </row>
    <row r="45153" spans="1:5" x14ac:dyDescent="0.25">
      <c r="A45153" t="str">
        <f>HYPERLINK("https://www.773grp.com/globalSearch/9320DM/page-1", "9320DM")</f>
        <v>9320DM</v>
      </c>
      <c r="B45153" s="3" t="str">
        <f>HYPERLINK("https://www.773grp.com/manufacturer/onsemi?pageNo=1047", "ON Semiconductor")</f>
        <v>ON Semiconductor</v>
      </c>
      <c r="C45153" s="6">
        <v>242</v>
      </c>
      <c r="D45153" s="7">
        <v>100.83</v>
      </c>
    </row>
    <row r="45154" spans="1:5" x14ac:dyDescent="0.25">
      <c r="A45154" t="str">
        <f>HYPERLINK("https://www.773grp.com/globalSearch/MC502F-R/page-1", "MC502F-R")</f>
        <v>MC502F-R</v>
      </c>
      <c r="B45154" s="3" t="str">
        <f>HYPERLINK("https://www.773grp.com/manufacturer/onsemi?pageNo=1048", "ON Semiconductor")</f>
        <v>ON Semiconductor</v>
      </c>
      <c r="C45154" s="6">
        <v>621</v>
      </c>
      <c r="D45154" s="7">
        <v>100.83</v>
      </c>
    </row>
    <row r="45155" spans="1:5" x14ac:dyDescent="0.25">
      <c r="A45155" t="str">
        <f>HYPERLINK("https://www.773grp.com/globalSearch/R534112/page-1", "R534112")</f>
        <v>R534112</v>
      </c>
      <c r="B45155" s="3" t="str">
        <f>HYPERLINK("https://www.773grp.com/manufacturer/onsemi?pageNo=1049", "ON Semiconductor")</f>
        <v>ON Semiconductor</v>
      </c>
      <c r="C45155" s="6">
        <v>243</v>
      </c>
      <c r="D45155" s="7">
        <v>100.83</v>
      </c>
    </row>
    <row r="45156" spans="1:5" x14ac:dyDescent="0.25">
      <c r="A45156" t="str">
        <f>HYPERLINK("https://www.773grp.com/globalSearch/R554135/page-1", "R554135")</f>
        <v>R554135</v>
      </c>
      <c r="B45156" s="3" t="str">
        <f>HYPERLINK("https://www.773grp.com/manufacturer/onsemi?pageNo=1050", "ON Semiconductor")</f>
        <v>ON Semiconductor</v>
      </c>
      <c r="C45156" s="6">
        <v>229</v>
      </c>
      <c r="D45156" s="7">
        <v>100.83</v>
      </c>
    </row>
    <row r="45157" spans="1:5" x14ac:dyDescent="0.25">
      <c r="A45157" t="str">
        <f>HYPERLINK("https://www.773grp.com/globalSearch/R554910/page-1", "R554910")</f>
        <v>R554910</v>
      </c>
      <c r="B45157" s="3" t="str">
        <f>HYPERLINK("https://www.773grp.com/manufacturer/onsemi?pageNo=1051", "ON Semiconductor")</f>
        <v>ON Semiconductor</v>
      </c>
      <c r="C45157" s="6">
        <v>350</v>
      </c>
      <c r="D45157" s="7">
        <v>100.83</v>
      </c>
    </row>
    <row r="45158" spans="1:5" x14ac:dyDescent="0.25">
      <c r="A45158" t="str">
        <f>HYPERLINK("https://www.773grp.com/globalSearch/PAL22V10-12DM-B/page-1", "PAL22V10-12DM-B")</f>
        <v>PAL22V10-12DM-B</v>
      </c>
      <c r="B45158" s="3" t="str">
        <f>HYPERLINK("https://www.773grp.com/manufacturer/onsemi?pageNo=1052", "ON Semiconductor")</f>
        <v>ON Semiconductor</v>
      </c>
      <c r="C45158" s="6">
        <v>403</v>
      </c>
      <c r="D45158" s="7">
        <v>100.83</v>
      </c>
    </row>
    <row r="45159" spans="1:5" x14ac:dyDescent="0.25">
      <c r="A45159" t="str">
        <f>HYPERLINK("https://www.773grp.com/globalSearch/931DM/page-1", "931DM")</f>
        <v>931DM</v>
      </c>
      <c r="B45159" s="3" t="str">
        <f>HYPERLINK("https://www.773grp.com/manufacturer/onsemi?pageNo=1053", "ON Semiconductor")</f>
        <v>ON Semiconductor</v>
      </c>
      <c r="C45159" s="6">
        <v>593</v>
      </c>
      <c r="D45159" s="7">
        <v>100.83</v>
      </c>
    </row>
    <row r="45160" spans="1:5" x14ac:dyDescent="0.25">
      <c r="A45160" t="str">
        <f>HYPERLINK("https://www.773grp.com/globalSearch/U8797BH/page-1", "U8797BH")</f>
        <v>U8797BH</v>
      </c>
      <c r="B45160" s="3" t="str">
        <f>HYPERLINK("https://www.773grp.com/manufacturer/onsemi?pageNo=1054", "ON Semiconductor")</f>
        <v>ON Semiconductor</v>
      </c>
      <c r="C45160" s="6">
        <v>5542</v>
      </c>
      <c r="D45160" s="7">
        <v>100.83</v>
      </c>
      <c r="E45160" t="s">
        <v>52</v>
      </c>
    </row>
    <row r="45161" spans="1:5" x14ac:dyDescent="0.25">
      <c r="A45161" t="str">
        <f>HYPERLINK("https://www.773grp.com/globalSearch/U8797JF/page-1", "U8797JF")</f>
        <v>U8797JF</v>
      </c>
      <c r="B45161" s="3" t="str">
        <f>HYPERLINK("https://www.773grp.com/manufacturer/onsemi?pageNo=1055", "ON Semiconductor")</f>
        <v>ON Semiconductor</v>
      </c>
      <c r="C45161" s="6">
        <v>16</v>
      </c>
      <c r="D45161" s="7">
        <v>100.83</v>
      </c>
      <c r="E45161" t="s">
        <v>52</v>
      </c>
    </row>
    <row r="45162" spans="1:5" x14ac:dyDescent="0.25">
      <c r="A45162" t="str">
        <f>HYPERLINK("https://www.773grp.com/globalSearch/54LS192-BEA/page-1", "54LS192-BEA")</f>
        <v>54LS192-BEA</v>
      </c>
      <c r="B45162" s="3" t="str">
        <f>HYPERLINK("https://www.773grp.com/manufacturer/onsemi?pageNo=1056", "ON Semiconductor")</f>
        <v>ON Semiconductor</v>
      </c>
      <c r="C45162" s="6">
        <v>743</v>
      </c>
      <c r="D45162" s="7">
        <v>100.83</v>
      </c>
    </row>
    <row r="45163" spans="1:5" x14ac:dyDescent="0.25">
      <c r="A45163" t="str">
        <f>HYPERLINK("https://www.773grp.com/globalSearch/54LS356J/page-1", "54LS356J")</f>
        <v>54LS356J</v>
      </c>
      <c r="B45163" s="3" t="str">
        <f>HYPERLINK("https://www.773grp.com/manufacturer/onsemi?pageNo=1057", "ON Semiconductor")</f>
        <v>ON Semiconductor</v>
      </c>
      <c r="C45163" s="6">
        <v>212</v>
      </c>
      <c r="D45163" s="7">
        <v>100.83</v>
      </c>
    </row>
    <row r="45164" spans="1:5" x14ac:dyDescent="0.25">
      <c r="A45164" t="str">
        <f>HYPERLINK("https://www.773grp.com/globalSearch/54F38-QDA/page-1", "54F38-QDA")</f>
        <v>54F38-QDA</v>
      </c>
      <c r="B45164" s="3" t="str">
        <f>HYPERLINK("https://www.773grp.com/manufacturer/onsemi?pageNo=1058", "ON Semiconductor")</f>
        <v>ON Semiconductor</v>
      </c>
      <c r="C45164" s="6">
        <v>756</v>
      </c>
      <c r="D45164" s="7">
        <v>100.93</v>
      </c>
    </row>
    <row r="45165" spans="1:5" x14ac:dyDescent="0.25">
      <c r="A45165" t="str">
        <f>HYPERLINK("https://www.773grp.com/globalSearch/54L78FM-B/page-1", "54L78FM-B")</f>
        <v>54L78FM-B</v>
      </c>
      <c r="B45165" s="3" t="str">
        <f>HYPERLINK("https://www.773grp.com/manufacturer/onsemi?pageNo=1059", "ON Semiconductor")</f>
        <v>ON Semiconductor</v>
      </c>
      <c r="C45165" s="6">
        <v>60</v>
      </c>
      <c r="D45165" s="7">
        <v>101.48</v>
      </c>
    </row>
    <row r="45166" spans="1:5" x14ac:dyDescent="0.25">
      <c r="A45166" t="str">
        <f>HYPERLINK("https://www.773grp.com/globalSearch/MD27C64-15  UF/page-1", "MD27C64-15  UF")</f>
        <v>MD27C64-15  UF</v>
      </c>
      <c r="B45166" s="3" t="str">
        <f>HYPERLINK("https://www.773grp.com/manufacturer/onsemi?pageNo=1060", "ON Semiconductor")</f>
        <v>ON Semiconductor</v>
      </c>
      <c r="C45166" s="6">
        <v>2360</v>
      </c>
      <c r="D45166" s="7">
        <v>101.48</v>
      </c>
    </row>
    <row r="45167" spans="1:5" x14ac:dyDescent="0.25">
      <c r="A45167" t="str">
        <f>HYPERLINK("https://www.773grp.com/globalSearch/54198J-B/page-1", "54198J-B")</f>
        <v>54198J-B</v>
      </c>
      <c r="B45167" s="3" t="str">
        <f>HYPERLINK("https://www.773grp.com/manufacturer/onsemi?pageNo=1061", "ON Semiconductor")</f>
        <v>ON Semiconductor</v>
      </c>
      <c r="C45167" s="6">
        <v>1377</v>
      </c>
      <c r="D45167" s="7">
        <v>101.48</v>
      </c>
    </row>
    <row r="45168" spans="1:5" x14ac:dyDescent="0.25">
      <c r="A45168" t="str">
        <f>HYPERLINK("https://www.773grp.com/globalSearch/54HC76J-B/page-1", "54HC76J-B")</f>
        <v>54HC76J-B</v>
      </c>
      <c r="B45168" s="3" t="str">
        <f>HYPERLINK("https://www.773grp.com/manufacturer/onsemi?pageNo=1062", "ON Semiconductor")</f>
        <v>ON Semiconductor</v>
      </c>
      <c r="C45168" s="6">
        <v>65</v>
      </c>
      <c r="D45168" s="7">
        <v>103.34</v>
      </c>
    </row>
    <row r="45169" spans="1:5" x14ac:dyDescent="0.25">
      <c r="A45169" t="str">
        <f>HYPERLINK("https://www.773grp.com/globalSearch/R652119/page-1", "R652119")</f>
        <v>R652119</v>
      </c>
      <c r="B45169" s="3" t="str">
        <f>HYPERLINK("https://www.773grp.com/manufacturer/onsemi?pageNo=1063", "ON Semiconductor")</f>
        <v>ON Semiconductor</v>
      </c>
      <c r="C45169" s="6">
        <v>119</v>
      </c>
      <c r="D45169" s="7">
        <v>103.34</v>
      </c>
    </row>
    <row r="45170" spans="1:5" x14ac:dyDescent="0.25">
      <c r="A45170" t="str">
        <f>HYPERLINK("https://www.773grp.com/globalSearch/54LS160A-BEA/page-1", "54LS160A-BEA")</f>
        <v>54LS160A-BEA</v>
      </c>
      <c r="B45170" s="3" t="str">
        <f>HYPERLINK("https://www.773grp.com/manufacturer/onsemi?pageNo=1064", "ON Semiconductor")</f>
        <v>ON Semiconductor</v>
      </c>
      <c r="C45170" s="6">
        <v>3810</v>
      </c>
      <c r="D45170" s="7">
        <v>103.34</v>
      </c>
    </row>
    <row r="45171" spans="1:5" x14ac:dyDescent="0.25">
      <c r="A45171" t="str">
        <f>HYPERLINK("https://www.773grp.com/globalSearch/MC27C64-20/page-1", "MC27C64-20")</f>
        <v>MC27C64-20</v>
      </c>
      <c r="B45171" s="3" t="str">
        <f>HYPERLINK("https://www.773grp.com/manufacturer/onsemi?pageNo=1065", "ON Semiconductor")</f>
        <v>ON Semiconductor</v>
      </c>
      <c r="C45171" s="6">
        <v>38</v>
      </c>
      <c r="D45171" s="7">
        <v>103.85</v>
      </c>
    </row>
    <row r="45172" spans="1:5" x14ac:dyDescent="0.25">
      <c r="A45172" t="str">
        <f>HYPERLINK("https://www.773grp.com/globalSearch/74ALS34N/page-1", "74ALS34N")</f>
        <v>74ALS34N</v>
      </c>
      <c r="B45172" s="3" t="str">
        <f>HYPERLINK("https://www.773grp.com/manufacturer/onsemi?pageNo=1066", "ON Semiconductor")</f>
        <v>ON Semiconductor</v>
      </c>
      <c r="C45172" s="6">
        <v>100</v>
      </c>
      <c r="D45172" s="7">
        <v>104.35</v>
      </c>
    </row>
    <row r="45173" spans="1:5" x14ac:dyDescent="0.25">
      <c r="A45173" t="str">
        <f>HYPERLINK("https://www.773grp.com/globalSearch/5474-BCA/page-1", "5474-BCA")</f>
        <v>5474-BCA</v>
      </c>
      <c r="B45173" s="3" t="str">
        <f>HYPERLINK("https://www.773grp.com/manufacturer/onsemi?pageNo=1067", "ON Semiconductor")</f>
        <v>ON Semiconductor</v>
      </c>
      <c r="C45173" s="6">
        <v>721</v>
      </c>
      <c r="D45173" s="7">
        <v>104.78</v>
      </c>
    </row>
    <row r="45174" spans="1:5" x14ac:dyDescent="0.25">
      <c r="A45174" t="str">
        <f>HYPERLINK("https://www.773grp.com/globalSearch/93S47DM-B  LT/page-1", "93S47DM-B  LT")</f>
        <v>93S47DM-B  LT</v>
      </c>
      <c r="B45174" s="3" t="str">
        <f>HYPERLINK("https://www.773grp.com/manufacturer/onsemi?pageNo=1068", "ON Semiconductor")</f>
        <v>ON Semiconductor</v>
      </c>
      <c r="C45174" s="6">
        <v>48</v>
      </c>
      <c r="D45174" s="7">
        <v>105</v>
      </c>
    </row>
    <row r="45175" spans="1:5" x14ac:dyDescent="0.25">
      <c r="A45175" t="str">
        <f>HYPERLINK("https://www.773grp.com/globalSearch/DS0026CJ-8/page-1", "DS0026CJ-8")</f>
        <v>DS0026CJ-8</v>
      </c>
      <c r="B45175" s="3" t="str">
        <f>HYPERLINK("https://www.773grp.com/manufacturer/onsemi?pageNo=1069", "ON Semiconductor")</f>
        <v>ON Semiconductor</v>
      </c>
      <c r="C45175" s="6">
        <v>2600</v>
      </c>
      <c r="D45175" s="7">
        <v>105.54</v>
      </c>
      <c r="E45175" t="s">
        <v>34</v>
      </c>
    </row>
    <row r="45176" spans="1:5" x14ac:dyDescent="0.25">
      <c r="A45176" t="str">
        <f>HYPERLINK("https://www.773grp.com/globalSearch/54110DM-R/page-1", "54110DM-R")</f>
        <v>54110DM-R</v>
      </c>
      <c r="B45176" s="3" t="str">
        <f>HYPERLINK("https://www.773grp.com/manufacturer/onsemi?pageNo=1070", "ON Semiconductor")</f>
        <v>ON Semiconductor</v>
      </c>
      <c r="C45176" s="6">
        <v>866</v>
      </c>
      <c r="D45176" s="7">
        <v>105.86</v>
      </c>
    </row>
    <row r="45177" spans="1:5" x14ac:dyDescent="0.25">
      <c r="A45177" t="str">
        <f>HYPERLINK("https://www.773grp.com/globalSearch/5460DM-B/page-1", "5460DM-B")</f>
        <v>5460DM-B</v>
      </c>
      <c r="B45177" s="3" t="str">
        <f>HYPERLINK("https://www.773grp.com/manufacturer/onsemi?pageNo=1071", "ON Semiconductor")</f>
        <v>ON Semiconductor</v>
      </c>
      <c r="C45177" s="6">
        <v>648</v>
      </c>
      <c r="D45177" s="7">
        <v>105.86</v>
      </c>
    </row>
    <row r="45178" spans="1:5" x14ac:dyDescent="0.25">
      <c r="A45178" t="str">
        <f>HYPERLINK("https://www.773grp.com/globalSearch/54L153J-C/page-1", "54L153J-C")</f>
        <v>54L153J-C</v>
      </c>
      <c r="B45178" s="3" t="str">
        <f>HYPERLINK("https://www.773grp.com/manufacturer/onsemi?pageNo=1072", "ON Semiconductor")</f>
        <v>ON Semiconductor</v>
      </c>
      <c r="C45178" s="6">
        <v>361</v>
      </c>
      <c r="D45178" s="7">
        <v>105.86</v>
      </c>
    </row>
    <row r="45179" spans="1:5" x14ac:dyDescent="0.25">
      <c r="A45179" t="str">
        <f>HYPERLINK("https://www.773grp.com/globalSearch/AM27C512-120DE/page-1", "AM27C512-120DE")</f>
        <v>AM27C512-120DE</v>
      </c>
      <c r="B45179" s="3" t="str">
        <f>HYPERLINK("https://www.773grp.com/manufacturer/onsemi?pageNo=1073", "ON Semiconductor")</f>
        <v>ON Semiconductor</v>
      </c>
      <c r="C45179" s="6">
        <v>130</v>
      </c>
      <c r="D45179" s="7">
        <v>105.86</v>
      </c>
      <c r="E45179" t="s">
        <v>64</v>
      </c>
    </row>
    <row r="45180" spans="1:5" x14ac:dyDescent="0.25">
      <c r="A45180" t="str">
        <f>HYPERLINK("https://www.773grp.com/globalSearch/MD27256-20-B/page-1", "MD27256-20-B")</f>
        <v>MD27256-20-B</v>
      </c>
      <c r="B45180" s="3" t="str">
        <f>HYPERLINK("https://www.773grp.com/manufacturer/onsemi?pageNo=1074", "ON Semiconductor")</f>
        <v>ON Semiconductor</v>
      </c>
      <c r="C45180" s="6">
        <v>473</v>
      </c>
      <c r="D45180" s="7">
        <v>105.86</v>
      </c>
    </row>
    <row r="45181" spans="1:5" x14ac:dyDescent="0.25">
      <c r="A45181" t="str">
        <f>HYPERLINK("https://www.773grp.com/globalSearch/MD82C55-R/page-1", "MD82C55-R")</f>
        <v>MD82C55-R</v>
      </c>
      <c r="B45181" s="3" t="str">
        <f>HYPERLINK("https://www.773grp.com/manufacturer/onsemi?pageNo=1075", "ON Semiconductor")</f>
        <v>ON Semiconductor</v>
      </c>
      <c r="C45181" s="6">
        <v>1431</v>
      </c>
      <c r="D45181" s="7">
        <v>105.86</v>
      </c>
    </row>
    <row r="45182" spans="1:5" x14ac:dyDescent="0.25">
      <c r="A45182" t="str">
        <f>HYPERLINK("https://www.773grp.com/globalSearch/TD8251A/page-1", "TD8251A")</f>
        <v>TD8251A</v>
      </c>
      <c r="B45182" s="3" t="str">
        <f>HYPERLINK("https://www.773grp.com/manufacturer/onsemi?pageNo=1076", "ON Semiconductor")</f>
        <v>ON Semiconductor</v>
      </c>
      <c r="C45182" s="6">
        <v>461</v>
      </c>
      <c r="D45182" s="7">
        <v>105.86</v>
      </c>
      <c r="E45182" t="s">
        <v>71</v>
      </c>
    </row>
    <row r="45183" spans="1:5" x14ac:dyDescent="0.25">
      <c r="A45183" t="str">
        <f>HYPERLINK("https://www.773grp.com/globalSearch/TP80C51FA/page-1", "TP80C51FA")</f>
        <v>TP80C51FA</v>
      </c>
      <c r="B45183" s="3" t="str">
        <f>HYPERLINK("https://www.773grp.com/manufacturer/onsemi?pageNo=1077", "ON Semiconductor")</f>
        <v>ON Semiconductor</v>
      </c>
      <c r="C45183" s="6">
        <v>1457</v>
      </c>
      <c r="D45183" s="7">
        <v>105.86</v>
      </c>
      <c r="E45183" t="s">
        <v>52</v>
      </c>
    </row>
    <row r="45184" spans="1:5" x14ac:dyDescent="0.25">
      <c r="A45184" t="str">
        <f>HYPERLINK("https://www.773grp.com/globalSearch/CA3080AF/page-1", "CA3080AF")</f>
        <v>CA3080AF</v>
      </c>
      <c r="B45184" s="3" t="str">
        <f>HYPERLINK("https://www.773grp.com/manufacturer/onsemi?pageNo=1078", "ON Semiconductor")</f>
        <v>ON Semiconductor</v>
      </c>
      <c r="C45184" s="6">
        <v>533</v>
      </c>
      <c r="D45184" s="7">
        <v>105.86</v>
      </c>
    </row>
    <row r="45185" spans="1:5" x14ac:dyDescent="0.25">
      <c r="A45185" t="str">
        <f>HYPERLINK("https://www.773grp.com/globalSearch/54175-BEA/page-1", "54175-BEA")</f>
        <v>54175-BEA</v>
      </c>
      <c r="B45185" s="3" t="str">
        <f>HYPERLINK("https://www.773grp.com/manufacturer/onsemi?pageNo=1079", "ON Semiconductor")</f>
        <v>ON Semiconductor</v>
      </c>
      <c r="C45185" s="6">
        <v>326</v>
      </c>
      <c r="D45185" s="7">
        <v>105.86</v>
      </c>
      <c r="E45185" t="s">
        <v>35</v>
      </c>
    </row>
    <row r="45186" spans="1:5" x14ac:dyDescent="0.25">
      <c r="A45186" t="str">
        <f>HYPERLINK("https://www.773grp.com/globalSearch/54HC09J-B/page-1", "54HC09J-B")</f>
        <v>54HC09J-B</v>
      </c>
      <c r="B45186" s="3" t="str">
        <f>HYPERLINK("https://www.773grp.com/manufacturer/onsemi?pageNo=1080", "ON Semiconductor")</f>
        <v>ON Semiconductor</v>
      </c>
      <c r="C45186" s="6">
        <v>423</v>
      </c>
      <c r="D45186" s="7">
        <v>105.86</v>
      </c>
    </row>
    <row r="45187" spans="1:5" x14ac:dyDescent="0.25">
      <c r="A45187" t="str">
        <f>HYPERLINK("https://www.773grp.com/globalSearch/54HC133J-B/page-1", "54HC133J-B")</f>
        <v>54HC133J-B</v>
      </c>
      <c r="B45187" s="3" t="str">
        <f>HYPERLINK("https://www.773grp.com/manufacturer/onsemi?pageNo=1081", "ON Semiconductor")</f>
        <v>ON Semiconductor</v>
      </c>
      <c r="C45187" s="6">
        <v>801</v>
      </c>
      <c r="D45187" s="7">
        <v>105.86</v>
      </c>
    </row>
    <row r="45188" spans="1:5" x14ac:dyDescent="0.25">
      <c r="A45188" t="str">
        <f>HYPERLINK("https://www.773grp.com/globalSearch/MC2716M-BJA/page-1", "MC2716M-BJA")</f>
        <v>MC2716M-BJA</v>
      </c>
      <c r="B45188" s="3" t="str">
        <f>HYPERLINK("https://www.773grp.com/manufacturer/onsemi?pageNo=1082", "ON Semiconductor")</f>
        <v>ON Semiconductor</v>
      </c>
      <c r="C45188" s="6">
        <v>453</v>
      </c>
      <c r="D45188" s="7">
        <v>106.8</v>
      </c>
    </row>
    <row r="45189" spans="1:5" x14ac:dyDescent="0.25">
      <c r="A45189" t="str">
        <f>HYPERLINK("https://www.773grp.com/globalSearch/HA7-5221-R/page-1", "HA7-5221-R")</f>
        <v>HA7-5221-R</v>
      </c>
      <c r="B45189" s="3" t="str">
        <f>HYPERLINK("https://www.773grp.com/manufacturer/onsemi?pageNo=1083", "ON Semiconductor")</f>
        <v>ON Semiconductor</v>
      </c>
      <c r="C45189" s="6">
        <v>40</v>
      </c>
      <c r="D45189" s="7">
        <v>107.26</v>
      </c>
    </row>
    <row r="45190" spans="1:5" x14ac:dyDescent="0.25">
      <c r="A45190" t="str">
        <f>HYPERLINK("https://www.773grp.com/globalSearch/AM79C961AVC/page-1", "AM79C961AVC")</f>
        <v>AM79C961AVC</v>
      </c>
      <c r="B45190" s="3" t="str">
        <f>HYPERLINK("https://www.773grp.com/manufacturer/onsemi?pageNo=1084", "ON Semiconductor")</f>
        <v>ON Semiconductor</v>
      </c>
      <c r="C45190" s="6">
        <v>9238</v>
      </c>
      <c r="D45190" s="7">
        <v>108</v>
      </c>
      <c r="E45190" t="s">
        <v>71</v>
      </c>
    </row>
    <row r="45191" spans="1:5" x14ac:dyDescent="0.25">
      <c r="A45191" t="str">
        <f>HYPERLINK("https://www.773grp.com/globalSearch/93L16DM-B/page-1", "93L16DM-B")</f>
        <v>93L16DM-B</v>
      </c>
      <c r="B45191" s="3" t="str">
        <f>HYPERLINK("https://www.773grp.com/manufacturer/onsemi?pageNo=1085", "ON Semiconductor")</f>
        <v>ON Semiconductor</v>
      </c>
      <c r="C45191" s="6">
        <v>424</v>
      </c>
      <c r="D45191" s="7">
        <v>108.39</v>
      </c>
    </row>
    <row r="45192" spans="1:5" x14ac:dyDescent="0.25">
      <c r="A45192" t="str">
        <f>HYPERLINK("https://www.773grp.com/globalSearch/27128A-20-B/page-1", "27128A-20-B")</f>
        <v>27128A-20-B</v>
      </c>
      <c r="B45192" s="3" t="str">
        <f>HYPERLINK("https://www.773grp.com/manufacturer/onsemi?pageNo=1086", "ON Semiconductor")</f>
        <v>ON Semiconductor</v>
      </c>
      <c r="C45192" s="6">
        <v>56</v>
      </c>
      <c r="D45192" s="7">
        <v>108.39</v>
      </c>
    </row>
    <row r="45193" spans="1:5" x14ac:dyDescent="0.25">
      <c r="A45193" t="str">
        <f>HYPERLINK("https://www.773grp.com/globalSearch/TD8749H/page-1", "TD8749H")</f>
        <v>TD8749H</v>
      </c>
      <c r="B45193" s="3" t="str">
        <f>HYPERLINK("https://www.773grp.com/manufacturer/onsemi?pageNo=1087", "ON Semiconductor")</f>
        <v>ON Semiconductor</v>
      </c>
      <c r="C45193" s="6">
        <v>199</v>
      </c>
      <c r="D45193" s="7">
        <v>108.39</v>
      </c>
      <c r="E45193" t="s">
        <v>52</v>
      </c>
    </row>
    <row r="45194" spans="1:5" x14ac:dyDescent="0.25">
      <c r="A45194" t="str">
        <f>HYPERLINK("https://www.773grp.com/globalSearch/5409-BCA/page-1", "5409-BCA")</f>
        <v>5409-BCA</v>
      </c>
      <c r="B45194" s="3" t="str">
        <f>HYPERLINK("https://www.773grp.com/manufacturer/onsemi?pageNo=1088", "ON Semiconductor")</f>
        <v>ON Semiconductor</v>
      </c>
      <c r="C45194" s="6">
        <v>1671</v>
      </c>
      <c r="D45194" s="7">
        <v>108.39</v>
      </c>
    </row>
    <row r="45195" spans="1:5" x14ac:dyDescent="0.25">
      <c r="A45195" t="str">
        <f>HYPERLINK("https://www.773grp.com/globalSearch/54ALS113AJ-B/page-1", "54ALS113AJ-B")</f>
        <v>54ALS113AJ-B</v>
      </c>
      <c r="B45195" s="3" t="str">
        <f>HYPERLINK("https://www.773grp.com/manufacturer/onsemi?pageNo=1089", "ON Semiconductor")</f>
        <v>ON Semiconductor</v>
      </c>
      <c r="C45195" s="6">
        <v>870</v>
      </c>
      <c r="D45195" s="7">
        <v>108.39</v>
      </c>
    </row>
    <row r="45196" spans="1:5" x14ac:dyDescent="0.25">
      <c r="A45196" t="str">
        <f>HYPERLINK("https://www.773grp.com/globalSearch/54HC4078AJ-B/page-1", "54HC4078AJ-B")</f>
        <v>54HC4078AJ-B</v>
      </c>
      <c r="B45196" s="3" t="str">
        <f>HYPERLINK("https://www.773grp.com/manufacturer/onsemi?pageNo=1090", "ON Semiconductor")</f>
        <v>ON Semiconductor</v>
      </c>
      <c r="C45196" s="6">
        <v>2622</v>
      </c>
      <c r="D45196" s="7">
        <v>108.39</v>
      </c>
    </row>
    <row r="45197" spans="1:5" x14ac:dyDescent="0.25">
      <c r="A45197" t="str">
        <f>HYPERLINK("https://www.773grp.com/globalSearch/R704102/page-1", "R704102")</f>
        <v>R704102</v>
      </c>
      <c r="B45197" s="3" t="str">
        <f>HYPERLINK("https://www.773grp.com/manufacturer/onsemi?pageNo=1091", "ON Semiconductor")</f>
        <v>ON Semiconductor</v>
      </c>
      <c r="C45197" s="6">
        <v>29</v>
      </c>
      <c r="D45197" s="7">
        <v>108.78</v>
      </c>
    </row>
    <row r="45198" spans="1:5" x14ac:dyDescent="0.25">
      <c r="A45198" t="str">
        <f>HYPERLINK("https://www.773grp.com/globalSearch/54F32-B2A/page-1", "54F32-B2A")</f>
        <v>54F32-B2A</v>
      </c>
      <c r="B45198" s="3" t="str">
        <f>HYPERLINK("https://www.773grp.com/manufacturer/onsemi?pageNo=1092", "ON Semiconductor")</f>
        <v>ON Semiconductor</v>
      </c>
      <c r="C45198" s="6">
        <v>404</v>
      </c>
      <c r="D45198" s="7">
        <v>108.95</v>
      </c>
    </row>
    <row r="45199" spans="1:5" x14ac:dyDescent="0.25">
      <c r="A45199" t="str">
        <f>HYPERLINK("https://www.773grp.com/globalSearch/55234J-B/page-1", "55234J-B")</f>
        <v>55234J-B</v>
      </c>
      <c r="B45199" s="3" t="str">
        <f>HYPERLINK("https://www.773grp.com/manufacturer/onsemi?pageNo=1093", "ON Semiconductor")</f>
        <v>ON Semiconductor</v>
      </c>
      <c r="C45199" s="6">
        <v>52</v>
      </c>
      <c r="D45199" s="7">
        <v>109.78</v>
      </c>
    </row>
    <row r="45200" spans="1:5" x14ac:dyDescent="0.25">
      <c r="A45200" t="str">
        <f>HYPERLINK("https://www.773grp.com/globalSearch/MM54C42J-B/page-1", "MM54C42J-B")</f>
        <v>MM54C42J-B</v>
      </c>
      <c r="B45200" s="3" t="str">
        <f>HYPERLINK("https://www.773grp.com/manufacturer/onsemi?pageNo=1094", "ON Semiconductor")</f>
        <v>ON Semiconductor</v>
      </c>
      <c r="C45200" s="6">
        <v>873</v>
      </c>
      <c r="D45200" s="7">
        <v>109.94</v>
      </c>
    </row>
    <row r="45201" spans="1:5" x14ac:dyDescent="0.25">
      <c r="A45201" t="str">
        <f>HYPERLINK("https://www.773grp.com/globalSearch/MM54C30J-B/page-1", "MM54C30J-B")</f>
        <v>MM54C30J-B</v>
      </c>
      <c r="B45201" s="3" t="str">
        <f>HYPERLINK("https://www.773grp.com/manufacturer/onsemi?pageNo=1095", "ON Semiconductor")</f>
        <v>ON Semiconductor</v>
      </c>
      <c r="C45201" s="6">
        <v>636</v>
      </c>
      <c r="D45201" s="7">
        <v>109.94</v>
      </c>
    </row>
    <row r="45202" spans="1:5" x14ac:dyDescent="0.25">
      <c r="A45202" t="str">
        <f>HYPERLINK("https://www.773grp.com/globalSearch/27C128-12MD/page-1", "27C128-12MD")</f>
        <v>27C128-12MD</v>
      </c>
      <c r="B45202" s="3" t="str">
        <f>HYPERLINK("https://www.773grp.com/manufacturer/onsemi?pageNo=1096", "ON Semiconductor")</f>
        <v>ON Semiconductor</v>
      </c>
      <c r="C45202" s="6">
        <v>899</v>
      </c>
      <c r="D45202" s="7">
        <v>110.09</v>
      </c>
    </row>
    <row r="45203" spans="1:5" x14ac:dyDescent="0.25">
      <c r="A45203" t="str">
        <f>HYPERLINK("https://www.773grp.com/globalSearch/54152ADM-B/page-1", "54152ADM-B")</f>
        <v>54152ADM-B</v>
      </c>
      <c r="B45203" s="3" t="str">
        <f>HYPERLINK("https://www.773grp.com/manufacturer/onsemi?pageNo=1097", "ON Semiconductor")</f>
        <v>ON Semiconductor</v>
      </c>
      <c r="C45203" s="6">
        <v>269</v>
      </c>
      <c r="D45203" s="7">
        <v>110.9</v>
      </c>
    </row>
    <row r="45204" spans="1:5" x14ac:dyDescent="0.25">
      <c r="A45204" t="str">
        <f>HYPERLINK("https://www.773grp.com/globalSearch/RC3104F/page-1", "RC3104F")</f>
        <v>RC3104F</v>
      </c>
      <c r="B45204" s="3" t="str">
        <f>HYPERLINK("https://www.773grp.com/manufacturer/onsemi?pageNo=1098", "ON Semiconductor")</f>
        <v>ON Semiconductor</v>
      </c>
      <c r="C45204" s="6">
        <v>197</v>
      </c>
      <c r="D45204" s="7">
        <v>110.9</v>
      </c>
    </row>
    <row r="45205" spans="1:5" x14ac:dyDescent="0.25">
      <c r="A45205" t="str">
        <f>HYPERLINK("https://www.773grp.com/globalSearch/RC3107F/page-1", "RC3107F")</f>
        <v>RC3107F</v>
      </c>
      <c r="B45205" s="3" t="str">
        <f>HYPERLINK("https://www.773grp.com/manufacturer/onsemi?pageNo=1099", "ON Semiconductor")</f>
        <v>ON Semiconductor</v>
      </c>
      <c r="C45205" s="6">
        <v>983</v>
      </c>
      <c r="D45205" s="7">
        <v>110.9</v>
      </c>
    </row>
    <row r="45206" spans="1:5" x14ac:dyDescent="0.25">
      <c r="A45206" t="str">
        <f>HYPERLINK("https://www.773grp.com/globalSearch/2910ADC/page-1", "2910ADC")</f>
        <v>2910ADC</v>
      </c>
      <c r="B45206" s="3" t="str">
        <f>HYPERLINK("https://www.773grp.com/manufacturer/onsemi?pageNo=1100", "ON Semiconductor")</f>
        <v>ON Semiconductor</v>
      </c>
      <c r="C45206" s="6">
        <v>266</v>
      </c>
      <c r="D45206" s="7">
        <v>110.9</v>
      </c>
    </row>
    <row r="45207" spans="1:5" x14ac:dyDescent="0.25">
      <c r="A45207" t="str">
        <f>HYPERLINK("https://www.773grp.com/globalSearch/HI1-0509A-B/page-1", "HI1-0509A-B")</f>
        <v>HI1-0509A-B</v>
      </c>
      <c r="B45207" s="3" t="str">
        <f>HYPERLINK("https://www.773grp.com/manufacturer/onsemi?pageNo=1101", "ON Semiconductor")</f>
        <v>ON Semiconductor</v>
      </c>
      <c r="C45207" s="6">
        <v>2881</v>
      </c>
      <c r="D45207" s="7">
        <v>110.9</v>
      </c>
    </row>
    <row r="45208" spans="1:5" x14ac:dyDescent="0.25">
      <c r="A45208" t="str">
        <f>HYPERLINK("https://www.773grp.com/globalSearch/TN8797BH/page-1", "TN8797BH")</f>
        <v>TN8797BH</v>
      </c>
      <c r="B45208" s="3" t="str">
        <f>HYPERLINK("https://www.773grp.com/manufacturer/onsemi?pageNo=1102", "ON Semiconductor")</f>
        <v>ON Semiconductor</v>
      </c>
      <c r="C45208" s="6">
        <v>408</v>
      </c>
      <c r="D45208" s="7">
        <v>110.9</v>
      </c>
      <c r="E45208" t="s">
        <v>52</v>
      </c>
    </row>
    <row r="45209" spans="1:5" x14ac:dyDescent="0.25">
      <c r="A45209" t="str">
        <f>HYPERLINK("https://www.773grp.com/globalSearch/54HC298J-B/page-1", "54HC298J-B")</f>
        <v>54HC298J-B</v>
      </c>
      <c r="B45209" s="3" t="str">
        <f>HYPERLINK("https://www.773grp.com/manufacturer/onsemi?pageNo=1103", "ON Semiconductor")</f>
        <v>ON Semiconductor</v>
      </c>
      <c r="C45209" s="6">
        <v>465</v>
      </c>
      <c r="D45209" s="7">
        <v>110.9</v>
      </c>
    </row>
    <row r="45210" spans="1:5" x14ac:dyDescent="0.25">
      <c r="A45210" t="str">
        <f>HYPERLINK("https://www.773grp.com/globalSearch/5475-BEA/page-1", "5475-BEA")</f>
        <v>5475-BEA</v>
      </c>
      <c r="B45210" s="3" t="str">
        <f>HYPERLINK("https://www.773grp.com/manufacturer/onsemi?pageNo=1104", "ON Semiconductor")</f>
        <v>ON Semiconductor</v>
      </c>
      <c r="C45210" s="6">
        <v>417</v>
      </c>
      <c r="D45210" s="7">
        <v>110.9</v>
      </c>
    </row>
    <row r="45211" spans="1:5" x14ac:dyDescent="0.25">
      <c r="A45211" t="str">
        <f>HYPERLINK("https://www.773grp.com/globalSearch/54S197J-B/page-1", "54S197J-B")</f>
        <v>54S197J-B</v>
      </c>
      <c r="B45211" s="3" t="str">
        <f>HYPERLINK("https://www.773grp.com/manufacturer/onsemi?pageNo=1105", "ON Semiconductor")</f>
        <v>ON Semiconductor</v>
      </c>
      <c r="C45211" s="6">
        <v>72</v>
      </c>
      <c r="D45211" s="7">
        <v>110.9</v>
      </c>
    </row>
    <row r="45212" spans="1:5" x14ac:dyDescent="0.25">
      <c r="A45212" t="str">
        <f>HYPERLINK("https://www.773grp.com/globalSearch/54LS256DM/page-1", "54LS256DM")</f>
        <v>54LS256DM</v>
      </c>
      <c r="B45212" s="3" t="str">
        <f>HYPERLINK("https://www.773grp.com/manufacturer/onsemi?pageNo=1106", "ON Semiconductor")</f>
        <v>ON Semiconductor</v>
      </c>
      <c r="C45212" s="6">
        <v>649</v>
      </c>
      <c r="D45212" s="7">
        <v>110.95</v>
      </c>
    </row>
    <row r="45213" spans="1:5" x14ac:dyDescent="0.25">
      <c r="A45213" t="str">
        <f>HYPERLINK("https://www.773grp.com/globalSearch/100180FC/page-1", "100180FC")</f>
        <v>100180FC</v>
      </c>
      <c r="B45213" s="3" t="str">
        <f>HYPERLINK("https://www.773grp.com/manufacturer/onsemi?pageNo=1107", "ON Semiconductor")</f>
        <v>ON Semiconductor</v>
      </c>
      <c r="C45213" s="6">
        <v>1013</v>
      </c>
      <c r="D45213" s="7">
        <v>111.86</v>
      </c>
      <c r="E45213" t="s">
        <v>43</v>
      </c>
    </row>
    <row r="45214" spans="1:5" x14ac:dyDescent="0.25">
      <c r="A45214" t="str">
        <f>HYPERLINK("https://www.773grp.com/globalSearch/EP610LI-30/page-1", "EP610LI-30")</f>
        <v>EP610LI-30</v>
      </c>
      <c r="B45214" s="3" t="str">
        <f>HYPERLINK("https://www.773grp.com/manufacturer/onsemi?pageNo=1108", "ON Semiconductor")</f>
        <v>ON Semiconductor</v>
      </c>
      <c r="C45214" s="6">
        <v>1022</v>
      </c>
      <c r="D45214" s="7">
        <v>112.79</v>
      </c>
      <c r="E45214" t="s">
        <v>51</v>
      </c>
    </row>
    <row r="45215" spans="1:5" x14ac:dyDescent="0.25">
      <c r="A45215" t="str">
        <f>HYPERLINK("https://www.773grp.com/globalSearch/TCM3105NL/page-1", "TCM3105NL")</f>
        <v>TCM3105NL</v>
      </c>
      <c r="B45215" s="3" t="str">
        <f>HYPERLINK("https://www.773grp.com/manufacturer/onsemi?pageNo=1109", "ON Semiconductor")</f>
        <v>ON Semiconductor</v>
      </c>
      <c r="C45215" s="6">
        <v>6695</v>
      </c>
      <c r="D45215" s="7">
        <v>113.13</v>
      </c>
      <c r="E45215" t="s">
        <v>120</v>
      </c>
    </row>
    <row r="45216" spans="1:5" x14ac:dyDescent="0.25">
      <c r="A45216" t="str">
        <f>HYPERLINK("https://www.773grp.com/globalSearch/54H71DM/page-1", "54H71DM")</f>
        <v>54H71DM</v>
      </c>
      <c r="B45216" s="3" t="str">
        <f>HYPERLINK("https://www.773grp.com/manufacturer/onsemi?pageNo=1110", "ON Semiconductor")</f>
        <v>ON Semiconductor</v>
      </c>
      <c r="C45216" s="6">
        <v>362</v>
      </c>
      <c r="D45216" s="7">
        <v>113.44</v>
      </c>
    </row>
    <row r="45217" spans="1:5" x14ac:dyDescent="0.25">
      <c r="A45217" t="str">
        <f>HYPERLINK("https://www.773grp.com/globalSearch/7092J-B/page-1", "7092J-B")</f>
        <v>7092J-B</v>
      </c>
      <c r="B45217" s="3" t="str">
        <f>HYPERLINK("https://www.773grp.com/manufacturer/onsemi?pageNo=1111", "ON Semiconductor")</f>
        <v>ON Semiconductor</v>
      </c>
      <c r="C45217" s="6">
        <v>373</v>
      </c>
      <c r="D45217" s="7">
        <v>113.44</v>
      </c>
    </row>
    <row r="45218" spans="1:5" x14ac:dyDescent="0.25">
      <c r="A45218" t="str">
        <f>HYPERLINK("https://www.773grp.com/globalSearch/25S05DM-B/page-1", "25S05DM-B")</f>
        <v>25S05DM-B</v>
      </c>
      <c r="B45218" s="3" t="str">
        <f>HYPERLINK("https://www.773grp.com/manufacturer/onsemi?pageNo=1112", "ON Semiconductor")</f>
        <v>ON Semiconductor</v>
      </c>
      <c r="C45218" s="6">
        <v>856</v>
      </c>
      <c r="D45218" s="7">
        <v>113.44</v>
      </c>
    </row>
    <row r="45219" spans="1:5" x14ac:dyDescent="0.25">
      <c r="A45219" t="str">
        <f>HYPERLINK("https://www.773grp.com/globalSearch/MD27256-17-B/page-1", "MD27256-17-B")</f>
        <v>MD27256-17-B</v>
      </c>
      <c r="B45219" s="3" t="str">
        <f>HYPERLINK("https://www.773grp.com/manufacturer/onsemi?pageNo=1113", "ON Semiconductor")</f>
        <v>ON Semiconductor</v>
      </c>
      <c r="C45219" s="6">
        <v>98</v>
      </c>
      <c r="D45219" s="7">
        <v>113.44</v>
      </c>
    </row>
    <row r="45220" spans="1:5" x14ac:dyDescent="0.25">
      <c r="A45220" t="str">
        <f>HYPERLINK("https://www.773grp.com/globalSearch/54F352LM-B/page-1", "54F352LM-B")</f>
        <v>54F352LM-B</v>
      </c>
      <c r="B45220" s="3" t="str">
        <f>HYPERLINK("https://www.773grp.com/manufacturer/onsemi?pageNo=1114", "ON Semiconductor")</f>
        <v>ON Semiconductor</v>
      </c>
      <c r="C45220" s="6">
        <v>12</v>
      </c>
      <c r="D45220" s="7">
        <v>113.44</v>
      </c>
    </row>
    <row r="45221" spans="1:5" x14ac:dyDescent="0.25">
      <c r="A45221" t="str">
        <f>HYPERLINK("https://www.773grp.com/globalSearch/EP610DC-35/page-1", "EP610DC-35")</f>
        <v>EP610DC-35</v>
      </c>
      <c r="B45221" s="3" t="str">
        <f>HYPERLINK("https://www.773grp.com/manufacturer/onsemi?pageNo=1115", "ON Semiconductor")</f>
        <v>ON Semiconductor</v>
      </c>
      <c r="C45221" s="6">
        <v>94</v>
      </c>
      <c r="D45221" s="7">
        <v>114.28</v>
      </c>
      <c r="E45221" t="s">
        <v>51</v>
      </c>
    </row>
    <row r="45222" spans="1:5" x14ac:dyDescent="0.25">
      <c r="A45222" t="str">
        <f>HYPERLINK("https://www.773grp.com/globalSearch/54F00-BCA/page-1", "54F00-BCA")</f>
        <v>54F00-BCA</v>
      </c>
      <c r="B45222" s="3" t="str">
        <f>HYPERLINK("https://www.773grp.com/manufacturer/onsemi?pageNo=1116", "ON Semiconductor")</f>
        <v>ON Semiconductor</v>
      </c>
      <c r="C45222" s="6">
        <v>1853</v>
      </c>
      <c r="D45222" s="7">
        <v>114.43</v>
      </c>
      <c r="E45222" t="s">
        <v>31</v>
      </c>
    </row>
    <row r="45223" spans="1:5" x14ac:dyDescent="0.25">
      <c r="A45223" t="str">
        <f>HYPERLINK("https://www.773grp.com/globalSearch/54ACT520-BRA/page-1", "54ACT520-BRA")</f>
        <v>54ACT520-BRA</v>
      </c>
      <c r="B45223" s="3" t="str">
        <f>HYPERLINK("https://www.773grp.com/manufacturer/onsemi?pageNo=1117", "ON Semiconductor")</f>
        <v>ON Semiconductor</v>
      </c>
      <c r="C45223" s="6">
        <v>1766</v>
      </c>
      <c r="D45223" s="7">
        <v>114.69</v>
      </c>
    </row>
    <row r="45224" spans="1:5" x14ac:dyDescent="0.25">
      <c r="A45224" t="str">
        <f>HYPERLINK("https://www.773grp.com/globalSearch/9601-BCA/page-1", "9601-BCA")</f>
        <v>9601-BCA</v>
      </c>
      <c r="B45224" s="3" t="str">
        <f>HYPERLINK("https://www.773grp.com/manufacturer/onsemi?pageNo=1118", "ON Semiconductor")</f>
        <v>ON Semiconductor</v>
      </c>
      <c r="C45224" s="6">
        <v>223</v>
      </c>
      <c r="D45224" s="7">
        <v>114.99</v>
      </c>
    </row>
    <row r="45225" spans="1:5" x14ac:dyDescent="0.25">
      <c r="A45225" t="str">
        <f>HYPERLINK("https://www.773grp.com/globalSearch/54105J/page-1", "54105J")</f>
        <v>54105J</v>
      </c>
      <c r="B45225" s="3" t="str">
        <f>HYPERLINK("https://www.773grp.com/manufacturer/onsemi?pageNo=1119", "ON Semiconductor")</f>
        <v>ON Semiconductor</v>
      </c>
      <c r="C45225" s="6">
        <v>48</v>
      </c>
      <c r="D45225" s="7">
        <v>115.33</v>
      </c>
    </row>
    <row r="45226" spans="1:5" x14ac:dyDescent="0.25">
      <c r="A45226" t="str">
        <f>HYPERLINK("https://www.773grp.com/globalSearch/SN54H78W/page-1", "SN54H78W")</f>
        <v>SN54H78W</v>
      </c>
      <c r="B45226" s="3" t="str">
        <f>HYPERLINK("https://www.773grp.com/manufacturer/onsemi?pageNo=1120", "ON Semiconductor")</f>
        <v>ON Semiconductor</v>
      </c>
      <c r="C45226" s="6">
        <v>119</v>
      </c>
      <c r="D45226" s="7">
        <v>115.95</v>
      </c>
    </row>
    <row r="45227" spans="1:5" x14ac:dyDescent="0.25">
      <c r="A45227" t="str">
        <f>HYPERLINK("https://www.773grp.com/globalSearch/54L04-BCA/page-1", "54L04-BCA")</f>
        <v>54L04-BCA</v>
      </c>
      <c r="B45227" s="3" t="str">
        <f>HYPERLINK("https://www.773grp.com/manufacturer/onsemi?pageNo=1121", "ON Semiconductor")</f>
        <v>ON Semiconductor</v>
      </c>
      <c r="C45227" s="6">
        <v>459</v>
      </c>
      <c r="D45227" s="7">
        <v>115.95</v>
      </c>
    </row>
    <row r="45228" spans="1:5" x14ac:dyDescent="0.25">
      <c r="A45228" t="str">
        <f>HYPERLINK("https://www.773grp.com/globalSearch/54L10-BDA/page-1", "54L10-BDA")</f>
        <v>54L10-BDA</v>
      </c>
      <c r="B45228" s="3" t="str">
        <f>HYPERLINK("https://www.773grp.com/manufacturer/onsemi?pageNo=1122", "ON Semiconductor")</f>
        <v>ON Semiconductor</v>
      </c>
      <c r="C45228" s="6">
        <v>856</v>
      </c>
      <c r="D45228" s="7">
        <v>115.95</v>
      </c>
    </row>
    <row r="45229" spans="1:5" x14ac:dyDescent="0.25">
      <c r="A45229" t="str">
        <f>HYPERLINK("https://www.773grp.com/globalSearch/5401-BDA/page-1", "5401-BDA")</f>
        <v>5401-BDA</v>
      </c>
      <c r="B45229" s="3" t="str">
        <f>HYPERLINK("https://www.773grp.com/manufacturer/onsemi?pageNo=1123", "ON Semiconductor")</f>
        <v>ON Semiconductor</v>
      </c>
      <c r="C45229" s="6">
        <v>365</v>
      </c>
      <c r="D45229" s="7">
        <v>115.95</v>
      </c>
    </row>
    <row r="45230" spans="1:5" x14ac:dyDescent="0.25">
      <c r="A45230" t="str">
        <f>HYPERLINK("https://www.773grp.com/globalSearch/5408-BCA/page-1", "5408-BCA")</f>
        <v>5408-BCA</v>
      </c>
      <c r="B45230" s="3" t="str">
        <f>HYPERLINK("https://www.773grp.com/manufacturer/onsemi?pageNo=1124", "ON Semiconductor")</f>
        <v>ON Semiconductor</v>
      </c>
      <c r="C45230" s="6">
        <v>639</v>
      </c>
      <c r="D45230" s="7">
        <v>115.95</v>
      </c>
    </row>
    <row r="45231" spans="1:5" x14ac:dyDescent="0.25">
      <c r="A45231" t="str">
        <f>HYPERLINK("https://www.773grp.com/globalSearch/54185AJ-B/page-1", "54185AJ-B")</f>
        <v>54185AJ-B</v>
      </c>
      <c r="B45231" s="3" t="str">
        <f>HYPERLINK("https://www.773grp.com/manufacturer/onsemi?pageNo=1125", "ON Semiconductor")</f>
        <v>ON Semiconductor</v>
      </c>
      <c r="C45231" s="6">
        <v>171</v>
      </c>
      <c r="D45231" s="7">
        <v>115.95</v>
      </c>
    </row>
    <row r="45232" spans="1:5" x14ac:dyDescent="0.25">
      <c r="A45232" t="str">
        <f>HYPERLINK("https://www.773grp.com/globalSearch/5420-BDA/page-1", "5420-BDA")</f>
        <v>5420-BDA</v>
      </c>
      <c r="B45232" s="3" t="str">
        <f>HYPERLINK("https://www.773grp.com/manufacturer/onsemi?pageNo=1126", "ON Semiconductor")</f>
        <v>ON Semiconductor</v>
      </c>
      <c r="C45232" s="6">
        <v>832</v>
      </c>
      <c r="D45232" s="7">
        <v>115.95</v>
      </c>
    </row>
    <row r="45233" spans="1:5" x14ac:dyDescent="0.25">
      <c r="A45233" t="str">
        <f>HYPERLINK("https://www.773grp.com/globalSearch/54S30-BCA/page-1", "54S30-BCA")</f>
        <v>54S30-BCA</v>
      </c>
      <c r="B45233" s="3" t="str">
        <f>HYPERLINK("https://www.773grp.com/manufacturer/onsemi?pageNo=1127", "ON Semiconductor")</f>
        <v>ON Semiconductor</v>
      </c>
      <c r="C45233" s="6">
        <v>1160</v>
      </c>
      <c r="D45233" s="7">
        <v>115.95</v>
      </c>
    </row>
    <row r="45234" spans="1:5" x14ac:dyDescent="0.25">
      <c r="A45234" t="str">
        <f>HYPERLINK("https://www.773grp.com/globalSearch/5400-BDA/page-1", "5400-BDA")</f>
        <v>5400-BDA</v>
      </c>
      <c r="B45234" s="3" t="str">
        <f>HYPERLINK("https://www.773grp.com/manufacturer/onsemi?pageNo=1128", "ON Semiconductor")</f>
        <v>ON Semiconductor</v>
      </c>
      <c r="C45234" s="6">
        <v>642</v>
      </c>
      <c r="D45234" s="7">
        <v>116.59</v>
      </c>
      <c r="E45234" t="s">
        <v>31</v>
      </c>
    </row>
    <row r="45235" spans="1:5" x14ac:dyDescent="0.25">
      <c r="A45235" t="str">
        <f>HYPERLINK("https://www.773grp.com/globalSearch/54LS113A-BCA/page-1", "54LS113A-BCA")</f>
        <v>54LS113A-BCA</v>
      </c>
      <c r="B45235" s="3" t="str">
        <f>HYPERLINK("https://www.773grp.com/manufacturer/onsemi?pageNo=1129", "ON Semiconductor")</f>
        <v>ON Semiconductor</v>
      </c>
      <c r="C45235" s="6">
        <v>1365</v>
      </c>
      <c r="D45235" s="7">
        <v>117.25</v>
      </c>
    </row>
    <row r="45236" spans="1:5" x14ac:dyDescent="0.25">
      <c r="A45236" t="str">
        <f>HYPERLINK("https://www.773grp.com/globalSearch/54LS92-BDA/page-1", "54LS92-BDA")</f>
        <v>54LS92-BDA</v>
      </c>
      <c r="B45236" s="3" t="str">
        <f>HYPERLINK("https://www.773grp.com/manufacturer/onsemi?pageNo=1130", "ON Semiconductor")</f>
        <v>ON Semiconductor</v>
      </c>
      <c r="C45236" s="6">
        <v>320</v>
      </c>
      <c r="D45236" s="7">
        <v>117.34</v>
      </c>
    </row>
    <row r="45237" spans="1:5" x14ac:dyDescent="0.25">
      <c r="A45237" t="str">
        <f>HYPERLINK("https://www.773grp.com/globalSearch/54S153-BEA/page-1", "54S153-BEA")</f>
        <v>54S153-BEA</v>
      </c>
      <c r="B45237" s="3" t="str">
        <f>HYPERLINK("https://www.773grp.com/manufacturer/onsemi?pageNo=1131", "ON Semiconductor")</f>
        <v>ON Semiconductor</v>
      </c>
      <c r="C45237" s="6">
        <v>937</v>
      </c>
      <c r="D45237" s="7">
        <v>117.34</v>
      </c>
      <c r="E45237" t="s">
        <v>20</v>
      </c>
    </row>
    <row r="45238" spans="1:5" x14ac:dyDescent="0.25">
      <c r="A45238" t="str">
        <f>HYPERLINK("https://www.773grp.com/globalSearch/54S113J-B/page-1", "54S113J-B")</f>
        <v>54S113J-B</v>
      </c>
      <c r="B45238" s="3" t="str">
        <f>HYPERLINK("https://www.773grp.com/manufacturer/onsemi?pageNo=1132", "ON Semiconductor")</f>
        <v>ON Semiconductor</v>
      </c>
      <c r="C45238" s="6">
        <v>1283</v>
      </c>
      <c r="D45238" s="7">
        <v>117.44</v>
      </c>
    </row>
    <row r="45239" spans="1:5" x14ac:dyDescent="0.25">
      <c r="A45239" t="str">
        <f>HYPERLINK("https://www.773grp.com/globalSearch/LD8251A/page-1", "LD8251A")</f>
        <v>LD8251A</v>
      </c>
      <c r="B45239" s="3" t="str">
        <f>HYPERLINK("https://www.773grp.com/manufacturer/onsemi?pageNo=1133", "ON Semiconductor")</f>
        <v>ON Semiconductor</v>
      </c>
      <c r="C45239" s="6">
        <v>2411</v>
      </c>
      <c r="D45239" s="7">
        <v>117.85</v>
      </c>
      <c r="E45239" t="s">
        <v>71</v>
      </c>
    </row>
    <row r="45240" spans="1:5" x14ac:dyDescent="0.25">
      <c r="A45240" t="str">
        <f>HYPERLINK("https://www.773grp.com/globalSearch/54LS224AJ-B/page-1", "54LS224AJ-B")</f>
        <v>54LS224AJ-B</v>
      </c>
      <c r="B45240" s="3" t="str">
        <f>HYPERLINK("https://www.773grp.com/manufacturer/onsemi?pageNo=1134", "ON Semiconductor")</f>
        <v>ON Semiconductor</v>
      </c>
      <c r="C45240" s="6">
        <v>324</v>
      </c>
      <c r="D45240" s="7">
        <v>117.96</v>
      </c>
    </row>
    <row r="45241" spans="1:5" x14ac:dyDescent="0.25">
      <c r="A45241" t="str">
        <f>HYPERLINK("https://www.773grp.com/globalSearch/54LS190-BEA/page-1", "54LS190-BEA")</f>
        <v>54LS190-BEA</v>
      </c>
      <c r="B45241" s="3" t="str">
        <f>HYPERLINK("https://www.773grp.com/manufacturer/onsemi?pageNo=1135", "ON Semiconductor")</f>
        <v>ON Semiconductor</v>
      </c>
      <c r="C45241" s="6">
        <v>818</v>
      </c>
      <c r="D45241" s="7">
        <v>118.06</v>
      </c>
    </row>
    <row r="45242" spans="1:5" x14ac:dyDescent="0.25">
      <c r="A45242" t="str">
        <f>HYPERLINK("https://www.773grp.com/globalSearch/26LS30-B2A/page-1", "26LS30-B2A")</f>
        <v>26LS30-B2A</v>
      </c>
      <c r="B45242" s="3" t="str">
        <f>HYPERLINK("https://www.773grp.com/manufacturer/onsemi?pageNo=1136", "ON Semiconductor")</f>
        <v>ON Semiconductor</v>
      </c>
      <c r="C45242" s="6">
        <v>243</v>
      </c>
      <c r="D45242" s="7">
        <v>118.46</v>
      </c>
    </row>
    <row r="45243" spans="1:5" x14ac:dyDescent="0.25">
      <c r="A45243" t="str">
        <f>HYPERLINK("https://www.773grp.com/globalSearch/26LS31-B2A/page-1", "26LS31-B2A")</f>
        <v>26LS31-B2A</v>
      </c>
      <c r="B45243" s="3" t="str">
        <f>HYPERLINK("https://www.773grp.com/manufacturer/onsemi?pageNo=1137", "ON Semiconductor")</f>
        <v>ON Semiconductor</v>
      </c>
      <c r="C45243" s="6">
        <v>737</v>
      </c>
      <c r="D45243" s="7">
        <v>118.46</v>
      </c>
      <c r="E45243" t="s">
        <v>21</v>
      </c>
    </row>
    <row r="45244" spans="1:5" x14ac:dyDescent="0.25">
      <c r="A45244" t="str">
        <f>HYPERLINK("https://www.773grp.com/globalSearch/26LS32-B2A/page-1", "26LS32-B2A")</f>
        <v>26LS32-B2A</v>
      </c>
      <c r="B45244" s="3" t="str">
        <f>HYPERLINK("https://www.773grp.com/manufacturer/onsemi?pageNo=1138", "ON Semiconductor")</f>
        <v>ON Semiconductor</v>
      </c>
      <c r="C45244" s="6">
        <v>524</v>
      </c>
      <c r="D45244" s="7">
        <v>118.46</v>
      </c>
      <c r="E45244" t="s">
        <v>21</v>
      </c>
    </row>
    <row r="45245" spans="1:5" x14ac:dyDescent="0.25">
      <c r="A45245" t="str">
        <f>HYPERLINK("https://www.773grp.com/globalSearch/26LS33-B2A/page-1", "26LS33-B2A")</f>
        <v>26LS33-B2A</v>
      </c>
      <c r="B45245" s="3" t="str">
        <f>HYPERLINK("https://www.773grp.com/manufacturer/onsemi?pageNo=1139", "ON Semiconductor")</f>
        <v>ON Semiconductor</v>
      </c>
      <c r="C45245" s="6">
        <v>721</v>
      </c>
      <c r="D45245" s="7">
        <v>118.46</v>
      </c>
    </row>
    <row r="45246" spans="1:5" x14ac:dyDescent="0.25">
      <c r="A45246" t="str">
        <f>HYPERLINK("https://www.773grp.com/globalSearch/54AC02-BCA/page-1", "54AC02-BCA")</f>
        <v>54AC02-BCA</v>
      </c>
      <c r="B45246" s="3" t="str">
        <f>HYPERLINK("https://www.773grp.com/manufacturer/onsemi?pageNo=1140", "ON Semiconductor")</f>
        <v>ON Semiconductor</v>
      </c>
      <c r="C45246" s="6">
        <v>1157</v>
      </c>
      <c r="D45246" s="7">
        <v>118.46</v>
      </c>
    </row>
    <row r="45247" spans="1:5" x14ac:dyDescent="0.25">
      <c r="A45247" t="str">
        <f>HYPERLINK("https://www.773grp.com/globalSearch/54161DM-B/page-1", "54161DM-B")</f>
        <v>54161DM-B</v>
      </c>
      <c r="B45247" s="3" t="str">
        <f>HYPERLINK("https://www.773grp.com/manufacturer/onsemi?pageNo=1141", "ON Semiconductor")</f>
        <v>ON Semiconductor</v>
      </c>
      <c r="C45247" s="6">
        <v>740</v>
      </c>
      <c r="D45247" s="7">
        <v>118.46</v>
      </c>
    </row>
    <row r="45248" spans="1:5" x14ac:dyDescent="0.25">
      <c r="A45248" t="str">
        <f>HYPERLINK("https://www.773grp.com/globalSearch/93L14DM-B/page-1", "93L14DM-B")</f>
        <v>93L14DM-B</v>
      </c>
      <c r="B45248" s="3" t="str">
        <f>HYPERLINK("https://www.773grp.com/manufacturer/onsemi?pageNo=1142", "ON Semiconductor")</f>
        <v>ON Semiconductor</v>
      </c>
      <c r="C45248" s="6">
        <v>849</v>
      </c>
      <c r="D45248" s="7">
        <v>118.46</v>
      </c>
    </row>
    <row r="45249" spans="1:5" x14ac:dyDescent="0.25">
      <c r="A45249" t="str">
        <f>HYPERLINK("https://www.773grp.com/globalSearch/MD82C54-B/page-1", "MD82C54-B")</f>
        <v>MD82C54-B</v>
      </c>
      <c r="B45249" s="3" t="str">
        <f>HYPERLINK("https://www.773grp.com/manufacturer/onsemi?pageNo=1143", "ON Semiconductor")</f>
        <v>ON Semiconductor</v>
      </c>
      <c r="C45249" s="6">
        <v>1527</v>
      </c>
      <c r="D45249" s="7">
        <v>118.64</v>
      </c>
      <c r="E45249" t="s">
        <v>82</v>
      </c>
    </row>
    <row r="45250" spans="1:5" x14ac:dyDescent="0.25">
      <c r="A45250" t="str">
        <f>HYPERLINK("https://www.773grp.com/globalSearch/27S21DM-B/page-1", "27S21DM-B")</f>
        <v>27S21DM-B</v>
      </c>
      <c r="B45250" s="3" t="str">
        <f>HYPERLINK("https://www.773grp.com/manufacturer/onsemi?pageNo=1144", "ON Semiconductor")</f>
        <v>ON Semiconductor</v>
      </c>
      <c r="C45250" s="6">
        <v>321</v>
      </c>
      <c r="D45250" s="7">
        <v>119.03</v>
      </c>
    </row>
    <row r="45251" spans="1:5" x14ac:dyDescent="0.25">
      <c r="A45251" t="str">
        <f>HYPERLINK("https://www.773grp.com/globalSearch/54FCT244DM-B/page-1", "54FCT244DM-B")</f>
        <v>54FCT244DM-B</v>
      </c>
      <c r="B45251" s="3" t="str">
        <f>HYPERLINK("https://www.773grp.com/manufacturer/onsemi?pageNo=1145", "ON Semiconductor")</f>
        <v>ON Semiconductor</v>
      </c>
      <c r="C45251" s="6">
        <v>1417</v>
      </c>
      <c r="D45251" s="7">
        <v>119.1</v>
      </c>
    </row>
    <row r="45252" spans="1:5" x14ac:dyDescent="0.25">
      <c r="A45252" t="str">
        <f>HYPERLINK("https://www.773grp.com/globalSearch/54LS158-BEA/page-1", "54LS158-BEA")</f>
        <v>54LS158-BEA</v>
      </c>
      <c r="B45252" s="3" t="str">
        <f>HYPERLINK("https://www.773grp.com/manufacturer/onsemi?pageNo=1146", "ON Semiconductor")</f>
        <v>ON Semiconductor</v>
      </c>
      <c r="C45252" s="6">
        <v>312</v>
      </c>
      <c r="D45252" s="7">
        <v>119.1</v>
      </c>
    </row>
    <row r="45253" spans="1:5" x14ac:dyDescent="0.25">
      <c r="A45253" t="str">
        <f>HYPERLINK("https://www.773grp.com/globalSearch/54HC162-BEA/page-1", "54HC162-BEA")</f>
        <v>54HC162-BEA</v>
      </c>
      <c r="B45253" s="3" t="str">
        <f>HYPERLINK("https://www.773grp.com/manufacturer/onsemi?pageNo=1147", "ON Semiconductor")</f>
        <v>ON Semiconductor</v>
      </c>
      <c r="C45253" s="6">
        <v>666</v>
      </c>
      <c r="D45253" s="7">
        <v>119.15</v>
      </c>
    </row>
    <row r="45254" spans="1:5" x14ac:dyDescent="0.25">
      <c r="A45254" t="str">
        <f>HYPERLINK("https://www.773grp.com/globalSearch/CA3306D/page-1", "CA3306D")</f>
        <v>CA3306D</v>
      </c>
      <c r="B45254" s="3" t="str">
        <f>HYPERLINK("https://www.773grp.com/manufacturer/onsemi?pageNo=1148", "ON Semiconductor")</f>
        <v>ON Semiconductor</v>
      </c>
      <c r="C45254" s="6">
        <v>15</v>
      </c>
      <c r="D45254" s="7">
        <v>119.18</v>
      </c>
      <c r="E45254" t="s">
        <v>39</v>
      </c>
    </row>
    <row r="45255" spans="1:5" x14ac:dyDescent="0.25">
      <c r="A45255" t="str">
        <f>HYPERLINK("https://www.773grp.com/globalSearch/54HC390-BEA/page-1", "54HC390-BEA")</f>
        <v>54HC390-BEA</v>
      </c>
      <c r="B45255" s="3" t="str">
        <f>HYPERLINK("https://www.773grp.com/manufacturer/onsemi?pageNo=1149", "ON Semiconductor")</f>
        <v>ON Semiconductor</v>
      </c>
      <c r="C45255" s="6">
        <v>669</v>
      </c>
      <c r="D45255" s="7">
        <v>119.23</v>
      </c>
    </row>
    <row r="45256" spans="1:5" x14ac:dyDescent="0.25">
      <c r="A45256" t="str">
        <f>HYPERLINK("https://www.773grp.com/globalSearch/54LS76A-BEA/page-1", "54LS76A-BEA")</f>
        <v>54LS76A-BEA</v>
      </c>
      <c r="B45256" s="3" t="str">
        <f>HYPERLINK("https://www.773grp.com/manufacturer/onsemi?pageNo=1150", "ON Semiconductor")</f>
        <v>ON Semiconductor</v>
      </c>
      <c r="C45256" s="6">
        <v>856</v>
      </c>
      <c r="D45256" s="7">
        <v>119.23</v>
      </c>
    </row>
    <row r="45257" spans="1:5" x14ac:dyDescent="0.25">
      <c r="A45257" t="str">
        <f>HYPERLINK("https://www.773grp.com/globalSearch/27S35ADM-B/page-1", "27S35ADM-B")</f>
        <v>27S35ADM-B</v>
      </c>
      <c r="B45257" s="3" t="str">
        <f>HYPERLINK("https://www.773grp.com/manufacturer/onsemi?pageNo=1151", "ON Semiconductor")</f>
        <v>ON Semiconductor</v>
      </c>
      <c r="C45257" s="6">
        <v>434</v>
      </c>
      <c r="D45257" s="7">
        <v>119.34</v>
      </c>
    </row>
    <row r="45258" spans="1:5" x14ac:dyDescent="0.25">
      <c r="A45258" t="str">
        <f>HYPERLINK("https://www.773grp.com/globalSearch/54LS298-BEA/page-1", "54LS298-BEA")</f>
        <v>54LS298-BEA</v>
      </c>
      <c r="B45258" s="3" t="str">
        <f>HYPERLINK("https://www.773grp.com/manufacturer/onsemi?pageNo=1152", "ON Semiconductor")</f>
        <v>ON Semiconductor</v>
      </c>
      <c r="C45258" s="6">
        <v>1869</v>
      </c>
      <c r="D45258" s="7">
        <v>119.34</v>
      </c>
    </row>
    <row r="45259" spans="1:5" x14ac:dyDescent="0.25">
      <c r="A45259" t="str">
        <f>HYPERLINK("https://www.773grp.com/globalSearch/54LS279DM-B/page-1", "54LS279DM-B")</f>
        <v>54LS279DM-B</v>
      </c>
      <c r="B45259" s="3" t="str">
        <f>HYPERLINK("https://www.773grp.com/manufacturer/onsemi?pageNo=1153", "ON Semiconductor")</f>
        <v>ON Semiconductor</v>
      </c>
      <c r="C45259" s="6">
        <v>1838</v>
      </c>
      <c r="D45259" s="7">
        <v>119.73</v>
      </c>
    </row>
    <row r="45260" spans="1:5" x14ac:dyDescent="0.25">
      <c r="A45260" t="str">
        <f>HYPERLINK("https://www.773grp.com/globalSearch/54121-BCA/page-1", "54121-BCA")</f>
        <v>54121-BCA</v>
      </c>
      <c r="B45260" s="3" t="str">
        <f>HYPERLINK("https://www.773grp.com/manufacturer/onsemi?pageNo=1154", "ON Semiconductor")</f>
        <v>ON Semiconductor</v>
      </c>
      <c r="C45260" s="6">
        <v>209</v>
      </c>
      <c r="D45260" s="7">
        <v>119.86</v>
      </c>
    </row>
    <row r="45261" spans="1:5" x14ac:dyDescent="0.25">
      <c r="A45261" t="str">
        <f>HYPERLINK("https://www.773grp.com/globalSearch/54L98J/page-1", "54L98J")</f>
        <v>54L98J</v>
      </c>
      <c r="B45261" s="3" t="str">
        <f>HYPERLINK("https://www.773grp.com/manufacturer/onsemi?pageNo=1155", "ON Semiconductor")</f>
        <v>ON Semiconductor</v>
      </c>
      <c r="C45261" s="6">
        <v>162</v>
      </c>
      <c r="D45261" s="7">
        <v>119.88</v>
      </c>
    </row>
    <row r="45262" spans="1:5" x14ac:dyDescent="0.25">
      <c r="A45262" t="str">
        <f>HYPERLINK("https://www.773grp.com/globalSearch/MD8259A-B/page-1", "MD8259A-B")</f>
        <v>MD8259A-B</v>
      </c>
      <c r="B45262" s="3" t="str">
        <f>HYPERLINK("https://www.773grp.com/manufacturer/onsemi?pageNo=1156", "ON Semiconductor")</f>
        <v>ON Semiconductor</v>
      </c>
      <c r="C45262" s="6">
        <v>364</v>
      </c>
      <c r="D45262" s="7">
        <v>120.15</v>
      </c>
    </row>
    <row r="45263" spans="1:5" x14ac:dyDescent="0.25">
      <c r="A45263" t="str">
        <f>HYPERLINK("https://www.773grp.com/globalSearch/262416-1/page-1", "262416-1")</f>
        <v>262416-1</v>
      </c>
      <c r="B45263" s="3" t="str">
        <f>HYPERLINK("https://www.773grp.com/manufacturer/onsemi?pageNo=1157", "ON Semiconductor")</f>
        <v>ON Semiconductor</v>
      </c>
      <c r="C45263" s="6">
        <v>598</v>
      </c>
      <c r="D45263" s="7">
        <v>121</v>
      </c>
    </row>
    <row r="45264" spans="1:5" x14ac:dyDescent="0.25">
      <c r="A45264" t="str">
        <f>HYPERLINK("https://www.773grp.com/globalSearch/54H108J-C/page-1", "54H108J-C")</f>
        <v>54H108J-C</v>
      </c>
      <c r="B45264" s="3" t="str">
        <f>HYPERLINK("https://www.773grp.com/manufacturer/onsemi?pageNo=1158", "ON Semiconductor")</f>
        <v>ON Semiconductor</v>
      </c>
      <c r="C45264" s="6">
        <v>279</v>
      </c>
      <c r="D45264" s="7">
        <v>121</v>
      </c>
    </row>
    <row r="45265" spans="1:5" x14ac:dyDescent="0.25">
      <c r="A45265" t="str">
        <f>HYPERLINK("https://www.773grp.com/globalSearch/54L157J/page-1", "54L157J")</f>
        <v>54L157J</v>
      </c>
      <c r="B45265" s="3" t="str">
        <f>HYPERLINK("https://www.773grp.com/manufacturer/onsemi?pageNo=1159", "ON Semiconductor")</f>
        <v>ON Semiconductor</v>
      </c>
      <c r="C45265" s="6">
        <v>99</v>
      </c>
      <c r="D45265" s="7">
        <v>121</v>
      </c>
    </row>
    <row r="45266" spans="1:5" x14ac:dyDescent="0.25">
      <c r="A45266" t="str">
        <f>HYPERLINK("https://www.773grp.com/globalSearch/54L51J-C/page-1", "54L51J-C")</f>
        <v>54L51J-C</v>
      </c>
      <c r="B45266" s="3" t="str">
        <f>HYPERLINK("https://www.773grp.com/manufacturer/onsemi?pageNo=1160", "ON Semiconductor")</f>
        <v>ON Semiconductor</v>
      </c>
      <c r="C45266" s="6">
        <v>321</v>
      </c>
      <c r="D45266" s="7">
        <v>121</v>
      </c>
    </row>
    <row r="45267" spans="1:5" x14ac:dyDescent="0.25">
      <c r="A45267" t="str">
        <f>HYPERLINK("https://www.773grp.com/globalSearch/9307DM-B/page-1", "9307DM-B")</f>
        <v>9307DM-B</v>
      </c>
      <c r="B45267" s="3" t="str">
        <f>HYPERLINK("https://www.773grp.com/manufacturer/onsemi?pageNo=1161", "ON Semiconductor")</f>
        <v>ON Semiconductor</v>
      </c>
      <c r="C45267" s="6">
        <v>512</v>
      </c>
      <c r="D45267" s="7">
        <v>121</v>
      </c>
    </row>
    <row r="45268" spans="1:5" x14ac:dyDescent="0.25">
      <c r="A45268" t="str">
        <f>HYPERLINK("https://www.773grp.com/globalSearch/9L24DM-B/page-1", "9L24DM-B")</f>
        <v>9L24DM-B</v>
      </c>
      <c r="B45268" s="3" t="str">
        <f>HYPERLINK("https://www.773grp.com/manufacturer/onsemi?pageNo=1162", "ON Semiconductor")</f>
        <v>ON Semiconductor</v>
      </c>
      <c r="C45268" s="6">
        <v>858</v>
      </c>
      <c r="D45268" s="7">
        <v>121</v>
      </c>
    </row>
    <row r="45269" spans="1:5" x14ac:dyDescent="0.25">
      <c r="A45269" t="str">
        <f>HYPERLINK("https://www.773grp.com/globalSearch/MC2118L-R/page-1", "MC2118L-R")</f>
        <v>MC2118L-R</v>
      </c>
      <c r="B45269" s="3" t="str">
        <f>HYPERLINK("https://www.773grp.com/manufacturer/onsemi?pageNo=1163", "ON Semiconductor")</f>
        <v>ON Semiconductor</v>
      </c>
      <c r="C45269" s="6">
        <v>342</v>
      </c>
      <c r="D45269" s="7">
        <v>121</v>
      </c>
    </row>
    <row r="45270" spans="1:5" x14ac:dyDescent="0.25">
      <c r="A45270" t="str">
        <f>HYPERLINK("https://www.773grp.com/globalSearch/R532104/page-1", "R532104")</f>
        <v>R532104</v>
      </c>
      <c r="B45270" s="3" t="str">
        <f>HYPERLINK("https://www.773grp.com/manufacturer/onsemi?pageNo=1164", "ON Semiconductor")</f>
        <v>ON Semiconductor</v>
      </c>
      <c r="C45270" s="6">
        <v>422</v>
      </c>
      <c r="D45270" s="7">
        <v>121</v>
      </c>
    </row>
    <row r="45271" spans="1:5" x14ac:dyDescent="0.25">
      <c r="A45271" t="str">
        <f>HYPERLINK("https://www.773grp.com/globalSearch/R552133/page-1", "R552133")</f>
        <v>R552133</v>
      </c>
      <c r="B45271" s="3" t="str">
        <f>HYPERLINK("https://www.773grp.com/manufacturer/onsemi?pageNo=1165", "ON Semiconductor")</f>
        <v>ON Semiconductor</v>
      </c>
      <c r="C45271" s="6">
        <v>389</v>
      </c>
      <c r="D45271" s="7">
        <v>121</v>
      </c>
    </row>
    <row r="45272" spans="1:5" x14ac:dyDescent="0.25">
      <c r="A45272" t="str">
        <f>HYPERLINK("https://www.773grp.com/globalSearch/R982105/page-1", "R982105")</f>
        <v>R982105</v>
      </c>
      <c r="B45272" s="3" t="str">
        <f>HYPERLINK("https://www.773grp.com/manufacturer/onsemi?pageNo=1166", "ON Semiconductor")</f>
        <v>ON Semiconductor</v>
      </c>
      <c r="C45272" s="6">
        <v>325</v>
      </c>
      <c r="D45272" s="7">
        <v>121</v>
      </c>
    </row>
    <row r="45273" spans="1:5" x14ac:dyDescent="0.25">
      <c r="A45273" t="str">
        <f>HYPERLINK("https://www.773grp.com/globalSearch/EP600IPC-45/page-1", "EP600IPC-45")</f>
        <v>EP600IPC-45</v>
      </c>
      <c r="B45273" s="3" t="str">
        <f>HYPERLINK("https://www.773grp.com/manufacturer/onsemi?pageNo=1167", "ON Semiconductor")</f>
        <v>ON Semiconductor</v>
      </c>
      <c r="C45273" s="6">
        <v>501</v>
      </c>
      <c r="D45273" s="7">
        <v>121</v>
      </c>
    </row>
    <row r="45274" spans="1:5" x14ac:dyDescent="0.25">
      <c r="A45274" t="str">
        <f>HYPERLINK("https://www.773grp.com/globalSearch/EP610PC-35/page-1", "EP610PC-35")</f>
        <v>EP610PC-35</v>
      </c>
      <c r="B45274" s="3" t="str">
        <f>HYPERLINK("https://www.773grp.com/manufacturer/onsemi?pageNo=1168", "ON Semiconductor")</f>
        <v>ON Semiconductor</v>
      </c>
      <c r="C45274" s="6">
        <v>3386</v>
      </c>
      <c r="D45274" s="7">
        <v>121</v>
      </c>
      <c r="E45274" t="s">
        <v>51</v>
      </c>
    </row>
    <row r="45275" spans="1:5" x14ac:dyDescent="0.25">
      <c r="A45275" t="str">
        <f>HYPERLINK("https://www.773grp.com/globalSearch/EP610SC-15/page-1", "EP610SC-15")</f>
        <v>EP610SC-15</v>
      </c>
      <c r="B45275" s="3" t="str">
        <f>HYPERLINK("https://www.773grp.com/manufacturer/onsemi?pageNo=1169", "ON Semiconductor")</f>
        <v>ON Semiconductor</v>
      </c>
      <c r="C45275" s="6">
        <v>1762</v>
      </c>
      <c r="D45275" s="7">
        <v>121</v>
      </c>
    </row>
    <row r="45276" spans="1:5" x14ac:dyDescent="0.25">
      <c r="A45276" t="str">
        <f>HYPERLINK("https://www.773grp.com/globalSearch/PAL16L8B-4MJ-B/page-1", "PAL16L8B-4MJ-B")</f>
        <v>PAL16L8B-4MJ-B</v>
      </c>
      <c r="B45276" s="3" t="str">
        <f>HYPERLINK("https://www.773grp.com/manufacturer/onsemi?pageNo=1170", "ON Semiconductor")</f>
        <v>ON Semiconductor</v>
      </c>
      <c r="C45276" s="6">
        <v>348</v>
      </c>
      <c r="D45276" s="7">
        <v>121</v>
      </c>
    </row>
    <row r="45277" spans="1:5" x14ac:dyDescent="0.25">
      <c r="A45277" t="str">
        <f>HYPERLINK("https://www.773grp.com/globalSearch/HI4-0516-8-B/page-1", "HI4-0516-8-B")</f>
        <v>HI4-0516-8-B</v>
      </c>
      <c r="B45277" s="3" t="str">
        <f>HYPERLINK("https://www.773grp.com/manufacturer/onsemi?pageNo=1171", "ON Semiconductor")</f>
        <v>ON Semiconductor</v>
      </c>
      <c r="C45277" s="6">
        <v>424</v>
      </c>
      <c r="D45277" s="7">
        <v>121</v>
      </c>
    </row>
    <row r="45278" spans="1:5" x14ac:dyDescent="0.25">
      <c r="A45278" t="str">
        <f>HYPERLINK("https://www.773grp.com/globalSearch/D8086-2/page-1", "D8086-2")</f>
        <v>D8086-2</v>
      </c>
      <c r="B45278" s="3" t="str">
        <f>HYPERLINK("https://www.773grp.com/manufacturer/onsemi?pageNo=1172", "ON Semiconductor")</f>
        <v>ON Semiconductor</v>
      </c>
      <c r="C45278" s="6">
        <v>575</v>
      </c>
      <c r="D45278" s="7">
        <v>121</v>
      </c>
      <c r="E45278" t="s">
        <v>81</v>
      </c>
    </row>
    <row r="45279" spans="1:5" x14ac:dyDescent="0.25">
      <c r="A45279" t="str">
        <f>HYPERLINK("https://www.773grp.com/globalSearch/MC2764A-25-B/page-1", "MC2764A-25-B")</f>
        <v>MC2764A-25-B</v>
      </c>
      <c r="B45279" s="3" t="str">
        <f>HYPERLINK("https://www.773grp.com/manufacturer/onsemi?pageNo=1173", "ON Semiconductor")</f>
        <v>ON Semiconductor</v>
      </c>
      <c r="C45279" s="6">
        <v>399</v>
      </c>
      <c r="D45279" s="7">
        <v>121</v>
      </c>
    </row>
    <row r="45280" spans="1:5" x14ac:dyDescent="0.25">
      <c r="A45280" t="str">
        <f>HYPERLINK("https://www.773grp.com/globalSearch/MD2732A-45-B/page-1", "MD2732A-45-B")</f>
        <v>MD2732A-45-B</v>
      </c>
      <c r="B45280" s="3" t="str">
        <f>HYPERLINK("https://www.773grp.com/manufacturer/onsemi?pageNo=1174", "ON Semiconductor")</f>
        <v>ON Semiconductor</v>
      </c>
      <c r="C45280" s="6">
        <v>261</v>
      </c>
      <c r="D45280" s="7">
        <v>121</v>
      </c>
    </row>
    <row r="45281" spans="1:5" x14ac:dyDescent="0.25">
      <c r="A45281" t="str">
        <f>HYPERLINK("https://www.773grp.com/globalSearch/MR8259A-R/page-1", "MR8259A-R")</f>
        <v>MR8259A-R</v>
      </c>
      <c r="B45281" s="3" t="str">
        <f>HYPERLINK("https://www.773grp.com/manufacturer/onsemi?pageNo=1175", "ON Semiconductor")</f>
        <v>ON Semiconductor</v>
      </c>
      <c r="C45281" s="6">
        <v>463</v>
      </c>
      <c r="D45281" s="7">
        <v>121</v>
      </c>
    </row>
    <row r="45282" spans="1:5" x14ac:dyDescent="0.25">
      <c r="A45282" t="str">
        <f>HYPERLINK("https://www.773grp.com/globalSearch/54126W-B/page-1", "54126W-B")</f>
        <v>54126W-B</v>
      </c>
      <c r="B45282" s="3" t="str">
        <f>HYPERLINK("https://www.773grp.com/manufacturer/onsemi?pageNo=1176", "ON Semiconductor")</f>
        <v>ON Semiconductor</v>
      </c>
      <c r="C45282" s="6">
        <v>417</v>
      </c>
      <c r="D45282" s="7">
        <v>121</v>
      </c>
    </row>
    <row r="45283" spans="1:5" x14ac:dyDescent="0.25">
      <c r="A45283" t="str">
        <f>HYPERLINK("https://www.773grp.com/globalSearch/54S288AJ-B/page-1", "54S288AJ-B")</f>
        <v>54S288AJ-B</v>
      </c>
      <c r="B45283" s="3" t="str">
        <f>HYPERLINK("https://www.773grp.com/manufacturer/onsemi?pageNo=1177", "ON Semiconductor")</f>
        <v>ON Semiconductor</v>
      </c>
      <c r="C45283" s="6">
        <v>1076</v>
      </c>
      <c r="D45283" s="7">
        <v>121</v>
      </c>
    </row>
    <row r="45284" spans="1:5" x14ac:dyDescent="0.25">
      <c r="A45284" t="str">
        <f>HYPERLINK("https://www.773grp.com/globalSearch/9936-BCA/page-1", "9936-BCA")</f>
        <v>9936-BCA</v>
      </c>
      <c r="B45284" s="3" t="str">
        <f>HYPERLINK("https://www.773grp.com/manufacturer/onsemi?pageNo=1178", "ON Semiconductor")</f>
        <v>ON Semiconductor</v>
      </c>
      <c r="C45284" s="6">
        <v>1889</v>
      </c>
      <c r="D45284" s="7">
        <v>121</v>
      </c>
    </row>
    <row r="45285" spans="1:5" x14ac:dyDescent="0.25">
      <c r="A45285" t="str">
        <f>HYPERLINK("https://www.773grp.com/globalSearch/OP07J8-883/page-1", "OP07J8-883")</f>
        <v>OP07J8-883</v>
      </c>
      <c r="B45285" s="3" t="str">
        <f>HYPERLINK("https://www.773grp.com/manufacturer/onsemi?pageNo=1179", "ON Semiconductor")</f>
        <v>ON Semiconductor</v>
      </c>
      <c r="C45285" s="6">
        <v>559</v>
      </c>
      <c r="D45285" s="7">
        <v>121</v>
      </c>
    </row>
    <row r="45286" spans="1:5" x14ac:dyDescent="0.25">
      <c r="A45286" t="str">
        <f>HYPERLINK("https://www.773grp.com/globalSearch/2940DC/page-1", "2940DC")</f>
        <v>2940DC</v>
      </c>
      <c r="B45286" s="3" t="str">
        <f>HYPERLINK("https://www.773grp.com/manufacturer/onsemi?pageNo=1180", "ON Semiconductor")</f>
        <v>ON Semiconductor</v>
      </c>
      <c r="C45286" s="6">
        <v>5728</v>
      </c>
      <c r="D45286" s="7">
        <v>121</v>
      </c>
    </row>
    <row r="45287" spans="1:5" x14ac:dyDescent="0.25">
      <c r="A45287" t="str">
        <f>HYPERLINK("https://www.773grp.com/globalSearch/93S48DM-B/page-1", "93S48DM-B")</f>
        <v>93S48DM-B</v>
      </c>
      <c r="B45287" s="3" t="str">
        <f>HYPERLINK("https://www.773grp.com/manufacturer/onsemi?pageNo=1181", "ON Semiconductor")</f>
        <v>ON Semiconductor</v>
      </c>
      <c r="C45287" s="6">
        <v>440</v>
      </c>
      <c r="D45287" s="7">
        <v>121</v>
      </c>
    </row>
    <row r="45288" spans="1:5" x14ac:dyDescent="0.25">
      <c r="A45288" t="str">
        <f>HYPERLINK("https://www.773grp.com/globalSearch/LM108H/page-1", "LM108H")</f>
        <v>LM108H</v>
      </c>
      <c r="B45288" s="3" t="str">
        <f>HYPERLINK("https://www.773grp.com/manufacturer/onsemi?pageNo=1182", "ON Semiconductor")</f>
        <v>ON Semiconductor</v>
      </c>
      <c r="C45288" s="6">
        <v>480</v>
      </c>
      <c r="D45288" s="7">
        <v>121</v>
      </c>
      <c r="E45288" t="s">
        <v>13</v>
      </c>
    </row>
    <row r="45289" spans="1:5" x14ac:dyDescent="0.25">
      <c r="A45289" t="str">
        <f>HYPERLINK("https://www.773grp.com/globalSearch/54HC30-BCA/page-1", "54HC30-BCA")</f>
        <v>54HC30-BCA</v>
      </c>
      <c r="B45289" s="3" t="str">
        <f>HYPERLINK("https://www.773grp.com/manufacturer/onsemi?pageNo=1183", "ON Semiconductor")</f>
        <v>ON Semiconductor</v>
      </c>
      <c r="C45289" s="6">
        <v>1499</v>
      </c>
      <c r="D45289" s="7">
        <v>121</v>
      </c>
    </row>
    <row r="45290" spans="1:5" x14ac:dyDescent="0.25">
      <c r="A45290" t="str">
        <f>HYPERLINK("https://www.773grp.com/globalSearch/54L122J-C/page-1", "54L122J-C")</f>
        <v>54L122J-C</v>
      </c>
      <c r="B45290" s="3" t="str">
        <f>HYPERLINK("https://www.773grp.com/manufacturer/onsemi?pageNo=1184", "ON Semiconductor")</f>
        <v>ON Semiconductor</v>
      </c>
      <c r="C45290" s="6">
        <v>152</v>
      </c>
      <c r="D45290" s="7">
        <v>121</v>
      </c>
    </row>
    <row r="45291" spans="1:5" x14ac:dyDescent="0.25">
      <c r="A45291" t="str">
        <f>HYPERLINK("https://www.773grp.com/globalSearch/54LS156-BEA/page-1", "54LS156-BEA")</f>
        <v>54LS156-BEA</v>
      </c>
      <c r="B45291" s="3" t="str">
        <f>HYPERLINK("https://www.773grp.com/manufacturer/onsemi?pageNo=1185", "ON Semiconductor")</f>
        <v>ON Semiconductor</v>
      </c>
      <c r="C45291" s="6">
        <v>49</v>
      </c>
      <c r="D45291" s="7">
        <v>121</v>
      </c>
    </row>
    <row r="45292" spans="1:5" x14ac:dyDescent="0.25">
      <c r="A45292" t="str">
        <f>HYPERLINK("https://www.773grp.com/globalSearch/54LS162A-BEA/page-1", "54LS162A-BEA")</f>
        <v>54LS162A-BEA</v>
      </c>
      <c r="B45292" s="3" t="str">
        <f>HYPERLINK("https://www.773grp.com/manufacturer/onsemi?pageNo=1186", "ON Semiconductor")</f>
        <v>ON Semiconductor</v>
      </c>
      <c r="C45292" s="6">
        <v>989</v>
      </c>
      <c r="D45292" s="7">
        <v>121</v>
      </c>
    </row>
    <row r="45293" spans="1:5" x14ac:dyDescent="0.25">
      <c r="A45293" t="str">
        <f>HYPERLINK("https://www.773grp.com/globalSearch/54LS28-BCA/page-1", "54LS28-BCA")</f>
        <v>54LS28-BCA</v>
      </c>
      <c r="B45293" s="3" t="str">
        <f>HYPERLINK("https://www.773grp.com/manufacturer/onsemi?pageNo=1187", "ON Semiconductor")</f>
        <v>ON Semiconductor</v>
      </c>
      <c r="C45293" s="6">
        <v>1585</v>
      </c>
      <c r="D45293" s="7">
        <v>121</v>
      </c>
    </row>
    <row r="45294" spans="1:5" x14ac:dyDescent="0.25">
      <c r="A45294" t="str">
        <f>HYPERLINK("https://www.773grp.com/globalSearch/54LS95BJ-B/page-1", "54LS95BJ-B")</f>
        <v>54LS95BJ-B</v>
      </c>
      <c r="B45294" s="3" t="str">
        <f>HYPERLINK("https://www.773grp.com/manufacturer/onsemi?pageNo=1188", "ON Semiconductor")</f>
        <v>ON Semiconductor</v>
      </c>
      <c r="C45294" s="6">
        <v>173</v>
      </c>
      <c r="D45294" s="7">
        <v>121</v>
      </c>
    </row>
    <row r="45295" spans="1:5" x14ac:dyDescent="0.25">
      <c r="A45295" t="str">
        <f>HYPERLINK("https://www.773grp.com/globalSearch/M38510-12907BPA/page-1", "M38510-12907BPA")</f>
        <v>M38510-12907BPA</v>
      </c>
      <c r="B45295" s="3" t="str">
        <f>HYPERLINK("https://www.773grp.com/manufacturer/onsemi?pageNo=1189", "ON Semiconductor")</f>
        <v>ON Semiconductor</v>
      </c>
      <c r="C45295" s="6">
        <v>350</v>
      </c>
      <c r="D45295" s="7">
        <v>121</v>
      </c>
      <c r="E45295" t="s">
        <v>11</v>
      </c>
    </row>
    <row r="45296" spans="1:5" x14ac:dyDescent="0.25">
      <c r="A45296" t="str">
        <f>HYPERLINK("https://www.773grp.com/globalSearch/R449101/page-1", "R449101")</f>
        <v>R449101</v>
      </c>
      <c r="B45296" s="3" t="str">
        <f>HYPERLINK("https://www.773grp.com/manufacturer/onsemi?pageNo=1190", "ON Semiconductor")</f>
        <v>ON Semiconductor</v>
      </c>
      <c r="C45296" s="6">
        <v>587</v>
      </c>
      <c r="D45296" s="7">
        <v>121</v>
      </c>
    </row>
    <row r="45297" spans="1:5" x14ac:dyDescent="0.25">
      <c r="A45297" t="str">
        <f>HYPERLINK("https://www.773grp.com/globalSearch/R754133/page-1", "R754133")</f>
        <v>R754133</v>
      </c>
      <c r="B45297" s="3" t="str">
        <f>HYPERLINK("https://www.773grp.com/manufacturer/onsemi?pageNo=1191", "ON Semiconductor")</f>
        <v>ON Semiconductor</v>
      </c>
      <c r="C45297" s="6">
        <v>234</v>
      </c>
      <c r="D45297" s="7">
        <v>121</v>
      </c>
    </row>
    <row r="45298" spans="1:5" x14ac:dyDescent="0.25">
      <c r="A45298" t="str">
        <f>HYPERLINK("https://www.773grp.com/globalSearch/54F273-QRA/page-1", "54F273-QRA")</f>
        <v>54F273-QRA</v>
      </c>
      <c r="B45298" s="3" t="str">
        <f>HYPERLINK("https://www.773grp.com/manufacturer/onsemi?pageNo=1192", "ON Semiconductor")</f>
        <v>ON Semiconductor</v>
      </c>
      <c r="C45298" s="6">
        <v>976</v>
      </c>
      <c r="D45298" s="7">
        <v>121.64</v>
      </c>
    </row>
    <row r="45299" spans="1:5" x14ac:dyDescent="0.25">
      <c r="A45299" t="str">
        <f>HYPERLINK("https://www.773grp.com/globalSearch/54L02-BCA/page-1", "54L02-BCA")</f>
        <v>54L02-BCA</v>
      </c>
      <c r="B45299" s="3" t="str">
        <f>HYPERLINK("https://www.773grp.com/manufacturer/onsemi?pageNo=1193", "ON Semiconductor")</f>
        <v>ON Semiconductor</v>
      </c>
      <c r="C45299" s="6">
        <v>674</v>
      </c>
      <c r="D45299" s="7">
        <v>121.64</v>
      </c>
    </row>
    <row r="45300" spans="1:5" x14ac:dyDescent="0.25">
      <c r="A45300" t="str">
        <f>HYPERLINK("https://www.773grp.com/globalSearch/54LS42-BEA/page-1", "54LS42-BEA")</f>
        <v>54LS42-BEA</v>
      </c>
      <c r="B45300" s="3" t="str">
        <f>HYPERLINK("https://www.773grp.com/manufacturer/onsemi?pageNo=1194", "ON Semiconductor")</f>
        <v>ON Semiconductor</v>
      </c>
      <c r="C45300" s="6">
        <v>397</v>
      </c>
      <c r="D45300" s="7">
        <v>121.64</v>
      </c>
    </row>
    <row r="45301" spans="1:5" x14ac:dyDescent="0.25">
      <c r="A45301" t="str">
        <f>HYPERLINK("https://www.773grp.com/globalSearch/ELANSC300-33KC-G/page-1", "ELANSC300-33KC-G")</f>
        <v>ELANSC300-33KC-G</v>
      </c>
      <c r="B45301" s="3" t="str">
        <f>HYPERLINK("https://www.773grp.com/manufacturer/onsemi?pageNo=1195", "ON Semiconductor")</f>
        <v>ON Semiconductor</v>
      </c>
      <c r="C45301" s="6">
        <v>1584</v>
      </c>
      <c r="D45301" s="7">
        <v>121.74</v>
      </c>
    </row>
    <row r="45302" spans="1:5" x14ac:dyDescent="0.25">
      <c r="A45302" t="str">
        <f>HYPERLINK("https://www.773grp.com/globalSearch/CA3058-B/page-1", "CA3058-B")</f>
        <v>CA3058-B</v>
      </c>
      <c r="B45302" s="3" t="str">
        <f>HYPERLINK("https://www.773grp.com/manufacturer/onsemi?pageNo=1196", "ON Semiconductor")</f>
        <v>ON Semiconductor</v>
      </c>
      <c r="C45302" s="6">
        <v>17</v>
      </c>
      <c r="D45302" s="7">
        <v>121.78</v>
      </c>
    </row>
    <row r="45303" spans="1:5" x14ac:dyDescent="0.25">
      <c r="A45303" t="str">
        <f>HYPERLINK("https://www.773grp.com/globalSearch/MM54C922J-883/page-1", "MM54C922J-883")</f>
        <v>MM54C922J-883</v>
      </c>
      <c r="B45303" s="3" t="str">
        <f>HYPERLINK("https://www.773grp.com/manufacturer/onsemi?pageNo=1197", "ON Semiconductor")</f>
        <v>ON Semiconductor</v>
      </c>
      <c r="C45303" s="6">
        <v>1302</v>
      </c>
      <c r="D45303" s="7">
        <v>122.01</v>
      </c>
      <c r="E45303" t="s">
        <v>43</v>
      </c>
    </row>
    <row r="45304" spans="1:5" x14ac:dyDescent="0.25">
      <c r="A45304" t="str">
        <f>HYPERLINK("https://www.773grp.com/globalSearch/54LS183-BCA/page-1", "54LS183-BCA")</f>
        <v>54LS183-BCA</v>
      </c>
      <c r="B45304" s="3" t="str">
        <f>HYPERLINK("https://www.773grp.com/manufacturer/onsemi?pageNo=1198", "ON Semiconductor")</f>
        <v>ON Semiconductor</v>
      </c>
      <c r="C45304" s="6">
        <v>750</v>
      </c>
      <c r="D45304" s="7">
        <v>122.38</v>
      </c>
    </row>
    <row r="45305" spans="1:5" x14ac:dyDescent="0.25">
      <c r="A45305" t="str">
        <f>HYPERLINK("https://www.773grp.com/globalSearch/54F157-BEA/page-1", "54F157-BEA")</f>
        <v>54F157-BEA</v>
      </c>
      <c r="B45305" s="3" t="str">
        <f>HYPERLINK("https://www.773grp.com/manufacturer/onsemi?pageNo=1199", "ON Semiconductor")</f>
        <v>ON Semiconductor</v>
      </c>
      <c r="C45305" s="6">
        <v>956</v>
      </c>
      <c r="D45305" s="7">
        <v>122.76</v>
      </c>
    </row>
    <row r="45306" spans="1:5" x14ac:dyDescent="0.25">
      <c r="A45306" t="str">
        <f>HYPERLINK("https://www.773grp.com/globalSearch/MR8259A/page-1", "MR8259A")</f>
        <v>MR8259A</v>
      </c>
      <c r="B45306" s="3" t="str">
        <f>HYPERLINK("https://www.773grp.com/manufacturer/onsemi?pageNo=1200", "ON Semiconductor")</f>
        <v>ON Semiconductor</v>
      </c>
      <c r="C45306" s="6">
        <v>144</v>
      </c>
      <c r="D45306" s="7">
        <v>122.89</v>
      </c>
      <c r="E45306" t="s">
        <v>123</v>
      </c>
    </row>
    <row r="45307" spans="1:5" x14ac:dyDescent="0.25">
      <c r="A45307" t="str">
        <f>HYPERLINK("https://www.773grp.com/globalSearch/5427-BCA/page-1", "5427-BCA")</f>
        <v>5427-BCA</v>
      </c>
      <c r="B45307" s="3" t="str">
        <f>HYPERLINK("https://www.773grp.com/manufacturer/onsemi?pageNo=1201", "ON Semiconductor")</f>
        <v>ON Semiconductor</v>
      </c>
      <c r="C45307" s="6">
        <v>622</v>
      </c>
      <c r="D45307" s="7">
        <v>123.09</v>
      </c>
    </row>
    <row r="45308" spans="1:5" x14ac:dyDescent="0.25">
      <c r="A45308" t="str">
        <f>HYPERLINK("https://www.773grp.com/globalSearch/27S21ADM-B/page-1", "27S21ADM-B")</f>
        <v>27S21ADM-B</v>
      </c>
      <c r="B45308" s="3" t="str">
        <f>HYPERLINK("https://www.773grp.com/manufacturer/onsemi?pageNo=1202", "ON Semiconductor")</f>
        <v>ON Semiconductor</v>
      </c>
      <c r="C45308" s="6">
        <v>1062</v>
      </c>
      <c r="D45308" s="7">
        <v>123.19</v>
      </c>
    </row>
    <row r="45309" spans="1:5" x14ac:dyDescent="0.25">
      <c r="A45309" t="str">
        <f>HYPERLINK("https://www.773grp.com/globalSearch/UA7906CL-R/page-1", "UA7906CL-R")</f>
        <v>UA7906CL-R</v>
      </c>
      <c r="B45309" s="3" t="str">
        <f>HYPERLINK("https://www.773grp.com/manufacturer/onsemi?pageNo=1203", "ON Semiconductor")</f>
        <v>ON Semiconductor</v>
      </c>
      <c r="C45309" s="6">
        <v>77</v>
      </c>
      <c r="D45309" s="7">
        <v>123.51</v>
      </c>
    </row>
    <row r="45310" spans="1:5" x14ac:dyDescent="0.25">
      <c r="A45310" t="str">
        <f>HYPERLINK("https://www.773grp.com/globalSearch/25S05FM-B/page-1", "25S05FM-B")</f>
        <v>25S05FM-B</v>
      </c>
      <c r="B45310" s="3" t="str">
        <f>HYPERLINK("https://www.773grp.com/manufacturer/onsemi?pageNo=1204", "ON Semiconductor")</f>
        <v>ON Semiconductor</v>
      </c>
      <c r="C45310" s="6">
        <v>1460</v>
      </c>
      <c r="D45310" s="7">
        <v>123.51</v>
      </c>
    </row>
    <row r="45311" spans="1:5" x14ac:dyDescent="0.25">
      <c r="A45311" t="str">
        <f>HYPERLINK("https://www.773grp.com/globalSearch/5493ADM/page-1", "5493ADM")</f>
        <v>5493ADM</v>
      </c>
      <c r="B45311" s="3" t="str">
        <f>HYPERLINK("https://www.773grp.com/manufacturer/onsemi?pageNo=1205", "ON Semiconductor")</f>
        <v>ON Semiconductor</v>
      </c>
      <c r="C45311" s="6">
        <v>286</v>
      </c>
      <c r="D45311" s="7">
        <v>123.51</v>
      </c>
    </row>
    <row r="45312" spans="1:5" x14ac:dyDescent="0.25">
      <c r="A45312" t="str">
        <f>HYPERLINK("https://www.773grp.com/globalSearch/54LS22-BCA/page-1", "54LS22-BCA")</f>
        <v>54LS22-BCA</v>
      </c>
      <c r="B45312" s="3" t="str">
        <f>HYPERLINK("https://www.773grp.com/manufacturer/onsemi?pageNo=1206", "ON Semiconductor")</f>
        <v>ON Semiconductor</v>
      </c>
      <c r="C45312" s="6">
        <v>47</v>
      </c>
      <c r="D45312" s="7">
        <v>123.51</v>
      </c>
    </row>
    <row r="45313" spans="1:5" x14ac:dyDescent="0.25">
      <c r="A45313" t="str">
        <f>HYPERLINK("https://www.773grp.com/globalSearch/MM54C89J/page-1", "MM54C89J")</f>
        <v>MM54C89J</v>
      </c>
      <c r="B45313" s="3" t="str">
        <f>HYPERLINK("https://www.773grp.com/manufacturer/onsemi?pageNo=1207", "ON Semiconductor")</f>
        <v>ON Semiconductor</v>
      </c>
      <c r="C45313" s="6">
        <v>866</v>
      </c>
      <c r="D45313" s="7">
        <v>123.51</v>
      </c>
      <c r="E45313" t="s">
        <v>75</v>
      </c>
    </row>
    <row r="45314" spans="1:5" x14ac:dyDescent="0.25">
      <c r="A45314" t="str">
        <f>HYPERLINK("https://www.773grp.com/globalSearch/54LS243-BCA/page-1", "54LS243-BCA")</f>
        <v>54LS243-BCA</v>
      </c>
      <c r="B45314" s="3" t="str">
        <f>HYPERLINK("https://www.773grp.com/manufacturer/onsemi?pageNo=1208", "ON Semiconductor")</f>
        <v>ON Semiconductor</v>
      </c>
      <c r="C45314" s="6">
        <v>1280</v>
      </c>
      <c r="D45314" s="7">
        <v>123.51</v>
      </c>
    </row>
    <row r="45315" spans="1:5" x14ac:dyDescent="0.25">
      <c r="A45315" t="str">
        <f>HYPERLINK("https://www.773grp.com/globalSearch/MD8251A-B/page-1", "MD8251A-B")</f>
        <v>MD8251A-B</v>
      </c>
      <c r="B45315" s="3" t="str">
        <f>HYPERLINK("https://www.773grp.com/manufacturer/onsemi?pageNo=1209", "ON Semiconductor")</f>
        <v>ON Semiconductor</v>
      </c>
      <c r="C45315" s="6">
        <v>25</v>
      </c>
      <c r="D45315" s="7">
        <v>123.53</v>
      </c>
    </row>
    <row r="45316" spans="1:5" x14ac:dyDescent="0.25">
      <c r="A45316" t="str">
        <f>HYPERLINK("https://www.773grp.com/globalSearch/5447-BEA/page-1", "5447-BEA")</f>
        <v>5447-BEA</v>
      </c>
      <c r="B45316" s="3" t="str">
        <f>HYPERLINK("https://www.773grp.com/manufacturer/onsemi?pageNo=1210", "ON Semiconductor")</f>
        <v>ON Semiconductor</v>
      </c>
      <c r="C45316" s="6">
        <v>416</v>
      </c>
      <c r="D45316" s="7">
        <v>124.01</v>
      </c>
    </row>
    <row r="45317" spans="1:5" x14ac:dyDescent="0.25">
      <c r="A45317" t="str">
        <f>HYPERLINK("https://www.773grp.com/globalSearch/54F161-BEA/page-1", "54F161-BEA")</f>
        <v>54F161-BEA</v>
      </c>
      <c r="B45317" s="3" t="str">
        <f>HYPERLINK("https://www.773grp.com/manufacturer/onsemi?pageNo=1211", "ON Semiconductor")</f>
        <v>ON Semiconductor</v>
      </c>
      <c r="C45317" s="6">
        <v>841</v>
      </c>
      <c r="D45317" s="7">
        <v>124.15</v>
      </c>
    </row>
    <row r="45318" spans="1:5" x14ac:dyDescent="0.25">
      <c r="A45318" t="str">
        <f>HYPERLINK("https://www.773grp.com/globalSearch/27S19ADM-B/page-1", "27S19ADM-B")</f>
        <v>27S19ADM-B</v>
      </c>
      <c r="B45318" s="3" t="str">
        <f>HYPERLINK("https://www.773grp.com/manufacturer/onsemi?pageNo=1212", "ON Semiconductor")</f>
        <v>ON Semiconductor</v>
      </c>
      <c r="C45318" s="6">
        <v>157</v>
      </c>
      <c r="D45318" s="7">
        <v>124.15</v>
      </c>
    </row>
    <row r="45319" spans="1:5" x14ac:dyDescent="0.25">
      <c r="A45319" t="str">
        <f>HYPERLINK("https://www.773grp.com/globalSearch/54193-BFA/page-1", "54193-BFA")</f>
        <v>54193-BFA</v>
      </c>
      <c r="B45319" s="3" t="str">
        <f>HYPERLINK("https://www.773grp.com/manufacturer/onsemi?pageNo=1213", "ON Semiconductor")</f>
        <v>ON Semiconductor</v>
      </c>
      <c r="C45319" s="6">
        <v>254</v>
      </c>
      <c r="D45319" s="7">
        <v>124.15</v>
      </c>
      <c r="E45319" t="s">
        <v>26</v>
      </c>
    </row>
    <row r="45320" spans="1:5" x14ac:dyDescent="0.25">
      <c r="A45320" t="str">
        <f>HYPERLINK("https://www.773grp.com/globalSearch/54LS298-BFA/page-1", "54LS298-BFA")</f>
        <v>54LS298-BFA</v>
      </c>
      <c r="B45320" s="3" t="str">
        <f>HYPERLINK("https://www.773grp.com/manufacturer/onsemi?pageNo=1214", "ON Semiconductor")</f>
        <v>ON Semiconductor</v>
      </c>
      <c r="C45320" s="6">
        <v>621</v>
      </c>
      <c r="D45320" s="7">
        <v>124.15</v>
      </c>
    </row>
    <row r="45321" spans="1:5" x14ac:dyDescent="0.25">
      <c r="A45321" t="str">
        <f>HYPERLINK("https://www.773grp.com/globalSearch/MM54C164J-883/page-1", "MM54C164J-883")</f>
        <v>MM54C164J-883</v>
      </c>
      <c r="B45321" s="3" t="str">
        <f>HYPERLINK("https://www.773grp.com/manufacturer/onsemi?pageNo=1215", "ON Semiconductor")</f>
        <v>ON Semiconductor</v>
      </c>
      <c r="C45321" s="6">
        <v>1571</v>
      </c>
      <c r="D45321" s="7">
        <v>124.39</v>
      </c>
      <c r="E45321" t="s">
        <v>32</v>
      </c>
    </row>
    <row r="45322" spans="1:5" x14ac:dyDescent="0.25">
      <c r="A45322" t="str">
        <f>HYPERLINK("https://www.773grp.com/globalSearch/DS14C232J-B/page-1", "DS14C232J-B")</f>
        <v>DS14C232J-B</v>
      </c>
      <c r="B45322" s="3" t="str">
        <f>HYPERLINK("https://www.773grp.com/manufacturer/onsemi?pageNo=1216", "ON Semiconductor")</f>
        <v>ON Semiconductor</v>
      </c>
      <c r="C45322" s="6">
        <v>681</v>
      </c>
      <c r="D45322" s="7">
        <v>124.78</v>
      </c>
    </row>
    <row r="45323" spans="1:5" x14ac:dyDescent="0.25">
      <c r="A45323" t="str">
        <f>HYPERLINK("https://www.773grp.com/globalSearch/2909ADC/page-1", "2909ADC")</f>
        <v>2909ADC</v>
      </c>
      <c r="B45323" s="3" t="str">
        <f>HYPERLINK("https://www.773grp.com/manufacturer/onsemi?pageNo=1217", "ON Semiconductor")</f>
        <v>ON Semiconductor</v>
      </c>
      <c r="C45323" s="6">
        <v>2636</v>
      </c>
      <c r="D45323" s="7">
        <v>124.78</v>
      </c>
    </row>
    <row r="45324" spans="1:5" x14ac:dyDescent="0.25">
      <c r="A45324" t="str">
        <f>HYPERLINK("https://www.773grp.com/globalSearch/5496-BFA/page-1", "5496-BFA")</f>
        <v>5496-BFA</v>
      </c>
      <c r="B45324" s="3" t="str">
        <f>HYPERLINK("https://www.773grp.com/manufacturer/onsemi?pageNo=1218", "ON Semiconductor")</f>
        <v>ON Semiconductor</v>
      </c>
      <c r="C45324" s="6">
        <v>1251</v>
      </c>
      <c r="D45324" s="7">
        <v>124.78</v>
      </c>
    </row>
    <row r="45325" spans="1:5" x14ac:dyDescent="0.25">
      <c r="A45325" t="str">
        <f>HYPERLINK("https://www.773grp.com/globalSearch/4023A-BCA/page-1", "4023A-BCA")</f>
        <v>4023A-BCA</v>
      </c>
      <c r="B45325" s="3" t="str">
        <f>HYPERLINK("https://www.773grp.com/manufacturer/onsemi?pageNo=1219", "ON Semiconductor")</f>
        <v>ON Semiconductor</v>
      </c>
      <c r="C45325" s="6">
        <v>284</v>
      </c>
      <c r="D45325" s="7">
        <v>124.81</v>
      </c>
    </row>
    <row r="45326" spans="1:5" x14ac:dyDescent="0.25">
      <c r="A45326" t="str">
        <f>HYPERLINK("https://www.773grp.com/globalSearch/OP290AZ/page-1", "OP290AZ")</f>
        <v>OP290AZ</v>
      </c>
      <c r="B45326" s="3" t="str">
        <f>HYPERLINK("https://www.773grp.com/manufacturer/onsemi?pageNo=1220", "ON Semiconductor")</f>
        <v>ON Semiconductor</v>
      </c>
      <c r="C45326" s="6">
        <v>5</v>
      </c>
      <c r="D45326" s="7">
        <v>124.89</v>
      </c>
      <c r="E45326" t="s">
        <v>13</v>
      </c>
    </row>
    <row r="45327" spans="1:5" x14ac:dyDescent="0.25">
      <c r="A45327" t="str">
        <f>HYPERLINK("https://www.773grp.com/globalSearch/54F164A-QCA/page-1", "54F164A-QCA")</f>
        <v>54F164A-QCA</v>
      </c>
      <c r="B45327" s="3" t="str">
        <f>HYPERLINK("https://www.773grp.com/manufacturer/onsemi?pageNo=1221", "ON Semiconductor")</f>
        <v>ON Semiconductor</v>
      </c>
      <c r="C45327" s="6">
        <v>937</v>
      </c>
      <c r="D45327" s="7">
        <v>124.89</v>
      </c>
    </row>
    <row r="45328" spans="1:5" x14ac:dyDescent="0.25">
      <c r="A45328" t="str">
        <f>HYPERLINK("https://www.773grp.com/globalSearch/54ABT245-BRA/page-1", "54ABT245-BRA")</f>
        <v>54ABT245-BRA</v>
      </c>
      <c r="B45328" s="3" t="str">
        <f>HYPERLINK("https://www.773grp.com/manufacturer/onsemi?pageNo=1222", "ON Semiconductor")</f>
        <v>ON Semiconductor</v>
      </c>
      <c r="C45328" s="6">
        <v>408</v>
      </c>
      <c r="D45328" s="7">
        <v>125.15</v>
      </c>
      <c r="E45328" t="s">
        <v>14</v>
      </c>
    </row>
    <row r="45329" spans="1:5" x14ac:dyDescent="0.25">
      <c r="A45329" t="str">
        <f>HYPERLINK("https://www.773grp.com/globalSearch/54F399-B2A/page-1", "54F399-B2A")</f>
        <v>54F399-B2A</v>
      </c>
      <c r="B45329" s="3" t="str">
        <f>HYPERLINK("https://www.773grp.com/manufacturer/onsemi?pageNo=1223", "ON Semiconductor")</f>
        <v>ON Semiconductor</v>
      </c>
      <c r="C45329" s="6">
        <v>543</v>
      </c>
      <c r="D45329" s="7">
        <v>125.15</v>
      </c>
      <c r="E45329" t="s">
        <v>35</v>
      </c>
    </row>
    <row r="45330" spans="1:5" x14ac:dyDescent="0.25">
      <c r="A45330" t="str">
        <f>HYPERLINK("https://www.773grp.com/globalSearch/9310DM-C/page-1", "9310DM-C")</f>
        <v>9310DM-C</v>
      </c>
      <c r="B45330" s="3" t="str">
        <f>HYPERLINK("https://www.773grp.com/manufacturer/onsemi?pageNo=1224", "ON Semiconductor")</f>
        <v>ON Semiconductor</v>
      </c>
      <c r="C45330" s="6">
        <v>138</v>
      </c>
      <c r="D45330" s="7">
        <v>125.41</v>
      </c>
    </row>
    <row r="45331" spans="1:5" x14ac:dyDescent="0.25">
      <c r="A45331" t="str">
        <f>HYPERLINK("https://www.773grp.com/globalSearch/54L04-BDA/page-1", "54L04-BDA")</f>
        <v>54L04-BDA</v>
      </c>
      <c r="B45331" s="3" t="str">
        <f>HYPERLINK("https://www.773grp.com/manufacturer/onsemi?pageNo=1225", "ON Semiconductor")</f>
        <v>ON Semiconductor</v>
      </c>
      <c r="C45331" s="6">
        <v>278</v>
      </c>
      <c r="D45331" s="7">
        <v>125.41</v>
      </c>
    </row>
    <row r="45332" spans="1:5" x14ac:dyDescent="0.25">
      <c r="A45332" t="str">
        <f>HYPERLINK("https://www.773grp.com/globalSearch/54H52J-C/page-1", "54H52J-C")</f>
        <v>54H52J-C</v>
      </c>
      <c r="B45332" s="3" t="str">
        <f>HYPERLINK("https://www.773grp.com/manufacturer/onsemi?pageNo=1226", "ON Semiconductor")</f>
        <v>ON Semiconductor</v>
      </c>
      <c r="C45332" s="6">
        <v>202</v>
      </c>
      <c r="D45332" s="7">
        <v>125.65</v>
      </c>
    </row>
    <row r="45333" spans="1:5" x14ac:dyDescent="0.25">
      <c r="A45333" t="str">
        <f>HYPERLINK("https://www.773grp.com/globalSearch/54F174-BEA/page-1", "54F174-BEA")</f>
        <v>54F174-BEA</v>
      </c>
      <c r="B45333" s="3" t="str">
        <f>HYPERLINK("https://www.773grp.com/manufacturer/onsemi?pageNo=1227", "ON Semiconductor")</f>
        <v>ON Semiconductor</v>
      </c>
      <c r="C45333" s="6">
        <v>520</v>
      </c>
      <c r="D45333" s="7">
        <v>125.65</v>
      </c>
      <c r="E45333" t="s">
        <v>35</v>
      </c>
    </row>
    <row r="45334" spans="1:5" x14ac:dyDescent="0.25">
      <c r="A45334" t="str">
        <f>HYPERLINK("https://www.773grp.com/globalSearch/54F350-BEA/page-1", "54F350-BEA")</f>
        <v>54F350-BEA</v>
      </c>
      <c r="B45334" s="3" t="str">
        <f>HYPERLINK("https://www.773grp.com/manufacturer/onsemi?pageNo=1228", "ON Semiconductor")</f>
        <v>ON Semiconductor</v>
      </c>
      <c r="C45334" s="6">
        <v>419</v>
      </c>
      <c r="D45334" s="7">
        <v>125.65</v>
      </c>
      <c r="E45334" t="s">
        <v>43</v>
      </c>
    </row>
    <row r="45335" spans="1:5" x14ac:dyDescent="0.25">
      <c r="A45335" t="str">
        <f>HYPERLINK("https://www.773grp.com/globalSearch/54LS641J/page-1", "54LS641J")</f>
        <v>54LS641J</v>
      </c>
      <c r="B45335" s="3" t="str">
        <f>HYPERLINK("https://www.773grp.com/manufacturer/onsemi?pageNo=1229", "ON Semiconductor")</f>
        <v>ON Semiconductor</v>
      </c>
      <c r="C45335" s="6">
        <v>249</v>
      </c>
      <c r="D45335" s="7">
        <v>125.94</v>
      </c>
    </row>
    <row r="45336" spans="1:5" x14ac:dyDescent="0.25">
      <c r="A45336" t="str">
        <f>HYPERLINK("https://www.773grp.com/globalSearch/54H78FM/page-1", "54H78FM")</f>
        <v>54H78FM</v>
      </c>
      <c r="B45336" s="3" t="str">
        <f>HYPERLINK("https://www.773grp.com/manufacturer/onsemi?pageNo=1230", "ON Semiconductor")</f>
        <v>ON Semiconductor</v>
      </c>
      <c r="C45336" s="6">
        <v>517</v>
      </c>
      <c r="D45336" s="7">
        <v>126.03</v>
      </c>
    </row>
    <row r="45337" spans="1:5" x14ac:dyDescent="0.25">
      <c r="A45337" t="str">
        <f>HYPERLINK("https://www.773grp.com/globalSearch/CDP1859CE/page-1", "CDP1859CE")</f>
        <v>CDP1859CE</v>
      </c>
      <c r="B45337" s="3" t="str">
        <f>HYPERLINK("https://www.773grp.com/manufacturer/onsemi?pageNo=1231", "ON Semiconductor")</f>
        <v>ON Semiconductor</v>
      </c>
      <c r="C45337" s="6">
        <v>1</v>
      </c>
      <c r="D45337" s="7">
        <v>126.03</v>
      </c>
    </row>
    <row r="45338" spans="1:5" x14ac:dyDescent="0.25">
      <c r="A45338" t="str">
        <f>HYPERLINK("https://www.773grp.com/globalSearch/MD2732A-25-B/page-1", "MD2732A-25-B")</f>
        <v>MD2732A-25-B</v>
      </c>
      <c r="B45338" s="3" t="str">
        <f>HYPERLINK("https://www.773grp.com/manufacturer/onsemi?pageNo=1232", "ON Semiconductor")</f>
        <v>ON Semiconductor</v>
      </c>
      <c r="C45338" s="6">
        <v>120</v>
      </c>
      <c r="D45338" s="7">
        <v>126.03</v>
      </c>
    </row>
    <row r="45339" spans="1:5" x14ac:dyDescent="0.25">
      <c r="A45339" t="str">
        <f>HYPERLINK("https://www.773grp.com/globalSearch/93L425ADM-B/page-1", "93L425ADM-B")</f>
        <v>93L425ADM-B</v>
      </c>
      <c r="B45339" s="3" t="str">
        <f>HYPERLINK("https://www.773grp.com/manufacturer/onsemi?pageNo=1233", "ON Semiconductor")</f>
        <v>ON Semiconductor</v>
      </c>
      <c r="C45339" s="6">
        <v>42</v>
      </c>
      <c r="D45339" s="7">
        <v>126.03</v>
      </c>
    </row>
    <row r="45340" spans="1:5" x14ac:dyDescent="0.25">
      <c r="A45340" t="str">
        <f>HYPERLINK("https://www.773grp.com/globalSearch/54H73W/page-1", "54H73W")</f>
        <v>54H73W</v>
      </c>
      <c r="B45340" s="3" t="str">
        <f>HYPERLINK("https://www.773grp.com/manufacturer/onsemi?pageNo=1234", "ON Semiconductor")</f>
        <v>ON Semiconductor</v>
      </c>
      <c r="C45340" s="6">
        <v>426</v>
      </c>
      <c r="D45340" s="7">
        <v>126.03</v>
      </c>
    </row>
    <row r="45341" spans="1:5" x14ac:dyDescent="0.25">
      <c r="A45341" t="str">
        <f>HYPERLINK("https://www.773grp.com/globalSearch/54LS122-BCA/page-1", "54LS122-BCA")</f>
        <v>54LS122-BCA</v>
      </c>
      <c r="B45341" s="3" t="str">
        <f>HYPERLINK("https://www.773grp.com/manufacturer/onsemi?pageNo=1235", "ON Semiconductor")</f>
        <v>ON Semiconductor</v>
      </c>
      <c r="C45341" s="6">
        <v>702</v>
      </c>
      <c r="D45341" s="7">
        <v>128.72999999999999</v>
      </c>
    </row>
    <row r="45342" spans="1:5" x14ac:dyDescent="0.25">
      <c r="A45342" t="str">
        <f>HYPERLINK("https://www.773grp.com/globalSearch/54LS54-BDA/page-1", "54LS54-BDA")</f>
        <v>54LS54-BDA</v>
      </c>
      <c r="B45342" s="3" t="str">
        <f>HYPERLINK("https://www.773grp.com/manufacturer/onsemi?pageNo=1236", "ON Semiconductor")</f>
        <v>ON Semiconductor</v>
      </c>
      <c r="C45342" s="6">
        <v>1055</v>
      </c>
      <c r="D45342" s="7">
        <v>129.13</v>
      </c>
    </row>
    <row r="45343" spans="1:5" x14ac:dyDescent="0.25">
      <c r="A45343" t="str">
        <f>HYPERLINK("https://www.773grp.com/globalSearch/LM107J-883/page-1", "LM107J-883")</f>
        <v>LM107J-883</v>
      </c>
      <c r="B45343" s="3" t="str">
        <f>HYPERLINK("https://www.773grp.com/manufacturer/onsemi?pageNo=1237", "ON Semiconductor")</f>
        <v>ON Semiconductor</v>
      </c>
      <c r="C45343" s="6">
        <v>989</v>
      </c>
      <c r="D45343" s="7">
        <v>129.38</v>
      </c>
      <c r="E45343" t="s">
        <v>13</v>
      </c>
    </row>
    <row r="45344" spans="1:5" x14ac:dyDescent="0.25">
      <c r="A45344" t="str">
        <f>HYPERLINK("https://www.773grp.com/globalSearch/R1293/page-1", "R1293")</f>
        <v>R1293</v>
      </c>
      <c r="B45344" s="3" t="str">
        <f>HYPERLINK("https://www.773grp.com/manufacturer/onsemi?pageNo=1238", "ON Semiconductor")</f>
        <v>ON Semiconductor</v>
      </c>
      <c r="C45344" s="6">
        <v>321</v>
      </c>
      <c r="D45344" s="7">
        <v>130.08000000000001</v>
      </c>
    </row>
    <row r="45345" spans="1:5" x14ac:dyDescent="0.25">
      <c r="A45345" t="str">
        <f>HYPERLINK("https://www.773grp.com/globalSearch/4013A-BCA/page-1", "4013A-BCA")</f>
        <v>4013A-BCA</v>
      </c>
      <c r="B45345" s="3" t="str">
        <f>HYPERLINK("https://www.773grp.com/manufacturer/onsemi?pageNo=1239", "ON Semiconductor")</f>
        <v>ON Semiconductor</v>
      </c>
      <c r="C45345" s="6">
        <v>551</v>
      </c>
      <c r="D45345" s="7">
        <v>131.05000000000001</v>
      </c>
    </row>
    <row r="45346" spans="1:5" x14ac:dyDescent="0.25">
      <c r="A45346" t="str">
        <f>HYPERLINK("https://www.773grp.com/globalSearch/4013B-BCA/page-1", "4013B-BCA")</f>
        <v>4013B-BCA</v>
      </c>
      <c r="B45346" s="3" t="str">
        <f>HYPERLINK("https://www.773grp.com/manufacturer/onsemi?pageNo=1240", "ON Semiconductor")</f>
        <v>ON Semiconductor</v>
      </c>
      <c r="C45346" s="6">
        <v>1104</v>
      </c>
      <c r="D45346" s="7">
        <v>131.05000000000001</v>
      </c>
    </row>
    <row r="45347" spans="1:5" x14ac:dyDescent="0.25">
      <c r="A45347" t="str">
        <f>HYPERLINK("https://www.773grp.com/globalSearch/54H11W-R/page-1", "54H11W-R")</f>
        <v>54H11W-R</v>
      </c>
      <c r="B45347" s="3" t="str">
        <f>HYPERLINK("https://www.773grp.com/manufacturer/onsemi?pageNo=1241", "ON Semiconductor")</f>
        <v>ON Semiconductor</v>
      </c>
      <c r="C45347" s="6">
        <v>409</v>
      </c>
      <c r="D45347" s="7">
        <v>131.06</v>
      </c>
    </row>
    <row r="45348" spans="1:5" x14ac:dyDescent="0.25">
      <c r="A45348" t="str">
        <f>HYPERLINK("https://www.773grp.com/globalSearch/27C010-55DM-B/page-1", "27C010-55DM-B")</f>
        <v>27C010-55DM-B</v>
      </c>
      <c r="B45348" s="3" t="str">
        <f>HYPERLINK("https://www.773grp.com/manufacturer/onsemi?pageNo=1242", "ON Semiconductor")</f>
        <v>ON Semiconductor</v>
      </c>
      <c r="C45348" s="6">
        <v>3069</v>
      </c>
      <c r="D45348" s="7">
        <v>131.06</v>
      </c>
    </row>
    <row r="45349" spans="1:5" x14ac:dyDescent="0.25">
      <c r="A45349" t="str">
        <f>HYPERLINK("https://www.773grp.com/globalSearch/27S29DM-B/page-1", "27S29DM-B")</f>
        <v>27S29DM-B</v>
      </c>
      <c r="B45349" s="3" t="str">
        <f>HYPERLINK("https://www.773grp.com/manufacturer/onsemi?pageNo=1243", "ON Semiconductor")</f>
        <v>ON Semiconductor</v>
      </c>
      <c r="C45349" s="6">
        <v>54</v>
      </c>
      <c r="D45349" s="7">
        <v>131.06</v>
      </c>
    </row>
    <row r="45350" spans="1:5" x14ac:dyDescent="0.25">
      <c r="A45350" t="str">
        <f>HYPERLINK("https://www.773grp.com/globalSearch/HA7-5221-B/page-1", "HA7-5221-B")</f>
        <v>HA7-5221-B</v>
      </c>
      <c r="B45350" s="3" t="str">
        <f>HYPERLINK("https://www.773grp.com/manufacturer/onsemi?pageNo=1244", "ON Semiconductor")</f>
        <v>ON Semiconductor</v>
      </c>
      <c r="C45350" s="6">
        <v>222</v>
      </c>
      <c r="D45350" s="7">
        <v>131.06</v>
      </c>
    </row>
    <row r="45351" spans="1:5" x14ac:dyDescent="0.25">
      <c r="A45351" t="str">
        <f>HYPERLINK("https://www.773grp.com/globalSearch/93S48FM-B/page-1", "93S48FM-B")</f>
        <v>93S48FM-B</v>
      </c>
      <c r="B45351" s="3" t="str">
        <f>HYPERLINK("https://www.773grp.com/manufacturer/onsemi?pageNo=1245", "ON Semiconductor")</f>
        <v>ON Semiconductor</v>
      </c>
      <c r="C45351" s="6">
        <v>330</v>
      </c>
      <c r="D45351" s="7">
        <v>131.06</v>
      </c>
    </row>
    <row r="45352" spans="1:5" x14ac:dyDescent="0.25">
      <c r="A45352" t="str">
        <f>HYPERLINK("https://www.773grp.com/globalSearch/54LS681J-B/page-1", "54LS681J-B")</f>
        <v>54LS681J-B</v>
      </c>
      <c r="B45352" s="3" t="str">
        <f>HYPERLINK("https://www.773grp.com/manufacturer/onsemi?pageNo=1246", "ON Semiconductor")</f>
        <v>ON Semiconductor</v>
      </c>
      <c r="C45352" s="6">
        <v>1019</v>
      </c>
      <c r="D45352" s="7">
        <v>131.06</v>
      </c>
    </row>
    <row r="45353" spans="1:5" x14ac:dyDescent="0.25">
      <c r="A45353" t="str">
        <f>HYPERLINK("https://www.773grp.com/globalSearch/29705ADM-B/page-1", "29705ADM-B")</f>
        <v>29705ADM-B</v>
      </c>
      <c r="B45353" s="3" t="str">
        <f>HYPERLINK("https://www.773grp.com/manufacturer/onsemi?pageNo=1247", "ON Semiconductor")</f>
        <v>ON Semiconductor</v>
      </c>
      <c r="C45353" s="6">
        <v>985</v>
      </c>
      <c r="D45353" s="7">
        <v>132.34</v>
      </c>
    </row>
    <row r="45354" spans="1:5" x14ac:dyDescent="0.25">
      <c r="A45354" t="str">
        <f>HYPERLINK("https://www.773grp.com/globalSearch/54ABT245-B2A/page-1", "54ABT245-B2A")</f>
        <v>54ABT245-B2A</v>
      </c>
      <c r="B45354" s="3" t="str">
        <f>HYPERLINK("https://www.773grp.com/manufacturer/onsemi?pageNo=1248", "ON Semiconductor")</f>
        <v>ON Semiconductor</v>
      </c>
      <c r="C45354" s="6">
        <v>1422</v>
      </c>
      <c r="D45354" s="7">
        <v>132.34</v>
      </c>
      <c r="E45354" t="s">
        <v>14</v>
      </c>
    </row>
    <row r="45355" spans="1:5" x14ac:dyDescent="0.25">
      <c r="A45355" t="str">
        <f>HYPERLINK("https://www.773grp.com/globalSearch/EP610LI-15/page-1", "EP610LI-15")</f>
        <v>EP610LI-15</v>
      </c>
      <c r="B45355" s="3" t="str">
        <f>HYPERLINK("https://www.773grp.com/manufacturer/onsemi?pageNo=1249", "ON Semiconductor")</f>
        <v>ON Semiconductor</v>
      </c>
      <c r="C45355" s="6">
        <v>200</v>
      </c>
      <c r="D45355" s="7">
        <v>133.08000000000001</v>
      </c>
    </row>
    <row r="45356" spans="1:5" x14ac:dyDescent="0.25">
      <c r="A45356" t="str">
        <f>HYPERLINK("https://www.773grp.com/globalSearch/EP610PI-30/page-1", "EP610PI-30")</f>
        <v>EP610PI-30</v>
      </c>
      <c r="B45356" s="3" t="str">
        <f>HYPERLINK("https://www.773grp.com/manufacturer/onsemi?pageNo=1250", "ON Semiconductor")</f>
        <v>ON Semiconductor</v>
      </c>
      <c r="C45356" s="6">
        <v>244</v>
      </c>
      <c r="D45356" s="7">
        <v>133.08000000000001</v>
      </c>
      <c r="E45356" t="s">
        <v>51</v>
      </c>
    </row>
    <row r="45357" spans="1:5" x14ac:dyDescent="0.25">
      <c r="A45357" t="str">
        <f>HYPERLINK("https://www.773grp.com/globalSearch/54F174-B2A/page-1", "54F174-B2A")</f>
        <v>54F174-B2A</v>
      </c>
      <c r="B45357" s="3" t="str">
        <f>HYPERLINK("https://www.773grp.com/manufacturer/onsemi?pageNo=1251", "ON Semiconductor")</f>
        <v>ON Semiconductor</v>
      </c>
      <c r="C45357" s="6">
        <v>315</v>
      </c>
      <c r="D45357" s="7">
        <v>133.21</v>
      </c>
      <c r="E45357" t="s">
        <v>35</v>
      </c>
    </row>
    <row r="45358" spans="1:5" x14ac:dyDescent="0.25">
      <c r="A45358" t="str">
        <f>HYPERLINK("https://www.773grp.com/globalSearch/DS1631J-8-B/page-1", "DS1631J-8-B")</f>
        <v>DS1631J-8-B</v>
      </c>
      <c r="B45358" s="3" t="str">
        <f>HYPERLINK("https://www.773grp.com/manufacturer/onsemi?pageNo=1252", "ON Semiconductor")</f>
        <v>ON Semiconductor</v>
      </c>
      <c r="C45358" s="6">
        <v>321</v>
      </c>
      <c r="D45358" s="7">
        <v>133.44999999999999</v>
      </c>
    </row>
    <row r="45359" spans="1:5" x14ac:dyDescent="0.25">
      <c r="A45359" t="str">
        <f>HYPERLINK("https://www.773grp.com/globalSearch/DS1632J-8-B/page-1", "DS1632J-8-B")</f>
        <v>DS1632J-8-B</v>
      </c>
      <c r="B45359" s="3" t="str">
        <f>HYPERLINK("https://www.773grp.com/manufacturer/onsemi?pageNo=1253", "ON Semiconductor")</f>
        <v>ON Semiconductor</v>
      </c>
      <c r="C45359" s="6">
        <v>1305</v>
      </c>
      <c r="D45359" s="7">
        <v>133.44999999999999</v>
      </c>
    </row>
    <row r="45360" spans="1:5" x14ac:dyDescent="0.25">
      <c r="A45360" t="str">
        <f>HYPERLINK("https://www.773grp.com/globalSearch/DS1633J-8-B/page-1", "DS1633J-8-B")</f>
        <v>DS1633J-8-B</v>
      </c>
      <c r="B45360" s="3" t="str">
        <f>HYPERLINK("https://www.773grp.com/manufacturer/onsemi?pageNo=1254", "ON Semiconductor")</f>
        <v>ON Semiconductor</v>
      </c>
      <c r="C45360" s="6">
        <v>81</v>
      </c>
      <c r="D45360" s="7">
        <v>133.44999999999999</v>
      </c>
    </row>
    <row r="45361" spans="1:5" x14ac:dyDescent="0.25">
      <c r="A45361" t="str">
        <f>HYPERLINK("https://www.773grp.com/globalSearch/R532109/page-1", "R532109")</f>
        <v>R532109</v>
      </c>
      <c r="B45361" s="3" t="str">
        <f>HYPERLINK("https://www.773grp.com/manufacturer/onsemi?pageNo=1255", "ON Semiconductor")</f>
        <v>ON Semiconductor</v>
      </c>
      <c r="C45361" s="6">
        <v>332</v>
      </c>
      <c r="D45361" s="7">
        <v>133.59</v>
      </c>
    </row>
    <row r="45362" spans="1:5" x14ac:dyDescent="0.25">
      <c r="A45362" t="str">
        <f>HYPERLINK("https://www.773grp.com/globalSearch/RC665TL-R/page-1", "RC665TL-R")</f>
        <v>RC665TL-R</v>
      </c>
      <c r="B45362" s="3" t="str">
        <f>HYPERLINK("https://www.773grp.com/manufacturer/onsemi?pageNo=1256", "ON Semiconductor")</f>
        <v>ON Semiconductor</v>
      </c>
      <c r="C45362" s="6">
        <v>179</v>
      </c>
      <c r="D45362" s="7">
        <v>134.76</v>
      </c>
    </row>
    <row r="45363" spans="1:5" x14ac:dyDescent="0.25">
      <c r="A45363" t="str">
        <f>HYPERLINK("https://www.773grp.com/globalSearch/MD8251A-BXA/page-1", "MD8251A-BXA")</f>
        <v>MD8251A-BXA</v>
      </c>
      <c r="B45363" s="3" t="str">
        <f>HYPERLINK("https://www.773grp.com/manufacturer/onsemi?pageNo=1257", "ON Semiconductor")</f>
        <v>ON Semiconductor</v>
      </c>
      <c r="C45363" s="6">
        <v>292</v>
      </c>
      <c r="D45363" s="7">
        <v>135.49</v>
      </c>
    </row>
    <row r="45364" spans="1:5" x14ac:dyDescent="0.25">
      <c r="A45364" t="str">
        <f>HYPERLINK("https://www.773grp.com/globalSearch/MD8253-BJA/page-1", "MD8253-BJA")</f>
        <v>MD8253-BJA</v>
      </c>
      <c r="B45364" s="3" t="str">
        <f>HYPERLINK("https://www.773grp.com/manufacturer/onsemi?pageNo=1258", "ON Semiconductor")</f>
        <v>ON Semiconductor</v>
      </c>
      <c r="C45364" s="6">
        <v>478</v>
      </c>
      <c r="D45364" s="7">
        <v>135.58000000000001</v>
      </c>
    </row>
    <row r="45365" spans="1:5" x14ac:dyDescent="0.25">
      <c r="A45365" t="str">
        <f>HYPERLINK("https://www.773grp.com/globalSearch/R55212S/page-1", "R55212S")</f>
        <v>R55212S</v>
      </c>
      <c r="B45365" s="3" t="str">
        <f>HYPERLINK("https://www.773grp.com/manufacturer/onsemi?pageNo=1259", "ON Semiconductor")</f>
        <v>ON Semiconductor</v>
      </c>
      <c r="C45365" s="6">
        <v>341</v>
      </c>
      <c r="D45365" s="7">
        <v>136.11000000000001</v>
      </c>
    </row>
    <row r="45366" spans="1:5" x14ac:dyDescent="0.25">
      <c r="A45366" t="str">
        <f>HYPERLINK("https://www.773grp.com/globalSearch/RC524L-R/page-1", "RC524L-R")</f>
        <v>RC524L-R</v>
      </c>
      <c r="B45366" s="3" t="str">
        <f>HYPERLINK("https://www.773grp.com/manufacturer/onsemi?pageNo=1260", "ON Semiconductor")</f>
        <v>ON Semiconductor</v>
      </c>
      <c r="C45366" s="6">
        <v>193</v>
      </c>
      <c r="D45366" s="7">
        <v>136.11000000000001</v>
      </c>
    </row>
    <row r="45367" spans="1:5" x14ac:dyDescent="0.25">
      <c r="A45367" t="str">
        <f>HYPERLINK("https://www.773grp.com/globalSearch/ML6430CH/page-1", "ML6430CH")</f>
        <v>ML6430CH</v>
      </c>
      <c r="B45367" s="3" t="str">
        <f>HYPERLINK("https://www.773grp.com/manufacturer/onsemi?pageNo=1261", "ON Semiconductor")</f>
        <v>ON Semiconductor</v>
      </c>
      <c r="C45367" s="6">
        <v>1181</v>
      </c>
      <c r="D45367" s="7">
        <v>136.11000000000001</v>
      </c>
      <c r="E45367" t="s">
        <v>23</v>
      </c>
    </row>
    <row r="45368" spans="1:5" x14ac:dyDescent="0.25">
      <c r="A45368" t="str">
        <f>HYPERLINK("https://www.773grp.com/globalSearch/ML6431CH/page-1", "ML6431CH")</f>
        <v>ML6431CH</v>
      </c>
      <c r="B45368" s="3" t="str">
        <f>HYPERLINK("https://www.773grp.com/manufacturer/onsemi?pageNo=1262", "ON Semiconductor")</f>
        <v>ON Semiconductor</v>
      </c>
      <c r="C45368" s="6">
        <v>3799</v>
      </c>
      <c r="D45368" s="7">
        <v>136.11000000000001</v>
      </c>
      <c r="E45368" t="s">
        <v>23</v>
      </c>
    </row>
    <row r="45369" spans="1:5" x14ac:dyDescent="0.25">
      <c r="A45369" t="str">
        <f>HYPERLINK("https://www.773grp.com/globalSearch/MC27256-35-BYA/page-1", "MC27256-35-BYA")</f>
        <v>MC27256-35-BYA</v>
      </c>
      <c r="B45369" s="3" t="str">
        <f>HYPERLINK("https://www.773grp.com/manufacturer/onsemi?pageNo=1263", "ON Semiconductor")</f>
        <v>ON Semiconductor</v>
      </c>
      <c r="C45369" s="6">
        <v>49</v>
      </c>
      <c r="D45369" s="7">
        <v>136.11000000000001</v>
      </c>
    </row>
    <row r="45370" spans="1:5" x14ac:dyDescent="0.25">
      <c r="A45370" t="str">
        <f>HYPERLINK("https://www.773grp.com/globalSearch/54184J-B/page-1", "54184J-B")</f>
        <v>54184J-B</v>
      </c>
      <c r="B45370" s="3" t="str">
        <f>HYPERLINK("https://www.773grp.com/manufacturer/onsemi?pageNo=1264", "ON Semiconductor")</f>
        <v>ON Semiconductor</v>
      </c>
      <c r="C45370" s="6">
        <v>280</v>
      </c>
      <c r="D45370" s="7">
        <v>138.47999999999999</v>
      </c>
    </row>
    <row r="45371" spans="1:5" x14ac:dyDescent="0.25">
      <c r="A45371" t="str">
        <f>HYPERLINK("https://www.773grp.com/globalSearch/R922101/page-1", "R922101")</f>
        <v>R922101</v>
      </c>
      <c r="B45371" s="3" t="str">
        <f>HYPERLINK("https://www.773grp.com/manufacturer/onsemi?pageNo=1265", "ON Semiconductor")</f>
        <v>ON Semiconductor</v>
      </c>
      <c r="C45371" s="6">
        <v>50</v>
      </c>
      <c r="D45371" s="7">
        <v>138.63</v>
      </c>
    </row>
    <row r="45372" spans="1:5" x14ac:dyDescent="0.25">
      <c r="A45372" t="str">
        <f>HYPERLINK("https://www.773grp.com/globalSearch/DS0026H-883/page-1", "DS0026H-883")</f>
        <v>DS0026H-883</v>
      </c>
      <c r="B45372" s="3" t="str">
        <f>HYPERLINK("https://www.773grp.com/manufacturer/onsemi?pageNo=1266", "ON Semiconductor")</f>
        <v>ON Semiconductor</v>
      </c>
      <c r="C45372" s="6">
        <v>202</v>
      </c>
      <c r="D45372" s="7">
        <v>138.63</v>
      </c>
      <c r="E45372" t="s">
        <v>34</v>
      </c>
    </row>
    <row r="45373" spans="1:5" x14ac:dyDescent="0.25">
      <c r="A45373" t="str">
        <f>HYPERLINK("https://www.773grp.com/globalSearch/MM54C221J-883/page-1", "MM54C221J-883")</f>
        <v>MM54C221J-883</v>
      </c>
      <c r="B45373" s="3" t="str">
        <f>HYPERLINK("https://www.773grp.com/manufacturer/onsemi?pageNo=1267", "ON Semiconductor")</f>
        <v>ON Semiconductor</v>
      </c>
      <c r="C45373" s="6">
        <v>441</v>
      </c>
      <c r="D45373" s="7">
        <v>138.63</v>
      </c>
      <c r="E45373" t="s">
        <v>54</v>
      </c>
    </row>
    <row r="45374" spans="1:5" x14ac:dyDescent="0.25">
      <c r="A45374" t="str">
        <f>HYPERLINK("https://www.773grp.com/globalSearch/54LS610JD-B/page-1", "54LS610JD-B")</f>
        <v>54LS610JD-B</v>
      </c>
      <c r="B45374" s="3" t="str">
        <f>HYPERLINK("https://www.773grp.com/manufacturer/onsemi?pageNo=1268", "ON Semiconductor")</f>
        <v>ON Semiconductor</v>
      </c>
      <c r="C45374" s="6">
        <v>392</v>
      </c>
      <c r="D45374" s="7">
        <v>138.63</v>
      </c>
    </row>
    <row r="45375" spans="1:5" x14ac:dyDescent="0.25">
      <c r="A45375" t="str">
        <f>HYPERLINK("https://www.773grp.com/globalSearch/55450W-C/page-1", "55450W-C")</f>
        <v>55450W-C</v>
      </c>
      <c r="B45375" s="3" t="str">
        <f>HYPERLINK("https://www.773grp.com/manufacturer/onsemi?pageNo=1269", "ON Semiconductor")</f>
        <v>ON Semiconductor</v>
      </c>
      <c r="C45375" s="6">
        <v>321</v>
      </c>
      <c r="D45375" s="7">
        <v>139.28</v>
      </c>
    </row>
    <row r="45376" spans="1:5" x14ac:dyDescent="0.25">
      <c r="A45376" t="str">
        <f>HYPERLINK("https://www.773grp.com/globalSearch/TD82510/page-1", "TD82510")</f>
        <v>TD82510</v>
      </c>
      <c r="B45376" s="3" t="str">
        <f>HYPERLINK("https://www.773grp.com/manufacturer/onsemi?pageNo=1270", "ON Semiconductor")</f>
        <v>ON Semiconductor</v>
      </c>
      <c r="C45376" s="6">
        <v>245</v>
      </c>
      <c r="D45376" s="7">
        <v>139.28</v>
      </c>
    </row>
    <row r="45377" spans="1:5" x14ac:dyDescent="0.25">
      <c r="A45377" t="str">
        <f>HYPERLINK("https://www.773grp.com/globalSearch/TD82510  UF/page-1", "TD82510  UF")</f>
        <v>TD82510  UF</v>
      </c>
      <c r="B45377" s="3" t="str">
        <f>HYPERLINK("https://www.773grp.com/manufacturer/onsemi?pageNo=1271", "ON Semiconductor")</f>
        <v>ON Semiconductor</v>
      </c>
      <c r="C45377" s="6">
        <v>1129</v>
      </c>
      <c r="D45377" s="7">
        <v>139.28</v>
      </c>
    </row>
    <row r="45378" spans="1:5" x14ac:dyDescent="0.25">
      <c r="A45378" t="str">
        <f>HYPERLINK("https://www.773grp.com/globalSearch/LM110-BGA/page-1", "LM110-BGA")</f>
        <v>LM110-BGA</v>
      </c>
      <c r="B45378" s="3" t="str">
        <f>HYPERLINK("https://www.773grp.com/manufacturer/onsemi?pageNo=1272", "ON Semiconductor")</f>
        <v>ON Semiconductor</v>
      </c>
      <c r="C45378" s="6">
        <v>389</v>
      </c>
      <c r="D45378" s="7">
        <v>140.01</v>
      </c>
    </row>
    <row r="45379" spans="1:5" x14ac:dyDescent="0.25">
      <c r="A45379" t="str">
        <f>HYPERLINK("https://www.773grp.com/globalSearch/LM710CH/page-1", "LM710CH")</f>
        <v>LM710CH</v>
      </c>
      <c r="B45379" s="3" t="str">
        <f>HYPERLINK("https://www.773grp.com/manufacturer/onsemi?pageNo=1273", "ON Semiconductor")</f>
        <v>ON Semiconductor</v>
      </c>
      <c r="C45379" s="6">
        <v>1468</v>
      </c>
      <c r="D45379" s="7">
        <v>140.55000000000001</v>
      </c>
      <c r="E45379" t="s">
        <v>9</v>
      </c>
    </row>
    <row r="45380" spans="1:5" x14ac:dyDescent="0.25">
      <c r="A45380" t="str">
        <f>HYPERLINK("https://www.773grp.com/globalSearch/96L02FM-B/page-1", "96L02FM-B")</f>
        <v>96L02FM-B</v>
      </c>
      <c r="B45380" s="3" t="str">
        <f>HYPERLINK("https://www.773grp.com/manufacturer/onsemi?pageNo=1274", "ON Semiconductor")</f>
        <v>ON Semiconductor</v>
      </c>
      <c r="C45380" s="6">
        <v>516</v>
      </c>
      <c r="D45380" s="7">
        <v>141.30000000000001</v>
      </c>
    </row>
    <row r="45381" spans="1:5" x14ac:dyDescent="0.25">
      <c r="A45381" t="str">
        <f>HYPERLINK("https://www.773grp.com/globalSearch/5041-BEA/page-1", "5041-BEA")</f>
        <v>5041-BEA</v>
      </c>
      <c r="B45381" s="3" t="str">
        <f>HYPERLINK("https://www.773grp.com/manufacturer/onsemi?pageNo=1275", "ON Semiconductor")</f>
        <v>ON Semiconductor</v>
      </c>
      <c r="C45381" s="6">
        <v>1177</v>
      </c>
      <c r="D45381" s="7">
        <v>141.66</v>
      </c>
    </row>
    <row r="45382" spans="1:5" x14ac:dyDescent="0.25">
      <c r="A45382" t="str">
        <f>HYPERLINK("https://www.773grp.com/globalSearch/5043-BEA/page-1", "5043-BEA")</f>
        <v>5043-BEA</v>
      </c>
      <c r="B45382" s="3" t="str">
        <f>HYPERLINK("https://www.773grp.com/manufacturer/onsemi?pageNo=1276", "ON Semiconductor")</f>
        <v>ON Semiconductor</v>
      </c>
      <c r="C45382" s="6">
        <v>368</v>
      </c>
      <c r="D45382" s="7">
        <v>141.66</v>
      </c>
    </row>
    <row r="45383" spans="1:5" x14ac:dyDescent="0.25">
      <c r="A45383" t="str">
        <f>HYPERLINK("https://www.773grp.com/globalSearch/54LS356J-B/page-1", "54LS356J-B")</f>
        <v>54LS356J-B</v>
      </c>
      <c r="B45383" s="3" t="str">
        <f>HYPERLINK("https://www.773grp.com/manufacturer/onsemi?pageNo=1277", "ON Semiconductor")</f>
        <v>ON Semiconductor</v>
      </c>
      <c r="C45383" s="6">
        <v>111</v>
      </c>
      <c r="D45383" s="7">
        <v>142.33000000000001</v>
      </c>
    </row>
    <row r="45384" spans="1:5" x14ac:dyDescent="0.25">
      <c r="A45384" t="str">
        <f>HYPERLINK("https://www.773grp.com/globalSearch/MC27256-25-BYA/page-1", "MC27256-25-BYA")</f>
        <v>MC27256-25-BYA</v>
      </c>
      <c r="B45384" s="3" t="str">
        <f>HYPERLINK("https://www.773grp.com/manufacturer/onsemi?pageNo=1278", "ON Semiconductor")</f>
        <v>ON Semiconductor</v>
      </c>
      <c r="C45384" s="6">
        <v>20</v>
      </c>
      <c r="D45384" s="7">
        <v>142.94</v>
      </c>
    </row>
    <row r="45385" spans="1:5" x14ac:dyDescent="0.25">
      <c r="A45385" t="str">
        <f>HYPERLINK("https://www.773grp.com/globalSearch/5413J-R/page-1", "5413J-R")</f>
        <v>5413J-R</v>
      </c>
      <c r="B45385" s="3" t="str">
        <f>HYPERLINK("https://www.773grp.com/manufacturer/onsemi?pageNo=1279", "ON Semiconductor")</f>
        <v>ON Semiconductor</v>
      </c>
      <c r="C45385" s="6">
        <v>169</v>
      </c>
      <c r="D45385" s="7">
        <v>143.11000000000001</v>
      </c>
    </row>
    <row r="45386" spans="1:5" x14ac:dyDescent="0.25">
      <c r="A45386" t="str">
        <f>HYPERLINK("https://www.773grp.com/globalSearch/4257-12JL/page-1", "4257-12JL")</f>
        <v>4257-12JL</v>
      </c>
      <c r="B45386" s="3" t="str">
        <f>HYPERLINK("https://www.773grp.com/manufacturer/onsemi?pageNo=1280", "ON Semiconductor")</f>
        <v>ON Semiconductor</v>
      </c>
      <c r="C45386" s="6">
        <v>181</v>
      </c>
      <c r="D45386" s="7">
        <v>143.54</v>
      </c>
    </row>
    <row r="45387" spans="1:5" x14ac:dyDescent="0.25">
      <c r="A45387" t="str">
        <f>HYPERLINK("https://www.773grp.com/globalSearch/2910ADM/page-1", "2910ADM")</f>
        <v>2910ADM</v>
      </c>
      <c r="B45387" s="3" t="str">
        <f>HYPERLINK("https://www.773grp.com/manufacturer/onsemi?pageNo=1281", "ON Semiconductor")</f>
        <v>ON Semiconductor</v>
      </c>
      <c r="C45387" s="6">
        <v>77</v>
      </c>
      <c r="D45387" s="7">
        <v>143.68</v>
      </c>
    </row>
    <row r="45388" spans="1:5" x14ac:dyDescent="0.25">
      <c r="A45388" t="str">
        <f>HYPERLINK("https://www.773grp.com/globalSearch/MD27C256-25-B/page-1", "MD27C256-25-B")</f>
        <v>MD27C256-25-B</v>
      </c>
      <c r="B45388" s="3" t="str">
        <f>HYPERLINK("https://www.773grp.com/manufacturer/onsemi?pageNo=1282", "ON Semiconductor")</f>
        <v>ON Semiconductor</v>
      </c>
      <c r="C45388" s="6">
        <v>395</v>
      </c>
      <c r="D45388" s="7">
        <v>143.68</v>
      </c>
      <c r="E45388" t="s">
        <v>64</v>
      </c>
    </row>
    <row r="45389" spans="1:5" x14ac:dyDescent="0.25">
      <c r="A45389" t="str">
        <f>HYPERLINK("https://www.773grp.com/globalSearch/MC54F538J-B/page-1", "MC54F538J-B")</f>
        <v>MC54F538J-B</v>
      </c>
      <c r="B45389" s="3" t="str">
        <f>HYPERLINK("https://www.773grp.com/manufacturer/onsemi?pageNo=1283", "ON Semiconductor")</f>
        <v>ON Semiconductor</v>
      </c>
      <c r="C45389" s="6">
        <v>668</v>
      </c>
      <c r="D45389" s="7">
        <v>145.46</v>
      </c>
    </row>
    <row r="45390" spans="1:5" x14ac:dyDescent="0.25">
      <c r="A45390" t="str">
        <f>HYPERLINK("https://www.773grp.com/globalSearch/DM54LS168J-B/page-1", "DM54LS168J-B")</f>
        <v>DM54LS168J-B</v>
      </c>
      <c r="B45390" s="3" t="str">
        <f>HYPERLINK("https://www.773grp.com/manufacturer/onsemi?pageNo=1284", "ON Semiconductor")</f>
        <v>ON Semiconductor</v>
      </c>
      <c r="C45390" s="6">
        <v>189</v>
      </c>
      <c r="D45390" s="7">
        <v>145.81</v>
      </c>
    </row>
    <row r="45391" spans="1:5" x14ac:dyDescent="0.25">
      <c r="A45391" t="str">
        <f>HYPERLINK("https://www.773grp.com/globalSearch/UA741MJ-B/page-1", "UA741MJ-B")</f>
        <v>UA741MJ-B</v>
      </c>
      <c r="B45391" s="3" t="str">
        <f>HYPERLINK("https://www.773grp.com/manufacturer/onsemi?pageNo=1285", "ON Semiconductor")</f>
        <v>ON Semiconductor</v>
      </c>
      <c r="C45391" s="6">
        <v>1940</v>
      </c>
      <c r="D45391" s="7">
        <v>145.81</v>
      </c>
    </row>
    <row r="45392" spans="1:5" x14ac:dyDescent="0.25">
      <c r="A45392" t="str">
        <f>HYPERLINK("https://www.773grp.com/globalSearch/29825ADM-B/page-1", "29825ADM-B")</f>
        <v>29825ADM-B</v>
      </c>
      <c r="B45392" s="3" t="str">
        <f>HYPERLINK("https://www.773grp.com/manufacturer/onsemi?pageNo=1286", "ON Semiconductor")</f>
        <v>ON Semiconductor</v>
      </c>
      <c r="C45392" s="6">
        <v>2289</v>
      </c>
      <c r="D45392" s="7">
        <v>145.94</v>
      </c>
    </row>
    <row r="45393" spans="1:4" x14ac:dyDescent="0.25">
      <c r="A45393" t="str">
        <f>HYPERLINK("https://www.773grp.com/globalSearch/54L164DM-B/page-1", "54L164DM-B")</f>
        <v>54L164DM-B</v>
      </c>
      <c r="B45393" s="3" t="str">
        <f>HYPERLINK("https://www.773grp.com/manufacturer/onsemi?pageNo=1287", "ON Semiconductor")</f>
        <v>ON Semiconductor</v>
      </c>
      <c r="C45393" s="6">
        <v>555</v>
      </c>
      <c r="D45393" s="7">
        <v>146.19</v>
      </c>
    </row>
    <row r="45394" spans="1:4" x14ac:dyDescent="0.25">
      <c r="A45394" t="str">
        <f>HYPERLINK("https://www.773grp.com/globalSearch/54L51FM-B/page-1", "54L51FM-B")</f>
        <v>54L51FM-B</v>
      </c>
      <c r="B45394" s="3" t="str">
        <f>HYPERLINK("https://www.773grp.com/manufacturer/onsemi?pageNo=1288", "ON Semiconductor")</f>
        <v>ON Semiconductor</v>
      </c>
      <c r="C45394" s="6">
        <v>90</v>
      </c>
      <c r="D45394" s="7">
        <v>146.19</v>
      </c>
    </row>
    <row r="45395" spans="1:4" x14ac:dyDescent="0.25">
      <c r="A45395" t="str">
        <f>HYPERLINK("https://www.773grp.com/globalSearch/9319DM-B/page-1", "9319DM-B")</f>
        <v>9319DM-B</v>
      </c>
      <c r="B45395" s="3" t="str">
        <f>HYPERLINK("https://www.773grp.com/manufacturer/onsemi?pageNo=1289", "ON Semiconductor")</f>
        <v>ON Semiconductor</v>
      </c>
      <c r="C45395" s="6">
        <v>235</v>
      </c>
      <c r="D45395" s="7">
        <v>146.19</v>
      </c>
    </row>
    <row r="45396" spans="1:4" x14ac:dyDescent="0.25">
      <c r="A45396" t="str">
        <f>HYPERLINK("https://www.773grp.com/globalSearch/9S41DM-B/page-1", "9S41DM-B")</f>
        <v>9S41DM-B</v>
      </c>
      <c r="B45396" s="3" t="str">
        <f>HYPERLINK("https://www.773grp.com/manufacturer/onsemi?pageNo=1290", "ON Semiconductor")</f>
        <v>ON Semiconductor</v>
      </c>
      <c r="C45396" s="6">
        <v>154</v>
      </c>
      <c r="D45396" s="7">
        <v>146.19</v>
      </c>
    </row>
    <row r="45397" spans="1:4" x14ac:dyDescent="0.25">
      <c r="A45397" t="str">
        <f>HYPERLINK("https://www.773grp.com/globalSearch/9S42DM/page-1", "9S42DM")</f>
        <v>9S42DM</v>
      </c>
      <c r="B45397" s="3" t="str">
        <f>HYPERLINK("https://www.773grp.com/manufacturer/onsemi?pageNo=1291", "ON Semiconductor")</f>
        <v>ON Semiconductor</v>
      </c>
      <c r="C45397" s="6">
        <v>1115</v>
      </c>
      <c r="D45397" s="7">
        <v>146.19</v>
      </c>
    </row>
    <row r="45398" spans="1:4" x14ac:dyDescent="0.25">
      <c r="A45398" t="str">
        <f>HYPERLINK("https://www.773grp.com/globalSearch/R255106/page-1", "R255106")</f>
        <v>R255106</v>
      </c>
      <c r="B45398" s="3" t="str">
        <f>HYPERLINK("https://www.773grp.com/manufacturer/onsemi?pageNo=1292", "ON Semiconductor")</f>
        <v>ON Semiconductor</v>
      </c>
      <c r="C45398" s="6">
        <v>66</v>
      </c>
      <c r="D45398" s="7">
        <v>146.19</v>
      </c>
    </row>
    <row r="45399" spans="1:4" x14ac:dyDescent="0.25">
      <c r="A45399" t="str">
        <f>HYPERLINK("https://www.773grp.com/globalSearch/RC1904F/page-1", "RC1904F")</f>
        <v>RC1904F</v>
      </c>
      <c r="B45399" s="3" t="str">
        <f>HYPERLINK("https://www.773grp.com/manufacturer/onsemi?pageNo=1293", "ON Semiconductor")</f>
        <v>ON Semiconductor</v>
      </c>
      <c r="C45399" s="6">
        <v>238</v>
      </c>
      <c r="D45399" s="7">
        <v>146.19</v>
      </c>
    </row>
    <row r="45400" spans="1:4" x14ac:dyDescent="0.25">
      <c r="A45400" t="str">
        <f>HYPERLINK("https://www.773grp.com/globalSearch/RC1907F/page-1", "RC1907F")</f>
        <v>RC1907F</v>
      </c>
      <c r="B45400" s="3" t="str">
        <f>HYPERLINK("https://www.773grp.com/manufacturer/onsemi?pageNo=1294", "ON Semiconductor")</f>
        <v>ON Semiconductor</v>
      </c>
      <c r="C45400" s="6">
        <v>621</v>
      </c>
      <c r="D45400" s="7">
        <v>146.19</v>
      </c>
    </row>
    <row r="45401" spans="1:4" x14ac:dyDescent="0.25">
      <c r="A45401" t="str">
        <f>HYPERLINK("https://www.773grp.com/globalSearch/26LS33LM-B/page-1", "26LS33LM-B")</f>
        <v>26LS33LM-B</v>
      </c>
      <c r="B45401" s="3" t="str">
        <f>HYPERLINK("https://www.773grp.com/manufacturer/onsemi?pageNo=1295", "ON Semiconductor")</f>
        <v>ON Semiconductor</v>
      </c>
      <c r="C45401" s="6">
        <v>187</v>
      </c>
      <c r="D45401" s="7">
        <v>146.19</v>
      </c>
    </row>
    <row r="45402" spans="1:4" x14ac:dyDescent="0.25">
      <c r="A45402" t="str">
        <f>HYPERLINK("https://www.773grp.com/globalSearch/26S02-BFA/page-1", "26S02-BFA")</f>
        <v>26S02-BFA</v>
      </c>
      <c r="B45402" s="3" t="str">
        <f>HYPERLINK("https://www.773grp.com/manufacturer/onsemi?pageNo=1296", "ON Semiconductor")</f>
        <v>ON Semiconductor</v>
      </c>
      <c r="C45402" s="6">
        <v>914</v>
      </c>
      <c r="D45402" s="7">
        <v>146.19</v>
      </c>
    </row>
    <row r="45403" spans="1:4" x14ac:dyDescent="0.25">
      <c r="A45403" t="str">
        <f>HYPERLINK("https://www.773grp.com/globalSearch/26S02FM-B/page-1", "26S02FM-B")</f>
        <v>26S02FM-B</v>
      </c>
      <c r="B45403" s="3" t="str">
        <f>HYPERLINK("https://www.773grp.com/manufacturer/onsemi?pageNo=1297", "ON Semiconductor")</f>
        <v>ON Semiconductor</v>
      </c>
      <c r="C45403" s="6">
        <v>48</v>
      </c>
      <c r="D45403" s="7">
        <v>146.19</v>
      </c>
    </row>
    <row r="45404" spans="1:4" x14ac:dyDescent="0.25">
      <c r="A45404" t="str">
        <f>HYPERLINK("https://www.773grp.com/globalSearch/29C841DM-B/page-1", "29C841DM-B")</f>
        <v>29C841DM-B</v>
      </c>
      <c r="B45404" s="3" t="str">
        <f>HYPERLINK("https://www.773grp.com/manufacturer/onsemi?pageNo=1298", "ON Semiconductor")</f>
        <v>ON Semiconductor</v>
      </c>
      <c r="C45404" s="6">
        <v>705</v>
      </c>
      <c r="D45404" s="7">
        <v>146.19</v>
      </c>
    </row>
    <row r="45405" spans="1:4" x14ac:dyDescent="0.25">
      <c r="A45405" t="str">
        <f>HYPERLINK("https://www.773grp.com/globalSearch/MD8254-B UT/page-1", "MD8254-B UT")</f>
        <v>MD8254-B UT</v>
      </c>
      <c r="B45405" s="3" t="str">
        <f>HYPERLINK("https://www.773grp.com/manufacturer/onsemi?pageNo=1299", "ON Semiconductor")</f>
        <v>ON Semiconductor</v>
      </c>
      <c r="C45405" s="6">
        <v>48</v>
      </c>
      <c r="D45405" s="7">
        <v>146.19</v>
      </c>
    </row>
    <row r="45406" spans="1:4" x14ac:dyDescent="0.25">
      <c r="A45406" t="str">
        <f>HYPERLINK("https://www.773grp.com/globalSearch/MD8255A-BQA/page-1", "MD8255A-BQA")</f>
        <v>MD8255A-BQA</v>
      </c>
      <c r="B45406" s="3" t="str">
        <f>HYPERLINK("https://www.773grp.com/manufacturer/onsemi?pageNo=1300", "ON Semiconductor")</f>
        <v>ON Semiconductor</v>
      </c>
      <c r="C45406" s="6">
        <v>120</v>
      </c>
      <c r="D45406" s="7">
        <v>146.19</v>
      </c>
    </row>
    <row r="45407" spans="1:4" x14ac:dyDescent="0.25">
      <c r="A45407" t="str">
        <f>HYPERLINK("https://www.773grp.com/globalSearch/MR8255A-R/page-1", "MR8255A-R")</f>
        <v>MR8255A-R</v>
      </c>
      <c r="B45407" s="3" t="str">
        <f>HYPERLINK("https://www.773grp.com/manufacturer/onsemi?pageNo=1301", "ON Semiconductor")</f>
        <v>ON Semiconductor</v>
      </c>
      <c r="C45407" s="6">
        <v>520</v>
      </c>
      <c r="D45407" s="7">
        <v>146.19</v>
      </c>
    </row>
    <row r="45408" spans="1:4" x14ac:dyDescent="0.25">
      <c r="A45408" t="str">
        <f>HYPERLINK("https://www.773grp.com/globalSearch/93L422ADM-B/page-1", "93L422ADM-B")</f>
        <v>93L422ADM-B</v>
      </c>
      <c r="B45408" s="3" t="str">
        <f>HYPERLINK("https://www.773grp.com/manufacturer/onsemi?pageNo=1302", "ON Semiconductor")</f>
        <v>ON Semiconductor</v>
      </c>
      <c r="C45408" s="6">
        <v>50</v>
      </c>
      <c r="D45408" s="7">
        <v>146.19</v>
      </c>
    </row>
    <row r="45409" spans="1:5" x14ac:dyDescent="0.25">
      <c r="A45409" t="str">
        <f>HYPERLINK("https://www.773grp.com/globalSearch/54ALS162BJ-B/page-1", "54ALS162BJ-B")</f>
        <v>54ALS162BJ-B</v>
      </c>
      <c r="B45409" s="3" t="str">
        <f>HYPERLINK("https://www.773grp.com/manufacturer/onsemi?pageNo=1303", "ON Semiconductor")</f>
        <v>ON Semiconductor</v>
      </c>
      <c r="C45409" s="6">
        <v>93</v>
      </c>
      <c r="D45409" s="7">
        <v>146.19</v>
      </c>
    </row>
    <row r="45410" spans="1:5" x14ac:dyDescent="0.25">
      <c r="A45410" t="str">
        <f>HYPERLINK("https://www.773grp.com/globalSearch/54L164DM-B/page-1", "54L164DM-B")</f>
        <v>54L164DM-B</v>
      </c>
      <c r="B45410" s="3" t="str">
        <f>HYPERLINK("https://www.773grp.com/manufacturer/onsemi?pageNo=1304", "ON Semiconductor")</f>
        <v>ON Semiconductor</v>
      </c>
      <c r="C45410" s="6">
        <v>63</v>
      </c>
      <c r="D45410" s="7">
        <v>146.19</v>
      </c>
    </row>
    <row r="45411" spans="1:5" x14ac:dyDescent="0.25">
      <c r="A45411" t="str">
        <f>HYPERLINK("https://www.773grp.com/globalSearch/R754102/page-1", "R754102")</f>
        <v>R754102</v>
      </c>
      <c r="B45411" s="3" t="str">
        <f>HYPERLINK("https://www.773grp.com/manufacturer/onsemi?pageNo=1305", "ON Semiconductor")</f>
        <v>ON Semiconductor</v>
      </c>
      <c r="C45411" s="6">
        <v>5</v>
      </c>
      <c r="D45411" s="7">
        <v>146.19</v>
      </c>
    </row>
    <row r="45412" spans="1:5" x14ac:dyDescent="0.25">
      <c r="A45412" t="str">
        <f>HYPERLINK("https://www.773grp.com/globalSearch/EP910LC-40-G/page-1", "EP910LC-40-G")</f>
        <v>EP910LC-40-G</v>
      </c>
      <c r="B45412" s="3" t="str">
        <f>HYPERLINK("https://www.773grp.com/manufacturer/onsemi?pageNo=1306", "ON Semiconductor")</f>
        <v>ON Semiconductor</v>
      </c>
      <c r="C45412" s="6">
        <v>98</v>
      </c>
      <c r="D45412" s="7">
        <v>146.33000000000001</v>
      </c>
    </row>
    <row r="45413" spans="1:5" x14ac:dyDescent="0.25">
      <c r="A45413" t="str">
        <f>HYPERLINK("https://www.773grp.com/globalSearch/DS1631J-8-883/page-1", "DS1631J-8-883")</f>
        <v>DS1631J-8-883</v>
      </c>
      <c r="B45413" s="3" t="str">
        <f>HYPERLINK("https://www.773grp.com/manufacturer/onsemi?pageNo=1307", "ON Semiconductor")</f>
        <v>ON Semiconductor</v>
      </c>
      <c r="C45413" s="6">
        <v>1009</v>
      </c>
      <c r="D45413" s="7">
        <v>146.76</v>
      </c>
      <c r="E45413" t="s">
        <v>11</v>
      </c>
    </row>
    <row r="45414" spans="1:5" x14ac:dyDescent="0.25">
      <c r="A45414" t="str">
        <f>HYPERLINK("https://www.773grp.com/globalSearch/54HC4060E/page-1", "54HC4060E")</f>
        <v>54HC4060E</v>
      </c>
      <c r="B45414" s="3" t="str">
        <f>HYPERLINK("https://www.773grp.com/manufacturer/onsemi?pageNo=1308", "ON Semiconductor")</f>
        <v>ON Semiconductor</v>
      </c>
      <c r="C45414" s="6">
        <v>29</v>
      </c>
      <c r="D45414" s="7">
        <v>147.33000000000001</v>
      </c>
    </row>
    <row r="45415" spans="1:5" x14ac:dyDescent="0.25">
      <c r="A45415" t="str">
        <f>HYPERLINK("https://www.773grp.com/globalSearch/5414-BCA/page-1", "5414-BCA")</f>
        <v>5414-BCA</v>
      </c>
      <c r="B45415" s="3" t="str">
        <f>HYPERLINK("https://www.773grp.com/manufacturer/onsemi?pageNo=1309", "ON Semiconductor")</f>
        <v>ON Semiconductor</v>
      </c>
      <c r="C45415" s="6">
        <v>815</v>
      </c>
      <c r="D45415" s="7">
        <v>148.34</v>
      </c>
    </row>
    <row r="45416" spans="1:5" x14ac:dyDescent="0.25">
      <c r="A45416" t="str">
        <f>HYPERLINK("https://www.773grp.com/globalSearch/54L74-BCA/page-1", "54L74-BCA")</f>
        <v>54L74-BCA</v>
      </c>
      <c r="B45416" s="3" t="str">
        <f>HYPERLINK("https://www.773grp.com/manufacturer/onsemi?pageNo=1310", "ON Semiconductor")</f>
        <v>ON Semiconductor</v>
      </c>
      <c r="C45416" s="6">
        <v>488</v>
      </c>
      <c r="D45416" s="7">
        <v>148.34</v>
      </c>
    </row>
    <row r="45417" spans="1:5" x14ac:dyDescent="0.25">
      <c r="A45417" t="str">
        <f>HYPERLINK("https://www.773grp.com/globalSearch/MD2716-45-B/page-1", "MD2716-45-B")</f>
        <v>MD2716-45-B</v>
      </c>
      <c r="B45417" s="3" t="str">
        <f>HYPERLINK("https://www.773grp.com/manufacturer/onsemi?pageNo=1311", "ON Semiconductor")</f>
        <v>ON Semiconductor</v>
      </c>
      <c r="C45417" s="6">
        <v>1371</v>
      </c>
      <c r="D45417" s="7">
        <v>149.09</v>
      </c>
    </row>
    <row r="45418" spans="1:5" x14ac:dyDescent="0.25">
      <c r="A45418" t="str">
        <f>HYPERLINK("https://www.773grp.com/globalSearch/27LS07DM-B/page-1", "27LS07DM-B")</f>
        <v>27LS07DM-B</v>
      </c>
      <c r="B45418" s="3" t="str">
        <f>HYPERLINK("https://www.773grp.com/manufacturer/onsemi?pageNo=1312", "ON Semiconductor")</f>
        <v>ON Semiconductor</v>
      </c>
      <c r="C45418" s="6">
        <v>780</v>
      </c>
      <c r="D45418" s="7">
        <v>150.53</v>
      </c>
    </row>
    <row r="45419" spans="1:5" x14ac:dyDescent="0.25">
      <c r="A45419" t="str">
        <f>HYPERLINK("https://www.773grp.com/globalSearch/LM143H-883/page-1", "LM143H-883")</f>
        <v>LM143H-883</v>
      </c>
      <c r="B45419" s="3" t="str">
        <f>HYPERLINK("https://www.773grp.com/manufacturer/onsemi?pageNo=1313", "ON Semiconductor")</f>
        <v>ON Semiconductor</v>
      </c>
      <c r="C45419" s="6">
        <v>507</v>
      </c>
      <c r="D45419" s="7">
        <v>150.66</v>
      </c>
      <c r="E45419" t="s">
        <v>13</v>
      </c>
    </row>
    <row r="45420" spans="1:5" x14ac:dyDescent="0.25">
      <c r="A45420" t="str">
        <f>HYPERLINK("https://www.773grp.com/globalSearch/54C93DM-B/page-1", "54C93DM-B")</f>
        <v>54C93DM-B</v>
      </c>
      <c r="B45420" s="3" t="str">
        <f>HYPERLINK("https://www.773grp.com/manufacturer/onsemi?pageNo=1314", "ON Semiconductor")</f>
        <v>ON Semiconductor</v>
      </c>
      <c r="C45420" s="6">
        <v>305</v>
      </c>
      <c r="D45420" s="7">
        <v>151.24</v>
      </c>
    </row>
    <row r="45421" spans="1:5" x14ac:dyDescent="0.25">
      <c r="A45421" t="str">
        <f>HYPERLINK("https://www.773grp.com/globalSearch/RC14531BF-B/page-1", "RC14531BF-B")</f>
        <v>RC14531BF-B</v>
      </c>
      <c r="B45421" s="3" t="str">
        <f>HYPERLINK("https://www.773grp.com/manufacturer/onsemi?pageNo=1315", "ON Semiconductor")</f>
        <v>ON Semiconductor</v>
      </c>
      <c r="C45421" s="6">
        <v>2</v>
      </c>
      <c r="D45421" s="7">
        <v>151.24</v>
      </c>
    </row>
    <row r="45422" spans="1:5" x14ac:dyDescent="0.25">
      <c r="A45422" t="str">
        <f>HYPERLINK("https://www.773grp.com/globalSearch/RG240CK3RAY/page-1", "RG240CK3RAY")</f>
        <v>RG240CK3RAY</v>
      </c>
      <c r="B45422" s="3" t="str">
        <f>HYPERLINK("https://www.773grp.com/manufacturer/onsemi?pageNo=1316", "ON Semiconductor")</f>
        <v>ON Semiconductor</v>
      </c>
      <c r="C45422" s="6">
        <v>2</v>
      </c>
      <c r="D45422" s="7">
        <v>151.24</v>
      </c>
    </row>
    <row r="45423" spans="1:5" x14ac:dyDescent="0.25">
      <c r="A45423" t="str">
        <f>HYPERLINK("https://www.773grp.com/globalSearch/27C512-55DM-B/page-1", "27C512-55DM-B")</f>
        <v>27C512-55DM-B</v>
      </c>
      <c r="B45423" s="3" t="str">
        <f>HYPERLINK("https://www.773grp.com/manufacturer/onsemi?pageNo=1317", "ON Semiconductor")</f>
        <v>ON Semiconductor</v>
      </c>
      <c r="C45423" s="6">
        <v>2865</v>
      </c>
      <c r="D45423" s="7">
        <v>151.24</v>
      </c>
    </row>
    <row r="45424" spans="1:5" x14ac:dyDescent="0.25">
      <c r="A45424" t="str">
        <f>HYPERLINK("https://www.773grp.com/globalSearch/LM110J-8-883/page-1", "LM110J-8-883")</f>
        <v>LM110J-8-883</v>
      </c>
      <c r="B45424" s="3" t="str">
        <f>HYPERLINK("https://www.773grp.com/manufacturer/onsemi?pageNo=1318", "ON Semiconductor")</f>
        <v>ON Semiconductor</v>
      </c>
      <c r="C45424" s="6">
        <v>1075</v>
      </c>
      <c r="D45424" s="7">
        <v>151.24</v>
      </c>
      <c r="E45424" t="s">
        <v>48</v>
      </c>
    </row>
    <row r="45425" spans="1:5" x14ac:dyDescent="0.25">
      <c r="A45425" t="str">
        <f>HYPERLINK("https://www.773grp.com/globalSearch/TN87C51FA/page-1", "TN87C51FA")</f>
        <v>TN87C51FA</v>
      </c>
      <c r="B45425" s="3" t="str">
        <f>HYPERLINK("https://www.773grp.com/manufacturer/onsemi?pageNo=1319", "ON Semiconductor")</f>
        <v>ON Semiconductor</v>
      </c>
      <c r="C45425" s="6">
        <v>1965</v>
      </c>
      <c r="D45425" s="7">
        <v>151.38</v>
      </c>
      <c r="E45425" t="s">
        <v>52</v>
      </c>
    </row>
    <row r="45426" spans="1:5" x14ac:dyDescent="0.25">
      <c r="A45426" t="str">
        <f>HYPERLINK("https://www.773grp.com/globalSearch/R552117/page-1", "R552117")</f>
        <v>R552117</v>
      </c>
      <c r="B45426" s="3" t="str">
        <f>HYPERLINK("https://www.773grp.com/manufacturer/onsemi?pageNo=1320", "ON Semiconductor")</f>
        <v>ON Semiconductor</v>
      </c>
      <c r="C45426" s="6">
        <v>147</v>
      </c>
      <c r="D45426" s="7">
        <v>152.19999999999999</v>
      </c>
    </row>
    <row r="45427" spans="1:5" x14ac:dyDescent="0.25">
      <c r="A45427" t="str">
        <f>HYPERLINK("https://www.773grp.com/globalSearch/R552117  LT/page-1", "R552117  LT")</f>
        <v>R552117  LT</v>
      </c>
      <c r="B45427" s="3" t="str">
        <f>HYPERLINK("https://www.773grp.com/manufacturer/onsemi?pageNo=1321", "ON Semiconductor")</f>
        <v>ON Semiconductor</v>
      </c>
      <c r="C45427" s="6">
        <v>45</v>
      </c>
      <c r="D45427" s="7">
        <v>152.19999999999999</v>
      </c>
    </row>
    <row r="45428" spans="1:5" x14ac:dyDescent="0.25">
      <c r="A45428" t="str">
        <f>HYPERLINK("https://www.773grp.com/globalSearch/R552117/page-1", "R552117")</f>
        <v>R552117</v>
      </c>
      <c r="B45428" s="3" t="str">
        <f>HYPERLINK("https://www.773grp.com/manufacturer/onsemi?pageNo=1322", "ON Semiconductor")</f>
        <v>ON Semiconductor</v>
      </c>
      <c r="C45428" s="6">
        <v>18</v>
      </c>
      <c r="D45428" s="7">
        <v>152.19999999999999</v>
      </c>
    </row>
    <row r="45429" spans="1:5" x14ac:dyDescent="0.25">
      <c r="A45429" t="str">
        <f>HYPERLINK("https://www.773grp.com/globalSearch/MD8080A-C/page-1", "MD8080A-C")</f>
        <v>MD8080A-C</v>
      </c>
      <c r="B45429" s="3" t="str">
        <f>HYPERLINK("https://www.773grp.com/manufacturer/onsemi?pageNo=1323", "ON Semiconductor")</f>
        <v>ON Semiconductor</v>
      </c>
      <c r="C45429" s="6">
        <v>1129</v>
      </c>
      <c r="D45429" s="7">
        <v>154.28</v>
      </c>
    </row>
    <row r="45430" spans="1:5" x14ac:dyDescent="0.25">
      <c r="A45430" t="str">
        <f>HYPERLINK("https://www.773grp.com/globalSearch/LM7709AJ-883/page-1", "LM7709AJ-883")</f>
        <v>LM7709AJ-883</v>
      </c>
      <c r="B45430" s="3" t="str">
        <f>HYPERLINK("https://www.773grp.com/manufacturer/onsemi?pageNo=1324", "ON Semiconductor")</f>
        <v>ON Semiconductor</v>
      </c>
      <c r="C45430" s="6">
        <v>1205</v>
      </c>
      <c r="D45430" s="7">
        <v>155.49</v>
      </c>
    </row>
    <row r="45431" spans="1:5" x14ac:dyDescent="0.25">
      <c r="A45431" t="str">
        <f>HYPERLINK("https://www.773grp.com/globalSearch/MC2764A-35-B UF/page-1", "MC2764A-35-B UF")</f>
        <v>MC2764A-35-B UF</v>
      </c>
      <c r="B45431" s="3" t="str">
        <f>HYPERLINK("https://www.773grp.com/manufacturer/onsemi?pageNo=1325", "ON Semiconductor")</f>
        <v>ON Semiconductor</v>
      </c>
      <c r="C45431" s="6">
        <v>37</v>
      </c>
      <c r="D45431" s="7">
        <v>156.08000000000001</v>
      </c>
    </row>
    <row r="45432" spans="1:5" x14ac:dyDescent="0.25">
      <c r="A45432" t="str">
        <f>HYPERLINK("https://www.773grp.com/globalSearch/5482J/page-1", "5482J")</f>
        <v>5482J</v>
      </c>
      <c r="B45432" s="3" t="str">
        <f>HYPERLINK("https://www.773grp.com/manufacturer/onsemi?pageNo=1326", "ON Semiconductor")</f>
        <v>ON Semiconductor</v>
      </c>
      <c r="C45432" s="6">
        <v>272</v>
      </c>
      <c r="D45432" s="7">
        <v>156.28</v>
      </c>
    </row>
    <row r="45433" spans="1:5" x14ac:dyDescent="0.25">
      <c r="A45433" t="str">
        <f>HYPERLINK("https://www.773grp.com/globalSearch/MD27C256-17-B/page-1", "MD27C256-17-B")</f>
        <v>MD27C256-17-B</v>
      </c>
      <c r="B45433" s="3" t="str">
        <f>HYPERLINK("https://www.773grp.com/manufacturer/onsemi?pageNo=1327", "ON Semiconductor")</f>
        <v>ON Semiconductor</v>
      </c>
      <c r="C45433" s="6">
        <v>171</v>
      </c>
      <c r="D45433" s="7">
        <v>156.28</v>
      </c>
    </row>
    <row r="45434" spans="1:5" x14ac:dyDescent="0.25">
      <c r="A45434" t="str">
        <f>HYPERLINK("https://www.773grp.com/globalSearch/93422AFM-B/page-1", "93422AFM-B")</f>
        <v>93422AFM-B</v>
      </c>
      <c r="B45434" s="3" t="str">
        <f>HYPERLINK("https://www.773grp.com/manufacturer/onsemi?pageNo=1328", "ON Semiconductor")</f>
        <v>ON Semiconductor</v>
      </c>
      <c r="C45434" s="6">
        <v>102</v>
      </c>
      <c r="D45434" s="7">
        <v>156.28</v>
      </c>
    </row>
    <row r="45435" spans="1:5" x14ac:dyDescent="0.25">
      <c r="A45435" t="str">
        <f>HYPERLINK("https://www.773grp.com/globalSearch/54182J-B/page-1", "54182J-B")</f>
        <v>54182J-B</v>
      </c>
      <c r="B45435" s="3" t="str">
        <f>HYPERLINK("https://www.773grp.com/manufacturer/onsemi?pageNo=1329", "ON Semiconductor")</f>
        <v>ON Semiconductor</v>
      </c>
      <c r="C45435" s="6">
        <v>490</v>
      </c>
      <c r="D45435" s="7">
        <v>156.28</v>
      </c>
    </row>
    <row r="45436" spans="1:5" x14ac:dyDescent="0.25">
      <c r="A45436" t="str">
        <f>HYPERLINK("https://www.773grp.com/globalSearch/2925DM-B/page-1", "2925DM-B")</f>
        <v>2925DM-B</v>
      </c>
      <c r="B45436" s="3" t="str">
        <f>HYPERLINK("https://www.773grp.com/manufacturer/onsemi?pageNo=1330", "ON Semiconductor")</f>
        <v>ON Semiconductor</v>
      </c>
      <c r="C45436" s="6">
        <v>1171</v>
      </c>
      <c r="D45436" s="7">
        <v>157.11000000000001</v>
      </c>
    </row>
    <row r="45437" spans="1:5" x14ac:dyDescent="0.25">
      <c r="A45437" t="str">
        <f>HYPERLINK("https://www.773grp.com/globalSearch/55365J/page-1", "55365J")</f>
        <v>55365J</v>
      </c>
      <c r="B45437" s="3" t="str">
        <f>HYPERLINK("https://www.773grp.com/manufacturer/onsemi?pageNo=1331", "ON Semiconductor")</f>
        <v>ON Semiconductor</v>
      </c>
      <c r="C45437" s="6">
        <v>131</v>
      </c>
      <c r="D45437" s="7">
        <v>158.19999999999999</v>
      </c>
    </row>
    <row r="45438" spans="1:5" x14ac:dyDescent="0.25">
      <c r="A45438" t="str">
        <f>HYPERLINK("https://www.773grp.com/globalSearch/MD27C256-15-B/page-1", "MD27C256-15-B")</f>
        <v>MD27C256-15-B</v>
      </c>
      <c r="B45438" s="3" t="str">
        <f>HYPERLINK("https://www.773grp.com/manufacturer/onsemi?pageNo=1332", "ON Semiconductor")</f>
        <v>ON Semiconductor</v>
      </c>
      <c r="C45438" s="6">
        <v>163</v>
      </c>
      <c r="D45438" s="7">
        <v>158.80000000000001</v>
      </c>
    </row>
    <row r="45439" spans="1:5" x14ac:dyDescent="0.25">
      <c r="A45439" t="str">
        <f>HYPERLINK("https://www.773grp.com/globalSearch/NG82370-16/page-1", "NG82370-16")</f>
        <v>NG82370-16</v>
      </c>
      <c r="B45439" s="3" t="str">
        <f>HYPERLINK("https://www.773grp.com/manufacturer/onsemi?pageNo=1333", "ON Semiconductor")</f>
        <v>ON Semiconductor</v>
      </c>
      <c r="C45439" s="6">
        <v>2956</v>
      </c>
      <c r="D45439" s="7">
        <v>158.80000000000001</v>
      </c>
      <c r="E45439" t="s">
        <v>72</v>
      </c>
    </row>
    <row r="45440" spans="1:5" x14ac:dyDescent="0.25">
      <c r="A45440" t="str">
        <f>HYPERLINK("https://www.773grp.com/globalSearch/LM106H/page-1", "LM106H")</f>
        <v>LM106H</v>
      </c>
      <c r="B45440" s="3" t="str">
        <f>HYPERLINK("https://www.773grp.com/manufacturer/onsemi?pageNo=1334", "ON Semiconductor")</f>
        <v>ON Semiconductor</v>
      </c>
      <c r="C45440" s="6">
        <v>153</v>
      </c>
      <c r="D45440" s="7">
        <v>158.80000000000001</v>
      </c>
      <c r="E45440" t="s">
        <v>9</v>
      </c>
    </row>
    <row r="45441" spans="1:5" x14ac:dyDescent="0.25">
      <c r="A45441" t="str">
        <f>HYPERLINK("https://www.773grp.com/globalSearch/LM7709AH-B/page-1", "LM7709AH-B")</f>
        <v>LM7709AH-B</v>
      </c>
      <c r="B45441" s="3" t="str">
        <f>HYPERLINK("https://www.773grp.com/manufacturer/onsemi?pageNo=1335", "ON Semiconductor")</f>
        <v>ON Semiconductor</v>
      </c>
      <c r="C45441" s="6">
        <v>139</v>
      </c>
      <c r="D45441" s="7">
        <v>158.80000000000001</v>
      </c>
    </row>
    <row r="45442" spans="1:5" x14ac:dyDescent="0.25">
      <c r="A45442" t="str">
        <f>HYPERLINK("https://www.773grp.com/globalSearch/D8274/page-1", "D8274")</f>
        <v>D8274</v>
      </c>
      <c r="B45442" s="3" t="str">
        <f>HYPERLINK("https://www.773grp.com/manufacturer/onsemi?pageNo=1336", "ON Semiconductor")</f>
        <v>ON Semiconductor</v>
      </c>
      <c r="C45442" s="6">
        <v>1</v>
      </c>
      <c r="D45442" s="7">
        <v>160.94</v>
      </c>
      <c r="E45442" t="s">
        <v>71</v>
      </c>
    </row>
    <row r="45443" spans="1:5" x14ac:dyDescent="0.25">
      <c r="A45443" t="str">
        <f>HYPERLINK("https://www.773grp.com/globalSearch/54L75J-C/page-1", "54L75J-C")</f>
        <v>54L75J-C</v>
      </c>
      <c r="B45443" s="3" t="str">
        <f>HYPERLINK("https://www.773grp.com/manufacturer/onsemi?pageNo=1337", "ON Semiconductor")</f>
        <v>ON Semiconductor</v>
      </c>
      <c r="C45443" s="6">
        <v>130</v>
      </c>
      <c r="D45443" s="7">
        <v>161.31</v>
      </c>
    </row>
    <row r="45444" spans="1:5" x14ac:dyDescent="0.25">
      <c r="A45444" t="str">
        <f>HYPERLINK("https://www.773grp.com/globalSearch/950HM/page-1", "950HM")</f>
        <v>950HM</v>
      </c>
      <c r="B45444" s="3" t="str">
        <f>HYPERLINK("https://www.773grp.com/manufacturer/onsemi?pageNo=1338", "ON Semiconductor")</f>
        <v>ON Semiconductor</v>
      </c>
      <c r="C45444" s="6">
        <v>357</v>
      </c>
      <c r="D45444" s="7">
        <v>161.31</v>
      </c>
    </row>
    <row r="45445" spans="1:5" x14ac:dyDescent="0.25">
      <c r="A45445" t="str">
        <f>HYPERLINK("https://www.773grp.com/globalSearch/MC27256-17-BYA/page-1", "MC27256-17-BYA")</f>
        <v>MC27256-17-BYA</v>
      </c>
      <c r="B45445" s="3" t="str">
        <f>HYPERLINK("https://www.773grp.com/manufacturer/onsemi?pageNo=1339", "ON Semiconductor")</f>
        <v>ON Semiconductor</v>
      </c>
      <c r="C45445" s="6">
        <v>88</v>
      </c>
      <c r="D45445" s="7">
        <v>161.31</v>
      </c>
    </row>
    <row r="45446" spans="1:5" x14ac:dyDescent="0.25">
      <c r="A45446" t="str">
        <f>HYPERLINK("https://www.773grp.com/globalSearch/54L95-BDA/page-1", "54L95-BDA")</f>
        <v>54L95-BDA</v>
      </c>
      <c r="B45446" s="3" t="str">
        <f>HYPERLINK("https://www.773grp.com/manufacturer/onsemi?pageNo=1340", "ON Semiconductor")</f>
        <v>ON Semiconductor</v>
      </c>
      <c r="C45446" s="6">
        <v>538</v>
      </c>
      <c r="D45446" s="7">
        <v>161.31</v>
      </c>
    </row>
    <row r="45447" spans="1:5" x14ac:dyDescent="0.25">
      <c r="A45447" t="str">
        <f>HYPERLINK("https://www.773grp.com/globalSearch/X28C512DM-15/page-1", "X28C512DM-15")</f>
        <v>X28C512DM-15</v>
      </c>
      <c r="B45447" s="3" t="str">
        <f>HYPERLINK("https://www.773grp.com/manufacturer/onsemi?pageNo=1341", "ON Semiconductor")</f>
        <v>ON Semiconductor</v>
      </c>
      <c r="C45447" s="6">
        <v>307</v>
      </c>
      <c r="D45447" s="7">
        <v>161.5</v>
      </c>
    </row>
    <row r="45448" spans="1:5" x14ac:dyDescent="0.25">
      <c r="A45448" t="str">
        <f>HYPERLINK("https://www.773grp.com/globalSearch/74L192N/page-1", "74L192N")</f>
        <v>74L192N</v>
      </c>
      <c r="B45448" s="3" t="str">
        <f>HYPERLINK("https://www.773grp.com/manufacturer/onsemi?pageNo=1342", "ON Semiconductor")</f>
        <v>ON Semiconductor</v>
      </c>
      <c r="C45448" s="6">
        <v>181</v>
      </c>
      <c r="D45448" s="7">
        <v>161.69999999999999</v>
      </c>
    </row>
    <row r="45449" spans="1:5" x14ac:dyDescent="0.25">
      <c r="A45449" t="str">
        <f>HYPERLINK("https://www.773grp.com/globalSearch/54L72J-C/page-1", "54L72J-C")</f>
        <v>54L72J-C</v>
      </c>
      <c r="B45449" s="3" t="str">
        <f>HYPERLINK("https://www.773grp.com/manufacturer/onsemi?pageNo=1343", "ON Semiconductor")</f>
        <v>ON Semiconductor</v>
      </c>
      <c r="C45449" s="6">
        <v>169</v>
      </c>
      <c r="D45449" s="7">
        <v>162.58000000000001</v>
      </c>
    </row>
    <row r="45450" spans="1:5" x14ac:dyDescent="0.25">
      <c r="A45450" t="str">
        <f>HYPERLINK("https://www.773grp.com/globalSearch/9015DM-B  LT/page-1", "9015DM-B  LT")</f>
        <v>9015DM-B  LT</v>
      </c>
      <c r="B45450" s="3" t="str">
        <f>HYPERLINK("https://www.773grp.com/manufacturer/onsemi?pageNo=1344", "ON Semiconductor")</f>
        <v>ON Semiconductor</v>
      </c>
      <c r="C45450" s="6">
        <v>227</v>
      </c>
      <c r="D45450" s="7">
        <v>162.58000000000001</v>
      </c>
    </row>
    <row r="45451" spans="1:5" x14ac:dyDescent="0.25">
      <c r="A45451" t="str">
        <f>HYPERLINK("https://www.773grp.com/globalSearch/9621PC/page-1", "9621PC")</f>
        <v>9621PC</v>
      </c>
      <c r="B45451" s="3" t="str">
        <f>HYPERLINK("https://www.773grp.com/manufacturer/onsemi?pageNo=1345", "ON Semiconductor")</f>
        <v>ON Semiconductor</v>
      </c>
      <c r="C45451" s="6">
        <v>383</v>
      </c>
      <c r="D45451" s="7">
        <v>163.84</v>
      </c>
    </row>
    <row r="45452" spans="1:5" x14ac:dyDescent="0.25">
      <c r="A45452" t="str">
        <f>HYPERLINK("https://www.773grp.com/globalSearch/LM103H-3.3/page-1", "LM103H-3.3")</f>
        <v>LM103H-3.3</v>
      </c>
      <c r="B45452" s="3" t="str">
        <f>HYPERLINK("https://www.773grp.com/manufacturer/onsemi?pageNo=1346", "ON Semiconductor")</f>
        <v>ON Semiconductor</v>
      </c>
      <c r="C45452" s="6">
        <v>219</v>
      </c>
      <c r="D45452" s="7">
        <v>163.84</v>
      </c>
      <c r="E45452" t="s">
        <v>17</v>
      </c>
    </row>
    <row r="45453" spans="1:5" x14ac:dyDescent="0.25">
      <c r="A45453" t="str">
        <f>HYPERLINK("https://www.773grp.com/globalSearch/MC27C64-20-B/page-1", "MC27C64-20-B")</f>
        <v>MC27C64-20-B</v>
      </c>
      <c r="B45453" s="3" t="str">
        <f>HYPERLINK("https://www.773grp.com/manufacturer/onsemi?pageNo=1347", "ON Semiconductor")</f>
        <v>ON Semiconductor</v>
      </c>
      <c r="C45453" s="6">
        <v>150</v>
      </c>
      <c r="D45453" s="7">
        <v>164.35</v>
      </c>
    </row>
    <row r="45454" spans="1:5" x14ac:dyDescent="0.25">
      <c r="A45454" t="str">
        <f>HYPERLINK("https://www.773grp.com/globalSearch/93419DM-B/page-1", "93419DM-B")</f>
        <v>93419DM-B</v>
      </c>
      <c r="B45454" s="3" t="str">
        <f>HYPERLINK("https://www.773grp.com/manufacturer/onsemi?pageNo=1348", "ON Semiconductor")</f>
        <v>ON Semiconductor</v>
      </c>
      <c r="C45454" s="6">
        <v>193</v>
      </c>
      <c r="D45454" s="7">
        <v>165.1</v>
      </c>
    </row>
    <row r="45455" spans="1:5" x14ac:dyDescent="0.25">
      <c r="A45455" t="str">
        <f>HYPERLINK("https://www.773grp.com/globalSearch/R763101/page-1", "R763101")</f>
        <v>R763101</v>
      </c>
      <c r="B45455" s="3" t="str">
        <f>HYPERLINK("https://www.773grp.com/manufacturer/onsemi?pageNo=1", "ON Semiconductor")</f>
        <v>ON Semiconductor</v>
      </c>
      <c r="C45455" s="6">
        <v>180</v>
      </c>
      <c r="D45455" s="7">
        <v>165.78</v>
      </c>
    </row>
    <row r="45456" spans="1:5" x14ac:dyDescent="0.25">
      <c r="A45456" t="str">
        <f>HYPERLINK("https://www.773grp.com/globalSearch/LM110-BPA/page-1", "LM110-BPA")</f>
        <v>LM110-BPA</v>
      </c>
      <c r="B45456" s="3" t="str">
        <f>HYPERLINK("https://www.773grp.com/manufacturer/onsemi?pageNo=2", "ON Semiconductor")</f>
        <v>ON Semiconductor</v>
      </c>
      <c r="C45456" s="6">
        <v>2377</v>
      </c>
      <c r="D45456" s="7">
        <v>165.78</v>
      </c>
    </row>
    <row r="45457" spans="1:5" x14ac:dyDescent="0.25">
      <c r="A45457" t="str">
        <f>HYPERLINK("https://www.773grp.com/globalSearch/HA4-5114-883/page-1", "HA4-5114-883")</f>
        <v>HA4-5114-883</v>
      </c>
      <c r="B45457" s="3" t="str">
        <f>HYPERLINK("https://www.773grp.com/manufacturer/onsemi?pageNo=3", "ON Semiconductor")</f>
        <v>ON Semiconductor</v>
      </c>
      <c r="C45457" s="6">
        <v>587</v>
      </c>
      <c r="D45457" s="7">
        <v>166.35</v>
      </c>
      <c r="E45457" t="s">
        <v>13</v>
      </c>
    </row>
    <row r="45458" spans="1:5" x14ac:dyDescent="0.25">
      <c r="A45458" t="str">
        <f>HYPERLINK("https://www.773grp.com/globalSearch/UHD503R-883/page-1", "UHD503R-883")</f>
        <v>UHD503R-883</v>
      </c>
      <c r="B45458" s="3" t="str">
        <f>HYPERLINK("https://www.773grp.com/manufacturer/onsemi?pageNo=4", "ON Semiconductor")</f>
        <v>ON Semiconductor</v>
      </c>
      <c r="C45458" s="6">
        <v>804</v>
      </c>
      <c r="D45458" s="7">
        <v>168.59</v>
      </c>
    </row>
    <row r="45459" spans="1:5" x14ac:dyDescent="0.25">
      <c r="A45459" t="str">
        <f>HYPERLINK("https://www.773grp.com/globalSearch/54C89J-B/page-1", "54C89J-B")</f>
        <v>54C89J-B</v>
      </c>
      <c r="B45459" s="3" t="str">
        <f>HYPERLINK("https://www.773grp.com/manufacturer/onsemi?pageNo=5", "ON Semiconductor")</f>
        <v>ON Semiconductor</v>
      </c>
      <c r="C45459" s="6">
        <v>798</v>
      </c>
      <c r="D45459" s="7">
        <v>168.89</v>
      </c>
    </row>
    <row r="45460" spans="1:5" x14ac:dyDescent="0.25">
      <c r="A45460" t="str">
        <f>HYPERLINK("https://www.773grp.com/globalSearch/CA3130AT/page-1", "CA3130AT")</f>
        <v>CA3130AT</v>
      </c>
      <c r="B45460" s="3" t="str">
        <f>HYPERLINK("https://www.773grp.com/manufacturer/onsemi?pageNo=6", "ON Semiconductor")</f>
        <v>ON Semiconductor</v>
      </c>
      <c r="C45460" s="6">
        <v>40</v>
      </c>
      <c r="D45460" s="7">
        <v>169.94</v>
      </c>
    </row>
    <row r="45461" spans="1:5" x14ac:dyDescent="0.25">
      <c r="A45461" t="str">
        <f>HYPERLINK("https://www.773grp.com/globalSearch/54194W/page-1", "54194W")</f>
        <v>54194W</v>
      </c>
      <c r="B45461" s="3" t="str">
        <f>HYPERLINK("https://www.773grp.com/manufacturer/onsemi?pageNo=7", "ON Semiconductor")</f>
        <v>ON Semiconductor</v>
      </c>
      <c r="C45461" s="6">
        <v>27</v>
      </c>
      <c r="D45461" s="7">
        <v>170.14</v>
      </c>
    </row>
    <row r="45462" spans="1:5" x14ac:dyDescent="0.25">
      <c r="A45462" t="str">
        <f>HYPERLINK("https://www.773grp.com/globalSearch/LM110H/page-1", "LM110H")</f>
        <v>LM110H</v>
      </c>
      <c r="B45462" s="3" t="str">
        <f>HYPERLINK("https://www.773grp.com/manufacturer/onsemi?pageNo=8", "ON Semiconductor")</f>
        <v>ON Semiconductor</v>
      </c>
      <c r="C45462" s="6">
        <v>511</v>
      </c>
      <c r="D45462" s="7">
        <v>170.3</v>
      </c>
      <c r="E45462" t="s">
        <v>48</v>
      </c>
    </row>
    <row r="45463" spans="1:5" x14ac:dyDescent="0.25">
      <c r="A45463" t="str">
        <f>HYPERLINK("https://www.773grp.com/globalSearch/930DM-B/page-1", "930DM-B")</f>
        <v>930DM-B</v>
      </c>
      <c r="B45463" s="3" t="str">
        <f>HYPERLINK("https://www.773grp.com/manufacturer/onsemi?pageNo=9", "ON Semiconductor")</f>
        <v>ON Semiconductor</v>
      </c>
      <c r="C45463" s="6">
        <v>47</v>
      </c>
      <c r="D45463" s="7">
        <v>170.43</v>
      </c>
    </row>
    <row r="45464" spans="1:5" x14ac:dyDescent="0.25">
      <c r="A45464" t="str">
        <f>HYPERLINK("https://www.773grp.com/globalSearch/LM107H-883/page-1", "LM107H-883")</f>
        <v>LM107H-883</v>
      </c>
      <c r="B45464" s="3" t="str">
        <f>HYPERLINK("https://www.773grp.com/manufacturer/onsemi?pageNo=10", "ON Semiconductor")</f>
        <v>ON Semiconductor</v>
      </c>
      <c r="C45464" s="6">
        <v>704</v>
      </c>
      <c r="D45464" s="7">
        <v>171.01</v>
      </c>
      <c r="E45464" t="s">
        <v>13</v>
      </c>
    </row>
    <row r="45465" spans="1:5" x14ac:dyDescent="0.25">
      <c r="A45465" t="str">
        <f>HYPERLINK("https://www.773grp.com/globalSearch/LM104H-B/page-1", "LM104H-B")</f>
        <v>LM104H-B</v>
      </c>
      <c r="B45465" s="3" t="str">
        <f>HYPERLINK("https://www.773grp.com/manufacturer/onsemi?pageNo=11", "ON Semiconductor")</f>
        <v>ON Semiconductor</v>
      </c>
      <c r="C45465" s="6">
        <v>1019</v>
      </c>
      <c r="D45465" s="7">
        <v>171.31</v>
      </c>
    </row>
    <row r="45466" spans="1:5" x14ac:dyDescent="0.25">
      <c r="A45466" t="str">
        <f>HYPERLINK("https://www.773grp.com/globalSearch/27C16Q55-B/page-1", "27C16Q55-B")</f>
        <v>27C16Q55-B</v>
      </c>
      <c r="B45466" s="3" t="str">
        <f>HYPERLINK("https://www.773grp.com/manufacturer/onsemi?pageNo=12", "ON Semiconductor")</f>
        <v>ON Semiconductor</v>
      </c>
      <c r="C45466" s="6">
        <v>84</v>
      </c>
      <c r="D45466" s="7">
        <v>171.4</v>
      </c>
    </row>
    <row r="45467" spans="1:5" x14ac:dyDescent="0.25">
      <c r="A45467" t="str">
        <f>HYPERLINK("https://www.773grp.com/globalSearch/54L74W-B/page-1", "54L74W-B")</f>
        <v>54L74W-B</v>
      </c>
      <c r="B45467" s="3" t="str">
        <f>HYPERLINK("https://www.773grp.com/manufacturer/onsemi?pageNo=13", "ON Semiconductor")</f>
        <v>ON Semiconductor</v>
      </c>
      <c r="C45467" s="6">
        <v>528</v>
      </c>
      <c r="D45467" s="7">
        <v>171.4</v>
      </c>
    </row>
    <row r="45468" spans="1:5" x14ac:dyDescent="0.25">
      <c r="A45468" t="str">
        <f>HYPERLINK("https://www.773grp.com/globalSearch/7C909-40FK-B/page-1", "7C909-40FK-B")</f>
        <v>7C909-40FK-B</v>
      </c>
      <c r="B45468" s="3" t="str">
        <f>HYPERLINK("https://www.773grp.com/manufacturer/onsemi?pageNo=14", "ON Semiconductor")</f>
        <v>ON Semiconductor</v>
      </c>
      <c r="C45468" s="6">
        <v>14</v>
      </c>
      <c r="D45468" s="7">
        <v>171.4</v>
      </c>
    </row>
    <row r="45469" spans="1:5" x14ac:dyDescent="0.25">
      <c r="A45469" t="str">
        <f>HYPERLINK("https://www.773grp.com/globalSearch/9307FM-B/page-1", "9307FM-B")</f>
        <v>9307FM-B</v>
      </c>
      <c r="B45469" s="3" t="str">
        <f>HYPERLINK("https://www.773grp.com/manufacturer/onsemi?pageNo=15", "ON Semiconductor")</f>
        <v>ON Semiconductor</v>
      </c>
      <c r="C45469" s="6">
        <v>174</v>
      </c>
      <c r="D45469" s="7">
        <v>171.4</v>
      </c>
    </row>
    <row r="45470" spans="1:5" x14ac:dyDescent="0.25">
      <c r="A45470" t="str">
        <f>HYPERLINK("https://www.773grp.com/globalSearch/93419DM/page-1", "93419DM")</f>
        <v>93419DM</v>
      </c>
      <c r="B45470" s="3" t="str">
        <f>HYPERLINK("https://www.773grp.com/manufacturer/onsemi?pageNo=16", "ON Semiconductor")</f>
        <v>ON Semiconductor</v>
      </c>
      <c r="C45470" s="6">
        <v>289</v>
      </c>
      <c r="D45470" s="7">
        <v>171.4</v>
      </c>
    </row>
    <row r="45471" spans="1:5" x14ac:dyDescent="0.25">
      <c r="A45471" t="str">
        <f>HYPERLINK("https://www.773grp.com/globalSearch/RC1569G/page-1", "RC1569G")</f>
        <v>RC1569G</v>
      </c>
      <c r="B45471" s="3" t="str">
        <f>HYPERLINK("https://www.773grp.com/manufacturer/onsemi?pageNo=17", "ON Semiconductor")</f>
        <v>ON Semiconductor</v>
      </c>
      <c r="C45471" s="6">
        <v>585</v>
      </c>
      <c r="D45471" s="7">
        <v>171.4</v>
      </c>
    </row>
    <row r="45472" spans="1:5" x14ac:dyDescent="0.25">
      <c r="A45472" t="str">
        <f>HYPERLINK("https://www.773grp.com/globalSearch/RC951F-R/page-1", "RC951F-R")</f>
        <v>RC951F-R</v>
      </c>
      <c r="B45472" s="3" t="str">
        <f>HYPERLINK("https://www.773grp.com/manufacturer/onsemi?pageNo=18", "ON Semiconductor")</f>
        <v>ON Semiconductor</v>
      </c>
      <c r="C45472" s="6">
        <v>10</v>
      </c>
      <c r="D45472" s="7">
        <v>171.4</v>
      </c>
    </row>
    <row r="45473" spans="1:5" x14ac:dyDescent="0.25">
      <c r="A45473" t="str">
        <f>HYPERLINK("https://www.773grp.com/globalSearch/ULS2003H-R/page-1", "ULS2003H-R")</f>
        <v>ULS2003H-R</v>
      </c>
      <c r="B45473" s="3" t="str">
        <f>HYPERLINK("https://www.773grp.com/manufacturer/onsemi?pageNo=19", "ON Semiconductor")</f>
        <v>ON Semiconductor</v>
      </c>
      <c r="C45473" s="6">
        <v>2176</v>
      </c>
      <c r="D45473" s="7">
        <v>171.4</v>
      </c>
    </row>
    <row r="45474" spans="1:5" x14ac:dyDescent="0.25">
      <c r="A45474" t="str">
        <f>HYPERLINK("https://www.773grp.com/globalSearch/ULS2022R-B/page-1", "ULS2022R-B")</f>
        <v>ULS2022R-B</v>
      </c>
      <c r="B45474" s="3" t="str">
        <f>HYPERLINK("https://www.773grp.com/manufacturer/onsemi?pageNo=20", "ON Semiconductor")</f>
        <v>ON Semiconductor</v>
      </c>
      <c r="C45474" s="6">
        <v>56</v>
      </c>
      <c r="D45474" s="7">
        <v>171.4</v>
      </c>
    </row>
    <row r="45475" spans="1:5" x14ac:dyDescent="0.25">
      <c r="A45475" t="str">
        <f>HYPERLINK("https://www.773grp.com/globalSearch/EP610DM-35/page-1", "EP610DM-35")</f>
        <v>EP610DM-35</v>
      </c>
      <c r="B45475" s="3" t="str">
        <f>HYPERLINK("https://www.773grp.com/manufacturer/onsemi?pageNo=21", "ON Semiconductor")</f>
        <v>ON Semiconductor</v>
      </c>
      <c r="C45475" s="6">
        <v>135</v>
      </c>
      <c r="D45475" s="7">
        <v>171.4</v>
      </c>
      <c r="E45475" t="s">
        <v>51</v>
      </c>
    </row>
    <row r="45476" spans="1:5" x14ac:dyDescent="0.25">
      <c r="A45476" t="str">
        <f>HYPERLINK("https://www.773grp.com/globalSearch/2902ADM-B/page-1", "2902ADM-B")</f>
        <v>2902ADM-B</v>
      </c>
      <c r="B45476" s="3" t="str">
        <f>HYPERLINK("https://www.773grp.com/manufacturer/onsemi?pageNo=22", "ON Semiconductor")</f>
        <v>ON Semiconductor</v>
      </c>
      <c r="C45476" s="6">
        <v>35</v>
      </c>
      <c r="D45476" s="7">
        <v>171.4</v>
      </c>
    </row>
    <row r="45477" spans="1:5" x14ac:dyDescent="0.25">
      <c r="A45477" t="str">
        <f>HYPERLINK("https://www.773grp.com/globalSearch/9620DM-B/page-1", "9620DM-B")</f>
        <v>9620DM-B</v>
      </c>
      <c r="B45477" s="3" t="str">
        <f>HYPERLINK("https://www.773grp.com/manufacturer/onsemi?pageNo=23", "ON Semiconductor")</f>
        <v>ON Semiconductor</v>
      </c>
      <c r="C45477" s="6">
        <v>149</v>
      </c>
      <c r="D45477" s="7">
        <v>171.4</v>
      </c>
    </row>
    <row r="45478" spans="1:5" x14ac:dyDescent="0.25">
      <c r="A45478" t="str">
        <f>HYPERLINK("https://www.773grp.com/globalSearch/5962-87518013A/page-1", "5962-87518013A")</f>
        <v>5962-87518013A</v>
      </c>
      <c r="B45478" s="3" t="str">
        <f>HYPERLINK("https://www.773grp.com/manufacturer/onsemi?pageNo=24", "ON Semiconductor")</f>
        <v>ON Semiconductor</v>
      </c>
      <c r="C45478" s="6">
        <v>312</v>
      </c>
      <c r="D45478" s="7">
        <v>171.4</v>
      </c>
      <c r="E45478" t="s">
        <v>123</v>
      </c>
    </row>
    <row r="45479" spans="1:5" x14ac:dyDescent="0.25">
      <c r="A45479" t="str">
        <f>HYPERLINK("https://www.773grp.com/globalSearch/93425ADM-B/page-1", "93425ADM-B")</f>
        <v>93425ADM-B</v>
      </c>
      <c r="B45479" s="3" t="str">
        <f>HYPERLINK("https://www.773grp.com/manufacturer/onsemi?pageNo=25", "ON Semiconductor")</f>
        <v>ON Semiconductor</v>
      </c>
      <c r="C45479" s="6">
        <v>88</v>
      </c>
      <c r="D45479" s="7">
        <v>171.4</v>
      </c>
    </row>
    <row r="45480" spans="1:5" x14ac:dyDescent="0.25">
      <c r="A45480" t="str">
        <f>HYPERLINK("https://www.773grp.com/globalSearch/LM110J-883/page-1", "LM110J-883")</f>
        <v>LM110J-883</v>
      </c>
      <c r="B45480" s="3" t="str">
        <f>HYPERLINK("https://www.773grp.com/manufacturer/onsemi?pageNo=26", "ON Semiconductor")</f>
        <v>ON Semiconductor</v>
      </c>
      <c r="C45480" s="6">
        <v>708</v>
      </c>
      <c r="D45480" s="7">
        <v>171.4</v>
      </c>
      <c r="E45480" t="s">
        <v>48</v>
      </c>
    </row>
    <row r="45481" spans="1:5" x14ac:dyDescent="0.25">
      <c r="A45481" t="str">
        <f>HYPERLINK("https://www.773grp.com/globalSearch/LM7710-BCA/page-1", "LM7710-BCA")</f>
        <v>LM7710-BCA</v>
      </c>
      <c r="B45481" s="3" t="str">
        <f>HYPERLINK("https://www.773grp.com/manufacturer/onsemi?pageNo=27", "ON Semiconductor")</f>
        <v>ON Semiconductor</v>
      </c>
      <c r="C45481" s="6">
        <v>407</v>
      </c>
      <c r="D45481" s="7">
        <v>171.4</v>
      </c>
    </row>
    <row r="45482" spans="1:5" x14ac:dyDescent="0.25">
      <c r="A45482" t="str">
        <f>HYPERLINK("https://www.773grp.com/globalSearch/27LS00DM-B/page-1", "27LS00DM-B")</f>
        <v>27LS00DM-B</v>
      </c>
      <c r="B45482" s="3" t="str">
        <f>HYPERLINK("https://www.773grp.com/manufacturer/onsemi?pageNo=28", "ON Semiconductor")</f>
        <v>ON Semiconductor</v>
      </c>
      <c r="C45482" s="6">
        <v>508</v>
      </c>
      <c r="D45482" s="7">
        <v>171.4</v>
      </c>
    </row>
    <row r="45483" spans="1:5" x14ac:dyDescent="0.25">
      <c r="A45483" t="str">
        <f>HYPERLINK("https://www.773grp.com/globalSearch/LM7709AH-883/page-1", "LM7709AH-883")</f>
        <v>LM7709AH-883</v>
      </c>
      <c r="B45483" s="3" t="str">
        <f>HYPERLINK("https://www.773grp.com/manufacturer/onsemi?pageNo=29", "ON Semiconductor")</f>
        <v>ON Semiconductor</v>
      </c>
      <c r="C45483" s="6">
        <v>832</v>
      </c>
      <c r="D45483" s="7">
        <v>171.4</v>
      </c>
    </row>
    <row r="45484" spans="1:5" x14ac:dyDescent="0.25">
      <c r="A45484" t="str">
        <f>HYPERLINK("https://www.773grp.com/globalSearch/5446AW-B/page-1", "5446AW-B")</f>
        <v>5446AW-B</v>
      </c>
      <c r="B45484" s="3" t="str">
        <f>HYPERLINK("https://www.773grp.com/manufacturer/onsemi?pageNo=30", "ON Semiconductor")</f>
        <v>ON Semiconductor</v>
      </c>
      <c r="C45484" s="6">
        <v>52</v>
      </c>
      <c r="D45484" s="7">
        <v>171.4</v>
      </c>
    </row>
    <row r="45485" spans="1:5" x14ac:dyDescent="0.25">
      <c r="A45485" t="str">
        <f>HYPERLINK("https://www.773grp.com/globalSearch/54ACT11240JT-B/page-1", "54ACT11240JT-B")</f>
        <v>54ACT11240JT-B</v>
      </c>
      <c r="B45485" s="3" t="str">
        <f>HYPERLINK("https://www.773grp.com/manufacturer/onsemi?pageNo=31", "ON Semiconductor")</f>
        <v>ON Semiconductor</v>
      </c>
      <c r="C45485" s="6">
        <v>118</v>
      </c>
      <c r="D45485" s="7">
        <v>171.4</v>
      </c>
    </row>
    <row r="45486" spans="1:5" x14ac:dyDescent="0.25">
      <c r="A45486" t="str">
        <f>HYPERLINK("https://www.773grp.com/globalSearch/54ALS15AFK-B/page-1", "54ALS15AFK-B")</f>
        <v>54ALS15AFK-B</v>
      </c>
      <c r="B45486" s="3" t="str">
        <f>HYPERLINK("https://www.773grp.com/manufacturer/onsemi?pageNo=32", "ON Semiconductor")</f>
        <v>ON Semiconductor</v>
      </c>
      <c r="C45486" s="6">
        <v>96</v>
      </c>
      <c r="D45486" s="7">
        <v>171.4</v>
      </c>
    </row>
    <row r="45487" spans="1:5" x14ac:dyDescent="0.25">
      <c r="A45487" t="str">
        <f>HYPERLINK("https://www.773grp.com/globalSearch/D8031AH/page-1", "D8031AH")</f>
        <v>D8031AH</v>
      </c>
      <c r="B45487" s="3" t="str">
        <f>HYPERLINK("https://www.773grp.com/manufacturer/onsemi?pageNo=33", "ON Semiconductor")</f>
        <v>ON Semiconductor</v>
      </c>
      <c r="C45487" s="6">
        <v>235</v>
      </c>
      <c r="D45487" s="7">
        <v>172.66</v>
      </c>
      <c r="E45487" t="s">
        <v>52</v>
      </c>
    </row>
    <row r="45488" spans="1:5" x14ac:dyDescent="0.25">
      <c r="A45488" t="str">
        <f>HYPERLINK("https://www.773grp.com/globalSearch/54S253DM-B/page-1", "54S253DM-B")</f>
        <v>54S253DM-B</v>
      </c>
      <c r="B45488" s="3" t="str">
        <f>HYPERLINK("https://www.773grp.com/manufacturer/onsemi?pageNo=34", "ON Semiconductor")</f>
        <v>ON Semiconductor</v>
      </c>
      <c r="C45488" s="6">
        <v>40</v>
      </c>
      <c r="D45488" s="7">
        <v>172.79</v>
      </c>
    </row>
    <row r="45489" spans="1:5" x14ac:dyDescent="0.25">
      <c r="A45489" t="str">
        <f>HYPERLINK("https://www.773grp.com/globalSearch/UDS2981R-B/page-1", "UDS2981R-B")</f>
        <v>UDS2981R-B</v>
      </c>
      <c r="B45489" s="3" t="str">
        <f>HYPERLINK("https://www.773grp.com/manufacturer/onsemi?pageNo=35", "ON Semiconductor")</f>
        <v>ON Semiconductor</v>
      </c>
      <c r="C45489" s="6">
        <v>357</v>
      </c>
      <c r="D45489" s="7">
        <v>174.33</v>
      </c>
    </row>
    <row r="45490" spans="1:5" x14ac:dyDescent="0.25">
      <c r="A45490" t="str">
        <f>HYPERLINK("https://www.773grp.com/globalSearch/ICL7660SMTV/page-1", "ICL7660SMTV")</f>
        <v>ICL7660SMTV</v>
      </c>
      <c r="B45490" s="3" t="str">
        <f>HYPERLINK("https://www.773grp.com/manufacturer/onsemi?pageNo=36", "ON Semiconductor")</f>
        <v>ON Semiconductor</v>
      </c>
      <c r="C45490" s="6">
        <v>139</v>
      </c>
      <c r="D45490" s="7">
        <v>175.18</v>
      </c>
      <c r="E45490" t="s">
        <v>7</v>
      </c>
    </row>
    <row r="45491" spans="1:5" x14ac:dyDescent="0.25">
      <c r="A45491" t="str">
        <f>HYPERLINK("https://www.773grp.com/globalSearch/UDS2983R-B/page-1", "UDS2983R-B")</f>
        <v>UDS2983R-B</v>
      </c>
      <c r="B45491" s="3" t="str">
        <f>HYPERLINK("https://www.773grp.com/manufacturer/onsemi?pageNo=37", "ON Semiconductor")</f>
        <v>ON Semiconductor</v>
      </c>
      <c r="C45491" s="6">
        <v>311</v>
      </c>
      <c r="D45491" s="7">
        <v>176.45</v>
      </c>
    </row>
    <row r="45492" spans="1:5" x14ac:dyDescent="0.25">
      <c r="A45492" t="str">
        <f>HYPERLINK("https://www.773grp.com/globalSearch/UHD507R-B/page-1", "UHD507R-B")</f>
        <v>UHD507R-B</v>
      </c>
      <c r="B45492" s="3" t="str">
        <f>HYPERLINK("https://www.773grp.com/manufacturer/onsemi?pageNo=38", "ON Semiconductor")</f>
        <v>ON Semiconductor</v>
      </c>
      <c r="C45492" s="6">
        <v>104</v>
      </c>
      <c r="D45492" s="7">
        <v>176.45</v>
      </c>
    </row>
    <row r="45493" spans="1:5" x14ac:dyDescent="0.25">
      <c r="A45493" t="str">
        <f>HYPERLINK("https://www.773grp.com/globalSearch/9094DM/page-1", "9094DM")</f>
        <v>9094DM</v>
      </c>
      <c r="B45493" s="3" t="str">
        <f>HYPERLINK("https://www.773grp.com/manufacturer/onsemi?pageNo=39", "ON Semiconductor")</f>
        <v>ON Semiconductor</v>
      </c>
      <c r="C45493" s="6">
        <v>3</v>
      </c>
      <c r="D45493" s="7">
        <v>176.45</v>
      </c>
    </row>
    <row r="45494" spans="1:5" x14ac:dyDescent="0.25">
      <c r="A45494" t="str">
        <f>HYPERLINK("https://www.773grp.com/globalSearch/55142AJ-B/page-1", "55142AJ-B")</f>
        <v>55142AJ-B</v>
      </c>
      <c r="B45494" s="3" t="str">
        <f>HYPERLINK("https://www.773grp.com/manufacturer/onsemi?pageNo=40", "ON Semiconductor")</f>
        <v>ON Semiconductor</v>
      </c>
      <c r="C45494" s="6">
        <v>313</v>
      </c>
      <c r="D45494" s="7">
        <v>176.56</v>
      </c>
    </row>
    <row r="45495" spans="1:5" x14ac:dyDescent="0.25">
      <c r="A45495" t="str">
        <f>HYPERLINK("https://www.773grp.com/globalSearch/54121-BDA/page-1", "54121-BDA")</f>
        <v>54121-BDA</v>
      </c>
      <c r="B45495" s="3" t="str">
        <f>HYPERLINK("https://www.773grp.com/manufacturer/onsemi?pageNo=41", "ON Semiconductor")</f>
        <v>ON Semiconductor</v>
      </c>
      <c r="C45495" s="6">
        <v>653</v>
      </c>
      <c r="D45495" s="7">
        <v>178.29</v>
      </c>
    </row>
    <row r="45496" spans="1:5" x14ac:dyDescent="0.25">
      <c r="A45496" t="str">
        <f>HYPERLINK("https://www.773grp.com/globalSearch/27S29ADM-B/page-1", "27S29ADM-B")</f>
        <v>27S29ADM-B</v>
      </c>
      <c r="B45496" s="3" t="str">
        <f>HYPERLINK("https://www.773grp.com/manufacturer/onsemi?pageNo=42", "ON Semiconductor")</f>
        <v>ON Semiconductor</v>
      </c>
      <c r="C45496" s="6">
        <v>38</v>
      </c>
      <c r="D45496" s="7">
        <v>180.23</v>
      </c>
    </row>
    <row r="45497" spans="1:5" x14ac:dyDescent="0.25">
      <c r="A45497" t="str">
        <f>HYPERLINK("https://www.773grp.com/globalSearch/27S29ADM-B/page-1", "27S29ADM-B")</f>
        <v>27S29ADM-B</v>
      </c>
      <c r="B45497" s="3" t="str">
        <f>HYPERLINK("https://www.773grp.com/manufacturer/onsemi?pageNo=43", "ON Semiconductor")</f>
        <v>ON Semiconductor</v>
      </c>
      <c r="C45497" s="6">
        <v>120</v>
      </c>
      <c r="D45497" s="7">
        <v>180.23</v>
      </c>
    </row>
    <row r="45498" spans="1:5" x14ac:dyDescent="0.25">
      <c r="A45498" t="str">
        <f>HYPERLINK("https://www.773grp.com/globalSearch/LM1536J-883/page-1", "LM1536J-883")</f>
        <v>LM1536J-883</v>
      </c>
      <c r="B45498" s="3" t="str">
        <f>HYPERLINK("https://www.773grp.com/manufacturer/onsemi?pageNo=44", "ON Semiconductor")</f>
        <v>ON Semiconductor</v>
      </c>
      <c r="C45498" s="6">
        <v>256</v>
      </c>
      <c r="D45498" s="7">
        <v>180.23</v>
      </c>
    </row>
    <row r="45499" spans="1:5" x14ac:dyDescent="0.25">
      <c r="A45499" t="str">
        <f>HYPERLINK("https://www.773grp.com/globalSearch/LM759CH/page-1", "LM759CH")</f>
        <v>LM759CH</v>
      </c>
      <c r="B45499" s="3" t="str">
        <f>HYPERLINK("https://www.773grp.com/manufacturer/onsemi?pageNo=45", "ON Semiconductor")</f>
        <v>ON Semiconductor</v>
      </c>
      <c r="C45499" s="6">
        <v>373</v>
      </c>
      <c r="D45499" s="7">
        <v>181.05</v>
      </c>
      <c r="E45499" t="s">
        <v>13</v>
      </c>
    </row>
    <row r="45500" spans="1:5" x14ac:dyDescent="0.25">
      <c r="A45500" t="str">
        <f>HYPERLINK("https://www.773grp.com/globalSearch/MD8155H-B/page-1", "MD8155H-B")</f>
        <v>MD8155H-B</v>
      </c>
      <c r="B45500" s="3" t="str">
        <f>HYPERLINK("https://www.773grp.com/manufacturer/onsemi?pageNo=46", "ON Semiconductor")</f>
        <v>ON Semiconductor</v>
      </c>
      <c r="C45500" s="6">
        <v>1625</v>
      </c>
      <c r="D45500" s="7">
        <v>181.23</v>
      </c>
    </row>
    <row r="45501" spans="1:5" x14ac:dyDescent="0.25">
      <c r="A45501" t="str">
        <f>HYPERLINK("https://www.773grp.com/globalSearch/LM119W-883B/page-1", "LM119W-883B")</f>
        <v>LM119W-883B</v>
      </c>
      <c r="B45501" s="3" t="str">
        <f>HYPERLINK("https://www.773grp.com/manufacturer/onsemi?pageNo=47", "ON Semiconductor")</f>
        <v>ON Semiconductor</v>
      </c>
      <c r="C45501" s="6">
        <v>264</v>
      </c>
      <c r="D45501" s="7">
        <v>181.25</v>
      </c>
    </row>
    <row r="45502" spans="1:5" x14ac:dyDescent="0.25">
      <c r="A45502" t="str">
        <f>HYPERLINK("https://www.773grp.com/globalSearch/R866104/page-1", "R866104")</f>
        <v>R866104</v>
      </c>
      <c r="B45502" s="3" t="str">
        <f>HYPERLINK("https://www.773grp.com/manufacturer/onsemi?pageNo=48", "ON Semiconductor")</f>
        <v>ON Semiconductor</v>
      </c>
      <c r="C45502" s="6">
        <v>53</v>
      </c>
      <c r="D45502" s="7">
        <v>181.48</v>
      </c>
    </row>
    <row r="45503" spans="1:5" x14ac:dyDescent="0.25">
      <c r="A45503" t="str">
        <f>HYPERLINK("https://www.773grp.com/globalSearch/DG303A-BCA/page-1", "DG303A-BCA")</f>
        <v>DG303A-BCA</v>
      </c>
      <c r="B45503" s="3" t="str">
        <f>HYPERLINK("https://www.773grp.com/manufacturer/onsemi?pageNo=49", "ON Semiconductor")</f>
        <v>ON Semiconductor</v>
      </c>
      <c r="C45503" s="6">
        <v>2377</v>
      </c>
      <c r="D45503" s="7">
        <v>181.48</v>
      </c>
    </row>
    <row r="45504" spans="1:5" x14ac:dyDescent="0.25">
      <c r="A45504" t="str">
        <f>HYPERLINK("https://www.773grp.com/globalSearch/MR2764A-25-B/page-1", "MR2764A-25-B")</f>
        <v>MR2764A-25-B</v>
      </c>
      <c r="B45504" s="3" t="str">
        <f>HYPERLINK("https://www.773grp.com/manufacturer/onsemi?pageNo=50", "ON Semiconductor")</f>
        <v>ON Semiconductor</v>
      </c>
      <c r="C45504" s="6">
        <v>12</v>
      </c>
      <c r="D45504" s="7">
        <v>181.48</v>
      </c>
    </row>
    <row r="45505" spans="1:5" x14ac:dyDescent="0.25">
      <c r="A45505" t="str">
        <f>HYPERLINK("https://www.773grp.com/globalSearch/MR8255A-B/page-1", "MR8255A-B")</f>
        <v>MR8255A-B</v>
      </c>
      <c r="B45505" s="3" t="str">
        <f>HYPERLINK("https://www.773grp.com/manufacturer/onsemi?pageNo=51", "ON Semiconductor")</f>
        <v>ON Semiconductor</v>
      </c>
      <c r="C45505" s="6">
        <v>83</v>
      </c>
      <c r="D45505" s="7">
        <v>181.48</v>
      </c>
      <c r="E45505" t="s">
        <v>90</v>
      </c>
    </row>
    <row r="45506" spans="1:5" x14ac:dyDescent="0.25">
      <c r="A45506" t="str">
        <f>HYPERLINK("https://www.773grp.com/globalSearch/27LS00A-BEA/page-1", "27LS00A-BEA")</f>
        <v>27LS00A-BEA</v>
      </c>
      <c r="B45506" s="3" t="str">
        <f>HYPERLINK("https://www.773grp.com/manufacturer/onsemi?pageNo=52", "ON Semiconductor")</f>
        <v>ON Semiconductor</v>
      </c>
      <c r="C45506" s="6">
        <v>2316</v>
      </c>
      <c r="D45506" s="7">
        <v>181.48</v>
      </c>
    </row>
    <row r="45507" spans="1:5" x14ac:dyDescent="0.25">
      <c r="A45507" t="str">
        <f>HYPERLINK("https://www.773grp.com/globalSearch/79M06ML-B/page-1", "79M06ML-B")</f>
        <v>79M06ML-B</v>
      </c>
      <c r="B45507" s="3" t="str">
        <f>HYPERLINK("https://www.773grp.com/manufacturer/onsemi?pageNo=53", "ON Semiconductor")</f>
        <v>ON Semiconductor</v>
      </c>
      <c r="C45507" s="6">
        <v>288</v>
      </c>
      <c r="D45507" s="7">
        <v>181.48</v>
      </c>
    </row>
    <row r="45508" spans="1:5" x14ac:dyDescent="0.25">
      <c r="A45508" t="str">
        <f>HYPERLINK("https://www.773grp.com/globalSearch/PAL20L10-25MJT-B/page-1", "PAL20L10-25MJT-B")</f>
        <v>PAL20L10-25MJT-B</v>
      </c>
      <c r="B45508" s="3" t="str">
        <f>HYPERLINK("https://www.773grp.com/manufacturer/onsemi?pageNo=54", "ON Semiconductor")</f>
        <v>ON Semiconductor</v>
      </c>
      <c r="C45508" s="6">
        <v>493</v>
      </c>
      <c r="D45508" s="7">
        <v>181.48</v>
      </c>
    </row>
    <row r="45509" spans="1:5" x14ac:dyDescent="0.25">
      <c r="A45509" t="str">
        <f>HYPERLINK("https://www.773grp.com/globalSearch/R574141/page-1", "R574141")</f>
        <v>R574141</v>
      </c>
      <c r="B45509" s="3" t="str">
        <f>HYPERLINK("https://www.773grp.com/manufacturer/onsemi?pageNo=55", "ON Semiconductor")</f>
        <v>ON Semiconductor</v>
      </c>
      <c r="C45509" s="6">
        <v>364</v>
      </c>
      <c r="D45509" s="7">
        <v>182.74</v>
      </c>
    </row>
    <row r="45510" spans="1:5" x14ac:dyDescent="0.25">
      <c r="A45510" t="str">
        <f>HYPERLINK("https://www.773grp.com/globalSearch/54196FM/page-1", "54196FM")</f>
        <v>54196FM</v>
      </c>
      <c r="B45510" s="3" t="str">
        <f>HYPERLINK("https://www.773grp.com/manufacturer/onsemi?pageNo=56", "ON Semiconductor")</f>
        <v>ON Semiconductor</v>
      </c>
      <c r="C45510" s="6">
        <v>351</v>
      </c>
      <c r="D45510" s="7">
        <v>183.38</v>
      </c>
    </row>
    <row r="45511" spans="1:5" x14ac:dyDescent="0.25">
      <c r="A45511" t="str">
        <f>HYPERLINK("https://www.773grp.com/globalSearch/NG82370-20/page-1", "NG82370-20")</f>
        <v>NG82370-20</v>
      </c>
      <c r="B45511" s="3" t="str">
        <f>HYPERLINK("https://www.773grp.com/manufacturer/onsemi?pageNo=57", "ON Semiconductor")</f>
        <v>ON Semiconductor</v>
      </c>
      <c r="C45511" s="6">
        <v>30</v>
      </c>
      <c r="D45511" s="7">
        <v>184</v>
      </c>
    </row>
    <row r="45512" spans="1:5" x14ac:dyDescent="0.25">
      <c r="A45512" t="str">
        <f>HYPERLINK("https://www.773grp.com/globalSearch/MD8086/page-1", "MD8086")</f>
        <v>MD8086</v>
      </c>
      <c r="B45512" s="3" t="str">
        <f>HYPERLINK("https://www.773grp.com/manufacturer/onsemi?pageNo=58", "ON Semiconductor")</f>
        <v>ON Semiconductor</v>
      </c>
      <c r="C45512" s="6">
        <v>5</v>
      </c>
      <c r="D45512" s="7">
        <v>184.9</v>
      </c>
    </row>
    <row r="45513" spans="1:5" x14ac:dyDescent="0.25">
      <c r="A45513" t="str">
        <f>HYPERLINK("https://www.773grp.com/globalSearch/55154J-B/page-1", "55154J-B")</f>
        <v>55154J-B</v>
      </c>
      <c r="B45513" s="3" t="str">
        <f>HYPERLINK("https://www.773grp.com/manufacturer/onsemi?pageNo=59", "ON Semiconductor")</f>
        <v>ON Semiconductor</v>
      </c>
      <c r="C45513" s="6">
        <v>351</v>
      </c>
      <c r="D45513" s="7">
        <v>186.53</v>
      </c>
    </row>
    <row r="45514" spans="1:5" x14ac:dyDescent="0.25">
      <c r="A45514" t="str">
        <f>HYPERLINK("https://www.773grp.com/globalSearch/903HM/page-1", "903HM")</f>
        <v>903HM</v>
      </c>
      <c r="B45514" s="3" t="str">
        <f>HYPERLINK("https://www.773grp.com/manufacturer/onsemi?pageNo=60", "ON Semiconductor")</f>
        <v>ON Semiconductor</v>
      </c>
      <c r="C45514" s="6">
        <v>9</v>
      </c>
      <c r="D45514" s="7">
        <v>186.53</v>
      </c>
    </row>
    <row r="45515" spans="1:5" x14ac:dyDescent="0.25">
      <c r="A45515" t="str">
        <f>HYPERLINK("https://www.773grp.com/globalSearch/910HM/page-1", "910HM")</f>
        <v>910HM</v>
      </c>
      <c r="B45515" s="3" t="str">
        <f>HYPERLINK("https://www.773grp.com/manufacturer/onsemi?pageNo=61", "ON Semiconductor")</f>
        <v>ON Semiconductor</v>
      </c>
      <c r="C45515" s="6">
        <v>185</v>
      </c>
      <c r="D45515" s="7">
        <v>186.53</v>
      </c>
      <c r="E45515" t="s">
        <v>31</v>
      </c>
    </row>
    <row r="45516" spans="1:5" x14ac:dyDescent="0.25">
      <c r="A45516" t="str">
        <f>HYPERLINK("https://www.773grp.com/globalSearch/911658-1/page-1", "911658-1")</f>
        <v>911658-1</v>
      </c>
      <c r="B45516" s="3" t="str">
        <f>HYPERLINK("https://www.773grp.com/manufacturer/onsemi?pageNo=62", "ON Semiconductor")</f>
        <v>ON Semiconductor</v>
      </c>
      <c r="C45516" s="6">
        <v>312</v>
      </c>
      <c r="D45516" s="7">
        <v>186.53</v>
      </c>
    </row>
    <row r="45517" spans="1:5" x14ac:dyDescent="0.25">
      <c r="A45517" t="str">
        <f>HYPERLINK("https://www.773grp.com/globalSearch/923HC/page-1", "923HC")</f>
        <v>923HC</v>
      </c>
      <c r="B45517" s="3" t="str">
        <f>HYPERLINK("https://www.773grp.com/manufacturer/onsemi?pageNo=63", "ON Semiconductor")</f>
        <v>ON Semiconductor</v>
      </c>
      <c r="C45517" s="6">
        <v>468</v>
      </c>
      <c r="D45517" s="7">
        <v>186.53</v>
      </c>
    </row>
    <row r="45518" spans="1:5" x14ac:dyDescent="0.25">
      <c r="A45518" t="str">
        <f>HYPERLINK("https://www.773grp.com/globalSearch/946HM-C/page-1", "946HM-C")</f>
        <v>946HM-C</v>
      </c>
      <c r="B45518" s="3" t="str">
        <f>HYPERLINK("https://www.773grp.com/manufacturer/onsemi?pageNo=64", "ON Semiconductor")</f>
        <v>ON Semiconductor</v>
      </c>
      <c r="C45518" s="6">
        <v>249</v>
      </c>
      <c r="D45518" s="7">
        <v>186.53</v>
      </c>
    </row>
    <row r="45519" spans="1:5" x14ac:dyDescent="0.25">
      <c r="A45519" t="str">
        <f>HYPERLINK("https://www.773grp.com/globalSearch/949HM-B/page-1", "949HM-B")</f>
        <v>949HM-B</v>
      </c>
      <c r="B45519" s="3" t="str">
        <f>HYPERLINK("https://www.773grp.com/manufacturer/onsemi?pageNo=65", "ON Semiconductor")</f>
        <v>ON Semiconductor</v>
      </c>
      <c r="C45519" s="6">
        <v>30</v>
      </c>
      <c r="D45519" s="7">
        <v>186.53</v>
      </c>
    </row>
    <row r="45520" spans="1:5" x14ac:dyDescent="0.25">
      <c r="A45520" t="str">
        <f>HYPERLINK("https://www.773grp.com/globalSearch/UHD432R-B/page-1", "UHD432R-B")</f>
        <v>UHD432R-B</v>
      </c>
      <c r="B45520" s="3" t="str">
        <f>HYPERLINK("https://www.773grp.com/manufacturer/onsemi?pageNo=66", "ON Semiconductor")</f>
        <v>ON Semiconductor</v>
      </c>
      <c r="C45520" s="6">
        <v>77</v>
      </c>
      <c r="D45520" s="7">
        <v>186.53</v>
      </c>
    </row>
    <row r="45521" spans="1:5" x14ac:dyDescent="0.25">
      <c r="A45521" t="str">
        <f>HYPERLINK("https://www.773grp.com/globalSearch/UHD532-883/page-1", "UHD532-883")</f>
        <v>UHD532-883</v>
      </c>
      <c r="B45521" s="3" t="str">
        <f>HYPERLINK("https://www.773grp.com/manufacturer/onsemi?pageNo=67", "ON Semiconductor")</f>
        <v>ON Semiconductor</v>
      </c>
      <c r="C45521" s="6">
        <v>560</v>
      </c>
      <c r="D45521" s="7">
        <v>186.53</v>
      </c>
    </row>
    <row r="45522" spans="1:5" x14ac:dyDescent="0.25">
      <c r="A45522" t="str">
        <f>HYPERLINK("https://www.773grp.com/globalSearch/UHD532R-B/page-1", "UHD532R-B")</f>
        <v>UHD532R-B</v>
      </c>
      <c r="B45522" s="3" t="str">
        <f>HYPERLINK("https://www.773grp.com/manufacturer/onsemi?pageNo=68", "ON Semiconductor")</f>
        <v>ON Semiconductor</v>
      </c>
      <c r="C45522" s="6">
        <v>381</v>
      </c>
      <c r="D45522" s="7">
        <v>186.53</v>
      </c>
    </row>
    <row r="45523" spans="1:5" x14ac:dyDescent="0.25">
      <c r="A45523" t="str">
        <f>HYPERLINK("https://www.773grp.com/globalSearch/926HM/page-1", "926HM")</f>
        <v>926HM</v>
      </c>
      <c r="B45523" s="3" t="str">
        <f>HYPERLINK("https://www.773grp.com/manufacturer/onsemi?pageNo=69", "ON Semiconductor")</f>
        <v>ON Semiconductor</v>
      </c>
      <c r="C45523" s="6">
        <v>258</v>
      </c>
      <c r="D45523" s="7">
        <v>186.53</v>
      </c>
    </row>
    <row r="45524" spans="1:5" x14ac:dyDescent="0.25">
      <c r="A45524" t="str">
        <f>HYPERLINK("https://www.773grp.com/globalSearch/MR27C64-20-B/page-1", "MR27C64-20-B")</f>
        <v>MR27C64-20-B</v>
      </c>
      <c r="B45524" s="3" t="str">
        <f>HYPERLINK("https://www.773grp.com/manufacturer/onsemi?pageNo=70", "ON Semiconductor")</f>
        <v>ON Semiconductor</v>
      </c>
      <c r="C45524" s="6">
        <v>413</v>
      </c>
      <c r="D45524" s="7">
        <v>186.53</v>
      </c>
    </row>
    <row r="45525" spans="1:5" x14ac:dyDescent="0.25">
      <c r="A45525" t="str">
        <f>HYPERLINK("https://www.773grp.com/globalSearch/MR8251A-B/page-1", "MR8251A-B")</f>
        <v>MR8251A-B</v>
      </c>
      <c r="B45525" s="3" t="str">
        <f>HYPERLINK("https://www.773grp.com/manufacturer/onsemi?pageNo=71", "ON Semiconductor")</f>
        <v>ON Semiconductor</v>
      </c>
      <c r="C45525" s="6">
        <v>1098</v>
      </c>
      <c r="D45525" s="7">
        <v>186.53</v>
      </c>
      <c r="E45525" t="s">
        <v>90</v>
      </c>
    </row>
    <row r="45526" spans="1:5" x14ac:dyDescent="0.25">
      <c r="A45526" t="str">
        <f>HYPERLINK("https://www.773grp.com/globalSearch/54ACT11004FK-B/page-1", "54ACT11004FK-B")</f>
        <v>54ACT11004FK-B</v>
      </c>
      <c r="B45526" s="3" t="str">
        <f>HYPERLINK("https://www.773grp.com/manufacturer/onsemi?pageNo=72", "ON Semiconductor")</f>
        <v>ON Semiconductor</v>
      </c>
      <c r="C45526" s="6">
        <v>148</v>
      </c>
      <c r="D45526" s="7">
        <v>186.53</v>
      </c>
    </row>
    <row r="45527" spans="1:5" x14ac:dyDescent="0.25">
      <c r="A45527" t="str">
        <f>HYPERLINK("https://www.773grp.com/globalSearch/54L193W-C/page-1", "54L193W-C")</f>
        <v>54L193W-C</v>
      </c>
      <c r="B45527" s="3" t="str">
        <f>HYPERLINK("https://www.773grp.com/manufacturer/onsemi?pageNo=73", "ON Semiconductor")</f>
        <v>ON Semiconductor</v>
      </c>
      <c r="C45527" s="6">
        <v>23</v>
      </c>
      <c r="D45527" s="7">
        <v>186.53</v>
      </c>
    </row>
    <row r="45528" spans="1:5" x14ac:dyDescent="0.25">
      <c r="A45528" t="str">
        <f>HYPERLINK("https://www.773grp.com/globalSearch/S8T98F/page-1", "S8T98F")</f>
        <v>S8T98F</v>
      </c>
      <c r="B45528" s="3" t="str">
        <f>HYPERLINK("https://www.773grp.com/manufacturer/onsemi?pageNo=74", "ON Semiconductor")</f>
        <v>ON Semiconductor</v>
      </c>
      <c r="C45528" s="6">
        <v>57</v>
      </c>
      <c r="D45528" s="7">
        <v>187.79</v>
      </c>
      <c r="E45528" t="s">
        <v>14</v>
      </c>
    </row>
    <row r="45529" spans="1:5" x14ac:dyDescent="0.25">
      <c r="A45529" t="str">
        <f>HYPERLINK("https://www.773grp.com/globalSearch/27S185ALM-B/page-1", "27S185ALM-B")</f>
        <v>27S185ALM-B</v>
      </c>
      <c r="B45529" s="3" t="str">
        <f>HYPERLINK("https://www.773grp.com/manufacturer/onsemi?pageNo=75", "ON Semiconductor")</f>
        <v>ON Semiconductor</v>
      </c>
      <c r="C45529" s="6">
        <v>109</v>
      </c>
      <c r="D45529" s="7">
        <v>187.79</v>
      </c>
    </row>
    <row r="45530" spans="1:5" x14ac:dyDescent="0.25">
      <c r="A45530" t="str">
        <f>HYPERLINK("https://www.773grp.com/globalSearch/MM78C29J-883/page-1", "MM78C29J-883")</f>
        <v>MM78C29J-883</v>
      </c>
      <c r="B45530" s="3" t="str">
        <f>HYPERLINK("https://www.773grp.com/manufacturer/onsemi?pageNo=76", "ON Semiconductor")</f>
        <v>ON Semiconductor</v>
      </c>
      <c r="C45530" s="6">
        <v>401</v>
      </c>
      <c r="D45530" s="7">
        <v>187.8</v>
      </c>
      <c r="E45530" t="s">
        <v>21</v>
      </c>
    </row>
    <row r="45531" spans="1:5" x14ac:dyDescent="0.25">
      <c r="A45531" t="str">
        <f>HYPERLINK("https://www.773grp.com/globalSearch/MM78C30J-883/page-1", "MM78C30J-883")</f>
        <v>MM78C30J-883</v>
      </c>
      <c r="B45531" s="3" t="str">
        <f>HYPERLINK("https://www.773grp.com/manufacturer/onsemi?pageNo=77", "ON Semiconductor")</f>
        <v>ON Semiconductor</v>
      </c>
      <c r="C45531" s="6">
        <v>233</v>
      </c>
      <c r="D45531" s="7">
        <v>187.8</v>
      </c>
      <c r="E45531" t="s">
        <v>21</v>
      </c>
    </row>
    <row r="45532" spans="1:5" x14ac:dyDescent="0.25">
      <c r="A45532" t="str">
        <f>HYPERLINK("https://www.773grp.com/globalSearch/TN80C186EB-16/page-1", "TN80C186EB-16")</f>
        <v>TN80C186EB-16</v>
      </c>
      <c r="B45532" s="3" t="str">
        <f>HYPERLINK("https://www.773grp.com/manufacturer/onsemi?pageNo=78", "ON Semiconductor")</f>
        <v>ON Semiconductor</v>
      </c>
      <c r="C45532" s="6">
        <v>199</v>
      </c>
      <c r="D45532" s="7">
        <v>187.98</v>
      </c>
    </row>
    <row r="45533" spans="1:5" x14ac:dyDescent="0.25">
      <c r="A45533" t="str">
        <f>HYPERLINK("https://www.773grp.com/globalSearch/EP910LI-30/page-1", "EP910LI-30")</f>
        <v>EP910LI-30</v>
      </c>
      <c r="B45533" s="3" t="str">
        <f>HYPERLINK("https://www.773grp.com/manufacturer/onsemi?pageNo=79", "ON Semiconductor")</f>
        <v>ON Semiconductor</v>
      </c>
      <c r="C45533" s="6">
        <v>1109</v>
      </c>
      <c r="D45533" s="7">
        <v>188.53</v>
      </c>
      <c r="E45533" t="s">
        <v>51</v>
      </c>
    </row>
    <row r="45534" spans="1:5" x14ac:dyDescent="0.25">
      <c r="A45534" t="str">
        <f>HYPERLINK("https://www.773grp.com/globalSearch/MC1906F/page-1", "MC1906F")</f>
        <v>MC1906F</v>
      </c>
      <c r="B45534" s="3" t="str">
        <f>HYPERLINK("https://www.773grp.com/manufacturer/onsemi?pageNo=80", "ON Semiconductor")</f>
        <v>ON Semiconductor</v>
      </c>
      <c r="C45534" s="6">
        <v>968</v>
      </c>
      <c r="D45534" s="7">
        <v>189.05</v>
      </c>
    </row>
    <row r="45535" spans="1:5" x14ac:dyDescent="0.25">
      <c r="A45535" t="str">
        <f>HYPERLINK("https://www.773grp.com/globalSearch/R753108/page-1", "R753108")</f>
        <v>R753108</v>
      </c>
      <c r="B45535" s="3" t="str">
        <f>HYPERLINK("https://www.773grp.com/manufacturer/onsemi?pageNo=81", "ON Semiconductor")</f>
        <v>ON Semiconductor</v>
      </c>
      <c r="C45535" s="6">
        <v>451</v>
      </c>
      <c r="D45535" s="7">
        <v>189.05</v>
      </c>
    </row>
    <row r="45536" spans="1:5" x14ac:dyDescent="0.25">
      <c r="A45536" t="str">
        <f>HYPERLINK("https://www.773grp.com/globalSearch/54165-BFA/page-1", "54165-BFA")</f>
        <v>54165-BFA</v>
      </c>
      <c r="B45536" s="3" t="str">
        <f>HYPERLINK("https://www.773grp.com/manufacturer/onsemi?pageNo=82", "ON Semiconductor")</f>
        <v>ON Semiconductor</v>
      </c>
      <c r="C45536" s="6">
        <v>399</v>
      </c>
      <c r="D45536" s="7">
        <v>189.05</v>
      </c>
    </row>
    <row r="45537" spans="1:5" x14ac:dyDescent="0.25">
      <c r="A45537" t="str">
        <f>HYPERLINK("https://www.773grp.com/globalSearch/5493-BCA/page-1", "5493-BCA")</f>
        <v>5493-BCA</v>
      </c>
      <c r="B45537" s="3" t="str">
        <f>HYPERLINK("https://www.773grp.com/manufacturer/onsemi?pageNo=83", "ON Semiconductor")</f>
        <v>ON Semiconductor</v>
      </c>
      <c r="C45537" s="6">
        <v>1452</v>
      </c>
      <c r="D45537" s="7">
        <v>190.19</v>
      </c>
      <c r="E45537" t="s">
        <v>26</v>
      </c>
    </row>
    <row r="45538" spans="1:5" x14ac:dyDescent="0.25">
      <c r="A45538" t="str">
        <f>HYPERLINK("https://www.773grp.com/globalSearch/DS7832W-883B/page-1", "DS7832W-883B")</f>
        <v>DS7832W-883B</v>
      </c>
      <c r="B45538" s="3" t="str">
        <f>HYPERLINK("https://www.773grp.com/manufacturer/onsemi?pageNo=84", "ON Semiconductor")</f>
        <v>ON Semiconductor</v>
      </c>
      <c r="C45538" s="6">
        <v>924</v>
      </c>
      <c r="D45538" s="7">
        <v>191.81</v>
      </c>
    </row>
    <row r="45539" spans="1:5" x14ac:dyDescent="0.25">
      <c r="A45539" t="str">
        <f>HYPERLINK("https://www.773grp.com/globalSearch/LM104H-883/page-1", "LM104H-883")</f>
        <v>LM104H-883</v>
      </c>
      <c r="B45539" s="3" t="str">
        <f>HYPERLINK("https://www.773grp.com/manufacturer/onsemi?pageNo=85", "ON Semiconductor")</f>
        <v>ON Semiconductor</v>
      </c>
      <c r="C45539" s="6">
        <v>350</v>
      </c>
      <c r="D45539" s="7">
        <v>192.24</v>
      </c>
    </row>
    <row r="45540" spans="1:5" x14ac:dyDescent="0.25">
      <c r="A45540" t="str">
        <f>HYPERLINK("https://www.773grp.com/globalSearch/LM759MH/page-1", "LM759MH")</f>
        <v>LM759MH</v>
      </c>
      <c r="B45540" s="3" t="str">
        <f>HYPERLINK("https://www.773grp.com/manufacturer/onsemi?pageNo=86", "ON Semiconductor")</f>
        <v>ON Semiconductor</v>
      </c>
      <c r="C45540" s="6">
        <v>34</v>
      </c>
      <c r="D45540" s="7">
        <v>194.05</v>
      </c>
      <c r="E45540" t="s">
        <v>13</v>
      </c>
    </row>
    <row r="45541" spans="1:5" x14ac:dyDescent="0.25">
      <c r="A45541" t="str">
        <f>HYPERLINK("https://www.773grp.com/globalSearch/54L02J-C/page-1", "54L02J-C")</f>
        <v>54L02J-C</v>
      </c>
      <c r="B45541" s="3" t="str">
        <f>HYPERLINK("https://www.773grp.com/manufacturer/onsemi?pageNo=87", "ON Semiconductor")</f>
        <v>ON Semiconductor</v>
      </c>
      <c r="C45541" s="6">
        <v>256</v>
      </c>
      <c r="D45541" s="7">
        <v>195.35</v>
      </c>
    </row>
    <row r="45542" spans="1:5" x14ac:dyDescent="0.25">
      <c r="A45542" t="str">
        <f>HYPERLINK("https://www.773grp.com/globalSearch/27S47SADM-B/page-1", "27S47SADM-B")</f>
        <v>27S47SADM-B</v>
      </c>
      <c r="B45542" s="3" t="str">
        <f>HYPERLINK("https://www.773grp.com/manufacturer/onsemi?pageNo=88", "ON Semiconductor")</f>
        <v>ON Semiconductor</v>
      </c>
      <c r="C45542" s="6">
        <v>112</v>
      </c>
      <c r="D45542" s="7">
        <v>195.35</v>
      </c>
    </row>
    <row r="45543" spans="1:5" x14ac:dyDescent="0.25">
      <c r="A45543" t="str">
        <f>HYPERLINK("https://www.773grp.com/globalSearch/LM161J-883/page-1", "LM161J-883")</f>
        <v>LM161J-883</v>
      </c>
      <c r="B45543" s="3" t="str">
        <f>HYPERLINK("https://www.773grp.com/manufacturer/onsemi?pageNo=89", "ON Semiconductor")</f>
        <v>ON Semiconductor</v>
      </c>
      <c r="C45543" s="6">
        <v>760</v>
      </c>
      <c r="D45543" s="7">
        <v>195.7</v>
      </c>
      <c r="E45543" t="s">
        <v>9</v>
      </c>
    </row>
    <row r="45544" spans="1:5" x14ac:dyDescent="0.25">
      <c r="A45544" t="str">
        <f>HYPERLINK("https://www.773grp.com/globalSearch/R534185/page-1", "R534185")</f>
        <v>R534185</v>
      </c>
      <c r="B45544" s="3" t="str">
        <f>HYPERLINK("https://www.773grp.com/manufacturer/onsemi?pageNo=90", "ON Semiconductor")</f>
        <v>ON Semiconductor</v>
      </c>
      <c r="C45544" s="6">
        <v>305</v>
      </c>
      <c r="D45544" s="7">
        <v>195.8</v>
      </c>
    </row>
    <row r="45545" spans="1:5" x14ac:dyDescent="0.25">
      <c r="A45545" t="str">
        <f>HYPERLINK("https://www.773grp.com/globalSearch/54H30J-C/page-1", "54H30J-C")</f>
        <v>54H30J-C</v>
      </c>
      <c r="B45545" s="3" t="str">
        <f>HYPERLINK("https://www.773grp.com/manufacturer/onsemi?pageNo=91", "ON Semiconductor")</f>
        <v>ON Semiconductor</v>
      </c>
      <c r="C45545" s="6">
        <v>191</v>
      </c>
      <c r="D45545" s="7">
        <v>196.61</v>
      </c>
    </row>
    <row r="45546" spans="1:5" x14ac:dyDescent="0.25">
      <c r="A45546" t="str">
        <f>HYPERLINK("https://www.773grp.com/globalSearch/9009DM-C/page-1", "9009DM-C")</f>
        <v>9009DM-C</v>
      </c>
      <c r="B45546" s="3" t="str">
        <f>HYPERLINK("https://www.773grp.com/manufacturer/onsemi?pageNo=92", "ON Semiconductor")</f>
        <v>ON Semiconductor</v>
      </c>
      <c r="C45546" s="6">
        <v>288</v>
      </c>
      <c r="D45546" s="7">
        <v>196.61</v>
      </c>
    </row>
    <row r="45547" spans="1:5" x14ac:dyDescent="0.25">
      <c r="A45547" t="str">
        <f>HYPERLINK("https://www.773grp.com/globalSearch/9014DM-B/page-1", "9014DM-B")</f>
        <v>9014DM-B</v>
      </c>
      <c r="B45547" s="3" t="str">
        <f>HYPERLINK("https://www.773grp.com/manufacturer/onsemi?pageNo=93", "ON Semiconductor")</f>
        <v>ON Semiconductor</v>
      </c>
      <c r="C45547" s="6">
        <v>306</v>
      </c>
      <c r="D45547" s="7">
        <v>196.61</v>
      </c>
    </row>
    <row r="45548" spans="1:5" x14ac:dyDescent="0.25">
      <c r="A45548" t="str">
        <f>HYPERLINK("https://www.773grp.com/globalSearch/932FM-R/page-1", "932FM-R")</f>
        <v>932FM-R</v>
      </c>
      <c r="B45548" s="3" t="str">
        <f>HYPERLINK("https://www.773grp.com/manufacturer/onsemi?pageNo=94", "ON Semiconductor")</f>
        <v>ON Semiconductor</v>
      </c>
      <c r="C45548" s="6">
        <v>410</v>
      </c>
      <c r="D45548" s="7">
        <v>196.61</v>
      </c>
    </row>
    <row r="45549" spans="1:5" x14ac:dyDescent="0.25">
      <c r="A45549" t="str">
        <f>HYPERLINK("https://www.773grp.com/globalSearch/93L422FM-B/page-1", "93L422FM-B")</f>
        <v>93L422FM-B</v>
      </c>
      <c r="B45549" s="3" t="str">
        <f>HYPERLINK("https://www.773grp.com/manufacturer/onsemi?pageNo=95", "ON Semiconductor")</f>
        <v>ON Semiconductor</v>
      </c>
      <c r="C45549" s="6">
        <v>615</v>
      </c>
      <c r="D45549" s="7">
        <v>196.61</v>
      </c>
    </row>
    <row r="45550" spans="1:5" x14ac:dyDescent="0.25">
      <c r="A45550" t="str">
        <f>HYPERLINK("https://www.773grp.com/globalSearch/950HM-R/page-1", "950HM-R")</f>
        <v>950HM-R</v>
      </c>
      <c r="B45550" s="3" t="str">
        <f>HYPERLINK("https://www.773grp.com/manufacturer/onsemi?pageNo=96", "ON Semiconductor")</f>
        <v>ON Semiconductor</v>
      </c>
      <c r="C45550" s="6">
        <v>390</v>
      </c>
      <c r="D45550" s="7">
        <v>196.61</v>
      </c>
    </row>
    <row r="45551" spans="1:5" x14ac:dyDescent="0.25">
      <c r="A45551" t="str">
        <f>HYPERLINK("https://www.773grp.com/globalSearch/26S02LM-B/page-1", "26S02LM-B")</f>
        <v>26S02LM-B</v>
      </c>
      <c r="B45551" s="3" t="str">
        <f>HYPERLINK("https://www.773grp.com/manufacturer/onsemi?pageNo=97", "ON Semiconductor")</f>
        <v>ON Semiconductor</v>
      </c>
      <c r="C45551" s="6">
        <v>75</v>
      </c>
      <c r="D45551" s="7">
        <v>196.61</v>
      </c>
    </row>
    <row r="45552" spans="1:5" x14ac:dyDescent="0.25">
      <c r="A45552" t="str">
        <f>HYPERLINK("https://www.773grp.com/globalSearch/DG201AAK/page-1", "DG201AAK")</f>
        <v>DG201AAK</v>
      </c>
      <c r="B45552" s="3" t="str">
        <f>HYPERLINK("https://www.773grp.com/manufacturer/onsemi?pageNo=98", "ON Semiconductor")</f>
        <v>ON Semiconductor</v>
      </c>
      <c r="C45552" s="6">
        <v>655</v>
      </c>
      <c r="D45552" s="7">
        <v>196.61</v>
      </c>
      <c r="E45552" t="s">
        <v>56</v>
      </c>
    </row>
    <row r="45553" spans="1:5" x14ac:dyDescent="0.25">
      <c r="A45553" t="str">
        <f>HYPERLINK("https://www.773grp.com/globalSearch/54HC221AJ-883C/page-1", "54HC221AJ-883C")</f>
        <v>54HC221AJ-883C</v>
      </c>
      <c r="B45553" s="3" t="str">
        <f>HYPERLINK("https://www.773grp.com/manufacturer/onsemi?pageNo=99", "ON Semiconductor")</f>
        <v>ON Semiconductor</v>
      </c>
      <c r="C45553" s="6">
        <v>144</v>
      </c>
      <c r="D45553" s="7">
        <v>196.61</v>
      </c>
    </row>
    <row r="45554" spans="1:5" x14ac:dyDescent="0.25">
      <c r="A45554" t="str">
        <f>HYPERLINK("https://www.773grp.com/globalSearch/933FM-B/page-1", "933FM-B")</f>
        <v>933FM-B</v>
      </c>
      <c r="B45554" s="3" t="str">
        <f>HYPERLINK("https://www.773grp.com/manufacturer/onsemi?pageNo=100", "ON Semiconductor")</f>
        <v>ON Semiconductor</v>
      </c>
      <c r="C45554" s="6">
        <v>454</v>
      </c>
      <c r="D45554" s="7">
        <v>196.61</v>
      </c>
    </row>
    <row r="45555" spans="1:5" x14ac:dyDescent="0.25">
      <c r="A45555" t="str">
        <f>HYPERLINK("https://www.773grp.com/globalSearch/93425FM-B/page-1", "93425FM-B")</f>
        <v>93425FM-B</v>
      </c>
      <c r="B45555" s="3" t="str">
        <f>HYPERLINK("https://www.773grp.com/manufacturer/onsemi?pageNo=101", "ON Semiconductor")</f>
        <v>ON Semiconductor</v>
      </c>
      <c r="C45555" s="6">
        <v>3580</v>
      </c>
      <c r="D45555" s="7">
        <v>196.61</v>
      </c>
    </row>
    <row r="45556" spans="1:5" x14ac:dyDescent="0.25">
      <c r="A45556" t="str">
        <f>HYPERLINK("https://www.773grp.com/globalSearch/9962-BCA/page-1", "9962-BCA")</f>
        <v>9962-BCA</v>
      </c>
      <c r="B45556" s="3" t="str">
        <f>HYPERLINK("https://www.773grp.com/manufacturer/onsemi?pageNo=102", "ON Semiconductor")</f>
        <v>ON Semiconductor</v>
      </c>
      <c r="C45556" s="6">
        <v>1228</v>
      </c>
      <c r="D45556" s="7">
        <v>196.61</v>
      </c>
    </row>
    <row r="45557" spans="1:5" x14ac:dyDescent="0.25">
      <c r="A45557" t="str">
        <f>HYPERLINK("https://www.773grp.com/globalSearch/LM106H-B/page-1", "LM106H-B")</f>
        <v>LM106H-B</v>
      </c>
      <c r="B45557" s="3" t="str">
        <f>HYPERLINK("https://www.773grp.com/manufacturer/onsemi?pageNo=103", "ON Semiconductor")</f>
        <v>ON Semiconductor</v>
      </c>
      <c r="C45557" s="6">
        <v>132</v>
      </c>
      <c r="D45557" s="7">
        <v>196.61</v>
      </c>
    </row>
    <row r="45558" spans="1:5" x14ac:dyDescent="0.25">
      <c r="A45558" t="str">
        <f>HYPERLINK("https://www.773grp.com/globalSearch/54HC30FK-B/page-1", "54HC30FK-B")</f>
        <v>54HC30FK-B</v>
      </c>
      <c r="B45558" s="3" t="str">
        <f>HYPERLINK("https://www.773grp.com/manufacturer/onsemi?pageNo=104", "ON Semiconductor")</f>
        <v>ON Semiconductor</v>
      </c>
      <c r="C45558" s="6">
        <v>466</v>
      </c>
      <c r="D45558" s="7">
        <v>196.61</v>
      </c>
    </row>
    <row r="45559" spans="1:5" x14ac:dyDescent="0.25">
      <c r="A45559" t="str">
        <f>HYPERLINK("https://www.773grp.com/globalSearch/54LS196W-B/page-1", "54LS196W-B")</f>
        <v>54LS196W-B</v>
      </c>
      <c r="B45559" s="3" t="str">
        <f>HYPERLINK("https://www.773grp.com/manufacturer/onsemi?pageNo=105", "ON Semiconductor")</f>
        <v>ON Semiconductor</v>
      </c>
      <c r="C45559" s="6">
        <v>115</v>
      </c>
      <c r="D45559" s="7">
        <v>196.61</v>
      </c>
    </row>
    <row r="45560" spans="1:5" x14ac:dyDescent="0.25">
      <c r="A45560" t="str">
        <f>HYPERLINK("https://www.773grp.com/globalSearch/54LS348-BEA/page-1", "54LS348-BEA")</f>
        <v>54LS348-BEA</v>
      </c>
      <c r="B45560" s="3" t="str">
        <f>HYPERLINK("https://www.773grp.com/manufacturer/onsemi?pageNo=106", "ON Semiconductor")</f>
        <v>ON Semiconductor</v>
      </c>
      <c r="C45560" s="6">
        <v>441</v>
      </c>
      <c r="D45560" s="7">
        <v>196.61</v>
      </c>
    </row>
    <row r="45561" spans="1:5" x14ac:dyDescent="0.25">
      <c r="A45561" t="str">
        <f>HYPERLINK("https://www.773grp.com/globalSearch/54S22FK-B/page-1", "54S22FK-B")</f>
        <v>54S22FK-B</v>
      </c>
      <c r="B45561" s="3" t="str">
        <f>HYPERLINK("https://www.773grp.com/manufacturer/onsemi?pageNo=107", "ON Semiconductor")</f>
        <v>ON Semiconductor</v>
      </c>
      <c r="C45561" s="6">
        <v>24</v>
      </c>
      <c r="D45561" s="7">
        <v>196.61</v>
      </c>
    </row>
    <row r="45562" spans="1:5" x14ac:dyDescent="0.25">
      <c r="A45562" t="str">
        <f>HYPERLINK("https://www.773grp.com/globalSearch/TL514MJ-R/page-1", "TL514MJ-R")</f>
        <v>TL514MJ-R</v>
      </c>
      <c r="B45562" s="3" t="str">
        <f>HYPERLINK("https://www.773grp.com/manufacturer/onsemi?pageNo=108", "ON Semiconductor")</f>
        <v>ON Semiconductor</v>
      </c>
      <c r="C45562" s="6">
        <v>890</v>
      </c>
      <c r="D45562" s="7">
        <v>196.61</v>
      </c>
    </row>
    <row r="45563" spans="1:5" x14ac:dyDescent="0.25">
      <c r="A45563" t="str">
        <f>HYPERLINK("https://www.773grp.com/globalSearch/TL820MJ-R/page-1", "TL820MJ-R")</f>
        <v>TL820MJ-R</v>
      </c>
      <c r="B45563" s="3" t="str">
        <f>HYPERLINK("https://www.773grp.com/manufacturer/onsemi?pageNo=109", "ON Semiconductor")</f>
        <v>ON Semiconductor</v>
      </c>
      <c r="C45563" s="6">
        <v>1840</v>
      </c>
      <c r="D45563" s="7">
        <v>196.61</v>
      </c>
    </row>
    <row r="45564" spans="1:5" x14ac:dyDescent="0.25">
      <c r="A45564" t="str">
        <f>HYPERLINK("https://www.773grp.com/globalSearch/UC1635J/page-1", "UC1635J")</f>
        <v>UC1635J</v>
      </c>
      <c r="B45564" s="3" t="str">
        <f>HYPERLINK("https://www.773grp.com/manufacturer/onsemi?pageNo=110", "ON Semiconductor")</f>
        <v>ON Semiconductor</v>
      </c>
      <c r="C45564" s="6">
        <v>555</v>
      </c>
      <c r="D45564" s="7">
        <v>196.61</v>
      </c>
      <c r="E45564" t="s">
        <v>38</v>
      </c>
    </row>
    <row r="45565" spans="1:5" x14ac:dyDescent="0.25">
      <c r="A45565" t="str">
        <f>HYPERLINK("https://www.773grp.com/globalSearch/93L01DM-B/page-1", "93L01DM-B")</f>
        <v>93L01DM-B</v>
      </c>
      <c r="B45565" s="3" t="str">
        <f>HYPERLINK("https://www.773grp.com/manufacturer/onsemi?pageNo=111", "ON Semiconductor")</f>
        <v>ON Semiconductor</v>
      </c>
      <c r="C45565" s="6">
        <v>50</v>
      </c>
      <c r="D45565" s="7">
        <v>196.94</v>
      </c>
    </row>
    <row r="45566" spans="1:5" x14ac:dyDescent="0.25">
      <c r="A45566" t="str">
        <f>HYPERLINK("https://www.773grp.com/globalSearch/2914FM-B/page-1", "2914FM-B")</f>
        <v>2914FM-B</v>
      </c>
      <c r="B45566" s="3" t="str">
        <f>HYPERLINK("https://www.773grp.com/manufacturer/onsemi?pageNo=112", "ON Semiconductor")</f>
        <v>ON Semiconductor</v>
      </c>
      <c r="C45566" s="6">
        <v>293</v>
      </c>
      <c r="D45566" s="7">
        <v>197.11</v>
      </c>
    </row>
    <row r="45567" spans="1:5" x14ac:dyDescent="0.25">
      <c r="A45567" t="str">
        <f>HYPERLINK("https://www.773grp.com/globalSearch/27S35FM-B/page-1", "27S35FM-B")</f>
        <v>27S35FM-B</v>
      </c>
      <c r="B45567" s="3" t="str">
        <f>HYPERLINK("https://www.773grp.com/manufacturer/onsemi?pageNo=113", "ON Semiconductor")</f>
        <v>ON Semiconductor</v>
      </c>
      <c r="C45567" s="6">
        <v>78</v>
      </c>
      <c r="D45567" s="7">
        <v>197.54</v>
      </c>
    </row>
    <row r="45568" spans="1:5" x14ac:dyDescent="0.25">
      <c r="A45568" t="str">
        <f>HYPERLINK("https://www.773grp.com/globalSearch/CA3040T-R/page-1", "CA3040T-R")</f>
        <v>CA3040T-R</v>
      </c>
      <c r="B45568" s="3" t="str">
        <f>HYPERLINK("https://www.773grp.com/manufacturer/onsemi?pageNo=114", "ON Semiconductor")</f>
        <v>ON Semiconductor</v>
      </c>
      <c r="C45568" s="6">
        <v>15</v>
      </c>
      <c r="D45568" s="7">
        <v>198.5</v>
      </c>
    </row>
    <row r="45569" spans="1:5" x14ac:dyDescent="0.25">
      <c r="A45569" t="str">
        <f>HYPERLINK("https://www.773grp.com/globalSearch/96106DM-B/page-1", "96106DM-B")</f>
        <v>96106DM-B</v>
      </c>
      <c r="B45569" s="3" t="str">
        <f>HYPERLINK("https://www.773grp.com/manufacturer/onsemi?pageNo=115", "ON Semiconductor")</f>
        <v>ON Semiconductor</v>
      </c>
      <c r="C45569" s="6">
        <v>24</v>
      </c>
      <c r="D45569" s="7">
        <v>198.96</v>
      </c>
    </row>
    <row r="45570" spans="1:5" x14ac:dyDescent="0.25">
      <c r="A45570" t="str">
        <f>HYPERLINK("https://www.773grp.com/globalSearch/54L98J-B/page-1", "54L98J-B")</f>
        <v>54L98J-B</v>
      </c>
      <c r="B45570" s="3" t="str">
        <f>HYPERLINK("https://www.773grp.com/manufacturer/onsemi?pageNo=116", "ON Semiconductor")</f>
        <v>ON Semiconductor</v>
      </c>
      <c r="C45570" s="6">
        <v>98</v>
      </c>
      <c r="D45570" s="7">
        <v>199.13</v>
      </c>
    </row>
    <row r="45571" spans="1:5" x14ac:dyDescent="0.25">
      <c r="A45571" t="str">
        <f>HYPERLINK("https://www.773grp.com/globalSearch/54LS461AW-B/page-1", "54LS461AW-B")</f>
        <v>54LS461AW-B</v>
      </c>
      <c r="B45571" s="3" t="str">
        <f>HYPERLINK("https://www.773grp.com/manufacturer/onsemi?pageNo=117", "ON Semiconductor")</f>
        <v>ON Semiconductor</v>
      </c>
      <c r="C45571" s="6">
        <v>931</v>
      </c>
      <c r="D45571" s="7">
        <v>199.13</v>
      </c>
    </row>
    <row r="45572" spans="1:5" x14ac:dyDescent="0.25">
      <c r="A45572" t="str">
        <f>HYPERLINK("https://www.773grp.com/globalSearch/MC27128A-30-BYA/page-1", "MC27128A-30-BYA")</f>
        <v>MC27128A-30-BYA</v>
      </c>
      <c r="B45572" s="3" t="str">
        <f>HYPERLINK("https://www.773grp.com/manufacturer/onsemi?pageNo=118", "ON Semiconductor")</f>
        <v>ON Semiconductor</v>
      </c>
      <c r="C45572" s="6">
        <v>90</v>
      </c>
      <c r="D45572" s="7">
        <v>199.13</v>
      </c>
    </row>
    <row r="45573" spans="1:5" x14ac:dyDescent="0.25">
      <c r="A45573" t="str">
        <f>HYPERLINK("https://www.773grp.com/globalSearch/LM7711-BIA/page-1", "LM7711-BIA")</f>
        <v>LM7711-BIA</v>
      </c>
      <c r="B45573" s="3" t="str">
        <f>HYPERLINK("https://www.773grp.com/manufacturer/onsemi?pageNo=119", "ON Semiconductor")</f>
        <v>ON Semiconductor</v>
      </c>
      <c r="C45573" s="6">
        <v>502</v>
      </c>
      <c r="D45573" s="7">
        <v>199.13</v>
      </c>
    </row>
    <row r="45574" spans="1:5" x14ac:dyDescent="0.25">
      <c r="A45574" t="str">
        <f>HYPERLINK("https://www.773grp.com/globalSearch/27S41ADM-B/page-1", "27S41ADM-B")</f>
        <v>27S41ADM-B</v>
      </c>
      <c r="B45574" s="3" t="str">
        <f>HYPERLINK("https://www.773grp.com/manufacturer/onsemi?pageNo=120", "ON Semiconductor")</f>
        <v>ON Semiconductor</v>
      </c>
      <c r="C45574" s="6">
        <v>520</v>
      </c>
      <c r="D45574" s="7">
        <v>199.76</v>
      </c>
    </row>
    <row r="45575" spans="1:5" x14ac:dyDescent="0.25">
      <c r="A45575" t="str">
        <f>HYPERLINK("https://www.773grp.com/globalSearch/5493-BDA/page-1", "5493-BDA")</f>
        <v>5493-BDA</v>
      </c>
      <c r="B45575" s="3" t="str">
        <f>HYPERLINK("https://www.773grp.com/manufacturer/onsemi?pageNo=121", "ON Semiconductor")</f>
        <v>ON Semiconductor</v>
      </c>
      <c r="C45575" s="6">
        <v>914</v>
      </c>
      <c r="D45575" s="7">
        <v>200.76</v>
      </c>
      <c r="E45575" t="s">
        <v>26</v>
      </c>
    </row>
    <row r="45576" spans="1:5" x14ac:dyDescent="0.25">
      <c r="A45576" t="str">
        <f>HYPERLINK("https://www.773grp.com/globalSearch/5433J-B/page-1", "5433J-B")</f>
        <v>5433J-B</v>
      </c>
      <c r="B45576" s="3" t="str">
        <f>HYPERLINK("https://www.773grp.com/manufacturer/onsemi?pageNo=122", "ON Semiconductor")</f>
        <v>ON Semiconductor</v>
      </c>
      <c r="C45576" s="6">
        <v>1202</v>
      </c>
      <c r="D45576" s="7">
        <v>200.76</v>
      </c>
    </row>
    <row r="45577" spans="1:5" x14ac:dyDescent="0.25">
      <c r="A45577" t="str">
        <f>HYPERLINK("https://www.773grp.com/globalSearch/9022FM/page-1", "9022FM")</f>
        <v>9022FM</v>
      </c>
      <c r="B45577" s="3" t="str">
        <f>HYPERLINK("https://www.773grp.com/manufacturer/onsemi?pageNo=123", "ON Semiconductor")</f>
        <v>ON Semiconductor</v>
      </c>
      <c r="C45577" s="6">
        <v>485</v>
      </c>
      <c r="D45577" s="7">
        <v>201.64</v>
      </c>
    </row>
    <row r="45578" spans="1:5" x14ac:dyDescent="0.25">
      <c r="A45578" t="str">
        <f>HYPERLINK("https://www.773grp.com/globalSearch/932210-2B/page-1", "932210-2B")</f>
        <v>932210-2B</v>
      </c>
      <c r="B45578" s="3" t="str">
        <f>HYPERLINK("https://www.773grp.com/manufacturer/onsemi?pageNo=124", "ON Semiconductor")</f>
        <v>ON Semiconductor</v>
      </c>
      <c r="C45578" s="6">
        <v>292</v>
      </c>
      <c r="D45578" s="7">
        <v>201.64</v>
      </c>
    </row>
    <row r="45579" spans="1:5" x14ac:dyDescent="0.25">
      <c r="A45579" t="str">
        <f>HYPERLINK("https://www.773grp.com/globalSearch/932913-1B/page-1", "932913-1B")</f>
        <v>932913-1B</v>
      </c>
      <c r="B45579" s="3" t="str">
        <f>HYPERLINK("https://www.773grp.com/manufacturer/onsemi?pageNo=125", "ON Semiconductor")</f>
        <v>ON Semiconductor</v>
      </c>
      <c r="C45579" s="6">
        <v>477</v>
      </c>
      <c r="D45579" s="7">
        <v>201.64</v>
      </c>
    </row>
    <row r="45580" spans="1:5" x14ac:dyDescent="0.25">
      <c r="A45580" t="str">
        <f>HYPERLINK("https://www.773grp.com/globalSearch/2904DM/page-1", "2904DM")</f>
        <v>2904DM</v>
      </c>
      <c r="B45580" s="3" t="str">
        <f>HYPERLINK("https://www.773grp.com/manufacturer/onsemi?pageNo=126", "ON Semiconductor")</f>
        <v>ON Semiconductor</v>
      </c>
      <c r="C45580" s="6">
        <v>485</v>
      </c>
      <c r="D45580" s="7">
        <v>201.64</v>
      </c>
    </row>
    <row r="45581" spans="1:5" x14ac:dyDescent="0.25">
      <c r="A45581" t="str">
        <f>HYPERLINK("https://www.773grp.com/globalSearch/MD2114-BVA/page-1", "MD2114-BVA")</f>
        <v>MD2114-BVA</v>
      </c>
      <c r="B45581" s="3" t="str">
        <f>HYPERLINK("https://www.773grp.com/manufacturer/onsemi?pageNo=127", "ON Semiconductor")</f>
        <v>ON Semiconductor</v>
      </c>
      <c r="C45581" s="6">
        <v>143</v>
      </c>
      <c r="D45581" s="7">
        <v>201.64</v>
      </c>
    </row>
    <row r="45582" spans="1:5" x14ac:dyDescent="0.25">
      <c r="A45582" t="str">
        <f>HYPERLINK("https://www.773grp.com/globalSearch/93L422AFM-B/page-1", "93L422AFM-B")</f>
        <v>93L422AFM-B</v>
      </c>
      <c r="B45582" s="3" t="str">
        <f>HYPERLINK("https://www.773grp.com/manufacturer/onsemi?pageNo=128", "ON Semiconductor")</f>
        <v>ON Semiconductor</v>
      </c>
      <c r="C45582" s="6">
        <v>231</v>
      </c>
      <c r="D45582" s="7">
        <v>201.64</v>
      </c>
    </row>
    <row r="45583" spans="1:5" x14ac:dyDescent="0.25">
      <c r="A45583" t="str">
        <f>HYPERLINK("https://www.773grp.com/globalSearch/R1072/page-1", "R1072")</f>
        <v>R1072</v>
      </c>
      <c r="B45583" s="3" t="str">
        <f>HYPERLINK("https://www.773grp.com/manufacturer/onsemi?pageNo=129", "ON Semiconductor")</f>
        <v>ON Semiconductor</v>
      </c>
      <c r="C45583" s="6">
        <v>688</v>
      </c>
      <c r="D45583" s="7">
        <v>201.64</v>
      </c>
    </row>
    <row r="45584" spans="1:5" x14ac:dyDescent="0.25">
      <c r="A45584" t="str">
        <f>HYPERLINK("https://www.773grp.com/globalSearch/54ACT11280FK-R/page-1", "54ACT11280FK-R")</f>
        <v>54ACT11280FK-R</v>
      </c>
      <c r="B45584" s="3" t="str">
        <f>HYPERLINK("https://www.773grp.com/manufacturer/onsemi?pageNo=130", "ON Semiconductor")</f>
        <v>ON Semiconductor</v>
      </c>
      <c r="C45584" s="6">
        <v>268</v>
      </c>
      <c r="D45584" s="7">
        <v>201.64</v>
      </c>
    </row>
    <row r="45585" spans="1:5" x14ac:dyDescent="0.25">
      <c r="A45585" t="str">
        <f>HYPERLINK("https://www.773grp.com/globalSearch/54H30W-C/page-1", "54H30W-C")</f>
        <v>54H30W-C</v>
      </c>
      <c r="B45585" s="3" t="str">
        <f>HYPERLINK("https://www.773grp.com/manufacturer/onsemi?pageNo=131", "ON Semiconductor")</f>
        <v>ON Semiconductor</v>
      </c>
      <c r="C45585" s="6">
        <v>242</v>
      </c>
      <c r="D45585" s="7">
        <v>203.14</v>
      </c>
    </row>
    <row r="45586" spans="1:5" x14ac:dyDescent="0.25">
      <c r="A45586" t="str">
        <f>HYPERLINK("https://www.773grp.com/globalSearch/54123W-B/page-1", "54123W-B")</f>
        <v>54123W-B</v>
      </c>
      <c r="B45586" s="3" t="str">
        <f>HYPERLINK("https://www.773grp.com/manufacturer/onsemi?pageNo=132", "ON Semiconductor")</f>
        <v>ON Semiconductor</v>
      </c>
      <c r="C45586" s="6">
        <v>5</v>
      </c>
      <c r="D45586" s="7">
        <v>204.9</v>
      </c>
    </row>
    <row r="45587" spans="1:5" x14ac:dyDescent="0.25">
      <c r="A45587" t="str">
        <f>HYPERLINK("https://www.773grp.com/globalSearch/54177J-B/page-1", "54177J-B")</f>
        <v>54177J-B</v>
      </c>
      <c r="B45587" s="3" t="str">
        <f>HYPERLINK("https://www.773grp.com/manufacturer/onsemi?pageNo=133", "ON Semiconductor")</f>
        <v>ON Semiconductor</v>
      </c>
      <c r="C45587" s="6">
        <v>195</v>
      </c>
      <c r="D45587" s="7">
        <v>205.01</v>
      </c>
    </row>
    <row r="45588" spans="1:5" x14ac:dyDescent="0.25">
      <c r="A45588" t="str">
        <f>HYPERLINK("https://www.773grp.com/globalSearch/MD8254-B/page-1", "MD8254-B")</f>
        <v>MD8254-B</v>
      </c>
      <c r="B45588" s="3" t="str">
        <f>HYPERLINK("https://www.773grp.com/manufacturer/onsemi?pageNo=134", "ON Semiconductor")</f>
        <v>ON Semiconductor</v>
      </c>
      <c r="C45588" s="6">
        <v>1271</v>
      </c>
      <c r="D45588" s="7">
        <v>205.89</v>
      </c>
    </row>
    <row r="45589" spans="1:5" x14ac:dyDescent="0.25">
      <c r="A45589" t="str">
        <f>HYPERLINK("https://www.773grp.com/globalSearch/78M05MFK/page-1", "78M05MFK")</f>
        <v>78M05MFK</v>
      </c>
      <c r="B45589" s="3" t="str">
        <f>HYPERLINK("https://www.773grp.com/manufacturer/onsemi?pageNo=135", "ON Semiconductor")</f>
        <v>ON Semiconductor</v>
      </c>
      <c r="C45589" s="6">
        <v>19</v>
      </c>
      <c r="D45589" s="7">
        <v>206.44</v>
      </c>
    </row>
    <row r="45590" spans="1:5" x14ac:dyDescent="0.25">
      <c r="A45590" t="str">
        <f>HYPERLINK("https://www.773grp.com/globalSearch/27LS00FM-B/page-1", "27LS00FM-B")</f>
        <v>27LS00FM-B</v>
      </c>
      <c r="B45590" s="3" t="str">
        <f>HYPERLINK("https://www.773grp.com/manufacturer/onsemi?pageNo=136", "ON Semiconductor")</f>
        <v>ON Semiconductor</v>
      </c>
      <c r="C45590" s="6">
        <v>1582</v>
      </c>
      <c r="D45590" s="7">
        <v>206.69</v>
      </c>
    </row>
    <row r="45591" spans="1:5" x14ac:dyDescent="0.25">
      <c r="A45591" t="str">
        <f>HYPERLINK("https://www.773grp.com/globalSearch/54L96DM-B/page-1", "54L96DM-B")</f>
        <v>54L96DM-B</v>
      </c>
      <c r="B45591" s="3" t="str">
        <f>HYPERLINK("https://www.773grp.com/manufacturer/onsemi?pageNo=137", "ON Semiconductor")</f>
        <v>ON Semiconductor</v>
      </c>
      <c r="C45591" s="6">
        <v>709</v>
      </c>
      <c r="D45591" s="7">
        <v>206.69</v>
      </c>
    </row>
    <row r="45592" spans="1:5" x14ac:dyDescent="0.25">
      <c r="A45592" t="str">
        <f>HYPERLINK("https://www.773grp.com/globalSearch/C8231A-8/page-1", "C8231A-8")</f>
        <v>C8231A-8</v>
      </c>
      <c r="B45592" s="3" t="str">
        <f>HYPERLINK("https://www.773grp.com/manufacturer/onsemi?pageNo=138", "ON Semiconductor")</f>
        <v>ON Semiconductor</v>
      </c>
      <c r="C45592" s="6">
        <v>208</v>
      </c>
      <c r="D45592" s="7">
        <v>206.69</v>
      </c>
    </row>
    <row r="45593" spans="1:5" x14ac:dyDescent="0.25">
      <c r="A45593" t="str">
        <f>HYPERLINK("https://www.773grp.com/globalSearch/R80186-10/page-1", "R80186-10")</f>
        <v>R80186-10</v>
      </c>
      <c r="B45593" s="3" t="str">
        <f>HYPERLINK("https://www.773grp.com/manufacturer/onsemi?pageNo=139", "ON Semiconductor")</f>
        <v>ON Semiconductor</v>
      </c>
      <c r="C45593" s="6">
        <v>35</v>
      </c>
      <c r="D45593" s="7">
        <v>206.69</v>
      </c>
      <c r="E45593" t="s">
        <v>81</v>
      </c>
    </row>
    <row r="45594" spans="1:5" x14ac:dyDescent="0.25">
      <c r="A45594" t="str">
        <f>HYPERLINK("https://www.773grp.com/globalSearch/27LS00FM-B/page-1", "27LS00FM-B")</f>
        <v>27LS00FM-B</v>
      </c>
      <c r="B45594" s="3" t="str">
        <f>HYPERLINK("https://www.773grp.com/manufacturer/onsemi?pageNo=140", "ON Semiconductor")</f>
        <v>ON Semiconductor</v>
      </c>
      <c r="C45594" s="6">
        <v>226</v>
      </c>
      <c r="D45594" s="7">
        <v>206.69</v>
      </c>
    </row>
    <row r="45595" spans="1:5" x14ac:dyDescent="0.25">
      <c r="A45595" t="str">
        <f>HYPERLINK("https://www.773grp.com/globalSearch/7160J-B/page-1", "7160J-B")</f>
        <v>7160J-B</v>
      </c>
      <c r="B45595" s="3" t="str">
        <f>HYPERLINK("https://www.773grp.com/manufacturer/onsemi?pageNo=141", "ON Semiconductor")</f>
        <v>ON Semiconductor</v>
      </c>
      <c r="C45595" s="6">
        <v>17</v>
      </c>
      <c r="D45595" s="7">
        <v>207.95</v>
      </c>
    </row>
    <row r="45596" spans="1:5" x14ac:dyDescent="0.25">
      <c r="A45596" t="str">
        <f>HYPERLINK("https://www.773grp.com/globalSearch/27S47AFM-B/page-1", "27S47AFM-B")</f>
        <v>27S47AFM-B</v>
      </c>
      <c r="B45596" s="3" t="str">
        <f>HYPERLINK("https://www.773grp.com/manufacturer/onsemi?pageNo=142", "ON Semiconductor")</f>
        <v>ON Semiconductor</v>
      </c>
      <c r="C45596" s="6">
        <v>7</v>
      </c>
      <c r="D45596" s="7">
        <v>211.6</v>
      </c>
    </row>
    <row r="45597" spans="1:5" x14ac:dyDescent="0.25">
      <c r="A45597" t="str">
        <f>HYPERLINK("https://www.773grp.com/globalSearch/9020DM-B/page-1", "9020DM-B")</f>
        <v>9020DM-B</v>
      </c>
      <c r="B45597" s="3" t="str">
        <f>HYPERLINK("https://www.773grp.com/manufacturer/onsemi?pageNo=143", "ON Semiconductor")</f>
        <v>ON Semiconductor</v>
      </c>
      <c r="C45597" s="6">
        <v>89</v>
      </c>
      <c r="D45597" s="7">
        <v>211.73</v>
      </c>
    </row>
    <row r="45598" spans="1:5" x14ac:dyDescent="0.25">
      <c r="A45598" t="str">
        <f>HYPERLINK("https://www.773grp.com/globalSearch/54LS469AJ-B/page-1", "54LS469AJ-B")</f>
        <v>54LS469AJ-B</v>
      </c>
      <c r="B45598" s="3" t="str">
        <f>HYPERLINK("https://www.773grp.com/manufacturer/onsemi?pageNo=144", "ON Semiconductor")</f>
        <v>ON Semiconductor</v>
      </c>
      <c r="C45598" s="6">
        <v>132</v>
      </c>
      <c r="D45598" s="7">
        <v>211.73</v>
      </c>
    </row>
    <row r="45599" spans="1:5" x14ac:dyDescent="0.25">
      <c r="A45599" t="str">
        <f>HYPERLINK("https://www.773grp.com/globalSearch/9020DM-B/page-1", "9020DM-B")</f>
        <v>9020DM-B</v>
      </c>
      <c r="B45599" s="3" t="str">
        <f>HYPERLINK("https://www.773grp.com/manufacturer/onsemi?pageNo=145", "ON Semiconductor")</f>
        <v>ON Semiconductor</v>
      </c>
      <c r="C45599" s="6">
        <v>10</v>
      </c>
      <c r="D45599" s="7">
        <v>211.73</v>
      </c>
    </row>
    <row r="45600" spans="1:5" x14ac:dyDescent="0.25">
      <c r="A45600" t="str">
        <f>HYPERLINK("https://www.773grp.com/globalSearch/P8095BH/page-1", "P8095BH")</f>
        <v>P8095BH</v>
      </c>
      <c r="B45600" s="3" t="str">
        <f>HYPERLINK("https://www.773grp.com/manufacturer/onsemi?pageNo=146", "ON Semiconductor")</f>
        <v>ON Semiconductor</v>
      </c>
      <c r="C45600" s="6">
        <v>774</v>
      </c>
      <c r="D45600" s="7">
        <v>211.73</v>
      </c>
      <c r="E45600" t="s">
        <v>52</v>
      </c>
    </row>
    <row r="45601" spans="1:5" x14ac:dyDescent="0.25">
      <c r="A45601" t="str">
        <f>HYPERLINK("https://www.773grp.com/globalSearch/2532A-45JM-B/page-1", "2532A-45JM-B")</f>
        <v>2532A-45JM-B</v>
      </c>
      <c r="B45601" s="3" t="str">
        <f>HYPERLINK("https://www.773grp.com/manufacturer/onsemi?pageNo=147", "ON Semiconductor")</f>
        <v>ON Semiconductor</v>
      </c>
      <c r="C45601" s="6">
        <v>94</v>
      </c>
      <c r="D45601" s="7">
        <v>213.4</v>
      </c>
    </row>
    <row r="45602" spans="1:5" x14ac:dyDescent="0.25">
      <c r="A45602" t="str">
        <f>HYPERLINK("https://www.773grp.com/globalSearch/54S133-BEA/page-1", "54S133-BEA")</f>
        <v>54S133-BEA</v>
      </c>
      <c r="B45602" s="3" t="str">
        <f>HYPERLINK("https://www.773grp.com/manufacturer/onsemi?pageNo=148", "ON Semiconductor")</f>
        <v>ON Semiconductor</v>
      </c>
      <c r="C45602" s="6">
        <v>836</v>
      </c>
      <c r="D45602" s="7">
        <v>213.68</v>
      </c>
      <c r="E45602" t="s">
        <v>31</v>
      </c>
    </row>
    <row r="45603" spans="1:5" x14ac:dyDescent="0.25">
      <c r="A45603" t="str">
        <f>HYPERLINK("https://www.773grp.com/globalSearch/ADSP-2111BS-66/page-1", "ADSP-2111BS-66")</f>
        <v>ADSP-2111BS-66</v>
      </c>
      <c r="B45603" s="3" t="str">
        <f>HYPERLINK("https://www.773grp.com/manufacturer/onsemi?pageNo=149", "ON Semiconductor")</f>
        <v>ON Semiconductor</v>
      </c>
      <c r="C45603" s="6">
        <v>9362</v>
      </c>
      <c r="D45603" s="7">
        <v>214.25</v>
      </c>
      <c r="E45603" t="s">
        <v>124</v>
      </c>
    </row>
    <row r="45604" spans="1:5" x14ac:dyDescent="0.25">
      <c r="A45604" t="str">
        <f>HYPERLINK("https://www.773grp.com/globalSearch/DG300A-BIA/page-1", "DG300A-BIA")</f>
        <v>DG300A-BIA</v>
      </c>
      <c r="B45604" s="3" t="str">
        <f>HYPERLINK("https://www.773grp.com/manufacturer/onsemi?pageNo=150", "ON Semiconductor")</f>
        <v>ON Semiconductor</v>
      </c>
      <c r="C45604" s="6">
        <v>546</v>
      </c>
      <c r="D45604" s="7">
        <v>214.25</v>
      </c>
    </row>
    <row r="45605" spans="1:5" x14ac:dyDescent="0.25">
      <c r="A45605" t="str">
        <f>HYPERLINK("https://www.773grp.com/globalSearch/IH5012CDE/page-1", "IH5012CDE")</f>
        <v>IH5012CDE</v>
      </c>
      <c r="B45605" s="3" t="str">
        <f>HYPERLINK("https://www.773grp.com/manufacturer/onsemi?pageNo=151", "ON Semiconductor")</f>
        <v>ON Semiconductor</v>
      </c>
      <c r="C45605" s="6">
        <v>198</v>
      </c>
      <c r="D45605" s="7">
        <v>214.25</v>
      </c>
      <c r="E45605" t="s">
        <v>56</v>
      </c>
    </row>
    <row r="45606" spans="1:5" x14ac:dyDescent="0.25">
      <c r="A45606" t="str">
        <f>HYPERLINK("https://www.773grp.com/globalSearch/UC2907J/page-1", "UC2907J")</f>
        <v>UC2907J</v>
      </c>
      <c r="B45606" s="3" t="str">
        <f>HYPERLINK("https://www.773grp.com/manufacturer/onsemi?pageNo=152", "ON Semiconductor")</f>
        <v>ON Semiconductor</v>
      </c>
      <c r="C45606" s="6">
        <v>139</v>
      </c>
      <c r="D45606" s="7">
        <v>214.25</v>
      </c>
      <c r="E45606" t="s">
        <v>30</v>
      </c>
    </row>
    <row r="45607" spans="1:5" x14ac:dyDescent="0.25">
      <c r="A45607" t="str">
        <f>HYPERLINK("https://www.773grp.com/globalSearch/R753001 LT/page-1", "R753001 LT")</f>
        <v>R753001 LT</v>
      </c>
      <c r="B45607" s="3" t="str">
        <f>HYPERLINK("https://www.773grp.com/manufacturer/onsemi?pageNo=153", "ON Semiconductor")</f>
        <v>ON Semiconductor</v>
      </c>
      <c r="C45607" s="6">
        <v>47</v>
      </c>
      <c r="D45607" s="7">
        <v>216.33</v>
      </c>
    </row>
    <row r="45608" spans="1:5" x14ac:dyDescent="0.25">
      <c r="A45608" t="str">
        <f>HYPERLINK("https://www.773grp.com/globalSearch/54HC4049E-B/page-1", "54HC4049E-B")</f>
        <v>54HC4049E-B</v>
      </c>
      <c r="B45608" s="3" t="str">
        <f>HYPERLINK("https://www.773grp.com/manufacturer/onsemi?pageNo=154", "ON Semiconductor")</f>
        <v>ON Semiconductor</v>
      </c>
      <c r="C45608" s="6">
        <v>122</v>
      </c>
      <c r="D45608" s="7">
        <v>216.78</v>
      </c>
    </row>
    <row r="45609" spans="1:5" x14ac:dyDescent="0.25">
      <c r="A45609" t="str">
        <f>HYPERLINK("https://www.773grp.com/globalSearch/54HC4050E-B/page-1", "54HC4050E-B")</f>
        <v>54HC4050E-B</v>
      </c>
      <c r="B45609" s="3" t="str">
        <f>HYPERLINK("https://www.773grp.com/manufacturer/onsemi?pageNo=155", "ON Semiconductor")</f>
        <v>ON Semiconductor</v>
      </c>
      <c r="C45609" s="6">
        <v>75</v>
      </c>
      <c r="D45609" s="7">
        <v>216.78</v>
      </c>
    </row>
    <row r="45610" spans="1:5" x14ac:dyDescent="0.25">
      <c r="A45610" t="str">
        <f>HYPERLINK("https://www.773grp.com/globalSearch/900HM-2/page-1", "900HM-2")</f>
        <v>900HM-2</v>
      </c>
      <c r="B45610" s="3" t="str">
        <f>HYPERLINK("https://www.773grp.com/manufacturer/onsemi?pageNo=156", "ON Semiconductor")</f>
        <v>ON Semiconductor</v>
      </c>
      <c r="C45610" s="6">
        <v>131</v>
      </c>
      <c r="D45610" s="7">
        <v>216.78</v>
      </c>
    </row>
    <row r="45611" spans="1:5" x14ac:dyDescent="0.25">
      <c r="A45611" t="str">
        <f>HYPERLINK("https://www.773grp.com/globalSearch/914HM-2/page-1", "914HM-2")</f>
        <v>914HM-2</v>
      </c>
      <c r="B45611" s="3" t="str">
        <f>HYPERLINK("https://www.773grp.com/manufacturer/onsemi?pageNo=157", "ON Semiconductor")</f>
        <v>ON Semiconductor</v>
      </c>
      <c r="C45611" s="6">
        <v>382</v>
      </c>
      <c r="D45611" s="7">
        <v>216.78</v>
      </c>
    </row>
    <row r="45612" spans="1:5" x14ac:dyDescent="0.25">
      <c r="A45612" t="str">
        <f>HYPERLINK("https://www.773grp.com/globalSearch/54LS691FK-B/page-1", "54LS691FK-B")</f>
        <v>54LS691FK-B</v>
      </c>
      <c r="B45612" s="3" t="str">
        <f>HYPERLINK("https://www.773grp.com/manufacturer/onsemi?pageNo=158", "ON Semiconductor")</f>
        <v>ON Semiconductor</v>
      </c>
      <c r="C45612" s="6">
        <v>142</v>
      </c>
      <c r="D45612" s="7">
        <v>216.78</v>
      </c>
    </row>
    <row r="45613" spans="1:5" x14ac:dyDescent="0.25">
      <c r="A45613" t="str">
        <f>HYPERLINK("https://www.773grp.com/globalSearch/MM54C195J-883/page-1", "MM54C195J-883")</f>
        <v>MM54C195J-883</v>
      </c>
      <c r="B45613" s="3" t="str">
        <f>HYPERLINK("https://www.773grp.com/manufacturer/onsemi?pageNo=159", "ON Semiconductor")</f>
        <v>ON Semiconductor</v>
      </c>
      <c r="C45613" s="6">
        <v>461</v>
      </c>
      <c r="D45613" s="7">
        <v>217.36</v>
      </c>
      <c r="E45613" t="s">
        <v>32</v>
      </c>
    </row>
    <row r="45614" spans="1:5" x14ac:dyDescent="0.25">
      <c r="A45614" t="str">
        <f>HYPERLINK("https://www.773grp.com/globalSearch/LM161H-883/page-1", "LM161H-883")</f>
        <v>LM161H-883</v>
      </c>
      <c r="B45614" s="3" t="str">
        <f>HYPERLINK("https://www.773grp.com/manufacturer/onsemi?pageNo=160", "ON Semiconductor")</f>
        <v>ON Semiconductor</v>
      </c>
      <c r="C45614" s="6">
        <v>503</v>
      </c>
      <c r="D45614" s="7">
        <v>217.74</v>
      </c>
      <c r="E45614" t="s">
        <v>9</v>
      </c>
    </row>
    <row r="45615" spans="1:5" x14ac:dyDescent="0.25">
      <c r="A45615" t="str">
        <f>HYPERLINK("https://www.773grp.com/globalSearch/MD82C288-10-R/page-1", "MD82C288-10-R")</f>
        <v>MD82C288-10-R</v>
      </c>
      <c r="B45615" s="3" t="str">
        <f>HYPERLINK("https://www.773grp.com/manufacturer/onsemi?pageNo=161", "ON Semiconductor")</f>
        <v>ON Semiconductor</v>
      </c>
      <c r="C45615" s="6">
        <v>4982</v>
      </c>
      <c r="D45615" s="7">
        <v>219.29</v>
      </c>
    </row>
    <row r="45616" spans="1:5" x14ac:dyDescent="0.25">
      <c r="A45616" t="str">
        <f>HYPERLINK("https://www.773grp.com/globalSearch/DP8572AMD/page-1", "DP8572AMD")</f>
        <v>DP8572AMD</v>
      </c>
      <c r="B45616" s="3" t="str">
        <f>HYPERLINK("https://www.773grp.com/manufacturer/onsemi?pageNo=162", "ON Semiconductor")</f>
        <v>ON Semiconductor</v>
      </c>
      <c r="C45616" s="6">
        <v>20</v>
      </c>
      <c r="D45616" s="7">
        <v>219.29</v>
      </c>
    </row>
    <row r="45617" spans="1:4" x14ac:dyDescent="0.25">
      <c r="A45617" t="str">
        <f>HYPERLINK("https://www.773grp.com/globalSearch/CLC432A-BPA/page-1", "CLC432A-BPA")</f>
        <v>CLC432A-BPA</v>
      </c>
      <c r="B45617" s="3" t="str">
        <f>HYPERLINK("https://www.773grp.com/manufacturer/onsemi?pageNo=163", "ON Semiconductor")</f>
        <v>ON Semiconductor</v>
      </c>
      <c r="C45617" s="6">
        <v>570</v>
      </c>
      <c r="D45617" s="7">
        <v>220.11</v>
      </c>
    </row>
    <row r="45618" spans="1:4" x14ac:dyDescent="0.25">
      <c r="A45618" t="str">
        <f>HYPERLINK("https://www.773grp.com/globalSearch/9519ADM-B/page-1", "9519ADM-B")</f>
        <v>9519ADM-B</v>
      </c>
      <c r="B45618" s="3" t="str">
        <f>HYPERLINK("https://www.773grp.com/manufacturer/onsemi?pageNo=164", "ON Semiconductor")</f>
        <v>ON Semiconductor</v>
      </c>
      <c r="C45618" s="6">
        <v>2171</v>
      </c>
      <c r="D45618" s="7">
        <v>220.35</v>
      </c>
    </row>
    <row r="45619" spans="1:4" x14ac:dyDescent="0.25">
      <c r="A45619" t="str">
        <f>HYPERLINK("https://www.773grp.com/globalSearch/CLC449A-BPA/page-1", "CLC449A-BPA")</f>
        <v>CLC449A-BPA</v>
      </c>
      <c r="B45619" s="3" t="str">
        <f>HYPERLINK("https://www.773grp.com/manufacturer/onsemi?pageNo=165", "ON Semiconductor")</f>
        <v>ON Semiconductor</v>
      </c>
      <c r="C45619" s="6">
        <v>538</v>
      </c>
      <c r="D45619" s="7">
        <v>220.68</v>
      </c>
    </row>
    <row r="45620" spans="1:4" x14ac:dyDescent="0.25">
      <c r="A45620" t="str">
        <f>HYPERLINK("https://www.773grp.com/globalSearch/74S201J-R/page-1", "74S201J-R")</f>
        <v>74S201J-R</v>
      </c>
      <c r="B45620" s="3" t="str">
        <f>HYPERLINK("https://www.773grp.com/manufacturer/onsemi?pageNo=166", "ON Semiconductor")</f>
        <v>ON Semiconductor</v>
      </c>
      <c r="C45620" s="6">
        <v>237</v>
      </c>
      <c r="D45620" s="7">
        <v>220.74</v>
      </c>
    </row>
    <row r="45621" spans="1:4" x14ac:dyDescent="0.25">
      <c r="A45621" t="str">
        <f>HYPERLINK("https://www.773grp.com/globalSearch/25S18DM-B  LT/page-1", "25S18DM-B  LT")</f>
        <v>25S18DM-B  LT</v>
      </c>
      <c r="B45621" s="3" t="str">
        <f>HYPERLINK("https://www.773grp.com/manufacturer/onsemi?pageNo=167", "ON Semiconductor")</f>
        <v>ON Semiconductor</v>
      </c>
      <c r="C45621" s="6">
        <v>48</v>
      </c>
      <c r="D45621" s="7">
        <v>221.8</v>
      </c>
    </row>
    <row r="45622" spans="1:4" x14ac:dyDescent="0.25">
      <c r="A45622" t="str">
        <f>HYPERLINK("https://www.773grp.com/globalSearch/54L91DM/page-1", "54L91DM")</f>
        <v>54L91DM</v>
      </c>
      <c r="B45622" s="3" t="str">
        <f>HYPERLINK("https://www.773grp.com/manufacturer/onsemi?pageNo=168", "ON Semiconductor")</f>
        <v>ON Semiconductor</v>
      </c>
      <c r="C45622" s="6">
        <v>481</v>
      </c>
      <c r="D45622" s="7">
        <v>221.8</v>
      </c>
    </row>
    <row r="45623" spans="1:4" x14ac:dyDescent="0.25">
      <c r="A45623" t="str">
        <f>HYPERLINK("https://www.773grp.com/globalSearch/75120T/page-1", "75120T")</f>
        <v>75120T</v>
      </c>
      <c r="B45623" s="3" t="str">
        <f>HYPERLINK("https://www.773grp.com/manufacturer/onsemi?pageNo=169", "ON Semiconductor")</f>
        <v>ON Semiconductor</v>
      </c>
      <c r="C45623" s="6">
        <v>210</v>
      </c>
      <c r="D45623" s="7">
        <v>221.8</v>
      </c>
    </row>
    <row r="45624" spans="1:4" x14ac:dyDescent="0.25">
      <c r="A45624" t="str">
        <f>HYPERLINK("https://www.773grp.com/globalSearch/9003FM-R/page-1", "9003FM-R")</f>
        <v>9003FM-R</v>
      </c>
      <c r="B45624" s="3" t="str">
        <f>HYPERLINK("https://www.773grp.com/manufacturer/onsemi?pageNo=170", "ON Semiconductor")</f>
        <v>ON Semiconductor</v>
      </c>
      <c r="C45624" s="6">
        <v>22</v>
      </c>
      <c r="D45624" s="7">
        <v>221.8</v>
      </c>
    </row>
    <row r="45625" spans="1:4" x14ac:dyDescent="0.25">
      <c r="A45625" t="str">
        <f>HYPERLINK("https://www.773grp.com/globalSearch/9022DM-B/page-1", "9022DM-B")</f>
        <v>9022DM-B</v>
      </c>
      <c r="B45625" s="3" t="str">
        <f>HYPERLINK("https://www.773grp.com/manufacturer/onsemi?pageNo=171", "ON Semiconductor")</f>
        <v>ON Semiconductor</v>
      </c>
      <c r="C45625" s="6">
        <v>55</v>
      </c>
      <c r="D45625" s="7">
        <v>221.8</v>
      </c>
    </row>
    <row r="45626" spans="1:4" x14ac:dyDescent="0.25">
      <c r="A45626" t="str">
        <f>HYPERLINK("https://www.773grp.com/globalSearch/923HM/page-1", "923HM")</f>
        <v>923HM</v>
      </c>
      <c r="B45626" s="3" t="str">
        <f>HYPERLINK("https://www.773grp.com/manufacturer/onsemi?pageNo=172", "ON Semiconductor")</f>
        <v>ON Semiconductor</v>
      </c>
      <c r="C45626" s="6">
        <v>23</v>
      </c>
      <c r="D45626" s="7">
        <v>221.8</v>
      </c>
    </row>
    <row r="45627" spans="1:4" x14ac:dyDescent="0.25">
      <c r="A45627" t="str">
        <f>HYPERLINK("https://www.773grp.com/globalSearch/25S18FM-B/page-1", "25S18FM-B")</f>
        <v>25S18FM-B</v>
      </c>
      <c r="B45627" s="3" t="str">
        <f>HYPERLINK("https://www.773grp.com/manufacturer/onsemi?pageNo=173", "ON Semiconductor")</f>
        <v>ON Semiconductor</v>
      </c>
      <c r="C45627" s="6">
        <v>2564</v>
      </c>
      <c r="D45627" s="7">
        <v>221.8</v>
      </c>
    </row>
    <row r="45628" spans="1:4" x14ac:dyDescent="0.25">
      <c r="A45628" t="str">
        <f>HYPERLINK("https://www.773grp.com/globalSearch/27S25ADM-B/page-1", "27S25ADM-B")</f>
        <v>27S25ADM-B</v>
      </c>
      <c r="B45628" s="3" t="str">
        <f>HYPERLINK("https://www.773grp.com/manufacturer/onsemi?pageNo=174", "ON Semiconductor")</f>
        <v>ON Semiconductor</v>
      </c>
      <c r="C45628" s="6">
        <v>380</v>
      </c>
      <c r="D45628" s="7">
        <v>221.8</v>
      </c>
    </row>
    <row r="45629" spans="1:4" x14ac:dyDescent="0.25">
      <c r="A45629" t="str">
        <f>HYPERLINK("https://www.773grp.com/globalSearch/2911ADM-B/page-1", "2911ADM-B")</f>
        <v>2911ADM-B</v>
      </c>
      <c r="B45629" s="3" t="str">
        <f>HYPERLINK("https://www.773grp.com/manufacturer/onsemi?pageNo=175", "ON Semiconductor")</f>
        <v>ON Semiconductor</v>
      </c>
      <c r="C45629" s="6">
        <v>375</v>
      </c>
      <c r="D45629" s="7">
        <v>221.8</v>
      </c>
    </row>
    <row r="45630" spans="1:4" x14ac:dyDescent="0.25">
      <c r="A45630" t="str">
        <f>HYPERLINK("https://www.773grp.com/globalSearch/2966J-B/page-1", "2966J-B")</f>
        <v>2966J-B</v>
      </c>
      <c r="B45630" s="3" t="str">
        <f>HYPERLINK("https://www.773grp.com/manufacturer/onsemi?pageNo=176", "ON Semiconductor")</f>
        <v>ON Semiconductor</v>
      </c>
      <c r="C45630" s="6">
        <v>1420</v>
      </c>
      <c r="D45630" s="7">
        <v>221.8</v>
      </c>
    </row>
    <row r="45631" spans="1:4" x14ac:dyDescent="0.25">
      <c r="A45631" t="str">
        <f>HYPERLINK("https://www.773grp.com/globalSearch/2966J-B  LT/page-1", "2966J-B  LT")</f>
        <v>2966J-B  LT</v>
      </c>
      <c r="B45631" s="3" t="str">
        <f>HYPERLINK("https://www.773grp.com/manufacturer/onsemi?pageNo=177", "ON Semiconductor")</f>
        <v>ON Semiconductor</v>
      </c>
      <c r="C45631" s="6">
        <v>48</v>
      </c>
      <c r="D45631" s="7">
        <v>221.8</v>
      </c>
    </row>
    <row r="45632" spans="1:4" x14ac:dyDescent="0.25">
      <c r="A45632" t="str">
        <f>HYPERLINK("https://www.773grp.com/globalSearch/93S16DM-B/page-1", "93S16DM-B")</f>
        <v>93S16DM-B</v>
      </c>
      <c r="B45632" s="3" t="str">
        <f>HYPERLINK("https://www.773grp.com/manufacturer/onsemi?pageNo=178", "ON Semiconductor")</f>
        <v>ON Semiconductor</v>
      </c>
      <c r="C45632" s="6">
        <v>62</v>
      </c>
      <c r="D45632" s="7">
        <v>221.8</v>
      </c>
    </row>
    <row r="45633" spans="1:5" x14ac:dyDescent="0.25">
      <c r="A45633" t="str">
        <f>HYPERLINK("https://www.773grp.com/globalSearch/MD8212-B/page-1", "MD8212-B")</f>
        <v>MD8212-B</v>
      </c>
      <c r="B45633" s="3" t="str">
        <f>HYPERLINK("https://www.773grp.com/manufacturer/onsemi?pageNo=179", "ON Semiconductor")</f>
        <v>ON Semiconductor</v>
      </c>
      <c r="C45633" s="6">
        <v>255</v>
      </c>
      <c r="D45633" s="7">
        <v>221.8</v>
      </c>
    </row>
    <row r="45634" spans="1:5" x14ac:dyDescent="0.25">
      <c r="A45634" t="str">
        <f>HYPERLINK("https://www.773grp.com/globalSearch/MD8284A-B/page-1", "MD8284A-B")</f>
        <v>MD8284A-B</v>
      </c>
      <c r="B45634" s="3" t="str">
        <f>HYPERLINK("https://www.773grp.com/manufacturer/onsemi?pageNo=180", "ON Semiconductor")</f>
        <v>ON Semiconductor</v>
      </c>
      <c r="C45634" s="6">
        <v>1117</v>
      </c>
      <c r="D45634" s="7">
        <v>221.8</v>
      </c>
    </row>
    <row r="45635" spans="1:5" x14ac:dyDescent="0.25">
      <c r="A45635" t="str">
        <f>HYPERLINK("https://www.773grp.com/globalSearch/S82S62DM-B/page-1", "S82S62DM-B")</f>
        <v>S82S62DM-B</v>
      </c>
      <c r="B45635" s="3" t="str">
        <f>HYPERLINK("https://www.773grp.com/manufacturer/onsemi?pageNo=181", "ON Semiconductor")</f>
        <v>ON Semiconductor</v>
      </c>
      <c r="C45635" s="6">
        <v>1169</v>
      </c>
      <c r="D45635" s="7">
        <v>221.8</v>
      </c>
    </row>
    <row r="45636" spans="1:5" x14ac:dyDescent="0.25">
      <c r="A45636" t="str">
        <f>HYPERLINK("https://www.773grp.com/globalSearch/MD8031AH-B/page-1", "MD8031AH-B")</f>
        <v>MD8031AH-B</v>
      </c>
      <c r="B45636" s="3" t="str">
        <f>HYPERLINK("https://www.773grp.com/manufacturer/onsemi?pageNo=182", "ON Semiconductor")</f>
        <v>ON Semiconductor</v>
      </c>
      <c r="C45636" s="6">
        <v>502</v>
      </c>
      <c r="D45636" s="7">
        <v>221.8</v>
      </c>
    </row>
    <row r="45637" spans="1:5" x14ac:dyDescent="0.25">
      <c r="A45637" t="str">
        <f>HYPERLINK("https://www.773grp.com/globalSearch/2504DM-B/page-1", "2504DM-B")</f>
        <v>2504DM-B</v>
      </c>
      <c r="B45637" s="3" t="str">
        <f>HYPERLINK("https://www.773grp.com/manufacturer/onsemi?pageNo=183", "ON Semiconductor")</f>
        <v>ON Semiconductor</v>
      </c>
      <c r="C45637" s="6">
        <v>1927</v>
      </c>
      <c r="D45637" s="7">
        <v>221.8</v>
      </c>
    </row>
    <row r="45638" spans="1:5" x14ac:dyDescent="0.25">
      <c r="A45638" t="str">
        <f>HYPERLINK("https://www.773grp.com/globalSearch/25L04DM-B/page-1", "25L04DM-B")</f>
        <v>25L04DM-B</v>
      </c>
      <c r="B45638" s="3" t="str">
        <f>HYPERLINK("https://www.773grp.com/manufacturer/onsemi?pageNo=184", "ON Semiconductor")</f>
        <v>ON Semiconductor</v>
      </c>
      <c r="C45638" s="6">
        <v>2194</v>
      </c>
      <c r="D45638" s="7">
        <v>221.8</v>
      </c>
    </row>
    <row r="45639" spans="1:5" x14ac:dyDescent="0.25">
      <c r="A45639" t="str">
        <f>HYPERLINK("https://www.773grp.com/globalSearch/CLC425A-BPA/page-1", "CLC425A-BPA")</f>
        <v>CLC425A-BPA</v>
      </c>
      <c r="B45639" s="3" t="str">
        <f>HYPERLINK("https://www.773grp.com/manufacturer/onsemi?pageNo=185", "ON Semiconductor")</f>
        <v>ON Semiconductor</v>
      </c>
      <c r="C45639" s="6">
        <v>1261</v>
      </c>
      <c r="D45639" s="7">
        <v>221.84</v>
      </c>
    </row>
    <row r="45640" spans="1:5" x14ac:dyDescent="0.25">
      <c r="A45640" t="str">
        <f>HYPERLINK("https://www.773grp.com/globalSearch/CLC428A-BPA/page-1", "CLC428A-BPA")</f>
        <v>CLC428A-BPA</v>
      </c>
      <c r="B45640" s="3" t="str">
        <f>HYPERLINK("https://www.773grp.com/manufacturer/onsemi?pageNo=186", "ON Semiconductor")</f>
        <v>ON Semiconductor</v>
      </c>
      <c r="C45640" s="6">
        <v>137</v>
      </c>
      <c r="D45640" s="7">
        <v>221.84</v>
      </c>
    </row>
    <row r="45641" spans="1:5" x14ac:dyDescent="0.25">
      <c r="A45641" t="str">
        <f>HYPERLINK("https://www.773grp.com/globalSearch/54152AFM-B/page-1", "54152AFM-B")</f>
        <v>54152AFM-B</v>
      </c>
      <c r="B45641" s="3" t="str">
        <f>HYPERLINK("https://www.773grp.com/manufacturer/onsemi?pageNo=187", "ON Semiconductor")</f>
        <v>ON Semiconductor</v>
      </c>
      <c r="C45641" s="6">
        <v>1021</v>
      </c>
      <c r="D45641" s="7">
        <v>222.09</v>
      </c>
    </row>
    <row r="45642" spans="1:5" x14ac:dyDescent="0.25">
      <c r="A45642" t="str">
        <f>HYPERLINK("https://www.773grp.com/globalSearch/2914DM-B/page-1", "2914DM-B")</f>
        <v>2914DM-B</v>
      </c>
      <c r="B45642" s="3" t="str">
        <f>HYPERLINK("https://www.773grp.com/manufacturer/onsemi?pageNo=188", "ON Semiconductor")</f>
        <v>ON Semiconductor</v>
      </c>
      <c r="C45642" s="6">
        <v>37</v>
      </c>
      <c r="D45642" s="7">
        <v>222.69</v>
      </c>
    </row>
    <row r="45643" spans="1:5" x14ac:dyDescent="0.25">
      <c r="A45643" t="str">
        <f>HYPERLINK("https://www.773grp.com/globalSearch/CLC431A-BCA/page-1", "CLC431A-BCA")</f>
        <v>CLC431A-BCA</v>
      </c>
      <c r="B45643" s="3" t="str">
        <f>HYPERLINK("https://www.773grp.com/manufacturer/onsemi?pageNo=189", "ON Semiconductor")</f>
        <v>ON Semiconductor</v>
      </c>
      <c r="C45643" s="6">
        <v>633</v>
      </c>
      <c r="D45643" s="7">
        <v>223.08</v>
      </c>
    </row>
    <row r="45644" spans="1:5" x14ac:dyDescent="0.25">
      <c r="A45644" t="str">
        <f>HYPERLINK("https://www.773grp.com/globalSearch/CLC522A-BCA/page-1", "CLC522A-BCA")</f>
        <v>CLC522A-BCA</v>
      </c>
      <c r="B45644" s="3" t="str">
        <f>HYPERLINK("https://www.773grp.com/manufacturer/onsemi?pageNo=190", "ON Semiconductor")</f>
        <v>ON Semiconductor</v>
      </c>
      <c r="C45644" s="6">
        <v>820</v>
      </c>
      <c r="D45644" s="7">
        <v>223.08</v>
      </c>
    </row>
    <row r="45645" spans="1:5" x14ac:dyDescent="0.25">
      <c r="A45645" t="str">
        <f>HYPERLINK("https://www.773grp.com/globalSearch/CY7C4271-10AI/page-1", "CY7C4271-10AI")</f>
        <v>CY7C4271-10AI</v>
      </c>
      <c r="B45645" s="3" t="str">
        <f>HYPERLINK("https://www.773grp.com/manufacturer/onsemi?pageNo=191", "ON Semiconductor")</f>
        <v>ON Semiconductor</v>
      </c>
      <c r="C45645" s="6">
        <v>2441</v>
      </c>
      <c r="D45645" s="7">
        <v>224.98</v>
      </c>
      <c r="E45645" t="s">
        <v>89</v>
      </c>
    </row>
    <row r="45646" spans="1:5" x14ac:dyDescent="0.25">
      <c r="A45646" t="str">
        <f>HYPERLINK("https://www.773grp.com/globalSearch/MR27C256-25-B/page-1", "MR27C256-25-B")</f>
        <v>MR27C256-25-B</v>
      </c>
      <c r="B45646" s="3" t="str">
        <f>HYPERLINK("https://www.773grp.com/manufacturer/onsemi?pageNo=192", "ON Semiconductor")</f>
        <v>ON Semiconductor</v>
      </c>
      <c r="C45646" s="6">
        <v>47</v>
      </c>
      <c r="D45646" s="7">
        <v>225.99</v>
      </c>
    </row>
    <row r="45647" spans="1:5" x14ac:dyDescent="0.25">
      <c r="A45647" t="str">
        <f>HYPERLINK("https://www.773grp.com/globalSearch/2909AFM-B/page-1", "2909AFM-B")</f>
        <v>2909AFM-B</v>
      </c>
      <c r="B45647" s="3" t="str">
        <f>HYPERLINK("https://www.773grp.com/manufacturer/onsemi?pageNo=193", "ON Semiconductor")</f>
        <v>ON Semiconductor</v>
      </c>
      <c r="C45647" s="6">
        <v>20</v>
      </c>
      <c r="D45647" s="7">
        <v>226.85</v>
      </c>
    </row>
    <row r="45648" spans="1:5" x14ac:dyDescent="0.25">
      <c r="A45648" t="str">
        <f>HYPERLINK("https://www.773grp.com/globalSearch/LD8755A/page-1", "LD8755A")</f>
        <v>LD8755A</v>
      </c>
      <c r="B45648" s="3" t="str">
        <f>HYPERLINK("https://www.773grp.com/manufacturer/onsemi?pageNo=194", "ON Semiconductor")</f>
        <v>ON Semiconductor</v>
      </c>
      <c r="C45648" s="6">
        <v>692</v>
      </c>
      <c r="D45648" s="7">
        <v>226.85</v>
      </c>
      <c r="E45648" t="s">
        <v>90</v>
      </c>
    </row>
    <row r="45649" spans="1:5" x14ac:dyDescent="0.25">
      <c r="A45649" t="str">
        <f>HYPERLINK("https://www.773grp.com/globalSearch/54HC4543J-B/page-1", "54HC4543J-B")</f>
        <v>54HC4543J-B</v>
      </c>
      <c r="B45649" s="3" t="str">
        <f>HYPERLINK("https://www.773grp.com/manufacturer/onsemi?pageNo=195", "ON Semiconductor")</f>
        <v>ON Semiconductor</v>
      </c>
      <c r="C45649" s="6">
        <v>676</v>
      </c>
      <c r="D45649" s="7">
        <v>226.85</v>
      </c>
    </row>
    <row r="45650" spans="1:5" x14ac:dyDescent="0.25">
      <c r="A45650" t="str">
        <f>HYPERLINK("https://www.773grp.com/globalSearch/54LS626J-B/page-1", "54LS626J-B")</f>
        <v>54LS626J-B</v>
      </c>
      <c r="B45650" s="3" t="str">
        <f>HYPERLINK("https://www.773grp.com/manufacturer/onsemi?pageNo=196", "ON Semiconductor")</f>
        <v>ON Semiconductor</v>
      </c>
      <c r="C45650" s="6">
        <v>151</v>
      </c>
      <c r="D45650" s="7">
        <v>227.49</v>
      </c>
    </row>
    <row r="45651" spans="1:5" x14ac:dyDescent="0.25">
      <c r="A45651" t="str">
        <f>HYPERLINK("https://www.773grp.com/globalSearch/ICM7555MTV-883/page-1", "ICM7555MTV-883")</f>
        <v>ICM7555MTV-883</v>
      </c>
      <c r="B45651" s="3" t="str">
        <f>HYPERLINK("https://www.773grp.com/manufacturer/onsemi?pageNo=197", "ON Semiconductor")</f>
        <v>ON Semiconductor</v>
      </c>
      <c r="C45651" s="6">
        <v>558</v>
      </c>
      <c r="D45651" s="7">
        <v>229</v>
      </c>
    </row>
    <row r="45652" spans="1:5" x14ac:dyDescent="0.25">
      <c r="A45652" t="str">
        <f>HYPERLINK("https://www.773grp.com/globalSearch/951FM/page-1", "951FM")</f>
        <v>951FM</v>
      </c>
      <c r="B45652" s="3" t="str">
        <f>HYPERLINK("https://www.773grp.com/manufacturer/onsemi?pageNo=198", "ON Semiconductor")</f>
        <v>ON Semiconductor</v>
      </c>
      <c r="C45652" s="6">
        <v>211</v>
      </c>
      <c r="D45652" s="7">
        <v>229.36</v>
      </c>
    </row>
    <row r="45653" spans="1:5" x14ac:dyDescent="0.25">
      <c r="A45653" t="str">
        <f>HYPERLINK("https://www.773grp.com/globalSearch/C8231A/page-1", "C8231A")</f>
        <v>C8231A</v>
      </c>
      <c r="B45653" s="3" t="str">
        <f>HYPERLINK("https://www.773grp.com/manufacturer/onsemi?pageNo=199", "ON Semiconductor")</f>
        <v>ON Semiconductor</v>
      </c>
      <c r="C45653" s="6">
        <v>381</v>
      </c>
      <c r="D45653" s="7">
        <v>229.65</v>
      </c>
      <c r="E45653" t="s">
        <v>125</v>
      </c>
    </row>
    <row r="45654" spans="1:5" x14ac:dyDescent="0.25">
      <c r="A45654" t="str">
        <f>HYPERLINK("https://www.773grp.com/globalSearch/5482J-B/page-1", "5482J-B")</f>
        <v>5482J-B</v>
      </c>
      <c r="B45654" s="3" t="str">
        <f>HYPERLINK("https://www.773grp.com/manufacturer/onsemi?pageNo=200", "ON Semiconductor")</f>
        <v>ON Semiconductor</v>
      </c>
      <c r="C45654" s="6">
        <v>68</v>
      </c>
      <c r="D45654" s="7">
        <v>230.61</v>
      </c>
    </row>
    <row r="45655" spans="1:5" x14ac:dyDescent="0.25">
      <c r="A45655" t="str">
        <f>HYPERLINK("https://www.773grp.com/globalSearch/R534142/page-1", "R534142")</f>
        <v>R534142</v>
      </c>
      <c r="B45655" s="3" t="str">
        <f>HYPERLINK("https://www.773grp.com/manufacturer/onsemi?pageNo=201", "ON Semiconductor")</f>
        <v>ON Semiconductor</v>
      </c>
      <c r="C45655" s="6">
        <v>1</v>
      </c>
      <c r="D45655" s="7">
        <v>231.28</v>
      </c>
    </row>
    <row r="45656" spans="1:5" x14ac:dyDescent="0.25">
      <c r="A45656" t="str">
        <f>HYPERLINK("https://www.773grp.com/globalSearch/MD82C284-6-B/page-1", "MD82C284-6-B")</f>
        <v>MD82C284-6-B</v>
      </c>
      <c r="B45656" s="3" t="str">
        <f>HYPERLINK("https://www.773grp.com/manufacturer/onsemi?pageNo=202", "ON Semiconductor")</f>
        <v>ON Semiconductor</v>
      </c>
      <c r="C45656" s="6">
        <v>15</v>
      </c>
      <c r="D45656" s="7">
        <v>231.29</v>
      </c>
    </row>
    <row r="45657" spans="1:5" x14ac:dyDescent="0.25">
      <c r="A45657" t="str">
        <f>HYPERLINK("https://www.773grp.com/globalSearch/CLC412A-B2A/page-1", "CLC412A-B2A")</f>
        <v>CLC412A-B2A</v>
      </c>
      <c r="B45657" s="3" t="str">
        <f>HYPERLINK("https://www.773grp.com/manufacturer/onsemi?pageNo=203", "ON Semiconductor")</f>
        <v>ON Semiconductor</v>
      </c>
      <c r="C45657" s="6">
        <v>454</v>
      </c>
      <c r="D45657" s="7">
        <v>231.64</v>
      </c>
    </row>
    <row r="45658" spans="1:5" x14ac:dyDescent="0.25">
      <c r="A45658" t="str">
        <f>HYPERLINK("https://www.773grp.com/globalSearch/27LS00AFM-B/page-1", "27LS00AFM-B")</f>
        <v>27LS00AFM-B</v>
      </c>
      <c r="B45658" s="3" t="str">
        <f>HYPERLINK("https://www.773grp.com/manufacturer/onsemi?pageNo=204", "ON Semiconductor")</f>
        <v>ON Semiconductor</v>
      </c>
      <c r="C45658" s="6">
        <v>279</v>
      </c>
      <c r="D45658" s="7">
        <v>231.9</v>
      </c>
    </row>
    <row r="45659" spans="1:5" x14ac:dyDescent="0.25">
      <c r="A45659" t="str">
        <f>HYPERLINK("https://www.773grp.com/globalSearch/R554100/page-1", "R554100")</f>
        <v>R554100</v>
      </c>
      <c r="B45659" s="3" t="str">
        <f>HYPERLINK("https://www.773grp.com/manufacturer/onsemi?pageNo=205", "ON Semiconductor")</f>
        <v>ON Semiconductor</v>
      </c>
      <c r="C45659" s="6">
        <v>238</v>
      </c>
      <c r="D45659" s="7">
        <v>231.9</v>
      </c>
    </row>
    <row r="45660" spans="1:5" x14ac:dyDescent="0.25">
      <c r="A45660" t="str">
        <f>HYPERLINK("https://www.773grp.com/globalSearch/R186000/page-1", "R186000")</f>
        <v>R186000</v>
      </c>
      <c r="B45660" s="3" t="str">
        <f>HYPERLINK("https://www.773grp.com/manufacturer/onsemi?pageNo=206", "ON Semiconductor")</f>
        <v>ON Semiconductor</v>
      </c>
      <c r="C45660" s="6">
        <v>507</v>
      </c>
      <c r="D45660" s="7">
        <v>231.9</v>
      </c>
    </row>
    <row r="45661" spans="1:5" x14ac:dyDescent="0.25">
      <c r="A45661" t="str">
        <f>HYPERLINK("https://www.773grp.com/globalSearch/R618002/page-1", "R618002")</f>
        <v>R618002</v>
      </c>
      <c r="B45661" s="3" t="str">
        <f>HYPERLINK("https://www.773grp.com/manufacturer/onsemi?pageNo=207", "ON Semiconductor")</f>
        <v>ON Semiconductor</v>
      </c>
      <c r="C45661" s="6">
        <v>491</v>
      </c>
      <c r="D45661" s="7">
        <v>231.9</v>
      </c>
    </row>
    <row r="45662" spans="1:5" x14ac:dyDescent="0.25">
      <c r="A45662" t="str">
        <f>HYPERLINK("https://www.773grp.com/globalSearch/LM131AH-B/page-1", "LM131AH-B")</f>
        <v>LM131AH-B</v>
      </c>
      <c r="B45662" s="3" t="str">
        <f>HYPERLINK("https://www.773grp.com/manufacturer/onsemi?pageNo=208", "ON Semiconductor")</f>
        <v>ON Semiconductor</v>
      </c>
      <c r="C45662" s="6">
        <v>725</v>
      </c>
      <c r="D45662" s="7">
        <v>233.54</v>
      </c>
    </row>
    <row r="45663" spans="1:5" x14ac:dyDescent="0.25">
      <c r="A45663" t="str">
        <f>HYPERLINK("https://www.773grp.com/globalSearch/R552125/page-1", "R552125")</f>
        <v>R552125</v>
      </c>
      <c r="B45663" s="3" t="str">
        <f>HYPERLINK("https://www.773grp.com/manufacturer/onsemi?pageNo=209", "ON Semiconductor")</f>
        <v>ON Semiconductor</v>
      </c>
      <c r="C45663" s="6">
        <v>339</v>
      </c>
      <c r="D45663" s="7">
        <v>233.74</v>
      </c>
    </row>
    <row r="45664" spans="1:5" x14ac:dyDescent="0.25">
      <c r="A45664" t="str">
        <f>HYPERLINK("https://www.773grp.com/globalSearch/R652116/page-1", "R652116")</f>
        <v>R652116</v>
      </c>
      <c r="B45664" s="3" t="str">
        <f>HYPERLINK("https://www.773grp.com/manufacturer/onsemi?pageNo=210", "ON Semiconductor")</f>
        <v>ON Semiconductor</v>
      </c>
      <c r="C45664" s="6">
        <v>350</v>
      </c>
      <c r="D45664" s="7">
        <v>233.74</v>
      </c>
    </row>
    <row r="45665" spans="1:5" x14ac:dyDescent="0.25">
      <c r="A45665" t="str">
        <f>HYPERLINK("https://www.773grp.com/globalSearch/9001DM-B/page-1", "9001DM-B")</f>
        <v>9001DM-B</v>
      </c>
      <c r="B45665" s="3" t="str">
        <f>HYPERLINK("https://www.773grp.com/manufacturer/onsemi?pageNo=211", "ON Semiconductor")</f>
        <v>ON Semiconductor</v>
      </c>
      <c r="C45665" s="6">
        <v>115</v>
      </c>
      <c r="D45665" s="7">
        <v>233.79</v>
      </c>
    </row>
    <row r="45666" spans="1:5" x14ac:dyDescent="0.25">
      <c r="A45666" t="str">
        <f>HYPERLINK("https://www.773grp.com/globalSearch/9001DM-B  LT/page-1", "9001DM-B  LT")</f>
        <v>9001DM-B  LT</v>
      </c>
      <c r="B45666" s="3" t="str">
        <f>HYPERLINK("https://www.773grp.com/manufacturer/onsemi?pageNo=212", "ON Semiconductor")</f>
        <v>ON Semiconductor</v>
      </c>
      <c r="C45666" s="6">
        <v>90</v>
      </c>
      <c r="D45666" s="7">
        <v>233.79</v>
      </c>
    </row>
    <row r="45667" spans="1:5" x14ac:dyDescent="0.25">
      <c r="A45667" t="str">
        <f>HYPERLINK("https://www.773grp.com/globalSearch/9001DM-B/page-1", "9001DM-B")</f>
        <v>9001DM-B</v>
      </c>
      <c r="B45667" s="3" t="str">
        <f>HYPERLINK("https://www.773grp.com/manufacturer/onsemi?pageNo=213", "ON Semiconductor")</f>
        <v>ON Semiconductor</v>
      </c>
      <c r="C45667" s="6">
        <v>34</v>
      </c>
      <c r="D45667" s="7">
        <v>233.79</v>
      </c>
    </row>
    <row r="45668" spans="1:5" x14ac:dyDescent="0.25">
      <c r="A45668" t="str">
        <f>HYPERLINK("https://www.773grp.com/globalSearch/LM110H-883/page-1", "LM110H-883")</f>
        <v>LM110H-883</v>
      </c>
      <c r="B45668" s="3" t="str">
        <f>HYPERLINK("https://www.773grp.com/manufacturer/onsemi?pageNo=214", "ON Semiconductor")</f>
        <v>ON Semiconductor</v>
      </c>
      <c r="C45668" s="6">
        <v>786</v>
      </c>
      <c r="D45668" s="7">
        <v>235.29</v>
      </c>
      <c r="E45668" t="s">
        <v>48</v>
      </c>
    </row>
    <row r="45669" spans="1:5" x14ac:dyDescent="0.25">
      <c r="A45669" t="str">
        <f>HYPERLINK("https://www.773grp.com/globalSearch/932HM-B/page-1", "932HM-B")</f>
        <v>932HM-B</v>
      </c>
      <c r="B45669" s="3" t="str">
        <f>HYPERLINK("https://www.773grp.com/manufacturer/onsemi?pageNo=215", "ON Semiconductor")</f>
        <v>ON Semiconductor</v>
      </c>
      <c r="C45669" s="6">
        <v>49</v>
      </c>
      <c r="D45669" s="7">
        <v>235.39</v>
      </c>
    </row>
    <row r="45670" spans="1:5" x14ac:dyDescent="0.25">
      <c r="A45670" t="str">
        <f>HYPERLINK("https://www.773grp.com/globalSearch/LM103H-3.0-883/page-1", "LM103H-3.0-883")</f>
        <v>LM103H-3.0-883</v>
      </c>
      <c r="B45670" s="3" t="str">
        <f>HYPERLINK("https://www.773grp.com/manufacturer/onsemi?pageNo=216", "ON Semiconductor")</f>
        <v>ON Semiconductor</v>
      </c>
      <c r="C45670" s="6">
        <v>769</v>
      </c>
      <c r="D45670" s="7">
        <v>237.64</v>
      </c>
    </row>
    <row r="45671" spans="1:5" x14ac:dyDescent="0.25">
      <c r="A45671" t="str">
        <f>HYPERLINK("https://www.773grp.com/globalSearch/2909ADM-B/page-1", "2909ADM-B")</f>
        <v>2909ADM-B</v>
      </c>
      <c r="B45671" s="3" t="str">
        <f>HYPERLINK("https://www.773grp.com/manufacturer/onsemi?pageNo=217", "ON Semiconductor")</f>
        <v>ON Semiconductor</v>
      </c>
      <c r="C45671" s="6">
        <v>386</v>
      </c>
      <c r="D45671" s="7">
        <v>237.8</v>
      </c>
    </row>
    <row r="45672" spans="1:5" x14ac:dyDescent="0.25">
      <c r="A45672" t="str">
        <f>HYPERLINK("https://www.773grp.com/globalSearch/54L55W-B/page-1", "54L55W-B")</f>
        <v>54L55W-B</v>
      </c>
      <c r="B45672" s="3" t="str">
        <f>HYPERLINK("https://www.773grp.com/manufacturer/onsemi?pageNo=218", "ON Semiconductor")</f>
        <v>ON Semiconductor</v>
      </c>
      <c r="C45672" s="6">
        <v>123</v>
      </c>
      <c r="D45672" s="7">
        <v>239.46</v>
      </c>
    </row>
    <row r="45673" spans="1:5" x14ac:dyDescent="0.25">
      <c r="A45673" t="str">
        <f>HYPERLINK("https://www.773grp.com/globalSearch/NSC800N-4I/page-1", "NSC800N-4I")</f>
        <v>NSC800N-4I</v>
      </c>
      <c r="B45673" s="3" t="str">
        <f>HYPERLINK("https://www.773grp.com/manufacturer/onsemi?pageNo=219", "ON Semiconductor")</f>
        <v>ON Semiconductor</v>
      </c>
      <c r="C45673" s="6">
        <v>4735</v>
      </c>
      <c r="D45673" s="7">
        <v>241.36</v>
      </c>
      <c r="E45673" t="s">
        <v>81</v>
      </c>
    </row>
    <row r="45674" spans="1:5" x14ac:dyDescent="0.25">
      <c r="A45674" t="str">
        <f>HYPERLINK("https://www.773grp.com/globalSearch/29520ALM-B/page-1", "29520ALM-B")</f>
        <v>29520ALM-B</v>
      </c>
      <c r="B45674" s="3" t="str">
        <f>HYPERLINK("https://www.773grp.com/manufacturer/onsemi?pageNo=220", "ON Semiconductor")</f>
        <v>ON Semiconductor</v>
      </c>
      <c r="C45674" s="6">
        <v>169</v>
      </c>
      <c r="D45674" s="7">
        <v>241.5</v>
      </c>
    </row>
    <row r="45675" spans="1:5" x14ac:dyDescent="0.25">
      <c r="A45675" t="str">
        <f>HYPERLINK("https://www.773grp.com/globalSearch/TD87C51FA/page-1", "TD87C51FA")</f>
        <v>TD87C51FA</v>
      </c>
      <c r="B45675" s="3" t="str">
        <f>HYPERLINK("https://www.773grp.com/manufacturer/onsemi?pageNo=221", "ON Semiconductor")</f>
        <v>ON Semiconductor</v>
      </c>
      <c r="C45675" s="6">
        <v>15</v>
      </c>
      <c r="D45675" s="7">
        <v>241.65</v>
      </c>
      <c r="E45675" t="s">
        <v>52</v>
      </c>
    </row>
    <row r="45676" spans="1:5" x14ac:dyDescent="0.25">
      <c r="A45676" t="str">
        <f>HYPERLINK("https://www.773grp.com/globalSearch/963DM-B/page-1", "963DM-B")</f>
        <v>963DM-B</v>
      </c>
      <c r="B45676" s="3" t="str">
        <f>HYPERLINK("https://www.773grp.com/manufacturer/onsemi?pageNo=222", "ON Semiconductor")</f>
        <v>ON Semiconductor</v>
      </c>
      <c r="C45676" s="6">
        <v>147</v>
      </c>
      <c r="D45676" s="7">
        <v>241.88</v>
      </c>
    </row>
    <row r="45677" spans="1:5" x14ac:dyDescent="0.25">
      <c r="A45677" t="str">
        <f>HYPERLINK("https://www.773grp.com/globalSearch/54H11DM-C/page-1", "54H11DM-C")</f>
        <v>54H11DM-C</v>
      </c>
      <c r="B45677" s="3" t="str">
        <f>HYPERLINK("https://www.773grp.com/manufacturer/onsemi?pageNo=223", "ON Semiconductor")</f>
        <v>ON Semiconductor</v>
      </c>
      <c r="C45677" s="6">
        <v>500</v>
      </c>
      <c r="D45677" s="7">
        <v>241.98</v>
      </c>
    </row>
    <row r="45678" spans="1:5" x14ac:dyDescent="0.25">
      <c r="A45678" t="str">
        <f>HYPERLINK("https://www.773grp.com/globalSearch/9L86DM-C/page-1", "9L86DM-C")</f>
        <v>9L86DM-C</v>
      </c>
      <c r="B45678" s="3" t="str">
        <f>HYPERLINK("https://www.773grp.com/manufacturer/onsemi?pageNo=224", "ON Semiconductor")</f>
        <v>ON Semiconductor</v>
      </c>
      <c r="C45678" s="6">
        <v>308</v>
      </c>
      <c r="D45678" s="7">
        <v>241.98</v>
      </c>
    </row>
    <row r="45679" spans="1:5" x14ac:dyDescent="0.25">
      <c r="A45679" t="str">
        <f>HYPERLINK("https://www.773grp.com/globalSearch/MD82C284-8-B/page-1", "MD82C284-8-B")</f>
        <v>MD82C284-8-B</v>
      </c>
      <c r="B45679" s="3" t="str">
        <f>HYPERLINK("https://www.773grp.com/manufacturer/onsemi?pageNo=225", "ON Semiconductor")</f>
        <v>ON Semiconductor</v>
      </c>
      <c r="C45679" s="6">
        <v>635</v>
      </c>
      <c r="D45679" s="7">
        <v>243.15</v>
      </c>
    </row>
    <row r="45680" spans="1:5" x14ac:dyDescent="0.25">
      <c r="A45680" t="str">
        <f>HYPERLINK("https://www.773grp.com/globalSearch/HA2-2542-883/page-1", "HA2-2542-883")</f>
        <v>HA2-2542-883</v>
      </c>
      <c r="B45680" s="3" t="str">
        <f>HYPERLINK("https://www.773grp.com/manufacturer/onsemi?pageNo=226", "ON Semiconductor")</f>
        <v>ON Semiconductor</v>
      </c>
      <c r="C45680" s="6">
        <v>128</v>
      </c>
      <c r="D45680" s="7">
        <v>243.91</v>
      </c>
      <c r="E45680" t="s">
        <v>13</v>
      </c>
    </row>
    <row r="45681" spans="1:5" x14ac:dyDescent="0.25">
      <c r="A45681" t="str">
        <f>HYPERLINK("https://www.773grp.com/globalSearch/54H78J-B/page-1", "54H78J-B")</f>
        <v>54H78J-B</v>
      </c>
      <c r="B45681" s="3" t="str">
        <f>HYPERLINK("https://www.773grp.com/manufacturer/onsemi?pageNo=227", "ON Semiconductor")</f>
        <v>ON Semiconductor</v>
      </c>
      <c r="C45681" s="6">
        <v>335</v>
      </c>
      <c r="D45681" s="7">
        <v>247.01</v>
      </c>
    </row>
    <row r="45682" spans="1:5" x14ac:dyDescent="0.25">
      <c r="A45682" t="str">
        <f>HYPERLINK("https://www.773grp.com/globalSearch/95016DC-B/page-1", "95016DC-B")</f>
        <v>95016DC-B</v>
      </c>
      <c r="B45682" s="3" t="str">
        <f>HYPERLINK("https://www.773grp.com/manufacturer/onsemi?pageNo=228", "ON Semiconductor")</f>
        <v>ON Semiconductor</v>
      </c>
      <c r="C45682" s="6">
        <v>27</v>
      </c>
      <c r="D45682" s="7">
        <v>247.01</v>
      </c>
    </row>
    <row r="45683" spans="1:5" x14ac:dyDescent="0.25">
      <c r="A45683" t="str">
        <f>HYPERLINK("https://www.773grp.com/globalSearch/25LS2569DM-B/page-1", "25LS2569DM-B")</f>
        <v>25LS2569DM-B</v>
      </c>
      <c r="B45683" s="3" t="str">
        <f>HYPERLINK("https://www.773grp.com/manufacturer/onsemi?pageNo=229", "ON Semiconductor")</f>
        <v>ON Semiconductor</v>
      </c>
      <c r="C45683" s="6">
        <v>340</v>
      </c>
      <c r="D45683" s="7">
        <v>247.01</v>
      </c>
    </row>
    <row r="45684" spans="1:5" x14ac:dyDescent="0.25">
      <c r="A45684" t="str">
        <f>HYPERLINK("https://www.773grp.com/globalSearch/26S10-BFA/page-1", "26S10-BFA")</f>
        <v>26S10-BFA</v>
      </c>
      <c r="B45684" s="3" t="str">
        <f>HYPERLINK("https://www.773grp.com/manufacturer/onsemi?pageNo=230", "ON Semiconductor")</f>
        <v>ON Semiconductor</v>
      </c>
      <c r="C45684" s="6">
        <v>879</v>
      </c>
      <c r="D45684" s="7">
        <v>247.01</v>
      </c>
    </row>
    <row r="45685" spans="1:5" x14ac:dyDescent="0.25">
      <c r="A45685" t="str">
        <f>HYPERLINK("https://www.773grp.com/globalSearch/27S07ADM-B/page-1", "27S07ADM-B")</f>
        <v>27S07ADM-B</v>
      </c>
      <c r="B45685" s="3" t="str">
        <f>HYPERLINK("https://www.773grp.com/manufacturer/onsemi?pageNo=231", "ON Semiconductor")</f>
        <v>ON Semiconductor</v>
      </c>
      <c r="C45685" s="6">
        <v>4928</v>
      </c>
      <c r="D45685" s="7">
        <v>247.01</v>
      </c>
    </row>
    <row r="45686" spans="1:5" x14ac:dyDescent="0.25">
      <c r="A45686" t="str">
        <f>HYPERLINK("https://www.773grp.com/globalSearch/2910ADM-B/page-1", "2910ADM-B")</f>
        <v>2910ADM-B</v>
      </c>
      <c r="B45686" s="3" t="str">
        <f>HYPERLINK("https://www.773grp.com/manufacturer/onsemi?pageNo=232", "ON Semiconductor")</f>
        <v>ON Semiconductor</v>
      </c>
      <c r="C45686" s="6">
        <v>12</v>
      </c>
      <c r="D45686" s="7">
        <v>247.01</v>
      </c>
    </row>
    <row r="45687" spans="1:5" x14ac:dyDescent="0.25">
      <c r="A45687" t="str">
        <f>HYPERLINK("https://www.773grp.com/globalSearch/9S42DM-C/page-1", "9S42DM-C")</f>
        <v>9S42DM-C</v>
      </c>
      <c r="B45687" s="3" t="str">
        <f>HYPERLINK("https://www.773grp.com/manufacturer/onsemi?pageNo=233", "ON Semiconductor")</f>
        <v>ON Semiconductor</v>
      </c>
      <c r="C45687" s="6">
        <v>322</v>
      </c>
      <c r="D45687" s="7">
        <v>247.01</v>
      </c>
    </row>
    <row r="45688" spans="1:5" x14ac:dyDescent="0.25">
      <c r="A45688" t="str">
        <f>HYPERLINK("https://www.773grp.com/globalSearch/DG201AK-B/page-1", "DG201AK-B")</f>
        <v>DG201AK-B</v>
      </c>
      <c r="B45688" s="3" t="str">
        <f>HYPERLINK("https://www.773grp.com/manufacturer/onsemi?pageNo=234", "ON Semiconductor")</f>
        <v>ON Semiconductor</v>
      </c>
      <c r="C45688" s="6">
        <v>1119</v>
      </c>
      <c r="D45688" s="7">
        <v>247.01</v>
      </c>
    </row>
    <row r="45689" spans="1:5" x14ac:dyDescent="0.25">
      <c r="A45689" t="str">
        <f>HYPERLINK("https://www.773grp.com/globalSearch/IH5012MDE/page-1", "IH5012MDE")</f>
        <v>IH5012MDE</v>
      </c>
      <c r="B45689" s="3" t="str">
        <f>HYPERLINK("https://www.773grp.com/manufacturer/onsemi?pageNo=235", "ON Semiconductor")</f>
        <v>ON Semiconductor</v>
      </c>
      <c r="C45689" s="6">
        <v>21</v>
      </c>
      <c r="D45689" s="7">
        <v>247.01</v>
      </c>
      <c r="E45689" t="s">
        <v>56</v>
      </c>
    </row>
    <row r="45690" spans="1:5" x14ac:dyDescent="0.25">
      <c r="A45690" t="str">
        <f>HYPERLINK("https://www.773grp.com/globalSearch/MC27128A-20-BYA/page-1", "MC27128A-20-BYA")</f>
        <v>MC27128A-20-BYA</v>
      </c>
      <c r="B45690" s="3" t="str">
        <f>HYPERLINK("https://www.773grp.com/manufacturer/onsemi?pageNo=236", "ON Semiconductor")</f>
        <v>ON Semiconductor</v>
      </c>
      <c r="C45690" s="6">
        <v>455</v>
      </c>
      <c r="D45690" s="7">
        <v>247.01</v>
      </c>
    </row>
    <row r="45691" spans="1:5" x14ac:dyDescent="0.25">
      <c r="A45691" t="str">
        <f>HYPERLINK("https://www.773grp.com/globalSearch/MD82289-8/page-1", "MD82289-8")</f>
        <v>MD82289-8</v>
      </c>
      <c r="B45691" s="3" t="str">
        <f>HYPERLINK("https://www.773grp.com/manufacturer/onsemi?pageNo=237", "ON Semiconductor")</f>
        <v>ON Semiconductor</v>
      </c>
      <c r="C45691" s="6">
        <v>450</v>
      </c>
      <c r="D45691" s="7">
        <v>247.01</v>
      </c>
    </row>
    <row r="45692" spans="1:5" x14ac:dyDescent="0.25">
      <c r="A45692" t="str">
        <f>HYPERLINK("https://www.773grp.com/globalSearch/4164-15JDS-BEA/page-1", "4164-15JDS-BEA")</f>
        <v>4164-15JDS-BEA</v>
      </c>
      <c r="B45692" s="3" t="str">
        <f>HYPERLINK("https://www.773grp.com/manufacturer/onsemi?pageNo=238", "ON Semiconductor")</f>
        <v>ON Semiconductor</v>
      </c>
      <c r="C45692" s="6">
        <v>1128</v>
      </c>
      <c r="D45692" s="7">
        <v>247.01</v>
      </c>
    </row>
    <row r="45693" spans="1:5" x14ac:dyDescent="0.25">
      <c r="A45693" t="str">
        <f>HYPERLINK("https://www.773grp.com/globalSearch/R374001/page-1", "R374001")</f>
        <v>R374001</v>
      </c>
      <c r="B45693" s="3" t="str">
        <f>HYPERLINK("https://www.773grp.com/manufacturer/onsemi?pageNo=239", "ON Semiconductor")</f>
        <v>ON Semiconductor</v>
      </c>
      <c r="C45693" s="6">
        <v>110</v>
      </c>
      <c r="D45693" s="7">
        <v>247.01</v>
      </c>
    </row>
    <row r="45694" spans="1:5" x14ac:dyDescent="0.25">
      <c r="A45694" t="str">
        <f>HYPERLINK("https://www.773grp.com/globalSearch/CDP1853CD-B/page-1", "CDP1853CD-B")</f>
        <v>CDP1853CD-B</v>
      </c>
      <c r="B45694" s="3" t="str">
        <f>HYPERLINK("https://www.773grp.com/manufacturer/onsemi?pageNo=240", "ON Semiconductor")</f>
        <v>ON Semiconductor</v>
      </c>
      <c r="C45694" s="6">
        <v>14</v>
      </c>
      <c r="D45694" s="7">
        <v>247.66</v>
      </c>
    </row>
    <row r="45695" spans="1:5" x14ac:dyDescent="0.25">
      <c r="A45695" t="str">
        <f>HYPERLINK("https://www.773grp.com/globalSearch/MR2764A-25-BZA/page-1", "MR2764A-25-BZA")</f>
        <v>MR2764A-25-BZA</v>
      </c>
      <c r="B45695" s="3" t="str">
        <f>HYPERLINK("https://www.773grp.com/manufacturer/onsemi?pageNo=241", "ON Semiconductor")</f>
        <v>ON Semiconductor</v>
      </c>
      <c r="C45695" s="6">
        <v>32</v>
      </c>
      <c r="D45695" s="7">
        <v>247.96</v>
      </c>
    </row>
    <row r="45696" spans="1:5" x14ac:dyDescent="0.25">
      <c r="A45696" t="str">
        <f>HYPERLINK("https://www.773grp.com/globalSearch/LM103H-3.3-883/page-1", "LM103H-3.3-883")</f>
        <v>LM103H-3.3-883</v>
      </c>
      <c r="B45696" s="3" t="str">
        <f>HYPERLINK("https://www.773grp.com/manufacturer/onsemi?pageNo=242", "ON Semiconductor")</f>
        <v>ON Semiconductor</v>
      </c>
      <c r="C45696" s="6">
        <v>873</v>
      </c>
      <c r="D45696" s="7">
        <v>248.6</v>
      </c>
    </row>
    <row r="45697" spans="1:5" x14ac:dyDescent="0.25">
      <c r="A45697" t="str">
        <f>HYPERLINK("https://www.773grp.com/globalSearch/54LS219AJ-B/page-1", "54LS219AJ-B")</f>
        <v>54LS219AJ-B</v>
      </c>
      <c r="B45697" s="3" t="str">
        <f>HYPERLINK("https://www.773grp.com/manufacturer/onsemi?pageNo=243", "ON Semiconductor")</f>
        <v>ON Semiconductor</v>
      </c>
      <c r="C45697" s="6">
        <v>181</v>
      </c>
      <c r="D45697" s="7">
        <v>249.11</v>
      </c>
    </row>
    <row r="45698" spans="1:5" x14ac:dyDescent="0.25">
      <c r="A45698" t="str">
        <f>HYPERLINK("https://www.773grp.com/globalSearch/R135102/page-1", "R135102")</f>
        <v>R135102</v>
      </c>
      <c r="B45698" s="3" t="str">
        <f>HYPERLINK("https://www.773grp.com/manufacturer/onsemi?pageNo=244", "ON Semiconductor")</f>
        <v>ON Semiconductor</v>
      </c>
      <c r="C45698" s="6">
        <v>25</v>
      </c>
      <c r="D45698" s="7">
        <v>250.8</v>
      </c>
    </row>
    <row r="45699" spans="1:5" x14ac:dyDescent="0.25">
      <c r="A45699" t="str">
        <f>HYPERLINK("https://www.773grp.com/globalSearch/R652101/page-1", "R652101")</f>
        <v>R652101</v>
      </c>
      <c r="B45699" s="3" t="str">
        <f>HYPERLINK("https://www.773grp.com/manufacturer/onsemi?pageNo=245", "ON Semiconductor")</f>
        <v>ON Semiconductor</v>
      </c>
      <c r="C45699" s="6">
        <v>181</v>
      </c>
      <c r="D45699" s="7">
        <v>251.54</v>
      </c>
    </row>
    <row r="45700" spans="1:5" x14ac:dyDescent="0.25">
      <c r="A45700" t="str">
        <f>HYPERLINK("https://www.773grp.com/globalSearch/54ALS808AFK-B/page-1", "54ALS808AFK-B")</f>
        <v>54ALS808AFK-B</v>
      </c>
      <c r="B45700" s="3" t="str">
        <f>HYPERLINK("https://www.773grp.com/manufacturer/onsemi?pageNo=246", "ON Semiconductor")</f>
        <v>ON Semiconductor</v>
      </c>
      <c r="C45700" s="6">
        <v>289</v>
      </c>
      <c r="D45700" s="7">
        <v>251.93</v>
      </c>
    </row>
    <row r="45701" spans="1:5" x14ac:dyDescent="0.25">
      <c r="A45701" t="str">
        <f>HYPERLINK("https://www.773grp.com/globalSearch/R652107/page-1", "R652107")</f>
        <v>R652107</v>
      </c>
      <c r="B45701" s="3" t="str">
        <f>HYPERLINK("https://www.773grp.com/manufacturer/onsemi?pageNo=247", "ON Semiconductor")</f>
        <v>ON Semiconductor</v>
      </c>
      <c r="C45701" s="6">
        <v>169</v>
      </c>
      <c r="D45701" s="7">
        <v>252.06</v>
      </c>
    </row>
    <row r="45702" spans="1:5" x14ac:dyDescent="0.25">
      <c r="A45702" t="str">
        <f>HYPERLINK("https://www.773grp.com/globalSearch/R866101/page-1", "R866101")</f>
        <v>R866101</v>
      </c>
      <c r="B45702" s="3" t="str">
        <f>HYPERLINK("https://www.773grp.com/manufacturer/onsemi?pageNo=248", "ON Semiconductor")</f>
        <v>ON Semiconductor</v>
      </c>
      <c r="C45702" s="6">
        <v>277</v>
      </c>
      <c r="D45702" s="7">
        <v>254.58</v>
      </c>
    </row>
    <row r="45703" spans="1:5" x14ac:dyDescent="0.25">
      <c r="A45703" t="str">
        <f>HYPERLINK("https://www.773grp.com/globalSearch/MD82C284-10-B/page-1", "MD82C284-10-B")</f>
        <v>MD82C284-10-B</v>
      </c>
      <c r="B45703" s="3" t="str">
        <f>HYPERLINK("https://www.773grp.com/manufacturer/onsemi?pageNo=249", "ON Semiconductor")</f>
        <v>ON Semiconductor</v>
      </c>
      <c r="C45703" s="6">
        <v>1242</v>
      </c>
      <c r="D45703" s="7">
        <v>255.04</v>
      </c>
    </row>
    <row r="45704" spans="1:5" x14ac:dyDescent="0.25">
      <c r="A45704" t="str">
        <f>HYPERLINK("https://www.773grp.com/globalSearch/25S18-BFA/page-1", "25S18-BFA")</f>
        <v>25S18-BFA</v>
      </c>
      <c r="B45704" s="3" t="str">
        <f>HYPERLINK("https://www.773grp.com/manufacturer/onsemi?pageNo=250", "ON Semiconductor")</f>
        <v>ON Semiconductor</v>
      </c>
      <c r="C45704" s="6">
        <v>745</v>
      </c>
      <c r="D45704" s="7">
        <v>255.09</v>
      </c>
    </row>
    <row r="45705" spans="1:5" x14ac:dyDescent="0.25">
      <c r="A45705" t="str">
        <f>HYPERLINK("https://www.773grp.com/globalSearch/DP8572AMD-883/page-1", "DP8572AMD-883")</f>
        <v>DP8572AMD-883</v>
      </c>
      <c r="B45705" s="3" t="str">
        <f>HYPERLINK("https://www.773grp.com/manufacturer/onsemi?pageNo=251", "ON Semiconductor")</f>
        <v>ON Semiconductor</v>
      </c>
      <c r="C45705" s="6">
        <v>21</v>
      </c>
      <c r="D45705" s="7">
        <v>255.84</v>
      </c>
      <c r="E45705" t="s">
        <v>82</v>
      </c>
    </row>
    <row r="45706" spans="1:5" x14ac:dyDescent="0.25">
      <c r="A45706" t="str">
        <f>HYPERLINK("https://www.773grp.com/globalSearch/8201008EA/page-1", "8201008EA")</f>
        <v>8201008EA</v>
      </c>
      <c r="B45706" s="3" t="str">
        <f>HYPERLINK("https://www.773grp.com/manufacturer/onsemi?pageNo=252", "ON Semiconductor")</f>
        <v>ON Semiconductor</v>
      </c>
      <c r="C45706" s="6">
        <v>74</v>
      </c>
      <c r="D45706" s="7">
        <v>257.08999999999997</v>
      </c>
      <c r="E45706" t="s">
        <v>107</v>
      </c>
    </row>
    <row r="45707" spans="1:5" x14ac:dyDescent="0.25">
      <c r="A45707" t="str">
        <f>HYPERLINK("https://www.773grp.com/globalSearch/R754101/page-1", "R754101")</f>
        <v>R754101</v>
      </c>
      <c r="B45707" s="3" t="str">
        <f>HYPERLINK("https://www.773grp.com/manufacturer/onsemi?pageNo=253", "ON Semiconductor")</f>
        <v>ON Semiconductor</v>
      </c>
      <c r="C45707" s="6">
        <v>61</v>
      </c>
      <c r="D45707" s="7">
        <v>257.95999999999998</v>
      </c>
    </row>
    <row r="45708" spans="1:5" x14ac:dyDescent="0.25">
      <c r="A45708" t="str">
        <f>HYPERLINK("https://www.773grp.com/globalSearch/LD87C51FC-1/page-1", "LD87C51FC-1")</f>
        <v>LD87C51FC-1</v>
      </c>
      <c r="B45708" s="3" t="str">
        <f>HYPERLINK("https://www.773grp.com/manufacturer/onsemi?pageNo=254", "ON Semiconductor")</f>
        <v>ON Semiconductor</v>
      </c>
      <c r="C45708" s="6">
        <v>450</v>
      </c>
      <c r="D45708" s="7">
        <v>259.01</v>
      </c>
    </row>
    <row r="45709" spans="1:5" x14ac:dyDescent="0.25">
      <c r="A45709" t="str">
        <f>HYPERLINK("https://www.773grp.com/globalSearch/MD82C288-8-B/page-1", "MD82C288-8-B")</f>
        <v>MD82C288-8-B</v>
      </c>
      <c r="B45709" s="3" t="str">
        <f>HYPERLINK("https://www.773grp.com/manufacturer/onsemi?pageNo=255", "ON Semiconductor")</f>
        <v>ON Semiconductor</v>
      </c>
      <c r="C45709" s="6">
        <v>308</v>
      </c>
      <c r="D45709" s="7">
        <v>259.63</v>
      </c>
    </row>
    <row r="45710" spans="1:5" x14ac:dyDescent="0.25">
      <c r="A45710" t="str">
        <f>HYPERLINK("https://www.773grp.com/globalSearch/9305DM-B/page-1", "9305DM-B")</f>
        <v>9305DM-B</v>
      </c>
      <c r="B45710" s="3" t="str">
        <f>HYPERLINK("https://www.773grp.com/manufacturer/onsemi?pageNo=256", "ON Semiconductor")</f>
        <v>ON Semiconductor</v>
      </c>
      <c r="C45710" s="6">
        <v>128</v>
      </c>
      <c r="D45710" s="7">
        <v>262.69</v>
      </c>
    </row>
    <row r="45711" spans="1:5" x14ac:dyDescent="0.25">
      <c r="A45711" t="str">
        <f>HYPERLINK("https://www.773grp.com/globalSearch/25S18-BEA/page-1", "25S18-BEA")</f>
        <v>25S18-BEA</v>
      </c>
      <c r="B45711" s="3" t="str">
        <f>HYPERLINK("https://www.773grp.com/manufacturer/onsemi?pageNo=257", "ON Semiconductor")</f>
        <v>ON Semiconductor</v>
      </c>
      <c r="C45711" s="6">
        <v>685</v>
      </c>
      <c r="D45711" s="7">
        <v>264.66000000000003</v>
      </c>
    </row>
    <row r="45712" spans="1:5" x14ac:dyDescent="0.25">
      <c r="A45712" t="str">
        <f>HYPERLINK("https://www.773grp.com/globalSearch/D87C51FA/page-1", "D87C51FA")</f>
        <v>D87C51FA</v>
      </c>
      <c r="B45712" s="3" t="str">
        <f>HYPERLINK("https://www.773grp.com/manufacturer/onsemi?pageNo=258", "ON Semiconductor")</f>
        <v>ON Semiconductor</v>
      </c>
      <c r="C45712" s="6">
        <v>206</v>
      </c>
      <c r="D45712" s="7">
        <v>267.69</v>
      </c>
      <c r="E45712" t="s">
        <v>52</v>
      </c>
    </row>
    <row r="45713" spans="1:5" x14ac:dyDescent="0.25">
      <c r="A45713" t="str">
        <f>HYPERLINK("https://www.773grp.com/globalSearch/54164DM-B/page-1", "54164DM-B")</f>
        <v>54164DM-B</v>
      </c>
      <c r="B45713" s="3" t="str">
        <f>HYPERLINK("https://www.773grp.com/manufacturer/onsemi?pageNo=259", "ON Semiconductor")</f>
        <v>ON Semiconductor</v>
      </c>
      <c r="C45713" s="6">
        <v>110</v>
      </c>
      <c r="D45713" s="7">
        <v>267.83</v>
      </c>
    </row>
    <row r="45714" spans="1:5" x14ac:dyDescent="0.25">
      <c r="A45714" t="str">
        <f>HYPERLINK("https://www.773grp.com/globalSearch/54164-BCA/page-1", "54164-BCA")</f>
        <v>54164-BCA</v>
      </c>
      <c r="B45714" s="3" t="str">
        <f>HYPERLINK("https://www.773grp.com/manufacturer/onsemi?pageNo=260", "ON Semiconductor")</f>
        <v>ON Semiconductor</v>
      </c>
      <c r="C45714" s="6">
        <v>567</v>
      </c>
      <c r="D45714" s="7">
        <v>267.83</v>
      </c>
      <c r="E45714" t="s">
        <v>32</v>
      </c>
    </row>
    <row r="45715" spans="1:5" x14ac:dyDescent="0.25">
      <c r="A45715" t="str">
        <f>HYPERLINK("https://www.773grp.com/globalSearch/55118J-B/page-1", "55118J-B")</f>
        <v>55118J-B</v>
      </c>
      <c r="B45715" s="4" t="str">
        <f>HYPERLINK("https://www.773grp.com/manufacturer/onsemi?pageNo=261", "ON Semiconductor")</f>
        <v>ON Semiconductor</v>
      </c>
      <c r="C45715" s="6">
        <v>11</v>
      </c>
      <c r="D45715" s="7">
        <v>268.45</v>
      </c>
    </row>
    <row r="45716" spans="1:5" x14ac:dyDescent="0.25">
      <c r="A45716" t="str">
        <f>HYPERLINK("https://www.773grp.com/globalSearch/DG181AP/page-1", "DG181AP")</f>
        <v>DG181AP</v>
      </c>
      <c r="B45716" s="3" t="str">
        <f>HYPERLINK("https://www.773grp.com/manufacturer/onsemi?pageNo=262", "ON Semiconductor")</f>
        <v>ON Semiconductor</v>
      </c>
      <c r="C45716" s="6">
        <v>235</v>
      </c>
      <c r="D45716" s="7">
        <v>268.95</v>
      </c>
      <c r="E45716" t="s">
        <v>56</v>
      </c>
    </row>
    <row r="45717" spans="1:5" x14ac:dyDescent="0.25">
      <c r="A45717" t="str">
        <f>HYPERLINK("https://www.773grp.com/globalSearch/TMC2081KBC/page-1", "TMC2081KBC")</f>
        <v>TMC2081KBC</v>
      </c>
      <c r="B45717" s="3" t="str">
        <f>HYPERLINK("https://www.773grp.com/manufacturer/onsemi?pageNo=263", "ON Semiconductor")</f>
        <v>ON Semiconductor</v>
      </c>
      <c r="C45717" s="6">
        <v>1065</v>
      </c>
      <c r="D45717" s="7">
        <v>269.85000000000002</v>
      </c>
      <c r="E45717" t="s">
        <v>23</v>
      </c>
    </row>
    <row r="45718" spans="1:5" x14ac:dyDescent="0.25">
      <c r="A45718" t="str">
        <f>HYPERLINK("https://www.773grp.com/globalSearch/2910A-BQA/page-1", "2910A-BQA")</f>
        <v>2910A-BQA</v>
      </c>
      <c r="B45718" s="3" t="str">
        <f>HYPERLINK("https://www.773grp.com/manufacturer/onsemi?pageNo=264", "ON Semiconductor")</f>
        <v>ON Semiconductor</v>
      </c>
      <c r="C45718" s="6">
        <v>74</v>
      </c>
      <c r="D45718" s="7">
        <v>270.88</v>
      </c>
    </row>
    <row r="45719" spans="1:5" x14ac:dyDescent="0.25">
      <c r="A45719" t="str">
        <f>HYPERLINK("https://www.773grp.com/globalSearch/C8231A  UT/page-1", "C8231A  UT")</f>
        <v>C8231A  UT</v>
      </c>
      <c r="B45719" s="3" t="str">
        <f>HYPERLINK("https://www.773grp.com/manufacturer/onsemi?pageNo=265", "ON Semiconductor")</f>
        <v>ON Semiconductor</v>
      </c>
      <c r="C45719" s="6">
        <v>58</v>
      </c>
      <c r="D45719" s="7">
        <v>270.95999999999998</v>
      </c>
    </row>
    <row r="45720" spans="1:5" x14ac:dyDescent="0.25">
      <c r="A45720" t="str">
        <f>HYPERLINK("https://www.773grp.com/globalSearch/MD28F010-90-R/page-1", "MD28F010-90-R")</f>
        <v>MD28F010-90-R</v>
      </c>
      <c r="B45720" s="3" t="str">
        <f>HYPERLINK("https://www.773grp.com/manufacturer/onsemi?pageNo=266", "ON Semiconductor")</f>
        <v>ON Semiconductor</v>
      </c>
      <c r="C45720" s="6">
        <v>4417</v>
      </c>
      <c r="D45720" s="7">
        <v>272.23</v>
      </c>
    </row>
    <row r="45721" spans="1:5" x14ac:dyDescent="0.25">
      <c r="A45721" t="str">
        <f>HYPERLINK("https://www.773grp.com/globalSearch/4164-15FGS-BZA/page-1", "4164-15FGS-BZA")</f>
        <v>4164-15FGS-BZA</v>
      </c>
      <c r="B45721" s="3" t="str">
        <f>HYPERLINK("https://www.773grp.com/manufacturer/onsemi?pageNo=267", "ON Semiconductor")</f>
        <v>ON Semiconductor</v>
      </c>
      <c r="C45721" s="6">
        <v>213</v>
      </c>
      <c r="D45721" s="7">
        <v>272.23</v>
      </c>
    </row>
    <row r="45722" spans="1:5" x14ac:dyDescent="0.25">
      <c r="A45722" t="str">
        <f>HYPERLINK("https://www.773grp.com/globalSearch/ICL8212MTY-B/page-1", "ICL8212MTY-B")</f>
        <v>ICL8212MTY-B</v>
      </c>
      <c r="B45722" s="3" t="str">
        <f>HYPERLINK("https://www.773grp.com/manufacturer/onsemi?pageNo=268", "ON Semiconductor")</f>
        <v>ON Semiconductor</v>
      </c>
      <c r="C45722" s="6">
        <v>584</v>
      </c>
      <c r="D45722" s="7">
        <v>274</v>
      </c>
    </row>
    <row r="45723" spans="1:5" x14ac:dyDescent="0.25">
      <c r="A45723" t="str">
        <f>HYPERLINK("https://www.773grp.com/globalSearch/LM759H-B/page-1", "LM759H-B")</f>
        <v>LM759H-B</v>
      </c>
      <c r="B45723" s="3" t="str">
        <f>HYPERLINK("https://www.773grp.com/manufacturer/onsemi?pageNo=269", "ON Semiconductor")</f>
        <v>ON Semiconductor</v>
      </c>
      <c r="C45723" s="6">
        <v>160</v>
      </c>
      <c r="D45723" s="7">
        <v>274.06</v>
      </c>
    </row>
    <row r="45724" spans="1:5" x14ac:dyDescent="0.25">
      <c r="A45724" t="str">
        <f>HYPERLINK("https://www.773grp.com/globalSearch/CY7C4285-15ASC/page-1", "CY7C4285-15ASC")</f>
        <v>CY7C4285-15ASC</v>
      </c>
      <c r="B45724" s="3" t="str">
        <f>HYPERLINK("https://www.773grp.com/manufacturer/onsemi?pageNo=270", "ON Semiconductor")</f>
        <v>ON Semiconductor</v>
      </c>
      <c r="C45724" s="6">
        <v>334</v>
      </c>
      <c r="D45724" s="7">
        <v>276.04000000000002</v>
      </c>
      <c r="E45724" t="s">
        <v>89</v>
      </c>
    </row>
    <row r="45725" spans="1:5" x14ac:dyDescent="0.25">
      <c r="A45725" t="str">
        <f>HYPERLINK("https://www.773grp.com/globalSearch/UA79M20CKC/page-1", "UA79M20CKC")</f>
        <v>UA79M20CKC</v>
      </c>
      <c r="B45725" s="3" t="str">
        <f>HYPERLINK("https://www.773grp.com/manufacturer/onsemi?pageNo=271", "ON Semiconductor")</f>
        <v>ON Semiconductor</v>
      </c>
      <c r="C45725" s="6">
        <v>371</v>
      </c>
      <c r="D45725" s="7">
        <v>276.13</v>
      </c>
      <c r="E45725" t="s">
        <v>65</v>
      </c>
    </row>
    <row r="45726" spans="1:5" x14ac:dyDescent="0.25">
      <c r="A45726" t="str">
        <f>HYPERLINK("https://www.773grp.com/globalSearch/EP1800ILC-70/page-1", "EP1800ILC-70")</f>
        <v>EP1800ILC-70</v>
      </c>
      <c r="B45726" s="3" t="str">
        <f>HYPERLINK("https://www.773grp.com/manufacturer/onsemi?pageNo=272", "ON Semiconductor")</f>
        <v>ON Semiconductor</v>
      </c>
      <c r="C45726" s="6">
        <v>1061</v>
      </c>
      <c r="D45726" s="7">
        <v>276.26</v>
      </c>
    </row>
    <row r="45727" spans="1:5" x14ac:dyDescent="0.25">
      <c r="A45727" t="str">
        <f>HYPERLINK("https://www.773grp.com/globalSearch/EP1810LC-45/page-1", "EP1810LC-45")</f>
        <v>EP1810LC-45</v>
      </c>
      <c r="B45727" s="3" t="str">
        <f>HYPERLINK("https://www.773grp.com/manufacturer/onsemi?pageNo=273", "ON Semiconductor")</f>
        <v>ON Semiconductor</v>
      </c>
      <c r="C45727" s="6">
        <v>391</v>
      </c>
      <c r="D45727" s="7">
        <v>276.26</v>
      </c>
    </row>
    <row r="45728" spans="1:5" x14ac:dyDescent="0.25">
      <c r="A45728" t="str">
        <f>HYPERLINK("https://www.773grp.com/globalSearch/CDP1852D-B/page-1", "CDP1852D-B")</f>
        <v>CDP1852D-B</v>
      </c>
      <c r="B45728" s="3" t="str">
        <f>HYPERLINK("https://www.773grp.com/manufacturer/onsemi?pageNo=274", "ON Semiconductor")</f>
        <v>ON Semiconductor</v>
      </c>
      <c r="C45728" s="6">
        <v>184</v>
      </c>
      <c r="D45728" s="7">
        <v>276.64999999999998</v>
      </c>
    </row>
    <row r="45729" spans="1:5" x14ac:dyDescent="0.25">
      <c r="A45729" t="str">
        <f>HYPERLINK("https://www.773grp.com/globalSearch/LM106W-C/page-1", "LM106W-C")</f>
        <v>LM106W-C</v>
      </c>
      <c r="B45729" s="3" t="str">
        <f>HYPERLINK("https://www.773grp.com/manufacturer/onsemi?pageNo=275", "ON Semiconductor")</f>
        <v>ON Semiconductor</v>
      </c>
      <c r="C45729" s="6">
        <v>314</v>
      </c>
      <c r="D45729" s="7">
        <v>277.26</v>
      </c>
    </row>
    <row r="45730" spans="1:5" x14ac:dyDescent="0.25">
      <c r="A45730" t="str">
        <f>HYPERLINK("https://www.773grp.com/globalSearch/R652124/page-1", "R652124")</f>
        <v>R652124</v>
      </c>
      <c r="B45730" s="3" t="str">
        <f>HYPERLINK("https://www.773grp.com/manufacturer/onsemi?pageNo=276", "ON Semiconductor")</f>
        <v>ON Semiconductor</v>
      </c>
      <c r="C45730" s="6">
        <v>374</v>
      </c>
      <c r="D45730" s="7">
        <v>277.26</v>
      </c>
    </row>
    <row r="45731" spans="1:5" x14ac:dyDescent="0.25">
      <c r="A45731" t="str">
        <f>HYPERLINK("https://www.773grp.com/globalSearch/RC1520G-C/page-1", "RC1520G-C")</f>
        <v>RC1520G-C</v>
      </c>
      <c r="B45731" s="3" t="str">
        <f>HYPERLINK("https://www.773grp.com/manufacturer/onsemi?pageNo=277", "ON Semiconductor")</f>
        <v>ON Semiconductor</v>
      </c>
      <c r="C45731" s="6">
        <v>8</v>
      </c>
      <c r="D45731" s="7">
        <v>277.26</v>
      </c>
    </row>
    <row r="45732" spans="1:5" x14ac:dyDescent="0.25">
      <c r="A45732" t="str">
        <f>HYPERLINK("https://www.773grp.com/globalSearch/9519A-BXA/page-1", "9519A-BXA")</f>
        <v>9519A-BXA</v>
      </c>
      <c r="B45732" s="3" t="str">
        <f>HYPERLINK("https://www.773grp.com/manufacturer/onsemi?pageNo=278", "ON Semiconductor")</f>
        <v>ON Semiconductor</v>
      </c>
      <c r="C45732" s="6">
        <v>757</v>
      </c>
      <c r="D45732" s="7">
        <v>277.26</v>
      </c>
    </row>
    <row r="45733" spans="1:5" x14ac:dyDescent="0.25">
      <c r="A45733" t="str">
        <f>HYPERLINK("https://www.773grp.com/globalSearch/D87C51FA-1/page-1", "D87C51FA-1")</f>
        <v>D87C51FA-1</v>
      </c>
      <c r="B45733" s="3" t="str">
        <f>HYPERLINK("https://www.773grp.com/manufacturer/onsemi?pageNo=279", "ON Semiconductor")</f>
        <v>ON Semiconductor</v>
      </c>
      <c r="C45733" s="6">
        <v>57</v>
      </c>
      <c r="D45733" s="7">
        <v>280.43</v>
      </c>
      <c r="E45733" t="s">
        <v>52</v>
      </c>
    </row>
    <row r="45734" spans="1:5" x14ac:dyDescent="0.25">
      <c r="A45734" t="str">
        <f>HYPERLINK("https://www.773grp.com/globalSearch/54HC390J-B/page-1", "54HC390J-B")</f>
        <v>54HC390J-B</v>
      </c>
      <c r="B45734" s="3" t="str">
        <f>HYPERLINK("https://www.773grp.com/manufacturer/onsemi?pageNo=280", "ON Semiconductor")</f>
        <v>ON Semiconductor</v>
      </c>
      <c r="C45734" s="6">
        <v>85</v>
      </c>
      <c r="D45734" s="7">
        <v>282.3</v>
      </c>
    </row>
    <row r="45735" spans="1:5" x14ac:dyDescent="0.25">
      <c r="A45735" t="str">
        <f>HYPERLINK("https://www.773grp.com/globalSearch/TMS9900JDL/page-1", "TMS9900JDL")</f>
        <v>TMS9900JDL</v>
      </c>
      <c r="B45735" s="3" t="str">
        <f>HYPERLINK("https://www.773grp.com/manufacturer/onsemi?pageNo=281", "ON Semiconductor")</f>
        <v>ON Semiconductor</v>
      </c>
      <c r="C45735" s="6">
        <v>618</v>
      </c>
      <c r="D45735" s="7">
        <v>282.3</v>
      </c>
    </row>
    <row r="45736" spans="1:5" x14ac:dyDescent="0.25">
      <c r="A45736" t="str">
        <f>HYPERLINK("https://www.773grp.com/globalSearch/MD8085AH-B/page-1", "MD8085AH-B")</f>
        <v>MD8085AH-B</v>
      </c>
      <c r="B45736" s="3" t="str">
        <f>HYPERLINK("https://www.773grp.com/manufacturer/onsemi?pageNo=282", "ON Semiconductor")</f>
        <v>ON Semiconductor</v>
      </c>
      <c r="C45736" s="6">
        <v>278</v>
      </c>
      <c r="D45736" s="7">
        <v>287.3</v>
      </c>
    </row>
    <row r="45737" spans="1:5" x14ac:dyDescent="0.25">
      <c r="A45737" t="str">
        <f>HYPERLINK("https://www.773grp.com/globalSearch/25LS22FM-B/page-1", "25LS22FM-B")</f>
        <v>25LS22FM-B</v>
      </c>
      <c r="B45737" s="3" t="str">
        <f>HYPERLINK("https://www.773grp.com/manufacturer/onsemi?pageNo=283", "ON Semiconductor")</f>
        <v>ON Semiconductor</v>
      </c>
      <c r="C45737" s="6">
        <v>916</v>
      </c>
      <c r="D45737" s="7">
        <v>287.35000000000002</v>
      </c>
    </row>
    <row r="45738" spans="1:5" x14ac:dyDescent="0.25">
      <c r="A45738" t="str">
        <f>HYPERLINK("https://www.773grp.com/globalSearch/MR8254-R/page-1", "MR8254-R")</f>
        <v>MR8254-R</v>
      </c>
      <c r="B45738" s="3" t="str">
        <f>HYPERLINK("https://www.773grp.com/manufacturer/onsemi?pageNo=284", "ON Semiconductor")</f>
        <v>ON Semiconductor</v>
      </c>
      <c r="C45738" s="6">
        <v>689</v>
      </c>
      <c r="D45738" s="7">
        <v>287.35000000000002</v>
      </c>
    </row>
    <row r="45739" spans="1:5" x14ac:dyDescent="0.25">
      <c r="A45739" t="str">
        <f>HYPERLINK("https://www.773grp.com/globalSearch/MR28F010-90/page-1", "MR28F010-90")</f>
        <v>MR28F010-90</v>
      </c>
      <c r="B45739" s="3" t="str">
        <f>HYPERLINK("https://www.773grp.com/manufacturer/onsemi?pageNo=285", "ON Semiconductor")</f>
        <v>ON Semiconductor</v>
      </c>
      <c r="C45739" s="6">
        <v>1425</v>
      </c>
      <c r="D45739" s="7">
        <v>292.39</v>
      </c>
      <c r="E45739" t="s">
        <v>64</v>
      </c>
    </row>
    <row r="45740" spans="1:5" x14ac:dyDescent="0.25">
      <c r="A45740" t="str">
        <f>HYPERLINK("https://www.773grp.com/globalSearch/C8744H/page-1", "C8744H")</f>
        <v>C8744H</v>
      </c>
      <c r="B45740" s="3" t="str">
        <f>HYPERLINK("https://www.773grp.com/manufacturer/onsemi?pageNo=286", "ON Semiconductor")</f>
        <v>ON Semiconductor</v>
      </c>
      <c r="C45740" s="6">
        <v>202</v>
      </c>
      <c r="D45740" s="7">
        <v>293.08999999999997</v>
      </c>
    </row>
    <row r="45741" spans="1:5" x14ac:dyDescent="0.25">
      <c r="A45741" t="str">
        <f>HYPERLINK("https://www.773grp.com/globalSearch/55501EJ/page-1", "55501EJ")</f>
        <v>55501EJ</v>
      </c>
      <c r="B45741" s="3" t="str">
        <f>HYPERLINK("https://www.773grp.com/manufacturer/onsemi?pageNo=287", "ON Semiconductor")</f>
        <v>ON Semiconductor</v>
      </c>
      <c r="C45741" s="6">
        <v>271</v>
      </c>
      <c r="D45741" s="7">
        <v>294.91000000000003</v>
      </c>
    </row>
    <row r="45742" spans="1:5" x14ac:dyDescent="0.25">
      <c r="A45742" t="str">
        <f>HYPERLINK("https://www.773grp.com/globalSearch/54100J-B  LT/page-1", "54100J-B  LT")</f>
        <v>54100J-B  LT</v>
      </c>
      <c r="B45742" s="3" t="str">
        <f>HYPERLINK("https://www.773grp.com/manufacturer/onsemi?pageNo=288", "ON Semiconductor")</f>
        <v>ON Semiconductor</v>
      </c>
      <c r="C45742" s="6">
        <v>48</v>
      </c>
      <c r="D45742" s="7">
        <v>295.56</v>
      </c>
    </row>
    <row r="45743" spans="1:5" x14ac:dyDescent="0.25">
      <c r="A45743" t="str">
        <f>HYPERLINK("https://www.773grp.com/globalSearch/R1075/page-1", "R1075")</f>
        <v>R1075</v>
      </c>
      <c r="B45743" s="3" t="str">
        <f>HYPERLINK("https://www.773grp.com/manufacturer/onsemi?pageNo=289", "ON Semiconductor")</f>
        <v>ON Semiconductor</v>
      </c>
      <c r="C45743" s="6">
        <v>149</v>
      </c>
      <c r="D45743" s="7">
        <v>296.04000000000002</v>
      </c>
    </row>
    <row r="45744" spans="1:5" x14ac:dyDescent="0.25">
      <c r="A45744" t="str">
        <f>HYPERLINK("https://www.773grp.com/globalSearch/ICL8211MTY-883B/page-1", "ICL8211MTY-883B")</f>
        <v>ICL8211MTY-883B</v>
      </c>
      <c r="B45744" s="3" t="str">
        <f>HYPERLINK("https://www.773grp.com/manufacturer/onsemi?pageNo=290", "ON Semiconductor")</f>
        <v>ON Semiconductor</v>
      </c>
      <c r="C45744" s="6">
        <v>10</v>
      </c>
      <c r="D45744" s="7">
        <v>296.58</v>
      </c>
      <c r="E45744" t="s">
        <v>30</v>
      </c>
    </row>
    <row r="45745" spans="1:5" x14ac:dyDescent="0.25">
      <c r="A45745" t="str">
        <f>HYPERLINK("https://www.773grp.com/globalSearch/25S18FM-B/page-1", "25S18FM-B")</f>
        <v>25S18FM-B</v>
      </c>
      <c r="B45745" s="3" t="str">
        <f>HYPERLINK("https://www.773grp.com/manufacturer/onsemi?pageNo=291", "ON Semiconductor")</f>
        <v>ON Semiconductor</v>
      </c>
      <c r="C45745" s="6">
        <v>48</v>
      </c>
      <c r="D45745" s="7">
        <v>297.43</v>
      </c>
    </row>
    <row r="45746" spans="1:5" x14ac:dyDescent="0.25">
      <c r="A45746" t="str">
        <f>HYPERLINK("https://www.773grp.com/globalSearch/HA4-5177-B/page-1", "HA4-5177-B")</f>
        <v>HA4-5177-B</v>
      </c>
      <c r="B45746" s="3" t="str">
        <f>HYPERLINK("https://www.773grp.com/manufacturer/onsemi?pageNo=292", "ON Semiconductor")</f>
        <v>ON Semiconductor</v>
      </c>
      <c r="C45746" s="6">
        <v>2470</v>
      </c>
      <c r="D45746" s="7">
        <v>297.43</v>
      </c>
    </row>
    <row r="45747" spans="1:5" x14ac:dyDescent="0.25">
      <c r="A45747" t="str">
        <f>HYPERLINK("https://www.773grp.com/globalSearch/HA2-5102-2/page-1", "HA2-5102-2")</f>
        <v>HA2-5102-2</v>
      </c>
      <c r="B45747" s="3" t="str">
        <f>HYPERLINK("https://www.773grp.com/manufacturer/onsemi?pageNo=293", "ON Semiconductor")</f>
        <v>ON Semiconductor</v>
      </c>
      <c r="C45747" s="6">
        <v>465</v>
      </c>
      <c r="D45747" s="7">
        <v>299.55</v>
      </c>
      <c r="E45747" t="s">
        <v>13</v>
      </c>
    </row>
    <row r="45748" spans="1:5" x14ac:dyDescent="0.25">
      <c r="A45748" t="str">
        <f>HYPERLINK("https://www.773grp.com/globalSearch/54144J-B/page-1", "54144J-B")</f>
        <v>54144J-B</v>
      </c>
      <c r="B45748" s="3" t="str">
        <f>HYPERLINK("https://www.773grp.com/manufacturer/onsemi?pageNo=294", "ON Semiconductor")</f>
        <v>ON Semiconductor</v>
      </c>
      <c r="C45748" s="6">
        <v>307</v>
      </c>
      <c r="D45748" s="7">
        <v>302.45999999999998</v>
      </c>
    </row>
    <row r="45749" spans="1:5" x14ac:dyDescent="0.25">
      <c r="A45749" t="str">
        <f>HYPERLINK("https://www.773grp.com/globalSearch/DS55122J-B/page-1", "DS55122J-B")</f>
        <v>DS55122J-B</v>
      </c>
      <c r="B45749" s="3" t="str">
        <f>HYPERLINK("https://www.773grp.com/manufacturer/onsemi?pageNo=295", "ON Semiconductor")</f>
        <v>ON Semiconductor</v>
      </c>
      <c r="C45749" s="6">
        <v>363</v>
      </c>
      <c r="D45749" s="7">
        <v>308.58999999999997</v>
      </c>
    </row>
    <row r="45750" spans="1:5" x14ac:dyDescent="0.25">
      <c r="A45750" t="str">
        <f>HYPERLINK("https://www.773grp.com/globalSearch/93S46DM/page-1", "93S46DM")</f>
        <v>93S46DM</v>
      </c>
      <c r="B45750" s="3" t="str">
        <f>HYPERLINK("https://www.773grp.com/manufacturer/onsemi?pageNo=296", "ON Semiconductor")</f>
        <v>ON Semiconductor</v>
      </c>
      <c r="C45750" s="6">
        <v>12</v>
      </c>
      <c r="D45750" s="7">
        <v>310.26</v>
      </c>
    </row>
    <row r="45751" spans="1:5" x14ac:dyDescent="0.25">
      <c r="A45751" t="str">
        <f>HYPERLINK("https://www.773grp.com/globalSearch/900HM-B/page-1", "900HM-B")</f>
        <v>900HM-B</v>
      </c>
      <c r="B45751" s="3" t="str">
        <f>HYPERLINK("https://www.773grp.com/manufacturer/onsemi?pageNo=297", "ON Semiconductor")</f>
        <v>ON Semiconductor</v>
      </c>
      <c r="C45751" s="6">
        <v>179</v>
      </c>
      <c r="D45751" s="7">
        <v>312.56</v>
      </c>
    </row>
    <row r="45752" spans="1:5" x14ac:dyDescent="0.25">
      <c r="A45752" t="str">
        <f>HYPERLINK("https://www.773grp.com/globalSearch/915HM-C/page-1", "915HM-C")</f>
        <v>915HM-C</v>
      </c>
      <c r="B45752" s="3" t="str">
        <f>HYPERLINK("https://www.773grp.com/manufacturer/onsemi?pageNo=298", "ON Semiconductor")</f>
        <v>ON Semiconductor</v>
      </c>
      <c r="C45752" s="6">
        <v>166</v>
      </c>
      <c r="D45752" s="7">
        <v>312.56</v>
      </c>
    </row>
    <row r="45753" spans="1:5" x14ac:dyDescent="0.25">
      <c r="A45753" t="str">
        <f>HYPERLINK("https://www.773grp.com/globalSearch/923HM-2/page-1", "923HM-2")</f>
        <v>923HM-2</v>
      </c>
      <c r="B45753" s="3" t="str">
        <f>HYPERLINK("https://www.773grp.com/manufacturer/onsemi?pageNo=299", "ON Semiconductor")</f>
        <v>ON Semiconductor</v>
      </c>
      <c r="C45753" s="6">
        <v>1123</v>
      </c>
      <c r="D45753" s="7">
        <v>312.56</v>
      </c>
    </row>
    <row r="45754" spans="1:5" x14ac:dyDescent="0.25">
      <c r="A45754" t="str">
        <f>HYPERLINK("https://www.773grp.com/globalSearch/25LS2569FM-B/page-1", "25LS2569FM-B")</f>
        <v>25LS2569FM-B</v>
      </c>
      <c r="B45754" s="3" t="str">
        <f>HYPERLINK("https://www.773grp.com/manufacturer/onsemi?pageNo=300", "ON Semiconductor")</f>
        <v>ON Semiconductor</v>
      </c>
      <c r="C45754" s="6">
        <v>74</v>
      </c>
      <c r="D45754" s="7">
        <v>312.56</v>
      </c>
    </row>
    <row r="45755" spans="1:5" x14ac:dyDescent="0.25">
      <c r="A45755" t="str">
        <f>HYPERLINK("https://www.773grp.com/globalSearch/EP1810LI-45/page-1", "EP1810LI-45")</f>
        <v>EP1810LI-45</v>
      </c>
      <c r="B45755" s="3" t="str">
        <f>HYPERLINK("https://www.773grp.com/manufacturer/onsemi?pageNo=301", "ON Semiconductor")</f>
        <v>ON Semiconductor</v>
      </c>
      <c r="C45755" s="6">
        <v>1153</v>
      </c>
      <c r="D45755" s="7">
        <v>313</v>
      </c>
      <c r="E45755" t="s">
        <v>51</v>
      </c>
    </row>
    <row r="45756" spans="1:5" x14ac:dyDescent="0.25">
      <c r="A45756" t="str">
        <f>HYPERLINK("https://www.773grp.com/globalSearch/MD82510-B/page-1", "MD82510-B")</f>
        <v>MD82510-B</v>
      </c>
      <c r="B45756" s="3" t="str">
        <f>HYPERLINK("https://www.773grp.com/manufacturer/onsemi?pageNo=302", "ON Semiconductor")</f>
        <v>ON Semiconductor</v>
      </c>
      <c r="C45756" s="6">
        <v>3349</v>
      </c>
      <c r="D45756" s="7">
        <v>313.81</v>
      </c>
      <c r="E45756" t="s">
        <v>71</v>
      </c>
    </row>
    <row r="45757" spans="1:5" x14ac:dyDescent="0.25">
      <c r="A45757" t="str">
        <f>HYPERLINK("https://www.773grp.com/globalSearch/54LS147J-B/page-1", "54LS147J-B")</f>
        <v>54LS147J-B</v>
      </c>
      <c r="B45757" s="3" t="str">
        <f>HYPERLINK("https://www.773grp.com/manufacturer/onsemi?pageNo=303", "ON Semiconductor")</f>
        <v>ON Semiconductor</v>
      </c>
      <c r="C45757" s="6">
        <v>67</v>
      </c>
      <c r="D45757" s="7">
        <v>314.79000000000002</v>
      </c>
    </row>
    <row r="45758" spans="1:5" x14ac:dyDescent="0.25">
      <c r="A45758" t="str">
        <f>HYPERLINK("https://www.773grp.com/globalSearch/54LS147J-B  LT/page-1", "54LS147J-B  LT")</f>
        <v>54LS147J-B  LT</v>
      </c>
      <c r="B45758" s="3" t="str">
        <f>HYPERLINK("https://www.773grp.com/manufacturer/onsemi?pageNo=304", "ON Semiconductor")</f>
        <v>ON Semiconductor</v>
      </c>
      <c r="C45758" s="6">
        <v>48</v>
      </c>
      <c r="D45758" s="7">
        <v>314.79000000000002</v>
      </c>
    </row>
    <row r="45759" spans="1:5" x14ac:dyDescent="0.25">
      <c r="A45759" t="str">
        <f>HYPERLINK("https://www.773grp.com/globalSearch/29825AW-B/page-1", "29825AW-B")</f>
        <v>29825AW-B</v>
      </c>
      <c r="B45759" s="3" t="str">
        <f>HYPERLINK("https://www.773grp.com/manufacturer/onsemi?pageNo=305", "ON Semiconductor")</f>
        <v>ON Semiconductor</v>
      </c>
      <c r="C45759" s="6">
        <v>238</v>
      </c>
      <c r="D45759" s="7">
        <v>320.29000000000002</v>
      </c>
    </row>
    <row r="45760" spans="1:5" x14ac:dyDescent="0.25">
      <c r="A45760" t="str">
        <f>HYPERLINK("https://www.773grp.com/globalSearch/962HM-B/page-1", "962HM-B")</f>
        <v>962HM-B</v>
      </c>
      <c r="B45760" s="3" t="str">
        <f>HYPERLINK("https://www.773grp.com/manufacturer/onsemi?pageNo=306", "ON Semiconductor")</f>
        <v>ON Semiconductor</v>
      </c>
      <c r="C45760" s="6">
        <v>1</v>
      </c>
      <c r="D45760" s="7">
        <v>322.64</v>
      </c>
    </row>
    <row r="45761" spans="1:5" x14ac:dyDescent="0.25">
      <c r="A45761" t="str">
        <f>HYPERLINK("https://www.773grp.com/globalSearch/2910ALM-B/page-1", "2910ALM-B")</f>
        <v>2910ALM-B</v>
      </c>
      <c r="B45761" s="3" t="str">
        <f>HYPERLINK("https://www.773grp.com/manufacturer/onsemi?pageNo=307", "ON Semiconductor")</f>
        <v>ON Semiconductor</v>
      </c>
      <c r="C45761" s="6">
        <v>455</v>
      </c>
      <c r="D45761" s="7">
        <v>322.64</v>
      </c>
    </row>
    <row r="45762" spans="1:5" x14ac:dyDescent="0.25">
      <c r="A45762" t="str">
        <f>HYPERLINK("https://www.773grp.com/globalSearch/MR28F010-90-R/page-1", "MR28F010-90-R")</f>
        <v>MR28F010-90-R</v>
      </c>
      <c r="B45762" s="3" t="str">
        <f>HYPERLINK("https://www.773grp.com/manufacturer/onsemi?pageNo=308", "ON Semiconductor")</f>
        <v>ON Semiconductor</v>
      </c>
      <c r="C45762" s="6">
        <v>2365</v>
      </c>
      <c r="D45762" s="7">
        <v>322.64</v>
      </c>
    </row>
    <row r="45763" spans="1:5" x14ac:dyDescent="0.25">
      <c r="A45763" t="str">
        <f>HYPERLINK("https://www.773grp.com/globalSearch/LM1578AH-883/page-1", "LM1578AH-883")</f>
        <v>LM1578AH-883</v>
      </c>
      <c r="B45763" s="3" t="str">
        <f>HYPERLINK("https://www.773grp.com/manufacturer/onsemi?pageNo=309", "ON Semiconductor")</f>
        <v>ON Semiconductor</v>
      </c>
      <c r="C45763" s="6">
        <v>513</v>
      </c>
      <c r="D45763" s="7">
        <v>324.54000000000002</v>
      </c>
      <c r="E45763" t="s">
        <v>7</v>
      </c>
    </row>
    <row r="45764" spans="1:5" x14ac:dyDescent="0.25">
      <c r="A45764" t="str">
        <f>HYPERLINK("https://www.773grp.com/globalSearch/R241408/page-1", "R241408")</f>
        <v>R241408</v>
      </c>
      <c r="B45764" s="3" t="str">
        <f>HYPERLINK("https://www.773grp.com/manufacturer/onsemi?pageNo=310", "ON Semiconductor")</f>
        <v>ON Semiconductor</v>
      </c>
      <c r="C45764" s="6">
        <v>21</v>
      </c>
      <c r="D45764" s="7">
        <v>324.58</v>
      </c>
    </row>
    <row r="45765" spans="1:5" x14ac:dyDescent="0.25">
      <c r="A45765" t="str">
        <f>HYPERLINK("https://www.773grp.com/globalSearch/MR8254-B/page-1", "MR8254-B")</f>
        <v>MR8254-B</v>
      </c>
      <c r="B45765" s="3" t="str">
        <f>HYPERLINK("https://www.773grp.com/manufacturer/onsemi?pageNo=311", "ON Semiconductor")</f>
        <v>ON Semiconductor</v>
      </c>
      <c r="C45765" s="6">
        <v>244</v>
      </c>
      <c r="D45765" s="7">
        <v>326.18</v>
      </c>
    </row>
    <row r="45766" spans="1:5" x14ac:dyDescent="0.25">
      <c r="A45766" t="str">
        <f>HYPERLINK("https://www.773grp.com/globalSearch/MD80C31BH/page-1", "MD80C31BH")</f>
        <v>MD80C31BH</v>
      </c>
      <c r="B45766" s="3" t="str">
        <f>HYPERLINK("https://www.773grp.com/manufacturer/onsemi?pageNo=312", "ON Semiconductor")</f>
        <v>ON Semiconductor</v>
      </c>
      <c r="C45766" s="6">
        <v>185</v>
      </c>
      <c r="D45766" s="7">
        <v>326.98</v>
      </c>
      <c r="E45766" t="s">
        <v>52</v>
      </c>
    </row>
    <row r="45767" spans="1:5" x14ac:dyDescent="0.25">
      <c r="A45767" t="str">
        <f>HYPERLINK("https://www.773grp.com/globalSearch/951G-C/page-1", "951G-C")</f>
        <v>951G-C</v>
      </c>
      <c r="B45767" s="3" t="str">
        <f>HYPERLINK("https://www.773grp.com/manufacturer/onsemi?pageNo=313", "ON Semiconductor")</f>
        <v>ON Semiconductor</v>
      </c>
      <c r="C45767" s="6">
        <v>37</v>
      </c>
      <c r="D45767" s="7">
        <v>327.05</v>
      </c>
    </row>
    <row r="45768" spans="1:5" x14ac:dyDescent="0.25">
      <c r="A45768" t="str">
        <f>HYPERLINK("https://www.773grp.com/globalSearch/2940FM-B/page-1", "2940FM-B")</f>
        <v>2940FM-B</v>
      </c>
      <c r="B45768" s="3" t="str">
        <f>HYPERLINK("https://www.773grp.com/manufacturer/onsemi?pageNo=314", "ON Semiconductor")</f>
        <v>ON Semiconductor</v>
      </c>
      <c r="C45768" s="6">
        <v>109</v>
      </c>
      <c r="D45768" s="7">
        <v>337.75</v>
      </c>
    </row>
    <row r="45769" spans="1:5" x14ac:dyDescent="0.25">
      <c r="A45769" t="str">
        <f>HYPERLINK("https://www.773grp.com/globalSearch/9158DM-C/page-1", "9158DM-C")</f>
        <v>9158DM-C</v>
      </c>
      <c r="B45769" s="3" t="str">
        <f>HYPERLINK("https://www.773grp.com/manufacturer/onsemi?pageNo=315", "ON Semiconductor")</f>
        <v>ON Semiconductor</v>
      </c>
      <c r="C45769" s="6">
        <v>166</v>
      </c>
      <c r="D45769" s="7">
        <v>339.66</v>
      </c>
    </row>
    <row r="45770" spans="1:5" x14ac:dyDescent="0.25">
      <c r="A45770" t="str">
        <f>HYPERLINK("https://www.773grp.com/globalSearch/R151001/page-1", "R151001")</f>
        <v>R151001</v>
      </c>
      <c r="B45770" s="3" t="str">
        <f>HYPERLINK("https://www.773grp.com/manufacturer/onsemi?pageNo=316", "ON Semiconductor")</f>
        <v>ON Semiconductor</v>
      </c>
      <c r="C45770" s="6">
        <v>142</v>
      </c>
      <c r="D45770" s="7">
        <v>340.01</v>
      </c>
    </row>
    <row r="45771" spans="1:5" x14ac:dyDescent="0.25">
      <c r="A45771" t="str">
        <f>HYPERLINK("https://www.773grp.com/globalSearch/R151001  LT/page-1", "R151001  LT")</f>
        <v>R151001  LT</v>
      </c>
      <c r="B45771" s="3" t="str">
        <f>HYPERLINK("https://www.773grp.com/manufacturer/onsemi?pageNo=317", "ON Semiconductor")</f>
        <v>ON Semiconductor</v>
      </c>
      <c r="C45771" s="6">
        <v>90</v>
      </c>
      <c r="D45771" s="7">
        <v>340.01</v>
      </c>
    </row>
    <row r="45772" spans="1:5" x14ac:dyDescent="0.25">
      <c r="A45772" t="str">
        <f>HYPERLINK("https://www.773grp.com/globalSearch/R652130/page-1", "R652130")</f>
        <v>R652130</v>
      </c>
      <c r="B45772" s="3" t="str">
        <f>HYPERLINK("https://www.773grp.com/manufacturer/onsemi?pageNo=318", "ON Semiconductor")</f>
        <v>ON Semiconductor</v>
      </c>
      <c r="C45772" s="6">
        <v>140</v>
      </c>
      <c r="D45772" s="7">
        <v>340.29</v>
      </c>
    </row>
    <row r="45773" spans="1:5" x14ac:dyDescent="0.25">
      <c r="A45773" t="str">
        <f>HYPERLINK("https://www.773grp.com/globalSearch/R932401/page-1", "R932401")</f>
        <v>R932401</v>
      </c>
      <c r="B45773" s="3" t="str">
        <f>HYPERLINK("https://www.773grp.com/manufacturer/onsemi?pageNo=319", "ON Semiconductor")</f>
        <v>ON Semiconductor</v>
      </c>
      <c r="C45773" s="6">
        <v>106</v>
      </c>
      <c r="D45773" s="7">
        <v>341.54</v>
      </c>
    </row>
    <row r="45774" spans="1:5" x14ac:dyDescent="0.25">
      <c r="A45774" t="str">
        <f>HYPERLINK("https://www.773grp.com/globalSearch/54HC58J-B/page-1", "54HC58J-B")</f>
        <v>54HC58J-B</v>
      </c>
      <c r="B45774" s="3" t="str">
        <f>HYPERLINK("https://www.773grp.com/manufacturer/onsemi?pageNo=320", "ON Semiconductor")</f>
        <v>ON Semiconductor</v>
      </c>
      <c r="C45774" s="6">
        <v>121</v>
      </c>
      <c r="D45774" s="7">
        <v>347.33</v>
      </c>
    </row>
    <row r="45775" spans="1:5" x14ac:dyDescent="0.25">
      <c r="A45775" t="str">
        <f>HYPERLINK("https://www.773grp.com/globalSearch/CLC114A-BCA/page-1", "CLC114A-BCA")</f>
        <v>CLC114A-BCA</v>
      </c>
      <c r="B45775" s="3" t="str">
        <f>HYPERLINK("https://www.773grp.com/manufacturer/onsemi?pageNo=321", "ON Semiconductor")</f>
        <v>ON Semiconductor</v>
      </c>
      <c r="C45775" s="6">
        <v>285</v>
      </c>
      <c r="D45775" s="7">
        <v>347.46</v>
      </c>
    </row>
    <row r="45776" spans="1:5" x14ac:dyDescent="0.25">
      <c r="A45776" t="str">
        <f>HYPERLINK("https://www.773grp.com/globalSearch/2925ALM-B/page-1", "2925ALM-B")</f>
        <v>2925ALM-B</v>
      </c>
      <c r="B45776" s="3" t="str">
        <f>HYPERLINK("https://www.773grp.com/manufacturer/onsemi?pageNo=322", "ON Semiconductor")</f>
        <v>ON Semiconductor</v>
      </c>
      <c r="C45776" s="6">
        <v>97</v>
      </c>
      <c r="D45776" s="7">
        <v>347.85</v>
      </c>
    </row>
    <row r="45777" spans="1:5" x14ac:dyDescent="0.25">
      <c r="A45777" t="str">
        <f>HYPERLINK("https://www.773grp.com/globalSearch/R1138/page-1", "R1138")</f>
        <v>R1138</v>
      </c>
      <c r="B45777" s="3" t="str">
        <f>HYPERLINK("https://www.773grp.com/manufacturer/onsemi?pageNo=323", "ON Semiconductor")</f>
        <v>ON Semiconductor</v>
      </c>
      <c r="C45777" s="6">
        <v>460</v>
      </c>
      <c r="D45777" s="7">
        <v>352</v>
      </c>
    </row>
    <row r="45778" spans="1:5" x14ac:dyDescent="0.25">
      <c r="A45778" t="str">
        <f>HYPERLINK("https://www.773grp.com/globalSearch/TA80C186XL-20/page-1", "TA80C186XL-20")</f>
        <v>TA80C186XL-20</v>
      </c>
      <c r="B45778" s="3" t="str">
        <f>HYPERLINK("https://www.773grp.com/manufacturer/onsemi?pageNo=324", "ON Semiconductor")</f>
        <v>ON Semiconductor</v>
      </c>
      <c r="C45778" s="6">
        <v>38</v>
      </c>
      <c r="D45778" s="7">
        <v>358.86</v>
      </c>
    </row>
    <row r="45779" spans="1:5" x14ac:dyDescent="0.25">
      <c r="A45779" t="str">
        <f>HYPERLINK("https://www.773grp.com/globalSearch/9094FM-B/page-1", "9094FM-B")</f>
        <v>9094FM-B</v>
      </c>
      <c r="B45779" s="3" t="str">
        <f>HYPERLINK("https://www.773grp.com/manufacturer/onsemi?pageNo=325", "ON Semiconductor")</f>
        <v>ON Semiconductor</v>
      </c>
      <c r="C45779" s="6">
        <v>358</v>
      </c>
      <c r="D45779" s="7">
        <v>360.44</v>
      </c>
    </row>
    <row r="45780" spans="1:5" x14ac:dyDescent="0.25">
      <c r="A45780" t="str">
        <f>HYPERLINK("https://www.773grp.com/globalSearch/A80C286-12/page-1", "A80C286-12")</f>
        <v>A80C286-12</v>
      </c>
      <c r="B45780" s="3" t="str">
        <f>HYPERLINK("https://www.773grp.com/manufacturer/onsemi?pageNo=326", "ON Semiconductor")</f>
        <v>ON Semiconductor</v>
      </c>
      <c r="C45780" s="6">
        <v>3182</v>
      </c>
      <c r="D45780" s="7">
        <v>368.65</v>
      </c>
    </row>
    <row r="45781" spans="1:5" x14ac:dyDescent="0.25">
      <c r="A45781" t="str">
        <f>HYPERLINK("https://www.773grp.com/globalSearch/RC1550F-B/page-1", "RC1550F-B")</f>
        <v>RC1550F-B</v>
      </c>
      <c r="B45781" s="3" t="str">
        <f>HYPERLINK("https://www.773grp.com/manufacturer/onsemi?pageNo=327", "ON Semiconductor")</f>
        <v>ON Semiconductor</v>
      </c>
      <c r="C45781" s="6">
        <v>83</v>
      </c>
      <c r="D45781" s="7">
        <v>370.53</v>
      </c>
    </row>
    <row r="45782" spans="1:5" x14ac:dyDescent="0.25">
      <c r="A45782" t="str">
        <f>HYPERLINK("https://www.773grp.com/globalSearch/R449100/page-1", "R449100")</f>
        <v>R449100</v>
      </c>
      <c r="B45782" s="3" t="str">
        <f>HYPERLINK("https://www.773grp.com/manufacturer/onsemi?pageNo=328", "ON Semiconductor")</f>
        <v>ON Semiconductor</v>
      </c>
      <c r="C45782" s="6">
        <v>21</v>
      </c>
      <c r="D45782" s="7">
        <v>372.3</v>
      </c>
    </row>
    <row r="45783" spans="1:5" x14ac:dyDescent="0.25">
      <c r="A45783" t="str">
        <f>HYPERLINK("https://www.773grp.com/globalSearch/CDP1823CD-B/page-1", "CDP1823CD-B")</f>
        <v>CDP1823CD-B</v>
      </c>
      <c r="B45783" s="3" t="str">
        <f>HYPERLINK("https://www.773grp.com/manufacturer/onsemi?pageNo=329", "ON Semiconductor")</f>
        <v>ON Semiconductor</v>
      </c>
      <c r="C45783" s="6">
        <v>78</v>
      </c>
      <c r="D45783" s="7">
        <v>372.66</v>
      </c>
    </row>
    <row r="45784" spans="1:5" x14ac:dyDescent="0.25">
      <c r="A45784" t="str">
        <f>HYPERLINK("https://www.773grp.com/globalSearch/DG181AA-B/page-1", "DG181AA-B")</f>
        <v>DG181AA-B</v>
      </c>
      <c r="B45784" s="3" t="str">
        <f>HYPERLINK("https://www.773grp.com/manufacturer/onsemi?pageNo=330", "ON Semiconductor")</f>
        <v>ON Semiconductor</v>
      </c>
      <c r="C45784" s="6">
        <v>1</v>
      </c>
      <c r="D45784" s="7">
        <v>372.66</v>
      </c>
    </row>
    <row r="45785" spans="1:5" x14ac:dyDescent="0.25">
      <c r="A45785" t="str">
        <f>HYPERLINK("https://www.773grp.com/globalSearch/HI4-0549-883/page-1", "HI4-0549-883")</f>
        <v>HI4-0549-883</v>
      </c>
      <c r="B45785" s="3" t="str">
        <f>HYPERLINK("https://www.773grp.com/manufacturer/onsemi?pageNo=331", "ON Semiconductor")</f>
        <v>ON Semiconductor</v>
      </c>
      <c r="C45785" s="6">
        <v>139</v>
      </c>
      <c r="D45785" s="7">
        <v>372.71</v>
      </c>
      <c r="E45785" t="s">
        <v>56</v>
      </c>
    </row>
    <row r="45786" spans="1:5" x14ac:dyDescent="0.25">
      <c r="A45786" t="str">
        <f>HYPERLINK("https://www.773grp.com/globalSearch/MD80C31BH-B/page-1", "MD80C31BH-B")</f>
        <v>MD80C31BH-B</v>
      </c>
      <c r="B45786" s="3" t="str">
        <f>HYPERLINK("https://www.773grp.com/manufacturer/onsemi?pageNo=332", "ON Semiconductor")</f>
        <v>ON Semiconductor</v>
      </c>
      <c r="C45786" s="6">
        <v>1015</v>
      </c>
      <c r="D45786" s="7">
        <v>372.79</v>
      </c>
      <c r="E45786" t="s">
        <v>52</v>
      </c>
    </row>
    <row r="45787" spans="1:5" x14ac:dyDescent="0.25">
      <c r="A45787" t="str">
        <f>HYPERLINK("https://www.773grp.com/globalSearch/9517A-4DM-B/page-1", "9517A-4DM-B")</f>
        <v>9517A-4DM-B</v>
      </c>
      <c r="B45787" s="3" t="str">
        <f>HYPERLINK("https://www.773grp.com/manufacturer/onsemi?pageNo=333", "ON Semiconductor")</f>
        <v>ON Semiconductor</v>
      </c>
      <c r="C45787" s="6">
        <v>760</v>
      </c>
      <c r="D45787" s="7">
        <v>373.04</v>
      </c>
    </row>
    <row r="45788" spans="1:5" x14ac:dyDescent="0.25">
      <c r="A45788" t="str">
        <f>HYPERLINK("https://www.773grp.com/globalSearch/9946-BCA/page-1", "9946-BCA")</f>
        <v>9946-BCA</v>
      </c>
      <c r="B45788" s="3" t="str">
        <f>HYPERLINK("https://www.773grp.com/manufacturer/onsemi?pageNo=334", "ON Semiconductor")</f>
        <v>ON Semiconductor</v>
      </c>
      <c r="C45788" s="6">
        <v>517</v>
      </c>
      <c r="D45788" s="7">
        <v>374.61</v>
      </c>
    </row>
    <row r="45789" spans="1:5" x14ac:dyDescent="0.25">
      <c r="A45789" t="str">
        <f>HYPERLINK("https://www.773grp.com/globalSearch/MD87C51-16-B/page-1", "MD87C51-16-B")</f>
        <v>MD87C51-16-B</v>
      </c>
      <c r="B45789" s="3" t="str">
        <f>HYPERLINK("https://www.773grp.com/manufacturer/onsemi?pageNo=335", "ON Semiconductor")</f>
        <v>ON Semiconductor</v>
      </c>
      <c r="C45789" s="6">
        <v>108</v>
      </c>
      <c r="D45789" s="7">
        <v>375.29</v>
      </c>
    </row>
    <row r="45790" spans="1:5" x14ac:dyDescent="0.25">
      <c r="A45790" t="str">
        <f>HYPERLINK("https://www.773grp.com/globalSearch/54HC51J-B/page-1", "54HC51J-B")</f>
        <v>54HC51J-B</v>
      </c>
      <c r="B45790" s="3" t="str">
        <f>HYPERLINK("https://www.773grp.com/manufacturer/onsemi?pageNo=336", "ON Semiconductor")</f>
        <v>ON Semiconductor</v>
      </c>
      <c r="C45790" s="6">
        <v>201</v>
      </c>
      <c r="D45790" s="7">
        <v>382.98</v>
      </c>
    </row>
    <row r="45791" spans="1:5" x14ac:dyDescent="0.25">
      <c r="A45791" t="str">
        <f>HYPERLINK("https://www.773grp.com/globalSearch/MD8086-2-B/page-1", "MD8086-2-B")</f>
        <v>MD8086-2-B</v>
      </c>
      <c r="B45791" s="3" t="str">
        <f>HYPERLINK("https://www.773grp.com/manufacturer/onsemi?pageNo=337", "ON Semiconductor")</f>
        <v>ON Semiconductor</v>
      </c>
      <c r="C45791" s="6">
        <v>230</v>
      </c>
      <c r="D45791" s="7">
        <v>385.65</v>
      </c>
      <c r="E45791" t="s">
        <v>81</v>
      </c>
    </row>
    <row r="45792" spans="1:5" x14ac:dyDescent="0.25">
      <c r="A45792" t="str">
        <f>HYPERLINK("https://www.773grp.com/globalSearch/EP1810GI-45/page-1", "EP1810GI-45")</f>
        <v>EP1810GI-45</v>
      </c>
      <c r="B45792" s="3" t="str">
        <f>HYPERLINK("https://www.773grp.com/manufacturer/onsemi?pageNo=338", "ON Semiconductor")</f>
        <v>ON Semiconductor</v>
      </c>
      <c r="C45792" s="6">
        <v>83</v>
      </c>
      <c r="D45792" s="7">
        <v>385.65</v>
      </c>
      <c r="E45792" t="s">
        <v>51</v>
      </c>
    </row>
    <row r="45793" spans="1:5" x14ac:dyDescent="0.25">
      <c r="A45793" t="str">
        <f>HYPERLINK("https://www.773grp.com/globalSearch/TL080MJG-C/page-1", "TL080MJG-C")</f>
        <v>TL080MJG-C</v>
      </c>
      <c r="B45793" s="3" t="str">
        <f>HYPERLINK("https://www.773grp.com/manufacturer/onsemi?pageNo=339", "ON Semiconductor")</f>
        <v>ON Semiconductor</v>
      </c>
      <c r="C45793" s="6">
        <v>119</v>
      </c>
      <c r="D45793" s="7">
        <v>388.43</v>
      </c>
    </row>
    <row r="45794" spans="1:5" x14ac:dyDescent="0.25">
      <c r="A45794" t="str">
        <f>HYPERLINK("https://www.773grp.com/globalSearch/2964B-BUA/page-1", "2964B-BUA")</f>
        <v>2964B-BUA</v>
      </c>
      <c r="B45794" s="3" t="str">
        <f>HYPERLINK("https://www.773grp.com/manufacturer/onsemi?pageNo=340", "ON Semiconductor")</f>
        <v>ON Semiconductor</v>
      </c>
      <c r="C45794" s="6">
        <v>1320</v>
      </c>
      <c r="D45794" s="7">
        <v>390.64</v>
      </c>
    </row>
    <row r="45795" spans="1:5" x14ac:dyDescent="0.25">
      <c r="A45795" t="str">
        <f>HYPERLINK("https://www.773grp.com/globalSearch/R754105/page-1", "R754105")</f>
        <v>R754105</v>
      </c>
      <c r="B45795" s="3" t="str">
        <f>HYPERLINK("https://www.773grp.com/manufacturer/onsemi?pageNo=341", "ON Semiconductor")</f>
        <v>ON Semiconductor</v>
      </c>
      <c r="C45795" s="6">
        <v>297</v>
      </c>
      <c r="D45795" s="7">
        <v>395.21</v>
      </c>
    </row>
    <row r="45796" spans="1:5" x14ac:dyDescent="0.25">
      <c r="A45796" t="str">
        <f>HYPERLINK("https://www.773grp.com/globalSearch/2910A-BZC/page-1", "2910A-BZC")</f>
        <v>2910A-BZC</v>
      </c>
      <c r="B45796" s="3" t="str">
        <f>HYPERLINK("https://www.773grp.com/manufacturer/onsemi?pageNo=342", "ON Semiconductor")</f>
        <v>ON Semiconductor</v>
      </c>
      <c r="C45796" s="6">
        <v>36</v>
      </c>
      <c r="D45796" s="7">
        <v>395.74</v>
      </c>
    </row>
    <row r="45797" spans="1:5" x14ac:dyDescent="0.25">
      <c r="A45797" t="str">
        <f>HYPERLINK("https://www.773grp.com/globalSearch/TL514MJ-B/page-1", "TL514MJ-B")</f>
        <v>TL514MJ-B</v>
      </c>
      <c r="B45797" s="3" t="str">
        <f>HYPERLINK("https://www.773grp.com/manufacturer/onsemi?pageNo=343", "ON Semiconductor")</f>
        <v>ON Semiconductor</v>
      </c>
      <c r="C45797" s="6">
        <v>46</v>
      </c>
      <c r="D45797" s="7">
        <v>396.99</v>
      </c>
    </row>
    <row r="45798" spans="1:5" x14ac:dyDescent="0.25">
      <c r="A45798" t="str">
        <f>HYPERLINK("https://www.773grp.com/globalSearch/2904-BQA/page-1", "2904-BQA")</f>
        <v>2904-BQA</v>
      </c>
      <c r="B45798" s="3" t="str">
        <f>HYPERLINK("https://www.773grp.com/manufacturer/onsemi?pageNo=344", "ON Semiconductor")</f>
        <v>ON Semiconductor</v>
      </c>
      <c r="C45798" s="6">
        <v>854</v>
      </c>
      <c r="D45798" s="7">
        <v>403.88</v>
      </c>
    </row>
    <row r="45799" spans="1:5" x14ac:dyDescent="0.25">
      <c r="A45799" t="str">
        <f>HYPERLINK("https://www.773grp.com/globalSearch/A8797BH-G/page-1", "A8797BH-G")</f>
        <v>A8797BH-G</v>
      </c>
      <c r="B45799" s="3" t="str">
        <f>HYPERLINK("https://www.773grp.com/manufacturer/onsemi?pageNo=345", "ON Semiconductor")</f>
        <v>ON Semiconductor</v>
      </c>
      <c r="C45799" s="6">
        <v>248</v>
      </c>
      <c r="D45799" s="7">
        <v>404.9</v>
      </c>
    </row>
    <row r="45800" spans="1:5" x14ac:dyDescent="0.25">
      <c r="A45800" t="str">
        <f>HYPERLINK("https://www.773grp.com/globalSearch/27S03ALM-B/page-1", "27S03ALM-B")</f>
        <v>27S03ALM-B</v>
      </c>
      <c r="B45800" s="3" t="str">
        <f>HYPERLINK("https://www.773grp.com/manufacturer/onsemi?pageNo=346", "ON Semiconductor")</f>
        <v>ON Semiconductor</v>
      </c>
      <c r="C45800" s="6">
        <v>67</v>
      </c>
      <c r="D45800" s="7">
        <v>408.36</v>
      </c>
    </row>
    <row r="45801" spans="1:5" x14ac:dyDescent="0.25">
      <c r="A45801" t="str">
        <f>HYPERLINK("https://www.773grp.com/globalSearch/910HM-B/page-1", "910HM-B")</f>
        <v>910HM-B</v>
      </c>
      <c r="B45801" s="3" t="str">
        <f>HYPERLINK("https://www.773grp.com/manufacturer/onsemi?pageNo=347", "ON Semiconductor")</f>
        <v>ON Semiconductor</v>
      </c>
      <c r="C45801" s="6">
        <v>155</v>
      </c>
      <c r="D45801" s="7">
        <v>413.38</v>
      </c>
    </row>
    <row r="45802" spans="1:5" x14ac:dyDescent="0.25">
      <c r="A45802" t="str">
        <f>HYPERLINK("https://www.773grp.com/globalSearch/87C51-BQA/page-1", "87C51-BQA")</f>
        <v>87C51-BQA</v>
      </c>
      <c r="B45802" s="3" t="str">
        <f>HYPERLINK("https://www.773grp.com/manufacturer/onsemi?pageNo=348", "ON Semiconductor")</f>
        <v>ON Semiconductor</v>
      </c>
      <c r="C45802" s="6">
        <v>258</v>
      </c>
      <c r="D45802" s="7">
        <v>414.49</v>
      </c>
      <c r="E45802" t="s">
        <v>52</v>
      </c>
    </row>
    <row r="45803" spans="1:5" x14ac:dyDescent="0.25">
      <c r="A45803" t="str">
        <f>HYPERLINK("https://www.773grp.com/globalSearch/MD87C51-BQA/page-1", "MD87C51-BQA")</f>
        <v>MD87C51-BQA</v>
      </c>
      <c r="B45803" s="3" t="str">
        <f>HYPERLINK("https://www.773grp.com/manufacturer/onsemi?pageNo=349", "ON Semiconductor")</f>
        <v>ON Semiconductor</v>
      </c>
      <c r="C45803" s="6">
        <v>487</v>
      </c>
      <c r="D45803" s="7">
        <v>414.49</v>
      </c>
    </row>
    <row r="45804" spans="1:5" x14ac:dyDescent="0.25">
      <c r="A45804" t="str">
        <f>HYPERLINK("https://www.773grp.com/globalSearch/MD28F020-12-R/page-1", "MD28F020-12-R")</f>
        <v>MD28F020-12-R</v>
      </c>
      <c r="B45804" s="3" t="str">
        <f>HYPERLINK("https://www.773grp.com/manufacturer/onsemi?pageNo=350", "ON Semiconductor")</f>
        <v>ON Semiconductor</v>
      </c>
      <c r="C45804" s="6">
        <v>392</v>
      </c>
      <c r="D45804" s="7">
        <v>415.14</v>
      </c>
    </row>
    <row r="45805" spans="1:5" x14ac:dyDescent="0.25">
      <c r="A45805" t="str">
        <f>HYPERLINK("https://www.773grp.com/globalSearch/MC80C31BH-B/page-1", "MC80C31BH-B")</f>
        <v>MC80C31BH-B</v>
      </c>
      <c r="B45805" s="3" t="str">
        <f>HYPERLINK("https://www.773grp.com/manufacturer/onsemi?pageNo=351", "ON Semiconductor")</f>
        <v>ON Semiconductor</v>
      </c>
      <c r="C45805" s="6">
        <v>166</v>
      </c>
      <c r="D45805" s="7">
        <v>415.64</v>
      </c>
    </row>
    <row r="45806" spans="1:5" x14ac:dyDescent="0.25">
      <c r="A45806" t="str">
        <f>HYPERLINK("https://www.773grp.com/globalSearch/ER2051HR-006/page-1", "ER2051HR-006")</f>
        <v>ER2051HR-006</v>
      </c>
      <c r="B45806" s="3" t="str">
        <f>HYPERLINK("https://www.773grp.com/manufacturer/onsemi?pageNo=352", "ON Semiconductor")</f>
        <v>ON Semiconductor</v>
      </c>
      <c r="C45806" s="6">
        <v>477</v>
      </c>
      <c r="D45806" s="7">
        <v>415.9</v>
      </c>
    </row>
    <row r="45807" spans="1:5" x14ac:dyDescent="0.25">
      <c r="A45807" t="str">
        <f>HYPERLINK("https://www.773grp.com/globalSearch/A82786SX365/page-1", "A82786SX365")</f>
        <v>A82786SX365</v>
      </c>
      <c r="B45807" s="3" t="str">
        <f>HYPERLINK("https://www.773grp.com/manufacturer/onsemi?pageNo=353", "ON Semiconductor")</f>
        <v>ON Semiconductor</v>
      </c>
      <c r="C45807" s="6">
        <v>467</v>
      </c>
      <c r="D45807" s="7">
        <v>417.59</v>
      </c>
    </row>
    <row r="45808" spans="1:5" x14ac:dyDescent="0.25">
      <c r="A45808" t="str">
        <f>HYPERLINK("https://www.773grp.com/globalSearch/55501EJ-B/page-1", "55501EJ-B")</f>
        <v>55501EJ-B</v>
      </c>
      <c r="B45808" s="3" t="str">
        <f>HYPERLINK("https://www.773grp.com/manufacturer/onsemi?pageNo=354", "ON Semiconductor")</f>
        <v>ON Semiconductor</v>
      </c>
      <c r="C45808" s="6">
        <v>7</v>
      </c>
      <c r="D45808" s="7">
        <v>420.93</v>
      </c>
    </row>
    <row r="45809" spans="1:5" x14ac:dyDescent="0.25">
      <c r="A45809" t="str">
        <f>HYPERLINK("https://www.773grp.com/globalSearch/55501EJ-BQA/page-1", "55501EJ-BQA")</f>
        <v>55501EJ-BQA</v>
      </c>
      <c r="B45809" s="3" t="str">
        <f>HYPERLINK("https://www.773grp.com/manufacturer/onsemi?pageNo=355", "ON Semiconductor")</f>
        <v>ON Semiconductor</v>
      </c>
      <c r="C45809" s="6">
        <v>617</v>
      </c>
      <c r="D45809" s="7">
        <v>420.93</v>
      </c>
    </row>
    <row r="45810" spans="1:5" x14ac:dyDescent="0.25">
      <c r="A45810" t="str">
        <f>HYPERLINK("https://www.773grp.com/globalSearch/494000/page-1", "494000")</f>
        <v>494000</v>
      </c>
      <c r="B45810" s="3" t="str">
        <f>HYPERLINK("https://www.773grp.com/manufacturer/onsemi?pageNo=356", "ON Semiconductor")</f>
        <v>ON Semiconductor</v>
      </c>
      <c r="C45810" s="6">
        <v>790</v>
      </c>
      <c r="D45810" s="7">
        <v>423.46</v>
      </c>
    </row>
    <row r="45811" spans="1:5" x14ac:dyDescent="0.25">
      <c r="A45811" t="str">
        <f>HYPERLINK("https://www.773grp.com/globalSearch/LM747A-BCA/page-1", "LM747A-BCA")</f>
        <v>LM747A-BCA</v>
      </c>
      <c r="B45811" s="3" t="str">
        <f>HYPERLINK("https://www.773grp.com/manufacturer/onsemi?pageNo=357", "ON Semiconductor")</f>
        <v>ON Semiconductor</v>
      </c>
      <c r="C45811" s="6">
        <v>1538</v>
      </c>
      <c r="D45811" s="7">
        <v>424.54</v>
      </c>
    </row>
    <row r="45812" spans="1:5" x14ac:dyDescent="0.25">
      <c r="A45812" t="str">
        <f>HYPERLINK("https://www.773grp.com/globalSearch/54L165AJ-B/page-1", "54L165AJ-B")</f>
        <v>54L165AJ-B</v>
      </c>
      <c r="B45812" s="3" t="str">
        <f>HYPERLINK("https://www.773grp.com/manufacturer/onsemi?pageNo=358", "ON Semiconductor")</f>
        <v>ON Semiconductor</v>
      </c>
      <c r="C45812" s="6">
        <v>246</v>
      </c>
      <c r="D45812" s="7">
        <v>425.84</v>
      </c>
    </row>
    <row r="45813" spans="1:5" x14ac:dyDescent="0.25">
      <c r="A45813" t="str">
        <f>HYPERLINK("https://www.773grp.com/globalSearch/MD80C51FB/page-1", "MD80C51FB")</f>
        <v>MD80C51FB</v>
      </c>
      <c r="B45813" s="3" t="str">
        <f>HYPERLINK("https://www.773grp.com/manufacturer/onsemi?pageNo=359", "ON Semiconductor")</f>
        <v>ON Semiconductor</v>
      </c>
      <c r="C45813" s="6">
        <v>34</v>
      </c>
      <c r="D45813" s="7">
        <v>428.49</v>
      </c>
      <c r="E45813" t="s">
        <v>52</v>
      </c>
    </row>
    <row r="45814" spans="1:5" x14ac:dyDescent="0.25">
      <c r="A45814" t="str">
        <f>HYPERLINK("https://www.773grp.com/globalSearch/CLC522A-B2A/page-1", "CLC522A-B2A")</f>
        <v>CLC522A-B2A</v>
      </c>
      <c r="B45814" s="3" t="str">
        <f>HYPERLINK("https://www.773grp.com/manufacturer/onsemi?pageNo=360", "ON Semiconductor")</f>
        <v>ON Semiconductor</v>
      </c>
      <c r="C45814" s="6">
        <v>275</v>
      </c>
      <c r="D45814" s="7">
        <v>431.73</v>
      </c>
    </row>
    <row r="45815" spans="1:5" x14ac:dyDescent="0.25">
      <c r="A45815" t="str">
        <f>HYPERLINK("https://www.773grp.com/globalSearch/MD8086-B/page-1", "MD8086-B")</f>
        <v>MD8086-B</v>
      </c>
      <c r="B45815" s="3" t="str">
        <f>HYPERLINK("https://www.773grp.com/manufacturer/onsemi?pageNo=361", "ON Semiconductor")</f>
        <v>ON Semiconductor</v>
      </c>
      <c r="C45815" s="6">
        <v>102</v>
      </c>
      <c r="D45815" s="7">
        <v>434.93</v>
      </c>
    </row>
    <row r="45816" spans="1:5" x14ac:dyDescent="0.25">
      <c r="A45816" t="str">
        <f>HYPERLINK("https://www.773grp.com/globalSearch/MD28F020-90/page-1", "MD28F020-90")</f>
        <v>MD28F020-90</v>
      </c>
      <c r="B45816" s="3" t="str">
        <f>HYPERLINK("https://www.773grp.com/manufacturer/onsemi?pageNo=362", "ON Semiconductor")</f>
        <v>ON Semiconductor</v>
      </c>
      <c r="C45816" s="6">
        <v>811</v>
      </c>
      <c r="D45816" s="7">
        <v>438.59</v>
      </c>
      <c r="E45816" t="s">
        <v>64</v>
      </c>
    </row>
    <row r="45817" spans="1:5" x14ac:dyDescent="0.25">
      <c r="A45817" t="str">
        <f>HYPERLINK("https://www.773grp.com/globalSearch/8751H-8-BQA/page-1", "8751H-8-BQA")</f>
        <v>8751H-8-BQA</v>
      </c>
      <c r="B45817" s="3" t="str">
        <f>HYPERLINK("https://www.773grp.com/manufacturer/onsemi?pageNo=363", "ON Semiconductor")</f>
        <v>ON Semiconductor</v>
      </c>
      <c r="C45817" s="6">
        <v>1001</v>
      </c>
      <c r="D45817" s="7">
        <v>448.65</v>
      </c>
      <c r="E45817" t="s">
        <v>52</v>
      </c>
    </row>
    <row r="45818" spans="1:5" x14ac:dyDescent="0.25">
      <c r="A45818" t="str">
        <f>HYPERLINK("https://www.773grp.com/globalSearch/25LS2518FM-B/page-1", "25LS2518FM-B")</f>
        <v>25LS2518FM-B</v>
      </c>
      <c r="B45818" s="3" t="str">
        <f>HYPERLINK("https://www.773grp.com/manufacturer/onsemi?pageNo=364", "ON Semiconductor")</f>
        <v>ON Semiconductor</v>
      </c>
      <c r="C45818" s="6">
        <v>635</v>
      </c>
      <c r="D45818" s="7">
        <v>453.7</v>
      </c>
    </row>
    <row r="45819" spans="1:5" x14ac:dyDescent="0.25">
      <c r="A45819" t="str">
        <f>HYPERLINK("https://www.773grp.com/globalSearch/LM7710-BGA/page-1", "LM7710-BGA")</f>
        <v>LM7710-BGA</v>
      </c>
      <c r="B45819" s="3" t="str">
        <f>HYPERLINK("https://www.773grp.com/manufacturer/onsemi?pageNo=365", "ON Semiconductor")</f>
        <v>ON Semiconductor</v>
      </c>
      <c r="C45819" s="6">
        <v>637</v>
      </c>
      <c r="D45819" s="7">
        <v>461.26</v>
      </c>
    </row>
    <row r="45820" spans="1:5" x14ac:dyDescent="0.25">
      <c r="A45820" t="str">
        <f>HYPERLINK("https://www.773grp.com/globalSearch/MD28F020-90-R/page-1", "MD28F020-90-R")</f>
        <v>MD28F020-90-R</v>
      </c>
      <c r="B45820" s="3" t="str">
        <f>HYPERLINK("https://www.773grp.com/manufacturer/onsemi?pageNo=366", "ON Semiconductor")</f>
        <v>ON Semiconductor</v>
      </c>
      <c r="C45820" s="6">
        <v>4873</v>
      </c>
      <c r="D45820" s="7">
        <v>466.31</v>
      </c>
    </row>
    <row r="45821" spans="1:5" x14ac:dyDescent="0.25">
      <c r="A45821" t="str">
        <f>HYPERLINK("https://www.773grp.com/globalSearch/R494001/page-1", "R494001")</f>
        <v>R494001</v>
      </c>
      <c r="B45821" s="3" t="str">
        <f>HYPERLINK("https://www.773grp.com/manufacturer/onsemi?pageNo=367", "ON Semiconductor")</f>
        <v>ON Semiconductor</v>
      </c>
      <c r="C45821" s="6">
        <v>663</v>
      </c>
      <c r="D45821" s="7">
        <v>468.83</v>
      </c>
    </row>
    <row r="45822" spans="1:5" x14ac:dyDescent="0.25">
      <c r="A45822" t="str">
        <f>HYPERLINK("https://www.773grp.com/globalSearch/ADSP-2111BS-80/page-1", "ADSP-2111BS-80")</f>
        <v>ADSP-2111BS-80</v>
      </c>
      <c r="B45822" s="3" t="str">
        <f>HYPERLINK("https://www.773grp.com/manufacturer/onsemi?pageNo=368", "ON Semiconductor")</f>
        <v>ON Semiconductor</v>
      </c>
      <c r="C45822" s="6">
        <v>29381</v>
      </c>
      <c r="D45822" s="7">
        <v>479.98</v>
      </c>
      <c r="E45822" t="s">
        <v>124</v>
      </c>
    </row>
    <row r="45823" spans="1:5" x14ac:dyDescent="0.25">
      <c r="A45823" t="str">
        <f>HYPERLINK("https://www.773grp.com/globalSearch/LM747A-BIA/page-1", "LM747A-BIA")</f>
        <v>LM747A-BIA</v>
      </c>
      <c r="B45823" s="3" t="str">
        <f>HYPERLINK("https://www.773grp.com/manufacturer/onsemi?pageNo=369", "ON Semiconductor")</f>
        <v>ON Semiconductor</v>
      </c>
      <c r="C45823" s="6">
        <v>1740</v>
      </c>
      <c r="D45823" s="7">
        <v>485.21</v>
      </c>
    </row>
    <row r="45824" spans="1:5" x14ac:dyDescent="0.25">
      <c r="A45824" t="str">
        <f>HYPERLINK("https://www.773grp.com/globalSearch/MG80186-6-B/page-1", "MG80186-6-B")</f>
        <v>MG80186-6-B</v>
      </c>
      <c r="B45824" s="3" t="str">
        <f>HYPERLINK("https://www.773grp.com/manufacturer/onsemi?pageNo=370", "ON Semiconductor")</f>
        <v>ON Semiconductor</v>
      </c>
      <c r="C45824" s="6">
        <v>1</v>
      </c>
      <c r="D45824" s="7">
        <v>491.51</v>
      </c>
    </row>
    <row r="45825" spans="1:5" x14ac:dyDescent="0.25">
      <c r="A45825" t="str">
        <f>HYPERLINK("https://www.773grp.com/globalSearch/2147-70-BYA/page-1", "2147-70-BYA")</f>
        <v>2147-70-BYA</v>
      </c>
      <c r="B45825" s="3" t="str">
        <f>HYPERLINK("https://www.773grp.com/manufacturer/onsemi?pageNo=371", "ON Semiconductor")</f>
        <v>ON Semiconductor</v>
      </c>
      <c r="C45825" s="6">
        <v>7</v>
      </c>
      <c r="D45825" s="7">
        <v>499.08</v>
      </c>
    </row>
    <row r="45826" spans="1:5" x14ac:dyDescent="0.25">
      <c r="A45826" t="str">
        <f>HYPERLINK("https://www.773grp.com/globalSearch/11C05DM-B/page-1", "11C05DM-B")</f>
        <v>11C05DM-B</v>
      </c>
      <c r="B45826" s="3" t="str">
        <f>HYPERLINK("https://www.773grp.com/manufacturer/onsemi?pageNo=372", "ON Semiconductor")</f>
        <v>ON Semiconductor</v>
      </c>
      <c r="C45826" s="6">
        <v>784</v>
      </c>
      <c r="D45826" s="7">
        <v>499.08</v>
      </c>
    </row>
    <row r="45827" spans="1:5" x14ac:dyDescent="0.25">
      <c r="A45827" t="str">
        <f>HYPERLINK("https://www.773grp.com/globalSearch/55ALS194-B2A/page-1", "55ALS194-B2A")</f>
        <v>55ALS194-B2A</v>
      </c>
      <c r="B45827" s="3" t="str">
        <f>HYPERLINK("https://www.773grp.com/manufacturer/onsemi?pageNo=373", "ON Semiconductor")</f>
        <v>ON Semiconductor</v>
      </c>
      <c r="C45827" s="6">
        <v>477</v>
      </c>
      <c r="D45827" s="7">
        <v>499.08</v>
      </c>
    </row>
    <row r="45828" spans="1:5" x14ac:dyDescent="0.25">
      <c r="A45828" t="str">
        <f>HYPERLINK("https://www.773grp.com/globalSearch/55ALS194-BEA/page-1", "55ALS194-BEA")</f>
        <v>55ALS194-BEA</v>
      </c>
      <c r="B45828" s="3" t="str">
        <f>HYPERLINK("https://www.773grp.com/manufacturer/onsemi?pageNo=374", "ON Semiconductor")</f>
        <v>ON Semiconductor</v>
      </c>
      <c r="C45828" s="6">
        <v>746</v>
      </c>
      <c r="D45828" s="7">
        <v>499.08</v>
      </c>
    </row>
    <row r="45829" spans="1:5" x14ac:dyDescent="0.25">
      <c r="A45829" t="str">
        <f>HYPERLINK("https://www.773grp.com/globalSearch/R574103/page-1", "R574103")</f>
        <v>R574103</v>
      </c>
      <c r="B45829" s="3" t="str">
        <f>HYPERLINK("https://www.773grp.com/manufacturer/onsemi?pageNo=375", "ON Semiconductor")</f>
        <v>ON Semiconductor</v>
      </c>
      <c r="C45829" s="6">
        <v>93</v>
      </c>
      <c r="D45829" s="7">
        <v>500.21</v>
      </c>
    </row>
    <row r="45830" spans="1:5" x14ac:dyDescent="0.25">
      <c r="A45830" t="str">
        <f>HYPERLINK("https://www.773grp.com/globalSearch/54HC160-BEA/page-1", "54HC160-BEA")</f>
        <v>54HC160-BEA</v>
      </c>
      <c r="B45830" s="3" t="str">
        <f>HYPERLINK("https://www.773grp.com/manufacturer/onsemi?pageNo=376", "ON Semiconductor")</f>
        <v>ON Semiconductor</v>
      </c>
      <c r="C45830" s="6">
        <v>649</v>
      </c>
      <c r="D45830" s="7">
        <v>500.46</v>
      </c>
    </row>
    <row r="45831" spans="1:5" x14ac:dyDescent="0.25">
      <c r="A45831" t="str">
        <f>HYPERLINK("https://www.773grp.com/globalSearch/MD28F020-12-B/page-1", "MD28F020-12-B")</f>
        <v>MD28F020-12-B</v>
      </c>
      <c r="B45831" s="3" t="str">
        <f>HYPERLINK("https://www.773grp.com/manufacturer/onsemi?pageNo=377", "ON Semiconductor")</f>
        <v>ON Semiconductor</v>
      </c>
      <c r="C45831" s="6">
        <v>360</v>
      </c>
      <c r="D45831" s="7">
        <v>504.11</v>
      </c>
    </row>
    <row r="45832" spans="1:5" x14ac:dyDescent="0.25">
      <c r="A45832" t="str">
        <f>HYPERLINK("https://www.773grp.com/globalSearch/TA8797BH/page-1", "TA8797BH")</f>
        <v>TA8797BH</v>
      </c>
      <c r="B45832" s="3" t="str">
        <f>HYPERLINK("https://www.773grp.com/manufacturer/onsemi?pageNo=378", "ON Semiconductor")</f>
        <v>ON Semiconductor</v>
      </c>
      <c r="C45832" s="6">
        <v>397</v>
      </c>
      <c r="D45832" s="7">
        <v>504.11</v>
      </c>
      <c r="E45832" t="s">
        <v>52</v>
      </c>
    </row>
    <row r="45833" spans="1:5" x14ac:dyDescent="0.25">
      <c r="A45833" t="str">
        <f>HYPERLINK("https://www.773grp.com/globalSearch/54LS646JT-B/page-1", "54LS646JT-B")</f>
        <v>54LS646JT-B</v>
      </c>
      <c r="B45833" s="3" t="str">
        <f>HYPERLINK("https://www.773grp.com/manufacturer/onsemi?pageNo=379", "ON Semiconductor")</f>
        <v>ON Semiconductor</v>
      </c>
      <c r="C45833" s="6">
        <v>101</v>
      </c>
      <c r="D45833" s="7">
        <v>512.19000000000005</v>
      </c>
    </row>
    <row r="45834" spans="1:5" x14ac:dyDescent="0.25">
      <c r="A45834" t="str">
        <f>HYPERLINK("https://www.773grp.com/globalSearch/CLC502A-BPA/page-1", "CLC502A-BPA")</f>
        <v>CLC502A-BPA</v>
      </c>
      <c r="B45834" s="3" t="str">
        <f>HYPERLINK("https://www.773grp.com/manufacturer/onsemi?pageNo=380", "ON Semiconductor")</f>
        <v>ON Semiconductor</v>
      </c>
      <c r="C45834" s="6">
        <v>815</v>
      </c>
      <c r="D45834" s="7">
        <v>523.9</v>
      </c>
    </row>
    <row r="45835" spans="1:5" x14ac:dyDescent="0.25">
      <c r="A45835" t="str">
        <f>HYPERLINK("https://www.773grp.com/globalSearch/54LS290-BCA/page-1", "54LS290-BCA")</f>
        <v>54LS290-BCA</v>
      </c>
      <c r="B45835" s="3" t="str">
        <f>HYPERLINK("https://www.773grp.com/manufacturer/onsemi?pageNo=381", "ON Semiconductor")</f>
        <v>ON Semiconductor</v>
      </c>
      <c r="C45835" s="6">
        <v>1145</v>
      </c>
      <c r="D45835" s="7">
        <v>531.24</v>
      </c>
    </row>
    <row r="45836" spans="1:5" x14ac:dyDescent="0.25">
      <c r="A45836" t="str">
        <f>HYPERLINK("https://www.773grp.com/globalSearch/2147-55-BYA/page-1", "2147-55-BYA")</f>
        <v>2147-55-BYA</v>
      </c>
      <c r="B45836" s="3" t="str">
        <f>HYPERLINK("https://www.773grp.com/manufacturer/onsemi?pageNo=382", "ON Semiconductor")</f>
        <v>ON Semiconductor</v>
      </c>
      <c r="C45836" s="6">
        <v>252</v>
      </c>
      <c r="D45836" s="7">
        <v>531.84</v>
      </c>
    </row>
    <row r="45837" spans="1:5" x14ac:dyDescent="0.25">
      <c r="A45837" t="str">
        <f>HYPERLINK("https://www.773grp.com/globalSearch/CD40116D/page-1", "CD40116D")</f>
        <v>CD40116D</v>
      </c>
      <c r="B45837" s="3" t="str">
        <f>HYPERLINK("https://www.773grp.com/manufacturer/onsemi?pageNo=383", "ON Semiconductor")</f>
        <v>ON Semiconductor</v>
      </c>
      <c r="C45837" s="6">
        <v>251</v>
      </c>
      <c r="D45837" s="7">
        <v>538.41</v>
      </c>
    </row>
    <row r="45838" spans="1:5" x14ac:dyDescent="0.25">
      <c r="A45838" t="str">
        <f>HYPERLINK("https://www.773grp.com/globalSearch/HA1-5114-883/page-1", "HA1-5114-883")</f>
        <v>HA1-5114-883</v>
      </c>
      <c r="B45838" s="3" t="str">
        <f>HYPERLINK("https://www.773grp.com/manufacturer/onsemi?pageNo=384", "ON Semiconductor")</f>
        <v>ON Semiconductor</v>
      </c>
      <c r="C45838" s="6">
        <v>812</v>
      </c>
      <c r="D45838" s="7">
        <v>538.95000000000005</v>
      </c>
      <c r="E45838" t="s">
        <v>13</v>
      </c>
    </row>
    <row r="45839" spans="1:5" x14ac:dyDescent="0.25">
      <c r="A45839" t="str">
        <f>HYPERLINK("https://www.773grp.com/globalSearch/MD28F020-90-B/page-1", "MD28F020-90-B")</f>
        <v>MD28F020-90-B</v>
      </c>
      <c r="B45839" s="3" t="str">
        <f>HYPERLINK("https://www.773grp.com/manufacturer/onsemi?pageNo=385", "ON Semiconductor")</f>
        <v>ON Semiconductor</v>
      </c>
      <c r="C45839" s="6">
        <v>523</v>
      </c>
      <c r="D45839" s="7">
        <v>554.53</v>
      </c>
    </row>
    <row r="45840" spans="1:5" x14ac:dyDescent="0.25">
      <c r="A45840" t="str">
        <f>HYPERLINK("https://www.773grp.com/globalSearch/2903ADM-B/page-1", "2903ADM-B")</f>
        <v>2903ADM-B</v>
      </c>
      <c r="B45840" s="3" t="str">
        <f>HYPERLINK("https://www.773grp.com/manufacturer/onsemi?pageNo=386", "ON Semiconductor")</f>
        <v>ON Semiconductor</v>
      </c>
      <c r="C45840" s="6">
        <v>152</v>
      </c>
      <c r="D45840" s="7">
        <v>567.14</v>
      </c>
    </row>
    <row r="45841" spans="1:4" x14ac:dyDescent="0.25">
      <c r="A45841" t="str">
        <f>HYPERLINK("https://www.773grp.com/globalSearch/TA82380-16/page-1", "TA82380-16")</f>
        <v>TA82380-16</v>
      </c>
      <c r="B45841" s="3" t="str">
        <f>HYPERLINK("https://www.773grp.com/manufacturer/onsemi?pageNo=387", "ON Semiconductor")</f>
        <v>ON Semiconductor</v>
      </c>
      <c r="C45841" s="6">
        <v>172</v>
      </c>
      <c r="D45841" s="7">
        <v>593.84</v>
      </c>
    </row>
    <row r="45842" spans="1:4" x14ac:dyDescent="0.25">
      <c r="A45842" t="str">
        <f>HYPERLINK("https://www.773grp.com/globalSearch/LD8087/page-1", "LD8087")</f>
        <v>LD8087</v>
      </c>
      <c r="B45842" s="3" t="str">
        <f>HYPERLINK("https://www.773grp.com/manufacturer/onsemi?pageNo=388", "ON Semiconductor")</f>
        <v>ON Semiconductor</v>
      </c>
      <c r="C45842" s="6">
        <v>43</v>
      </c>
      <c r="D45842" s="7">
        <v>597.38</v>
      </c>
    </row>
    <row r="45843" spans="1:4" x14ac:dyDescent="0.25">
      <c r="A45843" t="str">
        <f>HYPERLINK("https://www.773grp.com/globalSearch/54LS154F-883C/page-1", "54LS154F-883C")</f>
        <v>54LS154F-883C</v>
      </c>
      <c r="B45843" s="3" t="str">
        <f>HYPERLINK("https://www.773grp.com/manufacturer/onsemi?pageNo=389", "ON Semiconductor")</f>
        <v>ON Semiconductor</v>
      </c>
      <c r="C45843" s="6">
        <v>175</v>
      </c>
      <c r="D45843" s="7">
        <v>613.25</v>
      </c>
    </row>
    <row r="45844" spans="1:4" x14ac:dyDescent="0.25">
      <c r="A45844" t="str">
        <f>HYPERLINK("https://www.773grp.com/globalSearch/MG80186-8/page-1", "MG80186-8")</f>
        <v>MG80186-8</v>
      </c>
      <c r="B45844" s="3" t="str">
        <f>HYPERLINK("https://www.773grp.com/manufacturer/onsemi?pageNo=390", "ON Semiconductor")</f>
        <v>ON Semiconductor</v>
      </c>
      <c r="C45844" s="6">
        <v>1535</v>
      </c>
      <c r="D45844" s="7">
        <v>614.76</v>
      </c>
    </row>
    <row r="45845" spans="1:4" x14ac:dyDescent="0.25">
      <c r="A45845" t="str">
        <f>HYPERLINK("https://www.773grp.com/globalSearch/55117JG-883C/page-1", "55117JG-883C")</f>
        <v>55117JG-883C</v>
      </c>
      <c r="B45845" s="3" t="str">
        <f>HYPERLINK("https://www.773grp.com/manufacturer/onsemi?pageNo=391", "ON Semiconductor")</f>
        <v>ON Semiconductor</v>
      </c>
      <c r="C45845" s="6">
        <v>112</v>
      </c>
      <c r="D45845" s="7">
        <v>625.1</v>
      </c>
    </row>
    <row r="45846" spans="1:4" x14ac:dyDescent="0.25">
      <c r="A45846" t="str">
        <f>HYPERLINK("https://www.773grp.com/globalSearch/55500EFD-B/page-1", "55500EFD-B")</f>
        <v>55500EFD-B</v>
      </c>
      <c r="B45846" s="3" t="str">
        <f>HYPERLINK("https://www.773grp.com/manufacturer/onsemi?pageNo=392", "ON Semiconductor")</f>
        <v>ON Semiconductor</v>
      </c>
      <c r="C45846" s="6">
        <v>352</v>
      </c>
      <c r="D45846" s="7">
        <v>625.1</v>
      </c>
    </row>
    <row r="45847" spans="1:4" x14ac:dyDescent="0.25">
      <c r="A45847" t="str">
        <f>HYPERLINK("https://www.773grp.com/globalSearch/55500EJ-B/page-1", "55500EJ-B")</f>
        <v>55500EJ-B</v>
      </c>
      <c r="B45847" s="3" t="str">
        <f>HYPERLINK("https://www.773grp.com/manufacturer/onsemi?pageNo=393", "ON Semiconductor")</f>
        <v>ON Semiconductor</v>
      </c>
      <c r="C45847" s="6">
        <v>572</v>
      </c>
      <c r="D45847" s="7">
        <v>625.1</v>
      </c>
    </row>
    <row r="45848" spans="1:4" x14ac:dyDescent="0.25">
      <c r="A45848" t="str">
        <f>HYPERLINK("https://www.773grp.com/globalSearch/2903ADM-B  LT/page-1", "2903ADM-B  LT")</f>
        <v>2903ADM-B  LT</v>
      </c>
      <c r="B45848" s="3" t="str">
        <f>HYPERLINK("https://www.773grp.com/manufacturer/onsemi?pageNo=394", "ON Semiconductor")</f>
        <v>ON Semiconductor</v>
      </c>
      <c r="C45848" s="6">
        <v>48</v>
      </c>
      <c r="D45848" s="7">
        <v>630.15</v>
      </c>
    </row>
    <row r="45849" spans="1:4" x14ac:dyDescent="0.25">
      <c r="A45849" t="str">
        <f>HYPERLINK("https://www.773grp.com/globalSearch/2903AFM-B/page-1", "2903AFM-B")</f>
        <v>2903AFM-B</v>
      </c>
      <c r="B45849" s="3" t="str">
        <f>HYPERLINK("https://www.773grp.com/manufacturer/onsemi?pageNo=395", "ON Semiconductor")</f>
        <v>ON Semiconductor</v>
      </c>
      <c r="C45849" s="6">
        <v>168</v>
      </c>
      <c r="D45849" s="7">
        <v>630.15</v>
      </c>
    </row>
    <row r="45850" spans="1:4" x14ac:dyDescent="0.25">
      <c r="A45850" t="str">
        <f>HYPERLINK("https://www.773grp.com/globalSearch/55500EFJ-R/page-1", "55500EFJ-R")</f>
        <v>55500EFJ-R</v>
      </c>
      <c r="B45850" s="3" t="str">
        <f>HYPERLINK("https://www.773grp.com/manufacturer/onsemi?pageNo=396", "ON Semiconductor")</f>
        <v>ON Semiconductor</v>
      </c>
      <c r="C45850" s="6">
        <v>7</v>
      </c>
      <c r="D45850" s="7">
        <v>675.51</v>
      </c>
    </row>
    <row r="45851" spans="1:4" x14ac:dyDescent="0.25">
      <c r="A45851" t="str">
        <f>HYPERLINK("https://www.773grp.com/globalSearch/R618000/page-1", "R618000")</f>
        <v>R618000</v>
      </c>
      <c r="B45851" s="3" t="str">
        <f>HYPERLINK("https://www.773grp.com/manufacturer/onsemi?pageNo=397", "ON Semiconductor")</f>
        <v>ON Semiconductor</v>
      </c>
      <c r="C45851" s="6">
        <v>94</v>
      </c>
      <c r="D45851" s="7">
        <v>689.81</v>
      </c>
    </row>
    <row r="45852" spans="1:4" x14ac:dyDescent="0.25">
      <c r="A45852" t="str">
        <f>HYPERLINK("https://www.773grp.com/globalSearch/MG80186-8-B/page-1", "MG80186-8-B")</f>
        <v>MG80186-8-B</v>
      </c>
      <c r="B45852" s="3" t="str">
        <f>HYPERLINK("https://www.773grp.com/manufacturer/onsemi?pageNo=398", "ON Semiconductor")</f>
        <v>ON Semiconductor</v>
      </c>
      <c r="C45852" s="6">
        <v>543</v>
      </c>
      <c r="D45852" s="7">
        <v>696.85</v>
      </c>
    </row>
    <row r="45853" spans="1:4" x14ac:dyDescent="0.25">
      <c r="A45853" t="str">
        <f>HYPERLINK("https://www.773grp.com/globalSearch/R755120/page-1", "R755120")</f>
        <v>R755120</v>
      </c>
      <c r="B45853" s="3" t="str">
        <f>HYPERLINK("https://www.773grp.com/manufacturer/onsemi?pageNo=399", "ON Semiconductor")</f>
        <v>ON Semiconductor</v>
      </c>
      <c r="C45853" s="6">
        <v>58</v>
      </c>
      <c r="D45853" s="7">
        <v>706.64</v>
      </c>
    </row>
    <row r="45854" spans="1:4" x14ac:dyDescent="0.25">
      <c r="A45854" t="str">
        <f>HYPERLINK("https://www.773grp.com/globalSearch/MQ80186-6-B/page-1", "MQ80186-6-B")</f>
        <v>MQ80186-6-B</v>
      </c>
      <c r="B45854" s="3" t="str">
        <f>HYPERLINK("https://www.773grp.com/manufacturer/onsemi?pageNo=400", "ON Semiconductor")</f>
        <v>ON Semiconductor</v>
      </c>
      <c r="C45854" s="6">
        <v>335</v>
      </c>
      <c r="D45854" s="7">
        <v>728.44</v>
      </c>
    </row>
    <row r="45855" spans="1:4" x14ac:dyDescent="0.25">
      <c r="A45855" t="str">
        <f>HYPERLINK("https://www.773grp.com/globalSearch/NSC800D-B/page-1", "NSC800D-B")</f>
        <v>NSC800D-B</v>
      </c>
      <c r="B45855" s="3" t="str">
        <f>HYPERLINK("https://www.773grp.com/manufacturer/onsemi?pageNo=401", "ON Semiconductor")</f>
        <v>ON Semiconductor</v>
      </c>
      <c r="C45855" s="6">
        <v>840</v>
      </c>
      <c r="D45855" s="7">
        <v>739.18</v>
      </c>
    </row>
    <row r="45856" spans="1:4" x14ac:dyDescent="0.25">
      <c r="A45856" t="str">
        <f>HYPERLINK("https://www.773grp.com/globalSearch/NSC810AD-B/page-1", "NSC810AD-B")</f>
        <v>NSC810AD-B</v>
      </c>
      <c r="B45856" s="3" t="str">
        <f>HYPERLINK("https://www.773grp.com/manufacturer/onsemi?pageNo=402", "ON Semiconductor")</f>
        <v>ON Semiconductor</v>
      </c>
      <c r="C45856" s="6">
        <v>71</v>
      </c>
      <c r="D45856" s="7">
        <v>739.18</v>
      </c>
    </row>
    <row r="45857" spans="1:5" x14ac:dyDescent="0.25">
      <c r="A45857" t="str">
        <f>HYPERLINK("https://www.773grp.com/globalSearch/D8087-1/page-1", "D8087-1")</f>
        <v>D8087-1</v>
      </c>
      <c r="B45857" s="3" t="str">
        <f>HYPERLINK("https://www.773grp.com/manufacturer/onsemi?pageNo=403", "ON Semiconductor")</f>
        <v>ON Semiconductor</v>
      </c>
      <c r="C45857" s="6">
        <v>405</v>
      </c>
      <c r="D45857" s="7">
        <v>743.56</v>
      </c>
      <c r="E45857" t="s">
        <v>125</v>
      </c>
    </row>
    <row r="45858" spans="1:5" x14ac:dyDescent="0.25">
      <c r="A45858" t="str">
        <f>HYPERLINK("https://www.773grp.com/globalSearch/MD8751H-8-B/page-1", "MD8751H-8-B")</f>
        <v>MD8751H-8-B</v>
      </c>
      <c r="B45858" s="3" t="str">
        <f>HYPERLINK("https://www.773grp.com/manufacturer/onsemi?pageNo=404", "ON Semiconductor")</f>
        <v>ON Semiconductor</v>
      </c>
      <c r="C45858" s="6">
        <v>403</v>
      </c>
      <c r="D45858" s="7">
        <v>743.56</v>
      </c>
    </row>
    <row r="45859" spans="1:5" x14ac:dyDescent="0.25">
      <c r="A45859" t="str">
        <f>HYPERLINK("https://www.773grp.com/globalSearch/MR8751H-8-R/page-1", "MR8751H-8-R")</f>
        <v>MR8751H-8-R</v>
      </c>
      <c r="B45859" s="3" t="str">
        <f>HYPERLINK("https://www.773grp.com/manufacturer/onsemi?pageNo=405", "ON Semiconductor")</f>
        <v>ON Semiconductor</v>
      </c>
      <c r="C45859" s="6">
        <v>1159</v>
      </c>
      <c r="D45859" s="7">
        <v>743.56</v>
      </c>
    </row>
    <row r="45860" spans="1:5" x14ac:dyDescent="0.25">
      <c r="A45860" t="str">
        <f>HYPERLINK("https://www.773grp.com/globalSearch/TA82380-25/page-1", "TA82380-25")</f>
        <v>TA82380-25</v>
      </c>
      <c r="B45860" s="3" t="str">
        <f>HYPERLINK("https://www.773grp.com/manufacturer/onsemi?pageNo=406", "ON Semiconductor")</f>
        <v>ON Semiconductor</v>
      </c>
      <c r="C45860" s="6">
        <v>253</v>
      </c>
      <c r="D45860" s="7">
        <v>751.13</v>
      </c>
    </row>
    <row r="45861" spans="1:5" x14ac:dyDescent="0.25">
      <c r="A45861" t="str">
        <f>HYPERLINK("https://www.773grp.com/globalSearch/911HM/page-1", "911HM")</f>
        <v>911HM</v>
      </c>
      <c r="B45861" s="3" t="str">
        <f>HYPERLINK("https://www.773grp.com/manufacturer/onsemi?pageNo=407", "ON Semiconductor")</f>
        <v>ON Semiconductor</v>
      </c>
      <c r="C45861" s="6">
        <v>302</v>
      </c>
      <c r="D45861" s="7">
        <v>762.48</v>
      </c>
      <c r="E45861" t="s">
        <v>31</v>
      </c>
    </row>
    <row r="45862" spans="1:5" x14ac:dyDescent="0.25">
      <c r="A45862" t="str">
        <f>HYPERLINK("https://www.773grp.com/globalSearch/MC8751H-8-R/page-1", "MC8751H-8-R")</f>
        <v>MC8751H-8-R</v>
      </c>
      <c r="B45862" s="3" t="str">
        <f>HYPERLINK("https://www.773grp.com/manufacturer/onsemi?pageNo=408", "ON Semiconductor")</f>
        <v>ON Semiconductor</v>
      </c>
      <c r="C45862" s="6">
        <v>32</v>
      </c>
      <c r="D45862" s="7">
        <v>819.18</v>
      </c>
    </row>
    <row r="45863" spans="1:5" x14ac:dyDescent="0.25">
      <c r="A45863" t="str">
        <f>HYPERLINK("https://www.773grp.com/globalSearch/MG80C286-10/page-1", "MG80C286-10")</f>
        <v>MG80C286-10</v>
      </c>
      <c r="B45863" s="3" t="str">
        <f>HYPERLINK("https://www.773grp.com/manufacturer/onsemi?pageNo=409", "ON Semiconductor")</f>
        <v>ON Semiconductor</v>
      </c>
      <c r="C45863" s="6">
        <v>1051</v>
      </c>
      <c r="D45863" s="7">
        <v>819.18</v>
      </c>
    </row>
    <row r="45864" spans="1:5" x14ac:dyDescent="0.25">
      <c r="A45864" t="str">
        <f>HYPERLINK("https://www.773grp.com/globalSearch/MC8751H-8-BQA/page-1", "MC8751H-8-BQA")</f>
        <v>MC8751H-8-BQA</v>
      </c>
      <c r="B45864" s="3" t="str">
        <f>HYPERLINK("https://www.773grp.com/manufacturer/onsemi?pageNo=410", "ON Semiconductor")</f>
        <v>ON Semiconductor</v>
      </c>
      <c r="C45864" s="6">
        <v>53</v>
      </c>
      <c r="D45864" s="7">
        <v>869.6</v>
      </c>
    </row>
    <row r="45865" spans="1:5" x14ac:dyDescent="0.25">
      <c r="A45865" t="str">
        <f>HYPERLINK("https://www.773grp.com/globalSearch/A82380-20/page-1", "A82380-20")</f>
        <v>A82380-20</v>
      </c>
      <c r="B45865" s="3" t="str">
        <f>HYPERLINK("https://www.773grp.com/manufacturer/onsemi?pageNo=411", "ON Semiconductor")</f>
        <v>ON Semiconductor</v>
      </c>
      <c r="C45865" s="6">
        <v>910</v>
      </c>
      <c r="D45865" s="7">
        <v>945.23</v>
      </c>
      <c r="E45865" t="s">
        <v>72</v>
      </c>
    </row>
    <row r="45866" spans="1:5" x14ac:dyDescent="0.25">
      <c r="A45866" t="str">
        <f>HYPERLINK("https://www.773grp.com/globalSearch/MG80186-6-BZA/page-1", "MG80186-6-BZA")</f>
        <v>MG80186-6-BZA</v>
      </c>
      <c r="B45866" s="3" t="str">
        <f>HYPERLINK("https://www.773grp.com/manufacturer/onsemi?pageNo=412", "ON Semiconductor")</f>
        <v>ON Semiconductor</v>
      </c>
      <c r="C45866" s="6">
        <v>601</v>
      </c>
      <c r="D45866" s="7">
        <v>945.23</v>
      </c>
    </row>
    <row r="45867" spans="1:5" x14ac:dyDescent="0.25">
      <c r="A45867" t="str">
        <f>HYPERLINK("https://www.773grp.com/globalSearch/A82380-25/page-1", "A82380-25")</f>
        <v>A82380-25</v>
      </c>
      <c r="B45867" s="3" t="str">
        <f>HYPERLINK("https://www.773grp.com/manufacturer/onsemi?pageNo=413", "ON Semiconductor")</f>
        <v>ON Semiconductor</v>
      </c>
      <c r="C45867" s="6">
        <v>7484</v>
      </c>
      <c r="D45867" s="7">
        <v>995.63</v>
      </c>
      <c r="E45867" t="s">
        <v>72</v>
      </c>
    </row>
    <row r="45868" spans="1:5" x14ac:dyDescent="0.25">
      <c r="A45868" t="str">
        <f>HYPERLINK("https://www.773grp.com/globalSearch/MC8094-R/page-1", "MC8094-R")</f>
        <v>MC8094-R</v>
      </c>
      <c r="B45868" s="3" t="str">
        <f>HYPERLINK("https://www.773grp.com/manufacturer/onsemi?pageNo=414", "ON Semiconductor")</f>
        <v>ON Semiconductor</v>
      </c>
      <c r="C45868" s="6">
        <v>261</v>
      </c>
      <c r="D45868" s="7">
        <v>995.63</v>
      </c>
    </row>
    <row r="45869" spans="1:5" x14ac:dyDescent="0.25">
      <c r="A45869" t="str">
        <f>HYPERLINK("https://www.773grp.com/globalSearch/MG80186-8-BZA/page-1", "MG80186-8-BZA")</f>
        <v>MG80186-8-BZA</v>
      </c>
      <c r="B45869" s="3" t="str">
        <f>HYPERLINK("https://www.773grp.com/manufacturer/onsemi?pageNo=415", "ON Semiconductor")</f>
        <v>ON Semiconductor</v>
      </c>
      <c r="C45869" s="6">
        <v>32</v>
      </c>
      <c r="D45869" s="7">
        <v>995.63</v>
      </c>
    </row>
    <row r="45870" spans="1:5" x14ac:dyDescent="0.25">
      <c r="A45870" t="str">
        <f>HYPERLINK("https://www.773grp.com/globalSearch/MQ80186-8-BYC/page-1", "MQ80186-8-BYC")</f>
        <v>MQ80186-8-BYC</v>
      </c>
      <c r="B45870" s="3" t="str">
        <f>HYPERLINK("https://www.773grp.com/manufacturer/onsemi?pageNo=416", "ON Semiconductor")</f>
        <v>ON Semiconductor</v>
      </c>
      <c r="C45870" s="6">
        <v>1535</v>
      </c>
      <c r="D45870" s="7">
        <v>995.63</v>
      </c>
    </row>
    <row r="45871" spans="1:5" x14ac:dyDescent="0.25">
      <c r="A45871" t="str">
        <f>HYPERLINK("https://www.773grp.com/globalSearch/MF28F008-10/page-1", "MF28F008-10")</f>
        <v>MF28F008-10</v>
      </c>
      <c r="B45871" s="3" t="str">
        <f>HYPERLINK("https://www.773grp.com/manufacturer/onsemi?pageNo=417", "ON Semiconductor")</f>
        <v>ON Semiconductor</v>
      </c>
      <c r="C45871" s="6">
        <v>287</v>
      </c>
      <c r="D45871" s="7">
        <v>1000.68</v>
      </c>
      <c r="E45871" t="s">
        <v>64</v>
      </c>
    </row>
    <row r="45872" spans="1:5" x14ac:dyDescent="0.25">
      <c r="A45872" t="str">
        <f>HYPERLINK("https://www.773grp.com/globalSearch/UC1840J-883/page-1", "UC1840J-883")</f>
        <v>UC1840J-883</v>
      </c>
      <c r="B45872" s="3" t="str">
        <f>HYPERLINK("https://www.773grp.com/manufacturer/onsemi?pageNo=418", "ON Semiconductor")</f>
        <v>ON Semiconductor</v>
      </c>
      <c r="C45872" s="6">
        <v>813</v>
      </c>
      <c r="D45872" s="7">
        <v>1004.63</v>
      </c>
    </row>
    <row r="45873" spans="1:5" x14ac:dyDescent="0.25">
      <c r="A45873" t="str">
        <f>HYPERLINK("https://www.773grp.com/globalSearch/MG80C286-10-B/page-1", "MG80C286-10-B")</f>
        <v>MG80C286-10-B</v>
      </c>
      <c r="B45873" s="3" t="str">
        <f>HYPERLINK("https://www.773grp.com/manufacturer/onsemi?pageNo=419", "ON Semiconductor")</f>
        <v>ON Semiconductor</v>
      </c>
      <c r="C45873" s="6">
        <v>76</v>
      </c>
      <c r="D45873" s="7">
        <v>1035.99</v>
      </c>
    </row>
    <row r="45874" spans="1:5" x14ac:dyDescent="0.25">
      <c r="A45874" t="str">
        <f>HYPERLINK("https://www.773grp.com/globalSearch/8501001YA/page-1", "8501001YA")</f>
        <v>8501001YA</v>
      </c>
      <c r="B45874" s="3" t="str">
        <f>HYPERLINK("https://www.773grp.com/manufacturer/onsemi?pageNo=420", "ON Semiconductor")</f>
        <v>ON Semiconductor</v>
      </c>
      <c r="C45874" s="6">
        <v>35</v>
      </c>
      <c r="D45874" s="7">
        <v>1071.24</v>
      </c>
      <c r="E45874" t="s">
        <v>81</v>
      </c>
    </row>
    <row r="45875" spans="1:5" x14ac:dyDescent="0.25">
      <c r="A45875" t="str">
        <f>HYPERLINK("https://www.773grp.com/globalSearch/TA82370-20/page-1", "TA82370-20")</f>
        <v>TA82370-20</v>
      </c>
      <c r="B45875" s="3" t="str">
        <f>HYPERLINK("https://www.773grp.com/manufacturer/onsemi?pageNo=421", "ON Semiconductor")</f>
        <v>ON Semiconductor</v>
      </c>
      <c r="C45875" s="6">
        <v>117</v>
      </c>
      <c r="D45875" s="7">
        <v>1071.24</v>
      </c>
    </row>
    <row r="45876" spans="1:5" x14ac:dyDescent="0.25">
      <c r="A45876" t="str">
        <f>HYPERLINK("https://www.773grp.com/globalSearch/MC87C51FCZ-B/page-1", "MC87C51FCZ-B")</f>
        <v>MC87C51FCZ-B</v>
      </c>
      <c r="B45876" s="3" t="str">
        <f>HYPERLINK("https://www.773grp.com/manufacturer/onsemi?pageNo=422", "ON Semiconductor")</f>
        <v>ON Semiconductor</v>
      </c>
      <c r="C45876" s="6">
        <v>328</v>
      </c>
      <c r="D45876" s="7">
        <v>1121.6500000000001</v>
      </c>
    </row>
    <row r="45877" spans="1:5" x14ac:dyDescent="0.25">
      <c r="A45877" t="str">
        <f>HYPERLINK("https://www.773grp.com/globalSearch/MG80C186-10/page-1", "MG80C186-10")</f>
        <v>MG80C186-10</v>
      </c>
      <c r="B45877" s="3" t="str">
        <f>HYPERLINK("https://www.773grp.com/manufacturer/onsemi?pageNo=423", "ON Semiconductor")</f>
        <v>ON Semiconductor</v>
      </c>
      <c r="C45877" s="6">
        <v>108</v>
      </c>
      <c r="D45877" s="7">
        <v>1121.6500000000001</v>
      </c>
      <c r="E45877" t="s">
        <v>81</v>
      </c>
    </row>
    <row r="45878" spans="1:5" x14ac:dyDescent="0.25">
      <c r="A45878" t="str">
        <f>HYPERLINK("https://www.773grp.com/globalSearch/8501002YC/page-1", "8501002YC")</f>
        <v>8501002YC</v>
      </c>
      <c r="B45878" s="3" t="str">
        <f>HYPERLINK("https://www.773grp.com/manufacturer/onsemi?pageNo=424", "ON Semiconductor")</f>
        <v>ON Semiconductor</v>
      </c>
      <c r="C45878" s="6">
        <v>205</v>
      </c>
      <c r="D45878" s="7">
        <v>1134.25</v>
      </c>
      <c r="E45878" t="s">
        <v>81</v>
      </c>
    </row>
    <row r="45879" spans="1:5" x14ac:dyDescent="0.25">
      <c r="A45879" t="str">
        <f>HYPERLINK("https://www.773grp.com/globalSearch/MD8087-2/page-1", "MD8087-2")</f>
        <v>MD8087-2</v>
      </c>
      <c r="B45879" s="3" t="str">
        <f>HYPERLINK("https://www.773grp.com/manufacturer/onsemi?pageNo=425", "ON Semiconductor")</f>
        <v>ON Semiconductor</v>
      </c>
      <c r="C45879" s="6">
        <v>42</v>
      </c>
      <c r="D45879" s="7">
        <v>1134.25</v>
      </c>
    </row>
    <row r="45880" spans="1:5" x14ac:dyDescent="0.25">
      <c r="A45880" t="str">
        <f>HYPERLINK("https://www.773grp.com/globalSearch/5962-8501002YA/page-1", "5962-8501002YA")</f>
        <v>5962-8501002YA</v>
      </c>
      <c r="B45880" s="3" t="str">
        <f>HYPERLINK("https://www.773grp.com/manufacturer/onsemi?pageNo=426", "ON Semiconductor")</f>
        <v>ON Semiconductor</v>
      </c>
      <c r="C45880" s="6">
        <v>8</v>
      </c>
      <c r="D45880" s="7">
        <v>1159.46</v>
      </c>
    </row>
    <row r="45881" spans="1:5" x14ac:dyDescent="0.25">
      <c r="A45881" t="str">
        <f>HYPERLINK("https://www.773grp.com/globalSearch/MQ80186-6-BYA/page-1", "MQ80186-6-BYA")</f>
        <v>MQ80186-6-BYA</v>
      </c>
      <c r="B45881" s="3" t="str">
        <f>HYPERLINK("https://www.773grp.com/manufacturer/onsemi?pageNo=427", "ON Semiconductor")</f>
        <v>ON Semiconductor</v>
      </c>
      <c r="C45881" s="6">
        <v>245</v>
      </c>
      <c r="D45881" s="7">
        <v>1159.46</v>
      </c>
    </row>
    <row r="45882" spans="1:5" x14ac:dyDescent="0.25">
      <c r="A45882" t="str">
        <f>HYPERLINK("https://www.773grp.com/globalSearch/MG80C186-12/page-1", "MG80C186-12")</f>
        <v>MG80C186-12</v>
      </c>
      <c r="B45882" s="3" t="str">
        <f>HYPERLINK("https://www.773grp.com/manufacturer/onsemi?pageNo=428", "ON Semiconductor")</f>
        <v>ON Semiconductor</v>
      </c>
      <c r="C45882" s="6">
        <v>18</v>
      </c>
      <c r="D45882" s="7">
        <v>1209.8800000000001</v>
      </c>
      <c r="E45882" t="s">
        <v>81</v>
      </c>
    </row>
    <row r="45883" spans="1:5" x14ac:dyDescent="0.25">
      <c r="A45883" t="str">
        <f>HYPERLINK("https://www.773grp.com/globalSearch/MC28F008-10/page-1", "MC28F008-10")</f>
        <v>MC28F008-10</v>
      </c>
      <c r="B45883" s="3" t="str">
        <f>HYPERLINK("https://www.773grp.com/manufacturer/onsemi?pageNo=429", "ON Semiconductor")</f>
        <v>ON Semiconductor</v>
      </c>
      <c r="C45883" s="6">
        <v>903</v>
      </c>
      <c r="D45883" s="7">
        <v>1247.69</v>
      </c>
      <c r="E45883" t="s">
        <v>64</v>
      </c>
    </row>
    <row r="45884" spans="1:5" x14ac:dyDescent="0.25">
      <c r="A45884" t="str">
        <f>HYPERLINK("https://www.773grp.com/globalSearch/MD8087-2-R/page-1", "MD8087-2-R")</f>
        <v>MD8087-2-R</v>
      </c>
      <c r="B45884" s="3" t="str">
        <f>HYPERLINK("https://www.773grp.com/manufacturer/onsemi?pageNo=430", "ON Semiconductor")</f>
        <v>ON Semiconductor</v>
      </c>
      <c r="C45884" s="6">
        <v>696</v>
      </c>
      <c r="D45884" s="7">
        <v>1247.69</v>
      </c>
    </row>
    <row r="45885" spans="1:5" x14ac:dyDescent="0.25">
      <c r="A45885" t="str">
        <f>HYPERLINK("https://www.773grp.com/globalSearch/MG80C186-10-R/page-1", "MG80C186-10-R")</f>
        <v>MG80C186-10-R</v>
      </c>
      <c r="B45885" s="3" t="str">
        <f>HYPERLINK("https://www.773grp.com/manufacturer/onsemi?pageNo=431", "ON Semiconductor")</f>
        <v>ON Semiconductor</v>
      </c>
      <c r="C45885" s="6">
        <v>879</v>
      </c>
      <c r="D45885" s="7">
        <v>1247.69</v>
      </c>
    </row>
    <row r="45886" spans="1:5" x14ac:dyDescent="0.25">
      <c r="A45886" t="str">
        <f>HYPERLINK("https://www.773grp.com/globalSearch/MQ80C186-12-BYC/page-1", "MQ80C186-12-BYC")</f>
        <v>MQ80C186-12-BYC</v>
      </c>
      <c r="B45886" s="3" t="str">
        <f>HYPERLINK("https://www.773grp.com/manufacturer/onsemi?pageNo=432", "ON Semiconductor")</f>
        <v>ON Semiconductor</v>
      </c>
      <c r="C45886" s="6">
        <v>1022</v>
      </c>
      <c r="D45886" s="7">
        <v>1386.31</v>
      </c>
    </row>
    <row r="45887" spans="1:5" x14ac:dyDescent="0.25">
      <c r="A45887" t="str">
        <f>HYPERLINK("https://www.773grp.com/globalSearch/MG80C186XL-10/page-1", "MG80C186XL-10")</f>
        <v>MG80C186XL-10</v>
      </c>
      <c r="B45887" s="3" t="str">
        <f>HYPERLINK("https://www.773grp.com/manufacturer/onsemi?pageNo=433", "ON Semiconductor")</f>
        <v>ON Semiconductor</v>
      </c>
      <c r="C45887" s="6">
        <v>113</v>
      </c>
      <c r="D45887" s="7">
        <v>1398.93</v>
      </c>
    </row>
    <row r="45888" spans="1:5" x14ac:dyDescent="0.25">
      <c r="A45888" t="str">
        <f>HYPERLINK("https://www.773grp.com/globalSearch/MG80C186-10-BZC/page-1", "MG80C186-10-BZC")</f>
        <v>MG80C186-10-BZC</v>
      </c>
      <c r="B45888" s="3" t="str">
        <f>HYPERLINK("https://www.773grp.com/manufacturer/onsemi?pageNo=434", "ON Semiconductor")</f>
        <v>ON Semiconductor</v>
      </c>
      <c r="C45888" s="6">
        <v>74</v>
      </c>
      <c r="D45888" s="7">
        <v>1398.93</v>
      </c>
    </row>
    <row r="45889" spans="1:5" x14ac:dyDescent="0.25">
      <c r="A45889" t="str">
        <f>HYPERLINK("https://www.773grp.com/globalSearch/MG80C186-10-BZA/page-1", "MG80C186-10-BZA")</f>
        <v>MG80C186-10-BZA</v>
      </c>
      <c r="B45889" s="3" t="str">
        <f>HYPERLINK("https://www.773grp.com/manufacturer/onsemi?pageNo=435", "ON Semiconductor")</f>
        <v>ON Semiconductor</v>
      </c>
      <c r="C45889" s="6">
        <v>151</v>
      </c>
      <c r="D45889" s="7">
        <v>1424.11</v>
      </c>
    </row>
    <row r="45890" spans="1:5" x14ac:dyDescent="0.25">
      <c r="A45890" t="str">
        <f>HYPERLINK("https://www.773grp.com/globalSearch/MC28F008-12-R/page-1", "MC28F008-12-R")</f>
        <v>MC28F008-12-R</v>
      </c>
      <c r="B45890" s="3" t="str">
        <f>HYPERLINK("https://www.773grp.com/manufacturer/onsemi?pageNo=436", "ON Semiconductor")</f>
        <v>ON Semiconductor</v>
      </c>
      <c r="C45890" s="6">
        <v>1330</v>
      </c>
      <c r="D45890" s="7">
        <v>1449.33</v>
      </c>
    </row>
    <row r="45891" spans="1:5" x14ac:dyDescent="0.25">
      <c r="A45891" t="str">
        <f>HYPERLINK("https://www.773grp.com/globalSearch/MG80C186XL-16/page-1", "MG80C186XL-16")</f>
        <v>MG80C186XL-16</v>
      </c>
      <c r="B45891" s="3" t="str">
        <f>HYPERLINK("https://www.773grp.com/manufacturer/onsemi?pageNo=437", "ON Semiconductor")</f>
        <v>ON Semiconductor</v>
      </c>
      <c r="C45891" s="6">
        <v>26</v>
      </c>
      <c r="D45891" s="7">
        <v>1474.54</v>
      </c>
      <c r="E45891" t="s">
        <v>81</v>
      </c>
    </row>
    <row r="45892" spans="1:5" x14ac:dyDescent="0.25">
      <c r="A45892" t="str">
        <f>HYPERLINK("https://www.773grp.com/globalSearch/MQ82370-20/page-1", "MQ82370-20")</f>
        <v>MQ82370-20</v>
      </c>
      <c r="B45892" s="3" t="str">
        <f>HYPERLINK("https://www.773grp.com/manufacturer/onsemi?pageNo=438", "ON Semiconductor")</f>
        <v>ON Semiconductor</v>
      </c>
      <c r="C45892" s="6">
        <v>69</v>
      </c>
      <c r="D45892" s="7">
        <v>1474.54</v>
      </c>
    </row>
    <row r="45893" spans="1:5" x14ac:dyDescent="0.25">
      <c r="A45893" t="str">
        <f>HYPERLINK("https://www.773grp.com/globalSearch/MQ82380-20/page-1", "MQ82380-20")</f>
        <v>MQ82380-20</v>
      </c>
      <c r="B45893" s="3" t="str">
        <f>HYPERLINK("https://www.773grp.com/manufacturer/onsemi?pageNo=439", "ON Semiconductor")</f>
        <v>ON Semiconductor</v>
      </c>
      <c r="C45893" s="6">
        <v>269</v>
      </c>
      <c r="D45893" s="7">
        <v>1474.54</v>
      </c>
    </row>
    <row r="45894" spans="1:5" x14ac:dyDescent="0.25">
      <c r="A45894" t="str">
        <f>HYPERLINK("https://www.773grp.com/globalSearch/MG80C186-12-B/page-1", "MG80C186-12-B")</f>
        <v>MG80C186-12-B</v>
      </c>
      <c r="B45894" s="3" t="str">
        <f>HYPERLINK("https://www.773grp.com/manufacturer/onsemi?pageNo=440", "ON Semiconductor")</f>
        <v>ON Semiconductor</v>
      </c>
      <c r="C45894" s="6">
        <v>212</v>
      </c>
      <c r="D45894" s="7">
        <v>1474.54</v>
      </c>
    </row>
    <row r="45895" spans="1:5" x14ac:dyDescent="0.25">
      <c r="A45895" t="str">
        <f>HYPERLINK("https://www.773grp.com/globalSearch/MQ80C186-12-R/page-1", "MQ80C186-12-R")</f>
        <v>MQ80C186-12-R</v>
      </c>
      <c r="B45895" s="3" t="str">
        <f>HYPERLINK("https://www.773grp.com/manufacturer/onsemi?pageNo=441", "ON Semiconductor")</f>
        <v>ON Semiconductor</v>
      </c>
      <c r="C45895" s="6">
        <v>2161</v>
      </c>
      <c r="D45895" s="7">
        <v>1492.81</v>
      </c>
    </row>
    <row r="45896" spans="1:5" x14ac:dyDescent="0.25">
      <c r="A45896" t="str">
        <f>HYPERLINK("https://www.773grp.com/globalSearch/MC28F008-10-B/page-1", "MC28F008-10-B")</f>
        <v>MC28F008-10-B</v>
      </c>
      <c r="B45896" s="3" t="str">
        <f>HYPERLINK("https://www.773grp.com/manufacturer/onsemi?pageNo=442", "ON Semiconductor")</f>
        <v>ON Semiconductor</v>
      </c>
      <c r="C45896" s="6">
        <v>135</v>
      </c>
      <c r="D45896" s="7">
        <v>1499.74</v>
      </c>
    </row>
    <row r="45897" spans="1:5" x14ac:dyDescent="0.25">
      <c r="A45897" t="str">
        <f>HYPERLINK("https://www.773grp.com/globalSearch/MG8097BH-R/page-1", "MG8097BH-R")</f>
        <v>MG8097BH-R</v>
      </c>
      <c r="B45897" s="3" t="str">
        <f>HYPERLINK("https://www.773grp.com/manufacturer/onsemi?pageNo=443", "ON Semiconductor")</f>
        <v>ON Semiconductor</v>
      </c>
      <c r="C45897" s="6">
        <v>123</v>
      </c>
      <c r="D45897" s="7">
        <v>1499.74</v>
      </c>
    </row>
    <row r="45898" spans="1:5" x14ac:dyDescent="0.25">
      <c r="A45898" t="str">
        <f>HYPERLINK("https://www.773grp.com/globalSearch/MG82380-20-B/page-1", "MG82380-20-B")</f>
        <v>MG82380-20-B</v>
      </c>
      <c r="B45898" s="3" t="str">
        <f>HYPERLINK("https://www.773grp.com/manufacturer/onsemi?pageNo=444", "ON Semiconductor")</f>
        <v>ON Semiconductor</v>
      </c>
      <c r="C45898" s="6">
        <v>104</v>
      </c>
      <c r="D45898" s="7">
        <v>1550.15</v>
      </c>
    </row>
    <row r="45899" spans="1:5" x14ac:dyDescent="0.25">
      <c r="A45899" t="str">
        <f>HYPERLINK("https://www.773grp.com/globalSearch/MQ80286-6-B/page-1", "MQ80286-6-B")</f>
        <v>MQ80286-6-B</v>
      </c>
      <c r="B45899" s="3" t="str">
        <f>HYPERLINK("https://www.773grp.com/manufacturer/onsemi?pageNo=445", "ON Semiconductor")</f>
        <v>ON Semiconductor</v>
      </c>
      <c r="C45899" s="6">
        <v>14</v>
      </c>
      <c r="D45899" s="7">
        <v>1557.71</v>
      </c>
    </row>
    <row r="45900" spans="1:5" x14ac:dyDescent="0.25">
      <c r="A45900" t="str">
        <f>HYPERLINK("https://www.773grp.com/globalSearch/MQ82380-20-R/page-1", "MQ82380-20-R")</f>
        <v>MQ82380-20-R</v>
      </c>
      <c r="B45900" s="3" t="str">
        <f>HYPERLINK("https://www.773grp.com/manufacturer/onsemi?pageNo=446", "ON Semiconductor")</f>
        <v>ON Semiconductor</v>
      </c>
      <c r="C45900" s="6">
        <v>1</v>
      </c>
      <c r="D45900" s="7">
        <v>1575.35</v>
      </c>
    </row>
    <row r="45901" spans="1:5" x14ac:dyDescent="0.25">
      <c r="A45901" t="str">
        <f>HYPERLINK("https://www.773grp.com/globalSearch/MG87C196KC-R/page-1", "MG87C196KC-R")</f>
        <v>MG87C196KC-R</v>
      </c>
      <c r="B45901" s="3" t="str">
        <f>HYPERLINK("https://www.773grp.com/manufacturer/onsemi?pageNo=447", "ON Semiconductor")</f>
        <v>ON Semiconductor</v>
      </c>
      <c r="C45901" s="6">
        <v>720</v>
      </c>
      <c r="D45901" s="7">
        <v>1593</v>
      </c>
    </row>
    <row r="45902" spans="1:5" x14ac:dyDescent="0.25">
      <c r="A45902" t="str">
        <f>HYPERLINK("https://www.773grp.com/globalSearch/MD8087-B/page-1", "MD8087-B")</f>
        <v>MD8087-B</v>
      </c>
      <c r="B45902" s="3" t="str">
        <f>HYPERLINK("https://www.773grp.com/manufacturer/onsemi?pageNo=448", "ON Semiconductor")</f>
        <v>ON Semiconductor</v>
      </c>
      <c r="C45902" s="6">
        <v>1</v>
      </c>
      <c r="D45902" s="7">
        <v>1619.85</v>
      </c>
    </row>
    <row r="45903" spans="1:5" x14ac:dyDescent="0.25">
      <c r="A45903" t="str">
        <f>HYPERLINK("https://www.773grp.com/globalSearch/MG80C186EB-13-B/page-1", "MG80C186EB-13-B")</f>
        <v>MG80C186EB-13-B</v>
      </c>
      <c r="B45903" s="3" t="str">
        <f>HYPERLINK("https://www.773grp.com/manufacturer/onsemi?pageNo=449", "ON Semiconductor")</f>
        <v>ON Semiconductor</v>
      </c>
      <c r="C45903" s="6">
        <v>70</v>
      </c>
      <c r="D45903" s="7">
        <v>1625.78</v>
      </c>
    </row>
    <row r="45904" spans="1:5" x14ac:dyDescent="0.25">
      <c r="A45904" t="str">
        <f>HYPERLINK("https://www.773grp.com/globalSearch/MG80C196KB-12-R/page-1", "MG80C196KB-12-R")</f>
        <v>MG80C196KB-12-R</v>
      </c>
      <c r="B45904" s="3" t="str">
        <f>HYPERLINK("https://www.773grp.com/manufacturer/onsemi?pageNo=450", "ON Semiconductor")</f>
        <v>ON Semiconductor</v>
      </c>
      <c r="C45904" s="6">
        <v>105</v>
      </c>
      <c r="D45904" s="7">
        <v>1640.89</v>
      </c>
    </row>
    <row r="45905" spans="1:5" x14ac:dyDescent="0.25">
      <c r="A45905" t="str">
        <f>HYPERLINK("https://www.773grp.com/globalSearch/MG8797BH/page-1", "MG8797BH")</f>
        <v>MG8797BH</v>
      </c>
      <c r="B45905" s="3" t="str">
        <f>HYPERLINK("https://www.773grp.com/manufacturer/onsemi?pageNo=451", "ON Semiconductor")</f>
        <v>ON Semiconductor</v>
      </c>
      <c r="C45905" s="6">
        <v>45</v>
      </c>
      <c r="D45905" s="7">
        <v>1650.96</v>
      </c>
    </row>
    <row r="45906" spans="1:5" x14ac:dyDescent="0.25">
      <c r="A45906" t="str">
        <f>HYPERLINK("https://www.773grp.com/globalSearch/MQ80286-8-B/page-1", "MQ80286-8-B")</f>
        <v>MQ80286-8-B</v>
      </c>
      <c r="B45906" s="3" t="str">
        <f>HYPERLINK("https://www.773grp.com/manufacturer/onsemi?pageNo=452", "ON Semiconductor")</f>
        <v>ON Semiconductor</v>
      </c>
      <c r="C45906" s="6">
        <v>1</v>
      </c>
      <c r="D45906" s="7">
        <v>1683.74</v>
      </c>
    </row>
    <row r="45907" spans="1:5" x14ac:dyDescent="0.25">
      <c r="A45907" t="str">
        <f>HYPERLINK("https://www.773grp.com/globalSearch/MG80387-16/page-1", "MG80387-16")</f>
        <v>MG80387-16</v>
      </c>
      <c r="B45907" s="3" t="str">
        <f>HYPERLINK("https://www.773grp.com/manufacturer/onsemi?pageNo=453", "ON Semiconductor")</f>
        <v>ON Semiconductor</v>
      </c>
      <c r="C45907" s="6">
        <v>127</v>
      </c>
      <c r="D45907" s="7">
        <v>1701.39</v>
      </c>
    </row>
    <row r="45908" spans="1:5" x14ac:dyDescent="0.25">
      <c r="A45908" t="str">
        <f>HYPERLINK("https://www.773grp.com/globalSearch/MG80C186EB-16-R/page-1", "MG80C186EB-16-R")</f>
        <v>MG80C186EB-16-R</v>
      </c>
      <c r="B45908" s="3" t="str">
        <f>HYPERLINK("https://www.773grp.com/manufacturer/onsemi?pageNo=454", "ON Semiconductor")</f>
        <v>ON Semiconductor</v>
      </c>
      <c r="C45908" s="6">
        <v>201</v>
      </c>
      <c r="D45908" s="7">
        <v>1701.39</v>
      </c>
    </row>
    <row r="45909" spans="1:5" x14ac:dyDescent="0.25">
      <c r="A45909" t="str">
        <f>HYPERLINK("https://www.773grp.com/globalSearch/MG80C186XL-16-B/page-1", "MG80C186XL-16-B")</f>
        <v>MG80C186XL-16-B</v>
      </c>
      <c r="B45909" s="3" t="str">
        <f>HYPERLINK("https://www.773grp.com/manufacturer/onsemi?pageNo=455", "ON Semiconductor")</f>
        <v>ON Semiconductor</v>
      </c>
      <c r="C45909" s="6">
        <v>33</v>
      </c>
      <c r="D45909" s="7">
        <v>1701.39</v>
      </c>
    </row>
    <row r="45910" spans="1:5" x14ac:dyDescent="0.25">
      <c r="A45910" t="str">
        <f>HYPERLINK("https://www.773grp.com/globalSearch/MQ80C196KB-12/page-1", "MQ80C196KB-12")</f>
        <v>MQ80C196KB-12</v>
      </c>
      <c r="B45910" s="3" t="str">
        <f>HYPERLINK("https://www.773grp.com/manufacturer/onsemi?pageNo=456", "ON Semiconductor")</f>
        <v>ON Semiconductor</v>
      </c>
      <c r="C45910" s="6">
        <v>260</v>
      </c>
      <c r="D45910" s="7">
        <v>1751.8</v>
      </c>
      <c r="E45910" t="s">
        <v>52</v>
      </c>
    </row>
    <row r="45911" spans="1:5" x14ac:dyDescent="0.25">
      <c r="A45911" t="str">
        <f>HYPERLINK("https://www.773grp.com/globalSearch/MD80C187-10-B/page-1", "MD80C187-10-B")</f>
        <v>MD80C187-10-B</v>
      </c>
      <c r="B45911" s="3" t="str">
        <f>HYPERLINK("https://www.773grp.com/manufacturer/onsemi?pageNo=457", "ON Semiconductor")</f>
        <v>ON Semiconductor</v>
      </c>
      <c r="C45911" s="6">
        <v>48</v>
      </c>
      <c r="D45911" s="7">
        <v>1782.69</v>
      </c>
    </row>
    <row r="45912" spans="1:5" x14ac:dyDescent="0.25">
      <c r="A45912" t="str">
        <f>HYPERLINK("https://www.773grp.com/globalSearch/MQ87C196KC-R/page-1", "MQ87C196KC-R")</f>
        <v>MQ87C196KC-R</v>
      </c>
      <c r="B45912" s="3" t="str">
        <f>HYPERLINK("https://www.773grp.com/manufacturer/onsemi?pageNo=458", "ON Semiconductor")</f>
        <v>ON Semiconductor</v>
      </c>
      <c r="C45912" s="6">
        <v>857</v>
      </c>
      <c r="D45912" s="7">
        <v>1786.28</v>
      </c>
    </row>
    <row r="45913" spans="1:5" x14ac:dyDescent="0.25">
      <c r="A45913" t="str">
        <f>HYPERLINK("https://www.773grp.com/globalSearch/MG8797BH-B/page-1", "MG8797BH-B")</f>
        <v>MG8797BH-B</v>
      </c>
      <c r="B45913" s="3" t="str">
        <f>HYPERLINK("https://www.773grp.com/manufacturer/onsemi?pageNo=459", "ON Semiconductor")</f>
        <v>ON Semiconductor</v>
      </c>
      <c r="C45913" s="6">
        <v>145</v>
      </c>
      <c r="D45913" s="7">
        <v>1826.35</v>
      </c>
    </row>
    <row r="45914" spans="1:5" x14ac:dyDescent="0.25">
      <c r="A45914" t="str">
        <f>HYPERLINK("https://www.773grp.com/globalSearch/MQ80C196KB-12-R/page-1", "MQ80C196KB-12-R")</f>
        <v>MQ80C196KB-12-R</v>
      </c>
      <c r="B45914" s="3" t="str">
        <f>HYPERLINK("https://www.773grp.com/manufacturer/onsemi?pageNo=460", "ON Semiconductor")</f>
        <v>ON Semiconductor</v>
      </c>
      <c r="C45914" s="6">
        <v>690</v>
      </c>
      <c r="D45914" s="7">
        <v>1827.41</v>
      </c>
    </row>
    <row r="45915" spans="1:5" x14ac:dyDescent="0.25">
      <c r="A45915" t="str">
        <f>HYPERLINK("https://www.773grp.com/globalSearch/MD80C187-12-B/page-1", "MD80C187-12-B")</f>
        <v>MD80C187-12-B</v>
      </c>
      <c r="B45915" s="3" t="str">
        <f>HYPERLINK("https://www.773grp.com/manufacturer/onsemi?pageNo=461", "ON Semiconductor")</f>
        <v>ON Semiconductor</v>
      </c>
      <c r="C45915" s="6">
        <v>225</v>
      </c>
      <c r="D45915" s="7">
        <v>1833.1</v>
      </c>
    </row>
    <row r="45916" spans="1:5" x14ac:dyDescent="0.25">
      <c r="A45916" t="str">
        <f>HYPERLINK("https://www.773grp.com/globalSearch/MIS-29515-73/page-1", "MIS-29515-73")</f>
        <v>MIS-29515-73</v>
      </c>
      <c r="B45916" s="3" t="str">
        <f>HYPERLINK("https://www.773grp.com/manufacturer/onsemi?pageNo=462", "ON Semiconductor")</f>
        <v>ON Semiconductor</v>
      </c>
      <c r="C45916" s="6">
        <v>9</v>
      </c>
      <c r="D45916" s="7">
        <v>1840.01</v>
      </c>
    </row>
    <row r="45917" spans="1:5" x14ac:dyDescent="0.25">
      <c r="A45917" t="str">
        <f>HYPERLINK("https://www.773grp.com/globalSearch/MG8097-B/page-1", "MG8097-B")</f>
        <v>MG8097-B</v>
      </c>
      <c r="B45917" s="3" t="str">
        <f>HYPERLINK("https://www.773grp.com/manufacturer/onsemi?pageNo=463", "ON Semiconductor")</f>
        <v>ON Semiconductor</v>
      </c>
      <c r="C45917" s="6">
        <v>214</v>
      </c>
      <c r="D45917" s="7">
        <v>1847.71</v>
      </c>
    </row>
    <row r="45918" spans="1:5" x14ac:dyDescent="0.25">
      <c r="A45918" t="str">
        <f>HYPERLINK("https://www.773grp.com/globalSearch/MG82389/page-1", "MG82389")</f>
        <v>MG82389</v>
      </c>
      <c r="B45918" s="3" t="str">
        <f>HYPERLINK("https://www.773grp.com/manufacturer/onsemi?pageNo=464", "ON Semiconductor")</f>
        <v>ON Semiconductor</v>
      </c>
      <c r="C45918" s="6">
        <v>491</v>
      </c>
      <c r="D45918" s="7">
        <v>1847.71</v>
      </c>
      <c r="E45918" t="s">
        <v>68</v>
      </c>
    </row>
    <row r="45919" spans="1:5" x14ac:dyDescent="0.25">
      <c r="A45919" t="str">
        <f>HYPERLINK("https://www.773grp.com/globalSearch/MG80C186XL-20-B/page-1", "MG80C186XL-20-B")</f>
        <v>MG80C186XL-20-B</v>
      </c>
      <c r="B45919" s="3" t="str">
        <f>HYPERLINK("https://www.773grp.com/manufacturer/onsemi?pageNo=465", "ON Semiconductor")</f>
        <v>ON Semiconductor</v>
      </c>
      <c r="C45919" s="6">
        <v>1739</v>
      </c>
      <c r="D45919" s="7">
        <v>1852.63</v>
      </c>
    </row>
    <row r="45920" spans="1:5" x14ac:dyDescent="0.25">
      <c r="A45920" t="str">
        <f>HYPERLINK("https://www.773grp.com/globalSearch/MD80C287-10-B/page-1", "MD80C287-10-B")</f>
        <v>MD80C287-10-B</v>
      </c>
      <c r="B45920" s="3" t="str">
        <f>HYPERLINK("https://www.773grp.com/manufacturer/onsemi?pageNo=466", "ON Semiconductor")</f>
        <v>ON Semiconductor</v>
      </c>
      <c r="C45920" s="6">
        <v>125</v>
      </c>
      <c r="D45920" s="7">
        <v>1858.31</v>
      </c>
    </row>
    <row r="45921" spans="1:4" x14ac:dyDescent="0.25">
      <c r="A45921" t="str">
        <f>HYPERLINK("https://www.773grp.com/globalSearch/MG80387-25/page-1", "MG80387-25")</f>
        <v>MG80387-25</v>
      </c>
      <c r="B45921" s="3" t="str">
        <f>HYPERLINK("https://www.773grp.com/manufacturer/onsemi?pageNo=467", "ON Semiconductor")</f>
        <v>ON Semiconductor</v>
      </c>
      <c r="C45921" s="6">
        <v>670</v>
      </c>
      <c r="D45921" s="7">
        <v>1877.81</v>
      </c>
    </row>
    <row r="45922" spans="1:4" x14ac:dyDescent="0.25">
      <c r="A45922" t="str">
        <f>HYPERLINK("https://www.773grp.com/globalSearch/MG8097/page-1", "MG8097")</f>
        <v>MG8097</v>
      </c>
      <c r="B45922" s="3" t="str">
        <f>HYPERLINK("https://www.773grp.com/manufacturer/onsemi?pageNo=468", "ON Semiconductor")</f>
        <v>ON Semiconductor</v>
      </c>
      <c r="C45922" s="6">
        <v>212</v>
      </c>
      <c r="D45922" s="7">
        <v>1877.81</v>
      </c>
    </row>
    <row r="45923" spans="1:4" x14ac:dyDescent="0.25">
      <c r="A45923" t="str">
        <f>HYPERLINK("https://www.773grp.com/globalSearch/MG8097BH-B/page-1", "MG8097BH-B")</f>
        <v>MG8097BH-B</v>
      </c>
      <c r="B45923" s="3" t="str">
        <f>HYPERLINK("https://www.773grp.com/manufacturer/onsemi?pageNo=469", "ON Semiconductor")</f>
        <v>ON Semiconductor</v>
      </c>
      <c r="C45923" s="6">
        <v>3</v>
      </c>
      <c r="D45923" s="7">
        <v>1877.81</v>
      </c>
    </row>
    <row r="45924" spans="1:4" x14ac:dyDescent="0.25">
      <c r="A45924" t="str">
        <f>HYPERLINK("https://www.773grp.com/globalSearch/MG87C196KC-B/page-1", "MG87C196KC-B")</f>
        <v>MG87C196KC-B</v>
      </c>
      <c r="B45924" s="3" t="str">
        <f>HYPERLINK("https://www.773grp.com/manufacturer/onsemi?pageNo=470", "ON Semiconductor")</f>
        <v>ON Semiconductor</v>
      </c>
      <c r="C45924" s="6">
        <v>1972</v>
      </c>
      <c r="D45924" s="7">
        <v>1877.81</v>
      </c>
    </row>
    <row r="45925" spans="1:4" x14ac:dyDescent="0.25">
      <c r="A45925" t="str">
        <f>HYPERLINK("https://www.773grp.com/globalSearch/MG80C196KB-12-B/page-1", "MG80C196KB-12-B")</f>
        <v>MG80C196KB-12-B</v>
      </c>
      <c r="B45925" s="3" t="str">
        <f>HYPERLINK("https://www.773grp.com/manufacturer/onsemi?pageNo=471", "ON Semiconductor")</f>
        <v>ON Semiconductor</v>
      </c>
      <c r="C45925" s="6">
        <v>79</v>
      </c>
      <c r="D45925" s="7">
        <v>1903.03</v>
      </c>
    </row>
    <row r="45926" spans="1:4" x14ac:dyDescent="0.25">
      <c r="A45926" t="str">
        <f>HYPERLINK("https://www.773grp.com/globalSearch/MG82389-R/page-1", "MG82389-R")</f>
        <v>MG82389-R</v>
      </c>
      <c r="B45926" s="3" t="str">
        <f>HYPERLINK("https://www.773grp.com/manufacturer/onsemi?pageNo=472", "ON Semiconductor")</f>
        <v>ON Semiconductor</v>
      </c>
      <c r="C45926" s="6">
        <v>275</v>
      </c>
      <c r="D45926" s="7">
        <v>1911.79</v>
      </c>
    </row>
    <row r="45927" spans="1:4" x14ac:dyDescent="0.25">
      <c r="A45927" t="str">
        <f>HYPERLINK("https://www.773grp.com/globalSearch/MQ8097BH-BYA/page-1", "MQ8097BH-BYA")</f>
        <v>MQ8097BH-BYA</v>
      </c>
      <c r="B45927" s="3" t="str">
        <f>HYPERLINK("https://www.773grp.com/manufacturer/onsemi?pageNo=473", "ON Semiconductor")</f>
        <v>ON Semiconductor</v>
      </c>
      <c r="C45927" s="6">
        <v>1820</v>
      </c>
      <c r="D45927" s="7">
        <v>1911.79</v>
      </c>
    </row>
    <row r="45928" spans="1:4" x14ac:dyDescent="0.25">
      <c r="A45928" t="str">
        <f>HYPERLINK("https://www.773grp.com/globalSearch/MG80C186EB-16-B/page-1", "MG80C186EB-16-B")</f>
        <v>MG80C186EB-16-B</v>
      </c>
      <c r="B45928" s="3" t="str">
        <f>HYPERLINK("https://www.773grp.com/manufacturer/onsemi?pageNo=474", "ON Semiconductor")</f>
        <v>ON Semiconductor</v>
      </c>
      <c r="C45928" s="6">
        <v>57</v>
      </c>
      <c r="D45928" s="7">
        <v>1978.65</v>
      </c>
    </row>
    <row r="45929" spans="1:4" x14ac:dyDescent="0.25">
      <c r="A45929" t="str">
        <f>HYPERLINK("https://www.773grp.com/globalSearch/MQ8097BH-R/page-1", "MQ8097BH-R")</f>
        <v>MQ8097BH-R</v>
      </c>
      <c r="B45929" s="3" t="str">
        <f>HYPERLINK("https://www.773grp.com/manufacturer/onsemi?pageNo=475", "ON Semiconductor")</f>
        <v>ON Semiconductor</v>
      </c>
      <c r="C45929" s="6">
        <v>218</v>
      </c>
      <c r="D45929" s="7">
        <v>1978.65</v>
      </c>
    </row>
    <row r="45930" spans="1:4" x14ac:dyDescent="0.25">
      <c r="A45930" t="str">
        <f>HYPERLINK("https://www.773grp.com/globalSearch/MG80387-25-R/page-1", "MG80387-25-R")</f>
        <v>MG80387-25-R</v>
      </c>
      <c r="B45930" s="3" t="str">
        <f>HYPERLINK("https://www.773grp.com/manufacturer/onsemi?pageNo=476", "ON Semiconductor")</f>
        <v>ON Semiconductor</v>
      </c>
      <c r="C45930" s="6">
        <v>4467</v>
      </c>
      <c r="D45930" s="7">
        <v>2003.85</v>
      </c>
    </row>
    <row r="45931" spans="1:4" x14ac:dyDescent="0.25">
      <c r="A45931" t="str">
        <f>HYPERLINK("https://www.773grp.com/globalSearch/MQ87C196KD-20-R/page-1", "MQ87C196KD-20-R")</f>
        <v>MQ87C196KD-20-R</v>
      </c>
      <c r="B45931" s="3" t="str">
        <f>HYPERLINK("https://www.773grp.com/manufacturer/onsemi?pageNo=477", "ON Semiconductor")</f>
        <v>ON Semiconductor</v>
      </c>
      <c r="C45931" s="6">
        <v>1189</v>
      </c>
      <c r="D45931" s="7">
        <v>2016.46</v>
      </c>
    </row>
    <row r="45932" spans="1:4" x14ac:dyDescent="0.25">
      <c r="A45932" t="str">
        <f>HYPERLINK("https://www.773grp.com/globalSearch/MG8097-R/page-1", "MG8097-R")</f>
        <v>MG8097-R</v>
      </c>
      <c r="B45932" s="3" t="str">
        <f>HYPERLINK("https://www.773grp.com/manufacturer/onsemi?pageNo=478", "ON Semiconductor")</f>
        <v>ON Semiconductor</v>
      </c>
      <c r="C45932" s="6">
        <v>1113</v>
      </c>
      <c r="D45932" s="7">
        <v>2029.06</v>
      </c>
    </row>
    <row r="45933" spans="1:4" x14ac:dyDescent="0.25">
      <c r="A45933" t="str">
        <f>HYPERLINK("https://www.773grp.com/globalSearch/MG8097BH-BZC/page-1", "MG8097BH-BZC")</f>
        <v>MG8097BH-BZC</v>
      </c>
      <c r="B45933" s="3" t="str">
        <f>HYPERLINK("https://www.773grp.com/manufacturer/onsemi?pageNo=479", "ON Semiconductor")</f>
        <v>ON Semiconductor</v>
      </c>
      <c r="C45933" s="6">
        <v>2711</v>
      </c>
      <c r="D45933" s="7">
        <v>2079.48</v>
      </c>
    </row>
    <row r="45934" spans="1:4" x14ac:dyDescent="0.25">
      <c r="A45934" t="str">
        <f>HYPERLINK("https://www.773grp.com/globalSearch/MQ8097BH-B/page-1", "MQ8097BH-B")</f>
        <v>MQ8097BH-B</v>
      </c>
      <c r="B45934" s="3" t="str">
        <f>HYPERLINK("https://www.773grp.com/manufacturer/onsemi?pageNo=480", "ON Semiconductor")</f>
        <v>ON Semiconductor</v>
      </c>
      <c r="C45934" s="6">
        <v>114</v>
      </c>
      <c r="D45934" s="7">
        <v>2079.48</v>
      </c>
    </row>
    <row r="45935" spans="1:4" x14ac:dyDescent="0.25">
      <c r="A45935" t="str">
        <f>HYPERLINK("https://www.773grp.com/globalSearch/MQ80C286-10-B/page-1", "MQ80C286-10-B")</f>
        <v>MQ80C286-10-B</v>
      </c>
      <c r="B45935" s="3" t="str">
        <f>HYPERLINK("https://www.773grp.com/manufacturer/onsemi?pageNo=481", "ON Semiconductor")</f>
        <v>ON Semiconductor</v>
      </c>
      <c r="C45935" s="6">
        <v>36</v>
      </c>
      <c r="D45935" s="7">
        <v>2097.11</v>
      </c>
    </row>
    <row r="45936" spans="1:4" x14ac:dyDescent="0.25">
      <c r="A45936" t="str">
        <f>HYPERLINK("https://www.773grp.com/globalSearch/MQ8097-B/page-1", "MQ8097-B")</f>
        <v>MQ8097-B</v>
      </c>
      <c r="B45936" s="3" t="str">
        <f>HYPERLINK("https://www.773grp.com/manufacturer/onsemi?pageNo=482", "ON Semiconductor")</f>
        <v>ON Semiconductor</v>
      </c>
      <c r="C45936" s="6">
        <v>616</v>
      </c>
      <c r="D45936" s="7">
        <v>2104.04</v>
      </c>
    </row>
    <row r="45937" spans="1:5" x14ac:dyDescent="0.25">
      <c r="A45937" t="str">
        <f>HYPERLINK("https://www.773grp.com/globalSearch/MQ87C196KD-16-B/page-1", "MQ87C196KD-16-B")</f>
        <v>MQ87C196KD-16-B</v>
      </c>
      <c r="B45937" s="3" t="str">
        <f>HYPERLINK("https://www.773grp.com/manufacturer/onsemi?pageNo=483", "ON Semiconductor")</f>
        <v>ON Semiconductor</v>
      </c>
      <c r="C45937" s="6">
        <v>539</v>
      </c>
      <c r="D45937" s="7">
        <v>2104.69</v>
      </c>
    </row>
    <row r="45938" spans="1:5" x14ac:dyDescent="0.25">
      <c r="A45938" t="str">
        <f>HYPERLINK("https://www.773grp.com/globalSearch/MG8097BH-BZA/page-1", "MG8097BH-BZA")</f>
        <v>MG8097BH-BZA</v>
      </c>
      <c r="B45938" s="3" t="str">
        <f>HYPERLINK("https://www.773grp.com/manufacturer/onsemi?pageNo=484", "ON Semiconductor")</f>
        <v>ON Semiconductor</v>
      </c>
      <c r="C45938" s="6">
        <v>1212</v>
      </c>
      <c r="D45938" s="7">
        <v>2129.88</v>
      </c>
    </row>
    <row r="45939" spans="1:5" x14ac:dyDescent="0.25">
      <c r="A45939" t="str">
        <f>HYPERLINK("https://www.773grp.com/globalSearch/MQ80960MC-25/page-1", "MQ80960MC-25")</f>
        <v>MQ80960MC-25</v>
      </c>
      <c r="B45939" s="3" t="str">
        <f>HYPERLINK("https://www.773grp.com/manufacturer/onsemi?pageNo=485", "ON Semiconductor")</f>
        <v>ON Semiconductor</v>
      </c>
      <c r="C45939" s="6">
        <v>422</v>
      </c>
      <c r="D45939" s="7">
        <v>2467.1799999999998</v>
      </c>
      <c r="E45939" t="s">
        <v>81</v>
      </c>
    </row>
    <row r="45940" spans="1:5" x14ac:dyDescent="0.25">
      <c r="A45940" t="str">
        <f>HYPERLINK("https://www.773grp.com/globalSearch/MQ80960MC-16-B/page-1", "MQ80960MC-16-B")</f>
        <v>MQ80960MC-16-B</v>
      </c>
      <c r="B45940" s="3" t="str">
        <f>HYPERLINK("https://www.773grp.com/manufacturer/onsemi?pageNo=486", "ON Semiconductor")</f>
        <v>ON Semiconductor</v>
      </c>
      <c r="C45940" s="6">
        <v>3</v>
      </c>
      <c r="D45940" s="7">
        <v>2531.25</v>
      </c>
    </row>
    <row r="45941" spans="1:5" x14ac:dyDescent="0.25">
      <c r="A45941" t="str">
        <f>HYPERLINK("https://www.773grp.com/globalSearch/MQ80960MC-20-B/page-1", "MQ80960MC-20-B")</f>
        <v>MQ80960MC-20-B</v>
      </c>
      <c r="B45941" s="3" t="str">
        <f>HYPERLINK("https://www.773grp.com/manufacturer/onsemi?pageNo=487", "ON Semiconductor")</f>
        <v>ON Semiconductor</v>
      </c>
      <c r="C45941" s="6">
        <v>91</v>
      </c>
      <c r="D45941" s="7">
        <v>2695.73</v>
      </c>
    </row>
    <row r="45942" spans="1:5" x14ac:dyDescent="0.25">
      <c r="A45942" t="str">
        <f>HYPERLINK("https://www.773grp.com/globalSearch/MQ80960MC-25-B/page-1", "MQ80960MC-25-B")</f>
        <v>MQ80960MC-25-B</v>
      </c>
      <c r="B45942" s="3" t="str">
        <f>HYPERLINK("https://www.773grp.com/manufacturer/onsemi?pageNo=488", "ON Semiconductor")</f>
        <v>ON Semiconductor</v>
      </c>
      <c r="C45942" s="6">
        <v>607</v>
      </c>
      <c r="D45942" s="7">
        <v>2883.7</v>
      </c>
    </row>
    <row r="45943" spans="1:5" x14ac:dyDescent="0.25">
      <c r="A45943" t="str">
        <f>HYPERLINK("https://www.773grp.com/globalSearch/95C60-16GC/page-1", "95C60-16GC")</f>
        <v>95C60-16GC</v>
      </c>
      <c r="B45943" s="3" t="str">
        <f>HYPERLINK("https://www.773grp.com/manufacturer/onsemi?pageNo=489", "ON Semiconductor")</f>
        <v>ON Semiconductor</v>
      </c>
      <c r="C45943" s="6">
        <v>8</v>
      </c>
      <c r="D45943" s="7">
        <v>3631.34</v>
      </c>
    </row>
    <row r="45944" spans="1:5" x14ac:dyDescent="0.25">
      <c r="A45944" t="str">
        <f>HYPERLINK("https://www.773grp.com/globalSearch/95C60-20GC/page-1", "95C60-20GC")</f>
        <v>95C60-20GC</v>
      </c>
      <c r="B45944" s="3" t="str">
        <f>HYPERLINK("https://www.773grp.com/manufacturer/onsemi?pageNo=490", "ON Semiconductor")</f>
        <v>ON Semiconductor</v>
      </c>
      <c r="C45944" s="6">
        <v>3</v>
      </c>
      <c r="D45944" s="7">
        <v>3844.94</v>
      </c>
    </row>
    <row r="45945" spans="1:5" x14ac:dyDescent="0.25">
      <c r="A45945" t="str">
        <f>HYPERLINK("https://www.773grp.com/globalSearch/MQ80860-25/page-1", "MQ80860-25")</f>
        <v>MQ80860-25</v>
      </c>
      <c r="B45945" s="3" t="str">
        <f>HYPERLINK("https://www.773grp.com/manufacturer/onsemi?pageNo=491", "ON Semiconductor")</f>
        <v>ON Semiconductor</v>
      </c>
      <c r="C45945" s="6">
        <v>4</v>
      </c>
      <c r="D45945" s="7">
        <v>3951.74</v>
      </c>
    </row>
    <row r="45946" spans="1:5" x14ac:dyDescent="0.25">
      <c r="A45946" t="str">
        <f>HYPERLINK("https://www.773grp.com/globalSearch/MQ80860-33/page-1", "MQ80860-33")</f>
        <v>MQ80860-33</v>
      </c>
      <c r="B45946" s="3" t="str">
        <f>HYPERLINK("https://www.773grp.com/manufacturer/onsemi?pageNo=492", "ON Semiconductor")</f>
        <v>ON Semiconductor</v>
      </c>
      <c r="C45946" s="6">
        <v>321</v>
      </c>
      <c r="D45946" s="7">
        <v>4005.15</v>
      </c>
    </row>
    <row r="45947" spans="1:5" x14ac:dyDescent="0.25">
      <c r="A45947" t="str">
        <f>HYPERLINK("https://www.773grp.com/globalSearch/MQ80860-40/page-1", "MQ80860-40")</f>
        <v>MQ80860-40</v>
      </c>
      <c r="B45947" s="3" t="str">
        <f>HYPERLINK("https://www.773grp.com/manufacturer/onsemi?pageNo=493", "ON Semiconductor")</f>
        <v>ON Semiconductor</v>
      </c>
      <c r="C45947" s="6">
        <v>35</v>
      </c>
      <c r="D45947" s="7">
        <v>4165.34</v>
      </c>
    </row>
    <row r="45948" spans="1:5" x14ac:dyDescent="0.25">
      <c r="A45948" t="str">
        <f>HYPERLINK("https://www.773grp.com/globalSearch/MQ80860-40-R/page-1", "MQ80860-40-R")</f>
        <v>MQ80860-40-R</v>
      </c>
      <c r="B45948" s="3" t="str">
        <f>HYPERLINK("https://www.773grp.com/manufacturer/onsemi?pageNo=494", "ON Semiconductor")</f>
        <v>ON Semiconductor</v>
      </c>
      <c r="C45948" s="6">
        <v>1147</v>
      </c>
      <c r="D45948" s="7">
        <v>4310.5600000000004</v>
      </c>
    </row>
    <row r="45949" spans="1:5" x14ac:dyDescent="0.25">
      <c r="A45949" t="str">
        <f>HYPERLINK("https://www.773grp.com/globalSearch/PI6C9107U-05P9/page-1", "PI6C9107U-05P9")</f>
        <v>PI6C9107U-05P9</v>
      </c>
      <c r="B45949" s="3" t="str">
        <f>HYPERLINK("https://www.773grp.com/manufacturer/onsemi?pageNo=495", "ON Semiconductor")</f>
        <v>ON Semiconductor</v>
      </c>
      <c r="C45949" s="6">
        <v>14340</v>
      </c>
      <c r="D45949" s="7">
        <v>0</v>
      </c>
    </row>
    <row r="45950" spans="1:5" x14ac:dyDescent="0.25">
      <c r="A45950" t="str">
        <f>HYPERLINK("https://www.773grp.com/globalSearch/PI6C9107U-05W9/page-1", "PI6C9107U-05W9")</f>
        <v>PI6C9107U-05W9</v>
      </c>
      <c r="B45950" s="3" t="str">
        <f>HYPERLINK("https://www.773grp.com/manufacturer/onsemi?pageNo=496", "ON Semiconductor")</f>
        <v>ON Semiconductor</v>
      </c>
      <c r="C45950" s="6">
        <v>759</v>
      </c>
      <c r="D45950" s="7">
        <v>0</v>
      </c>
    </row>
    <row r="45951" spans="1:5" x14ac:dyDescent="0.25">
      <c r="A45951" t="str">
        <f>HYPERLINK("https://www.773grp.com/globalSearch/PI6C9108-05P9/page-1", "PI6C9108-05P9")</f>
        <v>PI6C9108-05P9</v>
      </c>
      <c r="B45951" s="3" t="str">
        <f>HYPERLINK("https://www.773grp.com/manufacturer/onsemi?pageNo=497", "ON Semiconductor")</f>
        <v>ON Semiconductor</v>
      </c>
      <c r="C45951" s="6">
        <v>1413</v>
      </c>
      <c r="D45951" s="7">
        <v>0</v>
      </c>
    </row>
    <row r="45952" spans="1:5" x14ac:dyDescent="0.25">
      <c r="A45952" t="str">
        <f>HYPERLINK("https://www.773grp.com/globalSearch/PI6C9155U-01P9/page-1", "PI6C9155U-01P9")</f>
        <v>PI6C9155U-01P9</v>
      </c>
      <c r="B45952" s="3" t="str">
        <f>HYPERLINK("https://www.773grp.com/manufacturer/onsemi?pageNo=498", "ON Semiconductor")</f>
        <v>ON Semiconductor</v>
      </c>
      <c r="C45952" s="6">
        <v>685</v>
      </c>
      <c r="D45952" s="7">
        <v>0</v>
      </c>
    </row>
    <row r="45953" spans="1:5" x14ac:dyDescent="0.25">
      <c r="A45953" t="str">
        <f>HYPERLINK("https://www.773grp.com/globalSearch/PI6C951-01W9/page-1", "PI6C951-01W9")</f>
        <v>PI6C951-01W9</v>
      </c>
      <c r="B45953" s="3" t="str">
        <f>HYPERLINK("https://www.773grp.com/manufacturer/onsemi?pageNo=499", "ON Semiconductor")</f>
        <v>ON Semiconductor</v>
      </c>
      <c r="C45953" s="6">
        <v>2106</v>
      </c>
      <c r="D45953" s="7">
        <v>2.95</v>
      </c>
    </row>
    <row r="45954" spans="1:5" x14ac:dyDescent="0.25">
      <c r="A45954" t="str">
        <f>HYPERLINK("https://www.773grp.com/globalSearch/PI74FCT534ATQ9/page-1", "PI74FCT534ATQ9")</f>
        <v>PI74FCT534ATQ9</v>
      </c>
      <c r="B45954" s="3" t="str">
        <f>HYPERLINK("https://www.773grp.com/manufacturer/onsemi?pageNo=500", "ON Semiconductor")</f>
        <v>ON Semiconductor</v>
      </c>
      <c r="C45954" s="6">
        <v>6716</v>
      </c>
      <c r="D45954" s="7">
        <v>2.95</v>
      </c>
    </row>
    <row r="45955" spans="1:5" x14ac:dyDescent="0.25">
      <c r="A45955" t="str">
        <f>HYPERLINK("https://www.773grp.com/globalSearch/PI74FCT534ATS9/page-1", "PI74FCT534ATS9")</f>
        <v>PI74FCT534ATS9</v>
      </c>
      <c r="B45955" s="3" t="str">
        <f>HYPERLINK("https://www.773grp.com/manufacturer/onsemi?pageNo=501", "ON Semiconductor")</f>
        <v>ON Semiconductor</v>
      </c>
      <c r="C45955" s="6">
        <v>172</v>
      </c>
      <c r="D45955" s="7">
        <v>2.95</v>
      </c>
    </row>
    <row r="45956" spans="1:5" x14ac:dyDescent="0.25">
      <c r="A45956" t="str">
        <f>HYPERLINK("https://www.773grp.com/globalSearch/PI74FCT534TQ9/page-1", "PI74FCT534TQ9")</f>
        <v>PI74FCT534TQ9</v>
      </c>
      <c r="B45956" s="3" t="str">
        <f>HYPERLINK("https://www.773grp.com/manufacturer/onsemi?pageNo=502", "ON Semiconductor")</f>
        <v>ON Semiconductor</v>
      </c>
      <c r="C45956" s="6">
        <v>587</v>
      </c>
      <c r="D45956" s="7">
        <v>2.95</v>
      </c>
    </row>
    <row r="45957" spans="1:5" x14ac:dyDescent="0.25">
      <c r="A45957" t="str">
        <f>HYPERLINK("https://www.773grp.com/globalSearch/PI74FCT534TS9/page-1", "PI74FCT534TS9")</f>
        <v>PI74FCT534TS9</v>
      </c>
      <c r="B45957" s="3" t="str">
        <f>HYPERLINK("https://www.773grp.com/manufacturer/onsemi?pageNo=503", "ON Semiconductor")</f>
        <v>ON Semiconductor</v>
      </c>
      <c r="C45957" s="6">
        <v>75</v>
      </c>
      <c r="D45957" s="7">
        <v>2.95</v>
      </c>
    </row>
    <row r="45958" spans="1:5" x14ac:dyDescent="0.25">
      <c r="A45958" t="str">
        <f>HYPERLINK("https://www.773grp.com/globalSearch/PI5C32384P9/page-1", "PI5C32384P9")</f>
        <v>PI5C32384P9</v>
      </c>
      <c r="B45958" s="3" t="str">
        <f>HYPERLINK("https://www.773grp.com/manufacturer/onsemi?pageNo=504", "ON Semiconductor")</f>
        <v>ON Semiconductor</v>
      </c>
      <c r="C45958" s="6">
        <v>2931</v>
      </c>
      <c r="D45958" s="7">
        <v>3.28</v>
      </c>
    </row>
    <row r="45959" spans="1:5" x14ac:dyDescent="0.25">
      <c r="A45959" t="str">
        <f>HYPERLINK("https://www.773grp.com/globalSearch/PI74FCT534ATQX/page-1", "PI74FCT534ATQX")</f>
        <v>PI74FCT534ATQX</v>
      </c>
      <c r="B45959" s="3" t="str">
        <f>HYPERLINK("https://www.773grp.com/manufacturer/onsemi?pageNo=505", "ON Semiconductor")</f>
        <v>ON Semiconductor</v>
      </c>
      <c r="C45959" s="6">
        <v>3000</v>
      </c>
      <c r="D45959" s="7">
        <v>3.08</v>
      </c>
      <c r="E45959" t="s">
        <v>14</v>
      </c>
    </row>
    <row r="45960" spans="1:5" x14ac:dyDescent="0.25">
      <c r="A45960" t="str">
        <f>HYPERLINK("https://www.773grp.com/globalSearch/PI5C3253P9/page-1", "PI5C3253P9")</f>
        <v>PI5C3253P9</v>
      </c>
      <c r="B45960" s="3" t="str">
        <f>HYPERLINK("https://www.773grp.com/manufacturer/onsemi?pageNo=506", "ON Semiconductor")</f>
        <v>ON Semiconductor</v>
      </c>
      <c r="C45960" s="6">
        <v>1992</v>
      </c>
      <c r="D45960" s="7">
        <v>3.15</v>
      </c>
    </row>
    <row r="45961" spans="1:5" x14ac:dyDescent="0.25">
      <c r="A45961" t="str">
        <f>HYPERLINK("https://www.773grp.com/globalSearch/PI74FCT845ATQ9/page-1", "PI74FCT845ATQ9")</f>
        <v>PI74FCT845ATQ9</v>
      </c>
      <c r="B45961" s="3" t="str">
        <f>HYPERLINK("https://www.773grp.com/manufacturer/onsemi?pageNo=507", "ON Semiconductor")</f>
        <v>ON Semiconductor</v>
      </c>
      <c r="C45961" s="6">
        <v>334</v>
      </c>
      <c r="D45961" s="7">
        <v>3.33</v>
      </c>
    </row>
    <row r="45962" spans="1:5" x14ac:dyDescent="0.25">
      <c r="A45962" t="str">
        <f>HYPERLINK("https://www.773grp.com/globalSearch/PI74FCT845ATS9/page-1", "PI74FCT845ATS9")</f>
        <v>PI74FCT845ATS9</v>
      </c>
      <c r="B45962" s="3" t="str">
        <f>HYPERLINK("https://www.773grp.com/manufacturer/onsemi?pageNo=508", "ON Semiconductor")</f>
        <v>ON Semiconductor</v>
      </c>
      <c r="C45962" s="6">
        <v>331</v>
      </c>
      <c r="D45962" s="7">
        <v>3.33</v>
      </c>
    </row>
    <row r="45963" spans="1:5" x14ac:dyDescent="0.25">
      <c r="A45963" t="str">
        <f>HYPERLINK("https://www.773grp.com/globalSearch/PI6C918AW9/page-1", "PI6C918AW9")</f>
        <v>PI6C918AW9</v>
      </c>
      <c r="B45963" s="3" t="str">
        <f>HYPERLINK("https://www.773grp.com/manufacturer/onsemi?pageNo=509", "ON Semiconductor")</f>
        <v>ON Semiconductor</v>
      </c>
      <c r="C45963" s="6">
        <v>4</v>
      </c>
      <c r="D45963" s="7">
        <v>3.34</v>
      </c>
    </row>
    <row r="45964" spans="1:5" x14ac:dyDescent="0.25">
      <c r="A45964" t="str">
        <f>HYPERLINK("https://www.773grp.com/globalSearch/PI74FCT399TS/page-1", "PI74FCT399TS")</f>
        <v>PI74FCT399TS</v>
      </c>
      <c r="B45964" s="3" t="str">
        <f>HYPERLINK("https://www.773grp.com/manufacturer/onsemi?pageNo=510", "ON Semiconductor")</f>
        <v>ON Semiconductor</v>
      </c>
      <c r="C45964" s="6">
        <v>468</v>
      </c>
      <c r="D45964" s="7">
        <v>3.51</v>
      </c>
      <c r="E45964" t="s">
        <v>35</v>
      </c>
    </row>
    <row r="45965" spans="1:5" x14ac:dyDescent="0.25">
      <c r="A45965" t="str">
        <f>HYPERLINK("https://www.773grp.com/globalSearch/PI74FCT399TS9/page-1", "PI74FCT399TS9")</f>
        <v>PI74FCT399TS9</v>
      </c>
      <c r="B45965" s="3" t="str">
        <f>HYPERLINK("https://www.773grp.com/manufacturer/onsemi?pageNo=511", "ON Semiconductor")</f>
        <v>ON Semiconductor</v>
      </c>
      <c r="C45965" s="6">
        <v>421</v>
      </c>
      <c r="D45965" s="7">
        <v>3.51</v>
      </c>
    </row>
    <row r="45966" spans="1:5" x14ac:dyDescent="0.25">
      <c r="A45966" t="str">
        <f>HYPERLINK("https://www.773grp.com/globalSearch/PI6C918BW9/page-1", "PI6C918BW9")</f>
        <v>PI6C918BW9</v>
      </c>
      <c r="B45966" s="3" t="str">
        <f>HYPERLINK("https://www.773grp.com/manufacturer/onsemi?pageNo=512", "ON Semiconductor")</f>
        <v>ON Semiconductor</v>
      </c>
      <c r="C45966" s="6">
        <v>43</v>
      </c>
      <c r="D45966" s="7">
        <v>3.58</v>
      </c>
    </row>
    <row r="45967" spans="1:5" x14ac:dyDescent="0.25">
      <c r="A45967" t="str">
        <f>HYPERLINK("https://www.773grp.com/globalSearch/PI74FCT534TP9/page-1", "PI74FCT534TP9")</f>
        <v>PI74FCT534TP9</v>
      </c>
      <c r="B45967" s="3" t="str">
        <f>HYPERLINK("https://www.773grp.com/manufacturer/onsemi?pageNo=513", "ON Semiconductor")</f>
        <v>ON Semiconductor</v>
      </c>
      <c r="C45967" s="6">
        <v>1211</v>
      </c>
      <c r="D45967" s="7">
        <v>3.95</v>
      </c>
    </row>
    <row r="45968" spans="1:5" x14ac:dyDescent="0.25">
      <c r="A45968" t="str">
        <f>HYPERLINK("https://www.773grp.com/globalSearch/PI74FCT533ATP9/page-1", "PI74FCT533ATP9")</f>
        <v>PI74FCT533ATP9</v>
      </c>
      <c r="B45968" s="3" t="str">
        <f>HYPERLINK("https://www.773grp.com/manufacturer/onsemi?pageNo=514", "ON Semiconductor")</f>
        <v>ON Semiconductor</v>
      </c>
      <c r="C45968" s="6">
        <v>2381</v>
      </c>
      <c r="D45968" s="7">
        <v>3.63</v>
      </c>
    </row>
    <row r="45969" spans="1:5" x14ac:dyDescent="0.25">
      <c r="A45969" t="str">
        <f>HYPERLINK("https://www.773grp.com/globalSearch/PI6C951-01CW9/page-1", "PI6C951-01CW9")</f>
        <v>PI6C951-01CW9</v>
      </c>
      <c r="B45969" s="3" t="str">
        <f>HYPERLINK("https://www.773grp.com/manufacturer/onsemi?pageNo=515", "ON Semiconductor")</f>
        <v>ON Semiconductor</v>
      </c>
      <c r="C45969" s="6">
        <v>12</v>
      </c>
      <c r="D45969" s="7">
        <v>3.68</v>
      </c>
    </row>
    <row r="45970" spans="1:5" x14ac:dyDescent="0.25">
      <c r="A45970" t="str">
        <f>HYPERLINK("https://www.773grp.com/globalSearch/PI74FCT399TP9/page-1", "PI74FCT399TP9")</f>
        <v>PI74FCT399TP9</v>
      </c>
      <c r="B45970" s="3" t="str">
        <f>HYPERLINK("https://www.773grp.com/manufacturer/onsemi?pageNo=516", "ON Semiconductor")</f>
        <v>ON Semiconductor</v>
      </c>
      <c r="C45970" s="6">
        <v>1305</v>
      </c>
      <c r="D45970" s="7">
        <v>3.89</v>
      </c>
    </row>
    <row r="45971" spans="1:5" x14ac:dyDescent="0.25">
      <c r="A45971" t="str">
        <f>HYPERLINK("https://www.773grp.com/globalSearch/PI74FCT399ATS9/page-1", "PI74FCT399ATS9")</f>
        <v>PI74FCT399ATS9</v>
      </c>
      <c r="B45971" s="3" t="str">
        <f>HYPERLINK("https://www.773grp.com/manufacturer/onsemi?pageNo=517", "ON Semiconductor")</f>
        <v>ON Semiconductor</v>
      </c>
      <c r="C45971" s="6">
        <v>1079</v>
      </c>
      <c r="D45971" s="7">
        <v>4.09</v>
      </c>
    </row>
    <row r="45972" spans="1:5" x14ac:dyDescent="0.25">
      <c r="A45972" t="str">
        <f>HYPERLINK("https://www.773grp.com/globalSearch/PI74FCT534CTP9/page-1", "PI74FCT534CTP9")</f>
        <v>PI74FCT534CTP9</v>
      </c>
      <c r="B45972" s="3" t="str">
        <f>HYPERLINK("https://www.773grp.com/manufacturer/onsemi?pageNo=518", "ON Semiconductor")</f>
        <v>ON Semiconductor</v>
      </c>
      <c r="C45972" s="6">
        <v>100</v>
      </c>
      <c r="D45972" s="7">
        <v>4.2300000000000004</v>
      </c>
    </row>
    <row r="45973" spans="1:5" x14ac:dyDescent="0.25">
      <c r="A45973" t="str">
        <f>HYPERLINK("https://www.773grp.com/globalSearch/PI74FCT533TQ9/page-1", "PI74FCT533TQ9")</f>
        <v>PI74FCT533TQ9</v>
      </c>
      <c r="B45973" s="3" t="str">
        <f>HYPERLINK("https://www.773grp.com/manufacturer/onsemi?pageNo=519", "ON Semiconductor")</f>
        <v>ON Semiconductor</v>
      </c>
      <c r="C45973" s="6">
        <v>1301</v>
      </c>
      <c r="D45973" s="7">
        <v>4.79</v>
      </c>
    </row>
    <row r="45974" spans="1:5" x14ac:dyDescent="0.25">
      <c r="A45974" t="str">
        <f>HYPERLINK("https://www.773grp.com/globalSearch/PI74FCT533TS9/page-1", "PI74FCT533TS9")</f>
        <v>PI74FCT533TS9</v>
      </c>
      <c r="B45974" s="3" t="str">
        <f>HYPERLINK("https://www.773grp.com/manufacturer/onsemi?pageNo=520", "ON Semiconductor")</f>
        <v>ON Semiconductor</v>
      </c>
      <c r="C45974" s="6">
        <v>1486</v>
      </c>
      <c r="D45974" s="7">
        <v>4.79</v>
      </c>
    </row>
    <row r="45975" spans="1:5" x14ac:dyDescent="0.25">
      <c r="A45975" t="str">
        <f>HYPERLINK("https://www.773grp.com/globalSearch/PI6C980-01S/page-1", "PI6C980-01S")</f>
        <v>PI6C980-01S</v>
      </c>
      <c r="B45975" s="3" t="str">
        <f>HYPERLINK("https://www.773grp.com/manufacturer/onsemi?pageNo=521", "ON Semiconductor")</f>
        <v>ON Semiconductor</v>
      </c>
      <c r="C45975" s="6">
        <v>150</v>
      </c>
      <c r="D45975" s="7">
        <v>4.5</v>
      </c>
      <c r="E45975" t="s">
        <v>79</v>
      </c>
    </row>
    <row r="45976" spans="1:5" x14ac:dyDescent="0.25">
      <c r="A45976" t="str">
        <f>HYPERLINK("https://www.773grp.com/globalSearch/PI6C980-01S9/page-1", "PI6C980-01S9")</f>
        <v>PI6C980-01S9</v>
      </c>
      <c r="B45976" s="3" t="str">
        <f>HYPERLINK("https://www.773grp.com/manufacturer/onsemi?pageNo=522", "ON Semiconductor")</f>
        <v>ON Semiconductor</v>
      </c>
      <c r="C45976" s="6">
        <v>2883</v>
      </c>
      <c r="D45976" s="7">
        <v>4.5</v>
      </c>
    </row>
    <row r="45977" spans="1:5" x14ac:dyDescent="0.25">
      <c r="A45977" t="str">
        <f>HYPERLINK("https://www.773grp.com/globalSearch/PI6C980H/page-1", "PI6C980H")</f>
        <v>PI6C980H</v>
      </c>
      <c r="B45977" s="3" t="str">
        <f>HYPERLINK("https://www.773grp.com/manufacturer/onsemi?pageNo=523", "ON Semiconductor")</f>
        <v>ON Semiconductor</v>
      </c>
      <c r="C45977" s="6">
        <v>381</v>
      </c>
      <c r="D45977" s="7">
        <v>4.5</v>
      </c>
      <c r="E45977" t="s">
        <v>79</v>
      </c>
    </row>
    <row r="45978" spans="1:5" x14ac:dyDescent="0.25">
      <c r="A45978" t="str">
        <f>HYPERLINK("https://www.773grp.com/globalSearch/PI6C980H9/page-1", "PI6C980H9")</f>
        <v>PI6C980H9</v>
      </c>
      <c r="B45978" s="3" t="str">
        <f>HYPERLINK("https://www.773grp.com/manufacturer/onsemi?pageNo=524", "ON Semiconductor")</f>
        <v>ON Semiconductor</v>
      </c>
      <c r="C45978" s="6">
        <v>1762</v>
      </c>
      <c r="D45978" s="7">
        <v>4.5</v>
      </c>
    </row>
    <row r="45979" spans="1:5" x14ac:dyDescent="0.25">
      <c r="A45979" t="str">
        <f>HYPERLINK("https://www.773grp.com/globalSearch/PI6C980S9/page-1", "PI6C980S9")</f>
        <v>PI6C980S9</v>
      </c>
      <c r="B45979" s="3" t="str">
        <f>HYPERLINK("https://www.773grp.com/manufacturer/onsemi?pageNo=525", "ON Semiconductor")</f>
        <v>ON Semiconductor</v>
      </c>
      <c r="C45979" s="6">
        <v>5228</v>
      </c>
      <c r="D45979" s="7">
        <v>4.5</v>
      </c>
    </row>
    <row r="45980" spans="1:5" x14ac:dyDescent="0.25">
      <c r="A45980" t="str">
        <f>HYPERLINK("https://www.773grp.com/globalSearch/PI74FCT845BTQ9/page-1", "PI74FCT845BTQ9")</f>
        <v>PI74FCT845BTQ9</v>
      </c>
      <c r="B45980" s="3" t="str">
        <f>HYPERLINK("https://www.773grp.com/manufacturer/onsemi?pageNo=526", "ON Semiconductor")</f>
        <v>ON Semiconductor</v>
      </c>
      <c r="C45980" s="6">
        <v>154</v>
      </c>
      <c r="D45980" s="7">
        <v>4.6399999999999997</v>
      </c>
    </row>
    <row r="45981" spans="1:5" x14ac:dyDescent="0.25">
      <c r="A45981" t="str">
        <f>HYPERLINK("https://www.773grp.com/globalSearch/PI74FCT845BTS9/page-1", "PI74FCT845BTS9")</f>
        <v>PI74FCT845BTS9</v>
      </c>
      <c r="B45981" s="3" t="str">
        <f>HYPERLINK("https://www.773grp.com/manufacturer/onsemi?pageNo=527", "ON Semiconductor")</f>
        <v>ON Semiconductor</v>
      </c>
      <c r="C45981" s="6">
        <v>378</v>
      </c>
      <c r="D45981" s="7">
        <v>4.6399999999999997</v>
      </c>
    </row>
    <row r="45982" spans="1:5" x14ac:dyDescent="0.25">
      <c r="A45982" t="str">
        <f>HYPERLINK("https://www.773grp.com/globalSearch/PI6C1288-01H/page-1", "PI6C1288-01H")</f>
        <v>PI6C1288-01H</v>
      </c>
      <c r="B45982" s="3" t="str">
        <f>HYPERLINK("https://www.773grp.com/manufacturer/onsemi?pageNo=528", "ON Semiconductor")</f>
        <v>ON Semiconductor</v>
      </c>
      <c r="C45982" s="6">
        <v>1456</v>
      </c>
      <c r="D45982" s="7">
        <v>5.2</v>
      </c>
      <c r="E45982" t="s">
        <v>79</v>
      </c>
    </row>
    <row r="45983" spans="1:5" x14ac:dyDescent="0.25">
      <c r="A45983" t="str">
        <f>HYPERLINK("https://www.773grp.com/globalSearch/PI74FCT845BTP9/page-1", "PI74FCT845BTP9")</f>
        <v>PI74FCT845BTP9</v>
      </c>
      <c r="B45983" s="3" t="str">
        <f>HYPERLINK("https://www.773grp.com/manufacturer/onsemi?pageNo=529", "ON Semiconductor")</f>
        <v>ON Semiconductor</v>
      </c>
      <c r="C45983" s="6">
        <v>181</v>
      </c>
      <c r="D45983" s="7">
        <v>5.24</v>
      </c>
    </row>
    <row r="45984" spans="1:5" x14ac:dyDescent="0.25">
      <c r="A45984" t="str">
        <f>HYPERLINK("https://www.773grp.com/globalSearch/PI6C9155U-01S/page-1", "PI6C9155U-01S")</f>
        <v>PI6C9155U-01S</v>
      </c>
      <c r="B45984" s="3" t="str">
        <f>HYPERLINK("https://www.773grp.com/manufacturer/onsemi?pageNo=530", "ON Semiconductor")</f>
        <v>ON Semiconductor</v>
      </c>
      <c r="C45984" s="6">
        <v>8</v>
      </c>
      <c r="D45984" s="7">
        <v>5.45</v>
      </c>
      <c r="E45984" t="s">
        <v>79</v>
      </c>
    </row>
    <row r="45985" spans="1:5" x14ac:dyDescent="0.25">
      <c r="A45985" t="str">
        <f>HYPERLINK("https://www.773grp.com/globalSearch/PI74FCT399CTS/page-1", "PI74FCT399CTS")</f>
        <v>PI74FCT399CTS</v>
      </c>
      <c r="B45985" s="3" t="str">
        <f>HYPERLINK("https://www.773grp.com/manufacturer/onsemi?pageNo=531", "ON Semiconductor")</f>
        <v>ON Semiconductor</v>
      </c>
      <c r="C45985" s="6">
        <v>240</v>
      </c>
      <c r="D45985" s="7">
        <v>5.49</v>
      </c>
      <c r="E45985" t="s">
        <v>35</v>
      </c>
    </row>
    <row r="45986" spans="1:5" x14ac:dyDescent="0.25">
      <c r="A45986" t="str">
        <f>HYPERLINK("https://www.773grp.com/globalSearch/PI74FCT533ATQ9/page-1", "PI74FCT533ATQ9")</f>
        <v>PI74FCT533ATQ9</v>
      </c>
      <c r="B45986" s="3" t="str">
        <f>HYPERLINK("https://www.773grp.com/manufacturer/onsemi?pageNo=532", "ON Semiconductor")</f>
        <v>ON Semiconductor</v>
      </c>
      <c r="C45986" s="6">
        <v>183</v>
      </c>
      <c r="D45986" s="7">
        <v>5.54</v>
      </c>
    </row>
    <row r="45987" spans="1:5" x14ac:dyDescent="0.25">
      <c r="A45987" t="str">
        <f>HYPERLINK("https://www.773grp.com/globalSearch/PI74FCT845CT09/page-1", "PI74FCT845CT09")</f>
        <v>PI74FCT845CT09</v>
      </c>
      <c r="B45987" s="3" t="str">
        <f>HYPERLINK("https://www.773grp.com/manufacturer/onsemi?pageNo=533", "ON Semiconductor")</f>
        <v>ON Semiconductor</v>
      </c>
      <c r="C45987" s="6">
        <v>416</v>
      </c>
      <c r="D45987" s="7">
        <v>6.13</v>
      </c>
    </row>
    <row r="45988" spans="1:5" x14ac:dyDescent="0.25">
      <c r="A45988" t="str">
        <f>HYPERLINK("https://www.773grp.com/globalSearch/PI74FCT845TQ9/page-1", "PI74FCT845TQ9")</f>
        <v>PI74FCT845TQ9</v>
      </c>
      <c r="B45988" s="3" t="str">
        <f>HYPERLINK("https://www.773grp.com/manufacturer/onsemi?pageNo=534", "ON Semiconductor")</f>
        <v>ON Semiconductor</v>
      </c>
      <c r="C45988" s="6">
        <v>1655</v>
      </c>
      <c r="D45988" s="7">
        <v>6.13</v>
      </c>
    </row>
    <row r="45989" spans="1:5" x14ac:dyDescent="0.25">
      <c r="A45989" t="str">
        <f>HYPERLINK("https://www.773grp.com/globalSearch/PI74FCT533CTP9/page-1", "PI74FCT533CTP9")</f>
        <v>PI74FCT533CTP9</v>
      </c>
      <c r="B45989" s="3" t="str">
        <f>HYPERLINK("https://www.773grp.com/manufacturer/onsemi?pageNo=535", "ON Semiconductor")</f>
        <v>ON Semiconductor</v>
      </c>
      <c r="C45989" s="6">
        <v>1477</v>
      </c>
      <c r="D45989" s="7">
        <v>6.28</v>
      </c>
    </row>
    <row r="45990" spans="1:5" x14ac:dyDescent="0.25">
      <c r="A45990" t="str">
        <f>HYPERLINK("https://www.773grp.com/globalSearch/PI6C1288-03H9/page-1", "PI6C1288-03H9")</f>
        <v>PI6C1288-03H9</v>
      </c>
      <c r="B45990" s="3" t="str">
        <f>HYPERLINK("https://www.773grp.com/manufacturer/onsemi?pageNo=536", "ON Semiconductor")</f>
        <v>ON Semiconductor</v>
      </c>
      <c r="C45990" s="6">
        <v>1474</v>
      </c>
      <c r="D45990" s="7">
        <v>6.5</v>
      </c>
    </row>
    <row r="45991" spans="1:5" x14ac:dyDescent="0.25">
      <c r="A45991" t="str">
        <f>HYPERLINK("https://www.773grp.com/globalSearch/PI74FCT534DTQ9/page-1", "PI74FCT534DTQ9")</f>
        <v>PI74FCT534DTQ9</v>
      </c>
      <c r="B45991" s="3" t="str">
        <f>HYPERLINK("https://www.773grp.com/manufacturer/onsemi?pageNo=537", "ON Semiconductor")</f>
        <v>ON Semiconductor</v>
      </c>
      <c r="C45991" s="6">
        <v>372</v>
      </c>
      <c r="D45991" s="7">
        <v>6.64</v>
      </c>
    </row>
    <row r="45992" spans="1:5" x14ac:dyDescent="0.25">
      <c r="A45992" t="str">
        <f>HYPERLINK("https://www.773grp.com/globalSearch/PI6B3904W/page-1", "PI6B3904W")</f>
        <v>PI6B3904W</v>
      </c>
      <c r="B45992" s="3" t="str">
        <f>HYPERLINK("https://www.773grp.com/manufacturer/onsemi?pageNo=538", "ON Semiconductor")</f>
        <v>ON Semiconductor</v>
      </c>
      <c r="C45992" s="6">
        <v>748</v>
      </c>
      <c r="D45992" s="7">
        <v>7.6</v>
      </c>
      <c r="E45992" t="s">
        <v>34</v>
      </c>
    </row>
    <row r="45993" spans="1:5" x14ac:dyDescent="0.25">
      <c r="A45993" t="str">
        <f>HYPERLINK("https://www.773grp.com/globalSearch/PI6B3904W9/page-1", "PI6B3904W9")</f>
        <v>PI6B3904W9</v>
      </c>
      <c r="B45993" s="3" t="str">
        <f>HYPERLINK("https://www.773grp.com/manufacturer/onsemi?pageNo=539", "ON Semiconductor")</f>
        <v>ON Semiconductor</v>
      </c>
      <c r="C45993" s="6">
        <v>2328</v>
      </c>
      <c r="D45993" s="7">
        <v>7.6</v>
      </c>
    </row>
    <row r="45994" spans="1:5" x14ac:dyDescent="0.25">
      <c r="A45994" t="str">
        <f>HYPERLINK("https://www.773grp.com/globalSearch/PI6B3904WX/page-1", "PI6B3904WX")</f>
        <v>PI6B3904WX</v>
      </c>
      <c r="B45994" s="3" t="str">
        <f>HYPERLINK("https://www.773grp.com/manufacturer/onsemi?pageNo=540", "ON Semiconductor")</f>
        <v>ON Semiconductor</v>
      </c>
      <c r="C45994" s="6">
        <v>3000</v>
      </c>
      <c r="D45994" s="7">
        <v>7.6</v>
      </c>
      <c r="E45994" t="s">
        <v>34</v>
      </c>
    </row>
    <row r="45995" spans="1:5" x14ac:dyDescent="0.25">
      <c r="A45995" t="str">
        <f>HYPERLINK("https://www.773grp.com/globalSearch/PI74FCT132DTW9/page-1", "PI74FCT132DTW9")</f>
        <v>PI74FCT132DTW9</v>
      </c>
      <c r="B45995" s="3" t="str">
        <f>HYPERLINK("https://www.773grp.com/manufacturer/onsemi?pageNo=541", "ON Semiconductor")</f>
        <v>ON Semiconductor</v>
      </c>
      <c r="C45995" s="6">
        <v>1745</v>
      </c>
      <c r="D45995" s="7">
        <v>10.8</v>
      </c>
    </row>
    <row r="45996" spans="1:5" x14ac:dyDescent="0.25">
      <c r="A45996" t="str">
        <f>HYPERLINK("https://www.773grp.com/globalSearch/PI49FCT811TQ9/page-1", "PI49FCT811TQ9")</f>
        <v>PI49FCT811TQ9</v>
      </c>
      <c r="B45996" s="3" t="str">
        <f>HYPERLINK("https://www.773grp.com/manufacturer/onsemi?pageNo=542", "ON Semiconductor")</f>
        <v>ON Semiconductor</v>
      </c>
      <c r="C45996" s="6">
        <v>2820</v>
      </c>
      <c r="D45996" s="7">
        <v>15.1</v>
      </c>
    </row>
    <row r="45997" spans="1:5" x14ac:dyDescent="0.25">
      <c r="A45997" t="str">
        <f>HYPERLINK("https://www.773grp.com/globalSearch/PI49FCT811TS9/page-1", "PI49FCT811TS9")</f>
        <v>PI49FCT811TS9</v>
      </c>
      <c r="B45997" s="3" t="str">
        <f>HYPERLINK("https://www.773grp.com/manufacturer/onsemi?pageNo=543", "ON Semiconductor")</f>
        <v>ON Semiconductor</v>
      </c>
      <c r="C45997" s="6">
        <v>40</v>
      </c>
      <c r="D45997" s="7">
        <v>15.1</v>
      </c>
    </row>
    <row r="45998" spans="1:5" x14ac:dyDescent="0.25">
      <c r="A45998" t="str">
        <f>HYPERLINK("https://www.773grp.com/globalSearch/PI49FCT811ATS9/page-1", "PI49FCT811ATS9")</f>
        <v>PI49FCT811ATS9</v>
      </c>
      <c r="B45998" s="3" t="str">
        <f>HYPERLINK("https://www.773grp.com/manufacturer/onsemi?pageNo=544", "ON Semiconductor")</f>
        <v>ON Semiconductor</v>
      </c>
      <c r="C45998" s="6">
        <v>161</v>
      </c>
      <c r="D45998" s="7">
        <v>16.59</v>
      </c>
    </row>
    <row r="45999" spans="1:5" x14ac:dyDescent="0.25">
      <c r="A45999" t="str">
        <f>HYPERLINK("https://www.773grp.com/globalSearch/PI49FCT811TP9/page-1", "PI49FCT811TP9")</f>
        <v>PI49FCT811TP9</v>
      </c>
      <c r="B45999" s="3" t="str">
        <f>HYPERLINK("https://www.773grp.com/manufacturer/onsemi?pageNo=545", "ON Semiconductor")</f>
        <v>ON Semiconductor</v>
      </c>
      <c r="C45999" s="6">
        <v>2260</v>
      </c>
      <c r="D45999" s="7">
        <v>17.350000000000001</v>
      </c>
    </row>
    <row r="46000" spans="1:5" x14ac:dyDescent="0.25">
      <c r="A46000" t="str">
        <f>HYPERLINK("https://www.773grp.com/globalSearch/74LVCU04AD118/page-1", "74LVCU04AD118")</f>
        <v>74LVCU04AD118</v>
      </c>
      <c r="B46000" s="3" t="str">
        <f>HYPERLINK("https://www.773grp.com/manufacturer/onsemi?pageNo=546", "ON Semiconductor")</f>
        <v>ON Semiconductor</v>
      </c>
      <c r="C46000" s="6">
        <v>2500</v>
      </c>
      <c r="D46000" s="7">
        <v>0.33</v>
      </c>
    </row>
    <row r="46001" spans="1:5" x14ac:dyDescent="0.25">
      <c r="A46001" t="str">
        <f>HYPERLINK("https://www.773grp.com/globalSearch/BGA2712115/page-1", "BGA2712115")</f>
        <v>BGA2712115</v>
      </c>
      <c r="B46001" s="3" t="str">
        <f>HYPERLINK("https://www.773grp.com/manufacturer/onsemi?pageNo=547", "ON Semiconductor")</f>
        <v>ON Semiconductor</v>
      </c>
      <c r="C46001" s="6">
        <v>1715</v>
      </c>
      <c r="D46001" s="7">
        <v>0.38</v>
      </c>
    </row>
    <row r="46002" spans="1:5" x14ac:dyDescent="0.25">
      <c r="A46002" t="str">
        <f>HYPERLINK("https://www.773grp.com/globalSearch/BGA2715115/page-1", "BGA2715115")</f>
        <v>BGA2715115</v>
      </c>
      <c r="B46002" s="3" t="str">
        <f>HYPERLINK("https://www.773grp.com/manufacturer/onsemi?pageNo=548", "ON Semiconductor")</f>
        <v>ON Semiconductor</v>
      </c>
      <c r="C46002" s="6">
        <v>465</v>
      </c>
      <c r="D46002" s="7">
        <v>0.38</v>
      </c>
    </row>
    <row r="46003" spans="1:5" x14ac:dyDescent="0.25">
      <c r="A46003" t="str">
        <f>HYPERLINK("https://www.773grp.com/globalSearch/74HC2G00DC125/page-1", "74HC2G00DC125")</f>
        <v>74HC2G00DC125</v>
      </c>
      <c r="B46003" s="3" t="str">
        <f>HYPERLINK("https://www.773grp.com/manufacturer/onsemi?pageNo=549", "ON Semiconductor")</f>
        <v>ON Semiconductor</v>
      </c>
      <c r="C46003" s="6">
        <v>3000</v>
      </c>
      <c r="D46003" s="7">
        <v>0.64</v>
      </c>
    </row>
    <row r="46004" spans="1:5" x14ac:dyDescent="0.25">
      <c r="A46004" t="str">
        <f>HYPERLINK("https://www.773grp.com/globalSearch/74LVT74D118/page-1", "74LVT74D118")</f>
        <v>74LVT74D118</v>
      </c>
      <c r="B46004" s="3" t="str">
        <f>HYPERLINK("https://www.773grp.com/manufacturer/onsemi?pageNo=550", "ON Semiconductor")</f>
        <v>ON Semiconductor</v>
      </c>
      <c r="C46004" s="6">
        <v>2500</v>
      </c>
      <c r="D46004" s="7">
        <v>1.59</v>
      </c>
    </row>
    <row r="46005" spans="1:5" x14ac:dyDescent="0.25">
      <c r="A46005" t="str">
        <f>HYPERLINK("https://www.773grp.com/globalSearch/TDA8551T-N1118/page-1", "TDA8551T-N1118")</f>
        <v>TDA8551T-N1118</v>
      </c>
      <c r="B46005" s="3" t="str">
        <f>HYPERLINK("https://www.773grp.com/manufacturer/onsemi?pageNo=551", "ON Semiconductor")</f>
        <v>ON Semiconductor</v>
      </c>
      <c r="C46005" s="6">
        <v>2500</v>
      </c>
      <c r="D46005" s="7">
        <v>1.96</v>
      </c>
    </row>
    <row r="46006" spans="1:5" x14ac:dyDescent="0.25">
      <c r="A46006" t="str">
        <f>HYPERLINK("https://www.773grp.com/globalSearch/MPS6517/page-1", "MPS6517")</f>
        <v>MPS6517</v>
      </c>
      <c r="B46006" s="3" t="str">
        <f>HYPERLINK("https://www.773grp.com/manufacturer/onsemi?pageNo=552", "ON Semiconductor")</f>
        <v>ON Semiconductor</v>
      </c>
      <c r="C46006" s="6">
        <v>799</v>
      </c>
      <c r="D46006" s="7">
        <v>2.64</v>
      </c>
      <c r="E46006" t="s">
        <v>69</v>
      </c>
    </row>
    <row r="46007" spans="1:5" x14ac:dyDescent="0.25">
      <c r="A46007" t="str">
        <f>HYPERLINK("https://www.773grp.com/globalSearch/HDMP-0422/page-1", "HDMP-0422")</f>
        <v>HDMP-0422</v>
      </c>
      <c r="B46007" s="3" t="str">
        <f>HYPERLINK("https://www.773grp.com/manufacturer/onsemi?pageNo=553", "ON Semiconductor")</f>
        <v>ON Semiconductor</v>
      </c>
      <c r="C46007" s="6">
        <v>235</v>
      </c>
      <c r="D46007" s="7">
        <v>22.5</v>
      </c>
      <c r="E46007" t="s">
        <v>67</v>
      </c>
    </row>
    <row r="46008" spans="1:5" x14ac:dyDescent="0.25">
      <c r="A46008" t="str">
        <f>HYPERLINK("https://www.773grp.com/globalSearch/HDMP-0422G/page-1", "HDMP-0422G")</f>
        <v>HDMP-0422G</v>
      </c>
      <c r="B46008" s="3" t="str">
        <f>HYPERLINK("https://www.773grp.com/manufacturer/onsemi?pageNo=554", "ON Semiconductor")</f>
        <v>ON Semiconductor</v>
      </c>
      <c r="C46008" s="6">
        <v>5041</v>
      </c>
      <c r="D46008" s="7">
        <v>25.31</v>
      </c>
    </row>
    <row r="46009" spans="1:5" x14ac:dyDescent="0.25">
      <c r="A46009" t="str">
        <f>HYPERLINK("https://www.773grp.com/globalSearch/HDMP-2630B/page-1", "HDMP-2630B")</f>
        <v>HDMP-2630B</v>
      </c>
      <c r="B46009" s="3" t="str">
        <f>HYPERLINK("https://www.773grp.com/manufacturer/onsemi?pageNo=555", "ON Semiconductor")</f>
        <v>ON Semiconductor</v>
      </c>
      <c r="C46009" s="6">
        <v>3205</v>
      </c>
      <c r="D46009" s="7">
        <v>33.75</v>
      </c>
      <c r="E46009" t="s">
        <v>67</v>
      </c>
    </row>
    <row r="46010" spans="1:5" x14ac:dyDescent="0.25">
      <c r="A46010" t="str">
        <f>HYPERLINK("https://www.773grp.com/globalSearch/HDMP-0451/page-1", "HDMP-0451")</f>
        <v>HDMP-0451</v>
      </c>
      <c r="B46010" s="3" t="str">
        <f>HYPERLINK("https://www.773grp.com/manufacturer/onsemi?pageNo=556", "ON Semiconductor")</f>
        <v>ON Semiconductor</v>
      </c>
      <c r="C46010" s="6">
        <v>6130</v>
      </c>
      <c r="D46010" s="7">
        <v>59.06</v>
      </c>
    </row>
    <row r="46011" spans="1:5" x14ac:dyDescent="0.25">
      <c r="A46011" t="str">
        <f>HYPERLINK("https://www.773grp.com/globalSearch/HDMP-0451G/page-1", "HDMP-0451G")</f>
        <v>HDMP-0451G</v>
      </c>
      <c r="B46011" s="3" t="str">
        <f>HYPERLINK("https://www.773grp.com/manufacturer/onsemi?pageNo=557", "ON Semiconductor")</f>
        <v>ON Semiconductor</v>
      </c>
      <c r="C46011" s="6">
        <v>3567</v>
      </c>
      <c r="D46011" s="7">
        <v>61.88</v>
      </c>
    </row>
    <row r="46012" spans="1:5" x14ac:dyDescent="0.25">
      <c r="A46012" t="str">
        <f>HYPERLINK("https://www.773grp.com/globalSearch/PM8356-PI/page-1", "PM8356-PI")</f>
        <v>PM8356-PI</v>
      </c>
      <c r="B46012" s="3" t="str">
        <f>HYPERLINK("https://www.773grp.com/manufacturer/onsemi?pageNo=558", "ON Semiconductor")</f>
        <v>ON Semiconductor</v>
      </c>
      <c r="C46012" s="6">
        <v>1420</v>
      </c>
      <c r="D46012" s="7">
        <v>95.63</v>
      </c>
    </row>
    <row r="46013" spans="1:5" x14ac:dyDescent="0.25">
      <c r="A46013" t="str">
        <f>HYPERLINK("https://www.773grp.com/globalSearch/PM8371-BI/page-1", "PM8371-BI")</f>
        <v>PM8371-BI</v>
      </c>
      <c r="B46013" s="3" t="str">
        <f>HYPERLINK("https://www.773grp.com/manufacturer/onsemi?pageNo=559", "ON Semiconductor")</f>
        <v>ON Semiconductor</v>
      </c>
      <c r="C46013" s="6">
        <v>569</v>
      </c>
      <c r="D46013" s="7">
        <v>106.88</v>
      </c>
    </row>
    <row r="46014" spans="1:5" x14ac:dyDescent="0.25">
      <c r="A46014" t="str">
        <f>HYPERLINK("https://www.773grp.com/globalSearch/IC-EAC-030-A/page-1", "IC-EAC-030-A")</f>
        <v>IC-EAC-030-A</v>
      </c>
      <c r="B46014" s="3" t="str">
        <f>HYPERLINK("https://www.773grp.com/manufacturer/onsemi?pageNo=560", "ON Semiconductor")</f>
        <v>ON Semiconductor</v>
      </c>
      <c r="C46014" s="6">
        <v>8673</v>
      </c>
      <c r="D46014" s="7">
        <v>120.94</v>
      </c>
    </row>
    <row r="46015" spans="1:5" x14ac:dyDescent="0.25">
      <c r="A46015" t="str">
        <f>HYPERLINK("https://www.773grp.com/globalSearch/IC-WAC-185-B/page-1", "IC-WAC-185-B")</f>
        <v>IC-WAC-185-B</v>
      </c>
      <c r="B46015" s="3" t="str">
        <f>HYPERLINK("https://www.773grp.com/manufacturer/onsemi?pageNo=561", "ON Semiconductor")</f>
        <v>ON Semiconductor</v>
      </c>
      <c r="C46015" s="6">
        <v>20</v>
      </c>
      <c r="D46015" s="7">
        <v>135</v>
      </c>
    </row>
    <row r="46016" spans="1:5" x14ac:dyDescent="0.25">
      <c r="A46016" t="str">
        <f>HYPERLINK("https://www.773grp.com/globalSearch/HPFC-5166B/page-1", "HPFC-5166B")</f>
        <v>HPFC-5166B</v>
      </c>
      <c r="B46016" s="3" t="str">
        <f>HYPERLINK("https://www.773grp.com/manufacturer/onsemi?pageNo=562", "ON Semiconductor")</f>
        <v>ON Semiconductor</v>
      </c>
      <c r="C46016" s="6">
        <v>14</v>
      </c>
      <c r="D46016" s="7">
        <v>219.38</v>
      </c>
    </row>
    <row r="46017" spans="1:5" x14ac:dyDescent="0.25">
      <c r="A46017" t="str">
        <f>HYPERLINK("https://www.773grp.com/globalSearch/HPFC-5100D/page-1", "HPFC-5100D")</f>
        <v>HPFC-5100D</v>
      </c>
      <c r="B46017" s="3" t="str">
        <f>HYPERLINK("https://www.773grp.com/manufacturer/onsemi?pageNo=563", "ON Semiconductor")</f>
        <v>ON Semiconductor</v>
      </c>
      <c r="C46017" s="6">
        <v>41</v>
      </c>
      <c r="D46017" s="7">
        <v>253.13</v>
      </c>
    </row>
    <row r="46018" spans="1:5" x14ac:dyDescent="0.25">
      <c r="A46018" t="str">
        <f>HYPERLINK("https://www.773grp.com/globalSearch/IC-WAC-186-B/page-1", "IC-WAC-186-B")</f>
        <v>IC-WAC-186-B</v>
      </c>
      <c r="B46018" s="3" t="str">
        <f>HYPERLINK("https://www.773grp.com/manufacturer/onsemi?pageNo=564", "ON Semiconductor")</f>
        <v>ON Semiconductor</v>
      </c>
      <c r="C46018" s="6">
        <v>92</v>
      </c>
      <c r="D46018" s="7">
        <v>278.44</v>
      </c>
    </row>
    <row r="46019" spans="1:5" x14ac:dyDescent="0.25">
      <c r="A46019" t="str">
        <f>HYPERLINK("https://www.773grp.com/globalSearch/HDMP-2840/page-1", "HDMP-2840")</f>
        <v>HDMP-2840</v>
      </c>
      <c r="B46019" s="3" t="str">
        <f>HYPERLINK("https://www.773grp.com/manufacturer/onsemi?pageNo=565", "ON Semiconductor")</f>
        <v>ON Semiconductor</v>
      </c>
      <c r="C46019" s="6">
        <v>233</v>
      </c>
      <c r="D46019" s="7">
        <v>256.33999999999997</v>
      </c>
    </row>
    <row r="46020" spans="1:5" x14ac:dyDescent="0.25">
      <c r="A46020" t="str">
        <f>HYPERLINK("https://www.773grp.com/globalSearch/IC-WAC-188-A/page-1", "IC-WAC-188-A")</f>
        <v>IC-WAC-188-A</v>
      </c>
      <c r="B46020" s="3" t="str">
        <f>HYPERLINK("https://www.773grp.com/manufacturer/onsemi?pageNo=566", "ON Semiconductor")</f>
        <v>ON Semiconductor</v>
      </c>
      <c r="C46020" s="6">
        <v>20</v>
      </c>
      <c r="D46020" s="7">
        <v>299.06</v>
      </c>
    </row>
    <row r="46021" spans="1:5" x14ac:dyDescent="0.25">
      <c r="A46021" t="str">
        <f>HYPERLINK("https://www.773grp.com/globalSearch/PM9314-HC/page-1", "PM9314-HC")</f>
        <v>PM9314-HC</v>
      </c>
      <c r="B46021" s="3" t="str">
        <f>HYPERLINK("https://www.773grp.com/manufacturer/onsemi?pageNo=567", "ON Semiconductor")</f>
        <v>ON Semiconductor</v>
      </c>
      <c r="C46021" s="6">
        <v>1635</v>
      </c>
      <c r="D46021" s="7">
        <v>395.18</v>
      </c>
    </row>
    <row r="46022" spans="1:5" x14ac:dyDescent="0.25">
      <c r="A46022" t="str">
        <f>HYPERLINK("https://www.773grp.com/globalSearch/IC-WAC-035-D/page-1", "IC-WAC-035-D")</f>
        <v>IC-WAC-035-D</v>
      </c>
      <c r="B46022" s="3" t="str">
        <f>HYPERLINK("https://www.773grp.com/manufacturer/onsemi?pageNo=568", "ON Semiconductor")</f>
        <v>ON Semiconductor</v>
      </c>
      <c r="C46022" s="6">
        <v>27</v>
      </c>
      <c r="D46022" s="7">
        <v>469.94</v>
      </c>
    </row>
    <row r="46023" spans="1:5" x14ac:dyDescent="0.25">
      <c r="A46023" t="str">
        <f>HYPERLINK("https://www.773grp.com/globalSearch/PM73488-PI/page-1", "PM73488-PI")</f>
        <v>PM73488-PI</v>
      </c>
      <c r="B46023" s="3" t="str">
        <f>HYPERLINK("https://www.773grp.com/manufacturer/onsemi?pageNo=569", "ON Semiconductor")</f>
        <v>ON Semiconductor</v>
      </c>
      <c r="C46023" s="6">
        <v>4</v>
      </c>
      <c r="D46023" s="7">
        <v>608.79</v>
      </c>
      <c r="E46023" t="s">
        <v>126</v>
      </c>
    </row>
    <row r="46024" spans="1:5" x14ac:dyDescent="0.25">
      <c r="A46024" t="str">
        <f>HYPERLINK("https://www.773grp.com/globalSearch/PM7386-BI/page-1", "PM7386-BI")</f>
        <v>PM7386-BI</v>
      </c>
      <c r="B46024" s="3" t="str">
        <f>HYPERLINK("https://www.773grp.com/manufacturer/onsemi?pageNo=570", "ON Semiconductor")</f>
        <v>ON Semiconductor</v>
      </c>
      <c r="C46024" s="6">
        <v>59</v>
      </c>
      <c r="D46024" s="7">
        <v>694.23</v>
      </c>
    </row>
    <row r="46025" spans="1:5" x14ac:dyDescent="0.25">
      <c r="A46025" t="str">
        <f>HYPERLINK("https://www.773grp.com/globalSearch/PM7389-BI/page-1", "PM7389-BI")</f>
        <v>PM7389-BI</v>
      </c>
      <c r="B46025" s="3" t="str">
        <f>HYPERLINK("https://www.773grp.com/manufacturer/onsemi?pageNo=571", "ON Semiconductor")</f>
        <v>ON Semiconductor</v>
      </c>
      <c r="C46025" s="6">
        <v>650</v>
      </c>
      <c r="D46025" s="7">
        <v>907.83</v>
      </c>
    </row>
    <row r="46026" spans="1:5" x14ac:dyDescent="0.25">
      <c r="A46026" t="str">
        <f>HYPERLINK("https://www.773grp.com/globalSearch/HHBA-5418BP1-S01/page-1", "HHBA-5418BP1-S01")</f>
        <v>HHBA-5418BP1-S01</v>
      </c>
      <c r="B46026" s="3" t="str">
        <f>HYPERLINK("https://www.773grp.com/manufacturer/onsemi?pageNo=572", "ON Semiconductor")</f>
        <v>ON Semiconductor</v>
      </c>
      <c r="C46026" s="6">
        <v>321</v>
      </c>
      <c r="D46026" s="7">
        <v>918.51</v>
      </c>
    </row>
    <row r="46027" spans="1:5" x14ac:dyDescent="0.25">
      <c r="A46027" t="str">
        <f>HYPERLINK("https://www.773grp.com/globalSearch/PM9312-UC-F/page-1", "PM9312-UC-F")</f>
        <v>PM9312-UC-F</v>
      </c>
      <c r="B46027" s="3" t="str">
        <f>HYPERLINK("https://www.773grp.com/manufacturer/onsemi?pageNo=573", "ON Semiconductor")</f>
        <v>ON Semiconductor</v>
      </c>
      <c r="C46027" s="6">
        <v>297</v>
      </c>
      <c r="D46027" s="7">
        <v>1142.81</v>
      </c>
    </row>
    <row r="46028" spans="1:5" x14ac:dyDescent="0.25">
      <c r="A46028" t="str">
        <f>HYPERLINK("https://www.773grp.com/globalSearch/AD594AD/page-1", "AD594AD")</f>
        <v>AD594AD</v>
      </c>
      <c r="B46028" s="3" t="str">
        <f>HYPERLINK("https://www.773grp.com/manufacturer/onsemi?pageNo=574", "ON Semiconductor")</f>
        <v>ON Semiconductor</v>
      </c>
      <c r="C46028" s="6">
        <v>18</v>
      </c>
      <c r="D46028" s="7">
        <v>0</v>
      </c>
      <c r="E46028" t="s">
        <v>70</v>
      </c>
    </row>
    <row r="46029" spans="1:5" x14ac:dyDescent="0.25">
      <c r="A46029" t="str">
        <f>HYPERLINK("https://www.773grp.com/globalSearch/SSM2302CPZ-REEL7/page-1", "SSM2302CPZ-REEL7")</f>
        <v>SSM2302CPZ-REEL7</v>
      </c>
      <c r="B46029" s="3" t="str">
        <f>HYPERLINK("https://www.773grp.com/manufacturer/onsemi?pageNo=575", "ON Semiconductor")</f>
        <v>ON Semiconductor</v>
      </c>
      <c r="C46029" s="6">
        <v>2421</v>
      </c>
      <c r="D46029" s="7">
        <v>4.38</v>
      </c>
      <c r="E46029" t="s">
        <v>18</v>
      </c>
    </row>
    <row r="46030" spans="1:5" x14ac:dyDescent="0.25">
      <c r="A46030" t="str">
        <f>HYPERLINK("https://www.773grp.com/globalSearch/OP14CS/page-1", "OP14CS")</f>
        <v>OP14CS</v>
      </c>
      <c r="B46030" s="3" t="str">
        <f>HYPERLINK("https://www.773grp.com/manufacturer/onsemi?pageNo=576", "ON Semiconductor")</f>
        <v>ON Semiconductor</v>
      </c>
      <c r="C46030" s="6">
        <v>1</v>
      </c>
      <c r="D46030" s="7">
        <v>5.49</v>
      </c>
      <c r="E46030" t="s">
        <v>13</v>
      </c>
    </row>
    <row r="46031" spans="1:5" x14ac:dyDescent="0.25">
      <c r="A46031" t="str">
        <f>HYPERLINK("https://www.773grp.com/globalSearch/SSM2019BN/page-1", "SSM2019BN")</f>
        <v>SSM2019BN</v>
      </c>
      <c r="B46031" s="3" t="str">
        <f>HYPERLINK("https://www.773grp.com/manufacturer/onsemi?pageNo=577", "ON Semiconductor")</f>
        <v>ON Semiconductor</v>
      </c>
      <c r="C46031" s="6">
        <v>98</v>
      </c>
      <c r="D46031" s="7">
        <v>5.78</v>
      </c>
      <c r="E46031" t="s">
        <v>18</v>
      </c>
    </row>
    <row r="46032" spans="1:5" x14ac:dyDescent="0.25">
      <c r="A46032" t="str">
        <f>HYPERLINK("https://www.773grp.com/globalSearch/SSM2019BRW/page-1", "SSM2019BRW")</f>
        <v>SSM2019BRW</v>
      </c>
      <c r="B46032" s="3" t="str">
        <f>HYPERLINK("https://www.773grp.com/manufacturer/onsemi?pageNo=578", "ON Semiconductor")</f>
        <v>ON Semiconductor</v>
      </c>
      <c r="C46032" s="6">
        <v>2741</v>
      </c>
      <c r="D46032" s="7">
        <v>5.78</v>
      </c>
      <c r="E46032" t="s">
        <v>18</v>
      </c>
    </row>
    <row r="46033" spans="1:5" x14ac:dyDescent="0.25">
      <c r="A46033" t="str">
        <f>HYPERLINK("https://www.773grp.com/globalSearch/AD587JR/page-1", "AD587JR")</f>
        <v>AD587JR</v>
      </c>
      <c r="B46033" s="3" t="str">
        <f>HYPERLINK("https://www.773grp.com/manufacturer/onsemi?pageNo=579", "ON Semiconductor")</f>
        <v>ON Semiconductor</v>
      </c>
      <c r="C46033" s="6">
        <v>58</v>
      </c>
      <c r="D46033" s="7">
        <v>11.09</v>
      </c>
      <c r="E46033" t="s">
        <v>17</v>
      </c>
    </row>
    <row r="46034" spans="1:5" x14ac:dyDescent="0.25">
      <c r="A46034" t="str">
        <f>HYPERLINK("https://www.773grp.com/globalSearch/OP97EP/page-1", "OP97EP")</f>
        <v>OP97EP</v>
      </c>
      <c r="B46034" s="3" t="str">
        <f>HYPERLINK("https://www.773grp.com/manufacturer/onsemi?pageNo=580", "ON Semiconductor")</f>
        <v>ON Semiconductor</v>
      </c>
      <c r="C46034" s="6">
        <v>1584</v>
      </c>
      <c r="D46034" s="7">
        <v>13.59</v>
      </c>
      <c r="E46034" t="s">
        <v>13</v>
      </c>
    </row>
    <row r="46035" spans="1:5" x14ac:dyDescent="0.25">
      <c r="A46035" t="str">
        <f>HYPERLINK("https://www.773grp.com/globalSearch/AD7888ARU/page-1", "AD7888ARU")</f>
        <v>AD7888ARU</v>
      </c>
      <c r="B46035" s="3" t="str">
        <f>HYPERLINK("https://www.773grp.com/manufacturer/onsemi?pageNo=581", "ON Semiconductor")</f>
        <v>ON Semiconductor</v>
      </c>
      <c r="C46035" s="6">
        <v>142</v>
      </c>
      <c r="D46035" s="7">
        <v>15.9</v>
      </c>
      <c r="E46035" t="s">
        <v>39</v>
      </c>
    </row>
    <row r="46036" spans="1:5" x14ac:dyDescent="0.25">
      <c r="A46036" t="str">
        <f>HYPERLINK("https://www.773grp.com/globalSearch/AD621AR/page-1", "AD621AR")</f>
        <v>AD621AR</v>
      </c>
      <c r="B46036" s="3" t="str">
        <f>HYPERLINK("https://www.773grp.com/manufacturer/onsemi?pageNo=582", "ON Semiconductor")</f>
        <v>ON Semiconductor</v>
      </c>
      <c r="C46036" s="6">
        <v>15</v>
      </c>
      <c r="D46036" s="7">
        <v>16.25</v>
      </c>
      <c r="E46036" t="s">
        <v>70</v>
      </c>
    </row>
    <row r="46037" spans="1:5" x14ac:dyDescent="0.25">
      <c r="A46037" t="str">
        <f>HYPERLINK("https://www.773grp.com/globalSearch/PM7528037S/page-1", "PM7528037S")</f>
        <v>PM7528037S</v>
      </c>
      <c r="B46037" s="3" t="str">
        <f>HYPERLINK("https://www.773grp.com/manufacturer/onsemi?pageNo=583", "ON Semiconductor")</f>
        <v>ON Semiconductor</v>
      </c>
      <c r="C46037" s="6">
        <v>3237</v>
      </c>
      <c r="D46037" s="7">
        <v>20.89</v>
      </c>
    </row>
    <row r="46038" spans="1:5" x14ac:dyDescent="0.25">
      <c r="A46038" t="str">
        <f>HYPERLINK("https://www.773grp.com/globalSearch/AD1851R-J/page-1", "AD1851R-J")</f>
        <v>AD1851R-J</v>
      </c>
      <c r="B46038" s="3" t="str">
        <f>HYPERLINK("https://www.773grp.com/manufacturer/onsemi?pageNo=584", "ON Semiconductor")</f>
        <v>ON Semiconductor</v>
      </c>
      <c r="C46038" s="6">
        <v>331</v>
      </c>
      <c r="D46038" s="7">
        <v>21.1</v>
      </c>
      <c r="E46038" t="s">
        <v>33</v>
      </c>
    </row>
    <row r="46039" spans="1:5" x14ac:dyDescent="0.25">
      <c r="A46039" t="str">
        <f>HYPERLINK("https://www.773grp.com/globalSearch/AD1865R-J/page-1", "AD1865R-J")</f>
        <v>AD1865R-J</v>
      </c>
      <c r="B46039" s="3" t="str">
        <f>HYPERLINK("https://www.773grp.com/manufacturer/onsemi?pageNo=585", "ON Semiconductor")</f>
        <v>ON Semiconductor</v>
      </c>
      <c r="C46039" s="6">
        <v>3</v>
      </c>
      <c r="D46039" s="7">
        <v>21.1</v>
      </c>
      <c r="E46039" t="s">
        <v>33</v>
      </c>
    </row>
    <row r="46040" spans="1:5" x14ac:dyDescent="0.25">
      <c r="A46040" t="str">
        <f>HYPERLINK("https://www.773grp.com/globalSearch/DAC8840FP/page-1", "DAC8840FP")</f>
        <v>DAC8840FP</v>
      </c>
      <c r="B46040" s="3" t="str">
        <f>HYPERLINK("https://www.773grp.com/manufacturer/onsemi?pageNo=586", "ON Semiconductor")</f>
        <v>ON Semiconductor</v>
      </c>
      <c r="C46040" s="6">
        <v>11</v>
      </c>
      <c r="D46040" s="7">
        <v>35.58</v>
      </c>
      <c r="E46040" t="s">
        <v>33</v>
      </c>
    </row>
    <row r="46041" spans="1:5" x14ac:dyDescent="0.25">
      <c r="A46041" t="str">
        <f>HYPERLINK("https://www.773grp.com/globalSearch/OP17BJ/page-1", "OP17BJ")</f>
        <v>OP17BJ</v>
      </c>
      <c r="B46041" s="3" t="str">
        <f>HYPERLINK("https://www.773grp.com/manufacturer/onsemi?pageNo=587", "ON Semiconductor")</f>
        <v>ON Semiconductor</v>
      </c>
      <c r="C46041" s="6">
        <v>459</v>
      </c>
      <c r="D46041" s="7">
        <v>36.56</v>
      </c>
    </row>
    <row r="46042" spans="1:5" x14ac:dyDescent="0.25">
      <c r="A46042" t="str">
        <f>HYPERLINK("https://www.773grp.com/globalSearch/AD588JQ/page-1", "AD588JQ")</f>
        <v>AD588JQ</v>
      </c>
      <c r="B46042" s="3" t="str">
        <f>HYPERLINK("https://www.773grp.com/manufacturer/onsemi?pageNo=588", "ON Semiconductor")</f>
        <v>ON Semiconductor</v>
      </c>
      <c r="C46042" s="6">
        <v>3</v>
      </c>
      <c r="D46042" s="7">
        <v>55.73</v>
      </c>
      <c r="E46042" t="s">
        <v>17</v>
      </c>
    </row>
    <row r="46043" spans="1:5" x14ac:dyDescent="0.25">
      <c r="A46043" t="str">
        <f>HYPERLINK("https://www.773grp.com/globalSearch/AD1865RZ-J/page-1", "AD1865RZ-J")</f>
        <v>AD1865RZ-J</v>
      </c>
      <c r="B46043" s="3" t="str">
        <f>HYPERLINK("https://www.773grp.com/manufacturer/onsemi?pageNo=589", "ON Semiconductor")</f>
        <v>ON Semiconductor</v>
      </c>
      <c r="C46043" s="6">
        <v>20</v>
      </c>
      <c r="D46043" s="7">
        <v>55.83</v>
      </c>
    </row>
    <row r="46044" spans="1:5" x14ac:dyDescent="0.25">
      <c r="A46044" t="str">
        <f>HYPERLINK("https://www.773grp.com/globalSearch/REF01AZ/page-1", "REF01AZ")</f>
        <v>REF01AZ</v>
      </c>
      <c r="B46044" s="3" t="str">
        <f>HYPERLINK("https://www.773grp.com/manufacturer/onsemi?pageNo=590", "ON Semiconductor")</f>
        <v>ON Semiconductor</v>
      </c>
      <c r="C46044" s="6">
        <v>12</v>
      </c>
      <c r="D46044" s="7">
        <v>59.06</v>
      </c>
    </row>
    <row r="46045" spans="1:5" x14ac:dyDescent="0.25">
      <c r="A46045" t="str">
        <f>HYPERLINK("https://www.773grp.com/globalSearch/REF01AZ  D1/page-1", "REF01AZ  D1")</f>
        <v>REF01AZ  D1</v>
      </c>
      <c r="B46045" s="3" t="str">
        <f>HYPERLINK("https://www.773grp.com/manufacturer/onsemi?pageNo=591", "ON Semiconductor")</f>
        <v>ON Semiconductor</v>
      </c>
      <c r="C46045" s="6">
        <v>5</v>
      </c>
      <c r="D46045" s="7">
        <v>59.06</v>
      </c>
    </row>
    <row r="46046" spans="1:5" x14ac:dyDescent="0.25">
      <c r="A46046" t="str">
        <f>HYPERLINK("https://www.773grp.com/globalSearch/AD1890JP/page-1", "AD1890JP")</f>
        <v>AD1890JP</v>
      </c>
      <c r="B46046" s="3" t="str">
        <f>HYPERLINK("https://www.773grp.com/manufacturer/onsemi?pageNo=592", "ON Semiconductor")</f>
        <v>ON Semiconductor</v>
      </c>
      <c r="C46046" s="6">
        <v>291</v>
      </c>
      <c r="D46046" s="7">
        <v>67.5</v>
      </c>
      <c r="E46046" t="s">
        <v>23</v>
      </c>
    </row>
    <row r="46047" spans="1:5" x14ac:dyDescent="0.25">
      <c r="A46047" t="str">
        <f>HYPERLINK("https://www.773grp.com/globalSearch/AD595AD/page-1", "AD595AD")</f>
        <v>AD595AD</v>
      </c>
      <c r="B46047" s="3" t="str">
        <f>HYPERLINK("https://www.773grp.com/manufacturer/onsemi?pageNo=593", "ON Semiconductor")</f>
        <v>ON Semiconductor</v>
      </c>
      <c r="C46047" s="6">
        <v>3</v>
      </c>
      <c r="D46047" s="7">
        <v>73.08</v>
      </c>
      <c r="E46047" t="s">
        <v>70</v>
      </c>
    </row>
    <row r="46048" spans="1:5" x14ac:dyDescent="0.25">
      <c r="A46048" t="str">
        <f>HYPERLINK("https://www.773grp.com/globalSearch/PT79SR112V/page-1", "PT79SR112V")</f>
        <v>PT79SR112V</v>
      </c>
      <c r="B46048" s="3" t="str">
        <f>HYPERLINK("https://www.773grp.com/manufacturer/onsemi?pageNo=594", "ON Semiconductor")</f>
        <v>ON Semiconductor</v>
      </c>
      <c r="C46048" s="6">
        <v>100</v>
      </c>
      <c r="D46048" s="7">
        <v>37.979999999999997</v>
      </c>
    </row>
    <row r="46049" spans="1:5" x14ac:dyDescent="0.25">
      <c r="A46049" t="str">
        <f>HYPERLINK("https://www.773grp.com/globalSearch/78SR105TC/page-1", "78SR105TC")</f>
        <v>78SR105TC</v>
      </c>
      <c r="B46049" s="3" t="str">
        <f>HYPERLINK("https://www.773grp.com/manufacturer/onsemi?pageNo=595", "ON Semiconductor")</f>
        <v>ON Semiconductor</v>
      </c>
      <c r="C46049" s="6">
        <v>152</v>
      </c>
      <c r="D46049" s="7">
        <v>45.7</v>
      </c>
    </row>
    <row r="46050" spans="1:5" x14ac:dyDescent="0.25">
      <c r="A46050" t="str">
        <f>HYPERLINK("https://www.773grp.com/globalSearch/V292PBC-40LP/page-1", "V292PBC-40LP")</f>
        <v>V292PBC-40LP</v>
      </c>
      <c r="B46050" s="3" t="str">
        <f>HYPERLINK("https://www.773grp.com/manufacturer/onsemi?pageNo=596", "ON Semiconductor")</f>
        <v>ON Semiconductor</v>
      </c>
      <c r="C46050" s="6">
        <v>167</v>
      </c>
      <c r="D46050" s="7">
        <v>0</v>
      </c>
      <c r="E46050" t="s">
        <v>68</v>
      </c>
    </row>
    <row r="46051" spans="1:5" x14ac:dyDescent="0.25">
      <c r="A46051" t="str">
        <f>HYPERLINK("https://www.773grp.com/globalSearch/V380SDC-75LP/page-1", "V380SDC-75LP")</f>
        <v>V380SDC-75LP</v>
      </c>
      <c r="B46051" s="3" t="str">
        <f>HYPERLINK("https://www.773grp.com/manufacturer/onsemi?pageNo=597", "ON Semiconductor")</f>
        <v>ON Semiconductor</v>
      </c>
      <c r="C46051" s="6">
        <v>51116</v>
      </c>
      <c r="D46051" s="7">
        <v>42.19</v>
      </c>
    </row>
    <row r="46052" spans="1:5" x14ac:dyDescent="0.25">
      <c r="A46052" t="str">
        <f>HYPERLINK("https://www.773grp.com/globalSearch/V380SDC-75LPR REV A0/page-1", "V380SDC-75LPR REV A0")</f>
        <v>V380SDC-75LPR REV A0</v>
      </c>
      <c r="B46052" s="3" t="str">
        <f>HYPERLINK("https://www.773grp.com/manufacturer/onsemi?pageNo=598", "ON Semiconductor")</f>
        <v>ON Semiconductor</v>
      </c>
      <c r="C46052" s="6">
        <v>4079</v>
      </c>
      <c r="D46052" s="7">
        <v>42.19</v>
      </c>
    </row>
    <row r="46053" spans="1:5" x14ac:dyDescent="0.25">
      <c r="A46053" t="str">
        <f>HYPERLINK("https://www.773grp.com/globalSearch/V96SSC-33LP/page-1", "V96SSC-33LP")</f>
        <v>V96SSC-33LP</v>
      </c>
      <c r="B46053" s="3" t="str">
        <f>HYPERLINK("https://www.773grp.com/manufacturer/onsemi?pageNo=599", "ON Semiconductor")</f>
        <v>ON Semiconductor</v>
      </c>
      <c r="C46053" s="6">
        <v>43301</v>
      </c>
      <c r="D46053" s="7">
        <v>66.790000000000006</v>
      </c>
      <c r="E46053" t="s">
        <v>87</v>
      </c>
    </row>
    <row r="46054" spans="1:5" x14ac:dyDescent="0.25">
      <c r="A46054" t="str">
        <f>HYPERLINK("https://www.773grp.com/globalSearch/V96SSC-33LPR REV B1/page-1", "V96SSC-33LPR REV B1")</f>
        <v>V96SSC-33LPR REV B1</v>
      </c>
      <c r="B46054" s="3" t="str">
        <f>HYPERLINK("https://www.773grp.com/manufacturer/onsemi?pageNo=600", "ON Semiconductor")</f>
        <v>ON Semiconductor</v>
      </c>
      <c r="C46054" s="6">
        <v>3940</v>
      </c>
      <c r="D46054" s="7">
        <v>66.790000000000006</v>
      </c>
    </row>
    <row r="46055" spans="1:5" x14ac:dyDescent="0.25">
      <c r="A46055" t="str">
        <f>HYPERLINK("https://www.773grp.com/globalSearch/V96BMC-33LP/page-1", "V96BMC-33LP")</f>
        <v>V96BMC-33LP</v>
      </c>
      <c r="B46055" s="3" t="str">
        <f>HYPERLINK("https://www.773grp.com/manufacturer/onsemi?pageNo=601", "ON Semiconductor")</f>
        <v>ON Semiconductor</v>
      </c>
      <c r="C46055" s="6">
        <v>1296</v>
      </c>
      <c r="D46055" s="7">
        <v>67.5</v>
      </c>
      <c r="E46055" t="s">
        <v>87</v>
      </c>
    </row>
    <row r="46056" spans="1:5" x14ac:dyDescent="0.25">
      <c r="A46056" t="str">
        <f>HYPERLINK("https://www.773grp.com/globalSearch/V370PDC-66LP/page-1", "V370PDC-66LP")</f>
        <v>V370PDC-66LP</v>
      </c>
      <c r="B46056" s="3" t="str">
        <f>HYPERLINK("https://www.773grp.com/manufacturer/onsemi?pageNo=602", "ON Semiconductor")</f>
        <v>ON Semiconductor</v>
      </c>
      <c r="C46056" s="6">
        <v>428</v>
      </c>
      <c r="D46056" s="7">
        <v>75.94</v>
      </c>
    </row>
    <row r="46057" spans="1:5" x14ac:dyDescent="0.25">
      <c r="A46057" t="str">
        <f>HYPERLINK("https://www.773grp.com/globalSearch/V96BMC-40LP/page-1", "V96BMC-40LP")</f>
        <v>V96BMC-40LP</v>
      </c>
      <c r="B46057" s="3" t="str">
        <f>HYPERLINK("https://www.773grp.com/manufacturer/onsemi?pageNo=603", "ON Semiconductor")</f>
        <v>ON Semiconductor</v>
      </c>
      <c r="C46057" s="6">
        <v>1296</v>
      </c>
      <c r="D46057" s="7">
        <v>83.66</v>
      </c>
      <c r="E46057" t="s">
        <v>87</v>
      </c>
    </row>
    <row r="46058" spans="1:5" x14ac:dyDescent="0.25">
      <c r="A46058" t="str">
        <f>HYPERLINK("https://www.773grp.com/globalSearch/V292BMC-40LP/page-1", "V292BMC-40LP")</f>
        <v>V292BMC-40LP</v>
      </c>
      <c r="B46058" s="3" t="str">
        <f>HYPERLINK("https://www.773grp.com/manufacturer/onsemi?pageNo=604", "ON Semiconductor")</f>
        <v>ON Semiconductor</v>
      </c>
      <c r="C46058" s="6">
        <v>1274</v>
      </c>
      <c r="D46058" s="7">
        <v>102.65</v>
      </c>
      <c r="E46058" t="s">
        <v>87</v>
      </c>
    </row>
    <row r="46059" spans="1:5" x14ac:dyDescent="0.25">
      <c r="A46059" t="str">
        <f>HYPERLINK("https://www.773grp.com/globalSearch/V360EPC-33LP/page-1", "V360EPC-33LP")</f>
        <v>V360EPC-33LP</v>
      </c>
      <c r="B46059" s="3" t="str">
        <f>HYPERLINK("https://www.773grp.com/manufacturer/onsemi?pageNo=605", "ON Semiconductor")</f>
        <v>ON Semiconductor</v>
      </c>
      <c r="C46059" s="6">
        <v>2</v>
      </c>
      <c r="D46059" s="7">
        <v>115.31</v>
      </c>
    </row>
    <row r="46060" spans="1:5" x14ac:dyDescent="0.25">
      <c r="A46060" t="str">
        <f>HYPERLINK("https://www.773grp.com/globalSearch/V363EPC-50LP/page-1", "V363EPC-50LP")</f>
        <v>V363EPC-50LP</v>
      </c>
      <c r="B46060" s="3" t="str">
        <f>HYPERLINK("https://www.773grp.com/manufacturer/onsemi?pageNo=606", "ON Semiconductor")</f>
        <v>ON Semiconductor</v>
      </c>
      <c r="C46060" s="6">
        <v>2958</v>
      </c>
      <c r="D46060" s="7">
        <v>123.75</v>
      </c>
    </row>
    <row r="46061" spans="1:5" x14ac:dyDescent="0.25">
      <c r="A46061" t="str">
        <f>HYPERLINK("https://www.773grp.com/globalSearch/V363EPC-50LPN REV A0/page-1", "V363EPC-50LPN REV A0")</f>
        <v>V363EPC-50LPN REV A0</v>
      </c>
      <c r="B46061" s="3" t="str">
        <f>HYPERLINK("https://www.773grp.com/manufacturer/onsemi?pageNo=607", "ON Semiconductor")</f>
        <v>ON Semiconductor</v>
      </c>
      <c r="C46061" s="6">
        <v>407</v>
      </c>
      <c r="D46061" s="7">
        <v>123.75</v>
      </c>
    </row>
    <row r="46062" spans="1:5" x14ac:dyDescent="0.25">
      <c r="A46062" t="str">
        <f>HYPERLINK("https://www.773grp.com/globalSearch/V320USC-75LP/page-1", "V320USC-75LP")</f>
        <v>V320USC-75LP</v>
      </c>
      <c r="B46062" s="3" t="str">
        <f>HYPERLINK("https://www.773grp.com/manufacturer/onsemi?pageNo=608", "ON Semiconductor")</f>
        <v>ON Semiconductor</v>
      </c>
      <c r="C46062" s="6">
        <v>128518</v>
      </c>
      <c r="D46062" s="7">
        <v>126.56</v>
      </c>
      <c r="E46062" t="s">
        <v>68</v>
      </c>
    </row>
    <row r="46063" spans="1:5" x14ac:dyDescent="0.25">
      <c r="A46063" t="str">
        <f>HYPERLINK("https://www.773grp.com/globalSearch/V350EPC-33LP/page-1", "V350EPC-33LP")</f>
        <v>V350EPC-33LP</v>
      </c>
      <c r="B46063" s="3" t="str">
        <f>HYPERLINK("https://www.773grp.com/manufacturer/onsemi?pageNo=609", "ON Semiconductor")</f>
        <v>ON Semiconductor</v>
      </c>
      <c r="C46063" s="6">
        <v>330</v>
      </c>
      <c r="D46063" s="7">
        <v>135</v>
      </c>
    </row>
    <row r="46064" spans="1:5" x14ac:dyDescent="0.25">
      <c r="A46064" t="str">
        <f>HYPERLINK("https://www.773grp.com/globalSearch/V960PBC-33LP/page-1", "V960PBC-33LP")</f>
        <v>V960PBC-33LP</v>
      </c>
      <c r="B46064" s="3" t="str">
        <f>HYPERLINK("https://www.773grp.com/manufacturer/onsemi?pageNo=610", "ON Semiconductor")</f>
        <v>ON Semiconductor</v>
      </c>
      <c r="C46064" s="6">
        <v>458</v>
      </c>
      <c r="D46064" s="7">
        <v>146.25</v>
      </c>
      <c r="E46064" t="s">
        <v>68</v>
      </c>
    </row>
    <row r="46065" spans="1:5" x14ac:dyDescent="0.25">
      <c r="A46065" t="str">
        <f>HYPERLINK("https://www.773grp.com/globalSearch/V961PBC-33LP/page-1", "V961PBC-33LP")</f>
        <v>V961PBC-33LP</v>
      </c>
      <c r="B46065" s="3" t="str">
        <f>HYPERLINK("https://www.773grp.com/manufacturer/onsemi?pageNo=611", "ON Semiconductor")</f>
        <v>ON Semiconductor</v>
      </c>
      <c r="C46065" s="6">
        <v>5862</v>
      </c>
      <c r="D46065" s="7">
        <v>151.88</v>
      </c>
      <c r="E46065" t="s">
        <v>68</v>
      </c>
    </row>
    <row r="46066" spans="1:5" x14ac:dyDescent="0.25">
      <c r="A46066" t="str">
        <f>HYPERLINK("https://www.773grp.com/globalSearch/V961PBC-40LP/page-1", "V961PBC-40LP")</f>
        <v>V961PBC-40LP</v>
      </c>
      <c r="B46066" s="3" t="str">
        <f>HYPERLINK("https://www.773grp.com/manufacturer/onsemi?pageNo=612", "ON Semiconductor")</f>
        <v>ON Semiconductor</v>
      </c>
      <c r="C46066" s="6">
        <v>2576</v>
      </c>
      <c r="D46066" s="7">
        <v>154.69</v>
      </c>
      <c r="E46066" t="s">
        <v>68</v>
      </c>
    </row>
    <row r="46067" spans="1:5" x14ac:dyDescent="0.25">
      <c r="A46067" t="str">
        <f>HYPERLINK("https://www.773grp.com/globalSearch/V962PBC-40LP/page-1", "V962PBC-40LP")</f>
        <v>V962PBC-40LP</v>
      </c>
      <c r="B46067" s="3" t="str">
        <f>HYPERLINK("https://www.773grp.com/manufacturer/onsemi?pageNo=613", "ON Semiconductor")</f>
        <v>ON Semiconductor</v>
      </c>
      <c r="C46067" s="6">
        <v>2448</v>
      </c>
      <c r="D46067" s="7">
        <v>154.69</v>
      </c>
      <c r="E46067" t="s">
        <v>68</v>
      </c>
    </row>
    <row r="46068" spans="1:5" x14ac:dyDescent="0.25">
      <c r="A46068" t="str">
        <f>HYPERLINK("https://www.773grp.com/globalSearch/QL12X16B-0CG84I  WIP/page-1", "QL12X16B-0CG84I  WIP")</f>
        <v>QL12X16B-0CG84I  WIP</v>
      </c>
      <c r="B46068" s="3" t="str">
        <f>HYPERLINK("https://www.773grp.com/manufacturer/onsemi?pageNo=614", "ON Semiconductor")</f>
        <v>ON Semiconductor</v>
      </c>
      <c r="C46068" s="6">
        <v>68</v>
      </c>
      <c r="D46068" s="7">
        <v>270.70999999999998</v>
      </c>
    </row>
    <row r="46069" spans="1:5" x14ac:dyDescent="0.25">
      <c r="A46069" t="str">
        <f>HYPERLINK("https://www.773grp.com/globalSearch/QL12X16B-1CG84I  WIP/page-1", "QL12X16B-1CG84I  WIP")</f>
        <v>QL12X16B-1CG84I  WIP</v>
      </c>
      <c r="B46069" s="3" t="str">
        <f>HYPERLINK("https://www.773grp.com/manufacturer/onsemi?pageNo=615", "ON Semiconductor")</f>
        <v>ON Semiconductor</v>
      </c>
      <c r="C46069" s="6">
        <v>322</v>
      </c>
      <c r="D46069" s="7">
        <v>401.58</v>
      </c>
    </row>
    <row r="46070" spans="1:5" x14ac:dyDescent="0.25">
      <c r="A46070" t="str">
        <f>HYPERLINK("https://www.773grp.com/globalSearch/QL12X16B-2CG84I  WIP/page-1", "QL12X16B-2CG84I  WIP")</f>
        <v>QL12X16B-2CG84I  WIP</v>
      </c>
      <c r="B46070" s="3" t="str">
        <f>HYPERLINK("https://www.773grp.com/manufacturer/onsemi?pageNo=616", "ON Semiconductor")</f>
        <v>ON Semiconductor</v>
      </c>
      <c r="C46070" s="6">
        <v>233</v>
      </c>
      <c r="D46070" s="7">
        <v>401.58</v>
      </c>
    </row>
    <row r="46071" spans="1:5" x14ac:dyDescent="0.25">
      <c r="A46071" t="str">
        <f>HYPERLINK("https://www.773grp.com/globalSearch/5991ZQ-QS5991-7JRIZQ/page-1", "5991ZQ-QS5991-7JRIZQ")</f>
        <v>5991ZQ-QS5991-7JRIZQ</v>
      </c>
      <c r="B46071" s="3" t="str">
        <f>HYPERLINK("https://www.773grp.com/manufacturer/onsemi?pageNo=617", "ON Semiconductor")</f>
        <v>ON Semiconductor</v>
      </c>
      <c r="C46071" s="6">
        <v>81</v>
      </c>
      <c r="D46071" s="7">
        <v>0</v>
      </c>
    </row>
    <row r="46072" spans="1:5" x14ac:dyDescent="0.25">
      <c r="A46072" t="str">
        <f>HYPERLINK("https://www.773grp.com/globalSearch/5992ZQ-QS5992-2JRCZQ/page-1", "5992ZQ-QS5992-2JRCZQ")</f>
        <v>5992ZQ-QS5992-2JRCZQ</v>
      </c>
      <c r="B46072" s="3" t="str">
        <f>HYPERLINK("https://www.773grp.com/manufacturer/onsemi?pageNo=618", "ON Semiconductor")</f>
        <v>ON Semiconductor</v>
      </c>
      <c r="C46072" s="6">
        <v>2202</v>
      </c>
      <c r="D46072" s="7">
        <v>0</v>
      </c>
    </row>
    <row r="46073" spans="1:5" x14ac:dyDescent="0.25">
      <c r="A46073" t="str">
        <f>HYPERLINK("https://www.773grp.com/globalSearch/QS3383PM/page-1", "QS3383PM")</f>
        <v>QS3383PM</v>
      </c>
      <c r="B46073" s="3" t="str">
        <f>HYPERLINK("https://www.773grp.com/manufacturer/onsemi?pageNo=619", "ON Semiconductor")</f>
        <v>ON Semiconductor</v>
      </c>
      <c r="C46073" s="6">
        <v>117</v>
      </c>
      <c r="D46073" s="7">
        <v>0</v>
      </c>
      <c r="E46073" t="s">
        <v>14</v>
      </c>
    </row>
    <row r="46074" spans="1:5" x14ac:dyDescent="0.25">
      <c r="A46074" t="str">
        <f>HYPERLINK("https://www.773grp.com/globalSearch/QS54FCT2574ATDB/page-1", "QS54FCT2574ATDB")</f>
        <v>QS54FCT2574ATDB</v>
      </c>
      <c r="B46074" s="3" t="str">
        <f>HYPERLINK("https://www.773grp.com/manufacturer/onsemi?pageNo=620", "ON Semiconductor")</f>
        <v>ON Semiconductor</v>
      </c>
      <c r="C46074" s="6">
        <v>429</v>
      </c>
      <c r="D46074" s="7">
        <v>0</v>
      </c>
      <c r="E46074" t="s">
        <v>14</v>
      </c>
    </row>
    <row r="46075" spans="1:5" x14ac:dyDescent="0.25">
      <c r="A46075" t="str">
        <f>HYPERLINK("https://www.773grp.com/globalSearch/QS54FCT541TQ/page-1", "QS54FCT541TQ")</f>
        <v>QS54FCT541TQ</v>
      </c>
      <c r="B46075" s="3" t="str">
        <f>HYPERLINK("https://www.773grp.com/manufacturer/onsemi?pageNo=621", "ON Semiconductor")</f>
        <v>ON Semiconductor</v>
      </c>
      <c r="C46075" s="6">
        <v>1272</v>
      </c>
      <c r="D46075" s="7">
        <v>0</v>
      </c>
      <c r="E46075" t="s">
        <v>14</v>
      </c>
    </row>
    <row r="46076" spans="1:5" x14ac:dyDescent="0.25">
      <c r="A46076" t="str">
        <f>HYPERLINK("https://www.773grp.com/globalSearch/QS54FCT574CTSO/page-1", "QS54FCT574CTSO")</f>
        <v>QS54FCT574CTSO</v>
      </c>
      <c r="B46076" s="3" t="str">
        <f>HYPERLINK("https://www.773grp.com/manufacturer/onsemi?pageNo=622", "ON Semiconductor")</f>
        <v>ON Semiconductor</v>
      </c>
      <c r="C46076" s="6">
        <v>142</v>
      </c>
      <c r="D46076" s="7">
        <v>0</v>
      </c>
      <c r="E46076" t="s">
        <v>14</v>
      </c>
    </row>
    <row r="46077" spans="1:5" x14ac:dyDescent="0.25">
      <c r="A46077" t="str">
        <f>HYPERLINK("https://www.773grp.com/globalSearch/QS7201-80JRM/page-1", "QS7201-80JRM")</f>
        <v>QS7201-80JRM</v>
      </c>
      <c r="B46077" s="3" t="str">
        <f>HYPERLINK("https://www.773grp.com/manufacturer/onsemi?pageNo=623", "ON Semiconductor")</f>
        <v>ON Semiconductor</v>
      </c>
      <c r="C46077" s="6">
        <v>202</v>
      </c>
      <c r="D46077" s="7">
        <v>0</v>
      </c>
    </row>
    <row r="46078" spans="1:5" x14ac:dyDescent="0.25">
      <c r="A46078" t="str">
        <f>HYPERLINK("https://www.773grp.com/globalSearch/QS7202-20JRM/page-1", "QS7202-20JRM")</f>
        <v>QS7202-20JRM</v>
      </c>
      <c r="B46078" s="3" t="str">
        <f>HYPERLINK("https://www.773grp.com/manufacturer/onsemi?pageNo=624", "ON Semiconductor")</f>
        <v>ON Semiconductor</v>
      </c>
      <c r="C46078" s="6">
        <v>154</v>
      </c>
      <c r="D46078" s="7">
        <v>0</v>
      </c>
    </row>
    <row r="46079" spans="1:5" x14ac:dyDescent="0.25">
      <c r="A46079" t="str">
        <f>HYPERLINK("https://www.773grp.com/globalSearch/QS7203-12JR/page-1", "QS7203-12JR")</f>
        <v>QS7203-12JR</v>
      </c>
      <c r="B46079" s="3" t="str">
        <f>HYPERLINK("https://www.773grp.com/manufacturer/onsemi?pageNo=625", "ON Semiconductor")</f>
        <v>ON Semiconductor</v>
      </c>
      <c r="C46079" s="6">
        <v>558</v>
      </c>
      <c r="D46079" s="7">
        <v>0</v>
      </c>
      <c r="E46079" t="s">
        <v>89</v>
      </c>
    </row>
    <row r="46080" spans="1:5" x14ac:dyDescent="0.25">
      <c r="A46080" t="str">
        <f>HYPERLINK("https://www.773grp.com/globalSearch/QS7206A-35J/page-1", "QS7206A-35J")</f>
        <v>QS7206A-35J</v>
      </c>
      <c r="B46080" s="3" t="str">
        <f>HYPERLINK("https://www.773grp.com/manufacturer/onsemi?pageNo=626", "ON Semiconductor")</f>
        <v>ON Semiconductor</v>
      </c>
      <c r="C46080" s="6">
        <v>3</v>
      </c>
      <c r="D46080" s="7">
        <v>0</v>
      </c>
    </row>
    <row r="46081" spans="1:5" x14ac:dyDescent="0.25">
      <c r="A46081" t="str">
        <f>HYPERLINK("https://www.773grp.com/globalSearch/QS7224-30P/page-1", "QS7224-30P")</f>
        <v>QS7224-30P</v>
      </c>
      <c r="B46081" s="3" t="str">
        <f>HYPERLINK("https://www.773grp.com/manufacturer/onsemi?pageNo=627", "ON Semiconductor")</f>
        <v>ON Semiconductor</v>
      </c>
      <c r="C46081" s="6">
        <v>276</v>
      </c>
      <c r="D46081" s="7">
        <v>0</v>
      </c>
      <c r="E46081" t="s">
        <v>89</v>
      </c>
    </row>
    <row r="46082" spans="1:5" x14ac:dyDescent="0.25">
      <c r="A46082" t="str">
        <f>HYPERLINK("https://www.773grp.com/globalSearch/QS74FCT16245ATQ1/page-1", "QS74FCT16245ATQ1")</f>
        <v>QS74FCT16245ATQ1</v>
      </c>
      <c r="B46082" s="3" t="str">
        <f>HYPERLINK("https://www.773grp.com/manufacturer/onsemi?pageNo=628", "ON Semiconductor")</f>
        <v>ON Semiconductor</v>
      </c>
      <c r="C46082" s="6">
        <v>6938</v>
      </c>
      <c r="D46082" s="7">
        <v>0</v>
      </c>
      <c r="E46082" t="s">
        <v>14</v>
      </c>
    </row>
    <row r="46083" spans="1:5" x14ac:dyDescent="0.25">
      <c r="A46083" t="str">
        <f>HYPERLINK("https://www.773grp.com/globalSearch/QS74FCT162543TPA/page-1", "QS74FCT162543TPA")</f>
        <v>QS74FCT162543TPA</v>
      </c>
      <c r="B46083" s="3" t="str">
        <f>HYPERLINK("https://www.773grp.com/manufacturer/onsemi?pageNo=629", "ON Semiconductor")</f>
        <v>ON Semiconductor</v>
      </c>
      <c r="C46083" s="6">
        <v>3748</v>
      </c>
      <c r="D46083" s="7">
        <v>0</v>
      </c>
      <c r="E46083" t="s">
        <v>14</v>
      </c>
    </row>
    <row r="46084" spans="1:5" x14ac:dyDescent="0.25">
      <c r="A46084" t="str">
        <f>HYPERLINK("https://www.773grp.com/globalSearch/QS74FCT1637ATPV/page-1", "QS74FCT1637ATPV")</f>
        <v>QS74FCT1637ATPV</v>
      </c>
      <c r="B46084" s="3" t="str">
        <f>HYPERLINK("https://www.773grp.com/manufacturer/onsemi?pageNo=630", "ON Semiconductor")</f>
        <v>ON Semiconductor</v>
      </c>
      <c r="C46084" s="6">
        <v>190</v>
      </c>
      <c r="D46084" s="7">
        <v>0</v>
      </c>
    </row>
    <row r="46085" spans="1:5" x14ac:dyDescent="0.25">
      <c r="A46085" t="str">
        <f>HYPERLINK("https://www.773grp.com/globalSearch/QS74FCT163CTQX/page-1", "QS74FCT163CTQX")</f>
        <v>QS74FCT163CTQX</v>
      </c>
      <c r="B46085" s="3" t="str">
        <f>HYPERLINK("https://www.773grp.com/manufacturer/onsemi?pageNo=631", "ON Semiconductor")</f>
        <v>ON Semiconductor</v>
      </c>
      <c r="C46085" s="6">
        <v>2500</v>
      </c>
      <c r="D46085" s="7">
        <v>0</v>
      </c>
    </row>
    <row r="46086" spans="1:5" x14ac:dyDescent="0.25">
      <c r="A46086" t="str">
        <f>HYPERLINK("https://www.773grp.com/globalSearch/QS74FCT191TIX/page-1", "QS74FCT191TIX")</f>
        <v>QS74FCT191TIX</v>
      </c>
      <c r="B46086" s="3" t="str">
        <f>HYPERLINK("https://www.773grp.com/manufacturer/onsemi?pageNo=632", "ON Semiconductor")</f>
        <v>ON Semiconductor</v>
      </c>
      <c r="C46086" s="6">
        <v>2500</v>
      </c>
      <c r="D46086" s="7">
        <v>0</v>
      </c>
    </row>
    <row r="46087" spans="1:5" x14ac:dyDescent="0.25">
      <c r="A46087" t="str">
        <f>HYPERLINK("https://www.773grp.com/globalSearch/QS74FCT245ATSOX/page-1", "QS74FCT245ATSOX")</f>
        <v>QS74FCT245ATSOX</v>
      </c>
      <c r="B46087" s="3" t="str">
        <f>HYPERLINK("https://www.773grp.com/manufacturer/onsemi?pageNo=633", "ON Semiconductor")</f>
        <v>ON Semiconductor</v>
      </c>
      <c r="C46087" s="6">
        <v>10000</v>
      </c>
      <c r="D46087" s="7">
        <v>0</v>
      </c>
    </row>
    <row r="46088" spans="1:5" x14ac:dyDescent="0.25">
      <c r="A46088" t="str">
        <f>HYPERLINK("https://www.773grp.com/globalSearch/QS74FCT2540DTQ-S247/page-1", "QS74FCT2540DTQ-S247")</f>
        <v>QS74FCT2540DTQ-S247</v>
      </c>
      <c r="B46088" s="3" t="str">
        <f>HYPERLINK("https://www.773grp.com/manufacturer/onsemi?pageNo=634", "ON Semiconductor")</f>
        <v>ON Semiconductor</v>
      </c>
      <c r="C46088" s="6">
        <v>485</v>
      </c>
      <c r="D46088" s="7">
        <v>0</v>
      </c>
    </row>
    <row r="46089" spans="1:5" x14ac:dyDescent="0.25">
      <c r="A46089" t="str">
        <f>HYPERLINK("https://www.773grp.com/globalSearch/QS74FCT273DTSO/page-1", "QS74FCT273DTSO")</f>
        <v>QS74FCT273DTSO</v>
      </c>
      <c r="B46089" s="3" t="str">
        <f>HYPERLINK("https://www.773grp.com/manufacturer/onsemi?pageNo=635", "ON Semiconductor")</f>
        <v>ON Semiconductor</v>
      </c>
      <c r="C46089" s="6">
        <v>72</v>
      </c>
      <c r="D46089" s="7">
        <v>0</v>
      </c>
      <c r="E46089" t="s">
        <v>35</v>
      </c>
    </row>
    <row r="46090" spans="1:5" x14ac:dyDescent="0.25">
      <c r="A46090" t="str">
        <f>HYPERLINK("https://www.773grp.com/globalSearch/QS74FCT2827ATQ/page-1", "QS74FCT2827ATQ")</f>
        <v>QS74FCT2827ATQ</v>
      </c>
      <c r="B46090" s="3" t="str">
        <f>HYPERLINK("https://www.773grp.com/manufacturer/onsemi?pageNo=636", "ON Semiconductor")</f>
        <v>ON Semiconductor</v>
      </c>
      <c r="C46090" s="6">
        <v>20</v>
      </c>
      <c r="D46090" s="7">
        <v>0</v>
      </c>
      <c r="E46090" t="s">
        <v>14</v>
      </c>
    </row>
    <row r="46091" spans="1:5" x14ac:dyDescent="0.25">
      <c r="A46091" t="str">
        <f>HYPERLINK("https://www.773grp.com/globalSearch/QS74FCT2843BTZ/page-1", "QS74FCT2843BTZ")</f>
        <v>QS74FCT2843BTZ</v>
      </c>
      <c r="B46091" s="3" t="str">
        <f>HYPERLINK("https://www.773grp.com/manufacturer/onsemi?pageNo=637", "ON Semiconductor")</f>
        <v>ON Semiconductor</v>
      </c>
      <c r="C46091" s="6">
        <v>568</v>
      </c>
      <c r="D46091" s="7">
        <v>0</v>
      </c>
      <c r="E46091" t="s">
        <v>14</v>
      </c>
    </row>
    <row r="46092" spans="1:5" x14ac:dyDescent="0.25">
      <c r="A46092" t="str">
        <f>HYPERLINK("https://www.773grp.com/globalSearch/QS74FCT2X2646CTQ1/page-1", "QS74FCT2X2646CTQ1")</f>
        <v>QS74FCT2X2646CTQ1</v>
      </c>
      <c r="B46092" s="3" t="str">
        <f>HYPERLINK("https://www.773grp.com/manufacturer/onsemi?pageNo=638", "ON Semiconductor")</f>
        <v>ON Semiconductor</v>
      </c>
      <c r="C46092" s="6">
        <v>106</v>
      </c>
      <c r="D46092" s="7">
        <v>0</v>
      </c>
    </row>
    <row r="46093" spans="1:5" x14ac:dyDescent="0.25">
      <c r="A46093" t="str">
        <f>HYPERLINK("https://www.773grp.com/globalSearch/QS74FCT2X646CTQ1/page-1", "QS74FCT2X646CTQ1")</f>
        <v>QS74FCT2X646CTQ1</v>
      </c>
      <c r="B46093" s="3" t="str">
        <f>HYPERLINK("https://www.773grp.com/manufacturer/onsemi?pageNo=639", "ON Semiconductor")</f>
        <v>ON Semiconductor</v>
      </c>
      <c r="C46093" s="6">
        <v>168</v>
      </c>
      <c r="D46093" s="7">
        <v>0</v>
      </c>
      <c r="E46093" t="s">
        <v>14</v>
      </c>
    </row>
    <row r="46094" spans="1:5" x14ac:dyDescent="0.25">
      <c r="A46094" t="str">
        <f>HYPERLINK("https://www.773grp.com/globalSearch/QS74FCT521ATQ/page-1", "QS74FCT521ATQ")</f>
        <v>QS74FCT521ATQ</v>
      </c>
      <c r="B46094" s="3" t="str">
        <f>HYPERLINK("https://www.773grp.com/manufacturer/onsemi?pageNo=640", "ON Semiconductor")</f>
        <v>ON Semiconductor</v>
      </c>
      <c r="C46094" s="6">
        <v>239</v>
      </c>
      <c r="D46094" s="7">
        <v>0</v>
      </c>
      <c r="E46094" t="s">
        <v>43</v>
      </c>
    </row>
    <row r="46095" spans="1:5" x14ac:dyDescent="0.25">
      <c r="A46095" t="str">
        <f>HYPERLINK("https://www.773grp.com/globalSearch/QS74FCT540DTQ/page-1", "QS74FCT540DTQ")</f>
        <v>QS74FCT540DTQ</v>
      </c>
      <c r="B46095" s="3" t="str">
        <f>HYPERLINK("https://www.773grp.com/manufacturer/onsemi?pageNo=641", "ON Semiconductor")</f>
        <v>ON Semiconductor</v>
      </c>
      <c r="C46095" s="6">
        <v>2660</v>
      </c>
      <c r="D46095" s="7">
        <v>0</v>
      </c>
      <c r="E46095" t="s">
        <v>14</v>
      </c>
    </row>
    <row r="46096" spans="1:5" x14ac:dyDescent="0.25">
      <c r="A46096" t="str">
        <f>HYPERLINK("https://www.773grp.com/globalSearch/QS74FCT845ATP/page-1", "QS74FCT845ATP")</f>
        <v>QS74FCT845ATP</v>
      </c>
      <c r="B46096" s="3" t="str">
        <f>HYPERLINK("https://www.773grp.com/manufacturer/onsemi?pageNo=642", "ON Semiconductor")</f>
        <v>ON Semiconductor</v>
      </c>
      <c r="C46096" s="6">
        <v>1618</v>
      </c>
      <c r="D46096" s="7">
        <v>0</v>
      </c>
      <c r="E46096" t="s">
        <v>14</v>
      </c>
    </row>
    <row r="46097" spans="1:5" x14ac:dyDescent="0.25">
      <c r="A46097" t="str">
        <f>HYPERLINK("https://www.773grp.com/globalSearch/42244ZQ/page-1", "42244ZQ")</f>
        <v>42244ZQ</v>
      </c>
      <c r="B46097" s="3" t="str">
        <f>HYPERLINK("https://www.773grp.com/manufacturer/onsemi?pageNo=643", "ON Semiconductor")</f>
        <v>ON Semiconductor</v>
      </c>
      <c r="C46097" s="6">
        <v>11670</v>
      </c>
      <c r="D46097" s="7">
        <v>2.9</v>
      </c>
    </row>
    <row r="46098" spans="1:5" x14ac:dyDescent="0.25">
      <c r="A46098" t="str">
        <f>HYPERLINK("https://www.773grp.com/globalSearch/42373ZQ/page-1", "42373ZQ")</f>
        <v>42373ZQ</v>
      </c>
      <c r="B46098" s="3" t="str">
        <f>HYPERLINK("https://www.773grp.com/manufacturer/onsemi?pageNo=644", "ON Semiconductor")</f>
        <v>ON Semiconductor</v>
      </c>
      <c r="C46098" s="6">
        <v>5204</v>
      </c>
      <c r="D46098" s="7">
        <v>2.9</v>
      </c>
    </row>
    <row r="46099" spans="1:5" x14ac:dyDescent="0.25">
      <c r="A46099" t="str">
        <f>HYPERLINK("https://www.773grp.com/globalSearch/QS74FCT821ATSO/page-1", "QS74FCT821ATSO")</f>
        <v>QS74FCT821ATSO</v>
      </c>
      <c r="B46099" s="3" t="str">
        <f>HYPERLINK("https://www.773grp.com/manufacturer/onsemi?pageNo=645", "ON Semiconductor")</f>
        <v>ON Semiconductor</v>
      </c>
      <c r="C46099" s="6">
        <v>646</v>
      </c>
      <c r="D46099" s="7">
        <v>2.9</v>
      </c>
      <c r="E46099" t="s">
        <v>14</v>
      </c>
    </row>
    <row r="46100" spans="1:5" x14ac:dyDescent="0.25">
      <c r="A46100" t="str">
        <f>HYPERLINK("https://www.773grp.com/globalSearch/QS74FCT2157ATP/page-1", "QS74FCT2157ATP")</f>
        <v>QS74FCT2157ATP</v>
      </c>
      <c r="B46100" s="3" t="str">
        <f>HYPERLINK("https://www.773grp.com/manufacturer/onsemi?pageNo=646", "ON Semiconductor")</f>
        <v>ON Semiconductor</v>
      </c>
      <c r="C46100" s="6">
        <v>739</v>
      </c>
      <c r="D46100" s="7">
        <v>2.81</v>
      </c>
      <c r="E46100" t="s">
        <v>20</v>
      </c>
    </row>
    <row r="46101" spans="1:5" x14ac:dyDescent="0.25">
      <c r="A46101" t="str">
        <f>HYPERLINK("https://www.773grp.com/globalSearch/QS74FCT2240CTSO/page-1", "QS74FCT2240CTSO")</f>
        <v>QS74FCT2240CTSO</v>
      </c>
      <c r="B46101" s="3" t="str">
        <f>HYPERLINK("https://www.773grp.com/manufacturer/onsemi?pageNo=647", "ON Semiconductor")</f>
        <v>ON Semiconductor</v>
      </c>
      <c r="C46101" s="6">
        <v>310</v>
      </c>
      <c r="D46101" s="7">
        <v>2.9</v>
      </c>
      <c r="E46101" t="s">
        <v>14</v>
      </c>
    </row>
    <row r="46102" spans="1:5" x14ac:dyDescent="0.25">
      <c r="A46102" t="str">
        <f>HYPERLINK("https://www.773grp.com/globalSearch/QS74FCT2534TS0/page-1", "QS74FCT2534TS0")</f>
        <v>QS74FCT2534TS0</v>
      </c>
      <c r="B46102" s="3" t="str">
        <f>HYPERLINK("https://www.773grp.com/manufacturer/onsemi?pageNo=648", "ON Semiconductor")</f>
        <v>ON Semiconductor</v>
      </c>
      <c r="C46102" s="6">
        <v>2108</v>
      </c>
      <c r="D46102" s="7">
        <v>2.9</v>
      </c>
    </row>
    <row r="46103" spans="1:5" x14ac:dyDescent="0.25">
      <c r="A46103" t="str">
        <f>HYPERLINK("https://www.773grp.com/globalSearch/QS74FCT2652ATS0/page-1", "QS74FCT2652ATS0")</f>
        <v>QS74FCT2652ATS0</v>
      </c>
      <c r="B46103" s="3" t="str">
        <f>HYPERLINK("https://www.773grp.com/manufacturer/onsemi?pageNo=649", "ON Semiconductor")</f>
        <v>ON Semiconductor</v>
      </c>
      <c r="C46103" s="6">
        <v>2880</v>
      </c>
      <c r="D46103" s="7">
        <v>2.9</v>
      </c>
    </row>
    <row r="46104" spans="1:5" x14ac:dyDescent="0.25">
      <c r="A46104" t="str">
        <f>HYPERLINK("https://www.773grp.com/globalSearch/QS74FCT2652ATS0X/page-1", "QS74FCT2652ATS0X")</f>
        <v>QS74FCT2652ATS0X</v>
      </c>
      <c r="B46104" s="3" t="str">
        <f>HYPERLINK("https://www.773grp.com/manufacturer/onsemi?pageNo=650", "ON Semiconductor")</f>
        <v>ON Semiconductor</v>
      </c>
      <c r="C46104" s="6">
        <v>1000</v>
      </c>
      <c r="D46104" s="7">
        <v>2.9</v>
      </c>
    </row>
    <row r="46105" spans="1:5" x14ac:dyDescent="0.25">
      <c r="A46105" t="str">
        <f>HYPERLINK("https://www.773grp.com/globalSearch/QS74FCT543ATSO/page-1", "QS74FCT543ATSO")</f>
        <v>QS74FCT543ATSO</v>
      </c>
      <c r="B46105" s="3" t="str">
        <f>HYPERLINK("https://www.773grp.com/manufacturer/onsemi?pageNo=651", "ON Semiconductor")</f>
        <v>ON Semiconductor</v>
      </c>
      <c r="C46105" s="6">
        <v>3680</v>
      </c>
      <c r="D46105" s="7">
        <v>2.9</v>
      </c>
      <c r="E46105" t="s">
        <v>14</v>
      </c>
    </row>
    <row r="46106" spans="1:5" x14ac:dyDescent="0.25">
      <c r="A46106" t="str">
        <f>HYPERLINK("https://www.773grp.com/globalSearch/QS74FCT543TS0/page-1", "QS74FCT543TS0")</f>
        <v>QS74FCT543TS0</v>
      </c>
      <c r="B46106" s="3" t="str">
        <f>HYPERLINK("https://www.773grp.com/manufacturer/onsemi?pageNo=652", "ON Semiconductor")</f>
        <v>ON Semiconductor</v>
      </c>
      <c r="C46106" s="6">
        <v>3000</v>
      </c>
      <c r="D46106" s="7">
        <v>2.9</v>
      </c>
    </row>
    <row r="46107" spans="1:5" x14ac:dyDescent="0.25">
      <c r="A46107" t="str">
        <f>HYPERLINK("https://www.773grp.com/globalSearch/QS74FCT825BTQ/page-1", "QS74FCT825BTQ")</f>
        <v>QS74FCT825BTQ</v>
      </c>
      <c r="B46107" s="3" t="str">
        <f>HYPERLINK("https://www.773grp.com/manufacturer/onsemi?pageNo=653", "ON Semiconductor")</f>
        <v>ON Semiconductor</v>
      </c>
      <c r="C46107" s="6">
        <v>14719</v>
      </c>
      <c r="D46107" s="7">
        <v>2.9</v>
      </c>
      <c r="E46107" t="s">
        <v>14</v>
      </c>
    </row>
    <row r="46108" spans="1:5" x14ac:dyDescent="0.25">
      <c r="A46108" t="str">
        <f>HYPERLINK("https://www.773grp.com/globalSearch/QS74FCT841ATP/page-1", "QS74FCT841ATP")</f>
        <v>QS74FCT841ATP</v>
      </c>
      <c r="B46108" s="3" t="str">
        <f>HYPERLINK("https://www.773grp.com/manufacturer/onsemi?pageNo=654", "ON Semiconductor")</f>
        <v>ON Semiconductor</v>
      </c>
      <c r="C46108" s="6">
        <v>1892</v>
      </c>
      <c r="D46108" s="7">
        <v>2.9</v>
      </c>
      <c r="E46108" t="s">
        <v>14</v>
      </c>
    </row>
    <row r="46109" spans="1:5" x14ac:dyDescent="0.25">
      <c r="A46109" t="str">
        <f>HYPERLINK("https://www.773grp.com/globalSearch/QS54FCT2244ATSO/page-1", "QS54FCT2244ATSO")</f>
        <v>QS54FCT2244ATSO</v>
      </c>
      <c r="B46109" s="3" t="str">
        <f>HYPERLINK("https://www.773grp.com/manufacturer/onsemi?pageNo=655", "ON Semiconductor")</f>
        <v>ON Semiconductor</v>
      </c>
      <c r="C46109" s="6">
        <v>65</v>
      </c>
      <c r="D46109" s="7">
        <v>2.93</v>
      </c>
      <c r="E46109" t="s">
        <v>14</v>
      </c>
    </row>
    <row r="46110" spans="1:5" x14ac:dyDescent="0.25">
      <c r="A46110" t="str">
        <f>HYPERLINK("https://www.773grp.com/globalSearch/QS54FCT245ATSO/page-1", "QS54FCT245ATSO")</f>
        <v>QS54FCT245ATSO</v>
      </c>
      <c r="B46110" s="3" t="str">
        <f>HYPERLINK("https://www.773grp.com/manufacturer/onsemi?pageNo=656", "ON Semiconductor")</f>
        <v>ON Semiconductor</v>
      </c>
      <c r="C46110" s="6">
        <v>61</v>
      </c>
      <c r="D46110" s="7">
        <v>2.93</v>
      </c>
      <c r="E46110" t="s">
        <v>14</v>
      </c>
    </row>
    <row r="46111" spans="1:5" x14ac:dyDescent="0.25">
      <c r="A46111" t="str">
        <f>HYPERLINK("https://www.773grp.com/globalSearch/QS54FCT245TQ/page-1", "QS54FCT245TQ")</f>
        <v>QS54FCT245TQ</v>
      </c>
      <c r="B46111" s="3" t="str">
        <f>HYPERLINK("https://www.773grp.com/manufacturer/onsemi?pageNo=657", "ON Semiconductor")</f>
        <v>ON Semiconductor</v>
      </c>
      <c r="C46111" s="6">
        <v>396</v>
      </c>
      <c r="D46111" s="7">
        <v>2.93</v>
      </c>
      <c r="E46111" t="s">
        <v>14</v>
      </c>
    </row>
    <row r="46112" spans="1:5" x14ac:dyDescent="0.25">
      <c r="A46112" t="str">
        <f>HYPERLINK("https://www.773grp.com/globalSearch/QS74FCT2377TSO/page-1", "QS74FCT2377TSO")</f>
        <v>QS74FCT2377TSO</v>
      </c>
      <c r="B46112" s="3" t="str">
        <f>HYPERLINK("https://www.773grp.com/manufacturer/onsemi?pageNo=658", "ON Semiconductor")</f>
        <v>ON Semiconductor</v>
      </c>
      <c r="C46112" s="6">
        <v>764</v>
      </c>
      <c r="D46112" s="7">
        <v>2.93</v>
      </c>
      <c r="E46112" t="s">
        <v>35</v>
      </c>
    </row>
    <row r="46113" spans="1:5" x14ac:dyDescent="0.25">
      <c r="A46113" t="str">
        <f>HYPERLINK("https://www.773grp.com/globalSearch/QS74FCT3573SO/page-1", "QS74FCT3573SO")</f>
        <v>QS74FCT3573SO</v>
      </c>
      <c r="B46113" s="3" t="str">
        <f>HYPERLINK("https://www.773grp.com/manufacturer/onsemi?pageNo=659", "ON Semiconductor")</f>
        <v>ON Semiconductor</v>
      </c>
      <c r="C46113" s="6">
        <v>476535</v>
      </c>
      <c r="D46113" s="7">
        <v>2.93</v>
      </c>
      <c r="E46113" t="s">
        <v>14</v>
      </c>
    </row>
    <row r="46114" spans="1:5" x14ac:dyDescent="0.25">
      <c r="A46114" t="str">
        <f>HYPERLINK("https://www.773grp.com/globalSearch/QS74FCT573TSOX/page-1", "QS74FCT573TSOX")</f>
        <v>QS74FCT573TSOX</v>
      </c>
      <c r="B46114" s="3" t="str">
        <f>HYPERLINK("https://www.773grp.com/manufacturer/onsemi?pageNo=660", "ON Semiconductor")</f>
        <v>ON Semiconductor</v>
      </c>
      <c r="C46114" s="6">
        <v>18000</v>
      </c>
      <c r="D46114" s="7">
        <v>2.93</v>
      </c>
    </row>
    <row r="46115" spans="1:5" x14ac:dyDescent="0.25">
      <c r="A46115" t="str">
        <f>HYPERLINK("https://www.773grp.com/globalSearch/QS74FCT2540TQ/page-1", "QS74FCT2540TQ")</f>
        <v>QS74FCT2540TQ</v>
      </c>
      <c r="B46115" s="3" t="str">
        <f>HYPERLINK("https://www.773grp.com/manufacturer/onsemi?pageNo=661", "ON Semiconductor")</f>
        <v>ON Semiconductor</v>
      </c>
      <c r="C46115" s="6">
        <v>285</v>
      </c>
      <c r="D46115" s="7">
        <v>2.99</v>
      </c>
      <c r="E46115" t="s">
        <v>14</v>
      </c>
    </row>
    <row r="46116" spans="1:5" x14ac:dyDescent="0.25">
      <c r="A46116" t="str">
        <f>HYPERLINK("https://www.773grp.com/globalSearch/QS74FCT2543ATSOX/page-1", "QS74FCT2543ATSOX")</f>
        <v>QS74FCT2543ATSOX</v>
      </c>
      <c r="B46116" s="3" t="str">
        <f>HYPERLINK("https://www.773grp.com/manufacturer/onsemi?pageNo=662", "ON Semiconductor")</f>
        <v>ON Semiconductor</v>
      </c>
      <c r="C46116" s="6">
        <v>2000</v>
      </c>
      <c r="D46116" s="7">
        <v>3.04</v>
      </c>
    </row>
    <row r="46117" spans="1:5" x14ac:dyDescent="0.25">
      <c r="A46117" t="str">
        <f>HYPERLINK("https://www.773grp.com/globalSearch/QS74FCT652TSOX/page-1", "QS74FCT652TSOX")</f>
        <v>QS74FCT652TSOX</v>
      </c>
      <c r="B46117" s="3" t="str">
        <f>HYPERLINK("https://www.773grp.com/manufacturer/onsemi?pageNo=663", "ON Semiconductor")</f>
        <v>ON Semiconductor</v>
      </c>
      <c r="C46117" s="6">
        <v>23000</v>
      </c>
      <c r="D46117" s="7">
        <v>3.04</v>
      </c>
    </row>
    <row r="46118" spans="1:5" x14ac:dyDescent="0.25">
      <c r="A46118" t="str">
        <f>HYPERLINK("https://www.773grp.com/globalSearch/QS74FCT2241ATP/page-1", "QS74FCT2241ATP")</f>
        <v>QS74FCT2241ATP</v>
      </c>
      <c r="B46118" s="3" t="str">
        <f>HYPERLINK("https://www.773grp.com/manufacturer/onsemi?pageNo=664", "ON Semiconductor")</f>
        <v>ON Semiconductor</v>
      </c>
      <c r="C46118" s="6">
        <v>36</v>
      </c>
      <c r="D46118" s="7">
        <v>3.43</v>
      </c>
      <c r="E46118" t="s">
        <v>14</v>
      </c>
    </row>
    <row r="46119" spans="1:5" x14ac:dyDescent="0.25">
      <c r="A46119" t="str">
        <f>HYPERLINK("https://www.773grp.com/globalSearch/QS74FCT2241CTP/page-1", "QS74FCT2241CTP")</f>
        <v>QS74FCT2241CTP</v>
      </c>
      <c r="B46119" s="3" t="str">
        <f>HYPERLINK("https://www.773grp.com/manufacturer/onsemi?pageNo=665", "ON Semiconductor")</f>
        <v>ON Semiconductor</v>
      </c>
      <c r="C46119" s="6">
        <v>43</v>
      </c>
      <c r="D46119" s="7">
        <v>3.43</v>
      </c>
      <c r="E46119" t="s">
        <v>14</v>
      </c>
    </row>
    <row r="46120" spans="1:5" x14ac:dyDescent="0.25">
      <c r="A46120" t="str">
        <f>HYPERLINK("https://www.773grp.com/globalSearch/QS3389SO/page-1", "QS3389SO")</f>
        <v>QS3389SO</v>
      </c>
      <c r="B46120" s="3" t="str">
        <f>HYPERLINK("https://www.773grp.com/manufacturer/onsemi?pageNo=666", "ON Semiconductor")</f>
        <v>ON Semiconductor</v>
      </c>
      <c r="C46120" s="6">
        <v>3958</v>
      </c>
      <c r="D46120" s="7">
        <v>3.09</v>
      </c>
      <c r="E46120" t="s">
        <v>24</v>
      </c>
    </row>
    <row r="46121" spans="1:5" x14ac:dyDescent="0.25">
      <c r="A46121" t="str">
        <f>HYPERLINK("https://www.773grp.com/globalSearch/QS29FCT52ATS0/page-1", "QS29FCT52ATS0")</f>
        <v>QS29FCT52ATS0</v>
      </c>
      <c r="B46121" s="3" t="str">
        <f>HYPERLINK("https://www.773grp.com/manufacturer/onsemi?pageNo=667", "ON Semiconductor")</f>
        <v>ON Semiconductor</v>
      </c>
      <c r="C46121" s="6">
        <v>155</v>
      </c>
      <c r="D46121" s="7">
        <v>3.13</v>
      </c>
    </row>
    <row r="46122" spans="1:5" x14ac:dyDescent="0.25">
      <c r="A46122" t="str">
        <f>HYPERLINK("https://www.773grp.com/globalSearch/QS29FCT52ATSO/page-1", "QS29FCT52ATSO")</f>
        <v>QS29FCT52ATSO</v>
      </c>
      <c r="B46122" s="3" t="str">
        <f>HYPERLINK("https://www.773grp.com/manufacturer/onsemi?pageNo=668", "ON Semiconductor")</f>
        <v>ON Semiconductor</v>
      </c>
      <c r="C46122" s="6">
        <v>4413</v>
      </c>
      <c r="D46122" s="7">
        <v>3.13</v>
      </c>
      <c r="E46122" t="s">
        <v>14</v>
      </c>
    </row>
    <row r="46123" spans="1:5" x14ac:dyDescent="0.25">
      <c r="A46123" t="str">
        <f>HYPERLINK("https://www.773grp.com/globalSearch/QS29FCT52BTSO/page-1", "QS29FCT52BTSO")</f>
        <v>QS29FCT52BTSO</v>
      </c>
      <c r="B46123" s="3" t="str">
        <f>HYPERLINK("https://www.773grp.com/manufacturer/onsemi?pageNo=669", "ON Semiconductor")</f>
        <v>ON Semiconductor</v>
      </c>
      <c r="C46123" s="6">
        <v>165</v>
      </c>
      <c r="D46123" s="7">
        <v>3.13</v>
      </c>
      <c r="E46123" t="s">
        <v>14</v>
      </c>
    </row>
    <row r="46124" spans="1:5" x14ac:dyDescent="0.25">
      <c r="A46124" t="str">
        <f>HYPERLINK("https://www.773grp.com/globalSearch/QS29FCT53ATSO/page-1", "QS29FCT53ATSO")</f>
        <v>QS29FCT53ATSO</v>
      </c>
      <c r="B46124" s="3" t="str">
        <f>HYPERLINK("https://www.773grp.com/manufacturer/onsemi?pageNo=670", "ON Semiconductor")</f>
        <v>ON Semiconductor</v>
      </c>
      <c r="C46124" s="6">
        <v>662</v>
      </c>
      <c r="D46124" s="7">
        <v>3.13</v>
      </c>
      <c r="E46124" t="s">
        <v>14</v>
      </c>
    </row>
    <row r="46125" spans="1:5" x14ac:dyDescent="0.25">
      <c r="A46125" t="str">
        <f>HYPERLINK("https://www.773grp.com/globalSearch/QS29FCT53BTSO/page-1", "QS29FCT53BTSO")</f>
        <v>QS29FCT53BTSO</v>
      </c>
      <c r="B46125" s="3" t="str">
        <f>HYPERLINK("https://www.773grp.com/manufacturer/onsemi?pageNo=671", "ON Semiconductor")</f>
        <v>ON Semiconductor</v>
      </c>
      <c r="C46125" s="6">
        <v>876</v>
      </c>
      <c r="D46125" s="7">
        <v>3.13</v>
      </c>
      <c r="E46125" t="s">
        <v>14</v>
      </c>
    </row>
    <row r="46126" spans="1:5" x14ac:dyDescent="0.25">
      <c r="A46126" t="str">
        <f>HYPERLINK("https://www.773grp.com/globalSearch/QS74FCT823ATP/page-1", "QS74FCT823ATP")</f>
        <v>QS74FCT823ATP</v>
      </c>
      <c r="B46126" s="3" t="str">
        <f>HYPERLINK("https://www.773grp.com/manufacturer/onsemi?pageNo=672", "ON Semiconductor")</f>
        <v>ON Semiconductor</v>
      </c>
      <c r="C46126" s="6">
        <v>676</v>
      </c>
      <c r="D46126" s="7">
        <v>3.21</v>
      </c>
      <c r="E46126" t="s">
        <v>14</v>
      </c>
    </row>
    <row r="46127" spans="1:5" x14ac:dyDescent="0.25">
      <c r="A46127" t="str">
        <f>HYPERLINK("https://www.773grp.com/globalSearch/QS74FCT151ATS1/page-1", "QS74FCT151ATS1")</f>
        <v>QS74FCT151ATS1</v>
      </c>
      <c r="B46127" s="3" t="str">
        <f>HYPERLINK("https://www.773grp.com/manufacturer/onsemi?pageNo=673", "ON Semiconductor")</f>
        <v>ON Semiconductor</v>
      </c>
      <c r="C46127" s="6">
        <v>253</v>
      </c>
      <c r="D46127" s="7">
        <v>3.24</v>
      </c>
      <c r="E46127" t="s">
        <v>20</v>
      </c>
    </row>
    <row r="46128" spans="1:5" x14ac:dyDescent="0.25">
      <c r="A46128" t="str">
        <f>HYPERLINK("https://www.773grp.com/globalSearch/QS74FCT2151ATS1/page-1", "QS74FCT2151ATS1")</f>
        <v>QS74FCT2151ATS1</v>
      </c>
      <c r="B46128" s="3" t="str">
        <f>HYPERLINK("https://www.773grp.com/manufacturer/onsemi?pageNo=674", "ON Semiconductor")</f>
        <v>ON Semiconductor</v>
      </c>
      <c r="C46128" s="6">
        <v>5702</v>
      </c>
      <c r="D46128" s="7">
        <v>3.24</v>
      </c>
      <c r="E46128" t="s">
        <v>20</v>
      </c>
    </row>
    <row r="46129" spans="1:5" x14ac:dyDescent="0.25">
      <c r="A46129" t="str">
        <f>HYPERLINK("https://www.773grp.com/globalSearch/QS74FCT2153ATS1/page-1", "QS74FCT2153ATS1")</f>
        <v>QS74FCT2153ATS1</v>
      </c>
      <c r="B46129" s="3" t="str">
        <f>HYPERLINK("https://www.773grp.com/manufacturer/onsemi?pageNo=675", "ON Semiconductor")</f>
        <v>ON Semiconductor</v>
      </c>
      <c r="C46129" s="6">
        <v>1019</v>
      </c>
      <c r="D46129" s="7">
        <v>3.24</v>
      </c>
      <c r="E46129" t="s">
        <v>20</v>
      </c>
    </row>
    <row r="46130" spans="1:5" x14ac:dyDescent="0.25">
      <c r="A46130" t="str">
        <f>HYPERLINK("https://www.773grp.com/globalSearch/QS74FCT2153TS1/page-1", "QS74FCT2153TS1")</f>
        <v>QS74FCT2153TS1</v>
      </c>
      <c r="B46130" s="3" t="str">
        <f>HYPERLINK("https://www.773grp.com/manufacturer/onsemi?pageNo=676", "ON Semiconductor")</f>
        <v>ON Semiconductor</v>
      </c>
      <c r="C46130" s="6">
        <v>561</v>
      </c>
      <c r="D46130" s="7">
        <v>3.24</v>
      </c>
      <c r="E46130" t="s">
        <v>20</v>
      </c>
    </row>
    <row r="46131" spans="1:5" x14ac:dyDescent="0.25">
      <c r="A46131" t="str">
        <f>HYPERLINK("https://www.773grp.com/globalSearch/QS74FCT373TQ/page-1", "QS74FCT373TQ")</f>
        <v>QS74FCT373TQ</v>
      </c>
      <c r="B46131" s="3" t="str">
        <f>HYPERLINK("https://www.773grp.com/manufacturer/onsemi?pageNo=677", "ON Semiconductor")</f>
        <v>ON Semiconductor</v>
      </c>
      <c r="C46131" s="6">
        <v>1053</v>
      </c>
      <c r="D46131" s="7">
        <v>3.24</v>
      </c>
      <c r="E46131" t="s">
        <v>14</v>
      </c>
    </row>
    <row r="46132" spans="1:5" x14ac:dyDescent="0.25">
      <c r="A46132" t="str">
        <f>HYPERLINK("https://www.773grp.com/globalSearch/QS29FCT52ATSOX/page-1", "QS29FCT52ATSOX")</f>
        <v>QS29FCT52ATSOX</v>
      </c>
      <c r="B46132" s="3" t="str">
        <f>HYPERLINK("https://www.773grp.com/manufacturer/onsemi?pageNo=678", "ON Semiconductor")</f>
        <v>ON Semiconductor</v>
      </c>
      <c r="C46132" s="6">
        <v>8000</v>
      </c>
      <c r="D46132" s="7">
        <v>3.26</v>
      </c>
    </row>
    <row r="46133" spans="1:5" x14ac:dyDescent="0.25">
      <c r="A46133" t="str">
        <f>HYPERLINK("https://www.773grp.com/globalSearch/QS29FCT53BTSOX/page-1", "QS29FCT53BTSOX")</f>
        <v>QS29FCT53BTSOX</v>
      </c>
      <c r="B46133" s="3" t="str">
        <f>HYPERLINK("https://www.773grp.com/manufacturer/onsemi?pageNo=679", "ON Semiconductor")</f>
        <v>ON Semiconductor</v>
      </c>
      <c r="C46133" s="6">
        <v>1000</v>
      </c>
      <c r="D46133" s="7">
        <v>3.26</v>
      </c>
    </row>
    <row r="46134" spans="1:5" x14ac:dyDescent="0.25">
      <c r="A46134" t="str">
        <f>HYPERLINK("https://www.773grp.com/globalSearch/QS74FCT240ATSOX/page-1", "QS74FCT240ATSOX")</f>
        <v>QS74FCT240ATSOX</v>
      </c>
      <c r="B46134" s="3" t="str">
        <f>HYPERLINK("https://www.773grp.com/manufacturer/onsemi?pageNo=680", "ON Semiconductor")</f>
        <v>ON Semiconductor</v>
      </c>
      <c r="C46134" s="6">
        <v>1000</v>
      </c>
      <c r="D46134" s="7">
        <v>3.26</v>
      </c>
    </row>
    <row r="46135" spans="1:5" x14ac:dyDescent="0.25">
      <c r="A46135" t="str">
        <f>HYPERLINK("https://www.773grp.com/globalSearch/QS54FCT540CTS0/page-1", "QS54FCT540CTS0")</f>
        <v>QS54FCT540CTS0</v>
      </c>
      <c r="B46135" s="3" t="str">
        <f>HYPERLINK("https://www.773grp.com/manufacturer/onsemi?pageNo=681", "ON Semiconductor")</f>
        <v>ON Semiconductor</v>
      </c>
      <c r="C46135" s="6">
        <v>279</v>
      </c>
      <c r="D46135" s="7">
        <v>3.29</v>
      </c>
    </row>
    <row r="46136" spans="1:5" x14ac:dyDescent="0.25">
      <c r="A46136" t="str">
        <f>HYPERLINK("https://www.773grp.com/globalSearch/QS54FCT841TQ/page-1", "QS54FCT841TQ")</f>
        <v>QS54FCT841TQ</v>
      </c>
      <c r="B46136" s="3" t="str">
        <f>HYPERLINK("https://www.773grp.com/manufacturer/onsemi?pageNo=682", "ON Semiconductor")</f>
        <v>ON Semiconductor</v>
      </c>
      <c r="C46136" s="6">
        <v>185</v>
      </c>
      <c r="D46136" s="7">
        <v>3.29</v>
      </c>
    </row>
    <row r="46137" spans="1:5" x14ac:dyDescent="0.25">
      <c r="A46137" t="str">
        <f>HYPERLINK("https://www.773grp.com/globalSearch/QS32244P/page-1", "QS32244P")</f>
        <v>QS32244P</v>
      </c>
      <c r="B46137" s="3" t="str">
        <f>HYPERLINK("https://www.773grp.com/manufacturer/onsemi?pageNo=683", "ON Semiconductor")</f>
        <v>ON Semiconductor</v>
      </c>
      <c r="C46137" s="6">
        <v>1091</v>
      </c>
      <c r="D46137" s="7">
        <v>3.65</v>
      </c>
      <c r="E46137" t="s">
        <v>14</v>
      </c>
    </row>
    <row r="46138" spans="1:5" x14ac:dyDescent="0.25">
      <c r="A46138" t="str">
        <f>HYPERLINK("https://www.773grp.com/globalSearch/QS74FCT2240ATSO/page-1", "QS74FCT2240ATSO")</f>
        <v>QS74FCT2240ATSO</v>
      </c>
      <c r="B46138" s="3" t="str">
        <f>HYPERLINK("https://www.773grp.com/manufacturer/onsemi?pageNo=684", "ON Semiconductor")</f>
        <v>ON Semiconductor</v>
      </c>
      <c r="C46138" s="6">
        <v>233</v>
      </c>
      <c r="D46138" s="7">
        <v>3.65</v>
      </c>
      <c r="E46138" t="s">
        <v>14</v>
      </c>
    </row>
    <row r="46139" spans="1:5" x14ac:dyDescent="0.25">
      <c r="A46139" t="str">
        <f>HYPERLINK("https://www.773grp.com/globalSearch/QS74FCT2244ATQ/page-1", "QS74FCT2244ATQ")</f>
        <v>QS74FCT2244ATQ</v>
      </c>
      <c r="B46139" s="3" t="str">
        <f>HYPERLINK("https://www.773grp.com/manufacturer/onsemi?pageNo=685", "ON Semiconductor")</f>
        <v>ON Semiconductor</v>
      </c>
      <c r="C46139" s="6">
        <v>90</v>
      </c>
      <c r="D46139" s="7">
        <v>3.65</v>
      </c>
      <c r="E46139" t="s">
        <v>14</v>
      </c>
    </row>
    <row r="46140" spans="1:5" x14ac:dyDescent="0.25">
      <c r="A46140" t="str">
        <f>HYPERLINK("https://www.773grp.com/globalSearch/QS74FCT2244TS0/page-1", "QS74FCT2244TS0")</f>
        <v>QS74FCT2244TS0</v>
      </c>
      <c r="B46140" s="3" t="str">
        <f>HYPERLINK("https://www.773grp.com/manufacturer/onsemi?pageNo=686", "ON Semiconductor")</f>
        <v>ON Semiconductor</v>
      </c>
      <c r="C46140" s="6">
        <v>119</v>
      </c>
      <c r="D46140" s="7">
        <v>3.65</v>
      </c>
    </row>
    <row r="46141" spans="1:5" x14ac:dyDescent="0.25">
      <c r="A46141" t="str">
        <f>HYPERLINK("https://www.773grp.com/globalSearch/QS74FCT2244TSO/page-1", "QS74FCT2244TSO")</f>
        <v>QS74FCT2244TSO</v>
      </c>
      <c r="B46141" s="3" t="str">
        <f>HYPERLINK("https://www.773grp.com/manufacturer/onsemi?pageNo=687", "ON Semiconductor")</f>
        <v>ON Semiconductor</v>
      </c>
      <c r="C46141" s="6">
        <v>187</v>
      </c>
      <c r="D46141" s="7">
        <v>3.65</v>
      </c>
      <c r="E46141" t="s">
        <v>14</v>
      </c>
    </row>
    <row r="46142" spans="1:5" x14ac:dyDescent="0.25">
      <c r="A46142" t="str">
        <f>HYPERLINK("https://www.773grp.com/globalSearch/QS74FCT2245ATS0/page-1", "QS74FCT2245ATS0")</f>
        <v>QS74FCT2245ATS0</v>
      </c>
      <c r="B46142" s="3" t="str">
        <f>HYPERLINK("https://www.773grp.com/manufacturer/onsemi?pageNo=688", "ON Semiconductor")</f>
        <v>ON Semiconductor</v>
      </c>
      <c r="C46142" s="6">
        <v>58</v>
      </c>
      <c r="D46142" s="7">
        <v>3.65</v>
      </c>
    </row>
    <row r="46143" spans="1:5" x14ac:dyDescent="0.25">
      <c r="A46143" t="str">
        <f>HYPERLINK("https://www.773grp.com/globalSearch/QS74FCT2245ATSO/page-1", "QS74FCT2245ATSO")</f>
        <v>QS74FCT2245ATSO</v>
      </c>
      <c r="B46143" s="3" t="str">
        <f>HYPERLINK("https://www.773grp.com/manufacturer/onsemi?pageNo=689", "ON Semiconductor")</f>
        <v>ON Semiconductor</v>
      </c>
      <c r="C46143" s="6">
        <v>284</v>
      </c>
      <c r="D46143" s="7">
        <v>3.65</v>
      </c>
      <c r="E46143" t="s">
        <v>14</v>
      </c>
    </row>
    <row r="46144" spans="1:5" x14ac:dyDescent="0.25">
      <c r="A46144" t="str">
        <f>HYPERLINK("https://www.773grp.com/globalSearch/QS74FCT2245CTSO/page-1", "QS74FCT2245CTSO")</f>
        <v>QS74FCT2245CTSO</v>
      </c>
      <c r="B46144" s="3" t="str">
        <f>HYPERLINK("https://www.773grp.com/manufacturer/onsemi?pageNo=690", "ON Semiconductor")</f>
        <v>ON Semiconductor</v>
      </c>
      <c r="C46144" s="6">
        <v>334</v>
      </c>
      <c r="D46144" s="7">
        <v>3.65</v>
      </c>
      <c r="E46144" t="s">
        <v>14</v>
      </c>
    </row>
    <row r="46145" spans="1:5" x14ac:dyDescent="0.25">
      <c r="A46145" t="str">
        <f>HYPERLINK("https://www.773grp.com/globalSearch/QS74FCT2245TP/page-1", "QS74FCT2245TP")</f>
        <v>QS74FCT2245TP</v>
      </c>
      <c r="B46145" s="3" t="str">
        <f>HYPERLINK("https://www.773grp.com/manufacturer/onsemi?pageNo=691", "ON Semiconductor")</f>
        <v>ON Semiconductor</v>
      </c>
      <c r="C46145" s="6">
        <v>1825</v>
      </c>
      <c r="D46145" s="7">
        <v>3.65</v>
      </c>
      <c r="E46145" t="s">
        <v>14</v>
      </c>
    </row>
    <row r="46146" spans="1:5" x14ac:dyDescent="0.25">
      <c r="A46146" t="str">
        <f>HYPERLINK("https://www.773grp.com/globalSearch/QS74FCT2273TSO/page-1", "QS74FCT2273TSO")</f>
        <v>QS74FCT2273TSO</v>
      </c>
      <c r="B46146" s="3" t="str">
        <f>HYPERLINK("https://www.773grp.com/manufacturer/onsemi?pageNo=692", "ON Semiconductor")</f>
        <v>ON Semiconductor</v>
      </c>
      <c r="C46146" s="6">
        <v>246</v>
      </c>
      <c r="D46146" s="7">
        <v>3.65</v>
      </c>
      <c r="E46146" t="s">
        <v>35</v>
      </c>
    </row>
    <row r="46147" spans="1:5" x14ac:dyDescent="0.25">
      <c r="A46147" t="str">
        <f>HYPERLINK("https://www.773grp.com/globalSearch/QS74FCT2373ATQ/page-1", "QS74FCT2373ATQ")</f>
        <v>QS74FCT2373ATQ</v>
      </c>
      <c r="B46147" s="3" t="str">
        <f>HYPERLINK("https://www.773grp.com/manufacturer/onsemi?pageNo=693", "ON Semiconductor")</f>
        <v>ON Semiconductor</v>
      </c>
      <c r="C46147" s="6">
        <v>573</v>
      </c>
      <c r="D46147" s="7">
        <v>3.65</v>
      </c>
      <c r="E46147" t="s">
        <v>14</v>
      </c>
    </row>
    <row r="46148" spans="1:5" x14ac:dyDescent="0.25">
      <c r="A46148" t="str">
        <f>HYPERLINK("https://www.773grp.com/globalSearch/QS74FCT2373ATS0/page-1", "QS74FCT2373ATS0")</f>
        <v>QS74FCT2373ATS0</v>
      </c>
      <c r="B46148" s="3" t="str">
        <f>HYPERLINK("https://www.773grp.com/manufacturer/onsemi?pageNo=694", "ON Semiconductor")</f>
        <v>ON Semiconductor</v>
      </c>
      <c r="C46148" s="6">
        <v>583</v>
      </c>
      <c r="D46148" s="7">
        <v>3.65</v>
      </c>
    </row>
    <row r="46149" spans="1:5" x14ac:dyDescent="0.25">
      <c r="A46149" t="str">
        <f>HYPERLINK("https://www.773grp.com/globalSearch/QS74FCT2373ATSO/page-1", "QS74FCT2373ATSO")</f>
        <v>QS74FCT2373ATSO</v>
      </c>
      <c r="B46149" s="3" t="str">
        <f>HYPERLINK("https://www.773grp.com/manufacturer/onsemi?pageNo=695", "ON Semiconductor")</f>
        <v>ON Semiconductor</v>
      </c>
      <c r="C46149" s="6">
        <v>4396</v>
      </c>
      <c r="D46149" s="7">
        <v>3.65</v>
      </c>
      <c r="E46149" t="s">
        <v>14</v>
      </c>
    </row>
    <row r="46150" spans="1:5" x14ac:dyDescent="0.25">
      <c r="A46150" t="str">
        <f>HYPERLINK("https://www.773grp.com/globalSearch/QS74FCT2373TS0/page-1", "QS74FCT2373TS0")</f>
        <v>QS74FCT2373TS0</v>
      </c>
      <c r="B46150" s="3" t="str">
        <f>HYPERLINK("https://www.773grp.com/manufacturer/onsemi?pageNo=696", "ON Semiconductor")</f>
        <v>ON Semiconductor</v>
      </c>
      <c r="C46150" s="6">
        <v>502</v>
      </c>
      <c r="D46150" s="7">
        <v>3.65</v>
      </c>
    </row>
    <row r="46151" spans="1:5" x14ac:dyDescent="0.25">
      <c r="A46151" t="str">
        <f>HYPERLINK("https://www.773grp.com/globalSearch/QS74FCT2373TSO/page-1", "QS74FCT2373TSO")</f>
        <v>QS74FCT2373TSO</v>
      </c>
      <c r="B46151" s="3" t="str">
        <f>HYPERLINK("https://www.773grp.com/manufacturer/onsemi?pageNo=697", "ON Semiconductor")</f>
        <v>ON Semiconductor</v>
      </c>
      <c r="C46151" s="6">
        <v>2425</v>
      </c>
      <c r="D46151" s="7">
        <v>3.65</v>
      </c>
      <c r="E46151" t="s">
        <v>14</v>
      </c>
    </row>
    <row r="46152" spans="1:5" x14ac:dyDescent="0.25">
      <c r="A46152" t="str">
        <f>HYPERLINK("https://www.773grp.com/globalSearch/QS74FCT245ATSO/page-1", "QS74FCT245ATSO")</f>
        <v>QS74FCT245ATSO</v>
      </c>
      <c r="B46152" s="3" t="str">
        <f>HYPERLINK("https://www.773grp.com/manufacturer/onsemi?pageNo=698", "ON Semiconductor")</f>
        <v>ON Semiconductor</v>
      </c>
      <c r="C46152" s="6">
        <v>756</v>
      </c>
      <c r="D46152" s="7">
        <v>3.65</v>
      </c>
      <c r="E46152" t="s">
        <v>14</v>
      </c>
    </row>
    <row r="46153" spans="1:5" x14ac:dyDescent="0.25">
      <c r="A46153" t="str">
        <f>HYPERLINK("https://www.773grp.com/globalSearch/QS74FCT245CTSO/page-1", "QS74FCT245CTSO")</f>
        <v>QS74FCT245CTSO</v>
      </c>
      <c r="B46153" s="3" t="str">
        <f>HYPERLINK("https://www.773grp.com/manufacturer/onsemi?pageNo=699", "ON Semiconductor")</f>
        <v>ON Semiconductor</v>
      </c>
      <c r="C46153" s="6">
        <v>286</v>
      </c>
      <c r="D46153" s="7">
        <v>3.65</v>
      </c>
      <c r="E46153" t="s">
        <v>14</v>
      </c>
    </row>
    <row r="46154" spans="1:5" x14ac:dyDescent="0.25">
      <c r="A46154" t="str">
        <f>HYPERLINK("https://www.773grp.com/globalSearch/QS74FCT245TSO/page-1", "QS74FCT245TSO")</f>
        <v>QS74FCT245TSO</v>
      </c>
      <c r="B46154" s="3" t="str">
        <f>HYPERLINK("https://www.773grp.com/manufacturer/onsemi?pageNo=700", "ON Semiconductor")</f>
        <v>ON Semiconductor</v>
      </c>
      <c r="C46154" s="6">
        <v>2445</v>
      </c>
      <c r="D46154" s="7">
        <v>3.65</v>
      </c>
      <c r="E46154" t="s">
        <v>14</v>
      </c>
    </row>
    <row r="46155" spans="1:5" x14ac:dyDescent="0.25">
      <c r="A46155" t="str">
        <f>HYPERLINK("https://www.773grp.com/globalSearch/QS74FCT2541TQ/page-1", "QS74FCT2541TQ")</f>
        <v>QS74FCT2541TQ</v>
      </c>
      <c r="B46155" s="3" t="str">
        <f>HYPERLINK("https://www.773grp.com/manufacturer/onsemi?pageNo=701", "ON Semiconductor")</f>
        <v>ON Semiconductor</v>
      </c>
      <c r="C46155" s="6">
        <v>718</v>
      </c>
      <c r="D46155" s="7">
        <v>3.65</v>
      </c>
      <c r="E46155" t="s">
        <v>14</v>
      </c>
    </row>
    <row r="46156" spans="1:5" x14ac:dyDescent="0.25">
      <c r="A46156" t="str">
        <f>HYPERLINK("https://www.773grp.com/globalSearch/QS74FCT2573ATQ/page-1", "QS74FCT2573ATQ")</f>
        <v>QS74FCT2573ATQ</v>
      </c>
      <c r="B46156" s="3" t="str">
        <f>HYPERLINK("https://www.773grp.com/manufacturer/onsemi?pageNo=702", "ON Semiconductor")</f>
        <v>ON Semiconductor</v>
      </c>
      <c r="C46156" s="6">
        <v>2</v>
      </c>
      <c r="D46156" s="7">
        <v>3.65</v>
      </c>
      <c r="E46156" t="s">
        <v>14</v>
      </c>
    </row>
    <row r="46157" spans="1:5" x14ac:dyDescent="0.25">
      <c r="A46157" t="str">
        <f>HYPERLINK("https://www.773grp.com/globalSearch/QS74FCT3245ASO/page-1", "QS74FCT3245ASO")</f>
        <v>QS74FCT3245ASO</v>
      </c>
      <c r="B46157" s="3" t="str">
        <f>HYPERLINK("https://www.773grp.com/manufacturer/onsemi?pageNo=703", "ON Semiconductor")</f>
        <v>ON Semiconductor</v>
      </c>
      <c r="C46157" s="6">
        <v>1974</v>
      </c>
      <c r="D46157" s="7">
        <v>3.65</v>
      </c>
      <c r="E46157" t="s">
        <v>14</v>
      </c>
    </row>
    <row r="46158" spans="1:5" x14ac:dyDescent="0.25">
      <c r="A46158" t="str">
        <f>HYPERLINK("https://www.773grp.com/globalSearch/QS74FCT3245S0/page-1", "QS74FCT3245S0")</f>
        <v>QS74FCT3245S0</v>
      </c>
      <c r="B46158" s="3" t="str">
        <f>HYPERLINK("https://www.773grp.com/manufacturer/onsemi?pageNo=704", "ON Semiconductor")</f>
        <v>ON Semiconductor</v>
      </c>
      <c r="C46158" s="6">
        <v>601</v>
      </c>
      <c r="D46158" s="7">
        <v>3.65</v>
      </c>
    </row>
    <row r="46159" spans="1:5" x14ac:dyDescent="0.25">
      <c r="A46159" t="str">
        <f>HYPERLINK("https://www.773grp.com/globalSearch/QS74FCT3245SO/page-1", "QS74FCT3245SO")</f>
        <v>QS74FCT3245SO</v>
      </c>
      <c r="B46159" s="3" t="str">
        <f>HYPERLINK("https://www.773grp.com/manufacturer/onsemi?pageNo=705", "ON Semiconductor")</f>
        <v>ON Semiconductor</v>
      </c>
      <c r="C46159" s="6">
        <v>672</v>
      </c>
      <c r="D46159" s="7">
        <v>3.65</v>
      </c>
      <c r="E46159" t="s">
        <v>14</v>
      </c>
    </row>
    <row r="46160" spans="1:5" x14ac:dyDescent="0.25">
      <c r="A46160" t="str">
        <f>HYPERLINK("https://www.773grp.com/globalSearch/QS74FCT3373S0/page-1", "QS74FCT3373S0")</f>
        <v>QS74FCT3373S0</v>
      </c>
      <c r="B46160" s="3" t="str">
        <f>HYPERLINK("https://www.773grp.com/manufacturer/onsemi?pageNo=706", "ON Semiconductor")</f>
        <v>ON Semiconductor</v>
      </c>
      <c r="C46160" s="6">
        <v>1137</v>
      </c>
      <c r="D46160" s="7">
        <v>3.65</v>
      </c>
    </row>
    <row r="46161" spans="1:5" x14ac:dyDescent="0.25">
      <c r="A46161" t="str">
        <f>HYPERLINK("https://www.773grp.com/globalSearch/QS74FCT373TP/page-1", "QS74FCT373TP")</f>
        <v>QS74FCT373TP</v>
      </c>
      <c r="B46161" s="3" t="str">
        <f>HYPERLINK("https://www.773grp.com/manufacturer/onsemi?pageNo=707", "ON Semiconductor")</f>
        <v>ON Semiconductor</v>
      </c>
      <c r="C46161" s="6">
        <v>2</v>
      </c>
      <c r="D46161" s="7">
        <v>3.65</v>
      </c>
      <c r="E46161" t="s">
        <v>14</v>
      </c>
    </row>
    <row r="46162" spans="1:5" x14ac:dyDescent="0.25">
      <c r="A46162" t="str">
        <f>HYPERLINK("https://www.773grp.com/globalSearch/QS74FCT541TQX/page-1", "QS74FCT541TQX")</f>
        <v>QS74FCT541TQX</v>
      </c>
      <c r="B46162" s="3" t="str">
        <f>HYPERLINK("https://www.773grp.com/manufacturer/onsemi?pageNo=708", "ON Semiconductor")</f>
        <v>ON Semiconductor</v>
      </c>
      <c r="C46162" s="6">
        <v>5000</v>
      </c>
      <c r="D46162" s="7">
        <v>3.65</v>
      </c>
    </row>
    <row r="46163" spans="1:5" x14ac:dyDescent="0.25">
      <c r="A46163" t="str">
        <f>HYPERLINK("https://www.773grp.com/globalSearch/QS74FCT574TSO/page-1", "QS74FCT574TSO")</f>
        <v>QS74FCT574TSO</v>
      </c>
      <c r="B46163" s="3" t="str">
        <f>HYPERLINK("https://www.773grp.com/manufacturer/onsemi?pageNo=709", "ON Semiconductor")</f>
        <v>ON Semiconductor</v>
      </c>
      <c r="C46163" s="6">
        <v>106</v>
      </c>
      <c r="D46163" s="7">
        <v>3.65</v>
      </c>
      <c r="E46163" t="s">
        <v>14</v>
      </c>
    </row>
    <row r="46164" spans="1:5" x14ac:dyDescent="0.25">
      <c r="A46164" t="str">
        <f>HYPERLINK("https://www.773grp.com/globalSearch/QS54FCT2244TSO/page-1", "QS54FCT2244TSO")</f>
        <v>QS54FCT2244TSO</v>
      </c>
      <c r="B46164" s="3" t="str">
        <f>HYPERLINK("https://www.773grp.com/manufacturer/onsemi?pageNo=710", "ON Semiconductor")</f>
        <v>ON Semiconductor</v>
      </c>
      <c r="C46164" s="6">
        <v>504</v>
      </c>
      <c r="D46164" s="7">
        <v>3.33</v>
      </c>
      <c r="E46164" t="s">
        <v>14</v>
      </c>
    </row>
    <row r="46165" spans="1:5" x14ac:dyDescent="0.25">
      <c r="A46165" t="str">
        <f>HYPERLINK("https://www.773grp.com/globalSearch/QS54FCT2245TSO/page-1", "QS54FCT2245TSO")</f>
        <v>QS54FCT2245TSO</v>
      </c>
      <c r="B46165" s="3" t="str">
        <f>HYPERLINK("https://www.773grp.com/manufacturer/onsemi?pageNo=711", "ON Semiconductor")</f>
        <v>ON Semiconductor</v>
      </c>
      <c r="C46165" s="6">
        <v>293</v>
      </c>
      <c r="D46165" s="7">
        <v>3.33</v>
      </c>
      <c r="E46165" t="s">
        <v>14</v>
      </c>
    </row>
    <row r="46166" spans="1:5" x14ac:dyDescent="0.25">
      <c r="A46166" t="str">
        <f>HYPERLINK("https://www.773grp.com/globalSearch/QS54FCT2374TSO/page-1", "QS54FCT2374TSO")</f>
        <v>QS54FCT2374TSO</v>
      </c>
      <c r="B46166" s="3" t="str">
        <f>HYPERLINK("https://www.773grp.com/manufacturer/onsemi?pageNo=712", "ON Semiconductor")</f>
        <v>ON Semiconductor</v>
      </c>
      <c r="C46166" s="6">
        <v>265</v>
      </c>
      <c r="D46166" s="7">
        <v>3.33</v>
      </c>
      <c r="E46166" t="s">
        <v>14</v>
      </c>
    </row>
    <row r="46167" spans="1:5" x14ac:dyDescent="0.25">
      <c r="A46167" t="str">
        <f>HYPERLINK("https://www.773grp.com/globalSearch/QS74FCT2373ATQX/page-1", "QS74FCT2373ATQX")</f>
        <v>QS74FCT2373ATQX</v>
      </c>
      <c r="B46167" s="3" t="str">
        <f>HYPERLINK("https://www.773grp.com/manufacturer/onsemi?pageNo=713", "ON Semiconductor")</f>
        <v>ON Semiconductor</v>
      </c>
      <c r="C46167" s="6">
        <v>5000</v>
      </c>
      <c r="D46167" s="7">
        <v>3.33</v>
      </c>
    </row>
    <row r="46168" spans="1:5" x14ac:dyDescent="0.25">
      <c r="A46168" t="str">
        <f>HYPERLINK("https://www.773grp.com/globalSearch/QS74FCT2374ATQ/page-1", "QS74FCT2374ATQ")</f>
        <v>QS74FCT2374ATQ</v>
      </c>
      <c r="B46168" s="3" t="str">
        <f>HYPERLINK("https://www.773grp.com/manufacturer/onsemi?pageNo=714", "ON Semiconductor")</f>
        <v>ON Semiconductor</v>
      </c>
      <c r="C46168" s="6">
        <v>474</v>
      </c>
      <c r="D46168" s="7">
        <v>3.33</v>
      </c>
      <c r="E46168" t="s">
        <v>14</v>
      </c>
    </row>
    <row r="46169" spans="1:5" x14ac:dyDescent="0.25">
      <c r="A46169" t="str">
        <f>HYPERLINK("https://www.773grp.com/globalSearch/QS74FCT244TSO/page-1", "QS74FCT244TSO")</f>
        <v>QS74FCT244TSO</v>
      </c>
      <c r="B46169" s="3" t="str">
        <f>HYPERLINK("https://www.773grp.com/manufacturer/onsemi?pageNo=715", "ON Semiconductor")</f>
        <v>ON Semiconductor</v>
      </c>
      <c r="C46169" s="6">
        <v>4889</v>
      </c>
      <c r="D46169" s="7">
        <v>3.33</v>
      </c>
      <c r="E46169" t="s">
        <v>14</v>
      </c>
    </row>
    <row r="46170" spans="1:5" x14ac:dyDescent="0.25">
      <c r="A46170" t="str">
        <f>HYPERLINK("https://www.773grp.com/globalSearch/QS74FCT2573TSO/page-1", "QS74FCT2573TSO")</f>
        <v>QS74FCT2573TSO</v>
      </c>
      <c r="B46170" s="3" t="str">
        <f>HYPERLINK("https://www.773grp.com/manufacturer/onsemi?pageNo=716", "ON Semiconductor")</f>
        <v>ON Semiconductor</v>
      </c>
      <c r="C46170" s="6">
        <v>23755</v>
      </c>
      <c r="D46170" s="7">
        <v>3.33</v>
      </c>
      <c r="E46170" t="s">
        <v>14</v>
      </c>
    </row>
    <row r="46171" spans="1:5" x14ac:dyDescent="0.25">
      <c r="A46171" t="str">
        <f>HYPERLINK("https://www.773grp.com/globalSearch/QS74FCT374ATS0/page-1", "QS74FCT374ATS0")</f>
        <v>QS74FCT374ATS0</v>
      </c>
      <c r="B46171" s="3" t="str">
        <f>HYPERLINK("https://www.773grp.com/manufacturer/onsemi?pageNo=717", "ON Semiconductor")</f>
        <v>ON Semiconductor</v>
      </c>
      <c r="C46171" s="6">
        <v>739</v>
      </c>
      <c r="D46171" s="7">
        <v>3.33</v>
      </c>
    </row>
    <row r="46172" spans="1:5" x14ac:dyDescent="0.25">
      <c r="A46172" t="str">
        <f>HYPERLINK("https://www.773grp.com/globalSearch/QS74FCT374ATSO/page-1", "QS74FCT374ATSO")</f>
        <v>QS74FCT374ATSO</v>
      </c>
      <c r="B46172" s="3" t="str">
        <f>HYPERLINK("https://www.773grp.com/manufacturer/onsemi?pageNo=718", "ON Semiconductor")</f>
        <v>ON Semiconductor</v>
      </c>
      <c r="C46172" s="6">
        <v>1453</v>
      </c>
      <c r="D46172" s="7">
        <v>3.33</v>
      </c>
      <c r="E46172" t="s">
        <v>14</v>
      </c>
    </row>
    <row r="46173" spans="1:5" x14ac:dyDescent="0.25">
      <c r="A46173" t="str">
        <f>HYPERLINK("https://www.773grp.com/globalSearch/QS74FCT573ATQ/page-1", "QS74FCT573ATQ")</f>
        <v>QS74FCT573ATQ</v>
      </c>
      <c r="B46173" s="3" t="str">
        <f>HYPERLINK("https://www.773grp.com/manufacturer/onsemi?pageNo=719", "ON Semiconductor")</f>
        <v>ON Semiconductor</v>
      </c>
      <c r="C46173" s="6">
        <v>3698</v>
      </c>
      <c r="D46173" s="7">
        <v>3.33</v>
      </c>
      <c r="E46173" t="s">
        <v>14</v>
      </c>
    </row>
    <row r="46174" spans="1:5" x14ac:dyDescent="0.25">
      <c r="A46174" t="str">
        <f>HYPERLINK("https://www.773grp.com/globalSearch/QS74FCT573TSO/page-1", "QS74FCT573TSO")</f>
        <v>QS74FCT573TSO</v>
      </c>
      <c r="B46174" s="3" t="str">
        <f>HYPERLINK("https://www.773grp.com/manufacturer/onsemi?pageNo=720", "ON Semiconductor")</f>
        <v>ON Semiconductor</v>
      </c>
      <c r="C46174" s="6">
        <v>13640</v>
      </c>
      <c r="D46174" s="7">
        <v>3.33</v>
      </c>
      <c r="E46174" t="s">
        <v>14</v>
      </c>
    </row>
    <row r="46175" spans="1:5" x14ac:dyDescent="0.25">
      <c r="A46175" t="str">
        <f>HYPERLINK("https://www.773grp.com/globalSearch/QS74FCT151TQ/page-1", "QS74FCT151TQ")</f>
        <v>QS74FCT151TQ</v>
      </c>
      <c r="B46175" s="3" t="str">
        <f>HYPERLINK("https://www.773grp.com/manufacturer/onsemi?pageNo=721", "ON Semiconductor")</f>
        <v>ON Semiconductor</v>
      </c>
      <c r="C46175" s="6">
        <v>4769</v>
      </c>
      <c r="D46175" s="7">
        <v>3.38</v>
      </c>
      <c r="E46175" t="s">
        <v>20</v>
      </c>
    </row>
    <row r="46176" spans="1:5" x14ac:dyDescent="0.25">
      <c r="A46176" t="str">
        <f>HYPERLINK("https://www.773grp.com/globalSearch/QS74FCT253DTQ-S235/page-1", "QS74FCT253DTQ-S235")</f>
        <v>QS74FCT253DTQ-S235</v>
      </c>
      <c r="B46176" s="3" t="str">
        <f>HYPERLINK("https://www.773grp.com/manufacturer/onsemi?pageNo=722", "ON Semiconductor")</f>
        <v>ON Semiconductor</v>
      </c>
      <c r="C46176" s="6">
        <v>521</v>
      </c>
      <c r="D46176" s="7">
        <v>3.38</v>
      </c>
    </row>
    <row r="46177" spans="1:5" x14ac:dyDescent="0.25">
      <c r="A46177" t="str">
        <f>HYPERLINK("https://www.773grp.com/globalSearch/QS32383SO/page-1", "QS32383SO")</f>
        <v>QS32383SO</v>
      </c>
      <c r="B46177" s="3" t="str">
        <f>HYPERLINK("https://www.773grp.com/manufacturer/onsemi?pageNo=723", "ON Semiconductor")</f>
        <v>ON Semiconductor</v>
      </c>
      <c r="C46177" s="6">
        <v>3313</v>
      </c>
      <c r="D46177" s="7">
        <v>3.8</v>
      </c>
      <c r="E46177" t="s">
        <v>14</v>
      </c>
    </row>
    <row r="46178" spans="1:5" x14ac:dyDescent="0.25">
      <c r="A46178" t="str">
        <f>HYPERLINK("https://www.773grp.com/globalSearch/QS3L383S0/page-1", "QS3L383S0")</f>
        <v>QS3L383S0</v>
      </c>
      <c r="B46178" s="3" t="str">
        <f>HYPERLINK("https://www.773grp.com/manufacturer/onsemi?pageNo=724", "ON Semiconductor")</f>
        <v>ON Semiconductor</v>
      </c>
      <c r="C46178" s="6">
        <v>2016</v>
      </c>
      <c r="D46178" s="7">
        <v>3.8</v>
      </c>
    </row>
    <row r="46179" spans="1:5" x14ac:dyDescent="0.25">
      <c r="A46179" t="str">
        <f>HYPERLINK("https://www.773grp.com/globalSearch/QS3L383SO/page-1", "QS3L383SO")</f>
        <v>QS3L383SO</v>
      </c>
      <c r="B46179" s="3" t="str">
        <f>HYPERLINK("https://www.773grp.com/manufacturer/onsemi?pageNo=725", "ON Semiconductor")</f>
        <v>ON Semiconductor</v>
      </c>
      <c r="C46179" s="6">
        <v>2185</v>
      </c>
      <c r="D46179" s="7">
        <v>3.8</v>
      </c>
      <c r="E46179" t="s">
        <v>14</v>
      </c>
    </row>
    <row r="46180" spans="1:5" x14ac:dyDescent="0.25">
      <c r="A46180" t="str">
        <f>HYPERLINK("https://www.773grp.com/globalSearch/QS3L384SO/page-1", "QS3L384SO")</f>
        <v>QS3L384SO</v>
      </c>
      <c r="B46180" s="3" t="str">
        <f>HYPERLINK("https://www.773grp.com/manufacturer/onsemi?pageNo=726", "ON Semiconductor")</f>
        <v>ON Semiconductor</v>
      </c>
      <c r="C46180" s="6">
        <v>4448</v>
      </c>
      <c r="D46180" s="7">
        <v>3.8</v>
      </c>
      <c r="E46180" t="s">
        <v>14</v>
      </c>
    </row>
    <row r="46181" spans="1:5" x14ac:dyDescent="0.25">
      <c r="A46181" t="str">
        <f>HYPERLINK("https://www.773grp.com/globalSearch/QS74FCT540TQ/page-1", "QS74FCT540TQ")</f>
        <v>QS74FCT540TQ</v>
      </c>
      <c r="B46181" s="3" t="str">
        <f>HYPERLINK("https://www.773grp.com/manufacturer/onsemi?pageNo=727", "ON Semiconductor")</f>
        <v>ON Semiconductor</v>
      </c>
      <c r="C46181" s="6">
        <v>2911</v>
      </c>
      <c r="D46181" s="7">
        <v>3.46</v>
      </c>
      <c r="E46181" t="s">
        <v>14</v>
      </c>
    </row>
    <row r="46182" spans="1:5" x14ac:dyDescent="0.25">
      <c r="A46182" t="str">
        <f>HYPERLINK("https://www.773grp.com/globalSearch/QS74FCT2541DTQ/page-1", "QS74FCT2541DTQ")</f>
        <v>QS74FCT2541DTQ</v>
      </c>
      <c r="B46182" s="3" t="str">
        <f>HYPERLINK("https://www.773grp.com/manufacturer/onsemi?pageNo=728", "ON Semiconductor")</f>
        <v>ON Semiconductor</v>
      </c>
      <c r="C46182" s="6">
        <v>5894</v>
      </c>
      <c r="D46182" s="7">
        <v>3.85</v>
      </c>
      <c r="E46182" t="s">
        <v>14</v>
      </c>
    </row>
    <row r="46183" spans="1:5" x14ac:dyDescent="0.25">
      <c r="A46183" t="str">
        <f>HYPERLINK("https://www.773grp.com/globalSearch/QS3390QM/page-1", "QS3390QM")</f>
        <v>QS3390QM</v>
      </c>
      <c r="B46183" s="3" t="str">
        <f>HYPERLINK("https://www.773grp.com/manufacturer/onsemi?pageNo=729", "ON Semiconductor")</f>
        <v>ON Semiconductor</v>
      </c>
      <c r="C46183" s="6">
        <v>300</v>
      </c>
      <c r="D46183" s="7">
        <v>3.49</v>
      </c>
      <c r="E46183" t="s">
        <v>14</v>
      </c>
    </row>
    <row r="46184" spans="1:5" x14ac:dyDescent="0.25">
      <c r="A46184" t="str">
        <f>HYPERLINK("https://www.773grp.com/globalSearch/QS74FCT138CTQ/page-1", "QS74FCT138CTQ")</f>
        <v>QS74FCT138CTQ</v>
      </c>
      <c r="B46184" s="3" t="str">
        <f>HYPERLINK("https://www.773grp.com/manufacturer/onsemi?pageNo=730", "ON Semiconductor")</f>
        <v>ON Semiconductor</v>
      </c>
      <c r="C46184" s="6">
        <v>33</v>
      </c>
      <c r="D46184" s="7">
        <v>3.49</v>
      </c>
      <c r="E46184" t="s">
        <v>36</v>
      </c>
    </row>
    <row r="46185" spans="1:5" x14ac:dyDescent="0.25">
      <c r="A46185" t="str">
        <f>HYPERLINK("https://www.773grp.com/globalSearch/QS74FCT138CTSO/page-1", "QS74FCT138CTSO")</f>
        <v>QS74FCT138CTSO</v>
      </c>
      <c r="B46185" s="3" t="str">
        <f>HYPERLINK("https://www.773grp.com/manufacturer/onsemi?pageNo=731", "ON Semiconductor")</f>
        <v>ON Semiconductor</v>
      </c>
      <c r="C46185" s="6">
        <v>470</v>
      </c>
      <c r="D46185" s="7">
        <v>3.49</v>
      </c>
      <c r="E46185" t="s">
        <v>36</v>
      </c>
    </row>
    <row r="46186" spans="1:5" x14ac:dyDescent="0.25">
      <c r="A46186" t="str">
        <f>HYPERLINK("https://www.773grp.com/globalSearch/QS74FCT139ATSI/page-1", "QS74FCT139ATSI")</f>
        <v>QS74FCT139ATSI</v>
      </c>
      <c r="B46186" s="3" t="str">
        <f>HYPERLINK("https://www.773grp.com/manufacturer/onsemi?pageNo=732", "ON Semiconductor")</f>
        <v>ON Semiconductor</v>
      </c>
      <c r="C46186" s="6">
        <v>2500</v>
      </c>
      <c r="D46186" s="7">
        <v>3.49</v>
      </c>
    </row>
    <row r="46187" spans="1:5" x14ac:dyDescent="0.25">
      <c r="A46187" t="str">
        <f>HYPERLINK("https://www.773grp.com/globalSearch/QS74FCT162240ATPA/page-1", "QS74FCT162240ATPA")</f>
        <v>QS74FCT162240ATPA</v>
      </c>
      <c r="B46187" s="3" t="str">
        <f>HYPERLINK("https://www.773grp.com/manufacturer/onsemi?pageNo=733", "ON Semiconductor")</f>
        <v>ON Semiconductor</v>
      </c>
      <c r="C46187" s="6">
        <v>3668</v>
      </c>
      <c r="D46187" s="7">
        <v>3.49</v>
      </c>
      <c r="E46187" t="s">
        <v>14</v>
      </c>
    </row>
    <row r="46188" spans="1:5" x14ac:dyDescent="0.25">
      <c r="A46188" t="str">
        <f>HYPERLINK("https://www.773grp.com/globalSearch/QS74FCT162240ATPV/page-1", "QS74FCT162240ATPV")</f>
        <v>QS74FCT162240ATPV</v>
      </c>
      <c r="B46188" s="3" t="str">
        <f>HYPERLINK("https://www.773grp.com/manufacturer/onsemi?pageNo=734", "ON Semiconductor")</f>
        <v>ON Semiconductor</v>
      </c>
      <c r="C46188" s="6">
        <v>6022</v>
      </c>
      <c r="D46188" s="7">
        <v>3.49</v>
      </c>
      <c r="E46188" t="s">
        <v>14</v>
      </c>
    </row>
    <row r="46189" spans="1:5" x14ac:dyDescent="0.25">
      <c r="A46189" t="str">
        <f>HYPERLINK("https://www.773grp.com/globalSearch/QS74FCT162240TPA/page-1", "QS74FCT162240TPA")</f>
        <v>QS74FCT162240TPA</v>
      </c>
      <c r="B46189" s="3" t="str">
        <f>HYPERLINK("https://www.773grp.com/manufacturer/onsemi?pageNo=735", "ON Semiconductor")</f>
        <v>ON Semiconductor</v>
      </c>
      <c r="C46189" s="6">
        <v>1981</v>
      </c>
      <c r="D46189" s="7">
        <v>3.49</v>
      </c>
      <c r="E46189" t="s">
        <v>14</v>
      </c>
    </row>
    <row r="46190" spans="1:5" x14ac:dyDescent="0.25">
      <c r="A46190" t="str">
        <f>HYPERLINK("https://www.773grp.com/globalSearch/QS74FCT162240TPV/page-1", "QS74FCT162240TPV")</f>
        <v>QS74FCT162240TPV</v>
      </c>
      <c r="B46190" s="3" t="str">
        <f>HYPERLINK("https://www.773grp.com/manufacturer/onsemi?pageNo=736", "ON Semiconductor")</f>
        <v>ON Semiconductor</v>
      </c>
      <c r="C46190" s="6">
        <v>3896</v>
      </c>
      <c r="D46190" s="7">
        <v>3.49</v>
      </c>
      <c r="E46190" t="s">
        <v>14</v>
      </c>
    </row>
    <row r="46191" spans="1:5" x14ac:dyDescent="0.25">
      <c r="A46191" t="str">
        <f>HYPERLINK("https://www.773grp.com/globalSearch/QS74FCT162244ATPA/page-1", "QS74FCT162244ATPA")</f>
        <v>QS74FCT162244ATPA</v>
      </c>
      <c r="B46191" s="3" t="str">
        <f>HYPERLINK("https://www.773grp.com/manufacturer/onsemi?pageNo=737", "ON Semiconductor")</f>
        <v>ON Semiconductor</v>
      </c>
      <c r="C46191" s="6">
        <v>2262</v>
      </c>
      <c r="D46191" s="7">
        <v>3.49</v>
      </c>
      <c r="E46191" t="s">
        <v>14</v>
      </c>
    </row>
    <row r="46192" spans="1:5" x14ac:dyDescent="0.25">
      <c r="A46192" t="str">
        <f>HYPERLINK("https://www.773grp.com/globalSearch/QS74FCT162244ATPV/page-1", "QS74FCT162244ATPV")</f>
        <v>QS74FCT162244ATPV</v>
      </c>
      <c r="B46192" s="3" t="str">
        <f>HYPERLINK("https://www.773grp.com/manufacturer/onsemi?pageNo=738", "ON Semiconductor")</f>
        <v>ON Semiconductor</v>
      </c>
      <c r="C46192" s="6">
        <v>816</v>
      </c>
      <c r="D46192" s="7">
        <v>3.49</v>
      </c>
      <c r="E46192" t="s">
        <v>14</v>
      </c>
    </row>
    <row r="46193" spans="1:5" x14ac:dyDescent="0.25">
      <c r="A46193" t="str">
        <f>HYPERLINK("https://www.773grp.com/globalSearch/QS74FCT162244CTPA/page-1", "QS74FCT162244CTPA")</f>
        <v>QS74FCT162244CTPA</v>
      </c>
      <c r="B46193" s="3" t="str">
        <f>HYPERLINK("https://www.773grp.com/manufacturer/onsemi?pageNo=739", "ON Semiconductor")</f>
        <v>ON Semiconductor</v>
      </c>
      <c r="C46193" s="6">
        <v>2457</v>
      </c>
      <c r="D46193" s="7">
        <v>3.49</v>
      </c>
      <c r="E46193" t="s">
        <v>14</v>
      </c>
    </row>
    <row r="46194" spans="1:5" x14ac:dyDescent="0.25">
      <c r="A46194" t="str">
        <f>HYPERLINK("https://www.773grp.com/globalSearch/QS74FCT162244TPA/page-1", "QS74FCT162244TPA")</f>
        <v>QS74FCT162244TPA</v>
      </c>
      <c r="B46194" s="3" t="str">
        <f>HYPERLINK("https://www.773grp.com/manufacturer/onsemi?pageNo=740", "ON Semiconductor")</f>
        <v>ON Semiconductor</v>
      </c>
      <c r="C46194" s="6">
        <v>6395</v>
      </c>
      <c r="D46194" s="7">
        <v>3.49</v>
      </c>
      <c r="E46194" t="s">
        <v>14</v>
      </c>
    </row>
    <row r="46195" spans="1:5" x14ac:dyDescent="0.25">
      <c r="A46195" t="str">
        <f>HYPERLINK("https://www.773grp.com/globalSearch/QS74FCT162245CTPV/page-1", "QS74FCT162245CTPV")</f>
        <v>QS74FCT162245CTPV</v>
      </c>
      <c r="B46195" s="3" t="str">
        <f>HYPERLINK("https://www.773grp.com/manufacturer/onsemi?pageNo=741", "ON Semiconductor")</f>
        <v>ON Semiconductor</v>
      </c>
      <c r="C46195" s="6">
        <v>3450</v>
      </c>
      <c r="D46195" s="7">
        <v>3.49</v>
      </c>
      <c r="E46195" t="s">
        <v>14</v>
      </c>
    </row>
    <row r="46196" spans="1:5" x14ac:dyDescent="0.25">
      <c r="A46196" t="str">
        <f>HYPERLINK("https://www.773grp.com/globalSearch/QS74FCT162245TPA/page-1", "QS74FCT162245TPA")</f>
        <v>QS74FCT162245TPA</v>
      </c>
      <c r="B46196" s="3" t="str">
        <f>HYPERLINK("https://www.773grp.com/manufacturer/onsemi?pageNo=742", "ON Semiconductor")</f>
        <v>ON Semiconductor</v>
      </c>
      <c r="C46196" s="6">
        <v>485</v>
      </c>
      <c r="D46196" s="7">
        <v>3.49</v>
      </c>
      <c r="E46196" t="s">
        <v>14</v>
      </c>
    </row>
    <row r="46197" spans="1:5" x14ac:dyDescent="0.25">
      <c r="A46197" t="str">
        <f>HYPERLINK("https://www.773grp.com/globalSearch/QS74FCT162373ATPA/page-1", "QS74FCT162373ATPA")</f>
        <v>QS74FCT162373ATPA</v>
      </c>
      <c r="B46197" s="3" t="str">
        <f>HYPERLINK("https://www.773grp.com/manufacturer/onsemi?pageNo=743", "ON Semiconductor")</f>
        <v>ON Semiconductor</v>
      </c>
      <c r="C46197" s="6">
        <v>9527</v>
      </c>
      <c r="D46197" s="7">
        <v>3.49</v>
      </c>
      <c r="E46197" t="s">
        <v>14</v>
      </c>
    </row>
    <row r="46198" spans="1:5" x14ac:dyDescent="0.25">
      <c r="A46198" t="str">
        <f>HYPERLINK("https://www.773grp.com/globalSearch/QS74FCT162373ATPV/page-1", "QS74FCT162373ATPV")</f>
        <v>QS74FCT162373ATPV</v>
      </c>
      <c r="B46198" s="3" t="str">
        <f>HYPERLINK("https://www.773grp.com/manufacturer/onsemi?pageNo=744", "ON Semiconductor")</f>
        <v>ON Semiconductor</v>
      </c>
      <c r="C46198" s="6">
        <v>2024</v>
      </c>
      <c r="D46198" s="7">
        <v>3.49</v>
      </c>
      <c r="E46198" t="s">
        <v>14</v>
      </c>
    </row>
    <row r="46199" spans="1:5" x14ac:dyDescent="0.25">
      <c r="A46199" t="str">
        <f>HYPERLINK("https://www.773grp.com/globalSearch/QS74FCT162374ATPA/page-1", "QS74FCT162374ATPA")</f>
        <v>QS74FCT162374ATPA</v>
      </c>
      <c r="B46199" s="3" t="str">
        <f>HYPERLINK("https://www.773grp.com/manufacturer/onsemi?pageNo=745", "ON Semiconductor")</f>
        <v>ON Semiconductor</v>
      </c>
      <c r="C46199" s="6">
        <v>12137</v>
      </c>
      <c r="D46199" s="7">
        <v>3.49</v>
      </c>
      <c r="E46199" t="s">
        <v>14</v>
      </c>
    </row>
    <row r="46200" spans="1:5" x14ac:dyDescent="0.25">
      <c r="A46200" t="str">
        <f>HYPERLINK("https://www.773grp.com/globalSearch/QS74FCT162374ATPV/page-1", "QS74FCT162374ATPV")</f>
        <v>QS74FCT162374ATPV</v>
      </c>
      <c r="B46200" s="3" t="str">
        <f>HYPERLINK("https://www.773grp.com/manufacturer/onsemi?pageNo=746", "ON Semiconductor")</f>
        <v>ON Semiconductor</v>
      </c>
      <c r="C46200" s="6">
        <v>9425</v>
      </c>
      <c r="D46200" s="7">
        <v>3.49</v>
      </c>
      <c r="E46200" t="s">
        <v>14</v>
      </c>
    </row>
    <row r="46201" spans="1:5" x14ac:dyDescent="0.25">
      <c r="A46201" t="str">
        <f>HYPERLINK("https://www.773grp.com/globalSearch/QS74FCT162374TPV/page-1", "QS74FCT162374TPV")</f>
        <v>QS74FCT162374TPV</v>
      </c>
      <c r="B46201" s="3" t="str">
        <f>HYPERLINK("https://www.773grp.com/manufacturer/onsemi?pageNo=747", "ON Semiconductor")</f>
        <v>ON Semiconductor</v>
      </c>
      <c r="C46201" s="6">
        <v>1615</v>
      </c>
      <c r="D46201" s="7">
        <v>3.49</v>
      </c>
      <c r="E46201" t="s">
        <v>14</v>
      </c>
    </row>
    <row r="46202" spans="1:5" x14ac:dyDescent="0.25">
      <c r="A46202" t="str">
        <f>HYPERLINK("https://www.773grp.com/globalSearch/QS74FCT16240ATPA/page-1", "QS74FCT16240ATPA")</f>
        <v>QS74FCT16240ATPA</v>
      </c>
      <c r="B46202" s="3" t="str">
        <f>HYPERLINK("https://www.773grp.com/manufacturer/onsemi?pageNo=748", "ON Semiconductor")</f>
        <v>ON Semiconductor</v>
      </c>
      <c r="C46202" s="6">
        <v>3728</v>
      </c>
      <c r="D46202" s="7">
        <v>3.49</v>
      </c>
      <c r="E46202" t="s">
        <v>14</v>
      </c>
    </row>
    <row r="46203" spans="1:5" x14ac:dyDescent="0.25">
      <c r="A46203" t="str">
        <f>HYPERLINK("https://www.773grp.com/globalSearch/QS74FCT16240TPA/page-1", "QS74FCT16240TPA")</f>
        <v>QS74FCT16240TPA</v>
      </c>
      <c r="B46203" s="3" t="str">
        <f>HYPERLINK("https://www.773grp.com/manufacturer/onsemi?pageNo=749", "ON Semiconductor")</f>
        <v>ON Semiconductor</v>
      </c>
      <c r="C46203" s="6">
        <v>1710</v>
      </c>
      <c r="D46203" s="7">
        <v>3.49</v>
      </c>
      <c r="E46203" t="s">
        <v>14</v>
      </c>
    </row>
    <row r="46204" spans="1:5" x14ac:dyDescent="0.25">
      <c r="A46204" t="str">
        <f>HYPERLINK("https://www.773grp.com/globalSearch/QS74FCT16240TPV/page-1", "QS74FCT16240TPV")</f>
        <v>QS74FCT16240TPV</v>
      </c>
      <c r="B46204" s="3" t="str">
        <f>HYPERLINK("https://www.773grp.com/manufacturer/onsemi?pageNo=750", "ON Semiconductor")</f>
        <v>ON Semiconductor</v>
      </c>
      <c r="C46204" s="6">
        <v>823</v>
      </c>
      <c r="D46204" s="7">
        <v>3.49</v>
      </c>
      <c r="E46204" t="s">
        <v>14</v>
      </c>
    </row>
    <row r="46205" spans="1:5" x14ac:dyDescent="0.25">
      <c r="A46205" t="str">
        <f>HYPERLINK("https://www.773grp.com/globalSearch/QS74FCT16244TPA/page-1", "QS74FCT16244TPA")</f>
        <v>QS74FCT16244TPA</v>
      </c>
      <c r="B46205" s="3" t="str">
        <f>HYPERLINK("https://www.773grp.com/manufacturer/onsemi?pageNo=751", "ON Semiconductor")</f>
        <v>ON Semiconductor</v>
      </c>
      <c r="C46205" s="6">
        <v>900</v>
      </c>
      <c r="D46205" s="7">
        <v>3.49</v>
      </c>
      <c r="E46205" t="s">
        <v>14</v>
      </c>
    </row>
    <row r="46206" spans="1:5" x14ac:dyDescent="0.25">
      <c r="A46206" t="str">
        <f>HYPERLINK("https://www.773grp.com/globalSearch/QS74FCT16244TPV/page-1", "QS74FCT16244TPV")</f>
        <v>QS74FCT16244TPV</v>
      </c>
      <c r="B46206" s="3" t="str">
        <f>HYPERLINK("https://www.773grp.com/manufacturer/onsemi?pageNo=752", "ON Semiconductor")</f>
        <v>ON Semiconductor</v>
      </c>
      <c r="C46206" s="6">
        <v>194</v>
      </c>
      <c r="D46206" s="7">
        <v>3.49</v>
      </c>
      <c r="E46206" t="s">
        <v>14</v>
      </c>
    </row>
    <row r="46207" spans="1:5" x14ac:dyDescent="0.25">
      <c r="A46207" t="str">
        <f>HYPERLINK("https://www.773grp.com/globalSearch/QS74FCT16245ATPV/page-1", "QS74FCT16245ATPV")</f>
        <v>QS74FCT16245ATPV</v>
      </c>
      <c r="B46207" s="3" t="str">
        <f>HYPERLINK("https://www.773grp.com/manufacturer/onsemi?pageNo=753", "ON Semiconductor")</f>
        <v>ON Semiconductor</v>
      </c>
      <c r="C46207" s="6">
        <v>195</v>
      </c>
      <c r="D46207" s="7">
        <v>3.49</v>
      </c>
      <c r="E46207" t="s">
        <v>14</v>
      </c>
    </row>
    <row r="46208" spans="1:5" x14ac:dyDescent="0.25">
      <c r="A46208" t="str">
        <f>HYPERLINK("https://www.773grp.com/globalSearch/QS74FCT16245ATPVX-S257/page-1", "QS74FCT16245ATPVX-S257")</f>
        <v>QS74FCT16245ATPVX-S257</v>
      </c>
      <c r="B46208" s="3" t="str">
        <f>HYPERLINK("https://www.773grp.com/manufacturer/onsemi?pageNo=754", "ON Semiconductor")</f>
        <v>ON Semiconductor</v>
      </c>
      <c r="C46208" s="6">
        <v>2000</v>
      </c>
      <c r="D46208" s="7">
        <v>3.49</v>
      </c>
    </row>
    <row r="46209" spans="1:5" x14ac:dyDescent="0.25">
      <c r="A46209" t="str">
        <f>HYPERLINK("https://www.773grp.com/globalSearch/QS74FCT16245CTPA/page-1", "QS74FCT16245CTPA")</f>
        <v>QS74FCT16245CTPA</v>
      </c>
      <c r="B46209" s="3" t="str">
        <f>HYPERLINK("https://www.773grp.com/manufacturer/onsemi?pageNo=755", "ON Semiconductor")</f>
        <v>ON Semiconductor</v>
      </c>
      <c r="C46209" s="6">
        <v>233</v>
      </c>
      <c r="D46209" s="7">
        <v>3.49</v>
      </c>
      <c r="E46209" t="s">
        <v>14</v>
      </c>
    </row>
    <row r="46210" spans="1:5" x14ac:dyDescent="0.25">
      <c r="A46210" t="str">
        <f>HYPERLINK("https://www.773grp.com/globalSearch/QS74FCT16245CTPV/page-1", "QS74FCT16245CTPV")</f>
        <v>QS74FCT16245CTPV</v>
      </c>
      <c r="B46210" s="3" t="str">
        <f>HYPERLINK("https://www.773grp.com/manufacturer/onsemi?pageNo=756", "ON Semiconductor")</f>
        <v>ON Semiconductor</v>
      </c>
      <c r="C46210" s="6">
        <v>220</v>
      </c>
      <c r="D46210" s="7">
        <v>3.49</v>
      </c>
      <c r="E46210" t="s">
        <v>14</v>
      </c>
    </row>
    <row r="46211" spans="1:5" x14ac:dyDescent="0.25">
      <c r="A46211" t="str">
        <f>HYPERLINK("https://www.773grp.com/globalSearch/QS74FCT16245TPA/page-1", "QS74FCT16245TPA")</f>
        <v>QS74FCT16245TPA</v>
      </c>
      <c r="B46211" s="3" t="str">
        <f>HYPERLINK("https://www.773grp.com/manufacturer/onsemi?pageNo=757", "ON Semiconductor")</f>
        <v>ON Semiconductor</v>
      </c>
      <c r="C46211" s="6">
        <v>4228</v>
      </c>
      <c r="D46211" s="7">
        <v>3.49</v>
      </c>
      <c r="E46211" t="s">
        <v>14</v>
      </c>
    </row>
    <row r="46212" spans="1:5" x14ac:dyDescent="0.25">
      <c r="A46212" t="str">
        <f>HYPERLINK("https://www.773grp.com/globalSearch/QS74FCT16245TPV/page-1", "QS74FCT16245TPV")</f>
        <v>QS74FCT16245TPV</v>
      </c>
      <c r="B46212" s="3" t="str">
        <f>HYPERLINK("https://www.773grp.com/manufacturer/onsemi?pageNo=758", "ON Semiconductor")</f>
        <v>ON Semiconductor</v>
      </c>
      <c r="C46212" s="6">
        <v>12194</v>
      </c>
      <c r="D46212" s="7">
        <v>3.49</v>
      </c>
      <c r="E46212" t="s">
        <v>14</v>
      </c>
    </row>
    <row r="46213" spans="1:5" x14ac:dyDescent="0.25">
      <c r="A46213" t="str">
        <f>HYPERLINK("https://www.773grp.com/globalSearch/QS74FCT16245TPVX/page-1", "QS74FCT16245TPVX")</f>
        <v>QS74FCT16245TPVX</v>
      </c>
      <c r="B46213" s="3" t="str">
        <f>HYPERLINK("https://www.773grp.com/manufacturer/onsemi?pageNo=759", "ON Semiconductor")</f>
        <v>ON Semiconductor</v>
      </c>
      <c r="C46213" s="6">
        <v>5000</v>
      </c>
      <c r="D46213" s="7">
        <v>3.49</v>
      </c>
    </row>
    <row r="46214" spans="1:5" x14ac:dyDescent="0.25">
      <c r="A46214" t="str">
        <f>HYPERLINK("https://www.773grp.com/globalSearch/QS74FCT163244PA/page-1", "QS74FCT163244PA")</f>
        <v>QS74FCT163244PA</v>
      </c>
      <c r="B46214" s="3" t="str">
        <f>HYPERLINK("https://www.773grp.com/manufacturer/onsemi?pageNo=760", "ON Semiconductor")</f>
        <v>ON Semiconductor</v>
      </c>
      <c r="C46214" s="6">
        <v>2424</v>
      </c>
      <c r="D46214" s="7">
        <v>3.49</v>
      </c>
    </row>
    <row r="46215" spans="1:5" x14ac:dyDescent="0.25">
      <c r="A46215" t="str">
        <f>HYPERLINK("https://www.773grp.com/globalSearch/QS74FCT163245APA/page-1", "QS74FCT163245APA")</f>
        <v>QS74FCT163245APA</v>
      </c>
      <c r="B46215" s="3" t="str">
        <f>HYPERLINK("https://www.773grp.com/manufacturer/onsemi?pageNo=761", "ON Semiconductor")</f>
        <v>ON Semiconductor</v>
      </c>
      <c r="C46215" s="6">
        <v>3218</v>
      </c>
      <c r="D46215" s="7">
        <v>3.49</v>
      </c>
      <c r="E46215" t="s">
        <v>14</v>
      </c>
    </row>
    <row r="46216" spans="1:5" x14ac:dyDescent="0.25">
      <c r="A46216" t="str">
        <f>HYPERLINK("https://www.773grp.com/globalSearch/QS74FCT163245CPA/page-1", "QS74FCT163245CPA")</f>
        <v>QS74FCT163245CPA</v>
      </c>
      <c r="B46216" s="3" t="str">
        <f>HYPERLINK("https://www.773grp.com/manufacturer/onsemi?pageNo=762", "ON Semiconductor")</f>
        <v>ON Semiconductor</v>
      </c>
      <c r="C46216" s="6">
        <v>466</v>
      </c>
      <c r="D46216" s="7">
        <v>3.49</v>
      </c>
      <c r="E46216" t="s">
        <v>14</v>
      </c>
    </row>
    <row r="46217" spans="1:5" x14ac:dyDescent="0.25">
      <c r="A46217" t="str">
        <f>HYPERLINK("https://www.773grp.com/globalSearch/QS74FCT16373ATPV/page-1", "QS74FCT16373ATPV")</f>
        <v>QS74FCT16373ATPV</v>
      </c>
      <c r="B46217" s="3" t="str">
        <f>HYPERLINK("https://www.773grp.com/manufacturer/onsemi?pageNo=763", "ON Semiconductor")</f>
        <v>ON Semiconductor</v>
      </c>
      <c r="C46217" s="6">
        <v>87700</v>
      </c>
      <c r="D46217" s="7">
        <v>3.49</v>
      </c>
      <c r="E46217" t="s">
        <v>14</v>
      </c>
    </row>
    <row r="46218" spans="1:5" x14ac:dyDescent="0.25">
      <c r="A46218" t="str">
        <f>HYPERLINK("https://www.773grp.com/globalSearch/QS74FCT16373TPA/page-1", "QS74FCT16373TPA")</f>
        <v>QS74FCT16373TPA</v>
      </c>
      <c r="B46218" s="3" t="str">
        <f>HYPERLINK("https://www.773grp.com/manufacturer/onsemi?pageNo=764", "ON Semiconductor")</f>
        <v>ON Semiconductor</v>
      </c>
      <c r="C46218" s="6">
        <v>3528</v>
      </c>
      <c r="D46218" s="7">
        <v>3.49</v>
      </c>
      <c r="E46218" t="s">
        <v>14</v>
      </c>
    </row>
    <row r="46219" spans="1:5" x14ac:dyDescent="0.25">
      <c r="A46219" t="str">
        <f>HYPERLINK("https://www.773grp.com/globalSearch/QS74FCT16373TPV/page-1", "QS74FCT16373TPV")</f>
        <v>QS74FCT16373TPV</v>
      </c>
      <c r="B46219" s="3" t="str">
        <f>HYPERLINK("https://www.773grp.com/manufacturer/onsemi?pageNo=765", "ON Semiconductor")</f>
        <v>ON Semiconductor</v>
      </c>
      <c r="C46219" s="6">
        <v>11200</v>
      </c>
      <c r="D46219" s="7">
        <v>3.49</v>
      </c>
      <c r="E46219" t="s">
        <v>14</v>
      </c>
    </row>
    <row r="46220" spans="1:5" x14ac:dyDescent="0.25">
      <c r="A46220" t="str">
        <f>HYPERLINK("https://www.773grp.com/globalSearch/QS74FCT16374ATPA/page-1", "QS74FCT16374ATPA")</f>
        <v>QS74FCT16374ATPA</v>
      </c>
      <c r="B46220" s="3" t="str">
        <f>HYPERLINK("https://www.773grp.com/manufacturer/onsemi?pageNo=766", "ON Semiconductor")</f>
        <v>ON Semiconductor</v>
      </c>
      <c r="C46220" s="6">
        <v>4262</v>
      </c>
      <c r="D46220" s="7">
        <v>3.49</v>
      </c>
      <c r="E46220" t="s">
        <v>14</v>
      </c>
    </row>
    <row r="46221" spans="1:5" x14ac:dyDescent="0.25">
      <c r="A46221" t="str">
        <f>HYPERLINK("https://www.773grp.com/globalSearch/QS74FCT16374TPA/page-1", "QS74FCT16374TPA")</f>
        <v>QS74FCT16374TPA</v>
      </c>
      <c r="B46221" s="3" t="str">
        <f>HYPERLINK("https://www.773grp.com/manufacturer/onsemi?pageNo=767", "ON Semiconductor")</f>
        <v>ON Semiconductor</v>
      </c>
      <c r="C46221" s="6">
        <v>1221</v>
      </c>
      <c r="D46221" s="7">
        <v>3.49</v>
      </c>
      <c r="E46221" t="s">
        <v>14</v>
      </c>
    </row>
    <row r="46222" spans="1:5" x14ac:dyDescent="0.25">
      <c r="A46222" t="str">
        <f>HYPERLINK("https://www.773grp.com/globalSearch/QS74FCT16374TPV/page-1", "QS74FCT16374TPV")</f>
        <v>QS74FCT16374TPV</v>
      </c>
      <c r="B46222" s="3" t="str">
        <f>HYPERLINK("https://www.773grp.com/manufacturer/onsemi?pageNo=768", "ON Semiconductor")</f>
        <v>ON Semiconductor</v>
      </c>
      <c r="C46222" s="6">
        <v>181</v>
      </c>
      <c r="D46222" s="7">
        <v>3.49</v>
      </c>
      <c r="E46222" t="s">
        <v>14</v>
      </c>
    </row>
    <row r="46223" spans="1:5" x14ac:dyDescent="0.25">
      <c r="A46223" t="str">
        <f>HYPERLINK("https://www.773grp.com/globalSearch/QS74FCT163TSI/page-1", "QS74FCT163TSI")</f>
        <v>QS74FCT163TSI</v>
      </c>
      <c r="B46223" s="3" t="str">
        <f>HYPERLINK("https://www.773grp.com/manufacturer/onsemi?pageNo=769", "ON Semiconductor")</f>
        <v>ON Semiconductor</v>
      </c>
      <c r="C46223" s="6">
        <v>77776</v>
      </c>
      <c r="D46223" s="7">
        <v>3.49</v>
      </c>
    </row>
    <row r="46224" spans="1:5" x14ac:dyDescent="0.25">
      <c r="A46224" t="str">
        <f>HYPERLINK("https://www.773grp.com/globalSearch/QS74FCT238CTSI/page-1", "QS74FCT238CTSI")</f>
        <v>QS74FCT238CTSI</v>
      </c>
      <c r="B46224" s="3" t="str">
        <f>HYPERLINK("https://www.773grp.com/manufacturer/onsemi?pageNo=770", "ON Semiconductor")</f>
        <v>ON Semiconductor</v>
      </c>
      <c r="C46224" s="6">
        <v>160</v>
      </c>
      <c r="D46224" s="7">
        <v>3.49</v>
      </c>
    </row>
    <row r="46225" spans="1:5" x14ac:dyDescent="0.25">
      <c r="A46225" t="str">
        <f>HYPERLINK("https://www.773grp.com/globalSearch/QS74LCX16245APA/page-1", "QS74LCX16245APA")</f>
        <v>QS74LCX16245APA</v>
      </c>
      <c r="B46225" s="3" t="str">
        <f>HYPERLINK("https://www.773grp.com/manufacturer/onsemi?pageNo=771", "ON Semiconductor")</f>
        <v>ON Semiconductor</v>
      </c>
      <c r="C46225" s="6">
        <v>300</v>
      </c>
      <c r="D46225" s="7">
        <v>3.49</v>
      </c>
    </row>
    <row r="46226" spans="1:5" x14ac:dyDescent="0.25">
      <c r="A46226" t="str">
        <f>HYPERLINK("https://www.773grp.com/globalSearch/QS74LCX16245CPA/page-1", "QS74LCX16245CPA")</f>
        <v>QS74LCX16245CPA</v>
      </c>
      <c r="B46226" s="3" t="str">
        <f>HYPERLINK("https://www.773grp.com/manufacturer/onsemi?pageNo=772", "ON Semiconductor")</f>
        <v>ON Semiconductor</v>
      </c>
      <c r="C46226" s="6">
        <v>242</v>
      </c>
      <c r="D46226" s="7">
        <v>3.49</v>
      </c>
      <c r="E46226" t="s">
        <v>14</v>
      </c>
    </row>
    <row r="46227" spans="1:5" x14ac:dyDescent="0.25">
      <c r="A46227" t="str">
        <f>HYPERLINK("https://www.773grp.com/globalSearch/QS74FCT2541TQX-S251/page-1", "QS74FCT2541TQX-S251")</f>
        <v>QS74FCT2541TQX-S251</v>
      </c>
      <c r="B46227" s="3" t="str">
        <f>HYPERLINK("https://www.773grp.com/manufacturer/onsemi?pageNo=773", "ON Semiconductor")</f>
        <v>ON Semiconductor</v>
      </c>
      <c r="C46227" s="6">
        <v>55000</v>
      </c>
      <c r="D46227" s="7">
        <v>3.9</v>
      </c>
    </row>
    <row r="46228" spans="1:5" x14ac:dyDescent="0.25">
      <c r="A46228" t="str">
        <f>HYPERLINK("https://www.773grp.com/globalSearch/QS74FCT16244ATPAX/page-1", "QS74FCT16244ATPAX")</f>
        <v>QS74FCT16244ATPAX</v>
      </c>
      <c r="B46228" s="3" t="str">
        <f>HYPERLINK("https://www.773grp.com/manufacturer/onsemi?pageNo=774", "ON Semiconductor")</f>
        <v>ON Semiconductor</v>
      </c>
      <c r="C46228" s="6">
        <v>7500</v>
      </c>
      <c r="D46228" s="7">
        <v>3.55</v>
      </c>
    </row>
    <row r="46229" spans="1:5" x14ac:dyDescent="0.25">
      <c r="A46229" t="str">
        <f>HYPERLINK("https://www.773grp.com/globalSearch/QS74FCT534TQ/page-1", "QS74FCT534TQ")</f>
        <v>QS74FCT534TQ</v>
      </c>
      <c r="B46229" s="3" t="str">
        <f>HYPERLINK("https://www.773grp.com/manufacturer/onsemi?pageNo=775", "ON Semiconductor")</f>
        <v>ON Semiconductor</v>
      </c>
      <c r="C46229" s="6">
        <v>15513</v>
      </c>
      <c r="D46229" s="7">
        <v>3.55</v>
      </c>
      <c r="E46229" t="s">
        <v>14</v>
      </c>
    </row>
    <row r="46230" spans="1:5" x14ac:dyDescent="0.25">
      <c r="A46230" t="str">
        <f>HYPERLINK("https://www.773grp.com/globalSearch/QS74FCT540CTP/page-1", "QS74FCT540CTP")</f>
        <v>QS74FCT540CTP</v>
      </c>
      <c r="B46230" s="3" t="str">
        <f>HYPERLINK("https://www.773grp.com/manufacturer/onsemi?pageNo=776", "ON Semiconductor")</f>
        <v>ON Semiconductor</v>
      </c>
      <c r="C46230" s="6">
        <v>94</v>
      </c>
      <c r="D46230" s="7">
        <v>3.55</v>
      </c>
      <c r="E46230" t="s">
        <v>14</v>
      </c>
    </row>
    <row r="46231" spans="1:5" x14ac:dyDescent="0.25">
      <c r="A46231" t="str">
        <f>HYPERLINK("https://www.773grp.com/globalSearch/QS74FCT821TSO/page-1", "QS74FCT821TSO")</f>
        <v>QS74FCT821TSO</v>
      </c>
      <c r="B46231" s="3" t="str">
        <f>HYPERLINK("https://www.773grp.com/manufacturer/onsemi?pageNo=777", "ON Semiconductor")</f>
        <v>ON Semiconductor</v>
      </c>
      <c r="C46231" s="6">
        <v>673</v>
      </c>
      <c r="D46231" s="7">
        <v>3.55</v>
      </c>
    </row>
    <row r="46232" spans="1:5" x14ac:dyDescent="0.25">
      <c r="A46232" t="str">
        <f>HYPERLINK("https://www.773grp.com/globalSearch/QS74FCT823BTQX/page-1", "QS74FCT823BTQX")</f>
        <v>QS74FCT823BTQX</v>
      </c>
      <c r="B46232" s="3" t="str">
        <f>HYPERLINK("https://www.773grp.com/manufacturer/onsemi?pageNo=778", "ON Semiconductor")</f>
        <v>ON Semiconductor</v>
      </c>
      <c r="C46232" s="6">
        <v>2500</v>
      </c>
      <c r="D46232" s="7">
        <v>3.55</v>
      </c>
    </row>
    <row r="46233" spans="1:5" x14ac:dyDescent="0.25">
      <c r="A46233" t="str">
        <f>HYPERLINK("https://www.773grp.com/globalSearch/QS74FCT161TP/page-1", "QS74FCT161TP")</f>
        <v>QS74FCT161TP</v>
      </c>
      <c r="B46233" s="3" t="str">
        <f>HYPERLINK("https://www.773grp.com/manufacturer/onsemi?pageNo=779", "ON Semiconductor")</f>
        <v>ON Semiconductor</v>
      </c>
      <c r="C46233" s="6">
        <v>2777</v>
      </c>
      <c r="D46233" s="7">
        <v>3.95</v>
      </c>
      <c r="E46233" t="s">
        <v>26</v>
      </c>
    </row>
    <row r="46234" spans="1:5" x14ac:dyDescent="0.25">
      <c r="A46234" t="str">
        <f>HYPERLINK("https://www.773grp.com/globalSearch/QS74FCT161TQ/page-1", "QS74FCT161TQ")</f>
        <v>QS74FCT161TQ</v>
      </c>
      <c r="B46234" s="3" t="str">
        <f>HYPERLINK("https://www.773grp.com/manufacturer/onsemi?pageNo=780", "ON Semiconductor")</f>
        <v>ON Semiconductor</v>
      </c>
      <c r="C46234" s="6">
        <v>687</v>
      </c>
      <c r="D46234" s="7">
        <v>3.95</v>
      </c>
      <c r="E46234" t="s">
        <v>26</v>
      </c>
    </row>
    <row r="46235" spans="1:5" x14ac:dyDescent="0.25">
      <c r="A46235" t="str">
        <f>HYPERLINK("https://www.773grp.com/globalSearch/QS74FCT161TSO/page-1", "QS74FCT161TSO")</f>
        <v>QS74FCT161TSO</v>
      </c>
      <c r="B46235" s="3" t="str">
        <f>HYPERLINK("https://www.773grp.com/manufacturer/onsemi?pageNo=781", "ON Semiconductor")</f>
        <v>ON Semiconductor</v>
      </c>
      <c r="C46235" s="6">
        <v>415</v>
      </c>
      <c r="D46235" s="7">
        <v>3.95</v>
      </c>
      <c r="E46235" t="s">
        <v>26</v>
      </c>
    </row>
    <row r="46236" spans="1:5" x14ac:dyDescent="0.25">
      <c r="A46236" t="str">
        <f>HYPERLINK("https://www.773grp.com/globalSearch/QS74FCT2163ATSO/page-1", "QS74FCT2163ATSO")</f>
        <v>QS74FCT2163ATSO</v>
      </c>
      <c r="B46236" s="3" t="str">
        <f>HYPERLINK("https://www.773grp.com/manufacturer/onsemi?pageNo=782", "ON Semiconductor")</f>
        <v>ON Semiconductor</v>
      </c>
      <c r="C46236" s="6">
        <v>460</v>
      </c>
      <c r="D46236" s="7">
        <v>3.95</v>
      </c>
      <c r="E46236" t="s">
        <v>26</v>
      </c>
    </row>
    <row r="46237" spans="1:5" x14ac:dyDescent="0.25">
      <c r="A46237" t="str">
        <f>HYPERLINK("https://www.773grp.com/globalSearch/QS74FCT273TSO/page-1", "QS74FCT273TSO")</f>
        <v>QS74FCT273TSO</v>
      </c>
      <c r="B46237" s="3" t="str">
        <f>HYPERLINK("https://www.773grp.com/manufacturer/onsemi?pageNo=783", "ON Semiconductor")</f>
        <v>ON Semiconductor</v>
      </c>
      <c r="C46237" s="6">
        <v>77</v>
      </c>
      <c r="D46237" s="7">
        <v>3.95</v>
      </c>
      <c r="E46237" t="s">
        <v>35</v>
      </c>
    </row>
    <row r="46238" spans="1:5" x14ac:dyDescent="0.25">
      <c r="A46238" t="str">
        <f>HYPERLINK("https://www.773grp.com/globalSearch/QS54FCT646ATQ/page-1", "QS54FCT646ATQ")</f>
        <v>QS54FCT646ATQ</v>
      </c>
      <c r="B46238" s="3" t="str">
        <f>HYPERLINK("https://www.773grp.com/manufacturer/onsemi?pageNo=784", "ON Semiconductor")</f>
        <v>ON Semiconductor</v>
      </c>
      <c r="C46238" s="6">
        <v>192</v>
      </c>
      <c r="D46238" s="7">
        <v>3.6</v>
      </c>
      <c r="E46238" t="s">
        <v>14</v>
      </c>
    </row>
    <row r="46239" spans="1:5" x14ac:dyDescent="0.25">
      <c r="A46239" t="str">
        <f>HYPERLINK("https://www.773grp.com/globalSearch/QS74FCT2244DTQ/page-1", "QS74FCT2244DTQ")</f>
        <v>QS74FCT2244DTQ</v>
      </c>
      <c r="B46239" s="3" t="str">
        <f>HYPERLINK("https://www.773grp.com/manufacturer/onsemi?pageNo=785", "ON Semiconductor")</f>
        <v>ON Semiconductor</v>
      </c>
      <c r="C46239" s="6">
        <v>2317</v>
      </c>
      <c r="D46239" s="7">
        <v>3.6</v>
      </c>
      <c r="E46239" t="s">
        <v>14</v>
      </c>
    </row>
    <row r="46240" spans="1:5" x14ac:dyDescent="0.25">
      <c r="A46240" t="str">
        <f>HYPERLINK("https://www.773grp.com/globalSearch/QS74FCT162244ATPAX/page-1", "QS74FCT162244ATPAX")</f>
        <v>QS74FCT162244ATPAX</v>
      </c>
      <c r="B46240" s="3" t="str">
        <f>HYPERLINK("https://www.773grp.com/manufacturer/onsemi?pageNo=786", "ON Semiconductor")</f>
        <v>ON Semiconductor</v>
      </c>
      <c r="C46240" s="6">
        <v>5000</v>
      </c>
      <c r="D46240" s="7">
        <v>3.63</v>
      </c>
    </row>
    <row r="46241" spans="1:5" x14ac:dyDescent="0.25">
      <c r="A46241" t="str">
        <f>HYPERLINK("https://www.773grp.com/globalSearch/QS74FCT139ATS1X/page-1", "QS74FCT139ATS1X")</f>
        <v>QS74FCT139ATS1X</v>
      </c>
      <c r="B46241" s="3" t="str">
        <f>HYPERLINK("https://www.773grp.com/manufacturer/onsemi?pageNo=787", "ON Semiconductor")</f>
        <v>ON Semiconductor</v>
      </c>
      <c r="C46241" s="6">
        <v>2400</v>
      </c>
      <c r="D46241" s="7">
        <v>4.01</v>
      </c>
    </row>
    <row r="46242" spans="1:5" x14ac:dyDescent="0.25">
      <c r="A46242" t="str">
        <f>HYPERLINK("https://www.773grp.com/globalSearch/QS3251P/page-1", "QS3251P")</f>
        <v>QS3251P</v>
      </c>
      <c r="B46242" s="3" t="str">
        <f>HYPERLINK("https://www.773grp.com/manufacturer/onsemi?pageNo=788", "ON Semiconductor")</f>
        <v>ON Semiconductor</v>
      </c>
      <c r="C46242" s="6">
        <v>3380</v>
      </c>
      <c r="D46242" s="7">
        <v>4.0599999999999996</v>
      </c>
    </row>
    <row r="46243" spans="1:5" x14ac:dyDescent="0.25">
      <c r="A46243" t="str">
        <f>HYPERLINK("https://www.773grp.com/globalSearch/QS3253SIM/page-1", "QS3253SIM")</f>
        <v>QS3253SIM</v>
      </c>
      <c r="B46243" s="3" t="str">
        <f>HYPERLINK("https://www.773grp.com/manufacturer/onsemi?pageNo=789", "ON Semiconductor")</f>
        <v>ON Semiconductor</v>
      </c>
      <c r="C46243" s="6">
        <v>91</v>
      </c>
      <c r="D46243" s="7">
        <v>4.0599999999999996</v>
      </c>
    </row>
    <row r="46244" spans="1:5" x14ac:dyDescent="0.25">
      <c r="A46244" t="str">
        <f>HYPERLINK("https://www.773grp.com/globalSearch/QS74FCT238TS1X/page-1", "QS74FCT238TS1X")</f>
        <v>QS74FCT238TS1X</v>
      </c>
      <c r="B46244" s="3" t="str">
        <f>HYPERLINK("https://www.773grp.com/manufacturer/onsemi?pageNo=790", "ON Semiconductor")</f>
        <v>ON Semiconductor</v>
      </c>
      <c r="C46244" s="6">
        <v>10000</v>
      </c>
      <c r="D46244" s="7">
        <v>3.71</v>
      </c>
    </row>
    <row r="46245" spans="1:5" x14ac:dyDescent="0.25">
      <c r="A46245" t="str">
        <f>HYPERLINK("https://www.773grp.com/globalSearch/QS74FCT828BTQX/page-1", "QS74FCT828BTQX")</f>
        <v>QS74FCT828BTQX</v>
      </c>
      <c r="B46245" s="3" t="str">
        <f>HYPERLINK("https://www.773grp.com/manufacturer/onsemi?pageNo=791", "ON Semiconductor")</f>
        <v>ON Semiconductor</v>
      </c>
      <c r="C46245" s="6">
        <v>2500</v>
      </c>
      <c r="D46245" s="7">
        <v>3.71</v>
      </c>
    </row>
    <row r="46246" spans="1:5" x14ac:dyDescent="0.25">
      <c r="A46246" t="str">
        <f>HYPERLINK("https://www.773grp.com/globalSearch/QS74FCT828BTSO/page-1", "QS74FCT828BTSO")</f>
        <v>QS74FCT828BTSO</v>
      </c>
      <c r="B46246" s="3" t="str">
        <f>HYPERLINK("https://www.773grp.com/manufacturer/onsemi?pageNo=792", "ON Semiconductor")</f>
        <v>ON Semiconductor</v>
      </c>
      <c r="C46246" s="6">
        <v>1419</v>
      </c>
      <c r="D46246" s="7">
        <v>3.71</v>
      </c>
      <c r="E46246" t="s">
        <v>14</v>
      </c>
    </row>
    <row r="46247" spans="1:5" x14ac:dyDescent="0.25">
      <c r="A46247" t="str">
        <f>HYPERLINK("https://www.773grp.com/globalSearch/QS74FCT158ATSO/page-1", "QS74FCT158ATSO")</f>
        <v>QS74FCT158ATSO</v>
      </c>
      <c r="B46247" s="3" t="str">
        <f>HYPERLINK("https://www.773grp.com/manufacturer/onsemi?pageNo=793", "ON Semiconductor")</f>
        <v>ON Semiconductor</v>
      </c>
      <c r="C46247" s="6">
        <v>1448</v>
      </c>
      <c r="D46247" s="7">
        <v>4.16</v>
      </c>
      <c r="E46247" t="s">
        <v>20</v>
      </c>
    </row>
    <row r="46248" spans="1:5" x14ac:dyDescent="0.25">
      <c r="A46248" t="str">
        <f>HYPERLINK("https://www.773grp.com/globalSearch/QS74FCT16244CTPV/page-1", "QS74FCT16244CTPV")</f>
        <v>QS74FCT16244CTPV</v>
      </c>
      <c r="B46248" s="3" t="str">
        <f>HYPERLINK("https://www.773grp.com/manufacturer/onsemi?pageNo=794", "ON Semiconductor")</f>
        <v>ON Semiconductor</v>
      </c>
      <c r="C46248" s="6">
        <v>93</v>
      </c>
      <c r="D46248" s="7">
        <v>4.16</v>
      </c>
      <c r="E46248" t="s">
        <v>14</v>
      </c>
    </row>
    <row r="46249" spans="1:5" x14ac:dyDescent="0.25">
      <c r="A46249" t="str">
        <f>HYPERLINK("https://www.773grp.com/globalSearch/QS74FCT2257ATS0/page-1", "QS74FCT2257ATS0")</f>
        <v>QS74FCT2257ATS0</v>
      </c>
      <c r="B46249" s="3" t="str">
        <f>HYPERLINK("https://www.773grp.com/manufacturer/onsemi?pageNo=795", "ON Semiconductor")</f>
        <v>ON Semiconductor</v>
      </c>
      <c r="C46249" s="6">
        <v>617</v>
      </c>
      <c r="D46249" s="7">
        <v>4.16</v>
      </c>
    </row>
    <row r="46250" spans="1:5" x14ac:dyDescent="0.25">
      <c r="A46250" t="str">
        <f>HYPERLINK("https://www.773grp.com/globalSearch/QS74FCT2257ATS0X/page-1", "QS74FCT2257ATS0X")</f>
        <v>QS74FCT2257ATS0X</v>
      </c>
      <c r="B46250" s="3" t="str">
        <f>HYPERLINK("https://www.773grp.com/manufacturer/onsemi?pageNo=796", "ON Semiconductor")</f>
        <v>ON Semiconductor</v>
      </c>
      <c r="C46250" s="6">
        <v>8000</v>
      </c>
      <c r="D46250" s="7">
        <v>4.16</v>
      </c>
    </row>
    <row r="46251" spans="1:5" x14ac:dyDescent="0.25">
      <c r="A46251" t="str">
        <f>HYPERLINK("https://www.773grp.com/globalSearch/QS74FCT253TS1/page-1", "QS74FCT253TS1")</f>
        <v>QS74FCT253TS1</v>
      </c>
      <c r="B46251" s="3" t="str">
        <f>HYPERLINK("https://www.773grp.com/manufacturer/onsemi?pageNo=797", "ON Semiconductor")</f>
        <v>ON Semiconductor</v>
      </c>
      <c r="C46251" s="6">
        <v>364</v>
      </c>
      <c r="D46251" s="7">
        <v>4.16</v>
      </c>
      <c r="E46251" t="s">
        <v>20</v>
      </c>
    </row>
    <row r="46252" spans="1:5" x14ac:dyDescent="0.25">
      <c r="A46252" t="str">
        <f>HYPERLINK("https://www.773grp.com/globalSearch/QS74FCT2241TP/page-1", "QS74FCT2241TP")</f>
        <v>QS74FCT2241TP</v>
      </c>
      <c r="B46252" s="3" t="str">
        <f>HYPERLINK("https://www.773grp.com/manufacturer/onsemi?pageNo=798", "ON Semiconductor")</f>
        <v>ON Semiconductor</v>
      </c>
      <c r="C46252" s="6">
        <v>43</v>
      </c>
      <c r="D46252" s="7">
        <v>3.8</v>
      </c>
      <c r="E46252" t="s">
        <v>14</v>
      </c>
    </row>
    <row r="46253" spans="1:5" x14ac:dyDescent="0.25">
      <c r="A46253" t="str">
        <f>HYPERLINK("https://www.773grp.com/globalSearch/QS74FCT244TP/page-1", "QS74FCT244TP")</f>
        <v>QS74FCT244TP</v>
      </c>
      <c r="B46253" s="3" t="str">
        <f>HYPERLINK("https://www.773grp.com/manufacturer/onsemi?pageNo=799", "ON Semiconductor")</f>
        <v>ON Semiconductor</v>
      </c>
      <c r="C46253" s="6">
        <v>4258</v>
      </c>
      <c r="D46253" s="7">
        <v>3.8</v>
      </c>
      <c r="E46253" t="s">
        <v>14</v>
      </c>
    </row>
    <row r="46254" spans="1:5" x14ac:dyDescent="0.25">
      <c r="A46254" t="str">
        <f>HYPERLINK("https://www.773grp.com/globalSearch/QS74FCT377CTSO/page-1", "QS74FCT377CTSO")</f>
        <v>QS74FCT377CTSO</v>
      </c>
      <c r="B46254" s="3" t="str">
        <f>HYPERLINK("https://www.773grp.com/manufacturer/onsemi?pageNo=800", "ON Semiconductor")</f>
        <v>ON Semiconductor</v>
      </c>
      <c r="C46254" s="6">
        <v>764</v>
      </c>
      <c r="D46254" s="7">
        <v>3.8</v>
      </c>
      <c r="E46254" t="s">
        <v>35</v>
      </c>
    </row>
    <row r="46255" spans="1:5" x14ac:dyDescent="0.25">
      <c r="A46255" t="str">
        <f>HYPERLINK("https://www.773grp.com/globalSearch/QS74FCT521TS0/page-1", "QS74FCT521TS0")</f>
        <v>QS74FCT521TS0</v>
      </c>
      <c r="B46255" s="3" t="str">
        <f>HYPERLINK("https://www.773grp.com/manufacturer/onsemi?pageNo=801", "ON Semiconductor")</f>
        <v>ON Semiconductor</v>
      </c>
      <c r="C46255" s="6">
        <v>803</v>
      </c>
      <c r="D46255" s="7">
        <v>3.8</v>
      </c>
    </row>
    <row r="46256" spans="1:5" x14ac:dyDescent="0.25">
      <c r="A46256" t="str">
        <f>HYPERLINK("https://www.773grp.com/globalSearch/QS74FCT273ATSOX/page-1", "QS74FCT273ATSOX")</f>
        <v>QS74FCT273ATSOX</v>
      </c>
      <c r="B46256" s="3" t="str">
        <f>HYPERLINK("https://www.773grp.com/manufacturer/onsemi?pageNo=802", "ON Semiconductor")</f>
        <v>ON Semiconductor</v>
      </c>
      <c r="C46256" s="6">
        <v>2000</v>
      </c>
      <c r="D46256" s="7">
        <v>4.2300000000000004</v>
      </c>
    </row>
    <row r="46257" spans="1:5" x14ac:dyDescent="0.25">
      <c r="A46257" t="str">
        <f>HYPERLINK("https://www.773grp.com/globalSearch/QS54FCT138ATQ/page-1", "QS54FCT138ATQ")</f>
        <v>QS54FCT138ATQ</v>
      </c>
      <c r="B46257" s="3" t="str">
        <f>HYPERLINK("https://www.773grp.com/manufacturer/onsemi?pageNo=803", "ON Semiconductor")</f>
        <v>ON Semiconductor</v>
      </c>
      <c r="C46257" s="6">
        <v>65</v>
      </c>
      <c r="D46257" s="7">
        <v>3.83</v>
      </c>
      <c r="E46257" t="s">
        <v>36</v>
      </c>
    </row>
    <row r="46258" spans="1:5" x14ac:dyDescent="0.25">
      <c r="A46258" t="str">
        <f>HYPERLINK("https://www.773grp.com/globalSearch/QS74FCT2240TSO/page-1", "QS74FCT2240TSO")</f>
        <v>QS74FCT2240TSO</v>
      </c>
      <c r="B46258" s="3" t="str">
        <f>HYPERLINK("https://www.773grp.com/manufacturer/onsemi?pageNo=804", "ON Semiconductor")</f>
        <v>ON Semiconductor</v>
      </c>
      <c r="C46258" s="6">
        <v>1318</v>
      </c>
      <c r="D46258" s="7">
        <v>3.83</v>
      </c>
      <c r="E46258" t="s">
        <v>14</v>
      </c>
    </row>
    <row r="46259" spans="1:5" x14ac:dyDescent="0.25">
      <c r="A46259" t="str">
        <f>HYPERLINK("https://www.773grp.com/globalSearch/QS74FCT2241TSO/page-1", "QS74FCT2241TSO")</f>
        <v>QS74FCT2241TSO</v>
      </c>
      <c r="B46259" s="3" t="str">
        <f>HYPERLINK("https://www.773grp.com/manufacturer/onsemi?pageNo=805", "ON Semiconductor")</f>
        <v>ON Semiconductor</v>
      </c>
      <c r="C46259" s="6">
        <v>377</v>
      </c>
      <c r="D46259" s="7">
        <v>3.83</v>
      </c>
      <c r="E46259" t="s">
        <v>14</v>
      </c>
    </row>
    <row r="46260" spans="1:5" x14ac:dyDescent="0.25">
      <c r="A46260" t="str">
        <f>HYPERLINK("https://www.773grp.com/globalSearch/QS74FCT241TSO/page-1", "QS74FCT241TSO")</f>
        <v>QS74FCT241TSO</v>
      </c>
      <c r="B46260" s="3" t="str">
        <f>HYPERLINK("https://www.773grp.com/manufacturer/onsemi?pageNo=806", "ON Semiconductor")</f>
        <v>ON Semiconductor</v>
      </c>
      <c r="C46260" s="6">
        <v>790</v>
      </c>
      <c r="D46260" s="7">
        <v>3.83</v>
      </c>
      <c r="E46260" t="s">
        <v>14</v>
      </c>
    </row>
    <row r="46261" spans="1:5" x14ac:dyDescent="0.25">
      <c r="A46261" t="str">
        <f>HYPERLINK("https://www.773grp.com/globalSearch/QS74FCT244ATP/page-1", "QS74FCT244ATP")</f>
        <v>QS74FCT244ATP</v>
      </c>
      <c r="B46261" s="3" t="str">
        <f>HYPERLINK("https://www.773grp.com/manufacturer/onsemi?pageNo=807", "ON Semiconductor")</f>
        <v>ON Semiconductor</v>
      </c>
      <c r="C46261" s="6">
        <v>33191</v>
      </c>
      <c r="D46261" s="7">
        <v>3.83</v>
      </c>
      <c r="E46261" t="s">
        <v>14</v>
      </c>
    </row>
    <row r="46262" spans="1:5" x14ac:dyDescent="0.25">
      <c r="A46262" t="str">
        <f>HYPERLINK("https://www.773grp.com/globalSearch/QS74FCT2823ATP/page-1", "QS74FCT2823ATP")</f>
        <v>QS74FCT2823ATP</v>
      </c>
      <c r="B46262" s="3" t="str">
        <f>HYPERLINK("https://www.773grp.com/manufacturer/onsemi?pageNo=808", "ON Semiconductor")</f>
        <v>ON Semiconductor</v>
      </c>
      <c r="C46262" s="6">
        <v>906</v>
      </c>
      <c r="D46262" s="7">
        <v>3.83</v>
      </c>
      <c r="E46262" t="s">
        <v>14</v>
      </c>
    </row>
    <row r="46263" spans="1:5" x14ac:dyDescent="0.25">
      <c r="A46263" t="str">
        <f>HYPERLINK("https://www.773grp.com/globalSearch/QS74FCT2X240ATQ2/page-1", "QS74FCT2X240ATQ2")</f>
        <v>QS74FCT2X240ATQ2</v>
      </c>
      <c r="B46263" s="3" t="str">
        <f>HYPERLINK("https://www.773grp.com/manufacturer/onsemi?pageNo=809", "ON Semiconductor")</f>
        <v>ON Semiconductor</v>
      </c>
      <c r="C46263" s="6">
        <v>596</v>
      </c>
      <c r="D46263" s="7">
        <v>3.83</v>
      </c>
      <c r="E46263" t="s">
        <v>14</v>
      </c>
    </row>
    <row r="46264" spans="1:5" x14ac:dyDescent="0.25">
      <c r="A46264" t="str">
        <f>HYPERLINK("https://www.773grp.com/globalSearch/QS74FCT2X3244AQ2/page-1", "QS74FCT2X3244AQ2")</f>
        <v>QS74FCT2X3244AQ2</v>
      </c>
      <c r="B46264" s="3" t="str">
        <f>HYPERLINK("https://www.773grp.com/manufacturer/onsemi?pageNo=810", "ON Semiconductor")</f>
        <v>ON Semiconductor</v>
      </c>
      <c r="C46264" s="6">
        <v>517</v>
      </c>
      <c r="D46264" s="7">
        <v>3.83</v>
      </c>
      <c r="E46264" t="s">
        <v>14</v>
      </c>
    </row>
    <row r="46265" spans="1:5" x14ac:dyDescent="0.25">
      <c r="A46265" t="str">
        <f>HYPERLINK("https://www.773grp.com/globalSearch/QS74FCT2X3245AQ2/page-1", "QS74FCT2X3245AQ2")</f>
        <v>QS74FCT2X3245AQ2</v>
      </c>
      <c r="B46265" s="3" t="str">
        <f>HYPERLINK("https://www.773grp.com/manufacturer/onsemi?pageNo=811", "ON Semiconductor")</f>
        <v>ON Semiconductor</v>
      </c>
      <c r="C46265" s="6">
        <v>617</v>
      </c>
      <c r="D46265" s="7">
        <v>3.83</v>
      </c>
      <c r="E46265" t="s">
        <v>14</v>
      </c>
    </row>
    <row r="46266" spans="1:5" x14ac:dyDescent="0.25">
      <c r="A46266" t="str">
        <f>HYPERLINK("https://www.773grp.com/globalSearch/QS74FCT2X3245Q2/page-1", "QS74FCT2X3245Q2")</f>
        <v>QS74FCT2X3245Q2</v>
      </c>
      <c r="B46266" s="3" t="str">
        <f>HYPERLINK("https://www.773grp.com/manufacturer/onsemi?pageNo=812", "ON Semiconductor")</f>
        <v>ON Semiconductor</v>
      </c>
      <c r="C46266" s="6">
        <v>318</v>
      </c>
      <c r="D46266" s="7">
        <v>3.83</v>
      </c>
      <c r="E46266" t="s">
        <v>14</v>
      </c>
    </row>
    <row r="46267" spans="1:5" x14ac:dyDescent="0.25">
      <c r="A46267" t="str">
        <f>HYPERLINK("https://www.773grp.com/globalSearch/QS74FCT157TS1/page-1", "QS74FCT157TS1")</f>
        <v>QS74FCT157TS1</v>
      </c>
      <c r="B46267" s="3" t="str">
        <f>HYPERLINK("https://www.773grp.com/manufacturer/onsemi?pageNo=813", "ON Semiconductor")</f>
        <v>ON Semiconductor</v>
      </c>
      <c r="C46267" s="6">
        <v>2727</v>
      </c>
      <c r="D46267" s="7">
        <v>3.85</v>
      </c>
      <c r="E46267" t="s">
        <v>20</v>
      </c>
    </row>
    <row r="46268" spans="1:5" x14ac:dyDescent="0.25">
      <c r="A46268" t="str">
        <f>HYPERLINK("https://www.773grp.com/globalSearch/QS74FCT2153TSO/page-1", "QS74FCT2153TSO")</f>
        <v>QS74FCT2153TSO</v>
      </c>
      <c r="B46268" s="3" t="str">
        <f>HYPERLINK("https://www.773grp.com/manufacturer/onsemi?pageNo=814", "ON Semiconductor")</f>
        <v>ON Semiconductor</v>
      </c>
      <c r="C46268" s="6">
        <v>558</v>
      </c>
      <c r="D46268" s="7">
        <v>3.85</v>
      </c>
      <c r="E46268" t="s">
        <v>20</v>
      </c>
    </row>
    <row r="46269" spans="1:5" x14ac:dyDescent="0.25">
      <c r="A46269" t="str">
        <f>HYPERLINK("https://www.773grp.com/globalSearch/QS74FCT2273TS0/page-1", "QS74FCT2273TS0")</f>
        <v>QS74FCT2273TS0</v>
      </c>
      <c r="B46269" s="3" t="str">
        <f>HYPERLINK("https://www.773grp.com/manufacturer/onsemi?pageNo=815", "ON Semiconductor")</f>
        <v>ON Semiconductor</v>
      </c>
      <c r="C46269" s="6">
        <v>4372</v>
      </c>
      <c r="D46269" s="7">
        <v>3.85</v>
      </c>
    </row>
    <row r="46270" spans="1:5" x14ac:dyDescent="0.25">
      <c r="A46270" t="str">
        <f>HYPERLINK("https://www.773grp.com/globalSearch/QS74FCT377TQ/page-1", "QS74FCT377TQ")</f>
        <v>QS74FCT377TQ</v>
      </c>
      <c r="B46270" s="3" t="str">
        <f>HYPERLINK("https://www.773grp.com/manufacturer/onsemi?pageNo=816", "ON Semiconductor")</f>
        <v>ON Semiconductor</v>
      </c>
      <c r="C46270" s="6">
        <v>2094</v>
      </c>
      <c r="D46270" s="7">
        <v>3.85</v>
      </c>
      <c r="E46270" t="s">
        <v>35</v>
      </c>
    </row>
    <row r="46271" spans="1:5" x14ac:dyDescent="0.25">
      <c r="A46271" t="str">
        <f>HYPERLINK("https://www.773grp.com/globalSearch/QS54FCT2573TQ/page-1", "QS54FCT2573TQ")</f>
        <v>QS54FCT2573TQ</v>
      </c>
      <c r="B46271" s="3" t="str">
        <f>HYPERLINK("https://www.773grp.com/manufacturer/onsemi?pageNo=817", "ON Semiconductor")</f>
        <v>ON Semiconductor</v>
      </c>
      <c r="C46271" s="6">
        <v>302</v>
      </c>
      <c r="D46271" s="7">
        <v>4.28</v>
      </c>
      <c r="E46271" t="s">
        <v>14</v>
      </c>
    </row>
    <row r="46272" spans="1:5" x14ac:dyDescent="0.25">
      <c r="A46272" t="str">
        <f>HYPERLINK("https://www.773grp.com/globalSearch/QS54FCT373ATQ/page-1", "QS54FCT373ATQ")</f>
        <v>QS54FCT373ATQ</v>
      </c>
      <c r="B46272" s="3" t="str">
        <f>HYPERLINK("https://www.773grp.com/manufacturer/onsemi?pageNo=818", "ON Semiconductor")</f>
        <v>ON Semiconductor</v>
      </c>
      <c r="C46272" s="6">
        <v>1914</v>
      </c>
      <c r="D46272" s="7">
        <v>4.28</v>
      </c>
      <c r="E46272" t="s">
        <v>14</v>
      </c>
    </row>
    <row r="46273" spans="1:5" x14ac:dyDescent="0.25">
      <c r="A46273" t="str">
        <f>HYPERLINK("https://www.773grp.com/globalSearch/QS54FCT373TQ/page-1", "QS54FCT373TQ")</f>
        <v>QS54FCT373TQ</v>
      </c>
      <c r="B46273" s="3" t="str">
        <f>HYPERLINK("https://www.773grp.com/manufacturer/onsemi?pageNo=819", "ON Semiconductor")</f>
        <v>ON Semiconductor</v>
      </c>
      <c r="C46273" s="6">
        <v>156</v>
      </c>
      <c r="D46273" s="7">
        <v>4.28</v>
      </c>
      <c r="E46273" t="s">
        <v>14</v>
      </c>
    </row>
    <row r="46274" spans="1:5" x14ac:dyDescent="0.25">
      <c r="A46274" t="str">
        <f>HYPERLINK("https://www.773grp.com/globalSearch/QS74FCT158ATSOX/page-1", "QS74FCT158ATSOX")</f>
        <v>QS74FCT158ATSOX</v>
      </c>
      <c r="B46274" s="3" t="str">
        <f>HYPERLINK("https://www.773grp.com/manufacturer/onsemi?pageNo=820", "ON Semiconductor")</f>
        <v>ON Semiconductor</v>
      </c>
      <c r="C46274" s="6">
        <v>32000</v>
      </c>
      <c r="D46274" s="7">
        <v>4.28</v>
      </c>
    </row>
    <row r="46275" spans="1:5" x14ac:dyDescent="0.25">
      <c r="A46275" t="str">
        <f>HYPERLINK("https://www.773grp.com/globalSearch/QS32XL383Q1L/page-1", "QS32XL383Q1L")</f>
        <v>QS32XL383Q1L</v>
      </c>
      <c r="B46275" s="3" t="str">
        <f>HYPERLINK("https://www.773grp.com/manufacturer/onsemi?pageNo=821", "ON Semiconductor")</f>
        <v>ON Semiconductor</v>
      </c>
      <c r="C46275" s="6">
        <v>698</v>
      </c>
      <c r="D46275" s="7">
        <v>3.89</v>
      </c>
    </row>
    <row r="46276" spans="1:5" x14ac:dyDescent="0.25">
      <c r="A46276" t="str">
        <f>HYPERLINK("https://www.773grp.com/globalSearch/QS74FCT157TP/page-1", "QS74FCT157TP")</f>
        <v>QS74FCT157TP</v>
      </c>
      <c r="B46276" s="3" t="str">
        <f>HYPERLINK("https://www.773grp.com/manufacturer/onsemi?pageNo=822", "ON Semiconductor")</f>
        <v>ON Semiconductor</v>
      </c>
      <c r="C46276" s="6">
        <v>4420</v>
      </c>
      <c r="D46276" s="7">
        <v>3.89</v>
      </c>
      <c r="E46276" t="s">
        <v>20</v>
      </c>
    </row>
    <row r="46277" spans="1:5" x14ac:dyDescent="0.25">
      <c r="A46277" t="str">
        <f>HYPERLINK("https://www.773grp.com/globalSearch/QS74FCT273TP/page-1", "QS74FCT273TP")</f>
        <v>QS74FCT273TP</v>
      </c>
      <c r="B46277" s="3" t="str">
        <f>HYPERLINK("https://www.773grp.com/manufacturer/onsemi?pageNo=823", "ON Semiconductor")</f>
        <v>ON Semiconductor</v>
      </c>
      <c r="C46277" s="6">
        <v>18</v>
      </c>
      <c r="D46277" s="7">
        <v>3.89</v>
      </c>
      <c r="E46277" t="s">
        <v>35</v>
      </c>
    </row>
    <row r="46278" spans="1:5" x14ac:dyDescent="0.25">
      <c r="A46278" t="str">
        <f>HYPERLINK("https://www.773grp.com/globalSearch/QS74FCT2827ATS0/page-1", "QS74FCT2827ATS0")</f>
        <v>QS74FCT2827ATS0</v>
      </c>
      <c r="B46278" s="3" t="str">
        <f>HYPERLINK("https://www.773grp.com/manufacturer/onsemi?pageNo=824", "ON Semiconductor")</f>
        <v>ON Semiconductor</v>
      </c>
      <c r="C46278" s="6">
        <v>6854</v>
      </c>
      <c r="D46278" s="7">
        <v>4.33</v>
      </c>
    </row>
    <row r="46279" spans="1:5" x14ac:dyDescent="0.25">
      <c r="A46279" t="str">
        <f>HYPERLINK("https://www.773grp.com/globalSearch/QS74FCT540CTS0/page-1", "QS74FCT540CTS0")</f>
        <v>QS74FCT540CTS0</v>
      </c>
      <c r="B46279" s="3" t="str">
        <f>HYPERLINK("https://www.773grp.com/manufacturer/onsemi?pageNo=825", "ON Semiconductor")</f>
        <v>ON Semiconductor</v>
      </c>
      <c r="C46279" s="6">
        <v>1262</v>
      </c>
      <c r="D46279" s="7">
        <v>4.33</v>
      </c>
    </row>
    <row r="46280" spans="1:5" x14ac:dyDescent="0.25">
      <c r="A46280" t="str">
        <f>HYPERLINK("https://www.773grp.com/globalSearch/QS74FCT541CTQ-S253/page-1", "QS74FCT541CTQ-S253")</f>
        <v>QS74FCT541CTQ-S253</v>
      </c>
      <c r="B46280" s="3" t="str">
        <f>HYPERLINK("https://www.773grp.com/manufacturer/onsemi?pageNo=826", "ON Semiconductor")</f>
        <v>ON Semiconductor</v>
      </c>
      <c r="C46280" s="6">
        <v>71</v>
      </c>
      <c r="D46280" s="7">
        <v>4.33</v>
      </c>
    </row>
    <row r="46281" spans="1:5" x14ac:dyDescent="0.25">
      <c r="A46281" t="str">
        <f>HYPERLINK("https://www.773grp.com/globalSearch/QS74FCT574CTS0/page-1", "QS74FCT574CTS0")</f>
        <v>QS74FCT574CTS0</v>
      </c>
      <c r="B46281" s="3" t="str">
        <f>HYPERLINK("https://www.773grp.com/manufacturer/onsemi?pageNo=827", "ON Semiconductor")</f>
        <v>ON Semiconductor</v>
      </c>
      <c r="C46281" s="6">
        <v>152</v>
      </c>
      <c r="D46281" s="7">
        <v>4.33</v>
      </c>
    </row>
    <row r="46282" spans="1:5" x14ac:dyDescent="0.25">
      <c r="A46282" t="str">
        <f>HYPERLINK("https://www.773grp.com/globalSearch/QS74FCT841ATS0/page-1", "QS74FCT841ATS0")</f>
        <v>QS74FCT841ATS0</v>
      </c>
      <c r="B46282" s="3" t="str">
        <f>HYPERLINK("https://www.773grp.com/manufacturer/onsemi?pageNo=828", "ON Semiconductor")</f>
        <v>ON Semiconductor</v>
      </c>
      <c r="C46282" s="6">
        <v>7528</v>
      </c>
      <c r="D46282" s="7">
        <v>4.33</v>
      </c>
    </row>
    <row r="46283" spans="1:5" x14ac:dyDescent="0.25">
      <c r="A46283" t="str">
        <f>HYPERLINK("https://www.773grp.com/globalSearch/QS74FCT377TSOX/page-1", "QS74FCT377TSOX")</f>
        <v>QS74FCT377TSOX</v>
      </c>
      <c r="B46283" s="3" t="str">
        <f>HYPERLINK("https://www.773grp.com/manufacturer/onsemi?pageNo=829", "ON Semiconductor")</f>
        <v>ON Semiconductor</v>
      </c>
      <c r="C46283" s="6">
        <v>3000</v>
      </c>
      <c r="D46283" s="7">
        <v>3.96</v>
      </c>
    </row>
    <row r="46284" spans="1:5" x14ac:dyDescent="0.25">
      <c r="A46284" t="str">
        <f>HYPERLINK("https://www.773grp.com/globalSearch/QS74FCT540TSO/page-1", "QS74FCT540TSO")</f>
        <v>QS74FCT540TSO</v>
      </c>
      <c r="B46284" s="3" t="str">
        <f>HYPERLINK("https://www.773grp.com/manufacturer/onsemi?pageNo=830", "ON Semiconductor")</f>
        <v>ON Semiconductor</v>
      </c>
      <c r="C46284" s="6">
        <v>1386</v>
      </c>
      <c r="D46284" s="7">
        <v>3.96</v>
      </c>
      <c r="E46284" t="s">
        <v>14</v>
      </c>
    </row>
    <row r="46285" spans="1:5" x14ac:dyDescent="0.25">
      <c r="A46285" t="str">
        <f>HYPERLINK("https://www.773grp.com/globalSearch/QS74FCT640TS0/page-1", "QS74FCT640TS0")</f>
        <v>QS74FCT640TS0</v>
      </c>
      <c r="B46285" s="3" t="str">
        <f>HYPERLINK("https://www.773grp.com/manufacturer/onsemi?pageNo=831", "ON Semiconductor")</f>
        <v>ON Semiconductor</v>
      </c>
      <c r="C46285" s="6">
        <v>1710</v>
      </c>
      <c r="D46285" s="7">
        <v>3.96</v>
      </c>
    </row>
    <row r="46286" spans="1:5" x14ac:dyDescent="0.25">
      <c r="A46286" t="str">
        <f>HYPERLINK("https://www.773grp.com/globalSearch/QS74FCT161CTQ/page-1", "QS74FCT161CTQ")</f>
        <v>QS74FCT161CTQ</v>
      </c>
      <c r="B46286" s="3" t="str">
        <f>HYPERLINK("https://www.773grp.com/manufacturer/onsemi?pageNo=832", "ON Semiconductor")</f>
        <v>ON Semiconductor</v>
      </c>
      <c r="C46286" s="6">
        <v>2256</v>
      </c>
      <c r="D46286" s="7">
        <v>4</v>
      </c>
      <c r="E46286" t="s">
        <v>26</v>
      </c>
    </row>
    <row r="46287" spans="1:5" x14ac:dyDescent="0.25">
      <c r="A46287" t="str">
        <f>HYPERLINK("https://www.773grp.com/globalSearch/QS74FCT161CTS0/page-1", "QS74FCT161CTS0")</f>
        <v>QS74FCT161CTS0</v>
      </c>
      <c r="B46287" s="3" t="str">
        <f>HYPERLINK("https://www.773grp.com/manufacturer/onsemi?pageNo=833", "ON Semiconductor")</f>
        <v>ON Semiconductor</v>
      </c>
      <c r="C46287" s="6">
        <v>4990</v>
      </c>
      <c r="D46287" s="7">
        <v>4</v>
      </c>
    </row>
    <row r="46288" spans="1:5" x14ac:dyDescent="0.25">
      <c r="A46288" t="str">
        <f>HYPERLINK("https://www.773grp.com/globalSearch/QS74FCT161CTSO/page-1", "QS74FCT161CTSO")</f>
        <v>QS74FCT161CTSO</v>
      </c>
      <c r="B46288" s="3" t="str">
        <f>HYPERLINK("https://www.773grp.com/manufacturer/onsemi?pageNo=834", "ON Semiconductor")</f>
        <v>ON Semiconductor</v>
      </c>
      <c r="C46288" s="6">
        <v>66</v>
      </c>
      <c r="D46288" s="7">
        <v>4</v>
      </c>
      <c r="E46288" t="s">
        <v>26</v>
      </c>
    </row>
    <row r="46289" spans="1:5" x14ac:dyDescent="0.25">
      <c r="A46289" t="str">
        <f>HYPERLINK("https://www.773grp.com/globalSearch/QS74FCT2163CTSO/page-1", "QS74FCT2163CTSO")</f>
        <v>QS74FCT2163CTSO</v>
      </c>
      <c r="B46289" s="3" t="str">
        <f>HYPERLINK("https://www.773grp.com/manufacturer/onsemi?pageNo=835", "ON Semiconductor")</f>
        <v>ON Semiconductor</v>
      </c>
      <c r="C46289" s="6">
        <v>570</v>
      </c>
      <c r="D46289" s="7">
        <v>4</v>
      </c>
      <c r="E46289" t="s">
        <v>26</v>
      </c>
    </row>
    <row r="46290" spans="1:5" x14ac:dyDescent="0.25">
      <c r="A46290" t="str">
        <f>HYPERLINK("https://www.773grp.com/globalSearch/QS74FCT253CTSO/page-1", "QS74FCT253CTSO")</f>
        <v>QS74FCT253CTSO</v>
      </c>
      <c r="B46290" s="3" t="str">
        <f>HYPERLINK("https://www.773grp.com/manufacturer/onsemi?pageNo=836", "ON Semiconductor")</f>
        <v>ON Semiconductor</v>
      </c>
      <c r="C46290" s="6">
        <v>121</v>
      </c>
      <c r="D46290" s="7">
        <v>4</v>
      </c>
      <c r="E46290" t="s">
        <v>20</v>
      </c>
    </row>
    <row r="46291" spans="1:5" x14ac:dyDescent="0.25">
      <c r="A46291" t="str">
        <f>HYPERLINK("https://www.773grp.com/globalSearch/QS74FCT3240SO/page-1", "QS74FCT3240SO")</f>
        <v>QS74FCT3240SO</v>
      </c>
      <c r="B46291" s="3" t="str">
        <f>HYPERLINK("https://www.773grp.com/manufacturer/onsemi?pageNo=837", "ON Semiconductor")</f>
        <v>ON Semiconductor</v>
      </c>
      <c r="C46291" s="6">
        <v>178</v>
      </c>
      <c r="D46291" s="7">
        <v>4</v>
      </c>
      <c r="E46291" t="s">
        <v>14</v>
      </c>
    </row>
    <row r="46292" spans="1:5" x14ac:dyDescent="0.25">
      <c r="A46292" t="str">
        <f>HYPERLINK("https://www.773grp.com/globalSearch/QS54FCT2245CTQ/page-1", "QS54FCT2245CTQ")</f>
        <v>QS54FCT2245CTQ</v>
      </c>
      <c r="B46292" s="3" t="str">
        <f>HYPERLINK("https://www.773grp.com/manufacturer/onsemi?pageNo=838", "ON Semiconductor")</f>
        <v>ON Semiconductor</v>
      </c>
      <c r="C46292" s="6">
        <v>1002</v>
      </c>
      <c r="D46292" s="7">
        <v>4.01</v>
      </c>
      <c r="E46292" t="s">
        <v>14</v>
      </c>
    </row>
    <row r="46293" spans="1:5" x14ac:dyDescent="0.25">
      <c r="A46293" t="str">
        <f>HYPERLINK("https://www.773grp.com/globalSearch/QS74FCT2374CTQ/page-1", "QS74FCT2374CTQ")</f>
        <v>QS74FCT2374CTQ</v>
      </c>
      <c r="B46293" s="3" t="str">
        <f>HYPERLINK("https://www.773grp.com/manufacturer/onsemi?pageNo=839", "ON Semiconductor")</f>
        <v>ON Semiconductor</v>
      </c>
      <c r="C46293" s="6">
        <v>1500</v>
      </c>
      <c r="D46293" s="7">
        <v>4.01</v>
      </c>
      <c r="E46293" t="s">
        <v>14</v>
      </c>
    </row>
    <row r="46294" spans="1:5" x14ac:dyDescent="0.25">
      <c r="A46294" t="str">
        <f>HYPERLINK("https://www.773grp.com/globalSearch/QS74FCT373CTQ/page-1", "QS74FCT373CTQ")</f>
        <v>QS74FCT373CTQ</v>
      </c>
      <c r="B46294" s="3" t="str">
        <f>HYPERLINK("https://www.773grp.com/manufacturer/onsemi?pageNo=840", "ON Semiconductor")</f>
        <v>ON Semiconductor</v>
      </c>
      <c r="C46294" s="6">
        <v>2</v>
      </c>
      <c r="D46294" s="7">
        <v>4.01</v>
      </c>
      <c r="E46294" t="s">
        <v>14</v>
      </c>
    </row>
    <row r="46295" spans="1:5" x14ac:dyDescent="0.25">
      <c r="A46295" t="str">
        <f>HYPERLINK("https://www.773grp.com/globalSearch/QS74FCT373CTSO/page-1", "QS74FCT373CTSO")</f>
        <v>QS74FCT373CTSO</v>
      </c>
      <c r="B46295" s="3" t="str">
        <f>HYPERLINK("https://www.773grp.com/manufacturer/onsemi?pageNo=841", "ON Semiconductor")</f>
        <v>ON Semiconductor</v>
      </c>
      <c r="C46295" s="6">
        <v>217</v>
      </c>
      <c r="D46295" s="7">
        <v>4.01</v>
      </c>
      <c r="E46295" t="s">
        <v>14</v>
      </c>
    </row>
    <row r="46296" spans="1:5" x14ac:dyDescent="0.25">
      <c r="A46296" t="str">
        <f>HYPERLINK("https://www.773grp.com/globalSearch/QS74FCT573CTSO/page-1", "QS74FCT573CTSO")</f>
        <v>QS74FCT573CTSO</v>
      </c>
      <c r="B46296" s="3" t="str">
        <f>HYPERLINK("https://www.773grp.com/manufacturer/onsemi?pageNo=842", "ON Semiconductor")</f>
        <v>ON Semiconductor</v>
      </c>
      <c r="C46296" s="6">
        <v>64</v>
      </c>
      <c r="D46296" s="7">
        <v>4.01</v>
      </c>
      <c r="E46296" t="s">
        <v>14</v>
      </c>
    </row>
    <row r="46297" spans="1:5" x14ac:dyDescent="0.25">
      <c r="A46297" t="str">
        <f>HYPERLINK("https://www.773grp.com/globalSearch/QS74FCT2244CTSO/page-1", "QS74FCT2244CTSO")</f>
        <v>QS74FCT2244CTSO</v>
      </c>
      <c r="B46297" s="3" t="str">
        <f>HYPERLINK("https://www.773grp.com/manufacturer/onsemi?pageNo=843", "ON Semiconductor")</f>
        <v>ON Semiconductor</v>
      </c>
      <c r="C46297" s="6">
        <v>5594</v>
      </c>
      <c r="D46297" s="7">
        <v>4.49</v>
      </c>
      <c r="E46297" t="s">
        <v>14</v>
      </c>
    </row>
    <row r="46298" spans="1:5" x14ac:dyDescent="0.25">
      <c r="A46298" t="str">
        <f>HYPERLINK("https://www.773grp.com/globalSearch/QS74FCT241TS0/page-1", "QS74FCT241TS0")</f>
        <v>QS74FCT241TS0</v>
      </c>
      <c r="B46298" s="3" t="str">
        <f>HYPERLINK("https://www.773grp.com/manufacturer/onsemi?pageNo=844", "ON Semiconductor")</f>
        <v>ON Semiconductor</v>
      </c>
      <c r="C46298" s="6">
        <v>76</v>
      </c>
      <c r="D46298" s="7">
        <v>4.49</v>
      </c>
    </row>
    <row r="46299" spans="1:5" x14ac:dyDescent="0.25">
      <c r="A46299" t="str">
        <f>HYPERLINK("https://www.773grp.com/globalSearch/QS74FCT3573Q/page-1", "QS74FCT3573Q")</f>
        <v>QS74FCT3573Q</v>
      </c>
      <c r="B46299" s="3" t="str">
        <f>HYPERLINK("https://www.773grp.com/manufacturer/onsemi?pageNo=845", "ON Semiconductor")</f>
        <v>ON Semiconductor</v>
      </c>
      <c r="C46299" s="6">
        <v>2788</v>
      </c>
      <c r="D46299" s="7">
        <v>4.49</v>
      </c>
      <c r="E46299" t="s">
        <v>14</v>
      </c>
    </row>
    <row r="46300" spans="1:5" x14ac:dyDescent="0.25">
      <c r="A46300" t="str">
        <f>HYPERLINK("https://www.773grp.com/globalSearch/QS54FCT273ATS0/page-1", "QS54FCT273ATS0")</f>
        <v>QS54FCT273ATS0</v>
      </c>
      <c r="B46300" s="3" t="str">
        <f>HYPERLINK("https://www.773grp.com/manufacturer/onsemi?pageNo=846", "ON Semiconductor")</f>
        <v>ON Semiconductor</v>
      </c>
      <c r="C46300" s="6">
        <v>415</v>
      </c>
      <c r="D46300" s="7">
        <v>4.09</v>
      </c>
    </row>
    <row r="46301" spans="1:5" x14ac:dyDescent="0.25">
      <c r="A46301" t="str">
        <f>HYPERLINK("https://www.773grp.com/globalSearch/QS54FCT273ATSO/page-1", "QS54FCT273ATSO")</f>
        <v>QS54FCT273ATSO</v>
      </c>
      <c r="B46301" s="3" t="str">
        <f>HYPERLINK("https://www.773grp.com/manufacturer/onsemi?pageNo=847", "ON Semiconductor")</f>
        <v>ON Semiconductor</v>
      </c>
      <c r="C46301" s="6">
        <v>164</v>
      </c>
      <c r="D46301" s="7">
        <v>4.09</v>
      </c>
      <c r="E46301" t="s">
        <v>35</v>
      </c>
    </row>
    <row r="46302" spans="1:5" x14ac:dyDescent="0.25">
      <c r="A46302" t="str">
        <f>HYPERLINK("https://www.773grp.com/globalSearch/QS74FCT240TQ/page-1", "QS74FCT240TQ")</f>
        <v>QS74FCT240TQ</v>
      </c>
      <c r="B46302" s="3" t="str">
        <f>HYPERLINK("https://www.773grp.com/manufacturer/onsemi?pageNo=848", "ON Semiconductor")</f>
        <v>ON Semiconductor</v>
      </c>
      <c r="C46302" s="6">
        <v>1402</v>
      </c>
      <c r="D46302" s="7">
        <v>4.09</v>
      </c>
      <c r="E46302" t="s">
        <v>14</v>
      </c>
    </row>
    <row r="46303" spans="1:5" x14ac:dyDescent="0.25">
      <c r="A46303" t="str">
        <f>HYPERLINK("https://www.773grp.com/globalSearch/QS54FCT245CTS0/page-1", "QS54FCT245CTS0")</f>
        <v>QS54FCT245CTS0</v>
      </c>
      <c r="B46303" s="3" t="str">
        <f>HYPERLINK("https://www.773grp.com/manufacturer/onsemi?pageNo=849", "ON Semiconductor")</f>
        <v>ON Semiconductor</v>
      </c>
      <c r="C46303" s="6">
        <v>3567</v>
      </c>
      <c r="D46303" s="7">
        <v>4.54</v>
      </c>
    </row>
    <row r="46304" spans="1:5" x14ac:dyDescent="0.25">
      <c r="A46304" t="str">
        <f>HYPERLINK("https://www.773grp.com/globalSearch/QS54FCT245CTSO/page-1", "QS54FCT245CTSO")</f>
        <v>QS54FCT245CTSO</v>
      </c>
      <c r="B46304" s="3" t="str">
        <f>HYPERLINK("https://www.773grp.com/manufacturer/onsemi?pageNo=850", "ON Semiconductor")</f>
        <v>ON Semiconductor</v>
      </c>
      <c r="C46304" s="6">
        <v>69</v>
      </c>
      <c r="D46304" s="7">
        <v>4.54</v>
      </c>
      <c r="E46304" t="s">
        <v>14</v>
      </c>
    </row>
    <row r="46305" spans="1:5" x14ac:dyDescent="0.25">
      <c r="A46305" t="str">
        <f>HYPERLINK("https://www.773grp.com/globalSearch/QS54FCT2573ATQ/page-1", "QS54FCT2573ATQ")</f>
        <v>QS54FCT2573ATQ</v>
      </c>
      <c r="B46305" s="3" t="str">
        <f>HYPERLINK("https://www.773grp.com/manufacturer/onsemi?pageNo=851", "ON Semiconductor")</f>
        <v>ON Semiconductor</v>
      </c>
      <c r="C46305" s="6">
        <v>209</v>
      </c>
      <c r="D46305" s="7">
        <v>4.54</v>
      </c>
      <c r="E46305" t="s">
        <v>14</v>
      </c>
    </row>
    <row r="46306" spans="1:5" x14ac:dyDescent="0.25">
      <c r="A46306" t="str">
        <f>HYPERLINK("https://www.773grp.com/globalSearch/QS54FCT374TQ/page-1", "QS54FCT374TQ")</f>
        <v>QS54FCT374TQ</v>
      </c>
      <c r="B46306" s="3" t="str">
        <f>HYPERLINK("https://www.773grp.com/manufacturer/onsemi?pageNo=852", "ON Semiconductor")</f>
        <v>ON Semiconductor</v>
      </c>
      <c r="C46306" s="6">
        <v>67</v>
      </c>
      <c r="D46306" s="7">
        <v>4.54</v>
      </c>
      <c r="E46306" t="s">
        <v>14</v>
      </c>
    </row>
    <row r="46307" spans="1:5" x14ac:dyDescent="0.25">
      <c r="A46307" t="str">
        <f>HYPERLINK("https://www.773grp.com/globalSearch/QS54FCT540ATQ/page-1", "QS54FCT540ATQ")</f>
        <v>QS54FCT540ATQ</v>
      </c>
      <c r="B46307" s="3" t="str">
        <f>HYPERLINK("https://www.773grp.com/manufacturer/onsemi?pageNo=853", "ON Semiconductor")</f>
        <v>ON Semiconductor</v>
      </c>
      <c r="C46307" s="6">
        <v>502</v>
      </c>
      <c r="D46307" s="7">
        <v>4.54</v>
      </c>
      <c r="E46307" t="s">
        <v>14</v>
      </c>
    </row>
    <row r="46308" spans="1:5" x14ac:dyDescent="0.25">
      <c r="A46308" t="str">
        <f>HYPERLINK("https://www.773grp.com/globalSearch/QS74FCT646ATQX/page-1", "QS74FCT646ATQX")</f>
        <v>QS74FCT646ATQX</v>
      </c>
      <c r="B46308" s="3" t="str">
        <f>HYPERLINK("https://www.773grp.com/manufacturer/onsemi?pageNo=854", "ON Semiconductor")</f>
        <v>ON Semiconductor</v>
      </c>
      <c r="C46308" s="6">
        <v>30000</v>
      </c>
      <c r="D46308" s="7">
        <v>4.0999999999999996</v>
      </c>
    </row>
    <row r="46309" spans="1:5" x14ac:dyDescent="0.25">
      <c r="A46309" t="str">
        <f>HYPERLINK("https://www.773grp.com/globalSearch/QS74FCT651TQ/page-1", "QS74FCT651TQ")</f>
        <v>QS74FCT651TQ</v>
      </c>
      <c r="B46309" s="3" t="str">
        <f>HYPERLINK("https://www.773grp.com/manufacturer/onsemi?pageNo=855", "ON Semiconductor")</f>
        <v>ON Semiconductor</v>
      </c>
      <c r="C46309" s="6">
        <v>1022</v>
      </c>
      <c r="D46309" s="7">
        <v>4.0999999999999996</v>
      </c>
      <c r="E46309" t="s">
        <v>14</v>
      </c>
    </row>
    <row r="46310" spans="1:5" x14ac:dyDescent="0.25">
      <c r="A46310" t="str">
        <f>HYPERLINK("https://www.773grp.com/globalSearch/QS74FCT157CTSO/page-1", "QS74FCT157CTSO")</f>
        <v>QS74FCT157CTSO</v>
      </c>
      <c r="B46310" s="3" t="str">
        <f>HYPERLINK("https://www.773grp.com/manufacturer/onsemi?pageNo=856", "ON Semiconductor")</f>
        <v>ON Semiconductor</v>
      </c>
      <c r="C46310" s="6">
        <v>291</v>
      </c>
      <c r="D46310" s="7">
        <v>4.16</v>
      </c>
      <c r="E46310" t="s">
        <v>20</v>
      </c>
    </row>
    <row r="46311" spans="1:5" x14ac:dyDescent="0.25">
      <c r="A46311" t="str">
        <f>HYPERLINK("https://www.773grp.com/globalSearch/QS74FCT253CTQ/page-1", "QS74FCT253CTQ")</f>
        <v>QS74FCT253CTQ</v>
      </c>
      <c r="B46311" s="3" t="str">
        <f>HYPERLINK("https://www.773grp.com/manufacturer/onsemi?pageNo=857", "ON Semiconductor")</f>
        <v>ON Semiconductor</v>
      </c>
      <c r="C46311" s="6">
        <v>240</v>
      </c>
      <c r="D46311" s="7">
        <v>4.16</v>
      </c>
      <c r="E46311" t="s">
        <v>20</v>
      </c>
    </row>
    <row r="46312" spans="1:5" x14ac:dyDescent="0.25">
      <c r="A46312" t="str">
        <f>HYPERLINK("https://www.773grp.com/globalSearch/QS74FCT2273TQ/page-1", "QS74FCT2273TQ")</f>
        <v>QS74FCT2273TQ</v>
      </c>
      <c r="B46312" s="3" t="str">
        <f>HYPERLINK("https://www.773grp.com/manufacturer/onsemi?pageNo=858", "ON Semiconductor")</f>
        <v>ON Semiconductor</v>
      </c>
      <c r="C46312" s="6">
        <v>2500</v>
      </c>
      <c r="D46312" s="7">
        <v>4.6399999999999997</v>
      </c>
      <c r="E46312" t="s">
        <v>35</v>
      </c>
    </row>
    <row r="46313" spans="1:5" x14ac:dyDescent="0.25">
      <c r="A46313" t="str">
        <f>HYPERLINK("https://www.773grp.com/globalSearch/QS74FCT191TSI/page-1", "QS74FCT191TSI")</f>
        <v>QS74FCT191TSI</v>
      </c>
      <c r="B46313" s="3" t="str">
        <f>HYPERLINK("https://www.773grp.com/manufacturer/onsemi?pageNo=859", "ON Semiconductor")</f>
        <v>ON Semiconductor</v>
      </c>
      <c r="C46313" s="6">
        <v>232</v>
      </c>
      <c r="D46313" s="7">
        <v>4.2300000000000004</v>
      </c>
    </row>
    <row r="46314" spans="1:5" x14ac:dyDescent="0.25">
      <c r="A46314" t="str">
        <f>HYPERLINK("https://www.773grp.com/globalSearch/QS74FCT253TQ/page-1", "QS74FCT253TQ")</f>
        <v>QS74FCT253TQ</v>
      </c>
      <c r="B46314" s="3" t="str">
        <f>HYPERLINK("https://www.773grp.com/manufacturer/onsemi?pageNo=860", "ON Semiconductor")</f>
        <v>ON Semiconductor</v>
      </c>
      <c r="C46314" s="6">
        <v>2279</v>
      </c>
      <c r="D46314" s="7">
        <v>4.2300000000000004</v>
      </c>
      <c r="E46314" t="s">
        <v>20</v>
      </c>
    </row>
    <row r="46315" spans="1:5" x14ac:dyDescent="0.25">
      <c r="A46315" t="str">
        <f>HYPERLINK("https://www.773grp.com/globalSearch/QS74FCT521BTS0/page-1", "QS74FCT521BTS0")</f>
        <v>QS74FCT521BTS0</v>
      </c>
      <c r="B46315" s="3" t="str">
        <f>HYPERLINK("https://www.773grp.com/manufacturer/onsemi?pageNo=861", "ON Semiconductor")</f>
        <v>ON Semiconductor</v>
      </c>
      <c r="C46315" s="6">
        <v>4368</v>
      </c>
      <c r="D46315" s="7">
        <v>4.2300000000000004</v>
      </c>
    </row>
    <row r="46316" spans="1:5" x14ac:dyDescent="0.25">
      <c r="A46316" t="str">
        <f>HYPERLINK("https://www.773grp.com/globalSearch/QS74FCT521BTSO/page-1", "QS74FCT521BTSO")</f>
        <v>QS74FCT521BTSO</v>
      </c>
      <c r="B46316" s="3" t="str">
        <f>HYPERLINK("https://www.773grp.com/manufacturer/onsemi?pageNo=862", "ON Semiconductor")</f>
        <v>ON Semiconductor</v>
      </c>
      <c r="C46316" s="6">
        <v>60</v>
      </c>
      <c r="D46316" s="7">
        <v>4.2300000000000004</v>
      </c>
      <c r="E46316" t="s">
        <v>43</v>
      </c>
    </row>
    <row r="46317" spans="1:5" x14ac:dyDescent="0.25">
      <c r="A46317" t="str">
        <f>HYPERLINK("https://www.773grp.com/globalSearch/QS74FCT521CTQ/page-1", "QS74FCT521CTQ")</f>
        <v>QS74FCT521CTQ</v>
      </c>
      <c r="B46317" s="3" t="str">
        <f>HYPERLINK("https://www.773grp.com/manufacturer/onsemi?pageNo=863", "ON Semiconductor")</f>
        <v>ON Semiconductor</v>
      </c>
      <c r="C46317" s="6">
        <v>318</v>
      </c>
      <c r="D46317" s="7">
        <v>4.2300000000000004</v>
      </c>
      <c r="E46317" t="s">
        <v>43</v>
      </c>
    </row>
    <row r="46318" spans="1:5" x14ac:dyDescent="0.25">
      <c r="A46318" t="str">
        <f>HYPERLINK("https://www.773grp.com/globalSearch/QS74FCT521CTS0/page-1", "QS74FCT521CTS0")</f>
        <v>QS74FCT521CTS0</v>
      </c>
      <c r="B46318" s="3" t="str">
        <f>HYPERLINK("https://www.773grp.com/manufacturer/onsemi?pageNo=864", "ON Semiconductor")</f>
        <v>ON Semiconductor</v>
      </c>
      <c r="C46318" s="6">
        <v>6212</v>
      </c>
      <c r="D46318" s="7">
        <v>4.2300000000000004</v>
      </c>
    </row>
    <row r="46319" spans="1:5" x14ac:dyDescent="0.25">
      <c r="A46319" t="str">
        <f>HYPERLINK("https://www.773grp.com/globalSearch/QS74FCT521CTS0X/page-1", "QS74FCT521CTS0X")</f>
        <v>QS74FCT521CTS0X</v>
      </c>
      <c r="B46319" s="3" t="str">
        <f>HYPERLINK("https://www.773grp.com/manufacturer/onsemi?pageNo=865", "ON Semiconductor")</f>
        <v>ON Semiconductor</v>
      </c>
      <c r="C46319" s="6">
        <v>1000</v>
      </c>
      <c r="D46319" s="7">
        <v>4.2300000000000004</v>
      </c>
    </row>
    <row r="46320" spans="1:5" x14ac:dyDescent="0.25">
      <c r="A46320" t="str">
        <f>HYPERLINK("https://www.773grp.com/globalSearch/QS74FCT521CTSOX/page-1", "QS74FCT521CTSOX")</f>
        <v>QS74FCT521CTSOX</v>
      </c>
      <c r="B46320" s="3" t="str">
        <f>HYPERLINK("https://www.773grp.com/manufacturer/onsemi?pageNo=866", "ON Semiconductor")</f>
        <v>ON Semiconductor</v>
      </c>
      <c r="C46320" s="6">
        <v>6000</v>
      </c>
      <c r="D46320" s="7">
        <v>4.2300000000000004</v>
      </c>
    </row>
    <row r="46321" spans="1:5" x14ac:dyDescent="0.25">
      <c r="A46321" t="str">
        <f>HYPERLINK("https://www.773grp.com/globalSearch/QS74FCT521TQ/page-1", "QS74FCT521TQ")</f>
        <v>QS74FCT521TQ</v>
      </c>
      <c r="B46321" s="3" t="str">
        <f>HYPERLINK("https://www.773grp.com/manufacturer/onsemi?pageNo=867", "ON Semiconductor")</f>
        <v>ON Semiconductor</v>
      </c>
      <c r="C46321" s="6">
        <v>2113</v>
      </c>
      <c r="D46321" s="7">
        <v>4.2300000000000004</v>
      </c>
      <c r="E46321" t="s">
        <v>43</v>
      </c>
    </row>
    <row r="46322" spans="1:5" x14ac:dyDescent="0.25">
      <c r="A46322" t="str">
        <f>HYPERLINK("https://www.773grp.com/globalSearch/QS74FCT162240CTPV/page-1", "QS74FCT162240CTPV")</f>
        <v>QS74FCT162240CTPV</v>
      </c>
      <c r="B46322" s="3" t="str">
        <f>HYPERLINK("https://www.773grp.com/manufacturer/onsemi?pageNo=868", "ON Semiconductor")</f>
        <v>ON Semiconductor</v>
      </c>
      <c r="C46322" s="6">
        <v>7454</v>
      </c>
      <c r="D46322" s="7">
        <v>4.25</v>
      </c>
      <c r="E46322" t="s">
        <v>14</v>
      </c>
    </row>
    <row r="46323" spans="1:5" x14ac:dyDescent="0.25">
      <c r="A46323" t="str">
        <f>HYPERLINK("https://www.773grp.com/globalSearch/QS74FCT162373CTPA/page-1", "QS74FCT162373CTPA")</f>
        <v>QS74FCT162373CTPA</v>
      </c>
      <c r="B46323" s="3" t="str">
        <f>HYPERLINK("https://www.773grp.com/manufacturer/onsemi?pageNo=869", "ON Semiconductor")</f>
        <v>ON Semiconductor</v>
      </c>
      <c r="C46323" s="6">
        <v>4177</v>
      </c>
      <c r="D46323" s="7">
        <v>4.25</v>
      </c>
      <c r="E46323" t="s">
        <v>14</v>
      </c>
    </row>
    <row r="46324" spans="1:5" x14ac:dyDescent="0.25">
      <c r="A46324" t="str">
        <f>HYPERLINK("https://www.773grp.com/globalSearch/QS74FCT162374CTPA/page-1", "QS74FCT162374CTPA")</f>
        <v>QS74FCT162374CTPA</v>
      </c>
      <c r="B46324" s="3" t="str">
        <f>HYPERLINK("https://www.773grp.com/manufacturer/onsemi?pageNo=870", "ON Semiconductor")</f>
        <v>ON Semiconductor</v>
      </c>
      <c r="C46324" s="6">
        <v>2175</v>
      </c>
      <c r="D46324" s="7">
        <v>4.25</v>
      </c>
      <c r="E46324" t="s">
        <v>14</v>
      </c>
    </row>
    <row r="46325" spans="1:5" x14ac:dyDescent="0.25">
      <c r="A46325" t="str">
        <f>HYPERLINK("https://www.773grp.com/globalSearch/QS74FCT162374CTPV/page-1", "QS74FCT162374CTPV")</f>
        <v>QS74FCT162374CTPV</v>
      </c>
      <c r="B46325" s="3" t="str">
        <f>HYPERLINK("https://www.773grp.com/manufacturer/onsemi?pageNo=871", "ON Semiconductor")</f>
        <v>ON Semiconductor</v>
      </c>
      <c r="C46325" s="6">
        <v>535</v>
      </c>
      <c r="D46325" s="7">
        <v>4.25</v>
      </c>
      <c r="E46325" t="s">
        <v>14</v>
      </c>
    </row>
    <row r="46326" spans="1:5" x14ac:dyDescent="0.25">
      <c r="A46326" t="str">
        <f>HYPERLINK("https://www.773grp.com/globalSearch/QS74FCT16240CTPA/page-1", "QS74FCT16240CTPA")</f>
        <v>QS74FCT16240CTPA</v>
      </c>
      <c r="B46326" s="3" t="str">
        <f>HYPERLINK("https://www.773grp.com/manufacturer/onsemi?pageNo=872", "ON Semiconductor")</f>
        <v>ON Semiconductor</v>
      </c>
      <c r="C46326" s="6">
        <v>3419</v>
      </c>
      <c r="D46326" s="7">
        <v>4.25</v>
      </c>
      <c r="E46326" t="s">
        <v>14</v>
      </c>
    </row>
    <row r="46327" spans="1:5" x14ac:dyDescent="0.25">
      <c r="A46327" t="str">
        <f>HYPERLINK("https://www.773grp.com/globalSearch/QS74FCT16240CTPV/page-1", "QS74FCT16240CTPV")</f>
        <v>QS74FCT16240CTPV</v>
      </c>
      <c r="B46327" s="3" t="str">
        <f>HYPERLINK("https://www.773grp.com/manufacturer/onsemi?pageNo=873", "ON Semiconductor")</f>
        <v>ON Semiconductor</v>
      </c>
      <c r="C46327" s="6">
        <v>3204</v>
      </c>
      <c r="D46327" s="7">
        <v>4.25</v>
      </c>
      <c r="E46327" t="s">
        <v>14</v>
      </c>
    </row>
    <row r="46328" spans="1:5" x14ac:dyDescent="0.25">
      <c r="A46328" t="str">
        <f>HYPERLINK("https://www.773grp.com/globalSearch/QS74FCT16373CTPA/page-1", "QS74FCT16373CTPA")</f>
        <v>QS74FCT16373CTPA</v>
      </c>
      <c r="B46328" s="3" t="str">
        <f>HYPERLINK("https://www.773grp.com/manufacturer/onsemi?pageNo=874", "ON Semiconductor")</f>
        <v>ON Semiconductor</v>
      </c>
      <c r="C46328" s="6">
        <v>366</v>
      </c>
      <c r="D46328" s="7">
        <v>4.25</v>
      </c>
      <c r="E46328" t="s">
        <v>14</v>
      </c>
    </row>
    <row r="46329" spans="1:5" x14ac:dyDescent="0.25">
      <c r="A46329" t="str">
        <f>HYPERLINK("https://www.773grp.com/globalSearch/QS74FCT16374CTPV/page-1", "QS74FCT16374CTPV")</f>
        <v>QS74FCT16374CTPV</v>
      </c>
      <c r="B46329" s="3" t="str">
        <f>HYPERLINK("https://www.773grp.com/manufacturer/onsemi?pageNo=875", "ON Semiconductor")</f>
        <v>ON Semiconductor</v>
      </c>
      <c r="C46329" s="6">
        <v>2706</v>
      </c>
      <c r="D46329" s="7">
        <v>4.25</v>
      </c>
      <c r="E46329" t="s">
        <v>14</v>
      </c>
    </row>
    <row r="46330" spans="1:5" x14ac:dyDescent="0.25">
      <c r="A46330" t="str">
        <f>HYPERLINK("https://www.773grp.com/globalSearch/QS74FCT163ATS1/page-1", "QS74FCT163ATS1")</f>
        <v>QS74FCT163ATS1</v>
      </c>
      <c r="B46330" s="3" t="str">
        <f>HYPERLINK("https://www.773grp.com/manufacturer/onsemi?pageNo=876", "ON Semiconductor")</f>
        <v>ON Semiconductor</v>
      </c>
      <c r="C46330" s="6">
        <v>1806</v>
      </c>
      <c r="D46330" s="7">
        <v>4.25</v>
      </c>
      <c r="E46330" t="s">
        <v>26</v>
      </c>
    </row>
    <row r="46331" spans="1:5" x14ac:dyDescent="0.25">
      <c r="A46331" t="str">
        <f>HYPERLINK("https://www.773grp.com/globalSearch/QS54FCT2244CTSO/page-1", "QS54FCT2244CTSO")</f>
        <v>QS54FCT2244CTSO</v>
      </c>
      <c r="B46331" s="3" t="str">
        <f>HYPERLINK("https://www.773grp.com/manufacturer/onsemi?pageNo=877", "ON Semiconductor")</f>
        <v>ON Semiconductor</v>
      </c>
      <c r="C46331" s="6">
        <v>118</v>
      </c>
      <c r="D46331" s="7">
        <v>4.28</v>
      </c>
      <c r="E46331" t="s">
        <v>14</v>
      </c>
    </row>
    <row r="46332" spans="1:5" x14ac:dyDescent="0.25">
      <c r="A46332" t="str">
        <f>HYPERLINK("https://www.773grp.com/globalSearch/QS74FCT841CTQ/page-1", "QS74FCT841CTQ")</f>
        <v>QS74FCT841CTQ</v>
      </c>
      <c r="B46332" s="3" t="str">
        <f>HYPERLINK("https://www.773grp.com/manufacturer/onsemi?pageNo=878", "ON Semiconductor")</f>
        <v>ON Semiconductor</v>
      </c>
      <c r="C46332" s="6">
        <v>7007</v>
      </c>
      <c r="D46332" s="7">
        <v>4.28</v>
      </c>
      <c r="E46332" t="s">
        <v>14</v>
      </c>
    </row>
    <row r="46333" spans="1:5" x14ac:dyDescent="0.25">
      <c r="A46333" t="str">
        <f>HYPERLINK("https://www.773grp.com/globalSearch/QS74FCT841CTQX/page-1", "QS74FCT841CTQX")</f>
        <v>QS74FCT841CTQX</v>
      </c>
      <c r="B46333" s="3" t="str">
        <f>HYPERLINK("https://www.773grp.com/manufacturer/onsemi?pageNo=879", "ON Semiconductor")</f>
        <v>ON Semiconductor</v>
      </c>
      <c r="C46333" s="6">
        <v>5000</v>
      </c>
      <c r="D46333" s="7">
        <v>4.28</v>
      </c>
    </row>
    <row r="46334" spans="1:5" x14ac:dyDescent="0.25">
      <c r="A46334" t="str">
        <f>HYPERLINK("https://www.773grp.com/globalSearch/QS74FCT841CTS0X/page-1", "QS74FCT841CTS0X")</f>
        <v>QS74FCT841CTS0X</v>
      </c>
      <c r="B46334" s="3" t="str">
        <f>HYPERLINK("https://www.773grp.com/manufacturer/onsemi?pageNo=880", "ON Semiconductor")</f>
        <v>ON Semiconductor</v>
      </c>
      <c r="C46334" s="6">
        <v>1000</v>
      </c>
      <c r="D46334" s="7">
        <v>4.28</v>
      </c>
    </row>
    <row r="46335" spans="1:5" x14ac:dyDescent="0.25">
      <c r="A46335" t="str">
        <f>HYPERLINK("https://www.773grp.com/globalSearch/QS3L384QM/page-1", "QS3L384QM")</f>
        <v>QS3L384QM</v>
      </c>
      <c r="B46335" s="3" t="str">
        <f>HYPERLINK("https://www.773grp.com/manufacturer/onsemi?pageNo=881", "ON Semiconductor")</f>
        <v>ON Semiconductor</v>
      </c>
      <c r="C46335" s="6">
        <v>710</v>
      </c>
      <c r="D46335" s="7">
        <v>4.74</v>
      </c>
      <c r="E46335" t="s">
        <v>14</v>
      </c>
    </row>
    <row r="46336" spans="1:5" x14ac:dyDescent="0.25">
      <c r="A46336" t="str">
        <f>HYPERLINK("https://www.773grp.com/globalSearch/QS74FCT16240ATPV/page-1", "QS74FCT16240ATPV")</f>
        <v>QS74FCT16240ATPV</v>
      </c>
      <c r="B46336" s="3" t="str">
        <f>HYPERLINK("https://www.773grp.com/manufacturer/onsemi?pageNo=882", "ON Semiconductor")</f>
        <v>ON Semiconductor</v>
      </c>
      <c r="C46336" s="6">
        <v>5546</v>
      </c>
      <c r="D46336" s="7">
        <v>4.3</v>
      </c>
      <c r="E46336" t="s">
        <v>14</v>
      </c>
    </row>
    <row r="46337" spans="1:5" x14ac:dyDescent="0.25">
      <c r="A46337" t="str">
        <f>HYPERLINK("https://www.773grp.com/globalSearch/QS74FCT2251ATS1/page-1", "QS74FCT2251ATS1")</f>
        <v>QS74FCT2251ATS1</v>
      </c>
      <c r="B46337" s="3" t="str">
        <f>HYPERLINK("https://www.773grp.com/manufacturer/onsemi?pageNo=883", "ON Semiconductor")</f>
        <v>ON Semiconductor</v>
      </c>
      <c r="C46337" s="6">
        <v>1642</v>
      </c>
      <c r="D46337" s="7">
        <v>4.3</v>
      </c>
      <c r="E46337" t="s">
        <v>20</v>
      </c>
    </row>
    <row r="46338" spans="1:5" x14ac:dyDescent="0.25">
      <c r="A46338" t="str">
        <f>HYPERLINK("https://www.773grp.com/globalSearch/QS74FCT257TS1-S199/page-1", "QS74FCT257TS1-S199")</f>
        <v>QS74FCT257TS1-S199</v>
      </c>
      <c r="B46338" s="3" t="str">
        <f>HYPERLINK("https://www.773grp.com/manufacturer/onsemi?pageNo=884", "ON Semiconductor")</f>
        <v>ON Semiconductor</v>
      </c>
      <c r="C46338" s="6">
        <v>895</v>
      </c>
      <c r="D46338" s="7">
        <v>4.3</v>
      </c>
    </row>
    <row r="46339" spans="1:5" x14ac:dyDescent="0.25">
      <c r="A46339" t="str">
        <f>HYPERLINK("https://www.773grp.com/globalSearch/QS74FCT191ATSO/page-1", "QS74FCT191ATSO")</f>
        <v>QS74FCT191ATSO</v>
      </c>
      <c r="B46339" s="3" t="str">
        <f>HYPERLINK("https://www.773grp.com/manufacturer/onsemi?pageNo=885", "ON Semiconductor")</f>
        <v>ON Semiconductor</v>
      </c>
      <c r="C46339" s="6">
        <v>4631</v>
      </c>
      <c r="D46339" s="7">
        <v>4.34</v>
      </c>
      <c r="E46339" t="s">
        <v>26</v>
      </c>
    </row>
    <row r="46340" spans="1:5" x14ac:dyDescent="0.25">
      <c r="A46340" t="str">
        <f>HYPERLINK("https://www.773grp.com/globalSearch/QS74FCT2240TP/page-1", "QS74FCT2240TP")</f>
        <v>QS74FCT2240TP</v>
      </c>
      <c r="B46340" s="3" t="str">
        <f>HYPERLINK("https://www.773grp.com/manufacturer/onsemi?pageNo=886", "ON Semiconductor")</f>
        <v>ON Semiconductor</v>
      </c>
      <c r="C46340" s="6">
        <v>1373</v>
      </c>
      <c r="D46340" s="7">
        <v>4.34</v>
      </c>
      <c r="E46340" t="s">
        <v>14</v>
      </c>
    </row>
    <row r="46341" spans="1:5" x14ac:dyDescent="0.25">
      <c r="A46341" t="str">
        <f>HYPERLINK("https://www.773grp.com/globalSearch/QS74FCT2828BTS0/page-1", "QS74FCT2828BTS0")</f>
        <v>QS74FCT2828BTS0</v>
      </c>
      <c r="B46341" s="3" t="str">
        <f>HYPERLINK("https://www.773grp.com/manufacturer/onsemi?pageNo=887", "ON Semiconductor")</f>
        <v>ON Semiconductor</v>
      </c>
      <c r="C46341" s="6">
        <v>6570</v>
      </c>
      <c r="D46341" s="7">
        <v>4.79</v>
      </c>
    </row>
    <row r="46342" spans="1:5" x14ac:dyDescent="0.25">
      <c r="A46342" t="str">
        <f>HYPERLINK("https://www.773grp.com/globalSearch/QS74FCT377TQX-S251/page-1", "QS74FCT377TQX-S251")</f>
        <v>QS74FCT377TQX-S251</v>
      </c>
      <c r="B46342" s="3" t="str">
        <f>HYPERLINK("https://www.773grp.com/manufacturer/onsemi?pageNo=888", "ON Semiconductor")</f>
        <v>ON Semiconductor</v>
      </c>
      <c r="C46342" s="6">
        <v>5000</v>
      </c>
      <c r="D46342" s="7">
        <v>4.79</v>
      </c>
    </row>
    <row r="46343" spans="1:5" x14ac:dyDescent="0.25">
      <c r="A46343" t="str">
        <f>HYPERLINK("https://www.773grp.com/globalSearch/QS74FCT534TQX/page-1", "QS74FCT534TQX")</f>
        <v>QS74FCT534TQX</v>
      </c>
      <c r="B46343" s="3" t="str">
        <f>HYPERLINK("https://www.773grp.com/manufacturer/onsemi?pageNo=889", "ON Semiconductor")</f>
        <v>ON Semiconductor</v>
      </c>
      <c r="C46343" s="6">
        <v>2500</v>
      </c>
      <c r="D46343" s="7">
        <v>4.3499999999999996</v>
      </c>
    </row>
    <row r="46344" spans="1:5" x14ac:dyDescent="0.25">
      <c r="A46344" t="str">
        <f>HYPERLINK("https://www.773grp.com/globalSearch/QS74FCT827BTP/page-1", "QS74FCT827BTP")</f>
        <v>QS74FCT827BTP</v>
      </c>
      <c r="B46344" s="3" t="str">
        <f>HYPERLINK("https://www.773grp.com/manufacturer/onsemi?pageNo=890", "ON Semiconductor")</f>
        <v>ON Semiconductor</v>
      </c>
      <c r="C46344" s="6">
        <v>413</v>
      </c>
      <c r="D46344" s="7">
        <v>4.3899999999999997</v>
      </c>
      <c r="E46344" t="s">
        <v>14</v>
      </c>
    </row>
    <row r="46345" spans="1:5" x14ac:dyDescent="0.25">
      <c r="A46345" t="str">
        <f>HYPERLINK("https://www.773grp.com/globalSearch/QS74FCT861ATP/page-1", "QS74FCT861ATP")</f>
        <v>QS74FCT861ATP</v>
      </c>
      <c r="B46345" s="3" t="str">
        <f>HYPERLINK("https://www.773grp.com/manufacturer/onsemi?pageNo=891", "ON Semiconductor")</f>
        <v>ON Semiconductor</v>
      </c>
      <c r="C46345" s="6">
        <v>1018</v>
      </c>
      <c r="D46345" s="7">
        <v>4.3899999999999997</v>
      </c>
      <c r="E46345" t="s">
        <v>14</v>
      </c>
    </row>
    <row r="46346" spans="1:5" x14ac:dyDescent="0.25">
      <c r="A46346" t="str">
        <f>HYPERLINK("https://www.773grp.com/globalSearch/QS54FCT521ATQ/page-1", "QS54FCT521ATQ")</f>
        <v>QS54FCT521ATQ</v>
      </c>
      <c r="B46346" s="3" t="str">
        <f>HYPERLINK("https://www.773grp.com/manufacturer/onsemi?pageNo=892", "ON Semiconductor")</f>
        <v>ON Semiconductor</v>
      </c>
      <c r="C46346" s="6">
        <v>1394</v>
      </c>
      <c r="D46346" s="7">
        <v>4.43</v>
      </c>
    </row>
    <row r="46347" spans="1:5" x14ac:dyDescent="0.25">
      <c r="A46347" t="str">
        <f>HYPERLINK("https://www.773grp.com/globalSearch/QS74FCT163TS0/page-1", "QS74FCT163TS0")</f>
        <v>QS74FCT163TS0</v>
      </c>
      <c r="B46347" s="3" t="str">
        <f>HYPERLINK("https://www.773grp.com/manufacturer/onsemi?pageNo=893", "ON Semiconductor")</f>
        <v>ON Semiconductor</v>
      </c>
      <c r="C46347" s="6">
        <v>484</v>
      </c>
      <c r="D46347" s="7">
        <v>4.43</v>
      </c>
    </row>
    <row r="46348" spans="1:5" x14ac:dyDescent="0.25">
      <c r="A46348" t="str">
        <f>HYPERLINK("https://www.773grp.com/globalSearch/QS74FCT2158TS0/page-1", "QS74FCT2158TS0")</f>
        <v>QS74FCT2158TS0</v>
      </c>
      <c r="B46348" s="3" t="str">
        <f>HYPERLINK("https://www.773grp.com/manufacturer/onsemi?pageNo=894", "ON Semiconductor")</f>
        <v>ON Semiconductor</v>
      </c>
      <c r="C46348" s="6">
        <v>5410</v>
      </c>
      <c r="D46348" s="7">
        <v>4.43</v>
      </c>
    </row>
    <row r="46349" spans="1:5" x14ac:dyDescent="0.25">
      <c r="A46349" t="str">
        <f>HYPERLINK("https://www.773grp.com/globalSearch/QS74FCT2163TS1X/page-1", "QS74FCT2163TS1X")</f>
        <v>QS74FCT2163TS1X</v>
      </c>
      <c r="B46349" s="3" t="str">
        <f>HYPERLINK("https://www.773grp.com/manufacturer/onsemi?pageNo=895", "ON Semiconductor")</f>
        <v>ON Semiconductor</v>
      </c>
      <c r="C46349" s="6">
        <v>2500</v>
      </c>
      <c r="D46349" s="7">
        <v>4.43</v>
      </c>
    </row>
    <row r="46350" spans="1:5" x14ac:dyDescent="0.25">
      <c r="A46350" t="str">
        <f>HYPERLINK("https://www.773grp.com/globalSearch/QS54FCT273ATQ/page-1", "QS54FCT273ATQ")</f>
        <v>QS54FCT273ATQ</v>
      </c>
      <c r="B46350" s="3" t="str">
        <f>HYPERLINK("https://www.773grp.com/manufacturer/onsemi?pageNo=896", "ON Semiconductor")</f>
        <v>ON Semiconductor</v>
      </c>
      <c r="C46350" s="6">
        <v>125</v>
      </c>
      <c r="D46350" s="7">
        <v>4.91</v>
      </c>
      <c r="E46350" t="s">
        <v>35</v>
      </c>
    </row>
    <row r="46351" spans="1:5" x14ac:dyDescent="0.25">
      <c r="A46351" t="str">
        <f>HYPERLINK("https://www.773grp.com/globalSearch/QS74FCT191ATSI/page-1", "QS74FCT191ATSI")</f>
        <v>QS74FCT191ATSI</v>
      </c>
      <c r="B46351" s="3" t="str">
        <f>HYPERLINK("https://www.773grp.com/manufacturer/onsemi?pageNo=897", "ON Semiconductor")</f>
        <v>ON Semiconductor</v>
      </c>
      <c r="C46351" s="6">
        <v>113</v>
      </c>
      <c r="D46351" s="7">
        <v>4.4400000000000004</v>
      </c>
    </row>
    <row r="46352" spans="1:5" x14ac:dyDescent="0.25">
      <c r="A46352" t="str">
        <f>HYPERLINK("https://www.773grp.com/globalSearch/QS74FCT193ATS0/page-1", "QS74FCT193ATS0")</f>
        <v>QS74FCT193ATS0</v>
      </c>
      <c r="B46352" s="3" t="str">
        <f>HYPERLINK("https://www.773grp.com/manufacturer/onsemi?pageNo=898", "ON Semiconductor")</f>
        <v>ON Semiconductor</v>
      </c>
      <c r="C46352" s="6">
        <v>3146</v>
      </c>
      <c r="D46352" s="7">
        <v>4.4400000000000004</v>
      </c>
    </row>
    <row r="46353" spans="1:5" x14ac:dyDescent="0.25">
      <c r="A46353" t="str">
        <f>HYPERLINK("https://www.773grp.com/globalSearch/QS74FCT646ATP/page-1", "QS74FCT646ATP")</f>
        <v>QS74FCT646ATP</v>
      </c>
      <c r="B46353" s="3" t="str">
        <f>HYPERLINK("https://www.773grp.com/manufacturer/onsemi?pageNo=899", "ON Semiconductor")</f>
        <v>ON Semiconductor</v>
      </c>
      <c r="C46353" s="6">
        <v>517</v>
      </c>
      <c r="D46353" s="7">
        <v>4.4400000000000004</v>
      </c>
      <c r="E46353" t="s">
        <v>14</v>
      </c>
    </row>
    <row r="46354" spans="1:5" x14ac:dyDescent="0.25">
      <c r="A46354" t="str">
        <f>HYPERLINK("https://www.773grp.com/globalSearch/QS54FCT2827TQ/page-1", "QS54FCT2827TQ")</f>
        <v>QS54FCT2827TQ</v>
      </c>
      <c r="B46354" s="3" t="str">
        <f>HYPERLINK("https://www.773grp.com/manufacturer/onsemi?pageNo=900", "ON Semiconductor")</f>
        <v>ON Semiconductor</v>
      </c>
      <c r="C46354" s="6">
        <v>190</v>
      </c>
      <c r="D46354" s="7">
        <v>4.5</v>
      </c>
    </row>
    <row r="46355" spans="1:5" x14ac:dyDescent="0.25">
      <c r="A46355" t="str">
        <f>HYPERLINK("https://www.773grp.com/globalSearch/QS54FCT827ATSO/page-1", "QS54FCT827ATSO")</f>
        <v>QS54FCT827ATSO</v>
      </c>
      <c r="B46355" s="3" t="str">
        <f>HYPERLINK("https://www.773grp.com/manufacturer/onsemi?pageNo=901", "ON Semiconductor")</f>
        <v>ON Semiconductor</v>
      </c>
      <c r="C46355" s="6">
        <v>513</v>
      </c>
      <c r="D46355" s="7">
        <v>4.5</v>
      </c>
      <c r="E46355" t="s">
        <v>14</v>
      </c>
    </row>
    <row r="46356" spans="1:5" x14ac:dyDescent="0.25">
      <c r="A46356" t="str">
        <f>HYPERLINK("https://www.773grp.com/globalSearch/QS74FCT138TS1X/page-1", "QS74FCT138TS1X")</f>
        <v>QS74FCT138TS1X</v>
      </c>
      <c r="B46356" s="3" t="str">
        <f>HYPERLINK("https://www.773grp.com/manufacturer/onsemi?pageNo=902", "ON Semiconductor")</f>
        <v>ON Semiconductor</v>
      </c>
      <c r="C46356" s="6">
        <v>5000</v>
      </c>
      <c r="D46356" s="7">
        <v>4.5</v>
      </c>
    </row>
    <row r="46357" spans="1:5" x14ac:dyDescent="0.25">
      <c r="A46357" t="str">
        <f>HYPERLINK("https://www.773grp.com/globalSearch/QS74FCT158TSO/page-1", "QS74FCT158TSO")</f>
        <v>QS74FCT158TSO</v>
      </c>
      <c r="B46357" s="3" t="str">
        <f>HYPERLINK("https://www.773grp.com/manufacturer/onsemi?pageNo=903", "ON Semiconductor")</f>
        <v>ON Semiconductor</v>
      </c>
      <c r="C46357" s="6">
        <v>5076</v>
      </c>
      <c r="D46357" s="7">
        <v>4.5</v>
      </c>
      <c r="E46357" t="s">
        <v>20</v>
      </c>
    </row>
    <row r="46358" spans="1:5" x14ac:dyDescent="0.25">
      <c r="A46358" t="str">
        <f>HYPERLINK("https://www.773grp.com/globalSearch/QS74FCT377TSO/page-1", "QS74FCT377TSO")</f>
        <v>QS74FCT377TSO</v>
      </c>
      <c r="B46358" s="3" t="str">
        <f>HYPERLINK("https://www.773grp.com/manufacturer/onsemi?pageNo=904", "ON Semiconductor")</f>
        <v>ON Semiconductor</v>
      </c>
      <c r="C46358" s="6">
        <v>1239</v>
      </c>
      <c r="D46358" s="7">
        <v>4.5</v>
      </c>
      <c r="E46358" t="s">
        <v>35</v>
      </c>
    </row>
    <row r="46359" spans="1:5" x14ac:dyDescent="0.25">
      <c r="A46359" t="str">
        <f>HYPERLINK("https://www.773grp.com/globalSearch/QS74FCT16374ATPV/page-1", "QS74FCT16374ATPV")</f>
        <v>QS74FCT16374ATPV</v>
      </c>
      <c r="B46359" s="3" t="str">
        <f>HYPERLINK("https://www.773grp.com/manufacturer/onsemi?pageNo=905", "ON Semiconductor")</f>
        <v>ON Semiconductor</v>
      </c>
      <c r="C46359" s="6">
        <v>26105</v>
      </c>
      <c r="D46359" s="7">
        <v>5.01</v>
      </c>
      <c r="E46359" t="s">
        <v>14</v>
      </c>
    </row>
    <row r="46360" spans="1:5" x14ac:dyDescent="0.25">
      <c r="A46360" t="str">
        <f>HYPERLINK("https://www.773grp.com/globalSearch/QS74FCT2241ATQ/page-1", "QS74FCT2241ATQ")</f>
        <v>QS74FCT2241ATQ</v>
      </c>
      <c r="B46360" s="3" t="str">
        <f>HYPERLINK("https://www.773grp.com/manufacturer/onsemi?pageNo=906", "ON Semiconductor")</f>
        <v>ON Semiconductor</v>
      </c>
      <c r="C46360" s="6">
        <v>717</v>
      </c>
      <c r="D46360" s="7">
        <v>4.5599999999999996</v>
      </c>
      <c r="E46360" t="s">
        <v>14</v>
      </c>
    </row>
    <row r="46361" spans="1:5" x14ac:dyDescent="0.25">
      <c r="A46361" t="str">
        <f>HYPERLINK("https://www.773grp.com/globalSearch/QS74FCT241ATQ/page-1", "QS74FCT241ATQ")</f>
        <v>QS74FCT241ATQ</v>
      </c>
      <c r="B46361" s="3" t="str">
        <f>HYPERLINK("https://www.773grp.com/manufacturer/onsemi?pageNo=907", "ON Semiconductor")</f>
        <v>ON Semiconductor</v>
      </c>
      <c r="C46361" s="6">
        <v>642</v>
      </c>
      <c r="D46361" s="7">
        <v>4.5599999999999996</v>
      </c>
      <c r="E46361" t="s">
        <v>14</v>
      </c>
    </row>
    <row r="46362" spans="1:5" x14ac:dyDescent="0.25">
      <c r="A46362" t="str">
        <f>HYPERLINK("https://www.773grp.com/globalSearch/QS74FCT257TQ/page-1", "QS74FCT257TQ")</f>
        <v>QS74FCT257TQ</v>
      </c>
      <c r="B46362" s="3" t="str">
        <f>HYPERLINK("https://www.773grp.com/manufacturer/onsemi?pageNo=908", "ON Semiconductor")</f>
        <v>ON Semiconductor</v>
      </c>
      <c r="C46362" s="6">
        <v>399</v>
      </c>
      <c r="D46362" s="7">
        <v>4.5599999999999996</v>
      </c>
      <c r="E46362" t="s">
        <v>20</v>
      </c>
    </row>
    <row r="46363" spans="1:5" x14ac:dyDescent="0.25">
      <c r="A46363" t="str">
        <f>HYPERLINK("https://www.773grp.com/globalSearch/QS74FCT257TS1/page-1", "QS74FCT257TS1")</f>
        <v>QS74FCT257TS1</v>
      </c>
      <c r="B46363" s="3" t="str">
        <f>HYPERLINK("https://www.773grp.com/manufacturer/onsemi?pageNo=909", "ON Semiconductor")</f>
        <v>ON Semiconductor</v>
      </c>
      <c r="C46363" s="6">
        <v>8785</v>
      </c>
      <c r="D46363" s="7">
        <v>4.5599999999999996</v>
      </c>
      <c r="E46363" t="s">
        <v>20</v>
      </c>
    </row>
    <row r="46364" spans="1:5" x14ac:dyDescent="0.25">
      <c r="A46364" t="str">
        <f>HYPERLINK("https://www.773grp.com/globalSearch/QS74FCT3373Q/page-1", "QS74FCT3373Q")</f>
        <v>QS74FCT3373Q</v>
      </c>
      <c r="B46364" s="3" t="str">
        <f>HYPERLINK("https://www.773grp.com/manufacturer/onsemi?pageNo=910", "ON Semiconductor")</f>
        <v>ON Semiconductor</v>
      </c>
      <c r="C46364" s="6">
        <v>437</v>
      </c>
      <c r="D46364" s="7">
        <v>4.5599999999999996</v>
      </c>
      <c r="E46364" t="s">
        <v>14</v>
      </c>
    </row>
    <row r="46365" spans="1:5" x14ac:dyDescent="0.25">
      <c r="A46365" t="str">
        <f>HYPERLINK("https://www.773grp.com/globalSearch/QS74FCT3373SO/page-1", "QS74FCT3373SO")</f>
        <v>QS74FCT3373SO</v>
      </c>
      <c r="B46365" s="3" t="str">
        <f>HYPERLINK("https://www.773grp.com/manufacturer/onsemi?pageNo=911", "ON Semiconductor")</f>
        <v>ON Semiconductor</v>
      </c>
      <c r="C46365" s="6">
        <v>14205</v>
      </c>
      <c r="D46365" s="7">
        <v>4.5599999999999996</v>
      </c>
      <c r="E46365" t="s">
        <v>14</v>
      </c>
    </row>
    <row r="46366" spans="1:5" x14ac:dyDescent="0.25">
      <c r="A46366" t="str">
        <f>HYPERLINK("https://www.773grp.com/globalSearch/QS74FCT139ATSO/page-1", "QS74FCT139ATSO")</f>
        <v>QS74FCT139ATSO</v>
      </c>
      <c r="B46366" s="3" t="str">
        <f>HYPERLINK("https://www.773grp.com/manufacturer/onsemi?pageNo=912", "ON Semiconductor")</f>
        <v>ON Semiconductor</v>
      </c>
      <c r="C46366" s="6">
        <v>5851</v>
      </c>
      <c r="D46366" s="7">
        <v>4.59</v>
      </c>
      <c r="E46366" t="s">
        <v>36</v>
      </c>
    </row>
    <row r="46367" spans="1:5" x14ac:dyDescent="0.25">
      <c r="A46367" t="str">
        <f>HYPERLINK("https://www.773grp.com/globalSearch/QS74FCT251TQ/page-1", "QS74FCT251TQ")</f>
        <v>QS74FCT251TQ</v>
      </c>
      <c r="B46367" s="3" t="str">
        <f>HYPERLINK("https://www.773grp.com/manufacturer/onsemi?pageNo=913", "ON Semiconductor")</f>
        <v>ON Semiconductor</v>
      </c>
      <c r="C46367" s="6">
        <v>349</v>
      </c>
      <c r="D46367" s="7">
        <v>4.59</v>
      </c>
      <c r="E46367" t="s">
        <v>20</v>
      </c>
    </row>
    <row r="46368" spans="1:5" x14ac:dyDescent="0.25">
      <c r="A46368" t="str">
        <f>HYPERLINK("https://www.773grp.com/globalSearch/QS74FCT251TSO/page-1", "QS74FCT251TSO")</f>
        <v>QS74FCT251TSO</v>
      </c>
      <c r="B46368" s="3" t="str">
        <f>HYPERLINK("https://www.773grp.com/manufacturer/onsemi?pageNo=914", "ON Semiconductor")</f>
        <v>ON Semiconductor</v>
      </c>
      <c r="C46368" s="6">
        <v>344</v>
      </c>
      <c r="D46368" s="7">
        <v>4.59</v>
      </c>
      <c r="E46368" t="s">
        <v>20</v>
      </c>
    </row>
    <row r="46369" spans="1:5" x14ac:dyDescent="0.25">
      <c r="A46369" t="str">
        <f>HYPERLINK("https://www.773grp.com/globalSearch/QS74FCT2828ATZ/page-1", "QS74FCT2828ATZ")</f>
        <v>QS74FCT2828ATZ</v>
      </c>
      <c r="B46369" s="3" t="str">
        <f>HYPERLINK("https://www.773grp.com/manufacturer/onsemi?pageNo=915", "ON Semiconductor")</f>
        <v>ON Semiconductor</v>
      </c>
      <c r="C46369" s="6">
        <v>90</v>
      </c>
      <c r="D46369" s="7">
        <v>4.6399999999999997</v>
      </c>
      <c r="E46369" t="s">
        <v>14</v>
      </c>
    </row>
    <row r="46370" spans="1:5" x14ac:dyDescent="0.25">
      <c r="A46370" t="str">
        <f>HYPERLINK("https://www.773grp.com/globalSearch/QS74FCT521ATSO/page-1", "QS74FCT521ATSO")</f>
        <v>QS74FCT521ATSO</v>
      </c>
      <c r="B46370" s="3" t="str">
        <f>HYPERLINK("https://www.773grp.com/manufacturer/onsemi?pageNo=916", "ON Semiconductor")</f>
        <v>ON Semiconductor</v>
      </c>
      <c r="C46370" s="6">
        <v>13700</v>
      </c>
      <c r="D46370" s="7">
        <v>4.6399999999999997</v>
      </c>
      <c r="E46370" t="s">
        <v>43</v>
      </c>
    </row>
    <row r="46371" spans="1:5" x14ac:dyDescent="0.25">
      <c r="A46371" t="str">
        <f>HYPERLINK("https://www.773grp.com/globalSearch/QS74FCT2X823ATQ1/page-1", "QS74FCT2X823ATQ1")</f>
        <v>QS74FCT2X823ATQ1</v>
      </c>
      <c r="B46371" s="3" t="str">
        <f>HYPERLINK("https://www.773grp.com/manufacturer/onsemi?pageNo=917", "ON Semiconductor")</f>
        <v>ON Semiconductor</v>
      </c>
      <c r="C46371" s="6">
        <v>2428</v>
      </c>
      <c r="D46371" s="7">
        <v>4.68</v>
      </c>
      <c r="E46371" t="s">
        <v>14</v>
      </c>
    </row>
    <row r="46372" spans="1:5" x14ac:dyDescent="0.25">
      <c r="A46372" t="str">
        <f>HYPERLINK("https://www.773grp.com/globalSearch/QS74FCT163TS0X/page-1", "QS74FCT163TS0X")</f>
        <v>QS74FCT163TS0X</v>
      </c>
      <c r="B46372" s="3" t="str">
        <f>HYPERLINK("https://www.773grp.com/manufacturer/onsemi?pageNo=918", "ON Semiconductor")</f>
        <v>ON Semiconductor</v>
      </c>
      <c r="C46372" s="6">
        <v>1000</v>
      </c>
      <c r="D46372" s="7">
        <v>5.16</v>
      </c>
    </row>
    <row r="46373" spans="1:5" x14ac:dyDescent="0.25">
      <c r="A46373" t="str">
        <f>HYPERLINK("https://www.773grp.com/globalSearch/QS74FCT139TS1/page-1", "QS74FCT139TS1")</f>
        <v>QS74FCT139TS1</v>
      </c>
      <c r="B46373" s="3" t="str">
        <f>HYPERLINK("https://www.773grp.com/manufacturer/onsemi?pageNo=919", "ON Semiconductor")</f>
        <v>ON Semiconductor</v>
      </c>
      <c r="C46373" s="6">
        <v>392</v>
      </c>
      <c r="D46373" s="7">
        <v>4.76</v>
      </c>
      <c r="E46373" t="s">
        <v>36</v>
      </c>
    </row>
    <row r="46374" spans="1:5" x14ac:dyDescent="0.25">
      <c r="A46374" t="str">
        <f>HYPERLINK("https://www.773grp.com/globalSearch/QS74FCT139TSI/page-1", "QS74FCT139TSI")</f>
        <v>QS74FCT139TSI</v>
      </c>
      <c r="B46374" s="3" t="str">
        <f>HYPERLINK("https://www.773grp.com/manufacturer/onsemi?pageNo=920", "ON Semiconductor")</f>
        <v>ON Semiconductor</v>
      </c>
      <c r="C46374" s="6">
        <v>5190</v>
      </c>
      <c r="D46374" s="7">
        <v>4.76</v>
      </c>
    </row>
    <row r="46375" spans="1:5" x14ac:dyDescent="0.25">
      <c r="A46375" t="str">
        <f>HYPERLINK("https://www.773grp.com/globalSearch/QS74FCT151TSI/page-1", "QS74FCT151TSI")</f>
        <v>QS74FCT151TSI</v>
      </c>
      <c r="B46375" s="3" t="str">
        <f>HYPERLINK("https://www.773grp.com/manufacturer/onsemi?pageNo=921", "ON Semiconductor")</f>
        <v>ON Semiconductor</v>
      </c>
      <c r="C46375" s="6">
        <v>13253</v>
      </c>
      <c r="D46375" s="7">
        <v>4.76</v>
      </c>
    </row>
    <row r="46376" spans="1:5" x14ac:dyDescent="0.25">
      <c r="A46376" t="str">
        <f>HYPERLINK("https://www.773grp.com/globalSearch/QS74FCT151TSO/page-1", "QS74FCT151TSO")</f>
        <v>QS74FCT151TSO</v>
      </c>
      <c r="B46376" s="3" t="str">
        <f>HYPERLINK("https://www.773grp.com/manufacturer/onsemi?pageNo=922", "ON Semiconductor")</f>
        <v>ON Semiconductor</v>
      </c>
      <c r="C46376" s="6">
        <v>9417</v>
      </c>
      <c r="D46376" s="7">
        <v>4.76</v>
      </c>
      <c r="E46376" t="s">
        <v>20</v>
      </c>
    </row>
    <row r="46377" spans="1:5" x14ac:dyDescent="0.25">
      <c r="A46377" t="str">
        <f>HYPERLINK("https://www.773grp.com/globalSearch/QS74FCT153TSI/page-1", "QS74FCT153TSI")</f>
        <v>QS74FCT153TSI</v>
      </c>
      <c r="B46377" s="3" t="str">
        <f>HYPERLINK("https://www.773grp.com/manufacturer/onsemi?pageNo=923", "ON Semiconductor")</f>
        <v>ON Semiconductor</v>
      </c>
      <c r="C46377" s="6">
        <v>2660</v>
      </c>
      <c r="D46377" s="7">
        <v>4.76</v>
      </c>
    </row>
    <row r="46378" spans="1:5" x14ac:dyDescent="0.25">
      <c r="A46378" t="str">
        <f>HYPERLINK("https://www.773grp.com/globalSearch/QS74FCT2163TS1/page-1", "QS74FCT2163TS1")</f>
        <v>QS74FCT2163TS1</v>
      </c>
      <c r="B46378" s="3" t="str">
        <f>HYPERLINK("https://www.773grp.com/manufacturer/onsemi?pageNo=924", "ON Semiconductor")</f>
        <v>ON Semiconductor</v>
      </c>
      <c r="C46378" s="6">
        <v>485</v>
      </c>
      <c r="D46378" s="7">
        <v>4.76</v>
      </c>
      <c r="E46378" t="s">
        <v>26</v>
      </c>
    </row>
    <row r="46379" spans="1:5" x14ac:dyDescent="0.25">
      <c r="A46379" t="str">
        <f>HYPERLINK("https://www.773grp.com/globalSearch/QS74FCT2258TS1/page-1", "QS74FCT2258TS1")</f>
        <v>QS74FCT2258TS1</v>
      </c>
      <c r="B46379" s="3" t="str">
        <f>HYPERLINK("https://www.773grp.com/manufacturer/onsemi?pageNo=925", "ON Semiconductor")</f>
        <v>ON Semiconductor</v>
      </c>
      <c r="C46379" s="6">
        <v>106</v>
      </c>
      <c r="D46379" s="7">
        <v>4.76</v>
      </c>
      <c r="E46379" t="s">
        <v>20</v>
      </c>
    </row>
    <row r="46380" spans="1:5" x14ac:dyDescent="0.25">
      <c r="A46380" t="str">
        <f>HYPERLINK("https://www.773grp.com/globalSearch/QS54FCT2240TSO/page-1", "QS54FCT2240TSO")</f>
        <v>QS54FCT2240TSO</v>
      </c>
      <c r="B46380" s="3" t="str">
        <f>HYPERLINK("https://www.773grp.com/manufacturer/onsemi?pageNo=926", "ON Semiconductor")</f>
        <v>ON Semiconductor</v>
      </c>
      <c r="C46380" s="6">
        <v>408</v>
      </c>
      <c r="D46380" s="7">
        <v>4.78</v>
      </c>
      <c r="E46380" t="s">
        <v>14</v>
      </c>
    </row>
    <row r="46381" spans="1:5" x14ac:dyDescent="0.25">
      <c r="A46381" t="str">
        <f>HYPERLINK("https://www.773grp.com/globalSearch/QS74FCT139TSO/page-1", "QS74FCT139TSO")</f>
        <v>QS74FCT139TSO</v>
      </c>
      <c r="B46381" s="3" t="str">
        <f>HYPERLINK("https://www.773grp.com/manufacturer/onsemi?pageNo=927", "ON Semiconductor")</f>
        <v>ON Semiconductor</v>
      </c>
      <c r="C46381" s="6">
        <v>6587</v>
      </c>
      <c r="D46381" s="7">
        <v>4.78</v>
      </c>
      <c r="E46381" t="s">
        <v>36</v>
      </c>
    </row>
    <row r="46382" spans="1:5" x14ac:dyDescent="0.25">
      <c r="A46382" t="str">
        <f>HYPERLINK("https://www.773grp.com/globalSearch/QS74FCT651ATQ/page-1", "QS74FCT651ATQ")</f>
        <v>QS74FCT651ATQ</v>
      </c>
      <c r="B46382" s="3" t="str">
        <f>HYPERLINK("https://www.773grp.com/manufacturer/onsemi?pageNo=928", "ON Semiconductor")</f>
        <v>ON Semiconductor</v>
      </c>
      <c r="C46382" s="6">
        <v>38</v>
      </c>
      <c r="D46382" s="7">
        <v>4.78</v>
      </c>
      <c r="E46382" t="s">
        <v>14</v>
      </c>
    </row>
    <row r="46383" spans="1:5" x14ac:dyDescent="0.25">
      <c r="A46383" t="str">
        <f>HYPERLINK("https://www.773grp.com/globalSearch/QS74FCT825ATQ/page-1", "QS74FCT825ATQ")</f>
        <v>QS74FCT825ATQ</v>
      </c>
      <c r="B46383" s="3" t="str">
        <f>HYPERLINK("https://www.773grp.com/manufacturer/onsemi?pageNo=929", "ON Semiconductor")</f>
        <v>ON Semiconductor</v>
      </c>
      <c r="C46383" s="6">
        <v>10356</v>
      </c>
      <c r="D46383" s="7">
        <v>4.78</v>
      </c>
      <c r="E46383" t="s">
        <v>14</v>
      </c>
    </row>
    <row r="46384" spans="1:5" x14ac:dyDescent="0.25">
      <c r="A46384" t="str">
        <f>HYPERLINK("https://www.773grp.com/globalSearch/QS74FCT825ATSO/page-1", "QS74FCT825ATSO")</f>
        <v>QS74FCT825ATSO</v>
      </c>
      <c r="B46384" s="3" t="str">
        <f>HYPERLINK("https://www.773grp.com/manufacturer/onsemi?pageNo=930", "ON Semiconductor")</f>
        <v>ON Semiconductor</v>
      </c>
      <c r="C46384" s="6">
        <v>44</v>
      </c>
      <c r="D46384" s="7">
        <v>4.78</v>
      </c>
      <c r="E46384" t="s">
        <v>14</v>
      </c>
    </row>
    <row r="46385" spans="1:5" x14ac:dyDescent="0.25">
      <c r="A46385" t="str">
        <f>HYPERLINK("https://www.773grp.com/globalSearch/QS54FCT153ATQ/page-1", "QS54FCT153ATQ")</f>
        <v>QS54FCT153ATQ</v>
      </c>
      <c r="B46385" s="3" t="str">
        <f>HYPERLINK("https://www.773grp.com/manufacturer/onsemi?pageNo=931", "ON Semiconductor")</f>
        <v>ON Semiconductor</v>
      </c>
      <c r="C46385" s="6">
        <v>572</v>
      </c>
      <c r="D46385" s="7">
        <v>4.8099999999999996</v>
      </c>
      <c r="E46385" t="s">
        <v>20</v>
      </c>
    </row>
    <row r="46386" spans="1:5" x14ac:dyDescent="0.25">
      <c r="A46386" t="str">
        <f>HYPERLINK("https://www.773grp.com/globalSearch/QS74FCT163TQ/page-1", "QS74FCT163TQ")</f>
        <v>QS74FCT163TQ</v>
      </c>
      <c r="B46386" s="3" t="str">
        <f>HYPERLINK("https://www.773grp.com/manufacturer/onsemi?pageNo=932", "ON Semiconductor")</f>
        <v>ON Semiconductor</v>
      </c>
      <c r="C46386" s="6">
        <v>1029</v>
      </c>
      <c r="D46386" s="7">
        <v>4.8099999999999996</v>
      </c>
      <c r="E46386" t="s">
        <v>26</v>
      </c>
    </row>
    <row r="46387" spans="1:5" x14ac:dyDescent="0.25">
      <c r="A46387" t="str">
        <f>HYPERLINK("https://www.773grp.com/globalSearch/QS74FCT2163ATQ/page-1", "QS74FCT2163ATQ")</f>
        <v>QS74FCT2163ATQ</v>
      </c>
      <c r="B46387" s="3" t="str">
        <f>HYPERLINK("https://www.773grp.com/manufacturer/onsemi?pageNo=933", "ON Semiconductor")</f>
        <v>ON Semiconductor</v>
      </c>
      <c r="C46387" s="6">
        <v>5695</v>
      </c>
      <c r="D46387" s="7">
        <v>4.8099999999999996</v>
      </c>
      <c r="E46387" t="s">
        <v>26</v>
      </c>
    </row>
    <row r="46388" spans="1:5" x14ac:dyDescent="0.25">
      <c r="A46388" t="str">
        <f>HYPERLINK("https://www.773grp.com/globalSearch/QS74FCT2163ATQX/page-1", "QS74FCT2163ATQX")</f>
        <v>QS74FCT2163ATQX</v>
      </c>
      <c r="B46388" s="3" t="str">
        <f>HYPERLINK("https://www.773grp.com/manufacturer/onsemi?pageNo=934", "ON Semiconductor")</f>
        <v>ON Semiconductor</v>
      </c>
      <c r="C46388" s="6">
        <v>2500</v>
      </c>
      <c r="D46388" s="7">
        <v>4.8099999999999996</v>
      </c>
    </row>
    <row r="46389" spans="1:5" x14ac:dyDescent="0.25">
      <c r="A46389" t="str">
        <f>HYPERLINK("https://www.773grp.com/globalSearch/QS74FCT2163ATS1/page-1", "QS74FCT2163ATS1")</f>
        <v>QS74FCT2163ATS1</v>
      </c>
      <c r="B46389" s="3" t="str">
        <f>HYPERLINK("https://www.773grp.com/manufacturer/onsemi?pageNo=935", "ON Semiconductor")</f>
        <v>ON Semiconductor</v>
      </c>
      <c r="C46389" s="6">
        <v>518</v>
      </c>
      <c r="D46389" s="7">
        <v>4.8099999999999996</v>
      </c>
      <c r="E46389" t="s">
        <v>26</v>
      </c>
    </row>
    <row r="46390" spans="1:5" x14ac:dyDescent="0.25">
      <c r="A46390" t="str">
        <f>HYPERLINK("https://www.773grp.com/globalSearch/QS74FCT2161ATP/page-1", "QS74FCT2161ATP")</f>
        <v>QS74FCT2161ATP</v>
      </c>
      <c r="B46390" s="3" t="str">
        <f>HYPERLINK("https://www.773grp.com/manufacturer/onsemi?pageNo=936", "ON Semiconductor")</f>
        <v>ON Semiconductor</v>
      </c>
      <c r="C46390" s="6">
        <v>5703</v>
      </c>
      <c r="D46390" s="7">
        <v>4.84</v>
      </c>
      <c r="E46390" t="s">
        <v>26</v>
      </c>
    </row>
    <row r="46391" spans="1:5" x14ac:dyDescent="0.25">
      <c r="A46391" t="str">
        <f>HYPERLINK("https://www.773grp.com/globalSearch/QS74FCT2273ATP/page-1", "QS74FCT2273ATP")</f>
        <v>QS74FCT2273ATP</v>
      </c>
      <c r="B46391" s="3" t="str">
        <f>HYPERLINK("https://www.773grp.com/manufacturer/onsemi?pageNo=937", "ON Semiconductor")</f>
        <v>ON Semiconductor</v>
      </c>
      <c r="C46391" s="6">
        <v>4657</v>
      </c>
      <c r="D46391" s="7">
        <v>4.84</v>
      </c>
      <c r="E46391" t="s">
        <v>35</v>
      </c>
    </row>
    <row r="46392" spans="1:5" x14ac:dyDescent="0.25">
      <c r="A46392" t="str">
        <f>HYPERLINK("https://www.773grp.com/globalSearch/QS74FCT2273ATQ/page-1", "QS74FCT2273ATQ")</f>
        <v>QS74FCT2273ATQ</v>
      </c>
      <c r="B46392" s="3" t="str">
        <f>HYPERLINK("https://www.773grp.com/manufacturer/onsemi?pageNo=938", "ON Semiconductor")</f>
        <v>ON Semiconductor</v>
      </c>
      <c r="C46392" s="6">
        <v>6321</v>
      </c>
      <c r="D46392" s="7">
        <v>4.84</v>
      </c>
      <c r="E46392" t="s">
        <v>35</v>
      </c>
    </row>
    <row r="46393" spans="1:5" x14ac:dyDescent="0.25">
      <c r="A46393" t="str">
        <f>HYPERLINK("https://www.773grp.com/globalSearch/QS74FCT2273ATSO/page-1", "QS74FCT2273ATSO")</f>
        <v>QS74FCT2273ATSO</v>
      </c>
      <c r="B46393" s="3" t="str">
        <f>HYPERLINK("https://www.773grp.com/manufacturer/onsemi?pageNo=939", "ON Semiconductor")</f>
        <v>ON Semiconductor</v>
      </c>
      <c r="C46393" s="6">
        <v>3493</v>
      </c>
      <c r="D46393" s="7">
        <v>4.84</v>
      </c>
      <c r="E46393" t="s">
        <v>35</v>
      </c>
    </row>
    <row r="46394" spans="1:5" x14ac:dyDescent="0.25">
      <c r="A46394" t="str">
        <f>HYPERLINK("https://www.773grp.com/globalSearch/QS74FCT273ATP/page-1", "QS74FCT273ATP")</f>
        <v>QS74FCT273ATP</v>
      </c>
      <c r="B46394" s="3" t="str">
        <f>HYPERLINK("https://www.773grp.com/manufacturer/onsemi?pageNo=940", "ON Semiconductor")</f>
        <v>ON Semiconductor</v>
      </c>
      <c r="C46394" s="6">
        <v>5509</v>
      </c>
      <c r="D46394" s="7">
        <v>4.84</v>
      </c>
      <c r="E46394" t="s">
        <v>35</v>
      </c>
    </row>
    <row r="46395" spans="1:5" x14ac:dyDescent="0.25">
      <c r="A46395" t="str">
        <f>HYPERLINK("https://www.773grp.com/globalSearch/QS29FCT52CTS0/page-1", "QS29FCT52CTS0")</f>
        <v>QS29FCT52CTS0</v>
      </c>
      <c r="B46395" s="3" t="str">
        <f>HYPERLINK("https://www.773grp.com/manufacturer/onsemi?pageNo=941", "ON Semiconductor")</f>
        <v>ON Semiconductor</v>
      </c>
      <c r="C46395" s="6">
        <v>3007</v>
      </c>
      <c r="D46395" s="7">
        <v>4.8600000000000003</v>
      </c>
    </row>
    <row r="46396" spans="1:5" x14ac:dyDescent="0.25">
      <c r="A46396" t="str">
        <f>HYPERLINK("https://www.773grp.com/globalSearch/QS74FCT162543ATPA/page-1", "QS74FCT162543ATPA")</f>
        <v>QS74FCT162543ATPA</v>
      </c>
      <c r="B46396" s="3" t="str">
        <f>HYPERLINK("https://www.773grp.com/manufacturer/onsemi?pageNo=942", "ON Semiconductor")</f>
        <v>ON Semiconductor</v>
      </c>
      <c r="C46396" s="6">
        <v>3398</v>
      </c>
      <c r="D46396" s="7">
        <v>4.8600000000000003</v>
      </c>
      <c r="E46396" t="s">
        <v>14</v>
      </c>
    </row>
    <row r="46397" spans="1:5" x14ac:dyDescent="0.25">
      <c r="A46397" t="str">
        <f>HYPERLINK("https://www.773grp.com/globalSearch/QS74FCT162543ATPV/page-1", "QS74FCT162543ATPV")</f>
        <v>QS74FCT162543ATPV</v>
      </c>
      <c r="B46397" s="3" t="str">
        <f>HYPERLINK("https://www.773grp.com/manufacturer/onsemi?pageNo=943", "ON Semiconductor")</f>
        <v>ON Semiconductor</v>
      </c>
      <c r="C46397" s="6">
        <v>5580</v>
      </c>
      <c r="D46397" s="7">
        <v>4.8600000000000003</v>
      </c>
      <c r="E46397" t="s">
        <v>14</v>
      </c>
    </row>
    <row r="46398" spans="1:5" x14ac:dyDescent="0.25">
      <c r="A46398" t="str">
        <f>HYPERLINK("https://www.773grp.com/globalSearch/QS74FCT162543TPV/page-1", "QS74FCT162543TPV")</f>
        <v>QS74FCT162543TPV</v>
      </c>
      <c r="B46398" s="3" t="str">
        <f>HYPERLINK("https://www.773grp.com/manufacturer/onsemi?pageNo=944", "ON Semiconductor")</f>
        <v>ON Semiconductor</v>
      </c>
      <c r="C46398" s="6">
        <v>284</v>
      </c>
      <c r="D46398" s="7">
        <v>4.8600000000000003</v>
      </c>
      <c r="E46398" t="s">
        <v>14</v>
      </c>
    </row>
    <row r="46399" spans="1:5" x14ac:dyDescent="0.25">
      <c r="A46399" t="str">
        <f>HYPERLINK("https://www.773grp.com/globalSearch/QS74FCT162646ATPV/page-1", "QS74FCT162646ATPV")</f>
        <v>QS74FCT162646ATPV</v>
      </c>
      <c r="B46399" s="3" t="str">
        <f>HYPERLINK("https://www.773grp.com/manufacturer/onsemi?pageNo=945", "ON Semiconductor")</f>
        <v>ON Semiconductor</v>
      </c>
      <c r="C46399" s="6">
        <v>728</v>
      </c>
      <c r="D46399" s="7">
        <v>4.8600000000000003</v>
      </c>
      <c r="E46399" t="s">
        <v>14</v>
      </c>
    </row>
    <row r="46400" spans="1:5" x14ac:dyDescent="0.25">
      <c r="A46400" t="str">
        <f>HYPERLINK("https://www.773grp.com/globalSearch/QS74FCT162652ATPA/page-1", "QS74FCT162652ATPA")</f>
        <v>QS74FCT162652ATPA</v>
      </c>
      <c r="B46400" s="3" t="str">
        <f>HYPERLINK("https://www.773grp.com/manufacturer/onsemi?pageNo=946", "ON Semiconductor")</f>
        <v>ON Semiconductor</v>
      </c>
      <c r="C46400" s="6">
        <v>1163</v>
      </c>
      <c r="D46400" s="7">
        <v>4.8600000000000003</v>
      </c>
      <c r="E46400" t="s">
        <v>14</v>
      </c>
    </row>
    <row r="46401" spans="1:5" x14ac:dyDescent="0.25">
      <c r="A46401" t="str">
        <f>HYPERLINK("https://www.773grp.com/globalSearch/QS74FCT162652ATPV/page-1", "QS74FCT162652ATPV")</f>
        <v>QS74FCT162652ATPV</v>
      </c>
      <c r="B46401" s="3" t="str">
        <f>HYPERLINK("https://www.773grp.com/manufacturer/onsemi?pageNo=947", "ON Semiconductor")</f>
        <v>ON Semiconductor</v>
      </c>
      <c r="C46401" s="6">
        <v>3744</v>
      </c>
      <c r="D46401" s="7">
        <v>4.8600000000000003</v>
      </c>
      <c r="E46401" t="s">
        <v>14</v>
      </c>
    </row>
    <row r="46402" spans="1:5" x14ac:dyDescent="0.25">
      <c r="A46402" t="str">
        <f>HYPERLINK("https://www.773grp.com/globalSearch/QS74FCT162823ATPV/page-1", "QS74FCT162823ATPV")</f>
        <v>QS74FCT162823ATPV</v>
      </c>
      <c r="B46402" s="3" t="str">
        <f>HYPERLINK("https://www.773grp.com/manufacturer/onsemi?pageNo=948", "ON Semiconductor")</f>
        <v>ON Semiconductor</v>
      </c>
      <c r="C46402" s="6">
        <v>294</v>
      </c>
      <c r="D46402" s="7">
        <v>4.8600000000000003</v>
      </c>
      <c r="E46402" t="s">
        <v>14</v>
      </c>
    </row>
    <row r="46403" spans="1:5" x14ac:dyDescent="0.25">
      <c r="A46403" t="str">
        <f>HYPERLINK("https://www.773grp.com/globalSearch/QS74FCT162952ATPA/page-1", "QS74FCT162952ATPA")</f>
        <v>QS74FCT162952ATPA</v>
      </c>
      <c r="B46403" s="3" t="str">
        <f>HYPERLINK("https://www.773grp.com/manufacturer/onsemi?pageNo=949", "ON Semiconductor")</f>
        <v>ON Semiconductor</v>
      </c>
      <c r="C46403" s="6">
        <v>2292</v>
      </c>
      <c r="D46403" s="7">
        <v>4.8600000000000003</v>
      </c>
      <c r="E46403" t="s">
        <v>14</v>
      </c>
    </row>
    <row r="46404" spans="1:5" x14ac:dyDescent="0.25">
      <c r="A46404" t="str">
        <f>HYPERLINK("https://www.773grp.com/globalSearch/QS74FCT162952ATPV/page-1", "QS74FCT162952ATPV")</f>
        <v>QS74FCT162952ATPV</v>
      </c>
      <c r="B46404" s="3" t="str">
        <f>HYPERLINK("https://www.773grp.com/manufacturer/onsemi?pageNo=950", "ON Semiconductor")</f>
        <v>ON Semiconductor</v>
      </c>
      <c r="C46404" s="6">
        <v>4477</v>
      </c>
      <c r="D46404" s="7">
        <v>4.8600000000000003</v>
      </c>
      <c r="E46404" t="s">
        <v>14</v>
      </c>
    </row>
    <row r="46405" spans="1:5" x14ac:dyDescent="0.25">
      <c r="A46405" t="str">
        <f>HYPERLINK("https://www.773grp.com/globalSearch/QS74FCT1646ATPA/page-1", "QS74FCT1646ATPA")</f>
        <v>QS74FCT1646ATPA</v>
      </c>
      <c r="B46405" s="3" t="str">
        <f>HYPERLINK("https://www.773grp.com/manufacturer/onsemi?pageNo=951", "ON Semiconductor")</f>
        <v>ON Semiconductor</v>
      </c>
      <c r="C46405" s="6">
        <v>86</v>
      </c>
      <c r="D46405" s="7">
        <v>4.8600000000000003</v>
      </c>
    </row>
    <row r="46406" spans="1:5" x14ac:dyDescent="0.25">
      <c r="A46406" t="str">
        <f>HYPERLINK("https://www.773grp.com/globalSearch/QS74FCT16543ATPV/page-1", "QS74FCT16543ATPV")</f>
        <v>QS74FCT16543ATPV</v>
      </c>
      <c r="B46406" s="3" t="str">
        <f>HYPERLINK("https://www.773grp.com/manufacturer/onsemi?pageNo=952", "ON Semiconductor")</f>
        <v>ON Semiconductor</v>
      </c>
      <c r="C46406" s="6">
        <v>235</v>
      </c>
      <c r="D46406" s="7">
        <v>4.8600000000000003</v>
      </c>
      <c r="E46406" t="s">
        <v>14</v>
      </c>
    </row>
    <row r="46407" spans="1:5" x14ac:dyDescent="0.25">
      <c r="A46407" t="str">
        <f>HYPERLINK("https://www.773grp.com/globalSearch/QS74FCT16646ATPV/page-1", "QS74FCT16646ATPV")</f>
        <v>QS74FCT16646ATPV</v>
      </c>
      <c r="B46407" s="3" t="str">
        <f>HYPERLINK("https://www.773grp.com/manufacturer/onsemi?pageNo=953", "ON Semiconductor")</f>
        <v>ON Semiconductor</v>
      </c>
      <c r="C46407" s="6">
        <v>3576</v>
      </c>
      <c r="D46407" s="7">
        <v>4.8600000000000003</v>
      </c>
      <c r="E46407" t="s">
        <v>14</v>
      </c>
    </row>
    <row r="46408" spans="1:5" x14ac:dyDescent="0.25">
      <c r="A46408" t="str">
        <f>HYPERLINK("https://www.773grp.com/globalSearch/QS74FCT16646TPA/page-1", "QS74FCT16646TPA")</f>
        <v>QS74FCT16646TPA</v>
      </c>
      <c r="B46408" s="3" t="str">
        <f>HYPERLINK("https://www.773grp.com/manufacturer/onsemi?pageNo=954", "ON Semiconductor")</f>
        <v>ON Semiconductor</v>
      </c>
      <c r="C46408" s="6">
        <v>1833</v>
      </c>
      <c r="D46408" s="7">
        <v>4.8600000000000003</v>
      </c>
      <c r="E46408" t="s">
        <v>14</v>
      </c>
    </row>
    <row r="46409" spans="1:5" x14ac:dyDescent="0.25">
      <c r="A46409" t="str">
        <f>HYPERLINK("https://www.773grp.com/globalSearch/QS74FCT16646TPV/page-1", "QS74FCT16646TPV")</f>
        <v>QS74FCT16646TPV</v>
      </c>
      <c r="B46409" s="3" t="str">
        <f>HYPERLINK("https://www.773grp.com/manufacturer/onsemi?pageNo=955", "ON Semiconductor")</f>
        <v>ON Semiconductor</v>
      </c>
      <c r="C46409" s="6">
        <v>804</v>
      </c>
      <c r="D46409" s="7">
        <v>4.8600000000000003</v>
      </c>
      <c r="E46409" t="s">
        <v>14</v>
      </c>
    </row>
    <row r="46410" spans="1:5" x14ac:dyDescent="0.25">
      <c r="A46410" t="str">
        <f>HYPERLINK("https://www.773grp.com/globalSearch/QS74FCT16652ATPA/page-1", "QS74FCT16652ATPA")</f>
        <v>QS74FCT16652ATPA</v>
      </c>
      <c r="B46410" s="3" t="str">
        <f>HYPERLINK("https://www.773grp.com/manufacturer/onsemi?pageNo=956", "ON Semiconductor")</f>
        <v>ON Semiconductor</v>
      </c>
      <c r="C46410" s="6">
        <v>269</v>
      </c>
      <c r="D46410" s="7">
        <v>4.8600000000000003</v>
      </c>
      <c r="E46410" t="s">
        <v>14</v>
      </c>
    </row>
    <row r="46411" spans="1:5" x14ac:dyDescent="0.25">
      <c r="A46411" t="str">
        <f>HYPERLINK("https://www.773grp.com/globalSearch/QS74FCT16652ATPV/page-1", "QS74FCT16652ATPV")</f>
        <v>QS74FCT16652ATPV</v>
      </c>
      <c r="B46411" s="3" t="str">
        <f>HYPERLINK("https://www.773grp.com/manufacturer/onsemi?pageNo=957", "ON Semiconductor")</f>
        <v>ON Semiconductor</v>
      </c>
      <c r="C46411" s="6">
        <v>1558</v>
      </c>
      <c r="D46411" s="7">
        <v>4.8600000000000003</v>
      </c>
      <c r="E46411" t="s">
        <v>14</v>
      </c>
    </row>
    <row r="46412" spans="1:5" x14ac:dyDescent="0.25">
      <c r="A46412" t="str">
        <f>HYPERLINK("https://www.773grp.com/globalSearch/QS74FCT16652TPA/page-1", "QS74FCT16652TPA")</f>
        <v>QS74FCT16652TPA</v>
      </c>
      <c r="B46412" s="3" t="str">
        <f>HYPERLINK("https://www.773grp.com/manufacturer/onsemi?pageNo=958", "ON Semiconductor")</f>
        <v>ON Semiconductor</v>
      </c>
      <c r="C46412" s="6">
        <v>2311</v>
      </c>
      <c r="D46412" s="7">
        <v>4.8600000000000003</v>
      </c>
      <c r="E46412" t="s">
        <v>14</v>
      </c>
    </row>
    <row r="46413" spans="1:5" x14ac:dyDescent="0.25">
      <c r="A46413" t="str">
        <f>HYPERLINK("https://www.773grp.com/globalSearch/QS74FCT16952ATPV/page-1", "QS74FCT16952ATPV")</f>
        <v>QS74FCT16952ATPV</v>
      </c>
      <c r="B46413" s="3" t="str">
        <f>HYPERLINK("https://www.773grp.com/manufacturer/onsemi?pageNo=959", "ON Semiconductor")</f>
        <v>ON Semiconductor</v>
      </c>
      <c r="C46413" s="6">
        <v>162</v>
      </c>
      <c r="D46413" s="7">
        <v>4.8600000000000003</v>
      </c>
      <c r="E46413" t="s">
        <v>14</v>
      </c>
    </row>
    <row r="46414" spans="1:5" x14ac:dyDescent="0.25">
      <c r="A46414" t="str">
        <f>HYPERLINK("https://www.773grp.com/globalSearch/QS74FCT16952TPV/page-1", "QS74FCT16952TPV")</f>
        <v>QS74FCT16952TPV</v>
      </c>
      <c r="B46414" s="3" t="str">
        <f>HYPERLINK("https://www.773grp.com/manufacturer/onsemi?pageNo=960", "ON Semiconductor")</f>
        <v>ON Semiconductor</v>
      </c>
      <c r="C46414" s="6">
        <v>800</v>
      </c>
      <c r="D46414" s="7">
        <v>4.8600000000000003</v>
      </c>
      <c r="E46414" t="s">
        <v>14</v>
      </c>
    </row>
    <row r="46415" spans="1:5" x14ac:dyDescent="0.25">
      <c r="A46415" t="str">
        <f>HYPERLINK("https://www.773grp.com/globalSearch/QS3383QM/page-1", "QS3383QM")</f>
        <v>QS3383QM</v>
      </c>
      <c r="B46415" s="3" t="str">
        <f>HYPERLINK("https://www.773grp.com/manufacturer/onsemi?pageNo=961", "ON Semiconductor")</f>
        <v>ON Semiconductor</v>
      </c>
      <c r="C46415" s="6">
        <v>633</v>
      </c>
      <c r="D46415" s="7">
        <v>4.9000000000000004</v>
      </c>
      <c r="E46415" t="s">
        <v>14</v>
      </c>
    </row>
    <row r="46416" spans="1:5" x14ac:dyDescent="0.25">
      <c r="A46416" t="str">
        <f>HYPERLINK("https://www.773grp.com/globalSearch/QS74FCT3540Q/page-1", "QS74FCT3540Q")</f>
        <v>QS74FCT3540Q</v>
      </c>
      <c r="B46416" s="3" t="str">
        <f>HYPERLINK("https://www.773grp.com/manufacturer/onsemi?pageNo=962", "ON Semiconductor")</f>
        <v>ON Semiconductor</v>
      </c>
      <c r="C46416" s="6">
        <v>216</v>
      </c>
      <c r="D46416" s="7">
        <v>4.9000000000000004</v>
      </c>
      <c r="E46416" t="s">
        <v>14</v>
      </c>
    </row>
    <row r="46417" spans="1:5" x14ac:dyDescent="0.25">
      <c r="A46417" t="str">
        <f>HYPERLINK("https://www.773grp.com/globalSearch/QS74FCT3540SO/page-1", "QS74FCT3540SO")</f>
        <v>QS74FCT3540SO</v>
      </c>
      <c r="B46417" s="3" t="str">
        <f>HYPERLINK("https://www.773grp.com/manufacturer/onsemi?pageNo=963", "ON Semiconductor")</f>
        <v>ON Semiconductor</v>
      </c>
      <c r="C46417" s="6">
        <v>190</v>
      </c>
      <c r="D46417" s="7">
        <v>4.9000000000000004</v>
      </c>
      <c r="E46417" t="s">
        <v>14</v>
      </c>
    </row>
    <row r="46418" spans="1:5" x14ac:dyDescent="0.25">
      <c r="A46418" t="str">
        <f>HYPERLINK("https://www.773grp.com/globalSearch/QS74FCT3541SO/page-1", "QS74FCT3541SO")</f>
        <v>QS74FCT3541SO</v>
      </c>
      <c r="B46418" s="3" t="str">
        <f>HYPERLINK("https://www.773grp.com/manufacturer/onsemi?pageNo=964", "ON Semiconductor")</f>
        <v>ON Semiconductor</v>
      </c>
      <c r="C46418" s="6">
        <v>734</v>
      </c>
      <c r="D46418" s="7">
        <v>4.9000000000000004</v>
      </c>
      <c r="E46418" t="s">
        <v>14</v>
      </c>
    </row>
    <row r="46419" spans="1:5" x14ac:dyDescent="0.25">
      <c r="A46419" t="str">
        <f>HYPERLINK("https://www.773grp.com/globalSearch/QS4A110Q/page-1", "QS4A110Q")</f>
        <v>QS4A110Q</v>
      </c>
      <c r="B46419" s="3" t="str">
        <f>HYPERLINK("https://www.773grp.com/manufacturer/onsemi?pageNo=965", "ON Semiconductor")</f>
        <v>ON Semiconductor</v>
      </c>
      <c r="C46419" s="6">
        <v>493</v>
      </c>
      <c r="D46419" s="7">
        <v>4.93</v>
      </c>
      <c r="E46419" t="s">
        <v>56</v>
      </c>
    </row>
    <row r="46420" spans="1:5" x14ac:dyDescent="0.25">
      <c r="A46420" t="str">
        <f>HYPERLINK("https://www.773grp.com/globalSearch/QS4A201Q/page-1", "QS4A201Q")</f>
        <v>QS4A201Q</v>
      </c>
      <c r="B46420" s="3" t="str">
        <f>HYPERLINK("https://www.773grp.com/manufacturer/onsemi?pageNo=966", "ON Semiconductor")</f>
        <v>ON Semiconductor</v>
      </c>
      <c r="C46420" s="6">
        <v>544</v>
      </c>
      <c r="D46420" s="7">
        <v>4.93</v>
      </c>
      <c r="E46420" t="s">
        <v>56</v>
      </c>
    </row>
    <row r="46421" spans="1:5" x14ac:dyDescent="0.25">
      <c r="A46421" t="str">
        <f>HYPERLINK("https://www.773grp.com/globalSearch/QS74FCT153ATS1/page-1", "QS74FCT153ATS1")</f>
        <v>QS74FCT153ATS1</v>
      </c>
      <c r="B46421" s="3" t="str">
        <f>HYPERLINK("https://www.773grp.com/manufacturer/onsemi?pageNo=967", "ON Semiconductor")</f>
        <v>ON Semiconductor</v>
      </c>
      <c r="C46421" s="6">
        <v>442</v>
      </c>
      <c r="D46421" s="7">
        <v>4.93</v>
      </c>
      <c r="E46421" t="s">
        <v>20</v>
      </c>
    </row>
    <row r="46422" spans="1:5" x14ac:dyDescent="0.25">
      <c r="A46422" t="str">
        <f>HYPERLINK("https://www.773grp.com/globalSearch/QS74FCT153ATS1X/page-1", "QS74FCT153ATS1X")</f>
        <v>QS74FCT153ATS1X</v>
      </c>
      <c r="B46422" s="3" t="str">
        <f>HYPERLINK("https://www.773grp.com/manufacturer/onsemi?pageNo=968", "ON Semiconductor")</f>
        <v>ON Semiconductor</v>
      </c>
      <c r="C46422" s="6">
        <v>2500</v>
      </c>
      <c r="D46422" s="7">
        <v>4.93</v>
      </c>
    </row>
    <row r="46423" spans="1:5" x14ac:dyDescent="0.25">
      <c r="A46423" t="str">
        <f>HYPERLINK("https://www.773grp.com/globalSearch/QS74FCT153TSO/page-1", "QS74FCT153TSO")</f>
        <v>QS74FCT153TSO</v>
      </c>
      <c r="B46423" s="3" t="str">
        <f>HYPERLINK("https://www.773grp.com/manufacturer/onsemi?pageNo=969", "ON Semiconductor")</f>
        <v>ON Semiconductor</v>
      </c>
      <c r="C46423" s="6">
        <v>48</v>
      </c>
      <c r="D46423" s="7">
        <v>4.95</v>
      </c>
      <c r="E46423" t="s">
        <v>20</v>
      </c>
    </row>
    <row r="46424" spans="1:5" x14ac:dyDescent="0.25">
      <c r="A46424" t="str">
        <f>HYPERLINK("https://www.773grp.com/globalSearch/QS74FCT2652ATP/page-1", "QS74FCT2652ATP")</f>
        <v>QS74FCT2652ATP</v>
      </c>
      <c r="B46424" s="3" t="str">
        <f>HYPERLINK("https://www.773grp.com/manufacturer/onsemi?pageNo=970", "ON Semiconductor")</f>
        <v>ON Semiconductor</v>
      </c>
      <c r="C46424" s="6">
        <v>3191</v>
      </c>
      <c r="D46424" s="7">
        <v>4.95</v>
      </c>
      <c r="E46424" t="s">
        <v>14</v>
      </c>
    </row>
    <row r="46425" spans="1:5" x14ac:dyDescent="0.25">
      <c r="A46425" t="str">
        <f>HYPERLINK("https://www.773grp.com/globalSearch/QS5805TQ/page-1", "QS5805TQ")</f>
        <v>QS5805TQ</v>
      </c>
      <c r="B46425" s="3" t="str">
        <f>HYPERLINK("https://www.773grp.com/manufacturer/onsemi?pageNo=971", "ON Semiconductor")</f>
        <v>ON Semiconductor</v>
      </c>
      <c r="C46425" s="6">
        <v>1</v>
      </c>
      <c r="D46425" s="7">
        <v>4.9800000000000004</v>
      </c>
      <c r="E46425" t="s">
        <v>34</v>
      </c>
    </row>
    <row r="46426" spans="1:5" x14ac:dyDescent="0.25">
      <c r="A46426" t="str">
        <f>HYPERLINK("https://www.773grp.com/globalSearch/QS5806TSO/page-1", "QS5806TSO")</f>
        <v>QS5806TSO</v>
      </c>
      <c r="B46426" s="3" t="str">
        <f>HYPERLINK("https://www.773grp.com/manufacturer/onsemi?pageNo=972", "ON Semiconductor")</f>
        <v>ON Semiconductor</v>
      </c>
      <c r="C46426" s="6">
        <v>2978</v>
      </c>
      <c r="D46426" s="7">
        <v>4.9800000000000004</v>
      </c>
      <c r="E46426" t="s">
        <v>34</v>
      </c>
    </row>
    <row r="46427" spans="1:5" x14ac:dyDescent="0.25">
      <c r="A46427" t="str">
        <f>HYPERLINK("https://www.773grp.com/globalSearch/QS74FCT191TSO/page-1", "QS74FCT191TSO")</f>
        <v>QS74FCT191TSO</v>
      </c>
      <c r="B46427" s="3" t="str">
        <f>HYPERLINK("https://www.773grp.com/manufacturer/onsemi?pageNo=973", "ON Semiconductor")</f>
        <v>ON Semiconductor</v>
      </c>
      <c r="C46427" s="6">
        <v>29600</v>
      </c>
      <c r="D46427" s="7">
        <v>4.9800000000000004</v>
      </c>
      <c r="E46427" t="s">
        <v>26</v>
      </c>
    </row>
    <row r="46428" spans="1:5" x14ac:dyDescent="0.25">
      <c r="A46428" t="str">
        <f>HYPERLINK("https://www.773grp.com/globalSearch/QS74FCT240TSO/page-1", "QS74FCT240TSO")</f>
        <v>QS74FCT240TSO</v>
      </c>
      <c r="B46428" s="3" t="str">
        <f>HYPERLINK("https://www.773grp.com/manufacturer/onsemi?pageNo=974", "ON Semiconductor")</f>
        <v>ON Semiconductor</v>
      </c>
      <c r="C46428" s="6">
        <v>8292</v>
      </c>
      <c r="D46428" s="7">
        <v>5.01</v>
      </c>
      <c r="E46428" t="s">
        <v>14</v>
      </c>
    </row>
    <row r="46429" spans="1:5" x14ac:dyDescent="0.25">
      <c r="A46429" t="str">
        <f>HYPERLINK("https://www.773grp.com/globalSearch/QS74FCT2863ATS0/page-1", "QS74FCT2863ATS0")</f>
        <v>QS74FCT2863ATS0</v>
      </c>
      <c r="B46429" s="3" t="str">
        <f>HYPERLINK("https://www.773grp.com/manufacturer/onsemi?pageNo=975", "ON Semiconductor")</f>
        <v>ON Semiconductor</v>
      </c>
      <c r="C46429" s="6">
        <v>105</v>
      </c>
      <c r="D46429" s="7">
        <v>5.01</v>
      </c>
    </row>
    <row r="46430" spans="1:5" x14ac:dyDescent="0.25">
      <c r="A46430" t="str">
        <f>HYPERLINK("https://www.773grp.com/globalSearch/QS74FCT138TSOX/page-1", "QS74FCT138TSOX")</f>
        <v>QS74FCT138TSOX</v>
      </c>
      <c r="B46430" s="3" t="str">
        <f>HYPERLINK("https://www.773grp.com/manufacturer/onsemi?pageNo=976", "ON Semiconductor")</f>
        <v>ON Semiconductor</v>
      </c>
      <c r="C46430" s="6">
        <v>2000</v>
      </c>
      <c r="D46430" s="7">
        <v>5.0599999999999996</v>
      </c>
    </row>
    <row r="46431" spans="1:5" x14ac:dyDescent="0.25">
      <c r="A46431" t="str">
        <f>HYPERLINK("https://www.773grp.com/globalSearch/QS74FCT139ATQ/page-1", "QS74FCT139ATQ")</f>
        <v>QS74FCT139ATQ</v>
      </c>
      <c r="B46431" s="3" t="str">
        <f>HYPERLINK("https://www.773grp.com/manufacturer/onsemi?pageNo=977", "ON Semiconductor")</f>
        <v>ON Semiconductor</v>
      </c>
      <c r="C46431" s="6">
        <v>951</v>
      </c>
      <c r="D46431" s="7">
        <v>5.0599999999999996</v>
      </c>
      <c r="E46431" t="s">
        <v>36</v>
      </c>
    </row>
    <row r="46432" spans="1:5" x14ac:dyDescent="0.25">
      <c r="A46432" t="str">
        <f>HYPERLINK("https://www.773grp.com/globalSearch/QS74FCT2257TSO/page-1", "QS74FCT2257TSO")</f>
        <v>QS74FCT2257TSO</v>
      </c>
      <c r="B46432" s="3" t="str">
        <f>HYPERLINK("https://www.773grp.com/manufacturer/onsemi?pageNo=978", "ON Semiconductor")</f>
        <v>ON Semiconductor</v>
      </c>
      <c r="C46432" s="6">
        <v>1357</v>
      </c>
      <c r="D46432" s="7">
        <v>5.0599999999999996</v>
      </c>
      <c r="E46432" t="s">
        <v>20</v>
      </c>
    </row>
    <row r="46433" spans="1:5" x14ac:dyDescent="0.25">
      <c r="A46433" t="str">
        <f>HYPERLINK("https://www.773grp.com/globalSearch/QS74FCT2374TP/page-1", "QS74FCT2374TP")</f>
        <v>QS74FCT2374TP</v>
      </c>
      <c r="B46433" s="3" t="str">
        <f>HYPERLINK("https://www.773grp.com/manufacturer/onsemi?pageNo=979", "ON Semiconductor")</f>
        <v>ON Semiconductor</v>
      </c>
      <c r="C46433" s="6">
        <v>141</v>
      </c>
      <c r="D46433" s="7">
        <v>5.0599999999999996</v>
      </c>
      <c r="E46433" t="s">
        <v>14</v>
      </c>
    </row>
    <row r="46434" spans="1:5" x14ac:dyDescent="0.25">
      <c r="A46434" t="str">
        <f>HYPERLINK("https://www.773grp.com/globalSearch/QS74FCT257TSO/page-1", "QS74FCT257TSO")</f>
        <v>QS74FCT257TSO</v>
      </c>
      <c r="B46434" s="3" t="str">
        <f>HYPERLINK("https://www.773grp.com/manufacturer/onsemi?pageNo=980", "ON Semiconductor")</f>
        <v>ON Semiconductor</v>
      </c>
      <c r="C46434" s="6">
        <v>1414</v>
      </c>
      <c r="D46434" s="7">
        <v>5.0599999999999996</v>
      </c>
      <c r="E46434" t="s">
        <v>20</v>
      </c>
    </row>
    <row r="46435" spans="1:5" x14ac:dyDescent="0.25">
      <c r="A46435" t="str">
        <f>HYPERLINK("https://www.773grp.com/globalSearch/QS74FCT2827ATP/page-1", "QS74FCT2827ATP")</f>
        <v>QS74FCT2827ATP</v>
      </c>
      <c r="B46435" s="3" t="str">
        <f>HYPERLINK("https://www.773grp.com/manufacturer/onsemi?pageNo=981", "ON Semiconductor")</f>
        <v>ON Semiconductor</v>
      </c>
      <c r="C46435" s="6">
        <v>1</v>
      </c>
      <c r="D46435" s="7">
        <v>5.0599999999999996</v>
      </c>
      <c r="E46435" t="s">
        <v>14</v>
      </c>
    </row>
    <row r="46436" spans="1:5" x14ac:dyDescent="0.25">
      <c r="A46436" t="str">
        <f>HYPERLINK("https://www.773grp.com/globalSearch/QS74FCT821ATZ/page-1", "QS74FCT821ATZ")</f>
        <v>QS74FCT821ATZ</v>
      </c>
      <c r="B46436" s="3" t="str">
        <f>HYPERLINK("https://www.773grp.com/manufacturer/onsemi?pageNo=982", "ON Semiconductor")</f>
        <v>ON Semiconductor</v>
      </c>
      <c r="C46436" s="6">
        <v>318</v>
      </c>
      <c r="D46436" s="7">
        <v>5.0599999999999996</v>
      </c>
      <c r="E46436" t="s">
        <v>14</v>
      </c>
    </row>
    <row r="46437" spans="1:5" x14ac:dyDescent="0.25">
      <c r="A46437" t="str">
        <f>HYPERLINK("https://www.773grp.com/globalSearch/QS74FCT828ATP/page-1", "QS74FCT828ATP")</f>
        <v>QS74FCT828ATP</v>
      </c>
      <c r="B46437" s="3" t="str">
        <f>HYPERLINK("https://www.773grp.com/manufacturer/onsemi?pageNo=983", "ON Semiconductor")</f>
        <v>ON Semiconductor</v>
      </c>
      <c r="C46437" s="6">
        <v>13</v>
      </c>
      <c r="D46437" s="7">
        <v>5.0599999999999996</v>
      </c>
      <c r="E46437" t="s">
        <v>14</v>
      </c>
    </row>
    <row r="46438" spans="1:5" x14ac:dyDescent="0.25">
      <c r="A46438" t="str">
        <f>HYPERLINK("https://www.773grp.com/globalSearch/QS74FCT191ATS0X/page-1", "QS74FCT191ATS0X")</f>
        <v>QS74FCT191ATS0X</v>
      </c>
      <c r="B46438" s="3" t="str">
        <f>HYPERLINK("https://www.773grp.com/manufacturer/onsemi?pageNo=984", "ON Semiconductor")</f>
        <v>ON Semiconductor</v>
      </c>
      <c r="C46438" s="6">
        <v>2000</v>
      </c>
      <c r="D46438" s="7">
        <v>5.0999999999999996</v>
      </c>
    </row>
    <row r="46439" spans="1:5" x14ac:dyDescent="0.25">
      <c r="A46439" t="str">
        <f>HYPERLINK("https://www.773grp.com/globalSearch/QS74FCT258ATP/page-1", "QS74FCT258ATP")</f>
        <v>QS74FCT258ATP</v>
      </c>
      <c r="B46439" s="3" t="str">
        <f>HYPERLINK("https://www.773grp.com/manufacturer/onsemi?pageNo=985", "ON Semiconductor")</f>
        <v>ON Semiconductor</v>
      </c>
      <c r="C46439" s="6">
        <v>5377</v>
      </c>
      <c r="D46439" s="7">
        <v>5.0999999999999996</v>
      </c>
      <c r="E46439" t="s">
        <v>20</v>
      </c>
    </row>
    <row r="46440" spans="1:5" x14ac:dyDescent="0.25">
      <c r="A46440" t="str">
        <f>HYPERLINK("https://www.773grp.com/globalSearch/QS74FCT2540TSOX/page-1", "QS74FCT2540TSOX")</f>
        <v>QS74FCT2540TSOX</v>
      </c>
      <c r="B46440" s="3" t="str">
        <f>HYPERLINK("https://www.773grp.com/manufacturer/onsemi?pageNo=986", "ON Semiconductor")</f>
        <v>ON Semiconductor</v>
      </c>
      <c r="C46440" s="6">
        <v>1000</v>
      </c>
      <c r="D46440" s="7">
        <v>5.18</v>
      </c>
    </row>
    <row r="46441" spans="1:5" x14ac:dyDescent="0.25">
      <c r="A46441" t="str">
        <f>HYPERLINK("https://www.773grp.com/globalSearch/QS74FCT2823CTQ/page-1", "QS74FCT2823CTQ")</f>
        <v>QS74FCT2823CTQ</v>
      </c>
      <c r="B46441" s="3" t="str">
        <f>HYPERLINK("https://www.773grp.com/manufacturer/onsemi?pageNo=987", "ON Semiconductor")</f>
        <v>ON Semiconductor</v>
      </c>
      <c r="C46441" s="6">
        <v>271</v>
      </c>
      <c r="D46441" s="7">
        <v>5.18</v>
      </c>
      <c r="E46441" t="s">
        <v>14</v>
      </c>
    </row>
    <row r="46442" spans="1:5" x14ac:dyDescent="0.25">
      <c r="A46442" t="str">
        <f>HYPERLINK("https://www.773grp.com/globalSearch/QS54FCT2245TQ/page-1", "QS54FCT2245TQ")</f>
        <v>QS54FCT2245TQ</v>
      </c>
      <c r="B46442" s="3" t="str">
        <f>HYPERLINK("https://www.773grp.com/manufacturer/onsemi?pageNo=988", "ON Semiconductor")</f>
        <v>ON Semiconductor</v>
      </c>
      <c r="C46442" s="6">
        <v>148</v>
      </c>
      <c r="D46442" s="7">
        <v>5.2</v>
      </c>
      <c r="E46442" t="s">
        <v>14</v>
      </c>
    </row>
    <row r="46443" spans="1:5" x14ac:dyDescent="0.25">
      <c r="A46443" t="str">
        <f>HYPERLINK("https://www.773grp.com/globalSearch/QS74FCT2253ATQ/page-1", "QS74FCT2253ATQ")</f>
        <v>QS74FCT2253ATQ</v>
      </c>
      <c r="B46443" s="3" t="str">
        <f>HYPERLINK("https://www.773grp.com/manufacturer/onsemi?pageNo=989", "ON Semiconductor")</f>
        <v>ON Semiconductor</v>
      </c>
      <c r="C46443" s="6">
        <v>254</v>
      </c>
      <c r="D46443" s="7">
        <v>5.2</v>
      </c>
      <c r="E46443" t="s">
        <v>20</v>
      </c>
    </row>
    <row r="46444" spans="1:5" x14ac:dyDescent="0.25">
      <c r="A46444" t="str">
        <f>HYPERLINK("https://www.773grp.com/globalSearch/QS74FCT251TP/page-1", "QS74FCT251TP")</f>
        <v>QS74FCT251TP</v>
      </c>
      <c r="B46444" s="3" t="str">
        <f>HYPERLINK("https://www.773grp.com/manufacturer/onsemi?pageNo=990", "ON Semiconductor")</f>
        <v>ON Semiconductor</v>
      </c>
      <c r="C46444" s="6">
        <v>5066</v>
      </c>
      <c r="D46444" s="7">
        <v>5.2</v>
      </c>
      <c r="E46444" t="s">
        <v>20</v>
      </c>
    </row>
    <row r="46445" spans="1:5" x14ac:dyDescent="0.25">
      <c r="A46445" t="str">
        <f>HYPERLINK("https://www.773grp.com/globalSearch/QS74FCT2540TSO/page-1", "QS74FCT2540TSO")</f>
        <v>QS74FCT2540TSO</v>
      </c>
      <c r="B46445" s="3" t="str">
        <f>HYPERLINK("https://www.773grp.com/manufacturer/onsemi?pageNo=991", "ON Semiconductor")</f>
        <v>ON Semiconductor</v>
      </c>
      <c r="C46445" s="6">
        <v>836</v>
      </c>
      <c r="D46445" s="7">
        <v>5.2</v>
      </c>
      <c r="E46445" t="s">
        <v>14</v>
      </c>
    </row>
    <row r="46446" spans="1:5" x14ac:dyDescent="0.25">
      <c r="A46446" t="str">
        <f>HYPERLINK("https://www.773grp.com/globalSearch/QS74FCT2158ATS1/page-1", "QS74FCT2158ATS1")</f>
        <v>QS74FCT2158ATS1</v>
      </c>
      <c r="B46446" s="3" t="str">
        <f>HYPERLINK("https://www.773grp.com/manufacturer/onsemi?pageNo=992", "ON Semiconductor")</f>
        <v>ON Semiconductor</v>
      </c>
      <c r="C46446" s="6">
        <v>6142</v>
      </c>
      <c r="D46446" s="7">
        <v>5.26</v>
      </c>
      <c r="E46446" t="s">
        <v>20</v>
      </c>
    </row>
    <row r="46447" spans="1:5" x14ac:dyDescent="0.25">
      <c r="A46447" t="str">
        <f>HYPERLINK("https://www.773grp.com/globalSearch/QS74FCT534ATSO/page-1", "QS74FCT534ATSO")</f>
        <v>QS74FCT534ATSO</v>
      </c>
      <c r="B46447" s="3" t="str">
        <f>HYPERLINK("https://www.773grp.com/manufacturer/onsemi?pageNo=993", "ON Semiconductor")</f>
        <v>ON Semiconductor</v>
      </c>
      <c r="C46447" s="6">
        <v>3059</v>
      </c>
      <c r="D46447" s="7">
        <v>5.26</v>
      </c>
      <c r="E46447" t="s">
        <v>14</v>
      </c>
    </row>
    <row r="46448" spans="1:5" x14ac:dyDescent="0.25">
      <c r="A46448" t="str">
        <f>HYPERLINK("https://www.773grp.com/globalSearch/QS54FCT2257ATSO/page-1", "QS54FCT2257ATSO")</f>
        <v>QS54FCT2257ATSO</v>
      </c>
      <c r="B46448" s="3" t="str">
        <f>HYPERLINK("https://www.773grp.com/manufacturer/onsemi?pageNo=994", "ON Semiconductor")</f>
        <v>ON Semiconductor</v>
      </c>
      <c r="C46448" s="6">
        <v>397</v>
      </c>
      <c r="D46448" s="7">
        <v>5.31</v>
      </c>
      <c r="E46448" t="s">
        <v>20</v>
      </c>
    </row>
    <row r="46449" spans="1:5" x14ac:dyDescent="0.25">
      <c r="A46449" t="str">
        <f>HYPERLINK("https://www.773grp.com/globalSearch/QS54FCT2541ATSO/page-1", "QS54FCT2541ATSO")</f>
        <v>QS54FCT2541ATSO</v>
      </c>
      <c r="B46449" s="3" t="str">
        <f>HYPERLINK("https://www.773grp.com/manufacturer/onsemi?pageNo=995", "ON Semiconductor")</f>
        <v>ON Semiconductor</v>
      </c>
      <c r="C46449" s="6">
        <v>158</v>
      </c>
      <c r="D46449" s="7">
        <v>5.31</v>
      </c>
      <c r="E46449" t="s">
        <v>14</v>
      </c>
    </row>
    <row r="46450" spans="1:5" x14ac:dyDescent="0.25">
      <c r="A46450" t="str">
        <f>HYPERLINK("https://www.773grp.com/globalSearch/QS54FCT541ATQ/page-1", "QS54FCT541ATQ")</f>
        <v>QS54FCT541ATQ</v>
      </c>
      <c r="B46450" s="3" t="str">
        <f>HYPERLINK("https://www.773grp.com/manufacturer/onsemi?pageNo=996", "ON Semiconductor")</f>
        <v>ON Semiconductor</v>
      </c>
      <c r="C46450" s="6">
        <v>252</v>
      </c>
      <c r="D46450" s="7">
        <v>5.31</v>
      </c>
      <c r="E46450" t="s">
        <v>14</v>
      </c>
    </row>
    <row r="46451" spans="1:5" x14ac:dyDescent="0.25">
      <c r="A46451" t="str">
        <f>HYPERLINK("https://www.773grp.com/globalSearch/QS74FCT162245ATQ2/page-1", "QS74FCT162245ATQ2")</f>
        <v>QS74FCT162245ATQ2</v>
      </c>
      <c r="B46451" s="3" t="str">
        <f>HYPERLINK("https://www.773grp.com/manufacturer/onsemi?pageNo=997", "ON Semiconductor")</f>
        <v>ON Semiconductor</v>
      </c>
      <c r="C46451" s="6">
        <v>190</v>
      </c>
      <c r="D46451" s="7">
        <v>5.31</v>
      </c>
    </row>
    <row r="46452" spans="1:5" x14ac:dyDescent="0.25">
      <c r="A46452" t="str">
        <f>HYPERLINK("https://www.773grp.com/globalSearch/QS74FCT16373CTPV/page-1", "QS74FCT16373CTPV")</f>
        <v>QS74FCT16373CTPV</v>
      </c>
      <c r="B46452" s="3" t="str">
        <f>HYPERLINK("https://www.773grp.com/manufacturer/onsemi?pageNo=998", "ON Semiconductor")</f>
        <v>ON Semiconductor</v>
      </c>
      <c r="C46452" s="6">
        <v>7101</v>
      </c>
      <c r="D46452" s="7">
        <v>5.31</v>
      </c>
      <c r="E46452" t="s">
        <v>14</v>
      </c>
    </row>
    <row r="46453" spans="1:5" x14ac:dyDescent="0.25">
      <c r="A46453" t="str">
        <f>HYPERLINK("https://www.773grp.com/globalSearch/QS74FCT163ATQ/page-1", "QS74FCT163ATQ")</f>
        <v>QS74FCT163ATQ</v>
      </c>
      <c r="B46453" s="3" t="str">
        <f>HYPERLINK("https://www.773grp.com/manufacturer/onsemi?pageNo=999", "ON Semiconductor")</f>
        <v>ON Semiconductor</v>
      </c>
      <c r="C46453" s="6">
        <v>4</v>
      </c>
      <c r="D46453" s="7">
        <v>5.31</v>
      </c>
      <c r="E46453" t="s">
        <v>26</v>
      </c>
    </row>
    <row r="46454" spans="1:5" x14ac:dyDescent="0.25">
      <c r="A46454" t="str">
        <f>HYPERLINK("https://www.773grp.com/globalSearch/QS54FCT244TQ/page-1", "QS54FCT244TQ")</f>
        <v>QS54FCT244TQ</v>
      </c>
      <c r="B46454" s="3" t="str">
        <f>HYPERLINK("https://www.773grp.com/manufacturer/onsemi?pageNo=1000", "ON Semiconductor")</f>
        <v>ON Semiconductor</v>
      </c>
      <c r="C46454" s="6">
        <v>8</v>
      </c>
      <c r="D46454" s="7">
        <v>5.35</v>
      </c>
      <c r="E46454" t="s">
        <v>14</v>
      </c>
    </row>
    <row r="46455" spans="1:5" x14ac:dyDescent="0.25">
      <c r="A46455" t="str">
        <f>HYPERLINK("https://www.773grp.com/globalSearch/QS54FCT827CTQ/page-1", "QS54FCT827CTQ")</f>
        <v>QS54FCT827CTQ</v>
      </c>
      <c r="B46455" s="3" t="str">
        <f>HYPERLINK("https://www.773grp.com/manufacturer/onsemi?pageNo=1001", "ON Semiconductor")</f>
        <v>ON Semiconductor</v>
      </c>
      <c r="C46455" s="6">
        <v>756</v>
      </c>
      <c r="D46455" s="7">
        <v>5.35</v>
      </c>
      <c r="E46455" t="s">
        <v>14</v>
      </c>
    </row>
    <row r="46456" spans="1:5" x14ac:dyDescent="0.25">
      <c r="A46456" t="str">
        <f>HYPERLINK("https://www.773grp.com/globalSearch/QS74FCT2244TQ/page-1", "QS74FCT2244TQ")</f>
        <v>QS74FCT2244TQ</v>
      </c>
      <c r="B46456" s="3" t="str">
        <f>HYPERLINK("https://www.773grp.com/manufacturer/onsemi?pageNo=1002", "ON Semiconductor")</f>
        <v>ON Semiconductor</v>
      </c>
      <c r="C46456" s="6">
        <v>283</v>
      </c>
      <c r="D46456" s="7">
        <v>5.35</v>
      </c>
      <c r="E46456" t="s">
        <v>14</v>
      </c>
    </row>
    <row r="46457" spans="1:5" x14ac:dyDescent="0.25">
      <c r="A46457" t="str">
        <f>HYPERLINK("https://www.773grp.com/globalSearch/QS74FCT2828BTZ/page-1", "QS74FCT2828BTZ")</f>
        <v>QS74FCT2828BTZ</v>
      </c>
      <c r="B46457" s="3" t="str">
        <f>HYPERLINK("https://www.773grp.com/manufacturer/onsemi?pageNo=1003", "ON Semiconductor")</f>
        <v>ON Semiconductor</v>
      </c>
      <c r="C46457" s="6">
        <v>146</v>
      </c>
      <c r="D46457" s="7">
        <v>5.36</v>
      </c>
      <c r="E46457" t="s">
        <v>14</v>
      </c>
    </row>
    <row r="46458" spans="1:5" x14ac:dyDescent="0.25">
      <c r="A46458" t="str">
        <f>HYPERLINK("https://www.773grp.com/globalSearch/QS74FCT299TSO/page-1", "QS74FCT299TSO")</f>
        <v>QS74FCT299TSO</v>
      </c>
      <c r="B46458" s="3" t="str">
        <f>HYPERLINK("https://www.773grp.com/manufacturer/onsemi?pageNo=1004", "ON Semiconductor")</f>
        <v>ON Semiconductor</v>
      </c>
      <c r="C46458" s="6">
        <v>2393</v>
      </c>
      <c r="D46458" s="7">
        <v>5.4</v>
      </c>
      <c r="E46458" t="s">
        <v>32</v>
      </c>
    </row>
    <row r="46459" spans="1:5" x14ac:dyDescent="0.25">
      <c r="A46459" t="str">
        <f>HYPERLINK("https://www.773grp.com/globalSearch/QS74FCT864ATQ/page-1", "QS74FCT864ATQ")</f>
        <v>QS74FCT864ATQ</v>
      </c>
      <c r="B46459" s="3" t="str">
        <f>HYPERLINK("https://www.773grp.com/manufacturer/onsemi?pageNo=1005", "ON Semiconductor")</f>
        <v>ON Semiconductor</v>
      </c>
      <c r="C46459" s="6">
        <v>349</v>
      </c>
      <c r="D46459" s="7">
        <v>5.4</v>
      </c>
      <c r="E46459" t="s">
        <v>14</v>
      </c>
    </row>
    <row r="46460" spans="1:5" x14ac:dyDescent="0.25">
      <c r="A46460" t="str">
        <f>HYPERLINK("https://www.773grp.com/globalSearch/QS74FCT640ATSOX/page-1", "QS74FCT640ATSOX")</f>
        <v>QS74FCT640ATSOX</v>
      </c>
      <c r="B46460" s="3" t="str">
        <f>HYPERLINK("https://www.773grp.com/manufacturer/onsemi?pageNo=1006", "ON Semiconductor")</f>
        <v>ON Semiconductor</v>
      </c>
      <c r="C46460" s="6">
        <v>1000</v>
      </c>
      <c r="D46460" s="7">
        <v>5.44</v>
      </c>
    </row>
    <row r="46461" spans="1:5" x14ac:dyDescent="0.25">
      <c r="A46461" t="str">
        <f>HYPERLINK("https://www.773grp.com/globalSearch/QS74FCT845ATQ/page-1", "QS74FCT845ATQ")</f>
        <v>QS74FCT845ATQ</v>
      </c>
      <c r="B46461" s="3" t="str">
        <f>HYPERLINK("https://www.773grp.com/manufacturer/onsemi?pageNo=1007", "ON Semiconductor")</f>
        <v>ON Semiconductor</v>
      </c>
      <c r="C46461" s="6">
        <v>6690</v>
      </c>
      <c r="D46461" s="7">
        <v>5.45</v>
      </c>
      <c r="E46461" t="s">
        <v>14</v>
      </c>
    </row>
    <row r="46462" spans="1:5" x14ac:dyDescent="0.25">
      <c r="A46462" t="str">
        <f>HYPERLINK("https://www.773grp.com/globalSearch/QS74FCT193ATP/page-1", "QS74FCT193ATP")</f>
        <v>QS74FCT193ATP</v>
      </c>
      <c r="B46462" s="3" t="str">
        <f>HYPERLINK("https://www.773grp.com/manufacturer/onsemi?pageNo=1008", "ON Semiconductor")</f>
        <v>ON Semiconductor</v>
      </c>
      <c r="C46462" s="6">
        <v>12477</v>
      </c>
      <c r="D46462" s="7">
        <v>5.49</v>
      </c>
      <c r="E46462" t="s">
        <v>26</v>
      </c>
    </row>
    <row r="46463" spans="1:5" x14ac:dyDescent="0.25">
      <c r="A46463" t="str">
        <f>HYPERLINK("https://www.773grp.com/globalSearch/QS74FCT2153ATP/page-1", "QS74FCT2153ATP")</f>
        <v>QS74FCT2153ATP</v>
      </c>
      <c r="B46463" s="3" t="str">
        <f>HYPERLINK("https://www.773grp.com/manufacturer/onsemi?pageNo=1009", "ON Semiconductor")</f>
        <v>ON Semiconductor</v>
      </c>
      <c r="C46463" s="6">
        <v>112</v>
      </c>
      <c r="D46463" s="7">
        <v>5.49</v>
      </c>
      <c r="E46463" t="s">
        <v>20</v>
      </c>
    </row>
    <row r="46464" spans="1:5" x14ac:dyDescent="0.25">
      <c r="A46464" t="str">
        <f>HYPERLINK("https://www.773grp.com/globalSearch/QS74FCT253ATP/page-1", "QS74FCT253ATP")</f>
        <v>QS74FCT253ATP</v>
      </c>
      <c r="B46464" s="3" t="str">
        <f>HYPERLINK("https://www.773grp.com/manufacturer/onsemi?pageNo=1010", "ON Semiconductor")</f>
        <v>ON Semiconductor</v>
      </c>
      <c r="C46464" s="6">
        <v>5302</v>
      </c>
      <c r="D46464" s="7">
        <v>5.49</v>
      </c>
      <c r="E46464" t="s">
        <v>20</v>
      </c>
    </row>
    <row r="46465" spans="1:5" x14ac:dyDescent="0.25">
      <c r="A46465" t="str">
        <f>HYPERLINK("https://www.773grp.com/globalSearch/QS74FCT843BTP/page-1", "QS74FCT843BTP")</f>
        <v>QS74FCT843BTP</v>
      </c>
      <c r="B46465" s="3" t="str">
        <f>HYPERLINK("https://www.773grp.com/manufacturer/onsemi?pageNo=1011", "ON Semiconductor")</f>
        <v>ON Semiconductor</v>
      </c>
      <c r="C46465" s="6">
        <v>1779</v>
      </c>
      <c r="D46465" s="7">
        <v>5.49</v>
      </c>
      <c r="E46465" t="s">
        <v>14</v>
      </c>
    </row>
    <row r="46466" spans="1:5" x14ac:dyDescent="0.25">
      <c r="A46466" t="str">
        <f>HYPERLINK("https://www.773grp.com/globalSearch/QS74FCT240TP/page-1", "QS74FCT240TP")</f>
        <v>QS74FCT240TP</v>
      </c>
      <c r="B46466" s="3" t="str">
        <f>HYPERLINK("https://www.773grp.com/manufacturer/onsemi?pageNo=1012", "ON Semiconductor")</f>
        <v>ON Semiconductor</v>
      </c>
      <c r="C46466" s="6">
        <v>4095</v>
      </c>
      <c r="D46466" s="7">
        <v>5.51</v>
      </c>
      <c r="E46466" t="s">
        <v>14</v>
      </c>
    </row>
    <row r="46467" spans="1:5" x14ac:dyDescent="0.25">
      <c r="A46467" t="str">
        <f>HYPERLINK("https://www.773grp.com/globalSearch/QS74FCT2253ATSO/page-1", "QS74FCT2253ATSO")</f>
        <v>QS74FCT2253ATSO</v>
      </c>
      <c r="B46467" s="3" t="str">
        <f>HYPERLINK("https://www.773grp.com/manufacturer/onsemi?pageNo=1013", "ON Semiconductor")</f>
        <v>ON Semiconductor</v>
      </c>
      <c r="C46467" s="6">
        <v>3965</v>
      </c>
      <c r="D46467" s="7">
        <v>5.54</v>
      </c>
      <c r="E46467" t="s">
        <v>20</v>
      </c>
    </row>
    <row r="46468" spans="1:5" x14ac:dyDescent="0.25">
      <c r="A46468" t="str">
        <f>HYPERLINK("https://www.773grp.com/globalSearch/QS74FCT163ATP/page-1", "QS74FCT163ATP")</f>
        <v>QS74FCT163ATP</v>
      </c>
      <c r="B46468" s="3" t="str">
        <f>HYPERLINK("https://www.773grp.com/manufacturer/onsemi?pageNo=1014", "ON Semiconductor")</f>
        <v>ON Semiconductor</v>
      </c>
      <c r="C46468" s="6">
        <v>1271</v>
      </c>
      <c r="D46468" s="7">
        <v>5.58</v>
      </c>
      <c r="E46468" t="s">
        <v>26</v>
      </c>
    </row>
    <row r="46469" spans="1:5" x14ac:dyDescent="0.25">
      <c r="A46469" t="str">
        <f>HYPERLINK("https://www.773grp.com/globalSearch/QS74FCT193TS1/page-1", "QS74FCT193TS1")</f>
        <v>QS74FCT193TS1</v>
      </c>
      <c r="B46469" s="3" t="str">
        <f>HYPERLINK("https://www.773grp.com/manufacturer/onsemi?pageNo=1015", "ON Semiconductor")</f>
        <v>ON Semiconductor</v>
      </c>
      <c r="C46469" s="6">
        <v>5484</v>
      </c>
      <c r="D46469" s="7">
        <v>5.58</v>
      </c>
      <c r="E46469" t="s">
        <v>26</v>
      </c>
    </row>
    <row r="46470" spans="1:5" x14ac:dyDescent="0.25">
      <c r="A46470" t="str">
        <f>HYPERLINK("https://www.773grp.com/globalSearch/QS74FCT821ATP/page-1", "QS74FCT821ATP")</f>
        <v>QS74FCT821ATP</v>
      </c>
      <c r="B46470" s="3" t="str">
        <f>HYPERLINK("https://www.773grp.com/manufacturer/onsemi?pageNo=1016", "ON Semiconductor")</f>
        <v>ON Semiconductor</v>
      </c>
      <c r="C46470" s="6">
        <v>14</v>
      </c>
      <c r="D46470" s="7">
        <v>5.58</v>
      </c>
      <c r="E46470" t="s">
        <v>14</v>
      </c>
    </row>
    <row r="46471" spans="1:5" x14ac:dyDescent="0.25">
      <c r="A46471" t="str">
        <f>HYPERLINK("https://www.773grp.com/globalSearch/QS74FCT238TS1/page-1", "QS74FCT238TS1")</f>
        <v>QS74FCT238TS1</v>
      </c>
      <c r="B46471" s="3" t="str">
        <f>HYPERLINK("https://www.773grp.com/manufacturer/onsemi?pageNo=1017", "ON Semiconductor")</f>
        <v>ON Semiconductor</v>
      </c>
      <c r="C46471" s="6">
        <v>312</v>
      </c>
      <c r="D46471" s="7">
        <v>5.6</v>
      </c>
      <c r="E46471" t="s">
        <v>36</v>
      </c>
    </row>
    <row r="46472" spans="1:5" x14ac:dyDescent="0.25">
      <c r="A46472" t="str">
        <f>HYPERLINK("https://www.773grp.com/globalSearch/QS74FCT251TSI/page-1", "QS74FCT251TSI")</f>
        <v>QS74FCT251TSI</v>
      </c>
      <c r="B46472" s="3" t="str">
        <f>HYPERLINK("https://www.773grp.com/manufacturer/onsemi?pageNo=1018", "ON Semiconductor")</f>
        <v>ON Semiconductor</v>
      </c>
      <c r="C46472" s="6">
        <v>1316</v>
      </c>
      <c r="D46472" s="7">
        <v>5.6</v>
      </c>
    </row>
    <row r="46473" spans="1:5" x14ac:dyDescent="0.25">
      <c r="A46473" t="str">
        <f>HYPERLINK("https://www.773grp.com/globalSearch/QS74FCT2X823CTQ1/page-1", "QS74FCT2X823CTQ1")</f>
        <v>QS74FCT2X823CTQ1</v>
      </c>
      <c r="B46473" s="3" t="str">
        <f>HYPERLINK("https://www.773grp.com/manufacturer/onsemi?pageNo=1019", "ON Semiconductor")</f>
        <v>ON Semiconductor</v>
      </c>
      <c r="C46473" s="6">
        <v>3485</v>
      </c>
      <c r="D46473" s="7">
        <v>5.6</v>
      </c>
      <c r="E46473" t="s">
        <v>14</v>
      </c>
    </row>
    <row r="46474" spans="1:5" x14ac:dyDescent="0.25">
      <c r="A46474" t="str">
        <f>HYPERLINK("https://www.773grp.com/globalSearch/QS74FCT158ATP/page-1", "QS74FCT158ATP")</f>
        <v>QS74FCT158ATP</v>
      </c>
      <c r="B46474" s="3" t="str">
        <f>HYPERLINK("https://www.773grp.com/manufacturer/onsemi?pageNo=1020", "ON Semiconductor")</f>
        <v>ON Semiconductor</v>
      </c>
      <c r="C46474" s="6">
        <v>3969</v>
      </c>
      <c r="D46474" s="7">
        <v>5.63</v>
      </c>
      <c r="E46474" t="s">
        <v>20</v>
      </c>
    </row>
    <row r="46475" spans="1:5" x14ac:dyDescent="0.25">
      <c r="A46475" t="str">
        <f>HYPERLINK("https://www.773grp.com/globalSearch/QS74FCT158ATSI/page-1", "QS74FCT158ATSI")</f>
        <v>QS74FCT158ATSI</v>
      </c>
      <c r="B46475" s="3" t="str">
        <f>HYPERLINK("https://www.773grp.com/manufacturer/onsemi?pageNo=1021", "ON Semiconductor")</f>
        <v>ON Semiconductor</v>
      </c>
      <c r="C46475" s="6">
        <v>7109</v>
      </c>
      <c r="D46475" s="7">
        <v>5.63</v>
      </c>
    </row>
    <row r="46476" spans="1:5" x14ac:dyDescent="0.25">
      <c r="A46476" t="str">
        <f>HYPERLINK("https://www.773grp.com/globalSearch/QS74FCT2157TSO/page-1", "QS74FCT2157TSO")</f>
        <v>QS74FCT2157TSO</v>
      </c>
      <c r="B46476" s="3" t="str">
        <f>HYPERLINK("https://www.773grp.com/manufacturer/onsemi?pageNo=1022", "ON Semiconductor")</f>
        <v>ON Semiconductor</v>
      </c>
      <c r="C46476" s="6">
        <v>622</v>
      </c>
      <c r="D46476" s="7">
        <v>5.63</v>
      </c>
      <c r="E46476" t="s">
        <v>20</v>
      </c>
    </row>
    <row r="46477" spans="1:5" x14ac:dyDescent="0.25">
      <c r="A46477" t="str">
        <f>HYPERLINK("https://www.773grp.com/globalSearch/QS74FCT2253TS1/page-1", "QS74FCT2253TS1")</f>
        <v>QS74FCT2253TS1</v>
      </c>
      <c r="B46477" s="3" t="str">
        <f>HYPERLINK("https://www.773grp.com/manufacturer/onsemi?pageNo=1023", "ON Semiconductor")</f>
        <v>ON Semiconductor</v>
      </c>
      <c r="C46477" s="6">
        <v>5280</v>
      </c>
      <c r="D46477" s="7">
        <v>5.63</v>
      </c>
      <c r="E46477" t="s">
        <v>20</v>
      </c>
    </row>
    <row r="46478" spans="1:5" x14ac:dyDescent="0.25">
      <c r="A46478" t="str">
        <f>HYPERLINK("https://www.773grp.com/globalSearch/QS74FCT2253TSI/page-1", "QS74FCT2253TSI")</f>
        <v>QS74FCT2253TSI</v>
      </c>
      <c r="B46478" s="3" t="str">
        <f>HYPERLINK("https://www.773grp.com/manufacturer/onsemi?pageNo=1024", "ON Semiconductor")</f>
        <v>ON Semiconductor</v>
      </c>
      <c r="C46478" s="6">
        <v>128</v>
      </c>
      <c r="D46478" s="7">
        <v>5.63</v>
      </c>
    </row>
    <row r="46479" spans="1:5" x14ac:dyDescent="0.25">
      <c r="A46479" t="str">
        <f>HYPERLINK("https://www.773grp.com/globalSearch/QS74FCT2373TP/page-1", "QS74FCT2373TP")</f>
        <v>QS74FCT2373TP</v>
      </c>
      <c r="B46479" s="3" t="str">
        <f>HYPERLINK("https://www.773grp.com/manufacturer/onsemi?pageNo=1025", "ON Semiconductor")</f>
        <v>ON Semiconductor</v>
      </c>
      <c r="C46479" s="6">
        <v>9365</v>
      </c>
      <c r="D46479" s="7">
        <v>5.63</v>
      </c>
      <c r="E46479" t="s">
        <v>14</v>
      </c>
    </row>
    <row r="46480" spans="1:5" x14ac:dyDescent="0.25">
      <c r="A46480" t="str">
        <f>HYPERLINK("https://www.773grp.com/globalSearch/QS74FCT257TP/page-1", "QS74FCT257TP")</f>
        <v>QS74FCT257TP</v>
      </c>
      <c r="B46480" s="3" t="str">
        <f>HYPERLINK("https://www.773grp.com/manufacturer/onsemi?pageNo=1026", "ON Semiconductor")</f>
        <v>ON Semiconductor</v>
      </c>
      <c r="C46480" s="6">
        <v>8993</v>
      </c>
      <c r="D46480" s="7">
        <v>5.63</v>
      </c>
      <c r="E46480" t="s">
        <v>20</v>
      </c>
    </row>
    <row r="46481" spans="1:5" x14ac:dyDescent="0.25">
      <c r="A46481" t="str">
        <f>HYPERLINK("https://www.773grp.com/globalSearch/QS74FCT3373AQ/page-1", "QS74FCT3373AQ")</f>
        <v>QS74FCT3373AQ</v>
      </c>
      <c r="B46481" s="3" t="str">
        <f>HYPERLINK("https://www.773grp.com/manufacturer/onsemi?pageNo=1027", "ON Semiconductor")</f>
        <v>ON Semiconductor</v>
      </c>
      <c r="C46481" s="6">
        <v>5756</v>
      </c>
      <c r="D46481" s="7">
        <v>5.63</v>
      </c>
      <c r="E46481" t="s">
        <v>14</v>
      </c>
    </row>
    <row r="46482" spans="1:5" x14ac:dyDescent="0.25">
      <c r="A46482" t="str">
        <f>HYPERLINK("https://www.773grp.com/globalSearch/QS74FCT3373ASO/page-1", "QS74FCT3373ASO")</f>
        <v>QS74FCT3373ASO</v>
      </c>
      <c r="B46482" s="3" t="str">
        <f>HYPERLINK("https://www.773grp.com/manufacturer/onsemi?pageNo=1028", "ON Semiconductor")</f>
        <v>ON Semiconductor</v>
      </c>
      <c r="C46482" s="6">
        <v>5038</v>
      </c>
      <c r="D46482" s="7">
        <v>5.63</v>
      </c>
      <c r="E46482" t="s">
        <v>14</v>
      </c>
    </row>
    <row r="46483" spans="1:5" x14ac:dyDescent="0.25">
      <c r="A46483" t="str">
        <f>HYPERLINK("https://www.773grp.com/globalSearch/QS74FCT377ATSO/page-1", "QS74FCT377ATSO")</f>
        <v>QS74FCT377ATSO</v>
      </c>
      <c r="B46483" s="3" t="str">
        <f>HYPERLINK("https://www.773grp.com/manufacturer/onsemi?pageNo=1029", "ON Semiconductor")</f>
        <v>ON Semiconductor</v>
      </c>
      <c r="C46483" s="6">
        <v>2191</v>
      </c>
      <c r="D46483" s="7">
        <v>5.63</v>
      </c>
      <c r="E46483" t="s">
        <v>35</v>
      </c>
    </row>
    <row r="46484" spans="1:5" x14ac:dyDescent="0.25">
      <c r="A46484" t="str">
        <f>HYPERLINK("https://www.773grp.com/globalSearch/QS74FCT828BTSOX/page-1", "QS74FCT828BTSOX")</f>
        <v>QS74FCT828BTSOX</v>
      </c>
      <c r="B46484" s="3" t="str">
        <f>HYPERLINK("https://www.773grp.com/manufacturer/onsemi?pageNo=1030", "ON Semiconductor")</f>
        <v>ON Semiconductor</v>
      </c>
      <c r="C46484" s="6">
        <v>1000</v>
      </c>
      <c r="D46484" s="7">
        <v>5.63</v>
      </c>
    </row>
    <row r="46485" spans="1:5" x14ac:dyDescent="0.25">
      <c r="A46485" t="str">
        <f>HYPERLINK("https://www.773grp.com/globalSearch/QS74FCT540ATQ/page-1", "QS74FCT540ATQ")</f>
        <v>QS74FCT540ATQ</v>
      </c>
      <c r="B46485" s="3" t="str">
        <f>HYPERLINK("https://www.773grp.com/manufacturer/onsemi?pageNo=1031", "ON Semiconductor")</f>
        <v>ON Semiconductor</v>
      </c>
      <c r="C46485" s="6">
        <v>114</v>
      </c>
      <c r="D46485" s="7">
        <v>5.65</v>
      </c>
      <c r="E46485" t="s">
        <v>14</v>
      </c>
    </row>
    <row r="46486" spans="1:5" x14ac:dyDescent="0.25">
      <c r="A46486" t="str">
        <f>HYPERLINK("https://www.773grp.com/globalSearch/QS54FCT646CTQ/page-1", "QS54FCT646CTQ")</f>
        <v>QS54FCT646CTQ</v>
      </c>
      <c r="B46486" s="3" t="str">
        <f>HYPERLINK("https://www.773grp.com/manufacturer/onsemi?pageNo=1032", "ON Semiconductor")</f>
        <v>ON Semiconductor</v>
      </c>
      <c r="C46486" s="6">
        <v>223</v>
      </c>
      <c r="D46486" s="7">
        <v>5.69</v>
      </c>
      <c r="E46486" t="s">
        <v>14</v>
      </c>
    </row>
    <row r="46487" spans="1:5" x14ac:dyDescent="0.25">
      <c r="A46487" t="str">
        <f>HYPERLINK("https://www.773grp.com/globalSearch/QS54FCT652TQ/page-1", "QS54FCT652TQ")</f>
        <v>QS54FCT652TQ</v>
      </c>
      <c r="B46487" s="3" t="str">
        <f>HYPERLINK("https://www.773grp.com/manufacturer/onsemi?pageNo=1033", "ON Semiconductor")</f>
        <v>ON Semiconductor</v>
      </c>
      <c r="C46487" s="6">
        <v>99</v>
      </c>
      <c r="D46487" s="7">
        <v>5.69</v>
      </c>
      <c r="E46487" t="s">
        <v>14</v>
      </c>
    </row>
    <row r="46488" spans="1:5" x14ac:dyDescent="0.25">
      <c r="A46488" t="str">
        <f>HYPERLINK("https://www.773grp.com/globalSearch/QS74FCT646TSO/page-1", "QS74FCT646TSO")</f>
        <v>QS74FCT646TSO</v>
      </c>
      <c r="B46488" s="3" t="str">
        <f>HYPERLINK("https://www.773grp.com/manufacturer/onsemi?pageNo=1034", "ON Semiconductor")</f>
        <v>ON Semiconductor</v>
      </c>
      <c r="C46488" s="6">
        <v>950</v>
      </c>
      <c r="D46488" s="7">
        <v>5.69</v>
      </c>
      <c r="E46488" t="s">
        <v>14</v>
      </c>
    </row>
    <row r="46489" spans="1:5" x14ac:dyDescent="0.25">
      <c r="A46489" t="str">
        <f>HYPERLINK("https://www.773grp.com/globalSearch/QS74FCT651TSO/page-1", "QS74FCT651TSO")</f>
        <v>QS74FCT651TSO</v>
      </c>
      <c r="B46489" s="3" t="str">
        <f>HYPERLINK("https://www.773grp.com/manufacturer/onsemi?pageNo=1035", "ON Semiconductor")</f>
        <v>ON Semiconductor</v>
      </c>
      <c r="C46489" s="6">
        <v>1020</v>
      </c>
      <c r="D46489" s="7">
        <v>5.69</v>
      </c>
      <c r="E46489" t="s">
        <v>14</v>
      </c>
    </row>
    <row r="46490" spans="1:5" x14ac:dyDescent="0.25">
      <c r="A46490" t="str">
        <f>HYPERLINK("https://www.773grp.com/globalSearch/QS54FCT245TP/page-1", "QS54FCT245TP")</f>
        <v>QS54FCT245TP</v>
      </c>
      <c r="B46490" s="3" t="str">
        <f>HYPERLINK("https://www.773grp.com/manufacturer/onsemi?pageNo=1036", "ON Semiconductor")</f>
        <v>ON Semiconductor</v>
      </c>
      <c r="C46490" s="6">
        <v>70</v>
      </c>
      <c r="D46490" s="7">
        <v>5.74</v>
      </c>
      <c r="E46490" t="s">
        <v>14</v>
      </c>
    </row>
    <row r="46491" spans="1:5" x14ac:dyDescent="0.25">
      <c r="A46491" t="str">
        <f>HYPERLINK("https://www.773grp.com/globalSearch/QS74FCT2245TQ/page-1", "QS74FCT2245TQ")</f>
        <v>QS74FCT2245TQ</v>
      </c>
      <c r="B46491" s="3" t="str">
        <f>HYPERLINK("https://www.773grp.com/manufacturer/onsemi?pageNo=1037", "ON Semiconductor")</f>
        <v>ON Semiconductor</v>
      </c>
      <c r="C46491" s="6">
        <v>4895</v>
      </c>
      <c r="D46491" s="7">
        <v>5.74</v>
      </c>
      <c r="E46491" t="s">
        <v>14</v>
      </c>
    </row>
    <row r="46492" spans="1:5" x14ac:dyDescent="0.25">
      <c r="A46492" t="str">
        <f>HYPERLINK("https://www.773grp.com/globalSearch/QS74FCT2521ATQ/page-1", "QS74FCT2521ATQ")</f>
        <v>QS74FCT2521ATQ</v>
      </c>
      <c r="B46492" s="3" t="str">
        <f>HYPERLINK("https://www.773grp.com/manufacturer/onsemi?pageNo=1038", "ON Semiconductor")</f>
        <v>ON Semiconductor</v>
      </c>
      <c r="C46492" s="6">
        <v>8357</v>
      </c>
      <c r="D46492" s="7">
        <v>5.74</v>
      </c>
      <c r="E46492" t="s">
        <v>43</v>
      </c>
    </row>
    <row r="46493" spans="1:5" x14ac:dyDescent="0.25">
      <c r="A46493" t="str">
        <f>HYPERLINK("https://www.773grp.com/globalSearch/QS74FCT151CTQ/page-1", "QS74FCT151CTQ")</f>
        <v>QS74FCT151CTQ</v>
      </c>
      <c r="B46493" s="3" t="str">
        <f>HYPERLINK("https://www.773grp.com/manufacturer/onsemi?pageNo=1039", "ON Semiconductor")</f>
        <v>ON Semiconductor</v>
      </c>
      <c r="C46493" s="6">
        <v>1481</v>
      </c>
      <c r="D46493" s="7">
        <v>5.78</v>
      </c>
      <c r="E46493" t="s">
        <v>20</v>
      </c>
    </row>
    <row r="46494" spans="1:5" x14ac:dyDescent="0.25">
      <c r="A46494" t="str">
        <f>HYPERLINK("https://www.773grp.com/globalSearch/QS74FCT151CTSO/page-1", "QS74FCT151CTSO")</f>
        <v>QS74FCT151CTSO</v>
      </c>
      <c r="B46494" s="3" t="str">
        <f>HYPERLINK("https://www.773grp.com/manufacturer/onsemi?pageNo=1040", "ON Semiconductor")</f>
        <v>ON Semiconductor</v>
      </c>
      <c r="C46494" s="6">
        <v>103</v>
      </c>
      <c r="D46494" s="7">
        <v>5.78</v>
      </c>
      <c r="E46494" t="s">
        <v>20</v>
      </c>
    </row>
    <row r="46495" spans="1:5" x14ac:dyDescent="0.25">
      <c r="A46495" t="str">
        <f>HYPERLINK("https://www.773grp.com/globalSearch/QS74FCT2191TS1/page-1", "QS74FCT2191TS1")</f>
        <v>QS74FCT2191TS1</v>
      </c>
      <c r="B46495" s="3" t="str">
        <f>HYPERLINK("https://www.773grp.com/manufacturer/onsemi?pageNo=1041", "ON Semiconductor")</f>
        <v>ON Semiconductor</v>
      </c>
      <c r="C46495" s="6">
        <v>474</v>
      </c>
      <c r="D46495" s="7">
        <v>5.78</v>
      </c>
      <c r="E46495" t="s">
        <v>26</v>
      </c>
    </row>
    <row r="46496" spans="1:5" x14ac:dyDescent="0.25">
      <c r="A46496" t="str">
        <f>HYPERLINK("https://www.773grp.com/globalSearch/QS74FCT845ATSO/page-1", "QS74FCT845ATSO")</f>
        <v>QS74FCT845ATSO</v>
      </c>
      <c r="B46496" s="3" t="str">
        <f>HYPERLINK("https://www.773grp.com/manufacturer/onsemi?pageNo=1042", "ON Semiconductor")</f>
        <v>ON Semiconductor</v>
      </c>
      <c r="C46496" s="6">
        <v>9275</v>
      </c>
      <c r="D46496" s="7">
        <v>5.79</v>
      </c>
      <c r="E46496" t="s">
        <v>14</v>
      </c>
    </row>
    <row r="46497" spans="1:5" x14ac:dyDescent="0.25">
      <c r="A46497" t="str">
        <f>HYPERLINK("https://www.773grp.com/globalSearch/QS74FCT2825ATSO/page-1", "QS74FCT2825ATSO")</f>
        <v>QS74FCT2825ATSO</v>
      </c>
      <c r="B46497" s="3" t="str">
        <f>HYPERLINK("https://www.773grp.com/manufacturer/onsemi?pageNo=1043", "ON Semiconductor")</f>
        <v>ON Semiconductor</v>
      </c>
      <c r="C46497" s="6">
        <v>2156</v>
      </c>
      <c r="D46497" s="7">
        <v>5.85</v>
      </c>
      <c r="E46497" t="s">
        <v>14</v>
      </c>
    </row>
    <row r="46498" spans="1:5" x14ac:dyDescent="0.25">
      <c r="A46498" t="str">
        <f>HYPERLINK("https://www.773grp.com/globalSearch/QS74FCT2863ATP/page-1", "QS74FCT2863ATP")</f>
        <v>QS74FCT2863ATP</v>
      </c>
      <c r="B46498" s="3" t="str">
        <f>HYPERLINK("https://www.773grp.com/manufacturer/onsemi?pageNo=1044", "ON Semiconductor")</f>
        <v>ON Semiconductor</v>
      </c>
      <c r="C46498" s="6">
        <v>519</v>
      </c>
      <c r="D46498" s="7">
        <v>5.85</v>
      </c>
      <c r="E46498" t="s">
        <v>14</v>
      </c>
    </row>
    <row r="46499" spans="1:5" x14ac:dyDescent="0.25">
      <c r="A46499" t="str">
        <f>HYPERLINK("https://www.773grp.com/globalSearch/QS32383P/page-1", "QS32383P")</f>
        <v>QS32383P</v>
      </c>
      <c r="B46499" s="3" t="str">
        <f>HYPERLINK("https://www.773grp.com/manufacturer/onsemi?pageNo=1045", "ON Semiconductor")</f>
        <v>ON Semiconductor</v>
      </c>
      <c r="C46499" s="6">
        <v>1039</v>
      </c>
      <c r="D46499" s="7">
        <v>5.88</v>
      </c>
      <c r="E46499" t="s">
        <v>14</v>
      </c>
    </row>
    <row r="46500" spans="1:5" x14ac:dyDescent="0.25">
      <c r="A46500" t="str">
        <f>HYPERLINK("https://www.773grp.com/globalSearch/QS32384P/page-1", "QS32384P")</f>
        <v>QS32384P</v>
      </c>
      <c r="B46500" s="3" t="str">
        <f>HYPERLINK("https://www.773grp.com/manufacturer/onsemi?pageNo=1046", "ON Semiconductor")</f>
        <v>ON Semiconductor</v>
      </c>
      <c r="C46500" s="6">
        <v>511</v>
      </c>
      <c r="D46500" s="7">
        <v>5.88</v>
      </c>
      <c r="E46500" t="s">
        <v>14</v>
      </c>
    </row>
    <row r="46501" spans="1:5" x14ac:dyDescent="0.25">
      <c r="A46501" t="str">
        <f>HYPERLINK("https://www.773grp.com/globalSearch/QS74FCT191TS1X/page-1", "QS74FCT191TS1X")</f>
        <v>QS74FCT191TS1X</v>
      </c>
      <c r="B46501" s="3" t="str">
        <f>HYPERLINK("https://www.773grp.com/manufacturer/onsemi?pageNo=1047", "ON Semiconductor")</f>
        <v>ON Semiconductor</v>
      </c>
      <c r="C46501" s="6">
        <v>5000</v>
      </c>
      <c r="D46501" s="7">
        <v>5.88</v>
      </c>
    </row>
    <row r="46502" spans="1:5" x14ac:dyDescent="0.25">
      <c r="A46502" t="str">
        <f>HYPERLINK("https://www.773grp.com/globalSearch/QS74FCT193TP/page-1", "QS74FCT193TP")</f>
        <v>QS74FCT193TP</v>
      </c>
      <c r="B46502" s="3" t="str">
        <f>HYPERLINK("https://www.773grp.com/manufacturer/onsemi?pageNo=1048", "ON Semiconductor")</f>
        <v>ON Semiconductor</v>
      </c>
      <c r="C46502" s="6">
        <v>680</v>
      </c>
      <c r="D46502" s="7">
        <v>5.88</v>
      </c>
      <c r="E46502" t="s">
        <v>26</v>
      </c>
    </row>
    <row r="46503" spans="1:5" x14ac:dyDescent="0.25">
      <c r="A46503" t="str">
        <f>HYPERLINK("https://www.773grp.com/globalSearch/QS74FCT2573TP/page-1", "QS74FCT2573TP")</f>
        <v>QS74FCT2573TP</v>
      </c>
      <c r="B46503" s="3" t="str">
        <f>HYPERLINK("https://www.773grp.com/manufacturer/onsemi?pageNo=1049", "ON Semiconductor")</f>
        <v>ON Semiconductor</v>
      </c>
      <c r="C46503" s="6">
        <v>432</v>
      </c>
      <c r="D46503" s="7">
        <v>5.88</v>
      </c>
      <c r="E46503" t="s">
        <v>14</v>
      </c>
    </row>
    <row r="46504" spans="1:5" x14ac:dyDescent="0.25">
      <c r="A46504" t="str">
        <f>HYPERLINK("https://www.773grp.com/globalSearch/QS74FCT2843ATS0/page-1", "QS74FCT2843ATS0")</f>
        <v>QS74FCT2843ATS0</v>
      </c>
      <c r="B46504" s="3" t="str">
        <f>HYPERLINK("https://www.773grp.com/manufacturer/onsemi?pageNo=1050", "ON Semiconductor")</f>
        <v>ON Semiconductor</v>
      </c>
      <c r="C46504" s="6">
        <v>1428</v>
      </c>
      <c r="D46504" s="7">
        <v>5.88</v>
      </c>
    </row>
    <row r="46505" spans="1:5" x14ac:dyDescent="0.25">
      <c r="A46505" t="str">
        <f>HYPERLINK("https://www.773grp.com/globalSearch/QS74FCT843ATSO/page-1", "QS74FCT843ATSO")</f>
        <v>QS74FCT843ATSO</v>
      </c>
      <c r="B46505" s="3" t="str">
        <f>HYPERLINK("https://www.773grp.com/manufacturer/onsemi?pageNo=1051", "ON Semiconductor")</f>
        <v>ON Semiconductor</v>
      </c>
      <c r="C46505" s="6">
        <v>1163</v>
      </c>
      <c r="D46505" s="7">
        <v>5.88</v>
      </c>
      <c r="E46505" t="s">
        <v>14</v>
      </c>
    </row>
    <row r="46506" spans="1:5" x14ac:dyDescent="0.25">
      <c r="A46506" t="str">
        <f>HYPERLINK("https://www.773grp.com/globalSearch/QS74LCX2X2H245CQ2/page-1", "QS74LCX2X2H245CQ2")</f>
        <v>QS74LCX2X2H245CQ2</v>
      </c>
      <c r="B46506" s="3" t="str">
        <f>HYPERLINK("https://www.773grp.com/manufacturer/onsemi?pageNo=1052", "ON Semiconductor")</f>
        <v>ON Semiconductor</v>
      </c>
      <c r="C46506" s="6">
        <v>920</v>
      </c>
      <c r="D46506" s="7">
        <v>5.91</v>
      </c>
    </row>
    <row r="46507" spans="1:5" x14ac:dyDescent="0.25">
      <c r="A46507" t="str">
        <f>HYPERLINK("https://www.773grp.com/globalSearch/QS74FCT2161TS1/page-1", "QS74FCT2161TS1")</f>
        <v>QS74FCT2161TS1</v>
      </c>
      <c r="B46507" s="3" t="str">
        <f>HYPERLINK("https://www.773grp.com/manufacturer/onsemi?pageNo=1053", "ON Semiconductor")</f>
        <v>ON Semiconductor</v>
      </c>
      <c r="C46507" s="6">
        <v>1875</v>
      </c>
      <c r="D46507" s="7">
        <v>5.94</v>
      </c>
      <c r="E46507" t="s">
        <v>26</v>
      </c>
    </row>
    <row r="46508" spans="1:5" x14ac:dyDescent="0.25">
      <c r="A46508" t="str">
        <f>HYPERLINK("https://www.773grp.com/globalSearch/QS29FCT52ATP/page-1", "QS29FCT52ATP")</f>
        <v>QS29FCT52ATP</v>
      </c>
      <c r="B46508" s="3" t="str">
        <f>HYPERLINK("https://www.773grp.com/manufacturer/onsemi?pageNo=1054", "ON Semiconductor")</f>
        <v>ON Semiconductor</v>
      </c>
      <c r="C46508" s="6">
        <v>2092</v>
      </c>
      <c r="D46508" s="7">
        <v>5.96</v>
      </c>
      <c r="E46508" t="s">
        <v>14</v>
      </c>
    </row>
    <row r="46509" spans="1:5" x14ac:dyDescent="0.25">
      <c r="A46509" t="str">
        <f>HYPERLINK("https://www.773grp.com/globalSearch/QS74FCT2377ATP/page-1", "QS74FCT2377ATP")</f>
        <v>QS74FCT2377ATP</v>
      </c>
      <c r="B46509" s="3" t="str">
        <f>HYPERLINK("https://www.773grp.com/manufacturer/onsemi?pageNo=1055", "ON Semiconductor")</f>
        <v>ON Semiconductor</v>
      </c>
      <c r="C46509" s="6">
        <v>2224</v>
      </c>
      <c r="D46509" s="7">
        <v>5.96</v>
      </c>
      <c r="E46509" t="s">
        <v>35</v>
      </c>
    </row>
    <row r="46510" spans="1:5" x14ac:dyDescent="0.25">
      <c r="A46510" t="str">
        <f>HYPERLINK("https://www.773grp.com/globalSearch/QS74FCT533ATP/page-1", "QS74FCT533ATP")</f>
        <v>QS74FCT533ATP</v>
      </c>
      <c r="B46510" s="3" t="str">
        <f>HYPERLINK("https://www.773grp.com/manufacturer/onsemi?pageNo=1056", "ON Semiconductor")</f>
        <v>ON Semiconductor</v>
      </c>
      <c r="C46510" s="6">
        <v>591</v>
      </c>
      <c r="D46510" s="7">
        <v>5.96</v>
      </c>
      <c r="E46510" t="s">
        <v>14</v>
      </c>
    </row>
    <row r="46511" spans="1:5" x14ac:dyDescent="0.25">
      <c r="A46511" t="str">
        <f>HYPERLINK("https://www.773grp.com/globalSearch/QS74FCT534ATP/page-1", "QS74FCT534ATP")</f>
        <v>QS74FCT534ATP</v>
      </c>
      <c r="B46511" s="3" t="str">
        <f>HYPERLINK("https://www.773grp.com/manufacturer/onsemi?pageNo=1057", "ON Semiconductor")</f>
        <v>ON Semiconductor</v>
      </c>
      <c r="C46511" s="6">
        <v>2853</v>
      </c>
      <c r="D46511" s="7">
        <v>5.96</v>
      </c>
      <c r="E46511" t="s">
        <v>14</v>
      </c>
    </row>
    <row r="46512" spans="1:5" x14ac:dyDescent="0.25">
      <c r="A46512" t="str">
        <f>HYPERLINK("https://www.773grp.com/globalSearch/QS74FCT2161TQ/page-1", "QS74FCT2161TQ")</f>
        <v>QS74FCT2161TQ</v>
      </c>
      <c r="B46512" s="3" t="str">
        <f>HYPERLINK("https://www.773grp.com/manufacturer/onsemi?pageNo=1058", "ON Semiconductor")</f>
        <v>ON Semiconductor</v>
      </c>
      <c r="C46512" s="6">
        <v>3016</v>
      </c>
      <c r="D46512" s="7">
        <v>5.99</v>
      </c>
      <c r="E46512" t="s">
        <v>26</v>
      </c>
    </row>
    <row r="46513" spans="1:5" x14ac:dyDescent="0.25">
      <c r="A46513" t="str">
        <f>HYPERLINK("https://www.773grp.com/globalSearch/QS54FCT138CTSO/page-1", "QS54FCT138CTSO")</f>
        <v>QS54FCT138CTSO</v>
      </c>
      <c r="B46513" s="3" t="str">
        <f>HYPERLINK("https://www.773grp.com/manufacturer/onsemi?pageNo=1059", "ON Semiconductor")</f>
        <v>ON Semiconductor</v>
      </c>
      <c r="C46513" s="6">
        <v>311</v>
      </c>
      <c r="D46513" s="7">
        <v>6.03</v>
      </c>
      <c r="E46513" t="s">
        <v>36</v>
      </c>
    </row>
    <row r="46514" spans="1:5" x14ac:dyDescent="0.25">
      <c r="A46514" t="str">
        <f>HYPERLINK("https://www.773grp.com/globalSearch/QS74FCT162374TPA/page-1", "QS74FCT162374TPA")</f>
        <v>QS74FCT162374TPA</v>
      </c>
      <c r="B46514" s="3" t="str">
        <f>HYPERLINK("https://www.773grp.com/manufacturer/onsemi?pageNo=1060", "ON Semiconductor")</f>
        <v>ON Semiconductor</v>
      </c>
      <c r="C46514" s="6">
        <v>5759</v>
      </c>
      <c r="D46514" s="7">
        <v>6.08</v>
      </c>
      <c r="E46514" t="s">
        <v>14</v>
      </c>
    </row>
    <row r="46515" spans="1:5" x14ac:dyDescent="0.25">
      <c r="A46515" t="str">
        <f>HYPERLINK("https://www.773grp.com/globalSearch/QS74FCT2X2541ATQ2/page-1", "QS74FCT2X2541ATQ2")</f>
        <v>QS74FCT2X2541ATQ2</v>
      </c>
      <c r="B46515" s="3" t="str">
        <f>HYPERLINK("https://www.773grp.com/manufacturer/onsemi?pageNo=1061", "ON Semiconductor")</f>
        <v>ON Semiconductor</v>
      </c>
      <c r="C46515" s="6">
        <v>135</v>
      </c>
      <c r="D46515" s="7">
        <v>6.08</v>
      </c>
    </row>
    <row r="46516" spans="1:5" x14ac:dyDescent="0.25">
      <c r="A46516" t="str">
        <f>HYPERLINK("https://www.773grp.com/globalSearch/QS74FCT534TSO/page-1", "QS74FCT534TSO")</f>
        <v>QS74FCT534TSO</v>
      </c>
      <c r="B46516" s="3" t="str">
        <f>HYPERLINK("https://www.773grp.com/manufacturer/onsemi?pageNo=1062", "ON Semiconductor")</f>
        <v>ON Semiconductor</v>
      </c>
      <c r="C46516" s="6">
        <v>3563</v>
      </c>
      <c r="D46516" s="7">
        <v>6.08</v>
      </c>
      <c r="E46516" t="s">
        <v>14</v>
      </c>
    </row>
    <row r="46517" spans="1:5" x14ac:dyDescent="0.25">
      <c r="A46517" t="str">
        <f>HYPERLINK("https://www.773grp.com/globalSearch/QS74FCT543TSOX/page-1", "QS74FCT543TSOX")</f>
        <v>QS74FCT543TSOX</v>
      </c>
      <c r="B46517" s="3" t="str">
        <f>HYPERLINK("https://www.773grp.com/manufacturer/onsemi?pageNo=1063", "ON Semiconductor")</f>
        <v>ON Semiconductor</v>
      </c>
      <c r="C46517" s="6">
        <v>16000</v>
      </c>
      <c r="D46517" s="7">
        <v>6.08</v>
      </c>
    </row>
    <row r="46518" spans="1:5" x14ac:dyDescent="0.25">
      <c r="A46518" t="str">
        <f>HYPERLINK("https://www.773grp.com/globalSearch/QS74FCT2251TQ/page-1", "QS74FCT2251TQ")</f>
        <v>QS74FCT2251TQ</v>
      </c>
      <c r="B46518" s="3" t="str">
        <f>HYPERLINK("https://www.773grp.com/manufacturer/onsemi?pageNo=1064", "ON Semiconductor")</f>
        <v>ON Semiconductor</v>
      </c>
      <c r="C46518" s="6">
        <v>896</v>
      </c>
      <c r="D46518" s="7">
        <v>6.13</v>
      </c>
      <c r="E46518" t="s">
        <v>20</v>
      </c>
    </row>
    <row r="46519" spans="1:5" x14ac:dyDescent="0.25">
      <c r="A46519" t="str">
        <f>HYPERLINK("https://www.773grp.com/globalSearch/QS74FCT2540TP/page-1", "QS74FCT2540TP")</f>
        <v>QS74FCT2540TP</v>
      </c>
      <c r="B46519" s="3" t="str">
        <f>HYPERLINK("https://www.773grp.com/manufacturer/onsemi?pageNo=1065", "ON Semiconductor")</f>
        <v>ON Semiconductor</v>
      </c>
      <c r="C46519" s="6">
        <v>141</v>
      </c>
      <c r="D46519" s="7">
        <v>6.13</v>
      </c>
      <c r="E46519" t="s">
        <v>14</v>
      </c>
    </row>
    <row r="46520" spans="1:5" x14ac:dyDescent="0.25">
      <c r="A46520" t="str">
        <f>HYPERLINK("https://www.773grp.com/globalSearch/QS3383SOM/page-1", "QS3383SOM")</f>
        <v>QS3383SOM</v>
      </c>
      <c r="B46520" s="3" t="str">
        <f>HYPERLINK("https://www.773grp.com/manufacturer/onsemi?pageNo=1066", "ON Semiconductor")</f>
        <v>ON Semiconductor</v>
      </c>
      <c r="C46520" s="6">
        <v>211</v>
      </c>
      <c r="D46520" s="7">
        <v>6.16</v>
      </c>
      <c r="E46520" t="s">
        <v>14</v>
      </c>
    </row>
    <row r="46521" spans="1:5" x14ac:dyDescent="0.25">
      <c r="A46521" t="str">
        <f>HYPERLINK("https://www.773grp.com/globalSearch/QS74FCT139TQ/page-1", "QS74FCT139TQ")</f>
        <v>QS74FCT139TQ</v>
      </c>
      <c r="B46521" s="3" t="str">
        <f>HYPERLINK("https://www.773grp.com/manufacturer/onsemi?pageNo=1067", "ON Semiconductor")</f>
        <v>ON Semiconductor</v>
      </c>
      <c r="C46521" s="6">
        <v>26549</v>
      </c>
      <c r="D46521" s="7">
        <v>6.16</v>
      </c>
      <c r="E46521" t="s">
        <v>36</v>
      </c>
    </row>
    <row r="46522" spans="1:5" x14ac:dyDescent="0.25">
      <c r="A46522" t="str">
        <f>HYPERLINK("https://www.773grp.com/globalSearch/QS74FCT2161ATSO/page-1", "QS74FCT2161ATSO")</f>
        <v>QS74FCT2161ATSO</v>
      </c>
      <c r="B46522" s="3" t="str">
        <f>HYPERLINK("https://www.773grp.com/manufacturer/onsemi?pageNo=1068", "ON Semiconductor")</f>
        <v>ON Semiconductor</v>
      </c>
      <c r="C46522" s="6">
        <v>4536</v>
      </c>
      <c r="D46522" s="7">
        <v>6.16</v>
      </c>
      <c r="E46522" t="s">
        <v>26</v>
      </c>
    </row>
    <row r="46523" spans="1:5" x14ac:dyDescent="0.25">
      <c r="A46523" t="str">
        <f>HYPERLINK("https://www.773grp.com/globalSearch/QS74FCT2161TSI/page-1", "QS74FCT2161TSI")</f>
        <v>QS74FCT2161TSI</v>
      </c>
      <c r="B46523" s="3" t="str">
        <f>HYPERLINK("https://www.773grp.com/manufacturer/onsemi?pageNo=1069", "ON Semiconductor")</f>
        <v>ON Semiconductor</v>
      </c>
      <c r="C46523" s="6">
        <v>32518</v>
      </c>
      <c r="D46523" s="7">
        <v>6.19</v>
      </c>
    </row>
    <row r="46524" spans="1:5" x14ac:dyDescent="0.25">
      <c r="A46524" t="str">
        <f>HYPERLINK("https://www.773grp.com/globalSearch/QS74FCT821BTSO/page-1", "QS74FCT821BTSO")</f>
        <v>QS74FCT821BTSO</v>
      </c>
      <c r="B46524" s="3" t="str">
        <f>HYPERLINK("https://www.773grp.com/manufacturer/onsemi?pageNo=1070", "ON Semiconductor")</f>
        <v>ON Semiconductor</v>
      </c>
      <c r="C46524" s="6">
        <v>1241</v>
      </c>
      <c r="D46524" s="7">
        <v>6.19</v>
      </c>
      <c r="E46524" t="s">
        <v>14</v>
      </c>
    </row>
    <row r="46525" spans="1:5" x14ac:dyDescent="0.25">
      <c r="A46525" t="str">
        <f>HYPERLINK("https://www.773grp.com/globalSearch/QS74FCT823BTQ/page-1", "QS74FCT823BTQ")</f>
        <v>QS74FCT823BTQ</v>
      </c>
      <c r="B46525" s="3" t="str">
        <f>HYPERLINK("https://www.773grp.com/manufacturer/onsemi?pageNo=1071", "ON Semiconductor")</f>
        <v>ON Semiconductor</v>
      </c>
      <c r="C46525" s="6">
        <v>1470</v>
      </c>
      <c r="D46525" s="7">
        <v>6.19</v>
      </c>
      <c r="E46525" t="s">
        <v>14</v>
      </c>
    </row>
    <row r="46526" spans="1:5" x14ac:dyDescent="0.25">
      <c r="A46526" t="str">
        <f>HYPERLINK("https://www.773grp.com/globalSearch/QS74FCT823BTSO/page-1", "QS74FCT823BTSO")</f>
        <v>QS74FCT823BTSO</v>
      </c>
      <c r="B46526" s="3" t="str">
        <f>HYPERLINK("https://www.773grp.com/manufacturer/onsemi?pageNo=1072", "ON Semiconductor")</f>
        <v>ON Semiconductor</v>
      </c>
      <c r="C46526" s="6">
        <v>6264</v>
      </c>
      <c r="D46526" s="7">
        <v>6.19</v>
      </c>
      <c r="E46526" t="s">
        <v>14</v>
      </c>
    </row>
    <row r="46527" spans="1:5" x14ac:dyDescent="0.25">
      <c r="A46527" t="str">
        <f>HYPERLINK("https://www.773grp.com/globalSearch/QS74FCT573TZ/page-1", "QS74FCT573TZ")</f>
        <v>QS74FCT573TZ</v>
      </c>
      <c r="B46527" s="3" t="str">
        <f>HYPERLINK("https://www.773grp.com/manufacturer/onsemi?pageNo=1073", "ON Semiconductor")</f>
        <v>ON Semiconductor</v>
      </c>
      <c r="C46527" s="6">
        <v>539</v>
      </c>
      <c r="D46527" s="7">
        <v>6.21</v>
      </c>
      <c r="E46527" t="s">
        <v>14</v>
      </c>
    </row>
    <row r="46528" spans="1:5" x14ac:dyDescent="0.25">
      <c r="A46528" t="str">
        <f>HYPERLINK("https://www.773grp.com/globalSearch/QS74FCT158ATS1/page-1", "QS74FCT158ATS1")</f>
        <v>QS74FCT158ATS1</v>
      </c>
      <c r="B46528" s="3" t="str">
        <f>HYPERLINK("https://www.773grp.com/manufacturer/onsemi?pageNo=1074", "ON Semiconductor")</f>
        <v>ON Semiconductor</v>
      </c>
      <c r="C46528" s="6">
        <v>52251</v>
      </c>
      <c r="D46528" s="7">
        <v>6.25</v>
      </c>
      <c r="E46528" t="s">
        <v>20</v>
      </c>
    </row>
    <row r="46529" spans="1:5" x14ac:dyDescent="0.25">
      <c r="A46529" t="str">
        <f>HYPERLINK("https://www.773grp.com/globalSearch/QS74FCT158ATS1X/page-1", "QS74FCT158ATS1X")</f>
        <v>QS74FCT158ATS1X</v>
      </c>
      <c r="B46529" s="3" t="str">
        <f>HYPERLINK("https://www.773grp.com/manufacturer/onsemi?pageNo=1075", "ON Semiconductor")</f>
        <v>ON Semiconductor</v>
      </c>
      <c r="C46529" s="6">
        <v>2500</v>
      </c>
      <c r="D46529" s="7">
        <v>6.25</v>
      </c>
    </row>
    <row r="46530" spans="1:5" x14ac:dyDescent="0.25">
      <c r="A46530" t="str">
        <f>HYPERLINK("https://www.773grp.com/globalSearch/QS74FCT2161ATS1/page-1", "QS74FCT2161ATS1")</f>
        <v>QS74FCT2161ATS1</v>
      </c>
      <c r="B46530" s="3" t="str">
        <f>HYPERLINK("https://www.773grp.com/manufacturer/onsemi?pageNo=1076", "ON Semiconductor")</f>
        <v>ON Semiconductor</v>
      </c>
      <c r="C46530" s="6">
        <v>771</v>
      </c>
      <c r="D46530" s="7">
        <v>6.25</v>
      </c>
      <c r="E46530" t="s">
        <v>26</v>
      </c>
    </row>
    <row r="46531" spans="1:5" x14ac:dyDescent="0.25">
      <c r="A46531" t="str">
        <f>HYPERLINK("https://www.773grp.com/globalSearch/QS74FCT2193TSO/page-1", "QS74FCT2193TSO")</f>
        <v>QS74FCT2193TSO</v>
      </c>
      <c r="B46531" s="3" t="str">
        <f>HYPERLINK("https://www.773grp.com/manufacturer/onsemi?pageNo=1077", "ON Semiconductor")</f>
        <v>ON Semiconductor</v>
      </c>
      <c r="C46531" s="6">
        <v>5332</v>
      </c>
      <c r="D46531" s="7">
        <v>6.25</v>
      </c>
      <c r="E46531" t="s">
        <v>26</v>
      </c>
    </row>
    <row r="46532" spans="1:5" x14ac:dyDescent="0.25">
      <c r="A46532" t="str">
        <f>HYPERLINK("https://www.773grp.com/globalSearch/QS74FCT2253ATS1/page-1", "QS74FCT2253ATS1")</f>
        <v>QS74FCT2253ATS1</v>
      </c>
      <c r="B46532" s="3" t="str">
        <f>HYPERLINK("https://www.773grp.com/manufacturer/onsemi?pageNo=1078", "ON Semiconductor")</f>
        <v>ON Semiconductor</v>
      </c>
      <c r="C46532" s="6">
        <v>3227</v>
      </c>
      <c r="D46532" s="7">
        <v>6.25</v>
      </c>
      <c r="E46532" t="s">
        <v>20</v>
      </c>
    </row>
    <row r="46533" spans="1:5" x14ac:dyDescent="0.25">
      <c r="A46533" t="str">
        <f>HYPERLINK("https://www.773grp.com/globalSearch/QS74FCT863BTS0X/page-1", "QS74FCT863BTS0X")</f>
        <v>QS74FCT863BTS0X</v>
      </c>
      <c r="B46533" s="3" t="str">
        <f>HYPERLINK("https://www.773grp.com/manufacturer/onsemi?pageNo=1079", "ON Semiconductor")</f>
        <v>ON Semiconductor</v>
      </c>
      <c r="C46533" s="6">
        <v>2000</v>
      </c>
      <c r="D46533" s="7">
        <v>6.25</v>
      </c>
    </row>
    <row r="46534" spans="1:5" x14ac:dyDescent="0.25">
      <c r="A46534" t="str">
        <f>HYPERLINK("https://www.773grp.com/globalSearch/QS74FCT863BTS0X-S251/page-1", "QS74FCT863BTS0X-S251")</f>
        <v>QS74FCT863BTS0X-S251</v>
      </c>
      <c r="B46534" s="3" t="str">
        <f>HYPERLINK("https://www.773grp.com/manufacturer/onsemi?pageNo=1080", "ON Semiconductor")</f>
        <v>ON Semiconductor</v>
      </c>
      <c r="C46534" s="6">
        <v>1000</v>
      </c>
      <c r="D46534" s="7">
        <v>6.25</v>
      </c>
    </row>
    <row r="46535" spans="1:5" x14ac:dyDescent="0.25">
      <c r="A46535" t="str">
        <f>HYPERLINK("https://www.773grp.com/globalSearch/QS74FCT863BTSO/page-1", "QS74FCT863BTSO")</f>
        <v>QS74FCT863BTSO</v>
      </c>
      <c r="B46535" s="3" t="str">
        <f>HYPERLINK("https://www.773grp.com/manufacturer/onsemi?pageNo=1081", "ON Semiconductor")</f>
        <v>ON Semiconductor</v>
      </c>
      <c r="C46535" s="6">
        <v>710</v>
      </c>
      <c r="D46535" s="7">
        <v>6.25</v>
      </c>
      <c r="E46535" t="s">
        <v>14</v>
      </c>
    </row>
    <row r="46536" spans="1:5" x14ac:dyDescent="0.25">
      <c r="A46536" t="str">
        <f>HYPERLINK("https://www.773grp.com/globalSearch/QS74FCT863BTSO-S251/page-1", "QS74FCT863BTSO-S251")</f>
        <v>QS74FCT863BTSO-S251</v>
      </c>
      <c r="B46536" s="3" t="str">
        <f>HYPERLINK("https://www.773grp.com/manufacturer/onsemi?pageNo=1082", "ON Semiconductor")</f>
        <v>ON Semiconductor</v>
      </c>
      <c r="C46536" s="6">
        <v>173</v>
      </c>
      <c r="D46536" s="7">
        <v>6.25</v>
      </c>
    </row>
    <row r="46537" spans="1:5" x14ac:dyDescent="0.25">
      <c r="A46537" t="str">
        <f>HYPERLINK("https://www.773grp.com/globalSearch/QS74FCT2373DTSO/page-1", "QS74FCT2373DTSO")</f>
        <v>QS74FCT2373DTSO</v>
      </c>
      <c r="B46537" s="3" t="str">
        <f>HYPERLINK("https://www.773grp.com/manufacturer/onsemi?pageNo=1083", "ON Semiconductor")</f>
        <v>ON Semiconductor</v>
      </c>
      <c r="C46537" s="6">
        <v>372</v>
      </c>
      <c r="D46537" s="7">
        <v>6.3</v>
      </c>
      <c r="E46537" t="s">
        <v>14</v>
      </c>
    </row>
    <row r="46538" spans="1:5" x14ac:dyDescent="0.25">
      <c r="A46538" t="str">
        <f>HYPERLINK("https://www.773grp.com/globalSearch/QS74FCT244DTS0/page-1", "QS74FCT244DTS0")</f>
        <v>QS74FCT244DTS0</v>
      </c>
      <c r="B46538" s="3" t="str">
        <f>HYPERLINK("https://www.773grp.com/manufacturer/onsemi?pageNo=1084", "ON Semiconductor")</f>
        <v>ON Semiconductor</v>
      </c>
      <c r="C46538" s="6">
        <v>76</v>
      </c>
      <c r="D46538" s="7">
        <v>6.3</v>
      </c>
    </row>
    <row r="46539" spans="1:5" x14ac:dyDescent="0.25">
      <c r="A46539" t="str">
        <f>HYPERLINK("https://www.773grp.com/globalSearch/QS74FCT373DTQ/page-1", "QS74FCT373DTQ")</f>
        <v>QS74FCT373DTQ</v>
      </c>
      <c r="B46539" s="3" t="str">
        <f>HYPERLINK("https://www.773grp.com/manufacturer/onsemi?pageNo=1085", "ON Semiconductor")</f>
        <v>ON Semiconductor</v>
      </c>
      <c r="C46539" s="6">
        <v>2646</v>
      </c>
      <c r="D46539" s="7">
        <v>6.3</v>
      </c>
      <c r="E46539" t="s">
        <v>14</v>
      </c>
    </row>
    <row r="46540" spans="1:5" x14ac:dyDescent="0.25">
      <c r="A46540" t="str">
        <f>HYPERLINK("https://www.773grp.com/globalSearch/QS74FCT543DTSO/page-1", "QS74FCT543DTSO")</f>
        <v>QS74FCT543DTSO</v>
      </c>
      <c r="B46540" s="3" t="str">
        <f>HYPERLINK("https://www.773grp.com/manufacturer/onsemi?pageNo=1086", "ON Semiconductor")</f>
        <v>ON Semiconductor</v>
      </c>
      <c r="C46540" s="6">
        <v>250</v>
      </c>
      <c r="D46540" s="7">
        <v>6.33</v>
      </c>
      <c r="E46540" t="s">
        <v>14</v>
      </c>
    </row>
    <row r="46541" spans="1:5" x14ac:dyDescent="0.25">
      <c r="A46541" t="str">
        <f>HYPERLINK("https://www.773grp.com/globalSearch/QS74FCT863ATQ/page-1", "QS74FCT863ATQ")</f>
        <v>QS74FCT863ATQ</v>
      </c>
      <c r="B46541" s="3" t="str">
        <f>HYPERLINK("https://www.773grp.com/manufacturer/onsemi?pageNo=1087", "ON Semiconductor")</f>
        <v>ON Semiconductor</v>
      </c>
      <c r="C46541" s="6">
        <v>745</v>
      </c>
      <c r="D46541" s="7">
        <v>6.33</v>
      </c>
      <c r="E46541" t="s">
        <v>14</v>
      </c>
    </row>
    <row r="46542" spans="1:5" x14ac:dyDescent="0.25">
      <c r="A46542" t="str">
        <f>HYPERLINK("https://www.773grp.com/globalSearch/QS74FCT2257CTS0/page-1", "QS74FCT2257CTS0")</f>
        <v>QS74FCT2257CTS0</v>
      </c>
      <c r="B46542" s="3" t="str">
        <f>HYPERLINK("https://www.773grp.com/manufacturer/onsemi?pageNo=1088", "ON Semiconductor")</f>
        <v>ON Semiconductor</v>
      </c>
      <c r="C46542" s="6">
        <v>10608</v>
      </c>
      <c r="D46542" s="7">
        <v>6.36</v>
      </c>
    </row>
    <row r="46543" spans="1:5" x14ac:dyDescent="0.25">
      <c r="A46543" t="str">
        <f>HYPERLINK("https://www.773grp.com/globalSearch/QS74FCT257CTQ/page-1", "QS74FCT257CTQ")</f>
        <v>QS74FCT257CTQ</v>
      </c>
      <c r="B46543" s="3" t="str">
        <f>HYPERLINK("https://www.773grp.com/manufacturer/onsemi?pageNo=1089", "ON Semiconductor")</f>
        <v>ON Semiconductor</v>
      </c>
      <c r="C46543" s="6">
        <v>83</v>
      </c>
      <c r="D46543" s="7">
        <v>6.36</v>
      </c>
      <c r="E46543" t="s">
        <v>20</v>
      </c>
    </row>
    <row r="46544" spans="1:5" x14ac:dyDescent="0.25">
      <c r="A46544" t="str">
        <f>HYPERLINK("https://www.773grp.com/globalSearch/QS74FCT544TS0/page-1", "QS74FCT544TS0")</f>
        <v>QS74FCT544TS0</v>
      </c>
      <c r="B46544" s="3" t="str">
        <f>HYPERLINK("https://www.773grp.com/manufacturer/onsemi?pageNo=1090", "ON Semiconductor")</f>
        <v>ON Semiconductor</v>
      </c>
      <c r="C46544" s="6">
        <v>124</v>
      </c>
      <c r="D46544" s="7">
        <v>6.36</v>
      </c>
    </row>
    <row r="46545" spans="1:5" x14ac:dyDescent="0.25">
      <c r="A46545" t="str">
        <f>HYPERLINK("https://www.773grp.com/globalSearch/QS74FCT544TS0X/page-1", "QS74FCT544TS0X")</f>
        <v>QS74FCT544TS0X</v>
      </c>
      <c r="B46545" s="3" t="str">
        <f>HYPERLINK("https://www.773grp.com/manufacturer/onsemi?pageNo=1091", "ON Semiconductor")</f>
        <v>ON Semiconductor</v>
      </c>
      <c r="C46545" s="6">
        <v>8000</v>
      </c>
      <c r="D46545" s="7">
        <v>6.36</v>
      </c>
    </row>
    <row r="46546" spans="1:5" x14ac:dyDescent="0.25">
      <c r="A46546" t="str">
        <f>HYPERLINK("https://www.773grp.com/globalSearch/QS74FCT544TSO/page-1", "QS74FCT544TSO")</f>
        <v>QS74FCT544TSO</v>
      </c>
      <c r="B46546" s="3" t="str">
        <f>HYPERLINK("https://www.773grp.com/manufacturer/onsemi?pageNo=1092", "ON Semiconductor")</f>
        <v>ON Semiconductor</v>
      </c>
      <c r="C46546" s="6">
        <v>2470</v>
      </c>
      <c r="D46546" s="7">
        <v>6.36</v>
      </c>
      <c r="E46546" t="s">
        <v>14</v>
      </c>
    </row>
    <row r="46547" spans="1:5" x14ac:dyDescent="0.25">
      <c r="A46547" t="str">
        <f>HYPERLINK("https://www.773grp.com/globalSearch/QS74FCT163CTS1/page-1", "QS74FCT163CTS1")</f>
        <v>QS74FCT163CTS1</v>
      </c>
      <c r="B46547" s="3" t="str">
        <f>HYPERLINK("https://www.773grp.com/manufacturer/onsemi?pageNo=1093", "ON Semiconductor")</f>
        <v>ON Semiconductor</v>
      </c>
      <c r="C46547" s="6">
        <v>33</v>
      </c>
      <c r="D46547" s="7">
        <v>6.38</v>
      </c>
      <c r="E46547" t="s">
        <v>26</v>
      </c>
    </row>
    <row r="46548" spans="1:5" x14ac:dyDescent="0.25">
      <c r="A46548" t="str">
        <f>HYPERLINK("https://www.773grp.com/globalSearch/QS74FCT238ATSO/page-1", "QS74FCT238ATSO")</f>
        <v>QS74FCT238ATSO</v>
      </c>
      <c r="B46548" s="3" t="str">
        <f>HYPERLINK("https://www.773grp.com/manufacturer/onsemi?pageNo=1094", "ON Semiconductor")</f>
        <v>ON Semiconductor</v>
      </c>
      <c r="C46548" s="6">
        <v>106</v>
      </c>
      <c r="D46548" s="7">
        <v>6.38</v>
      </c>
      <c r="E46548" t="s">
        <v>36</v>
      </c>
    </row>
    <row r="46549" spans="1:5" x14ac:dyDescent="0.25">
      <c r="A46549" t="str">
        <f>HYPERLINK("https://www.773grp.com/globalSearch/QS74FCT239ATP/page-1", "QS74FCT239ATP")</f>
        <v>QS74FCT239ATP</v>
      </c>
      <c r="B46549" s="3" t="str">
        <f>HYPERLINK("https://www.773grp.com/manufacturer/onsemi?pageNo=1095", "ON Semiconductor")</f>
        <v>ON Semiconductor</v>
      </c>
      <c r="C46549" s="6">
        <v>125</v>
      </c>
      <c r="D46549" s="7">
        <v>6.38</v>
      </c>
      <c r="E46549" t="s">
        <v>36</v>
      </c>
    </row>
    <row r="46550" spans="1:5" x14ac:dyDescent="0.25">
      <c r="A46550" t="str">
        <f>HYPERLINK("https://www.773grp.com/globalSearch/QS74FCT191CTSI/page-1", "QS74FCT191CTSI")</f>
        <v>QS74FCT191CTSI</v>
      </c>
      <c r="B46550" s="3" t="str">
        <f>HYPERLINK("https://www.773grp.com/manufacturer/onsemi?pageNo=1096", "ON Semiconductor")</f>
        <v>ON Semiconductor</v>
      </c>
      <c r="C46550" s="6">
        <v>3285</v>
      </c>
      <c r="D46550" s="7">
        <v>6.41</v>
      </c>
    </row>
    <row r="46551" spans="1:5" x14ac:dyDescent="0.25">
      <c r="A46551" t="str">
        <f>HYPERLINK("https://www.773grp.com/globalSearch/QS74FCT153ATP/page-1", "QS74FCT153ATP")</f>
        <v>QS74FCT153ATP</v>
      </c>
      <c r="B46551" s="3" t="str">
        <f>HYPERLINK("https://www.773grp.com/manufacturer/onsemi?pageNo=1097", "ON Semiconductor")</f>
        <v>ON Semiconductor</v>
      </c>
      <c r="C46551" s="6">
        <v>4417</v>
      </c>
      <c r="D46551" s="7">
        <v>6.45</v>
      </c>
      <c r="E46551" t="s">
        <v>20</v>
      </c>
    </row>
    <row r="46552" spans="1:5" x14ac:dyDescent="0.25">
      <c r="A46552" t="str">
        <f>HYPERLINK("https://www.773grp.com/globalSearch/QS74FCT157ATP/page-1", "QS74FCT157ATP")</f>
        <v>QS74FCT157ATP</v>
      </c>
      <c r="B46552" s="3" t="str">
        <f>HYPERLINK("https://www.773grp.com/manufacturer/onsemi?pageNo=1098", "ON Semiconductor")</f>
        <v>ON Semiconductor</v>
      </c>
      <c r="C46552" s="6">
        <v>35</v>
      </c>
      <c r="D46552" s="7">
        <v>6.45</v>
      </c>
      <c r="E46552" t="s">
        <v>20</v>
      </c>
    </row>
    <row r="46553" spans="1:5" x14ac:dyDescent="0.25">
      <c r="A46553" t="str">
        <f>HYPERLINK("https://www.773grp.com/globalSearch/QS74FCT191ATS1/page-1", "QS74FCT191ATS1")</f>
        <v>QS74FCT191ATS1</v>
      </c>
      <c r="B46553" s="3" t="str">
        <f>HYPERLINK("https://www.773grp.com/manufacturer/onsemi?pageNo=1099", "ON Semiconductor")</f>
        <v>ON Semiconductor</v>
      </c>
      <c r="C46553" s="6">
        <v>3429</v>
      </c>
      <c r="D46553" s="7">
        <v>6.45</v>
      </c>
      <c r="E46553" t="s">
        <v>26</v>
      </c>
    </row>
    <row r="46554" spans="1:5" x14ac:dyDescent="0.25">
      <c r="A46554" t="str">
        <f>HYPERLINK("https://www.773grp.com/globalSearch/QS74FCT193ATS1/page-1", "QS74FCT193ATS1")</f>
        <v>QS74FCT193ATS1</v>
      </c>
      <c r="B46554" s="3" t="str">
        <f>HYPERLINK("https://www.773grp.com/manufacturer/onsemi?pageNo=1100", "ON Semiconductor")</f>
        <v>ON Semiconductor</v>
      </c>
      <c r="C46554" s="6">
        <v>4996</v>
      </c>
      <c r="D46554" s="7">
        <v>6.45</v>
      </c>
      <c r="E46554" t="s">
        <v>26</v>
      </c>
    </row>
    <row r="46555" spans="1:5" x14ac:dyDescent="0.25">
      <c r="A46555" t="str">
        <f>HYPERLINK("https://www.773grp.com/globalSearch/QS74FCT2191ATP/page-1", "QS74FCT2191ATP")</f>
        <v>QS74FCT2191ATP</v>
      </c>
      <c r="B46555" s="3" t="str">
        <f>HYPERLINK("https://www.773grp.com/manufacturer/onsemi?pageNo=1101", "ON Semiconductor")</f>
        <v>ON Semiconductor</v>
      </c>
      <c r="C46555" s="6">
        <v>129</v>
      </c>
      <c r="D46555" s="7">
        <v>6.45</v>
      </c>
      <c r="E46555" t="s">
        <v>26</v>
      </c>
    </row>
    <row r="46556" spans="1:5" x14ac:dyDescent="0.25">
      <c r="A46556" t="str">
        <f>HYPERLINK("https://www.773grp.com/globalSearch/QS74FCT2193ATSO/page-1", "QS74FCT2193ATSO")</f>
        <v>QS74FCT2193ATSO</v>
      </c>
      <c r="B46556" s="3" t="str">
        <f>HYPERLINK("https://www.773grp.com/manufacturer/onsemi?pageNo=1102", "ON Semiconductor")</f>
        <v>ON Semiconductor</v>
      </c>
      <c r="C46556" s="6">
        <v>1083</v>
      </c>
      <c r="D46556" s="7">
        <v>6.45</v>
      </c>
      <c r="E46556" t="s">
        <v>26</v>
      </c>
    </row>
    <row r="46557" spans="1:5" x14ac:dyDescent="0.25">
      <c r="A46557" t="str">
        <f>HYPERLINK("https://www.773grp.com/globalSearch/QS74FCT2251ATP/page-1", "QS74FCT2251ATP")</f>
        <v>QS74FCT2251ATP</v>
      </c>
      <c r="B46557" s="3" t="str">
        <f>HYPERLINK("https://www.773grp.com/manufacturer/onsemi?pageNo=1103", "ON Semiconductor")</f>
        <v>ON Semiconductor</v>
      </c>
      <c r="C46557" s="6">
        <v>1059</v>
      </c>
      <c r="D46557" s="7">
        <v>6.45</v>
      </c>
      <c r="E46557" t="s">
        <v>20</v>
      </c>
    </row>
    <row r="46558" spans="1:5" x14ac:dyDescent="0.25">
      <c r="A46558" t="str">
        <f>HYPERLINK("https://www.773grp.com/globalSearch/QS74FCT2253ATP/page-1", "QS74FCT2253ATP")</f>
        <v>QS74FCT2253ATP</v>
      </c>
      <c r="B46558" s="3" t="str">
        <f>HYPERLINK("https://www.773grp.com/manufacturer/onsemi?pageNo=1104", "ON Semiconductor")</f>
        <v>ON Semiconductor</v>
      </c>
      <c r="C46558" s="6">
        <v>120</v>
      </c>
      <c r="D46558" s="7">
        <v>6.45</v>
      </c>
      <c r="E46558" t="s">
        <v>20</v>
      </c>
    </row>
    <row r="46559" spans="1:5" x14ac:dyDescent="0.25">
      <c r="A46559" t="str">
        <f>HYPERLINK("https://www.773grp.com/globalSearch/QS74FCT257ATP/page-1", "QS74FCT257ATP")</f>
        <v>QS74FCT257ATP</v>
      </c>
      <c r="B46559" s="3" t="str">
        <f>HYPERLINK("https://www.773grp.com/manufacturer/onsemi?pageNo=1105", "ON Semiconductor")</f>
        <v>ON Semiconductor</v>
      </c>
      <c r="C46559" s="6">
        <v>2159</v>
      </c>
      <c r="D46559" s="7">
        <v>6.45</v>
      </c>
      <c r="E46559" t="s">
        <v>20</v>
      </c>
    </row>
    <row r="46560" spans="1:5" x14ac:dyDescent="0.25">
      <c r="A46560" t="str">
        <f>HYPERLINK("https://www.773grp.com/globalSearch/QS74FCT280TQ/page-1", "QS74FCT280TQ")</f>
        <v>QS74FCT280TQ</v>
      </c>
      <c r="B46560" s="3" t="str">
        <f>HYPERLINK("https://www.773grp.com/manufacturer/onsemi?pageNo=1106", "ON Semiconductor")</f>
        <v>ON Semiconductor</v>
      </c>
      <c r="C46560" s="6">
        <v>80</v>
      </c>
      <c r="D46560" s="7">
        <v>6.45</v>
      </c>
      <c r="E46560" t="s">
        <v>43</v>
      </c>
    </row>
    <row r="46561" spans="1:5" x14ac:dyDescent="0.25">
      <c r="A46561" t="str">
        <f>HYPERLINK("https://www.773grp.com/globalSearch/QS74FCT2827BTP/page-1", "QS74FCT2827BTP")</f>
        <v>QS74FCT2827BTP</v>
      </c>
      <c r="B46561" s="3" t="str">
        <f>HYPERLINK("https://www.773grp.com/manufacturer/onsemi?pageNo=1107", "ON Semiconductor")</f>
        <v>ON Semiconductor</v>
      </c>
      <c r="C46561" s="6">
        <v>114</v>
      </c>
      <c r="D46561" s="7">
        <v>6.46</v>
      </c>
      <c r="E46561" t="s">
        <v>14</v>
      </c>
    </row>
    <row r="46562" spans="1:5" x14ac:dyDescent="0.25">
      <c r="A46562" t="str">
        <f>HYPERLINK("https://www.773grp.com/globalSearch/QS74FCT299ATP/page-1", "QS74FCT299ATP")</f>
        <v>QS74FCT299ATP</v>
      </c>
      <c r="B46562" s="3" t="str">
        <f>HYPERLINK("https://www.773grp.com/manufacturer/onsemi?pageNo=1108", "ON Semiconductor")</f>
        <v>ON Semiconductor</v>
      </c>
      <c r="C46562" s="6">
        <v>2777</v>
      </c>
      <c r="D46562" s="7">
        <v>6.46</v>
      </c>
      <c r="E46562" t="s">
        <v>32</v>
      </c>
    </row>
    <row r="46563" spans="1:5" x14ac:dyDescent="0.25">
      <c r="A46563" t="str">
        <f>HYPERLINK("https://www.773grp.com/globalSearch/QS54FCT153ATSO/page-1", "QS54FCT153ATSO")</f>
        <v>QS54FCT153ATSO</v>
      </c>
      <c r="B46563" s="3" t="str">
        <f>HYPERLINK("https://www.773grp.com/manufacturer/onsemi?pageNo=1109", "ON Semiconductor")</f>
        <v>ON Semiconductor</v>
      </c>
      <c r="C46563" s="6">
        <v>407</v>
      </c>
      <c r="D46563" s="7">
        <v>6.5</v>
      </c>
      <c r="E46563" t="s">
        <v>20</v>
      </c>
    </row>
    <row r="46564" spans="1:5" x14ac:dyDescent="0.25">
      <c r="A46564" t="str">
        <f>HYPERLINK("https://www.773grp.com/globalSearch/QS74FCT151ATSO/page-1", "QS74FCT151ATSO")</f>
        <v>QS74FCT151ATSO</v>
      </c>
      <c r="B46564" s="3" t="str">
        <f>HYPERLINK("https://www.773grp.com/manufacturer/onsemi?pageNo=1110", "ON Semiconductor")</f>
        <v>ON Semiconductor</v>
      </c>
      <c r="C46564" s="6">
        <v>4523</v>
      </c>
      <c r="D46564" s="7">
        <v>6.5</v>
      </c>
      <c r="E46564" t="s">
        <v>20</v>
      </c>
    </row>
    <row r="46565" spans="1:5" x14ac:dyDescent="0.25">
      <c r="A46565" t="str">
        <f>HYPERLINK("https://www.773grp.com/globalSearch/QS74FCT2151ATSO/page-1", "QS74FCT2151ATSO")</f>
        <v>QS74FCT2151ATSO</v>
      </c>
      <c r="B46565" s="3" t="str">
        <f>HYPERLINK("https://www.773grp.com/manufacturer/onsemi?pageNo=1111", "ON Semiconductor")</f>
        <v>ON Semiconductor</v>
      </c>
      <c r="C46565" s="6">
        <v>731</v>
      </c>
      <c r="D46565" s="7">
        <v>6.5</v>
      </c>
      <c r="E46565" t="s">
        <v>20</v>
      </c>
    </row>
    <row r="46566" spans="1:5" x14ac:dyDescent="0.25">
      <c r="A46566" t="str">
        <f>HYPERLINK("https://www.773grp.com/globalSearch/QS74FCT2153ATSO/page-1", "QS74FCT2153ATSO")</f>
        <v>QS74FCT2153ATSO</v>
      </c>
      <c r="B46566" s="3" t="str">
        <f>HYPERLINK("https://www.773grp.com/manufacturer/onsemi?pageNo=1112", "ON Semiconductor")</f>
        <v>ON Semiconductor</v>
      </c>
      <c r="C46566" s="6">
        <v>3191</v>
      </c>
      <c r="D46566" s="7">
        <v>6.5</v>
      </c>
      <c r="E46566" t="s">
        <v>20</v>
      </c>
    </row>
    <row r="46567" spans="1:5" x14ac:dyDescent="0.25">
      <c r="A46567" t="str">
        <f>HYPERLINK("https://www.773grp.com/globalSearch/QS74FCT2161ATQ/page-1", "QS74FCT2161ATQ")</f>
        <v>QS74FCT2161ATQ</v>
      </c>
      <c r="B46567" s="3" t="str">
        <f>HYPERLINK("https://www.773grp.com/manufacturer/onsemi?pageNo=1113", "ON Semiconductor")</f>
        <v>ON Semiconductor</v>
      </c>
      <c r="C46567" s="6">
        <v>4067</v>
      </c>
      <c r="D46567" s="7">
        <v>6.5</v>
      </c>
      <c r="E46567" t="s">
        <v>26</v>
      </c>
    </row>
    <row r="46568" spans="1:5" x14ac:dyDescent="0.25">
      <c r="A46568" t="str">
        <f>HYPERLINK("https://www.773grp.com/globalSearch/QS74FCT2253TQ/page-1", "QS74FCT2253TQ")</f>
        <v>QS74FCT2253TQ</v>
      </c>
      <c r="B46568" s="3" t="str">
        <f>HYPERLINK("https://www.773grp.com/manufacturer/onsemi?pageNo=1114", "ON Semiconductor")</f>
        <v>ON Semiconductor</v>
      </c>
      <c r="C46568" s="6">
        <v>248</v>
      </c>
      <c r="D46568" s="7">
        <v>6.5</v>
      </c>
      <c r="E46568" t="s">
        <v>20</v>
      </c>
    </row>
    <row r="46569" spans="1:5" x14ac:dyDescent="0.25">
      <c r="A46569" t="str">
        <f>HYPERLINK("https://www.773grp.com/globalSearch/QS74FCT299ATS0X/page-1", "QS74FCT299ATS0X")</f>
        <v>QS74FCT299ATS0X</v>
      </c>
      <c r="B46569" s="3" t="str">
        <f>HYPERLINK("https://www.773grp.com/manufacturer/onsemi?pageNo=1115", "ON Semiconductor")</f>
        <v>ON Semiconductor</v>
      </c>
      <c r="C46569" s="6">
        <v>2000</v>
      </c>
      <c r="D46569" s="7">
        <v>6.5</v>
      </c>
    </row>
    <row r="46570" spans="1:5" x14ac:dyDescent="0.25">
      <c r="A46570" t="str">
        <f>HYPERLINK("https://www.773grp.com/globalSearch/QS74FCT240ATQ/page-1", "QS74FCT240ATQ")</f>
        <v>QS74FCT240ATQ</v>
      </c>
      <c r="B46570" s="3" t="str">
        <f>HYPERLINK("https://www.773grp.com/manufacturer/onsemi?pageNo=1116", "ON Semiconductor")</f>
        <v>ON Semiconductor</v>
      </c>
      <c r="C46570" s="6">
        <v>854</v>
      </c>
      <c r="D46570" s="7">
        <v>6.61</v>
      </c>
      <c r="E46570" t="s">
        <v>14</v>
      </c>
    </row>
    <row r="46571" spans="1:5" x14ac:dyDescent="0.25">
      <c r="A46571" t="str">
        <f>HYPERLINK("https://www.773grp.com/globalSearch/QS74FCT2X646ATQ1/page-1", "QS74FCT2X646ATQ1")</f>
        <v>QS74FCT2X646ATQ1</v>
      </c>
      <c r="B46571" s="3" t="str">
        <f>HYPERLINK("https://www.773grp.com/manufacturer/onsemi?pageNo=1117", "ON Semiconductor")</f>
        <v>ON Semiconductor</v>
      </c>
      <c r="C46571" s="6">
        <v>90</v>
      </c>
      <c r="D46571" s="7">
        <v>6.61</v>
      </c>
      <c r="E46571" t="s">
        <v>14</v>
      </c>
    </row>
    <row r="46572" spans="1:5" x14ac:dyDescent="0.25">
      <c r="A46572" t="str">
        <f>HYPERLINK("https://www.773grp.com/globalSearch/QS74FCT2245TZ/page-1", "QS74FCT2245TZ")</f>
        <v>QS74FCT2245TZ</v>
      </c>
      <c r="B46572" s="3" t="str">
        <f>HYPERLINK("https://www.773grp.com/manufacturer/onsemi?pageNo=1118", "ON Semiconductor")</f>
        <v>ON Semiconductor</v>
      </c>
      <c r="C46572" s="6">
        <v>246</v>
      </c>
      <c r="D46572" s="7">
        <v>6.71</v>
      </c>
      <c r="E46572" t="s">
        <v>14</v>
      </c>
    </row>
    <row r="46573" spans="1:5" x14ac:dyDescent="0.25">
      <c r="A46573" t="str">
        <f>HYPERLINK("https://www.773grp.com/globalSearch/QS74FCT828BTP/page-1", "QS74FCT828BTP")</f>
        <v>QS74FCT828BTP</v>
      </c>
      <c r="B46573" s="3" t="str">
        <f>HYPERLINK("https://www.773grp.com/manufacturer/onsemi?pageNo=1119", "ON Semiconductor")</f>
        <v>ON Semiconductor</v>
      </c>
      <c r="C46573" s="6">
        <v>112</v>
      </c>
      <c r="D46573" s="7">
        <v>6.75</v>
      </c>
      <c r="E46573" t="s">
        <v>14</v>
      </c>
    </row>
    <row r="46574" spans="1:5" x14ac:dyDescent="0.25">
      <c r="A46574" t="str">
        <f>HYPERLINK("https://www.773grp.com/globalSearch/QS74FCT2861ATZ/page-1", "QS74FCT2861ATZ")</f>
        <v>QS74FCT2861ATZ</v>
      </c>
      <c r="B46574" s="3" t="str">
        <f>HYPERLINK("https://www.773grp.com/manufacturer/onsemi?pageNo=1120", "ON Semiconductor")</f>
        <v>ON Semiconductor</v>
      </c>
      <c r="C46574" s="6">
        <v>2375</v>
      </c>
      <c r="D46574" s="7">
        <v>6.89</v>
      </c>
      <c r="E46574" t="s">
        <v>14</v>
      </c>
    </row>
    <row r="46575" spans="1:5" x14ac:dyDescent="0.25">
      <c r="A46575" t="str">
        <f>HYPERLINK("https://www.773grp.com/globalSearch/QS74FCT162543CTPA/page-1", "QS74FCT162543CTPA")</f>
        <v>QS74FCT162543CTPA</v>
      </c>
      <c r="B46575" s="3" t="str">
        <f>HYPERLINK("https://www.773grp.com/manufacturer/onsemi?pageNo=1121", "ON Semiconductor")</f>
        <v>ON Semiconductor</v>
      </c>
      <c r="C46575" s="6">
        <v>4740</v>
      </c>
      <c r="D46575" s="7">
        <v>6.95</v>
      </c>
      <c r="E46575" t="s">
        <v>14</v>
      </c>
    </row>
    <row r="46576" spans="1:5" x14ac:dyDescent="0.25">
      <c r="A46576" t="str">
        <f>HYPERLINK("https://www.773grp.com/globalSearch/QS74FCT162543CTPV/page-1", "QS74FCT162543CTPV")</f>
        <v>QS74FCT162543CTPV</v>
      </c>
      <c r="B46576" s="3" t="str">
        <f>HYPERLINK("https://www.773grp.com/manufacturer/onsemi?pageNo=1122", "ON Semiconductor")</f>
        <v>ON Semiconductor</v>
      </c>
      <c r="C46576" s="6">
        <v>771</v>
      </c>
      <c r="D46576" s="7">
        <v>6.95</v>
      </c>
      <c r="E46576" t="s">
        <v>14</v>
      </c>
    </row>
    <row r="46577" spans="1:5" x14ac:dyDescent="0.25">
      <c r="A46577" t="str">
        <f>HYPERLINK("https://www.773grp.com/globalSearch/QS74FCT162646CTPV/page-1", "QS74FCT162646CTPV")</f>
        <v>QS74FCT162646CTPV</v>
      </c>
      <c r="B46577" s="3" t="str">
        <f>HYPERLINK("https://www.773grp.com/manufacturer/onsemi?pageNo=1123", "ON Semiconductor")</f>
        <v>ON Semiconductor</v>
      </c>
      <c r="C46577" s="6">
        <v>383</v>
      </c>
      <c r="D46577" s="7">
        <v>6.95</v>
      </c>
      <c r="E46577" t="s">
        <v>14</v>
      </c>
    </row>
    <row r="46578" spans="1:5" x14ac:dyDescent="0.25">
      <c r="A46578" t="str">
        <f>HYPERLINK("https://www.773grp.com/globalSearch/QS74FCT162652CTPV/page-1", "QS74FCT162652CTPV")</f>
        <v>QS74FCT162652CTPV</v>
      </c>
      <c r="B46578" s="3" t="str">
        <f>HYPERLINK("https://www.773grp.com/manufacturer/onsemi?pageNo=1124", "ON Semiconductor")</f>
        <v>ON Semiconductor</v>
      </c>
      <c r="C46578" s="6">
        <v>1400</v>
      </c>
      <c r="D46578" s="7">
        <v>6.95</v>
      </c>
      <c r="E46578" t="s">
        <v>14</v>
      </c>
    </row>
    <row r="46579" spans="1:5" x14ac:dyDescent="0.25">
      <c r="A46579" t="str">
        <f>HYPERLINK("https://www.773grp.com/globalSearch/QS74FCT162952CTPA/page-1", "QS74FCT162952CTPA")</f>
        <v>QS74FCT162952CTPA</v>
      </c>
      <c r="B46579" s="3" t="str">
        <f>HYPERLINK("https://www.773grp.com/manufacturer/onsemi?pageNo=1125", "ON Semiconductor")</f>
        <v>ON Semiconductor</v>
      </c>
      <c r="C46579" s="6">
        <v>2632</v>
      </c>
      <c r="D46579" s="7">
        <v>6.95</v>
      </c>
      <c r="E46579" t="s">
        <v>14</v>
      </c>
    </row>
    <row r="46580" spans="1:5" x14ac:dyDescent="0.25">
      <c r="A46580" t="str">
        <f>HYPERLINK("https://www.773grp.com/globalSearch/QS74FCT162952CTPV/page-1", "QS74FCT162952CTPV")</f>
        <v>QS74FCT162952CTPV</v>
      </c>
      <c r="B46580" s="3" t="str">
        <f>HYPERLINK("https://www.773grp.com/manufacturer/onsemi?pageNo=1126", "ON Semiconductor")</f>
        <v>ON Semiconductor</v>
      </c>
      <c r="C46580" s="6">
        <v>2677</v>
      </c>
      <c r="D46580" s="7">
        <v>6.95</v>
      </c>
      <c r="E46580" t="s">
        <v>14</v>
      </c>
    </row>
    <row r="46581" spans="1:5" x14ac:dyDescent="0.25">
      <c r="A46581" t="str">
        <f>HYPERLINK("https://www.773grp.com/globalSearch/QS74FCT16373ATPA/page-1", "QS74FCT16373ATPA")</f>
        <v>QS74FCT16373ATPA</v>
      </c>
      <c r="B46581" s="3" t="str">
        <f>HYPERLINK("https://www.773grp.com/manufacturer/onsemi?pageNo=1127", "ON Semiconductor")</f>
        <v>ON Semiconductor</v>
      </c>
      <c r="C46581" s="6">
        <v>5805</v>
      </c>
      <c r="D46581" s="7">
        <v>6.95</v>
      </c>
      <c r="E46581" t="s">
        <v>14</v>
      </c>
    </row>
    <row r="46582" spans="1:5" x14ac:dyDescent="0.25">
      <c r="A46582" t="str">
        <f>HYPERLINK("https://www.773grp.com/globalSearch/QS74FCT16543CTPV/page-1", "QS74FCT16543CTPV")</f>
        <v>QS74FCT16543CTPV</v>
      </c>
      <c r="B46582" s="3" t="str">
        <f>HYPERLINK("https://www.773grp.com/manufacturer/onsemi?pageNo=1128", "ON Semiconductor")</f>
        <v>ON Semiconductor</v>
      </c>
      <c r="C46582" s="6">
        <v>679</v>
      </c>
      <c r="D46582" s="7">
        <v>6.95</v>
      </c>
      <c r="E46582" t="s">
        <v>14</v>
      </c>
    </row>
    <row r="46583" spans="1:5" x14ac:dyDescent="0.25">
      <c r="A46583" t="str">
        <f>HYPERLINK("https://www.773grp.com/globalSearch/QS74FCT16646CTPA/page-1", "QS74FCT16646CTPA")</f>
        <v>QS74FCT16646CTPA</v>
      </c>
      <c r="B46583" s="3" t="str">
        <f>HYPERLINK("https://www.773grp.com/manufacturer/onsemi?pageNo=1129", "ON Semiconductor")</f>
        <v>ON Semiconductor</v>
      </c>
      <c r="C46583" s="6">
        <v>1911</v>
      </c>
      <c r="D46583" s="7">
        <v>6.95</v>
      </c>
      <c r="E46583" t="s">
        <v>14</v>
      </c>
    </row>
    <row r="46584" spans="1:5" x14ac:dyDescent="0.25">
      <c r="A46584" t="str">
        <f>HYPERLINK("https://www.773grp.com/globalSearch/QS74FCT16646CTPV/page-1", "QS74FCT16646CTPV")</f>
        <v>QS74FCT16646CTPV</v>
      </c>
      <c r="B46584" s="3" t="str">
        <f>HYPERLINK("https://www.773grp.com/manufacturer/onsemi?pageNo=1130", "ON Semiconductor")</f>
        <v>ON Semiconductor</v>
      </c>
      <c r="C46584" s="6">
        <v>158</v>
      </c>
      <c r="D46584" s="7">
        <v>6.95</v>
      </c>
      <c r="E46584" t="s">
        <v>14</v>
      </c>
    </row>
    <row r="46585" spans="1:5" x14ac:dyDescent="0.25">
      <c r="A46585" t="str">
        <f>HYPERLINK("https://www.773grp.com/globalSearch/QS74FCT16652CTPA/page-1", "QS74FCT16652CTPA")</f>
        <v>QS74FCT16652CTPA</v>
      </c>
      <c r="B46585" s="3" t="str">
        <f>HYPERLINK("https://www.773grp.com/manufacturer/onsemi?pageNo=1131", "ON Semiconductor")</f>
        <v>ON Semiconductor</v>
      </c>
      <c r="C46585" s="6">
        <v>913</v>
      </c>
      <c r="D46585" s="7">
        <v>6.95</v>
      </c>
      <c r="E46585" t="s">
        <v>14</v>
      </c>
    </row>
    <row r="46586" spans="1:5" x14ac:dyDescent="0.25">
      <c r="A46586" t="str">
        <f>HYPERLINK("https://www.773grp.com/globalSearch/QS74FCT16652CTPV/page-1", "QS74FCT16652CTPV")</f>
        <v>QS74FCT16652CTPV</v>
      </c>
      <c r="B46586" s="3" t="str">
        <f>HYPERLINK("https://www.773grp.com/manufacturer/onsemi?pageNo=1132", "ON Semiconductor")</f>
        <v>ON Semiconductor</v>
      </c>
      <c r="C46586" s="6">
        <v>424</v>
      </c>
      <c r="D46586" s="7">
        <v>6.95</v>
      </c>
      <c r="E46586" t="s">
        <v>14</v>
      </c>
    </row>
    <row r="46587" spans="1:5" x14ac:dyDescent="0.25">
      <c r="A46587" t="str">
        <f>HYPERLINK("https://www.773grp.com/globalSearch/QS74FCT16952CTPV/page-1", "QS74FCT16952CTPV")</f>
        <v>QS74FCT16952CTPV</v>
      </c>
      <c r="B46587" s="3" t="str">
        <f>HYPERLINK("https://www.773grp.com/manufacturer/onsemi?pageNo=1133", "ON Semiconductor")</f>
        <v>ON Semiconductor</v>
      </c>
      <c r="C46587" s="6">
        <v>813</v>
      </c>
      <c r="D46587" s="7">
        <v>6.95</v>
      </c>
      <c r="E46587" t="s">
        <v>14</v>
      </c>
    </row>
    <row r="46588" spans="1:5" x14ac:dyDescent="0.25">
      <c r="A46588" t="str">
        <f>HYPERLINK("https://www.773grp.com/globalSearch/QS74FCT2821ATP/page-1", "QS74FCT2821ATP")</f>
        <v>QS74FCT2821ATP</v>
      </c>
      <c r="B46588" s="3" t="str">
        <f>HYPERLINK("https://www.773grp.com/manufacturer/onsemi?pageNo=1134", "ON Semiconductor")</f>
        <v>ON Semiconductor</v>
      </c>
      <c r="C46588" s="6">
        <v>6100</v>
      </c>
      <c r="D46588" s="7">
        <v>6.95</v>
      </c>
      <c r="E46588" t="s">
        <v>14</v>
      </c>
    </row>
    <row r="46589" spans="1:5" x14ac:dyDescent="0.25">
      <c r="A46589" t="str">
        <f>HYPERLINK("https://www.773grp.com/globalSearch/QS74FCT646ATQ/page-1", "QS74FCT646ATQ")</f>
        <v>QS74FCT646ATQ</v>
      </c>
      <c r="B46589" s="3" t="str">
        <f>HYPERLINK("https://www.773grp.com/manufacturer/onsemi?pageNo=1135", "ON Semiconductor")</f>
        <v>ON Semiconductor</v>
      </c>
      <c r="C46589" s="6">
        <v>2790</v>
      </c>
      <c r="D46589" s="7">
        <v>6.95</v>
      </c>
      <c r="E46589" t="s">
        <v>14</v>
      </c>
    </row>
    <row r="46590" spans="1:5" x14ac:dyDescent="0.25">
      <c r="A46590" t="str">
        <f>HYPERLINK("https://www.773grp.com/globalSearch/QS74FCT646ATSOX/page-1", "QS74FCT646ATSOX")</f>
        <v>QS74FCT646ATSOX</v>
      </c>
      <c r="B46590" s="3" t="str">
        <f>HYPERLINK("https://www.773grp.com/manufacturer/onsemi?pageNo=1136", "ON Semiconductor")</f>
        <v>ON Semiconductor</v>
      </c>
      <c r="C46590" s="6">
        <v>45000</v>
      </c>
      <c r="D46590" s="7">
        <v>6.95</v>
      </c>
    </row>
    <row r="46591" spans="1:5" x14ac:dyDescent="0.25">
      <c r="A46591" t="str">
        <f>HYPERLINK("https://www.773grp.com/globalSearch/QS74FCT825ATP/page-1", "QS74FCT825ATP")</f>
        <v>QS74FCT825ATP</v>
      </c>
      <c r="B46591" s="3" t="str">
        <f>HYPERLINK("https://www.773grp.com/manufacturer/onsemi?pageNo=1137", "ON Semiconductor")</f>
        <v>ON Semiconductor</v>
      </c>
      <c r="C46591" s="6">
        <v>1653</v>
      </c>
      <c r="D46591" s="7">
        <v>6.95</v>
      </c>
      <c r="E46591" t="s">
        <v>14</v>
      </c>
    </row>
    <row r="46592" spans="1:5" x14ac:dyDescent="0.25">
      <c r="A46592" t="str">
        <f>HYPERLINK("https://www.773grp.com/globalSearch/QS316384Q1/page-1", "QS316384Q1")</f>
        <v>QS316384Q1</v>
      </c>
      <c r="B46592" s="3" t="str">
        <f>HYPERLINK("https://www.773grp.com/manufacturer/onsemi?pageNo=1138", "ON Semiconductor")</f>
        <v>ON Semiconductor</v>
      </c>
      <c r="C46592" s="6">
        <v>16630</v>
      </c>
      <c r="D46592" s="7">
        <v>7</v>
      </c>
    </row>
    <row r="46593" spans="1:5" x14ac:dyDescent="0.25">
      <c r="A46593" t="str">
        <f>HYPERLINK("https://www.773grp.com/globalSearch/QS74FCT163244APA/page-1", "QS74FCT163244APA")</f>
        <v>QS74FCT163244APA</v>
      </c>
      <c r="B46593" s="3" t="str">
        <f>HYPERLINK("https://www.773grp.com/manufacturer/onsemi?pageNo=1139", "ON Semiconductor")</f>
        <v>ON Semiconductor</v>
      </c>
      <c r="C46593" s="6">
        <v>6287</v>
      </c>
      <c r="D46593" s="7">
        <v>7</v>
      </c>
      <c r="E46593" t="s">
        <v>14</v>
      </c>
    </row>
    <row r="46594" spans="1:5" x14ac:dyDescent="0.25">
      <c r="A46594" t="str">
        <f>HYPERLINK("https://www.773grp.com/globalSearch/QS74FCT533ATQ/page-1", "QS74FCT533ATQ")</f>
        <v>QS74FCT533ATQ</v>
      </c>
      <c r="B46594" s="3" t="str">
        <f>HYPERLINK("https://www.773grp.com/manufacturer/onsemi?pageNo=1140", "ON Semiconductor")</f>
        <v>ON Semiconductor</v>
      </c>
      <c r="C46594" s="6">
        <v>1630</v>
      </c>
      <c r="D46594" s="7">
        <v>7</v>
      </c>
      <c r="E46594" t="s">
        <v>14</v>
      </c>
    </row>
    <row r="46595" spans="1:5" x14ac:dyDescent="0.25">
      <c r="A46595" t="str">
        <f>HYPERLINK("https://www.773grp.com/globalSearch/QS74FCT2374ATP/page-1", "QS74FCT2374ATP")</f>
        <v>QS74FCT2374ATP</v>
      </c>
      <c r="B46595" s="3" t="str">
        <f>HYPERLINK("https://www.773grp.com/manufacturer/onsemi?pageNo=1141", "ON Semiconductor")</f>
        <v>ON Semiconductor</v>
      </c>
      <c r="C46595" s="6">
        <v>446</v>
      </c>
      <c r="D46595" s="7">
        <v>7.04</v>
      </c>
      <c r="E46595" t="s">
        <v>14</v>
      </c>
    </row>
    <row r="46596" spans="1:5" x14ac:dyDescent="0.25">
      <c r="A46596" t="str">
        <f>HYPERLINK("https://www.773grp.com/globalSearch/QS74FCT2825BTP/page-1", "QS74FCT2825BTP")</f>
        <v>QS74FCT2825BTP</v>
      </c>
      <c r="B46596" s="3" t="str">
        <f>HYPERLINK("https://www.773grp.com/manufacturer/onsemi?pageNo=1142", "ON Semiconductor")</f>
        <v>ON Semiconductor</v>
      </c>
      <c r="C46596" s="6">
        <v>159</v>
      </c>
      <c r="D46596" s="7">
        <v>7.09</v>
      </c>
      <c r="E46596" t="s">
        <v>14</v>
      </c>
    </row>
    <row r="46597" spans="1:5" x14ac:dyDescent="0.25">
      <c r="A46597" t="str">
        <f>HYPERLINK("https://www.773grp.com/globalSearch/QS74FCT843BTS0/page-1", "QS74FCT843BTS0")</f>
        <v>QS74FCT843BTS0</v>
      </c>
      <c r="B46597" s="3" t="str">
        <f>HYPERLINK("https://www.773grp.com/manufacturer/onsemi?pageNo=1143", "ON Semiconductor")</f>
        <v>ON Semiconductor</v>
      </c>
      <c r="C46597" s="6">
        <v>7770</v>
      </c>
      <c r="D46597" s="7">
        <v>7.09</v>
      </c>
    </row>
    <row r="46598" spans="1:5" x14ac:dyDescent="0.25">
      <c r="A46598" t="str">
        <f>HYPERLINK("https://www.773grp.com/globalSearch/QS74FCT163CTQ/page-1", "QS74FCT163CTQ")</f>
        <v>QS74FCT163CTQ</v>
      </c>
      <c r="B46598" s="3" t="str">
        <f>HYPERLINK("https://www.773grp.com/manufacturer/onsemi?pageNo=1144", "ON Semiconductor")</f>
        <v>ON Semiconductor</v>
      </c>
      <c r="C46598" s="6">
        <v>3342</v>
      </c>
      <c r="D46598" s="7">
        <v>7.18</v>
      </c>
      <c r="E46598" t="s">
        <v>26</v>
      </c>
    </row>
    <row r="46599" spans="1:5" x14ac:dyDescent="0.25">
      <c r="A46599" t="str">
        <f>HYPERLINK("https://www.773grp.com/globalSearch/QS54FCT2646ATSO/page-1", "QS54FCT2646ATSO")</f>
        <v>QS54FCT2646ATSO</v>
      </c>
      <c r="B46599" s="3" t="str">
        <f>HYPERLINK("https://www.773grp.com/manufacturer/onsemi?pageNo=1145", "ON Semiconductor")</f>
        <v>ON Semiconductor</v>
      </c>
      <c r="C46599" s="6">
        <v>74</v>
      </c>
      <c r="D46599" s="7">
        <v>7.2</v>
      </c>
      <c r="E46599" t="s">
        <v>14</v>
      </c>
    </row>
    <row r="46600" spans="1:5" x14ac:dyDescent="0.25">
      <c r="A46600" t="str">
        <f>HYPERLINK("https://www.773grp.com/globalSearch/QS74FCT2825BTQ/page-1", "QS74FCT2825BTQ")</f>
        <v>QS74FCT2825BTQ</v>
      </c>
      <c r="B46600" s="3" t="str">
        <f>HYPERLINK("https://www.773grp.com/manufacturer/onsemi?pageNo=1146", "ON Semiconductor")</f>
        <v>ON Semiconductor</v>
      </c>
      <c r="C46600" s="6">
        <v>123</v>
      </c>
      <c r="D46600" s="7">
        <v>7.23</v>
      </c>
      <c r="E46600" t="s">
        <v>14</v>
      </c>
    </row>
    <row r="46601" spans="1:5" x14ac:dyDescent="0.25">
      <c r="A46601" t="str">
        <f>HYPERLINK("https://www.773grp.com/globalSearch/QS74FCT646DTQ/page-1", "QS74FCT646DTQ")</f>
        <v>QS74FCT646DTQ</v>
      </c>
      <c r="B46601" s="3" t="str">
        <f>HYPERLINK("https://www.773grp.com/manufacturer/onsemi?pageNo=1147", "ON Semiconductor")</f>
        <v>ON Semiconductor</v>
      </c>
      <c r="C46601" s="6">
        <v>1517</v>
      </c>
      <c r="D46601" s="7">
        <v>7.23</v>
      </c>
      <c r="E46601" t="s">
        <v>14</v>
      </c>
    </row>
    <row r="46602" spans="1:5" x14ac:dyDescent="0.25">
      <c r="A46602" t="str">
        <f>HYPERLINK("https://www.773grp.com/globalSearch/QS74FCT828CTS0/page-1", "QS74FCT828CTS0")</f>
        <v>QS74FCT828CTS0</v>
      </c>
      <c r="B46602" s="3" t="str">
        <f>HYPERLINK("https://www.773grp.com/manufacturer/onsemi?pageNo=1148", "ON Semiconductor")</f>
        <v>ON Semiconductor</v>
      </c>
      <c r="C46602" s="6">
        <v>591</v>
      </c>
      <c r="D46602" s="7">
        <v>7.23</v>
      </c>
    </row>
    <row r="46603" spans="1:5" x14ac:dyDescent="0.25">
      <c r="A46603" t="str">
        <f>HYPERLINK("https://www.773grp.com/globalSearch/QS3B491TF/page-1", "QS3B491TF")</f>
        <v>QS3B491TF</v>
      </c>
      <c r="B46603" s="3" t="str">
        <f>HYPERLINK("https://www.773grp.com/manufacturer/onsemi?pageNo=1149", "ON Semiconductor")</f>
        <v>ON Semiconductor</v>
      </c>
      <c r="C46603" s="6">
        <v>161</v>
      </c>
      <c r="D46603" s="7">
        <v>7.26</v>
      </c>
      <c r="E46603" t="s">
        <v>128</v>
      </c>
    </row>
    <row r="46604" spans="1:5" x14ac:dyDescent="0.25">
      <c r="A46604" t="str">
        <f>HYPERLINK("https://www.773grp.com/globalSearch/QS54FCT157CTSO/page-1", "QS54FCT157CTSO")</f>
        <v>QS54FCT157CTSO</v>
      </c>
      <c r="B46604" s="3" t="str">
        <f>HYPERLINK("https://www.773grp.com/manufacturer/onsemi?pageNo=1150", "ON Semiconductor")</f>
        <v>ON Semiconductor</v>
      </c>
      <c r="C46604" s="6">
        <v>205</v>
      </c>
      <c r="D46604" s="7">
        <v>7.26</v>
      </c>
      <c r="E46604" t="s">
        <v>20</v>
      </c>
    </row>
    <row r="46605" spans="1:5" x14ac:dyDescent="0.25">
      <c r="A46605" t="str">
        <f>HYPERLINK("https://www.773grp.com/globalSearch/QS74FCT821BTP/page-1", "QS74FCT821BTP")</f>
        <v>QS74FCT821BTP</v>
      </c>
      <c r="B46605" s="3" t="str">
        <f>HYPERLINK("https://www.773grp.com/manufacturer/onsemi?pageNo=1151", "ON Semiconductor")</f>
        <v>ON Semiconductor</v>
      </c>
      <c r="C46605" s="6">
        <v>3426</v>
      </c>
      <c r="D46605" s="7">
        <v>7.26</v>
      </c>
      <c r="E46605" t="s">
        <v>14</v>
      </c>
    </row>
    <row r="46606" spans="1:5" x14ac:dyDescent="0.25">
      <c r="A46606" t="str">
        <f>HYPERLINK("https://www.773grp.com/globalSearch/QS3389P/page-1", "QS3389P")</f>
        <v>QS3389P</v>
      </c>
      <c r="B46606" s="3" t="str">
        <f>HYPERLINK("https://www.773grp.com/manufacturer/onsemi?pageNo=1152", "ON Semiconductor")</f>
        <v>ON Semiconductor</v>
      </c>
      <c r="C46606" s="6">
        <v>588</v>
      </c>
      <c r="D46606" s="7">
        <v>7.31</v>
      </c>
    </row>
    <row r="46607" spans="1:5" x14ac:dyDescent="0.25">
      <c r="A46607" t="str">
        <f>HYPERLINK("https://www.773grp.com/globalSearch/QS74FCT2863BTP/page-1", "QS74FCT2863BTP")</f>
        <v>QS74FCT2863BTP</v>
      </c>
      <c r="B46607" s="3" t="str">
        <f>HYPERLINK("https://www.773grp.com/manufacturer/onsemi?pageNo=1153", "ON Semiconductor")</f>
        <v>ON Semiconductor</v>
      </c>
      <c r="C46607" s="6">
        <v>137</v>
      </c>
      <c r="D46607" s="7">
        <v>7.31</v>
      </c>
      <c r="E46607" t="s">
        <v>14</v>
      </c>
    </row>
    <row r="46608" spans="1:5" x14ac:dyDescent="0.25">
      <c r="A46608" t="str">
        <f>HYPERLINK("https://www.773grp.com/globalSearch/QS74FCT540CTSO/page-1", "QS74FCT540CTSO")</f>
        <v>QS74FCT540CTSO</v>
      </c>
      <c r="B46608" s="3" t="str">
        <f>HYPERLINK("https://www.773grp.com/manufacturer/onsemi?pageNo=1154", "ON Semiconductor")</f>
        <v>ON Semiconductor</v>
      </c>
      <c r="C46608" s="6">
        <v>588</v>
      </c>
      <c r="D46608" s="7">
        <v>7.39</v>
      </c>
      <c r="E46608" t="s">
        <v>14</v>
      </c>
    </row>
    <row r="46609" spans="1:5" x14ac:dyDescent="0.25">
      <c r="A46609" t="str">
        <f>HYPERLINK("https://www.773grp.com/globalSearch/QS74FCT544ATS0/page-1", "QS74FCT544ATS0")</f>
        <v>QS74FCT544ATS0</v>
      </c>
      <c r="B46609" s="3" t="str">
        <f>HYPERLINK("https://www.773grp.com/manufacturer/onsemi?pageNo=1155", "ON Semiconductor")</f>
        <v>ON Semiconductor</v>
      </c>
      <c r="C46609" s="6">
        <v>28</v>
      </c>
      <c r="D46609" s="7">
        <v>7.43</v>
      </c>
    </row>
    <row r="46610" spans="1:5" x14ac:dyDescent="0.25">
      <c r="A46610" t="str">
        <f>HYPERLINK("https://www.773grp.com/globalSearch/QS74FCT544ATSO/page-1", "QS74FCT544ATSO")</f>
        <v>QS74FCT544ATSO</v>
      </c>
      <c r="B46610" s="3" t="str">
        <f>HYPERLINK("https://www.773grp.com/manufacturer/onsemi?pageNo=1156", "ON Semiconductor")</f>
        <v>ON Semiconductor</v>
      </c>
      <c r="C46610" s="6">
        <v>423</v>
      </c>
      <c r="D46610" s="7">
        <v>7.43</v>
      </c>
      <c r="E46610" t="s">
        <v>14</v>
      </c>
    </row>
    <row r="46611" spans="1:5" x14ac:dyDescent="0.25">
      <c r="A46611" t="str">
        <f>HYPERLINK("https://www.773grp.com/globalSearch/QS74FCT648ATSO/page-1", "QS74FCT648ATSO")</f>
        <v>QS74FCT648ATSO</v>
      </c>
      <c r="B46611" s="3" t="str">
        <f>HYPERLINK("https://www.773grp.com/manufacturer/onsemi?pageNo=1157", "ON Semiconductor")</f>
        <v>ON Semiconductor</v>
      </c>
      <c r="C46611" s="6">
        <v>2064</v>
      </c>
      <c r="D46611" s="7">
        <v>7.43</v>
      </c>
      <c r="E46611" t="s">
        <v>14</v>
      </c>
    </row>
    <row r="46612" spans="1:5" x14ac:dyDescent="0.25">
      <c r="A46612" t="str">
        <f>HYPERLINK("https://www.773grp.com/globalSearch/QS74FCT2534ATP/page-1", "QS74FCT2534ATP")</f>
        <v>QS74FCT2534ATP</v>
      </c>
      <c r="B46612" s="3" t="str">
        <f>HYPERLINK("https://www.773grp.com/manufacturer/onsemi?pageNo=1158", "ON Semiconductor")</f>
        <v>ON Semiconductor</v>
      </c>
      <c r="C46612" s="6">
        <v>4580</v>
      </c>
      <c r="D46612" s="7">
        <v>7.46</v>
      </c>
      <c r="E46612" t="s">
        <v>14</v>
      </c>
    </row>
    <row r="46613" spans="1:5" x14ac:dyDescent="0.25">
      <c r="A46613" t="str">
        <f>HYPERLINK("https://www.773grp.com/globalSearch/QS74FCT2534ATQ/page-1", "QS74FCT2534ATQ")</f>
        <v>QS74FCT2534ATQ</v>
      </c>
      <c r="B46613" s="3" t="str">
        <f>HYPERLINK("https://www.773grp.com/manufacturer/onsemi?pageNo=1159", "ON Semiconductor")</f>
        <v>ON Semiconductor</v>
      </c>
      <c r="C46613" s="6">
        <v>5375</v>
      </c>
      <c r="D46613" s="7">
        <v>7.46</v>
      </c>
      <c r="E46613" t="s">
        <v>14</v>
      </c>
    </row>
    <row r="46614" spans="1:5" x14ac:dyDescent="0.25">
      <c r="A46614" t="str">
        <f>HYPERLINK("https://www.773grp.com/globalSearch/QS74FCT574CTSO/page-1", "QS74FCT574CTSO")</f>
        <v>QS74FCT574CTSO</v>
      </c>
      <c r="B46614" s="3" t="str">
        <f>HYPERLINK("https://www.773grp.com/manufacturer/onsemi?pageNo=1160", "ON Semiconductor")</f>
        <v>ON Semiconductor</v>
      </c>
      <c r="C46614" s="6">
        <v>146</v>
      </c>
      <c r="D46614" s="7">
        <v>7.48</v>
      </c>
      <c r="E46614" t="s">
        <v>14</v>
      </c>
    </row>
    <row r="46615" spans="1:5" x14ac:dyDescent="0.25">
      <c r="A46615" t="str">
        <f>HYPERLINK("https://www.773grp.com/globalSearch/QS74FCT191ATQ/page-1", "QS74FCT191ATQ")</f>
        <v>QS74FCT191ATQ</v>
      </c>
      <c r="B46615" s="3" t="str">
        <f>HYPERLINK("https://www.773grp.com/manufacturer/onsemi?pageNo=1161", "ON Semiconductor")</f>
        <v>ON Semiconductor</v>
      </c>
      <c r="C46615" s="6">
        <v>150790</v>
      </c>
      <c r="D46615" s="7">
        <v>7.51</v>
      </c>
      <c r="E46615" t="s">
        <v>26</v>
      </c>
    </row>
    <row r="46616" spans="1:5" x14ac:dyDescent="0.25">
      <c r="A46616" t="str">
        <f>HYPERLINK("https://www.773grp.com/globalSearch/QS74FCT193ATQ/page-1", "QS74FCT193ATQ")</f>
        <v>QS74FCT193ATQ</v>
      </c>
      <c r="B46616" s="3" t="str">
        <f>HYPERLINK("https://www.773grp.com/manufacturer/onsemi?pageNo=1162", "ON Semiconductor")</f>
        <v>ON Semiconductor</v>
      </c>
      <c r="C46616" s="6">
        <v>7805</v>
      </c>
      <c r="D46616" s="7">
        <v>7.51</v>
      </c>
      <c r="E46616" t="s">
        <v>26</v>
      </c>
    </row>
    <row r="46617" spans="1:5" x14ac:dyDescent="0.25">
      <c r="A46617" t="str">
        <f>HYPERLINK("https://www.773grp.com/globalSearch/QS74FCT193TQ/page-1", "QS74FCT193TQ")</f>
        <v>QS74FCT193TQ</v>
      </c>
      <c r="B46617" s="3" t="str">
        <f>HYPERLINK("https://www.773grp.com/manufacturer/onsemi?pageNo=1163", "ON Semiconductor")</f>
        <v>ON Semiconductor</v>
      </c>
      <c r="C46617" s="6">
        <v>7207</v>
      </c>
      <c r="D46617" s="7">
        <v>7.51</v>
      </c>
      <c r="E46617" t="s">
        <v>26</v>
      </c>
    </row>
    <row r="46618" spans="1:5" x14ac:dyDescent="0.25">
      <c r="A46618" t="str">
        <f>HYPERLINK("https://www.773grp.com/globalSearch/QS74FCT245ATP/page-1", "QS74FCT245ATP")</f>
        <v>QS74FCT245ATP</v>
      </c>
      <c r="B46618" s="3" t="str">
        <f>HYPERLINK("https://www.773grp.com/manufacturer/onsemi?pageNo=1164", "ON Semiconductor")</f>
        <v>ON Semiconductor</v>
      </c>
      <c r="C46618" s="6">
        <v>86499</v>
      </c>
      <c r="D46618" s="7">
        <v>7.56</v>
      </c>
      <c r="E46618" t="s">
        <v>14</v>
      </c>
    </row>
    <row r="46619" spans="1:5" x14ac:dyDescent="0.25">
      <c r="A46619" t="str">
        <f>HYPERLINK("https://www.773grp.com/globalSearch/QS74FCT258ATQ/page-1", "QS74FCT258ATQ")</f>
        <v>QS74FCT258ATQ</v>
      </c>
      <c r="B46619" s="3" t="str">
        <f>HYPERLINK("https://www.773grp.com/manufacturer/onsemi?pageNo=1165", "ON Semiconductor")</f>
        <v>ON Semiconductor</v>
      </c>
      <c r="C46619" s="6">
        <v>454</v>
      </c>
      <c r="D46619" s="7">
        <v>7.56</v>
      </c>
      <c r="E46619" t="s">
        <v>20</v>
      </c>
    </row>
    <row r="46620" spans="1:5" x14ac:dyDescent="0.25">
      <c r="A46620" t="str">
        <f>HYPERLINK("https://www.773grp.com/globalSearch/QS74FCT573ATP/page-1", "QS74FCT573ATP")</f>
        <v>QS74FCT573ATP</v>
      </c>
      <c r="B46620" s="3" t="str">
        <f>HYPERLINK("https://www.773grp.com/manufacturer/onsemi?pageNo=1166", "ON Semiconductor")</f>
        <v>ON Semiconductor</v>
      </c>
      <c r="C46620" s="6">
        <v>10762</v>
      </c>
      <c r="D46620" s="7">
        <v>7.63</v>
      </c>
      <c r="E46620" t="s">
        <v>14</v>
      </c>
    </row>
    <row r="46621" spans="1:5" x14ac:dyDescent="0.25">
      <c r="A46621" t="str">
        <f>HYPERLINK("https://www.773grp.com/globalSearch/QS74FCT2841BTP/page-1", "QS74FCT2841BTP")</f>
        <v>QS74FCT2841BTP</v>
      </c>
      <c r="B46621" s="3" t="str">
        <f>HYPERLINK("https://www.773grp.com/manufacturer/onsemi?pageNo=1167", "ON Semiconductor")</f>
        <v>ON Semiconductor</v>
      </c>
      <c r="C46621" s="6">
        <v>1745</v>
      </c>
      <c r="D46621" s="7">
        <v>7.65</v>
      </c>
      <c r="E46621" t="s">
        <v>14</v>
      </c>
    </row>
    <row r="46622" spans="1:5" x14ac:dyDescent="0.25">
      <c r="A46622" t="str">
        <f>HYPERLINK("https://www.773grp.com/globalSearch/QS74FCT2845BTP/page-1", "QS74FCT2845BTP")</f>
        <v>QS74FCT2845BTP</v>
      </c>
      <c r="B46622" s="3" t="str">
        <f>HYPERLINK("https://www.773grp.com/manufacturer/onsemi?pageNo=1168", "ON Semiconductor")</f>
        <v>ON Semiconductor</v>
      </c>
      <c r="C46622" s="6">
        <v>1222</v>
      </c>
      <c r="D46622" s="7">
        <v>7.65</v>
      </c>
      <c r="E46622" t="s">
        <v>14</v>
      </c>
    </row>
    <row r="46623" spans="1:5" x14ac:dyDescent="0.25">
      <c r="A46623" t="str">
        <f>HYPERLINK("https://www.773grp.com/globalSearch/QS74FCT4X2244ATQ3/page-1", "QS74FCT4X2244ATQ3")</f>
        <v>QS74FCT4X2244ATQ3</v>
      </c>
      <c r="B46623" s="3" t="str">
        <f>HYPERLINK("https://www.773grp.com/manufacturer/onsemi?pageNo=1169", "ON Semiconductor")</f>
        <v>ON Semiconductor</v>
      </c>
      <c r="C46623" s="6">
        <v>282</v>
      </c>
      <c r="D46623" s="7">
        <v>7.65</v>
      </c>
      <c r="E46623" t="s">
        <v>14</v>
      </c>
    </row>
    <row r="46624" spans="1:5" x14ac:dyDescent="0.25">
      <c r="A46624" t="str">
        <f>HYPERLINK("https://www.773grp.com/globalSearch/QS74FCT4X2373ATQ3/page-1", "QS74FCT4X2373ATQ3")</f>
        <v>QS74FCT4X2373ATQ3</v>
      </c>
      <c r="B46624" s="3" t="str">
        <f>HYPERLINK("https://www.773grp.com/manufacturer/onsemi?pageNo=1170", "ON Semiconductor")</f>
        <v>ON Semiconductor</v>
      </c>
      <c r="C46624" s="6">
        <v>1412</v>
      </c>
      <c r="D46624" s="7">
        <v>7.65</v>
      </c>
      <c r="E46624" t="s">
        <v>14</v>
      </c>
    </row>
    <row r="46625" spans="1:5" x14ac:dyDescent="0.25">
      <c r="A46625" t="str">
        <f>HYPERLINK("https://www.773grp.com/globalSearch/QS74FCT823BTP/page-1", "QS74FCT823BTP")</f>
        <v>QS74FCT823BTP</v>
      </c>
      <c r="B46625" s="3" t="str">
        <f>HYPERLINK("https://www.773grp.com/manufacturer/onsemi?pageNo=1171", "ON Semiconductor")</f>
        <v>ON Semiconductor</v>
      </c>
      <c r="C46625" s="6">
        <v>749</v>
      </c>
      <c r="D46625" s="7">
        <v>7.65</v>
      </c>
      <c r="E46625" t="s">
        <v>14</v>
      </c>
    </row>
    <row r="46626" spans="1:5" x14ac:dyDescent="0.25">
      <c r="A46626" t="str">
        <f>HYPERLINK("https://www.773grp.com/globalSearch/QS29FCT2052BTSO/page-1", "QS29FCT2052BTSO")</f>
        <v>QS29FCT2052BTSO</v>
      </c>
      <c r="B46626" s="3" t="str">
        <f>HYPERLINK("https://www.773grp.com/manufacturer/onsemi?pageNo=1172", "ON Semiconductor")</f>
        <v>ON Semiconductor</v>
      </c>
      <c r="C46626" s="6">
        <v>1901</v>
      </c>
      <c r="D46626" s="7">
        <v>7.71</v>
      </c>
      <c r="E46626" t="s">
        <v>14</v>
      </c>
    </row>
    <row r="46627" spans="1:5" x14ac:dyDescent="0.25">
      <c r="A46627" t="str">
        <f>HYPERLINK("https://www.773grp.com/globalSearch/QS74FCT157CTP/page-1", "QS74FCT157CTP")</f>
        <v>QS74FCT157CTP</v>
      </c>
      <c r="B46627" s="3" t="str">
        <f>HYPERLINK("https://www.773grp.com/manufacturer/onsemi?pageNo=1173", "ON Semiconductor")</f>
        <v>ON Semiconductor</v>
      </c>
      <c r="C46627" s="6">
        <v>2734</v>
      </c>
      <c r="D46627" s="7">
        <v>7.76</v>
      </c>
      <c r="E46627" t="s">
        <v>20</v>
      </c>
    </row>
    <row r="46628" spans="1:5" x14ac:dyDescent="0.25">
      <c r="A46628" t="str">
        <f>HYPERLINK("https://www.773grp.com/globalSearch/QS74FCT158CTP/page-1", "QS74FCT158CTP")</f>
        <v>QS74FCT158CTP</v>
      </c>
      <c r="B46628" s="3" t="str">
        <f>HYPERLINK("https://www.773grp.com/manufacturer/onsemi?pageNo=1174", "ON Semiconductor")</f>
        <v>ON Semiconductor</v>
      </c>
      <c r="C46628" s="6">
        <v>191</v>
      </c>
      <c r="D46628" s="7">
        <v>7.76</v>
      </c>
      <c r="E46628" t="s">
        <v>20</v>
      </c>
    </row>
    <row r="46629" spans="1:5" x14ac:dyDescent="0.25">
      <c r="A46629" t="str">
        <f>HYPERLINK("https://www.773grp.com/globalSearch/QS5244TP/page-1", "QS5244TP")</f>
        <v>QS5244TP</v>
      </c>
      <c r="B46629" s="3" t="str">
        <f>HYPERLINK("https://www.773grp.com/manufacturer/onsemi?pageNo=1175", "ON Semiconductor")</f>
        <v>ON Semiconductor</v>
      </c>
      <c r="C46629" s="6">
        <v>194</v>
      </c>
      <c r="D46629" s="7">
        <v>7.8</v>
      </c>
    </row>
    <row r="46630" spans="1:5" x14ac:dyDescent="0.25">
      <c r="A46630" t="str">
        <f>HYPERLINK("https://www.773grp.com/globalSearch/QS74FCT843BTQ/page-1", "QS74FCT843BTQ")</f>
        <v>QS74FCT843BTQ</v>
      </c>
      <c r="B46630" s="3" t="str">
        <f>HYPERLINK("https://www.773grp.com/manufacturer/onsemi?pageNo=1176", "ON Semiconductor")</f>
        <v>ON Semiconductor</v>
      </c>
      <c r="C46630" s="6">
        <v>1066</v>
      </c>
      <c r="D46630" s="7">
        <v>7.8</v>
      </c>
      <c r="E46630" t="s">
        <v>14</v>
      </c>
    </row>
    <row r="46631" spans="1:5" x14ac:dyDescent="0.25">
      <c r="A46631" t="str">
        <f>HYPERLINK("https://www.773grp.com/globalSearch/QS74FCT544TP/page-1", "QS74FCT544TP")</f>
        <v>QS74FCT544TP</v>
      </c>
      <c r="B46631" s="3" t="str">
        <f>HYPERLINK("https://www.773grp.com/manufacturer/onsemi?pageNo=1177", "ON Semiconductor")</f>
        <v>ON Semiconductor</v>
      </c>
      <c r="C46631" s="6">
        <v>1244</v>
      </c>
      <c r="D46631" s="7">
        <v>7.81</v>
      </c>
      <c r="E46631" t="s">
        <v>14</v>
      </c>
    </row>
    <row r="46632" spans="1:5" x14ac:dyDescent="0.25">
      <c r="A46632" t="str">
        <f>HYPERLINK("https://www.773grp.com/globalSearch/QS74FCT191CTSO/page-1", "QS74FCT191CTSO")</f>
        <v>QS74FCT191CTSO</v>
      </c>
      <c r="B46632" s="3" t="str">
        <f>HYPERLINK("https://www.773grp.com/manufacturer/onsemi?pageNo=1178", "ON Semiconductor")</f>
        <v>ON Semiconductor</v>
      </c>
      <c r="C46632" s="6">
        <v>18400</v>
      </c>
      <c r="D46632" s="7">
        <v>7.88</v>
      </c>
      <c r="E46632" t="s">
        <v>26</v>
      </c>
    </row>
    <row r="46633" spans="1:5" x14ac:dyDescent="0.25">
      <c r="A46633" t="str">
        <f>HYPERLINK("https://www.773grp.com/globalSearch/QS74FCT2157CTQ/page-1", "QS74FCT2157CTQ")</f>
        <v>QS74FCT2157CTQ</v>
      </c>
      <c r="B46633" s="3" t="str">
        <f>HYPERLINK("https://www.773grp.com/manufacturer/onsemi?pageNo=1179", "ON Semiconductor")</f>
        <v>ON Semiconductor</v>
      </c>
      <c r="C46633" s="6">
        <v>13</v>
      </c>
      <c r="D46633" s="7">
        <v>7.96</v>
      </c>
      <c r="E46633" t="s">
        <v>20</v>
      </c>
    </row>
    <row r="46634" spans="1:5" x14ac:dyDescent="0.25">
      <c r="A46634" t="str">
        <f>HYPERLINK("https://www.773grp.com/globalSearch/QS54FCT541CTQ/page-1", "QS54FCT541CTQ")</f>
        <v>QS54FCT541CTQ</v>
      </c>
      <c r="B46634" s="3" t="str">
        <f>HYPERLINK("https://www.773grp.com/manufacturer/onsemi?pageNo=1180", "ON Semiconductor")</f>
        <v>ON Semiconductor</v>
      </c>
      <c r="C46634" s="6">
        <v>110</v>
      </c>
      <c r="D46634" s="7">
        <v>8.01</v>
      </c>
      <c r="E46634" t="s">
        <v>14</v>
      </c>
    </row>
    <row r="46635" spans="1:5" x14ac:dyDescent="0.25">
      <c r="A46635" t="str">
        <f>HYPERLINK("https://www.773grp.com/globalSearch/QS54FCT374CTQ/page-1", "QS54FCT374CTQ")</f>
        <v>QS54FCT374CTQ</v>
      </c>
      <c r="B46635" s="3" t="str">
        <f>HYPERLINK("https://www.773grp.com/manufacturer/onsemi?pageNo=1181", "ON Semiconductor")</f>
        <v>ON Semiconductor</v>
      </c>
      <c r="C46635" s="6">
        <v>184</v>
      </c>
      <c r="D46635" s="7">
        <v>8.1</v>
      </c>
      <c r="E46635" t="s">
        <v>14</v>
      </c>
    </row>
    <row r="46636" spans="1:5" x14ac:dyDescent="0.25">
      <c r="A46636" t="str">
        <f>HYPERLINK("https://www.773grp.com/globalSearch/QS74FCT2373CTSO/page-1", "QS74FCT2373CTSO")</f>
        <v>QS74FCT2373CTSO</v>
      </c>
      <c r="B46636" s="3" t="str">
        <f>HYPERLINK("https://www.773grp.com/manufacturer/onsemi?pageNo=1182", "ON Semiconductor")</f>
        <v>ON Semiconductor</v>
      </c>
      <c r="C46636" s="6">
        <v>1505</v>
      </c>
      <c r="D46636" s="7">
        <v>8.1</v>
      </c>
      <c r="E46636" t="s">
        <v>14</v>
      </c>
    </row>
    <row r="46637" spans="1:5" x14ac:dyDescent="0.25">
      <c r="A46637" t="str">
        <f>HYPERLINK("https://www.773grp.com/globalSearch/QS74FCT241CTSO/page-1", "QS74FCT241CTSO")</f>
        <v>QS74FCT241CTSO</v>
      </c>
      <c r="B46637" s="3" t="str">
        <f>HYPERLINK("https://www.773grp.com/manufacturer/onsemi?pageNo=1183", "ON Semiconductor")</f>
        <v>ON Semiconductor</v>
      </c>
      <c r="C46637" s="6">
        <v>344</v>
      </c>
      <c r="D46637" s="7">
        <v>8.1</v>
      </c>
      <c r="E46637" t="s">
        <v>14</v>
      </c>
    </row>
    <row r="46638" spans="1:5" x14ac:dyDescent="0.25">
      <c r="A46638" t="str">
        <f>HYPERLINK("https://www.773grp.com/globalSearch/QS74FCT373CTP/page-1", "QS74FCT373CTP")</f>
        <v>QS74FCT373CTP</v>
      </c>
      <c r="B46638" s="3" t="str">
        <f>HYPERLINK("https://www.773grp.com/manufacturer/onsemi?pageNo=1184", "ON Semiconductor")</f>
        <v>ON Semiconductor</v>
      </c>
      <c r="C46638" s="6">
        <v>99</v>
      </c>
      <c r="D46638" s="7">
        <v>8.1</v>
      </c>
      <c r="E46638" t="s">
        <v>14</v>
      </c>
    </row>
    <row r="46639" spans="1:5" x14ac:dyDescent="0.25">
      <c r="A46639" t="str">
        <f>HYPERLINK("https://www.773grp.com/globalSearch/QS74FCT244TZ/page-1", "QS74FCT244TZ")</f>
        <v>QS74FCT244TZ</v>
      </c>
      <c r="B46639" s="3" t="str">
        <f>HYPERLINK("https://www.773grp.com/manufacturer/onsemi?pageNo=1185", "ON Semiconductor")</f>
        <v>ON Semiconductor</v>
      </c>
      <c r="C46639" s="6">
        <v>895</v>
      </c>
      <c r="D46639" s="7">
        <v>8.15</v>
      </c>
      <c r="E46639" t="s">
        <v>14</v>
      </c>
    </row>
    <row r="46640" spans="1:5" x14ac:dyDescent="0.25">
      <c r="A46640" t="str">
        <f>HYPERLINK("https://www.773grp.com/globalSearch/QS74FCT251ATP/page-1", "QS74FCT251ATP")</f>
        <v>QS74FCT251ATP</v>
      </c>
      <c r="B46640" s="3" t="str">
        <f>HYPERLINK("https://www.773grp.com/manufacturer/onsemi?pageNo=1186", "ON Semiconductor")</f>
        <v>ON Semiconductor</v>
      </c>
      <c r="C46640" s="6">
        <v>4894</v>
      </c>
      <c r="D46640" s="7">
        <v>8.15</v>
      </c>
      <c r="E46640" t="s">
        <v>20</v>
      </c>
    </row>
    <row r="46641" spans="1:5" x14ac:dyDescent="0.25">
      <c r="A46641" t="str">
        <f>HYPERLINK("https://www.773grp.com/globalSearch/QS54FCT2540ATQ/page-1", "QS54FCT2540ATQ")</f>
        <v>QS54FCT2540ATQ</v>
      </c>
      <c r="B46641" s="3" t="str">
        <f>HYPERLINK("https://www.773grp.com/manufacturer/onsemi?pageNo=1187", "ON Semiconductor")</f>
        <v>ON Semiconductor</v>
      </c>
      <c r="C46641" s="6">
        <v>347</v>
      </c>
      <c r="D46641" s="7">
        <v>8.2100000000000009</v>
      </c>
      <c r="E46641" t="s">
        <v>14</v>
      </c>
    </row>
    <row r="46642" spans="1:5" x14ac:dyDescent="0.25">
      <c r="A46642" t="str">
        <f>HYPERLINK("https://www.773grp.com/globalSearch/QS74FCT646CTSO/page-1", "QS74FCT646CTSO")</f>
        <v>QS74FCT646CTSO</v>
      </c>
      <c r="B46642" s="3" t="str">
        <f>HYPERLINK("https://www.773grp.com/manufacturer/onsemi?pageNo=1188", "ON Semiconductor")</f>
        <v>ON Semiconductor</v>
      </c>
      <c r="C46642" s="6">
        <v>859</v>
      </c>
      <c r="D46642" s="7">
        <v>8.2100000000000009</v>
      </c>
      <c r="E46642" t="s">
        <v>14</v>
      </c>
    </row>
    <row r="46643" spans="1:5" x14ac:dyDescent="0.25">
      <c r="A46643" t="str">
        <f>HYPERLINK("https://www.773grp.com/globalSearch/QS74FCT652CTSO/page-1", "QS74FCT652CTSO")</f>
        <v>QS74FCT652CTSO</v>
      </c>
      <c r="B46643" s="3" t="str">
        <f>HYPERLINK("https://www.773grp.com/manufacturer/onsemi?pageNo=1189", "ON Semiconductor")</f>
        <v>ON Semiconductor</v>
      </c>
      <c r="C46643" s="6">
        <v>1603</v>
      </c>
      <c r="D46643" s="7">
        <v>8.2100000000000009</v>
      </c>
      <c r="E46643" t="s">
        <v>14</v>
      </c>
    </row>
    <row r="46644" spans="1:5" x14ac:dyDescent="0.25">
      <c r="A46644" t="str">
        <f>HYPERLINK("https://www.773grp.com/globalSearch/QS74FCT646CTP/page-1", "QS74FCT646CTP")</f>
        <v>QS74FCT646CTP</v>
      </c>
      <c r="B46644" s="3" t="str">
        <f>HYPERLINK("https://www.773grp.com/manufacturer/onsemi?pageNo=1190", "ON Semiconductor")</f>
        <v>ON Semiconductor</v>
      </c>
      <c r="C46644" s="6">
        <v>157</v>
      </c>
      <c r="D46644" s="7">
        <v>8.24</v>
      </c>
      <c r="E46644" t="s">
        <v>14</v>
      </c>
    </row>
    <row r="46645" spans="1:5" x14ac:dyDescent="0.25">
      <c r="A46645" t="str">
        <f>HYPERLINK("https://www.773grp.com/globalSearch/QS3253P/page-1", "QS3253P")</f>
        <v>QS3253P</v>
      </c>
      <c r="B46645" s="3" t="str">
        <f>HYPERLINK("https://www.773grp.com/manufacturer/onsemi?pageNo=1191", "ON Semiconductor")</f>
        <v>ON Semiconductor</v>
      </c>
      <c r="C46645" s="6">
        <v>570</v>
      </c>
      <c r="D46645" s="7">
        <v>8.2799999999999994</v>
      </c>
    </row>
    <row r="46646" spans="1:5" x14ac:dyDescent="0.25">
      <c r="A46646" t="str">
        <f>HYPERLINK("https://www.773grp.com/globalSearch/QS3253S0/page-1", "QS3253S0")</f>
        <v>QS3253S0</v>
      </c>
      <c r="B46646" s="3" t="str">
        <f>HYPERLINK("https://www.773grp.com/manufacturer/onsemi?pageNo=1192", "ON Semiconductor")</f>
        <v>ON Semiconductor</v>
      </c>
      <c r="C46646" s="6">
        <v>1449</v>
      </c>
      <c r="D46646" s="7">
        <v>8.2799999999999994</v>
      </c>
    </row>
    <row r="46647" spans="1:5" x14ac:dyDescent="0.25">
      <c r="A46647" t="str">
        <f>HYPERLINK("https://www.773grp.com/globalSearch/QS74FCT157TZ/page-1", "QS74FCT157TZ")</f>
        <v>QS74FCT157TZ</v>
      </c>
      <c r="B46647" s="3" t="str">
        <f>HYPERLINK("https://www.773grp.com/manufacturer/onsemi?pageNo=1193", "ON Semiconductor")</f>
        <v>ON Semiconductor</v>
      </c>
      <c r="C46647" s="6">
        <v>262</v>
      </c>
      <c r="D46647" s="7">
        <v>8.2799999999999994</v>
      </c>
      <c r="E46647" t="s">
        <v>20</v>
      </c>
    </row>
    <row r="46648" spans="1:5" x14ac:dyDescent="0.25">
      <c r="A46648" t="str">
        <f>HYPERLINK("https://www.773grp.com/globalSearch/QS74FCT2273CTQ/page-1", "QS74FCT2273CTQ")</f>
        <v>QS74FCT2273CTQ</v>
      </c>
      <c r="B46648" s="3" t="str">
        <f>HYPERLINK("https://www.773grp.com/manufacturer/onsemi?pageNo=1194", "ON Semiconductor")</f>
        <v>ON Semiconductor</v>
      </c>
      <c r="C46648" s="6">
        <v>124</v>
      </c>
      <c r="D46648" s="7">
        <v>8.2799999999999994</v>
      </c>
      <c r="E46648" t="s">
        <v>35</v>
      </c>
    </row>
    <row r="46649" spans="1:5" x14ac:dyDescent="0.25">
      <c r="A46649" t="str">
        <f>HYPERLINK("https://www.773grp.com/globalSearch/QS74FCT2843BTP/page-1", "QS74FCT2843BTP")</f>
        <v>QS74FCT2843BTP</v>
      </c>
      <c r="B46649" s="3" t="str">
        <f>HYPERLINK("https://www.773grp.com/manufacturer/onsemi?pageNo=1195", "ON Semiconductor")</f>
        <v>ON Semiconductor</v>
      </c>
      <c r="C46649" s="6">
        <v>142</v>
      </c>
      <c r="D46649" s="7">
        <v>8.3000000000000007</v>
      </c>
      <c r="E46649" t="s">
        <v>14</v>
      </c>
    </row>
    <row r="46650" spans="1:5" x14ac:dyDescent="0.25">
      <c r="A46650" t="str">
        <f>HYPERLINK("https://www.773grp.com/globalSearch/QS3386Q/page-1", "QS3386Q")</f>
        <v>QS3386Q</v>
      </c>
      <c r="B46650" s="3" t="str">
        <f>HYPERLINK("https://www.773grp.com/manufacturer/onsemi?pageNo=1196", "ON Semiconductor")</f>
        <v>ON Semiconductor</v>
      </c>
      <c r="C46650" s="6">
        <v>1586</v>
      </c>
      <c r="D46650" s="7">
        <v>8.39</v>
      </c>
      <c r="E46650" t="s">
        <v>14</v>
      </c>
    </row>
    <row r="46651" spans="1:5" x14ac:dyDescent="0.25">
      <c r="A46651" t="str">
        <f>HYPERLINK("https://www.773grp.com/globalSearch/QS29FCT2520ATP/page-1", "QS29FCT2520ATP")</f>
        <v>QS29FCT2520ATP</v>
      </c>
      <c r="B46651" s="3" t="str">
        <f>HYPERLINK("https://www.773grp.com/manufacturer/onsemi?pageNo=1197", "ON Semiconductor")</f>
        <v>ON Semiconductor</v>
      </c>
      <c r="C46651" s="6">
        <v>1219</v>
      </c>
      <c r="D46651" s="7">
        <v>8.44</v>
      </c>
      <c r="E46651" t="s">
        <v>128</v>
      </c>
    </row>
    <row r="46652" spans="1:5" x14ac:dyDescent="0.25">
      <c r="A46652" t="str">
        <f>HYPERLINK("https://www.773grp.com/globalSearch/QS74FCT2520ATQ/page-1", "QS74FCT2520ATQ")</f>
        <v>QS74FCT2520ATQ</v>
      </c>
      <c r="B46652" s="3" t="str">
        <f>HYPERLINK("https://www.773grp.com/manufacturer/onsemi?pageNo=1198", "ON Semiconductor")</f>
        <v>ON Semiconductor</v>
      </c>
      <c r="C46652" s="6">
        <v>2985</v>
      </c>
      <c r="D46652" s="7">
        <v>8.44</v>
      </c>
    </row>
    <row r="46653" spans="1:5" x14ac:dyDescent="0.25">
      <c r="A46653" t="str">
        <f>HYPERLINK("https://www.773grp.com/globalSearch/QS74FCT2543TS0/page-1", "QS74FCT2543TS0")</f>
        <v>QS74FCT2543TS0</v>
      </c>
      <c r="B46653" s="3" t="str">
        <f>HYPERLINK("https://www.773grp.com/manufacturer/onsemi?pageNo=1199", "ON Semiconductor")</f>
        <v>ON Semiconductor</v>
      </c>
      <c r="C46653" s="6">
        <v>5610</v>
      </c>
      <c r="D46653" s="7">
        <v>8.44</v>
      </c>
    </row>
    <row r="46654" spans="1:5" x14ac:dyDescent="0.25">
      <c r="A46654" t="str">
        <f>HYPERLINK("https://www.773grp.com/globalSearch/QS74FCT2543TSO/page-1", "QS74FCT2543TSO")</f>
        <v>QS74FCT2543TSO</v>
      </c>
      <c r="B46654" s="3" t="str">
        <f>HYPERLINK("https://www.773grp.com/manufacturer/onsemi?pageNo=1200", "ON Semiconductor")</f>
        <v>ON Semiconductor</v>
      </c>
      <c r="C46654" s="6">
        <v>221</v>
      </c>
      <c r="D46654" s="7">
        <v>8.44</v>
      </c>
      <c r="E46654" t="s">
        <v>14</v>
      </c>
    </row>
    <row r="46655" spans="1:5" x14ac:dyDescent="0.25">
      <c r="A46655" t="str">
        <f>HYPERLINK("https://www.773grp.com/globalSearch/QS74FCT2540DTQ/page-1", "QS74FCT2540DTQ")</f>
        <v>QS74FCT2540DTQ</v>
      </c>
      <c r="B46655" s="3" t="str">
        <f>HYPERLINK("https://www.773grp.com/manufacturer/onsemi?pageNo=1201", "ON Semiconductor")</f>
        <v>ON Semiconductor</v>
      </c>
      <c r="C46655" s="6">
        <v>728</v>
      </c>
      <c r="D46655" s="7">
        <v>8.5299999999999994</v>
      </c>
      <c r="E46655" t="s">
        <v>14</v>
      </c>
    </row>
    <row r="46656" spans="1:5" x14ac:dyDescent="0.25">
      <c r="A46656" t="str">
        <f>HYPERLINK("https://www.773grp.com/globalSearch/QS74FCT640CTS0/page-1", "QS74FCT640CTS0")</f>
        <v>QS74FCT640CTS0</v>
      </c>
      <c r="B46656" s="3" t="str">
        <f>HYPERLINK("https://www.773grp.com/manufacturer/onsemi?pageNo=1202", "ON Semiconductor")</f>
        <v>ON Semiconductor</v>
      </c>
      <c r="C46656" s="6">
        <v>440</v>
      </c>
      <c r="D46656" s="7">
        <v>8.5500000000000007</v>
      </c>
    </row>
    <row r="46657" spans="1:5" x14ac:dyDescent="0.25">
      <c r="A46657" t="str">
        <f>HYPERLINK("https://www.773grp.com/globalSearch/QS74FCT640CTSO/page-1", "QS74FCT640CTSO")</f>
        <v>QS74FCT640CTSO</v>
      </c>
      <c r="B46657" s="3" t="str">
        <f>HYPERLINK("https://www.773grp.com/manufacturer/onsemi?pageNo=1203", "ON Semiconductor")</f>
        <v>ON Semiconductor</v>
      </c>
      <c r="C46657" s="6">
        <v>287</v>
      </c>
      <c r="D46657" s="7">
        <v>8.5500000000000007</v>
      </c>
    </row>
    <row r="46658" spans="1:5" x14ac:dyDescent="0.25">
      <c r="A46658" t="str">
        <f>HYPERLINK("https://www.773grp.com/globalSearch/QS74FCT823ATZ/page-1", "QS74FCT823ATZ")</f>
        <v>QS74FCT823ATZ</v>
      </c>
      <c r="B46658" s="3" t="str">
        <f>HYPERLINK("https://www.773grp.com/manufacturer/onsemi?pageNo=1204", "ON Semiconductor")</f>
        <v>ON Semiconductor</v>
      </c>
      <c r="C46658" s="6">
        <v>3264</v>
      </c>
      <c r="D46658" s="7">
        <v>8.5500000000000007</v>
      </c>
      <c r="E46658" t="s">
        <v>14</v>
      </c>
    </row>
    <row r="46659" spans="1:5" x14ac:dyDescent="0.25">
      <c r="A46659" t="str">
        <f>HYPERLINK("https://www.773grp.com/globalSearch/QS74FCT825ATZ/page-1", "QS74FCT825ATZ")</f>
        <v>QS74FCT825ATZ</v>
      </c>
      <c r="B46659" s="3" t="str">
        <f>HYPERLINK("https://www.773grp.com/manufacturer/onsemi?pageNo=1205", "ON Semiconductor")</f>
        <v>ON Semiconductor</v>
      </c>
      <c r="C46659" s="6">
        <v>109</v>
      </c>
      <c r="D46659" s="7">
        <v>8.5500000000000007</v>
      </c>
      <c r="E46659" t="s">
        <v>14</v>
      </c>
    </row>
    <row r="46660" spans="1:5" x14ac:dyDescent="0.25">
      <c r="A46660" t="str">
        <f>HYPERLINK("https://www.773grp.com/globalSearch/QS74FCT843ATZ/page-1", "QS74FCT843ATZ")</f>
        <v>QS74FCT843ATZ</v>
      </c>
      <c r="B46660" s="3" t="str">
        <f>HYPERLINK("https://www.773grp.com/manufacturer/onsemi?pageNo=1206", "ON Semiconductor")</f>
        <v>ON Semiconductor</v>
      </c>
      <c r="C46660" s="6">
        <v>103</v>
      </c>
      <c r="D46660" s="7">
        <v>8.5500000000000007</v>
      </c>
      <c r="E46660" t="s">
        <v>14</v>
      </c>
    </row>
    <row r="46661" spans="1:5" x14ac:dyDescent="0.25">
      <c r="A46661" t="str">
        <f>HYPERLINK("https://www.773grp.com/globalSearch/QS29FCT52CTSO/page-1", "QS29FCT52CTSO")</f>
        <v>QS29FCT52CTSO</v>
      </c>
      <c r="B46661" s="3" t="str">
        <f>HYPERLINK("https://www.773grp.com/manufacturer/onsemi?pageNo=1207", "ON Semiconductor")</f>
        <v>ON Semiconductor</v>
      </c>
      <c r="C46661" s="6">
        <v>1550</v>
      </c>
      <c r="D46661" s="7">
        <v>8.64</v>
      </c>
      <c r="E46661" t="s">
        <v>14</v>
      </c>
    </row>
    <row r="46662" spans="1:5" x14ac:dyDescent="0.25">
      <c r="A46662" t="str">
        <f>HYPERLINK("https://www.773grp.com/globalSearch/QS74FCT16652TPV/page-1", "QS74FCT16652TPV")</f>
        <v>QS74FCT16652TPV</v>
      </c>
      <c r="B46662" s="3" t="str">
        <f>HYPERLINK("https://www.773grp.com/manufacturer/onsemi?pageNo=1208", "ON Semiconductor")</f>
        <v>ON Semiconductor</v>
      </c>
      <c r="C46662" s="6">
        <v>1440</v>
      </c>
      <c r="D46662" s="7">
        <v>8.64</v>
      </c>
      <c r="E46662" t="s">
        <v>14</v>
      </c>
    </row>
    <row r="46663" spans="1:5" x14ac:dyDescent="0.25">
      <c r="A46663" t="str">
        <f>HYPERLINK("https://www.773grp.com/globalSearch/QS74FCT245CTP/page-1", "QS74FCT245CTP")</f>
        <v>QS74FCT245CTP</v>
      </c>
      <c r="B46663" s="3" t="str">
        <f>HYPERLINK("https://www.773grp.com/manufacturer/onsemi?pageNo=1209", "ON Semiconductor")</f>
        <v>ON Semiconductor</v>
      </c>
      <c r="C46663" s="6">
        <v>656</v>
      </c>
      <c r="D46663" s="7">
        <v>8.64</v>
      </c>
      <c r="E46663" t="s">
        <v>14</v>
      </c>
    </row>
    <row r="46664" spans="1:5" x14ac:dyDescent="0.25">
      <c r="A46664" t="str">
        <f>HYPERLINK("https://www.773grp.com/globalSearch/QS74FCT299TZ/page-1", "QS74FCT299TZ")</f>
        <v>QS74FCT299TZ</v>
      </c>
      <c r="B46664" s="3" t="str">
        <f>HYPERLINK("https://www.773grp.com/manufacturer/onsemi?pageNo=1210", "ON Semiconductor")</f>
        <v>ON Semiconductor</v>
      </c>
      <c r="C46664" s="6">
        <v>659</v>
      </c>
      <c r="D46664" s="7">
        <v>8.64</v>
      </c>
      <c r="E46664" t="s">
        <v>32</v>
      </c>
    </row>
    <row r="46665" spans="1:5" x14ac:dyDescent="0.25">
      <c r="A46665" t="str">
        <f>HYPERLINK("https://www.773grp.com/globalSearch/QS74FCT544ATP/page-1", "QS74FCT544ATP")</f>
        <v>QS74FCT544ATP</v>
      </c>
      <c r="B46665" s="3" t="str">
        <f>HYPERLINK("https://www.773grp.com/manufacturer/onsemi?pageNo=1211", "ON Semiconductor")</f>
        <v>ON Semiconductor</v>
      </c>
      <c r="C46665" s="6">
        <v>632</v>
      </c>
      <c r="D46665" s="7">
        <v>8.64</v>
      </c>
      <c r="E46665" t="s">
        <v>14</v>
      </c>
    </row>
    <row r="46666" spans="1:5" x14ac:dyDescent="0.25">
      <c r="A46666" t="str">
        <f>HYPERLINK("https://www.773grp.com/globalSearch/QS74FCT544ATQ/page-1", "QS74FCT544ATQ")</f>
        <v>QS74FCT544ATQ</v>
      </c>
      <c r="B46666" s="3" t="str">
        <f>HYPERLINK("https://www.773grp.com/manufacturer/onsemi?pageNo=1212", "ON Semiconductor")</f>
        <v>ON Semiconductor</v>
      </c>
      <c r="C46666" s="6">
        <v>1089</v>
      </c>
      <c r="D46666" s="7">
        <v>8.64</v>
      </c>
      <c r="E46666" t="s">
        <v>14</v>
      </c>
    </row>
    <row r="46667" spans="1:5" x14ac:dyDescent="0.25">
      <c r="A46667" t="str">
        <f>HYPERLINK("https://www.773grp.com/globalSearch/QS74FCT574TZ/page-1", "QS74FCT574TZ")</f>
        <v>QS74FCT574TZ</v>
      </c>
      <c r="B46667" s="3" t="str">
        <f>HYPERLINK("https://www.773grp.com/manufacturer/onsemi?pageNo=1213", "ON Semiconductor")</f>
        <v>ON Semiconductor</v>
      </c>
      <c r="C46667" s="6">
        <v>15018</v>
      </c>
      <c r="D46667" s="7">
        <v>8.69</v>
      </c>
      <c r="E46667" t="s">
        <v>14</v>
      </c>
    </row>
    <row r="46668" spans="1:5" x14ac:dyDescent="0.25">
      <c r="A46668" t="str">
        <f>HYPERLINK("https://www.773grp.com/globalSearch/QS74FCT139CTQ/page-1", "QS74FCT139CTQ")</f>
        <v>QS74FCT139CTQ</v>
      </c>
      <c r="B46668" s="3" t="str">
        <f>HYPERLINK("https://www.773grp.com/manufacturer/onsemi?pageNo=1214", "ON Semiconductor")</f>
        <v>ON Semiconductor</v>
      </c>
      <c r="C46668" s="6">
        <v>1165</v>
      </c>
      <c r="D46668" s="7">
        <v>8.81</v>
      </c>
      <c r="E46668" t="s">
        <v>36</v>
      </c>
    </row>
    <row r="46669" spans="1:5" x14ac:dyDescent="0.25">
      <c r="A46669" t="str">
        <f>HYPERLINK("https://www.773grp.com/globalSearch/QS74FCT238CT/page-1", "QS74FCT238CT")</f>
        <v>QS74FCT238CT</v>
      </c>
      <c r="B46669" s="3" t="str">
        <f>HYPERLINK("https://www.773grp.com/manufacturer/onsemi?pageNo=1215", "ON Semiconductor")</f>
        <v>ON Semiconductor</v>
      </c>
      <c r="C46669" s="6">
        <v>86</v>
      </c>
      <c r="D46669" s="7">
        <v>8.83</v>
      </c>
    </row>
    <row r="46670" spans="1:5" x14ac:dyDescent="0.25">
      <c r="A46670" t="str">
        <f>HYPERLINK("https://www.773grp.com/globalSearch/QS74FCT238CTS1/page-1", "QS74FCT238CTS1")</f>
        <v>QS74FCT238CTS1</v>
      </c>
      <c r="B46670" s="3" t="str">
        <f>HYPERLINK("https://www.773grp.com/manufacturer/onsemi?pageNo=1216", "ON Semiconductor")</f>
        <v>ON Semiconductor</v>
      </c>
      <c r="C46670" s="6">
        <v>335</v>
      </c>
      <c r="D46670" s="7">
        <v>8.83</v>
      </c>
      <c r="E46670" t="s">
        <v>36</v>
      </c>
    </row>
    <row r="46671" spans="1:5" x14ac:dyDescent="0.25">
      <c r="A46671" t="str">
        <f>HYPERLINK("https://www.773grp.com/globalSearch/QS74FCT2X244CTQZ/page-1", "QS74FCT2X244CTQZ")</f>
        <v>QS74FCT2X244CTQZ</v>
      </c>
      <c r="B46671" s="3" t="str">
        <f>HYPERLINK("https://www.773grp.com/manufacturer/onsemi?pageNo=1217", "ON Semiconductor")</f>
        <v>ON Semiconductor</v>
      </c>
      <c r="C46671" s="6">
        <v>5</v>
      </c>
      <c r="D46671" s="7">
        <v>8.83</v>
      </c>
    </row>
    <row r="46672" spans="1:5" x14ac:dyDescent="0.25">
      <c r="A46672" t="str">
        <f>HYPERLINK("https://www.773grp.com/globalSearch/QS74FCT2X245CTQ2/page-1", "QS74FCT2X245CTQ2")</f>
        <v>QS74FCT2X245CTQ2</v>
      </c>
      <c r="B46672" s="3" t="str">
        <f>HYPERLINK("https://www.773grp.com/manufacturer/onsemi?pageNo=1218", "ON Semiconductor")</f>
        <v>ON Semiconductor</v>
      </c>
      <c r="C46672" s="6">
        <v>100</v>
      </c>
      <c r="D46672" s="7">
        <v>8.83</v>
      </c>
      <c r="E46672" t="s">
        <v>14</v>
      </c>
    </row>
    <row r="46673" spans="1:5" x14ac:dyDescent="0.25">
      <c r="A46673" t="str">
        <f>HYPERLINK("https://www.773grp.com/globalSearch/QS74FCT2X373CTQ2/page-1", "QS74FCT2X373CTQ2")</f>
        <v>QS74FCT2X373CTQ2</v>
      </c>
      <c r="B46673" s="3" t="str">
        <f>HYPERLINK("https://www.773grp.com/manufacturer/onsemi?pageNo=1219", "ON Semiconductor")</f>
        <v>ON Semiconductor</v>
      </c>
      <c r="C46673" s="6">
        <v>660</v>
      </c>
      <c r="D46673" s="7">
        <v>8.83</v>
      </c>
      <c r="E46673" t="s">
        <v>14</v>
      </c>
    </row>
    <row r="46674" spans="1:5" x14ac:dyDescent="0.25">
      <c r="A46674" t="str">
        <f>HYPERLINK("https://www.773grp.com/globalSearch/QS74FCT2X377CTQ2/page-1", "QS74FCT2X377CTQ2")</f>
        <v>QS74FCT2X377CTQ2</v>
      </c>
      <c r="B46674" s="3" t="str">
        <f>HYPERLINK("https://www.773grp.com/manufacturer/onsemi?pageNo=1220", "ON Semiconductor")</f>
        <v>ON Semiconductor</v>
      </c>
      <c r="C46674" s="6">
        <v>698</v>
      </c>
      <c r="D46674" s="7">
        <v>8.83</v>
      </c>
      <c r="E46674" t="s">
        <v>35</v>
      </c>
    </row>
    <row r="46675" spans="1:5" x14ac:dyDescent="0.25">
      <c r="A46675" t="str">
        <f>HYPERLINK("https://www.773grp.com/globalSearch/QS74FCT2X44CTQ2/page-1", "QS74FCT2X44CTQ2")</f>
        <v>QS74FCT2X44CTQ2</v>
      </c>
      <c r="B46675" s="3" t="str">
        <f>HYPERLINK("https://www.773grp.com/manufacturer/onsemi?pageNo=1221", "ON Semiconductor")</f>
        <v>ON Semiconductor</v>
      </c>
      <c r="C46675" s="6">
        <v>3053</v>
      </c>
      <c r="D46675" s="7">
        <v>8.83</v>
      </c>
    </row>
    <row r="46676" spans="1:5" x14ac:dyDescent="0.25">
      <c r="A46676" t="str">
        <f>HYPERLINK("https://www.773grp.com/globalSearch/QS74FCT4X373CTQ3/page-1", "QS74FCT4X373CTQ3")</f>
        <v>QS74FCT4X373CTQ3</v>
      </c>
      <c r="B46676" s="3" t="str">
        <f>HYPERLINK("https://www.773grp.com/manufacturer/onsemi?pageNo=1222", "ON Semiconductor")</f>
        <v>ON Semiconductor</v>
      </c>
      <c r="C46676" s="6">
        <v>188</v>
      </c>
      <c r="D46676" s="7">
        <v>8.83</v>
      </c>
      <c r="E46676" t="s">
        <v>14</v>
      </c>
    </row>
    <row r="46677" spans="1:5" x14ac:dyDescent="0.25">
      <c r="A46677" t="str">
        <f>HYPERLINK("https://www.773grp.com/globalSearch/QS74FCT4X373XTQ3/page-1", "QS74FCT4X373XTQ3")</f>
        <v>QS74FCT4X373XTQ3</v>
      </c>
      <c r="B46677" s="3" t="str">
        <f>HYPERLINK("https://www.773grp.com/manufacturer/onsemi?pageNo=1223", "ON Semiconductor")</f>
        <v>ON Semiconductor</v>
      </c>
      <c r="C46677" s="6">
        <v>167</v>
      </c>
      <c r="D46677" s="7">
        <v>8.83</v>
      </c>
    </row>
    <row r="46678" spans="1:5" x14ac:dyDescent="0.25">
      <c r="A46678" t="str">
        <f>HYPERLINK("https://www.773grp.com/globalSearch/QS3386SO/page-1", "QS3386SO")</f>
        <v>QS3386SO</v>
      </c>
      <c r="B46678" s="3" t="str">
        <f>HYPERLINK("https://www.773grp.com/manufacturer/onsemi?pageNo=1224", "ON Semiconductor")</f>
        <v>ON Semiconductor</v>
      </c>
      <c r="C46678" s="6">
        <v>1868</v>
      </c>
      <c r="D46678" s="7">
        <v>8.86</v>
      </c>
      <c r="E46678" t="s">
        <v>14</v>
      </c>
    </row>
    <row r="46679" spans="1:5" x14ac:dyDescent="0.25">
      <c r="A46679" t="str">
        <f>HYPERLINK("https://www.773grp.com/globalSearch/QS74FCT2244TZ/page-1", "QS74FCT2244TZ")</f>
        <v>QS74FCT2244TZ</v>
      </c>
      <c r="B46679" s="3" t="str">
        <f>HYPERLINK("https://www.773grp.com/manufacturer/onsemi?pageNo=1225", "ON Semiconductor")</f>
        <v>ON Semiconductor</v>
      </c>
      <c r="C46679" s="6">
        <v>7696</v>
      </c>
      <c r="D46679" s="7">
        <v>8.98</v>
      </c>
      <c r="E46679" t="s">
        <v>14</v>
      </c>
    </row>
    <row r="46680" spans="1:5" x14ac:dyDescent="0.25">
      <c r="A46680" t="str">
        <f>HYPERLINK("https://www.773grp.com/globalSearch/QS74FCT2823BTP/page-1", "QS74FCT2823BTP")</f>
        <v>QS74FCT2823BTP</v>
      </c>
      <c r="B46680" s="3" t="str">
        <f>HYPERLINK("https://www.773grp.com/manufacturer/onsemi?pageNo=1226", "ON Semiconductor")</f>
        <v>ON Semiconductor</v>
      </c>
      <c r="C46680" s="6">
        <v>3969</v>
      </c>
      <c r="D46680" s="7">
        <v>9.0299999999999994</v>
      </c>
      <c r="E46680" t="s">
        <v>14</v>
      </c>
    </row>
    <row r="46681" spans="1:5" x14ac:dyDescent="0.25">
      <c r="A46681" t="str">
        <f>HYPERLINK("https://www.773grp.com/globalSearch/QS5244SO/page-1", "QS5244SO")</f>
        <v>QS5244SO</v>
      </c>
      <c r="B46681" s="3" t="str">
        <f>HYPERLINK("https://www.773grp.com/manufacturer/onsemi?pageNo=1227", "ON Semiconductor")</f>
        <v>ON Semiconductor</v>
      </c>
      <c r="C46681" s="6">
        <v>332</v>
      </c>
      <c r="D46681" s="7">
        <v>9.06</v>
      </c>
    </row>
    <row r="46682" spans="1:5" x14ac:dyDescent="0.25">
      <c r="A46682" t="str">
        <f>HYPERLINK("https://www.773grp.com/globalSearch/QS3L383P/page-1", "QS3L383P")</f>
        <v>QS3L383P</v>
      </c>
      <c r="B46682" s="3" t="str">
        <f>HYPERLINK("https://www.773grp.com/manufacturer/onsemi?pageNo=1228", "ON Semiconductor")</f>
        <v>ON Semiconductor</v>
      </c>
      <c r="C46682" s="6">
        <v>3071</v>
      </c>
      <c r="D46682" s="7">
        <v>9.11</v>
      </c>
      <c r="E46682" t="s">
        <v>14</v>
      </c>
    </row>
    <row r="46683" spans="1:5" x14ac:dyDescent="0.25">
      <c r="A46683" t="str">
        <f>HYPERLINK("https://www.773grp.com/globalSearch/QS74FCT2646ATP/page-1", "QS74FCT2646ATP")</f>
        <v>QS74FCT2646ATP</v>
      </c>
      <c r="B46683" s="3" t="str">
        <f>HYPERLINK("https://www.773grp.com/manufacturer/onsemi?pageNo=1229", "ON Semiconductor")</f>
        <v>ON Semiconductor</v>
      </c>
      <c r="C46683" s="6">
        <v>424</v>
      </c>
      <c r="D46683" s="7">
        <v>9.11</v>
      </c>
      <c r="E46683" t="s">
        <v>14</v>
      </c>
    </row>
    <row r="46684" spans="1:5" x14ac:dyDescent="0.25">
      <c r="A46684" t="str">
        <f>HYPERLINK("https://www.773grp.com/globalSearch/QS54FCT823CTQ/page-1", "QS54FCT823CTQ")</f>
        <v>QS54FCT823CTQ</v>
      </c>
      <c r="B46684" s="3" t="str">
        <f>HYPERLINK("https://www.773grp.com/manufacturer/onsemi?pageNo=1230", "ON Semiconductor")</f>
        <v>ON Semiconductor</v>
      </c>
      <c r="C46684" s="6">
        <v>268</v>
      </c>
      <c r="D46684" s="7">
        <v>9.15</v>
      </c>
      <c r="E46684" t="s">
        <v>14</v>
      </c>
    </row>
    <row r="46685" spans="1:5" x14ac:dyDescent="0.25">
      <c r="A46685" t="str">
        <f>HYPERLINK("https://www.773grp.com/globalSearch/QS74FCT821CTQ/page-1", "QS74FCT821CTQ")</f>
        <v>QS74FCT821CTQ</v>
      </c>
      <c r="B46685" s="3" t="str">
        <f>HYPERLINK("https://www.773grp.com/manufacturer/onsemi?pageNo=1231", "ON Semiconductor")</f>
        <v>ON Semiconductor</v>
      </c>
      <c r="C46685" s="6">
        <v>2352</v>
      </c>
      <c r="D46685" s="7">
        <v>9.15</v>
      </c>
      <c r="E46685" t="s">
        <v>14</v>
      </c>
    </row>
    <row r="46686" spans="1:5" x14ac:dyDescent="0.25">
      <c r="A46686" t="str">
        <f>HYPERLINK("https://www.773grp.com/globalSearch/QS74FCT821CTSO/page-1", "QS74FCT821CTSO")</f>
        <v>QS74FCT821CTSO</v>
      </c>
      <c r="B46686" s="3" t="str">
        <f>HYPERLINK("https://www.773grp.com/manufacturer/onsemi?pageNo=1232", "ON Semiconductor")</f>
        <v>ON Semiconductor</v>
      </c>
      <c r="C46686" s="6">
        <v>34</v>
      </c>
      <c r="D46686" s="7">
        <v>9.15</v>
      </c>
      <c r="E46686" t="s">
        <v>14</v>
      </c>
    </row>
    <row r="46687" spans="1:5" x14ac:dyDescent="0.25">
      <c r="A46687" t="str">
        <f>HYPERLINK("https://www.773grp.com/globalSearch/QS74FCT841BTQ/page-1", "QS74FCT841BTQ")</f>
        <v>QS74FCT841BTQ</v>
      </c>
      <c r="B46687" s="3" t="str">
        <f>HYPERLINK("https://www.773grp.com/manufacturer/onsemi?pageNo=1233", "ON Semiconductor")</f>
        <v>ON Semiconductor</v>
      </c>
      <c r="C46687" s="6">
        <v>2636</v>
      </c>
      <c r="D46687" s="7">
        <v>9.1999999999999993</v>
      </c>
      <c r="E46687" t="s">
        <v>14</v>
      </c>
    </row>
    <row r="46688" spans="1:5" x14ac:dyDescent="0.25">
      <c r="A46688" t="str">
        <f>HYPERLINK("https://www.773grp.com/globalSearch/QS74FCT273TZ/page-1", "QS74FCT273TZ")</f>
        <v>QS74FCT273TZ</v>
      </c>
      <c r="B46688" s="3" t="str">
        <f>HYPERLINK("https://www.773grp.com/manufacturer/onsemi?pageNo=1234", "ON Semiconductor")</f>
        <v>ON Semiconductor</v>
      </c>
      <c r="C46688" s="6">
        <v>3718</v>
      </c>
      <c r="D46688" s="7">
        <v>9.25</v>
      </c>
      <c r="E46688" t="s">
        <v>35</v>
      </c>
    </row>
    <row r="46689" spans="1:5" x14ac:dyDescent="0.25">
      <c r="A46689" t="str">
        <f>HYPERLINK("https://www.773grp.com/globalSearch/QS74FCT374TZ/page-1", "QS74FCT374TZ")</f>
        <v>QS74FCT374TZ</v>
      </c>
      <c r="B46689" s="3" t="str">
        <f>HYPERLINK("https://www.773grp.com/manufacturer/onsemi?pageNo=1235", "ON Semiconductor")</f>
        <v>ON Semiconductor</v>
      </c>
      <c r="C46689" s="6">
        <v>3809</v>
      </c>
      <c r="D46689" s="7">
        <v>9.25</v>
      </c>
      <c r="E46689" t="s">
        <v>14</v>
      </c>
    </row>
    <row r="46690" spans="1:5" x14ac:dyDescent="0.25">
      <c r="A46690" t="str">
        <f>HYPERLINK("https://www.773grp.com/globalSearch/QS74FCT240ATZ/page-1", "QS74FCT240ATZ")</f>
        <v>QS74FCT240ATZ</v>
      </c>
      <c r="B46690" s="3" t="str">
        <f>HYPERLINK("https://www.773grp.com/manufacturer/onsemi?pageNo=1236", "ON Semiconductor")</f>
        <v>ON Semiconductor</v>
      </c>
      <c r="C46690" s="6">
        <v>190</v>
      </c>
      <c r="D46690" s="7">
        <v>9.36</v>
      </c>
      <c r="E46690" t="s">
        <v>14</v>
      </c>
    </row>
    <row r="46691" spans="1:5" x14ac:dyDescent="0.25">
      <c r="A46691" t="str">
        <f>HYPERLINK("https://www.773grp.com/globalSearch/QS29FCT53ATQ/page-1", "QS29FCT53ATQ")</f>
        <v>QS29FCT53ATQ</v>
      </c>
      <c r="B46691" s="3" t="str">
        <f>HYPERLINK("https://www.773grp.com/manufacturer/onsemi?pageNo=1237", "ON Semiconductor")</f>
        <v>ON Semiconductor</v>
      </c>
      <c r="C46691" s="6">
        <v>602</v>
      </c>
      <c r="D46691" s="7">
        <v>9.4</v>
      </c>
      <c r="E46691" t="s">
        <v>14</v>
      </c>
    </row>
    <row r="46692" spans="1:5" x14ac:dyDescent="0.25">
      <c r="A46692" t="str">
        <f>HYPERLINK("https://www.773grp.com/globalSearch/QS74FCT2841ATZ/page-1", "QS74FCT2841ATZ")</f>
        <v>QS74FCT2841ATZ</v>
      </c>
      <c r="B46692" s="3" t="str">
        <f>HYPERLINK("https://www.773grp.com/manufacturer/onsemi?pageNo=1238", "ON Semiconductor")</f>
        <v>ON Semiconductor</v>
      </c>
      <c r="C46692" s="6">
        <v>324</v>
      </c>
      <c r="D46692" s="7">
        <v>9.4</v>
      </c>
      <c r="E46692" t="s">
        <v>14</v>
      </c>
    </row>
    <row r="46693" spans="1:5" x14ac:dyDescent="0.25">
      <c r="A46693" t="str">
        <f>HYPERLINK("https://www.773grp.com/globalSearch/QS74FCT827ATZ/page-1", "QS74FCT827ATZ")</f>
        <v>QS74FCT827ATZ</v>
      </c>
      <c r="B46693" s="3" t="str">
        <f>HYPERLINK("https://www.773grp.com/manufacturer/onsemi?pageNo=1239", "ON Semiconductor")</f>
        <v>ON Semiconductor</v>
      </c>
      <c r="C46693" s="6">
        <v>1097</v>
      </c>
      <c r="D46693" s="7">
        <v>9.4</v>
      </c>
      <c r="E46693" t="s">
        <v>14</v>
      </c>
    </row>
    <row r="46694" spans="1:5" x14ac:dyDescent="0.25">
      <c r="A46694" t="str">
        <f>HYPERLINK("https://www.773grp.com/globalSearch/QS74FCT841ATZ/page-1", "QS74FCT841ATZ")</f>
        <v>QS74FCT841ATZ</v>
      </c>
      <c r="B46694" s="3" t="str">
        <f>HYPERLINK("https://www.773grp.com/manufacturer/onsemi?pageNo=1240", "ON Semiconductor")</f>
        <v>ON Semiconductor</v>
      </c>
      <c r="C46694" s="6">
        <v>3441</v>
      </c>
      <c r="D46694" s="7">
        <v>9.4</v>
      </c>
      <c r="E46694" t="s">
        <v>14</v>
      </c>
    </row>
    <row r="46695" spans="1:5" x14ac:dyDescent="0.25">
      <c r="A46695" t="str">
        <f>HYPERLINK("https://www.773grp.com/globalSearch/QS74FCT2573CTS0/page-1", "QS74FCT2573CTS0")</f>
        <v>QS74FCT2573CTS0</v>
      </c>
      <c r="B46695" s="3" t="str">
        <f>HYPERLINK("https://www.773grp.com/manufacturer/onsemi?pageNo=1241", "ON Semiconductor")</f>
        <v>ON Semiconductor</v>
      </c>
      <c r="C46695" s="6">
        <v>116</v>
      </c>
      <c r="D46695" s="7">
        <v>9.4499999999999993</v>
      </c>
    </row>
    <row r="46696" spans="1:5" x14ac:dyDescent="0.25">
      <c r="A46696" t="str">
        <f>HYPERLINK("https://www.773grp.com/globalSearch/QS74FCT157ATZ/page-1", "QS74FCT157ATZ")</f>
        <v>QS74FCT157ATZ</v>
      </c>
      <c r="B46696" s="3" t="str">
        <f>HYPERLINK("https://www.773grp.com/manufacturer/onsemi?pageNo=1242", "ON Semiconductor")</f>
        <v>ON Semiconductor</v>
      </c>
      <c r="C46696" s="6">
        <v>202</v>
      </c>
      <c r="D46696" s="7">
        <v>9.5</v>
      </c>
      <c r="E46696" t="s">
        <v>20</v>
      </c>
    </row>
    <row r="46697" spans="1:5" x14ac:dyDescent="0.25">
      <c r="A46697" t="str">
        <f>HYPERLINK("https://www.773grp.com/globalSearch/QS74FCT257ATZ/page-1", "QS74FCT257ATZ")</f>
        <v>QS74FCT257ATZ</v>
      </c>
      <c r="B46697" s="3" t="str">
        <f>HYPERLINK("https://www.773grp.com/manufacturer/onsemi?pageNo=1243", "ON Semiconductor")</f>
        <v>ON Semiconductor</v>
      </c>
      <c r="C46697" s="6">
        <v>1031</v>
      </c>
      <c r="D46697" s="7">
        <v>9.5</v>
      </c>
      <c r="E46697" t="s">
        <v>20</v>
      </c>
    </row>
    <row r="46698" spans="1:5" x14ac:dyDescent="0.25">
      <c r="A46698" t="str">
        <f>HYPERLINK("https://www.773grp.com/globalSearch/QS74FCT2573TZ/page-1", "QS74FCT2573TZ")</f>
        <v>QS74FCT2573TZ</v>
      </c>
      <c r="B46698" s="3" t="str">
        <f>HYPERLINK("https://www.773grp.com/manufacturer/onsemi?pageNo=1244", "ON Semiconductor")</f>
        <v>ON Semiconductor</v>
      </c>
      <c r="C46698" s="6">
        <v>180</v>
      </c>
      <c r="D46698" s="7">
        <v>9.56</v>
      </c>
      <c r="E46698" t="s">
        <v>14</v>
      </c>
    </row>
    <row r="46699" spans="1:5" x14ac:dyDescent="0.25">
      <c r="A46699" t="str">
        <f>HYPERLINK("https://www.773grp.com/globalSearch/QS29FCT520ATP/page-1", "QS29FCT520ATP")</f>
        <v>QS29FCT520ATP</v>
      </c>
      <c r="B46699" s="3" t="str">
        <f>HYPERLINK("https://www.773grp.com/manufacturer/onsemi?pageNo=1245", "ON Semiconductor")</f>
        <v>ON Semiconductor</v>
      </c>
      <c r="C46699" s="6">
        <v>28</v>
      </c>
      <c r="D46699" s="7">
        <v>9.6300000000000008</v>
      </c>
      <c r="E46699" t="s">
        <v>128</v>
      </c>
    </row>
    <row r="46700" spans="1:5" x14ac:dyDescent="0.25">
      <c r="A46700" t="str">
        <f>HYPERLINK("https://www.773grp.com/globalSearch/QS29FCT520ATQ/page-1", "QS29FCT520ATQ")</f>
        <v>QS29FCT520ATQ</v>
      </c>
      <c r="B46700" s="3" t="str">
        <f>HYPERLINK("https://www.773grp.com/manufacturer/onsemi?pageNo=1246", "ON Semiconductor")</f>
        <v>ON Semiconductor</v>
      </c>
      <c r="C46700" s="6">
        <v>6608</v>
      </c>
      <c r="D46700" s="7">
        <v>9.6300000000000008</v>
      </c>
      <c r="E46700" t="s">
        <v>128</v>
      </c>
    </row>
    <row r="46701" spans="1:5" x14ac:dyDescent="0.25">
      <c r="A46701" t="str">
        <f>HYPERLINK("https://www.773grp.com/globalSearch/QS29FCT520ATSO/page-1", "QS29FCT520ATSO")</f>
        <v>QS29FCT520ATSO</v>
      </c>
      <c r="B46701" s="3" t="str">
        <f>HYPERLINK("https://www.773grp.com/manufacturer/onsemi?pageNo=1247", "ON Semiconductor")</f>
        <v>ON Semiconductor</v>
      </c>
      <c r="C46701" s="6">
        <v>1240</v>
      </c>
      <c r="D46701" s="7">
        <v>9.6300000000000008</v>
      </c>
      <c r="E46701" t="s">
        <v>128</v>
      </c>
    </row>
    <row r="46702" spans="1:5" x14ac:dyDescent="0.25">
      <c r="A46702" t="str">
        <f>HYPERLINK("https://www.773grp.com/globalSearch/QS74FCT520ATQ/page-1", "QS74FCT520ATQ")</f>
        <v>QS74FCT520ATQ</v>
      </c>
      <c r="B46702" s="3" t="str">
        <f>HYPERLINK("https://www.773grp.com/manufacturer/onsemi?pageNo=1248", "ON Semiconductor")</f>
        <v>ON Semiconductor</v>
      </c>
      <c r="C46702" s="6">
        <v>1581</v>
      </c>
      <c r="D46702" s="7">
        <v>9.6300000000000008</v>
      </c>
    </row>
    <row r="46703" spans="1:5" x14ac:dyDescent="0.25">
      <c r="A46703" t="str">
        <f>HYPERLINK("https://www.773grp.com/globalSearch/QS74FCT651TP/page-1", "QS74FCT651TP")</f>
        <v>QS74FCT651TP</v>
      </c>
      <c r="B46703" s="3" t="str">
        <f>HYPERLINK("https://www.773grp.com/manufacturer/onsemi?pageNo=1249", "ON Semiconductor")</f>
        <v>ON Semiconductor</v>
      </c>
      <c r="C46703" s="6">
        <v>278</v>
      </c>
      <c r="D46703" s="7">
        <v>9.6300000000000008</v>
      </c>
      <c r="E46703" t="s">
        <v>14</v>
      </c>
    </row>
    <row r="46704" spans="1:5" x14ac:dyDescent="0.25">
      <c r="A46704" t="str">
        <f>HYPERLINK("https://www.773grp.com/globalSearch/QS74FCT651TS0/page-1", "QS74FCT651TS0")</f>
        <v>QS74FCT651TS0</v>
      </c>
      <c r="B46704" s="3" t="str">
        <f>HYPERLINK("https://www.773grp.com/manufacturer/onsemi?pageNo=1250", "ON Semiconductor")</f>
        <v>ON Semiconductor</v>
      </c>
      <c r="C46704" s="6">
        <v>256</v>
      </c>
      <c r="D46704" s="7">
        <v>9.6300000000000008</v>
      </c>
    </row>
    <row r="46705" spans="1:5" x14ac:dyDescent="0.25">
      <c r="A46705" t="str">
        <f>HYPERLINK("https://www.773grp.com/globalSearch/QS74FCT2652TP/page-1", "QS74FCT2652TP")</f>
        <v>QS74FCT2652TP</v>
      </c>
      <c r="B46705" s="3" t="str">
        <f>HYPERLINK("https://www.773grp.com/manufacturer/onsemi?pageNo=1251", "ON Semiconductor")</f>
        <v>ON Semiconductor</v>
      </c>
      <c r="C46705" s="6">
        <v>68</v>
      </c>
      <c r="D46705" s="7">
        <v>9.75</v>
      </c>
      <c r="E46705" t="s">
        <v>14</v>
      </c>
    </row>
    <row r="46706" spans="1:5" x14ac:dyDescent="0.25">
      <c r="A46706" t="str">
        <f>HYPERLINK("https://www.773grp.com/globalSearch/QS74FCT377CTP/page-1", "QS74FCT377CTP")</f>
        <v>QS74FCT377CTP</v>
      </c>
      <c r="B46706" s="3" t="str">
        <f>HYPERLINK("https://www.773grp.com/manufacturer/onsemi?pageNo=1252", "ON Semiconductor")</f>
        <v>ON Semiconductor</v>
      </c>
      <c r="C46706" s="6">
        <v>55</v>
      </c>
      <c r="D46706" s="7">
        <v>9.84</v>
      </c>
      <c r="E46706" t="s">
        <v>35</v>
      </c>
    </row>
    <row r="46707" spans="1:5" x14ac:dyDescent="0.25">
      <c r="A46707" t="str">
        <f>HYPERLINK("https://www.773grp.com/globalSearch/QS74FCT2843ATZ/page-1", "QS74FCT2843ATZ")</f>
        <v>QS74FCT2843ATZ</v>
      </c>
      <c r="B46707" s="3" t="str">
        <f>HYPERLINK("https://www.773grp.com/manufacturer/onsemi?pageNo=1253", "ON Semiconductor")</f>
        <v>ON Semiconductor</v>
      </c>
      <c r="C46707" s="6">
        <v>375</v>
      </c>
      <c r="D46707" s="7">
        <v>9.93</v>
      </c>
      <c r="E46707" t="s">
        <v>14</v>
      </c>
    </row>
    <row r="46708" spans="1:5" x14ac:dyDescent="0.25">
      <c r="A46708" t="str">
        <f>HYPERLINK("https://www.773grp.com/globalSearch/QS74FCT571CTZ/page-1", "QS74FCT571CTZ")</f>
        <v>QS74FCT571CTZ</v>
      </c>
      <c r="B46708" s="3" t="str">
        <f>HYPERLINK("https://www.773grp.com/manufacturer/onsemi?pageNo=1254", "ON Semiconductor")</f>
        <v>ON Semiconductor</v>
      </c>
      <c r="C46708" s="6">
        <v>104</v>
      </c>
      <c r="D46708" s="7">
        <v>9.93</v>
      </c>
    </row>
    <row r="46709" spans="1:5" x14ac:dyDescent="0.25">
      <c r="A46709" t="str">
        <f>HYPERLINK("https://www.773grp.com/globalSearch/QS74FCT2X827ATQ1/page-1", "QS74FCT2X827ATQ1")</f>
        <v>QS74FCT2X827ATQ1</v>
      </c>
      <c r="B46709" s="3" t="str">
        <f>HYPERLINK("https://www.773grp.com/manufacturer/onsemi?pageNo=1255", "ON Semiconductor")</f>
        <v>ON Semiconductor</v>
      </c>
      <c r="C46709" s="6">
        <v>327</v>
      </c>
      <c r="D46709" s="7">
        <v>9.99</v>
      </c>
      <c r="E46709" t="s">
        <v>14</v>
      </c>
    </row>
    <row r="46710" spans="1:5" x14ac:dyDescent="0.25">
      <c r="A46710" t="str">
        <f>HYPERLINK("https://www.773grp.com/globalSearch/QS74FCT573ATZ/page-1", "QS74FCT573ATZ")</f>
        <v>QS74FCT573ATZ</v>
      </c>
      <c r="B46710" s="3" t="str">
        <f>HYPERLINK("https://www.773grp.com/manufacturer/onsemi?pageNo=1256", "ON Semiconductor")</f>
        <v>ON Semiconductor</v>
      </c>
      <c r="C46710" s="6">
        <v>1816</v>
      </c>
      <c r="D46710" s="7">
        <v>10.01</v>
      </c>
      <c r="E46710" t="s">
        <v>14</v>
      </c>
    </row>
    <row r="46711" spans="1:5" x14ac:dyDescent="0.25">
      <c r="A46711" t="str">
        <f>HYPERLINK("https://www.773grp.com/globalSearch/QS74FCT2X543ATQ1/page-1", "QS74FCT2X543ATQ1")</f>
        <v>QS74FCT2X543ATQ1</v>
      </c>
      <c r="B46711" s="3" t="str">
        <f>HYPERLINK("https://www.773grp.com/manufacturer/onsemi?pageNo=1257", "ON Semiconductor")</f>
        <v>ON Semiconductor</v>
      </c>
      <c r="C46711" s="6">
        <v>745</v>
      </c>
      <c r="D46711" s="7">
        <v>10.039999999999999</v>
      </c>
    </row>
    <row r="46712" spans="1:5" x14ac:dyDescent="0.25">
      <c r="A46712" t="str">
        <f>HYPERLINK("https://www.773grp.com/globalSearch/QS74FCT2652CTZ/page-1", "QS74FCT2652CTZ")</f>
        <v>QS74FCT2652CTZ</v>
      </c>
      <c r="B46712" s="3" t="str">
        <f>HYPERLINK("https://www.773grp.com/manufacturer/onsemi?pageNo=1258", "ON Semiconductor")</f>
        <v>ON Semiconductor</v>
      </c>
      <c r="C46712" s="6">
        <v>1042</v>
      </c>
      <c r="D46712" s="7">
        <v>10.08</v>
      </c>
      <c r="E46712" t="s">
        <v>14</v>
      </c>
    </row>
    <row r="46713" spans="1:5" x14ac:dyDescent="0.25">
      <c r="A46713" t="str">
        <f>HYPERLINK("https://www.773grp.com/globalSearch/QS74FCT2652DTS0/page-1", "QS74FCT2652DTS0")</f>
        <v>QS74FCT2652DTS0</v>
      </c>
      <c r="B46713" s="3" t="str">
        <f>HYPERLINK("https://www.773grp.com/manufacturer/onsemi?pageNo=1259", "ON Semiconductor")</f>
        <v>ON Semiconductor</v>
      </c>
      <c r="C46713" s="6">
        <v>498</v>
      </c>
      <c r="D46713" s="7">
        <v>10.08</v>
      </c>
    </row>
    <row r="46714" spans="1:5" x14ac:dyDescent="0.25">
      <c r="A46714" t="str">
        <f>HYPERLINK("https://www.773grp.com/globalSearch/QS74FCT2652TSO/page-1", "QS74FCT2652TSO")</f>
        <v>QS74FCT2652TSO</v>
      </c>
      <c r="B46714" s="3" t="str">
        <f>HYPERLINK("https://www.773grp.com/manufacturer/onsemi?pageNo=1260", "ON Semiconductor")</f>
        <v>ON Semiconductor</v>
      </c>
      <c r="C46714" s="6">
        <v>117</v>
      </c>
      <c r="D46714" s="7">
        <v>10.09</v>
      </c>
      <c r="E46714" t="s">
        <v>14</v>
      </c>
    </row>
    <row r="46715" spans="1:5" x14ac:dyDescent="0.25">
      <c r="A46715" t="str">
        <f>HYPERLINK("https://www.773grp.com/globalSearch/QS74FCT841BTZ/page-1", "QS74FCT841BTZ")</f>
        <v>QS74FCT841BTZ</v>
      </c>
      <c r="B46715" s="3" t="str">
        <f>HYPERLINK("https://www.773grp.com/manufacturer/onsemi?pageNo=1261", "ON Semiconductor")</f>
        <v>ON Semiconductor</v>
      </c>
      <c r="C46715" s="6">
        <v>204</v>
      </c>
      <c r="D46715" s="7">
        <v>10.16</v>
      </c>
      <c r="E46715" t="s">
        <v>14</v>
      </c>
    </row>
    <row r="46716" spans="1:5" x14ac:dyDescent="0.25">
      <c r="A46716" t="str">
        <f>HYPERLINK("https://www.773grp.com/globalSearch/QS29FCT2052CTSO/page-1", "QS29FCT2052CTSO")</f>
        <v>QS29FCT2052CTSO</v>
      </c>
      <c r="B46716" s="3" t="str">
        <f>HYPERLINK("https://www.773grp.com/manufacturer/onsemi?pageNo=1262", "ON Semiconductor")</f>
        <v>ON Semiconductor</v>
      </c>
      <c r="C46716" s="6">
        <v>1300</v>
      </c>
      <c r="D46716" s="7">
        <v>10.26</v>
      </c>
      <c r="E46716" t="s">
        <v>14</v>
      </c>
    </row>
    <row r="46717" spans="1:5" x14ac:dyDescent="0.25">
      <c r="A46717" t="str">
        <f>HYPERLINK("https://www.773grp.com/globalSearch/QS74FCT280ATZ/page-1", "QS74FCT280ATZ")</f>
        <v>QS74FCT280ATZ</v>
      </c>
      <c r="B46717" s="3" t="str">
        <f>HYPERLINK("https://www.773grp.com/manufacturer/onsemi?pageNo=1263", "ON Semiconductor")</f>
        <v>ON Semiconductor</v>
      </c>
      <c r="C46717" s="6">
        <v>54</v>
      </c>
      <c r="D46717" s="7">
        <v>10.26</v>
      </c>
      <c r="E46717" t="s">
        <v>43</v>
      </c>
    </row>
    <row r="46718" spans="1:5" x14ac:dyDescent="0.25">
      <c r="A46718" t="str">
        <f>HYPERLINK("https://www.773grp.com/globalSearch/QS74FCT646CTQ/page-1", "QS74FCT646CTQ")</f>
        <v>QS74FCT646CTQ</v>
      </c>
      <c r="B46718" s="3" t="str">
        <f>HYPERLINK("https://www.773grp.com/manufacturer/onsemi?pageNo=1264", "ON Semiconductor")</f>
        <v>ON Semiconductor</v>
      </c>
      <c r="C46718" s="6">
        <v>88498</v>
      </c>
      <c r="D46718" s="7">
        <v>10.3</v>
      </c>
      <c r="E46718" t="s">
        <v>14</v>
      </c>
    </row>
    <row r="46719" spans="1:5" x14ac:dyDescent="0.25">
      <c r="A46719" t="str">
        <f>HYPERLINK("https://www.773grp.com/globalSearch/QS74FCT2240ATZ/page-1", "QS74FCT2240ATZ")</f>
        <v>QS74FCT2240ATZ</v>
      </c>
      <c r="B46719" s="3" t="str">
        <f>HYPERLINK("https://www.773grp.com/manufacturer/onsemi?pageNo=1265", "ON Semiconductor")</f>
        <v>ON Semiconductor</v>
      </c>
      <c r="C46719" s="6">
        <v>6</v>
      </c>
      <c r="D46719" s="7">
        <v>10.33</v>
      </c>
      <c r="E46719" t="s">
        <v>14</v>
      </c>
    </row>
    <row r="46720" spans="1:5" x14ac:dyDescent="0.25">
      <c r="A46720" t="str">
        <f>HYPERLINK("https://www.773grp.com/globalSearch/59920ZQ-59920-7SOI/page-1", "59920ZQ-59920-7SOI")</f>
        <v>59920ZQ-59920-7SOI</v>
      </c>
      <c r="B46720" s="3" t="str">
        <f>HYPERLINK("https://www.773grp.com/manufacturer/onsemi?pageNo=1266", "ON Semiconductor")</f>
        <v>ON Semiconductor</v>
      </c>
      <c r="C46720" s="6">
        <v>1111</v>
      </c>
      <c r="D46720" s="7">
        <v>10.35</v>
      </c>
    </row>
    <row r="46721" spans="1:5" x14ac:dyDescent="0.25">
      <c r="A46721" t="str">
        <f>HYPERLINK("https://www.773grp.com/globalSearch/QS29FCT521ATQ/page-1", "QS29FCT521ATQ")</f>
        <v>QS29FCT521ATQ</v>
      </c>
      <c r="B46721" s="3" t="str">
        <f>HYPERLINK("https://www.773grp.com/manufacturer/onsemi?pageNo=1267", "ON Semiconductor")</f>
        <v>ON Semiconductor</v>
      </c>
      <c r="C46721" s="6">
        <v>3710</v>
      </c>
      <c r="D46721" s="7">
        <v>10.38</v>
      </c>
      <c r="E46721" t="s">
        <v>128</v>
      </c>
    </row>
    <row r="46722" spans="1:5" x14ac:dyDescent="0.25">
      <c r="A46722" t="str">
        <f>HYPERLINK("https://www.773grp.com/globalSearch/QS29FCT2053ATP/page-1", "QS29FCT2053ATP")</f>
        <v>QS29FCT2053ATP</v>
      </c>
      <c r="B46722" s="3" t="str">
        <f>HYPERLINK("https://www.773grp.com/manufacturer/onsemi?pageNo=1268", "ON Semiconductor")</f>
        <v>ON Semiconductor</v>
      </c>
      <c r="C46722" s="6">
        <v>300</v>
      </c>
      <c r="D46722" s="7">
        <v>10.41</v>
      </c>
      <c r="E46722" t="s">
        <v>14</v>
      </c>
    </row>
    <row r="46723" spans="1:5" x14ac:dyDescent="0.25">
      <c r="A46723" t="str">
        <f>HYPERLINK("https://www.773grp.com/globalSearch/QS74FCT244CTP/page-1", "QS74FCT244CTP")</f>
        <v>QS74FCT244CTP</v>
      </c>
      <c r="B46723" s="3" t="str">
        <f>HYPERLINK("https://www.773grp.com/manufacturer/onsemi?pageNo=1269", "ON Semiconductor")</f>
        <v>ON Semiconductor</v>
      </c>
      <c r="C46723" s="6">
        <v>409</v>
      </c>
      <c r="D46723" s="7">
        <v>10.41</v>
      </c>
      <c r="E46723" t="s">
        <v>14</v>
      </c>
    </row>
    <row r="46724" spans="1:5" x14ac:dyDescent="0.25">
      <c r="A46724" t="str">
        <f>HYPERLINK("https://www.773grp.com/globalSearch/QS8882-15V/page-1", "QS8882-15V")</f>
        <v>QS8882-15V</v>
      </c>
      <c r="B46724" s="3" t="str">
        <f>HYPERLINK("https://www.773grp.com/manufacturer/onsemi?pageNo=1270", "ON Semiconductor")</f>
        <v>ON Semiconductor</v>
      </c>
      <c r="C46724" s="6">
        <v>1779</v>
      </c>
      <c r="D46724" s="7">
        <v>10.41</v>
      </c>
      <c r="E46724" t="s">
        <v>75</v>
      </c>
    </row>
    <row r="46725" spans="1:5" x14ac:dyDescent="0.25">
      <c r="A46725" t="str">
        <f>HYPERLINK("https://www.773grp.com/globalSearch/QS54FCT161CTQ/page-1", "QS54FCT161CTQ")</f>
        <v>QS54FCT161CTQ</v>
      </c>
      <c r="B46725" s="3" t="str">
        <f>HYPERLINK("https://www.773grp.com/manufacturer/onsemi?pageNo=1271", "ON Semiconductor")</f>
        <v>ON Semiconductor</v>
      </c>
      <c r="C46725" s="6">
        <v>107</v>
      </c>
      <c r="D46725" s="7">
        <v>10.43</v>
      </c>
    </row>
    <row r="46726" spans="1:5" x14ac:dyDescent="0.25">
      <c r="A46726" t="str">
        <f>HYPERLINK("https://www.773grp.com/globalSearch/QS74FCT2377CTP/page-1", "QS74FCT2377CTP")</f>
        <v>QS74FCT2377CTP</v>
      </c>
      <c r="B46726" s="3" t="str">
        <f>HYPERLINK("https://www.773grp.com/manufacturer/onsemi?pageNo=1272", "ON Semiconductor")</f>
        <v>ON Semiconductor</v>
      </c>
      <c r="C46726" s="6">
        <v>363</v>
      </c>
      <c r="D46726" s="7">
        <v>10.46</v>
      </c>
      <c r="E46726" t="s">
        <v>35</v>
      </c>
    </row>
    <row r="46727" spans="1:5" x14ac:dyDescent="0.25">
      <c r="A46727" t="str">
        <f>HYPERLINK("https://www.773grp.com/globalSearch/QS74FCT163CTSO/page-1", "QS74FCT163CTSO")</f>
        <v>QS74FCT163CTSO</v>
      </c>
      <c r="B46727" s="3" t="str">
        <f>HYPERLINK("https://www.773grp.com/manufacturer/onsemi?pageNo=1273", "ON Semiconductor")</f>
        <v>ON Semiconductor</v>
      </c>
      <c r="C46727" s="6">
        <v>4881</v>
      </c>
      <c r="D46727" s="7">
        <v>10.5</v>
      </c>
      <c r="E46727" t="s">
        <v>26</v>
      </c>
    </row>
    <row r="46728" spans="1:5" x14ac:dyDescent="0.25">
      <c r="A46728" t="str">
        <f>HYPERLINK("https://www.773grp.com/globalSearch/QS74FCT163DTQ/page-1", "QS74FCT163DTQ")</f>
        <v>QS74FCT163DTQ</v>
      </c>
      <c r="B46728" s="3" t="str">
        <f>HYPERLINK("https://www.773grp.com/manufacturer/onsemi?pageNo=1274", "ON Semiconductor")</f>
        <v>ON Semiconductor</v>
      </c>
      <c r="C46728" s="6">
        <v>163</v>
      </c>
      <c r="D46728" s="7">
        <v>10.5</v>
      </c>
      <c r="E46728" t="s">
        <v>26</v>
      </c>
    </row>
    <row r="46729" spans="1:5" x14ac:dyDescent="0.25">
      <c r="A46729" t="str">
        <f>HYPERLINK("https://www.773grp.com/globalSearch/QS29FCT2520BTS0/page-1", "QS29FCT2520BTS0")</f>
        <v>QS29FCT2520BTS0</v>
      </c>
      <c r="B46729" s="3" t="str">
        <f>HYPERLINK("https://www.773grp.com/manufacturer/onsemi?pageNo=1275", "ON Semiconductor")</f>
        <v>ON Semiconductor</v>
      </c>
      <c r="C46729" s="6">
        <v>2028</v>
      </c>
      <c r="D46729" s="7">
        <v>10.55</v>
      </c>
    </row>
    <row r="46730" spans="1:5" x14ac:dyDescent="0.25">
      <c r="A46730" t="str">
        <f>HYPERLINK("https://www.773grp.com/globalSearch/QS54FCT2373CTP/page-1", "QS54FCT2373CTP")</f>
        <v>QS54FCT2373CTP</v>
      </c>
      <c r="B46730" s="3" t="str">
        <f>HYPERLINK("https://www.773grp.com/manufacturer/onsemi?pageNo=1276", "ON Semiconductor")</f>
        <v>ON Semiconductor</v>
      </c>
      <c r="C46730" s="6">
        <v>306</v>
      </c>
      <c r="D46730" s="7">
        <v>10.64</v>
      </c>
      <c r="E46730" t="s">
        <v>14</v>
      </c>
    </row>
    <row r="46731" spans="1:5" x14ac:dyDescent="0.25">
      <c r="A46731" t="str">
        <f>HYPERLINK("https://www.773grp.com/globalSearch/QS74FCT273ATZ/page-1", "QS74FCT273ATZ")</f>
        <v>QS74FCT273ATZ</v>
      </c>
      <c r="B46731" s="3" t="str">
        <f>HYPERLINK("https://www.773grp.com/manufacturer/onsemi?pageNo=1277", "ON Semiconductor")</f>
        <v>ON Semiconductor</v>
      </c>
      <c r="C46731" s="6">
        <v>4457</v>
      </c>
      <c r="D46731" s="7">
        <v>10.64</v>
      </c>
      <c r="E46731" t="s">
        <v>35</v>
      </c>
    </row>
    <row r="46732" spans="1:5" x14ac:dyDescent="0.25">
      <c r="A46732" t="str">
        <f>HYPERLINK("https://www.773grp.com/globalSearch/QS74FCT373ATZ/page-1", "QS74FCT373ATZ")</f>
        <v>QS74FCT373ATZ</v>
      </c>
      <c r="B46732" s="3" t="str">
        <f>HYPERLINK("https://www.773grp.com/manufacturer/onsemi?pageNo=1278", "ON Semiconductor")</f>
        <v>ON Semiconductor</v>
      </c>
      <c r="C46732" s="6">
        <v>76</v>
      </c>
      <c r="D46732" s="7">
        <v>10.64</v>
      </c>
      <c r="E46732" t="s">
        <v>14</v>
      </c>
    </row>
    <row r="46733" spans="1:5" x14ac:dyDescent="0.25">
      <c r="A46733" t="str">
        <f>HYPERLINK("https://www.773grp.com/globalSearch/QS74FCT377ATZ/page-1", "QS74FCT377ATZ")</f>
        <v>QS74FCT377ATZ</v>
      </c>
      <c r="B46733" s="3" t="str">
        <f>HYPERLINK("https://www.773grp.com/manufacturer/onsemi?pageNo=1279", "ON Semiconductor")</f>
        <v>ON Semiconductor</v>
      </c>
      <c r="C46733" s="6">
        <v>1189</v>
      </c>
      <c r="D46733" s="7">
        <v>10.64</v>
      </c>
      <c r="E46733" t="s">
        <v>35</v>
      </c>
    </row>
    <row r="46734" spans="1:5" x14ac:dyDescent="0.25">
      <c r="A46734" t="str">
        <f>HYPERLINK("https://www.773grp.com/globalSearch/QS74FCT258CTSO/page-1", "QS74FCT258CTSO")</f>
        <v>QS74FCT258CTSO</v>
      </c>
      <c r="B46734" s="3" t="str">
        <f>HYPERLINK("https://www.773grp.com/manufacturer/onsemi?pageNo=1280", "ON Semiconductor")</f>
        <v>ON Semiconductor</v>
      </c>
      <c r="C46734" s="6">
        <v>4899</v>
      </c>
      <c r="D46734" s="7">
        <v>10.75</v>
      </c>
      <c r="E46734" t="s">
        <v>20</v>
      </c>
    </row>
    <row r="46735" spans="1:5" x14ac:dyDescent="0.25">
      <c r="A46735" t="str">
        <f>HYPERLINK("https://www.773grp.com/globalSearch/QS74FCT2544ATQ/page-1", "QS74FCT2544ATQ")</f>
        <v>QS74FCT2544ATQ</v>
      </c>
      <c r="B46735" s="3" t="str">
        <f>HYPERLINK("https://www.773grp.com/manufacturer/onsemi?pageNo=1281", "ON Semiconductor")</f>
        <v>ON Semiconductor</v>
      </c>
      <c r="C46735" s="6">
        <v>2350</v>
      </c>
      <c r="D46735" s="7">
        <v>10.76</v>
      </c>
      <c r="E46735" t="s">
        <v>14</v>
      </c>
    </row>
    <row r="46736" spans="1:5" x14ac:dyDescent="0.25">
      <c r="A46736" t="str">
        <f>HYPERLINK("https://www.773grp.com/globalSearch/QS74FCT2544ATSO/page-1", "QS74FCT2544ATSO")</f>
        <v>QS74FCT2544ATSO</v>
      </c>
      <c r="B46736" s="3" t="str">
        <f>HYPERLINK("https://www.773grp.com/manufacturer/onsemi?pageNo=1282", "ON Semiconductor")</f>
        <v>ON Semiconductor</v>
      </c>
      <c r="C46736" s="6">
        <v>2513</v>
      </c>
      <c r="D46736" s="7">
        <v>10.76</v>
      </c>
      <c r="E46736" t="s">
        <v>14</v>
      </c>
    </row>
    <row r="46737" spans="1:5" x14ac:dyDescent="0.25">
      <c r="A46737" t="str">
        <f>HYPERLINK("https://www.773grp.com/globalSearch/QS74FCT543ATP/page-1", "QS74FCT543ATP")</f>
        <v>QS74FCT543ATP</v>
      </c>
      <c r="B46737" s="3" t="str">
        <f>HYPERLINK("https://www.773grp.com/manufacturer/onsemi?pageNo=1283", "ON Semiconductor")</f>
        <v>ON Semiconductor</v>
      </c>
      <c r="C46737" s="6">
        <v>1445</v>
      </c>
      <c r="D46737" s="7">
        <v>10.76</v>
      </c>
      <c r="E46737" t="s">
        <v>14</v>
      </c>
    </row>
    <row r="46738" spans="1:5" x14ac:dyDescent="0.25">
      <c r="A46738" t="str">
        <f>HYPERLINK("https://www.773grp.com/globalSearch/QS74FCT646ATSO/page-1", "QS74FCT646ATSO")</f>
        <v>QS74FCT646ATSO</v>
      </c>
      <c r="B46738" s="3" t="str">
        <f>HYPERLINK("https://www.773grp.com/manufacturer/onsemi?pageNo=1284", "ON Semiconductor")</f>
        <v>ON Semiconductor</v>
      </c>
      <c r="C46738" s="6">
        <v>9471</v>
      </c>
      <c r="D46738" s="7">
        <v>10.76</v>
      </c>
      <c r="E46738" t="s">
        <v>14</v>
      </c>
    </row>
    <row r="46739" spans="1:5" x14ac:dyDescent="0.25">
      <c r="A46739" t="str">
        <f>HYPERLINK("https://www.773grp.com/globalSearch/QS74FCT648ATP/page-1", "QS74FCT648ATP")</f>
        <v>QS74FCT648ATP</v>
      </c>
      <c r="B46739" s="3" t="str">
        <f>HYPERLINK("https://www.773grp.com/manufacturer/onsemi?pageNo=1285", "ON Semiconductor")</f>
        <v>ON Semiconductor</v>
      </c>
      <c r="C46739" s="6">
        <v>913</v>
      </c>
      <c r="D46739" s="7">
        <v>10.76</v>
      </c>
      <c r="E46739" t="s">
        <v>14</v>
      </c>
    </row>
    <row r="46740" spans="1:5" x14ac:dyDescent="0.25">
      <c r="A46740" t="str">
        <f>HYPERLINK("https://www.773grp.com/globalSearch/QS54FCT2257CTQ/page-1", "QS54FCT2257CTQ")</f>
        <v>QS54FCT2257CTQ</v>
      </c>
      <c r="B46740" s="3" t="str">
        <f>HYPERLINK("https://www.773grp.com/manufacturer/onsemi?pageNo=1286", "ON Semiconductor")</f>
        <v>ON Semiconductor</v>
      </c>
      <c r="C46740" s="6">
        <v>504</v>
      </c>
      <c r="D46740" s="7">
        <v>10.89</v>
      </c>
      <c r="E46740" t="s">
        <v>20</v>
      </c>
    </row>
    <row r="46741" spans="1:5" x14ac:dyDescent="0.25">
      <c r="A46741" t="str">
        <f>HYPERLINK("https://www.773grp.com/globalSearch/QS74FCT2257CTSOX/page-1", "QS74FCT2257CTSOX")</f>
        <v>QS74FCT2257CTSOX</v>
      </c>
      <c r="B46741" s="3" t="str">
        <f>HYPERLINK("https://www.773grp.com/manufacturer/onsemi?pageNo=1287", "ON Semiconductor")</f>
        <v>ON Semiconductor</v>
      </c>
      <c r="C46741" s="6">
        <v>1000</v>
      </c>
      <c r="D46741" s="7">
        <v>10.89</v>
      </c>
    </row>
    <row r="46742" spans="1:5" x14ac:dyDescent="0.25">
      <c r="A46742" t="str">
        <f>HYPERLINK("https://www.773grp.com/globalSearch/QS74FCT2573CTP/page-1", "QS74FCT2573CTP")</f>
        <v>QS74FCT2573CTP</v>
      </c>
      <c r="B46742" s="3" t="str">
        <f>HYPERLINK("https://www.773grp.com/manufacturer/onsemi?pageNo=1288", "ON Semiconductor")</f>
        <v>ON Semiconductor</v>
      </c>
      <c r="C46742" s="6">
        <v>257</v>
      </c>
      <c r="D46742" s="7">
        <v>10.89</v>
      </c>
      <c r="E46742" t="s">
        <v>14</v>
      </c>
    </row>
    <row r="46743" spans="1:5" x14ac:dyDescent="0.25">
      <c r="A46743" t="str">
        <f>HYPERLINK("https://www.773grp.com/globalSearch/QS74FCT374DTQ/page-1", "QS74FCT374DTQ")</f>
        <v>QS74FCT374DTQ</v>
      </c>
      <c r="B46743" s="3" t="str">
        <f>HYPERLINK("https://www.773grp.com/manufacturer/onsemi?pageNo=1289", "ON Semiconductor")</f>
        <v>ON Semiconductor</v>
      </c>
      <c r="C46743" s="6">
        <v>275</v>
      </c>
      <c r="D46743" s="7">
        <v>10.91</v>
      </c>
      <c r="E46743" t="s">
        <v>14</v>
      </c>
    </row>
    <row r="46744" spans="1:5" x14ac:dyDescent="0.25">
      <c r="A46744" t="str">
        <f>HYPERLINK("https://www.773grp.com/globalSearch/QS74FCT374DTSO/page-1", "QS74FCT374DTSO")</f>
        <v>QS74FCT374DTSO</v>
      </c>
      <c r="B46744" s="3" t="str">
        <f>HYPERLINK("https://www.773grp.com/manufacturer/onsemi?pageNo=1290", "ON Semiconductor")</f>
        <v>ON Semiconductor</v>
      </c>
      <c r="C46744" s="6">
        <v>142</v>
      </c>
      <c r="D46744" s="7">
        <v>10.91</v>
      </c>
      <c r="E46744" t="s">
        <v>14</v>
      </c>
    </row>
    <row r="46745" spans="1:5" x14ac:dyDescent="0.25">
      <c r="A46745" t="str">
        <f>HYPERLINK("https://www.773grp.com/globalSearch/QS74FCT258ATZ/page-1", "QS74FCT258ATZ")</f>
        <v>QS74FCT258ATZ</v>
      </c>
      <c r="B46745" s="3" t="str">
        <f>HYPERLINK("https://www.773grp.com/manufacturer/onsemi?pageNo=1291", "ON Semiconductor")</f>
        <v>ON Semiconductor</v>
      </c>
      <c r="C46745" s="6">
        <v>165</v>
      </c>
      <c r="D46745" s="7">
        <v>10.98</v>
      </c>
      <c r="E46745" t="s">
        <v>20</v>
      </c>
    </row>
    <row r="46746" spans="1:5" x14ac:dyDescent="0.25">
      <c r="A46746" t="str">
        <f>HYPERLINK("https://www.773grp.com/globalSearch/QS74FCT2573ATP/page-1", "QS74FCT2573ATP")</f>
        <v>QS74FCT2573ATP</v>
      </c>
      <c r="B46746" s="3" t="str">
        <f>HYPERLINK("https://www.773grp.com/manufacturer/onsemi?pageNo=1292", "ON Semiconductor")</f>
        <v>ON Semiconductor</v>
      </c>
      <c r="C46746" s="6">
        <v>44784</v>
      </c>
      <c r="D46746" s="7">
        <v>11</v>
      </c>
      <c r="E46746" t="s">
        <v>14</v>
      </c>
    </row>
    <row r="46747" spans="1:5" x14ac:dyDescent="0.25">
      <c r="A46747" t="str">
        <f>HYPERLINK("https://www.773grp.com/globalSearch/QS74FCT2574ATZ/page-1", "QS74FCT2574ATZ")</f>
        <v>QS74FCT2574ATZ</v>
      </c>
      <c r="B46747" s="3" t="str">
        <f>HYPERLINK("https://www.773grp.com/manufacturer/onsemi?pageNo=1293", "ON Semiconductor")</f>
        <v>ON Semiconductor</v>
      </c>
      <c r="C46747" s="6">
        <v>2537</v>
      </c>
      <c r="D46747" s="7">
        <v>11</v>
      </c>
      <c r="E46747" t="s">
        <v>14</v>
      </c>
    </row>
    <row r="46748" spans="1:5" x14ac:dyDescent="0.25">
      <c r="A46748" t="str">
        <f>HYPERLINK("https://www.773grp.com/globalSearch/QS74FCT1280ATSO/page-1", "QS74FCT1280ATSO")</f>
        <v>QS74FCT1280ATSO</v>
      </c>
      <c r="B46748" s="3" t="str">
        <f>HYPERLINK("https://www.773grp.com/manufacturer/onsemi?pageNo=1294", "ON Semiconductor")</f>
        <v>ON Semiconductor</v>
      </c>
      <c r="C46748" s="6">
        <v>166</v>
      </c>
      <c r="D46748" s="7">
        <v>11.09</v>
      </c>
      <c r="E46748" t="s">
        <v>43</v>
      </c>
    </row>
    <row r="46749" spans="1:5" x14ac:dyDescent="0.25">
      <c r="A46749" t="str">
        <f>HYPERLINK("https://www.773grp.com/globalSearch/QS74FCT240CTP/page-1", "QS74FCT240CTP")</f>
        <v>QS74FCT240CTP</v>
      </c>
      <c r="B46749" s="3" t="str">
        <f>HYPERLINK("https://www.773grp.com/manufacturer/onsemi?pageNo=1295", "ON Semiconductor")</f>
        <v>ON Semiconductor</v>
      </c>
      <c r="C46749" s="6">
        <v>134</v>
      </c>
      <c r="D46749" s="7">
        <v>11.09</v>
      </c>
      <c r="E46749" t="s">
        <v>14</v>
      </c>
    </row>
    <row r="46750" spans="1:5" x14ac:dyDescent="0.25">
      <c r="A46750" t="str">
        <f>HYPERLINK("https://www.773grp.com/globalSearch/QS3L384P/page-1", "QS3L384P")</f>
        <v>QS3L384P</v>
      </c>
      <c r="B46750" s="3" t="str">
        <f>HYPERLINK("https://www.773grp.com/manufacturer/onsemi?pageNo=1296", "ON Semiconductor")</f>
        <v>ON Semiconductor</v>
      </c>
      <c r="C46750" s="6">
        <v>7715</v>
      </c>
      <c r="D46750" s="7">
        <v>11.18</v>
      </c>
      <c r="E46750" t="s">
        <v>14</v>
      </c>
    </row>
    <row r="46751" spans="1:5" x14ac:dyDescent="0.25">
      <c r="A46751" t="str">
        <f>HYPERLINK("https://www.773grp.com/globalSearch/QS54FCT827ATQ/page-1", "QS54FCT827ATQ")</f>
        <v>QS54FCT827ATQ</v>
      </c>
      <c r="B46751" s="3" t="str">
        <f>HYPERLINK("https://www.773grp.com/manufacturer/onsemi?pageNo=1297", "ON Semiconductor")</f>
        <v>ON Semiconductor</v>
      </c>
      <c r="C46751" s="6">
        <v>258</v>
      </c>
      <c r="D46751" s="7">
        <v>11.25</v>
      </c>
      <c r="E46751" t="s">
        <v>14</v>
      </c>
    </row>
    <row r="46752" spans="1:5" x14ac:dyDescent="0.25">
      <c r="A46752" t="str">
        <f>HYPERLINK("https://www.773grp.com/globalSearch/QS54FCT827BTQ/page-1", "QS54FCT827BTQ")</f>
        <v>QS54FCT827BTQ</v>
      </c>
      <c r="B46752" s="3" t="str">
        <f>HYPERLINK("https://www.773grp.com/manufacturer/onsemi?pageNo=1298", "ON Semiconductor")</f>
        <v>ON Semiconductor</v>
      </c>
      <c r="C46752" s="6">
        <v>191</v>
      </c>
      <c r="D46752" s="7">
        <v>11.25</v>
      </c>
      <c r="E46752" t="s">
        <v>14</v>
      </c>
    </row>
    <row r="46753" spans="1:5" x14ac:dyDescent="0.25">
      <c r="A46753" t="str">
        <f>HYPERLINK("https://www.773grp.com/globalSearch/QS74FCT534CTQ/page-1", "QS74FCT534CTQ")</f>
        <v>QS74FCT534CTQ</v>
      </c>
      <c r="B46753" s="3" t="str">
        <f>HYPERLINK("https://www.773grp.com/manufacturer/onsemi?pageNo=1299", "ON Semiconductor")</f>
        <v>ON Semiconductor</v>
      </c>
      <c r="C46753" s="6">
        <v>91</v>
      </c>
      <c r="D46753" s="7">
        <v>11.28</v>
      </c>
      <c r="E46753" t="s">
        <v>14</v>
      </c>
    </row>
    <row r="46754" spans="1:5" x14ac:dyDescent="0.25">
      <c r="A46754" t="str">
        <f>HYPERLINK("https://www.773grp.com/globalSearch/QS74FCT540ATZ/page-1", "QS74FCT540ATZ")</f>
        <v>QS74FCT540ATZ</v>
      </c>
      <c r="B46754" s="3" t="str">
        <f>HYPERLINK("https://www.773grp.com/manufacturer/onsemi?pageNo=1300", "ON Semiconductor")</f>
        <v>ON Semiconductor</v>
      </c>
      <c r="C46754" s="6">
        <v>206</v>
      </c>
      <c r="D46754" s="7">
        <v>11.28</v>
      </c>
      <c r="E46754" t="s">
        <v>14</v>
      </c>
    </row>
    <row r="46755" spans="1:5" x14ac:dyDescent="0.25">
      <c r="A46755" t="str">
        <f>HYPERLINK("https://www.773grp.com/globalSearch/QS74FCT541TZ/page-1", "QS74FCT541TZ")</f>
        <v>QS74FCT541TZ</v>
      </c>
      <c r="B46755" s="3" t="str">
        <f>HYPERLINK("https://www.773grp.com/manufacturer/onsemi?pageNo=1301", "ON Semiconductor")</f>
        <v>ON Semiconductor</v>
      </c>
      <c r="C46755" s="6">
        <v>248</v>
      </c>
      <c r="D46755" s="7">
        <v>11.28</v>
      </c>
      <c r="E46755" t="s">
        <v>14</v>
      </c>
    </row>
    <row r="46756" spans="1:5" x14ac:dyDescent="0.25">
      <c r="A46756" t="str">
        <f>HYPERLINK("https://www.773grp.com/globalSearch/QS74FCT833ATSO/page-1", "QS74FCT833ATSO")</f>
        <v>QS74FCT833ATSO</v>
      </c>
      <c r="B46756" s="3" t="str">
        <f>HYPERLINK("https://www.773grp.com/manufacturer/onsemi?pageNo=1302", "ON Semiconductor")</f>
        <v>ON Semiconductor</v>
      </c>
      <c r="C46756" s="6">
        <v>195</v>
      </c>
      <c r="D46756" s="7">
        <v>11.28</v>
      </c>
      <c r="E46756" t="s">
        <v>14</v>
      </c>
    </row>
    <row r="46757" spans="1:5" x14ac:dyDescent="0.25">
      <c r="A46757" t="str">
        <f>HYPERLINK("https://www.773grp.com/globalSearch/QS74FCT2521BTSO/page-1", "QS74FCT2521BTSO")</f>
        <v>QS74FCT2521BTSO</v>
      </c>
      <c r="B46757" s="3" t="str">
        <f>HYPERLINK("https://www.773grp.com/manufacturer/onsemi?pageNo=1303", "ON Semiconductor")</f>
        <v>ON Semiconductor</v>
      </c>
      <c r="C46757" s="6">
        <v>248</v>
      </c>
      <c r="D46757" s="7">
        <v>11.39</v>
      </c>
      <c r="E46757" t="s">
        <v>43</v>
      </c>
    </row>
    <row r="46758" spans="1:5" x14ac:dyDescent="0.25">
      <c r="A46758" t="str">
        <f>HYPERLINK("https://www.773grp.com/globalSearch/QS74FCT2833ATSO/page-1", "QS74FCT2833ATSO")</f>
        <v>QS74FCT2833ATSO</v>
      </c>
      <c r="B46758" s="3" t="str">
        <f>HYPERLINK("https://www.773grp.com/manufacturer/onsemi?pageNo=1304", "ON Semiconductor")</f>
        <v>ON Semiconductor</v>
      </c>
      <c r="C46758" s="6">
        <v>141</v>
      </c>
      <c r="D46758" s="7">
        <v>11.44</v>
      </c>
      <c r="E46758" t="s">
        <v>14</v>
      </c>
    </row>
    <row r="46759" spans="1:5" x14ac:dyDescent="0.25">
      <c r="A46759" t="str">
        <f>HYPERLINK("https://www.773grp.com/globalSearch/QS74FCT2273CTSO/page-1", "QS74FCT2273CTSO")</f>
        <v>QS74FCT2273CTSO</v>
      </c>
      <c r="B46759" s="3" t="str">
        <f>HYPERLINK("https://www.773grp.com/manufacturer/onsemi?pageNo=1305", "ON Semiconductor")</f>
        <v>ON Semiconductor</v>
      </c>
      <c r="C46759" s="6">
        <v>958</v>
      </c>
      <c r="D46759" s="7">
        <v>11.56</v>
      </c>
      <c r="E46759" t="s">
        <v>35</v>
      </c>
    </row>
    <row r="46760" spans="1:5" x14ac:dyDescent="0.25">
      <c r="A46760" t="str">
        <f>HYPERLINK("https://www.773grp.com/globalSearch/QS74FCT2273ATZ/page-1", "QS74FCT2273ATZ")</f>
        <v>QS74FCT2273ATZ</v>
      </c>
      <c r="B46760" s="3" t="str">
        <f>HYPERLINK("https://www.773grp.com/manufacturer/onsemi?pageNo=1306", "ON Semiconductor")</f>
        <v>ON Semiconductor</v>
      </c>
      <c r="C46760" s="6">
        <v>1487</v>
      </c>
      <c r="D46760" s="7">
        <v>11.7</v>
      </c>
      <c r="E46760" t="s">
        <v>35</v>
      </c>
    </row>
    <row r="46761" spans="1:5" x14ac:dyDescent="0.25">
      <c r="A46761" t="str">
        <f>HYPERLINK("https://www.773grp.com/globalSearch/QS74FCT2374ATZ/page-1", "QS74FCT2374ATZ")</f>
        <v>QS74FCT2374ATZ</v>
      </c>
      <c r="B46761" s="3" t="str">
        <f>HYPERLINK("https://www.773grp.com/manufacturer/onsemi?pageNo=1307", "ON Semiconductor")</f>
        <v>ON Semiconductor</v>
      </c>
      <c r="C46761" s="6">
        <v>6999</v>
      </c>
      <c r="D46761" s="7">
        <v>11.7</v>
      </c>
      <c r="E46761" t="s">
        <v>14</v>
      </c>
    </row>
    <row r="46762" spans="1:5" x14ac:dyDescent="0.25">
      <c r="A46762" t="str">
        <f>HYPERLINK("https://www.773grp.com/globalSearch/QS74FCT257CTP/page-1", "QS74FCT257CTP")</f>
        <v>QS74FCT257CTP</v>
      </c>
      <c r="B46762" s="3" t="str">
        <f>HYPERLINK("https://www.773grp.com/manufacturer/onsemi?pageNo=1308", "ON Semiconductor")</f>
        <v>ON Semiconductor</v>
      </c>
      <c r="C46762" s="6">
        <v>3728</v>
      </c>
      <c r="D46762" s="7">
        <v>11.73</v>
      </c>
      <c r="E46762" t="s">
        <v>20</v>
      </c>
    </row>
    <row r="46763" spans="1:5" x14ac:dyDescent="0.25">
      <c r="A46763" t="str">
        <f>HYPERLINK("https://www.773grp.com/globalSearch/QS74FCT139CTP/page-1", "QS74FCT139CTP")</f>
        <v>QS74FCT139CTP</v>
      </c>
      <c r="B46763" s="3" t="str">
        <f>HYPERLINK("https://www.773grp.com/manufacturer/onsemi?pageNo=1309", "ON Semiconductor")</f>
        <v>ON Semiconductor</v>
      </c>
      <c r="C46763" s="6">
        <v>147</v>
      </c>
      <c r="D46763" s="7">
        <v>11.78</v>
      </c>
      <c r="E46763" t="s">
        <v>36</v>
      </c>
    </row>
    <row r="46764" spans="1:5" x14ac:dyDescent="0.25">
      <c r="A46764" t="str">
        <f>HYPERLINK("https://www.773grp.com/globalSearch/QS74FCT138TZ/page-1", "QS74FCT138TZ")</f>
        <v>QS74FCT138TZ</v>
      </c>
      <c r="B46764" s="3" t="str">
        <f>HYPERLINK("https://www.773grp.com/manufacturer/onsemi?pageNo=1310", "ON Semiconductor")</f>
        <v>ON Semiconductor</v>
      </c>
      <c r="C46764" s="6">
        <v>128</v>
      </c>
      <c r="D46764" s="7">
        <v>11.95</v>
      </c>
      <c r="E46764" t="s">
        <v>36</v>
      </c>
    </row>
    <row r="46765" spans="1:5" x14ac:dyDescent="0.25">
      <c r="A46765" t="str">
        <f>HYPERLINK("https://www.773grp.com/globalSearch/QS74FCT153CTSO/page-1", "QS74FCT153CTSO")</f>
        <v>QS74FCT153CTSO</v>
      </c>
      <c r="B46765" s="3" t="str">
        <f>HYPERLINK("https://www.773grp.com/manufacturer/onsemi?pageNo=1311", "ON Semiconductor")</f>
        <v>ON Semiconductor</v>
      </c>
      <c r="C46765" s="6">
        <v>2747</v>
      </c>
      <c r="D46765" s="7">
        <v>11.95</v>
      </c>
      <c r="E46765" t="s">
        <v>20</v>
      </c>
    </row>
    <row r="46766" spans="1:5" x14ac:dyDescent="0.25">
      <c r="A46766" t="str">
        <f>HYPERLINK("https://www.773grp.com/globalSearch/QS74FCT158CTSO/page-1", "QS74FCT158CTSO")</f>
        <v>QS74FCT158CTSO</v>
      </c>
      <c r="B46766" s="3" t="str">
        <f>HYPERLINK("https://www.773grp.com/manufacturer/onsemi?pageNo=1312", "ON Semiconductor")</f>
        <v>ON Semiconductor</v>
      </c>
      <c r="C46766" s="6">
        <v>3632</v>
      </c>
      <c r="D46766" s="7">
        <v>11.95</v>
      </c>
      <c r="E46766" t="s">
        <v>20</v>
      </c>
    </row>
    <row r="46767" spans="1:5" x14ac:dyDescent="0.25">
      <c r="A46767" t="str">
        <f>HYPERLINK("https://www.773grp.com/globalSearch/QS74FCT2245ATZ/page-1", "QS74FCT2245ATZ")</f>
        <v>QS74FCT2245ATZ</v>
      </c>
      <c r="B46767" s="3" t="str">
        <f>HYPERLINK("https://www.773grp.com/manufacturer/onsemi?pageNo=1313", "ON Semiconductor")</f>
        <v>ON Semiconductor</v>
      </c>
      <c r="C46767" s="6">
        <v>692</v>
      </c>
      <c r="D46767" s="7">
        <v>11.95</v>
      </c>
      <c r="E46767" t="s">
        <v>14</v>
      </c>
    </row>
    <row r="46768" spans="1:5" x14ac:dyDescent="0.25">
      <c r="A46768" t="str">
        <f>HYPERLINK("https://www.773grp.com/globalSearch/QS74FCT2258CTS1/page-1", "QS74FCT2258CTS1")</f>
        <v>QS74FCT2258CTS1</v>
      </c>
      <c r="B46768" s="3" t="str">
        <f>HYPERLINK("https://www.773grp.com/manufacturer/onsemi?pageNo=1314", "ON Semiconductor")</f>
        <v>ON Semiconductor</v>
      </c>
      <c r="C46768" s="6">
        <v>958</v>
      </c>
      <c r="D46768" s="7">
        <v>11.95</v>
      </c>
      <c r="E46768" t="s">
        <v>20</v>
      </c>
    </row>
    <row r="46769" spans="1:5" x14ac:dyDescent="0.25">
      <c r="A46769" t="str">
        <f>HYPERLINK("https://www.773grp.com/globalSearch/QS74FCT2646CTP/page-1", "QS74FCT2646CTP")</f>
        <v>QS74FCT2646CTP</v>
      </c>
      <c r="B46769" s="3" t="str">
        <f>HYPERLINK("https://www.773grp.com/manufacturer/onsemi?pageNo=1315", "ON Semiconductor")</f>
        <v>ON Semiconductor</v>
      </c>
      <c r="C46769" s="6">
        <v>1767</v>
      </c>
      <c r="D46769" s="7">
        <v>11.95</v>
      </c>
      <c r="E46769" t="s">
        <v>14</v>
      </c>
    </row>
    <row r="46770" spans="1:5" x14ac:dyDescent="0.25">
      <c r="A46770" t="str">
        <f>HYPERLINK("https://www.773grp.com/globalSearch/QS29FCT520BTP/page-1", "QS29FCT520BTP")</f>
        <v>QS29FCT520BTP</v>
      </c>
      <c r="B46770" s="3" t="str">
        <f>HYPERLINK("https://www.773grp.com/manufacturer/onsemi?pageNo=1316", "ON Semiconductor")</f>
        <v>ON Semiconductor</v>
      </c>
      <c r="C46770" s="6">
        <v>301</v>
      </c>
      <c r="D46770" s="7">
        <v>12.04</v>
      </c>
      <c r="E46770" t="s">
        <v>128</v>
      </c>
    </row>
    <row r="46771" spans="1:5" x14ac:dyDescent="0.25">
      <c r="A46771" t="str">
        <f>HYPERLINK("https://www.773grp.com/globalSearch/QS29FCT520BTSO/page-1", "QS29FCT520BTSO")</f>
        <v>QS29FCT520BTSO</v>
      </c>
      <c r="B46771" s="3" t="str">
        <f>HYPERLINK("https://www.773grp.com/manufacturer/onsemi?pageNo=1317", "ON Semiconductor")</f>
        <v>ON Semiconductor</v>
      </c>
      <c r="C46771" s="6">
        <v>585</v>
      </c>
      <c r="D46771" s="7">
        <v>12.04</v>
      </c>
      <c r="E46771" t="s">
        <v>128</v>
      </c>
    </row>
    <row r="46772" spans="1:5" x14ac:dyDescent="0.25">
      <c r="A46772" t="str">
        <f>HYPERLINK("https://www.773grp.com/globalSearch/QS74FCT280BTS1/page-1", "QS74FCT280BTS1")</f>
        <v>QS74FCT280BTS1</v>
      </c>
      <c r="B46772" s="3" t="str">
        <f>HYPERLINK("https://www.773grp.com/manufacturer/onsemi?pageNo=1318", "ON Semiconductor")</f>
        <v>ON Semiconductor</v>
      </c>
      <c r="C46772" s="6">
        <v>7051</v>
      </c>
      <c r="D46772" s="7">
        <v>12.04</v>
      </c>
      <c r="E46772" t="s">
        <v>43</v>
      </c>
    </row>
    <row r="46773" spans="1:5" x14ac:dyDescent="0.25">
      <c r="A46773" t="str">
        <f>HYPERLINK("https://www.773grp.com/globalSearch/QS74FCT2833ATP/page-1", "QS74FCT2833ATP")</f>
        <v>QS74FCT2833ATP</v>
      </c>
      <c r="B46773" s="3" t="str">
        <f>HYPERLINK("https://www.773grp.com/manufacturer/onsemi?pageNo=1319", "ON Semiconductor")</f>
        <v>ON Semiconductor</v>
      </c>
      <c r="C46773" s="6">
        <v>160</v>
      </c>
      <c r="D46773" s="7">
        <v>12.15</v>
      </c>
      <c r="E46773" t="s">
        <v>14</v>
      </c>
    </row>
    <row r="46774" spans="1:5" x14ac:dyDescent="0.25">
      <c r="A46774" t="str">
        <f>HYPERLINK("https://www.773grp.com/globalSearch/QS3388P/page-1", "QS3388P")</f>
        <v>QS3388P</v>
      </c>
      <c r="B46774" s="3" t="str">
        <f>HYPERLINK("https://www.773grp.com/manufacturer/onsemi?pageNo=1320", "ON Semiconductor")</f>
        <v>ON Semiconductor</v>
      </c>
      <c r="C46774" s="6">
        <v>283</v>
      </c>
      <c r="D46774" s="7">
        <v>12.19</v>
      </c>
      <c r="E46774" t="s">
        <v>14</v>
      </c>
    </row>
    <row r="46775" spans="1:5" x14ac:dyDescent="0.25">
      <c r="A46775" t="str">
        <f>HYPERLINK("https://www.773grp.com/globalSearch/QS29FCT2520CTSO/page-1", "QS29FCT2520CTSO")</f>
        <v>QS29FCT2520CTSO</v>
      </c>
      <c r="B46775" s="3" t="str">
        <f>HYPERLINK("https://www.773grp.com/manufacturer/onsemi?pageNo=1321", "ON Semiconductor")</f>
        <v>ON Semiconductor</v>
      </c>
      <c r="C46775" s="6">
        <v>650</v>
      </c>
      <c r="D46775" s="7">
        <v>12.2</v>
      </c>
      <c r="E46775" t="s">
        <v>128</v>
      </c>
    </row>
    <row r="46776" spans="1:5" x14ac:dyDescent="0.25">
      <c r="A46776" t="str">
        <f>HYPERLINK("https://www.773grp.com/globalSearch/QS7201-50JR/page-1", "QS7201-50JR")</f>
        <v>QS7201-50JR</v>
      </c>
      <c r="B46776" s="3" t="str">
        <f>HYPERLINK("https://www.773grp.com/manufacturer/onsemi?pageNo=1322", "ON Semiconductor")</f>
        <v>ON Semiconductor</v>
      </c>
      <c r="C46776" s="6">
        <v>21336</v>
      </c>
      <c r="D46776" s="7">
        <v>12.2</v>
      </c>
      <c r="E46776" t="s">
        <v>89</v>
      </c>
    </row>
    <row r="46777" spans="1:5" x14ac:dyDescent="0.25">
      <c r="A46777" t="str">
        <f>HYPERLINK("https://www.773grp.com/globalSearch/QS74FCT1280TS0/page-1", "QS74FCT1280TS0")</f>
        <v>QS74FCT1280TS0</v>
      </c>
      <c r="B46777" s="3" t="str">
        <f>HYPERLINK("https://www.773grp.com/manufacturer/onsemi?pageNo=1323", "ON Semiconductor")</f>
        <v>ON Semiconductor</v>
      </c>
      <c r="C46777" s="6">
        <v>4386</v>
      </c>
      <c r="D46777" s="7">
        <v>12.2</v>
      </c>
    </row>
    <row r="46778" spans="1:5" x14ac:dyDescent="0.25">
      <c r="A46778" t="str">
        <f>HYPERLINK("https://www.773grp.com/globalSearch/QS74FCT652TSO/page-1", "QS74FCT652TSO")</f>
        <v>QS74FCT652TSO</v>
      </c>
      <c r="B46778" s="3" t="str">
        <f>HYPERLINK("https://www.773grp.com/manufacturer/onsemi?pageNo=1324", "ON Semiconductor")</f>
        <v>ON Semiconductor</v>
      </c>
      <c r="C46778" s="6">
        <v>432</v>
      </c>
      <c r="D46778" s="7">
        <v>12.2</v>
      </c>
      <c r="E46778" t="s">
        <v>14</v>
      </c>
    </row>
    <row r="46779" spans="1:5" x14ac:dyDescent="0.25">
      <c r="A46779" t="str">
        <f>HYPERLINK("https://www.773grp.com/globalSearch/QS74FCT1280TQ/page-1", "QS74FCT1280TQ")</f>
        <v>QS74FCT1280TQ</v>
      </c>
      <c r="B46779" s="3" t="str">
        <f>HYPERLINK("https://www.773grp.com/manufacturer/onsemi?pageNo=1325", "ON Semiconductor")</f>
        <v>ON Semiconductor</v>
      </c>
      <c r="C46779" s="6">
        <v>1758</v>
      </c>
      <c r="D46779" s="7">
        <v>12.26</v>
      </c>
      <c r="E46779" t="s">
        <v>43</v>
      </c>
    </row>
    <row r="46780" spans="1:5" x14ac:dyDescent="0.25">
      <c r="A46780" t="str">
        <f>HYPERLINK("https://www.773grp.com/globalSearch/QS74FCT2648TP/page-1", "QS74FCT2648TP")</f>
        <v>QS74FCT2648TP</v>
      </c>
      <c r="B46780" s="3" t="str">
        <f>HYPERLINK("https://www.773grp.com/manufacturer/onsemi?pageNo=1326", "ON Semiconductor")</f>
        <v>ON Semiconductor</v>
      </c>
      <c r="C46780" s="6">
        <v>178</v>
      </c>
      <c r="D46780" s="7">
        <v>12.26</v>
      </c>
      <c r="E46780" t="s">
        <v>14</v>
      </c>
    </row>
    <row r="46781" spans="1:5" x14ac:dyDescent="0.25">
      <c r="A46781" t="str">
        <f>HYPERLINK("https://www.773grp.com/globalSearch/QS7201-35JR/page-1", "QS7201-35JR")</f>
        <v>QS7201-35JR</v>
      </c>
      <c r="B46781" s="3" t="str">
        <f>HYPERLINK("https://www.773grp.com/manufacturer/onsemi?pageNo=1327", "ON Semiconductor")</f>
        <v>ON Semiconductor</v>
      </c>
      <c r="C46781" s="6">
        <v>23746</v>
      </c>
      <c r="D46781" s="7">
        <v>12.38</v>
      </c>
      <c r="E46781" t="s">
        <v>89</v>
      </c>
    </row>
    <row r="46782" spans="1:5" x14ac:dyDescent="0.25">
      <c r="A46782" t="str">
        <f>HYPERLINK("https://www.773grp.com/globalSearch/QS74FCT651ATP/page-1", "QS74FCT651ATP")</f>
        <v>QS74FCT651ATP</v>
      </c>
      <c r="B46782" s="3" t="str">
        <f>HYPERLINK("https://www.773grp.com/manufacturer/onsemi?pageNo=1328", "ON Semiconductor")</f>
        <v>ON Semiconductor</v>
      </c>
      <c r="C46782" s="6">
        <v>2370</v>
      </c>
      <c r="D46782" s="7">
        <v>12.49</v>
      </c>
      <c r="E46782" t="s">
        <v>14</v>
      </c>
    </row>
    <row r="46783" spans="1:5" x14ac:dyDescent="0.25">
      <c r="A46783" t="str">
        <f>HYPERLINK("https://www.773grp.com/globalSearch/QS74FCT651ATS0/page-1", "QS74FCT651ATS0")</f>
        <v>QS74FCT651ATS0</v>
      </c>
      <c r="B46783" s="3" t="str">
        <f>HYPERLINK("https://www.773grp.com/manufacturer/onsemi?pageNo=1329", "ON Semiconductor")</f>
        <v>ON Semiconductor</v>
      </c>
      <c r="C46783" s="6">
        <v>1300</v>
      </c>
      <c r="D46783" s="7">
        <v>12.49</v>
      </c>
    </row>
    <row r="46784" spans="1:5" x14ac:dyDescent="0.25">
      <c r="A46784" t="str">
        <f>HYPERLINK("https://www.773grp.com/globalSearch/QS74FCT16543CTPA/page-1", "QS74FCT16543CTPA")</f>
        <v>QS74FCT16543CTPA</v>
      </c>
      <c r="B46784" s="3" t="str">
        <f>HYPERLINK("https://www.773grp.com/manufacturer/onsemi?pageNo=1330", "ON Semiconductor")</f>
        <v>ON Semiconductor</v>
      </c>
      <c r="C46784" s="6">
        <v>527</v>
      </c>
      <c r="D46784" s="7">
        <v>12.53</v>
      </c>
      <c r="E46784" t="s">
        <v>14</v>
      </c>
    </row>
    <row r="46785" spans="1:5" x14ac:dyDescent="0.25">
      <c r="A46785" t="str">
        <f>HYPERLINK("https://www.773grp.com/globalSearch/QS74FCT2245CTZ/page-1", "QS74FCT2245CTZ")</f>
        <v>QS74FCT2245CTZ</v>
      </c>
      <c r="B46785" s="3" t="str">
        <f>HYPERLINK("https://www.773grp.com/manufacturer/onsemi?pageNo=1331", "ON Semiconductor")</f>
        <v>ON Semiconductor</v>
      </c>
      <c r="C46785" s="6">
        <v>134</v>
      </c>
      <c r="D46785" s="7">
        <v>12.53</v>
      </c>
      <c r="E46785" t="s">
        <v>14</v>
      </c>
    </row>
    <row r="46786" spans="1:5" x14ac:dyDescent="0.25">
      <c r="A46786" t="str">
        <f>HYPERLINK("https://www.773grp.com/globalSearch/QS54FCT138CTQ/page-1", "QS54FCT138CTQ")</f>
        <v>QS54FCT138CTQ</v>
      </c>
      <c r="B46786" s="3" t="str">
        <f>HYPERLINK("https://www.773grp.com/manufacturer/onsemi?pageNo=1332", "ON Semiconductor")</f>
        <v>ON Semiconductor</v>
      </c>
      <c r="C46786" s="6">
        <v>748</v>
      </c>
      <c r="D46786" s="7">
        <v>12.66</v>
      </c>
      <c r="E46786" t="s">
        <v>36</v>
      </c>
    </row>
    <row r="46787" spans="1:5" x14ac:dyDescent="0.25">
      <c r="A46787" t="str">
        <f>HYPERLINK("https://www.773grp.com/globalSearch/QS74FCT1280TSO/page-1", "QS74FCT1280TSO")</f>
        <v>QS74FCT1280TSO</v>
      </c>
      <c r="B46787" s="3" t="str">
        <f>HYPERLINK("https://www.773grp.com/manufacturer/onsemi?pageNo=1333", "ON Semiconductor")</f>
        <v>ON Semiconductor</v>
      </c>
      <c r="C46787" s="6">
        <v>21319</v>
      </c>
      <c r="D46787" s="7">
        <v>12.66</v>
      </c>
      <c r="E46787" t="s">
        <v>43</v>
      </c>
    </row>
    <row r="46788" spans="1:5" x14ac:dyDescent="0.25">
      <c r="A46788" t="str">
        <f>HYPERLINK("https://www.773grp.com/globalSearch/QS7201-50V/page-1", "QS7201-50V")</f>
        <v>QS7201-50V</v>
      </c>
      <c r="B46788" s="3" t="str">
        <f>HYPERLINK("https://www.773grp.com/manufacturer/onsemi?pageNo=1334", "ON Semiconductor")</f>
        <v>ON Semiconductor</v>
      </c>
      <c r="C46788" s="6">
        <v>1560</v>
      </c>
      <c r="D46788" s="7">
        <v>12.69</v>
      </c>
      <c r="E46788" t="s">
        <v>89</v>
      </c>
    </row>
    <row r="46789" spans="1:5" x14ac:dyDescent="0.25">
      <c r="A46789" t="str">
        <f>HYPERLINK("https://www.773grp.com/globalSearch/QS3390P/page-1", "QS3390P")</f>
        <v>QS3390P</v>
      </c>
      <c r="B46789" s="3" t="str">
        <f>HYPERLINK("https://www.773grp.com/manufacturer/onsemi?pageNo=1335", "ON Semiconductor")</f>
        <v>ON Semiconductor</v>
      </c>
      <c r="C46789" s="6">
        <v>1342</v>
      </c>
      <c r="D46789" s="7">
        <v>12.74</v>
      </c>
      <c r="E46789" t="s">
        <v>14</v>
      </c>
    </row>
    <row r="46790" spans="1:5" x14ac:dyDescent="0.25">
      <c r="A46790" t="str">
        <f>HYPERLINK("https://www.773grp.com/globalSearch/QS54FCT139CTQ/page-1", "QS54FCT139CTQ")</f>
        <v>QS54FCT139CTQ</v>
      </c>
      <c r="B46790" s="3" t="str">
        <f>HYPERLINK("https://www.773grp.com/manufacturer/onsemi?pageNo=1336", "ON Semiconductor")</f>
        <v>ON Semiconductor</v>
      </c>
      <c r="C46790" s="6">
        <v>783</v>
      </c>
      <c r="D46790" s="7">
        <v>12.78</v>
      </c>
      <c r="E46790" t="s">
        <v>36</v>
      </c>
    </row>
    <row r="46791" spans="1:5" x14ac:dyDescent="0.25">
      <c r="A46791" t="str">
        <f>HYPERLINK("https://www.773grp.com/globalSearch/QS7201-50Q/page-1", "QS7201-50Q")</f>
        <v>QS7201-50Q</v>
      </c>
      <c r="B46791" s="3" t="str">
        <f>HYPERLINK("https://www.773grp.com/manufacturer/onsemi?pageNo=1337", "ON Semiconductor")</f>
        <v>ON Semiconductor</v>
      </c>
      <c r="C46791" s="6">
        <v>24</v>
      </c>
      <c r="D46791" s="7">
        <v>12.86</v>
      </c>
      <c r="E46791" t="s">
        <v>89</v>
      </c>
    </row>
    <row r="46792" spans="1:5" x14ac:dyDescent="0.25">
      <c r="A46792" t="str">
        <f>HYPERLINK("https://www.773grp.com/globalSearch/QS7202-50JR/page-1", "QS7202-50JR")</f>
        <v>QS7202-50JR</v>
      </c>
      <c r="B46792" s="3" t="str">
        <f>HYPERLINK("https://www.773grp.com/manufacturer/onsemi?pageNo=1338", "ON Semiconductor")</f>
        <v>ON Semiconductor</v>
      </c>
      <c r="C46792" s="6">
        <v>567</v>
      </c>
      <c r="D46792" s="7">
        <v>12.86</v>
      </c>
      <c r="E46792" t="s">
        <v>89</v>
      </c>
    </row>
    <row r="46793" spans="1:5" x14ac:dyDescent="0.25">
      <c r="A46793" t="str">
        <f>HYPERLINK("https://www.773grp.com/globalSearch/QS54FCT2521CTQ/page-1", "QS54FCT2521CTQ")</f>
        <v>QS54FCT2521CTQ</v>
      </c>
      <c r="B46793" s="3" t="str">
        <f>HYPERLINK("https://www.773grp.com/manufacturer/onsemi?pageNo=1339", "ON Semiconductor")</f>
        <v>ON Semiconductor</v>
      </c>
      <c r="C46793" s="6">
        <v>655</v>
      </c>
      <c r="D46793" s="7">
        <v>12.96</v>
      </c>
    </row>
    <row r="46794" spans="1:5" x14ac:dyDescent="0.25">
      <c r="A46794" t="str">
        <f>HYPERLINK("https://www.773grp.com/globalSearch/QS74FCT193ATZ/page-1", "QS74FCT193ATZ")</f>
        <v>QS74FCT193ATZ</v>
      </c>
      <c r="B46794" s="3" t="str">
        <f>HYPERLINK("https://www.773grp.com/manufacturer/onsemi?pageNo=1340", "ON Semiconductor")</f>
        <v>ON Semiconductor</v>
      </c>
      <c r="C46794" s="6">
        <v>105</v>
      </c>
      <c r="D46794" s="7">
        <v>13.03</v>
      </c>
      <c r="E46794" t="s">
        <v>26</v>
      </c>
    </row>
    <row r="46795" spans="1:5" x14ac:dyDescent="0.25">
      <c r="A46795" t="str">
        <f>HYPERLINK("https://www.773grp.com/globalSearch/QS74FCT253CTP/page-1", "QS74FCT253CTP")</f>
        <v>QS74FCT253CTP</v>
      </c>
      <c r="B46795" s="3" t="str">
        <f>HYPERLINK("https://www.773grp.com/manufacturer/onsemi?pageNo=1341", "ON Semiconductor")</f>
        <v>ON Semiconductor</v>
      </c>
      <c r="C46795" s="6">
        <v>456</v>
      </c>
      <c r="D46795" s="7">
        <v>13.08</v>
      </c>
      <c r="E46795" t="s">
        <v>20</v>
      </c>
    </row>
    <row r="46796" spans="1:5" x14ac:dyDescent="0.25">
      <c r="A46796" t="str">
        <f>HYPERLINK("https://www.773grp.com/globalSearch/QS7201-50P/page-1", "QS7201-50P")</f>
        <v>QS7201-50P</v>
      </c>
      <c r="B46796" s="3" t="str">
        <f>HYPERLINK("https://www.773grp.com/manufacturer/onsemi?pageNo=1342", "ON Semiconductor")</f>
        <v>ON Semiconductor</v>
      </c>
      <c r="C46796" s="6">
        <v>2511</v>
      </c>
      <c r="D46796" s="7">
        <v>13.11</v>
      </c>
      <c r="E46796" t="s">
        <v>89</v>
      </c>
    </row>
    <row r="46797" spans="1:5" x14ac:dyDescent="0.25">
      <c r="A46797" t="str">
        <f>HYPERLINK("https://www.773grp.com/globalSearch/QS74FCT2373CTP/page-1", "QS74FCT2373CTP")</f>
        <v>QS74FCT2373CTP</v>
      </c>
      <c r="B46797" s="3" t="str">
        <f>HYPERLINK("https://www.773grp.com/manufacturer/onsemi?pageNo=1343", "ON Semiconductor")</f>
        <v>ON Semiconductor</v>
      </c>
      <c r="C46797" s="6">
        <v>470</v>
      </c>
      <c r="D46797" s="7">
        <v>13.11</v>
      </c>
      <c r="E46797" t="s">
        <v>14</v>
      </c>
    </row>
    <row r="46798" spans="1:5" x14ac:dyDescent="0.25">
      <c r="A46798" t="str">
        <f>HYPERLINK("https://www.773grp.com/globalSearch/QS29FCT2520CTQ/page-1", "QS29FCT2520CTQ")</f>
        <v>QS29FCT2520CTQ</v>
      </c>
      <c r="B46798" s="3" t="str">
        <f>HYPERLINK("https://www.773grp.com/manufacturer/onsemi?pageNo=1344", "ON Semiconductor")</f>
        <v>ON Semiconductor</v>
      </c>
      <c r="C46798" s="6">
        <v>78</v>
      </c>
      <c r="D46798" s="7">
        <v>13.21</v>
      </c>
      <c r="E46798" t="s">
        <v>128</v>
      </c>
    </row>
    <row r="46799" spans="1:5" x14ac:dyDescent="0.25">
      <c r="A46799" t="str">
        <f>HYPERLINK("https://www.773grp.com/globalSearch/QS3386P/page-1", "QS3386P")</f>
        <v>QS3386P</v>
      </c>
      <c r="B46799" s="3" t="str">
        <f>HYPERLINK("https://www.773grp.com/manufacturer/onsemi?pageNo=1345", "ON Semiconductor")</f>
        <v>ON Semiconductor</v>
      </c>
      <c r="C46799" s="6">
        <v>1186</v>
      </c>
      <c r="D46799" s="7">
        <v>13.21</v>
      </c>
      <c r="E46799" t="s">
        <v>14</v>
      </c>
    </row>
    <row r="46800" spans="1:5" x14ac:dyDescent="0.25">
      <c r="A46800" t="str">
        <f>HYPERLINK("https://www.773grp.com/globalSearch/QS52806TSO/page-1", "QS52806TSO")</f>
        <v>QS52806TSO</v>
      </c>
      <c r="B46800" s="3" t="str">
        <f>HYPERLINK("https://www.773grp.com/manufacturer/onsemi?pageNo=1346", "ON Semiconductor")</f>
        <v>ON Semiconductor</v>
      </c>
      <c r="C46800" s="6">
        <v>33</v>
      </c>
      <c r="D46800" s="7">
        <v>13.21</v>
      </c>
      <c r="E46800" t="s">
        <v>34</v>
      </c>
    </row>
    <row r="46801" spans="1:5" x14ac:dyDescent="0.25">
      <c r="A46801" t="str">
        <f>HYPERLINK("https://www.773grp.com/globalSearch/QS7202-25V/page-1", "QS7202-25V")</f>
        <v>QS7202-25V</v>
      </c>
      <c r="B46801" s="3" t="str">
        <f>HYPERLINK("https://www.773grp.com/manufacturer/onsemi?pageNo=1347", "ON Semiconductor")</f>
        <v>ON Semiconductor</v>
      </c>
      <c r="C46801" s="6">
        <v>2214</v>
      </c>
      <c r="D46801" s="7">
        <v>13.25</v>
      </c>
      <c r="E46801" t="s">
        <v>89</v>
      </c>
    </row>
    <row r="46802" spans="1:5" x14ac:dyDescent="0.25">
      <c r="A46802" t="str">
        <f>HYPERLINK("https://www.773grp.com/globalSearch/QS7202-50P/page-1", "QS7202-50P")</f>
        <v>QS7202-50P</v>
      </c>
      <c r="B46802" s="3" t="str">
        <f>HYPERLINK("https://www.773grp.com/manufacturer/onsemi?pageNo=1348", "ON Semiconductor")</f>
        <v>ON Semiconductor</v>
      </c>
      <c r="C46802" s="6">
        <v>1257</v>
      </c>
      <c r="D46802" s="7">
        <v>13.3</v>
      </c>
      <c r="E46802" t="s">
        <v>89</v>
      </c>
    </row>
    <row r="46803" spans="1:5" x14ac:dyDescent="0.25">
      <c r="A46803" t="str">
        <f>HYPERLINK("https://www.773grp.com/globalSearch/QS7202-5OP/page-1", "QS7202-5OP")</f>
        <v>QS7202-5OP</v>
      </c>
      <c r="B46803" s="3" t="s">
        <v>127</v>
      </c>
      <c r="C46803" s="6">
        <v>448</v>
      </c>
      <c r="D46803" s="7">
        <v>13.3</v>
      </c>
    </row>
    <row r="46804" spans="1:5" x14ac:dyDescent="0.25">
      <c r="A46804" t="str">
        <f>HYPERLINK("https://www.773grp.com/globalSearch/QS74FCT162823CTPV/page-1", "QS74FCT162823CTPV")</f>
        <v>QS74FCT162823CTPV</v>
      </c>
      <c r="B46804" s="3" t="s">
        <v>127</v>
      </c>
      <c r="C46804" s="6">
        <v>330</v>
      </c>
      <c r="D46804" s="7">
        <v>13.3</v>
      </c>
      <c r="E46804" t="s">
        <v>14</v>
      </c>
    </row>
    <row r="46805" spans="1:5" x14ac:dyDescent="0.25">
      <c r="A46805" t="str">
        <f>HYPERLINK("https://www.773grp.com/globalSearch/QS74FCT162841CTPV/page-1", "QS74FCT162841CTPV")</f>
        <v>QS74FCT162841CTPV</v>
      </c>
      <c r="B46805" s="3" t="s">
        <v>127</v>
      </c>
      <c r="C46805" s="6">
        <v>284</v>
      </c>
      <c r="D46805" s="7">
        <v>13.3</v>
      </c>
      <c r="E46805" t="s">
        <v>14</v>
      </c>
    </row>
    <row r="46806" spans="1:5" x14ac:dyDescent="0.25">
      <c r="A46806" t="str">
        <f>HYPERLINK("https://www.773grp.com/globalSearch/QS74FCT16823CTPV/page-1", "QS74FCT16823CTPV")</f>
        <v>QS74FCT16823CTPV</v>
      </c>
      <c r="B46806" s="3" t="s">
        <v>127</v>
      </c>
      <c r="C46806" s="6">
        <v>165</v>
      </c>
      <c r="D46806" s="7">
        <v>13.3</v>
      </c>
      <c r="E46806" t="s">
        <v>14</v>
      </c>
    </row>
    <row r="46807" spans="1:5" x14ac:dyDescent="0.25">
      <c r="A46807" t="str">
        <f>HYPERLINK("https://www.773grp.com/globalSearch/QS74FCT16827CTPV/page-1", "QS74FCT16827CTPV")</f>
        <v>QS74FCT16827CTPV</v>
      </c>
      <c r="B46807" s="3" t="s">
        <v>127</v>
      </c>
      <c r="C46807" s="6">
        <v>189</v>
      </c>
      <c r="D46807" s="7">
        <v>13.3</v>
      </c>
      <c r="E46807" t="s">
        <v>14</v>
      </c>
    </row>
    <row r="46808" spans="1:5" x14ac:dyDescent="0.25">
      <c r="A46808" t="str">
        <f>HYPERLINK("https://www.773grp.com/globalSearch/QS74FCT16841CTPV/page-1", "QS74FCT16841CTPV")</f>
        <v>QS74FCT16841CTPV</v>
      </c>
      <c r="B46808" s="3" t="s">
        <v>127</v>
      </c>
      <c r="C46808" s="6">
        <v>415</v>
      </c>
      <c r="D46808" s="7">
        <v>13.3</v>
      </c>
      <c r="E46808" t="s">
        <v>14</v>
      </c>
    </row>
    <row r="46809" spans="1:5" x14ac:dyDescent="0.25">
      <c r="A46809" t="str">
        <f>HYPERLINK("https://www.773grp.com/globalSearch/QS32X245Q1/page-1", "QS32X245Q1")</f>
        <v>QS32X245Q1</v>
      </c>
      <c r="B46809" s="3" t="s">
        <v>127</v>
      </c>
      <c r="C46809" s="6">
        <v>590</v>
      </c>
      <c r="D46809" s="7">
        <v>13.39</v>
      </c>
    </row>
    <row r="46810" spans="1:5" x14ac:dyDescent="0.25">
      <c r="A46810" t="str">
        <f>HYPERLINK("https://www.773grp.com/globalSearch/QS74FCT541ATZ/page-1", "QS74FCT541ATZ")</f>
        <v>QS74FCT541ATZ</v>
      </c>
      <c r="B46810" s="3" t="s">
        <v>127</v>
      </c>
      <c r="C46810" s="6">
        <v>161</v>
      </c>
      <c r="D46810" s="7">
        <v>13.5</v>
      </c>
      <c r="E46810" t="s">
        <v>14</v>
      </c>
    </row>
    <row r="46811" spans="1:5" x14ac:dyDescent="0.25">
      <c r="A46811" t="str">
        <f>HYPERLINK("https://www.773grp.com/globalSearch/QS74FCT240DTSO/page-1", "QS74FCT240DTSO")</f>
        <v>QS74FCT240DTSO</v>
      </c>
      <c r="B46811" s="3" t="s">
        <v>127</v>
      </c>
      <c r="C46811" s="6">
        <v>526</v>
      </c>
      <c r="D46811" s="7">
        <v>13.68</v>
      </c>
      <c r="E46811" t="s">
        <v>14</v>
      </c>
    </row>
    <row r="46812" spans="1:5" x14ac:dyDescent="0.25">
      <c r="A46812" t="str">
        <f>HYPERLINK("https://www.773grp.com/globalSearch/QS74FCT573CTQ/page-1", "QS74FCT573CTQ")</f>
        <v>QS74FCT573CTQ</v>
      </c>
      <c r="B46812" s="3" t="s">
        <v>127</v>
      </c>
      <c r="C46812" s="6">
        <v>15</v>
      </c>
      <c r="D46812" s="7">
        <v>13.73</v>
      </c>
      <c r="E46812" t="s">
        <v>14</v>
      </c>
    </row>
    <row r="46813" spans="1:5" x14ac:dyDescent="0.25">
      <c r="A46813" t="str">
        <f>HYPERLINK("https://www.773grp.com/globalSearch/5991ZQ/page-1", "5991ZQ")</f>
        <v>5991ZQ</v>
      </c>
      <c r="B46813" s="3" t="s">
        <v>127</v>
      </c>
      <c r="C46813" s="6">
        <v>636</v>
      </c>
      <c r="D46813" s="7">
        <v>13.8</v>
      </c>
    </row>
    <row r="46814" spans="1:5" x14ac:dyDescent="0.25">
      <c r="A46814" t="str">
        <f>HYPERLINK("https://www.773grp.com/globalSearch/5992ZQ/page-1", "5992ZQ")</f>
        <v>5992ZQ</v>
      </c>
      <c r="B46814" s="3" t="s">
        <v>127</v>
      </c>
      <c r="C46814" s="6">
        <v>1961</v>
      </c>
      <c r="D46814" s="7">
        <v>13.8</v>
      </c>
    </row>
    <row r="46815" spans="1:5" x14ac:dyDescent="0.25">
      <c r="A46815" t="str">
        <f>HYPERLINK("https://www.773grp.com/globalSearch/QS29FCT2521CTSO/page-1", "QS29FCT2521CTSO")</f>
        <v>QS29FCT2521CTSO</v>
      </c>
      <c r="B46815" s="3" t="s">
        <v>127</v>
      </c>
      <c r="C46815" s="6">
        <v>166</v>
      </c>
      <c r="D46815" s="7">
        <v>13.93</v>
      </c>
      <c r="E46815" t="s">
        <v>128</v>
      </c>
    </row>
    <row r="46816" spans="1:5" x14ac:dyDescent="0.25">
      <c r="A46816" t="str">
        <f>HYPERLINK("https://www.773grp.com/globalSearch/QS54FCT2823CTLB/page-1", "QS54FCT2823CTLB")</f>
        <v>QS54FCT2823CTLB</v>
      </c>
      <c r="B46816" s="3" t="s">
        <v>127</v>
      </c>
      <c r="C46816" s="6">
        <v>241</v>
      </c>
      <c r="D46816" s="7">
        <v>14.06</v>
      </c>
    </row>
    <row r="46817" spans="1:5" x14ac:dyDescent="0.25">
      <c r="A46817" t="str">
        <f>HYPERLINK("https://www.773grp.com/globalSearch/QS54FCT862ATDB/page-1", "QS54FCT862ATDB")</f>
        <v>QS54FCT862ATDB</v>
      </c>
      <c r="B46817" s="3" t="s">
        <v>127</v>
      </c>
      <c r="C46817" s="6">
        <v>277</v>
      </c>
      <c r="D46817" s="7">
        <v>14.06</v>
      </c>
    </row>
    <row r="46818" spans="1:5" x14ac:dyDescent="0.25">
      <c r="A46818" t="str">
        <f>HYPERLINK("https://www.773grp.com/globalSearch/QS74FCT257CTSO/page-1", "QS74FCT257CTSO")</f>
        <v>QS74FCT257CTSO</v>
      </c>
      <c r="B46818" s="3" t="s">
        <v>127</v>
      </c>
      <c r="C46818" s="6">
        <v>1228</v>
      </c>
      <c r="D46818" s="7">
        <v>14.06</v>
      </c>
      <c r="E46818" t="s">
        <v>20</v>
      </c>
    </row>
    <row r="46819" spans="1:5" x14ac:dyDescent="0.25">
      <c r="A46819" t="str">
        <f>HYPERLINK("https://www.773grp.com/globalSearch/QS7201-35P/page-1", "QS7201-35P")</f>
        <v>QS7201-35P</v>
      </c>
      <c r="B46819" s="3" t="s">
        <v>127</v>
      </c>
      <c r="C46819" s="6">
        <v>1393</v>
      </c>
      <c r="D46819" s="7">
        <v>14.13</v>
      </c>
      <c r="E46819" t="s">
        <v>89</v>
      </c>
    </row>
    <row r="46820" spans="1:5" x14ac:dyDescent="0.25">
      <c r="A46820" t="str">
        <f>HYPERLINK("https://www.773grp.com/globalSearch/QS7201-35V/page-1", "QS7201-35V")</f>
        <v>QS7201-35V</v>
      </c>
      <c r="B46820" s="3" t="s">
        <v>127</v>
      </c>
      <c r="C46820" s="6">
        <v>54</v>
      </c>
      <c r="D46820" s="7">
        <v>14.13</v>
      </c>
      <c r="E46820" t="s">
        <v>89</v>
      </c>
    </row>
    <row r="46821" spans="1:5" x14ac:dyDescent="0.25">
      <c r="A46821" t="str">
        <f>HYPERLINK("https://www.773grp.com/globalSearch/QS74FCT843CTP/page-1", "QS74FCT843CTP")</f>
        <v>QS74FCT843CTP</v>
      </c>
      <c r="B46821" s="3" t="s">
        <v>127</v>
      </c>
      <c r="C46821" s="6">
        <v>1473</v>
      </c>
      <c r="D46821" s="7">
        <v>14.18</v>
      </c>
      <c r="E46821" t="s">
        <v>14</v>
      </c>
    </row>
    <row r="46822" spans="1:5" x14ac:dyDescent="0.25">
      <c r="A46822" t="str">
        <f>HYPERLINK("https://www.773grp.com/globalSearch/QS5806ATSO/page-1", "QS5806ATSO")</f>
        <v>QS5806ATSO</v>
      </c>
      <c r="B46822" s="3" t="s">
        <v>127</v>
      </c>
      <c r="C46822" s="6">
        <v>475</v>
      </c>
      <c r="D46822" s="7">
        <v>14.21</v>
      </c>
      <c r="E46822" t="s">
        <v>34</v>
      </c>
    </row>
    <row r="46823" spans="1:5" x14ac:dyDescent="0.25">
      <c r="A46823" t="str">
        <f>HYPERLINK("https://www.773grp.com/globalSearch/QS7201-15V/page-1", "QS7201-15V")</f>
        <v>QS7201-15V</v>
      </c>
      <c r="B46823" s="3" t="s">
        <v>127</v>
      </c>
      <c r="C46823" s="6">
        <v>365</v>
      </c>
      <c r="D46823" s="7">
        <v>14.23</v>
      </c>
      <c r="E46823" t="s">
        <v>89</v>
      </c>
    </row>
    <row r="46824" spans="1:5" x14ac:dyDescent="0.25">
      <c r="A46824" t="str">
        <f>HYPERLINK("https://www.773grp.com/globalSearch/QS7201-25JR/page-1", "QS7201-25JR")</f>
        <v>QS7201-25JR</v>
      </c>
      <c r="B46824" s="3" t="s">
        <v>127</v>
      </c>
      <c r="C46824" s="6">
        <v>1103</v>
      </c>
      <c r="D46824" s="7">
        <v>14.35</v>
      </c>
      <c r="E46824" t="s">
        <v>89</v>
      </c>
    </row>
    <row r="46825" spans="1:5" x14ac:dyDescent="0.25">
      <c r="A46825" t="str">
        <f>HYPERLINK("https://www.773grp.com/globalSearch/QS7201-25Q/page-1", "QS7201-25Q")</f>
        <v>QS7201-25Q</v>
      </c>
      <c r="B46825" s="3" t="s">
        <v>127</v>
      </c>
      <c r="C46825" s="6">
        <v>4442</v>
      </c>
      <c r="D46825" s="7">
        <v>14.35</v>
      </c>
      <c r="E46825" t="s">
        <v>89</v>
      </c>
    </row>
    <row r="46826" spans="1:5" x14ac:dyDescent="0.25">
      <c r="A46826" t="str">
        <f>HYPERLINK("https://www.773grp.com/globalSearch/QS74FCT138DTSO/page-1", "QS74FCT138DTSO")</f>
        <v>QS74FCT138DTSO</v>
      </c>
      <c r="B46826" s="3" t="s">
        <v>127</v>
      </c>
      <c r="C46826" s="6">
        <v>173</v>
      </c>
      <c r="D46826" s="7">
        <v>14.48</v>
      </c>
      <c r="E46826" t="s">
        <v>36</v>
      </c>
    </row>
    <row r="46827" spans="1:5" x14ac:dyDescent="0.25">
      <c r="A46827" t="str">
        <f>HYPERLINK("https://www.773grp.com/globalSearch/QS74FCT2157CTSO/page-1", "QS74FCT2157CTSO")</f>
        <v>QS74FCT2157CTSO</v>
      </c>
      <c r="B46827" s="3" t="s">
        <v>127</v>
      </c>
      <c r="C46827" s="6">
        <v>285</v>
      </c>
      <c r="D46827" s="7">
        <v>14.48</v>
      </c>
      <c r="E46827" t="s">
        <v>20</v>
      </c>
    </row>
    <row r="46828" spans="1:5" x14ac:dyDescent="0.25">
      <c r="A46828" t="str">
        <f>HYPERLINK("https://www.773grp.com/globalSearch/QS74FCT1280BTSO/page-1", "QS74FCT1280BTSO")</f>
        <v>QS74FCT1280BTSO</v>
      </c>
      <c r="B46828" s="3" t="s">
        <v>127</v>
      </c>
      <c r="C46828" s="6">
        <v>18051</v>
      </c>
      <c r="D46828" s="7">
        <v>14.51</v>
      </c>
      <c r="E46828" t="s">
        <v>43</v>
      </c>
    </row>
    <row r="46829" spans="1:5" x14ac:dyDescent="0.25">
      <c r="A46829" t="str">
        <f>HYPERLINK("https://www.773grp.com/globalSearch/QS74FCT2X374ATQ1/page-1", "QS74FCT2X374ATQ1")</f>
        <v>QS74FCT2X374ATQ1</v>
      </c>
      <c r="B46829" s="3" t="s">
        <v>127</v>
      </c>
      <c r="C46829" s="6">
        <v>137</v>
      </c>
      <c r="D46829" s="7">
        <v>14.69</v>
      </c>
    </row>
    <row r="46830" spans="1:5" x14ac:dyDescent="0.25">
      <c r="A46830" t="str">
        <f>HYPERLINK("https://www.773grp.com/globalSearch/QS74FCT821CTZ-S191/page-1", "QS74FCT821CTZ-S191")</f>
        <v>QS74FCT821CTZ-S191</v>
      </c>
      <c r="B46830" s="3" t="s">
        <v>127</v>
      </c>
      <c r="C46830" s="6">
        <v>408</v>
      </c>
      <c r="D46830" s="7">
        <v>14.69</v>
      </c>
    </row>
    <row r="46831" spans="1:5" x14ac:dyDescent="0.25">
      <c r="A46831" t="str">
        <f>HYPERLINK("https://www.773grp.com/globalSearch/QS8888-20P/page-1", "QS8888-20P")</f>
        <v>QS8888-20P</v>
      </c>
      <c r="B46831" s="3" t="s">
        <v>127</v>
      </c>
      <c r="C46831" s="6">
        <v>1140</v>
      </c>
      <c r="D46831" s="7">
        <v>14.71</v>
      </c>
      <c r="E46831" t="s">
        <v>75</v>
      </c>
    </row>
    <row r="46832" spans="1:5" x14ac:dyDescent="0.25">
      <c r="A46832" t="str">
        <f>HYPERLINK("https://www.773grp.com/globalSearch/QS74FCT299CTP/page-1", "QS74FCT299CTP")</f>
        <v>QS74FCT299CTP</v>
      </c>
      <c r="B46832" s="3" t="s">
        <v>127</v>
      </c>
      <c r="C46832" s="6">
        <v>223</v>
      </c>
      <c r="D46832" s="7">
        <v>14.76</v>
      </c>
    </row>
    <row r="46833" spans="1:5" x14ac:dyDescent="0.25">
      <c r="A46833" t="str">
        <f>HYPERLINK("https://www.773grp.com/globalSearch/QS52806ATSO/page-1", "QS52806ATSO")</f>
        <v>QS52806ATSO</v>
      </c>
      <c r="B46833" s="3" t="s">
        <v>127</v>
      </c>
      <c r="C46833" s="6">
        <v>32</v>
      </c>
      <c r="D46833" s="7">
        <v>14.85</v>
      </c>
      <c r="E46833" t="s">
        <v>34</v>
      </c>
    </row>
    <row r="46834" spans="1:5" x14ac:dyDescent="0.25">
      <c r="A46834" t="str">
        <f>HYPERLINK("https://www.773grp.com/globalSearch/QS74FCT2540ATZ/page-1", "QS74FCT2540ATZ")</f>
        <v>QS74FCT2540ATZ</v>
      </c>
      <c r="B46834" s="3" t="s">
        <v>127</v>
      </c>
      <c r="C46834" s="6">
        <v>200</v>
      </c>
      <c r="D46834" s="7">
        <v>14.85</v>
      </c>
      <c r="E46834" t="s">
        <v>14</v>
      </c>
    </row>
    <row r="46835" spans="1:5" x14ac:dyDescent="0.25">
      <c r="A46835" t="str">
        <f>HYPERLINK("https://www.773grp.com/globalSearch/QS74FCT2541ATZ/page-1", "QS74FCT2541ATZ")</f>
        <v>QS74FCT2541ATZ</v>
      </c>
      <c r="B46835" s="3" t="s">
        <v>127</v>
      </c>
      <c r="C46835" s="6">
        <v>468</v>
      </c>
      <c r="D46835" s="7">
        <v>14.85</v>
      </c>
      <c r="E46835" t="s">
        <v>14</v>
      </c>
    </row>
    <row r="46836" spans="1:5" x14ac:dyDescent="0.25">
      <c r="A46836" t="str">
        <f>HYPERLINK("https://www.773grp.com/globalSearch/59910ZQ/page-1", "59910ZQ")</f>
        <v>59910ZQ</v>
      </c>
      <c r="B46836" s="3" t="s">
        <v>127</v>
      </c>
      <c r="C46836" s="6">
        <v>10912</v>
      </c>
      <c r="D46836" s="7">
        <v>14.89</v>
      </c>
    </row>
    <row r="46837" spans="1:5" x14ac:dyDescent="0.25">
      <c r="A46837" t="str">
        <f>HYPERLINK("https://www.773grp.com/globalSearch/59920ZQ-QS59920-5SOI/page-1", "59920ZQ-QS59920-5SOI")</f>
        <v>59920ZQ-QS59920-5SOI</v>
      </c>
      <c r="B46837" s="3" t="s">
        <v>127</v>
      </c>
      <c r="C46837" s="6">
        <v>651</v>
      </c>
      <c r="D46837" s="7">
        <v>14.89</v>
      </c>
    </row>
    <row r="46838" spans="1:5" x14ac:dyDescent="0.25">
      <c r="A46838" t="str">
        <f>HYPERLINK("https://www.773grp.com/globalSearch/QS74FCT2241CTSO/page-1", "QS74FCT2241CTSO")</f>
        <v>QS74FCT2241CTSO</v>
      </c>
      <c r="B46838" s="3" t="s">
        <v>127</v>
      </c>
      <c r="C46838" s="6">
        <v>621</v>
      </c>
      <c r="D46838" s="7">
        <v>15.23</v>
      </c>
      <c r="E46838" t="s">
        <v>14</v>
      </c>
    </row>
    <row r="46839" spans="1:5" x14ac:dyDescent="0.25">
      <c r="A46839" t="str">
        <f>HYPERLINK("https://www.773grp.com/globalSearch/QS29FCT521BTSO/page-1", "QS29FCT521BTSO")</f>
        <v>QS29FCT521BTSO</v>
      </c>
      <c r="B46839" s="3" t="s">
        <v>127</v>
      </c>
      <c r="C46839" s="6">
        <v>157</v>
      </c>
      <c r="D46839" s="7">
        <v>15.3</v>
      </c>
      <c r="E46839" t="s">
        <v>128</v>
      </c>
    </row>
    <row r="46840" spans="1:5" x14ac:dyDescent="0.25">
      <c r="A46840" t="str">
        <f>HYPERLINK("https://www.773grp.com/globalSearch/QS29FCT52ATZ/page-1", "QS29FCT52ATZ")</f>
        <v>QS29FCT52ATZ</v>
      </c>
      <c r="B46840" s="3" t="s">
        <v>127</v>
      </c>
      <c r="C46840" s="6">
        <v>1817</v>
      </c>
      <c r="D46840" s="7">
        <v>15.33</v>
      </c>
      <c r="E46840" t="s">
        <v>14</v>
      </c>
    </row>
    <row r="46841" spans="1:5" x14ac:dyDescent="0.25">
      <c r="A46841" t="str">
        <f>HYPERLINK("https://www.773grp.com/globalSearch/QS8888A-15V/page-1", "QS8888A-15V")</f>
        <v>QS8888A-15V</v>
      </c>
      <c r="B46841" s="3" t="s">
        <v>127</v>
      </c>
      <c r="C46841" s="6">
        <v>217</v>
      </c>
      <c r="D46841" s="7">
        <v>15.44</v>
      </c>
      <c r="E46841" t="s">
        <v>75</v>
      </c>
    </row>
    <row r="46842" spans="1:5" x14ac:dyDescent="0.25">
      <c r="A46842" t="str">
        <f>HYPERLINK("https://www.773grp.com/globalSearch/QS54FCT161CTSO/page-1", "QS54FCT161CTSO")</f>
        <v>QS54FCT161CTSO</v>
      </c>
      <c r="B46842" s="3" t="s">
        <v>127</v>
      </c>
      <c r="C46842" s="6">
        <v>526</v>
      </c>
      <c r="D46842" s="7">
        <v>15.48</v>
      </c>
    </row>
    <row r="46843" spans="1:5" x14ac:dyDescent="0.25">
      <c r="A46843" t="str">
        <f>HYPERLINK("https://www.773grp.com/globalSearch/QS74FCT2648ATS0/page-1", "QS74FCT2648ATS0")</f>
        <v>QS74FCT2648ATS0</v>
      </c>
      <c r="B46843" s="3" t="s">
        <v>127</v>
      </c>
      <c r="C46843" s="6">
        <v>505</v>
      </c>
      <c r="D46843" s="7">
        <v>15.61</v>
      </c>
    </row>
    <row r="46844" spans="1:5" x14ac:dyDescent="0.25">
      <c r="A46844" t="str">
        <f>HYPERLINK("https://www.773grp.com/globalSearch/QS54FCT2245CTSO/page-1", "QS54FCT2245CTSO")</f>
        <v>QS54FCT2245CTSO</v>
      </c>
      <c r="B46844" s="3" t="s">
        <v>127</v>
      </c>
      <c r="C46844" s="6">
        <v>1318</v>
      </c>
      <c r="D46844" s="7">
        <v>15.75</v>
      </c>
      <c r="E46844" t="s">
        <v>14</v>
      </c>
    </row>
    <row r="46845" spans="1:5" x14ac:dyDescent="0.25">
      <c r="A46845" t="str">
        <f>HYPERLINK("https://www.773grp.com/globalSearch/QS74FCT833BTS0X/page-1", "QS74FCT833BTS0X")</f>
        <v>QS74FCT833BTS0X</v>
      </c>
      <c r="B46845" s="3" t="s">
        <v>127</v>
      </c>
      <c r="C46845" s="6">
        <v>1000</v>
      </c>
      <c r="D46845" s="7">
        <v>15.78</v>
      </c>
    </row>
    <row r="46846" spans="1:5" x14ac:dyDescent="0.25">
      <c r="A46846" t="str">
        <f>HYPERLINK("https://www.773grp.com/globalSearch/QS74FCT853BTS0/page-1", "QS74FCT853BTS0")</f>
        <v>QS74FCT853BTS0</v>
      </c>
      <c r="B46846" s="3" t="s">
        <v>127</v>
      </c>
      <c r="C46846" s="6">
        <v>5</v>
      </c>
      <c r="D46846" s="7">
        <v>15.78</v>
      </c>
    </row>
    <row r="46847" spans="1:5" x14ac:dyDescent="0.25">
      <c r="A46847" t="str">
        <f>HYPERLINK("https://www.773grp.com/globalSearch/QS74FCT853BTSO/page-1", "QS74FCT853BTSO")</f>
        <v>QS74FCT853BTSO</v>
      </c>
      <c r="B46847" s="3" t="s">
        <v>127</v>
      </c>
      <c r="C46847" s="6">
        <v>289</v>
      </c>
      <c r="D46847" s="7">
        <v>15.78</v>
      </c>
      <c r="E46847" t="s">
        <v>14</v>
      </c>
    </row>
    <row r="46848" spans="1:5" x14ac:dyDescent="0.25">
      <c r="A46848" t="str">
        <f>HYPERLINK("https://www.773grp.com/globalSearch/QS74FCT2648ATSO/page-1", "QS74FCT2648ATSO")</f>
        <v>QS74FCT2648ATSO</v>
      </c>
      <c r="B46848" s="3" t="s">
        <v>127</v>
      </c>
      <c r="C46848" s="6">
        <v>2654</v>
      </c>
      <c r="D46848" s="7">
        <v>15.9</v>
      </c>
      <c r="E46848" t="s">
        <v>14</v>
      </c>
    </row>
    <row r="46849" spans="1:5" x14ac:dyDescent="0.25">
      <c r="A46849" t="str">
        <f>HYPERLINK("https://www.773grp.com/globalSearch/QS74FCT2648ATP/page-1", "QS74FCT2648ATP")</f>
        <v>QS74FCT2648ATP</v>
      </c>
      <c r="B46849" s="3" t="s">
        <v>127</v>
      </c>
      <c r="C46849" s="6">
        <v>474</v>
      </c>
      <c r="D46849" s="7">
        <v>15.91</v>
      </c>
      <c r="E46849" t="s">
        <v>14</v>
      </c>
    </row>
    <row r="46850" spans="1:5" x14ac:dyDescent="0.25">
      <c r="A46850" t="str">
        <f>HYPERLINK("https://www.773grp.com/globalSearch/QS74FCT2827CTSO/page-1", "QS74FCT2827CTSO")</f>
        <v>QS74FCT2827CTSO</v>
      </c>
      <c r="B46850" s="3" t="s">
        <v>127</v>
      </c>
      <c r="C46850" s="6">
        <v>631</v>
      </c>
      <c r="D46850" s="7">
        <v>15.91</v>
      </c>
      <c r="E46850" t="s">
        <v>14</v>
      </c>
    </row>
    <row r="46851" spans="1:5" x14ac:dyDescent="0.25">
      <c r="A46851" t="str">
        <f>HYPERLINK("https://www.773grp.com/globalSearch/QS74FCT827CTSO/page-1", "QS74FCT827CTSO")</f>
        <v>QS74FCT827CTSO</v>
      </c>
      <c r="B46851" s="3" t="s">
        <v>127</v>
      </c>
      <c r="C46851" s="6">
        <v>983</v>
      </c>
      <c r="D46851" s="7">
        <v>15.91</v>
      </c>
      <c r="E46851" t="s">
        <v>14</v>
      </c>
    </row>
    <row r="46852" spans="1:5" x14ac:dyDescent="0.25">
      <c r="A46852" t="str">
        <f>HYPERLINK("https://www.773grp.com/globalSearch/QS74FCT2827CTP/page-1", "QS74FCT2827CTP")</f>
        <v>QS74FCT2827CTP</v>
      </c>
      <c r="B46852" s="3" t="s">
        <v>127</v>
      </c>
      <c r="C46852" s="6">
        <v>70</v>
      </c>
      <c r="D46852" s="7">
        <v>15.98</v>
      </c>
      <c r="E46852" t="s">
        <v>14</v>
      </c>
    </row>
    <row r="46853" spans="1:5" x14ac:dyDescent="0.25">
      <c r="A46853" t="str">
        <f>HYPERLINK("https://www.773grp.com/globalSearch/QS7201-25V/page-1", "QS7201-25V")</f>
        <v>QS7201-25V</v>
      </c>
      <c r="B46853" s="3" t="s">
        <v>127</v>
      </c>
      <c r="C46853" s="6">
        <v>722</v>
      </c>
      <c r="D46853" s="7">
        <v>16.04</v>
      </c>
      <c r="E46853" t="s">
        <v>89</v>
      </c>
    </row>
    <row r="46854" spans="1:5" x14ac:dyDescent="0.25">
      <c r="A46854" t="str">
        <f>HYPERLINK("https://www.773grp.com/globalSearch/QS74FCT833BTSO/page-1", "QS74FCT833BTSO")</f>
        <v>QS74FCT833BTSO</v>
      </c>
      <c r="B46854" s="3" t="s">
        <v>127</v>
      </c>
      <c r="C46854" s="6">
        <v>290</v>
      </c>
      <c r="D46854" s="7">
        <v>16.04</v>
      </c>
      <c r="E46854" t="s">
        <v>14</v>
      </c>
    </row>
    <row r="46855" spans="1:5" x14ac:dyDescent="0.25">
      <c r="A46855" t="str">
        <f>HYPERLINK("https://www.773grp.com/globalSearch/QS74FCT833BTQ/page-1", "QS74FCT833BTQ")</f>
        <v>QS74FCT833BTQ</v>
      </c>
      <c r="B46855" s="3" t="s">
        <v>127</v>
      </c>
      <c r="C46855" s="6">
        <v>125</v>
      </c>
      <c r="D46855" s="7">
        <v>16.09</v>
      </c>
      <c r="E46855" t="s">
        <v>14</v>
      </c>
    </row>
    <row r="46856" spans="1:5" x14ac:dyDescent="0.25">
      <c r="A46856" t="str">
        <f>HYPERLINK("https://www.773grp.com/globalSearch/QS74FCT2245CTQ/page-1", "QS74FCT2245CTQ")</f>
        <v>QS74FCT2245CTQ</v>
      </c>
      <c r="B46856" s="3" t="s">
        <v>127</v>
      </c>
      <c r="C46856" s="6">
        <v>1482</v>
      </c>
      <c r="D46856" s="7">
        <v>16.11</v>
      </c>
      <c r="E46856" t="s">
        <v>14</v>
      </c>
    </row>
    <row r="46857" spans="1:5" x14ac:dyDescent="0.25">
      <c r="A46857" t="str">
        <f>HYPERLINK("https://www.773grp.com/globalSearch/QS74FCT2X374ATQI/page-1", "QS74FCT2X374ATQI")</f>
        <v>QS74FCT2X374ATQI</v>
      </c>
      <c r="B46857" s="3" t="s">
        <v>127</v>
      </c>
      <c r="C46857" s="6">
        <v>247</v>
      </c>
      <c r="D46857" s="7">
        <v>16.11</v>
      </c>
    </row>
    <row r="46858" spans="1:5" x14ac:dyDescent="0.25">
      <c r="A46858" t="str">
        <f>HYPERLINK("https://www.773grp.com/globalSearch/QS74FCT138DTQ/page-1", "QS74FCT138DTQ")</f>
        <v>QS74FCT138DTQ</v>
      </c>
      <c r="B46858" s="3" t="s">
        <v>127</v>
      </c>
      <c r="C46858" s="6">
        <v>135</v>
      </c>
      <c r="D46858" s="7">
        <v>16.2</v>
      </c>
      <c r="E46858" t="s">
        <v>36</v>
      </c>
    </row>
    <row r="46859" spans="1:5" x14ac:dyDescent="0.25">
      <c r="A46859" t="str">
        <f>HYPERLINK("https://www.773grp.com/globalSearch/QS74FCT158CTQ/page-1", "QS74FCT158CTQ")</f>
        <v>QS74FCT158CTQ</v>
      </c>
      <c r="B46859" s="3" t="s">
        <v>127</v>
      </c>
      <c r="C46859" s="6">
        <v>3098</v>
      </c>
      <c r="D46859" s="7">
        <v>16.239999999999998</v>
      </c>
      <c r="E46859" t="s">
        <v>20</v>
      </c>
    </row>
    <row r="46860" spans="1:5" x14ac:dyDescent="0.25">
      <c r="A46860" t="str">
        <f>HYPERLINK("https://www.773grp.com/globalSearch/QS29FCT521CTQ/page-1", "QS29FCT521CTQ")</f>
        <v>QS29FCT521CTQ</v>
      </c>
      <c r="B46860" s="3" t="s">
        <v>127</v>
      </c>
      <c r="C46860" s="6">
        <v>408</v>
      </c>
      <c r="D46860" s="7">
        <v>16.25</v>
      </c>
      <c r="E46860" t="s">
        <v>128</v>
      </c>
    </row>
    <row r="46861" spans="1:5" x14ac:dyDescent="0.25">
      <c r="A46861" t="str">
        <f>HYPERLINK("https://www.773grp.com/globalSearch/QS52806ATQ/page-1", "QS52806ATQ")</f>
        <v>QS52806ATQ</v>
      </c>
      <c r="B46861" s="3" t="s">
        <v>127</v>
      </c>
      <c r="C46861" s="6">
        <v>1946</v>
      </c>
      <c r="D46861" s="7">
        <v>16.25</v>
      </c>
      <c r="E46861" t="s">
        <v>34</v>
      </c>
    </row>
    <row r="46862" spans="1:5" x14ac:dyDescent="0.25">
      <c r="A46862" t="str">
        <f>HYPERLINK("https://www.773grp.com/globalSearch/QS7201-20JR/page-1", "QS7201-20JR")</f>
        <v>QS7201-20JR</v>
      </c>
      <c r="B46862" s="3" t="s">
        <v>127</v>
      </c>
      <c r="C46862" s="6">
        <v>15870</v>
      </c>
      <c r="D46862" s="7">
        <v>16.25</v>
      </c>
      <c r="E46862" t="s">
        <v>89</v>
      </c>
    </row>
    <row r="46863" spans="1:5" x14ac:dyDescent="0.25">
      <c r="A46863" t="str">
        <f>HYPERLINK("https://www.773grp.com/globalSearch/QS7201-20Q/page-1", "QS7201-20Q")</f>
        <v>QS7201-20Q</v>
      </c>
      <c r="B46863" s="3" t="s">
        <v>127</v>
      </c>
      <c r="C46863" s="6">
        <v>1500</v>
      </c>
      <c r="D46863" s="7">
        <v>16.25</v>
      </c>
      <c r="E46863" t="s">
        <v>89</v>
      </c>
    </row>
    <row r="46864" spans="1:5" x14ac:dyDescent="0.25">
      <c r="A46864" t="str">
        <f>HYPERLINK("https://www.773grp.com/globalSearch/QS74FCT543TZ/page-1", "QS74FCT543TZ")</f>
        <v>QS74FCT543TZ</v>
      </c>
      <c r="B46864" s="3" t="s">
        <v>127</v>
      </c>
      <c r="C46864" s="6">
        <v>812</v>
      </c>
      <c r="D46864" s="7">
        <v>16.63</v>
      </c>
      <c r="E46864" t="s">
        <v>14</v>
      </c>
    </row>
    <row r="46865" spans="1:5" x14ac:dyDescent="0.25">
      <c r="A46865" t="str">
        <f>HYPERLINK("https://www.773grp.com/globalSearch/QS74FCT377CTZ-03/page-1", "QS74FCT377CTZ-03")</f>
        <v>QS74FCT377CTZ-03</v>
      </c>
      <c r="B46865" s="3" t="s">
        <v>127</v>
      </c>
      <c r="C46865" s="6">
        <v>395</v>
      </c>
      <c r="D46865" s="7">
        <v>16.68</v>
      </c>
    </row>
    <row r="46866" spans="1:5" x14ac:dyDescent="0.25">
      <c r="A46866" t="str">
        <f>HYPERLINK("https://www.773grp.com/globalSearch/QS74FCT534ATZ/page-1", "QS74FCT534ATZ")</f>
        <v>QS74FCT534ATZ</v>
      </c>
      <c r="B46866" s="3" t="s">
        <v>127</v>
      </c>
      <c r="C46866" s="6">
        <v>3298</v>
      </c>
      <c r="D46866" s="7">
        <v>16.739999999999998</v>
      </c>
      <c r="E46866" t="s">
        <v>14</v>
      </c>
    </row>
    <row r="46867" spans="1:5" x14ac:dyDescent="0.25">
      <c r="A46867" t="str">
        <f>HYPERLINK("https://www.773grp.com/globalSearch/QS74FCT843CTSO/page-1", "QS74FCT843CTSO")</f>
        <v>QS74FCT843CTSO</v>
      </c>
      <c r="B46867" s="3" t="s">
        <v>127</v>
      </c>
      <c r="C46867" s="6">
        <v>4014</v>
      </c>
      <c r="D46867" s="7">
        <v>16.91</v>
      </c>
      <c r="E46867" t="s">
        <v>14</v>
      </c>
    </row>
    <row r="46868" spans="1:5" x14ac:dyDescent="0.25">
      <c r="A46868" t="str">
        <f>HYPERLINK("https://www.773grp.com/globalSearch/QS7202-25JR/page-1", "QS7202-25JR")</f>
        <v>QS7202-25JR</v>
      </c>
      <c r="B46868" s="3" t="s">
        <v>127</v>
      </c>
      <c r="C46868" s="6">
        <v>2359</v>
      </c>
      <c r="D46868" s="7">
        <v>16.989999999999998</v>
      </c>
      <c r="E46868" t="s">
        <v>89</v>
      </c>
    </row>
    <row r="46869" spans="1:5" x14ac:dyDescent="0.25">
      <c r="A46869" t="str">
        <f>HYPERLINK("https://www.773grp.com/globalSearch/QS74FCT827CTZ/page-1", "QS74FCT827CTZ")</f>
        <v>QS74FCT827CTZ</v>
      </c>
      <c r="B46869" s="3" t="s">
        <v>127</v>
      </c>
      <c r="C46869" s="6">
        <v>252</v>
      </c>
      <c r="D46869" s="7">
        <v>17.59</v>
      </c>
      <c r="E46869" t="s">
        <v>14</v>
      </c>
    </row>
    <row r="46870" spans="1:5" x14ac:dyDescent="0.25">
      <c r="A46870" t="str">
        <f>HYPERLINK("https://www.773grp.com/globalSearch/QS8888-15P/page-1", "QS8888-15P")</f>
        <v>QS8888-15P</v>
      </c>
      <c r="B46870" s="3" t="s">
        <v>127</v>
      </c>
      <c r="C46870" s="6">
        <v>57</v>
      </c>
      <c r="D46870" s="7">
        <v>17.64</v>
      </c>
      <c r="E46870" t="s">
        <v>75</v>
      </c>
    </row>
    <row r="46871" spans="1:5" x14ac:dyDescent="0.25">
      <c r="A46871" t="str">
        <f>HYPERLINK("https://www.773grp.com/globalSearch/QS7201-15JR/page-1", "QS7201-15JR")</f>
        <v>QS7201-15JR</v>
      </c>
      <c r="B46871" s="3" t="s">
        <v>127</v>
      </c>
      <c r="C46871" s="6">
        <v>2018</v>
      </c>
      <c r="D46871" s="7">
        <v>17.690000000000001</v>
      </c>
      <c r="E46871" t="s">
        <v>89</v>
      </c>
    </row>
    <row r="46872" spans="1:5" x14ac:dyDescent="0.25">
      <c r="A46872" t="str">
        <f>HYPERLINK("https://www.773grp.com/globalSearch/QS7201-15JRX/page-1", "QS7201-15JRX")</f>
        <v>QS7201-15JRX</v>
      </c>
      <c r="B46872" s="3" t="s">
        <v>127</v>
      </c>
      <c r="C46872" s="6">
        <v>7500</v>
      </c>
      <c r="D46872" s="7">
        <v>17.690000000000001</v>
      </c>
    </row>
    <row r="46873" spans="1:5" x14ac:dyDescent="0.25">
      <c r="A46873" t="str">
        <f>HYPERLINK("https://www.773grp.com/globalSearch/QS7201-15Q/page-1", "QS7201-15Q")</f>
        <v>QS7201-15Q</v>
      </c>
      <c r="B46873" s="3" t="s">
        <v>127</v>
      </c>
      <c r="C46873" s="6">
        <v>1205</v>
      </c>
      <c r="D46873" s="7">
        <v>17.690000000000001</v>
      </c>
      <c r="E46873" t="s">
        <v>89</v>
      </c>
    </row>
    <row r="46874" spans="1:5" x14ac:dyDescent="0.25">
      <c r="A46874" t="str">
        <f>HYPERLINK("https://www.773grp.com/globalSearch/QS7201-20P/page-1", "QS7201-20P")</f>
        <v>QS7201-20P</v>
      </c>
      <c r="B46874" s="3" t="s">
        <v>127</v>
      </c>
      <c r="C46874" s="6">
        <v>3664</v>
      </c>
      <c r="D46874" s="7">
        <v>17.940000000000001</v>
      </c>
      <c r="E46874" t="s">
        <v>89</v>
      </c>
    </row>
    <row r="46875" spans="1:5" x14ac:dyDescent="0.25">
      <c r="A46875" t="str">
        <f>HYPERLINK("https://www.773grp.com/globalSearch/QS7201-20V/page-1", "QS7201-20V")</f>
        <v>QS7201-20V</v>
      </c>
      <c r="B46875" s="3" t="s">
        <v>127</v>
      </c>
      <c r="C46875" s="6">
        <v>336</v>
      </c>
      <c r="D46875" s="7">
        <v>17.940000000000001</v>
      </c>
      <c r="E46875" t="s">
        <v>89</v>
      </c>
    </row>
    <row r="46876" spans="1:5" x14ac:dyDescent="0.25">
      <c r="A46876" t="str">
        <f>HYPERLINK("https://www.773grp.com/globalSearch/QS7201-2OP/page-1", "QS7201-2OP")</f>
        <v>QS7201-2OP</v>
      </c>
      <c r="B46876" s="3" t="s">
        <v>127</v>
      </c>
      <c r="C46876" s="6">
        <v>1174</v>
      </c>
      <c r="D46876" s="7">
        <v>17.940000000000001</v>
      </c>
    </row>
    <row r="46877" spans="1:5" x14ac:dyDescent="0.25">
      <c r="A46877" t="str">
        <f>HYPERLINK("https://www.773grp.com/globalSearch/QS74FCT573CTZ/page-1", "QS74FCT573CTZ")</f>
        <v>QS74FCT573CTZ</v>
      </c>
      <c r="B46877" s="3" t="s">
        <v>127</v>
      </c>
      <c r="C46877" s="6">
        <v>208</v>
      </c>
      <c r="D46877" s="7">
        <v>18</v>
      </c>
      <c r="E46877" t="s">
        <v>14</v>
      </c>
    </row>
    <row r="46878" spans="1:5" x14ac:dyDescent="0.25">
      <c r="A46878" t="str">
        <f>HYPERLINK("https://www.773grp.com/globalSearch/QS29FCT520CTS0X/page-1", "QS29FCT520CTS0X")</f>
        <v>QS29FCT520CTS0X</v>
      </c>
      <c r="B46878" s="3" t="s">
        <v>127</v>
      </c>
      <c r="C46878" s="6">
        <v>7000</v>
      </c>
      <c r="D46878" s="7">
        <v>18.059999999999999</v>
      </c>
    </row>
    <row r="46879" spans="1:5" x14ac:dyDescent="0.25">
      <c r="A46879" t="str">
        <f>HYPERLINK("https://www.773grp.com/globalSearch/QS29FCT520CTSOX/page-1", "QS29FCT520CTSOX")</f>
        <v>QS29FCT520CTSOX</v>
      </c>
      <c r="B46879" s="3" t="s">
        <v>127</v>
      </c>
      <c r="C46879" s="6">
        <v>3992</v>
      </c>
      <c r="D46879" s="7">
        <v>18.059999999999999</v>
      </c>
    </row>
    <row r="46880" spans="1:5" x14ac:dyDescent="0.25">
      <c r="A46880" t="str">
        <f>HYPERLINK("https://www.773grp.com/globalSearch/QS74FCT2821CTP/page-1", "QS74FCT2821CTP")</f>
        <v>QS74FCT2821CTP</v>
      </c>
      <c r="B46880" s="3" t="s">
        <v>127</v>
      </c>
      <c r="C46880" s="6">
        <v>202</v>
      </c>
      <c r="D46880" s="7">
        <v>18.059999999999999</v>
      </c>
      <c r="E46880" t="s">
        <v>14</v>
      </c>
    </row>
    <row r="46881" spans="1:5" x14ac:dyDescent="0.25">
      <c r="A46881" t="str">
        <f>HYPERLINK("https://www.773grp.com/globalSearch/QS74FCT2823CTP/page-1", "QS74FCT2823CTP")</f>
        <v>QS74FCT2823CTP</v>
      </c>
      <c r="B46881" s="3" t="s">
        <v>127</v>
      </c>
      <c r="C46881" s="6">
        <v>809</v>
      </c>
      <c r="D46881" s="7">
        <v>18.059999999999999</v>
      </c>
      <c r="E46881" t="s">
        <v>14</v>
      </c>
    </row>
    <row r="46882" spans="1:5" x14ac:dyDescent="0.25">
      <c r="A46882" t="str">
        <f>HYPERLINK("https://www.773grp.com/globalSearch/QS5920PA/page-1", "QS5920PA")</f>
        <v>QS5920PA</v>
      </c>
      <c r="B46882" s="3" t="s">
        <v>127</v>
      </c>
      <c r="C46882" s="6">
        <v>6655</v>
      </c>
      <c r="D46882" s="7">
        <v>18.11</v>
      </c>
      <c r="E46882" t="s">
        <v>34</v>
      </c>
    </row>
    <row r="46883" spans="1:5" x14ac:dyDescent="0.25">
      <c r="A46883" t="str">
        <f>HYPERLINK("https://www.773grp.com/globalSearch/QS5920Q/page-1", "QS5920Q")</f>
        <v>QS5920Q</v>
      </c>
      <c r="B46883" s="3" t="s">
        <v>127</v>
      </c>
      <c r="C46883" s="6">
        <v>4976</v>
      </c>
      <c r="D46883" s="7">
        <v>18.11</v>
      </c>
      <c r="E46883" t="s">
        <v>34</v>
      </c>
    </row>
    <row r="46884" spans="1:5" x14ac:dyDescent="0.25">
      <c r="A46884" t="str">
        <f>HYPERLINK("https://www.773grp.com/globalSearch/QS74FCT2521CTSO/page-1", "QS74FCT2521CTSO")</f>
        <v>QS74FCT2521CTSO</v>
      </c>
      <c r="B46884" s="3" t="s">
        <v>127</v>
      </c>
      <c r="C46884" s="6">
        <v>473</v>
      </c>
      <c r="D46884" s="7">
        <v>18.28</v>
      </c>
      <c r="E46884" t="s">
        <v>43</v>
      </c>
    </row>
    <row r="46885" spans="1:5" x14ac:dyDescent="0.25">
      <c r="A46885" t="str">
        <f>HYPERLINK("https://www.773grp.com/globalSearch/QS7202-20JR/page-1", "QS7202-20JR")</f>
        <v>QS7202-20JR</v>
      </c>
      <c r="B46885" s="3" t="s">
        <v>127</v>
      </c>
      <c r="C46885" s="6">
        <v>1497</v>
      </c>
      <c r="D46885" s="7">
        <v>18.43</v>
      </c>
      <c r="E46885" t="s">
        <v>89</v>
      </c>
    </row>
    <row r="46886" spans="1:5" x14ac:dyDescent="0.25">
      <c r="A46886" t="str">
        <f>HYPERLINK("https://www.773grp.com/globalSearch/QS74FCT521CTZ/page-1", "QS74FCT521CTZ")</f>
        <v>QS74FCT521CTZ</v>
      </c>
      <c r="B46886" s="3" t="s">
        <v>127</v>
      </c>
      <c r="C46886" s="6">
        <v>160</v>
      </c>
      <c r="D46886" s="7">
        <v>18.43</v>
      </c>
      <c r="E46886" t="s">
        <v>43</v>
      </c>
    </row>
    <row r="46887" spans="1:5" x14ac:dyDescent="0.25">
      <c r="A46887" t="str">
        <f>HYPERLINK("https://www.773grp.com/globalSearch/QS74FCT521DTQ/page-1", "QS74FCT521DTQ")</f>
        <v>QS74FCT521DTQ</v>
      </c>
      <c r="B46887" s="3" t="s">
        <v>127</v>
      </c>
      <c r="C46887" s="6">
        <v>4528</v>
      </c>
      <c r="D46887" s="7">
        <v>18.43</v>
      </c>
      <c r="E46887" t="s">
        <v>43</v>
      </c>
    </row>
    <row r="46888" spans="1:5" x14ac:dyDescent="0.25">
      <c r="A46888" t="str">
        <f>HYPERLINK("https://www.773grp.com/globalSearch/QS74FCT521DTS0/page-1", "QS74FCT521DTS0")</f>
        <v>QS74FCT521DTS0</v>
      </c>
      <c r="B46888" s="3" t="s">
        <v>127</v>
      </c>
      <c r="C46888" s="6">
        <v>3552</v>
      </c>
      <c r="D46888" s="7">
        <v>18.43</v>
      </c>
    </row>
    <row r="46889" spans="1:5" x14ac:dyDescent="0.25">
      <c r="A46889" t="str">
        <f>HYPERLINK("https://www.773grp.com/globalSearch/QS74FCT521DTSO/page-1", "QS74FCT521DTSO")</f>
        <v>QS74FCT521DTSO</v>
      </c>
      <c r="B46889" s="3" t="s">
        <v>127</v>
      </c>
      <c r="C46889" s="6">
        <v>4479</v>
      </c>
      <c r="D46889" s="7">
        <v>18.43</v>
      </c>
      <c r="E46889" t="s">
        <v>43</v>
      </c>
    </row>
    <row r="46890" spans="1:5" x14ac:dyDescent="0.25">
      <c r="A46890" t="str">
        <f>HYPERLINK("https://www.773grp.com/globalSearch/QS74FCT823CTZ/page-1", "QS74FCT823CTZ")</f>
        <v>QS74FCT823CTZ</v>
      </c>
      <c r="B46890" s="3" t="s">
        <v>127</v>
      </c>
      <c r="C46890" s="6">
        <v>388</v>
      </c>
      <c r="D46890" s="7">
        <v>18.649999999999999</v>
      </c>
      <c r="E46890" t="s">
        <v>14</v>
      </c>
    </row>
    <row r="46891" spans="1:5" x14ac:dyDescent="0.25">
      <c r="A46891" t="str">
        <f>HYPERLINK("https://www.773grp.com/globalSearch/QS74FCT825CTZ/page-1", "QS74FCT825CTZ")</f>
        <v>QS74FCT825CTZ</v>
      </c>
      <c r="B46891" s="3" t="s">
        <v>127</v>
      </c>
      <c r="C46891" s="6">
        <v>275</v>
      </c>
      <c r="D46891" s="7">
        <v>18.649999999999999</v>
      </c>
      <c r="E46891" t="s">
        <v>14</v>
      </c>
    </row>
    <row r="46892" spans="1:5" x14ac:dyDescent="0.25">
      <c r="A46892" t="str">
        <f>HYPERLINK("https://www.773grp.com/globalSearch/QS74FCT651CTS0/page-1", "QS74FCT651CTS0")</f>
        <v>QS74FCT651CTS0</v>
      </c>
      <c r="B46892" s="3" t="s">
        <v>127</v>
      </c>
      <c r="C46892" s="6">
        <v>108</v>
      </c>
      <c r="D46892" s="7">
        <v>18.760000000000002</v>
      </c>
    </row>
    <row r="46893" spans="1:5" x14ac:dyDescent="0.25">
      <c r="A46893" t="str">
        <f>HYPERLINK("https://www.773grp.com/globalSearch/QS54FCT2240ATHB/page-1", "QS54FCT2240ATHB")</f>
        <v>QS54FCT2240ATHB</v>
      </c>
      <c r="B46893" s="3" t="s">
        <v>127</v>
      </c>
      <c r="C46893" s="6">
        <v>587</v>
      </c>
      <c r="D46893" s="7">
        <v>19.100000000000001</v>
      </c>
      <c r="E46893" t="s">
        <v>14</v>
      </c>
    </row>
    <row r="46894" spans="1:5" x14ac:dyDescent="0.25">
      <c r="A46894" t="str">
        <f>HYPERLINK("https://www.773grp.com/globalSearch/QS54FCT2374ATHB/page-1", "QS54FCT2374ATHB")</f>
        <v>QS54FCT2374ATHB</v>
      </c>
      <c r="B46894" s="3" t="s">
        <v>127</v>
      </c>
      <c r="C46894" s="6">
        <v>838</v>
      </c>
      <c r="D46894" s="7">
        <v>19.100000000000001</v>
      </c>
      <c r="E46894" t="s">
        <v>14</v>
      </c>
    </row>
    <row r="46895" spans="1:5" x14ac:dyDescent="0.25">
      <c r="A46895" t="str">
        <f>HYPERLINK("https://www.773grp.com/globalSearch/QS54FCT240ATHB/page-1", "QS54FCT240ATHB")</f>
        <v>QS54FCT240ATHB</v>
      </c>
      <c r="B46895" s="3" t="s">
        <v>127</v>
      </c>
      <c r="C46895" s="6">
        <v>4354</v>
      </c>
      <c r="D46895" s="7">
        <v>19.100000000000001</v>
      </c>
      <c r="E46895" t="s">
        <v>14</v>
      </c>
    </row>
    <row r="46896" spans="1:5" x14ac:dyDescent="0.25">
      <c r="A46896" t="str">
        <f>HYPERLINK("https://www.773grp.com/globalSearch/QS54FCT245ATHB/page-1", "QS54FCT245ATHB")</f>
        <v>QS54FCT245ATHB</v>
      </c>
      <c r="B46896" s="3" t="s">
        <v>127</v>
      </c>
      <c r="C46896" s="6">
        <v>1915</v>
      </c>
      <c r="D46896" s="7">
        <v>19.100000000000001</v>
      </c>
      <c r="E46896" t="s">
        <v>14</v>
      </c>
    </row>
    <row r="46897" spans="1:5" x14ac:dyDescent="0.25">
      <c r="A46897" t="str">
        <f>HYPERLINK("https://www.773grp.com/globalSearch/QS54FCT2573ATHB/page-1", "QS54FCT2573ATHB")</f>
        <v>QS54FCT2573ATHB</v>
      </c>
      <c r="B46897" s="3" t="s">
        <v>127</v>
      </c>
      <c r="C46897" s="6">
        <v>1339</v>
      </c>
      <c r="D46897" s="7">
        <v>19.100000000000001</v>
      </c>
      <c r="E46897" t="s">
        <v>14</v>
      </c>
    </row>
    <row r="46898" spans="1:5" x14ac:dyDescent="0.25">
      <c r="A46898" t="str">
        <f>HYPERLINK("https://www.773grp.com/globalSearch/QS54FCT2574ATHB/page-1", "QS54FCT2574ATHB")</f>
        <v>QS54FCT2574ATHB</v>
      </c>
      <c r="B46898" s="3" t="s">
        <v>127</v>
      </c>
      <c r="C46898" s="6">
        <v>432</v>
      </c>
      <c r="D46898" s="7">
        <v>19.100000000000001</v>
      </c>
      <c r="E46898" t="s">
        <v>14</v>
      </c>
    </row>
    <row r="46899" spans="1:5" x14ac:dyDescent="0.25">
      <c r="A46899" t="str">
        <f>HYPERLINK("https://www.773grp.com/globalSearch/QS54FCT374ATHB/page-1", "QS54FCT374ATHB")</f>
        <v>QS54FCT374ATHB</v>
      </c>
      <c r="B46899" s="3" t="s">
        <v>127</v>
      </c>
      <c r="C46899" s="6">
        <v>582</v>
      </c>
      <c r="D46899" s="7">
        <v>19.100000000000001</v>
      </c>
      <c r="E46899" t="s">
        <v>14</v>
      </c>
    </row>
    <row r="46900" spans="1:5" x14ac:dyDescent="0.25">
      <c r="A46900" t="str">
        <f>HYPERLINK("https://www.773grp.com/globalSearch/QS7201-12JR/page-1", "QS7201-12JR")</f>
        <v>QS7201-12JR</v>
      </c>
      <c r="B46900" s="3" t="s">
        <v>127</v>
      </c>
      <c r="C46900" s="6">
        <v>718</v>
      </c>
      <c r="D46900" s="7">
        <v>19.13</v>
      </c>
      <c r="E46900" t="s">
        <v>89</v>
      </c>
    </row>
    <row r="46901" spans="1:5" x14ac:dyDescent="0.25">
      <c r="A46901" t="str">
        <f>HYPERLINK("https://www.773grp.com/globalSearch/QS54FCT573ATHB/page-1", "QS54FCT573ATHB")</f>
        <v>QS54FCT573ATHB</v>
      </c>
      <c r="B46901" s="3" t="s">
        <v>127</v>
      </c>
      <c r="C46901" s="6">
        <v>3</v>
      </c>
      <c r="D46901" s="7">
        <v>19.239999999999998</v>
      </c>
      <c r="E46901" t="s">
        <v>14</v>
      </c>
    </row>
    <row r="46902" spans="1:5" x14ac:dyDescent="0.25">
      <c r="A46902" t="str">
        <f>HYPERLINK("https://www.773grp.com/globalSearch/QS7202-20P/page-1", "QS7202-20P")</f>
        <v>QS7202-20P</v>
      </c>
      <c r="B46902" s="3" t="s">
        <v>127</v>
      </c>
      <c r="C46902" s="6">
        <v>1174</v>
      </c>
      <c r="D46902" s="7">
        <v>19.46</v>
      </c>
      <c r="E46902" t="s">
        <v>89</v>
      </c>
    </row>
    <row r="46903" spans="1:5" x14ac:dyDescent="0.25">
      <c r="A46903" t="str">
        <f>HYPERLINK("https://www.773grp.com/globalSearch/QS32384Z/page-1", "QS32384Z")</f>
        <v>QS32384Z</v>
      </c>
      <c r="B46903" s="3" t="s">
        <v>127</v>
      </c>
      <c r="C46903" s="6">
        <v>210</v>
      </c>
      <c r="D46903" s="7">
        <v>19.63</v>
      </c>
      <c r="E46903" t="s">
        <v>14</v>
      </c>
    </row>
    <row r="46904" spans="1:5" x14ac:dyDescent="0.25">
      <c r="A46904" t="str">
        <f>HYPERLINK("https://www.773grp.com/globalSearch/QS74FCT2374CTZ/page-1", "QS74FCT2374CTZ")</f>
        <v>QS74FCT2374CTZ</v>
      </c>
      <c r="B46904" s="3" t="s">
        <v>127</v>
      </c>
      <c r="C46904" s="6">
        <v>518</v>
      </c>
      <c r="D46904" s="7">
        <v>19.8</v>
      </c>
      <c r="E46904" t="s">
        <v>14</v>
      </c>
    </row>
    <row r="46905" spans="1:5" x14ac:dyDescent="0.25">
      <c r="A46905" t="str">
        <f>HYPERLINK("https://www.773grp.com/globalSearch/QS7202-15JR/page-1", "QS7202-15JR")</f>
        <v>QS7202-15JR</v>
      </c>
      <c r="B46905" s="3" t="s">
        <v>127</v>
      </c>
      <c r="C46905" s="6">
        <v>2754</v>
      </c>
      <c r="D46905" s="7">
        <v>19.86</v>
      </c>
      <c r="E46905" t="s">
        <v>89</v>
      </c>
    </row>
    <row r="46906" spans="1:5" x14ac:dyDescent="0.25">
      <c r="A46906" t="str">
        <f>HYPERLINK("https://www.773grp.com/globalSearch/QS74FCT373CTZ/page-1", "QS74FCT373CTZ")</f>
        <v>QS74FCT373CTZ</v>
      </c>
      <c r="B46906" s="3" t="s">
        <v>127</v>
      </c>
      <c r="C46906" s="6">
        <v>121</v>
      </c>
      <c r="D46906" s="7">
        <v>20.2</v>
      </c>
      <c r="E46906" t="s">
        <v>14</v>
      </c>
    </row>
    <row r="46907" spans="1:5" x14ac:dyDescent="0.25">
      <c r="A46907" t="str">
        <f>HYPERLINK("https://www.773grp.com/globalSearch/QS74FCT377CTZ/page-1", "QS74FCT377CTZ")</f>
        <v>QS74FCT377CTZ</v>
      </c>
      <c r="B46907" s="3" t="s">
        <v>127</v>
      </c>
      <c r="C46907" s="6">
        <v>2389</v>
      </c>
      <c r="D46907" s="7">
        <v>20.2</v>
      </c>
      <c r="E46907" t="s">
        <v>35</v>
      </c>
    </row>
    <row r="46908" spans="1:5" x14ac:dyDescent="0.25">
      <c r="A46908" t="str">
        <f>HYPERLINK("https://www.773grp.com/globalSearch/QS74FCT2823CTZ/page-1", "QS74FCT2823CTZ")</f>
        <v>QS74FCT2823CTZ</v>
      </c>
      <c r="B46908" s="3" t="s">
        <v>127</v>
      </c>
      <c r="C46908" s="6">
        <v>130</v>
      </c>
      <c r="D46908" s="7">
        <v>20.54</v>
      </c>
      <c r="E46908" t="s">
        <v>14</v>
      </c>
    </row>
    <row r="46909" spans="1:5" x14ac:dyDescent="0.25">
      <c r="A46909" t="str">
        <f>HYPERLINK("https://www.773grp.com/globalSearch/QS74FCT2841CTZ/page-1", "QS74FCT2841CTZ")</f>
        <v>QS74FCT2841CTZ</v>
      </c>
      <c r="B46909" s="3" t="s">
        <v>127</v>
      </c>
      <c r="C46909" s="6">
        <v>413</v>
      </c>
      <c r="D46909" s="7">
        <v>20.54</v>
      </c>
      <c r="E46909" t="s">
        <v>14</v>
      </c>
    </row>
    <row r="46910" spans="1:5" x14ac:dyDescent="0.25">
      <c r="A46910" t="str">
        <f>HYPERLINK("https://www.773grp.com/globalSearch/QS74FCT2843CTZ/page-1", "QS74FCT2843CTZ")</f>
        <v>QS74FCT2843CTZ</v>
      </c>
      <c r="B46910" s="3" t="s">
        <v>127</v>
      </c>
      <c r="C46910" s="6">
        <v>383</v>
      </c>
      <c r="D46910" s="7">
        <v>20.54</v>
      </c>
      <c r="E46910" t="s">
        <v>14</v>
      </c>
    </row>
    <row r="46911" spans="1:5" x14ac:dyDescent="0.25">
      <c r="A46911" t="str">
        <f>HYPERLINK("https://www.773grp.com/globalSearch/QS74FCT2251CTSO/page-1", "QS74FCT2251CTSO")</f>
        <v>QS74FCT2251CTSO</v>
      </c>
      <c r="B46911" s="3" t="s">
        <v>127</v>
      </c>
      <c r="C46911" s="6">
        <v>468</v>
      </c>
      <c r="D46911" s="7">
        <v>20.79</v>
      </c>
      <c r="E46911" t="s">
        <v>20</v>
      </c>
    </row>
    <row r="46912" spans="1:5" x14ac:dyDescent="0.25">
      <c r="A46912" t="str">
        <f>HYPERLINK("https://www.773grp.com/globalSearch/QS7201-12V/page-1", "QS7201-12V")</f>
        <v>QS7201-12V</v>
      </c>
      <c r="B46912" s="3" t="s">
        <v>127</v>
      </c>
      <c r="C46912" s="6">
        <v>330</v>
      </c>
      <c r="D46912" s="7">
        <v>20.81</v>
      </c>
      <c r="E46912" t="s">
        <v>89</v>
      </c>
    </row>
    <row r="46913" spans="1:5" x14ac:dyDescent="0.25">
      <c r="A46913" t="str">
        <f>HYPERLINK("https://www.773grp.com/globalSearch/QS7203-50V/page-1", "QS7203-50V")</f>
        <v>QS7203-50V</v>
      </c>
      <c r="B46913" s="3" t="s">
        <v>127</v>
      </c>
      <c r="C46913" s="6">
        <v>2352</v>
      </c>
      <c r="D46913" s="7">
        <v>20.81</v>
      </c>
      <c r="E46913" t="s">
        <v>89</v>
      </c>
    </row>
    <row r="46914" spans="1:5" x14ac:dyDescent="0.25">
      <c r="A46914" t="str">
        <f>HYPERLINK("https://www.773grp.com/globalSearch/QS7203-35P/page-1", "QS7203-35P")</f>
        <v>QS7203-35P</v>
      </c>
      <c r="B46914" s="3" t="s">
        <v>127</v>
      </c>
      <c r="C46914" s="6">
        <v>368</v>
      </c>
      <c r="D46914" s="7">
        <v>20.96</v>
      </c>
      <c r="E46914" t="s">
        <v>89</v>
      </c>
    </row>
    <row r="46915" spans="1:5" x14ac:dyDescent="0.25">
      <c r="A46915" t="str">
        <f>HYPERLINK("https://www.773grp.com/globalSearch/QS54FCT138ATHB/page-1", "QS54FCT138ATHB")</f>
        <v>QS54FCT138ATHB</v>
      </c>
      <c r="B46915" s="3" t="s">
        <v>127</v>
      </c>
      <c r="C46915" s="6">
        <v>64</v>
      </c>
      <c r="D46915" s="7">
        <v>21.06</v>
      </c>
      <c r="E46915" t="s">
        <v>36</v>
      </c>
    </row>
    <row r="46916" spans="1:5" x14ac:dyDescent="0.25">
      <c r="A46916" t="str">
        <f>HYPERLINK("https://www.773grp.com/globalSearch/QS54FCT151ATHB/page-1", "QS54FCT151ATHB")</f>
        <v>QS54FCT151ATHB</v>
      </c>
      <c r="B46916" s="3" t="s">
        <v>127</v>
      </c>
      <c r="C46916" s="6">
        <v>20</v>
      </c>
      <c r="D46916" s="7">
        <v>21.06</v>
      </c>
      <c r="E46916" t="s">
        <v>20</v>
      </c>
    </row>
    <row r="46917" spans="1:5" x14ac:dyDescent="0.25">
      <c r="A46917" t="str">
        <f>HYPERLINK("https://www.773grp.com/globalSearch/QS74FCT2374DTS0/page-1", "QS74FCT2374DTS0")</f>
        <v>QS74FCT2374DTS0</v>
      </c>
      <c r="B46917" s="3" t="s">
        <v>127</v>
      </c>
      <c r="C46917" s="6">
        <v>816</v>
      </c>
      <c r="D46917" s="7">
        <v>21.23</v>
      </c>
    </row>
    <row r="46918" spans="1:5" x14ac:dyDescent="0.25">
      <c r="A46918" t="str">
        <f>HYPERLINK("https://www.773grp.com/globalSearch/QS74FCT2373DTQ/page-1", "QS74FCT2373DTQ")</f>
        <v>QS74FCT2373DTQ</v>
      </c>
      <c r="B46918" s="3" t="s">
        <v>127</v>
      </c>
      <c r="C46918" s="6">
        <v>236</v>
      </c>
      <c r="D46918" s="7">
        <v>21.26</v>
      </c>
      <c r="E46918" t="s">
        <v>14</v>
      </c>
    </row>
    <row r="46919" spans="1:5" x14ac:dyDescent="0.25">
      <c r="A46919" t="str">
        <f>HYPERLINK("https://www.773grp.com/globalSearch/QS74FCT2374DTQ/page-1", "QS74FCT2374DTQ")</f>
        <v>QS74FCT2374DTQ</v>
      </c>
      <c r="B46919" s="3" t="s">
        <v>127</v>
      </c>
      <c r="C46919" s="6">
        <v>257</v>
      </c>
      <c r="D46919" s="7">
        <v>21.26</v>
      </c>
    </row>
    <row r="46920" spans="1:5" x14ac:dyDescent="0.25">
      <c r="A46920" t="str">
        <f>HYPERLINK("https://www.773grp.com/globalSearch/QS29FCT520ATZ/page-1", "QS29FCT520ATZ")</f>
        <v>QS29FCT520ATZ</v>
      </c>
      <c r="B46920" s="3" t="s">
        <v>127</v>
      </c>
      <c r="C46920" s="6">
        <v>109</v>
      </c>
      <c r="D46920" s="7">
        <v>21.46</v>
      </c>
      <c r="E46920" t="s">
        <v>128</v>
      </c>
    </row>
    <row r="46921" spans="1:5" x14ac:dyDescent="0.25">
      <c r="A46921" t="str">
        <f>HYPERLINK("https://www.773grp.com/globalSearch/QS7202-15P/page-1", "QS7202-15P")</f>
        <v>QS7202-15P</v>
      </c>
      <c r="B46921" s="3" t="s">
        <v>127</v>
      </c>
      <c r="C46921" s="6">
        <v>5349</v>
      </c>
      <c r="D46921" s="7">
        <v>21.51</v>
      </c>
      <c r="E46921" t="s">
        <v>89</v>
      </c>
    </row>
    <row r="46922" spans="1:5" x14ac:dyDescent="0.25">
      <c r="A46922" t="str">
        <f>HYPERLINK("https://www.773grp.com/globalSearch/QS54FCT273ATHB/page-1", "QS54FCT273ATHB")</f>
        <v>QS54FCT273ATHB</v>
      </c>
      <c r="B46922" s="3" t="s">
        <v>127</v>
      </c>
      <c r="C46922" s="6">
        <v>1401</v>
      </c>
      <c r="D46922" s="7">
        <v>21.64</v>
      </c>
      <c r="E46922" t="s">
        <v>35</v>
      </c>
    </row>
    <row r="46923" spans="1:5" x14ac:dyDescent="0.25">
      <c r="A46923" t="str">
        <f>HYPERLINK("https://www.773grp.com/globalSearch/QS5820BTQ2/page-1", "QS5820BTQ2")</f>
        <v>QS5820BTQ2</v>
      </c>
      <c r="B46923" s="3" t="s">
        <v>127</v>
      </c>
      <c r="C46923" s="6">
        <v>225</v>
      </c>
      <c r="D46923" s="7">
        <v>21.65</v>
      </c>
      <c r="E46923" t="s">
        <v>34</v>
      </c>
    </row>
    <row r="46924" spans="1:5" x14ac:dyDescent="0.25">
      <c r="A46924" t="str">
        <f>HYPERLINK("https://www.773grp.com/globalSearch/QS7202-12JR/page-1", "QS7202-12JR")</f>
        <v>QS7202-12JR</v>
      </c>
      <c r="B46924" s="3" t="s">
        <v>127</v>
      </c>
      <c r="C46924" s="6">
        <v>1098</v>
      </c>
      <c r="D46924" s="7">
        <v>21.78</v>
      </c>
      <c r="E46924" t="s">
        <v>89</v>
      </c>
    </row>
    <row r="46925" spans="1:5" x14ac:dyDescent="0.25">
      <c r="A46925" t="str">
        <f>HYPERLINK("https://www.773grp.com/globalSearch/QS7203-35V/page-1", "QS7203-35V")</f>
        <v>QS7203-35V</v>
      </c>
      <c r="B46925" s="3" t="s">
        <v>127</v>
      </c>
      <c r="C46925" s="6">
        <v>125</v>
      </c>
      <c r="D46925" s="7">
        <v>21.78</v>
      </c>
      <c r="E46925" t="s">
        <v>89</v>
      </c>
    </row>
    <row r="46926" spans="1:5" x14ac:dyDescent="0.25">
      <c r="A46926" t="str">
        <f>HYPERLINK("https://www.773grp.com/globalSearch/QS74FCT2821ATZ/page-1", "QS74FCT2821ATZ")</f>
        <v>QS74FCT2821ATZ</v>
      </c>
      <c r="B46926" s="3" t="s">
        <v>127</v>
      </c>
      <c r="C46926" s="6">
        <v>596</v>
      </c>
      <c r="D46926" s="7">
        <v>22.28</v>
      </c>
      <c r="E46926" t="s">
        <v>14</v>
      </c>
    </row>
    <row r="46927" spans="1:5" x14ac:dyDescent="0.25">
      <c r="A46927" t="str">
        <f>HYPERLINK("https://www.773grp.com/globalSearch/QS3383DM/page-1", "QS3383DM")</f>
        <v>QS3383DM</v>
      </c>
      <c r="B46927" s="3" t="s">
        <v>127</v>
      </c>
      <c r="C46927" s="6">
        <v>249</v>
      </c>
      <c r="D46927" s="7">
        <v>22.5</v>
      </c>
    </row>
    <row r="46928" spans="1:5" x14ac:dyDescent="0.25">
      <c r="A46928" t="str">
        <f>HYPERLINK("https://www.773grp.com/globalSearch/QS74FCT2521CTP/page-1", "QS74FCT2521CTP")</f>
        <v>QS74FCT2521CTP</v>
      </c>
      <c r="B46928" s="3" t="s">
        <v>127</v>
      </c>
      <c r="C46928" s="6">
        <v>111</v>
      </c>
      <c r="D46928" s="7">
        <v>22.5</v>
      </c>
      <c r="E46928" t="s">
        <v>43</v>
      </c>
    </row>
    <row r="46929" spans="1:5" x14ac:dyDescent="0.25">
      <c r="A46929" t="str">
        <f>HYPERLINK("https://www.773grp.com/globalSearch/QS3388Z/page-1", "QS3388Z")</f>
        <v>QS3388Z</v>
      </c>
      <c r="B46929" s="3" t="s">
        <v>127</v>
      </c>
      <c r="C46929" s="6">
        <v>887</v>
      </c>
      <c r="D46929" s="7">
        <v>22.56</v>
      </c>
    </row>
    <row r="46930" spans="1:5" x14ac:dyDescent="0.25">
      <c r="A46930" t="str">
        <f>HYPERLINK("https://www.773grp.com/globalSearch/QS7202-80JR/page-1", "QS7202-80JR")</f>
        <v>QS7202-80JR</v>
      </c>
      <c r="B46930" s="3" t="s">
        <v>127</v>
      </c>
      <c r="C46930" s="6">
        <v>115</v>
      </c>
      <c r="D46930" s="7">
        <v>23</v>
      </c>
      <c r="E46930" t="s">
        <v>89</v>
      </c>
    </row>
    <row r="46931" spans="1:5" x14ac:dyDescent="0.25">
      <c r="A46931" t="str">
        <f>HYPERLINK("https://www.773grp.com/globalSearch/QS7201-10Q/page-1", "QS7201-10Q")</f>
        <v>QS7201-10Q</v>
      </c>
      <c r="B46931" s="3" t="s">
        <v>127</v>
      </c>
      <c r="C46931" s="6">
        <v>328</v>
      </c>
      <c r="D46931" s="7">
        <v>23.2</v>
      </c>
      <c r="E46931" t="s">
        <v>89</v>
      </c>
    </row>
    <row r="46932" spans="1:5" x14ac:dyDescent="0.25">
      <c r="A46932" t="str">
        <f>HYPERLINK("https://www.773grp.com/globalSearch/QS54FCT153ATHB/page-1", "QS54FCT153ATHB")</f>
        <v>QS54FCT153ATHB</v>
      </c>
      <c r="B46932" s="3" t="s">
        <v>127</v>
      </c>
      <c r="C46932" s="6">
        <v>719</v>
      </c>
      <c r="D46932" s="7">
        <v>23.68</v>
      </c>
      <c r="E46932" t="s">
        <v>20</v>
      </c>
    </row>
    <row r="46933" spans="1:5" x14ac:dyDescent="0.25">
      <c r="A46933" t="str">
        <f>HYPERLINK("https://www.773grp.com/globalSearch/QS54FCT157ATHB/page-1", "QS54FCT157ATHB")</f>
        <v>QS54FCT157ATHB</v>
      </c>
      <c r="B46933" s="3" t="s">
        <v>127</v>
      </c>
      <c r="C46933" s="6">
        <v>1156</v>
      </c>
      <c r="D46933" s="7">
        <v>23.68</v>
      </c>
      <c r="E46933" t="s">
        <v>20</v>
      </c>
    </row>
    <row r="46934" spans="1:5" x14ac:dyDescent="0.25">
      <c r="A46934" t="str">
        <f>HYPERLINK("https://www.773grp.com/globalSearch/QS8888-12P/page-1", "QS8888-12P")</f>
        <v>QS8888-12P</v>
      </c>
      <c r="B46934" s="3" t="s">
        <v>127</v>
      </c>
      <c r="C46934" s="6">
        <v>62</v>
      </c>
      <c r="D46934" s="7">
        <v>23.83</v>
      </c>
      <c r="E46934" t="s">
        <v>75</v>
      </c>
    </row>
    <row r="46935" spans="1:5" x14ac:dyDescent="0.25">
      <c r="A46935" t="str">
        <f>HYPERLINK("https://www.773grp.com/globalSearch/QS74FCT823DTSO/page-1", "QS74FCT823DTSO")</f>
        <v>QS74FCT823DTSO</v>
      </c>
      <c r="B46935" s="3" t="s">
        <v>127</v>
      </c>
      <c r="C46935" s="6">
        <v>3098</v>
      </c>
      <c r="D46935" s="7">
        <v>23.88</v>
      </c>
      <c r="E46935" t="s">
        <v>14</v>
      </c>
    </row>
    <row r="46936" spans="1:5" x14ac:dyDescent="0.25">
      <c r="A46936" t="str">
        <f>HYPERLINK("https://www.773grp.com/globalSearch/QS74FCT139DTQ/page-1", "QS74FCT139DTQ")</f>
        <v>QS74FCT139DTQ</v>
      </c>
      <c r="B46936" s="3" t="s">
        <v>127</v>
      </c>
      <c r="C46936" s="6">
        <v>69</v>
      </c>
      <c r="D46936" s="7">
        <v>24.75</v>
      </c>
      <c r="E46936" t="s">
        <v>36</v>
      </c>
    </row>
    <row r="46937" spans="1:5" x14ac:dyDescent="0.25">
      <c r="A46937" t="str">
        <f>HYPERLINK("https://www.773grp.com/globalSearch/QS54FCT2244ATL/page-1", "QS54FCT2244ATL")</f>
        <v>QS54FCT2244ATL</v>
      </c>
      <c r="B46937" s="3" t="s">
        <v>127</v>
      </c>
      <c r="C46937" s="6">
        <v>227</v>
      </c>
      <c r="D46937" s="7">
        <v>25.03</v>
      </c>
      <c r="E46937" t="s">
        <v>14</v>
      </c>
    </row>
    <row r="46938" spans="1:5" x14ac:dyDescent="0.25">
      <c r="A46938" t="str">
        <f>HYPERLINK("https://www.773grp.com/globalSearch/QS72211-50JR/page-1", "QS72211-50JR")</f>
        <v>QS72211-50JR</v>
      </c>
      <c r="B46938" s="3" t="s">
        <v>127</v>
      </c>
      <c r="C46938" s="6">
        <v>621</v>
      </c>
      <c r="D46938" s="7">
        <v>25.11</v>
      </c>
      <c r="E46938" t="s">
        <v>89</v>
      </c>
    </row>
    <row r="46939" spans="1:5" x14ac:dyDescent="0.25">
      <c r="A46939" t="str">
        <f>HYPERLINK("https://www.773grp.com/globalSearch/QS74FCT833CTSO/page-1", "QS74FCT833CTSO")</f>
        <v>QS74FCT833CTSO</v>
      </c>
      <c r="B46939" s="3" t="s">
        <v>127</v>
      </c>
      <c r="C46939" s="6">
        <v>115</v>
      </c>
      <c r="D46939" s="7">
        <v>25.31</v>
      </c>
      <c r="E46939" t="s">
        <v>14</v>
      </c>
    </row>
    <row r="46940" spans="1:5" x14ac:dyDescent="0.25">
      <c r="A46940" t="str">
        <f>HYPERLINK("https://www.773grp.com/globalSearch/QS54FCT543ATHB/page-1", "QS54FCT543ATHB")</f>
        <v>QS54FCT543ATHB</v>
      </c>
      <c r="B46940" s="3" t="s">
        <v>127</v>
      </c>
      <c r="C46940" s="6">
        <v>3766</v>
      </c>
      <c r="D46940" s="7">
        <v>25.9</v>
      </c>
      <c r="E46940" t="s">
        <v>14</v>
      </c>
    </row>
    <row r="46941" spans="1:5" x14ac:dyDescent="0.25">
      <c r="A46941" t="str">
        <f>HYPERLINK("https://www.773grp.com/globalSearch/QS74FCT2157CTZ/page-1", "QS74FCT2157CTZ")</f>
        <v>QS74FCT2157CTZ</v>
      </c>
      <c r="B46941" s="3" t="s">
        <v>127</v>
      </c>
      <c r="C46941" s="6">
        <v>245</v>
      </c>
      <c r="D46941" s="7">
        <v>26.29</v>
      </c>
      <c r="E46941" t="s">
        <v>20</v>
      </c>
    </row>
    <row r="46942" spans="1:5" x14ac:dyDescent="0.25">
      <c r="A46942" t="str">
        <f>HYPERLINK("https://www.773grp.com/globalSearch/QS7204-50P/page-1", "QS7204-50P")</f>
        <v>QS7204-50P</v>
      </c>
      <c r="B46942" s="3" t="s">
        <v>127</v>
      </c>
      <c r="C46942" s="6">
        <v>509</v>
      </c>
      <c r="D46942" s="7">
        <v>26.44</v>
      </c>
      <c r="E46942" t="s">
        <v>89</v>
      </c>
    </row>
    <row r="46943" spans="1:5" x14ac:dyDescent="0.25">
      <c r="A46943" t="str">
        <f>HYPERLINK("https://www.773grp.com/globalSearch/QS72211-35JR/page-1", "QS72211-35JR")</f>
        <v>QS72211-35JR</v>
      </c>
      <c r="B46943" s="3" t="s">
        <v>127</v>
      </c>
      <c r="C46943" s="6">
        <v>413</v>
      </c>
      <c r="D46943" s="7">
        <v>26.55</v>
      </c>
      <c r="E46943" t="s">
        <v>89</v>
      </c>
    </row>
    <row r="46944" spans="1:5" x14ac:dyDescent="0.25">
      <c r="A46944" t="str">
        <f>HYPERLINK("https://www.773grp.com/globalSearch/QS7202-8030/page-1", "QS7202-8030")</f>
        <v>QS7202-8030</v>
      </c>
      <c r="B46944" s="3" t="s">
        <v>127</v>
      </c>
      <c r="C46944" s="6">
        <v>119</v>
      </c>
      <c r="D46944" s="7">
        <v>27.25</v>
      </c>
    </row>
    <row r="46945" spans="1:5" x14ac:dyDescent="0.25">
      <c r="A46945" t="str">
        <f>HYPERLINK("https://www.773grp.com/globalSearch/QS7202-80S0/page-1", "QS7202-80S0")</f>
        <v>QS7202-80S0</v>
      </c>
      <c r="B46945" s="3" t="s">
        <v>127</v>
      </c>
      <c r="C46945" s="6">
        <v>747</v>
      </c>
      <c r="D46945" s="7">
        <v>27.25</v>
      </c>
    </row>
    <row r="46946" spans="1:5" x14ac:dyDescent="0.25">
      <c r="A46946" t="str">
        <f>HYPERLINK("https://www.773grp.com/globalSearch/QS7202-80SO/page-1", "QS7202-80SO")</f>
        <v>QS7202-80SO</v>
      </c>
      <c r="B46946" s="3" t="s">
        <v>127</v>
      </c>
      <c r="C46946" s="6">
        <v>211</v>
      </c>
      <c r="D46946" s="7">
        <v>27.25</v>
      </c>
      <c r="E46946" t="s">
        <v>89</v>
      </c>
    </row>
    <row r="46947" spans="1:5" x14ac:dyDescent="0.25">
      <c r="A46947" t="str">
        <f>HYPERLINK("https://www.773grp.com/globalSearch/QS29FCT520BTZ/page-1", "QS29FCT520BTZ")</f>
        <v>QS29FCT520BTZ</v>
      </c>
      <c r="B46947" s="3" t="s">
        <v>127</v>
      </c>
      <c r="C46947" s="6">
        <v>367</v>
      </c>
      <c r="D46947" s="7">
        <v>27.29</v>
      </c>
      <c r="E46947" t="s">
        <v>128</v>
      </c>
    </row>
    <row r="46948" spans="1:5" x14ac:dyDescent="0.25">
      <c r="A46948" t="str">
        <f>HYPERLINK("https://www.773grp.com/globalSearch/QS5917T-70TJ/page-1", "QS5917T-70TJ")</f>
        <v>QS5917T-70TJ</v>
      </c>
      <c r="B46948" s="3" t="s">
        <v>127</v>
      </c>
      <c r="C46948" s="6">
        <v>1167</v>
      </c>
      <c r="D46948" s="7">
        <v>27.3</v>
      </c>
      <c r="E46948" t="s">
        <v>34</v>
      </c>
    </row>
    <row r="46949" spans="1:5" x14ac:dyDescent="0.25">
      <c r="A46949" t="str">
        <f>HYPERLINK("https://www.773grp.com/globalSearch/QS72211-25JR/page-1", "QS72211-25JR")</f>
        <v>QS72211-25JR</v>
      </c>
      <c r="B46949" s="3" t="s">
        <v>127</v>
      </c>
      <c r="C46949" s="6">
        <v>125</v>
      </c>
      <c r="D46949" s="7">
        <v>27.51</v>
      </c>
      <c r="E46949" t="s">
        <v>89</v>
      </c>
    </row>
    <row r="46950" spans="1:5" x14ac:dyDescent="0.25">
      <c r="A46950" t="str">
        <f>HYPERLINK("https://www.773grp.com/globalSearch/QS7201-25SO/page-1", "QS7201-25SO")</f>
        <v>QS7201-25SO</v>
      </c>
      <c r="B46950" s="3" t="s">
        <v>127</v>
      </c>
      <c r="C46950" s="6">
        <v>630</v>
      </c>
      <c r="D46950" s="7">
        <v>27.56</v>
      </c>
      <c r="E46950" t="s">
        <v>89</v>
      </c>
    </row>
    <row r="46951" spans="1:5" x14ac:dyDescent="0.25">
      <c r="A46951" t="str">
        <f>HYPERLINK("https://www.773grp.com/globalSearch/QS7203-25V/page-1", "QS7203-25V")</f>
        <v>QS7203-25V</v>
      </c>
      <c r="B46951" s="3" t="s">
        <v>127</v>
      </c>
      <c r="C46951" s="6">
        <v>706</v>
      </c>
      <c r="D46951" s="7">
        <v>27.68</v>
      </c>
      <c r="E46951" t="s">
        <v>89</v>
      </c>
    </row>
    <row r="46952" spans="1:5" x14ac:dyDescent="0.25">
      <c r="A46952" t="str">
        <f>HYPERLINK("https://www.773grp.com/globalSearch/QS7204-35V/page-1", "QS7204-35V")</f>
        <v>QS7204-35V</v>
      </c>
      <c r="B46952" s="3" t="s">
        <v>127</v>
      </c>
      <c r="C46952" s="6">
        <v>138</v>
      </c>
      <c r="D46952" s="7">
        <v>28.01</v>
      </c>
      <c r="E46952" t="s">
        <v>89</v>
      </c>
    </row>
    <row r="46953" spans="1:5" x14ac:dyDescent="0.25">
      <c r="A46953" t="str">
        <f>HYPERLINK("https://www.773grp.com/globalSearch/QS7203-80JR/page-1", "QS7203-80JR")</f>
        <v>QS7203-80JR</v>
      </c>
      <c r="B46953" s="3" t="s">
        <v>127</v>
      </c>
      <c r="C46953" s="6">
        <v>480</v>
      </c>
      <c r="D46953" s="7">
        <v>28.4</v>
      </c>
      <c r="E46953" t="s">
        <v>89</v>
      </c>
    </row>
    <row r="46954" spans="1:5" x14ac:dyDescent="0.25">
      <c r="A46954" t="str">
        <f>HYPERLINK("https://www.773grp.com/globalSearch/QS74FCT2X2245ATQ1/page-1", "QS74FCT2X2245ATQ1")</f>
        <v>QS74FCT2X2245ATQ1</v>
      </c>
      <c r="B46954" s="3" t="s">
        <v>127</v>
      </c>
      <c r="C46954" s="6">
        <v>455</v>
      </c>
      <c r="D46954" s="7">
        <v>28.55</v>
      </c>
    </row>
    <row r="46955" spans="1:5" x14ac:dyDescent="0.25">
      <c r="A46955" t="str">
        <f>HYPERLINK("https://www.773grp.com/globalSearch/QS7202-50SO/page-1", "QS7202-50SO")</f>
        <v>QS7202-50SO</v>
      </c>
      <c r="B46955" s="3" t="s">
        <v>127</v>
      </c>
      <c r="C46955" s="6">
        <v>194</v>
      </c>
      <c r="D46955" s="7">
        <v>28.6</v>
      </c>
      <c r="E46955" t="s">
        <v>89</v>
      </c>
    </row>
    <row r="46956" spans="1:5" x14ac:dyDescent="0.25">
      <c r="A46956" t="str">
        <f>HYPERLINK("https://www.773grp.com/globalSearch/QS72211-20JR/page-1", "QS72211-20JR")</f>
        <v>QS72211-20JR</v>
      </c>
      <c r="B46956" s="3" t="s">
        <v>127</v>
      </c>
      <c r="C46956" s="6">
        <v>392</v>
      </c>
      <c r="D46956" s="7">
        <v>28.89</v>
      </c>
      <c r="E46956" t="s">
        <v>89</v>
      </c>
    </row>
    <row r="46957" spans="1:5" x14ac:dyDescent="0.25">
      <c r="A46957" t="str">
        <f>HYPERLINK("https://www.773grp.com/globalSearch/QS7203-20JR/page-1", "QS7203-20JR")</f>
        <v>QS7203-20JR</v>
      </c>
      <c r="B46957" s="3" t="s">
        <v>127</v>
      </c>
      <c r="C46957" s="6">
        <v>269</v>
      </c>
      <c r="D46957" s="7">
        <v>29.2</v>
      </c>
      <c r="E46957" t="s">
        <v>89</v>
      </c>
    </row>
    <row r="46958" spans="1:5" x14ac:dyDescent="0.25">
      <c r="A46958" t="str">
        <f>HYPERLINK("https://www.773grp.com/globalSearch/QS74FCT541DTSO/page-1", "QS74FCT541DTSO")</f>
        <v>QS74FCT541DTSO</v>
      </c>
      <c r="B46958" s="3" t="s">
        <v>127</v>
      </c>
      <c r="C46958" s="6">
        <v>106</v>
      </c>
      <c r="D46958" s="7">
        <v>29.54</v>
      </c>
      <c r="E46958" t="s">
        <v>14</v>
      </c>
    </row>
    <row r="46959" spans="1:5" x14ac:dyDescent="0.25">
      <c r="A46959" t="str">
        <f>HYPERLINK("https://www.773grp.com/globalSearch/QS72221-50JR/page-1", "QS72221-50JR")</f>
        <v>QS72221-50JR</v>
      </c>
      <c r="B46959" s="3" t="s">
        <v>127</v>
      </c>
      <c r="C46959" s="6">
        <v>88</v>
      </c>
      <c r="D46959" s="7">
        <v>29.74</v>
      </c>
      <c r="E46959" t="s">
        <v>89</v>
      </c>
    </row>
    <row r="46960" spans="1:5" x14ac:dyDescent="0.25">
      <c r="A46960" t="str">
        <f>HYPERLINK("https://www.773grp.com/globalSearch/QS7204-25P/page-1", "QS7204-25P")</f>
        <v>QS7204-25P</v>
      </c>
      <c r="B46960" s="3" t="s">
        <v>127</v>
      </c>
      <c r="C46960" s="6">
        <v>318</v>
      </c>
      <c r="D46960" s="7">
        <v>30.08</v>
      </c>
      <c r="E46960" t="s">
        <v>89</v>
      </c>
    </row>
    <row r="46961" spans="1:5" x14ac:dyDescent="0.25">
      <c r="A46961" t="str">
        <f>HYPERLINK("https://www.773grp.com/globalSearch/QS7204-25V/page-1", "QS7204-25V")</f>
        <v>QS7204-25V</v>
      </c>
      <c r="B46961" s="3" t="s">
        <v>127</v>
      </c>
      <c r="C46961" s="6">
        <v>64</v>
      </c>
      <c r="D46961" s="7">
        <v>30.08</v>
      </c>
      <c r="E46961" t="s">
        <v>89</v>
      </c>
    </row>
    <row r="46962" spans="1:5" x14ac:dyDescent="0.25">
      <c r="A46962" t="str">
        <f>HYPERLINK("https://www.773grp.com/globalSearch/QS74FCT374DTP/page-1", "QS74FCT374DTP")</f>
        <v>QS74FCT374DTP</v>
      </c>
      <c r="B46962" s="3" t="s">
        <v>127</v>
      </c>
      <c r="C46962" s="6">
        <v>404</v>
      </c>
      <c r="D46962" s="7">
        <v>30.89</v>
      </c>
      <c r="E46962" t="s">
        <v>14</v>
      </c>
    </row>
    <row r="46963" spans="1:5" x14ac:dyDescent="0.25">
      <c r="A46963" t="str">
        <f>HYPERLINK("https://www.773grp.com/globalSearch/QS74FCT139DTS1/page-1", "QS74FCT139DTS1")</f>
        <v>QS74FCT139DTS1</v>
      </c>
      <c r="B46963" s="3" t="s">
        <v>127</v>
      </c>
      <c r="C46963" s="6">
        <v>126</v>
      </c>
      <c r="D46963" s="7">
        <v>30.94</v>
      </c>
      <c r="E46963" t="s">
        <v>36</v>
      </c>
    </row>
    <row r="46964" spans="1:5" x14ac:dyDescent="0.25">
      <c r="A46964" t="str">
        <f>HYPERLINK("https://www.773grp.com/globalSearch/QS74FCT139DTSI/page-1", "QS74FCT139DTSI")</f>
        <v>QS74FCT139DTSI</v>
      </c>
      <c r="B46964" s="3" t="s">
        <v>127</v>
      </c>
      <c r="C46964" s="6">
        <v>318</v>
      </c>
      <c r="D46964" s="7">
        <v>30.94</v>
      </c>
    </row>
    <row r="46965" spans="1:5" x14ac:dyDescent="0.25">
      <c r="A46965" t="str">
        <f>HYPERLINK("https://www.773grp.com/globalSearch/QS54FCT2244CTHB/page-1", "QS54FCT2244CTHB")</f>
        <v>QS54FCT2244CTHB</v>
      </c>
      <c r="B46965" s="3" t="s">
        <v>127</v>
      </c>
      <c r="C46965" s="6">
        <v>28</v>
      </c>
      <c r="D46965" s="7">
        <v>31.1</v>
      </c>
      <c r="E46965" t="s">
        <v>14</v>
      </c>
    </row>
    <row r="46966" spans="1:5" x14ac:dyDescent="0.25">
      <c r="A46966" t="str">
        <f>HYPERLINK("https://www.773grp.com/globalSearch/QS54FCT374CTHB/page-1", "QS54FCT374CTHB")</f>
        <v>QS54FCT374CTHB</v>
      </c>
      <c r="B46966" s="3" t="s">
        <v>127</v>
      </c>
      <c r="C46966" s="6">
        <v>207</v>
      </c>
      <c r="D46966" s="7">
        <v>31.1</v>
      </c>
      <c r="E46966" t="s">
        <v>14</v>
      </c>
    </row>
    <row r="46967" spans="1:5" x14ac:dyDescent="0.25">
      <c r="A46967" t="str">
        <f>HYPERLINK("https://www.773grp.com/globalSearch/QS7203-20P/page-1", "QS7203-20P")</f>
        <v>QS7203-20P</v>
      </c>
      <c r="B46967" s="3" t="s">
        <v>127</v>
      </c>
      <c r="C46967" s="6">
        <v>46323</v>
      </c>
      <c r="D46967" s="7">
        <v>31.28</v>
      </c>
      <c r="E46967" t="s">
        <v>89</v>
      </c>
    </row>
    <row r="46968" spans="1:5" x14ac:dyDescent="0.25">
      <c r="A46968" t="str">
        <f>HYPERLINK("https://www.773grp.com/globalSearch/QS7203-2OP/page-1", "QS7203-2OP")</f>
        <v>QS7203-2OP</v>
      </c>
      <c r="B46968" s="3" t="s">
        <v>127</v>
      </c>
      <c r="C46968" s="6">
        <v>3971</v>
      </c>
      <c r="D46968" s="7">
        <v>31.28</v>
      </c>
    </row>
    <row r="46969" spans="1:5" x14ac:dyDescent="0.25">
      <c r="A46969" t="str">
        <f>HYPERLINK("https://www.773grp.com/globalSearch/QS72221-35JR/page-1", "QS72221-35JR")</f>
        <v>QS72221-35JR</v>
      </c>
      <c r="B46969" s="3" t="s">
        <v>127</v>
      </c>
      <c r="C46969" s="6">
        <v>2797</v>
      </c>
      <c r="D46969" s="7">
        <v>32.94</v>
      </c>
      <c r="E46969" t="s">
        <v>89</v>
      </c>
    </row>
    <row r="46970" spans="1:5" x14ac:dyDescent="0.25">
      <c r="A46970" t="str">
        <f>HYPERLINK("https://www.773grp.com/globalSearch/59920ZQ-QS59920-2SOC/page-1", "59920ZQ-QS59920-2SOC")</f>
        <v>59920ZQ-QS59920-2SOC</v>
      </c>
      <c r="B46970" s="3" t="s">
        <v>127</v>
      </c>
      <c r="C46970" s="6">
        <v>4869</v>
      </c>
      <c r="D46970" s="7">
        <v>33.549999999999997</v>
      </c>
    </row>
    <row r="46971" spans="1:5" x14ac:dyDescent="0.25">
      <c r="A46971" t="str">
        <f>HYPERLINK("https://www.773grp.com/globalSearch/QS7202-25SO/page-1", "QS7202-25SO")</f>
        <v>QS7202-25SO</v>
      </c>
      <c r="B46971" s="3" t="s">
        <v>127</v>
      </c>
      <c r="C46971" s="6">
        <v>378</v>
      </c>
      <c r="D46971" s="7">
        <v>34.54</v>
      </c>
      <c r="E46971" t="s">
        <v>89</v>
      </c>
    </row>
    <row r="46972" spans="1:5" x14ac:dyDescent="0.25">
      <c r="A46972" t="str">
        <f>HYPERLINK("https://www.773grp.com/globalSearch/QS7204-20P/page-1", "QS7204-20P")</f>
        <v>QS7204-20P</v>
      </c>
      <c r="B46972" s="3" t="s">
        <v>127</v>
      </c>
      <c r="C46972" s="6">
        <v>366</v>
      </c>
      <c r="D46972" s="7">
        <v>34.81</v>
      </c>
      <c r="E46972" t="s">
        <v>89</v>
      </c>
    </row>
    <row r="46973" spans="1:5" x14ac:dyDescent="0.25">
      <c r="A46973" t="str">
        <f>HYPERLINK("https://www.773grp.com/globalSearch/QS29FCT52CTZ/page-1", "QS29FCT52CTZ")</f>
        <v>QS29FCT52CTZ</v>
      </c>
      <c r="B46973" s="3" t="s">
        <v>127</v>
      </c>
      <c r="C46973" s="6">
        <v>2093</v>
      </c>
      <c r="D46973" s="7">
        <v>35.21</v>
      </c>
      <c r="E46973" t="s">
        <v>14</v>
      </c>
    </row>
    <row r="46974" spans="1:5" x14ac:dyDescent="0.25">
      <c r="A46974" t="str">
        <f>HYPERLINK("https://www.773grp.com/globalSearch/QS7204-15JR/page-1", "QS7204-15JR")</f>
        <v>QS7204-15JR</v>
      </c>
      <c r="B46974" s="3" t="s">
        <v>127</v>
      </c>
      <c r="C46974" s="6">
        <v>533</v>
      </c>
      <c r="D46974" s="7">
        <v>35.64</v>
      </c>
      <c r="E46974" t="s">
        <v>89</v>
      </c>
    </row>
    <row r="46975" spans="1:5" x14ac:dyDescent="0.25">
      <c r="A46975" t="str">
        <f>HYPERLINK("https://www.773grp.com/globalSearch/QS74FCT2543CTZ/page-1", "QS74FCT2543CTZ")</f>
        <v>QS74FCT2543CTZ</v>
      </c>
      <c r="B46975" s="3" t="s">
        <v>127</v>
      </c>
      <c r="C46975" s="6">
        <v>440</v>
      </c>
      <c r="D46975" s="7">
        <v>35.74</v>
      </c>
      <c r="E46975" t="s">
        <v>14</v>
      </c>
    </row>
    <row r="46976" spans="1:5" x14ac:dyDescent="0.25">
      <c r="A46976" t="str">
        <f>HYPERLINK("https://www.773grp.com/globalSearch/QS7204-15V/page-1", "QS7204-15V")</f>
        <v>QS7204-15V</v>
      </c>
      <c r="B46976" s="3" t="s">
        <v>127</v>
      </c>
      <c r="C46976" s="6">
        <v>428</v>
      </c>
      <c r="D46976" s="7">
        <v>38.39</v>
      </c>
      <c r="E46976" t="s">
        <v>89</v>
      </c>
    </row>
    <row r="46977" spans="1:5" x14ac:dyDescent="0.25">
      <c r="A46977" t="str">
        <f>HYPERLINK("https://www.773grp.com/globalSearch/QS3383HM-S227/page-1", "QS3383HM-S227")</f>
        <v>QS3383HM-S227</v>
      </c>
      <c r="B46977" s="3" t="s">
        <v>127</v>
      </c>
      <c r="C46977" s="6">
        <v>202</v>
      </c>
      <c r="D46977" s="7">
        <v>38.68</v>
      </c>
    </row>
    <row r="46978" spans="1:5" x14ac:dyDescent="0.25">
      <c r="A46978" t="str">
        <f>HYPERLINK("https://www.773grp.com/globalSearch/QS72231-35JR/page-1", "QS72231-35JR")</f>
        <v>QS72231-35JR</v>
      </c>
      <c r="B46978" s="3" t="s">
        <v>127</v>
      </c>
      <c r="C46978" s="6">
        <v>98</v>
      </c>
      <c r="D46978" s="7">
        <v>39.15</v>
      </c>
      <c r="E46978" t="s">
        <v>89</v>
      </c>
    </row>
    <row r="46979" spans="1:5" x14ac:dyDescent="0.25">
      <c r="A46979" t="str">
        <f>HYPERLINK("https://www.773grp.com/globalSearch/QS54FCT2374TDB/page-1", "QS54FCT2374TDB")</f>
        <v>QS54FCT2374TDB</v>
      </c>
      <c r="B46979" s="3" t="s">
        <v>127</v>
      </c>
      <c r="C46979" s="6">
        <v>450</v>
      </c>
      <c r="D46979" s="7">
        <v>39.380000000000003</v>
      </c>
      <c r="E46979" t="s">
        <v>14</v>
      </c>
    </row>
    <row r="46980" spans="1:5" x14ac:dyDescent="0.25">
      <c r="A46980" t="str">
        <f>HYPERLINK("https://www.773grp.com/globalSearch/QS54FCT244TL/page-1", "QS54FCT244TL")</f>
        <v>QS54FCT244TL</v>
      </c>
      <c r="B46980" s="3" t="s">
        <v>127</v>
      </c>
      <c r="C46980" s="6">
        <v>193</v>
      </c>
      <c r="D46980" s="7">
        <v>39.380000000000003</v>
      </c>
      <c r="E46980" t="s">
        <v>14</v>
      </c>
    </row>
    <row r="46981" spans="1:5" x14ac:dyDescent="0.25">
      <c r="A46981" t="str">
        <f>HYPERLINK("https://www.773grp.com/globalSearch/QS72221-20JR/page-1", "QS72221-20JR")</f>
        <v>QS72221-20JR</v>
      </c>
      <c r="B46981" s="3" t="s">
        <v>127</v>
      </c>
      <c r="C46981" s="6">
        <v>1121</v>
      </c>
      <c r="D46981" s="7">
        <v>39.450000000000003</v>
      </c>
      <c r="E46981" t="s">
        <v>89</v>
      </c>
    </row>
    <row r="46982" spans="1:5" x14ac:dyDescent="0.25">
      <c r="A46982" t="str">
        <f>HYPERLINK("https://www.773grp.com/globalSearch/QS72241-50JR/page-1", "QS72241-50JR")</f>
        <v>QS72241-50JR</v>
      </c>
      <c r="B46982" s="3" t="s">
        <v>127</v>
      </c>
      <c r="C46982" s="6">
        <v>222</v>
      </c>
      <c r="D46982" s="7">
        <v>40.64</v>
      </c>
      <c r="E46982" t="s">
        <v>89</v>
      </c>
    </row>
    <row r="46983" spans="1:5" x14ac:dyDescent="0.25">
      <c r="A46983" t="str">
        <f>HYPERLINK("https://www.773grp.com/globalSearch/QS72221-15JR/page-1", "QS72221-15JR")</f>
        <v>QS72221-15JR</v>
      </c>
      <c r="B46983" s="3" t="s">
        <v>127</v>
      </c>
      <c r="C46983" s="6">
        <v>491</v>
      </c>
      <c r="D46983" s="7">
        <v>41.74</v>
      </c>
      <c r="E46983" t="s">
        <v>89</v>
      </c>
    </row>
    <row r="46984" spans="1:5" x14ac:dyDescent="0.25">
      <c r="A46984" t="str">
        <f>HYPERLINK("https://www.773grp.com/globalSearch/QS74FCT373DTZ/page-1", "QS74FCT373DTZ")</f>
        <v>QS74FCT373DTZ</v>
      </c>
      <c r="B46984" s="3" t="s">
        <v>127</v>
      </c>
      <c r="C46984" s="6">
        <v>549</v>
      </c>
      <c r="D46984" s="7">
        <v>43.4</v>
      </c>
      <c r="E46984" t="s">
        <v>14</v>
      </c>
    </row>
    <row r="46985" spans="1:5" x14ac:dyDescent="0.25">
      <c r="A46985" t="str">
        <f>HYPERLINK("https://www.773grp.com/globalSearch/5991YQ/page-1", "5991YQ")</f>
        <v>5991YQ</v>
      </c>
      <c r="B46985" s="3" t="s">
        <v>127</v>
      </c>
      <c r="C46985" s="6">
        <v>319</v>
      </c>
      <c r="D46985" s="7">
        <v>44.73</v>
      </c>
    </row>
    <row r="46986" spans="1:5" x14ac:dyDescent="0.25">
      <c r="A46986" t="str">
        <f>HYPERLINK("https://www.773grp.com/globalSearch/5991ZQ-QS5991-2JRC/page-1", "5991ZQ-QS5991-2JRC")</f>
        <v>5991ZQ-QS5991-2JRC</v>
      </c>
      <c r="B46986" s="3" t="s">
        <v>127</v>
      </c>
      <c r="C46986" s="6">
        <v>2250</v>
      </c>
      <c r="D46986" s="7">
        <v>44.73</v>
      </c>
    </row>
    <row r="46987" spans="1:5" x14ac:dyDescent="0.25">
      <c r="A46987" t="str">
        <f>HYPERLINK("https://www.773grp.com/globalSearch/QS86446-20P/page-1", "QS86446-20P")</f>
        <v>QS86446-20P</v>
      </c>
      <c r="B46987" s="3" t="s">
        <v>127</v>
      </c>
      <c r="C46987" s="6">
        <v>398</v>
      </c>
      <c r="D46987" s="7">
        <v>46.33</v>
      </c>
      <c r="E46987" t="s">
        <v>75</v>
      </c>
    </row>
    <row r="46988" spans="1:5" x14ac:dyDescent="0.25">
      <c r="A46988" t="str">
        <f>HYPERLINK("https://www.773grp.com/globalSearch/QS72241-35JR/page-1", "QS72241-35JR")</f>
        <v>QS72241-35JR</v>
      </c>
      <c r="B46988" s="3" t="s">
        <v>127</v>
      </c>
      <c r="C46988" s="6">
        <v>74</v>
      </c>
      <c r="D46988" s="7">
        <v>47.54</v>
      </c>
      <c r="E46988" t="s">
        <v>89</v>
      </c>
    </row>
    <row r="46989" spans="1:5" x14ac:dyDescent="0.25">
      <c r="A46989" t="str">
        <f>HYPERLINK("https://www.773grp.com/globalSearch/QS54FCT373ATDB/page-1", "QS54FCT373ATDB")</f>
        <v>QS54FCT373ATDB</v>
      </c>
      <c r="B46989" s="3" t="s">
        <v>127</v>
      </c>
      <c r="C46989" s="6">
        <v>261</v>
      </c>
      <c r="D46989" s="7">
        <v>49.61</v>
      </c>
      <c r="E46989" t="s">
        <v>14</v>
      </c>
    </row>
    <row r="46990" spans="1:5" x14ac:dyDescent="0.25">
      <c r="A46990" t="str">
        <f>HYPERLINK("https://www.773grp.com/globalSearch/QS72215-35J/page-1", "QS72215-35J")</f>
        <v>QS72215-35J</v>
      </c>
      <c r="B46990" s="3" t="s">
        <v>127</v>
      </c>
      <c r="C46990" s="6">
        <v>399</v>
      </c>
      <c r="D46990" s="7">
        <v>50.63</v>
      </c>
      <c r="E46990" t="s">
        <v>89</v>
      </c>
    </row>
    <row r="46991" spans="1:5" x14ac:dyDescent="0.25">
      <c r="A46991" t="str">
        <f>HYPERLINK("https://www.773grp.com/globalSearch/QS72215-35TF/page-1", "QS72215-35TF")</f>
        <v>QS72215-35TF</v>
      </c>
      <c r="B46991" s="3" t="s">
        <v>127</v>
      </c>
      <c r="C46991" s="6">
        <v>300</v>
      </c>
      <c r="D46991" s="7">
        <v>50.63</v>
      </c>
      <c r="E46991" t="s">
        <v>89</v>
      </c>
    </row>
    <row r="46992" spans="1:5" x14ac:dyDescent="0.25">
      <c r="A46992" t="str">
        <f>HYPERLINK("https://www.773grp.com/globalSearch/QS7244A-40JR/page-1", "QS7244A-40JR")</f>
        <v>QS7244A-40JR</v>
      </c>
      <c r="B46992" s="3" t="s">
        <v>127</v>
      </c>
      <c r="C46992" s="6">
        <v>105</v>
      </c>
      <c r="D46992" s="7">
        <v>50.63</v>
      </c>
    </row>
    <row r="46993" spans="1:5" x14ac:dyDescent="0.25">
      <c r="A46993" t="str">
        <f>HYPERLINK("https://www.773grp.com/globalSearch/QS72215-25J/page-1", "QS72215-25J")</f>
        <v>QS72215-25J</v>
      </c>
      <c r="B46993" s="3" t="s">
        <v>127</v>
      </c>
      <c r="C46993" s="6">
        <v>600</v>
      </c>
      <c r="D46993" s="7">
        <v>53.08</v>
      </c>
      <c r="E46993" t="s">
        <v>89</v>
      </c>
    </row>
    <row r="46994" spans="1:5" x14ac:dyDescent="0.25">
      <c r="A46994" t="str">
        <f>HYPERLINK("https://www.773grp.com/globalSearch/QS72215-25TF/page-1", "QS72215-25TF")</f>
        <v>QS72215-25TF</v>
      </c>
      <c r="B46994" s="3" t="s">
        <v>127</v>
      </c>
      <c r="C46994" s="6">
        <v>500</v>
      </c>
      <c r="D46994" s="7">
        <v>53.08</v>
      </c>
      <c r="E46994" t="s">
        <v>89</v>
      </c>
    </row>
    <row r="46995" spans="1:5" x14ac:dyDescent="0.25">
      <c r="A46995" t="str">
        <f>HYPERLINK("https://www.773grp.com/globalSearch/QS72241-25JR/page-1", "QS72241-25JR")</f>
        <v>QS72241-25JR</v>
      </c>
      <c r="B46995" s="3" t="s">
        <v>127</v>
      </c>
      <c r="C46995" s="6">
        <v>360</v>
      </c>
      <c r="D46995" s="7">
        <v>53.28</v>
      </c>
      <c r="E46995" t="s">
        <v>89</v>
      </c>
    </row>
    <row r="46996" spans="1:5" x14ac:dyDescent="0.25">
      <c r="A46996" t="str">
        <f>HYPERLINK("https://www.773grp.com/globalSearch/QS7244A-30JR/page-1", "QS7244A-30JR")</f>
        <v>QS7244A-30JR</v>
      </c>
      <c r="B46996" s="3" t="s">
        <v>127</v>
      </c>
      <c r="C46996" s="6">
        <v>106</v>
      </c>
      <c r="D46996" s="7">
        <v>55.69</v>
      </c>
      <c r="E46996" t="s">
        <v>89</v>
      </c>
    </row>
    <row r="46997" spans="1:5" x14ac:dyDescent="0.25">
      <c r="A46997" t="str">
        <f>HYPERLINK("https://www.773grp.com/globalSearch/QS72231-15JR/page-1", "QS72231-15JR")</f>
        <v>QS72231-15JR</v>
      </c>
      <c r="B46997" s="3" t="s">
        <v>127</v>
      </c>
      <c r="C46997" s="6">
        <v>752</v>
      </c>
      <c r="D46997" s="7">
        <v>56.41</v>
      </c>
      <c r="E46997" t="s">
        <v>89</v>
      </c>
    </row>
    <row r="46998" spans="1:5" x14ac:dyDescent="0.25">
      <c r="A46998" t="str">
        <f>HYPERLINK("https://www.773grp.com/globalSearch/QS7244A-25JR/page-1", "QS7244A-25JR")</f>
        <v>QS7244A-25JR</v>
      </c>
      <c r="B46998" s="3" t="s">
        <v>127</v>
      </c>
      <c r="C46998" s="6">
        <v>227</v>
      </c>
      <c r="D46998" s="7">
        <v>58.23</v>
      </c>
      <c r="E46998" t="s">
        <v>89</v>
      </c>
    </row>
    <row r="46999" spans="1:5" x14ac:dyDescent="0.25">
      <c r="A46999" t="str">
        <f>HYPERLINK("https://www.773grp.com/globalSearch/QS72215-20J/page-1", "QS72215-20J")</f>
        <v>QS72215-20J</v>
      </c>
      <c r="B46999" s="3" t="s">
        <v>127</v>
      </c>
      <c r="C46999" s="6">
        <v>445</v>
      </c>
      <c r="D46999" s="7">
        <v>58.34</v>
      </c>
      <c r="E46999" t="s">
        <v>89</v>
      </c>
    </row>
    <row r="47000" spans="1:5" x14ac:dyDescent="0.25">
      <c r="A47000" t="str">
        <f>HYPERLINK("https://www.773grp.com/globalSearch/QS86446-15V/page-1", "QS86446-15V")</f>
        <v>QS86446-15V</v>
      </c>
      <c r="B47000" s="3" t="s">
        <v>127</v>
      </c>
      <c r="C47000" s="6">
        <v>1966</v>
      </c>
      <c r="D47000" s="7">
        <v>59.4</v>
      </c>
      <c r="E47000" t="s">
        <v>75</v>
      </c>
    </row>
    <row r="47001" spans="1:5" x14ac:dyDescent="0.25">
      <c r="A47001" t="str">
        <f>HYPERLINK("https://www.773grp.com/globalSearch/QS72241-20RJ/page-1", "QS72241-20RJ")</f>
        <v>QS72241-20RJ</v>
      </c>
      <c r="B47001" s="3" t="s">
        <v>127</v>
      </c>
      <c r="C47001" s="6">
        <v>11</v>
      </c>
      <c r="D47001" s="7">
        <v>59.54</v>
      </c>
    </row>
    <row r="47002" spans="1:5" x14ac:dyDescent="0.25">
      <c r="A47002" t="str">
        <f>HYPERLINK("https://www.773grp.com/globalSearch/QS7024A-20J/page-1", "QS7024A-20J")</f>
        <v>QS7024A-20J</v>
      </c>
      <c r="B47002" s="3" t="s">
        <v>127</v>
      </c>
      <c r="C47002" s="6">
        <v>328</v>
      </c>
      <c r="D47002" s="7">
        <v>60.33</v>
      </c>
      <c r="E47002" t="s">
        <v>75</v>
      </c>
    </row>
    <row r="47003" spans="1:5" x14ac:dyDescent="0.25">
      <c r="A47003" t="str">
        <f>HYPERLINK("https://www.773grp.com/globalSearch/QS7202-15SO/page-1", "QS7202-15SO")</f>
        <v>QS7202-15SO</v>
      </c>
      <c r="B47003" s="3" t="s">
        <v>127</v>
      </c>
      <c r="C47003" s="6">
        <v>151</v>
      </c>
      <c r="D47003" s="7">
        <v>60.45</v>
      </c>
      <c r="E47003" t="s">
        <v>89</v>
      </c>
    </row>
    <row r="47004" spans="1:5" x14ac:dyDescent="0.25">
      <c r="A47004" t="str">
        <f>HYPERLINK("https://www.773grp.com/globalSearch/QS72225-35J/page-1", "QS72225-35J")</f>
        <v>QS72225-35J</v>
      </c>
      <c r="B47004" s="3" t="s">
        <v>127</v>
      </c>
      <c r="C47004" s="6">
        <v>398</v>
      </c>
      <c r="D47004" s="7">
        <v>61.46</v>
      </c>
      <c r="E47004" t="s">
        <v>89</v>
      </c>
    </row>
    <row r="47005" spans="1:5" x14ac:dyDescent="0.25">
      <c r="A47005" t="str">
        <f>HYPERLINK("https://www.773grp.com/globalSearch/QS72225-35TF/page-1", "QS72225-35TF")</f>
        <v>QS72225-35TF</v>
      </c>
      <c r="B47005" s="3" t="s">
        <v>127</v>
      </c>
      <c r="C47005" s="6">
        <v>300</v>
      </c>
      <c r="D47005" s="7">
        <v>61.46</v>
      </c>
      <c r="E47005" t="s">
        <v>89</v>
      </c>
    </row>
    <row r="47006" spans="1:5" x14ac:dyDescent="0.25">
      <c r="A47006" t="str">
        <f>HYPERLINK("https://www.773grp.com/globalSearch/QS7204-50SO/page-1", "QS7204-50SO")</f>
        <v>QS7204-50SO</v>
      </c>
      <c r="B47006" s="3" t="s">
        <v>127</v>
      </c>
      <c r="C47006" s="6">
        <v>185</v>
      </c>
      <c r="D47006" s="7">
        <v>63.63</v>
      </c>
      <c r="E47006" t="s">
        <v>89</v>
      </c>
    </row>
    <row r="47007" spans="1:5" x14ac:dyDescent="0.25">
      <c r="A47007" t="str">
        <f>HYPERLINK("https://www.773grp.com/globalSearch/QS72225-25J/page-1", "QS72225-25J")</f>
        <v>QS72225-25J</v>
      </c>
      <c r="B47007" s="3" t="s">
        <v>127</v>
      </c>
      <c r="C47007" s="6">
        <v>578</v>
      </c>
      <c r="D47007" s="7">
        <v>64.75</v>
      </c>
      <c r="E47007" t="s">
        <v>89</v>
      </c>
    </row>
    <row r="47008" spans="1:5" x14ac:dyDescent="0.25">
      <c r="A47008" t="str">
        <f>HYPERLINK("https://www.773grp.com/globalSearch/QS72225-25TF/page-1", "QS72225-25TF")</f>
        <v>QS72225-25TF</v>
      </c>
      <c r="B47008" s="3" t="s">
        <v>127</v>
      </c>
      <c r="C47008" s="6">
        <v>452</v>
      </c>
      <c r="D47008" s="7">
        <v>64.75</v>
      </c>
      <c r="E47008" t="s">
        <v>89</v>
      </c>
    </row>
    <row r="47009" spans="1:5" x14ac:dyDescent="0.25">
      <c r="A47009" t="str">
        <f>HYPERLINK("https://www.773grp.com/globalSearch/QS54FCT161ATHB/page-1", "QS54FCT161ATHB")</f>
        <v>QS54FCT161ATHB</v>
      </c>
      <c r="B47009" s="3" t="s">
        <v>127</v>
      </c>
      <c r="C47009" s="6">
        <v>176</v>
      </c>
      <c r="D47009" s="7">
        <v>65.78</v>
      </c>
      <c r="E47009" t="s">
        <v>26</v>
      </c>
    </row>
    <row r="47010" spans="1:5" x14ac:dyDescent="0.25">
      <c r="A47010" t="str">
        <f>HYPERLINK("https://www.773grp.com/globalSearch/QS7024A-55J/page-1", "QS7024A-55J")</f>
        <v>QS7024A-55J</v>
      </c>
      <c r="B47010" s="3" t="s">
        <v>127</v>
      </c>
      <c r="C47010" s="6">
        <v>96</v>
      </c>
      <c r="D47010" s="7">
        <v>66.099999999999994</v>
      </c>
      <c r="E47010" t="s">
        <v>75</v>
      </c>
    </row>
    <row r="47011" spans="1:5" x14ac:dyDescent="0.25">
      <c r="A47011" t="str">
        <f>HYPERLINK("https://www.773grp.com/globalSearch/QS72241-15JR/page-1", "QS72241-15JR")</f>
        <v>QS72241-15JR</v>
      </c>
      <c r="B47011" s="3" t="s">
        <v>127</v>
      </c>
      <c r="C47011" s="6">
        <v>117</v>
      </c>
      <c r="D47011" s="7">
        <v>66.45</v>
      </c>
      <c r="E47011" t="s">
        <v>89</v>
      </c>
    </row>
    <row r="47012" spans="1:5" x14ac:dyDescent="0.25">
      <c r="A47012" t="str">
        <f>HYPERLINK("https://www.773grp.com/globalSearch/QS7024A-35J/page-1", "QS7024A-35J")</f>
        <v>QS7024A-35J</v>
      </c>
      <c r="B47012" s="3" t="s">
        <v>127</v>
      </c>
      <c r="C47012" s="6">
        <v>12</v>
      </c>
      <c r="D47012" s="7">
        <v>67.88</v>
      </c>
      <c r="E47012" t="s">
        <v>75</v>
      </c>
    </row>
    <row r="47013" spans="1:5" x14ac:dyDescent="0.25">
      <c r="A47013" t="str">
        <f>HYPERLINK("https://www.773grp.com/globalSearch/QS54FCT2241ATDB/page-1", "QS54FCT2241ATDB")</f>
        <v>QS54FCT2241ATDB</v>
      </c>
      <c r="B47013" s="3" t="s">
        <v>127</v>
      </c>
      <c r="C47013" s="6">
        <v>104</v>
      </c>
      <c r="D47013" s="7">
        <v>69.28</v>
      </c>
    </row>
    <row r="47014" spans="1:5" x14ac:dyDescent="0.25">
      <c r="A47014" t="str">
        <f>HYPERLINK("https://www.773grp.com/globalSearch/QS54FCT244ATDB/page-1", "QS54FCT244ATDB")</f>
        <v>QS54FCT244ATDB</v>
      </c>
      <c r="B47014" s="3" t="s">
        <v>127</v>
      </c>
      <c r="C47014" s="6">
        <v>136</v>
      </c>
      <c r="D47014" s="7">
        <v>69.28</v>
      </c>
      <c r="E47014" t="s">
        <v>14</v>
      </c>
    </row>
    <row r="47015" spans="1:5" x14ac:dyDescent="0.25">
      <c r="A47015" t="str">
        <f>HYPERLINK("https://www.773grp.com/globalSearch/QS54FCT2374ATDB/page-1", "QS54FCT2374ATDB")</f>
        <v>QS54FCT2374ATDB</v>
      </c>
      <c r="B47015" s="3" t="s">
        <v>127</v>
      </c>
      <c r="C47015" s="6">
        <v>223</v>
      </c>
      <c r="D47015" s="7">
        <v>69.78</v>
      </c>
      <c r="E47015" t="s">
        <v>14</v>
      </c>
    </row>
    <row r="47016" spans="1:5" x14ac:dyDescent="0.25">
      <c r="A47016" t="str">
        <f>HYPERLINK("https://www.773grp.com/globalSearch/QS54FCT245ATDB/page-1", "QS54FCT245ATDB")</f>
        <v>QS54FCT245ATDB</v>
      </c>
      <c r="B47016" s="3" t="s">
        <v>127</v>
      </c>
      <c r="C47016" s="6">
        <v>824</v>
      </c>
      <c r="D47016" s="7">
        <v>69.78</v>
      </c>
      <c r="E47016" t="s">
        <v>14</v>
      </c>
    </row>
    <row r="47017" spans="1:5" x14ac:dyDescent="0.25">
      <c r="A47017" t="str">
        <f>HYPERLINK("https://www.773grp.com/globalSearch/QS54FCT573ATDB/page-1", "QS54FCT573ATDB")</f>
        <v>QS54FCT573ATDB</v>
      </c>
      <c r="B47017" s="3" t="s">
        <v>127</v>
      </c>
      <c r="C47017" s="6">
        <v>420</v>
      </c>
      <c r="D47017" s="7">
        <v>69.78</v>
      </c>
      <c r="E47017" t="s">
        <v>14</v>
      </c>
    </row>
    <row r="47018" spans="1:5" x14ac:dyDescent="0.25">
      <c r="A47018" t="str">
        <f>HYPERLINK("https://www.773grp.com/globalSearch/QS54FCT574ATDB/page-1", "QS54FCT574ATDB")</f>
        <v>QS54FCT574ATDB</v>
      </c>
      <c r="B47018" s="3" t="s">
        <v>127</v>
      </c>
      <c r="C47018" s="6">
        <v>182</v>
      </c>
      <c r="D47018" s="7">
        <v>69.78</v>
      </c>
      <c r="E47018" t="s">
        <v>14</v>
      </c>
    </row>
    <row r="47019" spans="1:5" x14ac:dyDescent="0.25">
      <c r="A47019" t="str">
        <f>HYPERLINK("https://www.773grp.com/globalSearch/QS7224-30V/page-1", "QS7224-30V")</f>
        <v>QS7224-30V</v>
      </c>
      <c r="B47019" s="3" t="s">
        <v>127</v>
      </c>
      <c r="C47019" s="6">
        <v>331</v>
      </c>
      <c r="D47019" s="7">
        <v>69.95</v>
      </c>
      <c r="E47019" t="s">
        <v>89</v>
      </c>
    </row>
    <row r="47020" spans="1:5" x14ac:dyDescent="0.25">
      <c r="A47020" t="str">
        <f>HYPERLINK("https://www.773grp.com/globalSearch/QS72225-20J/page-1", "QS72225-20J")</f>
        <v>QS72225-20J</v>
      </c>
      <c r="B47020" s="3" t="s">
        <v>127</v>
      </c>
      <c r="C47020" s="6">
        <v>436</v>
      </c>
      <c r="D47020" s="7">
        <v>71.73</v>
      </c>
      <c r="E47020" t="s">
        <v>89</v>
      </c>
    </row>
    <row r="47021" spans="1:5" x14ac:dyDescent="0.25">
      <c r="A47021" t="str">
        <f>HYPERLINK("https://www.773grp.com/globalSearch/QS72225-20TF/page-1", "QS72225-20TF")</f>
        <v>QS72225-20TF</v>
      </c>
      <c r="B47021" s="3" t="s">
        <v>127</v>
      </c>
      <c r="C47021" s="6">
        <v>30</v>
      </c>
      <c r="D47021" s="7">
        <v>71.73</v>
      </c>
      <c r="E47021" t="s">
        <v>89</v>
      </c>
    </row>
    <row r="47022" spans="1:5" x14ac:dyDescent="0.25">
      <c r="A47022" t="str">
        <f>HYPERLINK("https://www.773grp.com/globalSearch/QS72235-35J/page-1", "QS72235-35J")</f>
        <v>QS72235-35J</v>
      </c>
      <c r="B47022" s="3" t="s">
        <v>127</v>
      </c>
      <c r="C47022" s="6">
        <v>198</v>
      </c>
      <c r="D47022" s="7">
        <v>79.23</v>
      </c>
    </row>
    <row r="47023" spans="1:5" x14ac:dyDescent="0.25">
      <c r="A47023" t="str">
        <f>HYPERLINK("https://www.773grp.com/globalSearch/QS72235-35TF/page-1", "QS72235-35TF")</f>
        <v>QS72235-35TF</v>
      </c>
      <c r="B47023" s="3" t="s">
        <v>127</v>
      </c>
      <c r="C47023" s="6">
        <v>200</v>
      </c>
      <c r="D47023" s="7">
        <v>79.23</v>
      </c>
    </row>
    <row r="47024" spans="1:5" x14ac:dyDescent="0.25">
      <c r="A47024" t="str">
        <f>HYPERLINK("https://www.773grp.com/globalSearch/QS72235-25J/page-1", "QS72235-25J")</f>
        <v>QS72235-25J</v>
      </c>
      <c r="B47024" s="3" t="s">
        <v>127</v>
      </c>
      <c r="C47024" s="6">
        <v>500</v>
      </c>
      <c r="D47024" s="7">
        <v>81.430000000000007</v>
      </c>
    </row>
    <row r="47025" spans="1:5" x14ac:dyDescent="0.25">
      <c r="A47025" t="str">
        <f>HYPERLINK("https://www.773grp.com/globalSearch/QS72235-25TF/page-1", "QS72235-25TF")</f>
        <v>QS72235-25TF</v>
      </c>
      <c r="B47025" s="3" t="s">
        <v>127</v>
      </c>
      <c r="C47025" s="6">
        <v>242</v>
      </c>
      <c r="D47025" s="7">
        <v>81.430000000000007</v>
      </c>
    </row>
    <row r="47026" spans="1:5" x14ac:dyDescent="0.25">
      <c r="A47026" t="str">
        <f>HYPERLINK("https://www.773grp.com/globalSearch/QS29FCT52CTHB/page-1", "QS29FCT52CTHB")</f>
        <v>QS29FCT52CTHB</v>
      </c>
      <c r="B47026" s="3" t="s">
        <v>127</v>
      </c>
      <c r="C47026" s="6">
        <v>135</v>
      </c>
      <c r="D47026" s="7">
        <v>83.88</v>
      </c>
      <c r="E47026" t="s">
        <v>14</v>
      </c>
    </row>
    <row r="47027" spans="1:5" x14ac:dyDescent="0.25">
      <c r="A47027" t="str">
        <f>HYPERLINK("https://www.773grp.com/globalSearch/QS7025A-20J/page-1", "QS7025A-20J")</f>
        <v>QS7025A-20J</v>
      </c>
      <c r="B47027" s="3" t="s">
        <v>127</v>
      </c>
      <c r="C47027" s="6">
        <v>96</v>
      </c>
      <c r="D47027" s="7">
        <v>83.93</v>
      </c>
      <c r="E47027" t="s">
        <v>75</v>
      </c>
    </row>
    <row r="47028" spans="1:5" x14ac:dyDescent="0.25">
      <c r="A47028" t="str">
        <f>HYPERLINK("https://www.773grp.com/globalSearch/QS72235-20J/page-1", "QS72235-20J")</f>
        <v>QS72235-20J</v>
      </c>
      <c r="B47028" s="3" t="s">
        <v>127</v>
      </c>
      <c r="C47028" s="6">
        <v>462</v>
      </c>
      <c r="D47028" s="7">
        <v>84.29</v>
      </c>
    </row>
    <row r="47029" spans="1:5" x14ac:dyDescent="0.25">
      <c r="A47029" t="str">
        <f>HYPERLINK("https://www.773grp.com/globalSearch/QS72235-20TF/page-1", "QS72235-20TF")</f>
        <v>QS72235-20TF</v>
      </c>
      <c r="B47029" s="3" t="s">
        <v>127</v>
      </c>
      <c r="C47029" s="6">
        <v>260</v>
      </c>
      <c r="D47029" s="7">
        <v>84.29</v>
      </c>
    </row>
    <row r="47030" spans="1:5" x14ac:dyDescent="0.25">
      <c r="A47030" t="str">
        <f>HYPERLINK("https://www.773grp.com/globalSearch/QS7024A-55TF/page-1", "QS7024A-55TF")</f>
        <v>QS7024A-55TF</v>
      </c>
      <c r="B47030" s="3" t="s">
        <v>127</v>
      </c>
      <c r="C47030" s="6">
        <v>61</v>
      </c>
      <c r="D47030" s="7">
        <v>87.25</v>
      </c>
      <c r="E47030" t="s">
        <v>75</v>
      </c>
    </row>
    <row r="47031" spans="1:5" x14ac:dyDescent="0.25">
      <c r="A47031" t="str">
        <f>HYPERLINK("https://www.773grp.com/globalSearch/QS7204-15P/page-1", "QS7204-15P")</f>
        <v>QS7204-15P</v>
      </c>
      <c r="B47031" s="3" t="s">
        <v>127</v>
      </c>
      <c r="C47031" s="6">
        <v>224</v>
      </c>
      <c r="D47031" s="7">
        <v>87.45</v>
      </c>
      <c r="E47031" t="s">
        <v>89</v>
      </c>
    </row>
    <row r="47032" spans="1:5" x14ac:dyDescent="0.25">
      <c r="A47032" t="str">
        <f>HYPERLINK("https://www.773grp.com/globalSearch/QS7024A-35TF/page-1", "QS7024A-35TF")</f>
        <v>QS7024A-35TF</v>
      </c>
      <c r="B47032" s="3" t="s">
        <v>127</v>
      </c>
      <c r="C47032" s="6">
        <v>68</v>
      </c>
      <c r="D47032" s="7">
        <v>89.58</v>
      </c>
      <c r="E47032" t="s">
        <v>75</v>
      </c>
    </row>
    <row r="47033" spans="1:5" x14ac:dyDescent="0.25">
      <c r="A47033" t="str">
        <f>HYPERLINK("https://www.773grp.com/globalSearch/QS7224-20P/page-1", "QS7224-20P")</f>
        <v>QS7224-20P</v>
      </c>
      <c r="B47033" s="3" t="s">
        <v>127</v>
      </c>
      <c r="C47033" s="6">
        <v>126</v>
      </c>
      <c r="D47033" s="7">
        <v>95.4</v>
      </c>
      <c r="E47033" t="s">
        <v>89</v>
      </c>
    </row>
    <row r="47034" spans="1:5" x14ac:dyDescent="0.25">
      <c r="A47034" t="str">
        <f>HYPERLINK("https://www.773grp.com/globalSearch/QS7024A-25J/page-1", "QS7024A-25J")</f>
        <v>QS7024A-25J</v>
      </c>
      <c r="B47034" s="3" t="s">
        <v>127</v>
      </c>
      <c r="C47034" s="6">
        <v>11</v>
      </c>
      <c r="D47034" s="7">
        <v>95.6</v>
      </c>
      <c r="E47034" t="s">
        <v>75</v>
      </c>
    </row>
    <row r="47035" spans="1:5" x14ac:dyDescent="0.25">
      <c r="A47035" t="str">
        <f>HYPERLINK("https://www.773grp.com/globalSearch/QS7024A-25TF/page-1", "QS7024A-25TF")</f>
        <v>QS7024A-25TF</v>
      </c>
      <c r="B47035" s="3" t="s">
        <v>127</v>
      </c>
      <c r="C47035" s="6">
        <v>112</v>
      </c>
      <c r="D47035" s="7">
        <v>95.6</v>
      </c>
      <c r="E47035" t="s">
        <v>75</v>
      </c>
    </row>
    <row r="47036" spans="1:5" x14ac:dyDescent="0.25">
      <c r="A47036" t="str">
        <f>HYPERLINK("https://www.773grp.com/globalSearch/QS72245-35J/page-1", "QS72245-35J")</f>
        <v>QS72245-35J</v>
      </c>
      <c r="B47036" s="3" t="s">
        <v>127</v>
      </c>
      <c r="C47036" s="6">
        <v>400</v>
      </c>
      <c r="D47036" s="7">
        <v>100.88</v>
      </c>
    </row>
    <row r="47037" spans="1:5" x14ac:dyDescent="0.25">
      <c r="A47037" t="str">
        <f>HYPERLINK("https://www.773grp.com/globalSearch/QS72245-35TF/page-1", "QS72245-35TF")</f>
        <v>QS72245-35TF</v>
      </c>
      <c r="B47037" s="3" t="s">
        <v>127</v>
      </c>
      <c r="C47037" s="6">
        <v>350</v>
      </c>
      <c r="D47037" s="7">
        <v>100.88</v>
      </c>
    </row>
    <row r="47038" spans="1:5" x14ac:dyDescent="0.25">
      <c r="A47038" t="str">
        <f>HYPERLINK("https://www.773grp.com/globalSearch/QS7224-30SO/page-1", "QS7224-30SO")</f>
        <v>QS7224-30SO</v>
      </c>
      <c r="B47038" s="3" t="s">
        <v>127</v>
      </c>
      <c r="C47038" s="6">
        <v>3010</v>
      </c>
      <c r="D47038" s="7">
        <v>103.66</v>
      </c>
    </row>
    <row r="47039" spans="1:5" x14ac:dyDescent="0.25">
      <c r="A47039" t="str">
        <f>HYPERLINK("https://www.773grp.com/globalSearch/QS7203-12P/page-1", "QS7203-12P")</f>
        <v>QS7203-12P</v>
      </c>
      <c r="B47039" s="3" t="s">
        <v>127</v>
      </c>
      <c r="C47039" s="6">
        <v>272</v>
      </c>
      <c r="D47039" s="7">
        <v>104.13</v>
      </c>
      <c r="E47039" t="s">
        <v>89</v>
      </c>
    </row>
    <row r="47040" spans="1:5" x14ac:dyDescent="0.25">
      <c r="A47040" t="str">
        <f>HYPERLINK("https://www.773grp.com/globalSearch/QS7024A-20TF/page-1", "QS7024A-20TF")</f>
        <v>QS7024A-20TF</v>
      </c>
      <c r="B47040" s="3" t="s">
        <v>127</v>
      </c>
      <c r="C47040" s="6">
        <v>195</v>
      </c>
      <c r="D47040" s="7">
        <v>105.16</v>
      </c>
      <c r="E47040" t="s">
        <v>75</v>
      </c>
    </row>
    <row r="47041" spans="1:5" x14ac:dyDescent="0.25">
      <c r="A47041" t="str">
        <f>HYPERLINK("https://www.773grp.com/globalSearch/QS72024A-20J/page-1", "QS72024A-20J")</f>
        <v>QS72024A-20J</v>
      </c>
      <c r="B47041" s="3" t="s">
        <v>127</v>
      </c>
      <c r="C47041" s="6">
        <v>145</v>
      </c>
      <c r="D47041" s="7">
        <v>105.16</v>
      </c>
    </row>
    <row r="47042" spans="1:5" x14ac:dyDescent="0.25">
      <c r="A47042" t="str">
        <f>HYPERLINK("https://www.773grp.com/globalSearch/QS72245-25TF/page-1", "QS72245-25TF")</f>
        <v>QS72245-25TF</v>
      </c>
      <c r="B47042" s="3" t="s">
        <v>127</v>
      </c>
      <c r="C47042" s="6">
        <v>800</v>
      </c>
      <c r="D47042" s="7">
        <v>105.19</v>
      </c>
    </row>
    <row r="47043" spans="1:5" x14ac:dyDescent="0.25">
      <c r="A47043" t="str">
        <f>HYPERLINK("https://www.773grp.com/globalSearch/QS7025A-55J/page-1", "QS7025A-55J")</f>
        <v>QS7025A-55J</v>
      </c>
      <c r="B47043" s="3" t="s">
        <v>127</v>
      </c>
      <c r="C47043" s="6">
        <v>38</v>
      </c>
      <c r="D47043" s="7">
        <v>106.01</v>
      </c>
      <c r="E47043" t="s">
        <v>75</v>
      </c>
    </row>
    <row r="47044" spans="1:5" x14ac:dyDescent="0.25">
      <c r="A47044" t="str">
        <f>HYPERLINK("https://www.773grp.com/globalSearch/QS7025A-55TF/page-1", "QS7025A-55TF")</f>
        <v>QS7025A-55TF</v>
      </c>
      <c r="B47044" s="3" t="s">
        <v>127</v>
      </c>
      <c r="C47044" s="6">
        <v>4</v>
      </c>
      <c r="D47044" s="7">
        <v>106.01</v>
      </c>
      <c r="E47044" t="s">
        <v>75</v>
      </c>
    </row>
    <row r="47045" spans="1:5" x14ac:dyDescent="0.25">
      <c r="A47045" t="str">
        <f>HYPERLINK("https://www.773grp.com/globalSearch/QS70261A-35TF/page-1", "QS70261A-35TF")</f>
        <v>QS70261A-35TF</v>
      </c>
      <c r="B47045" s="3" t="s">
        <v>127</v>
      </c>
      <c r="C47045" s="6">
        <v>40</v>
      </c>
      <c r="D47045" s="7">
        <v>106.26</v>
      </c>
      <c r="E47045" t="s">
        <v>75</v>
      </c>
    </row>
    <row r="47046" spans="1:5" x14ac:dyDescent="0.25">
      <c r="A47046" t="str">
        <f>HYPERLINK("https://www.773grp.com/globalSearch/QS723661-50TF/page-1", "QS723661-50TF")</f>
        <v>QS723661-50TF</v>
      </c>
      <c r="B47046" s="3" t="s">
        <v>127</v>
      </c>
      <c r="C47046" s="6">
        <v>22</v>
      </c>
      <c r="D47046" s="7">
        <v>107.89</v>
      </c>
    </row>
    <row r="47047" spans="1:5" x14ac:dyDescent="0.25">
      <c r="A47047" t="str">
        <f>HYPERLINK("https://www.773grp.com/globalSearch/QS7025A-35J/page-1", "QS7025A-35J")</f>
        <v>QS7025A-35J</v>
      </c>
      <c r="B47047" s="3" t="s">
        <v>127</v>
      </c>
      <c r="C47047" s="6">
        <v>124</v>
      </c>
      <c r="D47047" s="7">
        <v>109.86</v>
      </c>
      <c r="E47047" t="s">
        <v>75</v>
      </c>
    </row>
    <row r="47048" spans="1:5" x14ac:dyDescent="0.25">
      <c r="A47048" t="str">
        <f>HYPERLINK("https://www.773grp.com/globalSearch/QS7025A-35TF/page-1", "QS7025A-35TF")</f>
        <v>QS7025A-35TF</v>
      </c>
      <c r="B47048" s="3" t="s">
        <v>127</v>
      </c>
      <c r="C47048" s="6">
        <v>122</v>
      </c>
      <c r="D47048" s="7">
        <v>109.86</v>
      </c>
      <c r="E47048" t="s">
        <v>75</v>
      </c>
    </row>
    <row r="47049" spans="1:5" x14ac:dyDescent="0.25">
      <c r="A47049" t="str">
        <f>HYPERLINK("https://www.773grp.com/globalSearch/QS72245-20J/page-1", "QS72245-20J")</f>
        <v>QS72245-20J</v>
      </c>
      <c r="B47049" s="3" t="s">
        <v>127</v>
      </c>
      <c r="C47049" s="6">
        <v>593</v>
      </c>
      <c r="D47049" s="7">
        <v>110.5</v>
      </c>
    </row>
    <row r="47050" spans="1:5" x14ac:dyDescent="0.25">
      <c r="A47050" t="str">
        <f>HYPERLINK("https://www.773grp.com/globalSearch/QS72245-20TF/page-1", "QS72245-20TF")</f>
        <v>QS72245-20TF</v>
      </c>
      <c r="B47050" s="3" t="s">
        <v>127</v>
      </c>
      <c r="C47050" s="6">
        <v>430</v>
      </c>
      <c r="D47050" s="7">
        <v>110.5</v>
      </c>
    </row>
    <row r="47051" spans="1:5" x14ac:dyDescent="0.25">
      <c r="A47051" t="str">
        <f>HYPERLINK("https://www.773grp.com/globalSearch/QS72245-25J/page-1", "QS72245-25J")</f>
        <v>QS72245-25J</v>
      </c>
      <c r="B47051" s="3" t="s">
        <v>127</v>
      </c>
      <c r="C47051" s="6">
        <v>598</v>
      </c>
      <c r="D47051" s="7">
        <v>110.5</v>
      </c>
    </row>
    <row r="47052" spans="1:5" x14ac:dyDescent="0.25">
      <c r="A47052" t="str">
        <f>HYPERLINK("https://www.773grp.com/globalSearch/QS723661-30TF/page-1", "QS723661-30TF")</f>
        <v>QS723661-30TF</v>
      </c>
      <c r="B47052" s="3" t="s">
        <v>127</v>
      </c>
      <c r="C47052" s="6">
        <v>8</v>
      </c>
      <c r="D47052" s="7">
        <v>112.98</v>
      </c>
      <c r="E47052" t="s">
        <v>89</v>
      </c>
    </row>
    <row r="47053" spans="1:5" x14ac:dyDescent="0.25">
      <c r="A47053" t="str">
        <f>HYPERLINK("https://www.773grp.com/globalSearch/QS70261A-25TF/page-1", "QS70261A-25TF")</f>
        <v>QS70261A-25TF</v>
      </c>
      <c r="B47053" s="3" t="s">
        <v>127</v>
      </c>
      <c r="C47053" s="6">
        <v>506</v>
      </c>
      <c r="D47053" s="7">
        <v>114.04</v>
      </c>
      <c r="E47053" t="s">
        <v>75</v>
      </c>
    </row>
    <row r="47054" spans="1:5" x14ac:dyDescent="0.25">
      <c r="A47054" t="str">
        <f>HYPERLINK("https://www.773grp.com/globalSearch/QS70581-25TF/page-1", "QS70581-25TF")</f>
        <v>QS70581-25TF</v>
      </c>
      <c r="B47054" s="3" t="s">
        <v>127</v>
      </c>
      <c r="C47054" s="6">
        <v>8</v>
      </c>
      <c r="D47054" s="7">
        <v>114.04</v>
      </c>
      <c r="E47054" t="s">
        <v>75</v>
      </c>
    </row>
    <row r="47055" spans="1:5" x14ac:dyDescent="0.25">
      <c r="A47055" t="str">
        <f>HYPERLINK("https://www.773grp.com/globalSearch/QS70681-25TF/page-1", "QS70681-25TF")</f>
        <v>QS70681-25TF</v>
      </c>
      <c r="B47055" s="3" t="s">
        <v>127</v>
      </c>
      <c r="C47055" s="6">
        <v>3</v>
      </c>
      <c r="D47055" s="7">
        <v>114.04</v>
      </c>
      <c r="E47055" t="s">
        <v>75</v>
      </c>
    </row>
    <row r="47056" spans="1:5" x14ac:dyDescent="0.25">
      <c r="A47056" t="str">
        <f>HYPERLINK("https://www.773grp.com/globalSearch/QS7026A-20J/page-1", "QS7026A-20J")</f>
        <v>QS7026A-20J</v>
      </c>
      <c r="B47056" s="3" t="s">
        <v>127</v>
      </c>
      <c r="C47056" s="6">
        <v>275</v>
      </c>
      <c r="D47056" s="7">
        <v>116.14</v>
      </c>
      <c r="E47056" t="s">
        <v>75</v>
      </c>
    </row>
    <row r="47057" spans="1:5" x14ac:dyDescent="0.25">
      <c r="A47057" t="str">
        <f>HYPERLINK("https://www.773grp.com/globalSearch/QS7025A-25J/page-1", "QS7025A-25J")</f>
        <v>QS7025A-25J</v>
      </c>
      <c r="B47057" s="3" t="s">
        <v>127</v>
      </c>
      <c r="C47057" s="6">
        <v>102</v>
      </c>
      <c r="D47057" s="7">
        <v>116.15</v>
      </c>
      <c r="E47057" t="s">
        <v>75</v>
      </c>
    </row>
    <row r="47058" spans="1:5" x14ac:dyDescent="0.25">
      <c r="A47058" t="str">
        <f>HYPERLINK("https://www.773grp.com/globalSearch/QS7025A-25TF/page-1", "QS7025A-25TF")</f>
        <v>QS7025A-25TF</v>
      </c>
      <c r="B47058" s="3" t="s">
        <v>127</v>
      </c>
      <c r="C47058" s="6">
        <v>577</v>
      </c>
      <c r="D47058" s="7">
        <v>116.15</v>
      </c>
      <c r="E47058" t="s">
        <v>75</v>
      </c>
    </row>
    <row r="47059" spans="1:5" x14ac:dyDescent="0.25">
      <c r="A47059" t="str">
        <f>HYPERLINK("https://www.773grp.com/globalSearch/QS7025A-20TF-02/page-1", "QS7025A-20TF-02")</f>
        <v>QS7025A-20TF-02</v>
      </c>
      <c r="B47059" s="3" t="s">
        <v>127</v>
      </c>
      <c r="C47059" s="6">
        <v>240</v>
      </c>
      <c r="D47059" s="7">
        <v>124</v>
      </c>
    </row>
    <row r="47060" spans="1:5" x14ac:dyDescent="0.25">
      <c r="A47060" t="str">
        <f>HYPERLINK("https://www.773grp.com/globalSearch/QS723661-25TF/page-1", "QS723661-25TF")</f>
        <v>QS723661-25TF</v>
      </c>
      <c r="B47060" s="3" t="s">
        <v>127</v>
      </c>
      <c r="C47060" s="6">
        <v>17</v>
      </c>
      <c r="D47060" s="7">
        <v>124.29</v>
      </c>
      <c r="E47060" t="s">
        <v>89</v>
      </c>
    </row>
    <row r="47061" spans="1:5" x14ac:dyDescent="0.25">
      <c r="A47061" t="str">
        <f>HYPERLINK("https://www.773grp.com/globalSearch/QS7224-15V/page-1", "QS7224-15V")</f>
        <v>QS7224-15V</v>
      </c>
      <c r="B47061" s="3" t="s">
        <v>127</v>
      </c>
      <c r="C47061" s="6">
        <v>434</v>
      </c>
      <c r="D47061" s="7">
        <v>124.68</v>
      </c>
      <c r="E47061" t="s">
        <v>89</v>
      </c>
    </row>
    <row r="47062" spans="1:5" x14ac:dyDescent="0.25">
      <c r="A47062" t="str">
        <f>HYPERLINK("https://www.773grp.com/globalSearch/QS7026A-55J/page-1", "QS7026A-55J")</f>
        <v>QS7026A-55J</v>
      </c>
      <c r="B47062" s="3" t="s">
        <v>127</v>
      </c>
      <c r="C47062" s="6">
        <v>114</v>
      </c>
      <c r="D47062" s="7">
        <v>130.41</v>
      </c>
      <c r="E47062" t="s">
        <v>75</v>
      </c>
    </row>
    <row r="47063" spans="1:5" x14ac:dyDescent="0.25">
      <c r="A47063" t="str">
        <f>HYPERLINK("https://www.773grp.com/globalSearch/QS70261A-20TF/page-1", "QS70261A-20TF")</f>
        <v>QS70261A-20TF</v>
      </c>
      <c r="B47063" s="3" t="s">
        <v>127</v>
      </c>
      <c r="C47063" s="6">
        <v>169</v>
      </c>
      <c r="D47063" s="7">
        <v>131.59</v>
      </c>
      <c r="E47063" t="s">
        <v>75</v>
      </c>
    </row>
    <row r="47064" spans="1:5" x14ac:dyDescent="0.25">
      <c r="A47064" t="str">
        <f>HYPERLINK("https://www.773grp.com/globalSearch/QS723620-30PF/page-1", "QS723620-30PF")</f>
        <v>QS723620-30PF</v>
      </c>
      <c r="B47064" s="3" t="s">
        <v>127</v>
      </c>
      <c r="C47064" s="6">
        <v>532</v>
      </c>
      <c r="D47064" s="7">
        <v>133.88</v>
      </c>
      <c r="E47064" t="s">
        <v>89</v>
      </c>
    </row>
    <row r="47065" spans="1:5" x14ac:dyDescent="0.25">
      <c r="A47065" t="str">
        <f>HYPERLINK("https://www.773grp.com/globalSearch/QS7026A-25J/page-1", "QS7026A-25J")</f>
        <v>QS7026A-25J</v>
      </c>
      <c r="B47065" s="3" t="s">
        <v>127</v>
      </c>
      <c r="C47065" s="6">
        <v>536</v>
      </c>
      <c r="D47065" s="7">
        <v>140.24</v>
      </c>
      <c r="E47065" t="s">
        <v>75</v>
      </c>
    </row>
    <row r="47066" spans="1:5" x14ac:dyDescent="0.25">
      <c r="A47066" t="str">
        <f>HYPERLINK("https://www.773grp.com/globalSearch/QS70261A-17TF/page-1", "QS70261A-17TF")</f>
        <v>QS70261A-17TF</v>
      </c>
      <c r="B47066" s="3" t="s">
        <v>127</v>
      </c>
      <c r="C47066" s="6">
        <v>28</v>
      </c>
      <c r="D47066" s="7">
        <v>140.74</v>
      </c>
      <c r="E47066" t="s">
        <v>75</v>
      </c>
    </row>
    <row r="47067" spans="1:5" x14ac:dyDescent="0.25">
      <c r="A47067" t="str">
        <f>HYPERLINK("https://www.773grp.com/globalSearch/QS75836-25QF/page-1", "QS75836-25QF")</f>
        <v>QS75836-25QF</v>
      </c>
      <c r="B47067" s="3" t="s">
        <v>127</v>
      </c>
      <c r="C47067" s="6">
        <v>110</v>
      </c>
      <c r="D47067" s="7">
        <v>142.80000000000001</v>
      </c>
      <c r="E47067" t="s">
        <v>75</v>
      </c>
    </row>
    <row r="47068" spans="1:5" x14ac:dyDescent="0.25">
      <c r="A47068" t="str">
        <f>HYPERLINK("https://www.773grp.com/globalSearch/QS723620-25PF/page-1", "QS723620-25PF")</f>
        <v>QS723620-25PF</v>
      </c>
      <c r="B47068" s="3" t="s">
        <v>127</v>
      </c>
      <c r="C47068" s="6">
        <v>761</v>
      </c>
      <c r="D47068" s="7">
        <v>147.26</v>
      </c>
      <c r="E47068" t="s">
        <v>89</v>
      </c>
    </row>
    <row r="47069" spans="1:5" x14ac:dyDescent="0.25">
      <c r="A47069" t="str">
        <f>HYPERLINK("https://www.773grp.com/globalSearch/QS725420A-30PF/page-1", "QS725420A-30PF")</f>
        <v>QS725420A-30PF</v>
      </c>
      <c r="B47069" s="3" t="s">
        <v>127</v>
      </c>
      <c r="C47069" s="6">
        <v>1250</v>
      </c>
      <c r="D47069" s="7">
        <v>148.5</v>
      </c>
      <c r="E47069" t="s">
        <v>89</v>
      </c>
    </row>
    <row r="47070" spans="1:5" x14ac:dyDescent="0.25">
      <c r="A47070" t="str">
        <f>HYPERLINK("https://www.773grp.com/globalSearch/QS725420A-30TF/page-1", "QS725420A-30TF")</f>
        <v>QS725420A-30TF</v>
      </c>
      <c r="B47070" s="3" t="s">
        <v>127</v>
      </c>
      <c r="C47070" s="6">
        <v>200</v>
      </c>
      <c r="D47070" s="7">
        <v>148.5</v>
      </c>
      <c r="E47070" t="s">
        <v>89</v>
      </c>
    </row>
    <row r="47071" spans="1:5" x14ac:dyDescent="0.25">
      <c r="A47071" t="str">
        <f>HYPERLINK("https://www.773grp.com/globalSearch/QS723620-20PF/page-1", "QS723620-20PF")</f>
        <v>QS723620-20PF</v>
      </c>
      <c r="B47071" s="3" t="s">
        <v>127</v>
      </c>
      <c r="C47071" s="6">
        <v>459</v>
      </c>
      <c r="D47071" s="7">
        <v>162</v>
      </c>
      <c r="E47071" t="s">
        <v>89</v>
      </c>
    </row>
    <row r="47072" spans="1:5" x14ac:dyDescent="0.25">
      <c r="A47072" t="str">
        <f>HYPERLINK("https://www.773grp.com/globalSearch/QS725420A-25PF/page-1", "QS725420A-25PF")</f>
        <v>QS725420A-25PF</v>
      </c>
      <c r="B47072" s="3" t="s">
        <v>127</v>
      </c>
      <c r="C47072" s="6">
        <v>678</v>
      </c>
      <c r="D47072" s="7">
        <v>163.35</v>
      </c>
      <c r="E47072" t="s">
        <v>89</v>
      </c>
    </row>
    <row r="47073" spans="1:5" x14ac:dyDescent="0.25">
      <c r="A47073" t="str">
        <f>HYPERLINK("https://www.773grp.com/globalSearch/QS725420A-25TF/page-1", "QS725420A-25TF")</f>
        <v>QS725420A-25TF</v>
      </c>
      <c r="B47073" s="3" t="s">
        <v>127</v>
      </c>
      <c r="C47073" s="6">
        <v>547</v>
      </c>
      <c r="D47073" s="7">
        <v>163.35</v>
      </c>
      <c r="E47073" t="s">
        <v>89</v>
      </c>
    </row>
    <row r="47074" spans="1:5" x14ac:dyDescent="0.25">
      <c r="A47074" t="str">
        <f>HYPERLINK("https://www.773grp.com/globalSearch/QS7204-10V/page-1", "QS7204-10V")</f>
        <v>QS7204-10V</v>
      </c>
      <c r="B47074" s="3" t="s">
        <v>127</v>
      </c>
      <c r="C47074" s="6">
        <v>138</v>
      </c>
      <c r="D47074" s="7">
        <v>177.24</v>
      </c>
      <c r="E47074" t="s">
        <v>89</v>
      </c>
    </row>
    <row r="47075" spans="1:5" x14ac:dyDescent="0.25">
      <c r="A47075" t="str">
        <f>HYPERLINK("https://www.773grp.com/globalSearch/QS725420A-20PF/page-1", "QS725420A-20PF")</f>
        <v>QS725420A-20PF</v>
      </c>
      <c r="B47075" s="3" t="s">
        <v>127</v>
      </c>
      <c r="C47075" s="6">
        <v>782</v>
      </c>
      <c r="D47075" s="7">
        <v>179.69</v>
      </c>
      <c r="E47075" t="s">
        <v>89</v>
      </c>
    </row>
    <row r="47076" spans="1:5" x14ac:dyDescent="0.25">
      <c r="A47076" t="str">
        <f>HYPERLINK("https://www.773grp.com/globalSearch/QS725420A-20TF/page-1", "QS725420A-20TF")</f>
        <v>QS725420A-20TF</v>
      </c>
      <c r="B47076" s="3" t="s">
        <v>127</v>
      </c>
      <c r="C47076" s="6">
        <v>270</v>
      </c>
      <c r="D47076" s="7">
        <v>179.69</v>
      </c>
      <c r="E47076" t="s">
        <v>89</v>
      </c>
    </row>
    <row r="47077" spans="1:5" x14ac:dyDescent="0.25">
      <c r="A47077" t="str">
        <f>HYPERLINK("https://www.773grp.com/globalSearch/QS723611-30TF/page-1", "QS723611-30TF")</f>
        <v>QS723611-30TF</v>
      </c>
      <c r="B47077" s="3" t="s">
        <v>127</v>
      </c>
      <c r="C47077" s="6">
        <v>550</v>
      </c>
      <c r="D47077" s="7">
        <v>192.08</v>
      </c>
      <c r="E47077" t="s">
        <v>89</v>
      </c>
    </row>
    <row r="47078" spans="1:5" x14ac:dyDescent="0.25">
      <c r="A47078" t="str">
        <f>HYPERLINK("https://www.773grp.com/globalSearch/QS723611-25TF/page-1", "QS723611-25TF")</f>
        <v>QS723611-25TF</v>
      </c>
      <c r="B47078" s="3" t="s">
        <v>127</v>
      </c>
      <c r="C47078" s="6">
        <v>529</v>
      </c>
      <c r="D47078" s="7">
        <v>211.28</v>
      </c>
      <c r="E47078" t="s">
        <v>89</v>
      </c>
    </row>
    <row r="47079" spans="1:5" x14ac:dyDescent="0.25">
      <c r="A47079" t="str">
        <f>HYPERLINK("https://www.773grp.com/globalSearch/QS723611-20TF/page-1", "QS723611-20TF")</f>
        <v>QS723611-20TF</v>
      </c>
      <c r="B47079" s="3" t="s">
        <v>127</v>
      </c>
      <c r="C47079" s="6">
        <v>269</v>
      </c>
      <c r="D47079" s="7">
        <v>232.43</v>
      </c>
      <c r="E47079" t="s">
        <v>89</v>
      </c>
    </row>
    <row r="47080" spans="1:5" x14ac:dyDescent="0.25">
      <c r="A47080" t="str">
        <f>HYPERLINK("https://www.773grp.com/globalSearch/QS723621-30TF/page-1", "QS723621-30TF")</f>
        <v>QS723621-30TF</v>
      </c>
      <c r="B47080" s="3" t="s">
        <v>127</v>
      </c>
      <c r="C47080" s="6">
        <v>310</v>
      </c>
      <c r="D47080" s="7">
        <v>239.06</v>
      </c>
      <c r="E47080" t="s">
        <v>89</v>
      </c>
    </row>
    <row r="47081" spans="1:5" x14ac:dyDescent="0.25">
      <c r="A47081" t="str">
        <f>HYPERLINK("https://www.773grp.com/globalSearch/QS723621-25TF/page-1", "QS723621-25TF")</f>
        <v>QS723621-25TF</v>
      </c>
      <c r="B47081" s="3" t="s">
        <v>127</v>
      </c>
      <c r="C47081" s="6">
        <v>448</v>
      </c>
      <c r="D47081" s="7">
        <v>258.19</v>
      </c>
      <c r="E47081" t="s">
        <v>89</v>
      </c>
    </row>
    <row r="47082" spans="1:5" x14ac:dyDescent="0.25">
      <c r="A47082" t="str">
        <f>HYPERLINK("https://www.773grp.com/globalSearch/CY2544C217/page-1", "CY2544C217")</f>
        <v>CY2544C217</v>
      </c>
      <c r="B47082" s="3" t="s">
        <v>129</v>
      </c>
      <c r="C47082" s="6">
        <v>490</v>
      </c>
      <c r="D47082" s="7">
        <v>0</v>
      </c>
    </row>
    <row r="47083" spans="1:5" x14ac:dyDescent="0.25">
      <c r="A47083" t="str">
        <f>HYPERLINK("https://www.773grp.com/globalSearch/CY2545C/page-1", "CY2545C")</f>
        <v>CY2545C</v>
      </c>
      <c r="B47083" s="3" t="s">
        <v>129</v>
      </c>
      <c r="C47083" s="6">
        <v>490</v>
      </c>
      <c r="D47083" s="7">
        <v>0</v>
      </c>
    </row>
    <row r="47084" spans="1:5" x14ac:dyDescent="0.25">
      <c r="A47084" t="str">
        <f>HYPERLINK("https://www.773grp.com/globalSearch/CY2548I/page-1", "CY2548I")</f>
        <v>CY2548I</v>
      </c>
      <c r="B47084" s="3" t="s">
        <v>129</v>
      </c>
      <c r="C47084" s="6">
        <v>490</v>
      </c>
      <c r="D47084" s="7">
        <v>0</v>
      </c>
    </row>
    <row r="47085" spans="1:5" x14ac:dyDescent="0.25">
      <c r="A47085" t="str">
        <f>HYPERLINK("https://www.773grp.com/globalSearch/FM1105/page-1", "FM1105")</f>
        <v>FM1105</v>
      </c>
      <c r="B47085" s="3" t="s">
        <v>129</v>
      </c>
      <c r="C47085" s="6">
        <v>3000</v>
      </c>
      <c r="D47085" s="7">
        <v>0</v>
      </c>
    </row>
    <row r="47086" spans="1:5" x14ac:dyDescent="0.25">
      <c r="A47086" t="str">
        <f>HYPERLINK("https://www.773grp.com/globalSearch/FM1105TR/page-1", "FM1105TR")</f>
        <v>FM1105TR</v>
      </c>
      <c r="B47086" s="3" t="s">
        <v>129</v>
      </c>
      <c r="C47086" s="6">
        <v>2700</v>
      </c>
      <c r="D47086" s="7">
        <v>0</v>
      </c>
    </row>
    <row r="47087" spans="1:5" x14ac:dyDescent="0.25">
      <c r="A47087" t="str">
        <f>HYPERLINK("https://www.773grp.com/globalSearch/FM1608B-SGTR/page-1", "FM1608B-SGTR")</f>
        <v>FM1608B-SGTR</v>
      </c>
      <c r="B47087" s="3" t="s">
        <v>129</v>
      </c>
      <c r="C47087" s="6">
        <v>9000</v>
      </c>
      <c r="D47087" s="7">
        <v>0</v>
      </c>
    </row>
    <row r="47088" spans="1:5" x14ac:dyDescent="0.25">
      <c r="A47088" t="str">
        <f>HYPERLINK("https://www.773grp.com/globalSearch/FM25H20-PG/page-1", "FM25H20-PG")</f>
        <v>FM25H20-PG</v>
      </c>
      <c r="B47088" s="3" t="s">
        <v>129</v>
      </c>
      <c r="C47088" s="6">
        <v>37897</v>
      </c>
      <c r="D47088" s="7">
        <v>0</v>
      </c>
    </row>
    <row r="47089" spans="1:4" x14ac:dyDescent="0.25">
      <c r="A47089" t="str">
        <f>HYPERLINK("https://www.773grp.com/globalSearch/FM25V02-DG/page-1", "FM25V02-DG")</f>
        <v>FM25V02-DG</v>
      </c>
      <c r="B47089" s="3" t="s">
        <v>129</v>
      </c>
      <c r="C47089" s="6">
        <v>10</v>
      </c>
      <c r="D47089" s="7">
        <v>0</v>
      </c>
    </row>
    <row r="47090" spans="1:4" x14ac:dyDescent="0.25">
      <c r="A47090" t="str">
        <f>HYPERLINK("https://www.773grp.com/globalSearch/FM25VN05-G/page-1", "FM25VN05-G")</f>
        <v>FM25VN05-G</v>
      </c>
      <c r="B47090" s="3" t="s">
        <v>129</v>
      </c>
      <c r="C47090" s="6">
        <v>9016</v>
      </c>
      <c r="D47090" s="7">
        <v>0</v>
      </c>
    </row>
    <row r="47091" spans="1:4" x14ac:dyDescent="0.25">
      <c r="A47091" t="str">
        <f>HYPERLINK("https://www.773grp.com/globalSearch/FM25VN10-G/page-1", "FM25VN10-G")</f>
        <v>FM25VN10-G</v>
      </c>
      <c r="B47091" s="3" t="s">
        <v>129</v>
      </c>
      <c r="C47091" s="6">
        <v>123</v>
      </c>
      <c r="D47091" s="7">
        <v>0</v>
      </c>
    </row>
    <row r="47092" spans="1:4" x14ac:dyDescent="0.25">
      <c r="A47092" t="str">
        <f>HYPERLINK("https://www.773grp.com/globalSearch/FM31276-G/page-1", "FM31276-G")</f>
        <v>FM31276-G</v>
      </c>
      <c r="B47092" s="3" t="s">
        <v>129</v>
      </c>
      <c r="C47092" s="6">
        <v>20</v>
      </c>
      <c r="D47092" s="7">
        <v>0</v>
      </c>
    </row>
    <row r="47093" spans="1:4" x14ac:dyDescent="0.25">
      <c r="A47093" t="str">
        <f>HYPERLINK("https://www.773grp.com/globalSearch/FM31L276-G/page-1", "FM31L276-G")</f>
        <v>FM31L276-G</v>
      </c>
      <c r="B47093" s="3" t="s">
        <v>129</v>
      </c>
      <c r="C47093" s="6">
        <v>25</v>
      </c>
      <c r="D47093" s="7">
        <v>0</v>
      </c>
    </row>
    <row r="47094" spans="1:4" x14ac:dyDescent="0.25">
      <c r="A47094" t="str">
        <f>HYPERLINK("https://www.773grp.com/globalSearch/FM1105-GA/page-1", "FM1105-GA")</f>
        <v>FM1105-GA</v>
      </c>
      <c r="B47094" s="3" t="s">
        <v>129</v>
      </c>
      <c r="C47094" s="6">
        <v>6215</v>
      </c>
      <c r="D47094" s="7">
        <v>2.69</v>
      </c>
    </row>
    <row r="47095" spans="1:4" x14ac:dyDescent="0.25">
      <c r="A47095" t="str">
        <f>HYPERLINK("https://www.773grp.com/globalSearch/FM1105-GATR/page-1", "FM1105-GATR")</f>
        <v>FM1105-GATR</v>
      </c>
      <c r="B47095" s="3" t="s">
        <v>129</v>
      </c>
      <c r="C47095" s="6">
        <v>75000</v>
      </c>
      <c r="D47095" s="7">
        <v>2.69</v>
      </c>
    </row>
    <row r="47096" spans="1:4" x14ac:dyDescent="0.25">
      <c r="A47096" t="str">
        <f>HYPERLINK("https://www.773grp.com/globalSearch/FM1106-GA/page-1", "FM1106-GA")</f>
        <v>FM1106-GA</v>
      </c>
      <c r="B47096" s="3" t="s">
        <v>129</v>
      </c>
      <c r="C47096" s="6">
        <v>15800</v>
      </c>
      <c r="D47096" s="7">
        <v>2.69</v>
      </c>
    </row>
    <row r="47097" spans="1:4" x14ac:dyDescent="0.25">
      <c r="A47097" t="str">
        <f>HYPERLINK("https://www.773grp.com/globalSearch/FM25040B-GA1/page-1", "FM25040B-GA1")</f>
        <v>FM25040B-GA1</v>
      </c>
      <c r="B47097" s="3" t="s">
        <v>129</v>
      </c>
      <c r="C47097" s="6">
        <v>2745</v>
      </c>
      <c r="D47097" s="7">
        <v>3.09</v>
      </c>
    </row>
    <row r="47098" spans="1:4" x14ac:dyDescent="0.25">
      <c r="A47098" t="str">
        <f>HYPERLINK("https://www.773grp.com/globalSearch/FM25C160B-GA1/page-1", "FM25C160B-GA1")</f>
        <v>FM25C160B-GA1</v>
      </c>
      <c r="B47098" s="3" t="s">
        <v>129</v>
      </c>
      <c r="C47098" s="6">
        <v>642</v>
      </c>
      <c r="D47098" s="7">
        <v>3.09</v>
      </c>
    </row>
    <row r="47099" spans="1:4" x14ac:dyDescent="0.25">
      <c r="A47099" t="str">
        <f>HYPERLINK("https://www.773grp.com/globalSearch/FM25C160B-GA1TR/page-1", "FM25C160B-GA1TR")</f>
        <v>FM25C160B-GA1TR</v>
      </c>
      <c r="B47099" s="3" t="s">
        <v>129</v>
      </c>
      <c r="C47099" s="6">
        <v>67500</v>
      </c>
      <c r="D47099" s="7">
        <v>3.09</v>
      </c>
    </row>
    <row r="47100" spans="1:4" x14ac:dyDescent="0.25">
      <c r="A47100" t="str">
        <f>HYPERLINK("https://www.773grp.com/globalSearch/CS7259AA/page-1", "CS7259AA")</f>
        <v>CS7259AA</v>
      </c>
      <c r="B47100" s="3" t="s">
        <v>129</v>
      </c>
      <c r="C47100" s="6">
        <v>900</v>
      </c>
      <c r="D47100" s="7">
        <v>3.24</v>
      </c>
    </row>
    <row r="47101" spans="1:4" x14ac:dyDescent="0.25">
      <c r="A47101" t="str">
        <f>HYPERLINK("https://www.773grp.com/globalSearch/FM25040B-G/page-1", "FM25040B-G")</f>
        <v>FM25040B-G</v>
      </c>
      <c r="B47101" s="3" t="s">
        <v>129</v>
      </c>
      <c r="C47101" s="6">
        <v>214</v>
      </c>
      <c r="D47101" s="7">
        <v>3.7</v>
      </c>
    </row>
    <row r="47102" spans="1:4" x14ac:dyDescent="0.25">
      <c r="A47102" t="str">
        <f>HYPERLINK("https://www.773grp.com/globalSearch/FM25L04B-G/page-1", "FM25L04B-G")</f>
        <v>FM25L04B-G</v>
      </c>
      <c r="B47102" s="3" t="s">
        <v>129</v>
      </c>
      <c r="C47102" s="6">
        <v>92</v>
      </c>
      <c r="D47102" s="7">
        <v>3.7</v>
      </c>
    </row>
    <row r="47103" spans="1:4" x14ac:dyDescent="0.25">
      <c r="A47103" t="str">
        <f>HYPERLINK("https://www.773grp.com/globalSearch/FM1114-QG/page-1", "FM1114-QG")</f>
        <v>FM1114-QG</v>
      </c>
      <c r="B47103" s="3" t="s">
        <v>129</v>
      </c>
      <c r="C47103" s="6">
        <v>1699</v>
      </c>
      <c r="D47103" s="7">
        <v>4.28</v>
      </c>
    </row>
    <row r="47104" spans="1:4" x14ac:dyDescent="0.25">
      <c r="A47104" t="str">
        <f>HYPERLINK("https://www.773grp.com/globalSearch/FM1110-QG/page-1", "FM1110-QG")</f>
        <v>FM1110-QG</v>
      </c>
      <c r="B47104" s="3" t="s">
        <v>129</v>
      </c>
      <c r="C47104" s="6">
        <v>7743</v>
      </c>
      <c r="D47104" s="7">
        <v>4.4400000000000004</v>
      </c>
    </row>
    <row r="47105" spans="1:4" x14ac:dyDescent="0.25">
      <c r="A47105" t="str">
        <f>HYPERLINK("https://www.773grp.com/globalSearch/FM1112-QG/page-1", "FM1112-QG")</f>
        <v>FM1112-QG</v>
      </c>
      <c r="B47105" s="3" t="s">
        <v>129</v>
      </c>
      <c r="C47105" s="6">
        <v>14468</v>
      </c>
      <c r="D47105" s="7">
        <v>4.4400000000000004</v>
      </c>
    </row>
    <row r="47106" spans="1:4" x14ac:dyDescent="0.25">
      <c r="A47106" t="str">
        <f>HYPERLINK("https://www.773grp.com/globalSearch/FM24C16B-G/page-1", "FM24C16B-G")</f>
        <v>FM24C16B-G</v>
      </c>
      <c r="B47106" s="3" t="s">
        <v>129</v>
      </c>
      <c r="C47106" s="6">
        <v>651</v>
      </c>
      <c r="D47106" s="7">
        <v>4.49</v>
      </c>
    </row>
    <row r="47107" spans="1:4" x14ac:dyDescent="0.25">
      <c r="A47107" t="str">
        <f>HYPERLINK("https://www.773grp.com/globalSearch/FM24C16B-G1/page-1", "FM24C16B-G1")</f>
        <v>FM24C16B-G1</v>
      </c>
      <c r="B47107" s="3" t="s">
        <v>129</v>
      </c>
      <c r="C47107" s="6">
        <v>3131</v>
      </c>
      <c r="D47107" s="7">
        <v>4.49</v>
      </c>
    </row>
    <row r="47108" spans="1:4" x14ac:dyDescent="0.25">
      <c r="A47108" t="str">
        <f>HYPERLINK("https://www.773grp.com/globalSearch/FM25C160B-G/page-1", "FM25C160B-G")</f>
        <v>FM25C160B-G</v>
      </c>
      <c r="B47108" s="3" t="s">
        <v>129</v>
      </c>
      <c r="C47108" s="6">
        <v>26</v>
      </c>
      <c r="D47108" s="7">
        <v>4.49</v>
      </c>
    </row>
    <row r="47109" spans="1:4" x14ac:dyDescent="0.25">
      <c r="A47109" t="str">
        <f>HYPERLINK("https://www.773grp.com/globalSearch/FM25L16B-G/page-1", "FM25L16B-G")</f>
        <v>FM25L16B-G</v>
      </c>
      <c r="B47109" s="3" t="s">
        <v>129</v>
      </c>
      <c r="C47109" s="6">
        <v>380</v>
      </c>
      <c r="D47109" s="7">
        <v>4.49</v>
      </c>
    </row>
    <row r="47110" spans="1:4" x14ac:dyDescent="0.25">
      <c r="A47110" t="str">
        <f>HYPERLINK("https://www.773grp.com/globalSearch/FM25L16B-G3/page-1", "FM25L16B-G3")</f>
        <v>FM25L16B-G3</v>
      </c>
      <c r="B47110" s="3" t="s">
        <v>129</v>
      </c>
      <c r="C47110" s="6">
        <v>510</v>
      </c>
      <c r="D47110" s="7">
        <v>4.49</v>
      </c>
    </row>
    <row r="47111" spans="1:4" x14ac:dyDescent="0.25">
      <c r="A47111" t="str">
        <f>HYPERLINK("https://www.773grp.com/globalSearch/FM24CL64B-G/page-1", "FM24CL64B-G")</f>
        <v>FM24CL64B-G</v>
      </c>
      <c r="B47111" s="3" t="s">
        <v>129</v>
      </c>
      <c r="C47111" s="6">
        <v>92</v>
      </c>
      <c r="D47111" s="7">
        <v>4.25</v>
      </c>
    </row>
    <row r="47112" spans="1:4" x14ac:dyDescent="0.25">
      <c r="A47112" t="str">
        <f>HYPERLINK("https://www.773grp.com/globalSearch/FM25CL64B-G/page-1", "FM25CL64B-G")</f>
        <v>FM25CL64B-G</v>
      </c>
      <c r="B47112" s="3" t="s">
        <v>129</v>
      </c>
      <c r="C47112" s="6">
        <v>478</v>
      </c>
      <c r="D47112" s="7">
        <v>4.25</v>
      </c>
    </row>
    <row r="47113" spans="1:4" x14ac:dyDescent="0.25">
      <c r="A47113" t="str">
        <f>HYPERLINK("https://www.773grp.com/globalSearch/FM25CL64B-DG/page-1", "FM25CL64B-DG")</f>
        <v>FM25CL64B-DG</v>
      </c>
      <c r="B47113" s="3" t="s">
        <v>129</v>
      </c>
      <c r="C47113" s="6">
        <v>537</v>
      </c>
      <c r="D47113" s="7">
        <v>4.6399999999999997</v>
      </c>
    </row>
    <row r="47114" spans="1:4" x14ac:dyDescent="0.25">
      <c r="A47114" t="str">
        <f>HYPERLINK("https://www.773grp.com/globalSearch/FM25640B-G/page-1", "FM25640B-G")</f>
        <v>FM25640B-G</v>
      </c>
      <c r="B47114" s="3" t="s">
        <v>129</v>
      </c>
      <c r="C47114" s="6">
        <v>800</v>
      </c>
      <c r="D47114" s="7">
        <v>5.01</v>
      </c>
    </row>
    <row r="47115" spans="1:4" x14ac:dyDescent="0.25">
      <c r="A47115" t="str">
        <f>HYPERLINK("https://www.773grp.com/globalSearch/FM25CL64B-GA/page-1", "FM25CL64B-GA")</f>
        <v>FM25CL64B-GA</v>
      </c>
      <c r="B47115" s="3" t="s">
        <v>129</v>
      </c>
      <c r="C47115" s="6">
        <v>87</v>
      </c>
      <c r="D47115" s="7">
        <v>5.01</v>
      </c>
    </row>
    <row r="47116" spans="1:4" x14ac:dyDescent="0.25">
      <c r="A47116" t="str">
        <f>HYPERLINK("https://www.773grp.com/globalSearch/FM24V01-G/page-1", "FM24V01-G")</f>
        <v>FM24V01-G</v>
      </c>
      <c r="B47116" s="3" t="s">
        <v>129</v>
      </c>
      <c r="C47116" s="6">
        <v>125</v>
      </c>
      <c r="D47116" s="7">
        <v>6.19</v>
      </c>
    </row>
    <row r="47117" spans="1:4" x14ac:dyDescent="0.25">
      <c r="A47117" t="str">
        <f>HYPERLINK("https://www.773grp.com/globalSearch/FM25640B-GA/page-1", "FM25640B-GA")</f>
        <v>FM25640B-GA</v>
      </c>
      <c r="B47117" s="3" t="s">
        <v>129</v>
      </c>
      <c r="C47117" s="6">
        <v>300</v>
      </c>
      <c r="D47117" s="7">
        <v>6.19</v>
      </c>
    </row>
    <row r="47118" spans="1:4" x14ac:dyDescent="0.25">
      <c r="A47118" t="str">
        <f>HYPERLINK("https://www.773grp.com/globalSearch/FM25V01-G/page-1", "FM25V01-G")</f>
        <v>FM25V01-G</v>
      </c>
      <c r="B47118" s="3" t="s">
        <v>129</v>
      </c>
      <c r="C47118" s="6">
        <v>470</v>
      </c>
      <c r="D47118" s="7">
        <v>6.19</v>
      </c>
    </row>
    <row r="47119" spans="1:4" x14ac:dyDescent="0.25">
      <c r="A47119" t="str">
        <f>HYPERLINK("https://www.773grp.com/globalSearch/FM24V02-G/page-1", "FM24V02-G")</f>
        <v>FM24V02-G</v>
      </c>
      <c r="B47119" s="3" t="s">
        <v>129</v>
      </c>
      <c r="C47119" s="6">
        <v>530</v>
      </c>
      <c r="D47119" s="7">
        <v>8.39</v>
      </c>
    </row>
    <row r="47120" spans="1:4" x14ac:dyDescent="0.25">
      <c r="A47120" t="str">
        <f>HYPERLINK("https://www.773grp.com/globalSearch/FM24W256-G/page-1", "FM24W256-G")</f>
        <v>FM24W256-G</v>
      </c>
      <c r="B47120" s="3" t="s">
        <v>129</v>
      </c>
      <c r="C47120" s="6">
        <v>642</v>
      </c>
      <c r="D47120" s="7">
        <v>8.44</v>
      </c>
    </row>
    <row r="47121" spans="1:4" x14ac:dyDescent="0.25">
      <c r="A47121" t="str">
        <f>HYPERLINK("https://www.773grp.com/globalSearch/FM25W256-G/page-1", "FM25W256-G")</f>
        <v>FM25W256-G</v>
      </c>
      <c r="B47121" s="3" t="s">
        <v>129</v>
      </c>
      <c r="C47121" s="6">
        <v>600</v>
      </c>
      <c r="D47121" s="7">
        <v>8.44</v>
      </c>
    </row>
    <row r="47122" spans="1:4" x14ac:dyDescent="0.25">
      <c r="A47122" t="str">
        <f>HYPERLINK("https://www.773grp.com/globalSearch/FM1608B-SG/page-1", "FM1608B-SG")</f>
        <v>FM1608B-SG</v>
      </c>
      <c r="B47122" s="3" t="s">
        <v>129</v>
      </c>
      <c r="C47122" s="6">
        <v>631</v>
      </c>
      <c r="D47122" s="7">
        <v>13.16</v>
      </c>
    </row>
    <row r="47123" spans="1:4" x14ac:dyDescent="0.25">
      <c r="A47123" t="str">
        <f>HYPERLINK("https://www.773grp.com/globalSearch/FM16W08-SG/page-1", "FM16W08-SG")</f>
        <v>FM16W08-SG</v>
      </c>
      <c r="B47123" s="3" t="s">
        <v>129</v>
      </c>
      <c r="C47123" s="6">
        <v>1323</v>
      </c>
      <c r="D47123" s="7">
        <v>13.16</v>
      </c>
    </row>
    <row r="47124" spans="1:4" x14ac:dyDescent="0.25">
      <c r="A47124" t="str">
        <f>HYPERLINK("https://www.773grp.com/globalSearch/FM25V05-G/page-1", "FM25V05-G")</f>
        <v>FM25V05-G</v>
      </c>
      <c r="B47124" s="3" t="s">
        <v>129</v>
      </c>
      <c r="C47124" s="6">
        <v>456</v>
      </c>
      <c r="D47124" s="7">
        <v>16.04</v>
      </c>
    </row>
    <row r="47125" spans="1:4" x14ac:dyDescent="0.25">
      <c r="A47125" t="str">
        <f>HYPERLINK("https://www.773grp.com/globalSearch/FM24VN10-G/page-1", "FM24VN10-G")</f>
        <v>FM24VN10-G</v>
      </c>
      <c r="B47125" s="3" t="s">
        <v>129</v>
      </c>
      <c r="C47125" s="6">
        <v>918</v>
      </c>
      <c r="D47125" s="7">
        <v>16.989999999999998</v>
      </c>
    </row>
    <row r="47126" spans="1:4" x14ac:dyDescent="0.25">
      <c r="A47126" t="str">
        <f>HYPERLINK("https://www.773grp.com/globalSearch/FM31256-G/page-1", "FM31256-G")</f>
        <v>FM31256-G</v>
      </c>
      <c r="B47126" s="3" t="s">
        <v>129</v>
      </c>
      <c r="C47126" s="6">
        <v>280</v>
      </c>
      <c r="D47126" s="7">
        <v>17.84</v>
      </c>
    </row>
    <row r="47127" spans="1:4" x14ac:dyDescent="0.25">
      <c r="A47127" t="str">
        <f>HYPERLINK("https://www.773grp.com/globalSearch/FM31L278-G/page-1", "FM31L278-G")</f>
        <v>FM31L278-G</v>
      </c>
      <c r="B47127" s="3" t="s">
        <v>129</v>
      </c>
      <c r="C47127" s="6">
        <v>28</v>
      </c>
      <c r="D47127" s="7">
        <v>17.84</v>
      </c>
    </row>
    <row r="47128" spans="1:4" x14ac:dyDescent="0.25">
      <c r="A47128" t="str">
        <f>HYPERLINK("https://www.773grp.com/globalSearch/FM33256B-G/page-1", "FM33256B-G")</f>
        <v>FM33256B-G</v>
      </c>
      <c r="B47128" s="3" t="s">
        <v>129</v>
      </c>
      <c r="C47128" s="6">
        <v>236</v>
      </c>
      <c r="D47128" s="7">
        <v>18.190000000000001</v>
      </c>
    </row>
    <row r="47129" spans="1:4" x14ac:dyDescent="0.25">
      <c r="A47129" t="str">
        <f>HYPERLINK("https://www.773grp.com/globalSearch/FM28V020-SG/page-1", "FM28V020-SG")</f>
        <v>FM28V020-SG</v>
      </c>
      <c r="B47129" s="3" t="s">
        <v>129</v>
      </c>
      <c r="C47129" s="6">
        <v>1242</v>
      </c>
      <c r="D47129" s="7">
        <v>21.65</v>
      </c>
    </row>
    <row r="47130" spans="1:4" x14ac:dyDescent="0.25">
      <c r="A47130" t="str">
        <f>HYPERLINK("https://www.773grp.com/globalSearch/FM18W08-SG/page-1", "FM18W08-SG")</f>
        <v>FM18W08-SG</v>
      </c>
      <c r="B47130" s="3" t="s">
        <v>129</v>
      </c>
      <c r="C47130" s="6">
        <v>971</v>
      </c>
      <c r="D47130" s="7">
        <v>23.63</v>
      </c>
    </row>
    <row r="47131" spans="1:4" x14ac:dyDescent="0.25">
      <c r="A47131" t="str">
        <f>HYPERLINK("https://www.773grp.com/globalSearch/FM1808B-PG/page-1", "FM1808B-PG")</f>
        <v>FM1808B-PG</v>
      </c>
      <c r="B47131" s="3" t="s">
        <v>129</v>
      </c>
      <c r="C47131" s="6">
        <v>16270</v>
      </c>
      <c r="D47131" s="7">
        <v>27.11</v>
      </c>
    </row>
    <row r="47132" spans="1:4" x14ac:dyDescent="0.25">
      <c r="A47132" t="str">
        <f>HYPERLINK("https://www.773grp.com/globalSearch/FM18W08-PG/page-1", "FM18W08-PG")</f>
        <v>FM18W08-PG</v>
      </c>
      <c r="B47132" s="3" t="s">
        <v>129</v>
      </c>
      <c r="C47132" s="6">
        <v>14150</v>
      </c>
      <c r="D47132" s="7">
        <v>27.11</v>
      </c>
    </row>
    <row r="47133" spans="1:4" x14ac:dyDescent="0.25">
      <c r="A47133" t="str">
        <f>HYPERLINK("https://www.773grp.com/globalSearch/FM25H20-DG/page-1", "FM25H20-DG")</f>
        <v>FM25H20-DG</v>
      </c>
      <c r="B47133" s="3" t="s">
        <v>129</v>
      </c>
      <c r="C47133" s="6">
        <v>879</v>
      </c>
      <c r="D47133" s="7">
        <v>29.25</v>
      </c>
    </row>
    <row r="47134" spans="1:4" x14ac:dyDescent="0.25">
      <c r="A47134" t="str">
        <f>HYPERLINK("https://www.773grp.com/globalSearch/FM25V40-DGC/page-1", "FM25V40-DGC")</f>
        <v>FM25V40-DGC</v>
      </c>
      <c r="B47134" s="3" t="s">
        <v>129</v>
      </c>
      <c r="C47134" s="6">
        <v>155</v>
      </c>
      <c r="D47134" s="7">
        <v>33.75</v>
      </c>
    </row>
    <row r="47135" spans="1:4" x14ac:dyDescent="0.25">
      <c r="A47135" t="str">
        <f>HYPERLINK("https://www.773grp.com/globalSearch/FM28V100-TG/page-1", "FM28V100-TG")</f>
        <v>FM28V100-TG</v>
      </c>
      <c r="B47135" s="3" t="s">
        <v>129</v>
      </c>
      <c r="C47135" s="6">
        <v>134</v>
      </c>
      <c r="D47135" s="7">
        <v>35.15</v>
      </c>
    </row>
    <row r="47136" spans="1:4" x14ac:dyDescent="0.25">
      <c r="A47136" t="str">
        <f>HYPERLINK("https://www.773grp.com/globalSearch/FM21L16-60-TG/page-1", "FM21L16-60-TG")</f>
        <v>FM21L16-60-TG</v>
      </c>
      <c r="B47136" s="3" t="s">
        <v>129</v>
      </c>
      <c r="C47136" s="6">
        <v>387</v>
      </c>
      <c r="D47136" s="7">
        <v>50.63</v>
      </c>
    </row>
    <row r="47137" spans="1:4" x14ac:dyDescent="0.25">
      <c r="A47137" t="str">
        <f>HYPERLINK("https://www.773grp.com/globalSearch/FM21LD16-60-BG/page-1", "FM21LD16-60-BG")</f>
        <v>FM21LD16-60-BG</v>
      </c>
      <c r="B47137" s="3" t="s">
        <v>129</v>
      </c>
      <c r="C47137" s="6">
        <v>378</v>
      </c>
      <c r="D47137" s="7">
        <v>50.63</v>
      </c>
    </row>
    <row r="47138" spans="1:4" x14ac:dyDescent="0.25">
      <c r="A47138" t="str">
        <f>HYPERLINK("https://www.773grp.com/globalSearch/FM22L16-55-TG/page-1", "FM22L16-55-TG")</f>
        <v>FM22L16-55-TG</v>
      </c>
      <c r="B47138" s="3" t="s">
        <v>129</v>
      </c>
      <c r="C47138" s="6">
        <v>1228</v>
      </c>
      <c r="D47138" s="7">
        <v>56.25</v>
      </c>
    </row>
    <row r="47139" spans="1:4" x14ac:dyDescent="0.25">
      <c r="A47139" t="str">
        <f>HYPERLINK("https://www.773grp.com/globalSearch/66495/page-1", "66495")</f>
        <v>66495</v>
      </c>
      <c r="B47139" s="3" t="s">
        <v>130</v>
      </c>
      <c r="C47139" s="6">
        <v>84</v>
      </c>
      <c r="D47139" s="7">
        <v>0</v>
      </c>
    </row>
    <row r="47140" spans="1:4" x14ac:dyDescent="0.25">
      <c r="A47140" t="str">
        <f>HYPERLINK("https://www.773grp.com/globalSearch/CA3075E/page-1", "CA3075E")</f>
        <v>CA3075E</v>
      </c>
      <c r="B47140" s="3" t="s">
        <v>130</v>
      </c>
      <c r="C47140" s="6">
        <v>5</v>
      </c>
      <c r="D47140" s="7">
        <v>0</v>
      </c>
    </row>
    <row r="47141" spans="1:4" x14ac:dyDescent="0.25">
      <c r="A47141" t="str">
        <f>HYPERLINK("https://www.773grp.com/globalSearch/CD4035BF-3/page-1", "CD4035BF-3")</f>
        <v>CD4035BF-3</v>
      </c>
      <c r="B47141" s="3" t="s">
        <v>130</v>
      </c>
      <c r="C47141" s="6">
        <v>6</v>
      </c>
      <c r="D47141" s="7">
        <v>0</v>
      </c>
    </row>
    <row r="47142" spans="1:4" x14ac:dyDescent="0.25">
      <c r="A47142" t="str">
        <f>HYPERLINK("https://www.773grp.com/globalSearch/CD4033BF3/page-1", "CD4033BF3")</f>
        <v>CD4033BF3</v>
      </c>
      <c r="B47142" s="3" t="s">
        <v>130</v>
      </c>
      <c r="C47142" s="6">
        <v>295</v>
      </c>
      <c r="D47142" s="7">
        <v>6.38</v>
      </c>
    </row>
    <row r="47143" spans="1:4" x14ac:dyDescent="0.25">
      <c r="A47143" t="str">
        <f>HYPERLINK("https://www.773grp.com/globalSearch/CD54AC240F3A/page-1", "CD54AC240F3A")</f>
        <v>CD54AC240F3A</v>
      </c>
      <c r="B47143" s="3" t="s">
        <v>130</v>
      </c>
      <c r="C47143" s="6">
        <v>6</v>
      </c>
      <c r="D47143" s="7">
        <v>15.91</v>
      </c>
    </row>
    <row r="47144" spans="1:4" x14ac:dyDescent="0.25">
      <c r="A47144" t="str">
        <f>HYPERLINK("https://www.773grp.com/globalSearch/DF3337YF16AF/page-1", "DF3337YF16AF")</f>
        <v>DF3337YF16AF</v>
      </c>
      <c r="B47144" s="3" t="str">
        <f>HYPERLINK("https://www.773grp.com/manufacturer/renesas-electronics-america-inc?pageNo=1", "Renesas Electronics")</f>
        <v>Renesas Electronics</v>
      </c>
      <c r="C47144" s="6">
        <v>44</v>
      </c>
      <c r="D47144" s="7">
        <v>0</v>
      </c>
    </row>
    <row r="47145" spans="1:4" x14ac:dyDescent="0.25">
      <c r="A47145" t="str">
        <f>HYPERLINK("https://www.773grp.com/globalSearch/DF71251AN50FPAFV/page-1", "DF71251AN50FPAFV")</f>
        <v>DF71251AN50FPAFV</v>
      </c>
      <c r="B47145" s="3" t="str">
        <f>HYPERLINK("https://www.773grp.com/manufacturer/renesas-electronics-america-inc?pageNo=2", "Renesas Electronics")</f>
        <v>Renesas Electronics</v>
      </c>
      <c r="C47145" s="6">
        <v>2262</v>
      </c>
      <c r="D47145" s="7">
        <v>0</v>
      </c>
    </row>
    <row r="47146" spans="1:4" x14ac:dyDescent="0.25">
      <c r="A47146" t="str">
        <f>HYPERLINK("https://www.773grp.com/globalSearch/RD10M-T2B-A/page-1", "RD10M-T2B-A")</f>
        <v>RD10M-T2B-A</v>
      </c>
      <c r="B47146" s="3" t="str">
        <f>HYPERLINK("https://www.773grp.com/manufacturer/renesas-electronics-america-inc?pageNo=3", "Renesas Electronics")</f>
        <v>Renesas Electronics</v>
      </c>
      <c r="C47146" s="6">
        <v>3000</v>
      </c>
      <c r="D47146" s="7">
        <v>0</v>
      </c>
    </row>
    <row r="47147" spans="1:4" x14ac:dyDescent="0.25">
      <c r="A47147" t="str">
        <f>HYPERLINK("https://www.773grp.com/globalSearch/RD11M-T2B-A/page-1", "RD11M-T2B-A")</f>
        <v>RD11M-T2B-A</v>
      </c>
      <c r="B47147" s="3" t="str">
        <f>HYPERLINK("https://www.773grp.com/manufacturer/renesas-electronics-america-inc?pageNo=4", "Renesas Electronics")</f>
        <v>Renesas Electronics</v>
      </c>
      <c r="C47147" s="6">
        <v>3000</v>
      </c>
      <c r="D47147" s="7">
        <v>0</v>
      </c>
    </row>
    <row r="47148" spans="1:4" x14ac:dyDescent="0.25">
      <c r="A47148" t="str">
        <f>HYPERLINK("https://www.773grp.com/globalSearch/RD2.4M-T2B-A/page-1", "RD2.4M-T2B-A")</f>
        <v>RD2.4M-T2B-A</v>
      </c>
      <c r="B47148" s="3" t="str">
        <f>HYPERLINK("https://www.773grp.com/manufacturer/renesas-electronics-america-inc?pageNo=5", "Renesas Electronics")</f>
        <v>Renesas Electronics</v>
      </c>
      <c r="C47148" s="6">
        <v>3000</v>
      </c>
      <c r="D47148" s="7">
        <v>0</v>
      </c>
    </row>
    <row r="47149" spans="1:4" x14ac:dyDescent="0.25">
      <c r="A47149" t="str">
        <f>HYPERLINK("https://www.773grp.com/globalSearch/RD22M-T2B-A/page-1", "RD22M-T2B-A")</f>
        <v>RD22M-T2B-A</v>
      </c>
      <c r="B47149" s="3" t="str">
        <f>HYPERLINK("https://www.773grp.com/manufacturer/renesas-electronics-america-inc?pageNo=6", "Renesas Electronics")</f>
        <v>Renesas Electronics</v>
      </c>
      <c r="C47149" s="6">
        <v>3000</v>
      </c>
      <c r="D47149" s="7">
        <v>0</v>
      </c>
    </row>
    <row r="47150" spans="1:4" x14ac:dyDescent="0.25">
      <c r="A47150" t="str">
        <f>HYPERLINK("https://www.773grp.com/globalSearch/RD3.0M-T2B-A/page-1", "RD3.0M-T2B-A")</f>
        <v>RD3.0M-T2B-A</v>
      </c>
      <c r="B47150" s="3" t="str">
        <f>HYPERLINK("https://www.773grp.com/manufacturer/renesas-electronics-america-inc?pageNo=7", "Renesas Electronics")</f>
        <v>Renesas Electronics</v>
      </c>
      <c r="C47150" s="6">
        <v>3000</v>
      </c>
      <c r="D47150" s="7">
        <v>0</v>
      </c>
    </row>
    <row r="47151" spans="1:4" x14ac:dyDescent="0.25">
      <c r="A47151" t="str">
        <f>HYPERLINK("https://www.773grp.com/globalSearch/RD3.9M-T2B-A/page-1", "RD3.9M-T2B-A")</f>
        <v>RD3.9M-T2B-A</v>
      </c>
      <c r="B47151" s="3" t="str">
        <f>HYPERLINK("https://www.773grp.com/manufacturer/renesas-electronics-america-inc?pageNo=8", "Renesas Electronics")</f>
        <v>Renesas Electronics</v>
      </c>
      <c r="C47151" s="6">
        <v>6000</v>
      </c>
      <c r="D47151" s="7">
        <v>0</v>
      </c>
    </row>
    <row r="47152" spans="1:4" x14ac:dyDescent="0.25">
      <c r="A47152" t="str">
        <f>HYPERLINK("https://www.773grp.com/globalSearch/RD8.2M-T2B-A/page-1", "RD8.2M-T2B-A")</f>
        <v>RD8.2M-T2B-A</v>
      </c>
      <c r="B47152" s="3" t="str">
        <f>HYPERLINK("https://www.773grp.com/manufacturer/renesas-electronics-america-inc?pageNo=9", "Renesas Electronics")</f>
        <v>Renesas Electronics</v>
      </c>
      <c r="C47152" s="6">
        <v>3000</v>
      </c>
      <c r="D47152" s="7">
        <v>0</v>
      </c>
    </row>
    <row r="47153" spans="1:4" x14ac:dyDescent="0.25">
      <c r="A47153" t="str">
        <f>HYPERLINK("https://www.773grp.com/globalSearch/R1LV0408CSP/page-1", "R1LV0408CSP")</f>
        <v>R1LV0408CSP</v>
      </c>
      <c r="B47153" s="3" t="str">
        <f>HYPERLINK("https://www.773grp.com/manufacturer/renesas-electronics-america-inc?pageNo=10", "Renesas Electronics")</f>
        <v>Renesas Electronics</v>
      </c>
      <c r="C47153" s="6">
        <v>458</v>
      </c>
      <c r="D47153" s="7">
        <v>0</v>
      </c>
    </row>
    <row r="47154" spans="1:4" x14ac:dyDescent="0.25">
      <c r="A47154" t="str">
        <f>HYPERLINK("https://www.773grp.com/globalSearch/1SZ53/page-1", "1SZ53")</f>
        <v>1SZ53</v>
      </c>
      <c r="B47154" s="3" t="str">
        <f>HYPERLINK("https://www.773grp.com/manufacturer/renesas-electronics-america-inc?pageNo=11", "Renesas Electronics")</f>
        <v>Renesas Electronics</v>
      </c>
      <c r="C47154" s="6">
        <v>51393</v>
      </c>
      <c r="D47154" s="7">
        <v>0</v>
      </c>
    </row>
    <row r="47155" spans="1:4" x14ac:dyDescent="0.25">
      <c r="A47155" t="str">
        <f>HYPERLINK("https://www.773grp.com/globalSearch/2SA1122CCTR-E/page-1", "2SA1122CCTR-E")</f>
        <v>2SA1122CCTR-E</v>
      </c>
      <c r="B47155" s="3" t="str">
        <f>HYPERLINK("https://www.773grp.com/manufacturer/renesas-electronics-america-inc?pageNo=12", "Renesas Electronics")</f>
        <v>Renesas Electronics</v>
      </c>
      <c r="C47155" s="6">
        <v>48000</v>
      </c>
      <c r="D47155" s="7">
        <v>0</v>
      </c>
    </row>
    <row r="47156" spans="1:4" x14ac:dyDescent="0.25">
      <c r="A47156" t="str">
        <f>HYPERLINK("https://www.773grp.com/globalSearch/2SK2084L-E/page-1", "2SK2084L-E")</f>
        <v>2SK2084L-E</v>
      </c>
      <c r="B47156" s="3" t="str">
        <f>HYPERLINK("https://www.773grp.com/manufacturer/renesas-electronics-america-inc?pageNo=13", "Renesas Electronics")</f>
        <v>Renesas Electronics</v>
      </c>
      <c r="C47156" s="6">
        <v>1010</v>
      </c>
      <c r="D47156" s="7">
        <v>0</v>
      </c>
    </row>
    <row r="47157" spans="1:4" x14ac:dyDescent="0.25">
      <c r="A47157" t="str">
        <f>HYPERLINK("https://www.773grp.com/globalSearch/2SK3142-E/page-1", "2SK3142-E")</f>
        <v>2SK3142-E</v>
      </c>
      <c r="B47157" s="3" t="str">
        <f>HYPERLINK("https://www.773grp.com/manufacturer/renesas-electronics-america-inc?pageNo=14", "Renesas Electronics")</f>
        <v>Renesas Electronics</v>
      </c>
      <c r="C47157" s="6">
        <v>1067</v>
      </c>
      <c r="D47157" s="7">
        <v>0</v>
      </c>
    </row>
    <row r="47158" spans="1:4" x14ac:dyDescent="0.25">
      <c r="A47158" t="str">
        <f>HYPERLINK("https://www.773grp.com/globalSearch/3PDF2144FA20/page-1", "3PDF2144FA20")</f>
        <v>3PDF2144FA20</v>
      </c>
      <c r="B47158" s="3" t="str">
        <f>HYPERLINK("https://www.773grp.com/manufacturer/renesas-electronics-america-inc?pageNo=15", "Renesas Electronics")</f>
        <v>Renesas Electronics</v>
      </c>
      <c r="C47158" s="6">
        <v>224</v>
      </c>
      <c r="D47158" s="7">
        <v>0</v>
      </c>
    </row>
    <row r="47159" spans="1:4" x14ac:dyDescent="0.25">
      <c r="A47159" t="str">
        <f>HYPERLINK("https://www.773grp.com/globalSearch/3PDF2623FA20/page-1", "3PDF2623FA20")</f>
        <v>3PDF2623FA20</v>
      </c>
      <c r="B47159" s="3" t="str">
        <f>HYPERLINK("https://www.773grp.com/manufacturer/renesas-electronics-america-inc?pageNo=16", "Renesas Electronics")</f>
        <v>Renesas Electronics</v>
      </c>
      <c r="C47159" s="6">
        <v>63</v>
      </c>
      <c r="D47159" s="7">
        <v>0</v>
      </c>
    </row>
    <row r="47160" spans="1:4" x14ac:dyDescent="0.25">
      <c r="A47160" t="str">
        <f>HYPERLINK("https://www.773grp.com/globalSearch/6AM13/page-1", "6AM13")</f>
        <v>6AM13</v>
      </c>
      <c r="B47160" s="3" t="str">
        <f>HYPERLINK("https://www.773grp.com/manufacturer/renesas-electronics-america-inc?pageNo=17", "Renesas Electronics")</f>
        <v>Renesas Electronics</v>
      </c>
      <c r="C47160" s="6">
        <v>2348</v>
      </c>
      <c r="D47160" s="7">
        <v>0</v>
      </c>
    </row>
    <row r="47161" spans="1:4" x14ac:dyDescent="0.25">
      <c r="A47161" t="str">
        <f>HYPERLINK("https://www.773grp.com/globalSearch/BCR16CM-12LA/page-1", "BCR16CM-12LA")</f>
        <v>BCR16CM-12LA</v>
      </c>
      <c r="B47161" s="3" t="str">
        <f>HYPERLINK("https://www.773grp.com/manufacturer/renesas-electronics-america-inc?pageNo=18", "Renesas Electronics")</f>
        <v>Renesas Electronics</v>
      </c>
      <c r="C47161" s="6">
        <v>19902</v>
      </c>
      <c r="D47161" s="7">
        <v>0</v>
      </c>
    </row>
    <row r="47162" spans="1:4" x14ac:dyDescent="0.25">
      <c r="A47162" t="str">
        <f>HYPERLINK("https://www.773grp.com/globalSearch/CT30VM-8#G01/page-1", "CT30VM-8#G01")</f>
        <v>CT30VM-8#G01</v>
      </c>
      <c r="B47162" s="3" t="str">
        <f>HYPERLINK("https://www.773grp.com/manufacturer/renesas-electronics-america-inc?pageNo=19", "Renesas Electronics")</f>
        <v>Renesas Electronics</v>
      </c>
      <c r="C47162" s="6">
        <v>1148</v>
      </c>
      <c r="D47162" s="7">
        <v>0</v>
      </c>
    </row>
    <row r="47163" spans="1:4" x14ac:dyDescent="0.25">
      <c r="A47163" t="str">
        <f>HYPERLINK("https://www.773grp.com/globalSearch/HA17431FP-EL-E/page-1", "HA17431FP-EL-E")</f>
        <v>HA17431FP-EL-E</v>
      </c>
      <c r="B47163" s="3" t="str">
        <f>HYPERLINK("https://www.773grp.com/manufacturer/renesas-electronics-america-inc?pageNo=20", "Renesas Electronics")</f>
        <v>Renesas Electronics</v>
      </c>
      <c r="C47163" s="6">
        <v>17500</v>
      </c>
      <c r="D47163" s="7">
        <v>0</v>
      </c>
    </row>
    <row r="47164" spans="1:4" x14ac:dyDescent="0.25">
      <c r="A47164" t="str">
        <f>HYPERLINK("https://www.773grp.com/globalSearch/HD63450RCPS10/page-1", "HD63450RCPS10")</f>
        <v>HD63450RCPS10</v>
      </c>
      <c r="B47164" s="3" t="str">
        <f>HYPERLINK("https://www.773grp.com/manufacturer/renesas-electronics-america-inc?pageNo=21", "Renesas Electronics")</f>
        <v>Renesas Electronics</v>
      </c>
      <c r="C47164" s="6">
        <v>160</v>
      </c>
      <c r="D47164" s="7">
        <v>0</v>
      </c>
    </row>
    <row r="47165" spans="1:4" x14ac:dyDescent="0.25">
      <c r="A47165" t="str">
        <f>HYPERLINK("https://www.773grp.com/globalSearch/HD6411750BP00M/page-1", "HD6411750BP00M")</f>
        <v>HD6411750BP00M</v>
      </c>
      <c r="B47165" s="3" t="str">
        <f>HYPERLINK("https://www.773grp.com/manufacturer/renesas-electronics-america-inc?pageNo=22", "Renesas Electronics")</f>
        <v>Renesas Electronics</v>
      </c>
      <c r="C47165" s="6">
        <v>320</v>
      </c>
      <c r="D47165" s="7">
        <v>0</v>
      </c>
    </row>
    <row r="47166" spans="1:4" x14ac:dyDescent="0.25">
      <c r="A47166" t="str">
        <f>HYPERLINK("https://www.773grp.com/globalSearch/HD6411750BP200M/page-1", "HD6411750BP200M")</f>
        <v>HD6411750BP200M</v>
      </c>
      <c r="B47166" s="3" t="str">
        <f>HYPERLINK("https://www.773grp.com/manufacturer/renesas-electronics-america-inc?pageNo=23", "Renesas Electronics")</f>
        <v>Renesas Electronics</v>
      </c>
      <c r="C47166" s="6">
        <v>320</v>
      </c>
      <c r="D47166" s="7">
        <v>0</v>
      </c>
    </row>
    <row r="47167" spans="1:4" x14ac:dyDescent="0.25">
      <c r="A47167" t="str">
        <f>HYPERLINK("https://www.773grp.com/globalSearch/HZ3C.0TRF-E/page-1", "HZ3C.0TRF-E")</f>
        <v>HZ3C.0TRF-E</v>
      </c>
      <c r="B47167" s="3" t="str">
        <f>HYPERLINK("https://www.773grp.com/manufacturer/renesas-electronics-america-inc?pageNo=24", "Renesas Electronics")</f>
        <v>Renesas Electronics</v>
      </c>
      <c r="C47167" s="6">
        <v>100000</v>
      </c>
      <c r="D47167" s="7">
        <v>0</v>
      </c>
    </row>
    <row r="47168" spans="1:4" x14ac:dyDescent="0.25">
      <c r="A47168" t="str">
        <f>HYPERLINK("https://www.773grp.com/globalSearch/M15660L#A10/page-1", "M15660L#A10")</f>
        <v>M15660L#A10</v>
      </c>
      <c r="B47168" s="3" t="str">
        <f>HYPERLINK("https://www.773grp.com/manufacturer/renesas-electronics-america-inc?pageNo=25", "Renesas Electronics")</f>
        <v>Renesas Electronics</v>
      </c>
      <c r="C47168" s="6">
        <v>658</v>
      </c>
      <c r="D47168" s="7">
        <v>0</v>
      </c>
    </row>
    <row r="47169" spans="1:4" x14ac:dyDescent="0.25">
      <c r="A47169" t="str">
        <f>HYPERLINK("https://www.773grp.com/globalSearch/M30620FCMFP#D3/page-1", "M30620FCMFP#D3")</f>
        <v>M30620FCMFP#D3</v>
      </c>
      <c r="B47169" s="3" t="str">
        <f>HYPERLINK("https://www.773grp.com/manufacturer/renesas-electronics-america-inc?pageNo=26", "Renesas Electronics")</f>
        <v>Renesas Electronics</v>
      </c>
      <c r="C47169" s="6">
        <v>121</v>
      </c>
      <c r="D47169" s="7">
        <v>0</v>
      </c>
    </row>
    <row r="47170" spans="1:4" x14ac:dyDescent="0.25">
      <c r="A47170" t="str">
        <f>HYPERLINK("https://www.773grp.com/globalSearch/M306N4FTGFP#B0J/page-1", "M306N4FTGFP#B0J")</f>
        <v>M306N4FTGFP#B0J</v>
      </c>
      <c r="B47170" s="3" t="str">
        <f>HYPERLINK("https://www.773grp.com/manufacturer/renesas-electronics-america-inc?pageNo=27", "Renesas Electronics")</f>
        <v>Renesas Electronics</v>
      </c>
      <c r="C47170" s="6">
        <v>226</v>
      </c>
      <c r="D47170" s="7">
        <v>0</v>
      </c>
    </row>
    <row r="47171" spans="1:4" x14ac:dyDescent="0.25">
      <c r="A47171" t="str">
        <f>HYPERLINK("https://www.773grp.com/globalSearch/M32170F4VFP#U0/page-1", "M32170F4VFP#U0")</f>
        <v>M32170F4VFP#U0</v>
      </c>
      <c r="B47171" s="3" t="str">
        <f>HYPERLINK("https://www.773grp.com/manufacturer/renesas-electronics-america-inc?pageNo=28", "Renesas Electronics")</f>
        <v>Renesas Electronics</v>
      </c>
      <c r="C47171" s="6">
        <v>103</v>
      </c>
      <c r="D47171" s="7">
        <v>0</v>
      </c>
    </row>
    <row r="47172" spans="1:4" x14ac:dyDescent="0.25">
      <c r="A47172" t="str">
        <f>HYPERLINK("https://www.773grp.com/globalSearch/M37534E4GP#U1/page-1", "M37534E4GP#U1")</f>
        <v>M37534E4GP#U1</v>
      </c>
      <c r="B47172" s="3" t="str">
        <f>HYPERLINK("https://www.773grp.com/manufacturer/renesas-electronics-america-inc?pageNo=29", "Renesas Electronics")</f>
        <v>Renesas Electronics</v>
      </c>
      <c r="C47172" s="6">
        <v>44</v>
      </c>
      <c r="D47172" s="7">
        <v>0</v>
      </c>
    </row>
    <row r="47173" spans="1:4" x14ac:dyDescent="0.25">
      <c r="A47173" t="str">
        <f>HYPERLINK("https://www.773grp.com/globalSearch/M37632EFFP#U2/page-1", "M37632EFFP#U2")</f>
        <v>M37632EFFP#U2</v>
      </c>
      <c r="B47173" s="3" t="str">
        <f>HYPERLINK("https://www.773grp.com/manufacturer/renesas-electronics-america-inc?pageNo=30", "Renesas Electronics")</f>
        <v>Renesas Electronics</v>
      </c>
      <c r="C47173" s="6">
        <v>54</v>
      </c>
      <c r="D47173" s="7">
        <v>0</v>
      </c>
    </row>
    <row r="47174" spans="1:4" x14ac:dyDescent="0.25">
      <c r="A47174" t="str">
        <f>HYPERLINK("https://www.773grp.com/globalSearch/M37641F8HP/page-1", "M37641F8HP")</f>
        <v>M37641F8HP</v>
      </c>
      <c r="B47174" s="3" t="str">
        <f>HYPERLINK("https://www.773grp.com/manufacturer/renesas-electronics-america-inc?pageNo=31", "Renesas Electronics")</f>
        <v>Renesas Electronics</v>
      </c>
      <c r="C47174" s="6">
        <v>734</v>
      </c>
      <c r="D47174" s="7">
        <v>0</v>
      </c>
    </row>
    <row r="47175" spans="1:4" x14ac:dyDescent="0.25">
      <c r="A47175" t="str">
        <f>HYPERLINK("https://www.773grp.com/globalSearch/M38127ECFP#UO/page-1", "M38127ECFP#UO")</f>
        <v>M38127ECFP#UO</v>
      </c>
      <c r="B47175" s="3" t="str">
        <f>HYPERLINK("https://www.773grp.com/manufacturer/renesas-electronics-america-inc?pageNo=32", "Renesas Electronics")</f>
        <v>Renesas Electronics</v>
      </c>
      <c r="C47175" s="6">
        <v>277</v>
      </c>
      <c r="D47175" s="7">
        <v>0</v>
      </c>
    </row>
    <row r="47176" spans="1:4" x14ac:dyDescent="0.25">
      <c r="A47176" t="str">
        <f>HYPERLINK("https://www.773grp.com/globalSearch/M51943BS#AGOJ/page-1", "M51943BS#AGOJ")</f>
        <v>M51943BS#AGOJ</v>
      </c>
      <c r="B47176" s="3" t="str">
        <f>HYPERLINK("https://www.773grp.com/manufacturer/renesas-electronics-america-inc?pageNo=33", "Renesas Electronics")</f>
        <v>Renesas Electronics</v>
      </c>
      <c r="C47176" s="6">
        <v>2500</v>
      </c>
      <c r="D47176" s="7">
        <v>0</v>
      </c>
    </row>
    <row r="47177" spans="1:4" x14ac:dyDescent="0.25">
      <c r="A47177" t="str">
        <f>HYPERLINK("https://www.773grp.com/globalSearch/M51946BFP#600C/page-1", "M51946BFP#600C")</f>
        <v>M51946BFP#600C</v>
      </c>
      <c r="B47177" s="3" t="str">
        <f>HYPERLINK("https://www.773grp.com/manufacturer/renesas-electronics-america-inc?pageNo=34", "Renesas Electronics")</f>
        <v>Renesas Electronics</v>
      </c>
      <c r="C47177" s="6">
        <v>9000</v>
      </c>
      <c r="D47177" s="7">
        <v>0</v>
      </c>
    </row>
    <row r="47178" spans="1:4" x14ac:dyDescent="0.25">
      <c r="A47178" t="str">
        <f>HYPERLINK("https://www.773grp.com/globalSearch/M5523AP#TF0Z/page-1", "M5523AP#TF0Z")</f>
        <v>M5523AP#TF0Z</v>
      </c>
      <c r="B47178" s="3" t="str">
        <f>HYPERLINK("https://www.773grp.com/manufacturer/renesas-electronics-america-inc?pageNo=35", "Renesas Electronics")</f>
        <v>Renesas Electronics</v>
      </c>
      <c r="C47178" s="6">
        <v>411</v>
      </c>
      <c r="D47178" s="7">
        <v>0</v>
      </c>
    </row>
    <row r="47179" spans="1:4" x14ac:dyDescent="0.25">
      <c r="A47179" t="str">
        <f>HYPERLINK("https://www.773grp.com/globalSearch/M62334FP#TF5J/page-1", "M62334FP#TF5J")</f>
        <v>M62334FP#TF5J</v>
      </c>
      <c r="B47179" s="3" t="str">
        <f>HYPERLINK("https://www.773grp.com/manufacturer/renesas-electronics-america-inc?pageNo=36", "Renesas Electronics")</f>
        <v>Renesas Electronics</v>
      </c>
      <c r="C47179" s="6">
        <v>6928</v>
      </c>
      <c r="D47179" s="7">
        <v>0</v>
      </c>
    </row>
    <row r="47180" spans="1:4" x14ac:dyDescent="0.25">
      <c r="A47180" t="str">
        <f>HYPERLINK("https://www.773grp.com/globalSearch/R2A11011FP/page-1", "R2A11011FP")</f>
        <v>R2A11011FP</v>
      </c>
      <c r="B47180" s="3" t="str">
        <f>HYPERLINK("https://www.773grp.com/manufacturer/renesas-electronics-america-inc?pageNo=37", "Renesas Electronics")</f>
        <v>Renesas Electronics</v>
      </c>
      <c r="C47180" s="6">
        <v>1382</v>
      </c>
      <c r="D47180" s="7">
        <v>0</v>
      </c>
    </row>
    <row r="47181" spans="1:4" x14ac:dyDescent="0.25">
      <c r="A47181" t="str">
        <f>HYPERLINK("https://www.773grp.com/globalSearch/R2A15105SN#U00T/page-1", "R2A15105SN#U00T")</f>
        <v>R2A15105SN#U00T</v>
      </c>
      <c r="B47181" s="3" t="str">
        <f>HYPERLINK("https://www.773grp.com/manufacturer/renesas-electronics-america-inc?pageNo=38", "Renesas Electronics")</f>
        <v>Renesas Electronics</v>
      </c>
      <c r="C47181" s="6">
        <v>1783</v>
      </c>
      <c r="D47181" s="7">
        <v>0</v>
      </c>
    </row>
    <row r="47182" spans="1:4" x14ac:dyDescent="0.25">
      <c r="A47182" t="str">
        <f>HYPERLINK("https://www.773grp.com/globalSearch/RJK0374DSP-01-J0/page-1", "RJK0374DSP-01-J0")</f>
        <v>RJK0374DSP-01-J0</v>
      </c>
      <c r="B47182" s="3" t="str">
        <f>HYPERLINK("https://www.773grp.com/manufacturer/renesas-electronics-america-inc?pageNo=39", "Renesas Electronics")</f>
        <v>Renesas Electronics</v>
      </c>
      <c r="C47182" s="6">
        <v>65000</v>
      </c>
      <c r="D47182" s="7">
        <v>0</v>
      </c>
    </row>
    <row r="47183" spans="1:4" x14ac:dyDescent="0.25">
      <c r="A47183" t="str">
        <f>HYPERLINK("https://www.773grp.com/globalSearch/RJK0380DPA-00#53/page-1", "RJK0380DPA-00#53")</f>
        <v>RJK0380DPA-00#53</v>
      </c>
      <c r="B47183" s="3" t="str">
        <f>HYPERLINK("https://www.773grp.com/manufacturer/renesas-electronics-america-inc?pageNo=40", "Renesas Electronics")</f>
        <v>Renesas Electronics</v>
      </c>
      <c r="C47183" s="6">
        <v>36000</v>
      </c>
      <c r="D47183" s="7">
        <v>0</v>
      </c>
    </row>
    <row r="47184" spans="1:4" x14ac:dyDescent="0.25">
      <c r="A47184" t="str">
        <f>HYPERLINK("https://www.773grp.com/globalSearch/RJK0391DPA-00-J53/page-1", "RJK0391DPA-00-J53")</f>
        <v>RJK0391DPA-00-J53</v>
      </c>
      <c r="B47184" s="3" t="str">
        <f>HYPERLINK("https://www.773grp.com/manufacturer/renesas-electronics-america-inc?pageNo=41", "Renesas Electronics")</f>
        <v>Renesas Electronics</v>
      </c>
      <c r="C47184" s="6">
        <v>2430</v>
      </c>
      <c r="D47184" s="7">
        <v>0</v>
      </c>
    </row>
    <row r="47185" spans="1:4" x14ac:dyDescent="0.25">
      <c r="A47185" t="str">
        <f>HYPERLINK("https://www.773grp.com/globalSearch/RJK0397DPA-0G-#J7A/page-1", "RJK0397DPA-0G-#J7A")</f>
        <v>RJK0397DPA-0G-#J7A</v>
      </c>
      <c r="B47185" s="3" t="str">
        <f>HYPERLINK("https://www.773grp.com/manufacturer/renesas-electronics-america-inc?pageNo=42", "Renesas Electronics")</f>
        <v>Renesas Electronics</v>
      </c>
      <c r="C47185" s="6">
        <v>18000</v>
      </c>
      <c r="D47185" s="7">
        <v>0</v>
      </c>
    </row>
    <row r="47186" spans="1:4" x14ac:dyDescent="0.25">
      <c r="A47186" t="str">
        <f>HYPERLINK("https://www.773grp.com/globalSearch/RJK0397DPA-0G#J7AL/page-1", "RJK0397DPA-0G#J7AL")</f>
        <v>RJK0397DPA-0G#J7AL</v>
      </c>
      <c r="B47186" s="3" t="str">
        <f>HYPERLINK("https://www.773grp.com/manufacturer/renesas-electronics-america-inc?pageNo=43", "Renesas Electronics")</f>
        <v>Renesas Electronics</v>
      </c>
      <c r="C47186" s="6">
        <v>18000</v>
      </c>
      <c r="D47186" s="7">
        <v>0</v>
      </c>
    </row>
    <row r="47187" spans="1:4" x14ac:dyDescent="0.25">
      <c r="A47187" t="str">
        <f>HYPERLINK("https://www.773grp.com/globalSearch/RJK0397DPA-0G-J7A/page-1", "RJK0397DPA-0G-J7A")</f>
        <v>RJK0397DPA-0G-J7A</v>
      </c>
      <c r="B47187" s="3" t="str">
        <f>HYPERLINK("https://www.773grp.com/manufacturer/renesas-electronics-america-inc?pageNo=44", "Renesas Electronics")</f>
        <v>Renesas Electronics</v>
      </c>
      <c r="C47187" s="6">
        <v>33000</v>
      </c>
      <c r="D47187" s="7">
        <v>0</v>
      </c>
    </row>
    <row r="47188" spans="1:4" x14ac:dyDescent="0.25">
      <c r="A47188" t="str">
        <f>HYPERLINK("https://www.773grp.com/globalSearch/RJP30H1DPP-EO-T2/page-1", "RJP30H1DPP-EO-T2")</f>
        <v>RJP30H1DPP-EO-T2</v>
      </c>
      <c r="B47188" s="3" t="str">
        <f>HYPERLINK("https://www.773grp.com/manufacturer/renesas-electronics-america-inc?pageNo=45", "Renesas Electronics")</f>
        <v>Renesas Electronics</v>
      </c>
      <c r="C47188" s="6">
        <v>153</v>
      </c>
      <c r="D47188" s="7">
        <v>0</v>
      </c>
    </row>
    <row r="47189" spans="1:4" x14ac:dyDescent="0.25">
      <c r="A47189" t="str">
        <f>HYPERLINK("https://www.773grp.com/globalSearch/RKJ6012DPP-00#T2/page-1", "RKJ6012DPP-00#T2")</f>
        <v>RKJ6012DPP-00#T2</v>
      </c>
      <c r="B47189" s="3" t="str">
        <f>HYPERLINK("https://www.773grp.com/manufacturer/renesas-electronics-america-inc?pageNo=46", "Renesas Electronics")</f>
        <v>Renesas Electronics</v>
      </c>
      <c r="C47189" s="6">
        <v>1050</v>
      </c>
      <c r="D47189" s="7">
        <v>0</v>
      </c>
    </row>
    <row r="47190" spans="1:4" x14ac:dyDescent="0.25">
      <c r="A47190" t="str">
        <f>HYPERLINK("https://www.773grp.com/globalSearch/RKZ15B2KJR1#R1/page-1", "RKZ15B2KJR1#R1")</f>
        <v>RKZ15B2KJR1#R1</v>
      </c>
      <c r="B47190" s="3" t="str">
        <f>HYPERLINK("https://www.773grp.com/manufacturer/renesas-electronics-america-inc?pageNo=47", "Renesas Electronics")</f>
        <v>Renesas Electronics</v>
      </c>
      <c r="C47190" s="6">
        <v>8000</v>
      </c>
      <c r="D47190" s="7">
        <v>0</v>
      </c>
    </row>
    <row r="47191" spans="1:4" x14ac:dyDescent="0.25">
      <c r="A47191" t="str">
        <f>HYPERLINK("https://www.773grp.com/globalSearch/UPA1428AH+1+-AZ/page-1", "UPA1428AH+1+-AZ")</f>
        <v>UPA1428AH+1+-AZ</v>
      </c>
      <c r="B47191" s="3" t="str">
        <f>HYPERLINK("https://www.773grp.com/manufacturer/renesas-electronics-america-inc?pageNo=48", "Renesas Electronics")</f>
        <v>Renesas Electronics</v>
      </c>
      <c r="C47191" s="6">
        <v>351</v>
      </c>
      <c r="D47191" s="7">
        <v>0</v>
      </c>
    </row>
    <row r="47192" spans="1:4" x14ac:dyDescent="0.25">
      <c r="A47192" t="str">
        <f>HYPERLINK("https://www.773grp.com/globalSearch/UPA1428AH-AZ/page-1", "UPA1428AH-AZ")</f>
        <v>UPA1428AH-AZ</v>
      </c>
      <c r="B47192" s="3" t="str">
        <f>HYPERLINK("https://www.773grp.com/manufacturer/renesas-electronics-america-inc?pageNo=49", "Renesas Electronics")</f>
        <v>Renesas Electronics</v>
      </c>
      <c r="C47192" s="6">
        <v>757</v>
      </c>
      <c r="D47192" s="7">
        <v>0</v>
      </c>
    </row>
    <row r="47193" spans="1:4" x14ac:dyDescent="0.25">
      <c r="A47193" t="str">
        <f>HYPERLINK("https://www.773grp.com/globalSearch/UPA1434H-AZ/page-1", "UPA1434H-AZ")</f>
        <v>UPA1434H-AZ</v>
      </c>
      <c r="B47193" s="3" t="str">
        <f>HYPERLINK("https://www.773grp.com/manufacturer/renesas-electronics-america-inc?pageNo=50", "Renesas Electronics")</f>
        <v>Renesas Electronics</v>
      </c>
      <c r="C47193" s="6">
        <v>154</v>
      </c>
      <c r="D47193" s="7">
        <v>0</v>
      </c>
    </row>
    <row r="47194" spans="1:4" x14ac:dyDescent="0.25">
      <c r="A47194" t="str">
        <f>HYPERLINK("https://www.773grp.com/globalSearch/UPA1436AH-AZ/page-1", "UPA1436AH-AZ")</f>
        <v>UPA1436AH-AZ</v>
      </c>
      <c r="B47194" s="3" t="str">
        <f>HYPERLINK("https://www.773grp.com/manufacturer/renesas-electronics-america-inc?pageNo=51", "Renesas Electronics")</f>
        <v>Renesas Electronics</v>
      </c>
      <c r="C47194" s="6">
        <v>189</v>
      </c>
      <c r="D47194" s="7">
        <v>0</v>
      </c>
    </row>
    <row r="47195" spans="1:4" x14ac:dyDescent="0.25">
      <c r="A47195" t="str">
        <f>HYPERLINK("https://www.773grp.com/globalSearch/UPA1437H-AZ/page-1", "UPA1437H-AZ")</f>
        <v>UPA1437H-AZ</v>
      </c>
      <c r="B47195" s="3" t="str">
        <f>HYPERLINK("https://www.773grp.com/manufacturer/renesas-electronics-america-inc?pageNo=52", "Renesas Electronics")</f>
        <v>Renesas Electronics</v>
      </c>
      <c r="C47195" s="6">
        <v>332</v>
      </c>
      <c r="D47195" s="7">
        <v>0</v>
      </c>
    </row>
    <row r="47196" spans="1:4" x14ac:dyDescent="0.25">
      <c r="A47196" t="str">
        <f>HYPERLINK("https://www.773grp.com/globalSearch/UPA1456H+1+-AZ/page-1", "UPA1456H+1+-AZ")</f>
        <v>UPA1456H+1+-AZ</v>
      </c>
      <c r="B47196" s="3" t="str">
        <f>HYPERLINK("https://www.773grp.com/manufacturer/renesas-electronics-america-inc?pageNo=53", "Renesas Electronics")</f>
        <v>Renesas Electronics</v>
      </c>
      <c r="C47196" s="6">
        <v>248</v>
      </c>
      <c r="D47196" s="7">
        <v>0</v>
      </c>
    </row>
    <row r="47197" spans="1:4" x14ac:dyDescent="0.25">
      <c r="A47197" t="str">
        <f>HYPERLINK("https://www.773grp.com/globalSearch/UPA1456H+2+-AZ/page-1", "UPA1456H+2+-AZ")</f>
        <v>UPA1456H+2+-AZ</v>
      </c>
      <c r="B47197" s="3" t="str">
        <f>HYPERLINK("https://www.773grp.com/manufacturer/renesas-electronics-america-inc?pageNo=54", "Renesas Electronics")</f>
        <v>Renesas Electronics</v>
      </c>
      <c r="C47197" s="6">
        <v>1265</v>
      </c>
      <c r="D47197" s="7">
        <v>0</v>
      </c>
    </row>
    <row r="47198" spans="1:4" x14ac:dyDescent="0.25">
      <c r="A47198" t="str">
        <f>HYPERLINK("https://www.773grp.com/globalSearch/UPA1456H+3+-AZ/page-1", "UPA1456H+3+-AZ")</f>
        <v>UPA1456H+3+-AZ</v>
      </c>
      <c r="B47198" s="3" t="str">
        <f>HYPERLINK("https://www.773grp.com/manufacturer/renesas-electronics-america-inc?pageNo=55", "Renesas Electronics")</f>
        <v>Renesas Electronics</v>
      </c>
      <c r="C47198" s="6">
        <v>67</v>
      </c>
      <c r="D47198" s="7">
        <v>0</v>
      </c>
    </row>
    <row r="47199" spans="1:4" x14ac:dyDescent="0.25">
      <c r="A47199" t="str">
        <f>HYPERLINK("https://www.773grp.com/globalSearch/UPA1458H+1+-AZ/page-1", "UPA1458H+1+-AZ")</f>
        <v>UPA1458H+1+-AZ</v>
      </c>
      <c r="B47199" s="3" t="str">
        <f>HYPERLINK("https://www.773grp.com/manufacturer/renesas-electronics-america-inc?pageNo=56", "Renesas Electronics")</f>
        <v>Renesas Electronics</v>
      </c>
      <c r="C47199" s="6">
        <v>579</v>
      </c>
      <c r="D47199" s="7">
        <v>0</v>
      </c>
    </row>
    <row r="47200" spans="1:4" x14ac:dyDescent="0.25">
      <c r="A47200" t="str">
        <f>HYPERLINK("https://www.773grp.com/globalSearch/UPA1476H-AZ/page-1", "UPA1476H-AZ")</f>
        <v>UPA1476H-AZ</v>
      </c>
      <c r="B47200" s="3" t="str">
        <f>HYPERLINK("https://www.773grp.com/manufacturer/renesas-electronics-america-inc?pageNo=57", "Renesas Electronics")</f>
        <v>Renesas Electronics</v>
      </c>
      <c r="C47200" s="6">
        <v>2546</v>
      </c>
      <c r="D47200" s="7">
        <v>0</v>
      </c>
    </row>
    <row r="47201" spans="1:4" x14ac:dyDescent="0.25">
      <c r="A47201" t="str">
        <f>HYPERLINK("https://www.773grp.com/globalSearch/UPA1501H+2+-AZ/page-1", "UPA1501H+2+-AZ")</f>
        <v>UPA1501H+2+-AZ</v>
      </c>
      <c r="B47201" s="3" t="str">
        <f>HYPERLINK("https://www.773grp.com/manufacturer/renesas-electronics-america-inc?pageNo=58", "Renesas Electronics")</f>
        <v>Renesas Electronics</v>
      </c>
      <c r="C47201" s="6">
        <v>326</v>
      </c>
      <c r="D47201" s="7">
        <v>0</v>
      </c>
    </row>
    <row r="47202" spans="1:4" x14ac:dyDescent="0.25">
      <c r="A47202" t="str">
        <f>HYPERLINK("https://www.773grp.com/globalSearch/UPA1501H-AZ/page-1", "UPA1501H-AZ")</f>
        <v>UPA1501H-AZ</v>
      </c>
      <c r="B47202" s="3" t="str">
        <f>HYPERLINK("https://www.773grp.com/manufacturer/renesas-electronics-america-inc?pageNo=59", "Renesas Electronics")</f>
        <v>Renesas Electronics</v>
      </c>
      <c r="C47202" s="6">
        <v>431</v>
      </c>
      <c r="D47202" s="7">
        <v>0</v>
      </c>
    </row>
    <row r="47203" spans="1:4" x14ac:dyDescent="0.25">
      <c r="A47203" t="str">
        <f>HYPERLINK("https://www.773grp.com/globalSearch/UPA1522H-AZ/page-1", "UPA1522H-AZ")</f>
        <v>UPA1522H-AZ</v>
      </c>
      <c r="B47203" s="3" t="str">
        <f>HYPERLINK("https://www.773grp.com/manufacturer/renesas-electronics-america-inc?pageNo=60", "Renesas Electronics")</f>
        <v>Renesas Electronics</v>
      </c>
      <c r="C47203" s="6">
        <v>100</v>
      </c>
      <c r="D47203" s="7">
        <v>0</v>
      </c>
    </row>
    <row r="47204" spans="1:4" x14ac:dyDescent="0.25">
      <c r="A47204" t="str">
        <f>HYPERLINK("https://www.773grp.com/globalSearch/UPA1524H-AZ/page-1", "UPA1524H-AZ")</f>
        <v>UPA1524H-AZ</v>
      </c>
      <c r="B47204" s="3" t="str">
        <f>HYPERLINK("https://www.773grp.com/manufacturer/renesas-electronics-america-inc?pageNo=61", "Renesas Electronics")</f>
        <v>Renesas Electronics</v>
      </c>
      <c r="C47204" s="6">
        <v>35</v>
      </c>
      <c r="D47204" s="7">
        <v>0</v>
      </c>
    </row>
    <row r="47205" spans="1:4" x14ac:dyDescent="0.25">
      <c r="A47205" t="str">
        <f>HYPERLINK("https://www.773grp.com/globalSearch/UPA1526H-AZ/page-1", "UPA1526H-AZ")</f>
        <v>UPA1526H-AZ</v>
      </c>
      <c r="B47205" s="3" t="str">
        <f>HYPERLINK("https://www.773grp.com/manufacturer/renesas-electronics-america-inc?pageNo=62", "Renesas Electronics")</f>
        <v>Renesas Electronics</v>
      </c>
      <c r="C47205" s="6">
        <v>109</v>
      </c>
      <c r="D47205" s="7">
        <v>0</v>
      </c>
    </row>
    <row r="47206" spans="1:4" x14ac:dyDescent="0.25">
      <c r="A47206" t="str">
        <f>HYPERLINK("https://www.773grp.com/globalSearch/UPA1527H-AZ/page-1", "UPA1527H-AZ")</f>
        <v>UPA1527H-AZ</v>
      </c>
      <c r="B47206" s="3" t="str">
        <f>HYPERLINK("https://www.773grp.com/manufacturer/renesas-electronics-america-inc?pageNo=63", "Renesas Electronics")</f>
        <v>Renesas Electronics</v>
      </c>
      <c r="C47206" s="6">
        <v>179</v>
      </c>
      <c r="D47206" s="7">
        <v>0</v>
      </c>
    </row>
    <row r="47207" spans="1:4" x14ac:dyDescent="0.25">
      <c r="A47207" t="str">
        <f>HYPERLINK("https://www.773grp.com/globalSearch/UPA1556AH+1+-AZ/page-1", "UPA1556AH+1+-AZ")</f>
        <v>UPA1556AH+1+-AZ</v>
      </c>
      <c r="B47207" s="3" t="str">
        <f>HYPERLINK("https://www.773grp.com/manufacturer/renesas-electronics-america-inc?pageNo=64", "Renesas Electronics")</f>
        <v>Renesas Electronics</v>
      </c>
      <c r="C47207" s="6">
        <v>162</v>
      </c>
      <c r="D47207" s="7">
        <v>0</v>
      </c>
    </row>
    <row r="47208" spans="1:4" x14ac:dyDescent="0.25">
      <c r="A47208" t="str">
        <f>HYPERLINK("https://www.773grp.com/globalSearch/UPA1556AH+7+-AZ/page-1", "UPA1556AH+7+-AZ")</f>
        <v>UPA1556AH+7+-AZ</v>
      </c>
      <c r="B47208" s="3" t="str">
        <f>HYPERLINK("https://www.773grp.com/manufacturer/renesas-electronics-america-inc?pageNo=65", "Renesas Electronics")</f>
        <v>Renesas Electronics</v>
      </c>
      <c r="C47208" s="6">
        <v>393</v>
      </c>
      <c r="D47208" s="7">
        <v>0</v>
      </c>
    </row>
    <row r="47209" spans="1:4" x14ac:dyDescent="0.25">
      <c r="A47209" t="str">
        <f>HYPERLINK("https://www.773grp.com/globalSearch/UPA1572BH+1+-AZ/page-1", "UPA1572BH+1+-AZ")</f>
        <v>UPA1572BH+1+-AZ</v>
      </c>
      <c r="B47209" s="3" t="str">
        <f>HYPERLINK("https://www.773grp.com/manufacturer/renesas-electronics-america-inc?pageNo=66", "Renesas Electronics")</f>
        <v>Renesas Electronics</v>
      </c>
      <c r="C47209" s="6">
        <v>2018</v>
      </c>
      <c r="D47209" s="7">
        <v>0</v>
      </c>
    </row>
    <row r="47210" spans="1:4" x14ac:dyDescent="0.25">
      <c r="A47210" t="str">
        <f>HYPERLINK("https://www.773grp.com/globalSearch/UPA1572BH-AZ/page-1", "UPA1572BH-AZ")</f>
        <v>UPA1572BH-AZ</v>
      </c>
      <c r="B47210" s="3" t="str">
        <f>HYPERLINK("https://www.773grp.com/manufacturer/renesas-electronics-america-inc?pageNo=67", "Renesas Electronics")</f>
        <v>Renesas Electronics</v>
      </c>
      <c r="C47210" s="6">
        <v>61</v>
      </c>
      <c r="D47210" s="7">
        <v>0</v>
      </c>
    </row>
    <row r="47211" spans="1:4" x14ac:dyDescent="0.25">
      <c r="A47211" t="str">
        <f>HYPERLINK("https://www.773grp.com/globalSearch/UPA2450CT(1)-E1-A/page-1", "UPA2450CT(1)-E1-A")</f>
        <v>UPA2450CT(1)-E1-A</v>
      </c>
      <c r="B47211" s="3" t="str">
        <f>HYPERLINK("https://www.773grp.com/manufacturer/renesas-electronics-america-inc?pageNo=68", "Renesas Electronics")</f>
        <v>Renesas Electronics</v>
      </c>
      <c r="C47211" s="6">
        <v>3000</v>
      </c>
      <c r="D47211" s="7">
        <v>0</v>
      </c>
    </row>
    <row r="47212" spans="1:4" x14ac:dyDescent="0.25">
      <c r="A47212" t="str">
        <f>HYPERLINK("https://www.773grp.com/globalSearch/UPD16879GSBGGA-A/page-1", "UPD16879GSBGGA-A")</f>
        <v>UPD16879GSBGGA-A</v>
      </c>
      <c r="B47212" s="3" t="str">
        <f>HYPERLINK("https://www.773grp.com/manufacturer/renesas-electronics-america-inc?pageNo=69", "Renesas Electronics")</f>
        <v>Renesas Electronics</v>
      </c>
      <c r="C47212" s="6">
        <v>639</v>
      </c>
      <c r="D47212" s="7">
        <v>0</v>
      </c>
    </row>
    <row r="47213" spans="1:4" x14ac:dyDescent="0.25">
      <c r="A47213" t="str">
        <f>HYPERLINK("https://www.773grp.com/globalSearch/UPD61534FH-2N7-E1-A/page-1", "UPD61534FH-2N7-E1-A")</f>
        <v>UPD61534FH-2N7-E1-A</v>
      </c>
      <c r="B47213" s="3" t="str">
        <f>HYPERLINK("https://www.773grp.com/manufacturer/renesas-electronics-america-inc?pageNo=70", "Renesas Electronics")</f>
        <v>Renesas Electronics</v>
      </c>
      <c r="C47213" s="6">
        <v>18000</v>
      </c>
      <c r="D47213" s="7">
        <v>0</v>
      </c>
    </row>
    <row r="47214" spans="1:4" x14ac:dyDescent="0.25">
      <c r="A47214" t="str">
        <f>HYPERLINK("https://www.773grp.com/globalSearch/UPD61535FH-2A5-E1-A/page-1", "UPD61535FH-2A5-E1-A")</f>
        <v>UPD61535FH-2A5-E1-A</v>
      </c>
      <c r="B47214" s="3" t="str">
        <f>HYPERLINK("https://www.773grp.com/manufacturer/renesas-electronics-america-inc?pageNo=71", "Renesas Electronics")</f>
        <v>Renesas Electronics</v>
      </c>
      <c r="C47214" s="6">
        <v>3000</v>
      </c>
      <c r="D47214" s="7">
        <v>0</v>
      </c>
    </row>
    <row r="47215" spans="1:4" x14ac:dyDescent="0.25">
      <c r="A47215" t="str">
        <f>HYPERLINK("https://www.773grp.com/globalSearch/UPD6345GS-E1/page-1", "UPD6345GS-E1")</f>
        <v>UPD6345GS-E1</v>
      </c>
      <c r="B47215" s="3" t="str">
        <f>HYPERLINK("https://www.773grp.com/manufacturer/renesas-electronics-america-inc?pageNo=72", "Renesas Electronics")</f>
        <v>Renesas Electronics</v>
      </c>
      <c r="C47215" s="6">
        <v>2500</v>
      </c>
      <c r="D47215" s="7">
        <v>0</v>
      </c>
    </row>
    <row r="47216" spans="1:4" x14ac:dyDescent="0.25">
      <c r="A47216" t="str">
        <f>HYPERLINK("https://www.773grp.com/globalSearch/UPD78F0103M4MC-5A4/page-1", "UPD78F0103M4MC-5A4")</f>
        <v>UPD78F0103M4MC-5A4</v>
      </c>
      <c r="B47216" s="3" t="str">
        <f>HYPERLINK("https://www.773grp.com/manufacturer/renesas-electronics-america-inc?pageNo=73", "Renesas Electronics")</f>
        <v>Renesas Electronics</v>
      </c>
      <c r="C47216" s="6">
        <v>41</v>
      </c>
      <c r="D47216" s="7">
        <v>0</v>
      </c>
    </row>
    <row r="47217" spans="1:4" x14ac:dyDescent="0.25">
      <c r="A47217" t="str">
        <f>HYPERLINK("https://www.773grp.com/globalSearch/UPD78F0138HGK-9ET/page-1", "UPD78F0138HGK-9ET")</f>
        <v>UPD78F0138HGK-9ET</v>
      </c>
      <c r="B47217" s="3" t="str">
        <f>HYPERLINK("https://www.773grp.com/manufacturer/renesas-electronics-america-inc?pageNo=74", "Renesas Electronics")</f>
        <v>Renesas Electronics</v>
      </c>
      <c r="C47217" s="6">
        <v>2894</v>
      </c>
      <c r="D47217" s="7">
        <v>0</v>
      </c>
    </row>
    <row r="47218" spans="1:4" x14ac:dyDescent="0.25">
      <c r="A47218" t="str">
        <f>HYPERLINK("https://www.773grp.com/globalSearch/UPD78F8024GK+S+-GAJ-AX/page-1", "UPD78F8024GK+S+-GAJ-AX")</f>
        <v>UPD78F8024GK+S+-GAJ-AX</v>
      </c>
      <c r="B47218" s="3" t="str">
        <f>HYPERLINK("https://www.773grp.com/manufacturer/renesas-electronics-america-inc?pageNo=75", "Renesas Electronics")</f>
        <v>Renesas Electronics</v>
      </c>
      <c r="C47218" s="6">
        <v>742</v>
      </c>
      <c r="D47218" s="7">
        <v>0</v>
      </c>
    </row>
    <row r="47219" spans="1:4" x14ac:dyDescent="0.25">
      <c r="A47219" t="str">
        <f>HYPERLINK("https://www.773grp.com/globalSearch/UPD78F8025GK+S+-GAJ-AX/page-1", "UPD78F8025GK+S+-GAJ-AX")</f>
        <v>UPD78F8025GK+S+-GAJ-AX</v>
      </c>
      <c r="B47219" s="3" t="str">
        <f>HYPERLINK("https://www.773grp.com/manufacturer/renesas-electronics-america-inc?pageNo=76", "Renesas Electronics")</f>
        <v>Renesas Electronics</v>
      </c>
      <c r="C47219" s="6">
        <v>11</v>
      </c>
      <c r="D47219" s="7">
        <v>0</v>
      </c>
    </row>
    <row r="47220" spans="1:4" x14ac:dyDescent="0.25">
      <c r="A47220" t="str">
        <f>HYPERLINK("https://www.773grp.com/globalSearch/UPD78F9210GR+A2+-JJG-A/page-1", "UPD78F9210GR+A2+-JJG-A")</f>
        <v>UPD78F9210GR+A2+-JJG-A</v>
      </c>
      <c r="B47220" s="3" t="str">
        <f>HYPERLINK("https://www.773grp.com/manufacturer/renesas-electronics-america-inc?pageNo=77", "Renesas Electronics")</f>
        <v>Renesas Electronics</v>
      </c>
      <c r="C47220" s="6">
        <v>2501</v>
      </c>
      <c r="D47220" s="7">
        <v>0</v>
      </c>
    </row>
    <row r="47221" spans="1:4" x14ac:dyDescent="0.25">
      <c r="A47221" t="str">
        <f>HYPERLINK("https://www.773grp.com/globalSearch/1SS270ATD-P-E/page-1", "1SS270ATD-P-E")</f>
        <v>1SS270ATD-P-E</v>
      </c>
      <c r="B47221" s="3" t="str">
        <f>HYPERLINK("https://www.773grp.com/manufacturer/renesas-electronics-america-inc?pageNo=78", "Renesas Electronics")</f>
        <v>Renesas Electronics</v>
      </c>
      <c r="C47221" s="6">
        <v>75000</v>
      </c>
      <c r="D47221" s="7">
        <v>0.05</v>
      </c>
    </row>
    <row r="47222" spans="1:4" x14ac:dyDescent="0.25">
      <c r="A47222" t="str">
        <f>HYPERLINK("https://www.773grp.com/globalSearch/1SS270ATE-P-E/page-1", "1SS270ATE-P-E")</f>
        <v>1SS270ATE-P-E</v>
      </c>
      <c r="B47222" s="3" t="str">
        <f>HYPERLINK("https://www.773grp.com/manufacturer/renesas-electronics-america-inc?pageNo=79", "Renesas Electronics")</f>
        <v>Renesas Electronics</v>
      </c>
      <c r="C47222" s="6">
        <v>15000</v>
      </c>
      <c r="D47222" s="7">
        <v>0.05</v>
      </c>
    </row>
    <row r="47223" spans="1:4" x14ac:dyDescent="0.25">
      <c r="A47223" t="str">
        <f>HYPERLINK("https://www.773grp.com/globalSearch/1S2075KTA-P-E/page-1", "1S2075KTA-P-E")</f>
        <v>1S2075KTA-P-E</v>
      </c>
      <c r="B47223" s="3" t="str">
        <f>HYPERLINK("https://www.773grp.com/manufacturer/renesas-electronics-america-inc?pageNo=80", "Renesas Electronics")</f>
        <v>Renesas Electronics</v>
      </c>
      <c r="C47223" s="6">
        <v>15000</v>
      </c>
      <c r="D47223" s="7">
        <v>0.1</v>
      </c>
    </row>
    <row r="47224" spans="1:4" x14ac:dyDescent="0.25">
      <c r="A47224" t="str">
        <f>HYPERLINK("https://www.773grp.com/globalSearch/1S2076JRE/page-1", "1S2076JRE")</f>
        <v>1S2076JRE</v>
      </c>
      <c r="B47224" s="3" t="str">
        <f>HYPERLINK("https://www.773grp.com/manufacturer/renesas-electronics-america-inc?pageNo=81", "Renesas Electronics")</f>
        <v>Renesas Electronics</v>
      </c>
      <c r="C47224" s="6">
        <v>8000</v>
      </c>
      <c r="D47224" s="7">
        <v>0.1</v>
      </c>
    </row>
    <row r="47225" spans="1:4" x14ac:dyDescent="0.25">
      <c r="A47225" t="str">
        <f>HYPERLINK("https://www.773grp.com/globalSearch/1SS119-14TD-P-E/page-1", "1SS119-14TD-P-E")</f>
        <v>1SS119-14TD-P-E</v>
      </c>
      <c r="B47225" s="3" t="str">
        <f>HYPERLINK("https://www.773grp.com/manufacturer/renesas-electronics-america-inc?pageNo=82", "Renesas Electronics")</f>
        <v>Renesas Electronics</v>
      </c>
      <c r="C47225" s="6">
        <v>92500</v>
      </c>
      <c r="D47225" s="7">
        <v>0.1</v>
      </c>
    </row>
    <row r="47226" spans="1:4" x14ac:dyDescent="0.25">
      <c r="A47226" t="str">
        <f>HYPERLINK("https://www.773grp.com/globalSearch/1SS119-25-E/page-1", "1SS119-25-E")</f>
        <v>1SS119-25-E</v>
      </c>
      <c r="B47226" s="3" t="str">
        <f>HYPERLINK("https://www.773grp.com/manufacturer/renesas-electronics-america-inc?pageNo=83", "Renesas Electronics")</f>
        <v>Renesas Electronics</v>
      </c>
      <c r="C47226" s="6">
        <v>46500</v>
      </c>
      <c r="D47226" s="7">
        <v>0.1</v>
      </c>
    </row>
    <row r="47227" spans="1:4" x14ac:dyDescent="0.25">
      <c r="A47227" t="str">
        <f>HYPERLINK("https://www.773grp.com/globalSearch/HSS104-E/page-1", "HSS104-E")</f>
        <v>HSS104-E</v>
      </c>
      <c r="B47227" s="3" t="str">
        <f>HYPERLINK("https://www.773grp.com/manufacturer/renesas-electronics-america-inc?pageNo=84", "Renesas Electronics")</f>
        <v>Renesas Electronics</v>
      </c>
      <c r="C47227" s="6">
        <v>7300</v>
      </c>
      <c r="D47227" s="7">
        <v>0.1</v>
      </c>
    </row>
    <row r="47228" spans="1:4" x14ac:dyDescent="0.25">
      <c r="A47228" t="str">
        <f>HYPERLINK("https://www.773grp.com/globalSearch/HSS104TA-E/page-1", "HSS104TA-E")</f>
        <v>HSS104TA-E</v>
      </c>
      <c r="B47228" s="3" t="str">
        <f>HYPERLINK("https://www.773grp.com/manufacturer/renesas-electronics-america-inc?pageNo=85", "Renesas Electronics")</f>
        <v>Renesas Electronics</v>
      </c>
      <c r="C47228" s="6">
        <v>40000</v>
      </c>
      <c r="D47228" s="7">
        <v>0.1</v>
      </c>
    </row>
    <row r="47229" spans="1:4" x14ac:dyDescent="0.25">
      <c r="A47229" t="str">
        <f>HYPERLINK("https://www.773grp.com/globalSearch/HZU16B3TRF-E/page-1", "HZU16B3TRF-E")</f>
        <v>HZU16B3TRF-E</v>
      </c>
      <c r="B47229" s="3" t="str">
        <f>HYPERLINK("https://www.773grp.com/manufacturer/renesas-electronics-america-inc?pageNo=86", "Renesas Electronics")</f>
        <v>Renesas Electronics</v>
      </c>
      <c r="C47229" s="6">
        <v>3000</v>
      </c>
      <c r="D47229" s="7">
        <v>0.15</v>
      </c>
    </row>
    <row r="47230" spans="1:4" x14ac:dyDescent="0.25">
      <c r="A47230" t="str">
        <f>HYPERLINK("https://www.773grp.com/globalSearch/1S2076AS7A/page-1", "1S2076AS7A")</f>
        <v>1S2076AS7A</v>
      </c>
      <c r="B47230" s="3" t="str">
        <f>HYPERLINK("https://www.773grp.com/manufacturer/renesas-electronics-america-inc?pageNo=87", "Renesas Electronics")</f>
        <v>Renesas Electronics</v>
      </c>
      <c r="C47230" s="6">
        <v>24000</v>
      </c>
      <c r="D47230" s="7">
        <v>0.15</v>
      </c>
    </row>
    <row r="47231" spans="1:4" x14ac:dyDescent="0.25">
      <c r="A47231" t="str">
        <f>HYPERLINK("https://www.773grp.com/globalSearch/1S2076ATD-P-E/page-1", "1S2076ATD-P-E")</f>
        <v>1S2076ATD-P-E</v>
      </c>
      <c r="B47231" s="3" t="str">
        <f>HYPERLINK("https://www.773grp.com/manufacturer/renesas-electronics-america-inc?pageNo=88", "Renesas Electronics")</f>
        <v>Renesas Electronics</v>
      </c>
      <c r="C47231" s="6">
        <v>90000</v>
      </c>
      <c r="D47231" s="7">
        <v>0.15</v>
      </c>
    </row>
    <row r="47232" spans="1:4" x14ac:dyDescent="0.25">
      <c r="A47232" t="str">
        <f>HYPERLINK("https://www.773grp.com/globalSearch/1S2076JTD/page-1", "1S2076JTD")</f>
        <v>1S2076JTD</v>
      </c>
      <c r="B47232" s="3" t="str">
        <f>HYPERLINK("https://www.773grp.com/manufacturer/renesas-electronics-america-inc?pageNo=89", "Renesas Electronics")</f>
        <v>Renesas Electronics</v>
      </c>
      <c r="C47232" s="6">
        <v>25000</v>
      </c>
      <c r="D47232" s="7">
        <v>0.15</v>
      </c>
    </row>
    <row r="47233" spans="1:4" x14ac:dyDescent="0.25">
      <c r="A47233" t="str">
        <f>HYPERLINK("https://www.773grp.com/globalSearch/1S2076S7A/page-1", "1S2076S7A")</f>
        <v>1S2076S7A</v>
      </c>
      <c r="B47233" s="3" t="str">
        <f>HYPERLINK("https://www.773grp.com/manufacturer/renesas-electronics-america-inc?pageNo=90", "Renesas Electronics")</f>
        <v>Renesas Electronics</v>
      </c>
      <c r="C47233" s="6">
        <v>26000</v>
      </c>
      <c r="D47233" s="7">
        <v>0.15</v>
      </c>
    </row>
    <row r="47234" spans="1:4" x14ac:dyDescent="0.25">
      <c r="A47234" t="str">
        <f>HYPERLINK("https://www.773grp.com/globalSearch/1SS119-14FS/page-1", "1SS119-14FS")</f>
        <v>1SS119-14FS</v>
      </c>
      <c r="B47234" s="3" t="str">
        <f>HYPERLINK("https://www.773grp.com/manufacturer/renesas-electronics-america-inc?pageNo=91", "Renesas Electronics")</f>
        <v>Renesas Electronics</v>
      </c>
      <c r="C47234" s="6">
        <v>85987</v>
      </c>
      <c r="D47234" s="7">
        <v>0.15</v>
      </c>
    </row>
    <row r="47235" spans="1:4" x14ac:dyDescent="0.25">
      <c r="A47235" t="str">
        <f>HYPERLINK("https://www.773grp.com/globalSearch/1SS119-19TA-E/page-1", "1SS119-19TA-E")</f>
        <v>1SS119-19TA-E</v>
      </c>
      <c r="B47235" s="3" t="str">
        <f>HYPERLINK("https://www.773grp.com/manufacturer/renesas-electronics-america-inc?pageNo=92", "Renesas Electronics")</f>
        <v>Renesas Electronics</v>
      </c>
      <c r="C47235" s="6">
        <v>20000</v>
      </c>
      <c r="D47235" s="7">
        <v>0.15</v>
      </c>
    </row>
    <row r="47236" spans="1:4" x14ac:dyDescent="0.25">
      <c r="A47236" t="str">
        <f>HYPERLINK("https://www.773grp.com/globalSearch/1SS120-90/page-1", "1SS120-90")</f>
        <v>1SS120-90</v>
      </c>
      <c r="B47236" s="3" t="str">
        <f>HYPERLINK("https://www.773grp.com/manufacturer/renesas-electronics-america-inc?pageNo=93", "Renesas Electronics")</f>
        <v>Renesas Electronics</v>
      </c>
      <c r="C47236" s="6">
        <v>17890</v>
      </c>
      <c r="D47236" s="7">
        <v>0.15</v>
      </c>
    </row>
    <row r="47237" spans="1:4" x14ac:dyDescent="0.25">
      <c r="A47237" t="str">
        <f>HYPERLINK("https://www.773grp.com/globalSearch/1SS270A07TE-E/page-1", "1SS270A07TE-E")</f>
        <v>1SS270A07TE-E</v>
      </c>
      <c r="B47237" s="3" t="str">
        <f>HYPERLINK("https://www.773grp.com/manufacturer/renesas-electronics-america-inc?pageNo=94", "Renesas Electronics")</f>
        <v>Renesas Electronics</v>
      </c>
      <c r="C47237" s="6">
        <v>70000</v>
      </c>
      <c r="D47237" s="7">
        <v>0.15</v>
      </c>
    </row>
    <row r="47238" spans="1:4" x14ac:dyDescent="0.25">
      <c r="A47238" t="str">
        <f>HYPERLINK("https://www.773grp.com/globalSearch/1SS270-E/page-1", "1SS270-E")</f>
        <v>1SS270-E</v>
      </c>
      <c r="B47238" s="3" t="str">
        <f>HYPERLINK("https://www.773grp.com/manufacturer/renesas-electronics-america-inc?pageNo=95", "Renesas Electronics")</f>
        <v>Renesas Electronics</v>
      </c>
      <c r="C47238" s="6">
        <v>104700</v>
      </c>
      <c r="D47238" s="7">
        <v>0.15</v>
      </c>
    </row>
    <row r="47239" spans="1:4" x14ac:dyDescent="0.25">
      <c r="A47239" t="str">
        <f>HYPERLINK("https://www.773grp.com/globalSearch/HSS82-E/page-1", "HSS82-E")</f>
        <v>HSS82-E</v>
      </c>
      <c r="B47239" s="3" t="str">
        <f>HYPERLINK("https://www.773grp.com/manufacturer/renesas-electronics-america-inc?pageNo=96", "Renesas Electronics")</f>
        <v>Renesas Electronics</v>
      </c>
      <c r="C47239" s="6">
        <v>17500</v>
      </c>
      <c r="D47239" s="7">
        <v>0.15</v>
      </c>
    </row>
    <row r="47240" spans="1:4" x14ac:dyDescent="0.25">
      <c r="A47240" t="str">
        <f>HYPERLINK("https://www.773grp.com/globalSearch/HZ11A1RE-E/page-1", "HZ11A1RE-E")</f>
        <v>HZ11A1RE-E</v>
      </c>
      <c r="B47240" s="3" t="str">
        <f>HYPERLINK("https://www.773grp.com/manufacturer/renesas-electronics-america-inc?pageNo=97", "Renesas Electronics")</f>
        <v>Renesas Electronics</v>
      </c>
      <c r="C47240" s="6">
        <v>16000</v>
      </c>
      <c r="D47240" s="7">
        <v>0.15</v>
      </c>
    </row>
    <row r="47241" spans="1:4" x14ac:dyDescent="0.25">
      <c r="A47241" t="str">
        <f>HYPERLINK("https://www.773grp.com/globalSearch/HZ11A2TA-E/page-1", "HZ11A2TA-E")</f>
        <v>HZ11A2TA-E</v>
      </c>
      <c r="B47241" s="3" t="str">
        <f>HYPERLINK("https://www.773grp.com/manufacturer/renesas-electronics-america-inc?pageNo=98", "Renesas Electronics")</f>
        <v>Renesas Electronics</v>
      </c>
      <c r="C47241" s="6">
        <v>55000</v>
      </c>
      <c r="D47241" s="7">
        <v>0.15</v>
      </c>
    </row>
    <row r="47242" spans="1:4" x14ac:dyDescent="0.25">
      <c r="A47242" t="str">
        <f>HYPERLINK("https://www.773grp.com/globalSearch/HZ11B1RE-E/page-1", "HZ11B1RE-E")</f>
        <v>HZ11B1RE-E</v>
      </c>
      <c r="B47242" s="3" t="str">
        <f>HYPERLINK("https://www.773grp.com/manufacturer/renesas-electronics-america-inc?pageNo=99", "Renesas Electronics")</f>
        <v>Renesas Electronics</v>
      </c>
      <c r="C47242" s="6">
        <v>12000</v>
      </c>
      <c r="D47242" s="7">
        <v>0.15</v>
      </c>
    </row>
    <row r="47243" spans="1:4" x14ac:dyDescent="0.25">
      <c r="A47243" t="str">
        <f>HYPERLINK("https://www.773grp.com/globalSearch/HZ11B2RE-E/page-1", "HZ11B2RE-E")</f>
        <v>HZ11B2RE-E</v>
      </c>
      <c r="B47243" s="3" t="str">
        <f>HYPERLINK("https://www.773grp.com/manufacturer/renesas-electronics-america-inc?pageNo=100", "Renesas Electronics")</f>
        <v>Renesas Electronics</v>
      </c>
      <c r="C47243" s="6">
        <v>24000</v>
      </c>
      <c r="D47243" s="7">
        <v>0.15</v>
      </c>
    </row>
    <row r="47244" spans="1:4" x14ac:dyDescent="0.25">
      <c r="A47244" t="str">
        <f>HYPERLINK("https://www.773grp.com/globalSearch/HZ11C2RE-E/page-1", "HZ11C2RE-E")</f>
        <v>HZ11C2RE-E</v>
      </c>
      <c r="B47244" s="3" t="str">
        <f>HYPERLINK("https://www.773grp.com/manufacturer/renesas-electronics-america-inc?pageNo=101", "Renesas Electronics")</f>
        <v>Renesas Electronics</v>
      </c>
      <c r="C47244" s="6">
        <v>20000</v>
      </c>
      <c r="D47244" s="7">
        <v>0.15</v>
      </c>
    </row>
    <row r="47245" spans="1:4" x14ac:dyDescent="0.25">
      <c r="A47245" t="str">
        <f>HYPERLINK("https://www.773grp.com/globalSearch/HZ12A1RE-E/page-1", "HZ12A1RE-E")</f>
        <v>HZ12A1RE-E</v>
      </c>
      <c r="B47245" s="3" t="str">
        <f>HYPERLINK("https://www.773grp.com/manufacturer/renesas-electronics-america-inc?pageNo=102", "Renesas Electronics")</f>
        <v>Renesas Electronics</v>
      </c>
      <c r="C47245" s="6">
        <v>17500</v>
      </c>
      <c r="D47245" s="7">
        <v>0.15</v>
      </c>
    </row>
    <row r="47246" spans="1:4" x14ac:dyDescent="0.25">
      <c r="A47246" t="str">
        <f>HYPERLINK("https://www.773grp.com/globalSearch/HZ12A1TD-P-E/page-1", "HZ12A1TD-P-E")</f>
        <v>HZ12A1TD-P-E</v>
      </c>
      <c r="B47246" s="3" t="str">
        <f>HYPERLINK("https://www.773grp.com/manufacturer/renesas-electronics-america-inc?pageNo=103", "Renesas Electronics")</f>
        <v>Renesas Electronics</v>
      </c>
      <c r="C47246" s="6">
        <v>12500</v>
      </c>
      <c r="D47246" s="7">
        <v>0.15</v>
      </c>
    </row>
    <row r="47247" spans="1:4" x14ac:dyDescent="0.25">
      <c r="A47247" t="str">
        <f>HYPERLINK("https://www.773grp.com/globalSearch/HZ12C1-E/page-1", "HZ12C1-E")</f>
        <v>HZ12C1-E</v>
      </c>
      <c r="B47247" s="3" t="str">
        <f>HYPERLINK("https://www.773grp.com/manufacturer/renesas-electronics-america-inc?pageNo=104", "Renesas Electronics")</f>
        <v>Renesas Electronics</v>
      </c>
      <c r="C47247" s="6">
        <v>7500</v>
      </c>
      <c r="D47247" s="7">
        <v>0.15</v>
      </c>
    </row>
    <row r="47248" spans="1:4" x14ac:dyDescent="0.25">
      <c r="A47248" t="str">
        <f>HYPERLINK("https://www.773grp.com/globalSearch/HZ12C1TA-E/page-1", "HZ12C1TA-E")</f>
        <v>HZ12C1TA-E</v>
      </c>
      <c r="B47248" s="3" t="str">
        <f>HYPERLINK("https://www.773grp.com/manufacturer/renesas-electronics-america-inc?pageNo=105", "Renesas Electronics")</f>
        <v>Renesas Electronics</v>
      </c>
      <c r="C47248" s="6">
        <v>5000</v>
      </c>
      <c r="D47248" s="7">
        <v>0.15</v>
      </c>
    </row>
    <row r="47249" spans="1:4" x14ac:dyDescent="0.25">
      <c r="A47249" t="str">
        <f>HYPERLINK("https://www.773grp.com/globalSearch/HZ15-1RE-E/page-1", "HZ15-1RE-E")</f>
        <v>HZ15-1RE-E</v>
      </c>
      <c r="B47249" s="3" t="str">
        <f>HYPERLINK("https://www.773grp.com/manufacturer/renesas-electronics-america-inc?pageNo=106", "Renesas Electronics")</f>
        <v>Renesas Electronics</v>
      </c>
      <c r="C47249" s="6">
        <v>3000</v>
      </c>
      <c r="D47249" s="7">
        <v>0.15</v>
      </c>
    </row>
    <row r="47250" spans="1:4" x14ac:dyDescent="0.25">
      <c r="A47250" t="str">
        <f>HYPERLINK("https://www.773grp.com/globalSearch/HZ15-2RE-E/page-1", "HZ15-2RE-E")</f>
        <v>HZ15-2RE-E</v>
      </c>
      <c r="B47250" s="3" t="str">
        <f>HYPERLINK("https://www.773grp.com/manufacturer/renesas-electronics-america-inc?pageNo=107", "Renesas Electronics")</f>
        <v>Renesas Electronics</v>
      </c>
      <c r="C47250" s="6">
        <v>20000</v>
      </c>
      <c r="D47250" s="7">
        <v>0.15</v>
      </c>
    </row>
    <row r="47251" spans="1:4" x14ac:dyDescent="0.25">
      <c r="A47251" t="str">
        <f>HYPERLINK("https://www.773grp.com/globalSearch/HZ15-3TA-E/page-1", "HZ15-3TA-E")</f>
        <v>HZ15-3TA-E</v>
      </c>
      <c r="B47251" s="3" t="str">
        <f>HYPERLINK("https://www.773grp.com/manufacturer/renesas-electronics-america-inc?pageNo=108", "Renesas Electronics")</f>
        <v>Renesas Electronics</v>
      </c>
      <c r="C47251" s="6">
        <v>15000</v>
      </c>
      <c r="D47251" s="7">
        <v>0.15</v>
      </c>
    </row>
    <row r="47252" spans="1:4" x14ac:dyDescent="0.25">
      <c r="A47252" t="str">
        <f>HYPERLINK("https://www.773grp.com/globalSearch/HZ16-1RE-E/page-1", "HZ16-1RE-E")</f>
        <v>HZ16-1RE-E</v>
      </c>
      <c r="B47252" s="3" t="str">
        <f>HYPERLINK("https://www.773grp.com/manufacturer/renesas-electronics-america-inc?pageNo=109", "Renesas Electronics")</f>
        <v>Renesas Electronics</v>
      </c>
      <c r="C47252" s="6">
        <v>20000</v>
      </c>
      <c r="D47252" s="7">
        <v>0.15</v>
      </c>
    </row>
    <row r="47253" spans="1:4" x14ac:dyDescent="0.25">
      <c r="A47253" t="str">
        <f>HYPERLINK("https://www.773grp.com/globalSearch/HZ16-2RE-E/page-1", "HZ16-2RE-E")</f>
        <v>HZ16-2RE-E</v>
      </c>
      <c r="B47253" s="3" t="str">
        <f>HYPERLINK("https://www.773grp.com/manufacturer/renesas-electronics-america-inc?pageNo=110", "Renesas Electronics")</f>
        <v>Renesas Electronics</v>
      </c>
      <c r="C47253" s="6">
        <v>16000</v>
      </c>
      <c r="D47253" s="7">
        <v>0.15</v>
      </c>
    </row>
    <row r="47254" spans="1:4" x14ac:dyDescent="0.25">
      <c r="A47254" t="str">
        <f>HYPERLINK("https://www.773grp.com/globalSearch/HZ16-3RE-E/page-1", "HZ16-3RE-E")</f>
        <v>HZ16-3RE-E</v>
      </c>
      <c r="B47254" s="3" t="str">
        <f>HYPERLINK("https://www.773grp.com/manufacturer/renesas-electronics-america-inc?pageNo=111", "Renesas Electronics")</f>
        <v>Renesas Electronics</v>
      </c>
      <c r="C47254" s="6">
        <v>20000</v>
      </c>
      <c r="D47254" s="7">
        <v>0.15</v>
      </c>
    </row>
    <row r="47255" spans="1:4" x14ac:dyDescent="0.25">
      <c r="A47255" t="str">
        <f>HYPERLINK("https://www.773grp.com/globalSearch/HZ18-1RE-E/page-1", "HZ18-1RE-E")</f>
        <v>HZ18-1RE-E</v>
      </c>
      <c r="B47255" s="3" t="str">
        <f>HYPERLINK("https://www.773grp.com/manufacturer/renesas-electronics-america-inc?pageNo=112", "Renesas Electronics")</f>
        <v>Renesas Electronics</v>
      </c>
      <c r="C47255" s="6">
        <v>16000</v>
      </c>
      <c r="D47255" s="7">
        <v>0.15</v>
      </c>
    </row>
    <row r="47256" spans="1:4" x14ac:dyDescent="0.25">
      <c r="A47256" t="str">
        <f>HYPERLINK("https://www.773grp.com/globalSearch/HZ18-2RE-E/page-1", "HZ18-2RE-E")</f>
        <v>HZ18-2RE-E</v>
      </c>
      <c r="B47256" s="3" t="str">
        <f>HYPERLINK("https://www.773grp.com/manufacturer/renesas-electronics-america-inc?pageNo=113", "Renesas Electronics")</f>
        <v>Renesas Electronics</v>
      </c>
      <c r="C47256" s="6">
        <v>21600</v>
      </c>
      <c r="D47256" s="7">
        <v>0.15</v>
      </c>
    </row>
    <row r="47257" spans="1:4" x14ac:dyDescent="0.25">
      <c r="A47257" t="str">
        <f>HYPERLINK("https://www.773grp.com/globalSearch/HZ1C3-E/page-1", "HZ1C3-E")</f>
        <v>HZ1C3-E</v>
      </c>
      <c r="B47257" s="3" t="str">
        <f>HYPERLINK("https://www.773grp.com/manufacturer/renesas-electronics-america-inc?pageNo=114", "Renesas Electronics")</f>
        <v>Renesas Electronics</v>
      </c>
      <c r="C47257" s="6">
        <v>20000</v>
      </c>
      <c r="D47257" s="7">
        <v>0.15</v>
      </c>
    </row>
    <row r="47258" spans="1:4" x14ac:dyDescent="0.25">
      <c r="A47258" t="str">
        <f>HYPERLINK("https://www.773grp.com/globalSearch/HZ20-3TA-E/page-1", "HZ20-3TA-E")</f>
        <v>HZ20-3TA-E</v>
      </c>
      <c r="B47258" s="3" t="str">
        <f>HYPERLINK("https://www.773grp.com/manufacturer/renesas-electronics-america-inc?pageNo=115", "Renesas Electronics")</f>
        <v>Renesas Electronics</v>
      </c>
      <c r="C47258" s="6">
        <v>20000</v>
      </c>
      <c r="D47258" s="7">
        <v>0.15</v>
      </c>
    </row>
    <row r="47259" spans="1:4" x14ac:dyDescent="0.25">
      <c r="A47259" t="str">
        <f>HYPERLINK("https://www.773grp.com/globalSearch/HZ22-2TD-E/page-1", "HZ22-2TD-E")</f>
        <v>HZ22-2TD-E</v>
      </c>
      <c r="B47259" s="3" t="str">
        <f>HYPERLINK("https://www.773grp.com/manufacturer/renesas-electronics-america-inc?pageNo=116", "Renesas Electronics")</f>
        <v>Renesas Electronics</v>
      </c>
      <c r="C47259" s="6">
        <v>27500</v>
      </c>
      <c r="D47259" s="7">
        <v>0.15</v>
      </c>
    </row>
    <row r="47260" spans="1:4" x14ac:dyDescent="0.25">
      <c r="A47260" t="str">
        <f>HYPERLINK("https://www.773grp.com/globalSearch/HZ22-3TA-E/page-1", "HZ22-3TA-E")</f>
        <v>HZ22-3TA-E</v>
      </c>
      <c r="B47260" s="3" t="str">
        <f>HYPERLINK("https://www.773grp.com/manufacturer/renesas-electronics-america-inc?pageNo=117", "Renesas Electronics")</f>
        <v>Renesas Electronics</v>
      </c>
      <c r="C47260" s="6">
        <v>20000</v>
      </c>
      <c r="D47260" s="7">
        <v>0.15</v>
      </c>
    </row>
    <row r="47261" spans="1:4" x14ac:dyDescent="0.25">
      <c r="A47261" t="str">
        <f>HYPERLINK("https://www.773grp.com/globalSearch/HZ24-2TA-E/page-1", "HZ24-2TA-E")</f>
        <v>HZ24-2TA-E</v>
      </c>
      <c r="B47261" s="3" t="str">
        <f>HYPERLINK("https://www.773grp.com/manufacturer/renesas-electronics-america-inc?pageNo=118", "Renesas Electronics")</f>
        <v>Renesas Electronics</v>
      </c>
      <c r="C47261" s="6">
        <v>25000</v>
      </c>
      <c r="D47261" s="7">
        <v>0.15</v>
      </c>
    </row>
    <row r="47262" spans="1:4" x14ac:dyDescent="0.25">
      <c r="A47262" t="str">
        <f>HYPERLINK("https://www.773grp.com/globalSearch/HZ27-3TD-P-E/page-1", "HZ27-3TD-P-E")</f>
        <v>HZ27-3TD-P-E</v>
      </c>
      <c r="B47262" s="3" t="str">
        <f>HYPERLINK("https://www.773grp.com/manufacturer/renesas-electronics-america-inc?pageNo=119", "Renesas Electronics")</f>
        <v>Renesas Electronics</v>
      </c>
      <c r="C47262" s="6">
        <v>35000</v>
      </c>
      <c r="D47262" s="7">
        <v>0.15</v>
      </c>
    </row>
    <row r="47263" spans="1:4" x14ac:dyDescent="0.25">
      <c r="A47263" t="str">
        <f>HYPERLINK("https://www.773grp.com/globalSearch/HZ2A3TD-E/page-1", "HZ2A3TD-E")</f>
        <v>HZ2A3TD-E</v>
      </c>
      <c r="B47263" s="3" t="str">
        <f>HYPERLINK("https://www.773grp.com/manufacturer/renesas-electronics-america-inc?pageNo=120", "Renesas Electronics")</f>
        <v>Renesas Electronics</v>
      </c>
      <c r="C47263" s="6">
        <v>25000</v>
      </c>
      <c r="D47263" s="7">
        <v>0.15</v>
      </c>
    </row>
    <row r="47264" spans="1:4" x14ac:dyDescent="0.25">
      <c r="A47264" t="str">
        <f>HYPERLINK("https://www.773grp.com/globalSearch/HZ2C1RE-E/page-1", "HZ2C1RE-E")</f>
        <v>HZ2C1RE-E</v>
      </c>
      <c r="B47264" s="3" t="str">
        <f>HYPERLINK("https://www.773grp.com/manufacturer/renesas-electronics-america-inc?pageNo=121", "Renesas Electronics")</f>
        <v>Renesas Electronics</v>
      </c>
      <c r="C47264" s="6">
        <v>12000</v>
      </c>
      <c r="D47264" s="7">
        <v>0.15</v>
      </c>
    </row>
    <row r="47265" spans="1:4" x14ac:dyDescent="0.25">
      <c r="A47265" t="str">
        <f>HYPERLINK("https://www.773grp.com/globalSearch/HZ2C3TA-E/page-1", "HZ2C3TA-E")</f>
        <v>HZ2C3TA-E</v>
      </c>
      <c r="B47265" s="3" t="str">
        <f>HYPERLINK("https://www.773grp.com/manufacturer/renesas-electronics-america-inc?pageNo=122", "Renesas Electronics")</f>
        <v>Renesas Electronics</v>
      </c>
      <c r="C47265" s="6">
        <v>15000</v>
      </c>
      <c r="D47265" s="7">
        <v>0.15</v>
      </c>
    </row>
    <row r="47266" spans="1:4" x14ac:dyDescent="0.25">
      <c r="A47266" t="str">
        <f>HYPERLINK("https://www.773grp.com/globalSearch/HZ30-1RE-E/page-1", "HZ30-1RE-E")</f>
        <v>HZ30-1RE-E</v>
      </c>
      <c r="B47266" s="3" t="str">
        <f>HYPERLINK("https://www.773grp.com/manufacturer/renesas-electronics-america-inc?pageNo=123", "Renesas Electronics")</f>
        <v>Renesas Electronics</v>
      </c>
      <c r="C47266" s="6">
        <v>24000</v>
      </c>
      <c r="D47266" s="7">
        <v>0.15</v>
      </c>
    </row>
    <row r="47267" spans="1:4" x14ac:dyDescent="0.25">
      <c r="A47267" t="str">
        <f>HYPERLINK("https://www.773grp.com/globalSearch/HZ30-1TA-P-E/page-1", "HZ30-1TA-P-E")</f>
        <v>HZ30-1TA-P-E</v>
      </c>
      <c r="B47267" s="3" t="str">
        <f>HYPERLINK("https://www.773grp.com/manufacturer/renesas-electronics-america-inc?pageNo=124", "Renesas Electronics")</f>
        <v>Renesas Electronics</v>
      </c>
      <c r="C47267" s="6">
        <v>15000</v>
      </c>
      <c r="D47267" s="7">
        <v>0.15</v>
      </c>
    </row>
    <row r="47268" spans="1:4" x14ac:dyDescent="0.25">
      <c r="A47268" t="str">
        <f>HYPERLINK("https://www.773grp.com/globalSearch/HZ33-1TD-E/page-1", "HZ33-1TD-E")</f>
        <v>HZ33-1TD-E</v>
      </c>
      <c r="B47268" s="3" t="str">
        <f>HYPERLINK("https://www.773grp.com/manufacturer/renesas-electronics-america-inc?pageNo=125", "Renesas Electronics")</f>
        <v>Renesas Electronics</v>
      </c>
      <c r="C47268" s="6">
        <v>12500</v>
      </c>
      <c r="D47268" s="7">
        <v>0.15</v>
      </c>
    </row>
    <row r="47269" spans="1:4" x14ac:dyDescent="0.25">
      <c r="A47269" t="str">
        <f>HYPERLINK("https://www.773grp.com/globalSearch/HZ33-3RE-E/page-1", "HZ33-3RE-E")</f>
        <v>HZ33-3RE-E</v>
      </c>
      <c r="B47269" s="3" t="str">
        <f>HYPERLINK("https://www.773grp.com/manufacturer/renesas-electronics-america-inc?pageNo=126", "Renesas Electronics")</f>
        <v>Renesas Electronics</v>
      </c>
      <c r="C47269" s="6">
        <v>24000</v>
      </c>
      <c r="D47269" s="7">
        <v>0.15</v>
      </c>
    </row>
    <row r="47270" spans="1:4" x14ac:dyDescent="0.25">
      <c r="A47270" t="str">
        <f>HYPERLINK("https://www.773grp.com/globalSearch/HZ33-3TA-E/page-1", "HZ33-3TA-E")</f>
        <v>HZ33-3TA-E</v>
      </c>
      <c r="B47270" s="3" t="str">
        <f>HYPERLINK("https://www.773grp.com/manufacturer/renesas-electronics-america-inc?pageNo=127", "Renesas Electronics")</f>
        <v>Renesas Electronics</v>
      </c>
      <c r="C47270" s="6">
        <v>20000</v>
      </c>
      <c r="D47270" s="7">
        <v>0.15</v>
      </c>
    </row>
    <row r="47271" spans="1:4" x14ac:dyDescent="0.25">
      <c r="A47271" t="str">
        <f>HYPERLINK("https://www.773grp.com/globalSearch/HZ3A1RE-E/page-1", "HZ3A1RE-E")</f>
        <v>HZ3A1RE-E</v>
      </c>
      <c r="B47271" s="3" t="str">
        <f>HYPERLINK("https://www.773grp.com/manufacturer/renesas-electronics-america-inc?pageNo=128", "Renesas Electronics")</f>
        <v>Renesas Electronics</v>
      </c>
      <c r="C47271" s="6">
        <v>16000</v>
      </c>
      <c r="D47271" s="7">
        <v>0.15</v>
      </c>
    </row>
    <row r="47272" spans="1:4" x14ac:dyDescent="0.25">
      <c r="A47272" t="str">
        <f>HYPERLINK("https://www.773grp.com/globalSearch/HZ3B1RE-E/page-1", "HZ3B1RE-E")</f>
        <v>HZ3B1RE-E</v>
      </c>
      <c r="B47272" s="3" t="str">
        <f>HYPERLINK("https://www.773grp.com/manufacturer/renesas-electronics-america-inc?pageNo=129", "Renesas Electronics")</f>
        <v>Renesas Electronics</v>
      </c>
      <c r="C47272" s="6">
        <v>24000</v>
      </c>
      <c r="D47272" s="7">
        <v>0.15</v>
      </c>
    </row>
    <row r="47273" spans="1:4" x14ac:dyDescent="0.25">
      <c r="A47273" t="str">
        <f>HYPERLINK("https://www.773grp.com/globalSearch/HZ3C2RE-E/page-1", "HZ3C2RE-E")</f>
        <v>HZ3C2RE-E</v>
      </c>
      <c r="B47273" s="3" t="str">
        <f>HYPERLINK("https://www.773grp.com/manufacturer/renesas-electronics-america-inc?pageNo=130", "Renesas Electronics")</f>
        <v>Renesas Electronics</v>
      </c>
      <c r="C47273" s="6">
        <v>16000</v>
      </c>
      <c r="D47273" s="7">
        <v>0.15</v>
      </c>
    </row>
    <row r="47274" spans="1:4" x14ac:dyDescent="0.25">
      <c r="A47274" t="str">
        <f>HYPERLINK("https://www.773grp.com/globalSearch/HZ4A2RE-E/page-1", "HZ4A2RE-E")</f>
        <v>HZ4A2RE-E</v>
      </c>
      <c r="B47274" s="3" t="str">
        <f>HYPERLINK("https://www.773grp.com/manufacturer/renesas-electronics-america-inc?pageNo=131", "Renesas Electronics")</f>
        <v>Renesas Electronics</v>
      </c>
      <c r="C47274" s="6">
        <v>16000</v>
      </c>
      <c r="D47274" s="7">
        <v>0.15</v>
      </c>
    </row>
    <row r="47275" spans="1:4" x14ac:dyDescent="0.25">
      <c r="A47275" t="str">
        <f>HYPERLINK("https://www.773grp.com/globalSearch/HZ4B3RE-E/page-1", "HZ4B3RE-E")</f>
        <v>HZ4B3RE-E</v>
      </c>
      <c r="B47275" s="3" t="str">
        <f>HYPERLINK("https://www.773grp.com/manufacturer/renesas-electronics-america-inc?pageNo=132", "Renesas Electronics")</f>
        <v>Renesas Electronics</v>
      </c>
      <c r="C47275" s="6">
        <v>16000</v>
      </c>
      <c r="D47275" s="7">
        <v>0.15</v>
      </c>
    </row>
    <row r="47276" spans="1:4" x14ac:dyDescent="0.25">
      <c r="A47276" t="str">
        <f>HYPERLINK("https://www.773grp.com/globalSearch/HZ4C1TA-E/page-1", "HZ4C1TA-E")</f>
        <v>HZ4C1TA-E</v>
      </c>
      <c r="B47276" s="3" t="str">
        <f>HYPERLINK("https://www.773grp.com/manufacturer/renesas-electronics-america-inc?pageNo=133", "Renesas Electronics")</f>
        <v>Renesas Electronics</v>
      </c>
      <c r="C47276" s="6">
        <v>15000</v>
      </c>
      <c r="D47276" s="7">
        <v>0.15</v>
      </c>
    </row>
    <row r="47277" spans="1:4" x14ac:dyDescent="0.25">
      <c r="A47277" t="str">
        <f>HYPERLINK("https://www.773grp.com/globalSearch/HZ4C2RE-E/page-1", "HZ4C2RE-E")</f>
        <v>HZ4C2RE-E</v>
      </c>
      <c r="B47277" s="3" t="str">
        <f>HYPERLINK("https://www.773grp.com/manufacturer/renesas-electronics-america-inc?pageNo=134", "Renesas Electronics")</f>
        <v>Renesas Electronics</v>
      </c>
      <c r="C47277" s="6">
        <v>16000</v>
      </c>
      <c r="D47277" s="7">
        <v>0.15</v>
      </c>
    </row>
    <row r="47278" spans="1:4" x14ac:dyDescent="0.25">
      <c r="A47278" t="str">
        <f>HYPERLINK("https://www.773grp.com/globalSearch/HZ4C3RE-E/page-1", "HZ4C3RE-E")</f>
        <v>HZ4C3RE-E</v>
      </c>
      <c r="B47278" s="3" t="str">
        <f>HYPERLINK("https://www.773grp.com/manufacturer/renesas-electronics-america-inc?pageNo=135", "Renesas Electronics")</f>
        <v>Renesas Electronics</v>
      </c>
      <c r="C47278" s="6">
        <v>22000</v>
      </c>
      <c r="D47278" s="7">
        <v>0.15</v>
      </c>
    </row>
    <row r="47279" spans="1:4" x14ac:dyDescent="0.25">
      <c r="A47279" t="str">
        <f>HYPERLINK("https://www.773grp.com/globalSearch/HZ5B1RE-E/page-1", "HZ5B1RE-E")</f>
        <v>HZ5B1RE-E</v>
      </c>
      <c r="B47279" s="3" t="str">
        <f>HYPERLINK("https://www.773grp.com/manufacturer/renesas-electronics-america-inc?pageNo=136", "Renesas Electronics")</f>
        <v>Renesas Electronics</v>
      </c>
      <c r="C47279" s="6">
        <v>14750</v>
      </c>
      <c r="D47279" s="7">
        <v>0.15</v>
      </c>
    </row>
    <row r="47280" spans="1:4" x14ac:dyDescent="0.25">
      <c r="A47280" t="str">
        <f>HYPERLINK("https://www.773grp.com/globalSearch/HZ5B1TA-E/page-1", "HZ5B1TA-E")</f>
        <v>HZ5B1TA-E</v>
      </c>
      <c r="B47280" s="3" t="str">
        <f>HYPERLINK("https://www.773grp.com/manufacturer/renesas-electronics-america-inc?pageNo=137", "Renesas Electronics")</f>
        <v>Renesas Electronics</v>
      </c>
      <c r="C47280" s="6">
        <v>3750</v>
      </c>
      <c r="D47280" s="7">
        <v>0.15</v>
      </c>
    </row>
    <row r="47281" spans="1:4" x14ac:dyDescent="0.25">
      <c r="A47281" t="str">
        <f>HYPERLINK("https://www.773grp.com/globalSearch/HZ5C1RE-E/page-1", "HZ5C1RE-E")</f>
        <v>HZ5C1RE-E</v>
      </c>
      <c r="B47281" s="3" t="str">
        <f>HYPERLINK("https://www.773grp.com/manufacturer/renesas-electronics-america-inc?pageNo=138", "Renesas Electronics")</f>
        <v>Renesas Electronics</v>
      </c>
      <c r="C47281" s="6">
        <v>8000</v>
      </c>
      <c r="D47281" s="7">
        <v>0.15</v>
      </c>
    </row>
    <row r="47282" spans="1:4" x14ac:dyDescent="0.25">
      <c r="A47282" t="str">
        <f>HYPERLINK("https://www.773grp.com/globalSearch/HZ5C1TD/page-1", "HZ5C1TD")</f>
        <v>HZ5C1TD</v>
      </c>
      <c r="B47282" s="3" t="str">
        <f>HYPERLINK("https://www.773grp.com/manufacturer/renesas-electronics-america-inc?pageNo=139", "Renesas Electronics")</f>
        <v>Renesas Electronics</v>
      </c>
      <c r="C47282" s="6">
        <v>16000</v>
      </c>
      <c r="D47282" s="7">
        <v>0.15</v>
      </c>
    </row>
    <row r="47283" spans="1:4" x14ac:dyDescent="0.25">
      <c r="A47283" t="str">
        <f>HYPERLINK("https://www.773grp.com/globalSearch/HZ6B2RE-E/page-1", "HZ6B2RE-E")</f>
        <v>HZ6B2RE-E</v>
      </c>
      <c r="B47283" s="3" t="str">
        <f>HYPERLINK("https://www.773grp.com/manufacturer/renesas-electronics-america-inc?pageNo=140", "Renesas Electronics")</f>
        <v>Renesas Electronics</v>
      </c>
      <c r="C47283" s="6">
        <v>20000</v>
      </c>
      <c r="D47283" s="7">
        <v>0.15</v>
      </c>
    </row>
    <row r="47284" spans="1:4" x14ac:dyDescent="0.25">
      <c r="A47284" t="str">
        <f>HYPERLINK("https://www.773grp.com/globalSearch/HZ6C2RE-E/page-1", "HZ6C2RE-E")</f>
        <v>HZ6C2RE-E</v>
      </c>
      <c r="B47284" s="3" t="str">
        <f>HYPERLINK("https://www.773grp.com/manufacturer/renesas-electronics-america-inc?pageNo=141", "Renesas Electronics")</f>
        <v>Renesas Electronics</v>
      </c>
      <c r="C47284" s="6">
        <v>8250</v>
      </c>
      <c r="D47284" s="7">
        <v>0.15</v>
      </c>
    </row>
    <row r="47285" spans="1:4" x14ac:dyDescent="0.25">
      <c r="A47285" t="str">
        <f>HYPERLINK("https://www.773grp.com/globalSearch/HZ6C3RE-E/page-1", "HZ6C3RE-E")</f>
        <v>HZ6C3RE-E</v>
      </c>
      <c r="B47285" s="3" t="str">
        <f>HYPERLINK("https://www.773grp.com/manufacturer/renesas-electronics-america-inc?pageNo=142", "Renesas Electronics")</f>
        <v>Renesas Electronics</v>
      </c>
      <c r="C47285" s="6">
        <v>20000</v>
      </c>
      <c r="D47285" s="7">
        <v>0.15</v>
      </c>
    </row>
    <row r="47286" spans="1:4" x14ac:dyDescent="0.25">
      <c r="A47286" t="str">
        <f>HYPERLINK("https://www.773grp.com/globalSearch/HZ7A3RE-E/page-1", "HZ7A3RE-E")</f>
        <v>HZ7A3RE-E</v>
      </c>
      <c r="B47286" s="3" t="str">
        <f>HYPERLINK("https://www.773grp.com/manufacturer/renesas-electronics-america-inc?pageNo=143", "Renesas Electronics")</f>
        <v>Renesas Electronics</v>
      </c>
      <c r="C47286" s="6">
        <v>28000</v>
      </c>
      <c r="D47286" s="7">
        <v>0.15</v>
      </c>
    </row>
    <row r="47287" spans="1:4" x14ac:dyDescent="0.25">
      <c r="A47287" t="str">
        <f>HYPERLINK("https://www.773grp.com/globalSearch/HZ7B1RE-E/page-1", "HZ7B1RE-E")</f>
        <v>HZ7B1RE-E</v>
      </c>
      <c r="B47287" s="3" t="str">
        <f>HYPERLINK("https://www.773grp.com/manufacturer/renesas-electronics-america-inc?pageNo=144", "Renesas Electronics")</f>
        <v>Renesas Electronics</v>
      </c>
      <c r="C47287" s="6">
        <v>12000</v>
      </c>
      <c r="D47287" s="7">
        <v>0.15</v>
      </c>
    </row>
    <row r="47288" spans="1:4" x14ac:dyDescent="0.25">
      <c r="A47288" t="str">
        <f>HYPERLINK("https://www.773grp.com/globalSearch/HZ7B3RE-E/page-1", "HZ7B3RE-E")</f>
        <v>HZ7B3RE-E</v>
      </c>
      <c r="B47288" s="3" t="str">
        <f>HYPERLINK("https://www.773grp.com/manufacturer/renesas-electronics-america-inc?pageNo=145", "Renesas Electronics")</f>
        <v>Renesas Electronics</v>
      </c>
      <c r="C47288" s="6">
        <v>16000</v>
      </c>
      <c r="D47288" s="7">
        <v>0.15</v>
      </c>
    </row>
    <row r="47289" spans="1:4" x14ac:dyDescent="0.25">
      <c r="A47289" t="str">
        <f>HYPERLINK("https://www.773grp.com/globalSearch/HZ7B3TA-E/page-1", "HZ7B3TA-E")</f>
        <v>HZ7B3TA-E</v>
      </c>
      <c r="B47289" s="3" t="str">
        <f>HYPERLINK("https://www.773grp.com/manufacturer/renesas-electronics-america-inc?pageNo=146", "Renesas Electronics")</f>
        <v>Renesas Electronics</v>
      </c>
      <c r="C47289" s="6">
        <v>10000</v>
      </c>
      <c r="D47289" s="7">
        <v>0.15</v>
      </c>
    </row>
    <row r="47290" spans="1:4" x14ac:dyDescent="0.25">
      <c r="A47290" t="str">
        <f>HYPERLINK("https://www.773grp.com/globalSearch/HZ9C3TD-E/page-1", "HZ9C3TD-E")</f>
        <v>HZ9C3TD-E</v>
      </c>
      <c r="B47290" s="3" t="str">
        <f>HYPERLINK("https://www.773grp.com/manufacturer/renesas-electronics-america-inc?pageNo=147", "Renesas Electronics")</f>
        <v>Renesas Electronics</v>
      </c>
      <c r="C47290" s="6">
        <v>5000</v>
      </c>
      <c r="D47290" s="7">
        <v>0.15</v>
      </c>
    </row>
    <row r="47291" spans="1:4" x14ac:dyDescent="0.25">
      <c r="A47291" t="str">
        <f>HYPERLINK("https://www.773grp.com/globalSearch/HZS10NB3TA-E/page-1", "HZS10NB3TA-E")</f>
        <v>HZS10NB3TA-E</v>
      </c>
      <c r="B47291" s="3" t="str">
        <f>HYPERLINK("https://www.773grp.com/manufacturer/renesas-electronics-america-inc?pageNo=148", "Renesas Electronics")</f>
        <v>Renesas Electronics</v>
      </c>
      <c r="C47291" s="6">
        <v>15000</v>
      </c>
      <c r="D47291" s="7">
        <v>0.15</v>
      </c>
    </row>
    <row r="47292" spans="1:4" x14ac:dyDescent="0.25">
      <c r="A47292" t="str">
        <f>HYPERLINK("https://www.773grp.com/globalSearch/HZS11B1LTA-E/page-1", "HZS11B1LTA-E")</f>
        <v>HZS11B1LTA-E</v>
      </c>
      <c r="B47292" s="3" t="str">
        <f>HYPERLINK("https://www.773grp.com/manufacturer/renesas-electronics-america-inc?pageNo=149", "Renesas Electronics")</f>
        <v>Renesas Electronics</v>
      </c>
      <c r="C47292" s="6">
        <v>35000</v>
      </c>
      <c r="D47292" s="7">
        <v>0.15</v>
      </c>
    </row>
    <row r="47293" spans="1:4" x14ac:dyDescent="0.25">
      <c r="A47293" t="str">
        <f>HYPERLINK("https://www.773grp.com/globalSearch/HZS11B2TA-E/page-1", "HZS11B2TA-E")</f>
        <v>HZS11B2TA-E</v>
      </c>
      <c r="B47293" s="3" t="str">
        <f>HYPERLINK("https://www.773grp.com/manufacturer/renesas-electronics-america-inc?pageNo=150", "Renesas Electronics")</f>
        <v>Renesas Electronics</v>
      </c>
      <c r="C47293" s="6">
        <v>25000</v>
      </c>
      <c r="D47293" s="7">
        <v>0.15</v>
      </c>
    </row>
    <row r="47294" spans="1:4" x14ac:dyDescent="0.25">
      <c r="A47294" t="str">
        <f>HYPERLINK("https://www.773grp.com/globalSearch/HZS11C1LTA-E/page-1", "HZS11C1LTA-E")</f>
        <v>HZS11C1LTA-E</v>
      </c>
      <c r="B47294" s="3" t="str">
        <f>HYPERLINK("https://www.773grp.com/manufacturer/renesas-electronics-america-inc?pageNo=151", "Renesas Electronics")</f>
        <v>Renesas Electronics</v>
      </c>
      <c r="C47294" s="6">
        <v>15000</v>
      </c>
      <c r="D47294" s="7">
        <v>0.15</v>
      </c>
    </row>
    <row r="47295" spans="1:4" x14ac:dyDescent="0.25">
      <c r="A47295" t="str">
        <f>HYPERLINK("https://www.773grp.com/globalSearch/HZS12A1LRX-E/page-1", "HZS12A1LRX-E")</f>
        <v>HZS12A1LRX-E</v>
      </c>
      <c r="B47295" s="3" t="str">
        <f>HYPERLINK("https://www.773grp.com/manufacturer/renesas-electronics-america-inc?pageNo=152", "Renesas Electronics")</f>
        <v>Renesas Electronics</v>
      </c>
      <c r="C47295" s="6">
        <v>12500</v>
      </c>
      <c r="D47295" s="7">
        <v>0.15</v>
      </c>
    </row>
    <row r="47296" spans="1:4" x14ac:dyDescent="0.25">
      <c r="A47296" t="str">
        <f>HYPERLINK("https://www.773grp.com/globalSearch/HZS12A1LTA-E/page-1", "HZS12A1LTA-E")</f>
        <v>HZS12A1LTA-E</v>
      </c>
      <c r="B47296" s="3" t="str">
        <f>HYPERLINK("https://www.773grp.com/manufacturer/renesas-electronics-america-inc?pageNo=153", "Renesas Electronics")</f>
        <v>Renesas Electronics</v>
      </c>
      <c r="C47296" s="6">
        <v>10000</v>
      </c>
      <c r="D47296" s="7">
        <v>0.15</v>
      </c>
    </row>
    <row r="47297" spans="1:4" x14ac:dyDescent="0.25">
      <c r="A47297" t="str">
        <f>HYPERLINK("https://www.773grp.com/globalSearch/HZS12A1TD-P-E/page-1", "HZS12A1TD-P-E")</f>
        <v>HZS12A1TD-P-E</v>
      </c>
      <c r="B47297" s="3" t="str">
        <f>HYPERLINK("https://www.773grp.com/manufacturer/renesas-electronics-america-inc?pageNo=154", "Renesas Electronics")</f>
        <v>Renesas Electronics</v>
      </c>
      <c r="C47297" s="6">
        <v>70000</v>
      </c>
      <c r="D47297" s="7">
        <v>0.15</v>
      </c>
    </row>
    <row r="47298" spans="1:4" x14ac:dyDescent="0.25">
      <c r="A47298" t="str">
        <f>HYPERLINK("https://www.773grp.com/globalSearch/HZS12A2LRX-E/page-1", "HZS12A2LRX-E")</f>
        <v>HZS12A2LRX-E</v>
      </c>
      <c r="B47298" s="3" t="str">
        <f>HYPERLINK("https://www.773grp.com/manufacturer/renesas-electronics-america-inc?pageNo=155", "Renesas Electronics")</f>
        <v>Renesas Electronics</v>
      </c>
      <c r="C47298" s="6">
        <v>17500</v>
      </c>
      <c r="D47298" s="7">
        <v>0.15</v>
      </c>
    </row>
    <row r="47299" spans="1:4" x14ac:dyDescent="0.25">
      <c r="A47299" t="str">
        <f>HYPERLINK("https://www.773grp.com/globalSearch/HZS12A2LTA-E/page-1", "HZS12A2LTA-E")</f>
        <v>HZS12A2LTA-E</v>
      </c>
      <c r="B47299" s="3" t="str">
        <f>HYPERLINK("https://www.773grp.com/manufacturer/renesas-electronics-america-inc?pageNo=156", "Renesas Electronics")</f>
        <v>Renesas Electronics</v>
      </c>
      <c r="C47299" s="6">
        <v>20000</v>
      </c>
      <c r="D47299" s="7">
        <v>0.15</v>
      </c>
    </row>
    <row r="47300" spans="1:4" x14ac:dyDescent="0.25">
      <c r="A47300" t="str">
        <f>HYPERLINK("https://www.773grp.com/globalSearch/HZS12B1LTA-E/page-1", "HZS12B1LTA-E")</f>
        <v>HZS12B1LTA-E</v>
      </c>
      <c r="B47300" s="3" t="str">
        <f>HYPERLINK("https://www.773grp.com/manufacturer/renesas-electronics-america-inc?pageNo=157", "Renesas Electronics")</f>
        <v>Renesas Electronics</v>
      </c>
      <c r="C47300" s="6">
        <v>25000</v>
      </c>
      <c r="D47300" s="7">
        <v>0.15</v>
      </c>
    </row>
    <row r="47301" spans="1:4" x14ac:dyDescent="0.25">
      <c r="A47301" t="str">
        <f>HYPERLINK("https://www.773grp.com/globalSearch/HZS12B1TD-E/page-1", "HZS12B1TD-E")</f>
        <v>HZS12B1TD-E</v>
      </c>
      <c r="B47301" s="3" t="str">
        <f>HYPERLINK("https://www.773grp.com/manufacturer/renesas-electronics-america-inc?pageNo=158", "Renesas Electronics")</f>
        <v>Renesas Electronics</v>
      </c>
      <c r="C47301" s="6">
        <v>42500</v>
      </c>
      <c r="D47301" s="7">
        <v>0.15</v>
      </c>
    </row>
    <row r="47302" spans="1:4" x14ac:dyDescent="0.25">
      <c r="A47302" t="str">
        <f>HYPERLINK("https://www.773grp.com/globalSearch/HZS12B2LTA-E/page-1", "HZS12B2LTA-E")</f>
        <v>HZS12B2LTA-E</v>
      </c>
      <c r="B47302" s="3" t="str">
        <f>HYPERLINK("https://www.773grp.com/manufacturer/renesas-electronics-america-inc?pageNo=159", "Renesas Electronics")</f>
        <v>Renesas Electronics</v>
      </c>
      <c r="C47302" s="6">
        <v>15000</v>
      </c>
      <c r="D47302" s="7">
        <v>0.15</v>
      </c>
    </row>
    <row r="47303" spans="1:4" x14ac:dyDescent="0.25">
      <c r="A47303" t="str">
        <f>HYPERLINK("https://www.773grp.com/globalSearch/HZS12C3LRX-E/page-1", "HZS12C3LRX-E")</f>
        <v>HZS12C3LRX-E</v>
      </c>
      <c r="B47303" s="3" t="str">
        <f>HYPERLINK("https://www.773grp.com/manufacturer/renesas-electronics-america-inc?pageNo=160", "Renesas Electronics")</f>
        <v>Renesas Electronics</v>
      </c>
      <c r="C47303" s="6">
        <v>7500</v>
      </c>
      <c r="D47303" s="7">
        <v>0.15</v>
      </c>
    </row>
    <row r="47304" spans="1:4" x14ac:dyDescent="0.25">
      <c r="A47304" t="str">
        <f>HYPERLINK("https://www.773grp.com/globalSearch/HZS12C3LTA-E/page-1", "HZS12C3LTA-E")</f>
        <v>HZS12C3LTA-E</v>
      </c>
      <c r="B47304" s="3" t="str">
        <f>HYPERLINK("https://www.773grp.com/manufacturer/renesas-electronics-america-inc?pageNo=161", "Renesas Electronics")</f>
        <v>Renesas Electronics</v>
      </c>
      <c r="C47304" s="6">
        <v>15000</v>
      </c>
      <c r="D47304" s="7">
        <v>0.15</v>
      </c>
    </row>
    <row r="47305" spans="1:4" x14ac:dyDescent="0.25">
      <c r="A47305" t="str">
        <f>HYPERLINK("https://www.773grp.com/globalSearch/HZS13NB2TD-P-E/page-1", "HZS13NB2TD-P-E")</f>
        <v>HZS13NB2TD-P-E</v>
      </c>
      <c r="B47305" s="3" t="str">
        <f>HYPERLINK("https://www.773grp.com/manufacturer/renesas-electronics-america-inc?pageNo=162", "Renesas Electronics")</f>
        <v>Renesas Electronics</v>
      </c>
      <c r="C47305" s="6">
        <v>40000</v>
      </c>
      <c r="D47305" s="7">
        <v>0.15</v>
      </c>
    </row>
    <row r="47306" spans="1:4" x14ac:dyDescent="0.25">
      <c r="A47306" t="str">
        <f>HYPERLINK("https://www.773grp.com/globalSearch/HZS15-3LTA-E/page-1", "HZS15-3LTA-E")</f>
        <v>HZS15-3LTA-E</v>
      </c>
      <c r="B47306" s="3" t="str">
        <f>HYPERLINK("https://www.773grp.com/manufacturer/renesas-electronics-america-inc?pageNo=163", "Renesas Electronics")</f>
        <v>Renesas Electronics</v>
      </c>
      <c r="C47306" s="6">
        <v>5000</v>
      </c>
      <c r="D47306" s="7">
        <v>0.15</v>
      </c>
    </row>
    <row r="47307" spans="1:4" x14ac:dyDescent="0.25">
      <c r="A47307" t="str">
        <f>HYPERLINK("https://www.773grp.com/globalSearch/HZS18-3LTA-E/page-1", "HZS18-3LTA-E")</f>
        <v>HZS18-3LTA-E</v>
      </c>
      <c r="B47307" s="3" t="str">
        <f>HYPERLINK("https://www.773grp.com/manufacturer/renesas-electronics-america-inc?pageNo=164", "Renesas Electronics")</f>
        <v>Renesas Electronics</v>
      </c>
      <c r="C47307" s="6">
        <v>10000</v>
      </c>
      <c r="D47307" s="7">
        <v>0.15</v>
      </c>
    </row>
    <row r="47308" spans="1:4" x14ac:dyDescent="0.25">
      <c r="A47308" t="str">
        <f>HYPERLINK("https://www.773grp.com/globalSearch/HZS18NB1TA-E/page-1", "HZS18NB1TA-E")</f>
        <v>HZS18NB1TA-E</v>
      </c>
      <c r="B47308" s="3" t="str">
        <f>HYPERLINK("https://www.773grp.com/manufacturer/renesas-electronics-america-inc?pageNo=165", "Renesas Electronics")</f>
        <v>Renesas Electronics</v>
      </c>
      <c r="C47308" s="6">
        <v>15000</v>
      </c>
      <c r="D47308" s="7">
        <v>0.15</v>
      </c>
    </row>
    <row r="47309" spans="1:4" x14ac:dyDescent="0.25">
      <c r="A47309" t="str">
        <f>HYPERLINK("https://www.773grp.com/globalSearch/HZS2.4NB1TD-E/page-1", "HZS2.4NB1TD-E")</f>
        <v>HZS2.4NB1TD-E</v>
      </c>
      <c r="B47309" s="3" t="str">
        <f>HYPERLINK("https://www.773grp.com/manufacturer/renesas-electronics-america-inc?pageNo=166", "Renesas Electronics")</f>
        <v>Renesas Electronics</v>
      </c>
      <c r="C47309" s="6">
        <v>7500</v>
      </c>
      <c r="D47309" s="7">
        <v>0.15</v>
      </c>
    </row>
    <row r="47310" spans="1:4" x14ac:dyDescent="0.25">
      <c r="A47310" t="str">
        <f>HYPERLINK("https://www.773grp.com/globalSearch/HZS20-3TD-E/page-1", "HZS20-3TD-E")</f>
        <v>HZS20-3TD-E</v>
      </c>
      <c r="B47310" s="3" t="str">
        <f>HYPERLINK("https://www.773grp.com/manufacturer/renesas-electronics-america-inc?pageNo=167", "Renesas Electronics")</f>
        <v>Renesas Electronics</v>
      </c>
      <c r="C47310" s="6">
        <v>10000</v>
      </c>
      <c r="D47310" s="7">
        <v>0.15</v>
      </c>
    </row>
    <row r="47311" spans="1:4" x14ac:dyDescent="0.25">
      <c r="A47311" t="str">
        <f>HYPERLINK("https://www.773grp.com/globalSearch/HZS20NB1TD-P-E/page-1", "HZS20NB1TD-P-E")</f>
        <v>HZS20NB1TD-P-E</v>
      </c>
      <c r="B47311" s="3" t="str">
        <f>HYPERLINK("https://www.773grp.com/manufacturer/renesas-electronics-america-inc?pageNo=168", "Renesas Electronics")</f>
        <v>Renesas Electronics</v>
      </c>
      <c r="C47311" s="6">
        <v>7500</v>
      </c>
      <c r="D47311" s="7">
        <v>0.15</v>
      </c>
    </row>
    <row r="47312" spans="1:4" x14ac:dyDescent="0.25">
      <c r="A47312" t="str">
        <f>HYPERLINK("https://www.773grp.com/globalSearch/HZS22-1LTA-E/page-1", "HZS22-1LTA-E")</f>
        <v>HZS22-1LTA-E</v>
      </c>
      <c r="B47312" s="3" t="str">
        <f>HYPERLINK("https://www.773grp.com/manufacturer/renesas-electronics-america-inc?pageNo=169", "Renesas Electronics")</f>
        <v>Renesas Electronics</v>
      </c>
      <c r="C47312" s="6">
        <v>20000</v>
      </c>
      <c r="D47312" s="7">
        <v>0.15</v>
      </c>
    </row>
    <row r="47313" spans="1:4" x14ac:dyDescent="0.25">
      <c r="A47313" t="str">
        <f>HYPERLINK("https://www.773grp.com/globalSearch/HZS22-1TD-E/page-1", "HZS22-1TD-E")</f>
        <v>HZS22-1TD-E</v>
      </c>
      <c r="B47313" s="3" t="str">
        <f>HYPERLINK("https://www.773grp.com/manufacturer/renesas-electronics-america-inc?pageNo=170", "Renesas Electronics")</f>
        <v>Renesas Electronics</v>
      </c>
      <c r="C47313" s="6">
        <v>37500</v>
      </c>
      <c r="D47313" s="7">
        <v>0.15</v>
      </c>
    </row>
    <row r="47314" spans="1:4" x14ac:dyDescent="0.25">
      <c r="A47314" t="str">
        <f>HYPERLINK("https://www.773grp.com/globalSearch/HZS22-3LTA-E/page-1", "HZS22-3LTA-E")</f>
        <v>HZS22-3LTA-E</v>
      </c>
      <c r="B47314" s="3" t="str">
        <f>HYPERLINK("https://www.773grp.com/manufacturer/renesas-electronics-america-inc?pageNo=171", "Renesas Electronics")</f>
        <v>Renesas Electronics</v>
      </c>
      <c r="C47314" s="6">
        <v>25000</v>
      </c>
      <c r="D47314" s="7">
        <v>0.15</v>
      </c>
    </row>
    <row r="47315" spans="1:4" x14ac:dyDescent="0.25">
      <c r="A47315" t="str">
        <f>HYPERLINK("https://www.773grp.com/globalSearch/HZS22NB4TD-E/page-1", "HZS22NB4TD-E")</f>
        <v>HZS22NB4TD-E</v>
      </c>
      <c r="B47315" s="3" t="str">
        <f>HYPERLINK("https://www.773grp.com/manufacturer/renesas-electronics-america-inc?pageNo=172", "Renesas Electronics")</f>
        <v>Renesas Electronics</v>
      </c>
      <c r="C47315" s="6">
        <v>20000</v>
      </c>
      <c r="D47315" s="7">
        <v>0.15</v>
      </c>
    </row>
    <row r="47316" spans="1:4" x14ac:dyDescent="0.25">
      <c r="A47316" t="str">
        <f>HYPERLINK("https://www.773grp.com/globalSearch/HZS24-2LTA-E/page-1", "HZS24-2LTA-E")</f>
        <v>HZS24-2LTA-E</v>
      </c>
      <c r="B47316" s="3" t="str">
        <f>HYPERLINK("https://www.773grp.com/manufacturer/renesas-electronics-america-inc?pageNo=173", "Renesas Electronics")</f>
        <v>Renesas Electronics</v>
      </c>
      <c r="C47316" s="6">
        <v>15000</v>
      </c>
      <c r="D47316" s="7">
        <v>0.15</v>
      </c>
    </row>
    <row r="47317" spans="1:4" x14ac:dyDescent="0.25">
      <c r="A47317" t="str">
        <f>HYPERLINK("https://www.773grp.com/globalSearch/HZS24-3LTA-E/page-1", "HZS24-3LTA-E")</f>
        <v>HZS24-3LTA-E</v>
      </c>
      <c r="B47317" s="3" t="str">
        <f>HYPERLINK("https://www.773grp.com/manufacturer/renesas-electronics-america-inc?pageNo=174", "Renesas Electronics")</f>
        <v>Renesas Electronics</v>
      </c>
      <c r="C47317" s="6">
        <v>20000</v>
      </c>
      <c r="D47317" s="7">
        <v>0.15</v>
      </c>
    </row>
    <row r="47318" spans="1:4" x14ac:dyDescent="0.25">
      <c r="A47318" t="str">
        <f>HYPERLINK("https://www.773grp.com/globalSearch/HZS24-3LTE-E/page-1", "HZS24-3LTE-E")</f>
        <v>HZS24-3LTE-E</v>
      </c>
      <c r="B47318" s="3" t="str">
        <f>HYPERLINK("https://www.773grp.com/manufacturer/renesas-electronics-america-inc?pageNo=175", "Renesas Electronics")</f>
        <v>Renesas Electronics</v>
      </c>
      <c r="C47318" s="6">
        <v>25000</v>
      </c>
      <c r="D47318" s="7">
        <v>0.15</v>
      </c>
    </row>
    <row r="47319" spans="1:4" x14ac:dyDescent="0.25">
      <c r="A47319" t="str">
        <f>HYPERLINK("https://www.773grp.com/globalSearch/HZS27-1LRX-E/page-1", "HZS27-1LRX-E")</f>
        <v>HZS27-1LRX-E</v>
      </c>
      <c r="B47319" s="3" t="str">
        <f>HYPERLINK("https://www.773grp.com/manufacturer/renesas-electronics-america-inc?pageNo=176", "Renesas Electronics")</f>
        <v>Renesas Electronics</v>
      </c>
      <c r="C47319" s="6">
        <v>12500</v>
      </c>
      <c r="D47319" s="7">
        <v>0.15</v>
      </c>
    </row>
    <row r="47320" spans="1:4" x14ac:dyDescent="0.25">
      <c r="A47320" t="str">
        <f>HYPERLINK("https://www.773grp.com/globalSearch/HZS27-3LRX-E/page-1", "HZS27-3LRX-E")</f>
        <v>HZS27-3LRX-E</v>
      </c>
      <c r="B47320" s="3" t="str">
        <f>HYPERLINK("https://www.773grp.com/manufacturer/renesas-electronics-america-inc?pageNo=177", "Renesas Electronics")</f>
        <v>Renesas Electronics</v>
      </c>
      <c r="C47320" s="6">
        <v>7500</v>
      </c>
      <c r="D47320" s="7">
        <v>0.15</v>
      </c>
    </row>
    <row r="47321" spans="1:4" x14ac:dyDescent="0.25">
      <c r="A47321" t="str">
        <f>HYPERLINK("https://www.773grp.com/globalSearch/HZS27NB2TD-P-E/page-1", "HZS27NB2TD-P-E")</f>
        <v>HZS27NB2TD-P-E</v>
      </c>
      <c r="B47321" s="3" t="str">
        <f>HYPERLINK("https://www.773grp.com/manufacturer/renesas-electronics-america-inc?pageNo=178", "Renesas Electronics")</f>
        <v>Renesas Electronics</v>
      </c>
      <c r="C47321" s="6">
        <v>15000</v>
      </c>
      <c r="D47321" s="7">
        <v>0.15</v>
      </c>
    </row>
    <row r="47322" spans="1:4" x14ac:dyDescent="0.25">
      <c r="A47322" t="str">
        <f>HYPERLINK("https://www.773grp.com/globalSearch/HZS2C2TA-E/page-1", "HZS2C2TA-E")</f>
        <v>HZS2C2TA-E</v>
      </c>
      <c r="B47322" s="3" t="str">
        <f>HYPERLINK("https://www.773grp.com/manufacturer/renesas-electronics-america-inc?pageNo=179", "Renesas Electronics")</f>
        <v>Renesas Electronics</v>
      </c>
      <c r="C47322" s="6">
        <v>5000</v>
      </c>
      <c r="D47322" s="7">
        <v>0.15</v>
      </c>
    </row>
    <row r="47323" spans="1:4" x14ac:dyDescent="0.25">
      <c r="A47323" t="str">
        <f>HYPERLINK("https://www.773grp.com/globalSearch/HZS2C3TA-E/page-1", "HZS2C3TA-E")</f>
        <v>HZS2C3TA-E</v>
      </c>
      <c r="B47323" s="3" t="str">
        <f>HYPERLINK("https://www.773grp.com/manufacturer/renesas-electronics-america-inc?pageNo=180", "Renesas Electronics")</f>
        <v>Renesas Electronics</v>
      </c>
      <c r="C47323" s="6">
        <v>10000</v>
      </c>
      <c r="D47323" s="7">
        <v>0.15</v>
      </c>
    </row>
    <row r="47324" spans="1:4" x14ac:dyDescent="0.25">
      <c r="A47324" t="str">
        <f>HYPERLINK("https://www.773grp.com/globalSearch/HZS3.3NB2TA-E/page-1", "HZS3.3NB2TA-E")</f>
        <v>HZS3.3NB2TA-E</v>
      </c>
      <c r="B47324" s="3" t="str">
        <f>HYPERLINK("https://www.773grp.com/manufacturer/renesas-electronics-america-inc?pageNo=181", "Renesas Electronics")</f>
        <v>Renesas Electronics</v>
      </c>
      <c r="C47324" s="6">
        <v>19250</v>
      </c>
      <c r="D47324" s="7">
        <v>0.15</v>
      </c>
    </row>
    <row r="47325" spans="1:4" x14ac:dyDescent="0.25">
      <c r="A47325" t="str">
        <f>HYPERLINK("https://www.773grp.com/globalSearch/HZS3.6NB1TA-E/page-1", "HZS3.6NB1TA-E")</f>
        <v>HZS3.6NB1TA-E</v>
      </c>
      <c r="B47325" s="3" t="str">
        <f>HYPERLINK("https://www.773grp.com/manufacturer/renesas-electronics-america-inc?pageNo=182", "Renesas Electronics")</f>
        <v>Renesas Electronics</v>
      </c>
      <c r="C47325" s="6">
        <v>30000</v>
      </c>
      <c r="D47325" s="7">
        <v>0.15</v>
      </c>
    </row>
    <row r="47326" spans="1:4" x14ac:dyDescent="0.25">
      <c r="A47326" t="str">
        <f>HYPERLINK("https://www.773grp.com/globalSearch/HZS30-1LTD-E/page-1", "HZS30-1LTD-E")</f>
        <v>HZS30-1LTD-E</v>
      </c>
      <c r="B47326" s="3" t="str">
        <f>HYPERLINK("https://www.773grp.com/manufacturer/renesas-electronics-america-inc?pageNo=183", "Renesas Electronics")</f>
        <v>Renesas Electronics</v>
      </c>
      <c r="C47326" s="6">
        <v>42500</v>
      </c>
      <c r="D47326" s="7">
        <v>0.15</v>
      </c>
    </row>
    <row r="47327" spans="1:4" x14ac:dyDescent="0.25">
      <c r="A47327" t="str">
        <f>HYPERLINK("https://www.773grp.com/globalSearch/HZS30-3LTD-E/page-1", "HZS30-3LTD-E")</f>
        <v>HZS30-3LTD-E</v>
      </c>
      <c r="B47327" s="3" t="str">
        <f>HYPERLINK("https://www.773grp.com/manufacturer/renesas-electronics-america-inc?pageNo=184", "Renesas Electronics")</f>
        <v>Renesas Electronics</v>
      </c>
      <c r="C47327" s="6">
        <v>20000</v>
      </c>
      <c r="D47327" s="7">
        <v>0.15</v>
      </c>
    </row>
    <row r="47328" spans="1:4" x14ac:dyDescent="0.25">
      <c r="A47328" t="str">
        <f>HYPERLINK("https://www.773grp.com/globalSearch/HZS30NB3TA-E/page-1", "HZS30NB3TA-E")</f>
        <v>HZS30NB3TA-E</v>
      </c>
      <c r="B47328" s="3" t="str">
        <f>HYPERLINK("https://www.773grp.com/manufacturer/renesas-electronics-america-inc?pageNo=185", "Renesas Electronics")</f>
        <v>Renesas Electronics</v>
      </c>
      <c r="C47328" s="6">
        <v>20000</v>
      </c>
      <c r="D47328" s="7">
        <v>0.15</v>
      </c>
    </row>
    <row r="47329" spans="1:4" x14ac:dyDescent="0.25">
      <c r="A47329" t="str">
        <f>HYPERLINK("https://www.773grp.com/globalSearch/HZS33-2LTD-E/page-1", "HZS33-2LTD-E")</f>
        <v>HZS33-2LTD-E</v>
      </c>
      <c r="B47329" s="3" t="str">
        <f>HYPERLINK("https://www.773grp.com/manufacturer/renesas-electronics-america-inc?pageNo=186", "Renesas Electronics")</f>
        <v>Renesas Electronics</v>
      </c>
      <c r="C47329" s="6">
        <v>17500</v>
      </c>
      <c r="D47329" s="7">
        <v>0.15</v>
      </c>
    </row>
    <row r="47330" spans="1:4" x14ac:dyDescent="0.25">
      <c r="A47330" t="str">
        <f>HYPERLINK("https://www.773grp.com/globalSearch/HZS33-3LTA-E/page-1", "HZS33-3LTA-E")</f>
        <v>HZS33-3LTA-E</v>
      </c>
      <c r="B47330" s="3" t="str">
        <f>HYPERLINK("https://www.773grp.com/manufacturer/renesas-electronics-america-inc?pageNo=187", "Renesas Electronics")</f>
        <v>Renesas Electronics</v>
      </c>
      <c r="C47330" s="6">
        <v>15000</v>
      </c>
      <c r="D47330" s="7">
        <v>0.15</v>
      </c>
    </row>
    <row r="47331" spans="1:4" x14ac:dyDescent="0.25">
      <c r="A47331" t="str">
        <f>HYPERLINK("https://www.773grp.com/globalSearch/HZS36-1LTD-E/page-1", "HZS36-1LTD-E")</f>
        <v>HZS36-1LTD-E</v>
      </c>
      <c r="B47331" s="3" t="str">
        <f>HYPERLINK("https://www.773grp.com/manufacturer/renesas-electronics-america-inc?pageNo=188", "Renesas Electronics")</f>
        <v>Renesas Electronics</v>
      </c>
      <c r="C47331" s="6">
        <v>12500</v>
      </c>
      <c r="D47331" s="7">
        <v>0.15</v>
      </c>
    </row>
    <row r="47332" spans="1:4" x14ac:dyDescent="0.25">
      <c r="A47332" t="str">
        <f>HYPERLINK("https://www.773grp.com/globalSearch/HZS36-2LRX-E/page-1", "HZS36-2LRX-E")</f>
        <v>HZS36-2LRX-E</v>
      </c>
      <c r="B47332" s="3" t="str">
        <f>HYPERLINK("https://www.773grp.com/manufacturer/renesas-electronics-america-inc?pageNo=189", "Renesas Electronics")</f>
        <v>Renesas Electronics</v>
      </c>
      <c r="C47332" s="6">
        <v>20000</v>
      </c>
      <c r="D47332" s="7">
        <v>0.15</v>
      </c>
    </row>
    <row r="47333" spans="1:4" x14ac:dyDescent="0.25">
      <c r="A47333" t="str">
        <f>HYPERLINK("https://www.773grp.com/globalSearch/HZS36-2LTA-E/page-1", "HZS36-2LTA-E")</f>
        <v>HZS36-2LTA-E</v>
      </c>
      <c r="B47333" s="3" t="str">
        <f>HYPERLINK("https://www.773grp.com/manufacturer/renesas-electronics-america-inc?pageNo=190", "Renesas Electronics")</f>
        <v>Renesas Electronics</v>
      </c>
      <c r="C47333" s="6">
        <v>5000</v>
      </c>
      <c r="D47333" s="7">
        <v>0.15</v>
      </c>
    </row>
    <row r="47334" spans="1:4" x14ac:dyDescent="0.25">
      <c r="A47334" t="str">
        <f>HYPERLINK("https://www.773grp.com/globalSearch/HZS36-2TA-E/page-1", "HZS36-2TA-E")</f>
        <v>HZS36-2TA-E</v>
      </c>
      <c r="B47334" s="3" t="str">
        <f>HYPERLINK("https://www.773grp.com/manufacturer/renesas-electronics-america-inc?pageNo=191", "Renesas Electronics")</f>
        <v>Renesas Electronics</v>
      </c>
      <c r="C47334" s="6">
        <v>5000</v>
      </c>
      <c r="D47334" s="7">
        <v>0.15</v>
      </c>
    </row>
    <row r="47335" spans="1:4" x14ac:dyDescent="0.25">
      <c r="A47335" t="str">
        <f>HYPERLINK("https://www.773grp.com/globalSearch/HZS36-3LTD-E/page-1", "HZS36-3LTD-E")</f>
        <v>HZS36-3LTD-E</v>
      </c>
      <c r="B47335" s="3" t="str">
        <f>HYPERLINK("https://www.773grp.com/manufacturer/renesas-electronics-america-inc?pageNo=192", "Renesas Electronics")</f>
        <v>Renesas Electronics</v>
      </c>
      <c r="C47335" s="6">
        <v>12500</v>
      </c>
      <c r="D47335" s="7">
        <v>0.15</v>
      </c>
    </row>
    <row r="47336" spans="1:4" x14ac:dyDescent="0.25">
      <c r="A47336" t="str">
        <f>HYPERLINK("https://www.773grp.com/globalSearch/HZS3A2TD-P-E/page-1", "HZS3A2TD-P-E")</f>
        <v>HZS3A2TD-P-E</v>
      </c>
      <c r="B47336" s="3" t="str">
        <f>HYPERLINK("https://www.773grp.com/manufacturer/renesas-electronics-america-inc?pageNo=193", "Renesas Electronics")</f>
        <v>Renesas Electronics</v>
      </c>
      <c r="C47336" s="6">
        <v>7500</v>
      </c>
      <c r="D47336" s="7">
        <v>0.15</v>
      </c>
    </row>
    <row r="47337" spans="1:4" x14ac:dyDescent="0.25">
      <c r="A47337" t="str">
        <f>HYPERLINK("https://www.773grp.com/globalSearch/HZS3C1TD-E/page-1", "HZS3C1TD-E")</f>
        <v>HZS3C1TD-E</v>
      </c>
      <c r="B47337" s="3" t="str">
        <f>HYPERLINK("https://www.773grp.com/manufacturer/renesas-electronics-america-inc?pageNo=194", "Renesas Electronics")</f>
        <v>Renesas Electronics</v>
      </c>
      <c r="C47337" s="6">
        <v>2500</v>
      </c>
      <c r="D47337" s="7">
        <v>0.15</v>
      </c>
    </row>
    <row r="47338" spans="1:4" x14ac:dyDescent="0.25">
      <c r="A47338" t="str">
        <f>HYPERLINK("https://www.773grp.com/globalSearch/HZS3C3TD-E/page-1", "HZS3C3TD-E")</f>
        <v>HZS3C3TD-E</v>
      </c>
      <c r="B47338" s="3" t="str">
        <f>HYPERLINK("https://www.773grp.com/manufacturer/renesas-electronics-america-inc?pageNo=195", "Renesas Electronics")</f>
        <v>Renesas Electronics</v>
      </c>
      <c r="C47338" s="6">
        <v>17500</v>
      </c>
      <c r="D47338" s="7">
        <v>0.15</v>
      </c>
    </row>
    <row r="47339" spans="1:4" x14ac:dyDescent="0.25">
      <c r="A47339" t="str">
        <f>HYPERLINK("https://www.773grp.com/globalSearch/HZS4.3NB2TA-E/page-1", "HZS4.3NB2TA-E")</f>
        <v>HZS4.3NB2TA-E</v>
      </c>
      <c r="B47339" s="3" t="str">
        <f>HYPERLINK("https://www.773grp.com/manufacturer/renesas-electronics-america-inc?pageNo=196", "Renesas Electronics")</f>
        <v>Renesas Electronics</v>
      </c>
      <c r="C47339" s="6">
        <v>5000</v>
      </c>
      <c r="D47339" s="7">
        <v>0.15</v>
      </c>
    </row>
    <row r="47340" spans="1:4" x14ac:dyDescent="0.25">
      <c r="A47340" t="str">
        <f>HYPERLINK("https://www.773grp.com/globalSearch/HZS4B1TA-E/page-1", "HZS4B1TA-E")</f>
        <v>HZS4B1TA-E</v>
      </c>
      <c r="B47340" s="3" t="str">
        <f>HYPERLINK("https://www.773grp.com/manufacturer/renesas-electronics-america-inc?pageNo=197", "Renesas Electronics")</f>
        <v>Renesas Electronics</v>
      </c>
      <c r="C47340" s="6">
        <v>5000</v>
      </c>
      <c r="D47340" s="7">
        <v>0.15</v>
      </c>
    </row>
    <row r="47341" spans="1:4" x14ac:dyDescent="0.25">
      <c r="A47341" t="str">
        <f>HYPERLINK("https://www.773grp.com/globalSearch/HZS4B1TD-E/page-1", "HZS4B1TD-E")</f>
        <v>HZS4B1TD-E</v>
      </c>
      <c r="B47341" s="3" t="str">
        <f>HYPERLINK("https://www.773grp.com/manufacturer/renesas-electronics-america-inc?pageNo=198", "Renesas Electronics")</f>
        <v>Renesas Electronics</v>
      </c>
      <c r="C47341" s="6">
        <v>20000</v>
      </c>
      <c r="D47341" s="7">
        <v>0.15</v>
      </c>
    </row>
    <row r="47342" spans="1:4" x14ac:dyDescent="0.25">
      <c r="A47342" t="str">
        <f>HYPERLINK("https://www.773grp.com/globalSearch/HZS4B2TA-E/page-1", "HZS4B2TA-E")</f>
        <v>HZS4B2TA-E</v>
      </c>
      <c r="B47342" s="3" t="str">
        <f>HYPERLINK("https://www.773grp.com/manufacturer/renesas-electronics-america-inc?pageNo=199", "Renesas Electronics")</f>
        <v>Renesas Electronics</v>
      </c>
      <c r="C47342" s="6">
        <v>5000</v>
      </c>
      <c r="D47342" s="7">
        <v>0.15</v>
      </c>
    </row>
    <row r="47343" spans="1:4" x14ac:dyDescent="0.25">
      <c r="A47343" t="str">
        <f>HYPERLINK("https://www.773grp.com/globalSearch/HZS4B3TA-E/page-1", "HZS4B3TA-E")</f>
        <v>HZS4B3TA-E</v>
      </c>
      <c r="B47343" s="3" t="str">
        <f>HYPERLINK("https://www.773grp.com/manufacturer/renesas-electronics-america-inc?pageNo=200", "Renesas Electronics")</f>
        <v>Renesas Electronics</v>
      </c>
      <c r="C47343" s="6">
        <v>35000</v>
      </c>
      <c r="D47343" s="7">
        <v>0.15</v>
      </c>
    </row>
    <row r="47344" spans="1:4" x14ac:dyDescent="0.25">
      <c r="A47344" t="str">
        <f>HYPERLINK("https://www.773grp.com/globalSearch/HZS4B3TD-E/page-1", "HZS4B3TD-E")</f>
        <v>HZS4B3TD-E</v>
      </c>
      <c r="B47344" s="3" t="str">
        <f>HYPERLINK("https://www.773grp.com/manufacturer/renesas-electronics-america-inc?pageNo=201", "Renesas Electronics")</f>
        <v>Renesas Electronics</v>
      </c>
      <c r="C47344" s="6">
        <v>5000</v>
      </c>
      <c r="D47344" s="7">
        <v>0.15</v>
      </c>
    </row>
    <row r="47345" spans="1:4" x14ac:dyDescent="0.25">
      <c r="A47345" t="str">
        <f>HYPERLINK("https://www.773grp.com/globalSearch/HZS4C1TA-E/page-1", "HZS4C1TA-E")</f>
        <v>HZS4C1TA-E</v>
      </c>
      <c r="B47345" s="3" t="str">
        <f>HYPERLINK("https://www.773grp.com/manufacturer/renesas-electronics-america-inc?pageNo=202", "Renesas Electronics")</f>
        <v>Renesas Electronics</v>
      </c>
      <c r="C47345" s="6">
        <v>35000</v>
      </c>
      <c r="D47345" s="7">
        <v>0.15</v>
      </c>
    </row>
    <row r="47346" spans="1:4" x14ac:dyDescent="0.25">
      <c r="A47346" t="str">
        <f>HYPERLINK("https://www.773grp.com/globalSearch/HZS5.6NB1TD-P-E/page-1", "HZS5.6NB1TD-P-E")</f>
        <v>HZS5.6NB1TD-P-E</v>
      </c>
      <c r="B47346" s="3" t="str">
        <f>HYPERLINK("https://www.773grp.com/manufacturer/renesas-electronics-america-inc?pageNo=203", "Renesas Electronics")</f>
        <v>Renesas Electronics</v>
      </c>
      <c r="C47346" s="6">
        <v>7500</v>
      </c>
      <c r="D47346" s="7">
        <v>0.15</v>
      </c>
    </row>
    <row r="47347" spans="1:4" x14ac:dyDescent="0.25">
      <c r="A47347" t="str">
        <f>HYPERLINK("https://www.773grp.com/globalSearch/HZS5A3RX-E/page-1", "HZS5A3RX-E")</f>
        <v>HZS5A3RX-E</v>
      </c>
      <c r="B47347" s="3" t="str">
        <f>HYPERLINK("https://www.773grp.com/manufacturer/renesas-electronics-america-inc?pageNo=204", "Renesas Electronics")</f>
        <v>Renesas Electronics</v>
      </c>
      <c r="C47347" s="6">
        <v>17500</v>
      </c>
      <c r="D47347" s="7">
        <v>0.15</v>
      </c>
    </row>
    <row r="47348" spans="1:4" x14ac:dyDescent="0.25">
      <c r="A47348" t="str">
        <f>HYPERLINK("https://www.773grp.com/globalSearch/HZS5C1TD-P-E/page-1", "HZS5C1TD-P-E")</f>
        <v>HZS5C1TD-P-E</v>
      </c>
      <c r="B47348" s="3" t="str">
        <f>HYPERLINK("https://www.773grp.com/manufacturer/renesas-electronics-america-inc?pageNo=205", "Renesas Electronics")</f>
        <v>Renesas Electronics</v>
      </c>
      <c r="C47348" s="6">
        <v>15000</v>
      </c>
      <c r="D47348" s="7">
        <v>0.15</v>
      </c>
    </row>
    <row r="47349" spans="1:4" x14ac:dyDescent="0.25">
      <c r="A47349" t="str">
        <f>HYPERLINK("https://www.773grp.com/globalSearch/HZS6.2NB2TD-P-E/page-1", "HZS6.2NB2TD-P-E")</f>
        <v>HZS6.2NB2TD-P-E</v>
      </c>
      <c r="B47349" s="3" t="str">
        <f>HYPERLINK("https://www.773grp.com/manufacturer/renesas-electronics-america-inc?pageNo=206", "Renesas Electronics")</f>
        <v>Renesas Electronics</v>
      </c>
      <c r="C47349" s="6">
        <v>7500</v>
      </c>
      <c r="D47349" s="7">
        <v>0.15</v>
      </c>
    </row>
    <row r="47350" spans="1:4" x14ac:dyDescent="0.25">
      <c r="A47350" t="str">
        <f>HYPERLINK("https://www.773grp.com/globalSearch/HZS6.2NB3TA-E/page-1", "HZS6.2NB3TA-E")</f>
        <v>HZS6.2NB3TA-E</v>
      </c>
      <c r="B47350" s="3" t="str">
        <f>HYPERLINK("https://www.773grp.com/manufacturer/renesas-electronics-america-inc?pageNo=207", "Renesas Electronics")</f>
        <v>Renesas Electronics</v>
      </c>
      <c r="C47350" s="6">
        <v>15000</v>
      </c>
      <c r="D47350" s="7">
        <v>0.15</v>
      </c>
    </row>
    <row r="47351" spans="1:4" x14ac:dyDescent="0.25">
      <c r="A47351" t="str">
        <f>HYPERLINK("https://www.773grp.com/globalSearch/HZS6B2LTA-E/page-1", "HZS6B2LTA-E")</f>
        <v>HZS6B2LTA-E</v>
      </c>
      <c r="B47351" s="3" t="str">
        <f>HYPERLINK("https://www.773grp.com/manufacturer/renesas-electronics-america-inc?pageNo=208", "Renesas Electronics")</f>
        <v>Renesas Electronics</v>
      </c>
      <c r="C47351" s="6">
        <v>60000</v>
      </c>
      <c r="D47351" s="7">
        <v>0.15</v>
      </c>
    </row>
    <row r="47352" spans="1:4" x14ac:dyDescent="0.25">
      <c r="A47352" t="str">
        <f>HYPERLINK("https://www.773grp.com/globalSearch/HZS6B2TA-E/page-1", "HZS6B2TA-E")</f>
        <v>HZS6B2TA-E</v>
      </c>
      <c r="B47352" s="3" t="str">
        <f>HYPERLINK("https://www.773grp.com/manufacturer/renesas-electronics-america-inc?pageNo=209", "Renesas Electronics")</f>
        <v>Renesas Electronics</v>
      </c>
      <c r="C47352" s="6">
        <v>5000</v>
      </c>
      <c r="D47352" s="7">
        <v>0.15</v>
      </c>
    </row>
    <row r="47353" spans="1:4" x14ac:dyDescent="0.25">
      <c r="A47353" t="str">
        <f>HYPERLINK("https://www.773grp.com/globalSearch/HZS6C1TA-E/page-1", "HZS6C1TA-E")</f>
        <v>HZS6C1TA-E</v>
      </c>
      <c r="B47353" s="3" t="str">
        <f>HYPERLINK("https://www.773grp.com/manufacturer/renesas-electronics-america-inc?pageNo=210", "Renesas Electronics")</f>
        <v>Renesas Electronics</v>
      </c>
      <c r="C47353" s="6">
        <v>5000</v>
      </c>
      <c r="D47353" s="7">
        <v>0.15</v>
      </c>
    </row>
    <row r="47354" spans="1:4" x14ac:dyDescent="0.25">
      <c r="A47354" t="str">
        <f>HYPERLINK("https://www.773grp.com/globalSearch/HZS6C2RX-E/page-1", "HZS6C2RX-E")</f>
        <v>HZS6C2RX-E</v>
      </c>
      <c r="B47354" s="3" t="str">
        <f>HYPERLINK("https://www.773grp.com/manufacturer/renesas-electronics-america-inc?pageNo=211", "Renesas Electronics")</f>
        <v>Renesas Electronics</v>
      </c>
      <c r="C47354" s="6">
        <v>5000</v>
      </c>
      <c r="D47354" s="7">
        <v>0.15</v>
      </c>
    </row>
    <row r="47355" spans="1:4" x14ac:dyDescent="0.25">
      <c r="A47355" t="str">
        <f>HYPERLINK("https://www.773grp.com/globalSearch/HZS6C2TA-E/page-1", "HZS6C2TA-E")</f>
        <v>HZS6C2TA-E</v>
      </c>
      <c r="B47355" s="3" t="str">
        <f>HYPERLINK("https://www.773grp.com/manufacturer/renesas-electronics-america-inc?pageNo=212", "Renesas Electronics")</f>
        <v>Renesas Electronics</v>
      </c>
      <c r="C47355" s="6">
        <v>15000</v>
      </c>
      <c r="D47355" s="7">
        <v>0.15</v>
      </c>
    </row>
    <row r="47356" spans="1:4" x14ac:dyDescent="0.25">
      <c r="A47356" t="str">
        <f>HYPERLINK("https://www.773grp.com/globalSearch/HZS7A1-1TD-E/page-1", "HZS7A1-1TD-E")</f>
        <v>HZS7A1-1TD-E</v>
      </c>
      <c r="B47356" s="3" t="str">
        <f>HYPERLINK("https://www.773grp.com/manufacturer/renesas-electronics-america-inc?pageNo=213", "Renesas Electronics")</f>
        <v>Renesas Electronics</v>
      </c>
      <c r="C47356" s="6">
        <v>2500</v>
      </c>
      <c r="D47356" s="7">
        <v>0.15</v>
      </c>
    </row>
    <row r="47357" spans="1:4" x14ac:dyDescent="0.25">
      <c r="A47357" t="str">
        <f>HYPERLINK("https://www.773grp.com/globalSearch/HZS7A1LRX-E/page-1", "HZS7A1LRX-E")</f>
        <v>HZS7A1LRX-E</v>
      </c>
      <c r="B47357" s="3" t="str">
        <f>HYPERLINK("https://www.773grp.com/manufacturer/renesas-electronics-america-inc?pageNo=214", "Renesas Electronics")</f>
        <v>Renesas Electronics</v>
      </c>
      <c r="C47357" s="6">
        <v>17500</v>
      </c>
      <c r="D47357" s="7">
        <v>0.15</v>
      </c>
    </row>
    <row r="47358" spans="1:4" x14ac:dyDescent="0.25">
      <c r="A47358" t="str">
        <f>HYPERLINK("https://www.773grp.com/globalSearch/HZS7A1LTA-E/page-1", "HZS7A1LTA-E")</f>
        <v>HZS7A1LTA-E</v>
      </c>
      <c r="B47358" s="3" t="str">
        <f>HYPERLINK("https://www.773grp.com/manufacturer/renesas-electronics-america-inc?pageNo=215", "Renesas Electronics")</f>
        <v>Renesas Electronics</v>
      </c>
      <c r="C47358" s="6">
        <v>20000</v>
      </c>
      <c r="D47358" s="7">
        <v>0.15</v>
      </c>
    </row>
    <row r="47359" spans="1:4" x14ac:dyDescent="0.25">
      <c r="A47359" t="str">
        <f>HYPERLINK("https://www.773grp.com/globalSearch/HZS7A3LRX-E/page-1", "HZS7A3LRX-E")</f>
        <v>HZS7A3LRX-E</v>
      </c>
      <c r="B47359" s="3" t="str">
        <f>HYPERLINK("https://www.773grp.com/manufacturer/renesas-electronics-america-inc?pageNo=216", "Renesas Electronics")</f>
        <v>Renesas Electronics</v>
      </c>
      <c r="C47359" s="6">
        <v>17500</v>
      </c>
      <c r="D47359" s="7">
        <v>0.15</v>
      </c>
    </row>
    <row r="47360" spans="1:4" x14ac:dyDescent="0.25">
      <c r="A47360" t="str">
        <f>HYPERLINK("https://www.773grp.com/globalSearch/HZS7B1TA-E/page-1", "HZS7B1TA-E")</f>
        <v>HZS7B1TA-E</v>
      </c>
      <c r="B47360" s="3" t="str">
        <f>HYPERLINK("https://www.773grp.com/manufacturer/renesas-electronics-america-inc?pageNo=217", "Renesas Electronics")</f>
        <v>Renesas Electronics</v>
      </c>
      <c r="C47360" s="6">
        <v>30000</v>
      </c>
      <c r="D47360" s="7">
        <v>0.15</v>
      </c>
    </row>
    <row r="47361" spans="1:4" x14ac:dyDescent="0.25">
      <c r="A47361" t="str">
        <f>HYPERLINK("https://www.773grp.com/globalSearch/HZS7B2L-E/page-1", "HZS7B2L-E")</f>
        <v>HZS7B2L-E</v>
      </c>
      <c r="B47361" s="3" t="str">
        <f>HYPERLINK("https://www.773grp.com/manufacturer/renesas-electronics-america-inc?pageNo=218", "Renesas Electronics")</f>
        <v>Renesas Electronics</v>
      </c>
      <c r="C47361" s="6">
        <v>6500</v>
      </c>
      <c r="D47361" s="7">
        <v>0.15</v>
      </c>
    </row>
    <row r="47362" spans="1:4" x14ac:dyDescent="0.25">
      <c r="A47362" t="str">
        <f>HYPERLINK("https://www.773grp.com/globalSearch/HZS7B3TA-E/page-1", "HZS7B3TA-E")</f>
        <v>HZS7B3TA-E</v>
      </c>
      <c r="B47362" s="3" t="str">
        <f>HYPERLINK("https://www.773grp.com/manufacturer/renesas-electronics-america-inc?pageNo=219", "Renesas Electronics")</f>
        <v>Renesas Electronics</v>
      </c>
      <c r="C47362" s="6">
        <v>15000</v>
      </c>
      <c r="D47362" s="7">
        <v>0.15</v>
      </c>
    </row>
    <row r="47363" spans="1:4" x14ac:dyDescent="0.25">
      <c r="A47363" t="str">
        <f>HYPERLINK("https://www.773grp.com/globalSearch/HZS7C1LRX-E/page-1", "HZS7C1LRX-E")</f>
        <v>HZS7C1LRX-E</v>
      </c>
      <c r="B47363" s="3" t="str">
        <f>HYPERLINK("https://www.773grp.com/manufacturer/renesas-electronics-america-inc?pageNo=220", "Renesas Electronics")</f>
        <v>Renesas Electronics</v>
      </c>
      <c r="C47363" s="6">
        <v>15000</v>
      </c>
      <c r="D47363" s="7">
        <v>0.15</v>
      </c>
    </row>
    <row r="47364" spans="1:4" x14ac:dyDescent="0.25">
      <c r="A47364" t="str">
        <f>HYPERLINK("https://www.773grp.com/globalSearch/HZS7C1LTA-E/page-1", "HZS7C1LTA-E")</f>
        <v>HZS7C1LTA-E</v>
      </c>
      <c r="B47364" s="3" t="str">
        <f>HYPERLINK("https://www.773grp.com/manufacturer/renesas-electronics-america-inc?pageNo=221", "Renesas Electronics")</f>
        <v>Renesas Electronics</v>
      </c>
      <c r="C47364" s="6">
        <v>5000</v>
      </c>
      <c r="D47364" s="7">
        <v>0.15</v>
      </c>
    </row>
    <row r="47365" spans="1:4" x14ac:dyDescent="0.25">
      <c r="A47365" t="str">
        <f>HYPERLINK("https://www.773grp.com/globalSearch/HZS7C2LTA-E/page-1", "HZS7C2LTA-E")</f>
        <v>HZS7C2LTA-E</v>
      </c>
      <c r="B47365" s="3" t="str">
        <f>HYPERLINK("https://www.773grp.com/manufacturer/renesas-electronics-america-inc?pageNo=222", "Renesas Electronics")</f>
        <v>Renesas Electronics</v>
      </c>
      <c r="C47365" s="6">
        <v>20000</v>
      </c>
      <c r="D47365" s="7">
        <v>0.15</v>
      </c>
    </row>
    <row r="47366" spans="1:4" x14ac:dyDescent="0.25">
      <c r="A47366" t="str">
        <f>HYPERLINK("https://www.773grp.com/globalSearch/HZS9A2LTA-E/page-1", "HZS9A2LTA-E")</f>
        <v>HZS9A2LTA-E</v>
      </c>
      <c r="B47366" s="3" t="str">
        <f>HYPERLINK("https://www.773grp.com/manufacturer/renesas-electronics-america-inc?pageNo=223", "Renesas Electronics")</f>
        <v>Renesas Electronics</v>
      </c>
      <c r="C47366" s="6">
        <v>38750</v>
      </c>
      <c r="D47366" s="7">
        <v>0.15</v>
      </c>
    </row>
    <row r="47367" spans="1:4" x14ac:dyDescent="0.25">
      <c r="A47367" t="str">
        <f>HYPERLINK("https://www.773grp.com/globalSearch/HZS9A3LRX-E/page-1", "HZS9A3LRX-E")</f>
        <v>HZS9A3LRX-E</v>
      </c>
      <c r="B47367" s="3" t="str">
        <f>HYPERLINK("https://www.773grp.com/manufacturer/renesas-electronics-america-inc?pageNo=224", "Renesas Electronics")</f>
        <v>Renesas Electronics</v>
      </c>
      <c r="C47367" s="6">
        <v>12500</v>
      </c>
      <c r="D47367" s="7">
        <v>0.15</v>
      </c>
    </row>
    <row r="47368" spans="1:4" x14ac:dyDescent="0.25">
      <c r="A47368" t="str">
        <f>HYPERLINK("https://www.773grp.com/globalSearch/HZS9B2LRX-E/page-1", "HZS9B2LRX-E")</f>
        <v>HZS9B2LRX-E</v>
      </c>
      <c r="B47368" s="3" t="str">
        <f>HYPERLINK("https://www.773grp.com/manufacturer/renesas-electronics-america-inc?pageNo=225", "Renesas Electronics")</f>
        <v>Renesas Electronics</v>
      </c>
      <c r="C47368" s="6">
        <v>20000</v>
      </c>
      <c r="D47368" s="7">
        <v>0.15</v>
      </c>
    </row>
    <row r="47369" spans="1:4" x14ac:dyDescent="0.25">
      <c r="A47369" t="str">
        <f>HYPERLINK("https://www.773grp.com/globalSearch/HZS9B2TA-E/page-1", "HZS9B2TA-E")</f>
        <v>HZS9B2TA-E</v>
      </c>
      <c r="B47369" s="3" t="str">
        <f>HYPERLINK("https://www.773grp.com/manufacturer/renesas-electronics-america-inc?pageNo=226", "Renesas Electronics")</f>
        <v>Renesas Electronics</v>
      </c>
      <c r="C47369" s="6">
        <v>15000</v>
      </c>
      <c r="D47369" s="7">
        <v>0.15</v>
      </c>
    </row>
    <row r="47370" spans="1:4" x14ac:dyDescent="0.25">
      <c r="A47370" t="str">
        <f>HYPERLINK("https://www.773grp.com/globalSearch/HZS9B3LTA-E/page-1", "HZS9B3LTA-E")</f>
        <v>HZS9B3LTA-E</v>
      </c>
      <c r="B47370" s="3" t="str">
        <f>HYPERLINK("https://www.773grp.com/manufacturer/renesas-electronics-america-inc?pageNo=227", "Renesas Electronics")</f>
        <v>Renesas Electronics</v>
      </c>
      <c r="C47370" s="6">
        <v>20000</v>
      </c>
      <c r="D47370" s="7">
        <v>0.15</v>
      </c>
    </row>
    <row r="47371" spans="1:4" x14ac:dyDescent="0.25">
      <c r="A47371" t="str">
        <f>HYPERLINK("https://www.773grp.com/globalSearch/HZS9B3TD-E/page-1", "HZS9B3TD-E")</f>
        <v>HZS9B3TD-E</v>
      </c>
      <c r="B47371" s="3" t="str">
        <f>HYPERLINK("https://www.773grp.com/manufacturer/renesas-electronics-america-inc?pageNo=228", "Renesas Electronics")</f>
        <v>Renesas Electronics</v>
      </c>
      <c r="C47371" s="6">
        <v>10000</v>
      </c>
      <c r="D47371" s="7">
        <v>0.15</v>
      </c>
    </row>
    <row r="47372" spans="1:4" x14ac:dyDescent="0.25">
      <c r="A47372" t="str">
        <f>HYPERLINK("https://www.773grp.com/globalSearch/NNCD5.1A-T1-AZ/page-1", "NNCD5.1A-T1-AZ")</f>
        <v>NNCD5.1A-T1-AZ</v>
      </c>
      <c r="B47372" s="3" t="str">
        <f>HYPERLINK("https://www.773grp.com/manufacturer/renesas-electronics-america-inc?pageNo=229", "Renesas Electronics")</f>
        <v>Renesas Electronics</v>
      </c>
      <c r="C47372" s="6">
        <v>6000</v>
      </c>
      <c r="D47372" s="7">
        <v>0.15</v>
      </c>
    </row>
    <row r="47373" spans="1:4" x14ac:dyDescent="0.25">
      <c r="A47373" t="str">
        <f>HYPERLINK("https://www.773grp.com/globalSearch/NNCD5.1B/page-1", "NNCD5.1B")</f>
        <v>NNCD5.1B</v>
      </c>
      <c r="B47373" s="3" t="str">
        <f>HYPERLINK("https://www.773grp.com/manufacturer/renesas-electronics-america-inc?pageNo=230", "Renesas Electronics")</f>
        <v>Renesas Electronics</v>
      </c>
      <c r="C47373" s="6">
        <v>2000</v>
      </c>
      <c r="D47373" s="7">
        <v>0.15</v>
      </c>
    </row>
    <row r="47374" spans="1:4" x14ac:dyDescent="0.25">
      <c r="A47374" t="str">
        <f>HYPERLINK("https://www.773grp.com/globalSearch/NNCD5.6A-AZ/page-1", "NNCD5.6A-AZ")</f>
        <v>NNCD5.6A-AZ</v>
      </c>
      <c r="B47374" s="3" t="str">
        <f>HYPERLINK("https://www.773grp.com/manufacturer/renesas-electronics-america-inc?pageNo=231", "Renesas Electronics")</f>
        <v>Renesas Electronics</v>
      </c>
      <c r="C47374" s="6">
        <v>1200</v>
      </c>
      <c r="D47374" s="7">
        <v>0.15</v>
      </c>
    </row>
    <row r="47375" spans="1:4" x14ac:dyDescent="0.25">
      <c r="A47375" t="str">
        <f>HYPERLINK("https://www.773grp.com/globalSearch/NNCD5.6B/page-1", "NNCD5.6B")</f>
        <v>NNCD5.6B</v>
      </c>
      <c r="B47375" s="3" t="str">
        <f>HYPERLINK("https://www.773grp.com/manufacturer/renesas-electronics-america-inc?pageNo=232", "Renesas Electronics")</f>
        <v>Renesas Electronics</v>
      </c>
      <c r="C47375" s="6">
        <v>13400</v>
      </c>
      <c r="D47375" s="7">
        <v>0.15</v>
      </c>
    </row>
    <row r="47376" spans="1:4" x14ac:dyDescent="0.25">
      <c r="A47376" t="str">
        <f>HYPERLINK("https://www.773grp.com/globalSearch/NNCD5.6B-T1-AZ/page-1", "NNCD5.6B-T1-AZ")</f>
        <v>NNCD5.6B-T1-AZ</v>
      </c>
      <c r="B47376" s="3" t="str">
        <f>HYPERLINK("https://www.773grp.com/manufacturer/renesas-electronics-america-inc?pageNo=233", "Renesas Electronics")</f>
        <v>Renesas Electronics</v>
      </c>
      <c r="C47376" s="6">
        <v>14000</v>
      </c>
      <c r="D47376" s="7">
        <v>0.15</v>
      </c>
    </row>
    <row r="47377" spans="1:4" x14ac:dyDescent="0.25">
      <c r="A47377" t="str">
        <f>HYPERLINK("https://www.773grp.com/globalSearch/NNCD6.8B-AZ/page-1", "NNCD6.8B-AZ")</f>
        <v>NNCD6.8B-AZ</v>
      </c>
      <c r="B47377" s="3" t="str">
        <f>HYPERLINK("https://www.773grp.com/manufacturer/renesas-electronics-america-inc?pageNo=234", "Renesas Electronics")</f>
        <v>Renesas Electronics</v>
      </c>
      <c r="C47377" s="6">
        <v>2970</v>
      </c>
      <c r="D47377" s="7">
        <v>0.15</v>
      </c>
    </row>
    <row r="47378" spans="1:4" x14ac:dyDescent="0.25">
      <c r="A47378" t="str">
        <f>HYPERLINK("https://www.773grp.com/globalSearch/NNCD7.5A-T1/page-1", "NNCD7.5A-T1")</f>
        <v>NNCD7.5A-T1</v>
      </c>
      <c r="B47378" s="3" t="str">
        <f>HYPERLINK("https://www.773grp.com/manufacturer/renesas-electronics-america-inc?pageNo=235", "Renesas Electronics")</f>
        <v>Renesas Electronics</v>
      </c>
      <c r="C47378" s="6">
        <v>20000</v>
      </c>
      <c r="D47378" s="7">
        <v>0.15</v>
      </c>
    </row>
    <row r="47379" spans="1:4" x14ac:dyDescent="0.25">
      <c r="A47379" t="str">
        <f>HYPERLINK("https://www.773grp.com/globalSearch/RD10ES/page-1", "RD10ES")</f>
        <v>RD10ES</v>
      </c>
      <c r="B47379" s="3" t="str">
        <f>HYPERLINK("https://www.773grp.com/manufacturer/renesas-electronics-america-inc?pageNo=236", "Renesas Electronics")</f>
        <v>Renesas Electronics</v>
      </c>
      <c r="C47379" s="6">
        <v>517</v>
      </c>
      <c r="D47379" s="7">
        <v>0.15</v>
      </c>
    </row>
    <row r="47380" spans="1:4" x14ac:dyDescent="0.25">
      <c r="A47380" t="str">
        <f>HYPERLINK("https://www.773grp.com/globalSearch/RD10ES-T4-AZ/page-1", "RD10ES-T4-AZ")</f>
        <v>RD10ES-T4-AZ</v>
      </c>
      <c r="B47380" s="3" t="str">
        <f>HYPERLINK("https://www.773grp.com/manufacturer/renesas-electronics-america-inc?pageNo=237", "Renesas Electronics")</f>
        <v>Renesas Electronics</v>
      </c>
      <c r="C47380" s="6">
        <v>25000</v>
      </c>
      <c r="D47380" s="7">
        <v>0.15</v>
      </c>
    </row>
    <row r="47381" spans="1:4" x14ac:dyDescent="0.25">
      <c r="A47381" t="str">
        <f>HYPERLINK("https://www.773grp.com/globalSearch/RD10E-T1/page-1", "RD10E-T1")</f>
        <v>RD10E-T1</v>
      </c>
      <c r="B47381" s="3" t="str">
        <f>HYPERLINK("https://www.773grp.com/manufacturer/renesas-electronics-america-inc?pageNo=238", "Renesas Electronics")</f>
        <v>Renesas Electronics</v>
      </c>
      <c r="C47381" s="6">
        <v>2000</v>
      </c>
      <c r="D47381" s="7">
        <v>0.15</v>
      </c>
    </row>
    <row r="47382" spans="1:4" x14ac:dyDescent="0.25">
      <c r="A47382" t="str">
        <f>HYPERLINK("https://www.773grp.com/globalSearch/RD10E-T2-AZ/page-1", "RD10E-T2-AZ")</f>
        <v>RD10E-T2-AZ</v>
      </c>
      <c r="B47382" s="3" t="str">
        <f>HYPERLINK("https://www.773grp.com/manufacturer/renesas-electronics-america-inc?pageNo=239", "Renesas Electronics")</f>
        <v>Renesas Electronics</v>
      </c>
      <c r="C47382" s="6">
        <v>195000</v>
      </c>
      <c r="D47382" s="7">
        <v>0.15</v>
      </c>
    </row>
    <row r="47383" spans="1:4" x14ac:dyDescent="0.25">
      <c r="A47383" t="str">
        <f>HYPERLINK("https://www.773grp.com/globalSearch/RD10E-T4-AZ/page-1", "RD10E-T4-AZ")</f>
        <v>RD10E-T4-AZ</v>
      </c>
      <c r="B47383" s="3" t="str">
        <f>HYPERLINK("https://www.773grp.com/manufacturer/renesas-electronics-america-inc?pageNo=240", "Renesas Electronics")</f>
        <v>Renesas Electronics</v>
      </c>
      <c r="C47383" s="6">
        <v>165000</v>
      </c>
      <c r="D47383" s="7">
        <v>0.15</v>
      </c>
    </row>
    <row r="47384" spans="1:4" x14ac:dyDescent="0.25">
      <c r="A47384" t="str">
        <f>HYPERLINK("https://www.773grp.com/globalSearch/RD10E-TB/page-1", "RD10E-TB")</f>
        <v>RD10E-TB</v>
      </c>
      <c r="B47384" s="3" t="str">
        <f>HYPERLINK("https://www.773grp.com/manufacturer/renesas-electronics-america-inc?pageNo=241", "Renesas Electronics")</f>
        <v>Renesas Electronics</v>
      </c>
      <c r="C47384" s="6">
        <v>25000</v>
      </c>
      <c r="D47384" s="7">
        <v>0.15</v>
      </c>
    </row>
    <row r="47385" spans="1:4" x14ac:dyDescent="0.25">
      <c r="A47385" t="str">
        <f>HYPERLINK("https://www.773grp.com/globalSearch/RD10E-TB-AZ/page-1", "RD10E-TB-AZ")</f>
        <v>RD10E-TB-AZ</v>
      </c>
      <c r="B47385" s="3" t="str">
        <f>HYPERLINK("https://www.773grp.com/manufacturer/renesas-electronics-america-inc?pageNo=242", "Renesas Electronics")</f>
        <v>Renesas Electronics</v>
      </c>
      <c r="C47385" s="6">
        <v>72500</v>
      </c>
      <c r="D47385" s="7">
        <v>0.15</v>
      </c>
    </row>
    <row r="47386" spans="1:4" x14ac:dyDescent="0.25">
      <c r="A47386" t="str">
        <f>HYPERLINK("https://www.773grp.com/globalSearch/RD10JS/page-1", "RD10JS")</f>
        <v>RD10JS</v>
      </c>
      <c r="B47386" s="3" t="str">
        <f>HYPERLINK("https://www.773grp.com/manufacturer/renesas-electronics-america-inc?pageNo=243", "Renesas Electronics")</f>
        <v>Renesas Electronics</v>
      </c>
      <c r="C47386" s="6">
        <v>23880</v>
      </c>
      <c r="D47386" s="7">
        <v>0.15</v>
      </c>
    </row>
    <row r="47387" spans="1:4" x14ac:dyDescent="0.25">
      <c r="A47387" t="str">
        <f>HYPERLINK("https://www.773grp.com/globalSearch/RD10JS-AZ/page-1", "RD10JS-AZ")</f>
        <v>RD10JS-AZ</v>
      </c>
      <c r="B47387" s="3" t="str">
        <f>HYPERLINK("https://www.773grp.com/manufacturer/renesas-electronics-america-inc?pageNo=244", "Renesas Electronics")</f>
        <v>Renesas Electronics</v>
      </c>
      <c r="C47387" s="6">
        <v>259200</v>
      </c>
      <c r="D47387" s="7">
        <v>0.15</v>
      </c>
    </row>
    <row r="47388" spans="1:4" x14ac:dyDescent="0.25">
      <c r="A47388" t="str">
        <f>HYPERLINK("https://www.773grp.com/globalSearch/RD10JS-T1/page-1", "RD10JS-T1")</f>
        <v>RD10JS-T1</v>
      </c>
      <c r="B47388" s="3" t="str">
        <f>HYPERLINK("https://www.773grp.com/manufacturer/renesas-electronics-america-inc?pageNo=245", "Renesas Electronics")</f>
        <v>Renesas Electronics</v>
      </c>
      <c r="C47388" s="6">
        <v>84000</v>
      </c>
      <c r="D47388" s="7">
        <v>0.15</v>
      </c>
    </row>
    <row r="47389" spans="1:4" x14ac:dyDescent="0.25">
      <c r="A47389" t="str">
        <f>HYPERLINK("https://www.773grp.com/globalSearch/RD10JS-T1-AZ/page-1", "RD10JS-T1-AZ")</f>
        <v>RD10JS-T1-AZ</v>
      </c>
      <c r="B47389" s="3" t="str">
        <f>HYPERLINK("https://www.773grp.com/manufacturer/renesas-electronics-america-inc?pageNo=246", "Renesas Electronics")</f>
        <v>Renesas Electronics</v>
      </c>
      <c r="C47389" s="6">
        <v>396000</v>
      </c>
      <c r="D47389" s="7">
        <v>0.15</v>
      </c>
    </row>
    <row r="47390" spans="1:4" x14ac:dyDescent="0.25">
      <c r="A47390" t="str">
        <f>HYPERLINK("https://www.773grp.com/globalSearch/RD11E/page-1", "RD11E")</f>
        <v>RD11E</v>
      </c>
      <c r="B47390" s="3" t="str">
        <f>HYPERLINK("https://www.773grp.com/manufacturer/renesas-electronics-america-inc?pageNo=247", "Renesas Electronics")</f>
        <v>Renesas Electronics</v>
      </c>
      <c r="C47390" s="6">
        <v>12090</v>
      </c>
      <c r="D47390" s="7">
        <v>0.15</v>
      </c>
    </row>
    <row r="47391" spans="1:4" x14ac:dyDescent="0.25">
      <c r="A47391" t="str">
        <f>HYPERLINK("https://www.773grp.com/globalSearch/RD11ES-T1/page-1", "RD11ES-T1")</f>
        <v>RD11ES-T1</v>
      </c>
      <c r="B47391" s="3" t="str">
        <f>HYPERLINK("https://www.773grp.com/manufacturer/renesas-electronics-america-inc?pageNo=248", "Renesas Electronics")</f>
        <v>Renesas Electronics</v>
      </c>
      <c r="C47391" s="6">
        <v>172000</v>
      </c>
      <c r="D47391" s="7">
        <v>0.15</v>
      </c>
    </row>
    <row r="47392" spans="1:4" x14ac:dyDescent="0.25">
      <c r="A47392" t="str">
        <f>HYPERLINK("https://www.773grp.com/globalSearch/RD11E-T1/page-1", "RD11E-T1")</f>
        <v>RD11E-T1</v>
      </c>
      <c r="B47392" s="3" t="str">
        <f>HYPERLINK("https://www.773grp.com/manufacturer/renesas-electronics-america-inc?pageNo=249", "Renesas Electronics")</f>
        <v>Renesas Electronics</v>
      </c>
      <c r="C47392" s="6">
        <v>30000</v>
      </c>
      <c r="D47392" s="7">
        <v>0.15</v>
      </c>
    </row>
    <row r="47393" spans="1:4" x14ac:dyDescent="0.25">
      <c r="A47393" t="str">
        <f>HYPERLINK("https://www.773grp.com/globalSearch/RD11E-T4-AZ/page-1", "RD11E-T4-AZ")</f>
        <v>RD11E-T4-AZ</v>
      </c>
      <c r="B47393" s="3" t="str">
        <f>HYPERLINK("https://www.773grp.com/manufacturer/renesas-electronics-america-inc?pageNo=250", "Renesas Electronics")</f>
        <v>Renesas Electronics</v>
      </c>
      <c r="C47393" s="6">
        <v>25000</v>
      </c>
      <c r="D47393" s="7">
        <v>0.15</v>
      </c>
    </row>
    <row r="47394" spans="1:4" x14ac:dyDescent="0.25">
      <c r="A47394" t="str">
        <f>HYPERLINK("https://www.773grp.com/globalSearch/RD11E-TB-AZ/page-1", "RD11E-TB-AZ")</f>
        <v>RD11E-TB-AZ</v>
      </c>
      <c r="B47394" s="3" t="str">
        <f>HYPERLINK("https://www.773grp.com/manufacturer/renesas-electronics-america-inc?pageNo=251", "Renesas Electronics")</f>
        <v>Renesas Electronics</v>
      </c>
      <c r="C47394" s="6">
        <v>97500</v>
      </c>
      <c r="D47394" s="7">
        <v>0.15</v>
      </c>
    </row>
    <row r="47395" spans="1:4" x14ac:dyDescent="0.25">
      <c r="A47395" t="str">
        <f>HYPERLINK("https://www.773grp.com/globalSearch/RD11JS-AZ/page-1", "RD11JS-AZ")</f>
        <v>RD11JS-AZ</v>
      </c>
      <c r="B47395" s="3" t="str">
        <f>HYPERLINK("https://www.773grp.com/manufacturer/renesas-electronics-america-inc?pageNo=252", "Renesas Electronics")</f>
        <v>Renesas Electronics</v>
      </c>
      <c r="C47395" s="6">
        <v>3600</v>
      </c>
      <c r="D47395" s="7">
        <v>0.15</v>
      </c>
    </row>
    <row r="47396" spans="1:4" x14ac:dyDescent="0.25">
      <c r="A47396" t="str">
        <f>HYPERLINK("https://www.773grp.com/globalSearch/RD11JS-T1-AZ/page-1", "RD11JS-T1-AZ")</f>
        <v>RD11JS-T1-AZ</v>
      </c>
      <c r="B47396" s="3" t="str">
        <f>HYPERLINK("https://www.773grp.com/manufacturer/renesas-electronics-america-inc?pageNo=253", "Renesas Electronics")</f>
        <v>Renesas Electronics</v>
      </c>
      <c r="C47396" s="6">
        <v>20000</v>
      </c>
      <c r="D47396" s="7">
        <v>0.15</v>
      </c>
    </row>
    <row r="47397" spans="1:4" x14ac:dyDescent="0.25">
      <c r="A47397" t="str">
        <f>HYPERLINK("https://www.773grp.com/globalSearch/RD12E-AZ/page-1", "RD12E-AZ")</f>
        <v>RD12E-AZ</v>
      </c>
      <c r="B47397" s="3" t="str">
        <f>HYPERLINK("https://www.773grp.com/manufacturer/renesas-electronics-america-inc?pageNo=254", "Renesas Electronics")</f>
        <v>Renesas Electronics</v>
      </c>
      <c r="C47397" s="6">
        <v>103081</v>
      </c>
      <c r="D47397" s="7">
        <v>0.15</v>
      </c>
    </row>
    <row r="47398" spans="1:4" x14ac:dyDescent="0.25">
      <c r="A47398" t="str">
        <f>HYPERLINK("https://www.773grp.com/globalSearch/RD12ES-AZ/page-1", "RD12ES-AZ")</f>
        <v>RD12ES-AZ</v>
      </c>
      <c r="B47398" s="3" t="str">
        <f>HYPERLINK("https://www.773grp.com/manufacturer/renesas-electronics-america-inc?pageNo=255", "Renesas Electronics")</f>
        <v>Renesas Electronics</v>
      </c>
      <c r="C47398" s="6">
        <v>200</v>
      </c>
      <c r="D47398" s="7">
        <v>0.15</v>
      </c>
    </row>
    <row r="47399" spans="1:4" x14ac:dyDescent="0.25">
      <c r="A47399" t="str">
        <f>HYPERLINK("https://www.773grp.com/globalSearch/RD12ES-T1/page-1", "RD12ES-T1")</f>
        <v>RD12ES-T1</v>
      </c>
      <c r="B47399" s="3" t="str">
        <f>HYPERLINK("https://www.773grp.com/manufacturer/renesas-electronics-america-inc?pageNo=256", "Renesas Electronics")</f>
        <v>Renesas Electronics</v>
      </c>
      <c r="C47399" s="6">
        <v>54000</v>
      </c>
      <c r="D47399" s="7">
        <v>0.15</v>
      </c>
    </row>
    <row r="47400" spans="1:4" x14ac:dyDescent="0.25">
      <c r="A47400" t="str">
        <f>HYPERLINK("https://www.773grp.com/globalSearch/RD12ES-T2-AZ/page-1", "RD12ES-T2-AZ")</f>
        <v>RD12ES-T2-AZ</v>
      </c>
      <c r="B47400" s="3" t="str">
        <f>HYPERLINK("https://www.773grp.com/manufacturer/renesas-electronics-america-inc?pageNo=257", "Renesas Electronics")</f>
        <v>Renesas Electronics</v>
      </c>
      <c r="C47400" s="6">
        <v>20000</v>
      </c>
      <c r="D47400" s="7">
        <v>0.15</v>
      </c>
    </row>
    <row r="47401" spans="1:4" x14ac:dyDescent="0.25">
      <c r="A47401" t="str">
        <f>HYPERLINK("https://www.773grp.com/globalSearch/RD12ES-T4-AZ/page-1", "RD12ES-T4-AZ")</f>
        <v>RD12ES-T4-AZ</v>
      </c>
      <c r="B47401" s="3" t="str">
        <f>HYPERLINK("https://www.773grp.com/manufacturer/renesas-electronics-america-inc?pageNo=258", "Renesas Electronics")</f>
        <v>Renesas Electronics</v>
      </c>
      <c r="C47401" s="6">
        <v>875000</v>
      </c>
      <c r="D47401" s="7">
        <v>0.15</v>
      </c>
    </row>
    <row r="47402" spans="1:4" x14ac:dyDescent="0.25">
      <c r="A47402" t="str">
        <f>HYPERLINK("https://www.773grp.com/globalSearch/RD12E-T2/page-1", "RD12E-T2")</f>
        <v>RD12E-T2</v>
      </c>
      <c r="B47402" s="3" t="str">
        <f>HYPERLINK("https://www.773grp.com/manufacturer/renesas-electronics-america-inc?pageNo=259", "Renesas Electronics")</f>
        <v>Renesas Electronics</v>
      </c>
      <c r="C47402" s="6">
        <v>20000</v>
      </c>
      <c r="D47402" s="7">
        <v>0.15</v>
      </c>
    </row>
    <row r="47403" spans="1:4" x14ac:dyDescent="0.25">
      <c r="A47403" t="str">
        <f>HYPERLINK("https://www.773grp.com/globalSearch/RD12E-T2-AZ/page-1", "RD12E-T2-AZ")</f>
        <v>RD12E-T2-AZ</v>
      </c>
      <c r="B47403" s="3" t="str">
        <f>HYPERLINK("https://www.773grp.com/manufacturer/renesas-electronics-america-inc?pageNo=260", "Renesas Electronics")</f>
        <v>Renesas Electronics</v>
      </c>
      <c r="C47403" s="6">
        <v>15000</v>
      </c>
      <c r="D47403" s="7">
        <v>0.15</v>
      </c>
    </row>
    <row r="47404" spans="1:4" x14ac:dyDescent="0.25">
      <c r="A47404" t="str">
        <f>HYPERLINK("https://www.773grp.com/globalSearch/RD12E-T4-AZ/page-1", "RD12E-T4-AZ")</f>
        <v>RD12E-T4-AZ</v>
      </c>
      <c r="B47404" s="3" t="str">
        <f>HYPERLINK("https://www.773grp.com/manufacturer/renesas-electronics-america-inc?pageNo=261", "Renesas Electronics")</f>
        <v>Renesas Electronics</v>
      </c>
      <c r="C47404" s="6">
        <v>55000</v>
      </c>
      <c r="D47404" s="7">
        <v>0.15</v>
      </c>
    </row>
    <row r="47405" spans="1:4" x14ac:dyDescent="0.25">
      <c r="A47405" t="str">
        <f>HYPERLINK("https://www.773grp.com/globalSearch/RD12JS/page-1", "RD12JS")</f>
        <v>RD12JS</v>
      </c>
      <c r="B47405" s="3" t="str">
        <f>HYPERLINK("https://www.773grp.com/manufacturer/renesas-electronics-america-inc?pageNo=262", "Renesas Electronics")</f>
        <v>Renesas Electronics</v>
      </c>
      <c r="C47405" s="6">
        <v>4900</v>
      </c>
      <c r="D47405" s="7">
        <v>0.15</v>
      </c>
    </row>
    <row r="47406" spans="1:4" x14ac:dyDescent="0.25">
      <c r="A47406" t="str">
        <f>HYPERLINK("https://www.773grp.com/globalSearch/RD12JS-AZ/page-1", "RD12JS-AZ")</f>
        <v>RD12JS-AZ</v>
      </c>
      <c r="B47406" s="3" t="str">
        <f>HYPERLINK("https://www.773grp.com/manufacturer/renesas-electronics-america-inc?pageNo=263", "Renesas Electronics")</f>
        <v>Renesas Electronics</v>
      </c>
      <c r="C47406" s="6">
        <v>2700</v>
      </c>
      <c r="D47406" s="7">
        <v>0.15</v>
      </c>
    </row>
    <row r="47407" spans="1:4" x14ac:dyDescent="0.25">
      <c r="A47407" t="str">
        <f>HYPERLINK("https://www.773grp.com/globalSearch/RD12JS-T1/page-1", "RD12JS-T1")</f>
        <v>RD12JS-T1</v>
      </c>
      <c r="B47407" s="3" t="str">
        <f>HYPERLINK("https://www.773grp.com/manufacturer/renesas-electronics-america-inc?pageNo=264", "Renesas Electronics")</f>
        <v>Renesas Electronics</v>
      </c>
      <c r="C47407" s="6">
        <v>170000</v>
      </c>
      <c r="D47407" s="7">
        <v>0.15</v>
      </c>
    </row>
    <row r="47408" spans="1:4" x14ac:dyDescent="0.25">
      <c r="A47408" t="str">
        <f>HYPERLINK("https://www.773grp.com/globalSearch/RD13E/page-1", "RD13E")</f>
        <v>RD13E</v>
      </c>
      <c r="B47408" s="3" t="str">
        <f>HYPERLINK("https://www.773grp.com/manufacturer/renesas-electronics-america-inc?pageNo=265", "Renesas Electronics")</f>
        <v>Renesas Electronics</v>
      </c>
      <c r="C47408" s="6">
        <v>1780</v>
      </c>
      <c r="D47408" s="7">
        <v>0.15</v>
      </c>
    </row>
    <row r="47409" spans="1:4" x14ac:dyDescent="0.25">
      <c r="A47409" t="str">
        <f>HYPERLINK("https://www.773grp.com/globalSearch/RD13ES-AZ/page-1", "RD13ES-AZ")</f>
        <v>RD13ES-AZ</v>
      </c>
      <c r="B47409" s="3" t="str">
        <f>HYPERLINK("https://www.773grp.com/manufacturer/renesas-electronics-america-inc?pageNo=266", "Renesas Electronics")</f>
        <v>Renesas Electronics</v>
      </c>
      <c r="C47409" s="6">
        <v>8650</v>
      </c>
      <c r="D47409" s="7">
        <v>0.15</v>
      </c>
    </row>
    <row r="47410" spans="1:4" x14ac:dyDescent="0.25">
      <c r="A47410" t="str">
        <f>HYPERLINK("https://www.773grp.com/globalSearch/RD13ES-T1-AZ/page-1", "RD13ES-T1-AZ")</f>
        <v>RD13ES-T1-AZ</v>
      </c>
      <c r="B47410" s="3" t="str">
        <f>HYPERLINK("https://www.773grp.com/manufacturer/renesas-electronics-america-inc?pageNo=267", "Renesas Electronics")</f>
        <v>Renesas Electronics</v>
      </c>
      <c r="C47410" s="6">
        <v>574000</v>
      </c>
      <c r="D47410" s="7">
        <v>0.15</v>
      </c>
    </row>
    <row r="47411" spans="1:4" x14ac:dyDescent="0.25">
      <c r="A47411" t="str">
        <f>HYPERLINK("https://www.773grp.com/globalSearch/RD13ES-T2/page-1", "RD13ES-T2")</f>
        <v>RD13ES-T2</v>
      </c>
      <c r="B47411" s="3" t="str">
        <f>HYPERLINK("https://www.773grp.com/manufacturer/renesas-electronics-america-inc?pageNo=268", "Renesas Electronics")</f>
        <v>Renesas Electronics</v>
      </c>
      <c r="C47411" s="6">
        <v>25000</v>
      </c>
      <c r="D47411" s="7">
        <v>0.15</v>
      </c>
    </row>
    <row r="47412" spans="1:4" x14ac:dyDescent="0.25">
      <c r="A47412" t="str">
        <f>HYPERLINK("https://www.773grp.com/globalSearch/RD13ES-T4-AZ/page-1", "RD13ES-T4-AZ")</f>
        <v>RD13ES-T4-AZ</v>
      </c>
      <c r="B47412" s="3" t="str">
        <f>HYPERLINK("https://www.773grp.com/manufacturer/renesas-electronics-america-inc?pageNo=269", "Renesas Electronics")</f>
        <v>Renesas Electronics</v>
      </c>
      <c r="C47412" s="6">
        <v>40000</v>
      </c>
      <c r="D47412" s="7">
        <v>0.15</v>
      </c>
    </row>
    <row r="47413" spans="1:4" x14ac:dyDescent="0.25">
      <c r="A47413" t="str">
        <f>HYPERLINK("https://www.773grp.com/globalSearch/RD13E-T1/page-1", "RD13E-T1")</f>
        <v>RD13E-T1</v>
      </c>
      <c r="B47413" s="3" t="str">
        <f>HYPERLINK("https://www.773grp.com/manufacturer/renesas-electronics-america-inc?pageNo=270", "Renesas Electronics")</f>
        <v>Renesas Electronics</v>
      </c>
      <c r="C47413" s="6">
        <v>74000</v>
      </c>
      <c r="D47413" s="7">
        <v>0.15</v>
      </c>
    </row>
    <row r="47414" spans="1:4" x14ac:dyDescent="0.25">
      <c r="A47414" t="str">
        <f>HYPERLINK("https://www.773grp.com/globalSearch/RD13E-T1-AZ/page-1", "RD13E-T1-AZ")</f>
        <v>RD13E-T1-AZ</v>
      </c>
      <c r="B47414" s="3" t="str">
        <f>HYPERLINK("https://www.773grp.com/manufacturer/renesas-electronics-america-inc?pageNo=271", "Renesas Electronics")</f>
        <v>Renesas Electronics</v>
      </c>
      <c r="C47414" s="6">
        <v>26000</v>
      </c>
      <c r="D47414" s="7">
        <v>0.15</v>
      </c>
    </row>
    <row r="47415" spans="1:4" x14ac:dyDescent="0.25">
      <c r="A47415" t="str">
        <f>HYPERLINK("https://www.773grp.com/globalSearch/RD13E-TB/page-1", "RD13E-TB")</f>
        <v>RD13E-TB</v>
      </c>
      <c r="B47415" s="3" t="str">
        <f>HYPERLINK("https://www.773grp.com/manufacturer/renesas-electronics-america-inc?pageNo=272", "Renesas Electronics")</f>
        <v>Renesas Electronics</v>
      </c>
      <c r="C47415" s="6">
        <v>32500</v>
      </c>
      <c r="D47415" s="7">
        <v>0.15</v>
      </c>
    </row>
    <row r="47416" spans="1:4" x14ac:dyDescent="0.25">
      <c r="A47416" t="str">
        <f>HYPERLINK("https://www.773grp.com/globalSearch/RD13E-TB-AZ/page-1", "RD13E-TB-AZ")</f>
        <v>RD13E-TB-AZ</v>
      </c>
      <c r="B47416" s="3" t="str">
        <f>HYPERLINK("https://www.773grp.com/manufacturer/renesas-electronics-america-inc?pageNo=273", "Renesas Electronics")</f>
        <v>Renesas Electronics</v>
      </c>
      <c r="C47416" s="6">
        <v>25000</v>
      </c>
      <c r="D47416" s="7">
        <v>0.15</v>
      </c>
    </row>
    <row r="47417" spans="1:4" x14ac:dyDescent="0.25">
      <c r="A47417" t="str">
        <f>HYPERLINK("https://www.773grp.com/globalSearch/RD13JS/page-1", "RD13JS")</f>
        <v>RD13JS</v>
      </c>
      <c r="B47417" s="3" t="str">
        <f>HYPERLINK("https://www.773grp.com/manufacturer/renesas-electronics-america-inc?pageNo=274", "Renesas Electronics")</f>
        <v>Renesas Electronics</v>
      </c>
      <c r="C47417" s="6">
        <v>19000</v>
      </c>
      <c r="D47417" s="7">
        <v>0.15</v>
      </c>
    </row>
    <row r="47418" spans="1:4" x14ac:dyDescent="0.25">
      <c r="A47418" t="str">
        <f>HYPERLINK("https://www.773grp.com/globalSearch/RD13JS-AZ/page-1", "RD13JS-AZ")</f>
        <v>RD13JS-AZ</v>
      </c>
      <c r="B47418" s="3" t="str">
        <f>HYPERLINK("https://www.773grp.com/manufacturer/renesas-electronics-america-inc?pageNo=275", "Renesas Electronics")</f>
        <v>Renesas Electronics</v>
      </c>
      <c r="C47418" s="6">
        <v>6000</v>
      </c>
      <c r="D47418" s="7">
        <v>0.15</v>
      </c>
    </row>
    <row r="47419" spans="1:4" x14ac:dyDescent="0.25">
      <c r="A47419" t="str">
        <f>HYPERLINK("https://www.773grp.com/globalSearch/RD13JS-T1/page-1", "RD13JS-T1")</f>
        <v>RD13JS-T1</v>
      </c>
      <c r="B47419" s="3" t="str">
        <f>HYPERLINK("https://www.773grp.com/manufacturer/renesas-electronics-america-inc?pageNo=276", "Renesas Electronics")</f>
        <v>Renesas Electronics</v>
      </c>
      <c r="C47419" s="6">
        <v>68000</v>
      </c>
      <c r="D47419" s="7">
        <v>0.15</v>
      </c>
    </row>
    <row r="47420" spans="1:4" x14ac:dyDescent="0.25">
      <c r="A47420" t="str">
        <f>HYPERLINK("https://www.773grp.com/globalSearch/RD13JS-T1-AZ/page-1", "RD13JS-T1-AZ")</f>
        <v>RD13JS-T1-AZ</v>
      </c>
      <c r="B47420" s="3" t="str">
        <f>HYPERLINK("https://www.773grp.com/manufacturer/renesas-electronics-america-inc?pageNo=277", "Renesas Electronics")</f>
        <v>Renesas Electronics</v>
      </c>
      <c r="C47420" s="6">
        <v>306000</v>
      </c>
      <c r="D47420" s="7">
        <v>0.15</v>
      </c>
    </row>
    <row r="47421" spans="1:4" x14ac:dyDescent="0.25">
      <c r="A47421" t="str">
        <f>HYPERLINK("https://www.773grp.com/globalSearch/RD15E/page-1", "RD15E")</f>
        <v>RD15E</v>
      </c>
      <c r="B47421" s="3" t="str">
        <f>HYPERLINK("https://www.773grp.com/manufacturer/renesas-electronics-america-inc?pageNo=278", "Renesas Electronics")</f>
        <v>Renesas Electronics</v>
      </c>
      <c r="C47421" s="6">
        <v>343568</v>
      </c>
      <c r="D47421" s="7">
        <v>0.15</v>
      </c>
    </row>
    <row r="47422" spans="1:4" x14ac:dyDescent="0.25">
      <c r="A47422" t="str">
        <f>HYPERLINK("https://www.773grp.com/globalSearch/RD15ES-AZ/page-1", "RD15ES-AZ")</f>
        <v>RD15ES-AZ</v>
      </c>
      <c r="B47422" s="3" t="str">
        <f>HYPERLINK("https://www.773grp.com/manufacturer/renesas-electronics-america-inc?pageNo=279", "Renesas Electronics")</f>
        <v>Renesas Electronics</v>
      </c>
      <c r="C47422" s="6">
        <v>7070</v>
      </c>
      <c r="D47422" s="7">
        <v>0.15</v>
      </c>
    </row>
    <row r="47423" spans="1:4" x14ac:dyDescent="0.25">
      <c r="A47423" t="str">
        <f>HYPERLINK("https://www.773grp.com/globalSearch/RD15ES-T1/page-1", "RD15ES-T1")</f>
        <v>RD15ES-T1</v>
      </c>
      <c r="B47423" s="3" t="str">
        <f>HYPERLINK("https://www.773grp.com/manufacturer/renesas-electronics-america-inc?pageNo=280", "Renesas Electronics")</f>
        <v>Renesas Electronics</v>
      </c>
      <c r="C47423" s="6">
        <v>8000</v>
      </c>
      <c r="D47423" s="7">
        <v>0.15</v>
      </c>
    </row>
    <row r="47424" spans="1:4" x14ac:dyDescent="0.25">
      <c r="A47424" t="str">
        <f>HYPERLINK("https://www.773grp.com/globalSearch/RD15ES-T2-AZ/page-1", "RD15ES-T2-AZ")</f>
        <v>RD15ES-T2-AZ</v>
      </c>
      <c r="B47424" s="3" t="str">
        <f>HYPERLINK("https://www.773grp.com/manufacturer/renesas-electronics-america-inc?pageNo=281", "Renesas Electronics")</f>
        <v>Renesas Electronics</v>
      </c>
      <c r="C47424" s="6">
        <v>25000</v>
      </c>
      <c r="D47424" s="7">
        <v>0.15</v>
      </c>
    </row>
    <row r="47425" spans="1:4" x14ac:dyDescent="0.25">
      <c r="A47425" t="str">
        <f>HYPERLINK("https://www.773grp.com/globalSearch/RD15ES-T4/page-1", "RD15ES-T4")</f>
        <v>RD15ES-T4</v>
      </c>
      <c r="B47425" s="3" t="str">
        <f>HYPERLINK("https://www.773grp.com/manufacturer/renesas-electronics-america-inc?pageNo=282", "Renesas Electronics")</f>
        <v>Renesas Electronics</v>
      </c>
      <c r="C47425" s="6">
        <v>65000</v>
      </c>
      <c r="D47425" s="7">
        <v>0.15</v>
      </c>
    </row>
    <row r="47426" spans="1:4" x14ac:dyDescent="0.25">
      <c r="A47426" t="str">
        <f>HYPERLINK("https://www.773grp.com/globalSearch/RD15ES-T4-AZ/page-1", "RD15ES-T4-AZ")</f>
        <v>RD15ES-T4-AZ</v>
      </c>
      <c r="B47426" s="3" t="str">
        <f>HYPERLINK("https://www.773grp.com/manufacturer/renesas-electronics-america-inc?pageNo=283", "Renesas Electronics")</f>
        <v>Renesas Electronics</v>
      </c>
      <c r="C47426" s="6">
        <v>25000</v>
      </c>
      <c r="D47426" s="7">
        <v>0.15</v>
      </c>
    </row>
    <row r="47427" spans="1:4" x14ac:dyDescent="0.25">
      <c r="A47427" t="str">
        <f>HYPERLINK("https://www.773grp.com/globalSearch/RD15E-T1/page-1", "RD15E-T1")</f>
        <v>RD15E-T1</v>
      </c>
      <c r="B47427" s="3" t="str">
        <f>HYPERLINK("https://www.773grp.com/manufacturer/renesas-electronics-america-inc?pageNo=284", "Renesas Electronics")</f>
        <v>Renesas Electronics</v>
      </c>
      <c r="C47427" s="6">
        <v>110000</v>
      </c>
      <c r="D47427" s="7">
        <v>0.15</v>
      </c>
    </row>
    <row r="47428" spans="1:4" x14ac:dyDescent="0.25">
      <c r="A47428" t="str">
        <f>HYPERLINK("https://www.773grp.com/globalSearch/RD15E-T2-AZ/page-1", "RD15E-T2-AZ")</f>
        <v>RD15E-T2-AZ</v>
      </c>
      <c r="B47428" s="3" t="str">
        <f>HYPERLINK("https://www.773grp.com/manufacturer/renesas-electronics-america-inc?pageNo=285", "Renesas Electronics")</f>
        <v>Renesas Electronics</v>
      </c>
      <c r="C47428" s="6">
        <v>240000</v>
      </c>
      <c r="D47428" s="7">
        <v>0.15</v>
      </c>
    </row>
    <row r="47429" spans="1:4" x14ac:dyDescent="0.25">
      <c r="A47429" t="str">
        <f>HYPERLINK("https://www.773grp.com/globalSearch/RD15E-T4-AZ/page-1", "RD15E-T4-AZ")</f>
        <v>RD15E-T4-AZ</v>
      </c>
      <c r="B47429" s="3" t="str">
        <f>HYPERLINK("https://www.773grp.com/manufacturer/renesas-electronics-america-inc?pageNo=286", "Renesas Electronics")</f>
        <v>Renesas Electronics</v>
      </c>
      <c r="C47429" s="6">
        <v>200000</v>
      </c>
      <c r="D47429" s="7">
        <v>0.15</v>
      </c>
    </row>
    <row r="47430" spans="1:4" x14ac:dyDescent="0.25">
      <c r="A47430" t="str">
        <f>HYPERLINK("https://www.773grp.com/globalSearch/RD15E-TB/page-1", "RD15E-TB")</f>
        <v>RD15E-TB</v>
      </c>
      <c r="B47430" s="3" t="str">
        <f>HYPERLINK("https://www.773grp.com/manufacturer/renesas-electronics-america-inc?pageNo=287", "Renesas Electronics")</f>
        <v>Renesas Electronics</v>
      </c>
      <c r="C47430" s="6">
        <v>72500</v>
      </c>
      <c r="D47430" s="7">
        <v>0.15</v>
      </c>
    </row>
    <row r="47431" spans="1:4" x14ac:dyDescent="0.25">
      <c r="A47431" t="str">
        <f>HYPERLINK("https://www.773grp.com/globalSearch/RD15E-TB-AZ/page-1", "RD15E-TB-AZ")</f>
        <v>RD15E-TB-AZ</v>
      </c>
      <c r="B47431" s="3" t="str">
        <f>HYPERLINK("https://www.773grp.com/manufacturer/renesas-electronics-america-inc?pageNo=288", "Renesas Electronics")</f>
        <v>Renesas Electronics</v>
      </c>
      <c r="C47431" s="6">
        <v>165000</v>
      </c>
      <c r="D47431" s="7">
        <v>0.15</v>
      </c>
    </row>
    <row r="47432" spans="1:4" x14ac:dyDescent="0.25">
      <c r="A47432" t="str">
        <f>HYPERLINK("https://www.773grp.com/globalSearch/RD15JS-T1/page-1", "RD15JS-T1")</f>
        <v>RD15JS-T1</v>
      </c>
      <c r="B47432" s="3" t="str">
        <f>HYPERLINK("https://www.773grp.com/manufacturer/renesas-electronics-america-inc?pageNo=289", "Renesas Electronics")</f>
        <v>Renesas Electronics</v>
      </c>
      <c r="C47432" s="6">
        <v>14000</v>
      </c>
      <c r="D47432" s="7">
        <v>0.15</v>
      </c>
    </row>
    <row r="47433" spans="1:4" x14ac:dyDescent="0.25">
      <c r="A47433" t="str">
        <f>HYPERLINK("https://www.773grp.com/globalSearch/RD16E(5)/page-1", "RD16E(5)")</f>
        <v>RD16E(5)</v>
      </c>
      <c r="B47433" s="3" t="str">
        <f>HYPERLINK("https://www.773grp.com/manufacturer/renesas-electronics-america-inc?pageNo=290", "Renesas Electronics")</f>
        <v>Renesas Electronics</v>
      </c>
      <c r="C47433" s="6">
        <v>3800</v>
      </c>
      <c r="D47433" s="7">
        <v>0.15</v>
      </c>
    </row>
    <row r="47434" spans="1:4" x14ac:dyDescent="0.25">
      <c r="A47434" t="str">
        <f>HYPERLINK("https://www.773grp.com/globalSearch/RD16ES-AZ/page-1", "RD16ES-AZ")</f>
        <v>RD16ES-AZ</v>
      </c>
      <c r="B47434" s="3" t="str">
        <f>HYPERLINK("https://www.773grp.com/manufacturer/renesas-electronics-america-inc?pageNo=291", "Renesas Electronics")</f>
        <v>Renesas Electronics</v>
      </c>
      <c r="C47434" s="6">
        <v>1300</v>
      </c>
      <c r="D47434" s="7">
        <v>0.15</v>
      </c>
    </row>
    <row r="47435" spans="1:4" x14ac:dyDescent="0.25">
      <c r="A47435" t="str">
        <f>HYPERLINK("https://www.773grp.com/globalSearch/RD16ES-T4-AZ/page-1", "RD16ES-T4-AZ")</f>
        <v>RD16ES-T4-AZ</v>
      </c>
      <c r="B47435" s="3" t="str">
        <f>HYPERLINK("https://www.773grp.com/manufacturer/renesas-electronics-america-inc?pageNo=292", "Renesas Electronics")</f>
        <v>Renesas Electronics</v>
      </c>
      <c r="C47435" s="6">
        <v>30000</v>
      </c>
      <c r="D47435" s="7">
        <v>0.15</v>
      </c>
    </row>
    <row r="47436" spans="1:4" x14ac:dyDescent="0.25">
      <c r="A47436" t="str">
        <f>HYPERLINK("https://www.773grp.com/globalSearch/RD16E-T1/page-1", "RD16E-T1")</f>
        <v>RD16E-T1</v>
      </c>
      <c r="B47436" s="3" t="str">
        <f>HYPERLINK("https://www.773grp.com/manufacturer/renesas-electronics-america-inc?pageNo=293", "Renesas Electronics")</f>
        <v>Renesas Electronics</v>
      </c>
      <c r="C47436" s="6">
        <v>52000</v>
      </c>
      <c r="D47436" s="7">
        <v>0.15</v>
      </c>
    </row>
    <row r="47437" spans="1:4" x14ac:dyDescent="0.25">
      <c r="A47437" t="str">
        <f>HYPERLINK("https://www.773grp.com/globalSearch/RD16E-T2/page-1", "RD16E-T2")</f>
        <v>RD16E-T2</v>
      </c>
      <c r="B47437" s="3" t="str">
        <f>HYPERLINK("https://www.773grp.com/manufacturer/renesas-electronics-america-inc?pageNo=294", "Renesas Electronics")</f>
        <v>Renesas Electronics</v>
      </c>
      <c r="C47437" s="6">
        <v>70000</v>
      </c>
      <c r="D47437" s="7">
        <v>0.15</v>
      </c>
    </row>
    <row r="47438" spans="1:4" x14ac:dyDescent="0.25">
      <c r="A47438" t="str">
        <f>HYPERLINK("https://www.773grp.com/globalSearch/RD16E-T2-AZ/page-1", "RD16E-T2-AZ")</f>
        <v>RD16E-T2-AZ</v>
      </c>
      <c r="B47438" s="3" t="str">
        <f>HYPERLINK("https://www.773grp.com/manufacturer/renesas-electronics-america-inc?pageNo=295", "Renesas Electronics")</f>
        <v>Renesas Electronics</v>
      </c>
      <c r="C47438" s="6">
        <v>745000</v>
      </c>
      <c r="D47438" s="7">
        <v>0.15</v>
      </c>
    </row>
    <row r="47439" spans="1:4" x14ac:dyDescent="0.25">
      <c r="A47439" t="str">
        <f>HYPERLINK("https://www.773grp.com/globalSearch/RD16E-T4-AZ/page-1", "RD16E-T4-AZ")</f>
        <v>RD16E-T4-AZ</v>
      </c>
      <c r="B47439" s="3" t="str">
        <f>HYPERLINK("https://www.773grp.com/manufacturer/renesas-electronics-america-inc?pageNo=296", "Renesas Electronics")</f>
        <v>Renesas Electronics</v>
      </c>
      <c r="C47439" s="6">
        <v>355000</v>
      </c>
      <c r="D47439" s="7">
        <v>0.15</v>
      </c>
    </row>
    <row r="47440" spans="1:4" x14ac:dyDescent="0.25">
      <c r="A47440" t="str">
        <f>HYPERLINK("https://www.773grp.com/globalSearch/RD16E-TB-AZ/page-1", "RD16E-TB-AZ")</f>
        <v>RD16E-TB-AZ</v>
      </c>
      <c r="B47440" s="3" t="str">
        <f>HYPERLINK("https://www.773grp.com/manufacturer/renesas-electronics-america-inc?pageNo=297", "Renesas Electronics")</f>
        <v>Renesas Electronics</v>
      </c>
      <c r="C47440" s="6">
        <v>67500</v>
      </c>
      <c r="D47440" s="7">
        <v>0.15</v>
      </c>
    </row>
    <row r="47441" spans="1:4" x14ac:dyDescent="0.25">
      <c r="A47441" t="str">
        <f>HYPERLINK("https://www.773grp.com/globalSearch/RD16JS-AZ/page-1", "RD16JS-AZ")</f>
        <v>RD16JS-AZ</v>
      </c>
      <c r="B47441" s="3" t="str">
        <f>HYPERLINK("https://www.773grp.com/manufacturer/renesas-electronics-america-inc?pageNo=298", "Renesas Electronics")</f>
        <v>Renesas Electronics</v>
      </c>
      <c r="C47441" s="6">
        <v>8900</v>
      </c>
      <c r="D47441" s="7">
        <v>0.15</v>
      </c>
    </row>
    <row r="47442" spans="1:4" x14ac:dyDescent="0.25">
      <c r="A47442" t="str">
        <f>HYPERLINK("https://www.773grp.com/globalSearch/RD16JS-T1/page-1", "RD16JS-T1")</f>
        <v>RD16JS-T1</v>
      </c>
      <c r="B47442" s="3" t="str">
        <f>HYPERLINK("https://www.773grp.com/manufacturer/renesas-electronics-america-inc?pageNo=299", "Renesas Electronics")</f>
        <v>Renesas Electronics</v>
      </c>
      <c r="C47442" s="6">
        <v>10000</v>
      </c>
      <c r="D47442" s="7">
        <v>0.15</v>
      </c>
    </row>
    <row r="47443" spans="1:4" x14ac:dyDescent="0.25">
      <c r="A47443" t="str">
        <f>HYPERLINK("https://www.773grp.com/globalSearch/RD18ES-AZ/page-1", "RD18ES-AZ")</f>
        <v>RD18ES-AZ</v>
      </c>
      <c r="B47443" s="3" t="str">
        <f>HYPERLINK("https://www.773grp.com/manufacturer/renesas-electronics-america-inc?pageNo=300", "Renesas Electronics")</f>
        <v>Renesas Electronics</v>
      </c>
      <c r="C47443" s="6">
        <v>168900</v>
      </c>
      <c r="D47443" s="7">
        <v>0.15</v>
      </c>
    </row>
    <row r="47444" spans="1:4" x14ac:dyDescent="0.25">
      <c r="A47444" t="str">
        <f>HYPERLINK("https://www.773grp.com/globalSearch/RD18ES-T1/page-1", "RD18ES-T1")</f>
        <v>RD18ES-T1</v>
      </c>
      <c r="B47444" s="3" t="str">
        <f>HYPERLINK("https://www.773grp.com/manufacturer/renesas-electronics-america-inc?pageNo=301", "Renesas Electronics")</f>
        <v>Renesas Electronics</v>
      </c>
      <c r="C47444" s="6">
        <v>26000</v>
      </c>
      <c r="D47444" s="7">
        <v>0.15</v>
      </c>
    </row>
    <row r="47445" spans="1:4" x14ac:dyDescent="0.25">
      <c r="A47445" t="str">
        <f>HYPERLINK("https://www.773grp.com/globalSearch/RD18ES-T2/page-1", "RD18ES-T2")</f>
        <v>RD18ES-T2</v>
      </c>
      <c r="B47445" s="3" t="str">
        <f>HYPERLINK("https://www.773grp.com/manufacturer/renesas-electronics-america-inc?pageNo=302", "Renesas Electronics")</f>
        <v>Renesas Electronics</v>
      </c>
      <c r="C47445" s="6">
        <v>70000</v>
      </c>
      <c r="D47445" s="7">
        <v>0.15</v>
      </c>
    </row>
    <row r="47446" spans="1:4" x14ac:dyDescent="0.25">
      <c r="A47446" t="str">
        <f>HYPERLINK("https://www.773grp.com/globalSearch/RD18E-T1/page-1", "RD18E-T1")</f>
        <v>RD18E-T1</v>
      </c>
      <c r="B47446" s="3" t="str">
        <f>HYPERLINK("https://www.773grp.com/manufacturer/renesas-electronics-america-inc?pageNo=303", "Renesas Electronics")</f>
        <v>Renesas Electronics</v>
      </c>
      <c r="C47446" s="6">
        <v>34000</v>
      </c>
      <c r="D47446" s="7">
        <v>0.15</v>
      </c>
    </row>
    <row r="47447" spans="1:4" x14ac:dyDescent="0.25">
      <c r="A47447" t="str">
        <f>HYPERLINK("https://www.773grp.com/globalSearch/RD18E-T2/page-1", "RD18E-T2")</f>
        <v>RD18E-T2</v>
      </c>
      <c r="B47447" s="3" t="str">
        <f>HYPERLINK("https://www.773grp.com/manufacturer/renesas-electronics-america-inc?pageNo=304", "Renesas Electronics")</f>
        <v>Renesas Electronics</v>
      </c>
      <c r="C47447" s="6">
        <v>40000</v>
      </c>
      <c r="D47447" s="7">
        <v>0.15</v>
      </c>
    </row>
    <row r="47448" spans="1:4" x14ac:dyDescent="0.25">
      <c r="A47448" t="str">
        <f>HYPERLINK("https://www.773grp.com/globalSearch/RD18E-T2-AZ/page-1", "RD18E-T2-AZ")</f>
        <v>RD18E-T2-AZ</v>
      </c>
      <c r="B47448" s="3" t="str">
        <f>HYPERLINK("https://www.773grp.com/manufacturer/renesas-electronics-america-inc?pageNo=305", "Renesas Electronics")</f>
        <v>Renesas Electronics</v>
      </c>
      <c r="C47448" s="6">
        <v>5000</v>
      </c>
      <c r="D47448" s="7">
        <v>0.15</v>
      </c>
    </row>
    <row r="47449" spans="1:4" x14ac:dyDescent="0.25">
      <c r="A47449" t="str">
        <f>HYPERLINK("https://www.773grp.com/globalSearch/RD18E-T4-AZ/page-1", "RD18E-T4-AZ")</f>
        <v>RD18E-T4-AZ</v>
      </c>
      <c r="B47449" s="3" t="str">
        <f>HYPERLINK("https://www.773grp.com/manufacturer/renesas-electronics-america-inc?pageNo=306", "Renesas Electronics")</f>
        <v>Renesas Electronics</v>
      </c>
      <c r="C47449" s="6">
        <v>1350000</v>
      </c>
      <c r="D47449" s="7">
        <v>0.15</v>
      </c>
    </row>
    <row r="47450" spans="1:4" x14ac:dyDescent="0.25">
      <c r="A47450" t="str">
        <f>HYPERLINK("https://www.773grp.com/globalSearch/RD18E-TB-AZ/page-1", "RD18E-TB-AZ")</f>
        <v>RD18E-TB-AZ</v>
      </c>
      <c r="B47450" s="3" t="str">
        <f>HYPERLINK("https://www.773grp.com/manufacturer/renesas-electronics-america-inc?pageNo=307", "Renesas Electronics")</f>
        <v>Renesas Electronics</v>
      </c>
      <c r="C47450" s="6">
        <v>87500</v>
      </c>
      <c r="D47450" s="7">
        <v>0.15</v>
      </c>
    </row>
    <row r="47451" spans="1:4" x14ac:dyDescent="0.25">
      <c r="A47451" t="str">
        <f>HYPERLINK("https://www.773grp.com/globalSearch/RD18JS/page-1", "RD18JS")</f>
        <v>RD18JS</v>
      </c>
      <c r="B47451" s="3" t="str">
        <f>HYPERLINK("https://www.773grp.com/manufacturer/renesas-electronics-america-inc?pageNo=308", "Renesas Electronics")</f>
        <v>Renesas Electronics</v>
      </c>
      <c r="C47451" s="6">
        <v>62298</v>
      </c>
      <c r="D47451" s="7">
        <v>0.15</v>
      </c>
    </row>
    <row r="47452" spans="1:4" x14ac:dyDescent="0.25">
      <c r="A47452" t="str">
        <f>HYPERLINK("https://www.773grp.com/globalSearch/RD2.0E/page-1", "RD2.0E")</f>
        <v>RD2.0E</v>
      </c>
      <c r="B47452" s="3" t="str">
        <f>HYPERLINK("https://www.773grp.com/manufacturer/renesas-electronics-america-inc?pageNo=309", "Renesas Electronics")</f>
        <v>Renesas Electronics</v>
      </c>
      <c r="C47452" s="6">
        <v>17700</v>
      </c>
      <c r="D47452" s="7">
        <v>0.15</v>
      </c>
    </row>
    <row r="47453" spans="1:4" x14ac:dyDescent="0.25">
      <c r="A47453" t="str">
        <f>HYPERLINK("https://www.773grp.com/globalSearch/RD2.0E-AZ/page-1", "RD2.0E-AZ")</f>
        <v>RD2.0E-AZ</v>
      </c>
      <c r="B47453" s="3" t="str">
        <f>HYPERLINK("https://www.773grp.com/manufacturer/renesas-electronics-america-inc?pageNo=310", "Renesas Electronics")</f>
        <v>Renesas Electronics</v>
      </c>
      <c r="C47453" s="6">
        <v>1000</v>
      </c>
      <c r="D47453" s="7">
        <v>0.15</v>
      </c>
    </row>
    <row r="47454" spans="1:4" x14ac:dyDescent="0.25">
      <c r="A47454" t="str">
        <f>HYPERLINK("https://www.773grp.com/globalSearch/RD2.0ES/page-1", "RD2.0ES")</f>
        <v>RD2.0ES</v>
      </c>
      <c r="B47454" s="3" t="str">
        <f>HYPERLINK("https://www.773grp.com/manufacturer/renesas-electronics-america-inc?pageNo=311", "Renesas Electronics")</f>
        <v>Renesas Electronics</v>
      </c>
      <c r="C47454" s="6">
        <v>17033</v>
      </c>
      <c r="D47454" s="7">
        <v>0.15</v>
      </c>
    </row>
    <row r="47455" spans="1:4" x14ac:dyDescent="0.25">
      <c r="A47455" t="str">
        <f>HYPERLINK("https://www.773grp.com/globalSearch/RD2.0ES-AZ/page-1", "RD2.0ES-AZ")</f>
        <v>RD2.0ES-AZ</v>
      </c>
      <c r="B47455" s="3" t="str">
        <f>HYPERLINK("https://www.773grp.com/manufacturer/renesas-electronics-america-inc?pageNo=312", "Renesas Electronics")</f>
        <v>Renesas Electronics</v>
      </c>
      <c r="C47455" s="6">
        <v>63200</v>
      </c>
      <c r="D47455" s="7">
        <v>0.15</v>
      </c>
    </row>
    <row r="47456" spans="1:4" x14ac:dyDescent="0.25">
      <c r="A47456" t="str">
        <f>HYPERLINK("https://www.773grp.com/globalSearch/RD2.0ES-T1/page-1", "RD2.0ES-T1")</f>
        <v>RD2.0ES-T1</v>
      </c>
      <c r="B47456" s="3" t="str">
        <f>HYPERLINK("https://www.773grp.com/manufacturer/renesas-electronics-america-inc?pageNo=313", "Renesas Electronics")</f>
        <v>Renesas Electronics</v>
      </c>
      <c r="C47456" s="6">
        <v>94000</v>
      </c>
      <c r="D47456" s="7">
        <v>0.15</v>
      </c>
    </row>
    <row r="47457" spans="1:4" x14ac:dyDescent="0.25">
      <c r="A47457" t="str">
        <f>HYPERLINK("https://www.773grp.com/globalSearch/RD2.0ES-T4-AZ/page-1", "RD2.0ES-T4-AZ")</f>
        <v>RD2.0ES-T4-AZ</v>
      </c>
      <c r="B47457" s="3" t="str">
        <f>HYPERLINK("https://www.773grp.com/manufacturer/renesas-electronics-america-inc?pageNo=314", "Renesas Electronics")</f>
        <v>Renesas Electronics</v>
      </c>
      <c r="C47457" s="6">
        <v>50000</v>
      </c>
      <c r="D47457" s="7">
        <v>0.15</v>
      </c>
    </row>
    <row r="47458" spans="1:4" x14ac:dyDescent="0.25">
      <c r="A47458" t="str">
        <f>HYPERLINK("https://www.773grp.com/globalSearch/RD2.0E-T1/page-1", "RD2.0E-T1")</f>
        <v>RD2.0E-T1</v>
      </c>
      <c r="B47458" s="3" t="str">
        <f>HYPERLINK("https://www.773grp.com/manufacturer/renesas-electronics-america-inc?pageNo=315", "Renesas Electronics")</f>
        <v>Renesas Electronics</v>
      </c>
      <c r="C47458" s="6">
        <v>2000</v>
      </c>
      <c r="D47458" s="7">
        <v>0.15</v>
      </c>
    </row>
    <row r="47459" spans="1:4" x14ac:dyDescent="0.25">
      <c r="A47459" t="str">
        <f>HYPERLINK("https://www.773grp.com/globalSearch/RD2.0E-T1-AZ/page-1", "RD2.0E-T1-AZ")</f>
        <v>RD2.0E-T1-AZ</v>
      </c>
      <c r="B47459" s="3" t="str">
        <f>HYPERLINK("https://www.773grp.com/manufacturer/renesas-electronics-america-inc?pageNo=316", "Renesas Electronics")</f>
        <v>Renesas Electronics</v>
      </c>
      <c r="C47459" s="6">
        <v>52000</v>
      </c>
      <c r="D47459" s="7">
        <v>0.15</v>
      </c>
    </row>
    <row r="47460" spans="1:4" x14ac:dyDescent="0.25">
      <c r="A47460" t="str">
        <f>HYPERLINK("https://www.773grp.com/globalSearch/RD2.0E-T4-AZ/page-1", "RD2.0E-T4-AZ")</f>
        <v>RD2.0E-T4-AZ</v>
      </c>
      <c r="B47460" s="3" t="str">
        <f>HYPERLINK("https://www.773grp.com/manufacturer/renesas-electronics-america-inc?pageNo=317", "Renesas Electronics")</f>
        <v>Renesas Electronics</v>
      </c>
      <c r="C47460" s="6">
        <v>50000</v>
      </c>
      <c r="D47460" s="7">
        <v>0.15</v>
      </c>
    </row>
    <row r="47461" spans="1:4" x14ac:dyDescent="0.25">
      <c r="A47461" t="str">
        <f>HYPERLINK("https://www.773grp.com/globalSearch/RD2.0E-TB-AZ/page-1", "RD2.0E-TB-AZ")</f>
        <v>RD2.0E-TB-AZ</v>
      </c>
      <c r="B47461" s="3" t="str">
        <f>HYPERLINK("https://www.773grp.com/manufacturer/renesas-electronics-america-inc?pageNo=318", "Renesas Electronics")</f>
        <v>Renesas Electronics</v>
      </c>
      <c r="C47461" s="6">
        <v>30000</v>
      </c>
      <c r="D47461" s="7">
        <v>0.15</v>
      </c>
    </row>
    <row r="47462" spans="1:4" x14ac:dyDescent="0.25">
      <c r="A47462" t="str">
        <f>HYPERLINK("https://www.773grp.com/globalSearch/RD2.2E/page-1", "RD2.2E")</f>
        <v>RD2.2E</v>
      </c>
      <c r="B47462" s="3" t="str">
        <f>HYPERLINK("https://www.773grp.com/manufacturer/renesas-electronics-america-inc?pageNo=319", "Renesas Electronics")</f>
        <v>Renesas Electronics</v>
      </c>
      <c r="C47462" s="6">
        <v>134</v>
      </c>
      <c r="D47462" s="7">
        <v>0.15</v>
      </c>
    </row>
    <row r="47463" spans="1:4" x14ac:dyDescent="0.25">
      <c r="A47463" t="str">
        <f>HYPERLINK("https://www.773grp.com/globalSearch/RD2.2E-AZ/page-1", "RD2.2E-AZ")</f>
        <v>RD2.2E-AZ</v>
      </c>
      <c r="B47463" s="3" t="str">
        <f>HYPERLINK("https://www.773grp.com/manufacturer/renesas-electronics-america-inc?pageNo=320", "Renesas Electronics")</f>
        <v>Renesas Electronics</v>
      </c>
      <c r="C47463" s="6">
        <v>4000</v>
      </c>
      <c r="D47463" s="7">
        <v>0.15</v>
      </c>
    </row>
    <row r="47464" spans="1:4" x14ac:dyDescent="0.25">
      <c r="A47464" t="str">
        <f>HYPERLINK("https://www.773grp.com/globalSearch/RD2.2ES/page-1", "RD2.2ES")</f>
        <v>RD2.2ES</v>
      </c>
      <c r="B47464" s="3" t="str">
        <f>HYPERLINK("https://www.773grp.com/manufacturer/renesas-electronics-america-inc?pageNo=321", "Renesas Electronics")</f>
        <v>Renesas Electronics</v>
      </c>
      <c r="C47464" s="6">
        <v>2350</v>
      </c>
      <c r="D47464" s="7">
        <v>0.15</v>
      </c>
    </row>
    <row r="47465" spans="1:4" x14ac:dyDescent="0.25">
      <c r="A47465" t="str">
        <f>HYPERLINK("https://www.773grp.com/globalSearch/RD2.2ES-T1-AZ/page-1", "RD2.2ES-T1-AZ")</f>
        <v>RD2.2ES-T1-AZ</v>
      </c>
      <c r="B47465" s="3" t="str">
        <f>HYPERLINK("https://www.773grp.com/manufacturer/renesas-electronics-america-inc?pageNo=322", "Renesas Electronics")</f>
        <v>Renesas Electronics</v>
      </c>
      <c r="C47465" s="6">
        <v>63250</v>
      </c>
      <c r="D47465" s="7">
        <v>0.15</v>
      </c>
    </row>
    <row r="47466" spans="1:4" x14ac:dyDescent="0.25">
      <c r="A47466" t="str">
        <f>HYPERLINK("https://www.773grp.com/globalSearch/RD2.2E-T1-AZ/page-1", "RD2.2E-T1-AZ")</f>
        <v>RD2.2E-T1-AZ</v>
      </c>
      <c r="B47466" s="3" t="str">
        <f>HYPERLINK("https://www.773grp.com/manufacturer/renesas-electronics-america-inc?pageNo=323", "Renesas Electronics")</f>
        <v>Renesas Electronics</v>
      </c>
      <c r="C47466" s="6">
        <v>2000</v>
      </c>
      <c r="D47466" s="7">
        <v>0.15</v>
      </c>
    </row>
    <row r="47467" spans="1:4" x14ac:dyDescent="0.25">
      <c r="A47467" t="str">
        <f>HYPERLINK("https://www.773grp.com/globalSearch/RD2.4E/page-1", "RD2.4E")</f>
        <v>RD2.4E</v>
      </c>
      <c r="B47467" s="3" t="str">
        <f>HYPERLINK("https://www.773grp.com/manufacturer/renesas-electronics-america-inc?pageNo=324", "Renesas Electronics")</f>
        <v>Renesas Electronics</v>
      </c>
      <c r="C47467" s="6">
        <v>91358</v>
      </c>
      <c r="D47467" s="7">
        <v>0.15</v>
      </c>
    </row>
    <row r="47468" spans="1:4" x14ac:dyDescent="0.25">
      <c r="A47468" t="str">
        <f>HYPERLINK("https://www.773grp.com/globalSearch/RD2.4E-AZ/page-1", "RD2.4E-AZ")</f>
        <v>RD2.4E-AZ</v>
      </c>
      <c r="B47468" s="3" t="str">
        <f>HYPERLINK("https://www.773grp.com/manufacturer/renesas-electronics-america-inc?pageNo=325", "Renesas Electronics")</f>
        <v>Renesas Electronics</v>
      </c>
      <c r="C47468" s="6">
        <v>5450</v>
      </c>
      <c r="D47468" s="7">
        <v>0.15</v>
      </c>
    </row>
    <row r="47469" spans="1:4" x14ac:dyDescent="0.25">
      <c r="A47469" t="str">
        <f>HYPERLINK("https://www.773grp.com/globalSearch/RD2.4ES/page-1", "RD2.4ES")</f>
        <v>RD2.4ES</v>
      </c>
      <c r="B47469" s="3" t="str">
        <f>HYPERLINK("https://www.773grp.com/manufacturer/renesas-electronics-america-inc?pageNo=326", "Renesas Electronics")</f>
        <v>Renesas Electronics</v>
      </c>
      <c r="C47469" s="6">
        <v>3600</v>
      </c>
      <c r="D47469" s="7">
        <v>0.15</v>
      </c>
    </row>
    <row r="47470" spans="1:4" x14ac:dyDescent="0.25">
      <c r="A47470" t="str">
        <f>HYPERLINK("https://www.773grp.com/globalSearch/RD2.4ES-AZ/page-1", "RD2.4ES-AZ")</f>
        <v>RD2.4ES-AZ</v>
      </c>
      <c r="B47470" s="3" t="str">
        <f>HYPERLINK("https://www.773grp.com/manufacturer/renesas-electronics-america-inc?pageNo=327", "Renesas Electronics")</f>
        <v>Renesas Electronics</v>
      </c>
      <c r="C47470" s="6">
        <v>9250</v>
      </c>
      <c r="D47470" s="7">
        <v>0.15</v>
      </c>
    </row>
    <row r="47471" spans="1:4" x14ac:dyDescent="0.25">
      <c r="A47471" t="str">
        <f>HYPERLINK("https://www.773grp.com/globalSearch/RD2.4ES-T1-AZ/page-1", "RD2.4ES-T1-AZ")</f>
        <v>RD2.4ES-T1-AZ</v>
      </c>
      <c r="B47471" s="3" t="str">
        <f>HYPERLINK("https://www.773grp.com/manufacturer/renesas-electronics-america-inc?pageNo=328", "Renesas Electronics")</f>
        <v>Renesas Electronics</v>
      </c>
      <c r="C47471" s="6">
        <v>32000</v>
      </c>
      <c r="D47471" s="7">
        <v>0.15</v>
      </c>
    </row>
    <row r="47472" spans="1:4" x14ac:dyDescent="0.25">
      <c r="A47472" t="str">
        <f>HYPERLINK("https://www.773grp.com/globalSearch/RD2.4E-T1/page-1", "RD2.4E-T1")</f>
        <v>RD2.4E-T1</v>
      </c>
      <c r="B47472" s="3" t="str">
        <f>HYPERLINK("https://www.773grp.com/manufacturer/renesas-electronics-america-inc?pageNo=329", "Renesas Electronics")</f>
        <v>Renesas Electronics</v>
      </c>
      <c r="C47472" s="6">
        <v>4000</v>
      </c>
      <c r="D47472" s="7">
        <v>0.15</v>
      </c>
    </row>
    <row r="47473" spans="1:4" x14ac:dyDescent="0.25">
      <c r="A47473" t="str">
        <f>HYPERLINK("https://www.773grp.com/globalSearch/RD2.4E-T4-AZ/page-1", "RD2.4E-T4-AZ")</f>
        <v>RD2.4E-T4-AZ</v>
      </c>
      <c r="B47473" s="3" t="str">
        <f>HYPERLINK("https://www.773grp.com/manufacturer/renesas-electronics-america-inc?pageNo=330", "Renesas Electronics")</f>
        <v>Renesas Electronics</v>
      </c>
      <c r="C47473" s="6">
        <v>95000</v>
      </c>
      <c r="D47473" s="7">
        <v>0.15</v>
      </c>
    </row>
    <row r="47474" spans="1:4" x14ac:dyDescent="0.25">
      <c r="A47474" t="str">
        <f>HYPERLINK("https://www.773grp.com/globalSearch/RD2.7E/page-1", "RD2.7E")</f>
        <v>RD2.7E</v>
      </c>
      <c r="B47474" s="3" t="str">
        <f>HYPERLINK("https://www.773grp.com/manufacturer/renesas-electronics-america-inc?pageNo=331", "Renesas Electronics")</f>
        <v>Renesas Electronics</v>
      </c>
      <c r="C47474" s="6">
        <v>68600</v>
      </c>
      <c r="D47474" s="7">
        <v>0.15</v>
      </c>
    </row>
    <row r="47475" spans="1:4" x14ac:dyDescent="0.25">
      <c r="A47475" t="str">
        <f>HYPERLINK("https://www.773grp.com/globalSearch/RD2.7ES-T1/page-1", "RD2.7ES-T1")</f>
        <v>RD2.7ES-T1</v>
      </c>
      <c r="B47475" s="3" t="str">
        <f>HYPERLINK("https://www.773grp.com/manufacturer/renesas-electronics-america-inc?pageNo=332", "Renesas Electronics")</f>
        <v>Renesas Electronics</v>
      </c>
      <c r="C47475" s="6">
        <v>46000</v>
      </c>
      <c r="D47475" s="7">
        <v>0.15</v>
      </c>
    </row>
    <row r="47476" spans="1:4" x14ac:dyDescent="0.25">
      <c r="A47476" t="str">
        <f>HYPERLINK("https://www.773grp.com/globalSearch/RD2.7ES-T4-AZ/page-1", "RD2.7ES-T4-AZ")</f>
        <v>RD2.7ES-T4-AZ</v>
      </c>
      <c r="B47476" s="3" t="str">
        <f>HYPERLINK("https://www.773grp.com/manufacturer/renesas-electronics-america-inc?pageNo=333", "Renesas Electronics")</f>
        <v>Renesas Electronics</v>
      </c>
      <c r="C47476" s="6">
        <v>35000</v>
      </c>
      <c r="D47476" s="7">
        <v>0.15</v>
      </c>
    </row>
    <row r="47477" spans="1:4" x14ac:dyDescent="0.25">
      <c r="A47477" t="str">
        <f>HYPERLINK("https://www.773grp.com/globalSearch/RD2.7E-T1-AZ/page-1", "RD2.7E-T1-AZ")</f>
        <v>RD2.7E-T1-AZ</v>
      </c>
      <c r="B47477" s="3" t="str">
        <f>HYPERLINK("https://www.773grp.com/manufacturer/renesas-electronics-america-inc?pageNo=334", "Renesas Electronics")</f>
        <v>Renesas Electronics</v>
      </c>
      <c r="C47477" s="6">
        <v>122000</v>
      </c>
      <c r="D47477" s="7">
        <v>0.15</v>
      </c>
    </row>
    <row r="47478" spans="1:4" x14ac:dyDescent="0.25">
      <c r="A47478" t="str">
        <f>HYPERLINK("https://www.773grp.com/globalSearch/RD2.7E-T4/page-1", "RD2.7E-T4")</f>
        <v>RD2.7E-T4</v>
      </c>
      <c r="B47478" s="3" t="str">
        <f>HYPERLINK("https://www.773grp.com/manufacturer/renesas-electronics-america-inc?pageNo=335", "Renesas Electronics")</f>
        <v>Renesas Electronics</v>
      </c>
      <c r="C47478" s="6">
        <v>10000</v>
      </c>
      <c r="D47478" s="7">
        <v>0.15</v>
      </c>
    </row>
    <row r="47479" spans="1:4" x14ac:dyDescent="0.25">
      <c r="A47479" t="str">
        <f>HYPERLINK("https://www.773grp.com/globalSearch/RD2.7E-T4-AZ/page-1", "RD2.7E-T4-AZ")</f>
        <v>RD2.7E-T4-AZ</v>
      </c>
      <c r="B47479" s="3" t="str">
        <f>HYPERLINK("https://www.773grp.com/manufacturer/renesas-electronics-america-inc?pageNo=336", "Renesas Electronics")</f>
        <v>Renesas Electronics</v>
      </c>
      <c r="C47479" s="6">
        <v>190000</v>
      </c>
      <c r="D47479" s="7">
        <v>0.15</v>
      </c>
    </row>
    <row r="47480" spans="1:4" x14ac:dyDescent="0.25">
      <c r="A47480" t="str">
        <f>HYPERLINK("https://www.773grp.com/globalSearch/RD2.7E-TB/page-1", "RD2.7E-TB")</f>
        <v>RD2.7E-TB</v>
      </c>
      <c r="B47480" s="3" t="str">
        <f>HYPERLINK("https://www.773grp.com/manufacturer/renesas-electronics-america-inc?pageNo=337", "Renesas Electronics")</f>
        <v>Renesas Electronics</v>
      </c>
      <c r="C47480" s="6">
        <v>55000</v>
      </c>
      <c r="D47480" s="7">
        <v>0.15</v>
      </c>
    </row>
    <row r="47481" spans="1:4" x14ac:dyDescent="0.25">
      <c r="A47481" t="str">
        <f>HYPERLINK("https://www.773grp.com/globalSearch/RD20ES/page-1", "RD20ES")</f>
        <v>RD20ES</v>
      </c>
      <c r="B47481" s="3" t="str">
        <f>HYPERLINK("https://www.773grp.com/manufacturer/renesas-electronics-america-inc?pageNo=338", "Renesas Electronics")</f>
        <v>Renesas Electronics</v>
      </c>
      <c r="C47481" s="6">
        <v>43865</v>
      </c>
      <c r="D47481" s="7">
        <v>0.15</v>
      </c>
    </row>
    <row r="47482" spans="1:4" x14ac:dyDescent="0.25">
      <c r="A47482" t="str">
        <f>HYPERLINK("https://www.773grp.com/globalSearch/RD20ES-AZ/page-1", "RD20ES-AZ")</f>
        <v>RD20ES-AZ</v>
      </c>
      <c r="B47482" s="3" t="str">
        <f>HYPERLINK("https://www.773grp.com/manufacturer/renesas-electronics-america-inc?pageNo=339", "Renesas Electronics")</f>
        <v>Renesas Electronics</v>
      </c>
      <c r="C47482" s="6">
        <v>7200</v>
      </c>
      <c r="D47482" s="7">
        <v>0.15</v>
      </c>
    </row>
    <row r="47483" spans="1:4" x14ac:dyDescent="0.25">
      <c r="A47483" t="str">
        <f>HYPERLINK("https://www.773grp.com/globalSearch/RD20ES-T1/page-1", "RD20ES-T1")</f>
        <v>RD20ES-T1</v>
      </c>
      <c r="B47483" s="3" t="str">
        <f>HYPERLINK("https://www.773grp.com/manufacturer/renesas-electronics-america-inc?pageNo=340", "Renesas Electronics")</f>
        <v>Renesas Electronics</v>
      </c>
      <c r="C47483" s="6">
        <v>86000</v>
      </c>
      <c r="D47483" s="7">
        <v>0.15</v>
      </c>
    </row>
    <row r="47484" spans="1:4" x14ac:dyDescent="0.25">
      <c r="A47484" t="str">
        <f>HYPERLINK("https://www.773grp.com/globalSearch/RD20ES-T4-AZ/page-1", "RD20ES-T4-AZ")</f>
        <v>RD20ES-T4-AZ</v>
      </c>
      <c r="B47484" s="3" t="str">
        <f>HYPERLINK("https://www.773grp.com/manufacturer/renesas-electronics-america-inc?pageNo=341", "Renesas Electronics")</f>
        <v>Renesas Electronics</v>
      </c>
      <c r="C47484" s="6">
        <v>15000</v>
      </c>
      <c r="D47484" s="7">
        <v>0.15</v>
      </c>
    </row>
    <row r="47485" spans="1:4" x14ac:dyDescent="0.25">
      <c r="A47485" t="str">
        <f>HYPERLINK("https://www.773grp.com/globalSearch/RD20E-T2-AZ/page-1", "RD20E-T2-AZ")</f>
        <v>RD20E-T2-AZ</v>
      </c>
      <c r="B47485" s="3" t="str">
        <f>HYPERLINK("https://www.773grp.com/manufacturer/renesas-electronics-america-inc?pageNo=342", "Renesas Electronics")</f>
        <v>Renesas Electronics</v>
      </c>
      <c r="C47485" s="6">
        <v>30000</v>
      </c>
      <c r="D47485" s="7">
        <v>0.15</v>
      </c>
    </row>
    <row r="47486" spans="1:4" x14ac:dyDescent="0.25">
      <c r="A47486" t="str">
        <f>HYPERLINK("https://www.773grp.com/globalSearch/RD20E-T4-AZ/page-1", "RD20E-T4-AZ")</f>
        <v>RD20E-T4-AZ</v>
      </c>
      <c r="B47486" s="3" t="str">
        <f>HYPERLINK("https://www.773grp.com/manufacturer/renesas-electronics-america-inc?pageNo=343", "Renesas Electronics")</f>
        <v>Renesas Electronics</v>
      </c>
      <c r="C47486" s="6">
        <v>200000</v>
      </c>
      <c r="D47486" s="7">
        <v>0.15</v>
      </c>
    </row>
    <row r="47487" spans="1:4" x14ac:dyDescent="0.25">
      <c r="A47487" t="str">
        <f>HYPERLINK("https://www.773grp.com/globalSearch/RD20E-TB-AZ/page-1", "RD20E-TB-AZ")</f>
        <v>RD20E-TB-AZ</v>
      </c>
      <c r="B47487" s="3" t="str">
        <f>HYPERLINK("https://www.773grp.com/manufacturer/renesas-electronics-america-inc?pageNo=344", "Renesas Electronics")</f>
        <v>Renesas Electronics</v>
      </c>
      <c r="C47487" s="6">
        <v>82500</v>
      </c>
      <c r="D47487" s="7">
        <v>0.15</v>
      </c>
    </row>
    <row r="47488" spans="1:4" x14ac:dyDescent="0.25">
      <c r="A47488" t="str">
        <f>HYPERLINK("https://www.773grp.com/globalSearch/RD20JS/page-1", "RD20JS")</f>
        <v>RD20JS</v>
      </c>
      <c r="B47488" s="3" t="str">
        <f>HYPERLINK("https://www.773grp.com/manufacturer/renesas-electronics-america-inc?pageNo=345", "Renesas Electronics")</f>
        <v>Renesas Electronics</v>
      </c>
      <c r="C47488" s="6">
        <v>107580</v>
      </c>
      <c r="D47488" s="7">
        <v>0.15</v>
      </c>
    </row>
    <row r="47489" spans="1:4" x14ac:dyDescent="0.25">
      <c r="A47489" t="str">
        <f>HYPERLINK("https://www.773grp.com/globalSearch/RD22E-AZ/page-1", "RD22E-AZ")</f>
        <v>RD22E-AZ</v>
      </c>
      <c r="B47489" s="3" t="str">
        <f>HYPERLINK("https://www.773grp.com/manufacturer/renesas-electronics-america-inc?pageNo=346", "Renesas Electronics")</f>
        <v>Renesas Electronics</v>
      </c>
      <c r="C47489" s="6">
        <v>4000</v>
      </c>
      <c r="D47489" s="7">
        <v>0.15</v>
      </c>
    </row>
    <row r="47490" spans="1:4" x14ac:dyDescent="0.25">
      <c r="A47490" t="str">
        <f>HYPERLINK("https://www.773grp.com/globalSearch/RD22ES-T1/page-1", "RD22ES-T1")</f>
        <v>RD22ES-T1</v>
      </c>
      <c r="B47490" s="3" t="str">
        <f>HYPERLINK("https://www.773grp.com/manufacturer/renesas-electronics-america-inc?pageNo=347", "Renesas Electronics")</f>
        <v>Renesas Electronics</v>
      </c>
      <c r="C47490" s="6">
        <v>66000</v>
      </c>
      <c r="D47490" s="7">
        <v>0.15</v>
      </c>
    </row>
    <row r="47491" spans="1:4" x14ac:dyDescent="0.25">
      <c r="A47491" t="str">
        <f>HYPERLINK("https://www.773grp.com/globalSearch/RD22ES-T1-AZ/page-1", "RD22ES-T1-AZ")</f>
        <v>RD22ES-T1-AZ</v>
      </c>
      <c r="B47491" s="3" t="str">
        <f>HYPERLINK("https://www.773grp.com/manufacturer/renesas-electronics-america-inc?pageNo=348", "Renesas Electronics")</f>
        <v>Renesas Electronics</v>
      </c>
      <c r="C47491" s="6">
        <v>198000</v>
      </c>
      <c r="D47491" s="7">
        <v>0.15</v>
      </c>
    </row>
    <row r="47492" spans="1:4" x14ac:dyDescent="0.25">
      <c r="A47492" t="str">
        <f>HYPERLINK("https://www.773grp.com/globalSearch/RD22ES-T4-AZ/page-1", "RD22ES-T4-AZ")</f>
        <v>RD22ES-T4-AZ</v>
      </c>
      <c r="B47492" s="3" t="str">
        <f>HYPERLINK("https://www.773grp.com/manufacturer/renesas-electronics-america-inc?pageNo=349", "Renesas Electronics")</f>
        <v>Renesas Electronics</v>
      </c>
      <c r="C47492" s="6">
        <v>10000</v>
      </c>
      <c r="D47492" s="7">
        <v>0.15</v>
      </c>
    </row>
    <row r="47493" spans="1:4" x14ac:dyDescent="0.25">
      <c r="A47493" t="str">
        <f>HYPERLINK("https://www.773grp.com/globalSearch/RD22E-T4-AZ/page-1", "RD22E-T4-AZ")</f>
        <v>RD22E-T4-AZ</v>
      </c>
      <c r="B47493" s="3" t="str">
        <f>HYPERLINK("https://www.773grp.com/manufacturer/renesas-electronics-america-inc?pageNo=350", "Renesas Electronics")</f>
        <v>Renesas Electronics</v>
      </c>
      <c r="C47493" s="6">
        <v>160000</v>
      </c>
      <c r="D47493" s="7">
        <v>0.15</v>
      </c>
    </row>
    <row r="47494" spans="1:4" x14ac:dyDescent="0.25">
      <c r="A47494" t="str">
        <f>HYPERLINK("https://www.773grp.com/globalSearch/RD22E-TB-AZ/page-1", "RD22E-TB-AZ")</f>
        <v>RD22E-TB-AZ</v>
      </c>
      <c r="B47494" s="3" t="str">
        <f>HYPERLINK("https://www.773grp.com/manufacturer/renesas-electronics-america-inc?pageNo=351", "Renesas Electronics")</f>
        <v>Renesas Electronics</v>
      </c>
      <c r="C47494" s="6">
        <v>35000</v>
      </c>
      <c r="D47494" s="7">
        <v>0.15</v>
      </c>
    </row>
    <row r="47495" spans="1:4" x14ac:dyDescent="0.25">
      <c r="A47495" t="str">
        <f>HYPERLINK("https://www.773grp.com/globalSearch/RD24ES-T1/page-1", "RD24ES-T1")</f>
        <v>RD24ES-T1</v>
      </c>
      <c r="B47495" s="3" t="str">
        <f>HYPERLINK("https://www.773grp.com/manufacturer/renesas-electronics-america-inc?pageNo=352", "Renesas Electronics")</f>
        <v>Renesas Electronics</v>
      </c>
      <c r="C47495" s="6">
        <v>20000</v>
      </c>
      <c r="D47495" s="7">
        <v>0.15</v>
      </c>
    </row>
    <row r="47496" spans="1:4" x14ac:dyDescent="0.25">
      <c r="A47496" t="str">
        <f>HYPERLINK("https://www.773grp.com/globalSearch/RD24ES-T4-AZ/page-1", "RD24ES-T4-AZ")</f>
        <v>RD24ES-T4-AZ</v>
      </c>
      <c r="B47496" s="3" t="str">
        <f>HYPERLINK("https://www.773grp.com/manufacturer/renesas-electronics-america-inc?pageNo=353", "Renesas Electronics")</f>
        <v>Renesas Electronics</v>
      </c>
      <c r="C47496" s="6">
        <v>625000</v>
      </c>
      <c r="D47496" s="7">
        <v>0.15</v>
      </c>
    </row>
    <row r="47497" spans="1:4" x14ac:dyDescent="0.25">
      <c r="A47497" t="str">
        <f>HYPERLINK("https://www.773grp.com/globalSearch/RD24E-T1/page-1", "RD24E-T1")</f>
        <v>RD24E-T1</v>
      </c>
      <c r="B47497" s="3" t="str">
        <f>HYPERLINK("https://www.773grp.com/manufacturer/renesas-electronics-america-inc?pageNo=354", "Renesas Electronics")</f>
        <v>Renesas Electronics</v>
      </c>
      <c r="C47497" s="6">
        <v>48000</v>
      </c>
      <c r="D47497" s="7">
        <v>0.15</v>
      </c>
    </row>
    <row r="47498" spans="1:4" x14ac:dyDescent="0.25">
      <c r="A47498" t="str">
        <f>HYPERLINK("https://www.773grp.com/globalSearch/RD24E-T1-AZ/page-1", "RD24E-T1-AZ")</f>
        <v>RD24E-T1-AZ</v>
      </c>
      <c r="B47498" s="3" t="str">
        <f>HYPERLINK("https://www.773grp.com/manufacturer/renesas-electronics-america-inc?pageNo=355", "Renesas Electronics")</f>
        <v>Renesas Electronics</v>
      </c>
      <c r="C47498" s="6">
        <v>698000</v>
      </c>
      <c r="D47498" s="7">
        <v>0.15</v>
      </c>
    </row>
    <row r="47499" spans="1:4" x14ac:dyDescent="0.25">
      <c r="A47499" t="str">
        <f>HYPERLINK("https://www.773grp.com/globalSearch/RD24E-T2-AZ/page-1", "RD24E-T2-AZ")</f>
        <v>RD24E-T2-AZ</v>
      </c>
      <c r="B47499" s="3" t="str">
        <f>HYPERLINK("https://www.773grp.com/manufacturer/renesas-electronics-america-inc?pageNo=356", "Renesas Electronics")</f>
        <v>Renesas Electronics</v>
      </c>
      <c r="C47499" s="6">
        <v>325000</v>
      </c>
      <c r="D47499" s="7">
        <v>0.15</v>
      </c>
    </row>
    <row r="47500" spans="1:4" x14ac:dyDescent="0.25">
      <c r="A47500" t="str">
        <f>HYPERLINK("https://www.773grp.com/globalSearch/RD24E-TB-AZ/page-1", "RD24E-TB-AZ")</f>
        <v>RD24E-TB-AZ</v>
      </c>
      <c r="B47500" s="3" t="str">
        <f>HYPERLINK("https://www.773grp.com/manufacturer/renesas-electronics-america-inc?pageNo=357", "Renesas Electronics")</f>
        <v>Renesas Electronics</v>
      </c>
      <c r="C47500" s="6">
        <v>85000</v>
      </c>
      <c r="D47500" s="7">
        <v>0.15</v>
      </c>
    </row>
    <row r="47501" spans="1:4" x14ac:dyDescent="0.25">
      <c r="A47501" t="str">
        <f>HYPERLINK("https://www.773grp.com/globalSearch/RD24JS-AZ/page-1", "RD24JS-AZ")</f>
        <v>RD24JS-AZ</v>
      </c>
      <c r="B47501" s="3" t="str">
        <f>HYPERLINK("https://www.773grp.com/manufacturer/renesas-electronics-america-inc?pageNo=358", "Renesas Electronics")</f>
        <v>Renesas Electronics</v>
      </c>
      <c r="C47501" s="6">
        <v>5500</v>
      </c>
      <c r="D47501" s="7">
        <v>0.15</v>
      </c>
    </row>
    <row r="47502" spans="1:4" x14ac:dyDescent="0.25">
      <c r="A47502" t="str">
        <f>HYPERLINK("https://www.773grp.com/globalSearch/RD27ES-AZ/page-1", "RD27ES-AZ")</f>
        <v>RD27ES-AZ</v>
      </c>
      <c r="B47502" s="3" t="str">
        <f>HYPERLINK("https://www.773grp.com/manufacturer/renesas-electronics-america-inc?pageNo=359", "Renesas Electronics")</f>
        <v>Renesas Electronics</v>
      </c>
      <c r="C47502" s="6">
        <v>10449</v>
      </c>
      <c r="D47502" s="7">
        <v>0.15</v>
      </c>
    </row>
    <row r="47503" spans="1:4" x14ac:dyDescent="0.25">
      <c r="A47503" t="str">
        <f>HYPERLINK("https://www.773grp.com/globalSearch/RD27ES-T1/page-1", "RD27ES-T1")</f>
        <v>RD27ES-T1</v>
      </c>
      <c r="B47503" s="3" t="str">
        <f>HYPERLINK("https://www.773grp.com/manufacturer/renesas-electronics-america-inc?pageNo=360", "Renesas Electronics")</f>
        <v>Renesas Electronics</v>
      </c>
      <c r="C47503" s="6">
        <v>8000</v>
      </c>
      <c r="D47503" s="7">
        <v>0.15</v>
      </c>
    </row>
    <row r="47504" spans="1:4" x14ac:dyDescent="0.25">
      <c r="A47504" t="str">
        <f>HYPERLINK("https://www.773grp.com/globalSearch/RD27E-T1/page-1", "RD27E-T1")</f>
        <v>RD27E-T1</v>
      </c>
      <c r="B47504" s="3" t="str">
        <f>HYPERLINK("https://www.773grp.com/manufacturer/renesas-electronics-america-inc?pageNo=361", "Renesas Electronics")</f>
        <v>Renesas Electronics</v>
      </c>
      <c r="C47504" s="6">
        <v>34000</v>
      </c>
      <c r="D47504" s="7">
        <v>0.15</v>
      </c>
    </row>
    <row r="47505" spans="1:4" x14ac:dyDescent="0.25">
      <c r="A47505" t="str">
        <f>HYPERLINK("https://www.773grp.com/globalSearch/RD27E-T2/page-1", "RD27E-T2")</f>
        <v>RD27E-T2</v>
      </c>
      <c r="B47505" s="3" t="str">
        <f>HYPERLINK("https://www.773grp.com/manufacturer/renesas-electronics-america-inc?pageNo=362", "Renesas Electronics")</f>
        <v>Renesas Electronics</v>
      </c>
      <c r="C47505" s="6">
        <v>10000</v>
      </c>
      <c r="D47505" s="7">
        <v>0.15</v>
      </c>
    </row>
    <row r="47506" spans="1:4" x14ac:dyDescent="0.25">
      <c r="A47506" t="str">
        <f>HYPERLINK("https://www.773grp.com/globalSearch/RD27E-T2-AZ/page-1", "RD27E-T2-AZ")</f>
        <v>RD27E-T2-AZ</v>
      </c>
      <c r="B47506" s="3" t="str">
        <f>HYPERLINK("https://www.773grp.com/manufacturer/renesas-electronics-america-inc?pageNo=363", "Renesas Electronics")</f>
        <v>Renesas Electronics</v>
      </c>
      <c r="C47506" s="6">
        <v>65000</v>
      </c>
      <c r="D47506" s="7">
        <v>0.15</v>
      </c>
    </row>
    <row r="47507" spans="1:4" x14ac:dyDescent="0.25">
      <c r="A47507" t="str">
        <f>HYPERLINK("https://www.773grp.com/globalSearch/RD27E-T4-AZ/page-1", "RD27E-T4-AZ")</f>
        <v>RD27E-T4-AZ</v>
      </c>
      <c r="B47507" s="3" t="str">
        <f>HYPERLINK("https://www.773grp.com/manufacturer/renesas-electronics-america-inc?pageNo=364", "Renesas Electronics")</f>
        <v>Renesas Electronics</v>
      </c>
      <c r="C47507" s="6">
        <v>1575000</v>
      </c>
      <c r="D47507" s="7">
        <v>0.15</v>
      </c>
    </row>
    <row r="47508" spans="1:4" x14ac:dyDescent="0.25">
      <c r="A47508" t="str">
        <f>HYPERLINK("https://www.773grp.com/globalSearch/RD27E-TB/page-1", "RD27E-TB")</f>
        <v>RD27E-TB</v>
      </c>
      <c r="B47508" s="3" t="str">
        <f>HYPERLINK("https://www.773grp.com/manufacturer/renesas-electronics-america-inc?pageNo=365", "Renesas Electronics")</f>
        <v>Renesas Electronics</v>
      </c>
      <c r="C47508" s="6">
        <v>102500</v>
      </c>
      <c r="D47508" s="7">
        <v>0.15</v>
      </c>
    </row>
    <row r="47509" spans="1:4" x14ac:dyDescent="0.25">
      <c r="A47509" t="str">
        <f>HYPERLINK("https://www.773grp.com/globalSearch/RD27E-TB-AZ/page-1", "RD27E-TB-AZ")</f>
        <v>RD27E-TB-AZ</v>
      </c>
      <c r="B47509" s="3" t="str">
        <f>HYPERLINK("https://www.773grp.com/manufacturer/renesas-electronics-america-inc?pageNo=366", "Renesas Electronics")</f>
        <v>Renesas Electronics</v>
      </c>
      <c r="C47509" s="6">
        <v>100000</v>
      </c>
      <c r="D47509" s="7">
        <v>0.15</v>
      </c>
    </row>
    <row r="47510" spans="1:4" x14ac:dyDescent="0.25">
      <c r="A47510" t="str">
        <f>HYPERLINK("https://www.773grp.com/globalSearch/RD27JS/page-1", "RD27JS")</f>
        <v>RD27JS</v>
      </c>
      <c r="B47510" s="3" t="str">
        <f>HYPERLINK("https://www.773grp.com/manufacturer/renesas-electronics-america-inc?pageNo=367", "Renesas Electronics")</f>
        <v>Renesas Electronics</v>
      </c>
      <c r="C47510" s="6">
        <v>36399</v>
      </c>
      <c r="D47510" s="7">
        <v>0.15</v>
      </c>
    </row>
    <row r="47511" spans="1:4" x14ac:dyDescent="0.25">
      <c r="A47511" t="str">
        <f>HYPERLINK("https://www.773grp.com/globalSearch/RD27JS-AZ/page-1", "RD27JS-AZ")</f>
        <v>RD27JS-AZ</v>
      </c>
      <c r="B47511" s="3" t="str">
        <f>HYPERLINK("https://www.773grp.com/manufacturer/renesas-electronics-america-inc?pageNo=368", "Renesas Electronics")</f>
        <v>Renesas Electronics</v>
      </c>
      <c r="C47511" s="6">
        <v>11900</v>
      </c>
      <c r="D47511" s="7">
        <v>0.15</v>
      </c>
    </row>
    <row r="47512" spans="1:4" x14ac:dyDescent="0.25">
      <c r="A47512" t="str">
        <f>HYPERLINK("https://www.773grp.com/globalSearch/RD27JS-T1-AZ/page-1", "RD27JS-T1-AZ")</f>
        <v>RD27JS-T1-AZ</v>
      </c>
      <c r="B47512" s="3" t="str">
        <f>HYPERLINK("https://www.773grp.com/manufacturer/renesas-electronics-america-inc?pageNo=369", "Renesas Electronics")</f>
        <v>Renesas Electronics</v>
      </c>
      <c r="C47512" s="6">
        <v>316000</v>
      </c>
      <c r="D47512" s="7">
        <v>0.15</v>
      </c>
    </row>
    <row r="47513" spans="1:4" x14ac:dyDescent="0.25">
      <c r="A47513" t="str">
        <f>HYPERLINK("https://www.773grp.com/globalSearch/RD3.0ES-AZ/page-1", "RD3.0ES-AZ")</f>
        <v>RD3.0ES-AZ</v>
      </c>
      <c r="B47513" s="3" t="str">
        <f>HYPERLINK("https://www.773grp.com/manufacturer/renesas-electronics-america-inc?pageNo=370", "Renesas Electronics")</f>
        <v>Renesas Electronics</v>
      </c>
      <c r="C47513" s="6">
        <v>6600</v>
      </c>
      <c r="D47513" s="7">
        <v>0.15</v>
      </c>
    </row>
    <row r="47514" spans="1:4" x14ac:dyDescent="0.25">
      <c r="A47514" t="str">
        <f>HYPERLINK("https://www.773grp.com/globalSearch/RD3.0ES-T4-AZ/page-1", "RD3.0ES-T4-AZ")</f>
        <v>RD3.0ES-T4-AZ</v>
      </c>
      <c r="B47514" s="3" t="str">
        <f>HYPERLINK("https://www.773grp.com/manufacturer/renesas-electronics-america-inc?pageNo=371", "Renesas Electronics")</f>
        <v>Renesas Electronics</v>
      </c>
      <c r="C47514" s="6">
        <v>50000</v>
      </c>
      <c r="D47514" s="7">
        <v>0.15</v>
      </c>
    </row>
    <row r="47515" spans="1:4" x14ac:dyDescent="0.25">
      <c r="A47515" t="str">
        <f>HYPERLINK("https://www.773grp.com/globalSearch/RD3.0E-T1/page-1", "RD3.0E-T1")</f>
        <v>RD3.0E-T1</v>
      </c>
      <c r="B47515" s="3" t="str">
        <f>HYPERLINK("https://www.773grp.com/manufacturer/renesas-electronics-america-inc?pageNo=372", "Renesas Electronics")</f>
        <v>Renesas Electronics</v>
      </c>
      <c r="C47515" s="6">
        <v>64000</v>
      </c>
      <c r="D47515" s="7">
        <v>0.15</v>
      </c>
    </row>
    <row r="47516" spans="1:4" x14ac:dyDescent="0.25">
      <c r="A47516" t="str">
        <f>HYPERLINK("https://www.773grp.com/globalSearch/RD3.0E-T1-AZ/page-1", "RD3.0E-T1-AZ")</f>
        <v>RD3.0E-T1-AZ</v>
      </c>
      <c r="B47516" s="3" t="str">
        <f>HYPERLINK("https://www.773grp.com/manufacturer/renesas-electronics-america-inc?pageNo=373", "Renesas Electronics")</f>
        <v>Renesas Electronics</v>
      </c>
      <c r="C47516" s="6">
        <v>116000</v>
      </c>
      <c r="D47516" s="7">
        <v>0.15</v>
      </c>
    </row>
    <row r="47517" spans="1:4" x14ac:dyDescent="0.25">
      <c r="A47517" t="str">
        <f>HYPERLINK("https://www.773grp.com/globalSearch/RD3.0E-T2/page-1", "RD3.0E-T2")</f>
        <v>RD3.0E-T2</v>
      </c>
      <c r="B47517" s="3" t="str">
        <f>HYPERLINK("https://www.773grp.com/manufacturer/renesas-electronics-america-inc?pageNo=374", "Renesas Electronics")</f>
        <v>Renesas Electronics</v>
      </c>
      <c r="C47517" s="6">
        <v>20000</v>
      </c>
      <c r="D47517" s="7">
        <v>0.15</v>
      </c>
    </row>
    <row r="47518" spans="1:4" x14ac:dyDescent="0.25">
      <c r="A47518" t="str">
        <f>HYPERLINK("https://www.773grp.com/globalSearch/RD3.0E-T2-AZ/page-1", "RD3.0E-T2-AZ")</f>
        <v>RD3.0E-T2-AZ</v>
      </c>
      <c r="B47518" s="3" t="str">
        <f>HYPERLINK("https://www.773grp.com/manufacturer/renesas-electronics-america-inc?pageNo=375", "Renesas Electronics")</f>
        <v>Renesas Electronics</v>
      </c>
      <c r="C47518" s="6">
        <v>10000</v>
      </c>
      <c r="D47518" s="7">
        <v>0.15</v>
      </c>
    </row>
    <row r="47519" spans="1:4" x14ac:dyDescent="0.25">
      <c r="A47519" t="str">
        <f>HYPERLINK("https://www.773grp.com/globalSearch/RD3.0E-T4-AZ/page-1", "RD3.0E-T4-AZ")</f>
        <v>RD3.0E-T4-AZ</v>
      </c>
      <c r="B47519" s="3" t="str">
        <f>HYPERLINK("https://www.773grp.com/manufacturer/renesas-electronics-america-inc?pageNo=376", "Renesas Electronics")</f>
        <v>Renesas Electronics</v>
      </c>
      <c r="C47519" s="6">
        <v>40000</v>
      </c>
      <c r="D47519" s="7">
        <v>0.15</v>
      </c>
    </row>
    <row r="47520" spans="1:4" x14ac:dyDescent="0.25">
      <c r="A47520" t="str">
        <f>HYPERLINK("https://www.773grp.com/globalSearch/RD3.3ES-AZ/page-1", "RD3.3ES-AZ")</f>
        <v>RD3.3ES-AZ</v>
      </c>
      <c r="B47520" s="3" t="str">
        <f>HYPERLINK("https://www.773grp.com/manufacturer/renesas-electronics-america-inc?pageNo=377", "Renesas Electronics")</f>
        <v>Renesas Electronics</v>
      </c>
      <c r="C47520" s="6">
        <v>4945</v>
      </c>
      <c r="D47520" s="7">
        <v>0.15</v>
      </c>
    </row>
    <row r="47521" spans="1:4" x14ac:dyDescent="0.25">
      <c r="A47521" t="str">
        <f>HYPERLINK("https://www.773grp.com/globalSearch/RD3.3E-T1/page-1", "RD3.3E-T1")</f>
        <v>RD3.3E-T1</v>
      </c>
      <c r="B47521" s="3" t="str">
        <f>HYPERLINK("https://www.773grp.com/manufacturer/renesas-electronics-america-inc?pageNo=378", "Renesas Electronics")</f>
        <v>Renesas Electronics</v>
      </c>
      <c r="C47521" s="6">
        <v>56000</v>
      </c>
      <c r="D47521" s="7">
        <v>0.15</v>
      </c>
    </row>
    <row r="47522" spans="1:4" x14ac:dyDescent="0.25">
      <c r="A47522" t="str">
        <f>HYPERLINK("https://www.773grp.com/globalSearch/RD3.3E-T2/page-1", "RD3.3E-T2")</f>
        <v>RD3.3E-T2</v>
      </c>
      <c r="B47522" s="3" t="str">
        <f>HYPERLINK("https://www.773grp.com/manufacturer/renesas-electronics-america-inc?pageNo=379", "Renesas Electronics")</f>
        <v>Renesas Electronics</v>
      </c>
      <c r="C47522" s="6">
        <v>85000</v>
      </c>
      <c r="D47522" s="7">
        <v>0.15</v>
      </c>
    </row>
    <row r="47523" spans="1:4" x14ac:dyDescent="0.25">
      <c r="A47523" t="str">
        <f>HYPERLINK("https://www.773grp.com/globalSearch/RD3.3E-T4-AZ/page-1", "RD3.3E-T4-AZ")</f>
        <v>RD3.3E-T4-AZ</v>
      </c>
      <c r="B47523" s="3" t="str">
        <f>HYPERLINK("https://www.773grp.com/manufacturer/renesas-electronics-america-inc?pageNo=380", "Renesas Electronics")</f>
        <v>Renesas Electronics</v>
      </c>
      <c r="C47523" s="6">
        <v>15000</v>
      </c>
      <c r="D47523" s="7">
        <v>0.15</v>
      </c>
    </row>
    <row r="47524" spans="1:4" x14ac:dyDescent="0.25">
      <c r="A47524" t="str">
        <f>HYPERLINK("https://www.773grp.com/globalSearch/RD3.6E/page-1", "RD3.6E")</f>
        <v>RD3.6E</v>
      </c>
      <c r="B47524" s="3" t="str">
        <f>HYPERLINK("https://www.773grp.com/manufacturer/renesas-electronics-america-inc?pageNo=381", "Renesas Electronics")</f>
        <v>Renesas Electronics</v>
      </c>
      <c r="C47524" s="6">
        <v>9165</v>
      </c>
      <c r="D47524" s="7">
        <v>0.15</v>
      </c>
    </row>
    <row r="47525" spans="1:4" x14ac:dyDescent="0.25">
      <c r="A47525" t="str">
        <f>HYPERLINK("https://www.773grp.com/globalSearch/RD3.6ES-AZ/page-1", "RD3.6ES-AZ")</f>
        <v>RD3.6ES-AZ</v>
      </c>
      <c r="B47525" s="3" t="str">
        <f>HYPERLINK("https://www.773grp.com/manufacturer/renesas-electronics-america-inc?pageNo=382", "Renesas Electronics")</f>
        <v>Renesas Electronics</v>
      </c>
      <c r="C47525" s="6">
        <v>5700</v>
      </c>
      <c r="D47525" s="7">
        <v>0.15</v>
      </c>
    </row>
    <row r="47526" spans="1:4" x14ac:dyDescent="0.25">
      <c r="A47526" t="str">
        <f>HYPERLINK("https://www.773grp.com/globalSearch/RD3.6ES-T1-AZ/page-1", "RD3.6ES-T1-AZ")</f>
        <v>RD3.6ES-T1-AZ</v>
      </c>
      <c r="B47526" s="3" t="str">
        <f>HYPERLINK("https://www.773grp.com/manufacturer/renesas-electronics-america-inc?pageNo=383", "Renesas Electronics")</f>
        <v>Renesas Electronics</v>
      </c>
      <c r="C47526" s="6">
        <v>80000</v>
      </c>
      <c r="D47526" s="7">
        <v>0.15</v>
      </c>
    </row>
    <row r="47527" spans="1:4" x14ac:dyDescent="0.25">
      <c r="A47527" t="str">
        <f>HYPERLINK("https://www.773grp.com/globalSearch/RD3.6E-T1-AZ/page-1", "RD3.6E-T1-AZ")</f>
        <v>RD3.6E-T1-AZ</v>
      </c>
      <c r="B47527" s="3" t="str">
        <f>HYPERLINK("https://www.773grp.com/manufacturer/renesas-electronics-america-inc?pageNo=384", "Renesas Electronics")</f>
        <v>Renesas Electronics</v>
      </c>
      <c r="C47527" s="6">
        <v>297000</v>
      </c>
      <c r="D47527" s="7">
        <v>0.15</v>
      </c>
    </row>
    <row r="47528" spans="1:4" x14ac:dyDescent="0.25">
      <c r="A47528" t="str">
        <f>HYPERLINK("https://www.773grp.com/globalSearch/RD3.6E-T2-AZ/page-1", "RD3.6E-T2-AZ")</f>
        <v>RD3.6E-T2-AZ</v>
      </c>
      <c r="B47528" s="3" t="str">
        <f>HYPERLINK("https://www.773grp.com/manufacturer/renesas-electronics-america-inc?pageNo=385", "Renesas Electronics")</f>
        <v>Renesas Electronics</v>
      </c>
      <c r="C47528" s="6">
        <v>5000</v>
      </c>
      <c r="D47528" s="7">
        <v>0.15</v>
      </c>
    </row>
    <row r="47529" spans="1:4" x14ac:dyDescent="0.25">
      <c r="A47529" t="str">
        <f>HYPERLINK("https://www.773grp.com/globalSearch/RD3.6E-TB-AZ/page-1", "RD3.6E-TB-AZ")</f>
        <v>RD3.6E-TB-AZ</v>
      </c>
      <c r="B47529" s="3" t="str">
        <f>HYPERLINK("https://www.773grp.com/manufacturer/renesas-electronics-america-inc?pageNo=386", "Renesas Electronics")</f>
        <v>Renesas Electronics</v>
      </c>
      <c r="C47529" s="6">
        <v>15000</v>
      </c>
      <c r="D47529" s="7">
        <v>0.15</v>
      </c>
    </row>
    <row r="47530" spans="1:4" x14ac:dyDescent="0.25">
      <c r="A47530" t="str">
        <f>HYPERLINK("https://www.773grp.com/globalSearch/RD3.9E/page-1", "RD3.9E")</f>
        <v>RD3.9E</v>
      </c>
      <c r="B47530" s="3" t="str">
        <f>HYPERLINK("https://www.773grp.com/manufacturer/renesas-electronics-america-inc?pageNo=387", "Renesas Electronics")</f>
        <v>Renesas Electronics</v>
      </c>
      <c r="C47530" s="6">
        <v>43243</v>
      </c>
      <c r="D47530" s="7">
        <v>0.15</v>
      </c>
    </row>
    <row r="47531" spans="1:4" x14ac:dyDescent="0.25">
      <c r="A47531" t="str">
        <f>HYPERLINK("https://www.773grp.com/globalSearch/RD3.9ES-T1/page-1", "RD3.9ES-T1")</f>
        <v>RD3.9ES-T1</v>
      </c>
      <c r="B47531" s="3" t="str">
        <f>HYPERLINK("https://www.773grp.com/manufacturer/renesas-electronics-america-inc?pageNo=388", "Renesas Electronics")</f>
        <v>Renesas Electronics</v>
      </c>
      <c r="C47531" s="6">
        <v>64000</v>
      </c>
      <c r="D47531" s="7">
        <v>0.15</v>
      </c>
    </row>
    <row r="47532" spans="1:4" x14ac:dyDescent="0.25">
      <c r="A47532" t="str">
        <f>HYPERLINK("https://www.773grp.com/globalSearch/RD3.9ES-T4-AZ/page-1", "RD3.9ES-T4-AZ")</f>
        <v>RD3.9ES-T4-AZ</v>
      </c>
      <c r="B47532" s="3" t="str">
        <f>HYPERLINK("https://www.773grp.com/manufacturer/renesas-electronics-america-inc?pageNo=389", "Renesas Electronics")</f>
        <v>Renesas Electronics</v>
      </c>
      <c r="C47532" s="6">
        <v>25000</v>
      </c>
      <c r="D47532" s="7">
        <v>0.15</v>
      </c>
    </row>
    <row r="47533" spans="1:4" x14ac:dyDescent="0.25">
      <c r="A47533" t="str">
        <f>HYPERLINK("https://www.773grp.com/globalSearch/RD3.9E-T1-AZ/page-1", "RD3.9E-T1-AZ")</f>
        <v>RD3.9E-T1-AZ</v>
      </c>
      <c r="B47533" s="3" t="str">
        <f>HYPERLINK("https://www.773grp.com/manufacturer/renesas-electronics-america-inc?pageNo=390", "Renesas Electronics")</f>
        <v>Renesas Electronics</v>
      </c>
      <c r="C47533" s="6">
        <v>4000</v>
      </c>
      <c r="D47533" s="7">
        <v>0.15</v>
      </c>
    </row>
    <row r="47534" spans="1:4" x14ac:dyDescent="0.25">
      <c r="A47534" t="str">
        <f>HYPERLINK("https://www.773grp.com/globalSearch/RD3.9E-T2-AZ/page-1", "RD3.9E-T2-AZ")</f>
        <v>RD3.9E-T2-AZ</v>
      </c>
      <c r="B47534" s="3" t="str">
        <f>HYPERLINK("https://www.773grp.com/manufacturer/renesas-electronics-america-inc?pageNo=391", "Renesas Electronics")</f>
        <v>Renesas Electronics</v>
      </c>
      <c r="C47534" s="6">
        <v>40000</v>
      </c>
      <c r="D47534" s="7">
        <v>0.15</v>
      </c>
    </row>
    <row r="47535" spans="1:4" x14ac:dyDescent="0.25">
      <c r="A47535" t="str">
        <f>HYPERLINK("https://www.773grp.com/globalSearch/RD3.9E-T4-AZ/page-1", "RD3.9E-T4-AZ")</f>
        <v>RD3.9E-T4-AZ</v>
      </c>
      <c r="B47535" s="3" t="str">
        <f>HYPERLINK("https://www.773grp.com/manufacturer/renesas-electronics-america-inc?pageNo=392", "Renesas Electronics")</f>
        <v>Renesas Electronics</v>
      </c>
      <c r="C47535" s="6">
        <v>55000</v>
      </c>
      <c r="D47535" s="7">
        <v>0.15</v>
      </c>
    </row>
    <row r="47536" spans="1:4" x14ac:dyDescent="0.25">
      <c r="A47536" t="str">
        <f>HYPERLINK("https://www.773grp.com/globalSearch/RD30E/page-1", "RD30E")</f>
        <v>RD30E</v>
      </c>
      <c r="B47536" s="3" t="str">
        <f>HYPERLINK("https://www.773grp.com/manufacturer/renesas-electronics-america-inc?pageNo=393", "Renesas Electronics")</f>
        <v>Renesas Electronics</v>
      </c>
      <c r="C47536" s="6">
        <v>150452</v>
      </c>
      <c r="D47536" s="7">
        <v>0.15</v>
      </c>
    </row>
    <row r="47537" spans="1:4" x14ac:dyDescent="0.25">
      <c r="A47537" t="str">
        <f>HYPERLINK("https://www.773grp.com/globalSearch/RD30ES-AZ/page-1", "RD30ES-AZ")</f>
        <v>RD30ES-AZ</v>
      </c>
      <c r="B47537" s="3" t="str">
        <f>HYPERLINK("https://www.773grp.com/manufacturer/renesas-electronics-america-inc?pageNo=394", "Renesas Electronics")</f>
        <v>Renesas Electronics</v>
      </c>
      <c r="C47537" s="6">
        <v>91340</v>
      </c>
      <c r="D47537" s="7">
        <v>0.15</v>
      </c>
    </row>
    <row r="47538" spans="1:4" x14ac:dyDescent="0.25">
      <c r="A47538" t="str">
        <f>HYPERLINK("https://www.773grp.com/globalSearch/RD30ES-T4-AZ/page-1", "RD30ES-T4-AZ")</f>
        <v>RD30ES-T4-AZ</v>
      </c>
      <c r="B47538" s="3" t="str">
        <f>HYPERLINK("https://www.773grp.com/manufacturer/renesas-electronics-america-inc?pageNo=395", "Renesas Electronics")</f>
        <v>Renesas Electronics</v>
      </c>
      <c r="C47538" s="6">
        <v>15000</v>
      </c>
      <c r="D47538" s="7">
        <v>0.15</v>
      </c>
    </row>
    <row r="47539" spans="1:4" x14ac:dyDescent="0.25">
      <c r="A47539" t="str">
        <f>HYPERLINK("https://www.773grp.com/globalSearch/RD30E-T1/page-1", "RD30E-T1")</f>
        <v>RD30E-T1</v>
      </c>
      <c r="B47539" s="3" t="str">
        <f>HYPERLINK("https://www.773grp.com/manufacturer/renesas-electronics-america-inc?pageNo=396", "Renesas Electronics")</f>
        <v>Renesas Electronics</v>
      </c>
      <c r="C47539" s="6">
        <v>28000</v>
      </c>
      <c r="D47539" s="7">
        <v>0.15</v>
      </c>
    </row>
    <row r="47540" spans="1:4" x14ac:dyDescent="0.25">
      <c r="A47540" t="str">
        <f>HYPERLINK("https://www.773grp.com/globalSearch/RD30E-T2-AZ/page-1", "RD30E-T2-AZ")</f>
        <v>RD30E-T2-AZ</v>
      </c>
      <c r="B47540" s="3" t="str">
        <f>HYPERLINK("https://www.773grp.com/manufacturer/renesas-electronics-america-inc?pageNo=397", "Renesas Electronics")</f>
        <v>Renesas Electronics</v>
      </c>
      <c r="C47540" s="6">
        <v>510000</v>
      </c>
      <c r="D47540" s="7">
        <v>0.15</v>
      </c>
    </row>
    <row r="47541" spans="1:4" x14ac:dyDescent="0.25">
      <c r="A47541" t="str">
        <f>HYPERLINK("https://www.773grp.com/globalSearch/RD30E-T4/page-1", "RD30E-T4")</f>
        <v>RD30E-T4</v>
      </c>
      <c r="B47541" s="3" t="str">
        <f>HYPERLINK("https://www.773grp.com/manufacturer/renesas-electronics-america-inc?pageNo=398", "Renesas Electronics")</f>
        <v>Renesas Electronics</v>
      </c>
      <c r="C47541" s="6">
        <v>150000</v>
      </c>
      <c r="D47541" s="7">
        <v>0.15</v>
      </c>
    </row>
    <row r="47542" spans="1:4" x14ac:dyDescent="0.25">
      <c r="A47542" t="str">
        <f>HYPERLINK("https://www.773grp.com/globalSearch/RD30E-T4-AZ/page-1", "RD30E-T4-AZ")</f>
        <v>RD30E-T4-AZ</v>
      </c>
      <c r="B47542" s="3" t="str">
        <f>HYPERLINK("https://www.773grp.com/manufacturer/renesas-electronics-america-inc?pageNo=399", "Renesas Electronics")</f>
        <v>Renesas Electronics</v>
      </c>
      <c r="C47542" s="6">
        <v>1170000</v>
      </c>
      <c r="D47542" s="7">
        <v>0.15</v>
      </c>
    </row>
    <row r="47543" spans="1:4" x14ac:dyDescent="0.25">
      <c r="A47543" t="str">
        <f>HYPERLINK("https://www.773grp.com/globalSearch/RD30E-TB-AZ/page-1", "RD30E-TB-AZ")</f>
        <v>RD30E-TB-AZ</v>
      </c>
      <c r="B47543" s="3" t="str">
        <f>HYPERLINK("https://www.773grp.com/manufacturer/renesas-electronics-america-inc?pageNo=400", "Renesas Electronics")</f>
        <v>Renesas Electronics</v>
      </c>
      <c r="C47543" s="6">
        <v>62500</v>
      </c>
      <c r="D47543" s="7">
        <v>0.15</v>
      </c>
    </row>
    <row r="47544" spans="1:4" x14ac:dyDescent="0.25">
      <c r="A47544" t="str">
        <f>HYPERLINK("https://www.773grp.com/globalSearch/RD30JS-AZ/page-1", "RD30JS-AZ")</f>
        <v>RD30JS-AZ</v>
      </c>
      <c r="B47544" s="3" t="str">
        <f>HYPERLINK("https://www.773grp.com/manufacturer/renesas-electronics-america-inc?pageNo=401", "Renesas Electronics")</f>
        <v>Renesas Electronics</v>
      </c>
      <c r="C47544" s="6">
        <v>3000</v>
      </c>
      <c r="D47544" s="7">
        <v>0.15</v>
      </c>
    </row>
    <row r="47545" spans="1:4" x14ac:dyDescent="0.25">
      <c r="A47545" t="str">
        <f>HYPERLINK("https://www.773grp.com/globalSearch/RD30JS-T1-AZ/page-1", "RD30JS-T1-AZ")</f>
        <v>RD30JS-T1-AZ</v>
      </c>
      <c r="B47545" s="3" t="str">
        <f>HYPERLINK("https://www.773grp.com/manufacturer/renesas-electronics-america-inc?pageNo=402", "Renesas Electronics")</f>
        <v>Renesas Electronics</v>
      </c>
      <c r="C47545" s="6">
        <v>630000</v>
      </c>
      <c r="D47545" s="7">
        <v>0.15</v>
      </c>
    </row>
    <row r="47546" spans="1:4" x14ac:dyDescent="0.25">
      <c r="A47546" t="str">
        <f>HYPERLINK("https://www.773grp.com/globalSearch/RD33ES-T1/page-1", "RD33ES-T1")</f>
        <v>RD33ES-T1</v>
      </c>
      <c r="B47546" s="3" t="str">
        <f>HYPERLINK("https://www.773grp.com/manufacturer/renesas-electronics-america-inc?pageNo=403", "Renesas Electronics")</f>
        <v>Renesas Electronics</v>
      </c>
      <c r="C47546" s="6">
        <v>102000</v>
      </c>
      <c r="D47546" s="7">
        <v>0.15</v>
      </c>
    </row>
    <row r="47547" spans="1:4" x14ac:dyDescent="0.25">
      <c r="A47547" t="str">
        <f>HYPERLINK("https://www.773grp.com/globalSearch/RD33ES-T2/page-1", "RD33ES-T2")</f>
        <v>RD33ES-T2</v>
      </c>
      <c r="B47547" s="3" t="str">
        <f>HYPERLINK("https://www.773grp.com/manufacturer/renesas-electronics-america-inc?pageNo=404", "Renesas Electronics")</f>
        <v>Renesas Electronics</v>
      </c>
      <c r="C47547" s="6">
        <v>10000</v>
      </c>
      <c r="D47547" s="7">
        <v>0.15</v>
      </c>
    </row>
    <row r="47548" spans="1:4" x14ac:dyDescent="0.25">
      <c r="A47548" t="str">
        <f>HYPERLINK("https://www.773grp.com/globalSearch/RD33ES-T4/page-1", "RD33ES-T4")</f>
        <v>RD33ES-T4</v>
      </c>
      <c r="B47548" s="3" t="str">
        <f>HYPERLINK("https://www.773grp.com/manufacturer/renesas-electronics-america-inc?pageNo=405", "Renesas Electronics")</f>
        <v>Renesas Electronics</v>
      </c>
      <c r="C47548" s="6">
        <v>10000</v>
      </c>
      <c r="D47548" s="7">
        <v>0.15</v>
      </c>
    </row>
    <row r="47549" spans="1:4" x14ac:dyDescent="0.25">
      <c r="A47549" t="str">
        <f>HYPERLINK("https://www.773grp.com/globalSearch/RD33ES-T4-AZ/page-1", "RD33ES-T4-AZ")</f>
        <v>RD33ES-T4-AZ</v>
      </c>
      <c r="B47549" s="3" t="str">
        <f>HYPERLINK("https://www.773grp.com/manufacturer/renesas-electronics-america-inc?pageNo=406", "Renesas Electronics")</f>
        <v>Renesas Electronics</v>
      </c>
      <c r="C47549" s="6">
        <v>55000</v>
      </c>
      <c r="D47549" s="7">
        <v>0.15</v>
      </c>
    </row>
    <row r="47550" spans="1:4" x14ac:dyDescent="0.25">
      <c r="A47550" t="str">
        <f>HYPERLINK("https://www.773grp.com/globalSearch/RD33E-T2-AZ/page-1", "RD33E-T2-AZ")</f>
        <v>RD33E-T2-AZ</v>
      </c>
      <c r="B47550" s="3" t="str">
        <f>HYPERLINK("https://www.773grp.com/manufacturer/renesas-electronics-america-inc?pageNo=407", "Renesas Electronics")</f>
        <v>Renesas Electronics</v>
      </c>
      <c r="C47550" s="6">
        <v>260000</v>
      </c>
      <c r="D47550" s="7">
        <v>0.15</v>
      </c>
    </row>
    <row r="47551" spans="1:4" x14ac:dyDescent="0.25">
      <c r="A47551" t="str">
        <f>HYPERLINK("https://www.773grp.com/globalSearch/RD33E-T4-AZ/page-1", "RD33E-T4-AZ")</f>
        <v>RD33E-T4-AZ</v>
      </c>
      <c r="B47551" s="3" t="str">
        <f>HYPERLINK("https://www.773grp.com/manufacturer/renesas-electronics-america-inc?pageNo=408", "Renesas Electronics")</f>
        <v>Renesas Electronics</v>
      </c>
      <c r="C47551" s="6">
        <v>65000</v>
      </c>
      <c r="D47551" s="7">
        <v>0.15</v>
      </c>
    </row>
    <row r="47552" spans="1:4" x14ac:dyDescent="0.25">
      <c r="A47552" t="str">
        <f>HYPERLINK("https://www.773grp.com/globalSearch/RD33E-TB-AZ/page-1", "RD33E-TB-AZ")</f>
        <v>RD33E-TB-AZ</v>
      </c>
      <c r="B47552" s="3" t="str">
        <f>HYPERLINK("https://www.773grp.com/manufacturer/renesas-electronics-america-inc?pageNo=409", "Renesas Electronics")</f>
        <v>Renesas Electronics</v>
      </c>
      <c r="C47552" s="6">
        <v>40000</v>
      </c>
      <c r="D47552" s="7">
        <v>0.15</v>
      </c>
    </row>
    <row r="47553" spans="1:4" x14ac:dyDescent="0.25">
      <c r="A47553" t="str">
        <f>HYPERLINK("https://www.773grp.com/globalSearch/RD33JS-AZ/page-1", "RD33JS-AZ")</f>
        <v>RD33JS-AZ</v>
      </c>
      <c r="B47553" s="3" t="str">
        <f>HYPERLINK("https://www.773grp.com/manufacturer/renesas-electronics-america-inc?pageNo=410", "Renesas Electronics")</f>
        <v>Renesas Electronics</v>
      </c>
      <c r="C47553" s="6">
        <v>100</v>
      </c>
      <c r="D47553" s="7">
        <v>0.15</v>
      </c>
    </row>
    <row r="47554" spans="1:4" x14ac:dyDescent="0.25">
      <c r="A47554" t="str">
        <f>HYPERLINK("https://www.773grp.com/globalSearch/RD33JS-T1-AZ/page-1", "RD33JS-T1-AZ")</f>
        <v>RD33JS-T1-AZ</v>
      </c>
      <c r="B47554" s="3" t="str">
        <f>HYPERLINK("https://www.773grp.com/manufacturer/renesas-electronics-america-inc?pageNo=411", "Renesas Electronics")</f>
        <v>Renesas Electronics</v>
      </c>
      <c r="C47554" s="6">
        <v>20000</v>
      </c>
      <c r="D47554" s="7">
        <v>0.15</v>
      </c>
    </row>
    <row r="47555" spans="1:4" x14ac:dyDescent="0.25">
      <c r="A47555" t="str">
        <f>HYPERLINK("https://www.773grp.com/globalSearch/RD36ES-AZ/page-1", "RD36ES-AZ")</f>
        <v>RD36ES-AZ</v>
      </c>
      <c r="B47555" s="3" t="str">
        <f>HYPERLINK("https://www.773grp.com/manufacturer/renesas-electronics-america-inc?pageNo=412", "Renesas Electronics")</f>
        <v>Renesas Electronics</v>
      </c>
      <c r="C47555" s="6">
        <v>20570</v>
      </c>
      <c r="D47555" s="7">
        <v>0.15</v>
      </c>
    </row>
    <row r="47556" spans="1:4" x14ac:dyDescent="0.25">
      <c r="A47556" t="str">
        <f>HYPERLINK("https://www.773grp.com/globalSearch/RD36ES-T1/page-1", "RD36ES-T1")</f>
        <v>RD36ES-T1</v>
      </c>
      <c r="B47556" s="3" t="str">
        <f>HYPERLINK("https://www.773grp.com/manufacturer/renesas-electronics-america-inc?pageNo=413", "Renesas Electronics")</f>
        <v>Renesas Electronics</v>
      </c>
      <c r="C47556" s="6">
        <v>32000</v>
      </c>
      <c r="D47556" s="7">
        <v>0.15</v>
      </c>
    </row>
    <row r="47557" spans="1:4" x14ac:dyDescent="0.25">
      <c r="A47557" t="str">
        <f>HYPERLINK("https://www.773grp.com/globalSearch/RD36ES-T4-AZ/page-1", "RD36ES-T4-AZ")</f>
        <v>RD36ES-T4-AZ</v>
      </c>
      <c r="B47557" s="3" t="str">
        <f>HYPERLINK("https://www.773grp.com/manufacturer/renesas-electronics-america-inc?pageNo=414", "Renesas Electronics")</f>
        <v>Renesas Electronics</v>
      </c>
      <c r="C47557" s="6">
        <v>30000</v>
      </c>
      <c r="D47557" s="7">
        <v>0.15</v>
      </c>
    </row>
    <row r="47558" spans="1:4" x14ac:dyDescent="0.25">
      <c r="A47558" t="str">
        <f>HYPERLINK("https://www.773grp.com/globalSearch/RD36E-T4-AZ/page-1", "RD36E-T4-AZ")</f>
        <v>RD36E-T4-AZ</v>
      </c>
      <c r="B47558" s="3" t="str">
        <f>HYPERLINK("https://www.773grp.com/manufacturer/renesas-electronics-america-inc?pageNo=415", "Renesas Electronics")</f>
        <v>Renesas Electronics</v>
      </c>
      <c r="C47558" s="6">
        <v>45000</v>
      </c>
      <c r="D47558" s="7">
        <v>0.15</v>
      </c>
    </row>
    <row r="47559" spans="1:4" x14ac:dyDescent="0.25">
      <c r="A47559" t="str">
        <f>HYPERLINK("https://www.773grp.com/globalSearch/RD36JS-AZ/page-1", "RD36JS-AZ")</f>
        <v>RD36JS-AZ</v>
      </c>
      <c r="B47559" s="3" t="str">
        <f>HYPERLINK("https://www.773grp.com/manufacturer/renesas-electronics-america-inc?pageNo=416", "Renesas Electronics")</f>
        <v>Renesas Electronics</v>
      </c>
      <c r="C47559" s="6">
        <v>341</v>
      </c>
      <c r="D47559" s="7">
        <v>0.15</v>
      </c>
    </row>
    <row r="47560" spans="1:4" x14ac:dyDescent="0.25">
      <c r="A47560" t="str">
        <f>HYPERLINK("https://www.773grp.com/globalSearch/RD36JS-T1-AZ/page-1", "RD36JS-T1-AZ")</f>
        <v>RD36JS-T1-AZ</v>
      </c>
      <c r="B47560" s="3" t="str">
        <f>HYPERLINK("https://www.773grp.com/manufacturer/renesas-electronics-america-inc?pageNo=417", "Renesas Electronics")</f>
        <v>Renesas Electronics</v>
      </c>
      <c r="C47560" s="6">
        <v>28000</v>
      </c>
      <c r="D47560" s="7">
        <v>0.15</v>
      </c>
    </row>
    <row r="47561" spans="1:4" x14ac:dyDescent="0.25">
      <c r="A47561" t="str">
        <f>HYPERLINK("https://www.773grp.com/globalSearch/RD39ES-AZ/page-1", "RD39ES-AZ")</f>
        <v>RD39ES-AZ</v>
      </c>
      <c r="B47561" s="3" t="str">
        <f>HYPERLINK("https://www.773grp.com/manufacturer/renesas-electronics-america-inc?pageNo=418", "Renesas Electronics")</f>
        <v>Renesas Electronics</v>
      </c>
      <c r="C47561" s="6">
        <v>20380</v>
      </c>
      <c r="D47561" s="7">
        <v>0.15</v>
      </c>
    </row>
    <row r="47562" spans="1:4" x14ac:dyDescent="0.25">
      <c r="A47562" t="str">
        <f>HYPERLINK("https://www.773grp.com/globalSearch/RD39ES-T1/page-1", "RD39ES-T1")</f>
        <v>RD39ES-T1</v>
      </c>
      <c r="B47562" s="3" t="str">
        <f>HYPERLINK("https://www.773grp.com/manufacturer/renesas-electronics-america-inc?pageNo=419", "Renesas Electronics")</f>
        <v>Renesas Electronics</v>
      </c>
      <c r="C47562" s="6">
        <v>66000</v>
      </c>
      <c r="D47562" s="7">
        <v>0.15</v>
      </c>
    </row>
    <row r="47563" spans="1:4" x14ac:dyDescent="0.25">
      <c r="A47563" t="str">
        <f>HYPERLINK("https://www.773grp.com/globalSearch/RD39ES-T4-AZ/page-1", "RD39ES-T4-AZ")</f>
        <v>RD39ES-T4-AZ</v>
      </c>
      <c r="B47563" s="3" t="str">
        <f>HYPERLINK("https://www.773grp.com/manufacturer/renesas-electronics-america-inc?pageNo=420", "Renesas Electronics")</f>
        <v>Renesas Electronics</v>
      </c>
      <c r="C47563" s="6">
        <v>245000</v>
      </c>
      <c r="D47563" s="7">
        <v>0.15</v>
      </c>
    </row>
    <row r="47564" spans="1:4" x14ac:dyDescent="0.25">
      <c r="A47564" t="str">
        <f>HYPERLINK("https://www.773grp.com/globalSearch/RD39E-T1/page-1", "RD39E-T1")</f>
        <v>RD39E-T1</v>
      </c>
      <c r="B47564" s="3" t="str">
        <f>HYPERLINK("https://www.773grp.com/manufacturer/renesas-electronics-america-inc?pageNo=421", "Renesas Electronics")</f>
        <v>Renesas Electronics</v>
      </c>
      <c r="C47564" s="6">
        <v>2000</v>
      </c>
      <c r="D47564" s="7">
        <v>0.15</v>
      </c>
    </row>
    <row r="47565" spans="1:4" x14ac:dyDescent="0.25">
      <c r="A47565" t="str">
        <f>HYPERLINK("https://www.773grp.com/globalSearch/RD39E-T2-AZ/page-1", "RD39E-T2-AZ")</f>
        <v>RD39E-T2-AZ</v>
      </c>
      <c r="B47565" s="3" t="str">
        <f>HYPERLINK("https://www.773grp.com/manufacturer/renesas-electronics-america-inc?pageNo=422", "Renesas Electronics")</f>
        <v>Renesas Electronics</v>
      </c>
      <c r="C47565" s="6">
        <v>40000</v>
      </c>
      <c r="D47565" s="7">
        <v>0.15</v>
      </c>
    </row>
    <row r="47566" spans="1:4" x14ac:dyDescent="0.25">
      <c r="A47566" t="str">
        <f>HYPERLINK("https://www.773grp.com/globalSearch/RD39E-T4-AZ/page-1", "RD39E-T4-AZ")</f>
        <v>RD39E-T4-AZ</v>
      </c>
      <c r="B47566" s="3" t="str">
        <f>HYPERLINK("https://www.773grp.com/manufacturer/renesas-electronics-america-inc?pageNo=423", "Renesas Electronics")</f>
        <v>Renesas Electronics</v>
      </c>
      <c r="C47566" s="6">
        <v>1850000</v>
      </c>
      <c r="D47566" s="7">
        <v>0.15</v>
      </c>
    </row>
    <row r="47567" spans="1:4" x14ac:dyDescent="0.25">
      <c r="A47567" t="str">
        <f>HYPERLINK("https://www.773grp.com/globalSearch/RD39E-TB/page-1", "RD39E-TB")</f>
        <v>RD39E-TB</v>
      </c>
      <c r="B47567" s="3" t="str">
        <f>HYPERLINK("https://www.773grp.com/manufacturer/renesas-electronics-america-inc?pageNo=424", "Renesas Electronics")</f>
        <v>Renesas Electronics</v>
      </c>
      <c r="C47567" s="6">
        <v>30000</v>
      </c>
      <c r="D47567" s="7">
        <v>0.15</v>
      </c>
    </row>
    <row r="47568" spans="1:4" x14ac:dyDescent="0.25">
      <c r="A47568" t="str">
        <f>HYPERLINK("https://www.773grp.com/globalSearch/RD39E-TB-AZ/page-1", "RD39E-TB-AZ")</f>
        <v>RD39E-TB-AZ</v>
      </c>
      <c r="B47568" s="3" t="str">
        <f>HYPERLINK("https://www.773grp.com/manufacturer/renesas-electronics-america-inc?pageNo=425", "Renesas Electronics")</f>
        <v>Renesas Electronics</v>
      </c>
      <c r="C47568" s="6">
        <v>130000</v>
      </c>
      <c r="D47568" s="7">
        <v>0.15</v>
      </c>
    </row>
    <row r="47569" spans="1:4" x14ac:dyDescent="0.25">
      <c r="A47569" t="str">
        <f>HYPERLINK("https://www.773grp.com/globalSearch/RD39JS-AZ/page-1", "RD39JS-AZ")</f>
        <v>RD39JS-AZ</v>
      </c>
      <c r="B47569" s="3" t="str">
        <f>HYPERLINK("https://www.773grp.com/manufacturer/renesas-electronics-america-inc?pageNo=426", "Renesas Electronics")</f>
        <v>Renesas Electronics</v>
      </c>
      <c r="C47569" s="6">
        <v>882</v>
      </c>
      <c r="D47569" s="7">
        <v>0.15</v>
      </c>
    </row>
    <row r="47570" spans="1:4" x14ac:dyDescent="0.25">
      <c r="A47570" t="str">
        <f>HYPERLINK("https://www.773grp.com/globalSearch/RD4.3E-AZ/page-1", "RD4.3E-AZ")</f>
        <v>RD4.3E-AZ</v>
      </c>
      <c r="B47570" s="3" t="str">
        <f>HYPERLINK("https://www.773grp.com/manufacturer/renesas-electronics-america-inc?pageNo=427", "Renesas Electronics")</f>
        <v>Renesas Electronics</v>
      </c>
      <c r="C47570" s="6">
        <v>187550</v>
      </c>
      <c r="D47570" s="7">
        <v>0.15</v>
      </c>
    </row>
    <row r="47571" spans="1:4" x14ac:dyDescent="0.25">
      <c r="A47571" t="str">
        <f>HYPERLINK("https://www.773grp.com/globalSearch/RD4.3ES-T1/page-1", "RD4.3ES-T1")</f>
        <v>RD4.3ES-T1</v>
      </c>
      <c r="B47571" s="3" t="str">
        <f>HYPERLINK("https://www.773grp.com/manufacturer/renesas-electronics-america-inc?pageNo=428", "Renesas Electronics")</f>
        <v>Renesas Electronics</v>
      </c>
      <c r="C47571" s="6">
        <v>8000</v>
      </c>
      <c r="D47571" s="7">
        <v>0.15</v>
      </c>
    </row>
    <row r="47572" spans="1:4" x14ac:dyDescent="0.25">
      <c r="A47572" t="str">
        <f>HYPERLINK("https://www.773grp.com/globalSearch/RD4.3ES-T1-AZ/page-1", "RD4.3ES-T1-AZ")</f>
        <v>RD4.3ES-T1-AZ</v>
      </c>
      <c r="B47572" s="3" t="str">
        <f>HYPERLINK("https://www.773grp.com/manufacturer/renesas-electronics-america-inc?pageNo=429", "Renesas Electronics")</f>
        <v>Renesas Electronics</v>
      </c>
      <c r="C47572" s="6">
        <v>690000</v>
      </c>
      <c r="D47572" s="7">
        <v>0.15</v>
      </c>
    </row>
    <row r="47573" spans="1:4" x14ac:dyDescent="0.25">
      <c r="A47573" t="str">
        <f>HYPERLINK("https://www.773grp.com/globalSearch/RD4.3ES-T2-AZ/page-1", "RD4.3ES-T2-AZ")</f>
        <v>RD4.3ES-T2-AZ</v>
      </c>
      <c r="B47573" s="3" t="str">
        <f>HYPERLINK("https://www.773grp.com/manufacturer/renesas-electronics-america-inc?pageNo=430", "Renesas Electronics")</f>
        <v>Renesas Electronics</v>
      </c>
      <c r="C47573" s="6">
        <v>25000</v>
      </c>
      <c r="D47573" s="7">
        <v>0.15</v>
      </c>
    </row>
    <row r="47574" spans="1:4" x14ac:dyDescent="0.25">
      <c r="A47574" t="str">
        <f>HYPERLINK("https://www.773grp.com/globalSearch/RD4.3ES-T4-AZ/page-1", "RD4.3ES-T4-AZ")</f>
        <v>RD4.3ES-T4-AZ</v>
      </c>
      <c r="B47574" s="3" t="str">
        <f>HYPERLINK("https://www.773grp.com/manufacturer/renesas-electronics-america-inc?pageNo=431", "Renesas Electronics")</f>
        <v>Renesas Electronics</v>
      </c>
      <c r="C47574" s="6">
        <v>35000</v>
      </c>
      <c r="D47574" s="7">
        <v>0.15</v>
      </c>
    </row>
    <row r="47575" spans="1:4" x14ac:dyDescent="0.25">
      <c r="A47575" t="str">
        <f>HYPERLINK("https://www.773grp.com/globalSearch/RD4.3E-T1/page-1", "RD4.3E-T1")</f>
        <v>RD4.3E-T1</v>
      </c>
      <c r="B47575" s="3" t="str">
        <f>HYPERLINK("https://www.773grp.com/manufacturer/renesas-electronics-america-inc?pageNo=432", "Renesas Electronics")</f>
        <v>Renesas Electronics</v>
      </c>
      <c r="C47575" s="6">
        <v>40000</v>
      </c>
      <c r="D47575" s="7">
        <v>0.15</v>
      </c>
    </row>
    <row r="47576" spans="1:4" x14ac:dyDescent="0.25">
      <c r="A47576" t="str">
        <f>HYPERLINK("https://www.773grp.com/globalSearch/RD4.3E-T2/page-1", "RD4.3E-T2")</f>
        <v>RD4.3E-T2</v>
      </c>
      <c r="B47576" s="3" t="str">
        <f>HYPERLINK("https://www.773grp.com/manufacturer/renesas-electronics-america-inc?pageNo=433", "Renesas Electronics")</f>
        <v>Renesas Electronics</v>
      </c>
      <c r="C47576" s="6">
        <v>5000</v>
      </c>
      <c r="D47576" s="7">
        <v>0.15</v>
      </c>
    </row>
    <row r="47577" spans="1:4" x14ac:dyDescent="0.25">
      <c r="A47577" t="str">
        <f>HYPERLINK("https://www.773grp.com/globalSearch/RD4.3E-T4-AZ/page-1", "RD4.3E-T4-AZ")</f>
        <v>RD4.3E-T4-AZ</v>
      </c>
      <c r="B47577" s="3" t="str">
        <f>HYPERLINK("https://www.773grp.com/manufacturer/renesas-electronics-america-inc?pageNo=434", "Renesas Electronics")</f>
        <v>Renesas Electronics</v>
      </c>
      <c r="C47577" s="6">
        <v>13750</v>
      </c>
      <c r="D47577" s="7">
        <v>0.15</v>
      </c>
    </row>
    <row r="47578" spans="1:4" x14ac:dyDescent="0.25">
      <c r="A47578" t="str">
        <f>HYPERLINK("https://www.773grp.com/globalSearch/RD4.7ES-AZ/page-1", "RD4.7ES-AZ")</f>
        <v>RD4.7ES-AZ</v>
      </c>
      <c r="B47578" s="3" t="str">
        <f>HYPERLINK("https://www.773grp.com/manufacturer/renesas-electronics-america-inc?pageNo=435", "Renesas Electronics")</f>
        <v>Renesas Electronics</v>
      </c>
      <c r="C47578" s="6">
        <v>7920</v>
      </c>
      <c r="D47578" s="7">
        <v>0.15</v>
      </c>
    </row>
    <row r="47579" spans="1:4" x14ac:dyDescent="0.25">
      <c r="A47579" t="str">
        <f>HYPERLINK("https://www.773grp.com/globalSearch/RD4.7ES-T4-AZ/page-1", "RD4.7ES-T4-AZ")</f>
        <v>RD4.7ES-T4-AZ</v>
      </c>
      <c r="B47579" s="3" t="str">
        <f>HYPERLINK("https://www.773grp.com/manufacturer/renesas-electronics-america-inc?pageNo=436", "Renesas Electronics")</f>
        <v>Renesas Electronics</v>
      </c>
      <c r="C47579" s="6">
        <v>55000</v>
      </c>
      <c r="D47579" s="7">
        <v>0.15</v>
      </c>
    </row>
    <row r="47580" spans="1:4" x14ac:dyDescent="0.25">
      <c r="A47580" t="str">
        <f>HYPERLINK("https://www.773grp.com/globalSearch/RD4.7E-T1/page-1", "RD4.7E-T1")</f>
        <v>RD4.7E-T1</v>
      </c>
      <c r="B47580" s="3" t="str">
        <f>HYPERLINK("https://www.773grp.com/manufacturer/renesas-electronics-america-inc?pageNo=437", "Renesas Electronics")</f>
        <v>Renesas Electronics</v>
      </c>
      <c r="C47580" s="6">
        <v>14750</v>
      </c>
      <c r="D47580" s="7">
        <v>0.15</v>
      </c>
    </row>
    <row r="47581" spans="1:4" x14ac:dyDescent="0.25">
      <c r="A47581" t="str">
        <f>HYPERLINK("https://www.773grp.com/globalSearch/RD4.7E-T2-AZ/page-1", "RD4.7E-T2-AZ")</f>
        <v>RD4.7E-T2-AZ</v>
      </c>
      <c r="B47581" s="3" t="str">
        <f>HYPERLINK("https://www.773grp.com/manufacturer/renesas-electronics-america-inc?pageNo=438", "Renesas Electronics")</f>
        <v>Renesas Electronics</v>
      </c>
      <c r="C47581" s="6">
        <v>50000</v>
      </c>
      <c r="D47581" s="7">
        <v>0.15</v>
      </c>
    </row>
    <row r="47582" spans="1:4" x14ac:dyDescent="0.25">
      <c r="A47582" t="str">
        <f>HYPERLINK("https://www.773grp.com/globalSearch/RD4.7E-T4-AZ/page-1", "RD4.7E-T4-AZ")</f>
        <v>RD4.7E-T4-AZ</v>
      </c>
      <c r="B47582" s="3" t="str">
        <f>HYPERLINK("https://www.773grp.com/manufacturer/renesas-electronics-america-inc?pageNo=439", "Renesas Electronics")</f>
        <v>Renesas Electronics</v>
      </c>
      <c r="C47582" s="6">
        <v>190000</v>
      </c>
      <c r="D47582" s="7">
        <v>0.15</v>
      </c>
    </row>
    <row r="47583" spans="1:4" x14ac:dyDescent="0.25">
      <c r="A47583" t="str">
        <f>HYPERLINK("https://www.773grp.com/globalSearch/RD4.7JS/page-1", "RD4.7JS")</f>
        <v>RD4.7JS</v>
      </c>
      <c r="B47583" s="3" t="str">
        <f>HYPERLINK("https://www.773grp.com/manufacturer/renesas-electronics-america-inc?pageNo=440", "Renesas Electronics")</f>
        <v>Renesas Electronics</v>
      </c>
      <c r="C47583" s="6">
        <v>9511</v>
      </c>
      <c r="D47583" s="7">
        <v>0.15</v>
      </c>
    </row>
    <row r="47584" spans="1:4" x14ac:dyDescent="0.25">
      <c r="A47584" t="str">
        <f>HYPERLINK("https://www.773grp.com/globalSearch/RD4.7JS-T1/page-1", "RD4.7JS-T1")</f>
        <v>RD4.7JS-T1</v>
      </c>
      <c r="B47584" s="3" t="str">
        <f>HYPERLINK("https://www.773grp.com/manufacturer/renesas-electronics-america-inc?pageNo=441", "Renesas Electronics")</f>
        <v>Renesas Electronics</v>
      </c>
      <c r="C47584" s="6">
        <v>28000</v>
      </c>
      <c r="D47584" s="7">
        <v>0.15</v>
      </c>
    </row>
    <row r="47585" spans="1:4" x14ac:dyDescent="0.25">
      <c r="A47585" t="str">
        <f>HYPERLINK("https://www.773grp.com/globalSearch/RD4.7JS-T4/page-1", "RD4.7JS-T4")</f>
        <v>RD4.7JS-T4</v>
      </c>
      <c r="B47585" s="3" t="str">
        <f>HYPERLINK("https://www.773grp.com/manufacturer/renesas-electronics-america-inc?pageNo=442", "Renesas Electronics")</f>
        <v>Renesas Electronics</v>
      </c>
      <c r="C47585" s="6">
        <v>25000</v>
      </c>
      <c r="D47585" s="7">
        <v>0.15</v>
      </c>
    </row>
    <row r="47586" spans="1:4" x14ac:dyDescent="0.25">
      <c r="A47586" t="str">
        <f>HYPERLINK("https://www.773grp.com/globalSearch/RD4.7JS-T4-AZ/page-1", "RD4.7JS-T4-AZ")</f>
        <v>RD4.7JS-T4-AZ</v>
      </c>
      <c r="B47586" s="3" t="str">
        <f>HYPERLINK("https://www.773grp.com/manufacturer/renesas-electronics-america-inc?pageNo=443", "Renesas Electronics")</f>
        <v>Renesas Electronics</v>
      </c>
      <c r="C47586" s="6">
        <v>25000</v>
      </c>
      <c r="D47586" s="7">
        <v>0.15</v>
      </c>
    </row>
    <row r="47587" spans="1:4" x14ac:dyDescent="0.25">
      <c r="A47587" t="str">
        <f>HYPERLINK("https://www.773grp.com/globalSearch/RD5.1ES-AZ/page-1", "RD5.1ES-AZ")</f>
        <v>RD5.1ES-AZ</v>
      </c>
      <c r="B47587" s="3" t="str">
        <f>HYPERLINK("https://www.773grp.com/manufacturer/renesas-electronics-america-inc?pageNo=444", "Renesas Electronics")</f>
        <v>Renesas Electronics</v>
      </c>
      <c r="C47587" s="6">
        <v>7463</v>
      </c>
      <c r="D47587" s="7">
        <v>0.15</v>
      </c>
    </row>
    <row r="47588" spans="1:4" x14ac:dyDescent="0.25">
      <c r="A47588" t="str">
        <f>HYPERLINK("https://www.773grp.com/globalSearch/RD5.1ES-T1/page-1", "RD5.1ES-T1")</f>
        <v>RD5.1ES-T1</v>
      </c>
      <c r="B47588" s="3" t="str">
        <f>HYPERLINK("https://www.773grp.com/manufacturer/renesas-electronics-america-inc?pageNo=445", "Renesas Electronics")</f>
        <v>Renesas Electronics</v>
      </c>
      <c r="C47588" s="6">
        <v>94000</v>
      </c>
      <c r="D47588" s="7">
        <v>0.15</v>
      </c>
    </row>
    <row r="47589" spans="1:4" x14ac:dyDescent="0.25">
      <c r="A47589" t="str">
        <f>HYPERLINK("https://www.773grp.com/globalSearch/RD5.1ES-T4/page-1", "RD5.1ES-T4")</f>
        <v>RD5.1ES-T4</v>
      </c>
      <c r="B47589" s="3" t="str">
        <f>HYPERLINK("https://www.773grp.com/manufacturer/renesas-electronics-america-inc?pageNo=446", "Renesas Electronics")</f>
        <v>Renesas Electronics</v>
      </c>
      <c r="C47589" s="6">
        <v>40000</v>
      </c>
      <c r="D47589" s="7">
        <v>0.15</v>
      </c>
    </row>
    <row r="47590" spans="1:4" x14ac:dyDescent="0.25">
      <c r="A47590" t="str">
        <f>HYPERLINK("https://www.773grp.com/globalSearch/RD5.1E-T1/page-1", "RD5.1E-T1")</f>
        <v>RD5.1E-T1</v>
      </c>
      <c r="B47590" s="3" t="str">
        <f>HYPERLINK("https://www.773grp.com/manufacturer/renesas-electronics-america-inc?pageNo=447", "Renesas Electronics")</f>
        <v>Renesas Electronics</v>
      </c>
      <c r="C47590" s="6">
        <v>48000</v>
      </c>
      <c r="D47590" s="7">
        <v>0.15</v>
      </c>
    </row>
    <row r="47591" spans="1:4" x14ac:dyDescent="0.25">
      <c r="A47591" t="str">
        <f>HYPERLINK("https://www.773grp.com/globalSearch/RD5.1E-T2/page-1", "RD5.1E-T2")</f>
        <v>RD5.1E-T2</v>
      </c>
      <c r="B47591" s="3" t="str">
        <f>HYPERLINK("https://www.773grp.com/manufacturer/renesas-electronics-america-inc?pageNo=448", "Renesas Electronics")</f>
        <v>Renesas Electronics</v>
      </c>
      <c r="C47591" s="6">
        <v>20000</v>
      </c>
      <c r="D47591" s="7">
        <v>0.15</v>
      </c>
    </row>
    <row r="47592" spans="1:4" x14ac:dyDescent="0.25">
      <c r="A47592" t="str">
        <f>HYPERLINK("https://www.773grp.com/globalSearch/RD5.1E-T2-AZ/page-1", "RD5.1E-T2-AZ")</f>
        <v>RD5.1E-T2-AZ</v>
      </c>
      <c r="B47592" s="3" t="str">
        <f>HYPERLINK("https://www.773grp.com/manufacturer/renesas-electronics-america-inc?pageNo=449", "Renesas Electronics")</f>
        <v>Renesas Electronics</v>
      </c>
      <c r="C47592" s="6">
        <v>23750</v>
      </c>
      <c r="D47592" s="7">
        <v>0.15</v>
      </c>
    </row>
    <row r="47593" spans="1:4" x14ac:dyDescent="0.25">
      <c r="A47593" t="str">
        <f>HYPERLINK("https://www.773grp.com/globalSearch/RD5.1E-TB/page-1", "RD5.1E-TB")</f>
        <v>RD5.1E-TB</v>
      </c>
      <c r="B47593" s="3" t="str">
        <f>HYPERLINK("https://www.773grp.com/manufacturer/renesas-electronics-america-inc?pageNo=450", "Renesas Electronics")</f>
        <v>Renesas Electronics</v>
      </c>
      <c r="C47593" s="6">
        <v>120000</v>
      </c>
      <c r="D47593" s="7">
        <v>0.15</v>
      </c>
    </row>
    <row r="47594" spans="1:4" x14ac:dyDescent="0.25">
      <c r="A47594" t="str">
        <f>HYPERLINK("https://www.773grp.com/globalSearch/RD5.1E-TB-AZ/page-1", "RD5.1E-TB-AZ")</f>
        <v>RD5.1E-TB-AZ</v>
      </c>
      <c r="B47594" s="3" t="str">
        <f>HYPERLINK("https://www.773grp.com/manufacturer/renesas-electronics-america-inc?pageNo=451", "Renesas Electronics")</f>
        <v>Renesas Electronics</v>
      </c>
      <c r="C47594" s="6">
        <v>32500</v>
      </c>
      <c r="D47594" s="7">
        <v>0.15</v>
      </c>
    </row>
    <row r="47595" spans="1:4" x14ac:dyDescent="0.25">
      <c r="A47595" t="str">
        <f>HYPERLINK("https://www.773grp.com/globalSearch/RD5.1JS-T1/page-1", "RD5.1JS-T1")</f>
        <v>RD5.1JS-T1</v>
      </c>
      <c r="B47595" s="3" t="str">
        <f>HYPERLINK("https://www.773grp.com/manufacturer/renesas-electronics-america-inc?pageNo=452", "Renesas Electronics")</f>
        <v>Renesas Electronics</v>
      </c>
      <c r="C47595" s="6">
        <v>16000</v>
      </c>
      <c r="D47595" s="7">
        <v>0.15</v>
      </c>
    </row>
    <row r="47596" spans="1:4" x14ac:dyDescent="0.25">
      <c r="A47596" t="str">
        <f>HYPERLINK("https://www.773grp.com/globalSearch/RD5.1JS-T4-AZ/page-1", "RD5.1JS-T4-AZ")</f>
        <v>RD5.1JS-T4-AZ</v>
      </c>
      <c r="B47596" s="3" t="str">
        <f>HYPERLINK("https://www.773grp.com/manufacturer/renesas-electronics-america-inc?pageNo=453", "Renesas Electronics")</f>
        <v>Renesas Electronics</v>
      </c>
      <c r="C47596" s="6">
        <v>45000</v>
      </c>
      <c r="D47596" s="7">
        <v>0.15</v>
      </c>
    </row>
    <row r="47597" spans="1:4" x14ac:dyDescent="0.25">
      <c r="A47597" t="str">
        <f>HYPERLINK("https://www.773grp.com/globalSearch/RD5.6ES-AZ/page-1", "RD5.6ES-AZ")</f>
        <v>RD5.6ES-AZ</v>
      </c>
      <c r="B47597" s="3" t="str">
        <f>HYPERLINK("https://www.773grp.com/manufacturer/renesas-electronics-america-inc?pageNo=454", "Renesas Electronics")</f>
        <v>Renesas Electronics</v>
      </c>
      <c r="C47597" s="6">
        <v>6490</v>
      </c>
      <c r="D47597" s="7">
        <v>0.15</v>
      </c>
    </row>
    <row r="47598" spans="1:4" x14ac:dyDescent="0.25">
      <c r="A47598" t="str">
        <f>HYPERLINK("https://www.773grp.com/globalSearch/RD5.6ES-T1/page-1", "RD5.6ES-T1")</f>
        <v>RD5.6ES-T1</v>
      </c>
      <c r="B47598" s="3" t="str">
        <f>HYPERLINK("https://www.773grp.com/manufacturer/renesas-electronics-america-inc?pageNo=455", "Renesas Electronics")</f>
        <v>Renesas Electronics</v>
      </c>
      <c r="C47598" s="6">
        <v>50000</v>
      </c>
      <c r="D47598" s="7">
        <v>0.15</v>
      </c>
    </row>
    <row r="47599" spans="1:4" x14ac:dyDescent="0.25">
      <c r="A47599" t="str">
        <f>HYPERLINK("https://www.773grp.com/globalSearch/RD5.6ES-T4-AZ/page-1", "RD5.6ES-T4-AZ")</f>
        <v>RD5.6ES-T4-AZ</v>
      </c>
      <c r="B47599" s="3" t="str">
        <f>HYPERLINK("https://www.773grp.com/manufacturer/renesas-electronics-america-inc?pageNo=456", "Renesas Electronics")</f>
        <v>Renesas Electronics</v>
      </c>
      <c r="C47599" s="6">
        <v>110000</v>
      </c>
      <c r="D47599" s="7">
        <v>0.15</v>
      </c>
    </row>
    <row r="47600" spans="1:4" x14ac:dyDescent="0.25">
      <c r="A47600" t="str">
        <f>HYPERLINK("https://www.773grp.com/globalSearch/RD5.6E-T2/page-1", "RD5.6E-T2")</f>
        <v>RD5.6E-T2</v>
      </c>
      <c r="B47600" s="3" t="str">
        <f>HYPERLINK("https://www.773grp.com/manufacturer/renesas-electronics-america-inc?pageNo=457", "Renesas Electronics")</f>
        <v>Renesas Electronics</v>
      </c>
      <c r="C47600" s="6">
        <v>150000</v>
      </c>
      <c r="D47600" s="7">
        <v>0.15</v>
      </c>
    </row>
    <row r="47601" spans="1:4" x14ac:dyDescent="0.25">
      <c r="A47601" t="str">
        <f>HYPERLINK("https://www.773grp.com/globalSearch/RD5.6E-T4-AZ/page-1", "RD5.6E-T4-AZ")</f>
        <v>RD5.6E-T4-AZ</v>
      </c>
      <c r="B47601" s="3" t="str">
        <f>HYPERLINK("https://www.773grp.com/manufacturer/renesas-electronics-america-inc?pageNo=458", "Renesas Electronics")</f>
        <v>Renesas Electronics</v>
      </c>
      <c r="C47601" s="6">
        <v>520000</v>
      </c>
      <c r="D47601" s="7">
        <v>0.15</v>
      </c>
    </row>
    <row r="47602" spans="1:4" x14ac:dyDescent="0.25">
      <c r="A47602" t="str">
        <f>HYPERLINK("https://www.773grp.com/globalSearch/RD5.6E-TB/page-1", "RD5.6E-TB")</f>
        <v>RD5.6E-TB</v>
      </c>
      <c r="B47602" s="3" t="str">
        <f>HYPERLINK("https://www.773grp.com/manufacturer/renesas-electronics-america-inc?pageNo=459", "Renesas Electronics")</f>
        <v>Renesas Electronics</v>
      </c>
      <c r="C47602" s="6">
        <v>42500</v>
      </c>
      <c r="D47602" s="7">
        <v>0.15</v>
      </c>
    </row>
    <row r="47603" spans="1:4" x14ac:dyDescent="0.25">
      <c r="A47603" t="str">
        <f>HYPERLINK("https://www.773grp.com/globalSearch/RD5.6E-TB-AZ/page-1", "RD5.6E-TB-AZ")</f>
        <v>RD5.6E-TB-AZ</v>
      </c>
      <c r="B47603" s="3" t="str">
        <f>HYPERLINK("https://www.773grp.com/manufacturer/renesas-electronics-america-inc?pageNo=460", "Renesas Electronics")</f>
        <v>Renesas Electronics</v>
      </c>
      <c r="C47603" s="6">
        <v>95000</v>
      </c>
      <c r="D47603" s="7">
        <v>0.15</v>
      </c>
    </row>
    <row r="47604" spans="1:4" x14ac:dyDescent="0.25">
      <c r="A47604" t="str">
        <f>HYPERLINK("https://www.773grp.com/globalSearch/RD5.6JS-AZ/page-1", "RD5.6JS-AZ")</f>
        <v>RD5.6JS-AZ</v>
      </c>
      <c r="B47604" s="3" t="str">
        <f>HYPERLINK("https://www.773grp.com/manufacturer/renesas-electronics-america-inc?pageNo=461", "Renesas Electronics")</f>
        <v>Renesas Electronics</v>
      </c>
      <c r="C47604" s="6">
        <v>9240</v>
      </c>
      <c r="D47604" s="7">
        <v>0.15</v>
      </c>
    </row>
    <row r="47605" spans="1:4" x14ac:dyDescent="0.25">
      <c r="A47605" t="str">
        <f>HYPERLINK("https://www.773grp.com/globalSearch/RD5.6JS-T1/page-1", "RD5.6JS-T1")</f>
        <v>RD5.6JS-T1</v>
      </c>
      <c r="B47605" s="3" t="str">
        <f>HYPERLINK("https://www.773grp.com/manufacturer/renesas-electronics-america-inc?pageNo=462", "Renesas Electronics")</f>
        <v>Renesas Electronics</v>
      </c>
      <c r="C47605" s="6">
        <v>104000</v>
      </c>
      <c r="D47605" s="7">
        <v>0.15</v>
      </c>
    </row>
    <row r="47606" spans="1:4" x14ac:dyDescent="0.25">
      <c r="A47606" t="str">
        <f>HYPERLINK("https://www.773grp.com/globalSearch/RD5.6JS-T2/page-1", "RD5.6JS-T2")</f>
        <v>RD5.6JS-T2</v>
      </c>
      <c r="B47606" s="3" t="str">
        <f>HYPERLINK("https://www.773grp.com/manufacturer/renesas-electronics-america-inc?pageNo=463", "Renesas Electronics")</f>
        <v>Renesas Electronics</v>
      </c>
      <c r="C47606" s="6">
        <v>5000</v>
      </c>
      <c r="D47606" s="7">
        <v>0.15</v>
      </c>
    </row>
    <row r="47607" spans="1:4" x14ac:dyDescent="0.25">
      <c r="A47607" t="str">
        <f>HYPERLINK("https://www.773grp.com/globalSearch/RD5.6JS-T4-AZ/page-1", "RD5.6JS-T4-AZ")</f>
        <v>RD5.6JS-T4-AZ</v>
      </c>
      <c r="B47607" s="3" t="str">
        <f>HYPERLINK("https://www.773grp.com/manufacturer/renesas-electronics-america-inc?pageNo=464", "Renesas Electronics")</f>
        <v>Renesas Electronics</v>
      </c>
      <c r="C47607" s="6">
        <v>140000</v>
      </c>
      <c r="D47607" s="7">
        <v>0.15</v>
      </c>
    </row>
    <row r="47608" spans="1:4" x14ac:dyDescent="0.25">
      <c r="A47608" t="str">
        <f>HYPERLINK("https://www.773grp.com/globalSearch/RD6.2ES/page-1", "RD6.2ES")</f>
        <v>RD6.2ES</v>
      </c>
      <c r="B47608" s="3" t="str">
        <f>HYPERLINK("https://www.773grp.com/manufacturer/renesas-electronics-america-inc?pageNo=465", "Renesas Electronics")</f>
        <v>Renesas Electronics</v>
      </c>
      <c r="C47608" s="6">
        <v>22114</v>
      </c>
      <c r="D47608" s="7">
        <v>0.15</v>
      </c>
    </row>
    <row r="47609" spans="1:4" x14ac:dyDescent="0.25">
      <c r="A47609" t="str">
        <f>HYPERLINK("https://www.773grp.com/globalSearch/RD6.2ES-AZ/page-1", "RD6.2ES-AZ")</f>
        <v>RD6.2ES-AZ</v>
      </c>
      <c r="B47609" s="3" t="str">
        <f>HYPERLINK("https://www.773grp.com/manufacturer/renesas-electronics-america-inc?pageNo=466", "Renesas Electronics")</f>
        <v>Renesas Electronics</v>
      </c>
      <c r="C47609" s="6">
        <v>7210</v>
      </c>
      <c r="D47609" s="7">
        <v>0.15</v>
      </c>
    </row>
    <row r="47610" spans="1:4" x14ac:dyDescent="0.25">
      <c r="A47610" t="str">
        <f>HYPERLINK("https://www.773grp.com/globalSearch/RD6.2ES-T1/page-1", "RD6.2ES-T1")</f>
        <v>RD6.2ES-T1</v>
      </c>
      <c r="B47610" s="3" t="str">
        <f>HYPERLINK("https://www.773grp.com/manufacturer/renesas-electronics-america-inc?pageNo=467", "Renesas Electronics")</f>
        <v>Renesas Electronics</v>
      </c>
      <c r="C47610" s="6">
        <v>85950</v>
      </c>
      <c r="D47610" s="7">
        <v>0.15</v>
      </c>
    </row>
    <row r="47611" spans="1:4" x14ac:dyDescent="0.25">
      <c r="A47611" t="str">
        <f>HYPERLINK("https://www.773grp.com/globalSearch/RD6.2ES-T4/page-1", "RD6.2ES-T4")</f>
        <v>RD6.2ES-T4</v>
      </c>
      <c r="B47611" s="3" t="str">
        <f>HYPERLINK("https://www.773grp.com/manufacturer/renesas-electronics-america-inc?pageNo=468", "Renesas Electronics")</f>
        <v>Renesas Electronics</v>
      </c>
      <c r="C47611" s="6">
        <v>130000</v>
      </c>
      <c r="D47611" s="7">
        <v>0.15</v>
      </c>
    </row>
    <row r="47612" spans="1:4" x14ac:dyDescent="0.25">
      <c r="A47612" t="str">
        <f>HYPERLINK("https://www.773grp.com/globalSearch/RD6.2ES-T4-AZ/page-1", "RD6.2ES-T4-AZ")</f>
        <v>RD6.2ES-T4-AZ</v>
      </c>
      <c r="B47612" s="3" t="str">
        <f>HYPERLINK("https://www.773grp.com/manufacturer/renesas-electronics-america-inc?pageNo=469", "Renesas Electronics")</f>
        <v>Renesas Electronics</v>
      </c>
      <c r="C47612" s="6">
        <v>40000</v>
      </c>
      <c r="D47612" s="7">
        <v>0.15</v>
      </c>
    </row>
    <row r="47613" spans="1:4" x14ac:dyDescent="0.25">
      <c r="A47613" t="str">
        <f>HYPERLINK("https://www.773grp.com/globalSearch/RD6.2E-T1/page-1", "RD6.2E-T1")</f>
        <v>RD6.2E-T1</v>
      </c>
      <c r="B47613" s="3" t="str">
        <f>HYPERLINK("https://www.773grp.com/manufacturer/renesas-electronics-america-inc?pageNo=470", "Renesas Electronics")</f>
        <v>Renesas Electronics</v>
      </c>
      <c r="C47613" s="6">
        <v>108000</v>
      </c>
      <c r="D47613" s="7">
        <v>0.15</v>
      </c>
    </row>
    <row r="47614" spans="1:4" x14ac:dyDescent="0.25">
      <c r="A47614" t="str">
        <f>HYPERLINK("https://www.773grp.com/globalSearch/RD6.2E-T2/page-1", "RD6.2E-T2")</f>
        <v>RD6.2E-T2</v>
      </c>
      <c r="B47614" s="3" t="str">
        <f>HYPERLINK("https://www.773grp.com/manufacturer/renesas-electronics-america-inc?pageNo=471", "Renesas Electronics")</f>
        <v>Renesas Electronics</v>
      </c>
      <c r="C47614" s="6">
        <v>5000</v>
      </c>
      <c r="D47614" s="7">
        <v>0.15</v>
      </c>
    </row>
    <row r="47615" spans="1:4" x14ac:dyDescent="0.25">
      <c r="A47615" t="str">
        <f>HYPERLINK("https://www.773grp.com/globalSearch/RD6.2E-T2-AZ/page-1", "RD6.2E-T2-AZ")</f>
        <v>RD6.2E-T2-AZ</v>
      </c>
      <c r="B47615" s="3" t="str">
        <f>HYPERLINK("https://www.773grp.com/manufacturer/renesas-electronics-america-inc?pageNo=472", "Renesas Electronics")</f>
        <v>Renesas Electronics</v>
      </c>
      <c r="C47615" s="6">
        <v>425000</v>
      </c>
      <c r="D47615" s="7">
        <v>0.15</v>
      </c>
    </row>
    <row r="47616" spans="1:4" x14ac:dyDescent="0.25">
      <c r="A47616" t="str">
        <f>HYPERLINK("https://www.773grp.com/globalSearch/RD6.2E-T4/page-1", "RD6.2E-T4")</f>
        <v>RD6.2E-T4</v>
      </c>
      <c r="B47616" s="3" t="str">
        <f>HYPERLINK("https://www.773grp.com/manufacturer/renesas-electronics-america-inc?pageNo=473", "Renesas Electronics")</f>
        <v>Renesas Electronics</v>
      </c>
      <c r="C47616" s="6">
        <v>25000</v>
      </c>
      <c r="D47616" s="7">
        <v>0.15</v>
      </c>
    </row>
    <row r="47617" spans="1:4" x14ac:dyDescent="0.25">
      <c r="A47617" t="str">
        <f>HYPERLINK("https://www.773grp.com/globalSearch/RD6.2E-T4-AZ/page-1", "RD6.2E-T4-AZ")</f>
        <v>RD6.2E-T4-AZ</v>
      </c>
      <c r="B47617" s="3" t="str">
        <f>HYPERLINK("https://www.773grp.com/manufacturer/renesas-electronics-america-inc?pageNo=474", "Renesas Electronics")</f>
        <v>Renesas Electronics</v>
      </c>
      <c r="C47617" s="6">
        <v>425000</v>
      </c>
      <c r="D47617" s="7">
        <v>0.15</v>
      </c>
    </row>
    <row r="47618" spans="1:4" x14ac:dyDescent="0.25">
      <c r="A47618" t="str">
        <f>HYPERLINK("https://www.773grp.com/globalSearch/RD6.2E-TB/page-1", "RD6.2E-TB")</f>
        <v>RD6.2E-TB</v>
      </c>
      <c r="B47618" s="3" t="str">
        <f>HYPERLINK("https://www.773grp.com/manufacturer/renesas-electronics-america-inc?pageNo=475", "Renesas Electronics")</f>
        <v>Renesas Electronics</v>
      </c>
      <c r="C47618" s="6">
        <v>92500</v>
      </c>
      <c r="D47618" s="7">
        <v>0.15</v>
      </c>
    </row>
    <row r="47619" spans="1:4" x14ac:dyDescent="0.25">
      <c r="A47619" t="str">
        <f>HYPERLINK("https://www.773grp.com/globalSearch/RD6.2JS/page-1", "RD6.2JS")</f>
        <v>RD6.2JS</v>
      </c>
      <c r="B47619" s="3" t="str">
        <f>HYPERLINK("https://www.773grp.com/manufacturer/renesas-electronics-america-inc?pageNo=476", "Renesas Electronics")</f>
        <v>Renesas Electronics</v>
      </c>
      <c r="C47619" s="6">
        <v>5850</v>
      </c>
      <c r="D47619" s="7">
        <v>0.15</v>
      </c>
    </row>
    <row r="47620" spans="1:4" x14ac:dyDescent="0.25">
      <c r="A47620" t="str">
        <f>HYPERLINK("https://www.773grp.com/globalSearch/RD6.2JS-AZ/page-1", "RD6.2JS-AZ")</f>
        <v>RD6.2JS-AZ</v>
      </c>
      <c r="B47620" s="3" t="str">
        <f>HYPERLINK("https://www.773grp.com/manufacturer/renesas-electronics-america-inc?pageNo=477", "Renesas Electronics")</f>
        <v>Renesas Electronics</v>
      </c>
      <c r="C47620" s="6">
        <v>340800</v>
      </c>
      <c r="D47620" s="7">
        <v>0.15</v>
      </c>
    </row>
    <row r="47621" spans="1:4" x14ac:dyDescent="0.25">
      <c r="A47621" t="str">
        <f>HYPERLINK("https://www.773grp.com/globalSearch/RD6.2JS-T4-AZ/page-1", "RD6.2JS-T4-AZ")</f>
        <v>RD6.2JS-T4-AZ</v>
      </c>
      <c r="B47621" s="3" t="str">
        <f>HYPERLINK("https://www.773grp.com/manufacturer/renesas-electronics-america-inc?pageNo=478", "Renesas Electronics")</f>
        <v>Renesas Electronics</v>
      </c>
      <c r="C47621" s="6">
        <v>320000</v>
      </c>
      <c r="D47621" s="7">
        <v>0.15</v>
      </c>
    </row>
    <row r="47622" spans="1:4" x14ac:dyDescent="0.25">
      <c r="A47622" t="str">
        <f>HYPERLINK("https://www.773grp.com/globalSearch/RD6.8ES-AZ/page-1", "RD6.8ES-AZ")</f>
        <v>RD6.8ES-AZ</v>
      </c>
      <c r="B47622" s="3" t="str">
        <f>HYPERLINK("https://www.773grp.com/manufacturer/renesas-electronics-america-inc?pageNo=479", "Renesas Electronics")</f>
        <v>Renesas Electronics</v>
      </c>
      <c r="C47622" s="6">
        <v>7750</v>
      </c>
      <c r="D47622" s="7">
        <v>0.15</v>
      </c>
    </row>
    <row r="47623" spans="1:4" x14ac:dyDescent="0.25">
      <c r="A47623" t="str">
        <f>HYPERLINK("https://www.773grp.com/globalSearch/RD6.8ES-T1/page-1", "RD6.8ES-T1")</f>
        <v>RD6.8ES-T1</v>
      </c>
      <c r="B47623" s="3" t="str">
        <f>HYPERLINK("https://www.773grp.com/manufacturer/renesas-electronics-america-inc?pageNo=480", "Renesas Electronics")</f>
        <v>Renesas Electronics</v>
      </c>
      <c r="C47623" s="6">
        <v>42000</v>
      </c>
      <c r="D47623" s="7">
        <v>0.15</v>
      </c>
    </row>
    <row r="47624" spans="1:4" x14ac:dyDescent="0.25">
      <c r="A47624" t="str">
        <f>HYPERLINK("https://www.773grp.com/globalSearch/RD6.8ES-T2-AZ/page-1", "RD6.8ES-T2-AZ")</f>
        <v>RD6.8ES-T2-AZ</v>
      </c>
      <c r="B47624" s="3" t="str">
        <f>HYPERLINK("https://www.773grp.com/manufacturer/renesas-electronics-america-inc?pageNo=481", "Renesas Electronics")</f>
        <v>Renesas Electronics</v>
      </c>
      <c r="C47624" s="6">
        <v>40000</v>
      </c>
      <c r="D47624" s="7">
        <v>0.15</v>
      </c>
    </row>
    <row r="47625" spans="1:4" x14ac:dyDescent="0.25">
      <c r="A47625" t="str">
        <f>HYPERLINK("https://www.773grp.com/globalSearch/RD6.8ES-T4/page-1", "RD6.8ES-T4")</f>
        <v>RD6.8ES-T4</v>
      </c>
      <c r="B47625" s="3" t="str">
        <f>HYPERLINK("https://www.773grp.com/manufacturer/renesas-electronics-america-inc?pageNo=482", "Renesas Electronics")</f>
        <v>Renesas Electronics</v>
      </c>
      <c r="C47625" s="6">
        <v>105000</v>
      </c>
      <c r="D47625" s="7">
        <v>0.15</v>
      </c>
    </row>
    <row r="47626" spans="1:4" x14ac:dyDescent="0.25">
      <c r="A47626" t="str">
        <f>HYPERLINK("https://www.773grp.com/globalSearch/RD6.8E-T2/page-1", "RD6.8E-T2")</f>
        <v>RD6.8E-T2</v>
      </c>
      <c r="B47626" s="3" t="str">
        <f>HYPERLINK("https://www.773grp.com/manufacturer/renesas-electronics-america-inc?pageNo=483", "Renesas Electronics")</f>
        <v>Renesas Electronics</v>
      </c>
      <c r="C47626" s="6">
        <v>875000</v>
      </c>
      <c r="D47626" s="7">
        <v>0.15</v>
      </c>
    </row>
    <row r="47627" spans="1:4" x14ac:dyDescent="0.25">
      <c r="A47627" t="str">
        <f>HYPERLINK("https://www.773grp.com/globalSearch/RD6.8E-T4-AZ/page-1", "RD6.8E-T4-AZ")</f>
        <v>RD6.8E-T4-AZ</v>
      </c>
      <c r="B47627" s="3" t="str">
        <f>HYPERLINK("https://www.773grp.com/manufacturer/renesas-electronics-america-inc?pageNo=484", "Renesas Electronics")</f>
        <v>Renesas Electronics</v>
      </c>
      <c r="C47627" s="6">
        <v>105000</v>
      </c>
      <c r="D47627" s="7">
        <v>0.15</v>
      </c>
    </row>
    <row r="47628" spans="1:4" x14ac:dyDescent="0.25">
      <c r="A47628" t="str">
        <f>HYPERLINK("https://www.773grp.com/globalSearch/RD6.8E-TB/page-1", "RD6.8E-TB")</f>
        <v>RD6.8E-TB</v>
      </c>
      <c r="B47628" s="3" t="str">
        <f>HYPERLINK("https://www.773grp.com/manufacturer/renesas-electronics-america-inc?pageNo=485", "Renesas Electronics")</f>
        <v>Renesas Electronics</v>
      </c>
      <c r="C47628" s="6">
        <v>45000</v>
      </c>
      <c r="D47628" s="7">
        <v>0.15</v>
      </c>
    </row>
    <row r="47629" spans="1:4" x14ac:dyDescent="0.25">
      <c r="A47629" t="str">
        <f>HYPERLINK("https://www.773grp.com/globalSearch/RD6.8E-TB-AZ/page-1", "RD6.8E-TB-AZ")</f>
        <v>RD6.8E-TB-AZ</v>
      </c>
      <c r="B47629" s="3" t="str">
        <f>HYPERLINK("https://www.773grp.com/manufacturer/renesas-electronics-america-inc?pageNo=486", "Renesas Electronics")</f>
        <v>Renesas Electronics</v>
      </c>
      <c r="C47629" s="6">
        <v>101250</v>
      </c>
      <c r="D47629" s="7">
        <v>0.15</v>
      </c>
    </row>
    <row r="47630" spans="1:4" x14ac:dyDescent="0.25">
      <c r="A47630" t="str">
        <f>HYPERLINK("https://www.773grp.com/globalSearch/RD6.8JS-AZ/page-1", "RD6.8JS-AZ")</f>
        <v>RD6.8JS-AZ</v>
      </c>
      <c r="B47630" s="3" t="str">
        <f>HYPERLINK("https://www.773grp.com/manufacturer/renesas-electronics-america-inc?pageNo=487", "Renesas Electronics")</f>
        <v>Renesas Electronics</v>
      </c>
      <c r="C47630" s="6">
        <v>14800</v>
      </c>
      <c r="D47630" s="7">
        <v>0.15</v>
      </c>
    </row>
    <row r="47631" spans="1:4" x14ac:dyDescent="0.25">
      <c r="A47631" t="str">
        <f>HYPERLINK("https://www.773grp.com/globalSearch/RD7.5ES/page-1", "RD7.5ES")</f>
        <v>RD7.5ES</v>
      </c>
      <c r="B47631" s="3" t="str">
        <f>HYPERLINK("https://www.773grp.com/manufacturer/renesas-electronics-america-inc?pageNo=488", "Renesas Electronics")</f>
        <v>Renesas Electronics</v>
      </c>
      <c r="C47631" s="6">
        <v>141310</v>
      </c>
      <c r="D47631" s="7">
        <v>0.15</v>
      </c>
    </row>
    <row r="47632" spans="1:4" x14ac:dyDescent="0.25">
      <c r="A47632" t="str">
        <f>HYPERLINK("https://www.773grp.com/globalSearch/RD7.5ES-AZ/page-1", "RD7.5ES-AZ")</f>
        <v>RD7.5ES-AZ</v>
      </c>
      <c r="B47632" s="3" t="str">
        <f>HYPERLINK("https://www.773grp.com/manufacturer/renesas-electronics-america-inc?pageNo=489", "Renesas Electronics")</f>
        <v>Renesas Electronics</v>
      </c>
      <c r="C47632" s="6">
        <v>7800</v>
      </c>
      <c r="D47632" s="7">
        <v>0.15</v>
      </c>
    </row>
    <row r="47633" spans="1:4" x14ac:dyDescent="0.25">
      <c r="A47633" t="str">
        <f>HYPERLINK("https://www.773grp.com/globalSearch/RD7.5ES-T4/page-1", "RD7.5ES-T4")</f>
        <v>RD7.5ES-T4</v>
      </c>
      <c r="B47633" s="3" t="str">
        <f>HYPERLINK("https://www.773grp.com/manufacturer/renesas-electronics-america-inc?pageNo=490", "Renesas Electronics")</f>
        <v>Renesas Electronics</v>
      </c>
      <c r="C47633" s="6">
        <v>5000</v>
      </c>
      <c r="D47633" s="7">
        <v>0.15</v>
      </c>
    </row>
    <row r="47634" spans="1:4" x14ac:dyDescent="0.25">
      <c r="A47634" t="str">
        <f>HYPERLINK("https://www.773grp.com/globalSearch/RD7.5ES-T4-AZ/page-1", "RD7.5ES-T4-AZ")</f>
        <v>RD7.5ES-T4-AZ</v>
      </c>
      <c r="B47634" s="3" t="str">
        <f>HYPERLINK("https://www.773grp.com/manufacturer/renesas-electronics-america-inc?pageNo=491", "Renesas Electronics")</f>
        <v>Renesas Electronics</v>
      </c>
      <c r="C47634" s="6">
        <v>25000</v>
      </c>
      <c r="D47634" s="7">
        <v>0.15</v>
      </c>
    </row>
    <row r="47635" spans="1:4" x14ac:dyDescent="0.25">
      <c r="A47635" t="str">
        <f>HYPERLINK("https://www.773grp.com/globalSearch/RD7.5E-T1/page-1", "RD7.5E-T1")</f>
        <v>RD7.5E-T1</v>
      </c>
      <c r="B47635" s="3" t="str">
        <f>HYPERLINK("https://www.773grp.com/manufacturer/renesas-electronics-america-inc?pageNo=492", "Renesas Electronics")</f>
        <v>Renesas Electronics</v>
      </c>
      <c r="C47635" s="6">
        <v>56000</v>
      </c>
      <c r="D47635" s="7">
        <v>0.15</v>
      </c>
    </row>
    <row r="47636" spans="1:4" x14ac:dyDescent="0.25">
      <c r="A47636" t="str">
        <f>HYPERLINK("https://www.773grp.com/globalSearch/RD7.5E-T2-AZ/page-1", "RD7.5E-T2-AZ")</f>
        <v>RD7.5E-T2-AZ</v>
      </c>
      <c r="B47636" s="3" t="str">
        <f>HYPERLINK("https://www.773grp.com/manufacturer/renesas-electronics-america-inc?pageNo=493", "Renesas Electronics")</f>
        <v>Renesas Electronics</v>
      </c>
      <c r="C47636" s="6">
        <v>45000</v>
      </c>
      <c r="D47636" s="7">
        <v>0.15</v>
      </c>
    </row>
    <row r="47637" spans="1:4" x14ac:dyDescent="0.25">
      <c r="A47637" t="str">
        <f>HYPERLINK("https://www.773grp.com/globalSearch/RD7.5E-T4/page-1", "RD7.5E-T4")</f>
        <v>RD7.5E-T4</v>
      </c>
      <c r="B47637" s="3" t="str">
        <f>HYPERLINK("https://www.773grp.com/manufacturer/renesas-electronics-america-inc?pageNo=494", "Renesas Electronics")</f>
        <v>Renesas Electronics</v>
      </c>
      <c r="C47637" s="6">
        <v>95000</v>
      </c>
      <c r="D47637" s="7">
        <v>0.15</v>
      </c>
    </row>
    <row r="47638" spans="1:4" x14ac:dyDescent="0.25">
      <c r="A47638" t="str">
        <f>HYPERLINK("https://www.773grp.com/globalSearch/RD7.5E-T4-AZ/page-1", "RD7.5E-T4-AZ")</f>
        <v>RD7.5E-T4-AZ</v>
      </c>
      <c r="B47638" s="3" t="str">
        <f>HYPERLINK("https://www.773grp.com/manufacturer/renesas-electronics-america-inc?pageNo=495", "Renesas Electronics")</f>
        <v>Renesas Electronics</v>
      </c>
      <c r="C47638" s="6">
        <v>110000</v>
      </c>
      <c r="D47638" s="7">
        <v>0.15</v>
      </c>
    </row>
    <row r="47639" spans="1:4" x14ac:dyDescent="0.25">
      <c r="A47639" t="str">
        <f>HYPERLINK("https://www.773grp.com/globalSearch/RD7.5E-TB/page-1", "RD7.5E-TB")</f>
        <v>RD7.5E-TB</v>
      </c>
      <c r="B47639" s="3" t="str">
        <f>HYPERLINK("https://www.773grp.com/manufacturer/renesas-electronics-america-inc?pageNo=496", "Renesas Electronics")</f>
        <v>Renesas Electronics</v>
      </c>
      <c r="C47639" s="6">
        <v>87500</v>
      </c>
      <c r="D47639" s="7">
        <v>0.15</v>
      </c>
    </row>
    <row r="47640" spans="1:4" x14ac:dyDescent="0.25">
      <c r="A47640" t="str">
        <f>HYPERLINK("https://www.773grp.com/globalSearch/RD7.5E-TB-AZ/page-1", "RD7.5E-TB-AZ")</f>
        <v>RD7.5E-TB-AZ</v>
      </c>
      <c r="B47640" s="3" t="str">
        <f>HYPERLINK("https://www.773grp.com/manufacturer/renesas-electronics-america-inc?pageNo=497", "Renesas Electronics")</f>
        <v>Renesas Electronics</v>
      </c>
      <c r="C47640" s="6">
        <v>37500</v>
      </c>
      <c r="D47640" s="7">
        <v>0.15</v>
      </c>
    </row>
    <row r="47641" spans="1:4" x14ac:dyDescent="0.25">
      <c r="A47641" t="str">
        <f>HYPERLINK("https://www.773grp.com/globalSearch/RD7.5JS-AZ/page-1", "RD7.5JS-AZ")</f>
        <v>RD7.5JS-AZ</v>
      </c>
      <c r="B47641" s="3" t="str">
        <f>HYPERLINK("https://www.773grp.com/manufacturer/renesas-electronics-america-inc?pageNo=498", "Renesas Electronics")</f>
        <v>Renesas Electronics</v>
      </c>
      <c r="C47641" s="6">
        <v>2600</v>
      </c>
      <c r="D47641" s="7">
        <v>0.15</v>
      </c>
    </row>
    <row r="47642" spans="1:4" x14ac:dyDescent="0.25">
      <c r="A47642" t="str">
        <f>HYPERLINK("https://www.773grp.com/globalSearch/RD8.2E/page-1", "RD8.2E")</f>
        <v>RD8.2E</v>
      </c>
      <c r="B47642" s="3" t="str">
        <f>HYPERLINK("https://www.773grp.com/manufacturer/renesas-electronics-america-inc?pageNo=499", "Renesas Electronics")</f>
        <v>Renesas Electronics</v>
      </c>
      <c r="C47642" s="6">
        <v>80010</v>
      </c>
      <c r="D47642" s="7">
        <v>0.15</v>
      </c>
    </row>
    <row r="47643" spans="1:4" x14ac:dyDescent="0.25">
      <c r="A47643" t="str">
        <f>HYPERLINK("https://www.773grp.com/globalSearch/RD8.2ES-AZ/page-1", "RD8.2ES-AZ")</f>
        <v>RD8.2ES-AZ</v>
      </c>
      <c r="B47643" s="3" t="str">
        <f>HYPERLINK("https://www.773grp.com/manufacturer/renesas-electronics-america-inc?pageNo=500", "Renesas Electronics")</f>
        <v>Renesas Electronics</v>
      </c>
      <c r="C47643" s="6">
        <v>49630</v>
      </c>
      <c r="D47643" s="7">
        <v>0.15</v>
      </c>
    </row>
    <row r="47644" spans="1:4" x14ac:dyDescent="0.25">
      <c r="A47644" t="str">
        <f>HYPERLINK("https://www.773grp.com/globalSearch/RD8.2ES-T1/page-1", "RD8.2ES-T1")</f>
        <v>RD8.2ES-T1</v>
      </c>
      <c r="B47644" s="3" t="str">
        <f>HYPERLINK("https://www.773grp.com/manufacturer/renesas-electronics-america-inc?pageNo=501", "Renesas Electronics")</f>
        <v>Renesas Electronics</v>
      </c>
      <c r="C47644" s="6">
        <v>106000</v>
      </c>
      <c r="D47644" s="7">
        <v>0.15</v>
      </c>
    </row>
    <row r="47645" spans="1:4" x14ac:dyDescent="0.25">
      <c r="A47645" t="str">
        <f>HYPERLINK("https://www.773grp.com/globalSearch/RD8.2ES-T4-AZ/page-1", "RD8.2ES-T4-AZ")</f>
        <v>RD8.2ES-T4-AZ</v>
      </c>
      <c r="B47645" s="3" t="str">
        <f>HYPERLINK("https://www.773grp.com/manufacturer/renesas-electronics-america-inc?pageNo=502", "Renesas Electronics")</f>
        <v>Renesas Electronics</v>
      </c>
      <c r="C47645" s="6">
        <v>55000</v>
      </c>
      <c r="D47645" s="7">
        <v>0.15</v>
      </c>
    </row>
    <row r="47646" spans="1:4" x14ac:dyDescent="0.25">
      <c r="A47646" t="str">
        <f>HYPERLINK("https://www.773grp.com/globalSearch/RD8.2E-T1/page-1", "RD8.2E-T1")</f>
        <v>RD8.2E-T1</v>
      </c>
      <c r="B47646" s="3" t="str">
        <f>HYPERLINK("https://www.773grp.com/manufacturer/renesas-electronics-america-inc?pageNo=503", "Renesas Electronics")</f>
        <v>Renesas Electronics</v>
      </c>
      <c r="C47646" s="6">
        <v>108000</v>
      </c>
      <c r="D47646" s="7">
        <v>0.15</v>
      </c>
    </row>
    <row r="47647" spans="1:4" x14ac:dyDescent="0.25">
      <c r="A47647" t="str">
        <f>HYPERLINK("https://www.773grp.com/globalSearch/RD8.2E-T2/page-1", "RD8.2E-T2")</f>
        <v>RD8.2E-T2</v>
      </c>
      <c r="B47647" s="3" t="str">
        <f>HYPERLINK("https://www.773grp.com/manufacturer/renesas-electronics-america-inc?pageNo=504", "Renesas Electronics")</f>
        <v>Renesas Electronics</v>
      </c>
      <c r="C47647" s="6">
        <v>100000</v>
      </c>
      <c r="D47647" s="7">
        <v>0.15</v>
      </c>
    </row>
    <row r="47648" spans="1:4" x14ac:dyDescent="0.25">
      <c r="A47648" t="str">
        <f>HYPERLINK("https://www.773grp.com/globalSearch/RD8.2E-T2-AZ/page-1", "RD8.2E-T2-AZ")</f>
        <v>RD8.2E-T2-AZ</v>
      </c>
      <c r="B47648" s="3" t="str">
        <f>HYPERLINK("https://www.773grp.com/manufacturer/renesas-electronics-america-inc?pageNo=505", "Renesas Electronics")</f>
        <v>Renesas Electronics</v>
      </c>
      <c r="C47648" s="6">
        <v>25000</v>
      </c>
      <c r="D47648" s="7">
        <v>0.15</v>
      </c>
    </row>
    <row r="47649" spans="1:4" x14ac:dyDescent="0.25">
      <c r="A47649" t="str">
        <f>HYPERLINK("https://www.773grp.com/globalSearch/RD8.2E-T4/page-1", "RD8.2E-T4")</f>
        <v>RD8.2E-T4</v>
      </c>
      <c r="B47649" s="3" t="str">
        <f>HYPERLINK("https://www.773grp.com/manufacturer/renesas-electronics-america-inc?pageNo=506", "Renesas Electronics")</f>
        <v>Renesas Electronics</v>
      </c>
      <c r="C47649" s="6">
        <v>25000</v>
      </c>
      <c r="D47649" s="7">
        <v>0.15</v>
      </c>
    </row>
    <row r="47650" spans="1:4" x14ac:dyDescent="0.25">
      <c r="A47650" t="str">
        <f>HYPERLINK("https://www.773grp.com/globalSearch/RD8.2E-T4-AZ/page-1", "RD8.2E-T4-AZ")</f>
        <v>RD8.2E-T4-AZ</v>
      </c>
      <c r="B47650" s="3" t="str">
        <f>HYPERLINK("https://www.773grp.com/manufacturer/renesas-electronics-america-inc?pageNo=507", "Renesas Electronics")</f>
        <v>Renesas Electronics</v>
      </c>
      <c r="C47650" s="6">
        <v>20000</v>
      </c>
      <c r="D47650" s="7">
        <v>0.15</v>
      </c>
    </row>
    <row r="47651" spans="1:4" x14ac:dyDescent="0.25">
      <c r="A47651" t="str">
        <f>HYPERLINK("https://www.773grp.com/globalSearch/RD8.2E-TB-AZ/page-1", "RD8.2E-TB-AZ")</f>
        <v>RD8.2E-TB-AZ</v>
      </c>
      <c r="B47651" s="3" t="str">
        <f>HYPERLINK("https://www.773grp.com/manufacturer/renesas-electronics-america-inc?pageNo=508", "Renesas Electronics")</f>
        <v>Renesas Electronics</v>
      </c>
      <c r="C47651" s="6">
        <v>142500</v>
      </c>
      <c r="D47651" s="7">
        <v>0.15</v>
      </c>
    </row>
    <row r="47652" spans="1:4" x14ac:dyDescent="0.25">
      <c r="A47652" t="str">
        <f>HYPERLINK("https://www.773grp.com/globalSearch/RD8.2JS-AZ/page-1", "RD8.2JS-AZ")</f>
        <v>RD8.2JS-AZ</v>
      </c>
      <c r="B47652" s="3" t="str">
        <f>HYPERLINK("https://www.773grp.com/manufacturer/renesas-electronics-america-inc?pageNo=509", "Renesas Electronics")</f>
        <v>Renesas Electronics</v>
      </c>
      <c r="C47652" s="6">
        <v>9300</v>
      </c>
      <c r="D47652" s="7">
        <v>0.15</v>
      </c>
    </row>
    <row r="47653" spans="1:4" x14ac:dyDescent="0.25">
      <c r="A47653" t="str">
        <f>HYPERLINK("https://www.773grp.com/globalSearch/RD9.1E/page-1", "RD9.1E")</f>
        <v>RD9.1E</v>
      </c>
      <c r="B47653" s="3" t="str">
        <f>HYPERLINK("https://www.773grp.com/manufacturer/renesas-electronics-america-inc?pageNo=510", "Renesas Electronics")</f>
        <v>Renesas Electronics</v>
      </c>
      <c r="C47653" s="6">
        <v>251002</v>
      </c>
      <c r="D47653" s="7">
        <v>0.15</v>
      </c>
    </row>
    <row r="47654" spans="1:4" x14ac:dyDescent="0.25">
      <c r="A47654" t="str">
        <f>HYPERLINK("https://www.773grp.com/globalSearch/RD9.1ES-AZ/page-1", "RD9.1ES-AZ")</f>
        <v>RD9.1ES-AZ</v>
      </c>
      <c r="B47654" s="3" t="str">
        <f>HYPERLINK("https://www.773grp.com/manufacturer/renesas-electronics-america-inc?pageNo=511", "Renesas Electronics")</f>
        <v>Renesas Electronics</v>
      </c>
      <c r="C47654" s="6">
        <v>92290</v>
      </c>
      <c r="D47654" s="7">
        <v>0.15</v>
      </c>
    </row>
    <row r="47655" spans="1:4" x14ac:dyDescent="0.25">
      <c r="A47655" t="str">
        <f>HYPERLINK("https://www.773grp.com/globalSearch/RD9.1ES-T1/page-1", "RD9.1ES-T1")</f>
        <v>RD9.1ES-T1</v>
      </c>
      <c r="B47655" s="3" t="str">
        <f>HYPERLINK("https://www.773grp.com/manufacturer/renesas-electronics-america-inc?pageNo=512", "Renesas Electronics")</f>
        <v>Renesas Electronics</v>
      </c>
      <c r="C47655" s="6">
        <v>32000</v>
      </c>
      <c r="D47655" s="7">
        <v>0.15</v>
      </c>
    </row>
    <row r="47656" spans="1:4" x14ac:dyDescent="0.25">
      <c r="A47656" t="str">
        <f>HYPERLINK("https://www.773grp.com/globalSearch/RD9.1ES-T1-AZ/page-1", "RD9.1ES-T1-AZ")</f>
        <v>RD9.1ES-T1-AZ</v>
      </c>
      <c r="B47656" s="3" t="str">
        <f>HYPERLINK("https://www.773grp.com/manufacturer/renesas-electronics-america-inc?pageNo=513", "Renesas Electronics")</f>
        <v>Renesas Electronics</v>
      </c>
      <c r="C47656" s="6">
        <v>100000</v>
      </c>
      <c r="D47656" s="7">
        <v>0.15</v>
      </c>
    </row>
    <row r="47657" spans="1:4" x14ac:dyDescent="0.25">
      <c r="A47657" t="str">
        <f>HYPERLINK("https://www.773grp.com/globalSearch/RD9.1ES-T4-AZ/page-1", "RD9.1ES-T4-AZ")</f>
        <v>RD9.1ES-T4-AZ</v>
      </c>
      <c r="B47657" s="3" t="str">
        <f>HYPERLINK("https://www.773grp.com/manufacturer/renesas-electronics-america-inc?pageNo=514", "Renesas Electronics")</f>
        <v>Renesas Electronics</v>
      </c>
      <c r="C47657" s="6">
        <v>50000</v>
      </c>
      <c r="D47657" s="7">
        <v>0.15</v>
      </c>
    </row>
    <row r="47658" spans="1:4" x14ac:dyDescent="0.25">
      <c r="A47658" t="str">
        <f>HYPERLINK("https://www.773grp.com/globalSearch/RD9.1E-T4-AZ/page-1", "RD9.1E-T4-AZ")</f>
        <v>RD9.1E-T4-AZ</v>
      </c>
      <c r="B47658" s="3" t="str">
        <f>HYPERLINK("https://www.773grp.com/manufacturer/renesas-electronics-america-inc?pageNo=515", "Renesas Electronics")</f>
        <v>Renesas Electronics</v>
      </c>
      <c r="C47658" s="6">
        <v>40000</v>
      </c>
      <c r="D47658" s="7">
        <v>0.15</v>
      </c>
    </row>
    <row r="47659" spans="1:4" x14ac:dyDescent="0.25">
      <c r="A47659" t="str">
        <f>HYPERLINK("https://www.773grp.com/globalSearch/RD9.1E-TB/page-1", "RD9.1E-TB")</f>
        <v>RD9.1E-TB</v>
      </c>
      <c r="B47659" s="3" t="str">
        <f>HYPERLINK("https://www.773grp.com/manufacturer/renesas-electronics-america-inc?pageNo=516", "Renesas Electronics")</f>
        <v>Renesas Electronics</v>
      </c>
      <c r="C47659" s="6">
        <v>52500</v>
      </c>
      <c r="D47659" s="7">
        <v>0.15</v>
      </c>
    </row>
    <row r="47660" spans="1:4" x14ac:dyDescent="0.25">
      <c r="A47660" t="str">
        <f>HYPERLINK("https://www.773grp.com/globalSearch/RD9.1JS-AZ/page-1", "RD9.1JS-AZ")</f>
        <v>RD9.1JS-AZ</v>
      </c>
      <c r="B47660" s="3" t="str">
        <f>HYPERLINK("https://www.773grp.com/manufacturer/renesas-electronics-america-inc?pageNo=517", "Renesas Electronics")</f>
        <v>Renesas Electronics</v>
      </c>
      <c r="C47660" s="6">
        <v>8600</v>
      </c>
      <c r="D47660" s="7">
        <v>0.15</v>
      </c>
    </row>
    <row r="47661" spans="1:4" x14ac:dyDescent="0.25">
      <c r="A47661" t="str">
        <f>HYPERLINK("https://www.773grp.com/globalSearch/RD9.1JS-T1/page-1", "RD9.1JS-T1")</f>
        <v>RD9.1JS-T1</v>
      </c>
      <c r="B47661" s="3" t="str">
        <f>HYPERLINK("https://www.773grp.com/manufacturer/renesas-electronics-america-inc?pageNo=518", "Renesas Electronics")</f>
        <v>Renesas Electronics</v>
      </c>
      <c r="C47661" s="6">
        <v>26000</v>
      </c>
      <c r="D47661" s="7">
        <v>0.15</v>
      </c>
    </row>
    <row r="47662" spans="1:4" x14ac:dyDescent="0.25">
      <c r="A47662" t="str">
        <f>HYPERLINK("https://www.773grp.com/globalSearch/RD9.1JS-T1-AZ/page-1", "RD9.1JS-T1-AZ")</f>
        <v>RD9.1JS-T1-AZ</v>
      </c>
      <c r="B47662" s="3" t="str">
        <f>HYPERLINK("https://www.773grp.com/manufacturer/renesas-electronics-america-inc?pageNo=519", "Renesas Electronics")</f>
        <v>Renesas Electronics</v>
      </c>
      <c r="C47662" s="6">
        <v>20000</v>
      </c>
      <c r="D47662" s="7">
        <v>0.15</v>
      </c>
    </row>
    <row r="47663" spans="1:4" x14ac:dyDescent="0.25">
      <c r="A47663" t="str">
        <f>HYPERLINK("https://www.773grp.com/globalSearch/RKS100KG#P1/page-1", "RKS100KG#P1")</f>
        <v>RKS100KG#P1</v>
      </c>
      <c r="B47663" s="3" t="str">
        <f>HYPERLINK("https://www.773grp.com/manufacturer/renesas-electronics-america-inc?pageNo=520", "Renesas Electronics")</f>
        <v>Renesas Electronics</v>
      </c>
      <c r="C47663" s="6">
        <v>36000</v>
      </c>
      <c r="D47663" s="7">
        <v>0.15</v>
      </c>
    </row>
    <row r="47664" spans="1:4" x14ac:dyDescent="0.25">
      <c r="A47664" t="str">
        <f>HYPERLINK("https://www.773grp.com/globalSearch/RKV500KG-E#P1/page-1", "RKV500KG-E#P1")</f>
        <v>RKV500KG-E#P1</v>
      </c>
      <c r="B47664" s="3" t="str">
        <f>HYPERLINK("https://www.773grp.com/manufacturer/renesas-electronics-america-inc?pageNo=521", "Renesas Electronics")</f>
        <v>Renesas Electronics</v>
      </c>
      <c r="C47664" s="6">
        <v>324000</v>
      </c>
      <c r="D47664" s="7">
        <v>0.15</v>
      </c>
    </row>
    <row r="47665" spans="1:4" x14ac:dyDescent="0.25">
      <c r="A47665" t="str">
        <f>HYPERLINK("https://www.773grp.com/globalSearch/RKV501KG-E#P1/page-1", "RKV501KG-E#P1")</f>
        <v>RKV501KG-E#P1</v>
      </c>
      <c r="B47665" s="3" t="str">
        <f>HYPERLINK("https://www.773grp.com/manufacturer/renesas-electronics-america-inc?pageNo=522", "Renesas Electronics")</f>
        <v>Renesas Electronics</v>
      </c>
      <c r="C47665" s="6">
        <v>102000</v>
      </c>
      <c r="D47665" s="7">
        <v>0.15</v>
      </c>
    </row>
    <row r="47666" spans="1:4" x14ac:dyDescent="0.25">
      <c r="A47666" t="str">
        <f>HYPERLINK("https://www.773grp.com/globalSearch/RKZ11B2KJ#R1/page-1", "RKZ11B2KJ#R1")</f>
        <v>RKZ11B2KJ#R1</v>
      </c>
      <c r="B47666" s="3" t="str">
        <f>HYPERLINK("https://www.773grp.com/manufacturer/renesas-electronics-america-inc?pageNo=523", "Renesas Electronics")</f>
        <v>Renesas Electronics</v>
      </c>
      <c r="C47666" s="6">
        <v>16000</v>
      </c>
      <c r="D47666" s="7">
        <v>0.15</v>
      </c>
    </row>
    <row r="47667" spans="1:4" x14ac:dyDescent="0.25">
      <c r="A47667" t="str">
        <f>HYPERLINK("https://www.773grp.com/globalSearch/RKZ15B2KJ#R1/page-1", "RKZ15B2KJ#R1")</f>
        <v>RKZ15B2KJ#R1</v>
      </c>
      <c r="B47667" s="3" t="str">
        <f>HYPERLINK("https://www.773grp.com/manufacturer/renesas-electronics-america-inc?pageNo=524", "Renesas Electronics")</f>
        <v>Renesas Electronics</v>
      </c>
      <c r="C47667" s="6">
        <v>136000</v>
      </c>
      <c r="D47667" s="7">
        <v>0.15</v>
      </c>
    </row>
    <row r="47668" spans="1:4" x14ac:dyDescent="0.25">
      <c r="A47668" t="str">
        <f>HYPERLINK("https://www.773grp.com/globalSearch/RKZ16B2KJ#R1/page-1", "RKZ16B2KJ#R1")</f>
        <v>RKZ16B2KJ#R1</v>
      </c>
      <c r="B47668" s="3" t="str">
        <f>HYPERLINK("https://www.773grp.com/manufacturer/renesas-electronics-america-inc?pageNo=525", "Renesas Electronics")</f>
        <v>Renesas Electronics</v>
      </c>
      <c r="C47668" s="6">
        <v>184000</v>
      </c>
      <c r="D47668" s="7">
        <v>0.15</v>
      </c>
    </row>
    <row r="47669" spans="1:4" x14ac:dyDescent="0.25">
      <c r="A47669" t="str">
        <f>HYPERLINK("https://www.773grp.com/globalSearch/RKZ2.0BKJ#R6/page-1", "RKZ2.0BKJ#R6")</f>
        <v>RKZ2.0BKJ#R6</v>
      </c>
      <c r="B47669" s="3" t="str">
        <f>HYPERLINK("https://www.773grp.com/manufacturer/renesas-electronics-america-inc?pageNo=526", "Renesas Electronics")</f>
        <v>Renesas Electronics</v>
      </c>
      <c r="C47669" s="6">
        <v>24000</v>
      </c>
      <c r="D47669" s="7">
        <v>0.15</v>
      </c>
    </row>
    <row r="47670" spans="1:4" x14ac:dyDescent="0.25">
      <c r="A47670" t="str">
        <f>HYPERLINK("https://www.773grp.com/globalSearch/RKZ20B2KJ#R1/page-1", "RKZ20B2KJ#R1")</f>
        <v>RKZ20B2KJ#R1</v>
      </c>
      <c r="B47670" s="3" t="str">
        <f>HYPERLINK("https://www.773grp.com/manufacturer/renesas-electronics-america-inc?pageNo=527", "Renesas Electronics")</f>
        <v>Renesas Electronics</v>
      </c>
      <c r="C47670" s="6">
        <v>144000</v>
      </c>
      <c r="D47670" s="7">
        <v>0.15</v>
      </c>
    </row>
    <row r="47671" spans="1:4" x14ac:dyDescent="0.25">
      <c r="A47671" t="str">
        <f>HYPERLINK("https://www.773grp.com/globalSearch/RKZ22B2KJ#R1/page-1", "RKZ22B2KJ#R1")</f>
        <v>RKZ22B2KJ#R1</v>
      </c>
      <c r="B47671" s="3" t="str">
        <f>HYPERLINK("https://www.773grp.com/manufacturer/renesas-electronics-america-inc?pageNo=528", "Renesas Electronics")</f>
        <v>Renesas Electronics</v>
      </c>
      <c r="C47671" s="6">
        <v>40000</v>
      </c>
      <c r="D47671" s="7">
        <v>0.15</v>
      </c>
    </row>
    <row r="47672" spans="1:4" x14ac:dyDescent="0.25">
      <c r="A47672" t="str">
        <f>HYPERLINK("https://www.773grp.com/globalSearch/RKZ27BKJ#R1/page-1", "RKZ27BKJ#R1")</f>
        <v>RKZ27BKJ#R1</v>
      </c>
      <c r="B47672" s="3" t="str">
        <f>HYPERLINK("https://www.773grp.com/manufacturer/renesas-electronics-america-inc?pageNo=529", "Renesas Electronics")</f>
        <v>Renesas Electronics</v>
      </c>
      <c r="C47672" s="6">
        <v>104000</v>
      </c>
      <c r="D47672" s="7">
        <v>0.15</v>
      </c>
    </row>
    <row r="47673" spans="1:4" x14ac:dyDescent="0.25">
      <c r="A47673" t="str">
        <f>HYPERLINK("https://www.773grp.com/globalSearch/RKZ30BKJ#R1/page-1", "RKZ30BKJ#R1")</f>
        <v>RKZ30BKJ#R1</v>
      </c>
      <c r="B47673" s="3" t="str">
        <f>HYPERLINK("https://www.773grp.com/manufacturer/renesas-electronics-america-inc?pageNo=530", "Renesas Electronics")</f>
        <v>Renesas Electronics</v>
      </c>
      <c r="C47673" s="6">
        <v>344000</v>
      </c>
      <c r="D47673" s="7">
        <v>0.15</v>
      </c>
    </row>
    <row r="47674" spans="1:4" x14ac:dyDescent="0.25">
      <c r="A47674" t="str">
        <f>HYPERLINK("https://www.773grp.com/globalSearch/RKZ36BKJ#R1/page-1", "RKZ36BKJ#R1")</f>
        <v>RKZ36BKJ#R1</v>
      </c>
      <c r="B47674" s="3" t="str">
        <f>HYPERLINK("https://www.773grp.com/manufacturer/renesas-electronics-america-inc?pageNo=531", "Renesas Electronics")</f>
        <v>Renesas Electronics</v>
      </c>
      <c r="C47674" s="6">
        <v>280000</v>
      </c>
      <c r="D47674" s="7">
        <v>0.15</v>
      </c>
    </row>
    <row r="47675" spans="1:4" x14ac:dyDescent="0.25">
      <c r="A47675" t="str">
        <f>HYPERLINK("https://www.773grp.com/globalSearch/RKZ4.7B2KJ#R1/page-1", "RKZ4.7B2KJ#R1")</f>
        <v>RKZ4.7B2KJ#R1</v>
      </c>
      <c r="B47675" s="3" t="str">
        <f>HYPERLINK("https://www.773grp.com/manufacturer/renesas-electronics-america-inc?pageNo=532", "Renesas Electronics")</f>
        <v>Renesas Electronics</v>
      </c>
      <c r="C47675" s="6">
        <v>152000</v>
      </c>
      <c r="D47675" s="7">
        <v>0.15</v>
      </c>
    </row>
    <row r="47676" spans="1:4" x14ac:dyDescent="0.25">
      <c r="A47676" t="str">
        <f>HYPERLINK("https://www.773grp.com/globalSearch/RKZ5.6B2KJ-1#K1/page-1", "RKZ5.6B2KJ-1#K1")</f>
        <v>RKZ5.6B2KJ-1#K1</v>
      </c>
      <c r="B47676" s="3" t="str">
        <f>HYPERLINK("https://www.773grp.com/manufacturer/renesas-electronics-america-inc?pageNo=533", "Renesas Electronics")</f>
        <v>Renesas Electronics</v>
      </c>
      <c r="C47676" s="6">
        <v>840000</v>
      </c>
      <c r="D47676" s="7">
        <v>0.15</v>
      </c>
    </row>
    <row r="47677" spans="1:4" x14ac:dyDescent="0.25">
      <c r="A47677" t="str">
        <f>HYPERLINK("https://www.773grp.com/globalSearch/RKZ7.5B2KJ#R1/page-1", "RKZ7.5B2KJ#R1")</f>
        <v>RKZ7.5B2KJ#R1</v>
      </c>
      <c r="B47677" s="3" t="str">
        <f>HYPERLINK("https://www.773grp.com/manufacturer/renesas-electronics-america-inc?pageNo=534", "Renesas Electronics")</f>
        <v>Renesas Electronics</v>
      </c>
      <c r="C47677" s="6">
        <v>16000</v>
      </c>
      <c r="D47677" s="7">
        <v>0.15</v>
      </c>
    </row>
    <row r="47678" spans="1:4" x14ac:dyDescent="0.25">
      <c r="A47678" t="str">
        <f>HYPERLINK("https://www.773grp.com/globalSearch/1SS53-AZ/page-1", "1SS53-AZ")</f>
        <v>1SS53-AZ</v>
      </c>
      <c r="B47678" s="3" t="str">
        <f>HYPERLINK("https://www.773grp.com/manufacturer/renesas-electronics-america-inc?pageNo=535", "Renesas Electronics")</f>
        <v>Renesas Electronics</v>
      </c>
      <c r="C47678" s="6">
        <v>16500</v>
      </c>
      <c r="D47678" s="7">
        <v>0.23</v>
      </c>
    </row>
    <row r="47679" spans="1:4" x14ac:dyDescent="0.25">
      <c r="A47679" t="str">
        <f>HYPERLINK("https://www.773grp.com/globalSearch/1SS53-T1/page-1", "1SS53-T1")</f>
        <v>1SS53-T1</v>
      </c>
      <c r="B47679" s="3" t="str">
        <f>HYPERLINK("https://www.773grp.com/manufacturer/renesas-electronics-america-inc?pageNo=536", "Renesas Electronics")</f>
        <v>Renesas Electronics</v>
      </c>
      <c r="C47679" s="6">
        <v>24000</v>
      </c>
      <c r="D47679" s="7">
        <v>0.23</v>
      </c>
    </row>
    <row r="47680" spans="1:4" x14ac:dyDescent="0.25">
      <c r="A47680" t="str">
        <f>HYPERLINK("https://www.773grp.com/globalSearch/1SS53-T4-AZ/page-1", "1SS53-T4-AZ")</f>
        <v>1SS53-T4-AZ</v>
      </c>
      <c r="B47680" s="3" t="str">
        <f>HYPERLINK("https://www.773grp.com/manufacturer/renesas-electronics-america-inc?pageNo=537", "Renesas Electronics")</f>
        <v>Renesas Electronics</v>
      </c>
      <c r="C47680" s="6">
        <v>5000</v>
      </c>
      <c r="D47680" s="7">
        <v>0.23</v>
      </c>
    </row>
    <row r="47681" spans="1:4" x14ac:dyDescent="0.25">
      <c r="A47681" t="str">
        <f>HYPERLINK("https://www.773grp.com/globalSearch/HSS83-E/page-1", "HSS83-E")</f>
        <v>HSS83-E</v>
      </c>
      <c r="B47681" s="3" t="str">
        <f>HYPERLINK("https://www.773grp.com/manufacturer/renesas-electronics-america-inc?pageNo=538", "Renesas Electronics")</f>
        <v>Renesas Electronics</v>
      </c>
      <c r="C47681" s="6">
        <v>16800</v>
      </c>
      <c r="D47681" s="7">
        <v>0.23</v>
      </c>
    </row>
    <row r="47682" spans="1:4" x14ac:dyDescent="0.25">
      <c r="A47682" t="str">
        <f>HYPERLINK("https://www.773grp.com/globalSearch/HVU202A3TRF-E/page-1", "HVU202A3TRF-E")</f>
        <v>HVU202A3TRF-E</v>
      </c>
      <c r="B47682" s="3" t="str">
        <f>HYPERLINK("https://www.773grp.com/manufacturer/renesas-electronics-america-inc?pageNo=539", "Renesas Electronics")</f>
        <v>Renesas Electronics</v>
      </c>
      <c r="C47682" s="6">
        <v>135000</v>
      </c>
      <c r="D47682" s="7">
        <v>0.23</v>
      </c>
    </row>
    <row r="47683" spans="1:4" x14ac:dyDescent="0.25">
      <c r="A47683" t="str">
        <f>HYPERLINK("https://www.773grp.com/globalSearch/HZ11B1L-E/page-1", "HZ11B1L-E")</f>
        <v>HZ11B1L-E</v>
      </c>
      <c r="B47683" s="3" t="str">
        <f>HYPERLINK("https://www.773grp.com/manufacturer/renesas-electronics-america-inc?pageNo=540", "Renesas Electronics")</f>
        <v>Renesas Electronics</v>
      </c>
      <c r="C47683" s="6">
        <v>2500</v>
      </c>
      <c r="D47683" s="7">
        <v>0.23</v>
      </c>
    </row>
    <row r="47684" spans="1:4" x14ac:dyDescent="0.25">
      <c r="A47684" t="str">
        <f>HYPERLINK("https://www.773grp.com/globalSearch/HZ11B2L-E/page-1", "HZ11B2L-E")</f>
        <v>HZ11B2L-E</v>
      </c>
      <c r="B47684" s="3" t="str">
        <f>HYPERLINK("https://www.773grp.com/manufacturer/renesas-electronics-america-inc?pageNo=541", "Renesas Electronics")</f>
        <v>Renesas Electronics</v>
      </c>
      <c r="C47684" s="6">
        <v>9500</v>
      </c>
      <c r="D47684" s="7">
        <v>0.23</v>
      </c>
    </row>
    <row r="47685" spans="1:4" x14ac:dyDescent="0.25">
      <c r="A47685" t="str">
        <f>HYPERLINK("https://www.773grp.com/globalSearch/HZ11C1TD-E/page-1", "HZ11C1TD-E")</f>
        <v>HZ11C1TD-E</v>
      </c>
      <c r="B47685" s="3" t="str">
        <f>HYPERLINK("https://www.773grp.com/manufacturer/renesas-electronics-america-inc?pageNo=542", "Renesas Electronics")</f>
        <v>Renesas Electronics</v>
      </c>
      <c r="C47685" s="6">
        <v>53500</v>
      </c>
      <c r="D47685" s="7">
        <v>0.23</v>
      </c>
    </row>
    <row r="47686" spans="1:4" x14ac:dyDescent="0.25">
      <c r="A47686" t="str">
        <f>HYPERLINK("https://www.773grp.com/globalSearch/HZ11C2LTA-E/page-1", "HZ11C2LTA-E")</f>
        <v>HZ11C2LTA-E</v>
      </c>
      <c r="B47686" s="3" t="str">
        <f>HYPERLINK("https://www.773grp.com/manufacturer/renesas-electronics-america-inc?pageNo=543", "Renesas Electronics")</f>
        <v>Renesas Electronics</v>
      </c>
      <c r="C47686" s="6">
        <v>10000</v>
      </c>
      <c r="D47686" s="7">
        <v>0.23</v>
      </c>
    </row>
    <row r="47687" spans="1:4" x14ac:dyDescent="0.25">
      <c r="A47687" t="str">
        <f>HYPERLINK("https://www.773grp.com/globalSearch/HZ11C3LTD-E/page-1", "HZ11C3LTD-E")</f>
        <v>HZ11C3LTD-E</v>
      </c>
      <c r="B47687" s="3" t="str">
        <f>HYPERLINK("https://www.773grp.com/manufacturer/renesas-electronics-america-inc?pageNo=544", "Renesas Electronics")</f>
        <v>Renesas Electronics</v>
      </c>
      <c r="C47687" s="6">
        <v>5000</v>
      </c>
      <c r="D47687" s="7">
        <v>0.23</v>
      </c>
    </row>
    <row r="47688" spans="1:4" x14ac:dyDescent="0.25">
      <c r="A47688" t="str">
        <f>HYPERLINK("https://www.773grp.com/globalSearch/HZ11C3RE-E/page-1", "HZ11C3RE-E")</f>
        <v>HZ11C3RE-E</v>
      </c>
      <c r="B47688" s="3" t="str">
        <f>HYPERLINK("https://www.773grp.com/manufacturer/renesas-electronics-america-inc?pageNo=545", "Renesas Electronics")</f>
        <v>Renesas Electronics</v>
      </c>
      <c r="C47688" s="6">
        <v>24000</v>
      </c>
      <c r="D47688" s="7">
        <v>0.23</v>
      </c>
    </row>
    <row r="47689" spans="1:4" x14ac:dyDescent="0.25">
      <c r="A47689" t="str">
        <f>HYPERLINK("https://www.773grp.com/globalSearch/HZ12A1LTD-E/page-1", "HZ12A1LTD-E")</f>
        <v>HZ12A1LTD-E</v>
      </c>
      <c r="B47689" s="3" t="str">
        <f>HYPERLINK("https://www.773grp.com/manufacturer/renesas-electronics-america-inc?pageNo=546", "Renesas Electronics")</f>
        <v>Renesas Electronics</v>
      </c>
      <c r="C47689" s="6">
        <v>17500</v>
      </c>
      <c r="D47689" s="7">
        <v>0.23</v>
      </c>
    </row>
    <row r="47690" spans="1:4" x14ac:dyDescent="0.25">
      <c r="A47690" t="str">
        <f>HYPERLINK("https://www.773grp.com/globalSearch/HZ12A3L-E/page-1", "HZ12A3L-E")</f>
        <v>HZ12A3L-E</v>
      </c>
      <c r="B47690" s="3" t="str">
        <f>HYPERLINK("https://www.773grp.com/manufacturer/renesas-electronics-america-inc?pageNo=547", "Renesas Electronics")</f>
        <v>Renesas Electronics</v>
      </c>
      <c r="C47690" s="6">
        <v>11500</v>
      </c>
      <c r="D47690" s="7">
        <v>0.23</v>
      </c>
    </row>
    <row r="47691" spans="1:4" x14ac:dyDescent="0.25">
      <c r="A47691" t="str">
        <f>HYPERLINK("https://www.773grp.com/globalSearch/HZ12B2RE-E/page-1", "HZ12B2RE-E")</f>
        <v>HZ12B2RE-E</v>
      </c>
      <c r="B47691" s="3" t="str">
        <f>HYPERLINK("https://www.773grp.com/manufacturer/renesas-electronics-america-inc?pageNo=548", "Renesas Electronics")</f>
        <v>Renesas Electronics</v>
      </c>
      <c r="C47691" s="6">
        <v>12000</v>
      </c>
      <c r="D47691" s="7">
        <v>0.23</v>
      </c>
    </row>
    <row r="47692" spans="1:4" x14ac:dyDescent="0.25">
      <c r="A47692" t="str">
        <f>HYPERLINK("https://www.773grp.com/globalSearch/HZ12C2-E/page-1", "HZ12C2-E")</f>
        <v>HZ12C2-E</v>
      </c>
      <c r="B47692" s="3" t="str">
        <f>HYPERLINK("https://www.773grp.com/manufacturer/renesas-electronics-america-inc?pageNo=549", "Renesas Electronics")</f>
        <v>Renesas Electronics</v>
      </c>
      <c r="C47692" s="6">
        <v>2000</v>
      </c>
      <c r="D47692" s="7">
        <v>0.23</v>
      </c>
    </row>
    <row r="47693" spans="1:4" x14ac:dyDescent="0.25">
      <c r="A47693" t="str">
        <f>HYPERLINK("https://www.773grp.com/globalSearch/HZ12C3L-E/page-1", "HZ12C3L-E")</f>
        <v>HZ12C3L-E</v>
      </c>
      <c r="B47693" s="3" t="str">
        <f>HYPERLINK("https://www.773grp.com/manufacturer/renesas-electronics-america-inc?pageNo=550", "Renesas Electronics")</f>
        <v>Renesas Electronics</v>
      </c>
      <c r="C47693" s="6">
        <v>32840</v>
      </c>
      <c r="D47693" s="7">
        <v>0.23</v>
      </c>
    </row>
    <row r="47694" spans="1:4" x14ac:dyDescent="0.25">
      <c r="A47694" t="str">
        <f>HYPERLINK("https://www.773grp.com/globalSearch/HZ15-2LTA-E/page-1", "HZ15-2LTA-E")</f>
        <v>HZ15-2LTA-E</v>
      </c>
      <c r="B47694" s="3" t="str">
        <f>HYPERLINK("https://www.773grp.com/manufacturer/renesas-electronics-america-inc?pageNo=551", "Renesas Electronics")</f>
        <v>Renesas Electronics</v>
      </c>
      <c r="C47694" s="6">
        <v>2475</v>
      </c>
      <c r="D47694" s="7">
        <v>0.23</v>
      </c>
    </row>
    <row r="47695" spans="1:4" x14ac:dyDescent="0.25">
      <c r="A47695" t="str">
        <f>HYPERLINK("https://www.773grp.com/globalSearch/HZ15-3LTA-E/page-1", "HZ15-3LTA-E")</f>
        <v>HZ15-3LTA-E</v>
      </c>
      <c r="B47695" s="3" t="str">
        <f>HYPERLINK("https://www.773grp.com/manufacturer/renesas-electronics-america-inc?pageNo=552", "Renesas Electronics")</f>
        <v>Renesas Electronics</v>
      </c>
      <c r="C47695" s="6">
        <v>5000</v>
      </c>
      <c r="D47695" s="7">
        <v>0.23</v>
      </c>
    </row>
    <row r="47696" spans="1:4" x14ac:dyDescent="0.25">
      <c r="A47696" t="str">
        <f>HYPERLINK("https://www.773grp.com/globalSearch/HZ16-3LTA-E/page-1", "HZ16-3LTA-E")</f>
        <v>HZ16-3LTA-E</v>
      </c>
      <c r="B47696" s="3" t="str">
        <f>HYPERLINK("https://www.773grp.com/manufacturer/renesas-electronics-america-inc?pageNo=553", "Renesas Electronics")</f>
        <v>Renesas Electronics</v>
      </c>
      <c r="C47696" s="6">
        <v>15000</v>
      </c>
      <c r="D47696" s="7">
        <v>0.23</v>
      </c>
    </row>
    <row r="47697" spans="1:4" x14ac:dyDescent="0.25">
      <c r="A47697" t="str">
        <f>HYPERLINK("https://www.773grp.com/globalSearch/HZ18-1LRE-E/page-1", "HZ18-1LRE-E")</f>
        <v>HZ18-1LRE-E</v>
      </c>
      <c r="B47697" s="3" t="str">
        <f>HYPERLINK("https://www.773grp.com/manufacturer/renesas-electronics-america-inc?pageNo=554", "Renesas Electronics")</f>
        <v>Renesas Electronics</v>
      </c>
      <c r="C47697" s="6">
        <v>8000</v>
      </c>
      <c r="D47697" s="7">
        <v>0.23</v>
      </c>
    </row>
    <row r="47698" spans="1:4" x14ac:dyDescent="0.25">
      <c r="A47698" t="str">
        <f>HYPERLINK("https://www.773grp.com/globalSearch/HZ18-1LTA-E/page-1", "HZ18-1LTA-E")</f>
        <v>HZ18-1LTA-E</v>
      </c>
      <c r="B47698" s="3" t="str">
        <f>HYPERLINK("https://www.773grp.com/manufacturer/renesas-electronics-america-inc?pageNo=555", "Renesas Electronics")</f>
        <v>Renesas Electronics</v>
      </c>
      <c r="C47698" s="6">
        <v>345000</v>
      </c>
      <c r="D47698" s="7">
        <v>0.23</v>
      </c>
    </row>
    <row r="47699" spans="1:4" x14ac:dyDescent="0.25">
      <c r="A47699" t="str">
        <f>HYPERLINK("https://www.773grp.com/globalSearch/HZ20-1LTA-E/page-1", "HZ20-1LTA-E")</f>
        <v>HZ20-1LTA-E</v>
      </c>
      <c r="B47699" s="3" t="str">
        <f>HYPERLINK("https://www.773grp.com/manufacturer/renesas-electronics-america-inc?pageNo=556", "Renesas Electronics")</f>
        <v>Renesas Electronics</v>
      </c>
      <c r="C47699" s="6">
        <v>4000</v>
      </c>
      <c r="D47699" s="7">
        <v>0.23</v>
      </c>
    </row>
    <row r="47700" spans="1:4" x14ac:dyDescent="0.25">
      <c r="A47700" t="str">
        <f>HYPERLINK("https://www.773grp.com/globalSearch/HZ20-1RE-E/page-1", "HZ20-1RE-E")</f>
        <v>HZ20-1RE-E</v>
      </c>
      <c r="B47700" s="3" t="str">
        <f>HYPERLINK("https://www.773grp.com/manufacturer/renesas-electronics-america-inc?pageNo=557", "Renesas Electronics")</f>
        <v>Renesas Electronics</v>
      </c>
      <c r="C47700" s="6">
        <v>8000</v>
      </c>
      <c r="D47700" s="7">
        <v>0.23</v>
      </c>
    </row>
    <row r="47701" spans="1:4" x14ac:dyDescent="0.25">
      <c r="A47701" t="str">
        <f>HYPERLINK("https://www.773grp.com/globalSearch/HZ20-2L-E/page-1", "HZ20-2L-E")</f>
        <v>HZ20-2L-E</v>
      </c>
      <c r="B47701" s="3" t="str">
        <f>HYPERLINK("https://www.773grp.com/manufacturer/renesas-electronics-america-inc?pageNo=558", "Renesas Electronics")</f>
        <v>Renesas Electronics</v>
      </c>
      <c r="C47701" s="6">
        <v>17500</v>
      </c>
      <c r="D47701" s="7">
        <v>0.23</v>
      </c>
    </row>
    <row r="47702" spans="1:4" x14ac:dyDescent="0.25">
      <c r="A47702" t="str">
        <f>HYPERLINK("https://www.773grp.com/globalSearch/HZ20-2RE-E/page-1", "HZ20-2RE-E")</f>
        <v>HZ20-2RE-E</v>
      </c>
      <c r="B47702" s="3" t="str">
        <f>HYPERLINK("https://www.773grp.com/manufacturer/renesas-electronics-america-inc?pageNo=559", "Renesas Electronics")</f>
        <v>Renesas Electronics</v>
      </c>
      <c r="C47702" s="6">
        <v>24000</v>
      </c>
      <c r="D47702" s="7">
        <v>0.23</v>
      </c>
    </row>
    <row r="47703" spans="1:4" x14ac:dyDescent="0.25">
      <c r="A47703" t="str">
        <f>HYPERLINK("https://www.773grp.com/globalSearch/HZ20-3L-E/page-1", "HZ20-3L-E")</f>
        <v>HZ20-3L-E</v>
      </c>
      <c r="B47703" s="3" t="str">
        <f>HYPERLINK("https://www.773grp.com/manufacturer/renesas-electronics-america-inc?pageNo=560", "Renesas Electronics")</f>
        <v>Renesas Electronics</v>
      </c>
      <c r="C47703" s="6">
        <v>19000</v>
      </c>
      <c r="D47703" s="7">
        <v>0.23</v>
      </c>
    </row>
    <row r="47704" spans="1:4" x14ac:dyDescent="0.25">
      <c r="A47704" t="str">
        <f>HYPERLINK("https://www.773grp.com/globalSearch/HZ22-1L-E/page-1", "HZ22-1L-E")</f>
        <v>HZ22-1L-E</v>
      </c>
      <c r="B47704" s="3" t="str">
        <f>HYPERLINK("https://www.773grp.com/manufacturer/renesas-electronics-america-inc?pageNo=561", "Renesas Electronics")</f>
        <v>Renesas Electronics</v>
      </c>
      <c r="C47704" s="6">
        <v>10000</v>
      </c>
      <c r="D47704" s="7">
        <v>0.23</v>
      </c>
    </row>
    <row r="47705" spans="1:4" x14ac:dyDescent="0.25">
      <c r="A47705" t="str">
        <f>HYPERLINK("https://www.773grp.com/globalSearch/HZ24-1RE-E/page-1", "HZ24-1RE-E")</f>
        <v>HZ24-1RE-E</v>
      </c>
      <c r="B47705" s="3" t="str">
        <f>HYPERLINK("https://www.773grp.com/manufacturer/renesas-electronics-america-inc?pageNo=562", "Renesas Electronics")</f>
        <v>Renesas Electronics</v>
      </c>
      <c r="C47705" s="6">
        <v>17000</v>
      </c>
      <c r="D47705" s="7">
        <v>0.23</v>
      </c>
    </row>
    <row r="47706" spans="1:4" x14ac:dyDescent="0.25">
      <c r="A47706" t="str">
        <f>HYPERLINK("https://www.773grp.com/globalSearch/HZ27-1L-E/page-1", "HZ27-1L-E")</f>
        <v>HZ27-1L-E</v>
      </c>
      <c r="B47706" s="3" t="str">
        <f>HYPERLINK("https://www.773grp.com/manufacturer/renesas-electronics-america-inc?pageNo=563", "Renesas Electronics")</f>
        <v>Renesas Electronics</v>
      </c>
      <c r="C47706" s="6">
        <v>10000</v>
      </c>
      <c r="D47706" s="7">
        <v>0.23</v>
      </c>
    </row>
    <row r="47707" spans="1:4" x14ac:dyDescent="0.25">
      <c r="A47707" t="str">
        <f>HYPERLINK("https://www.773grp.com/globalSearch/HZ27-2J-E/page-1", "HZ27-2J-E")</f>
        <v>HZ27-2J-E</v>
      </c>
      <c r="B47707" s="3" t="str">
        <f>HYPERLINK("https://www.773grp.com/manufacturer/renesas-electronics-america-inc?pageNo=564", "Renesas Electronics")</f>
        <v>Renesas Electronics</v>
      </c>
      <c r="C47707" s="6">
        <v>9000</v>
      </c>
      <c r="D47707" s="7">
        <v>0.23</v>
      </c>
    </row>
    <row r="47708" spans="1:4" x14ac:dyDescent="0.25">
      <c r="A47708" t="str">
        <f>HYPERLINK("https://www.773grp.com/globalSearch/HZ27-3L-E/page-1", "HZ27-3L-E")</f>
        <v>HZ27-3L-E</v>
      </c>
      <c r="B47708" s="3" t="str">
        <f>HYPERLINK("https://www.773grp.com/manufacturer/renesas-electronics-america-inc?pageNo=565", "Renesas Electronics")</f>
        <v>Renesas Electronics</v>
      </c>
      <c r="C47708" s="6">
        <v>5000</v>
      </c>
      <c r="D47708" s="7">
        <v>0.23</v>
      </c>
    </row>
    <row r="47709" spans="1:4" x14ac:dyDescent="0.25">
      <c r="A47709" t="str">
        <f>HYPERLINK("https://www.773grp.com/globalSearch/HZ2B3TD-E/page-1", "HZ2B3TD-E")</f>
        <v>HZ2B3TD-E</v>
      </c>
      <c r="B47709" s="3" t="str">
        <f>HYPERLINK("https://www.773grp.com/manufacturer/renesas-electronics-america-inc?pageNo=566", "Renesas Electronics")</f>
        <v>Renesas Electronics</v>
      </c>
      <c r="C47709" s="6">
        <v>20000</v>
      </c>
      <c r="D47709" s="7">
        <v>0.23</v>
      </c>
    </row>
    <row r="47710" spans="1:4" x14ac:dyDescent="0.25">
      <c r="A47710" t="str">
        <f>HYPERLINK("https://www.773grp.com/globalSearch/HZ30-1L-E/page-1", "HZ30-1L-E")</f>
        <v>HZ30-1L-E</v>
      </c>
      <c r="B47710" s="3" t="str">
        <f>HYPERLINK("https://www.773grp.com/manufacturer/renesas-electronics-america-inc?pageNo=567", "Renesas Electronics")</f>
        <v>Renesas Electronics</v>
      </c>
      <c r="C47710" s="6">
        <v>12500</v>
      </c>
      <c r="D47710" s="7">
        <v>0.23</v>
      </c>
    </row>
    <row r="47711" spans="1:4" x14ac:dyDescent="0.25">
      <c r="A47711" t="str">
        <f>HYPERLINK("https://www.773grp.com/globalSearch/HZ30-1LTA-E/page-1", "HZ30-1LTA-E")</f>
        <v>HZ30-1LTA-E</v>
      </c>
      <c r="B47711" s="3" t="str">
        <f>HYPERLINK("https://www.773grp.com/manufacturer/renesas-electronics-america-inc?pageNo=568", "Renesas Electronics")</f>
        <v>Renesas Electronics</v>
      </c>
      <c r="C47711" s="6">
        <v>10000</v>
      </c>
      <c r="D47711" s="7">
        <v>0.23</v>
      </c>
    </row>
    <row r="47712" spans="1:4" x14ac:dyDescent="0.25">
      <c r="A47712" t="str">
        <f>HYPERLINK("https://www.773grp.com/globalSearch/HZ30-1LTD-E/page-1", "HZ30-1LTD-E")</f>
        <v>HZ30-1LTD-E</v>
      </c>
      <c r="B47712" s="3" t="str">
        <f>HYPERLINK("https://www.773grp.com/manufacturer/renesas-electronics-america-inc?pageNo=569", "Renesas Electronics")</f>
        <v>Renesas Electronics</v>
      </c>
      <c r="C47712" s="6">
        <v>22500</v>
      </c>
      <c r="D47712" s="7">
        <v>0.23</v>
      </c>
    </row>
    <row r="47713" spans="1:4" x14ac:dyDescent="0.25">
      <c r="A47713" t="str">
        <f>HYPERLINK("https://www.773grp.com/globalSearch/HZ30-3L-E/page-1", "HZ30-3L-E")</f>
        <v>HZ30-3L-E</v>
      </c>
      <c r="B47713" s="3" t="str">
        <f>HYPERLINK("https://www.773grp.com/manufacturer/renesas-electronics-america-inc?pageNo=570", "Renesas Electronics")</f>
        <v>Renesas Electronics</v>
      </c>
      <c r="C47713" s="6">
        <v>15500</v>
      </c>
      <c r="D47713" s="7">
        <v>0.23</v>
      </c>
    </row>
    <row r="47714" spans="1:4" x14ac:dyDescent="0.25">
      <c r="A47714" t="str">
        <f>HYPERLINK("https://www.773grp.com/globalSearch/HZ33-1LTD-E/page-1", "HZ33-1LTD-E")</f>
        <v>HZ33-1LTD-E</v>
      </c>
      <c r="B47714" s="3" t="str">
        <f>HYPERLINK("https://www.773grp.com/manufacturer/renesas-electronics-america-inc?pageNo=571", "Renesas Electronics")</f>
        <v>Renesas Electronics</v>
      </c>
      <c r="C47714" s="6">
        <v>20000</v>
      </c>
      <c r="D47714" s="7">
        <v>0.23</v>
      </c>
    </row>
    <row r="47715" spans="1:4" x14ac:dyDescent="0.25">
      <c r="A47715" t="str">
        <f>HYPERLINK("https://www.773grp.com/globalSearch/HZ33-3L-E/page-1", "HZ33-3L-E")</f>
        <v>HZ33-3L-E</v>
      </c>
      <c r="B47715" s="3" t="str">
        <f>HYPERLINK("https://www.773grp.com/manufacturer/renesas-electronics-america-inc?pageNo=572", "Renesas Electronics")</f>
        <v>Renesas Electronics</v>
      </c>
      <c r="C47715" s="6">
        <v>17500</v>
      </c>
      <c r="D47715" s="7">
        <v>0.23</v>
      </c>
    </row>
    <row r="47716" spans="1:4" x14ac:dyDescent="0.25">
      <c r="A47716" t="str">
        <f>HYPERLINK("https://www.773grp.com/globalSearch/HZ33-3LTD-E/page-1", "HZ33-3LTD-E")</f>
        <v>HZ33-3LTD-E</v>
      </c>
      <c r="B47716" s="3" t="str">
        <f>HYPERLINK("https://www.773grp.com/manufacturer/renesas-electronics-america-inc?pageNo=573", "Renesas Electronics")</f>
        <v>Renesas Electronics</v>
      </c>
      <c r="C47716" s="6">
        <v>12500</v>
      </c>
      <c r="D47716" s="7">
        <v>0.23</v>
      </c>
    </row>
    <row r="47717" spans="1:4" x14ac:dyDescent="0.25">
      <c r="A47717" t="str">
        <f>HYPERLINK("https://www.773grp.com/globalSearch/HZ36-1L-E/page-1", "HZ36-1L-E")</f>
        <v>HZ36-1L-E</v>
      </c>
      <c r="B47717" s="3" t="str">
        <f>HYPERLINK("https://www.773grp.com/manufacturer/renesas-electronics-america-inc?pageNo=574", "Renesas Electronics")</f>
        <v>Renesas Electronics</v>
      </c>
      <c r="C47717" s="6">
        <v>10900</v>
      </c>
      <c r="D47717" s="7">
        <v>0.23</v>
      </c>
    </row>
    <row r="47718" spans="1:4" x14ac:dyDescent="0.25">
      <c r="A47718" t="str">
        <f>HYPERLINK("https://www.773grp.com/globalSearch/HZ36-1LTD-E/page-1", "HZ36-1LTD-E")</f>
        <v>HZ36-1LTD-E</v>
      </c>
      <c r="B47718" s="3" t="str">
        <f>HYPERLINK("https://www.773grp.com/manufacturer/renesas-electronics-america-inc?pageNo=575", "Renesas Electronics")</f>
        <v>Renesas Electronics</v>
      </c>
      <c r="C47718" s="6">
        <v>10000</v>
      </c>
      <c r="D47718" s="7">
        <v>0.23</v>
      </c>
    </row>
    <row r="47719" spans="1:4" x14ac:dyDescent="0.25">
      <c r="A47719" t="str">
        <f>HYPERLINK("https://www.773grp.com/globalSearch/HZ36-2TA-P-E/page-1", "HZ36-2TA-P-E")</f>
        <v>HZ36-2TA-P-E</v>
      </c>
      <c r="B47719" s="3" t="str">
        <f>HYPERLINK("https://www.773grp.com/manufacturer/renesas-electronics-america-inc?pageNo=576", "Renesas Electronics")</f>
        <v>Renesas Electronics</v>
      </c>
      <c r="C47719" s="6">
        <v>15000</v>
      </c>
      <c r="D47719" s="7">
        <v>0.23</v>
      </c>
    </row>
    <row r="47720" spans="1:4" x14ac:dyDescent="0.25">
      <c r="A47720" t="str">
        <f>HYPERLINK("https://www.773grp.com/globalSearch/HZ36-3L-E/page-1", "HZ36-3L-E")</f>
        <v>HZ36-3L-E</v>
      </c>
      <c r="B47720" s="3" t="str">
        <f>HYPERLINK("https://www.773grp.com/manufacturer/renesas-electronics-america-inc?pageNo=577", "Renesas Electronics")</f>
        <v>Renesas Electronics</v>
      </c>
      <c r="C47720" s="6">
        <v>42500</v>
      </c>
      <c r="D47720" s="7">
        <v>0.23</v>
      </c>
    </row>
    <row r="47721" spans="1:4" x14ac:dyDescent="0.25">
      <c r="A47721" t="str">
        <f>HYPERLINK("https://www.773grp.com/globalSearch/HZ36-3TA-E/page-1", "HZ36-3TA-E")</f>
        <v>HZ36-3TA-E</v>
      </c>
      <c r="B47721" s="3" t="str">
        <f>HYPERLINK("https://www.773grp.com/manufacturer/renesas-electronics-america-inc?pageNo=578", "Renesas Electronics")</f>
        <v>Renesas Electronics</v>
      </c>
      <c r="C47721" s="6">
        <v>5000</v>
      </c>
      <c r="D47721" s="7">
        <v>0.23</v>
      </c>
    </row>
    <row r="47722" spans="1:4" x14ac:dyDescent="0.25">
      <c r="A47722" t="str">
        <f>HYPERLINK("https://www.773grp.com/globalSearch/HZ4B1TA-E/page-1", "HZ4B1TA-E")</f>
        <v>HZ4B1TA-E</v>
      </c>
      <c r="B47722" s="3" t="str">
        <f>HYPERLINK("https://www.773grp.com/manufacturer/renesas-electronics-america-inc?pageNo=579", "Renesas Electronics")</f>
        <v>Renesas Electronics</v>
      </c>
      <c r="C47722" s="6">
        <v>5000</v>
      </c>
      <c r="D47722" s="7">
        <v>0.23</v>
      </c>
    </row>
    <row r="47723" spans="1:4" x14ac:dyDescent="0.25">
      <c r="A47723" t="str">
        <f>HYPERLINK("https://www.773grp.com/globalSearch/HZ5B3RE-E/page-1", "HZ5B3RE-E")</f>
        <v>HZ5B3RE-E</v>
      </c>
      <c r="B47723" s="3" t="str">
        <f>HYPERLINK("https://www.773grp.com/manufacturer/renesas-electronics-america-inc?pageNo=580", "Renesas Electronics")</f>
        <v>Renesas Electronics</v>
      </c>
      <c r="C47723" s="6">
        <v>4000</v>
      </c>
      <c r="D47723" s="7">
        <v>0.23</v>
      </c>
    </row>
    <row r="47724" spans="1:4" x14ac:dyDescent="0.25">
      <c r="A47724" t="str">
        <f>HYPERLINK("https://www.773grp.com/globalSearch/HZ5C3TD-P-E/page-1", "HZ5C3TD-P-E")</f>
        <v>HZ5C3TD-P-E</v>
      </c>
      <c r="B47724" s="3" t="str">
        <f>HYPERLINK("https://www.773grp.com/manufacturer/renesas-electronics-america-inc?pageNo=581", "Renesas Electronics")</f>
        <v>Renesas Electronics</v>
      </c>
      <c r="C47724" s="6">
        <v>15000</v>
      </c>
      <c r="D47724" s="7">
        <v>0.23</v>
      </c>
    </row>
    <row r="47725" spans="1:4" x14ac:dyDescent="0.25">
      <c r="A47725" t="str">
        <f>HYPERLINK("https://www.773grp.com/globalSearch/HZ6A1-90/page-1", "HZ6A1-90")</f>
        <v>HZ6A1-90</v>
      </c>
      <c r="B47725" s="3" t="str">
        <f>HYPERLINK("https://www.773grp.com/manufacturer/renesas-electronics-america-inc?pageNo=582", "Renesas Electronics")</f>
        <v>Renesas Electronics</v>
      </c>
      <c r="C47725" s="6">
        <v>14380</v>
      </c>
      <c r="D47725" s="7">
        <v>0.23</v>
      </c>
    </row>
    <row r="47726" spans="1:4" x14ac:dyDescent="0.25">
      <c r="A47726" t="str">
        <f>HYPERLINK("https://www.773grp.com/globalSearch/HZ6A1J/page-1", "HZ6A1J")</f>
        <v>HZ6A1J</v>
      </c>
      <c r="B47726" s="3" t="str">
        <f>HYPERLINK("https://www.773grp.com/manufacturer/renesas-electronics-america-inc?pageNo=583", "Renesas Electronics")</f>
        <v>Renesas Electronics</v>
      </c>
      <c r="C47726" s="6">
        <v>11500</v>
      </c>
      <c r="D47726" s="7">
        <v>0.23</v>
      </c>
    </row>
    <row r="47727" spans="1:4" x14ac:dyDescent="0.25">
      <c r="A47727" t="str">
        <f>HYPERLINK("https://www.773grp.com/globalSearch/HZ6A1JTA/page-1", "HZ6A1JTA")</f>
        <v>HZ6A1JTA</v>
      </c>
      <c r="B47727" s="3" t="str">
        <f>HYPERLINK("https://www.773grp.com/manufacturer/renesas-electronics-america-inc?pageNo=584", "Renesas Electronics")</f>
        <v>Renesas Electronics</v>
      </c>
      <c r="C47727" s="6">
        <v>5000</v>
      </c>
      <c r="D47727" s="7">
        <v>0.23</v>
      </c>
    </row>
    <row r="47728" spans="1:4" x14ac:dyDescent="0.25">
      <c r="A47728" t="str">
        <f>HYPERLINK("https://www.773grp.com/globalSearch/HZ6A2J/page-1", "HZ6A2J")</f>
        <v>HZ6A2J</v>
      </c>
      <c r="B47728" s="3" t="str">
        <f>HYPERLINK("https://www.773grp.com/manufacturer/renesas-electronics-america-inc?pageNo=585", "Renesas Electronics")</f>
        <v>Renesas Electronics</v>
      </c>
      <c r="C47728" s="6">
        <v>15000</v>
      </c>
      <c r="D47728" s="7">
        <v>0.23</v>
      </c>
    </row>
    <row r="47729" spans="1:4" x14ac:dyDescent="0.25">
      <c r="A47729" t="str">
        <f>HYPERLINK("https://www.773grp.com/globalSearch/HZ6B2JTA/page-1", "HZ6B2JTA")</f>
        <v>HZ6B2JTA</v>
      </c>
      <c r="B47729" s="3" t="str">
        <f>HYPERLINK("https://www.773grp.com/manufacturer/renesas-electronics-america-inc?pageNo=586", "Renesas Electronics")</f>
        <v>Renesas Electronics</v>
      </c>
      <c r="C47729" s="6">
        <v>30000</v>
      </c>
      <c r="D47729" s="7">
        <v>0.23</v>
      </c>
    </row>
    <row r="47730" spans="1:4" x14ac:dyDescent="0.25">
      <c r="A47730" t="str">
        <f>HYPERLINK("https://www.773grp.com/globalSearch/HZ6B3LTD-E/page-1", "HZ6B3LTD-E")</f>
        <v>HZ6B3LTD-E</v>
      </c>
      <c r="B47730" s="3" t="str">
        <f>HYPERLINK("https://www.773grp.com/manufacturer/renesas-electronics-america-inc?pageNo=587", "Renesas Electronics")</f>
        <v>Renesas Electronics</v>
      </c>
      <c r="C47730" s="6">
        <v>45000</v>
      </c>
      <c r="D47730" s="7">
        <v>0.23</v>
      </c>
    </row>
    <row r="47731" spans="1:4" x14ac:dyDescent="0.25">
      <c r="A47731" t="str">
        <f>HYPERLINK("https://www.773grp.com/globalSearch/HZ6C3-90/page-1", "HZ6C3-90")</f>
        <v>HZ6C3-90</v>
      </c>
      <c r="B47731" s="3" t="str">
        <f>HYPERLINK("https://www.773grp.com/manufacturer/renesas-electronics-america-inc?pageNo=588", "Renesas Electronics")</f>
        <v>Renesas Electronics</v>
      </c>
      <c r="C47731" s="6">
        <v>25980</v>
      </c>
      <c r="D47731" s="7">
        <v>0.23</v>
      </c>
    </row>
    <row r="47732" spans="1:4" x14ac:dyDescent="0.25">
      <c r="A47732" t="str">
        <f>HYPERLINK("https://www.773grp.com/globalSearch/HZ7A1RE-E/page-1", "HZ7A1RE-E")</f>
        <v>HZ7A1RE-E</v>
      </c>
      <c r="B47732" s="3" t="str">
        <f>HYPERLINK("https://www.773grp.com/manufacturer/renesas-electronics-america-inc?pageNo=589", "Renesas Electronics")</f>
        <v>Renesas Electronics</v>
      </c>
      <c r="C47732" s="6">
        <v>8000</v>
      </c>
      <c r="D47732" s="7">
        <v>0.23</v>
      </c>
    </row>
    <row r="47733" spans="1:4" x14ac:dyDescent="0.25">
      <c r="A47733" t="str">
        <f>HYPERLINK("https://www.773grp.com/globalSearch/HZ7A3LTD-E/page-1", "HZ7A3LTD-E")</f>
        <v>HZ7A3LTD-E</v>
      </c>
      <c r="B47733" s="3" t="str">
        <f>HYPERLINK("https://www.773grp.com/manufacturer/renesas-electronics-america-inc?pageNo=590", "Renesas Electronics")</f>
        <v>Renesas Electronics</v>
      </c>
      <c r="C47733" s="6">
        <v>20000</v>
      </c>
      <c r="D47733" s="7">
        <v>0.23</v>
      </c>
    </row>
    <row r="47734" spans="1:4" x14ac:dyDescent="0.25">
      <c r="A47734" t="str">
        <f>HYPERLINK("https://www.773grp.com/globalSearch/HZ7C1LTD-E/page-1", "HZ7C1LTD-E")</f>
        <v>HZ7C1LTD-E</v>
      </c>
      <c r="B47734" s="3" t="str">
        <f>HYPERLINK("https://www.773grp.com/manufacturer/renesas-electronics-america-inc?pageNo=591", "Renesas Electronics")</f>
        <v>Renesas Electronics</v>
      </c>
      <c r="C47734" s="6">
        <v>20000</v>
      </c>
      <c r="D47734" s="7">
        <v>0.23</v>
      </c>
    </row>
    <row r="47735" spans="1:4" x14ac:dyDescent="0.25">
      <c r="A47735" t="str">
        <f>HYPERLINK("https://www.773grp.com/globalSearch/HZ7C3LRE-E/page-1", "HZ7C3LRE-E")</f>
        <v>HZ7C3LRE-E</v>
      </c>
      <c r="B47735" s="3" t="str">
        <f>HYPERLINK("https://www.773grp.com/manufacturer/renesas-electronics-america-inc?pageNo=592", "Renesas Electronics")</f>
        <v>Renesas Electronics</v>
      </c>
      <c r="C47735" s="6">
        <v>16000</v>
      </c>
      <c r="D47735" s="7">
        <v>0.23</v>
      </c>
    </row>
    <row r="47736" spans="1:4" x14ac:dyDescent="0.25">
      <c r="A47736" t="str">
        <f>HYPERLINK("https://www.773grp.com/globalSearch/HZ7C3LTA-E/page-1", "HZ7C3LTA-E")</f>
        <v>HZ7C3LTA-E</v>
      </c>
      <c r="B47736" s="3" t="str">
        <f>HYPERLINK("https://www.773grp.com/manufacturer/renesas-electronics-america-inc?pageNo=593", "Renesas Electronics")</f>
        <v>Renesas Electronics</v>
      </c>
      <c r="C47736" s="6">
        <v>5000</v>
      </c>
      <c r="D47736" s="7">
        <v>0.23</v>
      </c>
    </row>
    <row r="47737" spans="1:4" x14ac:dyDescent="0.25">
      <c r="A47737" t="str">
        <f>HYPERLINK("https://www.773grp.com/globalSearch/HZ9A1L-E/page-1", "HZ9A1L-E")</f>
        <v>HZ9A1L-E</v>
      </c>
      <c r="B47737" s="3" t="str">
        <f>HYPERLINK("https://www.773grp.com/manufacturer/renesas-electronics-america-inc?pageNo=594", "Renesas Electronics")</f>
        <v>Renesas Electronics</v>
      </c>
      <c r="C47737" s="6">
        <v>15000</v>
      </c>
      <c r="D47737" s="7">
        <v>0.23</v>
      </c>
    </row>
    <row r="47738" spans="1:4" x14ac:dyDescent="0.25">
      <c r="A47738" t="str">
        <f>HYPERLINK("https://www.773grp.com/globalSearch/HZ9A1RE-E/page-1", "HZ9A1RE-E")</f>
        <v>HZ9A1RE-E</v>
      </c>
      <c r="B47738" s="3" t="str">
        <f>HYPERLINK("https://www.773grp.com/manufacturer/renesas-electronics-america-inc?pageNo=595", "Renesas Electronics")</f>
        <v>Renesas Electronics</v>
      </c>
      <c r="C47738" s="6">
        <v>16000</v>
      </c>
      <c r="D47738" s="7">
        <v>0.23</v>
      </c>
    </row>
    <row r="47739" spans="1:4" x14ac:dyDescent="0.25">
      <c r="A47739" t="str">
        <f>HYPERLINK("https://www.773grp.com/globalSearch/HZ9A2LTA-E/page-1", "HZ9A2LTA-E")</f>
        <v>HZ9A2LTA-E</v>
      </c>
      <c r="B47739" s="3" t="str">
        <f>HYPERLINK("https://www.773grp.com/manufacturer/renesas-electronics-america-inc?pageNo=596", "Renesas Electronics")</f>
        <v>Renesas Electronics</v>
      </c>
      <c r="C47739" s="6">
        <v>10000</v>
      </c>
      <c r="D47739" s="7">
        <v>0.23</v>
      </c>
    </row>
    <row r="47740" spans="1:4" x14ac:dyDescent="0.25">
      <c r="A47740" t="str">
        <f>HYPERLINK("https://www.773grp.com/globalSearch/HZ9B1LTA-E/page-1", "HZ9B1LTA-E")</f>
        <v>HZ9B1LTA-E</v>
      </c>
      <c r="B47740" s="3" t="str">
        <f>HYPERLINK("https://www.773grp.com/manufacturer/renesas-electronics-america-inc?pageNo=597", "Renesas Electronics")</f>
        <v>Renesas Electronics</v>
      </c>
      <c r="C47740" s="6">
        <v>15000</v>
      </c>
      <c r="D47740" s="7">
        <v>0.23</v>
      </c>
    </row>
    <row r="47741" spans="1:4" x14ac:dyDescent="0.25">
      <c r="A47741" t="str">
        <f>HYPERLINK("https://www.773grp.com/globalSearch/HZ9B1LTD-E/page-1", "HZ9B1LTD-E")</f>
        <v>HZ9B1LTD-E</v>
      </c>
      <c r="B47741" s="3" t="str">
        <f>HYPERLINK("https://www.773grp.com/manufacturer/renesas-electronics-america-inc?pageNo=598", "Renesas Electronics")</f>
        <v>Renesas Electronics</v>
      </c>
      <c r="C47741" s="6">
        <v>12500</v>
      </c>
      <c r="D47741" s="7">
        <v>0.23</v>
      </c>
    </row>
    <row r="47742" spans="1:4" x14ac:dyDescent="0.25">
      <c r="A47742" t="str">
        <f>HYPERLINK("https://www.773grp.com/globalSearch/HZ9B2RE-E/page-1", "HZ9B2RE-E")</f>
        <v>HZ9B2RE-E</v>
      </c>
      <c r="B47742" s="3" t="str">
        <f>HYPERLINK("https://www.773grp.com/manufacturer/renesas-electronics-america-inc?pageNo=599", "Renesas Electronics")</f>
        <v>Renesas Electronics</v>
      </c>
      <c r="C47742" s="6">
        <v>12000</v>
      </c>
      <c r="D47742" s="7">
        <v>0.23</v>
      </c>
    </row>
    <row r="47743" spans="1:4" x14ac:dyDescent="0.25">
      <c r="A47743" t="str">
        <f>HYPERLINK("https://www.773grp.com/globalSearch/HZ9B3L-E/page-1", "HZ9B3L-E")</f>
        <v>HZ9B3L-E</v>
      </c>
      <c r="B47743" s="3" t="str">
        <f>HYPERLINK("https://www.773grp.com/manufacturer/renesas-electronics-america-inc?pageNo=600", "Renesas Electronics")</f>
        <v>Renesas Electronics</v>
      </c>
      <c r="C47743" s="6">
        <v>19000</v>
      </c>
      <c r="D47743" s="7">
        <v>0.23</v>
      </c>
    </row>
    <row r="47744" spans="1:4" x14ac:dyDescent="0.25">
      <c r="A47744" t="str">
        <f>HYPERLINK("https://www.773grp.com/globalSearch/HZ9B3LTD-E/page-1", "HZ9B3LTD-E")</f>
        <v>HZ9B3LTD-E</v>
      </c>
      <c r="B47744" s="3" t="str">
        <f>HYPERLINK("https://www.773grp.com/manufacturer/renesas-electronics-america-inc?pageNo=601", "Renesas Electronics")</f>
        <v>Renesas Electronics</v>
      </c>
      <c r="C47744" s="6">
        <v>20000</v>
      </c>
      <c r="D47744" s="7">
        <v>0.23</v>
      </c>
    </row>
    <row r="47745" spans="1:4" x14ac:dyDescent="0.25">
      <c r="A47745" t="str">
        <f>HYPERLINK("https://www.773grp.com/globalSearch/HZ9C1LTA-E/page-1", "HZ9C1LTA-E")</f>
        <v>HZ9C1LTA-E</v>
      </c>
      <c r="B47745" s="3" t="str">
        <f>HYPERLINK("https://www.773grp.com/manufacturer/renesas-electronics-america-inc?pageNo=602", "Renesas Electronics")</f>
        <v>Renesas Electronics</v>
      </c>
      <c r="C47745" s="6">
        <v>15000</v>
      </c>
      <c r="D47745" s="7">
        <v>0.23</v>
      </c>
    </row>
    <row r="47746" spans="1:4" x14ac:dyDescent="0.25">
      <c r="A47746" t="str">
        <f>HYPERLINK("https://www.773grp.com/globalSearch/HZ9C2LRE-E/page-1", "HZ9C2LRE-E")</f>
        <v>HZ9C2LRE-E</v>
      </c>
      <c r="B47746" s="3" t="str">
        <f>HYPERLINK("https://www.773grp.com/manufacturer/renesas-electronics-america-inc?pageNo=603", "Renesas Electronics")</f>
        <v>Renesas Electronics</v>
      </c>
      <c r="C47746" s="6">
        <v>20000</v>
      </c>
      <c r="D47746" s="7">
        <v>0.23</v>
      </c>
    </row>
    <row r="47747" spans="1:4" x14ac:dyDescent="0.25">
      <c r="A47747" t="str">
        <f>HYPERLINK("https://www.773grp.com/globalSearch/HZC30-1TRF-E/page-1", "HZC30-1TRF-E")</f>
        <v>HZC30-1TRF-E</v>
      </c>
      <c r="B47747" s="3" t="str">
        <f>HYPERLINK("https://www.773grp.com/manufacturer/renesas-electronics-america-inc?pageNo=604", "Renesas Electronics")</f>
        <v>Renesas Electronics</v>
      </c>
      <c r="C47747" s="6">
        <v>84000</v>
      </c>
      <c r="D47747" s="7">
        <v>0.23</v>
      </c>
    </row>
    <row r="47748" spans="1:4" x14ac:dyDescent="0.25">
      <c r="A47748" t="str">
        <f>HYPERLINK("https://www.773grp.com/globalSearch/HZC6.2Z4TRF-E/page-1", "HZC6.2Z4TRF-E")</f>
        <v>HZC6.2Z4TRF-E</v>
      </c>
      <c r="B47748" s="3" t="str">
        <f>HYPERLINK("https://www.773grp.com/manufacturer/renesas-electronics-america-inc?pageNo=605", "Renesas Electronics")</f>
        <v>Renesas Electronics</v>
      </c>
      <c r="C47748" s="6">
        <v>68000</v>
      </c>
      <c r="D47748" s="7">
        <v>0.23</v>
      </c>
    </row>
    <row r="47749" spans="1:4" x14ac:dyDescent="0.25">
      <c r="A47749" t="str">
        <f>HYPERLINK("https://www.773grp.com/globalSearch/HZC8.2TRF-E/page-1", "HZC8.2TRF-E")</f>
        <v>HZC8.2TRF-E</v>
      </c>
      <c r="B47749" s="3" t="str">
        <f>HYPERLINK("https://www.773grp.com/manufacturer/renesas-electronics-america-inc?pageNo=606", "Renesas Electronics")</f>
        <v>Renesas Electronics</v>
      </c>
      <c r="C47749" s="6">
        <v>108000</v>
      </c>
      <c r="D47749" s="7">
        <v>0.23</v>
      </c>
    </row>
    <row r="47750" spans="1:4" x14ac:dyDescent="0.25">
      <c r="A47750" t="str">
        <f>HYPERLINK("https://www.773grp.com/globalSearch/HZS11A1TD-E/page-1", "HZS11A1TD-E")</f>
        <v>HZS11A1TD-E</v>
      </c>
      <c r="B47750" s="3" t="str">
        <f>HYPERLINK("https://www.773grp.com/manufacturer/renesas-electronics-america-inc?pageNo=607", "Renesas Electronics")</f>
        <v>Renesas Electronics</v>
      </c>
      <c r="C47750" s="6">
        <v>10000</v>
      </c>
      <c r="D47750" s="7">
        <v>0.23</v>
      </c>
    </row>
    <row r="47751" spans="1:4" x14ac:dyDescent="0.25">
      <c r="A47751" t="str">
        <f>HYPERLINK("https://www.773grp.com/globalSearch/HZS18-1TA-E/page-1", "HZS18-1TA-E")</f>
        <v>HZS18-1TA-E</v>
      </c>
      <c r="B47751" s="3" t="str">
        <f>HYPERLINK("https://www.773grp.com/manufacturer/renesas-electronics-america-inc?pageNo=608", "Renesas Electronics")</f>
        <v>Renesas Electronics</v>
      </c>
      <c r="C47751" s="6">
        <v>5000</v>
      </c>
      <c r="D47751" s="7">
        <v>0.23</v>
      </c>
    </row>
    <row r="47752" spans="1:4" x14ac:dyDescent="0.25">
      <c r="A47752" t="str">
        <f>HYPERLINK("https://www.773grp.com/globalSearch/HZS2C3TD-E/page-1", "HZS2C3TD-E")</f>
        <v>HZS2C3TD-E</v>
      </c>
      <c r="B47752" s="3" t="str">
        <f>HYPERLINK("https://www.773grp.com/manufacturer/renesas-electronics-america-inc?pageNo=609", "Renesas Electronics")</f>
        <v>Renesas Electronics</v>
      </c>
      <c r="C47752" s="6">
        <v>22500</v>
      </c>
      <c r="D47752" s="7">
        <v>0.23</v>
      </c>
    </row>
    <row r="47753" spans="1:4" x14ac:dyDescent="0.25">
      <c r="A47753" t="str">
        <f>HYPERLINK("https://www.773grp.com/globalSearch/HZS33-1TD-E/page-1", "HZS33-1TD-E")</f>
        <v>HZS33-1TD-E</v>
      </c>
      <c r="B47753" s="3" t="str">
        <f>HYPERLINK("https://www.773grp.com/manufacturer/renesas-electronics-america-inc?pageNo=610", "Renesas Electronics")</f>
        <v>Renesas Electronics</v>
      </c>
      <c r="C47753" s="6">
        <v>15000</v>
      </c>
      <c r="D47753" s="7">
        <v>0.23</v>
      </c>
    </row>
    <row r="47754" spans="1:4" x14ac:dyDescent="0.25">
      <c r="A47754" t="str">
        <f>HYPERLINK("https://www.773grp.com/globalSearch/HZS4C2TD-E/page-1", "HZS4C2TD-E")</f>
        <v>HZS4C2TD-E</v>
      </c>
      <c r="B47754" s="3" t="str">
        <f>HYPERLINK("https://www.773grp.com/manufacturer/renesas-electronics-america-inc?pageNo=611", "Renesas Electronics")</f>
        <v>Renesas Electronics</v>
      </c>
      <c r="C47754" s="6">
        <v>17500</v>
      </c>
      <c r="D47754" s="7">
        <v>0.23</v>
      </c>
    </row>
    <row r="47755" spans="1:4" x14ac:dyDescent="0.25">
      <c r="A47755" t="str">
        <f>HYPERLINK("https://www.773grp.com/globalSearch/HZS5A3TD-E/page-1", "HZS5A3TD-E")</f>
        <v>HZS5A3TD-E</v>
      </c>
      <c r="B47755" s="3" t="str">
        <f>HYPERLINK("https://www.773grp.com/manufacturer/renesas-electronics-america-inc?pageNo=612", "Renesas Electronics")</f>
        <v>Renesas Electronics</v>
      </c>
      <c r="C47755" s="6">
        <v>2500</v>
      </c>
      <c r="D47755" s="7">
        <v>0.23</v>
      </c>
    </row>
    <row r="47756" spans="1:4" x14ac:dyDescent="0.25">
      <c r="A47756" t="str">
        <f>HYPERLINK("https://www.773grp.com/globalSearch/HZS5B2J-E/page-1", "HZS5B2J-E")</f>
        <v>HZS5B2J-E</v>
      </c>
      <c r="B47756" s="3" t="str">
        <f>HYPERLINK("https://www.773grp.com/manufacturer/renesas-electronics-america-inc?pageNo=613", "Renesas Electronics")</f>
        <v>Renesas Electronics</v>
      </c>
      <c r="C47756" s="6">
        <v>11500</v>
      </c>
      <c r="D47756" s="7">
        <v>0.23</v>
      </c>
    </row>
    <row r="47757" spans="1:4" x14ac:dyDescent="0.25">
      <c r="A47757" t="str">
        <f>HYPERLINK("https://www.773grp.com/globalSearch/HZS5B3TD-E/page-1", "HZS5B3TD-E")</f>
        <v>HZS5B3TD-E</v>
      </c>
      <c r="B47757" s="3" t="str">
        <f>HYPERLINK("https://www.773grp.com/manufacturer/renesas-electronics-america-inc?pageNo=614", "Renesas Electronics")</f>
        <v>Renesas Electronics</v>
      </c>
      <c r="C47757" s="6">
        <v>17500</v>
      </c>
      <c r="D47757" s="7">
        <v>0.23</v>
      </c>
    </row>
    <row r="47758" spans="1:4" x14ac:dyDescent="0.25">
      <c r="A47758" t="str">
        <f>HYPERLINK("https://www.773grp.com/globalSearch/HZS5C2TD-P-E/page-1", "HZS5C2TD-P-E")</f>
        <v>HZS5C2TD-P-E</v>
      </c>
      <c r="B47758" s="3" t="str">
        <f>HYPERLINK("https://www.773grp.com/manufacturer/renesas-electronics-america-inc?pageNo=615", "Renesas Electronics")</f>
        <v>Renesas Electronics</v>
      </c>
      <c r="C47758" s="6">
        <v>7500</v>
      </c>
      <c r="D47758" s="7">
        <v>0.23</v>
      </c>
    </row>
    <row r="47759" spans="1:4" x14ac:dyDescent="0.25">
      <c r="A47759" t="str">
        <f>HYPERLINK("https://www.773grp.com/globalSearch/HZS6.2NB2-1TA-E/page-1", "HZS6.2NB2-1TA-E")</f>
        <v>HZS6.2NB2-1TA-E</v>
      </c>
      <c r="B47759" s="3" t="str">
        <f>HYPERLINK("https://www.773grp.com/manufacturer/renesas-electronics-america-inc?pageNo=616", "Renesas Electronics")</f>
        <v>Renesas Electronics</v>
      </c>
      <c r="C47759" s="6">
        <v>5000</v>
      </c>
      <c r="D47759" s="7">
        <v>0.23</v>
      </c>
    </row>
    <row r="47760" spans="1:4" x14ac:dyDescent="0.25">
      <c r="A47760" t="str">
        <f>HYPERLINK("https://www.773grp.com/globalSearch/HZS7B3TD-E/page-1", "HZS7B3TD-E")</f>
        <v>HZS7B3TD-E</v>
      </c>
      <c r="B47760" s="3" t="str">
        <f>HYPERLINK("https://www.773grp.com/manufacturer/renesas-electronics-america-inc?pageNo=617", "Renesas Electronics")</f>
        <v>Renesas Electronics</v>
      </c>
      <c r="C47760" s="6">
        <v>15000</v>
      </c>
      <c r="D47760" s="7">
        <v>0.23</v>
      </c>
    </row>
    <row r="47761" spans="1:4" x14ac:dyDescent="0.25">
      <c r="A47761" t="str">
        <f>HYPERLINK("https://www.773grp.com/globalSearch/HZS9A2TD-E/page-1", "HZS9A2TD-E")</f>
        <v>HZS9A2TD-E</v>
      </c>
      <c r="B47761" s="3" t="str">
        <f>HYPERLINK("https://www.773grp.com/manufacturer/renesas-electronics-america-inc?pageNo=618", "Renesas Electronics")</f>
        <v>Renesas Electronics</v>
      </c>
      <c r="C47761" s="6">
        <v>7500</v>
      </c>
      <c r="D47761" s="7">
        <v>0.23</v>
      </c>
    </row>
    <row r="47762" spans="1:4" x14ac:dyDescent="0.25">
      <c r="A47762" t="str">
        <f>HYPERLINK("https://www.773grp.com/globalSearch/HZU24B1TRF-E/page-1", "HZU24B1TRF-E")</f>
        <v>HZU24B1TRF-E</v>
      </c>
      <c r="B47762" s="3" t="str">
        <f>HYPERLINK("https://www.773grp.com/manufacturer/renesas-electronics-america-inc?pageNo=619", "Renesas Electronics")</f>
        <v>Renesas Electronics</v>
      </c>
      <c r="C47762" s="6">
        <v>45000</v>
      </c>
      <c r="D47762" s="7">
        <v>0.23</v>
      </c>
    </row>
    <row r="47763" spans="1:4" x14ac:dyDescent="0.25">
      <c r="A47763" t="str">
        <f>HYPERLINK("https://www.773grp.com/globalSearch/HZU4.7B2TRF-P-E/page-1", "HZU4.7B2TRF-P-E")</f>
        <v>HZU4.7B2TRF-P-E</v>
      </c>
      <c r="B47763" s="3" t="str">
        <f>HYPERLINK("https://www.773grp.com/manufacturer/renesas-electronics-america-inc?pageNo=620", "Renesas Electronics")</f>
        <v>Renesas Electronics</v>
      </c>
      <c r="C47763" s="6">
        <v>54000</v>
      </c>
      <c r="D47763" s="7">
        <v>0.23</v>
      </c>
    </row>
    <row r="47764" spans="1:4" x14ac:dyDescent="0.25">
      <c r="A47764" t="str">
        <f>HYPERLINK("https://www.773grp.com/globalSearch/HZU5.6B2TRF-P-E/page-1", "HZU5.6B2TRF-P-E")</f>
        <v>HZU5.6B2TRF-P-E</v>
      </c>
      <c r="B47764" s="3" t="str">
        <f>HYPERLINK("https://www.773grp.com/manufacturer/renesas-electronics-america-inc?pageNo=621", "Renesas Electronics")</f>
        <v>Renesas Electronics</v>
      </c>
      <c r="C47764" s="6">
        <v>53000</v>
      </c>
      <c r="D47764" s="7">
        <v>0.23</v>
      </c>
    </row>
    <row r="47765" spans="1:4" x14ac:dyDescent="0.25">
      <c r="A47765" t="str">
        <f>HYPERLINK("https://www.773grp.com/globalSearch/HZU5.6GTRF-P-E/page-1", "HZU5.6GTRF-P-E")</f>
        <v>HZU5.6GTRF-P-E</v>
      </c>
      <c r="B47765" s="3" t="str">
        <f>HYPERLINK("https://www.773grp.com/manufacturer/renesas-electronics-america-inc?pageNo=622", "Renesas Electronics")</f>
        <v>Renesas Electronics</v>
      </c>
      <c r="C47765" s="6">
        <v>162000</v>
      </c>
      <c r="D47765" s="7">
        <v>0.23</v>
      </c>
    </row>
    <row r="47766" spans="1:4" x14ac:dyDescent="0.25">
      <c r="A47766" t="str">
        <f>HYPERLINK("https://www.773grp.com/globalSearch/HZU6.2B2TRF-P-E/page-1", "HZU6.2B2TRF-P-E")</f>
        <v>HZU6.2B2TRF-P-E</v>
      </c>
      <c r="B47766" s="3" t="str">
        <f>HYPERLINK("https://www.773grp.com/manufacturer/renesas-electronics-america-inc?pageNo=623", "Renesas Electronics")</f>
        <v>Renesas Electronics</v>
      </c>
      <c r="C47766" s="6">
        <v>93000</v>
      </c>
      <c r="D47766" s="7">
        <v>0.23</v>
      </c>
    </row>
    <row r="47767" spans="1:4" x14ac:dyDescent="0.25">
      <c r="A47767" t="str">
        <f>HYPERLINK("https://www.773grp.com/globalSearch/HZU6.8GTRF-P-E/page-1", "HZU6.8GTRF-P-E")</f>
        <v>HZU6.8GTRF-P-E</v>
      </c>
      <c r="B47767" s="3" t="str">
        <f>HYPERLINK("https://www.773grp.com/manufacturer/renesas-electronics-america-inc?pageNo=624", "Renesas Electronics")</f>
        <v>Renesas Electronics</v>
      </c>
      <c r="C47767" s="6">
        <v>18000</v>
      </c>
      <c r="D47767" s="7">
        <v>0.23</v>
      </c>
    </row>
    <row r="47768" spans="1:4" x14ac:dyDescent="0.25">
      <c r="A47768" t="str">
        <f>HYPERLINK("https://www.773grp.com/globalSearch/HZU8.2GTRF-E/page-1", "HZU8.2GTRF-E")</f>
        <v>HZU8.2GTRF-E</v>
      </c>
      <c r="B47768" s="3" t="str">
        <f>HYPERLINK("https://www.773grp.com/manufacturer/renesas-electronics-america-inc?pageNo=625", "Renesas Electronics")</f>
        <v>Renesas Electronics</v>
      </c>
      <c r="C47768" s="6">
        <v>60000</v>
      </c>
      <c r="D47768" s="7">
        <v>0.23</v>
      </c>
    </row>
    <row r="47769" spans="1:4" x14ac:dyDescent="0.25">
      <c r="A47769" t="str">
        <f>HYPERLINK("https://www.773grp.com/globalSearch/HZU9.1GTRF-P-E/page-1", "HZU9.1GTRF-P-E")</f>
        <v>HZU9.1GTRF-P-E</v>
      </c>
      <c r="B47769" s="3" t="str">
        <f>HYPERLINK("https://www.773grp.com/manufacturer/renesas-electronics-america-inc?pageNo=626", "Renesas Electronics")</f>
        <v>Renesas Electronics</v>
      </c>
      <c r="C47769" s="6">
        <v>36000</v>
      </c>
      <c r="D47769" s="7">
        <v>0.23</v>
      </c>
    </row>
    <row r="47770" spans="1:4" x14ac:dyDescent="0.25">
      <c r="A47770" t="str">
        <f>HYPERLINK("https://www.773grp.com/globalSearch/RD10E(N)-T2/page-1", "RD10E(N)-T2")</f>
        <v>RD10E(N)-T2</v>
      </c>
      <c r="B47770" s="3" t="str">
        <f>HYPERLINK("https://www.773grp.com/manufacturer/renesas-electronics-america-inc?pageNo=627", "Renesas Electronics")</f>
        <v>Renesas Electronics</v>
      </c>
      <c r="C47770" s="6">
        <v>10000</v>
      </c>
      <c r="D47770" s="7">
        <v>0.23</v>
      </c>
    </row>
    <row r="47771" spans="1:4" x14ac:dyDescent="0.25">
      <c r="A47771" t="str">
        <f>HYPERLINK("https://www.773grp.com/globalSearch/RD110E/page-1", "RD110E")</f>
        <v>RD110E</v>
      </c>
      <c r="B47771" s="3" t="str">
        <f>HYPERLINK("https://www.773grp.com/manufacturer/renesas-electronics-america-inc?pageNo=628", "Renesas Electronics")</f>
        <v>Renesas Electronics</v>
      </c>
      <c r="C47771" s="6">
        <v>83</v>
      </c>
      <c r="D47771" s="7">
        <v>0.23</v>
      </c>
    </row>
    <row r="47772" spans="1:4" x14ac:dyDescent="0.25">
      <c r="A47772" t="str">
        <f>HYPERLINK("https://www.773grp.com/globalSearch/RD110E-T4-AZ/page-1", "RD110E-T4-AZ")</f>
        <v>RD110E-T4-AZ</v>
      </c>
      <c r="B47772" s="3" t="str">
        <f>HYPERLINK("https://www.773grp.com/manufacturer/renesas-electronics-america-inc?pageNo=629", "Renesas Electronics")</f>
        <v>Renesas Electronics</v>
      </c>
      <c r="C47772" s="6">
        <v>475000</v>
      </c>
      <c r="D47772" s="7">
        <v>0.23</v>
      </c>
    </row>
    <row r="47773" spans="1:4" x14ac:dyDescent="0.25">
      <c r="A47773" t="str">
        <f>HYPERLINK("https://www.773grp.com/globalSearch/RD110E-TB-AZ/page-1", "RD110E-TB-AZ")</f>
        <v>RD110E-TB-AZ</v>
      </c>
      <c r="B47773" s="3" t="str">
        <f>HYPERLINK("https://www.773grp.com/manufacturer/renesas-electronics-america-inc?pageNo=630", "Renesas Electronics")</f>
        <v>Renesas Electronics</v>
      </c>
      <c r="C47773" s="6">
        <v>10000</v>
      </c>
      <c r="D47773" s="7">
        <v>0.23</v>
      </c>
    </row>
    <row r="47774" spans="1:4" x14ac:dyDescent="0.25">
      <c r="A47774" t="str">
        <f>HYPERLINK("https://www.773grp.com/globalSearch/RD120E/page-1", "RD120E")</f>
        <v>RD120E</v>
      </c>
      <c r="B47774" s="3" t="str">
        <f>HYPERLINK("https://www.773grp.com/manufacturer/renesas-electronics-america-inc?pageNo=631", "Renesas Electronics")</f>
        <v>Renesas Electronics</v>
      </c>
      <c r="C47774" s="6">
        <v>175</v>
      </c>
      <c r="D47774" s="7">
        <v>0.23</v>
      </c>
    </row>
    <row r="47775" spans="1:4" x14ac:dyDescent="0.25">
      <c r="A47775" t="str">
        <f>HYPERLINK("https://www.773grp.com/globalSearch/RD120E-TB-AZ/page-1", "RD120E-TB-AZ")</f>
        <v>RD120E-TB-AZ</v>
      </c>
      <c r="B47775" s="3" t="str">
        <f>HYPERLINK("https://www.773grp.com/manufacturer/renesas-electronics-america-inc?pageNo=632", "Renesas Electronics")</f>
        <v>Renesas Electronics</v>
      </c>
      <c r="C47775" s="6">
        <v>262500</v>
      </c>
      <c r="D47775" s="7">
        <v>0.23</v>
      </c>
    </row>
    <row r="47776" spans="1:4" x14ac:dyDescent="0.25">
      <c r="A47776" t="str">
        <f>HYPERLINK("https://www.773grp.com/globalSearch/RD12E(N)-T2/page-1", "RD12E(N)-T2")</f>
        <v>RD12E(N)-T2</v>
      </c>
      <c r="B47776" s="3" t="str">
        <f>HYPERLINK("https://www.773grp.com/manufacturer/renesas-electronics-america-inc?pageNo=633", "Renesas Electronics")</f>
        <v>Renesas Electronics</v>
      </c>
      <c r="C47776" s="6">
        <v>25000</v>
      </c>
      <c r="D47776" s="7">
        <v>0.23</v>
      </c>
    </row>
    <row r="47777" spans="1:4" x14ac:dyDescent="0.25">
      <c r="A47777" t="str">
        <f>HYPERLINK("https://www.773grp.com/globalSearch/RD130E-T1/page-1", "RD130E-T1")</f>
        <v>RD130E-T1</v>
      </c>
      <c r="B47777" s="3" t="str">
        <f>HYPERLINK("https://www.773grp.com/manufacturer/renesas-electronics-america-inc?pageNo=634", "Renesas Electronics")</f>
        <v>Renesas Electronics</v>
      </c>
      <c r="C47777" s="6">
        <v>32000</v>
      </c>
      <c r="D47777" s="7">
        <v>0.23</v>
      </c>
    </row>
    <row r="47778" spans="1:4" x14ac:dyDescent="0.25">
      <c r="A47778" t="str">
        <f>HYPERLINK("https://www.773grp.com/globalSearch/RD15E(N)-T2/page-1", "RD15E(N)-T2")</f>
        <v>RD15E(N)-T2</v>
      </c>
      <c r="B47778" s="3" t="str">
        <f>HYPERLINK("https://www.773grp.com/manufacturer/renesas-electronics-america-inc?pageNo=635", "Renesas Electronics")</f>
        <v>Renesas Electronics</v>
      </c>
      <c r="C47778" s="6">
        <v>15000</v>
      </c>
      <c r="D47778" s="7">
        <v>0.23</v>
      </c>
    </row>
    <row r="47779" spans="1:4" x14ac:dyDescent="0.25">
      <c r="A47779" t="str">
        <f>HYPERLINK("https://www.773grp.com/globalSearch/RD170E-T4-AZ/page-1", "RD170E-T4-AZ")</f>
        <v>RD170E-T4-AZ</v>
      </c>
      <c r="B47779" s="3" t="str">
        <f>HYPERLINK("https://www.773grp.com/manufacturer/renesas-electronics-america-inc?pageNo=636", "Renesas Electronics")</f>
        <v>Renesas Electronics</v>
      </c>
      <c r="C47779" s="6">
        <v>280000</v>
      </c>
      <c r="D47779" s="7">
        <v>0.23</v>
      </c>
    </row>
    <row r="47780" spans="1:4" x14ac:dyDescent="0.25">
      <c r="A47780" t="str">
        <f>HYPERLINK("https://www.773grp.com/globalSearch/RD180E-AZ/page-1", "RD180E-AZ")</f>
        <v>RD180E-AZ</v>
      </c>
      <c r="B47780" s="3" t="str">
        <f>HYPERLINK("https://www.773grp.com/manufacturer/renesas-electronics-america-inc?pageNo=637", "Renesas Electronics")</f>
        <v>Renesas Electronics</v>
      </c>
      <c r="C47780" s="6">
        <v>4000</v>
      </c>
      <c r="D47780" s="7">
        <v>0.23</v>
      </c>
    </row>
    <row r="47781" spans="1:4" x14ac:dyDescent="0.25">
      <c r="A47781" t="str">
        <f>HYPERLINK("https://www.773grp.com/globalSearch/RD18E(N)-T2-AZ/page-1", "RD18E(N)-T2-AZ")</f>
        <v>RD18E(N)-T2-AZ</v>
      </c>
      <c r="B47781" s="3" t="str">
        <f>HYPERLINK("https://www.773grp.com/manufacturer/renesas-electronics-america-inc?pageNo=638", "Renesas Electronics")</f>
        <v>Renesas Electronics</v>
      </c>
      <c r="C47781" s="6">
        <v>10000</v>
      </c>
      <c r="D47781" s="7">
        <v>0.23</v>
      </c>
    </row>
    <row r="47782" spans="1:4" x14ac:dyDescent="0.25">
      <c r="A47782" t="str">
        <f>HYPERLINK("https://www.773grp.com/globalSearch/RD18E(N)-T4/page-1", "RD18E(N)-T4")</f>
        <v>RD18E(N)-T4</v>
      </c>
      <c r="B47782" s="3" t="str">
        <f>HYPERLINK("https://www.773grp.com/manufacturer/renesas-electronics-america-inc?pageNo=639", "Renesas Electronics")</f>
        <v>Renesas Electronics</v>
      </c>
      <c r="C47782" s="6">
        <v>20000</v>
      </c>
      <c r="D47782" s="7">
        <v>0.23</v>
      </c>
    </row>
    <row r="47783" spans="1:4" x14ac:dyDescent="0.25">
      <c r="A47783" t="str">
        <f>HYPERLINK("https://www.773grp.com/globalSearch/RD200E-AZ/page-1", "RD200E-AZ")</f>
        <v>RD200E-AZ</v>
      </c>
      <c r="B47783" s="3" t="str">
        <f>HYPERLINK("https://www.773grp.com/manufacturer/renesas-electronics-america-inc?pageNo=640", "Renesas Electronics")</f>
        <v>Renesas Electronics</v>
      </c>
      <c r="C47783" s="6">
        <v>4900</v>
      </c>
      <c r="D47783" s="7">
        <v>0.23</v>
      </c>
    </row>
    <row r="47784" spans="1:4" x14ac:dyDescent="0.25">
      <c r="A47784" t="str">
        <f>HYPERLINK("https://www.773grp.com/globalSearch/RD200E-T4-AZ/page-1", "RD200E-T4-AZ")</f>
        <v>RD200E-T4-AZ</v>
      </c>
      <c r="B47784" s="3" t="str">
        <f>HYPERLINK("https://www.773grp.com/manufacturer/renesas-electronics-america-inc?pageNo=641", "Renesas Electronics")</f>
        <v>Renesas Electronics</v>
      </c>
      <c r="C47784" s="6">
        <v>120000</v>
      </c>
      <c r="D47784" s="7">
        <v>0.23</v>
      </c>
    </row>
    <row r="47785" spans="1:4" x14ac:dyDescent="0.25">
      <c r="A47785" t="str">
        <f>HYPERLINK("https://www.773grp.com/globalSearch/RD24E(N)-T2/page-1", "RD24E(N)-T2")</f>
        <v>RD24E(N)-T2</v>
      </c>
      <c r="B47785" s="3" t="str">
        <f>HYPERLINK("https://www.773grp.com/manufacturer/renesas-electronics-america-inc?pageNo=642", "Renesas Electronics")</f>
        <v>Renesas Electronics</v>
      </c>
      <c r="C47785" s="6">
        <v>10000</v>
      </c>
      <c r="D47785" s="7">
        <v>0.23</v>
      </c>
    </row>
    <row r="47786" spans="1:4" x14ac:dyDescent="0.25">
      <c r="A47786" t="str">
        <f>HYPERLINK("https://www.773grp.com/globalSearch/RD27E(N)-T2/page-1", "RD27E(N)-T2")</f>
        <v>RD27E(N)-T2</v>
      </c>
      <c r="B47786" s="3" t="str">
        <f>HYPERLINK("https://www.773grp.com/manufacturer/renesas-electronics-america-inc?pageNo=643", "Renesas Electronics")</f>
        <v>Renesas Electronics</v>
      </c>
      <c r="C47786" s="6">
        <v>15000</v>
      </c>
      <c r="D47786" s="7">
        <v>0.23</v>
      </c>
    </row>
    <row r="47787" spans="1:4" x14ac:dyDescent="0.25">
      <c r="A47787" t="str">
        <f>HYPERLINK("https://www.773grp.com/globalSearch/RD3.0E(N)-T2/page-1", "RD3.0E(N)-T2")</f>
        <v>RD3.0E(N)-T2</v>
      </c>
      <c r="B47787" s="3" t="str">
        <f>HYPERLINK("https://www.773grp.com/manufacturer/renesas-electronics-america-inc?pageNo=644", "Renesas Electronics")</f>
        <v>Renesas Electronics</v>
      </c>
      <c r="C47787" s="6">
        <v>5000</v>
      </c>
      <c r="D47787" s="7">
        <v>0.23</v>
      </c>
    </row>
    <row r="47788" spans="1:4" x14ac:dyDescent="0.25">
      <c r="A47788" t="str">
        <f>HYPERLINK("https://www.773grp.com/globalSearch/RD3.3E(10)-T2-AZ/page-1", "RD3.3E(10)-T2-AZ")</f>
        <v>RD3.3E(10)-T2-AZ</v>
      </c>
      <c r="B47788" s="3" t="str">
        <f>HYPERLINK("https://www.773grp.com/manufacturer/renesas-electronics-america-inc?pageNo=645", "Renesas Electronics")</f>
        <v>Renesas Electronics</v>
      </c>
      <c r="C47788" s="6">
        <v>10000</v>
      </c>
      <c r="D47788" s="7">
        <v>0.23</v>
      </c>
    </row>
    <row r="47789" spans="1:4" x14ac:dyDescent="0.25">
      <c r="A47789" t="str">
        <f>HYPERLINK("https://www.773grp.com/globalSearch/RD3.9E(10)-T2-AZ/page-1", "RD3.9E(10)-T2-AZ")</f>
        <v>RD3.9E(10)-T2-AZ</v>
      </c>
      <c r="B47789" s="3" t="str">
        <f>HYPERLINK("https://www.773grp.com/manufacturer/renesas-electronics-america-inc?pageNo=646", "Renesas Electronics")</f>
        <v>Renesas Electronics</v>
      </c>
      <c r="C47789" s="6">
        <v>10000</v>
      </c>
      <c r="D47789" s="7">
        <v>0.23</v>
      </c>
    </row>
    <row r="47790" spans="1:4" x14ac:dyDescent="0.25">
      <c r="A47790" t="str">
        <f>HYPERLINK("https://www.773grp.com/globalSearch/RD3.9E(N)-T2/page-1", "RD3.9E(N)-T2")</f>
        <v>RD3.9E(N)-T2</v>
      </c>
      <c r="B47790" s="3" t="str">
        <f>HYPERLINK("https://www.773grp.com/manufacturer/renesas-electronics-america-inc?pageNo=647", "Renesas Electronics")</f>
        <v>Renesas Electronics</v>
      </c>
      <c r="C47790" s="6">
        <v>25000</v>
      </c>
      <c r="D47790" s="7">
        <v>0.23</v>
      </c>
    </row>
    <row r="47791" spans="1:4" x14ac:dyDescent="0.25">
      <c r="A47791" t="str">
        <f>HYPERLINK("https://www.773grp.com/globalSearch/RD33E(N)-T2/page-1", "RD33E(N)-T2")</f>
        <v>RD33E(N)-T2</v>
      </c>
      <c r="B47791" s="3" t="str">
        <f>HYPERLINK("https://www.773grp.com/manufacturer/renesas-electronics-america-inc?pageNo=648", "Renesas Electronics")</f>
        <v>Renesas Electronics</v>
      </c>
      <c r="C47791" s="6">
        <v>15000</v>
      </c>
      <c r="D47791" s="7">
        <v>0.23</v>
      </c>
    </row>
    <row r="47792" spans="1:4" x14ac:dyDescent="0.25">
      <c r="A47792" t="str">
        <f>HYPERLINK("https://www.773grp.com/globalSearch/RD4.3ES(Y1)/page-1", "RD4.3ES(Y1)")</f>
        <v>RD4.3ES(Y1)</v>
      </c>
      <c r="B47792" s="3" t="str">
        <f>HYPERLINK("https://www.773grp.com/manufacturer/renesas-electronics-america-inc?pageNo=649", "Renesas Electronics")</f>
        <v>Renesas Electronics</v>
      </c>
      <c r="C47792" s="6">
        <v>24600</v>
      </c>
      <c r="D47792" s="7">
        <v>0.23</v>
      </c>
    </row>
    <row r="47793" spans="1:4" x14ac:dyDescent="0.25">
      <c r="A47793" t="str">
        <f>HYPERLINK("https://www.773grp.com/globalSearch/RD4.7E(10)-TB-AZ/page-1", "RD4.7E(10)-TB-AZ")</f>
        <v>RD4.7E(10)-TB-AZ</v>
      </c>
      <c r="B47793" s="3" t="str">
        <f>HYPERLINK("https://www.773grp.com/manufacturer/renesas-electronics-america-inc?pageNo=650", "Renesas Electronics")</f>
        <v>Renesas Electronics</v>
      </c>
      <c r="C47793" s="6">
        <v>10000</v>
      </c>
      <c r="D47793" s="7">
        <v>0.23</v>
      </c>
    </row>
    <row r="47794" spans="1:4" x14ac:dyDescent="0.25">
      <c r="A47794" t="str">
        <f>HYPERLINK("https://www.773grp.com/globalSearch/RD4.7E(N)-T2/page-1", "RD4.7E(N)-T2")</f>
        <v>RD4.7E(N)-T2</v>
      </c>
      <c r="B47794" s="3" t="str">
        <f>HYPERLINK("https://www.773grp.com/manufacturer/renesas-electronics-america-inc?pageNo=651", "Renesas Electronics")</f>
        <v>Renesas Electronics</v>
      </c>
      <c r="C47794" s="6">
        <v>20000</v>
      </c>
      <c r="D47794" s="7">
        <v>0.23</v>
      </c>
    </row>
    <row r="47795" spans="1:4" x14ac:dyDescent="0.25">
      <c r="A47795" t="str">
        <f>HYPERLINK("https://www.773grp.com/globalSearch/RD4.7JS(1)-T1-AZ/page-1", "RD4.7JS(1)-T1-AZ")</f>
        <v>RD4.7JS(1)-T1-AZ</v>
      </c>
      <c r="B47795" s="3" t="str">
        <f>HYPERLINK("https://www.773grp.com/manufacturer/renesas-electronics-america-inc?pageNo=652", "Renesas Electronics")</f>
        <v>Renesas Electronics</v>
      </c>
      <c r="C47795" s="6">
        <v>22000</v>
      </c>
      <c r="D47795" s="7">
        <v>0.23</v>
      </c>
    </row>
    <row r="47796" spans="1:4" x14ac:dyDescent="0.25">
      <c r="A47796" t="str">
        <f>HYPERLINK("https://www.773grp.com/globalSearch/RD43E-T1/page-1", "RD43E-T1")</f>
        <v>RD43E-T1</v>
      </c>
      <c r="B47796" s="3" t="str">
        <f>HYPERLINK("https://www.773grp.com/manufacturer/renesas-electronics-america-inc?pageNo=653", "Renesas Electronics")</f>
        <v>Renesas Electronics</v>
      </c>
      <c r="C47796" s="6">
        <v>6000</v>
      </c>
      <c r="D47796" s="7">
        <v>0.23</v>
      </c>
    </row>
    <row r="47797" spans="1:4" x14ac:dyDescent="0.25">
      <c r="A47797" t="str">
        <f>HYPERLINK("https://www.773grp.com/globalSearch/RD43E-T4-AZ/page-1", "RD43E-T4-AZ")</f>
        <v>RD43E-T4-AZ</v>
      </c>
      <c r="B47797" s="3" t="str">
        <f>HYPERLINK("https://www.773grp.com/manufacturer/renesas-electronics-america-inc?pageNo=654", "Renesas Electronics")</f>
        <v>Renesas Electronics</v>
      </c>
      <c r="C47797" s="6">
        <v>60000</v>
      </c>
      <c r="D47797" s="7">
        <v>0.23</v>
      </c>
    </row>
    <row r="47798" spans="1:4" x14ac:dyDescent="0.25">
      <c r="A47798" t="str">
        <f>HYPERLINK("https://www.773grp.com/globalSearch/RD43E-TB-AZ/page-1", "RD43E-TB-AZ")</f>
        <v>RD43E-TB-AZ</v>
      </c>
      <c r="B47798" s="3" t="str">
        <f>HYPERLINK("https://www.773grp.com/manufacturer/renesas-electronics-america-inc?pageNo=655", "Renesas Electronics")</f>
        <v>Renesas Electronics</v>
      </c>
      <c r="C47798" s="6">
        <v>27500</v>
      </c>
      <c r="D47798" s="7">
        <v>0.23</v>
      </c>
    </row>
    <row r="47799" spans="1:4" x14ac:dyDescent="0.25">
      <c r="A47799" t="str">
        <f>HYPERLINK("https://www.773grp.com/globalSearch/RD47E/page-1", "RD47E")</f>
        <v>RD47E</v>
      </c>
      <c r="B47799" s="3" t="str">
        <f>HYPERLINK("https://www.773grp.com/manufacturer/renesas-electronics-america-inc?pageNo=656", "Renesas Electronics")</f>
        <v>Renesas Electronics</v>
      </c>
      <c r="C47799" s="6">
        <v>4280</v>
      </c>
      <c r="D47799" s="7">
        <v>0.23</v>
      </c>
    </row>
    <row r="47800" spans="1:4" x14ac:dyDescent="0.25">
      <c r="A47800" t="str">
        <f>HYPERLINK("https://www.773grp.com/globalSearch/RD47E-AZ/page-1", "RD47E-AZ")</f>
        <v>RD47E-AZ</v>
      </c>
      <c r="B47800" s="3" t="str">
        <f>HYPERLINK("https://www.773grp.com/manufacturer/renesas-electronics-america-inc?pageNo=657", "Renesas Electronics")</f>
        <v>Renesas Electronics</v>
      </c>
      <c r="C47800" s="6">
        <v>400</v>
      </c>
      <c r="D47800" s="7">
        <v>0.23</v>
      </c>
    </row>
    <row r="47801" spans="1:4" x14ac:dyDescent="0.25">
      <c r="A47801" t="str">
        <f>HYPERLINK("https://www.773grp.com/globalSearch/RD47E-T1/page-1", "RD47E-T1")</f>
        <v>RD47E-T1</v>
      </c>
      <c r="B47801" s="3" t="str">
        <f>HYPERLINK("https://www.773grp.com/manufacturer/renesas-electronics-america-inc?pageNo=658", "Renesas Electronics")</f>
        <v>Renesas Electronics</v>
      </c>
      <c r="C47801" s="6">
        <v>44000</v>
      </c>
      <c r="D47801" s="7">
        <v>0.23</v>
      </c>
    </row>
    <row r="47802" spans="1:4" x14ac:dyDescent="0.25">
      <c r="A47802" t="str">
        <f>HYPERLINK("https://www.773grp.com/globalSearch/RD47E-T4-AZ/page-1", "RD47E-T4-AZ")</f>
        <v>RD47E-T4-AZ</v>
      </c>
      <c r="B47802" s="3" t="str">
        <f>HYPERLINK("https://www.773grp.com/manufacturer/renesas-electronics-america-inc?pageNo=659", "Renesas Electronics")</f>
        <v>Renesas Electronics</v>
      </c>
      <c r="C47802" s="6">
        <v>5000</v>
      </c>
      <c r="D47802" s="7">
        <v>0.23</v>
      </c>
    </row>
    <row r="47803" spans="1:4" x14ac:dyDescent="0.25">
      <c r="A47803" t="str">
        <f>HYPERLINK("https://www.773grp.com/globalSearch/RD47E-TB-AZ/page-1", "RD47E-TB-AZ")</f>
        <v>RD47E-TB-AZ</v>
      </c>
      <c r="B47803" s="3" t="str">
        <f>HYPERLINK("https://www.773grp.com/manufacturer/renesas-electronics-america-inc?pageNo=660", "Renesas Electronics")</f>
        <v>Renesas Electronics</v>
      </c>
      <c r="C47803" s="6">
        <v>2500</v>
      </c>
      <c r="D47803" s="7">
        <v>0.23</v>
      </c>
    </row>
    <row r="47804" spans="1:4" x14ac:dyDescent="0.25">
      <c r="A47804" t="str">
        <f>HYPERLINK("https://www.773grp.com/globalSearch/RD5.1E(10)-T2-AZ/page-1", "RD5.1E(10)-T2-AZ")</f>
        <v>RD5.1E(10)-T2-AZ</v>
      </c>
      <c r="B47804" s="3" t="str">
        <f>HYPERLINK("https://www.773grp.com/manufacturer/renesas-electronics-america-inc?pageNo=661", "Renesas Electronics")</f>
        <v>Renesas Electronics</v>
      </c>
      <c r="C47804" s="6">
        <v>95000</v>
      </c>
      <c r="D47804" s="7">
        <v>0.23</v>
      </c>
    </row>
    <row r="47805" spans="1:4" x14ac:dyDescent="0.25">
      <c r="A47805" t="str">
        <f>HYPERLINK("https://www.773grp.com/globalSearch/RD5.1E(N)-T2/page-1", "RD5.1E(N)-T2")</f>
        <v>RD5.1E(N)-T2</v>
      </c>
      <c r="B47805" s="3" t="str">
        <f>HYPERLINK("https://www.773grp.com/manufacturer/renesas-electronics-america-inc?pageNo=662", "Renesas Electronics")</f>
        <v>Renesas Electronics</v>
      </c>
      <c r="C47805" s="6">
        <v>10000</v>
      </c>
      <c r="D47805" s="7">
        <v>0.23</v>
      </c>
    </row>
    <row r="47806" spans="1:4" x14ac:dyDescent="0.25">
      <c r="A47806" t="str">
        <f>HYPERLINK("https://www.773grp.com/globalSearch/RD5.6E(10)-T2-AZ/page-1", "RD5.6E(10)-T2-AZ")</f>
        <v>RD5.6E(10)-T2-AZ</v>
      </c>
      <c r="B47806" s="3" t="str">
        <f>HYPERLINK("https://www.773grp.com/manufacturer/renesas-electronics-america-inc?pageNo=663", "Renesas Electronics")</f>
        <v>Renesas Electronics</v>
      </c>
      <c r="C47806" s="6">
        <v>70000</v>
      </c>
      <c r="D47806" s="7">
        <v>0.23</v>
      </c>
    </row>
    <row r="47807" spans="1:4" x14ac:dyDescent="0.25">
      <c r="A47807" t="str">
        <f>HYPERLINK("https://www.773grp.com/globalSearch/RD5.6E(7)-T2/page-1", "RD5.6E(7)-T2")</f>
        <v>RD5.6E(7)-T2</v>
      </c>
      <c r="B47807" s="3" t="str">
        <f>HYPERLINK("https://www.773grp.com/manufacturer/renesas-electronics-america-inc?pageNo=664", "Renesas Electronics")</f>
        <v>Renesas Electronics</v>
      </c>
      <c r="C47807" s="6">
        <v>20000</v>
      </c>
      <c r="D47807" s="7">
        <v>0.23</v>
      </c>
    </row>
    <row r="47808" spans="1:4" x14ac:dyDescent="0.25">
      <c r="A47808" t="str">
        <f>HYPERLINK("https://www.773grp.com/globalSearch/RD5.6E(N)-T2/page-1", "RD5.6E(N)-T2")</f>
        <v>RD5.6E(N)-T2</v>
      </c>
      <c r="B47808" s="3" t="str">
        <f>HYPERLINK("https://www.773grp.com/manufacturer/renesas-electronics-america-inc?pageNo=665", "Renesas Electronics")</f>
        <v>Renesas Electronics</v>
      </c>
      <c r="C47808" s="6">
        <v>45000</v>
      </c>
      <c r="D47808" s="7">
        <v>0.23</v>
      </c>
    </row>
    <row r="47809" spans="1:4" x14ac:dyDescent="0.25">
      <c r="A47809" t="str">
        <f>HYPERLINK("https://www.773grp.com/globalSearch/RD51E/page-1", "RD51E")</f>
        <v>RD51E</v>
      </c>
      <c r="B47809" s="3" t="str">
        <f>HYPERLINK("https://www.773grp.com/manufacturer/renesas-electronics-america-inc?pageNo=666", "Renesas Electronics")</f>
        <v>Renesas Electronics</v>
      </c>
      <c r="C47809" s="6">
        <v>9050</v>
      </c>
      <c r="D47809" s="7">
        <v>0.23</v>
      </c>
    </row>
    <row r="47810" spans="1:4" x14ac:dyDescent="0.25">
      <c r="A47810" t="str">
        <f>HYPERLINK("https://www.773grp.com/globalSearch/RD56E/page-1", "RD56E")</f>
        <v>RD56E</v>
      </c>
      <c r="B47810" s="3" t="str">
        <f>HYPERLINK("https://www.773grp.com/manufacturer/renesas-electronics-america-inc?pageNo=667", "Renesas Electronics")</f>
        <v>Renesas Electronics</v>
      </c>
      <c r="C47810" s="6">
        <v>19900</v>
      </c>
      <c r="D47810" s="7">
        <v>0.23</v>
      </c>
    </row>
    <row r="47811" spans="1:4" x14ac:dyDescent="0.25">
      <c r="A47811" t="str">
        <f>HYPERLINK("https://www.773grp.com/globalSearch/RD56E-AZ/page-1", "RD56E-AZ")</f>
        <v>RD56E-AZ</v>
      </c>
      <c r="B47811" s="3" t="str">
        <f>HYPERLINK("https://www.773grp.com/manufacturer/renesas-electronics-america-inc?pageNo=668", "Renesas Electronics")</f>
        <v>Renesas Electronics</v>
      </c>
      <c r="C47811" s="6">
        <v>980</v>
      </c>
      <c r="D47811" s="7">
        <v>0.23</v>
      </c>
    </row>
    <row r="47812" spans="1:4" x14ac:dyDescent="0.25">
      <c r="A47812" t="str">
        <f>HYPERLINK("https://www.773grp.com/globalSearch/RD56E-T1/page-1", "RD56E-T1")</f>
        <v>RD56E-T1</v>
      </c>
      <c r="B47812" s="3" t="str">
        <f>HYPERLINK("https://www.773grp.com/manufacturer/renesas-electronics-america-inc?pageNo=669", "Renesas Electronics")</f>
        <v>Renesas Electronics</v>
      </c>
      <c r="C47812" s="6">
        <v>34000</v>
      </c>
      <c r="D47812" s="7">
        <v>0.23</v>
      </c>
    </row>
    <row r="47813" spans="1:4" x14ac:dyDescent="0.25">
      <c r="A47813" t="str">
        <f>HYPERLINK("https://www.773grp.com/globalSearch/RD56E-T1-AZ/page-1", "RD56E-T1-AZ")</f>
        <v>RD56E-T1-AZ</v>
      </c>
      <c r="B47813" s="3" t="str">
        <f>HYPERLINK("https://www.773grp.com/manufacturer/renesas-electronics-america-inc?pageNo=670", "Renesas Electronics")</f>
        <v>Renesas Electronics</v>
      </c>
      <c r="C47813" s="6">
        <v>34000</v>
      </c>
      <c r="D47813" s="7">
        <v>0.23</v>
      </c>
    </row>
    <row r="47814" spans="1:4" x14ac:dyDescent="0.25">
      <c r="A47814" t="str">
        <f>HYPERLINK("https://www.773grp.com/globalSearch/RD56E-T4-AZ/page-1", "RD56E-T4-AZ")</f>
        <v>RD56E-T4-AZ</v>
      </c>
      <c r="B47814" s="3" t="str">
        <f>HYPERLINK("https://www.773grp.com/manufacturer/renesas-electronics-america-inc?pageNo=671", "Renesas Electronics")</f>
        <v>Renesas Electronics</v>
      </c>
      <c r="C47814" s="6">
        <v>15000</v>
      </c>
      <c r="D47814" s="7">
        <v>0.23</v>
      </c>
    </row>
    <row r="47815" spans="1:4" x14ac:dyDescent="0.25">
      <c r="A47815" t="str">
        <f>HYPERLINK("https://www.773grp.com/globalSearch/RD6.2E(N)-T1/page-1", "RD6.2E(N)-T1")</f>
        <v>RD6.2E(N)-T1</v>
      </c>
      <c r="B47815" s="3" t="str">
        <f>HYPERLINK("https://www.773grp.com/manufacturer/renesas-electronics-america-inc?pageNo=672", "Renesas Electronics")</f>
        <v>Renesas Electronics</v>
      </c>
      <c r="C47815" s="6">
        <v>26000</v>
      </c>
      <c r="D47815" s="7">
        <v>0.23</v>
      </c>
    </row>
    <row r="47816" spans="1:4" x14ac:dyDescent="0.25">
      <c r="A47816" t="str">
        <f>HYPERLINK("https://www.773grp.com/globalSearch/RD6.2E(N)-T2/page-1", "RD6.2E(N)-T2")</f>
        <v>RD6.2E(N)-T2</v>
      </c>
      <c r="B47816" s="3" t="str">
        <f>HYPERLINK("https://www.773grp.com/manufacturer/renesas-electronics-america-inc?pageNo=673", "Renesas Electronics")</f>
        <v>Renesas Electronics</v>
      </c>
      <c r="C47816" s="6">
        <v>10000</v>
      </c>
      <c r="D47816" s="7">
        <v>0.23</v>
      </c>
    </row>
    <row r="47817" spans="1:4" x14ac:dyDescent="0.25">
      <c r="A47817" t="str">
        <f>HYPERLINK("https://www.773grp.com/globalSearch/RD6.2E(N)-T4/page-1", "RD6.2E(N)-T4")</f>
        <v>RD6.2E(N)-T4</v>
      </c>
      <c r="B47817" s="3" t="str">
        <f>HYPERLINK("https://www.773grp.com/manufacturer/renesas-electronics-america-inc?pageNo=674", "Renesas Electronics")</f>
        <v>Renesas Electronics</v>
      </c>
      <c r="C47817" s="6">
        <v>25000</v>
      </c>
      <c r="D47817" s="7">
        <v>0.23</v>
      </c>
    </row>
    <row r="47818" spans="1:4" x14ac:dyDescent="0.25">
      <c r="A47818" t="str">
        <f>HYPERLINK("https://www.773grp.com/globalSearch/RD6.8E(N)-T1/page-1", "RD6.8E(N)-T1")</f>
        <v>RD6.8E(N)-T1</v>
      </c>
      <c r="B47818" s="3" t="str">
        <f>HYPERLINK("https://www.773grp.com/manufacturer/renesas-electronics-america-inc?pageNo=675", "Renesas Electronics")</f>
        <v>Renesas Electronics</v>
      </c>
      <c r="C47818" s="6">
        <v>2000</v>
      </c>
      <c r="D47818" s="7">
        <v>0.23</v>
      </c>
    </row>
    <row r="47819" spans="1:4" x14ac:dyDescent="0.25">
      <c r="A47819" t="str">
        <f>HYPERLINK("https://www.773grp.com/globalSearch/RD6.8ES(2)-T1-AZ/page-1", "RD6.8ES(2)-T1-AZ")</f>
        <v>RD6.8ES(2)-T1-AZ</v>
      </c>
      <c r="B47819" s="3" t="str">
        <f>HYPERLINK("https://www.773grp.com/manufacturer/renesas-electronics-america-inc?pageNo=676", "Renesas Electronics")</f>
        <v>Renesas Electronics</v>
      </c>
      <c r="C47819" s="6">
        <v>880000</v>
      </c>
      <c r="D47819" s="7">
        <v>0.23</v>
      </c>
    </row>
    <row r="47820" spans="1:4" x14ac:dyDescent="0.25">
      <c r="A47820" t="str">
        <f>HYPERLINK("https://www.773grp.com/globalSearch/RD62E/page-1", "RD62E")</f>
        <v>RD62E</v>
      </c>
      <c r="B47820" s="3" t="str">
        <f>HYPERLINK("https://www.773grp.com/manufacturer/renesas-electronics-america-inc?pageNo=677", "Renesas Electronics")</f>
        <v>Renesas Electronics</v>
      </c>
      <c r="C47820" s="6">
        <v>3500</v>
      </c>
      <c r="D47820" s="7">
        <v>0.23</v>
      </c>
    </row>
    <row r="47821" spans="1:4" x14ac:dyDescent="0.25">
      <c r="A47821" t="str">
        <f>HYPERLINK("https://www.773grp.com/globalSearch/RD62E-T4-AZ/page-1", "RD62E-T4-AZ")</f>
        <v>RD62E-T4-AZ</v>
      </c>
      <c r="B47821" s="3" t="str">
        <f>HYPERLINK("https://www.773grp.com/manufacturer/renesas-electronics-america-inc?pageNo=678", "Renesas Electronics")</f>
        <v>Renesas Electronics</v>
      </c>
      <c r="C47821" s="6">
        <v>30000</v>
      </c>
      <c r="D47821" s="7">
        <v>0.23</v>
      </c>
    </row>
    <row r="47822" spans="1:4" x14ac:dyDescent="0.25">
      <c r="A47822" t="str">
        <f>HYPERLINK("https://www.773grp.com/globalSearch/RD68E/page-1", "RD68E")</f>
        <v>RD68E</v>
      </c>
      <c r="B47822" s="3" t="str">
        <f>HYPERLINK("https://www.773grp.com/manufacturer/renesas-electronics-america-inc?pageNo=679", "Renesas Electronics")</f>
        <v>Renesas Electronics</v>
      </c>
      <c r="C47822" s="6">
        <v>14350</v>
      </c>
      <c r="D47822" s="7">
        <v>0.23</v>
      </c>
    </row>
    <row r="47823" spans="1:4" x14ac:dyDescent="0.25">
      <c r="A47823" t="str">
        <f>HYPERLINK("https://www.773grp.com/globalSearch/RD68E-AZ/page-1", "RD68E-AZ")</f>
        <v>RD68E-AZ</v>
      </c>
      <c r="B47823" s="3" t="str">
        <f>HYPERLINK("https://www.773grp.com/manufacturer/renesas-electronics-america-inc?pageNo=680", "Renesas Electronics")</f>
        <v>Renesas Electronics</v>
      </c>
      <c r="C47823" s="6">
        <v>4100</v>
      </c>
      <c r="D47823" s="7">
        <v>0.23</v>
      </c>
    </row>
    <row r="47824" spans="1:4" x14ac:dyDescent="0.25">
      <c r="A47824" t="str">
        <f>HYPERLINK("https://www.773grp.com/globalSearch/RD68E-T1/page-1", "RD68E-T1")</f>
        <v>RD68E-T1</v>
      </c>
      <c r="B47824" s="3" t="str">
        <f>HYPERLINK("https://www.773grp.com/manufacturer/renesas-electronics-america-inc?pageNo=681", "Renesas Electronics")</f>
        <v>Renesas Electronics</v>
      </c>
      <c r="C47824" s="6">
        <v>14000</v>
      </c>
      <c r="D47824" s="7">
        <v>0.23</v>
      </c>
    </row>
    <row r="47825" spans="1:4" x14ac:dyDescent="0.25">
      <c r="A47825" t="str">
        <f>HYPERLINK("https://www.773grp.com/globalSearch/RD68E-T4-AZ/page-1", "RD68E-T4-AZ")</f>
        <v>RD68E-T4-AZ</v>
      </c>
      <c r="B47825" s="3" t="str">
        <f>HYPERLINK("https://www.773grp.com/manufacturer/renesas-electronics-america-inc?pageNo=682", "Renesas Electronics")</f>
        <v>Renesas Electronics</v>
      </c>
      <c r="C47825" s="6">
        <v>10000</v>
      </c>
      <c r="D47825" s="7">
        <v>0.23</v>
      </c>
    </row>
    <row r="47826" spans="1:4" x14ac:dyDescent="0.25">
      <c r="A47826" t="str">
        <f>HYPERLINK("https://www.773grp.com/globalSearch/RD75E/page-1", "RD75E")</f>
        <v>RD75E</v>
      </c>
      <c r="B47826" s="3" t="str">
        <f>HYPERLINK("https://www.773grp.com/manufacturer/renesas-electronics-america-inc?pageNo=683", "Renesas Electronics")</f>
        <v>Renesas Electronics</v>
      </c>
      <c r="C47826" s="6">
        <v>414000</v>
      </c>
      <c r="D47826" s="7">
        <v>0.23</v>
      </c>
    </row>
    <row r="47827" spans="1:4" x14ac:dyDescent="0.25">
      <c r="A47827" t="str">
        <f>HYPERLINK("https://www.773grp.com/globalSearch/RD75E-T1/page-1", "RD75E-T1")</f>
        <v>RD75E-T1</v>
      </c>
      <c r="B47827" s="3" t="str">
        <f>HYPERLINK("https://www.773grp.com/manufacturer/renesas-electronics-america-inc?pageNo=684", "Renesas Electronics")</f>
        <v>Renesas Electronics</v>
      </c>
      <c r="C47827" s="6">
        <v>2000</v>
      </c>
      <c r="D47827" s="7">
        <v>0.23</v>
      </c>
    </row>
    <row r="47828" spans="1:4" x14ac:dyDescent="0.25">
      <c r="A47828" t="str">
        <f>HYPERLINK("https://www.773grp.com/globalSearch/RD75E-T4-AZ/page-1", "RD75E-T4-AZ")</f>
        <v>RD75E-T4-AZ</v>
      </c>
      <c r="B47828" s="3" t="str">
        <f>HYPERLINK("https://www.773grp.com/manufacturer/renesas-electronics-america-inc?pageNo=685", "Renesas Electronics")</f>
        <v>Renesas Electronics</v>
      </c>
      <c r="C47828" s="6">
        <v>5000</v>
      </c>
      <c r="D47828" s="7">
        <v>0.23</v>
      </c>
    </row>
    <row r="47829" spans="1:4" x14ac:dyDescent="0.25">
      <c r="A47829" t="str">
        <f>HYPERLINK("https://www.773grp.com/globalSearch/RD75E-TB-AZ/page-1", "RD75E-TB-AZ")</f>
        <v>RD75E-TB-AZ</v>
      </c>
      <c r="B47829" s="3" t="str">
        <f>HYPERLINK("https://www.773grp.com/manufacturer/renesas-electronics-america-inc?pageNo=686", "Renesas Electronics")</f>
        <v>Renesas Electronics</v>
      </c>
      <c r="C47829" s="6">
        <v>17500</v>
      </c>
      <c r="D47829" s="7">
        <v>0.23</v>
      </c>
    </row>
    <row r="47830" spans="1:4" x14ac:dyDescent="0.25">
      <c r="A47830" t="str">
        <f>HYPERLINK("https://www.773grp.com/globalSearch/RD82E/page-1", "RD82E")</f>
        <v>RD82E</v>
      </c>
      <c r="B47830" s="3" t="str">
        <f>HYPERLINK("https://www.773grp.com/manufacturer/renesas-electronics-america-inc?pageNo=687", "Renesas Electronics")</f>
        <v>Renesas Electronics</v>
      </c>
      <c r="C47830" s="6">
        <v>200</v>
      </c>
      <c r="D47830" s="7">
        <v>0.23</v>
      </c>
    </row>
    <row r="47831" spans="1:4" x14ac:dyDescent="0.25">
      <c r="A47831" t="str">
        <f>HYPERLINK("https://www.773grp.com/globalSearch/RD9.1JS(N)-T1/page-1", "RD9.1JS(N)-T1")</f>
        <v>RD9.1JS(N)-T1</v>
      </c>
      <c r="B47831" s="3" t="str">
        <f>HYPERLINK("https://www.773grp.com/manufacturer/renesas-electronics-america-inc?pageNo=688", "Renesas Electronics")</f>
        <v>Renesas Electronics</v>
      </c>
      <c r="C47831" s="6">
        <v>4000</v>
      </c>
      <c r="D47831" s="7">
        <v>0.23</v>
      </c>
    </row>
    <row r="47832" spans="1:4" x14ac:dyDescent="0.25">
      <c r="A47832" t="str">
        <f>HYPERLINK("https://www.773grp.com/globalSearch/RD91E/page-1", "RD91E")</f>
        <v>RD91E</v>
      </c>
      <c r="B47832" s="3" t="str">
        <f>HYPERLINK("https://www.773grp.com/manufacturer/renesas-electronics-america-inc?pageNo=689", "Renesas Electronics")</f>
        <v>Renesas Electronics</v>
      </c>
      <c r="C47832" s="6">
        <v>123370</v>
      </c>
      <c r="D47832" s="7">
        <v>0.23</v>
      </c>
    </row>
    <row r="47833" spans="1:4" x14ac:dyDescent="0.25">
      <c r="A47833" t="str">
        <f>HYPERLINK("https://www.773grp.com/globalSearch/RD91E-AZ/page-1", "RD91E-AZ")</f>
        <v>RD91E-AZ</v>
      </c>
      <c r="B47833" s="3" t="str">
        <f>HYPERLINK("https://www.773grp.com/manufacturer/renesas-electronics-america-inc?pageNo=690", "Renesas Electronics")</f>
        <v>Renesas Electronics</v>
      </c>
      <c r="C47833" s="6">
        <v>3800</v>
      </c>
      <c r="D47833" s="7">
        <v>0.23</v>
      </c>
    </row>
    <row r="47834" spans="1:4" x14ac:dyDescent="0.25">
      <c r="A47834" t="str">
        <f>HYPERLINK("https://www.773grp.com/globalSearch/RKD703KL#R1/page-1", "RKD703KL#R1")</f>
        <v>RKD703KL#R1</v>
      </c>
      <c r="B47834" s="3" t="str">
        <f>HYPERLINK("https://www.773grp.com/manufacturer/renesas-electronics-america-inc?pageNo=691", "Renesas Electronics")</f>
        <v>Renesas Electronics</v>
      </c>
      <c r="C47834" s="6">
        <v>80000</v>
      </c>
      <c r="D47834" s="7">
        <v>0.23</v>
      </c>
    </row>
    <row r="47835" spans="1:4" x14ac:dyDescent="0.25">
      <c r="A47835" t="str">
        <f>HYPERLINK("https://www.773grp.com/globalSearch/RKH0125AKF#P1/page-1", "RKH0125AKF#P1")</f>
        <v>RKH0125AKF#P1</v>
      </c>
      <c r="B47835" s="3" t="str">
        <f>HYPERLINK("https://www.773grp.com/manufacturer/renesas-electronics-america-inc?pageNo=692", "Renesas Electronics")</f>
        <v>Renesas Electronics</v>
      </c>
      <c r="C47835" s="6">
        <v>39000</v>
      </c>
      <c r="D47835" s="7">
        <v>0.23</v>
      </c>
    </row>
    <row r="47836" spans="1:4" x14ac:dyDescent="0.25">
      <c r="A47836" t="str">
        <f>HYPERLINK("https://www.773grp.com/globalSearch/RKZ12B2KL#R1/page-1", "RKZ12B2KL#R1")</f>
        <v>RKZ12B2KL#R1</v>
      </c>
      <c r="B47836" s="3" t="str">
        <f>HYPERLINK("https://www.773grp.com/manufacturer/renesas-electronics-america-inc?pageNo=693", "Renesas Electronics")</f>
        <v>Renesas Electronics</v>
      </c>
      <c r="C47836" s="6">
        <v>70000</v>
      </c>
      <c r="D47836" s="7">
        <v>0.23</v>
      </c>
    </row>
    <row r="47837" spans="1:4" x14ac:dyDescent="0.25">
      <c r="A47837" t="str">
        <f>HYPERLINK("https://www.773grp.com/globalSearch/RKZ13B2KK#R1/page-1", "RKZ13B2KK#R1")</f>
        <v>RKZ13B2KK#R1</v>
      </c>
      <c r="B47837" s="3" t="str">
        <f>HYPERLINK("https://www.773grp.com/manufacturer/renesas-electronics-america-inc?pageNo=694", "Renesas Electronics")</f>
        <v>Renesas Electronics</v>
      </c>
      <c r="C47837" s="6">
        <v>8000</v>
      </c>
      <c r="D47837" s="7">
        <v>0.23</v>
      </c>
    </row>
    <row r="47838" spans="1:4" x14ac:dyDescent="0.25">
      <c r="A47838" t="str">
        <f>HYPERLINK("https://www.773grp.com/globalSearch/RKZ2.0BKL#R1/page-1", "RKZ2.0BKL#R1")</f>
        <v>RKZ2.0BKL#R1</v>
      </c>
      <c r="B47838" s="3" t="str">
        <f>HYPERLINK("https://www.773grp.com/manufacturer/renesas-electronics-america-inc?pageNo=695", "Renesas Electronics")</f>
        <v>Renesas Electronics</v>
      </c>
      <c r="C47838" s="6">
        <v>270000</v>
      </c>
      <c r="D47838" s="7">
        <v>0.23</v>
      </c>
    </row>
    <row r="47839" spans="1:4" x14ac:dyDescent="0.25">
      <c r="A47839" t="str">
        <f>HYPERLINK("https://www.773grp.com/globalSearch/RKZ2.7B2KK#R1/page-1", "RKZ2.7B2KK#R1")</f>
        <v>RKZ2.7B2KK#R1</v>
      </c>
      <c r="B47839" s="3" t="str">
        <f>HYPERLINK("https://www.773grp.com/manufacturer/renesas-electronics-america-inc?pageNo=696", "Renesas Electronics")</f>
        <v>Renesas Electronics</v>
      </c>
      <c r="C47839" s="6">
        <v>72000</v>
      </c>
      <c r="D47839" s="7">
        <v>0.23</v>
      </c>
    </row>
    <row r="47840" spans="1:4" x14ac:dyDescent="0.25">
      <c r="A47840" t="str">
        <f>HYPERLINK("https://www.773grp.com/globalSearch/RKZ3.9B2KL#R1/page-1", "RKZ3.9B2KL#R1")</f>
        <v>RKZ3.9B2KL#R1</v>
      </c>
      <c r="B47840" s="3" t="str">
        <f>HYPERLINK("https://www.773grp.com/manufacturer/renesas-electronics-america-inc?pageNo=697", "Renesas Electronics")</f>
        <v>Renesas Electronics</v>
      </c>
      <c r="C47840" s="6">
        <v>50000</v>
      </c>
      <c r="D47840" s="7">
        <v>0.23</v>
      </c>
    </row>
    <row r="47841" spans="1:4" x14ac:dyDescent="0.25">
      <c r="A47841" t="str">
        <f>HYPERLINK("https://www.773grp.com/globalSearch/RKZ33BKL#R1/page-1", "RKZ33BKL#R1")</f>
        <v>RKZ33BKL#R1</v>
      </c>
      <c r="B47841" s="3" t="str">
        <f>HYPERLINK("https://www.773grp.com/manufacturer/renesas-electronics-america-inc?pageNo=698", "Renesas Electronics")</f>
        <v>Renesas Electronics</v>
      </c>
      <c r="C47841" s="6">
        <v>210000</v>
      </c>
      <c r="D47841" s="7">
        <v>0.23</v>
      </c>
    </row>
    <row r="47842" spans="1:4" x14ac:dyDescent="0.25">
      <c r="A47842" t="str">
        <f>HYPERLINK("https://www.773grp.com/globalSearch/RKZ36BKL#R6/page-1", "RKZ36BKL#R6")</f>
        <v>RKZ36BKL#R6</v>
      </c>
      <c r="B47842" s="3" t="str">
        <f>HYPERLINK("https://www.773grp.com/manufacturer/renesas-electronics-america-inc?pageNo=699", "Renesas Electronics")</f>
        <v>Renesas Electronics</v>
      </c>
      <c r="C47842" s="6">
        <v>140000</v>
      </c>
      <c r="D47842" s="7">
        <v>0.23</v>
      </c>
    </row>
    <row r="47843" spans="1:4" x14ac:dyDescent="0.25">
      <c r="A47843" t="str">
        <f>HYPERLINK("https://www.773grp.com/globalSearch/RKZ4.7B2KL#R1/page-1", "RKZ4.7B2KL#R1")</f>
        <v>RKZ4.7B2KL#R1</v>
      </c>
      <c r="B47843" s="3" t="str">
        <f>HYPERLINK("https://www.773grp.com/manufacturer/renesas-electronics-america-inc?pageNo=700", "Renesas Electronics")</f>
        <v>Renesas Electronics</v>
      </c>
      <c r="C47843" s="6">
        <v>110000</v>
      </c>
      <c r="D47843" s="7">
        <v>0.23</v>
      </c>
    </row>
    <row r="47844" spans="1:4" x14ac:dyDescent="0.25">
      <c r="A47844" t="str">
        <f>HYPERLINK("https://www.773grp.com/globalSearch/RKZ5.1B2KK#R1/page-1", "RKZ5.1B2KK#R1")</f>
        <v>RKZ5.1B2KK#R1</v>
      </c>
      <c r="B47844" s="3" t="str">
        <f>HYPERLINK("https://www.773grp.com/manufacturer/renesas-electronics-america-inc?pageNo=701", "Renesas Electronics")</f>
        <v>Renesas Electronics</v>
      </c>
      <c r="C47844" s="6">
        <v>120000</v>
      </c>
      <c r="D47844" s="7">
        <v>0.23</v>
      </c>
    </row>
    <row r="47845" spans="1:4" x14ac:dyDescent="0.25">
      <c r="A47845" t="str">
        <f>HYPERLINK("https://www.773grp.com/globalSearch/RKZ5.1B2KL#R1/page-1", "RKZ5.1B2KL#R1")</f>
        <v>RKZ5.1B2KL#R1</v>
      </c>
      <c r="B47845" s="3" t="str">
        <f>HYPERLINK("https://www.773grp.com/manufacturer/renesas-electronics-america-inc?pageNo=702", "Renesas Electronics")</f>
        <v>Renesas Electronics</v>
      </c>
      <c r="C47845" s="6">
        <v>200000</v>
      </c>
      <c r="D47845" s="7">
        <v>0.23</v>
      </c>
    </row>
    <row r="47846" spans="1:4" x14ac:dyDescent="0.25">
      <c r="A47846" t="str">
        <f>HYPERLINK("https://www.773grp.com/globalSearch/RKZ6.8BKP#R5/page-1", "RKZ6.8BKP#R5")</f>
        <v>RKZ6.8BKP#R5</v>
      </c>
      <c r="B47846" s="3" t="str">
        <f>HYPERLINK("https://www.773grp.com/manufacturer/renesas-electronics-america-inc?pageNo=703", "Renesas Electronics")</f>
        <v>Renesas Electronics</v>
      </c>
      <c r="C47846" s="6">
        <v>10000</v>
      </c>
      <c r="D47846" s="7">
        <v>0.23</v>
      </c>
    </row>
    <row r="47847" spans="1:4" x14ac:dyDescent="0.25">
      <c r="A47847" t="str">
        <f>HYPERLINK("https://www.773grp.com/globalSearch/1S953-T1/page-1", "1S953-T1")</f>
        <v>1S953-T1</v>
      </c>
      <c r="B47847" s="3" t="str">
        <f>HYPERLINK("https://www.773grp.com/manufacturer/renesas-electronics-america-inc?pageNo=704", "Renesas Electronics")</f>
        <v>Renesas Electronics</v>
      </c>
      <c r="C47847" s="6">
        <v>40000</v>
      </c>
      <c r="D47847" s="7">
        <v>0.28000000000000003</v>
      </c>
    </row>
    <row r="47848" spans="1:4" x14ac:dyDescent="0.25">
      <c r="A47848" t="str">
        <f>HYPERLINK("https://www.773grp.com/globalSearch/1S953-T1-AZ/page-1", "1S953-T1-AZ")</f>
        <v>1S953-T1-AZ</v>
      </c>
      <c r="B47848" s="3" t="str">
        <f>HYPERLINK("https://www.773grp.com/manufacturer/renesas-electronics-america-inc?pageNo=705", "Renesas Electronics")</f>
        <v>Renesas Electronics</v>
      </c>
      <c r="C47848" s="6">
        <v>60160</v>
      </c>
      <c r="D47848" s="7">
        <v>0.28000000000000003</v>
      </c>
    </row>
    <row r="47849" spans="1:4" x14ac:dyDescent="0.25">
      <c r="A47849" t="str">
        <f>HYPERLINK("https://www.773grp.com/globalSearch/1S953-T2/page-1", "1S953-T2")</f>
        <v>1S953-T2</v>
      </c>
      <c r="B47849" s="3" t="str">
        <f>HYPERLINK("https://www.773grp.com/manufacturer/renesas-electronics-america-inc?pageNo=706", "Renesas Electronics")</f>
        <v>Renesas Electronics</v>
      </c>
      <c r="C47849" s="6">
        <v>24000</v>
      </c>
      <c r="D47849" s="7">
        <v>0.28000000000000003</v>
      </c>
    </row>
    <row r="47850" spans="1:4" x14ac:dyDescent="0.25">
      <c r="A47850" t="str">
        <f>HYPERLINK("https://www.773grp.com/globalSearch/1S953-T2-AZ/page-1", "1S953-T2-AZ")</f>
        <v>1S953-T2-AZ</v>
      </c>
      <c r="B47850" s="3" t="str">
        <f>HYPERLINK("https://www.773grp.com/manufacturer/renesas-electronics-america-inc?pageNo=707", "Renesas Electronics")</f>
        <v>Renesas Electronics</v>
      </c>
      <c r="C47850" s="6">
        <v>25000</v>
      </c>
      <c r="D47850" s="7">
        <v>0.28000000000000003</v>
      </c>
    </row>
    <row r="47851" spans="1:4" x14ac:dyDescent="0.25">
      <c r="A47851" t="str">
        <f>HYPERLINK("https://www.773grp.com/globalSearch/1S953-T4-AZ/page-1", "1S953-T4-AZ")</f>
        <v>1S953-T4-AZ</v>
      </c>
      <c r="B47851" s="3" t="str">
        <f>HYPERLINK("https://www.773grp.com/manufacturer/renesas-electronics-america-inc?pageNo=708", "Renesas Electronics")</f>
        <v>Renesas Electronics</v>
      </c>
      <c r="C47851" s="6">
        <v>395000</v>
      </c>
      <c r="D47851" s="7">
        <v>0.28000000000000003</v>
      </c>
    </row>
    <row r="47852" spans="1:4" x14ac:dyDescent="0.25">
      <c r="A47852" t="str">
        <f>HYPERLINK("https://www.773grp.com/globalSearch/1S953-TB/page-1", "1S953-TB")</f>
        <v>1S953-TB</v>
      </c>
      <c r="B47852" s="3" t="str">
        <f>HYPERLINK("https://www.773grp.com/manufacturer/renesas-electronics-america-inc?pageNo=709", "Renesas Electronics")</f>
        <v>Renesas Electronics</v>
      </c>
      <c r="C47852" s="6">
        <v>30000</v>
      </c>
      <c r="D47852" s="7">
        <v>0.28000000000000003</v>
      </c>
    </row>
    <row r="47853" spans="1:4" x14ac:dyDescent="0.25">
      <c r="A47853" t="str">
        <f>HYPERLINK("https://www.773grp.com/globalSearch/1S953-TB-AZ/page-1", "1S953-TB-AZ")</f>
        <v>1S953-TB-AZ</v>
      </c>
      <c r="B47853" s="3" t="str">
        <f>HYPERLINK("https://www.773grp.com/manufacturer/renesas-electronics-america-inc?pageNo=710", "Renesas Electronics")</f>
        <v>Renesas Electronics</v>
      </c>
      <c r="C47853" s="6">
        <v>17500</v>
      </c>
      <c r="D47853" s="7">
        <v>0.28000000000000003</v>
      </c>
    </row>
    <row r="47854" spans="1:4" x14ac:dyDescent="0.25">
      <c r="A47854" t="str">
        <f>HYPERLINK("https://www.773grp.com/globalSearch/1SS54/page-1", "1SS54")</f>
        <v>1SS54</v>
      </c>
      <c r="B47854" s="3" t="str">
        <f>HYPERLINK("https://www.773grp.com/manufacturer/renesas-electronics-america-inc?pageNo=711", "Renesas Electronics")</f>
        <v>Renesas Electronics</v>
      </c>
      <c r="C47854" s="6">
        <v>500</v>
      </c>
      <c r="D47854" s="7">
        <v>0.28000000000000003</v>
      </c>
    </row>
    <row r="47855" spans="1:4" x14ac:dyDescent="0.25">
      <c r="A47855" t="str">
        <f>HYPERLINK("https://www.773grp.com/globalSearch/1SS54-TB/page-1", "1SS54-TB")</f>
        <v>1SS54-TB</v>
      </c>
      <c r="B47855" s="3" t="str">
        <f>HYPERLINK("https://www.773grp.com/manufacturer/renesas-electronics-america-inc?pageNo=712", "Renesas Electronics")</f>
        <v>Renesas Electronics</v>
      </c>
      <c r="C47855" s="6">
        <v>2500</v>
      </c>
      <c r="D47855" s="7">
        <v>0.28000000000000003</v>
      </c>
    </row>
    <row r="47856" spans="1:4" x14ac:dyDescent="0.25">
      <c r="A47856" t="str">
        <f>HYPERLINK("https://www.773grp.com/globalSearch/1SS81-E/page-1", "1SS81-E")</f>
        <v>1SS81-E</v>
      </c>
      <c r="B47856" s="3" t="str">
        <f>HYPERLINK("https://www.773grp.com/manufacturer/renesas-electronics-america-inc?pageNo=713", "Renesas Electronics")</f>
        <v>Renesas Electronics</v>
      </c>
      <c r="C47856" s="6">
        <v>59570</v>
      </c>
      <c r="D47856" s="7">
        <v>0.28000000000000003</v>
      </c>
    </row>
    <row r="47857" spans="1:4" x14ac:dyDescent="0.25">
      <c r="A47857" t="str">
        <f>HYPERLINK("https://www.773grp.com/globalSearch/1SS81RE-E/page-1", "1SS81RE-E")</f>
        <v>1SS81RE-E</v>
      </c>
      <c r="B47857" s="3" t="str">
        <f>HYPERLINK("https://www.773grp.com/manufacturer/renesas-electronics-america-inc?pageNo=714", "Renesas Electronics")</f>
        <v>Renesas Electronics</v>
      </c>
      <c r="C47857" s="6">
        <v>140000</v>
      </c>
      <c r="D47857" s="7">
        <v>0.28000000000000003</v>
      </c>
    </row>
    <row r="47858" spans="1:4" x14ac:dyDescent="0.25">
      <c r="A47858" t="str">
        <f>HYPERLINK("https://www.773grp.com/globalSearch/1SS82RE-E/page-1", "1SS82RE-E")</f>
        <v>1SS82RE-E</v>
      </c>
      <c r="B47858" s="3" t="str">
        <f>HYPERLINK("https://www.773grp.com/manufacturer/renesas-electronics-america-inc?pageNo=715", "Renesas Electronics")</f>
        <v>Renesas Electronics</v>
      </c>
      <c r="C47858" s="6">
        <v>72000</v>
      </c>
      <c r="D47858" s="7">
        <v>0.28000000000000003</v>
      </c>
    </row>
    <row r="47859" spans="1:4" x14ac:dyDescent="0.25">
      <c r="A47859" t="str">
        <f>HYPERLINK("https://www.773grp.com/globalSearch/1SS83/page-1", "1SS83")</f>
        <v>1SS83</v>
      </c>
      <c r="B47859" s="3" t="str">
        <f>HYPERLINK("https://www.773grp.com/manufacturer/renesas-electronics-america-inc?pageNo=716", "Renesas Electronics")</f>
        <v>Renesas Electronics</v>
      </c>
      <c r="C47859" s="6">
        <v>8832</v>
      </c>
      <c r="D47859" s="7">
        <v>0.28000000000000003</v>
      </c>
    </row>
    <row r="47860" spans="1:4" x14ac:dyDescent="0.25">
      <c r="A47860" t="str">
        <f>HYPERLINK("https://www.773grp.com/globalSearch/2SD655ETZ-E/page-1", "2SD655ETZ-E")</f>
        <v>2SD655ETZ-E</v>
      </c>
      <c r="B47860" s="3" t="str">
        <f>HYPERLINK("https://www.773grp.com/manufacturer/renesas-electronics-america-inc?pageNo=717", "Renesas Electronics")</f>
        <v>Renesas Electronics</v>
      </c>
      <c r="C47860" s="6">
        <v>20000</v>
      </c>
      <c r="D47860" s="7">
        <v>0.28000000000000003</v>
      </c>
    </row>
    <row r="47861" spans="1:4" x14ac:dyDescent="0.25">
      <c r="A47861" t="str">
        <f>HYPERLINK("https://www.773grp.com/globalSearch/HRD0103CKRF-E/page-1", "HRD0103CKRF-E")</f>
        <v>HRD0103CKRF-E</v>
      </c>
      <c r="B47861" s="3" t="str">
        <f>HYPERLINK("https://www.773grp.com/manufacturer/renesas-electronics-america-inc?pageNo=718", "Renesas Electronics")</f>
        <v>Renesas Electronics</v>
      </c>
      <c r="C47861" s="6">
        <v>96000</v>
      </c>
      <c r="D47861" s="7">
        <v>0.28000000000000003</v>
      </c>
    </row>
    <row r="47862" spans="1:4" x14ac:dyDescent="0.25">
      <c r="A47862" t="str">
        <f>HYPERLINK("https://www.773grp.com/globalSearch/HSC276ATRF-E/page-1", "HSC276ATRF-E")</f>
        <v>HSC276ATRF-E</v>
      </c>
      <c r="B47862" s="3" t="str">
        <f>HYPERLINK("https://www.773grp.com/manufacturer/renesas-electronics-america-inc?pageNo=719", "Renesas Electronics")</f>
        <v>Renesas Electronics</v>
      </c>
      <c r="C47862" s="6">
        <v>44000</v>
      </c>
      <c r="D47862" s="7">
        <v>0.28000000000000003</v>
      </c>
    </row>
    <row r="47863" spans="1:4" x14ac:dyDescent="0.25">
      <c r="A47863" t="str">
        <f>HYPERLINK("https://www.773grp.com/globalSearch/HSC277-7TRF-E/page-1", "HSC277-7TRF-E")</f>
        <v>HSC277-7TRF-E</v>
      </c>
      <c r="B47863" s="3" t="str">
        <f>HYPERLINK("https://www.773grp.com/manufacturer/renesas-electronics-america-inc?pageNo=720", "Renesas Electronics")</f>
        <v>Renesas Electronics</v>
      </c>
      <c r="C47863" s="6">
        <v>80000</v>
      </c>
      <c r="D47863" s="7">
        <v>0.28000000000000003</v>
      </c>
    </row>
    <row r="47864" spans="1:4" x14ac:dyDescent="0.25">
      <c r="A47864" t="str">
        <f>HYPERLINK("https://www.773grp.com/globalSearch/HSD119KRF-E/page-1", "HSD119KRF-E")</f>
        <v>HSD119KRF-E</v>
      </c>
      <c r="B47864" s="3" t="str">
        <f>HYPERLINK("https://www.773grp.com/manufacturer/renesas-electronics-america-inc?pageNo=721", "Renesas Electronics")</f>
        <v>Renesas Electronics</v>
      </c>
      <c r="C47864" s="6">
        <v>152000</v>
      </c>
      <c r="D47864" s="7">
        <v>0.28000000000000003</v>
      </c>
    </row>
    <row r="47865" spans="1:4" x14ac:dyDescent="0.25">
      <c r="A47865" t="str">
        <f>HYPERLINK("https://www.773grp.com/globalSearch/HSL226-NKRF-E/page-1", "HSL226-NKRF-E")</f>
        <v>HSL226-NKRF-E</v>
      </c>
      <c r="B47865" s="3" t="str">
        <f>HYPERLINK("https://www.773grp.com/manufacturer/renesas-electronics-america-inc?pageNo=722", "Renesas Electronics")</f>
        <v>Renesas Electronics</v>
      </c>
      <c r="C47865" s="6">
        <v>70000</v>
      </c>
      <c r="D47865" s="7">
        <v>0.28000000000000003</v>
      </c>
    </row>
    <row r="47866" spans="1:4" x14ac:dyDescent="0.25">
      <c r="A47866" t="str">
        <f>HYPERLINK("https://www.773grp.com/globalSearch/HSS104-02TA-E/page-1", "HSS104-02TA-E")</f>
        <v>HSS104-02TA-E</v>
      </c>
      <c r="B47866" s="3" t="str">
        <f>HYPERLINK("https://www.773grp.com/manufacturer/renesas-electronics-america-inc?pageNo=723", "Renesas Electronics")</f>
        <v>Renesas Electronics</v>
      </c>
      <c r="C47866" s="6">
        <v>5000</v>
      </c>
      <c r="D47866" s="7">
        <v>0.28000000000000003</v>
      </c>
    </row>
    <row r="47867" spans="1:4" x14ac:dyDescent="0.25">
      <c r="A47867" t="str">
        <f>HYPERLINK("https://www.773grp.com/globalSearch/HSS104-02TE-E/page-1", "HSS104-02TE-E")</f>
        <v>HSS104-02TE-E</v>
      </c>
      <c r="B47867" s="3" t="str">
        <f>HYPERLINK("https://www.773grp.com/manufacturer/renesas-electronics-america-inc?pageNo=724", "Renesas Electronics")</f>
        <v>Renesas Electronics</v>
      </c>
      <c r="C47867" s="6">
        <v>70000</v>
      </c>
      <c r="D47867" s="7">
        <v>0.28000000000000003</v>
      </c>
    </row>
    <row r="47868" spans="1:4" x14ac:dyDescent="0.25">
      <c r="A47868" t="str">
        <f>HYPERLINK("https://www.773grp.com/globalSearch/HSS81-E/page-1", "HSS81-E")</f>
        <v>HSS81-E</v>
      </c>
      <c r="B47868" s="3" t="str">
        <f>HYPERLINK("https://www.773grp.com/manufacturer/renesas-electronics-america-inc?pageNo=725", "Renesas Electronics")</f>
        <v>Renesas Electronics</v>
      </c>
      <c r="C47868" s="6">
        <v>82</v>
      </c>
      <c r="D47868" s="7">
        <v>0.28000000000000003</v>
      </c>
    </row>
    <row r="47869" spans="1:4" x14ac:dyDescent="0.25">
      <c r="A47869" t="str">
        <f>HYPERLINK("https://www.773grp.com/globalSearch/HSS81TA-E/page-1", "HSS81TA-E")</f>
        <v>HSS81TA-E</v>
      </c>
      <c r="B47869" s="3" t="str">
        <f>HYPERLINK("https://www.773grp.com/manufacturer/renesas-electronics-america-inc?pageNo=726", "Renesas Electronics")</f>
        <v>Renesas Electronics</v>
      </c>
      <c r="C47869" s="6">
        <v>15000</v>
      </c>
      <c r="D47869" s="7">
        <v>0.28000000000000003</v>
      </c>
    </row>
    <row r="47870" spans="1:4" x14ac:dyDescent="0.25">
      <c r="A47870" t="str">
        <f>HYPERLINK("https://www.773grp.com/globalSearch/HSS83TD-E/page-1", "HSS83TD-E")</f>
        <v>HSS83TD-E</v>
      </c>
      <c r="B47870" s="3" t="str">
        <f>HYPERLINK("https://www.773grp.com/manufacturer/renesas-electronics-america-inc?pageNo=727", "Renesas Electronics")</f>
        <v>Renesas Electronics</v>
      </c>
      <c r="C47870" s="6">
        <v>35000</v>
      </c>
      <c r="D47870" s="7">
        <v>0.28000000000000003</v>
      </c>
    </row>
    <row r="47871" spans="1:4" x14ac:dyDescent="0.25">
      <c r="A47871" t="str">
        <f>HYPERLINK("https://www.773grp.com/globalSearch/HSU119-1URF-E/page-1", "HSU119-1URF-E")</f>
        <v>HSU119-1URF-E</v>
      </c>
      <c r="B47871" s="3" t="str">
        <f>HYPERLINK("https://www.773grp.com/manufacturer/renesas-electronics-america-inc?pageNo=728", "Renesas Electronics")</f>
        <v>Renesas Electronics</v>
      </c>
      <c r="C47871" s="6">
        <v>70000</v>
      </c>
      <c r="D47871" s="7">
        <v>0.28000000000000003</v>
      </c>
    </row>
    <row r="47872" spans="1:4" x14ac:dyDescent="0.25">
      <c r="A47872" t="str">
        <f>HYPERLINK("https://www.773grp.com/globalSearch/HSU119-2TRF-E/page-1", "HSU119-2TRF-E")</f>
        <v>HSU119-2TRF-E</v>
      </c>
      <c r="B47872" s="3" t="str">
        <f>HYPERLINK("https://www.773grp.com/manufacturer/renesas-electronics-america-inc?pageNo=729", "Renesas Electronics")</f>
        <v>Renesas Electronics</v>
      </c>
      <c r="C47872" s="6">
        <v>36000</v>
      </c>
      <c r="D47872" s="7">
        <v>0.28000000000000003</v>
      </c>
    </row>
    <row r="47873" spans="1:4" x14ac:dyDescent="0.25">
      <c r="A47873" t="str">
        <f>HYPERLINK("https://www.773grp.com/globalSearch/HSU227TRF-E/page-1", "HSU227TRF-E")</f>
        <v>HSU227TRF-E</v>
      </c>
      <c r="B47873" s="3" t="str">
        <f>HYPERLINK("https://www.773grp.com/manufacturer/renesas-electronics-america-inc?pageNo=730", "Renesas Electronics")</f>
        <v>Renesas Electronics</v>
      </c>
      <c r="C47873" s="6">
        <v>18000</v>
      </c>
      <c r="D47873" s="7">
        <v>0.28000000000000003</v>
      </c>
    </row>
    <row r="47874" spans="1:4" x14ac:dyDescent="0.25">
      <c r="A47874" t="str">
        <f>HYPERLINK("https://www.773grp.com/globalSearch/HSU83URF-E/page-1", "HSU83URF-E")</f>
        <v>HSU83URF-E</v>
      </c>
      <c r="B47874" s="3" t="str">
        <f>HYPERLINK("https://www.773grp.com/manufacturer/renesas-electronics-america-inc?pageNo=731", "Renesas Electronics")</f>
        <v>Renesas Electronics</v>
      </c>
      <c r="C47874" s="6">
        <v>30000</v>
      </c>
      <c r="D47874" s="7">
        <v>0.28000000000000003</v>
      </c>
    </row>
    <row r="47875" spans="1:4" x14ac:dyDescent="0.25">
      <c r="A47875" t="str">
        <f>HYPERLINK("https://www.773grp.com/globalSearch/HVC306A8TRU-E/page-1", "HVC306A8TRU-E")</f>
        <v>HVC306A8TRU-E</v>
      </c>
      <c r="B47875" s="3" t="str">
        <f>HYPERLINK("https://www.773grp.com/manufacturer/renesas-electronics-america-inc?pageNo=732", "Renesas Electronics")</f>
        <v>Renesas Electronics</v>
      </c>
      <c r="C47875" s="6">
        <v>28000</v>
      </c>
      <c r="D47875" s="7">
        <v>0.28000000000000003</v>
      </c>
    </row>
    <row r="47876" spans="1:4" x14ac:dyDescent="0.25">
      <c r="A47876" t="str">
        <f>HYPERLINK("https://www.773grp.com/globalSearch/HVC350BKRF-E/page-1", "HVC350BKRF-E")</f>
        <v>HVC350BKRF-E</v>
      </c>
      <c r="B47876" s="3" t="str">
        <f>HYPERLINK("https://www.773grp.com/manufacturer/renesas-electronics-america-inc?pageNo=733", "Renesas Electronics")</f>
        <v>Renesas Electronics</v>
      </c>
      <c r="C47876" s="6">
        <v>88000</v>
      </c>
      <c r="D47876" s="7">
        <v>0.28000000000000003</v>
      </c>
    </row>
    <row r="47877" spans="1:4" x14ac:dyDescent="0.25">
      <c r="A47877" t="str">
        <f>HYPERLINK("https://www.773grp.com/globalSearch/HVC417CTRU-E/page-1", "HVC417CTRU-E")</f>
        <v>HVC417CTRU-E</v>
      </c>
      <c r="B47877" s="3" t="str">
        <f>HYPERLINK("https://www.773grp.com/manufacturer/renesas-electronics-america-inc?pageNo=734", "Renesas Electronics")</f>
        <v>Renesas Electronics</v>
      </c>
      <c r="C47877" s="6">
        <v>16000</v>
      </c>
      <c r="D47877" s="7">
        <v>0.28000000000000003</v>
      </c>
    </row>
    <row r="47878" spans="1:4" x14ac:dyDescent="0.25">
      <c r="A47878" t="str">
        <f>HYPERLINK("https://www.773grp.com/globalSearch/HVD131KRF-E/page-1", "HVD131KRF-E")</f>
        <v>HVD131KRF-E</v>
      </c>
      <c r="B47878" s="3" t="str">
        <f>HYPERLINK("https://www.773grp.com/manufacturer/renesas-electronics-america-inc?pageNo=735", "Renesas Electronics")</f>
        <v>Renesas Electronics</v>
      </c>
      <c r="C47878" s="6">
        <v>200000</v>
      </c>
      <c r="D47878" s="7">
        <v>0.28000000000000003</v>
      </c>
    </row>
    <row r="47879" spans="1:4" x14ac:dyDescent="0.25">
      <c r="A47879" t="str">
        <f>HYPERLINK("https://www.773grp.com/globalSearch/HVD133KRF-E/page-1", "HVD133KRF-E")</f>
        <v>HVD133KRF-E</v>
      </c>
      <c r="B47879" s="3" t="str">
        <f>HYPERLINK("https://www.773grp.com/manufacturer/renesas-electronics-america-inc?pageNo=736", "Renesas Electronics")</f>
        <v>Renesas Electronics</v>
      </c>
      <c r="C47879" s="6">
        <v>64000</v>
      </c>
      <c r="D47879" s="7">
        <v>0.28000000000000003</v>
      </c>
    </row>
    <row r="47880" spans="1:4" x14ac:dyDescent="0.25">
      <c r="A47880" t="str">
        <f>HYPERLINK("https://www.773grp.com/globalSearch/HVD326CKRU-E/page-1", "HVD326CKRU-E")</f>
        <v>HVD326CKRU-E</v>
      </c>
      <c r="B47880" s="3" t="str">
        <f>HYPERLINK("https://www.773grp.com/manufacturer/renesas-electronics-america-inc?pageNo=737", "Renesas Electronics")</f>
        <v>Renesas Electronics</v>
      </c>
      <c r="C47880" s="6">
        <v>136000</v>
      </c>
      <c r="D47880" s="7">
        <v>0.28000000000000003</v>
      </c>
    </row>
    <row r="47881" spans="1:4" x14ac:dyDescent="0.25">
      <c r="A47881" t="str">
        <f>HYPERLINK("https://www.773grp.com/globalSearch/HVD368BKRF-E/page-1", "HVD368BKRF-E")</f>
        <v>HVD368BKRF-E</v>
      </c>
      <c r="B47881" s="3" t="str">
        <f>HYPERLINK("https://www.773grp.com/manufacturer/renesas-electronics-america-inc?pageNo=738", "Renesas Electronics")</f>
        <v>Renesas Electronics</v>
      </c>
      <c r="C47881" s="6">
        <v>24000</v>
      </c>
      <c r="D47881" s="7">
        <v>0.28000000000000003</v>
      </c>
    </row>
    <row r="47882" spans="1:4" x14ac:dyDescent="0.25">
      <c r="A47882" t="str">
        <f>HYPERLINK("https://www.773grp.com/globalSearch/HVD385BKRF-E/page-1", "HVD385BKRF-E")</f>
        <v>HVD385BKRF-E</v>
      </c>
      <c r="B47882" s="3" t="str">
        <f>HYPERLINK("https://www.773grp.com/manufacturer/renesas-electronics-america-inc?pageNo=739", "Renesas Electronics")</f>
        <v>Renesas Electronics</v>
      </c>
      <c r="C47882" s="6">
        <v>144000</v>
      </c>
      <c r="D47882" s="7">
        <v>0.28000000000000003</v>
      </c>
    </row>
    <row r="47883" spans="1:4" x14ac:dyDescent="0.25">
      <c r="A47883" t="str">
        <f>HYPERLINK("https://www.773grp.com/globalSearch/HVL142AKRF-E/page-1", "HVL142AKRF-E")</f>
        <v>HVL142AKRF-E</v>
      </c>
      <c r="B47883" s="3" t="str">
        <f>HYPERLINK("https://www.773grp.com/manufacturer/renesas-electronics-america-inc?pageNo=740", "Renesas Electronics")</f>
        <v>Renesas Electronics</v>
      </c>
      <c r="C47883" s="6">
        <v>40000</v>
      </c>
      <c r="D47883" s="7">
        <v>0.28000000000000003</v>
      </c>
    </row>
    <row r="47884" spans="1:4" x14ac:dyDescent="0.25">
      <c r="A47884" t="str">
        <f>HYPERLINK("https://www.773grp.com/globalSearch/HVU202BTRU-E/page-1", "HVU202BTRU-E")</f>
        <v>HVU202BTRU-E</v>
      </c>
      <c r="B47884" s="3" t="str">
        <f>HYPERLINK("https://www.773grp.com/manufacturer/renesas-electronics-america-inc?pageNo=741", "Renesas Electronics")</f>
        <v>Renesas Electronics</v>
      </c>
      <c r="C47884" s="6">
        <v>189000</v>
      </c>
      <c r="D47884" s="7">
        <v>0.28000000000000003</v>
      </c>
    </row>
    <row r="47885" spans="1:4" x14ac:dyDescent="0.25">
      <c r="A47885" t="str">
        <f>HYPERLINK("https://www.773grp.com/globalSearch/HVU350TRF/page-1", "HVU350TRF")</f>
        <v>HVU350TRF</v>
      </c>
      <c r="B47885" s="3" t="str">
        <f>HYPERLINK("https://www.773grp.com/manufacturer/renesas-electronics-america-inc?pageNo=742", "Renesas Electronics")</f>
        <v>Renesas Electronics</v>
      </c>
      <c r="C47885" s="6">
        <v>132000</v>
      </c>
      <c r="D47885" s="7">
        <v>0.28000000000000003</v>
      </c>
    </row>
    <row r="47886" spans="1:4" x14ac:dyDescent="0.25">
      <c r="A47886" t="str">
        <f>HYPERLINK("https://www.773grp.com/globalSearch/HZ20-1L-E/page-1", "HZ20-1L-E")</f>
        <v>HZ20-1L-E</v>
      </c>
      <c r="B47886" s="3" t="str">
        <f>HYPERLINK("https://www.773grp.com/manufacturer/renesas-electronics-america-inc?pageNo=743", "Renesas Electronics")</f>
        <v>Renesas Electronics</v>
      </c>
      <c r="C47886" s="6">
        <v>18000</v>
      </c>
      <c r="D47886" s="7">
        <v>0.28000000000000003</v>
      </c>
    </row>
    <row r="47887" spans="1:4" x14ac:dyDescent="0.25">
      <c r="A47887" t="str">
        <f>HYPERLINK("https://www.773grp.com/globalSearch/HZ20-1LTD-E/page-1", "HZ20-1LTD-E")</f>
        <v>HZ20-1LTD-E</v>
      </c>
      <c r="B47887" s="3" t="str">
        <f>HYPERLINK("https://www.773grp.com/manufacturer/renesas-electronics-america-inc?pageNo=744", "Renesas Electronics")</f>
        <v>Renesas Electronics</v>
      </c>
      <c r="C47887" s="6">
        <v>10000</v>
      </c>
      <c r="D47887" s="7">
        <v>0.28000000000000003</v>
      </c>
    </row>
    <row r="47888" spans="1:4" x14ac:dyDescent="0.25">
      <c r="A47888" t="str">
        <f>HYPERLINK("https://www.773grp.com/globalSearch/HZ20-3LTD-E/page-1", "HZ20-3LTD-E")</f>
        <v>HZ20-3LTD-E</v>
      </c>
      <c r="B47888" s="3" t="str">
        <f>HYPERLINK("https://www.773grp.com/manufacturer/renesas-electronics-america-inc?pageNo=745", "Renesas Electronics")</f>
        <v>Renesas Electronics</v>
      </c>
      <c r="C47888" s="6">
        <v>17500</v>
      </c>
      <c r="D47888" s="7">
        <v>0.28000000000000003</v>
      </c>
    </row>
    <row r="47889" spans="1:4" x14ac:dyDescent="0.25">
      <c r="A47889" t="str">
        <f>HYPERLINK("https://www.773grp.com/globalSearch/HZ27-1LTD-E/page-1", "HZ27-1LTD-E")</f>
        <v>HZ27-1LTD-E</v>
      </c>
      <c r="B47889" s="3" t="str">
        <f>HYPERLINK("https://www.773grp.com/manufacturer/renesas-electronics-america-inc?pageNo=746", "Renesas Electronics")</f>
        <v>Renesas Electronics</v>
      </c>
      <c r="C47889" s="6">
        <v>30000</v>
      </c>
      <c r="D47889" s="7">
        <v>0.28000000000000003</v>
      </c>
    </row>
    <row r="47890" spans="1:4" x14ac:dyDescent="0.25">
      <c r="A47890" t="str">
        <f>HYPERLINK("https://www.773grp.com/globalSearch/HZ27-2L-E/page-1", "HZ27-2L-E")</f>
        <v>HZ27-2L-E</v>
      </c>
      <c r="B47890" s="3" t="str">
        <f>HYPERLINK("https://www.773grp.com/manufacturer/renesas-electronics-america-inc?pageNo=747", "Renesas Electronics")</f>
        <v>Renesas Electronics</v>
      </c>
      <c r="C47890" s="6">
        <v>9000</v>
      </c>
      <c r="D47890" s="7">
        <v>0.28000000000000003</v>
      </c>
    </row>
    <row r="47891" spans="1:4" x14ac:dyDescent="0.25">
      <c r="A47891" t="str">
        <f>HYPERLINK("https://www.773grp.com/globalSearch/HZ30-2LTA-E/page-1", "HZ30-2LTA-E")</f>
        <v>HZ30-2LTA-E</v>
      </c>
      <c r="B47891" s="3" t="str">
        <f>HYPERLINK("https://www.773grp.com/manufacturer/renesas-electronics-america-inc?pageNo=748", "Renesas Electronics")</f>
        <v>Renesas Electronics</v>
      </c>
      <c r="C47891" s="6">
        <v>15000</v>
      </c>
      <c r="D47891" s="7">
        <v>0.28000000000000003</v>
      </c>
    </row>
    <row r="47892" spans="1:4" x14ac:dyDescent="0.25">
      <c r="A47892" t="str">
        <f>HYPERLINK("https://www.773grp.com/globalSearch/HZ30-3LTD-E/page-1", "HZ30-3LTD-E")</f>
        <v>HZ30-3LTD-E</v>
      </c>
      <c r="B47892" s="3" t="str">
        <f>HYPERLINK("https://www.773grp.com/manufacturer/renesas-electronics-america-inc?pageNo=749", "Renesas Electronics")</f>
        <v>Renesas Electronics</v>
      </c>
      <c r="C47892" s="6">
        <v>15000</v>
      </c>
      <c r="D47892" s="7">
        <v>0.28000000000000003</v>
      </c>
    </row>
    <row r="47893" spans="1:4" x14ac:dyDescent="0.25">
      <c r="A47893" t="str">
        <f>HYPERLINK("https://www.773grp.com/globalSearch/HZ36-3LTD-E/page-1", "HZ36-3LTD-E")</f>
        <v>HZ36-3LTD-E</v>
      </c>
      <c r="B47893" s="3" t="str">
        <f>HYPERLINK("https://www.773grp.com/manufacturer/renesas-electronics-america-inc?pageNo=750", "Renesas Electronics")</f>
        <v>Renesas Electronics</v>
      </c>
      <c r="C47893" s="6">
        <v>7500</v>
      </c>
      <c r="D47893" s="7">
        <v>0.28000000000000003</v>
      </c>
    </row>
    <row r="47894" spans="1:4" x14ac:dyDescent="0.25">
      <c r="A47894" t="str">
        <f>HYPERLINK("https://www.773grp.com/globalSearch/HZ3ALLRE-E/page-1", "HZ3ALLRE-E")</f>
        <v>HZ3ALLRE-E</v>
      </c>
      <c r="B47894" s="3" t="str">
        <f>HYPERLINK("https://www.773grp.com/manufacturer/renesas-electronics-america-inc?pageNo=751", "Renesas Electronics")</f>
        <v>Renesas Electronics</v>
      </c>
      <c r="C47894" s="6">
        <v>20000</v>
      </c>
      <c r="D47894" s="7">
        <v>0.28000000000000003</v>
      </c>
    </row>
    <row r="47895" spans="1:4" x14ac:dyDescent="0.25">
      <c r="A47895" t="str">
        <f>HYPERLINK("https://www.773grp.com/globalSearch/HZ3BLLRE-E/page-1", "HZ3BLLRE-E")</f>
        <v>HZ3BLLRE-E</v>
      </c>
      <c r="B47895" s="3" t="str">
        <f>HYPERLINK("https://www.773grp.com/manufacturer/renesas-electronics-america-inc?pageNo=752", "Renesas Electronics")</f>
        <v>Renesas Electronics</v>
      </c>
      <c r="C47895" s="6">
        <v>8000</v>
      </c>
      <c r="D47895" s="7">
        <v>0.28000000000000003</v>
      </c>
    </row>
    <row r="47896" spans="1:4" x14ac:dyDescent="0.25">
      <c r="A47896" t="str">
        <f>HYPERLINK("https://www.773grp.com/globalSearch/HZ3CLLTA-E/page-1", "HZ3CLLTA-E")</f>
        <v>HZ3CLLTA-E</v>
      </c>
      <c r="B47896" s="3" t="str">
        <f>HYPERLINK("https://www.773grp.com/manufacturer/renesas-electronics-america-inc?pageNo=753", "Renesas Electronics")</f>
        <v>Renesas Electronics</v>
      </c>
      <c r="C47896" s="6">
        <v>25000</v>
      </c>
      <c r="D47896" s="7">
        <v>0.28000000000000003</v>
      </c>
    </row>
    <row r="47897" spans="1:4" x14ac:dyDescent="0.25">
      <c r="A47897" t="str">
        <f>HYPERLINK("https://www.773grp.com/globalSearch/HZC2.4TRF-E/page-1", "HZC2.4TRF-E")</f>
        <v>HZC2.4TRF-E</v>
      </c>
      <c r="B47897" s="3" t="str">
        <f>HYPERLINK("https://www.773grp.com/manufacturer/renesas-electronics-america-inc?pageNo=754", "Renesas Electronics")</f>
        <v>Renesas Electronics</v>
      </c>
      <c r="C47897" s="6">
        <v>124000</v>
      </c>
      <c r="D47897" s="7">
        <v>0.28000000000000003</v>
      </c>
    </row>
    <row r="47898" spans="1:4" x14ac:dyDescent="0.25">
      <c r="A47898" t="str">
        <f>HYPERLINK("https://www.773grp.com/globalSearch/HZC27TRF-E/page-1", "HZC27TRF-E")</f>
        <v>HZC27TRF-E</v>
      </c>
      <c r="B47898" s="3" t="str">
        <f>HYPERLINK("https://www.773grp.com/manufacturer/renesas-electronics-america-inc?pageNo=755", "Renesas Electronics")</f>
        <v>Renesas Electronics</v>
      </c>
      <c r="C47898" s="6">
        <v>16000</v>
      </c>
      <c r="D47898" s="7">
        <v>0.28000000000000003</v>
      </c>
    </row>
    <row r="47899" spans="1:4" x14ac:dyDescent="0.25">
      <c r="A47899" t="str">
        <f>HYPERLINK("https://www.773grp.com/globalSearch/HZC36JTRF-E/page-1", "HZC36JTRF-E")</f>
        <v>HZC36JTRF-E</v>
      </c>
      <c r="B47899" s="3" t="str">
        <f>HYPERLINK("https://www.773grp.com/manufacturer/renesas-electronics-america-inc?pageNo=756", "Renesas Electronics")</f>
        <v>Renesas Electronics</v>
      </c>
      <c r="C47899" s="6">
        <v>80000</v>
      </c>
      <c r="D47899" s="7">
        <v>0.28000000000000003</v>
      </c>
    </row>
    <row r="47900" spans="1:4" x14ac:dyDescent="0.25">
      <c r="A47900" t="str">
        <f>HYPERLINK("https://www.773grp.com/globalSearch/HZC7.5JTRF-E/page-1", "HZC7.5JTRF-E")</f>
        <v>HZC7.5JTRF-E</v>
      </c>
      <c r="B47900" s="3" t="str">
        <f>HYPERLINK("https://www.773grp.com/manufacturer/renesas-electronics-america-inc?pageNo=757", "Renesas Electronics")</f>
        <v>Renesas Electronics</v>
      </c>
      <c r="C47900" s="6">
        <v>80000</v>
      </c>
      <c r="D47900" s="7">
        <v>0.28000000000000003</v>
      </c>
    </row>
    <row r="47901" spans="1:4" x14ac:dyDescent="0.25">
      <c r="A47901" t="str">
        <f>HYPERLINK("https://www.773grp.com/globalSearch/HZC9.1TRF-E/page-1", "HZC9.1TRF-E")</f>
        <v>HZC9.1TRF-E</v>
      </c>
      <c r="B47901" s="3" t="str">
        <f>HYPERLINK("https://www.773grp.com/manufacturer/renesas-electronics-america-inc?pageNo=758", "Renesas Electronics")</f>
        <v>Renesas Electronics</v>
      </c>
      <c r="C47901" s="6">
        <v>20000</v>
      </c>
      <c r="D47901" s="7">
        <v>0.28000000000000003</v>
      </c>
    </row>
    <row r="47902" spans="1:4" x14ac:dyDescent="0.25">
      <c r="A47902" t="str">
        <f>HYPERLINK("https://www.773grp.com/globalSearch/HZD6.2Z4KRF-P-E/page-1", "HZD6.2Z4KRF-P-E")</f>
        <v>HZD6.2Z4KRF-P-E</v>
      </c>
      <c r="B47902" s="3" t="str">
        <f>HYPERLINK("https://www.773grp.com/manufacturer/renesas-electronics-america-inc?pageNo=759", "Renesas Electronics")</f>
        <v>Renesas Electronics</v>
      </c>
      <c r="C47902" s="6">
        <v>72000</v>
      </c>
      <c r="D47902" s="7">
        <v>0.28000000000000003</v>
      </c>
    </row>
    <row r="47903" spans="1:4" x14ac:dyDescent="0.25">
      <c r="A47903" t="str">
        <f>HYPERLINK("https://www.773grp.com/globalSearch/HZD6.8Z4KRF-E/page-1", "HZD6.8Z4KRF-E")</f>
        <v>HZD6.8Z4KRF-E</v>
      </c>
      <c r="B47903" s="3" t="str">
        <f>HYPERLINK("https://www.773grp.com/manufacturer/renesas-electronics-america-inc?pageNo=760", "Renesas Electronics")</f>
        <v>Renesas Electronics</v>
      </c>
      <c r="C47903" s="6">
        <v>8000</v>
      </c>
      <c r="D47903" s="7">
        <v>0.28000000000000003</v>
      </c>
    </row>
    <row r="47904" spans="1:4" x14ac:dyDescent="0.25">
      <c r="A47904" t="str">
        <f>HYPERLINK("https://www.773grp.com/globalSearch/HZK2BLLTR-S-E/page-1", "HZK2BLLTR-S-E")</f>
        <v>HZK2BLLTR-S-E</v>
      </c>
      <c r="B47904" s="3" t="str">
        <f>HYPERLINK("https://www.773grp.com/manufacturer/renesas-electronics-america-inc?pageNo=761", "Renesas Electronics")</f>
        <v>Renesas Electronics</v>
      </c>
      <c r="C47904" s="6">
        <v>5000</v>
      </c>
      <c r="D47904" s="7">
        <v>0.28000000000000003</v>
      </c>
    </row>
    <row r="47905" spans="1:4" x14ac:dyDescent="0.25">
      <c r="A47905" t="str">
        <f>HYPERLINK("https://www.773grp.com/globalSearch/HZK3BTR/page-1", "HZK3BTR")</f>
        <v>HZK3BTR</v>
      </c>
      <c r="B47905" s="3" t="str">
        <f>HYPERLINK("https://www.773grp.com/manufacturer/renesas-electronics-america-inc?pageNo=762", "Renesas Electronics")</f>
        <v>Renesas Electronics</v>
      </c>
      <c r="C47905" s="6">
        <v>17500</v>
      </c>
      <c r="D47905" s="7">
        <v>0.28000000000000003</v>
      </c>
    </row>
    <row r="47906" spans="1:4" x14ac:dyDescent="0.25">
      <c r="A47906" t="str">
        <f>HYPERLINK("https://www.773grp.com/globalSearch/HZK4ATR-S-E/page-1", "HZK4ATR-S-E")</f>
        <v>HZK4ATR-S-E</v>
      </c>
      <c r="B47906" s="3" t="str">
        <f>HYPERLINK("https://www.773grp.com/manufacturer/renesas-electronics-america-inc?pageNo=763", "Renesas Electronics")</f>
        <v>Renesas Electronics</v>
      </c>
      <c r="C47906" s="6">
        <v>35000</v>
      </c>
      <c r="D47906" s="7">
        <v>0.28000000000000003</v>
      </c>
    </row>
    <row r="47907" spans="1:4" x14ac:dyDescent="0.25">
      <c r="A47907" t="str">
        <f>HYPERLINK("https://www.773grp.com/globalSearch/HZK6BLTL-S-E/page-1", "HZK6BLTL-S-E")</f>
        <v>HZK6BLTL-S-E</v>
      </c>
      <c r="B47907" s="3" t="str">
        <f>HYPERLINK("https://www.773grp.com/manufacturer/renesas-electronics-america-inc?pageNo=764", "Renesas Electronics")</f>
        <v>Renesas Electronics</v>
      </c>
      <c r="C47907" s="6">
        <v>27500</v>
      </c>
      <c r="D47907" s="7">
        <v>0.28000000000000003</v>
      </c>
    </row>
    <row r="47908" spans="1:4" x14ac:dyDescent="0.25">
      <c r="A47908" t="str">
        <f>HYPERLINK("https://www.773grp.com/globalSearch/HZL6.2Z4KRF-E/page-1", "HZL6.2Z4KRF-E")</f>
        <v>HZL6.2Z4KRF-E</v>
      </c>
      <c r="B47908" s="3" t="str">
        <f>HYPERLINK("https://www.773grp.com/manufacturer/renesas-electronics-america-inc?pageNo=765", "Renesas Electronics")</f>
        <v>Renesas Electronics</v>
      </c>
      <c r="C47908" s="6">
        <v>20000</v>
      </c>
      <c r="D47908" s="7">
        <v>0.28000000000000003</v>
      </c>
    </row>
    <row r="47909" spans="1:4" x14ac:dyDescent="0.25">
      <c r="A47909" t="str">
        <f>HYPERLINK("https://www.773grp.com/globalSearch/HZM5.1NB2TL/page-1", "HZM5.1NB2TL")</f>
        <v>HZM5.1NB2TL</v>
      </c>
      <c r="B47909" s="3" t="str">
        <f>HYPERLINK("https://www.773grp.com/manufacturer/renesas-electronics-america-inc?pageNo=766", "Renesas Electronics")</f>
        <v>Renesas Electronics</v>
      </c>
      <c r="C47909" s="6">
        <v>9000</v>
      </c>
      <c r="D47909" s="7">
        <v>0.28000000000000003</v>
      </c>
    </row>
    <row r="47910" spans="1:4" x14ac:dyDescent="0.25">
      <c r="A47910" t="str">
        <f>HYPERLINK("https://www.773grp.com/globalSearch/HZS10NB2TA-E/page-1", "HZS10NB2TA-E")</f>
        <v>HZS10NB2TA-E</v>
      </c>
      <c r="B47910" s="3" t="str">
        <f>HYPERLINK("https://www.773grp.com/manufacturer/renesas-electronics-america-inc?pageNo=767", "Renesas Electronics")</f>
        <v>Renesas Electronics</v>
      </c>
      <c r="C47910" s="6">
        <v>15000</v>
      </c>
      <c r="D47910" s="7">
        <v>0.28000000000000003</v>
      </c>
    </row>
    <row r="47911" spans="1:4" x14ac:dyDescent="0.25">
      <c r="A47911" t="str">
        <f>HYPERLINK("https://www.773grp.com/globalSearch/HZS11NB2TA-E/page-1", "HZS11NB2TA-E")</f>
        <v>HZS11NB2TA-E</v>
      </c>
      <c r="B47911" s="3" t="str">
        <f>HYPERLINK("https://www.773grp.com/manufacturer/renesas-electronics-america-inc?pageNo=768", "Renesas Electronics")</f>
        <v>Renesas Electronics</v>
      </c>
      <c r="C47911" s="6">
        <v>15000</v>
      </c>
      <c r="D47911" s="7">
        <v>0.28000000000000003</v>
      </c>
    </row>
    <row r="47912" spans="1:4" x14ac:dyDescent="0.25">
      <c r="A47912" t="str">
        <f>HYPERLINK("https://www.773grp.com/globalSearch/HZS12A3LTD-E/page-1", "HZS12A3LTD-E")</f>
        <v>HZS12A3LTD-E</v>
      </c>
      <c r="B47912" s="3" t="str">
        <f>HYPERLINK("https://www.773grp.com/manufacturer/renesas-electronics-america-inc?pageNo=769", "Renesas Electronics")</f>
        <v>Renesas Electronics</v>
      </c>
      <c r="C47912" s="6">
        <v>20000</v>
      </c>
      <c r="D47912" s="7">
        <v>0.28000000000000003</v>
      </c>
    </row>
    <row r="47913" spans="1:4" x14ac:dyDescent="0.25">
      <c r="A47913" t="str">
        <f>HYPERLINK("https://www.773grp.com/globalSearch/HZS12B2TA-E/page-1", "HZS12B2TA-E")</f>
        <v>HZS12B2TA-E</v>
      </c>
      <c r="B47913" s="3" t="str">
        <f>HYPERLINK("https://www.773grp.com/manufacturer/renesas-electronics-america-inc?pageNo=770", "Renesas Electronics")</f>
        <v>Renesas Electronics</v>
      </c>
      <c r="C47913" s="6">
        <v>20000</v>
      </c>
      <c r="D47913" s="7">
        <v>0.28000000000000003</v>
      </c>
    </row>
    <row r="47914" spans="1:4" x14ac:dyDescent="0.25">
      <c r="A47914" t="str">
        <f>HYPERLINK("https://www.773grp.com/globalSearch/HZS15-2LTD-E/page-1", "HZS15-2LTD-E")</f>
        <v>HZS15-2LTD-E</v>
      </c>
      <c r="B47914" s="3" t="str">
        <f>HYPERLINK("https://www.773grp.com/manufacturer/renesas-electronics-america-inc?pageNo=771", "Renesas Electronics")</f>
        <v>Renesas Electronics</v>
      </c>
      <c r="C47914" s="6">
        <v>7500</v>
      </c>
      <c r="D47914" s="7">
        <v>0.28000000000000003</v>
      </c>
    </row>
    <row r="47915" spans="1:4" x14ac:dyDescent="0.25">
      <c r="A47915" t="str">
        <f>HYPERLINK("https://www.773grp.com/globalSearch/HZS15-3LTD-E/page-1", "HZS15-3LTD-E")</f>
        <v>HZS15-3LTD-E</v>
      </c>
      <c r="B47915" s="3" t="str">
        <f>HYPERLINK("https://www.773grp.com/manufacturer/renesas-electronics-america-inc?pageNo=772", "Renesas Electronics")</f>
        <v>Renesas Electronics</v>
      </c>
      <c r="C47915" s="6">
        <v>20000</v>
      </c>
      <c r="D47915" s="7">
        <v>0.28000000000000003</v>
      </c>
    </row>
    <row r="47916" spans="1:4" x14ac:dyDescent="0.25">
      <c r="A47916" t="str">
        <f>HYPERLINK("https://www.773grp.com/globalSearch/HZS16-3LTD-E/page-1", "HZS16-3LTD-E")</f>
        <v>HZS16-3LTD-E</v>
      </c>
      <c r="B47916" s="3" t="str">
        <f>HYPERLINK("https://www.773grp.com/manufacturer/renesas-electronics-america-inc?pageNo=773", "Renesas Electronics")</f>
        <v>Renesas Electronics</v>
      </c>
      <c r="C47916" s="6">
        <v>12500</v>
      </c>
      <c r="D47916" s="7">
        <v>0.28000000000000003</v>
      </c>
    </row>
    <row r="47917" spans="1:4" x14ac:dyDescent="0.25">
      <c r="A47917" t="str">
        <f>HYPERLINK("https://www.773grp.com/globalSearch/HZS16NB3TD-E/page-1", "HZS16NB3TD-E")</f>
        <v>HZS16NB3TD-E</v>
      </c>
      <c r="B47917" s="3" t="str">
        <f>HYPERLINK("https://www.773grp.com/manufacturer/renesas-electronics-america-inc?pageNo=774", "Renesas Electronics")</f>
        <v>Renesas Electronics</v>
      </c>
      <c r="C47917" s="6">
        <v>17500</v>
      </c>
      <c r="D47917" s="7">
        <v>0.28000000000000003</v>
      </c>
    </row>
    <row r="47918" spans="1:4" x14ac:dyDescent="0.25">
      <c r="A47918" t="str">
        <f>HYPERLINK("https://www.773grp.com/globalSearch/HZS18-1LTA-E/page-1", "HZS18-1LTA-E")</f>
        <v>HZS18-1LTA-E</v>
      </c>
      <c r="B47918" s="3" t="str">
        <f>HYPERLINK("https://www.773grp.com/manufacturer/renesas-electronics-america-inc?pageNo=775", "Renesas Electronics")</f>
        <v>Renesas Electronics</v>
      </c>
      <c r="C47918" s="6">
        <v>10000</v>
      </c>
      <c r="D47918" s="7">
        <v>0.28000000000000003</v>
      </c>
    </row>
    <row r="47919" spans="1:4" x14ac:dyDescent="0.25">
      <c r="A47919" t="str">
        <f>HYPERLINK("https://www.773grp.com/globalSearch/HZS18NB3TA-E/page-1", "HZS18NB3TA-E")</f>
        <v>HZS18NB3TA-E</v>
      </c>
      <c r="B47919" s="3" t="str">
        <f>HYPERLINK("https://www.773grp.com/manufacturer/renesas-electronics-america-inc?pageNo=776", "Renesas Electronics")</f>
        <v>Renesas Electronics</v>
      </c>
      <c r="C47919" s="6">
        <v>5000</v>
      </c>
      <c r="D47919" s="7">
        <v>0.28000000000000003</v>
      </c>
    </row>
    <row r="47920" spans="1:4" x14ac:dyDescent="0.25">
      <c r="A47920" t="str">
        <f>HYPERLINK("https://www.773grp.com/globalSearch/HZS2.2NB2TD-E/page-1", "HZS2.2NB2TD-E")</f>
        <v>HZS2.2NB2TD-E</v>
      </c>
      <c r="B47920" s="3" t="str">
        <f>HYPERLINK("https://www.773grp.com/manufacturer/renesas-electronics-america-inc?pageNo=777", "Renesas Electronics")</f>
        <v>Renesas Electronics</v>
      </c>
      <c r="C47920" s="6">
        <v>10000</v>
      </c>
      <c r="D47920" s="7">
        <v>0.28000000000000003</v>
      </c>
    </row>
    <row r="47921" spans="1:4" x14ac:dyDescent="0.25">
      <c r="A47921" t="str">
        <f>HYPERLINK("https://www.773grp.com/globalSearch/HZS2.7NB2TA-E/page-1", "HZS2.7NB2TA-E")</f>
        <v>HZS2.7NB2TA-E</v>
      </c>
      <c r="B47921" s="3" t="str">
        <f>HYPERLINK("https://www.773grp.com/manufacturer/renesas-electronics-america-inc?pageNo=778", "Renesas Electronics")</f>
        <v>Renesas Electronics</v>
      </c>
      <c r="C47921" s="6">
        <v>15000</v>
      </c>
      <c r="D47921" s="7">
        <v>0.28000000000000003</v>
      </c>
    </row>
    <row r="47922" spans="1:4" x14ac:dyDescent="0.25">
      <c r="A47922" t="str">
        <f>HYPERLINK("https://www.773grp.com/globalSearch/HZS20-3LTD-E/page-1", "HZS20-3LTD-E")</f>
        <v>HZS20-3LTD-E</v>
      </c>
      <c r="B47922" s="3" t="str">
        <f>HYPERLINK("https://www.773grp.com/manufacturer/renesas-electronics-america-inc?pageNo=779", "Renesas Electronics")</f>
        <v>Renesas Electronics</v>
      </c>
      <c r="C47922" s="6">
        <v>10000</v>
      </c>
      <c r="D47922" s="7">
        <v>0.28000000000000003</v>
      </c>
    </row>
    <row r="47923" spans="1:4" x14ac:dyDescent="0.25">
      <c r="A47923" t="str">
        <f>HYPERLINK("https://www.773grp.com/globalSearch/HZS24-2LTD-E/page-1", "HZS24-2LTD-E")</f>
        <v>HZS24-2LTD-E</v>
      </c>
      <c r="B47923" s="3" t="str">
        <f>HYPERLINK("https://www.773grp.com/manufacturer/renesas-electronics-america-inc?pageNo=780", "Renesas Electronics")</f>
        <v>Renesas Electronics</v>
      </c>
      <c r="C47923" s="6">
        <v>10000</v>
      </c>
      <c r="D47923" s="7">
        <v>0.28000000000000003</v>
      </c>
    </row>
    <row r="47924" spans="1:4" x14ac:dyDescent="0.25">
      <c r="A47924" t="str">
        <f>HYPERLINK("https://www.773grp.com/globalSearch/HZS24-3TA-E/page-1", "HZS24-3TA-E")</f>
        <v>HZS24-3TA-E</v>
      </c>
      <c r="B47924" s="3" t="str">
        <f>HYPERLINK("https://www.773grp.com/manufacturer/renesas-electronics-america-inc?pageNo=781", "Renesas Electronics")</f>
        <v>Renesas Electronics</v>
      </c>
      <c r="C47924" s="6">
        <v>15000</v>
      </c>
      <c r="D47924" s="7">
        <v>0.28000000000000003</v>
      </c>
    </row>
    <row r="47925" spans="1:4" x14ac:dyDescent="0.25">
      <c r="A47925" t="str">
        <f>HYPERLINK("https://www.773grp.com/globalSearch/HZS24NB2TA-E/page-1", "HZS24NB2TA-E")</f>
        <v>HZS24NB2TA-E</v>
      </c>
      <c r="B47925" s="3" t="str">
        <f>HYPERLINK("https://www.773grp.com/manufacturer/renesas-electronics-america-inc?pageNo=782", "Renesas Electronics")</f>
        <v>Renesas Electronics</v>
      </c>
      <c r="C47925" s="6">
        <v>25000</v>
      </c>
      <c r="D47925" s="7">
        <v>0.28000000000000003</v>
      </c>
    </row>
    <row r="47926" spans="1:4" x14ac:dyDescent="0.25">
      <c r="A47926" t="str">
        <f>HYPERLINK("https://www.773grp.com/globalSearch/HZS27-1LTD-E/page-1", "HZS27-1LTD-E")</f>
        <v>HZS27-1LTD-E</v>
      </c>
      <c r="B47926" s="3" t="str">
        <f>HYPERLINK("https://www.773grp.com/manufacturer/renesas-electronics-america-inc?pageNo=783", "Renesas Electronics")</f>
        <v>Renesas Electronics</v>
      </c>
      <c r="C47926" s="6">
        <v>2500</v>
      </c>
      <c r="D47926" s="7">
        <v>0.28000000000000003</v>
      </c>
    </row>
    <row r="47927" spans="1:4" x14ac:dyDescent="0.25">
      <c r="A47927" t="str">
        <f>HYPERLINK("https://www.773grp.com/globalSearch/HZS27-3TD-E/page-1", "HZS27-3TD-E")</f>
        <v>HZS27-3TD-E</v>
      </c>
      <c r="B47927" s="3" t="str">
        <f>HYPERLINK("https://www.773grp.com/manufacturer/renesas-electronics-america-inc?pageNo=784", "Renesas Electronics")</f>
        <v>Renesas Electronics</v>
      </c>
      <c r="C47927" s="6">
        <v>15000</v>
      </c>
      <c r="D47927" s="7">
        <v>0.28000000000000003</v>
      </c>
    </row>
    <row r="47928" spans="1:4" x14ac:dyDescent="0.25">
      <c r="A47928" t="str">
        <f>HYPERLINK("https://www.773grp.com/globalSearch/HZS2A3TD-E/page-1", "HZS2A3TD-E")</f>
        <v>HZS2A3TD-E</v>
      </c>
      <c r="B47928" s="3" t="str">
        <f>HYPERLINK("https://www.773grp.com/manufacturer/renesas-electronics-america-inc?pageNo=785", "Renesas Electronics")</f>
        <v>Renesas Electronics</v>
      </c>
      <c r="C47928" s="6">
        <v>20000</v>
      </c>
      <c r="D47928" s="7">
        <v>0.28000000000000003</v>
      </c>
    </row>
    <row r="47929" spans="1:4" x14ac:dyDescent="0.25">
      <c r="A47929" t="str">
        <f>HYPERLINK("https://www.773grp.com/globalSearch/HZS2B3TD-E/page-1", "HZS2B3TD-E")</f>
        <v>HZS2B3TD-E</v>
      </c>
      <c r="B47929" s="3" t="str">
        <f>HYPERLINK("https://www.773grp.com/manufacturer/renesas-electronics-america-inc?pageNo=786", "Renesas Electronics")</f>
        <v>Renesas Electronics</v>
      </c>
      <c r="C47929" s="6">
        <v>10000</v>
      </c>
      <c r="D47929" s="7">
        <v>0.28000000000000003</v>
      </c>
    </row>
    <row r="47930" spans="1:4" x14ac:dyDescent="0.25">
      <c r="A47930" t="str">
        <f>HYPERLINK("https://www.773grp.com/globalSearch/HZS2C2JRX/page-1", "HZS2C2JRX")</f>
        <v>HZS2C2JRX</v>
      </c>
      <c r="B47930" s="3" t="str">
        <f>HYPERLINK("https://www.773grp.com/manufacturer/renesas-electronics-america-inc?pageNo=787", "Renesas Electronics")</f>
        <v>Renesas Electronics</v>
      </c>
      <c r="C47930" s="6">
        <v>32500</v>
      </c>
      <c r="D47930" s="7">
        <v>0.28000000000000003</v>
      </c>
    </row>
    <row r="47931" spans="1:4" x14ac:dyDescent="0.25">
      <c r="A47931" t="str">
        <f>HYPERLINK("https://www.773grp.com/globalSearch/HZS2C2TD-P-E/page-1", "HZS2C2TD-P-E")</f>
        <v>HZS2C2TD-P-E</v>
      </c>
      <c r="B47931" s="3" t="str">
        <f>HYPERLINK("https://www.773grp.com/manufacturer/renesas-electronics-america-inc?pageNo=788", "Renesas Electronics")</f>
        <v>Renesas Electronics</v>
      </c>
      <c r="C47931" s="6">
        <v>15000</v>
      </c>
      <c r="D47931" s="7">
        <v>0.28000000000000003</v>
      </c>
    </row>
    <row r="47932" spans="1:4" x14ac:dyDescent="0.25">
      <c r="A47932" t="str">
        <f>HYPERLINK("https://www.773grp.com/globalSearch/HZS3.0NB1JRX/page-1", "HZS3.0NB1JRX")</f>
        <v>HZS3.0NB1JRX</v>
      </c>
      <c r="B47932" s="3" t="str">
        <f>HYPERLINK("https://www.773grp.com/manufacturer/renesas-electronics-america-inc?pageNo=789", "Renesas Electronics")</f>
        <v>Renesas Electronics</v>
      </c>
      <c r="C47932" s="6">
        <v>25000</v>
      </c>
      <c r="D47932" s="7">
        <v>0.28000000000000003</v>
      </c>
    </row>
    <row r="47933" spans="1:4" x14ac:dyDescent="0.25">
      <c r="A47933" t="str">
        <f>HYPERLINK("https://www.773grp.com/globalSearch/HZS30-1LTA-E/page-1", "HZS30-1LTA-E")</f>
        <v>HZS30-1LTA-E</v>
      </c>
      <c r="B47933" s="3" t="str">
        <f>HYPERLINK("https://www.773grp.com/manufacturer/renesas-electronics-america-inc?pageNo=790", "Renesas Electronics")</f>
        <v>Renesas Electronics</v>
      </c>
      <c r="C47933" s="6">
        <v>30000</v>
      </c>
      <c r="D47933" s="7">
        <v>0.28000000000000003</v>
      </c>
    </row>
    <row r="47934" spans="1:4" x14ac:dyDescent="0.25">
      <c r="A47934" t="str">
        <f>HYPERLINK("https://www.773grp.com/globalSearch/HZS30-2LTA-E/page-1", "HZS30-2LTA-E")</f>
        <v>HZS30-2LTA-E</v>
      </c>
      <c r="B47934" s="3" t="str">
        <f>HYPERLINK("https://www.773grp.com/manufacturer/renesas-electronics-america-inc?pageNo=791", "Renesas Electronics")</f>
        <v>Renesas Electronics</v>
      </c>
      <c r="C47934" s="6">
        <v>15000</v>
      </c>
      <c r="D47934" s="7">
        <v>0.28000000000000003</v>
      </c>
    </row>
    <row r="47935" spans="1:4" x14ac:dyDescent="0.25">
      <c r="A47935" t="str">
        <f>HYPERLINK("https://www.773grp.com/globalSearch/HZS33-2LRX-E/page-1", "HZS33-2LRX-E")</f>
        <v>HZS33-2LRX-E</v>
      </c>
      <c r="B47935" s="3" t="str">
        <f>HYPERLINK("https://www.773grp.com/manufacturer/renesas-electronics-america-inc?pageNo=792", "Renesas Electronics")</f>
        <v>Renesas Electronics</v>
      </c>
      <c r="C47935" s="6">
        <v>20000</v>
      </c>
      <c r="D47935" s="7">
        <v>0.28000000000000003</v>
      </c>
    </row>
    <row r="47936" spans="1:4" x14ac:dyDescent="0.25">
      <c r="A47936" t="str">
        <f>HYPERLINK("https://www.773grp.com/globalSearch/HZS33-2LTA-E/page-1", "HZS33-2LTA-E")</f>
        <v>HZS33-2LTA-E</v>
      </c>
      <c r="B47936" s="3" t="str">
        <f>HYPERLINK("https://www.773grp.com/manufacturer/renesas-electronics-america-inc?pageNo=793", "Renesas Electronics")</f>
        <v>Renesas Electronics</v>
      </c>
      <c r="C47936" s="6">
        <v>5000</v>
      </c>
      <c r="D47936" s="7">
        <v>0.28000000000000003</v>
      </c>
    </row>
    <row r="47937" spans="1:4" x14ac:dyDescent="0.25">
      <c r="A47937" t="str">
        <f>HYPERLINK("https://www.773grp.com/globalSearch/HZS33NB1TA-E/page-1", "HZS33NB1TA-E")</f>
        <v>HZS33NB1TA-E</v>
      </c>
      <c r="B47937" s="3" t="str">
        <f>HYPERLINK("https://www.773grp.com/manufacturer/renesas-electronics-america-inc?pageNo=794", "Renesas Electronics")</f>
        <v>Renesas Electronics</v>
      </c>
      <c r="C47937" s="6">
        <v>10000</v>
      </c>
      <c r="D47937" s="7">
        <v>0.28000000000000003</v>
      </c>
    </row>
    <row r="47938" spans="1:4" x14ac:dyDescent="0.25">
      <c r="A47938" t="str">
        <f>HYPERLINK("https://www.773grp.com/globalSearch/HZS33NB2TA-E/page-1", "HZS33NB2TA-E")</f>
        <v>HZS33NB2TA-E</v>
      </c>
      <c r="B47938" s="3" t="str">
        <f>HYPERLINK("https://www.773grp.com/manufacturer/renesas-electronics-america-inc?pageNo=795", "Renesas Electronics")</f>
        <v>Renesas Electronics</v>
      </c>
      <c r="C47938" s="6">
        <v>10000</v>
      </c>
      <c r="D47938" s="7">
        <v>0.28000000000000003</v>
      </c>
    </row>
    <row r="47939" spans="1:4" x14ac:dyDescent="0.25">
      <c r="A47939" t="str">
        <f>HYPERLINK("https://www.773grp.com/globalSearch/HZS36-3LTA-E/page-1", "HZS36-3LTA-E")</f>
        <v>HZS36-3LTA-E</v>
      </c>
      <c r="B47939" s="3" t="str">
        <f>HYPERLINK("https://www.773grp.com/manufacturer/renesas-electronics-america-inc?pageNo=796", "Renesas Electronics")</f>
        <v>Renesas Electronics</v>
      </c>
      <c r="C47939" s="6">
        <v>5000</v>
      </c>
      <c r="D47939" s="7">
        <v>0.28000000000000003</v>
      </c>
    </row>
    <row r="47940" spans="1:4" x14ac:dyDescent="0.25">
      <c r="A47940" t="str">
        <f>HYPERLINK("https://www.773grp.com/globalSearch/HZS36NB3TD-E/page-1", "HZS36NB3TD-E")</f>
        <v>HZS36NB3TD-E</v>
      </c>
      <c r="B47940" s="3" t="str">
        <f>HYPERLINK("https://www.773grp.com/manufacturer/renesas-electronics-america-inc?pageNo=797", "Renesas Electronics")</f>
        <v>Renesas Electronics</v>
      </c>
      <c r="C47940" s="6">
        <v>5000</v>
      </c>
      <c r="D47940" s="7">
        <v>0.28000000000000003</v>
      </c>
    </row>
    <row r="47941" spans="1:4" x14ac:dyDescent="0.25">
      <c r="A47941" t="str">
        <f>HYPERLINK("https://www.773grp.com/globalSearch/HZS39NB2TA-E/page-1", "HZS39NB2TA-E")</f>
        <v>HZS39NB2TA-E</v>
      </c>
      <c r="B47941" s="3" t="str">
        <f>HYPERLINK("https://www.773grp.com/manufacturer/renesas-electronics-america-inc?pageNo=798", "Renesas Electronics")</f>
        <v>Renesas Electronics</v>
      </c>
      <c r="C47941" s="6">
        <v>5000</v>
      </c>
      <c r="D47941" s="7">
        <v>0.28000000000000003</v>
      </c>
    </row>
    <row r="47942" spans="1:4" x14ac:dyDescent="0.25">
      <c r="A47942" t="str">
        <f>HYPERLINK("https://www.773grp.com/globalSearch/HZS39NB3TA-E/page-1", "HZS39NB3TA-E")</f>
        <v>HZS39NB3TA-E</v>
      </c>
      <c r="B47942" s="3" t="str">
        <f>HYPERLINK("https://www.773grp.com/manufacturer/renesas-electronics-america-inc?pageNo=799", "Renesas Electronics")</f>
        <v>Renesas Electronics</v>
      </c>
      <c r="C47942" s="6">
        <v>35000</v>
      </c>
      <c r="D47942" s="7">
        <v>0.28000000000000003</v>
      </c>
    </row>
    <row r="47943" spans="1:4" x14ac:dyDescent="0.25">
      <c r="A47943" t="str">
        <f>HYPERLINK("https://www.773grp.com/globalSearch/HZS3A2TD-E/page-1", "HZS3A2TD-E")</f>
        <v>HZS3A2TD-E</v>
      </c>
      <c r="B47943" s="3" t="str">
        <f>HYPERLINK("https://www.773grp.com/manufacturer/renesas-electronics-america-inc?pageNo=800", "Renesas Electronics")</f>
        <v>Renesas Electronics</v>
      </c>
      <c r="C47943" s="6">
        <v>5000</v>
      </c>
      <c r="D47943" s="7">
        <v>0.28000000000000003</v>
      </c>
    </row>
    <row r="47944" spans="1:4" x14ac:dyDescent="0.25">
      <c r="A47944" t="str">
        <f>HYPERLINK("https://www.773grp.com/globalSearch/HZS4.3NB2JRX/page-1", "HZS4.3NB2JRX")</f>
        <v>HZS4.3NB2JRX</v>
      </c>
      <c r="B47944" s="3" t="str">
        <f>HYPERLINK("https://www.773grp.com/manufacturer/renesas-electronics-america-inc?pageNo=801", "Renesas Electronics")</f>
        <v>Renesas Electronics</v>
      </c>
      <c r="C47944" s="6">
        <v>12500</v>
      </c>
      <c r="D47944" s="7">
        <v>0.28000000000000003</v>
      </c>
    </row>
    <row r="47945" spans="1:4" x14ac:dyDescent="0.25">
      <c r="A47945" t="str">
        <f>HYPERLINK("https://www.773grp.com/globalSearch/HZS4.7NB2TA-E/page-1", "HZS4.7NB2TA-E")</f>
        <v>HZS4.7NB2TA-E</v>
      </c>
      <c r="B47945" s="3" t="str">
        <f>HYPERLINK("https://www.773grp.com/manufacturer/renesas-electronics-america-inc?pageNo=802", "Renesas Electronics")</f>
        <v>Renesas Electronics</v>
      </c>
      <c r="C47945" s="6">
        <v>10000</v>
      </c>
      <c r="D47945" s="7">
        <v>0.28000000000000003</v>
      </c>
    </row>
    <row r="47946" spans="1:4" x14ac:dyDescent="0.25">
      <c r="A47946" t="str">
        <f>HYPERLINK("https://www.773grp.com/globalSearch/HZS4A1TD-E/page-1", "HZS4A1TD-E")</f>
        <v>HZS4A1TD-E</v>
      </c>
      <c r="B47946" s="3" t="str">
        <f>HYPERLINK("https://www.773grp.com/manufacturer/renesas-electronics-america-inc?pageNo=803", "Renesas Electronics")</f>
        <v>Renesas Electronics</v>
      </c>
      <c r="C47946" s="6">
        <v>10000</v>
      </c>
      <c r="D47946" s="7">
        <v>0.28000000000000003</v>
      </c>
    </row>
    <row r="47947" spans="1:4" x14ac:dyDescent="0.25">
      <c r="A47947" t="str">
        <f>HYPERLINK("https://www.773grp.com/globalSearch/HZS4B2TD-E/page-1", "HZS4B2TD-E")</f>
        <v>HZS4B2TD-E</v>
      </c>
      <c r="B47947" s="3" t="str">
        <f>HYPERLINK("https://www.773grp.com/manufacturer/renesas-electronics-america-inc?pageNo=804", "Renesas Electronics")</f>
        <v>Renesas Electronics</v>
      </c>
      <c r="C47947" s="6">
        <v>50000</v>
      </c>
      <c r="D47947" s="7">
        <v>0.28000000000000003</v>
      </c>
    </row>
    <row r="47948" spans="1:4" x14ac:dyDescent="0.25">
      <c r="A47948" t="str">
        <f>HYPERLINK("https://www.773grp.com/globalSearch/HZS4C3JRX/page-1", "HZS4C3JRX")</f>
        <v>HZS4C3JRX</v>
      </c>
      <c r="B47948" s="3" t="str">
        <f>HYPERLINK("https://www.773grp.com/manufacturer/renesas-electronics-america-inc?pageNo=805", "Renesas Electronics")</f>
        <v>Renesas Electronics</v>
      </c>
      <c r="C47948" s="6">
        <v>5000</v>
      </c>
      <c r="D47948" s="7">
        <v>0.28000000000000003</v>
      </c>
    </row>
    <row r="47949" spans="1:4" x14ac:dyDescent="0.25">
      <c r="A47949" t="str">
        <f>HYPERLINK("https://www.773grp.com/globalSearch/HZS5.1NB2TD-P-E/page-1", "HZS5.1NB2TD-P-E")</f>
        <v>HZS5.1NB2TD-P-E</v>
      </c>
      <c r="B47949" s="3" t="str">
        <f>HYPERLINK("https://www.773grp.com/manufacturer/renesas-electronics-america-inc?pageNo=806", "Renesas Electronics")</f>
        <v>Renesas Electronics</v>
      </c>
      <c r="C47949" s="6">
        <v>12500</v>
      </c>
      <c r="D47949" s="7">
        <v>0.28000000000000003</v>
      </c>
    </row>
    <row r="47950" spans="1:4" x14ac:dyDescent="0.25">
      <c r="A47950" t="str">
        <f>HYPERLINK("https://www.773grp.com/globalSearch/HZS5ALLTA-E/page-1", "HZS5ALLTA-E")</f>
        <v>HZS5ALLTA-E</v>
      </c>
      <c r="B47950" s="3" t="str">
        <f>HYPERLINK("https://www.773grp.com/manufacturer/renesas-electronics-america-inc?pageNo=807", "Renesas Electronics")</f>
        <v>Renesas Electronics</v>
      </c>
      <c r="C47950" s="6">
        <v>65000</v>
      </c>
      <c r="D47950" s="7">
        <v>0.28000000000000003</v>
      </c>
    </row>
    <row r="47951" spans="1:4" x14ac:dyDescent="0.25">
      <c r="A47951" t="str">
        <f>HYPERLINK("https://www.773grp.com/globalSearch/HZS5BLLTA-E/page-1", "HZS5BLLTA-E")</f>
        <v>HZS5BLLTA-E</v>
      </c>
      <c r="B47951" s="3" t="str">
        <f>HYPERLINK("https://www.773grp.com/manufacturer/renesas-electronics-america-inc?pageNo=808", "Renesas Electronics")</f>
        <v>Renesas Electronics</v>
      </c>
      <c r="C47951" s="6">
        <v>70000</v>
      </c>
      <c r="D47951" s="7">
        <v>0.28000000000000003</v>
      </c>
    </row>
    <row r="47952" spans="1:4" x14ac:dyDescent="0.25">
      <c r="A47952" t="str">
        <f>HYPERLINK("https://www.773grp.com/globalSearch/HZS6A2LTA-E/page-1", "HZS6A2LTA-E")</f>
        <v>HZS6A2LTA-E</v>
      </c>
      <c r="B47952" s="3" t="str">
        <f>HYPERLINK("https://www.773grp.com/manufacturer/renesas-electronics-america-inc?pageNo=809", "Renesas Electronics")</f>
        <v>Renesas Electronics</v>
      </c>
      <c r="C47952" s="6">
        <v>5000</v>
      </c>
      <c r="D47952" s="7">
        <v>0.28000000000000003</v>
      </c>
    </row>
    <row r="47953" spans="1:4" x14ac:dyDescent="0.25">
      <c r="A47953" t="str">
        <f>HYPERLINK("https://www.773grp.com/globalSearch/HZS6A3LTA-E/page-1", "HZS6A3LTA-E")</f>
        <v>HZS6A3LTA-E</v>
      </c>
      <c r="B47953" s="3" t="str">
        <f>HYPERLINK("https://www.773grp.com/manufacturer/renesas-electronics-america-inc?pageNo=810", "Renesas Electronics")</f>
        <v>Renesas Electronics</v>
      </c>
      <c r="C47953" s="6">
        <v>10000</v>
      </c>
      <c r="D47953" s="7">
        <v>0.28000000000000003</v>
      </c>
    </row>
    <row r="47954" spans="1:4" x14ac:dyDescent="0.25">
      <c r="A47954" t="str">
        <f>HYPERLINK("https://www.773grp.com/globalSearch/HZS6B1L-JTA-E/page-1", "HZS6B1L-JTA-E")</f>
        <v>HZS6B1L-JTA-E</v>
      </c>
      <c r="B47954" s="3" t="str">
        <f>HYPERLINK("https://www.773grp.com/manufacturer/renesas-electronics-america-inc?pageNo=811", "Renesas Electronics")</f>
        <v>Renesas Electronics</v>
      </c>
      <c r="C47954" s="6">
        <v>20000</v>
      </c>
      <c r="D47954" s="7">
        <v>0.28000000000000003</v>
      </c>
    </row>
    <row r="47955" spans="1:4" x14ac:dyDescent="0.25">
      <c r="A47955" t="str">
        <f>HYPERLINK("https://www.773grp.com/globalSearch/HZS6B3TD-E/page-1", "HZS6B3TD-E")</f>
        <v>HZS6B3TD-E</v>
      </c>
      <c r="B47955" s="3" t="str">
        <f>HYPERLINK("https://www.773grp.com/manufacturer/renesas-electronics-america-inc?pageNo=812", "Renesas Electronics")</f>
        <v>Renesas Electronics</v>
      </c>
      <c r="C47955" s="6">
        <v>10000</v>
      </c>
      <c r="D47955" s="7">
        <v>0.28000000000000003</v>
      </c>
    </row>
    <row r="47956" spans="1:4" x14ac:dyDescent="0.25">
      <c r="A47956" t="str">
        <f>HYPERLINK("https://www.773grp.com/globalSearch/HZS7B1LTA-E/page-1", "HZS7B1LTA-E")</f>
        <v>HZS7B1LTA-E</v>
      </c>
      <c r="B47956" s="3" t="str">
        <f>HYPERLINK("https://www.773grp.com/manufacturer/renesas-electronics-america-inc?pageNo=813", "Renesas Electronics")</f>
        <v>Renesas Electronics</v>
      </c>
      <c r="C47956" s="6">
        <v>20000</v>
      </c>
      <c r="D47956" s="7">
        <v>0.28000000000000003</v>
      </c>
    </row>
    <row r="47957" spans="1:4" x14ac:dyDescent="0.25">
      <c r="A47957" t="str">
        <f>HYPERLINK("https://www.773grp.com/globalSearch/HZS8.2NB1TA-E/page-1", "HZS8.2NB1TA-E")</f>
        <v>HZS8.2NB1TA-E</v>
      </c>
      <c r="B47957" s="3" t="str">
        <f>HYPERLINK("https://www.773grp.com/manufacturer/renesas-electronics-america-inc?pageNo=814", "Renesas Electronics")</f>
        <v>Renesas Electronics</v>
      </c>
      <c r="C47957" s="6">
        <v>10000</v>
      </c>
      <c r="D47957" s="7">
        <v>0.28000000000000003</v>
      </c>
    </row>
    <row r="47958" spans="1:4" x14ac:dyDescent="0.25">
      <c r="A47958" t="str">
        <f>HYPERLINK("https://www.773grp.com/globalSearch/HZS9.1NB1TD-E/page-1", "HZS9.1NB1TD-E")</f>
        <v>HZS9.1NB1TD-E</v>
      </c>
      <c r="B47958" s="3" t="str">
        <f>HYPERLINK("https://www.773grp.com/manufacturer/renesas-electronics-america-inc?pageNo=815", "Renesas Electronics")</f>
        <v>Renesas Electronics</v>
      </c>
      <c r="C47958" s="6">
        <v>92500</v>
      </c>
      <c r="D47958" s="7">
        <v>0.28000000000000003</v>
      </c>
    </row>
    <row r="47959" spans="1:4" x14ac:dyDescent="0.25">
      <c r="A47959" t="str">
        <f>HYPERLINK("https://www.773grp.com/globalSearch/HZS9C1LTA-E/page-1", "HZS9C1LTA-E")</f>
        <v>HZS9C1LTA-E</v>
      </c>
      <c r="B47959" s="3" t="str">
        <f>HYPERLINK("https://www.773grp.com/manufacturer/renesas-electronics-america-inc?pageNo=816", "Renesas Electronics")</f>
        <v>Renesas Electronics</v>
      </c>
      <c r="C47959" s="6">
        <v>20000</v>
      </c>
      <c r="D47959" s="7">
        <v>0.28000000000000003</v>
      </c>
    </row>
    <row r="47960" spans="1:4" x14ac:dyDescent="0.25">
      <c r="A47960" t="str">
        <f>HYPERLINK("https://www.773grp.com/globalSearch/HZU10B2JTRF/page-1", "HZU10B2JTRF")</f>
        <v>HZU10B2JTRF</v>
      </c>
      <c r="B47960" s="3" t="str">
        <f>HYPERLINK("https://www.773grp.com/manufacturer/renesas-electronics-america-inc?pageNo=817", "Renesas Electronics")</f>
        <v>Renesas Electronics</v>
      </c>
      <c r="C47960" s="6">
        <v>33000</v>
      </c>
      <c r="D47960" s="7">
        <v>0.28000000000000003</v>
      </c>
    </row>
    <row r="47961" spans="1:4" x14ac:dyDescent="0.25">
      <c r="A47961" t="str">
        <f>HYPERLINK("https://www.773grp.com/globalSearch/HZU10GTRF-E/page-1", "HZU10GTRF-E")</f>
        <v>HZU10GTRF-E</v>
      </c>
      <c r="B47961" s="3" t="str">
        <f>HYPERLINK("https://www.773grp.com/manufacturer/renesas-electronics-america-inc?pageNo=818", "Renesas Electronics")</f>
        <v>Renesas Electronics</v>
      </c>
      <c r="C47961" s="6">
        <v>57000</v>
      </c>
      <c r="D47961" s="7">
        <v>0.28000000000000003</v>
      </c>
    </row>
    <row r="47962" spans="1:4" x14ac:dyDescent="0.25">
      <c r="A47962" t="str">
        <f>HYPERLINK("https://www.773grp.com/globalSearch/HZU11B2LTRF-E/page-1", "HZU11B2LTRF-E")</f>
        <v>HZU11B2LTRF-E</v>
      </c>
      <c r="B47962" s="3" t="str">
        <f>HYPERLINK("https://www.773grp.com/manufacturer/renesas-electronics-america-inc?pageNo=819", "Renesas Electronics")</f>
        <v>Renesas Electronics</v>
      </c>
      <c r="C47962" s="6">
        <v>87000</v>
      </c>
      <c r="D47962" s="7">
        <v>0.28000000000000003</v>
      </c>
    </row>
    <row r="47963" spans="1:4" x14ac:dyDescent="0.25">
      <c r="A47963" t="str">
        <f>HYPERLINK("https://www.773grp.com/globalSearch/HZU12B2JTRF/page-1", "HZU12B2JTRF")</f>
        <v>HZU12B2JTRF</v>
      </c>
      <c r="B47963" s="3" t="str">
        <f>HYPERLINK("https://www.773grp.com/manufacturer/renesas-electronics-america-inc?pageNo=820", "Renesas Electronics")</f>
        <v>Renesas Electronics</v>
      </c>
      <c r="C47963" s="6">
        <v>18000</v>
      </c>
      <c r="D47963" s="7">
        <v>0.28000000000000003</v>
      </c>
    </row>
    <row r="47964" spans="1:4" x14ac:dyDescent="0.25">
      <c r="A47964" t="str">
        <f>HYPERLINK("https://www.773grp.com/globalSearch/HZU12B3LTRF-E/page-1", "HZU12B3LTRF-E")</f>
        <v>HZU12B3LTRF-E</v>
      </c>
      <c r="B47964" s="3" t="str">
        <f>HYPERLINK("https://www.773grp.com/manufacturer/renesas-electronics-america-inc?pageNo=821", "Renesas Electronics")</f>
        <v>Renesas Electronics</v>
      </c>
      <c r="C47964" s="6">
        <v>84000</v>
      </c>
      <c r="D47964" s="7">
        <v>0.28000000000000003</v>
      </c>
    </row>
    <row r="47965" spans="1:4" x14ac:dyDescent="0.25">
      <c r="A47965" t="str">
        <f>HYPERLINK("https://www.773grp.com/globalSearch/HZU13B1JTRF/page-1", "HZU13B1JTRF")</f>
        <v>HZU13B1JTRF</v>
      </c>
      <c r="B47965" s="3" t="str">
        <f>HYPERLINK("https://www.773grp.com/manufacturer/renesas-electronics-america-inc?pageNo=822", "Renesas Electronics")</f>
        <v>Renesas Electronics</v>
      </c>
      <c r="C47965" s="6">
        <v>624000</v>
      </c>
      <c r="D47965" s="7">
        <v>0.28000000000000003</v>
      </c>
    </row>
    <row r="47966" spans="1:4" x14ac:dyDescent="0.25">
      <c r="A47966" t="str">
        <f>HYPERLINK("https://www.773grp.com/globalSearch/HZU13B2JTRF-E/page-1", "HZU13B2JTRF-E")</f>
        <v>HZU13B2JTRF-E</v>
      </c>
      <c r="B47966" s="3" t="str">
        <f>HYPERLINK("https://www.773grp.com/manufacturer/renesas-electronics-america-inc?pageNo=823", "Renesas Electronics")</f>
        <v>Renesas Electronics</v>
      </c>
      <c r="C47966" s="6">
        <v>117000</v>
      </c>
      <c r="D47966" s="7">
        <v>0.28000000000000003</v>
      </c>
    </row>
    <row r="47967" spans="1:4" x14ac:dyDescent="0.25">
      <c r="A47967" t="str">
        <f>HYPERLINK("https://www.773grp.com/globalSearch/HZU16B1URF-E/page-1", "HZU16B1URF-E")</f>
        <v>HZU16B1URF-E</v>
      </c>
      <c r="B47967" s="3" t="str">
        <f>HYPERLINK("https://www.773grp.com/manufacturer/renesas-electronics-america-inc?pageNo=824", "Renesas Electronics")</f>
        <v>Renesas Electronics</v>
      </c>
      <c r="C47967" s="6">
        <v>29166</v>
      </c>
      <c r="D47967" s="7">
        <v>0.28000000000000003</v>
      </c>
    </row>
    <row r="47968" spans="1:4" x14ac:dyDescent="0.25">
      <c r="A47968" t="str">
        <f>HYPERLINK("https://www.773grp.com/globalSearch/HZU18B2JTRF/page-1", "HZU18B2JTRF")</f>
        <v>HZU18B2JTRF</v>
      </c>
      <c r="B47968" s="3" t="str">
        <f>HYPERLINK("https://www.773grp.com/manufacturer/renesas-electronics-america-inc?pageNo=825", "Renesas Electronics")</f>
        <v>Renesas Electronics</v>
      </c>
      <c r="C47968" s="6">
        <v>3000</v>
      </c>
      <c r="D47968" s="7">
        <v>0.28000000000000003</v>
      </c>
    </row>
    <row r="47969" spans="1:4" x14ac:dyDescent="0.25">
      <c r="A47969" t="str">
        <f>HYPERLINK("https://www.773grp.com/globalSearch/HZU20B3TRF-E/page-1", "HZU20B3TRF-E")</f>
        <v>HZU20B3TRF-E</v>
      </c>
      <c r="B47969" s="3" t="str">
        <f>HYPERLINK("https://www.773grp.com/manufacturer/renesas-electronics-america-inc?pageNo=826", "Renesas Electronics")</f>
        <v>Renesas Electronics</v>
      </c>
      <c r="C47969" s="6">
        <v>45000</v>
      </c>
      <c r="D47969" s="7">
        <v>0.28000000000000003</v>
      </c>
    </row>
    <row r="47970" spans="1:4" x14ac:dyDescent="0.25">
      <c r="A47970" t="str">
        <f>HYPERLINK("https://www.773grp.com/globalSearch/HZU4BLL-JTRF/page-1", "HZU4BLL-JTRF")</f>
        <v>HZU4BLL-JTRF</v>
      </c>
      <c r="B47970" s="3" t="str">
        <f>HYPERLINK("https://www.773grp.com/manufacturer/renesas-electronics-america-inc?pageNo=827", "Renesas Electronics")</f>
        <v>Renesas Electronics</v>
      </c>
      <c r="C47970" s="6">
        <v>24000</v>
      </c>
      <c r="D47970" s="7">
        <v>0.28000000000000003</v>
      </c>
    </row>
    <row r="47971" spans="1:4" x14ac:dyDescent="0.25">
      <c r="A47971" t="str">
        <f>HYPERLINK("https://www.773grp.com/globalSearch/HZU5.1B1JTRF/page-1", "HZU5.1B1JTRF")</f>
        <v>HZU5.1B1JTRF</v>
      </c>
      <c r="B47971" s="3" t="str">
        <f>HYPERLINK("https://www.773grp.com/manufacturer/renesas-electronics-america-inc?pageNo=828", "Renesas Electronics")</f>
        <v>Renesas Electronics</v>
      </c>
      <c r="C47971" s="6">
        <v>147000</v>
      </c>
      <c r="D47971" s="7">
        <v>0.28000000000000003</v>
      </c>
    </row>
    <row r="47972" spans="1:4" x14ac:dyDescent="0.25">
      <c r="A47972" t="str">
        <f>HYPERLINK("https://www.773grp.com/globalSearch/HZU5.1B2JTRF/page-1", "HZU5.1B2JTRF")</f>
        <v>HZU5.1B2JTRF</v>
      </c>
      <c r="B47972" s="3" t="str">
        <f>HYPERLINK("https://www.773grp.com/manufacturer/renesas-electronics-america-inc?pageNo=829", "Renesas Electronics")</f>
        <v>Renesas Electronics</v>
      </c>
      <c r="C47972" s="6">
        <v>18000</v>
      </c>
      <c r="D47972" s="7">
        <v>0.28000000000000003</v>
      </c>
    </row>
    <row r="47973" spans="1:4" x14ac:dyDescent="0.25">
      <c r="A47973" t="str">
        <f>HYPERLINK("https://www.773grp.com/globalSearch/HZU5ALL-JTRF/page-1", "HZU5ALL-JTRF")</f>
        <v>HZU5ALL-JTRF</v>
      </c>
      <c r="B47973" s="3" t="str">
        <f>HYPERLINK("https://www.773grp.com/manufacturer/renesas-electronics-america-inc?pageNo=830", "Renesas Electronics")</f>
        <v>Renesas Electronics</v>
      </c>
      <c r="C47973" s="6">
        <v>33000</v>
      </c>
      <c r="D47973" s="7">
        <v>0.28000000000000003</v>
      </c>
    </row>
    <row r="47974" spans="1:4" x14ac:dyDescent="0.25">
      <c r="A47974" t="str">
        <f>HYPERLINK("https://www.773grp.com/globalSearch/HZU6.2B1JTRF-E/page-1", "HZU6.2B1JTRF-E")</f>
        <v>HZU6.2B1JTRF-E</v>
      </c>
      <c r="B47974" s="3" t="str">
        <f>HYPERLINK("https://www.773grp.com/manufacturer/renesas-electronics-america-inc?pageNo=831", "Renesas Electronics")</f>
        <v>Renesas Electronics</v>
      </c>
      <c r="C47974" s="6">
        <v>18000</v>
      </c>
      <c r="D47974" s="7">
        <v>0.28000000000000003</v>
      </c>
    </row>
    <row r="47975" spans="1:4" x14ac:dyDescent="0.25">
      <c r="A47975" t="str">
        <f>HYPERLINK("https://www.773grp.com/globalSearch/HZU6.2B3JTRF/page-1", "HZU6.2B3JTRF")</f>
        <v>HZU6.2B3JTRF</v>
      </c>
      <c r="B47975" s="3" t="str">
        <f>HYPERLINK("https://www.773grp.com/manufacturer/renesas-electronics-america-inc?pageNo=832", "Renesas Electronics")</f>
        <v>Renesas Electronics</v>
      </c>
      <c r="C47975" s="6">
        <v>9000</v>
      </c>
      <c r="D47975" s="7">
        <v>0.28000000000000003</v>
      </c>
    </row>
    <row r="47976" spans="1:4" x14ac:dyDescent="0.25">
      <c r="A47976" t="str">
        <f>HYPERLINK("https://www.773grp.com/globalSearch/HZU6.8B3JTRF-E/page-1", "HZU6.8B3JTRF-E")</f>
        <v>HZU6.8B3JTRF-E</v>
      </c>
      <c r="B47976" s="3" t="str">
        <f>HYPERLINK("https://www.773grp.com/manufacturer/renesas-electronics-america-inc?pageNo=833", "Renesas Electronics")</f>
        <v>Renesas Electronics</v>
      </c>
      <c r="C47976" s="6">
        <v>93000</v>
      </c>
      <c r="D47976" s="7">
        <v>0.28000000000000003</v>
      </c>
    </row>
    <row r="47977" spans="1:4" x14ac:dyDescent="0.25">
      <c r="A47977" t="str">
        <f>HYPERLINK("https://www.773grp.com/globalSearch/HZU6.8GTRF-E/page-1", "HZU6.8GTRF-E")</f>
        <v>HZU6.8GTRF-E</v>
      </c>
      <c r="B47977" s="3" t="str">
        <f>HYPERLINK("https://www.773grp.com/manufacturer/renesas-electronics-america-inc?pageNo=834", "Renesas Electronics")</f>
        <v>Renesas Electronics</v>
      </c>
      <c r="C47977" s="6">
        <v>93000</v>
      </c>
      <c r="D47977" s="7">
        <v>0.28000000000000003</v>
      </c>
    </row>
    <row r="47978" spans="1:4" x14ac:dyDescent="0.25">
      <c r="A47978" t="str">
        <f>HYPERLINK("https://www.773grp.com/globalSearch/HZU9.1B3JTRF/page-1", "HZU9.1B3JTRF")</f>
        <v>HZU9.1B3JTRF</v>
      </c>
      <c r="B47978" s="3" t="str">
        <f>HYPERLINK("https://www.773grp.com/manufacturer/renesas-electronics-america-inc?pageNo=835", "Renesas Electronics")</f>
        <v>Renesas Electronics</v>
      </c>
      <c r="C47978" s="6">
        <v>9000</v>
      </c>
      <c r="D47978" s="7">
        <v>0.28000000000000003</v>
      </c>
    </row>
    <row r="47979" spans="1:4" x14ac:dyDescent="0.25">
      <c r="A47979" t="str">
        <f>HYPERLINK("https://www.773grp.com/globalSearch/RD5.1ES-T1-AZ/page-1", "RD5.1ES-T1-AZ")</f>
        <v>RD5.1ES-T1-AZ</v>
      </c>
      <c r="B47979" s="3" t="str">
        <f>HYPERLINK("https://www.773grp.com/manufacturer/renesas-electronics-america-inc?pageNo=836", "Renesas Electronics")</f>
        <v>Renesas Electronics</v>
      </c>
      <c r="C47979" s="6">
        <v>300000</v>
      </c>
      <c r="D47979" s="7">
        <v>0.28000000000000003</v>
      </c>
    </row>
    <row r="47980" spans="1:4" x14ac:dyDescent="0.25">
      <c r="A47980" t="str">
        <f>HYPERLINK("https://www.773grp.com/globalSearch/RKD704KP#R5/page-1", "RKD704KP#R5")</f>
        <v>RKD704KP#R5</v>
      </c>
      <c r="B47980" s="3" t="str">
        <f>HYPERLINK("https://www.773grp.com/manufacturer/renesas-electronics-america-inc?pageNo=837", "Renesas Electronics")</f>
        <v>Renesas Electronics</v>
      </c>
      <c r="C47980" s="6">
        <v>290000</v>
      </c>
      <c r="D47980" s="7">
        <v>0.28000000000000003</v>
      </c>
    </row>
    <row r="47981" spans="1:4" x14ac:dyDescent="0.25">
      <c r="A47981" t="str">
        <f>HYPERLINK("https://www.773grp.com/globalSearch/RKD751KP#R0/page-1", "RKD751KP#R0")</f>
        <v>RKD751KP#R0</v>
      </c>
      <c r="B47981" s="3" t="str">
        <f>HYPERLINK("https://www.773grp.com/manufacturer/renesas-electronics-america-inc?pageNo=838", "Renesas Electronics")</f>
        <v>Renesas Electronics</v>
      </c>
      <c r="C47981" s="6">
        <v>290000</v>
      </c>
      <c r="D47981" s="7">
        <v>0.28000000000000003</v>
      </c>
    </row>
    <row r="47982" spans="1:4" x14ac:dyDescent="0.25">
      <c r="A47982" t="str">
        <f>HYPERLINK("https://www.773grp.com/globalSearch/RKP204KP-3#R0/page-1", "RKP204KP-3#R0")</f>
        <v>RKP204KP-3#R0</v>
      </c>
      <c r="B47982" s="3" t="str">
        <f>HYPERLINK("https://www.773grp.com/manufacturer/renesas-electronics-america-inc?pageNo=839", "Renesas Electronics")</f>
        <v>Renesas Electronics</v>
      </c>
      <c r="C47982" s="6">
        <v>470000</v>
      </c>
      <c r="D47982" s="7">
        <v>0.28000000000000003</v>
      </c>
    </row>
    <row r="47983" spans="1:4" x14ac:dyDescent="0.25">
      <c r="A47983" t="str">
        <f>HYPERLINK("https://www.773grp.com/globalSearch/RKV500KJ#R1/page-1", "RKV500KJ#R1")</f>
        <v>RKV500KJ#R1</v>
      </c>
      <c r="B47983" s="3" t="str">
        <f>HYPERLINK("https://www.773grp.com/manufacturer/renesas-electronics-america-inc?pageNo=840", "Renesas Electronics")</f>
        <v>Renesas Electronics</v>
      </c>
      <c r="C47983" s="6">
        <v>88000</v>
      </c>
      <c r="D47983" s="7">
        <v>0.28000000000000003</v>
      </c>
    </row>
    <row r="47984" spans="1:4" x14ac:dyDescent="0.25">
      <c r="A47984" t="str">
        <f>HYPERLINK("https://www.773grp.com/globalSearch/RKV600KP-1#R0/page-1", "RKV600KP-1#R0")</f>
        <v>RKV600KP-1#R0</v>
      </c>
      <c r="B47984" s="3" t="str">
        <f>HYPERLINK("https://www.773grp.com/manufacturer/renesas-electronics-america-inc?pageNo=841", "Renesas Electronics")</f>
        <v>Renesas Electronics</v>
      </c>
      <c r="C47984" s="6">
        <v>210000</v>
      </c>
      <c r="D47984" s="7">
        <v>0.28000000000000003</v>
      </c>
    </row>
    <row r="47985" spans="1:4" x14ac:dyDescent="0.25">
      <c r="A47985" t="str">
        <f>HYPERLINK("https://www.773grp.com/globalSearch/RKV603KP#R0/page-1", "RKV603KP#R0")</f>
        <v>RKV603KP#R0</v>
      </c>
      <c r="B47985" s="3" t="str">
        <f>HYPERLINK("https://www.773grp.com/manufacturer/renesas-electronics-america-inc?pageNo=842", "Renesas Electronics")</f>
        <v>Renesas Electronics</v>
      </c>
      <c r="C47985" s="6">
        <v>250000</v>
      </c>
      <c r="D47985" s="7">
        <v>0.28000000000000003</v>
      </c>
    </row>
    <row r="47986" spans="1:4" x14ac:dyDescent="0.25">
      <c r="A47986" t="str">
        <f>HYPERLINK("https://www.773grp.com/globalSearch/RKV604KP-2#R0/page-1", "RKV604KP-2#R0")</f>
        <v>RKV604KP-2#R0</v>
      </c>
      <c r="B47986" s="3" t="str">
        <f>HYPERLINK("https://www.773grp.com/manufacturer/renesas-electronics-america-inc?pageNo=843", "Renesas Electronics")</f>
        <v>Renesas Electronics</v>
      </c>
      <c r="C47986" s="6">
        <v>30000</v>
      </c>
      <c r="D47986" s="7">
        <v>0.28000000000000003</v>
      </c>
    </row>
    <row r="47987" spans="1:4" x14ac:dyDescent="0.25">
      <c r="A47987" t="str">
        <f>HYPERLINK("https://www.773grp.com/globalSearch/RKV607KL#R1/page-1", "RKV607KL#R1")</f>
        <v>RKV607KL#R1</v>
      </c>
      <c r="B47987" s="3" t="str">
        <f>HYPERLINK("https://www.773grp.com/manufacturer/renesas-electronics-america-inc?pageNo=844", "Renesas Electronics")</f>
        <v>Renesas Electronics</v>
      </c>
      <c r="C47987" s="6">
        <v>10000</v>
      </c>
      <c r="D47987" s="7">
        <v>0.28000000000000003</v>
      </c>
    </row>
    <row r="47988" spans="1:4" x14ac:dyDescent="0.25">
      <c r="A47988" t="str">
        <f>HYPERLINK("https://www.773grp.com/globalSearch/RKV607KP#R0/page-1", "RKV607KP#R0")</f>
        <v>RKV607KP#R0</v>
      </c>
      <c r="B47988" s="3" t="str">
        <f>HYPERLINK("https://www.773grp.com/manufacturer/renesas-electronics-america-inc?pageNo=845", "Renesas Electronics")</f>
        <v>Renesas Electronics</v>
      </c>
      <c r="C47988" s="6">
        <v>40000</v>
      </c>
      <c r="D47988" s="7">
        <v>0.28000000000000003</v>
      </c>
    </row>
    <row r="47989" spans="1:4" x14ac:dyDescent="0.25">
      <c r="A47989" t="str">
        <f>HYPERLINK("https://www.773grp.com/globalSearch/RKV611KJ#R1/page-1", "RKV611KJ#R1")</f>
        <v>RKV611KJ#R1</v>
      </c>
      <c r="B47989" s="3" t="str">
        <f>HYPERLINK("https://www.773grp.com/manufacturer/renesas-electronics-america-inc?pageNo=846", "Renesas Electronics")</f>
        <v>Renesas Electronics</v>
      </c>
      <c r="C47989" s="6">
        <v>72000</v>
      </c>
      <c r="D47989" s="7">
        <v>0.28000000000000003</v>
      </c>
    </row>
    <row r="47990" spans="1:4" x14ac:dyDescent="0.25">
      <c r="A47990" t="str">
        <f>HYPERLINK("https://www.773grp.com/globalSearch/RKV653KL#R1/page-1", "RKV653KL#R1")</f>
        <v>RKV653KL#R1</v>
      </c>
      <c r="B47990" s="3" t="str">
        <f>HYPERLINK("https://www.773grp.com/manufacturer/renesas-electronics-america-inc?pageNo=847", "Renesas Electronics")</f>
        <v>Renesas Electronics</v>
      </c>
      <c r="C47990" s="6">
        <v>520000</v>
      </c>
      <c r="D47990" s="7">
        <v>0.28000000000000003</v>
      </c>
    </row>
    <row r="47991" spans="1:4" x14ac:dyDescent="0.25">
      <c r="A47991" t="str">
        <f>HYPERLINK("https://www.773grp.com/globalSearch/RKZ10CKU#P6/page-1", "RKZ10CKU#P6")</f>
        <v>RKZ10CKU#P6</v>
      </c>
      <c r="B47991" s="3" t="str">
        <f>HYPERLINK("https://www.773grp.com/manufacturer/renesas-electronics-america-inc?pageNo=848", "Renesas Electronics")</f>
        <v>Renesas Electronics</v>
      </c>
      <c r="C47991" s="6">
        <v>92000</v>
      </c>
      <c r="D47991" s="7">
        <v>0.28000000000000003</v>
      </c>
    </row>
    <row r="47992" spans="1:4" x14ac:dyDescent="0.25">
      <c r="A47992" t="str">
        <f>HYPERLINK("https://www.773grp.com/globalSearch/RKZ12B2KJ#R1/page-1", "RKZ12B2KJ#R1")</f>
        <v>RKZ12B2KJ#R1</v>
      </c>
      <c r="B47992" s="3" t="str">
        <f>HYPERLINK("https://www.773grp.com/manufacturer/renesas-electronics-america-inc?pageNo=849", "Renesas Electronics")</f>
        <v>Renesas Electronics</v>
      </c>
      <c r="C47992" s="6">
        <v>128000</v>
      </c>
      <c r="D47992" s="7">
        <v>0.28000000000000003</v>
      </c>
    </row>
    <row r="47993" spans="1:4" x14ac:dyDescent="0.25">
      <c r="A47993" t="str">
        <f>HYPERLINK("https://www.773grp.com/globalSearch/RKZ15AKU#P6/page-1", "RKZ15AKU#P6")</f>
        <v>RKZ15AKU#P6</v>
      </c>
      <c r="B47993" s="3" t="str">
        <f>HYPERLINK("https://www.773grp.com/manufacturer/renesas-electronics-america-inc?pageNo=850", "Renesas Electronics")</f>
        <v>Renesas Electronics</v>
      </c>
      <c r="C47993" s="6">
        <v>96000</v>
      </c>
      <c r="D47993" s="7">
        <v>0.28000000000000003</v>
      </c>
    </row>
    <row r="47994" spans="1:4" x14ac:dyDescent="0.25">
      <c r="A47994" t="str">
        <f>HYPERLINK("https://www.773grp.com/globalSearch/RKZ18B2KJ#R1/page-1", "RKZ18B2KJ#R1")</f>
        <v>RKZ18B2KJ#R1</v>
      </c>
      <c r="B47994" s="3" t="str">
        <f>HYPERLINK("https://www.773grp.com/manufacturer/renesas-electronics-america-inc?pageNo=851", "Renesas Electronics")</f>
        <v>Renesas Electronics</v>
      </c>
      <c r="C47994" s="6">
        <v>112000</v>
      </c>
      <c r="D47994" s="7">
        <v>0.28000000000000003</v>
      </c>
    </row>
    <row r="47995" spans="1:4" x14ac:dyDescent="0.25">
      <c r="A47995" t="str">
        <f>HYPERLINK("https://www.773grp.com/globalSearch/RKZ2.0BKJ#R1/page-1", "RKZ2.0BKJ#R1")</f>
        <v>RKZ2.0BKJ#R1</v>
      </c>
      <c r="B47995" s="3" t="str">
        <f>HYPERLINK("https://www.773grp.com/manufacturer/renesas-electronics-america-inc?pageNo=852", "Renesas Electronics")</f>
        <v>Renesas Electronics</v>
      </c>
      <c r="C47995" s="6">
        <v>8000</v>
      </c>
      <c r="D47995" s="7">
        <v>0.28000000000000003</v>
      </c>
    </row>
    <row r="47996" spans="1:4" x14ac:dyDescent="0.25">
      <c r="A47996" t="str">
        <f>HYPERLINK("https://www.773grp.com/globalSearch/RKZ20AKU#P6/page-1", "RKZ20AKU#P6")</f>
        <v>RKZ20AKU#P6</v>
      </c>
      <c r="B47996" s="3" t="str">
        <f>HYPERLINK("https://www.773grp.com/manufacturer/renesas-electronics-america-inc?pageNo=853", "Renesas Electronics")</f>
        <v>Renesas Electronics</v>
      </c>
      <c r="C47996" s="6">
        <v>40000</v>
      </c>
      <c r="D47996" s="7">
        <v>0.28000000000000003</v>
      </c>
    </row>
    <row r="47997" spans="1:4" x14ac:dyDescent="0.25">
      <c r="A47997" t="str">
        <f>HYPERLINK("https://www.773grp.com/globalSearch/RKZ20DKU#P6/page-1", "RKZ20DKU#P6")</f>
        <v>RKZ20DKU#P6</v>
      </c>
      <c r="B47997" s="3" t="str">
        <f>HYPERLINK("https://www.773grp.com/manufacturer/renesas-electronics-america-inc?pageNo=854", "Renesas Electronics")</f>
        <v>Renesas Electronics</v>
      </c>
      <c r="C47997" s="6">
        <v>344000</v>
      </c>
      <c r="D47997" s="7">
        <v>0.28000000000000003</v>
      </c>
    </row>
    <row r="47998" spans="1:4" x14ac:dyDescent="0.25">
      <c r="A47998" t="str">
        <f>HYPERLINK("https://www.773grp.com/globalSearch/RKZ27AKU#P6/page-1", "RKZ27AKU#P6")</f>
        <v>RKZ27AKU#P6</v>
      </c>
      <c r="B47998" s="3" t="str">
        <f>HYPERLINK("https://www.773grp.com/manufacturer/renesas-electronics-america-inc?pageNo=855", "Renesas Electronics")</f>
        <v>Renesas Electronics</v>
      </c>
      <c r="C47998" s="6">
        <v>8000</v>
      </c>
      <c r="D47998" s="7">
        <v>0.28000000000000003</v>
      </c>
    </row>
    <row r="47999" spans="1:4" x14ac:dyDescent="0.25">
      <c r="A47999" t="str">
        <f>HYPERLINK("https://www.773grp.com/globalSearch/RKZ3.6B2KG#P6/page-1", "RKZ3.6B2KG#P6")</f>
        <v>RKZ3.6B2KG#P6</v>
      </c>
      <c r="B47999" s="3" t="str">
        <f>HYPERLINK("https://www.773grp.com/manufacturer/renesas-electronics-america-inc?pageNo=856", "Renesas Electronics")</f>
        <v>Renesas Electronics</v>
      </c>
      <c r="C47999" s="6">
        <v>138000</v>
      </c>
      <c r="D47999" s="7">
        <v>0.28000000000000003</v>
      </c>
    </row>
    <row r="48000" spans="1:4" x14ac:dyDescent="0.25">
      <c r="A48000" t="str">
        <f>HYPERLINK("https://www.773grp.com/globalSearch/RKZ3.6BKU#P6/page-1", "RKZ3.6BKU#P6")</f>
        <v>RKZ3.6BKU#P6</v>
      </c>
      <c r="B48000" s="3" t="str">
        <f>HYPERLINK("https://www.773grp.com/manufacturer/renesas-electronics-america-inc?pageNo=857", "Renesas Electronics")</f>
        <v>Renesas Electronics</v>
      </c>
      <c r="C48000" s="6">
        <v>120000</v>
      </c>
      <c r="D48000" s="7">
        <v>0.28000000000000003</v>
      </c>
    </row>
    <row r="48001" spans="1:4" x14ac:dyDescent="0.25">
      <c r="A48001" t="str">
        <f>HYPERLINK("https://www.773grp.com/globalSearch/RKZ30CKU#P6/page-1", "RKZ30CKU#P6")</f>
        <v>RKZ30CKU#P6</v>
      </c>
      <c r="B48001" s="3" t="str">
        <f>HYPERLINK("https://www.773grp.com/manufacturer/renesas-electronics-america-inc?pageNo=858", "Renesas Electronics")</f>
        <v>Renesas Electronics</v>
      </c>
      <c r="C48001" s="6">
        <v>132000</v>
      </c>
      <c r="D48001" s="7">
        <v>0.28000000000000003</v>
      </c>
    </row>
    <row r="48002" spans="1:4" x14ac:dyDescent="0.25">
      <c r="A48002" t="str">
        <f>HYPERLINK("https://www.773grp.com/globalSearch/RKZ30DKU#P6/page-1", "RKZ30DKU#P6")</f>
        <v>RKZ30DKU#P6</v>
      </c>
      <c r="B48002" s="3" t="str">
        <f>HYPERLINK("https://www.773grp.com/manufacturer/renesas-electronics-america-inc?pageNo=859", "Renesas Electronics")</f>
        <v>Renesas Electronics</v>
      </c>
      <c r="C48002" s="6">
        <v>68000</v>
      </c>
      <c r="D48002" s="7">
        <v>0.28000000000000003</v>
      </c>
    </row>
    <row r="48003" spans="1:4" x14ac:dyDescent="0.25">
      <c r="A48003" t="str">
        <f>HYPERLINK("https://www.773grp.com/globalSearch/RKZ36BKU#P6/page-1", "RKZ36BKU#P6")</f>
        <v>RKZ36BKU#P6</v>
      </c>
      <c r="B48003" s="3" t="str">
        <f>HYPERLINK("https://www.773grp.com/manufacturer/renesas-electronics-america-inc?pageNo=860", "Renesas Electronics")</f>
        <v>Renesas Electronics</v>
      </c>
      <c r="C48003" s="6">
        <v>40000</v>
      </c>
      <c r="D48003" s="7">
        <v>0.28000000000000003</v>
      </c>
    </row>
    <row r="48004" spans="1:4" x14ac:dyDescent="0.25">
      <c r="A48004" t="str">
        <f>HYPERLINK("https://www.773grp.com/globalSearch/RKZ5.1CKU#P6/page-1", "RKZ5.1CKU#P6")</f>
        <v>RKZ5.1CKU#P6</v>
      </c>
      <c r="B48004" s="3" t="str">
        <f>HYPERLINK("https://www.773grp.com/manufacturer/renesas-electronics-america-inc?pageNo=861", "Renesas Electronics")</f>
        <v>Renesas Electronics</v>
      </c>
      <c r="C48004" s="6">
        <v>92000</v>
      </c>
      <c r="D48004" s="7">
        <v>0.28000000000000003</v>
      </c>
    </row>
    <row r="48005" spans="1:4" x14ac:dyDescent="0.25">
      <c r="A48005" t="str">
        <f>HYPERLINK("https://www.773grp.com/globalSearch/RKZ5.6BKU#P6/page-1", "RKZ5.6BKU#P6")</f>
        <v>RKZ5.6BKU#P6</v>
      </c>
      <c r="B48005" s="3" t="str">
        <f>HYPERLINK("https://www.773grp.com/manufacturer/renesas-electronics-america-inc?pageNo=862", "Renesas Electronics")</f>
        <v>Renesas Electronics</v>
      </c>
      <c r="C48005" s="6">
        <v>80000</v>
      </c>
      <c r="D48005" s="7">
        <v>0.28000000000000003</v>
      </c>
    </row>
    <row r="48006" spans="1:4" x14ac:dyDescent="0.25">
      <c r="A48006" t="str">
        <f>HYPERLINK("https://www.773grp.com/globalSearch/RKZ6.2CKU#P6/page-1", "RKZ6.2CKU#P6")</f>
        <v>RKZ6.2CKU#P6</v>
      </c>
      <c r="B48006" s="3" t="str">
        <f>HYPERLINK("https://www.773grp.com/manufacturer/renesas-electronics-america-inc?pageNo=863", "Renesas Electronics")</f>
        <v>Renesas Electronics</v>
      </c>
      <c r="C48006" s="6">
        <v>124000</v>
      </c>
      <c r="D48006" s="7">
        <v>0.28000000000000003</v>
      </c>
    </row>
    <row r="48007" spans="1:4" x14ac:dyDescent="0.25">
      <c r="A48007" t="str">
        <f>HYPERLINK("https://www.773grp.com/globalSearch/RKZ6.8B2KJ#R1/page-1", "RKZ6.8B2KJ#R1")</f>
        <v>RKZ6.8B2KJ#R1</v>
      </c>
      <c r="B48007" s="3" t="str">
        <f>HYPERLINK("https://www.773grp.com/manufacturer/renesas-electronics-america-inc?pageNo=864", "Renesas Electronics")</f>
        <v>Renesas Electronics</v>
      </c>
      <c r="C48007" s="6">
        <v>8000</v>
      </c>
      <c r="D48007" s="7">
        <v>0.28000000000000003</v>
      </c>
    </row>
    <row r="48008" spans="1:4" x14ac:dyDescent="0.25">
      <c r="A48008" t="str">
        <f>HYPERLINK("https://www.773grp.com/globalSearch/RKZ6.8CKU#P6/page-1", "RKZ6.8CKU#P6")</f>
        <v>RKZ6.8CKU#P6</v>
      </c>
      <c r="B48008" s="3" t="str">
        <f>HYPERLINK("https://www.773grp.com/manufacturer/renesas-electronics-america-inc?pageNo=865", "Renesas Electronics")</f>
        <v>Renesas Electronics</v>
      </c>
      <c r="C48008" s="6">
        <v>156000</v>
      </c>
      <c r="D48008" s="7">
        <v>0.28000000000000003</v>
      </c>
    </row>
    <row r="48009" spans="1:4" x14ac:dyDescent="0.25">
      <c r="A48009" t="str">
        <f>HYPERLINK("https://www.773grp.com/globalSearch/RKZ7.5CKU#P6/page-1", "RKZ7.5CKU#P6")</f>
        <v>RKZ7.5CKU#P6</v>
      </c>
      <c r="B48009" s="3" t="str">
        <f>HYPERLINK("https://www.773grp.com/manufacturer/renesas-electronics-america-inc?pageNo=866", "Renesas Electronics")</f>
        <v>Renesas Electronics</v>
      </c>
      <c r="C48009" s="6">
        <v>116000</v>
      </c>
      <c r="D48009" s="7">
        <v>0.28000000000000003</v>
      </c>
    </row>
    <row r="48010" spans="1:4" x14ac:dyDescent="0.25">
      <c r="A48010" t="str">
        <f>HYPERLINK("https://www.773grp.com/globalSearch/RKZ7.5TKP#R5/page-1", "RKZ7.5TKP#R5")</f>
        <v>RKZ7.5TKP#R5</v>
      </c>
      <c r="B48010" s="3" t="str">
        <f>HYPERLINK("https://www.773grp.com/manufacturer/renesas-electronics-america-inc?pageNo=867", "Renesas Electronics")</f>
        <v>Renesas Electronics</v>
      </c>
      <c r="C48010" s="6">
        <v>400000</v>
      </c>
      <c r="D48010" s="7">
        <v>0.28000000000000003</v>
      </c>
    </row>
    <row r="48011" spans="1:4" x14ac:dyDescent="0.25">
      <c r="A48011" t="str">
        <f>HYPERLINK("https://www.773grp.com/globalSearch/RKZ8.2B2KJ#R1/page-1", "RKZ8.2B2KJ#R1")</f>
        <v>RKZ8.2B2KJ#R1</v>
      </c>
      <c r="B48011" s="3" t="str">
        <f>HYPERLINK("https://www.773grp.com/manufacturer/renesas-electronics-america-inc?pageNo=868", "Renesas Electronics")</f>
        <v>Renesas Electronics</v>
      </c>
      <c r="C48011" s="6">
        <v>40000</v>
      </c>
      <c r="D48011" s="7">
        <v>0.28000000000000003</v>
      </c>
    </row>
    <row r="48012" spans="1:4" x14ac:dyDescent="0.25">
      <c r="A48012" t="str">
        <f>HYPERLINK("https://www.773grp.com/globalSearch/RKZ8.2CKU#P6/page-1", "RKZ8.2CKU#P6")</f>
        <v>RKZ8.2CKU#P6</v>
      </c>
      <c r="B48012" s="3" t="str">
        <f>HYPERLINK("https://www.773grp.com/manufacturer/renesas-electronics-america-inc?pageNo=869", "Renesas Electronics")</f>
        <v>Renesas Electronics</v>
      </c>
      <c r="C48012" s="6">
        <v>92000</v>
      </c>
      <c r="D48012" s="7">
        <v>0.28000000000000003</v>
      </c>
    </row>
    <row r="48013" spans="1:4" x14ac:dyDescent="0.25">
      <c r="A48013" t="str">
        <f>HYPERLINK("https://www.773grp.com/globalSearch/RKZ9.1B2KJ#R1/page-1", "RKZ9.1B2KJ#R1")</f>
        <v>RKZ9.1B2KJ#R1</v>
      </c>
      <c r="B48013" s="3" t="str">
        <f>HYPERLINK("https://www.773grp.com/manufacturer/renesas-electronics-america-inc?pageNo=870", "Renesas Electronics")</f>
        <v>Renesas Electronics</v>
      </c>
      <c r="C48013" s="6">
        <v>224000</v>
      </c>
      <c r="D48013" s="7">
        <v>0.28000000000000003</v>
      </c>
    </row>
    <row r="48014" spans="1:4" x14ac:dyDescent="0.25">
      <c r="A48014" t="str">
        <f>HYPERLINK("https://www.773grp.com/globalSearch/1S2074HRE-E/page-1", "1S2074HRE-E")</f>
        <v>1S2074HRE-E</v>
      </c>
      <c r="B48014" s="3" t="str">
        <f>HYPERLINK("https://www.773grp.com/manufacturer/renesas-electronics-america-inc?pageNo=871", "Renesas Electronics")</f>
        <v>Renesas Electronics</v>
      </c>
      <c r="C48014" s="6">
        <v>52000</v>
      </c>
      <c r="D48014" s="7">
        <v>0.33</v>
      </c>
    </row>
    <row r="48015" spans="1:4" x14ac:dyDescent="0.25">
      <c r="A48015" t="str">
        <f>HYPERLINK("https://www.773grp.com/globalSearch/1S2074HTD/page-1", "1S2074HTD")</f>
        <v>1S2074HTD</v>
      </c>
      <c r="B48015" s="3" t="str">
        <f>HYPERLINK("https://www.773grp.com/manufacturer/renesas-electronics-america-inc?pageNo=872", "Renesas Electronics")</f>
        <v>Renesas Electronics</v>
      </c>
      <c r="C48015" s="6">
        <v>8000</v>
      </c>
      <c r="D48015" s="7">
        <v>0.33</v>
      </c>
    </row>
    <row r="48016" spans="1:4" x14ac:dyDescent="0.25">
      <c r="A48016" t="str">
        <f>HYPERLINK("https://www.773grp.com/globalSearch/1S2838-T1B/page-1", "1S2838-T1B")</f>
        <v>1S2838-T1B</v>
      </c>
      <c r="B48016" s="3" t="str">
        <f>HYPERLINK("https://www.773grp.com/manufacturer/renesas-electronics-america-inc?pageNo=873", "Renesas Electronics")</f>
        <v>Renesas Electronics</v>
      </c>
      <c r="C48016" s="6">
        <v>33000</v>
      </c>
      <c r="D48016" s="7">
        <v>0.33</v>
      </c>
    </row>
    <row r="48017" spans="1:4" x14ac:dyDescent="0.25">
      <c r="A48017" t="str">
        <f>HYPERLINK("https://www.773grp.com/globalSearch/1S953(3)-T2/page-1", "1S953(3)-T2")</f>
        <v>1S953(3)-T2</v>
      </c>
      <c r="B48017" s="3" t="str">
        <f>HYPERLINK("https://www.773grp.com/manufacturer/renesas-electronics-america-inc?pageNo=874", "Renesas Electronics")</f>
        <v>Renesas Electronics</v>
      </c>
      <c r="C48017" s="6">
        <v>10000</v>
      </c>
      <c r="D48017" s="7">
        <v>0.33</v>
      </c>
    </row>
    <row r="48018" spans="1:4" x14ac:dyDescent="0.25">
      <c r="A48018" t="str">
        <f>HYPERLINK("https://www.773grp.com/globalSearch/1SS220-T1B-A/page-1", "1SS220-T1B-A")</f>
        <v>1SS220-T1B-A</v>
      </c>
      <c r="B48018" s="3" t="str">
        <f>HYPERLINK("https://www.773grp.com/manufacturer/renesas-electronics-america-inc?pageNo=875", "Renesas Electronics")</f>
        <v>Renesas Electronics</v>
      </c>
      <c r="C48018" s="6">
        <v>27000</v>
      </c>
      <c r="D48018" s="7">
        <v>0.33</v>
      </c>
    </row>
    <row r="48019" spans="1:4" x14ac:dyDescent="0.25">
      <c r="A48019" t="str">
        <f>HYPERLINK("https://www.773grp.com/globalSearch/1SS55-AZ/page-1", "1SS55-AZ")</f>
        <v>1SS55-AZ</v>
      </c>
      <c r="B48019" s="3" t="str">
        <f>HYPERLINK("https://www.773grp.com/manufacturer/renesas-electronics-america-inc?pageNo=876", "Renesas Electronics")</f>
        <v>Renesas Electronics</v>
      </c>
      <c r="C48019" s="6">
        <v>177000</v>
      </c>
      <c r="D48019" s="7">
        <v>0.33</v>
      </c>
    </row>
    <row r="48020" spans="1:4" x14ac:dyDescent="0.25">
      <c r="A48020" t="str">
        <f>HYPERLINK("https://www.773grp.com/globalSearch/1SS55-T4-AZ/page-1", "1SS55-T4-AZ")</f>
        <v>1SS55-T4-AZ</v>
      </c>
      <c r="B48020" s="3" t="str">
        <f>HYPERLINK("https://www.773grp.com/manufacturer/renesas-electronics-america-inc?pageNo=877", "Renesas Electronics")</f>
        <v>Renesas Electronics</v>
      </c>
      <c r="C48020" s="6">
        <v>80000</v>
      </c>
      <c r="D48020" s="7">
        <v>0.33</v>
      </c>
    </row>
    <row r="48021" spans="1:4" x14ac:dyDescent="0.25">
      <c r="A48021" t="str">
        <f>HYPERLINK("https://www.773grp.com/globalSearch/1SS82JTD-E/page-1", "1SS82JTD-E")</f>
        <v>1SS82JTD-E</v>
      </c>
      <c r="B48021" s="3" t="str">
        <f>HYPERLINK("https://www.773grp.com/manufacturer/renesas-electronics-america-inc?pageNo=878", "Renesas Electronics")</f>
        <v>Renesas Electronics</v>
      </c>
      <c r="C48021" s="6">
        <v>20000</v>
      </c>
      <c r="D48021" s="7">
        <v>0.33</v>
      </c>
    </row>
    <row r="48022" spans="1:4" x14ac:dyDescent="0.25">
      <c r="A48022" t="str">
        <f>HYPERLINK("https://www.773grp.com/globalSearch/1SS83RE-E/page-1", "1SS83RE-E")</f>
        <v>1SS83RE-E</v>
      </c>
      <c r="B48022" s="3" t="str">
        <f>HYPERLINK("https://www.773grp.com/manufacturer/renesas-electronics-america-inc?pageNo=879", "Renesas Electronics")</f>
        <v>Renesas Electronics</v>
      </c>
      <c r="C48022" s="6">
        <v>20000</v>
      </c>
      <c r="D48022" s="7">
        <v>0.33</v>
      </c>
    </row>
    <row r="48023" spans="1:4" x14ac:dyDescent="0.25">
      <c r="A48023" t="str">
        <f>HYPERLINK("https://www.773grp.com/globalSearch/HSC226-NTRF-E/page-1", "HSC226-NTRF-E")</f>
        <v>HSC226-NTRF-E</v>
      </c>
      <c r="B48023" s="3" t="str">
        <f>HYPERLINK("https://www.773grp.com/manufacturer/renesas-electronics-america-inc?pageNo=880", "Renesas Electronics")</f>
        <v>Renesas Electronics</v>
      </c>
      <c r="C48023" s="6">
        <v>12000</v>
      </c>
      <c r="D48023" s="7">
        <v>0.33</v>
      </c>
    </row>
    <row r="48024" spans="1:4" x14ac:dyDescent="0.25">
      <c r="A48024" t="str">
        <f>HYPERLINK("https://www.773grp.com/globalSearch/HSM223CTL-E/page-1", "HSM223CTL-E")</f>
        <v>HSM223CTL-E</v>
      </c>
      <c r="B48024" s="3" t="str">
        <f>HYPERLINK("https://www.773grp.com/manufacturer/renesas-electronics-america-inc?pageNo=881", "Renesas Electronics")</f>
        <v>Renesas Electronics</v>
      </c>
      <c r="C48024" s="6">
        <v>15000</v>
      </c>
      <c r="D48024" s="7">
        <v>0.33</v>
      </c>
    </row>
    <row r="48025" spans="1:4" x14ac:dyDescent="0.25">
      <c r="A48025" t="str">
        <f>HYPERLINK("https://www.773grp.com/globalSearch/HSM2836C91TR-E/page-1", "HSM2836C91TR-E")</f>
        <v>HSM2836C91TR-E</v>
      </c>
      <c r="B48025" s="3" t="str">
        <f>HYPERLINK("https://www.773grp.com/manufacturer/renesas-electronics-america-inc?pageNo=882", "Renesas Electronics")</f>
        <v>Renesas Electronics</v>
      </c>
      <c r="C48025" s="6">
        <v>39000</v>
      </c>
      <c r="D48025" s="7">
        <v>0.33</v>
      </c>
    </row>
    <row r="48026" spans="1:4" x14ac:dyDescent="0.25">
      <c r="A48026" t="str">
        <f>HYPERLINK("https://www.773grp.com/globalSearch/HSU83-2TRF-E/page-1", "HSU83-2TRF-E")</f>
        <v>HSU83-2TRF-E</v>
      </c>
      <c r="B48026" s="3" t="str">
        <f>HYPERLINK("https://www.773grp.com/manufacturer/renesas-electronics-america-inc?pageNo=883", "Renesas Electronics")</f>
        <v>Renesas Electronics</v>
      </c>
      <c r="C48026" s="6">
        <v>6000</v>
      </c>
      <c r="D48026" s="7">
        <v>0.33</v>
      </c>
    </row>
    <row r="48027" spans="1:4" x14ac:dyDescent="0.25">
      <c r="A48027" t="str">
        <f>HYPERLINK("https://www.773grp.com/globalSearch/HVC306C1TRU-E/page-1", "HVC306C1TRU-E")</f>
        <v>HVC306C1TRU-E</v>
      </c>
      <c r="B48027" s="3" t="str">
        <f>HYPERLINK("https://www.773grp.com/manufacturer/renesas-electronics-america-inc?pageNo=884", "Renesas Electronics")</f>
        <v>Renesas Electronics</v>
      </c>
      <c r="C48027" s="6">
        <v>80000</v>
      </c>
      <c r="D48027" s="7">
        <v>0.33</v>
      </c>
    </row>
    <row r="48028" spans="1:4" x14ac:dyDescent="0.25">
      <c r="A48028" t="str">
        <f>HYPERLINK("https://www.773grp.com/globalSearch/HVC350B7TRF-E/page-1", "HVC350B7TRF-E")</f>
        <v>HVC350B7TRF-E</v>
      </c>
      <c r="B48028" s="3" t="str">
        <f>HYPERLINK("https://www.773grp.com/manufacturer/renesas-electronics-america-inc?pageNo=885", "Renesas Electronics")</f>
        <v>Renesas Electronics</v>
      </c>
      <c r="C48028" s="6">
        <v>4000</v>
      </c>
      <c r="D48028" s="7">
        <v>0.33</v>
      </c>
    </row>
    <row r="48029" spans="1:4" x14ac:dyDescent="0.25">
      <c r="A48029" t="str">
        <f>HYPERLINK("https://www.773grp.com/globalSearch/HVU306CTRU-E/page-1", "HVU306CTRU-E")</f>
        <v>HVU306CTRU-E</v>
      </c>
      <c r="B48029" s="3" t="str">
        <f>HYPERLINK("https://www.773grp.com/manufacturer/renesas-electronics-america-inc?pageNo=886", "Renesas Electronics")</f>
        <v>Renesas Electronics</v>
      </c>
      <c r="C48029" s="6">
        <v>93000</v>
      </c>
      <c r="D48029" s="7">
        <v>0.33</v>
      </c>
    </row>
    <row r="48030" spans="1:4" x14ac:dyDescent="0.25">
      <c r="A48030" t="str">
        <f>HYPERLINK("https://www.773grp.com/globalSearch/HVU316-1TRU-E/page-1", "HVU316-1TRU-E")</f>
        <v>HVU316-1TRU-E</v>
      </c>
      <c r="B48030" s="3" t="str">
        <f>HYPERLINK("https://www.773grp.com/manufacturer/renesas-electronics-america-inc?pageNo=887", "Renesas Electronics")</f>
        <v>Renesas Electronics</v>
      </c>
      <c r="C48030" s="6">
        <v>150000</v>
      </c>
      <c r="D48030" s="7">
        <v>0.33</v>
      </c>
    </row>
    <row r="48031" spans="1:4" x14ac:dyDescent="0.25">
      <c r="A48031" t="str">
        <f>HYPERLINK("https://www.773grp.com/globalSearch/HVU357TRF/page-1", "HVU357TRF")</f>
        <v>HVU357TRF</v>
      </c>
      <c r="B48031" s="3" t="str">
        <f>HYPERLINK("https://www.773grp.com/manufacturer/renesas-electronics-america-inc?pageNo=888", "Renesas Electronics")</f>
        <v>Renesas Electronics</v>
      </c>
      <c r="C48031" s="6">
        <v>144000</v>
      </c>
      <c r="D48031" s="7">
        <v>0.33</v>
      </c>
    </row>
    <row r="48032" spans="1:4" x14ac:dyDescent="0.25">
      <c r="A48032" t="str">
        <f>HYPERLINK("https://www.773grp.com/globalSearch/HZ11A2L-E/page-1", "HZ11A2L-E")</f>
        <v>HZ11A2L-E</v>
      </c>
      <c r="B48032" s="3" t="str">
        <f>HYPERLINK("https://www.773grp.com/manufacturer/renesas-electronics-america-inc?pageNo=889", "Renesas Electronics")</f>
        <v>Renesas Electronics</v>
      </c>
      <c r="C48032" s="6">
        <v>18500</v>
      </c>
      <c r="D48032" s="7">
        <v>0.33</v>
      </c>
    </row>
    <row r="48033" spans="1:4" x14ac:dyDescent="0.25">
      <c r="A48033" t="str">
        <f>HYPERLINK("https://www.773grp.com/globalSearch/HZ11B2LTD-E/page-1", "HZ11B2LTD-E")</f>
        <v>HZ11B2LTD-E</v>
      </c>
      <c r="B48033" s="3" t="str">
        <f>HYPERLINK("https://www.773grp.com/manufacturer/renesas-electronics-america-inc?pageNo=890", "Renesas Electronics")</f>
        <v>Renesas Electronics</v>
      </c>
      <c r="C48033" s="6">
        <v>12500</v>
      </c>
      <c r="D48033" s="7">
        <v>0.33</v>
      </c>
    </row>
    <row r="48034" spans="1:4" x14ac:dyDescent="0.25">
      <c r="A48034" t="str">
        <f>HYPERLINK("https://www.773grp.com/globalSearch/HZ11C2L-E/page-1", "HZ11C2L-E")</f>
        <v>HZ11C2L-E</v>
      </c>
      <c r="B48034" s="3" t="str">
        <f>HYPERLINK("https://www.773grp.com/manufacturer/renesas-electronics-america-inc?pageNo=891", "Renesas Electronics")</f>
        <v>Renesas Electronics</v>
      </c>
      <c r="C48034" s="6">
        <v>3000</v>
      </c>
      <c r="D48034" s="7">
        <v>0.33</v>
      </c>
    </row>
    <row r="48035" spans="1:4" x14ac:dyDescent="0.25">
      <c r="A48035" t="str">
        <f>HYPERLINK("https://www.773grp.com/globalSearch/HZ12B1LTA-E/page-1", "HZ12B1LTA-E")</f>
        <v>HZ12B1LTA-E</v>
      </c>
      <c r="B48035" s="3" t="str">
        <f>HYPERLINK("https://www.773grp.com/manufacturer/renesas-electronics-america-inc?pageNo=892", "Renesas Electronics")</f>
        <v>Renesas Electronics</v>
      </c>
      <c r="C48035" s="6">
        <v>45000</v>
      </c>
      <c r="D48035" s="7">
        <v>0.33</v>
      </c>
    </row>
    <row r="48036" spans="1:4" x14ac:dyDescent="0.25">
      <c r="A48036" t="str">
        <f>HYPERLINK("https://www.773grp.com/globalSearch/HZ12B1TA-E/page-1", "HZ12B1TA-E")</f>
        <v>HZ12B1TA-E</v>
      </c>
      <c r="B48036" s="3" t="str">
        <f>HYPERLINK("https://www.773grp.com/manufacturer/renesas-electronics-america-inc?pageNo=893", "Renesas Electronics")</f>
        <v>Renesas Electronics</v>
      </c>
      <c r="C48036" s="6">
        <v>10000</v>
      </c>
      <c r="D48036" s="7">
        <v>0.33</v>
      </c>
    </row>
    <row r="48037" spans="1:4" x14ac:dyDescent="0.25">
      <c r="A48037" t="str">
        <f>HYPERLINK("https://www.773grp.com/globalSearch/HZ12B2L-E/page-1", "HZ12B2L-E")</f>
        <v>HZ12B2L-E</v>
      </c>
      <c r="B48037" s="3" t="str">
        <f>HYPERLINK("https://www.773grp.com/manufacturer/renesas-electronics-america-inc?pageNo=894", "Renesas Electronics")</f>
        <v>Renesas Electronics</v>
      </c>
      <c r="C48037" s="6">
        <v>5000</v>
      </c>
      <c r="D48037" s="7">
        <v>0.33</v>
      </c>
    </row>
    <row r="48038" spans="1:4" x14ac:dyDescent="0.25">
      <c r="A48038" t="str">
        <f>HYPERLINK("https://www.773grp.com/globalSearch/HZ12B2LTD-E/page-1", "HZ12B2LTD-E")</f>
        <v>HZ12B2LTD-E</v>
      </c>
      <c r="B48038" s="3" t="str">
        <f>HYPERLINK("https://www.773grp.com/manufacturer/renesas-electronics-america-inc?pageNo=1", "Renesas Electronics")</f>
        <v>Renesas Electronics</v>
      </c>
      <c r="C48038" s="6">
        <v>30000</v>
      </c>
      <c r="D48038" s="7">
        <v>0.33</v>
      </c>
    </row>
    <row r="48039" spans="1:4" x14ac:dyDescent="0.25">
      <c r="A48039" t="str">
        <f>HYPERLINK("https://www.773grp.com/globalSearch/HZ15-1L-E/page-1", "HZ15-1L-E")</f>
        <v>HZ15-1L-E</v>
      </c>
      <c r="B48039" s="3" t="str">
        <f>HYPERLINK("https://www.773grp.com/manufacturer/renesas-electronics-america-inc?pageNo=2", "Renesas Electronics")</f>
        <v>Renesas Electronics</v>
      </c>
      <c r="C48039" s="6">
        <v>6000</v>
      </c>
      <c r="D48039" s="7">
        <v>0.33</v>
      </c>
    </row>
    <row r="48040" spans="1:4" x14ac:dyDescent="0.25">
      <c r="A48040" t="str">
        <f>HYPERLINK("https://www.773grp.com/globalSearch/HZ15-3LTD-E/page-1", "HZ15-3LTD-E")</f>
        <v>HZ15-3LTD-E</v>
      </c>
      <c r="B48040" s="3" t="str">
        <f>HYPERLINK("https://www.773grp.com/manufacturer/renesas-electronics-america-inc?pageNo=3", "Renesas Electronics")</f>
        <v>Renesas Electronics</v>
      </c>
      <c r="C48040" s="6">
        <v>15000</v>
      </c>
      <c r="D48040" s="7">
        <v>0.33</v>
      </c>
    </row>
    <row r="48041" spans="1:4" x14ac:dyDescent="0.25">
      <c r="A48041" t="str">
        <f>HYPERLINK("https://www.773grp.com/globalSearch/HZ16-1L-E/page-1", "HZ16-1L-E")</f>
        <v>HZ16-1L-E</v>
      </c>
      <c r="B48041" s="3" t="str">
        <f>HYPERLINK("https://www.773grp.com/manufacturer/renesas-electronics-america-inc?pageNo=4", "Renesas Electronics")</f>
        <v>Renesas Electronics</v>
      </c>
      <c r="C48041" s="6">
        <v>34000</v>
      </c>
      <c r="D48041" s="7">
        <v>0.33</v>
      </c>
    </row>
    <row r="48042" spans="1:4" x14ac:dyDescent="0.25">
      <c r="A48042" t="str">
        <f>HYPERLINK("https://www.773grp.com/globalSearch/HZ16-1LTD-E/page-1", "HZ16-1LTD-E")</f>
        <v>HZ16-1LTD-E</v>
      </c>
      <c r="B48042" s="3" t="str">
        <f>HYPERLINK("https://www.773grp.com/manufacturer/renesas-electronics-america-inc?pageNo=5", "Renesas Electronics")</f>
        <v>Renesas Electronics</v>
      </c>
      <c r="C48042" s="6">
        <v>5000</v>
      </c>
      <c r="D48042" s="7">
        <v>0.33</v>
      </c>
    </row>
    <row r="48043" spans="1:4" x14ac:dyDescent="0.25">
      <c r="A48043" t="str">
        <f>HYPERLINK("https://www.773grp.com/globalSearch/HZ16-2LTD-E/page-1", "HZ16-2LTD-E")</f>
        <v>HZ16-2LTD-E</v>
      </c>
      <c r="B48043" s="3" t="str">
        <f>HYPERLINK("https://www.773grp.com/manufacturer/renesas-electronics-america-inc?pageNo=6", "Renesas Electronics")</f>
        <v>Renesas Electronics</v>
      </c>
      <c r="C48043" s="6">
        <v>20000</v>
      </c>
      <c r="D48043" s="7">
        <v>0.33</v>
      </c>
    </row>
    <row r="48044" spans="1:4" x14ac:dyDescent="0.25">
      <c r="A48044" t="str">
        <f>HYPERLINK("https://www.773grp.com/globalSearch/HZ16-3L-E/page-1", "HZ16-3L-E")</f>
        <v>HZ16-3L-E</v>
      </c>
      <c r="B48044" s="3" t="str">
        <f>HYPERLINK("https://www.773grp.com/manufacturer/renesas-electronics-america-inc?pageNo=7", "Renesas Electronics")</f>
        <v>Renesas Electronics</v>
      </c>
      <c r="C48044" s="6">
        <v>6000</v>
      </c>
      <c r="D48044" s="7">
        <v>0.33</v>
      </c>
    </row>
    <row r="48045" spans="1:4" x14ac:dyDescent="0.25">
      <c r="A48045" t="str">
        <f>HYPERLINK("https://www.773grp.com/globalSearch/HZ16-3TA-E/page-1", "HZ16-3TA-E")</f>
        <v>HZ16-3TA-E</v>
      </c>
      <c r="B48045" s="3" t="str">
        <f>HYPERLINK("https://www.773grp.com/manufacturer/renesas-electronics-america-inc?pageNo=8", "Renesas Electronics")</f>
        <v>Renesas Electronics</v>
      </c>
      <c r="C48045" s="6">
        <v>30000</v>
      </c>
      <c r="D48045" s="7">
        <v>0.33</v>
      </c>
    </row>
    <row r="48046" spans="1:4" x14ac:dyDescent="0.25">
      <c r="A48046" t="str">
        <f>HYPERLINK("https://www.773grp.com/globalSearch/HZ20-2-E/page-1", "HZ20-2-E")</f>
        <v>HZ20-2-E</v>
      </c>
      <c r="B48046" s="3" t="str">
        <f>HYPERLINK("https://www.773grp.com/manufacturer/renesas-electronics-america-inc?pageNo=9", "Renesas Electronics")</f>
        <v>Renesas Electronics</v>
      </c>
      <c r="C48046" s="6">
        <v>6980</v>
      </c>
      <c r="D48046" s="7">
        <v>0.33</v>
      </c>
    </row>
    <row r="48047" spans="1:4" x14ac:dyDescent="0.25">
      <c r="A48047" t="str">
        <f>HYPERLINK("https://www.773grp.com/globalSearch/HZ22-1TD-E/page-1", "HZ22-1TD-E")</f>
        <v>HZ22-1TD-E</v>
      </c>
      <c r="B48047" s="3" t="str">
        <f>HYPERLINK("https://www.773grp.com/manufacturer/renesas-electronics-america-inc?pageNo=10", "Renesas Electronics")</f>
        <v>Renesas Electronics</v>
      </c>
      <c r="C48047" s="6">
        <v>15000</v>
      </c>
      <c r="D48047" s="7">
        <v>0.33</v>
      </c>
    </row>
    <row r="48048" spans="1:4" x14ac:dyDescent="0.25">
      <c r="A48048" t="str">
        <f>HYPERLINK("https://www.773grp.com/globalSearch/HZ22-3TD-E/page-1", "HZ22-3TD-E")</f>
        <v>HZ22-3TD-E</v>
      </c>
      <c r="B48048" s="3" t="str">
        <f>HYPERLINK("https://www.773grp.com/manufacturer/renesas-electronics-america-inc?pageNo=11", "Renesas Electronics")</f>
        <v>Renesas Electronics</v>
      </c>
      <c r="C48048" s="6">
        <v>12500</v>
      </c>
      <c r="D48048" s="7">
        <v>0.33</v>
      </c>
    </row>
    <row r="48049" spans="1:4" x14ac:dyDescent="0.25">
      <c r="A48049" t="str">
        <f>HYPERLINK("https://www.773grp.com/globalSearch/HZ24-1JTA-E/page-1", "HZ24-1JTA-E")</f>
        <v>HZ24-1JTA-E</v>
      </c>
      <c r="B48049" s="3" t="str">
        <f>HYPERLINK("https://www.773grp.com/manufacturer/renesas-electronics-america-inc?pageNo=12", "Renesas Electronics")</f>
        <v>Renesas Electronics</v>
      </c>
      <c r="C48049" s="6">
        <v>20000</v>
      </c>
      <c r="D48049" s="7">
        <v>0.33</v>
      </c>
    </row>
    <row r="48050" spans="1:4" x14ac:dyDescent="0.25">
      <c r="A48050" t="str">
        <f>HYPERLINK("https://www.773grp.com/globalSearch/HZ24-1LRE-E/page-1", "HZ24-1LRE-E")</f>
        <v>HZ24-1LRE-E</v>
      </c>
      <c r="B48050" s="3" t="str">
        <f>HYPERLINK("https://www.773grp.com/manufacturer/renesas-electronics-america-inc?pageNo=13", "Renesas Electronics")</f>
        <v>Renesas Electronics</v>
      </c>
      <c r="C48050" s="6">
        <v>4000</v>
      </c>
      <c r="D48050" s="7">
        <v>0.33</v>
      </c>
    </row>
    <row r="48051" spans="1:4" x14ac:dyDescent="0.25">
      <c r="A48051" t="str">
        <f>HYPERLINK("https://www.773grp.com/globalSearch/HZ24-1LTD-E/page-1", "HZ24-1LTD-E")</f>
        <v>HZ24-1LTD-E</v>
      </c>
      <c r="B48051" s="3" t="str">
        <f>HYPERLINK("https://www.773grp.com/manufacturer/renesas-electronics-america-inc?pageNo=14", "Renesas Electronics")</f>
        <v>Renesas Electronics</v>
      </c>
      <c r="C48051" s="6">
        <v>27500</v>
      </c>
      <c r="D48051" s="7">
        <v>0.33</v>
      </c>
    </row>
    <row r="48052" spans="1:4" x14ac:dyDescent="0.25">
      <c r="A48052" t="str">
        <f>HYPERLINK("https://www.773grp.com/globalSearch/HZ24-2LTD-E/page-1", "HZ24-2LTD-E")</f>
        <v>HZ24-2LTD-E</v>
      </c>
      <c r="B48052" s="3" t="str">
        <f>HYPERLINK("https://www.773grp.com/manufacturer/renesas-electronics-america-inc?pageNo=15", "Renesas Electronics")</f>
        <v>Renesas Electronics</v>
      </c>
      <c r="C48052" s="6">
        <v>10000</v>
      </c>
      <c r="D48052" s="7">
        <v>0.33</v>
      </c>
    </row>
    <row r="48053" spans="1:4" x14ac:dyDescent="0.25">
      <c r="A48053" t="str">
        <f>HYPERLINK("https://www.773grp.com/globalSearch/HZ24-3TE-E/page-1", "HZ24-3TE-E")</f>
        <v>HZ24-3TE-E</v>
      </c>
      <c r="B48053" s="3" t="str">
        <f>HYPERLINK("https://www.773grp.com/manufacturer/renesas-electronics-america-inc?pageNo=16", "Renesas Electronics")</f>
        <v>Renesas Electronics</v>
      </c>
      <c r="C48053" s="6">
        <v>15000</v>
      </c>
      <c r="D48053" s="7">
        <v>0.33</v>
      </c>
    </row>
    <row r="48054" spans="1:4" x14ac:dyDescent="0.25">
      <c r="A48054" t="str">
        <f>HYPERLINK("https://www.773grp.com/globalSearch/HZ27-2LTD-E/page-1", "HZ27-2LTD-E")</f>
        <v>HZ27-2LTD-E</v>
      </c>
      <c r="B48054" s="3" t="str">
        <f>HYPERLINK("https://www.773grp.com/manufacturer/renesas-electronics-america-inc?pageNo=17", "Renesas Electronics")</f>
        <v>Renesas Electronics</v>
      </c>
      <c r="C48054" s="6">
        <v>42500</v>
      </c>
      <c r="D48054" s="7">
        <v>0.33</v>
      </c>
    </row>
    <row r="48055" spans="1:4" x14ac:dyDescent="0.25">
      <c r="A48055" t="str">
        <f>HYPERLINK("https://www.773grp.com/globalSearch/HZ27-2TD-E/page-1", "HZ27-2TD-E")</f>
        <v>HZ27-2TD-E</v>
      </c>
      <c r="B48055" s="3" t="str">
        <f>HYPERLINK("https://www.773grp.com/manufacturer/renesas-electronics-america-inc?pageNo=18", "Renesas Electronics")</f>
        <v>Renesas Electronics</v>
      </c>
      <c r="C48055" s="6">
        <v>5000</v>
      </c>
      <c r="D48055" s="7">
        <v>0.33</v>
      </c>
    </row>
    <row r="48056" spans="1:4" x14ac:dyDescent="0.25">
      <c r="A48056" t="str">
        <f>HYPERLINK("https://www.773grp.com/globalSearch/HZ27-3LRE-E/page-1", "HZ27-3LRE-E")</f>
        <v>HZ27-3LRE-E</v>
      </c>
      <c r="B48056" s="3" t="str">
        <f>HYPERLINK("https://www.773grp.com/manufacturer/renesas-electronics-america-inc?pageNo=19", "Renesas Electronics")</f>
        <v>Renesas Electronics</v>
      </c>
      <c r="C48056" s="6">
        <v>20000</v>
      </c>
      <c r="D48056" s="7">
        <v>0.33</v>
      </c>
    </row>
    <row r="48057" spans="1:4" x14ac:dyDescent="0.25">
      <c r="A48057" t="str">
        <f>HYPERLINK("https://www.773grp.com/globalSearch/HZ2A2TD-E/page-1", "HZ2A2TD-E")</f>
        <v>HZ2A2TD-E</v>
      </c>
      <c r="B48057" s="3" t="str">
        <f>HYPERLINK("https://www.773grp.com/manufacturer/renesas-electronics-america-inc?pageNo=20", "Renesas Electronics")</f>
        <v>Renesas Electronics</v>
      </c>
      <c r="C48057" s="6">
        <v>2500</v>
      </c>
      <c r="D48057" s="7">
        <v>0.33</v>
      </c>
    </row>
    <row r="48058" spans="1:4" x14ac:dyDescent="0.25">
      <c r="A48058" t="str">
        <f>HYPERLINK("https://www.773grp.com/globalSearch/HZ2ALLTA-E/page-1", "HZ2ALLTA-E")</f>
        <v>HZ2ALLTA-E</v>
      </c>
      <c r="B48058" s="3" t="str">
        <f>HYPERLINK("https://www.773grp.com/manufacturer/renesas-electronics-america-inc?pageNo=21", "Renesas Electronics")</f>
        <v>Renesas Electronics</v>
      </c>
      <c r="C48058" s="6">
        <v>15000</v>
      </c>
      <c r="D48058" s="7">
        <v>0.33</v>
      </c>
    </row>
    <row r="48059" spans="1:4" x14ac:dyDescent="0.25">
      <c r="A48059" t="str">
        <f>HYPERLINK("https://www.773grp.com/globalSearch/HZ2B1-E/page-1", "HZ2B1-E")</f>
        <v>HZ2B1-E</v>
      </c>
      <c r="B48059" s="3" t="str">
        <f>HYPERLINK("https://www.773grp.com/manufacturer/renesas-electronics-america-inc?pageNo=22", "Renesas Electronics")</f>
        <v>Renesas Electronics</v>
      </c>
      <c r="C48059" s="6">
        <v>23990</v>
      </c>
      <c r="D48059" s="7">
        <v>0.33</v>
      </c>
    </row>
    <row r="48060" spans="1:4" x14ac:dyDescent="0.25">
      <c r="A48060" t="str">
        <f>HYPERLINK("https://www.773grp.com/globalSearch/HZ2BLLTD-E/page-1", "HZ2BLLTD-E")</f>
        <v>HZ2BLLTD-E</v>
      </c>
      <c r="B48060" s="3" t="str">
        <f>HYPERLINK("https://www.773grp.com/manufacturer/renesas-electronics-america-inc?pageNo=23", "Renesas Electronics")</f>
        <v>Renesas Electronics</v>
      </c>
      <c r="C48060" s="6">
        <v>7500</v>
      </c>
      <c r="D48060" s="7">
        <v>0.33</v>
      </c>
    </row>
    <row r="48061" spans="1:4" x14ac:dyDescent="0.25">
      <c r="A48061" t="str">
        <f>HYPERLINK("https://www.773grp.com/globalSearch/HZ2C2TD-E/page-1", "HZ2C2TD-E")</f>
        <v>HZ2C2TD-E</v>
      </c>
      <c r="B48061" s="3" t="str">
        <f>HYPERLINK("https://www.773grp.com/manufacturer/renesas-electronics-america-inc?pageNo=24", "Renesas Electronics")</f>
        <v>Renesas Electronics</v>
      </c>
      <c r="C48061" s="6">
        <v>17500</v>
      </c>
      <c r="D48061" s="7">
        <v>0.33</v>
      </c>
    </row>
    <row r="48062" spans="1:4" x14ac:dyDescent="0.25">
      <c r="A48062" t="str">
        <f>HYPERLINK("https://www.773grp.com/globalSearch/HZ30-2LTD-E/page-1", "HZ30-2LTD-E")</f>
        <v>HZ30-2LTD-E</v>
      </c>
      <c r="B48062" s="3" t="str">
        <f>HYPERLINK("https://www.773grp.com/manufacturer/renesas-electronics-america-inc?pageNo=25", "Renesas Electronics")</f>
        <v>Renesas Electronics</v>
      </c>
      <c r="C48062" s="6">
        <v>15000</v>
      </c>
      <c r="D48062" s="7">
        <v>0.33</v>
      </c>
    </row>
    <row r="48063" spans="1:4" x14ac:dyDescent="0.25">
      <c r="A48063" t="str">
        <f>HYPERLINK("https://www.773grp.com/globalSearch/HZ30-3-E/page-1", "HZ30-3-E")</f>
        <v>HZ30-3-E</v>
      </c>
      <c r="B48063" s="3" t="str">
        <f>HYPERLINK("https://www.773grp.com/manufacturer/renesas-electronics-america-inc?pageNo=26", "Renesas Electronics")</f>
        <v>Renesas Electronics</v>
      </c>
      <c r="C48063" s="6">
        <v>20000</v>
      </c>
      <c r="D48063" s="7">
        <v>0.33</v>
      </c>
    </row>
    <row r="48064" spans="1:4" x14ac:dyDescent="0.25">
      <c r="A48064" t="str">
        <f>HYPERLINK("https://www.773grp.com/globalSearch/HZ30-3TD-E/page-1", "HZ30-3TD-E")</f>
        <v>HZ30-3TD-E</v>
      </c>
      <c r="B48064" s="3" t="str">
        <f>HYPERLINK("https://www.773grp.com/manufacturer/renesas-electronics-america-inc?pageNo=27", "Renesas Electronics")</f>
        <v>Renesas Electronics</v>
      </c>
      <c r="C48064" s="6">
        <v>12500</v>
      </c>
      <c r="D48064" s="7">
        <v>0.33</v>
      </c>
    </row>
    <row r="48065" spans="1:4" x14ac:dyDescent="0.25">
      <c r="A48065" t="str">
        <f>HYPERLINK("https://www.773grp.com/globalSearch/HZ33-1-E/page-1", "HZ33-1-E")</f>
        <v>HZ33-1-E</v>
      </c>
      <c r="B48065" s="3" t="str">
        <f>HYPERLINK("https://www.773grp.com/manufacturer/renesas-electronics-america-inc?pageNo=28", "Renesas Electronics")</f>
        <v>Renesas Electronics</v>
      </c>
      <c r="C48065" s="6">
        <v>7500</v>
      </c>
      <c r="D48065" s="7">
        <v>0.33</v>
      </c>
    </row>
    <row r="48066" spans="1:4" x14ac:dyDescent="0.25">
      <c r="A48066" t="str">
        <f>HYPERLINK("https://www.773grp.com/globalSearch/HZ33-1L-E/page-1", "HZ33-1L-E")</f>
        <v>HZ33-1L-E</v>
      </c>
      <c r="B48066" s="3" t="str">
        <f>HYPERLINK("https://www.773grp.com/manufacturer/renesas-electronics-america-inc?pageNo=29", "Renesas Electronics")</f>
        <v>Renesas Electronics</v>
      </c>
      <c r="C48066" s="6">
        <v>7400</v>
      </c>
      <c r="D48066" s="7">
        <v>0.33</v>
      </c>
    </row>
    <row r="48067" spans="1:4" x14ac:dyDescent="0.25">
      <c r="A48067" t="str">
        <f>HYPERLINK("https://www.773grp.com/globalSearch/HZ33-2-E/page-1", "HZ33-2-E")</f>
        <v>HZ33-2-E</v>
      </c>
      <c r="B48067" s="3" t="str">
        <f>HYPERLINK("https://www.773grp.com/manufacturer/renesas-electronics-america-inc?pageNo=30", "Renesas Electronics")</f>
        <v>Renesas Electronics</v>
      </c>
      <c r="C48067" s="6">
        <v>22000</v>
      </c>
      <c r="D48067" s="7">
        <v>0.33</v>
      </c>
    </row>
    <row r="48068" spans="1:4" x14ac:dyDescent="0.25">
      <c r="A48068" t="str">
        <f>HYPERLINK("https://www.773grp.com/globalSearch/HZ33-2TA-E/page-1", "HZ33-2TA-E")</f>
        <v>HZ33-2TA-E</v>
      </c>
      <c r="B48068" s="3" t="str">
        <f>HYPERLINK("https://www.773grp.com/manufacturer/renesas-electronics-america-inc?pageNo=31", "Renesas Electronics")</f>
        <v>Renesas Electronics</v>
      </c>
      <c r="C48068" s="6">
        <v>15000</v>
      </c>
      <c r="D48068" s="7">
        <v>0.33</v>
      </c>
    </row>
    <row r="48069" spans="1:4" x14ac:dyDescent="0.25">
      <c r="A48069" t="str">
        <f>HYPERLINK("https://www.773grp.com/globalSearch/HZ36-1TD-E/page-1", "HZ36-1TD-E")</f>
        <v>HZ36-1TD-E</v>
      </c>
      <c r="B48069" s="3" t="str">
        <f>HYPERLINK("https://www.773grp.com/manufacturer/renesas-electronics-america-inc?pageNo=32", "Renesas Electronics")</f>
        <v>Renesas Electronics</v>
      </c>
      <c r="C48069" s="6">
        <v>10000</v>
      </c>
      <c r="D48069" s="7">
        <v>0.33</v>
      </c>
    </row>
    <row r="48070" spans="1:4" x14ac:dyDescent="0.25">
      <c r="A48070" t="str">
        <f>HYPERLINK("https://www.773grp.com/globalSearch/HZ36-3TD-P-E/page-1", "HZ36-3TD-P-E")</f>
        <v>HZ36-3TD-P-E</v>
      </c>
      <c r="B48070" s="3" t="str">
        <f>HYPERLINK("https://www.773grp.com/manufacturer/renesas-electronics-america-inc?pageNo=33", "Renesas Electronics")</f>
        <v>Renesas Electronics</v>
      </c>
      <c r="C48070" s="6">
        <v>30000</v>
      </c>
      <c r="D48070" s="7">
        <v>0.33</v>
      </c>
    </row>
    <row r="48071" spans="1:4" x14ac:dyDescent="0.25">
      <c r="A48071" t="str">
        <f>HYPERLINK("https://www.773grp.com/globalSearch/HZ3B1TD-E/page-1", "HZ3B1TD-E")</f>
        <v>HZ3B1TD-E</v>
      </c>
      <c r="B48071" s="3" t="str">
        <f>HYPERLINK("https://www.773grp.com/manufacturer/renesas-electronics-america-inc?pageNo=34", "Renesas Electronics")</f>
        <v>Renesas Electronics</v>
      </c>
      <c r="C48071" s="6">
        <v>25000</v>
      </c>
      <c r="D48071" s="7">
        <v>0.33</v>
      </c>
    </row>
    <row r="48072" spans="1:4" x14ac:dyDescent="0.25">
      <c r="A48072" t="str">
        <f>HYPERLINK("https://www.773grp.com/globalSearch/HZ3B3TD-E/page-1", "HZ3B3TD-E")</f>
        <v>HZ3B3TD-E</v>
      </c>
      <c r="B48072" s="3" t="str">
        <f>HYPERLINK("https://www.773grp.com/manufacturer/renesas-electronics-america-inc?pageNo=35", "Renesas Electronics")</f>
        <v>Renesas Electronics</v>
      </c>
      <c r="C48072" s="6">
        <v>5000</v>
      </c>
      <c r="D48072" s="7">
        <v>0.33</v>
      </c>
    </row>
    <row r="48073" spans="1:4" x14ac:dyDescent="0.25">
      <c r="A48073" t="str">
        <f>HYPERLINK("https://www.773grp.com/globalSearch/HZ3C1TA/page-1", "HZ3C1TA")</f>
        <v>HZ3C1TA</v>
      </c>
      <c r="B48073" s="3" t="str">
        <f>HYPERLINK("https://www.773grp.com/manufacturer/renesas-electronics-america-inc?pageNo=36", "Renesas Electronics")</f>
        <v>Renesas Electronics</v>
      </c>
      <c r="C48073" s="6">
        <v>5000</v>
      </c>
      <c r="D48073" s="7">
        <v>0.33</v>
      </c>
    </row>
    <row r="48074" spans="1:4" x14ac:dyDescent="0.25">
      <c r="A48074" t="str">
        <f>HYPERLINK("https://www.773grp.com/globalSearch/HZ3C3JTA-E/page-1", "HZ3C3JTA-E")</f>
        <v>HZ3C3JTA-E</v>
      </c>
      <c r="B48074" s="3" t="str">
        <f>HYPERLINK("https://www.773grp.com/manufacturer/renesas-electronics-america-inc?pageNo=37", "Renesas Electronics")</f>
        <v>Renesas Electronics</v>
      </c>
      <c r="C48074" s="6">
        <v>20000</v>
      </c>
      <c r="D48074" s="7">
        <v>0.33</v>
      </c>
    </row>
    <row r="48075" spans="1:4" x14ac:dyDescent="0.25">
      <c r="A48075" t="str">
        <f>HYPERLINK("https://www.773grp.com/globalSearch/HZ3C3TD-E/page-1", "HZ3C3TD-E")</f>
        <v>HZ3C3TD-E</v>
      </c>
      <c r="B48075" s="3" t="str">
        <f>HYPERLINK("https://www.773grp.com/manufacturer/renesas-electronics-america-inc?pageNo=38", "Renesas Electronics")</f>
        <v>Renesas Electronics</v>
      </c>
      <c r="C48075" s="6">
        <v>20000</v>
      </c>
      <c r="D48075" s="7">
        <v>0.33</v>
      </c>
    </row>
    <row r="48076" spans="1:4" x14ac:dyDescent="0.25">
      <c r="A48076" t="str">
        <f>HYPERLINK("https://www.773grp.com/globalSearch/HZ3CLL-JTA-E/page-1", "HZ3CLL-JTA-E")</f>
        <v>HZ3CLL-JTA-E</v>
      </c>
      <c r="B48076" s="3" t="str">
        <f>HYPERLINK("https://www.773grp.com/manufacturer/renesas-electronics-america-inc?pageNo=39", "Renesas Electronics")</f>
        <v>Renesas Electronics</v>
      </c>
      <c r="C48076" s="6">
        <v>15000</v>
      </c>
      <c r="D48076" s="7">
        <v>0.33</v>
      </c>
    </row>
    <row r="48077" spans="1:4" x14ac:dyDescent="0.25">
      <c r="A48077" t="str">
        <f>HYPERLINK("https://www.773grp.com/globalSearch/HZ4A1JTA-E/page-1", "HZ4A1JTA-E")</f>
        <v>HZ4A1JTA-E</v>
      </c>
      <c r="B48077" s="3" t="str">
        <f>HYPERLINK("https://www.773grp.com/manufacturer/renesas-electronics-america-inc?pageNo=40", "Renesas Electronics")</f>
        <v>Renesas Electronics</v>
      </c>
      <c r="C48077" s="6">
        <v>10000</v>
      </c>
      <c r="D48077" s="7">
        <v>0.33</v>
      </c>
    </row>
    <row r="48078" spans="1:4" x14ac:dyDescent="0.25">
      <c r="A48078" t="str">
        <f>HYPERLINK("https://www.773grp.com/globalSearch/HZ4A2J-E/page-1", "HZ4A2J-E")</f>
        <v>HZ4A2J-E</v>
      </c>
      <c r="B48078" s="3" t="str">
        <f>HYPERLINK("https://www.773grp.com/manufacturer/renesas-electronics-america-inc?pageNo=41", "Renesas Electronics")</f>
        <v>Renesas Electronics</v>
      </c>
      <c r="C48078" s="6">
        <v>11000</v>
      </c>
      <c r="D48078" s="7">
        <v>0.33</v>
      </c>
    </row>
    <row r="48079" spans="1:4" x14ac:dyDescent="0.25">
      <c r="A48079" t="str">
        <f>HYPERLINK("https://www.773grp.com/globalSearch/HZ4B3-E/page-1", "HZ4B3-E")</f>
        <v>HZ4B3-E</v>
      </c>
      <c r="B48079" s="3" t="str">
        <f>HYPERLINK("https://www.773grp.com/manufacturer/renesas-electronics-america-inc?pageNo=42", "Renesas Electronics")</f>
        <v>Renesas Electronics</v>
      </c>
      <c r="C48079" s="6">
        <v>12500</v>
      </c>
      <c r="D48079" s="7">
        <v>0.33</v>
      </c>
    </row>
    <row r="48080" spans="1:4" x14ac:dyDescent="0.25">
      <c r="A48080" t="str">
        <f>HYPERLINK("https://www.773grp.com/globalSearch/HZ4BLL-E/page-1", "HZ4BLL-E")</f>
        <v>HZ4BLL-E</v>
      </c>
      <c r="B48080" s="3" t="str">
        <f>HYPERLINK("https://www.773grp.com/manufacturer/renesas-electronics-america-inc?pageNo=43", "Renesas Electronics")</f>
        <v>Renesas Electronics</v>
      </c>
      <c r="C48080" s="6">
        <v>4500</v>
      </c>
      <c r="D48080" s="7">
        <v>0.33</v>
      </c>
    </row>
    <row r="48081" spans="1:4" x14ac:dyDescent="0.25">
      <c r="A48081" t="str">
        <f>HYPERLINK("https://www.773grp.com/globalSearch/HZ4BLLTD-E/page-1", "HZ4BLLTD-E")</f>
        <v>HZ4BLLTD-E</v>
      </c>
      <c r="B48081" s="3" t="str">
        <f>HYPERLINK("https://www.773grp.com/manufacturer/renesas-electronics-america-inc?pageNo=44", "Renesas Electronics")</f>
        <v>Renesas Electronics</v>
      </c>
      <c r="C48081" s="6">
        <v>17500</v>
      </c>
      <c r="D48081" s="7">
        <v>0.33</v>
      </c>
    </row>
    <row r="48082" spans="1:4" x14ac:dyDescent="0.25">
      <c r="A48082" t="str">
        <f>HYPERLINK("https://www.773grp.com/globalSearch/HZ4C1-E/page-1", "HZ4C1-E")</f>
        <v>HZ4C1-E</v>
      </c>
      <c r="B48082" s="3" t="str">
        <f>HYPERLINK("https://www.773grp.com/manufacturer/renesas-electronics-america-inc?pageNo=45", "Renesas Electronics")</f>
        <v>Renesas Electronics</v>
      </c>
      <c r="C48082" s="6">
        <v>2500</v>
      </c>
      <c r="D48082" s="7">
        <v>0.33</v>
      </c>
    </row>
    <row r="48083" spans="1:4" x14ac:dyDescent="0.25">
      <c r="A48083" t="str">
        <f>HYPERLINK("https://www.773grp.com/globalSearch/HZ4C1TD-E/page-1", "HZ4C1TD-E")</f>
        <v>HZ4C1TD-E</v>
      </c>
      <c r="B48083" s="3" t="str">
        <f>HYPERLINK("https://www.773grp.com/manufacturer/renesas-electronics-america-inc?pageNo=46", "Renesas Electronics")</f>
        <v>Renesas Electronics</v>
      </c>
      <c r="C48083" s="6">
        <v>10000</v>
      </c>
      <c r="D48083" s="7">
        <v>0.33</v>
      </c>
    </row>
    <row r="48084" spans="1:4" x14ac:dyDescent="0.25">
      <c r="A48084" t="str">
        <f>HYPERLINK("https://www.773grp.com/globalSearch/HZ4C3J-E/page-1", "HZ4C3J-E")</f>
        <v>HZ4C3J-E</v>
      </c>
      <c r="B48084" s="3" t="str">
        <f>HYPERLINK("https://www.773grp.com/manufacturer/renesas-electronics-america-inc?pageNo=47", "Renesas Electronics")</f>
        <v>Renesas Electronics</v>
      </c>
      <c r="C48084" s="6">
        <v>11500</v>
      </c>
      <c r="D48084" s="7">
        <v>0.33</v>
      </c>
    </row>
    <row r="48085" spans="1:4" x14ac:dyDescent="0.25">
      <c r="A48085" t="str">
        <f>HYPERLINK("https://www.773grp.com/globalSearch/HZ4CLL-E/page-1", "HZ4CLL-E")</f>
        <v>HZ4CLL-E</v>
      </c>
      <c r="B48085" s="3" t="str">
        <f>HYPERLINK("https://www.773grp.com/manufacturer/renesas-electronics-america-inc?pageNo=48", "Renesas Electronics")</f>
        <v>Renesas Electronics</v>
      </c>
      <c r="C48085" s="6">
        <v>5285</v>
      </c>
      <c r="D48085" s="7">
        <v>0.33</v>
      </c>
    </row>
    <row r="48086" spans="1:4" x14ac:dyDescent="0.25">
      <c r="A48086" t="str">
        <f>HYPERLINK("https://www.773grp.com/globalSearch/HZ5A2-E/page-1", "HZ5A2-E")</f>
        <v>HZ5A2-E</v>
      </c>
      <c r="B48086" s="3" t="str">
        <f>HYPERLINK("https://www.773grp.com/manufacturer/renesas-electronics-america-inc?pageNo=49", "Renesas Electronics")</f>
        <v>Renesas Electronics</v>
      </c>
      <c r="C48086" s="6">
        <v>15000</v>
      </c>
      <c r="D48086" s="7">
        <v>0.33</v>
      </c>
    </row>
    <row r="48087" spans="1:4" x14ac:dyDescent="0.25">
      <c r="A48087" t="str">
        <f>HYPERLINK("https://www.773grp.com/globalSearch/HZ5A2RE-E/page-1", "HZ5A2RE-E")</f>
        <v>HZ5A2RE-E</v>
      </c>
      <c r="B48087" s="3" t="str">
        <f>HYPERLINK("https://www.773grp.com/manufacturer/renesas-electronics-america-inc?pageNo=50", "Renesas Electronics")</f>
        <v>Renesas Electronics</v>
      </c>
      <c r="C48087" s="6">
        <v>12000</v>
      </c>
      <c r="D48087" s="7">
        <v>0.33</v>
      </c>
    </row>
    <row r="48088" spans="1:4" x14ac:dyDescent="0.25">
      <c r="A48088" t="str">
        <f>HYPERLINK("https://www.773grp.com/globalSearch/HZ5A2TD-E/page-1", "HZ5A2TD-E")</f>
        <v>HZ5A2TD-E</v>
      </c>
      <c r="B48088" s="3" t="str">
        <f>HYPERLINK("https://www.773grp.com/manufacturer/renesas-electronics-america-inc?pageNo=51", "Renesas Electronics")</f>
        <v>Renesas Electronics</v>
      </c>
      <c r="C48088" s="6">
        <v>10000</v>
      </c>
      <c r="D48088" s="7">
        <v>0.33</v>
      </c>
    </row>
    <row r="48089" spans="1:4" x14ac:dyDescent="0.25">
      <c r="A48089" t="str">
        <f>HYPERLINK("https://www.773grp.com/globalSearch/HZ5ALL-E/page-1", "HZ5ALL-E")</f>
        <v>HZ5ALL-E</v>
      </c>
      <c r="B48089" s="3" t="str">
        <f>HYPERLINK("https://www.773grp.com/manufacturer/renesas-electronics-america-inc?pageNo=52", "Renesas Electronics")</f>
        <v>Renesas Electronics</v>
      </c>
      <c r="C48089" s="6">
        <v>40000</v>
      </c>
      <c r="D48089" s="7">
        <v>0.33</v>
      </c>
    </row>
    <row r="48090" spans="1:4" x14ac:dyDescent="0.25">
      <c r="A48090" t="str">
        <f>HYPERLINK("https://www.773grp.com/globalSearch/HZ5ALLRE-E/page-1", "HZ5ALLRE-E")</f>
        <v>HZ5ALLRE-E</v>
      </c>
      <c r="B48090" s="3" t="str">
        <f>HYPERLINK("https://www.773grp.com/manufacturer/renesas-electronics-america-inc?pageNo=53", "Renesas Electronics")</f>
        <v>Renesas Electronics</v>
      </c>
      <c r="C48090" s="6">
        <v>8000</v>
      </c>
      <c r="D48090" s="7">
        <v>0.33</v>
      </c>
    </row>
    <row r="48091" spans="1:4" x14ac:dyDescent="0.25">
      <c r="A48091" t="str">
        <f>HYPERLINK("https://www.773grp.com/globalSearch/HZ5B2JTA-E/page-1", "HZ5B2JTA-E")</f>
        <v>HZ5B2JTA-E</v>
      </c>
      <c r="B48091" s="3" t="str">
        <f>HYPERLINK("https://www.773grp.com/manufacturer/renesas-electronics-america-inc?pageNo=54", "Renesas Electronics")</f>
        <v>Renesas Electronics</v>
      </c>
      <c r="C48091" s="6">
        <v>5000</v>
      </c>
      <c r="D48091" s="7">
        <v>0.33</v>
      </c>
    </row>
    <row r="48092" spans="1:4" x14ac:dyDescent="0.25">
      <c r="A48092" t="str">
        <f>HYPERLINK("https://www.773grp.com/globalSearch/HZ5C1J-E/page-1", "HZ5C1J-E")</f>
        <v>HZ5C1J-E</v>
      </c>
      <c r="B48092" s="3" t="str">
        <f>HYPERLINK("https://www.773grp.com/manufacturer/renesas-electronics-america-inc?pageNo=55", "Renesas Electronics")</f>
        <v>Renesas Electronics</v>
      </c>
      <c r="C48092" s="6">
        <v>17500</v>
      </c>
      <c r="D48092" s="7">
        <v>0.33</v>
      </c>
    </row>
    <row r="48093" spans="1:4" x14ac:dyDescent="0.25">
      <c r="A48093" t="str">
        <f>HYPERLINK("https://www.773grp.com/globalSearch/HZ5C3TD-E/page-1", "HZ5C3TD-E")</f>
        <v>HZ5C3TD-E</v>
      </c>
      <c r="B48093" s="3" t="str">
        <f>HYPERLINK("https://www.773grp.com/manufacturer/renesas-electronics-america-inc?pageNo=56", "Renesas Electronics")</f>
        <v>Renesas Electronics</v>
      </c>
      <c r="C48093" s="6">
        <v>7500</v>
      </c>
      <c r="D48093" s="7">
        <v>0.33</v>
      </c>
    </row>
    <row r="48094" spans="1:4" x14ac:dyDescent="0.25">
      <c r="A48094" t="str">
        <f>HYPERLINK("https://www.773grp.com/globalSearch/HZ6B2-1TD-E/page-1", "HZ6B2-1TD-E")</f>
        <v>HZ6B2-1TD-E</v>
      </c>
      <c r="B48094" s="3" t="str">
        <f>HYPERLINK("https://www.773grp.com/manufacturer/renesas-electronics-america-inc?pageNo=57", "Renesas Electronics")</f>
        <v>Renesas Electronics</v>
      </c>
      <c r="C48094" s="6">
        <v>15000</v>
      </c>
      <c r="D48094" s="7">
        <v>0.33</v>
      </c>
    </row>
    <row r="48095" spans="1:4" x14ac:dyDescent="0.25">
      <c r="A48095" t="str">
        <f>HYPERLINK("https://www.773grp.com/globalSearch/HZ6B3L01TD-E/page-1", "HZ6B3L01TD-E")</f>
        <v>HZ6B3L01TD-E</v>
      </c>
      <c r="B48095" s="3" t="str">
        <f>HYPERLINK("https://www.773grp.com/manufacturer/renesas-electronics-america-inc?pageNo=58", "Renesas Electronics")</f>
        <v>Renesas Electronics</v>
      </c>
      <c r="C48095" s="6">
        <v>2500</v>
      </c>
      <c r="D48095" s="7">
        <v>0.33</v>
      </c>
    </row>
    <row r="48096" spans="1:4" x14ac:dyDescent="0.25">
      <c r="A48096" t="str">
        <f>HYPERLINK("https://www.773grp.com/globalSearch/HZ6C1TA/page-1", "HZ6C1TA")</f>
        <v>HZ6C1TA</v>
      </c>
      <c r="B48096" s="3" t="str">
        <f>HYPERLINK("https://www.773grp.com/manufacturer/renesas-electronics-america-inc?pageNo=59", "Renesas Electronics")</f>
        <v>Renesas Electronics</v>
      </c>
      <c r="C48096" s="6">
        <v>5000</v>
      </c>
      <c r="D48096" s="7">
        <v>0.33</v>
      </c>
    </row>
    <row r="48097" spans="1:4" x14ac:dyDescent="0.25">
      <c r="A48097" t="str">
        <f>HYPERLINK("https://www.773grp.com/globalSearch/HZ6C1TA-E/page-1", "HZ6C1TA-E")</f>
        <v>HZ6C1TA-E</v>
      </c>
      <c r="B48097" s="3" t="str">
        <f>HYPERLINK("https://www.773grp.com/manufacturer/renesas-electronics-america-inc?pageNo=60", "Renesas Electronics")</f>
        <v>Renesas Electronics</v>
      </c>
      <c r="C48097" s="6">
        <v>5000</v>
      </c>
      <c r="D48097" s="7">
        <v>0.33</v>
      </c>
    </row>
    <row r="48098" spans="1:4" x14ac:dyDescent="0.25">
      <c r="A48098" t="str">
        <f>HYPERLINK("https://www.773grp.com/globalSearch/HZ6C2LRE-E/page-1", "HZ6C2LRE-E")</f>
        <v>HZ6C2LRE-E</v>
      </c>
      <c r="B48098" s="3" t="str">
        <f>HYPERLINK("https://www.773grp.com/manufacturer/renesas-electronics-america-inc?pageNo=61", "Renesas Electronics")</f>
        <v>Renesas Electronics</v>
      </c>
      <c r="C48098" s="6">
        <v>20000</v>
      </c>
      <c r="D48098" s="7">
        <v>0.33</v>
      </c>
    </row>
    <row r="48099" spans="1:4" x14ac:dyDescent="0.25">
      <c r="A48099" t="str">
        <f>HYPERLINK("https://www.773grp.com/globalSearch/HZ6C2LTA-E/page-1", "HZ6C2LTA-E")</f>
        <v>HZ6C2LTA-E</v>
      </c>
      <c r="B48099" s="3" t="str">
        <f>HYPERLINK("https://www.773grp.com/manufacturer/renesas-electronics-america-inc?pageNo=62", "Renesas Electronics")</f>
        <v>Renesas Electronics</v>
      </c>
      <c r="C48099" s="6">
        <v>20000</v>
      </c>
      <c r="D48099" s="7">
        <v>0.33</v>
      </c>
    </row>
    <row r="48100" spans="1:4" x14ac:dyDescent="0.25">
      <c r="A48100" t="str">
        <f>HYPERLINK("https://www.773grp.com/globalSearch/HZ6C2LTD-E/page-1", "HZ6C2LTD-E")</f>
        <v>HZ6C2LTD-E</v>
      </c>
      <c r="B48100" s="3" t="str">
        <f>HYPERLINK("https://www.773grp.com/manufacturer/renesas-electronics-america-inc?pageNo=63", "Renesas Electronics")</f>
        <v>Renesas Electronics</v>
      </c>
      <c r="C48100" s="6">
        <v>10000</v>
      </c>
      <c r="D48100" s="7">
        <v>0.33</v>
      </c>
    </row>
    <row r="48101" spans="1:4" x14ac:dyDescent="0.25">
      <c r="A48101" t="str">
        <f>HYPERLINK("https://www.773grp.com/globalSearch/HZ7A2L-E/page-1", "HZ7A2L-E")</f>
        <v>HZ7A2L-E</v>
      </c>
      <c r="B48101" s="3" t="str">
        <f>HYPERLINK("https://www.773grp.com/manufacturer/renesas-electronics-america-inc?pageNo=64", "Renesas Electronics")</f>
        <v>Renesas Electronics</v>
      </c>
      <c r="C48101" s="6">
        <v>30000</v>
      </c>
      <c r="D48101" s="7">
        <v>0.33</v>
      </c>
    </row>
    <row r="48102" spans="1:4" x14ac:dyDescent="0.25">
      <c r="A48102" t="str">
        <f>HYPERLINK("https://www.773grp.com/globalSearch/HZ7A2TD-E/page-1", "HZ7A2TD-E")</f>
        <v>HZ7A2TD-E</v>
      </c>
      <c r="B48102" s="3" t="str">
        <f>HYPERLINK("https://www.773grp.com/manufacturer/renesas-electronics-america-inc?pageNo=65", "Renesas Electronics")</f>
        <v>Renesas Electronics</v>
      </c>
      <c r="C48102" s="6">
        <v>2500</v>
      </c>
      <c r="D48102" s="7">
        <v>0.33</v>
      </c>
    </row>
    <row r="48103" spans="1:4" x14ac:dyDescent="0.25">
      <c r="A48103" t="str">
        <f>HYPERLINK("https://www.773grp.com/globalSearch/HZ7B1-E/page-1", "HZ7B1-E")</f>
        <v>HZ7B1-E</v>
      </c>
      <c r="B48103" s="3" t="str">
        <f>HYPERLINK("https://www.773grp.com/manufacturer/renesas-electronics-america-inc?pageNo=66", "Renesas Electronics")</f>
        <v>Renesas Electronics</v>
      </c>
      <c r="C48103" s="6">
        <v>5000</v>
      </c>
      <c r="D48103" s="7">
        <v>0.33</v>
      </c>
    </row>
    <row r="48104" spans="1:4" x14ac:dyDescent="0.25">
      <c r="A48104" t="str">
        <f>HYPERLINK("https://www.773grp.com/globalSearch/HZ7B1L-E/page-1", "HZ7B1L-E")</f>
        <v>HZ7B1L-E</v>
      </c>
      <c r="B48104" s="3" t="str">
        <f>HYPERLINK("https://www.773grp.com/manufacturer/renesas-electronics-america-inc?pageNo=67", "Renesas Electronics")</f>
        <v>Renesas Electronics</v>
      </c>
      <c r="C48104" s="6">
        <v>13970</v>
      </c>
      <c r="D48104" s="7">
        <v>0.33</v>
      </c>
    </row>
    <row r="48105" spans="1:4" x14ac:dyDescent="0.25">
      <c r="A48105" t="str">
        <f>HYPERLINK("https://www.773grp.com/globalSearch/HZ7B2RE-E/page-1", "HZ7B2RE-E")</f>
        <v>HZ7B2RE-E</v>
      </c>
      <c r="B48105" s="3" t="str">
        <f>HYPERLINK("https://www.773grp.com/manufacturer/renesas-electronics-america-inc?pageNo=68", "Renesas Electronics")</f>
        <v>Renesas Electronics</v>
      </c>
      <c r="C48105" s="6">
        <v>32000</v>
      </c>
      <c r="D48105" s="7">
        <v>0.33</v>
      </c>
    </row>
    <row r="48106" spans="1:4" x14ac:dyDescent="0.25">
      <c r="A48106" t="str">
        <f>HYPERLINK("https://www.773grp.com/globalSearch/HZ7C1-90TA/page-1", "HZ7C1-90TA")</f>
        <v>HZ7C1-90TA</v>
      </c>
      <c r="B48106" s="3" t="str">
        <f>HYPERLINK("https://www.773grp.com/manufacturer/renesas-electronics-america-inc?pageNo=69", "Renesas Electronics")</f>
        <v>Renesas Electronics</v>
      </c>
      <c r="C48106" s="6">
        <v>15000</v>
      </c>
      <c r="D48106" s="7">
        <v>0.33</v>
      </c>
    </row>
    <row r="48107" spans="1:4" x14ac:dyDescent="0.25">
      <c r="A48107" t="str">
        <f>HYPERLINK("https://www.773grp.com/globalSearch/HZ7C1-E/page-1", "HZ7C1-E")</f>
        <v>HZ7C1-E</v>
      </c>
      <c r="B48107" s="3" t="str">
        <f>HYPERLINK("https://www.773grp.com/manufacturer/renesas-electronics-america-inc?pageNo=70", "Renesas Electronics")</f>
        <v>Renesas Electronics</v>
      </c>
      <c r="C48107" s="6">
        <v>22500</v>
      </c>
      <c r="D48107" s="7">
        <v>0.33</v>
      </c>
    </row>
    <row r="48108" spans="1:4" x14ac:dyDescent="0.25">
      <c r="A48108" t="str">
        <f>HYPERLINK("https://www.773grp.com/globalSearch/HZ7C2LTD-E/page-1", "HZ7C2LTD-E")</f>
        <v>HZ7C2LTD-E</v>
      </c>
      <c r="B48108" s="3" t="str">
        <f>HYPERLINK("https://www.773grp.com/manufacturer/renesas-electronics-america-inc?pageNo=71", "Renesas Electronics")</f>
        <v>Renesas Electronics</v>
      </c>
      <c r="C48108" s="6">
        <v>10000</v>
      </c>
      <c r="D48108" s="7">
        <v>0.33</v>
      </c>
    </row>
    <row r="48109" spans="1:4" x14ac:dyDescent="0.25">
      <c r="A48109" t="str">
        <f>HYPERLINK("https://www.773grp.com/globalSearch/HZ7C3L-JTA-E/page-1", "HZ7C3L-JTA-E")</f>
        <v>HZ7C3L-JTA-E</v>
      </c>
      <c r="B48109" s="3" t="str">
        <f>HYPERLINK("https://www.773grp.com/manufacturer/renesas-electronics-america-inc?pageNo=72", "Renesas Electronics")</f>
        <v>Renesas Electronics</v>
      </c>
      <c r="C48109" s="6">
        <v>25000</v>
      </c>
      <c r="D48109" s="7">
        <v>0.33</v>
      </c>
    </row>
    <row r="48110" spans="1:4" x14ac:dyDescent="0.25">
      <c r="A48110" t="str">
        <f>HYPERLINK("https://www.773grp.com/globalSearch/HZ9A3LTD-E/page-1", "HZ9A3LTD-E")</f>
        <v>HZ9A3LTD-E</v>
      </c>
      <c r="B48110" s="3" t="str">
        <f>HYPERLINK("https://www.773grp.com/manufacturer/renesas-electronics-america-inc?pageNo=73", "Renesas Electronics")</f>
        <v>Renesas Electronics</v>
      </c>
      <c r="C48110" s="6">
        <v>10000</v>
      </c>
      <c r="D48110" s="7">
        <v>0.33</v>
      </c>
    </row>
    <row r="48111" spans="1:4" x14ac:dyDescent="0.25">
      <c r="A48111" t="str">
        <f>HYPERLINK("https://www.773grp.com/globalSearch/HZ9B1-E/page-1", "HZ9B1-E")</f>
        <v>HZ9B1-E</v>
      </c>
      <c r="B48111" s="3" t="str">
        <f>HYPERLINK("https://www.773grp.com/manufacturer/renesas-electronics-america-inc?pageNo=74", "Renesas Electronics")</f>
        <v>Renesas Electronics</v>
      </c>
      <c r="C48111" s="6">
        <v>10000</v>
      </c>
      <c r="D48111" s="7">
        <v>0.33</v>
      </c>
    </row>
    <row r="48112" spans="1:4" x14ac:dyDescent="0.25">
      <c r="A48112" t="str">
        <f>HYPERLINK("https://www.773grp.com/globalSearch/HZ9B1JFA/page-1", "HZ9B1JFA")</f>
        <v>HZ9B1JFA</v>
      </c>
      <c r="B48112" s="3" t="str">
        <f>HYPERLINK("https://www.773grp.com/manufacturer/renesas-electronics-america-inc?pageNo=75", "Renesas Electronics")</f>
        <v>Renesas Electronics</v>
      </c>
      <c r="C48112" s="6">
        <v>3800</v>
      </c>
      <c r="D48112" s="7">
        <v>0.33</v>
      </c>
    </row>
    <row r="48113" spans="1:4" x14ac:dyDescent="0.25">
      <c r="A48113" t="str">
        <f>HYPERLINK("https://www.773grp.com/globalSearch/HZ9B1L-E/page-1", "HZ9B1L-E")</f>
        <v>HZ9B1L-E</v>
      </c>
      <c r="B48113" s="3" t="str">
        <f>HYPERLINK("https://www.773grp.com/manufacturer/renesas-electronics-america-inc?pageNo=76", "Renesas Electronics")</f>
        <v>Renesas Electronics</v>
      </c>
      <c r="C48113" s="6">
        <v>3500</v>
      </c>
      <c r="D48113" s="7">
        <v>0.33</v>
      </c>
    </row>
    <row r="48114" spans="1:4" x14ac:dyDescent="0.25">
      <c r="A48114" t="str">
        <f>HYPERLINK("https://www.773grp.com/globalSearch/HZ9C2-E/page-1", "HZ9C2-E")</f>
        <v>HZ9C2-E</v>
      </c>
      <c r="B48114" s="3" t="str">
        <f>HYPERLINK("https://www.773grp.com/manufacturer/renesas-electronics-america-inc?pageNo=77", "Renesas Electronics")</f>
        <v>Renesas Electronics</v>
      </c>
      <c r="C48114" s="6">
        <v>12000</v>
      </c>
      <c r="D48114" s="7">
        <v>0.33</v>
      </c>
    </row>
    <row r="48115" spans="1:4" x14ac:dyDescent="0.25">
      <c r="A48115" t="str">
        <f>HYPERLINK("https://www.773grp.com/globalSearch/HZ9C2LTD-E/page-1", "HZ9C2LTD-E")</f>
        <v>HZ9C2LTD-E</v>
      </c>
      <c r="B48115" s="3" t="str">
        <f>HYPERLINK("https://www.773grp.com/manufacturer/renesas-electronics-america-inc?pageNo=78", "Renesas Electronics")</f>
        <v>Renesas Electronics</v>
      </c>
      <c r="C48115" s="6">
        <v>120000</v>
      </c>
      <c r="D48115" s="7">
        <v>0.33</v>
      </c>
    </row>
    <row r="48116" spans="1:4" x14ac:dyDescent="0.25">
      <c r="A48116" t="str">
        <f>HYPERLINK("https://www.773grp.com/globalSearch/HZ9C2TD-E/page-1", "HZ9C2TD-E")</f>
        <v>HZ9C2TD-E</v>
      </c>
      <c r="B48116" s="3" t="str">
        <f>HYPERLINK("https://www.773grp.com/manufacturer/renesas-electronics-america-inc?pageNo=79", "Renesas Electronics")</f>
        <v>Renesas Electronics</v>
      </c>
      <c r="C48116" s="6">
        <v>10000</v>
      </c>
      <c r="D48116" s="7">
        <v>0.33</v>
      </c>
    </row>
    <row r="48117" spans="1:4" x14ac:dyDescent="0.25">
      <c r="A48117" t="str">
        <f>HYPERLINK("https://www.773grp.com/globalSearch/HZ9C3LTD-E/page-1", "HZ9C3LTD-E")</f>
        <v>HZ9C3LTD-E</v>
      </c>
      <c r="B48117" s="3" t="str">
        <f>HYPERLINK("https://www.773grp.com/manufacturer/renesas-electronics-america-inc?pageNo=80", "Renesas Electronics")</f>
        <v>Renesas Electronics</v>
      </c>
      <c r="C48117" s="6">
        <v>17500</v>
      </c>
      <c r="D48117" s="7">
        <v>0.33</v>
      </c>
    </row>
    <row r="48118" spans="1:4" x14ac:dyDescent="0.25">
      <c r="A48118" t="str">
        <f>HYPERLINK("https://www.773grp.com/globalSearch/HZC13TRF-E/page-1", "HZC13TRF-E")</f>
        <v>HZC13TRF-E</v>
      </c>
      <c r="B48118" s="3" t="str">
        <f>HYPERLINK("https://www.773grp.com/manufacturer/renesas-electronics-america-inc?pageNo=81", "Renesas Electronics")</f>
        <v>Renesas Electronics</v>
      </c>
      <c r="C48118" s="6">
        <v>64000</v>
      </c>
      <c r="D48118" s="7">
        <v>0.33</v>
      </c>
    </row>
    <row r="48119" spans="1:4" x14ac:dyDescent="0.25">
      <c r="A48119" t="str">
        <f>HYPERLINK("https://www.773grp.com/globalSearch/HZC2.7TRF-E/page-1", "HZC2.7TRF-E")</f>
        <v>HZC2.7TRF-E</v>
      </c>
      <c r="B48119" s="3" t="str">
        <f>HYPERLINK("https://www.773grp.com/manufacturer/renesas-electronics-america-inc?pageNo=82", "Renesas Electronics")</f>
        <v>Renesas Electronics</v>
      </c>
      <c r="C48119" s="6">
        <v>8000</v>
      </c>
      <c r="D48119" s="7">
        <v>0.33</v>
      </c>
    </row>
    <row r="48120" spans="1:4" x14ac:dyDescent="0.25">
      <c r="A48120" t="str">
        <f>HYPERLINK("https://www.773grp.com/globalSearch/HZC4.3TRF-E/page-1", "HZC4.3TRF-E")</f>
        <v>HZC4.3TRF-E</v>
      </c>
      <c r="B48120" s="3" t="str">
        <f>HYPERLINK("https://www.773grp.com/manufacturer/renesas-electronics-america-inc?pageNo=83", "Renesas Electronics")</f>
        <v>Renesas Electronics</v>
      </c>
      <c r="C48120" s="6">
        <v>76000</v>
      </c>
      <c r="D48120" s="7">
        <v>0.33</v>
      </c>
    </row>
    <row r="48121" spans="1:4" x14ac:dyDescent="0.25">
      <c r="A48121" t="str">
        <f>HYPERLINK("https://www.773grp.com/globalSearch/HZK18LTL-S-E/page-1", "HZK18LTL-S-E")</f>
        <v>HZK18LTL-S-E</v>
      </c>
      <c r="B48121" s="3" t="str">
        <f>HYPERLINK("https://www.773grp.com/manufacturer/renesas-electronics-america-inc?pageNo=84", "Renesas Electronics")</f>
        <v>Renesas Electronics</v>
      </c>
      <c r="C48121" s="6">
        <v>7500</v>
      </c>
      <c r="D48121" s="7">
        <v>0.33</v>
      </c>
    </row>
    <row r="48122" spans="1:4" x14ac:dyDescent="0.25">
      <c r="A48122" t="str">
        <f>HYPERLINK("https://www.773grp.com/globalSearch/HZK22TR-S-E/page-1", "HZK22TR-S-E")</f>
        <v>HZK22TR-S-E</v>
      </c>
      <c r="B48122" s="3" t="str">
        <f>HYPERLINK("https://www.773grp.com/manufacturer/renesas-electronics-america-inc?pageNo=85", "Renesas Electronics")</f>
        <v>Renesas Electronics</v>
      </c>
      <c r="C48122" s="6">
        <v>10000</v>
      </c>
      <c r="D48122" s="7">
        <v>0.33</v>
      </c>
    </row>
    <row r="48123" spans="1:4" x14ac:dyDescent="0.25">
      <c r="A48123" t="str">
        <f>HYPERLINK("https://www.773grp.com/globalSearch/HZM10NB1TR-E/page-1", "HZM10NB1TR-E")</f>
        <v>HZM10NB1TR-E</v>
      </c>
      <c r="B48123" s="3" t="str">
        <f>HYPERLINK("https://www.773grp.com/manufacturer/renesas-electronics-america-inc?pageNo=86", "Renesas Electronics")</f>
        <v>Renesas Electronics</v>
      </c>
      <c r="C48123" s="6">
        <v>18000</v>
      </c>
      <c r="D48123" s="7">
        <v>0.33</v>
      </c>
    </row>
    <row r="48124" spans="1:4" x14ac:dyDescent="0.25">
      <c r="A48124" t="str">
        <f>HYPERLINK("https://www.773grp.com/globalSearch/HZM12NB2JTR/page-1", "HZM12NB2JTR")</f>
        <v>HZM12NB2JTR</v>
      </c>
      <c r="B48124" s="3" t="str">
        <f>HYPERLINK("https://www.773grp.com/manufacturer/renesas-electronics-america-inc?pageNo=87", "Renesas Electronics")</f>
        <v>Renesas Electronics</v>
      </c>
      <c r="C48124" s="6">
        <v>36000</v>
      </c>
      <c r="D48124" s="7">
        <v>0.33</v>
      </c>
    </row>
    <row r="48125" spans="1:4" x14ac:dyDescent="0.25">
      <c r="A48125" t="str">
        <f>HYPERLINK("https://www.773grp.com/globalSearch/HZM18NB2JTL/page-1", "HZM18NB2JTL")</f>
        <v>HZM18NB2JTL</v>
      </c>
      <c r="B48125" s="3" t="str">
        <f>HYPERLINK("https://www.773grp.com/manufacturer/renesas-electronics-america-inc?pageNo=88", "Renesas Electronics")</f>
        <v>Renesas Electronics</v>
      </c>
      <c r="C48125" s="6">
        <v>21000</v>
      </c>
      <c r="D48125" s="7">
        <v>0.33</v>
      </c>
    </row>
    <row r="48126" spans="1:4" x14ac:dyDescent="0.25">
      <c r="A48126" t="str">
        <f>HYPERLINK("https://www.773grp.com/globalSearch/HZM2.0NBTR-E/page-1", "HZM2.0NBTR-E")</f>
        <v>HZM2.0NBTR-E</v>
      </c>
      <c r="B48126" s="3" t="str">
        <f>HYPERLINK("https://www.773grp.com/manufacturer/renesas-electronics-america-inc?pageNo=89", "Renesas Electronics")</f>
        <v>Renesas Electronics</v>
      </c>
      <c r="C48126" s="6">
        <v>15000</v>
      </c>
      <c r="D48126" s="7">
        <v>0.33</v>
      </c>
    </row>
    <row r="48127" spans="1:4" x14ac:dyDescent="0.25">
      <c r="A48127" t="str">
        <f>HYPERLINK("https://www.773grp.com/globalSearch/HZM22NB3TL-E/page-1", "HZM22NB3TL-E")</f>
        <v>HZM22NB3TL-E</v>
      </c>
      <c r="B48127" s="3" t="str">
        <f>HYPERLINK("https://www.773grp.com/manufacturer/renesas-electronics-america-inc?pageNo=90", "Renesas Electronics")</f>
        <v>Renesas Electronics</v>
      </c>
      <c r="C48127" s="6">
        <v>12000</v>
      </c>
      <c r="D48127" s="7">
        <v>0.33</v>
      </c>
    </row>
    <row r="48128" spans="1:4" x14ac:dyDescent="0.25">
      <c r="A48128" t="str">
        <f>HYPERLINK("https://www.773grp.com/globalSearch/HZM6.2NB3TL-E/page-1", "HZM6.2NB3TL-E")</f>
        <v>HZM6.2NB3TL-E</v>
      </c>
      <c r="B48128" s="3" t="str">
        <f>HYPERLINK("https://www.773grp.com/manufacturer/renesas-electronics-america-inc?pageNo=91", "Renesas Electronics")</f>
        <v>Renesas Electronics</v>
      </c>
      <c r="C48128" s="6">
        <v>30000</v>
      </c>
      <c r="D48128" s="7">
        <v>0.33</v>
      </c>
    </row>
    <row r="48129" spans="1:4" x14ac:dyDescent="0.25">
      <c r="A48129" t="str">
        <f>HYPERLINK("https://www.773grp.com/globalSearch/HZM7.5NB3JTL-E/page-1", "HZM7.5NB3JTL-E")</f>
        <v>HZM7.5NB3JTL-E</v>
      </c>
      <c r="B48129" s="3" t="str">
        <f>HYPERLINK("https://www.773grp.com/manufacturer/renesas-electronics-america-inc?pageNo=92", "Renesas Electronics")</f>
        <v>Renesas Electronics</v>
      </c>
      <c r="C48129" s="6">
        <v>6000</v>
      </c>
      <c r="D48129" s="7">
        <v>0.33</v>
      </c>
    </row>
    <row r="48130" spans="1:4" x14ac:dyDescent="0.25">
      <c r="A48130" t="str">
        <f>HYPERLINK("https://www.773grp.com/globalSearch/HZM8.2NB1TR-E/page-1", "HZM8.2NB1TR-E")</f>
        <v>HZM8.2NB1TR-E</v>
      </c>
      <c r="B48130" s="3" t="str">
        <f>HYPERLINK("https://www.773grp.com/manufacturer/renesas-electronics-america-inc?pageNo=93", "Renesas Electronics")</f>
        <v>Renesas Electronics</v>
      </c>
      <c r="C48130" s="6">
        <v>63000</v>
      </c>
      <c r="D48130" s="7">
        <v>0.33</v>
      </c>
    </row>
    <row r="48131" spans="1:4" x14ac:dyDescent="0.25">
      <c r="A48131" t="str">
        <f>HYPERLINK("https://www.773grp.com/globalSearch/HZM8.2NB3TR-E/page-1", "HZM8.2NB3TR-E")</f>
        <v>HZM8.2NB3TR-E</v>
      </c>
      <c r="B48131" s="3" t="str">
        <f>HYPERLINK("https://www.773grp.com/manufacturer/renesas-electronics-america-inc?pageNo=94", "Renesas Electronics")</f>
        <v>Renesas Electronics</v>
      </c>
      <c r="C48131" s="6">
        <v>90000</v>
      </c>
      <c r="D48131" s="7">
        <v>0.33</v>
      </c>
    </row>
    <row r="48132" spans="1:4" x14ac:dyDescent="0.25">
      <c r="A48132" t="str">
        <f>HYPERLINK("https://www.773grp.com/globalSearch/HZS27-2LTA-E/page-1", "HZS27-2LTA-E")</f>
        <v>HZS27-2LTA-E</v>
      </c>
      <c r="B48132" s="3" t="str">
        <f>HYPERLINK("https://www.773grp.com/manufacturer/renesas-electronics-america-inc?pageNo=95", "Renesas Electronics")</f>
        <v>Renesas Electronics</v>
      </c>
      <c r="C48132" s="6">
        <v>30000</v>
      </c>
      <c r="D48132" s="7">
        <v>0.33</v>
      </c>
    </row>
    <row r="48133" spans="1:4" x14ac:dyDescent="0.25">
      <c r="A48133" t="str">
        <f>HYPERLINK("https://www.773grp.com/globalSearch/HZU11B1LTRF-E/page-1", "HZU11B1LTRF-E")</f>
        <v>HZU11B1LTRF-E</v>
      </c>
      <c r="B48133" s="3" t="str">
        <f>HYPERLINK("https://www.773grp.com/manufacturer/renesas-electronics-america-inc?pageNo=96", "Renesas Electronics")</f>
        <v>Renesas Electronics</v>
      </c>
      <c r="C48133" s="6">
        <v>69000</v>
      </c>
      <c r="D48133" s="7">
        <v>0.33</v>
      </c>
    </row>
    <row r="48134" spans="1:4" x14ac:dyDescent="0.25">
      <c r="A48134" t="str">
        <f>HYPERLINK("https://www.773grp.com/globalSearch/HZU11C1LTRF-E/page-1", "HZU11C1LTRF-E")</f>
        <v>HZU11C1LTRF-E</v>
      </c>
      <c r="B48134" s="3" t="str">
        <f>HYPERLINK("https://www.773grp.com/manufacturer/renesas-electronics-america-inc?pageNo=97", "Renesas Electronics")</f>
        <v>Renesas Electronics</v>
      </c>
      <c r="C48134" s="6">
        <v>123000</v>
      </c>
      <c r="D48134" s="7">
        <v>0.33</v>
      </c>
    </row>
    <row r="48135" spans="1:4" x14ac:dyDescent="0.25">
      <c r="A48135" t="str">
        <f>HYPERLINK("https://www.773grp.com/globalSearch/HZU11C2LTRF-E/page-1", "HZU11C2LTRF-E")</f>
        <v>HZU11C2LTRF-E</v>
      </c>
      <c r="B48135" s="3" t="str">
        <f>HYPERLINK("https://www.773grp.com/manufacturer/renesas-electronics-america-inc?pageNo=98", "Renesas Electronics")</f>
        <v>Renesas Electronics</v>
      </c>
      <c r="C48135" s="6">
        <v>123000</v>
      </c>
      <c r="D48135" s="7">
        <v>0.33</v>
      </c>
    </row>
    <row r="48136" spans="1:4" x14ac:dyDescent="0.25">
      <c r="A48136" t="str">
        <f>HYPERLINK("https://www.773grp.com/globalSearch/HZU12A1LTRF-E/page-1", "HZU12A1LTRF-E")</f>
        <v>HZU12A1LTRF-E</v>
      </c>
      <c r="B48136" s="3" t="str">
        <f>HYPERLINK("https://www.773grp.com/manufacturer/renesas-electronics-america-inc?pageNo=99", "Renesas Electronics")</f>
        <v>Renesas Electronics</v>
      </c>
      <c r="C48136" s="6">
        <v>114000</v>
      </c>
      <c r="D48136" s="7">
        <v>0.33</v>
      </c>
    </row>
    <row r="48137" spans="1:4" x14ac:dyDescent="0.25">
      <c r="A48137" t="str">
        <f>HYPERLINK("https://www.773grp.com/globalSearch/HZU12B1LTRF-E/page-1", "HZU12B1LTRF-E")</f>
        <v>HZU12B1LTRF-E</v>
      </c>
      <c r="B48137" s="3" t="str">
        <f>HYPERLINK("https://www.773grp.com/manufacturer/renesas-electronics-america-inc?pageNo=100", "Renesas Electronics")</f>
        <v>Renesas Electronics</v>
      </c>
      <c r="C48137" s="6">
        <v>57000</v>
      </c>
      <c r="D48137" s="7">
        <v>0.33</v>
      </c>
    </row>
    <row r="48138" spans="1:4" x14ac:dyDescent="0.25">
      <c r="A48138" t="str">
        <f>HYPERLINK("https://www.773grp.com/globalSearch/HZU15B2JTRF/page-1", "HZU15B2JTRF")</f>
        <v>HZU15B2JTRF</v>
      </c>
      <c r="B48138" s="3" t="str">
        <f>HYPERLINK("https://www.773grp.com/manufacturer/renesas-electronics-america-inc?pageNo=101", "Renesas Electronics")</f>
        <v>Renesas Electronics</v>
      </c>
      <c r="C48138" s="6">
        <v>66000</v>
      </c>
      <c r="D48138" s="7">
        <v>0.33</v>
      </c>
    </row>
    <row r="48139" spans="1:4" x14ac:dyDescent="0.25">
      <c r="A48139" t="str">
        <f>HYPERLINK("https://www.773grp.com/globalSearch/HZU24B3JTRF-E/page-1", "HZU24B3JTRF-E")</f>
        <v>HZU24B3JTRF-E</v>
      </c>
      <c r="B48139" s="3" t="str">
        <f>HYPERLINK("https://www.773grp.com/manufacturer/renesas-electronics-america-inc?pageNo=102", "Renesas Electronics")</f>
        <v>Renesas Electronics</v>
      </c>
      <c r="C48139" s="6">
        <v>33000</v>
      </c>
      <c r="D48139" s="7">
        <v>0.33</v>
      </c>
    </row>
    <row r="48140" spans="1:4" x14ac:dyDescent="0.25">
      <c r="A48140" t="str">
        <f>HYPERLINK("https://www.773grp.com/globalSearch/HZU27B-JTRF/page-1", "HZU27B-JTRF")</f>
        <v>HZU27B-JTRF</v>
      </c>
      <c r="B48140" s="3" t="str">
        <f>HYPERLINK("https://www.773grp.com/manufacturer/renesas-electronics-america-inc?pageNo=103", "Renesas Electronics")</f>
        <v>Renesas Electronics</v>
      </c>
      <c r="C48140" s="6">
        <v>66000</v>
      </c>
      <c r="D48140" s="7">
        <v>0.33</v>
      </c>
    </row>
    <row r="48141" spans="1:4" x14ac:dyDescent="0.25">
      <c r="A48141" t="str">
        <f>HYPERLINK("https://www.773grp.com/globalSearch/HZU6C2LTRF-E/page-1", "HZU6C2LTRF-E")</f>
        <v>HZU6C2LTRF-E</v>
      </c>
      <c r="B48141" s="3" t="str">
        <f>HYPERLINK("https://www.773grp.com/manufacturer/renesas-electronics-america-inc?pageNo=104", "Renesas Electronics")</f>
        <v>Renesas Electronics</v>
      </c>
      <c r="C48141" s="6">
        <v>63000</v>
      </c>
      <c r="D48141" s="7">
        <v>0.33</v>
      </c>
    </row>
    <row r="48142" spans="1:4" x14ac:dyDescent="0.25">
      <c r="A48142" t="str">
        <f>HYPERLINK("https://www.773grp.com/globalSearch/HZU8.2B2JTRF/page-1", "HZU8.2B2JTRF")</f>
        <v>HZU8.2B2JTRF</v>
      </c>
      <c r="B48142" s="3" t="str">
        <f>HYPERLINK("https://www.773grp.com/manufacturer/renesas-electronics-america-inc?pageNo=105", "Renesas Electronics")</f>
        <v>Renesas Electronics</v>
      </c>
      <c r="C48142" s="6">
        <v>108000</v>
      </c>
      <c r="D48142" s="7">
        <v>0.33</v>
      </c>
    </row>
    <row r="48143" spans="1:4" x14ac:dyDescent="0.25">
      <c r="A48143" t="str">
        <f>HYPERLINK("https://www.773grp.com/globalSearch/RD100E(1)/page-1", "RD100E(1)")</f>
        <v>RD100E(1)</v>
      </c>
      <c r="B48143" s="3" t="str">
        <f>HYPERLINK("https://www.773grp.com/manufacturer/renesas-electronics-america-inc?pageNo=106", "Renesas Electronics")</f>
        <v>Renesas Electronics</v>
      </c>
      <c r="C48143" s="6">
        <v>2800</v>
      </c>
      <c r="D48143" s="7">
        <v>0.33</v>
      </c>
    </row>
    <row r="48144" spans="1:4" x14ac:dyDescent="0.25">
      <c r="A48144" t="str">
        <f>HYPERLINK("https://www.773grp.com/globalSearch/RD3.0S-T1/page-1", "RD3.0S-T1")</f>
        <v>RD3.0S-T1</v>
      </c>
      <c r="B48144" s="3" t="str">
        <f>HYPERLINK("https://www.773grp.com/manufacturer/renesas-electronics-america-inc?pageNo=107", "Renesas Electronics")</f>
        <v>Renesas Electronics</v>
      </c>
      <c r="C48144" s="6">
        <v>105000</v>
      </c>
      <c r="D48144" s="7">
        <v>0.33</v>
      </c>
    </row>
    <row r="48145" spans="1:4" x14ac:dyDescent="0.25">
      <c r="A48145" t="str">
        <f>HYPERLINK("https://www.773grp.com/globalSearch/RD43E(N)-T4/page-1", "RD43E(N)-T4")</f>
        <v>RD43E(N)-T4</v>
      </c>
      <c r="B48145" s="3" t="str">
        <f>HYPERLINK("https://www.773grp.com/manufacturer/renesas-electronics-america-inc?pageNo=108", "Renesas Electronics")</f>
        <v>Renesas Electronics</v>
      </c>
      <c r="C48145" s="6">
        <v>10000</v>
      </c>
      <c r="D48145" s="7">
        <v>0.33</v>
      </c>
    </row>
    <row r="48146" spans="1:4" x14ac:dyDescent="0.25">
      <c r="A48146" t="str">
        <f>HYPERLINK("https://www.773grp.com/globalSearch/RD62E(N)-T4/page-1", "RD62E(N)-T4")</f>
        <v>RD62E(N)-T4</v>
      </c>
      <c r="B48146" s="3" t="str">
        <f>HYPERLINK("https://www.773grp.com/manufacturer/renesas-electronics-america-inc?pageNo=109", "Renesas Electronics")</f>
        <v>Renesas Electronics</v>
      </c>
      <c r="C48146" s="6">
        <v>15000</v>
      </c>
      <c r="D48146" s="7">
        <v>0.33</v>
      </c>
    </row>
    <row r="48147" spans="1:4" x14ac:dyDescent="0.25">
      <c r="A48147" t="str">
        <f>HYPERLINK("https://www.773grp.com/globalSearch/RD75E(N)-T1/page-1", "RD75E(N)-T1")</f>
        <v>RD75E(N)-T1</v>
      </c>
      <c r="B48147" s="3" t="str">
        <f>HYPERLINK("https://www.773grp.com/manufacturer/renesas-electronics-america-inc?pageNo=110", "Renesas Electronics")</f>
        <v>Renesas Electronics</v>
      </c>
      <c r="C48147" s="6">
        <v>12000</v>
      </c>
      <c r="D48147" s="7">
        <v>0.33</v>
      </c>
    </row>
    <row r="48148" spans="1:4" x14ac:dyDescent="0.25">
      <c r="A48148" t="str">
        <f>HYPERLINK("https://www.773grp.com/globalSearch/RD75E(N)-T2/page-1", "RD75E(N)-T2")</f>
        <v>RD75E(N)-T2</v>
      </c>
      <c r="B48148" s="3" t="str">
        <f>HYPERLINK("https://www.773grp.com/manufacturer/renesas-electronics-america-inc?pageNo=111", "Renesas Electronics")</f>
        <v>Renesas Electronics</v>
      </c>
      <c r="C48148" s="6">
        <v>15000</v>
      </c>
      <c r="D48148" s="7">
        <v>0.33</v>
      </c>
    </row>
    <row r="48149" spans="1:4" x14ac:dyDescent="0.25">
      <c r="A48149" t="str">
        <f>HYPERLINK("https://www.773grp.com/globalSearch/RKD702KL-1N#R1/page-1", "RKD702KL-1N#R1")</f>
        <v>RKD702KL-1N#R1</v>
      </c>
      <c r="B48149" s="3" t="str">
        <f>HYPERLINK("https://www.773grp.com/manufacturer/renesas-electronics-america-inc?pageNo=112", "Renesas Electronics")</f>
        <v>Renesas Electronics</v>
      </c>
      <c r="C48149" s="6">
        <v>450000</v>
      </c>
      <c r="D48149" s="7">
        <v>0.33</v>
      </c>
    </row>
    <row r="48150" spans="1:4" x14ac:dyDescent="0.25">
      <c r="A48150" t="str">
        <f>HYPERLINK("https://www.773grp.com/globalSearch/RKD702KL-N#R1/page-1", "RKD702KL-N#R1")</f>
        <v>RKD702KL-N#R1</v>
      </c>
      <c r="B48150" s="3" t="str">
        <f>HYPERLINK("https://www.773grp.com/manufacturer/renesas-electronics-america-inc?pageNo=113", "Renesas Electronics")</f>
        <v>Renesas Electronics</v>
      </c>
      <c r="C48150" s="6">
        <v>80000</v>
      </c>
      <c r="D48150" s="7">
        <v>0.33</v>
      </c>
    </row>
    <row r="48151" spans="1:4" x14ac:dyDescent="0.25">
      <c r="A48151" t="str">
        <f>HYPERLINK("https://www.773grp.com/globalSearch/RKD703KK#R6/page-1", "RKD703KK#R6")</f>
        <v>RKD703KK#R6</v>
      </c>
      <c r="B48151" s="3" t="str">
        <f>HYPERLINK("https://www.773grp.com/manufacturer/renesas-electronics-america-inc?pageNo=114", "Renesas Electronics")</f>
        <v>Renesas Electronics</v>
      </c>
      <c r="C48151" s="6">
        <v>232000</v>
      </c>
      <c r="D48151" s="7">
        <v>0.33</v>
      </c>
    </row>
    <row r="48152" spans="1:4" x14ac:dyDescent="0.25">
      <c r="A48152" t="str">
        <f>HYPERLINK("https://www.773grp.com/globalSearch/RKZ10AKU#P6/page-1", "RKZ10AKU#P6")</f>
        <v>RKZ10AKU#P6</v>
      </c>
      <c r="B48152" s="3" t="str">
        <f>HYPERLINK("https://www.773grp.com/manufacturer/renesas-electronics-america-inc?pageNo=115", "Renesas Electronics")</f>
        <v>Renesas Electronics</v>
      </c>
      <c r="C48152" s="6">
        <v>48000</v>
      </c>
      <c r="D48152" s="7">
        <v>0.33</v>
      </c>
    </row>
    <row r="48153" spans="1:4" x14ac:dyDescent="0.25">
      <c r="A48153" t="str">
        <f>HYPERLINK("https://www.773grp.com/globalSearch/RKZ10DKU#P6/page-1", "RKZ10DKU#P6")</f>
        <v>RKZ10DKU#P6</v>
      </c>
      <c r="B48153" s="3" t="str">
        <f>HYPERLINK("https://www.773grp.com/manufacturer/renesas-electronics-america-inc?pageNo=116", "Renesas Electronics")</f>
        <v>Renesas Electronics</v>
      </c>
      <c r="C48153" s="6">
        <v>32000</v>
      </c>
      <c r="D48153" s="7">
        <v>0.33</v>
      </c>
    </row>
    <row r="48154" spans="1:4" x14ac:dyDescent="0.25">
      <c r="A48154" t="str">
        <f>HYPERLINK("https://www.773grp.com/globalSearch/RKZ11AKU#P6/page-1", "RKZ11AKU#P6")</f>
        <v>RKZ11AKU#P6</v>
      </c>
      <c r="B48154" s="3" t="str">
        <f>HYPERLINK("https://www.773grp.com/manufacturer/renesas-electronics-america-inc?pageNo=117", "Renesas Electronics")</f>
        <v>Renesas Electronics</v>
      </c>
      <c r="C48154" s="6">
        <v>48000</v>
      </c>
      <c r="D48154" s="7">
        <v>0.33</v>
      </c>
    </row>
    <row r="48155" spans="1:4" x14ac:dyDescent="0.25">
      <c r="A48155" t="str">
        <f>HYPERLINK("https://www.773grp.com/globalSearch/RKZ11CKU#P6/page-1", "RKZ11CKU#P6")</f>
        <v>RKZ11CKU#P6</v>
      </c>
      <c r="B48155" s="3" t="str">
        <f>HYPERLINK("https://www.773grp.com/manufacturer/renesas-electronics-america-inc?pageNo=118", "Renesas Electronics")</f>
        <v>Renesas Electronics</v>
      </c>
      <c r="C48155" s="6">
        <v>132000</v>
      </c>
      <c r="D48155" s="7">
        <v>0.33</v>
      </c>
    </row>
    <row r="48156" spans="1:4" x14ac:dyDescent="0.25">
      <c r="A48156" t="str">
        <f>HYPERLINK("https://www.773grp.com/globalSearch/RKZ12AKU#P6/page-1", "RKZ12AKU#P6")</f>
        <v>RKZ12AKU#P6</v>
      </c>
      <c r="B48156" s="3" t="str">
        <f>HYPERLINK("https://www.773grp.com/manufacturer/renesas-electronics-america-inc?pageNo=119", "Renesas Electronics")</f>
        <v>Renesas Electronics</v>
      </c>
      <c r="C48156" s="6">
        <v>112000</v>
      </c>
      <c r="D48156" s="7">
        <v>0.33</v>
      </c>
    </row>
    <row r="48157" spans="1:4" x14ac:dyDescent="0.25">
      <c r="A48157" t="str">
        <f>HYPERLINK("https://www.773grp.com/globalSearch/RKZ24DKU#P6/page-1", "RKZ24DKU#P6")</f>
        <v>RKZ24DKU#P6</v>
      </c>
      <c r="B48157" s="3" t="str">
        <f>HYPERLINK("https://www.773grp.com/manufacturer/renesas-electronics-america-inc?pageNo=120", "Renesas Electronics")</f>
        <v>Renesas Electronics</v>
      </c>
      <c r="C48157" s="6">
        <v>52000</v>
      </c>
      <c r="D48157" s="7">
        <v>0.33</v>
      </c>
    </row>
    <row r="48158" spans="1:4" x14ac:dyDescent="0.25">
      <c r="A48158" t="str">
        <f>HYPERLINK("https://www.773grp.com/globalSearch/RKZ3.0BKU#P6/page-1", "RKZ3.0BKU#P6")</f>
        <v>RKZ3.0BKU#P6</v>
      </c>
      <c r="B48158" s="3" t="str">
        <f>HYPERLINK("https://www.773grp.com/manufacturer/renesas-electronics-america-inc?pageNo=121", "Renesas Electronics")</f>
        <v>Renesas Electronics</v>
      </c>
      <c r="C48158" s="6">
        <v>60000</v>
      </c>
      <c r="D48158" s="7">
        <v>0.33</v>
      </c>
    </row>
    <row r="48159" spans="1:4" x14ac:dyDescent="0.25">
      <c r="A48159" t="str">
        <f>HYPERLINK("https://www.773grp.com/globalSearch/RKZ3.3B2KK#R1/page-1", "RKZ3.3B2KK#R1")</f>
        <v>RKZ3.3B2KK#R1</v>
      </c>
      <c r="B48159" s="3" t="str">
        <f>HYPERLINK("https://www.773grp.com/manufacturer/renesas-electronics-america-inc?pageNo=122", "Renesas Electronics")</f>
        <v>Renesas Electronics</v>
      </c>
      <c r="C48159" s="6">
        <v>96000</v>
      </c>
      <c r="D48159" s="7">
        <v>0.33</v>
      </c>
    </row>
    <row r="48160" spans="1:4" x14ac:dyDescent="0.25">
      <c r="A48160" t="str">
        <f>HYPERLINK("https://www.773grp.com/globalSearch/RKZ3.6AKU#P6/page-1", "RKZ3.6AKU#P6")</f>
        <v>RKZ3.6AKU#P6</v>
      </c>
      <c r="B48160" s="3" t="str">
        <f>HYPERLINK("https://www.773grp.com/manufacturer/renesas-electronics-america-inc?pageNo=123", "Renesas Electronics")</f>
        <v>Renesas Electronics</v>
      </c>
      <c r="C48160" s="6">
        <v>80000</v>
      </c>
      <c r="D48160" s="7">
        <v>0.33</v>
      </c>
    </row>
    <row r="48161" spans="1:4" x14ac:dyDescent="0.25">
      <c r="A48161" t="str">
        <f>HYPERLINK("https://www.773grp.com/globalSearch/RKZ3.6BKV#P1/page-1", "RKZ3.6BKV#P1")</f>
        <v>RKZ3.6BKV#P1</v>
      </c>
      <c r="B48161" s="3" t="str">
        <f>HYPERLINK("https://www.773grp.com/manufacturer/renesas-electronics-america-inc?pageNo=124", "Renesas Electronics")</f>
        <v>Renesas Electronics</v>
      </c>
      <c r="C48161" s="6">
        <v>9000</v>
      </c>
      <c r="D48161" s="7">
        <v>0.33</v>
      </c>
    </row>
    <row r="48162" spans="1:4" x14ac:dyDescent="0.25">
      <c r="A48162" t="str">
        <f>HYPERLINK("https://www.773grp.com/globalSearch/RKZ33AKU#P6/page-1", "RKZ33AKU#P6")</f>
        <v>RKZ33AKU#P6</v>
      </c>
      <c r="B48162" s="3" t="str">
        <f>HYPERLINK("https://www.773grp.com/manufacturer/renesas-electronics-america-inc?pageNo=125", "Renesas Electronics")</f>
        <v>Renesas Electronics</v>
      </c>
      <c r="C48162" s="6">
        <v>44000</v>
      </c>
      <c r="D48162" s="7">
        <v>0.33</v>
      </c>
    </row>
    <row r="48163" spans="1:4" x14ac:dyDescent="0.25">
      <c r="A48163" t="str">
        <f>HYPERLINK("https://www.773grp.com/globalSearch/RKZ33BKU#P6/page-1", "RKZ33BKU#P6")</f>
        <v>RKZ33BKU#P6</v>
      </c>
      <c r="B48163" s="3" t="str">
        <f>HYPERLINK("https://www.773grp.com/manufacturer/renesas-electronics-america-inc?pageNo=126", "Renesas Electronics")</f>
        <v>Renesas Electronics</v>
      </c>
      <c r="C48163" s="6">
        <v>116000</v>
      </c>
      <c r="D48163" s="7">
        <v>0.33</v>
      </c>
    </row>
    <row r="48164" spans="1:4" x14ac:dyDescent="0.25">
      <c r="A48164" t="str">
        <f>HYPERLINK("https://www.773grp.com/globalSearch/RKZ5.6B2KL#R1/page-1", "RKZ5.6B2KL#R1")</f>
        <v>RKZ5.6B2KL#R1</v>
      </c>
      <c r="B48164" s="3" t="str">
        <f>HYPERLINK("https://www.773grp.com/manufacturer/renesas-electronics-america-inc?pageNo=127", "Renesas Electronics")</f>
        <v>Renesas Electronics</v>
      </c>
      <c r="C48164" s="6">
        <v>350000</v>
      </c>
      <c r="D48164" s="7">
        <v>0.33</v>
      </c>
    </row>
    <row r="48165" spans="1:4" x14ac:dyDescent="0.25">
      <c r="A48165" t="str">
        <f>HYPERLINK("https://www.773grp.com/globalSearch/RKZ5.6BKV#P1/page-1", "RKZ5.6BKV#P1")</f>
        <v>RKZ5.6BKV#P1</v>
      </c>
      <c r="B48165" s="3" t="str">
        <f>HYPERLINK("https://www.773grp.com/manufacturer/renesas-electronics-america-inc?pageNo=128", "Renesas Electronics")</f>
        <v>Renesas Electronics</v>
      </c>
      <c r="C48165" s="6">
        <v>66000</v>
      </c>
      <c r="D48165" s="7">
        <v>0.33</v>
      </c>
    </row>
    <row r="48166" spans="1:4" x14ac:dyDescent="0.25">
      <c r="A48166" t="str">
        <f>HYPERLINK("https://www.773grp.com/globalSearch/RKZ6.2AKU#P6/page-1", "RKZ6.2AKU#P6")</f>
        <v>RKZ6.2AKU#P6</v>
      </c>
      <c r="B48166" s="3" t="str">
        <f>HYPERLINK("https://www.773grp.com/manufacturer/renesas-electronics-america-inc?pageNo=129", "Renesas Electronics")</f>
        <v>Renesas Electronics</v>
      </c>
      <c r="C48166" s="6">
        <v>60000</v>
      </c>
      <c r="D48166" s="7">
        <v>0.33</v>
      </c>
    </row>
    <row r="48167" spans="1:4" x14ac:dyDescent="0.25">
      <c r="A48167" t="str">
        <f>HYPERLINK("https://www.773grp.com/globalSearch/RKZ6.8AKU#P6/page-1", "RKZ6.8AKU#P6")</f>
        <v>RKZ6.8AKU#P6</v>
      </c>
      <c r="B48167" s="3" t="str">
        <f>HYPERLINK("https://www.773grp.com/manufacturer/renesas-electronics-america-inc?pageNo=130", "Renesas Electronics")</f>
        <v>Renesas Electronics</v>
      </c>
      <c r="C48167" s="6">
        <v>8000</v>
      </c>
      <c r="D48167" s="7">
        <v>0.33</v>
      </c>
    </row>
    <row r="48168" spans="1:4" x14ac:dyDescent="0.25">
      <c r="A48168" t="str">
        <f>HYPERLINK("https://www.773grp.com/globalSearch/RKZ6.8B2KK#R1/page-1", "RKZ6.8B2KK#R1")</f>
        <v>RKZ6.8B2KK#R1</v>
      </c>
      <c r="B48168" s="3" t="str">
        <f>HYPERLINK("https://www.773grp.com/manufacturer/renesas-electronics-america-inc?pageNo=131", "Renesas Electronics")</f>
        <v>Renesas Electronics</v>
      </c>
      <c r="C48168" s="6">
        <v>216000</v>
      </c>
      <c r="D48168" s="7">
        <v>0.33</v>
      </c>
    </row>
    <row r="48169" spans="1:4" x14ac:dyDescent="0.25">
      <c r="A48169" t="str">
        <f>HYPERLINK("https://www.773grp.com/globalSearch/RKZ9.1BKV#P1/page-1", "RKZ9.1BKV#P1")</f>
        <v>RKZ9.1BKV#P1</v>
      </c>
      <c r="B48169" s="3" t="str">
        <f>HYPERLINK("https://www.773grp.com/manufacturer/renesas-electronics-america-inc?pageNo=132", "Renesas Electronics")</f>
        <v>Renesas Electronics</v>
      </c>
      <c r="C48169" s="6">
        <v>114000</v>
      </c>
      <c r="D48169" s="7">
        <v>0.33</v>
      </c>
    </row>
    <row r="48170" spans="1:4" x14ac:dyDescent="0.25">
      <c r="A48170" t="str">
        <f>HYPERLINK("https://www.773grp.com/globalSearch/1S2076A90TA-E/page-1", "1S2076A90TA-E")</f>
        <v>1S2076A90TA-E</v>
      </c>
      <c r="B48170" s="3" t="str">
        <f>HYPERLINK("https://www.773grp.com/manufacturer/renesas-electronics-america-inc?pageNo=133", "Renesas Electronics")</f>
        <v>Renesas Electronics</v>
      </c>
      <c r="C48170" s="6">
        <v>20000</v>
      </c>
      <c r="D48170" s="7">
        <v>0.38</v>
      </c>
    </row>
    <row r="48171" spans="1:4" x14ac:dyDescent="0.25">
      <c r="A48171" t="str">
        <f>HYPERLINK("https://www.773grp.com/globalSearch/1S954-T1/page-1", "1S954-T1")</f>
        <v>1S954-T1</v>
      </c>
      <c r="B48171" s="3" t="str">
        <f>HYPERLINK("https://www.773grp.com/manufacturer/renesas-electronics-america-inc?pageNo=134", "Renesas Electronics")</f>
        <v>Renesas Electronics</v>
      </c>
      <c r="C48171" s="6">
        <v>11375</v>
      </c>
      <c r="D48171" s="7">
        <v>0.38</v>
      </c>
    </row>
    <row r="48172" spans="1:4" x14ac:dyDescent="0.25">
      <c r="A48172" t="str">
        <f>HYPERLINK("https://www.773grp.com/globalSearch/1S954-TB/page-1", "1S954-TB")</f>
        <v>1S954-TB</v>
      </c>
      <c r="B48172" s="3" t="str">
        <f>HYPERLINK("https://www.773grp.com/manufacturer/renesas-electronics-america-inc?pageNo=135", "Renesas Electronics")</f>
        <v>Renesas Electronics</v>
      </c>
      <c r="C48172" s="6">
        <v>14385</v>
      </c>
      <c r="D48172" s="7">
        <v>0.38</v>
      </c>
    </row>
    <row r="48173" spans="1:4" x14ac:dyDescent="0.25">
      <c r="A48173" t="str">
        <f>HYPERLINK("https://www.773grp.com/globalSearch/1SS198-E/page-1", "1SS198-E")</f>
        <v>1SS198-E</v>
      </c>
      <c r="B48173" s="3" t="str">
        <f>HYPERLINK("https://www.773grp.com/manufacturer/renesas-electronics-america-inc?pageNo=136", "Renesas Electronics")</f>
        <v>Renesas Electronics</v>
      </c>
      <c r="C48173" s="6">
        <v>69125</v>
      </c>
      <c r="D48173" s="7">
        <v>0.38</v>
      </c>
    </row>
    <row r="48174" spans="1:4" x14ac:dyDescent="0.25">
      <c r="A48174" t="str">
        <f>HYPERLINK("https://www.773grp.com/globalSearch/2SC4965YV-TL-E/page-1", "2SC4965YV-TL-E")</f>
        <v>2SC4965YV-TL-E</v>
      </c>
      <c r="B48174" s="3" t="str">
        <f>HYPERLINK("https://www.773grp.com/manufacturer/renesas-electronics-america-inc?pageNo=137", "Renesas Electronics")</f>
        <v>Renesas Electronics</v>
      </c>
      <c r="C48174" s="6">
        <v>48000</v>
      </c>
      <c r="D48174" s="7">
        <v>0.38</v>
      </c>
    </row>
    <row r="48175" spans="1:4" x14ac:dyDescent="0.25">
      <c r="A48175" t="str">
        <f>HYPERLINK("https://www.773grp.com/globalSearch/2SD467CTZ-E/page-1", "2SD467CTZ-E")</f>
        <v>2SD467CTZ-E</v>
      </c>
      <c r="B48175" s="3" t="str">
        <f>HYPERLINK("https://www.773grp.com/manufacturer/renesas-electronics-america-inc?pageNo=138", "Renesas Electronics")</f>
        <v>Renesas Electronics</v>
      </c>
      <c r="C48175" s="6">
        <v>2500</v>
      </c>
      <c r="D48175" s="7">
        <v>0.38</v>
      </c>
    </row>
    <row r="48176" spans="1:4" x14ac:dyDescent="0.25">
      <c r="A48176" t="str">
        <f>HYPERLINK("https://www.773grp.com/globalSearch/HRU0302ATRF-P-E/page-1", "HRU0302ATRF-P-E")</f>
        <v>HRU0302ATRF-P-E</v>
      </c>
      <c r="B48176" s="3" t="str">
        <f>HYPERLINK("https://www.773grp.com/manufacturer/renesas-electronics-america-inc?pageNo=139", "Renesas Electronics")</f>
        <v>Renesas Electronics</v>
      </c>
      <c r="C48176" s="6">
        <v>96000</v>
      </c>
      <c r="D48176" s="7">
        <v>0.38</v>
      </c>
    </row>
    <row r="48177" spans="1:4" x14ac:dyDescent="0.25">
      <c r="A48177" t="str">
        <f>HYPERLINK("https://www.773grp.com/globalSearch/HSB2836TR-E/page-1", "HSB2836TR-E")</f>
        <v>HSB2836TR-E</v>
      </c>
      <c r="B48177" s="3" t="str">
        <f>HYPERLINK("https://www.773grp.com/manufacturer/renesas-electronics-america-inc?pageNo=140", "Renesas Electronics")</f>
        <v>Renesas Electronics</v>
      </c>
      <c r="C48177" s="6">
        <v>36000</v>
      </c>
      <c r="D48177" s="7">
        <v>0.38</v>
      </c>
    </row>
    <row r="48178" spans="1:4" x14ac:dyDescent="0.25">
      <c r="A48178" t="str">
        <f>HYPERLINK("https://www.773grp.com/globalSearch/HSC226JKRF-E/page-1", "HSC226JKRF-E")</f>
        <v>HSC226JKRF-E</v>
      </c>
      <c r="B48178" s="3" t="str">
        <f>HYPERLINK("https://www.773grp.com/manufacturer/renesas-electronics-america-inc?pageNo=141", "Renesas Electronics")</f>
        <v>Renesas Electronics</v>
      </c>
      <c r="C48178" s="6">
        <v>96000</v>
      </c>
      <c r="D48178" s="7">
        <v>0.38</v>
      </c>
    </row>
    <row r="48179" spans="1:4" x14ac:dyDescent="0.25">
      <c r="A48179" t="str">
        <f>HYPERLINK("https://www.773grp.com/globalSearch/HSC276A1TRF-E/page-1", "HSC276A1TRF-E")</f>
        <v>HSC276A1TRF-E</v>
      </c>
      <c r="B48179" s="3" t="str">
        <f>HYPERLINK("https://www.773grp.com/manufacturer/renesas-electronics-america-inc?pageNo=142", "Renesas Electronics")</f>
        <v>Renesas Electronics</v>
      </c>
      <c r="C48179" s="6">
        <v>28000</v>
      </c>
      <c r="D48179" s="7">
        <v>0.38</v>
      </c>
    </row>
    <row r="48180" spans="1:4" x14ac:dyDescent="0.25">
      <c r="A48180" t="str">
        <f>HYPERLINK("https://www.773grp.com/globalSearch/HSM123-92TR-E/page-1", "HSM123-92TR-E")</f>
        <v>HSM123-92TR-E</v>
      </c>
      <c r="B48180" s="3" t="str">
        <f>HYPERLINK("https://www.773grp.com/manufacturer/renesas-electronics-america-inc?pageNo=143", "Renesas Electronics")</f>
        <v>Renesas Electronics</v>
      </c>
      <c r="C48180" s="6">
        <v>27000</v>
      </c>
      <c r="D48180" s="7">
        <v>0.38</v>
      </c>
    </row>
    <row r="48181" spans="1:4" x14ac:dyDescent="0.25">
      <c r="A48181" t="str">
        <f>HYPERLINK("https://www.773grp.com/globalSearch/HSM221C-JTR/page-1", "HSM221C-JTR")</f>
        <v>HSM221C-JTR</v>
      </c>
      <c r="B48181" s="3" t="str">
        <f>HYPERLINK("https://www.773grp.com/manufacturer/renesas-electronics-america-inc?pageNo=144", "Renesas Electronics")</f>
        <v>Renesas Electronics</v>
      </c>
      <c r="C48181" s="6">
        <v>3000</v>
      </c>
      <c r="D48181" s="7">
        <v>0.38</v>
      </c>
    </row>
    <row r="48182" spans="1:4" x14ac:dyDescent="0.25">
      <c r="A48182" t="str">
        <f>HYPERLINK("https://www.773grp.com/globalSearch/HSU276ATRF-E/page-1", "HSU276ATRF-E")</f>
        <v>HSU276ATRF-E</v>
      </c>
      <c r="B48182" s="3" t="str">
        <f>HYPERLINK("https://www.773grp.com/manufacturer/renesas-electronics-america-inc?pageNo=145", "Renesas Electronics")</f>
        <v>Renesas Electronics</v>
      </c>
      <c r="C48182" s="6">
        <v>66000</v>
      </c>
      <c r="D48182" s="7">
        <v>0.38</v>
      </c>
    </row>
    <row r="48183" spans="1:4" x14ac:dyDescent="0.25">
      <c r="A48183" t="str">
        <f>HYPERLINK("https://www.773grp.com/globalSearch/HVC142A-NKRF-E/page-1", "HVC142A-NKRF-E")</f>
        <v>HVC142A-NKRF-E</v>
      </c>
      <c r="B48183" s="3" t="str">
        <f>HYPERLINK("https://www.773grp.com/manufacturer/renesas-electronics-america-inc?pageNo=146", "Renesas Electronics")</f>
        <v>Renesas Electronics</v>
      </c>
      <c r="C48183" s="6">
        <v>216000</v>
      </c>
      <c r="D48183" s="7">
        <v>0.38</v>
      </c>
    </row>
    <row r="48184" spans="1:4" x14ac:dyDescent="0.25">
      <c r="A48184" t="str">
        <f>HYPERLINK("https://www.773grp.com/globalSearch/HVC300C1TRU-E/page-1", "HVC300C1TRU-E")</f>
        <v>HVC300C1TRU-E</v>
      </c>
      <c r="B48184" s="3" t="str">
        <f>HYPERLINK("https://www.773grp.com/manufacturer/renesas-electronics-america-inc?pageNo=147", "Renesas Electronics")</f>
        <v>Renesas Electronics</v>
      </c>
      <c r="C48184" s="6">
        <v>80000</v>
      </c>
      <c r="D48184" s="7">
        <v>0.38</v>
      </c>
    </row>
    <row r="48185" spans="1:4" x14ac:dyDescent="0.25">
      <c r="A48185" t="str">
        <f>HYPERLINK("https://www.773grp.com/globalSearch/HVD145KRF-E/page-1", "HVD145KRF-E")</f>
        <v>HVD145KRF-E</v>
      </c>
      <c r="B48185" s="3" t="str">
        <f>HYPERLINK("https://www.773grp.com/manufacturer/renesas-electronics-america-inc?pageNo=148", "Renesas Electronics")</f>
        <v>Renesas Electronics</v>
      </c>
      <c r="C48185" s="6">
        <v>80000</v>
      </c>
      <c r="D48185" s="7">
        <v>0.38</v>
      </c>
    </row>
    <row r="48186" spans="1:4" x14ac:dyDescent="0.25">
      <c r="A48186" t="str">
        <f>HYPERLINK("https://www.773grp.com/globalSearch/HVL142-3PRF-E/page-1", "HVL142-3PRF-E")</f>
        <v>HVL142-3PRF-E</v>
      </c>
      <c r="B48186" s="3" t="str">
        <f>HYPERLINK("https://www.773grp.com/manufacturer/renesas-electronics-america-inc?pageNo=149", "Renesas Electronics")</f>
        <v>Renesas Electronics</v>
      </c>
      <c r="C48186" s="6">
        <v>120000</v>
      </c>
      <c r="D48186" s="7">
        <v>0.38</v>
      </c>
    </row>
    <row r="48187" spans="1:4" x14ac:dyDescent="0.25">
      <c r="A48187" t="str">
        <f>HYPERLINK("https://www.773grp.com/globalSearch/HVL142AM3KRF-E/page-1", "HVL142AM3KRF-E")</f>
        <v>HVL142AM3KRF-E</v>
      </c>
      <c r="B48187" s="3" t="str">
        <f>HYPERLINK("https://www.773grp.com/manufacturer/renesas-electronics-america-inc?pageNo=150", "Renesas Electronics")</f>
        <v>Renesas Electronics</v>
      </c>
      <c r="C48187" s="6">
        <v>830000</v>
      </c>
      <c r="D48187" s="7">
        <v>0.38</v>
      </c>
    </row>
    <row r="48188" spans="1:4" x14ac:dyDescent="0.25">
      <c r="A48188" t="str">
        <f>HYPERLINK("https://www.773grp.com/globalSearch/HVL144A3KRF-E/page-1", "HVL144A3KRF-E")</f>
        <v>HVL144A3KRF-E</v>
      </c>
      <c r="B48188" s="3" t="str">
        <f>HYPERLINK("https://www.773grp.com/manufacturer/renesas-electronics-america-inc?pageNo=151", "Renesas Electronics")</f>
        <v>Renesas Electronics</v>
      </c>
      <c r="C48188" s="6">
        <v>200000</v>
      </c>
      <c r="D48188" s="7">
        <v>0.38</v>
      </c>
    </row>
    <row r="48189" spans="1:4" x14ac:dyDescent="0.25">
      <c r="A48189" t="str">
        <f>HYPERLINK("https://www.773grp.com/globalSearch/HVL144AKRF-E/page-1", "HVL144AKRF-E")</f>
        <v>HVL144AKRF-E</v>
      </c>
      <c r="B48189" s="3" t="str">
        <f>HYPERLINK("https://www.773grp.com/manufacturer/renesas-electronics-america-inc?pageNo=152", "Renesas Electronics")</f>
        <v>Renesas Electronics</v>
      </c>
      <c r="C48189" s="6">
        <v>90000</v>
      </c>
      <c r="D48189" s="7">
        <v>0.38</v>
      </c>
    </row>
    <row r="48190" spans="1:4" x14ac:dyDescent="0.25">
      <c r="A48190" t="str">
        <f>HYPERLINK("https://www.773grp.com/globalSearch/HVU300C4TRF-E/page-1", "HVU300C4TRF-E")</f>
        <v>HVU300C4TRF-E</v>
      </c>
      <c r="B48190" s="3" t="str">
        <f>HYPERLINK("https://www.773grp.com/manufacturer/renesas-electronics-america-inc?pageNo=153", "Renesas Electronics")</f>
        <v>Renesas Electronics</v>
      </c>
      <c r="C48190" s="6">
        <v>84000</v>
      </c>
      <c r="D48190" s="7">
        <v>0.38</v>
      </c>
    </row>
    <row r="48191" spans="1:4" x14ac:dyDescent="0.25">
      <c r="A48191" t="str">
        <f>HYPERLINK("https://www.773grp.com/globalSearch/HZ11A1LTD-E/page-1", "HZ11A1LTD-E")</f>
        <v>HZ11A1LTD-E</v>
      </c>
      <c r="B48191" s="3" t="str">
        <f>HYPERLINK("https://www.773grp.com/manufacturer/renesas-electronics-america-inc?pageNo=154", "Renesas Electronics")</f>
        <v>Renesas Electronics</v>
      </c>
      <c r="C48191" s="6">
        <v>5000</v>
      </c>
      <c r="D48191" s="7">
        <v>0.38</v>
      </c>
    </row>
    <row r="48192" spans="1:4" x14ac:dyDescent="0.25">
      <c r="A48192" t="str">
        <f>HYPERLINK("https://www.773grp.com/globalSearch/HZ11B2JTA-E/page-1", "HZ11B2JTA-E")</f>
        <v>HZ11B2JTA-E</v>
      </c>
      <c r="B48192" s="3" t="str">
        <f>HYPERLINK("https://www.773grp.com/manufacturer/renesas-electronics-america-inc?pageNo=155", "Renesas Electronics")</f>
        <v>Renesas Electronics</v>
      </c>
      <c r="C48192" s="6">
        <v>15000</v>
      </c>
      <c r="D48192" s="7">
        <v>0.38</v>
      </c>
    </row>
    <row r="48193" spans="1:4" x14ac:dyDescent="0.25">
      <c r="A48193" t="str">
        <f>HYPERLINK("https://www.773grp.com/globalSearch/HZ11B3L-E/page-1", "HZ11B3L-E")</f>
        <v>HZ11B3L-E</v>
      </c>
      <c r="B48193" s="3" t="str">
        <f>HYPERLINK("https://www.773grp.com/manufacturer/renesas-electronics-america-inc?pageNo=156", "Renesas Electronics")</f>
        <v>Renesas Electronics</v>
      </c>
      <c r="C48193" s="6">
        <v>15500</v>
      </c>
      <c r="D48193" s="7">
        <v>0.38</v>
      </c>
    </row>
    <row r="48194" spans="1:4" x14ac:dyDescent="0.25">
      <c r="A48194" t="str">
        <f>HYPERLINK("https://www.773grp.com/globalSearch/HZ12B1L-E/page-1", "HZ12B1L-E")</f>
        <v>HZ12B1L-E</v>
      </c>
      <c r="B48194" s="3" t="str">
        <f>HYPERLINK("https://www.773grp.com/manufacturer/renesas-electronics-america-inc?pageNo=157", "Renesas Electronics")</f>
        <v>Renesas Electronics</v>
      </c>
      <c r="C48194" s="6">
        <v>12000</v>
      </c>
      <c r="D48194" s="7">
        <v>0.38</v>
      </c>
    </row>
    <row r="48195" spans="1:4" x14ac:dyDescent="0.25">
      <c r="A48195" t="str">
        <f>HYPERLINK("https://www.773grp.com/globalSearch/HZ12B1LTD-E/page-1", "HZ12B1LTD-E")</f>
        <v>HZ12B1LTD-E</v>
      </c>
      <c r="B48195" s="3" t="str">
        <f>HYPERLINK("https://www.773grp.com/manufacturer/renesas-electronics-america-inc?pageNo=158", "Renesas Electronics")</f>
        <v>Renesas Electronics</v>
      </c>
      <c r="C48195" s="6">
        <v>50000</v>
      </c>
      <c r="D48195" s="7">
        <v>0.38</v>
      </c>
    </row>
    <row r="48196" spans="1:4" x14ac:dyDescent="0.25">
      <c r="A48196" t="str">
        <f>HYPERLINK("https://www.773grp.com/globalSearch/HZ12B3LTD-E/page-1", "HZ12B3LTD-E")</f>
        <v>HZ12B3LTD-E</v>
      </c>
      <c r="B48196" s="3" t="str">
        <f>HYPERLINK("https://www.773grp.com/manufacturer/renesas-electronics-america-inc?pageNo=159", "Renesas Electronics")</f>
        <v>Renesas Electronics</v>
      </c>
      <c r="C48196" s="6">
        <v>5000</v>
      </c>
      <c r="D48196" s="7">
        <v>0.38</v>
      </c>
    </row>
    <row r="48197" spans="1:4" x14ac:dyDescent="0.25">
      <c r="A48197" t="str">
        <f>HYPERLINK("https://www.773grp.com/globalSearch/HZ12C1J-E/page-1", "HZ12C1J-E")</f>
        <v>HZ12C1J-E</v>
      </c>
      <c r="B48197" s="3" t="str">
        <f>HYPERLINK("https://www.773grp.com/manufacturer/renesas-electronics-america-inc?pageNo=160", "Renesas Electronics")</f>
        <v>Renesas Electronics</v>
      </c>
      <c r="C48197" s="6">
        <v>11000</v>
      </c>
      <c r="D48197" s="7">
        <v>0.38</v>
      </c>
    </row>
    <row r="48198" spans="1:4" x14ac:dyDescent="0.25">
      <c r="A48198" t="str">
        <f>HYPERLINK("https://www.773grp.com/globalSearch/HZ15-1LTA-E/page-1", "HZ15-1LTA-E")</f>
        <v>HZ15-1LTA-E</v>
      </c>
      <c r="B48198" s="3" t="str">
        <f>HYPERLINK("https://www.773grp.com/manufacturer/renesas-electronics-america-inc?pageNo=161", "Renesas Electronics")</f>
        <v>Renesas Electronics</v>
      </c>
      <c r="C48198" s="6">
        <v>5000</v>
      </c>
      <c r="D48198" s="7">
        <v>0.38</v>
      </c>
    </row>
    <row r="48199" spans="1:4" x14ac:dyDescent="0.25">
      <c r="A48199" t="str">
        <f>HYPERLINK("https://www.773grp.com/globalSearch/HZ15-2J-E/page-1", "HZ15-2J-E")</f>
        <v>HZ15-2J-E</v>
      </c>
      <c r="B48199" s="3" t="str">
        <f>HYPERLINK("https://www.773grp.com/manufacturer/renesas-electronics-america-inc?pageNo=162", "Renesas Electronics")</f>
        <v>Renesas Electronics</v>
      </c>
      <c r="C48199" s="6">
        <v>18500</v>
      </c>
      <c r="D48199" s="7">
        <v>0.38</v>
      </c>
    </row>
    <row r="48200" spans="1:4" x14ac:dyDescent="0.25">
      <c r="A48200" t="str">
        <f>HYPERLINK("https://www.773grp.com/globalSearch/HZ16-1-90/page-1", "HZ16-1-90")</f>
        <v>HZ16-1-90</v>
      </c>
      <c r="B48200" s="3" t="str">
        <f>HYPERLINK("https://www.773grp.com/manufacturer/renesas-electronics-america-inc?pageNo=163", "Renesas Electronics")</f>
        <v>Renesas Electronics</v>
      </c>
      <c r="C48200" s="6">
        <v>19000</v>
      </c>
      <c r="D48200" s="7">
        <v>0.38</v>
      </c>
    </row>
    <row r="48201" spans="1:4" x14ac:dyDescent="0.25">
      <c r="A48201" t="str">
        <f>HYPERLINK("https://www.773grp.com/globalSearch/HZ16-2JTA-E/page-1", "HZ16-2JTA-E")</f>
        <v>HZ16-2JTA-E</v>
      </c>
      <c r="B48201" s="3" t="str">
        <f>HYPERLINK("https://www.773grp.com/manufacturer/renesas-electronics-america-inc?pageNo=164", "Renesas Electronics")</f>
        <v>Renesas Electronics</v>
      </c>
      <c r="C48201" s="6">
        <v>10000</v>
      </c>
      <c r="D48201" s="7">
        <v>0.38</v>
      </c>
    </row>
    <row r="48202" spans="1:4" x14ac:dyDescent="0.25">
      <c r="A48202" t="str">
        <f>HYPERLINK("https://www.773grp.com/globalSearch/HZ3B2J/page-1", "HZ3B2J")</f>
        <v>HZ3B2J</v>
      </c>
      <c r="B48202" s="3" t="str">
        <f>HYPERLINK("https://www.773grp.com/manufacturer/renesas-electronics-america-inc?pageNo=165", "Renesas Electronics")</f>
        <v>Renesas Electronics</v>
      </c>
      <c r="C48202" s="6">
        <v>17931</v>
      </c>
      <c r="D48202" s="7">
        <v>0.38</v>
      </c>
    </row>
    <row r="48203" spans="1:4" x14ac:dyDescent="0.25">
      <c r="A48203" t="str">
        <f>HYPERLINK("https://www.773grp.com/globalSearch/HZ4A3J-E/page-1", "HZ4A3J-E")</f>
        <v>HZ4A3J-E</v>
      </c>
      <c r="B48203" s="3" t="str">
        <f>HYPERLINK("https://www.773grp.com/manufacturer/renesas-electronics-america-inc?pageNo=166", "Renesas Electronics")</f>
        <v>Renesas Electronics</v>
      </c>
      <c r="C48203" s="6">
        <v>13500</v>
      </c>
      <c r="D48203" s="7">
        <v>0.38</v>
      </c>
    </row>
    <row r="48204" spans="1:4" x14ac:dyDescent="0.25">
      <c r="A48204" t="str">
        <f>HYPERLINK("https://www.773grp.com/globalSearch/HZ4ALLTD-E/page-1", "HZ4ALLTD-E")</f>
        <v>HZ4ALLTD-E</v>
      </c>
      <c r="B48204" s="3" t="str">
        <f>HYPERLINK("https://www.773grp.com/manufacturer/renesas-electronics-america-inc?pageNo=167", "Renesas Electronics")</f>
        <v>Renesas Electronics</v>
      </c>
      <c r="C48204" s="6">
        <v>17500</v>
      </c>
      <c r="D48204" s="7">
        <v>0.38</v>
      </c>
    </row>
    <row r="48205" spans="1:4" x14ac:dyDescent="0.25">
      <c r="A48205" t="str">
        <f>HYPERLINK("https://www.773grp.com/globalSearch/HZ4C3JTA-E/page-1", "HZ4C3JTA-E")</f>
        <v>HZ4C3JTA-E</v>
      </c>
      <c r="B48205" s="3" t="str">
        <f>HYPERLINK("https://www.773grp.com/manufacturer/renesas-electronics-america-inc?pageNo=168", "Renesas Electronics")</f>
        <v>Renesas Electronics</v>
      </c>
      <c r="C48205" s="6">
        <v>10000</v>
      </c>
      <c r="D48205" s="7">
        <v>0.38</v>
      </c>
    </row>
    <row r="48206" spans="1:4" x14ac:dyDescent="0.25">
      <c r="A48206" t="str">
        <f>HYPERLINK("https://www.773grp.com/globalSearch/HZ5A2J-E/page-1", "HZ5A2J-E")</f>
        <v>HZ5A2J-E</v>
      </c>
      <c r="B48206" s="3" t="str">
        <f>HYPERLINK("https://www.773grp.com/manufacturer/renesas-electronics-america-inc?pageNo=169", "Renesas Electronics")</f>
        <v>Renesas Electronics</v>
      </c>
      <c r="C48206" s="6">
        <v>10000</v>
      </c>
      <c r="D48206" s="7">
        <v>0.38</v>
      </c>
    </row>
    <row r="48207" spans="1:4" x14ac:dyDescent="0.25">
      <c r="A48207" t="str">
        <f>HYPERLINK("https://www.773grp.com/globalSearch/HZ5ALL-J-E/page-1", "HZ5ALL-J-E")</f>
        <v>HZ5ALL-J-E</v>
      </c>
      <c r="B48207" s="3" t="str">
        <f>HYPERLINK("https://www.773grp.com/manufacturer/renesas-electronics-america-inc?pageNo=170", "Renesas Electronics")</f>
        <v>Renesas Electronics</v>
      </c>
      <c r="C48207" s="6">
        <v>47500</v>
      </c>
      <c r="D48207" s="7">
        <v>0.38</v>
      </c>
    </row>
    <row r="48208" spans="1:4" x14ac:dyDescent="0.25">
      <c r="A48208" t="str">
        <f>HYPERLINK("https://www.773grp.com/globalSearch/HZ5B2J-E/page-1", "HZ5B2J-E")</f>
        <v>HZ5B2J-E</v>
      </c>
      <c r="B48208" s="3" t="str">
        <f>HYPERLINK("https://www.773grp.com/manufacturer/renesas-electronics-america-inc?pageNo=171", "Renesas Electronics")</f>
        <v>Renesas Electronics</v>
      </c>
      <c r="C48208" s="6">
        <v>5000</v>
      </c>
      <c r="D48208" s="7">
        <v>0.38</v>
      </c>
    </row>
    <row r="48209" spans="1:4" x14ac:dyDescent="0.25">
      <c r="A48209" t="str">
        <f>HYPERLINK("https://www.773grp.com/globalSearch/HZ5BLLRE-E/page-1", "HZ5BLLRE-E")</f>
        <v>HZ5BLLRE-E</v>
      </c>
      <c r="B48209" s="3" t="str">
        <f>HYPERLINK("https://www.773grp.com/manufacturer/renesas-electronics-america-inc?pageNo=172", "Renesas Electronics")</f>
        <v>Renesas Electronics</v>
      </c>
      <c r="C48209" s="6">
        <v>88000</v>
      </c>
      <c r="D48209" s="7">
        <v>0.38</v>
      </c>
    </row>
    <row r="48210" spans="1:4" x14ac:dyDescent="0.25">
      <c r="A48210" t="str">
        <f>HYPERLINK("https://www.773grp.com/globalSearch/HZ5BLLTA-E/page-1", "HZ5BLLTA-E")</f>
        <v>HZ5BLLTA-E</v>
      </c>
      <c r="B48210" s="3" t="str">
        <f>HYPERLINK("https://www.773grp.com/manufacturer/renesas-electronics-america-inc?pageNo=173", "Renesas Electronics")</f>
        <v>Renesas Electronics</v>
      </c>
      <c r="C48210" s="6">
        <v>5000</v>
      </c>
      <c r="D48210" s="7">
        <v>0.38</v>
      </c>
    </row>
    <row r="48211" spans="1:4" x14ac:dyDescent="0.25">
      <c r="A48211" t="str">
        <f>HYPERLINK("https://www.773grp.com/globalSearch/HZ5C3J-E/page-1", "HZ5C3J-E")</f>
        <v>HZ5C3J-E</v>
      </c>
      <c r="B48211" s="3" t="str">
        <f>HYPERLINK("https://www.773grp.com/manufacturer/renesas-electronics-america-inc?pageNo=174", "Renesas Electronics")</f>
        <v>Renesas Electronics</v>
      </c>
      <c r="C48211" s="6">
        <v>11000</v>
      </c>
      <c r="D48211" s="7">
        <v>0.38</v>
      </c>
    </row>
    <row r="48212" spans="1:4" x14ac:dyDescent="0.25">
      <c r="A48212" t="str">
        <f>HYPERLINK("https://www.773grp.com/globalSearch/HZ5CLL-J/page-1", "HZ5CLL-J")</f>
        <v>HZ5CLL-J</v>
      </c>
      <c r="B48212" s="3" t="str">
        <f>HYPERLINK("https://www.773grp.com/manufacturer/renesas-electronics-america-inc?pageNo=175", "Renesas Electronics")</f>
        <v>Renesas Electronics</v>
      </c>
      <c r="C48212" s="6">
        <v>12000</v>
      </c>
      <c r="D48212" s="7">
        <v>0.38</v>
      </c>
    </row>
    <row r="48213" spans="1:4" x14ac:dyDescent="0.25">
      <c r="A48213" t="str">
        <f>HYPERLINK("https://www.773grp.com/globalSearch/HZ6A2LTA-E/page-1", "HZ6A2LTA-E")</f>
        <v>HZ6A2LTA-E</v>
      </c>
      <c r="B48213" s="3" t="str">
        <f>HYPERLINK("https://www.773grp.com/manufacturer/renesas-electronics-america-inc?pageNo=176", "Renesas Electronics")</f>
        <v>Renesas Electronics</v>
      </c>
      <c r="C48213" s="6">
        <v>28570</v>
      </c>
      <c r="D48213" s="7">
        <v>0.38</v>
      </c>
    </row>
    <row r="48214" spans="1:4" x14ac:dyDescent="0.25">
      <c r="A48214" t="str">
        <f>HYPERLINK("https://www.773grp.com/globalSearch/HZ6C1J-E/page-1", "HZ6C1J-E")</f>
        <v>HZ6C1J-E</v>
      </c>
      <c r="B48214" s="3" t="str">
        <f>HYPERLINK("https://www.773grp.com/manufacturer/renesas-electronics-america-inc?pageNo=177", "Renesas Electronics")</f>
        <v>Renesas Electronics</v>
      </c>
      <c r="C48214" s="6">
        <v>10500</v>
      </c>
      <c r="D48214" s="7">
        <v>0.38</v>
      </c>
    </row>
    <row r="48215" spans="1:4" x14ac:dyDescent="0.25">
      <c r="A48215" t="str">
        <f>HYPERLINK("https://www.773grp.com/globalSearch/HZ7B2LRE-E/page-1", "HZ7B2LRE-E")</f>
        <v>HZ7B2LRE-E</v>
      </c>
      <c r="B48215" s="9" t="str">
        <f>HYPERLINK("https://www.773grp.com/manufacturer/renesas-electronics-america-inc?pageNo=178", "Renesas Electronics")</f>
        <v>Renesas Electronics</v>
      </c>
      <c r="C48215" s="6">
        <v>4000</v>
      </c>
      <c r="D48215" s="7">
        <v>0.38</v>
      </c>
    </row>
    <row r="48216" spans="1:4" x14ac:dyDescent="0.25">
      <c r="A48216" t="str">
        <f>HYPERLINK("https://www.773grp.com/globalSearch/HZ7B2LTA-E/page-1", "HZ7B2LTA-E")</f>
        <v>HZ7B2LTA-E</v>
      </c>
      <c r="B48216" s="3" t="str">
        <f>HYPERLINK("https://www.773grp.com/manufacturer/renesas-electronics-america-inc?pageNo=179", "Renesas Electronics")</f>
        <v>Renesas Electronics</v>
      </c>
      <c r="C48216" s="6">
        <v>45000</v>
      </c>
      <c r="D48216" s="7">
        <v>0.38</v>
      </c>
    </row>
    <row r="48217" spans="1:4" x14ac:dyDescent="0.25">
      <c r="A48217" t="str">
        <f>HYPERLINK("https://www.773grp.com/globalSearch/HZ7C3LTD-E/page-1", "HZ7C3LTD-E")</f>
        <v>HZ7C3LTD-E</v>
      </c>
      <c r="B48217" s="3" t="str">
        <f>HYPERLINK("https://www.773grp.com/manufacturer/renesas-electronics-america-inc?pageNo=180", "Renesas Electronics")</f>
        <v>Renesas Electronics</v>
      </c>
      <c r="C48217" s="6">
        <v>15000</v>
      </c>
      <c r="D48217" s="7">
        <v>0.38</v>
      </c>
    </row>
    <row r="48218" spans="1:4" x14ac:dyDescent="0.25">
      <c r="A48218" t="str">
        <f>HYPERLINK("https://www.773grp.com/globalSearch/HZ9B1LRE-E/page-1", "HZ9B1LRE-E")</f>
        <v>HZ9B1LRE-E</v>
      </c>
      <c r="B48218" s="9" t="str">
        <f>HYPERLINK("https://www.773grp.com/manufacturer/renesas-electronics-america-inc?pageNo=181", "Renesas Electronics")</f>
        <v>Renesas Electronics</v>
      </c>
      <c r="C48218" s="6">
        <v>12000</v>
      </c>
      <c r="D48218" s="7">
        <v>0.38</v>
      </c>
    </row>
    <row r="48219" spans="1:4" x14ac:dyDescent="0.25">
      <c r="A48219" t="str">
        <f>HYPERLINK("https://www.773grp.com/globalSearch/HZK12ALTL-S-E/page-1", "HZK12ALTL-S-E")</f>
        <v>HZK12ALTL-S-E</v>
      </c>
      <c r="B48219" s="3" t="str">
        <f>HYPERLINK("https://www.773grp.com/manufacturer/renesas-electronics-america-inc?pageNo=182", "Renesas Electronics")</f>
        <v>Renesas Electronics</v>
      </c>
      <c r="C48219" s="6">
        <v>15000</v>
      </c>
      <c r="D48219" s="7">
        <v>0.38</v>
      </c>
    </row>
    <row r="48220" spans="1:4" x14ac:dyDescent="0.25">
      <c r="A48220" t="str">
        <f>HYPERLINK("https://www.773grp.com/globalSearch/HZK12CTR-S-E/page-1", "HZK12CTR-S-E")</f>
        <v>HZK12CTR-S-E</v>
      </c>
      <c r="B48220" s="3" t="str">
        <f>HYPERLINK("https://www.773grp.com/manufacturer/renesas-electronics-america-inc?pageNo=183", "Renesas Electronics")</f>
        <v>Renesas Electronics</v>
      </c>
      <c r="C48220" s="6">
        <v>5000</v>
      </c>
      <c r="D48220" s="7">
        <v>0.38</v>
      </c>
    </row>
    <row r="48221" spans="1:4" x14ac:dyDescent="0.25">
      <c r="A48221" t="str">
        <f>HYPERLINK("https://www.773grp.com/globalSearch/HZK18TL/page-1", "HZK18TL")</f>
        <v>HZK18TL</v>
      </c>
      <c r="B48221" s="3" t="str">
        <f>HYPERLINK("https://www.773grp.com/manufacturer/renesas-electronics-america-inc?pageNo=184", "Renesas Electronics")</f>
        <v>Renesas Electronics</v>
      </c>
      <c r="C48221" s="6">
        <v>25000</v>
      </c>
      <c r="D48221" s="7">
        <v>0.38</v>
      </c>
    </row>
    <row r="48222" spans="1:4" x14ac:dyDescent="0.25">
      <c r="A48222" t="str">
        <f>HYPERLINK("https://www.773grp.com/globalSearch/HZK33TL-S-E/page-1", "HZK33TL-S-E")</f>
        <v>HZK33TL-S-E</v>
      </c>
      <c r="B48222" s="3" t="str">
        <f>HYPERLINK("https://www.773grp.com/manufacturer/renesas-electronics-america-inc?pageNo=185", "Renesas Electronics")</f>
        <v>Renesas Electronics</v>
      </c>
      <c r="C48222" s="6">
        <v>12500</v>
      </c>
      <c r="D48222" s="7">
        <v>0.38</v>
      </c>
    </row>
    <row r="48223" spans="1:4" x14ac:dyDescent="0.25">
      <c r="A48223" t="str">
        <f>HYPERLINK("https://www.773grp.com/globalSearch/HZK36-3-90TR/page-1", "HZK36-3-90TR")</f>
        <v>HZK36-3-90TR</v>
      </c>
      <c r="B48223" s="3" t="str">
        <f>HYPERLINK("https://www.773grp.com/manufacturer/renesas-electronics-america-inc?pageNo=186", "Renesas Electronics")</f>
        <v>Renesas Electronics</v>
      </c>
      <c r="C48223" s="6">
        <v>77500</v>
      </c>
      <c r="D48223" s="7">
        <v>0.38</v>
      </c>
    </row>
    <row r="48224" spans="1:4" x14ac:dyDescent="0.25">
      <c r="A48224" t="str">
        <f>HYPERLINK("https://www.773grp.com/globalSearch/HZK4BTR-S-E/page-1", "HZK4BTR-S-E")</f>
        <v>HZK4BTR-S-E</v>
      </c>
      <c r="B48224" s="3" t="str">
        <f>HYPERLINK("https://www.773grp.com/manufacturer/renesas-electronics-america-inc?pageNo=187", "Renesas Electronics")</f>
        <v>Renesas Electronics</v>
      </c>
      <c r="C48224" s="6">
        <v>55000</v>
      </c>
      <c r="D48224" s="7">
        <v>0.38</v>
      </c>
    </row>
    <row r="48225" spans="1:4" x14ac:dyDescent="0.25">
      <c r="A48225" t="str">
        <f>HYPERLINK("https://www.773grp.com/globalSearch/HZK5BLL-JTR/page-1", "HZK5BLL-JTR")</f>
        <v>HZK5BLL-JTR</v>
      </c>
      <c r="B48225" s="4" t="str">
        <f>HYPERLINK("https://www.773grp.com/manufacturer/renesas-electronics-america-inc?pageNo=188", "Renesas Electronics")</f>
        <v>Renesas Electronics</v>
      </c>
      <c r="C48225" s="6">
        <v>20000</v>
      </c>
      <c r="D48225" s="7">
        <v>0.38</v>
      </c>
    </row>
    <row r="48226" spans="1:4" x14ac:dyDescent="0.25">
      <c r="A48226" t="str">
        <f>HYPERLINK("https://www.773grp.com/globalSearch/HZK5BTR-S-E/page-1", "HZK5BTR-S-E")</f>
        <v>HZK5BTR-S-E</v>
      </c>
      <c r="B48226" s="3" t="str">
        <f>HYPERLINK("https://www.773grp.com/manufacturer/renesas-electronics-america-inc?pageNo=189", "Renesas Electronics")</f>
        <v>Renesas Electronics</v>
      </c>
      <c r="C48226" s="6">
        <v>17500</v>
      </c>
      <c r="D48226" s="7">
        <v>0.38</v>
      </c>
    </row>
    <row r="48227" spans="1:4" x14ac:dyDescent="0.25">
      <c r="A48227" t="str">
        <f>HYPERLINK("https://www.773grp.com/globalSearch/HZK9B-JTR/page-1", "HZK9B-JTR")</f>
        <v>HZK9B-JTR</v>
      </c>
      <c r="B48227" s="3" t="str">
        <f>HYPERLINK("https://www.773grp.com/manufacturer/renesas-electronics-america-inc?pageNo=190", "Renesas Electronics")</f>
        <v>Renesas Electronics</v>
      </c>
      <c r="C48227" s="6">
        <v>17500</v>
      </c>
      <c r="D48227" s="7">
        <v>0.38</v>
      </c>
    </row>
    <row r="48228" spans="1:4" x14ac:dyDescent="0.25">
      <c r="A48228" t="str">
        <f>HYPERLINK("https://www.773grp.com/globalSearch/HZM6.2ZMWATL-P-E/page-1", "HZM6.2ZMWATL-P-E")</f>
        <v>HZM6.2ZMWATL-P-E</v>
      </c>
      <c r="B48228" s="3" t="str">
        <f>HYPERLINK("https://www.773grp.com/manufacturer/renesas-electronics-america-inc?pageNo=191", "Renesas Electronics")</f>
        <v>Renesas Electronics</v>
      </c>
      <c r="C48228" s="6">
        <v>9000</v>
      </c>
      <c r="D48228" s="7">
        <v>0.38</v>
      </c>
    </row>
    <row r="48229" spans="1:4" x14ac:dyDescent="0.25">
      <c r="A48229" t="str">
        <f>HYPERLINK("https://www.773grp.com/globalSearch/HZS27-2JTA-E/page-1", "HZS27-2JTA-E")</f>
        <v>HZS27-2JTA-E</v>
      </c>
      <c r="B48229" s="4" t="str">
        <f>HYPERLINK("https://www.773grp.com/manufacturer/renesas-electronics-america-inc?pageNo=192", "Renesas Electronics")</f>
        <v>Renesas Electronics</v>
      </c>
      <c r="C48229" s="6">
        <v>10000</v>
      </c>
      <c r="D48229" s="7">
        <v>0.38</v>
      </c>
    </row>
    <row r="48230" spans="1:4" x14ac:dyDescent="0.25">
      <c r="A48230" t="str">
        <f>HYPERLINK("https://www.773grp.com/globalSearch/HZU11A1LTRF-E/page-1", "HZU11A1LTRF-E")</f>
        <v>HZU11A1LTRF-E</v>
      </c>
      <c r="B48230" s="3" t="str">
        <f>HYPERLINK("https://www.773grp.com/manufacturer/renesas-electronics-america-inc?pageNo=193", "Renesas Electronics")</f>
        <v>Renesas Electronics</v>
      </c>
      <c r="C48230" s="6">
        <v>108000</v>
      </c>
      <c r="D48230" s="7">
        <v>0.38</v>
      </c>
    </row>
    <row r="48231" spans="1:4" x14ac:dyDescent="0.25">
      <c r="A48231" t="str">
        <f>HYPERLINK("https://www.773grp.com/globalSearch/HZU11A3LTRF-E/page-1", "HZU11A3LTRF-E")</f>
        <v>HZU11A3LTRF-E</v>
      </c>
      <c r="B48231" s="3" t="str">
        <f>HYPERLINK("https://www.773grp.com/manufacturer/renesas-electronics-america-inc?pageNo=194", "Renesas Electronics")</f>
        <v>Renesas Electronics</v>
      </c>
      <c r="C48231" s="6">
        <v>18000</v>
      </c>
      <c r="D48231" s="7">
        <v>0.38</v>
      </c>
    </row>
    <row r="48232" spans="1:4" x14ac:dyDescent="0.25">
      <c r="A48232" t="str">
        <f>HYPERLINK("https://www.773grp.com/globalSearch/HZU5.6G-JTRF-E/page-1", "HZU5.6G-JTRF-E")</f>
        <v>HZU5.6G-JTRF-E</v>
      </c>
      <c r="B48232" s="3" t="str">
        <f>HYPERLINK("https://www.773grp.com/manufacturer/renesas-electronics-america-inc?pageNo=195", "Renesas Electronics")</f>
        <v>Renesas Electronics</v>
      </c>
      <c r="C48232" s="6">
        <v>57000</v>
      </c>
      <c r="D48232" s="7">
        <v>0.38</v>
      </c>
    </row>
    <row r="48233" spans="1:4" x14ac:dyDescent="0.25">
      <c r="A48233" t="str">
        <f>HYPERLINK("https://www.773grp.com/globalSearch/HZU5BLL-JTRF/page-1", "HZU5BLL-JTRF")</f>
        <v>HZU5BLL-JTRF</v>
      </c>
      <c r="B48233" s="4" t="str">
        <f>HYPERLINK("https://www.773grp.com/manufacturer/renesas-electronics-america-inc?pageNo=196", "Renesas Electronics")</f>
        <v>Renesas Electronics</v>
      </c>
      <c r="C48233" s="6">
        <v>63000</v>
      </c>
      <c r="D48233" s="7">
        <v>0.38</v>
      </c>
    </row>
    <row r="48234" spans="1:4" x14ac:dyDescent="0.25">
      <c r="A48234" t="str">
        <f>HYPERLINK("https://www.773grp.com/globalSearch/HZU9C1LTRF-E/page-1", "HZU9C1LTRF-E")</f>
        <v>HZU9C1LTRF-E</v>
      </c>
      <c r="B48234" s="3" t="str">
        <f>HYPERLINK("https://www.773grp.com/manufacturer/renesas-electronics-america-inc?pageNo=197", "Renesas Electronics")</f>
        <v>Renesas Electronics</v>
      </c>
      <c r="C48234" s="6">
        <v>51000</v>
      </c>
      <c r="D48234" s="7">
        <v>0.38</v>
      </c>
    </row>
    <row r="48235" spans="1:4" x14ac:dyDescent="0.25">
      <c r="A48235" t="str">
        <f>HYPERLINK("https://www.773grp.com/globalSearch/HZU9C3LTRF-E/page-1", "HZU9C3LTRF-E")</f>
        <v>HZU9C3LTRF-E</v>
      </c>
      <c r="B48235" s="3" t="str">
        <f>HYPERLINK("https://www.773grp.com/manufacturer/renesas-electronics-america-inc?pageNo=198", "Renesas Electronics")</f>
        <v>Renesas Electronics</v>
      </c>
      <c r="C48235" s="6">
        <v>105000</v>
      </c>
      <c r="D48235" s="7">
        <v>0.38</v>
      </c>
    </row>
    <row r="48236" spans="1:4" x14ac:dyDescent="0.25">
      <c r="A48236" t="str">
        <f>HYPERLINK("https://www.773grp.com/globalSearch/NNCD8.2J-T1-A/page-1", "NNCD8.2J-T1-A")</f>
        <v>NNCD8.2J-T1-A</v>
      </c>
      <c r="B48236" s="3" t="str">
        <f>HYPERLINK("https://www.773grp.com/manufacturer/renesas-electronics-america-inc?pageNo=199", "Renesas Electronics")</f>
        <v>Renesas Electronics</v>
      </c>
      <c r="C48236" s="6">
        <v>6000</v>
      </c>
      <c r="D48236" s="7">
        <v>0.38</v>
      </c>
    </row>
    <row r="48237" spans="1:4" x14ac:dyDescent="0.25">
      <c r="A48237" t="str">
        <f>HYPERLINK("https://www.773grp.com/globalSearch/RD2.7M-L-A/page-1", "RD2.7M-L-A")</f>
        <v>RD2.7M-L-A</v>
      </c>
      <c r="B48237" s="3" t="str">
        <f>HYPERLINK("https://www.773grp.com/manufacturer/renesas-electronics-america-inc?pageNo=200", "Renesas Electronics")</f>
        <v>Renesas Electronics</v>
      </c>
      <c r="C48237" s="6">
        <v>3600</v>
      </c>
      <c r="D48237" s="7">
        <v>0.38</v>
      </c>
    </row>
    <row r="48238" spans="1:4" x14ac:dyDescent="0.25">
      <c r="A48238" t="str">
        <f>HYPERLINK("https://www.773grp.com/globalSearch/RD20M-L-A/page-1", "RD20M-L-A")</f>
        <v>RD20M-L-A</v>
      </c>
      <c r="B48238" s="3" t="str">
        <f>HYPERLINK("https://www.773grp.com/manufacturer/renesas-electronics-america-inc?pageNo=201", "Renesas Electronics")</f>
        <v>Renesas Electronics</v>
      </c>
      <c r="C48238" s="6">
        <v>600</v>
      </c>
      <c r="D48238" s="7">
        <v>0.38</v>
      </c>
    </row>
    <row r="48239" spans="1:4" x14ac:dyDescent="0.25">
      <c r="A48239" t="str">
        <f>HYPERLINK("https://www.773grp.com/globalSearch/RD3.0M-L-A/page-1", "RD3.0M-L-A")</f>
        <v>RD3.0M-L-A</v>
      </c>
      <c r="B48239" s="4" t="str">
        <f>HYPERLINK("https://www.773grp.com/manufacturer/renesas-electronics-america-inc?pageNo=202", "Renesas Electronics")</f>
        <v>Renesas Electronics</v>
      </c>
      <c r="C48239" s="6">
        <v>900</v>
      </c>
      <c r="D48239" s="7">
        <v>0.38</v>
      </c>
    </row>
    <row r="48240" spans="1:4" x14ac:dyDescent="0.25">
      <c r="A48240" t="str">
        <f>HYPERLINK("https://www.773grp.com/globalSearch/RD3.3M-L-A/page-1", "RD3.3M-L-A")</f>
        <v>RD3.3M-L-A</v>
      </c>
      <c r="B48240" s="3" t="str">
        <f>HYPERLINK("https://www.773grp.com/manufacturer/renesas-electronics-america-inc?pageNo=203", "Renesas Electronics")</f>
        <v>Renesas Electronics</v>
      </c>
      <c r="C48240" s="6">
        <v>6500</v>
      </c>
      <c r="D48240" s="7">
        <v>0.38</v>
      </c>
    </row>
    <row r="48241" spans="1:4" x14ac:dyDescent="0.25">
      <c r="A48241" t="str">
        <f>HYPERLINK("https://www.773grp.com/globalSearch/RD39M-L-A/page-1", "RD39M-L-A")</f>
        <v>RD39M-L-A</v>
      </c>
      <c r="B48241" s="3" t="str">
        <f>HYPERLINK("https://www.773grp.com/manufacturer/renesas-electronics-america-inc?pageNo=204", "Renesas Electronics")</f>
        <v>Renesas Electronics</v>
      </c>
      <c r="C48241" s="6">
        <v>1800</v>
      </c>
      <c r="D48241" s="7">
        <v>0.38</v>
      </c>
    </row>
    <row r="48242" spans="1:4" x14ac:dyDescent="0.25">
      <c r="A48242" t="str">
        <f>HYPERLINK("https://www.773grp.com/globalSearch/RKH0160AKU-1#P6/page-1", "RKH0160AKU-1#P6")</f>
        <v>RKH0160AKU-1#P6</v>
      </c>
      <c r="B48242" s="3" t="str">
        <f>HYPERLINK("https://www.773grp.com/manufacturer/renesas-electronics-america-inc?pageNo=205", "Renesas Electronics")</f>
        <v>Renesas Electronics</v>
      </c>
      <c r="C48242" s="6">
        <v>4000</v>
      </c>
      <c r="D48242" s="7">
        <v>0.38</v>
      </c>
    </row>
    <row r="48243" spans="1:4" x14ac:dyDescent="0.25">
      <c r="A48243" t="str">
        <f>HYPERLINK("https://www.773grp.com/globalSearch/RKP204KP#R0/page-1", "RKP204KP#R0")</f>
        <v>RKP204KP#R0</v>
      </c>
      <c r="B48243" s="3" t="str">
        <f>HYPERLINK("https://www.773grp.com/manufacturer/renesas-electronics-america-inc?pageNo=206", "Renesas Electronics")</f>
        <v>Renesas Electronics</v>
      </c>
      <c r="C48243" s="6">
        <v>30000</v>
      </c>
      <c r="D48243" s="7">
        <v>0.38</v>
      </c>
    </row>
    <row r="48244" spans="1:4" x14ac:dyDescent="0.25">
      <c r="A48244" t="str">
        <f>HYPERLINK("https://www.773grp.com/globalSearch/RKR0303AKJ#P1/page-1", "RKR0303AKJ#P1")</f>
        <v>RKR0303AKJ#P1</v>
      </c>
      <c r="B48244" s="3" t="str">
        <f>HYPERLINK("https://www.773grp.com/manufacturer/renesas-electronics-america-inc?pageNo=207", "Renesas Electronics")</f>
        <v>Renesas Electronics</v>
      </c>
      <c r="C48244" s="6">
        <v>188000</v>
      </c>
      <c r="D48244" s="7">
        <v>0.38</v>
      </c>
    </row>
    <row r="48245" spans="1:4" x14ac:dyDescent="0.25">
      <c r="A48245" t="str">
        <f>HYPERLINK("https://www.773grp.com/globalSearch/RKR0303AKJ#R6/page-1", "RKR0303AKJ#R6")</f>
        <v>RKR0303AKJ#R6</v>
      </c>
      <c r="B48245" s="4" t="str">
        <f>HYPERLINK("https://www.773grp.com/manufacturer/renesas-electronics-america-inc?pageNo=208", "Renesas Electronics")</f>
        <v>Renesas Electronics</v>
      </c>
      <c r="C48245" s="6">
        <v>656000</v>
      </c>
      <c r="D48245" s="7">
        <v>0.38</v>
      </c>
    </row>
    <row r="48246" spans="1:4" x14ac:dyDescent="0.25">
      <c r="A48246" t="str">
        <f>HYPERLINK("https://www.773grp.com/globalSearch/RKR0503AKH#P1/page-1", "RKR0503AKH#P1")</f>
        <v>RKR0503AKH#P1</v>
      </c>
      <c r="B48246" s="3" t="str">
        <f>HYPERLINK("https://www.773grp.com/manufacturer/renesas-electronics-america-inc?pageNo=209", "Renesas Electronics")</f>
        <v>Renesas Electronics</v>
      </c>
      <c r="C48246" s="6">
        <v>200000</v>
      </c>
      <c r="D48246" s="7">
        <v>0.38</v>
      </c>
    </row>
    <row r="48247" spans="1:4" x14ac:dyDescent="0.25">
      <c r="A48247" t="str">
        <f>HYPERLINK("https://www.773grp.com/globalSearch/RKR0503AKJ#R6/page-1", "RKR0503AKJ#R6")</f>
        <v>RKR0503AKJ#R6</v>
      </c>
      <c r="B48247" s="3" t="str">
        <f>HYPERLINK("https://www.773grp.com/manufacturer/renesas-electronics-america-inc?pageNo=210", "Renesas Electronics")</f>
        <v>Renesas Electronics</v>
      </c>
      <c r="C48247" s="6">
        <v>136000</v>
      </c>
      <c r="D48247" s="7">
        <v>0.38</v>
      </c>
    </row>
    <row r="48248" spans="1:4" x14ac:dyDescent="0.25">
      <c r="A48248" t="str">
        <f>HYPERLINK("https://www.773grp.com/globalSearch/RKR0505AKH#P1/page-1", "RKR0505AKH#P1")</f>
        <v>RKR0505AKH#P1</v>
      </c>
      <c r="B48248" s="3" t="str">
        <f>HYPERLINK("https://www.773grp.com/manufacturer/renesas-electronics-america-inc?pageNo=211", "Renesas Electronics")</f>
        <v>Renesas Electronics</v>
      </c>
      <c r="C48248" s="6">
        <v>540000</v>
      </c>
      <c r="D48248" s="7">
        <v>0.38</v>
      </c>
    </row>
    <row r="48249" spans="1:4" x14ac:dyDescent="0.25">
      <c r="A48249" t="str">
        <f>HYPERLINK("https://www.773grp.com/globalSearch/RKZ10BJKU#P6/page-1", "RKZ10BJKU#P6")</f>
        <v>RKZ10BJKU#P6</v>
      </c>
      <c r="B48249" s="3" t="str">
        <f>HYPERLINK("https://www.773grp.com/manufacturer/renesas-electronics-america-inc?pageNo=212", "Renesas Electronics")</f>
        <v>Renesas Electronics</v>
      </c>
      <c r="C48249" s="6">
        <v>28000</v>
      </c>
      <c r="D48249" s="7">
        <v>0.38</v>
      </c>
    </row>
    <row r="48250" spans="1:4" x14ac:dyDescent="0.25">
      <c r="A48250" t="str">
        <f>HYPERLINK("https://www.773grp.com/globalSearch/RKZ15BJKU#P6/page-1", "RKZ15BJKU#P6")</f>
        <v>RKZ15BJKU#P6</v>
      </c>
      <c r="B48250" s="4" t="str">
        <f>HYPERLINK("https://www.773grp.com/manufacturer/renesas-electronics-america-inc?pageNo=213", "Renesas Electronics")</f>
        <v>Renesas Electronics</v>
      </c>
      <c r="C48250" s="6">
        <v>12000</v>
      </c>
      <c r="D48250" s="7">
        <v>0.38</v>
      </c>
    </row>
    <row r="48251" spans="1:4" x14ac:dyDescent="0.25">
      <c r="A48251" t="str">
        <f>HYPERLINK("https://www.773grp.com/globalSearch/RKZ15CJKU#P6/page-1", "RKZ15CJKU#P6")</f>
        <v>RKZ15CJKU#P6</v>
      </c>
      <c r="B48251" s="3" t="str">
        <f>HYPERLINK("https://www.773grp.com/manufacturer/renesas-electronics-america-inc?pageNo=214", "Renesas Electronics")</f>
        <v>Renesas Electronics</v>
      </c>
      <c r="C48251" s="6">
        <v>64000</v>
      </c>
      <c r="D48251" s="7">
        <v>0.38</v>
      </c>
    </row>
    <row r="48252" spans="1:4" x14ac:dyDescent="0.25">
      <c r="A48252" t="str">
        <f>HYPERLINK("https://www.773grp.com/globalSearch/RKZ18TKG#P1/page-1", "RKZ18TKG#P1")</f>
        <v>RKZ18TKG#P1</v>
      </c>
      <c r="B48252" s="3" t="str">
        <f>HYPERLINK("https://www.773grp.com/manufacturer/renesas-electronics-america-inc?pageNo=215", "Renesas Electronics")</f>
        <v>Renesas Electronics</v>
      </c>
      <c r="C48252" s="6">
        <v>33000</v>
      </c>
      <c r="D48252" s="7">
        <v>0.38</v>
      </c>
    </row>
    <row r="48253" spans="1:4" x14ac:dyDescent="0.25">
      <c r="A48253" t="str">
        <f>HYPERLINK("https://www.773grp.com/globalSearch/RKZ22BJKU#P6/page-1", "RKZ22BJKU#P6")</f>
        <v>RKZ22BJKU#P6</v>
      </c>
      <c r="B48253" s="3" t="str">
        <f>HYPERLINK("https://www.773grp.com/manufacturer/renesas-electronics-america-inc?pageNo=216", "Renesas Electronics")</f>
        <v>Renesas Electronics</v>
      </c>
      <c r="C48253" s="6">
        <v>84000</v>
      </c>
      <c r="D48253" s="7">
        <v>0.38</v>
      </c>
    </row>
    <row r="48254" spans="1:4" x14ac:dyDescent="0.25">
      <c r="A48254" t="str">
        <f>HYPERLINK("https://www.773grp.com/globalSearch/RKZ24AKU#P6/page-1", "RKZ24AKU#P6")</f>
        <v>RKZ24AKU#P6</v>
      </c>
      <c r="B48254" s="3" t="str">
        <f>HYPERLINK("https://www.773grp.com/manufacturer/renesas-electronics-america-inc?pageNo=217", "Renesas Electronics")</f>
        <v>Renesas Electronics</v>
      </c>
      <c r="C48254" s="6">
        <v>48000</v>
      </c>
      <c r="D48254" s="7">
        <v>0.38</v>
      </c>
    </row>
    <row r="48255" spans="1:4" x14ac:dyDescent="0.25">
      <c r="A48255" t="str">
        <f>HYPERLINK("https://www.773grp.com/globalSearch/RKZ27CKU#P6/page-1", "RKZ27CKU#P6")</f>
        <v>RKZ27CKU#P6</v>
      </c>
      <c r="B48255" s="3" t="str">
        <f>HYPERLINK("https://www.773grp.com/manufacturer/renesas-electronics-america-inc?pageNo=218", "Renesas Electronics")</f>
        <v>Renesas Electronics</v>
      </c>
      <c r="C48255" s="6">
        <v>44000</v>
      </c>
      <c r="D48255" s="7">
        <v>0.38</v>
      </c>
    </row>
    <row r="48256" spans="1:4" x14ac:dyDescent="0.25">
      <c r="A48256" t="str">
        <f>HYPERLINK("https://www.773grp.com/globalSearch/RKZ3.9BKU#P6/page-1", "RKZ3.9BKU#P6")</f>
        <v>RKZ3.9BKU#P6</v>
      </c>
      <c r="B48256" s="3" t="str">
        <f>HYPERLINK("https://www.773grp.com/manufacturer/renesas-electronics-america-inc?pageNo=219", "Renesas Electronics")</f>
        <v>Renesas Electronics</v>
      </c>
      <c r="C48256" s="6">
        <v>256000</v>
      </c>
      <c r="D48256" s="7">
        <v>0.38</v>
      </c>
    </row>
    <row r="48257" spans="1:4" x14ac:dyDescent="0.25">
      <c r="A48257" t="str">
        <f>HYPERLINK("https://www.773grp.com/globalSearch/RKZ30BJKU#P6/page-1", "RKZ30BJKU#P6")</f>
        <v>RKZ30BJKU#P6</v>
      </c>
      <c r="B48257" s="3" t="str">
        <f>HYPERLINK("https://www.773grp.com/manufacturer/renesas-electronics-america-inc?pageNo=220", "Renesas Electronics")</f>
        <v>Renesas Electronics</v>
      </c>
      <c r="C48257" s="6">
        <v>108000</v>
      </c>
      <c r="D48257" s="7">
        <v>0.38</v>
      </c>
    </row>
    <row r="48258" spans="1:4" x14ac:dyDescent="0.25">
      <c r="A48258" t="str">
        <f>HYPERLINK("https://www.773grp.com/globalSearch/RKZ9.1BJKU#P6/page-1", "RKZ9.1BJKU#P6")</f>
        <v>RKZ9.1BJKU#P6</v>
      </c>
      <c r="B48258" s="3" t="str">
        <f>HYPERLINK("https://www.773grp.com/manufacturer/renesas-electronics-america-inc?pageNo=221", "Renesas Electronics")</f>
        <v>Renesas Electronics</v>
      </c>
      <c r="C48258" s="6">
        <v>44000</v>
      </c>
      <c r="D48258" s="7">
        <v>0.38</v>
      </c>
    </row>
    <row r="48259" spans="1:4" x14ac:dyDescent="0.25">
      <c r="A48259" t="str">
        <f>HYPERLINK("https://www.773grp.com/globalSearch/1S2074H/page-1", "1S2074H")</f>
        <v>1S2074H</v>
      </c>
      <c r="B48259" s="3" t="str">
        <f>HYPERLINK("https://www.773grp.com/manufacturer/renesas-electronics-america-inc?pageNo=222", "Renesas Electronics")</f>
        <v>Renesas Electronics</v>
      </c>
      <c r="C48259" s="6">
        <v>18500</v>
      </c>
      <c r="D48259" s="7">
        <v>0.43</v>
      </c>
    </row>
    <row r="48260" spans="1:4" x14ac:dyDescent="0.25">
      <c r="A48260" t="str">
        <f>HYPERLINK("https://www.773grp.com/globalSearch/1S2074HTA-E/page-1", "1S2074HTA-E")</f>
        <v>1S2074HTA-E</v>
      </c>
      <c r="B48260" s="3" t="str">
        <f>HYPERLINK("https://www.773grp.com/manufacturer/renesas-electronics-america-inc?pageNo=223", "Renesas Electronics")</f>
        <v>Renesas Electronics</v>
      </c>
      <c r="C48260" s="6">
        <v>130000</v>
      </c>
      <c r="D48260" s="7">
        <v>0.43</v>
      </c>
    </row>
    <row r="48261" spans="1:4" x14ac:dyDescent="0.25">
      <c r="A48261" t="str">
        <f>HYPERLINK("https://www.773grp.com/globalSearch/2SA1052MDTR-E/page-1", "2SA1052MDTR-E")</f>
        <v>2SA1052MDTR-E</v>
      </c>
      <c r="B48261" s="3" t="str">
        <f>HYPERLINK("https://www.773grp.com/manufacturer/renesas-electronics-america-inc?pageNo=224", "Renesas Electronics")</f>
        <v>Renesas Electronics</v>
      </c>
      <c r="C48261" s="6">
        <v>12000</v>
      </c>
      <c r="D48261" s="7">
        <v>0.43</v>
      </c>
    </row>
    <row r="48262" spans="1:4" x14ac:dyDescent="0.25">
      <c r="A48262" t="str">
        <f>HYPERLINK("https://www.773grp.com/globalSearch/2SC1841-A/page-1", "2SC1841-A")</f>
        <v>2SC1841-A</v>
      </c>
      <c r="B48262" s="3" t="str">
        <f>HYPERLINK("https://www.773grp.com/manufacturer/renesas-electronics-america-inc?pageNo=225", "Renesas Electronics")</f>
        <v>Renesas Electronics</v>
      </c>
      <c r="C48262" s="6">
        <v>78106</v>
      </c>
      <c r="D48262" s="7">
        <v>0.43</v>
      </c>
    </row>
    <row r="48263" spans="1:4" x14ac:dyDescent="0.25">
      <c r="A48263" t="str">
        <f>HYPERLINK("https://www.773grp.com/globalSearch/2SC4260TI-TL-E/page-1", "2SC4260TI-TL-E")</f>
        <v>2SC4260TI-TL-E</v>
      </c>
      <c r="B48263" s="3" t="str">
        <f>HYPERLINK("https://www.773grp.com/manufacturer/renesas-electronics-america-inc?pageNo=226", "Renesas Electronics")</f>
        <v>Renesas Electronics</v>
      </c>
      <c r="C48263" s="6">
        <v>15000</v>
      </c>
      <c r="D48263" s="7">
        <v>0.43</v>
      </c>
    </row>
    <row r="48264" spans="1:4" x14ac:dyDescent="0.25">
      <c r="A48264" t="str">
        <f>HYPERLINK("https://www.773grp.com/globalSearch/2SJ576APTL-E/page-1", "2SJ576APTL-E")</f>
        <v>2SJ576APTL-E</v>
      </c>
      <c r="B48264" s="3" t="str">
        <f>HYPERLINK("https://www.773grp.com/manufacturer/renesas-electronics-america-inc?pageNo=227", "Renesas Electronics")</f>
        <v>Renesas Electronics</v>
      </c>
      <c r="C48264" s="6">
        <v>15000</v>
      </c>
      <c r="D48264" s="7">
        <v>0.43</v>
      </c>
    </row>
    <row r="48265" spans="1:4" x14ac:dyDescent="0.25">
      <c r="A48265" t="str">
        <f>HYPERLINK("https://www.773grp.com/globalSearch/HSC276TRF-E/page-1", "HSC276TRF-E")</f>
        <v>HSC276TRF-E</v>
      </c>
      <c r="B48265" s="3" t="str">
        <f>HYPERLINK("https://www.773grp.com/manufacturer/renesas-electronics-america-inc?pageNo=228", "Renesas Electronics")</f>
        <v>Renesas Electronics</v>
      </c>
      <c r="C48265" s="6">
        <v>68000</v>
      </c>
      <c r="D48265" s="7">
        <v>0.43</v>
      </c>
    </row>
    <row r="48266" spans="1:4" x14ac:dyDescent="0.25">
      <c r="A48266" t="str">
        <f>HYPERLINK("https://www.773grp.com/globalSearch/HSK120TR/page-1", "HSK120TR")</f>
        <v>HSK120TR</v>
      </c>
      <c r="B48266" s="3" t="str">
        <f>HYPERLINK("https://www.773grp.com/manufacturer/renesas-electronics-america-inc?pageNo=229", "Renesas Electronics")</f>
        <v>Renesas Electronics</v>
      </c>
      <c r="C48266" s="6">
        <v>15604</v>
      </c>
      <c r="D48266" s="7">
        <v>0.43</v>
      </c>
    </row>
    <row r="48267" spans="1:4" x14ac:dyDescent="0.25">
      <c r="A48267" t="str">
        <f>HYPERLINK("https://www.773grp.com/globalSearch/HSL278KRF-E/page-1", "HSL278KRF-E")</f>
        <v>HSL278KRF-E</v>
      </c>
      <c r="B48267" s="3" t="str">
        <f>HYPERLINK("https://www.773grp.com/manufacturer/renesas-electronics-america-inc?pageNo=230", "Renesas Electronics")</f>
        <v>Renesas Electronics</v>
      </c>
      <c r="C48267" s="6">
        <v>80000</v>
      </c>
      <c r="D48267" s="7">
        <v>0.43</v>
      </c>
    </row>
    <row r="48268" spans="1:4" x14ac:dyDescent="0.25">
      <c r="A48268" t="str">
        <f>HYPERLINK("https://www.773grp.com/globalSearch/HSM123JTR/page-1", "HSM123JTR")</f>
        <v>HSM123JTR</v>
      </c>
      <c r="B48268" s="3" t="str">
        <f>HYPERLINK("https://www.773grp.com/manufacturer/renesas-electronics-america-inc?pageNo=231", "Renesas Electronics")</f>
        <v>Renesas Electronics</v>
      </c>
      <c r="C48268" s="6">
        <v>27000</v>
      </c>
      <c r="D48268" s="7">
        <v>0.43</v>
      </c>
    </row>
    <row r="48269" spans="1:4" x14ac:dyDescent="0.25">
      <c r="A48269" t="str">
        <f>HYPERLINK("https://www.773grp.com/globalSearch/HSM2838C-JTR/page-1", "HSM2838C-JTR")</f>
        <v>HSM2838C-JTR</v>
      </c>
      <c r="B48269" s="3" t="str">
        <f>HYPERLINK("https://www.773grp.com/manufacturer/renesas-electronics-america-inc?pageNo=232", "Renesas Electronics")</f>
        <v>Renesas Electronics</v>
      </c>
      <c r="C48269" s="6">
        <v>9000</v>
      </c>
      <c r="D48269" s="7">
        <v>0.43</v>
      </c>
    </row>
    <row r="48270" spans="1:4" x14ac:dyDescent="0.25">
      <c r="A48270" t="str">
        <f>HYPERLINK("https://www.773grp.com/globalSearch/HSS81JTA/page-1", "HSS81JTA")</f>
        <v>HSS81JTA</v>
      </c>
      <c r="B48270" s="3" t="str">
        <f>HYPERLINK("https://www.773grp.com/manufacturer/renesas-electronics-america-inc?pageNo=233", "Renesas Electronics")</f>
        <v>Renesas Electronics</v>
      </c>
      <c r="C48270" s="6">
        <v>15000</v>
      </c>
      <c r="D48270" s="7">
        <v>0.43</v>
      </c>
    </row>
    <row r="48271" spans="1:4" x14ac:dyDescent="0.25">
      <c r="A48271" t="str">
        <f>HYPERLINK("https://www.773grp.com/globalSearch/HVC350B1BTRF-E/page-1", "HVC350B1BTRF-E")</f>
        <v>HVC350B1BTRF-E</v>
      </c>
      <c r="B48271" s="3" t="str">
        <f>HYPERLINK("https://www.773grp.com/manufacturer/renesas-electronics-america-inc?pageNo=234", "Renesas Electronics")</f>
        <v>Renesas Electronics</v>
      </c>
      <c r="C48271" s="6">
        <v>172000</v>
      </c>
      <c r="D48271" s="7">
        <v>0.43</v>
      </c>
    </row>
    <row r="48272" spans="1:4" x14ac:dyDescent="0.25">
      <c r="A48272" t="str">
        <f>HYPERLINK("https://www.773grp.com/globalSearch/HVC355B10TRF-E/page-1", "HVC355B10TRF-E")</f>
        <v>HVC355B10TRF-E</v>
      </c>
      <c r="B48272" s="3" t="str">
        <f>HYPERLINK("https://www.773grp.com/manufacturer/renesas-electronics-america-inc?pageNo=235", "Renesas Electronics")</f>
        <v>Renesas Electronics</v>
      </c>
      <c r="C48272" s="6">
        <v>76000</v>
      </c>
      <c r="D48272" s="7">
        <v>0.43</v>
      </c>
    </row>
    <row r="48273" spans="1:4" x14ac:dyDescent="0.25">
      <c r="A48273" t="str">
        <f>HYPERLINK("https://www.773grp.com/globalSearch/HVC355B1TRF-E/page-1", "HVC355B1TRF-E")</f>
        <v>HVC355B1TRF-E</v>
      </c>
      <c r="B48273" s="3" t="str">
        <f>HYPERLINK("https://www.773grp.com/manufacturer/renesas-electronics-america-inc?pageNo=236", "Renesas Electronics")</f>
        <v>Renesas Electronics</v>
      </c>
      <c r="C48273" s="6">
        <v>36000</v>
      </c>
      <c r="D48273" s="7">
        <v>0.43</v>
      </c>
    </row>
    <row r="48274" spans="1:4" x14ac:dyDescent="0.25">
      <c r="A48274" t="str">
        <f>HYPERLINK("https://www.773grp.com/globalSearch/HVC385BTRF-E/page-1", "HVC385BTRF-E")</f>
        <v>HVC385BTRF-E</v>
      </c>
      <c r="B48274" s="3" t="str">
        <f>HYPERLINK("https://www.773grp.com/manufacturer/renesas-electronics-america-inc?pageNo=237", "Renesas Electronics")</f>
        <v>Renesas Electronics</v>
      </c>
      <c r="C48274" s="6">
        <v>64000</v>
      </c>
      <c r="D48274" s="7">
        <v>0.43</v>
      </c>
    </row>
    <row r="48275" spans="1:4" x14ac:dyDescent="0.25">
      <c r="A48275" t="str">
        <f>HYPERLINK("https://www.773grp.com/globalSearch/HVD355B17KRF-E/page-1", "HVD355B17KRF-E")</f>
        <v>HVD355B17KRF-E</v>
      </c>
      <c r="B48275" s="3" t="str">
        <f>HYPERLINK("https://www.773grp.com/manufacturer/renesas-electronics-america-inc?pageNo=238", "Renesas Electronics")</f>
        <v>Renesas Electronics</v>
      </c>
      <c r="C48275" s="6">
        <v>248000</v>
      </c>
      <c r="D48275" s="7">
        <v>0.43</v>
      </c>
    </row>
    <row r="48276" spans="1:4" x14ac:dyDescent="0.25">
      <c r="A48276" t="str">
        <f>HYPERLINK("https://www.773grp.com/globalSearch/HVL355CM-NKRF-E/page-1", "HVL355CM-NKRF-E")</f>
        <v>HVL355CM-NKRF-E</v>
      </c>
      <c r="B48276" s="4" t="str">
        <f>HYPERLINK("https://www.773grp.com/manufacturer/renesas-electronics-america-inc?pageNo=239", "Renesas Electronics")</f>
        <v>Renesas Electronics</v>
      </c>
      <c r="C48276" s="6">
        <v>3600000</v>
      </c>
      <c r="D48276" s="7">
        <v>0.43</v>
      </c>
    </row>
    <row r="48277" spans="1:4" x14ac:dyDescent="0.25">
      <c r="A48277" t="str">
        <f>HYPERLINK("https://www.773grp.com/globalSearch/HVU306A8TRU-E/page-1", "HVU306A8TRU-E")</f>
        <v>HVU306A8TRU-E</v>
      </c>
      <c r="B48277" s="3" t="str">
        <f>HYPERLINK("https://www.773grp.com/manufacturer/renesas-electronics-america-inc?pageNo=240", "Renesas Electronics")</f>
        <v>Renesas Electronics</v>
      </c>
      <c r="C48277" s="6">
        <v>93000</v>
      </c>
      <c r="D48277" s="7">
        <v>0.43</v>
      </c>
    </row>
    <row r="48278" spans="1:4" x14ac:dyDescent="0.25">
      <c r="A48278" t="str">
        <f>HYPERLINK("https://www.773grp.com/globalSearch/HZ24H1/page-1", "HZ24H1")</f>
        <v>HZ24H1</v>
      </c>
      <c r="B48278" s="3" t="str">
        <f>HYPERLINK("https://www.773grp.com/manufacturer/renesas-electronics-america-inc?pageNo=241", "Renesas Electronics")</f>
        <v>Renesas Electronics</v>
      </c>
      <c r="C48278" s="6">
        <v>11500</v>
      </c>
      <c r="D48278" s="7">
        <v>0.43</v>
      </c>
    </row>
    <row r="48279" spans="1:4" x14ac:dyDescent="0.25">
      <c r="A48279" t="str">
        <f>HYPERLINK("https://www.773grp.com/globalSearch/HZ3HC1-E/page-1", "HZ3HC1-E")</f>
        <v>HZ3HC1-E</v>
      </c>
      <c r="B48279" s="3" t="str">
        <f>HYPERLINK("https://www.773grp.com/manufacturer/renesas-electronics-america-inc?pageNo=242", "Renesas Electronics")</f>
        <v>Renesas Electronics</v>
      </c>
      <c r="C48279" s="6">
        <v>9500</v>
      </c>
      <c r="D48279" s="7">
        <v>0.43</v>
      </c>
    </row>
    <row r="48280" spans="1:4" x14ac:dyDescent="0.25">
      <c r="A48280" t="str">
        <f>HYPERLINK("https://www.773grp.com/globalSearch/HZ6A1L-J-E/page-1", "HZ6A1L-J-E")</f>
        <v>HZ6A1L-J-E</v>
      </c>
      <c r="B48280" s="3" t="str">
        <f>HYPERLINK("https://www.773grp.com/manufacturer/renesas-electronics-america-inc?pageNo=243", "Renesas Electronics")</f>
        <v>Renesas Electronics</v>
      </c>
      <c r="C48280" s="6">
        <v>7500</v>
      </c>
      <c r="D48280" s="7">
        <v>0.43</v>
      </c>
    </row>
    <row r="48281" spans="1:4" x14ac:dyDescent="0.25">
      <c r="A48281" t="str">
        <f>HYPERLINK("https://www.773grp.com/globalSearch/HZ6B1L-J-E/page-1", "HZ6B1L-J-E")</f>
        <v>HZ6B1L-J-E</v>
      </c>
      <c r="B48281" s="3" t="str">
        <f>HYPERLINK("https://www.773grp.com/manufacturer/renesas-electronics-america-inc?pageNo=244", "Renesas Electronics")</f>
        <v>Renesas Electronics</v>
      </c>
      <c r="C48281" s="6">
        <v>11500</v>
      </c>
      <c r="D48281" s="7">
        <v>0.43</v>
      </c>
    </row>
    <row r="48282" spans="1:4" x14ac:dyDescent="0.25">
      <c r="A48282" t="str">
        <f>HYPERLINK("https://www.773grp.com/globalSearch/HZ6C2L-J-E/page-1", "HZ6C2L-J-E")</f>
        <v>HZ6C2L-J-E</v>
      </c>
      <c r="B48282" s="3" t="str">
        <f>HYPERLINK("https://www.773grp.com/manufacturer/renesas-electronics-america-inc?pageNo=245", "Renesas Electronics")</f>
        <v>Renesas Electronics</v>
      </c>
      <c r="C48282" s="6">
        <v>11500</v>
      </c>
      <c r="D48282" s="7">
        <v>0.43</v>
      </c>
    </row>
    <row r="48283" spans="1:4" x14ac:dyDescent="0.25">
      <c r="A48283" t="str">
        <f>HYPERLINK("https://www.773grp.com/globalSearch/HZ9A1J-E/page-1", "HZ9A1J-E")</f>
        <v>HZ9A1J-E</v>
      </c>
      <c r="B48283" s="3" t="str">
        <f>HYPERLINK("https://www.773grp.com/manufacturer/renesas-electronics-america-inc?pageNo=246", "Renesas Electronics")</f>
        <v>Renesas Electronics</v>
      </c>
      <c r="C48283" s="6">
        <v>8500</v>
      </c>
      <c r="D48283" s="7">
        <v>0.43</v>
      </c>
    </row>
    <row r="48284" spans="1:4" x14ac:dyDescent="0.25">
      <c r="A48284" t="str">
        <f>HYPERLINK("https://www.773grp.com/globalSearch/HZK12BTR/page-1", "HZK12BTR")</f>
        <v>HZK12BTR</v>
      </c>
      <c r="B48284" s="3" t="str">
        <f>HYPERLINK("https://www.773grp.com/manufacturer/renesas-electronics-america-inc?pageNo=247", "Renesas Electronics")</f>
        <v>Renesas Electronics</v>
      </c>
      <c r="C48284" s="6">
        <v>2500</v>
      </c>
      <c r="D48284" s="7">
        <v>0.43</v>
      </c>
    </row>
    <row r="48285" spans="1:4" x14ac:dyDescent="0.25">
      <c r="A48285" t="str">
        <f>HYPERLINK("https://www.773grp.com/globalSearch/HZM3.6NB1TR-E/page-1", "HZM3.6NB1TR-E")</f>
        <v>HZM3.6NB1TR-E</v>
      </c>
      <c r="B48285" s="3" t="str">
        <f>HYPERLINK("https://www.773grp.com/manufacturer/renesas-electronics-america-inc?pageNo=248", "Renesas Electronics")</f>
        <v>Renesas Electronics</v>
      </c>
      <c r="C48285" s="6">
        <v>24000</v>
      </c>
      <c r="D48285" s="7">
        <v>0.43</v>
      </c>
    </row>
    <row r="48286" spans="1:4" x14ac:dyDescent="0.25">
      <c r="A48286" t="str">
        <f>HYPERLINK("https://www.773grp.com/globalSearch/HZM4.3NB1TR-E/page-1", "HZM4.3NB1TR-E")</f>
        <v>HZM4.3NB1TR-E</v>
      </c>
      <c r="B48286" s="3" t="str">
        <f>HYPERLINK("https://www.773grp.com/manufacturer/renesas-electronics-america-inc?pageNo=249", "Renesas Electronics")</f>
        <v>Renesas Electronics</v>
      </c>
      <c r="C48286" s="6">
        <v>27000</v>
      </c>
      <c r="D48286" s="7">
        <v>0.43</v>
      </c>
    </row>
    <row r="48287" spans="1:4" x14ac:dyDescent="0.25">
      <c r="A48287" t="str">
        <f>HYPERLINK("https://www.773grp.com/globalSearch/HZS16-2JTA-E/page-1", "HZS16-2JTA-E")</f>
        <v>HZS16-2JTA-E</v>
      </c>
      <c r="B48287" s="3" t="str">
        <f>HYPERLINK("https://www.773grp.com/manufacturer/renesas-electronics-america-inc?pageNo=250", "Renesas Electronics")</f>
        <v>Renesas Electronics</v>
      </c>
      <c r="C48287" s="6">
        <v>10000</v>
      </c>
      <c r="D48287" s="7">
        <v>0.43</v>
      </c>
    </row>
    <row r="48288" spans="1:4" x14ac:dyDescent="0.25">
      <c r="A48288" t="str">
        <f>HYPERLINK("https://www.773grp.com/globalSearch/HZS2ALLTA-E/page-1", "HZS2ALLTA-E")</f>
        <v>HZS2ALLTA-E</v>
      </c>
      <c r="B48288" s="3" t="str">
        <f>HYPERLINK("https://www.773grp.com/manufacturer/renesas-electronics-america-inc?pageNo=251", "Renesas Electronics")</f>
        <v>Renesas Electronics</v>
      </c>
      <c r="C48288" s="6">
        <v>15000</v>
      </c>
      <c r="D48288" s="7">
        <v>0.43</v>
      </c>
    </row>
    <row r="48289" spans="1:4" x14ac:dyDescent="0.25">
      <c r="A48289" t="str">
        <f>HYPERLINK("https://www.773grp.com/globalSearch/HZS2BLLTA-E/page-1", "HZS2BLLTA-E")</f>
        <v>HZS2BLLTA-E</v>
      </c>
      <c r="B48289" s="3" t="str">
        <f>HYPERLINK("https://www.773grp.com/manufacturer/renesas-electronics-america-inc?pageNo=252", "Renesas Electronics")</f>
        <v>Renesas Electronics</v>
      </c>
      <c r="C48289" s="6">
        <v>15000</v>
      </c>
      <c r="D48289" s="7">
        <v>0.43</v>
      </c>
    </row>
    <row r="48290" spans="1:4" x14ac:dyDescent="0.25">
      <c r="A48290" t="str">
        <f>HYPERLINK("https://www.773grp.com/globalSearch/HZS4A1J-E/page-1", "HZS4A1J-E")</f>
        <v>HZS4A1J-E</v>
      </c>
      <c r="B48290" s="3" t="str">
        <f>HYPERLINK("https://www.773grp.com/manufacturer/renesas-electronics-america-inc?pageNo=253", "Renesas Electronics")</f>
        <v>Renesas Electronics</v>
      </c>
      <c r="C48290" s="6">
        <v>11000</v>
      </c>
      <c r="D48290" s="7">
        <v>0.43</v>
      </c>
    </row>
    <row r="48291" spans="1:4" x14ac:dyDescent="0.25">
      <c r="A48291" t="str">
        <f>HYPERLINK("https://www.773grp.com/globalSearch/HZS6B1JTA-E/page-1", "HZS6B1JTA-E")</f>
        <v>HZS6B1JTA-E</v>
      </c>
      <c r="B48291" s="3" t="str">
        <f>HYPERLINK("https://www.773grp.com/manufacturer/renesas-electronics-america-inc?pageNo=254", "Renesas Electronics")</f>
        <v>Renesas Electronics</v>
      </c>
      <c r="C48291" s="6">
        <v>5000</v>
      </c>
      <c r="D48291" s="7">
        <v>0.43</v>
      </c>
    </row>
    <row r="48292" spans="1:4" x14ac:dyDescent="0.25">
      <c r="A48292" t="str">
        <f>HYPERLINK("https://www.773grp.com/globalSearch/HZS6C1J-E/page-1", "HZS6C1J-E")</f>
        <v>HZS6C1J-E</v>
      </c>
      <c r="B48292" s="3" t="str">
        <f>HYPERLINK("https://www.773grp.com/manufacturer/renesas-electronics-america-inc?pageNo=255", "Renesas Electronics")</f>
        <v>Renesas Electronics</v>
      </c>
      <c r="C48292" s="6">
        <v>11500</v>
      </c>
      <c r="D48292" s="7">
        <v>0.43</v>
      </c>
    </row>
    <row r="48293" spans="1:4" x14ac:dyDescent="0.25">
      <c r="A48293" t="str">
        <f>HYPERLINK("https://www.773grp.com/globalSearch/HZS6C2JTD-E/page-1", "HZS6C2JTD-E")</f>
        <v>HZS6C2JTD-E</v>
      </c>
      <c r="B48293" s="3" t="str">
        <f>HYPERLINK("https://www.773grp.com/manufacturer/renesas-electronics-america-inc?pageNo=256", "Renesas Electronics")</f>
        <v>Renesas Electronics</v>
      </c>
      <c r="C48293" s="6">
        <v>5000</v>
      </c>
      <c r="D48293" s="7">
        <v>0.43</v>
      </c>
    </row>
    <row r="48294" spans="1:4" x14ac:dyDescent="0.25">
      <c r="A48294" t="str">
        <f>HYPERLINK("https://www.773grp.com/globalSearch/HZS7A1J-E/page-1", "HZS7A1J-E")</f>
        <v>HZS7A1J-E</v>
      </c>
      <c r="B48294" s="3" t="str">
        <f>HYPERLINK("https://www.773grp.com/manufacturer/renesas-electronics-america-inc?pageNo=257", "Renesas Electronics")</f>
        <v>Renesas Electronics</v>
      </c>
      <c r="C48294" s="6">
        <v>8000</v>
      </c>
      <c r="D48294" s="7">
        <v>0.43</v>
      </c>
    </row>
    <row r="48295" spans="1:4" x14ac:dyDescent="0.25">
      <c r="A48295" t="str">
        <f>HYPERLINK("https://www.773grp.com/globalSearch/HZS7B2JTA-E/page-1", "HZS7B2JTA-E")</f>
        <v>HZS7B2JTA-E</v>
      </c>
      <c r="B48295" s="3" t="str">
        <f>HYPERLINK("https://www.773grp.com/manufacturer/renesas-electronics-america-inc?pageNo=258", "Renesas Electronics")</f>
        <v>Renesas Electronics</v>
      </c>
      <c r="C48295" s="6">
        <v>20000</v>
      </c>
      <c r="D48295" s="7">
        <v>0.43</v>
      </c>
    </row>
    <row r="48296" spans="1:4" x14ac:dyDescent="0.25">
      <c r="A48296" t="str">
        <f>HYPERLINK("https://www.773grp.com/globalSearch/RD9.1MW-A/page-1", "RD9.1MW-A")</f>
        <v>RD9.1MW-A</v>
      </c>
      <c r="B48296" s="3" t="str">
        <f>HYPERLINK("https://www.773grp.com/manufacturer/renesas-electronics-america-inc?pageNo=259", "Renesas Electronics")</f>
        <v>Renesas Electronics</v>
      </c>
      <c r="C48296" s="6">
        <v>1600</v>
      </c>
      <c r="D48296" s="7">
        <v>0.43</v>
      </c>
    </row>
    <row r="48297" spans="1:4" x14ac:dyDescent="0.25">
      <c r="A48297" t="str">
        <f>HYPERLINK("https://www.773grp.com/globalSearch/RKR0202AQE#P1/page-1", "RKR0202AQE#P1")</f>
        <v>RKR0202AQE#P1</v>
      </c>
      <c r="B48297" s="3" t="str">
        <f>HYPERLINK("https://www.773grp.com/manufacturer/renesas-electronics-america-inc?pageNo=260", "Renesas Electronics")</f>
        <v>Renesas Electronics</v>
      </c>
      <c r="C48297" s="6">
        <v>69000</v>
      </c>
      <c r="D48297" s="7">
        <v>0.43</v>
      </c>
    </row>
    <row r="48298" spans="1:4" x14ac:dyDescent="0.25">
      <c r="A48298" t="str">
        <f>HYPERLINK("https://www.773grp.com/globalSearch/RKR0703BKH#P1/page-1", "RKR0703BKH#P1")</f>
        <v>RKR0703BKH#P1</v>
      </c>
      <c r="B48298" s="3" t="str">
        <f>HYPERLINK("https://www.773grp.com/manufacturer/renesas-electronics-america-inc?pageNo=261", "Renesas Electronics")</f>
        <v>Renesas Electronics</v>
      </c>
      <c r="C48298" s="6">
        <v>112000</v>
      </c>
      <c r="D48298" s="7">
        <v>0.43</v>
      </c>
    </row>
    <row r="48299" spans="1:4" x14ac:dyDescent="0.25">
      <c r="A48299" t="str">
        <f>HYPERLINK("https://www.773grp.com/globalSearch/RKS802SKR#P1/page-1", "RKS802SKR#P1")</f>
        <v>RKS802SKR#P1</v>
      </c>
      <c r="B48299" s="3" t="str">
        <f>HYPERLINK("https://www.773grp.com/manufacturer/renesas-electronics-america-inc?pageNo=262", "Renesas Electronics")</f>
        <v>Renesas Electronics</v>
      </c>
      <c r="C48299" s="6">
        <v>234000</v>
      </c>
      <c r="D48299" s="7">
        <v>0.43</v>
      </c>
    </row>
    <row r="48300" spans="1:4" x14ac:dyDescent="0.25">
      <c r="A48300" t="str">
        <f>HYPERLINK("https://www.773grp.com/globalSearch/RKV655KL#R6/page-1", "RKV655KL#R6")</f>
        <v>RKV655KL#R6</v>
      </c>
      <c r="B48300" s="3" t="str">
        <f>HYPERLINK("https://www.773grp.com/manufacturer/renesas-electronics-america-inc?pageNo=263", "Renesas Electronics")</f>
        <v>Renesas Electronics</v>
      </c>
      <c r="C48300" s="6">
        <v>110000</v>
      </c>
      <c r="D48300" s="7">
        <v>0.43</v>
      </c>
    </row>
    <row r="48301" spans="1:4" x14ac:dyDescent="0.25">
      <c r="A48301" t="str">
        <f>HYPERLINK("https://www.773grp.com/globalSearch/RKZ6.2Z4MFAKT#H1/page-1", "RKZ6.2Z4MFAKT#H1")</f>
        <v>RKZ6.2Z4MFAKT#H1</v>
      </c>
      <c r="B48301" s="3" t="str">
        <f>HYPERLINK("https://www.773grp.com/manufacturer/renesas-electronics-america-inc?pageNo=264", "Renesas Electronics")</f>
        <v>Renesas Electronics</v>
      </c>
      <c r="C48301" s="6">
        <v>81000</v>
      </c>
      <c r="D48301" s="7">
        <v>0.43</v>
      </c>
    </row>
    <row r="48302" spans="1:4" x14ac:dyDescent="0.25">
      <c r="A48302" t="str">
        <f>HYPERLINK("https://www.773grp.com/globalSearch/RKZ7.5BKV#P1/page-1", "RKZ7.5BKV#P1")</f>
        <v>RKZ7.5BKV#P1</v>
      </c>
      <c r="B48302" s="3" t="str">
        <f>HYPERLINK("https://www.773grp.com/manufacturer/renesas-electronics-america-inc?pageNo=265", "Renesas Electronics")</f>
        <v>Renesas Electronics</v>
      </c>
      <c r="C48302" s="6">
        <v>60000</v>
      </c>
      <c r="D48302" s="7">
        <v>0.43</v>
      </c>
    </row>
    <row r="48303" spans="1:4" x14ac:dyDescent="0.25">
      <c r="A48303" t="str">
        <f>HYPERLINK("https://www.773grp.com/globalSearch/1S954(1)-AZ/page-1", "1S954(1)-AZ")</f>
        <v>1S954(1)-AZ</v>
      </c>
      <c r="B48303" s="3" t="str">
        <f>HYPERLINK("https://www.773grp.com/manufacturer/renesas-electronics-america-inc?pageNo=266", "Renesas Electronics")</f>
        <v>Renesas Electronics</v>
      </c>
      <c r="C48303" s="6">
        <v>1072</v>
      </c>
      <c r="D48303" s="7">
        <v>0.48</v>
      </c>
    </row>
    <row r="48304" spans="1:4" x14ac:dyDescent="0.25">
      <c r="A48304" t="str">
        <f>HYPERLINK("https://www.773grp.com/globalSearch/1S954(3)/page-1", "1S954(3)")</f>
        <v>1S954(3)</v>
      </c>
      <c r="B48304" s="3" t="str">
        <f>HYPERLINK("https://www.773grp.com/manufacturer/renesas-electronics-america-inc?pageNo=267", "Renesas Electronics")</f>
        <v>Renesas Electronics</v>
      </c>
      <c r="C48304" s="6">
        <v>2308</v>
      </c>
      <c r="D48304" s="7">
        <v>0.48</v>
      </c>
    </row>
    <row r="48305" spans="1:4" x14ac:dyDescent="0.25">
      <c r="A48305" t="str">
        <f>HYPERLINK("https://www.773grp.com/globalSearch/1S954(YDK)/page-1", "1S954(YDK)")</f>
        <v>1S954(YDK)</v>
      </c>
      <c r="B48305" s="3" t="str">
        <f>HYPERLINK("https://www.773grp.com/manufacturer/renesas-electronics-america-inc?pageNo=268", "Renesas Electronics")</f>
        <v>Renesas Electronics</v>
      </c>
      <c r="C48305" s="6">
        <v>4072</v>
      </c>
      <c r="D48305" s="7">
        <v>0.48</v>
      </c>
    </row>
    <row r="48306" spans="1:4" x14ac:dyDescent="0.25">
      <c r="A48306" t="str">
        <f>HYPERLINK("https://www.773grp.com/globalSearch/2SC1009A-T1B-AT/page-1", "2SC1009A-T1B-AT")</f>
        <v>2SC1009A-T1B-AT</v>
      </c>
      <c r="B48306" s="3" t="str">
        <f>HYPERLINK("https://www.773grp.com/manufacturer/renesas-electronics-america-inc?pageNo=269", "Renesas Electronics")</f>
        <v>Renesas Electronics</v>
      </c>
      <c r="C48306" s="6">
        <v>48000</v>
      </c>
      <c r="D48306" s="7">
        <v>0.48</v>
      </c>
    </row>
    <row r="48307" spans="1:4" x14ac:dyDescent="0.25">
      <c r="A48307" t="str">
        <f>HYPERLINK("https://www.773grp.com/globalSearch/2SC2463DETL-E/page-1", "2SC2463DETL-E")</f>
        <v>2SC2463DETL-E</v>
      </c>
      <c r="B48307" s="3" t="str">
        <f>HYPERLINK("https://www.773grp.com/manufacturer/renesas-electronics-america-inc?pageNo=270", "Renesas Electronics")</f>
        <v>Renesas Electronics</v>
      </c>
      <c r="C48307" s="6">
        <v>69000</v>
      </c>
      <c r="D48307" s="7">
        <v>0.48</v>
      </c>
    </row>
    <row r="48308" spans="1:4" x14ac:dyDescent="0.25">
      <c r="A48308" t="str">
        <f>HYPERLINK("https://www.773grp.com/globalSearch/2SC2619FCTL-E/page-1", "2SC2619FCTL-E")</f>
        <v>2SC2619FCTL-E</v>
      </c>
      <c r="B48308" s="3" t="str">
        <f>HYPERLINK("https://www.773grp.com/manufacturer/renesas-electronics-america-inc?pageNo=271", "Renesas Electronics")</f>
        <v>Renesas Electronics</v>
      </c>
      <c r="C48308" s="6">
        <v>27000</v>
      </c>
      <c r="D48308" s="7">
        <v>0.48</v>
      </c>
    </row>
    <row r="48309" spans="1:4" x14ac:dyDescent="0.25">
      <c r="A48309" t="str">
        <f>HYPERLINK("https://www.773grp.com/globalSearch/2SC2619FCTR-E/page-1", "2SC2619FCTR-E")</f>
        <v>2SC2619FCTR-E</v>
      </c>
      <c r="B48309" s="3" t="str">
        <f>HYPERLINK("https://www.773grp.com/manufacturer/renesas-electronics-america-inc?pageNo=272", "Renesas Electronics")</f>
        <v>Renesas Electronics</v>
      </c>
      <c r="C48309" s="6">
        <v>111000</v>
      </c>
      <c r="D48309" s="7">
        <v>0.48</v>
      </c>
    </row>
    <row r="48310" spans="1:4" x14ac:dyDescent="0.25">
      <c r="A48310" t="str">
        <f>HYPERLINK("https://www.773grp.com/globalSearch/2SC4176-T2-A/page-1", "2SC4176-T2-A")</f>
        <v>2SC4176-T2-A</v>
      </c>
      <c r="B48310" s="3" t="str">
        <f>HYPERLINK("https://www.773grp.com/manufacturer/renesas-electronics-america-inc?pageNo=273", "Renesas Electronics")</f>
        <v>Renesas Electronics</v>
      </c>
      <c r="C48310" s="6">
        <v>72000</v>
      </c>
      <c r="D48310" s="7">
        <v>0.48</v>
      </c>
    </row>
    <row r="48311" spans="1:4" x14ac:dyDescent="0.25">
      <c r="A48311" t="str">
        <f>HYPERLINK("https://www.773grp.com/globalSearch/2SC5850LCTL-E/page-1", "2SC5850LCTL-E")</f>
        <v>2SC5850LCTL-E</v>
      </c>
      <c r="B48311" s="3" t="str">
        <f>HYPERLINK("https://www.773grp.com/manufacturer/renesas-electronics-america-inc?pageNo=274", "Renesas Electronics")</f>
        <v>Renesas Electronics</v>
      </c>
      <c r="C48311" s="6">
        <v>60000</v>
      </c>
      <c r="D48311" s="7">
        <v>0.48</v>
      </c>
    </row>
    <row r="48312" spans="1:4" x14ac:dyDescent="0.25">
      <c r="A48312" t="str">
        <f>HYPERLINK("https://www.773grp.com/globalSearch/2SK3289ANTL-E/page-1", "2SK3289ANTL-E")</f>
        <v>2SK3289ANTL-E</v>
      </c>
      <c r="B48312" s="3" t="str">
        <f>HYPERLINK("https://www.773grp.com/manufacturer/renesas-electronics-america-inc?pageNo=275", "Renesas Electronics")</f>
        <v>Renesas Electronics</v>
      </c>
      <c r="C48312" s="6">
        <v>18000</v>
      </c>
      <c r="D48312" s="7">
        <v>0.48</v>
      </c>
    </row>
    <row r="48313" spans="1:4" x14ac:dyDescent="0.25">
      <c r="A48313" t="str">
        <f>HYPERLINK("https://www.773grp.com/globalSearch/2SK3348CNTL-E/page-1", "2SK3348CNTL-E")</f>
        <v>2SK3348CNTL-E</v>
      </c>
      <c r="B48313" s="3" t="str">
        <f>HYPERLINK("https://www.773grp.com/manufacturer/renesas-electronics-america-inc?pageNo=276", "Renesas Electronics")</f>
        <v>Renesas Electronics</v>
      </c>
      <c r="C48313" s="6">
        <v>27000</v>
      </c>
      <c r="D48313" s="7">
        <v>0.48</v>
      </c>
    </row>
    <row r="48314" spans="1:4" x14ac:dyDescent="0.25">
      <c r="A48314" t="str">
        <f>HYPERLINK("https://www.773grp.com/globalSearch/74HC1G00CME-E/page-1", "74HC1G00CME-E")</f>
        <v>74HC1G00CME-E</v>
      </c>
      <c r="B48314" s="3" t="str">
        <f>HYPERLINK("https://www.773grp.com/manufacturer/renesas-electronics-america-inc?pageNo=277", "Renesas Electronics")</f>
        <v>Renesas Electronics</v>
      </c>
      <c r="C48314" s="6">
        <v>9000</v>
      </c>
      <c r="D48314" s="7">
        <v>0.48</v>
      </c>
    </row>
    <row r="48315" spans="1:4" x14ac:dyDescent="0.25">
      <c r="A48315" t="str">
        <f>HYPERLINK("https://www.773grp.com/globalSearch/74HCT1G00CME-E/page-1", "74HCT1G00CME-E")</f>
        <v>74HCT1G00CME-E</v>
      </c>
      <c r="B48315" s="3" t="str">
        <f>HYPERLINK("https://www.773grp.com/manufacturer/renesas-electronics-america-inc?pageNo=278", "Renesas Electronics")</f>
        <v>Renesas Electronics</v>
      </c>
      <c r="C48315" s="6">
        <v>30000</v>
      </c>
      <c r="D48315" s="7">
        <v>0.48</v>
      </c>
    </row>
    <row r="48316" spans="1:4" x14ac:dyDescent="0.25">
      <c r="A48316" t="str">
        <f>HYPERLINK("https://www.773grp.com/globalSearch/74HCT1G04CME-E/page-1", "74HCT1G04CME-E")</f>
        <v>74HCT1G04CME-E</v>
      </c>
      <c r="B48316" s="3" t="str">
        <f>HYPERLINK("https://www.773grp.com/manufacturer/renesas-electronics-america-inc?pageNo=279", "Renesas Electronics")</f>
        <v>Renesas Electronics</v>
      </c>
      <c r="C48316" s="6">
        <v>45000</v>
      </c>
      <c r="D48316" s="7">
        <v>0.48</v>
      </c>
    </row>
    <row r="48317" spans="1:4" x14ac:dyDescent="0.25">
      <c r="A48317" t="str">
        <f>HYPERLINK("https://www.773grp.com/globalSearch/74HCT1G08CME-E/page-1", "74HCT1G08CME-E")</f>
        <v>74HCT1G08CME-E</v>
      </c>
      <c r="B48317" s="3" t="str">
        <f>HYPERLINK("https://www.773grp.com/manufacturer/renesas-electronics-america-inc?pageNo=280", "Renesas Electronics")</f>
        <v>Renesas Electronics</v>
      </c>
      <c r="C48317" s="6">
        <v>42000</v>
      </c>
      <c r="D48317" s="7">
        <v>0.48</v>
      </c>
    </row>
    <row r="48318" spans="1:4" x14ac:dyDescent="0.25">
      <c r="A48318" t="str">
        <f>HYPERLINK("https://www.773grp.com/globalSearch/74HCT1G14CME-E/page-1", "74HCT1G14CME-E")</f>
        <v>74HCT1G14CME-E</v>
      </c>
      <c r="B48318" s="3" t="str">
        <f>HYPERLINK("https://www.773grp.com/manufacturer/renesas-electronics-america-inc?pageNo=281", "Renesas Electronics")</f>
        <v>Renesas Electronics</v>
      </c>
      <c r="C48318" s="6">
        <v>45000</v>
      </c>
      <c r="D48318" s="7">
        <v>0.48</v>
      </c>
    </row>
    <row r="48319" spans="1:4" x14ac:dyDescent="0.25">
      <c r="A48319" t="str">
        <f>HYPERLINK("https://www.773grp.com/globalSearch/HSB0104YPTR-E/page-1", "HSB0104YPTR-E")</f>
        <v>HSB0104YPTR-E</v>
      </c>
      <c r="B48319" s="3" t="str">
        <f>HYPERLINK("https://www.773grp.com/manufacturer/renesas-electronics-america-inc?pageNo=282", "Renesas Electronics")</f>
        <v>Renesas Electronics</v>
      </c>
      <c r="C48319" s="6">
        <v>54000</v>
      </c>
      <c r="D48319" s="7">
        <v>0.48</v>
      </c>
    </row>
    <row r="48320" spans="1:4" x14ac:dyDescent="0.25">
      <c r="A48320" t="str">
        <f>HYPERLINK("https://www.773grp.com/globalSearch/HSM221CTL/page-1", "HSM221CTL")</f>
        <v>HSM221CTL</v>
      </c>
      <c r="B48320" s="3" t="str">
        <f>HYPERLINK("https://www.773grp.com/manufacturer/renesas-electronics-america-inc?pageNo=283", "Renesas Electronics")</f>
        <v>Renesas Electronics</v>
      </c>
      <c r="C48320" s="6">
        <v>60000</v>
      </c>
      <c r="D48320" s="7">
        <v>0.48</v>
      </c>
    </row>
    <row r="48321" spans="1:4" x14ac:dyDescent="0.25">
      <c r="A48321" t="str">
        <f>HYPERLINK("https://www.773grp.com/globalSearch/HVC132-8TRF-E/page-1", "HVC132-8TRF-E")</f>
        <v>HVC132-8TRF-E</v>
      </c>
      <c r="B48321" s="3" t="str">
        <f>HYPERLINK("https://www.773grp.com/manufacturer/renesas-electronics-america-inc?pageNo=284", "Renesas Electronics")</f>
        <v>Renesas Electronics</v>
      </c>
      <c r="C48321" s="6">
        <v>32000</v>
      </c>
      <c r="D48321" s="7">
        <v>0.48</v>
      </c>
    </row>
    <row r="48322" spans="1:4" x14ac:dyDescent="0.25">
      <c r="A48322" t="str">
        <f>HYPERLINK("https://www.773grp.com/globalSearch/HVC381BTRF-E/page-1", "HVC381BTRF-E")</f>
        <v>HVC381BTRF-E</v>
      </c>
      <c r="B48322" s="3" t="str">
        <f>HYPERLINK("https://www.773grp.com/manufacturer/renesas-electronics-america-inc?pageNo=285", "Renesas Electronics")</f>
        <v>Renesas Electronics</v>
      </c>
      <c r="C48322" s="6">
        <v>72000</v>
      </c>
      <c r="D48322" s="7">
        <v>0.48</v>
      </c>
    </row>
    <row r="48323" spans="1:4" x14ac:dyDescent="0.25">
      <c r="A48323" t="str">
        <f>HYPERLINK("https://www.773grp.com/globalSearch/HVL358CMKRF-E/page-1", "HVL358CMKRF-E")</f>
        <v>HVL358CMKRF-E</v>
      </c>
      <c r="B48323" s="3" t="str">
        <f>HYPERLINK("https://www.773grp.com/manufacturer/renesas-electronics-america-inc?pageNo=286", "Renesas Electronics")</f>
        <v>Renesas Electronics</v>
      </c>
      <c r="C48323" s="6">
        <v>290000</v>
      </c>
      <c r="D48323" s="7">
        <v>0.48</v>
      </c>
    </row>
    <row r="48324" spans="1:4" x14ac:dyDescent="0.25">
      <c r="A48324" t="str">
        <f>HYPERLINK("https://www.773grp.com/globalSearch/HZ12B2-90/page-1", "HZ12B2-90")</f>
        <v>HZ12B2-90</v>
      </c>
      <c r="B48324" s="3" t="str">
        <f>HYPERLINK("https://www.773grp.com/manufacturer/renesas-electronics-america-inc?pageNo=287", "Renesas Electronics")</f>
        <v>Renesas Electronics</v>
      </c>
      <c r="C48324" s="6">
        <v>9000</v>
      </c>
      <c r="D48324" s="7">
        <v>0.48</v>
      </c>
    </row>
    <row r="48325" spans="1:4" x14ac:dyDescent="0.25">
      <c r="A48325" t="str">
        <f>HYPERLINK("https://www.773grp.com/globalSearch/HZ12B2J-E/page-1", "HZ12B2J-E")</f>
        <v>HZ12B2J-E</v>
      </c>
      <c r="B48325" s="3" t="str">
        <f>HYPERLINK("https://www.773grp.com/manufacturer/renesas-electronics-america-inc?pageNo=288", "Renesas Electronics")</f>
        <v>Renesas Electronics</v>
      </c>
      <c r="C48325" s="6">
        <v>16000</v>
      </c>
      <c r="D48325" s="7">
        <v>0.48</v>
      </c>
    </row>
    <row r="48326" spans="1:4" x14ac:dyDescent="0.25">
      <c r="A48326" t="str">
        <f>HYPERLINK("https://www.773grp.com/globalSearch/HZ12C3JTA/page-1", "HZ12C3JTA")</f>
        <v>HZ12C3JTA</v>
      </c>
      <c r="B48326" s="3" t="str">
        <f>HYPERLINK("https://www.773grp.com/manufacturer/renesas-electronics-america-inc?pageNo=289", "Renesas Electronics")</f>
        <v>Renesas Electronics</v>
      </c>
      <c r="C48326" s="6">
        <v>10000</v>
      </c>
      <c r="D48326" s="7">
        <v>0.48</v>
      </c>
    </row>
    <row r="48327" spans="1:4" x14ac:dyDescent="0.25">
      <c r="A48327" t="str">
        <f>HYPERLINK("https://www.773grp.com/globalSearch/HZ27-2JRE-E/page-1", "HZ27-2JRE-E")</f>
        <v>HZ27-2JRE-E</v>
      </c>
      <c r="B48327" s="3" t="str">
        <f>HYPERLINK("https://www.773grp.com/manufacturer/renesas-electronics-america-inc?pageNo=290", "Renesas Electronics")</f>
        <v>Renesas Electronics</v>
      </c>
      <c r="C48327" s="6">
        <v>16000</v>
      </c>
      <c r="D48327" s="7">
        <v>0.48</v>
      </c>
    </row>
    <row r="48328" spans="1:4" x14ac:dyDescent="0.25">
      <c r="A48328" t="str">
        <f>HYPERLINK("https://www.773grp.com/globalSearch/HZ3ALL-E/page-1", "HZ3ALL-E")</f>
        <v>HZ3ALL-E</v>
      </c>
      <c r="B48328" s="3" t="str">
        <f>HYPERLINK("https://www.773grp.com/manufacturer/renesas-electronics-america-inc?pageNo=291", "Renesas Electronics")</f>
        <v>Renesas Electronics</v>
      </c>
      <c r="C48328" s="6">
        <v>16982</v>
      </c>
      <c r="D48328" s="7">
        <v>0.48</v>
      </c>
    </row>
    <row r="48329" spans="1:4" x14ac:dyDescent="0.25">
      <c r="A48329" t="str">
        <f>HYPERLINK("https://www.773grp.com/globalSearch/HZ3BLL-JTA/page-1", "HZ3BLL-JTA")</f>
        <v>HZ3BLL-JTA</v>
      </c>
      <c r="B48329" s="3" t="str">
        <f>HYPERLINK("https://www.773grp.com/manufacturer/renesas-electronics-america-inc?pageNo=292", "Renesas Electronics")</f>
        <v>Renesas Electronics</v>
      </c>
      <c r="C48329" s="6">
        <v>5000</v>
      </c>
      <c r="D48329" s="7">
        <v>0.48</v>
      </c>
    </row>
    <row r="48330" spans="1:4" x14ac:dyDescent="0.25">
      <c r="A48330" t="str">
        <f>HYPERLINK("https://www.773grp.com/globalSearch/HZ4CLL-JTA/page-1", "HZ4CLL-JTA")</f>
        <v>HZ4CLL-JTA</v>
      </c>
      <c r="B48330" s="3" t="str">
        <f>HYPERLINK("https://www.773grp.com/manufacturer/renesas-electronics-america-inc?pageNo=293", "Renesas Electronics")</f>
        <v>Renesas Electronics</v>
      </c>
      <c r="C48330" s="6">
        <v>50000</v>
      </c>
      <c r="D48330" s="7">
        <v>0.48</v>
      </c>
    </row>
    <row r="48331" spans="1:4" x14ac:dyDescent="0.25">
      <c r="A48331" t="str">
        <f>HYPERLINK("https://www.773grp.com/globalSearch/HZ5ALL-J/page-1", "HZ5ALL-J")</f>
        <v>HZ5ALL-J</v>
      </c>
      <c r="B48331" s="3" t="str">
        <f>HYPERLINK("https://www.773grp.com/manufacturer/renesas-electronics-america-inc?pageNo=294", "Renesas Electronics")</f>
        <v>Renesas Electronics</v>
      </c>
      <c r="C48331" s="6">
        <v>15000</v>
      </c>
      <c r="D48331" s="7">
        <v>0.48</v>
      </c>
    </row>
    <row r="48332" spans="1:4" x14ac:dyDescent="0.25">
      <c r="A48332" t="str">
        <f>HYPERLINK("https://www.773grp.com/globalSearch/HZ5ALLTD/page-1", "HZ5ALLTD")</f>
        <v>HZ5ALLTD</v>
      </c>
      <c r="B48332" s="3" t="str">
        <f>HYPERLINK("https://www.773grp.com/manufacturer/renesas-electronics-america-inc?pageNo=295", "Renesas Electronics")</f>
        <v>Renesas Electronics</v>
      </c>
      <c r="C48332" s="6">
        <v>17500</v>
      </c>
      <c r="D48332" s="7">
        <v>0.48</v>
      </c>
    </row>
    <row r="48333" spans="1:4" x14ac:dyDescent="0.25">
      <c r="A48333" t="str">
        <f>HYPERLINK("https://www.773grp.com/globalSearch/HZ5BLL90/page-1", "HZ5BLL90")</f>
        <v>HZ5BLL90</v>
      </c>
      <c r="B48333" s="3" t="str">
        <f>HYPERLINK("https://www.773grp.com/manufacturer/renesas-electronics-america-inc?pageNo=296", "Renesas Electronics")</f>
        <v>Renesas Electronics</v>
      </c>
      <c r="C48333" s="6">
        <v>26000</v>
      </c>
      <c r="D48333" s="7">
        <v>0.48</v>
      </c>
    </row>
    <row r="48334" spans="1:4" x14ac:dyDescent="0.25">
      <c r="A48334" t="str">
        <f>HYPERLINK("https://www.773grp.com/globalSearch/HZ5CLL90TA/page-1", "HZ5CLL90TA")</f>
        <v>HZ5CLL90TA</v>
      </c>
      <c r="B48334" s="3" t="str">
        <f>HYPERLINK("https://www.773grp.com/manufacturer/renesas-electronics-america-inc?pageNo=297", "Renesas Electronics")</f>
        <v>Renesas Electronics</v>
      </c>
      <c r="C48334" s="6">
        <v>15000</v>
      </c>
      <c r="D48334" s="7">
        <v>0.48</v>
      </c>
    </row>
    <row r="48335" spans="1:4" x14ac:dyDescent="0.25">
      <c r="A48335" t="str">
        <f>HYPERLINK("https://www.773grp.com/globalSearch/HZ6A1L-JTA/page-1", "HZ6A1L-JTA")</f>
        <v>HZ6A1L-JTA</v>
      </c>
      <c r="B48335" s="3" t="str">
        <f>HYPERLINK("https://www.773grp.com/manufacturer/renesas-electronics-america-inc?pageNo=298", "Renesas Electronics")</f>
        <v>Renesas Electronics</v>
      </c>
      <c r="C48335" s="6">
        <v>30000</v>
      </c>
      <c r="D48335" s="7">
        <v>0.48</v>
      </c>
    </row>
    <row r="48336" spans="1:4" x14ac:dyDescent="0.25">
      <c r="A48336" t="str">
        <f>HYPERLINK("https://www.773grp.com/globalSearch/HZ6B2L-JTA/page-1", "HZ6B2L-JTA")</f>
        <v>HZ6B2L-JTA</v>
      </c>
      <c r="B48336" s="3" t="str">
        <f>HYPERLINK("https://www.773grp.com/manufacturer/renesas-electronics-america-inc?pageNo=299", "Renesas Electronics")</f>
        <v>Renesas Electronics</v>
      </c>
      <c r="C48336" s="6">
        <v>10000</v>
      </c>
      <c r="D48336" s="7">
        <v>0.48</v>
      </c>
    </row>
    <row r="48337" spans="1:4" x14ac:dyDescent="0.25">
      <c r="A48337" t="str">
        <f>HYPERLINK("https://www.773grp.com/globalSearch/HZ7HC1/page-1", "HZ7HC1")</f>
        <v>HZ7HC1</v>
      </c>
      <c r="B48337" s="3" t="str">
        <f>HYPERLINK("https://www.773grp.com/manufacturer/renesas-electronics-america-inc?pageNo=300", "Renesas Electronics")</f>
        <v>Renesas Electronics</v>
      </c>
      <c r="C48337" s="6">
        <v>13000</v>
      </c>
      <c r="D48337" s="7">
        <v>0.48</v>
      </c>
    </row>
    <row r="48338" spans="1:4" x14ac:dyDescent="0.25">
      <c r="A48338" t="str">
        <f>HYPERLINK("https://www.773grp.com/globalSearch/HZ9A1JTA/page-1", "HZ9A1JTA")</f>
        <v>HZ9A1JTA</v>
      </c>
      <c r="B48338" s="3" t="str">
        <f>HYPERLINK("https://www.773grp.com/manufacturer/renesas-electronics-america-inc?pageNo=301", "Renesas Electronics")</f>
        <v>Renesas Electronics</v>
      </c>
      <c r="C48338" s="6">
        <v>5000</v>
      </c>
      <c r="D48338" s="7">
        <v>0.48</v>
      </c>
    </row>
    <row r="48339" spans="1:4" x14ac:dyDescent="0.25">
      <c r="A48339" t="str">
        <f>HYPERLINK("https://www.773grp.com/globalSearch/HZ9HA1/page-1", "HZ9HA1")</f>
        <v>HZ9HA1</v>
      </c>
      <c r="B48339" s="3" t="str">
        <f>HYPERLINK("https://www.773grp.com/manufacturer/renesas-electronics-america-inc?pageNo=302", "Renesas Electronics")</f>
        <v>Renesas Electronics</v>
      </c>
      <c r="C48339" s="6">
        <v>11000</v>
      </c>
      <c r="D48339" s="7">
        <v>0.48</v>
      </c>
    </row>
    <row r="48340" spans="1:4" x14ac:dyDescent="0.25">
      <c r="A48340" t="str">
        <f>HYPERLINK("https://www.773grp.com/globalSearch/HZK6BL-JTR/page-1", "HZK6BL-JTR")</f>
        <v>HZK6BL-JTR</v>
      </c>
      <c r="B48340" s="3" t="str">
        <f>HYPERLINK("https://www.773grp.com/manufacturer/renesas-electronics-america-inc?pageNo=303", "Renesas Electronics")</f>
        <v>Renesas Electronics</v>
      </c>
      <c r="C48340" s="6">
        <v>65000</v>
      </c>
      <c r="D48340" s="7">
        <v>0.48</v>
      </c>
    </row>
    <row r="48341" spans="1:4" x14ac:dyDescent="0.25">
      <c r="A48341" t="str">
        <f>HYPERLINK("https://www.773grp.com/globalSearch/HZK7CLTR-S-E/page-1", "HZK7CLTR-S-E")</f>
        <v>HZK7CLTR-S-E</v>
      </c>
      <c r="B48341" s="3" t="str">
        <f>HYPERLINK("https://www.773grp.com/manufacturer/renesas-electronics-america-inc?pageNo=304", "Renesas Electronics")</f>
        <v>Renesas Electronics</v>
      </c>
      <c r="C48341" s="6">
        <v>17500</v>
      </c>
      <c r="D48341" s="7">
        <v>0.48</v>
      </c>
    </row>
    <row r="48342" spans="1:4" x14ac:dyDescent="0.25">
      <c r="A48342" t="str">
        <f>HYPERLINK("https://www.773grp.com/globalSearch/HZK9BLTL-S-E/page-1", "HZK9BLTL-S-E")</f>
        <v>HZK9BLTL-S-E</v>
      </c>
      <c r="B48342" s="3" t="str">
        <f>HYPERLINK("https://www.773grp.com/manufacturer/renesas-electronics-america-inc?pageNo=305", "Renesas Electronics")</f>
        <v>Renesas Electronics</v>
      </c>
      <c r="C48342" s="6">
        <v>17500</v>
      </c>
      <c r="D48342" s="7">
        <v>0.48</v>
      </c>
    </row>
    <row r="48343" spans="1:4" x14ac:dyDescent="0.25">
      <c r="A48343" t="str">
        <f>HYPERLINK("https://www.773grp.com/globalSearch/HZM10NB1JTL/page-1", "HZM10NB1JTL")</f>
        <v>HZM10NB1JTL</v>
      </c>
      <c r="B48343" s="3" t="str">
        <f>HYPERLINK("https://www.773grp.com/manufacturer/renesas-electronics-america-inc?pageNo=306", "Renesas Electronics")</f>
        <v>Renesas Electronics</v>
      </c>
      <c r="C48343" s="6">
        <v>15000</v>
      </c>
      <c r="D48343" s="7">
        <v>0.48</v>
      </c>
    </row>
    <row r="48344" spans="1:4" x14ac:dyDescent="0.25">
      <c r="A48344" t="str">
        <f>HYPERLINK("https://www.773grp.com/globalSearch/HZM10NB3TL-E/page-1", "HZM10NB3TL-E")</f>
        <v>HZM10NB3TL-E</v>
      </c>
      <c r="B48344" s="3" t="str">
        <f>HYPERLINK("https://www.773grp.com/manufacturer/renesas-electronics-america-inc?pageNo=307", "Renesas Electronics")</f>
        <v>Renesas Electronics</v>
      </c>
      <c r="C48344" s="6">
        <v>30000</v>
      </c>
      <c r="D48344" s="7">
        <v>0.48</v>
      </c>
    </row>
    <row r="48345" spans="1:4" x14ac:dyDescent="0.25">
      <c r="A48345" t="str">
        <f>HYPERLINK("https://www.773grp.com/globalSearch/HZM2.0NBTL/page-1", "HZM2.0NBTL")</f>
        <v>HZM2.0NBTL</v>
      </c>
      <c r="B48345" s="3" t="str">
        <f>HYPERLINK("https://www.773grp.com/manufacturer/renesas-electronics-america-inc?pageNo=308", "Renesas Electronics")</f>
        <v>Renesas Electronics</v>
      </c>
      <c r="C48345" s="6">
        <v>3000</v>
      </c>
      <c r="D48345" s="7">
        <v>0.48</v>
      </c>
    </row>
    <row r="48346" spans="1:4" x14ac:dyDescent="0.25">
      <c r="A48346" t="str">
        <f>HYPERLINK("https://www.773grp.com/globalSearch/HZM20NB3TR-E/page-1", "HZM20NB3TR-E")</f>
        <v>HZM20NB3TR-E</v>
      </c>
      <c r="B48346" s="3" t="str">
        <f>HYPERLINK("https://www.773grp.com/manufacturer/renesas-electronics-america-inc?pageNo=309", "Renesas Electronics")</f>
        <v>Renesas Electronics</v>
      </c>
      <c r="C48346" s="6">
        <v>27000</v>
      </c>
      <c r="D48346" s="7">
        <v>0.48</v>
      </c>
    </row>
    <row r="48347" spans="1:4" x14ac:dyDescent="0.25">
      <c r="A48347" t="str">
        <f>HYPERLINK("https://www.773grp.com/globalSearch/HZM4.3NB2JTL-E/page-1", "HZM4.3NB2JTL-E")</f>
        <v>HZM4.3NB2JTL-E</v>
      </c>
      <c r="B48347" s="3" t="str">
        <f>HYPERLINK("https://www.773grp.com/manufacturer/renesas-electronics-america-inc?pageNo=310", "Renesas Electronics")</f>
        <v>Renesas Electronics</v>
      </c>
      <c r="C48347" s="6">
        <v>63000</v>
      </c>
      <c r="D48347" s="7">
        <v>0.48</v>
      </c>
    </row>
    <row r="48348" spans="1:4" x14ac:dyDescent="0.25">
      <c r="A48348" t="str">
        <f>HYPERLINK("https://www.773grp.com/globalSearch/HZM6.8Z4MWATR-E/page-1", "HZM6.8Z4MWATR-E")</f>
        <v>HZM6.8Z4MWATR-E</v>
      </c>
      <c r="B48348" s="3" t="str">
        <f>HYPERLINK("https://www.773grp.com/manufacturer/renesas-electronics-america-inc?pageNo=311", "Renesas Electronics")</f>
        <v>Renesas Electronics</v>
      </c>
      <c r="C48348" s="6">
        <v>18000</v>
      </c>
      <c r="D48348" s="7">
        <v>0.48</v>
      </c>
    </row>
    <row r="48349" spans="1:4" x14ac:dyDescent="0.25">
      <c r="A48349" t="str">
        <f>HYPERLINK("https://www.773grp.com/globalSearch/HZM7.5NB1TR-E/page-1", "HZM7.5NB1TR-E")</f>
        <v>HZM7.5NB1TR-E</v>
      </c>
      <c r="B48349" s="3" t="str">
        <f>HYPERLINK("https://www.773grp.com/manufacturer/renesas-electronics-america-inc?pageNo=312", "Renesas Electronics")</f>
        <v>Renesas Electronics</v>
      </c>
      <c r="C48349" s="6">
        <v>6000</v>
      </c>
      <c r="D48349" s="7">
        <v>0.48</v>
      </c>
    </row>
    <row r="48350" spans="1:4" x14ac:dyDescent="0.25">
      <c r="A48350" t="str">
        <f>HYPERLINK("https://www.773grp.com/globalSearch/HZM9.1NB1TR-E/page-1", "HZM9.1NB1TR-E")</f>
        <v>HZM9.1NB1TR-E</v>
      </c>
      <c r="B48350" s="3" t="str">
        <f>HYPERLINK("https://www.773grp.com/manufacturer/renesas-electronics-america-inc?pageNo=313", "Renesas Electronics")</f>
        <v>Renesas Electronics</v>
      </c>
      <c r="C48350" s="6">
        <v>18000</v>
      </c>
      <c r="D48350" s="7">
        <v>0.48</v>
      </c>
    </row>
    <row r="48351" spans="1:4" x14ac:dyDescent="0.25">
      <c r="A48351" t="str">
        <f>HYPERLINK("https://www.773grp.com/globalSearch/HZS3CLLTA-E/page-1", "HZS3CLLTA-E")</f>
        <v>HZS3CLLTA-E</v>
      </c>
      <c r="B48351" s="3" t="str">
        <f>HYPERLINK("https://www.773grp.com/manufacturer/renesas-electronics-america-inc?pageNo=314", "Renesas Electronics")</f>
        <v>Renesas Electronics</v>
      </c>
      <c r="C48351" s="6">
        <v>25000</v>
      </c>
      <c r="D48351" s="7">
        <v>0.48</v>
      </c>
    </row>
    <row r="48352" spans="1:4" x14ac:dyDescent="0.25">
      <c r="A48352" t="str">
        <f>HYPERLINK("https://www.773grp.com/globalSearch/HZS4ALLTA-E/page-1", "HZS4ALLTA-E")</f>
        <v>HZS4ALLTA-E</v>
      </c>
      <c r="B48352" s="3" t="str">
        <f>HYPERLINK("https://www.773grp.com/manufacturer/renesas-electronics-america-inc?pageNo=315", "Renesas Electronics")</f>
        <v>Renesas Electronics</v>
      </c>
      <c r="C48352" s="6">
        <v>25000</v>
      </c>
      <c r="D48352" s="7">
        <v>0.48</v>
      </c>
    </row>
    <row r="48353" spans="1:4" x14ac:dyDescent="0.25">
      <c r="A48353" t="str">
        <f>HYPERLINK("https://www.773grp.com/globalSearch/HZS4CLLTA-E/page-1", "HZS4CLLTA-E")</f>
        <v>HZS4CLLTA-E</v>
      </c>
      <c r="B48353" s="3" t="str">
        <f>HYPERLINK("https://www.773grp.com/manufacturer/renesas-electronics-america-inc?pageNo=316", "Renesas Electronics")</f>
        <v>Renesas Electronics</v>
      </c>
      <c r="C48353" s="6">
        <v>14545</v>
      </c>
      <c r="D48353" s="7">
        <v>0.48</v>
      </c>
    </row>
    <row r="48354" spans="1:4" x14ac:dyDescent="0.25">
      <c r="A48354" t="str">
        <f>HYPERLINK("https://www.773grp.com/globalSearch/NNCD5.6J-T1-AT/page-1", "NNCD5.6J-T1-AT")</f>
        <v>NNCD5.6J-T1-AT</v>
      </c>
      <c r="B48354" s="3" t="str">
        <f>HYPERLINK("https://www.773grp.com/manufacturer/renesas-electronics-america-inc?pageNo=317", "Renesas Electronics")</f>
        <v>Renesas Electronics</v>
      </c>
      <c r="C48354" s="6">
        <v>39000</v>
      </c>
      <c r="D48354" s="7">
        <v>0.48</v>
      </c>
    </row>
    <row r="48355" spans="1:4" x14ac:dyDescent="0.25">
      <c r="A48355" t="str">
        <f>HYPERLINK("https://www.773grp.com/globalSearch/RKD702KP#R0/page-1", "RKD702KP#R0")</f>
        <v>RKD702KP#R0</v>
      </c>
      <c r="B48355" s="3" t="str">
        <f>HYPERLINK("https://www.773grp.com/manufacturer/renesas-electronics-america-inc?pageNo=318", "Renesas Electronics")</f>
        <v>Renesas Electronics</v>
      </c>
      <c r="C48355" s="6">
        <v>110000</v>
      </c>
      <c r="D48355" s="7">
        <v>0.48</v>
      </c>
    </row>
    <row r="48356" spans="1:4" x14ac:dyDescent="0.25">
      <c r="A48356" t="str">
        <f>HYPERLINK("https://www.773grp.com/globalSearch/RKR0503BKH#P1/page-1", "RKR0503BKH#P1")</f>
        <v>RKR0503BKH#P1</v>
      </c>
      <c r="B48356" s="3" t="str">
        <f>HYPERLINK("https://www.773grp.com/manufacturer/renesas-electronics-america-inc?pageNo=319", "Renesas Electronics")</f>
        <v>Renesas Electronics</v>
      </c>
      <c r="C48356" s="6">
        <v>72000</v>
      </c>
      <c r="D48356" s="7">
        <v>0.48</v>
      </c>
    </row>
    <row r="48357" spans="1:4" x14ac:dyDescent="0.25">
      <c r="A48357" t="str">
        <f>HYPERLINK("https://www.773grp.com/globalSearch/RKZ10BKV#P1/page-1", "RKZ10BKV#P1")</f>
        <v>RKZ10BKV#P1</v>
      </c>
      <c r="B48357" s="3" t="str">
        <f>HYPERLINK("https://www.773grp.com/manufacturer/renesas-electronics-america-inc?pageNo=320", "Renesas Electronics")</f>
        <v>Renesas Electronics</v>
      </c>
      <c r="C48357" s="6">
        <v>48000</v>
      </c>
      <c r="D48357" s="7">
        <v>0.48</v>
      </c>
    </row>
    <row r="48358" spans="1:4" x14ac:dyDescent="0.25">
      <c r="A48358" t="str">
        <f>HYPERLINK("https://www.773grp.com/globalSearch/RKZ4.3BKV#P1/page-1", "RKZ4.3BKV#P1")</f>
        <v>RKZ4.3BKV#P1</v>
      </c>
      <c r="B48358" s="3" t="str">
        <f>HYPERLINK("https://www.773grp.com/manufacturer/renesas-electronics-america-inc?pageNo=321", "Renesas Electronics")</f>
        <v>Renesas Electronics</v>
      </c>
      <c r="C48358" s="6">
        <v>51000</v>
      </c>
      <c r="D48358" s="7">
        <v>0.48</v>
      </c>
    </row>
    <row r="48359" spans="1:4" x14ac:dyDescent="0.25">
      <c r="A48359" t="str">
        <f>HYPERLINK("https://www.773grp.com/globalSearch/RKZ5.1BKV#P1/page-1", "RKZ5.1BKV#P1")</f>
        <v>RKZ5.1BKV#P1</v>
      </c>
      <c r="B48359" s="3" t="str">
        <f>HYPERLINK("https://www.773grp.com/manufacturer/renesas-electronics-america-inc?pageNo=322", "Renesas Electronics")</f>
        <v>Renesas Electronics</v>
      </c>
      <c r="C48359" s="6">
        <v>36000</v>
      </c>
      <c r="D48359" s="7">
        <v>0.48</v>
      </c>
    </row>
    <row r="48360" spans="1:4" x14ac:dyDescent="0.25">
      <c r="A48360" t="str">
        <f>HYPERLINK("https://www.773grp.com/globalSearch/UPD78F8043K8(R)-9B4-AX/page-1", "UPD78F8043K8(R)-9B4-AX")</f>
        <v>UPD78F8043K8(R)-9B4-AX</v>
      </c>
      <c r="B48360" s="3" t="str">
        <f>HYPERLINK("https://www.773grp.com/manufacturer/renesas-electronics-america-inc?pageNo=323", "Renesas Electronics")</f>
        <v>Renesas Electronics</v>
      </c>
      <c r="C48360" s="6">
        <v>207</v>
      </c>
      <c r="D48360" s="7">
        <v>0.48</v>
      </c>
    </row>
    <row r="48361" spans="1:4" x14ac:dyDescent="0.25">
      <c r="A48361" t="str">
        <f>HYPERLINK("https://www.773grp.com/globalSearch/UPD78F9210GR-JJG-A/page-1", "UPD78F9210GR-JJG-A")</f>
        <v>UPD78F9210GR-JJG-A</v>
      </c>
      <c r="B48361" s="3" t="str">
        <f>HYPERLINK("https://www.773grp.com/manufacturer/renesas-electronics-america-inc?pageNo=324", "Renesas Electronics")</f>
        <v>Renesas Electronics</v>
      </c>
      <c r="C48361" s="6">
        <v>120</v>
      </c>
      <c r="D48361" s="7">
        <v>0.48</v>
      </c>
    </row>
    <row r="48362" spans="1:4" x14ac:dyDescent="0.25">
      <c r="A48362" t="str">
        <f>HYPERLINK("https://www.773grp.com/globalSearch/1SS221-T1B-A/page-1", "1SS221-T1B-A")</f>
        <v>1SS221-T1B-A</v>
      </c>
      <c r="B48362" s="3" t="str">
        <f>HYPERLINK("https://www.773grp.com/manufacturer/renesas-electronics-america-inc?pageNo=325", "Renesas Electronics")</f>
        <v>Renesas Electronics</v>
      </c>
      <c r="C48362" s="6">
        <v>102000</v>
      </c>
      <c r="D48362" s="7">
        <v>0.53</v>
      </c>
    </row>
    <row r="48363" spans="1:4" x14ac:dyDescent="0.25">
      <c r="A48363" t="str">
        <f>HYPERLINK("https://www.773grp.com/globalSearch/1SS221-T2B-A/page-1", "1SS221-T2B-A")</f>
        <v>1SS221-T2B-A</v>
      </c>
      <c r="B48363" s="3" t="str">
        <f>HYPERLINK("https://www.773grp.com/manufacturer/renesas-electronics-america-inc?pageNo=326", "Renesas Electronics")</f>
        <v>Renesas Electronics</v>
      </c>
      <c r="C48363" s="6">
        <v>3000</v>
      </c>
      <c r="D48363" s="7">
        <v>0.53</v>
      </c>
    </row>
    <row r="48364" spans="1:4" x14ac:dyDescent="0.25">
      <c r="A48364" t="str">
        <f>HYPERLINK("https://www.773grp.com/globalSearch/2SC2620QCTL-E/page-1", "2SC2620QCTL-E")</f>
        <v>2SC2620QCTL-E</v>
      </c>
      <c r="B48364" s="3" t="str">
        <f>HYPERLINK("https://www.773grp.com/manufacturer/renesas-electronics-america-inc?pageNo=327", "Renesas Electronics")</f>
        <v>Renesas Electronics</v>
      </c>
      <c r="C48364" s="6">
        <v>3000</v>
      </c>
      <c r="D48364" s="7">
        <v>0.53</v>
      </c>
    </row>
    <row r="48365" spans="1:4" x14ac:dyDescent="0.25">
      <c r="A48365" t="str">
        <f>HYPERLINK("https://www.773grp.com/globalSearch/2SD789E-E/page-1", "2SD789E-E")</f>
        <v>2SD789E-E</v>
      </c>
      <c r="B48365" s="3" t="str">
        <f>HYPERLINK("https://www.773grp.com/manufacturer/renesas-electronics-america-inc?pageNo=328", "Renesas Electronics")</f>
        <v>Renesas Electronics</v>
      </c>
      <c r="C48365" s="6">
        <v>20000</v>
      </c>
      <c r="D48365" s="7">
        <v>0.53</v>
      </c>
    </row>
    <row r="48366" spans="1:4" x14ac:dyDescent="0.25">
      <c r="A48366" t="str">
        <f>HYPERLINK("https://www.773grp.com/globalSearch/74HC1G02CME-E/page-1", "74HC1G02CME-E")</f>
        <v>74HC1G02CME-E</v>
      </c>
      <c r="B48366" s="3" t="str">
        <f>HYPERLINK("https://www.773grp.com/manufacturer/renesas-electronics-america-inc?pageNo=329", "Renesas Electronics")</f>
        <v>Renesas Electronics</v>
      </c>
      <c r="C48366" s="6">
        <v>27000</v>
      </c>
      <c r="D48366" s="7">
        <v>0.53</v>
      </c>
    </row>
    <row r="48367" spans="1:4" x14ac:dyDescent="0.25">
      <c r="A48367" t="str">
        <f>HYPERLINK("https://www.773grp.com/globalSearch/HRU0103A-JTRF-E/page-1", "HRU0103A-JTRF-E")</f>
        <v>HRU0103A-JTRF-E</v>
      </c>
      <c r="B48367" s="3" t="str">
        <f>HYPERLINK("https://www.773grp.com/manufacturer/renesas-electronics-america-inc?pageNo=330", "Renesas Electronics")</f>
        <v>Renesas Electronics</v>
      </c>
      <c r="C48367" s="6">
        <v>30000</v>
      </c>
      <c r="D48367" s="7">
        <v>0.53</v>
      </c>
    </row>
    <row r="48368" spans="1:4" x14ac:dyDescent="0.25">
      <c r="A48368" t="str">
        <f>HYPERLINK("https://www.773grp.com/globalSearch/HRW0302ATL-E/page-1", "HRW0302ATL-E")</f>
        <v>HRW0302ATL-E</v>
      </c>
      <c r="B48368" s="3" t="str">
        <f>HYPERLINK("https://www.773grp.com/manufacturer/renesas-electronics-america-inc?pageNo=331", "Renesas Electronics")</f>
        <v>Renesas Electronics</v>
      </c>
      <c r="C48368" s="6">
        <v>30000</v>
      </c>
      <c r="D48368" s="7">
        <v>0.53</v>
      </c>
    </row>
    <row r="48369" spans="1:4" x14ac:dyDescent="0.25">
      <c r="A48369" t="str">
        <f>HYPERLINK("https://www.773grp.com/globalSearch/HSB2838JTL-E/page-1", "HSB2838JTL-E")</f>
        <v>HSB2838JTL-E</v>
      </c>
      <c r="B48369" s="3" t="str">
        <f>HYPERLINK("https://www.773grp.com/manufacturer/renesas-electronics-america-inc?pageNo=332", "Renesas Electronics")</f>
        <v>Renesas Electronics</v>
      </c>
      <c r="C48369" s="6">
        <v>6000</v>
      </c>
      <c r="D48369" s="7">
        <v>0.53</v>
      </c>
    </row>
    <row r="48370" spans="1:4" x14ac:dyDescent="0.25">
      <c r="A48370" t="str">
        <f>HYPERLINK("https://www.773grp.com/globalSearch/HSB83JTL-E/page-1", "HSB83JTL-E")</f>
        <v>HSB83JTL-E</v>
      </c>
      <c r="B48370" s="3" t="str">
        <f>HYPERLINK("https://www.773grp.com/manufacturer/renesas-electronics-america-inc?pageNo=333", "Renesas Electronics")</f>
        <v>Renesas Electronics</v>
      </c>
      <c r="C48370" s="6">
        <v>6000</v>
      </c>
      <c r="D48370" s="7">
        <v>0.53</v>
      </c>
    </row>
    <row r="48371" spans="1:4" x14ac:dyDescent="0.25">
      <c r="A48371" t="str">
        <f>HYPERLINK("https://www.773grp.com/globalSearch/HVC321B1TRF-E/page-1", "HVC321B1TRF-E")</f>
        <v>HVC321B1TRF-E</v>
      </c>
      <c r="B48371" s="3" t="str">
        <f>HYPERLINK("https://www.773grp.com/manufacturer/renesas-electronics-america-inc?pageNo=334", "Renesas Electronics")</f>
        <v>Renesas Electronics</v>
      </c>
      <c r="C48371" s="6">
        <v>16000</v>
      </c>
      <c r="D48371" s="7">
        <v>0.53</v>
      </c>
    </row>
    <row r="48372" spans="1:4" x14ac:dyDescent="0.25">
      <c r="A48372" t="str">
        <f>HYPERLINK("https://www.773grp.com/globalSearch/HVC357TRF-E/page-1", "HVC357TRF-E")</f>
        <v>HVC357TRF-E</v>
      </c>
      <c r="B48372" s="3" t="str">
        <f>HYPERLINK("https://www.773grp.com/manufacturer/renesas-electronics-america-inc?pageNo=335", "Renesas Electronics")</f>
        <v>Renesas Electronics</v>
      </c>
      <c r="C48372" s="6">
        <v>60000</v>
      </c>
      <c r="D48372" s="7">
        <v>0.53</v>
      </c>
    </row>
    <row r="48373" spans="1:4" x14ac:dyDescent="0.25">
      <c r="A48373" t="str">
        <f>HYPERLINK("https://www.773grp.com/globalSearch/HVC417C1TRU-E/page-1", "HVC417C1TRU-E")</f>
        <v>HVC417C1TRU-E</v>
      </c>
      <c r="B48373" s="3" t="str">
        <f>HYPERLINK("https://www.773grp.com/manufacturer/renesas-electronics-america-inc?pageNo=336", "Renesas Electronics")</f>
        <v>Renesas Electronics</v>
      </c>
      <c r="C48373" s="6">
        <v>60000</v>
      </c>
      <c r="D48373" s="7">
        <v>0.53</v>
      </c>
    </row>
    <row r="48374" spans="1:4" x14ac:dyDescent="0.25">
      <c r="A48374" t="str">
        <f>HYPERLINK("https://www.773grp.com/globalSearch/HVD132-7KRF-E/page-1", "HVD132-7KRF-E")</f>
        <v>HVD132-7KRF-E</v>
      </c>
      <c r="B48374" s="3" t="str">
        <f>HYPERLINK("https://www.773grp.com/manufacturer/renesas-electronics-america-inc?pageNo=337", "Renesas Electronics")</f>
        <v>Renesas Electronics</v>
      </c>
      <c r="C48374" s="6">
        <v>24000</v>
      </c>
      <c r="D48374" s="7">
        <v>0.53</v>
      </c>
    </row>
    <row r="48375" spans="1:4" x14ac:dyDescent="0.25">
      <c r="A48375" t="str">
        <f>HYPERLINK("https://www.773grp.com/globalSearch/HVD359KRF-E/page-1", "HVD359KRF-E")</f>
        <v>HVD359KRF-E</v>
      </c>
      <c r="B48375" s="3" t="str">
        <f>HYPERLINK("https://www.773grp.com/manufacturer/renesas-electronics-america-inc?pageNo=338", "Renesas Electronics")</f>
        <v>Renesas Electronics</v>
      </c>
      <c r="C48375" s="6">
        <v>96000</v>
      </c>
      <c r="D48375" s="7">
        <v>0.53</v>
      </c>
    </row>
    <row r="48376" spans="1:4" x14ac:dyDescent="0.25">
      <c r="A48376" t="str">
        <f>HYPERLINK("https://www.773grp.com/globalSearch/HVU350-3BTRF-E/page-1", "HVU350-3BTRF-E")</f>
        <v>HVU350-3BTRF-E</v>
      </c>
      <c r="B48376" s="3" t="str">
        <f>HYPERLINK("https://www.773grp.com/manufacturer/renesas-electronics-america-inc?pageNo=339", "Renesas Electronics")</f>
        <v>Renesas Electronics</v>
      </c>
      <c r="C48376" s="6">
        <v>57000</v>
      </c>
      <c r="D48376" s="7">
        <v>0.53</v>
      </c>
    </row>
    <row r="48377" spans="1:4" x14ac:dyDescent="0.25">
      <c r="A48377" t="str">
        <f>HYPERLINK("https://www.773grp.com/globalSearch/HVU358-2TRF-E/page-1", "HVU358-2TRF-E")</f>
        <v>HVU358-2TRF-E</v>
      </c>
      <c r="B48377" s="3" t="str">
        <f>HYPERLINK("https://www.773grp.com/manufacturer/renesas-electronics-america-inc?pageNo=340", "Renesas Electronics")</f>
        <v>Renesas Electronics</v>
      </c>
      <c r="C48377" s="6">
        <v>90000</v>
      </c>
      <c r="D48377" s="7">
        <v>0.53</v>
      </c>
    </row>
    <row r="48378" spans="1:4" x14ac:dyDescent="0.25">
      <c r="A48378" t="str">
        <f>HYPERLINK("https://www.773grp.com/globalSearch/HVU383BTRF-E/page-1", "HVU383BTRF-E")</f>
        <v>HVU383BTRF-E</v>
      </c>
      <c r="B48378" s="3" t="str">
        <f>HYPERLINK("https://www.773grp.com/manufacturer/renesas-electronics-america-inc?pageNo=341", "Renesas Electronics")</f>
        <v>Renesas Electronics</v>
      </c>
      <c r="C48378" s="6">
        <v>114000</v>
      </c>
      <c r="D48378" s="7">
        <v>0.53</v>
      </c>
    </row>
    <row r="48379" spans="1:4" x14ac:dyDescent="0.25">
      <c r="A48379" t="str">
        <f>HYPERLINK("https://www.773grp.com/globalSearch/HZ16-2JTA/page-1", "HZ16-2JTA")</f>
        <v>HZ16-2JTA</v>
      </c>
      <c r="B48379" s="3" t="str">
        <f>HYPERLINK("https://www.773grp.com/manufacturer/renesas-electronics-america-inc?pageNo=342", "Renesas Electronics")</f>
        <v>Renesas Electronics</v>
      </c>
      <c r="C48379" s="6">
        <v>40000</v>
      </c>
      <c r="D48379" s="7">
        <v>0.53</v>
      </c>
    </row>
    <row r="48380" spans="1:4" x14ac:dyDescent="0.25">
      <c r="A48380" t="str">
        <f>HYPERLINK("https://www.773grp.com/globalSearch/HZ18-3J-E/page-1", "HZ18-3J-E")</f>
        <v>HZ18-3J-E</v>
      </c>
      <c r="B48380" s="3" t="str">
        <f>HYPERLINK("https://www.773grp.com/manufacturer/renesas-electronics-america-inc?pageNo=343", "Renesas Electronics")</f>
        <v>Renesas Electronics</v>
      </c>
      <c r="C48380" s="6">
        <v>10000</v>
      </c>
      <c r="D48380" s="7">
        <v>0.53</v>
      </c>
    </row>
    <row r="48381" spans="1:4" x14ac:dyDescent="0.25">
      <c r="A48381" t="str">
        <f>HYPERLINK("https://www.773grp.com/globalSearch/HZ2BLLRE-E/page-1", "HZ2BLLRE-E")</f>
        <v>HZ2BLLRE-E</v>
      </c>
      <c r="B48381" s="3" t="str">
        <f>HYPERLINK("https://www.773grp.com/manufacturer/renesas-electronics-america-inc?pageNo=344", "Renesas Electronics")</f>
        <v>Renesas Electronics</v>
      </c>
      <c r="C48381" s="6">
        <v>20000</v>
      </c>
      <c r="D48381" s="7">
        <v>0.53</v>
      </c>
    </row>
    <row r="48382" spans="1:4" x14ac:dyDescent="0.25">
      <c r="A48382" t="str">
        <f>HYPERLINK("https://www.773grp.com/globalSearch/HZ4BLLRE-E/page-1", "HZ4BLLRE-E")</f>
        <v>HZ4BLLRE-E</v>
      </c>
      <c r="B48382" s="3" t="str">
        <f>HYPERLINK("https://www.773grp.com/manufacturer/renesas-electronics-america-inc?pageNo=345", "Renesas Electronics")</f>
        <v>Renesas Electronics</v>
      </c>
      <c r="C48382" s="6">
        <v>8000</v>
      </c>
      <c r="D48382" s="7">
        <v>0.53</v>
      </c>
    </row>
    <row r="48383" spans="1:4" x14ac:dyDescent="0.25">
      <c r="A48383" t="str">
        <f>HYPERLINK("https://www.773grp.com/globalSearch/HZK15LTR-S-E/page-1", "HZK15LTR-S-E")</f>
        <v>HZK15LTR-S-E</v>
      </c>
      <c r="B48383" s="3" t="str">
        <f>HYPERLINK("https://www.773grp.com/manufacturer/renesas-electronics-america-inc?pageNo=346", "Renesas Electronics")</f>
        <v>Renesas Electronics</v>
      </c>
      <c r="C48383" s="6">
        <v>5000</v>
      </c>
      <c r="D48383" s="7">
        <v>0.53</v>
      </c>
    </row>
    <row r="48384" spans="1:4" x14ac:dyDescent="0.25">
      <c r="A48384" t="str">
        <f>HYPERLINK("https://www.773grp.com/globalSearch/HZM12NB1TL/page-1", "HZM12NB1TL")</f>
        <v>HZM12NB1TL</v>
      </c>
      <c r="B48384" s="3" t="str">
        <f>HYPERLINK("https://www.773grp.com/manufacturer/renesas-electronics-america-inc?pageNo=347", "Renesas Electronics")</f>
        <v>Renesas Electronics</v>
      </c>
      <c r="C48384" s="6">
        <v>12000</v>
      </c>
      <c r="D48384" s="7">
        <v>0.53</v>
      </c>
    </row>
    <row r="48385" spans="1:4" x14ac:dyDescent="0.25">
      <c r="A48385" t="str">
        <f>HYPERLINK("https://www.773grp.com/globalSearch/HZM2.7NB1TL/page-1", "HZM2.7NB1TL")</f>
        <v>HZM2.7NB1TL</v>
      </c>
      <c r="B48385" s="3" t="str">
        <f>HYPERLINK("https://www.773grp.com/manufacturer/renesas-electronics-america-inc?pageNo=348", "Renesas Electronics")</f>
        <v>Renesas Electronics</v>
      </c>
      <c r="C48385" s="6">
        <v>12000</v>
      </c>
      <c r="D48385" s="7">
        <v>0.53</v>
      </c>
    </row>
    <row r="48386" spans="1:4" x14ac:dyDescent="0.25">
      <c r="A48386" t="str">
        <f>HYPERLINK("https://www.773grp.com/globalSearch/HZM27NBTL/page-1", "HZM27NBTL")</f>
        <v>HZM27NBTL</v>
      </c>
      <c r="B48386" s="3" t="str">
        <f>HYPERLINK("https://www.773grp.com/manufacturer/renesas-electronics-america-inc?pageNo=349", "Renesas Electronics")</f>
        <v>Renesas Electronics</v>
      </c>
      <c r="C48386" s="6">
        <v>9000</v>
      </c>
      <c r="D48386" s="7">
        <v>0.53</v>
      </c>
    </row>
    <row r="48387" spans="1:4" x14ac:dyDescent="0.25">
      <c r="A48387" t="str">
        <f>HYPERLINK("https://www.773grp.com/globalSearch/HZM6.8ZMFATL-P-E/page-1", "HZM6.8ZMFATL-P-E")</f>
        <v>HZM6.8ZMFATL-P-E</v>
      </c>
      <c r="B48387" s="3" t="str">
        <f>HYPERLINK("https://www.773grp.com/manufacturer/renesas-electronics-america-inc?pageNo=350", "Renesas Electronics")</f>
        <v>Renesas Electronics</v>
      </c>
      <c r="C48387" s="6">
        <v>345000</v>
      </c>
      <c r="D48387" s="7">
        <v>0.53</v>
      </c>
    </row>
    <row r="48388" spans="1:4" x14ac:dyDescent="0.25">
      <c r="A48388" t="str">
        <f>HYPERLINK("https://www.773grp.com/globalSearch/HZM6B-JTR/page-1", "HZM6B-JTR")</f>
        <v>HZM6B-JTR</v>
      </c>
      <c r="B48388" s="3" t="str">
        <f>HYPERLINK("https://www.773grp.com/manufacturer/renesas-electronics-america-inc?pageNo=351", "Renesas Electronics")</f>
        <v>Renesas Electronics</v>
      </c>
      <c r="C48388" s="6">
        <v>33000</v>
      </c>
      <c r="D48388" s="7">
        <v>0.53</v>
      </c>
    </row>
    <row r="48389" spans="1:4" x14ac:dyDescent="0.25">
      <c r="A48389" t="str">
        <f>HYPERLINK("https://www.773grp.com/globalSearch/HZM8.2NB2JTR-E/page-1", "HZM8.2NB2JTR-E")</f>
        <v>HZM8.2NB2JTR-E</v>
      </c>
      <c r="B48389" s="3" t="str">
        <f>HYPERLINK("https://www.773grp.com/manufacturer/renesas-electronics-america-inc?pageNo=352", "Renesas Electronics")</f>
        <v>Renesas Electronics</v>
      </c>
      <c r="C48389" s="6">
        <v>30000</v>
      </c>
      <c r="D48389" s="7">
        <v>0.53</v>
      </c>
    </row>
    <row r="48390" spans="1:4" x14ac:dyDescent="0.25">
      <c r="A48390" t="str">
        <f>HYPERLINK("https://www.773grp.com/globalSearch/HZS2CLLRX-E/page-1", "HZS2CLLRX-E")</f>
        <v>HZS2CLLRX-E</v>
      </c>
      <c r="B48390" s="3" t="str">
        <f>HYPERLINK("https://www.773grp.com/manufacturer/renesas-electronics-america-inc?pageNo=353", "Renesas Electronics")</f>
        <v>Renesas Electronics</v>
      </c>
      <c r="C48390" s="6">
        <v>7500</v>
      </c>
      <c r="D48390" s="7">
        <v>0.53</v>
      </c>
    </row>
    <row r="48391" spans="1:4" x14ac:dyDescent="0.25">
      <c r="A48391" t="str">
        <f>HYPERLINK("https://www.773grp.com/globalSearch/HZS3ALLRX-E/page-1", "HZS3ALLRX-E")</f>
        <v>HZS3ALLRX-E</v>
      </c>
      <c r="B48391" s="3" t="str">
        <f>HYPERLINK("https://www.773grp.com/manufacturer/renesas-electronics-america-inc?pageNo=354", "Renesas Electronics")</f>
        <v>Renesas Electronics</v>
      </c>
      <c r="C48391" s="6">
        <v>17500</v>
      </c>
      <c r="D48391" s="7">
        <v>0.53</v>
      </c>
    </row>
    <row r="48392" spans="1:4" x14ac:dyDescent="0.25">
      <c r="A48392" t="str">
        <f>HYPERLINK("https://www.773grp.com/globalSearch/N413/page-1", "N413")</f>
        <v>N413</v>
      </c>
      <c r="B48392" s="3" t="str">
        <f>HYPERLINK("https://www.773grp.com/manufacturer/renesas-electronics-america-inc?pageNo=355", "Renesas Electronics")</f>
        <v>Renesas Electronics</v>
      </c>
      <c r="C48392" s="6">
        <v>4590</v>
      </c>
      <c r="D48392" s="7">
        <v>0.53</v>
      </c>
    </row>
    <row r="48393" spans="1:4" x14ac:dyDescent="0.25">
      <c r="A48393" t="str">
        <f>HYPERLINK("https://www.773grp.com/globalSearch/NNCD6.8RL-T1-A/page-1", "NNCD6.8RL-T1-A")</f>
        <v>NNCD6.8RL-T1-A</v>
      </c>
      <c r="B48393" s="3" t="str">
        <f>HYPERLINK("https://www.773grp.com/manufacturer/renesas-electronics-america-inc?pageNo=356", "Renesas Electronics")</f>
        <v>Renesas Electronics</v>
      </c>
      <c r="C48393" s="6">
        <v>60000</v>
      </c>
      <c r="D48393" s="7">
        <v>0.53</v>
      </c>
    </row>
    <row r="48394" spans="1:4" x14ac:dyDescent="0.25">
      <c r="A48394" t="str">
        <f>HYPERLINK("https://www.773grp.com/globalSearch/NNCD6.8RL-T1-AT/page-1", "NNCD6.8RL-T1-AT")</f>
        <v>NNCD6.8RL-T1-AT</v>
      </c>
      <c r="B48394" s="3" t="str">
        <f>HYPERLINK("https://www.773grp.com/manufacturer/renesas-electronics-america-inc?pageNo=357", "Renesas Electronics")</f>
        <v>Renesas Electronics</v>
      </c>
      <c r="C48394" s="6">
        <v>18000</v>
      </c>
      <c r="D48394" s="7">
        <v>0.53</v>
      </c>
    </row>
    <row r="48395" spans="1:4" x14ac:dyDescent="0.25">
      <c r="A48395" t="str">
        <f>HYPERLINK("https://www.773grp.com/globalSearch/RD16F(N)-T7/page-1", "RD16F(N)-T7")</f>
        <v>RD16F(N)-T7</v>
      </c>
      <c r="B48395" s="3" t="str">
        <f>HYPERLINK("https://www.773grp.com/manufacturer/renesas-electronics-america-inc?pageNo=358", "Renesas Electronics")</f>
        <v>Renesas Electronics</v>
      </c>
      <c r="C48395" s="6">
        <v>5000</v>
      </c>
      <c r="D48395" s="7">
        <v>0.53</v>
      </c>
    </row>
    <row r="48396" spans="1:4" x14ac:dyDescent="0.25">
      <c r="A48396" t="str">
        <f>HYPERLINK("https://www.773grp.com/globalSearch/RD2.0F(N)/page-1", "RD2.0F(N)")</f>
        <v>RD2.0F(N)</v>
      </c>
      <c r="B48396" s="3" t="str">
        <f>HYPERLINK("https://www.773grp.com/manufacturer/renesas-electronics-america-inc?pageNo=359", "Renesas Electronics")</f>
        <v>Renesas Electronics</v>
      </c>
      <c r="C48396" s="6">
        <v>10000</v>
      </c>
      <c r="D48396" s="7">
        <v>0.53</v>
      </c>
    </row>
    <row r="48397" spans="1:4" x14ac:dyDescent="0.25">
      <c r="A48397" t="str">
        <f>HYPERLINK("https://www.773grp.com/globalSearch/RJK03J4DPA-WS#J5A/page-1", "RJK03J4DPA-WS#J5A")</f>
        <v>RJK03J4DPA-WS#J5A</v>
      </c>
      <c r="B48397" s="3" t="str">
        <f>HYPERLINK("https://www.773grp.com/manufacturer/renesas-electronics-america-inc?pageNo=360", "Renesas Electronics")</f>
        <v>Renesas Electronics</v>
      </c>
      <c r="C48397" s="6">
        <v>3000</v>
      </c>
      <c r="D48397" s="7">
        <v>0.53</v>
      </c>
    </row>
    <row r="48398" spans="1:4" x14ac:dyDescent="0.25">
      <c r="A48398" t="str">
        <f>HYPERLINK("https://www.773grp.com/globalSearch/RKV650KP#R0/page-1", "RKV650KP#R0")</f>
        <v>RKV650KP#R0</v>
      </c>
      <c r="B48398" s="3" t="str">
        <f>HYPERLINK("https://www.773grp.com/manufacturer/renesas-electronics-america-inc?pageNo=361", "Renesas Electronics")</f>
        <v>Renesas Electronics</v>
      </c>
      <c r="C48398" s="6">
        <v>160000</v>
      </c>
      <c r="D48398" s="7">
        <v>0.53</v>
      </c>
    </row>
    <row r="48399" spans="1:4" x14ac:dyDescent="0.25">
      <c r="A48399" t="str">
        <f>HYPERLINK("https://www.773grp.com/globalSearch/RKZ18BKV#P1/page-1", "RKZ18BKV#P1")</f>
        <v>RKZ18BKV#P1</v>
      </c>
      <c r="B48399" s="3" t="str">
        <f>HYPERLINK("https://www.773grp.com/manufacturer/renesas-electronics-america-inc?pageNo=362", "Renesas Electronics")</f>
        <v>Renesas Electronics</v>
      </c>
      <c r="C48399" s="6">
        <v>51000</v>
      </c>
      <c r="D48399" s="7">
        <v>0.53</v>
      </c>
    </row>
    <row r="48400" spans="1:4" x14ac:dyDescent="0.25">
      <c r="A48400" t="str">
        <f>HYPERLINK("https://www.773grp.com/globalSearch/RKZ24BKV#P1/page-1", "RKZ24BKV#P1")</f>
        <v>RKZ24BKV#P1</v>
      </c>
      <c r="B48400" s="3" t="str">
        <f>HYPERLINK("https://www.773grp.com/manufacturer/renesas-electronics-america-inc?pageNo=363", "Renesas Electronics")</f>
        <v>Renesas Electronics</v>
      </c>
      <c r="C48400" s="6">
        <v>63000</v>
      </c>
      <c r="D48400" s="7">
        <v>0.53</v>
      </c>
    </row>
    <row r="48401" spans="1:4" x14ac:dyDescent="0.25">
      <c r="A48401" t="str">
        <f>HYPERLINK("https://www.773grp.com/globalSearch/RKZ3.9BKV#P1/page-1", "RKZ3.9BKV#P1")</f>
        <v>RKZ3.9BKV#P1</v>
      </c>
      <c r="B48401" s="3" t="str">
        <f>HYPERLINK("https://www.773grp.com/manufacturer/renesas-electronics-america-inc?pageNo=364", "Renesas Electronics")</f>
        <v>Renesas Electronics</v>
      </c>
      <c r="C48401" s="6">
        <v>90000</v>
      </c>
      <c r="D48401" s="7">
        <v>0.53</v>
      </c>
    </row>
    <row r="48402" spans="1:4" x14ac:dyDescent="0.25">
      <c r="A48402" t="str">
        <f>HYPERLINK("https://www.773grp.com/globalSearch/2SA1052MCTR-E/page-1", "2SA1052MCTR-E")</f>
        <v>2SA1052MCTR-E</v>
      </c>
      <c r="B48402" s="3" t="str">
        <f>HYPERLINK("https://www.773grp.com/manufacturer/renesas-electronics-america-inc?pageNo=365", "Renesas Electronics")</f>
        <v>Renesas Electronics</v>
      </c>
      <c r="C48402" s="6">
        <v>57000</v>
      </c>
      <c r="D48402" s="7">
        <v>0.57999999999999996</v>
      </c>
    </row>
    <row r="48403" spans="1:4" x14ac:dyDescent="0.25">
      <c r="A48403" t="str">
        <f>HYPERLINK("https://www.773grp.com/globalSearch/2SA1122CCTL-E/page-1", "2SA1122CCTL-E")</f>
        <v>2SA1122CCTL-E</v>
      </c>
      <c r="B48403" s="3" t="str">
        <f>HYPERLINK("https://www.773grp.com/manufacturer/renesas-electronics-america-inc?pageNo=366", "Renesas Electronics")</f>
        <v>Renesas Electronics</v>
      </c>
      <c r="C48403" s="6">
        <v>75000</v>
      </c>
      <c r="D48403" s="7">
        <v>0.57999999999999996</v>
      </c>
    </row>
    <row r="48404" spans="1:4" x14ac:dyDescent="0.25">
      <c r="A48404" t="str">
        <f>HYPERLINK("https://www.773grp.com/globalSearch/2SB561CTZ-E/page-1", "2SB561CTZ-E")</f>
        <v>2SB561CTZ-E</v>
      </c>
      <c r="B48404" s="3" t="str">
        <f>HYPERLINK("https://www.773grp.com/manufacturer/renesas-electronics-america-inc?pageNo=367", "Renesas Electronics")</f>
        <v>Renesas Electronics</v>
      </c>
      <c r="C48404" s="6">
        <v>15000</v>
      </c>
      <c r="D48404" s="7">
        <v>0.57999999999999996</v>
      </c>
    </row>
    <row r="48405" spans="1:4" x14ac:dyDescent="0.25">
      <c r="A48405" t="str">
        <f>HYPERLINK("https://www.773grp.com/globalSearch/2SC4260TI-03TR-E/page-1", "2SC4260TI-03TR-E")</f>
        <v>2SC4260TI-03TR-E</v>
      </c>
      <c r="B48405" s="3" t="str">
        <f>HYPERLINK("https://www.773grp.com/manufacturer/renesas-electronics-america-inc?pageNo=368", "Renesas Electronics")</f>
        <v>Renesas Electronics</v>
      </c>
      <c r="C48405" s="6">
        <v>45000</v>
      </c>
      <c r="D48405" s="7">
        <v>0.57999999999999996</v>
      </c>
    </row>
    <row r="48406" spans="1:4" x14ac:dyDescent="0.25">
      <c r="A48406" t="str">
        <f>HYPERLINK("https://www.773grp.com/globalSearch/2SK3378ENTL-E/page-1", "2SK3378ENTL-E")</f>
        <v>2SK3378ENTL-E</v>
      </c>
      <c r="B48406" s="3" t="str">
        <f>HYPERLINK("https://www.773grp.com/manufacturer/renesas-electronics-america-inc?pageNo=369", "Renesas Electronics")</f>
        <v>Renesas Electronics</v>
      </c>
      <c r="C48406" s="6">
        <v>66000</v>
      </c>
      <c r="D48406" s="7">
        <v>0.57999999999999996</v>
      </c>
    </row>
    <row r="48407" spans="1:4" x14ac:dyDescent="0.25">
      <c r="A48407" t="str">
        <f>HYPERLINK("https://www.773grp.com/globalSearch/74HC1G86CME-E/page-1", "74HC1G86CME-E")</f>
        <v>74HC1G86CME-E</v>
      </c>
      <c r="B48407" s="3" t="str">
        <f>HYPERLINK("https://www.773grp.com/manufacturer/renesas-electronics-america-inc?pageNo=370", "Renesas Electronics")</f>
        <v>Renesas Electronics</v>
      </c>
      <c r="C48407" s="6">
        <v>12000</v>
      </c>
      <c r="D48407" s="7">
        <v>0.57999999999999996</v>
      </c>
    </row>
    <row r="48408" spans="1:4" x14ac:dyDescent="0.25">
      <c r="A48408" t="str">
        <f>HYPERLINK("https://www.773grp.com/globalSearch/BB504CDS-WS-E/page-1", "BB504CDS-WS-E")</f>
        <v>BB504CDS-WS-E</v>
      </c>
      <c r="B48408" s="3" t="str">
        <f>HYPERLINK("https://www.773grp.com/manufacturer/renesas-electronics-america-inc?pageNo=371", "Renesas Electronics")</f>
        <v>Renesas Electronics</v>
      </c>
      <c r="C48408" s="6">
        <v>2980</v>
      </c>
      <c r="D48408" s="7">
        <v>0.57999999999999996</v>
      </c>
    </row>
    <row r="48409" spans="1:4" x14ac:dyDescent="0.25">
      <c r="A48409" t="str">
        <f>HYPERLINK("https://www.773grp.com/globalSearch/HSB276STL-E/page-1", "HSB276STL-E")</f>
        <v>HSB276STL-E</v>
      </c>
      <c r="B48409" s="3" t="str">
        <f>HYPERLINK("https://www.773grp.com/manufacturer/renesas-electronics-america-inc?pageNo=372", "Renesas Electronics")</f>
        <v>Renesas Electronics</v>
      </c>
      <c r="C48409" s="6">
        <v>33000</v>
      </c>
      <c r="D48409" s="7">
        <v>0.57999999999999996</v>
      </c>
    </row>
    <row r="48410" spans="1:4" x14ac:dyDescent="0.25">
      <c r="A48410" t="str">
        <f>HYPERLINK("https://www.773grp.com/globalSearch/HSB2836JTR-E/page-1", "HSB2836JTR-E")</f>
        <v>HSB2836JTR-E</v>
      </c>
      <c r="B48410" s="3" t="str">
        <f>HYPERLINK("https://www.773grp.com/manufacturer/renesas-electronics-america-inc?pageNo=373", "Renesas Electronics")</f>
        <v>Renesas Electronics</v>
      </c>
      <c r="C48410" s="6">
        <v>30000</v>
      </c>
      <c r="D48410" s="7">
        <v>0.57999999999999996</v>
      </c>
    </row>
    <row r="48411" spans="1:4" x14ac:dyDescent="0.25">
      <c r="A48411" t="str">
        <f>HYPERLINK("https://www.773grp.com/globalSearch/HSM2694TR-E/page-1", "HSM2694TR-E")</f>
        <v>HSM2694TR-E</v>
      </c>
      <c r="B48411" s="3" t="str">
        <f>HYPERLINK("https://www.773grp.com/manufacturer/renesas-electronics-america-inc?pageNo=374", "Renesas Electronics")</f>
        <v>Renesas Electronics</v>
      </c>
      <c r="C48411" s="6">
        <v>42000</v>
      </c>
      <c r="D48411" s="7">
        <v>0.57999999999999996</v>
      </c>
    </row>
    <row r="48412" spans="1:4" x14ac:dyDescent="0.25">
      <c r="A48412" t="str">
        <f>HYPERLINK("https://www.773grp.com/globalSearch/HVU200ATRU-E/page-1", "HVU200ATRU-E")</f>
        <v>HVU200ATRU-E</v>
      </c>
      <c r="B48412" s="3" t="str">
        <f>HYPERLINK("https://www.773grp.com/manufacturer/renesas-electronics-america-inc?pageNo=375", "Renesas Electronics")</f>
        <v>Renesas Electronics</v>
      </c>
      <c r="C48412" s="6">
        <v>81000</v>
      </c>
      <c r="D48412" s="7">
        <v>0.57999999999999996</v>
      </c>
    </row>
    <row r="48413" spans="1:4" x14ac:dyDescent="0.25">
      <c r="A48413" t="str">
        <f>HYPERLINK("https://www.773grp.com/globalSearch/HZM9.1NB1JTL-E/page-1", "HZM9.1NB1JTL-E")</f>
        <v>HZM9.1NB1JTL-E</v>
      </c>
      <c r="B48413" s="3" t="str">
        <f>HYPERLINK("https://www.773grp.com/manufacturer/renesas-electronics-america-inc?pageNo=376", "Renesas Electronics")</f>
        <v>Renesas Electronics</v>
      </c>
      <c r="C48413" s="6">
        <v>12000</v>
      </c>
      <c r="D48413" s="7">
        <v>0.57999999999999996</v>
      </c>
    </row>
    <row r="48414" spans="1:4" x14ac:dyDescent="0.25">
      <c r="A48414" t="str">
        <f>HYPERLINK("https://www.773grp.com/globalSearch/NNCD6.8PL-T1-AT/page-1", "NNCD6.8PL-T1-AT")</f>
        <v>NNCD6.8PL-T1-AT</v>
      </c>
      <c r="B48414" s="3" t="str">
        <f>HYPERLINK("https://www.773grp.com/manufacturer/renesas-electronics-america-inc?pageNo=377", "Renesas Electronics")</f>
        <v>Renesas Electronics</v>
      </c>
      <c r="C48414" s="6">
        <v>42000</v>
      </c>
      <c r="D48414" s="7">
        <v>0.57999999999999996</v>
      </c>
    </row>
    <row r="48415" spans="1:4" x14ac:dyDescent="0.25">
      <c r="A48415" t="str">
        <f>HYPERLINK("https://www.773grp.com/globalSearch/NNCD6.8PL-T2-A/page-1", "NNCD6.8PL-T2-A")</f>
        <v>NNCD6.8PL-T2-A</v>
      </c>
      <c r="B48415" s="3" t="str">
        <f>HYPERLINK("https://www.773grp.com/manufacturer/renesas-electronics-america-inc?pageNo=378", "Renesas Electronics")</f>
        <v>Renesas Electronics</v>
      </c>
      <c r="C48415" s="6">
        <v>318000</v>
      </c>
      <c r="D48415" s="7">
        <v>0.57999999999999996</v>
      </c>
    </row>
    <row r="48416" spans="1:4" x14ac:dyDescent="0.25">
      <c r="A48416" t="str">
        <f>HYPERLINK("https://www.773grp.com/globalSearch/RKZ15BKV#P1/page-1", "RKZ15BKV#P1")</f>
        <v>RKZ15BKV#P1</v>
      </c>
      <c r="B48416" s="3" t="str">
        <f>HYPERLINK("https://www.773grp.com/manufacturer/renesas-electronics-america-inc?pageNo=379", "Renesas Electronics")</f>
        <v>Renesas Electronics</v>
      </c>
      <c r="C48416" s="6">
        <v>27000</v>
      </c>
      <c r="D48416" s="7">
        <v>0.57999999999999996</v>
      </c>
    </row>
    <row r="48417" spans="1:4" x14ac:dyDescent="0.25">
      <c r="A48417" t="str">
        <f>HYPERLINK("https://www.773grp.com/globalSearch/RKZ18TWAQE#H1/page-1", "RKZ18TWAQE#H1")</f>
        <v>RKZ18TWAQE#H1</v>
      </c>
      <c r="B48417" s="3" t="str">
        <f>HYPERLINK("https://www.773grp.com/manufacturer/renesas-electronics-america-inc?pageNo=380", "Renesas Electronics")</f>
        <v>Renesas Electronics</v>
      </c>
      <c r="C48417" s="6">
        <v>132000</v>
      </c>
      <c r="D48417" s="7">
        <v>0.57999999999999996</v>
      </c>
    </row>
    <row r="48418" spans="1:4" x14ac:dyDescent="0.25">
      <c r="A48418" t="str">
        <f>HYPERLINK("https://www.773grp.com/globalSearch/RKZ22BKV#P1/page-1", "RKZ22BKV#P1")</f>
        <v>RKZ22BKV#P1</v>
      </c>
      <c r="B48418" s="3" t="str">
        <f>HYPERLINK("https://www.773grp.com/manufacturer/renesas-electronics-america-inc?pageNo=381", "Renesas Electronics")</f>
        <v>Renesas Electronics</v>
      </c>
      <c r="C48418" s="6">
        <v>72000</v>
      </c>
      <c r="D48418" s="7">
        <v>0.57999999999999996</v>
      </c>
    </row>
    <row r="48419" spans="1:4" x14ac:dyDescent="0.25">
      <c r="A48419" t="str">
        <f>HYPERLINK("https://www.773grp.com/globalSearch/RKZ36BKV#P1/page-1", "RKZ36BKV#P1")</f>
        <v>RKZ36BKV#P1</v>
      </c>
      <c r="B48419" s="3" t="str">
        <f>HYPERLINK("https://www.773grp.com/manufacturer/renesas-electronics-america-inc?pageNo=382", "Renesas Electronics")</f>
        <v>Renesas Electronics</v>
      </c>
      <c r="C48419" s="6">
        <v>87000</v>
      </c>
      <c r="D48419" s="7">
        <v>0.57999999999999996</v>
      </c>
    </row>
    <row r="48420" spans="1:4" x14ac:dyDescent="0.25">
      <c r="A48420" t="str">
        <f>HYPERLINK("https://www.773grp.com/globalSearch/2SB740CTZ-E/page-1", "2SB740CTZ-E")</f>
        <v>2SB740CTZ-E</v>
      </c>
      <c r="B48420" s="3" t="str">
        <f>HYPERLINK("https://www.773grp.com/manufacturer/renesas-electronics-america-inc?pageNo=383", "Renesas Electronics")</f>
        <v>Renesas Electronics</v>
      </c>
      <c r="C48420" s="6">
        <v>2500</v>
      </c>
      <c r="D48420" s="7">
        <v>0.64</v>
      </c>
    </row>
    <row r="48421" spans="1:4" x14ac:dyDescent="0.25">
      <c r="A48421" t="str">
        <f>HYPERLINK("https://www.773grp.com/globalSearch/1N4737AT9-E/page-1", "1N4737AT9-E")</f>
        <v>1N4737AT9-E</v>
      </c>
      <c r="B48421" s="3" t="str">
        <f>HYPERLINK("https://www.773grp.com/manufacturer/renesas-electronics-america-inc?pageNo=384", "Renesas Electronics")</f>
        <v>Renesas Electronics</v>
      </c>
      <c r="C48421" s="6">
        <v>5000</v>
      </c>
      <c r="D48421" s="7">
        <v>0.64</v>
      </c>
    </row>
    <row r="48422" spans="1:4" x14ac:dyDescent="0.25">
      <c r="A48422" t="str">
        <f>HYPERLINK("https://www.773grp.com/globalSearch/1S2835-D-T1-A/page-1", "1S2835-D-T1-A")</f>
        <v>1S2835-D-T1-A</v>
      </c>
      <c r="B48422" s="3" t="str">
        <f>HYPERLINK("https://www.773grp.com/manufacturer/renesas-electronics-america-inc?pageNo=385", "Renesas Electronics")</f>
        <v>Renesas Electronics</v>
      </c>
      <c r="C48422" s="6">
        <v>12000</v>
      </c>
      <c r="D48422" s="7">
        <v>0.64</v>
      </c>
    </row>
    <row r="48423" spans="1:4" x14ac:dyDescent="0.25">
      <c r="A48423" t="str">
        <f>HYPERLINK("https://www.773grp.com/globalSearch/2SC1907-E/page-1", "2SC1907-E")</f>
        <v>2SC1907-E</v>
      </c>
      <c r="B48423" s="3" t="str">
        <f>HYPERLINK("https://www.773grp.com/manufacturer/renesas-electronics-america-inc?pageNo=386", "Renesas Electronics")</f>
        <v>Renesas Electronics</v>
      </c>
      <c r="C48423" s="6">
        <v>4000</v>
      </c>
      <c r="D48423" s="7">
        <v>0.64</v>
      </c>
    </row>
    <row r="48424" spans="1:4" x14ac:dyDescent="0.25">
      <c r="A48424" t="str">
        <f>HYPERLINK("https://www.773grp.com/globalSearch/2SC2619FBTR-E/page-1", "2SC2619FBTR-E")</f>
        <v>2SC2619FBTR-E</v>
      </c>
      <c r="B48424" s="3" t="str">
        <f>HYPERLINK("https://www.773grp.com/manufacturer/renesas-electronics-america-inc?pageNo=387", "Renesas Electronics")</f>
        <v>Renesas Electronics</v>
      </c>
      <c r="C48424" s="6">
        <v>15000</v>
      </c>
      <c r="D48424" s="7">
        <v>0.64</v>
      </c>
    </row>
    <row r="48425" spans="1:4" x14ac:dyDescent="0.25">
      <c r="A48425" t="str">
        <f>HYPERLINK("https://www.773grp.com/globalSearch/2SC4995YD-TL-E/page-1", "2SC4995YD-TL-E")</f>
        <v>2SC4995YD-TL-E</v>
      </c>
      <c r="B48425" s="3" t="str">
        <f>HYPERLINK("https://www.773grp.com/manufacturer/renesas-electronics-america-inc?pageNo=388", "Renesas Electronics")</f>
        <v>Renesas Electronics</v>
      </c>
      <c r="C48425" s="6">
        <v>153000</v>
      </c>
      <c r="D48425" s="7">
        <v>0.64</v>
      </c>
    </row>
    <row r="48426" spans="1:4" x14ac:dyDescent="0.25">
      <c r="A48426" t="str">
        <f>HYPERLINK("https://www.773grp.com/globalSearch/2SK514-T-A/page-1", "2SK514-T-A")</f>
        <v>2SK514-T-A</v>
      </c>
      <c r="B48426" s="3" t="str">
        <f>HYPERLINK("https://www.773grp.com/manufacturer/renesas-electronics-america-inc?pageNo=389", "Renesas Electronics")</f>
        <v>Renesas Electronics</v>
      </c>
      <c r="C48426" s="6">
        <v>4050000</v>
      </c>
      <c r="D48426" s="7">
        <v>0.64</v>
      </c>
    </row>
    <row r="48427" spans="1:4" x14ac:dyDescent="0.25">
      <c r="A48427" t="str">
        <f>HYPERLINK("https://www.773grp.com/globalSearch/HSB0104YP-NTR-E/page-1", "HSB0104YP-NTR-E")</f>
        <v>HSB0104YP-NTR-E</v>
      </c>
      <c r="B48427" s="3" t="str">
        <f>HYPERLINK("https://www.773grp.com/manufacturer/renesas-electronics-america-inc?pageNo=390", "Renesas Electronics")</f>
        <v>Renesas Electronics</v>
      </c>
      <c r="C48427" s="6">
        <v>6000</v>
      </c>
      <c r="D48427" s="7">
        <v>0.64</v>
      </c>
    </row>
    <row r="48428" spans="1:4" x14ac:dyDescent="0.25">
      <c r="A48428" t="str">
        <f>HYPERLINK("https://www.773grp.com/globalSearch/HZS5BLL-JTA/page-1", "HZS5BLL-JTA")</f>
        <v>HZS5BLL-JTA</v>
      </c>
      <c r="B48428" s="3" t="str">
        <f>HYPERLINK("https://www.773grp.com/manufacturer/renesas-electronics-america-inc?pageNo=391", "Renesas Electronics")</f>
        <v>Renesas Electronics</v>
      </c>
      <c r="C48428" s="6">
        <v>5000</v>
      </c>
      <c r="D48428" s="7">
        <v>0.64</v>
      </c>
    </row>
    <row r="48429" spans="1:4" x14ac:dyDescent="0.25">
      <c r="A48429" t="str">
        <f>HYPERLINK("https://www.773grp.com/globalSearch/N413-AZ/page-1", "N413-AZ")</f>
        <v>N413-AZ</v>
      </c>
      <c r="B48429" s="3" t="str">
        <f>HYPERLINK("https://www.773grp.com/manufacturer/renesas-electronics-america-inc?pageNo=392", "Renesas Electronics")</f>
        <v>Renesas Electronics</v>
      </c>
      <c r="C48429" s="6">
        <v>8700</v>
      </c>
      <c r="D48429" s="7">
        <v>0.64</v>
      </c>
    </row>
    <row r="48430" spans="1:4" x14ac:dyDescent="0.25">
      <c r="A48430" t="str">
        <f>HYPERLINK("https://www.773grp.com/globalSearch/N413-T2-AZ/page-1", "N413-T2-AZ")</f>
        <v>N413-T2-AZ</v>
      </c>
      <c r="B48430" s="3" t="str">
        <f>HYPERLINK("https://www.773grp.com/manufacturer/renesas-electronics-america-inc?pageNo=393", "Renesas Electronics")</f>
        <v>Renesas Electronics</v>
      </c>
      <c r="C48430" s="6">
        <v>160000</v>
      </c>
      <c r="D48430" s="7">
        <v>0.64</v>
      </c>
    </row>
    <row r="48431" spans="1:4" x14ac:dyDescent="0.25">
      <c r="A48431" t="str">
        <f>HYPERLINK("https://www.773grp.com/globalSearch/NNCD6.8RL(0)-T1-A/page-1", "NNCD6.8RL(0)-T1-A")</f>
        <v>NNCD6.8RL(0)-T1-A</v>
      </c>
      <c r="B48431" s="3" t="str">
        <f>HYPERLINK("https://www.773grp.com/manufacturer/renesas-electronics-america-inc?pageNo=394", "Renesas Electronics")</f>
        <v>Renesas Electronics</v>
      </c>
      <c r="C48431" s="6">
        <v>3000</v>
      </c>
      <c r="D48431" s="7">
        <v>0.64</v>
      </c>
    </row>
    <row r="48432" spans="1:4" x14ac:dyDescent="0.25">
      <c r="A48432" t="str">
        <f>HYPERLINK("https://www.773grp.com/globalSearch/RD10F/page-1", "RD10F")</f>
        <v>RD10F</v>
      </c>
      <c r="B48432" s="3" t="str">
        <f>HYPERLINK("https://www.773grp.com/manufacturer/renesas-electronics-america-inc?pageNo=395", "Renesas Electronics")</f>
        <v>Renesas Electronics</v>
      </c>
      <c r="C48432" s="6">
        <v>27169</v>
      </c>
      <c r="D48432" s="7">
        <v>0.64</v>
      </c>
    </row>
    <row r="48433" spans="1:4" x14ac:dyDescent="0.25">
      <c r="A48433" t="str">
        <f>HYPERLINK("https://www.773grp.com/globalSearch/RD10F-T6/page-1", "RD10F-T6")</f>
        <v>RD10F-T6</v>
      </c>
      <c r="B48433" s="3" t="str">
        <f>HYPERLINK("https://www.773grp.com/manufacturer/renesas-electronics-america-inc?pageNo=396", "Renesas Electronics")</f>
        <v>Renesas Electronics</v>
      </c>
      <c r="C48433" s="6">
        <v>2500</v>
      </c>
      <c r="D48433" s="7">
        <v>0.64</v>
      </c>
    </row>
    <row r="48434" spans="1:4" x14ac:dyDescent="0.25">
      <c r="A48434" t="str">
        <f>HYPERLINK("https://www.773grp.com/globalSearch/RD10F-T7/page-1", "RD10F-T7")</f>
        <v>RD10F-T7</v>
      </c>
      <c r="B48434" s="3" t="str">
        <f>HYPERLINK("https://www.773grp.com/manufacturer/renesas-electronics-america-inc?pageNo=397", "Renesas Electronics")</f>
        <v>Renesas Electronics</v>
      </c>
      <c r="C48434" s="6">
        <v>2500</v>
      </c>
      <c r="D48434" s="7">
        <v>0.64</v>
      </c>
    </row>
    <row r="48435" spans="1:4" x14ac:dyDescent="0.25">
      <c r="A48435" t="str">
        <f>HYPERLINK("https://www.773grp.com/globalSearch/RD10F-T8-AZ/page-1", "RD10F-T8-AZ")</f>
        <v>RD10F-T8-AZ</v>
      </c>
      <c r="B48435" s="3" t="str">
        <f>HYPERLINK("https://www.773grp.com/manufacturer/renesas-electronics-america-inc?pageNo=398", "Renesas Electronics")</f>
        <v>Renesas Electronics</v>
      </c>
      <c r="C48435" s="6">
        <v>50000</v>
      </c>
      <c r="D48435" s="7">
        <v>0.64</v>
      </c>
    </row>
    <row r="48436" spans="1:4" x14ac:dyDescent="0.25">
      <c r="A48436" t="str">
        <f>HYPERLINK("https://www.773grp.com/globalSearch/RD11F-T7/page-1", "RD11F-T7")</f>
        <v>RD11F-T7</v>
      </c>
      <c r="B48436" s="3" t="str">
        <f>HYPERLINK("https://www.773grp.com/manufacturer/renesas-electronics-america-inc?pageNo=399", "Renesas Electronics")</f>
        <v>Renesas Electronics</v>
      </c>
      <c r="C48436" s="6">
        <v>7500</v>
      </c>
      <c r="D48436" s="7">
        <v>0.64</v>
      </c>
    </row>
    <row r="48437" spans="1:4" x14ac:dyDescent="0.25">
      <c r="A48437" t="str">
        <f>HYPERLINK("https://www.773grp.com/globalSearch/RD11F-T8-AZ/page-1", "RD11F-T8-AZ")</f>
        <v>RD11F-T8-AZ</v>
      </c>
      <c r="B48437" s="3" t="str">
        <f>HYPERLINK("https://www.773grp.com/manufacturer/renesas-electronics-america-inc?pageNo=400", "Renesas Electronics")</f>
        <v>Renesas Electronics</v>
      </c>
      <c r="C48437" s="6">
        <v>5000</v>
      </c>
      <c r="D48437" s="7">
        <v>0.64</v>
      </c>
    </row>
    <row r="48438" spans="1:4" x14ac:dyDescent="0.25">
      <c r="A48438" t="str">
        <f>HYPERLINK("https://www.773grp.com/globalSearch/RD12F-T6-AZ/page-1", "RD12F-T6-AZ")</f>
        <v>RD12F-T6-AZ</v>
      </c>
      <c r="B48438" s="3" t="str">
        <f>HYPERLINK("https://www.773grp.com/manufacturer/renesas-electronics-america-inc?pageNo=401", "Renesas Electronics")</f>
        <v>Renesas Electronics</v>
      </c>
      <c r="C48438" s="6">
        <v>2500</v>
      </c>
      <c r="D48438" s="7">
        <v>0.64</v>
      </c>
    </row>
    <row r="48439" spans="1:4" x14ac:dyDescent="0.25">
      <c r="A48439" t="str">
        <f>HYPERLINK("https://www.773grp.com/globalSearch/RD12F-T7-AZ/page-1", "RD12F-T7-AZ")</f>
        <v>RD12F-T7-AZ</v>
      </c>
      <c r="B48439" s="3" t="str">
        <f>HYPERLINK("https://www.773grp.com/manufacturer/renesas-electronics-america-inc?pageNo=402", "Renesas Electronics")</f>
        <v>Renesas Electronics</v>
      </c>
      <c r="C48439" s="6">
        <v>7500</v>
      </c>
      <c r="D48439" s="7">
        <v>0.64</v>
      </c>
    </row>
    <row r="48440" spans="1:4" x14ac:dyDescent="0.25">
      <c r="A48440" t="str">
        <f>HYPERLINK("https://www.773grp.com/globalSearch/RD12F-T8/page-1", "RD12F-T8")</f>
        <v>RD12F-T8</v>
      </c>
      <c r="B48440" s="3" t="str">
        <f>HYPERLINK("https://www.773grp.com/manufacturer/renesas-electronics-america-inc?pageNo=403", "Renesas Electronics")</f>
        <v>Renesas Electronics</v>
      </c>
      <c r="C48440" s="6">
        <v>10000</v>
      </c>
      <c r="D48440" s="7">
        <v>0.64</v>
      </c>
    </row>
    <row r="48441" spans="1:4" x14ac:dyDescent="0.25">
      <c r="A48441" t="str">
        <f>HYPERLINK("https://www.773grp.com/globalSearch/RD12F-T8-AZ/page-1", "RD12F-T8-AZ")</f>
        <v>RD12F-T8-AZ</v>
      </c>
      <c r="B48441" s="3" t="str">
        <f>HYPERLINK("https://www.773grp.com/manufacturer/renesas-electronics-america-inc?pageNo=404", "Renesas Electronics")</f>
        <v>Renesas Electronics</v>
      </c>
      <c r="C48441" s="6">
        <v>5000</v>
      </c>
      <c r="D48441" s="7">
        <v>0.64</v>
      </c>
    </row>
    <row r="48442" spans="1:4" x14ac:dyDescent="0.25">
      <c r="A48442" t="str">
        <f>HYPERLINK("https://www.773grp.com/globalSearch/RD13F-T7/page-1", "RD13F-T7")</f>
        <v>RD13F-T7</v>
      </c>
      <c r="B48442" s="3" t="str">
        <f>HYPERLINK("https://www.773grp.com/manufacturer/renesas-electronics-america-inc?pageNo=405", "Renesas Electronics")</f>
        <v>Renesas Electronics</v>
      </c>
      <c r="C48442" s="6">
        <v>17500</v>
      </c>
      <c r="D48442" s="7">
        <v>0.64</v>
      </c>
    </row>
    <row r="48443" spans="1:4" x14ac:dyDescent="0.25">
      <c r="A48443" t="str">
        <f>HYPERLINK("https://www.773grp.com/globalSearch/RD13F-T7-AZ/page-1", "RD13F-T7-AZ")</f>
        <v>RD13F-T7-AZ</v>
      </c>
      <c r="B48443" s="3" t="str">
        <f>HYPERLINK("https://www.773grp.com/manufacturer/renesas-electronics-america-inc?pageNo=406", "Renesas Electronics")</f>
        <v>Renesas Electronics</v>
      </c>
      <c r="C48443" s="6">
        <v>7500</v>
      </c>
      <c r="D48443" s="7">
        <v>0.64</v>
      </c>
    </row>
    <row r="48444" spans="1:4" x14ac:dyDescent="0.25">
      <c r="A48444" t="str">
        <f>HYPERLINK("https://www.773grp.com/globalSearch/RD13F-T8/page-1", "RD13F-T8")</f>
        <v>RD13F-T8</v>
      </c>
      <c r="B48444" s="3" t="str">
        <f>HYPERLINK("https://www.773grp.com/manufacturer/renesas-electronics-america-inc?pageNo=407", "Renesas Electronics")</f>
        <v>Renesas Electronics</v>
      </c>
      <c r="C48444" s="6">
        <v>5000</v>
      </c>
      <c r="D48444" s="7">
        <v>0.64</v>
      </c>
    </row>
    <row r="48445" spans="1:4" x14ac:dyDescent="0.25">
      <c r="A48445" t="str">
        <f>HYPERLINK("https://www.773grp.com/globalSearch/RD13F-T8-AZ/page-1", "RD13F-T8-AZ")</f>
        <v>RD13F-T8-AZ</v>
      </c>
      <c r="B48445" s="3" t="str">
        <f>HYPERLINK("https://www.773grp.com/manufacturer/renesas-electronics-america-inc?pageNo=408", "Renesas Electronics")</f>
        <v>Renesas Electronics</v>
      </c>
      <c r="C48445" s="6">
        <v>10000</v>
      </c>
      <c r="D48445" s="7">
        <v>0.64</v>
      </c>
    </row>
    <row r="48446" spans="1:4" x14ac:dyDescent="0.25">
      <c r="A48446" t="str">
        <f>HYPERLINK("https://www.773grp.com/globalSearch/RD15F/page-1", "RD15F")</f>
        <v>RD15F</v>
      </c>
      <c r="B48446" s="3" t="str">
        <f>HYPERLINK("https://www.773grp.com/manufacturer/renesas-electronics-america-inc?pageNo=409", "Renesas Electronics")</f>
        <v>Renesas Electronics</v>
      </c>
      <c r="C48446" s="6">
        <v>12100</v>
      </c>
      <c r="D48446" s="7">
        <v>0.64</v>
      </c>
    </row>
    <row r="48447" spans="1:4" x14ac:dyDescent="0.25">
      <c r="A48447" t="str">
        <f>HYPERLINK("https://www.773grp.com/globalSearch/RD15F-T6-AZ/page-1", "RD15F-T6-AZ")</f>
        <v>RD15F-T6-AZ</v>
      </c>
      <c r="B48447" s="3" t="str">
        <f>HYPERLINK("https://www.773grp.com/manufacturer/renesas-electronics-america-inc?pageNo=410", "Renesas Electronics")</f>
        <v>Renesas Electronics</v>
      </c>
      <c r="C48447" s="6">
        <v>22500</v>
      </c>
      <c r="D48447" s="7">
        <v>0.64</v>
      </c>
    </row>
    <row r="48448" spans="1:4" x14ac:dyDescent="0.25">
      <c r="A48448" t="str">
        <f>HYPERLINK("https://www.773grp.com/globalSearch/RD15F-T7/page-1", "RD15F-T7")</f>
        <v>RD15F-T7</v>
      </c>
      <c r="B48448" s="3" t="str">
        <f>HYPERLINK("https://www.773grp.com/manufacturer/renesas-electronics-america-inc?pageNo=411", "Renesas Electronics")</f>
        <v>Renesas Electronics</v>
      </c>
      <c r="C48448" s="6">
        <v>7500</v>
      </c>
      <c r="D48448" s="7">
        <v>0.64</v>
      </c>
    </row>
    <row r="48449" spans="1:4" x14ac:dyDescent="0.25">
      <c r="A48449" t="str">
        <f>HYPERLINK("https://www.773grp.com/globalSearch/RD15F-T7-AZ/page-1", "RD15F-T7-AZ")</f>
        <v>RD15F-T7-AZ</v>
      </c>
      <c r="B48449" s="3" t="str">
        <f>HYPERLINK("https://www.773grp.com/manufacturer/renesas-electronics-america-inc?pageNo=412", "Renesas Electronics")</f>
        <v>Renesas Electronics</v>
      </c>
      <c r="C48449" s="6">
        <v>73500</v>
      </c>
      <c r="D48449" s="7">
        <v>0.64</v>
      </c>
    </row>
    <row r="48450" spans="1:4" x14ac:dyDescent="0.25">
      <c r="A48450" t="str">
        <f>HYPERLINK("https://www.773grp.com/globalSearch/RD15F-T8-AZ/page-1", "RD15F-T8-AZ")</f>
        <v>RD15F-T8-AZ</v>
      </c>
      <c r="B48450" s="3" t="str">
        <f>HYPERLINK("https://www.773grp.com/manufacturer/renesas-electronics-america-inc?pageNo=413", "Renesas Electronics")</f>
        <v>Renesas Electronics</v>
      </c>
      <c r="C48450" s="6">
        <v>140000</v>
      </c>
      <c r="D48450" s="7">
        <v>0.64</v>
      </c>
    </row>
    <row r="48451" spans="1:4" x14ac:dyDescent="0.25">
      <c r="A48451" t="str">
        <f>HYPERLINK("https://www.773grp.com/globalSearch/RD16F-T6-AZ/page-1", "RD16F-T6-AZ")</f>
        <v>RD16F-T6-AZ</v>
      </c>
      <c r="B48451" s="3" t="str">
        <f>HYPERLINK("https://www.773grp.com/manufacturer/renesas-electronics-america-inc?pageNo=414", "Renesas Electronics")</f>
        <v>Renesas Electronics</v>
      </c>
      <c r="C48451" s="6">
        <v>2500</v>
      </c>
      <c r="D48451" s="7">
        <v>0.64</v>
      </c>
    </row>
    <row r="48452" spans="1:4" x14ac:dyDescent="0.25">
      <c r="A48452" t="str">
        <f>HYPERLINK("https://www.773grp.com/globalSearch/RD16F-T7-AZ/page-1", "RD16F-T7-AZ")</f>
        <v>RD16F-T7-AZ</v>
      </c>
      <c r="B48452" s="3" t="str">
        <f>HYPERLINK("https://www.773grp.com/manufacturer/renesas-electronics-america-inc?pageNo=415", "Renesas Electronics")</f>
        <v>Renesas Electronics</v>
      </c>
      <c r="C48452" s="6">
        <v>222500</v>
      </c>
      <c r="D48452" s="7">
        <v>0.64</v>
      </c>
    </row>
    <row r="48453" spans="1:4" x14ac:dyDescent="0.25">
      <c r="A48453" t="str">
        <f>HYPERLINK("https://www.773grp.com/globalSearch/RD16F-T8/page-1", "RD16F-T8")</f>
        <v>RD16F-T8</v>
      </c>
      <c r="B48453" s="3" t="str">
        <f>HYPERLINK("https://www.773grp.com/manufacturer/renesas-electronics-america-inc?pageNo=416", "Renesas Electronics")</f>
        <v>Renesas Electronics</v>
      </c>
      <c r="C48453" s="6">
        <v>2500</v>
      </c>
      <c r="D48453" s="7">
        <v>0.64</v>
      </c>
    </row>
    <row r="48454" spans="1:4" x14ac:dyDescent="0.25">
      <c r="A48454" t="str">
        <f>HYPERLINK("https://www.773grp.com/globalSearch/RD16F-T8-AZ/page-1", "RD16F-T8-AZ")</f>
        <v>RD16F-T8-AZ</v>
      </c>
      <c r="B48454" s="3" t="str">
        <f>HYPERLINK("https://www.773grp.com/manufacturer/renesas-electronics-america-inc?pageNo=417", "Renesas Electronics")</f>
        <v>Renesas Electronics</v>
      </c>
      <c r="C48454" s="6">
        <v>10000</v>
      </c>
      <c r="D48454" s="7">
        <v>0.64</v>
      </c>
    </row>
    <row r="48455" spans="1:4" x14ac:dyDescent="0.25">
      <c r="A48455" t="str">
        <f>HYPERLINK("https://www.773grp.com/globalSearch/RD18F/page-1", "RD18F")</f>
        <v>RD18F</v>
      </c>
      <c r="B48455" s="3" t="str">
        <f>HYPERLINK("https://www.773grp.com/manufacturer/renesas-electronics-america-inc?pageNo=418", "Renesas Electronics")</f>
        <v>Renesas Electronics</v>
      </c>
      <c r="C48455" s="6">
        <v>961630</v>
      </c>
      <c r="D48455" s="7">
        <v>0.64</v>
      </c>
    </row>
    <row r="48456" spans="1:4" x14ac:dyDescent="0.25">
      <c r="A48456" t="str">
        <f>HYPERLINK("https://www.773grp.com/globalSearch/RD18F-T6/page-1", "RD18F-T6")</f>
        <v>RD18F-T6</v>
      </c>
      <c r="B48456" s="3" t="str">
        <f>HYPERLINK("https://www.773grp.com/manufacturer/renesas-electronics-america-inc?pageNo=419", "Renesas Electronics")</f>
        <v>Renesas Electronics</v>
      </c>
      <c r="C48456" s="6">
        <v>5000</v>
      </c>
      <c r="D48456" s="7">
        <v>0.64</v>
      </c>
    </row>
    <row r="48457" spans="1:4" x14ac:dyDescent="0.25">
      <c r="A48457" t="str">
        <f>HYPERLINK("https://www.773grp.com/globalSearch/RD18F-T8-AZ/page-1", "RD18F-T8-AZ")</f>
        <v>RD18F-T8-AZ</v>
      </c>
      <c r="B48457" s="3" t="str">
        <f>HYPERLINK("https://www.773grp.com/manufacturer/renesas-electronics-america-inc?pageNo=420", "Renesas Electronics")</f>
        <v>Renesas Electronics</v>
      </c>
      <c r="C48457" s="6">
        <v>5000</v>
      </c>
      <c r="D48457" s="7">
        <v>0.64</v>
      </c>
    </row>
    <row r="48458" spans="1:4" x14ac:dyDescent="0.25">
      <c r="A48458" t="str">
        <f>HYPERLINK("https://www.773grp.com/globalSearch/RD2.2F/page-1", "RD2.2F")</f>
        <v>RD2.2F</v>
      </c>
      <c r="B48458" s="3" t="str">
        <f>HYPERLINK("https://www.773grp.com/manufacturer/renesas-electronics-america-inc?pageNo=421", "Renesas Electronics")</f>
        <v>Renesas Electronics</v>
      </c>
      <c r="C48458" s="6">
        <v>2000</v>
      </c>
      <c r="D48458" s="7">
        <v>0.64</v>
      </c>
    </row>
    <row r="48459" spans="1:4" x14ac:dyDescent="0.25">
      <c r="A48459" t="str">
        <f>HYPERLINK("https://www.773grp.com/globalSearch/RD2.2F-AZ/page-1", "RD2.2F-AZ")</f>
        <v>RD2.2F-AZ</v>
      </c>
      <c r="B48459" s="3" t="str">
        <f>HYPERLINK("https://www.773grp.com/manufacturer/renesas-electronics-america-inc?pageNo=422", "Renesas Electronics")</f>
        <v>Renesas Electronics</v>
      </c>
      <c r="C48459" s="6">
        <v>50</v>
      </c>
      <c r="D48459" s="7">
        <v>0.64</v>
      </c>
    </row>
    <row r="48460" spans="1:4" x14ac:dyDescent="0.25">
      <c r="A48460" t="str">
        <f>HYPERLINK("https://www.773grp.com/globalSearch/RD2.2F-T6-AZ/page-1", "RD2.2F-T6-AZ")</f>
        <v>RD2.2F-T6-AZ</v>
      </c>
      <c r="B48460" s="3" t="str">
        <f>HYPERLINK("https://www.773grp.com/manufacturer/renesas-electronics-america-inc?pageNo=423", "Renesas Electronics")</f>
        <v>Renesas Electronics</v>
      </c>
      <c r="C48460" s="6">
        <v>4642</v>
      </c>
      <c r="D48460" s="7">
        <v>0.64</v>
      </c>
    </row>
    <row r="48461" spans="1:4" x14ac:dyDescent="0.25">
      <c r="A48461" t="str">
        <f>HYPERLINK("https://www.773grp.com/globalSearch/RD2.4F-AZ/page-1", "RD2.4F-AZ")</f>
        <v>RD2.4F-AZ</v>
      </c>
      <c r="B48461" s="3" t="str">
        <f>HYPERLINK("https://www.773grp.com/manufacturer/renesas-electronics-america-inc?pageNo=424", "Renesas Electronics")</f>
        <v>Renesas Electronics</v>
      </c>
      <c r="C48461" s="6">
        <v>5300</v>
      </c>
      <c r="D48461" s="7">
        <v>0.64</v>
      </c>
    </row>
    <row r="48462" spans="1:4" x14ac:dyDescent="0.25">
      <c r="A48462" t="str">
        <f>HYPERLINK("https://www.773grp.com/globalSearch/RD2.4F-T7-AZ/page-1", "RD2.4F-T7-AZ")</f>
        <v>RD2.4F-T7-AZ</v>
      </c>
      <c r="B48462" s="3" t="str">
        <f>HYPERLINK("https://www.773grp.com/manufacturer/renesas-electronics-america-inc?pageNo=425", "Renesas Electronics")</f>
        <v>Renesas Electronics</v>
      </c>
      <c r="C48462" s="6">
        <v>7500</v>
      </c>
      <c r="D48462" s="7">
        <v>0.64</v>
      </c>
    </row>
    <row r="48463" spans="1:4" x14ac:dyDescent="0.25">
      <c r="A48463" t="str">
        <f>HYPERLINK("https://www.773grp.com/globalSearch/RD2.7F/page-1", "RD2.7F")</f>
        <v>RD2.7F</v>
      </c>
      <c r="B48463" s="3" t="str">
        <f>HYPERLINK("https://www.773grp.com/manufacturer/renesas-electronics-america-inc?pageNo=426", "Renesas Electronics")</f>
        <v>Renesas Electronics</v>
      </c>
      <c r="C48463" s="6">
        <v>4000</v>
      </c>
      <c r="D48463" s="7">
        <v>0.64</v>
      </c>
    </row>
    <row r="48464" spans="1:4" x14ac:dyDescent="0.25">
      <c r="A48464" t="str">
        <f>HYPERLINK("https://www.773grp.com/globalSearch/RD2.7F-AZ/page-1", "RD2.7F-AZ")</f>
        <v>RD2.7F-AZ</v>
      </c>
      <c r="B48464" s="3" t="str">
        <f>HYPERLINK("https://www.773grp.com/manufacturer/renesas-electronics-america-inc?pageNo=427", "Renesas Electronics")</f>
        <v>Renesas Electronics</v>
      </c>
      <c r="C48464" s="6">
        <v>13100</v>
      </c>
      <c r="D48464" s="7">
        <v>0.64</v>
      </c>
    </row>
    <row r="48465" spans="1:4" x14ac:dyDescent="0.25">
      <c r="A48465" t="str">
        <f>HYPERLINK("https://www.773grp.com/globalSearch/RD2.7F-T6/page-1", "RD2.7F-T6")</f>
        <v>RD2.7F-T6</v>
      </c>
      <c r="B48465" s="3" t="str">
        <f>HYPERLINK("https://www.773grp.com/manufacturer/renesas-electronics-america-inc?pageNo=428", "Renesas Electronics")</f>
        <v>Renesas Electronics</v>
      </c>
      <c r="C48465" s="6">
        <v>2500</v>
      </c>
      <c r="D48465" s="7">
        <v>0.64</v>
      </c>
    </row>
    <row r="48466" spans="1:4" x14ac:dyDescent="0.25">
      <c r="A48466" t="str">
        <f>HYPERLINK("https://www.773grp.com/globalSearch/RD20F/page-1", "RD20F")</f>
        <v>RD20F</v>
      </c>
      <c r="B48466" s="3" t="str">
        <f>HYPERLINK("https://www.773grp.com/manufacturer/renesas-electronics-america-inc?pageNo=429", "Renesas Electronics")</f>
        <v>Renesas Electronics</v>
      </c>
      <c r="C48466" s="6">
        <v>492500</v>
      </c>
      <c r="D48466" s="7">
        <v>0.64</v>
      </c>
    </row>
    <row r="48467" spans="1:4" x14ac:dyDescent="0.25">
      <c r="A48467" t="str">
        <f>HYPERLINK("https://www.773grp.com/globalSearch/RD20F-T6-AZ/page-1", "RD20F-T6-AZ")</f>
        <v>RD20F-T6-AZ</v>
      </c>
      <c r="B48467" s="3" t="str">
        <f>HYPERLINK("https://www.773grp.com/manufacturer/renesas-electronics-america-inc?pageNo=430", "Renesas Electronics")</f>
        <v>Renesas Electronics</v>
      </c>
      <c r="C48467" s="6">
        <v>20000</v>
      </c>
      <c r="D48467" s="7">
        <v>0.64</v>
      </c>
    </row>
    <row r="48468" spans="1:4" x14ac:dyDescent="0.25">
      <c r="A48468" t="str">
        <f>HYPERLINK("https://www.773grp.com/globalSearch/RD20F-T8-AZ/page-1", "RD20F-T8-AZ")</f>
        <v>RD20F-T8-AZ</v>
      </c>
      <c r="B48468" s="3" t="str">
        <f>HYPERLINK("https://www.773grp.com/manufacturer/renesas-electronics-america-inc?pageNo=431", "Renesas Electronics")</f>
        <v>Renesas Electronics</v>
      </c>
      <c r="C48468" s="6">
        <v>5000</v>
      </c>
      <c r="D48468" s="7">
        <v>0.64</v>
      </c>
    </row>
    <row r="48469" spans="1:4" x14ac:dyDescent="0.25">
      <c r="A48469" t="str">
        <f>HYPERLINK("https://www.773grp.com/globalSearch/RD24F-T6/page-1", "RD24F-T6")</f>
        <v>RD24F-T6</v>
      </c>
      <c r="B48469" s="3" t="str">
        <f>HYPERLINK("https://www.773grp.com/manufacturer/renesas-electronics-america-inc?pageNo=432", "Renesas Electronics")</f>
        <v>Renesas Electronics</v>
      </c>
      <c r="C48469" s="6">
        <v>242500</v>
      </c>
      <c r="D48469" s="7">
        <v>0.64</v>
      </c>
    </row>
    <row r="48470" spans="1:4" x14ac:dyDescent="0.25">
      <c r="A48470" t="str">
        <f>HYPERLINK("https://www.773grp.com/globalSearch/RD24F-T6-AZ/page-1", "RD24F-T6-AZ")</f>
        <v>RD24F-T6-AZ</v>
      </c>
      <c r="B48470" s="3" t="str">
        <f>HYPERLINK("https://www.773grp.com/manufacturer/renesas-electronics-america-inc?pageNo=433", "Renesas Electronics")</f>
        <v>Renesas Electronics</v>
      </c>
      <c r="C48470" s="6">
        <v>30000</v>
      </c>
      <c r="D48470" s="7">
        <v>0.64</v>
      </c>
    </row>
    <row r="48471" spans="1:4" x14ac:dyDescent="0.25">
      <c r="A48471" t="str">
        <f>HYPERLINK("https://www.773grp.com/globalSearch/RD24F-T8/page-1", "RD24F-T8")</f>
        <v>RD24F-T8</v>
      </c>
      <c r="B48471" s="3" t="str">
        <f>HYPERLINK("https://www.773grp.com/manufacturer/renesas-electronics-america-inc?pageNo=434", "Renesas Electronics")</f>
        <v>Renesas Electronics</v>
      </c>
      <c r="C48471" s="6">
        <v>5000</v>
      </c>
      <c r="D48471" s="7">
        <v>0.64</v>
      </c>
    </row>
    <row r="48472" spans="1:4" x14ac:dyDescent="0.25">
      <c r="A48472" t="str">
        <f>HYPERLINK("https://www.773grp.com/globalSearch/RD24F-T8-AZ/page-1", "RD24F-T8-AZ")</f>
        <v>RD24F-T8-AZ</v>
      </c>
      <c r="B48472" s="3" t="str">
        <f>HYPERLINK("https://www.773grp.com/manufacturer/renesas-electronics-america-inc?pageNo=435", "Renesas Electronics")</f>
        <v>Renesas Electronics</v>
      </c>
      <c r="C48472" s="6">
        <v>2500</v>
      </c>
      <c r="D48472" s="7">
        <v>0.64</v>
      </c>
    </row>
    <row r="48473" spans="1:4" x14ac:dyDescent="0.25">
      <c r="A48473" t="str">
        <f>HYPERLINK("https://www.773grp.com/globalSearch/RD27F-T6/page-1", "RD27F-T6")</f>
        <v>RD27F-T6</v>
      </c>
      <c r="B48473" s="3" t="str">
        <f>HYPERLINK("https://www.773grp.com/manufacturer/renesas-electronics-america-inc?pageNo=436", "Renesas Electronics")</f>
        <v>Renesas Electronics</v>
      </c>
      <c r="C48473" s="6">
        <v>10000</v>
      </c>
      <c r="D48473" s="7">
        <v>0.64</v>
      </c>
    </row>
    <row r="48474" spans="1:4" x14ac:dyDescent="0.25">
      <c r="A48474" t="str">
        <f>HYPERLINK("https://www.773grp.com/globalSearch/RD27F-T7-AZ/page-1", "RD27F-T7-AZ")</f>
        <v>RD27F-T7-AZ</v>
      </c>
      <c r="B48474" s="3" t="str">
        <f>HYPERLINK("https://www.773grp.com/manufacturer/renesas-electronics-america-inc?pageNo=437", "Renesas Electronics")</f>
        <v>Renesas Electronics</v>
      </c>
      <c r="C48474" s="6">
        <v>35000</v>
      </c>
      <c r="D48474" s="7">
        <v>0.64</v>
      </c>
    </row>
    <row r="48475" spans="1:4" x14ac:dyDescent="0.25">
      <c r="A48475" t="str">
        <f>HYPERLINK("https://www.773grp.com/globalSearch/RD27F-T8-AZ/page-1", "RD27F-T8-AZ")</f>
        <v>RD27F-T8-AZ</v>
      </c>
      <c r="B48475" s="3" t="str">
        <f>HYPERLINK("https://www.773grp.com/manufacturer/renesas-electronics-america-inc?pageNo=438", "Renesas Electronics")</f>
        <v>Renesas Electronics</v>
      </c>
      <c r="C48475" s="6">
        <v>12500</v>
      </c>
      <c r="D48475" s="7">
        <v>0.64</v>
      </c>
    </row>
    <row r="48476" spans="1:4" x14ac:dyDescent="0.25">
      <c r="A48476" t="str">
        <f>HYPERLINK("https://www.773grp.com/globalSearch/RD3.0F-T7-AZ/page-1", "RD3.0F-T7-AZ")</f>
        <v>RD3.0F-T7-AZ</v>
      </c>
      <c r="B48476" s="3" t="str">
        <f>HYPERLINK("https://www.773grp.com/manufacturer/renesas-electronics-america-inc?pageNo=439", "Renesas Electronics")</f>
        <v>Renesas Electronics</v>
      </c>
      <c r="C48476" s="6">
        <v>4642</v>
      </c>
      <c r="D48476" s="7">
        <v>0.64</v>
      </c>
    </row>
    <row r="48477" spans="1:4" x14ac:dyDescent="0.25">
      <c r="A48477" t="str">
        <f>HYPERLINK("https://www.773grp.com/globalSearch/RD3.3F-AZ/page-1", "RD3.3F-AZ")</f>
        <v>RD3.3F-AZ</v>
      </c>
      <c r="B48477" s="3" t="str">
        <f>HYPERLINK("https://www.773grp.com/manufacturer/renesas-electronics-america-inc?pageNo=440", "Renesas Electronics")</f>
        <v>Renesas Electronics</v>
      </c>
      <c r="C48477" s="6">
        <v>6400</v>
      </c>
      <c r="D48477" s="7">
        <v>0.64</v>
      </c>
    </row>
    <row r="48478" spans="1:4" x14ac:dyDescent="0.25">
      <c r="A48478" t="str">
        <f>HYPERLINK("https://www.773grp.com/globalSearch/RD3.6F/page-1", "RD3.6F")</f>
        <v>RD3.6F</v>
      </c>
      <c r="B48478" s="3" t="str">
        <f>HYPERLINK("https://www.773grp.com/manufacturer/renesas-electronics-america-inc?pageNo=441", "Renesas Electronics")</f>
        <v>Renesas Electronics</v>
      </c>
      <c r="C48478" s="6">
        <v>11700</v>
      </c>
      <c r="D48478" s="7">
        <v>0.64</v>
      </c>
    </row>
    <row r="48479" spans="1:4" x14ac:dyDescent="0.25">
      <c r="A48479" t="str">
        <f>HYPERLINK("https://www.773grp.com/globalSearch/RD3.6F-AZ/page-1", "RD3.6F-AZ")</f>
        <v>RD3.6F-AZ</v>
      </c>
      <c r="B48479" s="3" t="str">
        <f>HYPERLINK("https://www.773grp.com/manufacturer/renesas-electronics-america-inc?pageNo=442", "Renesas Electronics")</f>
        <v>Renesas Electronics</v>
      </c>
      <c r="C48479" s="6">
        <v>4800</v>
      </c>
      <c r="D48479" s="7">
        <v>0.64</v>
      </c>
    </row>
    <row r="48480" spans="1:4" x14ac:dyDescent="0.25">
      <c r="A48480" t="str">
        <f>HYPERLINK("https://www.773grp.com/globalSearch/RD3.6F-T7-AZ/page-1", "RD3.6F-T7-AZ")</f>
        <v>RD3.6F-T7-AZ</v>
      </c>
      <c r="B48480" s="3" t="str">
        <f>HYPERLINK("https://www.773grp.com/manufacturer/renesas-electronics-america-inc?pageNo=443", "Renesas Electronics")</f>
        <v>Renesas Electronics</v>
      </c>
      <c r="C48480" s="6">
        <v>5000</v>
      </c>
      <c r="D48480" s="7">
        <v>0.64</v>
      </c>
    </row>
    <row r="48481" spans="1:4" x14ac:dyDescent="0.25">
      <c r="A48481" t="str">
        <f>HYPERLINK("https://www.773grp.com/globalSearch/RD3.9F-AZ/page-1", "RD3.9F-AZ")</f>
        <v>RD3.9F-AZ</v>
      </c>
      <c r="B48481" s="3" t="str">
        <f>HYPERLINK("https://www.773grp.com/manufacturer/renesas-electronics-america-inc?pageNo=444", "Renesas Electronics")</f>
        <v>Renesas Electronics</v>
      </c>
      <c r="C48481" s="6">
        <v>14000</v>
      </c>
      <c r="D48481" s="7">
        <v>0.64</v>
      </c>
    </row>
    <row r="48482" spans="1:4" x14ac:dyDescent="0.25">
      <c r="A48482" t="str">
        <f>HYPERLINK("https://www.773grp.com/globalSearch/RD3.9F-T6-AZ/page-1", "RD3.9F-T6-AZ")</f>
        <v>RD3.9F-T6-AZ</v>
      </c>
      <c r="B48482" s="3" t="str">
        <f>HYPERLINK("https://www.773grp.com/manufacturer/renesas-electronics-america-inc?pageNo=445", "Renesas Electronics")</f>
        <v>Renesas Electronics</v>
      </c>
      <c r="C48482" s="6">
        <v>5000</v>
      </c>
      <c r="D48482" s="7">
        <v>0.64</v>
      </c>
    </row>
    <row r="48483" spans="1:4" x14ac:dyDescent="0.25">
      <c r="A48483" t="str">
        <f>HYPERLINK("https://www.773grp.com/globalSearch/RD3.9F-T8-AZ/page-1", "RD3.9F-T8-AZ")</f>
        <v>RD3.9F-T8-AZ</v>
      </c>
      <c r="B48483" s="3" t="str">
        <f>HYPERLINK("https://www.773grp.com/manufacturer/renesas-electronics-america-inc?pageNo=446", "Renesas Electronics")</f>
        <v>Renesas Electronics</v>
      </c>
      <c r="C48483" s="6">
        <v>5000</v>
      </c>
      <c r="D48483" s="7">
        <v>0.64</v>
      </c>
    </row>
    <row r="48484" spans="1:4" x14ac:dyDescent="0.25">
      <c r="A48484" t="str">
        <f>HYPERLINK("https://www.773grp.com/globalSearch/RD30F(N)-T6/page-1", "RD30F(N)-T6")</f>
        <v>RD30F(N)-T6</v>
      </c>
      <c r="B48484" s="3" t="str">
        <f>HYPERLINK("https://www.773grp.com/manufacturer/renesas-electronics-america-inc?pageNo=447", "Renesas Electronics")</f>
        <v>Renesas Electronics</v>
      </c>
      <c r="C48484" s="6">
        <v>5000</v>
      </c>
      <c r="D48484" s="7">
        <v>0.64</v>
      </c>
    </row>
    <row r="48485" spans="1:4" x14ac:dyDescent="0.25">
      <c r="A48485" t="str">
        <f>HYPERLINK("https://www.773grp.com/globalSearch/RD30F-T7/page-1", "RD30F-T7")</f>
        <v>RD30F-T7</v>
      </c>
      <c r="B48485" s="3" t="str">
        <f>HYPERLINK("https://www.773grp.com/manufacturer/renesas-electronics-america-inc?pageNo=448", "Renesas Electronics")</f>
        <v>Renesas Electronics</v>
      </c>
      <c r="C48485" s="6">
        <v>7500</v>
      </c>
      <c r="D48485" s="7">
        <v>0.64</v>
      </c>
    </row>
    <row r="48486" spans="1:4" x14ac:dyDescent="0.25">
      <c r="A48486" t="str">
        <f>HYPERLINK("https://www.773grp.com/globalSearch/RD30F-T7-AZ/page-1", "RD30F-T7-AZ")</f>
        <v>RD30F-T7-AZ</v>
      </c>
      <c r="B48486" s="3" t="str">
        <f>HYPERLINK("https://www.773grp.com/manufacturer/renesas-electronics-america-inc?pageNo=449", "Renesas Electronics")</f>
        <v>Renesas Electronics</v>
      </c>
      <c r="C48486" s="6">
        <v>809700</v>
      </c>
      <c r="D48486" s="7">
        <v>0.64</v>
      </c>
    </row>
    <row r="48487" spans="1:4" x14ac:dyDescent="0.25">
      <c r="A48487" t="str">
        <f>HYPERLINK("https://www.773grp.com/globalSearch/RD30F-T8-AZ/page-1", "RD30F-T8-AZ")</f>
        <v>RD30F-T8-AZ</v>
      </c>
      <c r="B48487" s="3" t="str">
        <f>HYPERLINK("https://www.773grp.com/manufacturer/renesas-electronics-america-inc?pageNo=450", "Renesas Electronics")</f>
        <v>Renesas Electronics</v>
      </c>
      <c r="C48487" s="6">
        <v>10000</v>
      </c>
      <c r="D48487" s="7">
        <v>0.64</v>
      </c>
    </row>
    <row r="48488" spans="1:4" x14ac:dyDescent="0.25">
      <c r="A48488" t="str">
        <f>HYPERLINK("https://www.773grp.com/globalSearch/RD33F-T6-AZ/page-1", "RD33F-T6-AZ")</f>
        <v>RD33F-T6-AZ</v>
      </c>
      <c r="B48488" s="3" t="str">
        <f>HYPERLINK("https://www.773grp.com/manufacturer/renesas-electronics-america-inc?pageNo=451", "Renesas Electronics")</f>
        <v>Renesas Electronics</v>
      </c>
      <c r="C48488" s="6">
        <v>5000</v>
      </c>
      <c r="D48488" s="7">
        <v>0.64</v>
      </c>
    </row>
    <row r="48489" spans="1:4" x14ac:dyDescent="0.25">
      <c r="A48489" t="str">
        <f>HYPERLINK("https://www.773grp.com/globalSearch/RD33F-T7-AZ/page-1", "RD33F-T7-AZ")</f>
        <v>RD33F-T7-AZ</v>
      </c>
      <c r="B48489" s="3" t="str">
        <f>HYPERLINK("https://www.773grp.com/manufacturer/renesas-electronics-america-inc?pageNo=452", "Renesas Electronics")</f>
        <v>Renesas Electronics</v>
      </c>
      <c r="C48489" s="6">
        <v>709500</v>
      </c>
      <c r="D48489" s="7">
        <v>0.64</v>
      </c>
    </row>
    <row r="48490" spans="1:4" x14ac:dyDescent="0.25">
      <c r="A48490" t="str">
        <f>HYPERLINK("https://www.773grp.com/globalSearch/RD33F-T8-AZ/page-1", "RD33F-T8-AZ")</f>
        <v>RD33F-T8-AZ</v>
      </c>
      <c r="B48490" s="3" t="str">
        <f>HYPERLINK("https://www.773grp.com/manufacturer/renesas-electronics-america-inc?pageNo=453", "Renesas Electronics")</f>
        <v>Renesas Electronics</v>
      </c>
      <c r="C48490" s="6">
        <v>7500</v>
      </c>
      <c r="D48490" s="7">
        <v>0.64</v>
      </c>
    </row>
    <row r="48491" spans="1:4" x14ac:dyDescent="0.25">
      <c r="A48491" t="str">
        <f>HYPERLINK("https://www.773grp.com/globalSearch/RD36F-T8-AZ/page-1", "RD36F-T8-AZ")</f>
        <v>RD36F-T8-AZ</v>
      </c>
      <c r="B48491" s="3" t="str">
        <f>HYPERLINK("https://www.773grp.com/manufacturer/renesas-electronics-america-inc?pageNo=454", "Renesas Electronics")</f>
        <v>Renesas Electronics</v>
      </c>
      <c r="C48491" s="6">
        <v>2500</v>
      </c>
      <c r="D48491" s="7">
        <v>0.64</v>
      </c>
    </row>
    <row r="48492" spans="1:4" x14ac:dyDescent="0.25">
      <c r="A48492" t="str">
        <f>HYPERLINK("https://www.773grp.com/globalSearch/RD4.3F-AZ/page-1", "RD4.3F-AZ")</f>
        <v>RD4.3F-AZ</v>
      </c>
      <c r="B48492" s="3" t="str">
        <f>HYPERLINK("https://www.773grp.com/manufacturer/renesas-electronics-america-inc?pageNo=455", "Renesas Electronics")</f>
        <v>Renesas Electronics</v>
      </c>
      <c r="C48492" s="6">
        <v>16249</v>
      </c>
      <c r="D48492" s="7">
        <v>0.64</v>
      </c>
    </row>
    <row r="48493" spans="1:4" x14ac:dyDescent="0.25">
      <c r="A48493" t="str">
        <f>HYPERLINK("https://www.773grp.com/globalSearch/RD4.3F-T7-AZ/page-1", "RD4.3F-T7-AZ")</f>
        <v>RD4.3F-T7-AZ</v>
      </c>
      <c r="B48493" s="3" t="str">
        <f>HYPERLINK("https://www.773grp.com/manufacturer/renesas-electronics-america-inc?pageNo=456", "Renesas Electronics")</f>
        <v>Renesas Electronics</v>
      </c>
      <c r="C48493" s="6">
        <v>77500</v>
      </c>
      <c r="D48493" s="7">
        <v>0.64</v>
      </c>
    </row>
    <row r="48494" spans="1:4" x14ac:dyDescent="0.25">
      <c r="A48494" t="str">
        <f>HYPERLINK("https://www.773grp.com/globalSearch/RD4.7F/page-1", "RD4.7F")</f>
        <v>RD4.7F</v>
      </c>
      <c r="B48494" s="3" t="str">
        <f>HYPERLINK("https://www.773grp.com/manufacturer/renesas-electronics-america-inc?pageNo=457", "Renesas Electronics")</f>
        <v>Renesas Electronics</v>
      </c>
      <c r="C48494" s="6">
        <v>130210</v>
      </c>
      <c r="D48494" s="7">
        <v>0.64</v>
      </c>
    </row>
    <row r="48495" spans="1:4" x14ac:dyDescent="0.25">
      <c r="A48495" t="str">
        <f>HYPERLINK("https://www.773grp.com/globalSearch/RD4.7F-T7-AZ/page-1", "RD4.7F-T7-AZ")</f>
        <v>RD4.7F-T7-AZ</v>
      </c>
      <c r="B48495" s="3" t="str">
        <f>HYPERLINK("https://www.773grp.com/manufacturer/renesas-electronics-america-inc?pageNo=458", "Renesas Electronics")</f>
        <v>Renesas Electronics</v>
      </c>
      <c r="C48495" s="6">
        <v>227500</v>
      </c>
      <c r="D48495" s="7">
        <v>0.64</v>
      </c>
    </row>
    <row r="48496" spans="1:4" x14ac:dyDescent="0.25">
      <c r="A48496" t="str">
        <f>HYPERLINK("https://www.773grp.com/globalSearch/RD5.1F/page-1", "RD5.1F")</f>
        <v>RD5.1F</v>
      </c>
      <c r="B48496" s="3" t="str">
        <f>HYPERLINK("https://www.773grp.com/manufacturer/renesas-electronics-america-inc?pageNo=459", "Renesas Electronics")</f>
        <v>Renesas Electronics</v>
      </c>
      <c r="C48496" s="6">
        <v>2500</v>
      </c>
      <c r="D48496" s="7">
        <v>0.64</v>
      </c>
    </row>
    <row r="48497" spans="1:4" x14ac:dyDescent="0.25">
      <c r="A48497" t="str">
        <f>HYPERLINK("https://www.773grp.com/globalSearch/RD5.1F-AZ/page-1", "RD5.1F-AZ")</f>
        <v>RD5.1F-AZ</v>
      </c>
      <c r="B48497" s="3" t="str">
        <f>HYPERLINK("https://www.773grp.com/manufacturer/renesas-electronics-america-inc?pageNo=460", "Renesas Electronics")</f>
        <v>Renesas Electronics</v>
      </c>
      <c r="C48497" s="6">
        <v>394340</v>
      </c>
      <c r="D48497" s="7">
        <v>0.64</v>
      </c>
    </row>
    <row r="48498" spans="1:4" x14ac:dyDescent="0.25">
      <c r="A48498" t="str">
        <f>HYPERLINK("https://www.773grp.com/globalSearch/RD5.1F-T7/page-1", "RD5.1F-T7")</f>
        <v>RD5.1F-T7</v>
      </c>
      <c r="B48498" s="3" t="str">
        <f>HYPERLINK("https://www.773grp.com/manufacturer/renesas-electronics-america-inc?pageNo=461", "Renesas Electronics")</f>
        <v>Renesas Electronics</v>
      </c>
      <c r="C48498" s="6">
        <v>20000</v>
      </c>
      <c r="D48498" s="7">
        <v>0.64</v>
      </c>
    </row>
    <row r="48499" spans="1:4" x14ac:dyDescent="0.25">
      <c r="A48499" t="str">
        <f>HYPERLINK("https://www.773grp.com/globalSearch/RD5.1F-T7-AZ/page-1", "RD5.1F-T7-AZ")</f>
        <v>RD5.1F-T7-AZ</v>
      </c>
      <c r="B48499" s="3" t="str">
        <f>HYPERLINK("https://www.773grp.com/manufacturer/renesas-electronics-america-inc?pageNo=462", "Renesas Electronics")</f>
        <v>Renesas Electronics</v>
      </c>
      <c r="C48499" s="6">
        <v>25000</v>
      </c>
      <c r="D48499" s="7">
        <v>0.64</v>
      </c>
    </row>
    <row r="48500" spans="1:4" x14ac:dyDescent="0.25">
      <c r="A48500" t="str">
        <f>HYPERLINK("https://www.773grp.com/globalSearch/RD5.1F-T8-AZ/page-1", "RD5.1F-T8-AZ")</f>
        <v>RD5.1F-T8-AZ</v>
      </c>
      <c r="B48500" s="3" t="str">
        <f>HYPERLINK("https://www.773grp.com/manufacturer/renesas-electronics-america-inc?pageNo=463", "Renesas Electronics")</f>
        <v>Renesas Electronics</v>
      </c>
      <c r="C48500" s="6">
        <v>47500</v>
      </c>
      <c r="D48500" s="7">
        <v>0.64</v>
      </c>
    </row>
    <row r="48501" spans="1:4" x14ac:dyDescent="0.25">
      <c r="A48501" t="str">
        <f>HYPERLINK("https://www.773grp.com/globalSearch/RD5.6F/page-1", "RD5.6F")</f>
        <v>RD5.6F</v>
      </c>
      <c r="B48501" s="3" t="str">
        <f>HYPERLINK("https://www.773grp.com/manufacturer/renesas-electronics-america-inc?pageNo=464", "Renesas Electronics")</f>
        <v>Renesas Electronics</v>
      </c>
      <c r="C48501" s="6">
        <v>7100</v>
      </c>
      <c r="D48501" s="7">
        <v>0.64</v>
      </c>
    </row>
    <row r="48502" spans="1:4" x14ac:dyDescent="0.25">
      <c r="A48502" t="str">
        <f>HYPERLINK("https://www.773grp.com/globalSearch/RD5.6F-T6-AZ/page-1", "RD5.6F-T6-AZ")</f>
        <v>RD5.6F-T6-AZ</v>
      </c>
      <c r="B48502" s="3" t="str">
        <f>HYPERLINK("https://www.773grp.com/manufacturer/renesas-electronics-america-inc?pageNo=465", "Renesas Electronics")</f>
        <v>Renesas Electronics</v>
      </c>
      <c r="C48502" s="6">
        <v>10000</v>
      </c>
      <c r="D48502" s="7">
        <v>0.64</v>
      </c>
    </row>
    <row r="48503" spans="1:4" x14ac:dyDescent="0.25">
      <c r="A48503" t="str">
        <f>HYPERLINK("https://www.773grp.com/globalSearch/RD5.6F-T7/page-1", "RD5.6F-T7")</f>
        <v>RD5.6F-T7</v>
      </c>
      <c r="B48503" s="3" t="str">
        <f>HYPERLINK("https://www.773grp.com/manufacturer/renesas-electronics-america-inc?pageNo=466", "Renesas Electronics")</f>
        <v>Renesas Electronics</v>
      </c>
      <c r="C48503" s="6">
        <v>25000</v>
      </c>
      <c r="D48503" s="7">
        <v>0.64</v>
      </c>
    </row>
    <row r="48504" spans="1:4" x14ac:dyDescent="0.25">
      <c r="A48504" t="str">
        <f>HYPERLINK("https://www.773grp.com/globalSearch/RD5.6F-T7-AZ/page-1", "RD5.6F-T7-AZ")</f>
        <v>RD5.6F-T7-AZ</v>
      </c>
      <c r="B48504" s="3" t="str">
        <f>HYPERLINK("https://www.773grp.com/manufacturer/renesas-electronics-america-inc?pageNo=467", "Renesas Electronics")</f>
        <v>Renesas Electronics</v>
      </c>
      <c r="C48504" s="6">
        <v>30000</v>
      </c>
      <c r="D48504" s="7">
        <v>0.64</v>
      </c>
    </row>
    <row r="48505" spans="1:4" x14ac:dyDescent="0.25">
      <c r="A48505" t="str">
        <f>HYPERLINK("https://www.773grp.com/globalSearch/RD5.6F-T8-AZ/page-1", "RD5.6F-T8-AZ")</f>
        <v>RD5.6F-T8-AZ</v>
      </c>
      <c r="B48505" s="3" t="str">
        <f>HYPERLINK("https://www.773grp.com/manufacturer/renesas-electronics-america-inc?pageNo=468", "Renesas Electronics")</f>
        <v>Renesas Electronics</v>
      </c>
      <c r="C48505" s="6">
        <v>2500</v>
      </c>
      <c r="D48505" s="7">
        <v>0.64</v>
      </c>
    </row>
    <row r="48506" spans="1:4" x14ac:dyDescent="0.25">
      <c r="A48506" t="str">
        <f>HYPERLINK("https://www.773grp.com/globalSearch/RD6.2F-T8/page-1", "RD6.2F-T8")</f>
        <v>RD6.2F-T8</v>
      </c>
      <c r="B48506" s="3" t="str">
        <f>HYPERLINK("https://www.773grp.com/manufacturer/renesas-electronics-america-inc?pageNo=469", "Renesas Electronics")</f>
        <v>Renesas Electronics</v>
      </c>
      <c r="C48506" s="6">
        <v>25000</v>
      </c>
      <c r="D48506" s="7">
        <v>0.64</v>
      </c>
    </row>
    <row r="48507" spans="1:4" x14ac:dyDescent="0.25">
      <c r="A48507" t="str">
        <f>HYPERLINK("https://www.773grp.com/globalSearch/RD6.2F-T8-AZ/page-1", "RD6.2F-T8-AZ")</f>
        <v>RD6.2F-T8-AZ</v>
      </c>
      <c r="B48507" s="3" t="str">
        <f>HYPERLINK("https://www.773grp.com/manufacturer/renesas-electronics-america-inc?pageNo=470", "Renesas Electronics")</f>
        <v>Renesas Electronics</v>
      </c>
      <c r="C48507" s="6">
        <v>4642</v>
      </c>
      <c r="D48507" s="7">
        <v>0.64</v>
      </c>
    </row>
    <row r="48508" spans="1:4" x14ac:dyDescent="0.25">
      <c r="A48508" t="str">
        <f>HYPERLINK("https://www.773grp.com/globalSearch/RD6.8F-T6/page-1", "RD6.8F-T6")</f>
        <v>RD6.8F-T6</v>
      </c>
      <c r="B48508" s="3" t="str">
        <f>HYPERLINK("https://www.773grp.com/manufacturer/renesas-electronics-america-inc?pageNo=471", "Renesas Electronics")</f>
        <v>Renesas Electronics</v>
      </c>
      <c r="C48508" s="6">
        <v>5000</v>
      </c>
      <c r="D48508" s="7">
        <v>0.64</v>
      </c>
    </row>
    <row r="48509" spans="1:4" x14ac:dyDescent="0.25">
      <c r="A48509" t="str">
        <f>HYPERLINK("https://www.773grp.com/globalSearch/RD6.8F-T6-AZ/page-1", "RD6.8F-T6-AZ")</f>
        <v>RD6.8F-T6-AZ</v>
      </c>
      <c r="B48509" s="3" t="str">
        <f>HYPERLINK("https://www.773grp.com/manufacturer/renesas-electronics-america-inc?pageNo=472", "Renesas Electronics")</f>
        <v>Renesas Electronics</v>
      </c>
      <c r="C48509" s="6">
        <v>5000</v>
      </c>
      <c r="D48509" s="7">
        <v>0.64</v>
      </c>
    </row>
    <row r="48510" spans="1:4" x14ac:dyDescent="0.25">
      <c r="A48510" t="str">
        <f>HYPERLINK("https://www.773grp.com/globalSearch/RD6.8F-T8/page-1", "RD6.8F-T8")</f>
        <v>RD6.8F-T8</v>
      </c>
      <c r="B48510" s="3" t="str">
        <f>HYPERLINK("https://www.773grp.com/manufacturer/renesas-electronics-america-inc?pageNo=473", "Renesas Electronics")</f>
        <v>Renesas Electronics</v>
      </c>
      <c r="C48510" s="6">
        <v>5000</v>
      </c>
      <c r="D48510" s="7">
        <v>0.64</v>
      </c>
    </row>
    <row r="48511" spans="1:4" x14ac:dyDescent="0.25">
      <c r="A48511" t="str">
        <f>HYPERLINK("https://www.773grp.com/globalSearch/RD6.8F-T8-AZ/page-1", "RD6.8F-T8-AZ")</f>
        <v>RD6.8F-T8-AZ</v>
      </c>
      <c r="B48511" s="3" t="str">
        <f>HYPERLINK("https://www.773grp.com/manufacturer/renesas-electronics-america-inc?pageNo=474", "Renesas Electronics")</f>
        <v>Renesas Electronics</v>
      </c>
      <c r="C48511" s="6">
        <v>2500</v>
      </c>
      <c r="D48511" s="7">
        <v>0.64</v>
      </c>
    </row>
    <row r="48512" spans="1:4" x14ac:dyDescent="0.25">
      <c r="A48512" t="str">
        <f>HYPERLINK("https://www.773grp.com/globalSearch/RD7.5F/page-1", "RD7.5F")</f>
        <v>RD7.5F</v>
      </c>
      <c r="B48512" s="3" t="str">
        <f>HYPERLINK("https://www.773grp.com/manufacturer/renesas-electronics-america-inc?pageNo=475", "Renesas Electronics")</f>
        <v>Renesas Electronics</v>
      </c>
      <c r="C48512" s="6">
        <v>9270</v>
      </c>
      <c r="D48512" s="7">
        <v>0.64</v>
      </c>
    </row>
    <row r="48513" spans="1:4" x14ac:dyDescent="0.25">
      <c r="A48513" t="str">
        <f>HYPERLINK("https://www.773grp.com/globalSearch/RD7.5F-T7/page-1", "RD7.5F-T7")</f>
        <v>RD7.5F-T7</v>
      </c>
      <c r="B48513" s="3" t="str">
        <f>HYPERLINK("https://www.773grp.com/manufacturer/renesas-electronics-america-inc?pageNo=476", "Renesas Electronics")</f>
        <v>Renesas Electronics</v>
      </c>
      <c r="C48513" s="6">
        <v>10000</v>
      </c>
      <c r="D48513" s="7">
        <v>0.64</v>
      </c>
    </row>
    <row r="48514" spans="1:4" x14ac:dyDescent="0.25">
      <c r="A48514" t="str">
        <f>HYPERLINK("https://www.773grp.com/globalSearch/RD8.2EW/page-1", "RD8.2EW")</f>
        <v>RD8.2EW</v>
      </c>
      <c r="B48514" s="3" t="str">
        <f>HYPERLINK("https://www.773grp.com/manufacturer/renesas-electronics-america-inc?pageNo=477", "Renesas Electronics")</f>
        <v>Renesas Electronics</v>
      </c>
      <c r="C48514" s="6">
        <v>2400</v>
      </c>
      <c r="D48514" s="7">
        <v>0.64</v>
      </c>
    </row>
    <row r="48515" spans="1:4" x14ac:dyDescent="0.25">
      <c r="A48515" t="str">
        <f>HYPERLINK("https://www.773grp.com/globalSearch/RD8.2F/page-1", "RD8.2F")</f>
        <v>RD8.2F</v>
      </c>
      <c r="B48515" s="3" t="str">
        <f>HYPERLINK("https://www.773grp.com/manufacturer/renesas-electronics-america-inc?pageNo=478", "Renesas Electronics")</f>
        <v>Renesas Electronics</v>
      </c>
      <c r="C48515" s="6">
        <v>92800</v>
      </c>
      <c r="D48515" s="7">
        <v>0.64</v>
      </c>
    </row>
    <row r="48516" spans="1:4" x14ac:dyDescent="0.25">
      <c r="A48516" t="str">
        <f>HYPERLINK("https://www.773grp.com/globalSearch/RD82F/page-1", "RD82F")</f>
        <v>RD82F</v>
      </c>
      <c r="B48516" s="3" t="str">
        <f>HYPERLINK("https://www.773grp.com/manufacturer/renesas-electronics-america-inc?pageNo=479", "Renesas Electronics")</f>
        <v>Renesas Electronics</v>
      </c>
      <c r="C48516" s="6">
        <v>5936</v>
      </c>
      <c r="D48516" s="7">
        <v>0.64</v>
      </c>
    </row>
    <row r="48517" spans="1:4" x14ac:dyDescent="0.25">
      <c r="A48517" t="str">
        <f>HYPERLINK("https://www.773grp.com/globalSearch/RD9.1EW/page-1", "RD9.1EW")</f>
        <v>RD9.1EW</v>
      </c>
      <c r="B48517" s="3" t="str">
        <f>HYPERLINK("https://www.773grp.com/manufacturer/renesas-electronics-america-inc?pageNo=480", "Renesas Electronics")</f>
        <v>Renesas Electronics</v>
      </c>
      <c r="C48517" s="6">
        <v>200</v>
      </c>
      <c r="D48517" s="7">
        <v>0.64</v>
      </c>
    </row>
    <row r="48518" spans="1:4" x14ac:dyDescent="0.25">
      <c r="A48518" t="str">
        <f>HYPERLINK("https://www.773grp.com/globalSearch/RD9.1EW-AZ/page-1", "RD9.1EW-AZ")</f>
        <v>RD9.1EW-AZ</v>
      </c>
      <c r="B48518" s="3" t="str">
        <f>HYPERLINK("https://www.773grp.com/manufacturer/renesas-electronics-america-inc?pageNo=481", "Renesas Electronics")</f>
        <v>Renesas Electronics</v>
      </c>
      <c r="C48518" s="6">
        <v>3500</v>
      </c>
      <c r="D48518" s="7">
        <v>0.64</v>
      </c>
    </row>
    <row r="48519" spans="1:4" x14ac:dyDescent="0.25">
      <c r="A48519" t="str">
        <f>HYPERLINK("https://www.773grp.com/globalSearch/RD9.1F-T6-AZ/page-1", "RD9.1F-T6-AZ")</f>
        <v>RD9.1F-T6-AZ</v>
      </c>
      <c r="B48519" s="3" t="str">
        <f>HYPERLINK("https://www.773grp.com/manufacturer/renesas-electronics-america-inc?pageNo=482", "Renesas Electronics")</f>
        <v>Renesas Electronics</v>
      </c>
      <c r="C48519" s="6">
        <v>15000</v>
      </c>
      <c r="D48519" s="7">
        <v>0.64</v>
      </c>
    </row>
    <row r="48520" spans="1:4" x14ac:dyDescent="0.25">
      <c r="A48520" t="str">
        <f>HYPERLINK("https://www.773grp.com/globalSearch/RD9.1F-T7-AZ/page-1", "RD9.1F-T7-AZ")</f>
        <v>RD9.1F-T7-AZ</v>
      </c>
      <c r="B48520" s="3" t="str">
        <f>HYPERLINK("https://www.773grp.com/manufacturer/renesas-electronics-america-inc?pageNo=483", "Renesas Electronics")</f>
        <v>Renesas Electronics</v>
      </c>
      <c r="C48520" s="6">
        <v>5000</v>
      </c>
      <c r="D48520" s="7">
        <v>0.64</v>
      </c>
    </row>
    <row r="48521" spans="1:4" x14ac:dyDescent="0.25">
      <c r="A48521" t="str">
        <f>HYPERLINK("https://www.773grp.com/globalSearch/RKV607KM#R1/page-1", "RKV607KM#R1")</f>
        <v>RKV607KM#R1</v>
      </c>
      <c r="B48521" s="3" t="str">
        <f>HYPERLINK("https://www.773grp.com/manufacturer/renesas-electronics-america-inc?pageNo=484", "Renesas Electronics")</f>
        <v>Renesas Electronics</v>
      </c>
      <c r="C48521" s="6">
        <v>10000</v>
      </c>
      <c r="D48521" s="7">
        <v>0.64</v>
      </c>
    </row>
    <row r="48522" spans="1:4" x14ac:dyDescent="0.25">
      <c r="A48522" t="str">
        <f>HYPERLINK("https://www.773grp.com/globalSearch/2SB562CTZ-E/page-1", "2SB562CTZ-E")</f>
        <v>2SB562CTZ-E</v>
      </c>
      <c r="B48522" s="3" t="str">
        <f>HYPERLINK("https://www.773grp.com/manufacturer/renesas-electronics-america-inc?pageNo=485", "Renesas Electronics")</f>
        <v>Renesas Electronics</v>
      </c>
      <c r="C48522" s="6">
        <v>12500</v>
      </c>
      <c r="D48522" s="7">
        <v>0.69</v>
      </c>
    </row>
    <row r="48523" spans="1:4" x14ac:dyDescent="0.25">
      <c r="A48523" t="str">
        <f>HYPERLINK("https://www.773grp.com/globalSearch/2SC2853E-E/page-1", "2SC2853E-E")</f>
        <v>2SC2853E-E</v>
      </c>
      <c r="B48523" s="3" t="str">
        <f>HYPERLINK("https://www.773grp.com/manufacturer/renesas-electronics-america-inc?pageNo=486", "Renesas Electronics")</f>
        <v>Renesas Electronics</v>
      </c>
      <c r="C48523" s="6">
        <v>38300</v>
      </c>
      <c r="D48523" s="7">
        <v>0.69</v>
      </c>
    </row>
    <row r="48524" spans="1:4" x14ac:dyDescent="0.25">
      <c r="A48524" t="str">
        <f>HYPERLINK("https://www.773grp.com/globalSearch/2SK1337TZ-E/page-1", "2SK1337TZ-E")</f>
        <v>2SK1337TZ-E</v>
      </c>
      <c r="B48524" s="3" t="str">
        <f>HYPERLINK("https://www.773grp.com/manufacturer/renesas-electronics-america-inc?pageNo=487", "Renesas Electronics")</f>
        <v>Renesas Electronics</v>
      </c>
      <c r="C48524" s="6">
        <v>30000</v>
      </c>
      <c r="D48524" s="7">
        <v>0.69</v>
      </c>
    </row>
    <row r="48525" spans="1:4" x14ac:dyDescent="0.25">
      <c r="A48525" t="str">
        <f>HYPERLINK("https://www.773grp.com/globalSearch/HSM276SRTL-E/page-1", "HSM276SRTL-E")</f>
        <v>HSM276SRTL-E</v>
      </c>
      <c r="B48525" s="3" t="str">
        <f>HYPERLINK("https://www.773grp.com/manufacturer/renesas-electronics-america-inc?pageNo=488", "Renesas Electronics")</f>
        <v>Renesas Electronics</v>
      </c>
      <c r="C48525" s="6">
        <v>21000</v>
      </c>
      <c r="D48525" s="7">
        <v>0.69</v>
      </c>
    </row>
    <row r="48526" spans="1:4" x14ac:dyDescent="0.25">
      <c r="A48526" t="str">
        <f>HYPERLINK("https://www.773grp.com/globalSearch/HZ6.2CP-J-E/page-1", "HZ6.2CP-J-E")</f>
        <v>HZ6.2CP-J-E</v>
      </c>
      <c r="B48526" s="3" t="str">
        <f>HYPERLINK("https://www.773grp.com/manufacturer/renesas-electronics-america-inc?pageNo=489", "Renesas Electronics")</f>
        <v>Renesas Electronics</v>
      </c>
      <c r="C48526" s="6">
        <v>10500</v>
      </c>
      <c r="D48526" s="7">
        <v>0.69</v>
      </c>
    </row>
    <row r="48527" spans="1:4" x14ac:dyDescent="0.25">
      <c r="A48527" t="str">
        <f>HYPERLINK("https://www.773grp.com/globalSearch/HZK3ALLTR-S-E/page-1", "HZK3ALLTR-S-E")</f>
        <v>HZK3ALLTR-S-E</v>
      </c>
      <c r="B48527" s="3" t="str">
        <f>HYPERLINK("https://www.773grp.com/manufacturer/renesas-electronics-america-inc?pageNo=490", "Renesas Electronics")</f>
        <v>Renesas Electronics</v>
      </c>
      <c r="C48527" s="6">
        <v>20000</v>
      </c>
      <c r="D48527" s="7">
        <v>0.69</v>
      </c>
    </row>
    <row r="48528" spans="1:4" x14ac:dyDescent="0.25">
      <c r="A48528" t="str">
        <f>HYPERLINK("https://www.773grp.com/globalSearch/HZM6.8Z4MFATL-E/page-1", "HZM6.8Z4MFATL-E")</f>
        <v>HZM6.8Z4MFATL-E</v>
      </c>
      <c r="B48528" s="3" t="str">
        <f>HYPERLINK("https://www.773grp.com/manufacturer/renesas-electronics-america-inc?pageNo=491", "Renesas Electronics")</f>
        <v>Renesas Electronics</v>
      </c>
      <c r="C48528" s="6">
        <v>66000</v>
      </c>
      <c r="D48528" s="7">
        <v>0.69</v>
      </c>
    </row>
    <row r="48529" spans="1:4" x14ac:dyDescent="0.25">
      <c r="A48529" t="str">
        <f>HYPERLINK("https://www.773grp.com/globalSearch/1S955/page-1", "1S955")</f>
        <v>1S955</v>
      </c>
      <c r="B48529" s="3" t="str">
        <f>HYPERLINK("https://www.773grp.com/manufacturer/renesas-electronics-america-inc?pageNo=492", "Renesas Electronics")</f>
        <v>Renesas Electronics</v>
      </c>
      <c r="C48529" s="6">
        <v>152</v>
      </c>
      <c r="D48529" s="7">
        <v>0.74</v>
      </c>
    </row>
    <row r="48530" spans="1:4" x14ac:dyDescent="0.25">
      <c r="A48530" t="str">
        <f>HYPERLINK("https://www.773grp.com/globalSearch/1S955-T2/page-1", "1S955-T2")</f>
        <v>1S955-T2</v>
      </c>
      <c r="B48530" s="3" t="str">
        <f>HYPERLINK("https://www.773grp.com/manufacturer/renesas-electronics-america-inc?pageNo=493", "Renesas Electronics")</f>
        <v>Renesas Electronics</v>
      </c>
      <c r="C48530" s="6">
        <v>29687</v>
      </c>
      <c r="D48530" s="7">
        <v>0.74</v>
      </c>
    </row>
    <row r="48531" spans="1:4" x14ac:dyDescent="0.25">
      <c r="A48531" t="str">
        <f>HYPERLINK("https://www.773grp.com/globalSearch/1S955-T2-AZ/page-1", "1S955-T2-AZ")</f>
        <v>1S955-T2-AZ</v>
      </c>
      <c r="B48531" s="3" t="str">
        <f>HYPERLINK("https://www.773grp.com/manufacturer/renesas-electronics-america-inc?pageNo=494", "Renesas Electronics")</f>
        <v>Renesas Electronics</v>
      </c>
      <c r="C48531" s="6">
        <v>8187</v>
      </c>
      <c r="D48531" s="7">
        <v>0.74</v>
      </c>
    </row>
    <row r="48532" spans="1:4" x14ac:dyDescent="0.25">
      <c r="A48532" t="str">
        <f>HYPERLINK("https://www.773grp.com/globalSearch/1S955-T4/page-1", "1S955-T4")</f>
        <v>1S955-T4</v>
      </c>
      <c r="B48532" s="3" t="str">
        <f>HYPERLINK("https://www.773grp.com/manufacturer/renesas-electronics-america-inc?pageNo=495", "Renesas Electronics")</f>
        <v>Renesas Electronics</v>
      </c>
      <c r="C48532" s="6">
        <v>9500</v>
      </c>
      <c r="D48532" s="7">
        <v>0.74</v>
      </c>
    </row>
    <row r="48533" spans="1:4" x14ac:dyDescent="0.25">
      <c r="A48533" t="str">
        <f>HYPERLINK("https://www.773grp.com/globalSearch/1S955-T4-AZ/page-1", "1S955-T4-AZ")</f>
        <v>1S955-T4-AZ</v>
      </c>
      <c r="B48533" s="3" t="str">
        <f>HYPERLINK("https://www.773grp.com/manufacturer/renesas-electronics-america-inc?pageNo=496", "Renesas Electronics")</f>
        <v>Renesas Electronics</v>
      </c>
      <c r="C48533" s="6">
        <v>115874</v>
      </c>
      <c r="D48533" s="7">
        <v>0.74</v>
      </c>
    </row>
    <row r="48534" spans="1:4" x14ac:dyDescent="0.25">
      <c r="A48534" t="str">
        <f>HYPERLINK("https://www.773grp.com/globalSearch/1S955-TB/page-1", "1S955-TB")</f>
        <v>1S955-TB</v>
      </c>
      <c r="B48534" s="3" t="str">
        <f>HYPERLINK("https://www.773grp.com/manufacturer/renesas-electronics-america-inc?pageNo=497", "Renesas Electronics")</f>
        <v>Renesas Electronics</v>
      </c>
      <c r="C48534" s="6">
        <v>5000</v>
      </c>
      <c r="D48534" s="7">
        <v>0.74</v>
      </c>
    </row>
    <row r="48535" spans="1:4" x14ac:dyDescent="0.25">
      <c r="A48535" t="str">
        <f>HYPERLINK("https://www.773grp.com/globalSearch/1SS86-E/page-1", "1SS86-E")</f>
        <v>1SS86-E</v>
      </c>
      <c r="B48535" s="3" t="str">
        <f>HYPERLINK("https://www.773grp.com/manufacturer/renesas-electronics-america-inc?pageNo=498", "Renesas Electronics")</f>
        <v>Renesas Electronics</v>
      </c>
      <c r="C48535" s="6">
        <v>87073</v>
      </c>
      <c r="D48535" s="7">
        <v>0.74</v>
      </c>
    </row>
    <row r="48536" spans="1:4" x14ac:dyDescent="0.25">
      <c r="A48536" t="str">
        <f>HYPERLINK("https://www.773grp.com/globalSearch/2SB1691WL-WS-E/page-1", "2SB1691WL-WS-E")</f>
        <v>2SB1691WL-WS-E</v>
      </c>
      <c r="B48536" s="3" t="str">
        <f>HYPERLINK("https://www.773grp.com/manufacturer/renesas-electronics-america-inc?pageNo=499", "Renesas Electronics")</f>
        <v>Renesas Electronics</v>
      </c>
      <c r="C48536" s="6">
        <v>2900</v>
      </c>
      <c r="D48536" s="7">
        <v>0.74</v>
      </c>
    </row>
    <row r="48537" spans="1:4" x14ac:dyDescent="0.25">
      <c r="A48537" t="str">
        <f>HYPERLINK("https://www.773grp.com/globalSearch/2SD789D-E/page-1", "2SD789D-E")</f>
        <v>2SD789D-E</v>
      </c>
      <c r="B48537" s="3" t="str">
        <f>HYPERLINK("https://www.773grp.com/manufacturer/renesas-electronics-america-inc?pageNo=500", "Renesas Electronics")</f>
        <v>Renesas Electronics</v>
      </c>
      <c r="C48537" s="6">
        <v>7500</v>
      </c>
      <c r="D48537" s="7">
        <v>0.74</v>
      </c>
    </row>
    <row r="48538" spans="1:4" x14ac:dyDescent="0.25">
      <c r="A48538" t="str">
        <f>HYPERLINK("https://www.773grp.com/globalSearch/HSB226S-JTL-E/page-1", "HSB226S-JTL-E")</f>
        <v>HSB226S-JTL-E</v>
      </c>
      <c r="B48538" s="3" t="str">
        <f>HYPERLINK("https://www.773grp.com/manufacturer/renesas-electronics-america-inc?pageNo=501", "Renesas Electronics")</f>
        <v>Renesas Electronics</v>
      </c>
      <c r="C48538" s="6">
        <v>27000</v>
      </c>
      <c r="D48538" s="7">
        <v>0.74</v>
      </c>
    </row>
    <row r="48539" spans="1:4" x14ac:dyDescent="0.25">
      <c r="A48539" t="str">
        <f>HYPERLINK("https://www.773grp.com/globalSearch/HSM88WATR-E/page-1", "HSM88WATR-E")</f>
        <v>HSM88WATR-E</v>
      </c>
      <c r="B48539" s="3" t="str">
        <f>HYPERLINK("https://www.773grp.com/manufacturer/renesas-electronics-america-inc?pageNo=502", "Renesas Electronics")</f>
        <v>Renesas Electronics</v>
      </c>
      <c r="C48539" s="6">
        <v>57000</v>
      </c>
      <c r="D48539" s="7">
        <v>0.74</v>
      </c>
    </row>
    <row r="48540" spans="1:4" x14ac:dyDescent="0.25">
      <c r="A48540" t="str">
        <f>HYPERLINK("https://www.773grp.com/globalSearch/HZ11HB2-E/page-1", "HZ11HB2-E")</f>
        <v>HZ11HB2-E</v>
      </c>
      <c r="B48540" s="3" t="str">
        <f>HYPERLINK("https://www.773grp.com/manufacturer/renesas-electronics-america-inc?pageNo=503", "Renesas Electronics")</f>
        <v>Renesas Electronics</v>
      </c>
      <c r="C48540" s="6">
        <v>30000</v>
      </c>
      <c r="D48540" s="7">
        <v>0.74</v>
      </c>
    </row>
    <row r="48541" spans="1:4" x14ac:dyDescent="0.25">
      <c r="A48541" t="str">
        <f>HYPERLINK("https://www.773grp.com/globalSearch/HZ12HB1/page-1", "HZ12HB1")</f>
        <v>HZ12HB1</v>
      </c>
      <c r="B48541" s="3" t="str">
        <f>HYPERLINK("https://www.773grp.com/manufacturer/renesas-electronics-america-inc?pageNo=504", "Renesas Electronics")</f>
        <v>Renesas Electronics</v>
      </c>
      <c r="C48541" s="6">
        <v>9000</v>
      </c>
      <c r="D48541" s="7">
        <v>0.74</v>
      </c>
    </row>
    <row r="48542" spans="1:4" x14ac:dyDescent="0.25">
      <c r="A48542" t="str">
        <f>HYPERLINK("https://www.773grp.com/globalSearch/HZ20H1-E/page-1", "HZ20H1-E")</f>
        <v>HZ20H1-E</v>
      </c>
      <c r="B48542" s="3" t="str">
        <f>HYPERLINK("https://www.773grp.com/manufacturer/renesas-electronics-america-inc?pageNo=505", "Renesas Electronics")</f>
        <v>Renesas Electronics</v>
      </c>
      <c r="C48542" s="6">
        <v>9500</v>
      </c>
      <c r="D48542" s="7">
        <v>0.74</v>
      </c>
    </row>
    <row r="48543" spans="1:4" x14ac:dyDescent="0.25">
      <c r="A48543" t="str">
        <f>HYPERLINK("https://www.773grp.com/globalSearch/HZ3HA1-E/page-1", "HZ3HA1-E")</f>
        <v>HZ3HA1-E</v>
      </c>
      <c r="B48543" s="3" t="str">
        <f>HYPERLINK("https://www.773grp.com/manufacturer/renesas-electronics-america-inc?pageNo=506", "Renesas Electronics")</f>
        <v>Renesas Electronics</v>
      </c>
      <c r="C48543" s="6">
        <v>7500</v>
      </c>
      <c r="D48543" s="7">
        <v>0.74</v>
      </c>
    </row>
    <row r="48544" spans="1:4" x14ac:dyDescent="0.25">
      <c r="A48544" t="str">
        <f>HYPERLINK("https://www.773grp.com/globalSearch/HZ3HB2-E/page-1", "HZ3HB2-E")</f>
        <v>HZ3HB2-E</v>
      </c>
      <c r="B48544" s="3" t="str">
        <f>HYPERLINK("https://www.773grp.com/manufacturer/renesas-electronics-america-inc?pageNo=507", "Renesas Electronics")</f>
        <v>Renesas Electronics</v>
      </c>
      <c r="C48544" s="6">
        <v>500</v>
      </c>
      <c r="D48544" s="7">
        <v>0.74</v>
      </c>
    </row>
    <row r="48545" spans="1:4" x14ac:dyDescent="0.25">
      <c r="A48545" t="str">
        <f>HYPERLINK("https://www.773grp.com/globalSearch/HZ9HB2TA/page-1", "HZ9HB2TA")</f>
        <v>HZ9HB2TA</v>
      </c>
      <c r="B48545" s="3" t="str">
        <f>HYPERLINK("https://www.773grp.com/manufacturer/renesas-electronics-america-inc?pageNo=508", "Renesas Electronics")</f>
        <v>Renesas Electronics</v>
      </c>
      <c r="C48545" s="6">
        <v>10000</v>
      </c>
      <c r="D48545" s="7">
        <v>0.74</v>
      </c>
    </row>
    <row r="48546" spans="1:4" x14ac:dyDescent="0.25">
      <c r="A48546" t="str">
        <f>HYPERLINK("https://www.773grp.com/globalSearch/M51944AML#DF0J/page-1", "M51944AML#DF0J")</f>
        <v>M51944AML#DF0J</v>
      </c>
      <c r="B48546" s="3" t="str">
        <f>HYPERLINK("https://www.773grp.com/manufacturer/renesas-electronics-america-inc?pageNo=509", "Renesas Electronics")</f>
        <v>Renesas Electronics</v>
      </c>
      <c r="C48546" s="6">
        <v>49000</v>
      </c>
      <c r="D48546" s="7">
        <v>0.74</v>
      </c>
    </row>
    <row r="48547" spans="1:4" x14ac:dyDescent="0.25">
      <c r="A48547" t="str">
        <f>HYPERLINK("https://www.773grp.com/globalSearch/M51951AML#CF2/page-1", "M51951AML#CF2")</f>
        <v>M51951AML#CF2</v>
      </c>
      <c r="B48547" s="3" t="str">
        <f>HYPERLINK("https://www.773grp.com/manufacturer/renesas-electronics-america-inc?pageNo=510", "Renesas Electronics")</f>
        <v>Renesas Electronics</v>
      </c>
      <c r="C48547" s="6">
        <v>2000</v>
      </c>
      <c r="D48547" s="7">
        <v>0.74</v>
      </c>
    </row>
    <row r="48548" spans="1:4" x14ac:dyDescent="0.25">
      <c r="A48548" t="str">
        <f>HYPERLINK("https://www.773grp.com/globalSearch/M51951ASL#AG2/page-1", "M51951ASL#AG2")</f>
        <v>M51951ASL#AG2</v>
      </c>
      <c r="B48548" s="3" t="str">
        <f>HYPERLINK("https://www.773grp.com/manufacturer/renesas-electronics-america-inc?pageNo=511", "Renesas Electronics")</f>
        <v>Renesas Electronics</v>
      </c>
      <c r="C48548" s="6">
        <v>2000</v>
      </c>
      <c r="D48548" s="7">
        <v>0.74</v>
      </c>
    </row>
    <row r="48549" spans="1:4" x14ac:dyDescent="0.25">
      <c r="A48549" t="str">
        <f>HYPERLINK("https://www.773grp.com/globalSearch/RD43F/page-1", "RD43F")</f>
        <v>RD43F</v>
      </c>
      <c r="B48549" s="3" t="str">
        <f>HYPERLINK("https://www.773grp.com/manufacturer/renesas-electronics-america-inc?pageNo=512", "Renesas Electronics")</f>
        <v>Renesas Electronics</v>
      </c>
      <c r="C48549" s="6">
        <v>4000</v>
      </c>
      <c r="D48549" s="7">
        <v>0.74</v>
      </c>
    </row>
    <row r="48550" spans="1:4" x14ac:dyDescent="0.25">
      <c r="A48550" t="str">
        <f>HYPERLINK("https://www.773grp.com/globalSearch/RD43F-AZ/page-1", "RD43F-AZ")</f>
        <v>RD43F-AZ</v>
      </c>
      <c r="B48550" s="3" t="str">
        <f>HYPERLINK("https://www.773grp.com/manufacturer/renesas-electronics-america-inc?pageNo=513", "Renesas Electronics")</f>
        <v>Renesas Electronics</v>
      </c>
      <c r="C48550" s="6">
        <v>650</v>
      </c>
      <c r="D48550" s="7">
        <v>0.74</v>
      </c>
    </row>
    <row r="48551" spans="1:4" x14ac:dyDescent="0.25">
      <c r="A48551" t="str">
        <f>HYPERLINK("https://www.773grp.com/globalSearch/RD43F-T7-AZ/page-1", "RD43F-T7-AZ")</f>
        <v>RD43F-T7-AZ</v>
      </c>
      <c r="B48551" s="3" t="str">
        <f>HYPERLINK("https://www.773grp.com/manufacturer/renesas-electronics-america-inc?pageNo=514", "Renesas Electronics")</f>
        <v>Renesas Electronics</v>
      </c>
      <c r="C48551" s="6">
        <v>2500</v>
      </c>
      <c r="D48551" s="7">
        <v>0.74</v>
      </c>
    </row>
    <row r="48552" spans="1:4" x14ac:dyDescent="0.25">
      <c r="A48552" t="str">
        <f>HYPERLINK("https://www.773grp.com/globalSearch/RD43F-T8-AZ/page-1", "RD43F-T8-AZ")</f>
        <v>RD43F-T8-AZ</v>
      </c>
      <c r="B48552" s="3" t="str">
        <f>HYPERLINK("https://www.773grp.com/manufacturer/renesas-electronics-america-inc?pageNo=515", "Renesas Electronics")</f>
        <v>Renesas Electronics</v>
      </c>
      <c r="C48552" s="6">
        <v>5000</v>
      </c>
      <c r="D48552" s="7">
        <v>0.74</v>
      </c>
    </row>
    <row r="48553" spans="1:4" x14ac:dyDescent="0.25">
      <c r="A48553" t="str">
        <f>HYPERLINK("https://www.773grp.com/globalSearch/RD47F/page-1", "RD47F")</f>
        <v>RD47F</v>
      </c>
      <c r="B48553" s="3" t="str">
        <f>HYPERLINK("https://www.773grp.com/manufacturer/renesas-electronics-america-inc?pageNo=516", "Renesas Electronics")</f>
        <v>Renesas Electronics</v>
      </c>
      <c r="C48553" s="6">
        <v>20200</v>
      </c>
      <c r="D48553" s="7">
        <v>0.74</v>
      </c>
    </row>
    <row r="48554" spans="1:4" x14ac:dyDescent="0.25">
      <c r="A48554" t="str">
        <f>HYPERLINK("https://www.773grp.com/globalSearch/RD47F-T7/page-1", "RD47F-T7")</f>
        <v>RD47F-T7</v>
      </c>
      <c r="B48554" s="3" t="str">
        <f>HYPERLINK("https://www.773grp.com/manufacturer/renesas-electronics-america-inc?pageNo=517", "Renesas Electronics")</f>
        <v>Renesas Electronics</v>
      </c>
      <c r="C48554" s="6">
        <v>5000</v>
      </c>
      <c r="D48554" s="7">
        <v>0.74</v>
      </c>
    </row>
    <row r="48555" spans="1:4" x14ac:dyDescent="0.25">
      <c r="A48555" t="str">
        <f>HYPERLINK("https://www.773grp.com/globalSearch/RD47F-T7-AZ/page-1", "RD47F-T7-AZ")</f>
        <v>RD47F-T7-AZ</v>
      </c>
      <c r="B48555" s="3" t="str">
        <f>HYPERLINK("https://www.773grp.com/manufacturer/renesas-electronics-america-inc?pageNo=518", "Renesas Electronics")</f>
        <v>Renesas Electronics</v>
      </c>
      <c r="C48555" s="6">
        <v>2500</v>
      </c>
      <c r="D48555" s="7">
        <v>0.74</v>
      </c>
    </row>
    <row r="48556" spans="1:4" x14ac:dyDescent="0.25">
      <c r="A48556" t="str">
        <f>HYPERLINK("https://www.773grp.com/globalSearch/RD51F/page-1", "RD51F")</f>
        <v>RD51F</v>
      </c>
      <c r="B48556" s="3" t="str">
        <f>HYPERLINK("https://www.773grp.com/manufacturer/renesas-electronics-america-inc?pageNo=519", "Renesas Electronics")</f>
        <v>Renesas Electronics</v>
      </c>
      <c r="C48556" s="6">
        <v>8300</v>
      </c>
      <c r="D48556" s="7">
        <v>0.74</v>
      </c>
    </row>
    <row r="48557" spans="1:4" x14ac:dyDescent="0.25">
      <c r="A48557" t="str">
        <f>HYPERLINK("https://www.773grp.com/globalSearch/RD51F-AZ/page-1", "RD51F-AZ")</f>
        <v>RD51F-AZ</v>
      </c>
      <c r="B48557" s="3" t="str">
        <f>HYPERLINK("https://www.773grp.com/manufacturer/renesas-electronics-america-inc?pageNo=520", "Renesas Electronics")</f>
        <v>Renesas Electronics</v>
      </c>
      <c r="C48557" s="6">
        <v>3800</v>
      </c>
      <c r="D48557" s="7">
        <v>0.74</v>
      </c>
    </row>
    <row r="48558" spans="1:4" x14ac:dyDescent="0.25">
      <c r="A48558" t="str">
        <f>HYPERLINK("https://www.773grp.com/globalSearch/RD56F/page-1", "RD56F")</f>
        <v>RD56F</v>
      </c>
      <c r="B48558" s="3" t="str">
        <f>HYPERLINK("https://www.773grp.com/manufacturer/renesas-electronics-america-inc?pageNo=521", "Renesas Electronics")</f>
        <v>Renesas Electronics</v>
      </c>
      <c r="C48558" s="6">
        <v>1320</v>
      </c>
      <c r="D48558" s="7">
        <v>0.74</v>
      </c>
    </row>
    <row r="48559" spans="1:4" x14ac:dyDescent="0.25">
      <c r="A48559" t="str">
        <f>HYPERLINK("https://www.773grp.com/globalSearch/RD56F-T7-AZ/page-1", "RD56F-T7-AZ")</f>
        <v>RD56F-T7-AZ</v>
      </c>
      <c r="B48559" s="3" t="str">
        <f>HYPERLINK("https://www.773grp.com/manufacturer/renesas-electronics-america-inc?pageNo=522", "Renesas Electronics")</f>
        <v>Renesas Electronics</v>
      </c>
      <c r="C48559" s="6">
        <v>2500</v>
      </c>
      <c r="D48559" s="7">
        <v>0.74</v>
      </c>
    </row>
    <row r="48560" spans="1:4" x14ac:dyDescent="0.25">
      <c r="A48560" t="str">
        <f>HYPERLINK("https://www.773grp.com/globalSearch/RD62F-T7/page-1", "RD62F-T7")</f>
        <v>RD62F-T7</v>
      </c>
      <c r="B48560" s="3" t="str">
        <f>HYPERLINK("https://www.773grp.com/manufacturer/renesas-electronics-america-inc?pageNo=523", "Renesas Electronics")</f>
        <v>Renesas Electronics</v>
      </c>
      <c r="C48560" s="6">
        <v>5000</v>
      </c>
      <c r="D48560" s="7">
        <v>0.74</v>
      </c>
    </row>
    <row r="48561" spans="1:4" x14ac:dyDescent="0.25">
      <c r="A48561" t="str">
        <f>HYPERLINK("https://www.773grp.com/globalSearch/RD62F-T7-AZ/page-1", "RD62F-T7-AZ")</f>
        <v>RD62F-T7-AZ</v>
      </c>
      <c r="B48561" s="3" t="str">
        <f>HYPERLINK("https://www.773grp.com/manufacturer/renesas-electronics-america-inc?pageNo=524", "Renesas Electronics")</f>
        <v>Renesas Electronics</v>
      </c>
      <c r="C48561" s="6">
        <v>97000</v>
      </c>
      <c r="D48561" s="7">
        <v>0.74</v>
      </c>
    </row>
    <row r="48562" spans="1:4" x14ac:dyDescent="0.25">
      <c r="A48562" t="str">
        <f>HYPERLINK("https://www.773grp.com/globalSearch/RD62F-T8/page-1", "RD62F-T8")</f>
        <v>RD62F-T8</v>
      </c>
      <c r="B48562" s="3" t="str">
        <f>HYPERLINK("https://www.773grp.com/manufacturer/renesas-electronics-america-inc?pageNo=525", "Renesas Electronics")</f>
        <v>Renesas Electronics</v>
      </c>
      <c r="C48562" s="6">
        <v>15000</v>
      </c>
      <c r="D48562" s="7">
        <v>0.74</v>
      </c>
    </row>
    <row r="48563" spans="1:4" x14ac:dyDescent="0.25">
      <c r="A48563" t="str">
        <f>HYPERLINK("https://www.773grp.com/globalSearch/RD68F/page-1", "RD68F")</f>
        <v>RD68F</v>
      </c>
      <c r="B48563" s="3" t="str">
        <f>HYPERLINK("https://www.773grp.com/manufacturer/renesas-electronics-america-inc?pageNo=526", "Renesas Electronics")</f>
        <v>Renesas Electronics</v>
      </c>
      <c r="C48563" s="6">
        <v>300</v>
      </c>
      <c r="D48563" s="7">
        <v>0.74</v>
      </c>
    </row>
    <row r="48564" spans="1:4" x14ac:dyDescent="0.25">
      <c r="A48564" t="str">
        <f>HYPERLINK("https://www.773grp.com/globalSearch/RD68F-T7-AZ/page-1", "RD68F-T7-AZ")</f>
        <v>RD68F-T7-AZ</v>
      </c>
      <c r="B48564" s="3" t="str">
        <f>HYPERLINK("https://www.773grp.com/manufacturer/renesas-electronics-america-inc?pageNo=527", "Renesas Electronics")</f>
        <v>Renesas Electronics</v>
      </c>
      <c r="C48564" s="6">
        <v>2100</v>
      </c>
      <c r="D48564" s="7">
        <v>0.74</v>
      </c>
    </row>
    <row r="48565" spans="1:4" x14ac:dyDescent="0.25">
      <c r="A48565" t="str">
        <f>HYPERLINK("https://www.773grp.com/globalSearch/RD68F-T8-AZ/page-1", "RD68F-T8-AZ")</f>
        <v>RD68F-T8-AZ</v>
      </c>
      <c r="B48565" s="3" t="str">
        <f>HYPERLINK("https://www.773grp.com/manufacturer/renesas-electronics-america-inc?pageNo=528", "Renesas Electronics")</f>
        <v>Renesas Electronics</v>
      </c>
      <c r="C48565" s="6">
        <v>5000</v>
      </c>
      <c r="D48565" s="7">
        <v>0.74</v>
      </c>
    </row>
    <row r="48566" spans="1:4" x14ac:dyDescent="0.25">
      <c r="A48566" t="str">
        <f>HYPERLINK("https://www.773grp.com/globalSearch/RD75F/page-1", "RD75F")</f>
        <v>RD75F</v>
      </c>
      <c r="B48566" s="3" t="str">
        <f>HYPERLINK("https://www.773grp.com/manufacturer/renesas-electronics-america-inc?pageNo=529", "Renesas Electronics")</f>
        <v>Renesas Electronics</v>
      </c>
      <c r="C48566" s="6">
        <v>50</v>
      </c>
      <c r="D48566" s="7">
        <v>0.74</v>
      </c>
    </row>
    <row r="48567" spans="1:4" x14ac:dyDescent="0.25">
      <c r="A48567" t="str">
        <f>HYPERLINK("https://www.773grp.com/globalSearch/RD75F-AZ/page-1", "RD75F-AZ")</f>
        <v>RD75F-AZ</v>
      </c>
      <c r="B48567" s="3" t="str">
        <f>HYPERLINK("https://www.773grp.com/manufacturer/renesas-electronics-america-inc?pageNo=530", "Renesas Electronics")</f>
        <v>Renesas Electronics</v>
      </c>
      <c r="C48567" s="6">
        <v>4890</v>
      </c>
      <c r="D48567" s="7">
        <v>0.74</v>
      </c>
    </row>
    <row r="48568" spans="1:4" x14ac:dyDescent="0.25">
      <c r="A48568" t="str">
        <f>HYPERLINK("https://www.773grp.com/globalSearch/RD75F-T7/page-1", "RD75F-T7")</f>
        <v>RD75F-T7</v>
      </c>
      <c r="B48568" s="3" t="str">
        <f>HYPERLINK("https://www.773grp.com/manufacturer/renesas-electronics-america-inc?pageNo=531", "Renesas Electronics")</f>
        <v>Renesas Electronics</v>
      </c>
      <c r="C48568" s="6">
        <v>5000</v>
      </c>
      <c r="D48568" s="7">
        <v>0.74</v>
      </c>
    </row>
    <row r="48569" spans="1:4" x14ac:dyDescent="0.25">
      <c r="A48569" t="str">
        <f>HYPERLINK("https://www.773grp.com/globalSearch/RKS101KG-1#P6/page-1", "RKS101KG-1#P6")</f>
        <v>RKS101KG-1#P6</v>
      </c>
      <c r="B48569" s="3" t="str">
        <f>HYPERLINK("https://www.773grp.com/manufacturer/renesas-electronics-america-inc?pageNo=532", "Renesas Electronics")</f>
        <v>Renesas Electronics</v>
      </c>
      <c r="C48569" s="6">
        <v>66000</v>
      </c>
      <c r="D48569" s="7">
        <v>0.74</v>
      </c>
    </row>
    <row r="48570" spans="1:4" x14ac:dyDescent="0.25">
      <c r="A48570" t="str">
        <f>HYPERLINK("https://www.773grp.com/globalSearch/RQK0204TGDQA#H1/page-1", "RQK0204TGDQA#H1")</f>
        <v>RQK0204TGDQA#H1</v>
      </c>
      <c r="B48570" s="3" t="str">
        <f>HYPERLINK("https://www.773grp.com/manufacturer/renesas-electronics-america-inc?pageNo=533", "Renesas Electronics")</f>
        <v>Renesas Electronics</v>
      </c>
      <c r="C48570" s="6">
        <v>3000</v>
      </c>
      <c r="D48570" s="7">
        <v>0.74</v>
      </c>
    </row>
    <row r="48571" spans="1:4" x14ac:dyDescent="0.25">
      <c r="A48571" t="str">
        <f>HYPERLINK("https://www.773grp.com/globalSearch/1N4735AT9-E/page-1", "1N4735AT9-E")</f>
        <v>1N4735AT9-E</v>
      </c>
      <c r="B48571" s="3" t="str">
        <f>HYPERLINK("https://www.773grp.com/manufacturer/renesas-electronics-america-inc?pageNo=534", "Renesas Electronics")</f>
        <v>Renesas Electronics</v>
      </c>
      <c r="C48571" s="6">
        <v>10000</v>
      </c>
      <c r="D48571" s="7">
        <v>0.79</v>
      </c>
    </row>
    <row r="48572" spans="1:4" x14ac:dyDescent="0.25">
      <c r="A48572" t="str">
        <f>HYPERLINK("https://www.773grp.com/globalSearch/2SB637KC93TZ/page-1", "2SB637KC93TZ")</f>
        <v>2SB637KC93TZ</v>
      </c>
      <c r="B48572" s="3" t="str">
        <f>HYPERLINK("https://www.773grp.com/manufacturer/renesas-electronics-america-inc?pageNo=535", "Renesas Electronics")</f>
        <v>Renesas Electronics</v>
      </c>
      <c r="C48572" s="6">
        <v>27500</v>
      </c>
      <c r="D48572" s="7">
        <v>0.79</v>
      </c>
    </row>
    <row r="48573" spans="1:4" x14ac:dyDescent="0.25">
      <c r="A48573" t="str">
        <f>HYPERLINK("https://www.773grp.com/globalSearch/2SB647CTZ-E/page-1", "2SB647CTZ-E")</f>
        <v>2SB647CTZ-E</v>
      </c>
      <c r="B48573" s="3" t="str">
        <f>HYPERLINK("https://www.773grp.com/manufacturer/renesas-electronics-america-inc?pageNo=536", "Renesas Electronics")</f>
        <v>Renesas Electronics</v>
      </c>
      <c r="C48573" s="6">
        <v>14740</v>
      </c>
      <c r="D48573" s="7">
        <v>0.79</v>
      </c>
    </row>
    <row r="48574" spans="1:4" x14ac:dyDescent="0.25">
      <c r="A48574" t="str">
        <f>HYPERLINK("https://www.773grp.com/globalSearch/2SD667AC/page-1", "2SD667AC")</f>
        <v>2SD667AC</v>
      </c>
      <c r="B48574" s="3" t="str">
        <f>HYPERLINK("https://www.773grp.com/manufacturer/renesas-electronics-america-inc?pageNo=537", "Renesas Electronics")</f>
        <v>Renesas Electronics</v>
      </c>
      <c r="C48574" s="6">
        <v>3420</v>
      </c>
      <c r="D48574" s="7">
        <v>0.79</v>
      </c>
    </row>
    <row r="48575" spans="1:4" x14ac:dyDescent="0.25">
      <c r="A48575" t="str">
        <f>HYPERLINK("https://www.773grp.com/globalSearch/2SD667ACTZ-E/page-1", "2SD667ACTZ-E")</f>
        <v>2SD667ACTZ-E</v>
      </c>
      <c r="B48575" s="3" t="str">
        <f>HYPERLINK("https://www.773grp.com/manufacturer/renesas-electronics-america-inc?pageNo=538", "Renesas Electronics")</f>
        <v>Renesas Electronics</v>
      </c>
      <c r="C48575" s="6">
        <v>12500</v>
      </c>
      <c r="D48575" s="7">
        <v>0.79</v>
      </c>
    </row>
    <row r="48576" spans="1:4" x14ac:dyDescent="0.25">
      <c r="A48576" t="str">
        <f>HYPERLINK("https://www.773grp.com/globalSearch/3SK295ZQ-TL-E/page-1", "3SK295ZQ-TL-E")</f>
        <v>3SK295ZQ-TL-E</v>
      </c>
      <c r="B48576" s="3" t="str">
        <f>HYPERLINK("https://www.773grp.com/manufacturer/renesas-electronics-america-inc?pageNo=539", "Renesas Electronics")</f>
        <v>Renesas Electronics</v>
      </c>
      <c r="C48576" s="6">
        <v>36000</v>
      </c>
      <c r="D48576" s="7">
        <v>0.79</v>
      </c>
    </row>
    <row r="48577" spans="1:4" x14ac:dyDescent="0.25">
      <c r="A48577" t="str">
        <f>HYPERLINK("https://www.773grp.com/globalSearch/74HC05FP-E/page-1", "74HC05FP-E")</f>
        <v>74HC05FP-E</v>
      </c>
      <c r="B48577" s="3" t="str">
        <f>HYPERLINK("https://www.773grp.com/manufacturer/renesas-electronics-america-inc?pageNo=540", "Renesas Electronics")</f>
        <v>Renesas Electronics</v>
      </c>
      <c r="C48577" s="6">
        <v>2000</v>
      </c>
      <c r="D48577" s="7">
        <v>0.79</v>
      </c>
    </row>
    <row r="48578" spans="1:4" x14ac:dyDescent="0.25">
      <c r="A48578" t="str">
        <f>HYPERLINK("https://www.773grp.com/globalSearch/74HC20FP-E/page-1", "74HC20FP-E")</f>
        <v>74HC20FP-E</v>
      </c>
      <c r="B48578" s="3" t="str">
        <f>HYPERLINK("https://www.773grp.com/manufacturer/renesas-electronics-america-inc?pageNo=541", "Renesas Electronics")</f>
        <v>Renesas Electronics</v>
      </c>
      <c r="C48578" s="6">
        <v>9000</v>
      </c>
      <c r="D48578" s="7">
        <v>0.79</v>
      </c>
    </row>
    <row r="48579" spans="1:4" x14ac:dyDescent="0.25">
      <c r="A48579" t="str">
        <f>HYPERLINK("https://www.773grp.com/globalSearch/74HC20FPEL-E/page-1", "74HC20FPEL-E")</f>
        <v>74HC20FPEL-E</v>
      </c>
      <c r="B48579" s="3" t="str">
        <f>HYPERLINK("https://www.773grp.com/manufacturer/renesas-electronics-america-inc?pageNo=542", "Renesas Electronics")</f>
        <v>Renesas Electronics</v>
      </c>
      <c r="C48579" s="6">
        <v>6000</v>
      </c>
      <c r="D48579" s="7">
        <v>0.79</v>
      </c>
    </row>
    <row r="48580" spans="1:4" x14ac:dyDescent="0.25">
      <c r="A48580" t="str">
        <f>HYPERLINK("https://www.773grp.com/globalSearch/74HC20P-E/page-1", "74HC20P-E")</f>
        <v>74HC20P-E</v>
      </c>
      <c r="B48580" s="3" t="str">
        <f>HYPERLINK("https://www.773grp.com/manufacturer/renesas-electronics-america-inc?pageNo=543", "Renesas Electronics")</f>
        <v>Renesas Electronics</v>
      </c>
      <c r="C48580" s="6">
        <v>255</v>
      </c>
      <c r="D48580" s="7">
        <v>0.79</v>
      </c>
    </row>
    <row r="48581" spans="1:4" x14ac:dyDescent="0.25">
      <c r="A48581" t="str">
        <f>HYPERLINK("https://www.773grp.com/globalSearch/74HC30P-E/page-1", "74HC30P-E")</f>
        <v>74HC30P-E</v>
      </c>
      <c r="B48581" s="3" t="str">
        <f>HYPERLINK("https://www.773grp.com/manufacturer/renesas-electronics-america-inc?pageNo=544", "Renesas Electronics")</f>
        <v>Renesas Electronics</v>
      </c>
      <c r="C48581" s="6">
        <v>1000</v>
      </c>
      <c r="D48581" s="7">
        <v>0.79</v>
      </c>
    </row>
    <row r="48582" spans="1:4" x14ac:dyDescent="0.25">
      <c r="A48582" t="str">
        <f>HYPERLINK("https://www.773grp.com/globalSearch/HZ27-2JTD/page-1", "HZ27-2JTD")</f>
        <v>HZ27-2JTD</v>
      </c>
      <c r="B48582" s="3" t="str">
        <f>HYPERLINK("https://www.773grp.com/manufacturer/renesas-electronics-america-inc?pageNo=545", "Renesas Electronics")</f>
        <v>Renesas Electronics</v>
      </c>
      <c r="C48582" s="6">
        <v>10000</v>
      </c>
      <c r="D48582" s="7">
        <v>0.79</v>
      </c>
    </row>
    <row r="48583" spans="1:4" x14ac:dyDescent="0.25">
      <c r="A48583" t="str">
        <f>HYPERLINK("https://www.773grp.com/globalSearch/HZ30BPTN-E/page-1", "HZ30BPTN-E")</f>
        <v>HZ30BPTN-E</v>
      </c>
      <c r="B48583" s="3" t="str">
        <f>HYPERLINK("https://www.773grp.com/manufacturer/renesas-electronics-america-inc?pageNo=546", "Renesas Electronics")</f>
        <v>Renesas Electronics</v>
      </c>
      <c r="C48583" s="6">
        <v>1067222</v>
      </c>
      <c r="D48583" s="7">
        <v>0.79</v>
      </c>
    </row>
    <row r="48584" spans="1:4" x14ac:dyDescent="0.25">
      <c r="A48584" t="str">
        <f>HYPERLINK("https://www.773grp.com/globalSearch/HZ30CPTK-E/page-1", "HZ30CPTK-E")</f>
        <v>HZ30CPTK-E</v>
      </c>
      <c r="B48584" s="3" t="str">
        <f>HYPERLINK("https://www.773grp.com/manufacturer/renesas-electronics-america-inc?pageNo=547", "Renesas Electronics")</f>
        <v>Renesas Electronics</v>
      </c>
      <c r="C48584" s="6">
        <v>10000</v>
      </c>
      <c r="D48584" s="7">
        <v>0.79</v>
      </c>
    </row>
    <row r="48585" spans="1:4" x14ac:dyDescent="0.25">
      <c r="A48585" t="str">
        <f>HYPERLINK("https://www.773grp.com/globalSearch/HZ33-3-90TA/page-1", "HZ33-3-90TA")</f>
        <v>HZ33-3-90TA</v>
      </c>
      <c r="B48585" s="3" t="str">
        <f>HYPERLINK("https://www.773grp.com/manufacturer/renesas-electronics-america-inc?pageNo=548", "Renesas Electronics")</f>
        <v>Renesas Electronics</v>
      </c>
      <c r="C48585" s="6">
        <v>110000</v>
      </c>
      <c r="D48585" s="7">
        <v>0.79</v>
      </c>
    </row>
    <row r="48586" spans="1:4" x14ac:dyDescent="0.25">
      <c r="A48586" t="str">
        <f>HYPERLINK("https://www.773grp.com/globalSearch/HZ36CPTK-E/page-1", "HZ36CPTK-E")</f>
        <v>HZ36CPTK-E</v>
      </c>
      <c r="B48586" s="3" t="str">
        <f>HYPERLINK("https://www.773grp.com/manufacturer/renesas-electronics-america-inc?pageNo=549", "Renesas Electronics")</f>
        <v>Renesas Electronics</v>
      </c>
      <c r="C48586" s="6">
        <v>95000</v>
      </c>
      <c r="D48586" s="7">
        <v>0.79</v>
      </c>
    </row>
    <row r="48587" spans="1:4" x14ac:dyDescent="0.25">
      <c r="A48587" t="str">
        <f>HYPERLINK("https://www.773grp.com/globalSearch/HZ4.3CP-E/page-1", "HZ4.3CP-E")</f>
        <v>HZ4.3CP-E</v>
      </c>
      <c r="B48587" s="3" t="str">
        <f>HYPERLINK("https://www.773grp.com/manufacturer/renesas-electronics-america-inc?pageNo=550", "Renesas Electronics")</f>
        <v>Renesas Electronics</v>
      </c>
      <c r="C48587" s="6">
        <v>7500</v>
      </c>
      <c r="D48587" s="7">
        <v>0.79</v>
      </c>
    </row>
    <row r="48588" spans="1:4" x14ac:dyDescent="0.25">
      <c r="A48588" t="str">
        <f>HYPERLINK("https://www.773grp.com/globalSearch/HZ6.8CP-E/page-1", "HZ6.8CP-E")</f>
        <v>HZ6.8CP-E</v>
      </c>
      <c r="B48588" s="3" t="str">
        <f>HYPERLINK("https://www.773grp.com/manufacturer/renesas-electronics-america-inc?pageNo=551", "Renesas Electronics")</f>
        <v>Renesas Electronics</v>
      </c>
      <c r="C48588" s="6">
        <v>7300</v>
      </c>
      <c r="D48588" s="7">
        <v>0.79</v>
      </c>
    </row>
    <row r="48589" spans="1:4" x14ac:dyDescent="0.25">
      <c r="A48589" t="str">
        <f>HYPERLINK("https://www.773grp.com/globalSearch/HZ6.8CPTK-E/page-1", "HZ6.8CPTK-E")</f>
        <v>HZ6.8CPTK-E</v>
      </c>
      <c r="B48589" s="3" t="str">
        <f>HYPERLINK("https://www.773grp.com/manufacturer/renesas-electronics-america-inc?pageNo=552", "Renesas Electronics")</f>
        <v>Renesas Electronics</v>
      </c>
      <c r="C48589" s="6">
        <v>5000</v>
      </c>
      <c r="D48589" s="7">
        <v>0.79</v>
      </c>
    </row>
    <row r="48590" spans="1:4" x14ac:dyDescent="0.25">
      <c r="A48590" t="str">
        <f>HYPERLINK("https://www.773grp.com/globalSearch/HZ7.5CP-E/page-1", "HZ7.5CP-E")</f>
        <v>HZ7.5CP-E</v>
      </c>
      <c r="B48590" s="3" t="str">
        <f>HYPERLINK("https://www.773grp.com/manufacturer/renesas-electronics-america-inc?pageNo=553", "Renesas Electronics")</f>
        <v>Renesas Electronics</v>
      </c>
      <c r="C48590" s="6">
        <v>7800</v>
      </c>
      <c r="D48590" s="7">
        <v>0.79</v>
      </c>
    </row>
    <row r="48591" spans="1:4" x14ac:dyDescent="0.25">
      <c r="A48591" t="str">
        <f>HYPERLINK("https://www.773grp.com/globalSearch/HZ8.2BPTK-E/page-1", "HZ8.2BPTK-E")</f>
        <v>HZ8.2BPTK-E</v>
      </c>
      <c r="B48591" s="3" t="str">
        <f>HYPERLINK("https://www.773grp.com/manufacturer/renesas-electronics-america-inc?pageNo=554", "Renesas Electronics")</f>
        <v>Renesas Electronics</v>
      </c>
      <c r="C48591" s="6">
        <v>27500</v>
      </c>
      <c r="D48591" s="7">
        <v>0.79</v>
      </c>
    </row>
    <row r="48592" spans="1:4" x14ac:dyDescent="0.25">
      <c r="A48592" t="str">
        <f>HYPERLINK("https://www.773grp.com/globalSearch/HZU3CLL-JTRF-E/page-1", "HZU3CLL-JTRF-E")</f>
        <v>HZU3CLL-JTRF-E</v>
      </c>
      <c r="B48592" s="3" t="str">
        <f>HYPERLINK("https://www.773grp.com/manufacturer/renesas-electronics-america-inc?pageNo=555", "Renesas Electronics")</f>
        <v>Renesas Electronics</v>
      </c>
      <c r="C48592" s="6">
        <v>66000</v>
      </c>
      <c r="D48592" s="7">
        <v>0.79</v>
      </c>
    </row>
    <row r="48593" spans="1:4" x14ac:dyDescent="0.25">
      <c r="A48593" t="str">
        <f>HYPERLINK("https://www.773grp.com/globalSearch/HZU4CLL-JTRF-E/page-1", "HZU4CLL-JTRF-E")</f>
        <v>HZU4CLL-JTRF-E</v>
      </c>
      <c r="B48593" s="3" t="str">
        <f>HYPERLINK("https://www.773grp.com/manufacturer/renesas-electronics-america-inc?pageNo=556", "Renesas Electronics")</f>
        <v>Renesas Electronics</v>
      </c>
      <c r="C48593" s="6">
        <v>39000</v>
      </c>
      <c r="D48593" s="7">
        <v>0.79</v>
      </c>
    </row>
    <row r="48594" spans="1:4" x14ac:dyDescent="0.25">
      <c r="A48594" t="str">
        <f>HYPERLINK("https://www.773grp.com/globalSearch/HZU5ALL-JTRF-E/page-1", "HZU5ALL-JTRF-E")</f>
        <v>HZU5ALL-JTRF-E</v>
      </c>
      <c r="B48594" s="3" t="str">
        <f>HYPERLINK("https://www.773grp.com/manufacturer/renesas-electronics-america-inc?pageNo=557", "Renesas Electronics")</f>
        <v>Renesas Electronics</v>
      </c>
      <c r="C48594" s="6">
        <v>27000</v>
      </c>
      <c r="D48594" s="7">
        <v>0.79</v>
      </c>
    </row>
    <row r="48595" spans="1:4" x14ac:dyDescent="0.25">
      <c r="A48595" t="str">
        <f>HYPERLINK("https://www.773grp.com/globalSearch/RD10FM-AZ/page-1", "RD10FM-AZ")</f>
        <v>RD10FM-AZ</v>
      </c>
      <c r="B48595" s="3" t="str">
        <f>HYPERLINK("https://www.773grp.com/manufacturer/renesas-electronics-america-inc?pageNo=558", "Renesas Electronics")</f>
        <v>Renesas Electronics</v>
      </c>
      <c r="C48595" s="6">
        <v>200</v>
      </c>
      <c r="D48595" s="7">
        <v>0.79</v>
      </c>
    </row>
    <row r="48596" spans="1:4" x14ac:dyDescent="0.25">
      <c r="A48596" t="str">
        <f>HYPERLINK("https://www.773grp.com/globalSearch/1N4731AT9-E/page-1", "1N4731AT9-E")</f>
        <v>1N4731AT9-E</v>
      </c>
      <c r="B48596" s="3" t="str">
        <f>HYPERLINK("https://www.773grp.com/manufacturer/renesas-electronics-america-inc?pageNo=559", "Renesas Electronics")</f>
        <v>Renesas Electronics</v>
      </c>
      <c r="C48596" s="6">
        <v>30000</v>
      </c>
      <c r="D48596" s="7">
        <v>0.85</v>
      </c>
    </row>
    <row r="48597" spans="1:4" x14ac:dyDescent="0.25">
      <c r="A48597" t="str">
        <f>HYPERLINK("https://www.773grp.com/globalSearch/1N4743AT9-E/page-1", "1N4743AT9-E")</f>
        <v>1N4743AT9-E</v>
      </c>
      <c r="B48597" s="3" t="str">
        <f>HYPERLINK("https://www.773grp.com/manufacturer/renesas-electronics-america-inc?pageNo=560", "Renesas Electronics")</f>
        <v>Renesas Electronics</v>
      </c>
      <c r="C48597" s="6">
        <v>20000</v>
      </c>
      <c r="D48597" s="7">
        <v>0.85</v>
      </c>
    </row>
    <row r="48598" spans="1:4" x14ac:dyDescent="0.25">
      <c r="A48598" t="str">
        <f>HYPERLINK("https://www.773grp.com/globalSearch/1N4749AT9-E/page-1", "1N4749AT9-E")</f>
        <v>1N4749AT9-E</v>
      </c>
      <c r="B48598" s="3" t="str">
        <f>HYPERLINK("https://www.773grp.com/manufacturer/renesas-electronics-america-inc?pageNo=561", "Renesas Electronics")</f>
        <v>Renesas Electronics</v>
      </c>
      <c r="C48598" s="6">
        <v>15000</v>
      </c>
      <c r="D48598" s="7">
        <v>0.85</v>
      </c>
    </row>
    <row r="48599" spans="1:4" x14ac:dyDescent="0.25">
      <c r="A48599" t="str">
        <f>HYPERLINK("https://www.773grp.com/globalSearch/2SJ399ZF-TL-E/page-1", "2SJ399ZF-TL-E")</f>
        <v>2SJ399ZF-TL-E</v>
      </c>
      <c r="B48599" s="3" t="str">
        <f>HYPERLINK("https://www.773grp.com/manufacturer/renesas-electronics-america-inc?pageNo=562", "Renesas Electronics")</f>
        <v>Renesas Electronics</v>
      </c>
      <c r="C48599" s="6">
        <v>6000</v>
      </c>
      <c r="D48599" s="7">
        <v>0.85</v>
      </c>
    </row>
    <row r="48600" spans="1:4" x14ac:dyDescent="0.25">
      <c r="A48600" t="str">
        <f>HYPERLINK("https://www.773grp.com/globalSearch/HZ11HA2-E/page-1", "HZ11HA2-E")</f>
        <v>HZ11HA2-E</v>
      </c>
      <c r="B48600" s="3" t="str">
        <f>HYPERLINK("https://www.773grp.com/manufacturer/renesas-electronics-america-inc?pageNo=563", "Renesas Electronics")</f>
        <v>Renesas Electronics</v>
      </c>
      <c r="C48600" s="6">
        <v>3000</v>
      </c>
      <c r="D48600" s="7">
        <v>0.85</v>
      </c>
    </row>
    <row r="48601" spans="1:4" x14ac:dyDescent="0.25">
      <c r="A48601" t="str">
        <f>HYPERLINK("https://www.773grp.com/globalSearch/HZ12HB1-E/page-1", "HZ12HB1-E")</f>
        <v>HZ12HB1-E</v>
      </c>
      <c r="B48601" s="3" t="str">
        <f>HYPERLINK("https://www.773grp.com/manufacturer/renesas-electronics-america-inc?pageNo=564", "Renesas Electronics")</f>
        <v>Renesas Electronics</v>
      </c>
      <c r="C48601" s="6">
        <v>6500</v>
      </c>
      <c r="D48601" s="7">
        <v>0.85</v>
      </c>
    </row>
    <row r="48602" spans="1:4" x14ac:dyDescent="0.25">
      <c r="A48602" t="str">
        <f>HYPERLINK("https://www.773grp.com/globalSearch/HZ16H3-E/page-1", "HZ16H3-E")</f>
        <v>HZ16H3-E</v>
      </c>
      <c r="B48602" s="3" t="str">
        <f>HYPERLINK("https://www.773grp.com/manufacturer/renesas-electronics-america-inc?pageNo=565", "Renesas Electronics")</f>
        <v>Renesas Electronics</v>
      </c>
      <c r="C48602" s="6">
        <v>10000</v>
      </c>
      <c r="D48602" s="7">
        <v>0.85</v>
      </c>
    </row>
    <row r="48603" spans="1:4" x14ac:dyDescent="0.25">
      <c r="A48603" t="str">
        <f>HYPERLINK("https://www.773grp.com/globalSearch/HZ2HB1-E/page-1", "HZ2HB1-E")</f>
        <v>HZ2HB1-E</v>
      </c>
      <c r="B48603" s="3" t="str">
        <f>HYPERLINK("https://www.773grp.com/manufacturer/renesas-electronics-america-inc?pageNo=566", "Renesas Electronics")</f>
        <v>Renesas Electronics</v>
      </c>
      <c r="C48603" s="6">
        <v>12500</v>
      </c>
      <c r="D48603" s="7">
        <v>0.85</v>
      </c>
    </row>
    <row r="48604" spans="1:4" x14ac:dyDescent="0.25">
      <c r="A48604" t="str">
        <f>HYPERLINK("https://www.773grp.com/globalSearch/HZ33H2/page-1", "HZ33H2")</f>
        <v>HZ33H2</v>
      </c>
      <c r="B48604" s="3" t="str">
        <f>HYPERLINK("https://www.773grp.com/manufacturer/renesas-electronics-america-inc?pageNo=567", "Renesas Electronics")</f>
        <v>Renesas Electronics</v>
      </c>
      <c r="C48604" s="6">
        <v>1000</v>
      </c>
      <c r="D48604" s="7">
        <v>0.85</v>
      </c>
    </row>
    <row r="48605" spans="1:4" x14ac:dyDescent="0.25">
      <c r="A48605" t="str">
        <f>HYPERLINK("https://www.773grp.com/globalSearch/HZ4HB3-E/page-1", "HZ4HB3-E")</f>
        <v>HZ4HB3-E</v>
      </c>
      <c r="B48605" s="3" t="str">
        <f>HYPERLINK("https://www.773grp.com/manufacturer/renesas-electronics-america-inc?pageNo=568", "Renesas Electronics")</f>
        <v>Renesas Electronics</v>
      </c>
      <c r="C48605" s="6">
        <v>3000</v>
      </c>
      <c r="D48605" s="7">
        <v>0.85</v>
      </c>
    </row>
    <row r="48606" spans="1:4" x14ac:dyDescent="0.25">
      <c r="A48606" t="str">
        <f>HYPERLINK("https://www.773grp.com/globalSearch/HZ5HA1TA/page-1", "HZ5HA1TA")</f>
        <v>HZ5HA1TA</v>
      </c>
      <c r="B48606" s="3" t="str">
        <f>HYPERLINK("https://www.773grp.com/manufacturer/renesas-electronics-america-inc?pageNo=569", "Renesas Electronics")</f>
        <v>Renesas Electronics</v>
      </c>
      <c r="C48606" s="6">
        <v>10000</v>
      </c>
      <c r="D48606" s="7">
        <v>0.85</v>
      </c>
    </row>
    <row r="48607" spans="1:4" x14ac:dyDescent="0.25">
      <c r="A48607" t="str">
        <f>HYPERLINK("https://www.773grp.com/globalSearch/HZ6HC1-E/page-1", "HZ6HC1-E")</f>
        <v>HZ6HC1-E</v>
      </c>
      <c r="B48607" s="3" t="str">
        <f>HYPERLINK("https://www.773grp.com/manufacturer/renesas-electronics-america-inc?pageNo=570", "Renesas Electronics")</f>
        <v>Renesas Electronics</v>
      </c>
      <c r="C48607" s="6">
        <v>5000</v>
      </c>
      <c r="D48607" s="7">
        <v>0.85</v>
      </c>
    </row>
    <row r="48608" spans="1:4" x14ac:dyDescent="0.25">
      <c r="A48608" t="str">
        <f>HYPERLINK("https://www.773grp.com/globalSearch/HZ7HB2-E/page-1", "HZ7HB2-E")</f>
        <v>HZ7HB2-E</v>
      </c>
      <c r="B48608" s="3" t="str">
        <f>HYPERLINK("https://www.773grp.com/manufacturer/renesas-electronics-america-inc?pageNo=571", "Renesas Electronics")</f>
        <v>Renesas Electronics</v>
      </c>
      <c r="C48608" s="6">
        <v>10500</v>
      </c>
      <c r="D48608" s="7">
        <v>0.85</v>
      </c>
    </row>
    <row r="48609" spans="1:4" x14ac:dyDescent="0.25">
      <c r="A48609" t="str">
        <f>HYPERLINK("https://www.773grp.com/globalSearch/HZ9HA2-E/page-1", "HZ9HA2-E")</f>
        <v>HZ9HA2-E</v>
      </c>
      <c r="B48609" s="3" t="str">
        <f>HYPERLINK("https://www.773grp.com/manufacturer/renesas-electronics-america-inc?pageNo=572", "Renesas Electronics")</f>
        <v>Renesas Electronics</v>
      </c>
      <c r="C48609" s="6">
        <v>5500</v>
      </c>
      <c r="D48609" s="7">
        <v>0.85</v>
      </c>
    </row>
    <row r="48610" spans="1:4" x14ac:dyDescent="0.25">
      <c r="A48610" t="str">
        <f>HYPERLINK("https://www.773grp.com/globalSearch/HZ9HB2-E/page-1", "HZ9HB2-E")</f>
        <v>HZ9HB2-E</v>
      </c>
      <c r="B48610" s="3" t="str">
        <f>HYPERLINK("https://www.773grp.com/manufacturer/renesas-electronics-america-inc?pageNo=573", "Renesas Electronics")</f>
        <v>Renesas Electronics</v>
      </c>
      <c r="C48610" s="6">
        <v>8500</v>
      </c>
      <c r="D48610" s="7">
        <v>0.85</v>
      </c>
    </row>
    <row r="48611" spans="1:4" x14ac:dyDescent="0.25">
      <c r="A48611" t="str">
        <f>HYPERLINK("https://www.773grp.com/globalSearch/RKZ12BKV#P1/page-1", "RKZ12BKV#P1")</f>
        <v>RKZ12BKV#P1</v>
      </c>
      <c r="B48611" s="3" t="str">
        <f>HYPERLINK("https://www.773grp.com/manufacturer/renesas-electronics-america-inc?pageNo=574", "Renesas Electronics")</f>
        <v>Renesas Electronics</v>
      </c>
      <c r="C48611" s="6">
        <v>99000</v>
      </c>
      <c r="D48611" s="7">
        <v>0.85</v>
      </c>
    </row>
    <row r="48612" spans="1:4" x14ac:dyDescent="0.25">
      <c r="A48612" t="str">
        <f>HYPERLINK("https://www.773grp.com/globalSearch/RKZ16BKV#P1/page-1", "RKZ16BKV#P1")</f>
        <v>RKZ16BKV#P1</v>
      </c>
      <c r="B48612" s="3" t="str">
        <f>HYPERLINK("https://www.773grp.com/manufacturer/renesas-electronics-america-inc?pageNo=575", "Renesas Electronics")</f>
        <v>Renesas Electronics</v>
      </c>
      <c r="C48612" s="6">
        <v>105000</v>
      </c>
      <c r="D48612" s="7">
        <v>0.85</v>
      </c>
    </row>
    <row r="48613" spans="1:4" x14ac:dyDescent="0.25">
      <c r="A48613" t="str">
        <f>HYPERLINK("https://www.773grp.com/globalSearch/2SA1610-T2-A/page-1", "2SA1610-T2-A")</f>
        <v>2SA1610-T2-A</v>
      </c>
      <c r="B48613" s="3" t="str">
        <f>HYPERLINK("https://www.773grp.com/manufacturer/renesas-electronics-america-inc?pageNo=576", "Renesas Electronics")</f>
        <v>Renesas Electronics</v>
      </c>
      <c r="C48613" s="6">
        <v>96000</v>
      </c>
      <c r="D48613" s="7">
        <v>0.9</v>
      </c>
    </row>
    <row r="48614" spans="1:4" x14ac:dyDescent="0.25">
      <c r="A48614" t="str">
        <f>HYPERLINK("https://www.773grp.com/globalSearch/2SA1625-FD-AZ/page-1", "2SA1625-FD-AZ")</f>
        <v>2SA1625-FD-AZ</v>
      </c>
      <c r="B48614" s="3" t="str">
        <f>HYPERLINK("https://www.773grp.com/manufacturer/renesas-electronics-america-inc?pageNo=577", "Renesas Electronics")</f>
        <v>Renesas Electronics</v>
      </c>
      <c r="C48614" s="6">
        <v>22716</v>
      </c>
      <c r="D48614" s="7">
        <v>0.9</v>
      </c>
    </row>
    <row r="48615" spans="1:4" x14ac:dyDescent="0.25">
      <c r="A48615" t="str">
        <f>HYPERLINK("https://www.773grp.com/globalSearch/2SC2001-A/page-1", "2SC2001-A")</f>
        <v>2SC2001-A</v>
      </c>
      <c r="B48615" s="3" t="str">
        <f>HYPERLINK("https://www.773grp.com/manufacturer/renesas-electronics-america-inc?pageNo=578", "Renesas Electronics")</f>
        <v>Renesas Electronics</v>
      </c>
      <c r="C48615" s="6">
        <v>7582040</v>
      </c>
      <c r="D48615" s="7">
        <v>0.9</v>
      </c>
    </row>
    <row r="48616" spans="1:4" x14ac:dyDescent="0.25">
      <c r="A48616" t="str">
        <f>HYPERLINK("https://www.773grp.com/globalSearch/2SC5773JR-TL-E/page-1", "2SC5773JR-TL-E")</f>
        <v>2SC5773JR-TL-E</v>
      </c>
      <c r="B48616" s="3" t="str">
        <f>HYPERLINK("https://www.773grp.com/manufacturer/renesas-electronics-america-inc?pageNo=579", "Renesas Electronics")</f>
        <v>Renesas Electronics</v>
      </c>
      <c r="C48616" s="6">
        <v>6000</v>
      </c>
      <c r="D48616" s="7">
        <v>0.9</v>
      </c>
    </row>
    <row r="48617" spans="1:4" x14ac:dyDescent="0.25">
      <c r="A48617" t="str">
        <f>HYPERLINK("https://www.773grp.com/globalSearch/74LS09P-E/page-1", "74LS09P-E")</f>
        <v>74LS09P-E</v>
      </c>
      <c r="B48617" s="3" t="str">
        <f>HYPERLINK("https://www.773grp.com/manufacturer/renesas-electronics-america-inc?pageNo=580", "Renesas Electronics")</f>
        <v>Renesas Electronics</v>
      </c>
      <c r="C48617" s="6">
        <v>8000</v>
      </c>
      <c r="D48617" s="7">
        <v>0.9</v>
      </c>
    </row>
    <row r="48618" spans="1:4" x14ac:dyDescent="0.25">
      <c r="A48618" t="str">
        <f>HYPERLINK("https://www.773grp.com/globalSearch/74LS10FP-E/page-1", "74LS10FP-E")</f>
        <v>74LS10FP-E</v>
      </c>
      <c r="B48618" s="3" t="str">
        <f>HYPERLINK("https://www.773grp.com/manufacturer/renesas-electronics-america-inc?pageNo=581", "Renesas Electronics")</f>
        <v>Renesas Electronics</v>
      </c>
      <c r="C48618" s="6">
        <v>2620</v>
      </c>
      <c r="D48618" s="7">
        <v>0.9</v>
      </c>
    </row>
    <row r="48619" spans="1:4" x14ac:dyDescent="0.25">
      <c r="A48619" t="str">
        <f>HYPERLINK("https://www.773grp.com/globalSearch/74LS20FP-E/page-1", "74LS20FP-E")</f>
        <v>74LS20FP-E</v>
      </c>
      <c r="B48619" s="3" t="str">
        <f>HYPERLINK("https://www.773grp.com/manufacturer/renesas-electronics-america-inc?pageNo=582", "Renesas Electronics")</f>
        <v>Renesas Electronics</v>
      </c>
      <c r="C48619" s="6">
        <v>6974</v>
      </c>
      <c r="D48619" s="7">
        <v>0.9</v>
      </c>
    </row>
    <row r="48620" spans="1:4" x14ac:dyDescent="0.25">
      <c r="A48620" t="str">
        <f>HYPERLINK("https://www.773grp.com/globalSearch/74LS21P-E/page-1", "74LS21P-E")</f>
        <v>74LS21P-E</v>
      </c>
      <c r="B48620" s="3" t="str">
        <f>HYPERLINK("https://www.773grp.com/manufacturer/renesas-electronics-america-inc?pageNo=583", "Renesas Electronics")</f>
        <v>Renesas Electronics</v>
      </c>
      <c r="C48620" s="6">
        <v>6000</v>
      </c>
      <c r="D48620" s="7">
        <v>0.9</v>
      </c>
    </row>
    <row r="48621" spans="1:4" x14ac:dyDescent="0.25">
      <c r="A48621" t="str">
        <f>HYPERLINK("https://www.773grp.com/globalSearch/74LS30FP-E/page-1", "74LS30FP-E")</f>
        <v>74LS30FP-E</v>
      </c>
      <c r="B48621" s="3" t="str">
        <f>HYPERLINK("https://www.773grp.com/manufacturer/renesas-electronics-america-inc?pageNo=584", "Renesas Electronics")</f>
        <v>Renesas Electronics</v>
      </c>
      <c r="C48621" s="6">
        <v>7000</v>
      </c>
      <c r="D48621" s="7">
        <v>0.9</v>
      </c>
    </row>
    <row r="48622" spans="1:4" x14ac:dyDescent="0.25">
      <c r="A48622" t="str">
        <f>HYPERLINK("https://www.773grp.com/globalSearch/74LS51FPEL-E/page-1", "74LS51FPEL-E")</f>
        <v>74LS51FPEL-E</v>
      </c>
      <c r="B48622" s="3" t="str">
        <f>HYPERLINK("https://www.773grp.com/manufacturer/renesas-electronics-america-inc?pageNo=585", "Renesas Electronics")</f>
        <v>Renesas Electronics</v>
      </c>
      <c r="C48622" s="6">
        <v>4000</v>
      </c>
      <c r="D48622" s="7">
        <v>0.9</v>
      </c>
    </row>
    <row r="48623" spans="1:4" x14ac:dyDescent="0.25">
      <c r="A48623" t="str">
        <f>HYPERLINK("https://www.773grp.com/globalSearch/D74HV1G04VS#H1/page-1", "D74HV1G04VS#H1")</f>
        <v>D74HV1G04VS#H1</v>
      </c>
      <c r="B48623" s="3" t="str">
        <f>HYPERLINK("https://www.773grp.com/manufacturer/renesas-electronics-america-inc?pageNo=586", "Renesas Electronics")</f>
        <v>Renesas Electronics</v>
      </c>
      <c r="C48623" s="6">
        <v>9000</v>
      </c>
      <c r="D48623" s="7">
        <v>0.9</v>
      </c>
    </row>
    <row r="48624" spans="1:4" x14ac:dyDescent="0.25">
      <c r="A48624" t="str">
        <f>HYPERLINK("https://www.773grp.com/globalSearch/HSM276STL-E/page-1", "HSM276STL-E")</f>
        <v>HSM276STL-E</v>
      </c>
      <c r="B48624" s="3" t="str">
        <f>HYPERLINK("https://www.773grp.com/manufacturer/renesas-electronics-america-inc?pageNo=587", "Renesas Electronics")</f>
        <v>Renesas Electronics</v>
      </c>
      <c r="C48624" s="6">
        <v>42000</v>
      </c>
      <c r="D48624" s="7">
        <v>0.9</v>
      </c>
    </row>
    <row r="48625" spans="1:4" x14ac:dyDescent="0.25">
      <c r="A48625" t="str">
        <f>HYPERLINK("https://www.773grp.com/globalSearch/M51943BML#DF0J/page-1", "M51943BML#DF0J")</f>
        <v>M51943BML#DF0J</v>
      </c>
      <c r="B48625" s="3" t="str">
        <f>HYPERLINK("https://www.773grp.com/manufacturer/renesas-electronics-america-inc?pageNo=588", "Renesas Electronics")</f>
        <v>Renesas Electronics</v>
      </c>
      <c r="C48625" s="6">
        <v>9000</v>
      </c>
      <c r="D48625" s="7">
        <v>0.9</v>
      </c>
    </row>
    <row r="48626" spans="1:4" x14ac:dyDescent="0.25">
      <c r="A48626" t="str">
        <f>HYPERLINK("https://www.773grp.com/globalSearch/M51943BML#TF0J/page-1", "M51943BML#TF0J")</f>
        <v>M51943BML#TF0J</v>
      </c>
      <c r="B48626" s="3" t="str">
        <f>HYPERLINK("https://www.773grp.com/manufacturer/renesas-electronics-america-inc?pageNo=589", "Renesas Electronics")</f>
        <v>Renesas Electronics</v>
      </c>
      <c r="C48626" s="6">
        <v>950</v>
      </c>
      <c r="D48626" s="7">
        <v>0.9</v>
      </c>
    </row>
    <row r="48627" spans="1:4" x14ac:dyDescent="0.25">
      <c r="A48627" t="str">
        <f>HYPERLINK("https://www.773grp.com/globalSearch/RJK03J9DNS-00#J5/page-1", "RJK03J9DNS-00#J5")</f>
        <v>RJK03J9DNS-00#J5</v>
      </c>
      <c r="B48627" s="3" t="str">
        <f>HYPERLINK("https://www.773grp.com/manufacturer/renesas-electronics-america-inc?pageNo=590", "Renesas Electronics")</f>
        <v>Renesas Electronics</v>
      </c>
      <c r="C48627" s="6">
        <v>5000</v>
      </c>
      <c r="D48627" s="7">
        <v>0.9</v>
      </c>
    </row>
    <row r="48628" spans="1:4" x14ac:dyDescent="0.25">
      <c r="A48628" t="str">
        <f>HYPERLINK("https://www.773grp.com/globalSearch/RQK0604IGDQA#H1/page-1", "RQK0604IGDQA#H1")</f>
        <v>RQK0604IGDQA#H1</v>
      </c>
      <c r="B48628" s="3" t="str">
        <f>HYPERLINK("https://www.773grp.com/manufacturer/renesas-electronics-america-inc?pageNo=591", "Renesas Electronics")</f>
        <v>Renesas Electronics</v>
      </c>
      <c r="C48628" s="6">
        <v>36000</v>
      </c>
      <c r="D48628" s="7">
        <v>0.9</v>
      </c>
    </row>
    <row r="48629" spans="1:4" x14ac:dyDescent="0.25">
      <c r="A48629" t="str">
        <f>HYPERLINK("https://www.773grp.com/globalSearch/UPA507TE-T1-AT/page-1", "UPA507TE-T1-AT")</f>
        <v>UPA507TE-T1-AT</v>
      </c>
      <c r="B48629" s="3" t="str">
        <f>HYPERLINK("https://www.773grp.com/manufacturer/renesas-electronics-america-inc?pageNo=592", "Renesas Electronics")</f>
        <v>Renesas Electronics</v>
      </c>
      <c r="C48629" s="6">
        <v>141000</v>
      </c>
      <c r="D48629" s="7">
        <v>0.9</v>
      </c>
    </row>
    <row r="48630" spans="1:4" x14ac:dyDescent="0.25">
      <c r="A48630" t="str">
        <f>HYPERLINK("https://www.773grp.com/globalSearch/1N4733AT9-E/page-1", "1N4733AT9-E")</f>
        <v>1N4733AT9-E</v>
      </c>
      <c r="B48630" s="3" t="str">
        <f>HYPERLINK("https://www.773grp.com/manufacturer/renesas-electronics-america-inc?pageNo=593", "Renesas Electronics")</f>
        <v>Renesas Electronics</v>
      </c>
      <c r="C48630" s="6">
        <v>30000</v>
      </c>
      <c r="D48630" s="7">
        <v>0.95</v>
      </c>
    </row>
    <row r="48631" spans="1:4" x14ac:dyDescent="0.25">
      <c r="A48631" t="str">
        <f>HYPERLINK("https://www.773grp.com/globalSearch/2SA1566JIETR-E/page-1", "2SA1566JIETR-E")</f>
        <v>2SA1566JIETR-E</v>
      </c>
      <c r="B48631" s="3" t="str">
        <f>HYPERLINK("https://www.773grp.com/manufacturer/renesas-electronics-america-inc?pageNo=594", "Renesas Electronics")</f>
        <v>Renesas Electronics</v>
      </c>
      <c r="C48631" s="6">
        <v>3000</v>
      </c>
      <c r="D48631" s="7">
        <v>0.95</v>
      </c>
    </row>
    <row r="48632" spans="1:4" x14ac:dyDescent="0.25">
      <c r="A48632" t="str">
        <f>HYPERLINK("https://www.773grp.com/globalSearch/2SB740BTZ-E/page-1", "2SB740BTZ-E")</f>
        <v>2SB740BTZ-E</v>
      </c>
      <c r="B48632" s="3" t="str">
        <f>HYPERLINK("https://www.773grp.com/manufacturer/renesas-electronics-america-inc?pageNo=595", "Renesas Electronics")</f>
        <v>Renesas Electronics</v>
      </c>
      <c r="C48632" s="6">
        <v>5000</v>
      </c>
      <c r="D48632" s="7">
        <v>0.95</v>
      </c>
    </row>
    <row r="48633" spans="1:4" x14ac:dyDescent="0.25">
      <c r="A48633" t="str">
        <f>HYPERLINK("https://www.773grp.com/globalSearch/2SC2001-T-A/page-1", "2SC2001-T-A")</f>
        <v>2SC2001-T-A</v>
      </c>
      <c r="B48633" s="3" t="str">
        <f>HYPERLINK("https://www.773grp.com/manufacturer/renesas-electronics-america-inc?pageNo=596", "Renesas Electronics")</f>
        <v>Renesas Electronics</v>
      </c>
      <c r="C48633" s="6">
        <v>2375000</v>
      </c>
      <c r="D48633" s="7">
        <v>0.95</v>
      </c>
    </row>
    <row r="48634" spans="1:4" x14ac:dyDescent="0.25">
      <c r="A48634" t="str">
        <f>HYPERLINK("https://www.773grp.com/globalSearch/2SK2373ZE-TL-E/page-1", "2SK2373ZE-TL-E")</f>
        <v>2SK2373ZE-TL-E</v>
      </c>
      <c r="B48634" s="3" t="str">
        <f>HYPERLINK("https://www.773grp.com/manufacturer/renesas-electronics-america-inc?pageNo=597", "Renesas Electronics")</f>
        <v>Renesas Electronics</v>
      </c>
      <c r="C48634" s="6">
        <v>36000</v>
      </c>
      <c r="D48634" s="7">
        <v>0.95</v>
      </c>
    </row>
    <row r="48635" spans="1:4" x14ac:dyDescent="0.25">
      <c r="A48635" t="str">
        <f>HYPERLINK("https://www.773grp.com/globalSearch/M51945BFP#DF0R/page-1", "M51945BFP#DF0R")</f>
        <v>M51945BFP#DF0R</v>
      </c>
      <c r="B48635" s="3" t="str">
        <f>HYPERLINK("https://www.773grp.com/manufacturer/renesas-electronics-america-inc?pageNo=598", "Renesas Electronics")</f>
        <v>Renesas Electronics</v>
      </c>
      <c r="C48635" s="6">
        <v>10000</v>
      </c>
      <c r="D48635" s="7">
        <v>0.95</v>
      </c>
    </row>
    <row r="48636" spans="1:4" x14ac:dyDescent="0.25">
      <c r="A48636" t="str">
        <f>HYPERLINK("https://www.773grp.com/globalSearch/M51955AFP#TF0R/page-1", "M51955AFP#TF0R")</f>
        <v>M51955AFP#TF0R</v>
      </c>
      <c r="B48636" s="3" t="str">
        <f>HYPERLINK("https://www.773grp.com/manufacturer/renesas-electronics-america-inc?pageNo=599", "Renesas Electronics")</f>
        <v>Renesas Electronics</v>
      </c>
      <c r="C48636" s="6">
        <v>6400</v>
      </c>
      <c r="D48636" s="7">
        <v>0.95</v>
      </c>
    </row>
    <row r="48637" spans="1:4" x14ac:dyDescent="0.25">
      <c r="A48637" t="str">
        <f>HYPERLINK("https://www.773grp.com/globalSearch/M51957BFP#TF1J/page-1", "M51957BFP#TF1J")</f>
        <v>M51957BFP#TF1J</v>
      </c>
      <c r="B48637" s="3" t="str">
        <f>HYPERLINK("https://www.773grp.com/manufacturer/renesas-electronics-america-inc?pageNo=600", "Renesas Electronics")</f>
        <v>Renesas Electronics</v>
      </c>
      <c r="C48637" s="6">
        <v>1504</v>
      </c>
      <c r="D48637" s="7">
        <v>0.95</v>
      </c>
    </row>
    <row r="48638" spans="1:4" x14ac:dyDescent="0.25">
      <c r="A48638" t="str">
        <f>HYPERLINK("https://www.773grp.com/globalSearch/M51958AFP#TF0R/page-1", "M51958AFP#TF0R")</f>
        <v>M51958AFP#TF0R</v>
      </c>
      <c r="B48638" s="3" t="str">
        <f>HYPERLINK("https://www.773grp.com/manufacturer/renesas-electronics-america-inc?pageNo=601", "Renesas Electronics")</f>
        <v>Renesas Electronics</v>
      </c>
      <c r="C48638" s="6">
        <v>7863</v>
      </c>
      <c r="D48638" s="7">
        <v>0.95</v>
      </c>
    </row>
    <row r="48639" spans="1:4" x14ac:dyDescent="0.25">
      <c r="A48639" t="str">
        <f>HYPERLINK("https://www.773grp.com/globalSearch/RD10F(2)-AZ/page-1", "RD10F(2)-AZ")</f>
        <v>RD10F(2)-AZ</v>
      </c>
      <c r="B48639" s="3" t="str">
        <f>HYPERLINK("https://www.773grp.com/manufacturer/renesas-electronics-america-inc?pageNo=602", "Renesas Electronics")</f>
        <v>Renesas Electronics</v>
      </c>
      <c r="C48639" s="6">
        <v>100</v>
      </c>
      <c r="D48639" s="7">
        <v>0.95</v>
      </c>
    </row>
    <row r="48640" spans="1:4" x14ac:dyDescent="0.25">
      <c r="A48640" t="str">
        <f>HYPERLINK("https://www.773grp.com/globalSearch/RD16F(10)-T6-AZ/page-1", "RD16F(10)-T6-AZ")</f>
        <v>RD16F(10)-T6-AZ</v>
      </c>
      <c r="B48640" s="3" t="str">
        <f>HYPERLINK("https://www.773grp.com/manufacturer/renesas-electronics-america-inc?pageNo=603", "Renesas Electronics")</f>
        <v>Renesas Electronics</v>
      </c>
      <c r="C48640" s="6">
        <v>5000</v>
      </c>
      <c r="D48640" s="7">
        <v>0.95</v>
      </c>
    </row>
    <row r="48641" spans="1:4" x14ac:dyDescent="0.25">
      <c r="A48641" t="str">
        <f>HYPERLINK("https://www.773grp.com/globalSearch/RD2.0F(N)-T7/page-1", "RD2.0F(N)-T7")</f>
        <v>RD2.0F(N)-T7</v>
      </c>
      <c r="B48641" s="3" t="str">
        <f>HYPERLINK("https://www.773grp.com/manufacturer/renesas-electronics-america-inc?pageNo=604", "Renesas Electronics")</f>
        <v>Renesas Electronics</v>
      </c>
      <c r="C48641" s="6">
        <v>5000</v>
      </c>
      <c r="D48641" s="7">
        <v>0.95</v>
      </c>
    </row>
    <row r="48642" spans="1:4" x14ac:dyDescent="0.25">
      <c r="A48642" t="str">
        <f>HYPERLINK("https://www.773grp.com/globalSearch/RD20F(30)-T7/page-1", "RD20F(30)-T7")</f>
        <v>RD20F(30)-T7</v>
      </c>
      <c r="B48642" s="3" t="str">
        <f>HYPERLINK("https://www.773grp.com/manufacturer/renesas-electronics-america-inc?pageNo=605", "Renesas Electronics")</f>
        <v>Renesas Electronics</v>
      </c>
      <c r="C48642" s="6">
        <v>110000</v>
      </c>
      <c r="D48642" s="7">
        <v>0.95</v>
      </c>
    </row>
    <row r="48643" spans="1:4" x14ac:dyDescent="0.25">
      <c r="A48643" t="str">
        <f>HYPERLINK("https://www.773grp.com/globalSearch/RD30F(10)-T6-AZ/page-1", "RD30F(10)-T6-AZ")</f>
        <v>RD30F(10)-T6-AZ</v>
      </c>
      <c r="B48643" s="3" t="str">
        <f>HYPERLINK("https://www.773grp.com/manufacturer/renesas-electronics-america-inc?pageNo=606", "Renesas Electronics")</f>
        <v>Renesas Electronics</v>
      </c>
      <c r="C48643" s="6">
        <v>10000</v>
      </c>
      <c r="D48643" s="7">
        <v>0.95</v>
      </c>
    </row>
    <row r="48644" spans="1:4" x14ac:dyDescent="0.25">
      <c r="A48644" t="str">
        <f>HYPERLINK("https://www.773grp.com/globalSearch/RD36F(N6)-AZ/page-1", "RD36F(N6)-AZ")</f>
        <v>RD36F(N6)-AZ</v>
      </c>
      <c r="B48644" s="3" t="str">
        <f>HYPERLINK("https://www.773grp.com/manufacturer/renesas-electronics-america-inc?pageNo=607", "Renesas Electronics")</f>
        <v>Renesas Electronics</v>
      </c>
      <c r="C48644" s="6">
        <v>9800</v>
      </c>
      <c r="D48644" s="7">
        <v>0.95</v>
      </c>
    </row>
    <row r="48645" spans="1:4" x14ac:dyDescent="0.25">
      <c r="A48645" t="str">
        <f>HYPERLINK("https://www.773grp.com/globalSearch/RD36F(N6)-T6-AZ/page-1", "RD36F(N6)-T6-AZ")</f>
        <v>RD36F(N6)-T6-AZ</v>
      </c>
      <c r="B48645" s="3" t="str">
        <f>HYPERLINK("https://www.773grp.com/manufacturer/renesas-electronics-america-inc?pageNo=608", "Renesas Electronics")</f>
        <v>Renesas Electronics</v>
      </c>
      <c r="C48645" s="6">
        <v>35000</v>
      </c>
      <c r="D48645" s="7">
        <v>0.95</v>
      </c>
    </row>
    <row r="48646" spans="1:4" x14ac:dyDescent="0.25">
      <c r="A48646" t="str">
        <f>HYPERLINK("https://www.773grp.com/globalSearch/RD6.2F(N)-T6/page-1", "RD6.2F(N)-T6")</f>
        <v>RD6.2F(N)-T6</v>
      </c>
      <c r="B48646" s="3" t="str">
        <f>HYPERLINK("https://www.773grp.com/manufacturer/renesas-electronics-america-inc?pageNo=609", "Renesas Electronics")</f>
        <v>Renesas Electronics</v>
      </c>
      <c r="C48646" s="6">
        <v>12500</v>
      </c>
      <c r="D48646" s="7">
        <v>0.95</v>
      </c>
    </row>
    <row r="48647" spans="1:4" x14ac:dyDescent="0.25">
      <c r="A48647" t="str">
        <f>HYPERLINK("https://www.773grp.com/globalSearch/RD6.8F(5)/page-1", "RD6.8F(5)")</f>
        <v>RD6.8F(5)</v>
      </c>
      <c r="B48647" s="3" t="str">
        <f>HYPERLINK("https://www.773grp.com/manufacturer/renesas-electronics-america-inc?pageNo=610", "Renesas Electronics")</f>
        <v>Renesas Electronics</v>
      </c>
      <c r="C48647" s="6">
        <v>3500</v>
      </c>
      <c r="D48647" s="7">
        <v>0.95</v>
      </c>
    </row>
    <row r="48648" spans="1:4" x14ac:dyDescent="0.25">
      <c r="A48648" t="str">
        <f>HYPERLINK("https://www.773grp.com/globalSearch/RD8.2F(1)-AZ/page-1", "RD8.2F(1)-AZ")</f>
        <v>RD8.2F(1)-AZ</v>
      </c>
      <c r="B48648" s="3" t="str">
        <f>HYPERLINK("https://www.773grp.com/manufacturer/renesas-electronics-america-inc?pageNo=611", "Renesas Electronics")</f>
        <v>Renesas Electronics</v>
      </c>
      <c r="C48648" s="6">
        <v>100</v>
      </c>
      <c r="D48648" s="7">
        <v>0.95</v>
      </c>
    </row>
    <row r="48649" spans="1:4" x14ac:dyDescent="0.25">
      <c r="A48649" t="str">
        <f>HYPERLINK("https://www.773grp.com/globalSearch/RD8.2F(10)-T6-AZ/page-1", "RD8.2F(10)-T6-AZ")</f>
        <v>RD8.2F(10)-T6-AZ</v>
      </c>
      <c r="B48649" s="3" t="str">
        <f>HYPERLINK("https://www.773grp.com/manufacturer/renesas-electronics-america-inc?pageNo=612", "Renesas Electronics")</f>
        <v>Renesas Electronics</v>
      </c>
      <c r="C48649" s="6">
        <v>12500</v>
      </c>
      <c r="D48649" s="7">
        <v>0.95</v>
      </c>
    </row>
    <row r="48650" spans="1:4" x14ac:dyDescent="0.25">
      <c r="A48650" t="str">
        <f>HYPERLINK("https://www.773grp.com/globalSearch/RD8.2F(2)-AZ/page-1", "RD8.2F(2)-AZ")</f>
        <v>RD8.2F(2)-AZ</v>
      </c>
      <c r="B48650" s="3" t="str">
        <f>HYPERLINK("https://www.773grp.com/manufacturer/renesas-electronics-america-inc?pageNo=613", "Renesas Electronics")</f>
        <v>Renesas Electronics</v>
      </c>
      <c r="C48650" s="6">
        <v>2000</v>
      </c>
      <c r="D48650" s="7">
        <v>0.95</v>
      </c>
    </row>
    <row r="48651" spans="1:4" x14ac:dyDescent="0.25">
      <c r="A48651" t="str">
        <f>HYPERLINK("https://www.773grp.com/globalSearch/RD8.2F(N)-T6/page-1", "RD8.2F(N)-T6")</f>
        <v>RD8.2F(N)-T6</v>
      </c>
      <c r="B48651" s="3" t="str">
        <f>HYPERLINK("https://www.773grp.com/manufacturer/renesas-electronics-america-inc?pageNo=614", "Renesas Electronics")</f>
        <v>Renesas Electronics</v>
      </c>
      <c r="C48651" s="6">
        <v>52500</v>
      </c>
      <c r="D48651" s="7">
        <v>0.95</v>
      </c>
    </row>
    <row r="48652" spans="1:4" x14ac:dyDescent="0.25">
      <c r="A48652" t="str">
        <f>HYPERLINK("https://www.773grp.com/globalSearch/RD9.1F(3)-AZ/page-1", "RD9.1F(3)-AZ")</f>
        <v>RD9.1F(3)-AZ</v>
      </c>
      <c r="B48652" s="3" t="str">
        <f>HYPERLINK("https://www.773grp.com/manufacturer/renesas-electronics-america-inc?pageNo=615", "Renesas Electronics")</f>
        <v>Renesas Electronics</v>
      </c>
      <c r="C48652" s="6">
        <v>11100</v>
      </c>
      <c r="D48652" s="7">
        <v>0.95</v>
      </c>
    </row>
    <row r="48653" spans="1:4" x14ac:dyDescent="0.25">
      <c r="A48653" t="str">
        <f>HYPERLINK("https://www.773grp.com/globalSearch/RD9.1F(4)-AZ/page-1", "RD9.1F(4)-AZ")</f>
        <v>RD9.1F(4)-AZ</v>
      </c>
      <c r="B48653" s="3" t="str">
        <f>HYPERLINK("https://www.773grp.com/manufacturer/renesas-electronics-america-inc?pageNo=616", "Renesas Electronics")</f>
        <v>Renesas Electronics</v>
      </c>
      <c r="C48653" s="6">
        <v>50</v>
      </c>
      <c r="D48653" s="7">
        <v>0.95</v>
      </c>
    </row>
    <row r="48654" spans="1:4" x14ac:dyDescent="0.25">
      <c r="A48654" t="str">
        <f>HYPERLINK("https://www.773grp.com/globalSearch/RQJ0303PGDQA#H1/page-1", "RQJ0303PGDQA#H1")</f>
        <v>RQJ0303PGDQA#H1</v>
      </c>
      <c r="B48654" s="3" t="str">
        <f>HYPERLINK("https://www.773grp.com/manufacturer/renesas-electronics-america-inc?pageNo=617", "Renesas Electronics")</f>
        <v>Renesas Electronics</v>
      </c>
      <c r="C48654" s="6">
        <v>5357</v>
      </c>
      <c r="D48654" s="7">
        <v>0.95</v>
      </c>
    </row>
    <row r="48655" spans="1:4" x14ac:dyDescent="0.25">
      <c r="A48655" t="str">
        <f>HYPERLINK("https://www.773grp.com/globalSearch/03P2M/page-1", "03P2M")</f>
        <v>03P2M</v>
      </c>
      <c r="B48655" s="3" t="str">
        <f>HYPERLINK("https://www.773grp.com/manufacturer/renesas-electronics-america-inc?pageNo=618", "Renesas Electronics")</f>
        <v>Renesas Electronics</v>
      </c>
      <c r="C48655" s="6">
        <v>20072</v>
      </c>
      <c r="D48655" s="7">
        <v>1</v>
      </c>
    </row>
    <row r="48656" spans="1:4" x14ac:dyDescent="0.25">
      <c r="A48656" t="str">
        <f>HYPERLINK("https://www.773grp.com/globalSearch/03P2M(3)-AZ/page-1", "03P2M(3)-AZ")</f>
        <v>03P2M(3)-AZ</v>
      </c>
      <c r="B48656" s="3" t="str">
        <f>HYPERLINK("https://www.773grp.com/manufacturer/renesas-electronics-america-inc?pageNo=619", "Renesas Electronics")</f>
        <v>Renesas Electronics</v>
      </c>
      <c r="C48656" s="6">
        <v>6948</v>
      </c>
      <c r="D48656" s="7">
        <v>1</v>
      </c>
    </row>
    <row r="48657" spans="1:4" x14ac:dyDescent="0.25">
      <c r="A48657" t="str">
        <f>HYPERLINK("https://www.773grp.com/globalSearch/03P4M/page-1", "03P4M")</f>
        <v>03P4M</v>
      </c>
      <c r="B48657" s="3" t="str">
        <f>HYPERLINK("https://www.773grp.com/manufacturer/renesas-electronics-america-inc?pageNo=620", "Renesas Electronics")</f>
        <v>Renesas Electronics</v>
      </c>
      <c r="C48657" s="6">
        <v>196211</v>
      </c>
      <c r="D48657" s="7">
        <v>1</v>
      </c>
    </row>
    <row r="48658" spans="1:4" x14ac:dyDescent="0.25">
      <c r="A48658" t="str">
        <f>HYPERLINK("https://www.773grp.com/globalSearch/2SA1152-A/page-1", "2SA1152-A")</f>
        <v>2SA1152-A</v>
      </c>
      <c r="B48658" s="3" t="str">
        <f>HYPERLINK("https://www.773grp.com/manufacturer/renesas-electronics-america-inc?pageNo=621", "Renesas Electronics")</f>
        <v>Renesas Electronics</v>
      </c>
      <c r="C48658" s="6">
        <v>42972</v>
      </c>
      <c r="D48658" s="7">
        <v>1</v>
      </c>
    </row>
    <row r="48659" spans="1:4" x14ac:dyDescent="0.25">
      <c r="A48659" t="str">
        <f>HYPERLINK("https://www.773grp.com/globalSearch/74LS26P-E/page-1", "74LS26P-E")</f>
        <v>74LS26P-E</v>
      </c>
      <c r="B48659" s="3" t="str">
        <f>HYPERLINK("https://www.773grp.com/manufacturer/renesas-electronics-america-inc?pageNo=622", "Renesas Electronics")</f>
        <v>Renesas Electronics</v>
      </c>
      <c r="C48659" s="6">
        <v>6000</v>
      </c>
      <c r="D48659" s="7">
        <v>1</v>
      </c>
    </row>
    <row r="48660" spans="1:4" x14ac:dyDescent="0.25">
      <c r="A48660" t="str">
        <f>HYPERLINK("https://www.773grp.com/globalSearch/HA17393ARPEL-E/page-1", "HA17393ARPEL-E")</f>
        <v>HA17393ARPEL-E</v>
      </c>
      <c r="B48660" s="3" t="str">
        <f>HYPERLINK("https://www.773grp.com/manufacturer/renesas-electronics-america-inc?pageNo=623", "Renesas Electronics")</f>
        <v>Renesas Electronics</v>
      </c>
      <c r="C48660" s="6">
        <v>15000</v>
      </c>
      <c r="D48660" s="7">
        <v>1</v>
      </c>
    </row>
    <row r="48661" spans="1:4" x14ac:dyDescent="0.25">
      <c r="A48661" t="str">
        <f>HYPERLINK("https://www.773grp.com/globalSearch/HSM88WK90TL-E/page-1", "HSM88WK90TL-E")</f>
        <v>HSM88WK90TL-E</v>
      </c>
      <c r="B48661" s="3" t="str">
        <f>HYPERLINK("https://www.773grp.com/manufacturer/renesas-electronics-america-inc?pageNo=624", "Renesas Electronics")</f>
        <v>Renesas Electronics</v>
      </c>
      <c r="C48661" s="6">
        <v>27000</v>
      </c>
      <c r="D48661" s="7">
        <v>1</v>
      </c>
    </row>
    <row r="48662" spans="1:4" x14ac:dyDescent="0.25">
      <c r="A48662" t="str">
        <f>HYPERLINK("https://www.773grp.com/globalSearch/M5237ML#DG7J/page-1", "M5237ML#DG7J")</f>
        <v>M5237ML#DG7J</v>
      </c>
      <c r="B48662" s="3" t="str">
        <f>HYPERLINK("https://www.773grp.com/manufacturer/renesas-electronics-america-inc?pageNo=625", "Renesas Electronics")</f>
        <v>Renesas Electronics</v>
      </c>
      <c r="C48662" s="6">
        <v>18000</v>
      </c>
      <c r="D48662" s="7">
        <v>1</v>
      </c>
    </row>
    <row r="48663" spans="1:4" x14ac:dyDescent="0.25">
      <c r="A48663" t="str">
        <f>HYPERLINK("https://www.773grp.com/globalSearch/RJK03D0DNS-00#J5/page-1", "RJK03D0DNS-00#J5")</f>
        <v>RJK03D0DNS-00#J5</v>
      </c>
      <c r="B48663" s="3" t="str">
        <f>HYPERLINK("https://www.773grp.com/manufacturer/renesas-electronics-america-inc?pageNo=626", "Renesas Electronics")</f>
        <v>Renesas Electronics</v>
      </c>
      <c r="C48663" s="6">
        <v>55000</v>
      </c>
      <c r="D48663" s="7">
        <v>1</v>
      </c>
    </row>
    <row r="48664" spans="1:4" x14ac:dyDescent="0.25">
      <c r="A48664" t="str">
        <f>HYPERLINK("https://www.773grp.com/globalSearch/03P2M-AZ/page-1", "03P2M-AZ")</f>
        <v>03P2M-AZ</v>
      </c>
      <c r="B48664" s="3" t="str">
        <f>HYPERLINK("https://www.773grp.com/manufacturer/renesas-electronics-america-inc?pageNo=627", "Renesas Electronics")</f>
        <v>Renesas Electronics</v>
      </c>
      <c r="C48664" s="6">
        <v>12532</v>
      </c>
      <c r="D48664" s="7">
        <v>1.06</v>
      </c>
    </row>
    <row r="48665" spans="1:4" x14ac:dyDescent="0.25">
      <c r="A48665" t="str">
        <f>HYPERLINK("https://www.773grp.com/globalSearch/03P5J-AZ/page-1", "03P5J-AZ")</f>
        <v>03P5J-AZ</v>
      </c>
      <c r="B48665" s="3" t="str">
        <f>HYPERLINK("https://www.773grp.com/manufacturer/renesas-electronics-america-inc?pageNo=628", "Renesas Electronics")</f>
        <v>Renesas Electronics</v>
      </c>
      <c r="C48665" s="6">
        <v>25</v>
      </c>
      <c r="D48665" s="7">
        <v>1.06</v>
      </c>
    </row>
    <row r="48666" spans="1:4" x14ac:dyDescent="0.25">
      <c r="A48666" t="str">
        <f>HYPERLINK("https://www.773grp.com/globalSearch/2SC4308TZ-E/page-1", "2SC4308TZ-E")</f>
        <v>2SC4308TZ-E</v>
      </c>
      <c r="B48666" s="3" t="str">
        <f>HYPERLINK("https://www.773grp.com/manufacturer/renesas-electronics-america-inc?pageNo=629", "Renesas Electronics")</f>
        <v>Renesas Electronics</v>
      </c>
      <c r="C48666" s="6">
        <v>27500</v>
      </c>
      <c r="D48666" s="7">
        <v>1.06</v>
      </c>
    </row>
    <row r="48667" spans="1:4" x14ac:dyDescent="0.25">
      <c r="A48667" t="str">
        <f>HYPERLINK("https://www.773grp.com/globalSearch/2SD1418DBTR/page-1", "2SD1418DBTR")</f>
        <v>2SD1418DBTR</v>
      </c>
      <c r="B48667" s="3" t="str">
        <f>HYPERLINK("https://www.773grp.com/manufacturer/renesas-electronics-america-inc?pageNo=630", "Renesas Electronics")</f>
        <v>Renesas Electronics</v>
      </c>
      <c r="C48667" s="6">
        <v>2000</v>
      </c>
      <c r="D48667" s="7">
        <v>1.06</v>
      </c>
    </row>
    <row r="48668" spans="1:4" x14ac:dyDescent="0.25">
      <c r="A48668" t="str">
        <f>HYPERLINK("https://www.773grp.com/globalSearch/2SK2570ZL-TL-E/page-1", "2SK2570ZL-TL-E")</f>
        <v>2SK2570ZL-TL-E</v>
      </c>
      <c r="B48668" s="3" t="str">
        <f>HYPERLINK("https://www.773grp.com/manufacturer/renesas-electronics-america-inc?pageNo=631", "Renesas Electronics")</f>
        <v>Renesas Electronics</v>
      </c>
      <c r="C48668" s="6">
        <v>54000</v>
      </c>
      <c r="D48668" s="7">
        <v>1.06</v>
      </c>
    </row>
    <row r="48669" spans="1:4" x14ac:dyDescent="0.25">
      <c r="A48669" t="str">
        <f>HYPERLINK("https://www.773grp.com/globalSearch/CR02AM-8/page-1", "CR02AM-8")</f>
        <v>CR02AM-8</v>
      </c>
      <c r="B48669" s="3" t="str">
        <f>HYPERLINK("https://www.773grp.com/manufacturer/renesas-electronics-america-inc?pageNo=632", "Renesas Electronics")</f>
        <v>Renesas Electronics</v>
      </c>
      <c r="C48669" s="6">
        <v>59427</v>
      </c>
      <c r="D48669" s="7">
        <v>1.06</v>
      </c>
    </row>
    <row r="48670" spans="1:4" x14ac:dyDescent="0.25">
      <c r="A48670" t="str">
        <f>HYPERLINK("https://www.773grp.com/globalSearch/HS54095-01-E/page-1", "HS54095-01-E")</f>
        <v>HS54095-01-E</v>
      </c>
      <c r="B48670" s="3" t="str">
        <f>HYPERLINK("https://www.773grp.com/manufacturer/renesas-electronics-america-inc?pageNo=633", "Renesas Electronics")</f>
        <v>Renesas Electronics</v>
      </c>
      <c r="C48670" s="6">
        <v>5500</v>
      </c>
      <c r="D48670" s="7">
        <v>1.06</v>
      </c>
    </row>
    <row r="48671" spans="1:4" x14ac:dyDescent="0.25">
      <c r="A48671" t="str">
        <f>HYPERLINK("https://www.773grp.com/globalSearch/HSB88WKTL-E/page-1", "HSB88WKTL-E")</f>
        <v>HSB88WKTL-E</v>
      </c>
      <c r="B48671" s="3" t="str">
        <f>HYPERLINK("https://www.773grp.com/manufacturer/renesas-electronics-america-inc?pageNo=634", "Renesas Electronics")</f>
        <v>Renesas Electronics</v>
      </c>
      <c r="C48671" s="6">
        <v>27000</v>
      </c>
      <c r="D48671" s="7">
        <v>1.06</v>
      </c>
    </row>
    <row r="48672" spans="1:4" x14ac:dyDescent="0.25">
      <c r="A48672" t="str">
        <f>HYPERLINK("https://www.773grp.com/globalSearch/HZ6.8BPTK-E/page-1", "HZ6.8BPTK-E")</f>
        <v>HZ6.8BPTK-E</v>
      </c>
      <c r="B48672" s="3" t="str">
        <f>HYPERLINK("https://www.773grp.com/manufacturer/renesas-electronics-america-inc?pageNo=635", "Renesas Electronics")</f>
        <v>Renesas Electronics</v>
      </c>
      <c r="C48672" s="6">
        <v>65000</v>
      </c>
      <c r="D48672" s="7">
        <v>1.06</v>
      </c>
    </row>
    <row r="48673" spans="1:4" x14ac:dyDescent="0.25">
      <c r="A48673" t="str">
        <f>HYPERLINK("https://www.773grp.com/globalSearch/HZ7.5BP-E/page-1", "HZ7.5BP-E")</f>
        <v>HZ7.5BP-E</v>
      </c>
      <c r="B48673" s="3" t="str">
        <f>HYPERLINK("https://www.773grp.com/manufacturer/renesas-electronics-america-inc?pageNo=636", "Renesas Electronics")</f>
        <v>Renesas Electronics</v>
      </c>
      <c r="C48673" s="6">
        <v>5300</v>
      </c>
      <c r="D48673" s="7">
        <v>1.06</v>
      </c>
    </row>
    <row r="48674" spans="1:4" x14ac:dyDescent="0.25">
      <c r="A48674" t="str">
        <f>HYPERLINK("https://www.773grp.com/globalSearch/M51981ML#DF0J/page-1", "M51981ML#DF0J")</f>
        <v>M51981ML#DF0J</v>
      </c>
      <c r="B48674" s="3" t="str">
        <f>HYPERLINK("https://www.773grp.com/manufacturer/renesas-electronics-america-inc?pageNo=637", "Renesas Electronics")</f>
        <v>Renesas Electronics</v>
      </c>
      <c r="C48674" s="6">
        <v>4000</v>
      </c>
      <c r="D48674" s="7">
        <v>1.06</v>
      </c>
    </row>
    <row r="48675" spans="1:4" x14ac:dyDescent="0.25">
      <c r="A48675" t="str">
        <f>HYPERLINK("https://www.773grp.com/globalSearch/M5218AL#TG1Z/page-1", "M5218AL#TG1Z")</f>
        <v>M5218AL#TG1Z</v>
      </c>
      <c r="B48675" s="3" t="str">
        <f>HYPERLINK("https://www.773grp.com/manufacturer/renesas-electronics-america-inc?pageNo=638", "Renesas Electronics")</f>
        <v>Renesas Electronics</v>
      </c>
      <c r="C48675" s="6">
        <v>5287</v>
      </c>
      <c r="D48675" s="7">
        <v>1.06</v>
      </c>
    </row>
    <row r="48676" spans="1:4" x14ac:dyDescent="0.25">
      <c r="A48676" t="str">
        <f>HYPERLINK("https://www.773grp.com/globalSearch/M5218AP#TG1Z/page-1", "M5218AP#TG1Z")</f>
        <v>M5218AP#TG1Z</v>
      </c>
      <c r="B48676" s="3" t="str">
        <f>HYPERLINK("https://www.773grp.com/manufacturer/renesas-electronics-america-inc?pageNo=639", "Renesas Electronics")</f>
        <v>Renesas Electronics</v>
      </c>
      <c r="C48676" s="6">
        <v>4816</v>
      </c>
      <c r="D48676" s="7">
        <v>1.06</v>
      </c>
    </row>
    <row r="48677" spans="1:4" x14ac:dyDescent="0.25">
      <c r="A48677" t="str">
        <f>HYPERLINK("https://www.773grp.com/globalSearch/M5237L#YF0J/page-1", "M5237L#YF0J")</f>
        <v>M5237L#YF0J</v>
      </c>
      <c r="B48677" s="3" t="str">
        <f>HYPERLINK("https://www.773grp.com/manufacturer/renesas-electronics-america-inc?pageNo=640", "Renesas Electronics")</f>
        <v>Renesas Electronics</v>
      </c>
      <c r="C48677" s="6">
        <v>1276</v>
      </c>
      <c r="D48677" s="7">
        <v>1.06</v>
      </c>
    </row>
    <row r="48678" spans="1:4" x14ac:dyDescent="0.25">
      <c r="A48678" t="str">
        <f>HYPERLINK("https://www.773grp.com/globalSearch/M62705ML#CF0J/page-1", "M62705ML#CF0J")</f>
        <v>M62705ML#CF0J</v>
      </c>
      <c r="B48678" s="3" t="str">
        <f>HYPERLINK("https://www.773grp.com/manufacturer/renesas-electronics-america-inc?pageNo=641", "Renesas Electronics")</f>
        <v>Renesas Electronics</v>
      </c>
      <c r="C48678" s="6">
        <v>3750</v>
      </c>
      <c r="D48678" s="7">
        <v>1.06</v>
      </c>
    </row>
    <row r="48679" spans="1:4" x14ac:dyDescent="0.25">
      <c r="A48679" t="str">
        <f>HYPERLINK("https://www.773grp.com/globalSearch/M62723ML#CF0J/page-1", "M62723ML#CF0J")</f>
        <v>M62723ML#CF0J</v>
      </c>
      <c r="B48679" s="3" t="str">
        <f>HYPERLINK("https://www.773grp.com/manufacturer/renesas-electronics-america-inc?pageNo=642", "Renesas Electronics")</f>
        <v>Renesas Electronics</v>
      </c>
      <c r="C48679" s="6">
        <v>19000</v>
      </c>
      <c r="D48679" s="7">
        <v>1.06</v>
      </c>
    </row>
    <row r="48680" spans="1:4" x14ac:dyDescent="0.25">
      <c r="A48680" t="str">
        <f>HYPERLINK("https://www.773grp.com/globalSearch/M62724ML#CG0J/page-1", "M62724ML#CG0J")</f>
        <v>M62724ML#CG0J</v>
      </c>
      <c r="B48680" s="3" t="str">
        <f>HYPERLINK("https://www.773grp.com/manufacturer/renesas-electronics-america-inc?pageNo=643", "Renesas Electronics")</f>
        <v>Renesas Electronics</v>
      </c>
      <c r="C48680" s="6">
        <v>9000</v>
      </c>
      <c r="D48680" s="7">
        <v>1.06</v>
      </c>
    </row>
    <row r="48681" spans="1:4" x14ac:dyDescent="0.25">
      <c r="A48681" t="str">
        <f>HYPERLINK("https://www.773grp.com/globalSearch/M62733ML#TF0J/page-1", "M62733ML#TF0J")</f>
        <v>M62733ML#TF0J</v>
      </c>
      <c r="B48681" s="3" t="str">
        <f>HYPERLINK("https://www.773grp.com/manufacturer/renesas-electronics-america-inc?pageNo=644", "Renesas Electronics")</f>
        <v>Renesas Electronics</v>
      </c>
      <c r="C48681" s="6">
        <v>2775</v>
      </c>
      <c r="D48681" s="7">
        <v>1.06</v>
      </c>
    </row>
    <row r="48682" spans="1:4" x14ac:dyDescent="0.25">
      <c r="A48682" t="str">
        <f>HYPERLINK("https://www.773grp.com/globalSearch/RD10P-AZ/page-1", "RD10P-AZ")</f>
        <v>RD10P-AZ</v>
      </c>
      <c r="B48682" s="3" t="str">
        <f>HYPERLINK("https://www.773grp.com/manufacturer/renesas-electronics-america-inc?pageNo=645", "Renesas Electronics")</f>
        <v>Renesas Electronics</v>
      </c>
      <c r="C48682" s="6">
        <v>50</v>
      </c>
      <c r="D48682" s="7">
        <v>1.06</v>
      </c>
    </row>
    <row r="48683" spans="1:4" x14ac:dyDescent="0.25">
      <c r="A48683" t="str">
        <f>HYPERLINK("https://www.773grp.com/globalSearch/RQJ0201UGDQA#H1/page-1", "RQJ0201UGDQA#H1")</f>
        <v>RQJ0201UGDQA#H1</v>
      </c>
      <c r="B48683" s="3" t="str">
        <f>HYPERLINK("https://www.773grp.com/manufacturer/renesas-electronics-america-inc?pageNo=646", "Renesas Electronics")</f>
        <v>Renesas Electronics</v>
      </c>
      <c r="C48683" s="6">
        <v>9000</v>
      </c>
      <c r="D48683" s="7">
        <v>1.06</v>
      </c>
    </row>
    <row r="48684" spans="1:4" x14ac:dyDescent="0.25">
      <c r="A48684" t="str">
        <f>HYPERLINK("https://www.773grp.com/globalSearch/TBB1010KMWS-E/page-1", "TBB1010KMWS-E")</f>
        <v>TBB1010KMWS-E</v>
      </c>
      <c r="B48684" s="3" t="str">
        <f>HYPERLINK("https://www.773grp.com/manufacturer/renesas-electronics-america-inc?pageNo=647", "Renesas Electronics")</f>
        <v>Renesas Electronics</v>
      </c>
      <c r="C48684" s="6">
        <v>2990</v>
      </c>
      <c r="D48684" s="7">
        <v>1.06</v>
      </c>
    </row>
    <row r="48685" spans="1:4" x14ac:dyDescent="0.25">
      <c r="A48685" t="str">
        <f>HYPERLINK("https://www.773grp.com/globalSearch/2SA952-A/page-1", "2SA952-A")</f>
        <v>2SA952-A</v>
      </c>
      <c r="B48685" s="3" t="str">
        <f>HYPERLINK("https://www.773grp.com/manufacturer/renesas-electronics-america-inc?pageNo=648", "Renesas Electronics")</f>
        <v>Renesas Electronics</v>
      </c>
      <c r="C48685" s="6">
        <v>1385539</v>
      </c>
      <c r="D48685" s="7">
        <v>1.1100000000000001</v>
      </c>
    </row>
    <row r="48686" spans="1:4" x14ac:dyDescent="0.25">
      <c r="A48686" t="str">
        <f>HYPERLINK("https://www.773grp.com/globalSearch/2SB1001BJTR-E/page-1", "2SB1001BJTR-E")</f>
        <v>2SB1001BJTR-E</v>
      </c>
      <c r="B48686" s="3" t="str">
        <f>HYPERLINK("https://www.773grp.com/manufacturer/renesas-electronics-america-inc?pageNo=649", "Renesas Electronics")</f>
        <v>Renesas Electronics</v>
      </c>
      <c r="C48686" s="6">
        <v>18000</v>
      </c>
      <c r="D48686" s="7">
        <v>1.1100000000000001</v>
      </c>
    </row>
    <row r="48687" spans="1:4" x14ac:dyDescent="0.25">
      <c r="A48687" t="str">
        <f>HYPERLINK("https://www.773grp.com/globalSearch/2SD2213TZ-E/page-1", "2SD2213TZ-E")</f>
        <v>2SD2213TZ-E</v>
      </c>
      <c r="B48687" s="3" t="str">
        <f>HYPERLINK("https://www.773grp.com/manufacturer/renesas-electronics-america-inc?pageNo=650", "Renesas Electronics")</f>
        <v>Renesas Electronics</v>
      </c>
      <c r="C48687" s="6">
        <v>2500</v>
      </c>
      <c r="D48687" s="7">
        <v>1.1100000000000001</v>
      </c>
    </row>
    <row r="48688" spans="1:4" x14ac:dyDescent="0.25">
      <c r="A48688" t="str">
        <f>HYPERLINK("https://www.773grp.com/globalSearch/2SD667D-E/page-1", "2SD667D-E")</f>
        <v>2SD667D-E</v>
      </c>
      <c r="B48688" s="3" t="str">
        <f>HYPERLINK("https://www.773grp.com/manufacturer/renesas-electronics-america-inc?pageNo=651", "Renesas Electronics")</f>
        <v>Renesas Electronics</v>
      </c>
      <c r="C48688" s="6">
        <v>3820</v>
      </c>
      <c r="D48688" s="7">
        <v>1.1100000000000001</v>
      </c>
    </row>
    <row r="48689" spans="1:4" x14ac:dyDescent="0.25">
      <c r="A48689" t="str">
        <f>HYPERLINK("https://www.773grp.com/globalSearch/2SK1772HYTR-E/page-1", "2SK1772HYTR-E")</f>
        <v>2SK1772HYTR-E</v>
      </c>
      <c r="B48689" s="3" t="str">
        <f>HYPERLINK("https://www.773grp.com/manufacturer/renesas-electronics-america-inc?pageNo=652", "Renesas Electronics")</f>
        <v>Renesas Electronics</v>
      </c>
      <c r="C48689" s="6">
        <v>26771</v>
      </c>
      <c r="D48689" s="7">
        <v>1.1100000000000001</v>
      </c>
    </row>
    <row r="48690" spans="1:4" x14ac:dyDescent="0.25">
      <c r="A48690" t="str">
        <f>HYPERLINK("https://www.773grp.com/globalSearch/HSG2001VF-01TL-E/page-1", "HSG2001VF-01TL-E")</f>
        <v>HSG2001VF-01TL-E</v>
      </c>
      <c r="B48690" s="3" t="str">
        <f>HYPERLINK("https://www.773grp.com/manufacturer/renesas-electronics-america-inc?pageNo=653", "Renesas Electronics")</f>
        <v>Renesas Electronics</v>
      </c>
      <c r="C48690" s="6">
        <v>468000</v>
      </c>
      <c r="D48690" s="7">
        <v>1.1100000000000001</v>
      </c>
    </row>
    <row r="48691" spans="1:4" x14ac:dyDescent="0.25">
      <c r="A48691" t="str">
        <f>HYPERLINK("https://www.773grp.com/globalSearch/RJK03M6DNS-WS#J5/page-1", "RJK03M6DNS-WS#J5")</f>
        <v>RJK03M6DNS-WS#J5</v>
      </c>
      <c r="B48691" s="3" t="str">
        <f>HYPERLINK("https://www.773grp.com/manufacturer/renesas-electronics-america-inc?pageNo=654", "Renesas Electronics")</f>
        <v>Renesas Electronics</v>
      </c>
      <c r="C48691" s="6">
        <v>3610</v>
      </c>
      <c r="D48691" s="7">
        <v>1.1100000000000001</v>
      </c>
    </row>
    <row r="48692" spans="1:4" x14ac:dyDescent="0.25">
      <c r="A48692" t="str">
        <f>HYPERLINK("https://www.773grp.com/globalSearch/RJK03M6DPA-WS#J5A/page-1", "RJK03M6DPA-WS#J5A")</f>
        <v>RJK03M6DPA-WS#J5A</v>
      </c>
      <c r="B48692" s="3" t="str">
        <f>HYPERLINK("https://www.773grp.com/manufacturer/renesas-electronics-america-inc?pageNo=655", "Renesas Electronics")</f>
        <v>Renesas Electronics</v>
      </c>
      <c r="C48692" s="6">
        <v>1740</v>
      </c>
      <c r="D48692" s="7">
        <v>1.1100000000000001</v>
      </c>
    </row>
    <row r="48693" spans="1:4" x14ac:dyDescent="0.25">
      <c r="A48693" t="str">
        <f>HYPERLINK("https://www.773grp.com/globalSearch/UPA2352BT1G-E4-A/page-1", "UPA2352BT1G-E4-A")</f>
        <v>UPA2352BT1G-E4-A</v>
      </c>
      <c r="B48693" s="3" t="str">
        <f>HYPERLINK("https://www.773grp.com/manufacturer/renesas-electronics-america-inc?pageNo=656", "Renesas Electronics")</f>
        <v>Renesas Electronics</v>
      </c>
      <c r="C48693" s="6">
        <v>50000</v>
      </c>
      <c r="D48693" s="7">
        <v>1.1100000000000001</v>
      </c>
    </row>
    <row r="48694" spans="1:4" x14ac:dyDescent="0.25">
      <c r="A48694" t="str">
        <f>HYPERLINK("https://www.773grp.com/globalSearch/PS2705A-1-F3-A/page-1", "PS2705A-1-F3-A")</f>
        <v>PS2705A-1-F3-A</v>
      </c>
      <c r="B48694" s="3" t="str">
        <f>HYPERLINK("https://www.773grp.com/manufacturer/renesas-electronics-america-inc?pageNo=657", "Renesas Electronics")</f>
        <v>Renesas Electronics</v>
      </c>
      <c r="C48694" s="6">
        <v>3000</v>
      </c>
      <c r="D48694" s="7">
        <v>1.1100000000000001</v>
      </c>
    </row>
    <row r="48695" spans="1:4" x14ac:dyDescent="0.25">
      <c r="A48695" t="str">
        <f>HYPERLINK("https://www.773grp.com/globalSearch/2SA992-T-A/page-1", "2SA992-T-A")</f>
        <v>2SA992-T-A</v>
      </c>
      <c r="B48695" s="3" t="str">
        <f>HYPERLINK("https://www.773grp.com/manufacturer/renesas-electronics-america-inc?pageNo=658", "Renesas Electronics")</f>
        <v>Renesas Electronics</v>
      </c>
      <c r="C48695" s="6">
        <v>447500</v>
      </c>
      <c r="D48695" s="7">
        <v>1.1599999999999999</v>
      </c>
    </row>
    <row r="48696" spans="1:4" x14ac:dyDescent="0.25">
      <c r="A48696" t="str">
        <f>HYPERLINK("https://www.773grp.com/globalSearch/2SC3127ID-TL-E/page-1", "2SC3127ID-TL-E")</f>
        <v>2SC3127ID-TL-E</v>
      </c>
      <c r="B48696" s="3" t="str">
        <f>HYPERLINK("https://www.773grp.com/manufacturer/renesas-electronics-america-inc?pageNo=659", "Renesas Electronics")</f>
        <v>Renesas Electronics</v>
      </c>
      <c r="C48696" s="6">
        <v>42000</v>
      </c>
      <c r="D48696" s="7">
        <v>1.1599999999999999</v>
      </c>
    </row>
    <row r="48697" spans="1:4" x14ac:dyDescent="0.25">
      <c r="A48697" t="str">
        <f>HYPERLINK("https://www.773grp.com/globalSearch/AC01DJM-AZ/page-1", "AC01DJM-AZ")</f>
        <v>AC01DJM-AZ</v>
      </c>
      <c r="B48697" s="3" t="str">
        <f>HYPERLINK("https://www.773grp.com/manufacturer/renesas-electronics-america-inc?pageNo=660", "Renesas Electronics")</f>
        <v>Renesas Electronics</v>
      </c>
      <c r="C48697" s="6">
        <v>350</v>
      </c>
      <c r="D48697" s="7">
        <v>1.1599999999999999</v>
      </c>
    </row>
    <row r="48698" spans="1:4" x14ac:dyDescent="0.25">
      <c r="A48698" t="str">
        <f>HYPERLINK("https://www.773grp.com/globalSearch/HZ12CP-E/page-1", "HZ12CP-E")</f>
        <v>HZ12CP-E</v>
      </c>
      <c r="B48698" s="3" t="str">
        <f>HYPERLINK("https://www.773grp.com/manufacturer/renesas-electronics-america-inc?pageNo=661", "Renesas Electronics")</f>
        <v>Renesas Electronics</v>
      </c>
      <c r="C48698" s="6">
        <v>2880</v>
      </c>
      <c r="D48698" s="7">
        <v>1.1599999999999999</v>
      </c>
    </row>
    <row r="48699" spans="1:4" x14ac:dyDescent="0.25">
      <c r="A48699" t="str">
        <f>HYPERLINK("https://www.773grp.com/globalSearch/HZ13BP-J-E/page-1", "HZ13BP-J-E")</f>
        <v>HZ13BP-J-E</v>
      </c>
      <c r="B48699" s="3" t="str">
        <f>HYPERLINK("https://www.773grp.com/manufacturer/renesas-electronics-america-inc?pageNo=662", "Renesas Electronics")</f>
        <v>Renesas Electronics</v>
      </c>
      <c r="C48699" s="6">
        <v>10700</v>
      </c>
      <c r="D48699" s="7">
        <v>1.1599999999999999</v>
      </c>
    </row>
    <row r="48700" spans="1:4" x14ac:dyDescent="0.25">
      <c r="A48700" t="str">
        <f>HYPERLINK("https://www.773grp.com/globalSearch/HZ16BPTK-E/page-1", "HZ16BPTK-E")</f>
        <v>HZ16BPTK-E</v>
      </c>
      <c r="B48700" s="3" t="str">
        <f>HYPERLINK("https://www.773grp.com/manufacturer/renesas-electronics-america-inc?pageNo=663", "Renesas Electronics")</f>
        <v>Renesas Electronics</v>
      </c>
      <c r="C48700" s="6">
        <v>32500</v>
      </c>
      <c r="D48700" s="7">
        <v>1.1599999999999999</v>
      </c>
    </row>
    <row r="48701" spans="1:4" x14ac:dyDescent="0.25">
      <c r="A48701" t="str">
        <f>HYPERLINK("https://www.773grp.com/globalSearch/HZ16BPTN-E/page-1", "HZ16BPTN-E")</f>
        <v>HZ16BPTN-E</v>
      </c>
      <c r="B48701" s="3" t="str">
        <f>HYPERLINK("https://www.773grp.com/manufacturer/renesas-electronics-america-inc?pageNo=664", "Renesas Electronics")</f>
        <v>Renesas Electronics</v>
      </c>
      <c r="C48701" s="6">
        <v>267500</v>
      </c>
      <c r="D48701" s="7">
        <v>1.1599999999999999</v>
      </c>
    </row>
    <row r="48702" spans="1:4" x14ac:dyDescent="0.25">
      <c r="A48702" t="str">
        <f>HYPERLINK("https://www.773grp.com/globalSearch/HZ18BP-E/page-1", "HZ18BP-E")</f>
        <v>HZ18BP-E</v>
      </c>
      <c r="B48702" s="3" t="str">
        <f>HYPERLINK("https://www.773grp.com/manufacturer/renesas-electronics-america-inc?pageNo=665", "Renesas Electronics")</f>
        <v>Renesas Electronics</v>
      </c>
      <c r="C48702" s="6">
        <v>74040</v>
      </c>
      <c r="D48702" s="7">
        <v>1.1599999999999999</v>
      </c>
    </row>
    <row r="48703" spans="1:4" x14ac:dyDescent="0.25">
      <c r="A48703" t="str">
        <f>HYPERLINK("https://www.773grp.com/globalSearch/HZ18BPTN-E/page-1", "HZ18BPTN-E")</f>
        <v>HZ18BPTN-E</v>
      </c>
      <c r="B48703" s="3" t="str">
        <f>HYPERLINK("https://www.773grp.com/manufacturer/renesas-electronics-america-inc?pageNo=666", "Renesas Electronics")</f>
        <v>Renesas Electronics</v>
      </c>
      <c r="C48703" s="6">
        <v>907500</v>
      </c>
      <c r="D48703" s="7">
        <v>1.1599999999999999</v>
      </c>
    </row>
    <row r="48704" spans="1:4" x14ac:dyDescent="0.25">
      <c r="A48704" t="str">
        <f>HYPERLINK("https://www.773grp.com/globalSearch/HZ20BPTK-E/page-1", "HZ20BPTK-E")</f>
        <v>HZ20BPTK-E</v>
      </c>
      <c r="B48704" s="3" t="str">
        <f>HYPERLINK("https://www.773grp.com/manufacturer/renesas-electronics-america-inc?pageNo=667", "Renesas Electronics")</f>
        <v>Renesas Electronics</v>
      </c>
      <c r="C48704" s="6">
        <v>572500</v>
      </c>
      <c r="D48704" s="7">
        <v>1.1599999999999999</v>
      </c>
    </row>
    <row r="48705" spans="1:4" x14ac:dyDescent="0.25">
      <c r="A48705" t="str">
        <f>HYPERLINK("https://www.773grp.com/globalSearch/HZ22CPTK-E/page-1", "HZ22CPTK-E")</f>
        <v>HZ22CPTK-E</v>
      </c>
      <c r="B48705" s="3" t="str">
        <f>HYPERLINK("https://www.773grp.com/manufacturer/renesas-electronics-america-inc?pageNo=668", "Renesas Electronics")</f>
        <v>Renesas Electronics</v>
      </c>
      <c r="C48705" s="6">
        <v>5000</v>
      </c>
      <c r="D48705" s="7">
        <v>1.1599999999999999</v>
      </c>
    </row>
    <row r="48706" spans="1:4" x14ac:dyDescent="0.25">
      <c r="A48706" t="str">
        <f>HYPERLINK("https://www.773grp.com/globalSearch/HZ24BP-E/page-1", "HZ24BP-E")</f>
        <v>HZ24BP-E</v>
      </c>
      <c r="B48706" s="3" t="str">
        <f>HYPERLINK("https://www.773grp.com/manufacturer/renesas-electronics-america-inc?pageNo=669", "Renesas Electronics")</f>
        <v>Renesas Electronics</v>
      </c>
      <c r="C48706" s="6">
        <v>3900</v>
      </c>
      <c r="D48706" s="7">
        <v>1.1599999999999999</v>
      </c>
    </row>
    <row r="48707" spans="1:4" x14ac:dyDescent="0.25">
      <c r="A48707" t="str">
        <f>HYPERLINK("https://www.773grp.com/globalSearch/HZ24BPTK-E/page-1", "HZ24BPTK-E")</f>
        <v>HZ24BPTK-E</v>
      </c>
      <c r="B48707" s="3" t="str">
        <f>HYPERLINK("https://www.773grp.com/manufacturer/renesas-electronics-america-inc?pageNo=670", "Renesas Electronics")</f>
        <v>Renesas Electronics</v>
      </c>
      <c r="C48707" s="6">
        <v>1122500</v>
      </c>
      <c r="D48707" s="7">
        <v>1.1599999999999999</v>
      </c>
    </row>
    <row r="48708" spans="1:4" x14ac:dyDescent="0.25">
      <c r="A48708" t="str">
        <f>HYPERLINK("https://www.773grp.com/globalSearch/HZ27CPTK-E/page-1", "HZ27CPTK-E")</f>
        <v>HZ27CPTK-E</v>
      </c>
      <c r="B48708" s="3" t="str">
        <f>HYPERLINK("https://www.773grp.com/manufacturer/renesas-electronics-america-inc?pageNo=671", "Renesas Electronics")</f>
        <v>Renesas Electronics</v>
      </c>
      <c r="C48708" s="6">
        <v>190000</v>
      </c>
      <c r="D48708" s="7">
        <v>1.1599999999999999</v>
      </c>
    </row>
    <row r="48709" spans="1:4" x14ac:dyDescent="0.25">
      <c r="A48709" t="str">
        <f>HYPERLINK("https://www.773grp.com/globalSearch/HZ33CP-E/page-1", "HZ33CP-E")</f>
        <v>HZ33CP-E</v>
      </c>
      <c r="B48709" s="3" t="str">
        <f>HYPERLINK("https://www.773grp.com/manufacturer/renesas-electronics-america-inc?pageNo=672", "Renesas Electronics")</f>
        <v>Renesas Electronics</v>
      </c>
      <c r="C48709" s="6">
        <v>47500</v>
      </c>
      <c r="D48709" s="7">
        <v>1.1599999999999999</v>
      </c>
    </row>
    <row r="48710" spans="1:4" x14ac:dyDescent="0.25">
      <c r="A48710" t="str">
        <f>HYPERLINK("https://www.773grp.com/globalSearch/HZ4.7BPTK-E/page-1", "HZ4.7BPTK-E")</f>
        <v>HZ4.7BPTK-E</v>
      </c>
      <c r="B48710" s="3" t="str">
        <f>HYPERLINK("https://www.773grp.com/manufacturer/renesas-electronics-america-inc?pageNo=673", "Renesas Electronics")</f>
        <v>Renesas Electronics</v>
      </c>
      <c r="C48710" s="6">
        <v>35000</v>
      </c>
      <c r="D48710" s="7">
        <v>1.1599999999999999</v>
      </c>
    </row>
    <row r="48711" spans="1:4" x14ac:dyDescent="0.25">
      <c r="A48711" t="str">
        <f>HYPERLINK("https://www.773grp.com/globalSearch/HZ5.1BPTK-E/page-1", "HZ5.1BPTK-E")</f>
        <v>HZ5.1BPTK-E</v>
      </c>
      <c r="B48711" s="3" t="str">
        <f>HYPERLINK("https://www.773grp.com/manufacturer/renesas-electronics-america-inc?pageNo=674", "Renesas Electronics")</f>
        <v>Renesas Electronics</v>
      </c>
      <c r="C48711" s="6">
        <v>72500</v>
      </c>
      <c r="D48711" s="7">
        <v>1.1599999999999999</v>
      </c>
    </row>
    <row r="48712" spans="1:4" x14ac:dyDescent="0.25">
      <c r="A48712" t="str">
        <f>HYPERLINK("https://www.773grp.com/globalSearch/HZ5.6CP-E/page-1", "HZ5.6CP-E")</f>
        <v>HZ5.6CP-E</v>
      </c>
      <c r="B48712" s="3" t="str">
        <f>HYPERLINK("https://www.773grp.com/manufacturer/renesas-electronics-america-inc?pageNo=675", "Renesas Electronics")</f>
        <v>Renesas Electronics</v>
      </c>
      <c r="C48712" s="6">
        <v>10690</v>
      </c>
      <c r="D48712" s="7">
        <v>1.1599999999999999</v>
      </c>
    </row>
    <row r="48713" spans="1:4" x14ac:dyDescent="0.25">
      <c r="A48713" t="str">
        <f>HYPERLINK("https://www.773grp.com/globalSearch/HZ6.2BP-E/page-1", "HZ6.2BP-E")</f>
        <v>HZ6.2BP-E</v>
      </c>
      <c r="B48713" s="3" t="str">
        <f>HYPERLINK("https://www.773grp.com/manufacturer/renesas-electronics-america-inc?pageNo=676", "Renesas Electronics")</f>
        <v>Renesas Electronics</v>
      </c>
      <c r="C48713" s="6">
        <v>14190</v>
      </c>
      <c r="D48713" s="7">
        <v>1.1599999999999999</v>
      </c>
    </row>
    <row r="48714" spans="1:4" x14ac:dyDescent="0.25">
      <c r="A48714" t="str">
        <f>HYPERLINK("https://www.773grp.com/globalSearch/HZ6.2BPTK-E/page-1", "HZ6.2BPTK-E")</f>
        <v>HZ6.2BPTK-E</v>
      </c>
      <c r="B48714" s="3" t="str">
        <f>HYPERLINK("https://www.773grp.com/manufacturer/renesas-electronics-america-inc?pageNo=677", "Renesas Electronics")</f>
        <v>Renesas Electronics</v>
      </c>
      <c r="C48714" s="6">
        <v>10000</v>
      </c>
      <c r="D48714" s="7">
        <v>1.1599999999999999</v>
      </c>
    </row>
    <row r="48715" spans="1:4" x14ac:dyDescent="0.25">
      <c r="A48715" t="str">
        <f>HYPERLINK("https://www.773grp.com/globalSearch/HZ6.2CPTK-E/page-1", "HZ6.2CPTK-E")</f>
        <v>HZ6.2CPTK-E</v>
      </c>
      <c r="B48715" s="3" t="str">
        <f>HYPERLINK("https://www.773grp.com/manufacturer/renesas-electronics-america-inc?pageNo=678", "Renesas Electronics")</f>
        <v>Renesas Electronics</v>
      </c>
      <c r="C48715" s="6">
        <v>22500</v>
      </c>
      <c r="D48715" s="7">
        <v>1.1599999999999999</v>
      </c>
    </row>
    <row r="48716" spans="1:4" x14ac:dyDescent="0.25">
      <c r="A48716" t="str">
        <f>HYPERLINK("https://www.773grp.com/globalSearch/RJK03J7DPA-00#J5A/page-1", "RJK03J7DPA-00#J5A")</f>
        <v>RJK03J7DPA-00#J5A</v>
      </c>
      <c r="B48716" s="3" t="str">
        <f>HYPERLINK("https://www.773grp.com/manufacturer/renesas-electronics-america-inc?pageNo=679", "Renesas Electronics")</f>
        <v>Renesas Electronics</v>
      </c>
      <c r="C48716" s="6">
        <v>60000</v>
      </c>
      <c r="D48716" s="7">
        <v>1.1599999999999999</v>
      </c>
    </row>
    <row r="48717" spans="1:4" x14ac:dyDescent="0.25">
      <c r="A48717" t="str">
        <f>HYPERLINK("https://www.773grp.com/globalSearch/RKP411KS#P1/page-1", "RKP411KS#P1")</f>
        <v>RKP411KS#P1</v>
      </c>
      <c r="B48717" s="3" t="str">
        <f>HYPERLINK("https://www.773grp.com/manufacturer/renesas-electronics-america-inc?pageNo=680", "Renesas Electronics")</f>
        <v>Renesas Electronics</v>
      </c>
      <c r="C48717" s="6">
        <v>56000</v>
      </c>
      <c r="D48717" s="7">
        <v>1.1599999999999999</v>
      </c>
    </row>
    <row r="48718" spans="1:4" x14ac:dyDescent="0.25">
      <c r="A48718" t="str">
        <f>HYPERLINK("https://www.773grp.com/globalSearch/RKP411KS-1#Q1/page-1", "RKP411KS-1#Q1")</f>
        <v>RKP411KS-1#Q1</v>
      </c>
      <c r="B48718" s="3" t="str">
        <f>HYPERLINK("https://www.773grp.com/manufacturer/renesas-electronics-america-inc?pageNo=681", "Renesas Electronics")</f>
        <v>Renesas Electronics</v>
      </c>
      <c r="C48718" s="6">
        <v>285000</v>
      </c>
      <c r="D48718" s="7">
        <v>1.1599999999999999</v>
      </c>
    </row>
    <row r="48719" spans="1:4" x14ac:dyDescent="0.25">
      <c r="A48719" t="str">
        <f>HYPERLINK("https://www.773grp.com/globalSearch/RKP415KS#P1/page-1", "RKP415KS#P1")</f>
        <v>RKP415KS#P1</v>
      </c>
      <c r="B48719" s="3" t="str">
        <f>HYPERLINK("https://www.773grp.com/manufacturer/renesas-electronics-america-inc?pageNo=682", "Renesas Electronics")</f>
        <v>Renesas Electronics</v>
      </c>
      <c r="C48719" s="6">
        <v>700000</v>
      </c>
      <c r="D48719" s="7">
        <v>1.1599999999999999</v>
      </c>
    </row>
    <row r="48720" spans="1:4" x14ac:dyDescent="0.25">
      <c r="A48720" t="str">
        <f>HYPERLINK("https://www.773grp.com/globalSearch/RKP434KE#R5/page-1", "RKP434KE#R5")</f>
        <v>RKP434KE#R5</v>
      </c>
      <c r="B48720" s="3" t="str">
        <f>HYPERLINK("https://www.773grp.com/manufacturer/renesas-electronics-america-inc?pageNo=683", "Renesas Electronics")</f>
        <v>Renesas Electronics</v>
      </c>
      <c r="C48720" s="6">
        <v>410000</v>
      </c>
      <c r="D48720" s="7">
        <v>1.1599999999999999</v>
      </c>
    </row>
    <row r="48721" spans="1:4" x14ac:dyDescent="0.25">
      <c r="A48721" t="str">
        <f>HYPERLINK("https://www.773grp.com/globalSearch/RKP450KE#R0/page-1", "RKP450KE#R0")</f>
        <v>RKP450KE#R0</v>
      </c>
      <c r="B48721" s="3" t="str">
        <f>HYPERLINK("https://www.773grp.com/manufacturer/renesas-electronics-america-inc?pageNo=684", "Renesas Electronics")</f>
        <v>Renesas Electronics</v>
      </c>
      <c r="C48721" s="6">
        <v>500000</v>
      </c>
      <c r="D48721" s="7">
        <v>1.1599999999999999</v>
      </c>
    </row>
    <row r="48722" spans="1:4" x14ac:dyDescent="0.25">
      <c r="A48722" t="str">
        <f>HYPERLINK("https://www.773grp.com/globalSearch/UPC78L07J-A/page-1", "UPC78L07J-A")</f>
        <v>UPC78L07J-A</v>
      </c>
      <c r="B48722" s="3" t="str">
        <f>HYPERLINK("https://www.773grp.com/manufacturer/renesas-electronics-america-inc?pageNo=685", "Renesas Electronics")</f>
        <v>Renesas Electronics</v>
      </c>
      <c r="C48722" s="6">
        <v>53301</v>
      </c>
      <c r="D48722" s="7">
        <v>1.1599999999999999</v>
      </c>
    </row>
    <row r="48723" spans="1:4" x14ac:dyDescent="0.25">
      <c r="A48723" t="str">
        <f>HYPERLINK("https://www.773grp.com/globalSearch/03P4MG-AZ/page-1", "03P4MG-AZ")</f>
        <v>03P4MG-AZ</v>
      </c>
      <c r="B48723" s="3" t="str">
        <f>HYPERLINK("https://www.773grp.com/manufacturer/renesas-electronics-america-inc?pageNo=686", "Renesas Electronics")</f>
        <v>Renesas Electronics</v>
      </c>
      <c r="C48723" s="6">
        <v>2951</v>
      </c>
      <c r="D48723" s="7">
        <v>1.21</v>
      </c>
    </row>
    <row r="48724" spans="1:4" x14ac:dyDescent="0.25">
      <c r="A48724" t="str">
        <f>HYPERLINK("https://www.773grp.com/globalSearch/03P4MG-T-AZ/page-1", "03P4MG-T-AZ")</f>
        <v>03P4MG-T-AZ</v>
      </c>
      <c r="B48724" s="3" t="str">
        <f>HYPERLINK("https://www.773grp.com/manufacturer/renesas-electronics-america-inc?pageNo=687", "Renesas Electronics")</f>
        <v>Renesas Electronics</v>
      </c>
      <c r="C48724" s="6">
        <v>2500</v>
      </c>
      <c r="D48724" s="7">
        <v>1.21</v>
      </c>
    </row>
    <row r="48725" spans="1:4" x14ac:dyDescent="0.25">
      <c r="A48725" t="str">
        <f>HYPERLINK("https://www.773grp.com/globalSearch/03P6MG/page-1", "03P6MG")</f>
        <v>03P6MG</v>
      </c>
      <c r="B48725" s="3" t="str">
        <f>HYPERLINK("https://www.773grp.com/manufacturer/renesas-electronics-america-inc?pageNo=688", "Renesas Electronics")</f>
        <v>Renesas Electronics</v>
      </c>
      <c r="C48725" s="6">
        <v>81359</v>
      </c>
      <c r="D48725" s="7">
        <v>1.21</v>
      </c>
    </row>
    <row r="48726" spans="1:4" x14ac:dyDescent="0.25">
      <c r="A48726" t="str">
        <f>HYPERLINK("https://www.773grp.com/globalSearch/2SA1084E-E/page-1", "2SA1084E-E")</f>
        <v>2SA1084E-E</v>
      </c>
      <c r="B48726" s="3" t="str">
        <f>HYPERLINK("https://www.773grp.com/manufacturer/renesas-electronics-america-inc?pageNo=689", "Renesas Electronics")</f>
        <v>Renesas Electronics</v>
      </c>
      <c r="C48726" s="6">
        <v>9500</v>
      </c>
      <c r="D48726" s="7">
        <v>1.21</v>
      </c>
    </row>
    <row r="48727" spans="1:4" x14ac:dyDescent="0.25">
      <c r="A48727" t="str">
        <f>HYPERLINK("https://www.773grp.com/globalSearch/74HC73FPEL-E/page-1", "74HC73FPEL-E")</f>
        <v>74HC73FPEL-E</v>
      </c>
      <c r="B48727" s="3" t="str">
        <f>HYPERLINK("https://www.773grp.com/manufacturer/renesas-electronics-america-inc?pageNo=690", "Renesas Electronics")</f>
        <v>Renesas Electronics</v>
      </c>
      <c r="C48727" s="6">
        <v>4000</v>
      </c>
      <c r="D48727" s="7">
        <v>1.21</v>
      </c>
    </row>
    <row r="48728" spans="1:4" x14ac:dyDescent="0.25">
      <c r="A48728" t="str">
        <f>HYPERLINK("https://www.773grp.com/globalSearch/74HC73P-E/page-1", "74HC73P-E")</f>
        <v>74HC73P-E</v>
      </c>
      <c r="B48728" s="3" t="str">
        <f>HYPERLINK("https://www.773grp.com/manufacturer/renesas-electronics-america-inc?pageNo=691", "Renesas Electronics")</f>
        <v>Renesas Electronics</v>
      </c>
      <c r="C48728" s="6">
        <v>2000</v>
      </c>
      <c r="D48728" s="7">
        <v>1.21</v>
      </c>
    </row>
    <row r="48729" spans="1:4" x14ac:dyDescent="0.25">
      <c r="A48729" t="str">
        <f>HYPERLINK("https://www.773grp.com/globalSearch/74HC75FP-E/page-1", "74HC75FP-E")</f>
        <v>74HC75FP-E</v>
      </c>
      <c r="B48729" s="3" t="str">
        <f>HYPERLINK("https://www.773grp.com/manufacturer/renesas-electronics-america-inc?pageNo=692", "Renesas Electronics")</f>
        <v>Renesas Electronics</v>
      </c>
      <c r="C48729" s="6">
        <v>1000</v>
      </c>
      <c r="D48729" s="7">
        <v>1.21</v>
      </c>
    </row>
    <row r="48730" spans="1:4" x14ac:dyDescent="0.25">
      <c r="A48730" t="str">
        <f>HYPERLINK("https://www.773grp.com/globalSearch/74HC75P-E/page-1", "74HC75P-E")</f>
        <v>74HC75P-E</v>
      </c>
      <c r="B48730" s="3" t="str">
        <f>HYPERLINK("https://www.773grp.com/manufacturer/renesas-electronics-america-inc?pageNo=693", "Renesas Electronics")</f>
        <v>Renesas Electronics</v>
      </c>
      <c r="C48730" s="6">
        <v>7000</v>
      </c>
      <c r="D48730" s="7">
        <v>1.21</v>
      </c>
    </row>
    <row r="48731" spans="1:4" x14ac:dyDescent="0.25">
      <c r="A48731" t="str">
        <f>HYPERLINK("https://www.773grp.com/globalSearch/74HC76P-E/page-1", "74HC76P-E")</f>
        <v>74HC76P-E</v>
      </c>
      <c r="B48731" s="3" t="str">
        <f>HYPERLINK("https://www.773grp.com/manufacturer/renesas-electronics-america-inc?pageNo=694", "Renesas Electronics")</f>
        <v>Renesas Electronics</v>
      </c>
      <c r="C48731" s="6">
        <v>2000</v>
      </c>
      <c r="D48731" s="7">
        <v>1.21</v>
      </c>
    </row>
    <row r="48732" spans="1:4" x14ac:dyDescent="0.25">
      <c r="A48732" t="str">
        <f>HYPERLINK("https://www.773grp.com/globalSearch/HA17393F-EL-E/page-1", "HA17393F-EL-E")</f>
        <v>HA17393F-EL-E</v>
      </c>
      <c r="B48732" s="3" t="str">
        <f>HYPERLINK("https://www.773grp.com/manufacturer/renesas-electronics-america-inc?pageNo=695", "Renesas Electronics")</f>
        <v>Renesas Electronics</v>
      </c>
      <c r="C48732" s="6">
        <v>7500</v>
      </c>
      <c r="D48732" s="7">
        <v>1.21</v>
      </c>
    </row>
    <row r="48733" spans="1:4" x14ac:dyDescent="0.25">
      <c r="A48733" t="str">
        <f>HYPERLINK("https://www.773grp.com/globalSearch/HA17903FP-EL-E/page-1", "HA17903FP-EL-E")</f>
        <v>HA17903FP-EL-E</v>
      </c>
      <c r="B48733" s="3" t="str">
        <f>HYPERLINK("https://www.773grp.com/manufacturer/renesas-electronics-america-inc?pageNo=696", "Renesas Electronics")</f>
        <v>Renesas Electronics</v>
      </c>
      <c r="C48733" s="6">
        <v>2500</v>
      </c>
      <c r="D48733" s="7">
        <v>1.21</v>
      </c>
    </row>
    <row r="48734" spans="1:4" x14ac:dyDescent="0.25">
      <c r="A48734" t="str">
        <f>HYPERLINK("https://www.773grp.com/globalSearch/HVM16-03TL-E/page-1", "HVM16-03TL-E")</f>
        <v>HVM16-03TL-E</v>
      </c>
      <c r="B48734" s="3" t="str">
        <f>HYPERLINK("https://www.773grp.com/manufacturer/renesas-electronics-america-inc?pageNo=697", "Renesas Electronics")</f>
        <v>Renesas Electronics</v>
      </c>
      <c r="C48734" s="6">
        <v>24000</v>
      </c>
      <c r="D48734" s="7">
        <v>1.21</v>
      </c>
    </row>
    <row r="48735" spans="1:4" x14ac:dyDescent="0.25">
      <c r="A48735" t="str">
        <f>HYPERLINK("https://www.773grp.com/globalSearch/UPC78L05T-E1/page-1", "UPC78L05T-E1")</f>
        <v>UPC78L05T-E1</v>
      </c>
      <c r="B48735" s="3" t="str">
        <f>HYPERLINK("https://www.773grp.com/manufacturer/renesas-electronics-america-inc?pageNo=698", "Renesas Electronics")</f>
        <v>Renesas Electronics</v>
      </c>
      <c r="C48735" s="6">
        <v>26000</v>
      </c>
      <c r="D48735" s="7">
        <v>1.21</v>
      </c>
    </row>
    <row r="48736" spans="1:4" x14ac:dyDescent="0.25">
      <c r="A48736" t="str">
        <f>HYPERLINK("https://www.773grp.com/globalSearch/03P6MG(1)-AZ/page-1", "03P6MG(1)-AZ")</f>
        <v>03P6MG(1)-AZ</v>
      </c>
      <c r="B48736" s="3" t="str">
        <f>HYPERLINK("https://www.773grp.com/manufacturer/renesas-electronics-america-inc?pageNo=699", "Renesas Electronics")</f>
        <v>Renesas Electronics</v>
      </c>
      <c r="C48736" s="6">
        <v>2650</v>
      </c>
      <c r="D48736" s="7">
        <v>1.26</v>
      </c>
    </row>
    <row r="48737" spans="1:4" x14ac:dyDescent="0.25">
      <c r="A48737" t="str">
        <f>HYPERLINK("https://www.773grp.com/globalSearch/74HC109FPEL-E/page-1", "74HC109FPEL-E")</f>
        <v>74HC109FPEL-E</v>
      </c>
      <c r="B48737" s="3" t="str">
        <f>HYPERLINK("https://www.773grp.com/manufacturer/renesas-electronics-america-inc?pageNo=700", "Renesas Electronics")</f>
        <v>Renesas Electronics</v>
      </c>
      <c r="C48737" s="6">
        <v>22000</v>
      </c>
      <c r="D48737" s="7">
        <v>1.26</v>
      </c>
    </row>
    <row r="48738" spans="1:4" x14ac:dyDescent="0.25">
      <c r="A48738" t="str">
        <f>HYPERLINK("https://www.773grp.com/globalSearch/74HC112FPEL-E/page-1", "74HC112FPEL-E")</f>
        <v>74HC112FPEL-E</v>
      </c>
      <c r="B48738" s="3" t="str">
        <f>HYPERLINK("https://www.773grp.com/manufacturer/renesas-electronics-america-inc?pageNo=701", "Renesas Electronics")</f>
        <v>Renesas Electronics</v>
      </c>
      <c r="C48738" s="6">
        <v>10000</v>
      </c>
      <c r="D48738" s="7">
        <v>1.26</v>
      </c>
    </row>
    <row r="48739" spans="1:4" x14ac:dyDescent="0.25">
      <c r="A48739" t="str">
        <f>HYPERLINK("https://www.773grp.com/globalSearch/74HC112P-E/page-1", "74HC112P-E")</f>
        <v>74HC112P-E</v>
      </c>
      <c r="B48739" s="3" t="str">
        <f>HYPERLINK("https://www.773grp.com/manufacturer/renesas-electronics-america-inc?pageNo=702", "Renesas Electronics")</f>
        <v>Renesas Electronics</v>
      </c>
      <c r="C48739" s="6">
        <v>6000</v>
      </c>
      <c r="D48739" s="7">
        <v>1.26</v>
      </c>
    </row>
    <row r="48740" spans="1:4" x14ac:dyDescent="0.25">
      <c r="A48740" t="str">
        <f>HYPERLINK("https://www.773grp.com/globalSearch/74HC112TELL-E/page-1", "74HC112TELL-E")</f>
        <v>74HC112TELL-E</v>
      </c>
      <c r="B48740" s="3" t="str">
        <f>HYPERLINK("https://www.773grp.com/manufacturer/renesas-electronics-america-inc?pageNo=703", "Renesas Electronics")</f>
        <v>Renesas Electronics</v>
      </c>
      <c r="C48740" s="6">
        <v>8000</v>
      </c>
      <c r="D48740" s="7">
        <v>1.26</v>
      </c>
    </row>
    <row r="48741" spans="1:4" x14ac:dyDescent="0.25">
      <c r="A48741" t="str">
        <f>HYPERLINK("https://www.773grp.com/globalSearch/74HC173P-E/page-1", "74HC173P-E")</f>
        <v>74HC173P-E</v>
      </c>
      <c r="B48741" s="3" t="str">
        <f>HYPERLINK("https://www.773grp.com/manufacturer/renesas-electronics-america-inc?pageNo=704", "Renesas Electronics")</f>
        <v>Renesas Electronics</v>
      </c>
      <c r="C48741" s="6">
        <v>5000</v>
      </c>
      <c r="D48741" s="7">
        <v>1.26</v>
      </c>
    </row>
    <row r="48742" spans="1:4" x14ac:dyDescent="0.25">
      <c r="A48742" t="str">
        <f>HYPERLINK("https://www.773grp.com/globalSearch/74HCT138FP-E/page-1", "74HCT138FP-E")</f>
        <v>74HCT138FP-E</v>
      </c>
      <c r="B48742" s="3" t="str">
        <f>HYPERLINK("https://www.773grp.com/manufacturer/renesas-electronics-america-inc?pageNo=705", "Renesas Electronics")</f>
        <v>Renesas Electronics</v>
      </c>
      <c r="C48742" s="6">
        <v>1950</v>
      </c>
      <c r="D48742" s="7">
        <v>1.26</v>
      </c>
    </row>
    <row r="48743" spans="1:4" x14ac:dyDescent="0.25">
      <c r="A48743" t="str">
        <f>HYPERLINK("https://www.773grp.com/globalSearch/74HCT138P-E/page-1", "74HCT138P-E")</f>
        <v>74HCT138P-E</v>
      </c>
      <c r="B48743" s="3" t="str">
        <f>HYPERLINK("https://www.773grp.com/manufacturer/renesas-electronics-america-inc?pageNo=706", "Renesas Electronics")</f>
        <v>Renesas Electronics</v>
      </c>
      <c r="C48743" s="6">
        <v>992</v>
      </c>
      <c r="D48743" s="7">
        <v>1.26</v>
      </c>
    </row>
    <row r="48744" spans="1:4" x14ac:dyDescent="0.25">
      <c r="A48744" t="str">
        <f>HYPERLINK("https://www.773grp.com/globalSearch/M51943AML#DF0J/page-1", "M51943AML#DF0J")</f>
        <v>M51943AML#DF0J</v>
      </c>
      <c r="B48744" s="3" t="str">
        <f>HYPERLINK("https://www.773grp.com/manufacturer/renesas-electronics-america-inc?pageNo=707", "Renesas Electronics")</f>
        <v>Renesas Electronics</v>
      </c>
      <c r="C48744" s="6">
        <v>12000</v>
      </c>
      <c r="D48744" s="7">
        <v>1.26</v>
      </c>
    </row>
    <row r="48745" spans="1:4" x14ac:dyDescent="0.25">
      <c r="A48745" t="str">
        <f>HYPERLINK("https://www.773grp.com/globalSearch/2SA715VC/page-1", "2SA715VC")</f>
        <v>2SA715VC</v>
      </c>
      <c r="B48745" s="3" t="str">
        <f>HYPERLINK("https://www.773grp.com/manufacturer/renesas-electronics-america-inc?pageNo=708", "Renesas Electronics")</f>
        <v>Renesas Electronics</v>
      </c>
      <c r="C48745" s="6">
        <v>2587</v>
      </c>
      <c r="D48745" s="7">
        <v>1.31</v>
      </c>
    </row>
    <row r="48746" spans="1:4" x14ac:dyDescent="0.25">
      <c r="A48746" t="str">
        <f>HYPERLINK("https://www.773grp.com/globalSearch/2SA715VD/page-1", "2SA715VD")</f>
        <v>2SA715VD</v>
      </c>
      <c r="B48746" s="3" t="str">
        <f>HYPERLINK("https://www.773grp.com/manufacturer/renesas-electronics-america-inc?pageNo=709", "Renesas Electronics")</f>
        <v>Renesas Electronics</v>
      </c>
      <c r="C48746" s="6">
        <v>1675</v>
      </c>
      <c r="D48746" s="7">
        <v>1.31</v>
      </c>
    </row>
    <row r="48747" spans="1:4" x14ac:dyDescent="0.25">
      <c r="A48747" t="str">
        <f>HYPERLINK("https://www.773grp.com/globalSearch/2SD667ABTZ-E/page-1", "2SD667ABTZ-E")</f>
        <v>2SD667ABTZ-E</v>
      </c>
      <c r="B48747" s="3" t="str">
        <f>HYPERLINK("https://www.773grp.com/manufacturer/renesas-electronics-america-inc?pageNo=710", "Renesas Electronics")</f>
        <v>Renesas Electronics</v>
      </c>
      <c r="C48747" s="6">
        <v>15000</v>
      </c>
      <c r="D48747" s="7">
        <v>1.31</v>
      </c>
    </row>
    <row r="48748" spans="1:4" x14ac:dyDescent="0.25">
      <c r="A48748" t="str">
        <f>HYPERLINK("https://www.773grp.com/globalSearch/2SD667AC-E/page-1", "2SD667AC-E")</f>
        <v>2SD667AC-E</v>
      </c>
      <c r="B48748" s="3" t="str">
        <f>HYPERLINK("https://www.773grp.com/manufacturer/renesas-electronics-america-inc?pageNo=711", "Renesas Electronics")</f>
        <v>Renesas Electronics</v>
      </c>
      <c r="C48748" s="6">
        <v>7064</v>
      </c>
      <c r="D48748" s="7">
        <v>1.31</v>
      </c>
    </row>
    <row r="48749" spans="1:4" x14ac:dyDescent="0.25">
      <c r="A48749" t="str">
        <f>HYPERLINK("https://www.773grp.com/globalSearch/HA17339ARP-E-WS/page-1", "HA17339ARP-E-WS")</f>
        <v>HA17339ARP-E-WS</v>
      </c>
      <c r="B48749" s="3" t="str">
        <f>HYPERLINK("https://www.773grp.com/manufacturer/renesas-electronics-america-inc?pageNo=712", "Renesas Electronics")</f>
        <v>Renesas Electronics</v>
      </c>
      <c r="C48749" s="6">
        <v>2340</v>
      </c>
      <c r="D48749" s="7">
        <v>1.31</v>
      </c>
    </row>
    <row r="48750" spans="1:4" x14ac:dyDescent="0.25">
      <c r="A48750" t="str">
        <f>HYPERLINK("https://www.773grp.com/globalSearch/HA17431UA-E/page-1", "HA17431UA-E")</f>
        <v>HA17431UA-E</v>
      </c>
      <c r="B48750" s="3" t="str">
        <f>HYPERLINK("https://www.773grp.com/manufacturer/renesas-electronics-america-inc?pageNo=713", "Renesas Electronics")</f>
        <v>Renesas Electronics</v>
      </c>
      <c r="C48750" s="6">
        <v>75</v>
      </c>
      <c r="D48750" s="7">
        <v>1.31</v>
      </c>
    </row>
    <row r="48751" spans="1:4" x14ac:dyDescent="0.25">
      <c r="A48751" t="str">
        <f>HYPERLINK("https://www.773grp.com/globalSearch/M51945AFP#DF1J/page-1", "M51945AFP#DF1J")</f>
        <v>M51945AFP#DF1J</v>
      </c>
      <c r="B48751" s="3" t="str">
        <f>HYPERLINK("https://www.773grp.com/manufacturer/renesas-electronics-america-inc?pageNo=714", "Renesas Electronics")</f>
        <v>Renesas Electronics</v>
      </c>
      <c r="C48751" s="6">
        <v>3000</v>
      </c>
      <c r="D48751" s="7">
        <v>1.31</v>
      </c>
    </row>
    <row r="48752" spans="1:4" x14ac:dyDescent="0.25">
      <c r="A48752" t="str">
        <f>HYPERLINK("https://www.773grp.com/globalSearch/R1EX24002ASAS0I#S1/page-1", "R1EX24002ASAS0I#S1")</f>
        <v>R1EX24002ASAS0I#S1</v>
      </c>
      <c r="B48752" s="3" t="str">
        <f>HYPERLINK("https://www.773grp.com/manufacturer/renesas-electronics-america-inc?pageNo=715", "Renesas Electronics")</f>
        <v>Renesas Electronics</v>
      </c>
      <c r="C48752" s="6">
        <v>3000</v>
      </c>
      <c r="D48752" s="7">
        <v>1.31</v>
      </c>
    </row>
    <row r="48753" spans="1:4" x14ac:dyDescent="0.25">
      <c r="A48753" t="str">
        <f>HYPERLINK("https://www.773grp.com/globalSearch/R1EX25002ASA00I#S1/page-1", "R1EX25002ASA00I#S1")</f>
        <v>R1EX25002ASA00I#S1</v>
      </c>
      <c r="B48753" s="3" t="str">
        <f>HYPERLINK("https://www.773grp.com/manufacturer/renesas-electronics-america-inc?pageNo=716", "Renesas Electronics")</f>
        <v>Renesas Electronics</v>
      </c>
      <c r="C48753" s="6">
        <v>1000</v>
      </c>
      <c r="D48753" s="7">
        <v>1.31</v>
      </c>
    </row>
    <row r="48754" spans="1:4" x14ac:dyDescent="0.25">
      <c r="A48754" t="str">
        <f>HYPERLINK("https://www.773grp.com/globalSearch/RJK03M7DPA-00#J5A/page-1", "RJK03M7DPA-00#J5A")</f>
        <v>RJK03M7DPA-00#J5A</v>
      </c>
      <c r="B48754" s="3" t="str">
        <f>HYPERLINK("https://www.773grp.com/manufacturer/renesas-electronics-america-inc?pageNo=717", "Renesas Electronics")</f>
        <v>Renesas Electronics</v>
      </c>
      <c r="C48754" s="6">
        <v>9000</v>
      </c>
      <c r="D48754" s="7">
        <v>1.31</v>
      </c>
    </row>
    <row r="48755" spans="1:4" x14ac:dyDescent="0.25">
      <c r="A48755" t="str">
        <f>HYPERLINK("https://www.773grp.com/globalSearch/UPA2350BT1G-E4-A/page-1", "UPA2350BT1G-E4-A")</f>
        <v>UPA2350BT1G-E4-A</v>
      </c>
      <c r="B48755" s="3" t="str">
        <f>HYPERLINK("https://www.773grp.com/manufacturer/renesas-electronics-america-inc?pageNo=718", "Renesas Electronics")</f>
        <v>Renesas Electronics</v>
      </c>
      <c r="C48755" s="6">
        <v>965000</v>
      </c>
      <c r="D48755" s="7">
        <v>1.31</v>
      </c>
    </row>
    <row r="48756" spans="1:4" x14ac:dyDescent="0.25">
      <c r="A48756" t="str">
        <f>HYPERLINK("https://www.773grp.com/globalSearch/74HC157TELL-E/page-1", "74HC157TELL-E")</f>
        <v>74HC157TELL-E</v>
      </c>
      <c r="B48756" s="3" t="str">
        <f>HYPERLINK("https://www.773grp.com/manufacturer/renesas-electronics-america-inc?pageNo=719", "Renesas Electronics")</f>
        <v>Renesas Electronics</v>
      </c>
      <c r="C48756" s="6">
        <v>8000</v>
      </c>
      <c r="D48756" s="7">
        <v>1.36</v>
      </c>
    </row>
    <row r="48757" spans="1:4" x14ac:dyDescent="0.25">
      <c r="A48757" t="str">
        <f>HYPERLINK("https://www.773grp.com/globalSearch/74HC4066FP-E/page-1", "74HC4066FP-E")</f>
        <v>74HC4066FP-E</v>
      </c>
      <c r="B48757" s="3" t="str">
        <f>HYPERLINK("https://www.773grp.com/manufacturer/renesas-electronics-america-inc?pageNo=720", "Renesas Electronics")</f>
        <v>Renesas Electronics</v>
      </c>
      <c r="C48757" s="6">
        <v>2000</v>
      </c>
      <c r="D48757" s="7">
        <v>1.36</v>
      </c>
    </row>
    <row r="48758" spans="1:4" x14ac:dyDescent="0.25">
      <c r="A48758" t="str">
        <f>HYPERLINK("https://www.773grp.com/globalSearch/HA17324ARP-E-WS/page-1", "HA17324ARP-E-WS")</f>
        <v>HA17324ARP-E-WS</v>
      </c>
      <c r="B48758" s="3" t="str">
        <f>HYPERLINK("https://www.773grp.com/manufacturer/renesas-electronics-america-inc?pageNo=721", "Renesas Electronics")</f>
        <v>Renesas Electronics</v>
      </c>
      <c r="C48758" s="6">
        <v>1450</v>
      </c>
      <c r="D48758" s="7">
        <v>1.36</v>
      </c>
    </row>
    <row r="48759" spans="1:4" x14ac:dyDescent="0.25">
      <c r="A48759" t="str">
        <f>HYPERLINK("https://www.773grp.com/globalSearch/HN58X2402STI#S0/page-1", "HN58X2402STI#S0")</f>
        <v>HN58X2402STI#S0</v>
      </c>
      <c r="B48759" s="3" t="str">
        <f>HYPERLINK("https://www.773grp.com/manufacturer/renesas-electronics-america-inc?pageNo=722", "Renesas Electronics")</f>
        <v>Renesas Electronics</v>
      </c>
      <c r="C48759" s="6">
        <v>3000</v>
      </c>
      <c r="D48759" s="7">
        <v>1.36</v>
      </c>
    </row>
    <row r="48760" spans="1:4" x14ac:dyDescent="0.25">
      <c r="A48760" t="str">
        <f>HYPERLINK("https://www.773grp.com/globalSearch/HVR200A3TRF-E/page-1", "HVR200A3TRF-E")</f>
        <v>HVR200A3TRF-E</v>
      </c>
      <c r="B48760" s="3" t="str">
        <f>HYPERLINK("https://www.773grp.com/manufacturer/renesas-electronics-america-inc?pageNo=723", "Renesas Electronics")</f>
        <v>Renesas Electronics</v>
      </c>
      <c r="C48760" s="6">
        <v>93000</v>
      </c>
      <c r="D48760" s="7">
        <v>1.36</v>
      </c>
    </row>
    <row r="48761" spans="1:4" x14ac:dyDescent="0.25">
      <c r="A48761" t="str">
        <f>HYPERLINK("https://www.773grp.com/globalSearch/R1EX24008ASA00I#S0/page-1", "R1EX24008ASA00I#S0")</f>
        <v>R1EX24008ASA00I#S0</v>
      </c>
      <c r="B48761" s="3" t="str">
        <f>HYPERLINK("https://www.773grp.com/manufacturer/renesas-electronics-america-inc?pageNo=724", "Renesas Electronics")</f>
        <v>Renesas Electronics</v>
      </c>
      <c r="C48761" s="6">
        <v>7500</v>
      </c>
      <c r="D48761" s="7">
        <v>1.36</v>
      </c>
    </row>
    <row r="48762" spans="1:4" x14ac:dyDescent="0.25">
      <c r="A48762" t="str">
        <f>HYPERLINK("https://www.773grp.com/globalSearch/RJK0362DSP-WS#J0/page-1", "RJK0362DSP-WS#J0")</f>
        <v>RJK0362DSP-WS#J0</v>
      </c>
      <c r="B48762" s="3" t="str">
        <f>HYPERLINK("https://www.773grp.com/manufacturer/renesas-electronics-america-inc?pageNo=725", "Renesas Electronics")</f>
        <v>Renesas Electronics</v>
      </c>
      <c r="C48762" s="6">
        <v>1830</v>
      </c>
      <c r="D48762" s="7">
        <v>1.36</v>
      </c>
    </row>
    <row r="48763" spans="1:4" x14ac:dyDescent="0.25">
      <c r="A48763" t="str">
        <f>HYPERLINK("https://www.773grp.com/globalSearch/RKP403KS#P1/page-1", "RKP403KS#P1")</f>
        <v>RKP403KS#P1</v>
      </c>
      <c r="B48763" s="3" t="str">
        <f>HYPERLINK("https://www.773grp.com/manufacturer/renesas-electronics-america-inc?pageNo=726", "Renesas Electronics")</f>
        <v>Renesas Electronics</v>
      </c>
      <c r="C48763" s="6">
        <v>144000</v>
      </c>
      <c r="D48763" s="7">
        <v>1.36</v>
      </c>
    </row>
    <row r="48764" spans="1:4" x14ac:dyDescent="0.25">
      <c r="A48764" t="str">
        <f>HYPERLINK("https://www.773grp.com/globalSearch/RKP406KS#P1/page-1", "RKP406KS#P1")</f>
        <v>RKP406KS#P1</v>
      </c>
      <c r="B48764" s="3" t="str">
        <f>HYPERLINK("https://www.773grp.com/manufacturer/renesas-electronics-america-inc?pageNo=727", "Renesas Electronics")</f>
        <v>Renesas Electronics</v>
      </c>
      <c r="C48764" s="6">
        <v>4000</v>
      </c>
      <c r="D48764" s="7">
        <v>1.36</v>
      </c>
    </row>
    <row r="48765" spans="1:4" x14ac:dyDescent="0.25">
      <c r="A48765" t="str">
        <f>HYPERLINK("https://www.773grp.com/globalSearch/RKP451KE-1#R0/page-1", "RKP451KE-1#R0")</f>
        <v>RKP451KE-1#R0</v>
      </c>
      <c r="B48765" s="3" t="str">
        <f>HYPERLINK("https://www.773grp.com/manufacturer/renesas-electronics-america-inc?pageNo=728", "Renesas Electronics")</f>
        <v>Renesas Electronics</v>
      </c>
      <c r="C48765" s="6">
        <v>60000</v>
      </c>
      <c r="D48765" s="7">
        <v>1.36</v>
      </c>
    </row>
    <row r="48766" spans="1:4" x14ac:dyDescent="0.25">
      <c r="A48766" t="str">
        <f>HYPERLINK("https://www.773grp.com/globalSearch/UPA2350T1G(2)-E4-A/page-1", "UPA2350T1G(2)-E4-A")</f>
        <v>UPA2350T1G(2)-E4-A</v>
      </c>
      <c r="B48766" s="3" t="str">
        <f>HYPERLINK("https://www.773grp.com/manufacturer/renesas-electronics-america-inc?pageNo=729", "Renesas Electronics")</f>
        <v>Renesas Electronics</v>
      </c>
      <c r="C48766" s="6">
        <v>15000</v>
      </c>
      <c r="D48766" s="7">
        <v>1.36</v>
      </c>
    </row>
    <row r="48767" spans="1:4" x14ac:dyDescent="0.25">
      <c r="A48767" t="str">
        <f>HYPERLINK("https://www.773grp.com/globalSearch/74LS279FPEL-E/page-1", "74LS279FPEL-E")</f>
        <v>74LS279FPEL-E</v>
      </c>
      <c r="B48767" s="3" t="str">
        <f>HYPERLINK("https://www.773grp.com/manufacturer/renesas-electronics-america-inc?pageNo=730", "Renesas Electronics")</f>
        <v>Renesas Electronics</v>
      </c>
      <c r="C48767" s="6">
        <v>4000</v>
      </c>
      <c r="D48767" s="7">
        <v>1.41</v>
      </c>
    </row>
    <row r="48768" spans="1:4" x14ac:dyDescent="0.25">
      <c r="A48768" t="str">
        <f>HYPERLINK("https://www.773grp.com/globalSearch/AD2A3M-T/page-1", "AD2A3M-T")</f>
        <v>AD2A3M-T</v>
      </c>
      <c r="B48768" s="3" t="str">
        <f>HYPERLINK("https://www.773grp.com/manufacturer/renesas-electronics-america-inc?pageNo=731", "Renesas Electronics")</f>
        <v>Renesas Electronics</v>
      </c>
      <c r="C48768" s="6">
        <v>7500</v>
      </c>
      <c r="D48768" s="7">
        <v>1.41</v>
      </c>
    </row>
    <row r="48769" spans="1:4" x14ac:dyDescent="0.25">
      <c r="A48769" t="str">
        <f>HYPERLINK("https://www.773grp.com/globalSearch/AD2F3P-T/page-1", "AD2F3P-T")</f>
        <v>AD2F3P-T</v>
      </c>
      <c r="B48769" s="3" t="str">
        <f>HYPERLINK("https://www.773grp.com/manufacturer/renesas-electronics-america-inc?pageNo=732", "Renesas Electronics")</f>
        <v>Renesas Electronics</v>
      </c>
      <c r="C48769" s="6">
        <v>7500</v>
      </c>
      <c r="D48769" s="7">
        <v>1.41</v>
      </c>
    </row>
    <row r="48770" spans="1:4" x14ac:dyDescent="0.25">
      <c r="A48770" t="str">
        <f>HYPERLINK("https://www.773grp.com/globalSearch/M51953BFP#DF1J/page-1", "M51953BFP#DF1J")</f>
        <v>M51953BFP#DF1J</v>
      </c>
      <c r="B48770" s="3" t="str">
        <f>HYPERLINK("https://www.773grp.com/manufacturer/renesas-electronics-america-inc?pageNo=733", "Renesas Electronics")</f>
        <v>Renesas Electronics</v>
      </c>
      <c r="C48770" s="6">
        <v>18000</v>
      </c>
      <c r="D48770" s="7">
        <v>1.41</v>
      </c>
    </row>
    <row r="48771" spans="1:4" x14ac:dyDescent="0.25">
      <c r="A48771" t="str">
        <f>HYPERLINK("https://www.773grp.com/globalSearch/M51957AFP#TF1J/page-1", "M51957AFP#TF1J")</f>
        <v>M51957AFP#TF1J</v>
      </c>
      <c r="B48771" s="3" t="str">
        <f>HYPERLINK("https://www.773grp.com/manufacturer/renesas-electronics-america-inc?pageNo=734", "Renesas Electronics")</f>
        <v>Renesas Electronics</v>
      </c>
      <c r="C48771" s="6">
        <v>2154</v>
      </c>
      <c r="D48771" s="7">
        <v>1.41</v>
      </c>
    </row>
    <row r="48772" spans="1:4" x14ac:dyDescent="0.25">
      <c r="A48772" t="str">
        <f>HYPERLINK("https://www.773grp.com/globalSearch/RJK03B9DNS-00#J5/page-1", "RJK03B9DNS-00#J5")</f>
        <v>RJK03B9DNS-00#J5</v>
      </c>
      <c r="B48772" s="3" t="str">
        <f>HYPERLINK("https://www.773grp.com/manufacturer/renesas-electronics-america-inc?pageNo=735", "Renesas Electronics")</f>
        <v>Renesas Electronics</v>
      </c>
      <c r="C48772" s="6">
        <v>175000</v>
      </c>
      <c r="D48772" s="7">
        <v>1.41</v>
      </c>
    </row>
    <row r="48773" spans="1:4" x14ac:dyDescent="0.25">
      <c r="A48773" t="str">
        <f>HYPERLINK("https://www.773grp.com/globalSearch/74HC137FP-E/page-1", "74HC137FP-E")</f>
        <v>74HC137FP-E</v>
      </c>
      <c r="B48773" s="3" t="str">
        <f>HYPERLINK("https://www.773grp.com/manufacturer/renesas-electronics-america-inc?pageNo=736", "Renesas Electronics")</f>
        <v>Renesas Electronics</v>
      </c>
      <c r="C48773" s="6">
        <v>1950</v>
      </c>
      <c r="D48773" s="7">
        <v>1.49</v>
      </c>
    </row>
    <row r="48774" spans="1:4" x14ac:dyDescent="0.25">
      <c r="A48774" t="str">
        <f>HYPERLINK("https://www.773grp.com/globalSearch/74HC151P-E/page-1", "74HC151P-E")</f>
        <v>74HC151P-E</v>
      </c>
      <c r="B48774" s="3" t="str">
        <f>HYPERLINK("https://www.773grp.com/manufacturer/renesas-electronics-america-inc?pageNo=737", "Renesas Electronics")</f>
        <v>Renesas Electronics</v>
      </c>
      <c r="C48774" s="6">
        <v>5956</v>
      </c>
      <c r="D48774" s="7">
        <v>1.49</v>
      </c>
    </row>
    <row r="48775" spans="1:4" x14ac:dyDescent="0.25">
      <c r="A48775" t="str">
        <f>HYPERLINK("https://www.773grp.com/globalSearch/74HC367P-E/page-1", "74HC367P-E")</f>
        <v>74HC367P-E</v>
      </c>
      <c r="B48775" s="3" t="str">
        <f>HYPERLINK("https://www.773grp.com/manufacturer/renesas-electronics-america-inc?pageNo=738", "Renesas Electronics")</f>
        <v>Renesas Electronics</v>
      </c>
      <c r="C48775" s="6">
        <v>11000</v>
      </c>
      <c r="D48775" s="7">
        <v>1.49</v>
      </c>
    </row>
    <row r="48776" spans="1:4" x14ac:dyDescent="0.25">
      <c r="A48776" t="str">
        <f>HYPERLINK("https://www.773grp.com/globalSearch/74HC368FP-E/page-1", "74HC368FP-E")</f>
        <v>74HC368FP-E</v>
      </c>
      <c r="B48776" s="3" t="str">
        <f>HYPERLINK("https://www.773grp.com/manufacturer/renesas-electronics-america-inc?pageNo=739", "Renesas Electronics")</f>
        <v>Renesas Electronics</v>
      </c>
      <c r="C48776" s="6">
        <v>1000</v>
      </c>
      <c r="D48776" s="7">
        <v>1.49</v>
      </c>
    </row>
    <row r="48777" spans="1:4" x14ac:dyDescent="0.25">
      <c r="A48777" t="str">
        <f>HYPERLINK("https://www.773grp.com/globalSearch/74HC368P-E/page-1", "74HC368P-E")</f>
        <v>74HC368P-E</v>
      </c>
      <c r="B48777" s="3" t="str">
        <f>HYPERLINK("https://www.773grp.com/manufacturer/renesas-electronics-america-inc?pageNo=740", "Renesas Electronics")</f>
        <v>Renesas Electronics</v>
      </c>
      <c r="C48777" s="6">
        <v>4000</v>
      </c>
      <c r="D48777" s="7">
        <v>1.49</v>
      </c>
    </row>
    <row r="48778" spans="1:4" x14ac:dyDescent="0.25">
      <c r="A48778" t="str">
        <f>HYPERLINK("https://www.773grp.com/globalSearch/74HC42FPEL-E/page-1", "74HC42FPEL-E")</f>
        <v>74HC42FPEL-E</v>
      </c>
      <c r="B48778" s="3" t="str">
        <f>HYPERLINK("https://www.773grp.com/manufacturer/renesas-electronics-america-inc?pageNo=741", "Renesas Electronics")</f>
        <v>Renesas Electronics</v>
      </c>
      <c r="C48778" s="6">
        <v>6000</v>
      </c>
      <c r="D48778" s="7">
        <v>1.49</v>
      </c>
    </row>
    <row r="48779" spans="1:4" x14ac:dyDescent="0.25">
      <c r="A48779" t="str">
        <f>HYPERLINK("https://www.773grp.com/globalSearch/74LS107AFPEL-E/page-1", "74LS107AFPEL-E")</f>
        <v>74LS107AFPEL-E</v>
      </c>
      <c r="B48779" s="3" t="str">
        <f>HYPERLINK("https://www.773grp.com/manufacturer/renesas-electronics-america-inc?pageNo=742", "Renesas Electronics")</f>
        <v>Renesas Electronics</v>
      </c>
      <c r="C48779" s="6">
        <v>4000</v>
      </c>
      <c r="D48779" s="7">
        <v>1.49</v>
      </c>
    </row>
    <row r="48780" spans="1:4" x14ac:dyDescent="0.25">
      <c r="A48780" t="str">
        <f>HYPERLINK("https://www.773grp.com/globalSearch/74LS10FPEL-E/page-1", "74LS10FPEL-E")</f>
        <v>74LS10FPEL-E</v>
      </c>
      <c r="B48780" s="3" t="str">
        <f>HYPERLINK("https://www.773grp.com/manufacturer/renesas-electronics-america-inc?pageNo=743", "Renesas Electronics")</f>
        <v>Renesas Electronics</v>
      </c>
      <c r="C48780" s="6">
        <v>10000</v>
      </c>
      <c r="D48780" s="7">
        <v>1.49</v>
      </c>
    </row>
    <row r="48781" spans="1:4" x14ac:dyDescent="0.25">
      <c r="A48781" t="str">
        <f>HYPERLINK("https://www.773grp.com/globalSearch/74LS112FPEL-E/page-1", "74LS112FPEL-E")</f>
        <v>74LS112FPEL-E</v>
      </c>
      <c r="B48781" s="3" t="str">
        <f>HYPERLINK("https://www.773grp.com/manufacturer/renesas-electronics-america-inc?pageNo=744", "Renesas Electronics")</f>
        <v>Renesas Electronics</v>
      </c>
      <c r="C48781" s="6">
        <v>8000</v>
      </c>
      <c r="D48781" s="7">
        <v>1.49</v>
      </c>
    </row>
    <row r="48782" spans="1:4" x14ac:dyDescent="0.25">
      <c r="A48782" t="str">
        <f>HYPERLINK("https://www.773grp.com/globalSearch/74LS112P-E/page-1", "74LS112P-E")</f>
        <v>74LS112P-E</v>
      </c>
      <c r="B48782" s="3" t="str">
        <f>HYPERLINK("https://www.773grp.com/manufacturer/renesas-electronics-america-inc?pageNo=745", "Renesas Electronics")</f>
        <v>Renesas Electronics</v>
      </c>
      <c r="C48782" s="6">
        <v>3000</v>
      </c>
      <c r="D48782" s="7">
        <v>1.49</v>
      </c>
    </row>
    <row r="48783" spans="1:4" x14ac:dyDescent="0.25">
      <c r="A48783" t="str">
        <f>HYPERLINK("https://www.773grp.com/globalSearch/74LS11FPEL-E/page-1", "74LS11FPEL-E")</f>
        <v>74LS11FPEL-E</v>
      </c>
      <c r="B48783" s="3" t="str">
        <f>HYPERLINK("https://www.773grp.com/manufacturer/renesas-electronics-america-inc?pageNo=746", "Renesas Electronics")</f>
        <v>Renesas Electronics</v>
      </c>
      <c r="C48783" s="6">
        <v>4000</v>
      </c>
      <c r="D48783" s="7">
        <v>1.49</v>
      </c>
    </row>
    <row r="48784" spans="1:4" x14ac:dyDescent="0.25">
      <c r="A48784" t="str">
        <f>HYPERLINK("https://www.773grp.com/globalSearch/HZ27BP-JTK/page-1", "HZ27BP-JTK")</f>
        <v>HZ27BP-JTK</v>
      </c>
      <c r="B48784" s="3" t="str">
        <f>HYPERLINK("https://www.773grp.com/manufacturer/renesas-electronics-america-inc?pageNo=747", "Renesas Electronics")</f>
        <v>Renesas Electronics</v>
      </c>
      <c r="C48784" s="6">
        <v>55000</v>
      </c>
      <c r="D48784" s="7">
        <v>1.49</v>
      </c>
    </row>
    <row r="48785" spans="1:4" x14ac:dyDescent="0.25">
      <c r="A48785" t="str">
        <f>HYPERLINK("https://www.773grp.com/globalSearch/HZ3.6BP-E/page-1", "HZ3.6BP-E")</f>
        <v>HZ3.6BP-E</v>
      </c>
      <c r="B48785" s="3" t="str">
        <f>HYPERLINK("https://www.773grp.com/manufacturer/renesas-electronics-america-inc?pageNo=748", "Renesas Electronics")</f>
        <v>Renesas Electronics</v>
      </c>
      <c r="C48785" s="6">
        <v>10400</v>
      </c>
      <c r="D48785" s="7">
        <v>1.49</v>
      </c>
    </row>
    <row r="48786" spans="1:4" x14ac:dyDescent="0.25">
      <c r="A48786" t="str">
        <f>HYPERLINK("https://www.773grp.com/globalSearch/HZ4.3CP-JTK-E/page-1", "HZ4.3CP-JTK-E")</f>
        <v>HZ4.3CP-JTK-E</v>
      </c>
      <c r="B48786" s="3" t="str">
        <f>HYPERLINK("https://www.773grp.com/manufacturer/renesas-electronics-america-inc?pageNo=749", "Renesas Electronics")</f>
        <v>Renesas Electronics</v>
      </c>
      <c r="C48786" s="6">
        <v>10000</v>
      </c>
      <c r="D48786" s="7">
        <v>1.49</v>
      </c>
    </row>
    <row r="48787" spans="1:4" x14ac:dyDescent="0.25">
      <c r="A48787" t="str">
        <f>HYPERLINK("https://www.773grp.com/globalSearch/HZ8.2BP/page-1", "HZ8.2BP")</f>
        <v>HZ8.2BP</v>
      </c>
      <c r="B48787" s="3" t="str">
        <f>HYPERLINK("https://www.773grp.com/manufacturer/renesas-electronics-america-inc?pageNo=750", "Renesas Electronics")</f>
        <v>Renesas Electronics</v>
      </c>
      <c r="C48787" s="6">
        <v>11000</v>
      </c>
      <c r="D48787" s="7">
        <v>1.49</v>
      </c>
    </row>
    <row r="48788" spans="1:4" x14ac:dyDescent="0.25">
      <c r="A48788" t="str">
        <f>HYPERLINK("https://www.773grp.com/globalSearch/M51204FP#TF0R/page-1", "M51204FP#TF0R")</f>
        <v>M51204FP#TF0R</v>
      </c>
      <c r="B48788" s="3" t="str">
        <f>HYPERLINK("https://www.773grp.com/manufacturer/renesas-electronics-america-inc?pageNo=751", "Renesas Electronics")</f>
        <v>Renesas Electronics</v>
      </c>
      <c r="C48788" s="6">
        <v>10490</v>
      </c>
      <c r="D48788" s="7">
        <v>1.49</v>
      </c>
    </row>
    <row r="48789" spans="1:4" x14ac:dyDescent="0.25">
      <c r="A48789" t="str">
        <f>HYPERLINK("https://www.773grp.com/globalSearch/M51945BFP#DF1J/page-1", "M51945BFP#DF1J")</f>
        <v>M51945BFP#DF1J</v>
      </c>
      <c r="B48789" s="3" t="str">
        <f>HYPERLINK("https://www.773grp.com/manufacturer/renesas-electronics-america-inc?pageNo=752", "Renesas Electronics")</f>
        <v>Renesas Electronics</v>
      </c>
      <c r="C48789" s="6">
        <v>12000</v>
      </c>
      <c r="D48789" s="7">
        <v>1.49</v>
      </c>
    </row>
    <row r="48790" spans="1:4" x14ac:dyDescent="0.25">
      <c r="A48790" t="str">
        <f>HYPERLINK("https://www.773grp.com/globalSearch/NFD15-T-AZ/page-1", "NFD15-T-AZ")</f>
        <v>NFD15-T-AZ</v>
      </c>
      <c r="B48790" s="3" t="str">
        <f>HYPERLINK("https://www.773grp.com/manufacturer/renesas-electronics-america-inc?pageNo=753", "Renesas Electronics")</f>
        <v>Renesas Electronics</v>
      </c>
      <c r="C48790" s="6">
        <v>42500</v>
      </c>
      <c r="D48790" s="7">
        <v>1.49</v>
      </c>
    </row>
    <row r="48791" spans="1:4" x14ac:dyDescent="0.25">
      <c r="A48791" t="str">
        <f>HYPERLINK("https://www.773grp.com/globalSearch/RJK03M9DNS-WS#J5/page-1", "RJK03M9DNS-WS#J5")</f>
        <v>RJK03M9DNS-WS#J5</v>
      </c>
      <c r="B48791" s="3" t="str">
        <f>HYPERLINK("https://www.773grp.com/manufacturer/renesas-electronics-america-inc?pageNo=754", "Renesas Electronics")</f>
        <v>Renesas Electronics</v>
      </c>
      <c r="C48791" s="6">
        <v>3572</v>
      </c>
      <c r="D48791" s="7">
        <v>1.49</v>
      </c>
    </row>
    <row r="48792" spans="1:4" x14ac:dyDescent="0.25">
      <c r="A48792" t="str">
        <f>HYPERLINK("https://www.773grp.com/globalSearch/2SA1625-T-AZ/page-1", "2SA1625-T-AZ")</f>
        <v>2SA1625-T-AZ</v>
      </c>
      <c r="B48792" s="3" t="str">
        <f>HYPERLINK("https://www.773grp.com/manufacturer/renesas-electronics-america-inc?pageNo=755", "Renesas Electronics")</f>
        <v>Renesas Electronics</v>
      </c>
      <c r="C48792" s="6">
        <v>2260000</v>
      </c>
      <c r="D48792" s="7">
        <v>1.54</v>
      </c>
    </row>
    <row r="48793" spans="1:4" x14ac:dyDescent="0.25">
      <c r="A48793" t="str">
        <f>HYPERLINK("https://www.773grp.com/globalSearch/2SD1693-AZ/page-1", "2SD1693-AZ")</f>
        <v>2SD1693-AZ</v>
      </c>
      <c r="B48793" s="3" t="str">
        <f>HYPERLINK("https://www.773grp.com/manufacturer/renesas-electronics-america-inc?pageNo=756", "Renesas Electronics")</f>
        <v>Renesas Electronics</v>
      </c>
      <c r="C48793" s="6">
        <v>800</v>
      </c>
      <c r="D48793" s="7">
        <v>1.54</v>
      </c>
    </row>
    <row r="48794" spans="1:4" x14ac:dyDescent="0.25">
      <c r="A48794" t="str">
        <f>HYPERLINK("https://www.773grp.com/globalSearch/HA178L06UA-TL-E/page-1", "HA178L06UA-TL-E")</f>
        <v>HA178L06UA-TL-E</v>
      </c>
      <c r="B48794" s="3" t="str">
        <f>HYPERLINK("https://www.773grp.com/manufacturer/renesas-electronics-america-inc?pageNo=757", "Renesas Electronics")</f>
        <v>Renesas Electronics</v>
      </c>
      <c r="C48794" s="6">
        <v>2000</v>
      </c>
      <c r="D48794" s="7">
        <v>1.54</v>
      </c>
    </row>
    <row r="48795" spans="1:4" x14ac:dyDescent="0.25">
      <c r="A48795" t="str">
        <f>HYPERLINK("https://www.773grp.com/globalSearch/HA179L08U-TL-E/page-1", "HA179L08U-TL-E")</f>
        <v>HA179L08U-TL-E</v>
      </c>
      <c r="B48795" s="3" t="str">
        <f>HYPERLINK("https://www.773grp.com/manufacturer/renesas-electronics-america-inc?pageNo=758", "Renesas Electronics")</f>
        <v>Renesas Electronics</v>
      </c>
      <c r="C48795" s="6">
        <v>19906</v>
      </c>
      <c r="D48795" s="7">
        <v>1.54</v>
      </c>
    </row>
    <row r="48796" spans="1:4" x14ac:dyDescent="0.25">
      <c r="A48796" t="str">
        <f>HYPERLINK("https://www.773grp.com/globalSearch/HSM226STR-E/page-1", "HSM226STR-E")</f>
        <v>HSM226STR-E</v>
      </c>
      <c r="B48796" s="3" t="str">
        <f>HYPERLINK("https://www.773grp.com/manufacturer/renesas-electronics-america-inc?pageNo=759", "Renesas Electronics")</f>
        <v>Renesas Electronics</v>
      </c>
      <c r="C48796" s="6">
        <v>21000</v>
      </c>
      <c r="D48796" s="7">
        <v>1.54</v>
      </c>
    </row>
    <row r="48797" spans="1:4" x14ac:dyDescent="0.25">
      <c r="A48797" t="str">
        <f>HYPERLINK("https://www.773grp.com/globalSearch/M51945BJFP#200D/page-1", "M51945BJFP#200D")</f>
        <v>M51945BJFP#200D</v>
      </c>
      <c r="B48797" s="3" t="str">
        <f>HYPERLINK("https://www.773grp.com/manufacturer/renesas-electronics-america-inc?pageNo=760", "Renesas Electronics")</f>
        <v>Renesas Electronics</v>
      </c>
      <c r="C48797" s="6">
        <v>9000</v>
      </c>
      <c r="D48797" s="7">
        <v>1.54</v>
      </c>
    </row>
    <row r="48798" spans="1:4" x14ac:dyDescent="0.25">
      <c r="A48798" t="str">
        <f>HYPERLINK("https://www.773grp.com/globalSearch/2SD1209KTZ/page-1", "2SD1209KTZ")</f>
        <v>2SD1209KTZ</v>
      </c>
      <c r="B48798" s="3" t="str">
        <f>HYPERLINK("https://www.773grp.com/manufacturer/renesas-electronics-america-inc?pageNo=761", "Renesas Electronics")</f>
        <v>Renesas Electronics</v>
      </c>
      <c r="C48798" s="6">
        <v>5000</v>
      </c>
      <c r="D48798" s="7">
        <v>1.59</v>
      </c>
    </row>
    <row r="48799" spans="1:4" x14ac:dyDescent="0.25">
      <c r="A48799" t="str">
        <f>HYPERLINK("https://www.773grp.com/globalSearch/HA17431GLTPEL-E/page-1", "HA17431GLTPEL-E")</f>
        <v>HA17431GLTPEL-E</v>
      </c>
      <c r="B48799" s="3" t="str">
        <f>HYPERLINK("https://www.773grp.com/manufacturer/renesas-electronics-america-inc?pageNo=762", "Renesas Electronics")</f>
        <v>Renesas Electronics</v>
      </c>
      <c r="C48799" s="6">
        <v>18000</v>
      </c>
      <c r="D48799" s="7">
        <v>1.59</v>
      </c>
    </row>
    <row r="48800" spans="1:4" x14ac:dyDescent="0.25">
      <c r="A48800" t="str">
        <f>HYPERLINK("https://www.773grp.com/globalSearch/HA178L12UA-TR-E/page-1", "HA178L12UA-TR-E")</f>
        <v>HA178L12UA-TR-E</v>
      </c>
      <c r="B48800" s="3" t="str">
        <f>HYPERLINK("https://www.773grp.com/manufacturer/renesas-electronics-america-inc?pageNo=763", "Renesas Electronics")</f>
        <v>Renesas Electronics</v>
      </c>
      <c r="C48800" s="6">
        <v>44000</v>
      </c>
      <c r="D48800" s="7">
        <v>1.59</v>
      </c>
    </row>
    <row r="48801" spans="1:4" x14ac:dyDescent="0.25">
      <c r="A48801" t="str">
        <f>HYPERLINK("https://www.773grp.com/globalSearch/HZ15BP-J-E/page-1", "HZ15BP-J-E")</f>
        <v>HZ15BP-J-E</v>
      </c>
      <c r="B48801" s="3" t="str">
        <f>HYPERLINK("https://www.773grp.com/manufacturer/renesas-electronics-america-inc?pageNo=764", "Renesas Electronics")</f>
        <v>Renesas Electronics</v>
      </c>
      <c r="C48801" s="6">
        <v>10100</v>
      </c>
      <c r="D48801" s="7">
        <v>1.59</v>
      </c>
    </row>
    <row r="48802" spans="1:4" x14ac:dyDescent="0.25">
      <c r="A48802" t="str">
        <f>HYPERLINK("https://www.773grp.com/globalSearch/HZ15CPTN-E/page-1", "HZ15CPTN-E")</f>
        <v>HZ15CPTN-E</v>
      </c>
      <c r="B48802" s="3" t="str">
        <f>HYPERLINK("https://www.773grp.com/manufacturer/renesas-electronics-america-inc?pageNo=765", "Renesas Electronics")</f>
        <v>Renesas Electronics</v>
      </c>
      <c r="C48802" s="6">
        <v>17500</v>
      </c>
      <c r="D48802" s="7">
        <v>1.59</v>
      </c>
    </row>
    <row r="48803" spans="1:4" x14ac:dyDescent="0.25">
      <c r="A48803" t="str">
        <f>HYPERLINK("https://www.773grp.com/globalSearch/HZ24CP-E/page-1", "HZ24CP-E")</f>
        <v>HZ24CP-E</v>
      </c>
      <c r="B48803" s="3" t="str">
        <f>HYPERLINK("https://www.773grp.com/manufacturer/renesas-electronics-america-inc?pageNo=766", "Renesas Electronics")</f>
        <v>Renesas Electronics</v>
      </c>
      <c r="C48803" s="6">
        <v>20400</v>
      </c>
      <c r="D48803" s="7">
        <v>1.59</v>
      </c>
    </row>
    <row r="48804" spans="1:4" x14ac:dyDescent="0.25">
      <c r="A48804" t="str">
        <f>HYPERLINK("https://www.773grp.com/globalSearch/HZ33BP-E/page-1", "HZ33BP-E")</f>
        <v>HZ33BP-E</v>
      </c>
      <c r="B48804" s="3" t="str">
        <f>HYPERLINK("https://www.773grp.com/manufacturer/renesas-electronics-america-inc?pageNo=767", "Renesas Electronics")</f>
        <v>Renesas Electronics</v>
      </c>
      <c r="C48804" s="6">
        <v>8636</v>
      </c>
      <c r="D48804" s="7">
        <v>1.59</v>
      </c>
    </row>
    <row r="48805" spans="1:4" x14ac:dyDescent="0.25">
      <c r="A48805" t="str">
        <f>HYPERLINK("https://www.773grp.com/globalSearch/HZ5.1BP-E/page-1", "HZ5.1BP-E")</f>
        <v>HZ5.1BP-E</v>
      </c>
      <c r="B48805" s="3" t="str">
        <f>HYPERLINK("https://www.773grp.com/manufacturer/renesas-electronics-america-inc?pageNo=768", "Renesas Electronics")</f>
        <v>Renesas Electronics</v>
      </c>
      <c r="C48805" s="6">
        <v>14260</v>
      </c>
      <c r="D48805" s="7">
        <v>1.59</v>
      </c>
    </row>
    <row r="48806" spans="1:4" x14ac:dyDescent="0.25">
      <c r="A48806" t="str">
        <f>HYPERLINK("https://www.773grp.com/globalSearch/HZ9.1BP-E/page-1", "HZ9.1BP-E")</f>
        <v>HZ9.1BP-E</v>
      </c>
      <c r="B48806" s="3" t="str">
        <f>HYPERLINK("https://www.773grp.com/manufacturer/renesas-electronics-america-inc?pageNo=769", "Renesas Electronics")</f>
        <v>Renesas Electronics</v>
      </c>
      <c r="C48806" s="6">
        <v>14300</v>
      </c>
      <c r="D48806" s="7">
        <v>1.59</v>
      </c>
    </row>
    <row r="48807" spans="1:4" x14ac:dyDescent="0.25">
      <c r="A48807" t="str">
        <f>HYPERLINK("https://www.773grp.com/globalSearch/RJK0353DSP-WS#J0/page-1", "RJK0353DSP-WS#J0")</f>
        <v>RJK0353DSP-WS#J0</v>
      </c>
      <c r="B48807" s="3" t="str">
        <f>HYPERLINK("https://www.773grp.com/manufacturer/renesas-electronics-america-inc?pageNo=770", "Renesas Electronics")</f>
        <v>Renesas Electronics</v>
      </c>
      <c r="C48807" s="6">
        <v>1685</v>
      </c>
      <c r="D48807" s="7">
        <v>1.59</v>
      </c>
    </row>
    <row r="48808" spans="1:4" x14ac:dyDescent="0.25">
      <c r="A48808" t="str">
        <f>HYPERLINK("https://www.773grp.com/globalSearch/RJK0397DPA-00#J53/page-1", "RJK0397DPA-00#J53")</f>
        <v>RJK0397DPA-00#J53</v>
      </c>
      <c r="B48808" s="3" t="str">
        <f>HYPERLINK("https://www.773grp.com/manufacturer/renesas-electronics-america-inc?pageNo=771", "Renesas Electronics")</f>
        <v>Renesas Electronics</v>
      </c>
      <c r="C48808" s="6">
        <v>189000</v>
      </c>
      <c r="D48808" s="7">
        <v>1.59</v>
      </c>
    </row>
    <row r="48809" spans="1:4" x14ac:dyDescent="0.25">
      <c r="A48809" t="str">
        <f>HYPERLINK("https://www.773grp.com/globalSearch/RJK0397DPA-02#J53/page-1", "RJK0397DPA-02#J53")</f>
        <v>RJK0397DPA-02#J53</v>
      </c>
      <c r="B48809" s="3" t="str">
        <f>HYPERLINK("https://www.773grp.com/manufacturer/renesas-electronics-america-inc?pageNo=772", "Renesas Electronics")</f>
        <v>Renesas Electronics</v>
      </c>
      <c r="C48809" s="6">
        <v>6000</v>
      </c>
      <c r="D48809" s="7">
        <v>1.59</v>
      </c>
    </row>
    <row r="48810" spans="1:4" x14ac:dyDescent="0.25">
      <c r="A48810" t="str">
        <f>HYPERLINK("https://www.773grp.com/globalSearch/RJK0397DPA-0G#J7A/page-1", "RJK0397DPA-0G#J7A")</f>
        <v>RJK0397DPA-0G#J7A</v>
      </c>
      <c r="B48810" s="3" t="str">
        <f>HYPERLINK("https://www.773grp.com/manufacturer/renesas-electronics-america-inc?pageNo=773", "Renesas Electronics")</f>
        <v>Renesas Electronics</v>
      </c>
      <c r="C48810" s="6">
        <v>4980000</v>
      </c>
      <c r="D48810" s="7">
        <v>1.59</v>
      </c>
    </row>
    <row r="48811" spans="1:4" x14ac:dyDescent="0.25">
      <c r="A48811" t="str">
        <f>HYPERLINK("https://www.773grp.com/globalSearch/RJK03B7DPA-00#J53/page-1", "RJK03B7DPA-00#J53")</f>
        <v>RJK03B7DPA-00#J53</v>
      </c>
      <c r="B48811" s="3" t="str">
        <f>HYPERLINK("https://www.773grp.com/manufacturer/renesas-electronics-america-inc?pageNo=774", "Renesas Electronics")</f>
        <v>Renesas Electronics</v>
      </c>
      <c r="C48811" s="6">
        <v>12000</v>
      </c>
      <c r="D48811" s="7">
        <v>1.59</v>
      </c>
    </row>
    <row r="48812" spans="1:4" x14ac:dyDescent="0.25">
      <c r="A48812" t="str">
        <f>HYPERLINK("https://www.773grp.com/globalSearch/RJK03B7DPA-WS#J53/page-1", "RJK03B7DPA-WS#J53")</f>
        <v>RJK03B7DPA-WS#J53</v>
      </c>
      <c r="B48812" s="3" t="str">
        <f>HYPERLINK("https://www.773grp.com/manufacturer/renesas-electronics-america-inc?pageNo=775", "Renesas Electronics")</f>
        <v>Renesas Electronics</v>
      </c>
      <c r="C48812" s="6">
        <v>2890</v>
      </c>
      <c r="D48812" s="7">
        <v>1.59</v>
      </c>
    </row>
    <row r="48813" spans="1:4" x14ac:dyDescent="0.25">
      <c r="A48813" t="str">
        <f>HYPERLINK("https://www.773grp.com/globalSearch/RJK03B8DPA-00#J53/page-1", "RJK03B8DPA-00#J53")</f>
        <v>RJK03B8DPA-00#J53</v>
      </c>
      <c r="B48813" s="3" t="str">
        <f>HYPERLINK("https://www.773grp.com/manufacturer/renesas-electronics-america-inc?pageNo=776", "Renesas Electronics")</f>
        <v>Renesas Electronics</v>
      </c>
      <c r="C48813" s="6">
        <v>117000</v>
      </c>
      <c r="D48813" s="7">
        <v>1.59</v>
      </c>
    </row>
    <row r="48814" spans="1:4" x14ac:dyDescent="0.25">
      <c r="A48814" t="str">
        <f>HYPERLINK("https://www.773grp.com/globalSearch/RJK03B8DPA-WS#J53/page-1", "RJK03B8DPA-WS#J53")</f>
        <v>RJK03B8DPA-WS#J53</v>
      </c>
      <c r="B48814" s="3" t="str">
        <f>HYPERLINK("https://www.773grp.com/manufacturer/renesas-electronics-america-inc?pageNo=777", "Renesas Electronics")</f>
        <v>Renesas Electronics</v>
      </c>
      <c r="C48814" s="6">
        <v>2475</v>
      </c>
      <c r="D48814" s="7">
        <v>1.59</v>
      </c>
    </row>
    <row r="48815" spans="1:4" x14ac:dyDescent="0.25">
      <c r="A48815" t="str">
        <f>HYPERLINK("https://www.773grp.com/globalSearch/RJK03B9DPA-00#J53/page-1", "RJK03B9DPA-00#J53")</f>
        <v>RJK03B9DPA-00#J53</v>
      </c>
      <c r="B48815" s="3" t="str">
        <f>HYPERLINK("https://www.773grp.com/manufacturer/renesas-electronics-america-inc?pageNo=778", "Renesas Electronics")</f>
        <v>Renesas Electronics</v>
      </c>
      <c r="C48815" s="6">
        <v>21000</v>
      </c>
      <c r="D48815" s="7">
        <v>1.59</v>
      </c>
    </row>
    <row r="48816" spans="1:4" x14ac:dyDescent="0.25">
      <c r="A48816" t="str">
        <f>HYPERLINK("https://www.773grp.com/globalSearch/RJK03B9DPA-00#J5A/page-1", "RJK03B9DPA-00#J5A")</f>
        <v>RJK03B9DPA-00#J5A</v>
      </c>
      <c r="B48816" s="3" t="str">
        <f>HYPERLINK("https://www.773grp.com/manufacturer/renesas-electronics-america-inc?pageNo=779", "Renesas Electronics")</f>
        <v>Renesas Electronics</v>
      </c>
      <c r="C48816" s="6">
        <v>3000</v>
      </c>
      <c r="D48816" s="7">
        <v>1.59</v>
      </c>
    </row>
    <row r="48817" spans="1:4" x14ac:dyDescent="0.25">
      <c r="A48817" t="str">
        <f>HYPERLINK("https://www.773grp.com/globalSearch/RJK03B9DPA-0T#J53/page-1", "RJK03B9DPA-0T#J53")</f>
        <v>RJK03B9DPA-0T#J53</v>
      </c>
      <c r="B48817" s="3" t="str">
        <f>HYPERLINK("https://www.773grp.com/manufacturer/renesas-electronics-america-inc?pageNo=780", "Renesas Electronics")</f>
        <v>Renesas Electronics</v>
      </c>
      <c r="C48817" s="6">
        <v>9000</v>
      </c>
      <c r="D48817" s="7">
        <v>1.59</v>
      </c>
    </row>
    <row r="48818" spans="1:4" x14ac:dyDescent="0.25">
      <c r="A48818" t="str">
        <f>HYPERLINK("https://www.773grp.com/globalSearch/RJK03B9DPA-WS#J53/page-1", "RJK03B9DPA-WS#J53")</f>
        <v>RJK03B9DPA-WS#J53</v>
      </c>
      <c r="B48818" s="3" t="str">
        <f>HYPERLINK("https://www.773grp.com/manufacturer/renesas-electronics-america-inc?pageNo=781", "Renesas Electronics")</f>
        <v>Renesas Electronics</v>
      </c>
      <c r="C48818" s="6">
        <v>2465</v>
      </c>
      <c r="D48818" s="7">
        <v>1.59</v>
      </c>
    </row>
    <row r="48819" spans="1:4" x14ac:dyDescent="0.25">
      <c r="A48819" t="str">
        <f>HYPERLINK("https://www.773grp.com/globalSearch/RJK1028DSP-00#J5/page-1", "RJK1028DSP-00#J5")</f>
        <v>RJK1028DSP-00#J5</v>
      </c>
      <c r="B48819" s="3" t="str">
        <f>HYPERLINK("https://www.773grp.com/manufacturer/renesas-electronics-america-inc?pageNo=782", "Renesas Electronics")</f>
        <v>Renesas Electronics</v>
      </c>
      <c r="C48819" s="6">
        <v>15000</v>
      </c>
      <c r="D48819" s="7">
        <v>1.59</v>
      </c>
    </row>
    <row r="48820" spans="1:4" x14ac:dyDescent="0.25">
      <c r="A48820" t="str">
        <f>HYPERLINK("https://www.773grp.com/globalSearch/UPA2650T1E-E2-AT/page-1", "UPA2650T1E-E2-AT")</f>
        <v>UPA2650T1E-E2-AT</v>
      </c>
      <c r="B48820" s="3" t="str">
        <f>HYPERLINK("https://www.773grp.com/manufacturer/renesas-electronics-america-inc?pageNo=783", "Renesas Electronics")</f>
        <v>Renesas Electronics</v>
      </c>
      <c r="C48820" s="6">
        <v>270000</v>
      </c>
      <c r="D48820" s="7">
        <v>1.59</v>
      </c>
    </row>
    <row r="48821" spans="1:4" x14ac:dyDescent="0.25">
      <c r="A48821" t="str">
        <f>HYPERLINK("https://www.773grp.com/globalSearch/2SA1220A-AZ/page-1", "2SA1220A-AZ")</f>
        <v>2SA1220A-AZ</v>
      </c>
      <c r="B48821" s="3" t="str">
        <f>HYPERLINK("https://www.773grp.com/manufacturer/renesas-electronics-america-inc?pageNo=784", "Renesas Electronics")</f>
        <v>Renesas Electronics</v>
      </c>
      <c r="C48821" s="6">
        <v>6080</v>
      </c>
      <c r="D48821" s="7">
        <v>1.64</v>
      </c>
    </row>
    <row r="48822" spans="1:4" x14ac:dyDescent="0.25">
      <c r="A48822" t="str">
        <f>HYPERLINK("https://www.773grp.com/globalSearch/2SC5998YC-TL-E/page-1", "2SC5998YC-TL-E")</f>
        <v>2SC5998YC-TL-E</v>
      </c>
      <c r="B48822" s="3" t="str">
        <f>HYPERLINK("https://www.773grp.com/manufacturer/renesas-electronics-america-inc?pageNo=785", "Renesas Electronics")</f>
        <v>Renesas Electronics</v>
      </c>
      <c r="C48822" s="6">
        <v>18000</v>
      </c>
      <c r="D48822" s="7">
        <v>1.64</v>
      </c>
    </row>
    <row r="48823" spans="1:4" x14ac:dyDescent="0.25">
      <c r="A48823" t="str">
        <f>HYPERLINK("https://www.773grp.com/globalSearch/74HC30TELL-E/page-1", "74HC30TELL-E")</f>
        <v>74HC30TELL-E</v>
      </c>
      <c r="B48823" s="3" t="str">
        <f>HYPERLINK("https://www.773grp.com/manufacturer/renesas-electronics-america-inc?pageNo=786", "Renesas Electronics")</f>
        <v>Renesas Electronics</v>
      </c>
      <c r="C48823" s="6">
        <v>32000</v>
      </c>
      <c r="D48823" s="7">
        <v>1.64</v>
      </c>
    </row>
    <row r="48824" spans="1:4" x14ac:dyDescent="0.25">
      <c r="A48824" t="str">
        <f>HYPERLINK("https://www.773grp.com/globalSearch/74HC4053P-E/page-1", "74HC4053P-E")</f>
        <v>74HC4053P-E</v>
      </c>
      <c r="B48824" s="3" t="str">
        <f>HYPERLINK("https://www.773grp.com/manufacturer/renesas-electronics-america-inc?pageNo=787", "Renesas Electronics")</f>
        <v>Renesas Electronics</v>
      </c>
      <c r="C48824" s="6">
        <v>1000</v>
      </c>
      <c r="D48824" s="7">
        <v>1.64</v>
      </c>
    </row>
    <row r="48825" spans="1:4" x14ac:dyDescent="0.25">
      <c r="A48825" t="str">
        <f>HYPERLINK("https://www.773grp.com/globalSearch/74HCT125P-E/page-1", "74HCT125P-E")</f>
        <v>74HCT125P-E</v>
      </c>
      <c r="B48825" s="3" t="str">
        <f>HYPERLINK("https://www.773grp.com/manufacturer/renesas-electronics-america-inc?pageNo=788", "Renesas Electronics")</f>
        <v>Renesas Electronics</v>
      </c>
      <c r="C48825" s="6">
        <v>5000</v>
      </c>
      <c r="D48825" s="7">
        <v>1.64</v>
      </c>
    </row>
    <row r="48826" spans="1:4" x14ac:dyDescent="0.25">
      <c r="A48826" t="str">
        <f>HYPERLINK("https://www.773grp.com/globalSearch/74HCT126TELL-E/page-1", "74HCT126TELL-E")</f>
        <v>74HCT126TELL-E</v>
      </c>
      <c r="B48826" s="3" t="str">
        <f>HYPERLINK("https://www.773grp.com/manufacturer/renesas-electronics-america-inc?pageNo=789", "Renesas Electronics")</f>
        <v>Renesas Electronics</v>
      </c>
      <c r="C48826" s="6">
        <v>8000</v>
      </c>
      <c r="D48826" s="7">
        <v>1.64</v>
      </c>
    </row>
    <row r="48827" spans="1:4" x14ac:dyDescent="0.25">
      <c r="A48827" t="str">
        <f>HYPERLINK("https://www.773grp.com/globalSearch/M51945AL/page-1", "M51945AL")</f>
        <v>M51945AL</v>
      </c>
      <c r="B48827" s="3" t="str">
        <f>HYPERLINK("https://www.773grp.com/manufacturer/renesas-electronics-america-inc?pageNo=790", "Renesas Electronics")</f>
        <v>Renesas Electronics</v>
      </c>
      <c r="C48827" s="6">
        <v>5800</v>
      </c>
      <c r="D48827" s="7">
        <v>1.64</v>
      </c>
    </row>
    <row r="48828" spans="1:4" x14ac:dyDescent="0.25">
      <c r="A48828" t="str">
        <f>HYPERLINK("https://www.773grp.com/globalSearch/RJK0352DSP-WS#J0/page-1", "RJK0352DSP-WS#J0")</f>
        <v>RJK0352DSP-WS#J0</v>
      </c>
      <c r="B48828" s="3" t="str">
        <f>HYPERLINK("https://www.773grp.com/manufacturer/renesas-electronics-america-inc?pageNo=791", "Renesas Electronics")</f>
        <v>Renesas Electronics</v>
      </c>
      <c r="C48828" s="6">
        <v>1850</v>
      </c>
      <c r="D48828" s="7">
        <v>1.64</v>
      </c>
    </row>
    <row r="48829" spans="1:4" x14ac:dyDescent="0.25">
      <c r="A48829" t="str">
        <f>HYPERLINK("https://www.773grp.com/globalSearch/RJK03M8DNS-00#J5/page-1", "RJK03M8DNS-00#J5")</f>
        <v>RJK03M8DNS-00#J5</v>
      </c>
      <c r="B48829" s="3" t="str">
        <f>HYPERLINK("https://www.773grp.com/manufacturer/renesas-electronics-america-inc?pageNo=792", "Renesas Electronics")</f>
        <v>Renesas Electronics</v>
      </c>
      <c r="C48829" s="6">
        <v>315000</v>
      </c>
      <c r="D48829" s="7">
        <v>1.64</v>
      </c>
    </row>
    <row r="48830" spans="1:4" x14ac:dyDescent="0.25">
      <c r="A48830" t="str">
        <f>HYPERLINK("https://www.773grp.com/globalSearch/RJK03P5DPA-00#J5A/page-1", "RJK03P5DPA-00#J5A")</f>
        <v>RJK03P5DPA-00#J5A</v>
      </c>
      <c r="B48830" s="3" t="str">
        <f>HYPERLINK("https://www.773grp.com/manufacturer/renesas-electronics-america-inc?pageNo=793", "Renesas Electronics")</f>
        <v>Renesas Electronics</v>
      </c>
      <c r="C48830" s="6">
        <v>468000</v>
      </c>
      <c r="D48830" s="7">
        <v>1.64</v>
      </c>
    </row>
    <row r="48831" spans="1:4" x14ac:dyDescent="0.25">
      <c r="A48831" t="str">
        <f>HYPERLINK("https://www.773grp.com/globalSearch/2SB794-AZ/page-1", "2SB794-AZ")</f>
        <v>2SB794-AZ</v>
      </c>
      <c r="B48831" s="3" t="str">
        <f>HYPERLINK("https://www.773grp.com/manufacturer/renesas-electronics-america-inc?pageNo=794", "Renesas Electronics")</f>
        <v>Renesas Electronics</v>
      </c>
      <c r="C48831" s="6">
        <v>5000</v>
      </c>
      <c r="D48831" s="7">
        <v>1.69</v>
      </c>
    </row>
    <row r="48832" spans="1:4" x14ac:dyDescent="0.25">
      <c r="A48832" t="str">
        <f>HYPERLINK("https://www.773grp.com/globalSearch/2SC2690A-AZ/page-1", "2SC2690A-AZ")</f>
        <v>2SC2690A-AZ</v>
      </c>
      <c r="B48832" s="3" t="str">
        <f>HYPERLINK("https://www.773grp.com/manufacturer/renesas-electronics-america-inc?pageNo=795", "Renesas Electronics")</f>
        <v>Renesas Electronics</v>
      </c>
      <c r="C48832" s="6">
        <v>5605</v>
      </c>
      <c r="D48832" s="7">
        <v>1.69</v>
      </c>
    </row>
    <row r="48833" spans="1:4" x14ac:dyDescent="0.25">
      <c r="A48833" t="str">
        <f>HYPERLINK("https://www.773grp.com/globalSearch/2SC2690A-S1-AZ/page-1", "2SC2690A-S1-AZ")</f>
        <v>2SC2690A-S1-AZ</v>
      </c>
      <c r="B48833" s="3" t="str">
        <f>HYPERLINK("https://www.773grp.com/manufacturer/renesas-electronics-america-inc?pageNo=796", "Renesas Electronics")</f>
        <v>Renesas Electronics</v>
      </c>
      <c r="C48833" s="6">
        <v>1760</v>
      </c>
      <c r="D48833" s="7">
        <v>1.69</v>
      </c>
    </row>
    <row r="48834" spans="1:4" x14ac:dyDescent="0.25">
      <c r="A48834" t="str">
        <f>HYPERLINK("https://www.773grp.com/globalSearch/74AC08FP-E/page-1", "74AC08FP-E")</f>
        <v>74AC08FP-E</v>
      </c>
      <c r="B48834" s="3" t="str">
        <f>HYPERLINK("https://www.773grp.com/manufacturer/renesas-electronics-america-inc?pageNo=797", "Renesas Electronics")</f>
        <v>Renesas Electronics</v>
      </c>
      <c r="C48834" s="6">
        <v>1000</v>
      </c>
      <c r="D48834" s="7">
        <v>1.69</v>
      </c>
    </row>
    <row r="48835" spans="1:4" x14ac:dyDescent="0.25">
      <c r="A48835" t="str">
        <f>HYPERLINK("https://www.773grp.com/globalSearch/74AC08P-E/page-1", "74AC08P-E")</f>
        <v>74AC08P-E</v>
      </c>
      <c r="B48835" s="3" t="str">
        <f>HYPERLINK("https://www.773grp.com/manufacturer/renesas-electronics-america-inc?pageNo=798", "Renesas Electronics")</f>
        <v>Renesas Electronics</v>
      </c>
      <c r="C48835" s="6">
        <v>10000</v>
      </c>
      <c r="D48835" s="7">
        <v>1.69</v>
      </c>
    </row>
    <row r="48836" spans="1:4" x14ac:dyDescent="0.25">
      <c r="A48836" t="str">
        <f>HYPERLINK("https://www.773grp.com/globalSearch/HZF5.6CP-JTL/page-1", "HZF5.6CP-JTL")</f>
        <v>HZF5.6CP-JTL</v>
      </c>
      <c r="B48836" s="3" t="str">
        <f>HYPERLINK("https://www.773grp.com/manufacturer/renesas-electronics-america-inc?pageNo=799", "Renesas Electronics")</f>
        <v>Renesas Electronics</v>
      </c>
      <c r="C48836" s="6">
        <v>162000</v>
      </c>
      <c r="D48836" s="7">
        <v>1.69</v>
      </c>
    </row>
    <row r="48837" spans="1:4" x14ac:dyDescent="0.25">
      <c r="A48837" t="str">
        <f>HYPERLINK("https://www.773grp.com/globalSearch/M51952BSL#YF0J/page-1", "M51952BSL#YF0J")</f>
        <v>M51952BSL#YF0J</v>
      </c>
      <c r="B48837" s="3" t="str">
        <f>HYPERLINK("https://www.773grp.com/manufacturer/renesas-electronics-america-inc?pageNo=800", "Renesas Electronics")</f>
        <v>Renesas Electronics</v>
      </c>
      <c r="C48837" s="6">
        <v>5700</v>
      </c>
      <c r="D48837" s="7">
        <v>1.69</v>
      </c>
    </row>
    <row r="48838" spans="1:4" x14ac:dyDescent="0.25">
      <c r="A48838" t="str">
        <f>HYPERLINK("https://www.773grp.com/globalSearch/RJK0212DPA-00#J5A/page-1", "RJK0212DPA-00#J5A")</f>
        <v>RJK0212DPA-00#J5A</v>
      </c>
      <c r="B48838" s="3" t="str">
        <f>HYPERLINK("https://www.773grp.com/manufacturer/renesas-electronics-america-inc?pageNo=801", "Renesas Electronics")</f>
        <v>Renesas Electronics</v>
      </c>
      <c r="C48838" s="6">
        <v>27000</v>
      </c>
      <c r="D48838" s="7">
        <v>1.69</v>
      </c>
    </row>
    <row r="48839" spans="1:4" x14ac:dyDescent="0.25">
      <c r="A48839" t="str">
        <f>HYPERLINK("https://www.773grp.com/globalSearch/2SJ244JYTR-E/page-1", "2SJ244JYTR-E")</f>
        <v>2SJ244JYTR-E</v>
      </c>
      <c r="B48839" s="3" t="str">
        <f>HYPERLINK("https://www.773grp.com/manufacturer/renesas-electronics-america-inc?pageNo=802", "Renesas Electronics")</f>
        <v>Renesas Electronics</v>
      </c>
      <c r="C48839" s="6">
        <v>11000</v>
      </c>
      <c r="D48839" s="7">
        <v>1.74</v>
      </c>
    </row>
    <row r="48840" spans="1:4" x14ac:dyDescent="0.25">
      <c r="A48840" t="str">
        <f>HYPERLINK("https://www.773grp.com/globalSearch/2SK975TZWS-E/page-1", "2SK975TZWS-E")</f>
        <v>2SK975TZWS-E</v>
      </c>
      <c r="B48840" s="3" t="str">
        <f>HYPERLINK("https://www.773grp.com/manufacturer/renesas-electronics-america-inc?pageNo=803", "Renesas Electronics")</f>
        <v>Renesas Electronics</v>
      </c>
      <c r="C48840" s="6">
        <v>2380</v>
      </c>
      <c r="D48840" s="7">
        <v>1.74</v>
      </c>
    </row>
    <row r="48841" spans="1:4" x14ac:dyDescent="0.25">
      <c r="A48841" t="str">
        <f>HYPERLINK("https://www.773grp.com/globalSearch/74HC131P-E/page-1", "74HC131P-E")</f>
        <v>74HC131P-E</v>
      </c>
      <c r="B48841" s="3" t="str">
        <f>HYPERLINK("https://www.773grp.com/manufacturer/renesas-electronics-america-inc?pageNo=804", "Renesas Electronics")</f>
        <v>Renesas Electronics</v>
      </c>
      <c r="C48841" s="6">
        <v>3000</v>
      </c>
      <c r="D48841" s="7">
        <v>1.74</v>
      </c>
    </row>
    <row r="48842" spans="1:4" x14ac:dyDescent="0.25">
      <c r="A48842" t="str">
        <f>HYPERLINK("https://www.773grp.com/globalSearch/74HC158P-E/page-1", "74HC158P-E")</f>
        <v>74HC158P-E</v>
      </c>
      <c r="B48842" s="3" t="str">
        <f>HYPERLINK("https://www.773grp.com/manufacturer/renesas-electronics-america-inc?pageNo=805", "Renesas Electronics")</f>
        <v>Renesas Electronics</v>
      </c>
      <c r="C48842" s="6">
        <v>2000</v>
      </c>
      <c r="D48842" s="7">
        <v>1.74</v>
      </c>
    </row>
    <row r="48843" spans="1:4" x14ac:dyDescent="0.25">
      <c r="A48843" t="str">
        <f>HYPERLINK("https://www.773grp.com/globalSearch/74LS125AFP-E/page-1", "74LS125AFP-E")</f>
        <v>74LS125AFP-E</v>
      </c>
      <c r="B48843" s="3" t="str">
        <f>HYPERLINK("https://www.773grp.com/manufacturer/renesas-electronics-america-inc?pageNo=806", "Renesas Electronics")</f>
        <v>Renesas Electronics</v>
      </c>
      <c r="C48843" s="6">
        <v>4575</v>
      </c>
      <c r="D48843" s="7">
        <v>1.74</v>
      </c>
    </row>
    <row r="48844" spans="1:4" x14ac:dyDescent="0.25">
      <c r="A48844" t="str">
        <f>HYPERLINK("https://www.773grp.com/globalSearch/74LS139FP-E/page-1", "74LS139FP-E")</f>
        <v>74LS139FP-E</v>
      </c>
      <c r="B48844" s="3" t="str">
        <f>HYPERLINK("https://www.773grp.com/manufacturer/renesas-electronics-america-inc?pageNo=807", "Renesas Electronics")</f>
        <v>Renesas Electronics</v>
      </c>
      <c r="C48844" s="6">
        <v>3000</v>
      </c>
      <c r="D48844" s="7">
        <v>1.74</v>
      </c>
    </row>
    <row r="48845" spans="1:4" x14ac:dyDescent="0.25">
      <c r="A48845" t="str">
        <f>HYPERLINK("https://www.773grp.com/globalSearch/74LS139FPEL-E/page-1", "74LS139FPEL-E")</f>
        <v>74LS139FPEL-E</v>
      </c>
      <c r="B48845" s="3" t="str">
        <f>HYPERLINK("https://www.773grp.com/manufacturer/renesas-electronics-america-inc?pageNo=808", "Renesas Electronics")</f>
        <v>Renesas Electronics</v>
      </c>
      <c r="C48845" s="6">
        <v>8000</v>
      </c>
      <c r="D48845" s="7">
        <v>1.74</v>
      </c>
    </row>
    <row r="48846" spans="1:4" x14ac:dyDescent="0.25">
      <c r="A48846" t="str">
        <f>HYPERLINK("https://www.773grp.com/globalSearch/74LS157P-E/page-1", "74LS157P-E")</f>
        <v>74LS157P-E</v>
      </c>
      <c r="B48846" s="3" t="str">
        <f>HYPERLINK("https://www.773grp.com/manufacturer/renesas-electronics-america-inc?pageNo=809", "Renesas Electronics")</f>
        <v>Renesas Electronics</v>
      </c>
      <c r="C48846" s="6">
        <v>1000</v>
      </c>
      <c r="D48846" s="7">
        <v>1.74</v>
      </c>
    </row>
    <row r="48847" spans="1:4" x14ac:dyDescent="0.25">
      <c r="A48847" t="str">
        <f>HYPERLINK("https://www.773grp.com/globalSearch/D74HV1G00VS#H1/page-1", "D74HV1G00VS#H1")</f>
        <v>D74HV1G00VS#H1</v>
      </c>
      <c r="B48847" s="3" t="str">
        <f>HYPERLINK("https://www.773grp.com/manufacturer/renesas-electronics-america-inc?pageNo=810", "Renesas Electronics")</f>
        <v>Renesas Electronics</v>
      </c>
      <c r="C48847" s="6">
        <v>30000</v>
      </c>
      <c r="D48847" s="7">
        <v>1.74</v>
      </c>
    </row>
    <row r="48848" spans="1:4" x14ac:dyDescent="0.25">
      <c r="A48848" t="str">
        <f>HYPERLINK("https://www.773grp.com/globalSearch/RJK0358DSP-00#J0/page-1", "RJK0358DSP-00#J0")</f>
        <v>RJK0358DSP-00#J0</v>
      </c>
      <c r="B48848" s="3" t="str">
        <f>HYPERLINK("https://www.773grp.com/manufacturer/renesas-electronics-america-inc?pageNo=811", "Renesas Electronics")</f>
        <v>Renesas Electronics</v>
      </c>
      <c r="C48848" s="6">
        <v>787500</v>
      </c>
      <c r="D48848" s="7">
        <v>1.74</v>
      </c>
    </row>
    <row r="48849" spans="1:4" x14ac:dyDescent="0.25">
      <c r="A48849" t="str">
        <f>HYPERLINK("https://www.773grp.com/globalSearch/RJK0358DSP-01#J0/page-1", "RJK0358DSP-01#J0")</f>
        <v>RJK0358DSP-01#J0</v>
      </c>
      <c r="B48849" s="3" t="str">
        <f>HYPERLINK("https://www.773grp.com/manufacturer/renesas-electronics-america-inc?pageNo=812", "Renesas Electronics")</f>
        <v>Renesas Electronics</v>
      </c>
      <c r="C48849" s="6">
        <v>225000</v>
      </c>
      <c r="D48849" s="7">
        <v>1.74</v>
      </c>
    </row>
    <row r="48850" spans="1:4" x14ac:dyDescent="0.25">
      <c r="A48850" t="str">
        <f>HYPERLINK("https://www.773grp.com/globalSearch/RJK03E3DNS-WS#J5/page-1", "RJK03E3DNS-WS#J5")</f>
        <v>RJK03E3DNS-WS#J5</v>
      </c>
      <c r="B48850" s="3" t="str">
        <f>HYPERLINK("https://www.773grp.com/manufacturer/renesas-electronics-america-inc?pageNo=813", "Renesas Electronics")</f>
        <v>Renesas Electronics</v>
      </c>
      <c r="C48850" s="6">
        <v>4450</v>
      </c>
      <c r="D48850" s="7">
        <v>1.74</v>
      </c>
    </row>
    <row r="48851" spans="1:4" x14ac:dyDescent="0.25">
      <c r="A48851" t="str">
        <f>HYPERLINK("https://www.773grp.com/globalSearch/UPA2451CTL-E1-A/page-1", "UPA2451CTL-E1-A")</f>
        <v>UPA2451CTL-E1-A</v>
      </c>
      <c r="B48851" s="3" t="str">
        <f>HYPERLINK("https://www.773grp.com/manufacturer/renesas-electronics-america-inc?pageNo=814", "Renesas Electronics")</f>
        <v>Renesas Electronics</v>
      </c>
      <c r="C48851" s="6">
        <v>393000</v>
      </c>
      <c r="D48851" s="7">
        <v>1.74</v>
      </c>
    </row>
    <row r="48852" spans="1:4" x14ac:dyDescent="0.25">
      <c r="A48852" t="str">
        <f>HYPERLINK("https://www.773grp.com/globalSearch/UPA2680T1E-E2-AT/page-1", "UPA2680T1E-E2-AT")</f>
        <v>UPA2680T1E-E2-AT</v>
      </c>
      <c r="B48852" s="3" t="str">
        <f>HYPERLINK("https://www.773grp.com/manufacturer/renesas-electronics-america-inc?pageNo=815", "Renesas Electronics")</f>
        <v>Renesas Electronics</v>
      </c>
      <c r="C48852" s="6">
        <v>564000</v>
      </c>
      <c r="D48852" s="7">
        <v>1.74</v>
      </c>
    </row>
    <row r="48853" spans="1:4" x14ac:dyDescent="0.25">
      <c r="A48853" t="str">
        <f>HYPERLINK("https://www.773grp.com/globalSearch/2SD789ETZ/page-1", "2SD789ETZ")</f>
        <v>2SD789ETZ</v>
      </c>
      <c r="B48853" s="3" t="str">
        <f>HYPERLINK("https://www.773grp.com/manufacturer/renesas-electronics-america-inc?pageNo=816", "Renesas Electronics")</f>
        <v>Renesas Electronics</v>
      </c>
      <c r="C48853" s="6">
        <v>2500</v>
      </c>
      <c r="D48853" s="7">
        <v>1.79</v>
      </c>
    </row>
    <row r="48854" spans="1:4" x14ac:dyDescent="0.25">
      <c r="A48854" t="str">
        <f>HYPERLINK("https://www.773grp.com/globalSearch/74HC09FP-E/page-1", "74HC09FP-E")</f>
        <v>74HC09FP-E</v>
      </c>
      <c r="B48854" s="3" t="str">
        <f>HYPERLINK("https://www.773grp.com/manufacturer/renesas-electronics-america-inc?pageNo=817", "Renesas Electronics")</f>
        <v>Renesas Electronics</v>
      </c>
      <c r="C48854" s="6">
        <v>2000</v>
      </c>
      <c r="D48854" s="7">
        <v>1.79</v>
      </c>
    </row>
    <row r="48855" spans="1:4" x14ac:dyDescent="0.25">
      <c r="A48855" t="str">
        <f>HYPERLINK("https://www.773grp.com/globalSearch/74HC251FP-E/page-1", "74HC251FP-E")</f>
        <v>74HC251FP-E</v>
      </c>
      <c r="B48855" s="3" t="str">
        <f>HYPERLINK("https://www.773grp.com/manufacturer/renesas-electronics-america-inc?pageNo=818", "Renesas Electronics")</f>
        <v>Renesas Electronics</v>
      </c>
      <c r="C48855" s="6">
        <v>4000</v>
      </c>
      <c r="D48855" s="7">
        <v>1.79</v>
      </c>
    </row>
    <row r="48856" spans="1:4" x14ac:dyDescent="0.25">
      <c r="A48856" t="str">
        <f>HYPERLINK("https://www.773grp.com/globalSearch/74HC251P-E/page-1", "74HC251P-E")</f>
        <v>74HC251P-E</v>
      </c>
      <c r="B48856" s="3" t="str">
        <f>HYPERLINK("https://www.773grp.com/manufacturer/renesas-electronics-america-inc?pageNo=819", "Renesas Electronics")</f>
        <v>Renesas Electronics</v>
      </c>
      <c r="C48856" s="6">
        <v>5000</v>
      </c>
      <c r="D48856" s="7">
        <v>1.79</v>
      </c>
    </row>
    <row r="48857" spans="1:4" x14ac:dyDescent="0.25">
      <c r="A48857" t="str">
        <f>HYPERLINK("https://www.773grp.com/globalSearch/74HC258P-E/page-1", "74HC258P-E")</f>
        <v>74HC258P-E</v>
      </c>
      <c r="B48857" s="3" t="str">
        <f>HYPERLINK("https://www.773grp.com/manufacturer/renesas-electronics-america-inc?pageNo=820", "Renesas Electronics")</f>
        <v>Renesas Electronics</v>
      </c>
      <c r="C48857" s="6">
        <v>1000</v>
      </c>
      <c r="D48857" s="7">
        <v>1.79</v>
      </c>
    </row>
    <row r="48858" spans="1:4" x14ac:dyDescent="0.25">
      <c r="A48858" t="str">
        <f>HYPERLINK("https://www.773grp.com/globalSearch/HA17385PS/page-1", "HA17385PS")</f>
        <v>HA17385PS</v>
      </c>
      <c r="B48858" s="3" t="str">
        <f>HYPERLINK("https://www.773grp.com/manufacturer/renesas-electronics-america-inc?pageNo=821", "Renesas Electronics")</f>
        <v>Renesas Electronics</v>
      </c>
      <c r="C48858" s="6">
        <v>2267</v>
      </c>
      <c r="D48858" s="7">
        <v>1.79</v>
      </c>
    </row>
    <row r="48859" spans="1:4" x14ac:dyDescent="0.25">
      <c r="A48859" t="str">
        <f>HYPERLINK("https://www.773grp.com/globalSearch/M51943AHP#CF0J/page-1", "M51943AHP#CF0J")</f>
        <v>M51943AHP#CF0J</v>
      </c>
      <c r="B48859" s="3" t="str">
        <f>HYPERLINK("https://www.773grp.com/manufacturer/renesas-electronics-america-inc?pageNo=822", "Renesas Electronics")</f>
        <v>Renesas Electronics</v>
      </c>
      <c r="C48859" s="6">
        <v>407015</v>
      </c>
      <c r="D48859" s="7">
        <v>1.79</v>
      </c>
    </row>
    <row r="48860" spans="1:4" x14ac:dyDescent="0.25">
      <c r="A48860" t="str">
        <f>HYPERLINK("https://www.773grp.com/globalSearch/UPA2450CTL(1)-E1-A/page-1", "UPA2450CTL(1)-E1-A")</f>
        <v>UPA2450CTL(1)-E1-A</v>
      </c>
      <c r="B48860" s="3" t="str">
        <f>HYPERLINK("https://www.773grp.com/manufacturer/renesas-electronics-america-inc?pageNo=823", "Renesas Electronics")</f>
        <v>Renesas Electronics</v>
      </c>
      <c r="C48860" s="6">
        <v>315000</v>
      </c>
      <c r="D48860" s="7">
        <v>1.79</v>
      </c>
    </row>
    <row r="48861" spans="1:4" x14ac:dyDescent="0.25">
      <c r="A48861" t="str">
        <f>HYPERLINK("https://www.773grp.com/globalSearch/74LS03P-E/page-1", "74LS03P-E")</f>
        <v>74LS03P-E</v>
      </c>
      <c r="B48861" s="3" t="str">
        <f>HYPERLINK("https://www.773grp.com/manufacturer/renesas-electronics-america-inc?pageNo=824", "Renesas Electronics")</f>
        <v>Renesas Electronics</v>
      </c>
      <c r="C48861" s="6">
        <v>9000</v>
      </c>
      <c r="D48861" s="7">
        <v>1.84</v>
      </c>
    </row>
    <row r="48862" spans="1:4" x14ac:dyDescent="0.25">
      <c r="A48862" t="str">
        <f>HYPERLINK("https://www.773grp.com/globalSearch/74LS126AFP-E/page-1", "74LS126AFP-E")</f>
        <v>74LS126AFP-E</v>
      </c>
      <c r="B48862" s="3" t="str">
        <f>HYPERLINK("https://www.773grp.com/manufacturer/renesas-electronics-america-inc?pageNo=825", "Renesas Electronics")</f>
        <v>Renesas Electronics</v>
      </c>
      <c r="C48862" s="6">
        <v>1000</v>
      </c>
      <c r="D48862" s="7">
        <v>1.84</v>
      </c>
    </row>
    <row r="48863" spans="1:4" x14ac:dyDescent="0.25">
      <c r="A48863" t="str">
        <f>HYPERLINK("https://www.773grp.com/globalSearch/74LS175FP-E/page-1", "74LS175FP-E")</f>
        <v>74LS175FP-E</v>
      </c>
      <c r="B48863" s="3" t="str">
        <f>HYPERLINK("https://www.773grp.com/manufacturer/renesas-electronics-america-inc?pageNo=826", "Renesas Electronics")</f>
        <v>Renesas Electronics</v>
      </c>
      <c r="C48863" s="6">
        <v>6462</v>
      </c>
      <c r="D48863" s="7">
        <v>1.84</v>
      </c>
    </row>
    <row r="48864" spans="1:4" x14ac:dyDescent="0.25">
      <c r="A48864" t="str">
        <f>HYPERLINK("https://www.773grp.com/globalSearch/74LS175P-E/page-1", "74LS175P-E")</f>
        <v>74LS175P-E</v>
      </c>
      <c r="B48864" s="3" t="str">
        <f>HYPERLINK("https://www.773grp.com/manufacturer/renesas-electronics-america-inc?pageNo=827", "Renesas Electronics")</f>
        <v>Renesas Electronics</v>
      </c>
      <c r="C48864" s="6">
        <v>1999</v>
      </c>
      <c r="D48864" s="7">
        <v>1.84</v>
      </c>
    </row>
    <row r="48865" spans="1:4" x14ac:dyDescent="0.25">
      <c r="A48865" t="str">
        <f>HYPERLINK("https://www.773grp.com/globalSearch/M51953BL/page-1", "M51953BL")</f>
        <v>M51953BL</v>
      </c>
      <c r="B48865" s="3" t="str">
        <f>HYPERLINK("https://www.773grp.com/manufacturer/renesas-electronics-america-inc?pageNo=828", "Renesas Electronics")</f>
        <v>Renesas Electronics</v>
      </c>
      <c r="C48865" s="6">
        <v>2629</v>
      </c>
      <c r="D48865" s="7">
        <v>1.84</v>
      </c>
    </row>
    <row r="48866" spans="1:4" x14ac:dyDescent="0.25">
      <c r="A48866" t="str">
        <f>HYPERLINK("https://www.773grp.com/globalSearch/M62021FP#TF0J/page-1", "M62021FP#TF0J")</f>
        <v>M62021FP#TF0J</v>
      </c>
      <c r="B48866" s="3" t="str">
        <f>HYPERLINK("https://www.773grp.com/manufacturer/renesas-electronics-america-inc?pageNo=829", "Renesas Electronics")</f>
        <v>Renesas Electronics</v>
      </c>
      <c r="C48866" s="6">
        <v>1654</v>
      </c>
      <c r="D48866" s="7">
        <v>1.84</v>
      </c>
    </row>
    <row r="48867" spans="1:4" x14ac:dyDescent="0.25">
      <c r="A48867" t="str">
        <f>HYPERLINK("https://www.773grp.com/globalSearch/R1EX24016ASA00I#S0/page-1", "R1EX24016ASA00I#S0")</f>
        <v>R1EX24016ASA00I#S0</v>
      </c>
      <c r="B48867" s="3" t="str">
        <f>HYPERLINK("https://www.773grp.com/manufacturer/renesas-electronics-america-inc?pageNo=830", "Renesas Electronics")</f>
        <v>Renesas Electronics</v>
      </c>
      <c r="C48867" s="6">
        <v>32500</v>
      </c>
      <c r="D48867" s="7">
        <v>1.84</v>
      </c>
    </row>
    <row r="48868" spans="1:4" x14ac:dyDescent="0.25">
      <c r="A48868" t="str">
        <f>HYPERLINK("https://www.773grp.com/globalSearch/R1EX24016ATA00I#S0/page-1", "R1EX24016ATA00I#S0")</f>
        <v>R1EX24016ATA00I#S0</v>
      </c>
      <c r="B48868" s="3" t="str">
        <f>HYPERLINK("https://www.773grp.com/manufacturer/renesas-electronics-america-inc?pageNo=831", "Renesas Electronics")</f>
        <v>Renesas Electronics</v>
      </c>
      <c r="C48868" s="6">
        <v>132000</v>
      </c>
      <c r="D48868" s="7">
        <v>1.84</v>
      </c>
    </row>
    <row r="48869" spans="1:4" x14ac:dyDescent="0.25">
      <c r="A48869" t="str">
        <f>HYPERLINK("https://www.773grp.com/globalSearch/74HC132FP-E/page-1", "74HC132FP-E")</f>
        <v>74HC132FP-E</v>
      </c>
      <c r="B48869" s="3" t="str">
        <f>HYPERLINK("https://www.773grp.com/manufacturer/renesas-electronics-america-inc?pageNo=832", "Renesas Electronics")</f>
        <v>Renesas Electronics</v>
      </c>
      <c r="C48869" s="6">
        <v>4000</v>
      </c>
      <c r="D48869" s="7">
        <v>1.91</v>
      </c>
    </row>
    <row r="48870" spans="1:4" x14ac:dyDescent="0.25">
      <c r="A48870" t="str">
        <f>HYPERLINK("https://www.773grp.com/globalSearch/74HC132FPEL-E/page-1", "74HC132FPEL-E")</f>
        <v>74HC132FPEL-E</v>
      </c>
      <c r="B48870" s="3" t="str">
        <f>HYPERLINK("https://www.773grp.com/manufacturer/renesas-electronics-america-inc?pageNo=833", "Renesas Electronics")</f>
        <v>Renesas Electronics</v>
      </c>
      <c r="C48870" s="6">
        <v>6000</v>
      </c>
      <c r="D48870" s="7">
        <v>1.91</v>
      </c>
    </row>
    <row r="48871" spans="1:4" x14ac:dyDescent="0.25">
      <c r="A48871" t="str">
        <f>HYPERLINK("https://www.773grp.com/globalSearch/74HC161TELL-E/page-1", "74HC161TELL-E")</f>
        <v>74HC161TELL-E</v>
      </c>
      <c r="B48871" s="3" t="str">
        <f>HYPERLINK("https://www.773grp.com/manufacturer/renesas-electronics-america-inc?pageNo=834", "Renesas Electronics")</f>
        <v>Renesas Electronics</v>
      </c>
      <c r="C48871" s="6">
        <v>14000</v>
      </c>
      <c r="D48871" s="7">
        <v>1.91</v>
      </c>
    </row>
    <row r="48872" spans="1:4" x14ac:dyDescent="0.25">
      <c r="A48872" t="str">
        <f>HYPERLINK("https://www.773grp.com/globalSearch/74HC163FP-E/page-1", "74HC163FP-E")</f>
        <v>74HC163FP-E</v>
      </c>
      <c r="B48872" s="3" t="str">
        <f>HYPERLINK("https://www.773grp.com/manufacturer/renesas-electronics-america-inc?pageNo=835", "Renesas Electronics")</f>
        <v>Renesas Electronics</v>
      </c>
      <c r="C48872" s="6">
        <v>1000</v>
      </c>
      <c r="D48872" s="7">
        <v>1.91</v>
      </c>
    </row>
    <row r="48873" spans="1:4" x14ac:dyDescent="0.25">
      <c r="A48873" t="str">
        <f>HYPERLINK("https://www.773grp.com/globalSearch/74HC30FPEL-E/page-1", "74HC30FPEL-E")</f>
        <v>74HC30FPEL-E</v>
      </c>
      <c r="B48873" s="3" t="str">
        <f>HYPERLINK("https://www.773grp.com/manufacturer/renesas-electronics-america-inc?pageNo=836", "Renesas Electronics")</f>
        <v>Renesas Electronics</v>
      </c>
      <c r="C48873" s="6">
        <v>10000</v>
      </c>
      <c r="D48873" s="7">
        <v>1.91</v>
      </c>
    </row>
    <row r="48874" spans="1:4" x14ac:dyDescent="0.25">
      <c r="A48874" t="str">
        <f>HYPERLINK("https://www.773grp.com/globalSearch/74HC85P-E/page-1", "74HC85P-E")</f>
        <v>74HC85P-E</v>
      </c>
      <c r="B48874" s="3" t="str">
        <f>HYPERLINK("https://www.773grp.com/manufacturer/renesas-electronics-america-inc?pageNo=837", "Renesas Electronics")</f>
        <v>Renesas Electronics</v>
      </c>
      <c r="C48874" s="6">
        <v>1000</v>
      </c>
      <c r="D48874" s="7">
        <v>1.91</v>
      </c>
    </row>
    <row r="48875" spans="1:4" x14ac:dyDescent="0.25">
      <c r="A48875" t="str">
        <f>HYPERLINK("https://www.773grp.com/globalSearch/74HCT240FPV-E/page-1", "74HCT240FPV-E")</f>
        <v>74HCT240FPV-E</v>
      </c>
      <c r="B48875" s="3" t="str">
        <f>HYPERLINK("https://www.773grp.com/manufacturer/renesas-electronics-america-inc?pageNo=838", "Renesas Electronics")</f>
        <v>Renesas Electronics</v>
      </c>
      <c r="C48875" s="6">
        <v>3000</v>
      </c>
      <c r="D48875" s="7">
        <v>1.91</v>
      </c>
    </row>
    <row r="48876" spans="1:4" x14ac:dyDescent="0.25">
      <c r="A48876" t="str">
        <f>HYPERLINK("https://www.773grp.com/globalSearch/74HCT240FPVEL-E/page-1", "74HCT240FPVEL-E")</f>
        <v>74HCT240FPVEL-E</v>
      </c>
      <c r="B48876" s="3" t="str">
        <f>HYPERLINK("https://www.773grp.com/manufacturer/renesas-electronics-america-inc?pageNo=839", "Renesas Electronics")</f>
        <v>Renesas Electronics</v>
      </c>
      <c r="C48876" s="6">
        <v>2000</v>
      </c>
      <c r="D48876" s="7">
        <v>1.91</v>
      </c>
    </row>
    <row r="48877" spans="1:4" x14ac:dyDescent="0.25">
      <c r="A48877" t="str">
        <f>HYPERLINK("https://www.773grp.com/globalSearch/74HCT241PV-E/page-1", "74HCT241PV-E")</f>
        <v>74HCT241PV-E</v>
      </c>
      <c r="B48877" s="3" t="str">
        <f>HYPERLINK("https://www.773grp.com/manufacturer/renesas-electronics-america-inc?pageNo=840", "Renesas Electronics")</f>
        <v>Renesas Electronics</v>
      </c>
      <c r="C48877" s="6">
        <v>3000</v>
      </c>
      <c r="D48877" s="7">
        <v>1.91</v>
      </c>
    </row>
    <row r="48878" spans="1:4" x14ac:dyDescent="0.25">
      <c r="A48878" t="str">
        <f>HYPERLINK("https://www.773grp.com/globalSearch/74LS157FPEL-E/page-1", "74LS157FPEL-E")</f>
        <v>74LS157FPEL-E</v>
      </c>
      <c r="B48878" s="3" t="str">
        <f>HYPERLINK("https://www.773grp.com/manufacturer/renesas-electronics-america-inc?pageNo=841", "Renesas Electronics")</f>
        <v>Renesas Electronics</v>
      </c>
      <c r="C48878" s="6">
        <v>6000</v>
      </c>
      <c r="D48878" s="7">
        <v>1.91</v>
      </c>
    </row>
    <row r="48879" spans="1:4" x14ac:dyDescent="0.25">
      <c r="A48879" t="str">
        <f>HYPERLINK("https://www.773grp.com/globalSearch/74LS27P-E/page-1", "74LS27P-E")</f>
        <v>74LS27P-E</v>
      </c>
      <c r="B48879" s="3" t="str">
        <f>HYPERLINK("https://www.773grp.com/manufacturer/renesas-electronics-america-inc?pageNo=842", "Renesas Electronics")</f>
        <v>Renesas Electronics</v>
      </c>
      <c r="C48879" s="6">
        <v>3000</v>
      </c>
      <c r="D48879" s="7">
        <v>1.91</v>
      </c>
    </row>
    <row r="48880" spans="1:4" x14ac:dyDescent="0.25">
      <c r="A48880" t="str">
        <f>HYPERLINK("https://www.773grp.com/globalSearch/UPC78L05J-A/page-1", "UPC78L05J-A")</f>
        <v>UPC78L05J-A</v>
      </c>
      <c r="B48880" s="3" t="str">
        <f>HYPERLINK("https://www.773grp.com/manufacturer/renesas-electronics-america-inc?pageNo=843", "Renesas Electronics")</f>
        <v>Renesas Electronics</v>
      </c>
      <c r="C48880" s="6">
        <v>938012</v>
      </c>
      <c r="D48880" s="7">
        <v>1.91</v>
      </c>
    </row>
    <row r="48881" spans="1:4" x14ac:dyDescent="0.25">
      <c r="A48881" t="str">
        <f>HYPERLINK("https://www.773grp.com/globalSearch/UPC78L05J-T-A/page-1", "UPC78L05J-T-A")</f>
        <v>UPC78L05J-T-A</v>
      </c>
      <c r="B48881" s="3" t="str">
        <f>HYPERLINK("https://www.773grp.com/manufacturer/renesas-electronics-america-inc?pageNo=844", "Renesas Electronics")</f>
        <v>Renesas Electronics</v>
      </c>
      <c r="C48881" s="6">
        <v>347500</v>
      </c>
      <c r="D48881" s="7">
        <v>1.91</v>
      </c>
    </row>
    <row r="48882" spans="1:4" x14ac:dyDescent="0.25">
      <c r="A48882" t="str">
        <f>HYPERLINK("https://www.773grp.com/globalSearch/2SD1286-Z-E1-AZ/page-1", "2SD1286-Z-E1-AZ")</f>
        <v>2SD1286-Z-E1-AZ</v>
      </c>
      <c r="B48882" s="3" t="str">
        <f>HYPERLINK("https://www.773grp.com/manufacturer/renesas-electronics-america-inc?pageNo=845", "Renesas Electronics")</f>
        <v>Renesas Electronics</v>
      </c>
      <c r="C48882" s="6">
        <v>4000</v>
      </c>
      <c r="D48882" s="7">
        <v>1.96</v>
      </c>
    </row>
    <row r="48883" spans="1:4" x14ac:dyDescent="0.25">
      <c r="A48883" t="str">
        <f>HYPERLINK("https://www.773grp.com/globalSearch/2SJ317NYTR-E/page-1", "2SJ317NYTR-E")</f>
        <v>2SJ317NYTR-E</v>
      </c>
      <c r="B48883" s="3" t="str">
        <f>HYPERLINK("https://www.773grp.com/manufacturer/renesas-electronics-america-inc?pageNo=846", "Renesas Electronics")</f>
        <v>Renesas Electronics</v>
      </c>
      <c r="C48883" s="6">
        <v>4000</v>
      </c>
      <c r="D48883" s="7">
        <v>1.96</v>
      </c>
    </row>
    <row r="48884" spans="1:4" x14ac:dyDescent="0.25">
      <c r="A48884" t="str">
        <f>HYPERLINK("https://www.773grp.com/globalSearch/74HC10FPEL-E/page-1", "74HC10FPEL-E")</f>
        <v>74HC10FPEL-E</v>
      </c>
      <c r="B48884" s="3" t="str">
        <f>HYPERLINK("https://www.773grp.com/manufacturer/renesas-electronics-america-inc?pageNo=847", "Renesas Electronics")</f>
        <v>Renesas Electronics</v>
      </c>
      <c r="C48884" s="6">
        <v>2000</v>
      </c>
      <c r="D48884" s="7">
        <v>1.96</v>
      </c>
    </row>
    <row r="48885" spans="1:4" x14ac:dyDescent="0.25">
      <c r="A48885" t="str">
        <f>HYPERLINK("https://www.773grp.com/globalSearch/74LS122P-E/page-1", "74LS122P-E")</f>
        <v>74LS122P-E</v>
      </c>
      <c r="B48885" s="3" t="str">
        <f>HYPERLINK("https://www.773grp.com/manufacturer/renesas-electronics-america-inc?pageNo=848", "Renesas Electronics")</f>
        <v>Renesas Electronics</v>
      </c>
      <c r="C48885" s="6">
        <v>3000</v>
      </c>
      <c r="D48885" s="7">
        <v>1.96</v>
      </c>
    </row>
    <row r="48886" spans="1:4" x14ac:dyDescent="0.25">
      <c r="A48886" t="str">
        <f>HYPERLINK("https://www.773grp.com/globalSearch/HA17431PAJ-E/page-1", "HA17431PAJ-E")</f>
        <v>HA17431PAJ-E</v>
      </c>
      <c r="B48886" s="3" t="str">
        <f>HYPERLINK("https://www.773grp.com/manufacturer/renesas-electronics-america-inc?pageNo=849", "Renesas Electronics")</f>
        <v>Renesas Electronics</v>
      </c>
      <c r="C48886" s="6">
        <v>1053</v>
      </c>
      <c r="D48886" s="7">
        <v>1.96</v>
      </c>
    </row>
    <row r="48887" spans="1:4" x14ac:dyDescent="0.25">
      <c r="A48887" t="str">
        <f>HYPERLINK("https://www.773grp.com/globalSearch/M5237L#AG0J/page-1", "M5237L#AG0J")</f>
        <v>M5237L#AG0J</v>
      </c>
      <c r="B48887" s="3" t="str">
        <f>HYPERLINK("https://www.773grp.com/manufacturer/renesas-electronics-america-inc?pageNo=850", "Renesas Electronics")</f>
        <v>Renesas Electronics</v>
      </c>
      <c r="C48887" s="6">
        <v>12500</v>
      </c>
      <c r="D48887" s="7">
        <v>1.96</v>
      </c>
    </row>
    <row r="48888" spans="1:4" x14ac:dyDescent="0.25">
      <c r="A48888" t="str">
        <f>HYPERLINK("https://www.773grp.com/globalSearch/RJK0211DPA-00#J5A/page-1", "RJK0211DPA-00#J5A")</f>
        <v>RJK0211DPA-00#J5A</v>
      </c>
      <c r="B48888" s="3" t="str">
        <f>HYPERLINK("https://www.773grp.com/manufacturer/renesas-electronics-america-inc?pageNo=851", "Renesas Electronics")</f>
        <v>Renesas Electronics</v>
      </c>
      <c r="C48888" s="6">
        <v>33000</v>
      </c>
      <c r="D48888" s="7">
        <v>1.96</v>
      </c>
    </row>
    <row r="48889" spans="1:4" x14ac:dyDescent="0.25">
      <c r="A48889" t="str">
        <f>HYPERLINK("https://www.773grp.com/globalSearch/RJK03K2DPA-00#J5A/page-1", "RJK03K2DPA-00#J5A")</f>
        <v>RJK03K2DPA-00#J5A</v>
      </c>
      <c r="B48889" s="3" t="str">
        <f>HYPERLINK("https://www.773grp.com/manufacturer/renesas-electronics-america-inc?pageNo=852", "Renesas Electronics")</f>
        <v>Renesas Electronics</v>
      </c>
      <c r="C48889" s="6">
        <v>51000</v>
      </c>
      <c r="D48889" s="7">
        <v>1.96</v>
      </c>
    </row>
    <row r="48890" spans="1:4" x14ac:dyDescent="0.25">
      <c r="A48890" t="str">
        <f>HYPERLINK("https://www.773grp.com/globalSearch/RJK03K6DPA-00#J5A/page-1", "RJK03K6DPA-00#J5A")</f>
        <v>RJK03K6DPA-00#J5A</v>
      </c>
      <c r="B48890" s="3" t="str">
        <f>HYPERLINK("https://www.773grp.com/manufacturer/renesas-electronics-america-inc?pageNo=853", "Renesas Electronics")</f>
        <v>Renesas Electronics</v>
      </c>
      <c r="C48890" s="6">
        <v>84000</v>
      </c>
      <c r="D48890" s="7">
        <v>1.96</v>
      </c>
    </row>
    <row r="48891" spans="1:4" x14ac:dyDescent="0.25">
      <c r="A48891" t="str">
        <f>HYPERLINK("https://www.773grp.com/globalSearch/03P2M(DC1)-AZ/page-1", "03P2M(DC1)-AZ")</f>
        <v>03P2M(DC1)-AZ</v>
      </c>
      <c r="B48891" s="3" t="str">
        <f>HYPERLINK("https://www.773grp.com/manufacturer/renesas-electronics-america-inc?pageNo=854", "Renesas Electronics")</f>
        <v>Renesas Electronics</v>
      </c>
      <c r="C48891" s="6">
        <v>39</v>
      </c>
      <c r="D48891" s="7">
        <v>2.0099999999999998</v>
      </c>
    </row>
    <row r="48892" spans="1:4" x14ac:dyDescent="0.25">
      <c r="A48892" t="str">
        <f>HYPERLINK("https://www.773grp.com/globalSearch/74HC05FPEL-E/page-1", "74HC05FPEL-E")</f>
        <v>74HC05FPEL-E</v>
      </c>
      <c r="B48892" s="3" t="str">
        <f>HYPERLINK("https://www.773grp.com/manufacturer/renesas-electronics-america-inc?pageNo=855", "Renesas Electronics")</f>
        <v>Renesas Electronics</v>
      </c>
      <c r="C48892" s="6">
        <v>2000</v>
      </c>
      <c r="D48892" s="7">
        <v>2.0099999999999998</v>
      </c>
    </row>
    <row r="48893" spans="1:4" x14ac:dyDescent="0.25">
      <c r="A48893" t="str">
        <f>HYPERLINK("https://www.773grp.com/globalSearch/74HC51FP-E/page-1", "74HC51FP-E")</f>
        <v>74HC51FP-E</v>
      </c>
      <c r="B48893" s="3" t="str">
        <f>HYPERLINK("https://www.773grp.com/manufacturer/renesas-electronics-america-inc?pageNo=856", "Renesas Electronics")</f>
        <v>Renesas Electronics</v>
      </c>
      <c r="C48893" s="6">
        <v>5000</v>
      </c>
      <c r="D48893" s="7">
        <v>2.0099999999999998</v>
      </c>
    </row>
    <row r="48894" spans="1:4" x14ac:dyDescent="0.25">
      <c r="A48894" t="str">
        <f>HYPERLINK("https://www.773grp.com/globalSearch/74HC51FPEL-E/page-1", "74HC51FPEL-E")</f>
        <v>74HC51FPEL-E</v>
      </c>
      <c r="B48894" s="3" t="str">
        <f>HYPERLINK("https://www.773grp.com/manufacturer/renesas-electronics-america-inc?pageNo=857", "Renesas Electronics")</f>
        <v>Renesas Electronics</v>
      </c>
      <c r="C48894" s="6">
        <v>22000</v>
      </c>
      <c r="D48894" s="7">
        <v>2.0099999999999998</v>
      </c>
    </row>
    <row r="48895" spans="1:4" x14ac:dyDescent="0.25">
      <c r="A48895" t="str">
        <f>HYPERLINK("https://www.773grp.com/globalSearch/HA17903PS-E/page-1", "HA17903PS-E")</f>
        <v>HA17903PS-E</v>
      </c>
      <c r="B48895" s="3" t="str">
        <f>HYPERLINK("https://www.773grp.com/manufacturer/renesas-electronics-america-inc?pageNo=858", "Renesas Electronics")</f>
        <v>Renesas Electronics</v>
      </c>
      <c r="C48895" s="6">
        <v>3633</v>
      </c>
      <c r="D48895" s="7">
        <v>2.0099999999999998</v>
      </c>
    </row>
    <row r="48896" spans="1:4" x14ac:dyDescent="0.25">
      <c r="A48896" t="str">
        <f>HYPERLINK("https://www.773grp.com/globalSearch/M5233FP#TF1J/page-1", "M5233FP#TF1J")</f>
        <v>M5233FP#TF1J</v>
      </c>
      <c r="B48896" s="3" t="str">
        <f>HYPERLINK("https://www.773grp.com/manufacturer/renesas-electronics-america-inc?pageNo=859", "Renesas Electronics")</f>
        <v>Renesas Electronics</v>
      </c>
      <c r="C48896" s="6">
        <v>8832</v>
      </c>
      <c r="D48896" s="7">
        <v>2.0099999999999998</v>
      </c>
    </row>
    <row r="48897" spans="1:4" x14ac:dyDescent="0.25">
      <c r="A48897" t="str">
        <f>HYPERLINK("https://www.773grp.com/globalSearch/2SK1283(1)-AZ/page-1", "2SK1283(1)-AZ")</f>
        <v>2SK1283(1)-AZ</v>
      </c>
      <c r="B48897" s="3" t="str">
        <f>HYPERLINK("https://www.773grp.com/manufacturer/renesas-electronics-america-inc?pageNo=860", "Renesas Electronics")</f>
        <v>Renesas Electronics</v>
      </c>
      <c r="C48897" s="6">
        <v>1400</v>
      </c>
      <c r="D48897" s="7">
        <v>2.06</v>
      </c>
    </row>
    <row r="48898" spans="1:4" x14ac:dyDescent="0.25">
      <c r="A48898" t="str">
        <f>HYPERLINK("https://www.773grp.com/globalSearch/M5224P/page-1", "M5224P")</f>
        <v>M5224P</v>
      </c>
      <c r="B48898" s="3" t="str">
        <f>HYPERLINK("https://www.773grp.com/manufacturer/renesas-electronics-america-inc?pageNo=861", "Renesas Electronics")</f>
        <v>Renesas Electronics</v>
      </c>
      <c r="C48898" s="6">
        <v>4917</v>
      </c>
      <c r="D48898" s="7">
        <v>2.06</v>
      </c>
    </row>
    <row r="48899" spans="1:4" x14ac:dyDescent="0.25">
      <c r="A48899" t="str">
        <f>HYPERLINK("https://www.773grp.com/globalSearch/M62030FP#TF0R/page-1", "M62030FP#TF0R")</f>
        <v>M62030FP#TF0R</v>
      </c>
      <c r="B48899" s="3" t="str">
        <f>HYPERLINK("https://www.773grp.com/manufacturer/renesas-electronics-america-inc?pageNo=862", "Renesas Electronics")</f>
        <v>Renesas Electronics</v>
      </c>
      <c r="C48899" s="6">
        <v>4413</v>
      </c>
      <c r="D48899" s="7">
        <v>2.06</v>
      </c>
    </row>
    <row r="48900" spans="1:4" x14ac:dyDescent="0.25">
      <c r="A48900" t="str">
        <f>HYPERLINK("https://www.773grp.com/globalSearch/M62337FP#TF0R/page-1", "M62337FP#TF0R")</f>
        <v>M62337FP#TF0R</v>
      </c>
      <c r="B48900" s="3" t="str">
        <f>HYPERLINK("https://www.773grp.com/manufacturer/renesas-electronics-america-inc?pageNo=863", "Renesas Electronics")</f>
        <v>Renesas Electronics</v>
      </c>
      <c r="C48900" s="6">
        <v>50</v>
      </c>
      <c r="D48900" s="7">
        <v>2.06</v>
      </c>
    </row>
    <row r="48901" spans="1:4" x14ac:dyDescent="0.25">
      <c r="A48901" t="str">
        <f>HYPERLINK("https://www.773grp.com/globalSearch/2SA1395-AZ/page-1", "2SA1395-AZ")</f>
        <v>2SA1395-AZ</v>
      </c>
      <c r="B48901" s="3" t="str">
        <f>HYPERLINK("https://www.773grp.com/manufacturer/renesas-electronics-america-inc?pageNo=864", "Renesas Electronics")</f>
        <v>Renesas Electronics</v>
      </c>
      <c r="C48901" s="6">
        <v>1770</v>
      </c>
      <c r="D48901" s="7">
        <v>2.11</v>
      </c>
    </row>
    <row r="48902" spans="1:4" x14ac:dyDescent="0.25">
      <c r="A48902" t="str">
        <f>HYPERLINK("https://www.773grp.com/globalSearch/2SC4346-Z-E1-AZ/page-1", "2SC4346-Z-E1-AZ")</f>
        <v>2SC4346-Z-E1-AZ</v>
      </c>
      <c r="B48902" s="3" t="str">
        <f>HYPERLINK("https://www.773grp.com/manufacturer/renesas-electronics-america-inc?pageNo=865", "Renesas Electronics")</f>
        <v>Renesas Electronics</v>
      </c>
      <c r="C48902" s="6">
        <v>6000</v>
      </c>
      <c r="D48902" s="7">
        <v>2.11</v>
      </c>
    </row>
    <row r="48903" spans="1:4" x14ac:dyDescent="0.25">
      <c r="A48903" t="str">
        <f>HYPERLINK("https://www.773grp.com/globalSearch/2SD1692-AZ/page-1", "2SD1692-AZ")</f>
        <v>2SD1692-AZ</v>
      </c>
      <c r="B48903" s="3" t="str">
        <f>HYPERLINK("https://www.773grp.com/manufacturer/renesas-electronics-america-inc?pageNo=866", "Renesas Electronics")</f>
        <v>Renesas Electronics</v>
      </c>
      <c r="C48903" s="6">
        <v>6400</v>
      </c>
      <c r="D48903" s="7">
        <v>2.11</v>
      </c>
    </row>
    <row r="48904" spans="1:4" x14ac:dyDescent="0.25">
      <c r="A48904" t="str">
        <f>HYPERLINK("https://www.773grp.com/globalSearch/74AC02TELL-E/page-1", "74AC02TELL-E")</f>
        <v>74AC02TELL-E</v>
      </c>
      <c r="B48904" s="3" t="str">
        <f>HYPERLINK("https://www.773grp.com/manufacturer/renesas-electronics-america-inc?pageNo=867", "Renesas Electronics")</f>
        <v>Renesas Electronics</v>
      </c>
      <c r="C48904" s="6">
        <v>4000</v>
      </c>
      <c r="D48904" s="7">
        <v>2.11</v>
      </c>
    </row>
    <row r="48905" spans="1:4" x14ac:dyDescent="0.25">
      <c r="A48905" t="str">
        <f>HYPERLINK("https://www.773grp.com/globalSearch/74HC139FP-E/page-1", "74HC139FP-E")</f>
        <v>74HC139FP-E</v>
      </c>
      <c r="B48905" s="3" t="str">
        <f>HYPERLINK("https://www.773grp.com/manufacturer/renesas-electronics-america-inc?pageNo=868", "Renesas Electronics")</f>
        <v>Renesas Electronics</v>
      </c>
      <c r="C48905" s="6">
        <v>4000</v>
      </c>
      <c r="D48905" s="7">
        <v>2.11</v>
      </c>
    </row>
    <row r="48906" spans="1:4" x14ac:dyDescent="0.25">
      <c r="A48906" t="str">
        <f>HYPERLINK("https://www.773grp.com/globalSearch/74LS241P-E/page-1", "74LS241P-E")</f>
        <v>74LS241P-E</v>
      </c>
      <c r="B48906" s="3" t="str">
        <f>HYPERLINK("https://www.773grp.com/manufacturer/renesas-electronics-america-inc?pageNo=869", "Renesas Electronics")</f>
        <v>Renesas Electronics</v>
      </c>
      <c r="C48906" s="6">
        <v>2000</v>
      </c>
      <c r="D48906" s="7">
        <v>2.11</v>
      </c>
    </row>
    <row r="48907" spans="1:4" x14ac:dyDescent="0.25">
      <c r="A48907" t="str">
        <f>HYPERLINK("https://www.773grp.com/globalSearch/M5223AP#TF0Z/page-1", "M5223AP#TF0Z")</f>
        <v>M5223AP#TF0Z</v>
      </c>
      <c r="B48907" s="3" t="str">
        <f>HYPERLINK("https://www.773grp.com/manufacturer/renesas-electronics-america-inc?pageNo=870", "Renesas Electronics")</f>
        <v>Renesas Electronics</v>
      </c>
      <c r="C48907" s="6">
        <v>3264</v>
      </c>
      <c r="D48907" s="7">
        <v>2.11</v>
      </c>
    </row>
    <row r="48908" spans="1:4" x14ac:dyDescent="0.25">
      <c r="A48908" t="str">
        <f>HYPERLINK("https://www.773grp.com/globalSearch/M5238AP#TF0Z/page-1", "M5238AP#TF0Z")</f>
        <v>M5238AP#TF0Z</v>
      </c>
      <c r="B48908" s="3" t="str">
        <f>HYPERLINK("https://www.773grp.com/manufacturer/renesas-electronics-america-inc?pageNo=871", "Renesas Electronics")</f>
        <v>Renesas Electronics</v>
      </c>
      <c r="C48908" s="6">
        <v>2962</v>
      </c>
      <c r="D48908" s="7">
        <v>2.11</v>
      </c>
    </row>
    <row r="48909" spans="1:4" x14ac:dyDescent="0.25">
      <c r="A48909" t="str">
        <f>HYPERLINK("https://www.773grp.com/globalSearch/R2A20050NS#W00B/page-1", "R2A20050NS#W00B")</f>
        <v>R2A20050NS#W00B</v>
      </c>
      <c r="B48909" s="3" t="str">
        <f>HYPERLINK("https://www.773grp.com/manufacturer/renesas-electronics-america-inc?pageNo=872", "Renesas Electronics")</f>
        <v>Renesas Electronics</v>
      </c>
      <c r="C48909" s="6">
        <v>5000</v>
      </c>
      <c r="D48909" s="7">
        <v>2.11</v>
      </c>
    </row>
    <row r="48910" spans="1:4" x14ac:dyDescent="0.25">
      <c r="A48910" t="str">
        <f>HYPERLINK("https://www.773grp.com/globalSearch/RJK0396DPA-00#J53/page-1", "RJK0396DPA-00#J53")</f>
        <v>RJK0396DPA-00#J53</v>
      </c>
      <c r="B48910" s="3" t="str">
        <f>HYPERLINK("https://www.773grp.com/manufacturer/renesas-electronics-america-inc?pageNo=873", "Renesas Electronics")</f>
        <v>Renesas Electronics</v>
      </c>
      <c r="C48910" s="6">
        <v>21000</v>
      </c>
      <c r="D48910" s="7">
        <v>2.11</v>
      </c>
    </row>
    <row r="48911" spans="1:4" x14ac:dyDescent="0.25">
      <c r="A48911" t="str">
        <f>HYPERLINK("https://www.773grp.com/globalSearch/RJK03A4DPA-00#J53/page-1", "RJK03A4DPA-00#J53")</f>
        <v>RJK03A4DPA-00#J53</v>
      </c>
      <c r="B48911" s="3" t="str">
        <f>HYPERLINK("https://www.773grp.com/manufacturer/renesas-electronics-america-inc?pageNo=874", "Renesas Electronics")</f>
        <v>Renesas Electronics</v>
      </c>
      <c r="C48911" s="6">
        <v>9000</v>
      </c>
      <c r="D48911" s="7">
        <v>2.11</v>
      </c>
    </row>
    <row r="48912" spans="1:4" x14ac:dyDescent="0.25">
      <c r="A48912" t="str">
        <f>HYPERLINK("https://www.773grp.com/globalSearch/RJK03K1DPA-00#J5A/page-1", "RJK03K1DPA-00#J5A")</f>
        <v>RJK03K1DPA-00#J5A</v>
      </c>
      <c r="B48912" s="3" t="str">
        <f>HYPERLINK("https://www.773grp.com/manufacturer/renesas-electronics-america-inc?pageNo=875", "Renesas Electronics")</f>
        <v>Renesas Electronics</v>
      </c>
      <c r="C48912" s="6">
        <v>3000</v>
      </c>
      <c r="D48912" s="7">
        <v>2.11</v>
      </c>
    </row>
    <row r="48913" spans="1:4" x14ac:dyDescent="0.25">
      <c r="A48913" t="str">
        <f>HYPERLINK("https://www.773grp.com/globalSearch/2SA1385/page-1", "2SA1385")</f>
        <v>2SA1385</v>
      </c>
      <c r="B48913" s="3" t="str">
        <f>HYPERLINK("https://www.773grp.com/manufacturer/renesas-electronics-america-inc?pageNo=876", "Renesas Electronics")</f>
        <v>Renesas Electronics</v>
      </c>
      <c r="C48913" s="6">
        <v>14517</v>
      </c>
      <c r="D48913" s="7">
        <v>2.16</v>
      </c>
    </row>
    <row r="48914" spans="1:4" x14ac:dyDescent="0.25">
      <c r="A48914" t="str">
        <f>HYPERLINK("https://www.773grp.com/globalSearch/M5218AFP#TF0Z/page-1", "M5218AFP#TF0Z")</f>
        <v>M5218AFP#TF0Z</v>
      </c>
      <c r="B48914" s="3" t="str">
        <f>HYPERLINK("https://www.773grp.com/manufacturer/renesas-electronics-america-inc?pageNo=877", "Renesas Electronics")</f>
        <v>Renesas Electronics</v>
      </c>
      <c r="C48914" s="6">
        <v>644</v>
      </c>
      <c r="D48914" s="7">
        <v>2.16</v>
      </c>
    </row>
    <row r="48915" spans="1:4" x14ac:dyDescent="0.25">
      <c r="A48915" t="str">
        <f>HYPERLINK("https://www.773grp.com/globalSearch/RJK03N6DPA-00#J5A/page-1", "RJK03N6DPA-00#J5A")</f>
        <v>RJK03N6DPA-00#J5A</v>
      </c>
      <c r="B48915" s="3" t="str">
        <f>HYPERLINK("https://www.773grp.com/manufacturer/renesas-electronics-america-inc?pageNo=878", "Renesas Electronics")</f>
        <v>Renesas Electronics</v>
      </c>
      <c r="C48915" s="6">
        <v>2247000</v>
      </c>
      <c r="D48915" s="7">
        <v>2.16</v>
      </c>
    </row>
    <row r="48916" spans="1:4" x14ac:dyDescent="0.25">
      <c r="A48916" t="str">
        <f>HYPERLINK("https://www.773grp.com/globalSearch/UPC1093J-A/page-1", "UPC1093J-A")</f>
        <v>UPC1093J-A</v>
      </c>
      <c r="B48916" s="3" t="str">
        <f>HYPERLINK("https://www.773grp.com/manufacturer/renesas-electronics-america-inc?pageNo=879", "Renesas Electronics")</f>
        <v>Renesas Electronics</v>
      </c>
      <c r="C48916" s="6">
        <v>219692</v>
      </c>
      <c r="D48916" s="7">
        <v>2.16</v>
      </c>
    </row>
    <row r="48917" spans="1:4" x14ac:dyDescent="0.25">
      <c r="A48917" t="str">
        <f>HYPERLINK("https://www.773grp.com/globalSearch/2SK2788VYWS-E/page-1", "2SK2788VYWS-E")</f>
        <v>2SK2788VYWS-E</v>
      </c>
      <c r="B48917" s="3" t="str">
        <f>HYPERLINK("https://www.773grp.com/manufacturer/renesas-electronics-america-inc?pageNo=880", "Renesas Electronics")</f>
        <v>Renesas Electronics</v>
      </c>
      <c r="C48917" s="6">
        <v>999</v>
      </c>
      <c r="D48917" s="7">
        <v>2.21</v>
      </c>
    </row>
    <row r="48918" spans="1:4" x14ac:dyDescent="0.25">
      <c r="A48918" t="str">
        <f>HYPERLINK("https://www.773grp.com/globalSearch/74HC148FPEL-E/page-1", "74HC148FPEL-E")</f>
        <v>74HC148FPEL-E</v>
      </c>
      <c r="B48918" s="3" t="str">
        <f>HYPERLINK("https://www.773grp.com/manufacturer/renesas-electronics-america-inc?pageNo=881", "Renesas Electronics")</f>
        <v>Renesas Electronics</v>
      </c>
      <c r="C48918" s="6">
        <v>4000</v>
      </c>
      <c r="D48918" s="7">
        <v>2.21</v>
      </c>
    </row>
    <row r="48919" spans="1:4" x14ac:dyDescent="0.25">
      <c r="A48919" t="str">
        <f>HYPERLINK("https://www.773grp.com/globalSearch/74HC283FP-E/page-1", "74HC283FP-E")</f>
        <v>74HC283FP-E</v>
      </c>
      <c r="B48919" s="3" t="str">
        <f>HYPERLINK("https://www.773grp.com/manufacturer/renesas-electronics-america-inc?pageNo=882", "Renesas Electronics")</f>
        <v>Renesas Electronics</v>
      </c>
      <c r="C48919" s="6">
        <v>2877</v>
      </c>
      <c r="D48919" s="7">
        <v>2.21</v>
      </c>
    </row>
    <row r="48920" spans="1:4" x14ac:dyDescent="0.25">
      <c r="A48920" t="str">
        <f>HYPERLINK("https://www.773grp.com/globalSearch/74LS161AP-E/page-1", "74LS161AP-E")</f>
        <v>74LS161AP-E</v>
      </c>
      <c r="B48920" s="3" t="str">
        <f>HYPERLINK("https://www.773grp.com/manufacturer/renesas-electronics-america-inc?pageNo=883", "Renesas Electronics")</f>
        <v>Renesas Electronics</v>
      </c>
      <c r="C48920" s="6">
        <v>2000</v>
      </c>
      <c r="D48920" s="7">
        <v>2.21</v>
      </c>
    </row>
    <row r="48921" spans="1:4" x14ac:dyDescent="0.25">
      <c r="A48921" t="str">
        <f>HYPERLINK("https://www.773grp.com/globalSearch/74LS20P-E/page-1", "74LS20P-E")</f>
        <v>74LS20P-E</v>
      </c>
      <c r="B48921" s="3" t="str">
        <f>HYPERLINK("https://www.773grp.com/manufacturer/renesas-electronics-america-inc?pageNo=884", "Renesas Electronics")</f>
        <v>Renesas Electronics</v>
      </c>
      <c r="C48921" s="6">
        <v>7000</v>
      </c>
      <c r="D48921" s="7">
        <v>2.21</v>
      </c>
    </row>
    <row r="48922" spans="1:4" x14ac:dyDescent="0.25">
      <c r="A48922" t="str">
        <f>HYPERLINK("https://www.773grp.com/globalSearch/74LS367AFPEL-E/page-1", "74LS367AFPEL-E")</f>
        <v>74LS367AFPEL-E</v>
      </c>
      <c r="B48922" s="3" t="str">
        <f>HYPERLINK("https://www.773grp.com/manufacturer/renesas-electronics-america-inc?pageNo=885", "Renesas Electronics")</f>
        <v>Renesas Electronics</v>
      </c>
      <c r="C48922" s="6">
        <v>2000</v>
      </c>
      <c r="D48922" s="7">
        <v>2.21</v>
      </c>
    </row>
    <row r="48923" spans="1:4" x14ac:dyDescent="0.25">
      <c r="A48923" t="str">
        <f>HYPERLINK("https://www.773grp.com/globalSearch/M62290L#TF0J/page-1", "M62290L#TF0J")</f>
        <v>M62290L#TF0J</v>
      </c>
      <c r="B48923" s="3" t="str">
        <f>HYPERLINK("https://www.773grp.com/manufacturer/renesas-electronics-america-inc?pageNo=886", "Renesas Electronics")</f>
        <v>Renesas Electronics</v>
      </c>
      <c r="C48923" s="6">
        <v>1033</v>
      </c>
      <c r="D48923" s="7">
        <v>2.21</v>
      </c>
    </row>
    <row r="48924" spans="1:4" x14ac:dyDescent="0.25">
      <c r="A48924" t="str">
        <f>HYPERLINK("https://www.773grp.com/globalSearch/UPA2451TL-E1-A/page-1", "UPA2451TL-E1-A")</f>
        <v>UPA2451TL-E1-A</v>
      </c>
      <c r="B48924" s="3" t="str">
        <f>HYPERLINK("https://www.773grp.com/manufacturer/renesas-electronics-america-inc?pageNo=887", "Renesas Electronics")</f>
        <v>Renesas Electronics</v>
      </c>
      <c r="C48924" s="6">
        <v>3000</v>
      </c>
      <c r="D48924" s="7">
        <v>2.21</v>
      </c>
    </row>
    <row r="48925" spans="1:4" x14ac:dyDescent="0.25">
      <c r="A48925" t="str">
        <f>HYPERLINK("https://www.773grp.com/globalSearch/PS2733-1-F3-A/page-1", "PS2733-1-F3-A")</f>
        <v>PS2733-1-F3-A</v>
      </c>
      <c r="B48925" s="3" t="str">
        <f>HYPERLINK("https://www.773grp.com/manufacturer/renesas-electronics-america-inc?pageNo=888", "Renesas Electronics")</f>
        <v>Renesas Electronics</v>
      </c>
      <c r="C48925" s="6">
        <v>17500</v>
      </c>
      <c r="D48925" s="7">
        <v>2.21</v>
      </c>
    </row>
    <row r="48926" spans="1:4" x14ac:dyDescent="0.25">
      <c r="A48926" t="str">
        <f>HYPERLINK("https://www.773grp.com/globalSearch/2SC2690-AZ/page-1", "2SC2690-AZ")</f>
        <v>2SC2690-AZ</v>
      </c>
      <c r="B48926" s="3" t="str">
        <f>HYPERLINK("https://www.773grp.com/manufacturer/renesas-electronics-america-inc?pageNo=889", "Renesas Electronics")</f>
        <v>Renesas Electronics</v>
      </c>
      <c r="C48926" s="6">
        <v>35300</v>
      </c>
      <c r="D48926" s="7">
        <v>2.2599999999999998</v>
      </c>
    </row>
    <row r="48927" spans="1:4" x14ac:dyDescent="0.25">
      <c r="A48927" t="str">
        <f>HYPERLINK("https://www.773grp.com/globalSearch/2SD794-AZ/page-1", "2SD794-AZ")</f>
        <v>2SD794-AZ</v>
      </c>
      <c r="B48927" s="3" t="str">
        <f>HYPERLINK("https://www.773grp.com/manufacturer/renesas-electronics-america-inc?pageNo=890", "Renesas Electronics")</f>
        <v>Renesas Electronics</v>
      </c>
      <c r="C48927" s="6">
        <v>6049</v>
      </c>
      <c r="D48927" s="7">
        <v>2.2599999999999998</v>
      </c>
    </row>
    <row r="48928" spans="1:4" x14ac:dyDescent="0.25">
      <c r="A48928" t="str">
        <f>HYPERLINK("https://www.773grp.com/globalSearch/74HC109P-E/page-1", "74HC109P-E")</f>
        <v>74HC109P-E</v>
      </c>
      <c r="B48928" s="3" t="str">
        <f>HYPERLINK("https://www.773grp.com/manufacturer/renesas-electronics-america-inc?pageNo=891", "Renesas Electronics")</f>
        <v>Renesas Electronics</v>
      </c>
      <c r="C48928" s="6">
        <v>1000</v>
      </c>
      <c r="D48928" s="7">
        <v>2.2599999999999998</v>
      </c>
    </row>
    <row r="48929" spans="1:4" x14ac:dyDescent="0.25">
      <c r="A48929" t="str">
        <f>HYPERLINK("https://www.773grp.com/globalSearch/74HC190P-E/page-1", "74HC190P-E")</f>
        <v>74HC190P-E</v>
      </c>
      <c r="B48929" s="3" t="str">
        <f>HYPERLINK("https://www.773grp.com/manufacturer/renesas-electronics-america-inc?pageNo=892", "Renesas Electronics")</f>
        <v>Renesas Electronics</v>
      </c>
      <c r="C48929" s="6">
        <v>800</v>
      </c>
      <c r="D48929" s="7">
        <v>2.2599999999999998</v>
      </c>
    </row>
    <row r="48930" spans="1:4" x14ac:dyDescent="0.25">
      <c r="A48930" t="str">
        <f>HYPERLINK("https://www.773grp.com/globalSearch/74HC191FP-E/page-1", "74HC191FP-E")</f>
        <v>74HC191FP-E</v>
      </c>
      <c r="B48930" s="3" t="str">
        <f>HYPERLINK("https://www.773grp.com/manufacturer/renesas-electronics-america-inc?pageNo=893", "Renesas Electronics")</f>
        <v>Renesas Electronics</v>
      </c>
      <c r="C48930" s="6">
        <v>3000</v>
      </c>
      <c r="D48930" s="7">
        <v>2.2599999999999998</v>
      </c>
    </row>
    <row r="48931" spans="1:4" x14ac:dyDescent="0.25">
      <c r="A48931" t="str">
        <f>HYPERLINK("https://www.773grp.com/globalSearch/74HC283FPEL-E/page-1", "74HC283FPEL-E")</f>
        <v>74HC283FPEL-E</v>
      </c>
      <c r="B48931" s="3" t="str">
        <f>HYPERLINK("https://www.773grp.com/manufacturer/renesas-electronics-america-inc?pageNo=894", "Renesas Electronics")</f>
        <v>Renesas Electronics</v>
      </c>
      <c r="C48931" s="6">
        <v>6000</v>
      </c>
      <c r="D48931" s="7">
        <v>2.2599999999999998</v>
      </c>
    </row>
    <row r="48932" spans="1:4" x14ac:dyDescent="0.25">
      <c r="A48932" t="str">
        <f>HYPERLINK("https://www.773grp.com/globalSearch/74HC283P-E/page-1", "74HC283P-E")</f>
        <v>74HC283P-E</v>
      </c>
      <c r="B48932" s="3" t="str">
        <f>HYPERLINK("https://www.773grp.com/manufacturer/renesas-electronics-america-inc?pageNo=1", "Renesas Electronics")</f>
        <v>Renesas Electronics</v>
      </c>
      <c r="C48932" s="6">
        <v>1000</v>
      </c>
      <c r="D48932" s="7">
        <v>2.2599999999999998</v>
      </c>
    </row>
    <row r="48933" spans="1:4" x14ac:dyDescent="0.25">
      <c r="A48933" t="str">
        <f>HYPERLINK("https://www.773grp.com/globalSearch/74HC4066P-E/page-1", "74HC4066P-E")</f>
        <v>74HC4066P-E</v>
      </c>
      <c r="B48933" s="3" t="str">
        <f>HYPERLINK("https://www.773grp.com/manufacturer/renesas-electronics-america-inc?pageNo=2", "Renesas Electronics")</f>
        <v>Renesas Electronics</v>
      </c>
      <c r="C48933" s="6">
        <v>4000</v>
      </c>
      <c r="D48933" s="7">
        <v>2.2599999999999998</v>
      </c>
    </row>
    <row r="48934" spans="1:4" x14ac:dyDescent="0.25">
      <c r="A48934" t="str">
        <f>HYPERLINK("https://www.773grp.com/globalSearch/M62342FP#TF5J/page-1", "M62342FP#TF5J")</f>
        <v>M62342FP#TF5J</v>
      </c>
      <c r="B48934" s="3" t="str">
        <f>HYPERLINK("https://www.773grp.com/manufacturer/renesas-electronics-america-inc?pageNo=3", "Renesas Electronics")</f>
        <v>Renesas Electronics</v>
      </c>
      <c r="C48934" s="6">
        <v>3401</v>
      </c>
      <c r="D48934" s="7">
        <v>2.2599999999999998</v>
      </c>
    </row>
    <row r="48935" spans="1:4" x14ac:dyDescent="0.25">
      <c r="A48935" t="str">
        <f>HYPERLINK("https://www.773grp.com/globalSearch/RJK03H0DPA-00#J5A/page-1", "RJK03H0DPA-00#J5A")</f>
        <v>RJK03H0DPA-00#J5A</v>
      </c>
      <c r="B48935" s="3" t="str">
        <f>HYPERLINK("https://www.773grp.com/manufacturer/renesas-electronics-america-inc?pageNo=4", "Renesas Electronics")</f>
        <v>Renesas Electronics</v>
      </c>
      <c r="C48935" s="6">
        <v>21000</v>
      </c>
      <c r="D48935" s="7">
        <v>2.2599999999999998</v>
      </c>
    </row>
    <row r="48936" spans="1:4" x14ac:dyDescent="0.25">
      <c r="A48936" t="str">
        <f>HYPERLINK("https://www.773grp.com/globalSearch/RJK03J1DPA-00#J5A/page-1", "RJK03J1DPA-00#J5A")</f>
        <v>RJK03J1DPA-00#J5A</v>
      </c>
      <c r="B48936" s="3" t="str">
        <f>HYPERLINK("https://www.773grp.com/manufacturer/renesas-electronics-america-inc?pageNo=5", "Renesas Electronics")</f>
        <v>Renesas Electronics</v>
      </c>
      <c r="C48936" s="6">
        <v>918000</v>
      </c>
      <c r="D48936" s="7">
        <v>2.2599999999999998</v>
      </c>
    </row>
    <row r="48937" spans="1:4" x14ac:dyDescent="0.25">
      <c r="A48937" t="str">
        <f>HYPERLINK("https://www.773grp.com/globalSearch/2SD2124STR-E/page-1", "2SD2124STR-E")</f>
        <v>2SD2124STR-E</v>
      </c>
      <c r="B48937" s="3" t="str">
        <f>HYPERLINK("https://www.773grp.com/manufacturer/renesas-electronics-america-inc?pageNo=6", "Renesas Electronics")</f>
        <v>Renesas Electronics</v>
      </c>
      <c r="C48937" s="6">
        <v>6000</v>
      </c>
      <c r="D48937" s="7">
        <v>2.33</v>
      </c>
    </row>
    <row r="48938" spans="1:4" x14ac:dyDescent="0.25">
      <c r="A48938" t="str">
        <f>HYPERLINK("https://www.773grp.com/globalSearch/74LS375P-E/page-1", "74LS375P-E")</f>
        <v>74LS375P-E</v>
      </c>
      <c r="B48938" s="3" t="str">
        <f>HYPERLINK("https://www.773grp.com/manufacturer/renesas-electronics-america-inc?pageNo=7", "Renesas Electronics")</f>
        <v>Renesas Electronics</v>
      </c>
      <c r="C48938" s="6">
        <v>2000</v>
      </c>
      <c r="D48938" s="7">
        <v>2.33</v>
      </c>
    </row>
    <row r="48939" spans="1:4" x14ac:dyDescent="0.25">
      <c r="A48939" t="str">
        <f>HYPERLINK("https://www.773grp.com/globalSearch/AC01DGM(1DF)-AZ/page-1", "AC01DGM(1DF)-AZ")</f>
        <v>AC01DGM(1DF)-AZ</v>
      </c>
      <c r="B48939" s="3" t="str">
        <f>HYPERLINK("https://www.773grp.com/manufacturer/renesas-electronics-america-inc?pageNo=8", "Renesas Electronics")</f>
        <v>Renesas Electronics</v>
      </c>
      <c r="C48939" s="6">
        <v>76</v>
      </c>
      <c r="D48939" s="7">
        <v>2.33</v>
      </c>
    </row>
    <row r="48940" spans="1:4" x14ac:dyDescent="0.25">
      <c r="A48940" t="str">
        <f>HYPERLINK("https://www.773grp.com/globalSearch/HD74HC10PD/page-1", "HD74HC10PD")</f>
        <v>HD74HC10PD</v>
      </c>
      <c r="B48940" s="3" t="str">
        <f>HYPERLINK("https://www.773grp.com/manufacturer/renesas-electronics-america-inc?pageNo=9", "Renesas Electronics")</f>
        <v>Renesas Electronics</v>
      </c>
      <c r="C48940" s="6">
        <v>3000</v>
      </c>
      <c r="D48940" s="7">
        <v>2.33</v>
      </c>
    </row>
    <row r="48941" spans="1:4" x14ac:dyDescent="0.25">
      <c r="A48941" t="str">
        <f>HYPERLINK("https://www.773grp.com/globalSearch/M5216FP#CF0R/page-1", "M5216FP#CF0R")</f>
        <v>M5216FP#CF0R</v>
      </c>
      <c r="B48941" s="3" t="str">
        <f>HYPERLINK("https://www.773grp.com/manufacturer/renesas-electronics-america-inc?pageNo=10", "Renesas Electronics")</f>
        <v>Renesas Electronics</v>
      </c>
      <c r="C48941" s="6">
        <v>12500</v>
      </c>
      <c r="D48941" s="7">
        <v>2.33</v>
      </c>
    </row>
    <row r="48942" spans="1:4" x14ac:dyDescent="0.25">
      <c r="A48942" t="str">
        <f>HYPERLINK("https://www.773grp.com/globalSearch/RJK03K5DPA-00#J5A/page-1", "RJK03K5DPA-00#J5A")</f>
        <v>RJK03K5DPA-00#J5A</v>
      </c>
      <c r="B48942" s="3" t="str">
        <f>HYPERLINK("https://www.773grp.com/manufacturer/renesas-electronics-america-inc?pageNo=11", "Renesas Electronics")</f>
        <v>Renesas Electronics</v>
      </c>
      <c r="C48942" s="6">
        <v>240000</v>
      </c>
      <c r="D48942" s="7">
        <v>2.33</v>
      </c>
    </row>
    <row r="48943" spans="1:4" x14ac:dyDescent="0.25">
      <c r="A48943" t="str">
        <f>HYPERLINK("https://www.773grp.com/globalSearch/1SS286TA-E/page-1", "1SS286TA-E")</f>
        <v>1SS286TA-E</v>
      </c>
      <c r="B48943" s="3" t="str">
        <f>HYPERLINK("https://www.773grp.com/manufacturer/renesas-electronics-america-inc?pageNo=12", "Renesas Electronics")</f>
        <v>Renesas Electronics</v>
      </c>
      <c r="C48943" s="6">
        <v>44620</v>
      </c>
      <c r="D48943" s="7">
        <v>2.38</v>
      </c>
    </row>
    <row r="48944" spans="1:4" x14ac:dyDescent="0.25">
      <c r="A48944" t="str">
        <f>HYPERLINK("https://www.773grp.com/globalSearch/3P4J-Z-E2-AZ/page-1", "3P4J-Z-E2-AZ")</f>
        <v>3P4J-Z-E2-AZ</v>
      </c>
      <c r="B48944" s="3" t="str">
        <f>HYPERLINK("https://www.773grp.com/manufacturer/renesas-electronics-america-inc?pageNo=13", "Renesas Electronics")</f>
        <v>Renesas Electronics</v>
      </c>
      <c r="C48944" s="6">
        <v>2000</v>
      </c>
      <c r="D48944" s="7">
        <v>2.38</v>
      </c>
    </row>
    <row r="48945" spans="1:4" x14ac:dyDescent="0.25">
      <c r="A48945" t="str">
        <f>HYPERLINK("https://www.773grp.com/globalSearch/HSM126S-JTR-E/page-1", "HSM126S-JTR-E")</f>
        <v>HSM126S-JTR-E</v>
      </c>
      <c r="B48945" s="3" t="str">
        <f>HYPERLINK("https://www.773grp.com/manufacturer/renesas-electronics-america-inc?pageNo=14", "Renesas Electronics")</f>
        <v>Renesas Electronics</v>
      </c>
      <c r="C48945" s="6">
        <v>15000</v>
      </c>
      <c r="D48945" s="7">
        <v>2.38</v>
      </c>
    </row>
    <row r="48946" spans="1:4" x14ac:dyDescent="0.25">
      <c r="A48946" t="str">
        <f>HYPERLINK("https://www.773grp.com/globalSearch/HSM126STR-E/page-1", "HSM126STR-E")</f>
        <v>HSM126STR-E</v>
      </c>
      <c r="B48946" s="3" t="str">
        <f>HYPERLINK("https://www.773grp.com/manufacturer/renesas-electronics-america-inc?pageNo=15", "Renesas Electronics")</f>
        <v>Renesas Electronics</v>
      </c>
      <c r="C48946" s="6">
        <v>13700</v>
      </c>
      <c r="D48946" s="7">
        <v>2.38</v>
      </c>
    </row>
    <row r="48947" spans="1:4" x14ac:dyDescent="0.25">
      <c r="A48947" t="str">
        <f>HYPERLINK("https://www.773grp.com/globalSearch/R1EX24032ASA00A#S0/page-1", "R1EX24032ASA00A#S0")</f>
        <v>R1EX24032ASA00A#S0</v>
      </c>
      <c r="B48947" s="3" t="str">
        <f>HYPERLINK("https://www.773grp.com/manufacturer/renesas-electronics-america-inc?pageNo=16", "Renesas Electronics")</f>
        <v>Renesas Electronics</v>
      </c>
      <c r="C48947" s="6">
        <v>20000</v>
      </c>
      <c r="D48947" s="7">
        <v>2.38</v>
      </c>
    </row>
    <row r="48948" spans="1:4" x14ac:dyDescent="0.25">
      <c r="A48948" t="str">
        <f>HYPERLINK("https://www.773grp.com/globalSearch/RJK0349DPA-01#J0B/page-1", "RJK0349DPA-01#J0B")</f>
        <v>RJK0349DPA-01#J0B</v>
      </c>
      <c r="B48948" s="3" t="str">
        <f>HYPERLINK("https://www.773grp.com/manufacturer/renesas-electronics-america-inc?pageNo=17", "Renesas Electronics")</f>
        <v>Renesas Electronics</v>
      </c>
      <c r="C48948" s="6">
        <v>112500</v>
      </c>
      <c r="D48948" s="7">
        <v>2.38</v>
      </c>
    </row>
    <row r="48949" spans="1:4" x14ac:dyDescent="0.25">
      <c r="A48949" t="str">
        <f>HYPERLINK("https://www.773grp.com/globalSearch/RJK03N4DPA-02#J5A/page-1", "RJK03N4DPA-02#J5A")</f>
        <v>RJK03N4DPA-02#J5A</v>
      </c>
      <c r="B48949" s="3" t="str">
        <f>HYPERLINK("https://www.773grp.com/manufacturer/renesas-electronics-america-inc?pageNo=18", "Renesas Electronics")</f>
        <v>Renesas Electronics</v>
      </c>
      <c r="C48949" s="6">
        <v>429000</v>
      </c>
      <c r="D48949" s="7">
        <v>2.38</v>
      </c>
    </row>
    <row r="48950" spans="1:4" x14ac:dyDescent="0.25">
      <c r="A48950" t="str">
        <f>HYPERLINK("https://www.773grp.com/globalSearch/2SD667DTZ/page-1", "2SD667DTZ")</f>
        <v>2SD667DTZ</v>
      </c>
      <c r="B48950" s="3" t="str">
        <f>HYPERLINK("https://www.773grp.com/manufacturer/renesas-electronics-america-inc?pageNo=19", "Renesas Electronics")</f>
        <v>Renesas Electronics</v>
      </c>
      <c r="C48950" s="6">
        <v>10000</v>
      </c>
      <c r="D48950" s="7">
        <v>2.4300000000000002</v>
      </c>
    </row>
    <row r="48951" spans="1:4" x14ac:dyDescent="0.25">
      <c r="A48951" t="str">
        <f>HYPERLINK("https://www.773grp.com/globalSearch/74HC160P-E/page-1", "74HC160P-E")</f>
        <v>74HC160P-E</v>
      </c>
      <c r="B48951" s="3" t="str">
        <f>HYPERLINK("https://www.773grp.com/manufacturer/renesas-electronics-america-inc?pageNo=20", "Renesas Electronics")</f>
        <v>Renesas Electronics</v>
      </c>
      <c r="C48951" s="6">
        <v>2200</v>
      </c>
      <c r="D48951" s="7">
        <v>2.4300000000000002</v>
      </c>
    </row>
    <row r="48952" spans="1:4" x14ac:dyDescent="0.25">
      <c r="A48952" t="str">
        <f>HYPERLINK("https://www.773grp.com/globalSearch/74HC166P-E/page-1", "74HC166P-E")</f>
        <v>74HC166P-E</v>
      </c>
      <c r="B48952" s="3" t="str">
        <f>HYPERLINK("https://www.773grp.com/manufacturer/renesas-electronics-america-inc?pageNo=21", "Renesas Electronics")</f>
        <v>Renesas Electronics</v>
      </c>
      <c r="C48952" s="6">
        <v>1000</v>
      </c>
      <c r="D48952" s="7">
        <v>2.4300000000000002</v>
      </c>
    </row>
    <row r="48953" spans="1:4" x14ac:dyDescent="0.25">
      <c r="A48953" t="str">
        <f>HYPERLINK("https://www.773grp.com/globalSearch/74LS280FP-E/page-1", "74LS280FP-E")</f>
        <v>74LS280FP-E</v>
      </c>
      <c r="B48953" s="3" t="str">
        <f>HYPERLINK("https://www.773grp.com/manufacturer/renesas-electronics-america-inc?pageNo=22", "Renesas Electronics")</f>
        <v>Renesas Electronics</v>
      </c>
      <c r="C48953" s="6">
        <v>2422</v>
      </c>
      <c r="D48953" s="7">
        <v>2.4300000000000002</v>
      </c>
    </row>
    <row r="48954" spans="1:4" x14ac:dyDescent="0.25">
      <c r="A48954" t="str">
        <f>HYPERLINK("https://www.773grp.com/globalSearch/RJK0331DPB-0T#J0/page-1", "RJK0331DPB-0T#J0")</f>
        <v>RJK0331DPB-0T#J0</v>
      </c>
      <c r="B48954" s="3" t="str">
        <f>HYPERLINK("https://www.773grp.com/manufacturer/renesas-electronics-america-inc?pageNo=23", "Renesas Electronics")</f>
        <v>Renesas Electronics</v>
      </c>
      <c r="C48954" s="6">
        <v>10000</v>
      </c>
      <c r="D48954" s="7">
        <v>2.4300000000000002</v>
      </c>
    </row>
    <row r="48955" spans="1:4" x14ac:dyDescent="0.25">
      <c r="A48955" t="str">
        <f>HYPERLINK("https://www.773grp.com/globalSearch/RJK0331DPB-W1#J0/page-1", "RJK0331DPB-W1#J0")</f>
        <v>RJK0331DPB-W1#J0</v>
      </c>
      <c r="B48955" s="3" t="str">
        <f>HYPERLINK("https://www.773grp.com/manufacturer/renesas-electronics-america-inc?pageNo=24", "Renesas Electronics")</f>
        <v>Renesas Electronics</v>
      </c>
      <c r="C48955" s="6">
        <v>2460</v>
      </c>
      <c r="D48955" s="7">
        <v>2.4300000000000002</v>
      </c>
    </row>
    <row r="48956" spans="1:4" x14ac:dyDescent="0.25">
      <c r="A48956" t="str">
        <f>HYPERLINK("https://www.773grp.com/globalSearch/RJK03K4DPA-00#J5A/page-1", "RJK03K4DPA-00#J5A")</f>
        <v>RJK03K4DPA-00#J5A</v>
      </c>
      <c r="B48956" s="3" t="str">
        <f>HYPERLINK("https://www.773grp.com/manufacturer/renesas-electronics-america-inc?pageNo=25", "Renesas Electronics")</f>
        <v>Renesas Electronics</v>
      </c>
      <c r="C48956" s="6">
        <v>513000</v>
      </c>
      <c r="D48956" s="7">
        <v>2.4300000000000002</v>
      </c>
    </row>
    <row r="48957" spans="1:4" x14ac:dyDescent="0.25">
      <c r="A48957" t="str">
        <f>HYPERLINK("https://www.773grp.com/globalSearch/RJK03M8DNS-WS#J5/page-1", "RJK03M8DNS-WS#J5")</f>
        <v>RJK03M8DNS-WS#J5</v>
      </c>
      <c r="B48957" s="3" t="str">
        <f>HYPERLINK("https://www.773grp.com/manufacturer/renesas-electronics-america-inc?pageNo=26", "Renesas Electronics")</f>
        <v>Renesas Electronics</v>
      </c>
      <c r="C48957" s="6">
        <v>4880</v>
      </c>
      <c r="D48957" s="7">
        <v>2.4300000000000002</v>
      </c>
    </row>
    <row r="48958" spans="1:4" x14ac:dyDescent="0.25">
      <c r="A48958" t="str">
        <f>HYPERLINK("https://www.773grp.com/globalSearch/RJP4006AGE-01#P5/page-1", "RJP4006AGE-01#P5")</f>
        <v>RJP4006AGE-01#P5</v>
      </c>
      <c r="B48958" s="3" t="str">
        <f>HYPERLINK("https://www.773grp.com/manufacturer/renesas-electronics-america-inc?pageNo=27", "Renesas Electronics")</f>
        <v>Renesas Electronics</v>
      </c>
      <c r="C48958" s="6">
        <v>27000</v>
      </c>
      <c r="D48958" s="7">
        <v>2.4300000000000002</v>
      </c>
    </row>
    <row r="48959" spans="1:4" x14ac:dyDescent="0.25">
      <c r="A48959" t="str">
        <f>HYPERLINK("https://www.773grp.com/globalSearch/RJP4007ANS-WS/page-1", "RJP4007ANS-WS")</f>
        <v>RJP4007ANS-WS</v>
      </c>
      <c r="B48959" s="3" t="str">
        <f>HYPERLINK("https://www.773grp.com/manufacturer/renesas-electronics-america-inc?pageNo=28", "Renesas Electronics")</f>
        <v>Renesas Electronics</v>
      </c>
      <c r="C48959" s="6">
        <v>795</v>
      </c>
      <c r="D48959" s="7">
        <v>2.4300000000000002</v>
      </c>
    </row>
    <row r="48960" spans="1:4" x14ac:dyDescent="0.25">
      <c r="A48960" t="str">
        <f>HYPERLINK("https://www.773grp.com/globalSearch/UPA1810GR-9JG-E2-A/page-1", "UPA1810GR-9JG-E2-A")</f>
        <v>UPA1810GR-9JG-E2-A</v>
      </c>
      <c r="B48960" s="3" t="str">
        <f>HYPERLINK("https://www.773grp.com/manufacturer/renesas-electronics-america-inc?pageNo=29", "Renesas Electronics")</f>
        <v>Renesas Electronics</v>
      </c>
      <c r="C48960" s="6">
        <v>3000</v>
      </c>
      <c r="D48960" s="7">
        <v>2.4300000000000002</v>
      </c>
    </row>
    <row r="48961" spans="1:4" x14ac:dyDescent="0.25">
      <c r="A48961" t="str">
        <f>HYPERLINK("https://www.773grp.com/globalSearch/2SJ326-AZ/page-1", "2SJ326-AZ")</f>
        <v>2SJ326-AZ</v>
      </c>
      <c r="B48961" s="3" t="str">
        <f>HYPERLINK("https://www.773grp.com/manufacturer/renesas-electronics-america-inc?pageNo=30", "Renesas Electronics")</f>
        <v>Renesas Electronics</v>
      </c>
      <c r="C48961" s="6">
        <v>2548</v>
      </c>
      <c r="D48961" s="7">
        <v>2.48</v>
      </c>
    </row>
    <row r="48962" spans="1:4" x14ac:dyDescent="0.25">
      <c r="A48962" t="str">
        <f>HYPERLINK("https://www.773grp.com/globalSearch/74LS42P-E/page-1", "74LS42P-E")</f>
        <v>74LS42P-E</v>
      </c>
      <c r="B48962" s="3" t="str">
        <f>HYPERLINK("https://www.773grp.com/manufacturer/renesas-electronics-america-inc?pageNo=31", "Renesas Electronics")</f>
        <v>Renesas Electronics</v>
      </c>
      <c r="C48962" s="6">
        <v>2000</v>
      </c>
      <c r="D48962" s="7">
        <v>2.48</v>
      </c>
    </row>
    <row r="48963" spans="1:4" x14ac:dyDescent="0.25">
      <c r="A48963" t="str">
        <f>HYPERLINK("https://www.773grp.com/globalSearch/D74HV1G32VS#H1/page-1", "D74HV1G32VS#H1")</f>
        <v>D74HV1G32VS#H1</v>
      </c>
      <c r="B48963" s="3" t="str">
        <f>HYPERLINK("https://www.773grp.com/manufacturer/renesas-electronics-america-inc?pageNo=32", "Renesas Electronics")</f>
        <v>Renesas Electronics</v>
      </c>
      <c r="C48963" s="6">
        <v>27000</v>
      </c>
      <c r="D48963" s="7">
        <v>2.48</v>
      </c>
    </row>
    <row r="48964" spans="1:4" x14ac:dyDescent="0.25">
      <c r="A48964" t="str">
        <f>HYPERLINK("https://www.773grp.com/globalSearch/M62722ML#CF0J/page-1", "M62722ML#CF0J")</f>
        <v>M62722ML#CF0J</v>
      </c>
      <c r="B48964" s="3" t="str">
        <f>HYPERLINK("https://www.773grp.com/manufacturer/renesas-electronics-america-inc?pageNo=33", "Renesas Electronics")</f>
        <v>Renesas Electronics</v>
      </c>
      <c r="C48964" s="6">
        <v>11000</v>
      </c>
      <c r="D48964" s="7">
        <v>2.48</v>
      </c>
    </row>
    <row r="48965" spans="1:4" x14ac:dyDescent="0.25">
      <c r="A48965" t="str">
        <f>HYPERLINK("https://www.773grp.com/globalSearch/M62743ML#CF0J/page-1", "M62743ML#CF0J")</f>
        <v>M62743ML#CF0J</v>
      </c>
      <c r="B48965" s="3" t="str">
        <f>HYPERLINK("https://www.773grp.com/manufacturer/renesas-electronics-america-inc?pageNo=34", "Renesas Electronics")</f>
        <v>Renesas Electronics</v>
      </c>
      <c r="C48965" s="6">
        <v>11900</v>
      </c>
      <c r="D48965" s="7">
        <v>2.48</v>
      </c>
    </row>
    <row r="48966" spans="1:4" x14ac:dyDescent="0.25">
      <c r="A48966" t="str">
        <f>HYPERLINK("https://www.773grp.com/globalSearch/RJK03K0DPA-00#J5A/page-1", "RJK03K0DPA-00#J5A")</f>
        <v>RJK03K0DPA-00#J5A</v>
      </c>
      <c r="B48966" s="3" t="str">
        <f>HYPERLINK("https://www.773grp.com/manufacturer/renesas-electronics-america-inc?pageNo=35", "Renesas Electronics")</f>
        <v>Renesas Electronics</v>
      </c>
      <c r="C48966" s="6">
        <v>39000</v>
      </c>
      <c r="D48966" s="7">
        <v>2.48</v>
      </c>
    </row>
    <row r="48967" spans="1:4" x14ac:dyDescent="0.25">
      <c r="A48967" t="str">
        <f>HYPERLINK("https://www.773grp.com/globalSearch/2SD1033-E1-AZ/page-1", "2SD1033-E1-AZ")</f>
        <v>2SD1033-E1-AZ</v>
      </c>
      <c r="B48967" s="3" t="str">
        <f>HYPERLINK("https://www.773grp.com/manufacturer/renesas-electronics-america-inc?pageNo=36", "Renesas Electronics")</f>
        <v>Renesas Electronics</v>
      </c>
      <c r="C48967" s="6">
        <v>4000</v>
      </c>
      <c r="D48967" s="7">
        <v>2.54</v>
      </c>
    </row>
    <row r="48968" spans="1:4" x14ac:dyDescent="0.25">
      <c r="A48968" t="str">
        <f>HYPERLINK("https://www.773grp.com/globalSearch/2SK2851TZ-E/page-1", "2SK2851TZ-E")</f>
        <v>2SK2851TZ-E</v>
      </c>
      <c r="B48968" s="3" t="str">
        <f>HYPERLINK("https://www.773grp.com/manufacturer/renesas-electronics-america-inc?pageNo=37", "Renesas Electronics")</f>
        <v>Renesas Electronics</v>
      </c>
      <c r="C48968" s="6">
        <v>5000</v>
      </c>
      <c r="D48968" s="7">
        <v>2.54</v>
      </c>
    </row>
    <row r="48969" spans="1:4" x14ac:dyDescent="0.25">
      <c r="A48969" t="str">
        <f>HYPERLINK("https://www.773grp.com/globalSearch/5P4J-ZK-E2-AZ/page-1", "5P4J-ZK-E2-AZ")</f>
        <v>5P4J-ZK-E2-AZ</v>
      </c>
      <c r="B48969" s="3" t="str">
        <f>HYPERLINK("https://www.773grp.com/manufacturer/renesas-electronics-america-inc?pageNo=38", "Renesas Electronics")</f>
        <v>Renesas Electronics</v>
      </c>
      <c r="C48969" s="6">
        <v>2500</v>
      </c>
      <c r="D48969" s="7">
        <v>2.54</v>
      </c>
    </row>
    <row r="48970" spans="1:4" x14ac:dyDescent="0.25">
      <c r="A48970" t="str">
        <f>HYPERLINK("https://www.773grp.com/globalSearch/74HC257FPEL-E/page-1", "74HC257FPEL-E")</f>
        <v>74HC257FPEL-E</v>
      </c>
      <c r="B48970" s="3" t="str">
        <f>HYPERLINK("https://www.773grp.com/manufacturer/renesas-electronics-america-inc?pageNo=39", "Renesas Electronics")</f>
        <v>Renesas Electronics</v>
      </c>
      <c r="C48970" s="6">
        <v>2000</v>
      </c>
      <c r="D48970" s="7">
        <v>2.54</v>
      </c>
    </row>
    <row r="48971" spans="1:4" x14ac:dyDescent="0.25">
      <c r="A48971" t="str">
        <f>HYPERLINK("https://www.773grp.com/globalSearch/74LS132P-E/page-1", "74LS132P-E")</f>
        <v>74LS132P-E</v>
      </c>
      <c r="B48971" s="3" t="str">
        <f>HYPERLINK("https://www.773grp.com/manufacturer/renesas-electronics-america-inc?pageNo=40", "Renesas Electronics")</f>
        <v>Renesas Electronics</v>
      </c>
      <c r="C48971" s="6">
        <v>7900</v>
      </c>
      <c r="D48971" s="7">
        <v>2.54</v>
      </c>
    </row>
    <row r="48972" spans="1:4" x14ac:dyDescent="0.25">
      <c r="A48972" t="str">
        <f>HYPERLINK("https://www.773grp.com/globalSearch/74LS160AP-E/page-1", "74LS160AP-E")</f>
        <v>74LS160AP-E</v>
      </c>
      <c r="B48972" s="3" t="str">
        <f>HYPERLINK("https://www.773grp.com/manufacturer/renesas-electronics-america-inc?pageNo=41", "Renesas Electronics")</f>
        <v>Renesas Electronics</v>
      </c>
      <c r="C48972" s="6">
        <v>3000</v>
      </c>
      <c r="D48972" s="7">
        <v>2.54</v>
      </c>
    </row>
    <row r="48973" spans="1:4" x14ac:dyDescent="0.25">
      <c r="A48973" t="str">
        <f>HYPERLINK("https://www.773grp.com/globalSearch/74LS194AP-E/page-1", "74LS194AP-E")</f>
        <v>74LS194AP-E</v>
      </c>
      <c r="B48973" s="3" t="str">
        <f>HYPERLINK("https://www.773grp.com/manufacturer/renesas-electronics-america-inc?pageNo=42", "Renesas Electronics")</f>
        <v>Renesas Electronics</v>
      </c>
      <c r="C48973" s="6">
        <v>4000</v>
      </c>
      <c r="D48973" s="7">
        <v>2.54</v>
      </c>
    </row>
    <row r="48974" spans="1:4" x14ac:dyDescent="0.25">
      <c r="A48974" t="str">
        <f>HYPERLINK("https://www.773grp.com/globalSearch/74LS283P-E/page-1", "74LS283P-E")</f>
        <v>74LS283P-E</v>
      </c>
      <c r="B48974" s="3" t="str">
        <f>HYPERLINK("https://www.773grp.com/manufacturer/renesas-electronics-america-inc?pageNo=43", "Renesas Electronics")</f>
        <v>Renesas Electronics</v>
      </c>
      <c r="C48974" s="6">
        <v>1000</v>
      </c>
      <c r="D48974" s="7">
        <v>2.54</v>
      </c>
    </row>
    <row r="48975" spans="1:4" x14ac:dyDescent="0.25">
      <c r="A48975" t="str">
        <f>HYPERLINK("https://www.773grp.com/globalSearch/M62337FP#DF0R/page-1", "M62337FP#DF0R")</f>
        <v>M62337FP#DF0R</v>
      </c>
      <c r="B48975" s="3" t="str">
        <f>HYPERLINK("https://www.773grp.com/manufacturer/renesas-electronics-america-inc?pageNo=44", "Renesas Electronics")</f>
        <v>Renesas Electronics</v>
      </c>
      <c r="C48975" s="6">
        <v>45000</v>
      </c>
      <c r="D48975" s="7">
        <v>2.54</v>
      </c>
    </row>
    <row r="48976" spans="1:4" x14ac:dyDescent="0.25">
      <c r="A48976" t="str">
        <f>HYPERLINK("https://www.773grp.com/globalSearch/R1EX24004ASAS0I#S1/page-1", "R1EX24004ASAS0I#S1")</f>
        <v>R1EX24004ASAS0I#S1</v>
      </c>
      <c r="B48976" s="3" t="str">
        <f>HYPERLINK("https://www.773grp.com/manufacturer/renesas-electronics-america-inc?pageNo=45", "Renesas Electronics")</f>
        <v>Renesas Electronics</v>
      </c>
      <c r="C48976" s="6">
        <v>250</v>
      </c>
      <c r="D48976" s="7">
        <v>2.54</v>
      </c>
    </row>
    <row r="48977" spans="1:4" x14ac:dyDescent="0.25">
      <c r="A48977" t="str">
        <f>HYPERLINK("https://www.773grp.com/globalSearch/R1EX24008ATA00I#S0/page-1", "R1EX24008ATA00I#S0")</f>
        <v>R1EX24008ATA00I#S0</v>
      </c>
      <c r="B48977" s="3" t="str">
        <f>HYPERLINK("https://www.773grp.com/manufacturer/renesas-electronics-america-inc?pageNo=46", "Renesas Electronics")</f>
        <v>Renesas Electronics</v>
      </c>
      <c r="C48977" s="6">
        <v>8400</v>
      </c>
      <c r="D48977" s="7">
        <v>2.54</v>
      </c>
    </row>
    <row r="48978" spans="1:4" x14ac:dyDescent="0.25">
      <c r="A48978" t="str">
        <f>HYPERLINK("https://www.773grp.com/globalSearch/RJK0348DSP-WS#J0/page-1", "RJK0348DSP-WS#J0")</f>
        <v>RJK0348DSP-WS#J0</v>
      </c>
      <c r="B48978" s="3" t="str">
        <f>HYPERLINK("https://www.773grp.com/manufacturer/renesas-electronics-america-inc?pageNo=47", "Renesas Electronics")</f>
        <v>Renesas Electronics</v>
      </c>
      <c r="C48978" s="6">
        <v>2200</v>
      </c>
      <c r="D48978" s="7">
        <v>2.54</v>
      </c>
    </row>
    <row r="48979" spans="1:4" x14ac:dyDescent="0.25">
      <c r="A48979" t="str">
        <f>HYPERLINK("https://www.773grp.com/globalSearch/2SC5624VH-TL-E/page-1", "2SC5624VH-TL-E")</f>
        <v>2SC5624VH-TL-E</v>
      </c>
      <c r="B48979" s="3" t="str">
        <f>HYPERLINK("https://www.773grp.com/manufacturer/renesas-electronics-america-inc?pageNo=48", "Renesas Electronics")</f>
        <v>Renesas Electronics</v>
      </c>
      <c r="C48979" s="6">
        <v>99000</v>
      </c>
      <c r="D48979" s="7">
        <v>2.59</v>
      </c>
    </row>
    <row r="48980" spans="1:4" x14ac:dyDescent="0.25">
      <c r="A48980" t="str">
        <f>HYPERLINK("https://www.773grp.com/globalSearch/74HC73FP-E/page-1", "74HC73FP-E")</f>
        <v>74HC73FP-E</v>
      </c>
      <c r="B48980" s="3" t="str">
        <f>HYPERLINK("https://www.773grp.com/manufacturer/renesas-electronics-america-inc?pageNo=49", "Renesas Electronics")</f>
        <v>Renesas Electronics</v>
      </c>
      <c r="C48980" s="6">
        <v>7376</v>
      </c>
      <c r="D48980" s="7">
        <v>2.59</v>
      </c>
    </row>
    <row r="48981" spans="1:4" x14ac:dyDescent="0.25">
      <c r="A48981" t="str">
        <f>HYPERLINK("https://www.773grp.com/globalSearch/AC03FJM-AZ/page-1", "AC03FJM-AZ")</f>
        <v>AC03FJM-AZ</v>
      </c>
      <c r="B48981" s="3" t="str">
        <f>HYPERLINK("https://www.773grp.com/manufacturer/renesas-electronics-america-inc?pageNo=50", "Renesas Electronics")</f>
        <v>Renesas Electronics</v>
      </c>
      <c r="C48981" s="6">
        <v>8716</v>
      </c>
      <c r="D48981" s="7">
        <v>2.59</v>
      </c>
    </row>
    <row r="48982" spans="1:4" x14ac:dyDescent="0.25">
      <c r="A48982" t="str">
        <f>HYPERLINK("https://www.773grp.com/globalSearch/AC03FJM-Z-AZ/page-1", "AC03FJM-Z-AZ")</f>
        <v>AC03FJM-Z-AZ</v>
      </c>
      <c r="B48982" s="3" t="str">
        <f>HYPERLINK("https://www.773grp.com/manufacturer/renesas-electronics-america-inc?pageNo=51", "Renesas Electronics")</f>
        <v>Renesas Electronics</v>
      </c>
      <c r="C48982" s="6">
        <v>3024</v>
      </c>
      <c r="D48982" s="7">
        <v>2.59</v>
      </c>
    </row>
    <row r="48983" spans="1:4" x14ac:dyDescent="0.25">
      <c r="A48983" t="str">
        <f>HYPERLINK("https://www.773grp.com/globalSearch/HA179L08P-TZ-E/page-1", "HA179L08P-TZ-E")</f>
        <v>HA179L08P-TZ-E</v>
      </c>
      <c r="B48983" s="3" t="str">
        <f>HYPERLINK("https://www.773grp.com/manufacturer/renesas-electronics-america-inc?pageNo=52", "Renesas Electronics")</f>
        <v>Renesas Electronics</v>
      </c>
      <c r="C48983" s="6">
        <v>10000</v>
      </c>
      <c r="D48983" s="7">
        <v>2.59</v>
      </c>
    </row>
    <row r="48984" spans="1:4" x14ac:dyDescent="0.25">
      <c r="A48984" t="str">
        <f>HYPERLINK("https://www.773grp.com/globalSearch/HA179L12P-TZ-E/page-1", "HA179L12P-TZ-E")</f>
        <v>HA179L12P-TZ-E</v>
      </c>
      <c r="B48984" s="3" t="str">
        <f>HYPERLINK("https://www.773grp.com/manufacturer/renesas-electronics-america-inc?pageNo=53", "Renesas Electronics")</f>
        <v>Renesas Electronics</v>
      </c>
      <c r="C48984" s="6">
        <v>43500</v>
      </c>
      <c r="D48984" s="7">
        <v>2.59</v>
      </c>
    </row>
    <row r="48985" spans="1:4" x14ac:dyDescent="0.25">
      <c r="A48985" t="str">
        <f>HYPERLINK("https://www.773grp.com/globalSearch/RJJ0315DSP-WS#J5/page-1", "RJJ0315DSP-WS#J5")</f>
        <v>RJJ0315DSP-WS#J5</v>
      </c>
      <c r="B48985" s="3" t="str">
        <f>HYPERLINK("https://www.773grp.com/manufacturer/renesas-electronics-america-inc?pageNo=54", "Renesas Electronics")</f>
        <v>Renesas Electronics</v>
      </c>
      <c r="C48985" s="6">
        <v>885</v>
      </c>
      <c r="D48985" s="7">
        <v>2.59</v>
      </c>
    </row>
    <row r="48986" spans="1:4" x14ac:dyDescent="0.25">
      <c r="A48986" t="str">
        <f>HYPERLINK("https://www.773grp.com/globalSearch/RJK0233DPA-00#J5A/page-1", "RJK0233DPA-00#J5A")</f>
        <v>RJK0233DPA-00#J5A</v>
      </c>
      <c r="B48986" s="3" t="str">
        <f>HYPERLINK("https://www.773grp.com/manufacturer/renesas-electronics-america-inc?pageNo=55", "Renesas Electronics")</f>
        <v>Renesas Electronics</v>
      </c>
      <c r="C48986" s="6">
        <v>6000</v>
      </c>
      <c r="D48986" s="7">
        <v>2.59</v>
      </c>
    </row>
    <row r="48987" spans="1:4" x14ac:dyDescent="0.25">
      <c r="A48987" t="str">
        <f>HYPERLINK("https://www.773grp.com/globalSearch/RJK0236DPA-00#J5A/page-1", "RJK0236DPA-00#J5A")</f>
        <v>RJK0236DPA-00#J5A</v>
      </c>
      <c r="B48987" s="3" t="str">
        <f>HYPERLINK("https://www.773grp.com/manufacturer/renesas-electronics-america-inc?pageNo=56", "Renesas Electronics")</f>
        <v>Renesas Electronics</v>
      </c>
      <c r="C48987" s="6">
        <v>12000</v>
      </c>
      <c r="D48987" s="7">
        <v>2.59</v>
      </c>
    </row>
    <row r="48988" spans="1:4" x14ac:dyDescent="0.25">
      <c r="A48988" t="str">
        <f>HYPERLINK("https://www.773grp.com/globalSearch/RJK0374DSP-01#J0/page-1", "RJK0374DSP-01#J0")</f>
        <v>RJK0374DSP-01#J0</v>
      </c>
      <c r="B48988" s="3" t="str">
        <f>HYPERLINK("https://www.773grp.com/manufacturer/renesas-electronics-america-inc?pageNo=57", "Renesas Electronics")</f>
        <v>Renesas Electronics</v>
      </c>
      <c r="C48988" s="6">
        <v>200000</v>
      </c>
      <c r="D48988" s="7">
        <v>2.59</v>
      </c>
    </row>
    <row r="48989" spans="1:4" x14ac:dyDescent="0.25">
      <c r="A48989" t="str">
        <f>HYPERLINK("https://www.773grp.com/globalSearch/RJK03J0DPA-00#J5A/page-1", "RJK03J0DPA-00#J5A")</f>
        <v>RJK03J0DPA-00#J5A</v>
      </c>
      <c r="B48989" s="3" t="str">
        <f>HYPERLINK("https://www.773grp.com/manufacturer/renesas-electronics-america-inc?pageNo=58", "Renesas Electronics")</f>
        <v>Renesas Electronics</v>
      </c>
      <c r="C48989" s="6">
        <v>9000</v>
      </c>
      <c r="D48989" s="7">
        <v>2.59</v>
      </c>
    </row>
    <row r="48990" spans="1:4" x14ac:dyDescent="0.25">
      <c r="A48990" t="str">
        <f>HYPERLINK("https://www.773grp.com/globalSearch/5P4J-AZ/page-1", "5P4J-AZ")</f>
        <v>5P4J-AZ</v>
      </c>
      <c r="B48990" s="3" t="str">
        <f>HYPERLINK("https://www.773grp.com/manufacturer/renesas-electronics-america-inc?pageNo=59", "Renesas Electronics")</f>
        <v>Renesas Electronics</v>
      </c>
      <c r="C48990" s="6">
        <v>561</v>
      </c>
      <c r="D48990" s="7">
        <v>2.64</v>
      </c>
    </row>
    <row r="48991" spans="1:4" x14ac:dyDescent="0.25">
      <c r="A48991" t="str">
        <f>HYPERLINK("https://www.773grp.com/globalSearch/74LS156P-E/page-1", "74LS156P-E")</f>
        <v>74LS156P-E</v>
      </c>
      <c r="B48991" s="3" t="str">
        <f>HYPERLINK("https://www.773grp.com/manufacturer/renesas-electronics-america-inc?pageNo=60", "Renesas Electronics")</f>
        <v>Renesas Electronics</v>
      </c>
      <c r="C48991" s="6">
        <v>12000</v>
      </c>
      <c r="D48991" s="7">
        <v>2.64</v>
      </c>
    </row>
    <row r="48992" spans="1:4" x14ac:dyDescent="0.25">
      <c r="A48992" t="str">
        <f>HYPERLINK("https://www.773grp.com/globalSearch/74LS85FP-E/page-1", "74LS85FP-E")</f>
        <v>74LS85FP-E</v>
      </c>
      <c r="B48992" s="3" t="str">
        <f>HYPERLINK("https://www.773grp.com/manufacturer/renesas-electronics-america-inc?pageNo=61", "Renesas Electronics")</f>
        <v>Renesas Electronics</v>
      </c>
      <c r="C48992" s="6">
        <v>4000</v>
      </c>
      <c r="D48992" s="7">
        <v>2.64</v>
      </c>
    </row>
    <row r="48993" spans="1:4" x14ac:dyDescent="0.25">
      <c r="A48993" t="str">
        <f>HYPERLINK("https://www.773grp.com/globalSearch/FS5ASJ-06F-T13#B00/page-1", "FS5ASJ-06F-T13#B00")</f>
        <v>FS5ASJ-06F-T13#B00</v>
      </c>
      <c r="B48993" s="3" t="str">
        <f>HYPERLINK("https://www.773grp.com/manufacturer/renesas-electronics-america-inc?pageNo=62", "Renesas Electronics")</f>
        <v>Renesas Electronics</v>
      </c>
      <c r="C48993" s="6">
        <v>20930</v>
      </c>
      <c r="D48993" s="7">
        <v>2.64</v>
      </c>
    </row>
    <row r="48994" spans="1:4" x14ac:dyDescent="0.25">
      <c r="A48994" t="str">
        <f>HYPERLINK("https://www.773grp.com/globalSearch/HAT2050TWS-E/page-1", "HAT2050TWS-E")</f>
        <v>HAT2050TWS-E</v>
      </c>
      <c r="B48994" s="3" t="str">
        <f>HYPERLINK("https://www.773grp.com/manufacturer/renesas-electronics-america-inc?pageNo=63", "Renesas Electronics")</f>
        <v>Renesas Electronics</v>
      </c>
      <c r="C48994" s="6">
        <v>2905</v>
      </c>
      <c r="D48994" s="7">
        <v>2.64</v>
      </c>
    </row>
    <row r="48995" spans="1:4" x14ac:dyDescent="0.25">
      <c r="A48995" t="str">
        <f>HYPERLINK("https://www.773grp.com/globalSearch/M5295AFP#DF0R/page-1", "M5295AFP#DF0R")</f>
        <v>M5295AFP#DF0R</v>
      </c>
      <c r="B48995" s="3" t="str">
        <f>HYPERLINK("https://www.773grp.com/manufacturer/renesas-electronics-america-inc?pageNo=64", "Renesas Electronics")</f>
        <v>Renesas Electronics</v>
      </c>
      <c r="C48995" s="6">
        <v>17500</v>
      </c>
      <c r="D48995" s="7">
        <v>2.64</v>
      </c>
    </row>
    <row r="48996" spans="1:4" x14ac:dyDescent="0.25">
      <c r="A48996" t="str">
        <f>HYPERLINK("https://www.773grp.com/globalSearch/RJK0351DPA-00#J0/page-1", "RJK0351DPA-00#J0")</f>
        <v>RJK0351DPA-00#J0</v>
      </c>
      <c r="B48996" s="3" t="str">
        <f>HYPERLINK("https://www.773grp.com/manufacturer/renesas-electronics-america-inc?pageNo=65", "Renesas Electronics")</f>
        <v>Renesas Electronics</v>
      </c>
      <c r="C48996" s="6">
        <v>182500</v>
      </c>
      <c r="D48996" s="7">
        <v>2.64</v>
      </c>
    </row>
    <row r="48997" spans="1:4" x14ac:dyDescent="0.25">
      <c r="A48997" t="str">
        <f>HYPERLINK("https://www.773grp.com/globalSearch/RJK0351DPA-01#J0/page-1", "RJK0351DPA-01#J0")</f>
        <v>RJK0351DPA-01#J0</v>
      </c>
      <c r="B48997" s="3" t="str">
        <f>HYPERLINK("https://www.773grp.com/manufacturer/renesas-electronics-america-inc?pageNo=66", "Renesas Electronics")</f>
        <v>Renesas Electronics</v>
      </c>
      <c r="C48997" s="6">
        <v>2500</v>
      </c>
      <c r="D48997" s="7">
        <v>2.64</v>
      </c>
    </row>
    <row r="48998" spans="1:4" x14ac:dyDescent="0.25">
      <c r="A48998" t="str">
        <f>HYPERLINK("https://www.773grp.com/globalSearch/RJK0351DPA-02#J0/page-1", "RJK0351DPA-02#J0")</f>
        <v>RJK0351DPA-02#J0</v>
      </c>
      <c r="B48998" s="3" t="str">
        <f>HYPERLINK("https://www.773grp.com/manufacturer/renesas-electronics-america-inc?pageNo=67", "Renesas Electronics")</f>
        <v>Renesas Electronics</v>
      </c>
      <c r="C48998" s="6">
        <v>50000</v>
      </c>
      <c r="D48998" s="7">
        <v>2.64</v>
      </c>
    </row>
    <row r="48999" spans="1:4" x14ac:dyDescent="0.25">
      <c r="A48999" t="str">
        <f>HYPERLINK("https://www.773grp.com/globalSearch/RJK0351DPA-03#J0B/page-1", "RJK0351DPA-03#J0B")</f>
        <v>RJK0351DPA-03#J0B</v>
      </c>
      <c r="B48999" s="3" t="str">
        <f>HYPERLINK("https://www.773grp.com/manufacturer/renesas-electronics-america-inc?pageNo=68", "Renesas Electronics")</f>
        <v>Renesas Electronics</v>
      </c>
      <c r="C48999" s="6">
        <v>7500</v>
      </c>
      <c r="D48999" s="7">
        <v>2.64</v>
      </c>
    </row>
    <row r="49000" spans="1:4" x14ac:dyDescent="0.25">
      <c r="A49000" t="str">
        <f>HYPERLINK("https://www.773grp.com/globalSearch/RJK0351DPA-WS#J0/page-1", "RJK0351DPA-WS#J0")</f>
        <v>RJK0351DPA-WS#J0</v>
      </c>
      <c r="B49000" s="3" t="str">
        <f>HYPERLINK("https://www.773grp.com/manufacturer/renesas-electronics-america-inc?pageNo=69", "Renesas Electronics")</f>
        <v>Renesas Electronics</v>
      </c>
      <c r="C49000" s="6">
        <v>410</v>
      </c>
      <c r="D49000" s="7">
        <v>2.64</v>
      </c>
    </row>
    <row r="49001" spans="1:4" x14ac:dyDescent="0.25">
      <c r="A49001" t="str">
        <f>HYPERLINK("https://www.773grp.com/globalSearch/RJK0353DPA-WS#J0/page-1", "RJK0353DPA-WS#J0")</f>
        <v>RJK0353DPA-WS#J0</v>
      </c>
      <c r="B49001" s="3" t="str">
        <f>HYPERLINK("https://www.773grp.com/manufacturer/renesas-electronics-america-inc?pageNo=70", "Renesas Electronics")</f>
        <v>Renesas Electronics</v>
      </c>
      <c r="C49001" s="6">
        <v>2830</v>
      </c>
      <c r="D49001" s="7">
        <v>2.64</v>
      </c>
    </row>
    <row r="49002" spans="1:4" x14ac:dyDescent="0.25">
      <c r="A49002" t="str">
        <f>HYPERLINK("https://www.773grp.com/globalSearch/RJK0355DPA-01#J0B/page-1", "RJK0355DPA-01#J0B")</f>
        <v>RJK0355DPA-01#J0B</v>
      </c>
      <c r="B49002" s="3" t="str">
        <f>HYPERLINK("https://www.773grp.com/manufacturer/renesas-electronics-america-inc?pageNo=71", "Renesas Electronics")</f>
        <v>Renesas Electronics</v>
      </c>
      <c r="C49002" s="6">
        <v>2500</v>
      </c>
      <c r="D49002" s="7">
        <v>2.64</v>
      </c>
    </row>
    <row r="49003" spans="1:4" x14ac:dyDescent="0.25">
      <c r="A49003" t="str">
        <f>HYPERLINK("https://www.773grp.com/globalSearch/RJK0355DPA-WS#J0/page-1", "RJK0355DPA-WS#J0")</f>
        <v>RJK0355DPA-WS#J0</v>
      </c>
      <c r="B49003" s="3" t="str">
        <f>HYPERLINK("https://www.773grp.com/manufacturer/renesas-electronics-america-inc?pageNo=72", "Renesas Electronics")</f>
        <v>Renesas Electronics</v>
      </c>
      <c r="C49003" s="6">
        <v>3405</v>
      </c>
      <c r="D49003" s="7">
        <v>2.64</v>
      </c>
    </row>
    <row r="49004" spans="1:4" x14ac:dyDescent="0.25">
      <c r="A49004" t="str">
        <f>HYPERLINK("https://www.773grp.com/globalSearch/RJK0364DPA-WS#J0/page-1", "RJK0364DPA-WS#J0")</f>
        <v>RJK0364DPA-WS#J0</v>
      </c>
      <c r="B49004" s="3" t="str">
        <f>HYPERLINK("https://www.773grp.com/manufacturer/renesas-electronics-america-inc?pageNo=73", "Renesas Electronics")</f>
        <v>Renesas Electronics</v>
      </c>
      <c r="C49004" s="6">
        <v>340</v>
      </c>
      <c r="D49004" s="7">
        <v>2.64</v>
      </c>
    </row>
    <row r="49005" spans="1:4" x14ac:dyDescent="0.25">
      <c r="A49005" t="str">
        <f>HYPERLINK("https://www.773grp.com/globalSearch/RJK0365DPA-00#J0/page-1", "RJK0365DPA-00#J0")</f>
        <v>RJK0365DPA-00#J0</v>
      </c>
      <c r="B49005" s="3" t="str">
        <f>HYPERLINK("https://www.773grp.com/manufacturer/renesas-electronics-america-inc?pageNo=74", "Renesas Electronics")</f>
        <v>Renesas Electronics</v>
      </c>
      <c r="C49005" s="6">
        <v>12500</v>
      </c>
      <c r="D49005" s="7">
        <v>2.64</v>
      </c>
    </row>
    <row r="49006" spans="1:4" x14ac:dyDescent="0.25">
      <c r="A49006" t="str">
        <f>HYPERLINK("https://www.773grp.com/globalSearch/RJK0365DPA-W2#J0B/page-1", "RJK0365DPA-W2#J0B")</f>
        <v>RJK0365DPA-W2#J0B</v>
      </c>
      <c r="B49006" s="3" t="str">
        <f>HYPERLINK("https://www.773grp.com/manufacturer/renesas-electronics-america-inc?pageNo=75", "Renesas Electronics")</f>
        <v>Renesas Electronics</v>
      </c>
      <c r="C49006" s="6">
        <v>2000</v>
      </c>
      <c r="D49006" s="7">
        <v>2.64</v>
      </c>
    </row>
    <row r="49007" spans="1:4" x14ac:dyDescent="0.25">
      <c r="A49007" t="str">
        <f>HYPERLINK("https://www.773grp.com/globalSearch/RJK0365DPA-WS#J0/page-1", "RJK0365DPA-WS#J0")</f>
        <v>RJK0365DPA-WS#J0</v>
      </c>
      <c r="B49007" s="3" t="str">
        <f>HYPERLINK("https://www.773grp.com/manufacturer/renesas-electronics-america-inc?pageNo=76", "Renesas Electronics")</f>
        <v>Renesas Electronics</v>
      </c>
      <c r="C49007" s="6">
        <v>2040</v>
      </c>
      <c r="D49007" s="7">
        <v>2.64</v>
      </c>
    </row>
    <row r="49008" spans="1:4" x14ac:dyDescent="0.25">
      <c r="A49008" t="str">
        <f>HYPERLINK("https://www.773grp.com/globalSearch/RJK0366DPA-00#J0/page-1", "RJK0366DPA-00#J0")</f>
        <v>RJK0366DPA-00#J0</v>
      </c>
      <c r="B49008" s="3" t="str">
        <f>HYPERLINK("https://www.773grp.com/manufacturer/renesas-electronics-america-inc?pageNo=77", "Renesas Electronics")</f>
        <v>Renesas Electronics</v>
      </c>
      <c r="C49008" s="6">
        <v>20000</v>
      </c>
      <c r="D49008" s="7">
        <v>2.64</v>
      </c>
    </row>
    <row r="49009" spans="1:4" x14ac:dyDescent="0.25">
      <c r="A49009" t="str">
        <f>HYPERLINK("https://www.773grp.com/globalSearch/RJK0366DPA-02#J0B/page-1", "RJK0366DPA-02#J0B")</f>
        <v>RJK0366DPA-02#J0B</v>
      </c>
      <c r="B49009" s="3" t="str">
        <f>HYPERLINK("https://www.773grp.com/manufacturer/renesas-electronics-america-inc?pageNo=78", "Renesas Electronics")</f>
        <v>Renesas Electronics</v>
      </c>
      <c r="C49009" s="6">
        <v>5000</v>
      </c>
      <c r="D49009" s="7">
        <v>2.64</v>
      </c>
    </row>
    <row r="49010" spans="1:4" x14ac:dyDescent="0.25">
      <c r="A49010" t="str">
        <f>HYPERLINK("https://www.773grp.com/globalSearch/RJK0366DPA-WS#J0/page-1", "RJK0366DPA-WS#J0")</f>
        <v>RJK0366DPA-WS#J0</v>
      </c>
      <c r="B49010" s="3" t="str">
        <f>HYPERLINK("https://www.773grp.com/manufacturer/renesas-electronics-america-inc?pageNo=79", "Renesas Electronics")</f>
        <v>Renesas Electronics</v>
      </c>
      <c r="C49010" s="6">
        <v>1008</v>
      </c>
      <c r="D49010" s="7">
        <v>2.64</v>
      </c>
    </row>
    <row r="49011" spans="1:4" x14ac:dyDescent="0.25">
      <c r="A49011" t="str">
        <f>HYPERLINK("https://www.773grp.com/globalSearch/RJK0368DPA-WS#J0/page-1", "RJK0368DPA-WS#J0")</f>
        <v>RJK0368DPA-WS#J0</v>
      </c>
      <c r="B49011" s="3" t="str">
        <f>HYPERLINK("https://www.773grp.com/manufacturer/renesas-electronics-america-inc?pageNo=80", "Renesas Electronics")</f>
        <v>Renesas Electronics</v>
      </c>
      <c r="C49011" s="6">
        <v>2085</v>
      </c>
      <c r="D49011" s="7">
        <v>2.64</v>
      </c>
    </row>
    <row r="49012" spans="1:4" x14ac:dyDescent="0.25">
      <c r="A49012" t="str">
        <f>HYPERLINK("https://www.773grp.com/globalSearch/RJK0394DPA-00#J5A/page-1", "RJK0394DPA-00#J5A")</f>
        <v>RJK0394DPA-00#J5A</v>
      </c>
      <c r="B49012" s="3" t="str">
        <f>HYPERLINK("https://www.773grp.com/manufacturer/renesas-electronics-america-inc?pageNo=81", "Renesas Electronics")</f>
        <v>Renesas Electronics</v>
      </c>
      <c r="C49012" s="6">
        <v>96000</v>
      </c>
      <c r="D49012" s="7">
        <v>2.64</v>
      </c>
    </row>
    <row r="49013" spans="1:4" x14ac:dyDescent="0.25">
      <c r="A49013" t="str">
        <f>HYPERLINK("https://www.773grp.com/globalSearch/RJK0394DPA-02#J53/page-1", "RJK0394DPA-02#J53")</f>
        <v>RJK0394DPA-02#J53</v>
      </c>
      <c r="B49013" s="3" t="str">
        <f>HYPERLINK("https://www.773grp.com/manufacturer/renesas-electronics-america-inc?pageNo=82", "Renesas Electronics")</f>
        <v>Renesas Electronics</v>
      </c>
      <c r="C49013" s="6">
        <v>36000</v>
      </c>
      <c r="D49013" s="7">
        <v>2.64</v>
      </c>
    </row>
    <row r="49014" spans="1:4" x14ac:dyDescent="0.25">
      <c r="A49014" t="str">
        <f>HYPERLINK("https://www.773grp.com/globalSearch/RJK0394DPA-WS#J53/page-1", "RJK0394DPA-WS#J53")</f>
        <v>RJK0394DPA-WS#J53</v>
      </c>
      <c r="B49014" s="3" t="str">
        <f>HYPERLINK("https://www.773grp.com/manufacturer/renesas-electronics-america-inc?pageNo=83", "Renesas Electronics")</f>
        <v>Renesas Electronics</v>
      </c>
      <c r="C49014" s="6">
        <v>1055</v>
      </c>
      <c r="D49014" s="7">
        <v>2.64</v>
      </c>
    </row>
    <row r="49015" spans="1:4" x14ac:dyDescent="0.25">
      <c r="A49015" t="str">
        <f>HYPERLINK("https://www.773grp.com/globalSearch/RJK0395DPA-00#J5A/page-1", "RJK0395DPA-00#J5A")</f>
        <v>RJK0395DPA-00#J5A</v>
      </c>
      <c r="B49015" s="3" t="str">
        <f>HYPERLINK("https://www.773grp.com/manufacturer/renesas-electronics-america-inc?pageNo=84", "Renesas Electronics")</f>
        <v>Renesas Electronics</v>
      </c>
      <c r="C49015" s="6">
        <v>3000</v>
      </c>
      <c r="D49015" s="7">
        <v>2.64</v>
      </c>
    </row>
    <row r="49016" spans="1:4" x14ac:dyDescent="0.25">
      <c r="A49016" t="str">
        <f>HYPERLINK("https://www.773grp.com/globalSearch/RJK0395DPA-WS#J53/page-1", "RJK0395DPA-WS#J53")</f>
        <v>RJK0395DPA-WS#J53</v>
      </c>
      <c r="B49016" s="3" t="str">
        <f>HYPERLINK("https://www.773grp.com/manufacturer/renesas-electronics-america-inc?pageNo=85", "Renesas Electronics")</f>
        <v>Renesas Electronics</v>
      </c>
      <c r="C49016" s="6">
        <v>2690</v>
      </c>
      <c r="D49016" s="7">
        <v>2.64</v>
      </c>
    </row>
    <row r="49017" spans="1:4" x14ac:dyDescent="0.25">
      <c r="A49017" t="str">
        <f>HYPERLINK("https://www.773grp.com/globalSearch/RJK03D2DPA-00#J53/page-1", "RJK03D2DPA-00#J53")</f>
        <v>RJK03D2DPA-00#J53</v>
      </c>
      <c r="B49017" s="3" t="str">
        <f>HYPERLINK("https://www.773grp.com/manufacturer/renesas-electronics-america-inc?pageNo=86", "Renesas Electronics")</f>
        <v>Renesas Electronics</v>
      </c>
      <c r="C49017" s="6">
        <v>1578000</v>
      </c>
      <c r="D49017" s="7">
        <v>2.64</v>
      </c>
    </row>
    <row r="49018" spans="1:4" x14ac:dyDescent="0.25">
      <c r="A49018" t="str">
        <f>HYPERLINK("https://www.773grp.com/globalSearch/RJK03D2DPA-00#J5A/page-1", "RJK03D2DPA-00#J5A")</f>
        <v>RJK03D2DPA-00#J5A</v>
      </c>
      <c r="B49018" s="3" t="str">
        <f>HYPERLINK("https://www.773grp.com/manufacturer/renesas-electronics-america-inc?pageNo=87", "Renesas Electronics")</f>
        <v>Renesas Electronics</v>
      </c>
      <c r="C49018" s="6">
        <v>15000</v>
      </c>
      <c r="D49018" s="7">
        <v>2.64</v>
      </c>
    </row>
    <row r="49019" spans="1:4" x14ac:dyDescent="0.25">
      <c r="A49019" t="str">
        <f>HYPERLINK("https://www.773grp.com/globalSearch/RJK03D3DPA-00#J53/page-1", "RJK03D3DPA-00#J53")</f>
        <v>RJK03D3DPA-00#J53</v>
      </c>
      <c r="B49019" s="3" t="str">
        <f>HYPERLINK("https://www.773grp.com/manufacturer/renesas-electronics-america-inc?pageNo=88", "Renesas Electronics")</f>
        <v>Renesas Electronics</v>
      </c>
      <c r="C49019" s="6">
        <v>300000</v>
      </c>
      <c r="D49019" s="7">
        <v>2.64</v>
      </c>
    </row>
    <row r="49020" spans="1:4" x14ac:dyDescent="0.25">
      <c r="A49020" t="str">
        <f>HYPERLINK("https://www.773grp.com/globalSearch/RJK03D3DPA-00#J5A/page-1", "RJK03D3DPA-00#J5A")</f>
        <v>RJK03D3DPA-00#J5A</v>
      </c>
      <c r="B49020" s="3" t="str">
        <f>HYPERLINK("https://www.773grp.com/manufacturer/renesas-electronics-america-inc?pageNo=89", "Renesas Electronics")</f>
        <v>Renesas Electronics</v>
      </c>
      <c r="C49020" s="6">
        <v>195000</v>
      </c>
      <c r="D49020" s="7">
        <v>2.64</v>
      </c>
    </row>
    <row r="49021" spans="1:4" x14ac:dyDescent="0.25">
      <c r="A49021" t="str">
        <f>HYPERLINK("https://www.773grp.com/globalSearch/RJK03D5DPA-00#J53/page-1", "RJK03D5DPA-00#J53")</f>
        <v>RJK03D5DPA-00#J53</v>
      </c>
      <c r="B49021" s="3" t="str">
        <f>HYPERLINK("https://www.773grp.com/manufacturer/renesas-electronics-america-inc?pageNo=90", "Renesas Electronics")</f>
        <v>Renesas Electronics</v>
      </c>
      <c r="C49021" s="6">
        <v>138000</v>
      </c>
      <c r="D49021" s="7">
        <v>2.64</v>
      </c>
    </row>
    <row r="49022" spans="1:4" x14ac:dyDescent="0.25">
      <c r="A49022" t="str">
        <f>HYPERLINK("https://www.773grp.com/globalSearch/RJK1562DJE-00#Z0/page-1", "RJK1562DJE-00#Z0")</f>
        <v>RJK1562DJE-00#Z0</v>
      </c>
      <c r="B49022" s="3" t="str">
        <f>HYPERLINK("https://www.773grp.com/manufacturer/renesas-electronics-america-inc?pageNo=91", "Renesas Electronics")</f>
        <v>Renesas Electronics</v>
      </c>
      <c r="C49022" s="6">
        <v>102500</v>
      </c>
      <c r="D49022" s="7">
        <v>2.64</v>
      </c>
    </row>
    <row r="49023" spans="1:4" x14ac:dyDescent="0.25">
      <c r="A49023" t="str">
        <f>HYPERLINK("https://www.773grp.com/globalSearch/74HC273FPDV-E/page-1", "74HC273FPDV-E")</f>
        <v>74HC273FPDV-E</v>
      </c>
      <c r="B49023" s="3" t="str">
        <f>HYPERLINK("https://www.773grp.com/manufacturer/renesas-electronics-america-inc?pageNo=92", "Renesas Electronics")</f>
        <v>Renesas Electronics</v>
      </c>
      <c r="C49023" s="6">
        <v>5000</v>
      </c>
      <c r="D49023" s="7">
        <v>2.69</v>
      </c>
    </row>
    <row r="49024" spans="1:4" x14ac:dyDescent="0.25">
      <c r="A49024" t="str">
        <f>HYPERLINK("https://www.773grp.com/globalSearch/74HC390P-E/page-1", "74HC390P-E")</f>
        <v>74HC390P-E</v>
      </c>
      <c r="B49024" s="3" t="str">
        <f>HYPERLINK("https://www.773grp.com/manufacturer/renesas-electronics-america-inc?pageNo=93", "Renesas Electronics")</f>
        <v>Renesas Electronics</v>
      </c>
      <c r="C49024" s="6">
        <v>6000</v>
      </c>
      <c r="D49024" s="7">
        <v>2.69</v>
      </c>
    </row>
    <row r="49025" spans="1:4" x14ac:dyDescent="0.25">
      <c r="A49025" t="str">
        <f>HYPERLINK("https://www.773grp.com/globalSearch/74HC4017FP-E/page-1", "74HC4017FP-E")</f>
        <v>74HC4017FP-E</v>
      </c>
      <c r="B49025" s="3" t="str">
        <f>HYPERLINK("https://www.773grp.com/manufacturer/renesas-electronics-america-inc?pageNo=94", "Renesas Electronics")</f>
        <v>Renesas Electronics</v>
      </c>
      <c r="C49025" s="6">
        <v>1000</v>
      </c>
      <c r="D49025" s="7">
        <v>2.69</v>
      </c>
    </row>
    <row r="49026" spans="1:4" x14ac:dyDescent="0.25">
      <c r="A49026" t="str">
        <f>HYPERLINK("https://www.773grp.com/globalSearch/74HC4511P-E/page-1", "74HC4511P-E")</f>
        <v>74HC4511P-E</v>
      </c>
      <c r="B49026" s="3" t="str">
        <f>HYPERLINK("https://www.773grp.com/manufacturer/renesas-electronics-america-inc?pageNo=95", "Renesas Electronics")</f>
        <v>Renesas Electronics</v>
      </c>
      <c r="C49026" s="6">
        <v>5000</v>
      </c>
      <c r="D49026" s="7">
        <v>2.69</v>
      </c>
    </row>
    <row r="49027" spans="1:4" x14ac:dyDescent="0.25">
      <c r="A49027" t="str">
        <f>HYPERLINK("https://www.773grp.com/globalSearch/74HC4520FP-E/page-1", "74HC4520FP-E")</f>
        <v>74HC4520FP-E</v>
      </c>
      <c r="B49027" s="3" t="str">
        <f>HYPERLINK("https://www.773grp.com/manufacturer/renesas-electronics-america-inc?pageNo=96", "Renesas Electronics")</f>
        <v>Renesas Electronics</v>
      </c>
      <c r="C49027" s="6">
        <v>2000</v>
      </c>
      <c r="D49027" s="7">
        <v>2.69</v>
      </c>
    </row>
    <row r="49028" spans="1:4" x14ac:dyDescent="0.25">
      <c r="A49028" t="str">
        <f>HYPERLINK("https://www.773grp.com/globalSearch/74HC4520P-E/page-1", "74HC4520P-E")</f>
        <v>74HC4520P-E</v>
      </c>
      <c r="B49028" s="3" t="str">
        <f>HYPERLINK("https://www.773grp.com/manufacturer/renesas-electronics-america-inc?pageNo=97", "Renesas Electronics")</f>
        <v>Renesas Electronics</v>
      </c>
      <c r="C49028" s="6">
        <v>5000</v>
      </c>
      <c r="D49028" s="7">
        <v>2.69</v>
      </c>
    </row>
    <row r="49029" spans="1:4" x14ac:dyDescent="0.25">
      <c r="A49029" t="str">
        <f>HYPERLINK("https://www.773grp.com/globalSearch/74LS123FP-E/page-1", "74LS123FP-E")</f>
        <v>74LS123FP-E</v>
      </c>
      <c r="B49029" s="3" t="str">
        <f>HYPERLINK("https://www.773grp.com/manufacturer/renesas-electronics-america-inc?pageNo=98", "Renesas Electronics")</f>
        <v>Renesas Electronics</v>
      </c>
      <c r="C49029" s="6">
        <v>3000</v>
      </c>
      <c r="D49029" s="7">
        <v>2.69</v>
      </c>
    </row>
    <row r="49030" spans="1:4" x14ac:dyDescent="0.25">
      <c r="A49030" t="str">
        <f>HYPERLINK("https://www.773grp.com/globalSearch/HA17903ARPEL-E/page-1", "HA17903ARPEL-E")</f>
        <v>HA17903ARPEL-E</v>
      </c>
      <c r="B49030" s="3" t="str">
        <f>HYPERLINK("https://www.773grp.com/manufacturer/renesas-electronics-america-inc?pageNo=99", "Renesas Electronics")</f>
        <v>Renesas Electronics</v>
      </c>
      <c r="C49030" s="6">
        <v>5000</v>
      </c>
      <c r="D49030" s="7">
        <v>2.69</v>
      </c>
    </row>
    <row r="49031" spans="1:4" x14ac:dyDescent="0.25">
      <c r="A49031" t="str">
        <f>HYPERLINK("https://www.773grp.com/globalSearch/M62220L#TF0J/page-1", "M62220L#TF0J")</f>
        <v>M62220L#TF0J</v>
      </c>
      <c r="B49031" s="3" t="str">
        <f>HYPERLINK("https://www.773grp.com/manufacturer/renesas-electronics-america-inc?pageNo=100", "Renesas Electronics")</f>
        <v>Renesas Electronics</v>
      </c>
      <c r="C49031" s="6">
        <v>4683</v>
      </c>
      <c r="D49031" s="7">
        <v>2.69</v>
      </c>
    </row>
    <row r="49032" spans="1:4" x14ac:dyDescent="0.25">
      <c r="A49032" t="str">
        <f>HYPERLINK("https://www.773grp.com/globalSearch/M62332FP#DF0R/page-1", "M62332FP#DF0R")</f>
        <v>M62332FP#DF0R</v>
      </c>
      <c r="B49032" s="3" t="str">
        <f>HYPERLINK("https://www.773grp.com/manufacturer/renesas-electronics-america-inc?pageNo=101", "Renesas Electronics")</f>
        <v>Renesas Electronics</v>
      </c>
      <c r="C49032" s="6">
        <v>5000</v>
      </c>
      <c r="D49032" s="7">
        <v>2.69</v>
      </c>
    </row>
    <row r="49033" spans="1:4" x14ac:dyDescent="0.25">
      <c r="A49033" t="str">
        <f>HYPERLINK("https://www.773grp.com/globalSearch/RJK0381DPA-00#J5A/page-1", "RJK0381DPA-00#J5A")</f>
        <v>RJK0381DPA-00#J5A</v>
      </c>
      <c r="B49033" s="3" t="str">
        <f>HYPERLINK("https://www.773grp.com/manufacturer/renesas-electronics-america-inc?pageNo=102", "Renesas Electronics")</f>
        <v>Renesas Electronics</v>
      </c>
      <c r="C49033" s="6">
        <v>3000</v>
      </c>
      <c r="D49033" s="7">
        <v>2.69</v>
      </c>
    </row>
    <row r="49034" spans="1:4" x14ac:dyDescent="0.25">
      <c r="A49034" t="str">
        <f>HYPERLINK("https://www.773grp.com/globalSearch/RJP4006AGE-00#P5/page-1", "RJP4006AGE-00#P5")</f>
        <v>RJP4006AGE-00#P5</v>
      </c>
      <c r="B49034" s="3" t="str">
        <f>HYPERLINK("https://www.773grp.com/manufacturer/renesas-electronics-america-inc?pageNo=103", "Renesas Electronics")</f>
        <v>Renesas Electronics</v>
      </c>
      <c r="C49034" s="6">
        <v>2907000</v>
      </c>
      <c r="D49034" s="7">
        <v>2.69</v>
      </c>
    </row>
    <row r="49035" spans="1:4" x14ac:dyDescent="0.25">
      <c r="A49035" t="str">
        <f>HYPERLINK("https://www.773grp.com/globalSearch/2SC4500L-E/page-1", "2SC4500L-E")</f>
        <v>2SC4500L-E</v>
      </c>
      <c r="B49035" s="3" t="str">
        <f>HYPERLINK("https://www.773grp.com/manufacturer/renesas-electronics-america-inc?pageNo=104", "Renesas Electronics")</f>
        <v>Renesas Electronics</v>
      </c>
      <c r="C49035" s="6">
        <v>4251</v>
      </c>
      <c r="D49035" s="7">
        <v>2.75</v>
      </c>
    </row>
    <row r="49036" spans="1:4" x14ac:dyDescent="0.25">
      <c r="A49036" t="str">
        <f>HYPERLINK("https://www.773grp.com/globalSearch/2SK1299STL-E/page-1", "2SK1299STL-E")</f>
        <v>2SK1299STL-E</v>
      </c>
      <c r="B49036" s="3" t="str">
        <f>HYPERLINK("https://www.773grp.com/manufacturer/renesas-electronics-america-inc?pageNo=105", "Renesas Electronics")</f>
        <v>Renesas Electronics</v>
      </c>
      <c r="C49036" s="6">
        <v>5690</v>
      </c>
      <c r="D49036" s="7">
        <v>2.75</v>
      </c>
    </row>
    <row r="49037" spans="1:4" x14ac:dyDescent="0.25">
      <c r="A49037" t="str">
        <f>HYPERLINK("https://www.773grp.com/globalSearch/5P6J-AZ/page-1", "5P6J-AZ")</f>
        <v>5P6J-AZ</v>
      </c>
      <c r="B49037" s="3" t="str">
        <f>HYPERLINK("https://www.773grp.com/manufacturer/renesas-electronics-america-inc?pageNo=106", "Renesas Electronics")</f>
        <v>Renesas Electronics</v>
      </c>
      <c r="C49037" s="6">
        <v>187</v>
      </c>
      <c r="D49037" s="7">
        <v>2.75</v>
      </c>
    </row>
    <row r="49038" spans="1:4" x14ac:dyDescent="0.25">
      <c r="A49038" t="str">
        <f>HYPERLINK("https://www.773grp.com/globalSearch/74HC237FP-E/page-1", "74HC237FP-E")</f>
        <v>74HC237FP-E</v>
      </c>
      <c r="B49038" s="3" t="str">
        <f>HYPERLINK("https://www.773grp.com/manufacturer/renesas-electronics-america-inc?pageNo=107", "Renesas Electronics")</f>
        <v>Renesas Electronics</v>
      </c>
      <c r="C49038" s="6">
        <v>5000</v>
      </c>
      <c r="D49038" s="7">
        <v>2.75</v>
      </c>
    </row>
    <row r="49039" spans="1:4" x14ac:dyDescent="0.25">
      <c r="A49039" t="str">
        <f>HYPERLINK("https://www.773grp.com/globalSearch/AC05FJM-Z-AZ/page-1", "AC05FJM-Z-AZ")</f>
        <v>AC05FJM-Z-AZ</v>
      </c>
      <c r="B49039" s="3" t="str">
        <f>HYPERLINK("https://www.773grp.com/manufacturer/renesas-electronics-america-inc?pageNo=108", "Renesas Electronics")</f>
        <v>Renesas Electronics</v>
      </c>
      <c r="C49039" s="6">
        <v>98</v>
      </c>
      <c r="D49039" s="7">
        <v>2.75</v>
      </c>
    </row>
    <row r="49040" spans="1:4" x14ac:dyDescent="0.25">
      <c r="A49040" t="str">
        <f>HYPERLINK("https://www.773grp.com/globalSearch/H7N1004FN-E/page-1", "H7N1004FN-E")</f>
        <v>H7N1004FN-E</v>
      </c>
      <c r="B49040" s="3" t="str">
        <f>HYPERLINK("https://www.773grp.com/manufacturer/renesas-electronics-america-inc?pageNo=109", "Renesas Electronics")</f>
        <v>Renesas Electronics</v>
      </c>
      <c r="C49040" s="6">
        <v>44013</v>
      </c>
      <c r="D49040" s="7">
        <v>2.75</v>
      </c>
    </row>
    <row r="49041" spans="1:4" x14ac:dyDescent="0.25">
      <c r="A49041" t="str">
        <f>HYPERLINK("https://www.773grp.com/globalSearch/RJP4003ASA-00#Q0/page-1", "RJP4003ASA-00#Q0")</f>
        <v>RJP4003ASA-00#Q0</v>
      </c>
      <c r="B49041" s="3" t="str">
        <f>HYPERLINK("https://www.773grp.com/manufacturer/renesas-electronics-america-inc?pageNo=110", "Renesas Electronics")</f>
        <v>Renesas Electronics</v>
      </c>
      <c r="C49041" s="6">
        <v>18000</v>
      </c>
      <c r="D49041" s="7">
        <v>2.75</v>
      </c>
    </row>
    <row r="49042" spans="1:4" x14ac:dyDescent="0.25">
      <c r="A49042" t="str">
        <f>HYPERLINK("https://www.773grp.com/globalSearch/2P4M(DM)-AZ/page-1", "2P4M(DM)-AZ")</f>
        <v>2P4M(DM)-AZ</v>
      </c>
      <c r="B49042" s="3" t="str">
        <f>HYPERLINK("https://www.773grp.com/manufacturer/renesas-electronics-america-inc?pageNo=111", "Renesas Electronics")</f>
        <v>Renesas Electronics</v>
      </c>
      <c r="C49042" s="6">
        <v>721</v>
      </c>
      <c r="D49042" s="7">
        <v>2.8</v>
      </c>
    </row>
    <row r="49043" spans="1:4" x14ac:dyDescent="0.25">
      <c r="A49043" t="str">
        <f>HYPERLINK("https://www.773grp.com/globalSearch/2SK3570-ZK-E1-AZ/page-1", "2SK3570-ZK-E1-AZ")</f>
        <v>2SK3570-ZK-E1-AZ</v>
      </c>
      <c r="B49043" s="3" t="str">
        <f>HYPERLINK("https://www.773grp.com/manufacturer/renesas-electronics-america-inc?pageNo=112", "Renesas Electronics")</f>
        <v>Renesas Electronics</v>
      </c>
      <c r="C49043" s="6">
        <v>800</v>
      </c>
      <c r="D49043" s="7">
        <v>2.8</v>
      </c>
    </row>
    <row r="49044" spans="1:4" x14ac:dyDescent="0.25">
      <c r="A49044" t="str">
        <f>HYPERLINK("https://www.773grp.com/globalSearch/5P4J-Z-AZ/page-1", "5P4J-Z-AZ")</f>
        <v>5P4J-Z-AZ</v>
      </c>
      <c r="B49044" s="3" t="str">
        <f>HYPERLINK("https://www.773grp.com/manufacturer/renesas-electronics-america-inc?pageNo=113", "Renesas Electronics")</f>
        <v>Renesas Electronics</v>
      </c>
      <c r="C49044" s="6">
        <v>8663</v>
      </c>
      <c r="D49044" s="7">
        <v>2.8</v>
      </c>
    </row>
    <row r="49045" spans="1:4" x14ac:dyDescent="0.25">
      <c r="A49045" t="str">
        <f>HYPERLINK("https://www.773grp.com/globalSearch/5P6J-Z-AZ/page-1", "5P6J-Z-AZ")</f>
        <v>5P6J-Z-AZ</v>
      </c>
      <c r="B49045" s="3" t="str">
        <f>HYPERLINK("https://www.773grp.com/manufacturer/renesas-electronics-america-inc?pageNo=114", "Renesas Electronics")</f>
        <v>Renesas Electronics</v>
      </c>
      <c r="C49045" s="6">
        <v>857</v>
      </c>
      <c r="D49045" s="7">
        <v>2.8</v>
      </c>
    </row>
    <row r="49046" spans="1:4" x14ac:dyDescent="0.25">
      <c r="A49046" t="str">
        <f>HYPERLINK("https://www.773grp.com/globalSearch/74LS139P-E/page-1", "74LS139P-E")</f>
        <v>74LS139P-E</v>
      </c>
      <c r="B49046" s="3" t="str">
        <f>HYPERLINK("https://www.773grp.com/manufacturer/renesas-electronics-america-inc?pageNo=115", "Renesas Electronics")</f>
        <v>Renesas Electronics</v>
      </c>
      <c r="C49046" s="6">
        <v>3000</v>
      </c>
      <c r="D49046" s="7">
        <v>2.8</v>
      </c>
    </row>
    <row r="49047" spans="1:4" x14ac:dyDescent="0.25">
      <c r="A49047" t="str">
        <f>HYPERLINK("https://www.773grp.com/globalSearch/74LS47P-E/page-1", "74LS47P-E")</f>
        <v>74LS47P-E</v>
      </c>
      <c r="B49047" s="3" t="str">
        <f>HYPERLINK("https://www.773grp.com/manufacturer/renesas-electronics-america-inc?pageNo=116", "Renesas Electronics")</f>
        <v>Renesas Electronics</v>
      </c>
      <c r="C49047" s="6">
        <v>4000</v>
      </c>
      <c r="D49047" s="7">
        <v>2.8</v>
      </c>
    </row>
    <row r="49048" spans="1:4" x14ac:dyDescent="0.25">
      <c r="A49048" t="str">
        <f>HYPERLINK("https://www.773grp.com/globalSearch/74LS51P-E/page-1", "74LS51P-E")</f>
        <v>74LS51P-E</v>
      </c>
      <c r="B49048" s="3" t="str">
        <f>HYPERLINK("https://www.773grp.com/manufacturer/renesas-electronics-america-inc?pageNo=117", "Renesas Electronics")</f>
        <v>Renesas Electronics</v>
      </c>
      <c r="C49048" s="6">
        <v>8000</v>
      </c>
      <c r="D49048" s="7">
        <v>2.8</v>
      </c>
    </row>
    <row r="49049" spans="1:4" x14ac:dyDescent="0.25">
      <c r="A49049" t="str">
        <f>HYPERLINK("https://www.773grp.com/globalSearch/FS10ASJ-2-T13#B00/page-1", "FS10ASJ-2-T13#B00")</f>
        <v>FS10ASJ-2-T13#B00</v>
      </c>
      <c r="B49049" s="3" t="str">
        <f>HYPERLINK("https://www.773grp.com/manufacturer/renesas-electronics-america-inc?pageNo=118", "Renesas Electronics")</f>
        <v>Renesas Electronics</v>
      </c>
      <c r="C49049" s="6">
        <v>6000</v>
      </c>
      <c r="D49049" s="7">
        <v>2.8</v>
      </c>
    </row>
    <row r="49050" spans="1:4" x14ac:dyDescent="0.25">
      <c r="A49050" t="str">
        <f>HYPERLINK("https://www.773grp.com/globalSearch/M5295AL/page-1", "M5295AL")</f>
        <v>M5295AL</v>
      </c>
      <c r="B49050" s="3" t="str">
        <f>HYPERLINK("https://www.773grp.com/manufacturer/renesas-electronics-america-inc?pageNo=119", "Renesas Electronics")</f>
        <v>Renesas Electronics</v>
      </c>
      <c r="C49050" s="6">
        <v>962</v>
      </c>
      <c r="D49050" s="7">
        <v>2.8</v>
      </c>
    </row>
    <row r="49051" spans="1:4" x14ac:dyDescent="0.25">
      <c r="A49051" t="str">
        <f>HYPERLINK("https://www.773grp.com/globalSearch/RJK0356DPA-01#J0/page-1", "RJK0356DPA-01#J0")</f>
        <v>RJK0356DPA-01#J0</v>
      </c>
      <c r="B49051" s="3" t="str">
        <f>HYPERLINK("https://www.773grp.com/manufacturer/renesas-electronics-america-inc?pageNo=120", "Renesas Electronics")</f>
        <v>Renesas Electronics</v>
      </c>
      <c r="C49051" s="6">
        <v>10000</v>
      </c>
      <c r="D49051" s="7">
        <v>2.8</v>
      </c>
    </row>
    <row r="49052" spans="1:4" x14ac:dyDescent="0.25">
      <c r="A49052" t="str">
        <f>HYPERLINK("https://www.773grp.com/globalSearch/RJK0358DPA-00#J0/page-1", "RJK0358DPA-00#J0")</f>
        <v>RJK0358DPA-00#J0</v>
      </c>
      <c r="B49052" s="3" t="str">
        <f>HYPERLINK("https://www.773grp.com/manufacturer/renesas-electronics-america-inc?pageNo=121", "Renesas Electronics")</f>
        <v>Renesas Electronics</v>
      </c>
      <c r="C49052" s="6">
        <v>2500</v>
      </c>
      <c r="D49052" s="7">
        <v>2.8</v>
      </c>
    </row>
    <row r="49053" spans="1:4" x14ac:dyDescent="0.25">
      <c r="A49053" t="str">
        <f>HYPERLINK("https://www.773grp.com/globalSearch/RJK0358DPA-01#J0/page-1", "RJK0358DPA-01#J0")</f>
        <v>RJK0358DPA-01#J0</v>
      </c>
      <c r="B49053" s="3" t="str">
        <f>HYPERLINK("https://www.773grp.com/manufacturer/renesas-electronics-america-inc?pageNo=122", "Renesas Electronics")</f>
        <v>Renesas Electronics</v>
      </c>
      <c r="C49053" s="6">
        <v>30000</v>
      </c>
      <c r="D49053" s="7">
        <v>2.8</v>
      </c>
    </row>
    <row r="49054" spans="1:4" x14ac:dyDescent="0.25">
      <c r="A49054" t="str">
        <f>HYPERLINK("https://www.773grp.com/globalSearch/RJK0358DPA-01#J0B/page-1", "RJK0358DPA-01#J0B")</f>
        <v>RJK0358DPA-01#J0B</v>
      </c>
      <c r="B49054" s="3" t="str">
        <f>HYPERLINK("https://www.773grp.com/manufacturer/renesas-electronics-america-inc?pageNo=123", "Renesas Electronics")</f>
        <v>Renesas Electronics</v>
      </c>
      <c r="C49054" s="6">
        <v>7500</v>
      </c>
      <c r="D49054" s="7">
        <v>2.8</v>
      </c>
    </row>
    <row r="49055" spans="1:4" x14ac:dyDescent="0.25">
      <c r="A49055" t="str">
        <f>HYPERLINK("https://www.773grp.com/globalSearch/RJK0358DPA-WS#J0/page-1", "RJK0358DPA-WS#J0")</f>
        <v>RJK0358DPA-WS#J0</v>
      </c>
      <c r="B49055" s="3" t="str">
        <f>HYPERLINK("https://www.773grp.com/manufacturer/renesas-electronics-america-inc?pageNo=124", "Renesas Electronics")</f>
        <v>Renesas Electronics</v>
      </c>
      <c r="C49055" s="6">
        <v>2260</v>
      </c>
      <c r="D49055" s="7">
        <v>2.8</v>
      </c>
    </row>
    <row r="49056" spans="1:4" x14ac:dyDescent="0.25">
      <c r="A49056" t="str">
        <f>HYPERLINK("https://www.773grp.com/globalSearch/74HC4538FP-E/page-1", "74HC4538FP-E")</f>
        <v>74HC4538FP-E</v>
      </c>
      <c r="B49056" s="3" t="str">
        <f>HYPERLINK("https://www.773grp.com/manufacturer/renesas-electronics-america-inc?pageNo=125", "Renesas Electronics")</f>
        <v>Renesas Electronics</v>
      </c>
      <c r="C49056" s="6">
        <v>1000</v>
      </c>
      <c r="D49056" s="7">
        <v>2.85</v>
      </c>
    </row>
    <row r="49057" spans="1:4" x14ac:dyDescent="0.25">
      <c r="A49057" t="str">
        <f>HYPERLINK("https://www.773grp.com/globalSearch/74HC4538P-E/page-1", "74HC4538P-E")</f>
        <v>74HC4538P-E</v>
      </c>
      <c r="B49057" s="3" t="str">
        <f>HYPERLINK("https://www.773grp.com/manufacturer/renesas-electronics-america-inc?pageNo=126", "Renesas Electronics")</f>
        <v>Renesas Electronics</v>
      </c>
      <c r="C49057" s="6">
        <v>5995</v>
      </c>
      <c r="D49057" s="7">
        <v>2.85</v>
      </c>
    </row>
    <row r="49058" spans="1:4" x14ac:dyDescent="0.25">
      <c r="A49058" t="str">
        <f>HYPERLINK("https://www.773grp.com/globalSearch/74HC533FP-E/page-1", "74HC533FP-E")</f>
        <v>74HC533FP-E</v>
      </c>
      <c r="B49058" s="3" t="str">
        <f>HYPERLINK("https://www.773grp.com/manufacturer/renesas-electronics-america-inc?pageNo=127", "Renesas Electronics")</f>
        <v>Renesas Electronics</v>
      </c>
      <c r="C49058" s="6">
        <v>370</v>
      </c>
      <c r="D49058" s="7">
        <v>2.85</v>
      </c>
    </row>
    <row r="49059" spans="1:4" x14ac:dyDescent="0.25">
      <c r="A49059" t="str">
        <f>HYPERLINK("https://www.773grp.com/globalSearch/74HC533P-E/page-1", "74HC533P-E")</f>
        <v>74HC533P-E</v>
      </c>
      <c r="B49059" s="3" t="str">
        <f>HYPERLINK("https://www.773grp.com/manufacturer/renesas-electronics-america-inc?pageNo=128", "Renesas Electronics")</f>
        <v>Renesas Electronics</v>
      </c>
      <c r="C49059" s="6">
        <v>1000</v>
      </c>
      <c r="D49059" s="7">
        <v>2.85</v>
      </c>
    </row>
    <row r="49060" spans="1:4" x14ac:dyDescent="0.25">
      <c r="A49060" t="str">
        <f>HYPERLINK("https://www.773grp.com/globalSearch/74HCT534P-E/page-1", "74HCT534P-E")</f>
        <v>74HCT534P-E</v>
      </c>
      <c r="B49060" s="3" t="str">
        <f>HYPERLINK("https://www.773grp.com/manufacturer/renesas-electronics-america-inc?pageNo=129", "Renesas Electronics")</f>
        <v>Renesas Electronics</v>
      </c>
      <c r="C49060" s="6">
        <v>1000</v>
      </c>
      <c r="D49060" s="7">
        <v>2.85</v>
      </c>
    </row>
    <row r="49061" spans="1:4" x14ac:dyDescent="0.25">
      <c r="A49061" t="str">
        <f>HYPERLINK("https://www.773grp.com/globalSearch/AC05DJM-AZ/page-1", "AC05DJM-AZ")</f>
        <v>AC05DJM-AZ</v>
      </c>
      <c r="B49061" s="3" t="str">
        <f>HYPERLINK("https://www.773grp.com/manufacturer/renesas-electronics-america-inc?pageNo=130", "Renesas Electronics")</f>
        <v>Renesas Electronics</v>
      </c>
      <c r="C49061" s="6">
        <v>6477</v>
      </c>
      <c r="D49061" s="7">
        <v>2.85</v>
      </c>
    </row>
    <row r="49062" spans="1:4" x14ac:dyDescent="0.25">
      <c r="A49062" t="str">
        <f>HYPERLINK("https://www.773grp.com/globalSearch/AC05FJM-AZ/page-1", "AC05FJM-AZ")</f>
        <v>AC05FJM-AZ</v>
      </c>
      <c r="B49062" s="3" t="str">
        <f>HYPERLINK("https://www.773grp.com/manufacturer/renesas-electronics-america-inc?pageNo=131", "Renesas Electronics")</f>
        <v>Renesas Electronics</v>
      </c>
      <c r="C49062" s="6">
        <v>384</v>
      </c>
      <c r="D49062" s="7">
        <v>2.85</v>
      </c>
    </row>
    <row r="49063" spans="1:4" x14ac:dyDescent="0.25">
      <c r="A49063" t="str">
        <f>HYPERLINK("https://www.773grp.com/globalSearch/D74HV1G02VS#H1/page-1", "D74HV1G02VS#H1")</f>
        <v>D74HV1G02VS#H1</v>
      </c>
      <c r="B49063" s="3" t="str">
        <f>HYPERLINK("https://www.773grp.com/manufacturer/renesas-electronics-america-inc?pageNo=132", "Renesas Electronics")</f>
        <v>Renesas Electronics</v>
      </c>
      <c r="C49063" s="6">
        <v>33000</v>
      </c>
      <c r="D49063" s="7">
        <v>2.85</v>
      </c>
    </row>
    <row r="49064" spans="1:4" x14ac:dyDescent="0.25">
      <c r="A49064" t="str">
        <f>HYPERLINK("https://www.773grp.com/globalSearch/HCT541TVELL-E-P/page-1", "HCT541TVELL-E-P")</f>
        <v>HCT541TVELL-E-P</v>
      </c>
      <c r="B49064" s="3" t="str">
        <f>HYPERLINK("https://www.773grp.com/manufacturer/renesas-electronics-america-inc?pageNo=133", "Renesas Electronics")</f>
        <v>Renesas Electronics</v>
      </c>
      <c r="C49064" s="6">
        <v>88000</v>
      </c>
      <c r="D49064" s="7">
        <v>2.85</v>
      </c>
    </row>
    <row r="49065" spans="1:4" x14ac:dyDescent="0.25">
      <c r="A49065" t="str">
        <f>HYPERLINK("https://www.773grp.com/globalSearch/R1EX24008ATA00A#S0/page-1", "R1EX24008ATA00A#S0")</f>
        <v>R1EX24008ATA00A#S0</v>
      </c>
      <c r="B49065" s="3" t="str">
        <f>HYPERLINK("https://www.773grp.com/manufacturer/renesas-electronics-america-inc?pageNo=134", "Renesas Electronics")</f>
        <v>Renesas Electronics</v>
      </c>
      <c r="C49065" s="6">
        <v>15000</v>
      </c>
      <c r="D49065" s="7">
        <v>2.85</v>
      </c>
    </row>
    <row r="49066" spans="1:4" x14ac:dyDescent="0.25">
      <c r="A49066" t="str">
        <f>HYPERLINK("https://www.773grp.com/globalSearch/RJK03P3DPA-00#J5A/page-1", "RJK03P3DPA-00#J5A")</f>
        <v>RJK03P3DPA-00#J5A</v>
      </c>
      <c r="B49066" s="3" t="str">
        <f>HYPERLINK("https://www.773grp.com/manufacturer/renesas-electronics-america-inc?pageNo=135", "Renesas Electronics")</f>
        <v>Renesas Electronics</v>
      </c>
      <c r="C49066" s="6">
        <v>816000</v>
      </c>
      <c r="D49066" s="7">
        <v>2.85</v>
      </c>
    </row>
    <row r="49067" spans="1:4" x14ac:dyDescent="0.25">
      <c r="A49067" t="str">
        <f>HYPERLINK("https://www.773grp.com/globalSearch/2SJ128-AZ/page-1", "2SJ128-AZ")</f>
        <v>2SJ128-AZ</v>
      </c>
      <c r="B49067" s="3" t="str">
        <f>HYPERLINK("https://www.773grp.com/manufacturer/renesas-electronics-america-inc?pageNo=136", "Renesas Electronics")</f>
        <v>Renesas Electronics</v>
      </c>
      <c r="C49067" s="6">
        <v>655</v>
      </c>
      <c r="D49067" s="7">
        <v>2.9</v>
      </c>
    </row>
    <row r="49068" spans="1:4" x14ac:dyDescent="0.25">
      <c r="A49068" t="str">
        <f>HYPERLINK("https://www.773grp.com/globalSearch/74HC684P-E/page-1", "74HC684P-E")</f>
        <v>74HC684P-E</v>
      </c>
      <c r="B49068" s="3" t="str">
        <f>HYPERLINK("https://www.773grp.com/manufacturer/renesas-electronics-america-inc?pageNo=137", "Renesas Electronics")</f>
        <v>Renesas Electronics</v>
      </c>
      <c r="C49068" s="6">
        <v>1000</v>
      </c>
      <c r="D49068" s="7">
        <v>2.9</v>
      </c>
    </row>
    <row r="49069" spans="1:4" x14ac:dyDescent="0.25">
      <c r="A49069" t="str">
        <f>HYPERLINK("https://www.773grp.com/globalSearch/74LS148FP-E/page-1", "74LS148FP-E")</f>
        <v>74LS148FP-E</v>
      </c>
      <c r="B49069" s="3" t="str">
        <f>HYPERLINK("https://www.773grp.com/manufacturer/renesas-electronics-america-inc?pageNo=138", "Renesas Electronics")</f>
        <v>Renesas Electronics</v>
      </c>
      <c r="C49069" s="6">
        <v>3000</v>
      </c>
      <c r="D49069" s="7">
        <v>2.9</v>
      </c>
    </row>
    <row r="49070" spans="1:4" x14ac:dyDescent="0.25">
      <c r="A49070" t="str">
        <f>HYPERLINK("https://www.773grp.com/globalSearch/74LS174FP-E/page-1", "74LS174FP-E")</f>
        <v>74LS174FP-E</v>
      </c>
      <c r="B49070" s="3" t="str">
        <f>HYPERLINK("https://www.773grp.com/manufacturer/renesas-electronics-america-inc?pageNo=139", "Renesas Electronics")</f>
        <v>Renesas Electronics</v>
      </c>
      <c r="C49070" s="6">
        <v>5000</v>
      </c>
      <c r="D49070" s="7">
        <v>2.9</v>
      </c>
    </row>
    <row r="49071" spans="1:4" x14ac:dyDescent="0.25">
      <c r="A49071" t="str">
        <f>HYPERLINK("https://www.773grp.com/globalSearch/74LS193P-E/page-1", "74LS193P-E")</f>
        <v>74LS193P-E</v>
      </c>
      <c r="B49071" s="3" t="str">
        <f>HYPERLINK("https://www.773grp.com/manufacturer/renesas-electronics-america-inc?pageNo=140", "Renesas Electronics")</f>
        <v>Renesas Electronics</v>
      </c>
      <c r="C49071" s="6">
        <v>1000</v>
      </c>
      <c r="D49071" s="7">
        <v>2.9</v>
      </c>
    </row>
    <row r="49072" spans="1:4" x14ac:dyDescent="0.25">
      <c r="A49072" t="str">
        <f>HYPERLINK("https://www.773grp.com/globalSearch/74LS247P-E/page-1", "74LS247P-E")</f>
        <v>74LS247P-E</v>
      </c>
      <c r="B49072" s="3" t="str">
        <f>HYPERLINK("https://www.773grp.com/manufacturer/renesas-electronics-america-inc?pageNo=141", "Renesas Electronics")</f>
        <v>Renesas Electronics</v>
      </c>
      <c r="C49072" s="6">
        <v>4000</v>
      </c>
      <c r="D49072" s="7">
        <v>2.9</v>
      </c>
    </row>
    <row r="49073" spans="1:4" x14ac:dyDescent="0.25">
      <c r="A49073" t="str">
        <f>HYPERLINK("https://www.773grp.com/globalSearch/74LS393FP-E/page-1", "74LS393FP-E")</f>
        <v>74LS393FP-E</v>
      </c>
      <c r="B49073" s="3" t="str">
        <f>HYPERLINK("https://www.773grp.com/manufacturer/renesas-electronics-america-inc?pageNo=142", "Renesas Electronics")</f>
        <v>Renesas Electronics</v>
      </c>
      <c r="C49073" s="6">
        <v>7000</v>
      </c>
      <c r="D49073" s="7">
        <v>2.9</v>
      </c>
    </row>
    <row r="49074" spans="1:4" x14ac:dyDescent="0.25">
      <c r="A49074" t="str">
        <f>HYPERLINK("https://www.773grp.com/globalSearch/HA17904PSD/page-1", "HA17904PSD")</f>
        <v>HA17904PSD</v>
      </c>
      <c r="B49074" s="3" t="str">
        <f>HYPERLINK("https://www.773grp.com/manufacturer/renesas-electronics-america-inc?pageNo=143", "Renesas Electronics")</f>
        <v>Renesas Electronics</v>
      </c>
      <c r="C49074" s="6">
        <v>10737</v>
      </c>
      <c r="D49074" s="7">
        <v>2.9</v>
      </c>
    </row>
    <row r="49075" spans="1:4" x14ac:dyDescent="0.25">
      <c r="A49075" t="str">
        <f>HYPERLINK("https://www.773grp.com/globalSearch/M62216FP#CF0R/page-1", "M62216FP#CF0R")</f>
        <v>M62216FP#CF0R</v>
      </c>
      <c r="B49075" s="3" t="str">
        <f>HYPERLINK("https://www.773grp.com/manufacturer/renesas-electronics-america-inc?pageNo=144", "Renesas Electronics")</f>
        <v>Renesas Electronics</v>
      </c>
      <c r="C49075" s="6">
        <v>2500</v>
      </c>
      <c r="D49075" s="7">
        <v>2.9</v>
      </c>
    </row>
    <row r="49076" spans="1:4" x14ac:dyDescent="0.25">
      <c r="A49076" t="str">
        <f>HYPERLINK("https://www.773grp.com/globalSearch/R1EX24064ASA00A#S0/page-1", "R1EX24064ASA00A#S0")</f>
        <v>R1EX24064ASA00A#S0</v>
      </c>
      <c r="B49076" s="3" t="str">
        <f>HYPERLINK("https://www.773grp.com/manufacturer/renesas-electronics-america-inc?pageNo=145", "Renesas Electronics")</f>
        <v>Renesas Electronics</v>
      </c>
      <c r="C49076" s="6">
        <v>7500</v>
      </c>
      <c r="D49076" s="7">
        <v>2.9</v>
      </c>
    </row>
    <row r="49077" spans="1:4" x14ac:dyDescent="0.25">
      <c r="A49077" t="str">
        <f>HYPERLINK("https://www.773grp.com/globalSearch/2SB1150-AZ/page-1", "2SB1150-AZ")</f>
        <v>2SB1150-AZ</v>
      </c>
      <c r="B49077" s="3" t="str">
        <f>HYPERLINK("https://www.773grp.com/manufacturer/renesas-electronics-america-inc?pageNo=146", "Renesas Electronics")</f>
        <v>Renesas Electronics</v>
      </c>
      <c r="C49077" s="6">
        <v>4417</v>
      </c>
      <c r="D49077" s="7">
        <v>2.95</v>
      </c>
    </row>
    <row r="49078" spans="1:4" x14ac:dyDescent="0.25">
      <c r="A49078" t="str">
        <f>HYPERLINK("https://www.773grp.com/globalSearch/5P4J-Z-E1-AZ/page-1", "5P4J-Z-E1-AZ")</f>
        <v>5P4J-Z-E1-AZ</v>
      </c>
      <c r="B49078" s="3" t="str">
        <f>HYPERLINK("https://www.773grp.com/manufacturer/renesas-electronics-america-inc?pageNo=147", "Renesas Electronics")</f>
        <v>Renesas Electronics</v>
      </c>
      <c r="C49078" s="6">
        <v>22000</v>
      </c>
      <c r="D49078" s="7">
        <v>2.95</v>
      </c>
    </row>
    <row r="49079" spans="1:4" x14ac:dyDescent="0.25">
      <c r="A49079" t="str">
        <f>HYPERLINK("https://www.773grp.com/globalSearch/74HC193P-E#D0/page-1", "74HC193P-E#D0")</f>
        <v>74HC193P-E#D0</v>
      </c>
      <c r="B49079" s="3" t="str">
        <f>HYPERLINK("https://www.773grp.com/manufacturer/renesas-electronics-america-inc?pageNo=148", "Renesas Electronics")</f>
        <v>Renesas Electronics</v>
      </c>
      <c r="C49079" s="6">
        <v>2000</v>
      </c>
      <c r="D49079" s="7">
        <v>2.95</v>
      </c>
    </row>
    <row r="49080" spans="1:4" x14ac:dyDescent="0.25">
      <c r="A49080" t="str">
        <f>HYPERLINK("https://www.773grp.com/globalSearch/74HC386FP-E/page-1", "74HC386FP-E")</f>
        <v>74HC386FP-E</v>
      </c>
      <c r="B49080" s="3" t="str">
        <f>HYPERLINK("https://www.773grp.com/manufacturer/renesas-electronics-america-inc?pageNo=149", "Renesas Electronics")</f>
        <v>Renesas Electronics</v>
      </c>
      <c r="C49080" s="6">
        <v>3000</v>
      </c>
      <c r="D49080" s="7">
        <v>2.95</v>
      </c>
    </row>
    <row r="49081" spans="1:4" x14ac:dyDescent="0.25">
      <c r="A49081" t="str">
        <f>HYPERLINK("https://www.773grp.com/globalSearch/74LS151P-E/page-1", "74LS151P-E")</f>
        <v>74LS151P-E</v>
      </c>
      <c r="B49081" s="3" t="str">
        <f>HYPERLINK("https://www.773grp.com/manufacturer/renesas-electronics-america-inc?pageNo=150", "Renesas Electronics")</f>
        <v>Renesas Electronics</v>
      </c>
      <c r="C49081" s="6">
        <v>5000</v>
      </c>
      <c r="D49081" s="7">
        <v>2.95</v>
      </c>
    </row>
    <row r="49082" spans="1:4" x14ac:dyDescent="0.25">
      <c r="A49082" t="str">
        <f>HYPERLINK("https://www.773grp.com/globalSearch/HD74LS190P/page-1", "HD74LS190P")</f>
        <v>HD74LS190P</v>
      </c>
      <c r="B49082" s="3" t="str">
        <f>HYPERLINK("https://www.773grp.com/manufacturer/renesas-electronics-america-inc?pageNo=151", "Renesas Electronics")</f>
        <v>Renesas Electronics</v>
      </c>
      <c r="C49082" s="6">
        <v>6000</v>
      </c>
      <c r="D49082" s="7">
        <v>2.95</v>
      </c>
    </row>
    <row r="49083" spans="1:4" x14ac:dyDescent="0.25">
      <c r="A49083" t="str">
        <f>HYPERLINK("https://www.773grp.com/globalSearch/R1EX24064ATAS0A#RS/page-1", "R1EX24064ATAS0A#RS")</f>
        <v>R1EX24064ATAS0A#RS</v>
      </c>
      <c r="B49083" s="3" t="str">
        <f>HYPERLINK("https://www.773grp.com/manufacturer/renesas-electronics-america-inc?pageNo=152", "Renesas Electronics")</f>
        <v>Renesas Electronics</v>
      </c>
      <c r="C49083" s="6">
        <v>24000</v>
      </c>
      <c r="D49083" s="7">
        <v>2.95</v>
      </c>
    </row>
    <row r="49084" spans="1:4" x14ac:dyDescent="0.25">
      <c r="A49084" t="str">
        <f>HYPERLINK("https://www.773grp.com/globalSearch/2SA1008(4)-S6-AZ/page-1", "2SA1008(4)-S6-AZ")</f>
        <v>2SA1008(4)-S6-AZ</v>
      </c>
      <c r="B49084" s="3" t="str">
        <f>HYPERLINK("https://www.773grp.com/manufacturer/renesas-electronics-america-inc?pageNo=153", "Renesas Electronics")</f>
        <v>Renesas Electronics</v>
      </c>
      <c r="C49084" s="6">
        <v>3370</v>
      </c>
      <c r="D49084" s="7">
        <v>3</v>
      </c>
    </row>
    <row r="49085" spans="1:4" x14ac:dyDescent="0.25">
      <c r="A49085" t="str">
        <f>HYPERLINK("https://www.773grp.com/globalSearch/74HC153FP-E/page-1", "74HC153FP-E")</f>
        <v>74HC153FP-E</v>
      </c>
      <c r="B49085" s="3" t="str">
        <f>HYPERLINK("https://www.773grp.com/manufacturer/renesas-electronics-america-inc?pageNo=154", "Renesas Electronics")</f>
        <v>Renesas Electronics</v>
      </c>
      <c r="C49085" s="6">
        <v>1280</v>
      </c>
      <c r="D49085" s="7">
        <v>3</v>
      </c>
    </row>
    <row r="49086" spans="1:4" x14ac:dyDescent="0.25">
      <c r="A49086" t="str">
        <f>HYPERLINK("https://www.773grp.com/globalSearch/74HC221FP-E/page-1", "74HC221FP-E")</f>
        <v>74HC221FP-E</v>
      </c>
      <c r="B49086" s="3" t="str">
        <f>HYPERLINK("https://www.773grp.com/manufacturer/renesas-electronics-america-inc?pageNo=155", "Renesas Electronics")</f>
        <v>Renesas Electronics</v>
      </c>
      <c r="C49086" s="6">
        <v>4000</v>
      </c>
      <c r="D49086" s="7">
        <v>3</v>
      </c>
    </row>
    <row r="49087" spans="1:4" x14ac:dyDescent="0.25">
      <c r="A49087" t="str">
        <f>HYPERLINK("https://www.773grp.com/globalSearch/8P4J-Z-AZ/page-1", "8P4J-Z-AZ")</f>
        <v>8P4J-Z-AZ</v>
      </c>
      <c r="B49087" s="3" t="str">
        <f>HYPERLINK("https://www.773grp.com/manufacturer/renesas-electronics-america-inc?pageNo=156", "Renesas Electronics")</f>
        <v>Renesas Electronics</v>
      </c>
      <c r="C49087" s="6">
        <v>191</v>
      </c>
      <c r="D49087" s="7">
        <v>3</v>
      </c>
    </row>
    <row r="49088" spans="1:4" x14ac:dyDescent="0.25">
      <c r="A49088" t="str">
        <f>HYPERLINK("https://www.773grp.com/globalSearch/AC05DJM-Z-AZ/page-1", "AC05DJM-Z-AZ")</f>
        <v>AC05DJM-Z-AZ</v>
      </c>
      <c r="B49088" s="3" t="str">
        <f>HYPERLINK("https://www.773grp.com/manufacturer/renesas-electronics-america-inc?pageNo=157", "Renesas Electronics")</f>
        <v>Renesas Electronics</v>
      </c>
      <c r="C49088" s="6">
        <v>61</v>
      </c>
      <c r="D49088" s="7">
        <v>3</v>
      </c>
    </row>
    <row r="49089" spans="1:4" x14ac:dyDescent="0.25">
      <c r="A49089" t="str">
        <f>HYPERLINK("https://www.773grp.com/globalSearch/AC05DJM-Z-E1-AZ/page-1", "AC05DJM-Z-E1-AZ")</f>
        <v>AC05DJM-Z-E1-AZ</v>
      </c>
      <c r="B49089" s="3" t="str">
        <f>HYPERLINK("https://www.773grp.com/manufacturer/renesas-electronics-america-inc?pageNo=158", "Renesas Electronics")</f>
        <v>Renesas Electronics</v>
      </c>
      <c r="C49089" s="6">
        <v>8000</v>
      </c>
      <c r="D49089" s="7">
        <v>3</v>
      </c>
    </row>
    <row r="49090" spans="1:4" x14ac:dyDescent="0.25">
      <c r="A49090" t="str">
        <f>HYPERLINK("https://www.773grp.com/globalSearch/FS30ASJ-06F#B00/page-1", "FS30ASJ-06F#B00")</f>
        <v>FS30ASJ-06F#B00</v>
      </c>
      <c r="B49090" s="3" t="str">
        <f>HYPERLINK("https://www.773grp.com/manufacturer/renesas-electronics-america-inc?pageNo=159", "Renesas Electronics")</f>
        <v>Renesas Electronics</v>
      </c>
      <c r="C49090" s="6">
        <v>3319</v>
      </c>
      <c r="D49090" s="7">
        <v>3</v>
      </c>
    </row>
    <row r="49091" spans="1:4" x14ac:dyDescent="0.25">
      <c r="A49091" t="str">
        <f>HYPERLINK("https://www.773grp.com/globalSearch/M62216FP#TF0R/page-1", "M62216FP#TF0R")</f>
        <v>M62216FP#TF0R</v>
      </c>
      <c r="B49091" s="3" t="str">
        <f>HYPERLINK("https://www.773grp.com/manufacturer/renesas-electronics-america-inc?pageNo=160", "Renesas Electronics")</f>
        <v>Renesas Electronics</v>
      </c>
      <c r="C49091" s="6">
        <v>15</v>
      </c>
      <c r="D49091" s="7">
        <v>3</v>
      </c>
    </row>
    <row r="49092" spans="1:4" x14ac:dyDescent="0.25">
      <c r="A49092" t="str">
        <f>HYPERLINK("https://www.773grp.com/globalSearch/R1EX24008ATAS0I#S1/page-1", "R1EX24008ATAS0I#S1")</f>
        <v>R1EX24008ATAS0I#S1</v>
      </c>
      <c r="B49092" s="3" t="str">
        <f>HYPERLINK("https://www.773grp.com/manufacturer/renesas-electronics-america-inc?pageNo=161", "Renesas Electronics")</f>
        <v>Renesas Electronics</v>
      </c>
      <c r="C49092" s="6">
        <v>250</v>
      </c>
      <c r="D49092" s="7">
        <v>3</v>
      </c>
    </row>
    <row r="49093" spans="1:4" x14ac:dyDescent="0.25">
      <c r="A49093" t="str">
        <f>HYPERLINK("https://www.773grp.com/globalSearch/R1EX24032ATA00I#S0/page-1", "R1EX24032ATA00I#S0")</f>
        <v>R1EX24032ATA00I#S0</v>
      </c>
      <c r="B49093" s="3" t="str">
        <f>HYPERLINK("https://www.773grp.com/manufacturer/renesas-electronics-america-inc?pageNo=162", "Renesas Electronics")</f>
        <v>Renesas Electronics</v>
      </c>
      <c r="C49093" s="6">
        <v>15000</v>
      </c>
      <c r="D49093" s="7">
        <v>3</v>
      </c>
    </row>
    <row r="49094" spans="1:4" x14ac:dyDescent="0.25">
      <c r="A49094" t="str">
        <f>HYPERLINK("https://www.773grp.com/globalSearch/RJK0329DPB-W1#J0/page-1", "RJK0329DPB-W1#J0")</f>
        <v>RJK0329DPB-W1#J0</v>
      </c>
      <c r="B49094" s="3" t="str">
        <f>HYPERLINK("https://www.773grp.com/manufacturer/renesas-electronics-america-inc?pageNo=163", "Renesas Electronics")</f>
        <v>Renesas Electronics</v>
      </c>
      <c r="C49094" s="6">
        <v>2300</v>
      </c>
      <c r="D49094" s="7">
        <v>3</v>
      </c>
    </row>
    <row r="49095" spans="1:4" x14ac:dyDescent="0.25">
      <c r="A49095" t="str">
        <f>HYPERLINK("https://www.773grp.com/globalSearch/RJP4005ANS-01#Q1/page-1", "RJP4005ANS-01#Q1")</f>
        <v>RJP4005ANS-01#Q1</v>
      </c>
      <c r="B49095" s="3" t="str">
        <f>HYPERLINK("https://www.773grp.com/manufacturer/renesas-electronics-america-inc?pageNo=164", "Renesas Electronics")</f>
        <v>Renesas Electronics</v>
      </c>
      <c r="C49095" s="6">
        <v>744000</v>
      </c>
      <c r="D49095" s="7">
        <v>3</v>
      </c>
    </row>
    <row r="49096" spans="1:4" x14ac:dyDescent="0.25">
      <c r="A49096" t="str">
        <f>HYPERLINK("https://www.773grp.com/globalSearch/74HC132P-E/page-1", "74HC132P-E")</f>
        <v>74HC132P-E</v>
      </c>
      <c r="B49096" s="3" t="str">
        <f>HYPERLINK("https://www.773grp.com/manufacturer/renesas-electronics-america-inc?pageNo=165", "Renesas Electronics")</f>
        <v>Renesas Electronics</v>
      </c>
      <c r="C49096" s="6">
        <v>8990</v>
      </c>
      <c r="D49096" s="7">
        <v>3.05</v>
      </c>
    </row>
    <row r="49097" spans="1:4" x14ac:dyDescent="0.25">
      <c r="A49097" t="str">
        <f>HYPERLINK("https://www.773grp.com/globalSearch/74HC280FP-E/page-1", "74HC280FP-E")</f>
        <v>74HC280FP-E</v>
      </c>
      <c r="B49097" s="3" t="str">
        <f>HYPERLINK("https://www.773grp.com/manufacturer/renesas-electronics-america-inc?pageNo=166", "Renesas Electronics")</f>
        <v>Renesas Electronics</v>
      </c>
      <c r="C49097" s="6">
        <v>4851</v>
      </c>
      <c r="D49097" s="7">
        <v>3.05</v>
      </c>
    </row>
    <row r="49098" spans="1:4" x14ac:dyDescent="0.25">
      <c r="A49098" t="str">
        <f>HYPERLINK("https://www.773grp.com/globalSearch/74HC280P-E/page-1", "74HC280P-E")</f>
        <v>74HC280P-E</v>
      </c>
      <c r="B49098" s="3" t="str">
        <f>HYPERLINK("https://www.773grp.com/manufacturer/renesas-electronics-america-inc?pageNo=167", "Renesas Electronics")</f>
        <v>Renesas Electronics</v>
      </c>
      <c r="C49098" s="6">
        <v>3000</v>
      </c>
      <c r="D49098" s="7">
        <v>3.05</v>
      </c>
    </row>
    <row r="49099" spans="1:4" x14ac:dyDescent="0.25">
      <c r="A49099" t="str">
        <f>HYPERLINK("https://www.773grp.com/globalSearch/74HC377FP-E/page-1", "74HC377FP-E")</f>
        <v>74HC377FP-E</v>
      </c>
      <c r="B49099" s="3" t="str">
        <f>HYPERLINK("https://www.773grp.com/manufacturer/renesas-electronics-america-inc?pageNo=168", "Renesas Electronics")</f>
        <v>Renesas Electronics</v>
      </c>
      <c r="C49099" s="6">
        <v>2949</v>
      </c>
      <c r="D49099" s="7">
        <v>3.05</v>
      </c>
    </row>
    <row r="49100" spans="1:4" x14ac:dyDescent="0.25">
      <c r="A49100" t="str">
        <f>HYPERLINK("https://www.773grp.com/globalSearch/74HC4060FP-E/page-1", "74HC4060FP-E")</f>
        <v>74HC4060FP-E</v>
      </c>
      <c r="B49100" s="3" t="str">
        <f>HYPERLINK("https://www.773grp.com/manufacturer/renesas-electronics-america-inc?pageNo=169", "Renesas Electronics")</f>
        <v>Renesas Electronics</v>
      </c>
      <c r="C49100" s="6">
        <v>5000</v>
      </c>
      <c r="D49100" s="7">
        <v>3.05</v>
      </c>
    </row>
    <row r="49101" spans="1:4" x14ac:dyDescent="0.25">
      <c r="A49101" t="str">
        <f>HYPERLINK("https://www.773grp.com/globalSearch/74HC4060P-E/page-1", "74HC4060P-E")</f>
        <v>74HC4060P-E</v>
      </c>
      <c r="B49101" s="3" t="str">
        <f>HYPERLINK("https://www.773grp.com/manufacturer/renesas-electronics-america-inc?pageNo=170", "Renesas Electronics")</f>
        <v>Renesas Electronics</v>
      </c>
      <c r="C49101" s="6">
        <v>7000</v>
      </c>
      <c r="D49101" s="7">
        <v>3.05</v>
      </c>
    </row>
    <row r="49102" spans="1:4" x14ac:dyDescent="0.25">
      <c r="A49102" t="str">
        <f>HYPERLINK("https://www.773grp.com/globalSearch/74HC563FP-E/page-1", "74HC563FP-E")</f>
        <v>74HC563FP-E</v>
      </c>
      <c r="B49102" s="3" t="str">
        <f>HYPERLINK("https://www.773grp.com/manufacturer/renesas-electronics-america-inc?pageNo=171", "Renesas Electronics")</f>
        <v>Renesas Electronics</v>
      </c>
      <c r="C49102" s="6">
        <v>9583</v>
      </c>
      <c r="D49102" s="7">
        <v>3.05</v>
      </c>
    </row>
    <row r="49103" spans="1:4" x14ac:dyDescent="0.25">
      <c r="A49103" t="str">
        <f>HYPERLINK("https://www.773grp.com/globalSearch/74HC564FPEL-E/page-1", "74HC564FPEL-E")</f>
        <v>74HC564FPEL-E</v>
      </c>
      <c r="B49103" s="3" t="str">
        <f>HYPERLINK("https://www.773grp.com/manufacturer/renesas-electronics-america-inc?pageNo=172", "Renesas Electronics")</f>
        <v>Renesas Electronics</v>
      </c>
      <c r="C49103" s="6">
        <v>10000</v>
      </c>
      <c r="D49103" s="7">
        <v>3.05</v>
      </c>
    </row>
    <row r="49104" spans="1:4" x14ac:dyDescent="0.25">
      <c r="A49104" t="str">
        <f>HYPERLINK("https://www.773grp.com/globalSearch/74HCT574FP-E/page-1", "74HCT574FP-E")</f>
        <v>74HCT574FP-E</v>
      </c>
      <c r="B49104" s="3" t="str">
        <f>HYPERLINK("https://www.773grp.com/manufacturer/renesas-electronics-america-inc?pageNo=173", "Renesas Electronics")</f>
        <v>Renesas Electronics</v>
      </c>
      <c r="C49104" s="6">
        <v>1963</v>
      </c>
      <c r="D49104" s="7">
        <v>3.05</v>
      </c>
    </row>
    <row r="49105" spans="1:4" x14ac:dyDescent="0.25">
      <c r="A49105" t="str">
        <f>HYPERLINK("https://www.773grp.com/globalSearch/BCR5AM-12LA-1#B00/page-1", "BCR5AM-12LA-1#B00")</f>
        <v>BCR5AM-12LA-1#B00</v>
      </c>
      <c r="B49105" s="3" t="str">
        <f>HYPERLINK("https://www.773grp.com/manufacturer/renesas-electronics-america-inc?pageNo=174", "Renesas Electronics")</f>
        <v>Renesas Electronics</v>
      </c>
      <c r="C49105" s="6">
        <v>4050</v>
      </c>
      <c r="D49105" s="7">
        <v>3.05</v>
      </c>
    </row>
    <row r="49106" spans="1:4" x14ac:dyDescent="0.25">
      <c r="A49106" t="str">
        <f>HYPERLINK("https://www.773grp.com/globalSearch/FS10ASJ-06F-T13#X3/page-1", "FS10ASJ-06F-T13#X3")</f>
        <v>FS10ASJ-06F-T13#X3</v>
      </c>
      <c r="B49106" s="3" t="str">
        <f>HYPERLINK("https://www.773grp.com/manufacturer/renesas-electronics-america-inc?pageNo=175", "Renesas Electronics")</f>
        <v>Renesas Electronics</v>
      </c>
      <c r="C49106" s="6">
        <v>6000</v>
      </c>
      <c r="D49106" s="7">
        <v>3.05</v>
      </c>
    </row>
    <row r="49107" spans="1:4" x14ac:dyDescent="0.25">
      <c r="A49107" t="str">
        <f>HYPERLINK("https://www.773grp.com/globalSearch/FX20ASJ-03F-T13#X3/page-1", "FX20ASJ-03F-T13#X3")</f>
        <v>FX20ASJ-03F-T13#X3</v>
      </c>
      <c r="B49107" s="3" t="str">
        <f>HYPERLINK("https://www.773grp.com/manufacturer/renesas-electronics-america-inc?pageNo=176", "Renesas Electronics")</f>
        <v>Renesas Electronics</v>
      </c>
      <c r="C49107" s="6">
        <v>6000</v>
      </c>
      <c r="D49107" s="7">
        <v>3.05</v>
      </c>
    </row>
    <row r="49108" spans="1:4" x14ac:dyDescent="0.25">
      <c r="A49108" t="str">
        <f>HYPERLINK("https://www.773grp.com/globalSearch/H5N2521FN-E#T2/page-1", "H5N2521FN-E#T2")</f>
        <v>H5N2521FN-E#T2</v>
      </c>
      <c r="B49108" s="3" t="str">
        <f>HYPERLINK("https://www.773grp.com/manufacturer/renesas-electronics-america-inc?pageNo=177", "Renesas Electronics")</f>
        <v>Renesas Electronics</v>
      </c>
      <c r="C49108" s="6">
        <v>5732</v>
      </c>
      <c r="D49108" s="7">
        <v>3.05</v>
      </c>
    </row>
    <row r="49109" spans="1:4" x14ac:dyDescent="0.25">
      <c r="A49109" t="str">
        <f>HYPERLINK("https://www.773grp.com/globalSearch/HA17902ARP-E/page-1", "HA17902ARP-E")</f>
        <v>HA17902ARP-E</v>
      </c>
      <c r="B49109" s="3" t="str">
        <f>HYPERLINK("https://www.773grp.com/manufacturer/renesas-electronics-america-inc?pageNo=178", "Renesas Electronics")</f>
        <v>Renesas Electronics</v>
      </c>
      <c r="C49109" s="6">
        <v>2534</v>
      </c>
      <c r="D49109" s="7">
        <v>3.05</v>
      </c>
    </row>
    <row r="49110" spans="1:4" x14ac:dyDescent="0.25">
      <c r="A49110" t="str">
        <f>HYPERLINK("https://www.773grp.com/globalSearch/HA17904ARPEL-E/page-1", "HA17904ARPEL-E")</f>
        <v>HA17904ARPEL-E</v>
      </c>
      <c r="B49110" s="3" t="str">
        <f>HYPERLINK("https://www.773grp.com/manufacturer/renesas-electronics-america-inc?pageNo=179", "Renesas Electronics")</f>
        <v>Renesas Electronics</v>
      </c>
      <c r="C49110" s="6">
        <v>40000</v>
      </c>
      <c r="D49110" s="7">
        <v>3.05</v>
      </c>
    </row>
    <row r="49111" spans="1:4" x14ac:dyDescent="0.25">
      <c r="A49111" t="str">
        <f>HYPERLINK("https://www.773grp.com/globalSearch/M61545FP#TF0R/page-1", "M61545FP#TF0R")</f>
        <v>M61545FP#TF0R</v>
      </c>
      <c r="B49111" s="3" t="str">
        <f>HYPERLINK("https://www.773grp.com/manufacturer/renesas-electronics-america-inc?pageNo=180", "Renesas Electronics")</f>
        <v>Renesas Electronics</v>
      </c>
      <c r="C49111" s="6">
        <v>90</v>
      </c>
      <c r="D49111" s="7">
        <v>3.05</v>
      </c>
    </row>
    <row r="49112" spans="1:4" x14ac:dyDescent="0.25">
      <c r="A49112" t="str">
        <f>HYPERLINK("https://www.773grp.com/globalSearch/M62003FP#CF0J/page-1", "M62003FP#CF0J")</f>
        <v>M62003FP#CF0J</v>
      </c>
      <c r="B49112" s="3" t="str">
        <f>HYPERLINK("https://www.773grp.com/manufacturer/renesas-electronics-america-inc?pageNo=181", "Renesas Electronics")</f>
        <v>Renesas Electronics</v>
      </c>
      <c r="C49112" s="6">
        <v>12000</v>
      </c>
      <c r="D49112" s="7">
        <v>3.05</v>
      </c>
    </row>
    <row r="49113" spans="1:4" x14ac:dyDescent="0.25">
      <c r="A49113" t="str">
        <f>HYPERLINK("https://www.773grp.com/globalSearch/RJK0216DPA-WS#J53/page-1", "RJK0216DPA-WS#J53")</f>
        <v>RJK0216DPA-WS#J53</v>
      </c>
      <c r="B49113" s="3" t="str">
        <f>HYPERLINK("https://www.773grp.com/manufacturer/renesas-electronics-america-inc?pageNo=182", "Renesas Electronics")</f>
        <v>Renesas Electronics</v>
      </c>
      <c r="C49113" s="6">
        <v>2135</v>
      </c>
      <c r="D49113" s="7">
        <v>3.05</v>
      </c>
    </row>
    <row r="49114" spans="1:4" x14ac:dyDescent="0.25">
      <c r="A49114" t="str">
        <f>HYPERLINK("https://www.773grp.com/globalSearch/74AC245FP-E/page-1", "74AC245FP-E")</f>
        <v>74AC245FP-E</v>
      </c>
      <c r="B49114" s="3" t="str">
        <f>HYPERLINK("https://www.773grp.com/manufacturer/renesas-electronics-america-inc?pageNo=183", "Renesas Electronics")</f>
        <v>Renesas Electronics</v>
      </c>
      <c r="C49114" s="6">
        <v>6990</v>
      </c>
      <c r="D49114" s="7">
        <v>2.81</v>
      </c>
    </row>
    <row r="49115" spans="1:4" x14ac:dyDescent="0.25">
      <c r="A49115" t="str">
        <f>HYPERLINK("https://www.773grp.com/globalSearch/74ACT139FPEL-E/page-1", "74ACT139FPEL-E")</f>
        <v>74ACT139FPEL-E</v>
      </c>
      <c r="B49115" s="3" t="str">
        <f>HYPERLINK("https://www.773grp.com/manufacturer/renesas-electronics-america-inc?pageNo=184", "Renesas Electronics")</f>
        <v>Renesas Electronics</v>
      </c>
      <c r="C49115" s="6">
        <v>4000</v>
      </c>
      <c r="D49115" s="7">
        <v>2.81</v>
      </c>
    </row>
    <row r="49116" spans="1:4" x14ac:dyDescent="0.25">
      <c r="A49116" t="str">
        <f>HYPERLINK("https://www.773grp.com/globalSearch/BCR16CM-12LA-A6#X2/page-1", "BCR16CM-12LA-A6#X2")</f>
        <v>BCR16CM-12LA-A6#X2</v>
      </c>
      <c r="B49116" s="3" t="str">
        <f>HYPERLINK("https://www.773grp.com/manufacturer/renesas-electronics-america-inc?pageNo=185", "Renesas Electronics")</f>
        <v>Renesas Electronics</v>
      </c>
      <c r="C49116" s="6">
        <v>43289</v>
      </c>
      <c r="D49116" s="7">
        <v>2.81</v>
      </c>
    </row>
    <row r="49117" spans="1:4" x14ac:dyDescent="0.25">
      <c r="A49117" t="str">
        <f>HYPERLINK("https://www.773grp.com/globalSearch/BCR16CM-12LA-AS#X2/page-1", "BCR16CM-12LA-AS#X2")</f>
        <v>BCR16CM-12LA-AS#X2</v>
      </c>
      <c r="B49117" s="3" t="str">
        <f>HYPERLINK("https://www.773grp.com/manufacturer/renesas-electronics-america-inc?pageNo=186", "Renesas Electronics")</f>
        <v>Renesas Electronics</v>
      </c>
      <c r="C49117" s="6">
        <v>41931</v>
      </c>
      <c r="D49117" s="7">
        <v>2.81</v>
      </c>
    </row>
    <row r="49118" spans="1:4" x14ac:dyDescent="0.25">
      <c r="A49118" t="str">
        <f>HYPERLINK("https://www.773grp.com/globalSearch/BCR16CM-12LB-A6#X3/page-1", "BCR16CM-12LB-A6#X3")</f>
        <v>BCR16CM-12LB-A6#X3</v>
      </c>
      <c r="B49118" s="3" t="str">
        <f>HYPERLINK("https://www.773grp.com/manufacturer/renesas-electronics-america-inc?pageNo=187", "Renesas Electronics")</f>
        <v>Renesas Electronics</v>
      </c>
      <c r="C49118" s="6">
        <v>23392</v>
      </c>
      <c r="D49118" s="7">
        <v>2.81</v>
      </c>
    </row>
    <row r="49119" spans="1:4" x14ac:dyDescent="0.25">
      <c r="A49119" t="str">
        <f>HYPERLINK("https://www.773grp.com/globalSearch/BCR16CM-12LB-AA#X3/page-1", "BCR16CM-12LB-AA#X3")</f>
        <v>BCR16CM-12LB-AA#X3</v>
      </c>
      <c r="B49119" s="3" t="str">
        <f>HYPERLINK("https://www.773grp.com/manufacturer/renesas-electronics-america-inc?pageNo=188", "Renesas Electronics")</f>
        <v>Renesas Electronics</v>
      </c>
      <c r="C49119" s="6">
        <v>43503</v>
      </c>
      <c r="D49119" s="7">
        <v>2.81</v>
      </c>
    </row>
    <row r="49120" spans="1:4" x14ac:dyDescent="0.25">
      <c r="A49120" t="str">
        <f>HYPERLINK("https://www.773grp.com/globalSearch/BCR16CM-12LBAP#B01/page-1", "BCR16CM-12LBAP#B01")</f>
        <v>BCR16CM-12LBAP#B01</v>
      </c>
      <c r="B49120" s="3" t="str">
        <f>HYPERLINK("https://www.773grp.com/manufacturer/renesas-electronics-america-inc?pageNo=189", "Renesas Electronics")</f>
        <v>Renesas Electronics</v>
      </c>
      <c r="C49120" s="6">
        <v>644</v>
      </c>
      <c r="D49120" s="7">
        <v>2.81</v>
      </c>
    </row>
    <row r="49121" spans="1:4" x14ac:dyDescent="0.25">
      <c r="A49121" t="str">
        <f>HYPERLINK("https://www.773grp.com/globalSearch/BCR16CM-12LBAS#B01/page-1", "BCR16CM-12LBAS#B01")</f>
        <v>BCR16CM-12LBAS#B01</v>
      </c>
      <c r="B49121" s="3" t="str">
        <f>HYPERLINK("https://www.773grp.com/manufacturer/renesas-electronics-america-inc?pageNo=190", "Renesas Electronics")</f>
        <v>Renesas Electronics</v>
      </c>
      <c r="C49121" s="6">
        <v>5905</v>
      </c>
      <c r="D49121" s="7">
        <v>2.81</v>
      </c>
    </row>
    <row r="49122" spans="1:4" x14ac:dyDescent="0.25">
      <c r="A49122" t="str">
        <f>HYPERLINK("https://www.773grp.com/globalSearch/BCR16CM-12LB-J6B01/page-1", "BCR16CM-12LB-J6B01")</f>
        <v>BCR16CM-12LB-J6B01</v>
      </c>
      <c r="B49122" s="3" t="str">
        <f>HYPERLINK("https://www.773grp.com/manufacturer/renesas-electronics-america-inc?pageNo=191", "Renesas Electronics")</f>
        <v>Renesas Electronics</v>
      </c>
      <c r="C49122" s="6">
        <v>25543</v>
      </c>
      <c r="D49122" s="7">
        <v>2.81</v>
      </c>
    </row>
    <row r="49123" spans="1:4" x14ac:dyDescent="0.25">
      <c r="A49123" t="str">
        <f>HYPERLINK("https://www.773grp.com/globalSearch/BCR8CS-12LA#B00/page-1", "BCR8CS-12LA#B00")</f>
        <v>BCR8CS-12LA#B00</v>
      </c>
      <c r="B49123" s="3" t="str">
        <f>HYPERLINK("https://www.773grp.com/manufacturer/renesas-electronics-america-inc?pageNo=192", "Renesas Electronics")</f>
        <v>Renesas Electronics</v>
      </c>
      <c r="C49123" s="6">
        <v>10157</v>
      </c>
      <c r="D49123" s="7">
        <v>2.81</v>
      </c>
    </row>
    <row r="49124" spans="1:4" x14ac:dyDescent="0.25">
      <c r="A49124" t="str">
        <f>HYPERLINK("https://www.773grp.com/globalSearch/FS30KM-3#B00/page-1", "FS30KM-3#B00")</f>
        <v>FS30KM-3#B00</v>
      </c>
      <c r="B49124" s="3" t="str">
        <f>HYPERLINK("https://www.773grp.com/manufacturer/renesas-electronics-america-inc?pageNo=193", "Renesas Electronics")</f>
        <v>Renesas Electronics</v>
      </c>
      <c r="C49124" s="6">
        <v>15128</v>
      </c>
      <c r="D49124" s="7">
        <v>2.81</v>
      </c>
    </row>
    <row r="49125" spans="1:4" x14ac:dyDescent="0.25">
      <c r="A49125" t="str">
        <f>HYPERLINK("https://www.773grp.com/globalSearch/HA17901P-E/page-1", "HA17901P-E")</f>
        <v>HA17901P-E</v>
      </c>
      <c r="B49125" s="3" t="str">
        <f>HYPERLINK("https://www.773grp.com/manufacturer/renesas-electronics-america-inc?pageNo=194", "Renesas Electronics")</f>
        <v>Renesas Electronics</v>
      </c>
      <c r="C49125" s="6">
        <v>952</v>
      </c>
      <c r="D49125" s="7">
        <v>2.81</v>
      </c>
    </row>
    <row r="49126" spans="1:4" x14ac:dyDescent="0.25">
      <c r="A49126" t="str">
        <f>HYPERLINK("https://www.773grp.com/globalSearch/HAT2172N-EL-E/page-1", "HAT2172N-EL-E")</f>
        <v>HAT2172N-EL-E</v>
      </c>
      <c r="B49126" s="3" t="str">
        <f>HYPERLINK("https://www.773grp.com/manufacturer/renesas-electronics-america-inc?pageNo=195", "Renesas Electronics")</f>
        <v>Renesas Electronics</v>
      </c>
      <c r="C49126" s="6">
        <v>27500</v>
      </c>
      <c r="D49126" s="7">
        <v>2.81</v>
      </c>
    </row>
    <row r="49127" spans="1:4" x14ac:dyDescent="0.25">
      <c r="A49127" t="str">
        <f>HYPERLINK("https://www.773grp.com/globalSearch/HN58X2516TIAG#S0/page-1", "HN58X2516TIAG#S0")</f>
        <v>HN58X2516TIAG#S0</v>
      </c>
      <c r="B49127" s="3" t="str">
        <f>HYPERLINK("https://www.773grp.com/manufacturer/renesas-electronics-america-inc?pageNo=196", "Renesas Electronics")</f>
        <v>Renesas Electronics</v>
      </c>
      <c r="C49127" s="6">
        <v>3000</v>
      </c>
      <c r="D49127" s="7">
        <v>2.81</v>
      </c>
    </row>
    <row r="49128" spans="1:4" x14ac:dyDescent="0.25">
      <c r="A49128" t="str">
        <f>HYPERLINK("https://www.773grp.com/globalSearch/M61529FP#TF0G/page-1", "M61529FP#TF0G")</f>
        <v>M61529FP#TF0G</v>
      </c>
      <c r="B49128" s="3" t="str">
        <f>HYPERLINK("https://www.773grp.com/manufacturer/renesas-electronics-america-inc?pageNo=197", "Renesas Electronics")</f>
        <v>Renesas Electronics</v>
      </c>
      <c r="C49128" s="6">
        <v>1570</v>
      </c>
      <c r="D49128" s="7">
        <v>2.81</v>
      </c>
    </row>
    <row r="49129" spans="1:4" x14ac:dyDescent="0.25">
      <c r="A49129" t="str">
        <f>HYPERLINK("https://www.773grp.com/globalSearch/M62429FP#CF0J/page-1", "M62429FP#CF0J")</f>
        <v>M62429FP#CF0J</v>
      </c>
      <c r="B49129" s="3" t="str">
        <f>HYPERLINK("https://www.773grp.com/manufacturer/renesas-electronics-america-inc?pageNo=198", "Renesas Electronics")</f>
        <v>Renesas Electronics</v>
      </c>
      <c r="C49129" s="6">
        <v>54000</v>
      </c>
      <c r="D49129" s="7">
        <v>2.81</v>
      </c>
    </row>
    <row r="49130" spans="1:4" x14ac:dyDescent="0.25">
      <c r="A49130" t="str">
        <f>HYPERLINK("https://www.773grp.com/globalSearch/R2A15909SP#U1/page-1", "R2A15909SP#U1")</f>
        <v>R2A15909SP#U1</v>
      </c>
      <c r="B49130" s="3" t="str">
        <f>HYPERLINK("https://www.773grp.com/manufacturer/renesas-electronics-america-inc?pageNo=199", "Renesas Electronics")</f>
        <v>Renesas Electronics</v>
      </c>
      <c r="C49130" s="6">
        <v>30</v>
      </c>
      <c r="D49130" s="7">
        <v>2.81</v>
      </c>
    </row>
    <row r="49131" spans="1:4" x14ac:dyDescent="0.25">
      <c r="A49131" t="str">
        <f>HYPERLINK("https://www.773grp.com/globalSearch/R2A20880FP#G0/page-1", "R2A20880FP#G0")</f>
        <v>R2A20880FP#G0</v>
      </c>
      <c r="B49131" s="3" t="str">
        <f>HYPERLINK("https://www.773grp.com/manufacturer/renesas-electronics-america-inc?pageNo=200", "Renesas Electronics")</f>
        <v>Renesas Electronics</v>
      </c>
      <c r="C49131" s="6">
        <v>6000</v>
      </c>
      <c r="D49131" s="7">
        <v>2.81</v>
      </c>
    </row>
    <row r="49132" spans="1:4" x14ac:dyDescent="0.25">
      <c r="A49132" t="str">
        <f>HYPERLINK("https://www.773grp.com/globalSearch/R2A30420NA#W00Z/page-1", "R2A30420NA#W00Z")</f>
        <v>R2A30420NA#W00Z</v>
      </c>
      <c r="B49132" s="3" t="str">
        <f>HYPERLINK("https://www.773grp.com/manufacturer/renesas-electronics-america-inc?pageNo=201", "Renesas Electronics")</f>
        <v>Renesas Electronics</v>
      </c>
      <c r="C49132" s="6">
        <v>565000</v>
      </c>
      <c r="D49132" s="7">
        <v>2.81</v>
      </c>
    </row>
    <row r="49133" spans="1:4" x14ac:dyDescent="0.25">
      <c r="A49133" t="str">
        <f>HYPERLINK("https://www.773grp.com/globalSearch/R8A66154SP#D1/page-1", "R8A66154SP#D1")</f>
        <v>R8A66154SP#D1</v>
      </c>
      <c r="B49133" s="3" t="str">
        <f>HYPERLINK("https://www.773grp.com/manufacturer/renesas-electronics-america-inc?pageNo=202", "Renesas Electronics")</f>
        <v>Renesas Electronics</v>
      </c>
      <c r="C49133" s="6">
        <v>2500</v>
      </c>
      <c r="D49133" s="7">
        <v>2.81</v>
      </c>
    </row>
    <row r="49134" spans="1:4" x14ac:dyDescent="0.25">
      <c r="A49134" t="str">
        <f>HYPERLINK("https://www.773grp.com/globalSearch/R8A66154SP#T1/page-1", "R8A66154SP#T1")</f>
        <v>R8A66154SP#T1</v>
      </c>
      <c r="B49134" s="3" t="str">
        <f>HYPERLINK("https://www.773grp.com/manufacturer/renesas-electronics-america-inc?pageNo=203", "Renesas Electronics")</f>
        <v>Renesas Electronics</v>
      </c>
      <c r="C49134" s="6">
        <v>965</v>
      </c>
      <c r="D49134" s="7">
        <v>2.81</v>
      </c>
    </row>
    <row r="49135" spans="1:4" x14ac:dyDescent="0.25">
      <c r="A49135" t="str">
        <f>HYPERLINK("https://www.773grp.com/globalSearch/RJH30H1DPP-M0#T2/page-1", "RJH30H1DPP-M0#T2")</f>
        <v>RJH30H1DPP-M0#T2</v>
      </c>
      <c r="B49135" s="3" t="str">
        <f>HYPERLINK("https://www.773grp.com/manufacturer/renesas-electronics-america-inc?pageNo=204", "Renesas Electronics")</f>
        <v>Renesas Electronics</v>
      </c>
      <c r="C49135" s="6">
        <v>357</v>
      </c>
      <c r="D49135" s="7">
        <v>2.81</v>
      </c>
    </row>
    <row r="49136" spans="1:4" x14ac:dyDescent="0.25">
      <c r="A49136" t="str">
        <f>HYPERLINK("https://www.773grp.com/globalSearch/RJH30H1DPP-M1#T2/page-1", "RJH30H1DPP-M1#T2")</f>
        <v>RJH30H1DPP-M1#T2</v>
      </c>
      <c r="B49136" s="3" t="str">
        <f>HYPERLINK("https://www.773grp.com/manufacturer/renesas-electronics-america-inc?pageNo=205", "Renesas Electronics")</f>
        <v>Renesas Electronics</v>
      </c>
      <c r="C49136" s="6">
        <v>10841</v>
      </c>
      <c r="D49136" s="7">
        <v>2.81</v>
      </c>
    </row>
    <row r="49137" spans="1:4" x14ac:dyDescent="0.25">
      <c r="A49137" t="str">
        <f>HYPERLINK("https://www.773grp.com/globalSearch/RJK03C0DPA-WS#J53/page-1", "RJK03C0DPA-WS#J53")</f>
        <v>RJK03C0DPA-WS#J53</v>
      </c>
      <c r="B49137" s="3" t="str">
        <f>HYPERLINK("https://www.773grp.com/manufacturer/renesas-electronics-america-inc?pageNo=206", "Renesas Electronics")</f>
        <v>Renesas Electronics</v>
      </c>
      <c r="C49137" s="6">
        <v>907</v>
      </c>
      <c r="D49137" s="7">
        <v>2.81</v>
      </c>
    </row>
    <row r="49138" spans="1:4" x14ac:dyDescent="0.25">
      <c r="A49138" t="str">
        <f>HYPERLINK("https://www.773grp.com/globalSearch/RJK03C0DPA-WS#J5A/page-1", "RJK03C0DPA-WS#J5A")</f>
        <v>RJK03C0DPA-WS#J5A</v>
      </c>
      <c r="B49138" s="3" t="str">
        <f>HYPERLINK("https://www.773grp.com/manufacturer/renesas-electronics-america-inc?pageNo=207", "Renesas Electronics")</f>
        <v>Renesas Electronics</v>
      </c>
      <c r="C49138" s="6">
        <v>2560</v>
      </c>
      <c r="D49138" s="7">
        <v>2.81</v>
      </c>
    </row>
    <row r="49139" spans="1:4" x14ac:dyDescent="0.25">
      <c r="A49139" t="str">
        <f>HYPERLINK("https://www.773grp.com/globalSearch/RJK03C5DPA-WS#J5A/page-1", "RJK03C5DPA-WS#J5A")</f>
        <v>RJK03C5DPA-WS#J5A</v>
      </c>
      <c r="B49139" s="3" t="str">
        <f>HYPERLINK("https://www.773grp.com/manufacturer/renesas-electronics-america-inc?pageNo=208", "Renesas Electronics")</f>
        <v>Renesas Electronics</v>
      </c>
      <c r="C49139" s="6">
        <v>2900</v>
      </c>
      <c r="D49139" s="7">
        <v>2.81</v>
      </c>
    </row>
    <row r="49140" spans="1:4" x14ac:dyDescent="0.25">
      <c r="A49140" t="str">
        <f>HYPERLINK("https://www.773grp.com/globalSearch/RJP30H1DPP-M1#T2/page-1", "RJP30H1DPP-M1#T2")</f>
        <v>RJP30H1DPP-M1#T2</v>
      </c>
      <c r="B49140" s="3" t="str">
        <f>HYPERLINK("https://www.773grp.com/manufacturer/renesas-electronics-america-inc?pageNo=209", "Renesas Electronics")</f>
        <v>Renesas Electronics</v>
      </c>
      <c r="C49140" s="6">
        <v>9068</v>
      </c>
      <c r="D49140" s="7">
        <v>2.81</v>
      </c>
    </row>
    <row r="49141" spans="1:4" x14ac:dyDescent="0.25">
      <c r="A49141" t="str">
        <f>HYPERLINK("https://www.773grp.com/globalSearch/RJP30H1DPP-M9#T2/page-1", "RJP30H1DPP-M9#T2")</f>
        <v>RJP30H1DPP-M9#T2</v>
      </c>
      <c r="B49141" s="3" t="str">
        <f>HYPERLINK("https://www.773grp.com/manufacturer/renesas-electronics-america-inc?pageNo=210", "Renesas Electronics")</f>
        <v>Renesas Electronics</v>
      </c>
      <c r="C49141" s="6">
        <v>6058</v>
      </c>
      <c r="D49141" s="7">
        <v>2.81</v>
      </c>
    </row>
    <row r="49142" spans="1:4" x14ac:dyDescent="0.25">
      <c r="A49142" t="str">
        <f>HYPERLINK("https://www.773grp.com/globalSearch/RJP30H1DPP-MZ#T2/page-1", "RJP30H1DPP-MZ#T2")</f>
        <v>RJP30H1DPP-MZ#T2</v>
      </c>
      <c r="B49142" s="3" t="str">
        <f>HYPERLINK("https://www.773grp.com/manufacturer/renesas-electronics-america-inc?pageNo=211", "Renesas Electronics")</f>
        <v>Renesas Electronics</v>
      </c>
      <c r="C49142" s="6">
        <v>2777</v>
      </c>
      <c r="D49142" s="7">
        <v>2.81</v>
      </c>
    </row>
    <row r="49143" spans="1:4" x14ac:dyDescent="0.25">
      <c r="A49143" t="str">
        <f>HYPERLINK("https://www.773grp.com/globalSearch/RJP30Y2ADPP-M9#T2F/page-1", "RJP30Y2ADPP-M9#T2F")</f>
        <v>RJP30Y2ADPP-M9#T2F</v>
      </c>
      <c r="B49143" s="3" t="str">
        <f>HYPERLINK("https://www.773grp.com/manufacturer/renesas-electronics-america-inc?pageNo=212", "Renesas Electronics")</f>
        <v>Renesas Electronics</v>
      </c>
      <c r="C49143" s="6">
        <v>103200</v>
      </c>
      <c r="D49143" s="7">
        <v>2.81</v>
      </c>
    </row>
    <row r="49144" spans="1:4" x14ac:dyDescent="0.25">
      <c r="A49144" t="str">
        <f>HYPERLINK("https://www.773grp.com/globalSearch/UPA2701TP-E2-AZ/page-1", "UPA2701TP-E2-AZ")</f>
        <v>UPA2701TP-E2-AZ</v>
      </c>
      <c r="B49144" s="3" t="str">
        <f>HYPERLINK("https://www.773grp.com/manufacturer/renesas-electronics-america-inc?pageNo=213", "Renesas Electronics")</f>
        <v>Renesas Electronics</v>
      </c>
      <c r="C49144" s="6">
        <v>2500</v>
      </c>
      <c r="D49144" s="7">
        <v>2.81</v>
      </c>
    </row>
    <row r="49145" spans="1:4" x14ac:dyDescent="0.25">
      <c r="A49145" t="str">
        <f>HYPERLINK("https://www.773grp.com/globalSearch/2SA1194KV/page-1", "2SA1194KV")</f>
        <v>2SA1194KV</v>
      </c>
      <c r="B49145" s="3" t="str">
        <f>HYPERLINK("https://www.773grp.com/manufacturer/renesas-electronics-america-inc?pageNo=214", "Renesas Electronics")</f>
        <v>Renesas Electronics</v>
      </c>
      <c r="C49145" s="6">
        <v>680</v>
      </c>
      <c r="D49145" s="7">
        <v>3.1</v>
      </c>
    </row>
    <row r="49146" spans="1:4" x14ac:dyDescent="0.25">
      <c r="A49146" t="str">
        <f>HYPERLINK("https://www.773grp.com/globalSearch/2SB1430-AZ/page-1", "2SB1430-AZ")</f>
        <v>2SB1430-AZ</v>
      </c>
      <c r="B49146" s="3" t="str">
        <f>HYPERLINK("https://www.773grp.com/manufacturer/renesas-electronics-america-inc?pageNo=215", "Renesas Electronics")</f>
        <v>Renesas Electronics</v>
      </c>
      <c r="C49146" s="6">
        <v>1937</v>
      </c>
      <c r="D49146" s="7">
        <v>3.1</v>
      </c>
    </row>
    <row r="49147" spans="1:4" x14ac:dyDescent="0.25">
      <c r="A49147" t="str">
        <f>HYPERLINK("https://www.773grp.com/globalSearch/74HC390FP-E/page-1", "74HC390FP-E")</f>
        <v>74HC390FP-E</v>
      </c>
      <c r="B49147" s="3" t="str">
        <f>HYPERLINK("https://www.773grp.com/manufacturer/renesas-electronics-america-inc?pageNo=216", "Renesas Electronics")</f>
        <v>Renesas Electronics</v>
      </c>
      <c r="C49147" s="6">
        <v>3000</v>
      </c>
      <c r="D49147" s="7">
        <v>3.1</v>
      </c>
    </row>
    <row r="49148" spans="1:4" x14ac:dyDescent="0.25">
      <c r="A49148" t="str">
        <f>HYPERLINK("https://www.773grp.com/globalSearch/74LS221FP-E/page-1", "74LS221FP-E")</f>
        <v>74LS221FP-E</v>
      </c>
      <c r="B49148" s="3" t="str">
        <f>HYPERLINK("https://www.773grp.com/manufacturer/renesas-electronics-america-inc?pageNo=217", "Renesas Electronics")</f>
        <v>Renesas Electronics</v>
      </c>
      <c r="C49148" s="6">
        <v>3000</v>
      </c>
      <c r="D49148" s="7">
        <v>3.1</v>
      </c>
    </row>
    <row r="49149" spans="1:4" x14ac:dyDescent="0.25">
      <c r="A49149" t="str">
        <f>HYPERLINK("https://www.773grp.com/globalSearch/74LS640FP-E/page-1", "74LS640FP-E")</f>
        <v>74LS640FP-E</v>
      </c>
      <c r="B49149" s="3" t="str">
        <f>HYPERLINK("https://www.773grp.com/manufacturer/renesas-electronics-america-inc?pageNo=218", "Renesas Electronics")</f>
        <v>Renesas Electronics</v>
      </c>
      <c r="C49149" s="6">
        <v>3000</v>
      </c>
      <c r="D49149" s="7">
        <v>3.1</v>
      </c>
    </row>
    <row r="49150" spans="1:4" x14ac:dyDescent="0.25">
      <c r="A49150" t="str">
        <f>HYPERLINK("https://www.773grp.com/globalSearch/R1EX24064ATA00I#S0/page-1", "R1EX24064ATA00I#S0")</f>
        <v>R1EX24064ATA00I#S0</v>
      </c>
      <c r="B49150" s="3" t="str">
        <f>HYPERLINK("https://www.773grp.com/manufacturer/renesas-electronics-america-inc?pageNo=219", "Renesas Electronics")</f>
        <v>Renesas Electronics</v>
      </c>
      <c r="C49150" s="6">
        <v>6000</v>
      </c>
      <c r="D49150" s="7">
        <v>3.1</v>
      </c>
    </row>
    <row r="49151" spans="1:4" x14ac:dyDescent="0.25">
      <c r="A49151" t="str">
        <f>HYPERLINK("https://www.773grp.com/globalSearch/RJK0213DPA-00#J53/page-1", "RJK0213DPA-00#J53")</f>
        <v>RJK0213DPA-00#J53</v>
      </c>
      <c r="B49151" s="3" t="str">
        <f>HYPERLINK("https://www.773grp.com/manufacturer/renesas-electronics-america-inc?pageNo=220", "Renesas Electronics")</f>
        <v>Renesas Electronics</v>
      </c>
      <c r="C49151" s="6">
        <v>111000</v>
      </c>
      <c r="D49151" s="7">
        <v>3.1</v>
      </c>
    </row>
    <row r="49152" spans="1:4" x14ac:dyDescent="0.25">
      <c r="A49152" t="str">
        <f>HYPERLINK("https://www.773grp.com/globalSearch/RJK0358DSP-WS#J0/page-1", "RJK0358DSP-WS#J0")</f>
        <v>RJK0358DSP-WS#J0</v>
      </c>
      <c r="B49152" s="3" t="str">
        <f>HYPERLINK("https://www.773grp.com/manufacturer/renesas-electronics-america-inc?pageNo=221", "Renesas Electronics")</f>
        <v>Renesas Electronics</v>
      </c>
      <c r="C49152" s="6">
        <v>1520</v>
      </c>
      <c r="D49152" s="7">
        <v>3.1</v>
      </c>
    </row>
    <row r="49153" spans="1:4" x14ac:dyDescent="0.25">
      <c r="A49153" t="str">
        <f>HYPERLINK("https://www.773grp.com/globalSearch/2SD768K01-E#00/page-1", "2SD768K01-E#00")</f>
        <v>2SD768K01-E#00</v>
      </c>
      <c r="B49153" s="3" t="str">
        <f>HYPERLINK("https://www.773grp.com/manufacturer/renesas-electronics-america-inc?pageNo=222", "Renesas Electronics")</f>
        <v>Renesas Electronics</v>
      </c>
      <c r="C49153" s="6">
        <v>3171</v>
      </c>
      <c r="D49153" s="7">
        <v>2.84</v>
      </c>
    </row>
    <row r="49154" spans="1:4" x14ac:dyDescent="0.25">
      <c r="A49154" t="str">
        <f>HYPERLINK("https://www.773grp.com/globalSearch/5P6SMA-AZ/page-1", "5P6SMA-AZ")</f>
        <v>5P6SMA-AZ</v>
      </c>
      <c r="B49154" s="3" t="str">
        <f>HYPERLINK("https://www.773grp.com/manufacturer/renesas-electronics-america-inc?pageNo=223", "Renesas Electronics")</f>
        <v>Renesas Electronics</v>
      </c>
      <c r="C49154" s="6">
        <v>712</v>
      </c>
      <c r="D49154" s="7">
        <v>2.84</v>
      </c>
    </row>
    <row r="49155" spans="1:4" x14ac:dyDescent="0.25">
      <c r="A49155" t="str">
        <f>HYPERLINK("https://www.773grp.com/globalSearch/BCR12KM-12LA-1A8X2/page-1", "BCR12KM-12LA-1A8X2")</f>
        <v>BCR12KM-12LA-1A8X2</v>
      </c>
      <c r="B49155" s="3" t="str">
        <f>HYPERLINK("https://www.773grp.com/manufacturer/renesas-electronics-america-inc?pageNo=224", "Renesas Electronics")</f>
        <v>Renesas Electronics</v>
      </c>
      <c r="C49155" s="6">
        <v>88729</v>
      </c>
      <c r="D49155" s="7">
        <v>2.84</v>
      </c>
    </row>
    <row r="49156" spans="1:4" x14ac:dyDescent="0.25">
      <c r="A49156" t="str">
        <f>HYPERLINK("https://www.773grp.com/globalSearch/BCR12KM-12LA-A8#X2/page-1", "BCR12KM-12LA-A8#X2")</f>
        <v>BCR12KM-12LA-A8#X2</v>
      </c>
      <c r="B49156" s="3" t="str">
        <f>HYPERLINK("https://www.773grp.com/manufacturer/renesas-electronics-america-inc?pageNo=225", "Renesas Electronics")</f>
        <v>Renesas Electronics</v>
      </c>
      <c r="C49156" s="6">
        <v>803</v>
      </c>
      <c r="D49156" s="7">
        <v>2.84</v>
      </c>
    </row>
    <row r="49157" spans="1:4" x14ac:dyDescent="0.25">
      <c r="A49157" t="str">
        <f>HYPERLINK("https://www.773grp.com/globalSearch/BCR12KM-12LA-AS#X2/page-1", "BCR12KM-12LA-AS#X2")</f>
        <v>BCR12KM-12LA-AS#X2</v>
      </c>
      <c r="B49157" s="3" t="str">
        <f>HYPERLINK("https://www.773grp.com/manufacturer/renesas-electronics-america-inc?pageNo=226", "Renesas Electronics")</f>
        <v>Renesas Electronics</v>
      </c>
      <c r="C49157" s="6">
        <v>1474</v>
      </c>
      <c r="D49157" s="7">
        <v>2.84</v>
      </c>
    </row>
    <row r="49158" spans="1:4" x14ac:dyDescent="0.25">
      <c r="A49158" t="str">
        <f>HYPERLINK("https://www.773grp.com/globalSearch/BCR3KM-12LA-1A6#X3/page-1", "BCR3KM-12LA-1A6#X3")</f>
        <v>BCR3KM-12LA-1A6#X3</v>
      </c>
      <c r="B49158" s="3" t="str">
        <f>HYPERLINK("https://www.773grp.com/manufacturer/renesas-electronics-america-inc?pageNo=227", "Renesas Electronics")</f>
        <v>Renesas Electronics</v>
      </c>
      <c r="C49158" s="6">
        <v>1162</v>
      </c>
      <c r="D49158" s="7">
        <v>2.84</v>
      </c>
    </row>
    <row r="49159" spans="1:4" x14ac:dyDescent="0.25">
      <c r="A49159" t="str">
        <f>HYPERLINK("https://www.773grp.com/globalSearch/BCR3KM-12RA-1#B00/page-1", "BCR3KM-12RA-1#B00")</f>
        <v>BCR3KM-12RA-1#B00</v>
      </c>
      <c r="B49159" s="3" t="str">
        <f>HYPERLINK("https://www.773grp.com/manufacturer/renesas-electronics-america-inc?pageNo=228", "Renesas Electronics")</f>
        <v>Renesas Electronics</v>
      </c>
      <c r="C49159" s="6">
        <v>37918</v>
      </c>
      <c r="D49159" s="7">
        <v>2.84</v>
      </c>
    </row>
    <row r="49160" spans="1:4" x14ac:dyDescent="0.25">
      <c r="A49160" t="str">
        <f>HYPERLINK("https://www.773grp.com/globalSearch/BCR3KM-12RA1AT#B00/page-1", "BCR3KM-12RA1AT#B00")</f>
        <v>BCR3KM-12RA1AT#B00</v>
      </c>
      <c r="B49160" s="3" t="str">
        <f>HYPERLINK("https://www.773grp.com/manufacturer/renesas-electronics-america-inc?pageNo=229", "Renesas Electronics")</f>
        <v>Renesas Electronics</v>
      </c>
      <c r="C49160" s="6">
        <v>7869</v>
      </c>
      <c r="D49160" s="7">
        <v>2.84</v>
      </c>
    </row>
    <row r="49161" spans="1:4" x14ac:dyDescent="0.25">
      <c r="A49161" t="str">
        <f>HYPERLINK("https://www.773grp.com/globalSearch/BCR3KM-12RA-A9#B00/page-1", "BCR3KM-12RA-A9#B00")</f>
        <v>BCR3KM-12RA-A9#B00</v>
      </c>
      <c r="B49161" s="3" t="str">
        <f>HYPERLINK("https://www.773grp.com/manufacturer/renesas-electronics-america-inc?pageNo=230", "Renesas Electronics")</f>
        <v>Renesas Electronics</v>
      </c>
      <c r="C49161" s="6">
        <v>2040</v>
      </c>
      <c r="D49161" s="7">
        <v>2.84</v>
      </c>
    </row>
    <row r="49162" spans="1:4" x14ac:dyDescent="0.25">
      <c r="A49162" t="str">
        <f>HYPERLINK("https://www.773grp.com/globalSearch/M62005L#TF0J/page-1", "M62005L#TF0J")</f>
        <v>M62005L#TF0J</v>
      </c>
      <c r="B49162" s="3" t="str">
        <f>HYPERLINK("https://www.773grp.com/manufacturer/renesas-electronics-america-inc?pageNo=231", "Renesas Electronics")</f>
        <v>Renesas Electronics</v>
      </c>
      <c r="C49162" s="6">
        <v>3748</v>
      </c>
      <c r="D49162" s="7">
        <v>2.84</v>
      </c>
    </row>
    <row r="49163" spans="1:4" x14ac:dyDescent="0.25">
      <c r="A49163" t="str">
        <f>HYPERLINK("https://www.773grp.com/globalSearch/M62504FP#DF0G/page-1", "M62504FP#DF0G")</f>
        <v>M62504FP#DF0G</v>
      </c>
      <c r="B49163" s="3" t="str">
        <f>HYPERLINK("https://www.773grp.com/manufacturer/renesas-electronics-america-inc?pageNo=232", "Renesas Electronics")</f>
        <v>Renesas Electronics</v>
      </c>
      <c r="C49163" s="6">
        <v>2000</v>
      </c>
      <c r="D49163" s="7">
        <v>2.84</v>
      </c>
    </row>
    <row r="49164" spans="1:4" x14ac:dyDescent="0.25">
      <c r="A49164" t="str">
        <f>HYPERLINK("https://www.773grp.com/globalSearch/R2A30421BM#W00B/page-1", "R2A30421BM#W00B")</f>
        <v>R2A30421BM#W00B</v>
      </c>
      <c r="B49164" s="3" t="str">
        <f>HYPERLINK("https://www.773grp.com/manufacturer/renesas-electronics-america-inc?pageNo=233", "Renesas Electronics")</f>
        <v>Renesas Electronics</v>
      </c>
      <c r="C49164" s="6">
        <v>48000</v>
      </c>
      <c r="D49164" s="7">
        <v>2.84</v>
      </c>
    </row>
    <row r="49165" spans="1:4" x14ac:dyDescent="0.25">
      <c r="A49165" t="str">
        <f>HYPERLINK("https://www.773grp.com/globalSearch/2SA1008-AZ/page-1", "2SA1008-AZ")</f>
        <v>2SA1008-AZ</v>
      </c>
      <c r="B49165" s="3" t="str">
        <f>HYPERLINK("https://www.773grp.com/manufacturer/renesas-electronics-america-inc?pageNo=234", "Renesas Electronics")</f>
        <v>Renesas Electronics</v>
      </c>
      <c r="C49165" s="6">
        <v>27903</v>
      </c>
      <c r="D49165" s="7">
        <v>3.18</v>
      </c>
    </row>
    <row r="49166" spans="1:4" x14ac:dyDescent="0.25">
      <c r="A49166" t="str">
        <f>HYPERLINK("https://www.773grp.com/globalSearch/74HC166FP-E/page-1", "74HC166FP-E")</f>
        <v>74HC166FP-E</v>
      </c>
      <c r="B49166" s="3" t="str">
        <f>HYPERLINK("https://www.773grp.com/manufacturer/renesas-electronics-america-inc?pageNo=235", "Renesas Electronics")</f>
        <v>Renesas Electronics</v>
      </c>
      <c r="C49166" s="6">
        <v>1000</v>
      </c>
      <c r="D49166" s="7">
        <v>3.18</v>
      </c>
    </row>
    <row r="49167" spans="1:4" x14ac:dyDescent="0.25">
      <c r="A49167" t="str">
        <f>HYPERLINK("https://www.773grp.com/globalSearch/74HC166FPEL-E/page-1", "74HC166FPEL-E")</f>
        <v>74HC166FPEL-E</v>
      </c>
      <c r="B49167" s="3" t="str">
        <f>HYPERLINK("https://www.773grp.com/manufacturer/renesas-electronics-america-inc?pageNo=236", "Renesas Electronics")</f>
        <v>Renesas Electronics</v>
      </c>
      <c r="C49167" s="6">
        <v>2000</v>
      </c>
      <c r="D49167" s="7">
        <v>3.18</v>
      </c>
    </row>
    <row r="49168" spans="1:4" x14ac:dyDescent="0.25">
      <c r="A49168" t="str">
        <f>HYPERLINK("https://www.773grp.com/globalSearch/74HC4511FP-E/page-1", "74HC4511FP-E")</f>
        <v>74HC4511FP-E</v>
      </c>
      <c r="B49168" s="3" t="str">
        <f>HYPERLINK("https://www.773grp.com/manufacturer/renesas-electronics-america-inc?pageNo=237", "Renesas Electronics")</f>
        <v>Renesas Electronics</v>
      </c>
      <c r="C49168" s="6">
        <v>6994</v>
      </c>
      <c r="D49168" s="7">
        <v>3.18</v>
      </c>
    </row>
    <row r="49169" spans="1:4" x14ac:dyDescent="0.25">
      <c r="A49169" t="str">
        <f>HYPERLINK("https://www.773grp.com/globalSearch/74HC4511FPEL-E/page-1", "74HC4511FPEL-E")</f>
        <v>74HC4511FPEL-E</v>
      </c>
      <c r="B49169" s="3" t="str">
        <f>HYPERLINK("https://www.773grp.com/manufacturer/renesas-electronics-america-inc?pageNo=238", "Renesas Electronics")</f>
        <v>Renesas Electronics</v>
      </c>
      <c r="C49169" s="6">
        <v>2000</v>
      </c>
      <c r="D49169" s="7">
        <v>3.18</v>
      </c>
    </row>
    <row r="49170" spans="1:4" x14ac:dyDescent="0.25">
      <c r="A49170" t="str">
        <f>HYPERLINK("https://www.773grp.com/globalSearch/74LS166AP-E/page-1", "74LS166AP-E")</f>
        <v>74LS166AP-E</v>
      </c>
      <c r="B49170" s="3" t="str">
        <f>HYPERLINK("https://www.773grp.com/manufacturer/renesas-electronics-america-inc?pageNo=239", "Renesas Electronics")</f>
        <v>Renesas Electronics</v>
      </c>
      <c r="C49170" s="6">
        <v>3000</v>
      </c>
      <c r="D49170" s="7">
        <v>3.18</v>
      </c>
    </row>
    <row r="49171" spans="1:4" x14ac:dyDescent="0.25">
      <c r="A49171" t="str">
        <f>HYPERLINK("https://www.773grp.com/globalSearch/BCR5AM-12LB#B01/page-1", "BCR5AM-12LB#B01")</f>
        <v>BCR5AM-12LB#B01</v>
      </c>
      <c r="B49171" s="3" t="str">
        <f>HYPERLINK("https://www.773grp.com/manufacturer/renesas-electronics-america-inc?pageNo=240", "Renesas Electronics")</f>
        <v>Renesas Electronics</v>
      </c>
      <c r="C49171" s="6">
        <v>1145</v>
      </c>
      <c r="D49171" s="7">
        <v>3.18</v>
      </c>
    </row>
    <row r="49172" spans="1:4" x14ac:dyDescent="0.25">
      <c r="A49172" t="str">
        <f>HYPERLINK("https://www.773grp.com/globalSearch/FX6ASJ-2-T13#B00/page-1", "FX6ASJ-2-T13#B00")</f>
        <v>FX6ASJ-2-T13#B00</v>
      </c>
      <c r="B49172" s="3" t="str">
        <f>HYPERLINK("https://www.773grp.com/manufacturer/renesas-electronics-america-inc?pageNo=241", "Renesas Electronics")</f>
        <v>Renesas Electronics</v>
      </c>
      <c r="C49172" s="6">
        <v>132000</v>
      </c>
      <c r="D49172" s="7">
        <v>3.18</v>
      </c>
    </row>
    <row r="49173" spans="1:4" x14ac:dyDescent="0.25">
      <c r="A49173" t="str">
        <f>HYPERLINK("https://www.773grp.com/globalSearch/M5295FP#CF0J/page-1", "M5295FP#CF0J")</f>
        <v>M5295FP#CF0J</v>
      </c>
      <c r="B49173" s="3" t="str">
        <f>HYPERLINK("https://www.773grp.com/manufacturer/renesas-electronics-america-inc?pageNo=242", "Renesas Electronics")</f>
        <v>Renesas Electronics</v>
      </c>
      <c r="C49173" s="6">
        <v>9000</v>
      </c>
      <c r="D49173" s="7">
        <v>3.18</v>
      </c>
    </row>
    <row r="49174" spans="1:4" x14ac:dyDescent="0.25">
      <c r="A49174" t="str">
        <f>HYPERLINK("https://www.773grp.com/globalSearch/RJK0381DPA-WS#J53/page-1", "RJK0381DPA-WS#J53")</f>
        <v>RJK0381DPA-WS#J53</v>
      </c>
      <c r="B49174" s="3" t="str">
        <f>HYPERLINK("https://www.773grp.com/manufacturer/renesas-electronics-america-inc?pageNo=243", "Renesas Electronics")</f>
        <v>Renesas Electronics</v>
      </c>
      <c r="C49174" s="6">
        <v>2110</v>
      </c>
      <c r="D49174" s="7">
        <v>3.18</v>
      </c>
    </row>
    <row r="49175" spans="1:4" x14ac:dyDescent="0.25">
      <c r="A49175" t="str">
        <f>HYPERLINK("https://www.773grp.com/globalSearch/2SA1652-AZ/page-1", "2SA1652-AZ")</f>
        <v>2SA1652-AZ</v>
      </c>
      <c r="B49175" s="3" t="str">
        <f>HYPERLINK("https://www.773grp.com/manufacturer/renesas-electronics-america-inc?pageNo=244", "Renesas Electronics")</f>
        <v>Renesas Electronics</v>
      </c>
      <c r="C49175" s="6">
        <v>729</v>
      </c>
      <c r="D49175" s="7">
        <v>2.88</v>
      </c>
    </row>
    <row r="49176" spans="1:4" x14ac:dyDescent="0.25">
      <c r="A49176" t="str">
        <f>HYPERLINK("https://www.773grp.com/globalSearch/BCR8KM-14LA#B00/page-1", "BCR8KM-14LA#B00")</f>
        <v>BCR8KM-14LA#B00</v>
      </c>
      <c r="B49176" s="3" t="str">
        <f>HYPERLINK("https://www.773grp.com/manufacturer/renesas-electronics-america-inc?pageNo=245", "Renesas Electronics")</f>
        <v>Renesas Electronics</v>
      </c>
      <c r="C49176" s="6">
        <v>22470</v>
      </c>
      <c r="D49176" s="7">
        <v>2.88</v>
      </c>
    </row>
    <row r="49177" spans="1:4" x14ac:dyDescent="0.25">
      <c r="A49177" t="str">
        <f>HYPERLINK("https://www.773grp.com/globalSearch/BCR8KM-12LB-A8#B00/page-1", "BCR8KM-12LB-A8#B00")</f>
        <v>BCR8KM-12LB-A8#B00</v>
      </c>
      <c r="B49177" s="3" t="str">
        <f>HYPERLINK("https://www.773grp.com/manufacturer/renesas-electronics-america-inc?pageNo=246", "Renesas Electronics")</f>
        <v>Renesas Electronics</v>
      </c>
      <c r="C49177" s="6">
        <v>70534</v>
      </c>
      <c r="D49177" s="7">
        <v>2.9</v>
      </c>
    </row>
    <row r="49178" spans="1:4" x14ac:dyDescent="0.25">
      <c r="A49178" t="str">
        <f>HYPERLINK("https://www.773grp.com/globalSearch/74HC01FP-E/page-1", "74HC01FP-E")</f>
        <v>74HC01FP-E</v>
      </c>
      <c r="B49178" s="3" t="str">
        <f>HYPERLINK("https://www.773grp.com/manufacturer/renesas-electronics-america-inc?pageNo=247", "Renesas Electronics")</f>
        <v>Renesas Electronics</v>
      </c>
      <c r="C49178" s="6">
        <v>995</v>
      </c>
      <c r="D49178" s="7">
        <v>3.23</v>
      </c>
    </row>
    <row r="49179" spans="1:4" x14ac:dyDescent="0.25">
      <c r="A49179" t="str">
        <f>HYPERLINK("https://www.773grp.com/globalSearch/74HC151FPEL-E/page-1", "74HC151FPEL-E")</f>
        <v>74HC151FPEL-E</v>
      </c>
      <c r="B49179" s="3" t="str">
        <f>HYPERLINK("https://www.773grp.com/manufacturer/renesas-electronics-america-inc?pageNo=248", "Renesas Electronics")</f>
        <v>Renesas Electronics</v>
      </c>
      <c r="C49179" s="6">
        <v>6000</v>
      </c>
      <c r="D49179" s="7">
        <v>3.23</v>
      </c>
    </row>
    <row r="49180" spans="1:4" x14ac:dyDescent="0.25">
      <c r="A49180" t="str">
        <f>HYPERLINK("https://www.773grp.com/globalSearch/74HC366FPEL-E/page-1", "74HC366FPEL-E")</f>
        <v>74HC366FPEL-E</v>
      </c>
      <c r="B49180" s="3" t="str">
        <f>HYPERLINK("https://www.773grp.com/manufacturer/renesas-electronics-america-inc?pageNo=249", "Renesas Electronics")</f>
        <v>Renesas Electronics</v>
      </c>
      <c r="C49180" s="6">
        <v>44000</v>
      </c>
      <c r="D49180" s="7">
        <v>3.23</v>
      </c>
    </row>
    <row r="49181" spans="1:4" x14ac:dyDescent="0.25">
      <c r="A49181" t="str">
        <f>HYPERLINK("https://www.773grp.com/globalSearch/74HC4518P-E/page-1", "74HC4518P-E")</f>
        <v>74HC4518P-E</v>
      </c>
      <c r="B49181" s="3" t="str">
        <f>HYPERLINK("https://www.773grp.com/manufacturer/renesas-electronics-america-inc?pageNo=250", "Renesas Electronics")</f>
        <v>Renesas Electronics</v>
      </c>
      <c r="C49181" s="6">
        <v>2000</v>
      </c>
      <c r="D49181" s="7">
        <v>3.23</v>
      </c>
    </row>
    <row r="49182" spans="1:4" x14ac:dyDescent="0.25">
      <c r="A49182" t="str">
        <f>HYPERLINK("https://www.773grp.com/globalSearch/BCR3KM-12RB-1AR#B1/page-1", "BCR3KM-12RB-1AR#B1")</f>
        <v>BCR3KM-12RB-1AR#B1</v>
      </c>
      <c r="B49182" s="3" t="str">
        <f>HYPERLINK("https://www.773grp.com/manufacturer/renesas-electronics-america-inc?pageNo=251", "Renesas Electronics")</f>
        <v>Renesas Electronics</v>
      </c>
      <c r="C49182" s="6">
        <v>24470</v>
      </c>
      <c r="D49182" s="7">
        <v>3.23</v>
      </c>
    </row>
    <row r="49183" spans="1:4" x14ac:dyDescent="0.25">
      <c r="A49183" t="str">
        <f>HYPERLINK("https://www.773grp.com/globalSearch/BCR5PM-12LA-A8/page-1", "BCR5PM-12LA-A8")</f>
        <v>BCR5PM-12LA-A8</v>
      </c>
      <c r="B49183" s="3" t="str">
        <f>HYPERLINK("https://www.773grp.com/manufacturer/renesas-electronics-america-inc?pageNo=252", "Renesas Electronics")</f>
        <v>Renesas Electronics</v>
      </c>
      <c r="C49183" s="6">
        <v>1028</v>
      </c>
      <c r="D49183" s="7">
        <v>3.23</v>
      </c>
    </row>
    <row r="49184" spans="1:4" x14ac:dyDescent="0.25">
      <c r="A49184" t="str">
        <f>HYPERLINK("https://www.773grp.com/globalSearch/HAT2028RJ-EL/page-1", "HAT2028RJ-EL")</f>
        <v>HAT2028RJ-EL</v>
      </c>
      <c r="B49184" s="3" t="str">
        <f>HYPERLINK("https://www.773grp.com/manufacturer/renesas-electronics-america-inc?pageNo=253", "Renesas Electronics")</f>
        <v>Renesas Electronics</v>
      </c>
      <c r="C49184" s="6">
        <v>12500</v>
      </c>
      <c r="D49184" s="7">
        <v>3.23</v>
      </c>
    </row>
    <row r="49185" spans="1:4" x14ac:dyDescent="0.25">
      <c r="A49185" t="str">
        <f>HYPERLINK("https://www.773grp.com/globalSearch/HN58X2402SFPI#S0/page-1", "HN58X2402SFPI#S0")</f>
        <v>HN58X2402SFPI#S0</v>
      </c>
      <c r="B49185" s="3" t="str">
        <f>HYPERLINK("https://www.773grp.com/manufacturer/renesas-electronics-america-inc?pageNo=254", "Renesas Electronics")</f>
        <v>Renesas Electronics</v>
      </c>
      <c r="C49185" s="6">
        <v>2500</v>
      </c>
      <c r="D49185" s="7">
        <v>3.23</v>
      </c>
    </row>
    <row r="49186" spans="1:4" x14ac:dyDescent="0.25">
      <c r="A49186" t="str">
        <f>HYPERLINK("https://www.773grp.com/globalSearch/HAT1139H-EL-E/page-1", "HAT1139H-EL-E")</f>
        <v>HAT1139H-EL-E</v>
      </c>
      <c r="B49186" s="3" t="str">
        <f>HYPERLINK("https://www.773grp.com/manufacturer/renesas-electronics-america-inc?pageNo=255", "Renesas Electronics")</f>
        <v>Renesas Electronics</v>
      </c>
      <c r="C49186" s="6">
        <v>2500</v>
      </c>
      <c r="D49186" s="7">
        <v>2.93</v>
      </c>
    </row>
    <row r="49187" spans="1:4" x14ac:dyDescent="0.25">
      <c r="A49187" t="str">
        <f>HYPERLINK("https://www.773grp.com/globalSearch/HAT2195WP-EL-E/page-1", "HAT2195WP-EL-E")</f>
        <v>HAT2195WP-EL-E</v>
      </c>
      <c r="B49187" s="3" t="str">
        <f>HYPERLINK("https://www.773grp.com/manufacturer/renesas-electronics-america-inc?pageNo=256", "Renesas Electronics")</f>
        <v>Renesas Electronics</v>
      </c>
      <c r="C49187" s="6">
        <v>7500</v>
      </c>
      <c r="D49187" s="7">
        <v>2.93</v>
      </c>
    </row>
    <row r="49188" spans="1:4" x14ac:dyDescent="0.25">
      <c r="A49188" t="str">
        <f>HYPERLINK("https://www.773grp.com/globalSearch/2SD2163-AZ/page-1", "2SD2163-AZ")</f>
        <v>2SD2163-AZ</v>
      </c>
      <c r="B49188" s="3" t="str">
        <f>HYPERLINK("https://www.773grp.com/manufacturer/renesas-electronics-america-inc?pageNo=257", "Renesas Electronics")</f>
        <v>Renesas Electronics</v>
      </c>
      <c r="C49188" s="6">
        <v>815</v>
      </c>
      <c r="D49188" s="7">
        <v>2.95</v>
      </c>
    </row>
    <row r="49189" spans="1:4" x14ac:dyDescent="0.25">
      <c r="A49189" t="str">
        <f>HYPERLINK("https://www.773grp.com/globalSearch/2SJ387L-E/page-1", "2SJ387L-E")</f>
        <v>2SJ387L-E</v>
      </c>
      <c r="B49189" s="3" t="str">
        <f>HYPERLINK("https://www.773grp.com/manufacturer/renesas-electronics-america-inc?pageNo=258", "Renesas Electronics")</f>
        <v>Renesas Electronics</v>
      </c>
      <c r="C49189" s="6">
        <v>727</v>
      </c>
      <c r="D49189" s="7">
        <v>2.95</v>
      </c>
    </row>
    <row r="49190" spans="1:4" x14ac:dyDescent="0.25">
      <c r="A49190" t="str">
        <f>HYPERLINK("https://www.773grp.com/globalSearch/2SK213-E/page-1", "2SK213-E")</f>
        <v>2SK213-E</v>
      </c>
      <c r="B49190" s="3" t="str">
        <f>HYPERLINK("https://www.773grp.com/manufacturer/renesas-electronics-america-inc?pageNo=259", "Renesas Electronics")</f>
        <v>Renesas Electronics</v>
      </c>
      <c r="C49190" s="6">
        <v>1627</v>
      </c>
      <c r="D49190" s="7">
        <v>2.95</v>
      </c>
    </row>
    <row r="49191" spans="1:4" x14ac:dyDescent="0.25">
      <c r="A49191" t="str">
        <f>HYPERLINK("https://www.773grp.com/globalSearch/AC05FSMA-AZ/page-1", "AC05FSMA-AZ")</f>
        <v>AC05FSMA-AZ</v>
      </c>
      <c r="B49191" s="3" t="str">
        <f>HYPERLINK("https://www.773grp.com/manufacturer/renesas-electronics-america-inc?pageNo=260", "Renesas Electronics")</f>
        <v>Renesas Electronics</v>
      </c>
      <c r="C49191" s="6">
        <v>969</v>
      </c>
      <c r="D49191" s="7">
        <v>2.95</v>
      </c>
    </row>
    <row r="49192" spans="1:4" x14ac:dyDescent="0.25">
      <c r="A49192" t="str">
        <f>HYPERLINK("https://www.773grp.com/globalSearch/RJK0349DPA-WS#J0/page-1", "RJK0349DPA-WS#J0")</f>
        <v>RJK0349DPA-WS#J0</v>
      </c>
      <c r="B49192" s="3" t="str">
        <f>HYPERLINK("https://www.773grp.com/manufacturer/renesas-electronics-america-inc?pageNo=261", "Renesas Electronics")</f>
        <v>Renesas Electronics</v>
      </c>
      <c r="C49192" s="6">
        <v>1180</v>
      </c>
      <c r="D49192" s="7">
        <v>2.95</v>
      </c>
    </row>
    <row r="49193" spans="1:4" x14ac:dyDescent="0.25">
      <c r="A49193" t="str">
        <f>HYPERLINK("https://www.773grp.com/globalSearch/UPC16315HF-AZ/page-1", "UPC16315HF-AZ")</f>
        <v>UPC16315HF-AZ</v>
      </c>
      <c r="B49193" s="3" t="str">
        <f>HYPERLINK("https://www.773grp.com/manufacturer/renesas-electronics-america-inc?pageNo=262", "Renesas Electronics")</f>
        <v>Renesas Electronics</v>
      </c>
      <c r="C49193" s="6">
        <v>2397</v>
      </c>
      <c r="D49193" s="7">
        <v>2.95</v>
      </c>
    </row>
    <row r="49194" spans="1:4" x14ac:dyDescent="0.25">
      <c r="A49194" t="str">
        <f>HYPERLINK("https://www.773grp.com/globalSearch/2SK973L-E/page-1", "2SK973L-E")</f>
        <v>2SK973L-E</v>
      </c>
      <c r="B49194" s="3" t="str">
        <f>HYPERLINK("https://www.773grp.com/manufacturer/renesas-electronics-america-inc?pageNo=263", "Renesas Electronics")</f>
        <v>Renesas Electronics</v>
      </c>
      <c r="C49194" s="6">
        <v>3229</v>
      </c>
      <c r="D49194" s="7">
        <v>3.28</v>
      </c>
    </row>
    <row r="49195" spans="1:4" x14ac:dyDescent="0.25">
      <c r="A49195" t="str">
        <f>HYPERLINK("https://www.773grp.com/globalSearch/5P6J-ZK-E1-AZ/page-1", "5P6J-ZK-E1-AZ")</f>
        <v>5P6J-ZK-E1-AZ</v>
      </c>
      <c r="B49195" s="3" t="str">
        <f>HYPERLINK("https://www.773grp.com/manufacturer/renesas-electronics-america-inc?pageNo=264", "Renesas Electronics")</f>
        <v>Renesas Electronics</v>
      </c>
      <c r="C49195" s="6">
        <v>17500</v>
      </c>
      <c r="D49195" s="7">
        <v>3.28</v>
      </c>
    </row>
    <row r="49196" spans="1:4" x14ac:dyDescent="0.25">
      <c r="A49196" t="str">
        <f>HYPERLINK("https://www.773grp.com/globalSearch/74HC597FPEL-E/page-1", "74HC597FPEL-E")</f>
        <v>74HC597FPEL-E</v>
      </c>
      <c r="B49196" s="3" t="str">
        <f>HYPERLINK("https://www.773grp.com/manufacturer/renesas-electronics-america-inc?pageNo=265", "Renesas Electronics")</f>
        <v>Renesas Electronics</v>
      </c>
      <c r="C49196" s="6">
        <v>14000</v>
      </c>
      <c r="D49196" s="7">
        <v>3.28</v>
      </c>
    </row>
    <row r="49197" spans="1:4" x14ac:dyDescent="0.25">
      <c r="A49197" t="str">
        <f>HYPERLINK("https://www.773grp.com/globalSearch/74LS393P-E/page-1", "74LS393P-E")</f>
        <v>74LS393P-E</v>
      </c>
      <c r="B49197" s="3" t="str">
        <f>HYPERLINK("https://www.773grp.com/manufacturer/renesas-electronics-america-inc?pageNo=266", "Renesas Electronics")</f>
        <v>Renesas Electronics</v>
      </c>
      <c r="C49197" s="6">
        <v>4000</v>
      </c>
      <c r="D49197" s="7">
        <v>3.28</v>
      </c>
    </row>
    <row r="49198" spans="1:4" x14ac:dyDescent="0.25">
      <c r="A49198" t="str">
        <f>HYPERLINK("https://www.773grp.com/globalSearch/HD74HC4051FPK/page-1", "HD74HC4051FPK")</f>
        <v>HD74HC4051FPK</v>
      </c>
      <c r="B49198" s="3" t="str">
        <f>HYPERLINK("https://www.773grp.com/manufacturer/renesas-electronics-america-inc?pageNo=267", "Renesas Electronics")</f>
        <v>Renesas Electronics</v>
      </c>
      <c r="C49198" s="6">
        <v>2000</v>
      </c>
      <c r="D49198" s="7">
        <v>3.28</v>
      </c>
    </row>
    <row r="49199" spans="1:4" x14ac:dyDescent="0.25">
      <c r="A49199" t="str">
        <f>HYPERLINK("https://www.773grp.com/globalSearch/UPA2720GR-E1-A/page-1", "UPA2720GR-E1-A")</f>
        <v>UPA2720GR-E1-A</v>
      </c>
      <c r="B49199" s="3" t="str">
        <f>HYPERLINK("https://www.773grp.com/manufacturer/renesas-electronics-america-inc?pageNo=268", "Renesas Electronics")</f>
        <v>Renesas Electronics</v>
      </c>
      <c r="C49199" s="6">
        <v>2500</v>
      </c>
      <c r="D49199" s="7">
        <v>3.28</v>
      </c>
    </row>
    <row r="49200" spans="1:4" x14ac:dyDescent="0.25">
      <c r="A49200" t="str">
        <f>HYPERLINK("https://www.773grp.com/globalSearch/74HC533FPEL-E/page-1", "74HC533FPEL-E")</f>
        <v>74HC533FPEL-E</v>
      </c>
      <c r="B49200" s="3" t="str">
        <f>HYPERLINK("https://www.773grp.com/manufacturer/renesas-electronics-america-inc?pageNo=269", "Renesas Electronics")</f>
        <v>Renesas Electronics</v>
      </c>
      <c r="C49200" s="6">
        <v>2000</v>
      </c>
      <c r="D49200" s="7">
        <v>3.33</v>
      </c>
    </row>
    <row r="49201" spans="1:4" x14ac:dyDescent="0.25">
      <c r="A49201" t="str">
        <f>HYPERLINK("https://www.773grp.com/globalSearch/AC03FGM(11)-AZ/page-1", "AC03FGM(11)-AZ")</f>
        <v>AC03FGM(11)-AZ</v>
      </c>
      <c r="B49201" s="3" t="str">
        <f>HYPERLINK("https://www.773grp.com/manufacturer/renesas-electronics-america-inc?pageNo=270", "Renesas Electronics")</f>
        <v>Renesas Electronics</v>
      </c>
      <c r="C49201" s="6">
        <v>5226</v>
      </c>
      <c r="D49201" s="7">
        <v>3.33</v>
      </c>
    </row>
    <row r="49202" spans="1:4" x14ac:dyDescent="0.25">
      <c r="A49202" t="str">
        <f>HYPERLINK("https://www.773grp.com/globalSearch/D74HV8T06T#H0/page-1", "D74HV8T06T#H0")</f>
        <v>D74HV8T06T#H0</v>
      </c>
      <c r="B49202" s="3" t="str">
        <f>HYPERLINK("https://www.773grp.com/manufacturer/renesas-electronics-america-inc?pageNo=271", "Renesas Electronics")</f>
        <v>Renesas Electronics</v>
      </c>
      <c r="C49202" s="6">
        <v>10000</v>
      </c>
      <c r="D49202" s="7">
        <v>3.33</v>
      </c>
    </row>
    <row r="49203" spans="1:4" x14ac:dyDescent="0.25">
      <c r="A49203" t="str">
        <f>HYPERLINK("https://www.773grp.com/globalSearch/HA17524P/page-1", "HA17524P")</f>
        <v>HA17524P</v>
      </c>
      <c r="B49203" s="3" t="str">
        <f>HYPERLINK("https://www.773grp.com/manufacturer/renesas-electronics-america-inc?pageNo=272", "Renesas Electronics")</f>
        <v>Renesas Electronics</v>
      </c>
      <c r="C49203" s="6">
        <v>166</v>
      </c>
      <c r="D49203" s="7">
        <v>3.33</v>
      </c>
    </row>
    <row r="49204" spans="1:4" x14ac:dyDescent="0.25">
      <c r="A49204" t="str">
        <f>HYPERLINK("https://www.773grp.com/globalSearch/2SK2462(04)-AZ/page-1", "2SK2462(04)-AZ")</f>
        <v>2SK2462(04)-AZ</v>
      </c>
      <c r="B49204" s="3" t="str">
        <f>HYPERLINK("https://www.773grp.com/manufacturer/renesas-electronics-america-inc?pageNo=273", "Renesas Electronics")</f>
        <v>Renesas Electronics</v>
      </c>
      <c r="C49204" s="6">
        <v>21036</v>
      </c>
      <c r="D49204" s="7">
        <v>3</v>
      </c>
    </row>
    <row r="49205" spans="1:4" x14ac:dyDescent="0.25">
      <c r="A49205" t="str">
        <f>HYPERLINK("https://www.773grp.com/globalSearch/BCR16KM-12LB-A8#X6/page-1", "BCR16KM-12LB-A8#X6")</f>
        <v>BCR16KM-12LB-A8#X6</v>
      </c>
      <c r="B49205" s="3" t="str">
        <f>HYPERLINK("https://www.773grp.com/manufacturer/renesas-electronics-america-inc?pageNo=274", "Renesas Electronics")</f>
        <v>Renesas Electronics</v>
      </c>
      <c r="C49205" s="6">
        <v>1411</v>
      </c>
      <c r="D49205" s="7">
        <v>3</v>
      </c>
    </row>
    <row r="49206" spans="1:4" x14ac:dyDescent="0.25">
      <c r="A49206" t="str">
        <f>HYPERLINK("https://www.773grp.com/globalSearch/BCR16KM-12LB-AA#X2/page-1", "BCR16KM-12LB-AA#X2")</f>
        <v>BCR16KM-12LB-AA#X2</v>
      </c>
      <c r="B49206" s="3" t="str">
        <f>HYPERLINK("https://www.773grp.com/manufacturer/renesas-electronics-america-inc?pageNo=275", "Renesas Electronics")</f>
        <v>Renesas Electronics</v>
      </c>
      <c r="C49206" s="6">
        <v>604</v>
      </c>
      <c r="D49206" s="7">
        <v>3</v>
      </c>
    </row>
    <row r="49207" spans="1:4" x14ac:dyDescent="0.25">
      <c r="A49207" t="str">
        <f>HYPERLINK("https://www.773grp.com/globalSearch/BCR8KM-16LA#B00/page-1", "BCR8KM-16LA#B00")</f>
        <v>BCR8KM-16LA#B00</v>
      </c>
      <c r="B49207" s="3" t="str">
        <f>HYPERLINK("https://www.773grp.com/manufacturer/renesas-electronics-america-inc?pageNo=276", "Renesas Electronics")</f>
        <v>Renesas Electronics</v>
      </c>
      <c r="C49207" s="6">
        <v>3781</v>
      </c>
      <c r="D49207" s="7">
        <v>3</v>
      </c>
    </row>
    <row r="49208" spans="1:4" x14ac:dyDescent="0.25">
      <c r="A49208" t="str">
        <f>HYPERLINK("https://www.773grp.com/globalSearch/BCR8KM-16LA-AS#B00/page-1", "BCR8KM-16LA-AS#B00")</f>
        <v>BCR8KM-16LA-AS#B00</v>
      </c>
      <c r="B49208" s="3" t="str">
        <f>HYPERLINK("https://www.773grp.com/manufacturer/renesas-electronics-america-inc?pageNo=277", "Renesas Electronics")</f>
        <v>Renesas Electronics</v>
      </c>
      <c r="C49208" s="6">
        <v>1360</v>
      </c>
      <c r="D49208" s="7">
        <v>3</v>
      </c>
    </row>
    <row r="49209" spans="1:4" x14ac:dyDescent="0.25">
      <c r="A49209" t="str">
        <f>HYPERLINK("https://www.773grp.com/globalSearch/M62366GP#CF0J/page-1", "M62366GP#CF0J")</f>
        <v>M62366GP#CF0J</v>
      </c>
      <c r="B49209" s="3" t="str">
        <f>HYPERLINK("https://www.773grp.com/manufacturer/renesas-electronics-america-inc?pageNo=278", "Renesas Electronics")</f>
        <v>Renesas Electronics</v>
      </c>
      <c r="C49209" s="6">
        <v>17500</v>
      </c>
      <c r="D49209" s="7">
        <v>3</v>
      </c>
    </row>
    <row r="49210" spans="1:4" x14ac:dyDescent="0.25">
      <c r="A49210" t="str">
        <f>HYPERLINK("https://www.773grp.com/globalSearch/2SB1098(5)-AZ/page-1", "2SB1098(5)-AZ")</f>
        <v>2SB1098(5)-AZ</v>
      </c>
      <c r="B49210" s="3" t="str">
        <f>HYPERLINK("https://www.773grp.com/manufacturer/renesas-electronics-america-inc?pageNo=279", "Renesas Electronics")</f>
        <v>Renesas Electronics</v>
      </c>
      <c r="C49210" s="6">
        <v>56911</v>
      </c>
      <c r="D49210" s="7">
        <v>3.04</v>
      </c>
    </row>
    <row r="49211" spans="1:4" x14ac:dyDescent="0.25">
      <c r="A49211" t="str">
        <f>HYPERLINK("https://www.773grp.com/globalSearch/8P4SMA-AZ/page-1", "8P4SMA-AZ")</f>
        <v>8P4SMA-AZ</v>
      </c>
      <c r="B49211" s="3" t="str">
        <f>HYPERLINK("https://www.773grp.com/manufacturer/renesas-electronics-america-inc?pageNo=280", "Renesas Electronics")</f>
        <v>Renesas Electronics</v>
      </c>
      <c r="C49211" s="6">
        <v>888</v>
      </c>
      <c r="D49211" s="7">
        <v>3.04</v>
      </c>
    </row>
    <row r="49212" spans="1:4" x14ac:dyDescent="0.25">
      <c r="A49212" t="str">
        <f>HYPERLINK("https://www.773grp.com/globalSearch/M5282FP#D0/page-1", "M5282FP#D0")</f>
        <v>M5282FP#D0</v>
      </c>
      <c r="B49212" s="3" t="str">
        <f>HYPERLINK("https://www.773grp.com/manufacturer/renesas-electronics-america-inc?pageNo=281", "Renesas Electronics")</f>
        <v>Renesas Electronics</v>
      </c>
      <c r="C49212" s="6">
        <v>2000</v>
      </c>
      <c r="D49212" s="7">
        <v>3.04</v>
      </c>
    </row>
    <row r="49213" spans="1:4" x14ac:dyDescent="0.25">
      <c r="A49213" t="str">
        <f>HYPERLINK("https://www.773grp.com/globalSearch/RJP30E2DPP-M0#T2/page-1", "RJP30E2DPP-M0#T2")</f>
        <v>RJP30E2DPP-M0#T2</v>
      </c>
      <c r="B49213" s="3" t="str">
        <f>HYPERLINK("https://www.773grp.com/manufacturer/renesas-electronics-america-inc?pageNo=282", "Renesas Electronics")</f>
        <v>Renesas Electronics</v>
      </c>
      <c r="C49213" s="6">
        <v>19661</v>
      </c>
      <c r="D49213" s="7">
        <v>3.04</v>
      </c>
    </row>
    <row r="49214" spans="1:4" x14ac:dyDescent="0.25">
      <c r="A49214" t="str">
        <f>HYPERLINK("https://www.773grp.com/globalSearch/2SK3113-Z-AZ/page-1", "2SK3113-Z-AZ")</f>
        <v>2SK3113-Z-AZ</v>
      </c>
      <c r="B49214" s="3" t="str">
        <f>HYPERLINK("https://www.773grp.com/manufacturer/renesas-electronics-america-inc?pageNo=283", "Renesas Electronics")</f>
        <v>Renesas Electronics</v>
      </c>
      <c r="C49214" s="6">
        <v>515</v>
      </c>
      <c r="D49214" s="7">
        <v>3.38</v>
      </c>
    </row>
    <row r="49215" spans="1:4" x14ac:dyDescent="0.25">
      <c r="A49215" t="str">
        <f>HYPERLINK("https://www.773grp.com/globalSearch/2SK3113-Z-E1-AZ/page-1", "2SK3113-Z-E1-AZ")</f>
        <v>2SK3113-Z-E1-AZ</v>
      </c>
      <c r="B49215" s="3" t="str">
        <f>HYPERLINK("https://www.773grp.com/manufacturer/renesas-electronics-america-inc?pageNo=284", "Renesas Electronics")</f>
        <v>Renesas Electronics</v>
      </c>
      <c r="C49215" s="6">
        <v>2000</v>
      </c>
      <c r="D49215" s="7">
        <v>3.38</v>
      </c>
    </row>
    <row r="49216" spans="1:4" x14ac:dyDescent="0.25">
      <c r="A49216" t="str">
        <f>HYPERLINK("https://www.773grp.com/globalSearch/74HC95P-E/page-1", "74HC95P-E")</f>
        <v>74HC95P-E</v>
      </c>
      <c r="B49216" s="3" t="str">
        <f>HYPERLINK("https://www.773grp.com/manufacturer/renesas-electronics-america-inc?pageNo=285", "Renesas Electronics")</f>
        <v>Renesas Electronics</v>
      </c>
      <c r="C49216" s="6">
        <v>1000</v>
      </c>
      <c r="D49216" s="7">
        <v>3.38</v>
      </c>
    </row>
    <row r="49217" spans="1:4" x14ac:dyDescent="0.25">
      <c r="A49217" t="str">
        <f>HYPERLINK("https://www.773grp.com/globalSearch/BCR8CM-12LA-1#B00/page-1", "BCR8CM-12LA-1#B00")</f>
        <v>BCR8CM-12LA-1#B00</v>
      </c>
      <c r="B49217" s="3" t="str">
        <f>HYPERLINK("https://www.773grp.com/manufacturer/renesas-electronics-america-inc?pageNo=286", "Renesas Electronics")</f>
        <v>Renesas Electronics</v>
      </c>
      <c r="C49217" s="6">
        <v>4517</v>
      </c>
      <c r="D49217" s="7">
        <v>3.38</v>
      </c>
    </row>
    <row r="49218" spans="1:4" x14ac:dyDescent="0.25">
      <c r="A49218" t="str">
        <f>HYPERLINK("https://www.773grp.com/globalSearch/D74HV8T07T#H0/page-1", "D74HV8T07T#H0")</f>
        <v>D74HV8T07T#H0</v>
      </c>
      <c r="B49218" s="3" t="str">
        <f>HYPERLINK("https://www.773grp.com/manufacturer/renesas-electronics-america-inc?pageNo=287", "Renesas Electronics")</f>
        <v>Renesas Electronics</v>
      </c>
      <c r="C49218" s="6">
        <v>12000</v>
      </c>
      <c r="D49218" s="7">
        <v>3.38</v>
      </c>
    </row>
    <row r="49219" spans="1:4" x14ac:dyDescent="0.25">
      <c r="A49219" t="str">
        <f>HYPERLINK("https://www.773grp.com/globalSearch/HAT1041T-EL-E/page-1", "HAT1041T-EL-E")</f>
        <v>HAT1041T-EL-E</v>
      </c>
      <c r="B49219" s="3" t="str">
        <f>HYPERLINK("https://www.773grp.com/manufacturer/renesas-electronics-america-inc?pageNo=288", "Renesas Electronics")</f>
        <v>Renesas Electronics</v>
      </c>
      <c r="C49219" s="6">
        <v>3000</v>
      </c>
      <c r="D49219" s="7">
        <v>3.38</v>
      </c>
    </row>
    <row r="49220" spans="1:4" x14ac:dyDescent="0.25">
      <c r="A49220" t="str">
        <f>HYPERLINK("https://www.773grp.com/globalSearch/HAT1130RWS-E/page-1", "HAT1130RWS-E")</f>
        <v>HAT1130RWS-E</v>
      </c>
      <c r="B49220" s="3" t="str">
        <f>HYPERLINK("https://www.773grp.com/manufacturer/renesas-electronics-america-inc?pageNo=289", "Renesas Electronics")</f>
        <v>Renesas Electronics</v>
      </c>
      <c r="C49220" s="6">
        <v>2170</v>
      </c>
      <c r="D49220" s="7">
        <v>3.38</v>
      </c>
    </row>
    <row r="49221" spans="1:4" x14ac:dyDescent="0.25">
      <c r="A49221" t="str">
        <f>HYPERLINK("https://www.773grp.com/globalSearch/M62334P#TF5J/page-1", "M62334P#TF5J")</f>
        <v>M62334P#TF5J</v>
      </c>
      <c r="B49221" s="3" t="str">
        <f>HYPERLINK("https://www.773grp.com/manufacturer/renesas-electronics-america-inc?pageNo=290", "Renesas Electronics")</f>
        <v>Renesas Electronics</v>
      </c>
      <c r="C49221" s="6">
        <v>1977</v>
      </c>
      <c r="D49221" s="7">
        <v>3.38</v>
      </c>
    </row>
    <row r="49222" spans="1:4" x14ac:dyDescent="0.25">
      <c r="A49222" t="str">
        <f>HYPERLINK("https://www.773grp.com/globalSearch/FS10KM-12A/page-1", "FS10KM-12A")</f>
        <v>FS10KM-12A</v>
      </c>
      <c r="B49222" s="3" t="str">
        <f>HYPERLINK("https://www.773grp.com/manufacturer/renesas-electronics-america-inc?pageNo=291", "Renesas Electronics")</f>
        <v>Renesas Electronics</v>
      </c>
      <c r="C49222" s="6">
        <v>5586</v>
      </c>
      <c r="D49222" s="7">
        <v>3.38</v>
      </c>
    </row>
    <row r="49223" spans="1:4" x14ac:dyDescent="0.25">
      <c r="A49223" t="str">
        <f>HYPERLINK("https://www.773grp.com/globalSearch/2SD1592-AZ/page-1", "2SD1592-AZ")</f>
        <v>2SD1592-AZ</v>
      </c>
      <c r="B49223" s="3" t="str">
        <f>HYPERLINK("https://www.773grp.com/manufacturer/renesas-electronics-america-inc?pageNo=292", "Renesas Electronics")</f>
        <v>Renesas Electronics</v>
      </c>
      <c r="C49223" s="6">
        <v>10706</v>
      </c>
      <c r="D49223" s="7">
        <v>3.08</v>
      </c>
    </row>
    <row r="49224" spans="1:4" x14ac:dyDescent="0.25">
      <c r="A49224" t="str">
        <f>HYPERLINK("https://www.773grp.com/globalSearch/2SJ245L-E/page-1", "2SJ245L-E")</f>
        <v>2SJ245L-E</v>
      </c>
      <c r="B49224" s="3" t="str">
        <f>HYPERLINK("https://www.773grp.com/manufacturer/renesas-electronics-america-inc?pageNo=293", "Renesas Electronics")</f>
        <v>Renesas Electronics</v>
      </c>
      <c r="C49224" s="6">
        <v>242</v>
      </c>
      <c r="D49224" s="7">
        <v>3.08</v>
      </c>
    </row>
    <row r="49225" spans="1:4" x14ac:dyDescent="0.25">
      <c r="A49225" t="str">
        <f>HYPERLINK("https://www.773grp.com/globalSearch/HA179L12U-TR-E/page-1", "HA179L12U-TR-E")</f>
        <v>HA179L12U-TR-E</v>
      </c>
      <c r="B49225" s="3" t="str">
        <f>HYPERLINK("https://www.773grp.com/manufacturer/renesas-electronics-america-inc?pageNo=294", "Renesas Electronics")</f>
        <v>Renesas Electronics</v>
      </c>
      <c r="C49225" s="6">
        <v>3000</v>
      </c>
      <c r="D49225" s="7">
        <v>3.43</v>
      </c>
    </row>
    <row r="49226" spans="1:4" x14ac:dyDescent="0.25">
      <c r="A49226" t="str">
        <f>HYPERLINK("https://www.773grp.com/globalSearch/M62242FP#TF1J/page-1", "M62242FP#TF1J")</f>
        <v>M62242FP#TF1J</v>
      </c>
      <c r="B49226" s="3" t="str">
        <f>HYPERLINK("https://www.773grp.com/manufacturer/renesas-electronics-america-inc?pageNo=295", "Renesas Electronics")</f>
        <v>Renesas Electronics</v>
      </c>
      <c r="C49226" s="6">
        <v>870</v>
      </c>
      <c r="D49226" s="7">
        <v>3.43</v>
      </c>
    </row>
    <row r="49227" spans="1:4" x14ac:dyDescent="0.25">
      <c r="A49227" t="str">
        <f>HYPERLINK("https://www.773grp.com/globalSearch/RJK5026DPP-00#T2/page-1", "RJK5026DPP-00#T2")</f>
        <v>RJK5026DPP-00#T2</v>
      </c>
      <c r="B49227" s="3" t="str">
        <f>HYPERLINK("https://www.773grp.com/manufacturer/renesas-electronics-america-inc?pageNo=296", "Renesas Electronics")</f>
        <v>Renesas Electronics</v>
      </c>
      <c r="C49227" s="6">
        <v>2724</v>
      </c>
      <c r="D49227" s="7">
        <v>3.43</v>
      </c>
    </row>
    <row r="49228" spans="1:4" x14ac:dyDescent="0.25">
      <c r="A49228" t="str">
        <f>HYPERLINK("https://www.773grp.com/globalSearch/UPA2760T1A-E1-AT/page-1", "UPA2760T1A-E1-AT")</f>
        <v>UPA2760T1A-E1-AT</v>
      </c>
      <c r="B49228" s="3" t="str">
        <f>HYPERLINK("https://www.773grp.com/manufacturer/renesas-electronics-america-inc?pageNo=297", "Renesas Electronics")</f>
        <v>Renesas Electronics</v>
      </c>
      <c r="C49228" s="6">
        <v>9000</v>
      </c>
      <c r="D49228" s="7">
        <v>3.43</v>
      </c>
    </row>
    <row r="49229" spans="1:4" x14ac:dyDescent="0.25">
      <c r="A49229" t="str">
        <f>HYPERLINK("https://www.773grp.com/globalSearch/UPC4742C-A/page-1", "UPC4742C-A")</f>
        <v>UPC4742C-A</v>
      </c>
      <c r="B49229" s="3" t="str">
        <f>HYPERLINK("https://www.773grp.com/manufacturer/renesas-electronics-america-inc?pageNo=298", "Renesas Electronics")</f>
        <v>Renesas Electronics</v>
      </c>
      <c r="C49229" s="6">
        <v>5639</v>
      </c>
      <c r="D49229" s="7">
        <v>3.43</v>
      </c>
    </row>
    <row r="49230" spans="1:4" x14ac:dyDescent="0.25">
      <c r="A49230" t="str">
        <f>HYPERLINK("https://www.773grp.com/globalSearch/AC05DSMA(1)-AZ/page-1", "AC05DSMA(1)-AZ")</f>
        <v>AC05DSMA(1)-AZ</v>
      </c>
      <c r="B49230" s="3" t="str">
        <f>HYPERLINK("https://www.773grp.com/manufacturer/renesas-electronics-america-inc?pageNo=299", "Renesas Electronics")</f>
        <v>Renesas Electronics</v>
      </c>
      <c r="C49230" s="6">
        <v>71</v>
      </c>
      <c r="D49230" s="7">
        <v>3.09</v>
      </c>
    </row>
    <row r="49231" spans="1:4" x14ac:dyDescent="0.25">
      <c r="A49231" t="str">
        <f>HYPERLINK("https://www.773grp.com/globalSearch/AC05DSMA(2)-AZ/page-1", "AC05DSMA(2)-AZ")</f>
        <v>AC05DSMA(2)-AZ</v>
      </c>
      <c r="B49231" s="3" t="str">
        <f>HYPERLINK("https://www.773grp.com/manufacturer/renesas-electronics-america-inc?pageNo=300", "Renesas Electronics")</f>
        <v>Renesas Electronics</v>
      </c>
      <c r="C49231" s="6">
        <v>4452</v>
      </c>
      <c r="D49231" s="7">
        <v>3.09</v>
      </c>
    </row>
    <row r="49232" spans="1:4" x14ac:dyDescent="0.25">
      <c r="A49232" t="str">
        <f>HYPERLINK("https://www.773grp.com/globalSearch/5P4SMA(3)-AZ/page-1", "5P4SMA(3)-AZ")</f>
        <v>5P4SMA(3)-AZ</v>
      </c>
      <c r="B49232" s="3" t="str">
        <f>HYPERLINK("https://www.773grp.com/manufacturer/renesas-electronics-america-inc?pageNo=301", "Renesas Electronics")</f>
        <v>Renesas Electronics</v>
      </c>
      <c r="C49232" s="6">
        <v>1907</v>
      </c>
      <c r="D49232" s="7">
        <v>3.13</v>
      </c>
    </row>
    <row r="49233" spans="1:4" x14ac:dyDescent="0.25">
      <c r="A49233" t="str">
        <f>HYPERLINK("https://www.773grp.com/globalSearch/FS30KMJ-06F#B00/page-1", "FS30KMJ-06F#B00")</f>
        <v>FS30KMJ-06F#B00</v>
      </c>
      <c r="B49233" s="3" t="str">
        <f>HYPERLINK("https://www.773grp.com/manufacturer/renesas-electronics-america-inc?pageNo=302", "Renesas Electronics")</f>
        <v>Renesas Electronics</v>
      </c>
      <c r="C49233" s="6">
        <v>33843</v>
      </c>
      <c r="D49233" s="7">
        <v>3.13</v>
      </c>
    </row>
    <row r="49234" spans="1:4" x14ac:dyDescent="0.25">
      <c r="A49234" t="str">
        <f>HYPERLINK("https://www.773grp.com/globalSearch/M61530FP#DF0G/page-1", "M61530FP#DF0G")</f>
        <v>M61530FP#DF0G</v>
      </c>
      <c r="B49234" s="3" t="str">
        <f>HYPERLINK("https://www.773grp.com/manufacturer/renesas-electronics-america-inc?pageNo=303", "Renesas Electronics")</f>
        <v>Renesas Electronics</v>
      </c>
      <c r="C49234" s="6">
        <v>15000</v>
      </c>
      <c r="D49234" s="7">
        <v>3.13</v>
      </c>
    </row>
    <row r="49235" spans="1:4" x14ac:dyDescent="0.25">
      <c r="A49235" t="str">
        <f>HYPERLINK("https://www.773grp.com/globalSearch/R2S15900SP#DF0Z/page-1", "R2S15900SP#DF0Z")</f>
        <v>R2S15900SP#DF0Z</v>
      </c>
      <c r="B49235" s="3" t="str">
        <f>HYPERLINK("https://www.773grp.com/manufacturer/renesas-electronics-america-inc?pageNo=304", "Renesas Electronics")</f>
        <v>Renesas Electronics</v>
      </c>
      <c r="C49235" s="6">
        <v>3000</v>
      </c>
      <c r="D49235" s="7">
        <v>3.13</v>
      </c>
    </row>
    <row r="49236" spans="1:4" x14ac:dyDescent="0.25">
      <c r="A49236" t="str">
        <f>HYPERLINK("https://www.773grp.com/globalSearch/R8A66165SP#T1/page-1", "R8A66165SP#T1")</f>
        <v>R8A66165SP#T1</v>
      </c>
      <c r="B49236" s="3" t="str">
        <f>HYPERLINK("https://www.773grp.com/manufacturer/renesas-electronics-america-inc?pageNo=305", "Renesas Electronics")</f>
        <v>Renesas Electronics</v>
      </c>
      <c r="C49236" s="6">
        <v>1653</v>
      </c>
      <c r="D49236" s="7">
        <v>3.13</v>
      </c>
    </row>
    <row r="49237" spans="1:4" x14ac:dyDescent="0.25">
      <c r="A49237" t="str">
        <f>HYPERLINK("https://www.773grp.com/globalSearch/74HC241PV-E/page-1", "74HC241PV-E")</f>
        <v>74HC241PV-E</v>
      </c>
      <c r="B49237" s="3" t="str">
        <f>HYPERLINK("https://www.773grp.com/manufacturer/renesas-electronics-america-inc?pageNo=306", "Renesas Electronics")</f>
        <v>Renesas Electronics</v>
      </c>
      <c r="C49237" s="6">
        <v>3400</v>
      </c>
      <c r="D49237" s="7">
        <v>3.48</v>
      </c>
    </row>
    <row r="49238" spans="1:4" x14ac:dyDescent="0.25">
      <c r="A49238" t="str">
        <f>HYPERLINK("https://www.773grp.com/globalSearch/AC03DSMA(1)-AZ/page-1", "AC03DSMA(1)-AZ")</f>
        <v>AC03DSMA(1)-AZ</v>
      </c>
      <c r="B49238" s="3" t="str">
        <f>HYPERLINK("https://www.773grp.com/manufacturer/renesas-electronics-america-inc?pageNo=307", "Renesas Electronics")</f>
        <v>Renesas Electronics</v>
      </c>
      <c r="C49238" s="6">
        <v>1087</v>
      </c>
      <c r="D49238" s="7">
        <v>3.48</v>
      </c>
    </row>
    <row r="49239" spans="1:4" x14ac:dyDescent="0.25">
      <c r="A49239" t="str">
        <f>HYPERLINK("https://www.773grp.com/globalSearch/BCR8CM-12LA-A6#B00/page-1", "BCR8CM-12LA-A6#B00")</f>
        <v>BCR8CM-12LA-A6#B00</v>
      </c>
      <c r="B49239" s="3" t="str">
        <f>HYPERLINK("https://www.773grp.com/manufacturer/renesas-electronics-america-inc?pageNo=308", "Renesas Electronics")</f>
        <v>Renesas Electronics</v>
      </c>
      <c r="C49239" s="6">
        <v>4588</v>
      </c>
      <c r="D49239" s="7">
        <v>3.48</v>
      </c>
    </row>
    <row r="49240" spans="1:4" x14ac:dyDescent="0.25">
      <c r="A49240" t="str">
        <f>HYPERLINK("https://www.773grp.com/globalSearch/CR6PM-12A/page-1", "CR6PM-12A")</f>
        <v>CR6PM-12A</v>
      </c>
      <c r="B49240" s="3" t="str">
        <f>HYPERLINK("https://www.773grp.com/manufacturer/renesas-electronics-america-inc?pageNo=309", "Renesas Electronics")</f>
        <v>Renesas Electronics</v>
      </c>
      <c r="C49240" s="6">
        <v>3491</v>
      </c>
      <c r="D49240" s="7">
        <v>3.48</v>
      </c>
    </row>
    <row r="49241" spans="1:4" x14ac:dyDescent="0.25">
      <c r="A49241" t="str">
        <f>HYPERLINK("https://www.773grp.com/globalSearch/HA17903PSJ/page-1", "HA17903PSJ")</f>
        <v>HA17903PSJ</v>
      </c>
      <c r="B49241" s="3" t="str">
        <f>HYPERLINK("https://www.773grp.com/manufacturer/renesas-electronics-america-inc?pageNo=310", "Renesas Electronics")</f>
        <v>Renesas Electronics</v>
      </c>
      <c r="C49241" s="6">
        <v>6000</v>
      </c>
      <c r="D49241" s="7">
        <v>3.48</v>
      </c>
    </row>
    <row r="49242" spans="1:4" x14ac:dyDescent="0.25">
      <c r="A49242" t="str">
        <f>HYPERLINK("https://www.773grp.com/globalSearch/HAT1038RJ-EL/page-1", "HAT1038RJ-EL")</f>
        <v>HAT1038RJ-EL</v>
      </c>
      <c r="B49242" s="3" t="str">
        <f>HYPERLINK("https://www.773grp.com/manufacturer/renesas-electronics-america-inc?pageNo=311", "Renesas Electronics")</f>
        <v>Renesas Electronics</v>
      </c>
      <c r="C49242" s="6">
        <v>20000</v>
      </c>
      <c r="D49242" s="7">
        <v>3.48</v>
      </c>
    </row>
    <row r="49243" spans="1:4" x14ac:dyDescent="0.25">
      <c r="A49243" t="str">
        <f>HYPERLINK("https://www.773grp.com/globalSearch/HAT2035R-EL-E/page-1", "HAT2035R-EL-E")</f>
        <v>HAT2035R-EL-E</v>
      </c>
      <c r="B49243" s="3" t="str">
        <f>HYPERLINK("https://www.773grp.com/manufacturer/renesas-electronics-america-inc?pageNo=312", "Renesas Electronics")</f>
        <v>Renesas Electronics</v>
      </c>
      <c r="C49243" s="6">
        <v>2500</v>
      </c>
      <c r="D49243" s="7">
        <v>3.48</v>
      </c>
    </row>
    <row r="49244" spans="1:4" x14ac:dyDescent="0.25">
      <c r="A49244" t="str">
        <f>HYPERLINK("https://www.773grp.com/globalSearch/2SB1098(6)-AZ/page-1", "2SB1098(6)-AZ")</f>
        <v>2SB1098(6)-AZ</v>
      </c>
      <c r="B49244" s="3" t="str">
        <f>HYPERLINK("https://www.773grp.com/manufacturer/renesas-electronics-america-inc?pageNo=313", "Renesas Electronics")</f>
        <v>Renesas Electronics</v>
      </c>
      <c r="C49244" s="6">
        <v>3160</v>
      </c>
      <c r="D49244" s="7">
        <v>3.15</v>
      </c>
    </row>
    <row r="49245" spans="1:4" x14ac:dyDescent="0.25">
      <c r="A49245" t="str">
        <f>HYPERLINK("https://www.773grp.com/globalSearch/RJP3063DPP-00#T2/page-1", "RJP3063DPP-00#T2")</f>
        <v>RJP3063DPP-00#T2</v>
      </c>
      <c r="B49245" s="3" t="str">
        <f>HYPERLINK("https://www.773grp.com/manufacturer/renesas-electronics-america-inc?pageNo=314", "Renesas Electronics")</f>
        <v>Renesas Electronics</v>
      </c>
      <c r="C49245" s="6">
        <v>112</v>
      </c>
      <c r="D49245" s="7">
        <v>3.15</v>
      </c>
    </row>
    <row r="49246" spans="1:4" x14ac:dyDescent="0.25">
      <c r="A49246" t="str">
        <f>HYPERLINK("https://www.773grp.com/globalSearch/2SK3354-Z-E1/page-1", "2SK3354-Z-E1")</f>
        <v>2SK3354-Z-E1</v>
      </c>
      <c r="B49246" s="3" t="str">
        <f>HYPERLINK("https://www.773grp.com/manufacturer/renesas-electronics-america-inc?pageNo=315", "Renesas Electronics")</f>
        <v>Renesas Electronics</v>
      </c>
      <c r="C49246" s="6">
        <v>7000</v>
      </c>
      <c r="D49246" s="7">
        <v>3.18</v>
      </c>
    </row>
    <row r="49247" spans="1:4" x14ac:dyDescent="0.25">
      <c r="A49247" t="str">
        <f>HYPERLINK("https://www.773grp.com/globalSearch/AC08FGM(YC)-AZ/page-1", "AC08FGM(YC)-AZ")</f>
        <v>AC08FGM(YC)-AZ</v>
      </c>
      <c r="B49247" s="3" t="str">
        <f>HYPERLINK("https://www.773grp.com/manufacturer/renesas-electronics-america-inc?pageNo=316", "Renesas Electronics")</f>
        <v>Renesas Electronics</v>
      </c>
      <c r="C49247" s="6">
        <v>571</v>
      </c>
      <c r="D49247" s="7">
        <v>3.18</v>
      </c>
    </row>
    <row r="49248" spans="1:4" x14ac:dyDescent="0.25">
      <c r="A49248" t="str">
        <f>HYPERLINK("https://www.773grp.com/globalSearch/74AC139FPEL-E/page-1", "74AC139FPEL-E")</f>
        <v>74AC139FPEL-E</v>
      </c>
      <c r="B49248" s="3" t="str">
        <f>HYPERLINK("https://www.773grp.com/manufacturer/renesas-electronics-america-inc?pageNo=317", "Renesas Electronics")</f>
        <v>Renesas Electronics</v>
      </c>
      <c r="C49248" s="6">
        <v>10000</v>
      </c>
      <c r="D49248" s="7">
        <v>3.53</v>
      </c>
    </row>
    <row r="49249" spans="1:4" x14ac:dyDescent="0.25">
      <c r="A49249" t="str">
        <f>HYPERLINK("https://www.773grp.com/globalSearch/74HC194P-E/page-1", "74HC194P-E")</f>
        <v>74HC194P-E</v>
      </c>
      <c r="B49249" s="3" t="str">
        <f>HYPERLINK("https://www.773grp.com/manufacturer/renesas-electronics-america-inc?pageNo=318", "Renesas Electronics")</f>
        <v>Renesas Electronics</v>
      </c>
      <c r="C49249" s="6">
        <v>2000</v>
      </c>
      <c r="D49249" s="7">
        <v>3.53</v>
      </c>
    </row>
    <row r="49250" spans="1:4" x14ac:dyDescent="0.25">
      <c r="A49250" t="str">
        <f>HYPERLINK("https://www.773grp.com/globalSearch/74LS148P-E/page-1", "74LS148P-E")</f>
        <v>74LS148P-E</v>
      </c>
      <c r="B49250" s="3" t="str">
        <f>HYPERLINK("https://www.773grp.com/manufacturer/renesas-electronics-america-inc?pageNo=319", "Renesas Electronics")</f>
        <v>Renesas Electronics</v>
      </c>
      <c r="C49250" s="6">
        <v>7000</v>
      </c>
      <c r="D49250" s="7">
        <v>3.53</v>
      </c>
    </row>
    <row r="49251" spans="1:4" x14ac:dyDescent="0.25">
      <c r="A49251" t="str">
        <f>HYPERLINK("https://www.773grp.com/globalSearch/74LS192P-E/page-1", "74LS192P-E")</f>
        <v>74LS192P-E</v>
      </c>
      <c r="B49251" s="3" t="str">
        <f>HYPERLINK("https://www.773grp.com/manufacturer/renesas-electronics-america-inc?pageNo=320", "Renesas Electronics")</f>
        <v>Renesas Electronics</v>
      </c>
      <c r="C49251" s="6">
        <v>1950</v>
      </c>
      <c r="D49251" s="7">
        <v>3.53</v>
      </c>
    </row>
    <row r="49252" spans="1:4" x14ac:dyDescent="0.25">
      <c r="A49252" t="str">
        <f>HYPERLINK("https://www.773grp.com/globalSearch/M51944BL#TF0J/page-1", "M51944BL#TF0J")</f>
        <v>M51944BL#TF0J</v>
      </c>
      <c r="B49252" s="3" t="str">
        <f>HYPERLINK("https://www.773grp.com/manufacturer/renesas-electronics-america-inc?pageNo=321", "Renesas Electronics")</f>
        <v>Renesas Electronics</v>
      </c>
      <c r="C49252" s="6">
        <v>8004</v>
      </c>
      <c r="D49252" s="7">
        <v>3.53</v>
      </c>
    </row>
    <row r="49253" spans="1:4" x14ac:dyDescent="0.25">
      <c r="A49253" t="str">
        <f>HYPERLINK("https://www.773grp.com/globalSearch/R1EX24016ASAS0I#S1/page-1", "R1EX24016ASAS0I#S1")</f>
        <v>R1EX24016ASAS0I#S1</v>
      </c>
      <c r="B49253" s="3" t="str">
        <f>HYPERLINK("https://www.773grp.com/manufacturer/renesas-electronics-america-inc?pageNo=322", "Renesas Electronics")</f>
        <v>Renesas Electronics</v>
      </c>
      <c r="C49253" s="6">
        <v>2250</v>
      </c>
      <c r="D49253" s="7">
        <v>3.53</v>
      </c>
    </row>
    <row r="49254" spans="1:4" x14ac:dyDescent="0.25">
      <c r="A49254" t="str">
        <f>HYPERLINK("https://www.773grp.com/globalSearch/2SK1313-01L-E/page-1", "2SK1313-01L-E")</f>
        <v>2SK1313-01L-E</v>
      </c>
      <c r="B49254" s="3" t="str">
        <f>HYPERLINK("https://www.773grp.com/manufacturer/renesas-electronics-america-inc?pageNo=323", "Renesas Electronics")</f>
        <v>Renesas Electronics</v>
      </c>
      <c r="C49254" s="6">
        <v>281</v>
      </c>
      <c r="D49254" s="7">
        <v>3.21</v>
      </c>
    </row>
    <row r="49255" spans="1:4" x14ac:dyDescent="0.25">
      <c r="A49255" t="str">
        <f>HYPERLINK("https://www.773grp.com/globalSearch/2SK1313S-E/page-1", "2SK1313S-E")</f>
        <v>2SK1313S-E</v>
      </c>
      <c r="B49255" s="3" t="str">
        <f>HYPERLINK("https://www.773grp.com/manufacturer/renesas-electronics-america-inc?pageNo=324", "Renesas Electronics")</f>
        <v>Renesas Electronics</v>
      </c>
      <c r="C49255" s="6">
        <v>1000</v>
      </c>
      <c r="D49255" s="7">
        <v>3.21</v>
      </c>
    </row>
    <row r="49256" spans="1:4" x14ac:dyDescent="0.25">
      <c r="A49256" t="str">
        <f>HYPERLINK("https://www.773grp.com/globalSearch/2SK1313STR-E/page-1", "2SK1313STR-E")</f>
        <v>2SK1313STR-E</v>
      </c>
      <c r="B49256" s="3" t="str">
        <f>HYPERLINK("https://www.773grp.com/manufacturer/renesas-electronics-america-inc?pageNo=325", "Renesas Electronics")</f>
        <v>Renesas Electronics</v>
      </c>
      <c r="C49256" s="6">
        <v>5000</v>
      </c>
      <c r="D49256" s="7">
        <v>3.21</v>
      </c>
    </row>
    <row r="49257" spans="1:4" x14ac:dyDescent="0.25">
      <c r="A49257" t="str">
        <f>HYPERLINK("https://www.773grp.com/globalSearch/2SK2059L-E/page-1", "2SK2059L-E")</f>
        <v>2SK2059L-E</v>
      </c>
      <c r="B49257" s="3" t="str">
        <f>HYPERLINK("https://www.773grp.com/manufacturer/renesas-electronics-america-inc?pageNo=326", "Renesas Electronics")</f>
        <v>Renesas Electronics</v>
      </c>
      <c r="C49257" s="6">
        <v>986</v>
      </c>
      <c r="D49257" s="7">
        <v>3.21</v>
      </c>
    </row>
    <row r="49258" spans="1:4" x14ac:dyDescent="0.25">
      <c r="A49258" t="str">
        <f>HYPERLINK("https://www.773grp.com/globalSearch/8P2SMA-AZ/page-1", "8P2SMA-AZ")</f>
        <v>8P2SMA-AZ</v>
      </c>
      <c r="B49258" s="3" t="str">
        <f>HYPERLINK("https://www.773grp.com/manufacturer/renesas-electronics-america-inc?pageNo=327", "Renesas Electronics")</f>
        <v>Renesas Electronics</v>
      </c>
      <c r="C49258" s="6">
        <v>6172</v>
      </c>
      <c r="D49258" s="7">
        <v>3.21</v>
      </c>
    </row>
    <row r="49259" spans="1:4" x14ac:dyDescent="0.25">
      <c r="A49259" t="str">
        <f>HYPERLINK("https://www.773grp.com/globalSearch/AC12FGM(YN)-AZ/page-1", "AC12FGM(YN)-AZ")</f>
        <v>AC12FGM(YN)-AZ</v>
      </c>
      <c r="B49259" s="3" t="str">
        <f>HYPERLINK("https://www.773grp.com/manufacturer/renesas-electronics-america-inc?pageNo=328", "Renesas Electronics")</f>
        <v>Renesas Electronics</v>
      </c>
      <c r="C49259" s="6">
        <v>3846</v>
      </c>
      <c r="D49259" s="7">
        <v>3.21</v>
      </c>
    </row>
    <row r="49260" spans="1:4" x14ac:dyDescent="0.25">
      <c r="A49260" t="str">
        <f>HYPERLINK("https://www.773grp.com/globalSearch/FS10KMJ-2#B01/page-1", "FS10KMJ-2#B01")</f>
        <v>FS10KMJ-2#B01</v>
      </c>
      <c r="B49260" s="3" t="str">
        <f>HYPERLINK("https://www.773grp.com/manufacturer/renesas-electronics-america-inc?pageNo=329", "Renesas Electronics")</f>
        <v>Renesas Electronics</v>
      </c>
      <c r="C49260" s="6">
        <v>15398</v>
      </c>
      <c r="D49260" s="7">
        <v>3.21</v>
      </c>
    </row>
    <row r="49261" spans="1:4" x14ac:dyDescent="0.25">
      <c r="A49261" t="str">
        <f>HYPERLINK("https://www.773grp.com/globalSearch/HN58X2432FPI#S4/page-1", "HN58X2432FPI#S4")</f>
        <v>HN58X2432FPI#S4</v>
      </c>
      <c r="B49261" s="3" t="str">
        <f>HYPERLINK("https://www.773grp.com/manufacturer/renesas-electronics-america-inc?pageNo=330", "Renesas Electronics")</f>
        <v>Renesas Electronics</v>
      </c>
      <c r="C49261" s="6">
        <v>50000</v>
      </c>
      <c r="D49261" s="7">
        <v>3.21</v>
      </c>
    </row>
    <row r="49262" spans="1:4" x14ac:dyDescent="0.25">
      <c r="A49262" t="str">
        <f>HYPERLINK("https://www.773grp.com/globalSearch/RJK0222DNS-WS#J5/page-1", "RJK0222DNS-WS#J5")</f>
        <v>RJK0222DNS-WS#J5</v>
      </c>
      <c r="B49262" s="3" t="str">
        <f>HYPERLINK("https://www.773grp.com/manufacturer/renesas-electronics-america-inc?pageNo=331", "Renesas Electronics")</f>
        <v>Renesas Electronics</v>
      </c>
      <c r="C49262" s="6">
        <v>4900</v>
      </c>
      <c r="D49262" s="7">
        <v>3.21</v>
      </c>
    </row>
    <row r="49263" spans="1:4" x14ac:dyDescent="0.25">
      <c r="A49263" t="str">
        <f>HYPERLINK("https://www.773grp.com/globalSearch/74HC682P-E/page-1", "74HC682P-E")</f>
        <v>74HC682P-E</v>
      </c>
      <c r="B49263" s="3" t="str">
        <f>HYPERLINK("https://www.773grp.com/manufacturer/renesas-electronics-america-inc?pageNo=332", "Renesas Electronics")</f>
        <v>Renesas Electronics</v>
      </c>
      <c r="C49263" s="6">
        <v>5000</v>
      </c>
      <c r="D49263" s="7">
        <v>3.24</v>
      </c>
    </row>
    <row r="49264" spans="1:4" x14ac:dyDescent="0.25">
      <c r="A49264" t="str">
        <f>HYPERLINK("https://www.773grp.com/globalSearch/2SD1527-E/page-1", "2SD1527-E")</f>
        <v>2SD1527-E</v>
      </c>
      <c r="B49264" s="3" t="str">
        <f>HYPERLINK("https://www.773grp.com/manufacturer/renesas-electronics-america-inc?pageNo=333", "Renesas Electronics")</f>
        <v>Renesas Electronics</v>
      </c>
      <c r="C49264" s="6">
        <v>5485</v>
      </c>
      <c r="D49264" s="7">
        <v>3.6</v>
      </c>
    </row>
    <row r="49265" spans="1:4" x14ac:dyDescent="0.25">
      <c r="A49265" t="str">
        <f>HYPERLINK("https://www.773grp.com/globalSearch/3P6MH(AE)-AZ/page-1", "3P6MH(AE)-AZ")</f>
        <v>3P6MH(AE)-AZ</v>
      </c>
      <c r="B49265" s="3" t="str">
        <f>HYPERLINK("https://www.773grp.com/manufacturer/renesas-electronics-america-inc?pageNo=334", "Renesas Electronics")</f>
        <v>Renesas Electronics</v>
      </c>
      <c r="C49265" s="6">
        <v>214</v>
      </c>
      <c r="D49265" s="7">
        <v>3.6</v>
      </c>
    </row>
    <row r="49266" spans="1:4" x14ac:dyDescent="0.25">
      <c r="A49266" t="str">
        <f>HYPERLINK("https://www.773grp.com/globalSearch/HAT2085T-EL-E/page-1", "HAT2085T-EL-E")</f>
        <v>HAT2085T-EL-E</v>
      </c>
      <c r="B49266" s="3" t="str">
        <f>HYPERLINK("https://www.773grp.com/manufacturer/renesas-electronics-america-inc?pageNo=335", "Renesas Electronics")</f>
        <v>Renesas Electronics</v>
      </c>
      <c r="C49266" s="6">
        <v>21000</v>
      </c>
      <c r="D49266" s="7">
        <v>3.6</v>
      </c>
    </row>
    <row r="49267" spans="1:4" x14ac:dyDescent="0.25">
      <c r="A49267" t="str">
        <f>HYPERLINK("https://www.773grp.com/globalSearch/M62001FP#CF0J/page-1", "M62001FP#CF0J")</f>
        <v>M62001FP#CF0J</v>
      </c>
      <c r="B49267" s="3" t="str">
        <f>HYPERLINK("https://www.773grp.com/manufacturer/renesas-electronics-america-inc?pageNo=336", "Renesas Electronics")</f>
        <v>Renesas Electronics</v>
      </c>
      <c r="C49267" s="6">
        <v>3000</v>
      </c>
      <c r="D49267" s="7">
        <v>3.6</v>
      </c>
    </row>
    <row r="49268" spans="1:4" x14ac:dyDescent="0.25">
      <c r="A49268" t="str">
        <f>HYPERLINK("https://www.773grp.com/globalSearch/R1EX24128ASA00A#S0/page-1", "R1EX24128ASA00A#S0")</f>
        <v>R1EX24128ASA00A#S0</v>
      </c>
      <c r="B49268" s="3" t="str">
        <f>HYPERLINK("https://www.773grp.com/manufacturer/renesas-electronics-america-inc?pageNo=337", "Renesas Electronics")</f>
        <v>Renesas Electronics</v>
      </c>
      <c r="C49268" s="6">
        <v>2500</v>
      </c>
      <c r="D49268" s="7">
        <v>3.6</v>
      </c>
    </row>
    <row r="49269" spans="1:4" x14ac:dyDescent="0.25">
      <c r="A49269" t="str">
        <f>HYPERLINK("https://www.773grp.com/globalSearch/RJK0380DPA-00#J53/page-1", "RJK0380DPA-00#J53")</f>
        <v>RJK0380DPA-00#J53</v>
      </c>
      <c r="B49269" s="3" t="str">
        <f>HYPERLINK("https://www.773grp.com/manufacturer/renesas-electronics-america-inc?pageNo=338", "Renesas Electronics")</f>
        <v>Renesas Electronics</v>
      </c>
      <c r="C49269" s="6">
        <v>33000</v>
      </c>
      <c r="D49269" s="7">
        <v>3.6</v>
      </c>
    </row>
    <row r="49270" spans="1:4" x14ac:dyDescent="0.25">
      <c r="A49270" t="str">
        <f>HYPERLINK("https://www.773grp.com/globalSearch/RJK0380DPA-02#J0/page-1", "RJK0380DPA-02#J0")</f>
        <v>RJK0380DPA-02#J0</v>
      </c>
      <c r="B49270" s="3" t="str">
        <f>HYPERLINK("https://www.773grp.com/manufacturer/renesas-electronics-america-inc?pageNo=339", "Renesas Electronics")</f>
        <v>Renesas Electronics</v>
      </c>
      <c r="C49270" s="6">
        <v>15000</v>
      </c>
      <c r="D49270" s="7">
        <v>3.6</v>
      </c>
    </row>
    <row r="49271" spans="1:4" x14ac:dyDescent="0.25">
      <c r="A49271" t="str">
        <f>HYPERLINK("https://www.773grp.com/globalSearch/RJK0380DPA-WS#J53/page-1", "RJK0380DPA-WS#J53")</f>
        <v>RJK0380DPA-WS#J53</v>
      </c>
      <c r="B49271" s="3" t="str">
        <f>HYPERLINK("https://www.773grp.com/manufacturer/renesas-electronics-america-inc?pageNo=340", "Renesas Electronics")</f>
        <v>Renesas Electronics</v>
      </c>
      <c r="C49271" s="6">
        <v>320</v>
      </c>
      <c r="D49271" s="7">
        <v>3.6</v>
      </c>
    </row>
    <row r="49272" spans="1:4" x14ac:dyDescent="0.25">
      <c r="A49272" t="str">
        <f>HYPERLINK("https://www.773grp.com/globalSearch/RJK6026DPP-00#T2/page-1", "RJK6026DPP-00#T2")</f>
        <v>RJK6026DPP-00#T2</v>
      </c>
      <c r="B49272" s="3" t="str">
        <f>HYPERLINK("https://www.773grp.com/manufacturer/renesas-electronics-america-inc?pageNo=341", "Renesas Electronics")</f>
        <v>Renesas Electronics</v>
      </c>
      <c r="C49272" s="6">
        <v>26155</v>
      </c>
      <c r="D49272" s="7">
        <v>3.6</v>
      </c>
    </row>
    <row r="49273" spans="1:4" x14ac:dyDescent="0.25">
      <c r="A49273" t="str">
        <f>HYPERLINK("https://www.773grp.com/globalSearch/AC10DSMA-AZ/page-1", "AC10DSMA-AZ")</f>
        <v>AC10DSMA-AZ</v>
      </c>
      <c r="B49273" s="3" t="str">
        <f>HYPERLINK("https://www.773grp.com/manufacturer/renesas-electronics-america-inc?pageNo=342", "Renesas Electronics")</f>
        <v>Renesas Electronics</v>
      </c>
      <c r="C49273" s="6">
        <v>471</v>
      </c>
      <c r="D49273" s="7">
        <v>3.26</v>
      </c>
    </row>
    <row r="49274" spans="1:4" x14ac:dyDescent="0.25">
      <c r="A49274" t="str">
        <f>HYPERLINK("https://www.773grp.com/globalSearch/AC12DSMA-AZ/page-1", "AC12DSMA-AZ")</f>
        <v>AC12DSMA-AZ</v>
      </c>
      <c r="B49274" s="3" t="str">
        <f>HYPERLINK("https://www.773grp.com/manufacturer/renesas-electronics-america-inc?pageNo=343", "Renesas Electronics")</f>
        <v>Renesas Electronics</v>
      </c>
      <c r="C49274" s="6">
        <v>1317</v>
      </c>
      <c r="D49274" s="7">
        <v>3.26</v>
      </c>
    </row>
    <row r="49275" spans="1:4" x14ac:dyDescent="0.25">
      <c r="A49275" t="str">
        <f>HYPERLINK("https://www.773grp.com/globalSearch/BCR20AM-12LB#B01/page-1", "BCR20AM-12LB#B01")</f>
        <v>BCR20AM-12LB#B01</v>
      </c>
      <c r="B49275" s="3" t="str">
        <f>HYPERLINK("https://www.773grp.com/manufacturer/renesas-electronics-america-inc?pageNo=344", "Renesas Electronics")</f>
        <v>Renesas Electronics</v>
      </c>
      <c r="C49275" s="6">
        <v>16559</v>
      </c>
      <c r="D49275" s="7">
        <v>3.26</v>
      </c>
    </row>
    <row r="49276" spans="1:4" x14ac:dyDescent="0.25">
      <c r="A49276" t="str">
        <f>HYPERLINK("https://www.773grp.com/globalSearch/CR5CS-8-A1#F00/page-1", "CR5CS-8-A1#F00")</f>
        <v>CR5CS-8-A1#F00</v>
      </c>
      <c r="B49276" s="3" t="str">
        <f>HYPERLINK("https://www.773grp.com/manufacturer/renesas-electronics-america-inc?pageNo=345", "Renesas Electronics")</f>
        <v>Renesas Electronics</v>
      </c>
      <c r="C49276" s="6">
        <v>140733</v>
      </c>
      <c r="D49276" s="7">
        <v>3.26</v>
      </c>
    </row>
    <row r="49277" spans="1:4" x14ac:dyDescent="0.25">
      <c r="A49277" t="str">
        <f>HYPERLINK("https://www.773grp.com/globalSearch/D74HV8T04T#H0/page-1", "D74HV8T04T#H0")</f>
        <v>D74HV8T04T#H0</v>
      </c>
      <c r="B49277" s="3" t="str">
        <f>HYPERLINK("https://www.773grp.com/manufacturer/renesas-electronics-america-inc?pageNo=346", "Renesas Electronics")</f>
        <v>Renesas Electronics</v>
      </c>
      <c r="C49277" s="6">
        <v>30000</v>
      </c>
      <c r="D49277" s="7">
        <v>3.26</v>
      </c>
    </row>
    <row r="49278" spans="1:4" x14ac:dyDescent="0.25">
      <c r="A49278" t="str">
        <f>HYPERLINK("https://www.773grp.com/globalSearch/HAT2279N-EL-E/page-1", "HAT2279N-EL-E")</f>
        <v>HAT2279N-EL-E</v>
      </c>
      <c r="B49278" s="3" t="str">
        <f>HYPERLINK("https://www.773grp.com/manufacturer/renesas-electronics-america-inc?pageNo=347", "Renesas Electronics")</f>
        <v>Renesas Electronics</v>
      </c>
      <c r="C49278" s="6">
        <v>2500</v>
      </c>
      <c r="D49278" s="7">
        <v>3.26</v>
      </c>
    </row>
    <row r="49279" spans="1:4" x14ac:dyDescent="0.25">
      <c r="A49279" t="str">
        <f>HYPERLINK("https://www.773grp.com/globalSearch/M51996P/page-1", "M51996P")</f>
        <v>M51996P</v>
      </c>
      <c r="B49279" s="3" t="str">
        <f>HYPERLINK("https://www.773grp.com/manufacturer/renesas-electronics-america-inc?pageNo=348", "Renesas Electronics")</f>
        <v>Renesas Electronics</v>
      </c>
      <c r="C49279" s="6">
        <v>2153</v>
      </c>
      <c r="D49279" s="7">
        <v>3.26</v>
      </c>
    </row>
    <row r="49280" spans="1:4" x14ac:dyDescent="0.25">
      <c r="A49280" t="str">
        <f>HYPERLINK("https://www.773grp.com/globalSearch/R5F21331CDFP#U0/page-1", "R5F21331CDFP#U0")</f>
        <v>R5F21331CDFP#U0</v>
      </c>
      <c r="B49280" s="3" t="str">
        <f>HYPERLINK("https://www.773grp.com/manufacturer/renesas-electronics-america-inc?pageNo=349", "Renesas Electronics")</f>
        <v>Renesas Electronics</v>
      </c>
      <c r="C49280" s="6">
        <v>880</v>
      </c>
      <c r="D49280" s="7">
        <v>3.26</v>
      </c>
    </row>
    <row r="49281" spans="1:4" x14ac:dyDescent="0.25">
      <c r="A49281" t="str">
        <f>HYPERLINK("https://www.773grp.com/globalSearch/RJH30E2DPP-00#T2/page-1", "RJH30E2DPP-00#T2")</f>
        <v>RJH30E2DPP-00#T2</v>
      </c>
      <c r="B49281" s="3" t="str">
        <f>HYPERLINK("https://www.773grp.com/manufacturer/renesas-electronics-america-inc?pageNo=350", "Renesas Electronics")</f>
        <v>Renesas Electronics</v>
      </c>
      <c r="C49281" s="6">
        <v>2995</v>
      </c>
      <c r="D49281" s="7">
        <v>3.26</v>
      </c>
    </row>
    <row r="49282" spans="1:4" x14ac:dyDescent="0.25">
      <c r="A49282" t="str">
        <f>HYPERLINK("https://www.773grp.com/globalSearch/RJH30E2DPP-Z0#T2/page-1", "RJH30E2DPP-Z0#T2")</f>
        <v>RJH30E2DPP-Z0#T2</v>
      </c>
      <c r="B49282" s="3" t="str">
        <f>HYPERLINK("https://www.773grp.com/manufacturer/renesas-electronics-america-inc?pageNo=351", "Renesas Electronics")</f>
        <v>Renesas Electronics</v>
      </c>
      <c r="C49282" s="6">
        <v>4839</v>
      </c>
      <c r="D49282" s="7">
        <v>3.26</v>
      </c>
    </row>
    <row r="49283" spans="1:4" x14ac:dyDescent="0.25">
      <c r="A49283" t="str">
        <f>HYPERLINK("https://www.773grp.com/globalSearch/26LS32AP-E/page-1", "26LS32AP-E")</f>
        <v>26LS32AP-E</v>
      </c>
      <c r="B49283" s="3" t="str">
        <f>HYPERLINK("https://www.773grp.com/manufacturer/renesas-electronics-america-inc?pageNo=352", "Renesas Electronics")</f>
        <v>Renesas Electronics</v>
      </c>
      <c r="C49283" s="6">
        <v>2000</v>
      </c>
      <c r="D49283" s="7">
        <v>3.29</v>
      </c>
    </row>
    <row r="49284" spans="1:4" x14ac:dyDescent="0.25">
      <c r="A49284" t="str">
        <f>HYPERLINK("https://www.773grp.com/globalSearch/26LS32FP-E/page-1", "26LS32FP-E")</f>
        <v>26LS32FP-E</v>
      </c>
      <c r="B49284" s="3" t="str">
        <f>HYPERLINK("https://www.773grp.com/manufacturer/renesas-electronics-america-inc?pageNo=353", "Renesas Electronics")</f>
        <v>Renesas Electronics</v>
      </c>
      <c r="C49284" s="6">
        <v>129</v>
      </c>
      <c r="D49284" s="7">
        <v>3.29</v>
      </c>
    </row>
    <row r="49285" spans="1:4" x14ac:dyDescent="0.25">
      <c r="A49285" t="str">
        <f>HYPERLINK("https://www.773grp.com/globalSearch/74BC541AFP-E/page-1", "74BC541AFP-E")</f>
        <v>74BC541AFP-E</v>
      </c>
      <c r="B49285" s="3" t="str">
        <f>HYPERLINK("https://www.773grp.com/manufacturer/renesas-electronics-america-inc?pageNo=354", "Renesas Electronics")</f>
        <v>Renesas Electronics</v>
      </c>
      <c r="C49285" s="6">
        <v>748</v>
      </c>
      <c r="D49285" s="7">
        <v>3.29</v>
      </c>
    </row>
    <row r="49286" spans="1:4" x14ac:dyDescent="0.25">
      <c r="A49286" t="str">
        <f>HYPERLINK("https://www.773grp.com/globalSearch/AC10FSMA-AZ/page-1", "AC10FSMA-AZ")</f>
        <v>AC10FSMA-AZ</v>
      </c>
      <c r="B49286" s="3" t="str">
        <f>HYPERLINK("https://www.773grp.com/manufacturer/renesas-electronics-america-inc?pageNo=355", "Renesas Electronics")</f>
        <v>Renesas Electronics</v>
      </c>
      <c r="C49286" s="6">
        <v>149</v>
      </c>
      <c r="D49286" s="7">
        <v>3.29</v>
      </c>
    </row>
    <row r="49287" spans="1:4" x14ac:dyDescent="0.25">
      <c r="A49287" t="str">
        <f>HYPERLINK("https://www.773grp.com/globalSearch/R2A15120FP#W00T/page-1", "R2A15120FP#W00T")</f>
        <v>R2A15120FP#W00T</v>
      </c>
      <c r="B49287" s="3" t="str">
        <f>HYPERLINK("https://www.773grp.com/manufacturer/renesas-electronics-america-inc?pageNo=356", "Renesas Electronics")</f>
        <v>Renesas Electronics</v>
      </c>
      <c r="C49287" s="6">
        <v>2500</v>
      </c>
      <c r="D49287" s="7">
        <v>3.29</v>
      </c>
    </row>
    <row r="49288" spans="1:4" x14ac:dyDescent="0.25">
      <c r="A49288" t="str">
        <f>HYPERLINK("https://www.773grp.com/globalSearch/74AC125TELL-E/page-1", "74AC125TELL-E")</f>
        <v>74AC125TELL-E</v>
      </c>
      <c r="B49288" s="3" t="str">
        <f>HYPERLINK("https://www.773grp.com/manufacturer/renesas-electronics-america-inc?pageNo=357", "Renesas Electronics")</f>
        <v>Renesas Electronics</v>
      </c>
      <c r="C49288" s="6">
        <v>2000</v>
      </c>
      <c r="D49288" s="7">
        <v>3.65</v>
      </c>
    </row>
    <row r="49289" spans="1:4" x14ac:dyDescent="0.25">
      <c r="A49289" t="str">
        <f>HYPERLINK("https://www.773grp.com/globalSearch/74HC670FP-E/page-1", "74HC670FP-E")</f>
        <v>74HC670FP-E</v>
      </c>
      <c r="B49289" s="3" t="str">
        <f>HYPERLINK("https://www.773grp.com/manufacturer/renesas-electronics-america-inc?pageNo=358", "Renesas Electronics")</f>
        <v>Renesas Electronics</v>
      </c>
      <c r="C49289" s="6">
        <v>14000</v>
      </c>
      <c r="D49289" s="7">
        <v>3.65</v>
      </c>
    </row>
    <row r="49290" spans="1:4" x14ac:dyDescent="0.25">
      <c r="A49290" t="str">
        <f>HYPERLINK("https://www.773grp.com/globalSearch/74HC670P-E/page-1", "74HC670P-E")</f>
        <v>74HC670P-E</v>
      </c>
      <c r="B49290" s="3" t="str">
        <f>HYPERLINK("https://www.773grp.com/manufacturer/renesas-electronics-america-inc?pageNo=359", "Renesas Electronics")</f>
        <v>Renesas Electronics</v>
      </c>
      <c r="C49290" s="6">
        <v>8000</v>
      </c>
      <c r="D49290" s="7">
        <v>3.65</v>
      </c>
    </row>
    <row r="49291" spans="1:4" x14ac:dyDescent="0.25">
      <c r="A49291" t="str">
        <f>HYPERLINK("https://www.773grp.com/globalSearch/BCR8PM-12LA-A8/page-1", "BCR8PM-12LA-A8")</f>
        <v>BCR8PM-12LA-A8</v>
      </c>
      <c r="B49291" s="3" t="str">
        <f>HYPERLINK("https://www.773grp.com/manufacturer/renesas-electronics-america-inc?pageNo=360", "Renesas Electronics")</f>
        <v>Renesas Electronics</v>
      </c>
      <c r="C49291" s="6">
        <v>82688</v>
      </c>
      <c r="D49291" s="7">
        <v>3.65</v>
      </c>
    </row>
    <row r="49292" spans="1:4" x14ac:dyDescent="0.25">
      <c r="A49292" t="str">
        <f>HYPERLINK("https://www.773grp.com/globalSearch/M52461GP#TF0J/page-1", "M52461GP#TF0J")</f>
        <v>M52461GP#TF0J</v>
      </c>
      <c r="B49292" s="3" t="str">
        <f>HYPERLINK("https://www.773grp.com/manufacturer/renesas-electronics-america-inc?pageNo=361", "Renesas Electronics")</f>
        <v>Renesas Electronics</v>
      </c>
      <c r="C49292" s="6">
        <v>2356</v>
      </c>
      <c r="D49292" s="7">
        <v>3.65</v>
      </c>
    </row>
    <row r="49293" spans="1:4" x14ac:dyDescent="0.25">
      <c r="A49293" t="str">
        <f>HYPERLINK("https://www.773grp.com/globalSearch/R2A10412SP#W00J/page-1", "R2A10412SP#W00J")</f>
        <v>R2A10412SP#W00J</v>
      </c>
      <c r="B49293" s="3" t="str">
        <f>HYPERLINK("https://www.773grp.com/manufacturer/renesas-electronics-america-inc?pageNo=362", "Renesas Electronics")</f>
        <v>Renesas Electronics</v>
      </c>
      <c r="C49293" s="6">
        <v>5000</v>
      </c>
      <c r="D49293" s="7">
        <v>3.65</v>
      </c>
    </row>
    <row r="49294" spans="1:4" x14ac:dyDescent="0.25">
      <c r="A49294" t="str">
        <f>HYPERLINK("https://www.773grp.com/globalSearch/2SA1441(2)-S6-AZ/page-1", "2SA1441(2)-S6-AZ")</f>
        <v>2SA1441(2)-S6-AZ</v>
      </c>
      <c r="B49294" s="3" t="str">
        <f>HYPERLINK("https://www.773grp.com/manufacturer/renesas-electronics-america-inc?pageNo=363", "Renesas Electronics")</f>
        <v>Renesas Electronics</v>
      </c>
      <c r="C49294" s="6">
        <v>6084</v>
      </c>
      <c r="D49294" s="7">
        <v>3.33</v>
      </c>
    </row>
    <row r="49295" spans="1:4" x14ac:dyDescent="0.25">
      <c r="A49295" t="str">
        <f>HYPERLINK("https://www.773grp.com/globalSearch/2SA1441(5)-S6-AZ/page-1", "2SA1441(5)-S6-AZ")</f>
        <v>2SA1441(5)-S6-AZ</v>
      </c>
      <c r="B49295" s="3" t="str">
        <f>HYPERLINK("https://www.773grp.com/manufacturer/renesas-electronics-america-inc?pageNo=364", "Renesas Electronics")</f>
        <v>Renesas Electronics</v>
      </c>
      <c r="C49295" s="6">
        <v>6805</v>
      </c>
      <c r="D49295" s="7">
        <v>3.33</v>
      </c>
    </row>
    <row r="49296" spans="1:4" x14ac:dyDescent="0.25">
      <c r="A49296" t="str">
        <f>HYPERLINK("https://www.773grp.com/globalSearch/2SB1400-E#0205/page-1", "2SB1400-E#0205")</f>
        <v>2SB1400-E#0205</v>
      </c>
      <c r="B49296" s="3" t="str">
        <f>HYPERLINK("https://www.773grp.com/manufacturer/renesas-electronics-america-inc?pageNo=365", "Renesas Electronics")</f>
        <v>Renesas Electronics</v>
      </c>
      <c r="C49296" s="6">
        <v>100</v>
      </c>
      <c r="D49296" s="7">
        <v>3.33</v>
      </c>
    </row>
    <row r="49297" spans="1:4" x14ac:dyDescent="0.25">
      <c r="A49297" t="str">
        <f>HYPERLINK("https://www.773grp.com/globalSearch/2SJ142-AZ/page-1", "2SJ142-AZ")</f>
        <v>2SJ142-AZ</v>
      </c>
      <c r="B49297" s="3" t="str">
        <f>HYPERLINK("https://www.773grp.com/manufacturer/renesas-electronics-america-inc?pageNo=366", "Renesas Electronics")</f>
        <v>Renesas Electronics</v>
      </c>
      <c r="C49297" s="6">
        <v>443</v>
      </c>
      <c r="D49297" s="7">
        <v>3.33</v>
      </c>
    </row>
    <row r="49298" spans="1:4" x14ac:dyDescent="0.25">
      <c r="A49298" t="str">
        <f>HYPERLINK("https://www.773grp.com/globalSearch/AC08DSMA-AZ/page-1", "AC08DSMA-AZ")</f>
        <v>AC08DSMA-AZ</v>
      </c>
      <c r="B49298" s="3" t="str">
        <f>HYPERLINK("https://www.773grp.com/manufacturer/renesas-electronics-america-inc?pageNo=367", "Renesas Electronics")</f>
        <v>Renesas Electronics</v>
      </c>
      <c r="C49298" s="6">
        <v>298</v>
      </c>
      <c r="D49298" s="7">
        <v>3.33</v>
      </c>
    </row>
    <row r="49299" spans="1:4" x14ac:dyDescent="0.25">
      <c r="A49299" t="str">
        <f>HYPERLINK("https://www.773grp.com/globalSearch/CR12CM-12A#C0G/page-1", "CR12CM-12A#C0G")</f>
        <v>CR12CM-12A#C0G</v>
      </c>
      <c r="B49299" s="3" t="str">
        <f>HYPERLINK("https://www.773grp.com/manufacturer/renesas-electronics-america-inc?pageNo=368", "Renesas Electronics")</f>
        <v>Renesas Electronics</v>
      </c>
      <c r="C49299" s="6">
        <v>560</v>
      </c>
      <c r="D49299" s="7">
        <v>3.33</v>
      </c>
    </row>
    <row r="49300" spans="1:4" x14ac:dyDescent="0.25">
      <c r="A49300" t="str">
        <f>HYPERLINK("https://www.773grp.com/globalSearch/CR12CM-12A#P01/page-1", "CR12CM-12A#P01")</f>
        <v>CR12CM-12A#P01</v>
      </c>
      <c r="B49300" s="3" t="str">
        <f>HYPERLINK("https://www.773grp.com/manufacturer/renesas-electronics-america-inc?pageNo=369", "Renesas Electronics")</f>
        <v>Renesas Electronics</v>
      </c>
      <c r="C49300" s="6">
        <v>8</v>
      </c>
      <c r="D49300" s="7">
        <v>3.33</v>
      </c>
    </row>
    <row r="49301" spans="1:4" x14ac:dyDescent="0.25">
      <c r="A49301" t="str">
        <f>HYPERLINK("https://www.773grp.com/globalSearch/M54134GP#CB0J/page-1", "M54134GP#CB0J")</f>
        <v>M54134GP#CB0J</v>
      </c>
      <c r="B49301" s="3" t="str">
        <f>HYPERLINK("https://www.773grp.com/manufacturer/renesas-electronics-america-inc?pageNo=370", "Renesas Electronics")</f>
        <v>Renesas Electronics</v>
      </c>
      <c r="C49301" s="6">
        <v>20000</v>
      </c>
      <c r="D49301" s="7">
        <v>3.33</v>
      </c>
    </row>
    <row r="49302" spans="1:4" x14ac:dyDescent="0.25">
      <c r="A49302" t="str">
        <f>HYPERLINK("https://www.773grp.com/globalSearch/2SA1845-T-AZ/page-1", "2SA1845-T-AZ")</f>
        <v>2SA1845-T-AZ</v>
      </c>
      <c r="B49302" s="3" t="str">
        <f>HYPERLINK("https://www.773grp.com/manufacturer/renesas-electronics-america-inc?pageNo=371", "Renesas Electronics")</f>
        <v>Renesas Electronics</v>
      </c>
      <c r="C49302" s="6">
        <v>5000</v>
      </c>
      <c r="D49302" s="7">
        <v>3.7</v>
      </c>
    </row>
    <row r="49303" spans="1:4" x14ac:dyDescent="0.25">
      <c r="A49303" t="str">
        <f>HYPERLINK("https://www.773grp.com/globalSearch/2SB1072STR-E/page-1", "2SB1072STR-E")</f>
        <v>2SB1072STR-E</v>
      </c>
      <c r="B49303" s="3" t="str">
        <f>HYPERLINK("https://www.773grp.com/manufacturer/renesas-electronics-america-inc?pageNo=372", "Renesas Electronics")</f>
        <v>Renesas Electronics</v>
      </c>
      <c r="C49303" s="6">
        <v>6000</v>
      </c>
      <c r="D49303" s="7">
        <v>3.7</v>
      </c>
    </row>
    <row r="49304" spans="1:4" x14ac:dyDescent="0.25">
      <c r="A49304" t="str">
        <f>HYPERLINK("https://www.773grp.com/globalSearch/M51943AL#TF0J/page-1", "M51943AL#TF0J")</f>
        <v>M51943AL#TF0J</v>
      </c>
      <c r="B49304" s="3" t="str">
        <f>HYPERLINK("https://www.773grp.com/manufacturer/renesas-electronics-america-inc?pageNo=373", "Renesas Electronics")</f>
        <v>Renesas Electronics</v>
      </c>
      <c r="C49304" s="6">
        <v>10614</v>
      </c>
      <c r="D49304" s="7">
        <v>3.7</v>
      </c>
    </row>
    <row r="49305" spans="1:4" x14ac:dyDescent="0.25">
      <c r="A49305" t="str">
        <f>HYPERLINK("https://www.773grp.com/globalSearch/M62009FP#TF0J/page-1", "M62009FP#TF0J")</f>
        <v>M62009FP#TF0J</v>
      </c>
      <c r="B49305" s="3" t="str">
        <f>HYPERLINK("https://www.773grp.com/manufacturer/renesas-electronics-america-inc?pageNo=374", "Renesas Electronics")</f>
        <v>Renesas Electronics</v>
      </c>
      <c r="C49305" s="6">
        <v>55</v>
      </c>
      <c r="D49305" s="7">
        <v>3.7</v>
      </c>
    </row>
    <row r="49306" spans="1:4" x14ac:dyDescent="0.25">
      <c r="A49306" t="str">
        <f>HYPERLINK("https://www.773grp.com/globalSearch/M62552FP#CF0J/page-1", "M62552FP#CF0J")</f>
        <v>M62552FP#CF0J</v>
      </c>
      <c r="B49306" s="3" t="str">
        <f>HYPERLINK("https://www.773grp.com/manufacturer/renesas-electronics-america-inc?pageNo=375", "Renesas Electronics")</f>
        <v>Renesas Electronics</v>
      </c>
      <c r="C49306" s="6">
        <v>9000</v>
      </c>
      <c r="D49306" s="7">
        <v>3.7</v>
      </c>
    </row>
    <row r="49307" spans="1:4" x14ac:dyDescent="0.25">
      <c r="A49307" t="str">
        <f>HYPERLINK("https://www.773grp.com/globalSearch/RJK0226DNS-WS#J5/page-1", "RJK0226DNS-WS#J5")</f>
        <v>RJK0226DNS-WS#J5</v>
      </c>
      <c r="B49307" s="3" t="str">
        <f>HYPERLINK("https://www.773grp.com/manufacturer/renesas-electronics-america-inc?pageNo=376", "Renesas Electronics")</f>
        <v>Renesas Electronics</v>
      </c>
      <c r="C49307" s="6">
        <v>2600</v>
      </c>
      <c r="D49307" s="7">
        <v>3.7</v>
      </c>
    </row>
    <row r="49308" spans="1:4" x14ac:dyDescent="0.25">
      <c r="A49308" t="str">
        <f>HYPERLINK("https://www.773grp.com/globalSearch/RJK03M0DPA-WS#J5A/page-1", "RJK03M0DPA-WS#J5A")</f>
        <v>RJK03M0DPA-WS#J5A</v>
      </c>
      <c r="B49308" s="3" t="str">
        <f>HYPERLINK("https://www.773grp.com/manufacturer/renesas-electronics-america-inc?pageNo=377", "Renesas Electronics")</f>
        <v>Renesas Electronics</v>
      </c>
      <c r="C49308" s="6">
        <v>1120</v>
      </c>
      <c r="D49308" s="7">
        <v>3.7</v>
      </c>
    </row>
    <row r="49309" spans="1:4" x14ac:dyDescent="0.25">
      <c r="A49309" t="str">
        <f>HYPERLINK("https://www.773grp.com/globalSearch/RJK03P6DPA-00#J5A/page-1", "RJK03P6DPA-00#J5A")</f>
        <v>RJK03P6DPA-00#J5A</v>
      </c>
      <c r="B49309" s="3" t="str">
        <f>HYPERLINK("https://www.773grp.com/manufacturer/renesas-electronics-america-inc?pageNo=378", "Renesas Electronics")</f>
        <v>Renesas Electronics</v>
      </c>
      <c r="C49309" s="6">
        <v>27000</v>
      </c>
      <c r="D49309" s="7">
        <v>3.7</v>
      </c>
    </row>
    <row r="49310" spans="1:4" x14ac:dyDescent="0.25">
      <c r="A49310" t="str">
        <f>HYPERLINK("https://www.773grp.com/globalSearch/RJK03P6DPA-WS#J5A/page-1", "RJK03P6DPA-WS#J5A")</f>
        <v>RJK03P6DPA-WS#J5A</v>
      </c>
      <c r="B49310" s="3" t="str">
        <f>HYPERLINK("https://www.773grp.com/manufacturer/renesas-electronics-america-inc?pageNo=379", "Renesas Electronics")</f>
        <v>Renesas Electronics</v>
      </c>
      <c r="C49310" s="6">
        <v>2750</v>
      </c>
      <c r="D49310" s="7">
        <v>3.7</v>
      </c>
    </row>
    <row r="49311" spans="1:4" x14ac:dyDescent="0.25">
      <c r="A49311" t="str">
        <f>HYPERLINK("https://www.773grp.com/globalSearch/RJP4002ANS-00#Q1/page-1", "RJP4002ANS-00#Q1")</f>
        <v>RJP4002ANS-00#Q1</v>
      </c>
      <c r="B49311" s="3" t="str">
        <f>HYPERLINK("https://www.773grp.com/manufacturer/renesas-electronics-america-inc?pageNo=380", "Renesas Electronics")</f>
        <v>Renesas Electronics</v>
      </c>
      <c r="C49311" s="6">
        <v>33000</v>
      </c>
      <c r="D49311" s="7">
        <v>3.7</v>
      </c>
    </row>
    <row r="49312" spans="1:4" x14ac:dyDescent="0.25">
      <c r="A49312" t="str">
        <f>HYPERLINK("https://www.773grp.com/globalSearch/RJP4003ANS-00#Q1/page-1", "RJP4003ANS-00#Q1")</f>
        <v>RJP4003ANS-00#Q1</v>
      </c>
      <c r="B49312" s="3" t="str">
        <f>HYPERLINK("https://www.773grp.com/manufacturer/renesas-electronics-america-inc?pageNo=381", "Renesas Electronics")</f>
        <v>Renesas Electronics</v>
      </c>
      <c r="C49312" s="6">
        <v>51000</v>
      </c>
      <c r="D49312" s="7">
        <v>3.7</v>
      </c>
    </row>
    <row r="49313" spans="1:4" x14ac:dyDescent="0.25">
      <c r="A49313" t="str">
        <f>HYPERLINK("https://www.773grp.com/globalSearch/8P4SMA(YK)-AZ/page-1", "8P4SMA(YK)-AZ")</f>
        <v>8P4SMA(YK)-AZ</v>
      </c>
      <c r="B49313" s="3" t="str">
        <f>HYPERLINK("https://www.773grp.com/manufacturer/renesas-electronics-america-inc?pageNo=382", "Renesas Electronics")</f>
        <v>Renesas Electronics</v>
      </c>
      <c r="C49313" s="6">
        <v>240</v>
      </c>
      <c r="D49313" s="7">
        <v>3.34</v>
      </c>
    </row>
    <row r="49314" spans="1:4" x14ac:dyDescent="0.25">
      <c r="A49314" t="str">
        <f>HYPERLINK("https://www.773grp.com/globalSearch/BCR8KM-12LA-AT#B00/page-1", "BCR8KM-12LA-AT#B00")</f>
        <v>BCR8KM-12LA-AT#B00</v>
      </c>
      <c r="B49314" s="3" t="str">
        <f>HYPERLINK("https://www.773grp.com/manufacturer/renesas-electronics-america-inc?pageNo=383", "Renesas Electronics")</f>
        <v>Renesas Electronics</v>
      </c>
      <c r="C49314" s="6">
        <v>4365</v>
      </c>
      <c r="D49314" s="7">
        <v>3.34</v>
      </c>
    </row>
    <row r="49315" spans="1:4" x14ac:dyDescent="0.25">
      <c r="A49315" t="str">
        <f>HYPERLINK("https://www.773grp.com/globalSearch/AC10FGM(YA)-AZ/page-1", "AC10FGM(YA)-AZ")</f>
        <v>AC10FGM(YA)-AZ</v>
      </c>
      <c r="B49315" s="3" t="str">
        <f>HYPERLINK("https://www.773grp.com/manufacturer/renesas-electronics-america-inc?pageNo=384", "Renesas Electronics")</f>
        <v>Renesas Electronics</v>
      </c>
      <c r="C49315" s="6">
        <v>830</v>
      </c>
      <c r="D49315" s="7">
        <v>3.38</v>
      </c>
    </row>
    <row r="49316" spans="1:4" x14ac:dyDescent="0.25">
      <c r="A49316" t="str">
        <f>HYPERLINK("https://www.773grp.com/globalSearch/BCR10CS-12LA#B00/page-1", "BCR10CS-12LA#B00")</f>
        <v>BCR10CS-12LA#B00</v>
      </c>
      <c r="B49316" s="3" t="str">
        <f>HYPERLINK("https://www.773grp.com/manufacturer/renesas-electronics-america-inc?pageNo=385", "Renesas Electronics")</f>
        <v>Renesas Electronics</v>
      </c>
      <c r="C49316" s="6">
        <v>1326</v>
      </c>
      <c r="D49316" s="7">
        <v>3.38</v>
      </c>
    </row>
    <row r="49317" spans="1:4" x14ac:dyDescent="0.25">
      <c r="A49317" t="str">
        <f>HYPERLINK("https://www.773grp.com/globalSearch/BCR10CS-12LA-T11X3/page-1", "BCR10CS-12LA-T11X3")</f>
        <v>BCR10CS-12LA-T11X3</v>
      </c>
      <c r="B49317" s="3" t="str">
        <f>HYPERLINK("https://www.773grp.com/manufacturer/renesas-electronics-america-inc?pageNo=386", "Renesas Electronics")</f>
        <v>Renesas Electronics</v>
      </c>
      <c r="C49317" s="6">
        <v>11000</v>
      </c>
      <c r="D49317" s="7">
        <v>3.38</v>
      </c>
    </row>
    <row r="49318" spans="1:4" x14ac:dyDescent="0.25">
      <c r="A49318" t="str">
        <f>HYPERLINK("https://www.773grp.com/globalSearch/BCR10KM-12LA#C03/page-1", "BCR10KM-12LA#C03")</f>
        <v>BCR10KM-12LA#C03</v>
      </c>
      <c r="B49318" s="3" t="str">
        <f>HYPERLINK("https://www.773grp.com/manufacturer/renesas-electronics-america-inc?pageNo=387", "Renesas Electronics")</f>
        <v>Renesas Electronics</v>
      </c>
      <c r="C49318" s="6">
        <v>4782</v>
      </c>
      <c r="D49318" s="7">
        <v>3.38</v>
      </c>
    </row>
    <row r="49319" spans="1:4" x14ac:dyDescent="0.25">
      <c r="A49319" t="str">
        <f>HYPERLINK("https://www.773grp.com/globalSearch/BCR16CM-12LHAP#C03/page-1", "BCR16CM-12LHAP#C03")</f>
        <v>BCR16CM-12LHAP#C03</v>
      </c>
      <c r="B49319" s="3" t="str">
        <f>HYPERLINK("https://www.773grp.com/manufacturer/renesas-electronics-america-inc?pageNo=388", "Renesas Electronics")</f>
        <v>Renesas Electronics</v>
      </c>
      <c r="C49319" s="6">
        <v>477</v>
      </c>
      <c r="D49319" s="7">
        <v>3.38</v>
      </c>
    </row>
    <row r="49320" spans="1:4" x14ac:dyDescent="0.25">
      <c r="A49320" t="str">
        <f>HYPERLINK("https://www.773grp.com/globalSearch/BCR16CM-12LHAR#C03/page-1", "BCR16CM-12LHAR#C03")</f>
        <v>BCR16CM-12LHAR#C03</v>
      </c>
      <c r="B49320" s="3" t="str">
        <f>HYPERLINK("https://www.773grp.com/manufacturer/renesas-electronics-america-inc?pageNo=389", "Renesas Electronics")</f>
        <v>Renesas Electronics</v>
      </c>
      <c r="C49320" s="6">
        <v>422</v>
      </c>
      <c r="D49320" s="7">
        <v>3.38</v>
      </c>
    </row>
    <row r="49321" spans="1:4" x14ac:dyDescent="0.25">
      <c r="A49321" t="str">
        <f>HYPERLINK("https://www.773grp.com/globalSearch/BCR16CM-12LHJ6#C03/page-1", "BCR16CM-12LHJ6#C03")</f>
        <v>BCR16CM-12LHJ6#C03</v>
      </c>
      <c r="B49321" s="3" t="str">
        <f>HYPERLINK("https://www.773grp.com/manufacturer/renesas-electronics-america-inc?pageNo=390", "Renesas Electronics")</f>
        <v>Renesas Electronics</v>
      </c>
      <c r="C49321" s="6">
        <v>430</v>
      </c>
      <c r="D49321" s="7">
        <v>3.38</v>
      </c>
    </row>
    <row r="49322" spans="1:4" x14ac:dyDescent="0.25">
      <c r="A49322" t="str">
        <f>HYPERLINK("https://www.773grp.com/globalSearch/BCR20AM12LB1AR#B01/page-1", "BCR20AM12LB1AR#B01")</f>
        <v>BCR20AM12LB1AR#B01</v>
      </c>
      <c r="B49322" s="3" t="str">
        <f>HYPERLINK("https://www.773grp.com/manufacturer/renesas-electronics-america-inc?pageNo=391", "Renesas Electronics")</f>
        <v>Renesas Electronics</v>
      </c>
      <c r="C49322" s="6">
        <v>26334</v>
      </c>
      <c r="D49322" s="7">
        <v>3.38</v>
      </c>
    </row>
    <row r="49323" spans="1:4" x14ac:dyDescent="0.25">
      <c r="A49323" t="str">
        <f>HYPERLINK("https://www.773grp.com/globalSearch/R2A15906SP#U2/page-1", "R2A15906SP#U2")</f>
        <v>R2A15906SP#U2</v>
      </c>
      <c r="B49323" s="3" t="str">
        <f>HYPERLINK("https://www.773grp.com/manufacturer/renesas-electronics-america-inc?pageNo=392", "Renesas Electronics")</f>
        <v>Renesas Electronics</v>
      </c>
      <c r="C49323" s="6">
        <v>65</v>
      </c>
      <c r="D49323" s="7">
        <v>3.38</v>
      </c>
    </row>
    <row r="49324" spans="1:4" x14ac:dyDescent="0.25">
      <c r="A49324" t="str">
        <f>HYPERLINK("https://www.773grp.com/globalSearch/RJP30K3DPP-M9#T2F/page-1", "RJP30K3DPP-M9#T2F")</f>
        <v>RJP30K3DPP-M9#T2F</v>
      </c>
      <c r="B49324" s="3" t="str">
        <f>HYPERLINK("https://www.773grp.com/manufacturer/renesas-electronics-america-inc?pageNo=393", "Renesas Electronics")</f>
        <v>Renesas Electronics</v>
      </c>
      <c r="C49324" s="6">
        <v>900</v>
      </c>
      <c r="D49324" s="7">
        <v>3.38</v>
      </c>
    </row>
    <row r="49325" spans="1:4" x14ac:dyDescent="0.25">
      <c r="A49325" t="str">
        <f>HYPERLINK("https://www.773grp.com/globalSearch/RJU36B1WDPK-M0#T0/page-1", "RJU36B1WDPK-M0#T0")</f>
        <v>RJU36B1WDPK-M0#T0</v>
      </c>
      <c r="B49325" s="3" t="str">
        <f>HYPERLINK("https://www.773grp.com/manufacturer/renesas-electronics-america-inc?pageNo=394", "Renesas Electronics")</f>
        <v>Renesas Electronics</v>
      </c>
      <c r="C49325" s="6">
        <v>737278</v>
      </c>
      <c r="D49325" s="7">
        <v>3.38</v>
      </c>
    </row>
    <row r="49326" spans="1:4" x14ac:dyDescent="0.25">
      <c r="A49326" t="str">
        <f>HYPERLINK("https://www.773grp.com/globalSearch/UPD5556G-A/page-1", "UPD5556G-A")</f>
        <v>UPD5556G-A</v>
      </c>
      <c r="B49326" s="3" t="str">
        <f>HYPERLINK("https://www.773grp.com/manufacturer/renesas-electronics-america-inc?pageNo=395", "Renesas Electronics")</f>
        <v>Renesas Electronics</v>
      </c>
      <c r="C49326" s="6">
        <v>80</v>
      </c>
      <c r="D49326" s="7">
        <v>3.75</v>
      </c>
    </row>
    <row r="49327" spans="1:4" x14ac:dyDescent="0.25">
      <c r="A49327" t="str">
        <f>HYPERLINK("https://www.773grp.com/globalSearch/HA16120FPJ/page-1", "HA16120FPJ")</f>
        <v>HA16120FPJ</v>
      </c>
      <c r="B49327" s="3" t="str">
        <f>HYPERLINK("https://www.773grp.com/manufacturer/renesas-electronics-america-inc?pageNo=396", "Renesas Electronics")</f>
        <v>Renesas Electronics</v>
      </c>
      <c r="C49327" s="6">
        <v>1369</v>
      </c>
      <c r="D49327" s="7">
        <v>3.41</v>
      </c>
    </row>
    <row r="49328" spans="1:4" x14ac:dyDescent="0.25">
      <c r="A49328" t="str">
        <f>HYPERLINK("https://www.773grp.com/globalSearch/LVCC3245AT-EWS/page-1", "LVCC3245AT-EWS")</f>
        <v>LVCC3245AT-EWS</v>
      </c>
      <c r="B49328" s="3" t="str">
        <f>HYPERLINK("https://www.773grp.com/manufacturer/renesas-electronics-america-inc?pageNo=397", "Renesas Electronics")</f>
        <v>Renesas Electronics</v>
      </c>
      <c r="C49328" s="6">
        <v>870</v>
      </c>
      <c r="D49328" s="7">
        <v>3.41</v>
      </c>
    </row>
    <row r="49329" spans="1:4" x14ac:dyDescent="0.25">
      <c r="A49329" t="str">
        <f>HYPERLINK("https://www.773grp.com/globalSearch/RJU6054SDPK-M0#T0/page-1", "RJU6054SDPK-M0#T0")</f>
        <v>RJU6054SDPK-M0#T0</v>
      </c>
      <c r="B49329" s="3" t="str">
        <f>HYPERLINK("https://www.773grp.com/manufacturer/renesas-electronics-america-inc?pageNo=398", "Renesas Electronics")</f>
        <v>Renesas Electronics</v>
      </c>
      <c r="C49329" s="6">
        <v>3330</v>
      </c>
      <c r="D49329" s="7">
        <v>3.41</v>
      </c>
    </row>
    <row r="49330" spans="1:4" x14ac:dyDescent="0.25">
      <c r="A49330" t="str">
        <f>HYPERLINK("https://www.773grp.com/globalSearch/2S4M-AZ/page-1", "2S4M-AZ")</f>
        <v>2S4M-AZ</v>
      </c>
      <c r="B49330" s="3" t="str">
        <f>HYPERLINK("https://www.773grp.com/manufacturer/renesas-electronics-america-inc?pageNo=399", "Renesas Electronics")</f>
        <v>Renesas Electronics</v>
      </c>
      <c r="C49330" s="6">
        <v>228</v>
      </c>
      <c r="D49330" s="7">
        <v>3.8</v>
      </c>
    </row>
    <row r="49331" spans="1:4" x14ac:dyDescent="0.25">
      <c r="A49331" t="str">
        <f>HYPERLINK("https://www.773grp.com/globalSearch/2SC2333(3)-AZ/page-1", "2SC2333(3)-AZ")</f>
        <v>2SC2333(3)-AZ</v>
      </c>
      <c r="B49331" s="3" t="str">
        <f>HYPERLINK("https://www.773grp.com/manufacturer/renesas-electronics-america-inc?pageNo=400", "Renesas Electronics")</f>
        <v>Renesas Electronics</v>
      </c>
      <c r="C49331" s="6">
        <v>2627</v>
      </c>
      <c r="D49331" s="7">
        <v>3.8</v>
      </c>
    </row>
    <row r="49332" spans="1:4" x14ac:dyDescent="0.25">
      <c r="A49332" t="str">
        <f>HYPERLINK("https://www.773grp.com/globalSearch/74HC01P-E/page-1", "74HC01P-E")</f>
        <v>74HC01P-E</v>
      </c>
      <c r="B49332" s="3" t="str">
        <f>HYPERLINK("https://www.773grp.com/manufacturer/renesas-electronics-america-inc?pageNo=401", "Renesas Electronics")</f>
        <v>Renesas Electronics</v>
      </c>
      <c r="C49332" s="6">
        <v>1000</v>
      </c>
      <c r="D49332" s="7">
        <v>3.8</v>
      </c>
    </row>
    <row r="49333" spans="1:4" x14ac:dyDescent="0.25">
      <c r="A49333" t="str">
        <f>HYPERLINK("https://www.773grp.com/globalSearch/BCR3KM-12LA-1#B00/page-1", "BCR3KM-12LA-1#B00")</f>
        <v>BCR3KM-12LA-1#B00</v>
      </c>
      <c r="B49333" s="3" t="str">
        <f>HYPERLINK("https://www.773grp.com/manufacturer/renesas-electronics-america-inc?pageNo=402", "Renesas Electronics")</f>
        <v>Renesas Electronics</v>
      </c>
      <c r="C49333" s="6">
        <v>45821</v>
      </c>
      <c r="D49333" s="7">
        <v>3.8</v>
      </c>
    </row>
    <row r="49334" spans="1:4" x14ac:dyDescent="0.25">
      <c r="A49334" t="str">
        <f>HYPERLINK("https://www.773grp.com/globalSearch/BCR3KM-12RA-1AS#X5/page-1", "BCR3KM-12RA-1AS#X5")</f>
        <v>BCR3KM-12RA-1AS#X5</v>
      </c>
      <c r="B49334" s="3" t="str">
        <f>HYPERLINK("https://www.773grp.com/manufacturer/renesas-electronics-america-inc?pageNo=403", "Renesas Electronics")</f>
        <v>Renesas Electronics</v>
      </c>
      <c r="C49334" s="6">
        <v>4060</v>
      </c>
      <c r="D49334" s="7">
        <v>3.8</v>
      </c>
    </row>
    <row r="49335" spans="1:4" x14ac:dyDescent="0.25">
      <c r="A49335" t="str">
        <f>HYPERLINK("https://www.773grp.com/globalSearch/HA17524FP/page-1", "HA17524FP")</f>
        <v>HA17524FP</v>
      </c>
      <c r="B49335" s="3" t="str">
        <f>HYPERLINK("https://www.773grp.com/manufacturer/renesas-electronics-america-inc?pageNo=404", "Renesas Electronics")</f>
        <v>Renesas Electronics</v>
      </c>
      <c r="C49335" s="6">
        <v>2608</v>
      </c>
      <c r="D49335" s="7">
        <v>3.8</v>
      </c>
    </row>
    <row r="49336" spans="1:4" x14ac:dyDescent="0.25">
      <c r="A49336" t="str">
        <f>HYPERLINK("https://www.773grp.com/globalSearch/M62333FP#TF5J/page-1", "M62333FP#TF5J")</f>
        <v>M62333FP#TF5J</v>
      </c>
      <c r="B49336" s="3" t="str">
        <f>HYPERLINK("https://www.773grp.com/manufacturer/renesas-electronics-america-inc?pageNo=405", "Renesas Electronics")</f>
        <v>Renesas Electronics</v>
      </c>
      <c r="C49336" s="6">
        <v>6188</v>
      </c>
      <c r="D49336" s="7">
        <v>3.8</v>
      </c>
    </row>
    <row r="49337" spans="1:4" x14ac:dyDescent="0.25">
      <c r="A49337" t="str">
        <f>HYPERLINK("https://www.773grp.com/globalSearch/RJK0204DPA-WS#J53/page-1", "RJK0204DPA-WS#J53")</f>
        <v>RJK0204DPA-WS#J53</v>
      </c>
      <c r="B49337" s="3" t="str">
        <f>HYPERLINK("https://www.773grp.com/manufacturer/renesas-electronics-america-inc?pageNo=406", "Renesas Electronics")</f>
        <v>Renesas Electronics</v>
      </c>
      <c r="C49337" s="6">
        <v>1950</v>
      </c>
      <c r="D49337" s="7">
        <v>3.8</v>
      </c>
    </row>
    <row r="49338" spans="1:4" x14ac:dyDescent="0.25">
      <c r="A49338" t="str">
        <f>HYPERLINK("https://www.773grp.com/globalSearch/RJK03T2DPA-00#J5A/page-1", "RJK03T2DPA-00#J5A")</f>
        <v>RJK03T2DPA-00#J5A</v>
      </c>
      <c r="B49338" s="3" t="str">
        <f>HYPERLINK("https://www.773grp.com/manufacturer/renesas-electronics-america-inc?pageNo=407", "Renesas Electronics")</f>
        <v>Renesas Electronics</v>
      </c>
      <c r="C49338" s="6">
        <v>12000</v>
      </c>
      <c r="D49338" s="7">
        <v>3.8</v>
      </c>
    </row>
    <row r="49339" spans="1:4" x14ac:dyDescent="0.25">
      <c r="A49339" t="str">
        <f>HYPERLINK("https://www.773grp.com/globalSearch/2SJ319S-E/page-1", "2SJ319S-E")</f>
        <v>2SJ319S-E</v>
      </c>
      <c r="B49339" s="3" t="str">
        <f>HYPERLINK("https://www.773grp.com/manufacturer/renesas-electronics-america-inc?pageNo=408", "Renesas Electronics")</f>
        <v>Renesas Electronics</v>
      </c>
      <c r="C49339" s="6">
        <v>1399</v>
      </c>
      <c r="D49339" s="7">
        <v>3.43</v>
      </c>
    </row>
    <row r="49340" spans="1:4" x14ac:dyDescent="0.25">
      <c r="A49340" t="str">
        <f>HYPERLINK("https://www.773grp.com/globalSearch/2SK2425-E/page-1", "2SK2425-E")</f>
        <v>2SK2425-E</v>
      </c>
      <c r="B49340" s="3" t="str">
        <f>HYPERLINK("https://www.773grp.com/manufacturer/renesas-electronics-america-inc?pageNo=409", "Renesas Electronics")</f>
        <v>Renesas Electronics</v>
      </c>
      <c r="C49340" s="6">
        <v>1780</v>
      </c>
      <c r="D49340" s="7">
        <v>3.43</v>
      </c>
    </row>
    <row r="49341" spans="1:4" x14ac:dyDescent="0.25">
      <c r="A49341" t="str">
        <f>HYPERLINK("https://www.773grp.com/globalSearch/HA17904FPJ-EL/page-1", "HA17904FPJ-EL")</f>
        <v>HA17904FPJ-EL</v>
      </c>
      <c r="B49341" s="3" t="str">
        <f>HYPERLINK("https://www.773grp.com/manufacturer/renesas-electronics-america-inc?pageNo=410", "Renesas Electronics")</f>
        <v>Renesas Electronics</v>
      </c>
      <c r="C49341" s="6">
        <v>7500</v>
      </c>
      <c r="D49341" s="7">
        <v>3.43</v>
      </c>
    </row>
    <row r="49342" spans="1:4" x14ac:dyDescent="0.25">
      <c r="A49342" t="str">
        <f>HYPERLINK("https://www.773grp.com/globalSearch/AC10FGM(YB)-AZ/page-1", "AC10FGM(YB)-AZ")</f>
        <v>AC10FGM(YB)-AZ</v>
      </c>
      <c r="B49342" s="3" t="str">
        <f>HYPERLINK("https://www.773grp.com/manufacturer/renesas-electronics-america-inc?pageNo=411", "Renesas Electronics")</f>
        <v>Renesas Electronics</v>
      </c>
      <c r="C49342" s="6">
        <v>20614</v>
      </c>
      <c r="D49342" s="7">
        <v>3.46</v>
      </c>
    </row>
    <row r="49343" spans="1:4" x14ac:dyDescent="0.25">
      <c r="A49343" t="str">
        <f>HYPERLINK("https://www.773grp.com/globalSearch/2P4M(32)-AZ/page-1", "2P4M(32)-AZ")</f>
        <v>2P4M(32)-AZ</v>
      </c>
      <c r="B49343" s="3" t="str">
        <f>HYPERLINK("https://www.773grp.com/manufacturer/renesas-electronics-america-inc?pageNo=412", "Renesas Electronics")</f>
        <v>Renesas Electronics</v>
      </c>
      <c r="C49343" s="6">
        <v>269</v>
      </c>
      <c r="D49343" s="7">
        <v>3.85</v>
      </c>
    </row>
    <row r="49344" spans="1:4" x14ac:dyDescent="0.25">
      <c r="A49344" t="str">
        <f>HYPERLINK("https://www.773grp.com/globalSearch/2SB1091/page-1", "2SB1091")</f>
        <v>2SB1091</v>
      </c>
      <c r="B49344" s="3" t="str">
        <f>HYPERLINK("https://www.773grp.com/manufacturer/renesas-electronics-america-inc?pageNo=413", "Renesas Electronics")</f>
        <v>Renesas Electronics</v>
      </c>
      <c r="C49344" s="6">
        <v>2143</v>
      </c>
      <c r="D49344" s="7">
        <v>3.85</v>
      </c>
    </row>
    <row r="49345" spans="1:4" x14ac:dyDescent="0.25">
      <c r="A49345" t="str">
        <f>HYPERLINK("https://www.773grp.com/globalSearch/74HC85FP-E/page-1", "74HC85FP-E")</f>
        <v>74HC85FP-E</v>
      </c>
      <c r="B49345" s="3" t="str">
        <f>HYPERLINK("https://www.773grp.com/manufacturer/renesas-electronics-america-inc?pageNo=414", "Renesas Electronics")</f>
        <v>Renesas Electronics</v>
      </c>
      <c r="C49345" s="6">
        <v>7000</v>
      </c>
      <c r="D49345" s="7">
        <v>3.85</v>
      </c>
    </row>
    <row r="49346" spans="1:4" x14ac:dyDescent="0.25">
      <c r="A49346" t="str">
        <f>HYPERLINK("https://www.773grp.com/globalSearch/AC05DGM-AZ/page-1", "AC05DGM-AZ")</f>
        <v>AC05DGM-AZ</v>
      </c>
      <c r="B49346" s="3" t="str">
        <f>HYPERLINK("https://www.773grp.com/manufacturer/renesas-electronics-america-inc?pageNo=415", "Renesas Electronics")</f>
        <v>Renesas Electronics</v>
      </c>
      <c r="C49346" s="6">
        <v>850</v>
      </c>
      <c r="D49346" s="7">
        <v>3.85</v>
      </c>
    </row>
    <row r="49347" spans="1:4" x14ac:dyDescent="0.25">
      <c r="A49347" t="str">
        <f>HYPERLINK("https://www.773grp.com/globalSearch/HA16114FPJ-E/page-1", "HA16114FPJ-E")</f>
        <v>HA16114FPJ-E</v>
      </c>
      <c r="B49347" s="3" t="str">
        <f>HYPERLINK("https://www.773grp.com/manufacturer/renesas-electronics-america-inc?pageNo=416", "Renesas Electronics")</f>
        <v>Renesas Electronics</v>
      </c>
      <c r="C49347" s="6">
        <v>98</v>
      </c>
      <c r="D49347" s="7">
        <v>3.85</v>
      </c>
    </row>
    <row r="49348" spans="1:4" x14ac:dyDescent="0.25">
      <c r="A49348" t="str">
        <f>HYPERLINK("https://www.773grp.com/globalSearch/M62002FP#TF0J/page-1", "M62002FP#TF0J")</f>
        <v>M62002FP#TF0J</v>
      </c>
      <c r="B49348" s="3" t="str">
        <f>HYPERLINK("https://www.773grp.com/manufacturer/renesas-electronics-america-inc?pageNo=417", "Renesas Electronics")</f>
        <v>Renesas Electronics</v>
      </c>
      <c r="C49348" s="6">
        <v>3613</v>
      </c>
      <c r="D49348" s="7">
        <v>3.85</v>
      </c>
    </row>
    <row r="49349" spans="1:4" x14ac:dyDescent="0.25">
      <c r="A49349" t="str">
        <f>HYPERLINK("https://www.773grp.com/globalSearch/BCR12KM-12LB-1#B00/page-1", "BCR12KM-12LB-1#B00")</f>
        <v>BCR12KM-12LB-1#B00</v>
      </c>
      <c r="B49349" s="3" t="str">
        <f>HYPERLINK("https://www.773grp.com/manufacturer/renesas-electronics-america-inc?pageNo=418", "Renesas Electronics")</f>
        <v>Renesas Electronics</v>
      </c>
      <c r="C49349" s="6">
        <v>572</v>
      </c>
      <c r="D49349" s="7">
        <v>3.49</v>
      </c>
    </row>
    <row r="49350" spans="1:4" x14ac:dyDescent="0.25">
      <c r="A49350" t="str">
        <f>HYPERLINK("https://www.773grp.com/globalSearch/BCR12KM-12LBA8#B00/page-1", "BCR12KM-12LBA8#B00")</f>
        <v>BCR12KM-12LBA8#B00</v>
      </c>
      <c r="B49350" s="3" t="str">
        <f>HYPERLINK("https://www.773grp.com/manufacturer/renesas-electronics-america-inc?pageNo=419", "Renesas Electronics")</f>
        <v>Renesas Electronics</v>
      </c>
      <c r="C49350" s="6">
        <v>7525</v>
      </c>
      <c r="D49350" s="7">
        <v>3.49</v>
      </c>
    </row>
    <row r="49351" spans="1:4" x14ac:dyDescent="0.25">
      <c r="A49351" t="str">
        <f>HYPERLINK("https://www.773grp.com/globalSearch/RJK1560DPP-M0#T2/page-1", "RJK1560DPP-M0#T2")</f>
        <v>RJK1560DPP-M0#T2</v>
      </c>
      <c r="B49351" s="3" t="str">
        <f>HYPERLINK("https://www.773grp.com/manufacturer/renesas-electronics-america-inc?pageNo=420", "Renesas Electronics")</f>
        <v>Renesas Electronics</v>
      </c>
      <c r="C49351" s="6">
        <v>1547</v>
      </c>
      <c r="D49351" s="7">
        <v>3.49</v>
      </c>
    </row>
    <row r="49352" spans="1:4" x14ac:dyDescent="0.25">
      <c r="A49352" t="str">
        <f>HYPERLINK("https://www.773grp.com/globalSearch/26LS32FPEL-E/page-1", "26LS32FPEL-E")</f>
        <v>26LS32FPEL-E</v>
      </c>
      <c r="B49352" s="3" t="str">
        <f>HYPERLINK("https://www.773grp.com/manufacturer/renesas-electronics-america-inc?pageNo=421", "Renesas Electronics")</f>
        <v>Renesas Electronics</v>
      </c>
      <c r="C49352" s="6">
        <v>6000</v>
      </c>
      <c r="D49352" s="7">
        <v>3.51</v>
      </c>
    </row>
    <row r="49353" spans="1:4" x14ac:dyDescent="0.25">
      <c r="A49353" t="str">
        <f>HYPERLINK("https://www.773grp.com/globalSearch/2SK2934-92-E/page-1", "2SK2934-92-E")</f>
        <v>2SK2934-92-E</v>
      </c>
      <c r="B49353" s="3" t="str">
        <f>HYPERLINK("https://www.773grp.com/manufacturer/renesas-electronics-america-inc?pageNo=422", "Renesas Electronics")</f>
        <v>Renesas Electronics</v>
      </c>
      <c r="C49353" s="6">
        <v>15784</v>
      </c>
      <c r="D49353" s="7">
        <v>3.51</v>
      </c>
    </row>
    <row r="49354" spans="1:4" x14ac:dyDescent="0.25">
      <c r="A49354" t="str">
        <f>HYPERLINK("https://www.773grp.com/globalSearch/RJK0348DPA-WS#J0/page-1", "RJK0348DPA-WS#J0")</f>
        <v>RJK0348DPA-WS#J0</v>
      </c>
      <c r="B49354" s="3" t="str">
        <f>HYPERLINK("https://www.773grp.com/manufacturer/renesas-electronics-america-inc?pageNo=423", "Renesas Electronics")</f>
        <v>Renesas Electronics</v>
      </c>
      <c r="C49354" s="6">
        <v>2000</v>
      </c>
      <c r="D49354" s="7">
        <v>3.51</v>
      </c>
    </row>
    <row r="49355" spans="1:4" x14ac:dyDescent="0.25">
      <c r="A49355" t="str">
        <f>HYPERLINK("https://www.773grp.com/globalSearch/2SD1138D-E/page-1", "2SD1138D-E")</f>
        <v>2SD1138D-E</v>
      </c>
      <c r="B49355" s="3" t="str">
        <f>HYPERLINK("https://www.773grp.com/manufacturer/renesas-electronics-america-inc?pageNo=424", "Renesas Electronics")</f>
        <v>Renesas Electronics</v>
      </c>
      <c r="C49355" s="6">
        <v>1952</v>
      </c>
      <c r="D49355" s="7">
        <v>3.9</v>
      </c>
    </row>
    <row r="49356" spans="1:4" x14ac:dyDescent="0.25">
      <c r="A49356" t="str">
        <f>HYPERLINK("https://www.773grp.com/globalSearch/2SK3454-AZ/page-1", "2SK3454-AZ")</f>
        <v>2SK3454-AZ</v>
      </c>
      <c r="B49356" s="3" t="str">
        <f>HYPERLINK("https://www.773grp.com/manufacturer/renesas-electronics-america-inc?pageNo=425", "Renesas Electronics")</f>
        <v>Renesas Electronics</v>
      </c>
      <c r="C49356" s="6">
        <v>4660</v>
      </c>
      <c r="D49356" s="7">
        <v>3.9</v>
      </c>
    </row>
    <row r="49357" spans="1:4" x14ac:dyDescent="0.25">
      <c r="A49357" t="str">
        <f>HYPERLINK("https://www.773grp.com/globalSearch/74ACT138FPEL-E/page-1", "74ACT138FPEL-E")</f>
        <v>74ACT138FPEL-E</v>
      </c>
      <c r="B49357" s="3" t="str">
        <f>HYPERLINK("https://www.773grp.com/manufacturer/renesas-electronics-america-inc?pageNo=426", "Renesas Electronics")</f>
        <v>Renesas Electronics</v>
      </c>
      <c r="C49357" s="6">
        <v>6000</v>
      </c>
      <c r="D49357" s="7">
        <v>3.9</v>
      </c>
    </row>
    <row r="49358" spans="1:4" x14ac:dyDescent="0.25">
      <c r="A49358" t="str">
        <f>HYPERLINK("https://www.773grp.com/globalSearch/74ACT164FPEL-E/page-1", "74ACT164FPEL-E")</f>
        <v>74ACT164FPEL-E</v>
      </c>
      <c r="B49358" s="3" t="str">
        <f>HYPERLINK("https://www.773grp.com/manufacturer/renesas-electronics-america-inc?pageNo=427", "Renesas Electronics")</f>
        <v>Renesas Electronics</v>
      </c>
      <c r="C49358" s="6">
        <v>6000</v>
      </c>
      <c r="D49358" s="7">
        <v>3.9</v>
      </c>
    </row>
    <row r="49359" spans="1:4" x14ac:dyDescent="0.25">
      <c r="A49359" t="str">
        <f>HYPERLINK("https://www.773grp.com/globalSearch/74HC563P-E/page-1", "74HC563P-E")</f>
        <v>74HC563P-E</v>
      </c>
      <c r="B49359" s="3" t="str">
        <f>HYPERLINK("https://www.773grp.com/manufacturer/renesas-electronics-america-inc?pageNo=428", "Renesas Electronics")</f>
        <v>Renesas Electronics</v>
      </c>
      <c r="C49359" s="6">
        <v>8000</v>
      </c>
      <c r="D49359" s="7">
        <v>3.9</v>
      </c>
    </row>
    <row r="49360" spans="1:4" x14ac:dyDescent="0.25">
      <c r="A49360" t="str">
        <f>HYPERLINK("https://www.773grp.com/globalSearch/74HCT688FPEL-E/page-1", "74HCT688FPEL-E")</f>
        <v>74HCT688FPEL-E</v>
      </c>
      <c r="B49360" s="3" t="str">
        <f>HYPERLINK("https://www.773grp.com/manufacturer/renesas-electronics-america-inc?pageNo=429", "Renesas Electronics")</f>
        <v>Renesas Electronics</v>
      </c>
      <c r="C49360" s="6">
        <v>6000</v>
      </c>
      <c r="D49360" s="7">
        <v>3.9</v>
      </c>
    </row>
    <row r="49361" spans="1:4" x14ac:dyDescent="0.25">
      <c r="A49361" t="str">
        <f>HYPERLINK("https://www.773grp.com/globalSearch/74HCT688P-E/page-1", "74HCT688P-E")</f>
        <v>74HCT688P-E</v>
      </c>
      <c r="B49361" s="3" t="str">
        <f>HYPERLINK("https://www.773grp.com/manufacturer/renesas-electronics-america-inc?pageNo=430", "Renesas Electronics")</f>
        <v>Renesas Electronics</v>
      </c>
      <c r="C49361" s="6">
        <v>1000</v>
      </c>
      <c r="D49361" s="7">
        <v>3.9</v>
      </c>
    </row>
    <row r="49362" spans="1:4" x14ac:dyDescent="0.25">
      <c r="A49362" t="str">
        <f>HYPERLINK("https://www.773grp.com/globalSearch/HA17904FPJ-E/page-1", "HA17904FPJ-E")</f>
        <v>HA17904FPJ-E</v>
      </c>
      <c r="B49362" s="3" t="str">
        <f>HYPERLINK("https://www.773grp.com/manufacturer/renesas-electronics-america-inc?pageNo=431", "Renesas Electronics")</f>
        <v>Renesas Electronics</v>
      </c>
      <c r="C49362" s="6">
        <v>4923</v>
      </c>
      <c r="D49362" s="7">
        <v>3.9</v>
      </c>
    </row>
    <row r="49363" spans="1:4" x14ac:dyDescent="0.25">
      <c r="A49363" t="str">
        <f>HYPERLINK("https://www.773grp.com/globalSearch/RJK0330DPB-00#J0/page-1", "RJK0330DPB-00#J0")</f>
        <v>RJK0330DPB-00#J0</v>
      </c>
      <c r="B49363" s="3" t="str">
        <f>HYPERLINK("https://www.773grp.com/manufacturer/renesas-electronics-america-inc?pageNo=432", "Renesas Electronics")</f>
        <v>Renesas Electronics</v>
      </c>
      <c r="C49363" s="6">
        <v>2500</v>
      </c>
      <c r="D49363" s="7">
        <v>3.9</v>
      </c>
    </row>
    <row r="49364" spans="1:4" x14ac:dyDescent="0.25">
      <c r="A49364" t="str">
        <f>HYPERLINK("https://www.773grp.com/globalSearch/RJK03L3DNS-WS#J5/page-1", "RJK03L3DNS-WS#J5")</f>
        <v>RJK03L3DNS-WS#J5</v>
      </c>
      <c r="B49364" s="3" t="str">
        <f>HYPERLINK("https://www.773grp.com/manufacturer/renesas-electronics-america-inc?pageNo=433", "Renesas Electronics")</f>
        <v>Renesas Electronics</v>
      </c>
      <c r="C49364" s="6">
        <v>4950</v>
      </c>
      <c r="D49364" s="7">
        <v>3.9</v>
      </c>
    </row>
    <row r="49365" spans="1:4" x14ac:dyDescent="0.25">
      <c r="A49365" t="str">
        <f>HYPERLINK("https://www.773grp.com/globalSearch/UPD78F9211GR-JJG-A/page-1", "UPD78F9211GR-JJG-A")</f>
        <v>UPD78F9211GR-JJG-A</v>
      </c>
      <c r="B49365" s="3" t="str">
        <f>HYPERLINK("https://www.773grp.com/manufacturer/renesas-electronics-america-inc?pageNo=434", "Renesas Electronics")</f>
        <v>Renesas Electronics</v>
      </c>
      <c r="C49365" s="6">
        <v>475</v>
      </c>
      <c r="D49365" s="7">
        <v>3.9</v>
      </c>
    </row>
    <row r="49366" spans="1:4" x14ac:dyDescent="0.25">
      <c r="A49366" t="str">
        <f>HYPERLINK("https://www.773grp.com/globalSearch/2SK2936-E/page-1", "2SK2936-E")</f>
        <v>2SK2936-E</v>
      </c>
      <c r="B49366" s="3" t="str">
        <f>HYPERLINK("https://www.773grp.com/manufacturer/renesas-electronics-america-inc?pageNo=435", "Renesas Electronics")</f>
        <v>Renesas Electronics</v>
      </c>
      <c r="C49366" s="6">
        <v>264</v>
      </c>
      <c r="D49366" s="7">
        <v>3.55</v>
      </c>
    </row>
    <row r="49367" spans="1:4" x14ac:dyDescent="0.25">
      <c r="A49367" t="str">
        <f>HYPERLINK("https://www.773grp.com/globalSearch/FS50KM-2-AX#204/page-1", "FS50KM-2-AX#204")</f>
        <v>FS50KM-2-AX#204</v>
      </c>
      <c r="B49367" s="3" t="str">
        <f>HYPERLINK("https://www.773grp.com/manufacturer/renesas-electronics-america-inc?pageNo=436", "Renesas Electronics")</f>
        <v>Renesas Electronics</v>
      </c>
      <c r="C49367" s="6">
        <v>3425</v>
      </c>
      <c r="D49367" s="7">
        <v>3.55</v>
      </c>
    </row>
    <row r="49368" spans="1:4" x14ac:dyDescent="0.25">
      <c r="A49368" t="str">
        <f>HYPERLINK("https://www.773grp.com/globalSearch/RJU36B2WDPK-M0#T0/page-1", "RJU36B2WDPK-M0#T0")</f>
        <v>RJU36B2WDPK-M0#T0</v>
      </c>
      <c r="B49368" s="3" t="str">
        <f>HYPERLINK("https://www.773grp.com/manufacturer/renesas-electronics-america-inc?pageNo=437", "Renesas Electronics")</f>
        <v>Renesas Electronics</v>
      </c>
      <c r="C49368" s="6">
        <v>218040</v>
      </c>
      <c r="D49368" s="7">
        <v>3.58</v>
      </c>
    </row>
    <row r="49369" spans="1:4" x14ac:dyDescent="0.25">
      <c r="A49369" t="str">
        <f>HYPERLINK("https://www.773grp.com/globalSearch/2SB1262-02-E/page-1", "2SB1262-02-E")</f>
        <v>2SB1262-02-E</v>
      </c>
      <c r="B49369" s="3" t="str">
        <f>HYPERLINK("https://www.773grp.com/manufacturer/renesas-electronics-america-inc?pageNo=438", "Renesas Electronics")</f>
        <v>Renesas Electronics</v>
      </c>
      <c r="C49369" s="6">
        <v>2572</v>
      </c>
      <c r="D49369" s="7">
        <v>3.95</v>
      </c>
    </row>
    <row r="49370" spans="1:4" x14ac:dyDescent="0.25">
      <c r="A49370" t="str">
        <f>HYPERLINK("https://www.773grp.com/globalSearch/5P4M(6)-AZ/page-1", "5P4M(6)-AZ")</f>
        <v>5P4M(6)-AZ</v>
      </c>
      <c r="B49370" s="3" t="str">
        <f>HYPERLINK("https://www.773grp.com/manufacturer/renesas-electronics-america-inc?pageNo=439", "Renesas Electronics")</f>
        <v>Renesas Electronics</v>
      </c>
      <c r="C49370" s="6">
        <v>1078</v>
      </c>
      <c r="D49370" s="7">
        <v>3.95</v>
      </c>
    </row>
    <row r="49371" spans="1:4" x14ac:dyDescent="0.25">
      <c r="A49371" t="str">
        <f>HYPERLINK("https://www.773grp.com/globalSearch/BCR12CS-12LA#B00/page-1", "BCR12CS-12LA#B00")</f>
        <v>BCR12CS-12LA#B00</v>
      </c>
      <c r="B49371" s="3" t="str">
        <f>HYPERLINK("https://www.773grp.com/manufacturer/renesas-electronics-america-inc?pageNo=440", "Renesas Electronics")</f>
        <v>Renesas Electronics</v>
      </c>
      <c r="C49371" s="6">
        <v>7449</v>
      </c>
      <c r="D49371" s="7">
        <v>3.95</v>
      </c>
    </row>
    <row r="49372" spans="1:4" x14ac:dyDescent="0.25">
      <c r="A49372" t="str">
        <f>HYPERLINK("https://www.773grp.com/globalSearch/BCR12CS-12LA-T21X5/page-1", "BCR12CS-12LA-T21X5")</f>
        <v>BCR12CS-12LA-T21X5</v>
      </c>
      <c r="B49372" s="3" t="str">
        <f>HYPERLINK("https://www.773grp.com/manufacturer/renesas-electronics-america-inc?pageNo=441", "Renesas Electronics")</f>
        <v>Renesas Electronics</v>
      </c>
      <c r="C49372" s="6">
        <v>12000</v>
      </c>
      <c r="D49372" s="7">
        <v>3.95</v>
      </c>
    </row>
    <row r="49373" spans="1:4" x14ac:dyDescent="0.25">
      <c r="A49373" t="str">
        <f>HYPERLINK("https://www.773grp.com/globalSearch/BCR8KM-12LB#B00/page-1", "BCR8KM-12LB#B00")</f>
        <v>BCR8KM-12LB#B00</v>
      </c>
      <c r="B49373" s="3" t="str">
        <f>HYPERLINK("https://www.773grp.com/manufacturer/renesas-electronics-america-inc?pageNo=442", "Renesas Electronics")</f>
        <v>Renesas Electronics</v>
      </c>
      <c r="C49373" s="6">
        <v>288927</v>
      </c>
      <c r="D49373" s="7">
        <v>3.95</v>
      </c>
    </row>
    <row r="49374" spans="1:4" x14ac:dyDescent="0.25">
      <c r="A49374" t="str">
        <f>HYPERLINK("https://www.773grp.com/globalSearch/M51996AFP#TF0J/page-1", "M51996AFP#TF0J")</f>
        <v>M51996AFP#TF0J</v>
      </c>
      <c r="B49374" s="3" t="str">
        <f>HYPERLINK("https://www.773grp.com/manufacturer/renesas-electronics-america-inc?pageNo=443", "Renesas Electronics")</f>
        <v>Renesas Electronics</v>
      </c>
      <c r="C49374" s="6">
        <v>2567</v>
      </c>
      <c r="D49374" s="7">
        <v>3.95</v>
      </c>
    </row>
    <row r="49375" spans="1:4" x14ac:dyDescent="0.25">
      <c r="A49375" t="str">
        <f>HYPERLINK("https://www.773grp.com/globalSearch/RJK0348DPA-01#J0/page-1", "RJK0348DPA-01#J0")</f>
        <v>RJK0348DPA-01#J0</v>
      </c>
      <c r="B49375" s="3" t="str">
        <f>HYPERLINK("https://www.773grp.com/manufacturer/renesas-electronics-america-inc?pageNo=444", "Renesas Electronics")</f>
        <v>Renesas Electronics</v>
      </c>
      <c r="C49375" s="6">
        <v>165000</v>
      </c>
      <c r="D49375" s="7">
        <v>3.95</v>
      </c>
    </row>
    <row r="49376" spans="1:4" x14ac:dyDescent="0.25">
      <c r="A49376" t="str">
        <f>HYPERLINK("https://www.773grp.com/globalSearch/RJK0392DPA-WS#J53/page-1", "RJK0392DPA-WS#J53")</f>
        <v>RJK0392DPA-WS#J53</v>
      </c>
      <c r="B49376" s="3" t="str">
        <f>HYPERLINK("https://www.773grp.com/manufacturer/renesas-electronics-america-inc?pageNo=445", "Renesas Electronics")</f>
        <v>Renesas Electronics</v>
      </c>
      <c r="C49376" s="6">
        <v>2150</v>
      </c>
      <c r="D49376" s="7">
        <v>3.95</v>
      </c>
    </row>
    <row r="49377" spans="1:4" x14ac:dyDescent="0.25">
      <c r="A49377" t="str">
        <f>HYPERLINK("https://www.773grp.com/globalSearch/AC08FSMA-AZ/page-1", "AC08FSMA-AZ")</f>
        <v>AC08FSMA-AZ</v>
      </c>
      <c r="B49377" s="3" t="str">
        <f>HYPERLINK("https://www.773grp.com/manufacturer/renesas-electronics-america-inc?pageNo=446", "Renesas Electronics")</f>
        <v>Renesas Electronics</v>
      </c>
      <c r="C49377" s="6">
        <v>518</v>
      </c>
      <c r="D49377" s="7">
        <v>3.6</v>
      </c>
    </row>
    <row r="49378" spans="1:4" x14ac:dyDescent="0.25">
      <c r="A49378" t="str">
        <f>HYPERLINK("https://www.773grp.com/globalSearch/HA16120FP-EL/page-1", "HA16120FP-EL")</f>
        <v>HA16120FP-EL</v>
      </c>
      <c r="B49378" s="3" t="str">
        <f>HYPERLINK("https://www.773grp.com/manufacturer/renesas-electronics-america-inc?pageNo=447", "Renesas Electronics")</f>
        <v>Renesas Electronics</v>
      </c>
      <c r="C49378" s="6">
        <v>16000</v>
      </c>
      <c r="D49378" s="7">
        <v>3.6</v>
      </c>
    </row>
    <row r="49379" spans="1:4" x14ac:dyDescent="0.25">
      <c r="A49379" t="str">
        <f>HYPERLINK("https://www.773grp.com/globalSearch/HN58X2508FPIAG#S0/page-1", "HN58X2508FPIAG#S0")</f>
        <v>HN58X2508FPIAG#S0</v>
      </c>
      <c r="B49379" s="3" t="str">
        <f>HYPERLINK("https://www.773grp.com/manufacturer/renesas-electronics-america-inc?pageNo=448", "Renesas Electronics")</f>
        <v>Renesas Electronics</v>
      </c>
      <c r="C49379" s="6">
        <v>17500</v>
      </c>
      <c r="D49379" s="7">
        <v>3.6</v>
      </c>
    </row>
    <row r="49380" spans="1:4" x14ac:dyDescent="0.25">
      <c r="A49380" t="str">
        <f>HYPERLINK("https://www.773grp.com/globalSearch/RJK5026DPP-V0#T2/page-1", "RJK5026DPP-V0#T2")</f>
        <v>RJK5026DPP-V0#T2</v>
      </c>
      <c r="B49380" s="3" t="str">
        <f>HYPERLINK("https://www.773grp.com/manufacturer/renesas-electronics-america-inc?pageNo=449", "Renesas Electronics")</f>
        <v>Renesas Electronics</v>
      </c>
      <c r="C49380" s="6">
        <v>53</v>
      </c>
      <c r="D49380" s="7">
        <v>3.6</v>
      </c>
    </row>
    <row r="49381" spans="1:4" x14ac:dyDescent="0.25">
      <c r="A49381" t="str">
        <f>HYPERLINK("https://www.773grp.com/globalSearch/2SD1590(2)-S6/page-1", "2SD1590(2)-S6")</f>
        <v>2SD1590(2)-S6</v>
      </c>
      <c r="B49381" s="3" t="str">
        <f>HYPERLINK("https://www.773grp.com/manufacturer/renesas-electronics-america-inc?pageNo=450", "Renesas Electronics")</f>
        <v>Renesas Electronics</v>
      </c>
      <c r="C49381" s="6">
        <v>1634</v>
      </c>
      <c r="D49381" s="7">
        <v>3.63</v>
      </c>
    </row>
    <row r="49382" spans="1:4" x14ac:dyDescent="0.25">
      <c r="A49382" t="str">
        <f>HYPERLINK("https://www.773grp.com/globalSearch/M61530FP#TF0G/page-1", "M61530FP#TF0G")</f>
        <v>M61530FP#TF0G</v>
      </c>
      <c r="B49382" s="3" t="str">
        <f>HYPERLINK("https://www.773grp.com/manufacturer/renesas-electronics-america-inc?pageNo=451", "Renesas Electronics")</f>
        <v>Renesas Electronics</v>
      </c>
      <c r="C49382" s="6">
        <v>31</v>
      </c>
      <c r="D49382" s="7">
        <v>3.63</v>
      </c>
    </row>
    <row r="49383" spans="1:4" x14ac:dyDescent="0.25">
      <c r="A49383" t="str">
        <f>HYPERLINK("https://www.773grp.com/globalSearch/2SJ133-Z-E1-AZ/page-1", "2SJ133-Z-E1-AZ")</f>
        <v>2SJ133-Z-E1-AZ</v>
      </c>
      <c r="B49383" s="3" t="str">
        <f>HYPERLINK("https://www.773grp.com/manufacturer/renesas-electronics-america-inc?pageNo=452", "Renesas Electronics")</f>
        <v>Renesas Electronics</v>
      </c>
      <c r="C49383" s="6">
        <v>6000</v>
      </c>
      <c r="D49383" s="7">
        <v>4.01</v>
      </c>
    </row>
    <row r="49384" spans="1:4" x14ac:dyDescent="0.25">
      <c r="A49384" t="str">
        <f>HYPERLINK("https://www.773grp.com/globalSearch/74HC192P-E/page-1", "74HC192P-E")</f>
        <v>74HC192P-E</v>
      </c>
      <c r="B49384" s="3" t="str">
        <f>HYPERLINK("https://www.773grp.com/manufacturer/renesas-electronics-america-inc?pageNo=453", "Renesas Electronics")</f>
        <v>Renesas Electronics</v>
      </c>
      <c r="C49384" s="6">
        <v>4000</v>
      </c>
      <c r="D49384" s="7">
        <v>4.01</v>
      </c>
    </row>
    <row r="49385" spans="1:4" x14ac:dyDescent="0.25">
      <c r="A49385" t="str">
        <f>HYPERLINK("https://www.773grp.com/globalSearch/AC05DGM(YC)-AZ/page-1", "AC05DGM(YC)-AZ")</f>
        <v>AC05DGM(YC)-AZ</v>
      </c>
      <c r="B49385" s="3" t="str">
        <f>HYPERLINK("https://www.773grp.com/manufacturer/renesas-electronics-america-inc?pageNo=454", "Renesas Electronics")</f>
        <v>Renesas Electronics</v>
      </c>
      <c r="C49385" s="6">
        <v>6993</v>
      </c>
      <c r="D49385" s="7">
        <v>4.01</v>
      </c>
    </row>
    <row r="49386" spans="1:4" x14ac:dyDescent="0.25">
      <c r="A49386" t="str">
        <f>HYPERLINK("https://www.773grp.com/globalSearch/HN58X2404STI#S0/page-1", "HN58X2404STI#S0")</f>
        <v>HN58X2404STI#S0</v>
      </c>
      <c r="B49386" s="3" t="str">
        <f>HYPERLINK("https://www.773grp.com/manufacturer/renesas-electronics-america-inc?pageNo=455", "Renesas Electronics")</f>
        <v>Renesas Electronics</v>
      </c>
      <c r="C49386" s="6">
        <v>6000</v>
      </c>
      <c r="D49386" s="7">
        <v>4.01</v>
      </c>
    </row>
    <row r="49387" spans="1:4" x14ac:dyDescent="0.25">
      <c r="A49387" t="str">
        <f>HYPERLINK("https://www.773grp.com/globalSearch/HN58X2508TIAG#S0/page-1", "HN58X2508TIAG#S0")</f>
        <v>HN58X2508TIAG#S0</v>
      </c>
      <c r="B49387" s="3" t="str">
        <f>HYPERLINK("https://www.773grp.com/manufacturer/renesas-electronics-america-inc?pageNo=456", "Renesas Electronics")</f>
        <v>Renesas Electronics</v>
      </c>
      <c r="C49387" s="6">
        <v>6000</v>
      </c>
      <c r="D49387" s="7">
        <v>4.01</v>
      </c>
    </row>
    <row r="49388" spans="1:4" x14ac:dyDescent="0.25">
      <c r="A49388" t="str">
        <f>HYPERLINK("https://www.773grp.com/globalSearch/R1EX24032ATAS0I#S1/page-1", "R1EX24032ATAS0I#S1")</f>
        <v>R1EX24032ATAS0I#S1</v>
      </c>
      <c r="B49388" s="3" t="str">
        <f>HYPERLINK("https://www.773grp.com/manufacturer/renesas-electronics-america-inc?pageNo=457", "Renesas Electronics")</f>
        <v>Renesas Electronics</v>
      </c>
      <c r="C49388" s="6">
        <v>1500</v>
      </c>
      <c r="D49388" s="7">
        <v>4.01</v>
      </c>
    </row>
    <row r="49389" spans="1:4" x14ac:dyDescent="0.25">
      <c r="A49389" t="str">
        <f>HYPERLINK("https://www.773grp.com/globalSearch/2SC3568(1)-S6-AZ/page-1", "2SC3568(1)-S6-AZ")</f>
        <v>2SC3568(1)-S6-AZ</v>
      </c>
      <c r="B49389" s="3" t="str">
        <f>HYPERLINK("https://www.773grp.com/manufacturer/renesas-electronics-america-inc?pageNo=458", "Renesas Electronics")</f>
        <v>Renesas Electronics</v>
      </c>
      <c r="C49389" s="6">
        <v>771</v>
      </c>
      <c r="D49389" s="7">
        <v>3.66</v>
      </c>
    </row>
    <row r="49390" spans="1:4" x14ac:dyDescent="0.25">
      <c r="A49390" t="str">
        <f>HYPERLINK("https://www.773grp.com/globalSearch/2SC3568(2)-S6-AZ/page-1", "2SC3568(2)-S6-AZ")</f>
        <v>2SC3568(2)-S6-AZ</v>
      </c>
      <c r="B49390" s="3" t="str">
        <f>HYPERLINK("https://www.773grp.com/manufacturer/renesas-electronics-america-inc?pageNo=459", "Renesas Electronics")</f>
        <v>Renesas Electronics</v>
      </c>
      <c r="C49390" s="6">
        <v>652</v>
      </c>
      <c r="D49390" s="7">
        <v>3.66</v>
      </c>
    </row>
    <row r="49391" spans="1:4" x14ac:dyDescent="0.25">
      <c r="A49391" t="str">
        <f>HYPERLINK("https://www.773grp.com/globalSearch/AC10DSMA(1)-AZ/page-1", "AC10DSMA(1)-AZ")</f>
        <v>AC10DSMA(1)-AZ</v>
      </c>
      <c r="B49391" s="3" t="str">
        <f>HYPERLINK("https://www.773grp.com/manufacturer/renesas-electronics-america-inc?pageNo=460", "Renesas Electronics")</f>
        <v>Renesas Electronics</v>
      </c>
      <c r="C49391" s="6">
        <v>684</v>
      </c>
      <c r="D49391" s="7">
        <v>3.66</v>
      </c>
    </row>
    <row r="49392" spans="1:4" x14ac:dyDescent="0.25">
      <c r="A49392" t="str">
        <f>HYPERLINK("https://www.773grp.com/globalSearch/AC10DSMA(3)-AZ/page-1", "AC10DSMA(3)-AZ")</f>
        <v>AC10DSMA(3)-AZ</v>
      </c>
      <c r="B49392" s="3" t="str">
        <f>HYPERLINK("https://www.773grp.com/manufacturer/renesas-electronics-america-inc?pageNo=461", "Renesas Electronics")</f>
        <v>Renesas Electronics</v>
      </c>
      <c r="C49392" s="6">
        <v>1033</v>
      </c>
      <c r="D49392" s="7">
        <v>3.66</v>
      </c>
    </row>
    <row r="49393" spans="1:4" x14ac:dyDescent="0.25">
      <c r="A49393" t="str">
        <f>HYPERLINK("https://www.773grp.com/globalSearch/BCR16CM-16LHJ6#B00/page-1", "BCR16CM-16LHJ6#B00")</f>
        <v>BCR16CM-16LHJ6#B00</v>
      </c>
      <c r="B49393" s="3" t="str">
        <f>HYPERLINK("https://www.773grp.com/manufacturer/renesas-electronics-america-inc?pageNo=462", "Renesas Electronics")</f>
        <v>Renesas Electronics</v>
      </c>
      <c r="C49393" s="6">
        <v>69929</v>
      </c>
      <c r="D49393" s="7">
        <v>3.66</v>
      </c>
    </row>
    <row r="49394" spans="1:4" x14ac:dyDescent="0.25">
      <c r="A49394" t="str">
        <f>HYPERLINK("https://www.773grp.com/globalSearch/M51392P/page-1", "M51392P")</f>
        <v>M51392P</v>
      </c>
      <c r="B49394" s="3" t="str">
        <f>HYPERLINK("https://www.773grp.com/manufacturer/renesas-electronics-america-inc?pageNo=463", "Renesas Electronics")</f>
        <v>Renesas Electronics</v>
      </c>
      <c r="C49394" s="6">
        <v>3654</v>
      </c>
      <c r="D49394" s="7">
        <v>3.66</v>
      </c>
    </row>
    <row r="49395" spans="1:4" x14ac:dyDescent="0.25">
      <c r="A49395" t="str">
        <f>HYPERLINK("https://www.773grp.com/globalSearch/M62301FP#CF0J/page-1", "M62301FP#CF0J")</f>
        <v>M62301FP#CF0J</v>
      </c>
      <c r="B49395" s="3" t="str">
        <f>HYPERLINK("https://www.773grp.com/manufacturer/renesas-electronics-america-inc?pageNo=464", "Renesas Electronics")</f>
        <v>Renesas Electronics</v>
      </c>
      <c r="C49395" s="6">
        <v>6000</v>
      </c>
      <c r="D49395" s="7">
        <v>3.66</v>
      </c>
    </row>
    <row r="49396" spans="1:4" x14ac:dyDescent="0.25">
      <c r="A49396" t="str">
        <f>HYPERLINK("https://www.773grp.com/globalSearch/M62301FP#TF0J/page-1", "M62301FP#TF0J")</f>
        <v>M62301FP#TF0J</v>
      </c>
      <c r="B49396" s="3" t="str">
        <f>HYPERLINK("https://www.773grp.com/manufacturer/renesas-electronics-america-inc?pageNo=465", "Renesas Electronics")</f>
        <v>Renesas Electronics</v>
      </c>
      <c r="C49396" s="6">
        <v>10834</v>
      </c>
      <c r="D49396" s="7">
        <v>3.66</v>
      </c>
    </row>
    <row r="49397" spans="1:4" x14ac:dyDescent="0.25">
      <c r="A49397" t="str">
        <f>HYPERLINK("https://www.773grp.com/globalSearch/R2S15903SP#T1/page-1", "R2S15903SP#T1")</f>
        <v>R2S15903SP#T1</v>
      </c>
      <c r="B49397" s="3" t="str">
        <f>HYPERLINK("https://www.773grp.com/manufacturer/renesas-electronics-america-inc?pageNo=466", "Renesas Electronics")</f>
        <v>Renesas Electronics</v>
      </c>
      <c r="C49397" s="6">
        <v>760</v>
      </c>
      <c r="D49397" s="7">
        <v>3.66</v>
      </c>
    </row>
    <row r="49398" spans="1:4" x14ac:dyDescent="0.25">
      <c r="A49398" t="str">
        <f>HYPERLINK("https://www.773grp.com/globalSearch/RJK2017DPE-WS#J3/page-1", "RJK2017DPE-WS#J3")</f>
        <v>RJK2017DPE-WS#J3</v>
      </c>
      <c r="B49398" s="3" t="str">
        <f>HYPERLINK("https://www.773grp.com/manufacturer/renesas-electronics-america-inc?pageNo=467", "Renesas Electronics")</f>
        <v>Renesas Electronics</v>
      </c>
      <c r="C49398" s="6">
        <v>680</v>
      </c>
      <c r="D49398" s="7">
        <v>3.66</v>
      </c>
    </row>
    <row r="49399" spans="1:4" x14ac:dyDescent="0.25">
      <c r="A49399" t="str">
        <f>HYPERLINK("https://www.773grp.com/globalSearch/RJK2017DPP-00#T2/page-1", "RJK2017DPP-00#T2")</f>
        <v>RJK2017DPP-00#T2</v>
      </c>
      <c r="B49399" s="3" t="str">
        <f>HYPERLINK("https://www.773grp.com/manufacturer/renesas-electronics-america-inc?pageNo=468", "Renesas Electronics")</f>
        <v>Renesas Electronics</v>
      </c>
      <c r="C49399" s="6">
        <v>629</v>
      </c>
      <c r="D49399" s="7">
        <v>3.66</v>
      </c>
    </row>
    <row r="49400" spans="1:4" x14ac:dyDescent="0.25">
      <c r="A49400" t="str">
        <f>HYPERLINK("https://www.773grp.com/globalSearch/RJK2017DPP-90#T2/page-1", "RJK2017DPP-90#T2")</f>
        <v>RJK2017DPP-90#T2</v>
      </c>
      <c r="B49400" s="3" t="str">
        <f>HYPERLINK("https://www.773grp.com/manufacturer/renesas-electronics-america-inc?pageNo=469", "Renesas Electronics")</f>
        <v>Renesas Electronics</v>
      </c>
      <c r="C49400" s="6">
        <v>1367</v>
      </c>
      <c r="D49400" s="7">
        <v>3.66</v>
      </c>
    </row>
    <row r="49401" spans="1:4" x14ac:dyDescent="0.25">
      <c r="A49401" t="str">
        <f>HYPERLINK("https://www.773grp.com/globalSearch/RJK2017DPP-B1#T2F/page-1", "RJK2017DPP-B1#T2F")</f>
        <v>RJK2017DPP-B1#T2F</v>
      </c>
      <c r="B49401" s="3" t="str">
        <f>HYPERLINK("https://www.773grp.com/manufacturer/renesas-electronics-america-inc?pageNo=470", "Renesas Electronics")</f>
        <v>Renesas Electronics</v>
      </c>
      <c r="C49401" s="6">
        <v>8000</v>
      </c>
      <c r="D49401" s="7">
        <v>3.66</v>
      </c>
    </row>
    <row r="49402" spans="1:4" x14ac:dyDescent="0.25">
      <c r="A49402" t="str">
        <f>HYPERLINK("https://www.773grp.com/globalSearch/RJP43F4ADPP-00#T2/page-1", "RJP43F4ADPP-00#T2")</f>
        <v>RJP43F4ADPP-00#T2</v>
      </c>
      <c r="B49402" s="3" t="str">
        <f>HYPERLINK("https://www.773grp.com/manufacturer/renesas-electronics-america-inc?pageNo=471", "Renesas Electronics")</f>
        <v>Renesas Electronics</v>
      </c>
      <c r="C49402" s="6">
        <v>19466</v>
      </c>
      <c r="D49402" s="7">
        <v>3.66</v>
      </c>
    </row>
    <row r="49403" spans="1:4" x14ac:dyDescent="0.25">
      <c r="A49403" t="str">
        <f>HYPERLINK("https://www.773grp.com/globalSearch/RJP56F4ADPP-00#T2/page-1", "RJP56F4ADPP-00#T2")</f>
        <v>RJP56F4ADPP-00#T2</v>
      </c>
      <c r="B49403" s="3" t="str">
        <f>HYPERLINK("https://www.773grp.com/manufacturer/renesas-electronics-america-inc?pageNo=472", "Renesas Electronics")</f>
        <v>Renesas Electronics</v>
      </c>
      <c r="C49403" s="6">
        <v>44959</v>
      </c>
      <c r="D49403" s="7">
        <v>3.66</v>
      </c>
    </row>
    <row r="49404" spans="1:4" x14ac:dyDescent="0.25">
      <c r="A49404" t="str">
        <f>HYPERLINK("https://www.773grp.com/globalSearch/RJP63K2DPP-MZ#T2/page-1", "RJP63K2DPP-MZ#T2")</f>
        <v>RJP63K2DPP-MZ#T2</v>
      </c>
      <c r="B49404" s="3" t="str">
        <f>HYPERLINK("https://www.773grp.com/manufacturer/renesas-electronics-america-inc?pageNo=473", "Renesas Electronics")</f>
        <v>Renesas Electronics</v>
      </c>
      <c r="C49404" s="6">
        <v>629</v>
      </c>
      <c r="D49404" s="7">
        <v>3.66</v>
      </c>
    </row>
    <row r="49405" spans="1:4" x14ac:dyDescent="0.25">
      <c r="A49405" t="str">
        <f>HYPERLINK("https://www.773grp.com/globalSearch/74LS07FPDEL-E/page-1", "74LS07FPDEL-E")</f>
        <v>74LS07FPDEL-E</v>
      </c>
      <c r="B49405" s="3" t="str">
        <f>HYPERLINK("https://www.773grp.com/manufacturer/renesas-electronics-america-inc?pageNo=474", "Renesas Electronics")</f>
        <v>Renesas Electronics</v>
      </c>
      <c r="C49405" s="6">
        <v>8000</v>
      </c>
      <c r="D49405" s="7">
        <v>4.0599999999999996</v>
      </c>
    </row>
    <row r="49406" spans="1:4" x14ac:dyDescent="0.25">
      <c r="A49406" t="str">
        <f>HYPERLINK("https://www.773grp.com/globalSearch/HA16121FP/page-1", "HA16121FP")</f>
        <v>HA16121FP</v>
      </c>
      <c r="B49406" s="3" t="str">
        <f>HYPERLINK("https://www.773grp.com/manufacturer/renesas-electronics-america-inc?pageNo=475", "Renesas Electronics")</f>
        <v>Renesas Electronics</v>
      </c>
      <c r="C49406" s="6">
        <v>2519</v>
      </c>
      <c r="D49406" s="7">
        <v>4.0599999999999996</v>
      </c>
    </row>
    <row r="49407" spans="1:4" x14ac:dyDescent="0.25">
      <c r="A49407" t="str">
        <f>HYPERLINK("https://www.773grp.com/globalSearch/M62343GP#DF5J/page-1", "M62343GP#DF5J")</f>
        <v>M62343GP#DF5J</v>
      </c>
      <c r="B49407" s="3" t="str">
        <f>HYPERLINK("https://www.773grp.com/manufacturer/renesas-electronics-america-inc?pageNo=476", "Renesas Electronics")</f>
        <v>Renesas Electronics</v>
      </c>
      <c r="C49407" s="6">
        <v>408000</v>
      </c>
      <c r="D49407" s="7">
        <v>4.0599999999999996</v>
      </c>
    </row>
    <row r="49408" spans="1:4" x14ac:dyDescent="0.25">
      <c r="A49408" t="str">
        <f>HYPERLINK("https://www.773grp.com/globalSearch/AC08DSMA(2)-AZ/page-1", "AC08DSMA(2)-AZ")</f>
        <v>AC08DSMA(2)-AZ</v>
      </c>
      <c r="B49408" s="3" t="str">
        <f>HYPERLINK("https://www.773grp.com/manufacturer/renesas-electronics-america-inc?pageNo=477", "Renesas Electronics")</f>
        <v>Renesas Electronics</v>
      </c>
      <c r="C49408" s="6">
        <v>381</v>
      </c>
      <c r="D49408" s="7">
        <v>3.68</v>
      </c>
    </row>
    <row r="49409" spans="1:4" x14ac:dyDescent="0.25">
      <c r="A49409" t="str">
        <f>HYPERLINK("https://www.773grp.com/globalSearch/AC10DSMA(2)-AZ/page-1", "AC10DSMA(2)-AZ")</f>
        <v>AC10DSMA(2)-AZ</v>
      </c>
      <c r="B49409" s="3" t="str">
        <f>HYPERLINK("https://www.773grp.com/manufacturer/renesas-electronics-america-inc?pageNo=478", "Renesas Electronics")</f>
        <v>Renesas Electronics</v>
      </c>
      <c r="C49409" s="6">
        <v>931</v>
      </c>
      <c r="D49409" s="7">
        <v>3.68</v>
      </c>
    </row>
    <row r="49410" spans="1:4" x14ac:dyDescent="0.25">
      <c r="A49410" t="str">
        <f>HYPERLINK("https://www.773grp.com/globalSearch/AC08FSMA(1)-AZ/page-1", "AC08FSMA(1)-AZ")</f>
        <v>AC08FSMA(1)-AZ</v>
      </c>
      <c r="B49410" s="3" t="str">
        <f>HYPERLINK("https://www.773grp.com/manufacturer/renesas-electronics-america-inc?pageNo=479", "Renesas Electronics")</f>
        <v>Renesas Electronics</v>
      </c>
      <c r="C49410" s="6">
        <v>3905</v>
      </c>
      <c r="D49410" s="7">
        <v>3.71</v>
      </c>
    </row>
    <row r="49411" spans="1:4" x14ac:dyDescent="0.25">
      <c r="A49411" t="str">
        <f>HYPERLINK("https://www.773grp.com/globalSearch/BCR10KM-12LA-AS#X2/page-1", "BCR10KM-12LA-AS#X2")</f>
        <v>BCR10KM-12LA-AS#X2</v>
      </c>
      <c r="B49411" s="3" t="str">
        <f>HYPERLINK("https://www.773grp.com/manufacturer/renesas-electronics-america-inc?pageNo=480", "Renesas Electronics")</f>
        <v>Renesas Electronics</v>
      </c>
      <c r="C49411" s="6">
        <v>199</v>
      </c>
      <c r="D49411" s="7">
        <v>3.71</v>
      </c>
    </row>
    <row r="49412" spans="1:4" x14ac:dyDescent="0.25">
      <c r="A49412" t="str">
        <f>HYPERLINK("https://www.773grp.com/globalSearch/5P4SMA(YC)-AZ/page-1", "5P4SMA(YC)-AZ")</f>
        <v>5P4SMA(YC)-AZ</v>
      </c>
      <c r="B49412" s="3" t="str">
        <f>HYPERLINK("https://www.773grp.com/manufacturer/renesas-electronics-america-inc?pageNo=481", "Renesas Electronics")</f>
        <v>Renesas Electronics</v>
      </c>
      <c r="C49412" s="6">
        <v>883</v>
      </c>
      <c r="D49412" s="7">
        <v>4.1100000000000003</v>
      </c>
    </row>
    <row r="49413" spans="1:4" x14ac:dyDescent="0.25">
      <c r="A49413" t="str">
        <f>HYPERLINK("https://www.773grp.com/globalSearch/M52461GP#DF0J/page-1", "M52461GP#DF0J")</f>
        <v>M52461GP#DF0J</v>
      </c>
      <c r="B49413" s="3" t="str">
        <f>HYPERLINK("https://www.773grp.com/manufacturer/renesas-electronics-america-inc?pageNo=482", "Renesas Electronics")</f>
        <v>Renesas Electronics</v>
      </c>
      <c r="C49413" s="6">
        <v>3000</v>
      </c>
      <c r="D49413" s="7">
        <v>4.1100000000000003</v>
      </c>
    </row>
    <row r="49414" spans="1:4" x14ac:dyDescent="0.25">
      <c r="A49414" t="str">
        <f>HYPERLINK("https://www.773grp.com/globalSearch/RJJ0621DPP-0P#T2/page-1", "RJJ0621DPP-0P#T2")</f>
        <v>RJJ0621DPP-0P#T2</v>
      </c>
      <c r="B49414" s="3" t="str">
        <f>HYPERLINK("https://www.773grp.com/manufacturer/renesas-electronics-america-inc?pageNo=483", "Renesas Electronics")</f>
        <v>Renesas Electronics</v>
      </c>
      <c r="C49414" s="6">
        <v>18474</v>
      </c>
      <c r="D49414" s="7">
        <v>4.1100000000000003</v>
      </c>
    </row>
    <row r="49415" spans="1:4" x14ac:dyDescent="0.25">
      <c r="A49415" t="str">
        <f>HYPERLINK("https://www.773grp.com/globalSearch/UPA2710GR-E2-A/page-1", "UPA2710GR-E2-A")</f>
        <v>UPA2710GR-E2-A</v>
      </c>
      <c r="B49415" s="3" t="str">
        <f>HYPERLINK("https://www.773grp.com/manufacturer/renesas-electronics-america-inc?pageNo=484", "Renesas Electronics")</f>
        <v>Renesas Electronics</v>
      </c>
      <c r="C49415" s="6">
        <v>27500</v>
      </c>
      <c r="D49415" s="7">
        <v>4.1100000000000003</v>
      </c>
    </row>
    <row r="49416" spans="1:4" x14ac:dyDescent="0.25">
      <c r="A49416" t="str">
        <f>HYPERLINK("https://www.773grp.com/globalSearch/FX30KMJ-06#B00/page-1", "FX30KMJ-06#B00")</f>
        <v>FX30KMJ-06#B00</v>
      </c>
      <c r="B49416" s="3" t="str">
        <f>HYPERLINK("https://www.773grp.com/manufacturer/renesas-electronics-america-inc?pageNo=485", "Renesas Electronics")</f>
        <v>Renesas Electronics</v>
      </c>
      <c r="C49416" s="6">
        <v>5083</v>
      </c>
      <c r="D49416" s="7">
        <v>3.75</v>
      </c>
    </row>
    <row r="49417" spans="1:4" x14ac:dyDescent="0.25">
      <c r="A49417" t="str">
        <f>HYPERLINK("https://www.773grp.com/globalSearch/2SA1396(1)-AZ/page-1", "2SA1396(1)-AZ")</f>
        <v>2SA1396(1)-AZ</v>
      </c>
      <c r="B49417" s="3" t="str">
        <f>HYPERLINK("https://www.773grp.com/manufacturer/renesas-electronics-america-inc?pageNo=486", "Renesas Electronics")</f>
        <v>Renesas Electronics</v>
      </c>
      <c r="C49417" s="6">
        <v>296</v>
      </c>
      <c r="D49417" s="7">
        <v>4.16</v>
      </c>
    </row>
    <row r="49418" spans="1:4" x14ac:dyDescent="0.25">
      <c r="A49418" t="str">
        <f>HYPERLINK("https://www.773grp.com/globalSearch/2SB765K-E/page-1", "2SB765K-E")</f>
        <v>2SB765K-E</v>
      </c>
      <c r="B49418" s="3" t="str">
        <f>HYPERLINK("https://www.773grp.com/manufacturer/renesas-electronics-america-inc?pageNo=487", "Renesas Electronics")</f>
        <v>Renesas Electronics</v>
      </c>
      <c r="C49418" s="6">
        <v>3346</v>
      </c>
      <c r="D49418" s="7">
        <v>4.16</v>
      </c>
    </row>
    <row r="49419" spans="1:4" x14ac:dyDescent="0.25">
      <c r="A49419" t="str">
        <f>HYPERLINK("https://www.773grp.com/globalSearch/74HC148P-E/page-1", "74HC148P-E")</f>
        <v>74HC148P-E</v>
      </c>
      <c r="B49419" s="3" t="str">
        <f>HYPERLINK("https://www.773grp.com/manufacturer/renesas-electronics-america-inc?pageNo=488", "Renesas Electronics")</f>
        <v>Renesas Electronics</v>
      </c>
      <c r="C49419" s="6">
        <v>9000</v>
      </c>
      <c r="D49419" s="7">
        <v>4.16</v>
      </c>
    </row>
    <row r="49420" spans="1:4" x14ac:dyDescent="0.25">
      <c r="A49420" t="str">
        <f>HYPERLINK("https://www.773grp.com/globalSearch/AC03DGM(CK)-AZ/page-1", "AC03DGM(CK)-AZ")</f>
        <v>AC03DGM(CK)-AZ</v>
      </c>
      <c r="B49420" s="3" t="str">
        <f>HYPERLINK("https://www.773grp.com/manufacturer/renesas-electronics-america-inc?pageNo=489", "Renesas Electronics")</f>
        <v>Renesas Electronics</v>
      </c>
      <c r="C49420" s="6">
        <v>216</v>
      </c>
      <c r="D49420" s="7">
        <v>4.16</v>
      </c>
    </row>
    <row r="49421" spans="1:4" x14ac:dyDescent="0.25">
      <c r="A49421" t="str">
        <f>HYPERLINK("https://www.773grp.com/globalSearch/RJK03R1DPA-00#J5A/page-1", "RJK03R1DPA-00#J5A")</f>
        <v>RJK03R1DPA-00#J5A</v>
      </c>
      <c r="B49421" s="3" t="str">
        <f>HYPERLINK("https://www.773grp.com/manufacturer/renesas-electronics-america-inc?pageNo=490", "Renesas Electronics")</f>
        <v>Renesas Electronics</v>
      </c>
      <c r="C49421" s="6">
        <v>1023000</v>
      </c>
      <c r="D49421" s="7">
        <v>4.16</v>
      </c>
    </row>
    <row r="49422" spans="1:4" x14ac:dyDescent="0.25">
      <c r="A49422" t="str">
        <f>HYPERLINK("https://www.773grp.com/globalSearch/2SA1441(016)-S6-AZ/page-1", "2SA1441(016)-S6-AZ")</f>
        <v>2SA1441(016)-S6-AZ</v>
      </c>
      <c r="B49422" s="3" t="str">
        <f>HYPERLINK("https://www.773grp.com/manufacturer/renesas-electronics-america-inc?pageNo=491", "Renesas Electronics")</f>
        <v>Renesas Electronics</v>
      </c>
      <c r="C49422" s="6">
        <v>1500</v>
      </c>
      <c r="D49422" s="7">
        <v>3.76</v>
      </c>
    </row>
    <row r="49423" spans="1:4" x14ac:dyDescent="0.25">
      <c r="A49423" t="str">
        <f>HYPERLINK("https://www.773grp.com/globalSearch/2SK214-E/page-1", "2SK214-E")</f>
        <v>2SK214-E</v>
      </c>
      <c r="B49423" s="3" t="str">
        <f>HYPERLINK("https://www.773grp.com/manufacturer/renesas-electronics-america-inc?pageNo=492", "Renesas Electronics")</f>
        <v>Renesas Electronics</v>
      </c>
      <c r="C49423" s="6">
        <v>2081</v>
      </c>
      <c r="D49423" s="7">
        <v>3.76</v>
      </c>
    </row>
    <row r="49424" spans="1:4" x14ac:dyDescent="0.25">
      <c r="A49424" t="str">
        <f>HYPERLINK("https://www.773grp.com/globalSearch/AC16DGM-AZ/page-1", "AC16DGM-AZ")</f>
        <v>AC16DGM-AZ</v>
      </c>
      <c r="B49424" s="3" t="str">
        <f>HYPERLINK("https://www.773grp.com/manufacturer/renesas-electronics-america-inc?pageNo=493", "Renesas Electronics")</f>
        <v>Renesas Electronics</v>
      </c>
      <c r="C49424" s="6">
        <v>519</v>
      </c>
      <c r="D49424" s="7">
        <v>3.76</v>
      </c>
    </row>
    <row r="49425" spans="1:4" x14ac:dyDescent="0.25">
      <c r="A49425" t="str">
        <f>HYPERLINK("https://www.773grp.com/globalSearch/HAF1002-90STL/page-1", "HAF1002-90STL")</f>
        <v>HAF1002-90STL</v>
      </c>
      <c r="B49425" s="3" t="str">
        <f>HYPERLINK("https://www.773grp.com/manufacturer/renesas-electronics-america-inc?pageNo=494", "Renesas Electronics")</f>
        <v>Renesas Electronics</v>
      </c>
      <c r="C49425" s="6">
        <v>1000</v>
      </c>
      <c r="D49425" s="7">
        <v>3.76</v>
      </c>
    </row>
    <row r="49426" spans="1:4" x14ac:dyDescent="0.25">
      <c r="A49426" t="str">
        <f>HYPERLINK("https://www.773grp.com/globalSearch/M62253BGP#D71J/page-1", "M62253BGP#D71J")</f>
        <v>M62253BGP#D71J</v>
      </c>
      <c r="B49426" s="3" t="str">
        <f>HYPERLINK("https://www.773grp.com/manufacturer/renesas-electronics-america-inc?pageNo=495", "Renesas Electronics")</f>
        <v>Renesas Electronics</v>
      </c>
      <c r="C49426" s="6">
        <v>12000</v>
      </c>
      <c r="D49426" s="7">
        <v>3.76</v>
      </c>
    </row>
    <row r="49427" spans="1:4" x14ac:dyDescent="0.25">
      <c r="A49427" t="str">
        <f>HYPERLINK("https://www.773grp.com/globalSearch/AC12FSMA-AZ/page-1", "AC12FSMA-AZ")</f>
        <v>AC12FSMA-AZ</v>
      </c>
      <c r="B49427" s="3" t="str">
        <f>HYPERLINK("https://www.773grp.com/manufacturer/renesas-electronics-america-inc?pageNo=496", "Renesas Electronics")</f>
        <v>Renesas Electronics</v>
      </c>
      <c r="C49427" s="6">
        <v>102</v>
      </c>
      <c r="D49427" s="7">
        <v>3.8</v>
      </c>
    </row>
    <row r="49428" spans="1:4" x14ac:dyDescent="0.25">
      <c r="A49428" t="str">
        <f>HYPERLINK("https://www.773grp.com/globalSearch/BCR5KM-12LA#C04/page-1", "BCR5KM-12LA#C04")</f>
        <v>BCR5KM-12LA#C04</v>
      </c>
      <c r="B49428" s="3" t="str">
        <f>HYPERLINK("https://www.773grp.com/manufacturer/renesas-electronics-america-inc?pageNo=497", "Renesas Electronics")</f>
        <v>Renesas Electronics</v>
      </c>
      <c r="C49428" s="6">
        <v>1774</v>
      </c>
      <c r="D49428" s="7">
        <v>3.8</v>
      </c>
    </row>
    <row r="49429" spans="1:4" x14ac:dyDescent="0.25">
      <c r="A49429" t="str">
        <f>HYPERLINK("https://www.773grp.com/globalSearch/R2S20030NP#DF0T/page-1", "R2S20030NP#DF0T")</f>
        <v>R2S20030NP#DF0T</v>
      </c>
      <c r="B49429" s="3" t="str">
        <f>HYPERLINK("https://www.773grp.com/manufacturer/renesas-electronics-america-inc?pageNo=498", "Renesas Electronics")</f>
        <v>Renesas Electronics</v>
      </c>
      <c r="C49429" s="6">
        <v>10000</v>
      </c>
      <c r="D49429" s="7">
        <v>3.8</v>
      </c>
    </row>
    <row r="49430" spans="1:4" x14ac:dyDescent="0.25">
      <c r="A49430" t="str">
        <f>HYPERLINK("https://www.773grp.com/globalSearch/2SB859C-E/page-1", "2SB859C-E")</f>
        <v>2SB859C-E</v>
      </c>
      <c r="B49430" s="3" t="str">
        <f>HYPERLINK("https://www.773grp.com/manufacturer/renesas-electronics-america-inc?pageNo=499", "Renesas Electronics")</f>
        <v>Renesas Electronics</v>
      </c>
      <c r="C49430" s="6">
        <v>599</v>
      </c>
      <c r="D49430" s="7">
        <v>4.2300000000000004</v>
      </c>
    </row>
    <row r="49431" spans="1:4" x14ac:dyDescent="0.25">
      <c r="A49431" t="str">
        <f>HYPERLINK("https://www.773grp.com/globalSearch/2SK3114-S17-AZ/page-1", "2SK3114-S17-AZ")</f>
        <v>2SK3114-S17-AZ</v>
      </c>
      <c r="B49431" s="3" t="str">
        <f>HYPERLINK("https://www.773grp.com/manufacturer/renesas-electronics-america-inc?pageNo=500", "Renesas Electronics")</f>
        <v>Renesas Electronics</v>
      </c>
      <c r="C49431" s="6">
        <v>1000</v>
      </c>
      <c r="D49431" s="7">
        <v>4.2300000000000004</v>
      </c>
    </row>
    <row r="49432" spans="1:4" x14ac:dyDescent="0.25">
      <c r="A49432" t="str">
        <f>HYPERLINK("https://www.773grp.com/globalSearch/74HC279FP-E/page-1", "74HC279FP-E")</f>
        <v>74HC279FP-E</v>
      </c>
      <c r="B49432" s="3" t="str">
        <f>HYPERLINK("https://www.773grp.com/manufacturer/renesas-electronics-america-inc?pageNo=501", "Renesas Electronics")</f>
        <v>Renesas Electronics</v>
      </c>
      <c r="C49432" s="6">
        <v>6000</v>
      </c>
      <c r="D49432" s="7">
        <v>4.2300000000000004</v>
      </c>
    </row>
    <row r="49433" spans="1:4" x14ac:dyDescent="0.25">
      <c r="A49433" t="str">
        <f>HYPERLINK("https://www.773grp.com/globalSearch/BCR4CM-16LH#B00/page-1", "BCR4CM-16LH#B00")</f>
        <v>BCR4CM-16LH#B00</v>
      </c>
      <c r="B49433" s="3" t="str">
        <f>HYPERLINK("https://www.773grp.com/manufacturer/renesas-electronics-america-inc?pageNo=502", "Renesas Electronics")</f>
        <v>Renesas Electronics</v>
      </c>
      <c r="C49433" s="6">
        <v>5264</v>
      </c>
      <c r="D49433" s="7">
        <v>4.2300000000000004</v>
      </c>
    </row>
    <row r="49434" spans="1:4" x14ac:dyDescent="0.25">
      <c r="A49434" t="str">
        <f>HYPERLINK("https://www.773grp.com/globalSearch/BCR4CM-16LH-1#B00/page-1", "BCR4CM-16LH-1#B00")</f>
        <v>BCR4CM-16LH-1#B00</v>
      </c>
      <c r="B49434" s="3" t="str">
        <f>HYPERLINK("https://www.773grp.com/manufacturer/renesas-electronics-america-inc?pageNo=503", "Renesas Electronics")</f>
        <v>Renesas Electronics</v>
      </c>
      <c r="C49434" s="6">
        <v>1123</v>
      </c>
      <c r="D49434" s="7">
        <v>4.2300000000000004</v>
      </c>
    </row>
    <row r="49435" spans="1:4" x14ac:dyDescent="0.25">
      <c r="A49435" t="str">
        <f>HYPERLINK("https://www.773grp.com/globalSearch/CR8CM-12A#B00/page-1", "CR8CM-12A#B00")</f>
        <v>CR8CM-12A#B00</v>
      </c>
      <c r="B49435" s="3" t="str">
        <f>HYPERLINK("https://www.773grp.com/manufacturer/renesas-electronics-america-inc?pageNo=504", "Renesas Electronics")</f>
        <v>Renesas Electronics</v>
      </c>
      <c r="C49435" s="6">
        <v>17757</v>
      </c>
      <c r="D49435" s="7">
        <v>4.2300000000000004</v>
      </c>
    </row>
    <row r="49436" spans="1:4" x14ac:dyDescent="0.25">
      <c r="A49436" t="str">
        <f>HYPERLINK("https://www.773grp.com/globalSearch/CR8CM-12A#C0G/page-1", "CR8CM-12A#C0G")</f>
        <v>CR8CM-12A#C0G</v>
      </c>
      <c r="B49436" s="3" t="str">
        <f>HYPERLINK("https://www.773grp.com/manufacturer/renesas-electronics-america-inc?pageNo=505", "Renesas Electronics")</f>
        <v>Renesas Electronics</v>
      </c>
      <c r="C49436" s="6">
        <v>845</v>
      </c>
      <c r="D49436" s="7">
        <v>4.2300000000000004</v>
      </c>
    </row>
    <row r="49437" spans="1:4" x14ac:dyDescent="0.25">
      <c r="A49437" t="str">
        <f>HYPERLINK("https://www.773grp.com/globalSearch/CR8CM-12A-A8#P01/page-1", "CR8CM-12A-A8#P01")</f>
        <v>CR8CM-12A-A8#P01</v>
      </c>
      <c r="B49437" s="3" t="str">
        <f>HYPERLINK("https://www.773grp.com/manufacturer/renesas-electronics-america-inc?pageNo=506", "Renesas Electronics")</f>
        <v>Renesas Electronics</v>
      </c>
      <c r="C49437" s="6">
        <v>75767</v>
      </c>
      <c r="D49437" s="7">
        <v>4.2300000000000004</v>
      </c>
    </row>
    <row r="49438" spans="1:4" x14ac:dyDescent="0.25">
      <c r="A49438" t="str">
        <f>HYPERLINK("https://www.773grp.com/globalSearch/RJK0379DPA-00#J53/page-1", "RJK0379DPA-00#J53")</f>
        <v>RJK0379DPA-00#J53</v>
      </c>
      <c r="B49438" s="3" t="str">
        <f>HYPERLINK("https://www.773grp.com/manufacturer/renesas-electronics-america-inc?pageNo=507", "Renesas Electronics")</f>
        <v>Renesas Electronics</v>
      </c>
      <c r="C49438" s="6">
        <v>9000</v>
      </c>
      <c r="D49438" s="7">
        <v>4.2300000000000004</v>
      </c>
    </row>
    <row r="49439" spans="1:4" x14ac:dyDescent="0.25">
      <c r="A49439" t="str">
        <f>HYPERLINK("https://www.773grp.com/globalSearch/RJK0379DPA-WS#J53/page-1", "RJK0379DPA-WS#J53")</f>
        <v>RJK0379DPA-WS#J53</v>
      </c>
      <c r="B49439" s="3" t="str">
        <f>HYPERLINK("https://www.773grp.com/manufacturer/renesas-electronics-america-inc?pageNo=508", "Renesas Electronics")</f>
        <v>Renesas Electronics</v>
      </c>
      <c r="C49439" s="6">
        <v>2700</v>
      </c>
      <c r="D49439" s="7">
        <v>4.2300000000000004</v>
      </c>
    </row>
    <row r="49440" spans="1:4" x14ac:dyDescent="0.25">
      <c r="A49440" t="str">
        <f>HYPERLINK("https://www.773grp.com/globalSearch/RJK0390DPA-00#J53/page-1", "RJK0390DPA-00#J53")</f>
        <v>RJK0390DPA-00#J53</v>
      </c>
      <c r="B49440" s="3" t="str">
        <f>HYPERLINK("https://www.773grp.com/manufacturer/renesas-electronics-america-inc?pageNo=509", "Renesas Electronics")</f>
        <v>Renesas Electronics</v>
      </c>
      <c r="C49440" s="6">
        <v>60000</v>
      </c>
      <c r="D49440" s="7">
        <v>4.2300000000000004</v>
      </c>
    </row>
    <row r="49441" spans="1:4" x14ac:dyDescent="0.25">
      <c r="A49441" t="str">
        <f>HYPERLINK("https://www.773grp.com/globalSearch/RJK0390DPA-00#J5A/page-1", "RJK0390DPA-00#J5A")</f>
        <v>RJK0390DPA-00#J5A</v>
      </c>
      <c r="B49441" s="3" t="str">
        <f>HYPERLINK("https://www.773grp.com/manufacturer/renesas-electronics-america-inc?pageNo=510", "Renesas Electronics")</f>
        <v>Renesas Electronics</v>
      </c>
      <c r="C49441" s="6">
        <v>6000</v>
      </c>
      <c r="D49441" s="7">
        <v>4.2300000000000004</v>
      </c>
    </row>
    <row r="49442" spans="1:4" x14ac:dyDescent="0.25">
      <c r="A49442" t="str">
        <f>HYPERLINK("https://www.773grp.com/globalSearch/RJK0390DPA-02#J5A/page-1", "RJK0390DPA-02#J5A")</f>
        <v>RJK0390DPA-02#J5A</v>
      </c>
      <c r="B49442" s="3" t="str">
        <f>HYPERLINK("https://www.773grp.com/manufacturer/renesas-electronics-america-inc?pageNo=511", "Renesas Electronics")</f>
        <v>Renesas Electronics</v>
      </c>
      <c r="C49442" s="6">
        <v>351000</v>
      </c>
      <c r="D49442" s="7">
        <v>4.2300000000000004</v>
      </c>
    </row>
    <row r="49443" spans="1:4" x14ac:dyDescent="0.25">
      <c r="A49443" t="str">
        <f>HYPERLINK("https://www.773grp.com/globalSearch/RJK0390DPA-WS#J53/page-1", "RJK0390DPA-WS#J53")</f>
        <v>RJK0390DPA-WS#J53</v>
      </c>
      <c r="B49443" s="3" t="str">
        <f>HYPERLINK("https://www.773grp.com/manufacturer/renesas-electronics-america-inc?pageNo=512", "Renesas Electronics")</f>
        <v>Renesas Electronics</v>
      </c>
      <c r="C49443" s="6">
        <v>5858</v>
      </c>
      <c r="D49443" s="7">
        <v>4.2300000000000004</v>
      </c>
    </row>
    <row r="49444" spans="1:4" x14ac:dyDescent="0.25">
      <c r="A49444" t="str">
        <f>HYPERLINK("https://www.773grp.com/globalSearch/RJK0391DPA-WS#J53/page-1", "RJK0391DPA-WS#J53")</f>
        <v>RJK0391DPA-WS#J53</v>
      </c>
      <c r="B49444" s="3" t="str">
        <f>HYPERLINK("https://www.773grp.com/manufacturer/renesas-electronics-america-inc?pageNo=513", "Renesas Electronics")</f>
        <v>Renesas Electronics</v>
      </c>
      <c r="C49444" s="6">
        <v>1510</v>
      </c>
      <c r="D49444" s="7">
        <v>4.2300000000000004</v>
      </c>
    </row>
    <row r="49445" spans="1:4" x14ac:dyDescent="0.25">
      <c r="A49445" t="str">
        <f>HYPERLINK("https://www.773grp.com/globalSearch/RJK03P7DPA-00#J5A/page-1", "RJK03P7DPA-00#J5A")</f>
        <v>RJK03P7DPA-00#J5A</v>
      </c>
      <c r="B49445" s="3" t="str">
        <f>HYPERLINK("https://www.773grp.com/manufacturer/renesas-electronics-america-inc?pageNo=514", "Renesas Electronics")</f>
        <v>Renesas Electronics</v>
      </c>
      <c r="C49445" s="6">
        <v>27000</v>
      </c>
      <c r="D49445" s="7">
        <v>4.2300000000000004</v>
      </c>
    </row>
    <row r="49446" spans="1:4" x14ac:dyDescent="0.25">
      <c r="A49446" t="str">
        <f>HYPERLINK("https://www.773grp.com/globalSearch/RJK03P7DPA-WS#J5A/page-1", "RJK03P7DPA-WS#J5A")</f>
        <v>RJK03P7DPA-WS#J5A</v>
      </c>
      <c r="B49446" s="3" t="str">
        <f>HYPERLINK("https://www.773grp.com/manufacturer/renesas-electronics-america-inc?pageNo=515", "Renesas Electronics")</f>
        <v>Renesas Electronics</v>
      </c>
      <c r="C49446" s="6">
        <v>2950</v>
      </c>
      <c r="D49446" s="7">
        <v>4.2300000000000004</v>
      </c>
    </row>
    <row r="49447" spans="1:4" x14ac:dyDescent="0.25">
      <c r="A49447" t="str">
        <f>HYPERLINK("https://www.773grp.com/globalSearch/RJK03P8DPA-00#J5A/page-1", "RJK03P8DPA-00#J5A")</f>
        <v>RJK03P8DPA-00#J5A</v>
      </c>
      <c r="B49447" s="3" t="str">
        <f>HYPERLINK("https://www.773grp.com/manufacturer/renesas-electronics-america-inc?pageNo=516", "Renesas Electronics")</f>
        <v>Renesas Electronics</v>
      </c>
      <c r="C49447" s="6">
        <v>792000</v>
      </c>
      <c r="D49447" s="7">
        <v>4.2300000000000004</v>
      </c>
    </row>
    <row r="49448" spans="1:4" x14ac:dyDescent="0.25">
      <c r="A49448" t="str">
        <f>HYPERLINK("https://www.773grp.com/globalSearch/RJK03P9DPA-00#J5A/page-1", "RJK03P9DPA-00#J5A")</f>
        <v>RJK03P9DPA-00#J5A</v>
      </c>
      <c r="B49448" s="3" t="str">
        <f>HYPERLINK("https://www.773grp.com/manufacturer/renesas-electronics-america-inc?pageNo=517", "Renesas Electronics")</f>
        <v>Renesas Electronics</v>
      </c>
      <c r="C49448" s="6">
        <v>24000</v>
      </c>
      <c r="D49448" s="7">
        <v>4.2300000000000004</v>
      </c>
    </row>
    <row r="49449" spans="1:4" x14ac:dyDescent="0.25">
      <c r="A49449" t="str">
        <f>HYPERLINK("https://www.773grp.com/globalSearch/RJK03P9DPA-WS#J5A/page-1", "RJK03P9DPA-WS#J5A")</f>
        <v>RJK03P9DPA-WS#J5A</v>
      </c>
      <c r="B49449" s="3" t="str">
        <f>HYPERLINK("https://www.773grp.com/manufacturer/renesas-electronics-america-inc?pageNo=518", "Renesas Electronics")</f>
        <v>Renesas Electronics</v>
      </c>
      <c r="C49449" s="6">
        <v>2900</v>
      </c>
      <c r="D49449" s="7">
        <v>4.2300000000000004</v>
      </c>
    </row>
    <row r="49450" spans="1:4" x14ac:dyDescent="0.25">
      <c r="A49450" t="str">
        <f>HYPERLINK("https://www.773grp.com/globalSearch/RJP30H1DPD-A0#Q2/page-1", "RJP30H1DPD-A0#Q2")</f>
        <v>RJP30H1DPD-A0#Q2</v>
      </c>
      <c r="B49450" s="3" t="str">
        <f>HYPERLINK("https://www.773grp.com/manufacturer/renesas-electronics-america-inc?pageNo=519", "Renesas Electronics")</f>
        <v>Renesas Electronics</v>
      </c>
      <c r="C49450" s="6">
        <v>15000</v>
      </c>
      <c r="D49450" s="7">
        <v>4.2300000000000004</v>
      </c>
    </row>
    <row r="49451" spans="1:4" x14ac:dyDescent="0.25">
      <c r="A49451" t="str">
        <f>HYPERLINK("https://www.773grp.com/globalSearch/RJP4002ASA-00#Q0/page-1", "RJP4002ASA-00#Q0")</f>
        <v>RJP4002ASA-00#Q0</v>
      </c>
      <c r="B49451" s="3" t="str">
        <f>HYPERLINK("https://www.773grp.com/manufacturer/renesas-electronics-america-inc?pageNo=520", "Renesas Electronics")</f>
        <v>Renesas Electronics</v>
      </c>
      <c r="C49451" s="6">
        <v>6000</v>
      </c>
      <c r="D49451" s="7">
        <v>4.2300000000000004</v>
      </c>
    </row>
    <row r="49452" spans="1:4" x14ac:dyDescent="0.25">
      <c r="A49452" t="str">
        <f>HYPERLINK("https://www.773grp.com/globalSearch/2SK1400A-E/page-1", "2SK1400A-E")</f>
        <v>2SK1400A-E</v>
      </c>
      <c r="B49452" s="3" t="str">
        <f>HYPERLINK("https://www.773grp.com/manufacturer/renesas-electronics-america-inc?pageNo=521", "Renesas Electronics")</f>
        <v>Renesas Electronics</v>
      </c>
      <c r="C49452" s="6">
        <v>240</v>
      </c>
      <c r="D49452" s="7">
        <v>3.83</v>
      </c>
    </row>
    <row r="49453" spans="1:4" x14ac:dyDescent="0.25">
      <c r="A49453" t="str">
        <f>HYPERLINK("https://www.773grp.com/globalSearch/2SK1637-E/page-1", "2SK1637-E")</f>
        <v>2SK1637-E</v>
      </c>
      <c r="B49453" s="3" t="str">
        <f>HYPERLINK("https://www.773grp.com/manufacturer/renesas-electronics-america-inc?pageNo=522", "Renesas Electronics")</f>
        <v>Renesas Electronics</v>
      </c>
      <c r="C49453" s="6">
        <v>1444</v>
      </c>
      <c r="D49453" s="7">
        <v>3.83</v>
      </c>
    </row>
    <row r="49454" spans="1:4" x14ac:dyDescent="0.25">
      <c r="A49454" t="str">
        <f>HYPERLINK("https://www.773grp.com/globalSearch/2SK551/page-1", "2SK551")</f>
        <v>2SK551</v>
      </c>
      <c r="B49454" s="3" t="str">
        <f>HYPERLINK("https://www.773grp.com/manufacturer/renesas-electronics-america-inc?pageNo=523", "Renesas Electronics")</f>
        <v>Renesas Electronics</v>
      </c>
      <c r="C49454" s="6">
        <v>624</v>
      </c>
      <c r="D49454" s="7">
        <v>3.83</v>
      </c>
    </row>
    <row r="49455" spans="1:4" x14ac:dyDescent="0.25">
      <c r="A49455" t="str">
        <f>HYPERLINK("https://www.773grp.com/globalSearch/FK10KM-12-A8#B00/page-1", "FK10KM-12-A8#B00")</f>
        <v>FK10KM-12-A8#B00</v>
      </c>
      <c r="B49455" s="3" t="str">
        <f>HYPERLINK("https://www.773grp.com/manufacturer/renesas-electronics-america-inc?pageNo=524", "Renesas Electronics")</f>
        <v>Renesas Electronics</v>
      </c>
      <c r="C49455" s="6">
        <v>464</v>
      </c>
      <c r="D49455" s="7">
        <v>3.83</v>
      </c>
    </row>
    <row r="49456" spans="1:4" x14ac:dyDescent="0.25">
      <c r="A49456" t="str">
        <f>HYPERLINK("https://www.773grp.com/globalSearch/UPD78F9512GR(R)-JJG-A/page-1", "UPD78F9512GR(R)-JJG-A")</f>
        <v>UPD78F9512GR(R)-JJG-A</v>
      </c>
      <c r="B49456" s="3" t="str">
        <f>HYPERLINK("https://www.773grp.com/manufacturer/renesas-electronics-america-inc?pageNo=525", "Renesas Electronics")</f>
        <v>Renesas Electronics</v>
      </c>
      <c r="C49456" s="6">
        <v>100</v>
      </c>
      <c r="D49456" s="7">
        <v>3.83</v>
      </c>
    </row>
    <row r="49457" spans="1:4" x14ac:dyDescent="0.25">
      <c r="A49457" t="str">
        <f>HYPERLINK("https://www.773grp.com/globalSearch/1SZ50/page-1", "1SZ50")</f>
        <v>1SZ50</v>
      </c>
      <c r="B49457" s="3" t="str">
        <f>HYPERLINK("https://www.773grp.com/manufacturer/renesas-electronics-america-inc?pageNo=526", "Renesas Electronics")</f>
        <v>Renesas Electronics</v>
      </c>
      <c r="C49457" s="6">
        <v>77</v>
      </c>
      <c r="D49457" s="7">
        <v>3.85</v>
      </c>
    </row>
    <row r="49458" spans="1:4" x14ac:dyDescent="0.25">
      <c r="A49458" t="str">
        <f>HYPERLINK("https://www.773grp.com/globalSearch/1SZ50-AZ/page-1", "1SZ50-AZ")</f>
        <v>1SZ50-AZ</v>
      </c>
      <c r="B49458" s="3" t="str">
        <f>HYPERLINK("https://www.773grp.com/manufacturer/renesas-electronics-america-inc?pageNo=527", "Renesas Electronics")</f>
        <v>Renesas Electronics</v>
      </c>
      <c r="C49458" s="6">
        <v>3150</v>
      </c>
      <c r="D49458" s="7">
        <v>3.85</v>
      </c>
    </row>
    <row r="49459" spans="1:4" x14ac:dyDescent="0.25">
      <c r="A49459" t="str">
        <f>HYPERLINK("https://www.773grp.com/globalSearch/2SB566AKC-E/page-1", "2SB566AKC-E")</f>
        <v>2SB566AKC-E</v>
      </c>
      <c r="B49459" s="3" t="str">
        <f>HYPERLINK("https://www.773grp.com/manufacturer/renesas-electronics-america-inc?pageNo=528", "Renesas Electronics")</f>
        <v>Renesas Electronics</v>
      </c>
      <c r="C49459" s="6">
        <v>585</v>
      </c>
      <c r="D49459" s="7">
        <v>3.85</v>
      </c>
    </row>
    <row r="49460" spans="1:4" x14ac:dyDescent="0.25">
      <c r="A49460" t="str">
        <f>HYPERLINK("https://www.773grp.com/globalSearch/AC10FSMA(3)-AZ/page-1", "AC10FSMA(3)-AZ")</f>
        <v>AC10FSMA(3)-AZ</v>
      </c>
      <c r="B49460" s="3" t="str">
        <f>HYPERLINK("https://www.773grp.com/manufacturer/renesas-electronics-america-inc?pageNo=529", "Renesas Electronics")</f>
        <v>Renesas Electronics</v>
      </c>
      <c r="C49460" s="6">
        <v>787</v>
      </c>
      <c r="D49460" s="7">
        <v>3.85</v>
      </c>
    </row>
    <row r="49461" spans="1:4" x14ac:dyDescent="0.25">
      <c r="A49461" t="str">
        <f>HYPERLINK("https://www.773grp.com/globalSearch/HAT1125HWS-E/page-1", "HAT1125HWS-E")</f>
        <v>HAT1125HWS-E</v>
      </c>
      <c r="B49461" s="3" t="str">
        <f>HYPERLINK("https://www.773grp.com/manufacturer/renesas-electronics-america-inc?pageNo=530", "Renesas Electronics")</f>
        <v>Renesas Electronics</v>
      </c>
      <c r="C49461" s="6">
        <v>2020</v>
      </c>
      <c r="D49461" s="7">
        <v>3.85</v>
      </c>
    </row>
    <row r="49462" spans="1:4" x14ac:dyDescent="0.25">
      <c r="A49462" t="str">
        <f>HYPERLINK("https://www.773grp.com/globalSearch/R2A30409NP#W00R/page-1", "R2A30409NP#W00R")</f>
        <v>R2A30409NP#W00R</v>
      </c>
      <c r="B49462" s="3" t="str">
        <f>HYPERLINK("https://www.773grp.com/manufacturer/renesas-electronics-america-inc?pageNo=531", "Renesas Electronics")</f>
        <v>Renesas Electronics</v>
      </c>
      <c r="C49462" s="6">
        <v>170000</v>
      </c>
      <c r="D49462" s="7">
        <v>3.85</v>
      </c>
    </row>
    <row r="49463" spans="1:4" x14ac:dyDescent="0.25">
      <c r="A49463" t="str">
        <f>HYPERLINK("https://www.773grp.com/globalSearch/RJP63F3DPP-Z0#T2/page-1", "RJP63F3DPP-Z0#T2")</f>
        <v>RJP63F3DPP-Z0#T2</v>
      </c>
      <c r="B49463" s="3" t="str">
        <f>HYPERLINK("https://www.773grp.com/manufacturer/renesas-electronics-america-inc?pageNo=532", "Renesas Electronics")</f>
        <v>Renesas Electronics</v>
      </c>
      <c r="C49463" s="6">
        <v>1519</v>
      </c>
      <c r="D49463" s="7">
        <v>3.85</v>
      </c>
    </row>
    <row r="49464" spans="1:4" x14ac:dyDescent="0.25">
      <c r="A49464" t="str">
        <f>HYPERLINK("https://www.773grp.com/globalSearch/UPA1601GS-A/page-1", "UPA1601GS-A")</f>
        <v>UPA1601GS-A</v>
      </c>
      <c r="B49464" s="3" t="str">
        <f>HYPERLINK("https://www.773grp.com/manufacturer/renesas-electronics-america-inc?pageNo=533", "Renesas Electronics")</f>
        <v>Renesas Electronics</v>
      </c>
      <c r="C49464" s="6">
        <v>168</v>
      </c>
      <c r="D49464" s="7">
        <v>3.85</v>
      </c>
    </row>
    <row r="49465" spans="1:4" x14ac:dyDescent="0.25">
      <c r="A49465" t="str">
        <f>HYPERLINK("https://www.773grp.com/globalSearch/2SK1949L-E/page-1", "2SK1949L-E")</f>
        <v>2SK1949L-E</v>
      </c>
      <c r="B49465" s="3" t="str">
        <f>HYPERLINK("https://www.773grp.com/manufacturer/renesas-electronics-america-inc?pageNo=534", "Renesas Electronics")</f>
        <v>Renesas Electronics</v>
      </c>
      <c r="C49465" s="6">
        <v>4886</v>
      </c>
      <c r="D49465" s="7">
        <v>4.28</v>
      </c>
    </row>
    <row r="49466" spans="1:4" x14ac:dyDescent="0.25">
      <c r="A49466" t="str">
        <f>HYPERLINK("https://www.773grp.com/globalSearch/5P4SMA(YK)-AZ/page-1", "5P4SMA(YK)-AZ")</f>
        <v>5P4SMA(YK)-AZ</v>
      </c>
      <c r="B49466" s="3" t="str">
        <f>HYPERLINK("https://www.773grp.com/manufacturer/renesas-electronics-america-inc?pageNo=535", "Renesas Electronics")</f>
        <v>Renesas Electronics</v>
      </c>
      <c r="C49466" s="6">
        <v>1022</v>
      </c>
      <c r="D49466" s="7">
        <v>4.28</v>
      </c>
    </row>
    <row r="49467" spans="1:4" x14ac:dyDescent="0.25">
      <c r="A49467" t="str">
        <f>HYPERLINK("https://www.773grp.com/globalSearch/AC03FGM(9)-AZ/page-1", "AC03FGM(9)-AZ")</f>
        <v>AC03FGM(9)-AZ</v>
      </c>
      <c r="B49467" s="3" t="str">
        <f>HYPERLINK("https://www.773grp.com/manufacturer/renesas-electronics-america-inc?pageNo=536", "Renesas Electronics")</f>
        <v>Renesas Electronics</v>
      </c>
      <c r="C49467" s="6">
        <v>37163</v>
      </c>
      <c r="D49467" s="7">
        <v>4.28</v>
      </c>
    </row>
    <row r="49468" spans="1:4" x14ac:dyDescent="0.25">
      <c r="A49468" t="str">
        <f>HYPERLINK("https://www.773grp.com/globalSearch/BCR10CM-12LB#B01/page-1", "BCR10CM-12LB#B01")</f>
        <v>BCR10CM-12LB#B01</v>
      </c>
      <c r="B49468" s="3" t="str">
        <f>HYPERLINK("https://www.773grp.com/manufacturer/renesas-electronics-america-inc?pageNo=537", "Renesas Electronics")</f>
        <v>Renesas Electronics</v>
      </c>
      <c r="C49468" s="6">
        <v>27522</v>
      </c>
      <c r="D49468" s="7">
        <v>4.28</v>
      </c>
    </row>
    <row r="49469" spans="1:4" x14ac:dyDescent="0.25">
      <c r="A49469" t="str">
        <f>HYPERLINK("https://www.773grp.com/globalSearch/HA17451AP/page-1", "HA17451AP")</f>
        <v>HA17451AP</v>
      </c>
      <c r="B49469" s="3" t="str">
        <f>HYPERLINK("https://www.773grp.com/manufacturer/renesas-electronics-america-inc?pageNo=538", "Renesas Electronics")</f>
        <v>Renesas Electronics</v>
      </c>
      <c r="C49469" s="6">
        <v>2724</v>
      </c>
      <c r="D49469" s="7">
        <v>4.28</v>
      </c>
    </row>
    <row r="49470" spans="1:4" x14ac:dyDescent="0.25">
      <c r="A49470" t="str">
        <f>HYPERLINK("https://www.773grp.com/globalSearch/HA178L09UA-TL-E/page-1", "HA178L09UA-TL-E")</f>
        <v>HA178L09UA-TL-E</v>
      </c>
      <c r="B49470" s="3" t="str">
        <f>HYPERLINK("https://www.773grp.com/manufacturer/renesas-electronics-america-inc?pageNo=539", "Renesas Electronics")</f>
        <v>Renesas Electronics</v>
      </c>
      <c r="C49470" s="6">
        <v>21000</v>
      </c>
      <c r="D49470" s="7">
        <v>4.28</v>
      </c>
    </row>
    <row r="49471" spans="1:4" x14ac:dyDescent="0.25">
      <c r="A49471" t="str">
        <f>HYPERLINK("https://www.773grp.com/globalSearch/UPA2760T1A-E2-AT/page-1", "UPA2760T1A-E2-AT")</f>
        <v>UPA2760T1A-E2-AT</v>
      </c>
      <c r="B49471" s="3" t="str">
        <f>HYPERLINK("https://www.773grp.com/manufacturer/renesas-electronics-america-inc?pageNo=540", "Renesas Electronics")</f>
        <v>Renesas Electronics</v>
      </c>
      <c r="C49471" s="6">
        <v>351000</v>
      </c>
      <c r="D49471" s="7">
        <v>4.28</v>
      </c>
    </row>
    <row r="49472" spans="1:4" x14ac:dyDescent="0.25">
      <c r="A49472" t="str">
        <f>HYPERLINK("https://www.773grp.com/globalSearch/2SK3326-AZ/page-1", "2SK3326-AZ")</f>
        <v>2SK3326-AZ</v>
      </c>
      <c r="B49472" s="3" t="str">
        <f>HYPERLINK("https://www.773grp.com/manufacturer/renesas-electronics-america-inc?pageNo=541", "Renesas Electronics")</f>
        <v>Renesas Electronics</v>
      </c>
      <c r="C49472" s="6">
        <v>11452</v>
      </c>
      <c r="D49472" s="7">
        <v>3.89</v>
      </c>
    </row>
    <row r="49473" spans="1:4" x14ac:dyDescent="0.25">
      <c r="A49473" t="str">
        <f>HYPERLINK("https://www.773grp.com/globalSearch/M62320P#TF5J/page-1", "M62320P#TF5J")</f>
        <v>M62320P#TF5J</v>
      </c>
      <c r="B49473" s="3" t="str">
        <f>HYPERLINK("https://www.773grp.com/manufacturer/renesas-electronics-america-inc?pageNo=542", "Renesas Electronics")</f>
        <v>Renesas Electronics</v>
      </c>
      <c r="C49473" s="6">
        <v>484</v>
      </c>
      <c r="D49473" s="7">
        <v>3.89</v>
      </c>
    </row>
    <row r="49474" spans="1:4" x14ac:dyDescent="0.25">
      <c r="A49474" t="str">
        <f>HYPERLINK("https://www.773grp.com/globalSearch/2P4M(34)-AZ/page-1", "2P4M(34)-AZ")</f>
        <v>2P4M(34)-AZ</v>
      </c>
      <c r="B49474" s="3" t="str">
        <f>HYPERLINK("https://www.773grp.com/manufacturer/renesas-electronics-america-inc?pageNo=543", "Renesas Electronics")</f>
        <v>Renesas Electronics</v>
      </c>
      <c r="C49474" s="6">
        <v>796</v>
      </c>
      <c r="D49474" s="7">
        <v>4.33</v>
      </c>
    </row>
    <row r="49475" spans="1:4" x14ac:dyDescent="0.25">
      <c r="A49475" t="str">
        <f>HYPERLINK("https://www.773grp.com/globalSearch/2V5P4M-AZ/page-1", "2V5P4M-AZ")</f>
        <v>2V5P4M-AZ</v>
      </c>
      <c r="B49475" s="3" t="str">
        <f>HYPERLINK("https://www.773grp.com/manufacturer/renesas-electronics-america-inc?pageNo=544", "Renesas Electronics")</f>
        <v>Renesas Electronics</v>
      </c>
      <c r="C49475" s="6">
        <v>12728</v>
      </c>
      <c r="D49475" s="7">
        <v>4.33</v>
      </c>
    </row>
    <row r="49476" spans="1:4" x14ac:dyDescent="0.25">
      <c r="A49476" t="str">
        <f>HYPERLINK("https://www.773grp.com/globalSearch/74HC279FPEL-E/page-1", "74HC279FPEL-E")</f>
        <v>74HC279FPEL-E</v>
      </c>
      <c r="B49476" s="3" t="str">
        <f>HYPERLINK("https://www.773grp.com/manufacturer/renesas-electronics-america-inc?pageNo=545", "Renesas Electronics")</f>
        <v>Renesas Electronics</v>
      </c>
      <c r="C49476" s="6">
        <v>6000</v>
      </c>
      <c r="D49476" s="7">
        <v>4.33</v>
      </c>
    </row>
    <row r="49477" spans="1:4" x14ac:dyDescent="0.25">
      <c r="A49477" t="str">
        <f>HYPERLINK("https://www.773grp.com/globalSearch/HAT2198WP-EL-E/page-1", "HAT2198WP-EL-E")</f>
        <v>HAT2198WP-EL-E</v>
      </c>
      <c r="B49477" s="3" t="str">
        <f>HYPERLINK("https://www.773grp.com/manufacturer/renesas-electronics-america-inc?pageNo=546", "Renesas Electronics")</f>
        <v>Renesas Electronics</v>
      </c>
      <c r="C49477" s="6">
        <v>17500</v>
      </c>
      <c r="D49477" s="7">
        <v>4.33</v>
      </c>
    </row>
    <row r="49478" spans="1:4" x14ac:dyDescent="0.25">
      <c r="A49478" t="str">
        <f>HYPERLINK("https://www.773grp.com/globalSearch/2SK1153-E/page-1", "2SK1153-E")</f>
        <v>2SK1153-E</v>
      </c>
      <c r="B49478" s="3" t="str">
        <f>HYPERLINK("https://www.773grp.com/manufacturer/renesas-electronics-america-inc?pageNo=547", "Renesas Electronics")</f>
        <v>Renesas Electronics</v>
      </c>
      <c r="C49478" s="6">
        <v>2738</v>
      </c>
      <c r="D49478" s="7">
        <v>3.91</v>
      </c>
    </row>
    <row r="49479" spans="1:4" x14ac:dyDescent="0.25">
      <c r="A49479" t="str">
        <f>HYPERLINK("https://www.773grp.com/globalSearch/BCR12KM-12LA-1A6X2/page-1", "BCR12KM-12LA-1A6X2")</f>
        <v>BCR12KM-12LA-1A6X2</v>
      </c>
      <c r="B49479" s="3" t="str">
        <f>HYPERLINK("https://www.773grp.com/manufacturer/renesas-electronics-america-inc?pageNo=548", "Renesas Electronics")</f>
        <v>Renesas Electronics</v>
      </c>
      <c r="C49479" s="6">
        <v>901</v>
      </c>
      <c r="D49479" s="7">
        <v>3.91</v>
      </c>
    </row>
    <row r="49480" spans="1:4" x14ac:dyDescent="0.25">
      <c r="A49480" t="str">
        <f>HYPERLINK("https://www.773grp.com/globalSearch/BCR12KM-12LA-A5#X2/page-1", "BCR12KM-12LA-A5#X2")</f>
        <v>BCR12KM-12LA-A5#X2</v>
      </c>
      <c r="B49480" s="3" t="str">
        <f>HYPERLINK("https://www.773grp.com/manufacturer/renesas-electronics-america-inc?pageNo=549", "Renesas Electronics")</f>
        <v>Renesas Electronics</v>
      </c>
      <c r="C49480" s="6">
        <v>810</v>
      </c>
      <c r="D49480" s="7">
        <v>3.91</v>
      </c>
    </row>
    <row r="49481" spans="1:4" x14ac:dyDescent="0.25">
      <c r="A49481" t="str">
        <f>HYPERLINK("https://www.773grp.com/globalSearch/M51791AL#TF0J/page-1", "M51791AL#TF0J")</f>
        <v>M51791AL#TF0J</v>
      </c>
      <c r="B49481" s="3" t="str">
        <f>HYPERLINK("https://www.773grp.com/manufacturer/renesas-electronics-america-inc?pageNo=550", "Renesas Electronics")</f>
        <v>Renesas Electronics</v>
      </c>
      <c r="C49481" s="6">
        <v>120</v>
      </c>
      <c r="D49481" s="7">
        <v>3.91</v>
      </c>
    </row>
    <row r="49482" spans="1:4" x14ac:dyDescent="0.25">
      <c r="A49482" t="str">
        <f>HYPERLINK("https://www.773grp.com/globalSearch/RJL6013DPP-00#T2/page-1", "RJL6013DPP-00#T2")</f>
        <v>RJL6013DPP-00#T2</v>
      </c>
      <c r="B49482" s="3" t="str">
        <f>HYPERLINK("https://www.773grp.com/manufacturer/renesas-electronics-america-inc?pageNo=551", "Renesas Electronics")</f>
        <v>Renesas Electronics</v>
      </c>
      <c r="C49482" s="6">
        <v>1280</v>
      </c>
      <c r="D49482" s="7">
        <v>3.91</v>
      </c>
    </row>
    <row r="49483" spans="1:4" x14ac:dyDescent="0.25">
      <c r="A49483" t="str">
        <f>HYPERLINK("https://www.773grp.com/globalSearch/2SK1566-E/page-1", "2SK1566-E")</f>
        <v>2SK1566-E</v>
      </c>
      <c r="B49483" s="3" t="str">
        <f>HYPERLINK("https://www.773grp.com/manufacturer/renesas-electronics-america-inc?pageNo=552", "Renesas Electronics")</f>
        <v>Renesas Electronics</v>
      </c>
      <c r="C49483" s="6">
        <v>2603</v>
      </c>
      <c r="D49483" s="7">
        <v>3.94</v>
      </c>
    </row>
    <row r="49484" spans="1:4" x14ac:dyDescent="0.25">
      <c r="A49484" t="str">
        <f>HYPERLINK("https://www.773grp.com/globalSearch/BCR5KM-12RA-A8#B00/page-1", "BCR5KM-12RA-A8#B00")</f>
        <v>BCR5KM-12RA-A8#B00</v>
      </c>
      <c r="B49484" s="3" t="str">
        <f>HYPERLINK("https://www.773grp.com/manufacturer/renesas-electronics-america-inc?pageNo=553", "Renesas Electronics")</f>
        <v>Renesas Electronics</v>
      </c>
      <c r="C49484" s="6">
        <v>301</v>
      </c>
      <c r="D49484" s="7">
        <v>3.94</v>
      </c>
    </row>
    <row r="49485" spans="1:4" x14ac:dyDescent="0.25">
      <c r="A49485" t="str">
        <f>HYPERLINK("https://www.773grp.com/globalSearch/M61541FP#RF0R/page-1", "M61541FP#RF0R")</f>
        <v>M61541FP#RF0R</v>
      </c>
      <c r="B49485" s="3" t="str">
        <f>HYPERLINK("https://www.773grp.com/manufacturer/renesas-electronics-america-inc?pageNo=554", "Renesas Electronics")</f>
        <v>Renesas Electronics</v>
      </c>
      <c r="C49485" s="6">
        <v>3801</v>
      </c>
      <c r="D49485" s="7">
        <v>3.94</v>
      </c>
    </row>
    <row r="49486" spans="1:4" x14ac:dyDescent="0.25">
      <c r="A49486" t="str">
        <f>HYPERLINK("https://www.773grp.com/globalSearch/2SJ135-AZ/page-1", "2SJ135-AZ")</f>
        <v>2SJ135-AZ</v>
      </c>
      <c r="B49486" s="3" t="str">
        <f>HYPERLINK("https://www.773grp.com/manufacturer/renesas-electronics-america-inc?pageNo=555", "Renesas Electronics")</f>
        <v>Renesas Electronics</v>
      </c>
      <c r="C49486" s="6">
        <v>1026</v>
      </c>
      <c r="D49486" s="7">
        <v>3.96</v>
      </c>
    </row>
    <row r="49487" spans="1:4" x14ac:dyDescent="0.25">
      <c r="A49487" t="str">
        <f>HYPERLINK("https://www.773grp.com/globalSearch/HAT3005R-EL-E/page-1", "HAT3005R-EL-E")</f>
        <v>HAT3005R-EL-E</v>
      </c>
      <c r="B49487" s="3" t="str">
        <f>HYPERLINK("https://www.773grp.com/manufacturer/renesas-electronics-america-inc?pageNo=556", "Renesas Electronics")</f>
        <v>Renesas Electronics</v>
      </c>
      <c r="C49487" s="6">
        <v>2500</v>
      </c>
      <c r="D49487" s="7">
        <v>3.96</v>
      </c>
    </row>
    <row r="49488" spans="1:4" x14ac:dyDescent="0.25">
      <c r="A49488" t="str">
        <f>HYPERLINK("https://www.773grp.com/globalSearch/M51995AFP#A20/page-1", "M51995AFP#A20")</f>
        <v>M51995AFP#A20</v>
      </c>
      <c r="B49488" s="3" t="str">
        <f>HYPERLINK("https://www.773grp.com/manufacturer/renesas-electronics-america-inc?pageNo=557", "Renesas Electronics")</f>
        <v>Renesas Electronics</v>
      </c>
      <c r="C49488" s="6">
        <v>257</v>
      </c>
      <c r="D49488" s="7">
        <v>3.96</v>
      </c>
    </row>
    <row r="49489" spans="1:4" x14ac:dyDescent="0.25">
      <c r="A49489" t="str">
        <f>HYPERLINK("https://www.773grp.com/globalSearch/2P4M(26)-AZ/page-1", "2P4M(26)-AZ")</f>
        <v>2P4M(26)-AZ</v>
      </c>
      <c r="B49489" s="3" t="str">
        <f>HYPERLINK("https://www.773grp.com/manufacturer/renesas-electronics-america-inc?pageNo=558", "Renesas Electronics")</f>
        <v>Renesas Electronics</v>
      </c>
      <c r="C49489" s="6">
        <v>5125</v>
      </c>
      <c r="D49489" s="7">
        <v>4.38</v>
      </c>
    </row>
    <row r="49490" spans="1:4" x14ac:dyDescent="0.25">
      <c r="A49490" t="str">
        <f>HYPERLINK("https://www.773grp.com/globalSearch/2P4M(27)-AZ/page-1", "2P4M(27)-AZ")</f>
        <v>2P4M(27)-AZ</v>
      </c>
      <c r="B49490" s="3" t="str">
        <f>HYPERLINK("https://www.773grp.com/manufacturer/renesas-electronics-america-inc?pageNo=559", "Renesas Electronics")</f>
        <v>Renesas Electronics</v>
      </c>
      <c r="C49490" s="6">
        <v>5633</v>
      </c>
      <c r="D49490" s="7">
        <v>4.38</v>
      </c>
    </row>
    <row r="49491" spans="1:4" x14ac:dyDescent="0.25">
      <c r="A49491" t="str">
        <f>HYPERLINK("https://www.773grp.com/globalSearch/2P4M(31)-AZ/page-1", "2P4M(31)-AZ")</f>
        <v>2P4M(31)-AZ</v>
      </c>
      <c r="B49491" s="3" t="str">
        <f>HYPERLINK("https://www.773grp.com/manufacturer/renesas-electronics-america-inc?pageNo=560", "Renesas Electronics")</f>
        <v>Renesas Electronics</v>
      </c>
      <c r="C49491" s="6">
        <v>4200</v>
      </c>
      <c r="D49491" s="7">
        <v>4.38</v>
      </c>
    </row>
    <row r="49492" spans="1:4" x14ac:dyDescent="0.25">
      <c r="A49492" t="str">
        <f>HYPERLINK("https://www.773grp.com/globalSearch/5P4M(3)-AZ/page-1", "5P4M(3)-AZ")</f>
        <v>5P4M(3)-AZ</v>
      </c>
      <c r="B49492" s="3" t="str">
        <f>HYPERLINK("https://www.773grp.com/manufacturer/renesas-electronics-america-inc?pageNo=561", "Renesas Electronics")</f>
        <v>Renesas Electronics</v>
      </c>
      <c r="C49492" s="6">
        <v>2469</v>
      </c>
      <c r="D49492" s="7">
        <v>4.38</v>
      </c>
    </row>
    <row r="49493" spans="1:4" x14ac:dyDescent="0.25">
      <c r="A49493" t="str">
        <f>HYPERLINK("https://www.773grp.com/globalSearch/74HC192FPEL-E/page-1", "74HC192FPEL-E")</f>
        <v>74HC192FPEL-E</v>
      </c>
      <c r="B49493" s="3" t="str">
        <f>HYPERLINK("https://www.773grp.com/manufacturer/renesas-electronics-america-inc?pageNo=562", "Renesas Electronics")</f>
        <v>Renesas Electronics</v>
      </c>
      <c r="C49493" s="6">
        <v>2000</v>
      </c>
      <c r="D49493" s="7">
        <v>4.38</v>
      </c>
    </row>
    <row r="49494" spans="1:4" x14ac:dyDescent="0.25">
      <c r="A49494" t="str">
        <f>HYPERLINK("https://www.773grp.com/globalSearch/AC05DGM(2)-S6-AZ/page-1", "AC05DGM(2)-S6-AZ")</f>
        <v>AC05DGM(2)-S6-AZ</v>
      </c>
      <c r="B49494" s="3" t="str">
        <f>HYPERLINK("https://www.773grp.com/manufacturer/renesas-electronics-america-inc?pageNo=563", "Renesas Electronics")</f>
        <v>Renesas Electronics</v>
      </c>
      <c r="C49494" s="6">
        <v>79</v>
      </c>
      <c r="D49494" s="7">
        <v>4.38</v>
      </c>
    </row>
    <row r="49495" spans="1:4" x14ac:dyDescent="0.25">
      <c r="A49495" t="str">
        <f>HYPERLINK("https://www.773grp.com/globalSearch/FS10KM-06-AV#B01/page-1", "FS10KM-06-AV#B01")</f>
        <v>FS10KM-06-AV#B01</v>
      </c>
      <c r="B49495" s="3" t="str">
        <f>HYPERLINK("https://www.773grp.com/manufacturer/renesas-electronics-america-inc?pageNo=564", "Renesas Electronics")</f>
        <v>Renesas Electronics</v>
      </c>
      <c r="C49495" s="6">
        <v>48989</v>
      </c>
      <c r="D49495" s="7">
        <v>4.38</v>
      </c>
    </row>
    <row r="49496" spans="1:4" x14ac:dyDescent="0.25">
      <c r="A49496" t="str">
        <f>HYPERLINK("https://www.773grp.com/globalSearch/HA17385FP-EL/page-1", "HA17385FP-EL")</f>
        <v>HA17385FP-EL</v>
      </c>
      <c r="B49496" s="3" t="str">
        <f>HYPERLINK("https://www.773grp.com/manufacturer/renesas-electronics-america-inc?pageNo=565", "Renesas Electronics")</f>
        <v>Renesas Electronics</v>
      </c>
      <c r="C49496" s="6">
        <v>14000</v>
      </c>
      <c r="D49496" s="7">
        <v>4.38</v>
      </c>
    </row>
    <row r="49497" spans="1:4" x14ac:dyDescent="0.25">
      <c r="A49497" t="str">
        <f>HYPERLINK("https://www.773grp.com/globalSearch/2SJ214STL-E/page-1", "2SJ214STL-E")</f>
        <v>2SJ214STL-E</v>
      </c>
      <c r="B49497" s="3" t="str">
        <f>HYPERLINK("https://www.773grp.com/manufacturer/renesas-electronics-america-inc?pageNo=566", "Renesas Electronics")</f>
        <v>Renesas Electronics</v>
      </c>
      <c r="C49497" s="6">
        <v>1000</v>
      </c>
      <c r="D49497" s="7">
        <v>4</v>
      </c>
    </row>
    <row r="49498" spans="1:4" x14ac:dyDescent="0.25">
      <c r="A49498" t="str">
        <f>HYPERLINK("https://www.773grp.com/globalSearch/M61510AFP#DF0G/page-1", "M61510AFP#DF0G")</f>
        <v>M61510AFP#DF0G</v>
      </c>
      <c r="B49498" s="3" t="str">
        <f>HYPERLINK("https://www.773grp.com/manufacturer/renesas-electronics-america-inc?pageNo=567", "Renesas Electronics")</f>
        <v>Renesas Electronics</v>
      </c>
      <c r="C49498" s="6">
        <v>6000</v>
      </c>
      <c r="D49498" s="7">
        <v>4</v>
      </c>
    </row>
    <row r="49499" spans="1:4" x14ac:dyDescent="0.25">
      <c r="A49499" t="str">
        <f>HYPERLINK("https://www.773grp.com/globalSearch/R2A15905FP#U2/page-1", "R2A15905FP#U2")</f>
        <v>R2A15905FP#U2</v>
      </c>
      <c r="B49499" s="3" t="str">
        <f>HYPERLINK("https://www.773grp.com/manufacturer/renesas-electronics-america-inc?pageNo=568", "Renesas Electronics")</f>
        <v>Renesas Electronics</v>
      </c>
      <c r="C49499" s="6">
        <v>61528</v>
      </c>
      <c r="D49499" s="7">
        <v>4</v>
      </c>
    </row>
    <row r="49500" spans="1:4" x14ac:dyDescent="0.25">
      <c r="A49500" t="str">
        <f>HYPERLINK("https://www.773grp.com/globalSearch/RJK0389DPA-WS#J53/page-1", "RJK0389DPA-WS#J53")</f>
        <v>RJK0389DPA-WS#J53</v>
      </c>
      <c r="B49500" s="3" t="str">
        <f>HYPERLINK("https://www.773grp.com/manufacturer/renesas-electronics-america-inc?pageNo=569", "Renesas Electronics")</f>
        <v>Renesas Electronics</v>
      </c>
      <c r="C49500" s="6">
        <v>2191</v>
      </c>
      <c r="D49500" s="7">
        <v>4</v>
      </c>
    </row>
    <row r="49501" spans="1:4" x14ac:dyDescent="0.25">
      <c r="A49501" t="str">
        <f>HYPERLINK("https://www.773grp.com/globalSearch/2SA1720-AZ/page-1", "2SA1720-AZ")</f>
        <v>2SA1720-AZ</v>
      </c>
      <c r="B49501" s="3" t="str">
        <f>HYPERLINK("https://www.773grp.com/manufacturer/renesas-electronics-america-inc?pageNo=570", "Renesas Electronics")</f>
        <v>Renesas Electronics</v>
      </c>
      <c r="C49501" s="6">
        <v>1057</v>
      </c>
      <c r="D49501" s="7">
        <v>4.4400000000000004</v>
      </c>
    </row>
    <row r="49502" spans="1:4" x14ac:dyDescent="0.25">
      <c r="A49502" t="str">
        <f>HYPERLINK("https://www.773grp.com/globalSearch/2SK1059-AZ/page-1", "2SK1059-AZ")</f>
        <v>2SK1059-AZ</v>
      </c>
      <c r="B49502" s="3" t="str">
        <f>HYPERLINK("https://www.773grp.com/manufacturer/renesas-electronics-america-inc?pageNo=571", "Renesas Electronics")</f>
        <v>Renesas Electronics</v>
      </c>
      <c r="C49502" s="6">
        <v>488</v>
      </c>
      <c r="D49502" s="7">
        <v>4.4400000000000004</v>
      </c>
    </row>
    <row r="49503" spans="1:4" x14ac:dyDescent="0.25">
      <c r="A49503" t="str">
        <f>HYPERLINK("https://www.773grp.com/globalSearch/74ACT374FP-E/page-1", "74ACT374FP-E")</f>
        <v>74ACT374FP-E</v>
      </c>
      <c r="B49503" s="3" t="str">
        <f>HYPERLINK("https://www.773grp.com/manufacturer/renesas-electronics-america-inc?pageNo=572", "Renesas Electronics")</f>
        <v>Renesas Electronics</v>
      </c>
      <c r="C49503" s="6">
        <v>6000</v>
      </c>
      <c r="D49503" s="7">
        <v>4.4400000000000004</v>
      </c>
    </row>
    <row r="49504" spans="1:4" x14ac:dyDescent="0.25">
      <c r="A49504" t="str">
        <f>HYPERLINK("https://www.773grp.com/globalSearch/74HC191P-E/page-1", "74HC191P-E")</f>
        <v>74HC191P-E</v>
      </c>
      <c r="B49504" s="3" t="str">
        <f>HYPERLINK("https://www.773grp.com/manufacturer/renesas-electronics-america-inc?pageNo=573", "Renesas Electronics")</f>
        <v>Renesas Electronics</v>
      </c>
      <c r="C49504" s="6">
        <v>5000</v>
      </c>
      <c r="D49504" s="7">
        <v>4.4400000000000004</v>
      </c>
    </row>
    <row r="49505" spans="1:4" x14ac:dyDescent="0.25">
      <c r="A49505" t="str">
        <f>HYPERLINK("https://www.773grp.com/globalSearch/74LS390FP-E/page-1", "74LS390FP-E")</f>
        <v>74LS390FP-E</v>
      </c>
      <c r="B49505" s="3" t="str">
        <f>HYPERLINK("https://www.773grp.com/manufacturer/renesas-electronics-america-inc?pageNo=574", "Renesas Electronics")</f>
        <v>Renesas Electronics</v>
      </c>
      <c r="C49505" s="6">
        <v>2000</v>
      </c>
      <c r="D49505" s="7">
        <v>4.4400000000000004</v>
      </c>
    </row>
    <row r="49506" spans="1:4" x14ac:dyDescent="0.25">
      <c r="A49506" t="str">
        <f>HYPERLINK("https://www.773grp.com/globalSearch/AC03FGM(8)-S13-AZ/page-1", "AC03FGM(8)-S13-AZ")</f>
        <v>AC03FGM(8)-S13-AZ</v>
      </c>
      <c r="B49506" s="3" t="str">
        <f>HYPERLINK("https://www.773grp.com/manufacturer/renesas-electronics-america-inc?pageNo=575", "Renesas Electronics")</f>
        <v>Renesas Electronics</v>
      </c>
      <c r="C49506" s="6">
        <v>18587</v>
      </c>
      <c r="D49506" s="7">
        <v>4.4400000000000004</v>
      </c>
    </row>
    <row r="49507" spans="1:4" x14ac:dyDescent="0.25">
      <c r="A49507" t="str">
        <f>HYPERLINK("https://www.773grp.com/globalSearch/FS10ASJ-3-T13#C01/page-1", "FS10ASJ-3-T13#C01")</f>
        <v>FS10ASJ-3-T13#C01</v>
      </c>
      <c r="B49507" s="3" t="str">
        <f>HYPERLINK("https://www.773grp.com/manufacturer/renesas-electronics-america-inc?pageNo=576", "Renesas Electronics")</f>
        <v>Renesas Electronics</v>
      </c>
      <c r="C49507" s="6">
        <v>99000</v>
      </c>
      <c r="D49507" s="7">
        <v>4.4400000000000004</v>
      </c>
    </row>
    <row r="49508" spans="1:4" x14ac:dyDescent="0.25">
      <c r="A49508" t="str">
        <f>HYPERLINK("https://www.773grp.com/globalSearch/FS10ASJ-3-T13#C02/page-1", "FS10ASJ-3-T13#C02")</f>
        <v>FS10ASJ-3-T13#C02</v>
      </c>
      <c r="B49508" s="3" t="str">
        <f>HYPERLINK("https://www.773grp.com/manufacturer/renesas-electronics-america-inc?pageNo=577", "Renesas Electronics")</f>
        <v>Renesas Electronics</v>
      </c>
      <c r="C49508" s="6">
        <v>54000</v>
      </c>
      <c r="D49508" s="7">
        <v>4.4400000000000004</v>
      </c>
    </row>
    <row r="49509" spans="1:4" x14ac:dyDescent="0.25">
      <c r="A49509" t="str">
        <f>HYPERLINK("https://www.773grp.com/globalSearch/FS30ASJ-2-T13#B00/page-1", "FS30ASJ-2-T13#B00")</f>
        <v>FS30ASJ-2-T13#B00</v>
      </c>
      <c r="B49509" s="3" t="str">
        <f>HYPERLINK("https://www.773grp.com/manufacturer/renesas-electronics-america-inc?pageNo=578", "Renesas Electronics")</f>
        <v>Renesas Electronics</v>
      </c>
      <c r="C49509" s="6">
        <v>21000</v>
      </c>
      <c r="D49509" s="7">
        <v>4.4400000000000004</v>
      </c>
    </row>
    <row r="49510" spans="1:4" x14ac:dyDescent="0.25">
      <c r="A49510" t="str">
        <f>HYPERLINK("https://www.773grp.com/globalSearch/RJK0383DPA-09#J53/page-1", "RJK0383DPA-09#J53")</f>
        <v>RJK0383DPA-09#J53</v>
      </c>
      <c r="B49510" s="3" t="str">
        <f>HYPERLINK("https://www.773grp.com/manufacturer/renesas-electronics-america-inc?pageNo=579", "Renesas Electronics")</f>
        <v>Renesas Electronics</v>
      </c>
      <c r="C49510" s="6">
        <v>12000</v>
      </c>
      <c r="D49510" s="7">
        <v>4.4400000000000004</v>
      </c>
    </row>
    <row r="49511" spans="1:4" x14ac:dyDescent="0.25">
      <c r="A49511" t="str">
        <f>HYPERLINK("https://www.773grp.com/globalSearch/PS9117A-F3-AX/page-1", "PS9117A-F3-AX")</f>
        <v>PS9117A-F3-AX</v>
      </c>
      <c r="B49511" s="3" t="str">
        <f>HYPERLINK("https://www.773grp.com/manufacturer/renesas-electronics-america-inc?pageNo=580", "Renesas Electronics")</f>
        <v>Renesas Electronics</v>
      </c>
      <c r="C49511" s="6">
        <v>2242</v>
      </c>
      <c r="D49511" s="7">
        <v>4.4400000000000004</v>
      </c>
    </row>
    <row r="49512" spans="1:4" x14ac:dyDescent="0.25">
      <c r="A49512" t="str">
        <f>HYPERLINK("https://www.773grp.com/globalSearch/HN58X2464TI#S4/page-1", "HN58X2464TI#S4")</f>
        <v>HN58X2464TI#S4</v>
      </c>
      <c r="B49512" s="3" t="str">
        <f>HYPERLINK("https://www.773grp.com/manufacturer/renesas-electronics-america-inc?pageNo=581", "Renesas Electronics")</f>
        <v>Renesas Electronics</v>
      </c>
      <c r="C49512" s="6">
        <v>24000</v>
      </c>
      <c r="D49512" s="7">
        <v>4.01</v>
      </c>
    </row>
    <row r="49513" spans="1:4" x14ac:dyDescent="0.25">
      <c r="A49513" t="str">
        <f>HYPERLINK("https://www.773grp.com/globalSearch/RJP3045DPP-90#T2F/page-1", "RJP3045DPP-90#T2F")</f>
        <v>RJP3045DPP-90#T2F</v>
      </c>
      <c r="B49513" s="3" t="str">
        <f>HYPERLINK("https://www.773grp.com/manufacturer/renesas-electronics-america-inc?pageNo=582", "Renesas Electronics")</f>
        <v>Renesas Electronics</v>
      </c>
      <c r="C49513" s="6">
        <v>2000</v>
      </c>
      <c r="D49513" s="7">
        <v>4.05</v>
      </c>
    </row>
    <row r="49514" spans="1:4" x14ac:dyDescent="0.25">
      <c r="A49514" t="str">
        <f>HYPERLINK("https://www.773grp.com/globalSearch/2P4M(01)-AZ/page-1", "2P4M(01)-AZ")</f>
        <v>2P4M(01)-AZ</v>
      </c>
      <c r="B49514" s="3" t="str">
        <f>HYPERLINK("https://www.773grp.com/manufacturer/renesas-electronics-america-inc?pageNo=583", "Renesas Electronics")</f>
        <v>Renesas Electronics</v>
      </c>
      <c r="C49514" s="6">
        <v>194</v>
      </c>
      <c r="D49514" s="7">
        <v>4.49</v>
      </c>
    </row>
    <row r="49515" spans="1:4" x14ac:dyDescent="0.25">
      <c r="A49515" t="str">
        <f>HYPERLINK("https://www.773grp.com/globalSearch/2P4M(CB)-AZ/page-1", "2P4M(CB)-AZ")</f>
        <v>2P4M(CB)-AZ</v>
      </c>
      <c r="B49515" s="3" t="str">
        <f>HYPERLINK("https://www.773grp.com/manufacturer/renesas-electronics-america-inc?pageNo=584", "Renesas Electronics")</f>
        <v>Renesas Electronics</v>
      </c>
      <c r="C49515" s="6">
        <v>323</v>
      </c>
      <c r="D49515" s="7">
        <v>4.49</v>
      </c>
    </row>
    <row r="49516" spans="1:4" x14ac:dyDescent="0.25">
      <c r="A49516" t="str">
        <f>HYPERLINK("https://www.773grp.com/globalSearch/2P4M(CE)-AZ/page-1", "2P4M(CE)-AZ")</f>
        <v>2P4M(CE)-AZ</v>
      </c>
      <c r="B49516" s="3" t="str">
        <f>HYPERLINK("https://www.773grp.com/manufacturer/renesas-electronics-america-inc?pageNo=585", "Renesas Electronics")</f>
        <v>Renesas Electronics</v>
      </c>
      <c r="C49516" s="6">
        <v>2425</v>
      </c>
      <c r="D49516" s="7">
        <v>4.49</v>
      </c>
    </row>
    <row r="49517" spans="1:4" x14ac:dyDescent="0.25">
      <c r="A49517" t="str">
        <f>HYPERLINK("https://www.773grp.com/globalSearch/2P6M(DY)-AZ/page-1", "2P6M(DY)-AZ")</f>
        <v>2P6M(DY)-AZ</v>
      </c>
      <c r="B49517" s="3" t="str">
        <f>HYPERLINK("https://www.773grp.com/manufacturer/renesas-electronics-america-inc?pageNo=586", "Renesas Electronics")</f>
        <v>Renesas Electronics</v>
      </c>
      <c r="C49517" s="6">
        <v>765</v>
      </c>
      <c r="D49517" s="7">
        <v>4.49</v>
      </c>
    </row>
    <row r="49518" spans="1:4" x14ac:dyDescent="0.25">
      <c r="A49518" t="str">
        <f>HYPERLINK("https://www.773grp.com/globalSearch/AC03DGM(CM)-AZ/page-1", "AC03DGM(CM)-AZ")</f>
        <v>AC03DGM(CM)-AZ</v>
      </c>
      <c r="B49518" s="3" t="str">
        <f>HYPERLINK("https://www.773grp.com/manufacturer/renesas-electronics-america-inc?pageNo=587", "Renesas Electronics")</f>
        <v>Renesas Electronics</v>
      </c>
      <c r="C49518" s="6">
        <v>184</v>
      </c>
      <c r="D49518" s="7">
        <v>4.49</v>
      </c>
    </row>
    <row r="49519" spans="1:4" x14ac:dyDescent="0.25">
      <c r="A49519" t="str">
        <f>HYPERLINK("https://www.773grp.com/globalSearch/AC03DGM(CY)-AZ/page-1", "AC03DGM(CY)-AZ")</f>
        <v>AC03DGM(CY)-AZ</v>
      </c>
      <c r="B49519" s="3" t="str">
        <f>HYPERLINK("https://www.773grp.com/manufacturer/renesas-electronics-america-inc?pageNo=588", "Renesas Electronics")</f>
        <v>Renesas Electronics</v>
      </c>
      <c r="C49519" s="6">
        <v>792</v>
      </c>
      <c r="D49519" s="7">
        <v>4.49</v>
      </c>
    </row>
    <row r="49520" spans="1:4" x14ac:dyDescent="0.25">
      <c r="A49520" t="str">
        <f>HYPERLINK("https://www.773grp.com/globalSearch/AC03DGM(YE)-AZ/page-1", "AC03DGM(YE)-AZ")</f>
        <v>AC03DGM(YE)-AZ</v>
      </c>
      <c r="B49520" s="3" t="str">
        <f>HYPERLINK("https://www.773grp.com/manufacturer/renesas-electronics-america-inc?pageNo=589", "Renesas Electronics")</f>
        <v>Renesas Electronics</v>
      </c>
      <c r="C49520" s="6">
        <v>2682</v>
      </c>
      <c r="D49520" s="7">
        <v>4.49</v>
      </c>
    </row>
    <row r="49521" spans="1:4" x14ac:dyDescent="0.25">
      <c r="A49521" t="str">
        <f>HYPERLINK("https://www.773grp.com/globalSearch/AC03DSMA-AZ/page-1", "AC03DSMA-AZ")</f>
        <v>AC03DSMA-AZ</v>
      </c>
      <c r="B49521" s="3" t="str">
        <f>HYPERLINK("https://www.773grp.com/manufacturer/renesas-electronics-america-inc?pageNo=590", "Renesas Electronics")</f>
        <v>Renesas Electronics</v>
      </c>
      <c r="C49521" s="6">
        <v>756</v>
      </c>
      <c r="D49521" s="7">
        <v>4.49</v>
      </c>
    </row>
    <row r="49522" spans="1:4" x14ac:dyDescent="0.25">
      <c r="A49522" t="str">
        <f>HYPERLINK("https://www.773grp.com/globalSearch/CR6CM-12B#B00/page-1", "CR6CM-12B#B00")</f>
        <v>CR6CM-12B#B00</v>
      </c>
      <c r="B49522" s="3" t="str">
        <f>HYPERLINK("https://www.773grp.com/manufacturer/renesas-electronics-america-inc?pageNo=591", "Renesas Electronics")</f>
        <v>Renesas Electronics</v>
      </c>
      <c r="C49522" s="6">
        <v>3156</v>
      </c>
      <c r="D49522" s="7">
        <v>4.49</v>
      </c>
    </row>
    <row r="49523" spans="1:4" x14ac:dyDescent="0.25">
      <c r="A49523" t="str">
        <f>HYPERLINK("https://www.773grp.com/globalSearch/CY25CAH-8F-T13#F10/page-1", "CY25CAH-8F-T13#F10")</f>
        <v>CY25CAH-8F-T13#F10</v>
      </c>
      <c r="B49523" s="3" t="str">
        <f>HYPERLINK("https://www.773grp.com/manufacturer/renesas-electronics-america-inc?pageNo=592", "Renesas Electronics")</f>
        <v>Renesas Electronics</v>
      </c>
      <c r="C49523" s="6">
        <v>9000</v>
      </c>
      <c r="D49523" s="7">
        <v>4.49</v>
      </c>
    </row>
    <row r="49524" spans="1:4" x14ac:dyDescent="0.25">
      <c r="A49524" t="str">
        <f>HYPERLINK("https://www.773grp.com/globalSearch/R1EX25032ASA00I#S1/page-1", "R1EX25032ASA00I#S1")</f>
        <v>R1EX25032ASA00I#S1</v>
      </c>
      <c r="B49524" s="3" t="str">
        <f>HYPERLINK("https://www.773grp.com/manufacturer/renesas-electronics-america-inc?pageNo=593", "Renesas Electronics")</f>
        <v>Renesas Electronics</v>
      </c>
      <c r="C49524" s="6">
        <v>250</v>
      </c>
      <c r="D49524" s="7">
        <v>4.49</v>
      </c>
    </row>
    <row r="49525" spans="1:4" x14ac:dyDescent="0.25">
      <c r="A49525" t="str">
        <f>HYPERLINK("https://www.773grp.com/globalSearch/R2S15903SP#D1/page-1", "R2S15903SP#D1")</f>
        <v>R2S15903SP#D1</v>
      </c>
      <c r="B49525" s="3" t="str">
        <f>HYPERLINK("https://www.773grp.com/manufacturer/renesas-electronics-america-inc?pageNo=594", "Renesas Electronics")</f>
        <v>Renesas Electronics</v>
      </c>
      <c r="C49525" s="6">
        <v>52000</v>
      </c>
      <c r="D49525" s="7">
        <v>4.49</v>
      </c>
    </row>
    <row r="49526" spans="1:4" x14ac:dyDescent="0.25">
      <c r="A49526" t="str">
        <f>HYPERLINK("https://www.773grp.com/globalSearch/2SK2114-E/page-1", "2SK2114-E")</f>
        <v>2SK2114-E</v>
      </c>
      <c r="B49526" s="3" t="str">
        <f>HYPERLINK("https://www.773grp.com/manufacturer/renesas-electronics-america-inc?pageNo=595", "Renesas Electronics")</f>
        <v>Renesas Electronics</v>
      </c>
      <c r="C49526" s="6">
        <v>15737</v>
      </c>
      <c r="D49526" s="7">
        <v>4.09</v>
      </c>
    </row>
    <row r="49527" spans="1:4" x14ac:dyDescent="0.25">
      <c r="A49527" t="str">
        <f>HYPERLINK("https://www.773grp.com/globalSearch/RJP3034DPP-B1#T2F/page-1", "RJP3034DPP-B1#T2F")</f>
        <v>RJP3034DPP-B1#T2F</v>
      </c>
      <c r="B49527" s="3" t="str">
        <f>HYPERLINK("https://www.773grp.com/manufacturer/renesas-electronics-america-inc?pageNo=596", "Renesas Electronics")</f>
        <v>Renesas Electronics</v>
      </c>
      <c r="C49527" s="6">
        <v>128500</v>
      </c>
      <c r="D49527" s="7">
        <v>4.09</v>
      </c>
    </row>
    <row r="49528" spans="1:4" x14ac:dyDescent="0.25">
      <c r="A49528" t="str">
        <f>HYPERLINK("https://www.773grp.com/globalSearch/2SK2869-92STR/page-1", "2SK2869-92STR")</f>
        <v>2SK2869-92STR</v>
      </c>
      <c r="B49528" s="3" t="str">
        <f>HYPERLINK("https://www.773grp.com/manufacturer/renesas-electronics-america-inc?pageNo=597", "Renesas Electronics")</f>
        <v>Renesas Electronics</v>
      </c>
      <c r="C49528" s="6">
        <v>6000</v>
      </c>
      <c r="D49528" s="7">
        <v>4.54</v>
      </c>
    </row>
    <row r="49529" spans="1:4" x14ac:dyDescent="0.25">
      <c r="A49529" t="str">
        <f>HYPERLINK("https://www.773grp.com/globalSearch/CY25CAJ-8F-T13#G11/page-1", "CY25CAJ-8F-T13#G11")</f>
        <v>CY25CAJ-8F-T13#G11</v>
      </c>
      <c r="B49529" s="3" t="str">
        <f>HYPERLINK("https://www.773grp.com/manufacturer/renesas-electronics-america-inc?pageNo=598", "Renesas Electronics")</f>
        <v>Renesas Electronics</v>
      </c>
      <c r="C49529" s="6">
        <v>18000</v>
      </c>
      <c r="D49529" s="7">
        <v>4.54</v>
      </c>
    </row>
    <row r="49530" spans="1:4" x14ac:dyDescent="0.25">
      <c r="A49530" t="str">
        <f>HYPERLINK("https://www.773grp.com/globalSearch/HA17902PJ-E/page-1", "HA17902PJ-E")</f>
        <v>HA17902PJ-E</v>
      </c>
      <c r="B49530" s="3" t="str">
        <f>HYPERLINK("https://www.773grp.com/manufacturer/renesas-electronics-america-inc?pageNo=599", "Renesas Electronics")</f>
        <v>Renesas Electronics</v>
      </c>
      <c r="C49530" s="6">
        <v>3969</v>
      </c>
      <c r="D49530" s="7">
        <v>4.54</v>
      </c>
    </row>
    <row r="49531" spans="1:4" x14ac:dyDescent="0.25">
      <c r="A49531" t="str">
        <f>HYPERLINK("https://www.773grp.com/globalSearch/R1EX24064ASAS0I#S1/page-1", "R1EX24064ASAS0I#S1")</f>
        <v>R1EX24064ASAS0I#S1</v>
      </c>
      <c r="B49531" s="3" t="str">
        <f>HYPERLINK("https://www.773grp.com/manufacturer/renesas-electronics-america-inc?pageNo=600", "Renesas Electronics")</f>
        <v>Renesas Electronics</v>
      </c>
      <c r="C49531" s="6">
        <v>3500</v>
      </c>
      <c r="D49531" s="7">
        <v>4.54</v>
      </c>
    </row>
    <row r="49532" spans="1:4" x14ac:dyDescent="0.25">
      <c r="A49532" t="str">
        <f>HYPERLINK("https://www.773grp.com/globalSearch/2SA1443(1)-S6-AZ/page-1", "2SA1443(1)-S6-AZ")</f>
        <v>2SA1443(1)-S6-AZ</v>
      </c>
      <c r="B49532" s="3" t="str">
        <f>HYPERLINK("https://www.773grp.com/manufacturer/renesas-electronics-america-inc?pageNo=601", "Renesas Electronics")</f>
        <v>Renesas Electronics</v>
      </c>
      <c r="C49532" s="6">
        <v>1968</v>
      </c>
      <c r="D49532" s="7">
        <v>4.1399999999999997</v>
      </c>
    </row>
    <row r="49533" spans="1:4" x14ac:dyDescent="0.25">
      <c r="A49533" t="str">
        <f>HYPERLINK("https://www.773grp.com/globalSearch/2P6M(CY)-AZ/page-1", "2P6M(CY)-AZ")</f>
        <v>2P6M(CY)-AZ</v>
      </c>
      <c r="B49533" s="3" t="str">
        <f>HYPERLINK("https://www.773grp.com/manufacturer/renesas-electronics-america-inc?pageNo=602", "Renesas Electronics")</f>
        <v>Renesas Electronics</v>
      </c>
      <c r="C49533" s="6">
        <v>766</v>
      </c>
      <c r="D49533" s="7">
        <v>4.59</v>
      </c>
    </row>
    <row r="49534" spans="1:4" x14ac:dyDescent="0.25">
      <c r="A49534" t="str">
        <f>HYPERLINK("https://www.773grp.com/globalSearch/2SD2337C-E/page-1", "2SD2337C-E")</f>
        <v>2SD2337C-E</v>
      </c>
      <c r="B49534" s="3" t="str">
        <f>HYPERLINK("https://www.773grp.com/manufacturer/renesas-electronics-america-inc?pageNo=603", "Renesas Electronics")</f>
        <v>Renesas Electronics</v>
      </c>
      <c r="C49534" s="6">
        <v>571</v>
      </c>
      <c r="D49534" s="7">
        <v>4.59</v>
      </c>
    </row>
    <row r="49535" spans="1:4" x14ac:dyDescent="0.25">
      <c r="A49535" t="str">
        <f>HYPERLINK("https://www.773grp.com/globalSearch/2SD864K/page-1", "2SD864K")</f>
        <v>2SD864K</v>
      </c>
      <c r="B49535" s="3" t="str">
        <f>HYPERLINK("https://www.773grp.com/manufacturer/renesas-electronics-america-inc?pageNo=604", "Renesas Electronics")</f>
        <v>Renesas Electronics</v>
      </c>
      <c r="C49535" s="6">
        <v>2068</v>
      </c>
      <c r="D49535" s="7">
        <v>4.59</v>
      </c>
    </row>
    <row r="49536" spans="1:4" x14ac:dyDescent="0.25">
      <c r="A49536" t="str">
        <f>HYPERLINK("https://www.773grp.com/globalSearch/74HC193P-E/page-1", "74HC193P-E")</f>
        <v>74HC193P-E</v>
      </c>
      <c r="B49536" s="3" t="str">
        <f>HYPERLINK("https://www.773grp.com/manufacturer/renesas-electronics-america-inc?pageNo=605", "Renesas Electronics")</f>
        <v>Renesas Electronics</v>
      </c>
      <c r="C49536" s="6">
        <v>1000</v>
      </c>
      <c r="D49536" s="7">
        <v>4.59</v>
      </c>
    </row>
    <row r="49537" spans="1:4" x14ac:dyDescent="0.25">
      <c r="A49537" t="str">
        <f>HYPERLINK("https://www.773grp.com/globalSearch/AC05FGM(YC)-AZ/page-1", "AC05FGM(YC)-AZ")</f>
        <v>AC05FGM(YC)-AZ</v>
      </c>
      <c r="B49537" s="3" t="str">
        <f>HYPERLINK("https://www.773grp.com/manufacturer/renesas-electronics-america-inc?pageNo=606", "Renesas Electronics")</f>
        <v>Renesas Electronics</v>
      </c>
      <c r="C49537" s="6">
        <v>271</v>
      </c>
      <c r="D49537" s="7">
        <v>4.59</v>
      </c>
    </row>
    <row r="49538" spans="1:4" x14ac:dyDescent="0.25">
      <c r="A49538" t="str">
        <f>HYPERLINK("https://www.773grp.com/globalSearch/BCR16KM-12LA#C03/page-1", "BCR16KM-12LA#C03")</f>
        <v>BCR16KM-12LA#C03</v>
      </c>
      <c r="B49538" s="3" t="str">
        <f>HYPERLINK("https://www.773grp.com/manufacturer/renesas-electronics-america-inc?pageNo=607", "Renesas Electronics")</f>
        <v>Renesas Electronics</v>
      </c>
      <c r="C49538" s="6">
        <v>5278</v>
      </c>
      <c r="D49538" s="7">
        <v>4.16</v>
      </c>
    </row>
    <row r="49539" spans="1:4" x14ac:dyDescent="0.25">
      <c r="A49539" t="str">
        <f>HYPERLINK("https://www.773grp.com/globalSearch/2SK1567-04-E/page-1", "2SK1567-04-E")</f>
        <v>2SK1567-04-E</v>
      </c>
      <c r="B49539" s="3" t="str">
        <f>HYPERLINK("https://www.773grp.com/manufacturer/renesas-electronics-america-inc?pageNo=608", "Renesas Electronics")</f>
        <v>Renesas Electronics</v>
      </c>
      <c r="C49539" s="6">
        <v>16233</v>
      </c>
      <c r="D49539" s="7">
        <v>4.1900000000000004</v>
      </c>
    </row>
    <row r="49540" spans="1:4" x14ac:dyDescent="0.25">
      <c r="A49540" t="str">
        <f>HYPERLINK("https://www.773grp.com/globalSearch/AC16FGM(YC)-AZ/page-1", "AC16FGM(YC)-AZ")</f>
        <v>AC16FGM(YC)-AZ</v>
      </c>
      <c r="B49540" s="3" t="str">
        <f>HYPERLINK("https://www.773grp.com/manufacturer/renesas-electronics-america-inc?pageNo=609", "Renesas Electronics")</f>
        <v>Renesas Electronics</v>
      </c>
      <c r="C49540" s="6">
        <v>336</v>
      </c>
      <c r="D49540" s="7">
        <v>4.1900000000000004</v>
      </c>
    </row>
    <row r="49541" spans="1:4" x14ac:dyDescent="0.25">
      <c r="A49541" t="str">
        <f>HYPERLINK("https://www.773grp.com/globalSearch/AC16FGM(YN)-AZ/page-1", "AC16FGM(YN)-AZ")</f>
        <v>AC16FGM(YN)-AZ</v>
      </c>
      <c r="B49541" s="3" t="str">
        <f>HYPERLINK("https://www.773grp.com/manufacturer/renesas-electronics-america-inc?pageNo=610", "Renesas Electronics")</f>
        <v>Renesas Electronics</v>
      </c>
      <c r="C49541" s="6">
        <v>3403</v>
      </c>
      <c r="D49541" s="7">
        <v>4.1900000000000004</v>
      </c>
    </row>
    <row r="49542" spans="1:4" x14ac:dyDescent="0.25">
      <c r="A49542" t="str">
        <f>HYPERLINK("https://www.773grp.com/globalSearch/RJK4007DPP-L1#T2/page-1", "RJK4007DPP-L1#T2")</f>
        <v>RJK4007DPP-L1#T2</v>
      </c>
      <c r="B49542" s="3" t="str">
        <f>HYPERLINK("https://www.773grp.com/manufacturer/renesas-electronics-america-inc?pageNo=611", "Renesas Electronics")</f>
        <v>Renesas Electronics</v>
      </c>
      <c r="C49542" s="6">
        <v>4643</v>
      </c>
      <c r="D49542" s="7">
        <v>4.1900000000000004</v>
      </c>
    </row>
    <row r="49543" spans="1:4" x14ac:dyDescent="0.25">
      <c r="A49543" t="str">
        <f>HYPERLINK("https://www.773grp.com/globalSearch/M51996AFP#DF0J/page-1", "M51996AFP#DF0J")</f>
        <v>M51996AFP#DF0J</v>
      </c>
      <c r="B49543" s="3" t="str">
        <f>HYPERLINK("https://www.773grp.com/manufacturer/renesas-electronics-america-inc?pageNo=612", "Renesas Electronics")</f>
        <v>Renesas Electronics</v>
      </c>
      <c r="C49543" s="6">
        <v>3900</v>
      </c>
      <c r="D49543" s="7">
        <v>4.6399999999999997</v>
      </c>
    </row>
    <row r="49544" spans="1:4" x14ac:dyDescent="0.25">
      <c r="A49544" t="str">
        <f>HYPERLINK("https://www.773grp.com/globalSearch/M5243AFP09#DF0J/page-1", "M5243AFP09#DF0J")</f>
        <v>M5243AFP09#DF0J</v>
      </c>
      <c r="B49544" s="3" t="str">
        <f>HYPERLINK("https://www.773grp.com/manufacturer/renesas-electronics-america-inc?pageNo=613", "Renesas Electronics")</f>
        <v>Renesas Electronics</v>
      </c>
      <c r="C49544" s="6">
        <v>6000</v>
      </c>
      <c r="D49544" s="7">
        <v>4.6399999999999997</v>
      </c>
    </row>
    <row r="49545" spans="1:4" x14ac:dyDescent="0.25">
      <c r="A49545" t="str">
        <f>HYPERLINK("https://www.773grp.com/globalSearch/M54134FP#TB0G/page-1", "M54134FP#TB0G")</f>
        <v>M54134FP#TB0G</v>
      </c>
      <c r="B49545" s="3" t="str">
        <f>HYPERLINK("https://www.773grp.com/manufacturer/renesas-electronics-america-inc?pageNo=614", "Renesas Electronics")</f>
        <v>Renesas Electronics</v>
      </c>
      <c r="C49545" s="6">
        <v>812</v>
      </c>
      <c r="D49545" s="7">
        <v>4.6399999999999997</v>
      </c>
    </row>
    <row r="49546" spans="1:4" x14ac:dyDescent="0.25">
      <c r="A49546" t="str">
        <f>HYPERLINK("https://www.773grp.com/globalSearch/M62016L#TF0J/page-1", "M62016L#TF0J")</f>
        <v>M62016L#TF0J</v>
      </c>
      <c r="B49546" s="3" t="str">
        <f>HYPERLINK("https://www.773grp.com/manufacturer/renesas-electronics-america-inc?pageNo=615", "Renesas Electronics")</f>
        <v>Renesas Electronics</v>
      </c>
      <c r="C49546" s="6">
        <v>2996</v>
      </c>
      <c r="D49546" s="7">
        <v>4.6399999999999997</v>
      </c>
    </row>
    <row r="49547" spans="1:4" x14ac:dyDescent="0.25">
      <c r="A49547" t="str">
        <f>HYPERLINK("https://www.773grp.com/globalSearch/2SK3457-AZ/page-1", "2SK3457-AZ")</f>
        <v>2SK3457-AZ</v>
      </c>
      <c r="B49547" s="3" t="str">
        <f>HYPERLINK("https://www.773grp.com/manufacturer/renesas-electronics-america-inc?pageNo=616", "Renesas Electronics")</f>
        <v>Renesas Electronics</v>
      </c>
      <c r="C49547" s="6">
        <v>2189</v>
      </c>
      <c r="D49547" s="7">
        <v>4.2300000000000004</v>
      </c>
    </row>
    <row r="49548" spans="1:4" x14ac:dyDescent="0.25">
      <c r="A49548" t="str">
        <f>HYPERLINK("https://www.773grp.com/globalSearch/BCR16CS-12LA#B00/page-1", "BCR16CS-12LA#B00")</f>
        <v>BCR16CS-12LA#B00</v>
      </c>
      <c r="B49548" s="3" t="str">
        <f>HYPERLINK("https://www.773grp.com/manufacturer/renesas-electronics-america-inc?pageNo=617", "Renesas Electronics")</f>
        <v>Renesas Electronics</v>
      </c>
      <c r="C49548" s="6">
        <v>560</v>
      </c>
      <c r="D49548" s="7">
        <v>4.2300000000000004</v>
      </c>
    </row>
    <row r="49549" spans="1:4" x14ac:dyDescent="0.25">
      <c r="A49549" t="str">
        <f>HYPERLINK("https://www.773grp.com/globalSearch/BCR16KM-12LA#C0P/page-1", "BCR16KM-12LA#C0P")</f>
        <v>BCR16KM-12LA#C0P</v>
      </c>
      <c r="B49549" s="3" t="str">
        <f>HYPERLINK("https://www.773grp.com/manufacturer/renesas-electronics-america-inc?pageNo=618", "Renesas Electronics")</f>
        <v>Renesas Electronics</v>
      </c>
      <c r="C49549" s="6">
        <v>31464</v>
      </c>
      <c r="D49549" s="7">
        <v>4.2300000000000004</v>
      </c>
    </row>
    <row r="49550" spans="1:4" x14ac:dyDescent="0.25">
      <c r="A49550" t="str">
        <f>HYPERLINK("https://www.773grp.com/globalSearch/BCR3KM-12LB#B00/page-1", "BCR3KM-12LB#B00")</f>
        <v>BCR3KM-12LB#B00</v>
      </c>
      <c r="B49550" s="3" t="str">
        <f>HYPERLINK("https://www.773grp.com/manufacturer/renesas-electronics-america-inc?pageNo=619", "Renesas Electronics")</f>
        <v>Renesas Electronics</v>
      </c>
      <c r="C49550" s="6">
        <v>10008</v>
      </c>
      <c r="D49550" s="7">
        <v>4.2300000000000004</v>
      </c>
    </row>
    <row r="49551" spans="1:4" x14ac:dyDescent="0.25">
      <c r="A49551" t="str">
        <f>HYPERLINK("https://www.773grp.com/globalSearch/2P6M(9)-AZ/page-1", "2P6M(9)-AZ")</f>
        <v>2P6M(9)-AZ</v>
      </c>
      <c r="B49551" s="3" t="str">
        <f>HYPERLINK("https://www.773grp.com/manufacturer/renesas-electronics-america-inc?pageNo=620", "Renesas Electronics")</f>
        <v>Renesas Electronics</v>
      </c>
      <c r="C49551" s="6">
        <v>788</v>
      </c>
      <c r="D49551" s="7">
        <v>4.6900000000000004</v>
      </c>
    </row>
    <row r="49552" spans="1:4" x14ac:dyDescent="0.25">
      <c r="A49552" t="str">
        <f>HYPERLINK("https://www.773grp.com/globalSearch/2SD476KC-E/page-1", "2SD476KC-E")</f>
        <v>2SD476KC-E</v>
      </c>
      <c r="B49552" s="3" t="str">
        <f>HYPERLINK("https://www.773grp.com/manufacturer/renesas-electronics-america-inc?pageNo=621", "Renesas Electronics")</f>
        <v>Renesas Electronics</v>
      </c>
      <c r="C49552" s="6">
        <v>1669</v>
      </c>
      <c r="D49552" s="7">
        <v>4.6900000000000004</v>
      </c>
    </row>
    <row r="49553" spans="1:4" x14ac:dyDescent="0.25">
      <c r="A49553" t="str">
        <f>HYPERLINK("https://www.773grp.com/globalSearch/3P4MH(YE)-AZ/page-1", "3P4MH(YE)-AZ")</f>
        <v>3P4MH(YE)-AZ</v>
      </c>
      <c r="B49553" s="3" t="str">
        <f>HYPERLINK("https://www.773grp.com/manufacturer/renesas-electronics-america-inc?pageNo=622", "Renesas Electronics")</f>
        <v>Renesas Electronics</v>
      </c>
      <c r="C49553" s="6">
        <v>636</v>
      </c>
      <c r="D49553" s="7">
        <v>4.6900000000000004</v>
      </c>
    </row>
    <row r="49554" spans="1:4" x14ac:dyDescent="0.25">
      <c r="A49554" t="str">
        <f>HYPERLINK("https://www.773grp.com/globalSearch/AC03FSMA(3)-AZ/page-1", "AC03FSMA(3)-AZ")</f>
        <v>AC03FSMA(3)-AZ</v>
      </c>
      <c r="B49554" s="3" t="str">
        <f>HYPERLINK("https://www.773grp.com/manufacturer/renesas-electronics-america-inc?pageNo=623", "Renesas Electronics")</f>
        <v>Renesas Electronics</v>
      </c>
      <c r="C49554" s="6">
        <v>46541</v>
      </c>
      <c r="D49554" s="7">
        <v>4.6900000000000004</v>
      </c>
    </row>
    <row r="49555" spans="1:4" x14ac:dyDescent="0.25">
      <c r="A49555" t="str">
        <f>HYPERLINK("https://www.773grp.com/globalSearch/BCR12CM-12LB#B01/page-1", "BCR12CM-12LB#B01")</f>
        <v>BCR12CM-12LB#B01</v>
      </c>
      <c r="B49555" s="3" t="str">
        <f>HYPERLINK("https://www.773grp.com/manufacturer/renesas-electronics-america-inc?pageNo=624", "Renesas Electronics")</f>
        <v>Renesas Electronics</v>
      </c>
      <c r="C49555" s="6">
        <v>183</v>
      </c>
      <c r="D49555" s="7">
        <v>4.6900000000000004</v>
      </c>
    </row>
    <row r="49556" spans="1:4" x14ac:dyDescent="0.25">
      <c r="A49556" t="str">
        <f>HYPERLINK("https://www.773grp.com/globalSearch/HAT2167HWS-E/page-1", "HAT2167HWS-E")</f>
        <v>HAT2167HWS-E</v>
      </c>
      <c r="B49556" s="3" t="str">
        <f>HYPERLINK("https://www.773grp.com/manufacturer/renesas-electronics-america-inc?pageNo=625", "Renesas Electronics")</f>
        <v>Renesas Electronics</v>
      </c>
      <c r="C49556" s="6">
        <v>2440</v>
      </c>
      <c r="D49556" s="7">
        <v>4.6900000000000004</v>
      </c>
    </row>
    <row r="49557" spans="1:4" x14ac:dyDescent="0.25">
      <c r="A49557" t="str">
        <f>HYPERLINK("https://www.773grp.com/globalSearch/HAT2173NWS-E/page-1", "HAT2173NWS-E")</f>
        <v>HAT2173NWS-E</v>
      </c>
      <c r="B49557" s="3" t="str">
        <f>HYPERLINK("https://www.773grp.com/manufacturer/renesas-electronics-america-inc?pageNo=626", "Renesas Electronics")</f>
        <v>Renesas Electronics</v>
      </c>
      <c r="C49557" s="6">
        <v>2270</v>
      </c>
      <c r="D49557" s="7">
        <v>4.25</v>
      </c>
    </row>
    <row r="49558" spans="1:4" x14ac:dyDescent="0.25">
      <c r="A49558" t="str">
        <f>HYPERLINK("https://www.773grp.com/globalSearch/2SK1094-E/page-1", "2SK1094-E")</f>
        <v>2SK1094-E</v>
      </c>
      <c r="B49558" s="3" t="str">
        <f>HYPERLINK("https://www.773grp.com/manufacturer/renesas-electronics-america-inc?pageNo=627", "Renesas Electronics")</f>
        <v>Renesas Electronics</v>
      </c>
      <c r="C49558" s="6">
        <v>663</v>
      </c>
      <c r="D49558" s="7">
        <v>4.28</v>
      </c>
    </row>
    <row r="49559" spans="1:4" x14ac:dyDescent="0.25">
      <c r="A49559" t="str">
        <f>HYPERLINK("https://www.773grp.com/globalSearch/2SK3305-S-AZ/page-1", "2SK3305-S-AZ")</f>
        <v>2SK3305-S-AZ</v>
      </c>
      <c r="B49559" s="3" t="str">
        <f>HYPERLINK("https://www.773grp.com/manufacturer/renesas-electronics-america-inc?pageNo=628", "Renesas Electronics")</f>
        <v>Renesas Electronics</v>
      </c>
      <c r="C49559" s="6">
        <v>884</v>
      </c>
      <c r="D49559" s="7">
        <v>4.28</v>
      </c>
    </row>
    <row r="49560" spans="1:4" x14ac:dyDescent="0.25">
      <c r="A49560" t="str">
        <f>HYPERLINK("https://www.773grp.com/globalSearch/AC16DSMA-AZ/page-1", "AC16DSMA-AZ")</f>
        <v>AC16DSMA-AZ</v>
      </c>
      <c r="B49560" s="3" t="str">
        <f>HYPERLINK("https://www.773grp.com/manufacturer/renesas-electronics-america-inc?pageNo=629", "Renesas Electronics")</f>
        <v>Renesas Electronics</v>
      </c>
      <c r="C49560" s="6">
        <v>1150</v>
      </c>
      <c r="D49560" s="7">
        <v>4.28</v>
      </c>
    </row>
    <row r="49561" spans="1:4" x14ac:dyDescent="0.25">
      <c r="A49561" t="str">
        <f>HYPERLINK("https://www.773grp.com/globalSearch/BCR16KM-12LA-A8#X3/page-1", "BCR16KM-12LA-A8#X3")</f>
        <v>BCR16KM-12LA-A8#X3</v>
      </c>
      <c r="B49561" s="3" t="str">
        <f>HYPERLINK("https://www.773grp.com/manufacturer/renesas-electronics-america-inc?pageNo=630", "Renesas Electronics")</f>
        <v>Renesas Electronics</v>
      </c>
      <c r="C49561" s="6">
        <v>13450</v>
      </c>
      <c r="D49561" s="7">
        <v>4.28</v>
      </c>
    </row>
    <row r="49562" spans="1:4" x14ac:dyDescent="0.25">
      <c r="A49562" t="str">
        <f>HYPERLINK("https://www.773grp.com/globalSearch/R2A30423NP#W1/page-1", "R2A30423NP#W1")</f>
        <v>R2A30423NP#W1</v>
      </c>
      <c r="B49562" s="3" t="str">
        <f>HYPERLINK("https://www.773grp.com/manufacturer/renesas-electronics-america-inc?pageNo=631", "Renesas Electronics")</f>
        <v>Renesas Electronics</v>
      </c>
      <c r="C49562" s="6">
        <v>80000</v>
      </c>
      <c r="D49562" s="7">
        <v>4.28</v>
      </c>
    </row>
    <row r="49563" spans="1:4" x14ac:dyDescent="0.25">
      <c r="A49563" t="str">
        <f>HYPERLINK("https://www.773grp.com/globalSearch/RJP3047ADPK-80#T2/page-1", "RJP3047ADPK-80#T2")</f>
        <v>RJP3047ADPK-80#T2</v>
      </c>
      <c r="B49563" s="3" t="str">
        <f>HYPERLINK("https://www.773grp.com/manufacturer/renesas-electronics-america-inc?pageNo=632", "Renesas Electronics")</f>
        <v>Renesas Electronics</v>
      </c>
      <c r="C49563" s="6">
        <v>12830</v>
      </c>
      <c r="D49563" s="7">
        <v>4.28</v>
      </c>
    </row>
    <row r="49564" spans="1:4" x14ac:dyDescent="0.25">
      <c r="A49564" t="str">
        <f>HYPERLINK("https://www.773grp.com/globalSearch/2SD1900-02-E/page-1", "2SD1900-02-E")</f>
        <v>2SD1900-02-E</v>
      </c>
      <c r="B49564" s="3" t="str">
        <f>HYPERLINK("https://www.773grp.com/manufacturer/renesas-electronics-america-inc?pageNo=633", "Renesas Electronics")</f>
        <v>Renesas Electronics</v>
      </c>
      <c r="C49564" s="6">
        <v>3943</v>
      </c>
      <c r="D49564" s="7">
        <v>4.74</v>
      </c>
    </row>
    <row r="49565" spans="1:4" x14ac:dyDescent="0.25">
      <c r="A49565" t="str">
        <f>HYPERLINK("https://www.773grp.com/globalSearch/3P4MH(13)-S13-AZ/page-1", "3P4MH(13)-S13-AZ")</f>
        <v>3P4MH(13)-S13-AZ</v>
      </c>
      <c r="B49565" s="3" t="str">
        <f>HYPERLINK("https://www.773grp.com/manufacturer/renesas-electronics-america-inc?pageNo=634", "Renesas Electronics")</f>
        <v>Renesas Electronics</v>
      </c>
      <c r="C49565" s="6">
        <v>4981</v>
      </c>
      <c r="D49565" s="7">
        <v>4.74</v>
      </c>
    </row>
    <row r="49566" spans="1:4" x14ac:dyDescent="0.25">
      <c r="A49566" t="str">
        <f>HYPERLINK("https://www.773grp.com/globalSearch/3P4MH(DM)-AZ/page-1", "3P4MH(DM)-AZ")</f>
        <v>3P4MH(DM)-AZ</v>
      </c>
      <c r="B49566" s="3" t="str">
        <f>HYPERLINK("https://www.773grp.com/manufacturer/renesas-electronics-america-inc?pageNo=635", "Renesas Electronics")</f>
        <v>Renesas Electronics</v>
      </c>
      <c r="C49566" s="6">
        <v>8557</v>
      </c>
      <c r="D49566" s="7">
        <v>4.74</v>
      </c>
    </row>
    <row r="49567" spans="1:4" x14ac:dyDescent="0.25">
      <c r="A49567" t="str">
        <f>HYPERLINK("https://www.773grp.com/globalSearch/3P4MH(YM)-AZ/page-1", "3P4MH(YM)-AZ")</f>
        <v>3P4MH(YM)-AZ</v>
      </c>
      <c r="B49567" s="3" t="str">
        <f>HYPERLINK("https://www.773grp.com/manufacturer/renesas-electronics-america-inc?pageNo=636", "Renesas Electronics")</f>
        <v>Renesas Electronics</v>
      </c>
      <c r="C49567" s="6">
        <v>3957</v>
      </c>
      <c r="D49567" s="7">
        <v>4.74</v>
      </c>
    </row>
    <row r="49568" spans="1:4" x14ac:dyDescent="0.25">
      <c r="A49568" t="str">
        <f>HYPERLINK("https://www.773grp.com/globalSearch/74AC240P-E/page-1", "74AC240P-E")</f>
        <v>74AC240P-E</v>
      </c>
      <c r="B49568" s="3" t="str">
        <f>HYPERLINK("https://www.773grp.com/manufacturer/renesas-electronics-america-inc?pageNo=637", "Renesas Electronics")</f>
        <v>Renesas Electronics</v>
      </c>
      <c r="C49568" s="6">
        <v>3000</v>
      </c>
      <c r="D49568" s="7">
        <v>4.74</v>
      </c>
    </row>
    <row r="49569" spans="1:4" x14ac:dyDescent="0.25">
      <c r="A49569" t="str">
        <f>HYPERLINK("https://www.773grp.com/globalSearch/74HC193FPEL-E/page-1", "74HC193FPEL-E")</f>
        <v>74HC193FPEL-E</v>
      </c>
      <c r="B49569" s="3" t="str">
        <f>HYPERLINK("https://www.773grp.com/manufacturer/renesas-electronics-america-inc?pageNo=638", "Renesas Electronics")</f>
        <v>Renesas Electronics</v>
      </c>
      <c r="C49569" s="6">
        <v>4000</v>
      </c>
      <c r="D49569" s="7">
        <v>4.74</v>
      </c>
    </row>
    <row r="49570" spans="1:4" x14ac:dyDescent="0.25">
      <c r="A49570" t="str">
        <f>HYPERLINK("https://www.773grp.com/globalSearch/AC03DGM(BY)-AZ/page-1", "AC03DGM(BY)-AZ")</f>
        <v>AC03DGM(BY)-AZ</v>
      </c>
      <c r="B49570" s="3" t="str">
        <f>HYPERLINK("https://www.773grp.com/manufacturer/renesas-electronics-america-inc?pageNo=639", "Renesas Electronics")</f>
        <v>Renesas Electronics</v>
      </c>
      <c r="C49570" s="6">
        <v>99</v>
      </c>
      <c r="D49570" s="7">
        <v>4.74</v>
      </c>
    </row>
    <row r="49571" spans="1:4" x14ac:dyDescent="0.25">
      <c r="A49571" t="str">
        <f>HYPERLINK("https://www.773grp.com/globalSearch/AC03FSMA-AZ/page-1", "AC03FSMA-AZ")</f>
        <v>AC03FSMA-AZ</v>
      </c>
      <c r="B49571" s="3" t="str">
        <f>HYPERLINK("https://www.773grp.com/manufacturer/renesas-electronics-america-inc?pageNo=640", "Renesas Electronics")</f>
        <v>Renesas Electronics</v>
      </c>
      <c r="C49571" s="6">
        <v>1953</v>
      </c>
      <c r="D49571" s="7">
        <v>4.74</v>
      </c>
    </row>
    <row r="49572" spans="1:4" x14ac:dyDescent="0.25">
      <c r="A49572" t="str">
        <f>HYPERLINK("https://www.773grp.com/globalSearch/BCR16CM-12LC#B00/page-1", "BCR16CM-12LC#B00")</f>
        <v>BCR16CM-12LC#B00</v>
      </c>
      <c r="B49572" s="3" t="str">
        <f>HYPERLINK("https://www.773grp.com/manufacturer/renesas-electronics-america-inc?pageNo=641", "Renesas Electronics")</f>
        <v>Renesas Electronics</v>
      </c>
      <c r="C49572" s="6">
        <v>18701</v>
      </c>
      <c r="D49572" s="7">
        <v>4.74</v>
      </c>
    </row>
    <row r="49573" spans="1:4" x14ac:dyDescent="0.25">
      <c r="A49573" t="str">
        <f>HYPERLINK("https://www.773grp.com/globalSearch/BCR5KM-12RA#B00/page-1", "BCR5KM-12RA#B00")</f>
        <v>BCR5KM-12RA#B00</v>
      </c>
      <c r="B49573" s="3" t="str">
        <f>HYPERLINK("https://www.773grp.com/manufacturer/renesas-electronics-america-inc?pageNo=642", "Renesas Electronics")</f>
        <v>Renesas Electronics</v>
      </c>
      <c r="C49573" s="6">
        <v>2500</v>
      </c>
      <c r="D49573" s="7">
        <v>4.74</v>
      </c>
    </row>
    <row r="49574" spans="1:4" x14ac:dyDescent="0.25">
      <c r="A49574" t="str">
        <f>HYPERLINK("https://www.773grp.com/globalSearch/RJK0230DPA-WS#J5A/page-1", "RJK0230DPA-WS#J5A")</f>
        <v>RJK0230DPA-WS#J5A</v>
      </c>
      <c r="B49574" s="3" t="str">
        <f>HYPERLINK("https://www.773grp.com/manufacturer/renesas-electronics-america-inc?pageNo=643", "Renesas Electronics")</f>
        <v>Renesas Electronics</v>
      </c>
      <c r="C49574" s="6">
        <v>2920</v>
      </c>
      <c r="D49574" s="7">
        <v>4.74</v>
      </c>
    </row>
    <row r="49575" spans="1:4" x14ac:dyDescent="0.25">
      <c r="A49575" t="str">
        <f>HYPERLINK("https://www.773grp.com/globalSearch/UPD16808GS-A/page-1", "UPD16808GS-A")</f>
        <v>UPD16808GS-A</v>
      </c>
      <c r="B49575" s="3" t="str">
        <f>HYPERLINK("https://www.773grp.com/manufacturer/renesas-electronics-america-inc?pageNo=644", "Renesas Electronics")</f>
        <v>Renesas Electronics</v>
      </c>
      <c r="C49575" s="6">
        <v>44</v>
      </c>
      <c r="D49575" s="7">
        <v>4.3</v>
      </c>
    </row>
    <row r="49576" spans="1:4" x14ac:dyDescent="0.25">
      <c r="A49576" t="str">
        <f>HYPERLINK("https://www.773grp.com/globalSearch/BCR16KR-12LB#B00/page-1", "BCR16KR-12LB#B00")</f>
        <v>BCR16KR-12LB#B00</v>
      </c>
      <c r="B49576" s="3" t="str">
        <f>HYPERLINK("https://www.773grp.com/manufacturer/renesas-electronics-america-inc?pageNo=645", "Renesas Electronics")</f>
        <v>Renesas Electronics</v>
      </c>
      <c r="C49576" s="6">
        <v>1326</v>
      </c>
      <c r="D49576" s="7">
        <v>4.34</v>
      </c>
    </row>
    <row r="49577" spans="1:4" x14ac:dyDescent="0.25">
      <c r="A49577" t="str">
        <f>HYPERLINK("https://www.773grp.com/globalSearch/2SK1093-E/page-1", "2SK1093-E")</f>
        <v>2SK1093-E</v>
      </c>
      <c r="B49577" s="3" t="str">
        <f>HYPERLINK("https://www.773grp.com/manufacturer/renesas-electronics-america-inc?pageNo=646", "Renesas Electronics")</f>
        <v>Renesas Electronics</v>
      </c>
      <c r="C49577" s="6">
        <v>1158</v>
      </c>
      <c r="D49577" s="7">
        <v>4.79</v>
      </c>
    </row>
    <row r="49578" spans="1:4" x14ac:dyDescent="0.25">
      <c r="A49578" t="str">
        <f>HYPERLINK("https://www.773grp.com/globalSearch/FS30AS-2-T13#B00/page-1", "FS30AS-2-T13#B00")</f>
        <v>FS30AS-2-T13#B00</v>
      </c>
      <c r="B49578" s="3" t="str">
        <f>HYPERLINK("https://www.773grp.com/manufacturer/renesas-electronics-america-inc?pageNo=647", "Renesas Electronics")</f>
        <v>Renesas Electronics</v>
      </c>
      <c r="C49578" s="6">
        <v>9000</v>
      </c>
      <c r="D49578" s="7">
        <v>4.79</v>
      </c>
    </row>
    <row r="49579" spans="1:4" x14ac:dyDescent="0.25">
      <c r="A49579" t="str">
        <f>HYPERLINK("https://www.773grp.com/globalSearch/2SJ492-AZ/page-1", "2SJ492-AZ")</f>
        <v>2SJ492-AZ</v>
      </c>
      <c r="B49579" s="3" t="str">
        <f>HYPERLINK("https://www.773grp.com/manufacturer/renesas-electronics-america-inc?pageNo=648", "Renesas Electronics")</f>
        <v>Renesas Electronics</v>
      </c>
      <c r="C49579" s="6">
        <v>967</v>
      </c>
      <c r="D49579" s="7">
        <v>4.3499999999999996</v>
      </c>
    </row>
    <row r="49580" spans="1:4" x14ac:dyDescent="0.25">
      <c r="A49580" t="str">
        <f>HYPERLINK("https://www.773grp.com/globalSearch/D74HV8T34T#H0/page-1", "D74HV8T34T#H0")</f>
        <v>D74HV8T34T#H0</v>
      </c>
      <c r="B49580" s="3" t="str">
        <f>HYPERLINK("https://www.773grp.com/manufacturer/renesas-electronics-america-inc?pageNo=649", "Renesas Electronics")</f>
        <v>Renesas Electronics</v>
      </c>
      <c r="C49580" s="6">
        <v>2000</v>
      </c>
      <c r="D49580" s="7">
        <v>4.3499999999999996</v>
      </c>
    </row>
    <row r="49581" spans="1:4" x14ac:dyDescent="0.25">
      <c r="A49581" t="str">
        <f>HYPERLINK("https://www.773grp.com/globalSearch/UPA1436H-AZ/page-1", "UPA1436H-AZ")</f>
        <v>UPA1436H-AZ</v>
      </c>
      <c r="B49581" s="3" t="str">
        <f>HYPERLINK("https://www.773grp.com/manufacturer/renesas-electronics-america-inc?pageNo=650", "Renesas Electronics")</f>
        <v>Renesas Electronics</v>
      </c>
      <c r="C49581" s="6">
        <v>513</v>
      </c>
      <c r="D49581" s="7">
        <v>4.3499999999999996</v>
      </c>
    </row>
    <row r="49582" spans="1:4" x14ac:dyDescent="0.25">
      <c r="A49582" t="str">
        <f>HYPERLINK("https://www.773grp.com/globalSearch/2SK3116-S-AZ/page-1", "2SK3116-S-AZ")</f>
        <v>2SK3116-S-AZ</v>
      </c>
      <c r="B49582" s="3" t="str">
        <f>HYPERLINK("https://www.773grp.com/manufacturer/renesas-electronics-america-inc?pageNo=651", "Renesas Electronics")</f>
        <v>Renesas Electronics</v>
      </c>
      <c r="C49582" s="6">
        <v>465</v>
      </c>
      <c r="D49582" s="7">
        <v>4.3899999999999997</v>
      </c>
    </row>
    <row r="49583" spans="1:4" x14ac:dyDescent="0.25">
      <c r="A49583" t="str">
        <f>HYPERLINK("https://www.773grp.com/globalSearch/M51660L#TF0J/page-1", "M51660L#TF0J")</f>
        <v>M51660L#TF0J</v>
      </c>
      <c r="B49583" s="3" t="str">
        <f>HYPERLINK("https://www.773grp.com/manufacturer/renesas-electronics-america-inc?pageNo=652", "Renesas Electronics")</f>
        <v>Renesas Electronics</v>
      </c>
      <c r="C49583" s="6">
        <v>1481</v>
      </c>
      <c r="D49583" s="7">
        <v>4.3899999999999997</v>
      </c>
    </row>
    <row r="49584" spans="1:4" x14ac:dyDescent="0.25">
      <c r="A49584" t="str">
        <f>HYPERLINK("https://www.773grp.com/globalSearch/RJK6012DPP-K0#T2/page-1", "RJK6012DPP-K0#T2")</f>
        <v>RJK6012DPP-K0#T2</v>
      </c>
      <c r="B49584" s="3" t="str">
        <f>HYPERLINK("https://www.773grp.com/manufacturer/renesas-electronics-america-inc?pageNo=653", "Renesas Electronics")</f>
        <v>Renesas Electronics</v>
      </c>
      <c r="C49584" s="6">
        <v>293</v>
      </c>
      <c r="D49584" s="7">
        <v>4.3899999999999997</v>
      </c>
    </row>
    <row r="49585" spans="1:4" x14ac:dyDescent="0.25">
      <c r="A49585" t="str">
        <f>HYPERLINK("https://www.773grp.com/globalSearch/74AC373FP-E/page-1", "74AC373FP-E")</f>
        <v>74AC373FP-E</v>
      </c>
      <c r="B49585" s="3" t="str">
        <f>HYPERLINK("https://www.773grp.com/manufacturer/renesas-electronics-america-inc?pageNo=654", "Renesas Electronics")</f>
        <v>Renesas Electronics</v>
      </c>
      <c r="C49585" s="6">
        <v>1000</v>
      </c>
      <c r="D49585" s="7">
        <v>4.8600000000000003</v>
      </c>
    </row>
    <row r="49586" spans="1:4" x14ac:dyDescent="0.25">
      <c r="A49586" t="str">
        <f>HYPERLINK("https://www.773grp.com/globalSearch/74AC374FP-E/page-1", "74AC374FP-E")</f>
        <v>74AC374FP-E</v>
      </c>
      <c r="B49586" s="3" t="str">
        <f>HYPERLINK("https://www.773grp.com/manufacturer/renesas-electronics-america-inc?pageNo=655", "Renesas Electronics")</f>
        <v>Renesas Electronics</v>
      </c>
      <c r="C49586" s="6">
        <v>1000</v>
      </c>
      <c r="D49586" s="7">
        <v>4.8600000000000003</v>
      </c>
    </row>
    <row r="49587" spans="1:4" x14ac:dyDescent="0.25">
      <c r="A49587" t="str">
        <f>HYPERLINK("https://www.773grp.com/globalSearch/2SK1402A-E/page-1", "2SK1402A-E")</f>
        <v>2SK1402A-E</v>
      </c>
      <c r="B49587" s="3" t="str">
        <f>HYPERLINK("https://www.773grp.com/manufacturer/renesas-electronics-america-inc?pageNo=656", "Renesas Electronics")</f>
        <v>Renesas Electronics</v>
      </c>
      <c r="C49587" s="6">
        <v>3262</v>
      </c>
      <c r="D49587" s="7">
        <v>4.43</v>
      </c>
    </row>
    <row r="49588" spans="1:4" x14ac:dyDescent="0.25">
      <c r="A49588" t="str">
        <f>HYPERLINK("https://www.773grp.com/globalSearch/AC05FGM(YB)-AZ/page-1", "AC05FGM(YB)-AZ")</f>
        <v>AC05FGM(YB)-AZ</v>
      </c>
      <c r="B49588" s="3" t="str">
        <f>HYPERLINK("https://www.773grp.com/manufacturer/renesas-electronics-america-inc?pageNo=657", "Renesas Electronics")</f>
        <v>Renesas Electronics</v>
      </c>
      <c r="C49588" s="6">
        <v>385</v>
      </c>
      <c r="D49588" s="7">
        <v>4.91</v>
      </c>
    </row>
    <row r="49589" spans="1:4" x14ac:dyDescent="0.25">
      <c r="A49589" t="str">
        <f>HYPERLINK("https://www.773grp.com/globalSearch/FS3KM-9A#B00/page-1", "FS3KM-9A#B00")</f>
        <v>FS3KM-9A#B00</v>
      </c>
      <c r="B49589" s="3" t="str">
        <f>HYPERLINK("https://www.773grp.com/manufacturer/renesas-electronics-america-inc?pageNo=658", "Renesas Electronics")</f>
        <v>Renesas Electronics</v>
      </c>
      <c r="C49589" s="6">
        <v>3399</v>
      </c>
      <c r="D49589" s="7">
        <v>4.91</v>
      </c>
    </row>
    <row r="49590" spans="1:4" x14ac:dyDescent="0.25">
      <c r="A49590" t="str">
        <f>HYPERLINK("https://www.773grp.com/globalSearch/M51995FP#TF0J/page-1", "M51995FP#TF0J")</f>
        <v>M51995FP#TF0J</v>
      </c>
      <c r="B49590" s="3" t="str">
        <f>HYPERLINK("https://www.773grp.com/manufacturer/renesas-electronics-america-inc?pageNo=659", "Renesas Electronics")</f>
        <v>Renesas Electronics</v>
      </c>
      <c r="C49590" s="6">
        <v>52</v>
      </c>
      <c r="D49590" s="7">
        <v>4.91</v>
      </c>
    </row>
    <row r="49591" spans="1:4" x14ac:dyDescent="0.25">
      <c r="A49591" t="str">
        <f>HYPERLINK("https://www.773grp.com/globalSearch/RJK6012DPP-00#T2/page-1", "RJK6012DPP-00#T2")</f>
        <v>RJK6012DPP-00#T2</v>
      </c>
      <c r="B49591" s="3" t="str">
        <f>HYPERLINK("https://www.773grp.com/manufacturer/renesas-electronics-america-inc?pageNo=660", "Renesas Electronics")</f>
        <v>Renesas Electronics</v>
      </c>
      <c r="C49591" s="6">
        <v>335</v>
      </c>
      <c r="D49591" s="7">
        <v>4.4400000000000004</v>
      </c>
    </row>
    <row r="49592" spans="1:4" x14ac:dyDescent="0.25">
      <c r="A49592" t="str">
        <f>HYPERLINK("https://www.773grp.com/globalSearch/1SZ51/page-1", "1SZ51")</f>
        <v>1SZ51</v>
      </c>
      <c r="B49592" s="3" t="str">
        <f>HYPERLINK("https://www.773grp.com/manufacturer/renesas-electronics-america-inc?pageNo=661", "Renesas Electronics")</f>
        <v>Renesas Electronics</v>
      </c>
      <c r="C49592" s="6">
        <v>673</v>
      </c>
      <c r="D49592" s="7">
        <v>4.4800000000000004</v>
      </c>
    </row>
    <row r="49593" spans="1:4" x14ac:dyDescent="0.25">
      <c r="A49593" t="str">
        <f>HYPERLINK("https://www.773grp.com/globalSearch/1SZ51-AZ/page-1", "1SZ51-AZ")</f>
        <v>1SZ51-AZ</v>
      </c>
      <c r="B49593" s="3" t="str">
        <f>HYPERLINK("https://www.773grp.com/manufacturer/renesas-electronics-america-inc?pageNo=662", "Renesas Electronics")</f>
        <v>Renesas Electronics</v>
      </c>
      <c r="C49593" s="6">
        <v>1290</v>
      </c>
      <c r="D49593" s="7">
        <v>4.4800000000000004</v>
      </c>
    </row>
    <row r="49594" spans="1:4" x14ac:dyDescent="0.25">
      <c r="A49594" t="str">
        <f>HYPERLINK("https://www.773grp.com/globalSearch/BCR16KM-12LA-AS#X3/page-1", "BCR16KM-12LA-AS#X3")</f>
        <v>BCR16KM-12LA-AS#X3</v>
      </c>
      <c r="B49594" s="3" t="str">
        <f>HYPERLINK("https://www.773grp.com/manufacturer/renesas-electronics-america-inc?pageNo=663", "Renesas Electronics")</f>
        <v>Renesas Electronics</v>
      </c>
      <c r="C49594" s="6">
        <v>10</v>
      </c>
      <c r="D49594" s="7">
        <v>4.4800000000000004</v>
      </c>
    </row>
    <row r="49595" spans="1:4" x14ac:dyDescent="0.25">
      <c r="A49595" t="str">
        <f>HYPERLINK("https://www.773grp.com/globalSearch/BCR16KM-12LA-AT#X2/page-1", "BCR16KM-12LA-AT#X2")</f>
        <v>BCR16KM-12LA-AT#X2</v>
      </c>
      <c r="B49595" s="3" t="str">
        <f>HYPERLINK("https://www.773grp.com/manufacturer/renesas-electronics-america-inc?pageNo=664", "Renesas Electronics")</f>
        <v>Renesas Electronics</v>
      </c>
      <c r="C49595" s="6">
        <v>80</v>
      </c>
      <c r="D49595" s="7">
        <v>4.4800000000000004</v>
      </c>
    </row>
    <row r="49596" spans="1:4" x14ac:dyDescent="0.25">
      <c r="A49596" t="str">
        <f>HYPERLINK("https://www.773grp.com/globalSearch/RJK5009DPP-00#T2/page-1", "RJK5009DPP-00#T2")</f>
        <v>RJK5009DPP-00#T2</v>
      </c>
      <c r="B49596" s="3" t="str">
        <f>HYPERLINK("https://www.773grp.com/manufacturer/renesas-electronics-america-inc?pageNo=665", "Renesas Electronics")</f>
        <v>Renesas Electronics</v>
      </c>
      <c r="C49596" s="6">
        <v>7936</v>
      </c>
      <c r="D49596" s="7">
        <v>4.4800000000000004</v>
      </c>
    </row>
    <row r="49597" spans="1:4" x14ac:dyDescent="0.25">
      <c r="A49597" t="str">
        <f>HYPERLINK("https://www.773grp.com/globalSearch/RJP6065DPN-P1#T2/page-1", "RJP6065DPN-P1#T2")</f>
        <v>RJP6065DPN-P1#T2</v>
      </c>
      <c r="B49597" s="3" t="str">
        <f>HYPERLINK("https://www.773grp.com/manufacturer/renesas-electronics-america-inc?pageNo=666", "Renesas Electronics")</f>
        <v>Renesas Electronics</v>
      </c>
      <c r="C49597" s="6">
        <v>1365</v>
      </c>
      <c r="D49597" s="7">
        <v>4.4800000000000004</v>
      </c>
    </row>
    <row r="49598" spans="1:4" x14ac:dyDescent="0.25">
      <c r="A49598" t="str">
        <f>HYPERLINK("https://www.773grp.com/globalSearch/2SC5022-E/page-1", "2SC5022-E")</f>
        <v>2SC5022-E</v>
      </c>
      <c r="B49598" s="3" t="str">
        <f>HYPERLINK("https://www.773grp.com/manufacturer/renesas-electronics-america-inc?pageNo=667", "Renesas Electronics")</f>
        <v>Renesas Electronics</v>
      </c>
      <c r="C49598" s="6">
        <v>2308</v>
      </c>
      <c r="D49598" s="7">
        <v>4.96</v>
      </c>
    </row>
    <row r="49599" spans="1:4" x14ac:dyDescent="0.25">
      <c r="A49599" t="str">
        <f>HYPERLINK("https://www.773grp.com/globalSearch/HA16116FPJ/page-1", "HA16116FPJ")</f>
        <v>HA16116FPJ</v>
      </c>
      <c r="B49599" s="3" t="str">
        <f>HYPERLINK("https://www.773grp.com/manufacturer/renesas-electronics-america-inc?pageNo=668", "Renesas Electronics")</f>
        <v>Renesas Electronics</v>
      </c>
      <c r="C49599" s="6">
        <v>2322</v>
      </c>
      <c r="D49599" s="7">
        <v>4.96</v>
      </c>
    </row>
    <row r="49600" spans="1:4" x14ac:dyDescent="0.25">
      <c r="A49600" t="str">
        <f>HYPERLINK("https://www.773grp.com/globalSearch/HA16116FPJ-EL/page-1", "HA16116FPJ-EL")</f>
        <v>HA16116FPJ-EL</v>
      </c>
      <c r="B49600" s="3" t="str">
        <f>HYPERLINK("https://www.773grp.com/manufacturer/renesas-electronics-america-inc?pageNo=669", "Renesas Electronics")</f>
        <v>Renesas Electronics</v>
      </c>
      <c r="C49600" s="6">
        <v>10000</v>
      </c>
      <c r="D49600" s="7">
        <v>4.96</v>
      </c>
    </row>
    <row r="49601" spans="1:4" x14ac:dyDescent="0.25">
      <c r="A49601" t="str">
        <f>HYPERLINK("https://www.773grp.com/globalSearch/HAT3008RJ-EL/page-1", "HAT3008RJ-EL")</f>
        <v>HAT3008RJ-EL</v>
      </c>
      <c r="B49601" s="3" t="str">
        <f>HYPERLINK("https://www.773grp.com/manufacturer/renesas-electronics-america-inc?pageNo=670", "Renesas Electronics")</f>
        <v>Renesas Electronics</v>
      </c>
      <c r="C49601" s="6">
        <v>2500</v>
      </c>
      <c r="D49601" s="7">
        <v>4.96</v>
      </c>
    </row>
    <row r="49602" spans="1:4" x14ac:dyDescent="0.25">
      <c r="A49602" t="str">
        <f>HYPERLINK("https://www.773grp.com/globalSearch/M5248P/page-1", "M5248P")</f>
        <v>M5248P</v>
      </c>
      <c r="B49602" s="3" t="str">
        <f>HYPERLINK("https://www.773grp.com/manufacturer/renesas-electronics-america-inc?pageNo=671", "Renesas Electronics")</f>
        <v>Renesas Electronics</v>
      </c>
      <c r="C49602" s="6">
        <v>1170</v>
      </c>
      <c r="D49602" s="7">
        <v>4.96</v>
      </c>
    </row>
    <row r="49603" spans="1:4" x14ac:dyDescent="0.25">
      <c r="A49603" t="str">
        <f>HYPERLINK("https://www.773grp.com/globalSearch/M62580P#TF2J/page-1", "M62580P#TF2J")</f>
        <v>M62580P#TF2J</v>
      </c>
      <c r="B49603" s="3" t="str">
        <f>HYPERLINK("https://www.773grp.com/manufacturer/renesas-electronics-america-inc?pageNo=672", "Renesas Electronics")</f>
        <v>Renesas Electronics</v>
      </c>
      <c r="C49603" s="6">
        <v>6787</v>
      </c>
      <c r="D49603" s="7">
        <v>4.96</v>
      </c>
    </row>
    <row r="49604" spans="1:4" x14ac:dyDescent="0.25">
      <c r="A49604" t="str">
        <f>HYPERLINK("https://www.773grp.com/globalSearch/2SC3568(8)-AZ/page-1", "2SC3568(8)-AZ")</f>
        <v>2SC3568(8)-AZ</v>
      </c>
      <c r="B49604" s="3" t="str">
        <f>HYPERLINK("https://www.773grp.com/manufacturer/renesas-electronics-america-inc?pageNo=673", "Renesas Electronics")</f>
        <v>Renesas Electronics</v>
      </c>
      <c r="C49604" s="6">
        <v>10107</v>
      </c>
      <c r="D49604" s="7">
        <v>4.5</v>
      </c>
    </row>
    <row r="49605" spans="1:4" x14ac:dyDescent="0.25">
      <c r="A49605" t="str">
        <f>HYPERLINK("https://www.773grp.com/globalSearch/M5248P#TF0J/page-1", "M5248P#TF0J")</f>
        <v>M5248P#TF0J</v>
      </c>
      <c r="B49605" s="3" t="str">
        <f>HYPERLINK("https://www.773grp.com/manufacturer/renesas-electronics-america-inc?pageNo=674", "Renesas Electronics")</f>
        <v>Renesas Electronics</v>
      </c>
      <c r="C49605" s="6">
        <v>2654</v>
      </c>
      <c r="D49605" s="7">
        <v>4.5</v>
      </c>
    </row>
    <row r="49606" spans="1:4" x14ac:dyDescent="0.25">
      <c r="A49606" t="str">
        <f>HYPERLINK("https://www.773grp.com/globalSearch/M62364GP#TF/page-1", "M62364GP#TF")</f>
        <v>M62364GP#TF</v>
      </c>
      <c r="B49606" s="3" t="str">
        <f>HYPERLINK("https://www.773grp.com/manufacturer/renesas-electronics-america-inc?pageNo=675", "Renesas Electronics")</f>
        <v>Renesas Electronics</v>
      </c>
      <c r="C49606" s="6">
        <v>1382</v>
      </c>
      <c r="D49606" s="7">
        <v>4.5</v>
      </c>
    </row>
    <row r="49607" spans="1:4" x14ac:dyDescent="0.25">
      <c r="A49607" t="str">
        <f>HYPERLINK("https://www.773grp.com/globalSearch/RJK0346DPA-WS#J0/page-1", "RJK0346DPA-WS#J0")</f>
        <v>RJK0346DPA-WS#J0</v>
      </c>
      <c r="B49607" s="3" t="str">
        <f>HYPERLINK("https://www.773grp.com/manufacturer/renesas-electronics-america-inc?pageNo=676", "Renesas Electronics")</f>
        <v>Renesas Electronics</v>
      </c>
      <c r="C49607" s="6">
        <v>1930</v>
      </c>
      <c r="D49607" s="7">
        <v>4.5</v>
      </c>
    </row>
    <row r="49608" spans="1:4" x14ac:dyDescent="0.25">
      <c r="A49608" t="str">
        <f>HYPERLINK("https://www.773grp.com/globalSearch/RJP3043DPK-80#T2/page-1", "RJP3043DPK-80#T2")</f>
        <v>RJP3043DPK-80#T2</v>
      </c>
      <c r="B49608" s="3" t="str">
        <f>HYPERLINK("https://www.773grp.com/manufacturer/renesas-electronics-america-inc?pageNo=677", "Renesas Electronics")</f>
        <v>Renesas Electronics</v>
      </c>
      <c r="C49608" s="6">
        <v>87573</v>
      </c>
      <c r="D49608" s="7">
        <v>4.5</v>
      </c>
    </row>
    <row r="49609" spans="1:4" x14ac:dyDescent="0.25">
      <c r="A49609" t="str">
        <f>HYPERLINK("https://www.773grp.com/globalSearch/RJK4512DPP-K0#T2/page-1", "RJK4512DPP-K0#T2")</f>
        <v>RJK4512DPP-K0#T2</v>
      </c>
      <c r="B49609" s="3" t="str">
        <f>HYPERLINK("https://www.773grp.com/manufacturer/renesas-electronics-america-inc?pageNo=678", "Renesas Electronics")</f>
        <v>Renesas Electronics</v>
      </c>
      <c r="C49609" s="6">
        <v>730</v>
      </c>
      <c r="D49609" s="7">
        <v>4.53</v>
      </c>
    </row>
    <row r="49610" spans="1:4" x14ac:dyDescent="0.25">
      <c r="A49610" t="str">
        <f>HYPERLINK("https://www.773grp.com/globalSearch/74HC597P-E/page-1", "74HC597P-E")</f>
        <v>74HC597P-E</v>
      </c>
      <c r="B49610" s="3" t="str">
        <f>HYPERLINK("https://www.773grp.com/manufacturer/renesas-electronics-america-inc?pageNo=679", "Renesas Electronics")</f>
        <v>Renesas Electronics</v>
      </c>
      <c r="C49610" s="6">
        <v>2000</v>
      </c>
      <c r="D49610" s="7">
        <v>5.01</v>
      </c>
    </row>
    <row r="49611" spans="1:4" x14ac:dyDescent="0.25">
      <c r="A49611" t="str">
        <f>HYPERLINK("https://www.773grp.com/globalSearch/AC05DSMA-AZ/page-1", "AC05DSMA-AZ")</f>
        <v>AC05DSMA-AZ</v>
      </c>
      <c r="B49611" s="3" t="str">
        <f>HYPERLINK("https://www.773grp.com/manufacturer/renesas-electronics-america-inc?pageNo=680", "Renesas Electronics")</f>
        <v>Renesas Electronics</v>
      </c>
      <c r="C49611" s="6">
        <v>1835</v>
      </c>
      <c r="D49611" s="7">
        <v>5.01</v>
      </c>
    </row>
    <row r="49612" spans="1:4" x14ac:dyDescent="0.25">
      <c r="A49612" t="str">
        <f>HYPERLINK("https://www.773grp.com/globalSearch/AC08DGM(YA)-AZ/page-1", "AC08DGM(YA)-AZ")</f>
        <v>AC08DGM(YA)-AZ</v>
      </c>
      <c r="B49612" s="3" t="str">
        <f>HYPERLINK("https://www.773grp.com/manufacturer/renesas-electronics-america-inc?pageNo=681", "Renesas Electronics")</f>
        <v>Renesas Electronics</v>
      </c>
      <c r="C49612" s="6">
        <v>38</v>
      </c>
      <c r="D49612" s="7">
        <v>5.01</v>
      </c>
    </row>
    <row r="49613" spans="1:4" x14ac:dyDescent="0.25">
      <c r="A49613" t="str">
        <f>HYPERLINK("https://www.773grp.com/globalSearch/AC08DGM(YC)-AZ/page-1", "AC08DGM(YC)-AZ")</f>
        <v>AC08DGM(YC)-AZ</v>
      </c>
      <c r="B49613" s="3" t="str">
        <f>HYPERLINK("https://www.773grp.com/manufacturer/renesas-electronics-america-inc?pageNo=682", "Renesas Electronics")</f>
        <v>Renesas Electronics</v>
      </c>
      <c r="C49613" s="6">
        <v>616</v>
      </c>
      <c r="D49613" s="7">
        <v>5.01</v>
      </c>
    </row>
    <row r="49614" spans="1:4" x14ac:dyDescent="0.25">
      <c r="A49614" t="str">
        <f>HYPERLINK("https://www.773grp.com/globalSearch/AC12DGM(YC)-AZ/page-1", "AC12DGM(YC)-AZ")</f>
        <v>AC12DGM(YC)-AZ</v>
      </c>
      <c r="B49614" s="3" t="str">
        <f>HYPERLINK("https://www.773grp.com/manufacturer/renesas-electronics-america-inc?pageNo=683", "Renesas Electronics")</f>
        <v>Renesas Electronics</v>
      </c>
      <c r="C49614" s="6">
        <v>204</v>
      </c>
      <c r="D49614" s="7">
        <v>5.01</v>
      </c>
    </row>
    <row r="49615" spans="1:4" x14ac:dyDescent="0.25">
      <c r="A49615" t="str">
        <f>HYPERLINK("https://www.773grp.com/globalSearch/BCR5KM-12LB#B00/page-1", "BCR5KM-12LB#B00")</f>
        <v>BCR5KM-12LB#B00</v>
      </c>
      <c r="B49615" s="3" t="str">
        <f>HYPERLINK("https://www.773grp.com/manufacturer/renesas-electronics-america-inc?pageNo=684", "Renesas Electronics")</f>
        <v>Renesas Electronics</v>
      </c>
      <c r="C49615" s="6">
        <v>31</v>
      </c>
      <c r="D49615" s="7">
        <v>5.01</v>
      </c>
    </row>
    <row r="49616" spans="1:4" x14ac:dyDescent="0.25">
      <c r="A49616" t="str">
        <f>HYPERLINK("https://www.773grp.com/globalSearch/FS14KM-10A#B00/page-1", "FS14KM-10A#B00")</f>
        <v>FS14KM-10A#B00</v>
      </c>
      <c r="B49616" s="3" t="str">
        <f>HYPERLINK("https://www.773grp.com/manufacturer/renesas-electronics-america-inc?pageNo=685", "Renesas Electronics")</f>
        <v>Renesas Electronics</v>
      </c>
      <c r="C49616" s="6">
        <v>1962</v>
      </c>
      <c r="D49616" s="7">
        <v>5.01</v>
      </c>
    </row>
    <row r="49617" spans="1:4" x14ac:dyDescent="0.25">
      <c r="A49617" t="str">
        <f>HYPERLINK("https://www.773grp.com/globalSearch/M62354FP#TF0J/page-1", "M62354FP#TF0J")</f>
        <v>M62354FP#TF0J</v>
      </c>
      <c r="B49617" s="3" t="str">
        <f>HYPERLINK("https://www.773grp.com/manufacturer/renesas-electronics-america-inc?pageNo=686", "Renesas Electronics")</f>
        <v>Renesas Electronics</v>
      </c>
      <c r="C49617" s="6">
        <v>1701</v>
      </c>
      <c r="D49617" s="7">
        <v>5.01</v>
      </c>
    </row>
    <row r="49618" spans="1:4" x14ac:dyDescent="0.25">
      <c r="A49618" t="str">
        <f>HYPERLINK("https://www.773grp.com/globalSearch/R1EX25064ASA00I#S1/page-1", "R1EX25064ASA00I#S1")</f>
        <v>R1EX25064ASA00I#S1</v>
      </c>
      <c r="B49618" s="3" t="str">
        <f>HYPERLINK("https://www.773grp.com/manufacturer/renesas-electronics-america-inc?pageNo=687", "Renesas Electronics")</f>
        <v>Renesas Electronics</v>
      </c>
      <c r="C49618" s="6">
        <v>2000</v>
      </c>
      <c r="D49618" s="7">
        <v>5.01</v>
      </c>
    </row>
    <row r="49619" spans="1:4" x14ac:dyDescent="0.25">
      <c r="A49619" t="str">
        <f>HYPERLINK("https://www.773grp.com/globalSearch/M52723ASP#T60G/page-1", "M52723ASP#T60G")</f>
        <v>M52723ASP#T60G</v>
      </c>
      <c r="B49619" s="3" t="str">
        <f>HYPERLINK("https://www.773grp.com/manufacturer/renesas-electronics-america-inc?pageNo=688", "Renesas Electronics")</f>
        <v>Renesas Electronics</v>
      </c>
      <c r="C49619" s="6">
        <v>189</v>
      </c>
      <c r="D49619" s="7">
        <v>4.5599999999999996</v>
      </c>
    </row>
    <row r="49620" spans="1:4" x14ac:dyDescent="0.25">
      <c r="A49620" t="str">
        <f>HYPERLINK("https://www.773grp.com/globalSearch/2S4M(6)-AZ/page-1", "2S4M(6)-AZ")</f>
        <v>2S4M(6)-AZ</v>
      </c>
      <c r="B49620" s="3" t="str">
        <f>HYPERLINK("https://www.773grp.com/manufacturer/renesas-electronics-america-inc?pageNo=689", "Renesas Electronics")</f>
        <v>Renesas Electronics</v>
      </c>
      <c r="C49620" s="6">
        <v>3997</v>
      </c>
      <c r="D49620" s="7">
        <v>5.0599999999999996</v>
      </c>
    </row>
    <row r="49621" spans="1:4" x14ac:dyDescent="0.25">
      <c r="A49621" t="str">
        <f>HYPERLINK("https://www.773grp.com/globalSearch/AC12DGM-AZ/page-1", "AC12DGM-AZ")</f>
        <v>AC12DGM-AZ</v>
      </c>
      <c r="B49621" s="3" t="str">
        <f>HYPERLINK("https://www.773grp.com/manufacturer/renesas-electronics-america-inc?pageNo=690", "Renesas Electronics")</f>
        <v>Renesas Electronics</v>
      </c>
      <c r="C49621" s="6">
        <v>129</v>
      </c>
      <c r="D49621" s="7">
        <v>5.0599999999999996</v>
      </c>
    </row>
    <row r="49622" spans="1:4" x14ac:dyDescent="0.25">
      <c r="A49622" t="str">
        <f>HYPERLINK("https://www.773grp.com/globalSearch/BCR16KM-12LC#B00/page-1", "BCR16KM-12LC#B00")</f>
        <v>BCR16KM-12LC#B00</v>
      </c>
      <c r="B49622" s="3" t="str">
        <f>HYPERLINK("https://www.773grp.com/manufacturer/renesas-electronics-america-inc?pageNo=691", "Renesas Electronics")</f>
        <v>Renesas Electronics</v>
      </c>
      <c r="C49622" s="6">
        <v>3402</v>
      </c>
      <c r="D49622" s="7">
        <v>5.0599999999999996</v>
      </c>
    </row>
    <row r="49623" spans="1:4" x14ac:dyDescent="0.25">
      <c r="A49623" t="str">
        <f>HYPERLINK("https://www.773grp.com/globalSearch/CR8CM-12B#B00/page-1", "CR8CM-12B#B00")</f>
        <v>CR8CM-12B#B00</v>
      </c>
      <c r="B49623" s="3" t="str">
        <f>HYPERLINK("https://www.773grp.com/manufacturer/renesas-electronics-america-inc?pageNo=692", "Renesas Electronics")</f>
        <v>Renesas Electronics</v>
      </c>
      <c r="C49623" s="6">
        <v>106</v>
      </c>
      <c r="D49623" s="7">
        <v>5.0599999999999996</v>
      </c>
    </row>
    <row r="49624" spans="1:4" x14ac:dyDescent="0.25">
      <c r="A49624" t="str">
        <f>HYPERLINK("https://www.773grp.com/globalSearch/UPD78F9222CS-CAC-A/page-1", "UPD78F9222CS-CAC-A")</f>
        <v>UPD78F9222CS-CAC-A</v>
      </c>
      <c r="B49624" s="3" t="str">
        <f>HYPERLINK("https://www.773grp.com/manufacturer/renesas-electronics-america-inc?pageNo=693", "Renesas Electronics")</f>
        <v>Renesas Electronics</v>
      </c>
      <c r="C49624" s="6">
        <v>146908</v>
      </c>
      <c r="D49624" s="7">
        <v>4.59</v>
      </c>
    </row>
    <row r="49625" spans="1:4" x14ac:dyDescent="0.25">
      <c r="A49625" t="str">
        <f>HYPERLINK("https://www.773grp.com/globalSearch/UPA1453H-AZ/page-1", "UPA1453H-AZ")</f>
        <v>UPA1453H-AZ</v>
      </c>
      <c r="B49625" s="3" t="str">
        <f>HYPERLINK("https://www.773grp.com/manufacturer/renesas-electronics-america-inc?pageNo=694", "Renesas Electronics")</f>
        <v>Renesas Electronics</v>
      </c>
      <c r="C49625" s="6">
        <v>827</v>
      </c>
      <c r="D49625" s="7">
        <v>4.6100000000000003</v>
      </c>
    </row>
    <row r="49626" spans="1:4" x14ac:dyDescent="0.25">
      <c r="A49626" t="str">
        <f>HYPERLINK("https://www.773grp.com/globalSearch/2SD1134C-E/page-1", "2SD1134C-E")</f>
        <v>2SD1134C-E</v>
      </c>
      <c r="B49626" s="3" t="str">
        <f>HYPERLINK("https://www.773grp.com/manufacturer/renesas-electronics-america-inc?pageNo=695", "Renesas Electronics")</f>
        <v>Renesas Electronics</v>
      </c>
      <c r="C49626" s="6">
        <v>1514</v>
      </c>
      <c r="D49626" s="7">
        <v>5.1100000000000003</v>
      </c>
    </row>
    <row r="49627" spans="1:4" x14ac:dyDescent="0.25">
      <c r="A49627" t="str">
        <f>HYPERLINK("https://www.773grp.com/globalSearch/3P4MH(AY)-AZ/page-1", "3P4MH(AY)-AZ")</f>
        <v>3P4MH(AY)-AZ</v>
      </c>
      <c r="B49627" s="3" t="str">
        <f>HYPERLINK("https://www.773grp.com/manufacturer/renesas-electronics-america-inc?pageNo=696", "Renesas Electronics")</f>
        <v>Renesas Electronics</v>
      </c>
      <c r="C49627" s="6">
        <v>1174</v>
      </c>
      <c r="D49627" s="7">
        <v>5.1100000000000003</v>
      </c>
    </row>
    <row r="49628" spans="1:4" x14ac:dyDescent="0.25">
      <c r="A49628" t="str">
        <f>HYPERLINK("https://www.773grp.com/globalSearch/3P4MH(DY)-AZ/page-1", "3P4MH(DY)-AZ")</f>
        <v>3P4MH(DY)-AZ</v>
      </c>
      <c r="B49628" s="3" t="str">
        <f>HYPERLINK("https://www.773grp.com/manufacturer/renesas-electronics-america-inc?pageNo=697", "Renesas Electronics")</f>
        <v>Renesas Electronics</v>
      </c>
      <c r="C49628" s="6">
        <v>1368</v>
      </c>
      <c r="D49628" s="7">
        <v>5.1100000000000003</v>
      </c>
    </row>
    <row r="49629" spans="1:4" x14ac:dyDescent="0.25">
      <c r="A49629" t="str">
        <f>HYPERLINK("https://www.773grp.com/globalSearch/5P4SMA-AZ/page-1", "5P4SMA-AZ")</f>
        <v>5P4SMA-AZ</v>
      </c>
      <c r="B49629" s="3" t="str">
        <f>HYPERLINK("https://www.773grp.com/manufacturer/renesas-electronics-america-inc?pageNo=698", "Renesas Electronics")</f>
        <v>Renesas Electronics</v>
      </c>
      <c r="C49629" s="6">
        <v>790</v>
      </c>
      <c r="D49629" s="7">
        <v>5.1100000000000003</v>
      </c>
    </row>
    <row r="49630" spans="1:4" x14ac:dyDescent="0.25">
      <c r="A49630" t="str">
        <f>HYPERLINK("https://www.773grp.com/globalSearch/8P4M-AZ/page-1", "8P4M-AZ")</f>
        <v>8P4M-AZ</v>
      </c>
      <c r="B49630" s="3" t="str">
        <f>HYPERLINK("https://www.773grp.com/manufacturer/renesas-electronics-america-inc?pageNo=699", "Renesas Electronics")</f>
        <v>Renesas Electronics</v>
      </c>
      <c r="C49630" s="6">
        <v>302</v>
      </c>
      <c r="D49630" s="7">
        <v>5.1100000000000003</v>
      </c>
    </row>
    <row r="49631" spans="1:4" x14ac:dyDescent="0.25">
      <c r="A49631" t="str">
        <f>HYPERLINK("https://www.773grp.com/globalSearch/FX20KMJ-06#B00/page-1", "FX20KMJ-06#B00")</f>
        <v>FX20KMJ-06#B00</v>
      </c>
      <c r="B49631" s="3" t="str">
        <f>HYPERLINK("https://www.773grp.com/manufacturer/renesas-electronics-america-inc?pageNo=700", "Renesas Electronics")</f>
        <v>Renesas Electronics</v>
      </c>
      <c r="C49631" s="6">
        <v>22502</v>
      </c>
      <c r="D49631" s="7">
        <v>5.1100000000000003</v>
      </c>
    </row>
    <row r="49632" spans="1:4" x14ac:dyDescent="0.25">
      <c r="A49632" t="str">
        <f>HYPERLINK("https://www.773grp.com/globalSearch/RJK03E0DNS-WS#J5/page-1", "RJK03E0DNS-WS#J5")</f>
        <v>RJK03E0DNS-WS#J5</v>
      </c>
      <c r="B49632" s="3" t="str">
        <f>HYPERLINK("https://www.773grp.com/manufacturer/renesas-electronics-america-inc?pageNo=701", "Renesas Electronics")</f>
        <v>Renesas Electronics</v>
      </c>
      <c r="C49632" s="6">
        <v>4870</v>
      </c>
      <c r="D49632" s="7">
        <v>5.1100000000000003</v>
      </c>
    </row>
    <row r="49633" spans="1:4" x14ac:dyDescent="0.25">
      <c r="A49633" t="str">
        <f>HYPERLINK("https://www.773grp.com/globalSearch/2SB1530C-E/page-1", "2SB1530C-E")</f>
        <v>2SB1530C-E</v>
      </c>
      <c r="B49633" s="3" t="str">
        <f>HYPERLINK("https://www.773grp.com/manufacturer/renesas-electronics-america-inc?pageNo=702", "Renesas Electronics")</f>
        <v>Renesas Electronics</v>
      </c>
      <c r="C49633" s="6">
        <v>2274</v>
      </c>
      <c r="D49633" s="7">
        <v>4.6399999999999997</v>
      </c>
    </row>
    <row r="49634" spans="1:4" x14ac:dyDescent="0.25">
      <c r="A49634" t="str">
        <f>HYPERLINK("https://www.773grp.com/globalSearch/R2S15201DD#TF0R/page-1", "R2S15201DD#TF0R")</f>
        <v>R2S15201DD#TF0R</v>
      </c>
      <c r="B49634" s="3" t="str">
        <f>HYPERLINK("https://www.773grp.com/manufacturer/renesas-electronics-america-inc?pageNo=703", "Renesas Electronics")</f>
        <v>Renesas Electronics</v>
      </c>
      <c r="C49634" s="6">
        <v>9</v>
      </c>
      <c r="D49634" s="7">
        <v>4.6399999999999997</v>
      </c>
    </row>
    <row r="49635" spans="1:4" x14ac:dyDescent="0.25">
      <c r="A49635" t="str">
        <f>HYPERLINK("https://www.773grp.com/globalSearch/1SZ50(0)/page-1", "1SZ50(0)")</f>
        <v>1SZ50(0)</v>
      </c>
      <c r="B49635" s="3" t="str">
        <f>HYPERLINK("https://www.773grp.com/manufacturer/renesas-electronics-america-inc?pageNo=704", "Renesas Electronics")</f>
        <v>Renesas Electronics</v>
      </c>
      <c r="C49635" s="6">
        <v>100</v>
      </c>
      <c r="D49635" s="7">
        <v>4.68</v>
      </c>
    </row>
    <row r="49636" spans="1:4" x14ac:dyDescent="0.25">
      <c r="A49636" t="str">
        <f>HYPERLINK("https://www.773grp.com/globalSearch/2SJ76-E/page-1", "2SJ76-E")</f>
        <v>2SJ76-E</v>
      </c>
      <c r="B49636" s="3" t="str">
        <f>HYPERLINK("https://www.773grp.com/manufacturer/renesas-electronics-america-inc?pageNo=705", "Renesas Electronics")</f>
        <v>Renesas Electronics</v>
      </c>
      <c r="C49636" s="6">
        <v>1042</v>
      </c>
      <c r="D49636" s="7">
        <v>4.68</v>
      </c>
    </row>
    <row r="49637" spans="1:4" x14ac:dyDescent="0.25">
      <c r="A49637" t="str">
        <f>HYPERLINK("https://www.773grp.com/globalSearch/RJP30E3DPP-M0#T2/page-1", "RJP30E3DPP-M0#T2")</f>
        <v>RJP30E3DPP-M0#T2</v>
      </c>
      <c r="B49637" s="3" t="str">
        <f>HYPERLINK("https://www.773grp.com/manufacturer/renesas-electronics-america-inc?pageNo=706", "Renesas Electronics")</f>
        <v>Renesas Electronics</v>
      </c>
      <c r="C49637" s="6">
        <v>12309</v>
      </c>
      <c r="D49637" s="7">
        <v>4.68</v>
      </c>
    </row>
    <row r="49638" spans="1:4" x14ac:dyDescent="0.25">
      <c r="A49638" t="str">
        <f>HYPERLINK("https://www.773grp.com/globalSearch/2SK3116(0)-Z-E1-AZ/page-1", "2SK3116(0)-Z-E1-AZ")</f>
        <v>2SK3116(0)-Z-E1-AZ</v>
      </c>
      <c r="B49638" s="3" t="str">
        <f>HYPERLINK("https://www.773grp.com/manufacturer/renesas-electronics-america-inc?pageNo=707", "Renesas Electronics")</f>
        <v>Renesas Electronics</v>
      </c>
      <c r="C49638" s="6">
        <v>4000</v>
      </c>
      <c r="D49638" s="7">
        <v>5.16</v>
      </c>
    </row>
    <row r="49639" spans="1:4" x14ac:dyDescent="0.25">
      <c r="A49639" t="str">
        <f>HYPERLINK("https://www.773grp.com/globalSearch/2SK3116(1)-ZK-E2-AZ/page-1", "2SK3116(1)-ZK-E2-AZ")</f>
        <v>2SK3116(1)-ZK-E2-AZ</v>
      </c>
      <c r="B49639" s="3" t="str">
        <f>HYPERLINK("https://www.773grp.com/manufacturer/renesas-electronics-america-inc?pageNo=708", "Renesas Electronics")</f>
        <v>Renesas Electronics</v>
      </c>
      <c r="C49639" s="6">
        <v>18400</v>
      </c>
      <c r="D49639" s="7">
        <v>5.16</v>
      </c>
    </row>
    <row r="49640" spans="1:4" x14ac:dyDescent="0.25">
      <c r="A49640" t="str">
        <f>HYPERLINK("https://www.773grp.com/globalSearch/3P6MH(5)-AZ/page-1", "3P6MH(5)-AZ")</f>
        <v>3P6MH(5)-AZ</v>
      </c>
      <c r="B49640" s="3" t="str">
        <f>HYPERLINK("https://www.773grp.com/manufacturer/renesas-electronics-america-inc?pageNo=709", "Renesas Electronics")</f>
        <v>Renesas Electronics</v>
      </c>
      <c r="C49640" s="6">
        <v>335</v>
      </c>
      <c r="D49640" s="7">
        <v>5.16</v>
      </c>
    </row>
    <row r="49641" spans="1:4" x14ac:dyDescent="0.25">
      <c r="A49641" t="str">
        <f>HYPERLINK("https://www.773grp.com/globalSearch/AC08DGM(YB)-AZ/page-1", "AC08DGM(YB)-AZ")</f>
        <v>AC08DGM(YB)-AZ</v>
      </c>
      <c r="B49641" s="3" t="str">
        <f>HYPERLINK("https://www.773grp.com/manufacturer/renesas-electronics-america-inc?pageNo=710", "Renesas Electronics")</f>
        <v>Renesas Electronics</v>
      </c>
      <c r="C49641" s="6">
        <v>40</v>
      </c>
      <c r="D49641" s="7">
        <v>5.16</v>
      </c>
    </row>
    <row r="49642" spans="1:4" x14ac:dyDescent="0.25">
      <c r="A49642" t="str">
        <f>HYPERLINK("https://www.773grp.com/globalSearch/RJP3082DPP-00#T2/page-1", "RJP3082DPP-00#T2")</f>
        <v>RJP3082DPP-00#T2</v>
      </c>
      <c r="B49642" s="3" t="str">
        <f>HYPERLINK("https://www.773grp.com/manufacturer/renesas-electronics-america-inc?pageNo=711", "Renesas Electronics")</f>
        <v>Renesas Electronics</v>
      </c>
      <c r="C49642" s="6">
        <v>1172</v>
      </c>
      <c r="D49642" s="7">
        <v>5.16</v>
      </c>
    </row>
    <row r="49643" spans="1:4" x14ac:dyDescent="0.25">
      <c r="A49643" t="str">
        <f>HYPERLINK("https://www.773grp.com/globalSearch/AC16FSMA-AZ/page-1", "AC16FSMA-AZ")</f>
        <v>AC16FSMA-AZ</v>
      </c>
      <c r="B49643" s="3" t="str">
        <f>HYPERLINK("https://www.773grp.com/manufacturer/renesas-electronics-america-inc?pageNo=712", "Renesas Electronics")</f>
        <v>Renesas Electronics</v>
      </c>
      <c r="C49643" s="6">
        <v>2632</v>
      </c>
      <c r="D49643" s="7">
        <v>4.7300000000000004</v>
      </c>
    </row>
    <row r="49644" spans="1:4" x14ac:dyDescent="0.25">
      <c r="A49644" t="str">
        <f>HYPERLINK("https://www.773grp.com/globalSearch/M62352FP#TG1J/page-1", "M62352FP#TG1J")</f>
        <v>M62352FP#TG1J</v>
      </c>
      <c r="B49644" s="3" t="str">
        <f>HYPERLINK("https://www.773grp.com/manufacturer/renesas-electronics-america-inc?pageNo=713", "Renesas Electronics")</f>
        <v>Renesas Electronics</v>
      </c>
      <c r="C49644" s="6">
        <v>10</v>
      </c>
      <c r="D49644" s="7">
        <v>5.21</v>
      </c>
    </row>
    <row r="49645" spans="1:4" x14ac:dyDescent="0.25">
      <c r="A49645" t="str">
        <f>HYPERLINK("https://www.773grp.com/globalSearch/RJP3042DPP-00#T2/page-1", "RJP3042DPP-00#T2")</f>
        <v>RJP3042DPP-00#T2</v>
      </c>
      <c r="B49645" s="3" t="str">
        <f>HYPERLINK("https://www.773grp.com/manufacturer/renesas-electronics-america-inc?pageNo=714", "Renesas Electronics")</f>
        <v>Renesas Electronics</v>
      </c>
      <c r="C49645" s="6">
        <v>1043</v>
      </c>
      <c r="D49645" s="7">
        <v>5.21</v>
      </c>
    </row>
    <row r="49646" spans="1:4" x14ac:dyDescent="0.25">
      <c r="A49646" t="str">
        <f>HYPERLINK("https://www.773grp.com/globalSearch/R2A20047SP#U00G/page-1", "R2A20047SP#U00G")</f>
        <v>R2A20047SP#U00G</v>
      </c>
      <c r="B49646" s="3" t="str">
        <f>HYPERLINK("https://www.773grp.com/manufacturer/renesas-electronics-america-inc?pageNo=715", "Renesas Electronics")</f>
        <v>Renesas Electronics</v>
      </c>
      <c r="C49646" s="6">
        <v>11883</v>
      </c>
      <c r="D49646" s="7">
        <v>4.76</v>
      </c>
    </row>
    <row r="49647" spans="1:4" x14ac:dyDescent="0.25">
      <c r="A49647" t="str">
        <f>HYPERLINK("https://www.773grp.com/globalSearch/UPD22100C-A/page-1", "UPD22100C-A")</f>
        <v>UPD22100C-A</v>
      </c>
      <c r="B49647" s="3" t="str">
        <f>HYPERLINK("https://www.773grp.com/manufacturer/renesas-electronics-america-inc?pageNo=716", "Renesas Electronics")</f>
        <v>Renesas Electronics</v>
      </c>
      <c r="C49647" s="6">
        <v>69</v>
      </c>
      <c r="D49647" s="7">
        <v>4.76</v>
      </c>
    </row>
    <row r="49648" spans="1:4" x14ac:dyDescent="0.25">
      <c r="A49648" t="str">
        <f>HYPERLINK("https://www.773grp.com/globalSearch/74BC540AFP-E/page-1", "74BC540AFP-E")</f>
        <v>74BC540AFP-E</v>
      </c>
      <c r="B49648" s="3" t="str">
        <f>HYPERLINK("https://www.773grp.com/manufacturer/renesas-electronics-america-inc?pageNo=717", "Renesas Electronics")</f>
        <v>Renesas Electronics</v>
      </c>
      <c r="C49648" s="6">
        <v>2182</v>
      </c>
      <c r="D49648" s="7">
        <v>4.78</v>
      </c>
    </row>
    <row r="49649" spans="1:4" x14ac:dyDescent="0.25">
      <c r="A49649" t="str">
        <f>HYPERLINK("https://www.773grp.com/globalSearch/UPD78F9116AC-A/page-1", "UPD78F9116AC-A")</f>
        <v>UPD78F9116AC-A</v>
      </c>
      <c r="B49649" s="3" t="str">
        <f>HYPERLINK("https://www.773grp.com/manufacturer/renesas-electronics-america-inc?pageNo=718", "Renesas Electronics")</f>
        <v>Renesas Electronics</v>
      </c>
      <c r="C49649" s="6">
        <v>6993</v>
      </c>
      <c r="D49649" s="7">
        <v>4.78</v>
      </c>
    </row>
    <row r="49650" spans="1:4" x14ac:dyDescent="0.25">
      <c r="A49650" t="str">
        <f>HYPERLINK("https://www.773grp.com/globalSearch/151TS311TE-E/page-1", "151TS311TE-E")</f>
        <v>151TS311TE-E</v>
      </c>
      <c r="B49650" s="3" t="str">
        <f>HYPERLINK("https://www.773grp.com/manufacturer/renesas-electronics-america-inc?pageNo=719", "Renesas Electronics")</f>
        <v>Renesas Electronics</v>
      </c>
      <c r="C49650" s="6">
        <v>3000</v>
      </c>
      <c r="D49650" s="7">
        <v>4.8600000000000003</v>
      </c>
    </row>
    <row r="49651" spans="1:4" x14ac:dyDescent="0.25">
      <c r="A49651" t="str">
        <f>HYPERLINK("https://www.773grp.com/globalSearch/1SZ45A/page-1", "1SZ45A")</f>
        <v>1SZ45A</v>
      </c>
      <c r="B49651" s="3" t="str">
        <f>HYPERLINK("https://www.773grp.com/manufacturer/renesas-electronics-america-inc?pageNo=720", "Renesas Electronics")</f>
        <v>Renesas Electronics</v>
      </c>
      <c r="C49651" s="6">
        <v>32600</v>
      </c>
      <c r="D49651" s="7">
        <v>4.8600000000000003</v>
      </c>
    </row>
    <row r="49652" spans="1:4" x14ac:dyDescent="0.25">
      <c r="A49652" t="str">
        <f>HYPERLINK("https://www.773grp.com/globalSearch/1SZ45A-AZ/page-1", "1SZ45A-AZ")</f>
        <v>1SZ45A-AZ</v>
      </c>
      <c r="B49652" s="3" t="str">
        <f>HYPERLINK("https://www.773grp.com/manufacturer/renesas-electronics-america-inc?pageNo=721", "Renesas Electronics")</f>
        <v>Renesas Electronics</v>
      </c>
      <c r="C49652" s="6">
        <v>1700</v>
      </c>
      <c r="D49652" s="7">
        <v>4.8600000000000003</v>
      </c>
    </row>
    <row r="49653" spans="1:4" x14ac:dyDescent="0.25">
      <c r="A49653" t="str">
        <f>HYPERLINK("https://www.773grp.com/globalSearch/2SJ143(04)-S6-AZ/page-1", "2SJ143(04)-S6-AZ")</f>
        <v>2SJ143(04)-S6-AZ</v>
      </c>
      <c r="B49653" s="3" t="str">
        <f>HYPERLINK("https://www.773grp.com/manufacturer/renesas-electronics-america-inc?pageNo=722", "Renesas Electronics")</f>
        <v>Renesas Electronics</v>
      </c>
      <c r="C49653" s="6">
        <v>5024</v>
      </c>
      <c r="D49653" s="7">
        <v>4.8600000000000003</v>
      </c>
    </row>
    <row r="49654" spans="1:4" x14ac:dyDescent="0.25">
      <c r="A49654" t="str">
        <f>HYPERLINK("https://www.773grp.com/globalSearch/2SJ143(1)-S6-AZ/page-1", "2SJ143(1)-S6-AZ")</f>
        <v>2SJ143(1)-S6-AZ</v>
      </c>
      <c r="B49654" s="3" t="str">
        <f>HYPERLINK("https://www.773grp.com/manufacturer/renesas-electronics-america-inc?pageNo=723", "Renesas Electronics")</f>
        <v>Renesas Electronics</v>
      </c>
      <c r="C49654" s="6">
        <v>1048</v>
      </c>
      <c r="D49654" s="7">
        <v>4.8600000000000003</v>
      </c>
    </row>
    <row r="49655" spans="1:4" x14ac:dyDescent="0.25">
      <c r="A49655" t="str">
        <f>HYPERLINK("https://www.773grp.com/globalSearch/2SJ143(6)-S6-AZ/page-1", "2SJ143(6)-S6-AZ")</f>
        <v>2SJ143(6)-S6-AZ</v>
      </c>
      <c r="B49655" s="3" t="str">
        <f>HYPERLINK("https://www.773grp.com/manufacturer/renesas-electronics-america-inc?pageNo=724", "Renesas Electronics")</f>
        <v>Renesas Electronics</v>
      </c>
      <c r="C49655" s="6">
        <v>1077</v>
      </c>
      <c r="D49655" s="7">
        <v>4.8600000000000003</v>
      </c>
    </row>
    <row r="49656" spans="1:4" x14ac:dyDescent="0.25">
      <c r="A49656" t="str">
        <f>HYPERLINK("https://www.773grp.com/globalSearch/M62501P#TF0J/page-1", "M62501P#TF0J")</f>
        <v>M62501P#TF0J</v>
      </c>
      <c r="B49656" s="3" t="str">
        <f>HYPERLINK("https://www.773grp.com/manufacturer/renesas-electronics-america-inc?pageNo=725", "Renesas Electronics")</f>
        <v>Renesas Electronics</v>
      </c>
      <c r="C49656" s="6">
        <v>2860</v>
      </c>
      <c r="D49656" s="7">
        <v>4.8600000000000003</v>
      </c>
    </row>
    <row r="49657" spans="1:4" x14ac:dyDescent="0.25">
      <c r="A49657" t="str">
        <f>HYPERLINK("https://www.773grp.com/globalSearch/2SK2956-E/page-1", "2SK2956-E")</f>
        <v>2SK2956-E</v>
      </c>
      <c r="B49657" s="3" t="str">
        <f>HYPERLINK("https://www.773grp.com/manufacturer/renesas-electronics-america-inc?pageNo=726", "Renesas Electronics")</f>
        <v>Renesas Electronics</v>
      </c>
      <c r="C49657" s="6">
        <v>1459</v>
      </c>
      <c r="D49657" s="7">
        <v>4.9000000000000004</v>
      </c>
    </row>
    <row r="49658" spans="1:4" x14ac:dyDescent="0.25">
      <c r="A49658" t="str">
        <f>HYPERLINK("https://www.773grp.com/globalSearch/R5F212ACSNFP#W4/page-1", "R5F212ACSNFP#W4")</f>
        <v>R5F212ACSNFP#W4</v>
      </c>
      <c r="B49658" s="3" t="str">
        <f>HYPERLINK("https://www.773grp.com/manufacturer/renesas-electronics-america-inc?pageNo=727", "Renesas Electronics")</f>
        <v>Renesas Electronics</v>
      </c>
      <c r="C49658" s="6">
        <v>3000</v>
      </c>
      <c r="D49658" s="7">
        <v>4.9000000000000004</v>
      </c>
    </row>
    <row r="49659" spans="1:4" x14ac:dyDescent="0.25">
      <c r="A49659" t="str">
        <f>HYPERLINK("https://www.773grp.com/globalSearch/2SD2101-E/page-1", "2SD2101-E")</f>
        <v>2SD2101-E</v>
      </c>
      <c r="B49659" s="3" t="str">
        <f>HYPERLINK("https://www.773grp.com/manufacturer/renesas-electronics-america-inc?pageNo=728", "Renesas Electronics")</f>
        <v>Renesas Electronics</v>
      </c>
      <c r="C49659" s="6">
        <v>216</v>
      </c>
      <c r="D49659" s="7">
        <v>4.93</v>
      </c>
    </row>
    <row r="49660" spans="1:4" x14ac:dyDescent="0.25">
      <c r="A49660" t="str">
        <f>HYPERLINK("https://www.773grp.com/globalSearch/2SK1316S-E/page-1", "2SK1316S-E")</f>
        <v>2SK1316S-E</v>
      </c>
      <c r="B49660" s="3" t="str">
        <f>HYPERLINK("https://www.773grp.com/manufacturer/renesas-electronics-america-inc?pageNo=729", "Renesas Electronics")</f>
        <v>Renesas Electronics</v>
      </c>
      <c r="C49660" s="6">
        <v>880</v>
      </c>
      <c r="D49660" s="7">
        <v>4.93</v>
      </c>
    </row>
    <row r="49661" spans="1:4" x14ac:dyDescent="0.25">
      <c r="A49661" t="str">
        <f>HYPERLINK("https://www.773grp.com/globalSearch/BCR20KM-12LBAZ#B01/page-1", "BCR20KM-12LBAZ#B01")</f>
        <v>BCR20KM-12LBAZ#B01</v>
      </c>
      <c r="B49661" s="3" t="str">
        <f>HYPERLINK("https://www.773grp.com/manufacturer/renesas-electronics-america-inc?pageNo=730", "Renesas Electronics")</f>
        <v>Renesas Electronics</v>
      </c>
      <c r="C49661" s="6">
        <v>58</v>
      </c>
      <c r="D49661" s="7">
        <v>4.9800000000000004</v>
      </c>
    </row>
    <row r="49662" spans="1:4" x14ac:dyDescent="0.25">
      <c r="A49662" t="str">
        <f>HYPERLINK("https://www.773grp.com/globalSearch/UPD78F9177GB-8ES-A/page-1", "UPD78F9177GB-8ES-A")</f>
        <v>UPD78F9177GB-8ES-A</v>
      </c>
      <c r="B49662" s="3" t="str">
        <f>HYPERLINK("https://www.773grp.com/manufacturer/renesas-electronics-america-inc?pageNo=731", "Renesas Electronics")</f>
        <v>Renesas Electronics</v>
      </c>
      <c r="C49662" s="6">
        <v>24</v>
      </c>
      <c r="D49662" s="7">
        <v>4.9800000000000004</v>
      </c>
    </row>
    <row r="49663" spans="1:4" x14ac:dyDescent="0.25">
      <c r="A49663" t="str">
        <f>HYPERLINK("https://www.773grp.com/globalSearch/UPD16502GS-A/page-1", "UPD16502GS-A")</f>
        <v>UPD16502GS-A</v>
      </c>
      <c r="B49663" s="3" t="str">
        <f>HYPERLINK("https://www.773grp.com/manufacturer/renesas-electronics-america-inc?pageNo=732", "Renesas Electronics")</f>
        <v>Renesas Electronics</v>
      </c>
      <c r="C49663" s="6">
        <v>462</v>
      </c>
      <c r="D49663" s="7">
        <v>5.01</v>
      </c>
    </row>
    <row r="49664" spans="1:4" x14ac:dyDescent="0.25">
      <c r="A49664" t="str">
        <f>HYPERLINK("https://www.773grp.com/globalSearch/2SK3140-02-E/page-1", "2SK3140-02-E")</f>
        <v>2SK3140-02-E</v>
      </c>
      <c r="B49664" s="3" t="str">
        <f>HYPERLINK("https://www.773grp.com/manufacturer/renesas-electronics-america-inc?pageNo=733", "Renesas Electronics")</f>
        <v>Renesas Electronics</v>
      </c>
      <c r="C49664" s="6">
        <v>2033</v>
      </c>
      <c r="D49664" s="7">
        <v>5.0599999999999996</v>
      </c>
    </row>
    <row r="49665" spans="1:4" x14ac:dyDescent="0.25">
      <c r="A49665" t="str">
        <f>HYPERLINK("https://www.773grp.com/globalSearch/AC10FSMA(2)-AZ/page-1", "AC10FSMA(2)-AZ")</f>
        <v>AC10FSMA(2)-AZ</v>
      </c>
      <c r="B49665" s="3" t="str">
        <f>HYPERLINK("https://www.773grp.com/manufacturer/renesas-electronics-america-inc?pageNo=734", "Renesas Electronics")</f>
        <v>Renesas Electronics</v>
      </c>
      <c r="C49665" s="6">
        <v>293</v>
      </c>
      <c r="D49665" s="7">
        <v>5.0599999999999996</v>
      </c>
    </row>
    <row r="49666" spans="1:4" x14ac:dyDescent="0.25">
      <c r="A49666" t="str">
        <f>HYPERLINK("https://www.773grp.com/globalSearch/2SA1444(3)-S6/page-1", "2SA1444(3)-S6")</f>
        <v>2SA1444(3)-S6</v>
      </c>
      <c r="B49666" s="3" t="str">
        <f>HYPERLINK("https://www.773grp.com/manufacturer/renesas-electronics-america-inc?pageNo=735", "Renesas Electronics")</f>
        <v>Renesas Electronics</v>
      </c>
      <c r="C49666" s="6">
        <v>1198</v>
      </c>
      <c r="D49666" s="7">
        <v>5.0999999999999996</v>
      </c>
    </row>
    <row r="49667" spans="1:4" x14ac:dyDescent="0.25">
      <c r="A49667" t="str">
        <f>HYPERLINK("https://www.773grp.com/globalSearch/M62281P#TF0J/page-1", "M62281P#TF0J")</f>
        <v>M62281P#TF0J</v>
      </c>
      <c r="B49667" s="3" t="str">
        <f>HYPERLINK("https://www.773grp.com/manufacturer/renesas-electronics-america-inc?pageNo=736", "Renesas Electronics")</f>
        <v>Renesas Electronics</v>
      </c>
      <c r="C49667" s="6">
        <v>778</v>
      </c>
      <c r="D49667" s="7">
        <v>5.0999999999999996</v>
      </c>
    </row>
    <row r="49668" spans="1:4" x14ac:dyDescent="0.25">
      <c r="A49668" t="str">
        <f>HYPERLINK("https://www.773grp.com/globalSearch/R8A66155SP#T1/page-1", "R8A66155SP#T1")</f>
        <v>R8A66155SP#T1</v>
      </c>
      <c r="B49668" s="3" t="str">
        <f>HYPERLINK("https://www.773grp.com/manufacturer/renesas-electronics-america-inc?pageNo=737", "Renesas Electronics")</f>
        <v>Renesas Electronics</v>
      </c>
      <c r="C49668" s="6">
        <v>2275</v>
      </c>
      <c r="D49668" s="7">
        <v>5.1100000000000003</v>
      </c>
    </row>
    <row r="49669" spans="1:4" x14ac:dyDescent="0.25">
      <c r="A49669" t="str">
        <f>HYPERLINK("https://www.773grp.com/globalSearch/2SK1403A-E/page-1", "2SK1403A-E")</f>
        <v>2SK1403A-E</v>
      </c>
      <c r="B49669" s="3" t="str">
        <f>HYPERLINK("https://www.773grp.com/manufacturer/renesas-electronics-america-inc?pageNo=738", "Renesas Electronics")</f>
        <v>Renesas Electronics</v>
      </c>
      <c r="C49669" s="6">
        <v>696</v>
      </c>
      <c r="D49669" s="7">
        <v>5.15</v>
      </c>
    </row>
    <row r="49670" spans="1:4" x14ac:dyDescent="0.25">
      <c r="A49670" t="str">
        <f>HYPERLINK("https://www.773grp.com/globalSearch/M54123L#A10/page-1", "M54123L#A10")</f>
        <v>M54123L#A10</v>
      </c>
      <c r="B49670" s="3" t="str">
        <f>HYPERLINK("https://www.773grp.com/manufacturer/renesas-electronics-america-inc?pageNo=739", "Renesas Electronics")</f>
        <v>Renesas Electronics</v>
      </c>
      <c r="C49670" s="6">
        <v>172</v>
      </c>
      <c r="D49670" s="7">
        <v>5.18</v>
      </c>
    </row>
    <row r="49671" spans="1:4" x14ac:dyDescent="0.25">
      <c r="A49671" t="str">
        <f>HYPERLINK("https://www.773grp.com/globalSearch/H5N3301LSTL-E/page-1", "H5N3301LSTL-E")</f>
        <v>H5N3301LSTL-E</v>
      </c>
      <c r="B49671" s="3" t="str">
        <f>HYPERLINK("https://www.773grp.com/manufacturer/renesas-electronics-america-inc?pageNo=740", "Renesas Electronics")</f>
        <v>Renesas Electronics</v>
      </c>
      <c r="C49671" s="6">
        <v>2000</v>
      </c>
      <c r="D49671" s="7">
        <v>5.24</v>
      </c>
    </row>
    <row r="49672" spans="1:4" x14ac:dyDescent="0.25">
      <c r="A49672" t="str">
        <f>HYPERLINK("https://www.773grp.com/globalSearch/BCR25KM-12LB#B00/page-1", "BCR25KM-12LB#B00")</f>
        <v>BCR25KM-12LB#B00</v>
      </c>
      <c r="B49672" s="3" t="str">
        <f>HYPERLINK("https://www.773grp.com/manufacturer/renesas-electronics-america-inc?pageNo=741", "Renesas Electronics")</f>
        <v>Renesas Electronics</v>
      </c>
      <c r="C49672" s="6">
        <v>305</v>
      </c>
      <c r="D49672" s="7">
        <v>5.29</v>
      </c>
    </row>
    <row r="49673" spans="1:4" x14ac:dyDescent="0.25">
      <c r="A49673" t="str">
        <f>HYPERLINK("https://www.773grp.com/globalSearch/BCR25KM-12LBA8#B00/page-1", "BCR25KM-12LBA8#B00")</f>
        <v>BCR25KM-12LBA8#B00</v>
      </c>
      <c r="B49673" s="3" t="str">
        <f>HYPERLINK("https://www.773grp.com/manufacturer/renesas-electronics-america-inc?pageNo=742", "Renesas Electronics")</f>
        <v>Renesas Electronics</v>
      </c>
      <c r="C49673" s="6">
        <v>499</v>
      </c>
      <c r="D49673" s="7">
        <v>5.29</v>
      </c>
    </row>
    <row r="49674" spans="1:4" x14ac:dyDescent="0.25">
      <c r="A49674" t="str">
        <f>HYPERLINK("https://www.773grp.com/globalSearch/M54995P#TB0J/page-1", "M54995P#TB0J")</f>
        <v>M54995P#TB0J</v>
      </c>
      <c r="B49674" s="3" t="str">
        <f>HYPERLINK("https://www.773grp.com/manufacturer/renesas-electronics-america-inc?pageNo=743", "Renesas Electronics")</f>
        <v>Renesas Electronics</v>
      </c>
      <c r="C49674" s="6">
        <v>1980</v>
      </c>
      <c r="D49674" s="7">
        <v>5.31</v>
      </c>
    </row>
    <row r="49675" spans="1:4" x14ac:dyDescent="0.25">
      <c r="A49675" t="str">
        <f>HYPERLINK("https://www.773grp.com/globalSearch/BCR12KM-14LA#C05/page-1", "BCR12KM-14LA#C05")</f>
        <v>BCR12KM-14LA#C05</v>
      </c>
      <c r="B49675" s="3" t="str">
        <f>HYPERLINK("https://www.773grp.com/manufacturer/renesas-electronics-america-inc?pageNo=744", "Renesas Electronics")</f>
        <v>Renesas Electronics</v>
      </c>
      <c r="C49675" s="6">
        <v>28556</v>
      </c>
      <c r="D49675" s="7">
        <v>5.35</v>
      </c>
    </row>
    <row r="49676" spans="1:4" x14ac:dyDescent="0.25">
      <c r="A49676" t="str">
        <f>HYPERLINK("https://www.773grp.com/globalSearch/D74HV8T34T-WS#H0/page-1", "D74HV8T34T-WS#H0")</f>
        <v>D74HV8T34T-WS#H0</v>
      </c>
      <c r="B49676" s="3" t="str">
        <f>HYPERLINK("https://www.773grp.com/manufacturer/renesas-electronics-america-inc?pageNo=745", "Renesas Electronics")</f>
        <v>Renesas Electronics</v>
      </c>
      <c r="C49676" s="6">
        <v>1178</v>
      </c>
      <c r="D49676" s="7">
        <v>5.35</v>
      </c>
    </row>
    <row r="49677" spans="1:4" x14ac:dyDescent="0.25">
      <c r="A49677" t="str">
        <f>HYPERLINK("https://www.773grp.com/globalSearch/2SC2816-E/page-1", "2SC2816-E")</f>
        <v>2SC2816-E</v>
      </c>
      <c r="B49677" s="3" t="str">
        <f>HYPERLINK("https://www.773grp.com/manufacturer/renesas-electronics-america-inc?pageNo=746", "Renesas Electronics")</f>
        <v>Renesas Electronics</v>
      </c>
      <c r="C49677" s="6">
        <v>323</v>
      </c>
      <c r="D49677" s="7">
        <v>5.36</v>
      </c>
    </row>
    <row r="49678" spans="1:4" x14ac:dyDescent="0.25">
      <c r="A49678" t="str">
        <f>HYPERLINK("https://www.773grp.com/globalSearch/RJL5013DPP-00#T2/page-1", "RJL5013DPP-00#T2")</f>
        <v>RJL5013DPP-00#T2</v>
      </c>
      <c r="B49678" s="3" t="str">
        <f>HYPERLINK("https://www.773grp.com/manufacturer/renesas-electronics-america-inc?pageNo=747", "Renesas Electronics")</f>
        <v>Renesas Electronics</v>
      </c>
      <c r="C49678" s="6">
        <v>2631</v>
      </c>
      <c r="D49678" s="7">
        <v>5.36</v>
      </c>
    </row>
    <row r="49679" spans="1:4" x14ac:dyDescent="0.25">
      <c r="A49679" t="str">
        <f>HYPERLINK("https://www.773grp.com/globalSearch/2SC2979-03-E/page-1", "2SC2979-03-E")</f>
        <v>2SC2979-03-E</v>
      </c>
      <c r="B49679" s="3" t="str">
        <f>HYPERLINK("https://www.773grp.com/manufacturer/renesas-electronics-america-inc?pageNo=748", "Renesas Electronics")</f>
        <v>Renesas Electronics</v>
      </c>
      <c r="C49679" s="6">
        <v>665</v>
      </c>
      <c r="D49679" s="7">
        <v>5.4</v>
      </c>
    </row>
    <row r="49680" spans="1:4" x14ac:dyDescent="0.25">
      <c r="A49680" t="str">
        <f>HYPERLINK("https://www.773grp.com/globalSearch/UPD4992GS-E2-A/page-1", "UPD4992GS-E2-A")</f>
        <v>UPD4992GS-E2-A</v>
      </c>
      <c r="B49680" s="3" t="str">
        <f>HYPERLINK("https://www.773grp.com/manufacturer/renesas-electronics-america-inc?pageNo=749", "Renesas Electronics")</f>
        <v>Renesas Electronics</v>
      </c>
      <c r="C49680" s="6">
        <v>2500</v>
      </c>
      <c r="D49680" s="7">
        <v>5.4</v>
      </c>
    </row>
    <row r="49681" spans="1:4" x14ac:dyDescent="0.25">
      <c r="A49681" t="str">
        <f>HYPERLINK("https://www.773grp.com/globalSearch/2SJ77-E/page-1", "2SJ77-E")</f>
        <v>2SJ77-E</v>
      </c>
      <c r="B49681" s="3" t="str">
        <f>HYPERLINK("https://www.773grp.com/manufacturer/renesas-electronics-america-inc?pageNo=750", "Renesas Electronics")</f>
        <v>Renesas Electronics</v>
      </c>
      <c r="C49681" s="6">
        <v>112</v>
      </c>
      <c r="D49681" s="7">
        <v>5.44</v>
      </c>
    </row>
    <row r="49682" spans="1:4" x14ac:dyDescent="0.25">
      <c r="A49682" t="str">
        <f>HYPERLINK("https://www.773grp.com/globalSearch/M52795FP#CF0J/page-1", "M52795FP#CF0J")</f>
        <v>M52795FP#CF0J</v>
      </c>
      <c r="B49682" s="3" t="str">
        <f>HYPERLINK("https://www.773grp.com/manufacturer/renesas-electronics-america-inc?pageNo=751", "Renesas Electronics")</f>
        <v>Renesas Electronics</v>
      </c>
      <c r="C49682" s="6">
        <v>2000</v>
      </c>
      <c r="D49682" s="7">
        <v>5.44</v>
      </c>
    </row>
    <row r="49683" spans="1:4" x14ac:dyDescent="0.25">
      <c r="A49683" t="str">
        <f>HYPERLINK("https://www.773grp.com/globalSearch/2SK1290-AZ/page-1", "2SK1290-AZ")</f>
        <v>2SK1290-AZ</v>
      </c>
      <c r="B49683" s="3" t="str">
        <f>HYPERLINK("https://www.773grp.com/manufacturer/renesas-electronics-america-inc?pageNo=752", "Renesas Electronics")</f>
        <v>Renesas Electronics</v>
      </c>
      <c r="C49683" s="6">
        <v>266</v>
      </c>
      <c r="D49683" s="7">
        <v>5.45</v>
      </c>
    </row>
    <row r="49684" spans="1:4" x14ac:dyDescent="0.25">
      <c r="A49684" t="str">
        <f>HYPERLINK("https://www.773grp.com/globalSearch/M61524FP#DF0G/page-1", "M61524FP#DF0G")</f>
        <v>M61524FP#DF0G</v>
      </c>
      <c r="B49684" s="3" t="str">
        <f>HYPERLINK("https://www.773grp.com/manufacturer/renesas-electronics-america-inc?pageNo=753", "Renesas Electronics")</f>
        <v>Renesas Electronics</v>
      </c>
      <c r="C49684" s="6">
        <v>2000</v>
      </c>
      <c r="D49684" s="7">
        <v>5.45</v>
      </c>
    </row>
    <row r="49685" spans="1:4" x14ac:dyDescent="0.25">
      <c r="A49685" t="str">
        <f>HYPERLINK("https://www.773grp.com/globalSearch/M54679FP#DB0J/page-1", "M54679FP#DB0J")</f>
        <v>M54679FP#DB0J</v>
      </c>
      <c r="B49685" s="3" t="str">
        <f>HYPERLINK("https://www.773grp.com/manufacturer/renesas-electronics-america-inc?pageNo=754", "Renesas Electronics")</f>
        <v>Renesas Electronics</v>
      </c>
      <c r="C49685" s="6">
        <v>21000</v>
      </c>
      <c r="D49685" s="7">
        <v>5.49</v>
      </c>
    </row>
    <row r="49686" spans="1:4" x14ac:dyDescent="0.25">
      <c r="A49686" t="str">
        <f>HYPERLINK("https://www.773grp.com/globalSearch/HA16142FPEL-E/page-1", "HA16142FPEL-E")</f>
        <v>HA16142FPEL-E</v>
      </c>
      <c r="B49686" s="3" t="str">
        <f>HYPERLINK("https://www.773grp.com/manufacturer/renesas-electronics-america-inc?pageNo=755", "Renesas Electronics")</f>
        <v>Renesas Electronics</v>
      </c>
      <c r="C49686" s="6">
        <v>14000</v>
      </c>
      <c r="D49686" s="7">
        <v>5.51</v>
      </c>
    </row>
    <row r="49687" spans="1:4" x14ac:dyDescent="0.25">
      <c r="A49687" t="str">
        <f>HYPERLINK("https://www.773grp.com/globalSearch/M65850P#TF0T/page-1", "M65850P#TF0T")</f>
        <v>M65850P#TF0T</v>
      </c>
      <c r="B49687" s="3" t="str">
        <f>HYPERLINK("https://www.773grp.com/manufacturer/renesas-electronics-america-inc?pageNo=756", "Renesas Electronics")</f>
        <v>Renesas Electronics</v>
      </c>
      <c r="C49687" s="6">
        <v>3929</v>
      </c>
      <c r="D49687" s="7">
        <v>5.51</v>
      </c>
    </row>
    <row r="49688" spans="1:4" x14ac:dyDescent="0.25">
      <c r="A49688" t="str">
        <f>HYPERLINK("https://www.773grp.com/globalSearch/FX30KMJ-2#B00/page-1", "FX30KMJ-2#B00")</f>
        <v>FX30KMJ-2#B00</v>
      </c>
      <c r="B49688" s="3" t="str">
        <f>HYPERLINK("https://www.773grp.com/manufacturer/renesas-electronics-america-inc?pageNo=757", "Renesas Electronics")</f>
        <v>Renesas Electronics</v>
      </c>
      <c r="C49688" s="6">
        <v>1122</v>
      </c>
      <c r="D49688" s="7">
        <v>5.58</v>
      </c>
    </row>
    <row r="49689" spans="1:4" x14ac:dyDescent="0.25">
      <c r="A49689" t="str">
        <f>HYPERLINK("https://www.773grp.com/globalSearch/HAT1035R-EL-E/page-1", "HAT1035R-EL-E")</f>
        <v>HAT1035R-EL-E</v>
      </c>
      <c r="B49689" s="3" t="str">
        <f>HYPERLINK("https://www.773grp.com/manufacturer/renesas-electronics-america-inc?pageNo=758", "Renesas Electronics")</f>
        <v>Renesas Electronics</v>
      </c>
      <c r="C49689" s="6">
        <v>5000</v>
      </c>
      <c r="D49689" s="7">
        <v>5.58</v>
      </c>
    </row>
    <row r="49690" spans="1:4" x14ac:dyDescent="0.25">
      <c r="A49690" t="str">
        <f>HYPERLINK("https://www.773grp.com/globalSearch/M52342SP#TF0G/page-1", "M52342SP#TF0G")</f>
        <v>M52342SP#TF0G</v>
      </c>
      <c r="B49690" s="3" t="str">
        <f>HYPERLINK("https://www.773grp.com/manufacturer/renesas-electronics-america-inc?pageNo=759", "Renesas Electronics")</f>
        <v>Renesas Electronics</v>
      </c>
      <c r="C49690" s="6">
        <v>2160</v>
      </c>
      <c r="D49690" s="7">
        <v>5.58</v>
      </c>
    </row>
    <row r="49691" spans="1:4" x14ac:dyDescent="0.25">
      <c r="A49691" t="str">
        <f>HYPERLINK("https://www.773grp.com/globalSearch/M52795FP/page-1", "M52795FP")</f>
        <v>M52795FP</v>
      </c>
      <c r="B49691" s="3" t="str">
        <f>HYPERLINK("https://www.773grp.com/manufacturer/renesas-electronics-america-inc?pageNo=760", "Renesas Electronics")</f>
        <v>Renesas Electronics</v>
      </c>
      <c r="C49691" s="6">
        <v>899</v>
      </c>
      <c r="D49691" s="7">
        <v>5.58</v>
      </c>
    </row>
    <row r="49692" spans="1:4" x14ac:dyDescent="0.25">
      <c r="A49692" t="str">
        <f>HYPERLINK("https://www.773grp.com/globalSearch/M61529FP#DF0G/page-1", "M61529FP#DF0G")</f>
        <v>M61529FP#DF0G</v>
      </c>
      <c r="B49692" s="3" t="str">
        <f>HYPERLINK("https://www.773grp.com/manufacturer/renesas-electronics-america-inc?pageNo=761", "Renesas Electronics")</f>
        <v>Renesas Electronics</v>
      </c>
      <c r="C49692" s="6">
        <v>4000</v>
      </c>
      <c r="D49692" s="7">
        <v>5.58</v>
      </c>
    </row>
    <row r="49693" spans="1:4" x14ac:dyDescent="0.25">
      <c r="A49693" t="str">
        <f>HYPERLINK("https://www.773grp.com/globalSearch/R8A66167SP#T0/page-1", "R8A66167SP#T0")</f>
        <v>R8A66167SP#T0</v>
      </c>
      <c r="B49693" s="3" t="str">
        <f>HYPERLINK("https://www.773grp.com/manufacturer/renesas-electronics-america-inc?pageNo=762", "Renesas Electronics")</f>
        <v>Renesas Electronics</v>
      </c>
      <c r="C49693" s="6">
        <v>1053</v>
      </c>
      <c r="D49693" s="7">
        <v>5.58</v>
      </c>
    </row>
    <row r="49694" spans="1:4" x14ac:dyDescent="0.25">
      <c r="A49694" t="str">
        <f>HYPERLINK("https://www.773grp.com/globalSearch/H5N2512FN-E/page-1", "H5N2512FN-E")</f>
        <v>H5N2512FN-E</v>
      </c>
      <c r="B49694" s="3" t="str">
        <f>HYPERLINK("https://www.773grp.com/manufacturer/renesas-electronics-america-inc?pageNo=763", "Renesas Electronics")</f>
        <v>Renesas Electronics</v>
      </c>
      <c r="C49694" s="6">
        <v>2637</v>
      </c>
      <c r="D49694" s="7">
        <v>5.6</v>
      </c>
    </row>
    <row r="49695" spans="1:4" x14ac:dyDescent="0.25">
      <c r="A49695" t="str">
        <f>HYPERLINK("https://www.773grp.com/globalSearch/RJH30H2DPK-M2#T2/page-1", "RJH30H2DPK-M2#T2")</f>
        <v>RJH30H2DPK-M2#T2</v>
      </c>
      <c r="B49695" s="3" t="str">
        <f>HYPERLINK("https://www.773grp.com/manufacturer/renesas-electronics-america-inc?pageNo=764", "Renesas Electronics")</f>
        <v>Renesas Electronics</v>
      </c>
      <c r="C49695" s="6">
        <v>1140</v>
      </c>
      <c r="D49695" s="7">
        <v>5.6</v>
      </c>
    </row>
    <row r="49696" spans="1:4" x14ac:dyDescent="0.25">
      <c r="A49696" t="str">
        <f>HYPERLINK("https://www.773grp.com/globalSearch/RJP4009ANS-WS#Q6/page-1", "RJP4009ANS-WS#Q6")</f>
        <v>RJP4009ANS-WS#Q6</v>
      </c>
      <c r="B49696" s="3" t="str">
        <f>HYPERLINK("https://www.773grp.com/manufacturer/renesas-electronics-america-inc?pageNo=765", "Renesas Electronics")</f>
        <v>Renesas Electronics</v>
      </c>
      <c r="C49696" s="6">
        <v>2155</v>
      </c>
      <c r="D49696" s="7">
        <v>5.6</v>
      </c>
    </row>
    <row r="49697" spans="1:4" x14ac:dyDescent="0.25">
      <c r="A49697" t="str">
        <f>HYPERLINK("https://www.773grp.com/globalSearch/2SK1307-E/page-1", "2SK1307-E")</f>
        <v>2SK1307-E</v>
      </c>
      <c r="B49697" s="3" t="str">
        <f>HYPERLINK("https://www.773grp.com/manufacturer/renesas-electronics-america-inc?pageNo=766", "Renesas Electronics")</f>
        <v>Renesas Electronics</v>
      </c>
      <c r="C49697" s="6">
        <v>398</v>
      </c>
      <c r="D49697" s="7">
        <v>5.63</v>
      </c>
    </row>
    <row r="49698" spans="1:4" x14ac:dyDescent="0.25">
      <c r="A49698" t="str">
        <f>HYPERLINK("https://www.773grp.com/globalSearch/H5N2517FN-E/page-1", "H5N2517FN-E")</f>
        <v>H5N2517FN-E</v>
      </c>
      <c r="B49698" s="3" t="str">
        <f>HYPERLINK("https://www.773grp.com/manufacturer/renesas-electronics-america-inc?pageNo=767", "Renesas Electronics")</f>
        <v>Renesas Electronics</v>
      </c>
      <c r="C49698" s="6">
        <v>7173</v>
      </c>
      <c r="D49698" s="7">
        <v>5.63</v>
      </c>
    </row>
    <row r="49699" spans="1:4" x14ac:dyDescent="0.25">
      <c r="A49699" t="str">
        <f>HYPERLINK("https://www.773grp.com/globalSearch/M65845AFP#TF0G/page-1", "M65845AFP#TF0G")</f>
        <v>M65845AFP#TF0G</v>
      </c>
      <c r="B49699" s="3" t="str">
        <f>HYPERLINK("https://www.773grp.com/manufacturer/renesas-electronics-america-inc?pageNo=768", "Renesas Electronics")</f>
        <v>Renesas Electronics</v>
      </c>
      <c r="C49699" s="6">
        <v>60</v>
      </c>
      <c r="D49699" s="7">
        <v>5.63</v>
      </c>
    </row>
    <row r="49700" spans="1:4" x14ac:dyDescent="0.25">
      <c r="A49700" t="str">
        <f>HYPERLINK("https://www.773grp.com/globalSearch/M66503AGP#CC0G/page-1", "M66503AGP#CC0G")</f>
        <v>M66503AGP#CC0G</v>
      </c>
      <c r="B49700" s="3" t="str">
        <f>HYPERLINK("https://www.773grp.com/manufacturer/renesas-electronics-america-inc?pageNo=769", "Renesas Electronics")</f>
        <v>Renesas Electronics</v>
      </c>
      <c r="C49700" s="6">
        <v>3700</v>
      </c>
      <c r="D49700" s="7">
        <v>5.7</v>
      </c>
    </row>
    <row r="49701" spans="1:4" x14ac:dyDescent="0.25">
      <c r="A49701" t="str">
        <f>HYPERLINK("https://www.773grp.com/globalSearch/M52790FP#DG0G/page-1", "M52790FP#DG0G")</f>
        <v>M52790FP#DG0G</v>
      </c>
      <c r="B49701" s="3" t="str">
        <f>HYPERLINK("https://www.773grp.com/manufacturer/renesas-electronics-america-inc?pageNo=770", "Renesas Electronics")</f>
        <v>Renesas Electronics</v>
      </c>
      <c r="C49701" s="6">
        <v>1000</v>
      </c>
      <c r="D49701" s="7">
        <v>5.74</v>
      </c>
    </row>
    <row r="49702" spans="1:4" x14ac:dyDescent="0.25">
      <c r="A49702" t="str">
        <f>HYPERLINK("https://www.773grp.com/globalSearch/UPD78F0114HGB(A)-8ES/page-1", "UPD78F0114HGB(A)-8ES")</f>
        <v>UPD78F0114HGB(A)-8ES</v>
      </c>
      <c r="B49702" s="3" t="str">
        <f>HYPERLINK("https://www.773grp.com/manufacturer/renesas-electronics-america-inc?pageNo=771", "Renesas Electronics")</f>
        <v>Renesas Electronics</v>
      </c>
      <c r="C49702" s="6">
        <v>3463</v>
      </c>
      <c r="D49702" s="7">
        <v>5.78</v>
      </c>
    </row>
    <row r="49703" spans="1:4" x14ac:dyDescent="0.25">
      <c r="A49703" t="str">
        <f>HYPERLINK("https://www.773grp.com/globalSearch/R2A30236SP#W00Z/page-1", "R2A30236SP#W00Z")</f>
        <v>R2A30236SP#W00Z</v>
      </c>
      <c r="B49703" s="3" t="str">
        <f>HYPERLINK("https://www.773grp.com/manufacturer/renesas-electronics-america-inc?pageNo=772", "Renesas Electronics")</f>
        <v>Renesas Electronics</v>
      </c>
      <c r="C49703" s="6">
        <v>5000</v>
      </c>
      <c r="D49703" s="7">
        <v>5.79</v>
      </c>
    </row>
    <row r="49704" spans="1:4" x14ac:dyDescent="0.25">
      <c r="A49704" t="str">
        <f>HYPERLINK("https://www.773grp.com/globalSearch/2SK3457(2)-AZ/page-1", "2SK3457(2)-AZ")</f>
        <v>2SK3457(2)-AZ</v>
      </c>
      <c r="B49704" s="3" t="str">
        <f>HYPERLINK("https://www.773grp.com/manufacturer/renesas-electronics-america-inc?pageNo=773", "Renesas Electronics")</f>
        <v>Renesas Electronics</v>
      </c>
      <c r="C49704" s="6">
        <v>1608</v>
      </c>
      <c r="D49704" s="7">
        <v>5.83</v>
      </c>
    </row>
    <row r="49705" spans="1:4" x14ac:dyDescent="0.25">
      <c r="A49705" t="str">
        <f>HYPERLINK("https://www.773grp.com/globalSearch/2SK3294-AZ/page-1", "2SK3294-AZ")</f>
        <v>2SK3294-AZ</v>
      </c>
      <c r="B49705" s="3" t="str">
        <f>HYPERLINK("https://www.773grp.com/manufacturer/renesas-electronics-america-inc?pageNo=774", "Renesas Electronics")</f>
        <v>Renesas Electronics</v>
      </c>
      <c r="C49705" s="6">
        <v>119</v>
      </c>
      <c r="D49705" s="7">
        <v>5.85</v>
      </c>
    </row>
    <row r="49706" spans="1:4" x14ac:dyDescent="0.25">
      <c r="A49706" t="str">
        <f>HYPERLINK("https://www.773grp.com/globalSearch/M66242FP/page-1", "M66242FP")</f>
        <v>M66242FP</v>
      </c>
      <c r="B49706" s="3" t="str">
        <f>HYPERLINK("https://www.773grp.com/manufacturer/renesas-electronics-america-inc?pageNo=775", "Renesas Electronics")</f>
        <v>Renesas Electronics</v>
      </c>
      <c r="C49706" s="6">
        <v>877</v>
      </c>
      <c r="D49706" s="7">
        <v>5.85</v>
      </c>
    </row>
    <row r="49707" spans="1:4" x14ac:dyDescent="0.25">
      <c r="A49707" t="str">
        <f>HYPERLINK("https://www.773grp.com/globalSearch/RJK4512DPP-00#T2/page-1", "RJK4512DPP-00#T2")</f>
        <v>RJK4512DPP-00#T2</v>
      </c>
      <c r="B49707" s="3" t="str">
        <f>HYPERLINK("https://www.773grp.com/manufacturer/renesas-electronics-america-inc?pageNo=776", "Renesas Electronics")</f>
        <v>Renesas Electronics</v>
      </c>
      <c r="C49707" s="6">
        <v>107</v>
      </c>
      <c r="D49707" s="7">
        <v>5.91</v>
      </c>
    </row>
    <row r="49708" spans="1:4" x14ac:dyDescent="0.25">
      <c r="A49708" t="str">
        <f>HYPERLINK("https://www.773grp.com/globalSearch/RJK5012DPP-K0#T2/page-1", "RJK5012DPP-K0#T2")</f>
        <v>RJK5012DPP-K0#T2</v>
      </c>
      <c r="B49708" s="3" t="str">
        <f>HYPERLINK("https://www.773grp.com/manufacturer/renesas-electronics-america-inc?pageNo=777", "Renesas Electronics")</f>
        <v>Renesas Electronics</v>
      </c>
      <c r="C49708" s="6">
        <v>92</v>
      </c>
      <c r="D49708" s="7">
        <v>5.91</v>
      </c>
    </row>
    <row r="49709" spans="1:4" x14ac:dyDescent="0.25">
      <c r="A49709" t="str">
        <f>HYPERLINK("https://www.773grp.com/globalSearch/RJP3047DPK-80#T2/page-1", "RJP3047DPK-80#T2")</f>
        <v>RJP3047DPK-80#T2</v>
      </c>
      <c r="B49709" s="3" t="str">
        <f>HYPERLINK("https://www.773grp.com/manufacturer/renesas-electronics-america-inc?pageNo=778", "Renesas Electronics")</f>
        <v>Renesas Electronics</v>
      </c>
      <c r="C49709" s="6">
        <v>3045</v>
      </c>
      <c r="D49709" s="7">
        <v>5.94</v>
      </c>
    </row>
    <row r="49710" spans="1:4" x14ac:dyDescent="0.25">
      <c r="A49710" t="str">
        <f>HYPERLINK("https://www.773grp.com/globalSearch/R8A66152SP#T1/page-1", "R8A66152SP#T1")</f>
        <v>R8A66152SP#T1</v>
      </c>
      <c r="B49710" s="3" t="str">
        <f>HYPERLINK("https://www.773grp.com/manufacturer/renesas-electronics-america-inc?pageNo=779", "Renesas Electronics")</f>
        <v>Renesas Electronics</v>
      </c>
      <c r="C49710" s="6">
        <v>13291</v>
      </c>
      <c r="D49710" s="7">
        <v>5.96</v>
      </c>
    </row>
    <row r="49711" spans="1:4" x14ac:dyDescent="0.25">
      <c r="A49711" t="str">
        <f>HYPERLINK("https://www.773grp.com/globalSearch/2SJ79-E/page-1", "2SJ79-E")</f>
        <v>2SJ79-E</v>
      </c>
      <c r="B49711" s="3" t="str">
        <f>HYPERLINK("https://www.773grp.com/manufacturer/renesas-electronics-america-inc?pageNo=780", "Renesas Electronics")</f>
        <v>Renesas Electronics</v>
      </c>
      <c r="C49711" s="6">
        <v>4191</v>
      </c>
      <c r="D49711" s="7">
        <v>6.03</v>
      </c>
    </row>
    <row r="49712" spans="1:4" x14ac:dyDescent="0.25">
      <c r="A49712" t="str">
        <f>HYPERLINK("https://www.773grp.com/globalSearch/H5N2007FN-E/page-1", "H5N2007FN-E")</f>
        <v>H5N2007FN-E</v>
      </c>
      <c r="B49712" s="3" t="str">
        <f>HYPERLINK("https://www.773grp.com/manufacturer/renesas-electronics-america-inc?pageNo=781", "Renesas Electronics")</f>
        <v>Renesas Electronics</v>
      </c>
      <c r="C49712" s="6">
        <v>466</v>
      </c>
      <c r="D49712" s="7">
        <v>6.04</v>
      </c>
    </row>
    <row r="49713" spans="1:4" x14ac:dyDescent="0.25">
      <c r="A49713" t="str">
        <f>HYPERLINK("https://www.773grp.com/globalSearch/H7N0608LS90TL/page-1", "H7N0608LS90TL")</f>
        <v>H7N0608LS90TL</v>
      </c>
      <c r="B49713" s="3" t="str">
        <f>HYPERLINK("https://www.773grp.com/manufacturer/renesas-electronics-america-inc?pageNo=782", "Renesas Electronics")</f>
        <v>Renesas Electronics</v>
      </c>
      <c r="C49713" s="6">
        <v>12000</v>
      </c>
      <c r="D49713" s="7">
        <v>6.11</v>
      </c>
    </row>
    <row r="49714" spans="1:4" x14ac:dyDescent="0.25">
      <c r="A49714" t="str">
        <f>HYPERLINK("https://www.773grp.com/globalSearch/UPD16502GS-CXD-A/page-1", "UPD16502GS-CXD-A")</f>
        <v>UPD16502GS-CXD-A</v>
      </c>
      <c r="B49714" s="3" t="str">
        <f>HYPERLINK("https://www.773grp.com/manufacturer/renesas-electronics-america-inc?pageNo=783", "Renesas Electronics")</f>
        <v>Renesas Electronics</v>
      </c>
      <c r="C49714" s="6">
        <v>173</v>
      </c>
      <c r="D49714" s="7">
        <v>6.13</v>
      </c>
    </row>
    <row r="49715" spans="1:4" x14ac:dyDescent="0.25">
      <c r="A49715" t="str">
        <f>HYPERLINK("https://www.773grp.com/globalSearch/RJH30E3DPK-M0#T2/page-1", "RJH30E3DPK-M0#T2")</f>
        <v>RJH30E3DPK-M0#T2</v>
      </c>
      <c r="B49715" s="3" t="str">
        <f>HYPERLINK("https://www.773grp.com/manufacturer/renesas-electronics-america-inc?pageNo=784", "Renesas Electronics")</f>
        <v>Renesas Electronics</v>
      </c>
      <c r="C49715" s="6">
        <v>6462</v>
      </c>
      <c r="D49715" s="7">
        <v>6.16</v>
      </c>
    </row>
    <row r="49716" spans="1:4" x14ac:dyDescent="0.25">
      <c r="A49716" t="str">
        <f>HYPERLINK("https://www.773grp.com/globalSearch/RJL5012DPP-00#T2/page-1", "RJL5012DPP-00#T2")</f>
        <v>RJL5012DPP-00#T2</v>
      </c>
      <c r="B49716" s="3" t="str">
        <f>HYPERLINK("https://www.773grp.com/manufacturer/renesas-electronics-america-inc?pageNo=785", "Renesas Electronics")</f>
        <v>Renesas Electronics</v>
      </c>
      <c r="C49716" s="6">
        <v>28764</v>
      </c>
      <c r="D49716" s="7">
        <v>6.16</v>
      </c>
    </row>
    <row r="49717" spans="1:4" x14ac:dyDescent="0.25">
      <c r="A49717" t="str">
        <f>HYPERLINK("https://www.773grp.com/globalSearch/FS30KMJ-3#B00/page-1", "FS30KMJ-3#B00")</f>
        <v>FS30KMJ-3#B00</v>
      </c>
      <c r="B49717" s="3" t="str">
        <f>HYPERLINK("https://www.773grp.com/manufacturer/renesas-electronics-america-inc?pageNo=786", "Renesas Electronics")</f>
        <v>Renesas Electronics</v>
      </c>
      <c r="C49717" s="6">
        <v>24459</v>
      </c>
      <c r="D49717" s="7">
        <v>6.19</v>
      </c>
    </row>
    <row r="49718" spans="1:4" x14ac:dyDescent="0.25">
      <c r="A49718" t="str">
        <f>HYPERLINK("https://www.773grp.com/globalSearch/M62419FP#T71G/page-1", "M62419FP#T71G")</f>
        <v>M62419FP#T71G</v>
      </c>
      <c r="B49718" s="3" t="str">
        <f>HYPERLINK("https://www.773grp.com/manufacturer/renesas-electronics-america-inc?pageNo=787", "Renesas Electronics")</f>
        <v>Renesas Electronics</v>
      </c>
      <c r="C49718" s="6">
        <v>592</v>
      </c>
      <c r="D49718" s="7">
        <v>6.19</v>
      </c>
    </row>
    <row r="49719" spans="1:4" x14ac:dyDescent="0.25">
      <c r="A49719" t="str">
        <f>HYPERLINK("https://www.773grp.com/globalSearch/R5F2L35CCNFP#U0/page-1", "R5F2L35CCNFP#U0")</f>
        <v>R5F2L35CCNFP#U0</v>
      </c>
      <c r="B49719" s="3" t="str">
        <f>HYPERLINK("https://www.773grp.com/manufacturer/renesas-electronics-america-inc?pageNo=788", "Renesas Electronics")</f>
        <v>Renesas Electronics</v>
      </c>
      <c r="C49719" s="6">
        <v>4</v>
      </c>
      <c r="D49719" s="7">
        <v>6.21</v>
      </c>
    </row>
    <row r="49720" spans="1:4" x14ac:dyDescent="0.25">
      <c r="A49720" t="str">
        <f>HYPERLINK("https://www.773grp.com/globalSearch/M54995FP#DB0G/page-1", "M54995FP#DB0G")</f>
        <v>M54995FP#DB0G</v>
      </c>
      <c r="B49720" s="3" t="str">
        <f>HYPERLINK("https://www.773grp.com/manufacturer/renesas-electronics-america-inc?pageNo=789", "Renesas Electronics")</f>
        <v>Renesas Electronics</v>
      </c>
      <c r="C49720" s="6">
        <v>2000</v>
      </c>
      <c r="D49720" s="7">
        <v>6.25</v>
      </c>
    </row>
    <row r="49721" spans="1:4" x14ac:dyDescent="0.25">
      <c r="A49721" t="str">
        <f>HYPERLINK("https://www.773grp.com/globalSearch/UPD78F9510GR(R)-JJG-A/page-1", "UPD78F9510GR(R)-JJG-A")</f>
        <v>UPD78F9510GR(R)-JJG-A</v>
      </c>
      <c r="B49721" s="3" t="str">
        <f>HYPERLINK("https://www.773grp.com/manufacturer/renesas-electronics-america-inc?pageNo=790", "Renesas Electronics")</f>
        <v>Renesas Electronics</v>
      </c>
      <c r="C49721" s="6">
        <v>2441</v>
      </c>
      <c r="D49721" s="7">
        <v>6.25</v>
      </c>
    </row>
    <row r="49722" spans="1:4" x14ac:dyDescent="0.25">
      <c r="A49722" t="str">
        <f>HYPERLINK("https://www.773grp.com/globalSearch/R5F212L2SNFP#U0/page-1", "R5F212L2SNFP#U0")</f>
        <v>R5F212L2SNFP#U0</v>
      </c>
      <c r="B49722" s="3" t="str">
        <f>HYPERLINK("https://www.773grp.com/manufacturer/renesas-electronics-america-inc?pageNo=791", "Renesas Electronics")</f>
        <v>Renesas Electronics</v>
      </c>
      <c r="C49722" s="6">
        <v>428</v>
      </c>
      <c r="D49722" s="7">
        <v>6.28</v>
      </c>
    </row>
    <row r="49723" spans="1:4" x14ac:dyDescent="0.25">
      <c r="A49723" t="str">
        <f>HYPERLINK("https://www.773grp.com/globalSearch/UPD4721GS-GJG-E2/page-1", "UPD4721GS-GJG-E2")</f>
        <v>UPD4721GS-GJG-E2</v>
      </c>
      <c r="B49723" s="3" t="str">
        <f>HYPERLINK("https://www.773grp.com/manufacturer/renesas-electronics-america-inc?pageNo=792", "Renesas Electronics")</f>
        <v>Renesas Electronics</v>
      </c>
      <c r="C49723" s="6">
        <v>2500</v>
      </c>
      <c r="D49723" s="7">
        <v>6.33</v>
      </c>
    </row>
    <row r="49724" spans="1:4" x14ac:dyDescent="0.25">
      <c r="A49724" t="str">
        <f>HYPERLINK("https://www.773grp.com/globalSearch/M51791AL#A10/page-1", "M51791AL#A10")</f>
        <v>M51791AL#A10</v>
      </c>
      <c r="B49724" s="3" t="str">
        <f>HYPERLINK("https://www.773grp.com/manufacturer/renesas-electronics-america-inc?pageNo=793", "Renesas Electronics")</f>
        <v>Renesas Electronics</v>
      </c>
      <c r="C49724" s="6">
        <v>464</v>
      </c>
      <c r="D49724" s="7">
        <v>6.36</v>
      </c>
    </row>
    <row r="49725" spans="1:4" x14ac:dyDescent="0.25">
      <c r="A49725" t="str">
        <f>HYPERLINK("https://www.773grp.com/globalSearch/M54124L#A10/page-1", "M54124L#A10")</f>
        <v>M54124L#A10</v>
      </c>
      <c r="B49725" s="3" t="str">
        <f>HYPERLINK("https://www.773grp.com/manufacturer/renesas-electronics-america-inc?pageNo=794", "Renesas Electronics")</f>
        <v>Renesas Electronics</v>
      </c>
      <c r="C49725" s="6">
        <v>239</v>
      </c>
      <c r="D49725" s="7">
        <v>6.36</v>
      </c>
    </row>
    <row r="49726" spans="1:4" x14ac:dyDescent="0.25">
      <c r="A49726" t="str">
        <f>HYPERLINK("https://www.773grp.com/globalSearch/M3455AGCHFP#U0/page-1", "M3455AGCHFP#U0")</f>
        <v>M3455AGCHFP#U0</v>
      </c>
      <c r="B49726" s="3" t="str">
        <f>HYPERLINK("https://www.773grp.com/manufacturer/renesas-electronics-america-inc?pageNo=795", "Renesas Electronics")</f>
        <v>Renesas Electronics</v>
      </c>
      <c r="C49726" s="6">
        <v>53194</v>
      </c>
      <c r="D49726" s="7">
        <v>6.41</v>
      </c>
    </row>
    <row r="49727" spans="1:4" x14ac:dyDescent="0.25">
      <c r="A49727" t="str">
        <f>HYPERLINK("https://www.773grp.com/globalSearch/BCR16CS12LAT11#B00/page-1", "BCR16CS12LAT11#B00")</f>
        <v>BCR16CS12LAT11#B00</v>
      </c>
      <c r="B49727" s="3" t="str">
        <f>HYPERLINK("https://www.773grp.com/manufacturer/renesas-electronics-america-inc?pageNo=796", "Renesas Electronics")</f>
        <v>Renesas Electronics</v>
      </c>
      <c r="C49727" s="6">
        <v>1000</v>
      </c>
      <c r="D49727" s="7">
        <v>6.45</v>
      </c>
    </row>
    <row r="49728" spans="1:4" x14ac:dyDescent="0.25">
      <c r="A49728" t="str">
        <f>HYPERLINK("https://www.773grp.com/globalSearch/UPD43256BGU-70LL-E1-A/page-1", "UPD43256BGU-70LL-E1-A")</f>
        <v>UPD43256BGU-70LL-E1-A</v>
      </c>
      <c r="B49728" s="3" t="str">
        <f>HYPERLINK("https://www.773grp.com/manufacturer/renesas-electronics-america-inc?pageNo=797", "Renesas Electronics")</f>
        <v>Renesas Electronics</v>
      </c>
      <c r="C49728" s="6">
        <v>147900</v>
      </c>
      <c r="D49728" s="7">
        <v>6.46</v>
      </c>
    </row>
    <row r="49729" spans="1:4" x14ac:dyDescent="0.25">
      <c r="A49729" t="str">
        <f>HYPERLINK("https://www.773grp.com/globalSearch/UPD43256BGU-70LL-E2-A/page-1", "UPD43256BGU-70LL-E2-A")</f>
        <v>UPD43256BGU-70LL-E2-A</v>
      </c>
      <c r="B49729" s="3" t="str">
        <f>HYPERLINK("https://www.773grp.com/manufacturer/renesas-electronics-america-inc?pageNo=798", "Renesas Electronics")</f>
        <v>Renesas Electronics</v>
      </c>
      <c r="C49729" s="6">
        <v>35000</v>
      </c>
      <c r="D49729" s="7">
        <v>6.46</v>
      </c>
    </row>
    <row r="49730" spans="1:4" x14ac:dyDescent="0.25">
      <c r="A49730" t="str">
        <f>HYPERLINK("https://www.773grp.com/globalSearch/2SC2979-E/page-1", "2SC2979-E")</f>
        <v>2SC2979-E</v>
      </c>
      <c r="B49730" s="3" t="str">
        <f>HYPERLINK("https://www.773grp.com/manufacturer/renesas-electronics-america-inc?pageNo=799", "Renesas Electronics")</f>
        <v>Renesas Electronics</v>
      </c>
      <c r="C49730" s="6">
        <v>68</v>
      </c>
      <c r="D49730" s="7">
        <v>6.53</v>
      </c>
    </row>
    <row r="49731" spans="1:4" x14ac:dyDescent="0.25">
      <c r="A49731" t="str">
        <f>HYPERLINK("https://www.773grp.com/globalSearch/UPD16502GS-E2-A/page-1", "UPD16502GS-E2-A")</f>
        <v>UPD16502GS-E2-A</v>
      </c>
      <c r="B49731" s="3" t="str">
        <f>HYPERLINK("https://www.773grp.com/manufacturer/renesas-electronics-america-inc?pageNo=800", "Renesas Electronics")</f>
        <v>Renesas Electronics</v>
      </c>
      <c r="C49731" s="6">
        <v>15000</v>
      </c>
      <c r="D49731" s="7">
        <v>6.55</v>
      </c>
    </row>
    <row r="49732" spans="1:4" x14ac:dyDescent="0.25">
      <c r="A49732" t="str">
        <f>HYPERLINK("https://www.773grp.com/globalSearch/R5F212L2SDFP#U0/page-1", "R5F212L2SDFP#U0")</f>
        <v>R5F212L2SDFP#U0</v>
      </c>
      <c r="B49732" s="3" t="str">
        <f>HYPERLINK("https://www.773grp.com/manufacturer/renesas-electronics-america-inc?pageNo=801", "Renesas Electronics")</f>
        <v>Renesas Electronics</v>
      </c>
      <c r="C49732" s="6">
        <v>51</v>
      </c>
      <c r="D49732" s="7">
        <v>6.61</v>
      </c>
    </row>
    <row r="49733" spans="1:4" x14ac:dyDescent="0.25">
      <c r="A49733" t="str">
        <f>HYPERLINK("https://www.773grp.com/globalSearch/RJK6014DPP-00#T2/page-1", "RJK6014DPP-00#T2")</f>
        <v>RJK6014DPP-00#T2</v>
      </c>
      <c r="B49733" s="3" t="str">
        <f>HYPERLINK("https://www.773grp.com/manufacturer/renesas-electronics-america-inc?pageNo=802", "Renesas Electronics")</f>
        <v>Renesas Electronics</v>
      </c>
      <c r="C49733" s="6">
        <v>420</v>
      </c>
      <c r="D49733" s="7">
        <v>6.61</v>
      </c>
    </row>
    <row r="49734" spans="1:4" x14ac:dyDescent="0.25">
      <c r="A49734" t="str">
        <f>HYPERLINK("https://www.773grp.com/globalSearch/HA12237F-E/page-1", "HA12237F-E")</f>
        <v>HA12237F-E</v>
      </c>
      <c r="B49734" s="3" t="str">
        <f>HYPERLINK("https://www.773grp.com/manufacturer/renesas-electronics-america-inc?pageNo=803", "Renesas Electronics")</f>
        <v>Renesas Electronics</v>
      </c>
      <c r="C49734" s="6">
        <v>6950</v>
      </c>
      <c r="D49734" s="7">
        <v>6.64</v>
      </c>
    </row>
    <row r="49735" spans="1:4" x14ac:dyDescent="0.25">
      <c r="A49735" t="str">
        <f>HYPERLINK("https://www.773grp.com/globalSearch/HA12237FEB-E/page-1", "HA12237FEB-E")</f>
        <v>HA12237FEB-E</v>
      </c>
      <c r="B49735" s="3" t="str">
        <f>HYPERLINK("https://www.773grp.com/manufacturer/renesas-electronics-america-inc?pageNo=804", "Renesas Electronics")</f>
        <v>Renesas Electronics</v>
      </c>
      <c r="C49735" s="6">
        <v>28000</v>
      </c>
      <c r="D49735" s="7">
        <v>6.64</v>
      </c>
    </row>
    <row r="49736" spans="1:4" x14ac:dyDescent="0.25">
      <c r="A49736" t="str">
        <f>HYPERLINK("https://www.773grp.com/globalSearch/M59330P#A10/page-1", "M59330P#A10")</f>
        <v>M59330P#A10</v>
      </c>
      <c r="B49736" s="3" t="str">
        <f>HYPERLINK("https://www.773grp.com/manufacturer/renesas-electronics-america-inc?pageNo=805", "Renesas Electronics")</f>
        <v>Renesas Electronics</v>
      </c>
      <c r="C49736" s="6">
        <v>53</v>
      </c>
      <c r="D49736" s="7">
        <v>6.64</v>
      </c>
    </row>
    <row r="49737" spans="1:4" x14ac:dyDescent="0.25">
      <c r="A49737" t="str">
        <f>HYPERLINK("https://www.773grp.com/globalSearch/2SJ296STL-E/page-1", "2SJ296STL-E")</f>
        <v>2SJ296STL-E</v>
      </c>
      <c r="B49737" s="3" t="str">
        <f>HYPERLINK("https://www.773grp.com/manufacturer/renesas-electronics-america-inc?pageNo=806", "Renesas Electronics")</f>
        <v>Renesas Electronics</v>
      </c>
      <c r="C49737" s="6">
        <v>1000</v>
      </c>
      <c r="D49737" s="7">
        <v>6.7</v>
      </c>
    </row>
    <row r="49738" spans="1:4" x14ac:dyDescent="0.25">
      <c r="A49738" t="str">
        <f>HYPERLINK("https://www.773grp.com/globalSearch/R8A66168SP#T0/page-1", "R8A66168SP#T0")</f>
        <v>R8A66168SP#T0</v>
      </c>
      <c r="B49738" s="3" t="str">
        <f>HYPERLINK("https://www.773grp.com/manufacturer/renesas-electronics-america-inc?pageNo=807", "Renesas Electronics")</f>
        <v>Renesas Electronics</v>
      </c>
      <c r="C49738" s="6">
        <v>1929</v>
      </c>
      <c r="D49738" s="7">
        <v>6.7</v>
      </c>
    </row>
    <row r="49739" spans="1:4" x14ac:dyDescent="0.25">
      <c r="A49739" t="str">
        <f>HYPERLINK("https://www.773grp.com/globalSearch/HN58X24256FPI#S0/page-1", "HN58X24256FPI#S0")</f>
        <v>HN58X24256FPI#S0</v>
      </c>
      <c r="B49739" s="3" t="str">
        <f>HYPERLINK("https://www.773grp.com/manufacturer/renesas-electronics-america-inc?pageNo=808", "Renesas Electronics")</f>
        <v>Renesas Electronics</v>
      </c>
      <c r="C49739" s="6">
        <v>12500</v>
      </c>
      <c r="D49739" s="7">
        <v>6.71</v>
      </c>
    </row>
    <row r="49740" spans="1:4" x14ac:dyDescent="0.25">
      <c r="A49740" t="str">
        <f>HYPERLINK("https://www.773grp.com/globalSearch/M52042FP#CF1J/page-1", "M52042FP#CF1J")</f>
        <v>M52042FP#CF1J</v>
      </c>
      <c r="B49740" s="3" t="str">
        <f>HYPERLINK("https://www.773grp.com/manufacturer/renesas-electronics-america-inc?pageNo=809", "Renesas Electronics")</f>
        <v>Renesas Electronics</v>
      </c>
      <c r="C49740" s="6">
        <v>2000</v>
      </c>
      <c r="D49740" s="7">
        <v>6.75</v>
      </c>
    </row>
    <row r="49741" spans="1:4" x14ac:dyDescent="0.25">
      <c r="A49741" t="str">
        <f>HYPERLINK("https://www.773grp.com/globalSearch/M52045FP#CF1J/page-1", "M52045FP#CF1J")</f>
        <v>M52045FP#CF1J</v>
      </c>
      <c r="B49741" s="3" t="str">
        <f>HYPERLINK("https://www.773grp.com/manufacturer/renesas-electronics-america-inc?pageNo=810", "Renesas Electronics")</f>
        <v>Renesas Electronics</v>
      </c>
      <c r="C49741" s="6">
        <v>6000</v>
      </c>
      <c r="D49741" s="7">
        <v>6.75</v>
      </c>
    </row>
    <row r="49742" spans="1:4" x14ac:dyDescent="0.25">
      <c r="A49742" t="str">
        <f>HYPERLINK("https://www.773grp.com/globalSearch/M54646AP#TF0G/page-1", "M54646AP#TF0G")</f>
        <v>M54646AP#TF0G</v>
      </c>
      <c r="B49742" s="3" t="str">
        <f>HYPERLINK("https://www.773grp.com/manufacturer/renesas-electronics-america-inc?pageNo=811", "Renesas Electronics")</f>
        <v>Renesas Electronics</v>
      </c>
      <c r="C49742" s="6">
        <v>8409</v>
      </c>
      <c r="D49742" s="7">
        <v>6.75</v>
      </c>
    </row>
    <row r="49743" spans="1:4" x14ac:dyDescent="0.25">
      <c r="A49743" t="str">
        <f>HYPERLINK("https://www.773grp.com/globalSearch/M54679SP#TB0G/page-1", "M54679SP#TB0G")</f>
        <v>M54679SP#TB0G</v>
      </c>
      <c r="B49743" s="3" t="str">
        <f>HYPERLINK("https://www.773grp.com/manufacturer/renesas-electronics-america-inc?pageNo=812", "Renesas Electronics")</f>
        <v>Renesas Electronics</v>
      </c>
      <c r="C49743" s="6">
        <v>288</v>
      </c>
      <c r="D49743" s="7">
        <v>6.75</v>
      </c>
    </row>
    <row r="49744" spans="1:4" x14ac:dyDescent="0.25">
      <c r="A49744" t="str">
        <f>HYPERLINK("https://www.773grp.com/globalSearch/M65849CFP#TF0G/page-1", "M65849CFP#TF0G")</f>
        <v>M65849CFP#TF0G</v>
      </c>
      <c r="B49744" s="3" t="str">
        <f>HYPERLINK("https://www.773grp.com/manufacturer/renesas-electronics-america-inc?pageNo=813", "Renesas Electronics")</f>
        <v>Renesas Electronics</v>
      </c>
      <c r="C49744" s="6">
        <v>887</v>
      </c>
      <c r="D49744" s="7">
        <v>6.75</v>
      </c>
    </row>
    <row r="49745" spans="1:4" x14ac:dyDescent="0.25">
      <c r="A49745" t="str">
        <f>HYPERLINK("https://www.773grp.com/globalSearch/M38079SFP#U0/page-1", "M38079SFP#U0")</f>
        <v>M38079SFP#U0</v>
      </c>
      <c r="B49745" s="3" t="str">
        <f>HYPERLINK("https://www.773grp.com/manufacturer/renesas-electronics-america-inc?pageNo=814", "Renesas Electronics")</f>
        <v>Renesas Electronics</v>
      </c>
      <c r="C49745" s="6">
        <v>538</v>
      </c>
      <c r="D49745" s="7">
        <v>6.79</v>
      </c>
    </row>
    <row r="49746" spans="1:4" x14ac:dyDescent="0.25">
      <c r="A49746" t="str">
        <f>HYPERLINK("https://www.773grp.com/globalSearch/M62370GP#R60J/page-1", "M62370GP#R60J")</f>
        <v>M62370GP#R60J</v>
      </c>
      <c r="B49746" s="3" t="str">
        <f>HYPERLINK("https://www.773grp.com/manufacturer/renesas-electronics-america-inc?pageNo=815", "Renesas Electronics")</f>
        <v>Renesas Electronics</v>
      </c>
      <c r="C49746" s="6">
        <v>292</v>
      </c>
      <c r="D49746" s="7">
        <v>6.8</v>
      </c>
    </row>
    <row r="49747" spans="1:4" x14ac:dyDescent="0.25">
      <c r="A49747" t="str">
        <f>HYPERLINK("https://www.773grp.com/globalSearch/UPD78F9136AMC-5A4-A/page-1", "UPD78F9136AMC-5A4-A")</f>
        <v>UPD78F9136AMC-5A4-A</v>
      </c>
      <c r="B49747" s="3" t="str">
        <f>HYPERLINK("https://www.773grp.com/manufacturer/renesas-electronics-america-inc?pageNo=816", "Renesas Electronics")</f>
        <v>Renesas Electronics</v>
      </c>
      <c r="C49747" s="6">
        <v>704</v>
      </c>
      <c r="D49747" s="7">
        <v>6.8</v>
      </c>
    </row>
    <row r="49748" spans="1:4" x14ac:dyDescent="0.25">
      <c r="A49748" t="str">
        <f>HYPERLINK("https://www.773grp.com/globalSearch/R5F21355ANFP#U1/page-1", "R5F21355ANFP#U1")</f>
        <v>R5F21355ANFP#U1</v>
      </c>
      <c r="B49748" s="3" t="str">
        <f>HYPERLINK("https://www.773grp.com/manufacturer/renesas-electronics-america-inc?pageNo=817", "Renesas Electronics")</f>
        <v>Renesas Electronics</v>
      </c>
      <c r="C49748" s="6">
        <v>28137</v>
      </c>
      <c r="D49748" s="7">
        <v>6.84</v>
      </c>
    </row>
    <row r="49749" spans="1:4" x14ac:dyDescent="0.25">
      <c r="A49749" t="str">
        <f>HYPERLINK("https://www.773grp.com/globalSearch/R5F21356CNFP#W4/page-1", "R5F21356CNFP#W4")</f>
        <v>R5F21356CNFP#W4</v>
      </c>
      <c r="B49749" s="3" t="str">
        <f>HYPERLINK("https://www.773grp.com/manufacturer/renesas-electronics-america-inc?pageNo=818", "Renesas Electronics")</f>
        <v>Renesas Electronics</v>
      </c>
      <c r="C49749" s="6">
        <v>1500</v>
      </c>
      <c r="D49749" s="7">
        <v>6.86</v>
      </c>
    </row>
    <row r="49750" spans="1:4" x14ac:dyDescent="0.25">
      <c r="A49750" t="str">
        <f>HYPERLINK("https://www.773grp.com/globalSearch/2SK2725-E/page-1", "2SK2725-E")</f>
        <v>2SK2725-E</v>
      </c>
      <c r="B49750" s="3" t="str">
        <f>HYPERLINK("https://www.773grp.com/manufacturer/renesas-electronics-america-inc?pageNo=819", "Renesas Electronics")</f>
        <v>Renesas Electronics</v>
      </c>
      <c r="C49750" s="6">
        <v>178</v>
      </c>
      <c r="D49750" s="7">
        <v>6.95</v>
      </c>
    </row>
    <row r="49751" spans="1:4" x14ac:dyDescent="0.25">
      <c r="A49751" t="str">
        <f>HYPERLINK("https://www.773grp.com/globalSearch/UPD4711BGS-E1-A/page-1", "UPD4711BGS-E1-A")</f>
        <v>UPD4711BGS-E1-A</v>
      </c>
      <c r="B49751" s="3" t="str">
        <f>HYPERLINK("https://www.773grp.com/manufacturer/renesas-electronics-america-inc?pageNo=820", "Renesas Electronics")</f>
        <v>Renesas Electronics</v>
      </c>
      <c r="C49751" s="6">
        <v>10000</v>
      </c>
      <c r="D49751" s="7">
        <v>6.95</v>
      </c>
    </row>
    <row r="49752" spans="1:4" x14ac:dyDescent="0.25">
      <c r="A49752" t="str">
        <f>HYPERLINK("https://www.773grp.com/globalSearch/M5M5256DFP-55LL#BM/page-1", "M5M5256DFP-55LL#BM")</f>
        <v>M5M5256DFP-55LL#BM</v>
      </c>
      <c r="B49752" s="3" t="str">
        <f>HYPERLINK("https://www.773grp.com/manufacturer/renesas-electronics-america-inc?pageNo=821", "Renesas Electronics")</f>
        <v>Renesas Electronics</v>
      </c>
      <c r="C49752" s="6">
        <v>4080</v>
      </c>
      <c r="D49752" s="7">
        <v>6.98</v>
      </c>
    </row>
    <row r="49753" spans="1:4" x14ac:dyDescent="0.25">
      <c r="A49753" t="str">
        <f>HYPERLINK("https://www.773grp.com/globalSearch/M5M5256DFP-70GI#SM/page-1", "M5M5256DFP-70GI#SM")</f>
        <v>M5M5256DFP-70GI#SM</v>
      </c>
      <c r="B49753" s="3" t="str">
        <f>HYPERLINK("https://www.773grp.com/manufacturer/renesas-electronics-america-inc?pageNo=822", "Renesas Electronics")</f>
        <v>Renesas Electronics</v>
      </c>
      <c r="C49753" s="6">
        <v>8000</v>
      </c>
      <c r="D49753" s="7">
        <v>6.98</v>
      </c>
    </row>
    <row r="49754" spans="1:4" x14ac:dyDescent="0.25">
      <c r="A49754" t="str">
        <f>HYPERLINK("https://www.773grp.com/globalSearch/M5M5256DFP-70XG#BM/page-1", "M5M5256DFP-70XG#BM")</f>
        <v>M5M5256DFP-70XG#BM</v>
      </c>
      <c r="B49754" s="3" t="str">
        <f>HYPERLINK("https://www.773grp.com/manufacturer/renesas-electronics-america-inc?pageNo=823", "Renesas Electronics")</f>
        <v>Renesas Electronics</v>
      </c>
      <c r="C49754" s="6">
        <v>5715</v>
      </c>
      <c r="D49754" s="7">
        <v>6.98</v>
      </c>
    </row>
    <row r="49755" spans="1:4" x14ac:dyDescent="0.25">
      <c r="A49755" t="str">
        <f>HYPERLINK("https://www.773grp.com/globalSearch/M5M5256DVP-55LL#BE/page-1", "M5M5256DVP-55LL#BE")</f>
        <v>M5M5256DVP-55LL#BE</v>
      </c>
      <c r="B49755" s="3" t="str">
        <f>HYPERLINK("https://www.773grp.com/manufacturer/renesas-electronics-america-inc?pageNo=824", "Renesas Electronics")</f>
        <v>Renesas Electronics</v>
      </c>
      <c r="C49755" s="6">
        <v>18410</v>
      </c>
      <c r="D49755" s="7">
        <v>6.98</v>
      </c>
    </row>
    <row r="49756" spans="1:4" x14ac:dyDescent="0.25">
      <c r="A49756" t="str">
        <f>HYPERLINK("https://www.773grp.com/globalSearch/M5M5256DVP-70G#BE/page-1", "M5M5256DVP-70G#BE")</f>
        <v>M5M5256DVP-70G#BE</v>
      </c>
      <c r="B49756" s="3" t="str">
        <f>HYPERLINK("https://www.773grp.com/manufacturer/renesas-electronics-america-inc?pageNo=825", "Renesas Electronics")</f>
        <v>Renesas Electronics</v>
      </c>
      <c r="C49756" s="6">
        <v>10707</v>
      </c>
      <c r="D49756" s="7">
        <v>6.98</v>
      </c>
    </row>
    <row r="49757" spans="1:4" x14ac:dyDescent="0.25">
      <c r="A49757" t="str">
        <f>HYPERLINK("https://www.773grp.com/globalSearch/M5M5256DVP-70GI#SE/page-1", "M5M5256DVP-70GI#SE")</f>
        <v>M5M5256DVP-70GI#SE</v>
      </c>
      <c r="B49757" s="3" t="str">
        <f>HYPERLINK("https://www.773grp.com/manufacturer/renesas-electronics-america-inc?pageNo=826", "Renesas Electronics")</f>
        <v>Renesas Electronics</v>
      </c>
      <c r="C49757" s="6">
        <v>2000</v>
      </c>
      <c r="D49757" s="7">
        <v>6.98</v>
      </c>
    </row>
    <row r="49758" spans="1:4" x14ac:dyDescent="0.25">
      <c r="A49758" t="str">
        <f>HYPERLINK("https://www.773grp.com/globalSearch/M5M5256DVP-70LLIBE/page-1", "M5M5256DVP-70LLIBE")</f>
        <v>M5M5256DVP-70LLIBE</v>
      </c>
      <c r="B49758" s="3" t="str">
        <f>HYPERLINK("https://www.773grp.com/manufacturer/renesas-electronics-america-inc?pageNo=827", "Renesas Electronics")</f>
        <v>Renesas Electronics</v>
      </c>
      <c r="C49758" s="6">
        <v>6612</v>
      </c>
      <c r="D49758" s="7">
        <v>6.98</v>
      </c>
    </row>
    <row r="49759" spans="1:4" x14ac:dyDescent="0.25">
      <c r="A49759" t="str">
        <f>HYPERLINK("https://www.773grp.com/globalSearch/M5M5256DVP-70XL#SE/page-1", "M5M5256DVP-70XL#SE")</f>
        <v>M5M5256DVP-70XL#SE</v>
      </c>
      <c r="B49759" s="3" t="str">
        <f>HYPERLINK("https://www.773grp.com/manufacturer/renesas-electronics-america-inc?pageNo=828", "Renesas Electronics")</f>
        <v>Renesas Electronics</v>
      </c>
      <c r="C49759" s="6">
        <v>3000</v>
      </c>
      <c r="D49759" s="7">
        <v>6.98</v>
      </c>
    </row>
    <row r="49760" spans="1:4" x14ac:dyDescent="0.25">
      <c r="A49760" t="str">
        <f>HYPERLINK("https://www.773grp.com/globalSearch/R5F212L2SYFP#U0/page-1", "R5F212L2SYFP#U0")</f>
        <v>R5F212L2SYFP#U0</v>
      </c>
      <c r="B49760" s="3" t="str">
        <f>HYPERLINK("https://www.773grp.com/manufacturer/renesas-electronics-america-inc?pageNo=829", "Renesas Electronics")</f>
        <v>Renesas Electronics</v>
      </c>
      <c r="C49760" s="6">
        <v>37</v>
      </c>
      <c r="D49760" s="7">
        <v>6.98</v>
      </c>
    </row>
    <row r="49761" spans="1:4" x14ac:dyDescent="0.25">
      <c r="A49761" t="str">
        <f>HYPERLINK("https://www.773grp.com/globalSearch/M61809FP#DB1G/page-1", "M61809FP#DB1G")</f>
        <v>M61809FP#DB1G</v>
      </c>
      <c r="B49761" s="3" t="str">
        <f>HYPERLINK("https://www.773grp.com/manufacturer/renesas-electronics-america-inc?pageNo=830", "Renesas Electronics")</f>
        <v>Renesas Electronics</v>
      </c>
      <c r="C49761" s="6">
        <v>19000</v>
      </c>
      <c r="D49761" s="7">
        <v>7.04</v>
      </c>
    </row>
    <row r="49762" spans="1:4" x14ac:dyDescent="0.25">
      <c r="A49762" t="str">
        <f>HYPERLINK("https://www.773grp.com/globalSearch/RJK60S4DPP-E0#T2/page-1", "RJK60S4DPP-E0#T2")</f>
        <v>RJK60S4DPP-E0#T2</v>
      </c>
      <c r="B49762" s="3" t="str">
        <f>HYPERLINK("https://www.773grp.com/manufacturer/renesas-electronics-america-inc?pageNo=831", "Renesas Electronics")</f>
        <v>Renesas Electronics</v>
      </c>
      <c r="C49762" s="6">
        <v>114548</v>
      </c>
      <c r="D49762" s="7">
        <v>7.04</v>
      </c>
    </row>
    <row r="49763" spans="1:4" x14ac:dyDescent="0.25">
      <c r="A49763" t="str">
        <f>HYPERLINK("https://www.773grp.com/globalSearch/M66235FP/page-1", "M66235FP")</f>
        <v>M66235FP</v>
      </c>
      <c r="B49763" s="3" t="str">
        <f>HYPERLINK("https://www.773grp.com/manufacturer/renesas-electronics-america-inc?pageNo=832", "Renesas Electronics")</f>
        <v>Renesas Electronics</v>
      </c>
      <c r="C49763" s="6">
        <v>108</v>
      </c>
      <c r="D49763" s="7">
        <v>7.05</v>
      </c>
    </row>
    <row r="49764" spans="1:4" x14ac:dyDescent="0.25">
      <c r="A49764" t="str">
        <f>HYPERLINK("https://www.773grp.com/globalSearch/R5F2L387ANFP#U1/page-1", "R5F2L387ANFP#U1")</f>
        <v>R5F2L387ANFP#U1</v>
      </c>
      <c r="B49764" s="3" t="str">
        <f>HYPERLINK("https://www.773grp.com/manufacturer/renesas-electronics-america-inc?pageNo=833", "Renesas Electronics")</f>
        <v>Renesas Electronics</v>
      </c>
      <c r="C49764" s="6">
        <v>1191</v>
      </c>
      <c r="D49764" s="7">
        <v>7.05</v>
      </c>
    </row>
    <row r="49765" spans="1:4" x14ac:dyDescent="0.25">
      <c r="A49765" t="str">
        <f>HYPERLINK("https://www.773grp.com/globalSearch/2SK1567-E/page-1", "2SK1567-E")</f>
        <v>2SK1567-E</v>
      </c>
      <c r="B49765" s="3" t="str">
        <f>HYPERLINK("https://www.773grp.com/manufacturer/renesas-electronics-america-inc?pageNo=834", "Renesas Electronics")</f>
        <v>Renesas Electronics</v>
      </c>
      <c r="C49765" s="6">
        <v>328</v>
      </c>
      <c r="D49765" s="7">
        <v>7.13</v>
      </c>
    </row>
    <row r="49766" spans="1:4" x14ac:dyDescent="0.25">
      <c r="A49766" t="str">
        <f>HYPERLINK("https://www.773grp.com/globalSearch/R5F363CANFE#U0/page-1", "R5F363CANFE#U0")</f>
        <v>R5F363CANFE#U0</v>
      </c>
      <c r="B49766" s="3" t="str">
        <f>HYPERLINK("https://www.773grp.com/manufacturer/renesas-electronics-america-inc?pageNo=835", "Renesas Electronics")</f>
        <v>Renesas Electronics</v>
      </c>
      <c r="C49766" s="6">
        <v>5134</v>
      </c>
      <c r="D49766" s="7">
        <v>7.13</v>
      </c>
    </row>
    <row r="49767" spans="1:4" x14ac:dyDescent="0.25">
      <c r="A49767" t="str">
        <f>HYPERLINK("https://www.773grp.com/globalSearch/M54125L#A10/page-1", "M54125L#A10")</f>
        <v>M54125L#A10</v>
      </c>
      <c r="B49767" s="3" t="str">
        <f>HYPERLINK("https://www.773grp.com/manufacturer/renesas-electronics-america-inc?pageNo=836", "Renesas Electronics")</f>
        <v>Renesas Electronics</v>
      </c>
      <c r="C49767" s="6">
        <v>127</v>
      </c>
      <c r="D49767" s="7">
        <v>7.14</v>
      </c>
    </row>
    <row r="49768" spans="1:4" x14ac:dyDescent="0.25">
      <c r="A49768" t="str">
        <f>HYPERLINK("https://www.773grp.com/globalSearch/M34280E1GP/page-1", "M34280E1GP")</f>
        <v>M34280E1GP</v>
      </c>
      <c r="B49768" s="3" t="str">
        <f>HYPERLINK("https://www.773grp.com/manufacturer/renesas-electronics-america-inc?pageNo=837", "Renesas Electronics")</f>
        <v>Renesas Electronics</v>
      </c>
      <c r="C49768" s="6">
        <v>14633</v>
      </c>
      <c r="D49768" s="7">
        <v>7.2</v>
      </c>
    </row>
    <row r="49769" spans="1:4" x14ac:dyDescent="0.25">
      <c r="A49769" t="str">
        <f>HYPERLINK("https://www.773grp.com/globalSearch/R5F21356CYFP#W4/page-1", "R5F21356CYFP#W4")</f>
        <v>R5F21356CYFP#W4</v>
      </c>
      <c r="B49769" s="3" t="str">
        <f>HYPERLINK("https://www.773grp.com/manufacturer/renesas-electronics-america-inc?pageNo=838", "Renesas Electronics")</f>
        <v>Renesas Electronics</v>
      </c>
      <c r="C49769" s="6">
        <v>10500</v>
      </c>
      <c r="D49769" s="7">
        <v>7.2</v>
      </c>
    </row>
    <row r="49770" spans="1:4" x14ac:dyDescent="0.25">
      <c r="A49770" t="str">
        <f>HYPERLINK("https://www.773grp.com/globalSearch/2SJ143-AZ/page-1", "2SJ143-AZ")</f>
        <v>2SJ143-AZ</v>
      </c>
      <c r="B49770" s="3" t="str">
        <f>HYPERLINK("https://www.773grp.com/manufacturer/renesas-electronics-america-inc?pageNo=839", "Renesas Electronics")</f>
        <v>Renesas Electronics</v>
      </c>
      <c r="C49770" s="6">
        <v>2540</v>
      </c>
      <c r="D49770" s="7">
        <v>7.26</v>
      </c>
    </row>
    <row r="49771" spans="1:4" x14ac:dyDescent="0.25">
      <c r="A49771" t="str">
        <f>HYPERLINK("https://www.773grp.com/globalSearch/UPD4711BCX-A/page-1", "UPD4711BCX-A")</f>
        <v>UPD4711BCX-A</v>
      </c>
      <c r="B49771" s="3" t="str">
        <f>HYPERLINK("https://www.773grp.com/manufacturer/renesas-electronics-america-inc?pageNo=840", "Renesas Electronics")</f>
        <v>Renesas Electronics</v>
      </c>
      <c r="C49771" s="6">
        <v>34</v>
      </c>
      <c r="D49771" s="7">
        <v>7.29</v>
      </c>
    </row>
    <row r="49772" spans="1:4" x14ac:dyDescent="0.25">
      <c r="A49772" t="str">
        <f>HYPERLINK("https://www.773grp.com/globalSearch/2SK1620L-E/page-1", "2SK1620L-E")</f>
        <v>2SK1620L-E</v>
      </c>
      <c r="B49772" s="3" t="str">
        <f>HYPERLINK("https://www.773grp.com/manufacturer/renesas-electronics-america-inc?pageNo=841", "Renesas Electronics")</f>
        <v>Renesas Electronics</v>
      </c>
      <c r="C49772" s="6">
        <v>1317</v>
      </c>
      <c r="D49772" s="7">
        <v>7.38</v>
      </c>
    </row>
    <row r="49773" spans="1:4" x14ac:dyDescent="0.25">
      <c r="A49773" t="str">
        <f>HYPERLINK("https://www.773grp.com/globalSearch/R5F2L388BNFP#U1/page-1", "R5F2L388BNFP#U1")</f>
        <v>R5F2L388BNFP#U1</v>
      </c>
      <c r="B49773" s="3" t="str">
        <f>HYPERLINK("https://www.773grp.com/manufacturer/renesas-electronics-america-inc?pageNo=842", "Renesas Electronics")</f>
        <v>Renesas Electronics</v>
      </c>
      <c r="C49773" s="6">
        <v>18656</v>
      </c>
      <c r="D49773" s="7">
        <v>7.38</v>
      </c>
    </row>
    <row r="49774" spans="1:4" x14ac:dyDescent="0.25">
      <c r="A49774" t="str">
        <f>HYPERLINK("https://www.773grp.com/globalSearch/2SJ215-E/page-1", "2SJ215-E")</f>
        <v>2SJ215-E</v>
      </c>
      <c r="B49774" s="3" t="str">
        <f>HYPERLINK("https://www.773grp.com/manufacturer/renesas-electronics-america-inc?pageNo=843", "Renesas Electronics")</f>
        <v>Renesas Electronics</v>
      </c>
      <c r="C49774" s="6">
        <v>2626</v>
      </c>
      <c r="D49774" s="7">
        <v>7.43</v>
      </c>
    </row>
    <row r="49775" spans="1:4" x14ac:dyDescent="0.25">
      <c r="A49775" t="str">
        <f>HYPERLINK("https://www.773grp.com/globalSearch/FS70KMJ-2/page-1", "FS70KMJ-2")</f>
        <v>FS70KMJ-2</v>
      </c>
      <c r="B49775" s="3" t="str">
        <f>HYPERLINK("https://www.773grp.com/manufacturer/renesas-electronics-america-inc?pageNo=844", "Renesas Electronics")</f>
        <v>Renesas Electronics</v>
      </c>
      <c r="C49775" s="6">
        <v>4716</v>
      </c>
      <c r="D49775" s="7">
        <v>7.43</v>
      </c>
    </row>
    <row r="49776" spans="1:4" x14ac:dyDescent="0.25">
      <c r="A49776" t="str">
        <f>HYPERLINK("https://www.773grp.com/globalSearch/2SK1620STR-E/page-1", "2SK1620STR-E")</f>
        <v>2SK1620STR-E</v>
      </c>
      <c r="B49776" s="3" t="str">
        <f>HYPERLINK("https://www.773grp.com/manufacturer/renesas-electronics-america-inc?pageNo=845", "Renesas Electronics")</f>
        <v>Renesas Electronics</v>
      </c>
      <c r="C49776" s="6">
        <v>3000</v>
      </c>
      <c r="D49776" s="7">
        <v>7.48</v>
      </c>
    </row>
    <row r="49777" spans="1:4" x14ac:dyDescent="0.25">
      <c r="A49777" t="str">
        <f>HYPERLINK("https://www.773grp.com/globalSearch/RJK60S4DPE-WS#J3/page-1", "RJK60S4DPE-WS#J3")</f>
        <v>RJK60S4DPE-WS#J3</v>
      </c>
      <c r="B49777" s="3" t="str">
        <f>HYPERLINK("https://www.773grp.com/manufacturer/renesas-electronics-america-inc?pageNo=846", "Renesas Electronics")</f>
        <v>Renesas Electronics</v>
      </c>
      <c r="C49777" s="6">
        <v>350</v>
      </c>
      <c r="D49777" s="7">
        <v>7.51</v>
      </c>
    </row>
    <row r="49778" spans="1:4" x14ac:dyDescent="0.25">
      <c r="A49778" t="str">
        <f>HYPERLINK("https://www.773grp.com/globalSearch/HA17431FPAJ-E/page-1", "HA17431FPAJ-E")</f>
        <v>HA17431FPAJ-E</v>
      </c>
      <c r="B49778" s="3" t="str">
        <f>HYPERLINK("https://www.773grp.com/manufacturer/renesas-electronics-america-inc?pageNo=847", "Renesas Electronics")</f>
        <v>Renesas Electronics</v>
      </c>
      <c r="C49778" s="6">
        <v>1076</v>
      </c>
      <c r="D49778" s="7">
        <v>7.56</v>
      </c>
    </row>
    <row r="49779" spans="1:4" x14ac:dyDescent="0.25">
      <c r="A49779" t="str">
        <f>HYPERLINK("https://www.773grp.com/globalSearch/RJH3047DPK-80#T2/page-1", "RJH3047DPK-80#T2")</f>
        <v>RJH3047DPK-80#T2</v>
      </c>
      <c r="B49779" s="3" t="str">
        <f>HYPERLINK("https://www.773grp.com/manufacturer/renesas-electronics-america-inc?pageNo=848", "Renesas Electronics")</f>
        <v>Renesas Electronics</v>
      </c>
      <c r="C49779" s="6">
        <v>4981</v>
      </c>
      <c r="D49779" s="7">
        <v>7.6</v>
      </c>
    </row>
    <row r="49780" spans="1:4" x14ac:dyDescent="0.25">
      <c r="A49780" t="str">
        <f>HYPERLINK("https://www.773grp.com/globalSearch/FS50UMJ-3/page-1", "FS50UMJ-3")</f>
        <v>FS50UMJ-3</v>
      </c>
      <c r="B49780" s="3" t="str">
        <f>HYPERLINK("https://www.773grp.com/manufacturer/renesas-electronics-america-inc?pageNo=849", "Renesas Electronics")</f>
        <v>Renesas Electronics</v>
      </c>
      <c r="C49780" s="6">
        <v>1126</v>
      </c>
      <c r="D49780" s="7">
        <v>7.63</v>
      </c>
    </row>
    <row r="49781" spans="1:4" x14ac:dyDescent="0.25">
      <c r="A49781" t="str">
        <f>HYPERLINK("https://www.773grp.com/globalSearch/FS25SM-9A#B10/page-1", "FS25SM-9A#B10")</f>
        <v>FS25SM-9A#B10</v>
      </c>
      <c r="B49781" s="3" t="str">
        <f>HYPERLINK("https://www.773grp.com/manufacturer/renesas-electronics-america-inc?pageNo=850", "Renesas Electronics")</f>
        <v>Renesas Electronics</v>
      </c>
      <c r="C49781" s="6">
        <v>692</v>
      </c>
      <c r="D49781" s="7">
        <v>7.71</v>
      </c>
    </row>
    <row r="49782" spans="1:4" x14ac:dyDescent="0.25">
      <c r="A49782" t="str">
        <f>HYPERLINK("https://www.773grp.com/globalSearch/FX50SMJ-2#B00/page-1", "FX50SMJ-2#B00")</f>
        <v>FX50SMJ-2#B00</v>
      </c>
      <c r="B49782" s="3" t="str">
        <f>HYPERLINK("https://www.773grp.com/manufacturer/renesas-electronics-america-inc?pageNo=851", "Renesas Electronics")</f>
        <v>Renesas Electronics</v>
      </c>
      <c r="C49782" s="6">
        <v>6571</v>
      </c>
      <c r="D49782" s="7">
        <v>7.73</v>
      </c>
    </row>
    <row r="49783" spans="1:4" x14ac:dyDescent="0.25">
      <c r="A49783" t="str">
        <f>HYPERLINK("https://www.773grp.com/globalSearch/M54670P#TF0G/page-1", "M54670P#TF0G")</f>
        <v>M54670P#TF0G</v>
      </c>
      <c r="B49783" s="3" t="str">
        <f>HYPERLINK("https://www.773grp.com/manufacturer/renesas-electronics-america-inc?pageNo=852", "Renesas Electronics")</f>
        <v>Renesas Electronics</v>
      </c>
      <c r="C49783" s="6">
        <v>13896</v>
      </c>
      <c r="D49783" s="7">
        <v>7.73</v>
      </c>
    </row>
    <row r="49784" spans="1:4" x14ac:dyDescent="0.25">
      <c r="A49784" t="str">
        <f>HYPERLINK("https://www.773grp.com/globalSearch/R5F2L36AANFP#V2/page-1", "R5F2L36AANFP#V2")</f>
        <v>R5F2L36AANFP#V2</v>
      </c>
      <c r="B49784" s="3" t="str">
        <f>HYPERLINK("https://www.773grp.com/manufacturer/renesas-electronics-america-inc?pageNo=853", "Renesas Electronics")</f>
        <v>Renesas Electronics</v>
      </c>
      <c r="C49784" s="6">
        <v>5183</v>
      </c>
      <c r="D49784" s="7">
        <v>7.76</v>
      </c>
    </row>
    <row r="49785" spans="1:4" x14ac:dyDescent="0.25">
      <c r="A49785" t="str">
        <f>HYPERLINK("https://www.773grp.com/globalSearch/2SK1636L-E/page-1", "2SK1636L-E")</f>
        <v>2SK1636L-E</v>
      </c>
      <c r="B49785" s="3" t="str">
        <f>HYPERLINK("https://www.773grp.com/manufacturer/renesas-electronics-america-inc?pageNo=854", "Renesas Electronics")</f>
        <v>Renesas Electronics</v>
      </c>
      <c r="C49785" s="6">
        <v>4015</v>
      </c>
      <c r="D49785" s="7">
        <v>7.8</v>
      </c>
    </row>
    <row r="49786" spans="1:4" x14ac:dyDescent="0.25">
      <c r="A49786" t="str">
        <f>HYPERLINK("https://www.773grp.com/globalSearch/RJK6013DPP-00#T2/page-1", "RJK6013DPP-00#T2")</f>
        <v>RJK6013DPP-00#T2</v>
      </c>
      <c r="B49786" s="3" t="str">
        <f>HYPERLINK("https://www.773grp.com/manufacturer/renesas-electronics-america-inc?pageNo=855", "Renesas Electronics")</f>
        <v>Renesas Electronics</v>
      </c>
      <c r="C49786" s="6">
        <v>36826</v>
      </c>
      <c r="D49786" s="7">
        <v>7.8</v>
      </c>
    </row>
    <row r="49787" spans="1:4" x14ac:dyDescent="0.25">
      <c r="A49787" t="str">
        <f>HYPERLINK("https://www.773grp.com/globalSearch/FS70KMJ-2#B00/page-1", "FS70KMJ-2#B00")</f>
        <v>FS70KMJ-2#B00</v>
      </c>
      <c r="B49787" s="3" t="str">
        <f>HYPERLINK("https://www.773grp.com/manufacturer/renesas-electronics-america-inc?pageNo=856", "Renesas Electronics")</f>
        <v>Renesas Electronics</v>
      </c>
      <c r="C49787" s="6">
        <v>1488</v>
      </c>
      <c r="D49787" s="7">
        <v>7.81</v>
      </c>
    </row>
    <row r="49788" spans="1:4" x14ac:dyDescent="0.25">
      <c r="A49788" t="str">
        <f>HYPERLINK("https://www.773grp.com/globalSearch/RJH3047ADPK-80#T2/page-1", "RJH3047ADPK-80#T2")</f>
        <v>RJH3047ADPK-80#T2</v>
      </c>
      <c r="B49788" s="3" t="str">
        <f>HYPERLINK("https://www.773grp.com/manufacturer/renesas-electronics-america-inc?pageNo=857", "Renesas Electronics")</f>
        <v>Renesas Electronics</v>
      </c>
      <c r="C49788" s="6">
        <v>300</v>
      </c>
      <c r="D49788" s="7">
        <v>7.88</v>
      </c>
    </row>
    <row r="49789" spans="1:4" x14ac:dyDescent="0.25">
      <c r="A49789" t="str">
        <f>HYPERLINK("https://www.773grp.com/globalSearch/RJP2557DPK-E/page-1", "RJP2557DPK-E")</f>
        <v>RJP2557DPK-E</v>
      </c>
      <c r="B49789" s="3" t="str">
        <f>HYPERLINK("https://www.773grp.com/manufacturer/renesas-electronics-america-inc?pageNo=858", "Renesas Electronics")</f>
        <v>Renesas Electronics</v>
      </c>
      <c r="C49789" s="6">
        <v>208</v>
      </c>
      <c r="D49789" s="7">
        <v>7.88</v>
      </c>
    </row>
    <row r="49790" spans="1:4" x14ac:dyDescent="0.25">
      <c r="A49790" t="str">
        <f>HYPERLINK("https://www.773grp.com/globalSearch/M5M51008DFP-70HIBT/page-1", "M5M51008DFP-70HIBT")</f>
        <v>M5M51008DFP-70HIBT</v>
      </c>
      <c r="B49790" s="3" t="str">
        <f>HYPERLINK("https://www.773grp.com/manufacturer/renesas-electronics-america-inc?pageNo=859", "Renesas Electronics")</f>
        <v>Renesas Electronics</v>
      </c>
      <c r="C49790" s="6">
        <v>4925</v>
      </c>
      <c r="D49790" s="7">
        <v>7.9</v>
      </c>
    </row>
    <row r="49791" spans="1:4" x14ac:dyDescent="0.25">
      <c r="A49791" t="str">
        <f>HYPERLINK("https://www.773grp.com/globalSearch/M5M51008DKV-70H#BT/page-1", "M5M51008DKV-70H#BT")</f>
        <v>M5M51008DKV-70H#BT</v>
      </c>
      <c r="B49791" s="3" t="str">
        <f>HYPERLINK("https://www.773grp.com/manufacturer/renesas-electronics-america-inc?pageNo=860", "Renesas Electronics")</f>
        <v>Renesas Electronics</v>
      </c>
      <c r="C49791" s="6">
        <v>615</v>
      </c>
      <c r="D49791" s="7">
        <v>7.9</v>
      </c>
    </row>
    <row r="49792" spans="1:4" x14ac:dyDescent="0.25">
      <c r="A49792" t="str">
        <f>HYPERLINK("https://www.773grp.com/globalSearch/M5M51008DRV-70H#BT/page-1", "M5M51008DRV-70H#BT")</f>
        <v>M5M51008DRV-70H#BT</v>
      </c>
      <c r="B49792" s="3" t="str">
        <f>HYPERLINK("https://www.773grp.com/manufacturer/renesas-electronics-america-inc?pageNo=861", "Renesas Electronics")</f>
        <v>Renesas Electronics</v>
      </c>
      <c r="C49792" s="6">
        <v>6517</v>
      </c>
      <c r="D49792" s="7">
        <v>7.9</v>
      </c>
    </row>
    <row r="49793" spans="1:4" x14ac:dyDescent="0.25">
      <c r="A49793" t="str">
        <f>HYPERLINK("https://www.773grp.com/globalSearch/M5M5V108DKV-70H#ST/page-1", "M5M5V108DKV-70H#ST")</f>
        <v>M5M5V108DKV-70H#ST</v>
      </c>
      <c r="B49793" s="3" t="str">
        <f>HYPERLINK("https://www.773grp.com/manufacturer/renesas-electronics-america-inc?pageNo=862", "Renesas Electronics")</f>
        <v>Renesas Electronics</v>
      </c>
      <c r="C49793" s="6">
        <v>240000</v>
      </c>
      <c r="D49793" s="7">
        <v>7.9</v>
      </c>
    </row>
    <row r="49794" spans="1:4" x14ac:dyDescent="0.25">
      <c r="A49794" t="str">
        <f>HYPERLINK("https://www.773grp.com/globalSearch/M5M5V108DKV-70HIBJ/page-1", "M5M5V108DKV-70HIBJ")</f>
        <v>M5M5V108DKV-70HIBJ</v>
      </c>
      <c r="B49794" s="3" t="str">
        <f>HYPERLINK("https://www.773grp.com/manufacturer/renesas-electronics-america-inc?pageNo=863", "Renesas Electronics")</f>
        <v>Renesas Electronics</v>
      </c>
      <c r="C49794" s="6">
        <v>113</v>
      </c>
      <c r="D49794" s="7">
        <v>7.9</v>
      </c>
    </row>
    <row r="49795" spans="1:4" x14ac:dyDescent="0.25">
      <c r="A49795" t="str">
        <f>HYPERLINK("https://www.773grp.com/globalSearch/M5M5V108DVP-70HIST/page-1", "M5M5V108DVP-70HIST")</f>
        <v>M5M5V108DVP-70HIST</v>
      </c>
      <c r="B49795" s="3" t="str">
        <f>HYPERLINK("https://www.773grp.com/manufacturer/renesas-electronics-america-inc?pageNo=864", "Renesas Electronics")</f>
        <v>Renesas Electronics</v>
      </c>
      <c r="C49795" s="6">
        <v>20000</v>
      </c>
      <c r="D49795" s="7">
        <v>7.9</v>
      </c>
    </row>
    <row r="49796" spans="1:4" x14ac:dyDescent="0.25">
      <c r="A49796" t="str">
        <f>HYPERLINK("https://www.773grp.com/globalSearch/M66003-0001FP#RB0T/page-1", "M66003-0001FP#RB0T")</f>
        <v>M66003-0001FP#RB0T</v>
      </c>
      <c r="B49796" s="3" t="str">
        <f>HYPERLINK("https://www.773grp.com/manufacturer/renesas-electronics-america-inc?pageNo=865", "Renesas Electronics")</f>
        <v>Renesas Electronics</v>
      </c>
      <c r="C49796" s="6">
        <v>308</v>
      </c>
      <c r="D49796" s="7">
        <v>7.9</v>
      </c>
    </row>
    <row r="49797" spans="1:4" x14ac:dyDescent="0.25">
      <c r="A49797" t="str">
        <f>HYPERLINK("https://www.773grp.com/globalSearch/R1LP0108ESR-5SR#B0/page-1", "R1LP0108ESR-5SR#B0")</f>
        <v>R1LP0108ESR-5SR#B0</v>
      </c>
      <c r="B49797" s="3" t="str">
        <f>HYPERLINK("https://www.773grp.com/manufacturer/renesas-electronics-america-inc?pageNo=866", "Renesas Electronics")</f>
        <v>Renesas Electronics</v>
      </c>
      <c r="C49797" s="6">
        <v>1584</v>
      </c>
      <c r="D49797" s="7">
        <v>7.9</v>
      </c>
    </row>
    <row r="49798" spans="1:4" x14ac:dyDescent="0.25">
      <c r="A49798" t="str">
        <f>HYPERLINK("https://www.773grp.com/globalSearch/R1LP0108ESR-7SR#S0/page-1", "R1LP0108ESR-7SR#S0")</f>
        <v>R1LP0108ESR-7SR#S0</v>
      </c>
      <c r="B49798" s="3" t="str">
        <f>HYPERLINK("https://www.773grp.com/manufacturer/renesas-electronics-america-inc?pageNo=867", "Renesas Electronics")</f>
        <v>Renesas Electronics</v>
      </c>
      <c r="C49798" s="6">
        <v>8000</v>
      </c>
      <c r="D49798" s="7">
        <v>7.9</v>
      </c>
    </row>
    <row r="49799" spans="1:4" x14ac:dyDescent="0.25">
      <c r="A49799" t="str">
        <f>HYPERLINK("https://www.773grp.com/globalSearch/R5F2L38CADFP#U1/page-1", "R5F2L38CADFP#U1")</f>
        <v>R5F2L38CADFP#U1</v>
      </c>
      <c r="B49799" s="3" t="str">
        <f>HYPERLINK("https://www.773grp.com/manufacturer/renesas-electronics-america-inc?pageNo=868", "Renesas Electronics")</f>
        <v>Renesas Electronics</v>
      </c>
      <c r="C49799" s="6">
        <v>3112</v>
      </c>
      <c r="D49799" s="7">
        <v>7.94</v>
      </c>
    </row>
    <row r="49800" spans="1:4" x14ac:dyDescent="0.25">
      <c r="A49800" t="str">
        <f>HYPERLINK("https://www.773grp.com/globalSearch/M61531FP#RF0G/page-1", "M61531FP#RF0G")</f>
        <v>M61531FP#RF0G</v>
      </c>
      <c r="B49800" s="3" t="str">
        <f>HYPERLINK("https://www.773grp.com/manufacturer/renesas-electronics-america-inc?pageNo=869", "Renesas Electronics")</f>
        <v>Renesas Electronics</v>
      </c>
      <c r="C49800" s="6">
        <v>3352</v>
      </c>
      <c r="D49800" s="7">
        <v>7.99</v>
      </c>
    </row>
    <row r="49801" spans="1:4" x14ac:dyDescent="0.25">
      <c r="A49801" t="str">
        <f>HYPERLINK("https://www.773grp.com/globalSearch/M62371GP#RF0J/page-1", "M62371GP#RF0J")</f>
        <v>M62371GP#RF0J</v>
      </c>
      <c r="B49801" s="3" t="str">
        <f>HYPERLINK("https://www.773grp.com/manufacturer/renesas-electronics-america-inc?pageNo=870", "Renesas Electronics")</f>
        <v>Renesas Electronics</v>
      </c>
      <c r="C49801" s="6">
        <v>552</v>
      </c>
      <c r="D49801" s="7">
        <v>8.06</v>
      </c>
    </row>
    <row r="49802" spans="1:4" x14ac:dyDescent="0.25">
      <c r="A49802" t="str">
        <f>HYPERLINK("https://www.773grp.com/globalSearch/R2J30516LG#U0/page-1", "R2J30516LG#U0")</f>
        <v>R2J30516LG#U0</v>
      </c>
      <c r="B49802" s="3" t="str">
        <f>HYPERLINK("https://www.773grp.com/manufacturer/renesas-electronics-america-inc?pageNo=871", "Renesas Electronics")</f>
        <v>Renesas Electronics</v>
      </c>
      <c r="C49802" s="6">
        <v>2065</v>
      </c>
      <c r="D49802" s="7">
        <v>8.06</v>
      </c>
    </row>
    <row r="49803" spans="1:4" x14ac:dyDescent="0.25">
      <c r="A49803" t="str">
        <f>HYPERLINK("https://www.773grp.com/globalSearch/R2S20020SP#U00G/page-1", "R2S20020SP#U00G")</f>
        <v>R2S20020SP#U00G</v>
      </c>
      <c r="B49803" s="3" t="str">
        <f>HYPERLINK("https://www.773grp.com/manufacturer/renesas-electronics-america-inc?pageNo=872", "Renesas Electronics")</f>
        <v>Renesas Electronics</v>
      </c>
      <c r="C49803" s="6">
        <v>160</v>
      </c>
      <c r="D49803" s="7">
        <v>8.06</v>
      </c>
    </row>
    <row r="49804" spans="1:4" x14ac:dyDescent="0.25">
      <c r="A49804" t="str">
        <f>HYPERLINK("https://www.773grp.com/globalSearch/2SJ143(2)-S6-AZ/page-1", "2SJ143(2)-S6-AZ")</f>
        <v>2SJ143(2)-S6-AZ</v>
      </c>
      <c r="B49804" s="3" t="str">
        <f>HYPERLINK("https://www.773grp.com/manufacturer/renesas-electronics-america-inc?pageNo=873", "Renesas Electronics")</f>
        <v>Renesas Electronics</v>
      </c>
      <c r="C49804" s="6">
        <v>699</v>
      </c>
      <c r="D49804" s="7">
        <v>8.1</v>
      </c>
    </row>
    <row r="49805" spans="1:4" x14ac:dyDescent="0.25">
      <c r="A49805" t="str">
        <f>HYPERLINK("https://www.773grp.com/globalSearch/R5F212BASDFA#U0/page-1", "R5F212BASDFA#U0")</f>
        <v>R5F212BASDFA#U0</v>
      </c>
      <c r="B49805" s="3" t="str">
        <f>HYPERLINK("https://www.773grp.com/manufacturer/renesas-electronics-america-inc?pageNo=874", "Renesas Electronics")</f>
        <v>Renesas Electronics</v>
      </c>
      <c r="C49805" s="6">
        <v>42</v>
      </c>
      <c r="D49805" s="7">
        <v>8.14</v>
      </c>
    </row>
    <row r="49806" spans="1:4" x14ac:dyDescent="0.25">
      <c r="A49806" t="str">
        <f>HYPERLINK("https://www.773grp.com/globalSearch/2SK1303-E/page-1", "2SK1303-E")</f>
        <v>2SK1303-E</v>
      </c>
      <c r="B49806" s="3" t="str">
        <f>HYPERLINK("https://www.773grp.com/manufacturer/renesas-electronics-america-inc?pageNo=875", "Renesas Electronics")</f>
        <v>Renesas Electronics</v>
      </c>
      <c r="C49806" s="6">
        <v>6965</v>
      </c>
      <c r="D49806" s="7">
        <v>8.15</v>
      </c>
    </row>
    <row r="49807" spans="1:4" x14ac:dyDescent="0.25">
      <c r="A49807" t="str">
        <f>HYPERLINK("https://www.773grp.com/globalSearch/R2J30516LG#W0/page-1", "R2J30516LG#W0")</f>
        <v>R2J30516LG#W0</v>
      </c>
      <c r="B49807" s="3" t="str">
        <f>HYPERLINK("https://www.773grp.com/manufacturer/renesas-electronics-america-inc?pageNo=876", "Renesas Electronics")</f>
        <v>Renesas Electronics</v>
      </c>
      <c r="C49807" s="6">
        <v>37500</v>
      </c>
      <c r="D49807" s="7">
        <v>8.2100000000000009</v>
      </c>
    </row>
    <row r="49808" spans="1:4" x14ac:dyDescent="0.25">
      <c r="A49808" t="str">
        <f>HYPERLINK("https://www.773grp.com/globalSearch/M5M5256DVP-70G#SE/page-1", "M5M5256DVP-70G#SE")</f>
        <v>M5M5256DVP-70G#SE</v>
      </c>
      <c r="B49808" s="3" t="str">
        <f>HYPERLINK("https://www.773grp.com/manufacturer/renesas-electronics-america-inc?pageNo=877", "Renesas Electronics")</f>
        <v>Renesas Electronics</v>
      </c>
      <c r="C49808" s="6">
        <v>60000</v>
      </c>
      <c r="D49808" s="7">
        <v>8.2799999999999994</v>
      </c>
    </row>
    <row r="49809" spans="1:4" x14ac:dyDescent="0.25">
      <c r="A49809" t="str">
        <f>HYPERLINK("https://www.773grp.com/globalSearch/2SK1157-E/page-1", "2SK1157-E")</f>
        <v>2SK1157-E</v>
      </c>
      <c r="B49809" s="3" t="str">
        <f>HYPERLINK("https://www.773grp.com/manufacturer/renesas-electronics-america-inc?pageNo=878", "Renesas Electronics")</f>
        <v>Renesas Electronics</v>
      </c>
      <c r="C49809" s="6">
        <v>339</v>
      </c>
      <c r="D49809" s="7">
        <v>8.3000000000000007</v>
      </c>
    </row>
    <row r="49810" spans="1:4" x14ac:dyDescent="0.25">
      <c r="A49810" t="str">
        <f>HYPERLINK("https://www.773grp.com/globalSearch/R5F212ACSDFA#U0/page-1", "R5F212ACSDFA#U0")</f>
        <v>R5F212ACSDFA#U0</v>
      </c>
      <c r="B49810" s="3" t="str">
        <f>HYPERLINK("https://www.773grp.com/manufacturer/renesas-electronics-america-inc?pageNo=879", "Renesas Electronics")</f>
        <v>Renesas Electronics</v>
      </c>
      <c r="C49810" s="6">
        <v>15</v>
      </c>
      <c r="D49810" s="7">
        <v>8.3000000000000007</v>
      </c>
    </row>
    <row r="49811" spans="1:4" x14ac:dyDescent="0.25">
      <c r="A49811" t="str">
        <f>HYPERLINK("https://www.773grp.com/globalSearch/RJL5014DPP-00#T2/page-1", "RJL5014DPP-00#T2")</f>
        <v>RJL5014DPP-00#T2</v>
      </c>
      <c r="B49811" s="3" t="str">
        <f>HYPERLINK("https://www.773grp.com/manufacturer/renesas-electronics-america-inc?pageNo=880", "Renesas Electronics")</f>
        <v>Renesas Electronics</v>
      </c>
      <c r="C49811" s="6">
        <v>788</v>
      </c>
      <c r="D49811" s="7">
        <v>8.3000000000000007</v>
      </c>
    </row>
    <row r="49812" spans="1:4" x14ac:dyDescent="0.25">
      <c r="A49812" t="str">
        <f>HYPERLINK("https://www.773grp.com/globalSearch/M5M51008DKV-55H#BT/page-1", "M5M51008DKV-55H#BT")</f>
        <v>M5M51008DKV-55H#BT</v>
      </c>
      <c r="B49812" s="3" t="str">
        <f>HYPERLINK("https://www.773grp.com/manufacturer/renesas-electronics-america-inc?pageNo=881", "Renesas Electronics")</f>
        <v>Renesas Electronics</v>
      </c>
      <c r="C49812" s="6">
        <v>3694</v>
      </c>
      <c r="D49812" s="7">
        <v>8.35</v>
      </c>
    </row>
    <row r="49813" spans="1:4" x14ac:dyDescent="0.25">
      <c r="A49813" t="str">
        <f>HYPERLINK("https://www.773grp.com/globalSearch/M5M51008DKV-55H#ST/page-1", "M5M51008DKV-55H#ST")</f>
        <v>M5M51008DKV-55H#ST</v>
      </c>
      <c r="B49813" s="3" t="str">
        <f>HYPERLINK("https://www.773grp.com/manufacturer/renesas-electronics-america-inc?pageNo=882", "Renesas Electronics")</f>
        <v>Renesas Electronics</v>
      </c>
      <c r="C49813" s="6">
        <v>5000</v>
      </c>
      <c r="D49813" s="7">
        <v>8.35</v>
      </c>
    </row>
    <row r="49814" spans="1:4" x14ac:dyDescent="0.25">
      <c r="A49814" t="str">
        <f>HYPERLINK("https://www.773grp.com/globalSearch/HA16150TELL-E/page-1", "HA16150TELL-E")</f>
        <v>HA16150TELL-E</v>
      </c>
      <c r="B49814" s="3" t="str">
        <f>HYPERLINK("https://www.773grp.com/manufacturer/renesas-electronics-america-inc?pageNo=883", "Renesas Electronics")</f>
        <v>Renesas Electronics</v>
      </c>
      <c r="C49814" s="6">
        <v>6000</v>
      </c>
      <c r="D49814" s="7">
        <v>8.39</v>
      </c>
    </row>
    <row r="49815" spans="1:4" x14ac:dyDescent="0.25">
      <c r="A49815" t="str">
        <f>HYPERLINK("https://www.773grp.com/globalSearch/R5F52108ADFN#V0/page-1", "R5F52108ADFN#V0")</f>
        <v>R5F52108ADFN#V0</v>
      </c>
      <c r="B49815" s="3" t="str">
        <f>HYPERLINK("https://www.773grp.com/manufacturer/renesas-electronics-america-inc?pageNo=884", "Renesas Electronics")</f>
        <v>Renesas Electronics</v>
      </c>
      <c r="C49815" s="6">
        <v>1244</v>
      </c>
      <c r="D49815" s="7">
        <v>8.39</v>
      </c>
    </row>
    <row r="49816" spans="1:4" x14ac:dyDescent="0.25">
      <c r="A49816" t="str">
        <f>HYPERLINK("https://www.773grp.com/globalSearch/M37542F8VFP/page-1", "M37542F8VFP")</f>
        <v>M37542F8VFP</v>
      </c>
      <c r="B49816" s="3" t="str">
        <f>HYPERLINK("https://www.773grp.com/manufacturer/renesas-electronics-america-inc?pageNo=885", "Renesas Electronics")</f>
        <v>Renesas Electronics</v>
      </c>
      <c r="C49816" s="6">
        <v>1250</v>
      </c>
      <c r="D49816" s="7">
        <v>8.44</v>
      </c>
    </row>
    <row r="49817" spans="1:4" x14ac:dyDescent="0.25">
      <c r="A49817" t="str">
        <f>HYPERLINK("https://www.773grp.com/globalSearch/M61528FP#T70G/page-1", "M61528FP#T70G")</f>
        <v>M61528FP#T70G</v>
      </c>
      <c r="B49817" s="3" t="str">
        <f>HYPERLINK("https://www.773grp.com/manufacturer/renesas-electronics-america-inc?pageNo=886", "Renesas Electronics")</f>
        <v>Renesas Electronics</v>
      </c>
      <c r="C49817" s="6">
        <v>448</v>
      </c>
      <c r="D49817" s="7">
        <v>8.44</v>
      </c>
    </row>
    <row r="49818" spans="1:4" x14ac:dyDescent="0.25">
      <c r="A49818" t="str">
        <f>HYPERLINK("https://www.773grp.com/globalSearch/RJP30H2DPK-M2#T0/page-1", "RJP30H2DPK-M2#T0")</f>
        <v>RJP30H2DPK-M2#T0</v>
      </c>
      <c r="B49818" s="3" t="str">
        <f>HYPERLINK("https://www.773grp.com/manufacturer/renesas-electronics-america-inc?pageNo=887", "Renesas Electronics")</f>
        <v>Renesas Electronics</v>
      </c>
      <c r="C49818" s="6">
        <v>18784</v>
      </c>
      <c r="D49818" s="7">
        <v>8.44</v>
      </c>
    </row>
    <row r="49819" spans="1:4" x14ac:dyDescent="0.25">
      <c r="A49819" t="str">
        <f>HYPERLINK("https://www.773grp.com/globalSearch/UPD431000AGZ-70LL-KJH-A/page-1", "UPD431000AGZ-70LL-KJH-A")</f>
        <v>UPD431000AGZ-70LL-KJH-A</v>
      </c>
      <c r="B49819" s="3" t="str">
        <f>HYPERLINK("https://www.773grp.com/manufacturer/renesas-electronics-america-inc?pageNo=888", "Renesas Electronics")</f>
        <v>Renesas Electronics</v>
      </c>
      <c r="C49819" s="6">
        <v>343346</v>
      </c>
      <c r="D49819" s="7">
        <v>8.44</v>
      </c>
    </row>
    <row r="49820" spans="1:4" x14ac:dyDescent="0.25">
      <c r="A49820" t="str">
        <f>HYPERLINK("https://www.773grp.com/globalSearch/UPD431000AGZ-70LL-KJH-E3-A/page-1", "UPD431000AGZ-70LL-KJH-E3-A")</f>
        <v>UPD431000AGZ-70LL-KJH-E3-A</v>
      </c>
      <c r="B49820" s="3" t="str">
        <f>HYPERLINK("https://www.773grp.com/manufacturer/renesas-electronics-america-inc?pageNo=889", "Renesas Electronics")</f>
        <v>Renesas Electronics</v>
      </c>
      <c r="C49820" s="6">
        <v>106000</v>
      </c>
      <c r="D49820" s="7">
        <v>8.44</v>
      </c>
    </row>
    <row r="49821" spans="1:4" x14ac:dyDescent="0.25">
      <c r="A49821" t="str">
        <f>HYPERLINK("https://www.773grp.com/globalSearch/UPD431000AGZ-70X-KJH-A/page-1", "UPD431000AGZ-70X-KJH-A")</f>
        <v>UPD431000AGZ-70X-KJH-A</v>
      </c>
      <c r="B49821" s="3" t="str">
        <f>HYPERLINK("https://www.773grp.com/manufacturer/renesas-electronics-america-inc?pageNo=890", "Renesas Electronics")</f>
        <v>Renesas Electronics</v>
      </c>
      <c r="C49821" s="6">
        <v>37861</v>
      </c>
      <c r="D49821" s="7">
        <v>8.44</v>
      </c>
    </row>
    <row r="49822" spans="1:4" x14ac:dyDescent="0.25">
      <c r="A49822" t="str">
        <f>HYPERLINK("https://www.773grp.com/globalSearch/M5M51008DKV-70HIBT/page-1", "M5M51008DKV-70HIBT")</f>
        <v>M5M51008DKV-70HIBT</v>
      </c>
      <c r="B49822" s="3" t="str">
        <f>HYPERLINK("https://www.773grp.com/manufacturer/renesas-electronics-america-inc?pageNo=891", "Renesas Electronics")</f>
        <v>Renesas Electronics</v>
      </c>
      <c r="C49822" s="6">
        <v>8998</v>
      </c>
      <c r="D49822" s="7">
        <v>8.49</v>
      </c>
    </row>
    <row r="49823" spans="1:4" x14ac:dyDescent="0.25">
      <c r="A49823" t="str">
        <f>HYPERLINK("https://www.773grp.com/globalSearch/1SZ52-AZ/page-1", "1SZ52-AZ")</f>
        <v>1SZ52-AZ</v>
      </c>
      <c r="B49823" s="3" t="str">
        <f>HYPERLINK("https://www.773grp.com/manufacturer/renesas-electronics-america-inc?pageNo=892", "Renesas Electronics")</f>
        <v>Renesas Electronics</v>
      </c>
      <c r="C49823" s="6">
        <v>86773</v>
      </c>
      <c r="D49823" s="7">
        <v>8.5299999999999994</v>
      </c>
    </row>
    <row r="49824" spans="1:4" x14ac:dyDescent="0.25">
      <c r="A49824" t="str">
        <f>HYPERLINK("https://www.773grp.com/globalSearch/M62370GP#DF1T/page-1", "M62370GP#DF1T")</f>
        <v>M62370GP#DF1T</v>
      </c>
      <c r="B49824" s="3" t="str">
        <f>HYPERLINK("https://www.773grp.com/manufacturer/renesas-electronics-america-inc?pageNo=893", "Renesas Electronics")</f>
        <v>Renesas Electronics</v>
      </c>
      <c r="C49824" s="6">
        <v>33000</v>
      </c>
      <c r="D49824" s="7">
        <v>8.5299999999999994</v>
      </c>
    </row>
    <row r="49825" spans="1:4" x14ac:dyDescent="0.25">
      <c r="A49825" t="str">
        <f>HYPERLINK("https://www.773grp.com/globalSearch/M66592UG#RF0Z/page-1", "M66592UG#RF0Z")</f>
        <v>M66592UG#RF0Z</v>
      </c>
      <c r="B49825" s="3" t="str">
        <f>HYPERLINK("https://www.773grp.com/manufacturer/renesas-electronics-america-inc?pageNo=894", "Renesas Electronics")</f>
        <v>Renesas Electronics</v>
      </c>
      <c r="C49825" s="6">
        <v>11605</v>
      </c>
      <c r="D49825" s="7">
        <v>8.5500000000000007</v>
      </c>
    </row>
    <row r="49826" spans="1:4" x14ac:dyDescent="0.25">
      <c r="A49826" t="str">
        <f>HYPERLINK("https://www.773grp.com/globalSearch/RJP3049DPK-80#T2/page-1", "RJP3049DPK-80#T2")</f>
        <v>RJP3049DPK-80#T2</v>
      </c>
      <c r="B49826" s="3" t="str">
        <f>HYPERLINK("https://www.773grp.com/manufacturer/renesas-electronics-america-inc?pageNo=1", "Renesas Electronics")</f>
        <v>Renesas Electronics</v>
      </c>
      <c r="C49826" s="6">
        <v>330</v>
      </c>
      <c r="D49826" s="7">
        <v>8.5500000000000007</v>
      </c>
    </row>
    <row r="49827" spans="1:4" x14ac:dyDescent="0.25">
      <c r="A49827" t="str">
        <f>HYPERLINK("https://www.773grp.com/globalSearch/2SB1079-E/page-1", "2SB1079-E")</f>
        <v>2SB1079-E</v>
      </c>
      <c r="B49827" s="3" t="str">
        <f>HYPERLINK("https://www.773grp.com/manufacturer/renesas-electronics-america-inc?pageNo=2", "Renesas Electronics")</f>
        <v>Renesas Electronics</v>
      </c>
      <c r="C49827" s="6">
        <v>86</v>
      </c>
      <c r="D49827" s="7">
        <v>8.58</v>
      </c>
    </row>
    <row r="49828" spans="1:4" x14ac:dyDescent="0.25">
      <c r="A49828" t="str">
        <f>HYPERLINK("https://www.773grp.com/globalSearch/R5F212ACSYFP#U0/page-1", "R5F212ACSYFP#U0")</f>
        <v>R5F212ACSYFP#U0</v>
      </c>
      <c r="B49828" s="3" t="str">
        <f>HYPERLINK("https://www.773grp.com/manufacturer/renesas-electronics-america-inc?pageNo=3", "Renesas Electronics")</f>
        <v>Renesas Electronics</v>
      </c>
      <c r="C49828" s="6">
        <v>328</v>
      </c>
      <c r="D49828" s="7">
        <v>8.58</v>
      </c>
    </row>
    <row r="49829" spans="1:4" x14ac:dyDescent="0.25">
      <c r="A49829" t="str">
        <f>HYPERLINK("https://www.773grp.com/globalSearch/FX30KMJ-3#B00/page-1", "FX30KMJ-3#B00")</f>
        <v>FX30KMJ-3#B00</v>
      </c>
      <c r="B49829" s="3" t="str">
        <f>HYPERLINK("https://www.773grp.com/manufacturer/renesas-electronics-america-inc?pageNo=4", "Renesas Electronics")</f>
        <v>Renesas Electronics</v>
      </c>
      <c r="C49829" s="6">
        <v>2526</v>
      </c>
      <c r="D49829" s="7">
        <v>8.61</v>
      </c>
    </row>
    <row r="49830" spans="1:4" x14ac:dyDescent="0.25">
      <c r="A49830" t="str">
        <f>HYPERLINK("https://www.773grp.com/globalSearch/UPD78F0124HGB(A)-8ET-E3/page-1", "UPD78F0124HGB(A)-8ET-E3")</f>
        <v>UPD78F0124HGB(A)-8ET-E3</v>
      </c>
      <c r="B49830" s="3" t="str">
        <f>HYPERLINK("https://www.773grp.com/manufacturer/renesas-electronics-america-inc?pageNo=5", "Renesas Electronics")</f>
        <v>Renesas Electronics</v>
      </c>
      <c r="C49830" s="6">
        <v>2000</v>
      </c>
      <c r="D49830" s="7">
        <v>8.61</v>
      </c>
    </row>
    <row r="49831" spans="1:4" x14ac:dyDescent="0.25">
      <c r="A49831" t="str">
        <f>HYPERLINK("https://www.773grp.com/globalSearch/RJK60S5DPE-00#J3/page-1", "RJK60S5DPE-00#J3")</f>
        <v>RJK60S5DPE-00#J3</v>
      </c>
      <c r="B49831" s="3" t="str">
        <f>HYPERLINK("https://www.773grp.com/manufacturer/renesas-electronics-america-inc?pageNo=6", "Renesas Electronics")</f>
        <v>Renesas Electronics</v>
      </c>
      <c r="C49831" s="6">
        <v>40000</v>
      </c>
      <c r="D49831" s="7">
        <v>8.66</v>
      </c>
    </row>
    <row r="49832" spans="1:4" x14ac:dyDescent="0.25">
      <c r="A49832" t="str">
        <f>HYPERLINK("https://www.773grp.com/globalSearch/UPA1500BH(1)-AZ/page-1", "UPA1500BH(1)-AZ")</f>
        <v>UPA1500BH(1)-AZ</v>
      </c>
      <c r="B49832" s="3" t="str">
        <f>HYPERLINK("https://www.773grp.com/manufacturer/renesas-electronics-america-inc?pageNo=7", "Renesas Electronics")</f>
        <v>Renesas Electronics</v>
      </c>
      <c r="C49832" s="6">
        <v>89</v>
      </c>
      <c r="D49832" s="7">
        <v>8.66</v>
      </c>
    </row>
    <row r="49833" spans="1:4" x14ac:dyDescent="0.25">
      <c r="A49833" t="str">
        <f>HYPERLINK("https://www.773grp.com/globalSearch/R5F212BCSDFA#U0/page-1", "R5F212BCSDFA#U0")</f>
        <v>R5F212BCSDFA#U0</v>
      </c>
      <c r="B49833" s="3" t="str">
        <f>HYPERLINK("https://www.773grp.com/manufacturer/renesas-electronics-america-inc?pageNo=8", "Renesas Electronics")</f>
        <v>Renesas Electronics</v>
      </c>
      <c r="C49833" s="6">
        <v>38</v>
      </c>
      <c r="D49833" s="7">
        <v>8.74</v>
      </c>
    </row>
    <row r="49834" spans="1:4" x14ac:dyDescent="0.25">
      <c r="A49834" t="str">
        <f>HYPERLINK("https://www.773grp.com/globalSearch/M38049FFHHP#W4/page-1", "M38049FFHHP#W4")</f>
        <v>M38049FFHHP#W4</v>
      </c>
      <c r="B49834" s="3" t="str">
        <f>HYPERLINK("https://www.773grp.com/manufacturer/renesas-electronics-america-inc?pageNo=9", "Renesas Electronics")</f>
        <v>Renesas Electronics</v>
      </c>
      <c r="C49834" s="6">
        <v>1500</v>
      </c>
      <c r="D49834" s="7">
        <v>8.7799999999999994</v>
      </c>
    </row>
    <row r="49835" spans="1:4" x14ac:dyDescent="0.25">
      <c r="A49835" t="str">
        <f>HYPERLINK("https://www.773grp.com/globalSearch/M56713FP#RF0G/page-1", "M56713FP#RF0G")</f>
        <v>M56713FP#RF0G</v>
      </c>
      <c r="B49835" s="3" t="str">
        <f>HYPERLINK("https://www.773grp.com/manufacturer/renesas-electronics-america-inc?pageNo=10", "Renesas Electronics")</f>
        <v>Renesas Electronics</v>
      </c>
      <c r="C49835" s="6">
        <v>1074</v>
      </c>
      <c r="D49835" s="7">
        <v>8.91</v>
      </c>
    </row>
    <row r="49836" spans="1:4" x14ac:dyDescent="0.25">
      <c r="A49836" t="str">
        <f>HYPERLINK("https://www.773grp.com/globalSearch/M59310L/page-1", "M59310L")</f>
        <v>M59310L</v>
      </c>
      <c r="B49836" s="3" t="str">
        <f>HYPERLINK("https://www.773grp.com/manufacturer/renesas-electronics-america-inc?pageNo=11", "Renesas Electronics")</f>
        <v>Renesas Electronics</v>
      </c>
      <c r="C49836" s="6">
        <v>3939</v>
      </c>
      <c r="D49836" s="7">
        <v>8.91</v>
      </c>
    </row>
    <row r="49837" spans="1:4" x14ac:dyDescent="0.25">
      <c r="A49837" t="str">
        <f>HYPERLINK("https://www.773grp.com/globalSearch/UPA1559H(1)-AZ/page-1", "UPA1559H(1)-AZ")</f>
        <v>UPA1559H(1)-AZ</v>
      </c>
      <c r="B49837" s="3" t="str">
        <f>HYPERLINK("https://www.773grp.com/manufacturer/renesas-electronics-america-inc?pageNo=12", "Renesas Electronics")</f>
        <v>Renesas Electronics</v>
      </c>
      <c r="C49837" s="6">
        <v>9102</v>
      </c>
      <c r="D49837" s="7">
        <v>8.9499999999999993</v>
      </c>
    </row>
    <row r="49838" spans="1:4" x14ac:dyDescent="0.25">
      <c r="A49838" t="str">
        <f>HYPERLINK("https://www.773grp.com/globalSearch/UPA1559H(2)-AZ/page-1", "UPA1559H(2)-AZ")</f>
        <v>UPA1559H(2)-AZ</v>
      </c>
      <c r="B49838" s="3" t="str">
        <f>HYPERLINK("https://www.773grp.com/manufacturer/renesas-electronics-america-inc?pageNo=13", "Renesas Electronics")</f>
        <v>Renesas Electronics</v>
      </c>
      <c r="C49838" s="6">
        <v>2719</v>
      </c>
      <c r="D49838" s="7">
        <v>8.9499999999999993</v>
      </c>
    </row>
    <row r="49839" spans="1:4" x14ac:dyDescent="0.25">
      <c r="A49839" t="str">
        <f>HYPERLINK("https://www.773grp.com/globalSearch/2SK1123-A/page-1", "2SK1123-A")</f>
        <v>2SK1123-A</v>
      </c>
      <c r="B49839" s="3" t="str">
        <f>HYPERLINK("https://www.773grp.com/manufacturer/renesas-electronics-america-inc?pageNo=14", "Renesas Electronics")</f>
        <v>Renesas Electronics</v>
      </c>
      <c r="C49839" s="6">
        <v>500</v>
      </c>
      <c r="D49839" s="7">
        <v>8.98</v>
      </c>
    </row>
    <row r="49840" spans="1:4" x14ac:dyDescent="0.25">
      <c r="A49840" t="str">
        <f>HYPERLINK("https://www.773grp.com/globalSearch/R5R0C088AFP#U0/page-1", "R5R0C088AFP#U0")</f>
        <v>R5R0C088AFP#U0</v>
      </c>
      <c r="B49840" s="3" t="str">
        <f>HYPERLINK("https://www.773grp.com/manufacturer/renesas-electronics-america-inc?pageNo=15", "Renesas Electronics")</f>
        <v>Renesas Electronics</v>
      </c>
      <c r="C49840" s="6">
        <v>824</v>
      </c>
      <c r="D49840" s="7">
        <v>8.98</v>
      </c>
    </row>
    <row r="49841" spans="1:4" x14ac:dyDescent="0.25">
      <c r="A49841" t="str">
        <f>HYPERLINK("https://www.773grp.com/globalSearch/FS70SM-2#201/page-1", "FS70SM-2#201")</f>
        <v>FS70SM-2#201</v>
      </c>
      <c r="B49841" s="3" t="str">
        <f>HYPERLINK("https://www.773grp.com/manufacturer/renesas-electronics-america-inc?pageNo=16", "Renesas Electronics")</f>
        <v>Renesas Electronics</v>
      </c>
      <c r="C49841" s="6">
        <v>3105</v>
      </c>
      <c r="D49841" s="7">
        <v>9</v>
      </c>
    </row>
    <row r="49842" spans="1:4" x14ac:dyDescent="0.25">
      <c r="A49842" t="str">
        <f>HYPERLINK("https://www.773grp.com/globalSearch/M65857FP#TF0G/page-1", "M65857FP#TF0G")</f>
        <v>M65857FP#TF0G</v>
      </c>
      <c r="B49842" s="3" t="str">
        <f>HYPERLINK("https://www.773grp.com/manufacturer/renesas-electronics-america-inc?pageNo=17", "Renesas Electronics")</f>
        <v>Renesas Electronics</v>
      </c>
      <c r="C49842" s="6">
        <v>825</v>
      </c>
      <c r="D49842" s="7">
        <v>9</v>
      </c>
    </row>
    <row r="49843" spans="1:4" x14ac:dyDescent="0.25">
      <c r="A49843" t="str">
        <f>HYPERLINK("https://www.773grp.com/globalSearch/HD64F3670FY/page-1", "HD64F3670FY")</f>
        <v>HD64F3670FY</v>
      </c>
      <c r="B49843" s="3" t="str">
        <f>HYPERLINK("https://www.773grp.com/manufacturer/renesas-electronics-america-inc?pageNo=18", "Renesas Electronics")</f>
        <v>Renesas Electronics</v>
      </c>
      <c r="C49843" s="6">
        <v>94</v>
      </c>
      <c r="D49843" s="7">
        <v>9.0299999999999994</v>
      </c>
    </row>
    <row r="49844" spans="1:4" x14ac:dyDescent="0.25">
      <c r="A49844" t="str">
        <f>HYPERLINK("https://www.773grp.com/globalSearch/M38039FFHFP/page-1", "M38039FFHFP")</f>
        <v>M38039FFHFP</v>
      </c>
      <c r="B49844" s="3" t="str">
        <f>HYPERLINK("https://www.773grp.com/manufacturer/renesas-electronics-america-inc?pageNo=19", "Renesas Electronics")</f>
        <v>Renesas Electronics</v>
      </c>
      <c r="C49844" s="6">
        <v>3343</v>
      </c>
      <c r="D49844" s="7">
        <v>9.06</v>
      </c>
    </row>
    <row r="49845" spans="1:4" x14ac:dyDescent="0.25">
      <c r="A49845" t="str">
        <f>HYPERLINK("https://www.773grp.com/globalSearch/M66256FP#281/page-1", "M66256FP#281")</f>
        <v>M66256FP#281</v>
      </c>
      <c r="B49845" s="3" t="str">
        <f>HYPERLINK("https://www.773grp.com/manufacturer/renesas-electronics-america-inc?pageNo=20", "Renesas Electronics")</f>
        <v>Renesas Electronics</v>
      </c>
      <c r="C49845" s="6">
        <v>467</v>
      </c>
      <c r="D49845" s="7">
        <v>9.06</v>
      </c>
    </row>
    <row r="49846" spans="1:4" x14ac:dyDescent="0.25">
      <c r="A49846" t="str">
        <f>HYPERLINK("https://www.773grp.com/globalSearch/R5F212CCSYFP#U0/page-1", "R5F212CCSYFP#U0")</f>
        <v>R5F212CCSYFP#U0</v>
      </c>
      <c r="B49846" s="3" t="str">
        <f>HYPERLINK("https://www.773grp.com/manufacturer/renesas-electronics-america-inc?pageNo=21", "Renesas Electronics")</f>
        <v>Renesas Electronics</v>
      </c>
      <c r="C49846" s="6">
        <v>92</v>
      </c>
      <c r="D49846" s="7">
        <v>9.08</v>
      </c>
    </row>
    <row r="49847" spans="1:4" x14ac:dyDescent="0.25">
      <c r="A49847" t="str">
        <f>HYPERLINK("https://www.773grp.com/globalSearch/R5F21336CDFP#U0/page-1", "R5F21336CDFP#U0")</f>
        <v>R5F21336CDFP#U0</v>
      </c>
      <c r="B49847" s="3" t="str">
        <f>HYPERLINK("https://www.773grp.com/manufacturer/renesas-electronics-america-inc?pageNo=22", "Renesas Electronics")</f>
        <v>Renesas Electronics</v>
      </c>
      <c r="C49847" s="6">
        <v>385</v>
      </c>
      <c r="D49847" s="7">
        <v>9.08</v>
      </c>
    </row>
    <row r="49848" spans="1:4" x14ac:dyDescent="0.25">
      <c r="A49848" t="str">
        <f>HYPERLINK("https://www.773grp.com/globalSearch/R5F562T6DDFF#V0/page-1", "R5F562T6DDFF#V0")</f>
        <v>R5F562T6DDFF#V0</v>
      </c>
      <c r="B49848" s="3" t="str">
        <f>HYPERLINK("https://www.773grp.com/manufacturer/renesas-electronics-america-inc?pageNo=23", "Renesas Electronics")</f>
        <v>Renesas Electronics</v>
      </c>
      <c r="C49848" s="6">
        <v>294</v>
      </c>
      <c r="D49848" s="7">
        <v>9.11</v>
      </c>
    </row>
    <row r="49849" spans="1:4" x14ac:dyDescent="0.25">
      <c r="A49849" t="str">
        <f>HYPERLINK("https://www.773grp.com/globalSearch/M61571BFP#DF0T/page-1", "M61571BFP#DF0T")</f>
        <v>M61571BFP#DF0T</v>
      </c>
      <c r="B49849" s="3" t="str">
        <f>HYPERLINK("https://www.773grp.com/manufacturer/renesas-electronics-america-inc?pageNo=24", "Renesas Electronics")</f>
        <v>Renesas Electronics</v>
      </c>
      <c r="C49849" s="6">
        <v>22000</v>
      </c>
      <c r="D49849" s="7">
        <v>9.15</v>
      </c>
    </row>
    <row r="49850" spans="1:4" x14ac:dyDescent="0.25">
      <c r="A49850" t="str">
        <f>HYPERLINK("https://www.773grp.com/globalSearch/R5F212BCSDFP#U0/page-1", "R5F212BCSDFP#U0")</f>
        <v>R5F212BCSDFP#U0</v>
      </c>
      <c r="B49850" s="3" t="str">
        <f>HYPERLINK("https://www.773grp.com/manufacturer/renesas-electronics-america-inc?pageNo=25", "Renesas Electronics")</f>
        <v>Renesas Electronics</v>
      </c>
      <c r="C49850" s="6">
        <v>33</v>
      </c>
      <c r="D49850" s="7">
        <v>9.15</v>
      </c>
    </row>
    <row r="49851" spans="1:4" x14ac:dyDescent="0.25">
      <c r="A49851" t="str">
        <f>HYPERLINK("https://www.773grp.com/globalSearch/HD4074344FP/page-1", "HD4074344FP")</f>
        <v>HD4074344FP</v>
      </c>
      <c r="B49851" s="3" t="str">
        <f>HYPERLINK("https://www.773grp.com/manufacturer/renesas-electronics-america-inc?pageNo=26", "Renesas Electronics")</f>
        <v>Renesas Electronics</v>
      </c>
      <c r="C49851" s="6">
        <v>173</v>
      </c>
      <c r="D49851" s="7">
        <v>9.16</v>
      </c>
    </row>
    <row r="49852" spans="1:4" x14ac:dyDescent="0.25">
      <c r="A49852" t="str">
        <f>HYPERLINK("https://www.773grp.com/globalSearch/HD4074344S/page-1", "HD4074344S")</f>
        <v>HD4074344S</v>
      </c>
      <c r="B49852" s="3" t="str">
        <f>HYPERLINK("https://www.773grp.com/manufacturer/renesas-electronics-america-inc?pageNo=27", "Renesas Electronics")</f>
        <v>Renesas Electronics</v>
      </c>
      <c r="C49852" s="6">
        <v>338</v>
      </c>
      <c r="D49852" s="7">
        <v>9.16</v>
      </c>
    </row>
    <row r="49853" spans="1:4" x14ac:dyDescent="0.25">
      <c r="A49853" t="str">
        <f>HYPERLINK("https://www.773grp.com/globalSearch/HD4074344SV/page-1", "HD4074344SV")</f>
        <v>HD4074344SV</v>
      </c>
      <c r="B49853" s="3" t="str">
        <f>HYPERLINK("https://www.773grp.com/manufacturer/renesas-electronics-america-inc?pageNo=28", "Renesas Electronics")</f>
        <v>Renesas Electronics</v>
      </c>
      <c r="C49853" s="6">
        <v>88</v>
      </c>
      <c r="D49853" s="7">
        <v>9.16</v>
      </c>
    </row>
    <row r="49854" spans="1:4" x14ac:dyDescent="0.25">
      <c r="A49854" t="str">
        <f>HYPERLINK("https://www.773grp.com/globalSearch/R5F2L368BNFP#V2/page-1", "R5F2L368BNFP#V2")</f>
        <v>R5F2L368BNFP#V2</v>
      </c>
      <c r="B49854" s="3" t="str">
        <f>HYPERLINK("https://www.773grp.com/manufacturer/renesas-electronics-america-inc?pageNo=29", "Renesas Electronics")</f>
        <v>Renesas Electronics</v>
      </c>
      <c r="C49854" s="6">
        <v>2694</v>
      </c>
      <c r="D49854" s="7">
        <v>9.23</v>
      </c>
    </row>
    <row r="49855" spans="1:4" x14ac:dyDescent="0.25">
      <c r="A49855" t="str">
        <f>HYPERLINK("https://www.773grp.com/globalSearch/M38507F8FP#U1/page-1", "M38507F8FP#U1")</f>
        <v>M38507F8FP#U1</v>
      </c>
      <c r="B49855" s="3" t="str">
        <f>HYPERLINK("https://www.773grp.com/manufacturer/renesas-electronics-america-inc?pageNo=30", "Renesas Electronics")</f>
        <v>Renesas Electronics</v>
      </c>
      <c r="C49855" s="6">
        <v>4571</v>
      </c>
      <c r="D49855" s="7">
        <v>9.2899999999999991</v>
      </c>
    </row>
    <row r="49856" spans="1:4" x14ac:dyDescent="0.25">
      <c r="A49856" t="str">
        <f>HYPERLINK("https://www.773grp.com/globalSearch/BCR8PM20LP/page-1", "BCR8PM20LP")</f>
        <v>BCR8PM20LP</v>
      </c>
      <c r="B49856" s="3" t="str">
        <f>HYPERLINK("https://www.773grp.com/manufacturer/renesas-electronics-america-inc?pageNo=31", "Renesas Electronics")</f>
        <v>Renesas Electronics</v>
      </c>
      <c r="C49856" s="6">
        <v>19270</v>
      </c>
      <c r="D49856" s="7">
        <v>9.31</v>
      </c>
    </row>
    <row r="49857" spans="1:4" x14ac:dyDescent="0.25">
      <c r="A49857" t="str">
        <f>HYPERLINK("https://www.773grp.com/globalSearch/1SZ47-AZ/page-1", "1SZ47-AZ")</f>
        <v>1SZ47-AZ</v>
      </c>
      <c r="B49857" s="3" t="str">
        <f>HYPERLINK("https://www.773grp.com/manufacturer/renesas-electronics-america-inc?pageNo=32", "Renesas Electronics")</f>
        <v>Renesas Electronics</v>
      </c>
      <c r="C49857" s="6">
        <v>50</v>
      </c>
      <c r="D49857" s="7">
        <v>9.34</v>
      </c>
    </row>
    <row r="49858" spans="1:4" x14ac:dyDescent="0.25">
      <c r="A49858" t="str">
        <f>HYPERLINK("https://www.773grp.com/globalSearch/2SJ216-E/page-1", "2SJ216-E")</f>
        <v>2SJ216-E</v>
      </c>
      <c r="B49858" s="3" t="str">
        <f>HYPERLINK("https://www.773grp.com/manufacturer/renesas-electronics-america-inc?pageNo=33", "Renesas Electronics")</f>
        <v>Renesas Electronics</v>
      </c>
      <c r="C49858" s="6">
        <v>23715</v>
      </c>
      <c r="D49858" s="7">
        <v>9.41</v>
      </c>
    </row>
    <row r="49859" spans="1:4" x14ac:dyDescent="0.25">
      <c r="A49859" t="str">
        <f>HYPERLINK("https://www.773grp.com/globalSearch/2SK1636STR-E/page-1", "2SK1636STR-E")</f>
        <v>2SK1636STR-E</v>
      </c>
      <c r="B49859" s="3" t="str">
        <f>HYPERLINK("https://www.773grp.com/manufacturer/renesas-electronics-america-inc?pageNo=34", "Renesas Electronics")</f>
        <v>Renesas Electronics</v>
      </c>
      <c r="C49859" s="6">
        <v>1000</v>
      </c>
      <c r="D49859" s="7">
        <v>9.49</v>
      </c>
    </row>
    <row r="49860" spans="1:4" x14ac:dyDescent="0.25">
      <c r="A49860" t="str">
        <f>HYPERLINK("https://www.773grp.com/globalSearch/M5M51008DRV-70HIST/page-1", "M5M51008DRV-70HIST")</f>
        <v>M5M51008DRV-70HIST</v>
      </c>
      <c r="B49860" s="3" t="str">
        <f>HYPERLINK("https://www.773grp.com/manufacturer/renesas-electronics-america-inc?pageNo=35", "Renesas Electronics")</f>
        <v>Renesas Electronics</v>
      </c>
      <c r="C49860" s="6">
        <v>8000</v>
      </c>
      <c r="D49860" s="7">
        <v>9.49</v>
      </c>
    </row>
    <row r="49861" spans="1:4" x14ac:dyDescent="0.25">
      <c r="A49861" t="str">
        <f>HYPERLINK("https://www.773grp.com/globalSearch/R2J30516LG#W3/page-1", "R2J30516LG#W3")</f>
        <v>R2J30516LG#W3</v>
      </c>
      <c r="B49861" s="3" t="str">
        <f>HYPERLINK("https://www.773grp.com/manufacturer/renesas-electronics-america-inc?pageNo=36", "Renesas Electronics")</f>
        <v>Renesas Electronics</v>
      </c>
      <c r="C49861" s="6">
        <v>232500</v>
      </c>
      <c r="D49861" s="7">
        <v>9.5399999999999991</v>
      </c>
    </row>
    <row r="49862" spans="1:4" x14ac:dyDescent="0.25">
      <c r="A49862" t="str">
        <f>HYPERLINK("https://www.773grp.com/globalSearch/M5M5256DFP-55LL#SM/page-1", "M5M5256DFP-55LL#SM")</f>
        <v>M5M5256DFP-55LL#SM</v>
      </c>
      <c r="B49862" s="3" t="str">
        <f>HYPERLINK("https://www.773grp.com/manufacturer/renesas-electronics-america-inc?pageNo=37", "Renesas Electronics")</f>
        <v>Renesas Electronics</v>
      </c>
      <c r="C49862" s="6">
        <v>81000</v>
      </c>
      <c r="D49862" s="7">
        <v>9.56</v>
      </c>
    </row>
    <row r="49863" spans="1:4" x14ac:dyDescent="0.25">
      <c r="A49863" t="str">
        <f>HYPERLINK("https://www.773grp.com/globalSearch/M5M5256DFP-55XL#BM/page-1", "M5M5256DFP-55XL#BM")</f>
        <v>M5M5256DFP-55XL#BM</v>
      </c>
      <c r="B49863" s="3" t="str">
        <f>HYPERLINK("https://www.773grp.com/manufacturer/renesas-electronics-america-inc?pageNo=38", "Renesas Electronics")</f>
        <v>Renesas Electronics</v>
      </c>
      <c r="C49863" s="6">
        <v>8798</v>
      </c>
      <c r="D49863" s="7">
        <v>9.56</v>
      </c>
    </row>
    <row r="49864" spans="1:4" x14ac:dyDescent="0.25">
      <c r="A49864" t="str">
        <f>HYPERLINK("https://www.773grp.com/globalSearch/M5M5256DFP-55XL#SM/page-1", "M5M5256DFP-55XL#SM")</f>
        <v>M5M5256DFP-55XL#SM</v>
      </c>
      <c r="B49864" s="3" t="str">
        <f>HYPERLINK("https://www.773grp.com/manufacturer/renesas-electronics-america-inc?pageNo=39", "Renesas Electronics")</f>
        <v>Renesas Electronics</v>
      </c>
      <c r="C49864" s="6">
        <v>15000</v>
      </c>
      <c r="D49864" s="7">
        <v>9.56</v>
      </c>
    </row>
    <row r="49865" spans="1:4" x14ac:dyDescent="0.25">
      <c r="A49865" t="str">
        <f>HYPERLINK("https://www.773grp.com/globalSearch/M66258FP#TF0T/page-1", "M66258FP#TF0T")</f>
        <v>M66258FP#TF0T</v>
      </c>
      <c r="B49865" s="3" t="str">
        <f>HYPERLINK("https://www.773grp.com/manufacturer/renesas-electronics-america-inc?pageNo=40", "Renesas Electronics")</f>
        <v>Renesas Electronics</v>
      </c>
      <c r="C49865" s="6">
        <v>692</v>
      </c>
      <c r="D49865" s="7">
        <v>9.56</v>
      </c>
    </row>
    <row r="49866" spans="1:4" x14ac:dyDescent="0.25">
      <c r="A49866" t="str">
        <f>HYPERLINK("https://www.773grp.com/globalSearch/RJP4301APP-50#T2/page-1", "RJP4301APP-50#T2")</f>
        <v>RJP4301APP-50#T2</v>
      </c>
      <c r="B49866" s="3" t="str">
        <f>HYPERLINK("https://www.773grp.com/manufacturer/renesas-electronics-america-inc?pageNo=41", "Renesas Electronics")</f>
        <v>Renesas Electronics</v>
      </c>
      <c r="C49866" s="6">
        <v>691</v>
      </c>
      <c r="D49866" s="7">
        <v>9.56</v>
      </c>
    </row>
    <row r="49867" spans="1:4" x14ac:dyDescent="0.25">
      <c r="A49867" t="str">
        <f>HYPERLINK("https://www.773grp.com/globalSearch/R5F2L3ACBNFP#U1/page-1", "R5F2L3ACBNFP#U1")</f>
        <v>R5F2L3ACBNFP#U1</v>
      </c>
      <c r="B49867" s="3" t="str">
        <f>HYPERLINK("https://www.773grp.com/manufacturer/renesas-electronics-america-inc?pageNo=42", "Renesas Electronics")</f>
        <v>Renesas Electronics</v>
      </c>
      <c r="C49867" s="6">
        <v>4273</v>
      </c>
      <c r="D49867" s="7">
        <v>9.59</v>
      </c>
    </row>
    <row r="49868" spans="1:4" x14ac:dyDescent="0.25">
      <c r="A49868" t="str">
        <f>HYPERLINK("https://www.773grp.com/globalSearch/R5F562TADDFM#V0/page-1", "R5F562TADDFM#V0")</f>
        <v>R5F562TADDFM#V0</v>
      </c>
      <c r="B49868" s="3" t="str">
        <f>HYPERLINK("https://www.773grp.com/manufacturer/renesas-electronics-america-inc?pageNo=43", "Renesas Electronics")</f>
        <v>Renesas Electronics</v>
      </c>
      <c r="C49868" s="6">
        <v>2120</v>
      </c>
      <c r="D49868" s="7">
        <v>9.65</v>
      </c>
    </row>
    <row r="49869" spans="1:4" x14ac:dyDescent="0.25">
      <c r="A49869" t="str">
        <f>HYPERLINK("https://www.773grp.com/globalSearch/FS70KM-2#B00/page-1", "FS70KM-2#B00")</f>
        <v>FS70KM-2#B00</v>
      </c>
      <c r="B49869" s="3" t="str">
        <f>HYPERLINK("https://www.773grp.com/manufacturer/renesas-electronics-america-inc?pageNo=44", "Renesas Electronics")</f>
        <v>Renesas Electronics</v>
      </c>
      <c r="C49869" s="6">
        <v>4243</v>
      </c>
      <c r="D49869" s="7">
        <v>9.68</v>
      </c>
    </row>
    <row r="49870" spans="1:4" x14ac:dyDescent="0.25">
      <c r="A49870" t="str">
        <f>HYPERLINK("https://www.773grp.com/globalSearch/M62298FP#DF0T/page-1", "M62298FP#DF0T")</f>
        <v>M62298FP#DF0T</v>
      </c>
      <c r="B49870" s="3" t="str">
        <f>HYPERLINK("https://www.773grp.com/manufacturer/renesas-electronics-america-inc?pageNo=45", "Renesas Electronics")</f>
        <v>Renesas Electronics</v>
      </c>
      <c r="C49870" s="6">
        <v>3000</v>
      </c>
      <c r="D49870" s="7">
        <v>9.6999999999999993</v>
      </c>
    </row>
    <row r="49871" spans="1:4" x14ac:dyDescent="0.25">
      <c r="A49871" t="str">
        <f>HYPERLINK("https://www.773grp.com/globalSearch/HA17903FPJ-E/page-1", "HA17903FPJ-E")</f>
        <v>HA17903FPJ-E</v>
      </c>
      <c r="B49871" s="3" t="str">
        <f>HYPERLINK("https://www.773grp.com/manufacturer/renesas-electronics-america-inc?pageNo=46", "Renesas Electronics")</f>
        <v>Renesas Electronics</v>
      </c>
      <c r="C49871" s="6">
        <v>3000</v>
      </c>
      <c r="D49871" s="7">
        <v>9.75</v>
      </c>
    </row>
    <row r="49872" spans="1:4" x14ac:dyDescent="0.25">
      <c r="A49872" t="str">
        <f>HYPERLINK("https://www.773grp.com/globalSearch/M5M51008DVP-55HIBT/page-1", "M5M51008DVP-55HIBT")</f>
        <v>M5M51008DVP-55HIBT</v>
      </c>
      <c r="B49872" s="3" t="str">
        <f>HYPERLINK("https://www.773grp.com/manufacturer/renesas-electronics-america-inc?pageNo=47", "Renesas Electronics")</f>
        <v>Renesas Electronics</v>
      </c>
      <c r="C49872" s="6">
        <v>8904</v>
      </c>
      <c r="D49872" s="7">
        <v>9.7899999999999991</v>
      </c>
    </row>
    <row r="49873" spans="1:4" x14ac:dyDescent="0.25">
      <c r="A49873" t="str">
        <f>HYPERLINK("https://www.773grp.com/globalSearch/R5F562T7DDFP#V0/page-1", "R5F562T7DDFP#V0")</f>
        <v>R5F562T7DDFP#V0</v>
      </c>
      <c r="B49873" s="3" t="str">
        <f>HYPERLINK("https://www.773grp.com/manufacturer/renesas-electronics-america-inc?pageNo=48", "Renesas Electronics")</f>
        <v>Renesas Electronics</v>
      </c>
      <c r="C49873" s="6">
        <v>447</v>
      </c>
      <c r="D49873" s="7">
        <v>9.7899999999999991</v>
      </c>
    </row>
    <row r="49874" spans="1:4" x14ac:dyDescent="0.25">
      <c r="A49874" t="str">
        <f>HYPERLINK("https://www.773grp.com/globalSearch/R1LV0208BSA-5SR#B0/page-1", "R1LV0208BSA-5SR#B0")</f>
        <v>R1LV0208BSA-5SR#B0</v>
      </c>
      <c r="B49874" s="3" t="str">
        <f>HYPERLINK("https://www.773grp.com/manufacturer/renesas-electronics-america-inc?pageNo=49", "Renesas Electronics")</f>
        <v>Renesas Electronics</v>
      </c>
      <c r="C49874" s="6">
        <v>1206</v>
      </c>
      <c r="D49874" s="7">
        <v>9.84</v>
      </c>
    </row>
    <row r="49875" spans="1:4" x14ac:dyDescent="0.25">
      <c r="A49875" t="str">
        <f>HYPERLINK("https://www.773grp.com/globalSearch/R2S11009FP#U0/page-1", "R2S11009FP#U0")</f>
        <v>R2S11009FP#U0</v>
      </c>
      <c r="B49875" s="3" t="str">
        <f>HYPERLINK("https://www.773grp.com/manufacturer/renesas-electronics-america-inc?pageNo=50", "Renesas Electronics")</f>
        <v>Renesas Electronics</v>
      </c>
      <c r="C49875" s="6">
        <v>1</v>
      </c>
      <c r="D49875" s="7">
        <v>9.84</v>
      </c>
    </row>
    <row r="49876" spans="1:4" x14ac:dyDescent="0.25">
      <c r="A49876" t="str">
        <f>HYPERLINK("https://www.773grp.com/globalSearch/R5F562TADDFF#V0/page-1", "R5F562TADDFF#V0")</f>
        <v>R5F562TADDFF#V0</v>
      </c>
      <c r="B49876" s="3" t="str">
        <f>HYPERLINK("https://www.773grp.com/manufacturer/renesas-electronics-america-inc?pageNo=51", "Renesas Electronics")</f>
        <v>Renesas Electronics</v>
      </c>
      <c r="C49876" s="6">
        <v>1371</v>
      </c>
      <c r="D49876" s="7">
        <v>9.9</v>
      </c>
    </row>
    <row r="49877" spans="1:4" x14ac:dyDescent="0.25">
      <c r="A49877" t="str">
        <f>HYPERLINK("https://www.773grp.com/globalSearch/M5M51008DFP-55HIBT/page-1", "M5M51008DFP-55HIBT")</f>
        <v>M5M51008DFP-55HIBT</v>
      </c>
      <c r="B49877" s="3" t="str">
        <f>HYPERLINK("https://www.773grp.com/manufacturer/renesas-electronics-america-inc?pageNo=52", "Renesas Electronics")</f>
        <v>Renesas Electronics</v>
      </c>
      <c r="C49877" s="6">
        <v>4921</v>
      </c>
      <c r="D49877" s="7">
        <v>9.93</v>
      </c>
    </row>
    <row r="49878" spans="1:4" x14ac:dyDescent="0.25">
      <c r="A49878" t="str">
        <f>HYPERLINK("https://www.773grp.com/globalSearch/M5M51008DFP-55HIST/page-1", "M5M51008DFP-55HIST")</f>
        <v>M5M51008DFP-55HIST</v>
      </c>
      <c r="B49878" s="3" t="str">
        <f>HYPERLINK("https://www.773grp.com/manufacturer/renesas-electronics-america-inc?pageNo=53", "Renesas Electronics")</f>
        <v>Renesas Electronics</v>
      </c>
      <c r="C49878" s="6">
        <v>13000</v>
      </c>
      <c r="D49878" s="7">
        <v>9.93</v>
      </c>
    </row>
    <row r="49879" spans="1:4" x14ac:dyDescent="0.25">
      <c r="A49879" t="str">
        <f>HYPERLINK("https://www.773grp.com/globalSearch/M5M5V108DFP-70H#ST/page-1", "M5M5V108DFP-70H#ST")</f>
        <v>M5M5V108DFP-70H#ST</v>
      </c>
      <c r="B49879" s="3" t="str">
        <f>HYPERLINK("https://www.773grp.com/manufacturer/renesas-electronics-america-inc?pageNo=54", "Renesas Electronics")</f>
        <v>Renesas Electronics</v>
      </c>
      <c r="C49879" s="6">
        <v>1000</v>
      </c>
      <c r="D49879" s="7">
        <v>9.93</v>
      </c>
    </row>
    <row r="49880" spans="1:4" x14ac:dyDescent="0.25">
      <c r="A49880" t="str">
        <f>HYPERLINK("https://www.773grp.com/globalSearch/UPD4991AGS-A/page-1", "UPD4991AGS-A")</f>
        <v>UPD4991AGS-A</v>
      </c>
      <c r="B49880" s="3" t="str">
        <f>HYPERLINK("https://www.773grp.com/manufacturer/renesas-electronics-america-inc?pageNo=55", "Renesas Electronics")</f>
        <v>Renesas Electronics</v>
      </c>
      <c r="C49880" s="6">
        <v>14013</v>
      </c>
      <c r="D49880" s="7">
        <v>9.93</v>
      </c>
    </row>
    <row r="49881" spans="1:4" x14ac:dyDescent="0.25">
      <c r="A49881" t="str">
        <f>HYPERLINK("https://www.773grp.com/globalSearch/M66256FP#TF0T/page-1", "M66256FP#TF0T")</f>
        <v>M66256FP#TF0T</v>
      </c>
      <c r="B49881" s="3" t="str">
        <f>HYPERLINK("https://www.773grp.com/manufacturer/renesas-electronics-america-inc?pageNo=56", "Renesas Electronics")</f>
        <v>Renesas Electronics</v>
      </c>
      <c r="C49881" s="6">
        <v>328</v>
      </c>
      <c r="D49881" s="7">
        <v>9.99</v>
      </c>
    </row>
    <row r="49882" spans="1:4" x14ac:dyDescent="0.25">
      <c r="A49882" t="str">
        <f>HYPERLINK("https://www.773grp.com/globalSearch/FS50VS-3-T11/page-1", "FS50VS-3-T11")</f>
        <v>FS50VS-3-T11</v>
      </c>
      <c r="B49882" s="3" t="str">
        <f>HYPERLINK("https://www.773grp.com/manufacturer/renesas-electronics-america-inc?pageNo=57", "Renesas Electronics")</f>
        <v>Renesas Electronics</v>
      </c>
      <c r="C49882" s="6">
        <v>24000</v>
      </c>
      <c r="D49882" s="7">
        <v>10.08</v>
      </c>
    </row>
    <row r="49883" spans="1:4" x14ac:dyDescent="0.25">
      <c r="A49883" t="str">
        <f>HYPERLINK("https://www.773grp.com/globalSearch/HD4074224S01/page-1", "HD4074224S01")</f>
        <v>HD4074224S01</v>
      </c>
      <c r="B49883" s="3" t="str">
        <f>HYPERLINK("https://www.773grp.com/manufacturer/renesas-electronics-america-inc?pageNo=58", "Renesas Electronics")</f>
        <v>Renesas Electronics</v>
      </c>
      <c r="C49883" s="6">
        <v>415</v>
      </c>
      <c r="D49883" s="7">
        <v>10.08</v>
      </c>
    </row>
    <row r="49884" spans="1:4" x14ac:dyDescent="0.25">
      <c r="A49884" t="str">
        <f>HYPERLINK("https://www.773grp.com/globalSearch/HD4074224S02/page-1", "HD4074224S02")</f>
        <v>HD4074224S02</v>
      </c>
      <c r="B49884" s="3" t="str">
        <f>HYPERLINK("https://www.773grp.com/manufacturer/renesas-electronics-america-inc?pageNo=59", "Renesas Electronics")</f>
        <v>Renesas Electronics</v>
      </c>
      <c r="C49884" s="6">
        <v>10612</v>
      </c>
      <c r="D49884" s="7">
        <v>10.08</v>
      </c>
    </row>
    <row r="49885" spans="1:4" x14ac:dyDescent="0.25">
      <c r="A49885" t="str">
        <f>HYPERLINK("https://www.773grp.com/globalSearch/HD4074224S02V/page-1", "HD4074224S02V")</f>
        <v>HD4074224S02V</v>
      </c>
      <c r="B49885" s="3" t="str">
        <f>HYPERLINK("https://www.773grp.com/manufacturer/renesas-electronics-america-inc?pageNo=60", "Renesas Electronics")</f>
        <v>Renesas Electronics</v>
      </c>
      <c r="C49885" s="6">
        <v>176</v>
      </c>
      <c r="D49885" s="7">
        <v>10.08</v>
      </c>
    </row>
    <row r="49886" spans="1:4" x14ac:dyDescent="0.25">
      <c r="A49886" t="str">
        <f>HYPERLINK("https://www.773grp.com/globalSearch/HD4074224S04/page-1", "HD4074224S04")</f>
        <v>HD4074224S04</v>
      </c>
      <c r="B49886" s="3" t="str">
        <f>HYPERLINK("https://www.773grp.com/manufacturer/renesas-electronics-america-inc?pageNo=61", "Renesas Electronics")</f>
        <v>Renesas Electronics</v>
      </c>
      <c r="C49886" s="6">
        <v>990</v>
      </c>
      <c r="D49886" s="7">
        <v>10.08</v>
      </c>
    </row>
    <row r="49887" spans="1:4" x14ac:dyDescent="0.25">
      <c r="A49887" t="str">
        <f>HYPERLINK("https://www.773grp.com/globalSearch/UPD431000AGW-70L-E1-A/page-1", "UPD431000AGW-70L-E1-A")</f>
        <v>UPD431000AGW-70L-E1-A</v>
      </c>
      <c r="B49887" s="3" t="str">
        <f>HYPERLINK("https://www.773grp.com/manufacturer/renesas-electronics-america-inc?pageNo=62", "Renesas Electronics")</f>
        <v>Renesas Electronics</v>
      </c>
      <c r="C49887" s="6">
        <v>42000</v>
      </c>
      <c r="D49887" s="7">
        <v>10.130000000000001</v>
      </c>
    </row>
    <row r="49888" spans="1:4" x14ac:dyDescent="0.25">
      <c r="A49888" t="str">
        <f>HYPERLINK("https://www.773grp.com/globalSearch/UPD431000AGW-70LL-E2-A/page-1", "UPD431000AGW-70LL-E2-A")</f>
        <v>UPD431000AGW-70LL-E2-A</v>
      </c>
      <c r="B49888" s="3" t="str">
        <f>HYPERLINK("https://www.773grp.com/manufacturer/renesas-electronics-america-inc?pageNo=63", "Renesas Electronics")</f>
        <v>Renesas Electronics</v>
      </c>
      <c r="C49888" s="6">
        <v>6840</v>
      </c>
      <c r="D49888" s="7">
        <v>10.130000000000001</v>
      </c>
    </row>
    <row r="49889" spans="1:4" x14ac:dyDescent="0.25">
      <c r="A49889" t="str">
        <f>HYPERLINK("https://www.773grp.com/globalSearch/M301N2F8TFP/page-1", "M301N2F8TFP")</f>
        <v>M301N2F8TFP</v>
      </c>
      <c r="B49889" s="3" t="str">
        <f>HYPERLINK("https://www.773grp.com/manufacturer/renesas-electronics-america-inc?pageNo=64", "Renesas Electronics")</f>
        <v>Renesas Electronics</v>
      </c>
      <c r="C49889" s="6">
        <v>1547</v>
      </c>
      <c r="D49889" s="7">
        <v>10.24</v>
      </c>
    </row>
    <row r="49890" spans="1:4" x14ac:dyDescent="0.25">
      <c r="A49890" t="str">
        <f>HYPERLINK("https://www.773grp.com/globalSearch/R5F2L36CCNFA#U0/page-1", "R5F2L36CCNFA#U0")</f>
        <v>R5F2L36CCNFA#U0</v>
      </c>
      <c r="B49890" s="3" t="str">
        <f>HYPERLINK("https://www.773grp.com/manufacturer/renesas-electronics-america-inc?pageNo=65", "Renesas Electronics")</f>
        <v>Renesas Electronics</v>
      </c>
      <c r="C49890" s="6">
        <v>4938</v>
      </c>
      <c r="D49890" s="7">
        <v>10.24</v>
      </c>
    </row>
    <row r="49891" spans="1:4" x14ac:dyDescent="0.25">
      <c r="A49891" t="str">
        <f>HYPERLINK("https://www.773grp.com/globalSearch/UPA1560H(3)-AZ/page-1", "UPA1560H(3)-AZ")</f>
        <v>UPA1560H(3)-AZ</v>
      </c>
      <c r="B49891" s="3" t="str">
        <f>HYPERLINK("https://www.773grp.com/manufacturer/renesas-electronics-america-inc?pageNo=66", "Renesas Electronics")</f>
        <v>Renesas Electronics</v>
      </c>
      <c r="C49891" s="6">
        <v>56280</v>
      </c>
      <c r="D49891" s="7">
        <v>10.24</v>
      </c>
    </row>
    <row r="49892" spans="1:4" x14ac:dyDescent="0.25">
      <c r="A49892" t="str">
        <f>HYPERLINK("https://www.773grp.com/globalSearch/UPD78F0114M5GB(A1)-8ES/page-1", "UPD78F0114M5GB(A1)-8ES")</f>
        <v>UPD78F0114M5GB(A1)-8ES</v>
      </c>
      <c r="B49892" s="3" t="str">
        <f>HYPERLINK("https://www.773grp.com/manufacturer/renesas-electronics-america-inc?pageNo=67", "Renesas Electronics")</f>
        <v>Renesas Electronics</v>
      </c>
      <c r="C49892" s="6">
        <v>100</v>
      </c>
      <c r="D49892" s="7">
        <v>10.3</v>
      </c>
    </row>
    <row r="49893" spans="1:4" x14ac:dyDescent="0.25">
      <c r="A49893" t="str">
        <f>HYPERLINK("https://www.773grp.com/globalSearch/2SJ409-90STR/page-1", "2SJ409-90STR")</f>
        <v>2SJ409-90STR</v>
      </c>
      <c r="B49893" s="3" t="str">
        <f>HYPERLINK("https://www.773grp.com/manufacturer/renesas-electronics-america-inc?pageNo=68", "Renesas Electronics")</f>
        <v>Renesas Electronics</v>
      </c>
      <c r="C49893" s="6">
        <v>5000</v>
      </c>
      <c r="D49893" s="7">
        <v>10.35</v>
      </c>
    </row>
    <row r="49894" spans="1:4" x14ac:dyDescent="0.25">
      <c r="A49894" t="str">
        <f>HYPERLINK("https://www.773grp.com/globalSearch/HD64F3644D/page-1", "HD64F3644D")</f>
        <v>HD64F3644D</v>
      </c>
      <c r="B49894" s="3" t="str">
        <f>HYPERLINK("https://www.773grp.com/manufacturer/renesas-electronics-america-inc?pageNo=69", "Renesas Electronics")</f>
        <v>Renesas Electronics</v>
      </c>
      <c r="C49894" s="6">
        <v>13571</v>
      </c>
      <c r="D49894" s="7">
        <v>10.51</v>
      </c>
    </row>
    <row r="49895" spans="1:4" x14ac:dyDescent="0.25">
      <c r="A49895" t="str">
        <f>HYPERLINK("https://www.773grp.com/globalSearch/M50230FP#DF1G/page-1", "M50230FP#DF1G")</f>
        <v>M50230FP#DF1G</v>
      </c>
      <c r="B49895" s="3" t="str">
        <f>HYPERLINK("https://www.773grp.com/manufacturer/renesas-electronics-america-inc?pageNo=70", "Renesas Electronics")</f>
        <v>Renesas Electronics</v>
      </c>
      <c r="C49895" s="6">
        <v>6000</v>
      </c>
      <c r="D49895" s="7">
        <v>10.51</v>
      </c>
    </row>
    <row r="49896" spans="1:4" x14ac:dyDescent="0.25">
      <c r="A49896" t="str">
        <f>HYPERLINK("https://www.773grp.com/globalSearch/FS70KM-06#B00/page-1", "FS70KM-06#B00")</f>
        <v>FS70KM-06#B00</v>
      </c>
      <c r="B49896" s="3" t="str">
        <f>HYPERLINK("https://www.773grp.com/manufacturer/renesas-electronics-america-inc?pageNo=71", "Renesas Electronics")</f>
        <v>Renesas Electronics</v>
      </c>
      <c r="C49896" s="6">
        <v>215</v>
      </c>
      <c r="D49896" s="7">
        <v>10.58</v>
      </c>
    </row>
    <row r="49897" spans="1:4" x14ac:dyDescent="0.25">
      <c r="A49897" t="str">
        <f>HYPERLINK("https://www.773grp.com/globalSearch/R5F52106ADFN#V0/page-1", "R5F52106ADFN#V0")</f>
        <v>R5F52106ADFN#V0</v>
      </c>
      <c r="B49897" s="3" t="str">
        <f>HYPERLINK("https://www.773grp.com/manufacturer/renesas-electronics-america-inc?pageNo=72", "Renesas Electronics")</f>
        <v>Renesas Electronics</v>
      </c>
      <c r="C49897" s="6">
        <v>1044</v>
      </c>
      <c r="D49897" s="7">
        <v>10.71</v>
      </c>
    </row>
    <row r="49898" spans="1:4" x14ac:dyDescent="0.25">
      <c r="A49898" t="str">
        <f>HYPERLINK("https://www.773grp.com/globalSearch/M66258FP#DF0T/page-1", "M66258FP#DF0T")</f>
        <v>M66258FP#DF0T</v>
      </c>
      <c r="B49898" s="3" t="str">
        <f>HYPERLINK("https://www.773grp.com/manufacturer/renesas-electronics-america-inc?pageNo=73", "Renesas Electronics")</f>
        <v>Renesas Electronics</v>
      </c>
      <c r="C49898" s="6">
        <v>3000</v>
      </c>
      <c r="D49898" s="7">
        <v>10.76</v>
      </c>
    </row>
    <row r="49899" spans="1:4" x14ac:dyDescent="0.25">
      <c r="A49899" t="str">
        <f>HYPERLINK("https://www.773grp.com/globalSearch/R5F21244SDFP#U0/page-1", "R5F21244SDFP#U0")</f>
        <v>R5F21244SDFP#U0</v>
      </c>
      <c r="B49899" s="3" t="str">
        <f>HYPERLINK("https://www.773grp.com/manufacturer/renesas-electronics-america-inc?pageNo=74", "Renesas Electronics")</f>
        <v>Renesas Electronics</v>
      </c>
      <c r="C49899" s="6">
        <v>53</v>
      </c>
      <c r="D49899" s="7">
        <v>10.84</v>
      </c>
    </row>
    <row r="49900" spans="1:4" x14ac:dyDescent="0.25">
      <c r="A49900" t="str">
        <f>HYPERLINK("https://www.773grp.com/globalSearch/R5F2L368CNFA#U0/page-1", "R5F2L368CNFA#U0")</f>
        <v>R5F2L368CNFA#U0</v>
      </c>
      <c r="B49900" s="3" t="str">
        <f>HYPERLINK("https://www.773grp.com/manufacturer/renesas-electronics-america-inc?pageNo=75", "Renesas Electronics")</f>
        <v>Renesas Electronics</v>
      </c>
      <c r="C49900" s="6">
        <v>1147</v>
      </c>
      <c r="D49900" s="7">
        <v>10.84</v>
      </c>
    </row>
    <row r="49901" spans="1:4" x14ac:dyDescent="0.25">
      <c r="A49901" t="str">
        <f>HYPERLINK("https://www.773grp.com/globalSearch/M5M51008DVP-70H#ST/page-1", "M5M51008DVP-70H#ST")</f>
        <v>M5M51008DVP-70H#ST</v>
      </c>
      <c r="B49901" s="3" t="str">
        <f>HYPERLINK("https://www.773grp.com/manufacturer/renesas-electronics-america-inc?pageNo=76", "Renesas Electronics")</f>
        <v>Renesas Electronics</v>
      </c>
      <c r="C49901" s="6">
        <v>1000</v>
      </c>
      <c r="D49901" s="7">
        <v>10.85</v>
      </c>
    </row>
    <row r="49902" spans="1:4" x14ac:dyDescent="0.25">
      <c r="A49902" t="str">
        <f>HYPERLINK("https://www.773grp.com/globalSearch/HN58W241000FPIAGS1/page-1", "HN58W241000FPIAGS1")</f>
        <v>HN58W241000FPIAGS1</v>
      </c>
      <c r="B49902" s="3" t="str">
        <f>HYPERLINK("https://www.773grp.com/manufacturer/renesas-electronics-america-inc?pageNo=77", "Renesas Electronics")</f>
        <v>Renesas Electronics</v>
      </c>
      <c r="C49902" s="6">
        <v>5000</v>
      </c>
      <c r="D49902" s="7">
        <v>10.89</v>
      </c>
    </row>
    <row r="49903" spans="1:4" x14ac:dyDescent="0.25">
      <c r="A49903" t="str">
        <f>HYPERLINK("https://www.773grp.com/globalSearch/R5F2L36AANFP#U1/page-1", "R5F2L36AANFP#U1")</f>
        <v>R5F2L36AANFP#U1</v>
      </c>
      <c r="B49903" s="3" t="str">
        <f>HYPERLINK("https://www.773grp.com/manufacturer/renesas-electronics-america-inc?pageNo=78", "Renesas Electronics")</f>
        <v>Renesas Electronics</v>
      </c>
      <c r="C49903" s="6">
        <v>4918</v>
      </c>
      <c r="D49903" s="7">
        <v>10.91</v>
      </c>
    </row>
    <row r="49904" spans="1:4" x14ac:dyDescent="0.25">
      <c r="A49904" t="str">
        <f>HYPERLINK("https://www.773grp.com/globalSearch/RJL60S5DPP-E0#T2/page-1", "RJL60S5DPP-E0#T2")</f>
        <v>RJL60S5DPP-E0#T2</v>
      </c>
      <c r="B49904" s="3" t="str">
        <f>HYPERLINK("https://www.773grp.com/manufacturer/renesas-electronics-america-inc?pageNo=79", "Renesas Electronics")</f>
        <v>Renesas Electronics</v>
      </c>
      <c r="C49904" s="6">
        <v>46907</v>
      </c>
      <c r="D49904" s="7">
        <v>10.98</v>
      </c>
    </row>
    <row r="49905" spans="1:4" x14ac:dyDescent="0.25">
      <c r="A49905" t="str">
        <f>HYPERLINK("https://www.773grp.com/globalSearch/R5F2LA64ANFP#V0/page-1", "R5F2LA64ANFP#V0")</f>
        <v>R5F2LA64ANFP#V0</v>
      </c>
      <c r="B49905" s="3" t="str">
        <f>HYPERLINK("https://www.773grp.com/manufacturer/renesas-electronics-america-inc?pageNo=80", "Renesas Electronics")</f>
        <v>Renesas Electronics</v>
      </c>
      <c r="C49905" s="6">
        <v>2152</v>
      </c>
      <c r="D49905" s="7">
        <v>11.1</v>
      </c>
    </row>
    <row r="49906" spans="1:4" x14ac:dyDescent="0.25">
      <c r="A49906" t="str">
        <f>HYPERLINK("https://www.773grp.com/globalSearch/DF71251AN50FPV/page-1", "DF71251AN50FPV")</f>
        <v>DF71251AN50FPV</v>
      </c>
      <c r="B49906" s="3" t="str">
        <f>HYPERLINK("https://www.773grp.com/manufacturer/renesas-electronics-america-inc?pageNo=81", "Renesas Electronics")</f>
        <v>Renesas Electronics</v>
      </c>
      <c r="C49906" s="6">
        <v>22313</v>
      </c>
      <c r="D49906" s="7">
        <v>11.18</v>
      </c>
    </row>
    <row r="49907" spans="1:4" x14ac:dyDescent="0.25">
      <c r="A49907" t="str">
        <f>HYPERLINK("https://www.773grp.com/globalSearch/M61508FP#D60G/page-1", "M61508FP#D60G")</f>
        <v>M61508FP#D60G</v>
      </c>
      <c r="B49907" s="3" t="str">
        <f>HYPERLINK("https://www.773grp.com/manufacturer/renesas-electronics-america-inc?pageNo=82", "Renesas Electronics")</f>
        <v>Renesas Electronics</v>
      </c>
      <c r="C49907" s="6">
        <v>1000</v>
      </c>
      <c r="D49907" s="7">
        <v>11.25</v>
      </c>
    </row>
    <row r="49908" spans="1:4" x14ac:dyDescent="0.25">
      <c r="A49908" t="str">
        <f>HYPERLINK("https://www.773grp.com/globalSearch/M61571AFP#TF0T/page-1", "M61571AFP#TF0T")</f>
        <v>M61571AFP#TF0T</v>
      </c>
      <c r="B49908" s="3" t="str">
        <f>HYPERLINK("https://www.773grp.com/manufacturer/renesas-electronics-america-inc?pageNo=83", "Renesas Electronics")</f>
        <v>Renesas Electronics</v>
      </c>
      <c r="C49908" s="6">
        <v>1600</v>
      </c>
      <c r="D49908" s="7">
        <v>11.25</v>
      </c>
    </row>
    <row r="49909" spans="1:4" x14ac:dyDescent="0.25">
      <c r="A49909" t="str">
        <f>HYPERLINK("https://www.773grp.com/globalSearch/R2J20651ANP#13/page-1", "R2J20651ANP#13")</f>
        <v>R2J20651ANP#13</v>
      </c>
      <c r="B49909" s="3" t="str">
        <f>HYPERLINK("https://www.773grp.com/manufacturer/renesas-electronics-america-inc?pageNo=84", "Renesas Electronics")</f>
        <v>Renesas Electronics</v>
      </c>
      <c r="C49909" s="6">
        <v>73</v>
      </c>
      <c r="D49909" s="7">
        <v>11.25</v>
      </c>
    </row>
    <row r="49910" spans="1:4" x14ac:dyDescent="0.25">
      <c r="A49910" t="str">
        <f>HYPERLINK("https://www.773grp.com/globalSearch/R2J20652ANP#G3/page-1", "R2J20652ANP#G3")</f>
        <v>R2J20652ANP#G3</v>
      </c>
      <c r="B49910" s="3" t="str">
        <f>HYPERLINK("https://www.773grp.com/manufacturer/renesas-electronics-america-inc?pageNo=85", "Renesas Electronics")</f>
        <v>Renesas Electronics</v>
      </c>
      <c r="C49910" s="6">
        <v>30000</v>
      </c>
      <c r="D49910" s="7">
        <v>11.25</v>
      </c>
    </row>
    <row r="49911" spans="1:4" x14ac:dyDescent="0.25">
      <c r="A49911" t="str">
        <f>HYPERLINK("https://www.773grp.com/globalSearch/R2J20657CNP#G2/page-1", "R2J20657CNP#G2")</f>
        <v>R2J20657CNP#G2</v>
      </c>
      <c r="B49911" s="3" t="str">
        <f>HYPERLINK("https://www.773grp.com/manufacturer/renesas-electronics-america-inc?pageNo=86", "Renesas Electronics")</f>
        <v>Renesas Electronics</v>
      </c>
      <c r="C49911" s="6">
        <v>52500</v>
      </c>
      <c r="D49911" s="7">
        <v>11.25</v>
      </c>
    </row>
    <row r="49912" spans="1:4" x14ac:dyDescent="0.25">
      <c r="A49912" t="str">
        <f>HYPERLINK("https://www.773grp.com/globalSearch/R2J20657NP#G3/page-1", "R2J20657NP#G3")</f>
        <v>R2J20657NP#G3</v>
      </c>
      <c r="B49912" s="3" t="str">
        <f>HYPERLINK("https://www.773grp.com/manufacturer/renesas-electronics-america-inc?pageNo=87", "Renesas Electronics")</f>
        <v>Renesas Electronics</v>
      </c>
      <c r="C49912" s="6">
        <v>2500</v>
      </c>
      <c r="D49912" s="7">
        <v>11.25</v>
      </c>
    </row>
    <row r="49913" spans="1:4" x14ac:dyDescent="0.25">
      <c r="A49913" t="str">
        <f>HYPERLINK("https://www.773grp.com/globalSearch/R2J20755NP#G3/page-1", "R2J20755NP#G3")</f>
        <v>R2J20755NP#G3</v>
      </c>
      <c r="B49913" s="3" t="str">
        <f>HYPERLINK("https://www.773grp.com/manufacturer/renesas-electronics-america-inc?pageNo=88", "Renesas Electronics")</f>
        <v>Renesas Electronics</v>
      </c>
      <c r="C49913" s="6">
        <v>47500</v>
      </c>
      <c r="D49913" s="7">
        <v>11.25</v>
      </c>
    </row>
    <row r="49914" spans="1:4" x14ac:dyDescent="0.25">
      <c r="A49914" t="str">
        <f>HYPERLINK("https://www.773grp.com/globalSearch/R2J20759NP#G0/page-1", "R2J20759NP#G0")</f>
        <v>R2J20759NP#G0</v>
      </c>
      <c r="B49914" s="3" t="str">
        <f>HYPERLINK("https://www.773grp.com/manufacturer/renesas-electronics-america-inc?pageNo=89", "Renesas Electronics")</f>
        <v>Renesas Electronics</v>
      </c>
      <c r="C49914" s="6">
        <v>12500</v>
      </c>
      <c r="D49914" s="7">
        <v>11.25</v>
      </c>
    </row>
    <row r="49915" spans="1:4" x14ac:dyDescent="0.25">
      <c r="A49915" t="str">
        <f>HYPERLINK("https://www.773grp.com/globalSearch/M64620P#T20J/page-1", "M64620P#T20J")</f>
        <v>M64620P#T20J</v>
      </c>
      <c r="B49915" s="3" t="str">
        <f>HYPERLINK("https://www.773grp.com/manufacturer/renesas-electronics-america-inc?pageNo=90", "Renesas Electronics")</f>
        <v>Renesas Electronics</v>
      </c>
      <c r="C49915" s="6">
        <v>388</v>
      </c>
      <c r="D49915" s="7">
        <v>11.34</v>
      </c>
    </row>
    <row r="49916" spans="1:4" x14ac:dyDescent="0.25">
      <c r="A49916" t="str">
        <f>HYPERLINK("https://www.773grp.com/globalSearch/2SK1122-A/page-1", "2SK1122-A")</f>
        <v>2SK1122-A</v>
      </c>
      <c r="B49916" s="3" t="str">
        <f>HYPERLINK("https://www.773grp.com/manufacturer/renesas-electronics-america-inc?pageNo=91", "Renesas Electronics")</f>
        <v>Renesas Electronics</v>
      </c>
      <c r="C49916" s="6">
        <v>783</v>
      </c>
      <c r="D49916" s="7">
        <v>11.39</v>
      </c>
    </row>
    <row r="49917" spans="1:4" x14ac:dyDescent="0.25">
      <c r="A49917" t="str">
        <f>HYPERLINK("https://www.773grp.com/globalSearch/RJK1525DPP-MG#T2/page-1", "RJK1525DPP-MG#T2")</f>
        <v>RJK1525DPP-MG#T2</v>
      </c>
      <c r="B49917" s="3" t="str">
        <f>HYPERLINK("https://www.773grp.com/manufacturer/renesas-electronics-america-inc?pageNo=92", "Renesas Electronics")</f>
        <v>Renesas Electronics</v>
      </c>
      <c r="C49917" s="6">
        <v>1612</v>
      </c>
      <c r="D49917" s="7">
        <v>11.39</v>
      </c>
    </row>
    <row r="49918" spans="1:4" x14ac:dyDescent="0.25">
      <c r="A49918" t="str">
        <f>HYPERLINK("https://www.773grp.com/globalSearch/M30201F6FP/page-1", "M30201F6FP")</f>
        <v>M30201F6FP</v>
      </c>
      <c r="B49918" s="3" t="str">
        <f>HYPERLINK("https://www.773grp.com/manufacturer/renesas-electronics-america-inc?pageNo=93", "Renesas Electronics")</f>
        <v>Renesas Electronics</v>
      </c>
      <c r="C49918" s="6">
        <v>4</v>
      </c>
      <c r="D49918" s="7">
        <v>11.48</v>
      </c>
    </row>
    <row r="49919" spans="1:4" x14ac:dyDescent="0.25">
      <c r="A49919" t="str">
        <f>HYPERLINK("https://www.773grp.com/globalSearch/2SK2727-E/page-1", "2SK2727-E")</f>
        <v>2SK2727-E</v>
      </c>
      <c r="B49919" s="3" t="str">
        <f>HYPERLINK("https://www.773grp.com/manufacturer/renesas-electronics-america-inc?pageNo=94", "Renesas Electronics")</f>
        <v>Renesas Electronics</v>
      </c>
      <c r="C49919" s="6">
        <v>2626</v>
      </c>
      <c r="D49919" s="7">
        <v>11.73</v>
      </c>
    </row>
    <row r="49920" spans="1:4" x14ac:dyDescent="0.25">
      <c r="A49920" t="str">
        <f>HYPERLINK("https://www.773grp.com/globalSearch/M30620SFP#D5/page-1", "M30620SFP#D5")</f>
        <v>M30620SFP#D5</v>
      </c>
      <c r="B49920" s="3" t="str">
        <f>HYPERLINK("https://www.773grp.com/manufacturer/renesas-electronics-america-inc?pageNo=95", "Renesas Electronics")</f>
        <v>Renesas Electronics</v>
      </c>
      <c r="C49920" s="6">
        <v>144</v>
      </c>
      <c r="D49920" s="7">
        <v>11.78</v>
      </c>
    </row>
    <row r="49921" spans="1:4" x14ac:dyDescent="0.25">
      <c r="A49921" t="str">
        <f>HYPERLINK("https://www.773grp.com/globalSearch/R5F2L387CDFP#U0/page-1", "R5F2L387CDFP#U0")</f>
        <v>R5F2L387CDFP#U0</v>
      </c>
      <c r="B49921" s="3" t="str">
        <f>HYPERLINK("https://www.773grp.com/manufacturer/renesas-electronics-america-inc?pageNo=96", "Renesas Electronics")</f>
        <v>Renesas Electronics</v>
      </c>
      <c r="C49921" s="6">
        <v>1267</v>
      </c>
      <c r="D49921" s="7">
        <v>11.78</v>
      </c>
    </row>
    <row r="49922" spans="1:4" x14ac:dyDescent="0.25">
      <c r="A49922" t="str">
        <f>HYPERLINK("https://www.773grp.com/globalSearch/HD4074054S/page-1", "HD4074054S")</f>
        <v>HD4074054S</v>
      </c>
      <c r="B49922" s="3" t="str">
        <f>HYPERLINK("https://www.773grp.com/manufacturer/renesas-electronics-america-inc?pageNo=97", "Renesas Electronics")</f>
        <v>Renesas Electronics</v>
      </c>
      <c r="C49922" s="6">
        <v>235</v>
      </c>
      <c r="D49922" s="7">
        <v>11.85</v>
      </c>
    </row>
    <row r="49923" spans="1:4" x14ac:dyDescent="0.25">
      <c r="A49923" t="str">
        <f>HYPERLINK("https://www.773grp.com/globalSearch/HD4074394SV/page-1", "HD4074394SV")</f>
        <v>HD4074394SV</v>
      </c>
      <c r="B49923" s="3" t="str">
        <f>HYPERLINK("https://www.773grp.com/manufacturer/renesas-electronics-america-inc?pageNo=98", "Renesas Electronics")</f>
        <v>Renesas Electronics</v>
      </c>
      <c r="C49923" s="6">
        <v>249</v>
      </c>
      <c r="D49923" s="7">
        <v>11.85</v>
      </c>
    </row>
    <row r="49924" spans="1:4" x14ac:dyDescent="0.25">
      <c r="A49924" t="str">
        <f>HYPERLINK("https://www.773grp.com/globalSearch/M38588RSS/page-1", "M38588RSS")</f>
        <v>M38588RSS</v>
      </c>
      <c r="B49924" s="3" t="str">
        <f>HYPERLINK("https://www.773grp.com/manufacturer/renesas-electronics-america-inc?pageNo=99", "Renesas Electronics")</f>
        <v>Renesas Electronics</v>
      </c>
      <c r="C49924" s="6">
        <v>11</v>
      </c>
      <c r="D49924" s="7">
        <v>11.9</v>
      </c>
    </row>
    <row r="49925" spans="1:4" x14ac:dyDescent="0.25">
      <c r="A49925" t="str">
        <f>HYPERLINK("https://www.773grp.com/globalSearch/RJP63K2DPK-M2#T0/page-1", "RJP63K2DPK-M2#T0")</f>
        <v>RJP63K2DPK-M2#T0</v>
      </c>
      <c r="B49925" s="3" t="str">
        <f>HYPERLINK("https://www.773grp.com/manufacturer/renesas-electronics-america-inc?pageNo=100", "Renesas Electronics")</f>
        <v>Renesas Electronics</v>
      </c>
      <c r="C49925" s="6">
        <v>13182</v>
      </c>
      <c r="D49925" s="7">
        <v>11.9</v>
      </c>
    </row>
    <row r="49926" spans="1:4" x14ac:dyDescent="0.25">
      <c r="A49926" t="str">
        <f>HYPERLINK("https://www.773grp.com/globalSearch/FX70KMJ-03#B00/page-1", "FX70KMJ-03#B00")</f>
        <v>FX70KMJ-03#B00</v>
      </c>
      <c r="B49926" s="3" t="str">
        <f>HYPERLINK("https://www.773grp.com/manufacturer/renesas-electronics-america-inc?pageNo=101", "Renesas Electronics")</f>
        <v>Renesas Electronics</v>
      </c>
      <c r="C49926" s="6">
        <v>4775</v>
      </c>
      <c r="D49926" s="7">
        <v>11.95</v>
      </c>
    </row>
    <row r="49927" spans="1:4" x14ac:dyDescent="0.25">
      <c r="A49927" t="str">
        <f>HYPERLINK("https://www.773grp.com/globalSearch/HD64F3694FPI/page-1", "HD64F3694FPI")</f>
        <v>HD64F3694FPI</v>
      </c>
      <c r="B49927" s="3" t="str">
        <f>HYPERLINK("https://www.773grp.com/manufacturer/renesas-electronics-america-inc?pageNo=102", "Renesas Electronics")</f>
        <v>Renesas Electronics</v>
      </c>
      <c r="C49927" s="6">
        <v>21783</v>
      </c>
      <c r="D49927" s="7">
        <v>11.99</v>
      </c>
    </row>
    <row r="49928" spans="1:4" x14ac:dyDescent="0.25">
      <c r="A49928" t="str">
        <f>HYPERLINK("https://www.773grp.com/globalSearch/UPD6P4BGS-A/page-1", "UPD6P4BGS-A")</f>
        <v>UPD6P4BGS-A</v>
      </c>
      <c r="B49928" s="3" t="str">
        <f>HYPERLINK("https://www.773grp.com/manufacturer/renesas-electronics-america-inc?pageNo=103", "Renesas Electronics")</f>
        <v>Renesas Electronics</v>
      </c>
      <c r="C49928" s="6">
        <v>603</v>
      </c>
      <c r="D49928" s="7">
        <v>11.99</v>
      </c>
    </row>
    <row r="49929" spans="1:4" x14ac:dyDescent="0.25">
      <c r="A49929" t="str">
        <f>HYPERLINK("https://www.773grp.com/globalSearch/UPD78F9211GR(A)-JJG-A/page-1", "UPD78F9211GR(A)-JJG-A")</f>
        <v>UPD78F9211GR(A)-JJG-A</v>
      </c>
      <c r="B49929" s="3" t="str">
        <f>HYPERLINK("https://www.773grp.com/manufacturer/renesas-electronics-america-inc?pageNo=104", "Renesas Electronics")</f>
        <v>Renesas Electronics</v>
      </c>
      <c r="C49929" s="6">
        <v>67</v>
      </c>
      <c r="D49929" s="7">
        <v>11.99</v>
      </c>
    </row>
    <row r="49930" spans="1:4" x14ac:dyDescent="0.25">
      <c r="A49930" t="str">
        <f>HYPERLINK("https://www.773grp.com/globalSearch/HD407A4384FTI/page-1", "HD407A4384FTI")</f>
        <v>HD407A4384FTI</v>
      </c>
      <c r="B49930" s="3" t="str">
        <f>HYPERLINK("https://www.773grp.com/manufacturer/renesas-electronics-america-inc?pageNo=105", "Renesas Electronics")</f>
        <v>Renesas Electronics</v>
      </c>
      <c r="C49930" s="6">
        <v>2788</v>
      </c>
      <c r="D49930" s="7">
        <v>12.15</v>
      </c>
    </row>
    <row r="49931" spans="1:4" x14ac:dyDescent="0.25">
      <c r="A49931" t="str">
        <f>HYPERLINK("https://www.773grp.com/globalSearch/R5F562T7ADFM#V0/page-1", "R5F562T7ADFM#V0")</f>
        <v>R5F562T7ADFM#V0</v>
      </c>
      <c r="B49931" s="3" t="str">
        <f>HYPERLINK("https://www.773grp.com/manufacturer/renesas-electronics-america-inc?pageNo=106", "Renesas Electronics")</f>
        <v>Renesas Electronics</v>
      </c>
      <c r="C49931" s="6">
        <v>77</v>
      </c>
      <c r="D49931" s="7">
        <v>12.24</v>
      </c>
    </row>
    <row r="49932" spans="1:4" x14ac:dyDescent="0.25">
      <c r="A49932" t="str">
        <f>HYPERLINK("https://www.773grp.com/globalSearch/RJP30E2DPK-M0#T0/page-1", "RJP30E2DPK-M0#T0")</f>
        <v>RJP30E2DPK-M0#T0</v>
      </c>
      <c r="B49932" s="3" t="str">
        <f>HYPERLINK("https://www.773grp.com/manufacturer/renesas-electronics-america-inc?pageNo=107", "Renesas Electronics")</f>
        <v>Renesas Electronics</v>
      </c>
      <c r="C49932" s="6">
        <v>6515</v>
      </c>
      <c r="D49932" s="7">
        <v>12.29</v>
      </c>
    </row>
    <row r="49933" spans="1:4" x14ac:dyDescent="0.25">
      <c r="A49933" t="str">
        <f>HYPERLINK("https://www.773grp.com/globalSearch/R5F21245SDFP#U0/page-1", "R5F21245SDFP#U0")</f>
        <v>R5F21245SDFP#U0</v>
      </c>
      <c r="B49933" s="3" t="str">
        <f>HYPERLINK("https://www.773grp.com/manufacturer/renesas-electronics-america-inc?pageNo=108", "Renesas Electronics")</f>
        <v>Renesas Electronics</v>
      </c>
      <c r="C49933" s="6">
        <v>139</v>
      </c>
      <c r="D49933" s="7">
        <v>12.35</v>
      </c>
    </row>
    <row r="49934" spans="1:4" x14ac:dyDescent="0.25">
      <c r="A49934" t="str">
        <f>HYPERLINK("https://www.773grp.com/globalSearch/M38507F8FP/page-1", "M38507F8FP")</f>
        <v>M38507F8FP</v>
      </c>
      <c r="B49934" s="3" t="str">
        <f>HYPERLINK("https://www.773grp.com/manufacturer/renesas-electronics-america-inc?pageNo=109", "Renesas Electronics")</f>
        <v>Renesas Electronics</v>
      </c>
      <c r="C49934" s="6">
        <v>774</v>
      </c>
      <c r="D49934" s="7">
        <v>12.49</v>
      </c>
    </row>
    <row r="49935" spans="1:4" x14ac:dyDescent="0.25">
      <c r="A49935" t="str">
        <f>HYPERLINK("https://www.773grp.com/globalSearch/M38039FFFP/page-1", "M38039FFFP")</f>
        <v>M38039FFFP</v>
      </c>
      <c r="B49935" s="3" t="str">
        <f>HYPERLINK("https://www.773grp.com/manufacturer/renesas-electronics-america-inc?pageNo=110", "Renesas Electronics")</f>
        <v>Renesas Electronics</v>
      </c>
      <c r="C49935" s="6">
        <v>260</v>
      </c>
      <c r="D49935" s="7">
        <v>12.53</v>
      </c>
    </row>
    <row r="49936" spans="1:4" x14ac:dyDescent="0.25">
      <c r="A49936" t="str">
        <f>HYPERLINK("https://www.773grp.com/globalSearch/FX50KMJ-06#B00/page-1", "FX50KMJ-06#B00")</f>
        <v>FX50KMJ-06#B00</v>
      </c>
      <c r="B49936" s="3" t="str">
        <f>HYPERLINK("https://www.773grp.com/manufacturer/renesas-electronics-america-inc?pageNo=111", "Renesas Electronics")</f>
        <v>Renesas Electronics</v>
      </c>
      <c r="C49936" s="6">
        <v>11454</v>
      </c>
      <c r="D49936" s="7">
        <v>12.6</v>
      </c>
    </row>
    <row r="49937" spans="1:4" x14ac:dyDescent="0.25">
      <c r="A49937" t="str">
        <f>HYPERLINK("https://www.773grp.com/globalSearch/2SC3365-E/page-1", "2SC3365-E")</f>
        <v>2SC3365-E</v>
      </c>
      <c r="B49937" s="3" t="str">
        <f>HYPERLINK("https://www.773grp.com/manufacturer/renesas-electronics-america-inc?pageNo=112", "Renesas Electronics")</f>
        <v>Renesas Electronics</v>
      </c>
      <c r="C49937" s="6">
        <v>1218</v>
      </c>
      <c r="D49937" s="7">
        <v>12.63</v>
      </c>
    </row>
    <row r="49938" spans="1:4" x14ac:dyDescent="0.25">
      <c r="A49938" t="str">
        <f>HYPERLINK("https://www.773grp.com/globalSearch/M30624FGPGP#D3C/page-1", "M30624FGPGP#D3C")</f>
        <v>M30624FGPGP#D3C</v>
      </c>
      <c r="B49938" s="3" t="str">
        <f>HYPERLINK("https://www.773grp.com/manufacturer/renesas-electronics-america-inc?pageNo=113", "Renesas Electronics")</f>
        <v>Renesas Electronics</v>
      </c>
      <c r="C49938" s="6">
        <v>358</v>
      </c>
      <c r="D49938" s="7">
        <v>12.66</v>
      </c>
    </row>
    <row r="49939" spans="1:4" x14ac:dyDescent="0.25">
      <c r="A49939" t="str">
        <f>HYPERLINK("https://www.773grp.com/globalSearch/UPD431000AGW-80Y/page-1", "UPD431000AGW-80Y")</f>
        <v>UPD431000AGW-80Y</v>
      </c>
      <c r="B49939" s="3" t="str">
        <f>HYPERLINK("https://www.773grp.com/manufacturer/renesas-electronics-america-inc?pageNo=114", "Renesas Electronics")</f>
        <v>Renesas Electronics</v>
      </c>
      <c r="C49939" s="6">
        <v>39652</v>
      </c>
      <c r="D49939" s="7">
        <v>12.66</v>
      </c>
    </row>
    <row r="49940" spans="1:4" x14ac:dyDescent="0.25">
      <c r="A49940" t="str">
        <f>HYPERLINK("https://www.773grp.com/globalSearch/UPD431000AGW-80Y-E2/page-1", "UPD431000AGW-80Y-E2")</f>
        <v>UPD431000AGW-80Y-E2</v>
      </c>
      <c r="B49940" s="3" t="str">
        <f>HYPERLINK("https://www.773grp.com/manufacturer/renesas-electronics-america-inc?pageNo=115", "Renesas Electronics")</f>
        <v>Renesas Electronics</v>
      </c>
      <c r="C49940" s="6">
        <v>441000</v>
      </c>
      <c r="D49940" s="7">
        <v>12.66</v>
      </c>
    </row>
    <row r="49941" spans="1:4" x14ac:dyDescent="0.25">
      <c r="A49941" t="str">
        <f>HYPERLINK("https://www.773grp.com/globalSearch/R2J30510LG#W2/page-1", "R2J30510LG#W2")</f>
        <v>R2J30510LG#W2</v>
      </c>
      <c r="B49941" s="3" t="str">
        <f>HYPERLINK("https://www.773grp.com/manufacturer/renesas-electronics-america-inc?pageNo=116", "Renesas Electronics")</f>
        <v>Renesas Electronics</v>
      </c>
      <c r="C49941" s="6">
        <v>12000</v>
      </c>
      <c r="D49941" s="7">
        <v>13.03</v>
      </c>
    </row>
    <row r="49942" spans="1:4" x14ac:dyDescent="0.25">
      <c r="A49942" t="str">
        <f>HYPERLINK("https://www.773grp.com/globalSearch/M37272E8FP/page-1", "M37272E8FP")</f>
        <v>M37272E8FP</v>
      </c>
      <c r="B49942" s="3" t="str">
        <f>HYPERLINK("https://www.773grp.com/manufacturer/renesas-electronics-america-inc?pageNo=117", "Renesas Electronics")</f>
        <v>Renesas Electronics</v>
      </c>
      <c r="C49942" s="6">
        <v>4258</v>
      </c>
      <c r="D49942" s="7">
        <v>13.05</v>
      </c>
    </row>
    <row r="49943" spans="1:4" x14ac:dyDescent="0.25">
      <c r="A49943" t="str">
        <f>HYPERLINK("https://www.773grp.com/globalSearch/UPD784031GK-9EU-A/page-1", "UPD784031GK-9EU-A")</f>
        <v>UPD784031GK-9EU-A</v>
      </c>
      <c r="B49943" s="3" t="str">
        <f>HYPERLINK("https://www.773grp.com/manufacturer/renesas-electronics-america-inc?pageNo=118", "Renesas Electronics")</f>
        <v>Renesas Electronics</v>
      </c>
      <c r="C49943" s="6">
        <v>457</v>
      </c>
      <c r="D49943" s="7">
        <v>13.13</v>
      </c>
    </row>
    <row r="49944" spans="1:4" x14ac:dyDescent="0.25">
      <c r="A49944" t="str">
        <f>HYPERLINK("https://www.773grp.com/globalSearch/R1LP0408CSB-7LI#S0/page-1", "R1LP0408CSB-7LI#S0")</f>
        <v>R1LP0408CSB-7LI#S0</v>
      </c>
      <c r="B49944" s="3" t="str">
        <f>HYPERLINK("https://www.773grp.com/manufacturer/renesas-electronics-america-inc?pageNo=119", "Renesas Electronics")</f>
        <v>Renesas Electronics</v>
      </c>
      <c r="C49944" s="6">
        <v>2000</v>
      </c>
      <c r="D49944" s="7">
        <v>13.21</v>
      </c>
    </row>
    <row r="49945" spans="1:4" x14ac:dyDescent="0.25">
      <c r="A49945" t="str">
        <f>HYPERLINK("https://www.773grp.com/globalSearch/R1LP0408CSB-7UI#D0/page-1", "R1LP0408CSB-7UI#D0")</f>
        <v>R1LP0408CSB-7UI#D0</v>
      </c>
      <c r="B49945" s="3" t="str">
        <f>HYPERLINK("https://www.773grp.com/manufacturer/renesas-electronics-america-inc?pageNo=120", "Renesas Electronics")</f>
        <v>Renesas Electronics</v>
      </c>
      <c r="C49945" s="6">
        <v>5802</v>
      </c>
      <c r="D49945" s="7">
        <v>13.21</v>
      </c>
    </row>
    <row r="49946" spans="1:4" x14ac:dyDescent="0.25">
      <c r="A49946" t="str">
        <f>HYPERLINK("https://www.773grp.com/globalSearch/R1LP0408CSC-5SI#D0/page-1", "R1LP0408CSC-5SI#D0")</f>
        <v>R1LP0408CSC-5SI#D0</v>
      </c>
      <c r="B49946" s="3" t="str">
        <f>HYPERLINK("https://www.773grp.com/manufacturer/renesas-electronics-america-inc?pageNo=121", "Renesas Electronics")</f>
        <v>Renesas Electronics</v>
      </c>
      <c r="C49946" s="6">
        <v>16784</v>
      </c>
      <c r="D49946" s="7">
        <v>13.21</v>
      </c>
    </row>
    <row r="49947" spans="1:4" x14ac:dyDescent="0.25">
      <c r="A49947" t="str">
        <f>HYPERLINK("https://www.773grp.com/globalSearch/R1LP0408CSC-7LC#D0/page-1", "R1LP0408CSC-7LC#D0")</f>
        <v>R1LP0408CSC-7LC#D0</v>
      </c>
      <c r="B49947" s="3" t="str">
        <f>HYPERLINK("https://www.773grp.com/manufacturer/renesas-electronics-america-inc?pageNo=122", "Renesas Electronics")</f>
        <v>Renesas Electronics</v>
      </c>
      <c r="C49947" s="6">
        <v>129</v>
      </c>
      <c r="D49947" s="7">
        <v>13.21</v>
      </c>
    </row>
    <row r="49948" spans="1:4" x14ac:dyDescent="0.25">
      <c r="A49948" t="str">
        <f>HYPERLINK("https://www.773grp.com/globalSearch/R1LP0408CSP-7UI#B0/page-1", "R1LP0408CSP-7UI#B0")</f>
        <v>R1LP0408CSP-7UI#B0</v>
      </c>
      <c r="B49948" s="3" t="str">
        <f>HYPERLINK("https://www.773grp.com/manufacturer/renesas-electronics-america-inc?pageNo=123", "Renesas Electronics")</f>
        <v>Renesas Electronics</v>
      </c>
      <c r="C49948" s="6">
        <v>10166</v>
      </c>
      <c r="D49948" s="7">
        <v>13.21</v>
      </c>
    </row>
    <row r="49949" spans="1:4" x14ac:dyDescent="0.25">
      <c r="A49949" t="str">
        <f>HYPERLINK("https://www.773grp.com/globalSearch/R1LV0408CSB-5SC#D0/page-1", "R1LV0408CSB-5SC#D0")</f>
        <v>R1LV0408CSB-5SC#D0</v>
      </c>
      <c r="B49949" s="3" t="str">
        <f>HYPERLINK("https://www.773grp.com/manufacturer/renesas-electronics-america-inc?pageNo=124", "Renesas Electronics")</f>
        <v>Renesas Electronics</v>
      </c>
      <c r="C49949" s="6">
        <v>1937</v>
      </c>
      <c r="D49949" s="7">
        <v>13.21</v>
      </c>
    </row>
    <row r="49950" spans="1:4" x14ac:dyDescent="0.25">
      <c r="A49950" t="str">
        <f>HYPERLINK("https://www.773grp.com/globalSearch/R1LV0408CSB-5UC#D0/page-1", "R1LV0408CSB-5UC#D0")</f>
        <v>R1LV0408CSB-5UC#D0</v>
      </c>
      <c r="B49950" s="3" t="str">
        <f>HYPERLINK("https://www.773grp.com/manufacturer/renesas-electronics-america-inc?pageNo=125", "Renesas Electronics")</f>
        <v>Renesas Electronics</v>
      </c>
      <c r="C49950" s="6">
        <v>2903</v>
      </c>
      <c r="D49950" s="7">
        <v>13.21</v>
      </c>
    </row>
    <row r="49951" spans="1:4" x14ac:dyDescent="0.25">
      <c r="A49951" t="str">
        <f>HYPERLINK("https://www.773grp.com/globalSearch/R1LV0408CSB-5UI#D0/page-1", "R1LV0408CSB-5UI#D0")</f>
        <v>R1LV0408CSB-5UI#D0</v>
      </c>
      <c r="B49951" s="3" t="str">
        <f>HYPERLINK("https://www.773grp.com/manufacturer/renesas-electronics-america-inc?pageNo=126", "Renesas Electronics")</f>
        <v>Renesas Electronics</v>
      </c>
      <c r="C49951" s="6">
        <v>450</v>
      </c>
      <c r="D49951" s="7">
        <v>13.21</v>
      </c>
    </row>
    <row r="49952" spans="1:4" x14ac:dyDescent="0.25">
      <c r="A49952" t="str">
        <f>HYPERLINK("https://www.773grp.com/globalSearch/R1LV0416CSB-5SI#S0/page-1", "R1LV0416CSB-5SI#S0")</f>
        <v>R1LV0416CSB-5SI#S0</v>
      </c>
      <c r="B49952" s="3" t="str">
        <f>HYPERLINK("https://www.773grp.com/manufacturer/renesas-electronics-america-inc?pageNo=127", "Renesas Electronics")</f>
        <v>Renesas Electronics</v>
      </c>
      <c r="C49952" s="6">
        <v>5000</v>
      </c>
      <c r="D49952" s="7">
        <v>13.21</v>
      </c>
    </row>
    <row r="49953" spans="1:4" x14ac:dyDescent="0.25">
      <c r="A49953" t="str">
        <f>HYPERLINK("https://www.773grp.com/globalSearch/R2J10172HA-A00FPU0/page-1", "R2J10172HA-A00FPU0")</f>
        <v>R2J10172HA-A00FPU0</v>
      </c>
      <c r="B49953" s="3" t="str">
        <f>HYPERLINK("https://www.773grp.com/manufacturer/renesas-electronics-america-inc?pageNo=128", "Renesas Electronics")</f>
        <v>Renesas Electronics</v>
      </c>
      <c r="C49953" s="6">
        <v>1843</v>
      </c>
      <c r="D49953" s="7">
        <v>13.21</v>
      </c>
    </row>
    <row r="49954" spans="1:4" x14ac:dyDescent="0.25">
      <c r="A49954" t="str">
        <f>HYPERLINK("https://www.773grp.com/globalSearch/R5F21265SDFP#U0/page-1", "R5F21265SDFP#U0")</f>
        <v>R5F21265SDFP#U0</v>
      </c>
      <c r="B49954" s="3" t="str">
        <f>HYPERLINK("https://www.773grp.com/manufacturer/renesas-electronics-america-inc?pageNo=129", "Renesas Electronics")</f>
        <v>Renesas Electronics</v>
      </c>
      <c r="C49954" s="6">
        <v>57</v>
      </c>
      <c r="D49954" s="7">
        <v>13.3</v>
      </c>
    </row>
    <row r="49955" spans="1:4" x14ac:dyDescent="0.25">
      <c r="A49955" t="str">
        <f>HYPERLINK("https://www.773grp.com/globalSearch/M66004FP#200D/page-1", "M66004FP#200D")</f>
        <v>M66004FP#200D</v>
      </c>
      <c r="B49955" s="3" t="str">
        <f>HYPERLINK("https://www.773grp.com/manufacturer/renesas-electronics-america-inc?pageNo=130", "Renesas Electronics")</f>
        <v>Renesas Electronics</v>
      </c>
      <c r="C49955" s="6">
        <v>750</v>
      </c>
      <c r="D49955" s="7">
        <v>13.41</v>
      </c>
    </row>
    <row r="49956" spans="1:4" x14ac:dyDescent="0.25">
      <c r="A49956" t="str">
        <f>HYPERLINK("https://www.773grp.com/globalSearch/M38507F8SP#U1/page-1", "M38507F8SP#U1")</f>
        <v>M38507F8SP#U1</v>
      </c>
      <c r="B49956" s="3" t="str">
        <f>HYPERLINK("https://www.773grp.com/manufacturer/renesas-electronics-america-inc?pageNo=131", "Renesas Electronics")</f>
        <v>Renesas Electronics</v>
      </c>
      <c r="C49956" s="6">
        <v>3395</v>
      </c>
      <c r="D49956" s="7">
        <v>13.59</v>
      </c>
    </row>
    <row r="49957" spans="1:4" x14ac:dyDescent="0.25">
      <c r="A49957" t="str">
        <f>HYPERLINK("https://www.773grp.com/globalSearch/HD6445P4/page-1", "HD6445P4")</f>
        <v>HD6445P4</v>
      </c>
      <c r="B49957" s="3" t="str">
        <f>HYPERLINK("https://www.773grp.com/manufacturer/renesas-electronics-america-inc?pageNo=132", "Renesas Electronics")</f>
        <v>Renesas Electronics</v>
      </c>
      <c r="C49957" s="6">
        <v>815</v>
      </c>
      <c r="D49957" s="7">
        <v>13.64</v>
      </c>
    </row>
    <row r="49958" spans="1:4" x14ac:dyDescent="0.25">
      <c r="A49958" t="str">
        <f>HYPERLINK("https://www.773grp.com/globalSearch/R2J10215GD-A00FPU0/page-1", "R2J10215GD-A00FPU0")</f>
        <v>R2J10215GD-A00FPU0</v>
      </c>
      <c r="B49958" s="3" t="str">
        <f>HYPERLINK("https://www.773grp.com/manufacturer/renesas-electronics-america-inc?pageNo=133", "Renesas Electronics")</f>
        <v>Renesas Electronics</v>
      </c>
      <c r="C49958" s="6">
        <v>510</v>
      </c>
      <c r="D49958" s="7">
        <v>13.68</v>
      </c>
    </row>
    <row r="49959" spans="1:4" x14ac:dyDescent="0.25">
      <c r="A49959" t="str">
        <f>HYPERLINK("https://www.773grp.com/globalSearch/M38K09F8LHP/page-1", "M38K09F8LHP")</f>
        <v>M38K09F8LHP</v>
      </c>
      <c r="B49959" s="3" t="str">
        <f>HYPERLINK("https://www.773grp.com/manufacturer/renesas-electronics-america-inc?pageNo=134", "Renesas Electronics")</f>
        <v>Renesas Electronics</v>
      </c>
      <c r="C49959" s="6">
        <v>245</v>
      </c>
      <c r="D49959" s="7">
        <v>13.7</v>
      </c>
    </row>
    <row r="49960" spans="1:4" x14ac:dyDescent="0.25">
      <c r="A49960" t="str">
        <f>HYPERLINK("https://www.773grp.com/globalSearch/M37540E2FP#U0/page-1", "M37540E2FP#U0")</f>
        <v>M37540E2FP#U0</v>
      </c>
      <c r="B49960" s="3" t="str">
        <f>HYPERLINK("https://www.773grp.com/manufacturer/renesas-electronics-america-inc?pageNo=135", "Renesas Electronics")</f>
        <v>Renesas Electronics</v>
      </c>
      <c r="C49960" s="6">
        <v>4990</v>
      </c>
      <c r="D49960" s="7">
        <v>13.75</v>
      </c>
    </row>
    <row r="49961" spans="1:4" x14ac:dyDescent="0.25">
      <c r="A49961" t="str">
        <f>HYPERLINK("https://www.773grp.com/globalSearch/1SZ47A/page-1", "1SZ47A")</f>
        <v>1SZ47A</v>
      </c>
      <c r="B49961" s="3" t="str">
        <f>HYPERLINK("https://www.773grp.com/manufacturer/renesas-electronics-america-inc?pageNo=136", "Renesas Electronics")</f>
        <v>Renesas Electronics</v>
      </c>
      <c r="C49961" s="6">
        <v>20200</v>
      </c>
      <c r="D49961" s="7">
        <v>13.8</v>
      </c>
    </row>
    <row r="49962" spans="1:4" x14ac:dyDescent="0.25">
      <c r="A49962" t="str">
        <f>HYPERLINK("https://www.773grp.com/globalSearch/1SZ47A-AZ/page-1", "1SZ47A-AZ")</f>
        <v>1SZ47A-AZ</v>
      </c>
      <c r="B49962" s="3" t="str">
        <f>HYPERLINK("https://www.773grp.com/manufacturer/renesas-electronics-america-inc?pageNo=137", "Renesas Electronics")</f>
        <v>Renesas Electronics</v>
      </c>
      <c r="C49962" s="6">
        <v>4496</v>
      </c>
      <c r="D49962" s="7">
        <v>13.8</v>
      </c>
    </row>
    <row r="49963" spans="1:4" x14ac:dyDescent="0.25">
      <c r="A49963" t="str">
        <f>HYPERLINK("https://www.773grp.com/globalSearch/R5F21247SDFP#U0/page-1", "R5F21247SDFP#U0")</f>
        <v>R5F21247SDFP#U0</v>
      </c>
      <c r="B49963" s="3" t="str">
        <f>HYPERLINK("https://www.773grp.com/manufacturer/renesas-electronics-america-inc?pageNo=138", "Renesas Electronics")</f>
        <v>Renesas Electronics</v>
      </c>
      <c r="C49963" s="6">
        <v>124</v>
      </c>
      <c r="D49963" s="7">
        <v>13.8</v>
      </c>
    </row>
    <row r="49964" spans="1:4" x14ac:dyDescent="0.25">
      <c r="A49964" t="str">
        <f>HYPERLINK("https://www.773grp.com/globalSearch/HD407A4374FTI/page-1", "HD407A4374FTI")</f>
        <v>HD407A4374FTI</v>
      </c>
      <c r="B49964" s="3" t="str">
        <f>HYPERLINK("https://www.773grp.com/manufacturer/renesas-electronics-america-inc?pageNo=139", "Renesas Electronics")</f>
        <v>Renesas Electronics</v>
      </c>
      <c r="C49964" s="6">
        <v>850</v>
      </c>
      <c r="D49964" s="7">
        <v>13.93</v>
      </c>
    </row>
    <row r="49965" spans="1:4" x14ac:dyDescent="0.25">
      <c r="A49965" t="str">
        <f>HYPERLINK("https://www.773grp.com/globalSearch/M37531E4FP#U0/page-1", "M37531E4FP#U0")</f>
        <v>M37531E4FP#U0</v>
      </c>
      <c r="B49965" s="3" t="str">
        <f>HYPERLINK("https://www.773grp.com/manufacturer/renesas-electronics-america-inc?pageNo=140", "Renesas Electronics")</f>
        <v>Renesas Electronics</v>
      </c>
      <c r="C49965" s="6">
        <v>959</v>
      </c>
      <c r="D49965" s="7">
        <v>13.98</v>
      </c>
    </row>
    <row r="49966" spans="1:4" x14ac:dyDescent="0.25">
      <c r="A49966" t="str">
        <f>HYPERLINK("https://www.773grp.com/globalSearch/M66592UG#RF0Z/page-1", "M66592UG#RF0Z")</f>
        <v>M66592UG#RF0Z</v>
      </c>
      <c r="B49966" s="3" t="str">
        <f>HYPERLINK("https://www.773grp.com/manufacturer/renesas-electronics-america-inc?pageNo=141", "Renesas Electronics")</f>
        <v>Renesas Electronics</v>
      </c>
      <c r="C49966" s="6">
        <v>21641</v>
      </c>
      <c r="D49966" s="7">
        <v>14.13</v>
      </c>
    </row>
    <row r="49967" spans="1:4" x14ac:dyDescent="0.25">
      <c r="A49967" t="str">
        <f>HYPERLINK("https://www.773grp.com/globalSearch/2SC3336-E/page-1", "2SC3336-E")</f>
        <v>2SC3336-E</v>
      </c>
      <c r="B49967" s="3" t="str">
        <f>HYPERLINK("https://www.773grp.com/manufacturer/renesas-electronics-america-inc?pageNo=142", "Renesas Electronics")</f>
        <v>Renesas Electronics</v>
      </c>
      <c r="C49967" s="6">
        <v>135</v>
      </c>
      <c r="D49967" s="7">
        <v>14.18</v>
      </c>
    </row>
    <row r="49968" spans="1:4" x14ac:dyDescent="0.25">
      <c r="A49968" t="str">
        <f>HYPERLINK("https://www.773grp.com/globalSearch/M30624FGPFP#D5C/page-1", "M30624FGPFP#D5C")</f>
        <v>M30624FGPFP#D5C</v>
      </c>
      <c r="B49968" s="3" t="str">
        <f>HYPERLINK("https://www.773grp.com/manufacturer/renesas-electronics-america-inc?pageNo=143", "Renesas Electronics")</f>
        <v>Renesas Electronics</v>
      </c>
      <c r="C49968" s="6">
        <v>2128</v>
      </c>
      <c r="D49968" s="7">
        <v>14.18</v>
      </c>
    </row>
    <row r="49969" spans="1:4" x14ac:dyDescent="0.25">
      <c r="A49969" t="str">
        <f>HYPERLINK("https://www.773grp.com/globalSearch/R5F21257SYFP#U0/page-1", "R5F21257SYFP#U0")</f>
        <v>R5F21257SYFP#U0</v>
      </c>
      <c r="B49969" s="3" t="str">
        <f>HYPERLINK("https://www.773grp.com/manufacturer/renesas-electronics-america-inc?pageNo=144", "Renesas Electronics")</f>
        <v>Renesas Electronics</v>
      </c>
      <c r="C49969" s="6">
        <v>6734</v>
      </c>
      <c r="D49969" s="7">
        <v>14.18</v>
      </c>
    </row>
    <row r="49970" spans="1:4" x14ac:dyDescent="0.25">
      <c r="A49970" t="str">
        <f>HYPERLINK("https://www.773grp.com/globalSearch/R5F2L367ADFP#U1/page-1", "R5F2L367ADFP#U1")</f>
        <v>R5F2L367ADFP#U1</v>
      </c>
      <c r="B49970" s="3" t="str">
        <f>HYPERLINK("https://www.773grp.com/manufacturer/renesas-electronics-america-inc?pageNo=145", "Renesas Electronics")</f>
        <v>Renesas Electronics</v>
      </c>
      <c r="C49970" s="6">
        <v>2313</v>
      </c>
      <c r="D49970" s="7">
        <v>14.35</v>
      </c>
    </row>
    <row r="49971" spans="1:4" x14ac:dyDescent="0.25">
      <c r="A49971" t="str">
        <f>HYPERLINK("https://www.773grp.com/globalSearch/M37705E4BSP/page-1", "M37705E4BSP")</f>
        <v>M37705E4BSP</v>
      </c>
      <c r="B49971" s="3" t="str">
        <f>HYPERLINK("https://www.773grp.com/manufacturer/renesas-electronics-america-inc?pageNo=146", "Renesas Electronics")</f>
        <v>Renesas Electronics</v>
      </c>
      <c r="C49971" s="6">
        <v>33</v>
      </c>
      <c r="D49971" s="7">
        <v>14.51</v>
      </c>
    </row>
    <row r="49972" spans="1:4" x14ac:dyDescent="0.25">
      <c r="A49972" t="str">
        <f>HYPERLINK("https://www.773grp.com/globalSearch/M66230FP#TB0Q/page-1", "M66230FP#TB0Q")</f>
        <v>M66230FP#TB0Q</v>
      </c>
      <c r="B49972" s="3" t="str">
        <f>HYPERLINK("https://www.773grp.com/manufacturer/renesas-electronics-america-inc?pageNo=147", "Renesas Electronics")</f>
        <v>Renesas Electronics</v>
      </c>
      <c r="C49972" s="6">
        <v>28706</v>
      </c>
      <c r="D49972" s="7">
        <v>14.55</v>
      </c>
    </row>
    <row r="49973" spans="1:4" x14ac:dyDescent="0.25">
      <c r="A49973" t="str">
        <f>HYPERLINK("https://www.773grp.com/globalSearch/M62303FP/page-1", "M62303FP")</f>
        <v>M62303FP</v>
      </c>
      <c r="B49973" s="3" t="str">
        <f>HYPERLINK("https://www.773grp.com/manufacturer/renesas-electronics-america-inc?pageNo=148", "Renesas Electronics")</f>
        <v>Renesas Electronics</v>
      </c>
      <c r="C49973" s="6">
        <v>1201</v>
      </c>
      <c r="D49973" s="7">
        <v>14.76</v>
      </c>
    </row>
    <row r="49974" spans="1:4" x14ac:dyDescent="0.25">
      <c r="A49974" t="str">
        <f>HYPERLINK("https://www.773grp.com/globalSearch/R5F21276SDFP#U0/page-1", "R5F21276SDFP#U0")</f>
        <v>R5F21276SDFP#U0</v>
      </c>
      <c r="B49974" s="3" t="str">
        <f>HYPERLINK("https://www.773grp.com/manufacturer/renesas-electronics-america-inc?pageNo=149", "Renesas Electronics")</f>
        <v>Renesas Electronics</v>
      </c>
      <c r="C49974" s="6">
        <v>1781</v>
      </c>
      <c r="D49974" s="7">
        <v>14.76</v>
      </c>
    </row>
    <row r="49975" spans="1:4" x14ac:dyDescent="0.25">
      <c r="A49975" t="str">
        <f>HYPERLINK("https://www.773grp.com/globalSearch/R5F212A7SDFA#U0/page-1", "R5F212A7SDFA#U0")</f>
        <v>R5F212A7SDFA#U0</v>
      </c>
      <c r="B49975" s="3" t="str">
        <f>HYPERLINK("https://www.773grp.com/manufacturer/renesas-electronics-america-inc?pageNo=150", "Renesas Electronics")</f>
        <v>Renesas Electronics</v>
      </c>
      <c r="C49975" s="6">
        <v>76</v>
      </c>
      <c r="D49975" s="7">
        <v>14.76</v>
      </c>
    </row>
    <row r="49976" spans="1:4" x14ac:dyDescent="0.25">
      <c r="A49976" t="str">
        <f>HYPERLINK("https://www.773grp.com/globalSearch/M37221EASP/page-1", "M37221EASP")</f>
        <v>M37221EASP</v>
      </c>
      <c r="B49976" s="3" t="str">
        <f>HYPERLINK("https://www.773grp.com/manufacturer/renesas-electronics-america-inc?pageNo=151", "Renesas Electronics")</f>
        <v>Renesas Electronics</v>
      </c>
      <c r="C49976" s="6">
        <v>3767</v>
      </c>
      <c r="D49976" s="7">
        <v>15.08</v>
      </c>
    </row>
    <row r="49977" spans="1:4" x14ac:dyDescent="0.25">
      <c r="A49977" t="str">
        <f>HYPERLINK("https://www.773grp.com/globalSearch/HD64F38024HV/page-1", "HD64F38024HV")</f>
        <v>HD64F38024HV</v>
      </c>
      <c r="B49977" s="3" t="str">
        <f>HYPERLINK("https://www.773grp.com/manufacturer/renesas-electronics-america-inc?pageNo=152", "Renesas Electronics")</f>
        <v>Renesas Electronics</v>
      </c>
      <c r="C49977" s="6">
        <v>26772</v>
      </c>
      <c r="D49977" s="7">
        <v>15.28</v>
      </c>
    </row>
    <row r="49978" spans="1:4" x14ac:dyDescent="0.25">
      <c r="A49978" t="str">
        <f>HYPERLINK("https://www.773grp.com/globalSearch/HD6417708RF100A/page-1", "HD6417708RF100A")</f>
        <v>HD6417708RF100A</v>
      </c>
      <c r="B49978" s="3" t="str">
        <f>HYPERLINK("https://www.773grp.com/manufacturer/renesas-electronics-america-inc?pageNo=153", "Renesas Electronics")</f>
        <v>Renesas Electronics</v>
      </c>
      <c r="C49978" s="6">
        <v>324</v>
      </c>
      <c r="D49978" s="7">
        <v>15.53</v>
      </c>
    </row>
    <row r="49979" spans="1:4" x14ac:dyDescent="0.25">
      <c r="A49979" t="str">
        <f>HYPERLINK("https://www.773grp.com/globalSearch/M38039FFHSP#U0/page-1", "M38039FFHSP#U0")</f>
        <v>M38039FFHSP#U0</v>
      </c>
      <c r="B49979" s="3" t="str">
        <f>HYPERLINK("https://www.773grp.com/manufacturer/renesas-electronics-america-inc?pageNo=154", "Renesas Electronics")</f>
        <v>Renesas Electronics</v>
      </c>
      <c r="C49979" s="6">
        <v>1033</v>
      </c>
      <c r="D49979" s="7">
        <v>15.56</v>
      </c>
    </row>
    <row r="49980" spans="1:4" x14ac:dyDescent="0.25">
      <c r="A49980" t="str">
        <f>HYPERLINK("https://www.773grp.com/globalSearch/UPD78F0138M2GB(A1)-8EU/page-1", "UPD78F0138M2GB(A1)-8EU")</f>
        <v>UPD78F0138M2GB(A1)-8EU</v>
      </c>
      <c r="B49980" s="3" t="str">
        <f>HYPERLINK("https://www.773grp.com/manufacturer/renesas-electronics-america-inc?pageNo=155", "Renesas Electronics")</f>
        <v>Renesas Electronics</v>
      </c>
      <c r="C49980" s="6">
        <v>50</v>
      </c>
      <c r="D49980" s="7">
        <v>15.56</v>
      </c>
    </row>
    <row r="49981" spans="1:4" x14ac:dyDescent="0.25">
      <c r="A49981" t="str">
        <f>HYPERLINK("https://www.773grp.com/globalSearch/M38C37ECAFS/page-1", "M38C37ECAFS")</f>
        <v>M38C37ECAFS</v>
      </c>
      <c r="B49981" s="3" t="str">
        <f>HYPERLINK("https://www.773grp.com/manufacturer/renesas-electronics-america-inc?pageNo=156", "Renesas Electronics")</f>
        <v>Renesas Electronics</v>
      </c>
      <c r="C49981" s="6">
        <v>20</v>
      </c>
      <c r="D49981" s="7">
        <v>15.66</v>
      </c>
    </row>
    <row r="49982" spans="1:4" x14ac:dyDescent="0.25">
      <c r="A49982" t="str">
        <f>HYPERLINK("https://www.773grp.com/globalSearch/M65847AFP#A20/page-1", "M65847AFP#A20")</f>
        <v>M65847AFP#A20</v>
      </c>
      <c r="B49982" s="3" t="str">
        <f>HYPERLINK("https://www.773grp.com/manufacturer/renesas-electronics-america-inc?pageNo=157", "Renesas Electronics")</f>
        <v>Renesas Electronics</v>
      </c>
      <c r="C49982" s="6">
        <v>97</v>
      </c>
      <c r="D49982" s="7">
        <v>15.66</v>
      </c>
    </row>
    <row r="49983" spans="1:4" x14ac:dyDescent="0.25">
      <c r="A49983" t="str">
        <f>HYPERLINK("https://www.773grp.com/globalSearch/UPD77115GK-9EU/page-1", "UPD77115GK-9EU")</f>
        <v>UPD77115GK-9EU</v>
      </c>
      <c r="B49983" s="3" t="str">
        <f>HYPERLINK("https://www.773grp.com/manufacturer/renesas-electronics-america-inc?pageNo=158", "Renesas Electronics")</f>
        <v>Renesas Electronics</v>
      </c>
      <c r="C49983" s="6">
        <v>1845</v>
      </c>
      <c r="D49983" s="7">
        <v>15.75</v>
      </c>
    </row>
    <row r="49984" spans="1:4" x14ac:dyDescent="0.25">
      <c r="A49984" t="str">
        <f>HYPERLINK("https://www.773grp.com/globalSearch/R1LV1616RSA-8SI#B0/page-1", "R1LV1616RSA-8SI#B0")</f>
        <v>R1LV1616RSA-8SI#B0</v>
      </c>
      <c r="B49984" s="3" t="str">
        <f>HYPERLINK("https://www.773grp.com/manufacturer/renesas-electronics-america-inc?pageNo=159", "Renesas Electronics")</f>
        <v>Renesas Electronics</v>
      </c>
      <c r="C49984" s="6">
        <v>3566</v>
      </c>
      <c r="D49984" s="7">
        <v>15.86</v>
      </c>
    </row>
    <row r="49985" spans="1:4" x14ac:dyDescent="0.25">
      <c r="A49985" t="str">
        <f>HYPERLINK("https://www.773grp.com/globalSearch/HD641180XF4/page-1", "HD641180XF4")</f>
        <v>HD641180XF4</v>
      </c>
      <c r="B49985" s="3" t="str">
        <f>HYPERLINK("https://www.773grp.com/manufacturer/renesas-electronics-america-inc?pageNo=160", "Renesas Electronics")</f>
        <v>Renesas Electronics</v>
      </c>
      <c r="C49985" s="6">
        <v>515</v>
      </c>
      <c r="D49985" s="7">
        <v>15.98</v>
      </c>
    </row>
    <row r="49986" spans="1:4" x14ac:dyDescent="0.25">
      <c r="A49986" t="str">
        <f>HYPERLINK("https://www.773grp.com/globalSearch/M30800SAFP#D3/page-1", "M30800SAFP#D3")</f>
        <v>M30800SAFP#D3</v>
      </c>
      <c r="B49986" s="3" t="str">
        <f>HYPERLINK("https://www.773grp.com/manufacturer/renesas-electronics-america-inc?pageNo=161", "Renesas Electronics")</f>
        <v>Renesas Electronics</v>
      </c>
      <c r="C49986" s="6">
        <v>1098</v>
      </c>
      <c r="D49986" s="7">
        <v>16.11</v>
      </c>
    </row>
    <row r="49987" spans="1:4" x14ac:dyDescent="0.25">
      <c r="A49987" t="str">
        <f>HYPERLINK("https://www.773grp.com/globalSearch/R5F212B7SNFA#U0/page-1", "R5F212B7SNFA#U0")</f>
        <v>R5F212B7SNFA#U0</v>
      </c>
      <c r="B49987" s="3" t="str">
        <f>HYPERLINK("https://www.773grp.com/manufacturer/renesas-electronics-america-inc?pageNo=162", "Renesas Electronics")</f>
        <v>Renesas Electronics</v>
      </c>
      <c r="C49987" s="6">
        <v>118</v>
      </c>
      <c r="D49987" s="7">
        <v>16.239999999999998</v>
      </c>
    </row>
    <row r="49988" spans="1:4" x14ac:dyDescent="0.25">
      <c r="A49988" t="str">
        <f>HYPERLINK("https://www.773grp.com/globalSearch/DF2138AFA20JG/page-1", "DF2138AFA20JG")</f>
        <v>DF2138AFA20JG</v>
      </c>
      <c r="B49988" s="3" t="str">
        <f>HYPERLINK("https://www.773grp.com/manufacturer/renesas-electronics-america-inc?pageNo=163", "Renesas Electronics")</f>
        <v>Renesas Electronics</v>
      </c>
      <c r="C49988" s="6">
        <v>192</v>
      </c>
      <c r="D49988" s="7">
        <v>16.54</v>
      </c>
    </row>
    <row r="49989" spans="1:4" x14ac:dyDescent="0.25">
      <c r="A49989" t="str">
        <f>HYPERLINK("https://www.773grp.com/globalSearch/M37450E4FP/page-1", "M37450E4FP")</f>
        <v>M37450E4FP</v>
      </c>
      <c r="B49989" s="3" t="str">
        <f>HYPERLINK("https://www.773grp.com/manufacturer/renesas-electronics-america-inc?pageNo=164", "Renesas Electronics")</f>
        <v>Renesas Electronics</v>
      </c>
      <c r="C49989" s="6">
        <v>1906</v>
      </c>
      <c r="D49989" s="7">
        <v>16.79</v>
      </c>
    </row>
    <row r="49990" spans="1:4" x14ac:dyDescent="0.25">
      <c r="A49990" t="str">
        <f>HYPERLINK("https://www.773grp.com/globalSearch/HD407A4069H/page-1", "HD407A4069H")</f>
        <v>HD407A4069H</v>
      </c>
      <c r="B49990" s="3" t="str">
        <f>HYPERLINK("https://www.773grp.com/manufacturer/renesas-electronics-america-inc?pageNo=165", "Renesas Electronics")</f>
        <v>Renesas Electronics</v>
      </c>
      <c r="C49990" s="6">
        <v>796</v>
      </c>
      <c r="D49990" s="7">
        <v>16.88</v>
      </c>
    </row>
    <row r="49991" spans="1:4" x14ac:dyDescent="0.25">
      <c r="A49991" t="str">
        <f>HYPERLINK("https://www.773grp.com/globalSearch/HD407A4359H/page-1", "HD407A4359H")</f>
        <v>HD407A4359H</v>
      </c>
      <c r="B49991" s="3" t="str">
        <f>HYPERLINK("https://www.773grp.com/manufacturer/renesas-electronics-america-inc?pageNo=166", "Renesas Electronics")</f>
        <v>Renesas Electronics</v>
      </c>
      <c r="C49991" s="6">
        <v>55</v>
      </c>
      <c r="D49991" s="7">
        <v>16.88</v>
      </c>
    </row>
    <row r="49992" spans="1:4" x14ac:dyDescent="0.25">
      <c r="A49992" t="str">
        <f>HYPERLINK("https://www.773grp.com/globalSearch/HD407A4389FTI/page-1", "HD407A4389FTI")</f>
        <v>HD407A4389FTI</v>
      </c>
      <c r="B49992" s="3" t="str">
        <f>HYPERLINK("https://www.773grp.com/manufacturer/renesas-electronics-america-inc?pageNo=167", "Renesas Electronics")</f>
        <v>Renesas Electronics</v>
      </c>
      <c r="C49992" s="6">
        <v>350</v>
      </c>
      <c r="D49992" s="7">
        <v>16.88</v>
      </c>
    </row>
    <row r="49993" spans="1:4" x14ac:dyDescent="0.25">
      <c r="A49993" t="str">
        <f>HYPERLINK("https://www.773grp.com/globalSearch/M34510E8SS/page-1", "M34510E8SS")</f>
        <v>M34510E8SS</v>
      </c>
      <c r="B49993" s="3" t="str">
        <f>HYPERLINK("https://www.773grp.com/manufacturer/renesas-electronics-america-inc?pageNo=168", "Renesas Electronics")</f>
        <v>Renesas Electronics</v>
      </c>
      <c r="C49993" s="6">
        <v>10</v>
      </c>
      <c r="D49993" s="7">
        <v>16.88</v>
      </c>
    </row>
    <row r="49994" spans="1:4" x14ac:dyDescent="0.25">
      <c r="A49994" t="str">
        <f>HYPERLINK("https://www.773grp.com/globalSearch/R2J20604NP#13/page-1", "R2J20604NP#13")</f>
        <v>R2J20604NP#13</v>
      </c>
      <c r="B49994" s="3" t="str">
        <f>HYPERLINK("https://www.773grp.com/manufacturer/renesas-electronics-america-inc?pageNo=169", "Renesas Electronics")</f>
        <v>Renesas Electronics</v>
      </c>
      <c r="C49994" s="6">
        <v>109</v>
      </c>
      <c r="D49994" s="7">
        <v>16.88</v>
      </c>
    </row>
    <row r="49995" spans="1:4" x14ac:dyDescent="0.25">
      <c r="A49995" t="str">
        <f>HYPERLINK("https://www.773grp.com/globalSearch/R2J20604NP#G3/page-1", "R2J20604NP#G3")</f>
        <v>R2J20604NP#G3</v>
      </c>
      <c r="B49995" s="3" t="str">
        <f>HYPERLINK("https://www.773grp.com/manufacturer/renesas-electronics-america-inc?pageNo=170", "Renesas Electronics")</f>
        <v>Renesas Electronics</v>
      </c>
      <c r="C49995" s="6">
        <v>92500</v>
      </c>
      <c r="D49995" s="7">
        <v>16.88</v>
      </c>
    </row>
    <row r="49996" spans="1:4" x14ac:dyDescent="0.25">
      <c r="A49996" t="str">
        <f>HYPERLINK("https://www.773grp.com/globalSearch/RJK60S7DPP-E0#T2/page-1", "RJK60S7DPP-E0#T2")</f>
        <v>RJK60S7DPP-E0#T2</v>
      </c>
      <c r="B49996" s="3" t="str">
        <f>HYPERLINK("https://www.773grp.com/manufacturer/renesas-electronics-america-inc?pageNo=171", "Renesas Electronics")</f>
        <v>Renesas Electronics</v>
      </c>
      <c r="C49996" s="6">
        <v>48184</v>
      </c>
      <c r="D49996" s="7">
        <v>16.88</v>
      </c>
    </row>
    <row r="49997" spans="1:4" x14ac:dyDescent="0.25">
      <c r="A49997" t="str">
        <f>HYPERLINK("https://www.773grp.com/globalSearch/RJP30E3DPK-M2#T0/page-1", "RJP30E3DPK-M2#T0")</f>
        <v>RJP30E3DPK-M2#T0</v>
      </c>
      <c r="B49997" s="3" t="str">
        <f>HYPERLINK("https://www.773grp.com/manufacturer/renesas-electronics-america-inc?pageNo=172", "Renesas Electronics")</f>
        <v>Renesas Electronics</v>
      </c>
      <c r="C49997" s="6">
        <v>29098</v>
      </c>
      <c r="D49997" s="7">
        <v>16.88</v>
      </c>
    </row>
    <row r="49998" spans="1:4" x14ac:dyDescent="0.25">
      <c r="A49998" t="str">
        <f>HYPERLINK("https://www.773grp.com/globalSearch/HD6303YCPJ/page-1", "HD6303YCPJ")</f>
        <v>HD6303YCPJ</v>
      </c>
      <c r="B49998" s="3" t="str">
        <f>HYPERLINK("https://www.773grp.com/manufacturer/renesas-electronics-america-inc?pageNo=173", "Renesas Electronics")</f>
        <v>Renesas Electronics</v>
      </c>
      <c r="C49998" s="6">
        <v>102</v>
      </c>
      <c r="D49998" s="7">
        <v>16.91</v>
      </c>
    </row>
    <row r="49999" spans="1:4" x14ac:dyDescent="0.25">
      <c r="A49999" t="str">
        <f>HYPERLINK("https://www.773grp.com/globalSearch/M61571BFP#TF0T/page-1", "M61571BFP#TF0T")</f>
        <v>M61571BFP#TF0T</v>
      </c>
      <c r="B49999" s="3" t="str">
        <f>HYPERLINK("https://www.773grp.com/manufacturer/renesas-electronics-america-inc?pageNo=174", "Renesas Electronics")</f>
        <v>Renesas Electronics</v>
      </c>
      <c r="C49999" s="6">
        <v>1932</v>
      </c>
      <c r="D49999" s="7">
        <v>17.100000000000001</v>
      </c>
    </row>
  </sheetData>
  <pageMargins left="0.7" right="0.7" top="0.75" bottom="0.75" header="0.3" footer="0.3"/>
  <pageSetup scale="9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Lynn</dc:creator>
  <cp:lastModifiedBy>Sales Dept</cp:lastModifiedBy>
  <cp:lastPrinted>2024-10-29T17:23:03Z</cp:lastPrinted>
  <dcterms:created xsi:type="dcterms:W3CDTF">2024-10-24T18:49:53Z</dcterms:created>
  <dcterms:modified xsi:type="dcterms:W3CDTF">2025-01-07T00:51:27Z</dcterms:modified>
</cp:coreProperties>
</file>